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ritical Part" sheetId="1" r:id="rId5"/>
    <sheet state="visible" name="MPP Fast Moving Critical &amp; Expe" sheetId="2" r:id="rId6"/>
    <sheet state="hidden" name="Sheet2" sheetId="3" r:id="rId7"/>
    <sheet state="hidden" name="Data PR" sheetId="4" r:id="rId8"/>
    <sheet state="hidden" name="Data SPR" sheetId="5" r:id="rId9"/>
  </sheets>
  <definedNames>
    <definedName hidden="1" localSheetId="0" name="_xlnm._FilterDatabase">'All Critical Part'!$A$1:$AB$836</definedName>
  </definedNames>
  <calcPr/>
</workbook>
</file>

<file path=xl/sharedStrings.xml><?xml version="1.0" encoding="utf-8"?>
<sst xmlns="http://schemas.openxmlformats.org/spreadsheetml/2006/main" count="8029" uniqueCount="1851">
  <si>
    <t>Uniq Code</t>
  </si>
  <si>
    <t>No</t>
  </si>
  <si>
    <t>Item Number</t>
  </si>
  <si>
    <t>PR Number</t>
  </si>
  <si>
    <t>Line Number</t>
  </si>
  <si>
    <t>Description</t>
  </si>
  <si>
    <t>Qty</t>
  </si>
  <si>
    <t>UoM</t>
  </si>
  <si>
    <t>Curr</t>
  </si>
  <si>
    <t>Unit Price</t>
  </si>
  <si>
    <t>Amount</t>
  </si>
  <si>
    <t>Need By Date</t>
  </si>
  <si>
    <t>Ship To</t>
  </si>
  <si>
    <t>User</t>
  </si>
  <si>
    <t>User Location</t>
  </si>
  <si>
    <t>Mesin</t>
  </si>
  <si>
    <t>CoA</t>
  </si>
  <si>
    <t>Line Status</t>
  </si>
  <si>
    <t>Order Number</t>
  </si>
  <si>
    <t>Creation Date</t>
  </si>
  <si>
    <t>Approval Date</t>
  </si>
  <si>
    <t>Deadline</t>
  </si>
  <si>
    <t>Total Critical Part</t>
  </si>
  <si>
    <t>Tidak Perlu di Stok 
(Part setara dengan yang lain, Jarang rusak, serta mahal)</t>
  </si>
  <si>
    <t>Item Description</t>
  </si>
  <si>
    <t>Min Qty</t>
  </si>
  <si>
    <t>Max Qty</t>
  </si>
  <si>
    <t>Perlu Di Stok</t>
  </si>
  <si>
    <t>Persentase Sudah Ada</t>
  </si>
  <si>
    <t>Sudah Terproses</t>
  </si>
  <si>
    <t>Penawaran Sudah Diterima</t>
  </si>
  <si>
    <t>FU By Fadhil</t>
  </si>
  <si>
    <t>P2</t>
  </si>
  <si>
    <t>P3</t>
  </si>
  <si>
    <t>Target Terproses 100%</t>
  </si>
  <si>
    <t>Target Stok 100%</t>
  </si>
  <si>
    <t>O-16033-00 atau O-20487-00
Glove cRABS</t>
  </si>
  <si>
    <t>Ada Stok</t>
  </si>
  <si>
    <t>Tidak Ada Stok</t>
  </si>
  <si>
    <t>Tahun</t>
  </si>
  <si>
    <t>Menunggu Barang Datang</t>
  </si>
  <si>
    <t>Sudah Ada Item Code</t>
  </si>
  <si>
    <t>Belum Ada Item Code</t>
  </si>
  <si>
    <t>Ready Minta Penawaran</t>
  </si>
  <si>
    <t>Butuh Konfirmasi</t>
  </si>
  <si>
    <t>Bulan</t>
  </si>
  <si>
    <t>Agu</t>
  </si>
  <si>
    <t>Sep</t>
  </si>
  <si>
    <t>Autoclave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</si>
  <si>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</si>
  <si>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</si>
  <si>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</si>
  <si>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</si>
  <si>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</si>
  <si>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</si>
  <si>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</si>
  <si>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</si>
  <si>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</si>
  <si>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Jul</t>
  </si>
  <si>
    <t>Stok Awal</t>
  </si>
  <si>
    <t>Aktif/Tidak</t>
  </si>
  <si>
    <t>Notes 1</t>
  </si>
  <si>
    <t>Notes 2</t>
  </si>
  <si>
    <t>Persentase yang sudah terproses dari 9 mesin</t>
  </si>
  <si>
    <t>Pemakaian Per Bulan</t>
  </si>
  <si>
    <t>Capping</t>
  </si>
  <si>
    <t>PR</t>
  </si>
  <si>
    <t>cRABS</t>
  </si>
  <si>
    <t>Kedatangan</t>
  </si>
  <si>
    <t>Stok Akhir</t>
  </si>
  <si>
    <t>EDM</t>
  </si>
  <si>
    <t>FD IMA</t>
  </si>
  <si>
    <t>Persentase stok yang sudah ada dari 9 mesin</t>
  </si>
  <si>
    <t>Filling</t>
  </si>
  <si>
    <t>Mixing</t>
  </si>
  <si>
    <t>Tunnel</t>
  </si>
  <si>
    <t>O-21720-00
General - Sleeves CSM 001642 M200/90 Y 550 E4 Bt5/5 Thikness 4/10; Piercan; SP010822; 1 Pc</t>
  </si>
  <si>
    <t>Washing</t>
  </si>
  <si>
    <t>General - Chemical</t>
  </si>
  <si>
    <t>General - Pneumatic</t>
  </si>
  <si>
    <t>General - Electrical</t>
  </si>
  <si>
    <t>General - Isolasi</t>
  </si>
  <si>
    <t>General - Workshop</t>
  </si>
  <si>
    <t>General - Baut</t>
  </si>
  <si>
    <t>General - Plumbing</t>
  </si>
  <si>
    <t>CLU</t>
  </si>
  <si>
    <t>Cartoning</t>
  </si>
  <si>
    <t>Sudah punya list</t>
  </si>
  <si>
    <t>Labelling</t>
  </si>
  <si>
    <t>Isolator SKAN</t>
  </si>
  <si>
    <t>HPLC</t>
  </si>
  <si>
    <t>Building</t>
  </si>
  <si>
    <t>AHU</t>
  </si>
  <si>
    <t>O-16030-00
General - Dry box glove, 4/10 mm, CSM, 97800 Y 8.5 E4 5; Piercan; 1292; 10 pcs per pack</t>
  </si>
  <si>
    <t>PWG &amp; SKID</t>
  </si>
  <si>
    <t>WFIG WFI SKID</t>
  </si>
  <si>
    <t>PSG</t>
  </si>
  <si>
    <t>Isolator Klenzaid</t>
  </si>
  <si>
    <t>MS30</t>
  </si>
  <si>
    <t>Forklift</t>
  </si>
  <si>
    <t>GMP Washer</t>
  </si>
  <si>
    <t>Isolator</t>
  </si>
  <si>
    <t>N2 Gen</t>
  </si>
  <si>
    <t>Piping</t>
  </si>
  <si>
    <t>O-50834-00</t>
  </si>
  <si>
    <t>Autoclave Fedegari FOF / 6 AC - P/N. GM805664 Pressure Transducer and Mouting Par Replaces CD230046</t>
  </si>
  <si>
    <t>PWG</t>
  </si>
  <si>
    <t>WFI Gen</t>
  </si>
  <si>
    <t>WI Incubator</t>
  </si>
  <si>
    <t>WIHC</t>
  </si>
  <si>
    <t>Workshop</t>
  </si>
  <si>
    <t>WWTP</t>
  </si>
  <si>
    <t>Kurang</t>
  </si>
  <si>
    <t>Aktif</t>
  </si>
  <si>
    <t>Discontinue</t>
  </si>
  <si>
    <t>-</t>
  </si>
  <si>
    <t>TIDAK AKTIF</t>
  </si>
  <si>
    <t>O-52922-00</t>
  </si>
  <si>
    <t>Autoclave Fedegari FOF / 6 AC - Temperaure transmitter; IPAQ-L Plus 70IPLP0001;</t>
  </si>
  <si>
    <t>Inactive</t>
  </si>
  <si>
    <t>O-18687-00</t>
  </si>
  <si>
    <t>Autoclave Fedegari FVA2/A1 NB2963AT - DN10/DN16 CLAMP P/N: GM100017; ; ;</t>
  </si>
  <si>
    <t>Lebih</t>
  </si>
  <si>
    <t>O-18688-00</t>
  </si>
  <si>
    <t>Autoclave Fedegari FVA2/A1 NB2963AT - DN20/DN22 CLAMP P/N: GM100067; ; ;</t>
  </si>
  <si>
    <t>Sama</t>
  </si>
  <si>
    <t>AKTIF</t>
  </si>
  <si>
    <t>O-18690-00</t>
  </si>
  <si>
    <t>Autoclave Fedegari FVA2/A1 NB2963AT - DN48/DN50 CLAMP P/N: GM100049; ; ;</t>
  </si>
  <si>
    <t>O-18686-00</t>
  </si>
  <si>
    <t>Autoclave Fedegari FVA2/A1 NB2963AT - DN6-8 CLAMP P/N: GM100029; ; ;</t>
  </si>
  <si>
    <t>O-16731-00</t>
  </si>
  <si>
    <t>Autoclave Fedegari FVA2/A1 NB2963AT - KIT Ricambi Valv. DN10 ON-OFF FEDEGARI ASIA PTE LTD P/N : KK000301 pc</t>
  </si>
  <si>
    <t>O-21284-00
General - Isolator Gloves 000080 E10330 CNS 7 E3 5 Neoprene No Staining; Piercan; SG010138; 1 Pc</t>
  </si>
  <si>
    <t>O-16732-00</t>
  </si>
  <si>
    <t>Autoclave Fedegari FVA2/A1 NB2963AT - KIT Ricambi Valv. DN10 ON-OFF FEDEGARI ASIA PTE LTD P/N : KS000025 pc</t>
  </si>
  <si>
    <t>P-13714-00</t>
  </si>
  <si>
    <t>Autoclave Fedegari FVA2/A1 NB2963AT - Oring Viton 29 x 22 x 3.5 mm; ; ;</t>
  </si>
  <si>
    <t>O-20982-00</t>
  </si>
  <si>
    <t>Autoclave FVA2/A1 - SILICONE GASKET FO-5 900X1300</t>
  </si>
  <si>
    <t>Autoclave Service NA2247AU - AUTODIAGNOSIS ON CLEAN STEAM LINE, Fedegari, GP400045, , ,</t>
  </si>
  <si>
    <t>Setara</t>
  </si>
  <si>
    <t>Setara dengan O-53442-00</t>
  </si>
  <si>
    <t>O-18692-00</t>
  </si>
  <si>
    <t>Autoclave Service NA2247AU - Blind size F1, Fedegari, , , Size F1,</t>
  </si>
  <si>
    <t>O-18693-00</t>
  </si>
  <si>
    <t>Autoclave Service NA2247AU - Blind size F2, Fedegari, , , Size F2,</t>
  </si>
  <si>
    <t>O-18694-00</t>
  </si>
  <si>
    <t>Autoclave Service NA2247AU - Blind size F3, Fedegari, , , Size F3,</t>
  </si>
  <si>
    <t>O-21124-00</t>
  </si>
  <si>
    <t>Autoclave Service NA2247AU - O ring 15.47x3.53</t>
  </si>
  <si>
    <t>Setara dengan O-15918-00</t>
  </si>
  <si>
    <t>O-21125-00</t>
  </si>
  <si>
    <t>Autoclave Service NA2247AU - O ring 34.52x3.53</t>
  </si>
  <si>
    <t>Setara dengan O-15914-00</t>
  </si>
  <si>
    <t>O-53442-00</t>
  </si>
  <si>
    <t>Autoclave Service NA2247AU - Pressure Switch Alco Controls PS3-AJR 0.8-1 bar Assy</t>
  </si>
  <si>
    <t>O-53441-00</t>
  </si>
  <si>
    <t>Autoclave Service NA2247AU - Pressure Transducer MOD. PBMH 24</t>
  </si>
  <si>
    <t>O-15917-00</t>
  </si>
  <si>
    <t>Fedegari FVA2/A1 - CENTERING RING DN16 CLAMP; Code : PP100907; ; ;</t>
  </si>
  <si>
    <t>O-15913-00</t>
  </si>
  <si>
    <t>Fedegari FVA2/A1 - CENTERING RING DN35 CLAMP; Code : PP100897; ; ;</t>
  </si>
  <si>
    <t>O-15916-00</t>
  </si>
  <si>
    <t>Fedegari FVA2/A1 - CLAMP DN10 1/2" (MICROCASTED); Code : GM100017; ; ;</t>
  </si>
  <si>
    <t>O-15912-00</t>
  </si>
  <si>
    <t>Fedegari FVA2/A1 - CLAMP DN34-DN35 (MICROCASTED); Code : GM100094; ; ;</t>
  </si>
  <si>
    <t>O-15915-00</t>
  </si>
  <si>
    <t>Fedegari FVA2/A1 - DN16 ASTM CAP; Code : PM102747; ; ;</t>
  </si>
  <si>
    <t>O-15918-00</t>
  </si>
  <si>
    <t>Fedegari FVA2/A1 - O-RING 15.47x3.53 ; Code : CC150170; ; ;</t>
  </si>
  <si>
    <t>O-15914-00</t>
  </si>
  <si>
    <t>Fedegari FVA2/A1 - O-RING 34.52x3.53; Code : CC150171; ; ;</t>
  </si>
  <si>
    <t>O-21485-00
General - Isolator Glove CSM Port size 8 Inch Length : 800 mm, Thick : 15mil/0.4mm; TRON; 8Y1532A0975; 1 Pc</t>
  </si>
  <si>
    <t>O-15911-00</t>
  </si>
  <si>
    <t>Fedegari FVA2/A1 - TAPPO DN35 ASTM; Code : PM102749; ; ;</t>
  </si>
  <si>
    <t>P-15429-00</t>
  </si>
  <si>
    <t>Fedegari FVA2/A1 S/N : NB2964AT - Cover Seal FVM-A/2 FOB2 (Code: PP600265); ; ;</t>
  </si>
  <si>
    <t>O-17831-00</t>
  </si>
  <si>
    <t>Gear Door Autoclave</t>
  </si>
  <si>
    <t>P-17361-00</t>
  </si>
  <si>
    <t>O-ring EPDM 15 x 9 x 3 mm ; Brand : - ; P/N : - ; Pack Size : pcs</t>
  </si>
  <si>
    <t>P-17359-00</t>
  </si>
  <si>
    <t>O-ring EPDM 41.5 x 35 x 3.5 mm ; Brand : - ; P/N : - ; Pack Size : pcs</t>
  </si>
  <si>
    <t>P-17272-00</t>
  </si>
  <si>
    <t>O-ring Epdm 9 x 4 x 2,5 mm ; Brand : - ; P/N : - ; Pack Size : pcs</t>
  </si>
  <si>
    <t>P-17273-00</t>
  </si>
  <si>
    <t>O-ring Epdm 9 x 5 x 2 mm ; Brand : - ; P/N : - ; Pack Size : pcs</t>
  </si>
  <si>
    <t>O-19339-00</t>
  </si>
  <si>
    <t>Oring 2,5x6x11 mm, Material EPDM; ; ;</t>
  </si>
  <si>
    <t>O-51743-00</t>
  </si>
  <si>
    <t>SENSOR TEMPERATUR PT100 7 METER 4 WIRE; PART NO :PM600083</t>
  </si>
  <si>
    <t>Setara dengan O-52278-00</t>
  </si>
  <si>
    <t>Total</t>
  </si>
  <si>
    <t>O-51747-00</t>
  </si>
  <si>
    <t>TEMPERATURE PROBE ;PRODUCT ; TE2/TE2R ;</t>
  </si>
  <si>
    <t>Pake Radix O-51920-00</t>
  </si>
  <si>
    <t>O-51920-00</t>
  </si>
  <si>
    <t>Temperature sensor PT100, 4 wire, class AA, Duplex, c/w 10m silicon cable Radix RAC241-D-10-PN; ; ;</t>
  </si>
  <si>
    <t>Setara dengan O-53568-00</t>
  </si>
  <si>
    <t>O-53414-00</t>
  </si>
  <si>
    <t>Fedegari FVA2/A1 - Transition joint RTD Sensor PT100 4Wire, Sx, 1/3 DIN, 5x70mm, SSL, 0-150 C 10M; Radix; RTJ201-1-C-S-3-0-NA-XNA-05-0070-10-Si-PN; 1 Pc</t>
  </si>
  <si>
    <t>GL2505051</t>
  </si>
  <si>
    <t>P-10564-00</t>
  </si>
  <si>
    <t>Bearing 6000 2RS H SKF</t>
  </si>
  <si>
    <t>O-16980-00
General - Diaphragm 40 mm ER Grade EPDM; Saunders; DA040ER M4; 1 Pc</t>
  </si>
  <si>
    <t>121703198 - APPROVED</t>
  </si>
  <si>
    <t>O-11181-00</t>
  </si>
  <si>
    <t>Bearing 626-2Z</t>
  </si>
  <si>
    <t>O-17988-00</t>
  </si>
  <si>
    <t>Cam Follow (Idle Pin); INA; KR16-X-PP-A; pc</t>
  </si>
  <si>
    <t>O-18962-00</t>
  </si>
  <si>
    <t>Capping VCM200 - Adjuster Screw Blade; ; ;</t>
  </si>
  <si>
    <t>GL2509450</t>
  </si>
  <si>
    <t>O-20041-00</t>
  </si>
  <si>
    <t>Capping VCM200 - Bearing NKIA5902; INA; ;</t>
  </si>
  <si>
    <t>121703267 - INCOMPLETE</t>
  </si>
  <si>
    <t>O-18963-00</t>
  </si>
  <si>
    <t>Capping VCM200 - Clamp Holder; ; ;</t>
  </si>
  <si>
    <t>O-16706-00</t>
  </si>
  <si>
    <t>Capping VCM200 - Coupling for Encoder NBK MST 32</t>
  </si>
  <si>
    <t>121703078 - APPROVED</t>
  </si>
  <si>
    <t>O-54163-00</t>
  </si>
  <si>
    <t>Capping VCM200 - Fieldline Modular Bus Coupler; Steriline; P/N 201798;</t>
  </si>
  <si>
    <t>O-54164-00</t>
  </si>
  <si>
    <t>Capping VCM200 - Fieldline Modular Device; Steriline; P/N 202024;</t>
  </si>
  <si>
    <t>O-19894-00</t>
  </si>
  <si>
    <t>Capping VCM200 - Guide Starwheel Vial Pom hitam 319x329x17 mm; Custom; ;</t>
  </si>
  <si>
    <t>GL2510476</t>
  </si>
  <si>
    <t>O-18964-00</t>
  </si>
  <si>
    <t>Capping VCM200 - Holder; ; ;</t>
  </si>
  <si>
    <t>O-18120-00</t>
  </si>
  <si>
    <t>Capping VCM200 - Lock Nut Cramping; ; ;</t>
  </si>
  <si>
    <t>GL2507039</t>
  </si>
  <si>
    <t>O-20897-00</t>
  </si>
  <si>
    <t>Capping VCM200 - Oring Silicone 2.5 x 30.50 x 30.50; Custom/Lokal; -; 1 Pc</t>
  </si>
  <si>
    <t>GL2508436</t>
  </si>
  <si>
    <t>O-17073-00</t>
  </si>
  <si>
    <t>Capping VCM200 - Plate P/n: 307790</t>
  </si>
  <si>
    <t>O-18966-00</t>
  </si>
  <si>
    <t>Capping VCM200 - Ring Washer; ; ;</t>
  </si>
  <si>
    <t>O-18344-00</t>
  </si>
  <si>
    <t>Capping VCM200 - Roller trimmer D=48X18 inclination=7 for alucap D=20</t>
  </si>
  <si>
    <t>Hold</t>
  </si>
  <si>
    <t>O-20950-00</t>
  </si>
  <si>
    <t>Capping VCM200 - Silicone Sucker 01.10.10</t>
  </si>
  <si>
    <t>Setara dengan O-15902-00</t>
  </si>
  <si>
    <t>O-21091-00</t>
  </si>
  <si>
    <t>Capping VCM200 - SILICONE SUCKER 01.11.16;</t>
  </si>
  <si>
    <t>O-16981-00
Freeze Dryer MBE1207 - Diaphrapm DA025E2 M4 Saunders CIPTA SOLUSI ANDALAN, PT P/N : - pc</t>
  </si>
  <si>
    <t>Setara dengan O-18345-00</t>
  </si>
  <si>
    <t>O-18965-00</t>
  </si>
  <si>
    <t>Capping VCM200 - Spring Head; ; ;</t>
  </si>
  <si>
    <t>O-19862-00</t>
  </si>
  <si>
    <t>Capping VCM200 - Transfer Plate material SS304Custom</t>
  </si>
  <si>
    <t>O-18967-00</t>
  </si>
  <si>
    <t>Capping VCM200 - Washer A; ; ;</t>
  </si>
  <si>
    <t>O-18968-00</t>
  </si>
  <si>
    <t>Capping VCM200 - Washer B; ; ;</t>
  </si>
  <si>
    <t>O-15567-00</t>
  </si>
  <si>
    <t>CAPS MINIMUM LOAD SENSOR ; HIGH PRECISION OPTICAL FIBER FU-7F</t>
  </si>
  <si>
    <t>Setara dengan O-53439-00</t>
  </si>
  <si>
    <t>O-51651-00</t>
  </si>
  <si>
    <t>CSP 12 s.n. 82.017 - Gear box Bonfiglioli type W63 U24 P80 B5 B3 RB</t>
  </si>
  <si>
    <t>O-15629-00</t>
  </si>
  <si>
    <t>ENCODER ;Sick Stegmann;ABSOLUTE ENCODER A4A08192 GRAY RADIAL CONNECTOR</t>
  </si>
  <si>
    <t>Tidak di Stok</t>
  </si>
  <si>
    <t>P-19410-00</t>
  </si>
  <si>
    <t>General - Bearing NATA5902; IKO; -; 1 pc</t>
  </si>
  <si>
    <t>O-53439-00</t>
  </si>
  <si>
    <t>General - Photoelectric Fiber Sensor Head</t>
  </si>
  <si>
    <t>GL2511302</t>
  </si>
  <si>
    <t>O-15615-00</t>
  </si>
  <si>
    <t>HIGH PRECISION OPTICAL FIBER 10MM WIDTH FU-12; PART NO :201020</t>
  </si>
  <si>
    <t>Setara dengan O-15619-00</t>
  </si>
  <si>
    <t>O-15616-00</t>
  </si>
  <si>
    <t>HIGH PRECISION OPTICAL FIBER FU-7F; PART NO :201061</t>
  </si>
  <si>
    <t>Setara dengan O-15567-00</t>
  </si>
  <si>
    <t>O-15620-00</t>
  </si>
  <si>
    <t>HIGH PRECISION OPTICAL FIBER SUPER TOUGH FLEX FIBERS-FU67V; VIAL CHECK AT INFEED SENSOR ;</t>
  </si>
  <si>
    <t>Sama dengan O-15713-00 Item Inactive</t>
  </si>
  <si>
    <t>O-15731-00</t>
  </si>
  <si>
    <t>KEYENCE; HIGH PRECISION OPTICAL FIBER SUPER TOUGH FLEX FIBERS-FU67V; PART NO :201021</t>
  </si>
  <si>
    <t>O-19005-00</t>
  </si>
  <si>
    <t>Misumi - Linear Shaft PSFAA8-46-F11-P6-M3-N3; ; ;</t>
  </si>
  <si>
    <t>GL2508437</t>
  </si>
  <si>
    <t>O-15621-00</t>
  </si>
  <si>
    <t>MOTOR AND REDUCTION GEAR, BONFIGLIOLI TYPE BN63B4 0.18 KW 50HZ 1320RPM, 3PHASE</t>
  </si>
  <si>
    <t>O-15595-00</t>
  </si>
  <si>
    <t>MOTOR, BONFIGLIOLI TYPE BN63B4 0,18-0,21KW, 50-60HZ 1320RPM;</t>
  </si>
  <si>
    <t>Setara dengan O-15621-00</t>
  </si>
  <si>
    <t>O-18876-00</t>
  </si>
  <si>
    <t>Oring Silicone Merah 40.6x37x1.8 mm; ; ;</t>
  </si>
  <si>
    <t>O-20496-00
General - Diaphragm Grade ER SQUARE Type A EPDM Diaphragm Screw; Saunders; DP008ER; 1 Pc</t>
  </si>
  <si>
    <t>121703275 - INCOMPLETE</t>
  </si>
  <si>
    <t>O-51652-00</t>
  </si>
  <si>
    <t>Safety Sensor, Type : BNS 120-11z, 250mA, 3VA/W,100 VAC/DC,M12 x 1 K-ST; ; ;</t>
  </si>
  <si>
    <t>Setara dengan O-53392-00</t>
  </si>
  <si>
    <t>O-15679-00</t>
  </si>
  <si>
    <t>SECURITY PHOTOCELLS; PART NO :7209</t>
  </si>
  <si>
    <t>O-51735-00</t>
  </si>
  <si>
    <t>SENSOR OPTICAL FIBER, KEYENCE PNP OUTPUT CONNECTOR M8 FS-V31CP AMPLIFIER ;</t>
  </si>
  <si>
    <t>Setara dengan O-54115-00</t>
  </si>
  <si>
    <t>O-18345-00</t>
  </si>
  <si>
    <t>Silicon suction cup 01.11.16 PN: 202082; ; ; (20R)</t>
  </si>
  <si>
    <t>O-16007-00</t>
  </si>
  <si>
    <t>Silicone Sucker 01.10.10; P/N : 201119; ; ;</t>
  </si>
  <si>
    <t>Setara dengan O-20950-00</t>
  </si>
  <si>
    <t>O-15696-00</t>
  </si>
  <si>
    <t>SILICONE SUCKER 01.11.16; PART NO :202082</t>
  </si>
  <si>
    <t>Setara dengan O-21091-00</t>
  </si>
  <si>
    <t>O-15697-00</t>
  </si>
  <si>
    <t>SILICONE SUCKER 01.16.20; PART NO :202370</t>
  </si>
  <si>
    <t>O-15712-00</t>
  </si>
  <si>
    <t>STOPPERS HOPPER MINIMUM LOAD SENSOR ; banner ; WORLD BEAM QS18VP6LAF250Q5 LASER ADJUSTABLE FIELD QS18VP6LAF250</t>
  </si>
  <si>
    <t>sama dengan O-52884-00</t>
  </si>
  <si>
    <t>O-15713-00</t>
  </si>
  <si>
    <t>STOPPERS MINIMUM LOAD LANE 1 SENSOR ; KEYENCE ;HIGH PRECISION OPTICAL FIBER SUPER TOUGH FLEX FIBERS FU-67V</t>
  </si>
  <si>
    <t>Setara dengan O-54116-00</t>
  </si>
  <si>
    <t>O-15714-00</t>
  </si>
  <si>
    <t>STOPPERS MINIMUM LOAD LANE 1 SENSOR ; KEYENCE; AMPLIFIER SENSOR OPTICAL FIBER PNP OUTPUT CONNECTOR M8 FS-V31CP</t>
  </si>
  <si>
    <t>Setara dengan O-51735-00</t>
  </si>
  <si>
    <t>O-15902-00</t>
  </si>
  <si>
    <t>Suction Cup capping size 6R; P/N : 011010; ; ;</t>
  </si>
  <si>
    <t>O-51749-00</t>
  </si>
  <si>
    <t>VIALS MAXIMUM LOAD  SENSOR ; KEYENCE ; AMPLIFIER SENSOR OPTICAL FIBER PNP OUTPUT CONNECTOR M8  code: FS-V31CP;</t>
  </si>
  <si>
    <t>O-53392-00</t>
  </si>
  <si>
    <t>O-16647-00</t>
  </si>
  <si>
    <t>Washing RAR4 - Oring Silicone Merah 23x18x2.5 mm; ; ;</t>
  </si>
  <si>
    <t>O-15569-00</t>
  </si>
  <si>
    <t>CHAMBER AIR INLET PNEUMATIC VALVE ; VP3 ;</t>
  </si>
  <si>
    <t>O-15570-00</t>
  </si>
  <si>
    <t>CHAMBER PRESSURE TRANSDUCER ; TP ;</t>
  </si>
  <si>
    <t>Q-60025-00
Kuas Eterna 1</t>
  </si>
  <si>
    <t>O-14621-00</t>
  </si>
  <si>
    <t>Coil U2 11W 24VDC; Univer; c/n 5233;</t>
  </si>
  <si>
    <t>Ganti festo</t>
  </si>
  <si>
    <t>O-17030-00</t>
  </si>
  <si>
    <t>cRABS Z064CR -  Treaded Three Port Seat Valve VOBG320 3/4inch G</t>
  </si>
  <si>
    <t>Setara dengan O-20951-00</t>
  </si>
  <si>
    <t>O-53479-00</t>
  </si>
  <si>
    <t>cRABS Z064CR - Chilled water Pump, DAB, 60150944, Three-phase pump type EVOPLUS, 80/180 XM power: 22</t>
  </si>
  <si>
    <t>O-53475-00</t>
  </si>
  <si>
    <t>cRABS Z064CR - Cooling water three way Actuator, Coster, 28715, CLNV150, Linear actuator for three w</t>
  </si>
  <si>
    <t>O-53466-00</t>
  </si>
  <si>
    <t>cRABS Z064CR - DOOR SAFETY SWITCHES ; SCHMERSAL ; MAGNET BPS-260</t>
  </si>
  <si>
    <t>O-53461-00</t>
  </si>
  <si>
    <t>cRABS Z064CR - Pressure transmitter -50/ +200 Pa output 4-20 mA 24VDC Precision: +-1%; Model: PIZ (2</t>
  </si>
  <si>
    <t>O-21126-00</t>
  </si>
  <si>
    <t>cRABS Z064CR - Security PHOCELLS 7209 - plastic body; Protection P67; Receiver, max. di</t>
  </si>
  <si>
    <t>O-53465-00</t>
  </si>
  <si>
    <t>cRABS Z064CR - SENSOR PROXIMITY M12 NON FLUSH SHORT PNP NO ; DATA LOGIC</t>
  </si>
  <si>
    <t>O-53455-00</t>
  </si>
  <si>
    <t>cRABS Z064CR - Supply Fan inverter, Ziehl Abegg Frequency converter PXDM6A</t>
  </si>
  <si>
    <t>O-20951-00</t>
  </si>
  <si>
    <t>cRABS Z064CR - Treaded Three Port Seat Valve VOBG320 3/4inch; Steriline; 28725; 1 Pc</t>
  </si>
  <si>
    <t>O-52478-00</t>
  </si>
  <si>
    <t>CRABS Z064CR-Proximity Sensor</t>
  </si>
  <si>
    <t>O-51815-00</t>
  </si>
  <si>
    <t>Digital probe for humidity and temperature; 64939; ; ;</t>
  </si>
  <si>
    <t>T-20123-00
Acquity PDA/TUV 2489/2998 Perf Main Kit (lampu HPLC); Waters; P/N 201000281; 1 pc</t>
  </si>
  <si>
    <t>O-15581-00</t>
  </si>
  <si>
    <t>DOOR SAFETY SWITCHES ; SCHMERSAL ; MAGNET BPS-260</t>
  </si>
  <si>
    <t>Setara dengan O-53466-00</t>
  </si>
  <si>
    <t>O-52430-00</t>
  </si>
  <si>
    <t>Fan KDE2405PFB1-8</t>
  </si>
  <si>
    <t>P-14457-00</t>
  </si>
  <si>
    <t>Filter IAF MBV Series (Medium Filter), efficiency : 90-95 %, Size: 24 x 24 x 12 inch; IAF; ;</t>
  </si>
  <si>
    <t>O-18010-00</t>
  </si>
  <si>
    <t>Fitting SMC P/N : KQ2H08-03AS</t>
  </si>
  <si>
    <t>P-17858-00</t>
  </si>
  <si>
    <t>General - H14 ( 99.999% ) size:305x610x69mm</t>
  </si>
  <si>
    <t>121703273 - INCOMPLETE</t>
  </si>
  <si>
    <t>O-20487-00</t>
  </si>
  <si>
    <t>General - Isolator Glove Smaller glove CSM  (AS : E10330 Y 7 E4); Austar; ; 1 Pc</t>
  </si>
  <si>
    <t>Setara dengan O-16033-00</t>
  </si>
  <si>
    <t>P-13513-00</t>
  </si>
  <si>
    <t>General - Magnehelic Differention Pressure Gauge 0-500Pa</t>
  </si>
  <si>
    <t>O-53391-00</t>
  </si>
  <si>
    <t>General - Profibus Connector Simatic; SIEMENS; 6ES7972-0BA52-0XA0; 1 Pc</t>
  </si>
  <si>
    <t>P-19206-00</t>
  </si>
  <si>
    <t>HB Series (H13) :592x592x292mm Minimum efficiency : 99,99% on 0,3 micron Rec.final resistance:50</t>
  </si>
  <si>
    <t>Q-60026-00
Kuas Cat Uk. 2 inch;Eterna;Tipe 611;pack size per pcs</t>
  </si>
  <si>
    <t>GL2511058</t>
  </si>
  <si>
    <t>O-19384-00</t>
  </si>
  <si>
    <t>HEPA filter minipleat, size: 203x203x69 Class (EN 1822) : H14 - 99,995% MPPS</t>
  </si>
  <si>
    <t>GL2510480</t>
  </si>
  <si>
    <t>O-19382-00</t>
  </si>
  <si>
    <t>HEPA filter minipleat, size: 457x610x69 Class (EN 1822) : H14 - 99,995% MPPS</t>
  </si>
  <si>
    <t>O-19391-00</t>
  </si>
  <si>
    <t>HEPA filter minipleat, size: 610X305X93 H13</t>
  </si>
  <si>
    <t>121703076 - APPROVED</t>
  </si>
  <si>
    <t>O-19390-00</t>
  </si>
  <si>
    <t>HEPA filter minipleat, size: 610X610X93 H13</t>
  </si>
  <si>
    <t>O-19383-00</t>
  </si>
  <si>
    <t>HEPA filter minipleat, size: 762x457x69 Class (EN 1822) : H14 - 99,995% MPPS</t>
  </si>
  <si>
    <t>GL2509454</t>
  </si>
  <si>
    <t>O-19345-00</t>
  </si>
  <si>
    <t>HEPA filter minipleat, size: 762x610x69 Class (EN 1822) : H14 - 99,995% MPPS</t>
  </si>
  <si>
    <t>O-19344-00</t>
  </si>
  <si>
    <t>O-19343-00</t>
  </si>
  <si>
    <t>HEPA filter minipleat, size: 915x762x69 Class (EN 1822) : H14 - 99,995% MPPS</t>
  </si>
  <si>
    <t>O-51875-00</t>
  </si>
  <si>
    <t>HF520-EX TRANSMITTER Model HF520-EX-DBX-XX1XX, DUCT MOUNT 15 x 130 mm, HUMIDITY RANGE 0-100 %RH, NO; ; ;</t>
  </si>
  <si>
    <t>T-20055-00
PerformancePlus Check Valve Cartridge; Waters; p/n 700002399;</t>
  </si>
  <si>
    <t>Exclude, sudah tidak butuh</t>
  </si>
  <si>
    <t>O-53194-00</t>
  </si>
  <si>
    <t>INLET AIR SPEED PRESSURE TRANSMITTER - Pressure transmitter 0-500 Pa output 4-20 mA 10-32VDC Precision:+-1% Model: P-Sensor/PIZ (2 wires) Sheet no. 419-04 Serial no. AB351181  9276/297 Halstrup</t>
  </si>
  <si>
    <t>Sudah Datang</t>
  </si>
  <si>
    <t>O-52984-00</t>
  </si>
  <si>
    <t>Inverter Power Module PM240-2 2,2KW Sinamic</t>
  </si>
  <si>
    <t>Stok Capex</t>
  </si>
  <si>
    <t>Masih ada Stok Capex</t>
  </si>
  <si>
    <t>O-52985-00</t>
  </si>
  <si>
    <t>Inverter Power Module PM240-2 7,5KW Sinamic</t>
  </si>
  <si>
    <t>O-52818-00</t>
  </si>
  <si>
    <t>Inverter SINAMICS Power Module PM240-2 6SL3210-1PE16-1AL1 1.5 KW</t>
  </si>
  <si>
    <t>Ada Stok Capex</t>
  </si>
  <si>
    <t>O-14449-00</t>
  </si>
  <si>
    <t>Isolator Glove Piercan 97800Y94/10 Material: Hypalon One Piece Fulled Dipped, White</t>
  </si>
  <si>
    <t>O-16033-00</t>
  </si>
  <si>
    <t>Isolator Gloves E10330 Y 7 E4 4; 000156; Material : CSM; Shape : E10; Size : 7; Thickness (mm) : 4/1; ; ;</t>
  </si>
  <si>
    <t>O-16031-00</t>
  </si>
  <si>
    <t>Isolator Gloves E10330 Y 8 E4 4;000160; Material : CSM; Shape : E10; Size : 8; Thickness (mm) : 4/10; ; ;</t>
  </si>
  <si>
    <t>Tidak di Stok, Setara dengan O-16033-00</t>
  </si>
  <si>
    <t>O-19380-00</t>
  </si>
  <si>
    <t>Minipleat filters panel F781, size: 610x610x292 Class (EN 1822) : H14 - 99,995% MPPS</t>
  </si>
  <si>
    <t>O-19381-00</t>
  </si>
  <si>
    <t>O-19386-00</t>
  </si>
  <si>
    <t>Q-10715-00
Lem PVC Isarplas Kuas @400gr; ; ;</t>
  </si>
  <si>
    <t>O-17534-00</t>
  </si>
  <si>
    <t>Oring Viton 234x5.3 mm</t>
  </si>
  <si>
    <t>O-51819-00</t>
  </si>
  <si>
    <t>Pressure transmitter -50/ +200 Pa output 4-20 mA 24VDC Precision: +-1%; Model: PIZ (2 wires); P/N :; ; ;</t>
  </si>
  <si>
    <t>Setara dengan O-53461-00</t>
  </si>
  <si>
    <t>O-15656-00</t>
  </si>
  <si>
    <t>PRESSURE TRANSMITTER ; HALSTRUP : 0-250PA OUTPUT 4-20MA 24VDC PRECISION: +-1%; MODEL: P; SENSOR/PIZ (2 WIRES); SHEET NO. 465-01; SERIAL NO. AA072399;  ;</t>
  </si>
  <si>
    <t>Setara dengan O-53197-00</t>
  </si>
  <si>
    <t>O-51704-00</t>
  </si>
  <si>
    <t>PRESSURE TRANSMITTER ;HALSTRUP ; 0-100PA OUTPUT 4-20 MA 24VDC PRECISION:+-1%; MODEL: P-SENSOR-PIZ (2 WIRES); SHEET NO. 466-02;SERIAL NO. AA030269;</t>
  </si>
  <si>
    <t>Setara dengan O-53198-00</t>
  </si>
  <si>
    <t>O-54031-00</t>
  </si>
  <si>
    <t>Profibus Connector SIEMENS, Simatic DP 6ES7972-0BA52-0XA0</t>
  </si>
  <si>
    <t>Setara dengan O-53391-00</t>
  </si>
  <si>
    <t>O-51818-00</t>
  </si>
  <si>
    <t>RTD - Single Element. Built according to directive 94/9/CE ATEX II 2GD Ex d IIC T6; Temperature Rang; ; ;</t>
  </si>
  <si>
    <t>O-52317-00</t>
  </si>
  <si>
    <t>Safety Relay F3SP-U3P-TGR</t>
  </si>
  <si>
    <t>O-51738-00</t>
  </si>
  <si>
    <t>SENSOR PROXIMITY ,SCHMERSAL ;  BNS-260 FOR DOOR PART NO 14056</t>
  </si>
  <si>
    <t>Setara dengan O-52478-00</t>
  </si>
  <si>
    <t>O-51740-00</t>
  </si>
  <si>
    <t>SENSOR PROXIMITY M12 NON FLUSH SHORT PNP NO ; DATA LOGIC</t>
  </si>
  <si>
    <t>Setara dengan O-53465-00</t>
  </si>
  <si>
    <t>O-18009-00</t>
  </si>
  <si>
    <t>Silincer SMC P/N : AN30-03</t>
  </si>
  <si>
    <t>O-16032-00</t>
  </si>
  <si>
    <t>Sleeves M200/90 Y 550 E4 Bt5/5 BJ;001643;Material : CSM; Shape : 200/90; Thickness (mm) : 4/10; Leng; ; ;</t>
  </si>
  <si>
    <t>Q-10517-00
Scraper / Kape Besi</t>
  </si>
  <si>
    <t>Setara dengan O-21720-00</t>
  </si>
  <si>
    <t>O-14617-00</t>
  </si>
  <si>
    <t>Solenoid valve 2/2 ways NC 4,5mm; ; c/n 28582;</t>
  </si>
  <si>
    <t>O-52250-00</t>
  </si>
  <si>
    <t>Tunnel ST1L - END Module 750-600 Wago</t>
  </si>
  <si>
    <t>O-51309-00</t>
  </si>
  <si>
    <t>WAGO 750-333 I/O SYSTEM PROFIBUS DP/FMS-12 MBAUD-DPV1-COUPL; ; ;</t>
  </si>
  <si>
    <t>O-51772-00</t>
  </si>
  <si>
    <t>WAGO 750-402 4-CHANNEL DIGITAL INPUT MODULE STD PACK; ; ;</t>
  </si>
  <si>
    <t>O-51769-00</t>
  </si>
  <si>
    <t>WAGO 750-430 8-CHANNEL DIGITAL INPUT MODULE STD PACK; ; ;</t>
  </si>
  <si>
    <t>O-51774-00</t>
  </si>
  <si>
    <t>WAGO 750-472 2-CHANNEL ANALOG INPUT MODULE STD PACK; ; ;</t>
  </si>
  <si>
    <t>O-51771-00</t>
  </si>
  <si>
    <t>WAGO 750-501 2-CHANNEL DIGITAL OUTPUT MODULE STD PACK; ; ;</t>
  </si>
  <si>
    <t>O-51768-00</t>
  </si>
  <si>
    <t>WAGO 750-513 2-CHANNEL RELAY OUTPUT MODULE STD PACK; ; ;</t>
  </si>
  <si>
    <t>O-51767-00</t>
  </si>
  <si>
    <t>WAGO 750-530 8-CHANNEL DIGITAL OUTPUT MODULE STD PACK; ; ;</t>
  </si>
  <si>
    <t>O-51773-00</t>
  </si>
  <si>
    <t>WAGO 750-550 2-CHANNEL ANALOG OUTPUT MODULE STD PACK; ; ;</t>
  </si>
  <si>
    <t>Q-10302-00
Compound Gypsum; ; ;</t>
  </si>
  <si>
    <t>O-51874-00</t>
  </si>
  <si>
    <t>Wall Mount Probe With 140 mm Probe Length, Model : HC2-SM-EX; ; ;</t>
  </si>
  <si>
    <t>O-53473-00</t>
  </si>
  <si>
    <t>EDM EDM1 - C.A. BLOWING VALVE ACTUATOR, Univer, 5125, DA-0051, Coil U1 3,5W 24VDC</t>
  </si>
  <si>
    <t>O-53474-00</t>
  </si>
  <si>
    <t>EDM EDM1 - C.A. BLOWING VALVE ACTUATOR, Univer, 6869, CL-302A, Valve CL 1/8" 3 ways 2 positions, N.C</t>
  </si>
  <si>
    <t>O-53456-00</t>
  </si>
  <si>
    <t>EDM EDM1 - MAXIMUM LOAD AT INFEED SENSOR, Omron, E3Z-LS86, Photocell settable distances, type PNP, D</t>
  </si>
  <si>
    <t>O-53457-00</t>
  </si>
  <si>
    <t>EDM EDM1 - Motor Starwheel - Motor TG63 0,18 kW - 4P - B5 - 230V - 50 Hz MEC63; encoder 1000 I/G Lin</t>
  </si>
  <si>
    <t>O-21092-00</t>
  </si>
  <si>
    <t>EDM EDM1 - PNEUMATIC MEMBRANE VALVE 1/2' (DN15) 605 15 D 80 40 17 10/N 1536</t>
  </si>
  <si>
    <t>O-53460-00</t>
  </si>
  <si>
    <t>EDM EDM1 - Pressure transmitter -100 / +100Pa output 4-20 mA 24VDC Precision: +-1% ; Model: PIZ (2 w</t>
  </si>
  <si>
    <t>O-53487-00</t>
  </si>
  <si>
    <t>EDM EDM1 - PRESSURE TRANSMITTER; 0-10 BAR; PRECISION 0,25% FS; OUTPUT 4/20 MA, 24VDC, 2-WIRES; CONTA</t>
  </si>
  <si>
    <t>Q-10136-00
TOTO - Kran T23BQ13N</t>
  </si>
  <si>
    <t>O-21031-00</t>
  </si>
  <si>
    <t>EDM EDM1 - Spare Working Diaphragm EPDM DN 10-20mm Type 612,625</t>
  </si>
  <si>
    <t>O-51718-00</t>
  </si>
  <si>
    <t>FORK SENSOR MODEL  WFL80-60B416; CONNECTOR M8 4PIN, PNP-NPN, TEACH-IN; FORK DEPTH: 60MM
FORK HIGHT: 80MM;</t>
  </si>
  <si>
    <t>Setara dengan O-51677-00</t>
  </si>
  <si>
    <t>O-51677-00</t>
  </si>
  <si>
    <t>Fork Sensor; brand SICK; type WFL80-60B416; Part No: 6036833 (Steriline No : 22179 )</t>
  </si>
  <si>
    <t>P-13787-00</t>
  </si>
  <si>
    <t>IAF HB Series (H13) Minimun effeciency : 99.99% on 0.3 micron ; Size : 305x305x292mm IAF</t>
  </si>
  <si>
    <t>O-15652-00</t>
  </si>
  <si>
    <t>PNEUMATIC MEMBRANE VALVE 1/2' (DN15); STERILINE ; PART NO :5189</t>
  </si>
  <si>
    <t>Setara dengan O-21092-00</t>
  </si>
  <si>
    <t>O-51821-00</t>
  </si>
  <si>
    <t>Pressure transmitter -100 / +100Pa output 4-20 mA 24VDC Precision: +-1% ; Model: PIZ (2 wires); P/N; ; ;</t>
  </si>
  <si>
    <t>Setara dengan O-53460-00</t>
  </si>
  <si>
    <t>O-15733-00</t>
  </si>
  <si>
    <t>PRESSURE TRANSMITTER ; GEFRAN 0-10 BAR, PRECISION 0,25% FS; OUTPUT 4/20 MA, 24VDC, 2-WIRES
AISI 316L; SERIAL NO. 12210317; CON 1 1/2" TRI-CLAMP, ELECT CON: 5-PIN - M12X1, IP67</t>
  </si>
  <si>
    <t>Setara dengan O-51730-00</t>
  </si>
  <si>
    <t>O-51730-00</t>
  </si>
  <si>
    <t>PRESSURE TRANSMITTER; GEFRAN 0-10 BAR; PRECISION 0,25% FS; OUTPUT 4/20 MA, 24VDC, 2-WIRES; CONTACT MATERIAL: AISI 316L; INOX 1 1/2" TRI-CLAMP; ELECTRICAL CONNECTION: 5-PIN - M12X1; IP67; SERIAL NO. 12210291; P/N: 16866</t>
  </si>
  <si>
    <t>Setara dengan O-53487-00</t>
  </si>
  <si>
    <t>O-51678-00</t>
  </si>
  <si>
    <t>Proximity Sensors M8, connector M12 PNP-NO, working distance 3mm 32,50 code IS-08-G1-S2, Part No : 9; ; ;</t>
  </si>
  <si>
    <t>O-18446-00</t>
  </si>
  <si>
    <t>Silicone Guide Infeed</t>
  </si>
  <si>
    <t>O-18447-00</t>
  </si>
  <si>
    <t>Silicone Guide Outfeed</t>
  </si>
  <si>
    <t>P-13429-00
Cable Ducting 25x40mm; ; ; - PUTIH</t>
  </si>
  <si>
    <t>P-18672-00</t>
  </si>
  <si>
    <t>Heavy clamp ferrule 1/2 - 3/4 inch; SS304L;</t>
  </si>
  <si>
    <t>O-19798-00</t>
  </si>
  <si>
    <t>Clamp Vacuum KF16 Alumunium</t>
  </si>
  <si>
    <t>O-51701-00</t>
  </si>
  <si>
    <t>COIL FOR REFRIGERATION SOLENOID VALVES(DC24V)</t>
  </si>
  <si>
    <t>Setara dengan O-52845-00</t>
  </si>
  <si>
    <t>O-15584-00</t>
  </si>
  <si>
    <t>DRY VACUUM PUMP OIL(MOBIL SHC 629A ANTIWARE SYNTHETIC GEAR OIL 150CST,4L/BARREL)</t>
  </si>
  <si>
    <t>O-14639-00</t>
  </si>
  <si>
    <t>EPDM Gasket for Ferrule dia. 1/2"</t>
  </si>
  <si>
    <t>O-18560-00</t>
  </si>
  <si>
    <t>FD Lyofast 10 - hydraulically Balanced Valve EB02-00595 Disused:CMB 20/T-N_FLUCOM Replaced by:M8596N</t>
  </si>
  <si>
    <t>O-16317-00</t>
  </si>
  <si>
    <t>FD Lyofast 10 - Oli Vaccum Ultragrade 20 Edwards</t>
  </si>
  <si>
    <t>O-52656-00</t>
  </si>
  <si>
    <t>FD Lyofast 10 - Vacuum Regulating Valve Controller EDF23-00544 Disused:1249A Replaced by:1249B INP:4; ; ;</t>
  </si>
  <si>
    <t>O-18559-00</t>
  </si>
  <si>
    <t>FD Lyofast 10 - Vacuum Regulating Valve EB22-00710 Disused:0248A-5000SV+1249A Replaced by:MKS_0248D,</t>
  </si>
  <si>
    <t>O-53093-00</t>
  </si>
  <si>
    <t>FD S/N MBE1207 - Amplifier SE3AN21RS1603</t>
  </si>
  <si>
    <t>T-20725-00
Performance Plus Check Valve Housing; Waters; 700002332;</t>
  </si>
  <si>
    <t>O-15875-00</t>
  </si>
  <si>
    <t>Flexible Plate; Material = SUS316 L T= 1.2mm; ; ;</t>
  </si>
  <si>
    <t>Setara dengan O-19822-00</t>
  </si>
  <si>
    <t>O-19810-00</t>
  </si>
  <si>
    <t>Freeze Dryer Lyofast 10 - Gasket Teflon 45x41x1.5</t>
  </si>
  <si>
    <t>O-16982-00</t>
  </si>
  <si>
    <t>Freeze Dryer Lyofast 10 - Membran Valve, SAUNDERS, , DA008ER, 1/2", ,</t>
  </si>
  <si>
    <t>Setara dengan O-20496-00</t>
  </si>
  <si>
    <t>O-19901-00</t>
  </si>
  <si>
    <t>Freeze Dryer Lyofast 10 - New Seat Valve Dia 36x22x7</t>
  </si>
  <si>
    <t>O-21127-00</t>
  </si>
  <si>
    <t>Freeze Dryer Lyofast 10 - Sight Glass Seal Silicone O-ring OD 170,6 ID 160 Tebal 5.3</t>
  </si>
  <si>
    <t>O-16984-00</t>
  </si>
  <si>
    <t>Freeze Dryer MBE1207 - Butterfly Valve SS316 DN65 P/n: EB14-00067 BRAY</t>
  </si>
  <si>
    <t>O-16150-00</t>
  </si>
  <si>
    <t>Freeze Dryer MBE1207 - Complete O-Ring/Gasket Set for main valve's below</t>
  </si>
  <si>
    <t>Breakdown</t>
  </si>
  <si>
    <t>O-16981-00</t>
  </si>
  <si>
    <t>Freeze Dryer MBE1207 - Diaphrapm DA025E2 M4 Saunders</t>
  </si>
  <si>
    <t>O-16980-00</t>
  </si>
  <si>
    <t>Freeze Dryer MBE1207 - Diaphrapm DA040E2 M4 Saunders</t>
  </si>
  <si>
    <t>O-19214-00</t>
  </si>
  <si>
    <t>Freeze Dryer MBE1207 - Expansi Valve TE 5 067B3343 R404A/R507</t>
  </si>
  <si>
    <t>O-18929-00</t>
  </si>
  <si>
    <t>Freeze Dryer MBE1207 - FILTER Cartridge SANRONG FILTER ELEMENT for SFR487T Housing P/N : EDF16-01060; ; ;</t>
  </si>
  <si>
    <t>O-51775-00
WAGO 750-461 2-CHANNEL ANALOG INPUT MODULE STD PACK: 1EA</t>
  </si>
  <si>
    <t>O-53150-00</t>
  </si>
  <si>
    <t>Freeze Dryer MBE1207 - FV401 Pneumativ Actuator 9611416301; Alfalaval; EB50-00044; 1 Pc</t>
  </si>
  <si>
    <t>P-18667-00</t>
  </si>
  <si>
    <t>Freeze Dryer MBE1207 - Gasket Slot Door Silicone dia 13 mm @ 10</t>
  </si>
  <si>
    <t>O-17998-00</t>
  </si>
  <si>
    <t>Freeze Dryer MBE1207 - Main Door Gasket P/N : EB41-00568</t>
  </si>
  <si>
    <t>O-17285-00</t>
  </si>
  <si>
    <t>Freeze Dryer MBE1207 - Main Valve Bellow SUS316L ST105*75</t>
  </si>
  <si>
    <t>Barang Sudah Datang</t>
  </si>
  <si>
    <t>O-52841-00</t>
  </si>
  <si>
    <t>Freeze Dryer MBE1207 - Mechanical Positioner Switch 50-0406-12610-532 P/n: EB14-00072</t>
  </si>
  <si>
    <t>O-17997-00</t>
  </si>
  <si>
    <t>Freeze Dryer MBE1207 - Mushroom Seal P/N : EBSF0005AR0</t>
  </si>
  <si>
    <t>O-18892-00</t>
  </si>
  <si>
    <t>Freeze Dryer MBE1207 - MV1161 Receiver Valve, 1/4 Inch SAE Flare 1/4 Inch NPT Direct p/n: EB15-00321</t>
  </si>
  <si>
    <t>O-18893-00</t>
  </si>
  <si>
    <t>Freeze Dryer MBE1207 - MV1250 Angle Valve 1x3/4 Inch-12UNF 1x3/8 Inch ODF p/n:EB15-00755</t>
  </si>
  <si>
    <t>O-18918-00</t>
  </si>
  <si>
    <t>Freeze Dryer MBE1207 - Oil Cooling Heat Exchanger B25THx20/1P-SC-S; SWEP; ;</t>
  </si>
  <si>
    <t>O-18917-00</t>
  </si>
  <si>
    <t>Freeze Dryer MBE1207 - OIL COOLING WATER REGULATOR 003N0107 AVTA15 G 1/2 Inch Kv=1.9m3/h Temperature</t>
  </si>
  <si>
    <t>O-19213-00</t>
  </si>
  <si>
    <t>Freeze Dryer MBE1207 - Orifice 04 for Expansi Valve TE5 067B2792</t>
  </si>
  <si>
    <t>Q-10829-00
Cat Ambiance Lakestone 44537M Tinting; Dulux; ;</t>
  </si>
  <si>
    <t>O-19212-00</t>
  </si>
  <si>
    <t>Freeze Dryer MBE1207 - Orifice No. 03 068-2006</t>
  </si>
  <si>
    <t>O-20475-00</t>
  </si>
  <si>
    <t>Freeze Dryer MBE1207 - Oring Silicone 5x39x49 mm LPRV</t>
  </si>
  <si>
    <t>O-18912-00</t>
  </si>
  <si>
    <t>Freeze Dryer MBE1207 - Pneumatic Actuator 92-063-11300-532 Double Actuating P/n: EB14-00083; BRAY; ;</t>
  </si>
  <si>
    <t>O-18915-00</t>
  </si>
  <si>
    <t>Freeze Dryer MBE1207 - Pneumatic Actuator 93-0635FC-11300-532 P/n: EB14-00085</t>
  </si>
  <si>
    <t>O-52942-00</t>
  </si>
  <si>
    <t>Freeze Dryer MBE1207 - Pressure Transmitter Type : 402050/000 TN: 43008803 04 bar absolute 420 mA, 2</t>
  </si>
  <si>
    <t>O-19777-00</t>
  </si>
  <si>
    <t>Freeze Dryer MBE1207 - Silicone O-ring 243x5.3 for main valve bellows; ; EB41-00314;</t>
  </si>
  <si>
    <t>O-17996-00</t>
  </si>
  <si>
    <t>Freeze Dryer MBE1207 - Slot Door Pressure Gasket P/N : EDF01-02008; ; ;</t>
  </si>
  <si>
    <t>O-17995-00</t>
  </si>
  <si>
    <t>Freeze Dryer MBE1207 - Slot Door Vacuum Gasket dia.12.7 P/N : EB41-00517</t>
  </si>
  <si>
    <t>Setara dengan P-18667-00</t>
  </si>
  <si>
    <t>P-52767-00</t>
  </si>
  <si>
    <t>Freeze Dryer MBE1207 - Solenoid Valve 5/8 Inch EVR 15 032F1228</t>
  </si>
  <si>
    <t>O-18891-00</t>
  </si>
  <si>
    <t>Freeze Dryer MBE1207 - SV102 Coil 018F6857 DC24V p/n: EB15-00306</t>
  </si>
  <si>
    <t>O-18890-00</t>
  </si>
  <si>
    <t>Freeze Dryer MBE1207 - SV102 Valve body 032L1212(Replace the old model 032F1212) EVR6 3/8 Inch p/n:</t>
  </si>
  <si>
    <t>O-52845-00</t>
  </si>
  <si>
    <t>Freeze Dryer MBE1207 - SV169 Coil MKC-1 AC220V P/n: EB15-00507</t>
  </si>
  <si>
    <t>O-52831-00</t>
  </si>
  <si>
    <t>Freeze Dryer MBE1207 - SV169 MYCOM COMPLETE SOLENOLD VALVE, XOF-240V1 include valve body and coil P/</t>
  </si>
  <si>
    <t>GL2503058</t>
  </si>
  <si>
    <t>O-52826-00</t>
  </si>
  <si>
    <t>Freeze Dryer MBE1207 - SV55 252072 6213 S.Sᒣ I/O: NPT1/4 Inch Orifice:10mm Kv=2m3/h NC DC24V p/n</t>
  </si>
  <si>
    <t>Q-10460-00
Magnetic door stopper; Dekson; Part No. MDS 889 SN;</t>
  </si>
  <si>
    <t>O-52825-00</t>
  </si>
  <si>
    <t>Freeze Dryer MBE1207 - SV55 252072 6213 S.Sᒣ I/O: NPT1/4 Inch Orifice:10mm Kv=2m3/h NC DC24V p/n; BURKERT; ;</t>
  </si>
  <si>
    <t>O-20026-00</t>
  </si>
  <si>
    <t>Freeze Dryer MBE1207 - Temperature Probe PT100 DIN 43760 316 SS Teflon AWG #26 Class A</t>
  </si>
  <si>
    <t>Setara dengan O-53516-00</t>
  </si>
  <si>
    <t>O-18108-00</t>
  </si>
  <si>
    <t>Freeze Dryer MBE1207 - Therm.Exp.Valve TE2 R404A/R507A 068Z3403</t>
  </si>
  <si>
    <t>O-19211-00</t>
  </si>
  <si>
    <t>Freeze Dryer MBE1207 - Thermal Expansi Valve TE 2 3/8 Inch (In)1/2 Inch (Out) 068Z3411</t>
  </si>
  <si>
    <t>O-18916-00</t>
  </si>
  <si>
    <t>Freeze Dryer MBE1207 - Valve Body S20 DN25 ANSI150 Flg BODY CI DISC:316SS STEM 316SS P/n: EB14-00063</t>
  </si>
  <si>
    <t>O-18914-00</t>
  </si>
  <si>
    <t>Freeze Dryer MBE1207 - Valve Body S20 DN40 ANSI150 Flg BODY:CI DISC:316SS Mirror finish STEM 316SS P</t>
  </si>
  <si>
    <t>O-18913-00</t>
  </si>
  <si>
    <t>Freeze Dryer MBE1207 - Valve Body S20 DN40 ANSI150 Flg BODY:CI DISC:316SS STEM 316SS P/n: EB14-00064</t>
  </si>
  <si>
    <t>P-18725-00</t>
  </si>
  <si>
    <t>Freon Refrigerant Chemours Suva R507</t>
  </si>
  <si>
    <t>Stok ada 4</t>
  </si>
  <si>
    <t>P-17867-00</t>
  </si>
  <si>
    <t>General - Clamp Ferrule SS304 2 Inch</t>
  </si>
  <si>
    <t>P-14377-00</t>
  </si>
  <si>
    <t>General - Gasket Ferrule EPDM 1 Inch</t>
  </si>
  <si>
    <t>O-19591-00</t>
  </si>
  <si>
    <t>Grease for High Vacuum GR AR555; Kluber; ;</t>
  </si>
  <si>
    <t>Masih ada Stok</t>
  </si>
  <si>
    <t>P-18665-00</t>
  </si>
  <si>
    <t>Heavy clamp ferrule 1 - 1 1/2 inch; SS304L</t>
  </si>
  <si>
    <t>P-18664-00</t>
  </si>
  <si>
    <t>Heavy clamp ferrule 2 inch; SS304L;</t>
  </si>
  <si>
    <t>O-53026-00</t>
  </si>
  <si>
    <t>LKB butterfly valve,ISO2037; 316L+EPDM; weld ends: 51x1.2 + Actruator: 304 SS Spring Return, NC + MiAlfalavalFV401</t>
  </si>
  <si>
    <t>Q-50013-00
Frame or Perimeter Seal RP48 White; Raven; R48W6; 6 meter/pck</t>
  </si>
  <si>
    <t>O-54122-00</t>
  </si>
  <si>
    <t>O-RING 106X5.30; Freeze Dryer MBE1207; P/N EB41-00292; pack size per pc</t>
  </si>
  <si>
    <t>121703272 - INCOMPLETE</t>
  </si>
  <si>
    <t>O-54123-00</t>
  </si>
  <si>
    <t>O-RING 132X5.30; Freeze Dryer MBE1207; P/N EB41-00298; pack size per pc</t>
  </si>
  <si>
    <t>GL2508026</t>
  </si>
  <si>
    <t>O-54121-00</t>
  </si>
  <si>
    <t>O-RING 180X3.55; Freeze Dryer MBE1207; P/N EB41-00357; pack size per pc</t>
  </si>
  <si>
    <t>O-54124-00</t>
  </si>
  <si>
    <t>O-RING 345X5.30; Freeze Dryer MBE1207; P/N EB41-00320; pack size per pc</t>
  </si>
  <si>
    <t>O-54120-00</t>
  </si>
  <si>
    <t>O-RING 8X1.8; Freeze Dryer MBE1207; P/N EB41-00336; pack size per pc</t>
  </si>
  <si>
    <t>P-19144-00</t>
  </si>
  <si>
    <t>O-ring Silicon Diameter 5,33mm; Lokal; ;</t>
  </si>
  <si>
    <t>O-19379-00</t>
  </si>
  <si>
    <t>Oli Refrigeration; Xaerus; XR 534-46;</t>
  </si>
  <si>
    <t>O-19848-00</t>
  </si>
  <si>
    <t>Pneumatic ball valve_1 inch weldedWORCESTEREDF50-00196</t>
  </si>
  <si>
    <t>P-11391-00</t>
  </si>
  <si>
    <t>Seal Ferrule EPDM 1.5" (35 x 53 x 9)</t>
  </si>
  <si>
    <t>P-11392-00</t>
  </si>
  <si>
    <t>Seal Ferrule EPDM 2"</t>
  </si>
  <si>
    <t>P-11393-00</t>
  </si>
  <si>
    <t>Seal Ferrule EPDM 3"</t>
  </si>
  <si>
    <t>O-54119-00</t>
  </si>
  <si>
    <t>Shelf Bellows</t>
  </si>
  <si>
    <t>P-14957-00</t>
  </si>
  <si>
    <t>Straight Union KQ2H08-00A; ; ;</t>
  </si>
  <si>
    <t>O-11109-00</t>
  </si>
  <si>
    <t>Bearing 6002-2RSH</t>
  </si>
  <si>
    <t>O-18041-00</t>
  </si>
  <si>
    <t>Bearing 624 ZZ</t>
  </si>
  <si>
    <t>O-15566-00</t>
  </si>
  <si>
    <t>CAPS HOPPER MINIMUM LOAD SENSOR ; WORLD BEAM QS18VP6LAF250Q5 LASER ADJUSTABLE FIELD</t>
  </si>
  <si>
    <t>T-25454-00
Filter Flag, 2998, Classic; Waters; 700003767;</t>
  </si>
  <si>
    <t>Setara dengan O-15712-00</t>
  </si>
  <si>
    <t>P-14993-00</t>
  </si>
  <si>
    <t>Ferrule to Hose 1,5 inch x 7mm</t>
  </si>
  <si>
    <t>GL2509023</t>
  </si>
  <si>
    <t>O-54115-00</t>
  </si>
  <si>
    <t>Fiber Amplifier - FS-V31CP</t>
  </si>
  <si>
    <t>O-54116-00</t>
  </si>
  <si>
    <t>Fiber Reflective - FU-67V</t>
  </si>
  <si>
    <t>O-51717-00</t>
  </si>
  <si>
    <t>FILLING PUMPS ROTATION CLUTCH SENSOR ; DATA LOGIC; SENSOR DIA. 12MM, 10-30 VDC PNP NC, M12 CONNECTION</t>
  </si>
  <si>
    <t>Setara dengan O-53458-00</t>
  </si>
  <si>
    <t>O-53484-00</t>
  </si>
  <si>
    <t>Filling VFM100 - Filler Main Servo Motor G5 220V, 750W, 2.4 Nm, 3000 rpm, 204156</t>
  </si>
  <si>
    <t>O-53458-00</t>
  </si>
  <si>
    <t>Filling VFM100 - FILLING PUMPS ROTATION CLUTCH SENSOR ; DATA LOGIC; SENSOR DIA. 12MM, 10-30 VDC PNP</t>
  </si>
  <si>
    <t>O-53211-00</t>
  </si>
  <si>
    <t>Filling VFM100 - Flow meter 40-500 NL/H (201787);INOX;Model 1900;</t>
  </si>
  <si>
    <t>O-53485-00</t>
  </si>
  <si>
    <t>Filling VFM100 - Infeed Starwheel Servo Motor G5 220V, 200W, 0.64 Nm, 3000 rpm, 204154</t>
  </si>
  <si>
    <t>O-52884-00</t>
  </si>
  <si>
    <t>Filling VFM100 - Laser Sensor World beam QS18VP6LAF250Q5 10-30 VDC</t>
  </si>
  <si>
    <t>O-53483-00</t>
  </si>
  <si>
    <t>Filling VFM100 - NITROGEN PRE-GAS POST-GAS PINCH VALVE, S106-08 , Pinch Valve with coil 24VDC 13W ,</t>
  </si>
  <si>
    <t>P-18620-00</t>
  </si>
  <si>
    <t>Filling VFM100 - Piringan Loadcell Material SUS304</t>
  </si>
  <si>
    <t>Coba Trial</t>
  </si>
  <si>
    <t>O-53462-00</t>
  </si>
  <si>
    <t>Filling VFM100 - PROXIMITY SENSOR, DATALOGIC  M12 NON FLUSH SHORT PNP NO IS-12-D1-S2</t>
  </si>
  <si>
    <t>O-53463-00</t>
  </si>
  <si>
    <t>Filling VFM100 - PROXIMITY SENSOR, DATALOGIC  M8 FLUSH 2X PNP NC IS-08-G2-S1</t>
  </si>
  <si>
    <t>O-53464-00</t>
  </si>
  <si>
    <t>Filling VFM100 - SENSOR NO 10-30 VDC, 200MA; NITROGEN POST-GAS  FLOW CHECK SENSOR</t>
  </si>
  <si>
    <t>O-53481-00</t>
  </si>
  <si>
    <t>Filling VFM100 - TEMPERATURE PROBE ;  MODEL PT100 SINGLE ELEMENT, 3 WIRES, DIAMETER 3MM, LENGTH 250M</t>
  </si>
  <si>
    <t>T-20215-00
ASSY PCB DEGASSER QSPI MULTI-PERS, Waters, Part No. 700002511</t>
  </si>
  <si>
    <t>O-53482-00</t>
  </si>
  <si>
    <t>Filling VFM100 - VACUUM LEVEL SWITCH ; DIGITAL VACUUM LEVEL SWITCH Code: 120511</t>
  </si>
  <si>
    <t>O-53459-00</t>
  </si>
  <si>
    <t>Filling VFM100 - Vacuum pump Motor, Becker, D80 B4 P, Vacuum pump type VT 4.16 50/60Hz</t>
  </si>
  <si>
    <t>O-53478-00</t>
  </si>
  <si>
    <t>Filling VFM100 - Vacuump pump Vane balde; VT 4.16</t>
  </si>
  <si>
    <t>O-15594-00</t>
  </si>
  <si>
    <t>FLOWMETER + REGULATOR PRE GAS/POST GAS; ASA</t>
  </si>
  <si>
    <t>Setara dengan O-53211-00</t>
  </si>
  <si>
    <t>O-15611-00</t>
  </si>
  <si>
    <t>GEAR MOTOR N100/SO + UFR1 - UL;HALSTRUP SAIA ;  PART NO :19474</t>
  </si>
  <si>
    <t>Setara dengan O-53199-00</t>
  </si>
  <si>
    <t>O-20992-00</t>
  </si>
  <si>
    <t>General - Spare Membrane diaphragm MA8 PTFE/EPDM</t>
  </si>
  <si>
    <t>121703253 - APPROVED</t>
  </si>
  <si>
    <t>O-15619-00</t>
  </si>
  <si>
    <t>HIGH PRECISION OPTICAL FIBER 10MM WIDTH FU-12, VIALS MAXIMUM LOAD AT OUTFEED SENSOR KEYENCE P/N : -  pc</t>
  </si>
  <si>
    <t>O-15732-00</t>
  </si>
  <si>
    <t>KEYENCE AMPLIFIER SENSOR OPTICAL FIBER PNP OUTPUT CONNECTOR M8 FU-12</t>
  </si>
  <si>
    <t>O-15658-00</t>
  </si>
  <si>
    <t>LOAD CELL ; WIPOTEC ; SINGLE POINT LOAD CELL MODEL PW15AHC3/10KG-1 NORMAL LOAD 10KG
SERIAL NO. 02707239;</t>
  </si>
  <si>
    <t>O-51728-00</t>
  </si>
  <si>
    <t>NITROGEN PRE-GAS  FLOW CHECK SENSOR ; TURCK / UPROX ;SENSOR NO 10-30 VDC, 200MA</t>
  </si>
  <si>
    <t>Setara dengan P-15098-00</t>
  </si>
  <si>
    <t>O-51750-00</t>
  </si>
  <si>
    <t>PHOTOCELL SENSOR WITH REFLECTOR PZ-G62CP WITH R-5 Code: PZ-G62CP+R-5</t>
  </si>
  <si>
    <t>O-51723-00</t>
  </si>
  <si>
    <t>PROXIMITY SENSOR, DATALOGIC  M12 FLUSH SHORT 2X PNP NO IS-12-G1-S2 P/N: 204170</t>
  </si>
  <si>
    <t>Setara dengan O-53462-00</t>
  </si>
  <si>
    <t>O-51722-00</t>
  </si>
  <si>
    <t>PROXIMITY SENSOR, DATALOGIC  M12 NON FLUSH SHORT PNP NO IS-12-D1-S2</t>
  </si>
  <si>
    <t>O-51721-00</t>
  </si>
  <si>
    <t>PROXIMITY SENSOR, DATALOGIC  M8 FLUSH 2X PNP NC IS-08-G2-S1</t>
  </si>
  <si>
    <t>Setara dengan O-53463-00</t>
  </si>
  <si>
    <t>O-51996-00</t>
  </si>
  <si>
    <t>Pulsed DC Ionising Bar Hyperion 929IPS Length</t>
  </si>
  <si>
    <t>O-15668-00</t>
  </si>
  <si>
    <t>RIBBED HEATER RCU - 1200W - 230VAC - 50/60HZ - MATERIAL AISI304; PART NO :4561</t>
  </si>
  <si>
    <t>T-20201-00
ASSY,SOLVENT FILTER., Waters, Part No. WAT025531</t>
  </si>
  <si>
    <t>Setara dengan item baru</t>
  </si>
  <si>
    <t>O-16321-00</t>
  </si>
  <si>
    <t>SED - 2/2 Way Diaphragm Valve Metal Aseptic p/n:207.15.7.545.51.125.SF1</t>
  </si>
  <si>
    <t>Setara dengan O-20992-00</t>
  </si>
  <si>
    <t>O-51746-00</t>
  </si>
  <si>
    <t>SENSOR NO 10-30 VDC, 200MA; NITROGEN POST-GAS  FLOW CHECK SENSOR ;</t>
  </si>
  <si>
    <t>Setara dengan O-53464-00</t>
  </si>
  <si>
    <t>P-15419-00</t>
  </si>
  <si>
    <t>Sensor Turck No 10-30 VDC, 200mABi8U-Q08-AP6X2-V1131</t>
  </si>
  <si>
    <t>P-15098-00</t>
  </si>
  <si>
    <t>Sensor Turck No 10-30 VDC, 200mABi8U-Q08-AP6X2-V1131; Turck; ;</t>
  </si>
  <si>
    <t>P-12763-00</t>
  </si>
  <si>
    <t>Silicone gasket for ferrule dia 1 1/2inch Taiwan</t>
  </si>
  <si>
    <t>O-52355-00</t>
  </si>
  <si>
    <t>Solenoid Valve type 55B-24-PE-611JB</t>
  </si>
  <si>
    <t>O-15720-00</t>
  </si>
  <si>
    <t>TEMPERATURE PROBE ; JUMO;  MODEL PT100 SINGLE ELEMENT, 3 WIRES, DIAMETER 3MM, LENGTH 250MM; PART NO :25597</t>
  </si>
  <si>
    <t>Setara dengan O-53481-00
902250/32-415-1001-2-3-250-11-10000/00</t>
  </si>
  <si>
    <t>O-15727-00</t>
  </si>
  <si>
    <t>VACUUM LEVEL SWITCH ; Vuototecnica ; DIGITAL VACUUM LEVEL SWITCH Code: 120511 P/N: 202545</t>
  </si>
  <si>
    <t>Setara dengan O-53482-00</t>
  </si>
  <si>
    <t>O-15613-00</t>
  </si>
  <si>
    <t>WEIGHING LOAD CELL WIPOTEC SL250/300-M-FS-9-29-34
WASHDOWN IP44 SERIAL NO. 00301;</t>
  </si>
  <si>
    <t>Tidak di Stok, Pakai Capex</t>
  </si>
  <si>
    <t>P-18554-00</t>
  </si>
  <si>
    <t>Baut Hexagonal SS 304 Uk. M4 x 8; ; ;</t>
  </si>
  <si>
    <t>P-14519-00</t>
  </si>
  <si>
    <t>Baut Hexagonal SS M8x30mm+Mur+Ring; ; ;</t>
  </si>
  <si>
    <t>O-19424-00</t>
  </si>
  <si>
    <t>Baut Hexagonal SS304 M6 X 20mm+Mur+Ring</t>
  </si>
  <si>
    <t>P-18556-00</t>
  </si>
  <si>
    <t>Baut L SS 304 Uk. M3 x 10 mm; ; ;</t>
  </si>
  <si>
    <t>T-20177-00
2690/95 PERFORMANCE MAINTENANCE KIT., Waters, Part No. WAT270944</t>
  </si>
  <si>
    <t>P-18555-00</t>
  </si>
  <si>
    <t>Baut L SS 304 Uk. M3 x 6 mm; ; ;</t>
  </si>
  <si>
    <t>P-18788-00</t>
  </si>
  <si>
    <t>Baut SS Hexagon SS M6x55mm + Mur; ; ;</t>
  </si>
  <si>
    <t>P-11886-00</t>
  </si>
  <si>
    <t>Baut SS L countersunk M 4x0.7x10mm + Mur</t>
  </si>
  <si>
    <t>O-19429-00</t>
  </si>
  <si>
    <t>Baut SS L M4 x 10 mm + Mur + Ring; ; ;; ; ;; ; ;</t>
  </si>
  <si>
    <t>O-19430-00</t>
  </si>
  <si>
    <t>Baut SS L M5 x 20 mm + Mur + Ring; ; ;; ; ;; ; ;</t>
  </si>
  <si>
    <t>O-19431-00</t>
  </si>
  <si>
    <t>Baut SS L M8 x 30 mm + Mur + Ring; ; ;; ; ;; ; ;</t>
  </si>
  <si>
    <t>Q-70069-00</t>
  </si>
  <si>
    <t>Dynabolt Beton M10x70</t>
  </si>
  <si>
    <t>P-11967-00</t>
  </si>
  <si>
    <t>Belt dressing ; Brand : GLOBAL ; P/N : GL-1033 ; Pack Size : pcs</t>
  </si>
  <si>
    <t>P-11968-00</t>
  </si>
  <si>
    <t>Berusynt FGH Spray H1 - Bechem</t>
  </si>
  <si>
    <t>P-18618-00</t>
  </si>
  <si>
    <t>Chemicals Kuclean HL-351 @20 liter; ; ;</t>
  </si>
  <si>
    <t>P-10726-00</t>
  </si>
  <si>
    <t>Cleaner - Contact Cleaner CRC CO 2016 500 ml</t>
  </si>
  <si>
    <t>P-17830-00</t>
  </si>
  <si>
    <t>Cleaner Stainless Stell &amp; Polish; 3M; ;</t>
  </si>
  <si>
    <t>P-10729-00</t>
  </si>
  <si>
    <t>Contact cleaner WD 40, 382 gr ; Brand : - ; P/N : - ; Pack Size : pcs</t>
  </si>
  <si>
    <t>P-14521-00</t>
  </si>
  <si>
    <t>Freon R410A; Dupont; ;</t>
  </si>
  <si>
    <t>P-12464-00</t>
  </si>
  <si>
    <t>Lem Aibon 1 gal/ kaleng</t>
  </si>
  <si>
    <t>P-53211-00</t>
  </si>
  <si>
    <t>LOCTITE High Temperature @ 50 ml; ; ;</t>
  </si>
  <si>
    <t>Q-60501-00</t>
  </si>
  <si>
    <t>T-20136-00
2690 SEAL PACK REBUILD PKG; Waters; c/n WAT271019;</t>
  </si>
  <si>
    <t>Silicone Sealant, Silglaze, Type N10 Clear, pack size per pcs</t>
  </si>
  <si>
    <t>Q-60503-00</t>
  </si>
  <si>
    <t>Silicone Sealant, Silglaze, Type N10 Grey, pack size per pcs</t>
  </si>
  <si>
    <t>Q-60502-00</t>
  </si>
  <si>
    <t>Silicone Sealant, Silglaze, Type N10 White, pack size per pcs</t>
  </si>
  <si>
    <t>P-17645-00</t>
  </si>
  <si>
    <t>Sodium Hiphoclorite</t>
  </si>
  <si>
    <t>O-15718-00</t>
  </si>
  <si>
    <t>SYNTHETIC FOOD GRADE, CRC - P/N : NSF H1 pc</t>
  </si>
  <si>
    <t>Q-10128-00</t>
  </si>
  <si>
    <t>Thinner Super End/Impala</t>
  </si>
  <si>
    <t>P-15866-00</t>
  </si>
  <si>
    <t>THREAD SEALANT, LOCTITE 554</t>
  </si>
  <si>
    <t>P-15867-00</t>
  </si>
  <si>
    <t>THREAD SEALANT, LOCTITE, 243 MEDIUM STRENGTH</t>
  </si>
  <si>
    <t>P-52711-00</t>
  </si>
  <si>
    <t>Accu NS70 (Battery kering) 12V - 65Ah; GS ASTRA; ;</t>
  </si>
  <si>
    <t>P-51889-00</t>
  </si>
  <si>
    <t>Autonics - Power Supply SPA-050-24VDC</t>
  </si>
  <si>
    <t>O-50994-00</t>
  </si>
  <si>
    <t>Battery kering 12V 7,2AH; ; ;</t>
  </si>
  <si>
    <t>P-50140-00</t>
  </si>
  <si>
    <t>Battery UPS</t>
  </si>
  <si>
    <t>P-52640-00</t>
  </si>
  <si>
    <t>Bola lampu 220 V 5 Watt for Cartoning Machine; ; ;</t>
  </si>
  <si>
    <t>P-50797-00</t>
  </si>
  <si>
    <t>Bola lampu 24V 5 Watt</t>
  </si>
  <si>
    <t>P-50307-00</t>
  </si>
  <si>
    <t>Bola Lampu SL 24 W  / 220-240 V / Philips Spiral</t>
  </si>
  <si>
    <t>P-50810-00</t>
  </si>
  <si>
    <t>Buzzer type AD22-22MSD warna merah with lamp; FORT</t>
  </si>
  <si>
    <t>P-13735-00</t>
  </si>
  <si>
    <t>Cable Duct Round Putih 35 x 10 mm</t>
  </si>
  <si>
    <t>T-20118-00
FILTER INSERT ASSY Waters P/N WAT088084 1 pc</t>
  </si>
  <si>
    <t>P-15438-00</t>
  </si>
  <si>
    <t>CABLE SPIRAL WRAPPING, TYPE KS12, BRAND KSS; ; ;</t>
  </si>
  <si>
    <t>P-15437-00</t>
  </si>
  <si>
    <t>CABLE SPIRAL WRAPPING, TYPE KS24, BRAND KSS; ; ;</t>
  </si>
  <si>
    <t>P-53209-00</t>
  </si>
  <si>
    <t>CAPACITOR 3 uF, 220 V, 2 kutub; ; ;</t>
  </si>
  <si>
    <t>P-53210-00</t>
  </si>
  <si>
    <t>CAPACITOR 5 uF, 220 V, 2 kutub; ; ;</t>
  </si>
  <si>
    <t>P-52110-00</t>
  </si>
  <si>
    <t>CAPACITOR 5 uF, 500 V, 50/60 Hz; ; ;</t>
  </si>
  <si>
    <t>P-52254-00</t>
  </si>
  <si>
    <t>Capasitor 40 mF 400/450 VAC</t>
  </si>
  <si>
    <t>P-53362-00</t>
  </si>
  <si>
    <t>Contactor Schneider LC1D09M7 Coil 220 VAC; ; ;</t>
  </si>
  <si>
    <t>P-52513-00</t>
  </si>
  <si>
    <t>Emergency Stop 22 mm</t>
  </si>
  <si>
    <t>P-51891-00</t>
  </si>
  <si>
    <t>Exhaust Fan Panel 240VAC; ; ;</t>
  </si>
  <si>
    <t>P-50951-00</t>
  </si>
  <si>
    <t>Fuse kaca 10 A 6x 30</t>
  </si>
  <si>
    <t>P-50956-00</t>
  </si>
  <si>
    <t>Fuse kaca 2A 6x30</t>
  </si>
  <si>
    <t>P-50957-00</t>
  </si>
  <si>
    <t>Fuse kaca 3 A 5x 20</t>
  </si>
  <si>
    <t>P-50959-00</t>
  </si>
  <si>
    <t>Fuse kaca 3A 6x30</t>
  </si>
  <si>
    <t>P-50962-00</t>
  </si>
  <si>
    <t>Fuse kaca 5A 6x30</t>
  </si>
  <si>
    <t>O-51157-00</t>
  </si>
  <si>
    <t>Fuse Keramik 6A 10x38; ; ;</t>
  </si>
  <si>
    <t>P-50633-00</t>
  </si>
  <si>
    <t>General - Timer AC100-240/DC100-125; Omron ; H3CR - A8; 1 pc</t>
  </si>
  <si>
    <t>P-53133-00</t>
  </si>
  <si>
    <t>Kabel Belden AWG 22</t>
  </si>
  <si>
    <t>P-50274-00</t>
  </si>
  <si>
    <t>Kabel NYAF 0.75 Merah</t>
  </si>
  <si>
    <t>T-20851-00
One-piece Fitting, 10 - 32; Waters; 700004841; 10 pcs per pack; Waters; 700004841; 10 pcs/pack</t>
  </si>
  <si>
    <t>P-52642-00</t>
  </si>
  <si>
    <t>Kabel NYYHY 2 x 0.75 mm Merk Supreme; ; ;</t>
  </si>
  <si>
    <t>P-51756-00</t>
  </si>
  <si>
    <t>Kabel NYYHY 3x0.75mm; ; ; meter</t>
  </si>
  <si>
    <t>P-51856-00</t>
  </si>
  <si>
    <t>Key Selector Switch S2KR-4CK2AM Autonics; ; ;</t>
  </si>
  <si>
    <t>O-54005-00</t>
  </si>
  <si>
    <t>LAMPU UV 15 WATT, OSRAM</t>
  </si>
  <si>
    <t>P-52569-00</t>
  </si>
  <si>
    <t>Limit Switch LX19-001 250 VAC; ; ;</t>
  </si>
  <si>
    <t>P-50325-00</t>
  </si>
  <si>
    <t>Limit Switch Z - 15GQ 22 - B 15 A / 125 / 250 VAC Highly</t>
  </si>
  <si>
    <t>P-52009-00</t>
  </si>
  <si>
    <t>Limit Switch;; Omron; Part No. D4MC-1000; 1 pc/pack</t>
  </si>
  <si>
    <t>O-54006-00</t>
  </si>
  <si>
    <t>MCB 1 PHASE, SCHNEIDER ELECTRIC, 10 AMPERE</t>
  </si>
  <si>
    <t>Setara dengan O-15822-00</t>
  </si>
  <si>
    <t>O-54008-00</t>
  </si>
  <si>
    <t>MCB 1 PHASE, SCHNEIDER ELECTRIC, 25 AMPERE</t>
  </si>
  <si>
    <t>O-54007-00</t>
  </si>
  <si>
    <t>MCB 1 PHASE, SCHNEIDER ELECTRIC, IC60H 10Ka 16 AMPERE</t>
  </si>
  <si>
    <t>O-54009-00</t>
  </si>
  <si>
    <t>MCB 1 PHASE, SIEMENS, 2 POLE 2 AMPERE</t>
  </si>
  <si>
    <t>O-54010-00</t>
  </si>
  <si>
    <t>MCB 1 PHASE, SIEMENS, 2 POLE 4 AMPERE</t>
  </si>
  <si>
    <t>O-54011-00</t>
  </si>
  <si>
    <t>MCB 3 PHASE, SIEMENS, 2 AMPERE</t>
  </si>
  <si>
    <t>O-15822-00</t>
  </si>
  <si>
    <t>MCB Schneider C60H 1 phase 1 pole 10 A 100000A GLOBAL MULTIPARTS, PT P/N : -  pc</t>
  </si>
  <si>
    <t>O-15820-00</t>
  </si>
  <si>
    <t>MCB Schneider C60H 1 phase 1 pole 2 A 100000A - P/N : -  pc</t>
  </si>
  <si>
    <t>T-20791-00
Heater/Cooler Engine 2690 Waters700001066</t>
  </si>
  <si>
    <t>O-15821-00</t>
  </si>
  <si>
    <t>MCB Schneider C60H 1 phase 1 pole 4 A 100000A - P/N : -  pc</t>
  </si>
  <si>
    <t>Setara dengan P-54463-00</t>
  </si>
  <si>
    <t>P-51745-00</t>
  </si>
  <si>
    <t>MCB Schneider C60H 1 phase 1 pole 6A 10000A; ; ;</t>
  </si>
  <si>
    <t>Setara dengan P-54462-00</t>
  </si>
  <si>
    <t>O-51850-00</t>
  </si>
  <si>
    <t>Power Supply 220 VAC 12 VDC, 3 Ampere; ; ;</t>
  </si>
  <si>
    <t>P-50495-00</t>
  </si>
  <si>
    <t>Relay / RXM 2AB2P7 / 230 V / 50-60 Hz / 12 A / 250 VAC</t>
  </si>
  <si>
    <t>P-51705-00</t>
  </si>
  <si>
    <t>Relay 110-120 V AC; ; ;</t>
  </si>
  <si>
    <t>O-50863-00</t>
  </si>
  <si>
    <t>Relay/MY4N/220-240 VAC Omron; ; ;</t>
  </si>
  <si>
    <t>O-54012-00</t>
  </si>
  <si>
    <t>SELECTOR SWITCH, HANYOUNG, CR253-3 ON-OFF-ON</t>
  </si>
  <si>
    <t>P-17562-00</t>
  </si>
  <si>
    <t>SIGMA - Mounting Base 20x20mm; ; ;</t>
  </si>
  <si>
    <t>P-50562-00</t>
  </si>
  <si>
    <t>Socket Relay PF083A-E; Omron; PF083A; 1 pieces</t>
  </si>
  <si>
    <t>O-54013-00</t>
  </si>
  <si>
    <t>SOCKET RJ 45</t>
  </si>
  <si>
    <t>Setara dengan P-52854-00</t>
  </si>
  <si>
    <t>O-54014-00</t>
  </si>
  <si>
    <t>STEKER 1 PHASE, BROCO</t>
  </si>
  <si>
    <t>P-54190-00</t>
  </si>
  <si>
    <t>Stop Kontak IP55 16A; Legrand; ;</t>
  </si>
  <si>
    <t>O-54015-00</t>
  </si>
  <si>
    <t>STOP KONTAK LUBANG 4, BROCO</t>
  </si>
  <si>
    <t>Setara dengan P-51313-00</t>
  </si>
  <si>
    <t>P-52001-00</t>
  </si>
  <si>
    <t>Switch Lamp Merah 220 VAC</t>
  </si>
  <si>
    <t>T-20591-00
Kit, Performance PLUS seal pack rebuild; Waters; 700011783; 1 pieces / pack</t>
  </si>
  <si>
    <t>P-52662-00</t>
  </si>
  <si>
    <t>Temperature Controller - TK4S- 14SN 100-240 VAC AUTONICS; ; ;</t>
  </si>
  <si>
    <t>O-52859-00</t>
  </si>
  <si>
    <t>Temperature Controller - TK4S- 24RN 100-240 VAC AUTONICS; ; ;</t>
  </si>
  <si>
    <t>P-51706-00</t>
  </si>
  <si>
    <t>Terminal Blok 4 Pin; ; ;</t>
  </si>
  <si>
    <t>GL2507407</t>
  </si>
  <si>
    <t>P-51704-00</t>
  </si>
  <si>
    <t>Terminal Krustin 6 Terminal; ; ;</t>
  </si>
  <si>
    <t>P-51298-00</t>
  </si>
  <si>
    <t>Terminal plastik dia 4 mm</t>
  </si>
  <si>
    <t>P-51299-00</t>
  </si>
  <si>
    <t>Terminal plastik dia 6 mm</t>
  </si>
  <si>
    <t>O-54138-00</t>
  </si>
  <si>
    <t>Terminal Viking / Terminal Block Size 10 mm</t>
  </si>
  <si>
    <t>O-54137-00</t>
  </si>
  <si>
    <t>Terminal Viking / Terminal Block Size 6 mm; Fort; ;</t>
  </si>
  <si>
    <t>O-53011-00</t>
  </si>
  <si>
    <t>Timer Digital LE8B-BF; Autonics; A01761;</t>
  </si>
  <si>
    <t>P-51739-00</t>
  </si>
  <si>
    <t>TOR Schneider LRD05 0,63 - 1,0 A; ; ;</t>
  </si>
  <si>
    <t>P-11819-00</t>
  </si>
  <si>
    <t>Alumunium duct tape 2 inch</t>
  </si>
  <si>
    <t>O-15931-00</t>
  </si>
  <si>
    <t>Double Tape 3M 1 Merah - P/N : - pc</t>
  </si>
  <si>
    <t>P-17897-00</t>
  </si>
  <si>
    <t>Foam Tape Perekat 1 Sisi 3mm x 25mm x 10M; ; ;</t>
  </si>
  <si>
    <t>O-51000-00
Colamark - Print Head for Part TTO Domino p/n EPP001359 SP</t>
  </si>
  <si>
    <t>P-16474-00</t>
  </si>
  <si>
    <t>General - Lem PLastic Steel Epoxy + Hardener 5 menit; Dextone ; -; 1 set/pack</t>
  </si>
  <si>
    <t>P-10945-00</t>
  </si>
  <si>
    <t>Insulation - Seal Tape onda</t>
  </si>
  <si>
    <t>P-12433-00</t>
  </si>
  <si>
    <t>Isolasi AC- Sansui</t>
  </si>
  <si>
    <t>P-51027-00</t>
  </si>
  <si>
    <t>Isolasi Kabel SCOTCH super 33+ size: 19 mmx20x0.177 mm ( vinyl electric tape ) Black 3M</t>
  </si>
  <si>
    <t>Q-10249-00</t>
  </si>
  <si>
    <t>Lem Power Glue; ; ;</t>
  </si>
  <si>
    <t>P-12994-00</t>
  </si>
  <si>
    <t>Nippon Tape - ASF-110FR</t>
  </si>
  <si>
    <t>P-13389-00</t>
  </si>
  <si>
    <t>Scotch Brite 3M; ; ;</t>
  </si>
  <si>
    <t>P-13383-00</t>
  </si>
  <si>
    <t>Silicone Sealant High Temp Red; ; ;</t>
  </si>
  <si>
    <t>P-10387-00</t>
  </si>
  <si>
    <t>Ball Valve Kuningan 3/4" KITZ</t>
  </si>
  <si>
    <t>P-10389-00</t>
  </si>
  <si>
    <t>Ball Valve PVC 1 1/2 "</t>
  </si>
  <si>
    <t>P-10390-00</t>
  </si>
  <si>
    <t>Ball Valve PVC 1"</t>
  </si>
  <si>
    <t>P-10391-00</t>
  </si>
  <si>
    <t>Ball Valve PVC 2"</t>
  </si>
  <si>
    <t>P-11836-00</t>
  </si>
  <si>
    <t>Ball valve PVC dia 1 1/4 inch drat</t>
  </si>
  <si>
    <t>T-80109-00
Cellotape / Lakban Kertas 1 inch warna Putih ; No Brand ; pack size per pcs</t>
  </si>
  <si>
    <t>P-11837-00</t>
  </si>
  <si>
    <t>Ball valve PVC dia 1 inch drat</t>
  </si>
  <si>
    <t>P-11838-00</t>
  </si>
  <si>
    <t>Ball Valve PVC dia 3/4 inch</t>
  </si>
  <si>
    <t>P-12029-00</t>
  </si>
  <si>
    <t>Chemical - NIKKO steel Type: NS-stain clean = 1kg (stainless steel pickling gel)</t>
  </si>
  <si>
    <t>P-12083-00</t>
  </si>
  <si>
    <t>Clamp selang SS dia 1/2inch ex TRIDON</t>
  </si>
  <si>
    <t>P-12082-00</t>
  </si>
  <si>
    <t>Clamp selang ss dia 3/4inch ex TRIDON</t>
  </si>
  <si>
    <t>O-14643-00</t>
  </si>
  <si>
    <t>EPDM Gasket for Ferrule dia. 3; ; ;</t>
  </si>
  <si>
    <t>P-10763-00</t>
  </si>
  <si>
    <t>Ferrule 1" SS 316L</t>
  </si>
  <si>
    <t>P-10857-00</t>
  </si>
  <si>
    <t>Fitting PVC - Elbow PVC 1 1/2" Rucika AW</t>
  </si>
  <si>
    <t>P-10858-00</t>
  </si>
  <si>
    <t>Fitting PVC - Elbow PVC 1 1/4"</t>
  </si>
  <si>
    <t>P-10860-00</t>
  </si>
  <si>
    <t>Fitting PVC - Elbow PVC 1"</t>
  </si>
  <si>
    <t>P-10859-00</t>
  </si>
  <si>
    <t>Fitting PVC - Elbow PVC 1/2" Rucika AW</t>
  </si>
  <si>
    <t>P-10862-00</t>
  </si>
  <si>
    <t>Fitting PVC - Elbow PVC 2 1/2"</t>
  </si>
  <si>
    <t>P-10863-00</t>
  </si>
  <si>
    <t>Fitting PVC - Elbow PVC 2"</t>
  </si>
  <si>
    <t>P-10867-00</t>
  </si>
  <si>
    <t>Fitting PVC - Elbow PVC 3 inch</t>
  </si>
  <si>
    <t>P-10865-00</t>
  </si>
  <si>
    <t>Fitting PVC - Elbow PVC 3/4"</t>
  </si>
  <si>
    <t>S-11400-00
Majun AA, No Brand, Budhi Supplies, pack size per kg</t>
  </si>
  <si>
    <t>P-10868-00</t>
  </si>
  <si>
    <t>Fitting PVC - Elbow PVC 4" Rucika AW</t>
  </si>
  <si>
    <t>P-10877-00</t>
  </si>
  <si>
    <t>Fitting PVC - Reducer PVC 2" - 1"</t>
  </si>
  <si>
    <t>P-10883-00</t>
  </si>
  <si>
    <t>Fitting PVC - SDD PVC 1 1/2"</t>
  </si>
  <si>
    <t>P-10884-00</t>
  </si>
  <si>
    <t>Fitting PVC - SDD PVC 1 1/4"</t>
  </si>
  <si>
    <t>P-10886-00</t>
  </si>
  <si>
    <t>Fitting PVC - SDD PVC 1"</t>
  </si>
  <si>
    <t>P-10885-00</t>
  </si>
  <si>
    <t>Fitting PVC - SDD PVC 1/2"</t>
  </si>
  <si>
    <t>P-10887-00</t>
  </si>
  <si>
    <t>Fitting PVC - SDD PVC 2"</t>
  </si>
  <si>
    <t>P-10889-00</t>
  </si>
  <si>
    <t>Fitting PVC - SDD PVC 3/4" Rucika AW</t>
  </si>
  <si>
    <t>P-13285-00</t>
  </si>
  <si>
    <t>Fitting PVC - SDL PVC  1/2"</t>
  </si>
  <si>
    <t>P-10890-00</t>
  </si>
  <si>
    <t>Fitting PVC - SDL PVC 1 1/2"</t>
  </si>
  <si>
    <t>P-10891-00</t>
  </si>
  <si>
    <t>Fitting PVC - SDL PVC 1 1/4"</t>
  </si>
  <si>
    <t>P-10892-00</t>
  </si>
  <si>
    <t>Fitting PVC - SDL PVC 1"</t>
  </si>
  <si>
    <t>P-10893-00</t>
  </si>
  <si>
    <t>Fitting PVC - SDL PVC 2"</t>
  </si>
  <si>
    <t>Q-60105-00
Cat Dulux Ambiance Brilliant White; Dulux; 2290; pack size per 20L</t>
  </si>
  <si>
    <t>P-10894-00</t>
  </si>
  <si>
    <t>Fitting PVC - SDL PVC 3" Rucika AW</t>
  </si>
  <si>
    <t>P-10895-00</t>
  </si>
  <si>
    <t>Fitting PVC - Sock Long PVC 1/2"</t>
  </si>
  <si>
    <t>P-10896-00</t>
  </si>
  <si>
    <t>Fitting PVC - Sock PVC 1 1/4"</t>
  </si>
  <si>
    <t>P-10897-00</t>
  </si>
  <si>
    <t>Fitting PVC - Sock PVC 1"</t>
  </si>
  <si>
    <t>P-10898-00</t>
  </si>
  <si>
    <t>Fitting PVC - Sock PVC 2"</t>
  </si>
  <si>
    <t>P-10900-00</t>
  </si>
  <si>
    <t>Fitting PVC - Sock PVC 3" Rucika AW</t>
  </si>
  <si>
    <t>P-10899-00</t>
  </si>
  <si>
    <t>Fitting PVC - Sock PVC 3/4"</t>
  </si>
  <si>
    <t>P-13269-00</t>
  </si>
  <si>
    <t>Fitting PVC - Sock PVC 4"</t>
  </si>
  <si>
    <t>P-10904-00</t>
  </si>
  <si>
    <t>Fitting PVC - Tee PVC 1 1/4"</t>
  </si>
  <si>
    <t>P-10906-00</t>
  </si>
  <si>
    <t>Fitting PVC - Tee PVC 1" Rucika AW</t>
  </si>
  <si>
    <t>Q-60404-00
Cat Interior Catylac; Dulux; Type Putih 1501N; 25 kg/pail</t>
  </si>
  <si>
    <t>P-10905-00</t>
  </si>
  <si>
    <t>Fitting PVC - Tee PVC 1/2"</t>
  </si>
  <si>
    <t>P-19660-00</t>
  </si>
  <si>
    <t>Fitting PVC - Tee PVC 2.5 Inch; Rucika; -; 1 pc</t>
  </si>
  <si>
    <t>P-10907-00</t>
  </si>
  <si>
    <t>Fitting PVC - Tee PVC 2" Rucika AW</t>
  </si>
  <si>
    <t>P-10909-00</t>
  </si>
  <si>
    <t>Fitting PVC - Tee PVC 3 inch Rucika AW</t>
  </si>
  <si>
    <t>P-10908-00</t>
  </si>
  <si>
    <t>Fitting PVC - Tee PVC 3/4" Rucika AW</t>
  </si>
  <si>
    <t>O-13521-00</t>
  </si>
  <si>
    <t>gasket 1 1/2 / EPDM - P/N : - pc</t>
  </si>
  <si>
    <t>O-13522-00</t>
  </si>
  <si>
    <t>gasket 2 / EPDM; ; ;</t>
  </si>
  <si>
    <t>P-15078-00</t>
  </si>
  <si>
    <t>General - ELBOW PVC AW 2" ; Rucika; -; 1 pc</t>
  </si>
  <si>
    <t>P-12748-00</t>
  </si>
  <si>
    <t>General - Pipa PVC AW dia. 1 1/4inch, Warna Abu-Abu; Rucika; -; 1 pcs</t>
  </si>
  <si>
    <t>P-14970-00</t>
  </si>
  <si>
    <t>General - Pipa PVC AW dia. 2 1/2inch, Warna Abu-Abu; Rucika; -; 1 pcs</t>
  </si>
  <si>
    <t>P-10874-00</t>
  </si>
  <si>
    <t>General - Vlok Sok/Reducer PVC AW 1" x 1/2"; Rucika; -; 1 pcs</t>
  </si>
  <si>
    <t>P-53213-00</t>
  </si>
  <si>
    <t>Lem Pipa PVC; ; ;</t>
  </si>
  <si>
    <t>Setara dengan Q-10715-00</t>
  </si>
  <si>
    <t>O-18356-00</t>
  </si>
  <si>
    <t>Pipa Ornamen 2.5 Inch; ; ;; ; ;</t>
  </si>
  <si>
    <t>P-12746-00</t>
  </si>
  <si>
    <t>RUCIKA - Pipa PVC AW dia 1 1/2inch</t>
  </si>
  <si>
    <t>S-40645-00
Cable Ties, 200 x 4.8 mm; SIGMA; CS 200L; Putih;100 pcs/pack</t>
  </si>
  <si>
    <t>P-12749-00</t>
  </si>
  <si>
    <t>RUCIKA - Pipa PVC AW dia 1 inch Warna Abu-Abu</t>
  </si>
  <si>
    <t>P-12750-00</t>
  </si>
  <si>
    <t>RUCIKA - Pipa PVC aw dia 1/2 inch Warna Abu-Abu</t>
  </si>
  <si>
    <t>P-12747-00</t>
  </si>
  <si>
    <t>RUCIKA - Pipa PVC AW dia 3/4inch</t>
  </si>
  <si>
    <t>P-14980-00</t>
  </si>
  <si>
    <t>Seal Ferrule Teflon 3/4 inch; ; ;</t>
  </si>
  <si>
    <t>P-12764-00</t>
  </si>
  <si>
    <t>Silicone gasket for ferrule dia 1/2inch Taiwan</t>
  </si>
  <si>
    <t>P-12765-00</t>
  </si>
  <si>
    <t>Silicone gasket for ferrule dia 2inch Taiwan</t>
  </si>
  <si>
    <t>O-14641-00</t>
  </si>
  <si>
    <t>Silicone Gasket for Ferrule dia. 1; ; ;</t>
  </si>
  <si>
    <t>O-14642-00</t>
  </si>
  <si>
    <t>Silicone Gasket for Ferrule dia. 2,5"; ; ;</t>
  </si>
  <si>
    <t>O-14644-00</t>
  </si>
  <si>
    <t>Silicone Gasket for Ferrule dia. 4; ; ;</t>
  </si>
  <si>
    <t>P-12803-00</t>
  </si>
  <si>
    <t>Sock Drat dalam PVC AW dia 1 inch</t>
  </si>
  <si>
    <t>P-13259-00</t>
  </si>
  <si>
    <t>Sock Drat dalam SS 304 dia 1 inch</t>
  </si>
  <si>
    <t>S-40640-00
Cable Ties, 150 x 3.6 mm; SIGMA; CS 150T; Putih;100 pcs/pack</t>
  </si>
  <si>
    <t>P-12816-00</t>
  </si>
  <si>
    <t>Sock PVC AW dia 1 1/2inch</t>
  </si>
  <si>
    <t>P-12819-00</t>
  </si>
  <si>
    <t>Sock PVC AW dia 1/2inch</t>
  </si>
  <si>
    <t>P-13385-00</t>
  </si>
  <si>
    <t>Sok Drat Dalam 2" Pvc Rucika; ; ;</t>
  </si>
  <si>
    <t>P-13384-00</t>
  </si>
  <si>
    <t>Sok Drat Luar 2" Pvc Rucika; ; ;</t>
  </si>
  <si>
    <t>P-13386-00</t>
  </si>
  <si>
    <t>Sok Polos 2" Rucika; ; ;</t>
  </si>
  <si>
    <t>P-12881-00</t>
  </si>
  <si>
    <t>Tee PVC AW dia 1 1/2inch x 1 1/2inch</t>
  </si>
  <si>
    <t>P-12883-00</t>
  </si>
  <si>
    <t>Tee PVC AW dia 1/2inch X 1/2inch</t>
  </si>
  <si>
    <t>P-15766-00</t>
  </si>
  <si>
    <t>Tee PVC dia. 1 1/2"</t>
  </si>
  <si>
    <t>P-18666-00</t>
  </si>
  <si>
    <t>Vlok Ring Kuningan 1 inch x 1/2 inch; ; ;</t>
  </si>
  <si>
    <t>P-13387-00</t>
  </si>
  <si>
    <t>Watermur Pvc 1" Polos Rucika; ; ;</t>
  </si>
  <si>
    <t>S-11816-00
Cable Ties Nylon reusable (Colour Black) Lenght 20cm; ; ;</t>
  </si>
  <si>
    <t>Setara dengan P-12942-00</t>
  </si>
  <si>
    <t>P-12223-00</t>
  </si>
  <si>
    <t>FESTO - Blanking plug QSC-6H p/n 153268</t>
  </si>
  <si>
    <t>P-15351-00</t>
  </si>
  <si>
    <t>FESTO - Plastic tubing PUN-10x1,5-BL (Blue) p/n 159668; ; ;</t>
  </si>
  <si>
    <t>P-12258-00</t>
  </si>
  <si>
    <t>FESTO - Push In Connector QS-10-10</t>
  </si>
  <si>
    <t>P-12260-00</t>
  </si>
  <si>
    <t>FESTO - Push In Connector QS-4-4</t>
  </si>
  <si>
    <t>P-12263-00</t>
  </si>
  <si>
    <t>FESTO - Push In Connector QS-8 p/n 153033</t>
  </si>
  <si>
    <t>P-12265-00</t>
  </si>
  <si>
    <t>FESTO - Push In Connector QS-8-6 p/n 153038</t>
  </si>
  <si>
    <t>P-12279-00</t>
  </si>
  <si>
    <t>FESTO - QS-1/8-6 Push-In fitting p/n 153002</t>
  </si>
  <si>
    <t>P-12280-00</t>
  </si>
  <si>
    <t>FESTO - QS-1/8-8 Push-In fitting p/n 153004</t>
  </si>
  <si>
    <t>P-12282-00</t>
  </si>
  <si>
    <t>FESTO - QS-12-10 Push in Connector p/n: 153040</t>
  </si>
  <si>
    <t>P-12286-00</t>
  </si>
  <si>
    <t>FESTO - QS-3/8-6 Push-In fitting p/n 190645</t>
  </si>
  <si>
    <t>P-12287-00</t>
  </si>
  <si>
    <t>FESTO - QS-3/8-8 Push-In fitting p/n 153006</t>
  </si>
  <si>
    <t>P-12300-00</t>
  </si>
  <si>
    <t>FESTO - QSML-M5-4 part Number 15333</t>
  </si>
  <si>
    <t>P-12305-00</t>
  </si>
  <si>
    <t>FESTO - QST-6 Push in t-connection p/n 153129</t>
  </si>
  <si>
    <t>Setara dengan P-11227-00</t>
  </si>
  <si>
    <t>P-15433-00</t>
  </si>
  <si>
    <t>Fitting KQ2E06-00A; ; ;</t>
  </si>
  <si>
    <t>P-15432-00</t>
  </si>
  <si>
    <t>Fitting KQ2E08-00; ; ;</t>
  </si>
  <si>
    <t>P-15077-00</t>
  </si>
  <si>
    <t>Fitting KQ2H06-03AS; ; ;</t>
  </si>
  <si>
    <t>P-15076-00</t>
  </si>
  <si>
    <t>Fitting KQ2H10-04AS; ; ;</t>
  </si>
  <si>
    <t>P-14948-00</t>
  </si>
  <si>
    <t>Fitting Male Elbow KQ2L08-02AS; ; ;</t>
  </si>
  <si>
    <t>P-14949-00</t>
  </si>
  <si>
    <t>Fitting Male Elbow KQ2L08-03AS; ; ;</t>
  </si>
  <si>
    <t>P-19232-00</t>
  </si>
  <si>
    <t>Fitting QSL 3/8 x 12 mm</t>
  </si>
  <si>
    <t>P-14950-00</t>
  </si>
  <si>
    <t>Fitting Union Tee KQ2T04-00A; ; ;</t>
  </si>
  <si>
    <t>P-14877-00
Kabel NYYHY 3x2,5mm; ; ;</t>
  </si>
  <si>
    <t>P-14951-00</t>
  </si>
  <si>
    <t>Fitting Union Tee KQ2T06-00A; ; ;</t>
  </si>
  <si>
    <t>P-14952-00</t>
  </si>
  <si>
    <t>Fitting Union Tee KQ2T08-00A; ; ;</t>
  </si>
  <si>
    <t>P-19550-00</t>
  </si>
  <si>
    <t>General - Fitting Union Tee  SMC KQ2T10-00A</t>
  </si>
  <si>
    <t>P-11182-00</t>
  </si>
  <si>
    <t>General - Push-in Connector, QS-6; Festo; 153032; 1 pcs</t>
  </si>
  <si>
    <t>GL2509447</t>
  </si>
  <si>
    <t>P-11169-00</t>
  </si>
  <si>
    <t>General - Push-in Fitting, QS-1/4-6; Festo; 153003; 1 pcs</t>
  </si>
  <si>
    <t>P-11170-00</t>
  </si>
  <si>
    <t>General - Push-in Fitting, QS-1/4-8</t>
  </si>
  <si>
    <t>P-13650-00</t>
  </si>
  <si>
    <t>General - Shut off Valve HE-2-QS-6; FESTO; P/N : 153467; 1 Pc</t>
  </si>
  <si>
    <t>P-14245-00</t>
  </si>
  <si>
    <t>Manual valve HE-2-QS-8 FESTO</t>
  </si>
  <si>
    <t>P-19255-00</t>
  </si>
  <si>
    <t>Plastic Tubing PUN-H-14x2-BL; Festo; 570386;</t>
  </si>
  <si>
    <t>P-11165-00</t>
  </si>
  <si>
    <t>Pneumatic  Fitting - QS 1/2-12 / PN : 153010 / Festo</t>
  </si>
  <si>
    <t>P-11167-00</t>
  </si>
  <si>
    <t>Pneumatic  Fitting - QS 1/4-10 / PN : 153007 / Festo</t>
  </si>
  <si>
    <t>P-11175-00</t>
  </si>
  <si>
    <t>Pneumatic  Fitting - QS 10-8 / PN : 153039 / Festo</t>
  </si>
  <si>
    <t>P-11228-00</t>
  </si>
  <si>
    <t>Pneumatic  Fitting - QST 8 / PN : 153130 / Festo</t>
  </si>
  <si>
    <t>P-11185-00</t>
  </si>
  <si>
    <t>Pneumatic Fitting - QS 8-6 / Festo</t>
  </si>
  <si>
    <t>P-11195-00</t>
  </si>
  <si>
    <t>Pneumatic Fitting - QSF-G 1/8 - 6 mm / Festo</t>
  </si>
  <si>
    <t>O-13505-00</t>
  </si>
  <si>
    <t>Pneumatic Fitting - QST 10</t>
  </si>
  <si>
    <t>O-13501-00</t>
  </si>
  <si>
    <t>Pneumatic Fitting - QST 12 FESTO P/N : - pc</t>
  </si>
  <si>
    <t>P-11422-00</t>
  </si>
  <si>
    <t>Selang Festo Pun-H-10x1.5 / Blue NR : 197386</t>
  </si>
  <si>
    <t>P-11424-00</t>
  </si>
  <si>
    <t>Selang Festo Pun-H-12x2 Blue 2 x 50 m</t>
  </si>
  <si>
    <t>P-11431-00</t>
  </si>
  <si>
    <t>Selang Festo Pun-H-8x1.25 mm Blue NR : 197385</t>
  </si>
  <si>
    <t>O-14640-00</t>
  </si>
  <si>
    <t>Silicone Gasket for Ferrule dia. 3/4 - P/N : - pc</t>
  </si>
  <si>
    <t>P-17668-00</t>
  </si>
  <si>
    <t>Speed Control AS2002F-04; SMC; ;</t>
  </si>
  <si>
    <t>P-14953-00</t>
  </si>
  <si>
    <t>Straight Reducer KQ2H04-06A; ; ;</t>
  </si>
  <si>
    <t>P-14954-00</t>
  </si>
  <si>
    <t>Straight Reducer KQ2H06-08A; ; ;</t>
  </si>
  <si>
    <t>P-14955-00</t>
  </si>
  <si>
    <t>Straight Union KQ2H04-00A; ; ;</t>
  </si>
  <si>
    <t>P-14956-00</t>
  </si>
  <si>
    <t>Straight Union KQ2H06-00A; ; ;</t>
  </si>
  <si>
    <t>P-18963-00</t>
  </si>
  <si>
    <t>Tubing Nylon Putih 6x8; ; ;</t>
  </si>
  <si>
    <t>P-15851-00</t>
  </si>
  <si>
    <t>AMPLAS EAGLE 100</t>
  </si>
  <si>
    <t>P-15852-00</t>
  </si>
  <si>
    <t>AMPLAS EAGLE 500</t>
  </si>
  <si>
    <t>O-11149-00</t>
  </si>
  <si>
    <t>Bearing 6202 ZZ - P/N : - pc</t>
  </si>
  <si>
    <t>P-13600-00</t>
  </si>
  <si>
    <t>Besi Pejal SS 304 dia.8 mm</t>
  </si>
  <si>
    <t>P-13365-00</t>
  </si>
  <si>
    <t>Cutting Wheel 14 nippon resibon; ; ;</t>
  </si>
  <si>
    <t>GL2509460</t>
  </si>
  <si>
    <t>P-15817-00</t>
  </si>
  <si>
    <t>Gasket Teflon Lembaran, Tebal 5mm, uk.1000x1000mm; ; ;</t>
  </si>
  <si>
    <t>P-12419-00</t>
  </si>
  <si>
    <t>Hole saw u/ stainless stell dia 22 mm ex UNIKA</t>
  </si>
  <si>
    <t>P-12420-00</t>
  </si>
  <si>
    <t>Hole saw u/ stainless stell dia 25 mm ex UNIKA</t>
  </si>
  <si>
    <t>P-17896-00</t>
  </si>
  <si>
    <t>Hole saw u/ stainless stell dia 37 mm</t>
  </si>
  <si>
    <t>P-17167-00</t>
  </si>
  <si>
    <t>Hollow Stainless Steel 30x30x1.5 mm</t>
  </si>
  <si>
    <t>P-17389-00</t>
  </si>
  <si>
    <t>Kawat las SS316 dia 3.2</t>
  </si>
  <si>
    <t>P-12476-00</t>
  </si>
  <si>
    <t>Mata Bor besi dia 10 mm ex NACHI</t>
  </si>
  <si>
    <t>P-12488-00</t>
  </si>
  <si>
    <t>Mata bor besi dia 4 mm ex NACHI</t>
  </si>
  <si>
    <t>P-12490-00</t>
  </si>
  <si>
    <t>Mata bor besi dia 5 mm ex NACHI</t>
  </si>
  <si>
    <t>P-12492-00</t>
  </si>
  <si>
    <t>Mata Bor besi dia 6.5 mm ex NACHI</t>
  </si>
  <si>
    <t>P-12495-00</t>
  </si>
  <si>
    <t>Mata Bor besi dia 7.5 mm ex NACHI</t>
  </si>
  <si>
    <t>P-18908-00</t>
  </si>
  <si>
    <t>Mata Bor Besi HSS Point TeQ 13 Pcs (1.5 mm - 6.5 mm); Bosch; ;</t>
  </si>
  <si>
    <t>P-13445-00</t>
  </si>
  <si>
    <t>Plat Stainless Steel 304</t>
  </si>
  <si>
    <t>P-11356-00</t>
  </si>
  <si>
    <t>Roda Trolly ABUS 4 ( 100 x 27 ) Without Breake</t>
  </si>
  <si>
    <t>P-53216-00</t>
  </si>
  <si>
    <t>Silicon Lembaran, tebal 3 mm, size: 1 meter X 1 meter; ; ;</t>
  </si>
  <si>
    <t>P-53215-00</t>
  </si>
  <si>
    <t>Silicon Lembaran, tebal 5 mm, size: 1 meter X 1 meter; ; ;</t>
  </si>
  <si>
    <t>P-12920-00</t>
  </si>
  <si>
    <t>Tungsten Electrodes dia 1.6 mm</t>
  </si>
  <si>
    <t>O-17669-00</t>
  </si>
  <si>
    <t>INPRO 6860i/12/120/nA, Operating Range : 8 ppb - 60% O2 Sat. Measured Pressure Resistance : 0 bar -</t>
  </si>
  <si>
    <t>O-17960-00</t>
  </si>
  <si>
    <t>Mixer Male Bearing, GMP, pH Range: pH1 pH14, 1/pack</t>
  </si>
  <si>
    <t>Kalau kurang dari min baru beli lagi</t>
  </si>
  <si>
    <t>O-53218-00</t>
  </si>
  <si>
    <t>Mixing Tank - Sensor RTD 2X 100 Ohm (Duplex) with Transmitter Dia 6x81mm Mat SUS316 Class A; Custom/Lokal; -; 1 Pc</t>
  </si>
  <si>
    <t>Setara dengan O-51742-00</t>
  </si>
  <si>
    <t>O-18124-00</t>
  </si>
  <si>
    <t>Mixing Tank Adam - USM T60 Impeller with 20mm Silicon Carbide, G10-012; ; ;</t>
  </si>
  <si>
    <t>O-18125-00</t>
  </si>
  <si>
    <t>Mixing Tank Adam - USM T60 Male Bearing Pin 20mm Silicon Carbide, G20-008; ; ;</t>
  </si>
  <si>
    <t>O-20040-00</t>
  </si>
  <si>
    <t>Mixing Tank Adam MV - Impeller Silicon Carbide SS 316L USM T10; Novaseptic; G10-015;</t>
  </si>
  <si>
    <t>O-51698-00</t>
  </si>
  <si>
    <t>OMRON - Relay MY4Z 24VDC</t>
  </si>
  <si>
    <t>O-51687-00</t>
  </si>
  <si>
    <t>Relay OMRON G2A-432A-N DC + socket; Omron; ;</t>
  </si>
  <si>
    <t>Setara dengan O-51698-00</t>
  </si>
  <si>
    <t>O-52530-00</t>
  </si>
  <si>
    <t>Sensor PH Meter Type : InPro3250/120/PT1000 PN. 52002548</t>
  </si>
  <si>
    <t>O-51742-00</t>
  </si>
  <si>
    <t>SENSOR SUHU 2 x PT100 (DUPLEX), Jumo type 902810/13 Dia probe 6 mm, probe lenght 150 mm, conection threaded dia 29,1 mm. range temp. -15 ~ 150 oC.</t>
  </si>
  <si>
    <t>O-51748-00</t>
  </si>
  <si>
    <t>TEMPERATURE SENSOR ; JUMO 902810 /13 ; RTD temperature probe with terminal head : -15 samapai 150 ?C : SS 316L</t>
  </si>
  <si>
    <t>O-15554-00</t>
  </si>
  <si>
    <t>AIRTIGHT DOOR MOTOR ; HALSTRUP &amp;SAIA :GEAR MOTOR N100/SO - UFR1 - UL; SUPPLY VOLTAGE: 24VAC;FREQUENCY: 50HZ; OUTPUT TORQUE: 15NM; MOTOR SPEED: 0.5 U/MIN (R1:1000);</t>
  </si>
  <si>
    <t>Setara dengan O-15610-00</t>
  </si>
  <si>
    <t>O-15707-00</t>
  </si>
  <si>
    <t>CAMFILL ABSOLUTE FILTER 1FRK - 1W; H13; EFFICIENCY: 99,99% DOP - 0,3 MICRON C/W CERTIFICATE. FRAME MATERIAL: STAINLESS STEEL; DIMENSION: 457X610X150; CLASS DIN EN 1822: SERIAL NO. 00044345112</t>
  </si>
  <si>
    <t>Konfirm Maksimal temperature</t>
  </si>
  <si>
    <t>O-53196-00</t>
  </si>
  <si>
    <t>Depyrogenating tunnel ST1L - Tight door Heater, TREC, 4462, , Heating element 75W mod. HD/75W-230Vac/10X120/ LC=2500 Diameter 10mm, Length 120mm Glass fiber cable for temperature up to 400°C
with 2,5m length,</t>
  </si>
  <si>
    <t>Setara dengan O-53195-00</t>
  </si>
  <si>
    <t>O-51709-00</t>
  </si>
  <si>
    <t>ELECTROVALVE 3/4"GAS FF 24V DC N.C.COMPOSED BY:BODY NC 3/4" NBR FOR FLUIDS, COIL U1 5VA 24VDC ZB10A</t>
  </si>
  <si>
    <t>Setara dengan O-51793-00</t>
  </si>
  <si>
    <t>O-15711-00</t>
  </si>
  <si>
    <t>FILTER ; MILLIPORE : CARTRIDGE FILTER AERVENT 50 0,2 ?M TC 3/4 LOT NO.  F2JA25925 S.N. 01502;</t>
  </si>
  <si>
    <t>Stok Produksi</t>
  </si>
  <si>
    <t>O-15591-00</t>
  </si>
  <si>
    <t>FILTER ABSOLUTE - CAMFILL 1FRSI - 1SI 762X457X150; CLASS H13, DIN EN 1822, FRAME: STAINLESS STEEL - 99,95% MPPS; SERIAL NO. 00083616122 (for Cooling chamber)</t>
  </si>
  <si>
    <t>O-15592-00</t>
  </si>
  <si>
    <t>FILTER ABSOLUTE, CAMFILL - 1ER(GS) - 1PU; DIN EN 1822 : H14; EFFICIENCY: 99,995% MPPS; DIMENSION: 305X457X150; SERIAL NO. 060052-15122</t>
  </si>
  <si>
    <t>GL2509453</t>
  </si>
  <si>
    <t>O-15610-00</t>
  </si>
  <si>
    <t>GEAR MOTOR N100/SO - UFR1 - UL; HALSTRUP SAIA ; PART NO :19475</t>
  </si>
  <si>
    <t>Setara dengan O-53200-00</t>
  </si>
  <si>
    <t>O-52983-00</t>
  </si>
  <si>
    <t>Inverter Power Module PM240-2 0,37KW Sinamic; Siemens; ;</t>
  </si>
  <si>
    <t>Tidak di Stok, ada stok Capex 2 pcs</t>
  </si>
  <si>
    <t>O-51942-00</t>
  </si>
  <si>
    <t>Inverter Sinamics 1,1 kw 6SL3224-0BE21-1UA0</t>
  </si>
  <si>
    <t>Ada Stok Capex, 1Pcs</t>
  </si>
  <si>
    <t>O-15646-00</t>
  </si>
  <si>
    <t>OVERHEAT PROTECTION THERMOSTAT, JUMO ATHS-70/U; POWER: AC 230 VOLT / 10 AMP.; RANGE: 20..500?C; CONNECTION: UZ G1/2 CRNI</t>
  </si>
  <si>
    <t>Setara dengan O-53467-00</t>
  </si>
  <si>
    <t>O-51793-00</t>
  </si>
  <si>
    <t>Pneumatic Actuator Double Acting-063 Festork</t>
  </si>
  <si>
    <t>121703274 - INCOMPLETE</t>
  </si>
  <si>
    <t>O-52314-00</t>
  </si>
  <si>
    <t>Selenoid Valve VSNC-FC-M52-MD-G14-F8-1B2</t>
  </si>
  <si>
    <t>O-15669-00</t>
  </si>
  <si>
    <t>STERILIZING CHAMBER HEATERS ;NO. 03 RIBBED HEATERS RCU - 1000W - 230VAC -50/60HZ MATERIAL AISI316/304, MECHANICAL DIMENSION:; LENGTH: 397 MM -CENTER DISTANCE: 50 MM HEATING BODY DIAMETER: 10 MM RIBBED DIAMETER: 22 MM;</t>
  </si>
  <si>
    <t>O-15719-00</t>
  </si>
  <si>
    <t>TEMPERATURE PROBE  JUMO ; MODEL PT100 SINGLE ELEMENT, 6 WIRES, DIAMETER 3MM, LENGTH 100MM; PART NO :25596</t>
  </si>
  <si>
    <t>Setara dengan O-53144-00</t>
  </si>
  <si>
    <t>O-15722-00</t>
  </si>
  <si>
    <t>TEMPERATURE PROBE ;JUMO ; PT100 SINGLE ELEMENT, 3 WIRES, DIAMETER 3MM,; LENGTH 250MM; RANGE -200/600?C; MATERIAL: AISI321 (1.4541); PRECISION CLASS "A" (IEC751-2008); SILICONE CABLE LENGTH 10M; P/N: 25597</t>
  </si>
  <si>
    <t>setara dengan O-15905-00, tapi cari penawarannya dulu</t>
  </si>
  <si>
    <t>O-51703-00</t>
  </si>
  <si>
    <t>TEMPERATURE PROBE JUMO PT100 DOUBLE ELEMENTS, 6 WIRES, DIAMETER 3MM; LENGTH 350MM; RANGE -50/600?C; PRECISION CLASS "A" (IEC751-2008);  PART NO :25595; SILICONE CABLE LENGTH 10M; SHEET NO. 393-04 (TE31) 393-03 (TE32)</t>
  </si>
  <si>
    <t>Konfirm Name Plate 902250/32-415-2001-2-3-350-03-1000/00</t>
  </si>
  <si>
    <t>O-15905-00</t>
  </si>
  <si>
    <t>Temperature probe model PT100; single element, 3 wires diameter 3mm, length 250mm, Total silicone ca; ; ;</t>
  </si>
  <si>
    <t>O-15723-00</t>
  </si>
  <si>
    <t>TEMPERATURE PROBE PT100 DOUBLE ELEMENTS, 6 WIRES, DIAMETER 3MM, LENGTH 100MM; RANGE -50/600?C;MATERIAL: AISI321 (1.4541); PRECISION CLASS "A" (IEC751-2008); SILICONE CABLE LENGTH 10M</t>
  </si>
  <si>
    <t>O-52248-00</t>
  </si>
  <si>
    <t>Tunnel ST1L - 4-Channel Analog Input Module 750-468 Wago</t>
  </si>
  <si>
    <t>Setara dengan O-53421-00</t>
  </si>
  <si>
    <t>O-53421-00</t>
  </si>
  <si>
    <t>Tunnel ST1L - 750-468 4AI 0-10 VDC, Light Gray</t>
  </si>
  <si>
    <t>O-53480-00</t>
  </si>
  <si>
    <t>Tunnel ST1L - Amplifier PNP for Optical Fiber 12-24 VDC; Omron; E3XNA41</t>
  </si>
  <si>
    <t>O-52246-00</t>
  </si>
  <si>
    <t>Tunnel ST1L - Amplifier PNP for Optical Fiber 12-24 VDC; Part No. E3XNA41 Omron</t>
  </si>
  <si>
    <t>Setara dengan O-53480-00</t>
  </si>
  <si>
    <t>O-18348-00</t>
  </si>
  <si>
    <t>Tunnel ST1L - Connections AISI 304 - 1/8 Inch for Tunnel Inflatable Gasket Substitution Dia. Tube 6; ; ;</t>
  </si>
  <si>
    <t>GL2507038</t>
  </si>
  <si>
    <t>O-53210-00</t>
  </si>
  <si>
    <t>Tunnel ST1L - Fan MN-402-SV-Stainless Steel HP 0,33 - 2P -B5 - V.230/400 - RD0 Motor 63-B2 kW 0.25 +;Steriline;14519;</t>
  </si>
  <si>
    <t>O-53208-00</t>
  </si>
  <si>
    <t>Tunnel ST1L - Fan mod. MN-300 - RD0 - stainless steel HP 0.25 - 4P - B5 - V.230/400 50 Hz Motor 63-B;Steriline;23284;</t>
  </si>
  <si>
    <t>O-52224-00</t>
  </si>
  <si>
    <t>Tunnel ST1L - Fuse Keramik 22x58 40A 200kA; ; ;</t>
  </si>
  <si>
    <t>O-53200-00</t>
  </si>
  <si>
    <t>Tunnel ST1L - Gear Motor N100/So-UFR1 24Vac 50Hz 15Nm 0.5U/min (R1:1000) Metal Cover; Steriline; 19475; 1 pc</t>
  </si>
  <si>
    <t>Sudah datang</t>
  </si>
  <si>
    <t>O-53199-00</t>
  </si>
  <si>
    <t>Tunnel ST1L - Gear Motor N100/SO-UFR1 24VAC 50Hz Torque 4Nm Speed 2 U (R1:250; Steriline; 19474; 1 pc</t>
  </si>
  <si>
    <t>O-53195-00</t>
  </si>
  <si>
    <t>Tunnel ST1L - Heater for Tight Door 500W-230V Stainless H 60mm L 455mm T 5mm Cable L 2m; Steriline; 6763; 1 pc</t>
  </si>
  <si>
    <t>O-53476-00</t>
  </si>
  <si>
    <t>Tunnel ST1L - High Precision Optical Fiber; Omron; E32T61S5M</t>
  </si>
  <si>
    <t>GL2511300</t>
  </si>
  <si>
    <t>O-52244-00</t>
  </si>
  <si>
    <t>Tunnel ST1L - High Precision Optical Fiber; Part No. E32T61S5M Omron</t>
  </si>
  <si>
    <t>Setara dengan O-53476-00</t>
  </si>
  <si>
    <t>O-18346-00</t>
  </si>
  <si>
    <t>Tunnel ST1L - Junction (15x15mm L=23,5mm) CA system Tight Door; ; ;</t>
  </si>
  <si>
    <t>Bersamaan dengan inflatabledan connection</t>
  </si>
  <si>
    <t>O-53477-00</t>
  </si>
  <si>
    <t>Tunnel ST1L - Lens For Optic Fibers; Omron; E39F1</t>
  </si>
  <si>
    <t>O-52245-00</t>
  </si>
  <si>
    <t>Tunnel ST1L - Lens For Optic Fibers; Part No. E39F1 Omron</t>
  </si>
  <si>
    <t>Setara dengan O-53477-00</t>
  </si>
  <si>
    <t>O-53467-00</t>
  </si>
  <si>
    <t>Tunnel ST1L - OVERHEAT PROTECTION THERMOSTAT, JUMO ATHS-70/U; POWER: AC 230 VOLT / 10 AMP.; RANGE: 2</t>
  </si>
  <si>
    <t>O-16943-00</t>
  </si>
  <si>
    <t>Tunnel ST1L - Potentiometer Model 10K 3turns P/n: 3757</t>
  </si>
  <si>
    <t>O-53198-00</t>
  </si>
  <si>
    <t>Tunnel ST1L - Pressure Transmitter 0-100Pa output 4-20 P-Sensor-PIZ (2 Wires); Steriline; 1667; 1 pc</t>
  </si>
  <si>
    <t>O-53197-00</t>
  </si>
  <si>
    <t>Tunnel ST1L - Pressure Transmitter 0-250Pa output 4-20 P-Sensor/PIZ (2 Wires); Steriline; 12320; 1 pc</t>
  </si>
  <si>
    <t>O-53334-00</t>
  </si>
  <si>
    <t>Tunnel ST1L - RIBBED HEATERS RCU 1200W 230VAC 50/60HZ; Steriline; 4561; 1 Pc</t>
  </si>
  <si>
    <t>Setara dengan O-53510-00</t>
  </si>
  <si>
    <t>O-53144-00</t>
  </si>
  <si>
    <t>Tunnel ST1L - Sensor RTD 100 ohm double element With Nepple 3x150 mm 6 wire; Custom/Lokal; 0621043011; 1 Pc = 10 M</t>
  </si>
  <si>
    <t>O-18347-00</t>
  </si>
  <si>
    <t>Tunnel ST1L - Silicone Inflatable Gasket AIRMATIC AIR 1055 MVQ Centre length:1312 mm; ; ;</t>
  </si>
  <si>
    <t>O-51775-00</t>
  </si>
  <si>
    <t>WAGO 750-461 2-CHANNEL ANALOG INPUT MODULE STD PACK: 1EA</t>
  </si>
  <si>
    <t>O-52240-00</t>
  </si>
  <si>
    <t>WAGO 750-623 Supply Modul Input 5-15 V</t>
  </si>
  <si>
    <t>O-14616-00</t>
  </si>
  <si>
    <t>Black arm system for Rotating pincer pneumatic cylinder SINAR MUTIARA CAKRABUANA, PT C/N : 33661 pc</t>
  </si>
  <si>
    <t>Setara dengan O-20913-00</t>
  </si>
  <si>
    <t>O-51838-00</t>
  </si>
  <si>
    <t>Compact Cylinder (w/o Non Rotating); TYPE : RP 200 016 0015; ; ;</t>
  </si>
  <si>
    <t>Setara dengan O-20953-00</t>
  </si>
  <si>
    <t>O-54127-00</t>
  </si>
  <si>
    <t>Control Unit G120 CU240E-2 DP E-type safety, Sinamics; Siemens; ;</t>
  </si>
  <si>
    <t>O-15586-00</t>
  </si>
  <si>
    <t>EXIT LIFTING SIDE GUIDES CYLINDER ; CYLINDER D=16 STROKE=15</t>
  </si>
  <si>
    <t>Setara dengan O-16658-00</t>
  </si>
  <si>
    <t>O-52200-00</t>
  </si>
  <si>
    <t>FESTO -  Proximity Sensor SME-8M-DS-24V-K-0,3-M8D p/n: 543861</t>
  </si>
  <si>
    <t>O-52820-00</t>
  </si>
  <si>
    <t>Basic Operation Panel SINAMICS G120 6SL3255-0AA00-4CA1; Siemens; ;</t>
  </si>
  <si>
    <t>O-16658-00</t>
  </si>
  <si>
    <t>FESTO - Cylinder Compact ADNGF-16-15-P-A p/n: 554214</t>
  </si>
  <si>
    <t>O-20503-00</t>
  </si>
  <si>
    <t>General - Gear Motor Rotary Tabel Washing; Bonfiglioli; VFR44 P 230 S44 B3 + BN44B 4; 1 Unit</t>
  </si>
  <si>
    <t>GL2506399</t>
  </si>
  <si>
    <t>O-20501-00</t>
  </si>
  <si>
    <t>General - Gearbox Washing; Bonfiglioli; VF44 A 60 B5 B3; 1 Unit</t>
  </si>
  <si>
    <t>O-20296-00</t>
  </si>
  <si>
    <t>General - Rotating Pincer Pneumatik  SMC MRHQ20D-180S-DIN00358</t>
  </si>
  <si>
    <t>O-15628-00</t>
  </si>
  <si>
    <t>LEFT AND RIGHT PINCER ACTUATOR ; SMC :BISTABLE ELECTROVALVE - SV1200-5FU</t>
  </si>
  <si>
    <t>O-15634-00</t>
  </si>
  <si>
    <t>MICROSWITCH FOR PNEUMATIC CYLINDER, UNIVER, DF-220M08</t>
  </si>
  <si>
    <t>Setara dengan O-52200-00</t>
  </si>
  <si>
    <t>O-14620-00</t>
  </si>
  <si>
    <t>Microswitch for pneumatic cylinder; ; c/n 7821;</t>
  </si>
  <si>
    <t>O-15635-00</t>
  </si>
  <si>
    <t>MICROSWITCH FOR PNEUMATIC CYLINDER; UNIVER INLET LIFTING SIDE GUIDES CYLINDER BACKWARD POSITION SENSOR ;</t>
  </si>
  <si>
    <t>Konfirm tipe di festonya apa</t>
  </si>
  <si>
    <t>O-15641-00</t>
  </si>
  <si>
    <t>NEEDLES LIFTING MOTOR  ; LIKA ; MOTOR BRUSHLESS MODEL LIKA 31W SERIAL NO. 125101268;</t>
  </si>
  <si>
    <t>Setara dengan O-54176-00</t>
  </si>
  <si>
    <t>O-14618-00</t>
  </si>
  <si>
    <t>Pneumatic pincher silicone cover sleeve; ; c/n 15927;</t>
  </si>
  <si>
    <t>Beli lokal sementara di 121703081</t>
  </si>
  <si>
    <t>O-15588-00</t>
  </si>
  <si>
    <t>SERVO MOTOR, OMRON G5 114V, 400W, 250HZ, 1.27 NM, 3000 RPM WITH ABSOLUTE ENCODER NO BRAKE</t>
  </si>
  <si>
    <t>O-15724-00</t>
  </si>
  <si>
    <t>TRIPHASE MICROMASTER INVERTER SERIES 440 0,37KW 3AC 380-480V; PART NO :3648</t>
  </si>
  <si>
    <t>Nonstok</t>
  </si>
  <si>
    <t>Discontinue, ada stok capex 3</t>
  </si>
  <si>
    <t>P-16972-00</t>
  </si>
  <si>
    <t>Vent Filter HE Press 6.5 bar, temp. 40C ; Brand : NOVASIP ( PALL ) ; P/N : C3PFRPI , IT09556493 ; Pack Size : pcs</t>
  </si>
  <si>
    <t>GL2509012</t>
  </si>
  <si>
    <t>O-15677-00</t>
  </si>
  <si>
    <t>VIALS UNLOADING CYLINDER   ; UNIVER ; MEGNETIC CYLINDER SERIES RP100200110 DIAMETER=20 STROKE=110; P/N: 20087</t>
  </si>
  <si>
    <t>Setara dengan O-53486-00</t>
  </si>
  <si>
    <t>O-20953-00</t>
  </si>
  <si>
    <t>Washing RAR4 - Compact Cylinder (w/o Non Rotating); Univer; RP 200 016 0015; 1 Pc</t>
  </si>
  <si>
    <t>O-54176-00</t>
  </si>
  <si>
    <t>Washing RAR4 - Encoder Model RD1A-P8-TI2-PB-E2-M; Lika; 125101266;</t>
  </si>
  <si>
    <t>O-19340-00</t>
  </si>
  <si>
    <t>Washing RAR4 - Guide Rell Outfeed, Machining Plate Material Pom Putih; ; ;</t>
  </si>
  <si>
    <t>O-19373-00</t>
  </si>
  <si>
    <t>121703270 - INCOMPLETE</t>
  </si>
  <si>
    <t>O-20857-00</t>
  </si>
  <si>
    <t>Washing RAR4 - Needle CA, OD 15 x 168 mm, Mat. SS316; Custom/Lokal; -; 1 Pc</t>
  </si>
  <si>
    <t>GL2508018</t>
  </si>
  <si>
    <t>O-19372-00</t>
  </si>
  <si>
    <t>Washing RAR4 - Needle PW, OD.15mmx123mm, Material SS 319; ; ;</t>
  </si>
  <si>
    <t>O-19342-00</t>
  </si>
  <si>
    <t>Washing RAR4 - Pendorong Pusher Outfeed, Machining Plate Material Pom Putih; ; ;</t>
  </si>
  <si>
    <t>O-17068-00</t>
  </si>
  <si>
    <t>Washing RAR4 - Pincers Jaws 4 Positions 10R Vial Neck d=15.5</t>
  </si>
  <si>
    <t>O-17069-00</t>
  </si>
  <si>
    <t>Washing RAR4 - Pincers Jaws for Vial 20mL &amp; 25mL</t>
  </si>
  <si>
    <t>O-17070-00</t>
  </si>
  <si>
    <t>Washing RAR4 - Pincers Jaws for Vial 50mL</t>
  </si>
  <si>
    <t>O-17071-00</t>
  </si>
  <si>
    <t>Washing RAR4 - Pincers Jaws for Vial 6mL</t>
  </si>
  <si>
    <t>GL2509449</t>
  </si>
  <si>
    <t>O-19341-00</t>
  </si>
  <si>
    <t>Washing RAR4 - Set Giude Rell Outfeed, Machining Plate Material Pom Putih; ; ;</t>
  </si>
  <si>
    <t>O-21032-00</t>
  </si>
  <si>
    <t>Washing RAR4 - Steel Ball / Gotri 2.5mm (1pck=100pc)</t>
  </si>
  <si>
    <t>O-53486-00</t>
  </si>
  <si>
    <t>Washing RAR4 - VIALS UNLOADING CYLINDER ; MEGNETIC CYLINDER SERIES RP100200110 DIAMETER=20 STROKE=11</t>
  </si>
  <si>
    <t>O-20231-00</t>
  </si>
  <si>
    <t>Washing RAV4 - Base Black Arm Mat. VCN; Custom/Lokal; -; 1 Pc</t>
  </si>
  <si>
    <t>Setara dengan O-14616-00</t>
  </si>
  <si>
    <t>O-20230-00</t>
  </si>
  <si>
    <t>Washing RAV4 - Black Arm Mat. SUS 304; Custom/Lokal; -; 1 Pc</t>
  </si>
  <si>
    <t>O-17393-00</t>
  </si>
  <si>
    <t>Autoclave Fedegari FOF / 6 AC - O-Ring 6.02x2.62; p/n. CC150168</t>
  </si>
  <si>
    <t>O-17395-00</t>
  </si>
  <si>
    <t>Autoclave Fedegari FOF / 6 AC - O-Ring 10.78x2.62; p/n. CC150169</t>
  </si>
  <si>
    <t>O-17399-00</t>
  </si>
  <si>
    <t>Autoclave Fedegari FOF / 6 AC - O-RING21.82x3.53 ; p/n CC150010</t>
  </si>
  <si>
    <t>O-50394-00</t>
  </si>
  <si>
    <t>FESTO - LRP-1/4-2,5 Prec. Regulator p/n: 162834</t>
  </si>
  <si>
    <t>O-53516-00</t>
  </si>
  <si>
    <t>Freeze Dryer Lyofast 10 - RTD PT 100 ohm Dia 4x16mm, Temp. -100 - 200?C, P. Kabel 10 meter</t>
  </si>
  <si>
    <t>O-53510-00</t>
  </si>
  <si>
    <t>Tunnel ST1L - Finned Heater U Form Dia 11x520mm 230V-1200W</t>
  </si>
  <si>
    <t>O-20496-00</t>
  </si>
  <si>
    <t>General - Diaphragm Grade ER SQUARE Type A EPDM Diaphragm Screw; Saunders; DP008ER; 1 Pc</t>
  </si>
  <si>
    <t>O-20913-00</t>
  </si>
  <si>
    <t>General - Air Gripper; SMC; MHZJ2 20DS X43 X81B; 1 Pc</t>
  </si>
  <si>
    <t>O-53568-00</t>
  </si>
  <si>
    <t>Autoclave Fedegari FOF / 6 AC - Transition Joint RTD Sensor RTJ201 (SG-060503) PT100 4W Duplex; Radix; RTJ201-1-C-D-3-0-NA-XNA-05-00070-10-Si-PN-XXX; 1 Pc</t>
  </si>
  <si>
    <t>P-11227-00</t>
  </si>
  <si>
    <t>General - Push-in T-connector, QST-6; Festo; 15312</t>
  </si>
  <si>
    <t>P-52854-00</t>
  </si>
  <si>
    <t>General - Socket RJ45 Cat 6; Belden; -; 50pcs/pack</t>
  </si>
  <si>
    <t>Q-10715-00</t>
  </si>
  <si>
    <t>Lem PVC Isarplas Kuas @400gr; ; ;</t>
  </si>
  <si>
    <t>P-12942-00</t>
  </si>
  <si>
    <t>Water Mur PVC dia 1inch</t>
  </si>
  <si>
    <t>O-16725-00</t>
  </si>
  <si>
    <t>3 Way Ball Valve SS304 3/4 inch c/w Pneumatic Actuator + Selenoid 24 VDC</t>
  </si>
  <si>
    <t>P-54463-00</t>
  </si>
  <si>
    <t>General - MCB 4A 1Phase Domae; Schneider; DOMF01104; 1 pc</t>
  </si>
  <si>
    <t>P-54462-00</t>
  </si>
  <si>
    <t>General - MCB 6A 1Phase Domae; Schneider; DOMF01106; 1 pc</t>
  </si>
  <si>
    <t>O-53641-00</t>
  </si>
  <si>
    <t>Mixing Tank Adam - Lampu Tanam Lantai LED DC 12-24V 3W Uplight COB Waterproof IP65; General; -; 1 Pc</t>
  </si>
  <si>
    <t>O-53645-00</t>
  </si>
  <si>
    <t>Autoclave Fedegari FVA2/A1 - Pressure Transducer PBMN 23 (CD230065); Baumer; -; 1 Pc</t>
  </si>
  <si>
    <t>O-21648-00</t>
  </si>
  <si>
    <t>Autoclave Fedegari FVA2/A1 NB2963AT - DN16 Modulating Valve Spare Parts; Fedegari; KK000305; 1 Pc</t>
  </si>
  <si>
    <t>O-21649-00</t>
  </si>
  <si>
    <t>Autoclave Fedegari FVA2/A1 NB2963AT - Water Presence Probe Kit and OR Seal; Fedegari; KK000080; 1 Pc</t>
  </si>
  <si>
    <t>O-50827-00</t>
  </si>
  <si>
    <t>General - Opto CapBT02T Operating Range 8 ppb - 60% O2 Sat P/N 30018857, Measured Pressure Resistance : 0-6 bar; Mettler Toledo; 30018857; 1 Pc</t>
  </si>
  <si>
    <t>P-12830-00</t>
  </si>
  <si>
    <t>Sodium metabisulfit</t>
  </si>
  <si>
    <t>O-53635-00</t>
  </si>
  <si>
    <t>Marchesini MA155 - Inverter 1/N/PE AC 230/240V 0,37KW; Lenze; E84AVSCE3712SX0; 1 Pc</t>
  </si>
  <si>
    <t>O-20751-00</t>
  </si>
  <si>
    <t>Marchesini MA155 - Roller Gripper Cartoning Uk. 13x6x6mm; Custom/Lokal; -; 1 Pc</t>
  </si>
  <si>
    <t>O-18055-00</t>
  </si>
  <si>
    <t>Robot Casepacker - Suction cup; VB17. single below; diameter Cup 17 mm; Vmeca; -; 1 Pc</t>
  </si>
  <si>
    <t>O-52210-00</t>
  </si>
  <si>
    <t>Autoclave Fedegari FVA2/A1 NB2963AT - Level Transmitter code 15218 2m p/n: CD050024; ; ;</t>
  </si>
  <si>
    <t>O-50697-00</t>
  </si>
  <si>
    <t>Autoclave Fedegari FOF / 6 AC - P/N. KK000304-KIT RICAMBI VALV.DN16 ON-OFF</t>
  </si>
  <si>
    <t>O-17376-00</t>
  </si>
  <si>
    <t>Autoclave Fedegari FOF / 6 AC - Kit DN22 Valve Mod; p/n: KK000310; ; ;</t>
  </si>
  <si>
    <t>P-20309-00</t>
  </si>
  <si>
    <t>General - Hole Saw TCT Kugel 100 mm; Kugel; ;</t>
  </si>
  <si>
    <t>P-53202-00</t>
  </si>
  <si>
    <t>HVAC - Programmable RH &amp; Temp. transmitter MF-HTT 0-100% RH dan 0-100 deg.C 24VAAC Micatrone</t>
  </si>
  <si>
    <t>P-52709-00</t>
  </si>
  <si>
    <t>Pressure Transmitter TPS30-G27AR2-00 AUTONICS</t>
  </si>
  <si>
    <t>P-52663-00</t>
  </si>
  <si>
    <t>Solid State Relay 3-32 VDC  24-330 VAC 40 A</t>
  </si>
  <si>
    <t>P-52590-00</t>
  </si>
  <si>
    <t>Heater Duchting DIA.11.2 x 300mm 220 V 5000 W</t>
  </si>
  <si>
    <t>P-52369-00</t>
  </si>
  <si>
    <t>HVAC - Pressure Flow Control MF PFC Ver.3 24 VAC/VDC 0 - 100 Pa Micatrone</t>
  </si>
  <si>
    <t>P-52033-00</t>
  </si>
  <si>
    <t>Inverter HVAC Drives FC-102 2,2 kw 380-480 V Danfoss</t>
  </si>
  <si>
    <t>P-19898-00</t>
  </si>
  <si>
    <t>General - Bushing VAV dia. 24 x 26mm</t>
  </si>
  <si>
    <t>P-19029-00</t>
  </si>
  <si>
    <t>Washable G4 Avg arrestance : 94%. Rec. Final resistance: 250 Pa. Size: 12" x 24" x 2"</t>
  </si>
  <si>
    <t>P-19028-00</t>
  </si>
  <si>
    <t>Washable G4 Avg arrestance : 94%. Rec. Final resistance: 250 Pa. Size: 24" x 24" x 2"</t>
  </si>
  <si>
    <t>P-18546-00</t>
  </si>
  <si>
    <t>Constan Air Volume EN 200x100 with Flow Scale 0-600 CMH</t>
  </si>
  <si>
    <t>P-18066-00</t>
  </si>
  <si>
    <t>Hepa Filter - H13 ( 99,95% ) Size: 610x610x90</t>
  </si>
  <si>
    <t>P-17347-00</t>
  </si>
  <si>
    <t>Pre Filter G4 2m x 20m x 2mm</t>
  </si>
  <si>
    <t>P-14458-00</t>
  </si>
  <si>
    <t>Filter IAF MBV Series (Medium Filter), efficiency : 90-95 %, Size: 12 x 24 x 12 inch</t>
  </si>
  <si>
    <t>P-14456-00</t>
  </si>
  <si>
    <t>Filter IAF MBV Series (Medium Filter), efficiency : 80-85 %, Size: 12 x 24 x 12 inch</t>
  </si>
  <si>
    <t>P-14455-00</t>
  </si>
  <si>
    <t>Filter IAF MBV Series (Medium Filter), efficiency : 80-85 %, Size: 24 x 24 x 12 inch</t>
  </si>
  <si>
    <t>P-14454-00</t>
  </si>
  <si>
    <t>Filter IAF MB Series (Medium Filter), efficiency : 60-65 %, Size: 12 x 24 x 12 inch</t>
  </si>
  <si>
    <t>P-14453-00</t>
  </si>
  <si>
    <t>Filter IAF MB Series (Medium Filter), efficiency : 60-65 %, Size: 24 x 24 x 12 inch</t>
  </si>
  <si>
    <t>P-13388-00</t>
  </si>
  <si>
    <t>Ball Valve Kitz 1/2"</t>
  </si>
  <si>
    <t>P-13370-00</t>
  </si>
  <si>
    <t>General - Pulser SCR Heater Controller Wall Mounted 0-10 VD DC; Regin; 240-X010; 1 unit</t>
  </si>
  <si>
    <t>P-10019-00</t>
  </si>
  <si>
    <t>Pre Filter G4 size : 12X24X2</t>
  </si>
  <si>
    <t>Setara dengan P-19029-00</t>
  </si>
  <si>
    <t>O-19389-00</t>
  </si>
  <si>
    <t>HEPA filter minipleat, size: 610X305X93 H14</t>
  </si>
  <si>
    <t>O-19388-00</t>
  </si>
  <si>
    <t>HEPA filter minipleat, size: 610X610X93 H14</t>
  </si>
  <si>
    <t>O-19347-00</t>
  </si>
  <si>
    <t>HEPA filter minipleat, size: 1220X610X93 H13</t>
  </si>
  <si>
    <t>O-19346-00</t>
  </si>
  <si>
    <t>HEPA filter minipleat, size: 1220X610X93 H14</t>
  </si>
  <si>
    <t>O-15492-00</t>
  </si>
  <si>
    <t>SPA 1132 Brand : Optibelt / Bando Merah</t>
  </si>
  <si>
    <t>O-15489-00</t>
  </si>
  <si>
    <t>SPA 1120 Brand : Optibelt / Bando Merah</t>
  </si>
  <si>
    <t>Q-60401-00</t>
  </si>
  <si>
    <t>Handle Pintu Bulat, Elbow Press Lock; Meroni; N13NE TB127;</t>
  </si>
  <si>
    <t>Q-60026-00</t>
  </si>
  <si>
    <t>Kuas Eterna 2</t>
  </si>
  <si>
    <t>Q-60025-00</t>
  </si>
  <si>
    <t>Kuas Eterna 1</t>
  </si>
  <si>
    <t>Q-10946-00</t>
  </si>
  <si>
    <t>Silicone Sealant N10 Light Grey; ; ;</t>
  </si>
  <si>
    <t>Q-10829-00</t>
  </si>
  <si>
    <t>Cat Ambiance Lakestone 44537M Tinting; Dulux; ;</t>
  </si>
  <si>
    <t>Q-10817-00</t>
  </si>
  <si>
    <t>Door Closer Type: TS77 Hold Open; DORMA; ;</t>
  </si>
  <si>
    <t>Q-10805-00</t>
  </si>
  <si>
    <t>Multipox MX-98 White @ 20 KG</t>
  </si>
  <si>
    <t>Q-10752-00</t>
  </si>
  <si>
    <t>Cat Duragloss Silver Metalic 9115; Propan; ;</t>
  </si>
  <si>
    <t>Q-10656-00</t>
  </si>
  <si>
    <t>Kuas Eterna 5 Inch</t>
  </si>
  <si>
    <t>Q-10650-00</t>
  </si>
  <si>
    <t>Aquaproof Abu-Abu @4 Kg; ; ;</t>
  </si>
  <si>
    <t>Q-10572-00</t>
  </si>
  <si>
    <t>PHILIPS - Lampu LED TL T8 120 Cm 16 Watt</t>
  </si>
  <si>
    <t>Q-10517-00</t>
  </si>
  <si>
    <t>Scraper / Kape Besi</t>
  </si>
  <si>
    <t>Q-10460-00</t>
  </si>
  <si>
    <t>Magnetic door stopper</t>
  </si>
  <si>
    <t>Q-50013-00</t>
  </si>
  <si>
    <t>Frame or Perimeter Seal RP48 White; Raven; R48W6; 6 meter/pck</t>
  </si>
  <si>
    <t>Q-10302-00</t>
  </si>
  <si>
    <t>Compound Gypsum; ; ;</t>
  </si>
  <si>
    <t>Q-10172-00</t>
  </si>
  <si>
    <t>Polyfloor PFT-213 Light blue @ 20 KG</t>
  </si>
  <si>
    <t>Q-10154-00</t>
  </si>
  <si>
    <t>Roller cat 230mm</t>
  </si>
  <si>
    <t>Q-10153-00</t>
  </si>
  <si>
    <t>Roller cat 110mm</t>
  </si>
  <si>
    <t>Q-10136-00</t>
  </si>
  <si>
    <t>TOTO - Kran T23BQ13N</t>
  </si>
  <si>
    <t>Q-10134-00</t>
  </si>
  <si>
    <t>TOTO - Jet Shower spray TX 403S</t>
  </si>
  <si>
    <t>P-53173-00</t>
  </si>
  <si>
    <t>Ballast Electronic EB-C 214 TL5, 2x14W; Phillips; ;</t>
  </si>
  <si>
    <t>Setara dengan P-53169-00</t>
  </si>
  <si>
    <t>P-53171-00</t>
  </si>
  <si>
    <t>Ballast Electronic EB-C 218 TL5, 2x18W; Phillips; ;</t>
  </si>
  <si>
    <t>P-53169-00</t>
  </si>
  <si>
    <t>Ballast Electronic EB-C 228 TL5, 2x28W; Phillips; ;</t>
  </si>
  <si>
    <t>P-53102-00</t>
  </si>
  <si>
    <t>Lampu PLC 13watt/E27 Putih; Phillips; ;</t>
  </si>
  <si>
    <t>Setara dengan P-54447-00 dan P-51741-00</t>
  </si>
  <si>
    <t>P-52975-00</t>
  </si>
  <si>
    <t>Limit Switch; EWIG; E8108 IP65; ; ;</t>
  </si>
  <si>
    <t>P-52665-00</t>
  </si>
  <si>
    <t>Buzzer Electronic Siren PW-235; TAB; ;</t>
  </si>
  <si>
    <t>P-52420-00</t>
  </si>
  <si>
    <t>Ceiling Exhaust Fan FV-25TGU5</t>
  </si>
  <si>
    <t>P-52193-00</t>
  </si>
  <si>
    <t>Lampu UV 8 Watt; ; ;</t>
  </si>
  <si>
    <t>P-51894-00</t>
  </si>
  <si>
    <t>Philips - Lampu TLD 18W/840 Bright Boost Cool White; ; ;</t>
  </si>
  <si>
    <t>P-50717-00</t>
  </si>
  <si>
    <t>General - Kabel UTP 4 Pairs Cat 6; Belden; -; 305m/roll</t>
  </si>
  <si>
    <t>P-51560-00</t>
  </si>
  <si>
    <t>Lampu T5 28watt Putih; Phillips; ;</t>
  </si>
  <si>
    <t>P-51559-00</t>
  </si>
  <si>
    <t>Lampu T5 14watt Putih; Phillips; ;</t>
  </si>
  <si>
    <t>P-50506-00</t>
  </si>
  <si>
    <t>Saklar Tunggal / 250 V / Clipsal</t>
  </si>
  <si>
    <t>P-50505-00</t>
  </si>
  <si>
    <t>Saklar Seri / 250 V / Clipsal</t>
  </si>
  <si>
    <t>P-50122-00</t>
  </si>
  <si>
    <t>Balast Quitronick Osram 1x18/20/ 220 - 240V</t>
  </si>
  <si>
    <t>P-18468-00</t>
  </si>
  <si>
    <t>Pass Box Stickers ZC-A; ; ;</t>
  </si>
  <si>
    <t>P-18467-00</t>
  </si>
  <si>
    <t>Pass Box Stickers JZC-A Kecil; ; ;</t>
  </si>
  <si>
    <t>P-18067-00</t>
  </si>
  <si>
    <t>Lampu LED T5 120 CM 16 Watt 6000K; ; ;</t>
  </si>
  <si>
    <t>P-13429-00</t>
  </si>
  <si>
    <t>Cable Ducting 25x40mm; ; ;</t>
  </si>
  <si>
    <t>Q-10207-00</t>
  </si>
  <si>
    <t>Keramik Roman Warna Putih 40 x 40 cm;Roman;CN: 447106;pack size per pack</t>
  </si>
  <si>
    <t>O-16573-00</t>
  </si>
  <si>
    <t>Marchesini MA155 - Conveyor Belt TS10 290 x 40 Habasit p/n:C720002940</t>
  </si>
  <si>
    <t>O-16571-00</t>
  </si>
  <si>
    <t>Marchesini MA155 - Conveyor Belt TS10 570 x 40 Habasit p/n:C720005740</t>
  </si>
  <si>
    <t>O-16570-00</t>
  </si>
  <si>
    <t>Marchesini MA155 - Conveyor Belt TS10 720 x 40 Habasit p/n:C720007240</t>
  </si>
  <si>
    <t>O-19822-00</t>
  </si>
  <si>
    <t>Flexible Front End 916 - (125.0 - 125.0)</t>
  </si>
  <si>
    <t>T-25454-00</t>
  </si>
  <si>
    <t>Filter Flag, 2998, Classic; Waters; 700003767;</t>
  </si>
  <si>
    <t>T-20851-00</t>
  </si>
  <si>
    <t>One-piece Fitting, 10 - 32; Waters; 700004841; 10 pcs per pack; Waters; 700004841; 10 pcs/pack</t>
  </si>
  <si>
    <t>T-20791-00</t>
  </si>
  <si>
    <t>Heater/Cooler Engine 2690 Waters700001066</t>
  </si>
  <si>
    <t>Performance Plus Check Valve Housing; Waters; 700002332;</t>
  </si>
  <si>
    <t>T-20591-00</t>
  </si>
  <si>
    <t>Kit, Performance PLUS seal pack rebuild; Waters; 700011783; 1 pieces / pack</t>
  </si>
  <si>
    <t>T-20215-00</t>
  </si>
  <si>
    <t>ASSY PCB DEGASSER QSPI MULTI-PERS, Waters, Part No. 700002511</t>
  </si>
  <si>
    <t>T-20212-00</t>
  </si>
  <si>
    <t>SEAL PLUNGER 2690, Waters, Part No. WAT270938, PKG (2)</t>
  </si>
  <si>
    <t>T-20201-00</t>
  </si>
  <si>
    <t>ASSY,SOLVENT FILTER., Waters, Part No. WAT025531</t>
  </si>
  <si>
    <t>T-20177-00</t>
  </si>
  <si>
    <t>2690/95 PERFORMANCE MAINTENANCE KIT., Waters, Part No. WAT270944</t>
  </si>
  <si>
    <t>T-20136-00</t>
  </si>
  <si>
    <t>2690 SEAL PACK REBUILD PKG; Waters; c/n WAT271019;</t>
  </si>
  <si>
    <t>T-20123-00</t>
  </si>
  <si>
    <t>Acquity PDA/TUV 2489/2998 Perf Main Kit (lampu HPLC); Waters; P/N 201000281; 1 pc</t>
  </si>
  <si>
    <t>T-20118-00</t>
  </si>
  <si>
    <t>FILTER INSERT ASSY Waters P/N WAT088084 1 pc</t>
  </si>
  <si>
    <t>T-20055-00</t>
  </si>
  <si>
    <t>PerformancePlus Check Valve Cartridge Waters p/n 700002399</t>
  </si>
  <si>
    <t>O-16030-00</t>
  </si>
  <si>
    <t>001292; Item Type : Dry box; 97800 Y 8.5 E4 5; Material : CSM; Shape : 97; Size : 8.5; Thickness (mm; ; ;</t>
  </si>
  <si>
    <t>Setara dengan O-21486-00</t>
  </si>
  <si>
    <t>O-51000-00</t>
  </si>
  <si>
    <t>Colamark - Print Head for Part TTO Domino p/n EPP001359 SP</t>
  </si>
  <si>
    <t>O-17242-00</t>
  </si>
  <si>
    <t>Belt HTD 720-5M-95mm + Lapisan Blue Sponge 6mm DIAN BATARA INTI, PT P/N : - set</t>
  </si>
  <si>
    <t>P-53259-00</t>
  </si>
  <si>
    <t>UV Sensor PIN : 270264040; Hanovia; ;</t>
  </si>
  <si>
    <t>PW SKID</t>
  </si>
  <si>
    <t>P-14244-00</t>
  </si>
  <si>
    <t>General - UV Lamp SD55-320W; Hanovia; 130071-0320-C; 1 pc</t>
  </si>
  <si>
    <t>P-15905-00</t>
  </si>
  <si>
    <t>Filter Catridge; Type: TefTEC Series; P/N : TefTEC 0.2 - 10 P7S; Lenght : 10 Inch; O-Ring : 226 Fin; ; ;</t>
  </si>
  <si>
    <t>P-15862-00</t>
  </si>
  <si>
    <t>PAPER RECORD YOKOGAWA; FOLDING CHART B9565AW</t>
  </si>
  <si>
    <t>P-14899-00</t>
  </si>
  <si>
    <t>Electrode Set Ozone Generator; Ozonia MKIV; ;</t>
  </si>
  <si>
    <t>O-14594-00</t>
  </si>
  <si>
    <t>Kit, membrane ozone 6510 METTLER TOLEDO INDONESIA, PT P/N : -  pc</t>
  </si>
  <si>
    <t>O-20555-00</t>
  </si>
  <si>
    <t>Marchesini MA155 - Lower Belt Shaft Complete, 21. 4. 0. 1/0 395K; -; M660010001; 1 Pc</t>
  </si>
  <si>
    <t>O-20556-00</t>
  </si>
  <si>
    <t>Marchesini MA155 - Upper Belt Shaft, 21. 4. 0. 1/0. 394K; -; M660010002; 1 Pc</t>
  </si>
  <si>
    <t>O-20557-00</t>
  </si>
  <si>
    <t>Marchesini MA155 - Combination Folding Roller, 21. 4. 0 1/0. 244; -; M660010009; 1 Pc</t>
  </si>
  <si>
    <t>O-20558-00</t>
  </si>
  <si>
    <t>Marchesini MA155 - Combination Folding Roller, 21. 4. 0. 1/0. 233; -; M660010009; 1 Pc</t>
  </si>
  <si>
    <t>O-20559-00</t>
  </si>
  <si>
    <t>Marchesini MA155 - Combination Folding Roller, 21. 4. 0. 1/0. 222; -; M660010007; 1 Pc</t>
  </si>
  <si>
    <t>P-12695-00</t>
  </si>
  <si>
    <t>PC 4200/IMA C90 - Draw in-roller Cpl; GUK; 21401-0007; 1 pcs</t>
  </si>
  <si>
    <t>O-21486-00</t>
  </si>
  <si>
    <t>General - Isolator Glove CSM Port size 10 Inch Length : 800 mm, Thick : 15mil/0.4mm; TRON; 10Y1532A0975; 1 Pc</t>
  </si>
  <si>
    <t>Isolator Sampling</t>
  </si>
  <si>
    <t>P-54447-00</t>
  </si>
  <si>
    <t>General - Lampu LED Downlight 9W DN027B G3 D125, 900 lm, 65k, Putih; Philips; -; 1 pc</t>
  </si>
  <si>
    <t>P-51741-00</t>
  </si>
  <si>
    <t>Lampu Phillips PHP LED; 710 7w E27 White 220-240v; ; ;</t>
  </si>
  <si>
    <t>O-21720-00</t>
  </si>
  <si>
    <t>General - Sleeves CSM 001642 M200/90 Y 550 E4 Bt5/5 Thikness 4/10; Piercan; SP010822; 1 Pc</t>
  </si>
  <si>
    <t>O-21284-00</t>
  </si>
  <si>
    <t>General - Isolator Gloves 000080 E10330 CNS 7 E3 5 Neoprene No Staining; Piercan; SG010138; 1 Pc</t>
  </si>
  <si>
    <t>Capsulle</t>
  </si>
  <si>
    <t>O-21485-00</t>
  </si>
  <si>
    <t>General - Isolator Glove CSM Port size 8 Inch Length : 800 mm, Thick : 15mil/0.4mm; TRON; 8Y1532A0975; 1 Pc</t>
  </si>
  <si>
    <t>Tabletting</t>
  </si>
  <si>
    <t>T-80109-00</t>
  </si>
  <si>
    <t>Cellotape / Lakban Kertas 1 inch warna Putih ; No Brand ; pack size per pcs</t>
  </si>
  <si>
    <t>S-11400-00</t>
  </si>
  <si>
    <t>Majun AA, No Brand, Budhi Supplies, pack size per kg</t>
  </si>
  <si>
    <t>P-50138-00</t>
  </si>
  <si>
    <t>Battery Lithium / Buffer TL-2150 size 1/2 AA</t>
  </si>
  <si>
    <t>P-51928-00</t>
  </si>
  <si>
    <t>Battery Lithium 3V CR2477N; ; ;</t>
  </si>
  <si>
    <t>P-14424-00</t>
  </si>
  <si>
    <t>Garam Kutreat RGN-9800F; ; ; 25Kg/zak</t>
  </si>
  <si>
    <t>P-14877-00</t>
  </si>
  <si>
    <t>Kabel NYYHY 3x2,5mm; ; ;</t>
  </si>
  <si>
    <t>Q-10845-00</t>
  </si>
  <si>
    <t>Fitting Lampu Bholam E27; ; ; pcs</t>
  </si>
  <si>
    <t>P-50286-00</t>
  </si>
  <si>
    <t>General - Kabel NYYHY 3 x 1.5mm; SUPREME; -; 1 meter</t>
  </si>
  <si>
    <t>P-51313-00</t>
  </si>
  <si>
    <t>UTICON - Stop kontak 4 lubang 16-25 V</t>
  </si>
  <si>
    <t>Q-60105-00</t>
  </si>
  <si>
    <t>Cat Dulux Ambiance Brilliant White; Dulux; 2290; pack size per 20L</t>
  </si>
  <si>
    <t>Q-60404-00</t>
  </si>
  <si>
    <t>Cat Interior Catylac; Dulux; Type Putih 1501N; 25 kg/pail</t>
  </si>
  <si>
    <t>S-40645-00</t>
  </si>
  <si>
    <t>Cable Ties, 200 x 4.8 mm; SIGMA; CS 200L; Putih;100 pcs/pack</t>
  </si>
  <si>
    <t>S-40640-00</t>
  </si>
  <si>
    <t>Cable Ties, 150 x 3.6 mm; SIGMA; CS 150T; Putih;100 pcs/pack</t>
  </si>
  <si>
    <t>S-11816-00</t>
  </si>
  <si>
    <t>Cable Ties Nylon reusable (Colour Black) Lenght 20cm; ; ;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</si>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</sst>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-yy"/>
    <numFmt numFmtId="165" formatCode="dd&quot;-&quot;mmm&quot;-&quot;yy"/>
    <numFmt numFmtId="166" formatCode="dd-mmm-yy"/>
    <numFmt numFmtId="167" formatCode="mmm d"/>
    <numFmt numFmtId="168" formatCode="dd mmm yy"/>
    <numFmt numFmtId="169" formatCode="d-mmmm-yy"/>
    <numFmt numFmtId="170" formatCode="dd-mmmm-yy"/>
    <numFmt numFmtId="171" formatCode="d&quot; &quot;mmm&quot; &quot;yyyy"/>
    <numFmt numFmtId="172" formatCode="d mmm 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vertical="bottom" wrapText="1"/>
    </xf>
    <xf borderId="0" fillId="0" fontId="1" numFmtId="0" xfId="0" applyFont="1"/>
    <xf borderId="3" fillId="0" fontId="2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horizontal="center" vertical="bottom"/>
    </xf>
    <xf borderId="0" fillId="0" fontId="1" numFmtId="4" xfId="0" applyFont="1" applyNumberFormat="1"/>
    <xf borderId="1" fillId="0" fontId="2" numFmtId="0" xfId="0" applyAlignment="1" applyBorder="1" applyFont="1">
      <alignment horizontal="center" shrinkToFit="0" vertical="bottom" wrapText="1"/>
    </xf>
    <xf borderId="0" fillId="0" fontId="1" numFmtId="164" xfId="0" applyFont="1" applyNumberFormat="1"/>
    <xf borderId="6" fillId="0" fontId="2" numFmtId="0" xfId="0" applyAlignment="1" applyBorder="1" applyFont="1">
      <alignment horizontal="center" vertical="bottom"/>
    </xf>
    <xf borderId="7" fillId="0" fontId="4" numFmtId="0" xfId="0" applyBorder="1" applyFont="1"/>
    <xf borderId="0" fillId="0" fontId="1" numFmtId="165" xfId="0" applyFont="1" applyNumberFormat="1"/>
    <xf borderId="0" fillId="0" fontId="1" numFmtId="166" xfId="0" applyFont="1" applyNumberFormat="1"/>
    <xf borderId="0" fillId="0" fontId="5" numFmtId="0" xfId="0" applyAlignment="1" applyFont="1">
      <alignment vertical="bottom"/>
    </xf>
    <xf borderId="8" fillId="0" fontId="4" numFmtId="0" xfId="0" applyBorder="1" applyFont="1"/>
    <xf borderId="3" fillId="0" fontId="5" numFmtId="0" xfId="0" applyAlignment="1" applyBorder="1" applyFont="1">
      <alignment horizontal="center" readingOrder="0" shrinkToFit="0" vertical="bottom" wrapText="1"/>
    </xf>
    <xf borderId="9" fillId="0" fontId="4" numFmtId="0" xfId="0" applyBorder="1" applyFont="1"/>
    <xf borderId="10" fillId="0" fontId="4" numFmtId="0" xfId="0" applyBorder="1" applyFont="1"/>
    <xf borderId="2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center" readingOrder="0" vertical="bottom"/>
    </xf>
    <xf borderId="11" fillId="0" fontId="4" numFmtId="0" xfId="0" applyBorder="1" applyFont="1"/>
    <xf borderId="2" fillId="0" fontId="2" numFmtId="0" xfId="0" applyAlignment="1" applyBorder="1" applyFont="1">
      <alignment vertical="bottom"/>
    </xf>
    <xf borderId="12" fillId="0" fontId="4" numFmtId="0" xfId="0" applyBorder="1" applyFont="1"/>
    <xf borderId="13" fillId="0" fontId="4" numFmtId="0" xfId="0" applyBorder="1" applyFont="1"/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2" fillId="2" fontId="6" numFmtId="0" xfId="0" applyAlignment="1" applyBorder="1" applyFill="1" applyFont="1">
      <alignment vertical="bottom"/>
    </xf>
    <xf borderId="2" fillId="2" fontId="5" numFmtId="0" xfId="0" applyAlignment="1" applyBorder="1" applyFill="1" applyFont="1">
      <alignment horizontal="right" vertical="bottom"/>
    </xf>
    <xf borderId="2" fillId="0" fontId="5" numFmtId="9" xfId="0" applyAlignment="1" applyBorder="1" applyFont="1" applyNumberFormat="1">
      <alignment horizontal="right" vertical="bottom"/>
    </xf>
    <xf borderId="2" fillId="0" fontId="5" numFmtId="167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right" readingOrder="0" vertical="bottom"/>
    </xf>
    <xf borderId="2" fillId="2" fontId="5" numFmtId="0" xfId="0" applyAlignment="1" applyBorder="1" applyFill="1" applyFont="1">
      <alignment vertical="bottom"/>
    </xf>
    <xf borderId="2" fillId="0" fontId="1" numFmtId="0" xfId="0" applyAlignment="1" applyBorder="1" applyFont="1">
      <alignment shrinkToFit="0" wrapText="1"/>
    </xf>
    <xf borderId="0" fillId="0" fontId="5" numFmtId="0" xfId="0" applyAlignment="1" applyFont="1">
      <alignment horizontal="center" vertical="bottom"/>
    </xf>
    <xf borderId="2" fillId="0" fontId="1" numFmtId="168" xfId="0" applyAlignment="1" applyBorder="1" applyFont="1" applyNumberFormat="1">
      <alignment shrinkToFit="0" wrapText="1"/>
    </xf>
    <xf borderId="0" fillId="0" fontId="5" numFmtId="0" xfId="0" applyAlignment="1" applyFont="1">
      <alignment horizontal="right" vertical="bottom"/>
    </xf>
    <xf borderId="2" fillId="0" fontId="1" numFmtId="1" xfId="0" applyAlignment="1" applyBorder="1" applyFont="1" applyNumberFormat="1">
      <alignment shrinkToFit="0" wrapText="1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5" numFmtId="9" xfId="0" applyAlignment="1" applyBorder="1" applyFont="1" applyNumberFormat="1">
      <alignment vertical="bottom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vertical="bottom"/>
    </xf>
    <xf borderId="0" fillId="0" fontId="1" numFmtId="169" xfId="0" applyFont="1" applyNumberFormat="1"/>
    <xf borderId="0" fillId="0" fontId="1" numFmtId="0" xfId="0" applyAlignment="1" applyFont="1">
      <alignment shrinkToFit="0" wrapText="1"/>
    </xf>
    <xf borderId="0" fillId="0" fontId="1" numFmtId="168" xfId="0" applyAlignment="1" applyFont="1" applyNumberFormat="1">
      <alignment shrinkToFit="0" wrapText="1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70" xfId="0" applyFont="1" applyNumberFormat="1"/>
    <xf borderId="0" fillId="0" fontId="1" numFmtId="171" xfId="0" applyFont="1" applyNumberFormat="1"/>
    <xf borderId="0" fillId="0" fontId="1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1.75"/>
    <col customWidth="1" min="3" max="3" width="16.25"/>
    <col customWidth="1" min="4" max="4" width="7.13"/>
    <col customWidth="1" min="5" max="5" width="7.5"/>
    <col customWidth="1" min="6" max="6" width="9.0"/>
    <col customWidth="1" min="7" max="7" width="6.38"/>
    <col customWidth="1" min="8" max="8" width="12.0"/>
    <col customWidth="1" min="9" max="9" width="20.5"/>
    <col customWidth="1" min="10" max="10" width="23.0"/>
    <col customWidth="1" min="11" max="11" width="15.0"/>
    <col customWidth="1" min="12" max="14" width="15.88"/>
    <col customWidth="1" min="15" max="15" width="11.5"/>
    <col customWidth="1" min="16" max="16" width="11.63"/>
    <col customWidth="1" min="21" max="21" width="16.0"/>
  </cols>
  <sheetData>
    <row r="1">
      <c r="A1" s="3" t="s">
        <v>2</v>
      </c>
      <c r="B1" s="4" t="s">
        <v>24</v>
      </c>
      <c r="C1" s="3" t="s">
        <v>15</v>
      </c>
      <c r="D1" s="3" t="s">
        <v>25</v>
      </c>
      <c r="E1" s="3" t="s">
        <v>26</v>
      </c>
      <c r="F1" s="3" t="str">
        <f>IFERROR(__xludf.DUMMYFUNCTION("ArrayFormula(IF(LEN(A:A),if(ROW(A:A)=1,""Stok"",if(isna(vlookup(A:A,importrange(""https://docs.google.com/spreadsheets/d/1xC-uAlt1jPkVMJk3mS5BBJv2KXQQM32TIOguKnEzvGo/edit?gid=2055262123#gid=2055262123"",""Inventory Tarikan Oracle!A:D""),4,0)),0,VLOOKUP(A:"&amp;"A,importrange(""https://docs.google.com/spreadsheets/d/1xC-uAlt1jPkVMJk3mS5BBJv2KXQQM32TIOguKnEzvGo/edit?gid=2055262123#gid=2055262123"",""Inventory Tarikan Oracle!A:D""),4,0))),))"),"Stok")</f>
        <v>Stok</v>
      </c>
      <c r="G1" s="3" t="str">
        <f t="array" ref="G1:G883">IF(LEN(A:A),if(ROW(A:A)=1,"Status",if(F:F&lt;D:D,"Kurang",if(F:F=D:D,"Sama","Lebih"))),)</f>
        <v>Status</v>
      </c>
      <c r="H1" s="3" t="s">
        <v>60</v>
      </c>
      <c r="I1" s="3" t="s">
        <v>61</v>
      </c>
      <c r="J1" s="4" t="s">
        <v>62</v>
      </c>
      <c r="K1" s="38" t="str">
        <f t="array" ref="K1:K883">IF(LEN(A:A),if(ROW(A:A)=1,"Rekomendasi Min Stok",if(P:P="AKTIF",Roundup((L:L/12*1)+(0.25*(L:L/12)),0),0)),)</f>
        <v>Rekomendasi Min Stok</v>
      </c>
      <c r="L1" s="38" t="str">
        <f t="array" ref="L1:L883">IF(LEN(A:A),if(ROW(A:A)=1,"Rekomendasi Max Stok",if(P:P="AKTIF",Roundup(U:U,0),0)),)</f>
        <v>Rekomendasi Max Stok</v>
      </c>
      <c r="M1" s="38" t="str">
        <f>IFERROR(__xludf.DUMMYFUNCTION("MAP(A1:A883, B1:B883, C1:C883, LAMBDA(item, desc, mesin, IF(ROW(item)=1, ""Kategori Barang"", IF(ISBLANK(item), """", LET(
  text_desc, LOWER(desc),
  IF(REGEXMATCH(text_desc, ""inverter|valve|valv|plc|motor|pump|pompa|transducer|transmitter|sensor|contro"&amp;"l unit|cylinder|silinder|controller|servo|driver|breaker|mcb|contactor|module|hepa|fan|blower|transformer|encoder|gearbox|thermostat|solenoid|vfd|chiller|flowmeter|pressure gauge""), ""Critical Sparepart"",
  IF(REGEXMATCH(text_desc, ""o-ring|oring|o ring"&amp;"|seal|gasket|bearing|baut|nut|screw|fitting|pipe|pipa|selang|hose|cleaner|filter|lamp|lampu|fuse|belt|v-belt|cable|kabel|tape|isolasi|grease|oli|oil|elbow|tee|socket|plug|clamp|ribbon|jarum|needle|cam follow""), ""Fast Moving / Consumable"",
  ""General S"&amp;"parepart""))
)))))"),"Kategori Barang")</f>
        <v>Kategori Barang</v>
      </c>
      <c r="N1" s="38" t="str">
        <f t="array" ref="N1:N883">MAP(M1:M883, LAMBDA(kat, IF(ROW(kat)=1, "Threshold Usia (Bulan)", IF(OR(ISBLANK(kat), kat=""), "", 
  IF(kat="Critical Sparepart", 36, IF(kat="Fast Moving / Consumable", 18, 24))
))))</f>
        <v>Threshold Usia (Bulan)</v>
      </c>
      <c r="O1" s="40" t="str">
        <f t="array" ref="O1:O883">MAP(A1:A883, LAMBDA(item, IF(ROW(item)=1, "Tanggal Transaksi Terakhir", IF(ISBLANK(item), "", LET(
  tgl_pr, IFERROR(MAXIFS('Data PR'!R:R, 'Data PR'!D:D, item), DATE(2000,1,1)),
  tgl_spr, IFERROR(MAXIFS('Data SPR'!L:L, 'Data SPR'!C:C, item), DATE(2000,1,1)),
  MAX(tgl_pr, tgl_spr)
)))))</f>
        <v>Tanggal Transaksi Terakhir</v>
      </c>
      <c r="P1" s="38" t="str">
        <f t="array" ref="P1:P883">MAP(A1:A883, N1:N883, O1:O883, LAMBDA(item, threshold, tgl, IF(ROW(item)=1, "Status Aktif/Dead Stok", IF(ISBLANK(item), "", IF(OR(ISBLANK(tgl), tgl=DATE(2000,1,1)), "TIDAK AKTIF", IF(DATEDIF(tgl, TODAY(), "M") &lt;= threshold, "AKTIF", "TIDAK AKTIF"))))))</f>
        <v>Status Aktif/Dead Stok</v>
      </c>
      <c r="Q1" s="42" t="str">
        <f t="array" ref="Q1:Q883">MAP(A1:A883, LAMBDA(item, IF(ROW(item)=1, "Rate PR Setahun", IF(ISBLANK(item), "", LET(
  total_qty, SUMIF('Data PR'!D:D, item, 'Data PR'!F:F),
  tgl_raw, IFERROR(MINIFS('Data PR'!R:R, 'Data PR'!D:D, item), TODAY()),
  tgl_pertama, IF(tgl_raw=0, TODAY(), tgl_raw),
  durasi_bulan, MAX(1, IFERROR(DATEDIF(tgl_pertama, TODAY(), "M"), 1)),
  IF(total_qty = 0, 0, ROUND((total_qty / durasi_bulan) * 12, 0))
)))))</f>
        <v>Rate PR Setahun</v>
      </c>
      <c r="R1" s="42" t="str">
        <f t="array" ref="R1:R883">MAP(A1:A883, LAMBDA(item, IF(ROW(item)=1, "Rate SPR Setahun", IF(ISBLANK(item), "", LET(
  total_qty, SUMIF('Data SPR'!C:C, item, 'Data SPR'!E:E),
  tgl_raw, IFERROR(MINIFS('Data SPR'!M:M, 'Data SPR'!C:C, item), DATE(2023,1,1)),
  tgl_pertama, MAX(DATE(2023,1,1), tgl_raw),
  durasi_bulan, MAX(1, IFERROR(DATEDIF(tgl_pertama, TODAY(), "M"), 1)),
  IF(total_qty = 0, 0, (total_qty / durasi_bulan) * 12)
)))))</f>
        <v>Rate SPR Setahun</v>
      </c>
      <c r="S1" s="38" t="str">
        <f t="array" ref="S1:S883">MAP(A1:A883, LAMBDA(item, IF(ROW(item)=1, "Total Beli 1 Tahun Terakhir", IF(ISBLANK(item), "", 
  SUMIFS('Data PR'!F:F, 'Data PR'!D:D, item, 'Data PR'!R:R, "&gt;="&amp;(TODAY()-365))
))))</f>
        <v>Total Beli 1 Tahun Terakhir</v>
      </c>
      <c r="T1" s="42" t="str">
        <f t="array" ref="T1:T883">IF(LEN(A:A),if(ROW(A:A)=1,"Rata-rata Tertimbang (Bobot PR 70% + SPR 30%)",IF(R:R&gt;0, (Q:Q * 0.7) + (R:R * 0.3), Q:Q)),)</f>
        <v>Rata-rata Tertimbang (Bobot PR 70% + SPR 30%)</v>
      </c>
      <c r="U1" s="46" t="str">
        <f t="array" ref="U1:U883">MAP(A1:A883, S1:S883, T1:T883, LAMBDA(item, q, r, IF(ROW(item)=1, "Rekomendasi Max Berdasarkan Tren Per Tahun", IF(ISBLANK(item), "", IF(q &gt; r, q, r)))))</f>
        <v>Rekomendasi Max Berdasarkan Tren Per Tahun</v>
      </c>
    </row>
    <row r="2">
      <c r="A2" s="43" t="s">
        <v>104</v>
      </c>
      <c r="B2" s="47" t="s">
        <v>105</v>
      </c>
      <c r="C2" s="43" t="s">
        <v>48</v>
      </c>
      <c r="D2" s="43">
        <v>1.0</v>
      </c>
      <c r="E2" s="43">
        <v>2.0</v>
      </c>
      <c r="F2" s="43">
        <f>IFERROR(__xludf.DUMMYFUNCTION("""COMPUTED_VALUE"""),0.0)</f>
        <v>0</v>
      </c>
      <c r="G2" s="43" t="s">
        <v>112</v>
      </c>
      <c r="H2" s="43" t="s">
        <v>113</v>
      </c>
      <c r="I2" s="43" t="s">
        <v>114</v>
      </c>
      <c r="J2" s="47" t="s">
        <v>115</v>
      </c>
      <c r="K2" s="38">
        <v>0.0</v>
      </c>
      <c r="L2" s="38">
        <v>0.0</v>
      </c>
      <c r="M2" s="38" t="str">
        <f>IFERROR(__xludf.DUMMYFUNCTION("""COMPUTED_VALUE"""),"Critical Sparepart")</f>
        <v>Critical Sparepart</v>
      </c>
      <c r="N2" s="38">
        <v>36.0</v>
      </c>
      <c r="O2" s="40">
        <v>0.0</v>
      </c>
      <c r="P2" s="38" t="s">
        <v>116</v>
      </c>
      <c r="Q2" s="42">
        <v>0.0</v>
      </c>
      <c r="R2" s="42">
        <v>0.0</v>
      </c>
      <c r="S2" s="38">
        <v>0.0</v>
      </c>
      <c r="T2" s="42">
        <v>0.0</v>
      </c>
      <c r="U2" s="42">
        <v>0.0</v>
      </c>
    </row>
    <row r="3">
      <c r="A3" s="43" t="s">
        <v>117</v>
      </c>
      <c r="B3" s="47" t="s">
        <v>118</v>
      </c>
      <c r="C3" s="43" t="s">
        <v>48</v>
      </c>
      <c r="D3" s="43">
        <v>1.0</v>
      </c>
      <c r="E3" s="43">
        <v>2.0</v>
      </c>
      <c r="F3" s="43">
        <f>IFERROR(__xludf.DUMMYFUNCTION("""COMPUTED_VALUE"""),0.0)</f>
        <v>0</v>
      </c>
      <c r="G3" s="43" t="s">
        <v>112</v>
      </c>
      <c r="H3" s="43" t="s">
        <v>119</v>
      </c>
      <c r="I3" s="43" t="s">
        <v>119</v>
      </c>
      <c r="J3" s="47" t="s">
        <v>115</v>
      </c>
      <c r="K3" s="38">
        <v>0.0</v>
      </c>
      <c r="L3" s="38">
        <v>0.0</v>
      </c>
      <c r="M3" s="38" t="str">
        <f>IFERROR(__xludf.DUMMYFUNCTION("""COMPUTED_VALUE"""),"Critical Sparepart")</f>
        <v>Critical Sparepart</v>
      </c>
      <c r="N3" s="38">
        <v>36.0</v>
      </c>
      <c r="O3" s="40">
        <v>0.0</v>
      </c>
      <c r="P3" s="38" t="s">
        <v>116</v>
      </c>
      <c r="Q3" s="42">
        <v>0.0</v>
      </c>
      <c r="R3" s="42">
        <v>0.0</v>
      </c>
      <c r="S3" s="38">
        <v>0.0</v>
      </c>
      <c r="T3" s="42">
        <v>0.0</v>
      </c>
      <c r="U3" s="42">
        <v>0.0</v>
      </c>
    </row>
    <row r="4">
      <c r="A4" s="43" t="s">
        <v>120</v>
      </c>
      <c r="B4" s="47" t="s">
        <v>121</v>
      </c>
      <c r="C4" s="43" t="s">
        <v>48</v>
      </c>
      <c r="D4" s="43">
        <v>3.0</v>
      </c>
      <c r="E4" s="43">
        <v>6.0</v>
      </c>
      <c r="F4" s="43">
        <f>IFERROR(__xludf.DUMMYFUNCTION("""COMPUTED_VALUE"""),8.0)</f>
        <v>8</v>
      </c>
      <c r="G4" s="43" t="s">
        <v>122</v>
      </c>
      <c r="H4" s="43" t="s">
        <v>113</v>
      </c>
      <c r="I4" s="43" t="s">
        <v>115</v>
      </c>
      <c r="J4" s="47" t="s">
        <v>115</v>
      </c>
      <c r="K4" s="38">
        <v>0.0</v>
      </c>
      <c r="L4" s="38">
        <v>0.0</v>
      </c>
      <c r="M4" s="38" t="str">
        <f>IFERROR(__xludf.DUMMYFUNCTION("""COMPUTED_VALUE"""),"Fast Moving / Consumable")</f>
        <v>Fast Moving / Consumable</v>
      </c>
      <c r="N4" s="38">
        <v>18.0</v>
      </c>
      <c r="O4" s="40">
        <v>45009.0</v>
      </c>
      <c r="P4" s="38" t="s">
        <v>116</v>
      </c>
      <c r="Q4" s="42">
        <v>2.0</v>
      </c>
      <c r="R4" s="42">
        <v>0.0</v>
      </c>
      <c r="S4" s="38">
        <v>0.0</v>
      </c>
      <c r="T4" s="42">
        <v>2.0</v>
      </c>
      <c r="U4" s="42">
        <v>2.0</v>
      </c>
    </row>
    <row r="5">
      <c r="A5" s="43" t="s">
        <v>123</v>
      </c>
      <c r="B5" s="47" t="s">
        <v>124</v>
      </c>
      <c r="C5" s="43" t="s">
        <v>48</v>
      </c>
      <c r="D5" s="43">
        <v>3.0</v>
      </c>
      <c r="E5" s="43">
        <v>6.0</v>
      </c>
      <c r="F5" s="43">
        <f>IFERROR(__xludf.DUMMYFUNCTION("""COMPUTED_VALUE"""),3.0)</f>
        <v>3</v>
      </c>
      <c r="G5" s="43" t="s">
        <v>125</v>
      </c>
      <c r="H5" s="43" t="s">
        <v>113</v>
      </c>
      <c r="I5" s="43" t="s">
        <v>115</v>
      </c>
      <c r="J5" s="47" t="s">
        <v>115</v>
      </c>
      <c r="K5" s="38">
        <v>1.0</v>
      </c>
      <c r="L5" s="38">
        <v>1.0</v>
      </c>
      <c r="M5" s="38" t="str">
        <f>IFERROR(__xludf.DUMMYFUNCTION("""COMPUTED_VALUE"""),"Fast Moving / Consumable")</f>
        <v>Fast Moving / Consumable</v>
      </c>
      <c r="N5" s="38">
        <v>18.0</v>
      </c>
      <c r="O5" s="40">
        <v>45989.0</v>
      </c>
      <c r="P5" s="38" t="s">
        <v>126</v>
      </c>
      <c r="Q5" s="42">
        <v>1.0</v>
      </c>
      <c r="R5" s="42">
        <v>0.5454545454545454</v>
      </c>
      <c r="S5" s="38">
        <v>0.0</v>
      </c>
      <c r="T5" s="42">
        <v>0.8636363636363635</v>
      </c>
      <c r="U5" s="42">
        <v>0.8636363636363635</v>
      </c>
    </row>
    <row r="6">
      <c r="A6" s="43" t="s">
        <v>127</v>
      </c>
      <c r="B6" s="47" t="s">
        <v>128</v>
      </c>
      <c r="C6" s="43" t="s">
        <v>48</v>
      </c>
      <c r="D6" s="43">
        <v>3.0</v>
      </c>
      <c r="E6" s="43">
        <v>6.0</v>
      </c>
      <c r="F6" s="43">
        <f>IFERROR(__xludf.DUMMYFUNCTION("""COMPUTED_VALUE"""),5.0)</f>
        <v>5</v>
      </c>
      <c r="G6" s="43" t="s">
        <v>122</v>
      </c>
      <c r="H6" s="43" t="s">
        <v>113</v>
      </c>
      <c r="I6" s="43" t="s">
        <v>115</v>
      </c>
      <c r="J6" s="47" t="s">
        <v>115</v>
      </c>
      <c r="K6" s="38">
        <v>0.0</v>
      </c>
      <c r="L6" s="38">
        <v>0.0</v>
      </c>
      <c r="M6" s="38" t="str">
        <f>IFERROR(__xludf.DUMMYFUNCTION("""COMPUTED_VALUE"""),"Fast Moving / Consumable")</f>
        <v>Fast Moving / Consumable</v>
      </c>
      <c r="N6" s="38">
        <v>18.0</v>
      </c>
      <c r="O6" s="40">
        <v>45009.0</v>
      </c>
      <c r="P6" s="38" t="s">
        <v>116</v>
      </c>
      <c r="Q6" s="42">
        <v>1.0</v>
      </c>
      <c r="R6" s="42">
        <v>0.0</v>
      </c>
      <c r="S6" s="38">
        <v>0.0</v>
      </c>
      <c r="T6" s="42">
        <v>1.0</v>
      </c>
      <c r="U6" s="42">
        <v>1.0</v>
      </c>
    </row>
    <row r="7">
      <c r="A7" s="43" t="s">
        <v>129</v>
      </c>
      <c r="B7" s="47" t="s">
        <v>130</v>
      </c>
      <c r="C7" s="43" t="s">
        <v>48</v>
      </c>
      <c r="D7" s="43">
        <v>3.0</v>
      </c>
      <c r="E7" s="43">
        <v>6.0</v>
      </c>
      <c r="F7" s="43">
        <f>IFERROR(__xludf.DUMMYFUNCTION("""COMPUTED_VALUE"""),3.0)</f>
        <v>3</v>
      </c>
      <c r="G7" s="43" t="s">
        <v>125</v>
      </c>
      <c r="H7" s="43" t="s">
        <v>113</v>
      </c>
      <c r="I7" s="43" t="s">
        <v>115</v>
      </c>
      <c r="J7" s="47" t="s">
        <v>115</v>
      </c>
      <c r="K7" s="38">
        <v>0.0</v>
      </c>
      <c r="L7" s="38">
        <v>0.0</v>
      </c>
      <c r="M7" s="38" t="str">
        <f>IFERROR(__xludf.DUMMYFUNCTION("""COMPUTED_VALUE"""),"Fast Moving / Consumable")</f>
        <v>Fast Moving / Consumable</v>
      </c>
      <c r="N7" s="38">
        <v>18.0</v>
      </c>
      <c r="O7" s="40">
        <v>45009.0</v>
      </c>
      <c r="P7" s="38" t="s">
        <v>116</v>
      </c>
      <c r="Q7" s="42">
        <v>1.0</v>
      </c>
      <c r="R7" s="42">
        <v>0.0</v>
      </c>
      <c r="S7" s="38">
        <v>0.0</v>
      </c>
      <c r="T7" s="42">
        <v>1.0</v>
      </c>
      <c r="U7" s="42">
        <v>1.0</v>
      </c>
    </row>
    <row r="8">
      <c r="A8" s="43" t="s">
        <v>131</v>
      </c>
      <c r="B8" s="47" t="s">
        <v>132</v>
      </c>
      <c r="C8" s="43" t="s">
        <v>48</v>
      </c>
      <c r="D8" s="43">
        <v>8.0</v>
      </c>
      <c r="E8" s="43">
        <v>16.0</v>
      </c>
      <c r="F8" s="43">
        <f>IFERROR(__xludf.DUMMYFUNCTION("""COMPUTED_VALUE"""),0.0)</f>
        <v>0</v>
      </c>
      <c r="G8" s="43" t="s">
        <v>112</v>
      </c>
      <c r="H8" s="43" t="s">
        <v>113</v>
      </c>
      <c r="I8" s="43" t="s">
        <v>115</v>
      </c>
      <c r="J8" s="47" t="s">
        <v>115</v>
      </c>
      <c r="K8" s="38">
        <v>1.0</v>
      </c>
      <c r="L8" s="38">
        <v>8.0</v>
      </c>
      <c r="M8" s="38" t="str">
        <f>IFERROR(__xludf.DUMMYFUNCTION("""COMPUTED_VALUE"""),"Critical Sparepart")</f>
        <v>Critical Sparepart</v>
      </c>
      <c r="N8" s="38">
        <v>36.0</v>
      </c>
      <c r="O8" s="40">
        <v>46234.0</v>
      </c>
      <c r="P8" s="38" t="s">
        <v>126</v>
      </c>
      <c r="Q8" s="42">
        <v>7.0</v>
      </c>
      <c r="R8" s="42">
        <v>9.272727272727273</v>
      </c>
      <c r="S8" s="38">
        <v>5.0</v>
      </c>
      <c r="T8" s="42">
        <v>7.681818181818182</v>
      </c>
      <c r="U8" s="42">
        <v>7.681818181818182</v>
      </c>
    </row>
    <row r="9">
      <c r="A9" s="43" t="s">
        <v>134</v>
      </c>
      <c r="B9" s="47" t="s">
        <v>135</v>
      </c>
      <c r="C9" s="43" t="s">
        <v>48</v>
      </c>
      <c r="D9" s="43">
        <v>4.0</v>
      </c>
      <c r="E9" s="43">
        <v>20.0</v>
      </c>
      <c r="F9" s="43">
        <f>IFERROR(__xludf.DUMMYFUNCTION("""COMPUTED_VALUE"""),3.0)</f>
        <v>3</v>
      </c>
      <c r="G9" s="43" t="s">
        <v>112</v>
      </c>
      <c r="H9" s="43" t="s">
        <v>113</v>
      </c>
      <c r="I9" s="43" t="s">
        <v>115</v>
      </c>
      <c r="J9" s="47" t="s">
        <v>115</v>
      </c>
      <c r="K9" s="38">
        <v>3.0</v>
      </c>
      <c r="L9" s="38">
        <v>20.0</v>
      </c>
      <c r="M9" s="38" t="str">
        <f>IFERROR(__xludf.DUMMYFUNCTION("""COMPUTED_VALUE"""),"Critical Sparepart")</f>
        <v>Critical Sparepart</v>
      </c>
      <c r="N9" s="38">
        <v>36.0</v>
      </c>
      <c r="O9" s="40">
        <v>46234.0</v>
      </c>
      <c r="P9" s="38" t="s">
        <v>126</v>
      </c>
      <c r="Q9" s="42">
        <v>5.0</v>
      </c>
      <c r="R9" s="42">
        <v>4.909090909090909</v>
      </c>
      <c r="S9" s="38">
        <v>20.0</v>
      </c>
      <c r="T9" s="42">
        <v>4.972727272727273</v>
      </c>
      <c r="U9" s="46">
        <v>20.0</v>
      </c>
    </row>
    <row r="10">
      <c r="A10" s="43" t="s">
        <v>136</v>
      </c>
      <c r="B10" s="47" t="s">
        <v>137</v>
      </c>
      <c r="C10" s="43" t="s">
        <v>48</v>
      </c>
      <c r="D10" s="43">
        <v>10.0</v>
      </c>
      <c r="E10" s="43">
        <v>20.0</v>
      </c>
      <c r="F10" s="43">
        <f>IFERROR(__xludf.DUMMYFUNCTION("""COMPUTED_VALUE"""),0.0)</f>
        <v>0</v>
      </c>
      <c r="G10" s="43" t="s">
        <v>112</v>
      </c>
      <c r="H10" s="43" t="s">
        <v>119</v>
      </c>
      <c r="I10" s="43" t="s">
        <v>119</v>
      </c>
      <c r="J10" s="47" t="s">
        <v>115</v>
      </c>
      <c r="K10" s="38">
        <v>0.0</v>
      </c>
      <c r="L10" s="38">
        <v>0.0</v>
      </c>
      <c r="M10" s="38" t="str">
        <f>IFERROR(__xludf.DUMMYFUNCTION("""COMPUTED_VALUE"""),"Fast Moving / Consumable")</f>
        <v>Fast Moving / Consumable</v>
      </c>
      <c r="N10" s="38">
        <v>18.0</v>
      </c>
      <c r="O10" s="40">
        <v>45261.0</v>
      </c>
      <c r="P10" s="38" t="s">
        <v>116</v>
      </c>
      <c r="Q10" s="42">
        <v>1.0</v>
      </c>
      <c r="R10" s="42">
        <v>1.3636363636363635</v>
      </c>
      <c r="S10" s="38">
        <v>0.0</v>
      </c>
      <c r="T10" s="42">
        <v>1.109090909090909</v>
      </c>
      <c r="U10" s="42">
        <v>1.109090909090909</v>
      </c>
    </row>
    <row r="11">
      <c r="A11" s="43" t="s">
        <v>138</v>
      </c>
      <c r="B11" s="47" t="s">
        <v>139</v>
      </c>
      <c r="C11" s="43" t="s">
        <v>48</v>
      </c>
      <c r="D11" s="43">
        <v>1.0</v>
      </c>
      <c r="E11" s="43">
        <v>2.0</v>
      </c>
      <c r="F11" s="43">
        <f>IFERROR(__xludf.DUMMYFUNCTION("""COMPUTED_VALUE"""),1.0)</f>
        <v>1</v>
      </c>
      <c r="G11" s="43" t="s">
        <v>125</v>
      </c>
      <c r="H11" s="43" t="s">
        <v>113</v>
      </c>
      <c r="I11" s="43" t="s">
        <v>115</v>
      </c>
      <c r="J11" s="47" t="s">
        <v>115</v>
      </c>
      <c r="K11" s="38">
        <v>1.0</v>
      </c>
      <c r="L11" s="38">
        <v>1.0</v>
      </c>
      <c r="M11" s="38" t="str">
        <f>IFERROR(__xludf.DUMMYFUNCTION("""COMPUTED_VALUE"""),"Fast Moving / Consumable")</f>
        <v>Fast Moving / Consumable</v>
      </c>
      <c r="N11" s="38">
        <v>18.0</v>
      </c>
      <c r="O11" s="40">
        <v>45960.0</v>
      </c>
      <c r="P11" s="38" t="s">
        <v>126</v>
      </c>
      <c r="Q11" s="42">
        <v>1.0</v>
      </c>
      <c r="R11" s="42">
        <v>0.0</v>
      </c>
      <c r="S11" s="38">
        <v>1.0</v>
      </c>
      <c r="T11" s="42">
        <v>1.0</v>
      </c>
      <c r="U11" s="42">
        <v>1.0</v>
      </c>
    </row>
    <row r="12">
      <c r="A12" s="43" t="s">
        <v>115</v>
      </c>
      <c r="B12" s="47" t="s">
        <v>140</v>
      </c>
      <c r="C12" s="43" t="s">
        <v>48</v>
      </c>
      <c r="D12" s="43" t="s">
        <v>115</v>
      </c>
      <c r="E12" s="43" t="s">
        <v>115</v>
      </c>
      <c r="F12" s="43">
        <f>IFERROR(__xludf.DUMMYFUNCTION("""COMPUTED_VALUE"""),0.0)</f>
        <v>0</v>
      </c>
      <c r="G12" s="43" t="s">
        <v>112</v>
      </c>
      <c r="H12" s="43" t="s">
        <v>115</v>
      </c>
      <c r="I12" s="43" t="s">
        <v>141</v>
      </c>
      <c r="J12" s="47" t="s">
        <v>142</v>
      </c>
      <c r="K12" s="38">
        <v>4.0</v>
      </c>
      <c r="L12" s="38">
        <v>31.0</v>
      </c>
      <c r="M12" s="38" t="str">
        <f>IFERROR(__xludf.DUMMYFUNCTION("""COMPUTED_VALUE"""),"General Sparepart")</f>
        <v>General Sparepart</v>
      </c>
      <c r="N12" s="38">
        <v>24.0</v>
      </c>
      <c r="O12" s="40">
        <v>46260.0</v>
      </c>
      <c r="P12" s="38" t="s">
        <v>126</v>
      </c>
      <c r="Q12" s="42">
        <v>0.0</v>
      </c>
      <c r="R12" s="42">
        <v>100.63636363636364</v>
      </c>
      <c r="S12" s="38">
        <v>0.0</v>
      </c>
      <c r="T12" s="42">
        <v>30.19090909090909</v>
      </c>
      <c r="U12" s="42">
        <v>30.19090909090909</v>
      </c>
    </row>
    <row r="13">
      <c r="A13" s="43" t="s">
        <v>143</v>
      </c>
      <c r="B13" s="47" t="s">
        <v>144</v>
      </c>
      <c r="C13" s="43" t="s">
        <v>48</v>
      </c>
      <c r="D13" s="43">
        <v>1.0</v>
      </c>
      <c r="E13" s="43">
        <v>3.0</v>
      </c>
      <c r="F13" s="43">
        <f>IFERROR(__xludf.DUMMYFUNCTION("""COMPUTED_VALUE"""),1.0)</f>
        <v>1</v>
      </c>
      <c r="G13" s="43" t="s">
        <v>125</v>
      </c>
      <c r="H13" s="43" t="s">
        <v>113</v>
      </c>
      <c r="I13" s="43" t="s">
        <v>115</v>
      </c>
      <c r="J13" s="47" t="s">
        <v>115</v>
      </c>
      <c r="K13" s="38">
        <v>0.0</v>
      </c>
      <c r="L13" s="38">
        <v>0.0</v>
      </c>
      <c r="M13" s="38" t="str">
        <f>IFERROR(__xludf.DUMMYFUNCTION("""COMPUTED_VALUE"""),"General Sparepart")</f>
        <v>General Sparepart</v>
      </c>
      <c r="N13" s="38">
        <v>24.0</v>
      </c>
      <c r="O13" s="40">
        <v>45009.0</v>
      </c>
      <c r="P13" s="38" t="s">
        <v>116</v>
      </c>
      <c r="Q13" s="42">
        <v>1.0</v>
      </c>
      <c r="R13" s="42">
        <v>0.0</v>
      </c>
      <c r="S13" s="38">
        <v>0.0</v>
      </c>
      <c r="T13" s="42">
        <v>1.0</v>
      </c>
      <c r="U13" s="42">
        <v>1.0</v>
      </c>
    </row>
    <row r="14">
      <c r="A14" s="43" t="s">
        <v>145</v>
      </c>
      <c r="B14" s="47" t="s">
        <v>146</v>
      </c>
      <c r="C14" s="43" t="s">
        <v>48</v>
      </c>
      <c r="D14" s="43">
        <v>1.0</v>
      </c>
      <c r="E14" s="43">
        <v>3.0</v>
      </c>
      <c r="F14" s="43">
        <f>IFERROR(__xludf.DUMMYFUNCTION("""COMPUTED_VALUE"""),3.0)</f>
        <v>3</v>
      </c>
      <c r="G14" s="43" t="s">
        <v>122</v>
      </c>
      <c r="H14" s="43" t="s">
        <v>113</v>
      </c>
      <c r="I14" s="43" t="s">
        <v>115</v>
      </c>
      <c r="J14" s="47" t="s">
        <v>115</v>
      </c>
      <c r="K14" s="38">
        <v>0.0</v>
      </c>
      <c r="L14" s="38">
        <v>0.0</v>
      </c>
      <c r="M14" s="38" t="str">
        <f>IFERROR(__xludf.DUMMYFUNCTION("""COMPUTED_VALUE"""),"General Sparepart")</f>
        <v>General Sparepart</v>
      </c>
      <c r="N14" s="38">
        <v>24.0</v>
      </c>
      <c r="O14" s="40">
        <v>45009.0</v>
      </c>
      <c r="P14" s="38" t="s">
        <v>116</v>
      </c>
      <c r="Q14" s="42">
        <v>1.0</v>
      </c>
      <c r="R14" s="42">
        <v>0.0</v>
      </c>
      <c r="S14" s="38">
        <v>0.0</v>
      </c>
      <c r="T14" s="42">
        <v>1.0</v>
      </c>
      <c r="U14" s="42">
        <v>1.0</v>
      </c>
    </row>
    <row r="15">
      <c r="A15" s="43" t="s">
        <v>147</v>
      </c>
      <c r="B15" s="47" t="s">
        <v>148</v>
      </c>
      <c r="C15" s="43" t="s">
        <v>48</v>
      </c>
      <c r="D15" s="43">
        <v>1.0</v>
      </c>
      <c r="E15" s="43">
        <v>3.0</v>
      </c>
      <c r="F15" s="43">
        <f>IFERROR(__xludf.DUMMYFUNCTION("""COMPUTED_VALUE"""),2.0)</f>
        <v>2</v>
      </c>
      <c r="G15" s="43" t="s">
        <v>122</v>
      </c>
      <c r="H15" s="43" t="s">
        <v>113</v>
      </c>
      <c r="I15" s="43" t="s">
        <v>115</v>
      </c>
      <c r="J15" s="47" t="s">
        <v>115</v>
      </c>
      <c r="K15" s="38">
        <v>0.0</v>
      </c>
      <c r="L15" s="38">
        <v>0.0</v>
      </c>
      <c r="M15" s="38" t="str">
        <f>IFERROR(__xludf.DUMMYFUNCTION("""COMPUTED_VALUE"""),"General Sparepart")</f>
        <v>General Sparepart</v>
      </c>
      <c r="N15" s="38">
        <v>24.0</v>
      </c>
      <c r="O15" s="40">
        <v>45009.0</v>
      </c>
      <c r="P15" s="38" t="s">
        <v>116</v>
      </c>
      <c r="Q15" s="42">
        <v>1.0</v>
      </c>
      <c r="R15" s="42">
        <v>0.0</v>
      </c>
      <c r="S15" s="38">
        <v>0.0</v>
      </c>
      <c r="T15" s="42">
        <v>1.0</v>
      </c>
      <c r="U15" s="42">
        <v>1.0</v>
      </c>
    </row>
    <row r="16">
      <c r="A16" s="43" t="s">
        <v>149</v>
      </c>
      <c r="B16" s="47" t="s">
        <v>150</v>
      </c>
      <c r="C16" s="43" t="s">
        <v>48</v>
      </c>
      <c r="D16" s="43">
        <v>5.0</v>
      </c>
      <c r="E16" s="43">
        <v>10.0</v>
      </c>
      <c r="F16" s="43">
        <f>IFERROR(__xludf.DUMMYFUNCTION("""COMPUTED_VALUE"""),5.0)</f>
        <v>5</v>
      </c>
      <c r="G16" s="43" t="s">
        <v>125</v>
      </c>
      <c r="H16" s="43" t="s">
        <v>113</v>
      </c>
      <c r="I16" s="43" t="s">
        <v>141</v>
      </c>
      <c r="J16" s="47" t="s">
        <v>151</v>
      </c>
      <c r="K16" s="38">
        <v>1.0</v>
      </c>
      <c r="L16" s="38">
        <v>6.0</v>
      </c>
      <c r="M16" s="38" t="str">
        <f>IFERROR(__xludf.DUMMYFUNCTION("""COMPUTED_VALUE"""),"Fast Moving / Consumable")</f>
        <v>Fast Moving / Consumable</v>
      </c>
      <c r="N16" s="38">
        <v>18.0</v>
      </c>
      <c r="O16" s="40">
        <v>45960.0</v>
      </c>
      <c r="P16" s="38" t="s">
        <v>126</v>
      </c>
      <c r="Q16" s="42">
        <v>6.0</v>
      </c>
      <c r="R16" s="42">
        <v>0.0</v>
      </c>
      <c r="S16" s="38">
        <v>5.0</v>
      </c>
      <c r="T16" s="42">
        <v>6.0</v>
      </c>
      <c r="U16" s="42">
        <v>6.0</v>
      </c>
    </row>
    <row r="17">
      <c r="A17" s="43" t="s">
        <v>152</v>
      </c>
      <c r="B17" s="47" t="s">
        <v>153</v>
      </c>
      <c r="C17" s="43" t="s">
        <v>48</v>
      </c>
      <c r="D17" s="43">
        <v>5.0</v>
      </c>
      <c r="E17" s="43">
        <v>10.0</v>
      </c>
      <c r="F17" s="43">
        <f>IFERROR(__xludf.DUMMYFUNCTION("""COMPUTED_VALUE"""),5.0)</f>
        <v>5</v>
      </c>
      <c r="G17" s="43" t="s">
        <v>125</v>
      </c>
      <c r="H17" s="43" t="s">
        <v>113</v>
      </c>
      <c r="I17" s="43" t="s">
        <v>141</v>
      </c>
      <c r="J17" s="47" t="s">
        <v>154</v>
      </c>
      <c r="K17" s="38">
        <v>1.0</v>
      </c>
      <c r="L17" s="38">
        <v>6.0</v>
      </c>
      <c r="M17" s="38" t="str">
        <f>IFERROR(__xludf.DUMMYFUNCTION("""COMPUTED_VALUE"""),"Fast Moving / Consumable")</f>
        <v>Fast Moving / Consumable</v>
      </c>
      <c r="N17" s="38">
        <v>18.0</v>
      </c>
      <c r="O17" s="40">
        <v>45960.0</v>
      </c>
      <c r="P17" s="38" t="s">
        <v>126</v>
      </c>
      <c r="Q17" s="42">
        <v>6.0</v>
      </c>
      <c r="R17" s="42">
        <v>0.0</v>
      </c>
      <c r="S17" s="38">
        <v>5.0</v>
      </c>
      <c r="T17" s="42">
        <v>6.0</v>
      </c>
      <c r="U17" s="42">
        <v>6.0</v>
      </c>
    </row>
    <row r="18">
      <c r="A18" s="43" t="s">
        <v>155</v>
      </c>
      <c r="B18" s="47" t="s">
        <v>156</v>
      </c>
      <c r="C18" s="43" t="s">
        <v>48</v>
      </c>
      <c r="D18" s="43">
        <v>1.0</v>
      </c>
      <c r="E18" s="43">
        <v>2.0</v>
      </c>
      <c r="F18" s="43">
        <f>IFERROR(__xludf.DUMMYFUNCTION("""COMPUTED_VALUE"""),1.0)</f>
        <v>1</v>
      </c>
      <c r="G18" s="43" t="s">
        <v>125</v>
      </c>
      <c r="H18" s="43" t="s">
        <v>113</v>
      </c>
      <c r="I18" s="43" t="s">
        <v>115</v>
      </c>
      <c r="J18" s="47" t="s">
        <v>115</v>
      </c>
      <c r="K18" s="38">
        <v>1.0</v>
      </c>
      <c r="L18" s="38">
        <v>1.0</v>
      </c>
      <c r="M18" s="38" t="str">
        <f>IFERROR(__xludf.DUMMYFUNCTION("""COMPUTED_VALUE"""),"General Sparepart")</f>
        <v>General Sparepart</v>
      </c>
      <c r="N18" s="38">
        <v>24.0</v>
      </c>
      <c r="O18" s="40">
        <v>45960.0</v>
      </c>
      <c r="P18" s="38" t="s">
        <v>126</v>
      </c>
      <c r="Q18" s="42">
        <v>1.0</v>
      </c>
      <c r="R18" s="42">
        <v>0.0</v>
      </c>
      <c r="S18" s="38">
        <v>1.0</v>
      </c>
      <c r="T18" s="42">
        <v>1.0</v>
      </c>
      <c r="U18" s="42">
        <v>1.0</v>
      </c>
    </row>
    <row r="19">
      <c r="A19" s="43" t="s">
        <v>157</v>
      </c>
      <c r="B19" s="47" t="s">
        <v>158</v>
      </c>
      <c r="C19" s="43" t="s">
        <v>48</v>
      </c>
      <c r="D19" s="43">
        <v>1.0</v>
      </c>
      <c r="E19" s="43">
        <v>2.0</v>
      </c>
      <c r="F19" s="43">
        <f>IFERROR(__xludf.DUMMYFUNCTION("""COMPUTED_VALUE"""),1.0)</f>
        <v>1</v>
      </c>
      <c r="G19" s="43" t="s">
        <v>125</v>
      </c>
      <c r="H19" s="43" t="s">
        <v>113</v>
      </c>
      <c r="I19" s="43" t="s">
        <v>115</v>
      </c>
      <c r="J19" s="47" t="s">
        <v>115</v>
      </c>
      <c r="K19" s="38">
        <v>1.0</v>
      </c>
      <c r="L19" s="38">
        <v>1.0</v>
      </c>
      <c r="M19" s="38" t="str">
        <f>IFERROR(__xludf.DUMMYFUNCTION("""COMPUTED_VALUE"""),"Critical Sparepart")</f>
        <v>Critical Sparepart</v>
      </c>
      <c r="N19" s="38">
        <v>36.0</v>
      </c>
      <c r="O19" s="40">
        <v>45960.0</v>
      </c>
      <c r="P19" s="38" t="s">
        <v>126</v>
      </c>
      <c r="Q19" s="42">
        <v>1.0</v>
      </c>
      <c r="R19" s="42">
        <v>0.0</v>
      </c>
      <c r="S19" s="38">
        <v>1.0</v>
      </c>
      <c r="T19" s="42">
        <v>1.0</v>
      </c>
      <c r="U19" s="42">
        <v>1.0</v>
      </c>
    </row>
    <row r="20">
      <c r="A20" s="43" t="s">
        <v>159</v>
      </c>
      <c r="B20" s="47" t="s">
        <v>160</v>
      </c>
      <c r="C20" s="43" t="s">
        <v>48</v>
      </c>
      <c r="D20" s="43">
        <v>1.0</v>
      </c>
      <c r="E20" s="43">
        <v>1.0</v>
      </c>
      <c r="F20" s="43">
        <f>IFERROR(__xludf.DUMMYFUNCTION("""COMPUTED_VALUE"""),3.0)</f>
        <v>3</v>
      </c>
      <c r="G20" s="43" t="s">
        <v>122</v>
      </c>
      <c r="H20" s="43" t="s">
        <v>113</v>
      </c>
      <c r="I20" s="43" t="s">
        <v>115</v>
      </c>
      <c r="J20" s="47" t="s">
        <v>115</v>
      </c>
      <c r="K20" s="38">
        <v>0.0</v>
      </c>
      <c r="L20" s="38">
        <v>0.0</v>
      </c>
      <c r="M20" s="38" t="str">
        <f>IFERROR(__xludf.DUMMYFUNCTION("""COMPUTED_VALUE"""),"Fast Moving / Consumable")</f>
        <v>Fast Moving / Consumable</v>
      </c>
      <c r="N20" s="38">
        <v>18.0</v>
      </c>
      <c r="O20" s="40">
        <v>43153.0</v>
      </c>
      <c r="P20" s="38" t="s">
        <v>116</v>
      </c>
      <c r="Q20" s="42">
        <v>1.0</v>
      </c>
      <c r="R20" s="42">
        <v>0.0</v>
      </c>
      <c r="S20" s="38">
        <v>0.0</v>
      </c>
      <c r="T20" s="42">
        <v>1.0</v>
      </c>
      <c r="U20" s="42">
        <v>1.0</v>
      </c>
    </row>
    <row r="21">
      <c r="A21" s="43" t="s">
        <v>161</v>
      </c>
      <c r="B21" s="47" t="s">
        <v>162</v>
      </c>
      <c r="C21" s="43" t="s">
        <v>48</v>
      </c>
      <c r="D21" s="43">
        <v>1.0</v>
      </c>
      <c r="E21" s="43">
        <v>2.0</v>
      </c>
      <c r="F21" s="43">
        <f>IFERROR(__xludf.DUMMYFUNCTION("""COMPUTED_VALUE"""),1.0)</f>
        <v>1</v>
      </c>
      <c r="G21" s="43" t="s">
        <v>125</v>
      </c>
      <c r="H21" s="43" t="s">
        <v>113</v>
      </c>
      <c r="I21" s="43" t="s">
        <v>115</v>
      </c>
      <c r="J21" s="47" t="s">
        <v>115</v>
      </c>
      <c r="K21" s="38">
        <v>0.0</v>
      </c>
      <c r="L21" s="38">
        <v>0.0</v>
      </c>
      <c r="M21" s="38" t="str">
        <f>IFERROR(__xludf.DUMMYFUNCTION("""COMPUTED_VALUE"""),"Fast Moving / Consumable")</f>
        <v>Fast Moving / Consumable</v>
      </c>
      <c r="N21" s="38">
        <v>18.0</v>
      </c>
      <c r="O21" s="40">
        <v>43153.0</v>
      </c>
      <c r="P21" s="38" t="s">
        <v>116</v>
      </c>
      <c r="Q21" s="42">
        <v>1.0</v>
      </c>
      <c r="R21" s="42">
        <v>0.0</v>
      </c>
      <c r="S21" s="38">
        <v>0.0</v>
      </c>
      <c r="T21" s="42">
        <v>1.0</v>
      </c>
      <c r="U21" s="42">
        <v>1.0</v>
      </c>
    </row>
    <row r="22">
      <c r="A22" s="43" t="s">
        <v>163</v>
      </c>
      <c r="B22" s="47" t="s">
        <v>164</v>
      </c>
      <c r="C22" s="43" t="s">
        <v>48</v>
      </c>
      <c r="D22" s="43">
        <v>1.0</v>
      </c>
      <c r="E22" s="43">
        <v>1.0</v>
      </c>
      <c r="F22" s="43">
        <f>IFERROR(__xludf.DUMMYFUNCTION("""COMPUTED_VALUE"""),1.0)</f>
        <v>1</v>
      </c>
      <c r="G22" s="43" t="s">
        <v>125</v>
      </c>
      <c r="H22" s="43" t="s">
        <v>113</v>
      </c>
      <c r="I22" s="43" t="s">
        <v>115</v>
      </c>
      <c r="J22" s="47" t="s">
        <v>115</v>
      </c>
      <c r="K22" s="38">
        <v>0.0</v>
      </c>
      <c r="L22" s="38">
        <v>0.0</v>
      </c>
      <c r="M22" s="38" t="str">
        <f>IFERROR(__xludf.DUMMYFUNCTION("""COMPUTED_VALUE"""),"Fast Moving / Consumable")</f>
        <v>Fast Moving / Consumable</v>
      </c>
      <c r="N22" s="38">
        <v>18.0</v>
      </c>
      <c r="O22" s="40">
        <v>43153.0</v>
      </c>
      <c r="P22" s="38" t="s">
        <v>116</v>
      </c>
      <c r="Q22" s="42">
        <v>0.0</v>
      </c>
      <c r="R22" s="42">
        <v>0.0</v>
      </c>
      <c r="S22" s="38">
        <v>0.0</v>
      </c>
      <c r="T22" s="42">
        <v>0.0</v>
      </c>
      <c r="U22" s="42">
        <v>0.0</v>
      </c>
    </row>
    <row r="23">
      <c r="A23" s="43" t="s">
        <v>165</v>
      </c>
      <c r="B23" s="47" t="s">
        <v>166</v>
      </c>
      <c r="C23" s="43" t="s">
        <v>48</v>
      </c>
      <c r="D23" s="43">
        <v>1.0</v>
      </c>
      <c r="E23" s="43">
        <v>2.0</v>
      </c>
      <c r="F23" s="43">
        <f>IFERROR(__xludf.DUMMYFUNCTION("""COMPUTED_VALUE"""),2.0)</f>
        <v>2</v>
      </c>
      <c r="G23" s="43" t="s">
        <v>122</v>
      </c>
      <c r="H23" s="43" t="s">
        <v>113</v>
      </c>
      <c r="I23" s="43" t="s">
        <v>115</v>
      </c>
      <c r="J23" s="47" t="s">
        <v>115</v>
      </c>
      <c r="K23" s="38">
        <v>1.0</v>
      </c>
      <c r="L23" s="38">
        <v>2.0</v>
      </c>
      <c r="M23" s="38" t="str">
        <f>IFERROR(__xludf.DUMMYFUNCTION("""COMPUTED_VALUE"""),"Fast Moving / Consumable")</f>
        <v>Fast Moving / Consumable</v>
      </c>
      <c r="N23" s="38">
        <v>18.0</v>
      </c>
      <c r="O23" s="40">
        <v>46085.0</v>
      </c>
      <c r="P23" s="38" t="s">
        <v>126</v>
      </c>
      <c r="Q23" s="42">
        <v>1.0</v>
      </c>
      <c r="R23" s="42">
        <v>0.2727272727272727</v>
      </c>
      <c r="S23" s="38">
        <v>2.0</v>
      </c>
      <c r="T23" s="42">
        <v>0.7818181818181817</v>
      </c>
      <c r="U23" s="46">
        <v>2.0</v>
      </c>
    </row>
    <row r="24">
      <c r="A24" s="43" t="s">
        <v>167</v>
      </c>
      <c r="B24" s="47" t="s">
        <v>168</v>
      </c>
      <c r="C24" s="43" t="s">
        <v>48</v>
      </c>
      <c r="D24" s="43">
        <v>1.0</v>
      </c>
      <c r="E24" s="43">
        <v>1.0</v>
      </c>
      <c r="F24" s="43">
        <f>IFERROR(__xludf.DUMMYFUNCTION("""COMPUTED_VALUE"""),1.0)</f>
        <v>1</v>
      </c>
      <c r="G24" s="43" t="s">
        <v>125</v>
      </c>
      <c r="H24" s="43" t="s">
        <v>113</v>
      </c>
      <c r="I24" s="43" t="s">
        <v>115</v>
      </c>
      <c r="J24" s="47" t="s">
        <v>115</v>
      </c>
      <c r="K24" s="38">
        <v>0.0</v>
      </c>
      <c r="L24" s="38">
        <v>0.0</v>
      </c>
      <c r="M24" s="38" t="str">
        <f>IFERROR(__xludf.DUMMYFUNCTION("""COMPUTED_VALUE"""),"General Sparepart")</f>
        <v>General Sparepart</v>
      </c>
      <c r="N24" s="38">
        <v>24.0</v>
      </c>
      <c r="O24" s="40">
        <v>45762.0</v>
      </c>
      <c r="P24" s="38" t="s">
        <v>126</v>
      </c>
      <c r="Q24" s="42">
        <v>0.0</v>
      </c>
      <c r="R24" s="42">
        <v>0.0</v>
      </c>
      <c r="S24" s="38">
        <v>0.0</v>
      </c>
      <c r="T24" s="42">
        <v>0.0</v>
      </c>
      <c r="U24" s="42">
        <v>0.0</v>
      </c>
    </row>
    <row r="25">
      <c r="A25" s="43" t="s">
        <v>169</v>
      </c>
      <c r="B25" s="47" t="s">
        <v>170</v>
      </c>
      <c r="C25" s="43" t="s">
        <v>48</v>
      </c>
      <c r="D25" s="43">
        <v>10.0</v>
      </c>
      <c r="E25" s="43">
        <v>20.0</v>
      </c>
      <c r="F25" s="43">
        <f>IFERROR(__xludf.DUMMYFUNCTION("""COMPUTED_VALUE"""),17.0)</f>
        <v>17</v>
      </c>
      <c r="G25" s="43" t="s">
        <v>122</v>
      </c>
      <c r="H25" s="43" t="s">
        <v>113</v>
      </c>
      <c r="I25" s="43" t="s">
        <v>115</v>
      </c>
      <c r="J25" s="47" t="s">
        <v>115</v>
      </c>
      <c r="K25" s="38">
        <v>1.0</v>
      </c>
      <c r="L25" s="38">
        <v>3.0</v>
      </c>
      <c r="M25" s="38" t="str">
        <f>IFERROR(__xludf.DUMMYFUNCTION("""COMPUTED_VALUE"""),"Fast Moving / Consumable")</f>
        <v>Fast Moving / Consumable</v>
      </c>
      <c r="N25" s="38">
        <v>18.0</v>
      </c>
      <c r="O25" s="40">
        <v>46234.0</v>
      </c>
      <c r="P25" s="38" t="s">
        <v>126</v>
      </c>
      <c r="Q25" s="42">
        <v>3.0</v>
      </c>
      <c r="R25" s="42">
        <v>1.3636363636363635</v>
      </c>
      <c r="S25" s="38">
        <v>0.0</v>
      </c>
      <c r="T25" s="42">
        <v>2.509090909090909</v>
      </c>
      <c r="U25" s="42">
        <v>2.509090909090909</v>
      </c>
    </row>
    <row r="26">
      <c r="A26" s="43" t="s">
        <v>171</v>
      </c>
      <c r="B26" s="47" t="s">
        <v>172</v>
      </c>
      <c r="C26" s="43" t="s">
        <v>48</v>
      </c>
      <c r="D26" s="43">
        <v>10.0</v>
      </c>
      <c r="E26" s="43">
        <v>20.0</v>
      </c>
      <c r="F26" s="43">
        <f>IFERROR(__xludf.DUMMYFUNCTION("""COMPUTED_VALUE"""),15.0)</f>
        <v>15</v>
      </c>
      <c r="G26" s="43" t="s">
        <v>122</v>
      </c>
      <c r="H26" s="43" t="s">
        <v>113</v>
      </c>
      <c r="I26" s="43" t="s">
        <v>115</v>
      </c>
      <c r="J26" s="47" t="s">
        <v>115</v>
      </c>
      <c r="K26" s="38">
        <v>1.0</v>
      </c>
      <c r="L26" s="38">
        <v>3.0</v>
      </c>
      <c r="M26" s="38" t="str">
        <f>IFERROR(__xludf.DUMMYFUNCTION("""COMPUTED_VALUE"""),"Fast Moving / Consumable")</f>
        <v>Fast Moving / Consumable</v>
      </c>
      <c r="N26" s="38">
        <v>18.0</v>
      </c>
      <c r="O26" s="40">
        <v>46022.0</v>
      </c>
      <c r="P26" s="38" t="s">
        <v>126</v>
      </c>
      <c r="Q26" s="42">
        <v>3.0</v>
      </c>
      <c r="R26" s="42">
        <v>1.3636363636363635</v>
      </c>
      <c r="S26" s="38">
        <v>0.0</v>
      </c>
      <c r="T26" s="42">
        <v>2.509090909090909</v>
      </c>
      <c r="U26" s="42">
        <v>2.509090909090909</v>
      </c>
    </row>
    <row r="27">
      <c r="A27" s="43" t="s">
        <v>174</v>
      </c>
      <c r="B27" s="47" t="s">
        <v>175</v>
      </c>
      <c r="C27" s="43" t="s">
        <v>48</v>
      </c>
      <c r="D27" s="43">
        <v>4.0</v>
      </c>
      <c r="E27" s="43">
        <v>8.0</v>
      </c>
      <c r="F27" s="43">
        <f>IFERROR(__xludf.DUMMYFUNCTION("""COMPUTED_VALUE"""),5.0)</f>
        <v>5</v>
      </c>
      <c r="G27" s="43" t="s">
        <v>122</v>
      </c>
      <c r="H27" s="43" t="s">
        <v>113</v>
      </c>
      <c r="I27" s="43" t="s">
        <v>115</v>
      </c>
      <c r="J27" s="47" t="s">
        <v>115</v>
      </c>
      <c r="K27" s="38">
        <v>0.0</v>
      </c>
      <c r="L27" s="38">
        <v>0.0</v>
      </c>
      <c r="M27" s="38" t="str">
        <f>IFERROR(__xludf.DUMMYFUNCTION("""COMPUTED_VALUE"""),"General Sparepart")</f>
        <v>General Sparepart</v>
      </c>
      <c r="N27" s="38">
        <v>24.0</v>
      </c>
      <c r="O27" s="40">
        <v>45009.0</v>
      </c>
      <c r="P27" s="38" t="s">
        <v>116</v>
      </c>
      <c r="Q27" s="42">
        <v>1.0</v>
      </c>
      <c r="R27" s="42">
        <v>0.0</v>
      </c>
      <c r="S27" s="38">
        <v>0.0</v>
      </c>
      <c r="T27" s="42">
        <v>1.0</v>
      </c>
      <c r="U27" s="42">
        <v>1.0</v>
      </c>
    </row>
    <row r="28">
      <c r="A28" s="43" t="s">
        <v>176</v>
      </c>
      <c r="B28" s="47" t="s">
        <v>177</v>
      </c>
      <c r="C28" s="43" t="s">
        <v>48</v>
      </c>
      <c r="D28" s="43">
        <v>1.0</v>
      </c>
      <c r="E28" s="43">
        <v>4.0</v>
      </c>
      <c r="F28" s="43">
        <f>IFERROR(__xludf.DUMMYFUNCTION("""COMPUTED_VALUE"""),4.0)</f>
        <v>4</v>
      </c>
      <c r="G28" s="43" t="s">
        <v>122</v>
      </c>
      <c r="H28" s="43" t="s">
        <v>113</v>
      </c>
      <c r="I28" s="43" t="s">
        <v>115</v>
      </c>
      <c r="J28" s="47" t="s">
        <v>115</v>
      </c>
      <c r="K28" s="38">
        <v>1.0</v>
      </c>
      <c r="L28" s="38">
        <v>2.0</v>
      </c>
      <c r="M28" s="38" t="str">
        <f>IFERROR(__xludf.DUMMYFUNCTION("""COMPUTED_VALUE"""),"Fast Moving / Consumable")</f>
        <v>Fast Moving / Consumable</v>
      </c>
      <c r="N28" s="38">
        <v>18.0</v>
      </c>
      <c r="O28" s="40">
        <v>46043.0</v>
      </c>
      <c r="P28" s="38" t="s">
        <v>126</v>
      </c>
      <c r="Q28" s="42">
        <v>1.0</v>
      </c>
      <c r="R28" s="42">
        <v>0.5454545454545454</v>
      </c>
      <c r="S28" s="38">
        <v>2.0</v>
      </c>
      <c r="T28" s="42">
        <v>0.8636363636363635</v>
      </c>
      <c r="U28" s="46">
        <v>2.0</v>
      </c>
    </row>
    <row r="29">
      <c r="A29" s="43" t="s">
        <v>178</v>
      </c>
      <c r="B29" s="47" t="s">
        <v>179</v>
      </c>
      <c r="C29" s="43" t="s">
        <v>48</v>
      </c>
      <c r="D29" s="43">
        <v>1.0</v>
      </c>
      <c r="E29" s="43">
        <v>2.0</v>
      </c>
      <c r="F29" s="43">
        <f>IFERROR(__xludf.DUMMYFUNCTION("""COMPUTED_VALUE"""),1.0)</f>
        <v>1</v>
      </c>
      <c r="G29" s="43" t="s">
        <v>125</v>
      </c>
      <c r="H29" s="43" t="s">
        <v>113</v>
      </c>
      <c r="I29" s="43" t="s">
        <v>115</v>
      </c>
      <c r="J29" s="47" t="s">
        <v>115</v>
      </c>
      <c r="K29" s="38">
        <v>1.0</v>
      </c>
      <c r="L29" s="38">
        <v>1.0</v>
      </c>
      <c r="M29" s="38" t="str">
        <f>IFERROR(__xludf.DUMMYFUNCTION("""COMPUTED_VALUE"""),"General Sparepart")</f>
        <v>General Sparepart</v>
      </c>
      <c r="N29" s="38">
        <v>24.0</v>
      </c>
      <c r="O29" s="40">
        <v>46112.0</v>
      </c>
      <c r="P29" s="38" t="s">
        <v>126</v>
      </c>
      <c r="Q29" s="42">
        <v>1.0</v>
      </c>
      <c r="R29" s="42">
        <v>0.2727272727272727</v>
      </c>
      <c r="S29" s="38">
        <v>0.0</v>
      </c>
      <c r="T29" s="42">
        <v>0.7818181818181817</v>
      </c>
      <c r="U29" s="42">
        <v>0.7818181818181817</v>
      </c>
    </row>
    <row r="30">
      <c r="A30" s="43" t="s">
        <v>180</v>
      </c>
      <c r="B30" s="47" t="s">
        <v>181</v>
      </c>
      <c r="C30" s="43" t="s">
        <v>48</v>
      </c>
      <c r="D30" s="43">
        <v>10.0</v>
      </c>
      <c r="E30" s="43">
        <v>20.0</v>
      </c>
      <c r="F30" s="43">
        <f>IFERROR(__xludf.DUMMYFUNCTION("""COMPUTED_VALUE"""),20.0)</f>
        <v>20</v>
      </c>
      <c r="G30" s="43" t="s">
        <v>122</v>
      </c>
      <c r="H30" s="43" t="s">
        <v>113</v>
      </c>
      <c r="I30" s="43" t="s">
        <v>115</v>
      </c>
      <c r="J30" s="47" t="s">
        <v>115</v>
      </c>
      <c r="K30" s="38">
        <v>2.0</v>
      </c>
      <c r="L30" s="38">
        <v>13.0</v>
      </c>
      <c r="M30" s="38" t="str">
        <f>IFERROR(__xludf.DUMMYFUNCTION("""COMPUTED_VALUE"""),"Fast Moving / Consumable")</f>
        <v>Fast Moving / Consumable</v>
      </c>
      <c r="N30" s="38">
        <v>18.0</v>
      </c>
      <c r="O30" s="40">
        <v>46147.0</v>
      </c>
      <c r="P30" s="38" t="s">
        <v>126</v>
      </c>
      <c r="Q30" s="42">
        <v>7.0</v>
      </c>
      <c r="R30" s="42">
        <v>5.181818181818182</v>
      </c>
      <c r="S30" s="38">
        <v>13.0</v>
      </c>
      <c r="T30" s="42">
        <v>6.454545454545454</v>
      </c>
      <c r="U30" s="46">
        <v>13.0</v>
      </c>
    </row>
    <row r="31">
      <c r="A31" s="43" t="s">
        <v>182</v>
      </c>
      <c r="B31" s="47" t="s">
        <v>183</v>
      </c>
      <c r="C31" s="43" t="s">
        <v>48</v>
      </c>
      <c r="D31" s="43">
        <v>10.0</v>
      </c>
      <c r="E31" s="43">
        <v>20.0</v>
      </c>
      <c r="F31" s="43">
        <f>IFERROR(__xludf.DUMMYFUNCTION("""COMPUTED_VALUE"""),19.0)</f>
        <v>19</v>
      </c>
      <c r="G31" s="43" t="s">
        <v>122</v>
      </c>
      <c r="H31" s="43" t="s">
        <v>113</v>
      </c>
      <c r="I31" s="43" t="s">
        <v>115</v>
      </c>
      <c r="J31" s="47" t="s">
        <v>115</v>
      </c>
      <c r="K31" s="38">
        <v>1.0</v>
      </c>
      <c r="L31" s="38">
        <v>4.0</v>
      </c>
      <c r="M31" s="38" t="str">
        <f>IFERROR(__xludf.DUMMYFUNCTION("""COMPUTED_VALUE"""),"Fast Moving / Consumable")</f>
        <v>Fast Moving / Consumable</v>
      </c>
      <c r="N31" s="38">
        <v>18.0</v>
      </c>
      <c r="O31" s="40">
        <v>45863.0</v>
      </c>
      <c r="P31" s="38" t="s">
        <v>126</v>
      </c>
      <c r="Q31" s="42">
        <v>5.0</v>
      </c>
      <c r="R31" s="42">
        <v>0.2727272727272727</v>
      </c>
      <c r="S31" s="38">
        <v>0.0</v>
      </c>
      <c r="T31" s="42">
        <v>3.581818181818182</v>
      </c>
      <c r="U31" s="42">
        <v>3.581818181818182</v>
      </c>
    </row>
    <row r="32">
      <c r="A32" s="43" t="s">
        <v>184</v>
      </c>
      <c r="B32" s="47" t="s">
        <v>185</v>
      </c>
      <c r="C32" s="43" t="s">
        <v>48</v>
      </c>
      <c r="D32" s="43">
        <v>10.0</v>
      </c>
      <c r="E32" s="43">
        <v>20.0</v>
      </c>
      <c r="F32" s="43">
        <f>IFERROR(__xludf.DUMMYFUNCTION("""COMPUTED_VALUE"""),64.0)</f>
        <v>64</v>
      </c>
      <c r="G32" s="43" t="s">
        <v>122</v>
      </c>
      <c r="H32" s="43" t="s">
        <v>113</v>
      </c>
      <c r="I32" s="43" t="s">
        <v>115</v>
      </c>
      <c r="J32" s="47" t="s">
        <v>115</v>
      </c>
      <c r="K32" s="38">
        <v>2.0</v>
      </c>
      <c r="L32" s="38">
        <v>16.0</v>
      </c>
      <c r="M32" s="38" t="str">
        <f>IFERROR(__xludf.DUMMYFUNCTION("""COMPUTED_VALUE"""),"Fast Moving / Consumable")</f>
        <v>Fast Moving / Consumable</v>
      </c>
      <c r="N32" s="38">
        <v>18.0</v>
      </c>
      <c r="O32" s="40">
        <v>45989.0</v>
      </c>
      <c r="P32" s="38" t="s">
        <v>126</v>
      </c>
      <c r="Q32" s="42">
        <v>21.0</v>
      </c>
      <c r="R32" s="42">
        <v>1.6363636363636362</v>
      </c>
      <c r="S32" s="38">
        <v>0.0</v>
      </c>
      <c r="T32" s="42">
        <v>15.19090909090909</v>
      </c>
      <c r="U32" s="42">
        <v>15.19090909090909</v>
      </c>
    </row>
    <row r="33">
      <c r="A33" s="43" t="s">
        <v>186</v>
      </c>
      <c r="B33" s="47" t="s">
        <v>187</v>
      </c>
      <c r="C33" s="43" t="s">
        <v>48</v>
      </c>
      <c r="D33" s="43">
        <v>10.0</v>
      </c>
      <c r="E33" s="43">
        <v>20.0</v>
      </c>
      <c r="F33" s="43">
        <f>IFERROR(__xludf.DUMMYFUNCTION("""COMPUTED_VALUE"""),13.0)</f>
        <v>13</v>
      </c>
      <c r="G33" s="43" t="s">
        <v>122</v>
      </c>
      <c r="H33" s="43" t="s">
        <v>113</v>
      </c>
      <c r="I33" s="43" t="s">
        <v>115</v>
      </c>
      <c r="J33" s="47" t="s">
        <v>115</v>
      </c>
      <c r="K33" s="38">
        <v>1.0</v>
      </c>
      <c r="L33" s="38">
        <v>5.0</v>
      </c>
      <c r="M33" s="38" t="str">
        <f>IFERROR(__xludf.DUMMYFUNCTION("""COMPUTED_VALUE"""),"Fast Moving / Consumable")</f>
        <v>Fast Moving / Consumable</v>
      </c>
      <c r="N33" s="38">
        <v>18.0</v>
      </c>
      <c r="O33" s="40">
        <v>45989.0</v>
      </c>
      <c r="P33" s="38" t="s">
        <v>126</v>
      </c>
      <c r="Q33" s="42">
        <v>6.0</v>
      </c>
      <c r="R33" s="42">
        <v>2.4545454545454546</v>
      </c>
      <c r="S33" s="38">
        <v>0.0</v>
      </c>
      <c r="T33" s="42">
        <v>4.936363636363636</v>
      </c>
      <c r="U33" s="42">
        <v>4.936363636363636</v>
      </c>
    </row>
    <row r="34">
      <c r="A34" s="43" t="s">
        <v>188</v>
      </c>
      <c r="B34" s="47" t="s">
        <v>189</v>
      </c>
      <c r="C34" s="43" t="s">
        <v>48</v>
      </c>
      <c r="D34" s="43">
        <v>10.0</v>
      </c>
      <c r="E34" s="43">
        <v>21.0</v>
      </c>
      <c r="F34" s="43">
        <f>IFERROR(__xludf.DUMMYFUNCTION("""COMPUTED_VALUE"""),19.0)</f>
        <v>19</v>
      </c>
      <c r="G34" s="43" t="s">
        <v>122</v>
      </c>
      <c r="H34" s="43" t="s">
        <v>113</v>
      </c>
      <c r="I34" s="43" t="s">
        <v>115</v>
      </c>
      <c r="J34" s="47" t="s">
        <v>115</v>
      </c>
      <c r="K34" s="38">
        <v>2.0</v>
      </c>
      <c r="L34" s="38">
        <v>12.0</v>
      </c>
      <c r="M34" s="38" t="str">
        <f>IFERROR(__xludf.DUMMYFUNCTION("""COMPUTED_VALUE"""),"Fast Moving / Consumable")</f>
        <v>Fast Moving / Consumable</v>
      </c>
      <c r="N34" s="38">
        <v>18.0</v>
      </c>
      <c r="O34" s="40">
        <v>45989.0</v>
      </c>
      <c r="P34" s="38" t="s">
        <v>126</v>
      </c>
      <c r="Q34" s="42">
        <v>14.0</v>
      </c>
      <c r="R34" s="42">
        <v>4.363636363636363</v>
      </c>
      <c r="S34" s="38">
        <v>0.0</v>
      </c>
      <c r="T34" s="42">
        <v>11.109090909090908</v>
      </c>
      <c r="U34" s="42">
        <v>11.109090909090908</v>
      </c>
    </row>
    <row r="35">
      <c r="A35" s="43" t="s">
        <v>190</v>
      </c>
      <c r="B35" s="47" t="s">
        <v>191</v>
      </c>
      <c r="C35" s="43" t="s">
        <v>48</v>
      </c>
      <c r="D35" s="43">
        <v>1.0</v>
      </c>
      <c r="E35" s="43">
        <v>2.0</v>
      </c>
      <c r="F35" s="43">
        <f>IFERROR(__xludf.DUMMYFUNCTION("""COMPUTED_VALUE"""),0.0)</f>
        <v>0</v>
      </c>
      <c r="G35" s="43" t="s">
        <v>112</v>
      </c>
      <c r="H35" s="43" t="s">
        <v>119</v>
      </c>
      <c r="I35" s="43" t="s">
        <v>141</v>
      </c>
      <c r="J35" s="47" t="s">
        <v>192</v>
      </c>
      <c r="K35" s="38">
        <v>0.0</v>
      </c>
      <c r="L35" s="38">
        <v>0.0</v>
      </c>
      <c r="M35" s="38" t="str">
        <f>IFERROR(__xludf.DUMMYFUNCTION("""COMPUTED_VALUE"""),"Critical Sparepart")</f>
        <v>Critical Sparepart</v>
      </c>
      <c r="N35" s="38">
        <v>36.0</v>
      </c>
      <c r="O35" s="40">
        <v>0.0</v>
      </c>
      <c r="P35" s="38" t="s">
        <v>116</v>
      </c>
      <c r="Q35" s="42">
        <v>0.0</v>
      </c>
      <c r="R35" s="42">
        <v>0.0</v>
      </c>
      <c r="S35" s="38">
        <v>0.0</v>
      </c>
      <c r="T35" s="42">
        <v>0.0</v>
      </c>
      <c r="U35" s="42">
        <v>0.0</v>
      </c>
    </row>
    <row r="36">
      <c r="A36" s="43" t="s">
        <v>194</v>
      </c>
      <c r="B36" s="47" t="s">
        <v>195</v>
      </c>
      <c r="C36" s="43" t="s">
        <v>48</v>
      </c>
      <c r="D36" s="43">
        <v>1.0</v>
      </c>
      <c r="E36" s="43">
        <v>2.0</v>
      </c>
      <c r="F36" s="43">
        <f>IFERROR(__xludf.DUMMYFUNCTION("""COMPUTED_VALUE"""),0.0)</f>
        <v>0</v>
      </c>
      <c r="G36" s="43" t="s">
        <v>112</v>
      </c>
      <c r="H36" s="43" t="s">
        <v>119</v>
      </c>
      <c r="I36" s="43" t="s">
        <v>141</v>
      </c>
      <c r="J36" s="47" t="s">
        <v>196</v>
      </c>
      <c r="K36" s="38">
        <v>0.0</v>
      </c>
      <c r="L36" s="38">
        <v>0.0</v>
      </c>
      <c r="M36" s="38" t="str">
        <f>IFERROR(__xludf.DUMMYFUNCTION("""COMPUTED_VALUE"""),"General Sparepart")</f>
        <v>General Sparepart</v>
      </c>
      <c r="N36" s="38">
        <v>24.0</v>
      </c>
      <c r="O36" s="40">
        <v>0.0</v>
      </c>
      <c r="P36" s="38" t="s">
        <v>116</v>
      </c>
      <c r="Q36" s="42">
        <v>0.0</v>
      </c>
      <c r="R36" s="42">
        <v>0.0</v>
      </c>
      <c r="S36" s="38">
        <v>0.0</v>
      </c>
      <c r="T36" s="42">
        <v>0.0</v>
      </c>
      <c r="U36" s="42">
        <v>0.0</v>
      </c>
    </row>
    <row r="37">
      <c r="A37" s="43" t="s">
        <v>197</v>
      </c>
      <c r="B37" s="47" t="s">
        <v>198</v>
      </c>
      <c r="C37" s="43" t="s">
        <v>48</v>
      </c>
      <c r="D37" s="43">
        <v>1.0</v>
      </c>
      <c r="E37" s="43">
        <v>6.0</v>
      </c>
      <c r="F37" s="43">
        <f>IFERROR(__xludf.DUMMYFUNCTION("""COMPUTED_VALUE"""),0.0)</f>
        <v>0</v>
      </c>
      <c r="G37" s="43" t="s">
        <v>112</v>
      </c>
      <c r="H37" s="43" t="s">
        <v>113</v>
      </c>
      <c r="I37" s="43" t="s">
        <v>141</v>
      </c>
      <c r="J37" s="47" t="s">
        <v>199</v>
      </c>
      <c r="K37" s="38">
        <v>1.0</v>
      </c>
      <c r="L37" s="38">
        <v>1.0</v>
      </c>
      <c r="M37" s="38" t="str">
        <f>IFERROR(__xludf.DUMMYFUNCTION("""COMPUTED_VALUE"""),"Critical Sparepart")</f>
        <v>Critical Sparepart</v>
      </c>
      <c r="N37" s="38">
        <v>36.0</v>
      </c>
      <c r="O37" s="40">
        <v>46022.0</v>
      </c>
      <c r="P37" s="38" t="s">
        <v>126</v>
      </c>
      <c r="Q37" s="42">
        <v>1.0</v>
      </c>
      <c r="R37" s="42">
        <v>0.8181818181818181</v>
      </c>
      <c r="S37" s="38">
        <v>0.0</v>
      </c>
      <c r="T37" s="42">
        <v>0.9454545454545453</v>
      </c>
      <c r="U37" s="42">
        <v>0.9454545454545453</v>
      </c>
    </row>
    <row r="38">
      <c r="A38" s="43" t="s">
        <v>200</v>
      </c>
      <c r="B38" s="47" t="s">
        <v>201</v>
      </c>
      <c r="C38" s="43" t="s">
        <v>48</v>
      </c>
      <c r="D38" s="43">
        <v>2.0</v>
      </c>
      <c r="E38" s="43">
        <v>8.0</v>
      </c>
      <c r="F38" s="43">
        <f>IFERROR(__xludf.DUMMYFUNCTION("""COMPUTED_VALUE"""),0.0)</f>
        <v>0</v>
      </c>
      <c r="G38" s="43" t="s">
        <v>112</v>
      </c>
      <c r="H38" s="43" t="s">
        <v>113</v>
      </c>
      <c r="I38" s="43" t="s">
        <v>115</v>
      </c>
      <c r="J38" s="47" t="s">
        <v>202</v>
      </c>
      <c r="K38" s="38">
        <v>1.0</v>
      </c>
      <c r="L38" s="38">
        <v>7.0</v>
      </c>
      <c r="M38" s="38" t="str">
        <f>IFERROR(__xludf.DUMMYFUNCTION("""COMPUTED_VALUE"""),"Critical Sparepart")</f>
        <v>Critical Sparepart</v>
      </c>
      <c r="N38" s="38">
        <v>36.0</v>
      </c>
      <c r="O38" s="40">
        <v>46260.0</v>
      </c>
      <c r="P38" s="38" t="s">
        <v>126</v>
      </c>
      <c r="Q38" s="42">
        <v>8.0</v>
      </c>
      <c r="R38" s="42">
        <v>1.0909090909090908</v>
      </c>
      <c r="S38" s="38">
        <v>7.0</v>
      </c>
      <c r="T38" s="42">
        <v>5.927272727272727</v>
      </c>
      <c r="U38" s="46">
        <v>7.0</v>
      </c>
    </row>
    <row r="39">
      <c r="A39" s="43" t="s">
        <v>203</v>
      </c>
      <c r="B39" s="47" t="s">
        <v>204</v>
      </c>
      <c r="C39" s="43" t="s">
        <v>65</v>
      </c>
      <c r="D39" s="43">
        <v>10.0</v>
      </c>
      <c r="E39" s="43">
        <v>30.0</v>
      </c>
      <c r="F39" s="43">
        <f>IFERROR(__xludf.DUMMYFUNCTION("""COMPUTED_VALUE"""),40.0)</f>
        <v>40</v>
      </c>
      <c r="G39" s="43" t="s">
        <v>122</v>
      </c>
      <c r="H39" s="43" t="s">
        <v>113</v>
      </c>
      <c r="I39" s="43" t="s">
        <v>115</v>
      </c>
      <c r="J39" s="47" t="s">
        <v>206</v>
      </c>
      <c r="K39" s="38">
        <v>1.0</v>
      </c>
      <c r="L39" s="38">
        <v>7.0</v>
      </c>
      <c r="M39" s="38" t="str">
        <f>IFERROR(__xludf.DUMMYFUNCTION("""COMPUTED_VALUE"""),"Fast Moving / Consumable")</f>
        <v>Fast Moving / Consumable</v>
      </c>
      <c r="N39" s="38">
        <v>18.0</v>
      </c>
      <c r="O39" s="40">
        <v>45909.0</v>
      </c>
      <c r="P39" s="38" t="s">
        <v>126</v>
      </c>
      <c r="Q39" s="42">
        <v>9.0</v>
      </c>
      <c r="R39" s="42">
        <v>0.5454545454545454</v>
      </c>
      <c r="S39" s="38">
        <v>0.0</v>
      </c>
      <c r="T39" s="42">
        <v>6.463636363636364</v>
      </c>
      <c r="U39" s="42">
        <v>6.463636363636364</v>
      </c>
    </row>
    <row r="40">
      <c r="A40" s="43" t="s">
        <v>207</v>
      </c>
      <c r="B40" s="47" t="s">
        <v>208</v>
      </c>
      <c r="C40" s="43" t="s">
        <v>65</v>
      </c>
      <c r="D40" s="43">
        <v>10.0</v>
      </c>
      <c r="E40" s="43">
        <v>32.0</v>
      </c>
      <c r="F40" s="43">
        <f>IFERROR(__xludf.DUMMYFUNCTION("""COMPUTED_VALUE"""),110.0)</f>
        <v>110</v>
      </c>
      <c r="G40" s="43" t="s">
        <v>122</v>
      </c>
      <c r="H40" s="43" t="s">
        <v>113</v>
      </c>
      <c r="I40" s="43" t="s">
        <v>115</v>
      </c>
      <c r="J40" s="47" t="s">
        <v>115</v>
      </c>
      <c r="K40" s="38">
        <v>3.0</v>
      </c>
      <c r="L40" s="38">
        <v>26.0</v>
      </c>
      <c r="M40" s="38" t="str">
        <f>IFERROR(__xludf.DUMMYFUNCTION("""COMPUTED_VALUE"""),"Fast Moving / Consumable")</f>
        <v>Fast Moving / Consumable</v>
      </c>
      <c r="N40" s="38">
        <v>18.0</v>
      </c>
      <c r="O40" s="40">
        <v>46171.0</v>
      </c>
      <c r="P40" s="38" t="s">
        <v>126</v>
      </c>
      <c r="Q40" s="42">
        <v>26.0</v>
      </c>
      <c r="R40" s="42">
        <v>24.545454545454547</v>
      </c>
      <c r="S40" s="38">
        <v>0.0</v>
      </c>
      <c r="T40" s="42">
        <v>25.563636363636363</v>
      </c>
      <c r="U40" s="42">
        <v>25.563636363636363</v>
      </c>
    </row>
    <row r="41">
      <c r="A41" s="43" t="s">
        <v>209</v>
      </c>
      <c r="B41" s="47" t="s">
        <v>210</v>
      </c>
      <c r="C41" s="43" t="s">
        <v>65</v>
      </c>
      <c r="D41" s="43">
        <v>10.0</v>
      </c>
      <c r="E41" s="43">
        <v>10.0</v>
      </c>
      <c r="F41" s="43">
        <f>IFERROR(__xludf.DUMMYFUNCTION("""COMPUTED_VALUE"""),16.0)</f>
        <v>16</v>
      </c>
      <c r="G41" s="43" t="s">
        <v>122</v>
      </c>
      <c r="H41" s="43" t="s">
        <v>113</v>
      </c>
      <c r="I41" s="43" t="s">
        <v>115</v>
      </c>
      <c r="J41" s="47" t="s">
        <v>115</v>
      </c>
      <c r="K41" s="38">
        <v>0.0</v>
      </c>
      <c r="L41" s="38">
        <v>0.0</v>
      </c>
      <c r="M41" s="38" t="str">
        <f>IFERROR(__xludf.DUMMYFUNCTION("""COMPUTED_VALUE"""),"Fast Moving / Consumable")</f>
        <v>Fast Moving / Consumable</v>
      </c>
      <c r="N41" s="38">
        <v>18.0</v>
      </c>
      <c r="O41" s="40">
        <v>45565.0</v>
      </c>
      <c r="P41" s="38" t="s">
        <v>116</v>
      </c>
      <c r="Q41" s="42">
        <v>4.0</v>
      </c>
      <c r="R41" s="42">
        <v>5.454545454545454</v>
      </c>
      <c r="S41" s="38">
        <v>0.0</v>
      </c>
      <c r="T41" s="42">
        <v>4.436363636363636</v>
      </c>
      <c r="U41" s="42">
        <v>4.436363636363636</v>
      </c>
    </row>
    <row r="42">
      <c r="A42" s="43" t="s">
        <v>211</v>
      </c>
      <c r="B42" s="47" t="s">
        <v>212</v>
      </c>
      <c r="C42" s="43" t="s">
        <v>65</v>
      </c>
      <c r="D42" s="43">
        <v>1.0</v>
      </c>
      <c r="E42" s="43">
        <v>1.0</v>
      </c>
      <c r="F42" s="43">
        <f>IFERROR(__xludf.DUMMYFUNCTION("""COMPUTED_VALUE"""),1.0)</f>
        <v>1</v>
      </c>
      <c r="G42" s="43" t="s">
        <v>125</v>
      </c>
      <c r="H42" s="43" t="s">
        <v>113</v>
      </c>
      <c r="I42" s="43" t="s">
        <v>115</v>
      </c>
      <c r="J42" s="47" t="s">
        <v>213</v>
      </c>
      <c r="K42" s="38">
        <v>1.0</v>
      </c>
      <c r="L42" s="38">
        <v>3.0</v>
      </c>
      <c r="M42" s="38" t="str">
        <f>IFERROR(__xludf.DUMMYFUNCTION("""COMPUTED_VALUE"""),"Fast Moving / Consumable")</f>
        <v>Fast Moving / Consumable</v>
      </c>
      <c r="N42" s="38">
        <v>18.0</v>
      </c>
      <c r="O42" s="40">
        <v>45874.0</v>
      </c>
      <c r="P42" s="38" t="s">
        <v>126</v>
      </c>
      <c r="Q42" s="42">
        <v>3.0</v>
      </c>
      <c r="R42" s="42">
        <v>2.727272727272727</v>
      </c>
      <c r="S42" s="38">
        <v>0.0</v>
      </c>
      <c r="T42" s="42">
        <v>2.918181818181818</v>
      </c>
      <c r="U42" s="42">
        <v>2.918181818181818</v>
      </c>
    </row>
    <row r="43">
      <c r="A43" s="43" t="s">
        <v>214</v>
      </c>
      <c r="B43" s="47" t="s">
        <v>215</v>
      </c>
      <c r="C43" s="43" t="s">
        <v>65</v>
      </c>
      <c r="D43" s="43">
        <v>20.0</v>
      </c>
      <c r="E43" s="43">
        <v>60.0</v>
      </c>
      <c r="F43" s="43">
        <f>IFERROR(__xludf.DUMMYFUNCTION("""COMPUTED_VALUE"""),40.0)</f>
        <v>40</v>
      </c>
      <c r="G43" s="43" t="s">
        <v>122</v>
      </c>
      <c r="H43" s="43" t="s">
        <v>113</v>
      </c>
      <c r="I43" s="43" t="s">
        <v>115</v>
      </c>
      <c r="J43" s="47" t="s">
        <v>216</v>
      </c>
      <c r="K43" s="38">
        <v>5.0</v>
      </c>
      <c r="L43" s="38">
        <v>40.0</v>
      </c>
      <c r="M43" s="38" t="str">
        <f>IFERROR(__xludf.DUMMYFUNCTION("""COMPUTED_VALUE"""),"Fast Moving / Consumable")</f>
        <v>Fast Moving / Consumable</v>
      </c>
      <c r="N43" s="38">
        <v>18.0</v>
      </c>
      <c r="O43" s="40">
        <v>45928.0</v>
      </c>
      <c r="P43" s="38" t="s">
        <v>126</v>
      </c>
      <c r="Q43" s="42">
        <v>30.0</v>
      </c>
      <c r="R43" s="42">
        <v>0.0</v>
      </c>
      <c r="S43" s="38">
        <v>40.0</v>
      </c>
      <c r="T43" s="42">
        <v>30.0</v>
      </c>
      <c r="U43" s="46">
        <v>40.0</v>
      </c>
    </row>
    <row r="44">
      <c r="A44" s="43" t="s">
        <v>217</v>
      </c>
      <c r="B44" s="47" t="s">
        <v>218</v>
      </c>
      <c r="C44" s="43" t="s">
        <v>65</v>
      </c>
      <c r="D44" s="43">
        <v>1.0</v>
      </c>
      <c r="E44" s="43">
        <v>5.0</v>
      </c>
      <c r="F44" s="43">
        <f>IFERROR(__xludf.DUMMYFUNCTION("""COMPUTED_VALUE"""),1.0)</f>
        <v>1</v>
      </c>
      <c r="G44" s="43" t="s">
        <v>125</v>
      </c>
      <c r="H44" s="43" t="s">
        <v>113</v>
      </c>
      <c r="I44" s="43" t="s">
        <v>115</v>
      </c>
      <c r="J44" s="47" t="s">
        <v>213</v>
      </c>
      <c r="K44" s="38">
        <v>1.0</v>
      </c>
      <c r="L44" s="38">
        <v>3.0</v>
      </c>
      <c r="M44" s="38" t="str">
        <f>IFERROR(__xludf.DUMMYFUNCTION("""COMPUTED_VALUE"""),"Fast Moving / Consumable")</f>
        <v>Fast Moving / Consumable</v>
      </c>
      <c r="N44" s="38">
        <v>18.0</v>
      </c>
      <c r="O44" s="40">
        <v>45874.0</v>
      </c>
      <c r="P44" s="38" t="s">
        <v>126</v>
      </c>
      <c r="Q44" s="42">
        <v>3.0</v>
      </c>
      <c r="R44" s="42">
        <v>2.727272727272727</v>
      </c>
      <c r="S44" s="38">
        <v>0.0</v>
      </c>
      <c r="T44" s="42">
        <v>2.918181818181818</v>
      </c>
      <c r="U44" s="42">
        <v>2.918181818181818</v>
      </c>
    </row>
    <row r="45">
      <c r="A45" s="43" t="s">
        <v>219</v>
      </c>
      <c r="B45" s="47" t="s">
        <v>220</v>
      </c>
      <c r="C45" s="43" t="s">
        <v>65</v>
      </c>
      <c r="D45" s="43">
        <v>1.0</v>
      </c>
      <c r="E45" s="43">
        <v>2.0</v>
      </c>
      <c r="F45" s="43">
        <f>IFERROR(__xludf.DUMMYFUNCTION("""COMPUTED_VALUE"""),2.0)</f>
        <v>2</v>
      </c>
      <c r="G45" s="43" t="s">
        <v>122</v>
      </c>
      <c r="H45" s="43" t="s">
        <v>113</v>
      </c>
      <c r="I45" s="43" t="s">
        <v>115</v>
      </c>
      <c r="J45" s="47" t="s">
        <v>221</v>
      </c>
      <c r="K45" s="38">
        <v>1.0</v>
      </c>
      <c r="L45" s="38">
        <v>1.0</v>
      </c>
      <c r="M45" s="38" t="str">
        <f>IFERROR(__xludf.DUMMYFUNCTION("""COMPUTED_VALUE"""),"Critical Sparepart")</f>
        <v>Critical Sparepart</v>
      </c>
      <c r="N45" s="38">
        <v>36.0</v>
      </c>
      <c r="O45" s="40">
        <v>45875.0</v>
      </c>
      <c r="P45" s="38" t="s">
        <v>126</v>
      </c>
      <c r="Q45" s="42">
        <v>1.0</v>
      </c>
      <c r="R45" s="42">
        <v>0.0</v>
      </c>
      <c r="S45" s="38">
        <v>0.0</v>
      </c>
      <c r="T45" s="42">
        <v>1.0</v>
      </c>
      <c r="U45" s="42">
        <v>1.0</v>
      </c>
    </row>
    <row r="46">
      <c r="A46" s="43" t="s">
        <v>222</v>
      </c>
      <c r="B46" s="47" t="s">
        <v>223</v>
      </c>
      <c r="C46" s="43" t="s">
        <v>65</v>
      </c>
      <c r="D46" s="43">
        <v>0.0</v>
      </c>
      <c r="E46" s="43">
        <v>1.0</v>
      </c>
      <c r="F46" s="43">
        <f>IFERROR(__xludf.DUMMYFUNCTION("""COMPUTED_VALUE"""),0.0)</f>
        <v>0</v>
      </c>
      <c r="G46" s="43" t="s">
        <v>125</v>
      </c>
      <c r="H46" s="43" t="s">
        <v>113</v>
      </c>
      <c r="I46" s="43" t="s">
        <v>115</v>
      </c>
      <c r="J46" s="47" t="s">
        <v>115</v>
      </c>
      <c r="K46" s="38">
        <v>0.0</v>
      </c>
      <c r="L46" s="38">
        <v>0.0</v>
      </c>
      <c r="M46" s="38" t="str">
        <f>IFERROR(__xludf.DUMMYFUNCTION("""COMPUTED_VALUE"""),"General Sparepart")</f>
        <v>General Sparepart</v>
      </c>
      <c r="N46" s="38">
        <v>24.0</v>
      </c>
      <c r="O46" s="40">
        <v>0.0</v>
      </c>
      <c r="P46" s="38" t="s">
        <v>116</v>
      </c>
      <c r="Q46" s="42">
        <v>0.0</v>
      </c>
      <c r="R46" s="42">
        <v>0.0</v>
      </c>
      <c r="S46" s="38">
        <v>0.0</v>
      </c>
      <c r="T46" s="42">
        <v>0.0</v>
      </c>
      <c r="U46" s="42">
        <v>0.0</v>
      </c>
    </row>
    <row r="47">
      <c r="A47" s="43" t="s">
        <v>224</v>
      </c>
      <c r="B47" s="47" t="s">
        <v>225</v>
      </c>
      <c r="C47" s="43" t="s">
        <v>65</v>
      </c>
      <c r="D47" s="43">
        <v>0.0</v>
      </c>
      <c r="E47" s="43">
        <v>1.0</v>
      </c>
      <c r="F47" s="43">
        <f>IFERROR(__xludf.DUMMYFUNCTION("""COMPUTED_VALUE"""),1.0)</f>
        <v>1</v>
      </c>
      <c r="G47" s="43" t="s">
        <v>122</v>
      </c>
      <c r="H47" s="43" t="s">
        <v>113</v>
      </c>
      <c r="I47" s="43" t="s">
        <v>115</v>
      </c>
      <c r="J47" s="47" t="s">
        <v>115</v>
      </c>
      <c r="K47" s="38">
        <v>0.0</v>
      </c>
      <c r="L47" s="38">
        <v>0.0</v>
      </c>
      <c r="M47" s="38" t="str">
        <f>IFERROR(__xludf.DUMMYFUNCTION("""COMPUTED_VALUE"""),"General Sparepart")</f>
        <v>General Sparepart</v>
      </c>
      <c r="N47" s="38">
        <v>24.0</v>
      </c>
      <c r="O47" s="40">
        <v>45338.0</v>
      </c>
      <c r="P47" s="38" t="s">
        <v>116</v>
      </c>
      <c r="Q47" s="42">
        <v>0.0</v>
      </c>
      <c r="R47" s="42">
        <v>0.0</v>
      </c>
      <c r="S47" s="38">
        <v>0.0</v>
      </c>
      <c r="T47" s="42">
        <v>0.0</v>
      </c>
      <c r="U47" s="42">
        <v>0.0</v>
      </c>
    </row>
    <row r="48">
      <c r="A48" s="43" t="s">
        <v>226</v>
      </c>
      <c r="B48" s="47" t="s">
        <v>227</v>
      </c>
      <c r="C48" s="43" t="s">
        <v>65</v>
      </c>
      <c r="D48" s="43">
        <v>1.0</v>
      </c>
      <c r="E48" s="43">
        <v>2.0</v>
      </c>
      <c r="F48" s="43">
        <f>IFERROR(__xludf.DUMMYFUNCTION("""COMPUTED_VALUE"""),1.0)</f>
        <v>1</v>
      </c>
      <c r="G48" s="43" t="s">
        <v>125</v>
      </c>
      <c r="H48" s="43" t="s">
        <v>113</v>
      </c>
      <c r="I48" s="43" t="s">
        <v>115</v>
      </c>
      <c r="J48" s="47" t="s">
        <v>228</v>
      </c>
      <c r="K48" s="38">
        <v>1.0</v>
      </c>
      <c r="L48" s="38">
        <v>1.0</v>
      </c>
      <c r="M48" s="38" t="str">
        <f>IFERROR(__xludf.DUMMYFUNCTION("""COMPUTED_VALUE"""),"General Sparepart")</f>
        <v>General Sparepart</v>
      </c>
      <c r="N48" s="38">
        <v>24.0</v>
      </c>
      <c r="O48" s="40">
        <v>45928.0</v>
      </c>
      <c r="P48" s="38" t="s">
        <v>126</v>
      </c>
      <c r="Q48" s="42">
        <v>1.0</v>
      </c>
      <c r="R48" s="42">
        <v>0.2727272727272727</v>
      </c>
      <c r="S48" s="38">
        <v>1.0</v>
      </c>
      <c r="T48" s="42">
        <v>0.7818181818181817</v>
      </c>
      <c r="U48" s="46">
        <v>1.0</v>
      </c>
    </row>
    <row r="49">
      <c r="A49" s="43" t="s">
        <v>229</v>
      </c>
      <c r="B49" s="47" t="s">
        <v>230</v>
      </c>
      <c r="C49" s="43" t="s">
        <v>65</v>
      </c>
      <c r="D49" s="43">
        <v>1.0</v>
      </c>
      <c r="E49" s="43">
        <v>5.0</v>
      </c>
      <c r="F49" s="43">
        <f>IFERROR(__xludf.DUMMYFUNCTION("""COMPUTED_VALUE"""),1.0)</f>
        <v>1</v>
      </c>
      <c r="G49" s="43" t="s">
        <v>125</v>
      </c>
      <c r="H49" s="43" t="s">
        <v>113</v>
      </c>
      <c r="I49" s="43" t="s">
        <v>115</v>
      </c>
      <c r="J49" s="47" t="s">
        <v>213</v>
      </c>
      <c r="K49" s="38">
        <v>1.0</v>
      </c>
      <c r="L49" s="38">
        <v>3.0</v>
      </c>
      <c r="M49" s="38" t="str">
        <f>IFERROR(__xludf.DUMMYFUNCTION("""COMPUTED_VALUE"""),"General Sparepart")</f>
        <v>General Sparepart</v>
      </c>
      <c r="N49" s="38">
        <v>24.0</v>
      </c>
      <c r="O49" s="40">
        <v>45874.0</v>
      </c>
      <c r="P49" s="38" t="s">
        <v>126</v>
      </c>
      <c r="Q49" s="42">
        <v>3.0</v>
      </c>
      <c r="R49" s="42">
        <v>2.727272727272727</v>
      </c>
      <c r="S49" s="38">
        <v>0.0</v>
      </c>
      <c r="T49" s="42">
        <v>2.918181818181818</v>
      </c>
      <c r="U49" s="42">
        <v>2.918181818181818</v>
      </c>
    </row>
    <row r="50">
      <c r="A50" s="43" t="s">
        <v>231</v>
      </c>
      <c r="B50" s="47" t="s">
        <v>232</v>
      </c>
      <c r="C50" s="43" t="s">
        <v>65</v>
      </c>
      <c r="D50" s="43">
        <v>1.0</v>
      </c>
      <c r="E50" s="43">
        <v>6.0</v>
      </c>
      <c r="F50" s="43">
        <f>IFERROR(__xludf.DUMMYFUNCTION("""COMPUTED_VALUE"""),5.0)</f>
        <v>5</v>
      </c>
      <c r="G50" s="43" t="s">
        <v>122</v>
      </c>
      <c r="H50" s="43" t="s">
        <v>113</v>
      </c>
      <c r="I50" s="43" t="s">
        <v>115</v>
      </c>
      <c r="J50" s="47" t="s">
        <v>233</v>
      </c>
      <c r="K50" s="38">
        <v>1.0</v>
      </c>
      <c r="L50" s="38">
        <v>5.0</v>
      </c>
      <c r="M50" s="38" t="str">
        <f>IFERROR(__xludf.DUMMYFUNCTION("""COMPUTED_VALUE"""),"Fast Moving / Consumable")</f>
        <v>Fast Moving / Consumable</v>
      </c>
      <c r="N50" s="38">
        <v>18.0</v>
      </c>
      <c r="O50" s="40">
        <v>45831.0</v>
      </c>
      <c r="P50" s="38" t="s">
        <v>126</v>
      </c>
      <c r="Q50" s="42">
        <v>4.0</v>
      </c>
      <c r="R50" s="42">
        <v>4.090909090909091</v>
      </c>
      <c r="S50" s="38">
        <v>0.0</v>
      </c>
      <c r="T50" s="42">
        <v>4.027272727272727</v>
      </c>
      <c r="U50" s="42">
        <v>4.027272727272727</v>
      </c>
    </row>
    <row r="51">
      <c r="A51" s="43" t="s">
        <v>234</v>
      </c>
      <c r="B51" s="47" t="s">
        <v>235</v>
      </c>
      <c r="C51" s="43" t="s">
        <v>65</v>
      </c>
      <c r="D51" s="43">
        <v>10.0</v>
      </c>
      <c r="E51" s="43">
        <v>30.0</v>
      </c>
      <c r="F51" s="43">
        <f>IFERROR(__xludf.DUMMYFUNCTION("""COMPUTED_VALUE"""),20.0)</f>
        <v>20</v>
      </c>
      <c r="G51" s="43" t="s">
        <v>122</v>
      </c>
      <c r="H51" s="43" t="s">
        <v>113</v>
      </c>
      <c r="I51" s="43" t="s">
        <v>115</v>
      </c>
      <c r="J51" s="47" t="s">
        <v>236</v>
      </c>
      <c r="K51" s="38">
        <v>2.0</v>
      </c>
      <c r="L51" s="38">
        <v>14.0</v>
      </c>
      <c r="M51" s="38" t="str">
        <f>IFERROR(__xludf.DUMMYFUNCTION("""COMPUTED_VALUE"""),"Fast Moving / Consumable")</f>
        <v>Fast Moving / Consumable</v>
      </c>
      <c r="N51" s="38">
        <v>18.0</v>
      </c>
      <c r="O51" s="40">
        <v>46087.0</v>
      </c>
      <c r="P51" s="38" t="s">
        <v>126</v>
      </c>
      <c r="Q51" s="42">
        <v>19.0</v>
      </c>
      <c r="R51" s="42">
        <v>0.2727272727272727</v>
      </c>
      <c r="S51" s="38">
        <v>11.0</v>
      </c>
      <c r="T51" s="42">
        <v>13.381818181818181</v>
      </c>
      <c r="U51" s="42">
        <v>13.381818181818181</v>
      </c>
    </row>
    <row r="52">
      <c r="A52" s="43" t="s">
        <v>237</v>
      </c>
      <c r="B52" s="47" t="s">
        <v>238</v>
      </c>
      <c r="C52" s="43" t="s">
        <v>65</v>
      </c>
      <c r="D52" s="43">
        <v>1.0</v>
      </c>
      <c r="E52" s="43">
        <v>3.0</v>
      </c>
      <c r="F52" s="43">
        <f>IFERROR(__xludf.DUMMYFUNCTION("""COMPUTED_VALUE"""),2.0)</f>
        <v>2</v>
      </c>
      <c r="G52" s="43" t="s">
        <v>122</v>
      </c>
      <c r="H52" s="43" t="s">
        <v>113</v>
      </c>
      <c r="I52" s="43" t="s">
        <v>115</v>
      </c>
      <c r="J52" s="47" t="s">
        <v>115</v>
      </c>
      <c r="K52" s="38">
        <v>1.0</v>
      </c>
      <c r="L52" s="38">
        <v>2.0</v>
      </c>
      <c r="M52" s="38" t="str">
        <f>IFERROR(__xludf.DUMMYFUNCTION("""COMPUTED_VALUE"""),"General Sparepart")</f>
        <v>General Sparepart</v>
      </c>
      <c r="N52" s="38">
        <v>24.0</v>
      </c>
      <c r="O52" s="40">
        <v>45961.0</v>
      </c>
      <c r="P52" s="38" t="s">
        <v>126</v>
      </c>
      <c r="Q52" s="42">
        <v>2.0</v>
      </c>
      <c r="R52" s="42">
        <v>0.8181818181818181</v>
      </c>
      <c r="S52" s="38">
        <v>0.0</v>
      </c>
      <c r="T52" s="42">
        <v>1.6454545454545453</v>
      </c>
      <c r="U52" s="42">
        <v>1.6454545454545453</v>
      </c>
    </row>
    <row r="53">
      <c r="A53" s="43" t="s">
        <v>239</v>
      </c>
      <c r="B53" s="47" t="s">
        <v>240</v>
      </c>
      <c r="C53" s="43" t="s">
        <v>65</v>
      </c>
      <c r="D53" s="43">
        <v>1.0</v>
      </c>
      <c r="E53" s="43">
        <v>5.0</v>
      </c>
      <c r="F53" s="43">
        <f>IFERROR(__xludf.DUMMYFUNCTION("""COMPUTED_VALUE"""),1.0)</f>
        <v>1</v>
      </c>
      <c r="G53" s="43" t="s">
        <v>125</v>
      </c>
      <c r="H53" s="43" t="s">
        <v>113</v>
      </c>
      <c r="I53" s="43" t="s">
        <v>115</v>
      </c>
      <c r="J53" s="47" t="s">
        <v>213</v>
      </c>
      <c r="K53" s="38">
        <v>1.0</v>
      </c>
      <c r="L53" s="38">
        <v>3.0</v>
      </c>
      <c r="M53" s="38" t="str">
        <f>IFERROR(__xludf.DUMMYFUNCTION("""COMPUTED_VALUE"""),"General Sparepart")</f>
        <v>General Sparepart</v>
      </c>
      <c r="N53" s="38">
        <v>24.0</v>
      </c>
      <c r="O53" s="40">
        <v>45874.0</v>
      </c>
      <c r="P53" s="38" t="s">
        <v>126</v>
      </c>
      <c r="Q53" s="42">
        <v>3.0</v>
      </c>
      <c r="R53" s="42">
        <v>2.727272727272727</v>
      </c>
      <c r="S53" s="38">
        <v>0.0</v>
      </c>
      <c r="T53" s="42">
        <v>2.918181818181818</v>
      </c>
      <c r="U53" s="42">
        <v>2.918181818181818</v>
      </c>
    </row>
    <row r="54">
      <c r="A54" s="43" t="s">
        <v>241</v>
      </c>
      <c r="B54" s="47" t="s">
        <v>242</v>
      </c>
      <c r="C54" s="43" t="s">
        <v>65</v>
      </c>
      <c r="D54" s="43">
        <v>2.0</v>
      </c>
      <c r="E54" s="43">
        <v>4.0</v>
      </c>
      <c r="F54" s="43">
        <f>IFERROR(__xludf.DUMMYFUNCTION("""COMPUTED_VALUE"""),0.0)</f>
        <v>0</v>
      </c>
      <c r="G54" s="43" t="s">
        <v>112</v>
      </c>
      <c r="H54" s="43" t="s">
        <v>113</v>
      </c>
      <c r="I54" s="43" t="s">
        <v>243</v>
      </c>
      <c r="J54" s="47" t="s">
        <v>115</v>
      </c>
      <c r="K54" s="38">
        <v>1.0</v>
      </c>
      <c r="L54" s="38">
        <v>3.0</v>
      </c>
      <c r="M54" s="38" t="str">
        <f>IFERROR(__xludf.DUMMYFUNCTION("""COMPUTED_VALUE"""),"General Sparepart")</f>
        <v>General Sparepart</v>
      </c>
      <c r="N54" s="38">
        <v>24.0</v>
      </c>
      <c r="O54" s="40">
        <v>45833.0</v>
      </c>
      <c r="P54" s="38" t="s">
        <v>126</v>
      </c>
      <c r="Q54" s="42">
        <v>3.0</v>
      </c>
      <c r="R54" s="42">
        <v>2.727272727272727</v>
      </c>
      <c r="S54" s="38">
        <v>0.0</v>
      </c>
      <c r="T54" s="42">
        <v>2.918181818181818</v>
      </c>
      <c r="U54" s="42">
        <v>2.918181818181818</v>
      </c>
    </row>
    <row r="55">
      <c r="A55" s="43" t="s">
        <v>244</v>
      </c>
      <c r="B55" s="47" t="s">
        <v>245</v>
      </c>
      <c r="C55" s="43" t="s">
        <v>65</v>
      </c>
      <c r="D55" s="43">
        <v>20.0</v>
      </c>
      <c r="E55" s="43">
        <v>40.0</v>
      </c>
      <c r="F55" s="43">
        <f>IFERROR(__xludf.DUMMYFUNCTION("""COMPUTED_VALUE"""),0.0)</f>
        <v>0</v>
      </c>
      <c r="G55" s="43" t="s">
        <v>112</v>
      </c>
      <c r="H55" s="43" t="s">
        <v>113</v>
      </c>
      <c r="I55" s="43" t="s">
        <v>141</v>
      </c>
      <c r="J55" s="47" t="s">
        <v>246</v>
      </c>
      <c r="K55" s="38">
        <v>0.0</v>
      </c>
      <c r="L55" s="38">
        <v>0.0</v>
      </c>
      <c r="M55" s="38" t="str">
        <f>IFERROR(__xludf.DUMMYFUNCTION("""COMPUTED_VALUE"""),"General Sparepart")</f>
        <v>General Sparepart</v>
      </c>
      <c r="N55" s="38">
        <v>24.0</v>
      </c>
      <c r="O55" s="40">
        <v>0.0</v>
      </c>
      <c r="P55" s="38" t="s">
        <v>116</v>
      </c>
      <c r="Q55" s="42">
        <v>0.0</v>
      </c>
      <c r="R55" s="42">
        <v>0.0</v>
      </c>
      <c r="S55" s="38">
        <v>0.0</v>
      </c>
      <c r="T55" s="42">
        <v>0.0</v>
      </c>
      <c r="U55" s="42">
        <v>0.0</v>
      </c>
    </row>
    <row r="56">
      <c r="A56" s="43" t="s">
        <v>247</v>
      </c>
      <c r="B56" s="47" t="s">
        <v>248</v>
      </c>
      <c r="C56" s="43" t="s">
        <v>65</v>
      </c>
      <c r="D56" s="43">
        <v>10.0</v>
      </c>
      <c r="E56" s="43">
        <v>40.0</v>
      </c>
      <c r="F56" s="43">
        <f>IFERROR(__xludf.DUMMYFUNCTION("""COMPUTED_VALUE"""),0.0)</f>
        <v>0</v>
      </c>
      <c r="G56" s="43" t="s">
        <v>112</v>
      </c>
      <c r="H56" s="43" t="s">
        <v>113</v>
      </c>
      <c r="I56" s="43" t="s">
        <v>141</v>
      </c>
      <c r="J56" s="47" t="s">
        <v>250</v>
      </c>
      <c r="K56" s="38">
        <v>0.0</v>
      </c>
      <c r="L56" s="38">
        <v>0.0</v>
      </c>
      <c r="M56" s="38" t="str">
        <f>IFERROR(__xludf.DUMMYFUNCTION("""COMPUTED_VALUE"""),"General Sparepart")</f>
        <v>General Sparepart</v>
      </c>
      <c r="N56" s="38">
        <v>24.0</v>
      </c>
      <c r="O56" s="40">
        <v>0.0</v>
      </c>
      <c r="P56" s="38" t="s">
        <v>116</v>
      </c>
      <c r="Q56" s="42">
        <v>0.0</v>
      </c>
      <c r="R56" s="42">
        <v>0.0</v>
      </c>
      <c r="S56" s="38">
        <v>0.0</v>
      </c>
      <c r="T56" s="42">
        <v>0.0</v>
      </c>
      <c r="U56" s="42">
        <v>0.0</v>
      </c>
    </row>
    <row r="57">
      <c r="A57" s="43" t="s">
        <v>251</v>
      </c>
      <c r="B57" s="47" t="s">
        <v>252</v>
      </c>
      <c r="C57" s="43" t="s">
        <v>65</v>
      </c>
      <c r="D57" s="43">
        <v>1.0</v>
      </c>
      <c r="E57" s="43">
        <v>5.0</v>
      </c>
      <c r="F57" s="43">
        <f>IFERROR(__xludf.DUMMYFUNCTION("""COMPUTED_VALUE"""),1.0)</f>
        <v>1</v>
      </c>
      <c r="G57" s="43" t="s">
        <v>125</v>
      </c>
      <c r="H57" s="43" t="s">
        <v>113</v>
      </c>
      <c r="I57" s="43" t="s">
        <v>115</v>
      </c>
      <c r="J57" s="47" t="s">
        <v>213</v>
      </c>
      <c r="K57" s="38">
        <v>1.0</v>
      </c>
      <c r="L57" s="38">
        <v>3.0</v>
      </c>
      <c r="M57" s="38" t="str">
        <f>IFERROR(__xludf.DUMMYFUNCTION("""COMPUTED_VALUE"""),"General Sparepart")</f>
        <v>General Sparepart</v>
      </c>
      <c r="N57" s="38">
        <v>24.0</v>
      </c>
      <c r="O57" s="40">
        <v>45874.0</v>
      </c>
      <c r="P57" s="38" t="s">
        <v>126</v>
      </c>
      <c r="Q57" s="42">
        <v>3.0</v>
      </c>
      <c r="R57" s="42">
        <v>2.727272727272727</v>
      </c>
      <c r="S57" s="38">
        <v>0.0</v>
      </c>
      <c r="T57" s="42">
        <v>2.918181818181818</v>
      </c>
      <c r="U57" s="42">
        <v>2.918181818181818</v>
      </c>
    </row>
    <row r="58">
      <c r="A58" s="43" t="s">
        <v>253</v>
      </c>
      <c r="B58" s="47" t="s">
        <v>254</v>
      </c>
      <c r="C58" s="43" t="s">
        <v>65</v>
      </c>
      <c r="D58" s="43">
        <v>10.0</v>
      </c>
      <c r="E58" s="43">
        <v>23.0</v>
      </c>
      <c r="F58" s="43">
        <f>IFERROR(__xludf.DUMMYFUNCTION("""COMPUTED_VALUE"""),20.0)</f>
        <v>20</v>
      </c>
      <c r="G58" s="43" t="s">
        <v>122</v>
      </c>
      <c r="H58" s="43" t="s">
        <v>113</v>
      </c>
      <c r="I58" s="43" t="s">
        <v>115</v>
      </c>
      <c r="J58" s="47" t="s">
        <v>228</v>
      </c>
      <c r="K58" s="38">
        <v>3.0</v>
      </c>
      <c r="L58" s="38">
        <v>20.0</v>
      </c>
      <c r="M58" s="38" t="str">
        <f>IFERROR(__xludf.DUMMYFUNCTION("""COMPUTED_VALUE"""),"General Sparepart")</f>
        <v>General Sparepart</v>
      </c>
      <c r="N58" s="38">
        <v>24.0</v>
      </c>
      <c r="O58" s="40">
        <v>45928.0</v>
      </c>
      <c r="P58" s="38" t="s">
        <v>126</v>
      </c>
      <c r="Q58" s="42">
        <v>13.0</v>
      </c>
      <c r="R58" s="42">
        <v>0.0</v>
      </c>
      <c r="S58" s="38">
        <v>20.0</v>
      </c>
      <c r="T58" s="42">
        <v>13.0</v>
      </c>
      <c r="U58" s="46">
        <v>20.0</v>
      </c>
    </row>
    <row r="59">
      <c r="A59" s="43" t="s">
        <v>255</v>
      </c>
      <c r="B59" s="47" t="s">
        <v>256</v>
      </c>
      <c r="C59" s="43" t="s">
        <v>65</v>
      </c>
      <c r="D59" s="43">
        <v>1.0</v>
      </c>
      <c r="E59" s="43">
        <v>5.0</v>
      </c>
      <c r="F59" s="43">
        <f>IFERROR(__xludf.DUMMYFUNCTION("""COMPUTED_VALUE"""),1.0)</f>
        <v>1</v>
      </c>
      <c r="G59" s="43" t="s">
        <v>125</v>
      </c>
      <c r="H59" s="43" t="s">
        <v>113</v>
      </c>
      <c r="I59" s="43" t="s">
        <v>115</v>
      </c>
      <c r="J59" s="47" t="s">
        <v>213</v>
      </c>
      <c r="K59" s="38">
        <v>1.0</v>
      </c>
      <c r="L59" s="38">
        <v>3.0</v>
      </c>
      <c r="M59" s="38" t="str">
        <f>IFERROR(__xludf.DUMMYFUNCTION("""COMPUTED_VALUE"""),"General Sparepart")</f>
        <v>General Sparepart</v>
      </c>
      <c r="N59" s="38">
        <v>24.0</v>
      </c>
      <c r="O59" s="40">
        <v>45874.0</v>
      </c>
      <c r="P59" s="38" t="s">
        <v>126</v>
      </c>
      <c r="Q59" s="42">
        <v>3.0</v>
      </c>
      <c r="R59" s="42">
        <v>2.727272727272727</v>
      </c>
      <c r="S59" s="38">
        <v>0.0</v>
      </c>
      <c r="T59" s="42">
        <v>2.918181818181818</v>
      </c>
      <c r="U59" s="42">
        <v>2.918181818181818</v>
      </c>
    </row>
    <row r="60">
      <c r="A60" s="43" t="s">
        <v>257</v>
      </c>
      <c r="B60" s="47" t="s">
        <v>258</v>
      </c>
      <c r="C60" s="43" t="s">
        <v>65</v>
      </c>
      <c r="D60" s="43">
        <v>1.0</v>
      </c>
      <c r="E60" s="43">
        <v>1.0</v>
      </c>
      <c r="F60" s="43">
        <f>IFERROR(__xludf.DUMMYFUNCTION("""COMPUTED_VALUE"""),1.0)</f>
        <v>1</v>
      </c>
      <c r="G60" s="43" t="s">
        <v>125</v>
      </c>
      <c r="H60" s="43" t="s">
        <v>113</v>
      </c>
      <c r="I60" s="43" t="s">
        <v>115</v>
      </c>
      <c r="J60" s="47" t="s">
        <v>213</v>
      </c>
      <c r="K60" s="38">
        <v>1.0</v>
      </c>
      <c r="L60" s="38">
        <v>3.0</v>
      </c>
      <c r="M60" s="38" t="str">
        <f>IFERROR(__xludf.DUMMYFUNCTION("""COMPUTED_VALUE"""),"General Sparepart")</f>
        <v>General Sparepart</v>
      </c>
      <c r="N60" s="38">
        <v>24.0</v>
      </c>
      <c r="O60" s="40">
        <v>45874.0</v>
      </c>
      <c r="P60" s="38" t="s">
        <v>126</v>
      </c>
      <c r="Q60" s="42">
        <v>3.0</v>
      </c>
      <c r="R60" s="42">
        <v>2.727272727272727</v>
      </c>
      <c r="S60" s="38">
        <v>0.0</v>
      </c>
      <c r="T60" s="42">
        <v>2.918181818181818</v>
      </c>
      <c r="U60" s="42">
        <v>2.918181818181818</v>
      </c>
    </row>
    <row r="61">
      <c r="A61" s="43" t="s">
        <v>259</v>
      </c>
      <c r="B61" s="47" t="s">
        <v>260</v>
      </c>
      <c r="C61" s="43" t="s">
        <v>65</v>
      </c>
      <c r="D61" s="43">
        <v>1.0</v>
      </c>
      <c r="E61" s="43">
        <v>1.0</v>
      </c>
      <c r="F61" s="43">
        <f>IFERROR(__xludf.DUMMYFUNCTION("""COMPUTED_VALUE"""),0.0)</f>
        <v>0</v>
      </c>
      <c r="G61" s="43" t="s">
        <v>112</v>
      </c>
      <c r="H61" s="43" t="s">
        <v>119</v>
      </c>
      <c r="I61" s="43" t="s">
        <v>141</v>
      </c>
      <c r="J61" s="47" t="s">
        <v>261</v>
      </c>
      <c r="K61" s="38">
        <v>0.0</v>
      </c>
      <c r="L61" s="38">
        <v>0.0</v>
      </c>
      <c r="M61" s="38" t="str">
        <f>IFERROR(__xludf.DUMMYFUNCTION("""COMPUTED_VALUE"""),"Critical Sparepart")</f>
        <v>Critical Sparepart</v>
      </c>
      <c r="N61" s="38">
        <v>36.0</v>
      </c>
      <c r="O61" s="40">
        <v>0.0</v>
      </c>
      <c r="P61" s="38" t="s">
        <v>116</v>
      </c>
      <c r="Q61" s="42">
        <v>0.0</v>
      </c>
      <c r="R61" s="42">
        <v>0.0</v>
      </c>
      <c r="S61" s="38">
        <v>0.0</v>
      </c>
      <c r="T61" s="42">
        <v>0.0</v>
      </c>
      <c r="U61" s="42">
        <v>0.0</v>
      </c>
    </row>
    <row r="62">
      <c r="A62" s="43" t="s">
        <v>262</v>
      </c>
      <c r="B62" s="47" t="s">
        <v>263</v>
      </c>
      <c r="C62" s="43" t="s">
        <v>65</v>
      </c>
      <c r="D62" s="43">
        <v>0.0</v>
      </c>
      <c r="E62" s="43">
        <v>0.0</v>
      </c>
      <c r="F62" s="43">
        <f>IFERROR(__xludf.DUMMYFUNCTION("""COMPUTED_VALUE"""),0.0)</f>
        <v>0</v>
      </c>
      <c r="G62" s="43" t="s">
        <v>125</v>
      </c>
      <c r="H62" s="43" t="s">
        <v>119</v>
      </c>
      <c r="I62" s="43" t="s">
        <v>119</v>
      </c>
      <c r="J62" s="47" t="s">
        <v>115</v>
      </c>
      <c r="K62" s="38">
        <v>0.0</v>
      </c>
      <c r="L62" s="38">
        <v>0.0</v>
      </c>
      <c r="M62" s="38" t="str">
        <f>IFERROR(__xludf.DUMMYFUNCTION("""COMPUTED_VALUE"""),"Fast Moving / Consumable")</f>
        <v>Fast Moving / Consumable</v>
      </c>
      <c r="N62" s="38">
        <v>18.0</v>
      </c>
      <c r="O62" s="40">
        <v>0.0</v>
      </c>
      <c r="P62" s="38" t="s">
        <v>116</v>
      </c>
      <c r="Q62" s="42">
        <v>0.0</v>
      </c>
      <c r="R62" s="42">
        <v>0.0</v>
      </c>
      <c r="S62" s="38">
        <v>0.0</v>
      </c>
      <c r="T62" s="42">
        <v>0.0</v>
      </c>
      <c r="U62" s="42">
        <v>0.0</v>
      </c>
    </row>
    <row r="63">
      <c r="A63" s="43" t="s">
        <v>264</v>
      </c>
      <c r="B63" s="47" t="s">
        <v>265</v>
      </c>
      <c r="C63" s="43" t="s">
        <v>65</v>
      </c>
      <c r="D63" s="43">
        <v>0.0</v>
      </c>
      <c r="E63" s="43">
        <v>1.0</v>
      </c>
      <c r="F63" s="43">
        <f>IFERROR(__xludf.DUMMYFUNCTION("""COMPUTED_VALUE"""),0.0)</f>
        <v>0</v>
      </c>
      <c r="G63" s="43" t="s">
        <v>125</v>
      </c>
      <c r="H63" s="43" t="s">
        <v>119</v>
      </c>
      <c r="I63" s="43" t="s">
        <v>119</v>
      </c>
      <c r="J63" s="47" t="s">
        <v>266</v>
      </c>
      <c r="K63" s="38">
        <v>0.0</v>
      </c>
      <c r="L63" s="38">
        <v>0.0</v>
      </c>
      <c r="M63" s="38" t="str">
        <f>IFERROR(__xludf.DUMMYFUNCTION("""COMPUTED_VALUE"""),"Critical Sparepart")</f>
        <v>Critical Sparepart</v>
      </c>
      <c r="N63" s="38">
        <v>36.0</v>
      </c>
      <c r="O63" s="40">
        <v>0.0</v>
      </c>
      <c r="P63" s="38" t="s">
        <v>116</v>
      </c>
      <c r="Q63" s="42">
        <v>0.0</v>
      </c>
      <c r="R63" s="42">
        <v>0.0</v>
      </c>
      <c r="S63" s="38">
        <v>0.0</v>
      </c>
      <c r="T63" s="42">
        <v>0.0</v>
      </c>
      <c r="U63" s="42">
        <v>0.0</v>
      </c>
    </row>
    <row r="64">
      <c r="A64" s="43" t="s">
        <v>267</v>
      </c>
      <c r="B64" s="47" t="s">
        <v>268</v>
      </c>
      <c r="C64" s="43" t="s">
        <v>65</v>
      </c>
      <c r="D64" s="43">
        <v>20.0</v>
      </c>
      <c r="E64" s="43">
        <v>40.0</v>
      </c>
      <c r="F64" s="43">
        <f>IFERROR(__xludf.DUMMYFUNCTION("""COMPUTED_VALUE"""),22.0)</f>
        <v>22</v>
      </c>
      <c r="G64" s="43" t="s">
        <v>122</v>
      </c>
      <c r="H64" s="43" t="s">
        <v>113</v>
      </c>
      <c r="I64" s="43" t="s">
        <v>115</v>
      </c>
      <c r="J64" s="47" t="s">
        <v>115</v>
      </c>
      <c r="K64" s="38">
        <v>3.0</v>
      </c>
      <c r="L64" s="38">
        <v>20.0</v>
      </c>
      <c r="M64" s="38" t="str">
        <f>IFERROR(__xludf.DUMMYFUNCTION("""COMPUTED_VALUE"""),"Fast Moving / Consumable")</f>
        <v>Fast Moving / Consumable</v>
      </c>
      <c r="N64" s="38">
        <v>18.0</v>
      </c>
      <c r="O64" s="40">
        <v>45975.0</v>
      </c>
      <c r="P64" s="38" t="s">
        <v>126</v>
      </c>
      <c r="Q64" s="42">
        <v>22.0</v>
      </c>
      <c r="R64" s="42">
        <v>4.909090909090909</v>
      </c>
      <c r="S64" s="38">
        <v>20.0</v>
      </c>
      <c r="T64" s="42">
        <v>16.87272727272727</v>
      </c>
      <c r="U64" s="46">
        <v>20.0</v>
      </c>
    </row>
    <row r="65">
      <c r="A65" s="43" t="s">
        <v>269</v>
      </c>
      <c r="B65" s="47" t="s">
        <v>270</v>
      </c>
      <c r="C65" s="43" t="s">
        <v>65</v>
      </c>
      <c r="D65" s="43">
        <v>1.0</v>
      </c>
      <c r="E65" s="43">
        <v>2.0</v>
      </c>
      <c r="F65" s="43">
        <f>IFERROR(__xludf.DUMMYFUNCTION("""COMPUTED_VALUE"""),1.0)</f>
        <v>1</v>
      </c>
      <c r="G65" s="43" t="s">
        <v>125</v>
      </c>
      <c r="H65" s="43" t="s">
        <v>113</v>
      </c>
      <c r="I65" s="43" t="s">
        <v>115</v>
      </c>
      <c r="J65" s="47" t="s">
        <v>271</v>
      </c>
      <c r="K65" s="38">
        <v>1.0</v>
      </c>
      <c r="L65" s="38">
        <v>1.0</v>
      </c>
      <c r="M65" s="38" t="str">
        <f>IFERROR(__xludf.DUMMYFUNCTION("""COMPUTED_VALUE"""),"Critical Sparepart")</f>
        <v>Critical Sparepart</v>
      </c>
      <c r="N65" s="38">
        <v>36.0</v>
      </c>
      <c r="O65" s="40">
        <v>45960.0</v>
      </c>
      <c r="P65" s="38" t="s">
        <v>126</v>
      </c>
      <c r="Q65" s="42">
        <v>1.0</v>
      </c>
      <c r="R65" s="42">
        <v>0.0</v>
      </c>
      <c r="S65" s="38">
        <v>1.0</v>
      </c>
      <c r="T65" s="42">
        <v>1.0</v>
      </c>
      <c r="U65" s="42">
        <v>1.0</v>
      </c>
    </row>
    <row r="66">
      <c r="A66" s="43" t="s">
        <v>272</v>
      </c>
      <c r="B66" s="47" t="s">
        <v>273</v>
      </c>
      <c r="C66" s="43" t="s">
        <v>65</v>
      </c>
      <c r="D66" s="43">
        <v>1.0</v>
      </c>
      <c r="E66" s="43">
        <v>1.0</v>
      </c>
      <c r="F66" s="43">
        <f>IFERROR(__xludf.DUMMYFUNCTION("""COMPUTED_VALUE"""),0.0)</f>
        <v>0</v>
      </c>
      <c r="G66" s="43" t="s">
        <v>112</v>
      </c>
      <c r="H66" s="43" t="s">
        <v>119</v>
      </c>
      <c r="I66" s="43" t="s">
        <v>141</v>
      </c>
      <c r="J66" s="47" t="s">
        <v>274</v>
      </c>
      <c r="K66" s="38">
        <v>0.0</v>
      </c>
      <c r="L66" s="38">
        <v>0.0</v>
      </c>
      <c r="M66" s="38" t="str">
        <f>IFERROR(__xludf.DUMMYFUNCTION("""COMPUTED_VALUE"""),"General Sparepart")</f>
        <v>General Sparepart</v>
      </c>
      <c r="N66" s="38">
        <v>24.0</v>
      </c>
      <c r="O66" s="40">
        <v>0.0</v>
      </c>
      <c r="P66" s="38" t="s">
        <v>116</v>
      </c>
      <c r="Q66" s="42">
        <v>0.0</v>
      </c>
      <c r="R66" s="42">
        <v>0.0</v>
      </c>
      <c r="S66" s="38">
        <v>0.0</v>
      </c>
      <c r="T66" s="42">
        <v>0.0</v>
      </c>
      <c r="U66" s="42">
        <v>0.0</v>
      </c>
    </row>
    <row r="67">
      <c r="A67" s="43" t="s">
        <v>275</v>
      </c>
      <c r="B67" s="47" t="s">
        <v>276</v>
      </c>
      <c r="C67" s="43" t="s">
        <v>65</v>
      </c>
      <c r="D67" s="43">
        <v>1.0</v>
      </c>
      <c r="E67" s="43">
        <v>1.0</v>
      </c>
      <c r="F67" s="43">
        <f>IFERROR(__xludf.DUMMYFUNCTION("""COMPUTED_VALUE"""),0.0)</f>
        <v>0</v>
      </c>
      <c r="G67" s="43" t="s">
        <v>112</v>
      </c>
      <c r="H67" s="43" t="s">
        <v>119</v>
      </c>
      <c r="I67" s="43" t="s">
        <v>141</v>
      </c>
      <c r="J67" s="47" t="s">
        <v>277</v>
      </c>
      <c r="K67" s="38">
        <v>0.0</v>
      </c>
      <c r="L67" s="38">
        <v>0.0</v>
      </c>
      <c r="M67" s="38" t="str">
        <f>IFERROR(__xludf.DUMMYFUNCTION("""COMPUTED_VALUE"""),"General Sparepart")</f>
        <v>General Sparepart</v>
      </c>
      <c r="N67" s="38">
        <v>24.0</v>
      </c>
      <c r="O67" s="40">
        <v>0.0</v>
      </c>
      <c r="P67" s="38" t="s">
        <v>116</v>
      </c>
      <c r="Q67" s="42">
        <v>0.0</v>
      </c>
      <c r="R67" s="42">
        <v>0.0</v>
      </c>
      <c r="S67" s="38">
        <v>0.0</v>
      </c>
      <c r="T67" s="42">
        <v>0.0</v>
      </c>
      <c r="U67" s="42">
        <v>0.0</v>
      </c>
    </row>
    <row r="68">
      <c r="A68" s="43" t="s">
        <v>278</v>
      </c>
      <c r="B68" s="47" t="s">
        <v>279</v>
      </c>
      <c r="C68" s="43" t="s">
        <v>65</v>
      </c>
      <c r="D68" s="43">
        <v>1.0</v>
      </c>
      <c r="E68" s="43">
        <v>1.0</v>
      </c>
      <c r="F68" s="43">
        <f>IFERROR(__xludf.DUMMYFUNCTION("""COMPUTED_VALUE"""),0.0)</f>
        <v>0</v>
      </c>
      <c r="G68" s="43" t="s">
        <v>112</v>
      </c>
      <c r="H68" s="43" t="s">
        <v>119</v>
      </c>
      <c r="I68" s="43" t="s">
        <v>141</v>
      </c>
      <c r="J68" s="47" t="s">
        <v>280</v>
      </c>
      <c r="K68" s="38">
        <v>0.0</v>
      </c>
      <c r="L68" s="38">
        <v>0.0</v>
      </c>
      <c r="M68" s="38" t="str">
        <f>IFERROR(__xludf.DUMMYFUNCTION("""COMPUTED_VALUE"""),"Critical Sparepart")</f>
        <v>Critical Sparepart</v>
      </c>
      <c r="N68" s="38">
        <v>36.0</v>
      </c>
      <c r="O68" s="40">
        <v>0.0</v>
      </c>
      <c r="P68" s="38" t="s">
        <v>116</v>
      </c>
      <c r="Q68" s="42">
        <v>0.0</v>
      </c>
      <c r="R68" s="42">
        <v>0.0</v>
      </c>
      <c r="S68" s="38">
        <v>0.0</v>
      </c>
      <c r="T68" s="42">
        <v>0.0</v>
      </c>
      <c r="U68" s="42">
        <v>0.0</v>
      </c>
    </row>
    <row r="69">
      <c r="A69" s="43" t="s">
        <v>281</v>
      </c>
      <c r="B69" s="47" t="s">
        <v>282</v>
      </c>
      <c r="C69" s="43" t="s">
        <v>65</v>
      </c>
      <c r="D69" s="43">
        <v>0.0</v>
      </c>
      <c r="E69" s="43">
        <v>1.0</v>
      </c>
      <c r="F69" s="43">
        <f>IFERROR(__xludf.DUMMYFUNCTION("""COMPUTED_VALUE"""),0.0)</f>
        <v>0</v>
      </c>
      <c r="G69" s="43" t="s">
        <v>125</v>
      </c>
      <c r="H69" s="43" t="s">
        <v>119</v>
      </c>
      <c r="I69" s="43" t="s">
        <v>119</v>
      </c>
      <c r="J69" s="47" t="s">
        <v>266</v>
      </c>
      <c r="K69" s="38">
        <v>0.0</v>
      </c>
      <c r="L69" s="38">
        <v>0.0</v>
      </c>
      <c r="M69" s="38" t="str">
        <f>IFERROR(__xludf.DUMMYFUNCTION("""COMPUTED_VALUE"""),"General Sparepart")</f>
        <v>General Sparepart</v>
      </c>
      <c r="N69" s="38">
        <v>24.0</v>
      </c>
      <c r="O69" s="40">
        <v>0.0</v>
      </c>
      <c r="P69" s="38" t="s">
        <v>116</v>
      </c>
      <c r="Q69" s="42">
        <v>0.0</v>
      </c>
      <c r="R69" s="42">
        <v>0.0</v>
      </c>
      <c r="S69" s="38">
        <v>0.0</v>
      </c>
      <c r="T69" s="42">
        <v>0.0</v>
      </c>
      <c r="U69" s="42">
        <v>0.0</v>
      </c>
    </row>
    <row r="70">
      <c r="A70" s="43" t="s">
        <v>283</v>
      </c>
      <c r="B70" s="47" t="s">
        <v>284</v>
      </c>
      <c r="C70" s="43" t="s">
        <v>65</v>
      </c>
      <c r="D70" s="43">
        <v>1.0</v>
      </c>
      <c r="E70" s="43">
        <v>5.0</v>
      </c>
      <c r="F70" s="43">
        <f>IFERROR(__xludf.DUMMYFUNCTION("""COMPUTED_VALUE"""),1.0)</f>
        <v>1</v>
      </c>
      <c r="G70" s="43" t="s">
        <v>125</v>
      </c>
      <c r="H70" s="43" t="s">
        <v>113</v>
      </c>
      <c r="I70" s="43" t="s">
        <v>115</v>
      </c>
      <c r="J70" s="47" t="s">
        <v>285</v>
      </c>
      <c r="K70" s="38">
        <v>1.0</v>
      </c>
      <c r="L70" s="38">
        <v>3.0</v>
      </c>
      <c r="M70" s="38" t="str">
        <f>IFERROR(__xludf.DUMMYFUNCTION("""COMPUTED_VALUE"""),"General Sparepart")</f>
        <v>General Sparepart</v>
      </c>
      <c r="N70" s="38">
        <v>24.0</v>
      </c>
      <c r="O70" s="40">
        <v>45875.0</v>
      </c>
      <c r="P70" s="38" t="s">
        <v>126</v>
      </c>
      <c r="Q70" s="42">
        <v>3.0</v>
      </c>
      <c r="R70" s="42">
        <v>2.727272727272727</v>
      </c>
      <c r="S70" s="38">
        <v>0.0</v>
      </c>
      <c r="T70" s="42">
        <v>2.918181818181818</v>
      </c>
      <c r="U70" s="42">
        <v>2.918181818181818</v>
      </c>
    </row>
    <row r="71">
      <c r="A71" s="43" t="s">
        <v>286</v>
      </c>
      <c r="B71" s="47" t="s">
        <v>287</v>
      </c>
      <c r="C71" s="43" t="s">
        <v>65</v>
      </c>
      <c r="D71" s="43">
        <v>0.0</v>
      </c>
      <c r="E71" s="43">
        <v>1.0</v>
      </c>
      <c r="F71" s="43">
        <f>IFERROR(__xludf.DUMMYFUNCTION("""COMPUTED_VALUE"""),0.0)</f>
        <v>0</v>
      </c>
      <c r="G71" s="43" t="s">
        <v>125</v>
      </c>
      <c r="H71" s="43" t="s">
        <v>119</v>
      </c>
      <c r="I71" s="43" t="s">
        <v>119</v>
      </c>
      <c r="J71" s="47" t="s">
        <v>266</v>
      </c>
      <c r="K71" s="38">
        <v>0.0</v>
      </c>
      <c r="L71" s="38">
        <v>0.0</v>
      </c>
      <c r="M71" s="38" t="str">
        <f>IFERROR(__xludf.DUMMYFUNCTION("""COMPUTED_VALUE"""),"Critical Sparepart")</f>
        <v>Critical Sparepart</v>
      </c>
      <c r="N71" s="38">
        <v>36.0</v>
      </c>
      <c r="O71" s="40">
        <v>0.0</v>
      </c>
      <c r="P71" s="38" t="s">
        <v>116</v>
      </c>
      <c r="Q71" s="42">
        <v>0.0</v>
      </c>
      <c r="R71" s="42">
        <v>0.0</v>
      </c>
      <c r="S71" s="38">
        <v>0.0</v>
      </c>
      <c r="T71" s="42">
        <v>0.0</v>
      </c>
      <c r="U71" s="42">
        <v>0.0</v>
      </c>
    </row>
    <row r="72">
      <c r="A72" s="43" t="s">
        <v>288</v>
      </c>
      <c r="B72" s="47" t="s">
        <v>289</v>
      </c>
      <c r="C72" s="43" t="s">
        <v>65</v>
      </c>
      <c r="D72" s="43">
        <v>0.0</v>
      </c>
      <c r="E72" s="43">
        <v>1.0</v>
      </c>
      <c r="F72" s="43">
        <f>IFERROR(__xludf.DUMMYFUNCTION("""COMPUTED_VALUE"""),0.0)</f>
        <v>0</v>
      </c>
      <c r="G72" s="43" t="s">
        <v>125</v>
      </c>
      <c r="H72" s="43" t="s">
        <v>113</v>
      </c>
      <c r="I72" s="43" t="s">
        <v>115</v>
      </c>
      <c r="J72" s="47" t="s">
        <v>290</v>
      </c>
      <c r="K72" s="38">
        <v>0.0</v>
      </c>
      <c r="L72" s="38">
        <v>0.0</v>
      </c>
      <c r="M72" s="38" t="str">
        <f>IFERROR(__xludf.DUMMYFUNCTION("""COMPUTED_VALUE"""),"Critical Sparepart")</f>
        <v>Critical Sparepart</v>
      </c>
      <c r="N72" s="38">
        <v>36.0</v>
      </c>
      <c r="O72" s="40">
        <v>0.0</v>
      </c>
      <c r="P72" s="38" t="s">
        <v>116</v>
      </c>
      <c r="Q72" s="42">
        <v>0.0</v>
      </c>
      <c r="R72" s="42">
        <v>0.0</v>
      </c>
      <c r="S72" s="38">
        <v>0.0</v>
      </c>
      <c r="T72" s="42">
        <v>0.0</v>
      </c>
      <c r="U72" s="42">
        <v>0.0</v>
      </c>
    </row>
    <row r="73">
      <c r="A73" s="43" t="s">
        <v>291</v>
      </c>
      <c r="B73" s="47" t="s">
        <v>292</v>
      </c>
      <c r="C73" s="43" t="s">
        <v>65</v>
      </c>
      <c r="D73" s="43">
        <v>10.0</v>
      </c>
      <c r="E73" s="43">
        <v>20.0</v>
      </c>
      <c r="F73" s="43">
        <f>IFERROR(__xludf.DUMMYFUNCTION("""COMPUTED_VALUE"""),20.0)</f>
        <v>20</v>
      </c>
      <c r="G73" s="43" t="s">
        <v>122</v>
      </c>
      <c r="H73" s="43" t="s">
        <v>113</v>
      </c>
      <c r="I73" s="43" t="s">
        <v>115</v>
      </c>
      <c r="J73" s="47" t="s">
        <v>294</v>
      </c>
      <c r="K73" s="38">
        <v>3.0</v>
      </c>
      <c r="L73" s="38">
        <v>20.0</v>
      </c>
      <c r="M73" s="38" t="str">
        <f>IFERROR(__xludf.DUMMYFUNCTION("""COMPUTED_VALUE"""),"Fast Moving / Consumable")</f>
        <v>Fast Moving / Consumable</v>
      </c>
      <c r="N73" s="38">
        <v>18.0</v>
      </c>
      <c r="O73" s="40">
        <v>45928.0</v>
      </c>
      <c r="P73" s="38" t="s">
        <v>126</v>
      </c>
      <c r="Q73" s="42">
        <v>7.0</v>
      </c>
      <c r="R73" s="42">
        <v>1.3636363636363635</v>
      </c>
      <c r="S73" s="38">
        <v>20.0</v>
      </c>
      <c r="T73" s="42">
        <v>5.309090909090909</v>
      </c>
      <c r="U73" s="46">
        <v>20.0</v>
      </c>
    </row>
    <row r="74">
      <c r="A74" s="43" t="s">
        <v>295</v>
      </c>
      <c r="B74" s="47" t="s">
        <v>296</v>
      </c>
      <c r="C74" s="43" t="s">
        <v>65</v>
      </c>
      <c r="D74" s="43">
        <v>1.0</v>
      </c>
      <c r="E74" s="43">
        <v>2.0</v>
      </c>
      <c r="F74" s="43">
        <f>IFERROR(__xludf.DUMMYFUNCTION("""COMPUTED_VALUE"""),0.0)</f>
        <v>0</v>
      </c>
      <c r="G74" s="43" t="s">
        <v>112</v>
      </c>
      <c r="H74" s="43" t="s">
        <v>119</v>
      </c>
      <c r="I74" s="43" t="s">
        <v>141</v>
      </c>
      <c r="J74" s="47" t="s">
        <v>297</v>
      </c>
      <c r="K74" s="38">
        <v>0.0</v>
      </c>
      <c r="L74" s="38">
        <v>0.0</v>
      </c>
      <c r="M74" s="38" t="str">
        <f>IFERROR(__xludf.DUMMYFUNCTION("""COMPUTED_VALUE"""),"Critical Sparepart")</f>
        <v>Critical Sparepart</v>
      </c>
      <c r="N74" s="38">
        <v>36.0</v>
      </c>
      <c r="O74" s="40">
        <v>0.0</v>
      </c>
      <c r="P74" s="38" t="s">
        <v>116</v>
      </c>
      <c r="Q74" s="42">
        <v>0.0</v>
      </c>
      <c r="R74" s="42">
        <v>0.0</v>
      </c>
      <c r="S74" s="38">
        <v>0.0</v>
      </c>
      <c r="T74" s="42">
        <v>0.0</v>
      </c>
      <c r="U74" s="42">
        <v>0.0</v>
      </c>
    </row>
    <row r="75">
      <c r="A75" s="43" t="s">
        <v>298</v>
      </c>
      <c r="B75" s="47" t="s">
        <v>299</v>
      </c>
      <c r="C75" s="43" t="s">
        <v>65</v>
      </c>
      <c r="D75" s="43">
        <v>0.0</v>
      </c>
      <c r="E75" s="43">
        <v>1.0</v>
      </c>
      <c r="F75" s="43">
        <f>IFERROR(__xludf.DUMMYFUNCTION("""COMPUTED_VALUE"""),0.0)</f>
        <v>0</v>
      </c>
      <c r="G75" s="43" t="s">
        <v>125</v>
      </c>
      <c r="H75" s="43" t="s">
        <v>119</v>
      </c>
      <c r="I75" s="43" t="s">
        <v>119</v>
      </c>
      <c r="J75" s="47" t="s">
        <v>266</v>
      </c>
      <c r="K75" s="38">
        <v>0.0</v>
      </c>
      <c r="L75" s="38">
        <v>0.0</v>
      </c>
      <c r="M75" s="38" t="str">
        <f>IFERROR(__xludf.DUMMYFUNCTION("""COMPUTED_VALUE"""),"General Sparepart")</f>
        <v>General Sparepart</v>
      </c>
      <c r="N75" s="38">
        <v>24.0</v>
      </c>
      <c r="O75" s="40">
        <v>0.0</v>
      </c>
      <c r="P75" s="38" t="s">
        <v>116</v>
      </c>
      <c r="Q75" s="42">
        <v>0.0</v>
      </c>
      <c r="R75" s="42">
        <v>0.0</v>
      </c>
      <c r="S75" s="38">
        <v>0.0</v>
      </c>
      <c r="T75" s="42">
        <v>0.0</v>
      </c>
      <c r="U75" s="42">
        <v>0.0</v>
      </c>
    </row>
    <row r="76">
      <c r="A76" s="43" t="s">
        <v>300</v>
      </c>
      <c r="B76" s="47" t="s">
        <v>301</v>
      </c>
      <c r="C76" s="43" t="s">
        <v>65</v>
      </c>
      <c r="D76" s="43">
        <v>1.0</v>
      </c>
      <c r="E76" s="43">
        <v>1.0</v>
      </c>
      <c r="F76" s="43">
        <f>IFERROR(__xludf.DUMMYFUNCTION("""COMPUTED_VALUE"""),0.0)</f>
        <v>0</v>
      </c>
      <c r="G76" s="43" t="s">
        <v>112</v>
      </c>
      <c r="H76" s="43" t="s">
        <v>119</v>
      </c>
      <c r="I76" s="43" t="s">
        <v>141</v>
      </c>
      <c r="J76" s="47" t="s">
        <v>302</v>
      </c>
      <c r="K76" s="38">
        <v>0.0</v>
      </c>
      <c r="L76" s="38">
        <v>0.0</v>
      </c>
      <c r="M76" s="38" t="str">
        <f>IFERROR(__xludf.DUMMYFUNCTION("""COMPUTED_VALUE"""),"Critical Sparepart")</f>
        <v>Critical Sparepart</v>
      </c>
      <c r="N76" s="38">
        <v>36.0</v>
      </c>
      <c r="O76" s="40">
        <v>0.0</v>
      </c>
      <c r="P76" s="38" t="s">
        <v>116</v>
      </c>
      <c r="Q76" s="42">
        <v>0.0</v>
      </c>
      <c r="R76" s="42">
        <v>0.0</v>
      </c>
      <c r="S76" s="38">
        <v>0.0</v>
      </c>
      <c r="T76" s="42">
        <v>0.0</v>
      </c>
      <c r="U76" s="42">
        <v>0.0</v>
      </c>
    </row>
    <row r="77">
      <c r="A77" s="43" t="s">
        <v>303</v>
      </c>
      <c r="B77" s="47" t="s">
        <v>304</v>
      </c>
      <c r="C77" s="43" t="s">
        <v>65</v>
      </c>
      <c r="D77" s="43">
        <v>10.0</v>
      </c>
      <c r="E77" s="43">
        <v>100.0</v>
      </c>
      <c r="F77" s="43">
        <f>IFERROR(__xludf.DUMMYFUNCTION("""COMPUTED_VALUE"""),108.0)</f>
        <v>108</v>
      </c>
      <c r="G77" s="43" t="s">
        <v>122</v>
      </c>
      <c r="H77" s="43" t="s">
        <v>113</v>
      </c>
      <c r="I77" s="43" t="s">
        <v>115</v>
      </c>
      <c r="J77" s="47" t="s">
        <v>115</v>
      </c>
      <c r="K77" s="38">
        <v>11.0</v>
      </c>
      <c r="L77" s="38">
        <v>100.0</v>
      </c>
      <c r="M77" s="38" t="str">
        <f>IFERROR(__xludf.DUMMYFUNCTION("""COMPUTED_VALUE"""),"General Sparepart")</f>
        <v>General Sparepart</v>
      </c>
      <c r="N77" s="38">
        <v>24.0</v>
      </c>
      <c r="O77" s="40">
        <v>45974.0</v>
      </c>
      <c r="P77" s="38" t="s">
        <v>126</v>
      </c>
      <c r="Q77" s="42">
        <v>27.0</v>
      </c>
      <c r="R77" s="42">
        <v>2.727272727272727</v>
      </c>
      <c r="S77" s="38">
        <v>100.0</v>
      </c>
      <c r="T77" s="42">
        <v>19.718181818181815</v>
      </c>
      <c r="U77" s="46">
        <v>100.0</v>
      </c>
    </row>
    <row r="78">
      <c r="A78" s="43" t="s">
        <v>305</v>
      </c>
      <c r="B78" s="47" t="s">
        <v>306</v>
      </c>
      <c r="C78" s="43" t="s">
        <v>65</v>
      </c>
      <c r="D78" s="43">
        <v>20.0</v>
      </c>
      <c r="E78" s="43">
        <v>40.0</v>
      </c>
      <c r="F78" s="43">
        <f>IFERROR(__xludf.DUMMYFUNCTION("""COMPUTED_VALUE"""),0.0)</f>
        <v>0</v>
      </c>
      <c r="G78" s="43" t="s">
        <v>112</v>
      </c>
      <c r="H78" s="43" t="s">
        <v>119</v>
      </c>
      <c r="I78" s="43" t="s">
        <v>141</v>
      </c>
      <c r="J78" s="47" t="s">
        <v>307</v>
      </c>
      <c r="K78" s="38">
        <v>0.0</v>
      </c>
      <c r="L78" s="38">
        <v>0.0</v>
      </c>
      <c r="M78" s="38" t="str">
        <f>IFERROR(__xludf.DUMMYFUNCTION("""COMPUTED_VALUE"""),"General Sparepart")</f>
        <v>General Sparepart</v>
      </c>
      <c r="N78" s="38">
        <v>24.0</v>
      </c>
      <c r="O78" s="40">
        <v>43185.0</v>
      </c>
      <c r="P78" s="38" t="s">
        <v>116</v>
      </c>
      <c r="Q78" s="42">
        <v>4.0</v>
      </c>
      <c r="R78" s="42">
        <v>0.0</v>
      </c>
      <c r="S78" s="38">
        <v>0.0</v>
      </c>
      <c r="T78" s="42">
        <v>4.0</v>
      </c>
      <c r="U78" s="42">
        <v>4.0</v>
      </c>
    </row>
    <row r="79">
      <c r="A79" s="43" t="s">
        <v>308</v>
      </c>
      <c r="B79" s="47" t="s">
        <v>309</v>
      </c>
      <c r="C79" s="43" t="s">
        <v>65</v>
      </c>
      <c r="D79" s="43">
        <v>10.0</v>
      </c>
      <c r="E79" s="43">
        <v>40.0</v>
      </c>
      <c r="F79" s="43">
        <f>IFERROR(__xludf.DUMMYFUNCTION("""COMPUTED_VALUE"""),0.0)</f>
        <v>0</v>
      </c>
      <c r="G79" s="43" t="s">
        <v>112</v>
      </c>
      <c r="H79" s="43" t="s">
        <v>119</v>
      </c>
      <c r="I79" s="43" t="s">
        <v>141</v>
      </c>
      <c r="J79" s="47" t="s">
        <v>310</v>
      </c>
      <c r="K79" s="38">
        <v>0.0</v>
      </c>
      <c r="L79" s="38">
        <v>0.0</v>
      </c>
      <c r="M79" s="38" t="str">
        <f>IFERROR(__xludf.DUMMYFUNCTION("""COMPUTED_VALUE"""),"General Sparepart")</f>
        <v>General Sparepart</v>
      </c>
      <c r="N79" s="38">
        <v>24.0</v>
      </c>
      <c r="O79" s="40">
        <v>0.0</v>
      </c>
      <c r="P79" s="38" t="s">
        <v>116</v>
      </c>
      <c r="Q79" s="42">
        <v>0.0</v>
      </c>
      <c r="R79" s="42">
        <v>0.0</v>
      </c>
      <c r="S79" s="38">
        <v>0.0</v>
      </c>
      <c r="T79" s="42">
        <v>0.0</v>
      </c>
      <c r="U79" s="42">
        <v>0.0</v>
      </c>
    </row>
    <row r="80">
      <c r="A80" s="43" t="s">
        <v>311</v>
      </c>
      <c r="B80" s="47" t="s">
        <v>312</v>
      </c>
      <c r="C80" s="43" t="s">
        <v>65</v>
      </c>
      <c r="D80" s="43">
        <v>10.0</v>
      </c>
      <c r="E80" s="43">
        <v>50.0</v>
      </c>
      <c r="F80" s="43">
        <f>IFERROR(__xludf.DUMMYFUNCTION("""COMPUTED_VALUE"""),55.0)</f>
        <v>55</v>
      </c>
      <c r="G80" s="43" t="s">
        <v>122</v>
      </c>
      <c r="H80" s="43" t="s">
        <v>113</v>
      </c>
      <c r="I80" s="43" t="s">
        <v>115</v>
      </c>
      <c r="J80" s="47" t="s">
        <v>115</v>
      </c>
      <c r="K80" s="38">
        <v>6.0</v>
      </c>
      <c r="L80" s="38">
        <v>50.0</v>
      </c>
      <c r="M80" s="38" t="str">
        <f>IFERROR(__xludf.DUMMYFUNCTION("""COMPUTED_VALUE"""),"General Sparepart")</f>
        <v>General Sparepart</v>
      </c>
      <c r="N80" s="38">
        <v>24.0</v>
      </c>
      <c r="O80" s="40">
        <v>46234.0</v>
      </c>
      <c r="P80" s="38" t="s">
        <v>126</v>
      </c>
      <c r="Q80" s="42">
        <v>16.0</v>
      </c>
      <c r="R80" s="42">
        <v>5.454545454545454</v>
      </c>
      <c r="S80" s="38">
        <v>50.0</v>
      </c>
      <c r="T80" s="42">
        <v>12.836363636363636</v>
      </c>
      <c r="U80" s="46">
        <v>50.0</v>
      </c>
    </row>
    <row r="81">
      <c r="A81" s="43" t="s">
        <v>313</v>
      </c>
      <c r="B81" s="47" t="s">
        <v>314</v>
      </c>
      <c r="C81" s="43" t="s">
        <v>65</v>
      </c>
      <c r="D81" s="43">
        <v>1.0</v>
      </c>
      <c r="E81" s="43">
        <v>2.0</v>
      </c>
      <c r="F81" s="43">
        <f>IFERROR(__xludf.DUMMYFUNCTION("""COMPUTED_VALUE"""),0.0)</f>
        <v>0</v>
      </c>
      <c r="G81" s="43" t="s">
        <v>112</v>
      </c>
      <c r="H81" s="43" t="s">
        <v>119</v>
      </c>
      <c r="I81" s="43" t="s">
        <v>141</v>
      </c>
      <c r="J81" s="47" t="s">
        <v>315</v>
      </c>
      <c r="K81" s="38">
        <v>0.0</v>
      </c>
      <c r="L81" s="38">
        <v>0.0</v>
      </c>
      <c r="M81" s="38" t="str">
        <f>IFERROR(__xludf.DUMMYFUNCTION("""COMPUTED_VALUE"""),"Critical Sparepart")</f>
        <v>Critical Sparepart</v>
      </c>
      <c r="N81" s="38">
        <v>36.0</v>
      </c>
      <c r="O81" s="40">
        <v>0.0</v>
      </c>
      <c r="P81" s="38" t="s">
        <v>116</v>
      </c>
      <c r="Q81" s="42">
        <v>0.0</v>
      </c>
      <c r="R81" s="42">
        <v>0.0</v>
      </c>
      <c r="S81" s="38">
        <v>0.0</v>
      </c>
      <c r="T81" s="42">
        <v>0.0</v>
      </c>
      <c r="U81" s="42">
        <v>0.0</v>
      </c>
    </row>
    <row r="82">
      <c r="A82" s="43" t="s">
        <v>316</v>
      </c>
      <c r="B82" s="47" t="s">
        <v>317</v>
      </c>
      <c r="C82" s="43" t="s">
        <v>65</v>
      </c>
      <c r="D82" s="43">
        <v>1.0</v>
      </c>
      <c r="E82" s="43">
        <v>2.0</v>
      </c>
      <c r="F82" s="43">
        <f>IFERROR(__xludf.DUMMYFUNCTION("""COMPUTED_VALUE"""),0.0)</f>
        <v>0</v>
      </c>
      <c r="G82" s="43" t="s">
        <v>112</v>
      </c>
      <c r="H82" s="43" t="s">
        <v>119</v>
      </c>
      <c r="I82" s="43" t="s">
        <v>141</v>
      </c>
      <c r="J82" s="47" t="s">
        <v>318</v>
      </c>
      <c r="K82" s="38">
        <v>0.0</v>
      </c>
      <c r="L82" s="38">
        <v>0.0</v>
      </c>
      <c r="M82" s="38" t="str">
        <f>IFERROR(__xludf.DUMMYFUNCTION("""COMPUTED_VALUE"""),"Critical Sparepart")</f>
        <v>Critical Sparepart</v>
      </c>
      <c r="N82" s="38">
        <v>36.0</v>
      </c>
      <c r="O82" s="40">
        <v>0.0</v>
      </c>
      <c r="P82" s="38" t="s">
        <v>116</v>
      </c>
      <c r="Q82" s="42">
        <v>0.0</v>
      </c>
      <c r="R82" s="42">
        <v>0.0</v>
      </c>
      <c r="S82" s="38">
        <v>0.0</v>
      </c>
      <c r="T82" s="42">
        <v>0.0</v>
      </c>
      <c r="U82" s="42">
        <v>0.0</v>
      </c>
    </row>
    <row r="83">
      <c r="A83" s="43" t="s">
        <v>319</v>
      </c>
      <c r="B83" s="47" t="s">
        <v>320</v>
      </c>
      <c r="C83" s="43" t="s">
        <v>65</v>
      </c>
      <c r="D83" s="43">
        <v>1.0</v>
      </c>
      <c r="E83" s="43">
        <v>2.0</v>
      </c>
      <c r="F83" s="43">
        <f>IFERROR(__xludf.DUMMYFUNCTION("""COMPUTED_VALUE"""),0.0)</f>
        <v>0</v>
      </c>
      <c r="G83" s="43" t="s">
        <v>112</v>
      </c>
      <c r="H83" s="43" t="s">
        <v>119</v>
      </c>
      <c r="I83" s="43" t="s">
        <v>141</v>
      </c>
      <c r="J83" s="47" t="s">
        <v>321</v>
      </c>
      <c r="K83" s="38">
        <v>0.0</v>
      </c>
      <c r="L83" s="38">
        <v>0.0</v>
      </c>
      <c r="M83" s="38" t="str">
        <f>IFERROR(__xludf.DUMMYFUNCTION("""COMPUTED_VALUE"""),"Critical Sparepart")</f>
        <v>Critical Sparepart</v>
      </c>
      <c r="N83" s="38">
        <v>36.0</v>
      </c>
      <c r="O83" s="40">
        <v>0.0</v>
      </c>
      <c r="P83" s="38" t="s">
        <v>116</v>
      </c>
      <c r="Q83" s="42">
        <v>0.0</v>
      </c>
      <c r="R83" s="42">
        <v>0.0</v>
      </c>
      <c r="S83" s="38">
        <v>0.0</v>
      </c>
      <c r="T83" s="42">
        <v>0.0</v>
      </c>
      <c r="U83" s="42">
        <v>0.0</v>
      </c>
    </row>
    <row r="84">
      <c r="A84" s="43" t="s">
        <v>322</v>
      </c>
      <c r="B84" s="47" t="s">
        <v>323</v>
      </c>
      <c r="C84" s="43" t="s">
        <v>65</v>
      </c>
      <c r="D84" s="43">
        <v>6.0</v>
      </c>
      <c r="E84" s="43">
        <v>32.0</v>
      </c>
      <c r="F84" s="43">
        <f>IFERROR(__xludf.DUMMYFUNCTION("""COMPUTED_VALUE"""),107.0)</f>
        <v>107</v>
      </c>
      <c r="G84" s="43" t="s">
        <v>122</v>
      </c>
      <c r="H84" s="43" t="s">
        <v>113</v>
      </c>
      <c r="I84" s="43" t="s">
        <v>115</v>
      </c>
      <c r="J84" s="47" t="s">
        <v>115</v>
      </c>
      <c r="K84" s="38">
        <v>3.0</v>
      </c>
      <c r="L84" s="38">
        <v>26.0</v>
      </c>
      <c r="M84" s="38" t="str">
        <f>IFERROR(__xludf.DUMMYFUNCTION("""COMPUTED_VALUE"""),"General Sparepart")</f>
        <v>General Sparepart</v>
      </c>
      <c r="N84" s="38">
        <v>24.0</v>
      </c>
      <c r="O84" s="40">
        <v>46234.0</v>
      </c>
      <c r="P84" s="38" t="s">
        <v>126</v>
      </c>
      <c r="Q84" s="42">
        <v>28.0</v>
      </c>
      <c r="R84" s="42">
        <v>21.272727272727273</v>
      </c>
      <c r="S84" s="38">
        <v>0.0</v>
      </c>
      <c r="T84" s="42">
        <v>25.98181818181818</v>
      </c>
      <c r="U84" s="42">
        <v>25.98181818181818</v>
      </c>
    </row>
    <row r="85">
      <c r="A85" s="43" t="s">
        <v>324</v>
      </c>
      <c r="B85" s="47" t="s">
        <v>325</v>
      </c>
      <c r="C85" s="43" t="s">
        <v>65</v>
      </c>
      <c r="D85" s="43">
        <v>1.0</v>
      </c>
      <c r="E85" s="43">
        <v>1.0</v>
      </c>
      <c r="F85" s="43">
        <f>IFERROR(__xludf.DUMMYFUNCTION("""COMPUTED_VALUE"""),0.0)</f>
        <v>0</v>
      </c>
      <c r="G85" s="43" t="s">
        <v>112</v>
      </c>
      <c r="H85" s="43" t="s">
        <v>119</v>
      </c>
      <c r="I85" s="43" t="s">
        <v>141</v>
      </c>
      <c r="J85" s="47" t="s">
        <v>321</v>
      </c>
      <c r="K85" s="38">
        <v>0.0</v>
      </c>
      <c r="L85" s="38">
        <v>0.0</v>
      </c>
      <c r="M85" s="38" t="str">
        <f>IFERROR(__xludf.DUMMYFUNCTION("""COMPUTED_VALUE"""),"Critical Sparepart")</f>
        <v>Critical Sparepart</v>
      </c>
      <c r="N85" s="38">
        <v>36.0</v>
      </c>
      <c r="O85" s="40">
        <v>0.0</v>
      </c>
      <c r="P85" s="38" t="s">
        <v>116</v>
      </c>
      <c r="Q85" s="42">
        <v>0.0</v>
      </c>
      <c r="R85" s="42">
        <v>0.0</v>
      </c>
      <c r="S85" s="38">
        <v>0.0</v>
      </c>
      <c r="T85" s="42">
        <v>0.0</v>
      </c>
      <c r="U85" s="42">
        <v>0.0</v>
      </c>
    </row>
    <row r="86">
      <c r="A86" s="43" t="s">
        <v>326</v>
      </c>
      <c r="B86" s="47" t="s">
        <v>325</v>
      </c>
      <c r="C86" s="43" t="s">
        <v>65</v>
      </c>
      <c r="D86" s="43">
        <v>1.0</v>
      </c>
      <c r="E86" s="43">
        <v>8.0</v>
      </c>
      <c r="F86" s="43">
        <f>IFERROR(__xludf.DUMMYFUNCTION("""COMPUTED_VALUE"""),2.0)</f>
        <v>2</v>
      </c>
      <c r="G86" s="43" t="s">
        <v>122</v>
      </c>
      <c r="H86" s="43" t="s">
        <v>113</v>
      </c>
      <c r="I86" s="43" t="s">
        <v>115</v>
      </c>
      <c r="J86" s="47" t="s">
        <v>115</v>
      </c>
      <c r="K86" s="38">
        <v>1.0</v>
      </c>
      <c r="L86" s="38">
        <v>6.0</v>
      </c>
      <c r="M86" s="38" t="str">
        <f>IFERROR(__xludf.DUMMYFUNCTION("""COMPUTED_VALUE"""),"Critical Sparepart")</f>
        <v>Critical Sparepart</v>
      </c>
      <c r="N86" s="38">
        <v>36.0</v>
      </c>
      <c r="O86" s="40">
        <v>46147.0</v>
      </c>
      <c r="P86" s="38" t="s">
        <v>126</v>
      </c>
      <c r="Q86" s="42">
        <v>6.0</v>
      </c>
      <c r="R86" s="42">
        <v>0.0</v>
      </c>
      <c r="S86" s="38">
        <v>2.0</v>
      </c>
      <c r="T86" s="42">
        <v>6.0</v>
      </c>
      <c r="U86" s="42">
        <v>6.0</v>
      </c>
    </row>
    <row r="87">
      <c r="A87" s="43" t="s">
        <v>327</v>
      </c>
      <c r="B87" s="47" t="s">
        <v>328</v>
      </c>
      <c r="C87" s="43" t="s">
        <v>65</v>
      </c>
      <c r="D87" s="43">
        <v>40.0</v>
      </c>
      <c r="E87" s="43">
        <v>700.0</v>
      </c>
      <c r="F87" s="43">
        <f>IFERROR(__xludf.DUMMYFUNCTION("""COMPUTED_VALUE"""),391.0)</f>
        <v>391</v>
      </c>
      <c r="G87" s="43" t="s">
        <v>122</v>
      </c>
      <c r="H87" s="43" t="s">
        <v>113</v>
      </c>
      <c r="I87" s="43" t="s">
        <v>115</v>
      </c>
      <c r="J87" s="47" t="s">
        <v>115</v>
      </c>
      <c r="K87" s="38">
        <v>73.0</v>
      </c>
      <c r="L87" s="38">
        <v>700.0</v>
      </c>
      <c r="M87" s="38" t="str">
        <f>IFERROR(__xludf.DUMMYFUNCTION("""COMPUTED_VALUE"""),"Fast Moving / Consumable")</f>
        <v>Fast Moving / Consumable</v>
      </c>
      <c r="N87" s="38">
        <v>18.0</v>
      </c>
      <c r="O87" s="40">
        <v>46260.0</v>
      </c>
      <c r="P87" s="38" t="s">
        <v>126</v>
      </c>
      <c r="Q87" s="42">
        <v>189.0</v>
      </c>
      <c r="R87" s="42">
        <v>263.45454545454544</v>
      </c>
      <c r="S87" s="38">
        <v>700.0</v>
      </c>
      <c r="T87" s="42">
        <v>211.33636363636361</v>
      </c>
      <c r="U87" s="46">
        <v>700.0</v>
      </c>
    </row>
    <row r="88">
      <c r="A88" s="43" t="s">
        <v>329</v>
      </c>
      <c r="B88" s="47" t="s">
        <v>330</v>
      </c>
      <c r="C88" s="43" t="s">
        <v>67</v>
      </c>
      <c r="D88" s="43">
        <v>0.0</v>
      </c>
      <c r="E88" s="43">
        <v>1.0</v>
      </c>
      <c r="F88" s="43">
        <f>IFERROR(__xludf.DUMMYFUNCTION("""COMPUTED_VALUE"""),0.0)</f>
        <v>0</v>
      </c>
      <c r="G88" s="43" t="s">
        <v>125</v>
      </c>
      <c r="H88" s="43" t="s">
        <v>119</v>
      </c>
      <c r="I88" s="43" t="s">
        <v>119</v>
      </c>
      <c r="J88" s="47" t="s">
        <v>266</v>
      </c>
      <c r="K88" s="38">
        <v>0.0</v>
      </c>
      <c r="L88" s="38">
        <v>0.0</v>
      </c>
      <c r="M88" s="38" t="str">
        <f>IFERROR(__xludf.DUMMYFUNCTION("""COMPUTED_VALUE"""),"Critical Sparepart")</f>
        <v>Critical Sparepart</v>
      </c>
      <c r="N88" s="38">
        <v>36.0</v>
      </c>
      <c r="O88" s="40">
        <v>0.0</v>
      </c>
      <c r="P88" s="38" t="s">
        <v>116</v>
      </c>
      <c r="Q88" s="42">
        <v>0.0</v>
      </c>
      <c r="R88" s="42">
        <v>0.0</v>
      </c>
      <c r="S88" s="38">
        <v>0.0</v>
      </c>
      <c r="T88" s="42">
        <v>0.0</v>
      </c>
      <c r="U88" s="42">
        <v>0.0</v>
      </c>
    </row>
    <row r="89">
      <c r="A89" s="43" t="s">
        <v>331</v>
      </c>
      <c r="B89" s="47" t="s">
        <v>332</v>
      </c>
      <c r="C89" s="43" t="s">
        <v>67</v>
      </c>
      <c r="D89" s="43">
        <v>0.0</v>
      </c>
      <c r="E89" s="43">
        <v>1.0</v>
      </c>
      <c r="F89" s="43">
        <f>IFERROR(__xludf.DUMMYFUNCTION("""COMPUTED_VALUE"""),0.0)</f>
        <v>0</v>
      </c>
      <c r="G89" s="43" t="s">
        <v>125</v>
      </c>
      <c r="H89" s="43" t="s">
        <v>119</v>
      </c>
      <c r="I89" s="43" t="s">
        <v>119</v>
      </c>
      <c r="J89" s="47" t="s">
        <v>266</v>
      </c>
      <c r="K89" s="38">
        <v>0.0</v>
      </c>
      <c r="L89" s="38">
        <v>0.0</v>
      </c>
      <c r="M89" s="38" t="str">
        <f>IFERROR(__xludf.DUMMYFUNCTION("""COMPUTED_VALUE"""),"Critical Sparepart")</f>
        <v>Critical Sparepart</v>
      </c>
      <c r="N89" s="38">
        <v>36.0</v>
      </c>
      <c r="O89" s="40">
        <v>0.0</v>
      </c>
      <c r="P89" s="38" t="s">
        <v>116</v>
      </c>
      <c r="Q89" s="42">
        <v>0.0</v>
      </c>
      <c r="R89" s="42">
        <v>0.0</v>
      </c>
      <c r="S89" s="38">
        <v>0.0</v>
      </c>
      <c r="T89" s="42">
        <v>0.0</v>
      </c>
      <c r="U89" s="42">
        <v>0.0</v>
      </c>
    </row>
    <row r="90">
      <c r="A90" s="43" t="s">
        <v>334</v>
      </c>
      <c r="B90" s="47" t="s">
        <v>335</v>
      </c>
      <c r="C90" s="43" t="s">
        <v>67</v>
      </c>
      <c r="D90" s="43">
        <v>1.0</v>
      </c>
      <c r="E90" s="43">
        <v>2.0</v>
      </c>
      <c r="F90" s="43">
        <f>IFERROR(__xludf.DUMMYFUNCTION("""COMPUTED_VALUE"""),4.0)</f>
        <v>4</v>
      </c>
      <c r="G90" s="43" t="s">
        <v>122</v>
      </c>
      <c r="H90" s="43" t="s">
        <v>119</v>
      </c>
      <c r="I90" s="43" t="s">
        <v>119</v>
      </c>
      <c r="J90" s="47" t="s">
        <v>336</v>
      </c>
      <c r="K90" s="38">
        <v>0.0</v>
      </c>
      <c r="L90" s="38">
        <v>0.0</v>
      </c>
      <c r="M90" s="38" t="str">
        <f>IFERROR(__xludf.DUMMYFUNCTION("""COMPUTED_VALUE"""),"Fast Moving / Consumable")</f>
        <v>Fast Moving / Consumable</v>
      </c>
      <c r="N90" s="38">
        <v>18.0</v>
      </c>
      <c r="O90" s="40">
        <v>43161.0</v>
      </c>
      <c r="P90" s="38" t="s">
        <v>116</v>
      </c>
      <c r="Q90" s="42">
        <v>0.0</v>
      </c>
      <c r="R90" s="42">
        <v>0.0</v>
      </c>
      <c r="S90" s="38">
        <v>0.0</v>
      </c>
      <c r="T90" s="42">
        <v>0.0</v>
      </c>
      <c r="U90" s="42">
        <v>0.0</v>
      </c>
    </row>
    <row r="91">
      <c r="A91" s="43" t="s">
        <v>337</v>
      </c>
      <c r="B91" s="47" t="s">
        <v>338</v>
      </c>
      <c r="C91" s="43" t="s">
        <v>67</v>
      </c>
      <c r="D91" s="43">
        <v>1.0</v>
      </c>
      <c r="E91" s="43">
        <v>2.0</v>
      </c>
      <c r="F91" s="43">
        <f>IFERROR(__xludf.DUMMYFUNCTION("""COMPUTED_VALUE"""),0.0)</f>
        <v>0</v>
      </c>
      <c r="G91" s="43" t="s">
        <v>112</v>
      </c>
      <c r="H91" s="43" t="s">
        <v>119</v>
      </c>
      <c r="I91" s="43" t="s">
        <v>141</v>
      </c>
      <c r="J91" s="47" t="s">
        <v>339</v>
      </c>
      <c r="K91" s="38">
        <v>0.0</v>
      </c>
      <c r="L91" s="38">
        <v>0.0</v>
      </c>
      <c r="M91" s="38" t="str">
        <f>IFERROR(__xludf.DUMMYFUNCTION("""COMPUTED_VALUE"""),"Critical Sparepart")</f>
        <v>Critical Sparepart</v>
      </c>
      <c r="N91" s="38">
        <v>36.0</v>
      </c>
      <c r="O91" s="40">
        <v>0.0</v>
      </c>
      <c r="P91" s="38" t="s">
        <v>116</v>
      </c>
      <c r="Q91" s="42">
        <v>0.0</v>
      </c>
      <c r="R91" s="42">
        <v>0.0</v>
      </c>
      <c r="S91" s="38">
        <v>0.0</v>
      </c>
      <c r="T91" s="42">
        <v>0.0</v>
      </c>
      <c r="U91" s="42">
        <v>0.0</v>
      </c>
    </row>
    <row r="92">
      <c r="A92" s="43" t="s">
        <v>340</v>
      </c>
      <c r="B92" s="47" t="s">
        <v>341</v>
      </c>
      <c r="C92" s="43" t="s">
        <v>67</v>
      </c>
      <c r="D92" s="43">
        <v>0.0</v>
      </c>
      <c r="E92" s="43">
        <v>1.0</v>
      </c>
      <c r="F92" s="43">
        <f>IFERROR(__xludf.DUMMYFUNCTION("""COMPUTED_VALUE"""),0.0)</f>
        <v>0</v>
      </c>
      <c r="G92" s="43" t="s">
        <v>125</v>
      </c>
      <c r="H92" s="43" t="s">
        <v>113</v>
      </c>
      <c r="I92" s="43" t="s">
        <v>115</v>
      </c>
      <c r="J92" s="47" t="s">
        <v>115</v>
      </c>
      <c r="K92" s="38">
        <v>0.0</v>
      </c>
      <c r="L92" s="38">
        <v>0.0</v>
      </c>
      <c r="M92" s="38" t="str">
        <f>IFERROR(__xludf.DUMMYFUNCTION("""COMPUTED_VALUE"""),"Critical Sparepart")</f>
        <v>Critical Sparepart</v>
      </c>
      <c r="N92" s="38">
        <v>36.0</v>
      </c>
      <c r="O92" s="40">
        <v>0.0</v>
      </c>
      <c r="P92" s="38" t="s">
        <v>116</v>
      </c>
      <c r="Q92" s="42">
        <v>0.0</v>
      </c>
      <c r="R92" s="42">
        <v>0.0</v>
      </c>
      <c r="S92" s="38">
        <v>0.0</v>
      </c>
      <c r="T92" s="42">
        <v>0.0</v>
      </c>
      <c r="U92" s="42">
        <v>0.0</v>
      </c>
    </row>
    <row r="93">
      <c r="A93" s="43" t="s">
        <v>342</v>
      </c>
      <c r="B93" s="47" t="s">
        <v>343</v>
      </c>
      <c r="C93" s="43" t="s">
        <v>67</v>
      </c>
      <c r="D93" s="43">
        <v>1.0</v>
      </c>
      <c r="E93" s="43">
        <v>1.0</v>
      </c>
      <c r="F93" s="43">
        <f>IFERROR(__xludf.DUMMYFUNCTION("""COMPUTED_VALUE"""),0.0)</f>
        <v>0</v>
      </c>
      <c r="G93" s="43" t="s">
        <v>112</v>
      </c>
      <c r="H93" s="43" t="s">
        <v>113</v>
      </c>
      <c r="I93" s="43" t="s">
        <v>115</v>
      </c>
      <c r="J93" s="47">
        <v>1.21703511E8</v>
      </c>
      <c r="K93" s="38">
        <v>0.0</v>
      </c>
      <c r="L93" s="38">
        <v>0.0</v>
      </c>
      <c r="M93" s="38" t="str">
        <f>IFERROR(__xludf.DUMMYFUNCTION("""COMPUTED_VALUE"""),"Fast Moving / Consumable")</f>
        <v>Fast Moving / Consumable</v>
      </c>
      <c r="N93" s="38">
        <v>18.0</v>
      </c>
      <c r="O93" s="40">
        <v>0.0</v>
      </c>
      <c r="P93" s="38" t="s">
        <v>116</v>
      </c>
      <c r="Q93" s="42">
        <v>0.0</v>
      </c>
      <c r="R93" s="42">
        <v>0.0</v>
      </c>
      <c r="S93" s="38">
        <v>0.0</v>
      </c>
      <c r="T93" s="42">
        <v>0.0</v>
      </c>
      <c r="U93" s="42">
        <v>0.0</v>
      </c>
    </row>
    <row r="94">
      <c r="A94" s="43" t="s">
        <v>344</v>
      </c>
      <c r="B94" s="47" t="s">
        <v>345</v>
      </c>
      <c r="C94" s="43" t="s">
        <v>67</v>
      </c>
      <c r="D94" s="43">
        <v>1.0</v>
      </c>
      <c r="E94" s="43">
        <v>2.0</v>
      </c>
      <c r="F94" s="43">
        <f>IFERROR(__xludf.DUMMYFUNCTION("""COMPUTED_VALUE"""),1.0)</f>
        <v>1</v>
      </c>
      <c r="G94" s="43" t="s">
        <v>125</v>
      </c>
      <c r="H94" s="43" t="s">
        <v>113</v>
      </c>
      <c r="I94" s="43" t="s">
        <v>115</v>
      </c>
      <c r="J94" s="47">
        <v>1.21703438E8</v>
      </c>
      <c r="K94" s="38">
        <v>1.0</v>
      </c>
      <c r="L94" s="38">
        <v>1.0</v>
      </c>
      <c r="M94" s="38" t="str">
        <f>IFERROR(__xludf.DUMMYFUNCTION("""COMPUTED_VALUE"""),"General Sparepart")</f>
        <v>General Sparepart</v>
      </c>
      <c r="N94" s="38">
        <v>24.0</v>
      </c>
      <c r="O94" s="40">
        <v>45960.0</v>
      </c>
      <c r="P94" s="38" t="s">
        <v>126</v>
      </c>
      <c r="Q94" s="42">
        <v>1.0</v>
      </c>
      <c r="R94" s="42">
        <v>0.0</v>
      </c>
      <c r="S94" s="38">
        <v>1.0</v>
      </c>
      <c r="T94" s="42">
        <v>1.0</v>
      </c>
      <c r="U94" s="42">
        <v>1.0</v>
      </c>
    </row>
    <row r="95">
      <c r="A95" s="43" t="s">
        <v>346</v>
      </c>
      <c r="B95" s="47" t="s">
        <v>347</v>
      </c>
      <c r="C95" s="43" t="s">
        <v>67</v>
      </c>
      <c r="D95" s="43">
        <v>1.0</v>
      </c>
      <c r="E95" s="43">
        <v>2.0</v>
      </c>
      <c r="F95" s="43">
        <f>IFERROR(__xludf.DUMMYFUNCTION("""COMPUTED_VALUE"""),0.0)</f>
        <v>0</v>
      </c>
      <c r="G95" s="43" t="s">
        <v>112</v>
      </c>
      <c r="H95" s="43" t="s">
        <v>113</v>
      </c>
      <c r="I95" s="43" t="s">
        <v>115</v>
      </c>
      <c r="J95" s="47">
        <v>1.21703511E8</v>
      </c>
      <c r="K95" s="38">
        <v>0.0</v>
      </c>
      <c r="L95" s="38">
        <v>0.0</v>
      </c>
      <c r="M95" s="38" t="str">
        <f>IFERROR(__xludf.DUMMYFUNCTION("""COMPUTED_VALUE"""),"Critical Sparepart")</f>
        <v>Critical Sparepart</v>
      </c>
      <c r="N95" s="38">
        <v>36.0</v>
      </c>
      <c r="O95" s="40">
        <v>0.0</v>
      </c>
      <c r="P95" s="38" t="s">
        <v>116</v>
      </c>
      <c r="Q95" s="42">
        <v>0.0</v>
      </c>
      <c r="R95" s="42">
        <v>0.0</v>
      </c>
      <c r="S95" s="38">
        <v>0.0</v>
      </c>
      <c r="T95" s="42">
        <v>0.0</v>
      </c>
      <c r="U95" s="42">
        <v>0.0</v>
      </c>
    </row>
    <row r="96">
      <c r="A96" s="43" t="s">
        <v>348</v>
      </c>
      <c r="B96" s="47" t="s">
        <v>349</v>
      </c>
      <c r="C96" s="43" t="s">
        <v>67</v>
      </c>
      <c r="D96" s="43">
        <v>1.0</v>
      </c>
      <c r="E96" s="43">
        <v>2.0</v>
      </c>
      <c r="F96" s="43">
        <f>IFERROR(__xludf.DUMMYFUNCTION("""COMPUTED_VALUE"""),0.0)</f>
        <v>0</v>
      </c>
      <c r="G96" s="43" t="s">
        <v>112</v>
      </c>
      <c r="H96" s="43" t="s">
        <v>113</v>
      </c>
      <c r="I96" s="43" t="s">
        <v>114</v>
      </c>
      <c r="J96" s="47" t="s">
        <v>115</v>
      </c>
      <c r="K96" s="38">
        <v>0.0</v>
      </c>
      <c r="L96" s="38">
        <v>0.0</v>
      </c>
      <c r="M96" s="38" t="str">
        <f>IFERROR(__xludf.DUMMYFUNCTION("""COMPUTED_VALUE"""),"General Sparepart")</f>
        <v>General Sparepart</v>
      </c>
      <c r="N96" s="38">
        <v>24.0</v>
      </c>
      <c r="O96" s="40">
        <v>0.0</v>
      </c>
      <c r="P96" s="38" t="s">
        <v>116</v>
      </c>
      <c r="Q96" s="42">
        <v>0.0</v>
      </c>
      <c r="R96" s="42">
        <v>0.0</v>
      </c>
      <c r="S96" s="38">
        <v>0.0</v>
      </c>
      <c r="T96" s="42">
        <v>0.0</v>
      </c>
      <c r="U96" s="42">
        <v>0.0</v>
      </c>
    </row>
    <row r="97">
      <c r="A97" s="43" t="s">
        <v>350</v>
      </c>
      <c r="B97" s="47" t="s">
        <v>351</v>
      </c>
      <c r="C97" s="43" t="s">
        <v>67</v>
      </c>
      <c r="D97" s="43">
        <v>1.0</v>
      </c>
      <c r="E97" s="43">
        <v>2.0</v>
      </c>
      <c r="F97" s="43">
        <f>IFERROR(__xludf.DUMMYFUNCTION("""COMPUTED_VALUE"""),1.0)</f>
        <v>1</v>
      </c>
      <c r="G97" s="43" t="s">
        <v>125</v>
      </c>
      <c r="H97" s="43" t="s">
        <v>113</v>
      </c>
      <c r="I97" s="43" t="s">
        <v>115</v>
      </c>
      <c r="J97" s="47">
        <v>1.2170349E8</v>
      </c>
      <c r="K97" s="38">
        <v>1.0</v>
      </c>
      <c r="L97" s="38">
        <v>1.0</v>
      </c>
      <c r="M97" s="38" t="str">
        <f>IFERROR(__xludf.DUMMYFUNCTION("""COMPUTED_VALUE"""),"Critical Sparepart")</f>
        <v>Critical Sparepart</v>
      </c>
      <c r="N97" s="38">
        <v>36.0</v>
      </c>
      <c r="O97" s="40">
        <v>45974.0</v>
      </c>
      <c r="P97" s="38" t="s">
        <v>126</v>
      </c>
      <c r="Q97" s="42">
        <v>1.0</v>
      </c>
      <c r="R97" s="42">
        <v>0.0</v>
      </c>
      <c r="S97" s="38">
        <v>1.0</v>
      </c>
      <c r="T97" s="42">
        <v>1.0</v>
      </c>
      <c r="U97" s="42">
        <v>1.0</v>
      </c>
    </row>
    <row r="98">
      <c r="A98" s="43" t="s">
        <v>352</v>
      </c>
      <c r="B98" s="47" t="s">
        <v>353</v>
      </c>
      <c r="C98" s="43" t="s">
        <v>67</v>
      </c>
      <c r="D98" s="43">
        <v>1.0</v>
      </c>
      <c r="E98" s="43">
        <v>2.0</v>
      </c>
      <c r="F98" s="43">
        <f>IFERROR(__xludf.DUMMYFUNCTION("""COMPUTED_VALUE"""),0.0)</f>
        <v>0</v>
      </c>
      <c r="G98" s="43" t="s">
        <v>112</v>
      </c>
      <c r="H98" s="43" t="s">
        <v>113</v>
      </c>
      <c r="I98" s="43" t="s">
        <v>115</v>
      </c>
      <c r="J98" s="47">
        <v>1.21703511E8</v>
      </c>
      <c r="K98" s="38">
        <v>0.0</v>
      </c>
      <c r="L98" s="38">
        <v>0.0</v>
      </c>
      <c r="M98" s="38" t="str">
        <f>IFERROR(__xludf.DUMMYFUNCTION("""COMPUTED_VALUE"""),"Critical Sparepart")</f>
        <v>Critical Sparepart</v>
      </c>
      <c r="N98" s="38">
        <v>36.0</v>
      </c>
      <c r="O98" s="40">
        <v>0.0</v>
      </c>
      <c r="P98" s="38" t="s">
        <v>116</v>
      </c>
      <c r="Q98" s="42">
        <v>0.0</v>
      </c>
      <c r="R98" s="42">
        <v>0.0</v>
      </c>
      <c r="S98" s="38">
        <v>0.0</v>
      </c>
      <c r="T98" s="42">
        <v>0.0</v>
      </c>
      <c r="U98" s="42">
        <v>0.0</v>
      </c>
    </row>
    <row r="99">
      <c r="A99" s="43" t="s">
        <v>354</v>
      </c>
      <c r="B99" s="47" t="s">
        <v>355</v>
      </c>
      <c r="C99" s="43" t="s">
        <v>67</v>
      </c>
      <c r="D99" s="43">
        <v>1.0</v>
      </c>
      <c r="E99" s="43">
        <v>2.0</v>
      </c>
      <c r="F99" s="43">
        <f>IFERROR(__xludf.DUMMYFUNCTION("""COMPUTED_VALUE"""),0.0)</f>
        <v>0</v>
      </c>
      <c r="G99" s="43" t="s">
        <v>112</v>
      </c>
      <c r="H99" s="43" t="s">
        <v>113</v>
      </c>
      <c r="I99" s="43" t="s">
        <v>115</v>
      </c>
      <c r="J99" s="47" t="s">
        <v>115</v>
      </c>
      <c r="K99" s="38">
        <v>0.0</v>
      </c>
      <c r="L99" s="38">
        <v>0.0</v>
      </c>
      <c r="M99" s="38" t="str">
        <f>IFERROR(__xludf.DUMMYFUNCTION("""COMPUTED_VALUE"""),"Critical Sparepart")</f>
        <v>Critical Sparepart</v>
      </c>
      <c r="N99" s="38">
        <v>36.0</v>
      </c>
      <c r="O99" s="40">
        <v>0.0</v>
      </c>
      <c r="P99" s="38" t="s">
        <v>116</v>
      </c>
      <c r="Q99" s="42">
        <v>0.0</v>
      </c>
      <c r="R99" s="42">
        <v>0.0</v>
      </c>
      <c r="S99" s="38">
        <v>0.0</v>
      </c>
      <c r="T99" s="42">
        <v>0.0</v>
      </c>
      <c r="U99" s="42">
        <v>0.0</v>
      </c>
    </row>
    <row r="100">
      <c r="A100" s="43" t="s">
        <v>356</v>
      </c>
      <c r="B100" s="47" t="s">
        <v>357</v>
      </c>
      <c r="C100" s="43" t="s">
        <v>67</v>
      </c>
      <c r="D100" s="43">
        <v>1.0</v>
      </c>
      <c r="E100" s="43">
        <v>2.0</v>
      </c>
      <c r="F100" s="43">
        <f>IFERROR(__xludf.DUMMYFUNCTION("""COMPUTED_VALUE"""),2.0)</f>
        <v>2</v>
      </c>
      <c r="G100" s="43" t="s">
        <v>122</v>
      </c>
      <c r="H100" s="43" t="s">
        <v>113</v>
      </c>
      <c r="I100" s="43" t="s">
        <v>115</v>
      </c>
      <c r="J100" s="47" t="s">
        <v>115</v>
      </c>
      <c r="K100" s="38">
        <v>1.0</v>
      </c>
      <c r="L100" s="38">
        <v>2.0</v>
      </c>
      <c r="M100" s="38" t="str">
        <f>IFERROR(__xludf.DUMMYFUNCTION("""COMPUTED_VALUE"""),"Critical Sparepart")</f>
        <v>Critical Sparepart</v>
      </c>
      <c r="N100" s="38">
        <v>36.0</v>
      </c>
      <c r="O100" s="40">
        <v>46083.0</v>
      </c>
      <c r="P100" s="38" t="s">
        <v>126</v>
      </c>
      <c r="Q100" s="42">
        <v>1.0</v>
      </c>
      <c r="R100" s="42">
        <v>0.2727272727272727</v>
      </c>
      <c r="S100" s="38">
        <v>2.0</v>
      </c>
      <c r="T100" s="42">
        <v>0.7818181818181817</v>
      </c>
      <c r="U100" s="46">
        <v>2.0</v>
      </c>
    </row>
    <row r="101">
      <c r="A101" s="43" t="s">
        <v>358</v>
      </c>
      <c r="B101" s="47" t="s">
        <v>359</v>
      </c>
      <c r="C101" s="43" t="s">
        <v>67</v>
      </c>
      <c r="D101" s="43">
        <v>0.0</v>
      </c>
      <c r="E101" s="43">
        <v>1.0</v>
      </c>
      <c r="F101" s="43">
        <f>IFERROR(__xludf.DUMMYFUNCTION("""COMPUTED_VALUE"""),0.0)</f>
        <v>0</v>
      </c>
      <c r="G101" s="43" t="s">
        <v>125</v>
      </c>
      <c r="H101" s="43" t="s">
        <v>113</v>
      </c>
      <c r="I101" s="43" t="s">
        <v>115</v>
      </c>
      <c r="J101" s="47" t="s">
        <v>115</v>
      </c>
      <c r="K101" s="38">
        <v>0.0</v>
      </c>
      <c r="L101" s="38">
        <v>0.0</v>
      </c>
      <c r="M101" s="38" t="str">
        <f>IFERROR(__xludf.DUMMYFUNCTION("""COMPUTED_VALUE"""),"General Sparepart")</f>
        <v>General Sparepart</v>
      </c>
      <c r="N101" s="38">
        <v>24.0</v>
      </c>
      <c r="O101" s="40">
        <v>0.0</v>
      </c>
      <c r="P101" s="38" t="s">
        <v>116</v>
      </c>
      <c r="Q101" s="42">
        <v>0.0</v>
      </c>
      <c r="R101" s="42">
        <v>0.0</v>
      </c>
      <c r="S101" s="38">
        <v>0.0</v>
      </c>
      <c r="T101" s="42">
        <v>0.0</v>
      </c>
      <c r="U101" s="42">
        <v>0.0</v>
      </c>
    </row>
    <row r="102">
      <c r="A102" s="43" t="s">
        <v>361</v>
      </c>
      <c r="B102" s="47" t="s">
        <v>362</v>
      </c>
      <c r="C102" s="43" t="s">
        <v>67</v>
      </c>
      <c r="D102" s="43">
        <v>1.0</v>
      </c>
      <c r="E102" s="43">
        <v>2.0</v>
      </c>
      <c r="F102" s="43">
        <f>IFERROR(__xludf.DUMMYFUNCTION("""COMPUTED_VALUE"""),0.0)</f>
        <v>0</v>
      </c>
      <c r="G102" s="43" t="s">
        <v>112</v>
      </c>
      <c r="H102" s="43" t="s">
        <v>119</v>
      </c>
      <c r="I102" s="43" t="s">
        <v>141</v>
      </c>
      <c r="J102" s="47" t="s">
        <v>363</v>
      </c>
      <c r="K102" s="38">
        <v>0.0</v>
      </c>
      <c r="L102" s="38">
        <v>0.0</v>
      </c>
      <c r="M102" s="38" t="str">
        <f>IFERROR(__xludf.DUMMYFUNCTION("""COMPUTED_VALUE"""),"General Sparepart")</f>
        <v>General Sparepart</v>
      </c>
      <c r="N102" s="38">
        <v>24.0</v>
      </c>
      <c r="O102" s="40">
        <v>0.0</v>
      </c>
      <c r="P102" s="38" t="s">
        <v>116</v>
      </c>
      <c r="Q102" s="42">
        <v>0.0</v>
      </c>
      <c r="R102" s="42">
        <v>0.0</v>
      </c>
      <c r="S102" s="38">
        <v>0.0</v>
      </c>
      <c r="T102" s="42">
        <v>0.0</v>
      </c>
      <c r="U102" s="42">
        <v>0.0</v>
      </c>
    </row>
    <row r="103">
      <c r="A103" s="43" t="s">
        <v>364</v>
      </c>
      <c r="B103" s="47" t="s">
        <v>365</v>
      </c>
      <c r="C103" s="43" t="s">
        <v>67</v>
      </c>
      <c r="D103" s="43">
        <v>0.0</v>
      </c>
      <c r="E103" s="43">
        <v>1.0</v>
      </c>
      <c r="F103" s="43">
        <f>IFERROR(__xludf.DUMMYFUNCTION("""COMPUTED_VALUE"""),1.0)</f>
        <v>1</v>
      </c>
      <c r="G103" s="43" t="s">
        <v>122</v>
      </c>
      <c r="H103" s="43" t="s">
        <v>113</v>
      </c>
      <c r="I103" s="43" t="s">
        <v>115</v>
      </c>
      <c r="J103" s="47" t="s">
        <v>294</v>
      </c>
      <c r="K103" s="38">
        <v>1.0</v>
      </c>
      <c r="L103" s="38">
        <v>1.0</v>
      </c>
      <c r="M103" s="38" t="str">
        <f>IFERROR(__xludf.DUMMYFUNCTION("""COMPUTED_VALUE"""),"Critical Sparepart")</f>
        <v>Critical Sparepart</v>
      </c>
      <c r="N103" s="38">
        <v>36.0</v>
      </c>
      <c r="O103" s="40">
        <v>45928.0</v>
      </c>
      <c r="P103" s="38" t="s">
        <v>126</v>
      </c>
      <c r="Q103" s="42">
        <v>1.0</v>
      </c>
      <c r="R103" s="42">
        <v>0.0</v>
      </c>
      <c r="S103" s="38">
        <v>1.0</v>
      </c>
      <c r="T103" s="42">
        <v>1.0</v>
      </c>
      <c r="U103" s="42">
        <v>1.0</v>
      </c>
    </row>
    <row r="104">
      <c r="A104" s="43" t="s">
        <v>366</v>
      </c>
      <c r="B104" s="47" t="s">
        <v>367</v>
      </c>
      <c r="C104" s="43" t="s">
        <v>67</v>
      </c>
      <c r="D104" s="43">
        <v>1.0</v>
      </c>
      <c r="E104" s="43">
        <v>10.0</v>
      </c>
      <c r="F104" s="43">
        <f>IFERROR(__xludf.DUMMYFUNCTION("""COMPUTED_VALUE"""),1.0)</f>
        <v>1</v>
      </c>
      <c r="G104" s="43" t="s">
        <v>125</v>
      </c>
      <c r="H104" s="43" t="s">
        <v>113</v>
      </c>
      <c r="I104" s="43" t="s">
        <v>115</v>
      </c>
      <c r="J104" s="47" t="s">
        <v>115</v>
      </c>
      <c r="K104" s="38">
        <v>2.0</v>
      </c>
      <c r="L104" s="38">
        <v>10.0</v>
      </c>
      <c r="M104" s="38" t="str">
        <f>IFERROR(__xludf.DUMMYFUNCTION("""COMPUTED_VALUE"""),"Fast Moving / Consumable")</f>
        <v>Fast Moving / Consumable</v>
      </c>
      <c r="N104" s="38">
        <v>18.0</v>
      </c>
      <c r="O104" s="40">
        <v>46234.0</v>
      </c>
      <c r="P104" s="38" t="s">
        <v>126</v>
      </c>
      <c r="Q104" s="42">
        <v>9.0</v>
      </c>
      <c r="R104" s="42">
        <v>6.2727272727272725</v>
      </c>
      <c r="S104" s="38">
        <v>10.0</v>
      </c>
      <c r="T104" s="42">
        <v>8.181818181818182</v>
      </c>
      <c r="U104" s="46">
        <v>10.0</v>
      </c>
    </row>
    <row r="105">
      <c r="A105" s="43" t="s">
        <v>368</v>
      </c>
      <c r="B105" s="47" t="s">
        <v>369</v>
      </c>
      <c r="C105" s="43" t="s">
        <v>67</v>
      </c>
      <c r="D105" s="43">
        <v>1.0</v>
      </c>
      <c r="E105" s="43">
        <v>2.0</v>
      </c>
      <c r="F105" s="43">
        <f>IFERROR(__xludf.DUMMYFUNCTION("""COMPUTED_VALUE"""),3.0)</f>
        <v>3</v>
      </c>
      <c r="G105" s="43" t="s">
        <v>122</v>
      </c>
      <c r="H105" s="43" t="s">
        <v>113</v>
      </c>
      <c r="I105" s="43" t="s">
        <v>115</v>
      </c>
      <c r="J105" s="47" t="s">
        <v>115</v>
      </c>
      <c r="K105" s="38">
        <v>0.0</v>
      </c>
      <c r="L105" s="38">
        <v>0.0</v>
      </c>
      <c r="M105" s="38" t="str">
        <f>IFERROR(__xludf.DUMMYFUNCTION("""COMPUTED_VALUE"""),"Fast Moving / Consumable")</f>
        <v>Fast Moving / Consumable</v>
      </c>
      <c r="N105" s="38">
        <v>18.0</v>
      </c>
      <c r="O105" s="40">
        <v>44431.0</v>
      </c>
      <c r="P105" s="38" t="s">
        <v>116</v>
      </c>
      <c r="Q105" s="42">
        <v>2.0</v>
      </c>
      <c r="R105" s="42">
        <v>0.0</v>
      </c>
      <c r="S105" s="38">
        <v>0.0</v>
      </c>
      <c r="T105" s="42">
        <v>2.0</v>
      </c>
      <c r="U105" s="42">
        <v>2.0</v>
      </c>
    </row>
    <row r="106">
      <c r="A106" s="43" t="s">
        <v>370</v>
      </c>
      <c r="B106" s="47" t="s">
        <v>371</v>
      </c>
      <c r="C106" s="43" t="s">
        <v>67</v>
      </c>
      <c r="D106" s="43">
        <v>1.0</v>
      </c>
      <c r="E106" s="43">
        <v>3.0</v>
      </c>
      <c r="F106" s="43">
        <f>IFERROR(__xludf.DUMMYFUNCTION("""COMPUTED_VALUE"""),2.0)</f>
        <v>2</v>
      </c>
      <c r="G106" s="43" t="s">
        <v>122</v>
      </c>
      <c r="H106" s="43" t="s">
        <v>113</v>
      </c>
      <c r="I106" s="43" t="s">
        <v>115</v>
      </c>
      <c r="J106" s="47" t="s">
        <v>372</v>
      </c>
      <c r="K106" s="38">
        <v>1.0</v>
      </c>
      <c r="L106" s="38">
        <v>2.0</v>
      </c>
      <c r="M106" s="38" t="str">
        <f>IFERROR(__xludf.DUMMYFUNCTION("""COMPUTED_VALUE"""),"General Sparepart")</f>
        <v>General Sparepart</v>
      </c>
      <c r="N106" s="38">
        <v>24.0</v>
      </c>
      <c r="O106" s="40">
        <v>45928.0</v>
      </c>
      <c r="P106" s="38" t="s">
        <v>126</v>
      </c>
      <c r="Q106" s="42">
        <v>2.0</v>
      </c>
      <c r="R106" s="42">
        <v>0.0</v>
      </c>
      <c r="S106" s="38">
        <v>2.0</v>
      </c>
      <c r="T106" s="42">
        <v>2.0</v>
      </c>
      <c r="U106" s="42">
        <v>2.0</v>
      </c>
    </row>
    <row r="107">
      <c r="A107" s="43" t="s">
        <v>373</v>
      </c>
      <c r="B107" s="47" t="s">
        <v>374</v>
      </c>
      <c r="C107" s="43" t="s">
        <v>67</v>
      </c>
      <c r="D107" s="43">
        <v>10.0</v>
      </c>
      <c r="E107" s="43">
        <v>40.0</v>
      </c>
      <c r="F107" s="43">
        <f>IFERROR(__xludf.DUMMYFUNCTION("""COMPUTED_VALUE"""),1.0)</f>
        <v>1</v>
      </c>
      <c r="G107" s="43" t="s">
        <v>112</v>
      </c>
      <c r="H107" s="43" t="s">
        <v>113</v>
      </c>
      <c r="I107" s="43" t="s">
        <v>141</v>
      </c>
      <c r="J107" s="47" t="s">
        <v>375</v>
      </c>
      <c r="K107" s="38">
        <v>7.0</v>
      </c>
      <c r="L107" s="38">
        <v>60.0</v>
      </c>
      <c r="M107" s="38" t="str">
        <f>IFERROR(__xludf.DUMMYFUNCTION("""COMPUTED_VALUE"""),"General Sparepart")</f>
        <v>General Sparepart</v>
      </c>
      <c r="N107" s="38">
        <v>24.0</v>
      </c>
      <c r="O107" s="40">
        <v>46255.0</v>
      </c>
      <c r="P107" s="38" t="s">
        <v>126</v>
      </c>
      <c r="Q107" s="42">
        <v>56.0</v>
      </c>
      <c r="R107" s="42">
        <v>5.454545454545454</v>
      </c>
      <c r="S107" s="38">
        <v>60.0</v>
      </c>
      <c r="T107" s="42">
        <v>40.83636363636363</v>
      </c>
      <c r="U107" s="46">
        <v>60.0</v>
      </c>
    </row>
    <row r="108">
      <c r="A108" s="43" t="s">
        <v>376</v>
      </c>
      <c r="B108" s="47" t="s">
        <v>377</v>
      </c>
      <c r="C108" s="43" t="s">
        <v>67</v>
      </c>
      <c r="D108" s="43">
        <v>1.0</v>
      </c>
      <c r="E108" s="43">
        <v>5.0</v>
      </c>
      <c r="F108" s="43">
        <f>IFERROR(__xludf.DUMMYFUNCTION("""COMPUTED_VALUE"""),4.0)</f>
        <v>4</v>
      </c>
      <c r="G108" s="43" t="s">
        <v>122</v>
      </c>
      <c r="H108" s="43" t="s">
        <v>113</v>
      </c>
      <c r="I108" s="43" t="s">
        <v>115</v>
      </c>
      <c r="J108" s="47">
        <v>1.21703459E8</v>
      </c>
      <c r="K108" s="38">
        <v>1.0</v>
      </c>
      <c r="L108" s="38">
        <v>5.0</v>
      </c>
      <c r="M108" s="38" t="str">
        <f>IFERROR(__xludf.DUMMYFUNCTION("""COMPUTED_VALUE"""),"Critical Sparepart")</f>
        <v>Critical Sparepart</v>
      </c>
      <c r="N108" s="38">
        <v>36.0</v>
      </c>
      <c r="O108" s="40">
        <v>46051.0</v>
      </c>
      <c r="P108" s="38" t="s">
        <v>126</v>
      </c>
      <c r="Q108" s="42">
        <v>5.0</v>
      </c>
      <c r="R108" s="42">
        <v>0.0</v>
      </c>
      <c r="S108" s="38">
        <v>4.0</v>
      </c>
      <c r="T108" s="42">
        <v>5.0</v>
      </c>
      <c r="U108" s="42">
        <v>5.0</v>
      </c>
    </row>
    <row r="109">
      <c r="A109" s="43" t="s">
        <v>378</v>
      </c>
      <c r="B109" s="47" t="s">
        <v>379</v>
      </c>
      <c r="C109" s="43" t="s">
        <v>67</v>
      </c>
      <c r="D109" s="43">
        <v>1.0</v>
      </c>
      <c r="E109" s="43">
        <v>2.0</v>
      </c>
      <c r="F109" s="43">
        <f>IFERROR(__xludf.DUMMYFUNCTION("""COMPUTED_VALUE"""),0.0)</f>
        <v>0</v>
      </c>
      <c r="G109" s="43" t="s">
        <v>112</v>
      </c>
      <c r="H109" s="43" t="s">
        <v>113</v>
      </c>
      <c r="I109" s="43" t="s">
        <v>115</v>
      </c>
      <c r="J109" s="47" t="s">
        <v>115</v>
      </c>
      <c r="K109" s="38">
        <v>0.0</v>
      </c>
      <c r="L109" s="38">
        <v>0.0</v>
      </c>
      <c r="M109" s="38" t="str">
        <f>IFERROR(__xludf.DUMMYFUNCTION("""COMPUTED_VALUE"""),"General Sparepart")</f>
        <v>General Sparepart</v>
      </c>
      <c r="N109" s="38">
        <v>24.0</v>
      </c>
      <c r="O109" s="40">
        <v>0.0</v>
      </c>
      <c r="P109" s="38" t="s">
        <v>116</v>
      </c>
      <c r="Q109" s="42">
        <v>0.0</v>
      </c>
      <c r="R109" s="42">
        <v>0.0</v>
      </c>
      <c r="S109" s="38">
        <v>0.0</v>
      </c>
      <c r="T109" s="42">
        <v>0.0</v>
      </c>
      <c r="U109" s="42">
        <v>0.0</v>
      </c>
    </row>
    <row r="110">
      <c r="A110" s="43" t="s">
        <v>380</v>
      </c>
      <c r="B110" s="47" t="s">
        <v>381</v>
      </c>
      <c r="C110" s="43" t="s">
        <v>67</v>
      </c>
      <c r="D110" s="43">
        <v>1.0</v>
      </c>
      <c r="E110" s="43">
        <v>6.0</v>
      </c>
      <c r="F110" s="43">
        <f>IFERROR(__xludf.DUMMYFUNCTION("""COMPUTED_VALUE"""),6.0)</f>
        <v>6</v>
      </c>
      <c r="G110" s="43" t="s">
        <v>122</v>
      </c>
      <c r="H110" s="43" t="s">
        <v>113</v>
      </c>
      <c r="I110" s="43" t="s">
        <v>115</v>
      </c>
      <c r="J110" s="47" t="s">
        <v>383</v>
      </c>
      <c r="K110" s="38">
        <v>1.0</v>
      </c>
      <c r="L110" s="38">
        <v>7.0</v>
      </c>
      <c r="M110" s="38" t="str">
        <f>IFERROR(__xludf.DUMMYFUNCTION("""COMPUTED_VALUE"""),"General Sparepart")</f>
        <v>General Sparepart</v>
      </c>
      <c r="N110" s="38">
        <v>24.0</v>
      </c>
      <c r="O110" s="40">
        <v>45960.0</v>
      </c>
      <c r="P110" s="38" t="s">
        <v>126</v>
      </c>
      <c r="Q110" s="42">
        <v>7.0</v>
      </c>
      <c r="R110" s="42">
        <v>0.0</v>
      </c>
      <c r="S110" s="38">
        <v>6.0</v>
      </c>
      <c r="T110" s="42">
        <v>7.0</v>
      </c>
      <c r="U110" s="42">
        <v>7.0</v>
      </c>
    </row>
    <row r="111">
      <c r="A111" s="43" t="s">
        <v>384</v>
      </c>
      <c r="B111" s="47" t="s">
        <v>385</v>
      </c>
      <c r="C111" s="43" t="s">
        <v>67</v>
      </c>
      <c r="D111" s="43">
        <v>1.0</v>
      </c>
      <c r="E111" s="43">
        <v>3.0</v>
      </c>
      <c r="F111" s="43">
        <f>IFERROR(__xludf.DUMMYFUNCTION("""COMPUTED_VALUE"""),2.0)</f>
        <v>2</v>
      </c>
      <c r="G111" s="43" t="s">
        <v>122</v>
      </c>
      <c r="H111" s="43" t="s">
        <v>113</v>
      </c>
      <c r="I111" s="43" t="s">
        <v>115</v>
      </c>
      <c r="J111" s="47" t="s">
        <v>386</v>
      </c>
      <c r="K111" s="38">
        <v>1.0</v>
      </c>
      <c r="L111" s="38">
        <v>2.0</v>
      </c>
      <c r="M111" s="38" t="str">
        <f>IFERROR(__xludf.DUMMYFUNCTION("""COMPUTED_VALUE"""),"Critical Sparepart")</f>
        <v>Critical Sparepart</v>
      </c>
      <c r="N111" s="38">
        <v>36.0</v>
      </c>
      <c r="O111" s="40">
        <v>45928.0</v>
      </c>
      <c r="P111" s="38" t="s">
        <v>126</v>
      </c>
      <c r="Q111" s="42">
        <v>2.0</v>
      </c>
      <c r="R111" s="42">
        <v>0.0</v>
      </c>
      <c r="S111" s="38">
        <v>2.0</v>
      </c>
      <c r="T111" s="42">
        <v>2.0</v>
      </c>
      <c r="U111" s="42">
        <v>2.0</v>
      </c>
    </row>
    <row r="112">
      <c r="A112" s="43" t="s">
        <v>387</v>
      </c>
      <c r="B112" s="47" t="s">
        <v>388</v>
      </c>
      <c r="C112" s="43" t="s">
        <v>67</v>
      </c>
      <c r="D112" s="43">
        <v>2.0</v>
      </c>
      <c r="E112" s="43">
        <v>4.0</v>
      </c>
      <c r="F112" s="43">
        <f>IFERROR(__xludf.DUMMYFUNCTION("""COMPUTED_VALUE"""),2.0)</f>
        <v>2</v>
      </c>
      <c r="G112" s="43" t="s">
        <v>125</v>
      </c>
      <c r="H112" s="43" t="s">
        <v>113</v>
      </c>
      <c r="I112" s="43" t="s">
        <v>115</v>
      </c>
      <c r="J112" s="47" t="s">
        <v>115</v>
      </c>
      <c r="K112" s="38">
        <v>1.0</v>
      </c>
      <c r="L112" s="38">
        <v>2.0</v>
      </c>
      <c r="M112" s="38" t="str">
        <f>IFERROR(__xludf.DUMMYFUNCTION("""COMPUTED_VALUE"""),"Critical Sparepart")</f>
        <v>Critical Sparepart</v>
      </c>
      <c r="N112" s="38">
        <v>36.0</v>
      </c>
      <c r="O112" s="40">
        <v>45875.0</v>
      </c>
      <c r="P112" s="38" t="s">
        <v>126</v>
      </c>
      <c r="Q112" s="42">
        <v>2.0</v>
      </c>
      <c r="R112" s="42">
        <v>0.0</v>
      </c>
      <c r="S112" s="38">
        <v>0.0</v>
      </c>
      <c r="T112" s="42">
        <v>2.0</v>
      </c>
      <c r="U112" s="42">
        <v>2.0</v>
      </c>
    </row>
    <row r="113">
      <c r="A113" s="43" t="s">
        <v>389</v>
      </c>
      <c r="B113" s="47" t="s">
        <v>390</v>
      </c>
      <c r="C113" s="43" t="s">
        <v>67</v>
      </c>
      <c r="D113" s="43">
        <v>1.0</v>
      </c>
      <c r="E113" s="43">
        <v>2.0</v>
      </c>
      <c r="F113" s="43">
        <f>IFERROR(__xludf.DUMMYFUNCTION("""COMPUTED_VALUE"""),2.0)</f>
        <v>2</v>
      </c>
      <c r="G113" s="43" t="s">
        <v>122</v>
      </c>
      <c r="H113" s="43" t="s">
        <v>113</v>
      </c>
      <c r="I113" s="43" t="s">
        <v>115</v>
      </c>
      <c r="J113" s="47" t="s">
        <v>391</v>
      </c>
      <c r="K113" s="38">
        <v>1.0</v>
      </c>
      <c r="L113" s="38">
        <v>2.0</v>
      </c>
      <c r="M113" s="38" t="str">
        <f>IFERROR(__xludf.DUMMYFUNCTION("""COMPUTED_VALUE"""),"Critical Sparepart")</f>
        <v>Critical Sparepart</v>
      </c>
      <c r="N113" s="38">
        <v>36.0</v>
      </c>
      <c r="O113" s="40">
        <v>45875.0</v>
      </c>
      <c r="P113" s="38" t="s">
        <v>126</v>
      </c>
      <c r="Q113" s="42">
        <v>2.0</v>
      </c>
      <c r="R113" s="42">
        <v>0.0</v>
      </c>
      <c r="S113" s="38">
        <v>0.0</v>
      </c>
      <c r="T113" s="42">
        <v>2.0</v>
      </c>
      <c r="U113" s="42">
        <v>2.0</v>
      </c>
    </row>
    <row r="114">
      <c r="A114" s="43" t="s">
        <v>392</v>
      </c>
      <c r="B114" s="47" t="s">
        <v>393</v>
      </c>
      <c r="C114" s="43" t="s">
        <v>67</v>
      </c>
      <c r="D114" s="43">
        <v>1.0</v>
      </c>
      <c r="E114" s="43">
        <v>2.0</v>
      </c>
      <c r="F114" s="43">
        <f>IFERROR(__xludf.DUMMYFUNCTION("""COMPUTED_VALUE"""),46.0)</f>
        <v>46</v>
      </c>
      <c r="G114" s="43" t="s">
        <v>122</v>
      </c>
      <c r="H114" s="43" t="s">
        <v>113</v>
      </c>
      <c r="I114" s="43" t="s">
        <v>115</v>
      </c>
      <c r="J114" s="47" t="s">
        <v>115</v>
      </c>
      <c r="K114" s="38">
        <v>2.0</v>
      </c>
      <c r="L114" s="38">
        <v>18.0</v>
      </c>
      <c r="M114" s="38" t="str">
        <f>IFERROR(__xludf.DUMMYFUNCTION("""COMPUTED_VALUE"""),"Critical Sparepart")</f>
        <v>Critical Sparepart</v>
      </c>
      <c r="N114" s="38">
        <v>36.0</v>
      </c>
      <c r="O114" s="40">
        <v>45342.0</v>
      </c>
      <c r="P114" s="38" t="s">
        <v>126</v>
      </c>
      <c r="Q114" s="42">
        <v>18.0</v>
      </c>
      <c r="R114" s="42">
        <v>0.0</v>
      </c>
      <c r="S114" s="38">
        <v>0.0</v>
      </c>
      <c r="T114" s="42">
        <v>18.0</v>
      </c>
      <c r="U114" s="42">
        <v>18.0</v>
      </c>
    </row>
    <row r="115">
      <c r="A115" s="43" t="s">
        <v>394</v>
      </c>
      <c r="B115" s="47" t="s">
        <v>395</v>
      </c>
      <c r="C115" s="43" t="s">
        <v>67</v>
      </c>
      <c r="D115" s="43">
        <v>1.0</v>
      </c>
      <c r="E115" s="43">
        <v>2.0</v>
      </c>
      <c r="F115" s="43">
        <f>IFERROR(__xludf.DUMMYFUNCTION("""COMPUTED_VALUE"""),1.0)</f>
        <v>1</v>
      </c>
      <c r="G115" s="43" t="s">
        <v>125</v>
      </c>
      <c r="H115" s="43" t="s">
        <v>113</v>
      </c>
      <c r="I115" s="43" t="s">
        <v>115</v>
      </c>
      <c r="J115" s="47" t="s">
        <v>396</v>
      </c>
      <c r="K115" s="38">
        <v>1.0</v>
      </c>
      <c r="L115" s="38">
        <v>2.0</v>
      </c>
      <c r="M115" s="38" t="str">
        <f>IFERROR(__xludf.DUMMYFUNCTION("""COMPUTED_VALUE"""),"Critical Sparepart")</f>
        <v>Critical Sparepart</v>
      </c>
      <c r="N115" s="38">
        <v>36.0</v>
      </c>
      <c r="O115" s="40">
        <v>46234.0</v>
      </c>
      <c r="P115" s="38" t="s">
        <v>126</v>
      </c>
      <c r="Q115" s="42">
        <v>2.0</v>
      </c>
      <c r="R115" s="42">
        <v>0.2727272727272727</v>
      </c>
      <c r="S115" s="38">
        <v>0.0</v>
      </c>
      <c r="T115" s="42">
        <v>1.4818181818181817</v>
      </c>
      <c r="U115" s="42">
        <v>1.4818181818181817</v>
      </c>
    </row>
    <row r="116">
      <c r="A116" s="43" t="s">
        <v>397</v>
      </c>
      <c r="B116" s="47" t="s">
        <v>398</v>
      </c>
      <c r="C116" s="43" t="s">
        <v>67</v>
      </c>
      <c r="D116" s="43">
        <v>1.0</v>
      </c>
      <c r="E116" s="43">
        <v>2.0</v>
      </c>
      <c r="F116" s="43">
        <f>IFERROR(__xludf.DUMMYFUNCTION("""COMPUTED_VALUE"""),2.0)</f>
        <v>2</v>
      </c>
      <c r="G116" s="43" t="s">
        <v>122</v>
      </c>
      <c r="H116" s="43" t="s">
        <v>113</v>
      </c>
      <c r="I116" s="43" t="s">
        <v>115</v>
      </c>
      <c r="J116" s="47" t="s">
        <v>115</v>
      </c>
      <c r="K116" s="38">
        <v>1.0</v>
      </c>
      <c r="L116" s="38">
        <v>2.0</v>
      </c>
      <c r="M116" s="38" t="str">
        <f>IFERROR(__xludf.DUMMYFUNCTION("""COMPUTED_VALUE"""),"Critical Sparepart")</f>
        <v>Critical Sparepart</v>
      </c>
      <c r="N116" s="38">
        <v>36.0</v>
      </c>
      <c r="O116" s="40">
        <v>46083.0</v>
      </c>
      <c r="P116" s="38" t="s">
        <v>126</v>
      </c>
      <c r="Q116" s="42">
        <v>1.0</v>
      </c>
      <c r="R116" s="42">
        <v>0.2727272727272727</v>
      </c>
      <c r="S116" s="38">
        <v>2.0</v>
      </c>
      <c r="T116" s="42">
        <v>0.7818181818181817</v>
      </c>
      <c r="U116" s="46">
        <v>2.0</v>
      </c>
    </row>
    <row r="117">
      <c r="A117" s="43" t="s">
        <v>399</v>
      </c>
      <c r="B117" s="47" t="s">
        <v>398</v>
      </c>
      <c r="C117" s="43" t="s">
        <v>67</v>
      </c>
      <c r="D117" s="43">
        <v>2.0</v>
      </c>
      <c r="E117" s="43">
        <v>4.0</v>
      </c>
      <c r="F117" s="43">
        <f>IFERROR(__xludf.DUMMYFUNCTION("""COMPUTED_VALUE"""),5.0)</f>
        <v>5</v>
      </c>
      <c r="G117" s="43" t="s">
        <v>122</v>
      </c>
      <c r="H117" s="43" t="s">
        <v>113</v>
      </c>
      <c r="I117" s="43" t="s">
        <v>115</v>
      </c>
      <c r="J117" s="47" t="s">
        <v>115</v>
      </c>
      <c r="K117" s="38">
        <v>1.0</v>
      </c>
      <c r="L117" s="38">
        <v>2.0</v>
      </c>
      <c r="M117" s="38" t="str">
        <f>IFERROR(__xludf.DUMMYFUNCTION("""COMPUTED_VALUE"""),"Critical Sparepart")</f>
        <v>Critical Sparepart</v>
      </c>
      <c r="N117" s="38">
        <v>36.0</v>
      </c>
      <c r="O117" s="40">
        <v>46112.0</v>
      </c>
      <c r="P117" s="38" t="s">
        <v>126</v>
      </c>
      <c r="Q117" s="42">
        <v>2.0</v>
      </c>
      <c r="R117" s="42">
        <v>0.5454545454545454</v>
      </c>
      <c r="S117" s="38">
        <v>0.0</v>
      </c>
      <c r="T117" s="42">
        <v>1.5636363636363635</v>
      </c>
      <c r="U117" s="42">
        <v>1.5636363636363635</v>
      </c>
    </row>
    <row r="118">
      <c r="A118" s="43" t="s">
        <v>400</v>
      </c>
      <c r="B118" s="47" t="s">
        <v>401</v>
      </c>
      <c r="C118" s="43" t="s">
        <v>67</v>
      </c>
      <c r="D118" s="43">
        <v>1.0</v>
      </c>
      <c r="E118" s="43">
        <v>2.0</v>
      </c>
      <c r="F118" s="43">
        <f>IFERROR(__xludf.DUMMYFUNCTION("""COMPUTED_VALUE"""),2.0)</f>
        <v>2</v>
      </c>
      <c r="G118" s="43" t="s">
        <v>122</v>
      </c>
      <c r="H118" s="43" t="s">
        <v>113</v>
      </c>
      <c r="I118" s="43" t="s">
        <v>115</v>
      </c>
      <c r="J118" s="47" t="s">
        <v>115</v>
      </c>
      <c r="K118" s="38">
        <v>1.0</v>
      </c>
      <c r="L118" s="38">
        <v>2.0</v>
      </c>
      <c r="M118" s="38" t="str">
        <f>IFERROR(__xludf.DUMMYFUNCTION("""COMPUTED_VALUE"""),"Critical Sparepart")</f>
        <v>Critical Sparepart</v>
      </c>
      <c r="N118" s="38">
        <v>36.0</v>
      </c>
      <c r="O118" s="40">
        <v>46083.0</v>
      </c>
      <c r="P118" s="38" t="s">
        <v>126</v>
      </c>
      <c r="Q118" s="42">
        <v>1.0</v>
      </c>
      <c r="R118" s="42">
        <v>0.2727272727272727</v>
      </c>
      <c r="S118" s="38">
        <v>2.0</v>
      </c>
      <c r="T118" s="42">
        <v>0.7818181818181817</v>
      </c>
      <c r="U118" s="46">
        <v>2.0</v>
      </c>
    </row>
    <row r="119">
      <c r="A119" s="43" t="s">
        <v>402</v>
      </c>
      <c r="B119" s="47" t="s">
        <v>403</v>
      </c>
      <c r="C119" s="43" t="s">
        <v>67</v>
      </c>
      <c r="D119" s="43">
        <v>0.0</v>
      </c>
      <c r="E119" s="43">
        <v>1.0</v>
      </c>
      <c r="F119" s="43">
        <f>IFERROR(__xludf.DUMMYFUNCTION("""COMPUTED_VALUE"""),1.0)</f>
        <v>1</v>
      </c>
      <c r="G119" s="43" t="s">
        <v>122</v>
      </c>
      <c r="H119" s="43" t="s">
        <v>119</v>
      </c>
      <c r="I119" s="43" t="s">
        <v>119</v>
      </c>
      <c r="J119" s="47" t="s">
        <v>405</v>
      </c>
      <c r="K119" s="38">
        <v>0.0</v>
      </c>
      <c r="L119" s="38">
        <v>0.0</v>
      </c>
      <c r="M119" s="38" t="str">
        <f>IFERROR(__xludf.DUMMYFUNCTION("""COMPUTED_VALUE"""),"Critical Sparepart")</f>
        <v>Critical Sparepart</v>
      </c>
      <c r="N119" s="38">
        <v>36.0</v>
      </c>
      <c r="O119" s="40">
        <v>43280.0</v>
      </c>
      <c r="P119" s="38" t="s">
        <v>116</v>
      </c>
      <c r="Q119" s="42">
        <v>0.0</v>
      </c>
      <c r="R119" s="42">
        <v>0.0</v>
      </c>
      <c r="S119" s="38">
        <v>0.0</v>
      </c>
      <c r="T119" s="42">
        <v>0.0</v>
      </c>
      <c r="U119" s="42">
        <v>0.0</v>
      </c>
    </row>
    <row r="120">
      <c r="A120" s="43" t="s">
        <v>406</v>
      </c>
      <c r="B120" s="47" t="s">
        <v>407</v>
      </c>
      <c r="C120" s="43" t="s">
        <v>67</v>
      </c>
      <c r="D120" s="43">
        <v>1.0</v>
      </c>
      <c r="E120" s="43">
        <v>2.0</v>
      </c>
      <c r="F120" s="43">
        <f>IFERROR(__xludf.DUMMYFUNCTION("""COMPUTED_VALUE"""),1.0)</f>
        <v>1</v>
      </c>
      <c r="G120" s="43" t="s">
        <v>125</v>
      </c>
      <c r="H120" s="43" t="s">
        <v>113</v>
      </c>
      <c r="I120" s="43" t="s">
        <v>115</v>
      </c>
      <c r="J120" s="47" t="s">
        <v>408</v>
      </c>
      <c r="K120" s="38">
        <v>1.0</v>
      </c>
      <c r="L120" s="38">
        <v>1.0</v>
      </c>
      <c r="M120" s="38" t="str">
        <f>IFERROR(__xludf.DUMMYFUNCTION("""COMPUTED_VALUE"""),"Critical Sparepart")</f>
        <v>Critical Sparepart</v>
      </c>
      <c r="N120" s="38">
        <v>36.0</v>
      </c>
      <c r="O120" s="40">
        <v>45706.0</v>
      </c>
      <c r="P120" s="38" t="s">
        <v>126</v>
      </c>
      <c r="Q120" s="42">
        <v>1.0</v>
      </c>
      <c r="R120" s="42">
        <v>0.0</v>
      </c>
      <c r="S120" s="38">
        <v>0.0</v>
      </c>
      <c r="T120" s="42">
        <v>1.0</v>
      </c>
      <c r="U120" s="42">
        <v>1.0</v>
      </c>
    </row>
    <row r="121">
      <c r="A121" s="43" t="s">
        <v>409</v>
      </c>
      <c r="B121" s="47" t="s">
        <v>410</v>
      </c>
      <c r="C121" s="43" t="s">
        <v>67</v>
      </c>
      <c r="D121" s="43">
        <v>1.0</v>
      </c>
      <c r="E121" s="43">
        <v>2.0</v>
      </c>
      <c r="F121" s="43">
        <f>IFERROR(__xludf.DUMMYFUNCTION("""COMPUTED_VALUE"""),0.0)</f>
        <v>0</v>
      </c>
      <c r="G121" s="43" t="s">
        <v>112</v>
      </c>
      <c r="H121" s="43" t="s">
        <v>113</v>
      </c>
      <c r="I121" s="43" t="s">
        <v>411</v>
      </c>
      <c r="J121" s="47" t="s">
        <v>412</v>
      </c>
      <c r="K121" s="38">
        <v>1.0</v>
      </c>
      <c r="L121" s="38">
        <v>1.0</v>
      </c>
      <c r="M121" s="38" t="str">
        <f>IFERROR(__xludf.DUMMYFUNCTION("""COMPUTED_VALUE"""),"Critical Sparepart")</f>
        <v>Critical Sparepart</v>
      </c>
      <c r="N121" s="38">
        <v>36.0</v>
      </c>
      <c r="O121" s="40">
        <v>45208.0</v>
      </c>
      <c r="P121" s="38" t="s">
        <v>126</v>
      </c>
      <c r="Q121" s="42">
        <v>1.0</v>
      </c>
      <c r="R121" s="42">
        <v>0.0</v>
      </c>
      <c r="S121" s="38">
        <v>0.0</v>
      </c>
      <c r="T121" s="42">
        <v>1.0</v>
      </c>
      <c r="U121" s="42">
        <v>1.0</v>
      </c>
    </row>
    <row r="122">
      <c r="A122" s="43" t="s">
        <v>413</v>
      </c>
      <c r="B122" s="47" t="s">
        <v>414</v>
      </c>
      <c r="C122" s="43" t="s">
        <v>67</v>
      </c>
      <c r="D122" s="43">
        <v>1.0</v>
      </c>
      <c r="E122" s="43">
        <v>2.0</v>
      </c>
      <c r="F122" s="43">
        <f>IFERROR(__xludf.DUMMYFUNCTION("""COMPUTED_VALUE"""),0.0)</f>
        <v>0</v>
      </c>
      <c r="G122" s="43" t="s">
        <v>112</v>
      </c>
      <c r="H122" s="43" t="s">
        <v>113</v>
      </c>
      <c r="I122" s="43" t="s">
        <v>411</v>
      </c>
      <c r="J122" s="47" t="s">
        <v>412</v>
      </c>
      <c r="K122" s="38">
        <v>0.0</v>
      </c>
      <c r="L122" s="38">
        <v>0.0</v>
      </c>
      <c r="M122" s="38" t="str">
        <f>IFERROR(__xludf.DUMMYFUNCTION("""COMPUTED_VALUE"""),"Critical Sparepart")</f>
        <v>Critical Sparepart</v>
      </c>
      <c r="N122" s="38">
        <v>36.0</v>
      </c>
      <c r="O122" s="40">
        <v>45208.0</v>
      </c>
      <c r="P122" s="38" t="s">
        <v>126</v>
      </c>
      <c r="Q122" s="42">
        <v>0.0</v>
      </c>
      <c r="R122" s="42">
        <v>0.0</v>
      </c>
      <c r="S122" s="38">
        <v>0.0</v>
      </c>
      <c r="T122" s="42">
        <v>0.0</v>
      </c>
      <c r="U122" s="42">
        <v>0.0</v>
      </c>
    </row>
    <row r="123">
      <c r="A123" s="43" t="s">
        <v>415</v>
      </c>
      <c r="B123" s="47" t="s">
        <v>416</v>
      </c>
      <c r="C123" s="43" t="s">
        <v>67</v>
      </c>
      <c r="D123" s="43">
        <v>1.0</v>
      </c>
      <c r="E123" s="43">
        <v>2.0</v>
      </c>
      <c r="F123" s="43">
        <f>IFERROR(__xludf.DUMMYFUNCTION("""COMPUTED_VALUE"""),0.0)</f>
        <v>0</v>
      </c>
      <c r="G123" s="43" t="s">
        <v>112</v>
      </c>
      <c r="H123" s="43" t="s">
        <v>119</v>
      </c>
      <c r="I123" s="43" t="s">
        <v>411</v>
      </c>
      <c r="J123" s="47" t="s">
        <v>417</v>
      </c>
      <c r="K123" s="38">
        <v>0.0</v>
      </c>
      <c r="L123" s="38">
        <v>0.0</v>
      </c>
      <c r="M123" s="38" t="str">
        <f>IFERROR(__xludf.DUMMYFUNCTION("""COMPUTED_VALUE"""),"Critical Sparepart")</f>
        <v>Critical Sparepart</v>
      </c>
      <c r="N123" s="38">
        <v>36.0</v>
      </c>
      <c r="O123" s="40">
        <v>0.0</v>
      </c>
      <c r="P123" s="38" t="s">
        <v>116</v>
      </c>
      <c r="Q123" s="42">
        <v>0.0</v>
      </c>
      <c r="R123" s="42">
        <v>0.0</v>
      </c>
      <c r="S123" s="38">
        <v>0.0</v>
      </c>
      <c r="T123" s="42">
        <v>0.0</v>
      </c>
      <c r="U123" s="42">
        <v>0.0</v>
      </c>
    </row>
    <row r="124">
      <c r="A124" s="43" t="s">
        <v>418</v>
      </c>
      <c r="B124" s="47" t="s">
        <v>419</v>
      </c>
      <c r="C124" s="43" t="s">
        <v>67</v>
      </c>
      <c r="D124" s="43">
        <v>0.0</v>
      </c>
      <c r="E124" s="43">
        <v>4.0</v>
      </c>
      <c r="F124" s="43">
        <f>IFERROR(__xludf.DUMMYFUNCTION("""COMPUTED_VALUE"""),0.0)</f>
        <v>0</v>
      </c>
      <c r="G124" s="43" t="s">
        <v>125</v>
      </c>
      <c r="H124" s="43" t="s">
        <v>119</v>
      </c>
      <c r="I124" s="43" t="s">
        <v>119</v>
      </c>
      <c r="J124" s="47" t="s">
        <v>266</v>
      </c>
      <c r="K124" s="38">
        <v>0.0</v>
      </c>
      <c r="L124" s="38">
        <v>0.0</v>
      </c>
      <c r="M124" s="38" t="str">
        <f>IFERROR(__xludf.DUMMYFUNCTION("""COMPUTED_VALUE"""),"General Sparepart")</f>
        <v>General Sparepart</v>
      </c>
      <c r="N124" s="38">
        <v>24.0</v>
      </c>
      <c r="O124" s="40">
        <v>0.0</v>
      </c>
      <c r="P124" s="38" t="s">
        <v>116</v>
      </c>
      <c r="Q124" s="42">
        <v>0.0</v>
      </c>
      <c r="R124" s="42">
        <v>0.0</v>
      </c>
      <c r="S124" s="38">
        <v>0.0</v>
      </c>
      <c r="T124" s="42">
        <v>0.0</v>
      </c>
      <c r="U124" s="42">
        <v>0.0</v>
      </c>
    </row>
    <row r="125">
      <c r="A125" s="43" t="s">
        <v>420</v>
      </c>
      <c r="B125" s="47" t="s">
        <v>421</v>
      </c>
      <c r="C125" s="43" t="s">
        <v>67</v>
      </c>
      <c r="D125" s="43">
        <v>38.0</v>
      </c>
      <c r="E125" s="43">
        <v>80.0</v>
      </c>
      <c r="F125" s="43">
        <f>IFERROR(__xludf.DUMMYFUNCTION("""COMPUTED_VALUE"""),42.0)</f>
        <v>42</v>
      </c>
      <c r="G125" s="43" t="s">
        <v>122</v>
      </c>
      <c r="H125" s="43" t="s">
        <v>113</v>
      </c>
      <c r="I125" s="43" t="s">
        <v>115</v>
      </c>
      <c r="J125" s="47" t="s">
        <v>115</v>
      </c>
      <c r="K125" s="38">
        <v>6.0</v>
      </c>
      <c r="L125" s="38">
        <v>55.0</v>
      </c>
      <c r="M125" s="38" t="str">
        <f>IFERROR(__xludf.DUMMYFUNCTION("""COMPUTED_VALUE"""),"General Sparepart")</f>
        <v>General Sparepart</v>
      </c>
      <c r="N125" s="38">
        <v>24.0</v>
      </c>
      <c r="O125" s="40">
        <v>46260.0</v>
      </c>
      <c r="P125" s="38" t="s">
        <v>126</v>
      </c>
      <c r="Q125" s="42">
        <v>34.0</v>
      </c>
      <c r="R125" s="42">
        <v>37.36363636363637</v>
      </c>
      <c r="S125" s="38">
        <v>55.0</v>
      </c>
      <c r="T125" s="42">
        <v>35.00909090909091</v>
      </c>
      <c r="U125" s="46">
        <v>55.0</v>
      </c>
    </row>
    <row r="126">
      <c r="A126" s="43" t="s">
        <v>422</v>
      </c>
      <c r="B126" s="47" t="s">
        <v>423</v>
      </c>
      <c r="C126" s="43" t="s">
        <v>67</v>
      </c>
      <c r="D126" s="43">
        <v>0.0</v>
      </c>
      <c r="E126" s="43">
        <v>0.0</v>
      </c>
      <c r="F126" s="43">
        <f>IFERROR(__xludf.DUMMYFUNCTION("""COMPUTED_VALUE"""),0.0)</f>
        <v>0</v>
      </c>
      <c r="G126" s="43" t="s">
        <v>125</v>
      </c>
      <c r="H126" s="43" t="s">
        <v>119</v>
      </c>
      <c r="I126" s="43" t="s">
        <v>119</v>
      </c>
      <c r="J126" s="47" t="s">
        <v>424</v>
      </c>
      <c r="K126" s="38">
        <v>0.0</v>
      </c>
      <c r="L126" s="38">
        <v>0.0</v>
      </c>
      <c r="M126" s="38" t="str">
        <f>IFERROR(__xludf.DUMMYFUNCTION("""COMPUTED_VALUE"""),"General Sparepart")</f>
        <v>General Sparepart</v>
      </c>
      <c r="N126" s="38">
        <v>24.0</v>
      </c>
      <c r="O126" s="40">
        <v>0.0</v>
      </c>
      <c r="P126" s="38" t="s">
        <v>116</v>
      </c>
      <c r="Q126" s="42">
        <v>0.0</v>
      </c>
      <c r="R126" s="42">
        <v>0.0</v>
      </c>
      <c r="S126" s="38">
        <v>0.0</v>
      </c>
      <c r="T126" s="42">
        <v>0.0</v>
      </c>
      <c r="U126" s="42">
        <v>0.0</v>
      </c>
    </row>
    <row r="127">
      <c r="A127" s="43" t="s">
        <v>425</v>
      </c>
      <c r="B127" s="47" t="s">
        <v>426</v>
      </c>
      <c r="C127" s="43" t="s">
        <v>67</v>
      </c>
      <c r="D127" s="43">
        <v>1.0</v>
      </c>
      <c r="E127" s="43">
        <v>2.0</v>
      </c>
      <c r="F127" s="43">
        <f>IFERROR(__xludf.DUMMYFUNCTION("""COMPUTED_VALUE"""),1.0)</f>
        <v>1</v>
      </c>
      <c r="G127" s="43" t="s">
        <v>125</v>
      </c>
      <c r="H127" s="43" t="s">
        <v>113</v>
      </c>
      <c r="I127" s="43" t="s">
        <v>115</v>
      </c>
      <c r="J127" s="47">
        <v>1.2170344E8</v>
      </c>
      <c r="K127" s="38">
        <v>1.0</v>
      </c>
      <c r="L127" s="38">
        <v>1.0</v>
      </c>
      <c r="M127" s="38" t="str">
        <f>IFERROR(__xludf.DUMMYFUNCTION("""COMPUTED_VALUE"""),"Fast Moving / Consumable")</f>
        <v>Fast Moving / Consumable</v>
      </c>
      <c r="N127" s="38">
        <v>18.0</v>
      </c>
      <c r="O127" s="40">
        <v>45960.0</v>
      </c>
      <c r="P127" s="38" t="s">
        <v>126</v>
      </c>
      <c r="Q127" s="42">
        <v>1.0</v>
      </c>
      <c r="R127" s="42">
        <v>0.0</v>
      </c>
      <c r="S127" s="38">
        <v>1.0</v>
      </c>
      <c r="T127" s="42">
        <v>1.0</v>
      </c>
      <c r="U127" s="42">
        <v>1.0</v>
      </c>
    </row>
    <row r="128">
      <c r="A128" s="43" t="s">
        <v>427</v>
      </c>
      <c r="B128" s="47" t="s">
        <v>426</v>
      </c>
      <c r="C128" s="43" t="s">
        <v>67</v>
      </c>
      <c r="D128" s="43">
        <v>1.0</v>
      </c>
      <c r="E128" s="43">
        <v>2.0</v>
      </c>
      <c r="F128" s="43">
        <f>IFERROR(__xludf.DUMMYFUNCTION("""COMPUTED_VALUE"""),1.0)</f>
        <v>1</v>
      </c>
      <c r="G128" s="43" t="s">
        <v>125</v>
      </c>
      <c r="H128" s="43" t="s">
        <v>113</v>
      </c>
      <c r="I128" s="43" t="s">
        <v>115</v>
      </c>
      <c r="J128" s="47" t="s">
        <v>115</v>
      </c>
      <c r="K128" s="38">
        <v>1.0</v>
      </c>
      <c r="L128" s="38">
        <v>1.0</v>
      </c>
      <c r="M128" s="38" t="str">
        <f>IFERROR(__xludf.DUMMYFUNCTION("""COMPUTED_VALUE"""),"Fast Moving / Consumable")</f>
        <v>Fast Moving / Consumable</v>
      </c>
      <c r="N128" s="38">
        <v>18.0</v>
      </c>
      <c r="O128" s="40">
        <v>45988.0</v>
      </c>
      <c r="P128" s="38" t="s">
        <v>126</v>
      </c>
      <c r="Q128" s="42">
        <v>1.0</v>
      </c>
      <c r="R128" s="42">
        <v>0.0</v>
      </c>
      <c r="S128" s="38">
        <v>1.0</v>
      </c>
      <c r="T128" s="42">
        <v>1.0</v>
      </c>
      <c r="U128" s="42">
        <v>1.0</v>
      </c>
    </row>
    <row r="129">
      <c r="A129" s="43" t="s">
        <v>428</v>
      </c>
      <c r="B129" s="47" t="s">
        <v>426</v>
      </c>
      <c r="C129" s="43" t="s">
        <v>67</v>
      </c>
      <c r="D129" s="43">
        <v>2.0</v>
      </c>
      <c r="E129" s="43">
        <v>4.0</v>
      </c>
      <c r="F129" s="43">
        <f>IFERROR(__xludf.DUMMYFUNCTION("""COMPUTED_VALUE"""),2.0)</f>
        <v>2</v>
      </c>
      <c r="G129" s="43" t="s">
        <v>125</v>
      </c>
      <c r="H129" s="43" t="s">
        <v>113</v>
      </c>
      <c r="I129" s="43" t="s">
        <v>115</v>
      </c>
      <c r="J129" s="47">
        <v>1.2170344E8</v>
      </c>
      <c r="K129" s="38">
        <v>1.0</v>
      </c>
      <c r="L129" s="38">
        <v>2.0</v>
      </c>
      <c r="M129" s="38" t="str">
        <f>IFERROR(__xludf.DUMMYFUNCTION("""COMPUTED_VALUE"""),"Fast Moving / Consumable")</f>
        <v>Fast Moving / Consumable</v>
      </c>
      <c r="N129" s="38">
        <v>18.0</v>
      </c>
      <c r="O129" s="40">
        <v>45960.0</v>
      </c>
      <c r="P129" s="38" t="s">
        <v>126</v>
      </c>
      <c r="Q129" s="42">
        <v>2.0</v>
      </c>
      <c r="R129" s="42">
        <v>0.0</v>
      </c>
      <c r="S129" s="38">
        <v>2.0</v>
      </c>
      <c r="T129" s="42">
        <v>2.0</v>
      </c>
      <c r="U129" s="42">
        <v>2.0</v>
      </c>
    </row>
    <row r="130">
      <c r="A130" s="43" t="s">
        <v>430</v>
      </c>
      <c r="B130" s="47" t="s">
        <v>431</v>
      </c>
      <c r="C130" s="43" t="s">
        <v>67</v>
      </c>
      <c r="D130" s="43">
        <v>2.0</v>
      </c>
      <c r="E130" s="43">
        <v>4.0</v>
      </c>
      <c r="F130" s="43">
        <f>IFERROR(__xludf.DUMMYFUNCTION("""COMPUTED_VALUE"""),4.0)</f>
        <v>4</v>
      </c>
      <c r="G130" s="43" t="s">
        <v>122</v>
      </c>
      <c r="H130" s="43" t="s">
        <v>113</v>
      </c>
      <c r="I130" s="43" t="s">
        <v>115</v>
      </c>
      <c r="J130" s="47" t="s">
        <v>408</v>
      </c>
      <c r="K130" s="38">
        <v>1.0</v>
      </c>
      <c r="L130" s="38">
        <v>6.0</v>
      </c>
      <c r="M130" s="38" t="str">
        <f>IFERROR(__xludf.DUMMYFUNCTION("""COMPUTED_VALUE"""),"Fast Moving / Consumable")</f>
        <v>Fast Moving / Consumable</v>
      </c>
      <c r="N130" s="38">
        <v>18.0</v>
      </c>
      <c r="O130" s="40">
        <v>45875.0</v>
      </c>
      <c r="P130" s="38" t="s">
        <v>126</v>
      </c>
      <c r="Q130" s="42">
        <v>6.0</v>
      </c>
      <c r="R130" s="42">
        <v>0.0</v>
      </c>
      <c r="S130" s="38">
        <v>0.0</v>
      </c>
      <c r="T130" s="42">
        <v>6.0</v>
      </c>
      <c r="U130" s="42">
        <v>6.0</v>
      </c>
    </row>
    <row r="131">
      <c r="A131" s="43" t="s">
        <v>432</v>
      </c>
      <c r="B131" s="47" t="s">
        <v>433</v>
      </c>
      <c r="C131" s="43" t="s">
        <v>67</v>
      </c>
      <c r="D131" s="43">
        <v>1.0</v>
      </c>
      <c r="E131" s="43">
        <v>2.0</v>
      </c>
      <c r="F131" s="43">
        <f>IFERROR(__xludf.DUMMYFUNCTION("""COMPUTED_VALUE"""),0.0)</f>
        <v>0</v>
      </c>
      <c r="G131" s="43" t="s">
        <v>112</v>
      </c>
      <c r="H131" s="43" t="s">
        <v>119</v>
      </c>
      <c r="I131" s="43" t="s">
        <v>141</v>
      </c>
      <c r="J131" s="47" t="s">
        <v>434</v>
      </c>
      <c r="K131" s="38">
        <v>0.0</v>
      </c>
      <c r="L131" s="38">
        <v>0.0</v>
      </c>
      <c r="M131" s="38" t="str">
        <f>IFERROR(__xludf.DUMMYFUNCTION("""COMPUTED_VALUE"""),"Critical Sparepart")</f>
        <v>Critical Sparepart</v>
      </c>
      <c r="N131" s="38">
        <v>36.0</v>
      </c>
      <c r="O131" s="40">
        <v>0.0</v>
      </c>
      <c r="P131" s="38" t="s">
        <v>116</v>
      </c>
      <c r="Q131" s="42">
        <v>0.0</v>
      </c>
      <c r="R131" s="42">
        <v>0.0</v>
      </c>
      <c r="S131" s="38">
        <v>0.0</v>
      </c>
      <c r="T131" s="42">
        <v>0.0</v>
      </c>
      <c r="U131" s="42">
        <v>0.0</v>
      </c>
    </row>
    <row r="132">
      <c r="A132" s="43" t="s">
        <v>435</v>
      </c>
      <c r="B132" s="47" t="s">
        <v>436</v>
      </c>
      <c r="C132" s="43" t="s">
        <v>67</v>
      </c>
      <c r="D132" s="43">
        <v>1.0</v>
      </c>
      <c r="E132" s="43">
        <v>2.0</v>
      </c>
      <c r="F132" s="43">
        <f>IFERROR(__xludf.DUMMYFUNCTION("""COMPUTED_VALUE"""),0.0)</f>
        <v>0</v>
      </c>
      <c r="G132" s="43" t="s">
        <v>112</v>
      </c>
      <c r="H132" s="43" t="s">
        <v>119</v>
      </c>
      <c r="I132" s="43" t="s">
        <v>141</v>
      </c>
      <c r="J132" s="47" t="s">
        <v>437</v>
      </c>
      <c r="K132" s="38">
        <v>0.0</v>
      </c>
      <c r="L132" s="38">
        <v>0.0</v>
      </c>
      <c r="M132" s="38" t="str">
        <f>IFERROR(__xludf.DUMMYFUNCTION("""COMPUTED_VALUE"""),"Critical Sparepart")</f>
        <v>Critical Sparepart</v>
      </c>
      <c r="N132" s="38">
        <v>36.0</v>
      </c>
      <c r="O132" s="40">
        <v>0.0</v>
      </c>
      <c r="P132" s="38" t="s">
        <v>116</v>
      </c>
      <c r="Q132" s="42">
        <v>0.0</v>
      </c>
      <c r="R132" s="42">
        <v>0.0</v>
      </c>
      <c r="S132" s="38">
        <v>0.0</v>
      </c>
      <c r="T132" s="42">
        <v>0.0</v>
      </c>
      <c r="U132" s="42">
        <v>0.0</v>
      </c>
    </row>
    <row r="133">
      <c r="A133" s="43" t="s">
        <v>438</v>
      </c>
      <c r="B133" s="47" t="s">
        <v>439</v>
      </c>
      <c r="C133" s="43" t="s">
        <v>67</v>
      </c>
      <c r="D133" s="43">
        <v>0.0</v>
      </c>
      <c r="E133" s="43">
        <v>1.0</v>
      </c>
      <c r="F133" s="43">
        <f>IFERROR(__xludf.DUMMYFUNCTION("""COMPUTED_VALUE"""),0.0)</f>
        <v>0</v>
      </c>
      <c r="G133" s="43" t="s">
        <v>125</v>
      </c>
      <c r="H133" s="43" t="s">
        <v>119</v>
      </c>
      <c r="I133" s="43" t="s">
        <v>141</v>
      </c>
      <c r="J133" s="47" t="s">
        <v>440</v>
      </c>
      <c r="K133" s="38">
        <v>0.0</v>
      </c>
      <c r="L133" s="38">
        <v>0.0</v>
      </c>
      <c r="M133" s="38" t="str">
        <f>IFERROR(__xludf.DUMMYFUNCTION("""COMPUTED_VALUE"""),"Critical Sparepart")</f>
        <v>Critical Sparepart</v>
      </c>
      <c r="N133" s="38">
        <v>36.0</v>
      </c>
      <c r="O133" s="40">
        <v>0.0</v>
      </c>
      <c r="P133" s="38" t="s">
        <v>116</v>
      </c>
      <c r="Q133" s="42">
        <v>0.0</v>
      </c>
      <c r="R133" s="42">
        <v>0.0</v>
      </c>
      <c r="S133" s="38">
        <v>0.0</v>
      </c>
      <c r="T133" s="42">
        <v>0.0</v>
      </c>
      <c r="U133" s="42">
        <v>0.0</v>
      </c>
    </row>
    <row r="134">
      <c r="A134" s="43" t="s">
        <v>441</v>
      </c>
      <c r="B134" s="47" t="s">
        <v>442</v>
      </c>
      <c r="C134" s="43" t="s">
        <v>67</v>
      </c>
      <c r="D134" s="43">
        <v>1.0</v>
      </c>
      <c r="E134" s="43">
        <v>2.0</v>
      </c>
      <c r="F134" s="43">
        <f>IFERROR(__xludf.DUMMYFUNCTION("""COMPUTED_VALUE"""),0.0)</f>
        <v>0</v>
      </c>
      <c r="G134" s="43" t="s">
        <v>112</v>
      </c>
      <c r="H134" s="43" t="s">
        <v>119</v>
      </c>
      <c r="I134" s="43" t="s">
        <v>141</v>
      </c>
      <c r="J134" s="47" t="s">
        <v>443</v>
      </c>
      <c r="K134" s="38">
        <v>0.0</v>
      </c>
      <c r="L134" s="38">
        <v>0.0</v>
      </c>
      <c r="M134" s="38" t="str">
        <f>IFERROR(__xludf.DUMMYFUNCTION("""COMPUTED_VALUE"""),"General Sparepart")</f>
        <v>General Sparepart</v>
      </c>
      <c r="N134" s="38">
        <v>24.0</v>
      </c>
      <c r="O134" s="40">
        <v>43312.0</v>
      </c>
      <c r="P134" s="38" t="s">
        <v>116</v>
      </c>
      <c r="Q134" s="42">
        <v>0.0</v>
      </c>
      <c r="R134" s="42">
        <v>0.0</v>
      </c>
      <c r="S134" s="38">
        <v>0.0</v>
      </c>
      <c r="T134" s="42">
        <v>0.0</v>
      </c>
      <c r="U134" s="42">
        <v>0.0</v>
      </c>
    </row>
    <row r="135">
      <c r="A135" s="43" t="s">
        <v>444</v>
      </c>
      <c r="B135" s="47" t="s">
        <v>445</v>
      </c>
      <c r="C135" s="43" t="s">
        <v>67</v>
      </c>
      <c r="D135" s="43">
        <v>1.0</v>
      </c>
      <c r="E135" s="43">
        <v>2.0</v>
      </c>
      <c r="F135" s="43">
        <f>IFERROR(__xludf.DUMMYFUNCTION("""COMPUTED_VALUE"""),1.0)</f>
        <v>1</v>
      </c>
      <c r="G135" s="43" t="s">
        <v>125</v>
      </c>
      <c r="H135" s="43" t="s">
        <v>113</v>
      </c>
      <c r="I135" s="43" t="s">
        <v>115</v>
      </c>
      <c r="J135" s="47" t="s">
        <v>115</v>
      </c>
      <c r="K135" s="38">
        <v>1.0</v>
      </c>
      <c r="L135" s="38">
        <v>2.0</v>
      </c>
      <c r="M135" s="38" t="str">
        <f>IFERROR(__xludf.DUMMYFUNCTION("""COMPUTED_VALUE"""),"General Sparepart")</f>
        <v>General Sparepart</v>
      </c>
      <c r="N135" s="38">
        <v>24.0</v>
      </c>
      <c r="O135" s="40">
        <v>46027.0</v>
      </c>
      <c r="P135" s="38" t="s">
        <v>126</v>
      </c>
      <c r="Q135" s="42">
        <v>0.0</v>
      </c>
      <c r="R135" s="42">
        <v>0.0</v>
      </c>
      <c r="S135" s="38">
        <v>2.0</v>
      </c>
      <c r="T135" s="42">
        <v>0.0</v>
      </c>
      <c r="U135" s="46">
        <v>2.0</v>
      </c>
    </row>
    <row r="136">
      <c r="A136" s="43" t="s">
        <v>446</v>
      </c>
      <c r="B136" s="47" t="s">
        <v>447</v>
      </c>
      <c r="C136" s="43" t="s">
        <v>67</v>
      </c>
      <c r="D136" s="43">
        <v>0.0</v>
      </c>
      <c r="E136" s="43">
        <v>1.0</v>
      </c>
      <c r="F136" s="43">
        <f>IFERROR(__xludf.DUMMYFUNCTION("""COMPUTED_VALUE"""),0.0)</f>
        <v>0</v>
      </c>
      <c r="G136" s="43" t="s">
        <v>125</v>
      </c>
      <c r="H136" s="43" t="s">
        <v>113</v>
      </c>
      <c r="I136" s="43" t="s">
        <v>115</v>
      </c>
      <c r="J136" s="47" t="s">
        <v>114</v>
      </c>
      <c r="K136" s="38">
        <v>0.0</v>
      </c>
      <c r="L136" s="38">
        <v>0.0</v>
      </c>
      <c r="M136" s="38" t="str">
        <f>IFERROR(__xludf.DUMMYFUNCTION("""COMPUTED_VALUE"""),"General Sparepart")</f>
        <v>General Sparepart</v>
      </c>
      <c r="N136" s="38">
        <v>24.0</v>
      </c>
      <c r="O136" s="40">
        <v>43858.0</v>
      </c>
      <c r="P136" s="38" t="s">
        <v>116</v>
      </c>
      <c r="Q136" s="42">
        <v>0.0</v>
      </c>
      <c r="R136" s="42">
        <v>0.0</v>
      </c>
      <c r="S136" s="38">
        <v>0.0</v>
      </c>
      <c r="T136" s="42">
        <v>0.0</v>
      </c>
      <c r="U136" s="42">
        <v>0.0</v>
      </c>
    </row>
    <row r="137">
      <c r="A137" s="43" t="s">
        <v>448</v>
      </c>
      <c r="B137" s="47" t="s">
        <v>449</v>
      </c>
      <c r="C137" s="43" t="s">
        <v>67</v>
      </c>
      <c r="D137" s="43">
        <v>1.0</v>
      </c>
      <c r="E137" s="43">
        <v>2.0</v>
      </c>
      <c r="F137" s="43">
        <f>IFERROR(__xludf.DUMMYFUNCTION("""COMPUTED_VALUE"""),0.0)</f>
        <v>0</v>
      </c>
      <c r="G137" s="43" t="s">
        <v>112</v>
      </c>
      <c r="H137" s="43" t="s">
        <v>119</v>
      </c>
      <c r="I137" s="43" t="s">
        <v>141</v>
      </c>
      <c r="J137" s="47" t="s">
        <v>450</v>
      </c>
      <c r="K137" s="38">
        <v>0.0</v>
      </c>
      <c r="L137" s="38">
        <v>0.0</v>
      </c>
      <c r="M137" s="38" t="str">
        <f>IFERROR(__xludf.DUMMYFUNCTION("""COMPUTED_VALUE"""),"Critical Sparepart")</f>
        <v>Critical Sparepart</v>
      </c>
      <c r="N137" s="38">
        <v>36.0</v>
      </c>
      <c r="O137" s="40">
        <v>0.0</v>
      </c>
      <c r="P137" s="38" t="s">
        <v>116</v>
      </c>
      <c r="Q137" s="42">
        <v>0.0</v>
      </c>
      <c r="R137" s="42">
        <v>0.0</v>
      </c>
      <c r="S137" s="38">
        <v>0.0</v>
      </c>
      <c r="T137" s="42">
        <v>0.0</v>
      </c>
      <c r="U137" s="42">
        <v>0.0</v>
      </c>
    </row>
    <row r="138">
      <c r="A138" s="43" t="s">
        <v>451</v>
      </c>
      <c r="B138" s="47" t="s">
        <v>452</v>
      </c>
      <c r="C138" s="43" t="s">
        <v>67</v>
      </c>
      <c r="D138" s="43">
        <v>1.0</v>
      </c>
      <c r="E138" s="43">
        <v>2.0</v>
      </c>
      <c r="F138" s="43">
        <f>IFERROR(__xludf.DUMMYFUNCTION("""COMPUTED_VALUE"""),0.0)</f>
        <v>0</v>
      </c>
      <c r="G138" s="43" t="s">
        <v>112</v>
      </c>
      <c r="H138" s="43" t="s">
        <v>119</v>
      </c>
      <c r="I138" s="43" t="s">
        <v>141</v>
      </c>
      <c r="J138" s="47" t="s">
        <v>453</v>
      </c>
      <c r="K138" s="38">
        <v>0.0</v>
      </c>
      <c r="L138" s="38">
        <v>0.0</v>
      </c>
      <c r="M138" s="38" t="str">
        <f>IFERROR(__xludf.DUMMYFUNCTION("""COMPUTED_VALUE"""),"Critical Sparepart")</f>
        <v>Critical Sparepart</v>
      </c>
      <c r="N138" s="38">
        <v>36.0</v>
      </c>
      <c r="O138" s="40">
        <v>0.0</v>
      </c>
      <c r="P138" s="38" t="s">
        <v>116</v>
      </c>
      <c r="Q138" s="42">
        <v>0.0</v>
      </c>
      <c r="R138" s="42">
        <v>0.0</v>
      </c>
      <c r="S138" s="38">
        <v>0.0</v>
      </c>
      <c r="T138" s="42">
        <v>0.0</v>
      </c>
      <c r="U138" s="42">
        <v>0.0</v>
      </c>
    </row>
    <row r="139">
      <c r="A139" s="43" t="s">
        <v>454</v>
      </c>
      <c r="B139" s="47" t="s">
        <v>455</v>
      </c>
      <c r="C139" s="43" t="s">
        <v>67</v>
      </c>
      <c r="D139" s="43">
        <v>1.0</v>
      </c>
      <c r="E139" s="43">
        <v>2.0</v>
      </c>
      <c r="F139" s="43">
        <f>IFERROR(__xludf.DUMMYFUNCTION("""COMPUTED_VALUE"""),2.0)</f>
        <v>2</v>
      </c>
      <c r="G139" s="43" t="s">
        <v>122</v>
      </c>
      <c r="H139" s="43" t="s">
        <v>113</v>
      </c>
      <c r="I139" s="43" t="s">
        <v>115</v>
      </c>
      <c r="J139" s="47" t="s">
        <v>115</v>
      </c>
      <c r="K139" s="38">
        <v>0.0</v>
      </c>
      <c r="L139" s="38">
        <v>0.0</v>
      </c>
      <c r="M139" s="38" t="str">
        <f>IFERROR(__xludf.DUMMYFUNCTION("""COMPUTED_VALUE"""),"General Sparepart")</f>
        <v>General Sparepart</v>
      </c>
      <c r="N139" s="38">
        <v>24.0</v>
      </c>
      <c r="O139" s="40">
        <v>44431.0</v>
      </c>
      <c r="P139" s="38" t="s">
        <v>116</v>
      </c>
      <c r="Q139" s="42">
        <v>1.0</v>
      </c>
      <c r="R139" s="42">
        <v>0.0</v>
      </c>
      <c r="S139" s="38">
        <v>0.0</v>
      </c>
      <c r="T139" s="42">
        <v>1.0</v>
      </c>
      <c r="U139" s="42">
        <v>1.0</v>
      </c>
    </row>
    <row r="140">
      <c r="A140" s="43" t="s">
        <v>456</v>
      </c>
      <c r="B140" s="47" t="s">
        <v>457</v>
      </c>
      <c r="C140" s="43" t="s">
        <v>67</v>
      </c>
      <c r="D140" s="43">
        <v>24.0</v>
      </c>
      <c r="E140" s="43">
        <v>48.0</v>
      </c>
      <c r="F140" s="43">
        <f>IFERROR(__xludf.DUMMYFUNCTION("""COMPUTED_VALUE"""),15.0)</f>
        <v>15</v>
      </c>
      <c r="G140" s="43" t="s">
        <v>112</v>
      </c>
      <c r="H140" s="43" t="s">
        <v>113</v>
      </c>
      <c r="I140" s="43" t="s">
        <v>141</v>
      </c>
      <c r="J140" s="47" t="s">
        <v>459</v>
      </c>
      <c r="K140" s="38">
        <v>3.0</v>
      </c>
      <c r="L140" s="38">
        <v>24.0</v>
      </c>
      <c r="M140" s="38" t="str">
        <f>IFERROR(__xludf.DUMMYFUNCTION("""COMPUTED_VALUE"""),"General Sparepart")</f>
        <v>General Sparepart</v>
      </c>
      <c r="N140" s="38">
        <v>24.0</v>
      </c>
      <c r="O140" s="40">
        <v>46260.0</v>
      </c>
      <c r="P140" s="38" t="s">
        <v>126</v>
      </c>
      <c r="Q140" s="42">
        <v>21.0</v>
      </c>
      <c r="R140" s="42">
        <v>29.18181818181818</v>
      </c>
      <c r="S140" s="38">
        <v>20.0</v>
      </c>
      <c r="T140" s="42">
        <v>23.454545454545453</v>
      </c>
      <c r="U140" s="42">
        <v>23.454545454545453</v>
      </c>
    </row>
    <row r="141">
      <c r="A141" s="43" t="s">
        <v>460</v>
      </c>
      <c r="B141" s="47" t="s">
        <v>461</v>
      </c>
      <c r="C141" s="43" t="s">
        <v>67</v>
      </c>
      <c r="D141" s="43">
        <v>2.0</v>
      </c>
      <c r="E141" s="43">
        <v>2.0</v>
      </c>
      <c r="F141" s="43">
        <f>IFERROR(__xludf.DUMMYFUNCTION("""COMPUTED_VALUE"""),2.0)</f>
        <v>2</v>
      </c>
      <c r="G141" s="43" t="s">
        <v>125</v>
      </c>
      <c r="H141" s="43" t="s">
        <v>113</v>
      </c>
      <c r="I141" s="43" t="s">
        <v>115</v>
      </c>
      <c r="J141" s="47" t="s">
        <v>115</v>
      </c>
      <c r="K141" s="38">
        <v>1.0</v>
      </c>
      <c r="L141" s="38">
        <v>1.0</v>
      </c>
      <c r="M141" s="38" t="str">
        <f>IFERROR(__xludf.DUMMYFUNCTION("""COMPUTED_VALUE"""),"Critical Sparepart")</f>
        <v>Critical Sparepart</v>
      </c>
      <c r="N141" s="38">
        <v>36.0</v>
      </c>
      <c r="O141" s="40">
        <v>45341.0</v>
      </c>
      <c r="P141" s="38" t="s">
        <v>126</v>
      </c>
      <c r="Q141" s="42">
        <v>1.0</v>
      </c>
      <c r="R141" s="42">
        <v>0.0</v>
      </c>
      <c r="S141" s="38">
        <v>0.0</v>
      </c>
      <c r="T141" s="42">
        <v>1.0</v>
      </c>
      <c r="U141" s="42">
        <v>1.0</v>
      </c>
    </row>
    <row r="142">
      <c r="A142" s="43" t="s">
        <v>462</v>
      </c>
      <c r="B142" s="47" t="s">
        <v>463</v>
      </c>
      <c r="C142" s="43" t="s">
        <v>67</v>
      </c>
      <c r="D142" s="43">
        <v>1.0</v>
      </c>
      <c r="E142" s="43">
        <v>2.0</v>
      </c>
      <c r="F142" s="43">
        <f>IFERROR(__xludf.DUMMYFUNCTION("""COMPUTED_VALUE"""),1.0)</f>
        <v>1</v>
      </c>
      <c r="G142" s="43" t="s">
        <v>125</v>
      </c>
      <c r="H142" s="43" t="s">
        <v>113</v>
      </c>
      <c r="I142" s="43" t="s">
        <v>115</v>
      </c>
      <c r="J142" s="47" t="s">
        <v>115</v>
      </c>
      <c r="K142" s="38">
        <v>0.0</v>
      </c>
      <c r="L142" s="38">
        <v>0.0</v>
      </c>
      <c r="M142" s="38" t="str">
        <f>IFERROR(__xludf.DUMMYFUNCTION("""COMPUTED_VALUE"""),"Critical Sparepart")</f>
        <v>Critical Sparepart</v>
      </c>
      <c r="N142" s="38">
        <v>36.0</v>
      </c>
      <c r="O142" s="40">
        <v>44694.0</v>
      </c>
      <c r="P142" s="38" t="s">
        <v>116</v>
      </c>
      <c r="Q142" s="42">
        <v>0.0</v>
      </c>
      <c r="R142" s="42">
        <v>0.0</v>
      </c>
      <c r="S142" s="38">
        <v>0.0</v>
      </c>
      <c r="T142" s="42">
        <v>0.0</v>
      </c>
      <c r="U142" s="42">
        <v>0.0</v>
      </c>
    </row>
    <row r="143">
      <c r="A143" s="43" t="s">
        <v>464</v>
      </c>
      <c r="B143" s="47" t="s">
        <v>465</v>
      </c>
      <c r="C143" s="43" t="s">
        <v>67</v>
      </c>
      <c r="D143" s="43">
        <v>1.0</v>
      </c>
      <c r="E143" s="43">
        <v>1.0</v>
      </c>
      <c r="F143" s="43">
        <f>IFERROR(__xludf.DUMMYFUNCTION("""COMPUTED_VALUE"""),1.0)</f>
        <v>1</v>
      </c>
      <c r="G143" s="43" t="s">
        <v>125</v>
      </c>
      <c r="H143" s="43" t="s">
        <v>113</v>
      </c>
      <c r="I143" s="43" t="s">
        <v>115</v>
      </c>
      <c r="J143" s="47" t="s">
        <v>115</v>
      </c>
      <c r="K143" s="38">
        <v>0.0</v>
      </c>
      <c r="L143" s="38">
        <v>0.0</v>
      </c>
      <c r="M143" s="38" t="str">
        <f>IFERROR(__xludf.DUMMYFUNCTION("""COMPUTED_VALUE"""),"General Sparepart")</f>
        <v>General Sparepart</v>
      </c>
      <c r="N143" s="38">
        <v>24.0</v>
      </c>
      <c r="O143" s="40">
        <v>44690.0</v>
      </c>
      <c r="P143" s="38" t="s">
        <v>116</v>
      </c>
      <c r="Q143" s="42">
        <v>0.0</v>
      </c>
      <c r="R143" s="42">
        <v>0.0</v>
      </c>
      <c r="S143" s="38">
        <v>0.0</v>
      </c>
      <c r="T143" s="42">
        <v>0.0</v>
      </c>
      <c r="U143" s="42">
        <v>0.0</v>
      </c>
    </row>
    <row r="144">
      <c r="A144" s="43" t="s">
        <v>466</v>
      </c>
      <c r="B144" s="47" t="s">
        <v>467</v>
      </c>
      <c r="C144" s="43" t="s">
        <v>67</v>
      </c>
      <c r="D144" s="43">
        <v>1.0</v>
      </c>
      <c r="E144" s="43">
        <v>2.0</v>
      </c>
      <c r="F144" s="43">
        <f>IFERROR(__xludf.DUMMYFUNCTION("""COMPUTED_VALUE"""),1.0)</f>
        <v>1</v>
      </c>
      <c r="G144" s="43" t="s">
        <v>125</v>
      </c>
      <c r="H144" s="43" t="s">
        <v>113</v>
      </c>
      <c r="I144" s="43" t="s">
        <v>115</v>
      </c>
      <c r="J144" s="47" t="s">
        <v>115</v>
      </c>
      <c r="K144" s="38">
        <v>0.0</v>
      </c>
      <c r="L144" s="38">
        <v>0.0</v>
      </c>
      <c r="M144" s="38" t="str">
        <f>IFERROR(__xludf.DUMMYFUNCTION("""COMPUTED_VALUE"""),"Critical Sparepart")</f>
        <v>Critical Sparepart</v>
      </c>
      <c r="N144" s="38">
        <v>36.0</v>
      </c>
      <c r="O144" s="40">
        <v>44690.0</v>
      </c>
      <c r="P144" s="38" t="s">
        <v>116</v>
      </c>
      <c r="Q144" s="42">
        <v>0.0</v>
      </c>
      <c r="R144" s="42">
        <v>0.0</v>
      </c>
      <c r="S144" s="38">
        <v>0.0</v>
      </c>
      <c r="T144" s="42">
        <v>0.0</v>
      </c>
      <c r="U144" s="42">
        <v>0.0</v>
      </c>
    </row>
    <row r="145">
      <c r="A145" s="43" t="s">
        <v>468</v>
      </c>
      <c r="B145" s="47" t="s">
        <v>469</v>
      </c>
      <c r="C145" s="43" t="s">
        <v>67</v>
      </c>
      <c r="D145" s="43">
        <v>1.0</v>
      </c>
      <c r="E145" s="43">
        <v>1.0</v>
      </c>
      <c r="F145" s="43">
        <f>IFERROR(__xludf.DUMMYFUNCTION("""COMPUTED_VALUE"""),1.0)</f>
        <v>1</v>
      </c>
      <c r="G145" s="43" t="s">
        <v>125</v>
      </c>
      <c r="H145" s="43" t="s">
        <v>113</v>
      </c>
      <c r="I145" s="43" t="s">
        <v>115</v>
      </c>
      <c r="J145" s="47" t="s">
        <v>115</v>
      </c>
      <c r="K145" s="38">
        <v>0.0</v>
      </c>
      <c r="L145" s="38">
        <v>0.0</v>
      </c>
      <c r="M145" s="38" t="str">
        <f>IFERROR(__xludf.DUMMYFUNCTION("""COMPUTED_VALUE"""),"Critical Sparepart")</f>
        <v>Critical Sparepart</v>
      </c>
      <c r="N145" s="38">
        <v>36.0</v>
      </c>
      <c r="O145" s="40">
        <v>45327.0</v>
      </c>
      <c r="P145" s="38" t="s">
        <v>126</v>
      </c>
      <c r="Q145" s="42">
        <v>0.0</v>
      </c>
      <c r="R145" s="42">
        <v>0.0</v>
      </c>
      <c r="S145" s="38">
        <v>0.0</v>
      </c>
      <c r="T145" s="42">
        <v>0.0</v>
      </c>
      <c r="U145" s="42">
        <v>0.0</v>
      </c>
    </row>
    <row r="146">
      <c r="A146" s="43" t="s">
        <v>470</v>
      </c>
      <c r="B146" s="47" t="s">
        <v>471</v>
      </c>
      <c r="C146" s="43" t="s">
        <v>67</v>
      </c>
      <c r="D146" s="43">
        <v>1.0</v>
      </c>
      <c r="E146" s="43">
        <v>1.0</v>
      </c>
      <c r="F146" s="43">
        <f>IFERROR(__xludf.DUMMYFUNCTION("""COMPUTED_VALUE"""),1.0)</f>
        <v>1</v>
      </c>
      <c r="G146" s="43" t="s">
        <v>125</v>
      </c>
      <c r="H146" s="43" t="s">
        <v>113</v>
      </c>
      <c r="I146" s="43" t="s">
        <v>115</v>
      </c>
      <c r="J146" s="47" t="s">
        <v>115</v>
      </c>
      <c r="K146" s="38">
        <v>0.0</v>
      </c>
      <c r="L146" s="38">
        <v>0.0</v>
      </c>
      <c r="M146" s="38" t="str">
        <f>IFERROR(__xludf.DUMMYFUNCTION("""COMPUTED_VALUE"""),"Critical Sparepart")</f>
        <v>Critical Sparepart</v>
      </c>
      <c r="N146" s="38">
        <v>36.0</v>
      </c>
      <c r="O146" s="40">
        <v>44690.0</v>
      </c>
      <c r="P146" s="38" t="s">
        <v>116</v>
      </c>
      <c r="Q146" s="42">
        <v>0.0</v>
      </c>
      <c r="R146" s="42">
        <v>0.0</v>
      </c>
      <c r="S146" s="38">
        <v>0.0</v>
      </c>
      <c r="T146" s="42">
        <v>0.0</v>
      </c>
      <c r="U146" s="42">
        <v>0.0</v>
      </c>
    </row>
    <row r="147">
      <c r="A147" s="43" t="s">
        <v>472</v>
      </c>
      <c r="B147" s="47" t="s">
        <v>473</v>
      </c>
      <c r="C147" s="43" t="s">
        <v>67</v>
      </c>
      <c r="D147" s="43">
        <v>1.0</v>
      </c>
      <c r="E147" s="43">
        <v>1.0</v>
      </c>
      <c r="F147" s="43">
        <f>IFERROR(__xludf.DUMMYFUNCTION("""COMPUTED_VALUE"""),2.0)</f>
        <v>2</v>
      </c>
      <c r="G147" s="43" t="s">
        <v>122</v>
      </c>
      <c r="H147" s="43" t="s">
        <v>113</v>
      </c>
      <c r="I147" s="43" t="s">
        <v>115</v>
      </c>
      <c r="J147" s="47" t="s">
        <v>115</v>
      </c>
      <c r="K147" s="38">
        <v>0.0</v>
      </c>
      <c r="L147" s="38">
        <v>0.0</v>
      </c>
      <c r="M147" s="38" t="str">
        <f>IFERROR(__xludf.DUMMYFUNCTION("""COMPUTED_VALUE"""),"Critical Sparepart")</f>
        <v>Critical Sparepart</v>
      </c>
      <c r="N147" s="38">
        <v>36.0</v>
      </c>
      <c r="O147" s="40">
        <v>44690.0</v>
      </c>
      <c r="P147" s="38" t="s">
        <v>116</v>
      </c>
      <c r="Q147" s="42">
        <v>1.0</v>
      </c>
      <c r="R147" s="42">
        <v>0.0</v>
      </c>
      <c r="S147" s="38">
        <v>0.0</v>
      </c>
      <c r="T147" s="42">
        <v>1.0</v>
      </c>
      <c r="U147" s="42">
        <v>1.0</v>
      </c>
    </row>
    <row r="148">
      <c r="A148" s="43" t="s">
        <v>474</v>
      </c>
      <c r="B148" s="47" t="s">
        <v>475</v>
      </c>
      <c r="C148" s="43" t="s">
        <v>67</v>
      </c>
      <c r="D148" s="43">
        <v>1.0</v>
      </c>
      <c r="E148" s="43">
        <v>2.0</v>
      </c>
      <c r="F148" s="43">
        <f>IFERROR(__xludf.DUMMYFUNCTION("""COMPUTED_VALUE"""),1.0)</f>
        <v>1</v>
      </c>
      <c r="G148" s="43" t="s">
        <v>125</v>
      </c>
      <c r="H148" s="43" t="s">
        <v>113</v>
      </c>
      <c r="I148" s="43" t="s">
        <v>115</v>
      </c>
      <c r="J148" s="47" t="s">
        <v>115</v>
      </c>
      <c r="K148" s="38">
        <v>0.0</v>
      </c>
      <c r="L148" s="38">
        <v>0.0</v>
      </c>
      <c r="M148" s="38" t="str">
        <f>IFERROR(__xludf.DUMMYFUNCTION("""COMPUTED_VALUE"""),"Critical Sparepart")</f>
        <v>Critical Sparepart</v>
      </c>
      <c r="N148" s="38">
        <v>36.0</v>
      </c>
      <c r="O148" s="40">
        <v>0.0</v>
      </c>
      <c r="P148" s="38" t="s">
        <v>116</v>
      </c>
      <c r="Q148" s="42">
        <v>0.0</v>
      </c>
      <c r="R148" s="42">
        <v>0.0</v>
      </c>
      <c r="S148" s="38">
        <v>0.0</v>
      </c>
      <c r="T148" s="42">
        <v>0.0</v>
      </c>
      <c r="U148" s="42">
        <v>0.0</v>
      </c>
    </row>
    <row r="149">
      <c r="A149" s="43" t="s">
        <v>476</v>
      </c>
      <c r="B149" s="47" t="s">
        <v>477</v>
      </c>
      <c r="C149" s="43" t="s">
        <v>67</v>
      </c>
      <c r="D149" s="43">
        <v>1.0</v>
      </c>
      <c r="E149" s="43">
        <v>2.0</v>
      </c>
      <c r="F149" s="43">
        <f>IFERROR(__xludf.DUMMYFUNCTION("""COMPUTED_VALUE"""),1.0)</f>
        <v>1</v>
      </c>
      <c r="G149" s="43" t="s">
        <v>125</v>
      </c>
      <c r="H149" s="43" t="s">
        <v>113</v>
      </c>
      <c r="I149" s="43" t="s">
        <v>115</v>
      </c>
      <c r="J149" s="47" t="s">
        <v>115</v>
      </c>
      <c r="K149" s="38">
        <v>0.0</v>
      </c>
      <c r="L149" s="38">
        <v>0.0</v>
      </c>
      <c r="M149" s="38" t="str">
        <f>IFERROR(__xludf.DUMMYFUNCTION("""COMPUTED_VALUE"""),"Critical Sparepart")</f>
        <v>Critical Sparepart</v>
      </c>
      <c r="N149" s="38">
        <v>36.0</v>
      </c>
      <c r="O149" s="40">
        <v>0.0</v>
      </c>
      <c r="P149" s="38" t="s">
        <v>116</v>
      </c>
      <c r="Q149" s="42">
        <v>0.0</v>
      </c>
      <c r="R149" s="42">
        <v>0.0</v>
      </c>
      <c r="S149" s="38">
        <v>0.0</v>
      </c>
      <c r="T149" s="42">
        <v>0.0</v>
      </c>
      <c r="U149" s="42">
        <v>0.0</v>
      </c>
    </row>
    <row r="150">
      <c r="A150" s="43" t="s">
        <v>478</v>
      </c>
      <c r="B150" s="47" t="s">
        <v>479</v>
      </c>
      <c r="C150" s="43" t="s">
        <v>67</v>
      </c>
      <c r="D150" s="43">
        <v>1.0</v>
      </c>
      <c r="E150" s="43">
        <v>2.0</v>
      </c>
      <c r="F150" s="43">
        <f>IFERROR(__xludf.DUMMYFUNCTION("""COMPUTED_VALUE"""),1.0)</f>
        <v>1</v>
      </c>
      <c r="G150" s="43" t="s">
        <v>125</v>
      </c>
      <c r="H150" s="43" t="s">
        <v>113</v>
      </c>
      <c r="I150" s="43" t="s">
        <v>115</v>
      </c>
      <c r="J150" s="47" t="s">
        <v>115</v>
      </c>
      <c r="K150" s="38">
        <v>1.0</v>
      </c>
      <c r="L150" s="38">
        <v>1.0</v>
      </c>
      <c r="M150" s="38" t="str">
        <f>IFERROR(__xludf.DUMMYFUNCTION("""COMPUTED_VALUE"""),"Critical Sparepart")</f>
        <v>Critical Sparepart</v>
      </c>
      <c r="N150" s="38">
        <v>36.0</v>
      </c>
      <c r="O150" s="40">
        <v>46171.0</v>
      </c>
      <c r="P150" s="38" t="s">
        <v>126</v>
      </c>
      <c r="Q150" s="42">
        <v>1.0</v>
      </c>
      <c r="R150" s="42">
        <v>0.2727272727272727</v>
      </c>
      <c r="S150" s="38">
        <v>0.0</v>
      </c>
      <c r="T150" s="42">
        <v>0.7818181818181817</v>
      </c>
      <c r="U150" s="42">
        <v>0.7818181818181817</v>
      </c>
    </row>
    <row r="151">
      <c r="A151" s="43" t="s">
        <v>481</v>
      </c>
      <c r="B151" s="47" t="s">
        <v>482</v>
      </c>
      <c r="C151" s="43" t="s">
        <v>67</v>
      </c>
      <c r="D151" s="43">
        <v>0.0</v>
      </c>
      <c r="E151" s="43">
        <v>1.0</v>
      </c>
      <c r="F151" s="43">
        <f>IFERROR(__xludf.DUMMYFUNCTION("""COMPUTED_VALUE"""),0.0)</f>
        <v>0</v>
      </c>
      <c r="G151" s="43" t="s">
        <v>125</v>
      </c>
      <c r="H151" s="43" t="s">
        <v>119</v>
      </c>
      <c r="I151" s="43" t="s">
        <v>119</v>
      </c>
      <c r="J151" s="47" t="s">
        <v>405</v>
      </c>
      <c r="K151" s="38">
        <v>0.0</v>
      </c>
      <c r="L151" s="38">
        <v>0.0</v>
      </c>
      <c r="M151" s="38" t="str">
        <f>IFERROR(__xludf.DUMMYFUNCTION("""COMPUTED_VALUE"""),"General Sparepart")</f>
        <v>General Sparepart</v>
      </c>
      <c r="N151" s="38">
        <v>24.0</v>
      </c>
      <c r="O151" s="40">
        <v>43280.0</v>
      </c>
      <c r="P151" s="38" t="s">
        <v>116</v>
      </c>
      <c r="Q151" s="42">
        <v>0.0</v>
      </c>
      <c r="R151" s="42">
        <v>0.0</v>
      </c>
      <c r="S151" s="38">
        <v>0.0</v>
      </c>
      <c r="T151" s="42">
        <v>0.0</v>
      </c>
      <c r="U151" s="42">
        <v>0.0</v>
      </c>
    </row>
    <row r="152">
      <c r="A152" s="43" t="s">
        <v>483</v>
      </c>
      <c r="B152" s="47" t="s">
        <v>484</v>
      </c>
      <c r="C152" s="43" t="s">
        <v>70</v>
      </c>
      <c r="D152" s="43">
        <v>1.0</v>
      </c>
      <c r="E152" s="43">
        <v>2.0</v>
      </c>
      <c r="F152" s="43">
        <f>IFERROR(__xludf.DUMMYFUNCTION("""COMPUTED_VALUE"""),2.0)</f>
        <v>2</v>
      </c>
      <c r="G152" s="43" t="s">
        <v>122</v>
      </c>
      <c r="H152" s="43" t="s">
        <v>113</v>
      </c>
      <c r="I152" s="43" t="s">
        <v>115</v>
      </c>
      <c r="J152" s="47">
        <v>1.2170349E8</v>
      </c>
      <c r="K152" s="38">
        <v>1.0</v>
      </c>
      <c r="L152" s="38">
        <v>2.0</v>
      </c>
      <c r="M152" s="38" t="str">
        <f>IFERROR(__xludf.DUMMYFUNCTION("""COMPUTED_VALUE"""),"Critical Sparepart")</f>
        <v>Critical Sparepart</v>
      </c>
      <c r="N152" s="38">
        <v>36.0</v>
      </c>
      <c r="O152" s="40">
        <v>45974.0</v>
      </c>
      <c r="P152" s="38" t="s">
        <v>126</v>
      </c>
      <c r="Q152" s="42">
        <v>2.0</v>
      </c>
      <c r="R152" s="42">
        <v>0.0</v>
      </c>
      <c r="S152" s="38">
        <v>2.0</v>
      </c>
      <c r="T152" s="42">
        <v>2.0</v>
      </c>
      <c r="U152" s="42">
        <v>2.0</v>
      </c>
    </row>
    <row r="153">
      <c r="A153" s="43" t="s">
        <v>485</v>
      </c>
      <c r="B153" s="47" t="s">
        <v>486</v>
      </c>
      <c r="C153" s="43" t="s">
        <v>70</v>
      </c>
      <c r="D153" s="43">
        <v>1.0</v>
      </c>
      <c r="E153" s="43">
        <v>2.0</v>
      </c>
      <c r="F153" s="43">
        <f>IFERROR(__xludf.DUMMYFUNCTION("""COMPUTED_VALUE"""),2.0)</f>
        <v>2</v>
      </c>
      <c r="G153" s="43" t="s">
        <v>122</v>
      </c>
      <c r="H153" s="43" t="s">
        <v>113</v>
      </c>
      <c r="I153" s="43" t="s">
        <v>115</v>
      </c>
      <c r="J153" s="47">
        <v>1.2170349E8</v>
      </c>
      <c r="K153" s="38">
        <v>1.0</v>
      </c>
      <c r="L153" s="38">
        <v>2.0</v>
      </c>
      <c r="M153" s="38" t="str">
        <f>IFERROR(__xludf.DUMMYFUNCTION("""COMPUTED_VALUE"""),"Critical Sparepart")</f>
        <v>Critical Sparepart</v>
      </c>
      <c r="N153" s="38">
        <v>36.0</v>
      </c>
      <c r="O153" s="40">
        <v>45974.0</v>
      </c>
      <c r="P153" s="38" t="s">
        <v>126</v>
      </c>
      <c r="Q153" s="42">
        <v>2.0</v>
      </c>
      <c r="R153" s="42">
        <v>0.0</v>
      </c>
      <c r="S153" s="38">
        <v>2.0</v>
      </c>
      <c r="T153" s="42">
        <v>2.0</v>
      </c>
      <c r="U153" s="42">
        <v>2.0</v>
      </c>
    </row>
    <row r="154">
      <c r="A154" s="43" t="s">
        <v>487</v>
      </c>
      <c r="B154" s="47" t="s">
        <v>488</v>
      </c>
      <c r="C154" s="43" t="s">
        <v>70</v>
      </c>
      <c r="D154" s="43">
        <v>1.0</v>
      </c>
      <c r="E154" s="43">
        <v>2.0</v>
      </c>
      <c r="F154" s="43">
        <f>IFERROR(__xludf.DUMMYFUNCTION("""COMPUTED_VALUE"""),1.0)</f>
        <v>1</v>
      </c>
      <c r="G154" s="43" t="s">
        <v>125</v>
      </c>
      <c r="H154" s="43" t="s">
        <v>113</v>
      </c>
      <c r="I154" s="43" t="s">
        <v>115</v>
      </c>
      <c r="J154" s="47">
        <v>1.2170351E8</v>
      </c>
      <c r="K154" s="38">
        <v>1.0</v>
      </c>
      <c r="L154" s="38">
        <v>1.0</v>
      </c>
      <c r="M154" s="38" t="str">
        <f>IFERROR(__xludf.DUMMYFUNCTION("""COMPUTED_VALUE"""),"Critical Sparepart")</f>
        <v>Critical Sparepart</v>
      </c>
      <c r="N154" s="38">
        <v>36.0</v>
      </c>
      <c r="O154" s="40">
        <v>45981.0</v>
      </c>
      <c r="P154" s="38" t="s">
        <v>126</v>
      </c>
      <c r="Q154" s="42">
        <v>1.0</v>
      </c>
      <c r="R154" s="42">
        <v>0.0</v>
      </c>
      <c r="S154" s="38">
        <v>1.0</v>
      </c>
      <c r="T154" s="42">
        <v>1.0</v>
      </c>
      <c r="U154" s="42">
        <v>1.0</v>
      </c>
    </row>
    <row r="155">
      <c r="A155" s="43" t="s">
        <v>489</v>
      </c>
      <c r="B155" s="47" t="s">
        <v>490</v>
      </c>
      <c r="C155" s="43" t="s">
        <v>70</v>
      </c>
      <c r="D155" s="43">
        <v>1.0</v>
      </c>
      <c r="E155" s="43">
        <v>1.0</v>
      </c>
      <c r="F155" s="43">
        <f>IFERROR(__xludf.DUMMYFUNCTION("""COMPUTED_VALUE"""),0.0)</f>
        <v>0</v>
      </c>
      <c r="G155" s="43" t="s">
        <v>112</v>
      </c>
      <c r="H155" s="43" t="s">
        <v>113</v>
      </c>
      <c r="I155" s="43" t="s">
        <v>115</v>
      </c>
      <c r="J155" s="47">
        <v>1.21703511E8</v>
      </c>
      <c r="K155" s="38">
        <v>0.0</v>
      </c>
      <c r="L155" s="38">
        <v>0.0</v>
      </c>
      <c r="M155" s="38" t="str">
        <f>IFERROR(__xludf.DUMMYFUNCTION("""COMPUTED_VALUE"""),"Critical Sparepart")</f>
        <v>Critical Sparepart</v>
      </c>
      <c r="N155" s="38">
        <v>36.0</v>
      </c>
      <c r="O155" s="40">
        <v>0.0</v>
      </c>
      <c r="P155" s="38" t="s">
        <v>116</v>
      </c>
      <c r="Q155" s="42">
        <v>0.0</v>
      </c>
      <c r="R155" s="42">
        <v>0.0</v>
      </c>
      <c r="S155" s="38">
        <v>0.0</v>
      </c>
      <c r="T155" s="42">
        <v>0.0</v>
      </c>
      <c r="U155" s="42">
        <v>0.0</v>
      </c>
    </row>
    <row r="156">
      <c r="A156" s="43" t="s">
        <v>491</v>
      </c>
      <c r="B156" s="47" t="s">
        <v>492</v>
      </c>
      <c r="C156" s="43" t="s">
        <v>70</v>
      </c>
      <c r="D156" s="43">
        <v>1.0</v>
      </c>
      <c r="E156" s="43">
        <v>2.0</v>
      </c>
      <c r="F156" s="43">
        <f>IFERROR(__xludf.DUMMYFUNCTION("""COMPUTED_VALUE"""),0.0)</f>
        <v>0</v>
      </c>
      <c r="G156" s="43" t="s">
        <v>112</v>
      </c>
      <c r="H156" s="43" t="s">
        <v>113</v>
      </c>
      <c r="I156" s="43" t="s">
        <v>115</v>
      </c>
      <c r="J156" s="47" t="s">
        <v>115</v>
      </c>
      <c r="K156" s="38">
        <v>0.0</v>
      </c>
      <c r="L156" s="38">
        <v>0.0</v>
      </c>
      <c r="M156" s="38" t="str">
        <f>IFERROR(__xludf.DUMMYFUNCTION("""COMPUTED_VALUE"""),"Critical Sparepart")</f>
        <v>Critical Sparepart</v>
      </c>
      <c r="N156" s="38">
        <v>36.0</v>
      </c>
      <c r="O156" s="40">
        <v>0.0</v>
      </c>
      <c r="P156" s="38" t="s">
        <v>116</v>
      </c>
      <c r="Q156" s="42">
        <v>0.0</v>
      </c>
      <c r="R156" s="42">
        <v>0.0</v>
      </c>
      <c r="S156" s="38">
        <v>0.0</v>
      </c>
      <c r="T156" s="42">
        <v>0.0</v>
      </c>
      <c r="U156" s="42">
        <v>0.0</v>
      </c>
    </row>
    <row r="157">
      <c r="A157" s="43" t="s">
        <v>493</v>
      </c>
      <c r="B157" s="47" t="s">
        <v>494</v>
      </c>
      <c r="C157" s="43" t="s">
        <v>70</v>
      </c>
      <c r="D157" s="43">
        <v>1.0</v>
      </c>
      <c r="E157" s="43">
        <v>2.0</v>
      </c>
      <c r="F157" s="43">
        <f>IFERROR(__xludf.DUMMYFUNCTION("""COMPUTED_VALUE"""),1.0)</f>
        <v>1</v>
      </c>
      <c r="G157" s="43" t="s">
        <v>125</v>
      </c>
      <c r="H157" s="43" t="s">
        <v>113</v>
      </c>
      <c r="I157" s="43" t="s">
        <v>115</v>
      </c>
      <c r="J157" s="47">
        <v>1.2170349E8</v>
      </c>
      <c r="K157" s="38">
        <v>1.0</v>
      </c>
      <c r="L157" s="38">
        <v>1.0</v>
      </c>
      <c r="M157" s="38" t="str">
        <f>IFERROR(__xludf.DUMMYFUNCTION("""COMPUTED_VALUE"""),"Critical Sparepart")</f>
        <v>Critical Sparepart</v>
      </c>
      <c r="N157" s="38">
        <v>36.0</v>
      </c>
      <c r="O157" s="40">
        <v>45974.0</v>
      </c>
      <c r="P157" s="38" t="s">
        <v>126</v>
      </c>
      <c r="Q157" s="42">
        <v>1.0</v>
      </c>
      <c r="R157" s="42">
        <v>0.0</v>
      </c>
      <c r="S157" s="38">
        <v>1.0</v>
      </c>
      <c r="T157" s="42">
        <v>1.0</v>
      </c>
      <c r="U157" s="42">
        <v>1.0</v>
      </c>
    </row>
    <row r="158">
      <c r="A158" s="43" t="s">
        <v>495</v>
      </c>
      <c r="B158" s="47" t="s">
        <v>496</v>
      </c>
      <c r="C158" s="43" t="s">
        <v>70</v>
      </c>
      <c r="D158" s="43">
        <v>1.0</v>
      </c>
      <c r="E158" s="43">
        <v>2.0</v>
      </c>
      <c r="F158" s="43">
        <f>IFERROR(__xludf.DUMMYFUNCTION("""COMPUTED_VALUE"""),0.0)</f>
        <v>0</v>
      </c>
      <c r="G158" s="43" t="s">
        <v>112</v>
      </c>
      <c r="H158" s="43" t="s">
        <v>113</v>
      </c>
      <c r="I158" s="43" t="s">
        <v>115</v>
      </c>
      <c r="J158" s="47">
        <v>1.21703511E8</v>
      </c>
      <c r="K158" s="38">
        <v>0.0</v>
      </c>
      <c r="L158" s="38">
        <v>0.0</v>
      </c>
      <c r="M158" s="38" t="str">
        <f>IFERROR(__xludf.DUMMYFUNCTION("""COMPUTED_VALUE"""),"Critical Sparepart")</f>
        <v>Critical Sparepart</v>
      </c>
      <c r="N158" s="38">
        <v>36.0</v>
      </c>
      <c r="O158" s="40">
        <v>0.0</v>
      </c>
      <c r="P158" s="38" t="s">
        <v>116</v>
      </c>
      <c r="Q158" s="42">
        <v>0.0</v>
      </c>
      <c r="R158" s="42">
        <v>0.0</v>
      </c>
      <c r="S158" s="38">
        <v>0.0</v>
      </c>
      <c r="T158" s="42">
        <v>0.0</v>
      </c>
      <c r="U158" s="42">
        <v>0.0</v>
      </c>
    </row>
    <row r="159">
      <c r="A159" s="43" t="s">
        <v>498</v>
      </c>
      <c r="B159" s="47" t="s">
        <v>499</v>
      </c>
      <c r="C159" s="43" t="s">
        <v>70</v>
      </c>
      <c r="D159" s="43">
        <v>1.0</v>
      </c>
      <c r="E159" s="43">
        <v>3.0</v>
      </c>
      <c r="F159" s="43">
        <f>IFERROR(__xludf.DUMMYFUNCTION("""COMPUTED_VALUE"""),3.0)</f>
        <v>3</v>
      </c>
      <c r="G159" s="43" t="s">
        <v>122</v>
      </c>
      <c r="H159" s="43" t="s">
        <v>113</v>
      </c>
      <c r="I159" s="43" t="s">
        <v>115</v>
      </c>
      <c r="J159" s="47" t="s">
        <v>115</v>
      </c>
      <c r="K159" s="38">
        <v>1.0</v>
      </c>
      <c r="L159" s="38">
        <v>4.0</v>
      </c>
      <c r="M159" s="38" t="str">
        <f>IFERROR(__xludf.DUMMYFUNCTION("""COMPUTED_VALUE"""),"General Sparepart")</f>
        <v>General Sparepart</v>
      </c>
      <c r="N159" s="38">
        <v>24.0</v>
      </c>
      <c r="O159" s="40">
        <v>45988.0</v>
      </c>
      <c r="P159" s="38" t="s">
        <v>126</v>
      </c>
      <c r="Q159" s="42">
        <v>4.0</v>
      </c>
      <c r="R159" s="42">
        <v>0.0</v>
      </c>
      <c r="S159" s="38">
        <v>3.0</v>
      </c>
      <c r="T159" s="42">
        <v>4.0</v>
      </c>
      <c r="U159" s="42">
        <v>4.0</v>
      </c>
    </row>
    <row r="160">
      <c r="A160" s="43" t="s">
        <v>500</v>
      </c>
      <c r="B160" s="47" t="s">
        <v>501</v>
      </c>
      <c r="C160" s="43" t="s">
        <v>70</v>
      </c>
      <c r="D160" s="43">
        <v>1.0</v>
      </c>
      <c r="E160" s="43">
        <v>2.0</v>
      </c>
      <c r="F160" s="43">
        <f>IFERROR(__xludf.DUMMYFUNCTION("""COMPUTED_VALUE"""),0.0)</f>
        <v>0</v>
      </c>
      <c r="G160" s="43" t="s">
        <v>112</v>
      </c>
      <c r="H160" s="43" t="s">
        <v>119</v>
      </c>
      <c r="I160" s="43" t="s">
        <v>141</v>
      </c>
      <c r="J160" s="47" t="s">
        <v>502</v>
      </c>
      <c r="K160" s="38">
        <v>0.0</v>
      </c>
      <c r="L160" s="38">
        <v>0.0</v>
      </c>
      <c r="M160" s="38" t="str">
        <f>IFERROR(__xludf.DUMMYFUNCTION("""COMPUTED_VALUE"""),"Critical Sparepart")</f>
        <v>Critical Sparepart</v>
      </c>
      <c r="N160" s="38">
        <v>36.0</v>
      </c>
      <c r="O160" s="40">
        <v>0.0</v>
      </c>
      <c r="P160" s="38" t="s">
        <v>116</v>
      </c>
      <c r="Q160" s="42">
        <v>0.0</v>
      </c>
      <c r="R160" s="42">
        <v>0.0</v>
      </c>
      <c r="S160" s="38">
        <v>0.0</v>
      </c>
      <c r="T160" s="42">
        <v>0.0</v>
      </c>
      <c r="U160" s="42">
        <v>0.0</v>
      </c>
    </row>
    <row r="161">
      <c r="A161" s="43" t="s">
        <v>503</v>
      </c>
      <c r="B161" s="47" t="s">
        <v>504</v>
      </c>
      <c r="C161" s="43" t="s">
        <v>70</v>
      </c>
      <c r="D161" s="43">
        <v>1.0</v>
      </c>
      <c r="E161" s="43">
        <v>2.0</v>
      </c>
      <c r="F161" s="43">
        <f>IFERROR(__xludf.DUMMYFUNCTION("""COMPUTED_VALUE"""),1.0)</f>
        <v>1</v>
      </c>
      <c r="G161" s="43" t="s">
        <v>125</v>
      </c>
      <c r="H161" s="43" t="s">
        <v>113</v>
      </c>
      <c r="I161" s="43" t="s">
        <v>115</v>
      </c>
      <c r="J161" s="47" t="s">
        <v>115</v>
      </c>
      <c r="K161" s="38">
        <v>0.0</v>
      </c>
      <c r="L161" s="38">
        <v>0.0</v>
      </c>
      <c r="M161" s="38" t="str">
        <f>IFERROR(__xludf.DUMMYFUNCTION("""COMPUTED_VALUE"""),"Critical Sparepart")</f>
        <v>Critical Sparepart</v>
      </c>
      <c r="N161" s="38">
        <v>36.0</v>
      </c>
      <c r="O161" s="40">
        <v>43678.0</v>
      </c>
      <c r="P161" s="38" t="s">
        <v>116</v>
      </c>
      <c r="Q161" s="42">
        <v>0.0</v>
      </c>
      <c r="R161" s="42">
        <v>0.0</v>
      </c>
      <c r="S161" s="38">
        <v>0.0</v>
      </c>
      <c r="T161" s="42">
        <v>0.0</v>
      </c>
      <c r="U161" s="42">
        <v>0.0</v>
      </c>
    </row>
    <row r="162">
      <c r="A162" s="43" t="s">
        <v>505</v>
      </c>
      <c r="B162" s="47" t="s">
        <v>506</v>
      </c>
      <c r="C162" s="43" t="s">
        <v>70</v>
      </c>
      <c r="D162" s="43">
        <v>1.0</v>
      </c>
      <c r="E162" s="43">
        <v>1.0</v>
      </c>
      <c r="F162" s="43">
        <f>IFERROR(__xludf.DUMMYFUNCTION("""COMPUTED_VALUE"""),1.0)</f>
        <v>1</v>
      </c>
      <c r="G162" s="43" t="s">
        <v>125</v>
      </c>
      <c r="H162" s="43" t="s">
        <v>113</v>
      </c>
      <c r="I162" s="43" t="s">
        <v>115</v>
      </c>
      <c r="J162" s="47">
        <v>1.21703441E8</v>
      </c>
      <c r="K162" s="38">
        <v>1.0</v>
      </c>
      <c r="L162" s="38">
        <v>1.0</v>
      </c>
      <c r="M162" s="38" t="str">
        <f>IFERROR(__xludf.DUMMYFUNCTION("""COMPUTED_VALUE"""),"General Sparepart")</f>
        <v>General Sparepart</v>
      </c>
      <c r="N162" s="38">
        <v>24.0</v>
      </c>
      <c r="O162" s="40">
        <v>45960.0</v>
      </c>
      <c r="P162" s="38" t="s">
        <v>126</v>
      </c>
      <c r="Q162" s="42">
        <v>1.0</v>
      </c>
      <c r="R162" s="42">
        <v>0.0</v>
      </c>
      <c r="S162" s="38">
        <v>1.0</v>
      </c>
      <c r="T162" s="42">
        <v>1.0</v>
      </c>
      <c r="U162" s="42">
        <v>1.0</v>
      </c>
    </row>
    <row r="163">
      <c r="A163" s="43" t="s">
        <v>507</v>
      </c>
      <c r="B163" s="47" t="s">
        <v>508</v>
      </c>
      <c r="C163" s="43" t="s">
        <v>70</v>
      </c>
      <c r="D163" s="43">
        <v>1.0</v>
      </c>
      <c r="E163" s="43">
        <v>2.0</v>
      </c>
      <c r="F163" s="43">
        <f>IFERROR(__xludf.DUMMYFUNCTION("""COMPUTED_VALUE"""),0.0)</f>
        <v>0</v>
      </c>
      <c r="G163" s="43" t="s">
        <v>112</v>
      </c>
      <c r="H163" s="43" t="s">
        <v>119</v>
      </c>
      <c r="I163" s="43" t="s">
        <v>141</v>
      </c>
      <c r="J163" s="47" t="s">
        <v>509</v>
      </c>
      <c r="K163" s="38">
        <v>0.0</v>
      </c>
      <c r="L163" s="38">
        <v>0.0</v>
      </c>
      <c r="M163" s="38" t="str">
        <f>IFERROR(__xludf.DUMMYFUNCTION("""COMPUTED_VALUE"""),"Critical Sparepart")</f>
        <v>Critical Sparepart</v>
      </c>
      <c r="N163" s="38">
        <v>36.0</v>
      </c>
      <c r="O163" s="40">
        <v>0.0</v>
      </c>
      <c r="P163" s="38" t="s">
        <v>116</v>
      </c>
      <c r="Q163" s="42">
        <v>0.0</v>
      </c>
      <c r="R163" s="42">
        <v>0.0</v>
      </c>
      <c r="S163" s="38">
        <v>0.0</v>
      </c>
      <c r="T163" s="42">
        <v>0.0</v>
      </c>
      <c r="U163" s="42">
        <v>0.0</v>
      </c>
    </row>
    <row r="164">
      <c r="A164" s="43" t="s">
        <v>510</v>
      </c>
      <c r="B164" s="47" t="s">
        <v>511</v>
      </c>
      <c r="C164" s="43" t="s">
        <v>70</v>
      </c>
      <c r="D164" s="43">
        <v>1.0</v>
      </c>
      <c r="E164" s="43">
        <v>2.0</v>
      </c>
      <c r="F164" s="43">
        <f>IFERROR(__xludf.DUMMYFUNCTION("""COMPUTED_VALUE"""),0.0)</f>
        <v>0</v>
      </c>
      <c r="G164" s="43" t="s">
        <v>112</v>
      </c>
      <c r="H164" s="43" t="s">
        <v>119</v>
      </c>
      <c r="I164" s="43" t="s">
        <v>141</v>
      </c>
      <c r="J164" s="47" t="s">
        <v>512</v>
      </c>
      <c r="K164" s="38">
        <v>0.0</v>
      </c>
      <c r="L164" s="38">
        <v>0.0</v>
      </c>
      <c r="M164" s="38" t="str">
        <f>IFERROR(__xludf.DUMMYFUNCTION("""COMPUTED_VALUE"""),"Critical Sparepart")</f>
        <v>Critical Sparepart</v>
      </c>
      <c r="N164" s="38">
        <v>36.0</v>
      </c>
      <c r="O164" s="40">
        <v>0.0</v>
      </c>
      <c r="P164" s="38" t="s">
        <v>116</v>
      </c>
      <c r="Q164" s="42">
        <v>0.0</v>
      </c>
      <c r="R164" s="42">
        <v>0.0</v>
      </c>
      <c r="S164" s="38">
        <v>0.0</v>
      </c>
      <c r="T164" s="42">
        <v>0.0</v>
      </c>
      <c r="U164" s="42">
        <v>0.0</v>
      </c>
    </row>
    <row r="165">
      <c r="A165" s="43" t="s">
        <v>513</v>
      </c>
      <c r="B165" s="47" t="s">
        <v>514</v>
      </c>
      <c r="C165" s="43" t="s">
        <v>70</v>
      </c>
      <c r="D165" s="43">
        <v>1.0</v>
      </c>
      <c r="E165" s="43">
        <v>2.0</v>
      </c>
      <c r="F165" s="43">
        <f>IFERROR(__xludf.DUMMYFUNCTION("""COMPUTED_VALUE"""),0.0)</f>
        <v>0</v>
      </c>
      <c r="G165" s="43" t="s">
        <v>112</v>
      </c>
      <c r="H165" s="43" t="s">
        <v>119</v>
      </c>
      <c r="I165" s="43" t="s">
        <v>141</v>
      </c>
      <c r="J165" s="47" t="s">
        <v>515</v>
      </c>
      <c r="K165" s="38">
        <v>0.0</v>
      </c>
      <c r="L165" s="38">
        <v>0.0</v>
      </c>
      <c r="M165" s="38" t="str">
        <f>IFERROR(__xludf.DUMMYFUNCTION("""COMPUTED_VALUE"""),"Critical Sparepart")</f>
        <v>Critical Sparepart</v>
      </c>
      <c r="N165" s="38">
        <v>36.0</v>
      </c>
      <c r="O165" s="40">
        <v>0.0</v>
      </c>
      <c r="P165" s="38" t="s">
        <v>116</v>
      </c>
      <c r="Q165" s="42">
        <v>0.0</v>
      </c>
      <c r="R165" s="42">
        <v>0.0</v>
      </c>
      <c r="S165" s="38">
        <v>0.0</v>
      </c>
      <c r="T165" s="42">
        <v>0.0</v>
      </c>
      <c r="U165" s="42">
        <v>0.0</v>
      </c>
    </row>
    <row r="166">
      <c r="A166" s="43" t="s">
        <v>516</v>
      </c>
      <c r="B166" s="47" t="s">
        <v>517</v>
      </c>
      <c r="C166" s="43" t="s">
        <v>70</v>
      </c>
      <c r="D166" s="43">
        <v>0.0</v>
      </c>
      <c r="E166" s="43">
        <v>1.0</v>
      </c>
      <c r="F166" s="43">
        <f>IFERROR(__xludf.DUMMYFUNCTION("""COMPUTED_VALUE"""),0.0)</f>
        <v>0</v>
      </c>
      <c r="G166" s="43" t="s">
        <v>125</v>
      </c>
      <c r="H166" s="43" t="s">
        <v>119</v>
      </c>
      <c r="I166" s="43" t="s">
        <v>141</v>
      </c>
      <c r="J166" s="47" t="s">
        <v>518</v>
      </c>
      <c r="K166" s="38">
        <v>0.0</v>
      </c>
      <c r="L166" s="38">
        <v>0.0</v>
      </c>
      <c r="M166" s="38" t="str">
        <f>IFERROR(__xludf.DUMMYFUNCTION("""COMPUTED_VALUE"""),"Critical Sparepart")</f>
        <v>Critical Sparepart</v>
      </c>
      <c r="N166" s="38">
        <v>36.0</v>
      </c>
      <c r="O166" s="40">
        <v>0.0</v>
      </c>
      <c r="P166" s="38" t="s">
        <v>116</v>
      </c>
      <c r="Q166" s="42">
        <v>0.0</v>
      </c>
      <c r="R166" s="42">
        <v>0.0</v>
      </c>
      <c r="S166" s="38">
        <v>0.0</v>
      </c>
      <c r="T166" s="42">
        <v>0.0</v>
      </c>
      <c r="U166" s="42">
        <v>0.0</v>
      </c>
    </row>
    <row r="167">
      <c r="A167" s="43" t="s">
        <v>519</v>
      </c>
      <c r="B167" s="47" t="s">
        <v>520</v>
      </c>
      <c r="C167" s="43" t="s">
        <v>70</v>
      </c>
      <c r="D167" s="43">
        <v>1.0</v>
      </c>
      <c r="E167" s="43">
        <v>2.0</v>
      </c>
      <c r="F167" s="43">
        <f>IFERROR(__xludf.DUMMYFUNCTION("""COMPUTED_VALUE"""),1.0)</f>
        <v>1</v>
      </c>
      <c r="G167" s="43" t="s">
        <v>125</v>
      </c>
      <c r="H167" s="43" t="s">
        <v>113</v>
      </c>
      <c r="I167" s="43" t="s">
        <v>115</v>
      </c>
      <c r="J167" s="47" t="s">
        <v>115</v>
      </c>
      <c r="K167" s="38">
        <v>0.0</v>
      </c>
      <c r="L167" s="38">
        <v>0.0</v>
      </c>
      <c r="M167" s="38" t="str">
        <f>IFERROR(__xludf.DUMMYFUNCTION("""COMPUTED_VALUE"""),"Critical Sparepart")</f>
        <v>Critical Sparepart</v>
      </c>
      <c r="N167" s="38">
        <v>36.0</v>
      </c>
      <c r="O167" s="40">
        <v>0.0</v>
      </c>
      <c r="P167" s="38" t="s">
        <v>116</v>
      </c>
      <c r="Q167" s="42">
        <v>0.0</v>
      </c>
      <c r="R167" s="42">
        <v>0.0</v>
      </c>
      <c r="S167" s="38">
        <v>0.0</v>
      </c>
      <c r="T167" s="42">
        <v>0.0</v>
      </c>
      <c r="U167" s="42">
        <v>0.0</v>
      </c>
    </row>
    <row r="168">
      <c r="A168" s="43" t="s">
        <v>521</v>
      </c>
      <c r="B168" s="47" t="s">
        <v>522</v>
      </c>
      <c r="C168" s="43" t="s">
        <v>70</v>
      </c>
      <c r="D168" s="43">
        <v>1.0</v>
      </c>
      <c r="E168" s="43">
        <v>1.0</v>
      </c>
      <c r="F168" s="43">
        <f>IFERROR(__xludf.DUMMYFUNCTION("""COMPUTED_VALUE"""),1.0)</f>
        <v>1</v>
      </c>
      <c r="G168" s="43" t="s">
        <v>125</v>
      </c>
      <c r="H168" s="43" t="s">
        <v>113</v>
      </c>
      <c r="I168" s="43" t="s">
        <v>115</v>
      </c>
      <c r="J168" s="47" t="s">
        <v>115</v>
      </c>
      <c r="K168" s="38">
        <v>1.0</v>
      </c>
      <c r="L168" s="38">
        <v>1.0</v>
      </c>
      <c r="M168" s="38" t="str">
        <f>IFERROR(__xludf.DUMMYFUNCTION("""COMPUTED_VALUE"""),"General Sparepart")</f>
        <v>General Sparepart</v>
      </c>
      <c r="N168" s="38">
        <v>24.0</v>
      </c>
      <c r="O168" s="40">
        <v>46083.0</v>
      </c>
      <c r="P168" s="38" t="s">
        <v>126</v>
      </c>
      <c r="Q168" s="42">
        <v>1.0</v>
      </c>
      <c r="R168" s="42">
        <v>0.2727272727272727</v>
      </c>
      <c r="S168" s="38">
        <v>1.0</v>
      </c>
      <c r="T168" s="42">
        <v>0.7818181818181817</v>
      </c>
      <c r="U168" s="46">
        <v>1.0</v>
      </c>
    </row>
    <row r="169">
      <c r="A169" s="43" t="s">
        <v>523</v>
      </c>
      <c r="B169" s="47" t="s">
        <v>524</v>
      </c>
      <c r="C169" s="43" t="s">
        <v>70</v>
      </c>
      <c r="D169" s="43">
        <v>1.0</v>
      </c>
      <c r="E169" s="43">
        <v>1.0</v>
      </c>
      <c r="F169" s="43">
        <f>IFERROR(__xludf.DUMMYFUNCTION("""COMPUTED_VALUE"""),1.0)</f>
        <v>1</v>
      </c>
      <c r="G169" s="43" t="s">
        <v>125</v>
      </c>
      <c r="H169" s="43" t="s">
        <v>113</v>
      </c>
      <c r="I169" s="43" t="s">
        <v>115</v>
      </c>
      <c r="J169" s="47" t="s">
        <v>115</v>
      </c>
      <c r="K169" s="38">
        <v>1.0</v>
      </c>
      <c r="L169" s="38">
        <v>1.0</v>
      </c>
      <c r="M169" s="38" t="str">
        <f>IFERROR(__xludf.DUMMYFUNCTION("""COMPUTED_VALUE"""),"General Sparepart")</f>
        <v>General Sparepart</v>
      </c>
      <c r="N169" s="38">
        <v>24.0</v>
      </c>
      <c r="O169" s="40">
        <v>46083.0</v>
      </c>
      <c r="P169" s="38" t="s">
        <v>126</v>
      </c>
      <c r="Q169" s="42">
        <v>1.0</v>
      </c>
      <c r="R169" s="42">
        <v>0.2727272727272727</v>
      </c>
      <c r="S169" s="38">
        <v>1.0</v>
      </c>
      <c r="T169" s="42">
        <v>0.7818181818181817</v>
      </c>
      <c r="U169" s="46">
        <v>1.0</v>
      </c>
    </row>
    <row r="170">
      <c r="A170" s="43" t="s">
        <v>526</v>
      </c>
      <c r="B170" s="47" t="s">
        <v>527</v>
      </c>
      <c r="C170" s="43" t="s">
        <v>71</v>
      </c>
      <c r="D170" s="43">
        <v>5.0</v>
      </c>
      <c r="E170" s="43">
        <v>10.0</v>
      </c>
      <c r="F170" s="43">
        <f>IFERROR(__xludf.DUMMYFUNCTION("""COMPUTED_VALUE"""),0.0)</f>
        <v>0</v>
      </c>
      <c r="G170" s="43" t="s">
        <v>112</v>
      </c>
      <c r="H170" s="43" t="s">
        <v>119</v>
      </c>
      <c r="I170" s="43" t="s">
        <v>119</v>
      </c>
      <c r="J170" s="47" t="s">
        <v>115</v>
      </c>
      <c r="K170" s="38">
        <v>0.0</v>
      </c>
      <c r="L170" s="38">
        <v>0.0</v>
      </c>
      <c r="M170" s="38" t="str">
        <f>IFERROR(__xludf.DUMMYFUNCTION("""COMPUTED_VALUE"""),"Fast Moving / Consumable")</f>
        <v>Fast Moving / Consumable</v>
      </c>
      <c r="N170" s="38">
        <v>18.0</v>
      </c>
      <c r="O170" s="40">
        <v>0.0</v>
      </c>
      <c r="P170" s="38" t="s">
        <v>116</v>
      </c>
      <c r="Q170" s="42">
        <v>0.0</v>
      </c>
      <c r="R170" s="42">
        <v>0.0</v>
      </c>
      <c r="S170" s="38">
        <v>0.0</v>
      </c>
      <c r="T170" s="42">
        <v>0.0</v>
      </c>
      <c r="U170" s="42">
        <v>0.0</v>
      </c>
    </row>
    <row r="171">
      <c r="A171" s="43" t="s">
        <v>528</v>
      </c>
      <c r="B171" s="47" t="s">
        <v>529</v>
      </c>
      <c r="C171" s="43" t="s">
        <v>71</v>
      </c>
      <c r="D171" s="43">
        <v>10.0</v>
      </c>
      <c r="E171" s="43">
        <v>20.0</v>
      </c>
      <c r="F171" s="43">
        <f>IFERROR(__xludf.DUMMYFUNCTION("""COMPUTED_VALUE"""),10.0)</f>
        <v>10</v>
      </c>
      <c r="G171" s="43" t="s">
        <v>125</v>
      </c>
      <c r="H171" s="43" t="s">
        <v>113</v>
      </c>
      <c r="I171" s="43" t="s">
        <v>115</v>
      </c>
      <c r="J171" s="47" t="s">
        <v>115</v>
      </c>
      <c r="K171" s="38">
        <v>1.0</v>
      </c>
      <c r="L171" s="38">
        <v>8.0</v>
      </c>
      <c r="M171" s="38" t="str">
        <f>IFERROR(__xludf.DUMMYFUNCTION("""COMPUTED_VALUE"""),"Fast Moving / Consumable")</f>
        <v>Fast Moving / Consumable</v>
      </c>
      <c r="N171" s="38">
        <v>18.0</v>
      </c>
      <c r="O171" s="40">
        <v>45707.0</v>
      </c>
      <c r="P171" s="38" t="s">
        <v>126</v>
      </c>
      <c r="Q171" s="42">
        <v>9.0</v>
      </c>
      <c r="R171" s="42">
        <v>2.727272727272727</v>
      </c>
      <c r="S171" s="38">
        <v>0.0</v>
      </c>
      <c r="T171" s="42">
        <v>7.118181818181818</v>
      </c>
      <c r="U171" s="42">
        <v>7.118181818181818</v>
      </c>
    </row>
    <row r="172">
      <c r="A172" s="43" t="s">
        <v>530</v>
      </c>
      <c r="B172" s="47" t="s">
        <v>531</v>
      </c>
      <c r="C172" s="43" t="s">
        <v>71</v>
      </c>
      <c r="D172" s="43">
        <v>1.0</v>
      </c>
      <c r="E172" s="43">
        <v>2.0</v>
      </c>
      <c r="F172" s="43">
        <f>IFERROR(__xludf.DUMMYFUNCTION("""COMPUTED_VALUE"""),0.0)</f>
        <v>0</v>
      </c>
      <c r="G172" s="43" t="s">
        <v>112</v>
      </c>
      <c r="H172" s="43" t="s">
        <v>119</v>
      </c>
      <c r="I172" s="43" t="s">
        <v>141</v>
      </c>
      <c r="J172" s="47" t="s">
        <v>532</v>
      </c>
      <c r="K172" s="38">
        <v>0.0</v>
      </c>
      <c r="L172" s="38">
        <v>0.0</v>
      </c>
      <c r="M172" s="38" t="str">
        <f>IFERROR(__xludf.DUMMYFUNCTION("""COMPUTED_VALUE"""),"Critical Sparepart")</f>
        <v>Critical Sparepart</v>
      </c>
      <c r="N172" s="38">
        <v>36.0</v>
      </c>
      <c r="O172" s="40">
        <v>0.0</v>
      </c>
      <c r="P172" s="38" t="s">
        <v>116</v>
      </c>
      <c r="Q172" s="42">
        <v>0.0</v>
      </c>
      <c r="R172" s="42">
        <v>0.0</v>
      </c>
      <c r="S172" s="38">
        <v>0.0</v>
      </c>
      <c r="T172" s="42">
        <v>0.0</v>
      </c>
      <c r="U172" s="42">
        <v>0.0</v>
      </c>
    </row>
    <row r="173">
      <c r="A173" s="43" t="s">
        <v>533</v>
      </c>
      <c r="B173" s="47" t="s">
        <v>534</v>
      </c>
      <c r="C173" s="43" t="s">
        <v>71</v>
      </c>
      <c r="D173" s="43">
        <v>0.0</v>
      </c>
      <c r="E173" s="43">
        <v>1.0</v>
      </c>
      <c r="F173" s="43">
        <f>IFERROR(__xludf.DUMMYFUNCTION("""COMPUTED_VALUE"""),0.0)</f>
        <v>0</v>
      </c>
      <c r="G173" s="43" t="s">
        <v>125</v>
      </c>
      <c r="H173" s="43" t="s">
        <v>119</v>
      </c>
      <c r="I173" s="43" t="s">
        <v>119</v>
      </c>
      <c r="J173" s="47" t="s">
        <v>266</v>
      </c>
      <c r="K173" s="38">
        <v>0.0</v>
      </c>
      <c r="L173" s="38">
        <v>0.0</v>
      </c>
      <c r="M173" s="38" t="str">
        <f>IFERROR(__xludf.DUMMYFUNCTION("""COMPUTED_VALUE"""),"Critical Sparepart")</f>
        <v>Critical Sparepart</v>
      </c>
      <c r="N173" s="38">
        <v>36.0</v>
      </c>
      <c r="O173" s="40">
        <v>0.0</v>
      </c>
      <c r="P173" s="38" t="s">
        <v>116</v>
      </c>
      <c r="Q173" s="42">
        <v>0.0</v>
      </c>
      <c r="R173" s="42">
        <v>0.0</v>
      </c>
      <c r="S173" s="38">
        <v>0.0</v>
      </c>
      <c r="T173" s="42">
        <v>0.0</v>
      </c>
      <c r="U173" s="42">
        <v>0.0</v>
      </c>
    </row>
    <row r="174">
      <c r="A174" s="43" t="s">
        <v>535</v>
      </c>
      <c r="B174" s="47" t="s">
        <v>536</v>
      </c>
      <c r="C174" s="43" t="s">
        <v>71</v>
      </c>
      <c r="D174" s="43">
        <v>10.0</v>
      </c>
      <c r="E174" s="43">
        <v>30.0</v>
      </c>
      <c r="F174" s="43">
        <f>IFERROR(__xludf.DUMMYFUNCTION("""COMPUTED_VALUE"""),16.0)</f>
        <v>16</v>
      </c>
      <c r="G174" s="43" t="s">
        <v>122</v>
      </c>
      <c r="H174" s="43" t="s">
        <v>113</v>
      </c>
      <c r="I174" s="43" t="s">
        <v>115</v>
      </c>
      <c r="J174" s="47" t="s">
        <v>115</v>
      </c>
      <c r="K174" s="38">
        <v>2.0</v>
      </c>
      <c r="L174" s="38">
        <v>17.0</v>
      </c>
      <c r="M174" s="38" t="str">
        <f>IFERROR(__xludf.DUMMYFUNCTION("""COMPUTED_VALUE"""),"Fast Moving / Consumable")</f>
        <v>Fast Moving / Consumable</v>
      </c>
      <c r="N174" s="38">
        <v>18.0</v>
      </c>
      <c r="O174" s="40">
        <v>46234.0</v>
      </c>
      <c r="P174" s="38" t="s">
        <v>126</v>
      </c>
      <c r="Q174" s="42">
        <v>18.0</v>
      </c>
      <c r="R174" s="42">
        <v>13.636363636363637</v>
      </c>
      <c r="S174" s="38">
        <v>0.0</v>
      </c>
      <c r="T174" s="42">
        <v>16.69090909090909</v>
      </c>
      <c r="U174" s="42">
        <v>16.69090909090909</v>
      </c>
    </row>
    <row r="175">
      <c r="A175" s="43" t="s">
        <v>537</v>
      </c>
      <c r="B175" s="47" t="s">
        <v>538</v>
      </c>
      <c r="C175" s="43" t="s">
        <v>71</v>
      </c>
      <c r="D175" s="43">
        <v>0.0</v>
      </c>
      <c r="E175" s="43">
        <v>1.0</v>
      </c>
      <c r="F175" s="43">
        <f>IFERROR(__xludf.DUMMYFUNCTION("""COMPUTED_VALUE"""),1.0)</f>
        <v>1</v>
      </c>
      <c r="G175" s="43" t="s">
        <v>122</v>
      </c>
      <c r="H175" s="43" t="s">
        <v>113</v>
      </c>
      <c r="I175" s="43" t="s">
        <v>115</v>
      </c>
      <c r="J175" s="47" t="s">
        <v>266</v>
      </c>
      <c r="K175" s="38">
        <v>0.0</v>
      </c>
      <c r="L175" s="38">
        <v>0.0</v>
      </c>
      <c r="M175" s="38" t="str">
        <f>IFERROR(__xludf.DUMMYFUNCTION("""COMPUTED_VALUE"""),"Critical Sparepart")</f>
        <v>Critical Sparepart</v>
      </c>
      <c r="N175" s="38">
        <v>36.0</v>
      </c>
      <c r="O175" s="40">
        <v>45707.0</v>
      </c>
      <c r="P175" s="38" t="s">
        <v>126</v>
      </c>
      <c r="Q175" s="42">
        <v>0.0</v>
      </c>
      <c r="R175" s="42">
        <v>0.0</v>
      </c>
      <c r="S175" s="38">
        <v>0.0</v>
      </c>
      <c r="T175" s="42">
        <v>0.0</v>
      </c>
      <c r="U175" s="42">
        <v>0.0</v>
      </c>
    </row>
    <row r="176">
      <c r="A176" s="43" t="s">
        <v>539</v>
      </c>
      <c r="B176" s="47" t="s">
        <v>540</v>
      </c>
      <c r="C176" s="43" t="s">
        <v>71</v>
      </c>
      <c r="D176" s="43">
        <v>1.0</v>
      </c>
      <c r="E176" s="43">
        <v>2.0</v>
      </c>
      <c r="F176" s="43">
        <f>IFERROR(__xludf.DUMMYFUNCTION("""COMPUTED_VALUE"""),40.0)</f>
        <v>40</v>
      </c>
      <c r="G176" s="43" t="s">
        <v>122</v>
      </c>
      <c r="H176" s="43" t="s">
        <v>113</v>
      </c>
      <c r="I176" s="43" t="s">
        <v>115</v>
      </c>
      <c r="J176" s="47" t="s">
        <v>115</v>
      </c>
      <c r="K176" s="38">
        <v>0.0</v>
      </c>
      <c r="L176" s="38">
        <v>0.0</v>
      </c>
      <c r="M176" s="38" t="str">
        <f>IFERROR(__xludf.DUMMYFUNCTION("""COMPUTED_VALUE"""),"Fast Moving / Consumable")</f>
        <v>Fast Moving / Consumable</v>
      </c>
      <c r="N176" s="38">
        <v>18.0</v>
      </c>
      <c r="O176" s="40">
        <v>45553.0</v>
      </c>
      <c r="P176" s="38" t="s">
        <v>116</v>
      </c>
      <c r="Q176" s="42">
        <v>1.0</v>
      </c>
      <c r="R176" s="42">
        <v>5.454545454545454</v>
      </c>
      <c r="S176" s="38">
        <v>0.0</v>
      </c>
      <c r="T176" s="42">
        <v>2.336363636363636</v>
      </c>
      <c r="U176" s="42">
        <v>2.336363636363636</v>
      </c>
    </row>
    <row r="177">
      <c r="A177" s="43" t="s">
        <v>541</v>
      </c>
      <c r="B177" s="47" t="s">
        <v>542</v>
      </c>
      <c r="C177" s="43" t="s">
        <v>71</v>
      </c>
      <c r="D177" s="43">
        <v>0.0</v>
      </c>
      <c r="E177" s="43">
        <v>1.0</v>
      </c>
      <c r="F177" s="43">
        <f>IFERROR(__xludf.DUMMYFUNCTION("""COMPUTED_VALUE"""),0.0)</f>
        <v>0</v>
      </c>
      <c r="G177" s="43" t="s">
        <v>125</v>
      </c>
      <c r="H177" s="43" t="s">
        <v>113</v>
      </c>
      <c r="I177" s="43" t="s">
        <v>115</v>
      </c>
      <c r="J177" s="47" t="s">
        <v>266</v>
      </c>
      <c r="K177" s="38">
        <v>1.0</v>
      </c>
      <c r="L177" s="38">
        <v>1.0</v>
      </c>
      <c r="M177" s="38" t="str">
        <f>IFERROR(__xludf.DUMMYFUNCTION("""COMPUTED_VALUE"""),"Critical Sparepart")</f>
        <v>Critical Sparepart</v>
      </c>
      <c r="N177" s="38">
        <v>36.0</v>
      </c>
      <c r="O177" s="40">
        <v>45308.0</v>
      </c>
      <c r="P177" s="38" t="s">
        <v>126</v>
      </c>
      <c r="Q177" s="42">
        <v>0.0</v>
      </c>
      <c r="R177" s="42">
        <v>0.2727272727272727</v>
      </c>
      <c r="S177" s="38">
        <v>0.0</v>
      </c>
      <c r="T177" s="42">
        <v>0.0818181818181818</v>
      </c>
      <c r="U177" s="42">
        <v>0.0818181818181818</v>
      </c>
    </row>
    <row r="178">
      <c r="A178" s="43" t="s">
        <v>543</v>
      </c>
      <c r="B178" s="47" t="s">
        <v>544</v>
      </c>
      <c r="C178" s="43" t="s">
        <v>71</v>
      </c>
      <c r="D178" s="43">
        <v>0.0</v>
      </c>
      <c r="E178" s="43">
        <v>1.0</v>
      </c>
      <c r="F178" s="43">
        <f>IFERROR(__xludf.DUMMYFUNCTION("""COMPUTED_VALUE"""),1.0)</f>
        <v>1</v>
      </c>
      <c r="G178" s="43" t="s">
        <v>122</v>
      </c>
      <c r="H178" s="43" t="s">
        <v>113</v>
      </c>
      <c r="I178" s="43" t="s">
        <v>115</v>
      </c>
      <c r="J178" s="47" t="s">
        <v>115</v>
      </c>
      <c r="K178" s="38">
        <v>1.0</v>
      </c>
      <c r="L178" s="38">
        <v>1.0</v>
      </c>
      <c r="M178" s="38" t="str">
        <f>IFERROR(__xludf.DUMMYFUNCTION("""COMPUTED_VALUE"""),"Critical Sparepart")</f>
        <v>Critical Sparepart</v>
      </c>
      <c r="N178" s="38">
        <v>36.0</v>
      </c>
      <c r="O178" s="40">
        <v>45341.0</v>
      </c>
      <c r="P178" s="38" t="s">
        <v>126</v>
      </c>
      <c r="Q178" s="42">
        <v>0.0</v>
      </c>
      <c r="R178" s="42">
        <v>0.5454545454545454</v>
      </c>
      <c r="S178" s="38">
        <v>0.0</v>
      </c>
      <c r="T178" s="42">
        <v>0.1636363636363636</v>
      </c>
      <c r="U178" s="42">
        <v>0.1636363636363636</v>
      </c>
    </row>
    <row r="179">
      <c r="A179" s="43" t="s">
        <v>545</v>
      </c>
      <c r="B179" s="47" t="s">
        <v>546</v>
      </c>
      <c r="C179" s="43" t="s">
        <v>71</v>
      </c>
      <c r="D179" s="43">
        <v>0.0</v>
      </c>
      <c r="E179" s="43">
        <v>1.0</v>
      </c>
      <c r="F179" s="43">
        <f>IFERROR(__xludf.DUMMYFUNCTION("""COMPUTED_VALUE"""),0.0)</f>
        <v>0</v>
      </c>
      <c r="G179" s="43" t="s">
        <v>125</v>
      </c>
      <c r="H179" s="43" t="s">
        <v>113</v>
      </c>
      <c r="I179" s="43" t="s">
        <v>115</v>
      </c>
      <c r="J179" s="47" t="s">
        <v>115</v>
      </c>
      <c r="K179" s="38">
        <v>1.0</v>
      </c>
      <c r="L179" s="38">
        <v>1.0</v>
      </c>
      <c r="M179" s="38" t="str">
        <f>IFERROR(__xludf.DUMMYFUNCTION("""COMPUTED_VALUE"""),"General Sparepart")</f>
        <v>General Sparepart</v>
      </c>
      <c r="N179" s="38">
        <v>24.0</v>
      </c>
      <c r="O179" s="40">
        <v>45898.0</v>
      </c>
      <c r="P179" s="38" t="s">
        <v>126</v>
      </c>
      <c r="Q179" s="42">
        <v>1.0</v>
      </c>
      <c r="R179" s="42">
        <v>0.5454545454545454</v>
      </c>
      <c r="S179" s="38">
        <v>0.0</v>
      </c>
      <c r="T179" s="42">
        <v>0.8636363636363635</v>
      </c>
      <c r="U179" s="42">
        <v>0.8636363636363635</v>
      </c>
    </row>
    <row r="180">
      <c r="A180" s="43" t="s">
        <v>548</v>
      </c>
      <c r="B180" s="47" t="s">
        <v>549</v>
      </c>
      <c r="C180" s="43" t="s">
        <v>71</v>
      </c>
      <c r="D180" s="43">
        <v>1.0</v>
      </c>
      <c r="E180" s="43">
        <v>1.0</v>
      </c>
      <c r="F180" s="43">
        <f>IFERROR(__xludf.DUMMYFUNCTION("""COMPUTED_VALUE"""),0.0)</f>
        <v>0</v>
      </c>
      <c r="G180" s="43" t="s">
        <v>112</v>
      </c>
      <c r="H180" s="43" t="s">
        <v>119</v>
      </c>
      <c r="I180" s="43" t="s">
        <v>141</v>
      </c>
      <c r="J180" s="47" t="s">
        <v>550</v>
      </c>
      <c r="K180" s="38">
        <v>0.0</v>
      </c>
      <c r="L180" s="38">
        <v>0.0</v>
      </c>
      <c r="M180" s="38" t="str">
        <f>IFERROR(__xludf.DUMMYFUNCTION("""COMPUTED_VALUE"""),"General Sparepart")</f>
        <v>General Sparepart</v>
      </c>
      <c r="N180" s="38">
        <v>24.0</v>
      </c>
      <c r="O180" s="40">
        <v>0.0</v>
      </c>
      <c r="P180" s="38" t="s">
        <v>116</v>
      </c>
      <c r="Q180" s="42">
        <v>0.0</v>
      </c>
      <c r="R180" s="42">
        <v>0.0</v>
      </c>
      <c r="S180" s="38">
        <v>0.0</v>
      </c>
      <c r="T180" s="42">
        <v>0.0</v>
      </c>
      <c r="U180" s="42">
        <v>0.0</v>
      </c>
    </row>
    <row r="181">
      <c r="A181" s="43" t="s">
        <v>551</v>
      </c>
      <c r="B181" s="47" t="s">
        <v>552</v>
      </c>
      <c r="C181" s="43" t="s">
        <v>71</v>
      </c>
      <c r="D181" s="43">
        <v>1.0</v>
      </c>
      <c r="E181" s="43">
        <v>2.0</v>
      </c>
      <c r="F181" s="43">
        <f>IFERROR(__xludf.DUMMYFUNCTION("""COMPUTED_VALUE"""),2.0)</f>
        <v>2</v>
      </c>
      <c r="G181" s="43" t="s">
        <v>122</v>
      </c>
      <c r="H181" s="43" t="s">
        <v>113</v>
      </c>
      <c r="I181" s="43" t="s">
        <v>115</v>
      </c>
      <c r="J181" s="47" t="s">
        <v>115</v>
      </c>
      <c r="K181" s="38">
        <v>0.0</v>
      </c>
      <c r="L181" s="38">
        <v>0.0</v>
      </c>
      <c r="M181" s="38" t="str">
        <f>IFERROR(__xludf.DUMMYFUNCTION("""COMPUTED_VALUE"""),"Fast Moving / Consumable")</f>
        <v>Fast Moving / Consumable</v>
      </c>
      <c r="N181" s="38">
        <v>18.0</v>
      </c>
      <c r="O181" s="40">
        <v>45559.0</v>
      </c>
      <c r="P181" s="38" t="s">
        <v>116</v>
      </c>
      <c r="Q181" s="42">
        <v>2.0</v>
      </c>
      <c r="R181" s="42">
        <v>0.2727272727272727</v>
      </c>
      <c r="S181" s="38">
        <v>0.0</v>
      </c>
      <c r="T181" s="42">
        <v>1.4818181818181817</v>
      </c>
      <c r="U181" s="42">
        <v>1.4818181818181817</v>
      </c>
    </row>
    <row r="182">
      <c r="A182" s="43" t="s">
        <v>553</v>
      </c>
      <c r="B182" s="47" t="s">
        <v>554</v>
      </c>
      <c r="C182" s="43" t="s">
        <v>71</v>
      </c>
      <c r="D182" s="43">
        <v>3.0</v>
      </c>
      <c r="E182" s="43">
        <v>12.0</v>
      </c>
      <c r="F182" s="43">
        <f>IFERROR(__xludf.DUMMYFUNCTION("""COMPUTED_VALUE"""),0.0)</f>
        <v>0</v>
      </c>
      <c r="G182" s="43" t="s">
        <v>112</v>
      </c>
      <c r="H182" s="43" t="s">
        <v>113</v>
      </c>
      <c r="I182" s="43" t="s">
        <v>141</v>
      </c>
      <c r="J182" s="47" t="s">
        <v>555</v>
      </c>
      <c r="K182" s="38">
        <v>1.0</v>
      </c>
      <c r="L182" s="38">
        <v>1.0</v>
      </c>
      <c r="M182" s="38" t="str">
        <f>IFERROR(__xludf.DUMMYFUNCTION("""COMPUTED_VALUE"""),"Critical Sparepart")</f>
        <v>Critical Sparepart</v>
      </c>
      <c r="N182" s="38">
        <v>36.0</v>
      </c>
      <c r="O182" s="40">
        <v>46203.0</v>
      </c>
      <c r="P182" s="38" t="s">
        <v>126</v>
      </c>
      <c r="Q182" s="42">
        <v>1.0</v>
      </c>
      <c r="R182" s="42">
        <v>0.5454545454545454</v>
      </c>
      <c r="S182" s="38">
        <v>0.0</v>
      </c>
      <c r="T182" s="42">
        <v>0.8636363636363635</v>
      </c>
      <c r="U182" s="42">
        <v>0.8636363636363635</v>
      </c>
    </row>
    <row r="183">
      <c r="A183" s="43" t="s">
        <v>556</v>
      </c>
      <c r="B183" s="47" t="s">
        <v>557</v>
      </c>
      <c r="C183" s="43" t="s">
        <v>71</v>
      </c>
      <c r="D183" s="43">
        <v>1.0</v>
      </c>
      <c r="E183" s="43">
        <v>2.0</v>
      </c>
      <c r="F183" s="43">
        <f>IFERROR(__xludf.DUMMYFUNCTION("""COMPUTED_VALUE"""),2.0)</f>
        <v>2</v>
      </c>
      <c r="G183" s="43" t="s">
        <v>122</v>
      </c>
      <c r="H183" s="43" t="s">
        <v>113</v>
      </c>
      <c r="I183" s="43" t="s">
        <v>115</v>
      </c>
      <c r="J183" s="47" t="s">
        <v>115</v>
      </c>
      <c r="K183" s="38">
        <v>1.0</v>
      </c>
      <c r="L183" s="38">
        <v>3.0</v>
      </c>
      <c r="M183" s="38" t="str">
        <f>IFERROR(__xludf.DUMMYFUNCTION("""COMPUTED_VALUE"""),"Critical Sparepart")</f>
        <v>Critical Sparepart</v>
      </c>
      <c r="N183" s="38">
        <v>36.0</v>
      </c>
      <c r="O183" s="40">
        <v>46085.0</v>
      </c>
      <c r="P183" s="38" t="s">
        <v>126</v>
      </c>
      <c r="Q183" s="42">
        <v>3.0</v>
      </c>
      <c r="R183" s="42">
        <v>1.0909090909090908</v>
      </c>
      <c r="S183" s="38">
        <v>2.0</v>
      </c>
      <c r="T183" s="42">
        <v>2.427272727272727</v>
      </c>
      <c r="U183" s="42">
        <v>2.427272727272727</v>
      </c>
    </row>
    <row r="184">
      <c r="A184" s="43" t="s">
        <v>558</v>
      </c>
      <c r="B184" s="47" t="s">
        <v>559</v>
      </c>
      <c r="C184" s="43" t="s">
        <v>71</v>
      </c>
      <c r="D184" s="43">
        <v>5.0</v>
      </c>
      <c r="E184" s="43">
        <v>10.0</v>
      </c>
      <c r="F184" s="43">
        <f>IFERROR(__xludf.DUMMYFUNCTION("""COMPUTED_VALUE"""),5.0)</f>
        <v>5</v>
      </c>
      <c r="G184" s="43" t="s">
        <v>125</v>
      </c>
      <c r="H184" s="43" t="s">
        <v>113</v>
      </c>
      <c r="I184" s="43" t="s">
        <v>115</v>
      </c>
      <c r="J184" s="47">
        <v>1.2170346E8</v>
      </c>
      <c r="K184" s="38">
        <v>1.0</v>
      </c>
      <c r="L184" s="38">
        <v>6.0</v>
      </c>
      <c r="M184" s="38" t="str">
        <f>IFERROR(__xludf.DUMMYFUNCTION("""COMPUTED_VALUE"""),"Fast Moving / Consumable")</f>
        <v>Fast Moving / Consumable</v>
      </c>
      <c r="N184" s="38">
        <v>18.0</v>
      </c>
      <c r="O184" s="40">
        <v>45967.0</v>
      </c>
      <c r="P184" s="38" t="s">
        <v>126</v>
      </c>
      <c r="Q184" s="42">
        <v>6.0</v>
      </c>
      <c r="R184" s="42">
        <v>0.0</v>
      </c>
      <c r="S184" s="38">
        <v>5.0</v>
      </c>
      <c r="T184" s="42">
        <v>6.0</v>
      </c>
      <c r="U184" s="42">
        <v>6.0</v>
      </c>
    </row>
    <row r="185">
      <c r="A185" s="43" t="s">
        <v>560</v>
      </c>
      <c r="B185" s="47" t="s">
        <v>561</v>
      </c>
      <c r="C185" s="43" t="s">
        <v>71</v>
      </c>
      <c r="D185" s="43">
        <v>1.0</v>
      </c>
      <c r="E185" s="43">
        <v>2.0</v>
      </c>
      <c r="F185" s="43">
        <f>IFERROR(__xludf.DUMMYFUNCTION("""COMPUTED_VALUE"""),2.0)</f>
        <v>2</v>
      </c>
      <c r="G185" s="43" t="s">
        <v>122</v>
      </c>
      <c r="H185" s="43" t="s">
        <v>113</v>
      </c>
      <c r="I185" s="43" t="s">
        <v>115</v>
      </c>
      <c r="J185" s="47" t="s">
        <v>115</v>
      </c>
      <c r="K185" s="38">
        <v>0.0</v>
      </c>
      <c r="L185" s="38">
        <v>0.0</v>
      </c>
      <c r="M185" s="38" t="str">
        <f>IFERROR(__xludf.DUMMYFUNCTION("""COMPUTED_VALUE"""),"Critical Sparepart")</f>
        <v>Critical Sparepart</v>
      </c>
      <c r="N185" s="38">
        <v>36.0</v>
      </c>
      <c r="O185" s="40">
        <v>44944.0</v>
      </c>
      <c r="P185" s="38" t="s">
        <v>116</v>
      </c>
      <c r="Q185" s="42">
        <v>1.0</v>
      </c>
      <c r="R185" s="42">
        <v>0.0</v>
      </c>
      <c r="S185" s="38">
        <v>0.0</v>
      </c>
      <c r="T185" s="42">
        <v>1.0</v>
      </c>
      <c r="U185" s="42">
        <v>1.0</v>
      </c>
    </row>
    <row r="186">
      <c r="A186" s="43" t="s">
        <v>562</v>
      </c>
      <c r="B186" s="47" t="s">
        <v>563</v>
      </c>
      <c r="C186" s="43" t="s">
        <v>71</v>
      </c>
      <c r="D186" s="43">
        <v>0.0</v>
      </c>
      <c r="E186" s="43">
        <v>1.0</v>
      </c>
      <c r="F186" s="43">
        <f>IFERROR(__xludf.DUMMYFUNCTION("""COMPUTED_VALUE"""),0.0)</f>
        <v>0</v>
      </c>
      <c r="G186" s="43" t="s">
        <v>125</v>
      </c>
      <c r="H186" s="43" t="s">
        <v>113</v>
      </c>
      <c r="I186" s="43" t="s">
        <v>141</v>
      </c>
      <c r="J186" s="47" t="s">
        <v>564</v>
      </c>
      <c r="K186" s="38">
        <v>0.0</v>
      </c>
      <c r="L186" s="38">
        <v>0.0</v>
      </c>
      <c r="M186" s="38" t="str">
        <f>IFERROR(__xludf.DUMMYFUNCTION("""COMPUTED_VALUE"""),"Critical Sparepart")</f>
        <v>Critical Sparepart</v>
      </c>
      <c r="N186" s="38">
        <v>36.0</v>
      </c>
      <c r="O186" s="40">
        <v>43304.0</v>
      </c>
      <c r="P186" s="38" t="s">
        <v>116</v>
      </c>
      <c r="Q186" s="42">
        <v>0.0</v>
      </c>
      <c r="R186" s="42">
        <v>0.0</v>
      </c>
      <c r="S186" s="38">
        <v>0.0</v>
      </c>
      <c r="T186" s="42">
        <v>0.0</v>
      </c>
      <c r="U186" s="42">
        <v>0.0</v>
      </c>
    </row>
    <row r="187">
      <c r="A187" s="43" t="s">
        <v>565</v>
      </c>
      <c r="B187" s="47" t="s">
        <v>566</v>
      </c>
      <c r="C187" s="43" t="s">
        <v>71</v>
      </c>
      <c r="D187" s="43">
        <v>30.0</v>
      </c>
      <c r="E187" s="43">
        <v>90.0</v>
      </c>
      <c r="F187" s="43">
        <f>IFERROR(__xludf.DUMMYFUNCTION("""COMPUTED_VALUE"""),31.0)</f>
        <v>31</v>
      </c>
      <c r="G187" s="43" t="s">
        <v>122</v>
      </c>
      <c r="H187" s="43" t="s">
        <v>113</v>
      </c>
      <c r="I187" s="43" t="s">
        <v>115</v>
      </c>
      <c r="J187" s="47" t="s">
        <v>115</v>
      </c>
      <c r="K187" s="38">
        <v>5.0</v>
      </c>
      <c r="L187" s="38">
        <v>40.0</v>
      </c>
      <c r="M187" s="38" t="str">
        <f>IFERROR(__xludf.DUMMYFUNCTION("""COMPUTED_VALUE"""),"General Sparepart")</f>
        <v>General Sparepart</v>
      </c>
      <c r="N187" s="38">
        <v>24.0</v>
      </c>
      <c r="O187" s="40">
        <v>46234.0</v>
      </c>
      <c r="P187" s="38" t="s">
        <v>126</v>
      </c>
      <c r="Q187" s="42">
        <v>26.0</v>
      </c>
      <c r="R187" s="42">
        <v>18.272727272727273</v>
      </c>
      <c r="S187" s="38">
        <v>40.0</v>
      </c>
      <c r="T187" s="42">
        <v>23.68181818181818</v>
      </c>
      <c r="U187" s="46">
        <v>40.0</v>
      </c>
    </row>
    <row r="188">
      <c r="A188" s="43" t="s">
        <v>567</v>
      </c>
      <c r="B188" s="47" t="s">
        <v>568</v>
      </c>
      <c r="C188" s="43" t="s">
        <v>71</v>
      </c>
      <c r="D188" s="43">
        <v>18.0</v>
      </c>
      <c r="E188" s="43">
        <v>54.0</v>
      </c>
      <c r="F188" s="43">
        <f>IFERROR(__xludf.DUMMYFUNCTION("""COMPUTED_VALUE"""),18.0)</f>
        <v>18</v>
      </c>
      <c r="G188" s="43" t="s">
        <v>125</v>
      </c>
      <c r="H188" s="43" t="s">
        <v>113</v>
      </c>
      <c r="I188" s="43" t="s">
        <v>115</v>
      </c>
      <c r="J188" s="47" t="s">
        <v>115</v>
      </c>
      <c r="K188" s="38">
        <v>3.0</v>
      </c>
      <c r="L188" s="38">
        <v>24.0</v>
      </c>
      <c r="M188" s="38" t="str">
        <f>IFERROR(__xludf.DUMMYFUNCTION("""COMPUTED_VALUE"""),"General Sparepart")</f>
        <v>General Sparepart</v>
      </c>
      <c r="N188" s="38">
        <v>24.0</v>
      </c>
      <c r="O188" s="40">
        <v>46234.0</v>
      </c>
      <c r="P188" s="38" t="s">
        <v>126</v>
      </c>
      <c r="Q188" s="42">
        <v>16.0</v>
      </c>
      <c r="R188" s="42">
        <v>13.09090909090909</v>
      </c>
      <c r="S188" s="38">
        <v>24.0</v>
      </c>
      <c r="T188" s="42">
        <v>15.127272727272725</v>
      </c>
      <c r="U188" s="46">
        <v>24.0</v>
      </c>
    </row>
    <row r="189">
      <c r="A189" s="43" t="s">
        <v>569</v>
      </c>
      <c r="B189" s="47" t="s">
        <v>570</v>
      </c>
      <c r="C189" s="43" t="s">
        <v>71</v>
      </c>
      <c r="D189" s="43">
        <v>2.0</v>
      </c>
      <c r="E189" s="43">
        <v>4.0</v>
      </c>
      <c r="F189" s="43">
        <f>IFERROR(__xludf.DUMMYFUNCTION("""COMPUTED_VALUE"""),2.0)</f>
        <v>2</v>
      </c>
      <c r="G189" s="43" t="s">
        <v>125</v>
      </c>
      <c r="H189" s="43" t="s">
        <v>113</v>
      </c>
      <c r="I189" s="43" t="s">
        <v>115</v>
      </c>
      <c r="J189" s="47" t="s">
        <v>115</v>
      </c>
      <c r="K189" s="38">
        <v>1.0</v>
      </c>
      <c r="L189" s="38">
        <v>1.0</v>
      </c>
      <c r="M189" s="38" t="str">
        <f>IFERROR(__xludf.DUMMYFUNCTION("""COMPUTED_VALUE"""),"Critical Sparepart")</f>
        <v>Critical Sparepart</v>
      </c>
      <c r="N189" s="38">
        <v>36.0</v>
      </c>
      <c r="O189" s="40">
        <v>45762.0</v>
      </c>
      <c r="P189" s="38" t="s">
        <v>126</v>
      </c>
      <c r="Q189" s="42">
        <v>1.0</v>
      </c>
      <c r="R189" s="42">
        <v>0.2727272727272727</v>
      </c>
      <c r="S189" s="38">
        <v>0.0</v>
      </c>
      <c r="T189" s="42">
        <v>0.7818181818181817</v>
      </c>
      <c r="U189" s="42">
        <v>0.7818181818181817</v>
      </c>
    </row>
    <row r="190">
      <c r="A190" s="43" t="s">
        <v>571</v>
      </c>
      <c r="B190" s="47" t="s">
        <v>572</v>
      </c>
      <c r="C190" s="43" t="s">
        <v>71</v>
      </c>
      <c r="D190" s="43">
        <v>2.0</v>
      </c>
      <c r="E190" s="43">
        <v>4.0</v>
      </c>
      <c r="F190" s="43">
        <f>IFERROR(__xludf.DUMMYFUNCTION("""COMPUTED_VALUE"""),2.0)</f>
        <v>2</v>
      </c>
      <c r="G190" s="43" t="s">
        <v>125</v>
      </c>
      <c r="H190" s="43" t="s">
        <v>113</v>
      </c>
      <c r="I190" s="43" t="s">
        <v>115</v>
      </c>
      <c r="J190" s="47" t="s">
        <v>115</v>
      </c>
      <c r="K190" s="38">
        <v>0.0</v>
      </c>
      <c r="L190" s="38">
        <v>0.0</v>
      </c>
      <c r="M190" s="38" t="str">
        <f>IFERROR(__xludf.DUMMYFUNCTION("""COMPUTED_VALUE"""),"Fast Moving / Consumable")</f>
        <v>Fast Moving / Consumable</v>
      </c>
      <c r="N190" s="38">
        <v>18.0</v>
      </c>
      <c r="O190" s="40">
        <v>45553.0</v>
      </c>
      <c r="P190" s="38" t="s">
        <v>116</v>
      </c>
      <c r="Q190" s="42">
        <v>1.0</v>
      </c>
      <c r="R190" s="42">
        <v>0.5454545454545454</v>
      </c>
      <c r="S190" s="38">
        <v>0.0</v>
      </c>
      <c r="T190" s="42">
        <v>0.8636363636363635</v>
      </c>
      <c r="U190" s="42">
        <v>0.8636363636363635</v>
      </c>
    </row>
    <row r="191">
      <c r="A191" s="43" t="s">
        <v>574</v>
      </c>
      <c r="B191" s="47" t="s">
        <v>575</v>
      </c>
      <c r="C191" s="43" t="s">
        <v>71</v>
      </c>
      <c r="D191" s="43">
        <v>1.0</v>
      </c>
      <c r="E191" s="43">
        <v>2.0</v>
      </c>
      <c r="F191" s="43">
        <f>IFERROR(__xludf.DUMMYFUNCTION("""COMPUTED_VALUE"""),2.0)</f>
        <v>2</v>
      </c>
      <c r="G191" s="43" t="s">
        <v>122</v>
      </c>
      <c r="H191" s="43" t="s">
        <v>113</v>
      </c>
      <c r="I191" s="43" t="s">
        <v>115</v>
      </c>
      <c r="J191" s="47" t="s">
        <v>115</v>
      </c>
      <c r="K191" s="38">
        <v>1.0</v>
      </c>
      <c r="L191" s="38">
        <v>1.0</v>
      </c>
      <c r="M191" s="38" t="str">
        <f>IFERROR(__xludf.DUMMYFUNCTION("""COMPUTED_VALUE"""),"General Sparepart")</f>
        <v>General Sparepart</v>
      </c>
      <c r="N191" s="38">
        <v>24.0</v>
      </c>
      <c r="O191" s="40">
        <v>45646.0</v>
      </c>
      <c r="P191" s="38" t="s">
        <v>126</v>
      </c>
      <c r="Q191" s="42">
        <v>1.0</v>
      </c>
      <c r="R191" s="42">
        <v>0.0</v>
      </c>
      <c r="S191" s="38">
        <v>0.0</v>
      </c>
      <c r="T191" s="42">
        <v>1.0</v>
      </c>
      <c r="U191" s="42">
        <v>1.0</v>
      </c>
    </row>
    <row r="192">
      <c r="A192" s="43" t="s">
        <v>576</v>
      </c>
      <c r="B192" s="47" t="s">
        <v>577</v>
      </c>
      <c r="C192" s="43" t="s">
        <v>71</v>
      </c>
      <c r="D192" s="43">
        <v>1.0</v>
      </c>
      <c r="E192" s="43">
        <v>2.0</v>
      </c>
      <c r="F192" s="43">
        <f>IFERROR(__xludf.DUMMYFUNCTION("""COMPUTED_VALUE"""),12.0)</f>
        <v>12</v>
      </c>
      <c r="G192" s="43" t="s">
        <v>122</v>
      </c>
      <c r="H192" s="43" t="s">
        <v>113</v>
      </c>
      <c r="I192" s="43" t="s">
        <v>115</v>
      </c>
      <c r="J192" s="47" t="s">
        <v>115</v>
      </c>
      <c r="K192" s="38">
        <v>1.0</v>
      </c>
      <c r="L192" s="38">
        <v>4.0</v>
      </c>
      <c r="M192" s="38" t="str">
        <f>IFERROR(__xludf.DUMMYFUNCTION("""COMPUTED_VALUE"""),"Fast Moving / Consumable")</f>
        <v>Fast Moving / Consumable</v>
      </c>
      <c r="N192" s="38">
        <v>18.0</v>
      </c>
      <c r="O192" s="40">
        <v>45849.0</v>
      </c>
      <c r="P192" s="38" t="s">
        <v>126</v>
      </c>
      <c r="Q192" s="42">
        <v>4.0</v>
      </c>
      <c r="R192" s="42">
        <v>0.0</v>
      </c>
      <c r="S192" s="38">
        <v>0.0</v>
      </c>
      <c r="T192" s="42">
        <v>4.0</v>
      </c>
      <c r="U192" s="42">
        <v>4.0</v>
      </c>
    </row>
    <row r="193">
      <c r="A193" s="43" t="s">
        <v>578</v>
      </c>
      <c r="B193" s="47" t="s">
        <v>579</v>
      </c>
      <c r="C193" s="43" t="s">
        <v>71</v>
      </c>
      <c r="D193" s="43">
        <v>0.0</v>
      </c>
      <c r="E193" s="43">
        <v>1.0</v>
      </c>
      <c r="F193" s="43">
        <f>IFERROR(__xludf.DUMMYFUNCTION("""COMPUTED_VALUE"""),8.0)</f>
        <v>8</v>
      </c>
      <c r="G193" s="43" t="s">
        <v>122</v>
      </c>
      <c r="H193" s="43" t="s">
        <v>113</v>
      </c>
      <c r="I193" s="43" t="s">
        <v>115</v>
      </c>
      <c r="J193" s="47" t="s">
        <v>115</v>
      </c>
      <c r="K193" s="38">
        <v>0.0</v>
      </c>
      <c r="L193" s="38">
        <v>0.0</v>
      </c>
      <c r="M193" s="38" t="str">
        <f>IFERROR(__xludf.DUMMYFUNCTION("""COMPUTED_VALUE"""),"Fast Moving / Consumable")</f>
        <v>Fast Moving / Consumable</v>
      </c>
      <c r="N193" s="38">
        <v>18.0</v>
      </c>
      <c r="O193" s="40">
        <v>45553.0</v>
      </c>
      <c r="P193" s="38" t="s">
        <v>116</v>
      </c>
      <c r="Q193" s="42">
        <v>5.0</v>
      </c>
      <c r="R193" s="42">
        <v>2.1818181818181817</v>
      </c>
      <c r="S193" s="38">
        <v>0.0</v>
      </c>
      <c r="T193" s="42">
        <v>4.154545454545454</v>
      </c>
      <c r="U193" s="42">
        <v>4.154545454545454</v>
      </c>
    </row>
    <row r="194">
      <c r="A194" s="43" t="s">
        <v>580</v>
      </c>
      <c r="B194" s="47" t="s">
        <v>581</v>
      </c>
      <c r="C194" s="43" t="s">
        <v>71</v>
      </c>
      <c r="D194" s="43">
        <v>0.0</v>
      </c>
      <c r="E194" s="43">
        <v>1.0</v>
      </c>
      <c r="F194" s="43">
        <f>IFERROR(__xludf.DUMMYFUNCTION("""COMPUTED_VALUE"""),1.0)</f>
        <v>1</v>
      </c>
      <c r="G194" s="43" t="s">
        <v>122</v>
      </c>
      <c r="H194" s="43" t="s">
        <v>113</v>
      </c>
      <c r="I194" s="43" t="s">
        <v>115</v>
      </c>
      <c r="J194" s="47" t="s">
        <v>582</v>
      </c>
      <c r="K194" s="38">
        <v>1.0</v>
      </c>
      <c r="L194" s="38">
        <v>1.0</v>
      </c>
      <c r="M194" s="38" t="str">
        <f>IFERROR(__xludf.DUMMYFUNCTION("""COMPUTED_VALUE"""),"Critical Sparepart")</f>
        <v>Critical Sparepart</v>
      </c>
      <c r="N194" s="38">
        <v>36.0</v>
      </c>
      <c r="O194" s="40">
        <v>45762.0</v>
      </c>
      <c r="P194" s="38" t="s">
        <v>126</v>
      </c>
      <c r="Q194" s="42">
        <v>1.0</v>
      </c>
      <c r="R194" s="42">
        <v>0.2727272727272727</v>
      </c>
      <c r="S194" s="38">
        <v>0.0</v>
      </c>
      <c r="T194" s="42">
        <v>0.7818181818181817</v>
      </c>
      <c r="U194" s="42">
        <v>0.7818181818181817</v>
      </c>
    </row>
    <row r="195">
      <c r="A195" s="43" t="s">
        <v>583</v>
      </c>
      <c r="B195" s="47" t="s">
        <v>584</v>
      </c>
      <c r="C195" s="43" t="s">
        <v>71</v>
      </c>
      <c r="D195" s="43">
        <v>2.0</v>
      </c>
      <c r="E195" s="43">
        <v>4.0</v>
      </c>
      <c r="F195" s="43">
        <f>IFERROR(__xludf.DUMMYFUNCTION("""COMPUTED_VALUE"""),4.0)</f>
        <v>4</v>
      </c>
      <c r="G195" s="43" t="s">
        <v>122</v>
      </c>
      <c r="H195" s="43" t="s">
        <v>113</v>
      </c>
      <c r="I195" s="43" t="s">
        <v>115</v>
      </c>
      <c r="J195" s="47" t="s">
        <v>115</v>
      </c>
      <c r="K195" s="38">
        <v>1.0</v>
      </c>
      <c r="L195" s="38">
        <v>2.0</v>
      </c>
      <c r="M195" s="38" t="str">
        <f>IFERROR(__xludf.DUMMYFUNCTION("""COMPUTED_VALUE"""),"General Sparepart")</f>
        <v>General Sparepart</v>
      </c>
      <c r="N195" s="38">
        <v>24.0</v>
      </c>
      <c r="O195" s="40">
        <v>45960.0</v>
      </c>
      <c r="P195" s="38" t="s">
        <v>126</v>
      </c>
      <c r="Q195" s="42">
        <v>1.0</v>
      </c>
      <c r="R195" s="42">
        <v>0.2727272727272727</v>
      </c>
      <c r="S195" s="38">
        <v>2.0</v>
      </c>
      <c r="T195" s="42">
        <v>0.7818181818181817</v>
      </c>
      <c r="U195" s="46">
        <v>2.0</v>
      </c>
    </row>
    <row r="196">
      <c r="A196" s="43" t="s">
        <v>585</v>
      </c>
      <c r="B196" s="47" t="s">
        <v>586</v>
      </c>
      <c r="C196" s="43" t="s">
        <v>71</v>
      </c>
      <c r="D196" s="43">
        <v>1.0</v>
      </c>
      <c r="E196" s="43">
        <v>2.0</v>
      </c>
      <c r="F196" s="43">
        <f>IFERROR(__xludf.DUMMYFUNCTION("""COMPUTED_VALUE"""),6.0)</f>
        <v>6</v>
      </c>
      <c r="G196" s="43" t="s">
        <v>122</v>
      </c>
      <c r="H196" s="43" t="s">
        <v>113</v>
      </c>
      <c r="I196" s="43" t="s">
        <v>115</v>
      </c>
      <c r="J196" s="47" t="s">
        <v>115</v>
      </c>
      <c r="K196" s="38">
        <v>0.0</v>
      </c>
      <c r="L196" s="38">
        <v>0.0</v>
      </c>
      <c r="M196" s="38" t="str">
        <f>IFERROR(__xludf.DUMMYFUNCTION("""COMPUTED_VALUE"""),"Fast Moving / Consumable")</f>
        <v>Fast Moving / Consumable</v>
      </c>
      <c r="N196" s="38">
        <v>18.0</v>
      </c>
      <c r="O196" s="40">
        <v>45205.0</v>
      </c>
      <c r="P196" s="38" t="s">
        <v>116</v>
      </c>
      <c r="Q196" s="42">
        <v>1.0</v>
      </c>
      <c r="R196" s="42">
        <v>0.0</v>
      </c>
      <c r="S196" s="38">
        <v>0.0</v>
      </c>
      <c r="T196" s="42">
        <v>1.0</v>
      </c>
      <c r="U196" s="42">
        <v>1.0</v>
      </c>
    </row>
    <row r="197">
      <c r="A197" s="43" t="s">
        <v>587</v>
      </c>
      <c r="B197" s="47" t="s">
        <v>588</v>
      </c>
      <c r="C197" s="43" t="s">
        <v>71</v>
      </c>
      <c r="D197" s="43">
        <v>0.0</v>
      </c>
      <c r="E197" s="43">
        <v>1.0</v>
      </c>
      <c r="F197" s="43">
        <f>IFERROR(__xludf.DUMMYFUNCTION("""COMPUTED_VALUE"""),2.0)</f>
        <v>2</v>
      </c>
      <c r="G197" s="43" t="s">
        <v>122</v>
      </c>
      <c r="H197" s="43" t="s">
        <v>113</v>
      </c>
      <c r="I197" s="43" t="s">
        <v>115</v>
      </c>
      <c r="J197" s="47" t="s">
        <v>115</v>
      </c>
      <c r="K197" s="38">
        <v>1.0</v>
      </c>
      <c r="L197" s="38">
        <v>1.0</v>
      </c>
      <c r="M197" s="38" t="str">
        <f>IFERROR(__xludf.DUMMYFUNCTION("""COMPUTED_VALUE"""),"Critical Sparepart")</f>
        <v>Critical Sparepart</v>
      </c>
      <c r="N197" s="38">
        <v>36.0</v>
      </c>
      <c r="O197" s="40">
        <v>45308.0</v>
      </c>
      <c r="P197" s="38" t="s">
        <v>126</v>
      </c>
      <c r="Q197" s="42">
        <v>1.0</v>
      </c>
      <c r="R197" s="42">
        <v>0.5454545454545454</v>
      </c>
      <c r="S197" s="38">
        <v>0.0</v>
      </c>
      <c r="T197" s="42">
        <v>0.8636363636363635</v>
      </c>
      <c r="U197" s="42">
        <v>0.8636363636363635</v>
      </c>
    </row>
    <row r="198">
      <c r="A198" s="43" t="s">
        <v>589</v>
      </c>
      <c r="B198" s="47" t="s">
        <v>590</v>
      </c>
      <c r="C198" s="43" t="s">
        <v>71</v>
      </c>
      <c r="D198" s="43">
        <v>0.0</v>
      </c>
      <c r="E198" s="43">
        <v>1.0</v>
      </c>
      <c r="F198" s="43">
        <f>IFERROR(__xludf.DUMMYFUNCTION("""COMPUTED_VALUE"""),2.0)</f>
        <v>2</v>
      </c>
      <c r="G198" s="43" t="s">
        <v>122</v>
      </c>
      <c r="H198" s="43" t="s">
        <v>113</v>
      </c>
      <c r="I198" s="43" t="s">
        <v>115</v>
      </c>
      <c r="J198" s="47" t="s">
        <v>115</v>
      </c>
      <c r="K198" s="38">
        <v>1.0</v>
      </c>
      <c r="L198" s="38">
        <v>1.0</v>
      </c>
      <c r="M198" s="38" t="str">
        <f>IFERROR(__xludf.DUMMYFUNCTION("""COMPUTED_VALUE"""),"Critical Sparepart")</f>
        <v>Critical Sparepart</v>
      </c>
      <c r="N198" s="38">
        <v>36.0</v>
      </c>
      <c r="O198" s="40">
        <v>45295.0</v>
      </c>
      <c r="P198" s="38" t="s">
        <v>126</v>
      </c>
      <c r="Q198" s="42">
        <v>1.0</v>
      </c>
      <c r="R198" s="42">
        <v>0.2727272727272727</v>
      </c>
      <c r="S198" s="38">
        <v>0.0</v>
      </c>
      <c r="T198" s="42">
        <v>0.7818181818181817</v>
      </c>
      <c r="U198" s="42">
        <v>0.7818181818181817</v>
      </c>
    </row>
    <row r="199">
      <c r="A199" s="43" t="s">
        <v>591</v>
      </c>
      <c r="B199" s="47" t="s">
        <v>592</v>
      </c>
      <c r="C199" s="43" t="s">
        <v>71</v>
      </c>
      <c r="D199" s="43">
        <v>1.0</v>
      </c>
      <c r="E199" s="43">
        <v>2.0</v>
      </c>
      <c r="F199" s="43">
        <f>IFERROR(__xludf.DUMMYFUNCTION("""COMPUTED_VALUE"""),2.0)</f>
        <v>2</v>
      </c>
      <c r="G199" s="43" t="s">
        <v>122</v>
      </c>
      <c r="H199" s="43" t="s">
        <v>113</v>
      </c>
      <c r="I199" s="43" t="s">
        <v>115</v>
      </c>
      <c r="J199" s="47" t="s">
        <v>115</v>
      </c>
      <c r="K199" s="38">
        <v>0.0</v>
      </c>
      <c r="L199" s="38">
        <v>0.0</v>
      </c>
      <c r="M199" s="38" t="str">
        <f>IFERROR(__xludf.DUMMYFUNCTION("""COMPUTED_VALUE"""),"Fast Moving / Consumable")</f>
        <v>Fast Moving / Consumable</v>
      </c>
      <c r="N199" s="38">
        <v>18.0</v>
      </c>
      <c r="O199" s="40">
        <v>44944.0</v>
      </c>
      <c r="P199" s="38" t="s">
        <v>116</v>
      </c>
      <c r="Q199" s="42">
        <v>1.0</v>
      </c>
      <c r="R199" s="42">
        <v>0.0</v>
      </c>
      <c r="S199" s="38">
        <v>0.0</v>
      </c>
      <c r="T199" s="42">
        <v>1.0</v>
      </c>
      <c r="U199" s="42">
        <v>1.0</v>
      </c>
    </row>
    <row r="200">
      <c r="A200" s="43" t="s">
        <v>593</v>
      </c>
      <c r="B200" s="47" t="s">
        <v>594</v>
      </c>
      <c r="C200" s="43" t="s">
        <v>71</v>
      </c>
      <c r="D200" s="43">
        <v>1.0</v>
      </c>
      <c r="E200" s="43">
        <v>2.0</v>
      </c>
      <c r="F200" s="43">
        <f>IFERROR(__xludf.DUMMYFUNCTION("""COMPUTED_VALUE"""),1.0)</f>
        <v>1</v>
      </c>
      <c r="G200" s="43" t="s">
        <v>125</v>
      </c>
      <c r="H200" s="43" t="s">
        <v>113</v>
      </c>
      <c r="I200" s="43" t="s">
        <v>115</v>
      </c>
      <c r="J200" s="47" t="s">
        <v>115</v>
      </c>
      <c r="K200" s="38">
        <v>0.0</v>
      </c>
      <c r="L200" s="38">
        <v>0.0</v>
      </c>
      <c r="M200" s="38" t="str">
        <f>IFERROR(__xludf.DUMMYFUNCTION("""COMPUTED_VALUE"""),"Fast Moving / Consumable")</f>
        <v>Fast Moving / Consumable</v>
      </c>
      <c r="N200" s="38">
        <v>18.0</v>
      </c>
      <c r="O200" s="40">
        <v>45596.0</v>
      </c>
      <c r="P200" s="38" t="s">
        <v>116</v>
      </c>
      <c r="Q200" s="42">
        <v>1.0</v>
      </c>
      <c r="R200" s="42">
        <v>0.8181818181818181</v>
      </c>
      <c r="S200" s="38">
        <v>0.0</v>
      </c>
      <c r="T200" s="42">
        <v>0.9454545454545453</v>
      </c>
      <c r="U200" s="42">
        <v>0.9454545454545453</v>
      </c>
    </row>
    <row r="201">
      <c r="A201" s="43" t="s">
        <v>595</v>
      </c>
      <c r="B201" s="47" t="s">
        <v>596</v>
      </c>
      <c r="C201" s="43" t="s">
        <v>71</v>
      </c>
      <c r="D201" s="43">
        <v>2.0</v>
      </c>
      <c r="E201" s="43">
        <v>4.0</v>
      </c>
      <c r="F201" s="43">
        <f>IFERROR(__xludf.DUMMYFUNCTION("""COMPUTED_VALUE"""),2.0)</f>
        <v>2</v>
      </c>
      <c r="G201" s="43" t="s">
        <v>125</v>
      </c>
      <c r="H201" s="43" t="s">
        <v>113</v>
      </c>
      <c r="I201" s="43" t="s">
        <v>115</v>
      </c>
      <c r="J201" s="47" t="s">
        <v>115</v>
      </c>
      <c r="K201" s="38">
        <v>1.0</v>
      </c>
      <c r="L201" s="38">
        <v>1.0</v>
      </c>
      <c r="M201" s="38" t="str">
        <f>IFERROR(__xludf.DUMMYFUNCTION("""COMPUTED_VALUE"""),"Critical Sparepart")</f>
        <v>Critical Sparepart</v>
      </c>
      <c r="N201" s="38">
        <v>36.0</v>
      </c>
      <c r="O201" s="40">
        <v>45762.0</v>
      </c>
      <c r="P201" s="38" t="s">
        <v>126</v>
      </c>
      <c r="Q201" s="42">
        <v>1.0</v>
      </c>
      <c r="R201" s="42">
        <v>0.2727272727272727</v>
      </c>
      <c r="S201" s="38">
        <v>0.0</v>
      </c>
      <c r="T201" s="42">
        <v>0.7818181818181817</v>
      </c>
      <c r="U201" s="42">
        <v>0.7818181818181817</v>
      </c>
    </row>
    <row r="202">
      <c r="A202" s="43" t="s">
        <v>598</v>
      </c>
      <c r="B202" s="47" t="s">
        <v>599</v>
      </c>
      <c r="C202" s="43" t="s">
        <v>71</v>
      </c>
      <c r="D202" s="43">
        <v>4.0</v>
      </c>
      <c r="E202" s="43">
        <v>8.0</v>
      </c>
      <c r="F202" s="43">
        <f>IFERROR(__xludf.DUMMYFUNCTION("""COMPUTED_VALUE"""),4.0)</f>
        <v>4</v>
      </c>
      <c r="G202" s="43" t="s">
        <v>125</v>
      </c>
      <c r="H202" s="43" t="s">
        <v>113</v>
      </c>
      <c r="I202" s="43" t="s">
        <v>115</v>
      </c>
      <c r="J202" s="47" t="s">
        <v>115</v>
      </c>
      <c r="K202" s="38">
        <v>1.0</v>
      </c>
      <c r="L202" s="38">
        <v>3.0</v>
      </c>
      <c r="M202" s="38" t="str">
        <f>IFERROR(__xludf.DUMMYFUNCTION("""COMPUTED_VALUE"""),"General Sparepart")</f>
        <v>General Sparepart</v>
      </c>
      <c r="N202" s="38">
        <v>24.0</v>
      </c>
      <c r="O202" s="40">
        <v>45707.0</v>
      </c>
      <c r="P202" s="38" t="s">
        <v>126</v>
      </c>
      <c r="Q202" s="42">
        <v>3.0</v>
      </c>
      <c r="R202" s="42">
        <v>1.6363636363636362</v>
      </c>
      <c r="S202" s="38">
        <v>0.0</v>
      </c>
      <c r="T202" s="42">
        <v>2.5909090909090904</v>
      </c>
      <c r="U202" s="42">
        <v>2.5909090909090904</v>
      </c>
    </row>
    <row r="203">
      <c r="A203" s="43" t="s">
        <v>600</v>
      </c>
      <c r="B203" s="47" t="s">
        <v>601</v>
      </c>
      <c r="C203" s="43" t="s">
        <v>71</v>
      </c>
      <c r="D203" s="43">
        <v>4.0</v>
      </c>
      <c r="E203" s="43">
        <v>8.0</v>
      </c>
      <c r="F203" s="43">
        <f>IFERROR(__xludf.DUMMYFUNCTION("""COMPUTED_VALUE"""),6.0)</f>
        <v>6</v>
      </c>
      <c r="G203" s="43" t="s">
        <v>122</v>
      </c>
      <c r="H203" s="43" t="s">
        <v>113</v>
      </c>
      <c r="I203" s="43" t="s">
        <v>115</v>
      </c>
      <c r="J203" s="47" t="s">
        <v>115</v>
      </c>
      <c r="K203" s="38">
        <v>1.0</v>
      </c>
      <c r="L203" s="38">
        <v>6.0</v>
      </c>
      <c r="M203" s="38" t="str">
        <f>IFERROR(__xludf.DUMMYFUNCTION("""COMPUTED_VALUE"""),"Fast Moving / Consumable")</f>
        <v>Fast Moving / Consumable</v>
      </c>
      <c r="N203" s="38">
        <v>18.0</v>
      </c>
      <c r="O203" s="40">
        <v>46171.0</v>
      </c>
      <c r="P203" s="38" t="s">
        <v>126</v>
      </c>
      <c r="Q203" s="42">
        <v>7.0</v>
      </c>
      <c r="R203" s="42">
        <v>1.0909090909090908</v>
      </c>
      <c r="S203" s="38">
        <v>0.0</v>
      </c>
      <c r="T203" s="42">
        <v>5.227272727272727</v>
      </c>
      <c r="U203" s="42">
        <v>5.227272727272727</v>
      </c>
    </row>
    <row r="204">
      <c r="A204" s="43" t="s">
        <v>602</v>
      </c>
      <c r="B204" s="47" t="s">
        <v>603</v>
      </c>
      <c r="C204" s="43" t="s">
        <v>71</v>
      </c>
      <c r="D204" s="43">
        <v>1.0</v>
      </c>
      <c r="E204" s="43">
        <v>2.0</v>
      </c>
      <c r="F204" s="43">
        <f>IFERROR(__xludf.DUMMYFUNCTION("""COMPUTED_VALUE"""),2.0)</f>
        <v>2</v>
      </c>
      <c r="G204" s="43" t="s">
        <v>122</v>
      </c>
      <c r="H204" s="43" t="s">
        <v>113</v>
      </c>
      <c r="I204" s="43" t="s">
        <v>115</v>
      </c>
      <c r="J204" s="47" t="s">
        <v>115</v>
      </c>
      <c r="K204" s="38">
        <v>0.0</v>
      </c>
      <c r="L204" s="38">
        <v>0.0</v>
      </c>
      <c r="M204" s="38" t="str">
        <f>IFERROR(__xludf.DUMMYFUNCTION("""COMPUTED_VALUE"""),"General Sparepart")</f>
        <v>General Sparepart</v>
      </c>
      <c r="N204" s="38">
        <v>24.0</v>
      </c>
      <c r="O204" s="40">
        <v>44944.0</v>
      </c>
      <c r="P204" s="38" t="s">
        <v>116</v>
      </c>
      <c r="Q204" s="42">
        <v>1.0</v>
      </c>
      <c r="R204" s="42">
        <v>0.0</v>
      </c>
      <c r="S204" s="38">
        <v>0.0</v>
      </c>
      <c r="T204" s="42">
        <v>1.0</v>
      </c>
      <c r="U204" s="42">
        <v>1.0</v>
      </c>
    </row>
    <row r="205">
      <c r="A205" s="43" t="s">
        <v>604</v>
      </c>
      <c r="B205" s="47" t="s">
        <v>605</v>
      </c>
      <c r="C205" s="43" t="s">
        <v>71</v>
      </c>
      <c r="D205" s="43">
        <v>1.0</v>
      </c>
      <c r="E205" s="43">
        <v>2.0</v>
      </c>
      <c r="F205" s="43">
        <f>IFERROR(__xludf.DUMMYFUNCTION("""COMPUTED_VALUE"""),1.0)</f>
        <v>1</v>
      </c>
      <c r="G205" s="43" t="s">
        <v>125</v>
      </c>
      <c r="H205" s="43" t="s">
        <v>113</v>
      </c>
      <c r="I205" s="43" t="s">
        <v>115</v>
      </c>
      <c r="J205" s="47" t="s">
        <v>115</v>
      </c>
      <c r="K205" s="38">
        <v>0.0</v>
      </c>
      <c r="L205" s="38">
        <v>0.0</v>
      </c>
      <c r="M205" s="38" t="str">
        <f>IFERROR(__xludf.DUMMYFUNCTION("""COMPUTED_VALUE"""),"General Sparepart")</f>
        <v>General Sparepart</v>
      </c>
      <c r="N205" s="38">
        <v>24.0</v>
      </c>
      <c r="O205" s="40">
        <v>44944.0</v>
      </c>
      <c r="P205" s="38" t="s">
        <v>116</v>
      </c>
      <c r="Q205" s="42">
        <v>0.0</v>
      </c>
      <c r="R205" s="42">
        <v>0.0</v>
      </c>
      <c r="S205" s="38">
        <v>0.0</v>
      </c>
      <c r="T205" s="42">
        <v>0.0</v>
      </c>
      <c r="U205" s="42">
        <v>0.0</v>
      </c>
    </row>
    <row r="206">
      <c r="A206" s="43" t="s">
        <v>606</v>
      </c>
      <c r="B206" s="47" t="s">
        <v>607</v>
      </c>
      <c r="C206" s="43" t="s">
        <v>71</v>
      </c>
      <c r="D206" s="43">
        <v>1.0</v>
      </c>
      <c r="E206" s="43">
        <v>2.0</v>
      </c>
      <c r="F206" s="43">
        <f>IFERROR(__xludf.DUMMYFUNCTION("""COMPUTED_VALUE"""),1.0)</f>
        <v>1</v>
      </c>
      <c r="G206" s="43" t="s">
        <v>125</v>
      </c>
      <c r="H206" s="43" t="s">
        <v>113</v>
      </c>
      <c r="I206" s="43" t="s">
        <v>115</v>
      </c>
      <c r="J206" s="47" t="s">
        <v>115</v>
      </c>
      <c r="K206" s="38">
        <v>0.0</v>
      </c>
      <c r="L206" s="38">
        <v>0.0</v>
      </c>
      <c r="M206" s="38" t="str">
        <f>IFERROR(__xludf.DUMMYFUNCTION("""COMPUTED_VALUE"""),"Critical Sparepart")</f>
        <v>Critical Sparepart</v>
      </c>
      <c r="N206" s="38">
        <v>36.0</v>
      </c>
      <c r="O206" s="40">
        <v>45101.0</v>
      </c>
      <c r="P206" s="38" t="s">
        <v>116</v>
      </c>
      <c r="Q206" s="42">
        <v>0.0</v>
      </c>
      <c r="R206" s="42">
        <v>0.0</v>
      </c>
      <c r="S206" s="38">
        <v>0.0</v>
      </c>
      <c r="T206" s="42">
        <v>0.0</v>
      </c>
      <c r="U206" s="42">
        <v>0.0</v>
      </c>
    </row>
    <row r="207">
      <c r="A207" s="43" t="s">
        <v>608</v>
      </c>
      <c r="B207" s="47" t="s">
        <v>609</v>
      </c>
      <c r="C207" s="43" t="s">
        <v>71</v>
      </c>
      <c r="D207" s="43">
        <v>4.0</v>
      </c>
      <c r="E207" s="43">
        <v>8.0</v>
      </c>
      <c r="F207" s="43">
        <f>IFERROR(__xludf.DUMMYFUNCTION("""COMPUTED_VALUE"""),5.0)</f>
        <v>5</v>
      </c>
      <c r="G207" s="43" t="s">
        <v>122</v>
      </c>
      <c r="H207" s="43" t="s">
        <v>113</v>
      </c>
      <c r="I207" s="43" t="s">
        <v>115</v>
      </c>
      <c r="J207" s="47" t="s">
        <v>115</v>
      </c>
      <c r="K207" s="38">
        <v>1.0</v>
      </c>
      <c r="L207" s="38">
        <v>4.0</v>
      </c>
      <c r="M207" s="38" t="str">
        <f>IFERROR(__xludf.DUMMYFUNCTION("""COMPUTED_VALUE"""),"Critical Sparepart")</f>
        <v>Critical Sparepart</v>
      </c>
      <c r="N207" s="38">
        <v>36.0</v>
      </c>
      <c r="O207" s="40">
        <v>45849.0</v>
      </c>
      <c r="P207" s="38" t="s">
        <v>126</v>
      </c>
      <c r="Q207" s="42">
        <v>4.0</v>
      </c>
      <c r="R207" s="42">
        <v>0.0</v>
      </c>
      <c r="S207" s="38">
        <v>0.0</v>
      </c>
      <c r="T207" s="42">
        <v>4.0</v>
      </c>
      <c r="U207" s="42">
        <v>4.0</v>
      </c>
    </row>
    <row r="208">
      <c r="A208" s="43" t="s">
        <v>610</v>
      </c>
      <c r="B208" s="47" t="s">
        <v>611</v>
      </c>
      <c r="C208" s="43" t="s">
        <v>71</v>
      </c>
      <c r="D208" s="43">
        <v>1.0</v>
      </c>
      <c r="E208" s="43">
        <v>1.0</v>
      </c>
      <c r="F208" s="43">
        <f>IFERROR(__xludf.DUMMYFUNCTION("""COMPUTED_VALUE"""),1.0)</f>
        <v>1</v>
      </c>
      <c r="G208" s="43" t="s">
        <v>125</v>
      </c>
      <c r="H208" s="43" t="s">
        <v>113</v>
      </c>
      <c r="I208" s="43" t="s">
        <v>115</v>
      </c>
      <c r="J208" s="47" t="s">
        <v>115</v>
      </c>
      <c r="K208" s="38">
        <v>0.0</v>
      </c>
      <c r="L208" s="38">
        <v>0.0</v>
      </c>
      <c r="M208" s="38" t="str">
        <f>IFERROR(__xludf.DUMMYFUNCTION("""COMPUTED_VALUE"""),"Fast Moving / Consumable")</f>
        <v>Fast Moving / Consumable</v>
      </c>
      <c r="N208" s="38">
        <v>18.0</v>
      </c>
      <c r="O208" s="40">
        <v>45205.0</v>
      </c>
      <c r="P208" s="38" t="s">
        <v>116</v>
      </c>
      <c r="Q208" s="42">
        <v>0.0</v>
      </c>
      <c r="R208" s="42">
        <v>0.0</v>
      </c>
      <c r="S208" s="38">
        <v>0.0</v>
      </c>
      <c r="T208" s="42">
        <v>0.0</v>
      </c>
      <c r="U208" s="42">
        <v>0.0</v>
      </c>
    </row>
    <row r="209">
      <c r="A209" s="43" t="s">
        <v>612</v>
      </c>
      <c r="B209" s="47" t="s">
        <v>613</v>
      </c>
      <c r="C209" s="43" t="s">
        <v>71</v>
      </c>
      <c r="D209" s="43">
        <v>0.0</v>
      </c>
      <c r="E209" s="43">
        <v>1.0</v>
      </c>
      <c r="F209" s="43">
        <f>IFERROR(__xludf.DUMMYFUNCTION("""COMPUTED_VALUE"""),0.0)</f>
        <v>0</v>
      </c>
      <c r="G209" s="43" t="s">
        <v>125</v>
      </c>
      <c r="H209" s="43" t="s">
        <v>113</v>
      </c>
      <c r="I209" s="43" t="s">
        <v>141</v>
      </c>
      <c r="J209" s="47" t="s">
        <v>614</v>
      </c>
      <c r="K209" s="38">
        <v>0.0</v>
      </c>
      <c r="L209" s="38">
        <v>0.0</v>
      </c>
      <c r="M209" s="38" t="str">
        <f>IFERROR(__xludf.DUMMYFUNCTION("""COMPUTED_VALUE"""),"Fast Moving / Consumable")</f>
        <v>Fast Moving / Consumable</v>
      </c>
      <c r="N209" s="38">
        <v>18.0</v>
      </c>
      <c r="O209" s="40">
        <v>45412.0</v>
      </c>
      <c r="P209" s="38" t="s">
        <v>116</v>
      </c>
      <c r="Q209" s="42">
        <v>4.0</v>
      </c>
      <c r="R209" s="42">
        <v>4.363636363636363</v>
      </c>
      <c r="S209" s="38">
        <v>0.0</v>
      </c>
      <c r="T209" s="42">
        <v>4.1090909090909085</v>
      </c>
      <c r="U209" s="42">
        <v>4.1090909090909085</v>
      </c>
    </row>
    <row r="210">
      <c r="A210" s="43" t="s">
        <v>615</v>
      </c>
      <c r="B210" s="47" t="s">
        <v>616</v>
      </c>
      <c r="C210" s="43" t="s">
        <v>71</v>
      </c>
      <c r="D210" s="43">
        <v>1.0</v>
      </c>
      <c r="E210" s="43">
        <v>2.0</v>
      </c>
      <c r="F210" s="43">
        <f>IFERROR(__xludf.DUMMYFUNCTION("""COMPUTED_VALUE"""),1.0)</f>
        <v>1</v>
      </c>
      <c r="G210" s="43" t="s">
        <v>125</v>
      </c>
      <c r="H210" s="43" t="s">
        <v>113</v>
      </c>
      <c r="I210" s="43" t="s">
        <v>115</v>
      </c>
      <c r="J210" s="47" t="s">
        <v>115</v>
      </c>
      <c r="K210" s="38">
        <v>1.0</v>
      </c>
      <c r="L210" s="38">
        <v>1.0</v>
      </c>
      <c r="M210" s="38" t="str">
        <f>IFERROR(__xludf.DUMMYFUNCTION("""COMPUTED_VALUE"""),"Critical Sparepart")</f>
        <v>Critical Sparepart</v>
      </c>
      <c r="N210" s="38">
        <v>36.0</v>
      </c>
      <c r="O210" s="40">
        <v>45170.0</v>
      </c>
      <c r="P210" s="38" t="s">
        <v>126</v>
      </c>
      <c r="Q210" s="42">
        <v>0.0</v>
      </c>
      <c r="R210" s="42">
        <v>0.2727272727272727</v>
      </c>
      <c r="S210" s="38">
        <v>0.0</v>
      </c>
      <c r="T210" s="42">
        <v>0.0818181818181818</v>
      </c>
      <c r="U210" s="42">
        <v>0.0818181818181818</v>
      </c>
    </row>
    <row r="211">
      <c r="A211" s="43" t="s">
        <v>617</v>
      </c>
      <c r="B211" s="47" t="s">
        <v>618</v>
      </c>
      <c r="C211" s="43" t="s">
        <v>71</v>
      </c>
      <c r="D211" s="43">
        <v>1.0</v>
      </c>
      <c r="E211" s="43">
        <v>2.0</v>
      </c>
      <c r="F211" s="43">
        <f>IFERROR(__xludf.DUMMYFUNCTION("""COMPUTED_VALUE"""),1.0)</f>
        <v>1</v>
      </c>
      <c r="G211" s="43" t="s">
        <v>125</v>
      </c>
      <c r="H211" s="43" t="s">
        <v>113</v>
      </c>
      <c r="I211" s="43" t="s">
        <v>115</v>
      </c>
      <c r="J211" s="47" t="s">
        <v>115</v>
      </c>
      <c r="K211" s="38">
        <v>0.0</v>
      </c>
      <c r="L211" s="38">
        <v>0.0</v>
      </c>
      <c r="M211" s="38" t="str">
        <f>IFERROR(__xludf.DUMMYFUNCTION("""COMPUTED_VALUE"""),"Fast Moving / Consumable")</f>
        <v>Fast Moving / Consumable</v>
      </c>
      <c r="N211" s="38">
        <v>18.0</v>
      </c>
      <c r="O211" s="40">
        <v>44944.0</v>
      </c>
      <c r="P211" s="38" t="s">
        <v>116</v>
      </c>
      <c r="Q211" s="42">
        <v>0.0</v>
      </c>
      <c r="R211" s="42">
        <v>0.0</v>
      </c>
      <c r="S211" s="38">
        <v>0.0</v>
      </c>
      <c r="T211" s="42">
        <v>0.0</v>
      </c>
      <c r="U211" s="42">
        <v>0.0</v>
      </c>
    </row>
    <row r="212">
      <c r="A212" s="43" t="s">
        <v>619</v>
      </c>
      <c r="B212" s="47" t="s">
        <v>620</v>
      </c>
      <c r="C212" s="43" t="s">
        <v>71</v>
      </c>
      <c r="D212" s="43">
        <v>1.0</v>
      </c>
      <c r="E212" s="43">
        <v>2.0</v>
      </c>
      <c r="F212" s="43">
        <f>IFERROR(__xludf.DUMMYFUNCTION("""COMPUTED_VALUE"""),1.0)</f>
        <v>1</v>
      </c>
      <c r="G212" s="43" t="s">
        <v>125</v>
      </c>
      <c r="H212" s="43" t="s">
        <v>113</v>
      </c>
      <c r="I212" s="43" t="s">
        <v>115</v>
      </c>
      <c r="J212" s="47" t="s">
        <v>115</v>
      </c>
      <c r="K212" s="38">
        <v>1.0</v>
      </c>
      <c r="L212" s="38">
        <v>1.0</v>
      </c>
      <c r="M212" s="38" t="str">
        <f>IFERROR(__xludf.DUMMYFUNCTION("""COMPUTED_VALUE"""),"Critical Sparepart")</f>
        <v>Critical Sparepart</v>
      </c>
      <c r="N212" s="38">
        <v>36.0</v>
      </c>
      <c r="O212" s="40">
        <v>45261.0</v>
      </c>
      <c r="P212" s="38" t="s">
        <v>126</v>
      </c>
      <c r="Q212" s="42">
        <v>0.0</v>
      </c>
      <c r="R212" s="42">
        <v>0.5454545454545454</v>
      </c>
      <c r="S212" s="38">
        <v>0.0</v>
      </c>
      <c r="T212" s="42">
        <v>0.1636363636363636</v>
      </c>
      <c r="U212" s="42">
        <v>0.1636363636363636</v>
      </c>
    </row>
    <row r="213">
      <c r="A213" s="43" t="s">
        <v>621</v>
      </c>
      <c r="B213" s="47" t="s">
        <v>622</v>
      </c>
      <c r="C213" s="43" t="s">
        <v>71</v>
      </c>
      <c r="D213" s="43">
        <v>2.0</v>
      </c>
      <c r="E213" s="43">
        <v>4.0</v>
      </c>
      <c r="F213" s="43">
        <f>IFERROR(__xludf.DUMMYFUNCTION("""COMPUTED_VALUE"""),2.0)</f>
        <v>2</v>
      </c>
      <c r="G213" s="43" t="s">
        <v>125</v>
      </c>
      <c r="H213" s="43" t="s">
        <v>113</v>
      </c>
      <c r="I213" s="43" t="s">
        <v>115</v>
      </c>
      <c r="J213" s="47" t="s">
        <v>115</v>
      </c>
      <c r="K213" s="38">
        <v>0.0</v>
      </c>
      <c r="L213" s="38">
        <v>0.0</v>
      </c>
      <c r="M213" s="38" t="str">
        <f>IFERROR(__xludf.DUMMYFUNCTION("""COMPUTED_VALUE"""),"Fast Moving / Consumable")</f>
        <v>Fast Moving / Consumable</v>
      </c>
      <c r="N213" s="38">
        <v>18.0</v>
      </c>
      <c r="O213" s="40">
        <v>45341.0</v>
      </c>
      <c r="P213" s="38" t="s">
        <v>116</v>
      </c>
      <c r="Q213" s="42">
        <v>1.0</v>
      </c>
      <c r="R213" s="42">
        <v>0.2727272727272727</v>
      </c>
      <c r="S213" s="38">
        <v>0.0</v>
      </c>
      <c r="T213" s="42">
        <v>0.7818181818181817</v>
      </c>
      <c r="U213" s="42">
        <v>0.7818181818181817</v>
      </c>
    </row>
    <row r="214">
      <c r="A214" s="43" t="s">
        <v>623</v>
      </c>
      <c r="B214" s="47" t="s">
        <v>624</v>
      </c>
      <c r="C214" s="43" t="s">
        <v>71</v>
      </c>
      <c r="D214" s="43">
        <v>1.0</v>
      </c>
      <c r="E214" s="43">
        <v>2.0</v>
      </c>
      <c r="F214" s="43">
        <f>IFERROR(__xludf.DUMMYFUNCTION("""COMPUTED_VALUE"""),2.0)</f>
        <v>2</v>
      </c>
      <c r="G214" s="43" t="s">
        <v>122</v>
      </c>
      <c r="H214" s="43" t="s">
        <v>113</v>
      </c>
      <c r="I214" s="43" t="s">
        <v>115</v>
      </c>
      <c r="J214" s="47" t="s">
        <v>625</v>
      </c>
      <c r="K214" s="38">
        <v>1.0</v>
      </c>
      <c r="L214" s="38">
        <v>1.0</v>
      </c>
      <c r="M214" s="38" t="str">
        <f>IFERROR(__xludf.DUMMYFUNCTION("""COMPUTED_VALUE"""),"Critical Sparepart")</f>
        <v>Critical Sparepart</v>
      </c>
      <c r="N214" s="38">
        <v>36.0</v>
      </c>
      <c r="O214" s="40">
        <v>45707.0</v>
      </c>
      <c r="P214" s="38" t="s">
        <v>126</v>
      </c>
      <c r="Q214" s="42">
        <v>1.0</v>
      </c>
      <c r="R214" s="42">
        <v>0.5454545454545454</v>
      </c>
      <c r="S214" s="38">
        <v>0.0</v>
      </c>
      <c r="T214" s="42">
        <v>0.8636363636363635</v>
      </c>
      <c r="U214" s="42">
        <v>0.8636363636363635</v>
      </c>
    </row>
    <row r="215">
      <c r="A215" s="43" t="s">
        <v>626</v>
      </c>
      <c r="B215" s="47" t="s">
        <v>627</v>
      </c>
      <c r="C215" s="43" t="s">
        <v>71</v>
      </c>
      <c r="D215" s="43">
        <v>1.0</v>
      </c>
      <c r="E215" s="43">
        <v>2.0</v>
      </c>
      <c r="F215" s="43">
        <f>IFERROR(__xludf.DUMMYFUNCTION("""COMPUTED_VALUE"""),0.0)</f>
        <v>0</v>
      </c>
      <c r="G215" s="43" t="s">
        <v>112</v>
      </c>
      <c r="H215" s="43" t="s">
        <v>113</v>
      </c>
      <c r="I215" s="43" t="s">
        <v>115</v>
      </c>
      <c r="J215" s="47" t="s">
        <v>115</v>
      </c>
      <c r="K215" s="38">
        <v>1.0</v>
      </c>
      <c r="L215" s="38">
        <v>2.0</v>
      </c>
      <c r="M215" s="38" t="str">
        <f>IFERROR(__xludf.DUMMYFUNCTION("""COMPUTED_VALUE"""),"General Sparepart")</f>
        <v>General Sparepart</v>
      </c>
      <c r="N215" s="38">
        <v>24.0</v>
      </c>
      <c r="O215" s="40">
        <v>46085.0</v>
      </c>
      <c r="P215" s="38" t="s">
        <v>126</v>
      </c>
      <c r="Q215" s="42">
        <v>2.0</v>
      </c>
      <c r="R215" s="42">
        <v>1.6363636363636362</v>
      </c>
      <c r="S215" s="38">
        <v>2.0</v>
      </c>
      <c r="T215" s="42">
        <v>1.8909090909090907</v>
      </c>
      <c r="U215" s="46">
        <v>2.0</v>
      </c>
    </row>
    <row r="216">
      <c r="A216" s="43" t="s">
        <v>629</v>
      </c>
      <c r="B216" s="47" t="s">
        <v>630</v>
      </c>
      <c r="C216" s="43" t="s">
        <v>71</v>
      </c>
      <c r="D216" s="43">
        <v>1.0</v>
      </c>
      <c r="E216" s="43">
        <v>2.0</v>
      </c>
      <c r="F216" s="43">
        <f>IFERROR(__xludf.DUMMYFUNCTION("""COMPUTED_VALUE"""),4.0)</f>
        <v>4</v>
      </c>
      <c r="G216" s="43" t="s">
        <v>122</v>
      </c>
      <c r="H216" s="43" t="s">
        <v>113</v>
      </c>
      <c r="I216" s="43" t="s">
        <v>115</v>
      </c>
      <c r="J216" s="47" t="s">
        <v>115</v>
      </c>
      <c r="K216" s="38">
        <v>1.0</v>
      </c>
      <c r="L216" s="38">
        <v>2.0</v>
      </c>
      <c r="M216" s="38" t="str">
        <f>IFERROR(__xludf.DUMMYFUNCTION("""COMPUTED_VALUE"""),"General Sparepart")</f>
        <v>General Sparepart</v>
      </c>
      <c r="N216" s="38">
        <v>24.0</v>
      </c>
      <c r="O216" s="40">
        <v>45950.0</v>
      </c>
      <c r="P216" s="38" t="s">
        <v>126</v>
      </c>
      <c r="Q216" s="42">
        <v>1.0</v>
      </c>
      <c r="R216" s="42">
        <v>0.2727272727272727</v>
      </c>
      <c r="S216" s="38">
        <v>2.0</v>
      </c>
      <c r="T216" s="42">
        <v>0.7818181818181817</v>
      </c>
      <c r="U216" s="46">
        <v>2.0</v>
      </c>
    </row>
    <row r="217">
      <c r="A217" s="43" t="s">
        <v>631</v>
      </c>
      <c r="B217" s="47" t="s">
        <v>632</v>
      </c>
      <c r="C217" s="43" t="s">
        <v>71</v>
      </c>
      <c r="D217" s="43">
        <v>2.0</v>
      </c>
      <c r="E217" s="43">
        <v>4.0</v>
      </c>
      <c r="F217" s="43">
        <f>IFERROR(__xludf.DUMMYFUNCTION("""COMPUTED_VALUE"""),0.0)</f>
        <v>0</v>
      </c>
      <c r="G217" s="43" t="s">
        <v>112</v>
      </c>
      <c r="H217" s="43" t="s">
        <v>113</v>
      </c>
      <c r="I217" s="43" t="s">
        <v>141</v>
      </c>
      <c r="J217" s="47" t="s">
        <v>633</v>
      </c>
      <c r="K217" s="38">
        <v>1.0</v>
      </c>
      <c r="L217" s="38">
        <v>1.0</v>
      </c>
      <c r="M217" s="38" t="str">
        <f>IFERROR(__xludf.DUMMYFUNCTION("""COMPUTED_VALUE"""),"General Sparepart")</f>
        <v>General Sparepart</v>
      </c>
      <c r="N217" s="38">
        <v>24.0</v>
      </c>
      <c r="O217" s="40">
        <v>45863.0</v>
      </c>
      <c r="P217" s="38" t="s">
        <v>126</v>
      </c>
      <c r="Q217" s="42">
        <v>1.0</v>
      </c>
      <c r="R217" s="42">
        <v>0.5454545454545454</v>
      </c>
      <c r="S217" s="38">
        <v>0.0</v>
      </c>
      <c r="T217" s="42">
        <v>0.8636363636363635</v>
      </c>
      <c r="U217" s="42">
        <v>0.8636363636363635</v>
      </c>
    </row>
    <row r="218">
      <c r="A218" s="43" t="s">
        <v>634</v>
      </c>
      <c r="B218" s="47" t="s">
        <v>635</v>
      </c>
      <c r="C218" s="43" t="s">
        <v>71</v>
      </c>
      <c r="D218" s="43">
        <v>2.0</v>
      </c>
      <c r="E218" s="43">
        <v>4.0</v>
      </c>
      <c r="F218" s="43">
        <f>IFERROR(__xludf.DUMMYFUNCTION("""COMPUTED_VALUE"""),2.0)</f>
        <v>2</v>
      </c>
      <c r="G218" s="43" t="s">
        <v>125</v>
      </c>
      <c r="H218" s="43" t="s">
        <v>113</v>
      </c>
      <c r="I218" s="43" t="s">
        <v>115</v>
      </c>
      <c r="J218" s="47" t="s">
        <v>115</v>
      </c>
      <c r="K218" s="38">
        <v>1.0</v>
      </c>
      <c r="L218" s="38">
        <v>1.0</v>
      </c>
      <c r="M218" s="38" t="str">
        <f>IFERROR(__xludf.DUMMYFUNCTION("""COMPUTED_VALUE"""),"Critical Sparepart")</f>
        <v>Critical Sparepart</v>
      </c>
      <c r="N218" s="38">
        <v>36.0</v>
      </c>
      <c r="O218" s="40">
        <v>45170.0</v>
      </c>
      <c r="P218" s="38" t="s">
        <v>126</v>
      </c>
      <c r="Q218" s="42">
        <v>1.0</v>
      </c>
      <c r="R218" s="42">
        <v>0.5454545454545454</v>
      </c>
      <c r="S218" s="38">
        <v>0.0</v>
      </c>
      <c r="T218" s="42">
        <v>0.8636363636363635</v>
      </c>
      <c r="U218" s="42">
        <v>0.8636363636363635</v>
      </c>
    </row>
    <row r="219">
      <c r="A219" s="43" t="s">
        <v>636</v>
      </c>
      <c r="B219" s="47" t="s">
        <v>637</v>
      </c>
      <c r="C219" s="43" t="s">
        <v>71</v>
      </c>
      <c r="D219" s="43">
        <v>2.0</v>
      </c>
      <c r="E219" s="43">
        <v>4.0</v>
      </c>
      <c r="F219" s="43">
        <f>IFERROR(__xludf.DUMMYFUNCTION("""COMPUTED_VALUE"""),2.0)</f>
        <v>2</v>
      </c>
      <c r="G219" s="43" t="s">
        <v>125</v>
      </c>
      <c r="H219" s="43" t="s">
        <v>113</v>
      </c>
      <c r="I219" s="43" t="s">
        <v>115</v>
      </c>
      <c r="J219" s="47" t="s">
        <v>115</v>
      </c>
      <c r="K219" s="38">
        <v>0.0</v>
      </c>
      <c r="L219" s="38">
        <v>0.0</v>
      </c>
      <c r="M219" s="38" t="str">
        <f>IFERROR(__xludf.DUMMYFUNCTION("""COMPUTED_VALUE"""),"Critical Sparepart")</f>
        <v>Critical Sparepart</v>
      </c>
      <c r="N219" s="38">
        <v>36.0</v>
      </c>
      <c r="O219" s="40">
        <v>45112.0</v>
      </c>
      <c r="P219" s="38" t="s">
        <v>116</v>
      </c>
      <c r="Q219" s="42">
        <v>1.0</v>
      </c>
      <c r="R219" s="42">
        <v>0.0</v>
      </c>
      <c r="S219" s="38">
        <v>0.0</v>
      </c>
      <c r="T219" s="42">
        <v>1.0</v>
      </c>
      <c r="U219" s="42">
        <v>1.0</v>
      </c>
    </row>
    <row r="220">
      <c r="A220" s="43" t="s">
        <v>638</v>
      </c>
      <c r="B220" s="47" t="s">
        <v>639</v>
      </c>
      <c r="C220" s="43" t="s">
        <v>71</v>
      </c>
      <c r="D220" s="43">
        <v>1.0</v>
      </c>
      <c r="E220" s="43">
        <v>2.0</v>
      </c>
      <c r="F220" s="43">
        <f>IFERROR(__xludf.DUMMYFUNCTION("""COMPUTED_VALUE"""),1.0)</f>
        <v>1</v>
      </c>
      <c r="G220" s="43" t="s">
        <v>125</v>
      </c>
      <c r="H220" s="43" t="s">
        <v>113</v>
      </c>
      <c r="I220" s="43" t="s">
        <v>115</v>
      </c>
      <c r="J220" s="47" t="s">
        <v>115</v>
      </c>
      <c r="K220" s="38">
        <v>0.0</v>
      </c>
      <c r="L220" s="38">
        <v>0.0</v>
      </c>
      <c r="M220" s="38" t="str">
        <f>IFERROR(__xludf.DUMMYFUNCTION("""COMPUTED_VALUE"""),"Critical Sparepart")</f>
        <v>Critical Sparepart</v>
      </c>
      <c r="N220" s="38">
        <v>36.0</v>
      </c>
      <c r="O220" s="40">
        <v>44944.0</v>
      </c>
      <c r="P220" s="38" t="s">
        <v>116</v>
      </c>
      <c r="Q220" s="42">
        <v>0.0</v>
      </c>
      <c r="R220" s="42">
        <v>0.0</v>
      </c>
      <c r="S220" s="38">
        <v>0.0</v>
      </c>
      <c r="T220" s="42">
        <v>0.0</v>
      </c>
      <c r="U220" s="42">
        <v>0.0</v>
      </c>
    </row>
    <row r="221">
      <c r="A221" s="43" t="s">
        <v>640</v>
      </c>
      <c r="B221" s="47" t="s">
        <v>641</v>
      </c>
      <c r="C221" s="43" t="s">
        <v>71</v>
      </c>
      <c r="D221" s="43">
        <v>1.0</v>
      </c>
      <c r="E221" s="43">
        <v>2.0</v>
      </c>
      <c r="F221" s="43">
        <f>IFERROR(__xludf.DUMMYFUNCTION("""COMPUTED_VALUE"""),2.0)</f>
        <v>2</v>
      </c>
      <c r="G221" s="43" t="s">
        <v>122</v>
      </c>
      <c r="H221" s="43" t="s">
        <v>113</v>
      </c>
      <c r="I221" s="43" t="s">
        <v>115</v>
      </c>
      <c r="J221" s="47" t="s">
        <v>625</v>
      </c>
      <c r="K221" s="38">
        <v>1.0</v>
      </c>
      <c r="L221" s="38">
        <v>1.0</v>
      </c>
      <c r="M221" s="38" t="str">
        <f>IFERROR(__xludf.DUMMYFUNCTION("""COMPUTED_VALUE"""),"Critical Sparepart")</f>
        <v>Critical Sparepart</v>
      </c>
      <c r="N221" s="38">
        <v>36.0</v>
      </c>
      <c r="O221" s="40">
        <v>45707.0</v>
      </c>
      <c r="P221" s="38" t="s">
        <v>126</v>
      </c>
      <c r="Q221" s="42">
        <v>1.0</v>
      </c>
      <c r="R221" s="42">
        <v>0.0</v>
      </c>
      <c r="S221" s="38">
        <v>0.0</v>
      </c>
      <c r="T221" s="42">
        <v>1.0</v>
      </c>
      <c r="U221" s="42">
        <v>1.0</v>
      </c>
    </row>
    <row r="222">
      <c r="A222" s="43" t="s">
        <v>642</v>
      </c>
      <c r="B222" s="47" t="s">
        <v>643</v>
      </c>
      <c r="C222" s="43" t="s">
        <v>71</v>
      </c>
      <c r="D222" s="43">
        <v>1.0</v>
      </c>
      <c r="E222" s="43">
        <v>2.0</v>
      </c>
      <c r="F222" s="43">
        <f>IFERROR(__xludf.DUMMYFUNCTION("""COMPUTED_VALUE"""),4.0)</f>
        <v>4</v>
      </c>
      <c r="G222" s="43" t="s">
        <v>122</v>
      </c>
      <c r="H222" s="43" t="s">
        <v>113</v>
      </c>
      <c r="I222" s="43" t="s">
        <v>115</v>
      </c>
      <c r="J222" s="47" t="s">
        <v>115</v>
      </c>
      <c r="K222" s="38">
        <v>0.0</v>
      </c>
      <c r="L222" s="38">
        <v>0.0</v>
      </c>
      <c r="M222" s="38" t="str">
        <f>IFERROR(__xludf.DUMMYFUNCTION("""COMPUTED_VALUE"""),"Critical Sparepart")</f>
        <v>Critical Sparepart</v>
      </c>
      <c r="N222" s="38">
        <v>36.0</v>
      </c>
      <c r="O222" s="40">
        <v>44944.0</v>
      </c>
      <c r="P222" s="38" t="s">
        <v>116</v>
      </c>
      <c r="Q222" s="42">
        <v>1.0</v>
      </c>
      <c r="R222" s="42">
        <v>0.0</v>
      </c>
      <c r="S222" s="38">
        <v>0.0</v>
      </c>
      <c r="T222" s="42">
        <v>1.0</v>
      </c>
      <c r="U222" s="42">
        <v>1.0</v>
      </c>
    </row>
    <row r="223">
      <c r="A223" s="43" t="s">
        <v>644</v>
      </c>
      <c r="B223" s="47" t="s">
        <v>645</v>
      </c>
      <c r="C223" s="43" t="s">
        <v>71</v>
      </c>
      <c r="D223" s="43">
        <v>4.0</v>
      </c>
      <c r="E223" s="43">
        <v>8.0</v>
      </c>
      <c r="F223" s="43">
        <f>IFERROR(__xludf.DUMMYFUNCTION("""COMPUTED_VALUE"""),6.0)</f>
        <v>6</v>
      </c>
      <c r="G223" s="43" t="s">
        <v>122</v>
      </c>
      <c r="H223" s="43" t="s">
        <v>113</v>
      </c>
      <c r="I223" s="43" t="s">
        <v>115</v>
      </c>
      <c r="J223" s="47" t="s">
        <v>646</v>
      </c>
      <c r="K223" s="38">
        <v>1.0</v>
      </c>
      <c r="L223" s="38">
        <v>8.0</v>
      </c>
      <c r="M223" s="38" t="str">
        <f>IFERROR(__xludf.DUMMYFUNCTION("""COMPUTED_VALUE"""),"General Sparepart")</f>
        <v>General Sparepart</v>
      </c>
      <c r="N223" s="38">
        <v>24.0</v>
      </c>
      <c r="O223" s="40">
        <v>46147.0</v>
      </c>
      <c r="P223" s="38" t="s">
        <v>126</v>
      </c>
      <c r="Q223" s="42">
        <v>8.0</v>
      </c>
      <c r="R223" s="42">
        <v>6.2727272727272725</v>
      </c>
      <c r="S223" s="38">
        <v>3.0</v>
      </c>
      <c r="T223" s="42">
        <v>7.4818181818181815</v>
      </c>
      <c r="U223" s="42">
        <v>7.4818181818181815</v>
      </c>
    </row>
    <row r="224">
      <c r="A224" s="43" t="s">
        <v>647</v>
      </c>
      <c r="B224" s="47" t="s">
        <v>648</v>
      </c>
      <c r="C224" s="43" t="s">
        <v>71</v>
      </c>
      <c r="D224" s="43">
        <v>3.0</v>
      </c>
      <c r="E224" s="43">
        <v>5.0</v>
      </c>
      <c r="F224" s="43">
        <f>IFERROR(__xludf.DUMMYFUNCTION("""COMPUTED_VALUE"""),3.0)</f>
        <v>3</v>
      </c>
      <c r="G224" s="43" t="s">
        <v>125</v>
      </c>
      <c r="H224" s="43" t="s">
        <v>113</v>
      </c>
      <c r="I224" s="43" t="s">
        <v>115</v>
      </c>
      <c r="J224" s="47">
        <v>1.21703458E8</v>
      </c>
      <c r="K224" s="38">
        <v>1.0</v>
      </c>
      <c r="L224" s="38">
        <v>4.0</v>
      </c>
      <c r="M224" s="38" t="str">
        <f>IFERROR(__xludf.DUMMYFUNCTION("""COMPUTED_VALUE"""),"Fast Moving / Consumable")</f>
        <v>Fast Moving / Consumable</v>
      </c>
      <c r="N224" s="38">
        <v>18.0</v>
      </c>
      <c r="O224" s="40">
        <v>45967.0</v>
      </c>
      <c r="P224" s="38" t="s">
        <v>126</v>
      </c>
      <c r="Q224" s="42">
        <v>4.0</v>
      </c>
      <c r="R224" s="42">
        <v>0.0</v>
      </c>
      <c r="S224" s="38">
        <v>3.0</v>
      </c>
      <c r="T224" s="42">
        <v>4.0</v>
      </c>
      <c r="U224" s="42">
        <v>4.0</v>
      </c>
    </row>
    <row r="225">
      <c r="A225" s="43" t="s">
        <v>649</v>
      </c>
      <c r="B225" s="47" t="s">
        <v>650</v>
      </c>
      <c r="C225" s="43" t="s">
        <v>71</v>
      </c>
      <c r="D225" s="43">
        <v>10.0</v>
      </c>
      <c r="E225" s="43">
        <v>30.0</v>
      </c>
      <c r="F225" s="43">
        <f>IFERROR(__xludf.DUMMYFUNCTION("""COMPUTED_VALUE"""),50.0)</f>
        <v>50</v>
      </c>
      <c r="G225" s="43" t="s">
        <v>122</v>
      </c>
      <c r="H225" s="43" t="s">
        <v>113</v>
      </c>
      <c r="I225" s="43" t="s">
        <v>115</v>
      </c>
      <c r="J225" s="47" t="s">
        <v>115</v>
      </c>
      <c r="K225" s="38">
        <v>7.0</v>
      </c>
      <c r="L225" s="38">
        <v>60.0</v>
      </c>
      <c r="M225" s="38" t="str">
        <f>IFERROR(__xludf.DUMMYFUNCTION("""COMPUTED_VALUE"""),"Fast Moving / Consumable")</f>
        <v>Fast Moving / Consumable</v>
      </c>
      <c r="N225" s="38">
        <v>18.0</v>
      </c>
      <c r="O225" s="40">
        <v>46171.0</v>
      </c>
      <c r="P225" s="38" t="s">
        <v>126</v>
      </c>
      <c r="Q225" s="42">
        <v>19.0</v>
      </c>
      <c r="R225" s="42">
        <v>19.09090909090909</v>
      </c>
      <c r="S225" s="38">
        <v>60.0</v>
      </c>
      <c r="T225" s="42">
        <v>19.027272727272724</v>
      </c>
      <c r="U225" s="46">
        <v>60.0</v>
      </c>
    </row>
    <row r="226">
      <c r="A226" s="43" t="s">
        <v>651</v>
      </c>
      <c r="B226" s="47" t="s">
        <v>652</v>
      </c>
      <c r="C226" s="43" t="s">
        <v>71</v>
      </c>
      <c r="D226" s="43">
        <v>0.0</v>
      </c>
      <c r="E226" s="43">
        <v>1.0</v>
      </c>
      <c r="F226" s="43">
        <f>IFERROR(__xludf.DUMMYFUNCTION("""COMPUTED_VALUE"""),0.0)</f>
        <v>0</v>
      </c>
      <c r="G226" s="43" t="s">
        <v>125</v>
      </c>
      <c r="H226" s="43" t="s">
        <v>113</v>
      </c>
      <c r="I226" s="43" t="s">
        <v>115</v>
      </c>
      <c r="J226" s="47" t="s">
        <v>653</v>
      </c>
      <c r="K226" s="38">
        <v>0.0</v>
      </c>
      <c r="L226" s="38">
        <v>0.0</v>
      </c>
      <c r="M226" s="38" t="str">
        <f>IFERROR(__xludf.DUMMYFUNCTION("""COMPUTED_VALUE"""),"Fast Moving / Consumable")</f>
        <v>Fast Moving / Consumable</v>
      </c>
      <c r="N226" s="38">
        <v>18.0</v>
      </c>
      <c r="O226" s="40">
        <v>45412.0</v>
      </c>
      <c r="P226" s="38" t="s">
        <v>116</v>
      </c>
      <c r="Q226" s="42">
        <v>0.0</v>
      </c>
      <c r="R226" s="42">
        <v>0.2727272727272727</v>
      </c>
      <c r="S226" s="38">
        <v>0.0</v>
      </c>
      <c r="T226" s="42">
        <v>0.0818181818181818</v>
      </c>
      <c r="U226" s="42">
        <v>0.0818181818181818</v>
      </c>
    </row>
    <row r="227">
      <c r="A227" s="43" t="s">
        <v>654</v>
      </c>
      <c r="B227" s="47" t="s">
        <v>655</v>
      </c>
      <c r="C227" s="43" t="s">
        <v>71</v>
      </c>
      <c r="D227" s="43">
        <v>5.0</v>
      </c>
      <c r="E227" s="43">
        <v>10.0</v>
      </c>
      <c r="F227" s="43">
        <f>IFERROR(__xludf.DUMMYFUNCTION("""COMPUTED_VALUE"""),6.0)</f>
        <v>6</v>
      </c>
      <c r="G227" s="43" t="s">
        <v>122</v>
      </c>
      <c r="H227" s="43" t="s">
        <v>113</v>
      </c>
      <c r="I227" s="43" t="s">
        <v>115</v>
      </c>
      <c r="J227" s="47" t="s">
        <v>115</v>
      </c>
      <c r="K227" s="38">
        <v>1.0</v>
      </c>
      <c r="L227" s="38">
        <v>6.0</v>
      </c>
      <c r="M227" s="38" t="str">
        <f>IFERROR(__xludf.DUMMYFUNCTION("""COMPUTED_VALUE"""),"Fast Moving / Consumable")</f>
        <v>Fast Moving / Consumable</v>
      </c>
      <c r="N227" s="38">
        <v>18.0</v>
      </c>
      <c r="O227" s="40">
        <v>46080.0</v>
      </c>
      <c r="P227" s="38" t="s">
        <v>126</v>
      </c>
      <c r="Q227" s="42">
        <v>7.0</v>
      </c>
      <c r="R227" s="42">
        <v>1.0909090909090908</v>
      </c>
      <c r="S227" s="38">
        <v>0.0</v>
      </c>
      <c r="T227" s="42">
        <v>5.227272727272727</v>
      </c>
      <c r="U227" s="42">
        <v>5.227272727272727</v>
      </c>
    </row>
    <row r="228">
      <c r="A228" s="43" t="s">
        <v>656</v>
      </c>
      <c r="B228" s="47" t="s">
        <v>657</v>
      </c>
      <c r="C228" s="43" t="s">
        <v>71</v>
      </c>
      <c r="D228" s="43">
        <v>5.0</v>
      </c>
      <c r="E228" s="43">
        <v>10.0</v>
      </c>
      <c r="F228" s="43">
        <f>IFERROR(__xludf.DUMMYFUNCTION("""COMPUTED_VALUE"""),0.0)</f>
        <v>0</v>
      </c>
      <c r="G228" s="43" t="s">
        <v>112</v>
      </c>
      <c r="H228" s="43" t="s">
        <v>119</v>
      </c>
      <c r="I228" s="43" t="s">
        <v>119</v>
      </c>
      <c r="J228" s="47" t="s">
        <v>115</v>
      </c>
      <c r="K228" s="38">
        <v>0.0</v>
      </c>
      <c r="L228" s="38">
        <v>0.0</v>
      </c>
      <c r="M228" s="38" t="str">
        <f>IFERROR(__xludf.DUMMYFUNCTION("""COMPUTED_VALUE"""),"Fast Moving / Consumable")</f>
        <v>Fast Moving / Consumable</v>
      </c>
      <c r="N228" s="38">
        <v>18.0</v>
      </c>
      <c r="O228" s="40">
        <v>0.0</v>
      </c>
      <c r="P228" s="38" t="s">
        <v>116</v>
      </c>
      <c r="Q228" s="42">
        <v>0.0</v>
      </c>
      <c r="R228" s="42">
        <v>0.0</v>
      </c>
      <c r="S228" s="38">
        <v>0.0</v>
      </c>
      <c r="T228" s="42">
        <v>0.0</v>
      </c>
      <c r="U228" s="42">
        <v>0.0</v>
      </c>
    </row>
    <row r="229">
      <c r="A229" s="43" t="s">
        <v>658</v>
      </c>
      <c r="B229" s="47" t="s">
        <v>659</v>
      </c>
      <c r="C229" s="43" t="s">
        <v>71</v>
      </c>
      <c r="D229" s="43">
        <v>1.0</v>
      </c>
      <c r="E229" s="43">
        <v>2.0</v>
      </c>
      <c r="F229" s="43">
        <f>IFERROR(__xludf.DUMMYFUNCTION("""COMPUTED_VALUE"""),2.0)</f>
        <v>2</v>
      </c>
      <c r="G229" s="43" t="s">
        <v>122</v>
      </c>
      <c r="H229" s="43" t="s">
        <v>113</v>
      </c>
      <c r="I229" s="43" t="s">
        <v>115</v>
      </c>
      <c r="J229" s="47" t="s">
        <v>115</v>
      </c>
      <c r="K229" s="38">
        <v>1.0</v>
      </c>
      <c r="L229" s="38">
        <v>1.0</v>
      </c>
      <c r="M229" s="38" t="str">
        <f>IFERROR(__xludf.DUMMYFUNCTION("""COMPUTED_VALUE"""),"Critical Sparepart")</f>
        <v>Critical Sparepart</v>
      </c>
      <c r="N229" s="38">
        <v>36.0</v>
      </c>
      <c r="O229" s="40">
        <v>45553.0</v>
      </c>
      <c r="P229" s="38" t="s">
        <v>126</v>
      </c>
      <c r="Q229" s="42">
        <v>1.0</v>
      </c>
      <c r="R229" s="42">
        <v>0.0</v>
      </c>
      <c r="S229" s="38">
        <v>0.0</v>
      </c>
      <c r="T229" s="42">
        <v>1.0</v>
      </c>
      <c r="U229" s="42">
        <v>1.0</v>
      </c>
    </row>
    <row r="230">
      <c r="A230" s="43" t="s">
        <v>661</v>
      </c>
      <c r="B230" s="47" t="s">
        <v>662</v>
      </c>
      <c r="C230" s="43" t="s">
        <v>71</v>
      </c>
      <c r="D230" s="43">
        <v>4.0</v>
      </c>
      <c r="E230" s="43">
        <v>8.0</v>
      </c>
      <c r="F230" s="43">
        <f>IFERROR(__xludf.DUMMYFUNCTION("""COMPUTED_VALUE"""),6.0)</f>
        <v>6</v>
      </c>
      <c r="G230" s="43" t="s">
        <v>122</v>
      </c>
      <c r="H230" s="43" t="s">
        <v>113</v>
      </c>
      <c r="I230" s="43" t="s">
        <v>115</v>
      </c>
      <c r="J230" s="47" t="s">
        <v>663</v>
      </c>
      <c r="K230" s="38">
        <v>1.0</v>
      </c>
      <c r="L230" s="38">
        <v>6.0</v>
      </c>
      <c r="M230" s="38" t="str">
        <f>IFERROR(__xludf.DUMMYFUNCTION("""COMPUTED_VALUE"""),"Fast Moving / Consumable")</f>
        <v>Fast Moving / Consumable</v>
      </c>
      <c r="N230" s="38">
        <v>18.0</v>
      </c>
      <c r="O230" s="40">
        <v>45928.0</v>
      </c>
      <c r="P230" s="38" t="s">
        <v>126</v>
      </c>
      <c r="Q230" s="42">
        <v>2.0</v>
      </c>
      <c r="R230" s="42">
        <v>0.0</v>
      </c>
      <c r="S230" s="38">
        <v>6.0</v>
      </c>
      <c r="T230" s="42">
        <v>2.0</v>
      </c>
      <c r="U230" s="46">
        <v>6.0</v>
      </c>
    </row>
    <row r="231">
      <c r="A231" s="43" t="s">
        <v>664</v>
      </c>
      <c r="B231" s="47" t="s">
        <v>665</v>
      </c>
      <c r="C231" s="43" t="s">
        <v>71</v>
      </c>
      <c r="D231" s="43">
        <v>4.0</v>
      </c>
      <c r="E231" s="43">
        <v>8.0</v>
      </c>
      <c r="F231" s="43">
        <f>IFERROR(__xludf.DUMMYFUNCTION("""COMPUTED_VALUE"""),10.0)</f>
        <v>10</v>
      </c>
      <c r="G231" s="43" t="s">
        <v>122</v>
      </c>
      <c r="H231" s="43" t="s">
        <v>113</v>
      </c>
      <c r="I231" s="43" t="s">
        <v>115</v>
      </c>
      <c r="J231" s="47" t="s">
        <v>666</v>
      </c>
      <c r="K231" s="38">
        <v>1.0</v>
      </c>
      <c r="L231" s="38">
        <v>3.0</v>
      </c>
      <c r="M231" s="38" t="str">
        <f>IFERROR(__xludf.DUMMYFUNCTION("""COMPUTED_VALUE"""),"Fast Moving / Consumable")</f>
        <v>Fast Moving / Consumable</v>
      </c>
      <c r="N231" s="38">
        <v>18.0</v>
      </c>
      <c r="O231" s="40">
        <v>45955.0</v>
      </c>
      <c r="P231" s="38" t="s">
        <v>126</v>
      </c>
      <c r="Q231" s="42">
        <v>3.0</v>
      </c>
      <c r="R231" s="42">
        <v>0.2727272727272727</v>
      </c>
      <c r="S231" s="38">
        <v>0.0</v>
      </c>
      <c r="T231" s="42">
        <v>2.1818181818181817</v>
      </c>
      <c r="U231" s="42">
        <v>2.1818181818181817</v>
      </c>
    </row>
    <row r="232">
      <c r="A232" s="43" t="s">
        <v>667</v>
      </c>
      <c r="B232" s="47" t="s">
        <v>668</v>
      </c>
      <c r="C232" s="43" t="s">
        <v>71</v>
      </c>
      <c r="D232" s="43">
        <v>4.0</v>
      </c>
      <c r="E232" s="43">
        <v>8.0</v>
      </c>
      <c r="F232" s="43">
        <f>IFERROR(__xludf.DUMMYFUNCTION("""COMPUTED_VALUE"""),6.0)</f>
        <v>6</v>
      </c>
      <c r="G232" s="43" t="s">
        <v>122</v>
      </c>
      <c r="H232" s="43" t="s">
        <v>113</v>
      </c>
      <c r="I232" s="43" t="s">
        <v>115</v>
      </c>
      <c r="J232" s="47" t="s">
        <v>115</v>
      </c>
      <c r="K232" s="38">
        <v>1.0</v>
      </c>
      <c r="L232" s="38">
        <v>2.0</v>
      </c>
      <c r="M232" s="38" t="str">
        <f>IFERROR(__xludf.DUMMYFUNCTION("""COMPUTED_VALUE"""),"Fast Moving / Consumable")</f>
        <v>Fast Moving / Consumable</v>
      </c>
      <c r="N232" s="38">
        <v>18.0</v>
      </c>
      <c r="O232" s="40">
        <v>45849.0</v>
      </c>
      <c r="P232" s="38" t="s">
        <v>126</v>
      </c>
      <c r="Q232" s="42">
        <v>2.0</v>
      </c>
      <c r="R232" s="42">
        <v>0.0</v>
      </c>
      <c r="S232" s="38">
        <v>0.0</v>
      </c>
      <c r="T232" s="42">
        <v>2.0</v>
      </c>
      <c r="U232" s="42">
        <v>2.0</v>
      </c>
    </row>
    <row r="233">
      <c r="A233" s="43" t="s">
        <v>669</v>
      </c>
      <c r="B233" s="47" t="s">
        <v>670</v>
      </c>
      <c r="C233" s="43" t="s">
        <v>71</v>
      </c>
      <c r="D233" s="43">
        <v>4.0</v>
      </c>
      <c r="E233" s="43">
        <v>8.0</v>
      </c>
      <c r="F233" s="43">
        <f>IFERROR(__xludf.DUMMYFUNCTION("""COMPUTED_VALUE"""),6.0)</f>
        <v>6</v>
      </c>
      <c r="G233" s="43" t="s">
        <v>122</v>
      </c>
      <c r="H233" s="43" t="s">
        <v>113</v>
      </c>
      <c r="I233" s="43" t="s">
        <v>115</v>
      </c>
      <c r="J233" s="47" t="s">
        <v>115</v>
      </c>
      <c r="K233" s="38">
        <v>1.0</v>
      </c>
      <c r="L233" s="38">
        <v>2.0</v>
      </c>
      <c r="M233" s="38" t="str">
        <f>IFERROR(__xludf.DUMMYFUNCTION("""COMPUTED_VALUE"""),"Fast Moving / Consumable")</f>
        <v>Fast Moving / Consumable</v>
      </c>
      <c r="N233" s="38">
        <v>18.0</v>
      </c>
      <c r="O233" s="40">
        <v>45849.0</v>
      </c>
      <c r="P233" s="38" t="s">
        <v>126</v>
      </c>
      <c r="Q233" s="42">
        <v>2.0</v>
      </c>
      <c r="R233" s="42">
        <v>0.0</v>
      </c>
      <c r="S233" s="38">
        <v>0.0</v>
      </c>
      <c r="T233" s="42">
        <v>2.0</v>
      </c>
      <c r="U233" s="42">
        <v>2.0</v>
      </c>
    </row>
    <row r="234">
      <c r="A234" s="43" t="s">
        <v>671</v>
      </c>
      <c r="B234" s="47" t="s">
        <v>672</v>
      </c>
      <c r="C234" s="43" t="s">
        <v>71</v>
      </c>
      <c r="D234" s="43">
        <v>4.0</v>
      </c>
      <c r="E234" s="43">
        <v>8.0</v>
      </c>
      <c r="F234" s="43">
        <f>IFERROR(__xludf.DUMMYFUNCTION("""COMPUTED_VALUE"""),20.0)</f>
        <v>20</v>
      </c>
      <c r="G234" s="43" t="s">
        <v>122</v>
      </c>
      <c r="H234" s="43" t="s">
        <v>113</v>
      </c>
      <c r="I234" s="43" t="s">
        <v>115</v>
      </c>
      <c r="J234" s="47" t="s">
        <v>666</v>
      </c>
      <c r="K234" s="38">
        <v>2.0</v>
      </c>
      <c r="L234" s="38">
        <v>10.0</v>
      </c>
      <c r="M234" s="38" t="str">
        <f>IFERROR(__xludf.DUMMYFUNCTION("""COMPUTED_VALUE"""),"Fast Moving / Consumable")</f>
        <v>Fast Moving / Consumable</v>
      </c>
      <c r="N234" s="38">
        <v>18.0</v>
      </c>
      <c r="O234" s="40">
        <v>45849.0</v>
      </c>
      <c r="P234" s="38" t="s">
        <v>126</v>
      </c>
      <c r="Q234" s="42">
        <v>10.0</v>
      </c>
      <c r="R234" s="42">
        <v>0.0</v>
      </c>
      <c r="S234" s="38">
        <v>0.0</v>
      </c>
      <c r="T234" s="42">
        <v>10.0</v>
      </c>
      <c r="U234" s="42">
        <v>10.0</v>
      </c>
    </row>
    <row r="235">
      <c r="A235" s="43" t="s">
        <v>673</v>
      </c>
      <c r="B235" s="47" t="s">
        <v>674</v>
      </c>
      <c r="C235" s="43" t="s">
        <v>71</v>
      </c>
      <c r="D235" s="43">
        <v>5.0</v>
      </c>
      <c r="E235" s="43">
        <v>10.0</v>
      </c>
      <c r="F235" s="43">
        <f>IFERROR(__xludf.DUMMYFUNCTION("""COMPUTED_VALUE"""),10.0)</f>
        <v>10</v>
      </c>
      <c r="G235" s="43" t="s">
        <v>122</v>
      </c>
      <c r="H235" s="43" t="s">
        <v>113</v>
      </c>
      <c r="I235" s="43" t="s">
        <v>115</v>
      </c>
      <c r="J235" s="47" t="s">
        <v>115</v>
      </c>
      <c r="K235" s="38">
        <v>0.0</v>
      </c>
      <c r="L235" s="38">
        <v>0.0</v>
      </c>
      <c r="M235" s="38" t="str">
        <f>IFERROR(__xludf.DUMMYFUNCTION("""COMPUTED_VALUE"""),"Fast Moving / Consumable")</f>
        <v>Fast Moving / Consumable</v>
      </c>
      <c r="N235" s="38">
        <v>18.0</v>
      </c>
      <c r="O235" s="40">
        <v>45530.0</v>
      </c>
      <c r="P235" s="38" t="s">
        <v>116</v>
      </c>
      <c r="Q235" s="42">
        <v>4.0</v>
      </c>
      <c r="R235" s="42">
        <v>0.0</v>
      </c>
      <c r="S235" s="38">
        <v>0.0</v>
      </c>
      <c r="T235" s="42">
        <v>4.0</v>
      </c>
      <c r="U235" s="42">
        <v>4.0</v>
      </c>
    </row>
    <row r="236">
      <c r="A236" s="43" t="s">
        <v>675</v>
      </c>
      <c r="B236" s="47" t="s">
        <v>676</v>
      </c>
      <c r="C236" s="43" t="s">
        <v>71</v>
      </c>
      <c r="D236" s="43">
        <v>5.0</v>
      </c>
      <c r="E236" s="43">
        <v>10.0</v>
      </c>
      <c r="F236" s="43">
        <f>IFERROR(__xludf.DUMMYFUNCTION("""COMPUTED_VALUE"""),10.0)</f>
        <v>10</v>
      </c>
      <c r="G236" s="43" t="s">
        <v>122</v>
      </c>
      <c r="H236" s="43" t="s">
        <v>113</v>
      </c>
      <c r="I236" s="43" t="s">
        <v>115</v>
      </c>
      <c r="J236" s="47" t="s">
        <v>115</v>
      </c>
      <c r="K236" s="38">
        <v>0.0</v>
      </c>
      <c r="L236" s="38">
        <v>0.0</v>
      </c>
      <c r="M236" s="38" t="str">
        <f>IFERROR(__xludf.DUMMYFUNCTION("""COMPUTED_VALUE"""),"Fast Moving / Consumable")</f>
        <v>Fast Moving / Consumable</v>
      </c>
      <c r="N236" s="38">
        <v>18.0</v>
      </c>
      <c r="O236" s="40">
        <v>45553.0</v>
      </c>
      <c r="P236" s="38" t="s">
        <v>116</v>
      </c>
      <c r="Q236" s="42">
        <v>10.0</v>
      </c>
      <c r="R236" s="42">
        <v>4.909090909090909</v>
      </c>
      <c r="S236" s="38">
        <v>0.0</v>
      </c>
      <c r="T236" s="42">
        <v>8.472727272727273</v>
      </c>
      <c r="U236" s="42">
        <v>8.472727272727273</v>
      </c>
    </row>
    <row r="237">
      <c r="A237" s="43" t="s">
        <v>677</v>
      </c>
      <c r="B237" s="47" t="s">
        <v>678</v>
      </c>
      <c r="C237" s="43" t="s">
        <v>71</v>
      </c>
      <c r="D237" s="43">
        <v>1.0</v>
      </c>
      <c r="E237" s="43">
        <v>2.0</v>
      </c>
      <c r="F237" s="43">
        <f>IFERROR(__xludf.DUMMYFUNCTION("""COMPUTED_VALUE"""),1.0)</f>
        <v>1</v>
      </c>
      <c r="G237" s="43" t="s">
        <v>125</v>
      </c>
      <c r="H237" s="43" t="s">
        <v>113</v>
      </c>
      <c r="I237" s="43" t="s">
        <v>115</v>
      </c>
      <c r="J237" s="47" t="s">
        <v>115</v>
      </c>
      <c r="K237" s="38">
        <v>1.0</v>
      </c>
      <c r="L237" s="38">
        <v>1.0</v>
      </c>
      <c r="M237" s="38" t="str">
        <f>IFERROR(__xludf.DUMMYFUNCTION("""COMPUTED_VALUE"""),"Critical Sparepart")</f>
        <v>Critical Sparepart</v>
      </c>
      <c r="N237" s="38">
        <v>36.0</v>
      </c>
      <c r="O237" s="40">
        <v>46022.0</v>
      </c>
      <c r="P237" s="38" t="s">
        <v>126</v>
      </c>
      <c r="Q237" s="42">
        <v>1.0</v>
      </c>
      <c r="R237" s="42">
        <v>0.2727272727272727</v>
      </c>
      <c r="S237" s="38">
        <v>0.0</v>
      </c>
      <c r="T237" s="42">
        <v>0.7818181818181817</v>
      </c>
      <c r="U237" s="42">
        <v>0.7818181818181817</v>
      </c>
    </row>
    <row r="238">
      <c r="A238" s="43" t="s">
        <v>679</v>
      </c>
      <c r="B238" s="47" t="s">
        <v>680</v>
      </c>
      <c r="C238" s="43" t="s">
        <v>71</v>
      </c>
      <c r="D238" s="43">
        <v>20.0</v>
      </c>
      <c r="E238" s="43">
        <v>40.0</v>
      </c>
      <c r="F238" s="43">
        <f>IFERROR(__xludf.DUMMYFUNCTION("""COMPUTED_VALUE"""),31.0)</f>
        <v>31</v>
      </c>
      <c r="G238" s="43" t="s">
        <v>122</v>
      </c>
      <c r="H238" s="43" t="s">
        <v>113</v>
      </c>
      <c r="I238" s="43" t="s">
        <v>115</v>
      </c>
      <c r="J238" s="47" t="s">
        <v>115</v>
      </c>
      <c r="K238" s="38">
        <v>2.0</v>
      </c>
      <c r="L238" s="38">
        <v>17.0</v>
      </c>
      <c r="M238" s="38" t="str">
        <f>IFERROR(__xludf.DUMMYFUNCTION("""COMPUTED_VALUE"""),"Fast Moving / Consumable")</f>
        <v>Fast Moving / Consumable</v>
      </c>
      <c r="N238" s="38">
        <v>18.0</v>
      </c>
      <c r="O238" s="40">
        <v>46022.0</v>
      </c>
      <c r="P238" s="38" t="s">
        <v>126</v>
      </c>
      <c r="Q238" s="42">
        <v>23.0</v>
      </c>
      <c r="R238" s="42">
        <v>2.4545454545454546</v>
      </c>
      <c r="S238" s="38">
        <v>0.0</v>
      </c>
      <c r="T238" s="42">
        <v>16.836363636363636</v>
      </c>
      <c r="U238" s="42">
        <v>16.836363636363636</v>
      </c>
    </row>
    <row r="239">
      <c r="A239" s="43" t="s">
        <v>681</v>
      </c>
      <c r="B239" s="47" t="s">
        <v>682</v>
      </c>
      <c r="C239" s="43" t="s">
        <v>71</v>
      </c>
      <c r="D239" s="43">
        <v>30.0</v>
      </c>
      <c r="E239" s="43">
        <v>60.0</v>
      </c>
      <c r="F239" s="43">
        <f>IFERROR(__xludf.DUMMYFUNCTION("""COMPUTED_VALUE"""),30.0)</f>
        <v>30</v>
      </c>
      <c r="G239" s="43" t="s">
        <v>125</v>
      </c>
      <c r="H239" s="43" t="s">
        <v>113</v>
      </c>
      <c r="I239" s="43" t="s">
        <v>115</v>
      </c>
      <c r="J239" s="47" t="s">
        <v>115</v>
      </c>
      <c r="K239" s="38">
        <v>0.0</v>
      </c>
      <c r="L239" s="38">
        <v>0.0</v>
      </c>
      <c r="M239" s="38" t="str">
        <f>IFERROR(__xludf.DUMMYFUNCTION("""COMPUTED_VALUE"""),"Fast Moving / Consumable")</f>
        <v>Fast Moving / Consumable</v>
      </c>
      <c r="N239" s="38">
        <v>18.0</v>
      </c>
      <c r="O239" s="40">
        <v>45295.0</v>
      </c>
      <c r="P239" s="38" t="s">
        <v>116</v>
      </c>
      <c r="Q239" s="42">
        <v>11.0</v>
      </c>
      <c r="R239" s="42">
        <v>0.0</v>
      </c>
      <c r="S239" s="38">
        <v>0.0</v>
      </c>
      <c r="T239" s="42">
        <v>11.0</v>
      </c>
      <c r="U239" s="42">
        <v>11.0</v>
      </c>
    </row>
    <row r="240">
      <c r="A240" s="43" t="s">
        <v>683</v>
      </c>
      <c r="B240" s="47" t="s">
        <v>684</v>
      </c>
      <c r="C240" s="43" t="s">
        <v>71</v>
      </c>
      <c r="D240" s="43">
        <v>10.0</v>
      </c>
      <c r="E240" s="43">
        <v>30.0</v>
      </c>
      <c r="F240" s="43">
        <f>IFERROR(__xludf.DUMMYFUNCTION("""COMPUTED_VALUE"""),15.0)</f>
        <v>15</v>
      </c>
      <c r="G240" s="43" t="s">
        <v>122</v>
      </c>
      <c r="H240" s="43" t="s">
        <v>113</v>
      </c>
      <c r="I240" s="43" t="s">
        <v>115</v>
      </c>
      <c r="J240" s="47" t="s">
        <v>115</v>
      </c>
      <c r="K240" s="38">
        <v>1.0</v>
      </c>
      <c r="L240" s="38">
        <v>7.0</v>
      </c>
      <c r="M240" s="38" t="str">
        <f>IFERROR(__xludf.DUMMYFUNCTION("""COMPUTED_VALUE"""),"Fast Moving / Consumable")</f>
        <v>Fast Moving / Consumable</v>
      </c>
      <c r="N240" s="38">
        <v>18.0</v>
      </c>
      <c r="O240" s="40">
        <v>46171.0</v>
      </c>
      <c r="P240" s="38" t="s">
        <v>126</v>
      </c>
      <c r="Q240" s="42">
        <v>9.0</v>
      </c>
      <c r="R240" s="42">
        <v>1.6363636363636362</v>
      </c>
      <c r="S240" s="38">
        <v>0.0</v>
      </c>
      <c r="T240" s="42">
        <v>6.790909090909091</v>
      </c>
      <c r="U240" s="42">
        <v>6.790909090909091</v>
      </c>
    </row>
    <row r="241">
      <c r="A241" s="43" t="s">
        <v>685</v>
      </c>
      <c r="B241" s="47" t="s">
        <v>686</v>
      </c>
      <c r="C241" s="43" t="s">
        <v>71</v>
      </c>
      <c r="D241" s="43">
        <v>0.0</v>
      </c>
      <c r="E241" s="43">
        <v>1.0</v>
      </c>
      <c r="F241" s="43">
        <f>IFERROR(__xludf.DUMMYFUNCTION("""COMPUTED_VALUE"""),0.0)</f>
        <v>0</v>
      </c>
      <c r="G241" s="43" t="s">
        <v>125</v>
      </c>
      <c r="H241" s="43" t="s">
        <v>113</v>
      </c>
      <c r="I241" s="43" t="s">
        <v>115</v>
      </c>
      <c r="J241" s="47" t="s">
        <v>115</v>
      </c>
      <c r="K241" s="38">
        <v>1.0</v>
      </c>
      <c r="L241" s="38">
        <v>1.0</v>
      </c>
      <c r="M241" s="38" t="str">
        <f>IFERROR(__xludf.DUMMYFUNCTION("""COMPUTED_VALUE"""),"General Sparepart")</f>
        <v>General Sparepart</v>
      </c>
      <c r="N241" s="38">
        <v>24.0</v>
      </c>
      <c r="O241" s="40">
        <v>45955.0</v>
      </c>
      <c r="P241" s="38" t="s">
        <v>126</v>
      </c>
      <c r="Q241" s="42">
        <v>1.0</v>
      </c>
      <c r="R241" s="42">
        <v>0.2727272727272727</v>
      </c>
      <c r="S241" s="38">
        <v>0.0</v>
      </c>
      <c r="T241" s="42">
        <v>0.7818181818181817</v>
      </c>
      <c r="U241" s="42">
        <v>0.7818181818181817</v>
      </c>
    </row>
    <row r="242">
      <c r="A242" s="43" t="s">
        <v>687</v>
      </c>
      <c r="B242" s="47" t="s">
        <v>688</v>
      </c>
      <c r="C242" s="43" t="s">
        <v>71</v>
      </c>
      <c r="D242" s="43">
        <v>3.0</v>
      </c>
      <c r="E242" s="43">
        <v>6.0</v>
      </c>
      <c r="F242" s="43">
        <f>IFERROR(__xludf.DUMMYFUNCTION("""COMPUTED_VALUE"""),10.0)</f>
        <v>10</v>
      </c>
      <c r="G242" s="43" t="s">
        <v>122</v>
      </c>
      <c r="H242" s="43" t="s">
        <v>113</v>
      </c>
      <c r="I242" s="43" t="s">
        <v>115</v>
      </c>
      <c r="J242" s="47" t="s">
        <v>115</v>
      </c>
      <c r="K242" s="38">
        <v>0.0</v>
      </c>
      <c r="L242" s="38">
        <v>0.0</v>
      </c>
      <c r="M242" s="38" t="str">
        <f>IFERROR(__xludf.DUMMYFUNCTION("""COMPUTED_VALUE"""),"General Sparepart")</f>
        <v>General Sparepart</v>
      </c>
      <c r="N242" s="38">
        <v>24.0</v>
      </c>
      <c r="O242" s="40">
        <v>44727.0</v>
      </c>
      <c r="P242" s="38" t="s">
        <v>116</v>
      </c>
      <c r="Q242" s="42">
        <v>2.0</v>
      </c>
      <c r="R242" s="42">
        <v>0.0</v>
      </c>
      <c r="S242" s="38">
        <v>0.0</v>
      </c>
      <c r="T242" s="42">
        <v>2.0</v>
      </c>
      <c r="U242" s="42">
        <v>2.0</v>
      </c>
    </row>
    <row r="243">
      <c r="A243" s="43" t="s">
        <v>689</v>
      </c>
      <c r="B243" s="47" t="s">
        <v>690</v>
      </c>
      <c r="C243" s="43" t="s">
        <v>73</v>
      </c>
      <c r="D243" s="43">
        <v>1.0</v>
      </c>
      <c r="E243" s="43">
        <v>2.0</v>
      </c>
      <c r="F243" s="43">
        <f>IFERROR(__xludf.DUMMYFUNCTION("""COMPUTED_VALUE"""),5.0)</f>
        <v>5</v>
      </c>
      <c r="G243" s="43" t="s">
        <v>122</v>
      </c>
      <c r="H243" s="43" t="s">
        <v>113</v>
      </c>
      <c r="I243" s="43" t="s">
        <v>115</v>
      </c>
      <c r="J243" s="47" t="s">
        <v>115</v>
      </c>
      <c r="K243" s="38">
        <v>0.0</v>
      </c>
      <c r="L243" s="38">
        <v>0.0</v>
      </c>
      <c r="M243" s="38" t="str">
        <f>IFERROR(__xludf.DUMMYFUNCTION("""COMPUTED_VALUE"""),"Fast Moving / Consumable")</f>
        <v>Fast Moving / Consumable</v>
      </c>
      <c r="N243" s="38">
        <v>18.0</v>
      </c>
      <c r="O243" s="40">
        <v>44421.0</v>
      </c>
      <c r="P243" s="38" t="s">
        <v>116</v>
      </c>
      <c r="Q243" s="42">
        <v>2.0</v>
      </c>
      <c r="R243" s="42">
        <v>0.0</v>
      </c>
      <c r="S243" s="38">
        <v>0.0</v>
      </c>
      <c r="T243" s="42">
        <v>2.0</v>
      </c>
      <c r="U243" s="42">
        <v>2.0</v>
      </c>
    </row>
    <row r="244">
      <c r="A244" s="43" t="s">
        <v>691</v>
      </c>
      <c r="B244" s="47" t="s">
        <v>692</v>
      </c>
      <c r="C244" s="43" t="s">
        <v>73</v>
      </c>
      <c r="D244" s="43">
        <v>2.0</v>
      </c>
      <c r="E244" s="43">
        <v>5.0</v>
      </c>
      <c r="F244" s="43">
        <f>IFERROR(__xludf.DUMMYFUNCTION("""COMPUTED_VALUE"""),22.0)</f>
        <v>22</v>
      </c>
      <c r="G244" s="43" t="s">
        <v>122</v>
      </c>
      <c r="H244" s="43" t="s">
        <v>113</v>
      </c>
      <c r="I244" s="43" t="s">
        <v>115</v>
      </c>
      <c r="J244" s="47" t="s">
        <v>115</v>
      </c>
      <c r="K244" s="38">
        <v>0.0</v>
      </c>
      <c r="L244" s="38">
        <v>0.0</v>
      </c>
      <c r="M244" s="38" t="str">
        <f>IFERROR(__xludf.DUMMYFUNCTION("""COMPUTED_VALUE"""),"Fast Moving / Consumable")</f>
        <v>Fast Moving / Consumable</v>
      </c>
      <c r="N244" s="38">
        <v>18.0</v>
      </c>
      <c r="O244" s="40">
        <v>45373.0</v>
      </c>
      <c r="P244" s="38" t="s">
        <v>116</v>
      </c>
      <c r="Q244" s="42">
        <v>12.0</v>
      </c>
      <c r="R244" s="42">
        <v>0.2727272727272727</v>
      </c>
      <c r="S244" s="38">
        <v>0.0</v>
      </c>
      <c r="T244" s="42">
        <v>8.48181818181818</v>
      </c>
      <c r="U244" s="42">
        <v>8.48181818181818</v>
      </c>
    </row>
    <row r="245">
      <c r="A245" s="43" t="s">
        <v>693</v>
      </c>
      <c r="B245" s="47" t="s">
        <v>694</v>
      </c>
      <c r="C245" s="43" t="s">
        <v>73</v>
      </c>
      <c r="D245" s="43">
        <v>1.0</v>
      </c>
      <c r="E245" s="43">
        <v>1.0</v>
      </c>
      <c r="F245" s="43">
        <f>IFERROR(__xludf.DUMMYFUNCTION("""COMPUTED_VALUE"""),0.0)</f>
        <v>0</v>
      </c>
      <c r="G245" s="43" t="s">
        <v>112</v>
      </c>
      <c r="H245" s="43" t="s">
        <v>119</v>
      </c>
      <c r="I245" s="43" t="s">
        <v>141</v>
      </c>
      <c r="J245" s="47" t="s">
        <v>696</v>
      </c>
      <c r="K245" s="38">
        <v>1.0</v>
      </c>
      <c r="L245" s="38">
        <v>1.0</v>
      </c>
      <c r="M245" s="38" t="str">
        <f>IFERROR(__xludf.DUMMYFUNCTION("""COMPUTED_VALUE"""),"Critical Sparepart")</f>
        <v>Critical Sparepart</v>
      </c>
      <c r="N245" s="38">
        <v>36.0</v>
      </c>
      <c r="O245" s="40">
        <v>45231.0</v>
      </c>
      <c r="P245" s="38" t="s">
        <v>126</v>
      </c>
      <c r="Q245" s="42">
        <v>0.0</v>
      </c>
      <c r="R245" s="42">
        <v>0.2727272727272727</v>
      </c>
      <c r="S245" s="38">
        <v>0.0</v>
      </c>
      <c r="T245" s="42">
        <v>0.0818181818181818</v>
      </c>
      <c r="U245" s="42">
        <v>0.0818181818181818</v>
      </c>
    </row>
    <row r="246">
      <c r="A246" s="43" t="s">
        <v>697</v>
      </c>
      <c r="B246" s="47" t="s">
        <v>698</v>
      </c>
      <c r="C246" s="43" t="s">
        <v>73</v>
      </c>
      <c r="D246" s="43">
        <v>1.0</v>
      </c>
      <c r="E246" s="43">
        <v>2.0</v>
      </c>
      <c r="F246" s="43">
        <f>IFERROR(__xludf.DUMMYFUNCTION("""COMPUTED_VALUE"""),2.0)</f>
        <v>2</v>
      </c>
      <c r="G246" s="43" t="s">
        <v>122</v>
      </c>
      <c r="H246" s="43" t="s">
        <v>113</v>
      </c>
      <c r="I246" s="43" t="s">
        <v>115</v>
      </c>
      <c r="J246" s="47" t="s">
        <v>699</v>
      </c>
      <c r="K246" s="38">
        <v>1.0</v>
      </c>
      <c r="L246" s="38">
        <v>2.0</v>
      </c>
      <c r="M246" s="38" t="str">
        <f>IFERROR(__xludf.DUMMYFUNCTION("""COMPUTED_VALUE"""),"Fast Moving / Consumable")</f>
        <v>Fast Moving / Consumable</v>
      </c>
      <c r="N246" s="38">
        <v>18.0</v>
      </c>
      <c r="O246" s="40">
        <v>45875.0</v>
      </c>
      <c r="P246" s="38" t="s">
        <v>126</v>
      </c>
      <c r="Q246" s="42">
        <v>2.0</v>
      </c>
      <c r="R246" s="42">
        <v>0.0</v>
      </c>
      <c r="S246" s="38">
        <v>0.0</v>
      </c>
      <c r="T246" s="42">
        <v>2.0</v>
      </c>
      <c r="U246" s="42">
        <v>2.0</v>
      </c>
    </row>
    <row r="247">
      <c r="A247" s="43" t="s">
        <v>700</v>
      </c>
      <c r="B247" s="47" t="s">
        <v>701</v>
      </c>
      <c r="C247" s="43" t="s">
        <v>73</v>
      </c>
      <c r="D247" s="43">
        <v>1.0</v>
      </c>
      <c r="E247" s="43">
        <v>2.0</v>
      </c>
      <c r="F247" s="43">
        <f>IFERROR(__xludf.DUMMYFUNCTION("""COMPUTED_VALUE"""),1.0)</f>
        <v>1</v>
      </c>
      <c r="G247" s="43" t="s">
        <v>125</v>
      </c>
      <c r="H247" s="43" t="s">
        <v>113</v>
      </c>
      <c r="I247" s="43" t="s">
        <v>115</v>
      </c>
      <c r="J247" s="47" t="s">
        <v>115</v>
      </c>
      <c r="K247" s="38">
        <v>0.0</v>
      </c>
      <c r="L247" s="38">
        <v>0.0</v>
      </c>
      <c r="M247" s="38" t="str">
        <f>IFERROR(__xludf.DUMMYFUNCTION("""COMPUTED_VALUE"""),"General Sparepart")</f>
        <v>General Sparepart</v>
      </c>
      <c r="N247" s="38">
        <v>24.0</v>
      </c>
      <c r="O247" s="40">
        <v>45341.0</v>
      </c>
      <c r="P247" s="38" t="s">
        <v>116</v>
      </c>
      <c r="Q247" s="42">
        <v>1.0</v>
      </c>
      <c r="R247" s="42">
        <v>0.8181818181818181</v>
      </c>
      <c r="S247" s="38">
        <v>0.0</v>
      </c>
      <c r="T247" s="42">
        <v>0.9454545454545453</v>
      </c>
      <c r="U247" s="42">
        <v>0.9454545454545453</v>
      </c>
    </row>
    <row r="248">
      <c r="A248" s="43" t="s">
        <v>702</v>
      </c>
      <c r="B248" s="47" t="s">
        <v>703</v>
      </c>
      <c r="C248" s="43" t="s">
        <v>73</v>
      </c>
      <c r="D248" s="43">
        <v>1.0</v>
      </c>
      <c r="E248" s="43">
        <v>2.0</v>
      </c>
      <c r="F248" s="43">
        <f>IFERROR(__xludf.DUMMYFUNCTION("""COMPUTED_VALUE"""),1.0)</f>
        <v>1</v>
      </c>
      <c r="G248" s="43" t="s">
        <v>125</v>
      </c>
      <c r="H248" s="43" t="s">
        <v>113</v>
      </c>
      <c r="I248" s="43" t="s">
        <v>115</v>
      </c>
      <c r="J248" s="47" t="s">
        <v>115</v>
      </c>
      <c r="K248" s="38">
        <v>1.0</v>
      </c>
      <c r="L248" s="38">
        <v>1.0</v>
      </c>
      <c r="M248" s="38" t="str">
        <f>IFERROR(__xludf.DUMMYFUNCTION("""COMPUTED_VALUE"""),"General Sparepart")</f>
        <v>General Sparepart</v>
      </c>
      <c r="N248" s="38">
        <v>24.0</v>
      </c>
      <c r="O248" s="40">
        <v>45534.0</v>
      </c>
      <c r="P248" s="38" t="s">
        <v>126</v>
      </c>
      <c r="Q248" s="42">
        <v>1.0</v>
      </c>
      <c r="R248" s="42">
        <v>0.8181818181818181</v>
      </c>
      <c r="S248" s="38">
        <v>0.0</v>
      </c>
      <c r="T248" s="42">
        <v>0.9454545454545453</v>
      </c>
      <c r="U248" s="42">
        <v>0.9454545454545453</v>
      </c>
    </row>
    <row r="249">
      <c r="A249" s="43" t="s">
        <v>704</v>
      </c>
      <c r="B249" s="47" t="s">
        <v>705</v>
      </c>
      <c r="C249" s="43" t="s">
        <v>73</v>
      </c>
      <c r="D249" s="43">
        <v>0.0</v>
      </c>
      <c r="E249" s="43">
        <v>1.0</v>
      </c>
      <c r="F249" s="43">
        <f>IFERROR(__xludf.DUMMYFUNCTION("""COMPUTED_VALUE"""),0.0)</f>
        <v>0</v>
      </c>
      <c r="G249" s="43" t="s">
        <v>125</v>
      </c>
      <c r="H249" s="43" t="s">
        <v>119</v>
      </c>
      <c r="I249" s="43" t="s">
        <v>141</v>
      </c>
      <c r="J249" s="47" t="s">
        <v>706</v>
      </c>
      <c r="K249" s="38">
        <v>0.0</v>
      </c>
      <c r="L249" s="38">
        <v>0.0</v>
      </c>
      <c r="M249" s="38" t="str">
        <f>IFERROR(__xludf.DUMMYFUNCTION("""COMPUTED_VALUE"""),"Critical Sparepart")</f>
        <v>Critical Sparepart</v>
      </c>
      <c r="N249" s="38">
        <v>36.0</v>
      </c>
      <c r="O249" s="40">
        <v>0.0</v>
      </c>
      <c r="P249" s="38" t="s">
        <v>116</v>
      </c>
      <c r="Q249" s="42">
        <v>0.0</v>
      </c>
      <c r="R249" s="42">
        <v>0.0</v>
      </c>
      <c r="S249" s="38">
        <v>0.0</v>
      </c>
      <c r="T249" s="42">
        <v>0.0</v>
      </c>
      <c r="U249" s="42">
        <v>0.0</v>
      </c>
    </row>
    <row r="250">
      <c r="A250" s="43" t="s">
        <v>707</v>
      </c>
      <c r="B250" s="47" t="s">
        <v>708</v>
      </c>
      <c r="C250" s="43" t="s">
        <v>73</v>
      </c>
      <c r="D250" s="43">
        <v>1.0</v>
      </c>
      <c r="E250" s="43">
        <v>2.0</v>
      </c>
      <c r="F250" s="43">
        <f>IFERROR(__xludf.DUMMYFUNCTION("""COMPUTED_VALUE"""),0.0)</f>
        <v>0</v>
      </c>
      <c r="G250" s="43" t="s">
        <v>112</v>
      </c>
      <c r="H250" s="43" t="s">
        <v>113</v>
      </c>
      <c r="I250" s="43" t="s">
        <v>115</v>
      </c>
      <c r="J250" s="47">
        <v>1.21703511E8</v>
      </c>
      <c r="K250" s="38">
        <v>0.0</v>
      </c>
      <c r="L250" s="38">
        <v>0.0</v>
      </c>
      <c r="M250" s="38" t="str">
        <f>IFERROR(__xludf.DUMMYFUNCTION("""COMPUTED_VALUE"""),"Critical Sparepart")</f>
        <v>Critical Sparepart</v>
      </c>
      <c r="N250" s="38">
        <v>36.0</v>
      </c>
      <c r="O250" s="40">
        <v>0.0</v>
      </c>
      <c r="P250" s="38" t="s">
        <v>116</v>
      </c>
      <c r="Q250" s="42">
        <v>0.0</v>
      </c>
      <c r="R250" s="42">
        <v>0.0</v>
      </c>
      <c r="S250" s="38">
        <v>0.0</v>
      </c>
      <c r="T250" s="42">
        <v>0.0</v>
      </c>
      <c r="U250" s="42">
        <v>0.0</v>
      </c>
    </row>
    <row r="251">
      <c r="A251" s="43" t="s">
        <v>709</v>
      </c>
      <c r="B251" s="47" t="s">
        <v>710</v>
      </c>
      <c r="C251" s="43" t="s">
        <v>73</v>
      </c>
      <c r="D251" s="43">
        <v>0.0</v>
      </c>
      <c r="E251" s="43">
        <v>1.0</v>
      </c>
      <c r="F251" s="43">
        <f>IFERROR(__xludf.DUMMYFUNCTION("""COMPUTED_VALUE"""),0.0)</f>
        <v>0</v>
      </c>
      <c r="G251" s="43" t="s">
        <v>125</v>
      </c>
      <c r="H251" s="43" t="s">
        <v>113</v>
      </c>
      <c r="I251" s="43" t="s">
        <v>115</v>
      </c>
      <c r="J251" s="47" t="s">
        <v>115</v>
      </c>
      <c r="K251" s="38">
        <v>0.0</v>
      </c>
      <c r="L251" s="38">
        <v>0.0</v>
      </c>
      <c r="M251" s="38" t="str">
        <f>IFERROR(__xludf.DUMMYFUNCTION("""COMPUTED_VALUE"""),"Critical Sparepart")</f>
        <v>Critical Sparepart</v>
      </c>
      <c r="N251" s="38">
        <v>36.0</v>
      </c>
      <c r="O251" s="40">
        <v>0.0</v>
      </c>
      <c r="P251" s="38" t="s">
        <v>116</v>
      </c>
      <c r="Q251" s="42">
        <v>0.0</v>
      </c>
      <c r="R251" s="42">
        <v>0.0</v>
      </c>
      <c r="S251" s="38">
        <v>0.0</v>
      </c>
      <c r="T251" s="42">
        <v>0.0</v>
      </c>
      <c r="U251" s="42">
        <v>0.0</v>
      </c>
    </row>
    <row r="252">
      <c r="A252" s="43" t="s">
        <v>711</v>
      </c>
      <c r="B252" s="47" t="s">
        <v>712</v>
      </c>
      <c r="C252" s="43" t="s">
        <v>73</v>
      </c>
      <c r="D252" s="43">
        <v>1.0</v>
      </c>
      <c r="E252" s="43">
        <v>2.0</v>
      </c>
      <c r="F252" s="43">
        <f>IFERROR(__xludf.DUMMYFUNCTION("""COMPUTED_VALUE"""),1.0)</f>
        <v>1</v>
      </c>
      <c r="G252" s="43" t="s">
        <v>125</v>
      </c>
      <c r="H252" s="43" t="s">
        <v>113</v>
      </c>
      <c r="I252" s="43" t="s">
        <v>115</v>
      </c>
      <c r="J252" s="47" t="s">
        <v>115</v>
      </c>
      <c r="K252" s="38">
        <v>1.0</v>
      </c>
      <c r="L252" s="38">
        <v>2.0</v>
      </c>
      <c r="M252" s="38" t="str">
        <f>IFERROR(__xludf.DUMMYFUNCTION("""COMPUTED_VALUE"""),"General Sparepart")</f>
        <v>General Sparepart</v>
      </c>
      <c r="N252" s="38">
        <v>24.0</v>
      </c>
      <c r="O252" s="40">
        <v>46022.0</v>
      </c>
      <c r="P252" s="38" t="s">
        <v>126</v>
      </c>
      <c r="Q252" s="42">
        <v>2.0</v>
      </c>
      <c r="R252" s="42">
        <v>0.2727272727272727</v>
      </c>
      <c r="S252" s="38">
        <v>0.0</v>
      </c>
      <c r="T252" s="42">
        <v>1.4818181818181817</v>
      </c>
      <c r="U252" s="42">
        <v>1.4818181818181817</v>
      </c>
    </row>
    <row r="253">
      <c r="A253" s="43" t="s">
        <v>713</v>
      </c>
      <c r="B253" s="47" t="s">
        <v>714</v>
      </c>
      <c r="C253" s="43" t="s">
        <v>73</v>
      </c>
      <c r="D253" s="43">
        <v>0.0</v>
      </c>
      <c r="E253" s="43">
        <v>1.0</v>
      </c>
      <c r="F253" s="43">
        <f>IFERROR(__xludf.DUMMYFUNCTION("""COMPUTED_VALUE"""),0.0)</f>
        <v>0</v>
      </c>
      <c r="G253" s="43" t="s">
        <v>125</v>
      </c>
      <c r="H253" s="43" t="s">
        <v>113</v>
      </c>
      <c r="I253" s="43" t="s">
        <v>115</v>
      </c>
      <c r="J253" s="47" t="s">
        <v>115</v>
      </c>
      <c r="K253" s="38">
        <v>0.0</v>
      </c>
      <c r="L253" s="38">
        <v>0.0</v>
      </c>
      <c r="M253" s="38" t="str">
        <f>IFERROR(__xludf.DUMMYFUNCTION("""COMPUTED_VALUE"""),"Critical Sparepart")</f>
        <v>Critical Sparepart</v>
      </c>
      <c r="N253" s="38">
        <v>36.0</v>
      </c>
      <c r="O253" s="40">
        <v>0.0</v>
      </c>
      <c r="P253" s="38" t="s">
        <v>116</v>
      </c>
      <c r="Q253" s="42">
        <v>0.0</v>
      </c>
      <c r="R253" s="42">
        <v>0.0</v>
      </c>
      <c r="S253" s="38">
        <v>0.0</v>
      </c>
      <c r="T253" s="42">
        <v>0.0</v>
      </c>
      <c r="U253" s="42">
        <v>0.0</v>
      </c>
    </row>
    <row r="254">
      <c r="A254" s="43" t="s">
        <v>715</v>
      </c>
      <c r="B254" s="47" t="s">
        <v>716</v>
      </c>
      <c r="C254" s="43" t="s">
        <v>73</v>
      </c>
      <c r="D254" s="43">
        <v>1.0</v>
      </c>
      <c r="E254" s="43">
        <v>2.0</v>
      </c>
      <c r="F254" s="43">
        <f>IFERROR(__xludf.DUMMYFUNCTION("""COMPUTED_VALUE"""),3.0)</f>
        <v>3</v>
      </c>
      <c r="G254" s="43" t="s">
        <v>122</v>
      </c>
      <c r="H254" s="43" t="s">
        <v>113</v>
      </c>
      <c r="I254" s="43" t="s">
        <v>115</v>
      </c>
      <c r="J254" s="47" t="s">
        <v>115</v>
      </c>
      <c r="K254" s="38">
        <v>1.0</v>
      </c>
      <c r="L254" s="38">
        <v>1.0</v>
      </c>
      <c r="M254" s="38" t="str">
        <f>IFERROR(__xludf.DUMMYFUNCTION("""COMPUTED_VALUE"""),"Critical Sparepart")</f>
        <v>Critical Sparepart</v>
      </c>
      <c r="N254" s="38">
        <v>36.0</v>
      </c>
      <c r="O254" s="40">
        <v>45715.0</v>
      </c>
      <c r="P254" s="38" t="s">
        <v>126</v>
      </c>
      <c r="Q254" s="42">
        <v>1.0</v>
      </c>
      <c r="R254" s="42">
        <v>0.2727272727272727</v>
      </c>
      <c r="S254" s="38">
        <v>0.0</v>
      </c>
      <c r="T254" s="42">
        <v>0.7818181818181817</v>
      </c>
      <c r="U254" s="42">
        <v>0.7818181818181817</v>
      </c>
    </row>
    <row r="255">
      <c r="A255" s="43" t="s">
        <v>717</v>
      </c>
      <c r="B255" s="47" t="s">
        <v>718</v>
      </c>
      <c r="C255" s="43" t="s">
        <v>73</v>
      </c>
      <c r="D255" s="43">
        <v>1.0</v>
      </c>
      <c r="E255" s="43">
        <v>2.0</v>
      </c>
      <c r="F255" s="43">
        <f>IFERROR(__xludf.DUMMYFUNCTION("""COMPUTED_VALUE"""),0.0)</f>
        <v>0</v>
      </c>
      <c r="G255" s="43" t="s">
        <v>112</v>
      </c>
      <c r="H255" s="43" t="s">
        <v>119</v>
      </c>
      <c r="I255" s="43" t="s">
        <v>119</v>
      </c>
      <c r="J255" s="47" t="s">
        <v>115</v>
      </c>
      <c r="K255" s="38">
        <v>0.0</v>
      </c>
      <c r="L255" s="38">
        <v>0.0</v>
      </c>
      <c r="M255" s="38" t="str">
        <f>IFERROR(__xludf.DUMMYFUNCTION("""COMPUTED_VALUE"""),"Critical Sparepart")</f>
        <v>Critical Sparepart</v>
      </c>
      <c r="N255" s="38">
        <v>36.0</v>
      </c>
      <c r="O255" s="40">
        <v>0.0</v>
      </c>
      <c r="P255" s="38" t="s">
        <v>116</v>
      </c>
      <c r="Q255" s="42">
        <v>0.0</v>
      </c>
      <c r="R255" s="42">
        <v>0.0</v>
      </c>
      <c r="S255" s="38">
        <v>0.0</v>
      </c>
      <c r="T255" s="42">
        <v>0.0</v>
      </c>
      <c r="U255" s="42">
        <v>0.0</v>
      </c>
    </row>
    <row r="256">
      <c r="A256" s="43" t="s">
        <v>719</v>
      </c>
      <c r="B256" s="47" t="s">
        <v>720</v>
      </c>
      <c r="C256" s="43" t="s">
        <v>73</v>
      </c>
      <c r="D256" s="43">
        <v>1.0</v>
      </c>
      <c r="E256" s="43">
        <v>2.0</v>
      </c>
      <c r="F256" s="43">
        <f>IFERROR(__xludf.DUMMYFUNCTION("""COMPUTED_VALUE"""),2.0)</f>
        <v>2</v>
      </c>
      <c r="G256" s="43" t="s">
        <v>122</v>
      </c>
      <c r="H256" s="43" t="s">
        <v>113</v>
      </c>
      <c r="I256" s="43" t="s">
        <v>115</v>
      </c>
      <c r="J256" s="47" t="s">
        <v>721</v>
      </c>
      <c r="K256" s="38">
        <v>1.0</v>
      </c>
      <c r="L256" s="38">
        <v>2.0</v>
      </c>
      <c r="M256" s="38" t="str">
        <f>IFERROR(__xludf.DUMMYFUNCTION("""COMPUTED_VALUE"""),"General Sparepart")</f>
        <v>General Sparepart</v>
      </c>
      <c r="N256" s="38">
        <v>24.0</v>
      </c>
      <c r="O256" s="40">
        <v>45874.0</v>
      </c>
      <c r="P256" s="38" t="s">
        <v>126</v>
      </c>
      <c r="Q256" s="42">
        <v>2.0</v>
      </c>
      <c r="R256" s="42">
        <v>1.0909090909090908</v>
      </c>
      <c r="S256" s="38">
        <v>0.0</v>
      </c>
      <c r="T256" s="42">
        <v>1.727272727272727</v>
      </c>
      <c r="U256" s="42">
        <v>1.727272727272727</v>
      </c>
    </row>
    <row r="257">
      <c r="A257" s="43" t="s">
        <v>722</v>
      </c>
      <c r="B257" s="47" t="s">
        <v>723</v>
      </c>
      <c r="C257" s="43" t="s">
        <v>73</v>
      </c>
      <c r="D257" s="43">
        <v>1.0</v>
      </c>
      <c r="E257" s="43">
        <v>1.0</v>
      </c>
      <c r="F257" s="43">
        <f>IFERROR(__xludf.DUMMYFUNCTION("""COMPUTED_VALUE"""),1.0)</f>
        <v>1</v>
      </c>
      <c r="G257" s="43" t="s">
        <v>125</v>
      </c>
      <c r="H257" s="43" t="s">
        <v>113</v>
      </c>
      <c r="I257" s="43" t="s">
        <v>115</v>
      </c>
      <c r="J257" s="47">
        <v>1.2170349E8</v>
      </c>
      <c r="K257" s="38">
        <v>1.0</v>
      </c>
      <c r="L257" s="38">
        <v>1.0</v>
      </c>
      <c r="M257" s="38" t="str">
        <f>IFERROR(__xludf.DUMMYFUNCTION("""COMPUTED_VALUE"""),"Critical Sparepart")</f>
        <v>Critical Sparepart</v>
      </c>
      <c r="N257" s="38">
        <v>36.0</v>
      </c>
      <c r="O257" s="40">
        <v>45974.0</v>
      </c>
      <c r="P257" s="38" t="s">
        <v>126</v>
      </c>
      <c r="Q257" s="42">
        <v>1.0</v>
      </c>
      <c r="R257" s="42">
        <v>0.0</v>
      </c>
      <c r="S257" s="38">
        <v>1.0</v>
      </c>
      <c r="T257" s="42">
        <v>1.0</v>
      </c>
      <c r="U257" s="42">
        <v>1.0</v>
      </c>
    </row>
    <row r="258">
      <c r="A258" s="43" t="s">
        <v>724</v>
      </c>
      <c r="B258" s="47" t="s">
        <v>725</v>
      </c>
      <c r="C258" s="43" t="s">
        <v>73</v>
      </c>
      <c r="D258" s="43">
        <v>1.0</v>
      </c>
      <c r="E258" s="43">
        <v>1.0</v>
      </c>
      <c r="F258" s="43">
        <f>IFERROR(__xludf.DUMMYFUNCTION("""COMPUTED_VALUE"""),0.0)</f>
        <v>0</v>
      </c>
      <c r="G258" s="43" t="s">
        <v>112</v>
      </c>
      <c r="H258" s="43" t="s">
        <v>113</v>
      </c>
      <c r="I258" s="43" t="s">
        <v>115</v>
      </c>
      <c r="J258" s="47">
        <v>1.2170349E8</v>
      </c>
      <c r="K258" s="38">
        <v>1.0</v>
      </c>
      <c r="L258" s="38">
        <v>1.0</v>
      </c>
      <c r="M258" s="38" t="str">
        <f>IFERROR(__xludf.DUMMYFUNCTION("""COMPUTED_VALUE"""),"Critical Sparepart")</f>
        <v>Critical Sparepart</v>
      </c>
      <c r="N258" s="38">
        <v>36.0</v>
      </c>
      <c r="O258" s="40">
        <v>46234.0</v>
      </c>
      <c r="P258" s="38" t="s">
        <v>126</v>
      </c>
      <c r="Q258" s="42">
        <v>1.0</v>
      </c>
      <c r="R258" s="42">
        <v>0.2727272727272727</v>
      </c>
      <c r="S258" s="38">
        <v>1.0</v>
      </c>
      <c r="T258" s="42">
        <v>0.7818181818181817</v>
      </c>
      <c r="U258" s="46">
        <v>1.0</v>
      </c>
    </row>
    <row r="259">
      <c r="A259" s="43" t="s">
        <v>726</v>
      </c>
      <c r="B259" s="47" t="s">
        <v>727</v>
      </c>
      <c r="C259" s="43" t="s">
        <v>73</v>
      </c>
      <c r="D259" s="43">
        <v>1.0</v>
      </c>
      <c r="E259" s="43">
        <v>1.0</v>
      </c>
      <c r="F259" s="43">
        <f>IFERROR(__xludf.DUMMYFUNCTION("""COMPUTED_VALUE"""),1.0)</f>
        <v>1</v>
      </c>
      <c r="G259" s="43" t="s">
        <v>125</v>
      </c>
      <c r="H259" s="43" t="s">
        <v>113</v>
      </c>
      <c r="I259" s="43" t="s">
        <v>115</v>
      </c>
      <c r="J259" s="47">
        <v>1.2170349E8</v>
      </c>
      <c r="K259" s="38">
        <v>1.0</v>
      </c>
      <c r="L259" s="38">
        <v>1.0</v>
      </c>
      <c r="M259" s="38" t="str">
        <f>IFERROR(__xludf.DUMMYFUNCTION("""COMPUTED_VALUE"""),"Critical Sparepart")</f>
        <v>Critical Sparepart</v>
      </c>
      <c r="N259" s="38">
        <v>36.0</v>
      </c>
      <c r="O259" s="40">
        <v>45974.0</v>
      </c>
      <c r="P259" s="38" t="s">
        <v>126</v>
      </c>
      <c r="Q259" s="42">
        <v>1.0</v>
      </c>
      <c r="R259" s="42">
        <v>0.0</v>
      </c>
      <c r="S259" s="38">
        <v>1.0</v>
      </c>
      <c r="T259" s="42">
        <v>1.0</v>
      </c>
      <c r="U259" s="42">
        <v>1.0</v>
      </c>
    </row>
    <row r="260">
      <c r="A260" s="43" t="s">
        <v>728</v>
      </c>
      <c r="B260" s="47" t="s">
        <v>729</v>
      </c>
      <c r="C260" s="43" t="s">
        <v>73</v>
      </c>
      <c r="D260" s="43">
        <v>1.0</v>
      </c>
      <c r="E260" s="43">
        <v>2.0</v>
      </c>
      <c r="F260" s="43">
        <f>IFERROR(__xludf.DUMMYFUNCTION("""COMPUTED_VALUE"""),1.0)</f>
        <v>1</v>
      </c>
      <c r="G260" s="43" t="s">
        <v>125</v>
      </c>
      <c r="H260" s="43" t="s">
        <v>113</v>
      </c>
      <c r="I260" s="43" t="s">
        <v>115</v>
      </c>
      <c r="J260" s="47">
        <v>1.2170349E8</v>
      </c>
      <c r="K260" s="38">
        <v>1.0</v>
      </c>
      <c r="L260" s="38">
        <v>1.0</v>
      </c>
      <c r="M260" s="38" t="str">
        <f>IFERROR(__xludf.DUMMYFUNCTION("""COMPUTED_VALUE"""),"General Sparepart")</f>
        <v>General Sparepart</v>
      </c>
      <c r="N260" s="38">
        <v>24.0</v>
      </c>
      <c r="O260" s="40">
        <v>45974.0</v>
      </c>
      <c r="P260" s="38" t="s">
        <v>126</v>
      </c>
      <c r="Q260" s="42">
        <v>1.0</v>
      </c>
      <c r="R260" s="42">
        <v>0.0</v>
      </c>
      <c r="S260" s="38">
        <v>1.0</v>
      </c>
      <c r="T260" s="42">
        <v>1.0</v>
      </c>
      <c r="U260" s="42">
        <v>1.0</v>
      </c>
    </row>
    <row r="261">
      <c r="A261" s="43" t="s">
        <v>731</v>
      </c>
      <c r="B261" s="47" t="s">
        <v>732</v>
      </c>
      <c r="C261" s="43" t="s">
        <v>73</v>
      </c>
      <c r="D261" s="43">
        <v>1.0</v>
      </c>
      <c r="E261" s="43">
        <v>2.0</v>
      </c>
      <c r="F261" s="43">
        <f>IFERROR(__xludf.DUMMYFUNCTION("""COMPUTED_VALUE"""),1.0)</f>
        <v>1</v>
      </c>
      <c r="G261" s="43" t="s">
        <v>125</v>
      </c>
      <c r="H261" s="43" t="s">
        <v>113</v>
      </c>
      <c r="I261" s="43" t="s">
        <v>115</v>
      </c>
      <c r="J261" s="47">
        <v>1.2170349E8</v>
      </c>
      <c r="K261" s="38">
        <v>1.0</v>
      </c>
      <c r="L261" s="38">
        <v>1.0</v>
      </c>
      <c r="M261" s="38" t="str">
        <f>IFERROR(__xludf.DUMMYFUNCTION("""COMPUTED_VALUE"""),"General Sparepart")</f>
        <v>General Sparepart</v>
      </c>
      <c r="N261" s="38">
        <v>24.0</v>
      </c>
      <c r="O261" s="40">
        <v>45974.0</v>
      </c>
      <c r="P261" s="38" t="s">
        <v>126</v>
      </c>
      <c r="Q261" s="42">
        <v>1.0</v>
      </c>
      <c r="R261" s="42">
        <v>0.0</v>
      </c>
      <c r="S261" s="38">
        <v>1.0</v>
      </c>
      <c r="T261" s="42">
        <v>1.0</v>
      </c>
      <c r="U261" s="42">
        <v>1.0</v>
      </c>
    </row>
    <row r="262">
      <c r="A262" s="43" t="s">
        <v>733</v>
      </c>
      <c r="B262" s="47" t="s">
        <v>734</v>
      </c>
      <c r="C262" s="43" t="s">
        <v>73</v>
      </c>
      <c r="D262" s="43">
        <v>0.0</v>
      </c>
      <c r="E262" s="43">
        <v>1.0</v>
      </c>
      <c r="F262" s="43">
        <f>IFERROR(__xludf.DUMMYFUNCTION("""COMPUTED_VALUE"""),0.0)</f>
        <v>0</v>
      </c>
      <c r="G262" s="43" t="s">
        <v>125</v>
      </c>
      <c r="H262" s="43" t="s">
        <v>113</v>
      </c>
      <c r="I262" s="43" t="s">
        <v>115</v>
      </c>
      <c r="J262" s="47" t="s">
        <v>115</v>
      </c>
      <c r="K262" s="38">
        <v>0.0</v>
      </c>
      <c r="L262" s="38">
        <v>0.0</v>
      </c>
      <c r="M262" s="38" t="str">
        <f>IFERROR(__xludf.DUMMYFUNCTION("""COMPUTED_VALUE"""),"Critical Sparepart")</f>
        <v>Critical Sparepart</v>
      </c>
      <c r="N262" s="38">
        <v>36.0</v>
      </c>
      <c r="O262" s="40">
        <v>0.0</v>
      </c>
      <c r="P262" s="38" t="s">
        <v>116</v>
      </c>
      <c r="Q262" s="42">
        <v>0.0</v>
      </c>
      <c r="R262" s="42">
        <v>0.0</v>
      </c>
      <c r="S262" s="38">
        <v>0.0</v>
      </c>
      <c r="T262" s="42">
        <v>0.0</v>
      </c>
      <c r="U262" s="42">
        <v>0.0</v>
      </c>
    </row>
    <row r="263">
      <c r="A263" s="43" t="s">
        <v>735</v>
      </c>
      <c r="B263" s="47" t="s">
        <v>736</v>
      </c>
      <c r="C263" s="43" t="s">
        <v>73</v>
      </c>
      <c r="D263" s="43">
        <v>1.0</v>
      </c>
      <c r="E263" s="43">
        <v>1.0</v>
      </c>
      <c r="F263" s="43">
        <f>IFERROR(__xludf.DUMMYFUNCTION("""COMPUTED_VALUE"""),1.0)</f>
        <v>1</v>
      </c>
      <c r="G263" s="43" t="s">
        <v>125</v>
      </c>
      <c r="H263" s="43" t="s">
        <v>113</v>
      </c>
      <c r="I263" s="43" t="s">
        <v>115</v>
      </c>
      <c r="J263" s="47" t="s">
        <v>115</v>
      </c>
      <c r="K263" s="38">
        <v>1.0</v>
      </c>
      <c r="L263" s="38">
        <v>1.0</v>
      </c>
      <c r="M263" s="38" t="str">
        <f>IFERROR(__xludf.DUMMYFUNCTION("""COMPUTED_VALUE"""),"Critical Sparepart")</f>
        <v>Critical Sparepart</v>
      </c>
      <c r="N263" s="38">
        <v>36.0</v>
      </c>
      <c r="O263" s="40">
        <v>45988.0</v>
      </c>
      <c r="P263" s="38" t="s">
        <v>126</v>
      </c>
      <c r="Q263" s="42">
        <v>1.0</v>
      </c>
      <c r="R263" s="42">
        <v>0.0</v>
      </c>
      <c r="S263" s="38">
        <v>1.0</v>
      </c>
      <c r="T263" s="42">
        <v>1.0</v>
      </c>
      <c r="U263" s="42">
        <v>1.0</v>
      </c>
    </row>
    <row r="264">
      <c r="A264" s="43" t="s">
        <v>737</v>
      </c>
      <c r="B264" s="47" t="s">
        <v>738</v>
      </c>
      <c r="C264" s="43" t="s">
        <v>73</v>
      </c>
      <c r="D264" s="43">
        <v>1.0</v>
      </c>
      <c r="E264" s="43">
        <v>2.0</v>
      </c>
      <c r="F264" s="43">
        <f>IFERROR(__xludf.DUMMYFUNCTION("""COMPUTED_VALUE"""),0.0)</f>
        <v>0</v>
      </c>
      <c r="G264" s="43" t="s">
        <v>112</v>
      </c>
      <c r="H264" s="43" t="s">
        <v>119</v>
      </c>
      <c r="I264" s="43" t="s">
        <v>141</v>
      </c>
      <c r="J264" s="47" t="s">
        <v>739</v>
      </c>
      <c r="K264" s="38">
        <v>0.0</v>
      </c>
      <c r="L264" s="38">
        <v>0.0</v>
      </c>
      <c r="M264" s="38" t="str">
        <f>IFERROR(__xludf.DUMMYFUNCTION("""COMPUTED_VALUE"""),"Critical Sparepart")</f>
        <v>Critical Sparepart</v>
      </c>
      <c r="N264" s="38">
        <v>36.0</v>
      </c>
      <c r="O264" s="40">
        <v>0.0</v>
      </c>
      <c r="P264" s="38" t="s">
        <v>116</v>
      </c>
      <c r="Q264" s="42">
        <v>0.0</v>
      </c>
      <c r="R264" s="42">
        <v>0.0</v>
      </c>
      <c r="S264" s="38">
        <v>0.0</v>
      </c>
      <c r="T264" s="42">
        <v>0.0</v>
      </c>
      <c r="U264" s="42">
        <v>0.0</v>
      </c>
    </row>
    <row r="265">
      <c r="A265" s="43" t="s">
        <v>740</v>
      </c>
      <c r="B265" s="47" t="s">
        <v>741</v>
      </c>
      <c r="C265" s="43" t="s">
        <v>73</v>
      </c>
      <c r="D265" s="43">
        <v>1.0</v>
      </c>
      <c r="E265" s="43">
        <v>2.0</v>
      </c>
      <c r="F265" s="43">
        <f>IFERROR(__xludf.DUMMYFUNCTION("""COMPUTED_VALUE"""),0.0)</f>
        <v>0</v>
      </c>
      <c r="G265" s="43" t="s">
        <v>112</v>
      </c>
      <c r="H265" s="43" t="s">
        <v>119</v>
      </c>
      <c r="I265" s="43" t="s">
        <v>141</v>
      </c>
      <c r="J265" s="47" t="s">
        <v>742</v>
      </c>
      <c r="K265" s="38">
        <v>0.0</v>
      </c>
      <c r="L265" s="38">
        <v>0.0</v>
      </c>
      <c r="M265" s="38" t="str">
        <f>IFERROR(__xludf.DUMMYFUNCTION("""COMPUTED_VALUE"""),"Critical Sparepart")</f>
        <v>Critical Sparepart</v>
      </c>
      <c r="N265" s="38">
        <v>36.0</v>
      </c>
      <c r="O265" s="40">
        <v>0.0</v>
      </c>
      <c r="P265" s="38" t="s">
        <v>116</v>
      </c>
      <c r="Q265" s="42">
        <v>0.0</v>
      </c>
      <c r="R265" s="42">
        <v>0.0</v>
      </c>
      <c r="S265" s="38">
        <v>0.0</v>
      </c>
      <c r="T265" s="42">
        <v>0.0</v>
      </c>
      <c r="U265" s="42">
        <v>0.0</v>
      </c>
    </row>
    <row r="266">
      <c r="A266" s="43" t="s">
        <v>743</v>
      </c>
      <c r="B266" s="47" t="s">
        <v>744</v>
      </c>
      <c r="C266" s="43" t="s">
        <v>73</v>
      </c>
      <c r="D266" s="43">
        <v>1.0</v>
      </c>
      <c r="E266" s="43">
        <v>2.0</v>
      </c>
      <c r="F266" s="43">
        <f>IFERROR(__xludf.DUMMYFUNCTION("""COMPUTED_VALUE"""),4.0)</f>
        <v>4</v>
      </c>
      <c r="G266" s="43" t="s">
        <v>122</v>
      </c>
      <c r="H266" s="43" t="s">
        <v>113</v>
      </c>
      <c r="I266" s="43" t="s">
        <v>115</v>
      </c>
      <c r="J266" s="47" t="s">
        <v>745</v>
      </c>
      <c r="K266" s="38">
        <v>1.0</v>
      </c>
      <c r="L266" s="38">
        <v>4.0</v>
      </c>
      <c r="M266" s="38" t="str">
        <f>IFERROR(__xludf.DUMMYFUNCTION("""COMPUTED_VALUE"""),"General Sparepart")</f>
        <v>General Sparepart</v>
      </c>
      <c r="N266" s="38">
        <v>24.0</v>
      </c>
      <c r="O266" s="40">
        <v>45922.0</v>
      </c>
      <c r="P266" s="38" t="s">
        <v>126</v>
      </c>
      <c r="Q266" s="42">
        <v>4.0</v>
      </c>
      <c r="R266" s="42">
        <v>0.0</v>
      </c>
      <c r="S266" s="38">
        <v>4.0</v>
      </c>
      <c r="T266" s="42">
        <v>4.0</v>
      </c>
      <c r="U266" s="42">
        <v>4.0</v>
      </c>
    </row>
    <row r="267">
      <c r="A267" s="43" t="s">
        <v>746</v>
      </c>
      <c r="B267" s="47" t="s">
        <v>747</v>
      </c>
      <c r="C267" s="43" t="s">
        <v>73</v>
      </c>
      <c r="D267" s="43">
        <v>1.0</v>
      </c>
      <c r="E267" s="43">
        <v>1.0</v>
      </c>
      <c r="F267" s="43">
        <f>IFERROR(__xludf.DUMMYFUNCTION("""COMPUTED_VALUE"""),0.0)</f>
        <v>0</v>
      </c>
      <c r="G267" s="43" t="s">
        <v>112</v>
      </c>
      <c r="H267" s="43" t="s">
        <v>113</v>
      </c>
      <c r="I267" s="43" t="s">
        <v>115</v>
      </c>
      <c r="J267" s="47" t="s">
        <v>115</v>
      </c>
      <c r="K267" s="38">
        <v>1.0</v>
      </c>
      <c r="L267" s="38">
        <v>2.0</v>
      </c>
      <c r="M267" s="38" t="str">
        <f>IFERROR(__xludf.DUMMYFUNCTION("""COMPUTED_VALUE"""),"Critical Sparepart")</f>
        <v>Critical Sparepart</v>
      </c>
      <c r="N267" s="38">
        <v>36.0</v>
      </c>
      <c r="O267" s="40">
        <v>46247.0</v>
      </c>
      <c r="P267" s="38" t="s">
        <v>126</v>
      </c>
      <c r="Q267" s="42">
        <v>1.0</v>
      </c>
      <c r="R267" s="42">
        <v>1.0909090909090908</v>
      </c>
      <c r="S267" s="38">
        <v>2.0</v>
      </c>
      <c r="T267" s="42">
        <v>1.0272727272727271</v>
      </c>
      <c r="U267" s="46">
        <v>2.0</v>
      </c>
    </row>
    <row r="268">
      <c r="A268" s="43" t="s">
        <v>748</v>
      </c>
      <c r="B268" s="47" t="s">
        <v>749</v>
      </c>
      <c r="C268" s="43" t="s">
        <v>73</v>
      </c>
      <c r="D268" s="43">
        <v>1.0</v>
      </c>
      <c r="E268" s="43">
        <v>1.0</v>
      </c>
      <c r="F268" s="43">
        <f>IFERROR(__xludf.DUMMYFUNCTION("""COMPUTED_VALUE"""),0.0)</f>
        <v>0</v>
      </c>
      <c r="G268" s="43" t="s">
        <v>112</v>
      </c>
      <c r="H268" s="43" t="s">
        <v>119</v>
      </c>
      <c r="I268" s="43" t="s">
        <v>141</v>
      </c>
      <c r="J268" s="47" t="s">
        <v>274</v>
      </c>
      <c r="K268" s="38">
        <v>0.0</v>
      </c>
      <c r="L268" s="38">
        <v>0.0</v>
      </c>
      <c r="M268" s="38" t="str">
        <f>IFERROR(__xludf.DUMMYFUNCTION("""COMPUTED_VALUE"""),"Critical Sparepart")</f>
        <v>Critical Sparepart</v>
      </c>
      <c r="N268" s="38">
        <v>36.0</v>
      </c>
      <c r="O268" s="40">
        <v>0.0</v>
      </c>
      <c r="P268" s="38" t="s">
        <v>116</v>
      </c>
      <c r="Q268" s="42">
        <v>0.0</v>
      </c>
      <c r="R268" s="42">
        <v>0.0</v>
      </c>
      <c r="S268" s="38">
        <v>0.0</v>
      </c>
      <c r="T268" s="42">
        <v>0.0</v>
      </c>
      <c r="U268" s="42">
        <v>0.0</v>
      </c>
    </row>
    <row r="269">
      <c r="A269" s="43" t="s">
        <v>750</v>
      </c>
      <c r="B269" s="47" t="s">
        <v>751</v>
      </c>
      <c r="C269" s="43" t="s">
        <v>73</v>
      </c>
      <c r="D269" s="43">
        <v>0.0</v>
      </c>
      <c r="E269" s="43">
        <v>1.0</v>
      </c>
      <c r="F269" s="43">
        <f>IFERROR(__xludf.DUMMYFUNCTION("""COMPUTED_VALUE"""),0.0)</f>
        <v>0</v>
      </c>
      <c r="G269" s="43" t="s">
        <v>125</v>
      </c>
      <c r="H269" s="43" t="s">
        <v>119</v>
      </c>
      <c r="I269" s="43" t="s">
        <v>119</v>
      </c>
      <c r="J269" s="47" t="s">
        <v>266</v>
      </c>
      <c r="K269" s="38">
        <v>0.0</v>
      </c>
      <c r="L269" s="38">
        <v>0.0</v>
      </c>
      <c r="M269" s="38" t="str">
        <f>IFERROR(__xludf.DUMMYFUNCTION("""COMPUTED_VALUE"""),"General Sparepart")</f>
        <v>General Sparepart</v>
      </c>
      <c r="N269" s="38">
        <v>24.0</v>
      </c>
      <c r="O269" s="40">
        <v>0.0</v>
      </c>
      <c r="P269" s="38" t="s">
        <v>116</v>
      </c>
      <c r="Q269" s="42">
        <v>0.0</v>
      </c>
      <c r="R269" s="42">
        <v>0.0</v>
      </c>
      <c r="S269" s="38">
        <v>0.0</v>
      </c>
      <c r="T269" s="42">
        <v>0.0</v>
      </c>
      <c r="U269" s="42">
        <v>0.0</v>
      </c>
    </row>
    <row r="270">
      <c r="A270" s="43" t="s">
        <v>752</v>
      </c>
      <c r="B270" s="47" t="s">
        <v>753</v>
      </c>
      <c r="C270" s="43" t="s">
        <v>73</v>
      </c>
      <c r="D270" s="43">
        <v>1.0</v>
      </c>
      <c r="E270" s="43">
        <v>1.0</v>
      </c>
      <c r="F270" s="43">
        <f>IFERROR(__xludf.DUMMYFUNCTION("""COMPUTED_VALUE"""),0.0)</f>
        <v>0</v>
      </c>
      <c r="G270" s="43" t="s">
        <v>112</v>
      </c>
      <c r="H270" s="43" t="s">
        <v>119</v>
      </c>
      <c r="I270" s="43" t="s">
        <v>141</v>
      </c>
      <c r="J270" s="47" t="s">
        <v>754</v>
      </c>
      <c r="K270" s="38">
        <v>0.0</v>
      </c>
      <c r="L270" s="38">
        <v>0.0</v>
      </c>
      <c r="M270" s="38" t="str">
        <f>IFERROR(__xludf.DUMMYFUNCTION("""COMPUTED_VALUE"""),"Critical Sparepart")</f>
        <v>Critical Sparepart</v>
      </c>
      <c r="N270" s="38">
        <v>36.0</v>
      </c>
      <c r="O270" s="40">
        <v>0.0</v>
      </c>
      <c r="P270" s="38" t="s">
        <v>116</v>
      </c>
      <c r="Q270" s="42">
        <v>0.0</v>
      </c>
      <c r="R270" s="42">
        <v>0.0</v>
      </c>
      <c r="S270" s="38">
        <v>0.0</v>
      </c>
      <c r="T270" s="42">
        <v>0.0</v>
      </c>
      <c r="U270" s="42">
        <v>0.0</v>
      </c>
    </row>
    <row r="271">
      <c r="A271" s="43" t="s">
        <v>755</v>
      </c>
      <c r="B271" s="47" t="s">
        <v>756</v>
      </c>
      <c r="C271" s="43" t="s">
        <v>73</v>
      </c>
      <c r="D271" s="43">
        <v>1.0</v>
      </c>
      <c r="E271" s="43">
        <v>2.0</v>
      </c>
      <c r="F271" s="43">
        <f>IFERROR(__xludf.DUMMYFUNCTION("""COMPUTED_VALUE"""),2.0)</f>
        <v>2</v>
      </c>
      <c r="G271" s="43" t="s">
        <v>122</v>
      </c>
      <c r="H271" s="43" t="s">
        <v>113</v>
      </c>
      <c r="I271" s="43" t="s">
        <v>115</v>
      </c>
      <c r="J271" s="47" t="s">
        <v>115</v>
      </c>
      <c r="K271" s="38">
        <v>0.0</v>
      </c>
      <c r="L271" s="38">
        <v>0.0</v>
      </c>
      <c r="M271" s="38" t="str">
        <f>IFERROR(__xludf.DUMMYFUNCTION("""COMPUTED_VALUE"""),"Critical Sparepart")</f>
        <v>Critical Sparepart</v>
      </c>
      <c r="N271" s="38">
        <v>36.0</v>
      </c>
      <c r="O271" s="40">
        <v>45073.0</v>
      </c>
      <c r="P271" s="38" t="s">
        <v>116</v>
      </c>
      <c r="Q271" s="42">
        <v>1.0</v>
      </c>
      <c r="R271" s="42">
        <v>0.0</v>
      </c>
      <c r="S271" s="38">
        <v>0.0</v>
      </c>
      <c r="T271" s="42">
        <v>1.0</v>
      </c>
      <c r="U271" s="42">
        <v>1.0</v>
      </c>
    </row>
    <row r="272">
      <c r="A272" s="43" t="s">
        <v>757</v>
      </c>
      <c r="B272" s="47" t="s">
        <v>758</v>
      </c>
      <c r="C272" s="43" t="s">
        <v>73</v>
      </c>
      <c r="D272" s="43">
        <v>1.0</v>
      </c>
      <c r="E272" s="43">
        <v>2.0</v>
      </c>
      <c r="F272" s="43">
        <f>IFERROR(__xludf.DUMMYFUNCTION("""COMPUTED_VALUE"""),0.0)</f>
        <v>0</v>
      </c>
      <c r="G272" s="43" t="s">
        <v>112</v>
      </c>
      <c r="H272" s="43" t="s">
        <v>119</v>
      </c>
      <c r="I272" s="43" t="s">
        <v>141</v>
      </c>
      <c r="J272" s="47" t="s">
        <v>759</v>
      </c>
      <c r="K272" s="38">
        <v>0.0</v>
      </c>
      <c r="L272" s="38">
        <v>0.0</v>
      </c>
      <c r="M272" s="38" t="str">
        <f>IFERROR(__xludf.DUMMYFUNCTION("""COMPUTED_VALUE"""),"Critical Sparepart")</f>
        <v>Critical Sparepart</v>
      </c>
      <c r="N272" s="38">
        <v>36.0</v>
      </c>
      <c r="O272" s="40">
        <v>0.0</v>
      </c>
      <c r="P272" s="38" t="s">
        <v>116</v>
      </c>
      <c r="Q272" s="42">
        <v>0.0</v>
      </c>
      <c r="R272" s="42">
        <v>0.0</v>
      </c>
      <c r="S272" s="38">
        <v>0.0</v>
      </c>
      <c r="T272" s="42">
        <v>0.0</v>
      </c>
      <c r="U272" s="42">
        <v>0.0</v>
      </c>
    </row>
    <row r="273">
      <c r="A273" s="43" t="s">
        <v>760</v>
      </c>
      <c r="B273" s="47" t="s">
        <v>761</v>
      </c>
      <c r="C273" s="43" t="s">
        <v>73</v>
      </c>
      <c r="D273" s="43">
        <v>1.0</v>
      </c>
      <c r="E273" s="43">
        <v>1.0</v>
      </c>
      <c r="F273" s="43">
        <f>IFERROR(__xludf.DUMMYFUNCTION("""COMPUTED_VALUE"""),0.0)</f>
        <v>0</v>
      </c>
      <c r="G273" s="43" t="s">
        <v>112</v>
      </c>
      <c r="H273" s="43" t="s">
        <v>119</v>
      </c>
      <c r="I273" s="43" t="s">
        <v>141</v>
      </c>
      <c r="J273" s="47" t="s">
        <v>759</v>
      </c>
      <c r="K273" s="38">
        <v>0.0</v>
      </c>
      <c r="L273" s="38">
        <v>0.0</v>
      </c>
      <c r="M273" s="38" t="str">
        <f>IFERROR(__xludf.DUMMYFUNCTION("""COMPUTED_VALUE"""),"Critical Sparepart")</f>
        <v>Critical Sparepart</v>
      </c>
      <c r="N273" s="38">
        <v>36.0</v>
      </c>
      <c r="O273" s="40">
        <v>0.0</v>
      </c>
      <c r="P273" s="38" t="s">
        <v>116</v>
      </c>
      <c r="Q273" s="42">
        <v>0.0</v>
      </c>
      <c r="R273" s="42">
        <v>0.0</v>
      </c>
      <c r="S273" s="38">
        <v>0.0</v>
      </c>
      <c r="T273" s="42">
        <v>0.0</v>
      </c>
      <c r="U273" s="42">
        <v>0.0</v>
      </c>
    </row>
    <row r="274">
      <c r="A274" s="43" t="s">
        <v>762</v>
      </c>
      <c r="B274" s="47" t="s">
        <v>763</v>
      </c>
      <c r="C274" s="43" t="s">
        <v>73</v>
      </c>
      <c r="D274" s="43">
        <v>1.0</v>
      </c>
      <c r="E274" s="43">
        <v>1.0</v>
      </c>
      <c r="F274" s="43">
        <f>IFERROR(__xludf.DUMMYFUNCTION("""COMPUTED_VALUE"""),0.0)</f>
        <v>0</v>
      </c>
      <c r="G274" s="43" t="s">
        <v>112</v>
      </c>
      <c r="H274" s="43" t="s">
        <v>119</v>
      </c>
      <c r="I274" s="43" t="s">
        <v>141</v>
      </c>
      <c r="J274" s="47" t="s">
        <v>764</v>
      </c>
      <c r="K274" s="38">
        <v>0.0</v>
      </c>
      <c r="L274" s="38">
        <v>0.0</v>
      </c>
      <c r="M274" s="38" t="str">
        <f>IFERROR(__xludf.DUMMYFUNCTION("""COMPUTED_VALUE"""),"Critical Sparepart")</f>
        <v>Critical Sparepart</v>
      </c>
      <c r="N274" s="38">
        <v>36.0</v>
      </c>
      <c r="O274" s="40">
        <v>0.0</v>
      </c>
      <c r="P274" s="38" t="s">
        <v>116</v>
      </c>
      <c r="Q274" s="42">
        <v>0.0</v>
      </c>
      <c r="R274" s="42">
        <v>0.0</v>
      </c>
      <c r="S274" s="38">
        <v>0.0</v>
      </c>
      <c r="T274" s="42">
        <v>0.0</v>
      </c>
      <c r="U274" s="42">
        <v>0.0</v>
      </c>
    </row>
    <row r="275">
      <c r="A275" s="43" t="s">
        <v>765</v>
      </c>
      <c r="B275" s="47" t="s">
        <v>766</v>
      </c>
      <c r="C275" s="43" t="s">
        <v>73</v>
      </c>
      <c r="D275" s="43">
        <v>1.0</v>
      </c>
      <c r="E275" s="43">
        <v>2.0</v>
      </c>
      <c r="F275" s="43">
        <f>IFERROR(__xludf.DUMMYFUNCTION("""COMPUTED_VALUE"""),1.0)</f>
        <v>1</v>
      </c>
      <c r="G275" s="43" t="s">
        <v>125</v>
      </c>
      <c r="H275" s="43" t="s">
        <v>113</v>
      </c>
      <c r="I275" s="43" t="s">
        <v>115</v>
      </c>
      <c r="J275" s="47" t="s">
        <v>115</v>
      </c>
      <c r="K275" s="38">
        <v>1.0</v>
      </c>
      <c r="L275" s="38">
        <v>1.0</v>
      </c>
      <c r="M275" s="38" t="str">
        <f>IFERROR(__xludf.DUMMYFUNCTION("""COMPUTED_VALUE"""),"General Sparepart")</f>
        <v>General Sparepart</v>
      </c>
      <c r="N275" s="38">
        <v>24.0</v>
      </c>
      <c r="O275" s="40">
        <v>46024.0</v>
      </c>
      <c r="P275" s="38" t="s">
        <v>126</v>
      </c>
      <c r="Q275" s="42">
        <v>0.0</v>
      </c>
      <c r="R275" s="42">
        <v>0.0</v>
      </c>
      <c r="S275" s="38">
        <v>1.0</v>
      </c>
      <c r="T275" s="42">
        <v>0.0</v>
      </c>
      <c r="U275" s="46">
        <v>1.0</v>
      </c>
    </row>
    <row r="276">
      <c r="A276" s="43" t="s">
        <v>767</v>
      </c>
      <c r="B276" s="47" t="s">
        <v>768</v>
      </c>
      <c r="C276" s="43" t="s">
        <v>73</v>
      </c>
      <c r="D276" s="43">
        <v>2.0</v>
      </c>
      <c r="E276" s="43">
        <v>4.0</v>
      </c>
      <c r="F276" s="43">
        <f>IFERROR(__xludf.DUMMYFUNCTION("""COMPUTED_VALUE"""),0.0)</f>
        <v>0</v>
      </c>
      <c r="G276" s="43" t="s">
        <v>112</v>
      </c>
      <c r="H276" s="43" t="s">
        <v>119</v>
      </c>
      <c r="I276" s="43" t="s">
        <v>141</v>
      </c>
      <c r="J276" s="47" t="s">
        <v>770</v>
      </c>
      <c r="K276" s="38">
        <v>0.0</v>
      </c>
      <c r="L276" s="38">
        <v>0.0</v>
      </c>
      <c r="M276" s="38" t="str">
        <f>IFERROR(__xludf.DUMMYFUNCTION("""COMPUTED_VALUE"""),"General Sparepart")</f>
        <v>General Sparepart</v>
      </c>
      <c r="N276" s="38">
        <v>24.0</v>
      </c>
      <c r="O276" s="40">
        <v>0.0</v>
      </c>
      <c r="P276" s="38" t="s">
        <v>116</v>
      </c>
      <c r="Q276" s="42">
        <v>0.0</v>
      </c>
      <c r="R276" s="42">
        <v>0.0</v>
      </c>
      <c r="S276" s="38">
        <v>0.0</v>
      </c>
      <c r="T276" s="42">
        <v>0.0</v>
      </c>
      <c r="U276" s="42">
        <v>0.0</v>
      </c>
    </row>
    <row r="277">
      <c r="A277" s="43" t="s">
        <v>771</v>
      </c>
      <c r="B277" s="47" t="s">
        <v>772</v>
      </c>
      <c r="C277" s="43" t="s">
        <v>73</v>
      </c>
      <c r="D277" s="43">
        <v>1.0</v>
      </c>
      <c r="E277" s="43">
        <v>2.0</v>
      </c>
      <c r="F277" s="43">
        <f>IFERROR(__xludf.DUMMYFUNCTION("""COMPUTED_VALUE"""),0.0)</f>
        <v>0</v>
      </c>
      <c r="G277" s="43" t="s">
        <v>112</v>
      </c>
      <c r="H277" s="43" t="s">
        <v>113</v>
      </c>
      <c r="I277" s="43" t="s">
        <v>141</v>
      </c>
      <c r="J277" s="47" t="s">
        <v>773</v>
      </c>
      <c r="K277" s="38">
        <v>0.0</v>
      </c>
      <c r="L277" s="38">
        <v>0.0</v>
      </c>
      <c r="M277" s="38" t="str">
        <f>IFERROR(__xludf.DUMMYFUNCTION("""COMPUTED_VALUE"""),"Critical Sparepart")</f>
        <v>Critical Sparepart</v>
      </c>
      <c r="N277" s="38">
        <v>36.0</v>
      </c>
      <c r="O277" s="40">
        <v>43440.0</v>
      </c>
      <c r="P277" s="38" t="s">
        <v>116</v>
      </c>
      <c r="Q277" s="42">
        <v>0.0</v>
      </c>
      <c r="R277" s="42">
        <v>0.0</v>
      </c>
      <c r="S277" s="38">
        <v>0.0</v>
      </c>
      <c r="T277" s="42">
        <v>0.0</v>
      </c>
      <c r="U277" s="42">
        <v>0.0</v>
      </c>
    </row>
    <row r="278">
      <c r="A278" s="43" t="s">
        <v>774</v>
      </c>
      <c r="B278" s="47" t="s">
        <v>775</v>
      </c>
      <c r="C278" s="43" t="s">
        <v>73</v>
      </c>
      <c r="D278" s="43">
        <v>1.0</v>
      </c>
      <c r="E278" s="43">
        <v>1.0</v>
      </c>
      <c r="F278" s="43">
        <f>IFERROR(__xludf.DUMMYFUNCTION("""COMPUTED_VALUE"""),0.0)</f>
        <v>0</v>
      </c>
      <c r="G278" s="43" t="s">
        <v>112</v>
      </c>
      <c r="H278" s="43" t="s">
        <v>119</v>
      </c>
      <c r="I278" s="43" t="s">
        <v>141</v>
      </c>
      <c r="J278" s="47" t="s">
        <v>776</v>
      </c>
      <c r="K278" s="38">
        <v>0.0</v>
      </c>
      <c r="L278" s="38">
        <v>0.0</v>
      </c>
      <c r="M278" s="38" t="str">
        <f>IFERROR(__xludf.DUMMYFUNCTION("""COMPUTED_VALUE"""),"Critical Sparepart")</f>
        <v>Critical Sparepart</v>
      </c>
      <c r="N278" s="38">
        <v>36.0</v>
      </c>
      <c r="O278" s="40">
        <v>0.0</v>
      </c>
      <c r="P278" s="38" t="s">
        <v>116</v>
      </c>
      <c r="Q278" s="42">
        <v>0.0</v>
      </c>
      <c r="R278" s="42">
        <v>0.0</v>
      </c>
      <c r="S278" s="38">
        <v>0.0</v>
      </c>
      <c r="T278" s="42">
        <v>0.0</v>
      </c>
      <c r="U278" s="42">
        <v>0.0</v>
      </c>
    </row>
    <row r="279">
      <c r="A279" s="43" t="s">
        <v>777</v>
      </c>
      <c r="B279" s="47" t="s">
        <v>778</v>
      </c>
      <c r="C279" s="43" t="s">
        <v>73</v>
      </c>
      <c r="D279" s="43">
        <v>1.0</v>
      </c>
      <c r="E279" s="43">
        <v>2.0</v>
      </c>
      <c r="F279" s="43">
        <f>IFERROR(__xludf.DUMMYFUNCTION("""COMPUTED_VALUE"""),0.0)</f>
        <v>0</v>
      </c>
      <c r="G279" s="43" t="s">
        <v>112</v>
      </c>
      <c r="H279" s="43" t="s">
        <v>119</v>
      </c>
      <c r="I279" s="43" t="s">
        <v>141</v>
      </c>
      <c r="J279" s="47" t="s">
        <v>754</v>
      </c>
      <c r="K279" s="38">
        <v>0.0</v>
      </c>
      <c r="L279" s="38">
        <v>0.0</v>
      </c>
      <c r="M279" s="38" t="str">
        <f>IFERROR(__xludf.DUMMYFUNCTION("""COMPUTED_VALUE"""),"Critical Sparepart")</f>
        <v>Critical Sparepart</v>
      </c>
      <c r="N279" s="38">
        <v>36.0</v>
      </c>
      <c r="O279" s="40">
        <v>0.0</v>
      </c>
      <c r="P279" s="38" t="s">
        <v>116</v>
      </c>
      <c r="Q279" s="42">
        <v>0.0</v>
      </c>
      <c r="R279" s="42">
        <v>0.0</v>
      </c>
      <c r="S279" s="38">
        <v>0.0</v>
      </c>
      <c r="T279" s="42">
        <v>0.0</v>
      </c>
      <c r="U279" s="42">
        <v>0.0</v>
      </c>
    </row>
    <row r="280">
      <c r="A280" s="43" t="s">
        <v>779</v>
      </c>
      <c r="B280" s="47" t="s">
        <v>780</v>
      </c>
      <c r="C280" s="43" t="s">
        <v>73</v>
      </c>
      <c r="D280" s="43">
        <v>1.0</v>
      </c>
      <c r="E280" s="43">
        <v>1.0</v>
      </c>
      <c r="F280" s="43">
        <f>IFERROR(__xludf.DUMMYFUNCTION("""COMPUTED_VALUE"""),0.0)</f>
        <v>0</v>
      </c>
      <c r="G280" s="43" t="s">
        <v>112</v>
      </c>
      <c r="H280" s="43" t="s">
        <v>119</v>
      </c>
      <c r="I280" s="43" t="s">
        <v>119</v>
      </c>
      <c r="J280" s="47" t="s">
        <v>115</v>
      </c>
      <c r="K280" s="38">
        <v>0.0</v>
      </c>
      <c r="L280" s="38">
        <v>0.0</v>
      </c>
      <c r="M280" s="38" t="str">
        <f>IFERROR(__xludf.DUMMYFUNCTION("""COMPUTED_VALUE"""),"Critical Sparepart")</f>
        <v>Critical Sparepart</v>
      </c>
      <c r="N280" s="38">
        <v>36.0</v>
      </c>
      <c r="O280" s="40">
        <v>0.0</v>
      </c>
      <c r="P280" s="38" t="s">
        <v>116</v>
      </c>
      <c r="Q280" s="42">
        <v>0.0</v>
      </c>
      <c r="R280" s="42">
        <v>0.0</v>
      </c>
      <c r="S280" s="38">
        <v>0.0</v>
      </c>
      <c r="T280" s="42">
        <v>0.0</v>
      </c>
      <c r="U280" s="42">
        <v>0.0</v>
      </c>
    </row>
    <row r="281">
      <c r="A281" s="43" t="s">
        <v>781</v>
      </c>
      <c r="B281" s="47" t="s">
        <v>782</v>
      </c>
      <c r="C281" s="43" t="s">
        <v>73</v>
      </c>
      <c r="D281" s="43">
        <v>10.0</v>
      </c>
      <c r="E281" s="43">
        <v>30.0</v>
      </c>
      <c r="F281" s="43">
        <f>IFERROR(__xludf.DUMMYFUNCTION("""COMPUTED_VALUE"""),30.0)</f>
        <v>30</v>
      </c>
      <c r="G281" s="43" t="s">
        <v>122</v>
      </c>
      <c r="H281" s="43" t="s">
        <v>113</v>
      </c>
      <c r="I281" s="43" t="s">
        <v>115</v>
      </c>
      <c r="J281" s="47" t="s">
        <v>115</v>
      </c>
      <c r="K281" s="38">
        <v>2.0</v>
      </c>
      <c r="L281" s="38">
        <v>12.0</v>
      </c>
      <c r="M281" s="38" t="str">
        <f>IFERROR(__xludf.DUMMYFUNCTION("""COMPUTED_VALUE"""),"Fast Moving / Consumable")</f>
        <v>Fast Moving / Consumable</v>
      </c>
      <c r="N281" s="38">
        <v>18.0</v>
      </c>
      <c r="O281" s="40">
        <v>45706.0</v>
      </c>
      <c r="P281" s="38" t="s">
        <v>126</v>
      </c>
      <c r="Q281" s="42">
        <v>12.0</v>
      </c>
      <c r="R281" s="42">
        <v>0.0</v>
      </c>
      <c r="S281" s="38">
        <v>0.0</v>
      </c>
      <c r="T281" s="42">
        <v>12.0</v>
      </c>
      <c r="U281" s="42">
        <v>12.0</v>
      </c>
    </row>
    <row r="282">
      <c r="A282" s="43" t="s">
        <v>783</v>
      </c>
      <c r="B282" s="47" t="s">
        <v>784</v>
      </c>
      <c r="C282" s="43" t="s">
        <v>73</v>
      </c>
      <c r="D282" s="43">
        <v>1.0</v>
      </c>
      <c r="E282" s="43">
        <v>2.0</v>
      </c>
      <c r="F282" s="43">
        <f>IFERROR(__xludf.DUMMYFUNCTION("""COMPUTED_VALUE"""),1.0)</f>
        <v>1</v>
      </c>
      <c r="G282" s="43" t="s">
        <v>125</v>
      </c>
      <c r="H282" s="43" t="s">
        <v>113</v>
      </c>
      <c r="I282" s="43" t="s">
        <v>115</v>
      </c>
      <c r="J282" s="47" t="s">
        <v>115</v>
      </c>
      <c r="K282" s="38">
        <v>0.0</v>
      </c>
      <c r="L282" s="38">
        <v>0.0</v>
      </c>
      <c r="M282" s="38" t="str">
        <f>IFERROR(__xludf.DUMMYFUNCTION("""COMPUTED_VALUE"""),"Critical Sparepart")</f>
        <v>Critical Sparepart</v>
      </c>
      <c r="N282" s="38">
        <v>36.0</v>
      </c>
      <c r="O282" s="40">
        <v>44001.0</v>
      </c>
      <c r="P282" s="38" t="s">
        <v>116</v>
      </c>
      <c r="Q282" s="42">
        <v>0.0</v>
      </c>
      <c r="R282" s="42">
        <v>0.0</v>
      </c>
      <c r="S282" s="38">
        <v>0.0</v>
      </c>
      <c r="T282" s="42">
        <v>0.0</v>
      </c>
      <c r="U282" s="42">
        <v>0.0</v>
      </c>
    </row>
    <row r="283">
      <c r="A283" s="43" t="s">
        <v>785</v>
      </c>
      <c r="B283" s="47" t="s">
        <v>786</v>
      </c>
      <c r="C283" s="43" t="s">
        <v>73</v>
      </c>
      <c r="D283" s="43">
        <v>1.0</v>
      </c>
      <c r="E283" s="43">
        <v>2.0</v>
      </c>
      <c r="F283" s="43">
        <f>IFERROR(__xludf.DUMMYFUNCTION("""COMPUTED_VALUE"""),0.0)</f>
        <v>0</v>
      </c>
      <c r="G283" s="43" t="s">
        <v>112</v>
      </c>
      <c r="H283" s="43" t="s">
        <v>119</v>
      </c>
      <c r="I283" s="43" t="s">
        <v>141</v>
      </c>
      <c r="J283" s="47" t="s">
        <v>787</v>
      </c>
      <c r="K283" s="38">
        <v>0.0</v>
      </c>
      <c r="L283" s="38">
        <v>0.0</v>
      </c>
      <c r="M283" s="38" t="str">
        <f>IFERROR(__xludf.DUMMYFUNCTION("""COMPUTED_VALUE"""),"General Sparepart")</f>
        <v>General Sparepart</v>
      </c>
      <c r="N283" s="38">
        <v>24.0</v>
      </c>
      <c r="O283" s="40">
        <v>0.0</v>
      </c>
      <c r="P283" s="38" t="s">
        <v>116</v>
      </c>
      <c r="Q283" s="42">
        <v>0.0</v>
      </c>
      <c r="R283" s="42">
        <v>0.0</v>
      </c>
      <c r="S283" s="38">
        <v>0.0</v>
      </c>
      <c r="T283" s="42">
        <v>0.0</v>
      </c>
      <c r="U283" s="42">
        <v>0.0</v>
      </c>
    </row>
    <row r="284">
      <c r="A284" s="43" t="s">
        <v>788</v>
      </c>
      <c r="B284" s="47" t="s">
        <v>789</v>
      </c>
      <c r="C284" s="43" t="s">
        <v>73</v>
      </c>
      <c r="D284" s="43">
        <v>1.0</v>
      </c>
      <c r="E284" s="43">
        <v>2.0</v>
      </c>
      <c r="F284" s="43">
        <f>IFERROR(__xludf.DUMMYFUNCTION("""COMPUTED_VALUE"""),0.0)</f>
        <v>0</v>
      </c>
      <c r="G284" s="43" t="s">
        <v>112</v>
      </c>
      <c r="H284" s="43" t="s">
        <v>119</v>
      </c>
      <c r="I284" s="43" t="s">
        <v>141</v>
      </c>
      <c r="J284" s="47" t="s">
        <v>790</v>
      </c>
      <c r="K284" s="38">
        <v>0.0</v>
      </c>
      <c r="L284" s="38">
        <v>0.0</v>
      </c>
      <c r="M284" s="38" t="str">
        <f>IFERROR(__xludf.DUMMYFUNCTION("""COMPUTED_VALUE"""),"General Sparepart")</f>
        <v>General Sparepart</v>
      </c>
      <c r="N284" s="38">
        <v>24.0</v>
      </c>
      <c r="O284" s="40">
        <v>0.0</v>
      </c>
      <c r="P284" s="38" t="s">
        <v>116</v>
      </c>
      <c r="Q284" s="42">
        <v>0.0</v>
      </c>
      <c r="R284" s="42">
        <v>0.0</v>
      </c>
      <c r="S284" s="38">
        <v>0.0</v>
      </c>
      <c r="T284" s="42">
        <v>0.0</v>
      </c>
      <c r="U284" s="42">
        <v>0.0</v>
      </c>
    </row>
    <row r="285">
      <c r="A285" s="43" t="s">
        <v>791</v>
      </c>
      <c r="B285" s="47" t="s">
        <v>792</v>
      </c>
      <c r="C285" s="43" t="s">
        <v>73</v>
      </c>
      <c r="D285" s="43">
        <v>0.0</v>
      </c>
      <c r="E285" s="43">
        <v>1.0</v>
      </c>
      <c r="F285" s="43">
        <f>IFERROR(__xludf.DUMMYFUNCTION("""COMPUTED_VALUE"""),0.0)</f>
        <v>0</v>
      </c>
      <c r="G285" s="43" t="s">
        <v>125</v>
      </c>
      <c r="H285" s="43" t="s">
        <v>113</v>
      </c>
      <c r="I285" s="43" t="s">
        <v>115</v>
      </c>
      <c r="J285" s="47" t="s">
        <v>793</v>
      </c>
      <c r="K285" s="38">
        <v>0.0</v>
      </c>
      <c r="L285" s="38">
        <v>0.0</v>
      </c>
      <c r="M285" s="38" t="str">
        <f>IFERROR(__xludf.DUMMYFUNCTION("""COMPUTED_VALUE"""),"General Sparepart")</f>
        <v>General Sparepart</v>
      </c>
      <c r="N285" s="38">
        <v>24.0</v>
      </c>
      <c r="O285" s="40">
        <v>0.0</v>
      </c>
      <c r="P285" s="38" t="s">
        <v>116</v>
      </c>
      <c r="Q285" s="42">
        <v>0.0</v>
      </c>
      <c r="R285" s="42">
        <v>0.0</v>
      </c>
      <c r="S285" s="38">
        <v>0.0</v>
      </c>
      <c r="T285" s="42">
        <v>0.0</v>
      </c>
      <c r="U285" s="42">
        <v>0.0</v>
      </c>
    </row>
    <row r="286">
      <c r="A286" s="43" t="s">
        <v>794</v>
      </c>
      <c r="B286" s="47" t="s">
        <v>795</v>
      </c>
      <c r="C286" s="43" t="s">
        <v>83</v>
      </c>
      <c r="D286" s="43">
        <v>10.0</v>
      </c>
      <c r="E286" s="43">
        <v>100.0</v>
      </c>
      <c r="F286" s="43">
        <f>IFERROR(__xludf.DUMMYFUNCTION("""COMPUTED_VALUE"""),100.0)</f>
        <v>100</v>
      </c>
      <c r="G286" s="43" t="s">
        <v>122</v>
      </c>
      <c r="H286" s="43" t="s">
        <v>113</v>
      </c>
      <c r="I286" s="43" t="s">
        <v>115</v>
      </c>
      <c r="J286" s="47" t="s">
        <v>115</v>
      </c>
      <c r="K286" s="38">
        <v>11.0</v>
      </c>
      <c r="L286" s="38">
        <v>100.0</v>
      </c>
      <c r="M286" s="38" t="str">
        <f>IFERROR(__xludf.DUMMYFUNCTION("""COMPUTED_VALUE"""),"Fast Moving / Consumable")</f>
        <v>Fast Moving / Consumable</v>
      </c>
      <c r="N286" s="38">
        <v>18.0</v>
      </c>
      <c r="O286" s="40">
        <v>46084.0</v>
      </c>
      <c r="P286" s="38" t="s">
        <v>126</v>
      </c>
      <c r="Q286" s="42">
        <v>66.0</v>
      </c>
      <c r="R286" s="42">
        <v>7.363636363636363</v>
      </c>
      <c r="S286" s="38">
        <v>100.0</v>
      </c>
      <c r="T286" s="42">
        <v>48.40909090909091</v>
      </c>
      <c r="U286" s="46">
        <v>100.0</v>
      </c>
    </row>
    <row r="287">
      <c r="A287" s="43" t="s">
        <v>796</v>
      </c>
      <c r="B287" s="47" t="s">
        <v>797</v>
      </c>
      <c r="C287" s="43" t="s">
        <v>83</v>
      </c>
      <c r="D287" s="43">
        <v>10.0</v>
      </c>
      <c r="E287" s="43">
        <v>100.0</v>
      </c>
      <c r="F287" s="43">
        <f>IFERROR(__xludf.DUMMYFUNCTION("""COMPUTED_VALUE"""),100.0)</f>
        <v>100</v>
      </c>
      <c r="G287" s="43" t="s">
        <v>122</v>
      </c>
      <c r="H287" s="43" t="s">
        <v>113</v>
      </c>
      <c r="I287" s="43" t="s">
        <v>115</v>
      </c>
      <c r="J287" s="47" t="s">
        <v>115</v>
      </c>
      <c r="K287" s="38">
        <v>11.0</v>
      </c>
      <c r="L287" s="38">
        <v>100.0</v>
      </c>
      <c r="M287" s="38" t="str">
        <f>IFERROR(__xludf.DUMMYFUNCTION("""COMPUTED_VALUE"""),"Fast Moving / Consumable")</f>
        <v>Fast Moving / Consumable</v>
      </c>
      <c r="N287" s="38">
        <v>18.0</v>
      </c>
      <c r="O287" s="40">
        <v>46086.0</v>
      </c>
      <c r="P287" s="38" t="s">
        <v>126</v>
      </c>
      <c r="Q287" s="42">
        <v>113.0</v>
      </c>
      <c r="R287" s="42">
        <v>55.36363636363636</v>
      </c>
      <c r="S287" s="38">
        <v>100.0</v>
      </c>
      <c r="T287" s="42">
        <v>95.7090909090909</v>
      </c>
      <c r="U287" s="46">
        <v>100.0</v>
      </c>
    </row>
    <row r="288">
      <c r="A288" s="43" t="s">
        <v>798</v>
      </c>
      <c r="B288" s="47" t="s">
        <v>799</v>
      </c>
      <c r="C288" s="43" t="s">
        <v>83</v>
      </c>
      <c r="D288" s="43">
        <v>10.0</v>
      </c>
      <c r="E288" s="43">
        <v>100.0</v>
      </c>
      <c r="F288" s="43">
        <f>IFERROR(__xludf.DUMMYFUNCTION("""COMPUTED_VALUE"""),78.0)</f>
        <v>78</v>
      </c>
      <c r="G288" s="43" t="s">
        <v>122</v>
      </c>
      <c r="H288" s="43" t="s">
        <v>113</v>
      </c>
      <c r="I288" s="43" t="s">
        <v>115</v>
      </c>
      <c r="J288" s="47" t="s">
        <v>115</v>
      </c>
      <c r="K288" s="38">
        <v>16.0</v>
      </c>
      <c r="L288" s="38">
        <v>150.0</v>
      </c>
      <c r="M288" s="38" t="str">
        <f>IFERROR(__xludf.DUMMYFUNCTION("""COMPUTED_VALUE"""),"Fast Moving / Consumable")</f>
        <v>Fast Moving / Consumable</v>
      </c>
      <c r="N288" s="38">
        <v>18.0</v>
      </c>
      <c r="O288" s="40">
        <v>46234.0</v>
      </c>
      <c r="P288" s="38" t="s">
        <v>126</v>
      </c>
      <c r="Q288" s="42">
        <v>200.0</v>
      </c>
      <c r="R288" s="42">
        <v>33.27272727272727</v>
      </c>
      <c r="S288" s="38">
        <v>100.0</v>
      </c>
      <c r="T288" s="42">
        <v>149.98181818181817</v>
      </c>
      <c r="U288" s="42">
        <v>149.98181818181817</v>
      </c>
    </row>
    <row r="289">
      <c r="A289" s="43" t="s">
        <v>800</v>
      </c>
      <c r="B289" s="47" t="s">
        <v>801</v>
      </c>
      <c r="C289" s="43" t="s">
        <v>83</v>
      </c>
      <c r="D289" s="43">
        <v>10.0</v>
      </c>
      <c r="E289" s="43">
        <v>100.0</v>
      </c>
      <c r="F289" s="43">
        <f>IFERROR(__xludf.DUMMYFUNCTION("""COMPUTED_VALUE"""),100.0)</f>
        <v>100</v>
      </c>
      <c r="G289" s="43" t="s">
        <v>122</v>
      </c>
      <c r="H289" s="43" t="s">
        <v>113</v>
      </c>
      <c r="I289" s="43" t="s">
        <v>115</v>
      </c>
      <c r="J289" s="47" t="s">
        <v>115</v>
      </c>
      <c r="K289" s="38">
        <v>11.0</v>
      </c>
      <c r="L289" s="38">
        <v>100.0</v>
      </c>
      <c r="M289" s="38" t="str">
        <f>IFERROR(__xludf.DUMMYFUNCTION("""COMPUTED_VALUE"""),"Fast Moving / Consumable")</f>
        <v>Fast Moving / Consumable</v>
      </c>
      <c r="N289" s="38">
        <v>18.0</v>
      </c>
      <c r="O289" s="40">
        <v>46084.0</v>
      </c>
      <c r="P289" s="38" t="s">
        <v>126</v>
      </c>
      <c r="Q289" s="42">
        <v>66.0</v>
      </c>
      <c r="R289" s="42">
        <v>10.636363636363637</v>
      </c>
      <c r="S289" s="38">
        <v>100.0</v>
      </c>
      <c r="T289" s="42">
        <v>49.39090909090908</v>
      </c>
      <c r="U289" s="46">
        <v>100.0</v>
      </c>
    </row>
    <row r="290">
      <c r="A290" s="43" t="s">
        <v>803</v>
      </c>
      <c r="B290" s="47" t="s">
        <v>804</v>
      </c>
      <c r="C290" s="43" t="s">
        <v>83</v>
      </c>
      <c r="D290" s="43">
        <v>10.0</v>
      </c>
      <c r="E290" s="43">
        <v>100.0</v>
      </c>
      <c r="F290" s="43">
        <f>IFERROR(__xludf.DUMMYFUNCTION("""COMPUTED_VALUE"""),100.0)</f>
        <v>100</v>
      </c>
      <c r="G290" s="43" t="s">
        <v>122</v>
      </c>
      <c r="H290" s="43" t="s">
        <v>113</v>
      </c>
      <c r="I290" s="43" t="s">
        <v>115</v>
      </c>
      <c r="J290" s="47" t="s">
        <v>115</v>
      </c>
      <c r="K290" s="38">
        <v>11.0</v>
      </c>
      <c r="L290" s="38">
        <v>100.0</v>
      </c>
      <c r="M290" s="38" t="str">
        <f>IFERROR(__xludf.DUMMYFUNCTION("""COMPUTED_VALUE"""),"Fast Moving / Consumable")</f>
        <v>Fast Moving / Consumable</v>
      </c>
      <c r="N290" s="38">
        <v>18.0</v>
      </c>
      <c r="O290" s="40">
        <v>46112.0</v>
      </c>
      <c r="P290" s="38" t="s">
        <v>126</v>
      </c>
      <c r="Q290" s="42">
        <v>66.0</v>
      </c>
      <c r="R290" s="42">
        <v>3.545454545454546</v>
      </c>
      <c r="S290" s="38">
        <v>100.0</v>
      </c>
      <c r="T290" s="42">
        <v>47.26363636363636</v>
      </c>
      <c r="U290" s="46">
        <v>100.0</v>
      </c>
    </row>
    <row r="291">
      <c r="A291" s="43" t="s">
        <v>805</v>
      </c>
      <c r="B291" s="47" t="s">
        <v>806</v>
      </c>
      <c r="C291" s="43" t="s">
        <v>83</v>
      </c>
      <c r="D291" s="43">
        <v>10.0</v>
      </c>
      <c r="E291" s="43">
        <v>100.0</v>
      </c>
      <c r="F291" s="43">
        <f>IFERROR(__xludf.DUMMYFUNCTION("""COMPUTED_VALUE"""),30.0)</f>
        <v>30</v>
      </c>
      <c r="G291" s="43" t="s">
        <v>122</v>
      </c>
      <c r="H291" s="43" t="s">
        <v>113</v>
      </c>
      <c r="I291" s="43" t="s">
        <v>115</v>
      </c>
      <c r="J291" s="47" t="s">
        <v>115</v>
      </c>
      <c r="K291" s="38">
        <v>6.0</v>
      </c>
      <c r="L291" s="38">
        <v>57.0</v>
      </c>
      <c r="M291" s="38" t="str">
        <f>IFERROR(__xludf.DUMMYFUNCTION("""COMPUTED_VALUE"""),"Fast Moving / Consumable")</f>
        <v>Fast Moving / Consumable</v>
      </c>
      <c r="N291" s="38">
        <v>18.0</v>
      </c>
      <c r="O291" s="40">
        <v>46234.0</v>
      </c>
      <c r="P291" s="38" t="s">
        <v>126</v>
      </c>
      <c r="Q291" s="42">
        <v>62.0</v>
      </c>
      <c r="R291" s="42">
        <v>43.63636363636363</v>
      </c>
      <c r="S291" s="38">
        <v>0.0</v>
      </c>
      <c r="T291" s="42">
        <v>56.490909090909085</v>
      </c>
      <c r="U291" s="42">
        <v>56.490909090909085</v>
      </c>
    </row>
    <row r="292">
      <c r="A292" s="43" t="s">
        <v>807</v>
      </c>
      <c r="B292" s="47" t="s">
        <v>808</v>
      </c>
      <c r="C292" s="43" t="s">
        <v>83</v>
      </c>
      <c r="D292" s="43">
        <v>10.0</v>
      </c>
      <c r="E292" s="43">
        <v>100.0</v>
      </c>
      <c r="F292" s="43">
        <f>IFERROR(__xludf.DUMMYFUNCTION("""COMPUTED_VALUE"""),100.0)</f>
        <v>100</v>
      </c>
      <c r="G292" s="43" t="s">
        <v>122</v>
      </c>
      <c r="H292" s="43" t="s">
        <v>113</v>
      </c>
      <c r="I292" s="43" t="s">
        <v>115</v>
      </c>
      <c r="J292" s="47" t="s">
        <v>115</v>
      </c>
      <c r="K292" s="38">
        <v>11.0</v>
      </c>
      <c r="L292" s="38">
        <v>100.0</v>
      </c>
      <c r="M292" s="38" t="str">
        <f>IFERROR(__xludf.DUMMYFUNCTION("""COMPUTED_VALUE"""),"Fast Moving / Consumable")</f>
        <v>Fast Moving / Consumable</v>
      </c>
      <c r="N292" s="38">
        <v>18.0</v>
      </c>
      <c r="O292" s="40">
        <v>46084.0</v>
      </c>
      <c r="P292" s="38" t="s">
        <v>126</v>
      </c>
      <c r="Q292" s="42">
        <v>35.0</v>
      </c>
      <c r="R292" s="42">
        <v>27.272727272727273</v>
      </c>
      <c r="S292" s="38">
        <v>100.0</v>
      </c>
      <c r="T292" s="42">
        <v>32.68181818181818</v>
      </c>
      <c r="U292" s="46">
        <v>100.0</v>
      </c>
    </row>
    <row r="293">
      <c r="A293" s="43" t="s">
        <v>809</v>
      </c>
      <c r="B293" s="47" t="s">
        <v>810</v>
      </c>
      <c r="C293" s="43" t="s">
        <v>83</v>
      </c>
      <c r="D293" s="43">
        <v>10.0</v>
      </c>
      <c r="E293" s="43">
        <v>100.0</v>
      </c>
      <c r="F293" s="43">
        <f>IFERROR(__xludf.DUMMYFUNCTION("""COMPUTED_VALUE"""),100.0)</f>
        <v>100</v>
      </c>
      <c r="G293" s="43" t="s">
        <v>122</v>
      </c>
      <c r="H293" s="43" t="s">
        <v>113</v>
      </c>
      <c r="I293" s="43" t="s">
        <v>115</v>
      </c>
      <c r="J293" s="47" t="s">
        <v>115</v>
      </c>
      <c r="K293" s="38">
        <v>11.0</v>
      </c>
      <c r="L293" s="38">
        <v>100.0</v>
      </c>
      <c r="M293" s="38" t="str">
        <f>IFERROR(__xludf.DUMMYFUNCTION("""COMPUTED_VALUE"""),"Fast Moving / Consumable")</f>
        <v>Fast Moving / Consumable</v>
      </c>
      <c r="N293" s="38">
        <v>18.0</v>
      </c>
      <c r="O293" s="40">
        <v>46112.0</v>
      </c>
      <c r="P293" s="38" t="s">
        <v>126</v>
      </c>
      <c r="Q293" s="42">
        <v>73.0</v>
      </c>
      <c r="R293" s="42">
        <v>27.545454545454547</v>
      </c>
      <c r="S293" s="38">
        <v>100.0</v>
      </c>
      <c r="T293" s="42">
        <v>59.36363636363636</v>
      </c>
      <c r="U293" s="46">
        <v>100.0</v>
      </c>
    </row>
    <row r="294">
      <c r="A294" s="43" t="s">
        <v>811</v>
      </c>
      <c r="B294" s="47" t="s">
        <v>812</v>
      </c>
      <c r="C294" s="43" t="s">
        <v>83</v>
      </c>
      <c r="D294" s="43">
        <v>10.0</v>
      </c>
      <c r="E294" s="43">
        <v>100.0</v>
      </c>
      <c r="F294" s="43">
        <f>IFERROR(__xludf.DUMMYFUNCTION("""COMPUTED_VALUE"""),83.0)</f>
        <v>83</v>
      </c>
      <c r="G294" s="43" t="s">
        <v>122</v>
      </c>
      <c r="H294" s="43" t="s">
        <v>113</v>
      </c>
      <c r="I294" s="43" t="s">
        <v>115</v>
      </c>
      <c r="J294" s="47" t="s">
        <v>115</v>
      </c>
      <c r="K294" s="38">
        <v>11.0</v>
      </c>
      <c r="L294" s="38">
        <v>100.0</v>
      </c>
      <c r="M294" s="38" t="str">
        <f>IFERROR(__xludf.DUMMYFUNCTION("""COMPUTED_VALUE"""),"Fast Moving / Consumable")</f>
        <v>Fast Moving / Consumable</v>
      </c>
      <c r="N294" s="38">
        <v>18.0</v>
      </c>
      <c r="O294" s="40">
        <v>46234.0</v>
      </c>
      <c r="P294" s="38" t="s">
        <v>126</v>
      </c>
      <c r="Q294" s="42">
        <v>73.0</v>
      </c>
      <c r="R294" s="42">
        <v>38.18181818181818</v>
      </c>
      <c r="S294" s="38">
        <v>100.0</v>
      </c>
      <c r="T294" s="42">
        <v>62.55454545454545</v>
      </c>
      <c r="U294" s="46">
        <v>100.0</v>
      </c>
    </row>
    <row r="295">
      <c r="A295" s="43" t="s">
        <v>813</v>
      </c>
      <c r="B295" s="47" t="s">
        <v>814</v>
      </c>
      <c r="C295" s="43" t="s">
        <v>83</v>
      </c>
      <c r="D295" s="43">
        <v>10.0</v>
      </c>
      <c r="E295" s="43">
        <v>100.0</v>
      </c>
      <c r="F295" s="43">
        <f>IFERROR(__xludf.DUMMYFUNCTION("""COMPUTED_VALUE"""),80.0)</f>
        <v>80</v>
      </c>
      <c r="G295" s="43" t="s">
        <v>122</v>
      </c>
      <c r="H295" s="43" t="s">
        <v>113</v>
      </c>
      <c r="I295" s="43" t="s">
        <v>115</v>
      </c>
      <c r="J295" s="47" t="s">
        <v>115</v>
      </c>
      <c r="K295" s="38">
        <v>11.0</v>
      </c>
      <c r="L295" s="38">
        <v>100.0</v>
      </c>
      <c r="M295" s="38" t="str">
        <f>IFERROR(__xludf.DUMMYFUNCTION("""COMPUTED_VALUE"""),"Fast Moving / Consumable")</f>
        <v>Fast Moving / Consumable</v>
      </c>
      <c r="N295" s="38">
        <v>18.0</v>
      </c>
      <c r="O295" s="40">
        <v>46234.0</v>
      </c>
      <c r="P295" s="38" t="s">
        <v>126</v>
      </c>
      <c r="Q295" s="42">
        <v>73.0</v>
      </c>
      <c r="R295" s="42">
        <v>38.72727272727273</v>
      </c>
      <c r="S295" s="38">
        <v>100.0</v>
      </c>
      <c r="T295" s="42">
        <v>62.71818181818181</v>
      </c>
      <c r="U295" s="46">
        <v>100.0</v>
      </c>
    </row>
    <row r="296">
      <c r="A296" s="43" t="s">
        <v>815</v>
      </c>
      <c r="B296" s="47" t="s">
        <v>816</v>
      </c>
      <c r="C296" s="43" t="s">
        <v>83</v>
      </c>
      <c r="D296" s="43">
        <v>10.0</v>
      </c>
      <c r="E296" s="43">
        <v>100.0</v>
      </c>
      <c r="F296" s="43">
        <f>IFERROR(__xludf.DUMMYFUNCTION("""COMPUTED_VALUE"""),50.0)</f>
        <v>50</v>
      </c>
      <c r="G296" s="43" t="s">
        <v>122</v>
      </c>
      <c r="H296" s="43" t="s">
        <v>113</v>
      </c>
      <c r="I296" s="43" t="s">
        <v>115</v>
      </c>
      <c r="J296" s="47" t="s">
        <v>115</v>
      </c>
      <c r="K296" s="38">
        <v>6.0</v>
      </c>
      <c r="L296" s="38">
        <v>50.0</v>
      </c>
      <c r="M296" s="38" t="str">
        <f>IFERROR(__xludf.DUMMYFUNCTION("""COMPUTED_VALUE"""),"General Sparepart")</f>
        <v>General Sparepart</v>
      </c>
      <c r="N296" s="38">
        <v>24.0</v>
      </c>
      <c r="O296" s="40">
        <v>46087.0</v>
      </c>
      <c r="P296" s="38" t="s">
        <v>126</v>
      </c>
      <c r="Q296" s="42">
        <v>39.0</v>
      </c>
      <c r="R296" s="42">
        <v>13.636363636363637</v>
      </c>
      <c r="S296" s="38">
        <v>50.0</v>
      </c>
      <c r="T296" s="42">
        <v>31.390909090909087</v>
      </c>
      <c r="U296" s="46">
        <v>50.0</v>
      </c>
    </row>
    <row r="297">
      <c r="A297" s="43" t="s">
        <v>817</v>
      </c>
      <c r="B297" s="47" t="s">
        <v>818</v>
      </c>
      <c r="C297" s="43" t="s">
        <v>78</v>
      </c>
      <c r="D297" s="43">
        <v>1.0</v>
      </c>
      <c r="E297" s="43">
        <v>3.0</v>
      </c>
      <c r="F297" s="43">
        <f>IFERROR(__xludf.DUMMYFUNCTION("""COMPUTED_VALUE"""),3.0)</f>
        <v>3</v>
      </c>
      <c r="G297" s="43" t="s">
        <v>122</v>
      </c>
      <c r="H297" s="43" t="s">
        <v>113</v>
      </c>
      <c r="I297" s="43" t="s">
        <v>115</v>
      </c>
      <c r="J297" s="47" t="s">
        <v>115</v>
      </c>
      <c r="K297" s="38">
        <v>0.0</v>
      </c>
      <c r="L297" s="38">
        <v>0.0</v>
      </c>
      <c r="M297" s="38" t="str">
        <f>IFERROR(__xludf.DUMMYFUNCTION("""COMPUTED_VALUE"""),"Fast Moving / Consumable")</f>
        <v>Fast Moving / Consumable</v>
      </c>
      <c r="N297" s="38">
        <v>18.0</v>
      </c>
      <c r="O297" s="40">
        <v>45350.0</v>
      </c>
      <c r="P297" s="38" t="s">
        <v>116</v>
      </c>
      <c r="Q297" s="42">
        <v>1.0</v>
      </c>
      <c r="R297" s="42">
        <v>0.0</v>
      </c>
      <c r="S297" s="38">
        <v>0.0</v>
      </c>
      <c r="T297" s="42">
        <v>1.0</v>
      </c>
      <c r="U297" s="42">
        <v>1.0</v>
      </c>
    </row>
    <row r="298">
      <c r="A298" s="43" t="s">
        <v>819</v>
      </c>
      <c r="B298" s="47" t="s">
        <v>820</v>
      </c>
      <c r="C298" s="43" t="s">
        <v>78</v>
      </c>
      <c r="D298" s="43">
        <v>1.0</v>
      </c>
      <c r="E298" s="43">
        <v>5.0</v>
      </c>
      <c r="F298" s="43">
        <f>IFERROR(__xludf.DUMMYFUNCTION("""COMPUTED_VALUE"""),5.0)</f>
        <v>5</v>
      </c>
      <c r="G298" s="43" t="s">
        <v>122</v>
      </c>
      <c r="H298" s="43" t="s">
        <v>113</v>
      </c>
      <c r="I298" s="43" t="s">
        <v>115</v>
      </c>
      <c r="J298" s="47" t="s">
        <v>115</v>
      </c>
      <c r="K298" s="38">
        <v>1.0</v>
      </c>
      <c r="L298" s="38">
        <v>9.0</v>
      </c>
      <c r="M298" s="38" t="str">
        <f>IFERROR(__xludf.DUMMYFUNCTION("""COMPUTED_VALUE"""),"General Sparepart")</f>
        <v>General Sparepart</v>
      </c>
      <c r="N298" s="38">
        <v>24.0</v>
      </c>
      <c r="O298" s="40">
        <v>46217.0</v>
      </c>
      <c r="P298" s="38" t="s">
        <v>126</v>
      </c>
      <c r="Q298" s="42">
        <v>3.0</v>
      </c>
      <c r="R298" s="42">
        <v>4.090909090909091</v>
      </c>
      <c r="S298" s="38">
        <v>9.0</v>
      </c>
      <c r="T298" s="42">
        <v>3.327272727272727</v>
      </c>
      <c r="U298" s="46">
        <v>9.0</v>
      </c>
    </row>
    <row r="299">
      <c r="A299" s="43" t="s">
        <v>821</v>
      </c>
      <c r="B299" s="47" t="s">
        <v>822</v>
      </c>
      <c r="C299" s="43" t="s">
        <v>78</v>
      </c>
      <c r="D299" s="43">
        <v>20.0</v>
      </c>
      <c r="E299" s="43">
        <v>40.0</v>
      </c>
      <c r="F299" s="43">
        <f>IFERROR(__xludf.DUMMYFUNCTION("""COMPUTED_VALUE"""),40.0)</f>
        <v>40</v>
      </c>
      <c r="G299" s="43" t="s">
        <v>122</v>
      </c>
      <c r="H299" s="43" t="s">
        <v>113</v>
      </c>
      <c r="I299" s="43" t="s">
        <v>115</v>
      </c>
      <c r="J299" s="47" t="s">
        <v>115</v>
      </c>
      <c r="K299" s="38">
        <v>5.0</v>
      </c>
      <c r="L299" s="38">
        <v>40.0</v>
      </c>
      <c r="M299" s="38" t="str">
        <f>IFERROR(__xludf.DUMMYFUNCTION("""COMPUTED_VALUE"""),"General Sparepart")</f>
        <v>General Sparepart</v>
      </c>
      <c r="N299" s="38">
        <v>24.0</v>
      </c>
      <c r="O299" s="40">
        <v>46204.0</v>
      </c>
      <c r="P299" s="38" t="s">
        <v>126</v>
      </c>
      <c r="Q299" s="42">
        <v>35.0</v>
      </c>
      <c r="R299" s="42">
        <v>21.818181818181817</v>
      </c>
      <c r="S299" s="38">
        <v>40.0</v>
      </c>
      <c r="T299" s="42">
        <v>31.045454545454547</v>
      </c>
      <c r="U299" s="46">
        <v>40.0</v>
      </c>
    </row>
    <row r="300">
      <c r="A300" s="43" t="s">
        <v>823</v>
      </c>
      <c r="B300" s="47" t="s">
        <v>824</v>
      </c>
      <c r="C300" s="43" t="s">
        <v>78</v>
      </c>
      <c r="D300" s="43">
        <v>2.0</v>
      </c>
      <c r="E300" s="43">
        <v>5.0</v>
      </c>
      <c r="F300" s="43">
        <f>IFERROR(__xludf.DUMMYFUNCTION("""COMPUTED_VALUE"""),3.0)</f>
        <v>3</v>
      </c>
      <c r="G300" s="43" t="s">
        <v>122</v>
      </c>
      <c r="H300" s="43" t="s">
        <v>113</v>
      </c>
      <c r="I300" s="43" t="s">
        <v>115</v>
      </c>
      <c r="J300" s="47" t="s">
        <v>115</v>
      </c>
      <c r="K300" s="38">
        <v>1.0</v>
      </c>
      <c r="L300" s="38">
        <v>3.0</v>
      </c>
      <c r="M300" s="38" t="str">
        <f>IFERROR(__xludf.DUMMYFUNCTION("""COMPUTED_VALUE"""),"Fast Moving / Consumable")</f>
        <v>Fast Moving / Consumable</v>
      </c>
      <c r="N300" s="38">
        <v>18.0</v>
      </c>
      <c r="O300" s="40">
        <v>46028.0</v>
      </c>
      <c r="P300" s="38" t="s">
        <v>126</v>
      </c>
      <c r="Q300" s="42">
        <v>2.0</v>
      </c>
      <c r="R300" s="42">
        <v>1.6363636363636362</v>
      </c>
      <c r="S300" s="38">
        <v>3.0</v>
      </c>
      <c r="T300" s="42">
        <v>1.8909090909090907</v>
      </c>
      <c r="U300" s="46">
        <v>3.0</v>
      </c>
    </row>
    <row r="301">
      <c r="A301" s="43" t="s">
        <v>825</v>
      </c>
      <c r="B301" s="47" t="s">
        <v>826</v>
      </c>
      <c r="C301" s="43" t="s">
        <v>78</v>
      </c>
      <c r="D301" s="43">
        <v>2.0</v>
      </c>
      <c r="E301" s="43">
        <v>5.0</v>
      </c>
      <c r="F301" s="43">
        <f>IFERROR(__xludf.DUMMYFUNCTION("""COMPUTED_VALUE"""),3.0)</f>
        <v>3</v>
      </c>
      <c r="G301" s="43" t="s">
        <v>122</v>
      </c>
      <c r="H301" s="43" t="s">
        <v>113</v>
      </c>
      <c r="I301" s="43" t="s">
        <v>115</v>
      </c>
      <c r="J301" s="47" t="s">
        <v>115</v>
      </c>
      <c r="K301" s="38">
        <v>1.0</v>
      </c>
      <c r="L301" s="38">
        <v>2.0</v>
      </c>
      <c r="M301" s="38" t="str">
        <f>IFERROR(__xludf.DUMMYFUNCTION("""COMPUTED_VALUE"""),"Fast Moving / Consumable")</f>
        <v>Fast Moving / Consumable</v>
      </c>
      <c r="N301" s="38">
        <v>18.0</v>
      </c>
      <c r="O301" s="40">
        <v>45808.0</v>
      </c>
      <c r="P301" s="38" t="s">
        <v>126</v>
      </c>
      <c r="Q301" s="42">
        <v>2.0</v>
      </c>
      <c r="R301" s="42">
        <v>1.9090909090909092</v>
      </c>
      <c r="S301" s="38">
        <v>0.0</v>
      </c>
      <c r="T301" s="42">
        <v>1.9727272727272727</v>
      </c>
      <c r="U301" s="42">
        <v>1.9727272727272727</v>
      </c>
    </row>
    <row r="302">
      <c r="A302" s="43" t="s">
        <v>827</v>
      </c>
      <c r="B302" s="47" t="s">
        <v>828</v>
      </c>
      <c r="C302" s="43" t="s">
        <v>78</v>
      </c>
      <c r="D302" s="43">
        <v>2.0</v>
      </c>
      <c r="E302" s="43">
        <v>4.0</v>
      </c>
      <c r="F302" s="43">
        <f>IFERROR(__xludf.DUMMYFUNCTION("""COMPUTED_VALUE"""),1.0)</f>
        <v>1</v>
      </c>
      <c r="G302" s="43" t="s">
        <v>112</v>
      </c>
      <c r="H302" s="43" t="s">
        <v>113</v>
      </c>
      <c r="I302" s="43" t="s">
        <v>115</v>
      </c>
      <c r="J302" s="47" t="s">
        <v>115</v>
      </c>
      <c r="K302" s="38">
        <v>1.0</v>
      </c>
      <c r="L302" s="38">
        <v>6.0</v>
      </c>
      <c r="M302" s="38" t="str">
        <f>IFERROR(__xludf.DUMMYFUNCTION("""COMPUTED_VALUE"""),"Fast Moving / Consumable")</f>
        <v>Fast Moving / Consumable</v>
      </c>
      <c r="N302" s="38">
        <v>18.0</v>
      </c>
      <c r="O302" s="40">
        <v>46217.0</v>
      </c>
      <c r="P302" s="38" t="s">
        <v>126</v>
      </c>
      <c r="Q302" s="42">
        <v>5.0</v>
      </c>
      <c r="R302" s="42">
        <v>5.181818181818182</v>
      </c>
      <c r="S302" s="38">
        <v>6.0</v>
      </c>
      <c r="T302" s="42">
        <v>5.054545454545455</v>
      </c>
      <c r="U302" s="46">
        <v>6.0</v>
      </c>
    </row>
    <row r="303">
      <c r="A303" s="43" t="s">
        <v>829</v>
      </c>
      <c r="B303" s="47" t="s">
        <v>830</v>
      </c>
      <c r="C303" s="43" t="s">
        <v>78</v>
      </c>
      <c r="D303" s="43">
        <v>1.0</v>
      </c>
      <c r="E303" s="43">
        <v>1.0</v>
      </c>
      <c r="F303" s="43">
        <f>IFERROR(__xludf.DUMMYFUNCTION("""COMPUTED_VALUE"""),2.0)</f>
        <v>2</v>
      </c>
      <c r="G303" s="43" t="s">
        <v>122</v>
      </c>
      <c r="H303" s="43" t="s">
        <v>113</v>
      </c>
      <c r="I303" s="43" t="s">
        <v>115</v>
      </c>
      <c r="J303" s="47" t="s">
        <v>115</v>
      </c>
      <c r="K303" s="38">
        <v>1.0</v>
      </c>
      <c r="L303" s="38">
        <v>3.0</v>
      </c>
      <c r="M303" s="38" t="str">
        <f>IFERROR(__xludf.DUMMYFUNCTION("""COMPUTED_VALUE"""),"General Sparepart")</f>
        <v>General Sparepart</v>
      </c>
      <c r="N303" s="38">
        <v>24.0</v>
      </c>
      <c r="O303" s="40">
        <v>45978.0</v>
      </c>
      <c r="P303" s="38" t="s">
        <v>126</v>
      </c>
      <c r="Q303" s="42">
        <v>3.0</v>
      </c>
      <c r="R303" s="42">
        <v>0.2727272727272727</v>
      </c>
      <c r="S303" s="38">
        <v>2.0</v>
      </c>
      <c r="T303" s="42">
        <v>2.1818181818181817</v>
      </c>
      <c r="U303" s="42">
        <v>2.1818181818181817</v>
      </c>
    </row>
    <row r="304">
      <c r="A304" s="43" t="s">
        <v>831</v>
      </c>
      <c r="B304" s="47" t="s">
        <v>832</v>
      </c>
      <c r="C304" s="43" t="s">
        <v>78</v>
      </c>
      <c r="D304" s="43">
        <v>1.0</v>
      </c>
      <c r="E304" s="43">
        <v>2.0</v>
      </c>
      <c r="F304" s="43">
        <f>IFERROR(__xludf.DUMMYFUNCTION("""COMPUTED_VALUE"""),2.0)</f>
        <v>2</v>
      </c>
      <c r="G304" s="43" t="s">
        <v>122</v>
      </c>
      <c r="H304" s="43" t="s">
        <v>113</v>
      </c>
      <c r="I304" s="43" t="s">
        <v>115</v>
      </c>
      <c r="J304" s="47" t="s">
        <v>115</v>
      </c>
      <c r="K304" s="38">
        <v>1.0</v>
      </c>
      <c r="L304" s="38">
        <v>3.0</v>
      </c>
      <c r="M304" s="38" t="str">
        <f>IFERROR(__xludf.DUMMYFUNCTION("""COMPUTED_VALUE"""),"General Sparepart")</f>
        <v>General Sparepart</v>
      </c>
      <c r="N304" s="38">
        <v>24.0</v>
      </c>
      <c r="O304" s="40">
        <v>46171.0</v>
      </c>
      <c r="P304" s="38" t="s">
        <v>126</v>
      </c>
      <c r="Q304" s="42">
        <v>1.0</v>
      </c>
      <c r="R304" s="42">
        <v>0.2727272727272727</v>
      </c>
      <c r="S304" s="38">
        <v>3.0</v>
      </c>
      <c r="T304" s="42">
        <v>0.7818181818181817</v>
      </c>
      <c r="U304" s="46">
        <v>3.0</v>
      </c>
    </row>
    <row r="305">
      <c r="A305" s="43" t="s">
        <v>833</v>
      </c>
      <c r="B305" s="47" t="s">
        <v>834</v>
      </c>
      <c r="C305" s="43" t="s">
        <v>78</v>
      </c>
      <c r="D305" s="43">
        <v>2.0</v>
      </c>
      <c r="E305" s="43">
        <v>2.0</v>
      </c>
      <c r="F305" s="43">
        <f>IFERROR(__xludf.DUMMYFUNCTION("""COMPUTED_VALUE"""),0.0)</f>
        <v>0</v>
      </c>
      <c r="G305" s="43" t="s">
        <v>112</v>
      </c>
      <c r="H305" s="43" t="s">
        <v>119</v>
      </c>
      <c r="I305" s="43" t="s">
        <v>119</v>
      </c>
      <c r="J305" s="47" t="s">
        <v>115</v>
      </c>
      <c r="K305" s="38">
        <v>1.0</v>
      </c>
      <c r="L305" s="38">
        <v>1.0</v>
      </c>
      <c r="M305" s="38" t="str">
        <f>IFERROR(__xludf.DUMMYFUNCTION("""COMPUTED_VALUE"""),"General Sparepart")</f>
        <v>General Sparepart</v>
      </c>
      <c r="N305" s="38">
        <v>24.0</v>
      </c>
      <c r="O305" s="40">
        <v>45629.0</v>
      </c>
      <c r="P305" s="38" t="s">
        <v>126</v>
      </c>
      <c r="Q305" s="42">
        <v>0.0</v>
      </c>
      <c r="R305" s="42">
        <v>0.5454545454545454</v>
      </c>
      <c r="S305" s="38">
        <v>0.0</v>
      </c>
      <c r="T305" s="42">
        <v>0.1636363636363636</v>
      </c>
      <c r="U305" s="42">
        <v>0.1636363636363636</v>
      </c>
    </row>
    <row r="306">
      <c r="A306" s="43" t="s">
        <v>835</v>
      </c>
      <c r="B306" s="47" t="s">
        <v>837</v>
      </c>
      <c r="C306" s="43" t="s">
        <v>78</v>
      </c>
      <c r="D306" s="43">
        <v>5.0</v>
      </c>
      <c r="E306" s="43">
        <v>10.0</v>
      </c>
      <c r="F306" s="43">
        <f>IFERROR(__xludf.DUMMYFUNCTION("""COMPUTED_VALUE"""),6.0)</f>
        <v>6</v>
      </c>
      <c r="G306" s="43" t="s">
        <v>122</v>
      </c>
      <c r="H306" s="43" t="s">
        <v>113</v>
      </c>
      <c r="I306" s="43" t="s">
        <v>115</v>
      </c>
      <c r="J306" s="47" t="s">
        <v>115</v>
      </c>
      <c r="K306" s="38">
        <v>3.0</v>
      </c>
      <c r="L306" s="38">
        <v>25.0</v>
      </c>
      <c r="M306" s="38" t="str">
        <f>IFERROR(__xludf.DUMMYFUNCTION("""COMPUTED_VALUE"""),"Fast Moving / Consumable")</f>
        <v>Fast Moving / Consumable</v>
      </c>
      <c r="N306" s="38">
        <v>18.0</v>
      </c>
      <c r="O306" s="40">
        <v>46260.0</v>
      </c>
      <c r="P306" s="38" t="s">
        <v>126</v>
      </c>
      <c r="Q306" s="42">
        <v>24.0</v>
      </c>
      <c r="R306" s="42">
        <v>26.454545454545453</v>
      </c>
      <c r="S306" s="38">
        <v>0.0</v>
      </c>
      <c r="T306" s="42">
        <v>24.736363636363635</v>
      </c>
      <c r="U306" s="42">
        <v>24.736363636363635</v>
      </c>
    </row>
    <row r="307">
      <c r="A307" s="43" t="s">
        <v>838</v>
      </c>
      <c r="B307" s="47" t="s">
        <v>839</v>
      </c>
      <c r="C307" s="43" t="s">
        <v>78</v>
      </c>
      <c r="D307" s="43">
        <v>5.0</v>
      </c>
      <c r="E307" s="43">
        <v>10.0</v>
      </c>
      <c r="F307" s="43">
        <f>IFERROR(__xludf.DUMMYFUNCTION("""COMPUTED_VALUE"""),24.0)</f>
        <v>24</v>
      </c>
      <c r="G307" s="43" t="s">
        <v>122</v>
      </c>
      <c r="H307" s="43" t="s">
        <v>113</v>
      </c>
      <c r="I307" s="43" t="s">
        <v>115</v>
      </c>
      <c r="J307" s="47" t="s">
        <v>115</v>
      </c>
      <c r="K307" s="38">
        <v>9.0</v>
      </c>
      <c r="L307" s="38">
        <v>85.0</v>
      </c>
      <c r="M307" s="38" t="str">
        <f>IFERROR(__xludf.DUMMYFUNCTION("""COMPUTED_VALUE"""),"Fast Moving / Consumable")</f>
        <v>Fast Moving / Consumable</v>
      </c>
      <c r="N307" s="38">
        <v>18.0</v>
      </c>
      <c r="O307" s="40">
        <v>46247.0</v>
      </c>
      <c r="P307" s="38" t="s">
        <v>126</v>
      </c>
      <c r="Q307" s="42">
        <v>35.0</v>
      </c>
      <c r="R307" s="42">
        <v>18.0</v>
      </c>
      <c r="S307" s="38">
        <v>85.0</v>
      </c>
      <c r="T307" s="42">
        <v>29.9</v>
      </c>
      <c r="U307" s="46">
        <v>85.0</v>
      </c>
    </row>
    <row r="308">
      <c r="A308" s="43" t="s">
        <v>840</v>
      </c>
      <c r="B308" s="47" t="s">
        <v>841</v>
      </c>
      <c r="C308" s="43" t="s">
        <v>78</v>
      </c>
      <c r="D308" s="43">
        <v>5.0</v>
      </c>
      <c r="E308" s="43">
        <v>10.0</v>
      </c>
      <c r="F308" s="43">
        <f>IFERROR(__xludf.DUMMYFUNCTION("""COMPUTED_VALUE"""),1.0)</f>
        <v>1</v>
      </c>
      <c r="G308" s="43" t="s">
        <v>112</v>
      </c>
      <c r="H308" s="43" t="s">
        <v>113</v>
      </c>
      <c r="I308" s="43" t="s">
        <v>115</v>
      </c>
      <c r="J308" s="47" t="s">
        <v>115</v>
      </c>
      <c r="K308" s="38">
        <v>10.0</v>
      </c>
      <c r="L308" s="38">
        <v>90.0</v>
      </c>
      <c r="M308" s="38" t="str">
        <f>IFERROR(__xludf.DUMMYFUNCTION("""COMPUTED_VALUE"""),"Fast Moving / Consumable")</f>
        <v>Fast Moving / Consumable</v>
      </c>
      <c r="N308" s="38">
        <v>18.0</v>
      </c>
      <c r="O308" s="40">
        <v>46239.0</v>
      </c>
      <c r="P308" s="38" t="s">
        <v>126</v>
      </c>
      <c r="Q308" s="42">
        <v>42.0</v>
      </c>
      <c r="R308" s="42">
        <v>31.90909090909091</v>
      </c>
      <c r="S308" s="38">
        <v>90.0</v>
      </c>
      <c r="T308" s="42">
        <v>38.97272727272727</v>
      </c>
      <c r="U308" s="46">
        <v>90.0</v>
      </c>
    </row>
    <row r="309">
      <c r="A309" s="43" t="s">
        <v>842</v>
      </c>
      <c r="B309" s="47" t="s">
        <v>843</v>
      </c>
      <c r="C309" s="43" t="s">
        <v>78</v>
      </c>
      <c r="D309" s="43">
        <v>450.0</v>
      </c>
      <c r="E309" s="43">
        <v>4000.0</v>
      </c>
      <c r="F309" s="43">
        <f>IFERROR(__xludf.DUMMYFUNCTION("""COMPUTED_VALUE"""),1450.0)</f>
        <v>1450</v>
      </c>
      <c r="G309" s="43" t="s">
        <v>122</v>
      </c>
      <c r="H309" s="43" t="s">
        <v>113</v>
      </c>
      <c r="I309" s="43" t="s">
        <v>115</v>
      </c>
      <c r="J309" s="47" t="s">
        <v>115</v>
      </c>
      <c r="K309" s="38">
        <v>419.0</v>
      </c>
      <c r="L309" s="38">
        <v>4020.0</v>
      </c>
      <c r="M309" s="38" t="str">
        <f>IFERROR(__xludf.DUMMYFUNCTION("""COMPUTED_VALUE"""),"General Sparepart")</f>
        <v>General Sparepart</v>
      </c>
      <c r="N309" s="38">
        <v>24.0</v>
      </c>
      <c r="O309" s="40">
        <v>46260.0</v>
      </c>
      <c r="P309" s="38" t="s">
        <v>126</v>
      </c>
      <c r="Q309" s="42">
        <v>2989.0</v>
      </c>
      <c r="R309" s="42">
        <v>1650.0</v>
      </c>
      <c r="S309" s="38">
        <v>4020.0</v>
      </c>
      <c r="T309" s="42">
        <v>2587.2999999999997</v>
      </c>
      <c r="U309" s="46">
        <v>4020.0</v>
      </c>
    </row>
    <row r="310">
      <c r="A310" s="43" t="s">
        <v>844</v>
      </c>
      <c r="B310" s="47" t="s">
        <v>845</v>
      </c>
      <c r="C310" s="43" t="s">
        <v>78</v>
      </c>
      <c r="D310" s="43">
        <v>4.0</v>
      </c>
      <c r="E310" s="43">
        <v>6.0</v>
      </c>
      <c r="F310" s="43">
        <f>IFERROR(__xludf.DUMMYFUNCTION("""COMPUTED_VALUE"""),3.0)</f>
        <v>3</v>
      </c>
      <c r="G310" s="43" t="s">
        <v>112</v>
      </c>
      <c r="H310" s="43" t="s">
        <v>113</v>
      </c>
      <c r="I310" s="43" t="s">
        <v>115</v>
      </c>
      <c r="J310" s="47" t="s">
        <v>115</v>
      </c>
      <c r="K310" s="38">
        <v>1.0</v>
      </c>
      <c r="L310" s="38">
        <v>6.0</v>
      </c>
      <c r="M310" s="38" t="str">
        <f>IFERROR(__xludf.DUMMYFUNCTION("""COMPUTED_VALUE"""),"General Sparepart")</f>
        <v>General Sparepart</v>
      </c>
      <c r="N310" s="38">
        <v>24.0</v>
      </c>
      <c r="O310" s="40">
        <v>46220.0</v>
      </c>
      <c r="P310" s="38" t="s">
        <v>126</v>
      </c>
      <c r="Q310" s="42">
        <v>2.0</v>
      </c>
      <c r="R310" s="42">
        <v>1.3636363636363635</v>
      </c>
      <c r="S310" s="38">
        <v>6.0</v>
      </c>
      <c r="T310" s="42">
        <v>1.809090909090909</v>
      </c>
      <c r="U310" s="46">
        <v>6.0</v>
      </c>
    </row>
    <row r="311">
      <c r="A311" s="43" t="s">
        <v>846</v>
      </c>
      <c r="B311" s="47" t="s">
        <v>847</v>
      </c>
      <c r="C311" s="43" t="s">
        <v>78</v>
      </c>
      <c r="D311" s="43">
        <v>3.0</v>
      </c>
      <c r="E311" s="43">
        <v>10.0</v>
      </c>
      <c r="F311" s="43">
        <f>IFERROR(__xludf.DUMMYFUNCTION("""COMPUTED_VALUE"""),3.0)</f>
        <v>3</v>
      </c>
      <c r="G311" s="43" t="s">
        <v>125</v>
      </c>
      <c r="H311" s="43" t="s">
        <v>113</v>
      </c>
      <c r="I311" s="43" t="s">
        <v>115</v>
      </c>
      <c r="J311" s="47" t="s">
        <v>115</v>
      </c>
      <c r="K311" s="38">
        <v>7.0</v>
      </c>
      <c r="L311" s="38">
        <v>60.0</v>
      </c>
      <c r="M311" s="38" t="str">
        <f>IFERROR(__xludf.DUMMYFUNCTION("""COMPUTED_VALUE"""),"General Sparepart")</f>
        <v>General Sparepart</v>
      </c>
      <c r="N311" s="38">
        <v>24.0</v>
      </c>
      <c r="O311" s="40">
        <v>46260.0</v>
      </c>
      <c r="P311" s="38" t="s">
        <v>126</v>
      </c>
      <c r="Q311" s="42">
        <v>25.0</v>
      </c>
      <c r="R311" s="42">
        <v>35.72727272727273</v>
      </c>
      <c r="S311" s="38">
        <v>60.0</v>
      </c>
      <c r="T311" s="42">
        <v>28.21818181818182</v>
      </c>
      <c r="U311" s="46">
        <v>60.0</v>
      </c>
    </row>
    <row r="312">
      <c r="A312" s="43" t="s">
        <v>848</v>
      </c>
      <c r="B312" s="47" t="s">
        <v>849</v>
      </c>
      <c r="C312" s="43" t="s">
        <v>78</v>
      </c>
      <c r="D312" s="43">
        <v>0.0</v>
      </c>
      <c r="E312" s="43">
        <v>1.0</v>
      </c>
      <c r="F312" s="43">
        <f>IFERROR(__xludf.DUMMYFUNCTION("""COMPUTED_VALUE"""),0.0)</f>
        <v>0</v>
      </c>
      <c r="G312" s="43" t="s">
        <v>125</v>
      </c>
      <c r="H312" s="43" t="s">
        <v>119</v>
      </c>
      <c r="I312" s="43" t="s">
        <v>119</v>
      </c>
      <c r="J312" s="47" t="s">
        <v>115</v>
      </c>
      <c r="K312" s="38">
        <v>0.0</v>
      </c>
      <c r="L312" s="38">
        <v>0.0</v>
      </c>
      <c r="M312" s="38" t="str">
        <f>IFERROR(__xludf.DUMMYFUNCTION("""COMPUTED_VALUE"""),"Fast Moving / Consumable")</f>
        <v>Fast Moving / Consumable</v>
      </c>
      <c r="N312" s="38">
        <v>18.0</v>
      </c>
      <c r="O312" s="40">
        <v>0.0</v>
      </c>
      <c r="P312" s="38" t="s">
        <v>116</v>
      </c>
      <c r="Q312" s="42">
        <v>0.0</v>
      </c>
      <c r="R312" s="42">
        <v>0.0</v>
      </c>
      <c r="S312" s="38">
        <v>0.0</v>
      </c>
      <c r="T312" s="42">
        <v>0.0</v>
      </c>
      <c r="U312" s="42">
        <v>0.0</v>
      </c>
    </row>
    <row r="313">
      <c r="A313" s="43" t="s">
        <v>850</v>
      </c>
      <c r="B313" s="47" t="s">
        <v>851</v>
      </c>
      <c r="C313" s="43" t="s">
        <v>78</v>
      </c>
      <c r="D313" s="43">
        <v>0.0</v>
      </c>
      <c r="E313" s="43">
        <v>1.0</v>
      </c>
      <c r="F313" s="43">
        <f>IFERROR(__xludf.DUMMYFUNCTION("""COMPUTED_VALUE"""),0.0)</f>
        <v>0</v>
      </c>
      <c r="G313" s="43" t="s">
        <v>125</v>
      </c>
      <c r="H313" s="43" t="s">
        <v>119</v>
      </c>
      <c r="I313" s="43" t="s">
        <v>119</v>
      </c>
      <c r="J313" s="47" t="s">
        <v>115</v>
      </c>
      <c r="K313" s="38">
        <v>0.0</v>
      </c>
      <c r="L313" s="38">
        <v>0.0</v>
      </c>
      <c r="M313" s="38" t="str">
        <f>IFERROR(__xludf.DUMMYFUNCTION("""COMPUTED_VALUE"""),"Fast Moving / Consumable")</f>
        <v>Fast Moving / Consumable</v>
      </c>
      <c r="N313" s="38">
        <v>18.0</v>
      </c>
      <c r="O313" s="40">
        <v>0.0</v>
      </c>
      <c r="P313" s="38" t="s">
        <v>116</v>
      </c>
      <c r="Q313" s="42">
        <v>0.0</v>
      </c>
      <c r="R313" s="42">
        <v>0.0</v>
      </c>
      <c r="S313" s="38">
        <v>0.0</v>
      </c>
      <c r="T313" s="42">
        <v>0.0</v>
      </c>
      <c r="U313" s="42">
        <v>0.0</v>
      </c>
    </row>
    <row r="314">
      <c r="A314" s="43" t="s">
        <v>852</v>
      </c>
      <c r="B314" s="47" t="s">
        <v>853</v>
      </c>
      <c r="C314" s="43" t="s">
        <v>80</v>
      </c>
      <c r="D314" s="43">
        <v>1.0</v>
      </c>
      <c r="E314" s="43">
        <v>3.0</v>
      </c>
      <c r="F314" s="43">
        <f>IFERROR(__xludf.DUMMYFUNCTION("""COMPUTED_VALUE"""),0.0)</f>
        <v>0</v>
      </c>
      <c r="G314" s="43" t="s">
        <v>112</v>
      </c>
      <c r="H314" s="43" t="s">
        <v>113</v>
      </c>
      <c r="I314" s="43" t="s">
        <v>115</v>
      </c>
      <c r="J314" s="47" t="s">
        <v>115</v>
      </c>
      <c r="K314" s="38">
        <v>1.0</v>
      </c>
      <c r="L314" s="38">
        <v>4.0</v>
      </c>
      <c r="M314" s="38" t="str">
        <f>IFERROR(__xludf.DUMMYFUNCTION("""COMPUTED_VALUE"""),"General Sparepart")</f>
        <v>General Sparepart</v>
      </c>
      <c r="N314" s="38">
        <v>24.0</v>
      </c>
      <c r="O314" s="40">
        <v>46271.0</v>
      </c>
      <c r="P314" s="38" t="s">
        <v>126</v>
      </c>
      <c r="Q314" s="42">
        <v>2.0</v>
      </c>
      <c r="R314" s="42">
        <v>1.0909090909090908</v>
      </c>
      <c r="S314" s="38">
        <v>4.0</v>
      </c>
      <c r="T314" s="42">
        <v>1.727272727272727</v>
      </c>
      <c r="U314" s="46">
        <v>4.0</v>
      </c>
    </row>
    <row r="315">
      <c r="A315" s="43" t="s">
        <v>854</v>
      </c>
      <c r="B315" s="47" t="s">
        <v>855</v>
      </c>
      <c r="C315" s="43" t="s">
        <v>80</v>
      </c>
      <c r="D315" s="43">
        <v>1.0</v>
      </c>
      <c r="E315" s="43">
        <v>5.0</v>
      </c>
      <c r="F315" s="43">
        <f>IFERROR(__xludf.DUMMYFUNCTION("""COMPUTED_VALUE"""),4.0)</f>
        <v>4</v>
      </c>
      <c r="G315" s="43" t="s">
        <v>122</v>
      </c>
      <c r="H315" s="43" t="s">
        <v>113</v>
      </c>
      <c r="I315" s="43" t="s">
        <v>115</v>
      </c>
      <c r="J315" s="47" t="s">
        <v>115</v>
      </c>
      <c r="K315" s="38">
        <v>1.0</v>
      </c>
      <c r="L315" s="38">
        <v>5.0</v>
      </c>
      <c r="M315" s="38" t="str">
        <f>IFERROR(__xludf.DUMMYFUNCTION("""COMPUTED_VALUE"""),"General Sparepart")</f>
        <v>General Sparepart</v>
      </c>
      <c r="N315" s="38">
        <v>24.0</v>
      </c>
      <c r="O315" s="40">
        <v>46142.0</v>
      </c>
      <c r="P315" s="38" t="s">
        <v>126</v>
      </c>
      <c r="Q315" s="42">
        <v>2.0</v>
      </c>
      <c r="R315" s="42">
        <v>2.1818181818181817</v>
      </c>
      <c r="S315" s="38">
        <v>5.0</v>
      </c>
      <c r="T315" s="42">
        <v>2.0545454545454542</v>
      </c>
      <c r="U315" s="46">
        <v>5.0</v>
      </c>
    </row>
    <row r="316">
      <c r="A316" s="43" t="s">
        <v>856</v>
      </c>
      <c r="B316" s="47" t="s">
        <v>857</v>
      </c>
      <c r="C316" s="43" t="s">
        <v>80</v>
      </c>
      <c r="D316" s="43">
        <v>1.0</v>
      </c>
      <c r="E316" s="43">
        <v>3.0</v>
      </c>
      <c r="F316" s="43">
        <f>IFERROR(__xludf.DUMMYFUNCTION("""COMPUTED_VALUE"""),1.0)</f>
        <v>1</v>
      </c>
      <c r="G316" s="43" t="s">
        <v>125</v>
      </c>
      <c r="H316" s="43" t="s">
        <v>113</v>
      </c>
      <c r="I316" s="43" t="s">
        <v>115</v>
      </c>
      <c r="J316" s="47" t="s">
        <v>115</v>
      </c>
      <c r="K316" s="38">
        <v>1.0</v>
      </c>
      <c r="L316" s="38">
        <v>5.0</v>
      </c>
      <c r="M316" s="38" t="str">
        <f>IFERROR(__xludf.DUMMYFUNCTION("""COMPUTED_VALUE"""),"General Sparepart")</f>
        <v>General Sparepart</v>
      </c>
      <c r="N316" s="38">
        <v>24.0</v>
      </c>
      <c r="O316" s="40">
        <v>46203.0</v>
      </c>
      <c r="P316" s="38" t="s">
        <v>126</v>
      </c>
      <c r="Q316" s="42">
        <v>5.0</v>
      </c>
      <c r="R316" s="42">
        <v>1.9090909090909092</v>
      </c>
      <c r="S316" s="38">
        <v>3.0</v>
      </c>
      <c r="T316" s="42">
        <v>4.072727272727272</v>
      </c>
      <c r="U316" s="42">
        <v>4.072727272727272</v>
      </c>
    </row>
    <row r="317">
      <c r="A317" s="43" t="s">
        <v>858</v>
      </c>
      <c r="B317" s="47" t="s">
        <v>859</v>
      </c>
      <c r="C317" s="43" t="s">
        <v>80</v>
      </c>
      <c r="D317" s="43">
        <v>2.0</v>
      </c>
      <c r="E317" s="43">
        <v>5.0</v>
      </c>
      <c r="F317" s="43">
        <f>IFERROR(__xludf.DUMMYFUNCTION("""COMPUTED_VALUE"""),10.0)</f>
        <v>10</v>
      </c>
      <c r="G317" s="43" t="s">
        <v>122</v>
      </c>
      <c r="H317" s="43" t="s">
        <v>113</v>
      </c>
      <c r="I317" s="43" t="s">
        <v>115</v>
      </c>
      <c r="J317" s="47" t="s">
        <v>115</v>
      </c>
      <c r="K317" s="38">
        <v>3.0</v>
      </c>
      <c r="L317" s="38">
        <v>22.0</v>
      </c>
      <c r="M317" s="38" t="str">
        <f>IFERROR(__xludf.DUMMYFUNCTION("""COMPUTED_VALUE"""),"General Sparepart")</f>
        <v>General Sparepart</v>
      </c>
      <c r="N317" s="38">
        <v>24.0</v>
      </c>
      <c r="O317" s="40">
        <v>46234.0</v>
      </c>
      <c r="P317" s="38" t="s">
        <v>126</v>
      </c>
      <c r="Q317" s="42">
        <v>21.0</v>
      </c>
      <c r="R317" s="42">
        <v>22.636363636363637</v>
      </c>
      <c r="S317" s="38">
        <v>0.0</v>
      </c>
      <c r="T317" s="42">
        <v>21.490909090909092</v>
      </c>
      <c r="U317" s="42">
        <v>21.490909090909092</v>
      </c>
    </row>
    <row r="318">
      <c r="A318" s="43" t="s">
        <v>860</v>
      </c>
      <c r="B318" s="47" t="s">
        <v>861</v>
      </c>
      <c r="C318" s="43" t="s">
        <v>80</v>
      </c>
      <c r="D318" s="43">
        <v>1.0</v>
      </c>
      <c r="E318" s="43">
        <v>5.0</v>
      </c>
      <c r="F318" s="43">
        <f>IFERROR(__xludf.DUMMYFUNCTION("""COMPUTED_VALUE"""),11.0)</f>
        <v>11</v>
      </c>
      <c r="G318" s="43" t="s">
        <v>122</v>
      </c>
      <c r="H318" s="43" t="s">
        <v>113</v>
      </c>
      <c r="I318" s="43" t="s">
        <v>115</v>
      </c>
      <c r="J318" s="47" t="s">
        <v>115</v>
      </c>
      <c r="K318" s="38">
        <v>0.0</v>
      </c>
      <c r="L318" s="38">
        <v>0.0</v>
      </c>
      <c r="M318" s="38" t="str">
        <f>IFERROR(__xludf.DUMMYFUNCTION("""COMPUTED_VALUE"""),"Fast Moving / Consumable")</f>
        <v>Fast Moving / Consumable</v>
      </c>
      <c r="N318" s="38">
        <v>18.0</v>
      </c>
      <c r="O318" s="40">
        <v>45682.0</v>
      </c>
      <c r="P318" s="38" t="s">
        <v>116</v>
      </c>
      <c r="Q318" s="42">
        <v>3.0</v>
      </c>
      <c r="R318" s="42">
        <v>0.5454545454545454</v>
      </c>
      <c r="S318" s="38">
        <v>0.0</v>
      </c>
      <c r="T318" s="42">
        <v>2.2636363636363632</v>
      </c>
      <c r="U318" s="42">
        <v>2.2636363636363632</v>
      </c>
    </row>
    <row r="319">
      <c r="A319" s="43" t="s">
        <v>862</v>
      </c>
      <c r="B319" s="47" t="s">
        <v>863</v>
      </c>
      <c r="C319" s="43" t="s">
        <v>80</v>
      </c>
      <c r="D319" s="43">
        <v>1.0</v>
      </c>
      <c r="E319" s="43">
        <v>5.0</v>
      </c>
      <c r="F319" s="43">
        <f>IFERROR(__xludf.DUMMYFUNCTION("""COMPUTED_VALUE"""),18.0)</f>
        <v>18</v>
      </c>
      <c r="G319" s="43" t="s">
        <v>122</v>
      </c>
      <c r="H319" s="43" t="s">
        <v>113</v>
      </c>
      <c r="I319" s="43" t="s">
        <v>115</v>
      </c>
      <c r="J319" s="47" t="s">
        <v>115</v>
      </c>
      <c r="K319" s="38">
        <v>1.0</v>
      </c>
      <c r="L319" s="38">
        <v>3.0</v>
      </c>
      <c r="M319" s="38" t="str">
        <f>IFERROR(__xludf.DUMMYFUNCTION("""COMPUTED_VALUE"""),"Fast Moving / Consumable")</f>
        <v>Fast Moving / Consumable</v>
      </c>
      <c r="N319" s="38">
        <v>18.0</v>
      </c>
      <c r="O319" s="40">
        <v>45743.0</v>
      </c>
      <c r="P319" s="38" t="s">
        <v>126</v>
      </c>
      <c r="Q319" s="42">
        <v>4.0</v>
      </c>
      <c r="R319" s="42">
        <v>0.5454545454545454</v>
      </c>
      <c r="S319" s="38">
        <v>0.0</v>
      </c>
      <c r="T319" s="42">
        <v>2.9636363636363634</v>
      </c>
      <c r="U319" s="42">
        <v>2.9636363636363634</v>
      </c>
    </row>
    <row r="320">
      <c r="A320" s="43" t="s">
        <v>864</v>
      </c>
      <c r="B320" s="47" t="s">
        <v>865</v>
      </c>
      <c r="C320" s="43" t="s">
        <v>80</v>
      </c>
      <c r="D320" s="43">
        <v>2.0</v>
      </c>
      <c r="E320" s="43">
        <v>4.0</v>
      </c>
      <c r="F320" s="43">
        <f>IFERROR(__xludf.DUMMYFUNCTION("""COMPUTED_VALUE"""),4.0)</f>
        <v>4</v>
      </c>
      <c r="G320" s="43" t="s">
        <v>122</v>
      </c>
      <c r="H320" s="43" t="s">
        <v>113</v>
      </c>
      <c r="I320" s="43" t="s">
        <v>115</v>
      </c>
      <c r="J320" s="47" t="s">
        <v>115</v>
      </c>
      <c r="K320" s="38">
        <v>1.0</v>
      </c>
      <c r="L320" s="38">
        <v>4.0</v>
      </c>
      <c r="M320" s="38" t="str">
        <f>IFERROR(__xludf.DUMMYFUNCTION("""COMPUTED_VALUE"""),"Fast Moving / Consumable")</f>
        <v>Fast Moving / Consumable</v>
      </c>
      <c r="N320" s="38">
        <v>18.0</v>
      </c>
      <c r="O320" s="40">
        <v>46084.0</v>
      </c>
      <c r="P320" s="38" t="s">
        <v>126</v>
      </c>
      <c r="Q320" s="42">
        <v>2.0</v>
      </c>
      <c r="R320" s="42">
        <v>0.0</v>
      </c>
      <c r="S320" s="38">
        <v>4.0</v>
      </c>
      <c r="T320" s="42">
        <v>2.0</v>
      </c>
      <c r="U320" s="46">
        <v>4.0</v>
      </c>
    </row>
    <row r="321">
      <c r="A321" s="43" t="s">
        <v>866</v>
      </c>
      <c r="B321" s="47" t="s">
        <v>867</v>
      </c>
      <c r="C321" s="43" t="s">
        <v>80</v>
      </c>
      <c r="D321" s="43">
        <v>2.0</v>
      </c>
      <c r="E321" s="43">
        <v>5.0</v>
      </c>
      <c r="F321" s="43">
        <f>IFERROR(__xludf.DUMMYFUNCTION("""COMPUTED_VALUE"""),6.0)</f>
        <v>6</v>
      </c>
      <c r="G321" s="43" t="s">
        <v>122</v>
      </c>
      <c r="H321" s="43" t="s">
        <v>113</v>
      </c>
      <c r="I321" s="43" t="s">
        <v>115</v>
      </c>
      <c r="J321" s="47" t="s">
        <v>115</v>
      </c>
      <c r="K321" s="38">
        <v>1.0</v>
      </c>
      <c r="L321" s="38">
        <v>6.0</v>
      </c>
      <c r="M321" s="38" t="str">
        <f>IFERROR(__xludf.DUMMYFUNCTION("""COMPUTED_VALUE"""),"Fast Moving / Consumable")</f>
        <v>Fast Moving / Consumable</v>
      </c>
      <c r="N321" s="38">
        <v>18.0</v>
      </c>
      <c r="O321" s="40">
        <v>46234.0</v>
      </c>
      <c r="P321" s="38" t="s">
        <v>126</v>
      </c>
      <c r="Q321" s="42">
        <v>6.0</v>
      </c>
      <c r="R321" s="42">
        <v>3.0</v>
      </c>
      <c r="S321" s="38">
        <v>3.0</v>
      </c>
      <c r="T321" s="42">
        <v>5.1</v>
      </c>
      <c r="U321" s="42">
        <v>5.1</v>
      </c>
    </row>
    <row r="322">
      <c r="A322" s="43" t="s">
        <v>868</v>
      </c>
      <c r="B322" s="47" t="s">
        <v>869</v>
      </c>
      <c r="C322" s="43" t="s">
        <v>80</v>
      </c>
      <c r="D322" s="43">
        <v>1.0</v>
      </c>
      <c r="E322" s="43">
        <v>5.0</v>
      </c>
      <c r="F322" s="43">
        <f>IFERROR(__xludf.DUMMYFUNCTION("""COMPUTED_VALUE"""),1.0)</f>
        <v>1</v>
      </c>
      <c r="G322" s="43" t="s">
        <v>125</v>
      </c>
      <c r="H322" s="43" t="s">
        <v>113</v>
      </c>
      <c r="I322" s="43" t="s">
        <v>115</v>
      </c>
      <c r="J322" s="47" t="s">
        <v>115</v>
      </c>
      <c r="K322" s="38">
        <v>1.0</v>
      </c>
      <c r="L322" s="38">
        <v>2.0</v>
      </c>
      <c r="M322" s="38" t="str">
        <f>IFERROR(__xludf.DUMMYFUNCTION("""COMPUTED_VALUE"""),"Fast Moving / Consumable")</f>
        <v>Fast Moving / Consumable</v>
      </c>
      <c r="N322" s="38">
        <v>18.0</v>
      </c>
      <c r="O322" s="40">
        <v>45743.0</v>
      </c>
      <c r="P322" s="38" t="s">
        <v>126</v>
      </c>
      <c r="Q322" s="42">
        <v>2.0</v>
      </c>
      <c r="R322" s="42">
        <v>0.2727272727272727</v>
      </c>
      <c r="S322" s="38">
        <v>0.0</v>
      </c>
      <c r="T322" s="42">
        <v>1.4818181818181817</v>
      </c>
      <c r="U322" s="42">
        <v>1.4818181818181817</v>
      </c>
    </row>
    <row r="323">
      <c r="A323" s="43" t="s">
        <v>871</v>
      </c>
      <c r="B323" s="47" t="s">
        <v>872</v>
      </c>
      <c r="C323" s="43" t="s">
        <v>80</v>
      </c>
      <c r="D323" s="43">
        <v>2.0</v>
      </c>
      <c r="E323" s="43">
        <v>2.0</v>
      </c>
      <c r="F323" s="43">
        <f>IFERROR(__xludf.DUMMYFUNCTION("""COMPUTED_VALUE"""),2.0)</f>
        <v>2</v>
      </c>
      <c r="G323" s="43" t="s">
        <v>125</v>
      </c>
      <c r="H323" s="43" t="s">
        <v>113</v>
      </c>
      <c r="I323" s="43" t="s">
        <v>115</v>
      </c>
      <c r="J323" s="47" t="s">
        <v>115</v>
      </c>
      <c r="K323" s="38">
        <v>1.0</v>
      </c>
      <c r="L323" s="38">
        <v>2.0</v>
      </c>
      <c r="M323" s="38" t="str">
        <f>IFERROR(__xludf.DUMMYFUNCTION("""COMPUTED_VALUE"""),"Fast Moving / Consumable")</f>
        <v>Fast Moving / Consumable</v>
      </c>
      <c r="N323" s="38">
        <v>18.0</v>
      </c>
      <c r="O323" s="40">
        <v>46112.0</v>
      </c>
      <c r="P323" s="38" t="s">
        <v>126</v>
      </c>
      <c r="Q323" s="42">
        <v>2.0</v>
      </c>
      <c r="R323" s="42">
        <v>1.9090909090909092</v>
      </c>
      <c r="S323" s="38">
        <v>2.0</v>
      </c>
      <c r="T323" s="42">
        <v>1.9727272727272727</v>
      </c>
      <c r="U323" s="46">
        <v>2.0</v>
      </c>
    </row>
    <row r="324">
      <c r="A324" s="43" t="s">
        <v>873</v>
      </c>
      <c r="B324" s="47" t="s">
        <v>874</v>
      </c>
      <c r="C324" s="43" t="s">
        <v>80</v>
      </c>
      <c r="D324" s="43">
        <v>2.0</v>
      </c>
      <c r="E324" s="43">
        <v>2.0</v>
      </c>
      <c r="F324" s="43">
        <f>IFERROR(__xludf.DUMMYFUNCTION("""COMPUTED_VALUE"""),1.0)</f>
        <v>1</v>
      </c>
      <c r="G324" s="43" t="s">
        <v>112</v>
      </c>
      <c r="H324" s="43" t="s">
        <v>113</v>
      </c>
      <c r="I324" s="43" t="s">
        <v>115</v>
      </c>
      <c r="J324" s="47" t="s">
        <v>115</v>
      </c>
      <c r="K324" s="38">
        <v>1.0</v>
      </c>
      <c r="L324" s="38">
        <v>6.0</v>
      </c>
      <c r="M324" s="38" t="str">
        <f>IFERROR(__xludf.DUMMYFUNCTION("""COMPUTED_VALUE"""),"Fast Moving / Consumable")</f>
        <v>Fast Moving / Consumable</v>
      </c>
      <c r="N324" s="38">
        <v>18.0</v>
      </c>
      <c r="O324" s="40">
        <v>46247.0</v>
      </c>
      <c r="P324" s="38" t="s">
        <v>126</v>
      </c>
      <c r="Q324" s="42">
        <v>6.0</v>
      </c>
      <c r="R324" s="42">
        <v>2.1818181818181817</v>
      </c>
      <c r="S324" s="38">
        <v>6.0</v>
      </c>
      <c r="T324" s="42">
        <v>4.854545454545454</v>
      </c>
      <c r="U324" s="46">
        <v>6.0</v>
      </c>
    </row>
    <row r="325">
      <c r="A325" s="43" t="s">
        <v>875</v>
      </c>
      <c r="B325" s="47" t="s">
        <v>876</v>
      </c>
      <c r="C325" s="43" t="s">
        <v>80</v>
      </c>
      <c r="D325" s="43">
        <v>3.0</v>
      </c>
      <c r="E325" s="43">
        <v>6.0</v>
      </c>
      <c r="F325" s="43">
        <f>IFERROR(__xludf.DUMMYFUNCTION("""COMPUTED_VALUE"""),4.0)</f>
        <v>4</v>
      </c>
      <c r="G325" s="43" t="s">
        <v>122</v>
      </c>
      <c r="H325" s="43" t="s">
        <v>113</v>
      </c>
      <c r="I325" s="43" t="s">
        <v>115</v>
      </c>
      <c r="J325" s="47" t="s">
        <v>115</v>
      </c>
      <c r="K325" s="38">
        <v>1.0</v>
      </c>
      <c r="L325" s="38">
        <v>3.0</v>
      </c>
      <c r="M325" s="38" t="str">
        <f>IFERROR(__xludf.DUMMYFUNCTION("""COMPUTED_VALUE"""),"General Sparepart")</f>
        <v>General Sparepart</v>
      </c>
      <c r="N325" s="38">
        <v>24.0</v>
      </c>
      <c r="O325" s="40">
        <v>45777.0</v>
      </c>
      <c r="P325" s="38" t="s">
        <v>126</v>
      </c>
      <c r="Q325" s="42">
        <v>3.0</v>
      </c>
      <c r="R325" s="42">
        <v>0.2727272727272727</v>
      </c>
      <c r="S325" s="38">
        <v>0.0</v>
      </c>
      <c r="T325" s="42">
        <v>2.1818181818181817</v>
      </c>
      <c r="U325" s="42">
        <v>2.1818181818181817</v>
      </c>
    </row>
    <row r="326">
      <c r="A326" s="43" t="s">
        <v>877</v>
      </c>
      <c r="B326" s="47" t="s">
        <v>878</v>
      </c>
      <c r="C326" s="43" t="s">
        <v>80</v>
      </c>
      <c r="D326" s="43">
        <v>2.0</v>
      </c>
      <c r="E326" s="43">
        <v>4.0</v>
      </c>
      <c r="F326" s="43">
        <f>IFERROR(__xludf.DUMMYFUNCTION("""COMPUTED_VALUE"""),4.0)</f>
        <v>4</v>
      </c>
      <c r="G326" s="43" t="s">
        <v>122</v>
      </c>
      <c r="H326" s="43" t="s">
        <v>113</v>
      </c>
      <c r="I326" s="43" t="s">
        <v>115</v>
      </c>
      <c r="J326" s="47" t="s">
        <v>115</v>
      </c>
      <c r="K326" s="38">
        <v>1.0</v>
      </c>
      <c r="L326" s="38">
        <v>4.0</v>
      </c>
      <c r="M326" s="38" t="str">
        <f>IFERROR(__xludf.DUMMYFUNCTION("""COMPUTED_VALUE"""),"General Sparepart")</f>
        <v>General Sparepart</v>
      </c>
      <c r="N326" s="38">
        <v>24.0</v>
      </c>
      <c r="O326" s="40">
        <v>46087.0</v>
      </c>
      <c r="P326" s="38" t="s">
        <v>126</v>
      </c>
      <c r="Q326" s="42">
        <v>4.0</v>
      </c>
      <c r="R326" s="42">
        <v>1.0909090909090908</v>
      </c>
      <c r="S326" s="38">
        <v>4.0</v>
      </c>
      <c r="T326" s="42">
        <v>3.127272727272727</v>
      </c>
      <c r="U326" s="46">
        <v>4.0</v>
      </c>
    </row>
    <row r="327">
      <c r="A327" s="43" t="s">
        <v>879</v>
      </c>
      <c r="B327" s="47" t="s">
        <v>880</v>
      </c>
      <c r="C327" s="43" t="s">
        <v>80</v>
      </c>
      <c r="D327" s="43">
        <v>1.0</v>
      </c>
      <c r="E327" s="43">
        <v>5.0</v>
      </c>
      <c r="F327" s="43">
        <f>IFERROR(__xludf.DUMMYFUNCTION("""COMPUTED_VALUE"""),5.0)</f>
        <v>5</v>
      </c>
      <c r="G327" s="43" t="s">
        <v>122</v>
      </c>
      <c r="H327" s="43" t="s">
        <v>113</v>
      </c>
      <c r="I327" s="43" t="s">
        <v>115</v>
      </c>
      <c r="J327" s="47" t="s">
        <v>115</v>
      </c>
      <c r="K327" s="38">
        <v>1.0</v>
      </c>
      <c r="L327" s="38">
        <v>5.0</v>
      </c>
      <c r="M327" s="38" t="str">
        <f>IFERROR(__xludf.DUMMYFUNCTION("""COMPUTED_VALUE"""),"General Sparepart")</f>
        <v>General Sparepart</v>
      </c>
      <c r="N327" s="38">
        <v>24.0</v>
      </c>
      <c r="O327" s="40">
        <v>46204.0</v>
      </c>
      <c r="P327" s="38" t="s">
        <v>126</v>
      </c>
      <c r="Q327" s="42">
        <v>4.0</v>
      </c>
      <c r="R327" s="42">
        <v>3.2727272727272725</v>
      </c>
      <c r="S327" s="38">
        <v>5.0</v>
      </c>
      <c r="T327" s="42">
        <v>3.7818181818181813</v>
      </c>
      <c r="U327" s="46">
        <v>5.0</v>
      </c>
    </row>
    <row r="328">
      <c r="A328" s="43" t="s">
        <v>881</v>
      </c>
      <c r="B328" s="47" t="s">
        <v>882</v>
      </c>
      <c r="C328" s="43" t="s">
        <v>80</v>
      </c>
      <c r="D328" s="43">
        <v>1.0</v>
      </c>
      <c r="E328" s="43">
        <v>3.0</v>
      </c>
      <c r="F328" s="43">
        <f>IFERROR(__xludf.DUMMYFUNCTION("""COMPUTED_VALUE"""),1.0)</f>
        <v>1</v>
      </c>
      <c r="G328" s="43" t="s">
        <v>125</v>
      </c>
      <c r="H328" s="43" t="s">
        <v>113</v>
      </c>
      <c r="I328" s="43" t="s">
        <v>115</v>
      </c>
      <c r="J328" s="47" t="s">
        <v>115</v>
      </c>
      <c r="K328" s="38">
        <v>1.0</v>
      </c>
      <c r="L328" s="38">
        <v>3.0</v>
      </c>
      <c r="M328" s="38" t="str">
        <f>IFERROR(__xludf.DUMMYFUNCTION("""COMPUTED_VALUE"""),"General Sparepart")</f>
        <v>General Sparepart</v>
      </c>
      <c r="N328" s="38">
        <v>24.0</v>
      </c>
      <c r="O328" s="40">
        <v>46260.0</v>
      </c>
      <c r="P328" s="38" t="s">
        <v>126</v>
      </c>
      <c r="Q328" s="42">
        <v>1.0</v>
      </c>
      <c r="R328" s="42">
        <v>0.8181818181818181</v>
      </c>
      <c r="S328" s="38">
        <v>3.0</v>
      </c>
      <c r="T328" s="42">
        <v>0.9454545454545453</v>
      </c>
      <c r="U328" s="46">
        <v>3.0</v>
      </c>
    </row>
    <row r="329">
      <c r="A329" s="43" t="s">
        <v>883</v>
      </c>
      <c r="B329" s="47" t="s">
        <v>884</v>
      </c>
      <c r="C329" s="43" t="s">
        <v>80</v>
      </c>
      <c r="D329" s="43">
        <v>1.0</v>
      </c>
      <c r="E329" s="43">
        <v>1.0</v>
      </c>
      <c r="F329" s="43">
        <f>IFERROR(__xludf.DUMMYFUNCTION("""COMPUTED_VALUE"""),1.0)</f>
        <v>1</v>
      </c>
      <c r="G329" s="43" t="s">
        <v>125</v>
      </c>
      <c r="H329" s="43" t="s">
        <v>113</v>
      </c>
      <c r="I329" s="43" t="s">
        <v>115</v>
      </c>
      <c r="J329" s="47" t="s">
        <v>115</v>
      </c>
      <c r="K329" s="38">
        <v>1.0</v>
      </c>
      <c r="L329" s="38">
        <v>1.0</v>
      </c>
      <c r="M329" s="38" t="str">
        <f>IFERROR(__xludf.DUMMYFUNCTION("""COMPUTED_VALUE"""),"Critical Sparepart")</f>
        <v>Critical Sparepart</v>
      </c>
      <c r="N329" s="38">
        <v>36.0</v>
      </c>
      <c r="O329" s="40">
        <v>45414.0</v>
      </c>
      <c r="P329" s="38" t="s">
        <v>126</v>
      </c>
      <c r="Q329" s="42">
        <v>1.0</v>
      </c>
      <c r="R329" s="42">
        <v>0.2727272727272727</v>
      </c>
      <c r="S329" s="38">
        <v>0.0</v>
      </c>
      <c r="T329" s="42">
        <v>0.7818181818181817</v>
      </c>
      <c r="U329" s="42">
        <v>0.7818181818181817</v>
      </c>
    </row>
    <row r="330">
      <c r="A330" s="43" t="s">
        <v>885</v>
      </c>
      <c r="B330" s="47" t="s">
        <v>886</v>
      </c>
      <c r="C330" s="43" t="s">
        <v>80</v>
      </c>
      <c r="D330" s="43">
        <v>1.0</v>
      </c>
      <c r="E330" s="43">
        <v>2.0</v>
      </c>
      <c r="F330" s="43">
        <f>IFERROR(__xludf.DUMMYFUNCTION("""COMPUTED_VALUE"""),2.0)</f>
        <v>2</v>
      </c>
      <c r="G330" s="43" t="s">
        <v>122</v>
      </c>
      <c r="H330" s="43" t="s">
        <v>113</v>
      </c>
      <c r="I330" s="43" t="s">
        <v>115</v>
      </c>
      <c r="J330" s="47" t="s">
        <v>115</v>
      </c>
      <c r="K330" s="38">
        <v>1.0</v>
      </c>
      <c r="L330" s="38">
        <v>2.0</v>
      </c>
      <c r="M330" s="38" t="str">
        <f>IFERROR(__xludf.DUMMYFUNCTION("""COMPUTED_VALUE"""),"General Sparepart")</f>
        <v>General Sparepart</v>
      </c>
      <c r="N330" s="38">
        <v>24.0</v>
      </c>
      <c r="O330" s="40">
        <v>46086.0</v>
      </c>
      <c r="P330" s="38" t="s">
        <v>126</v>
      </c>
      <c r="Q330" s="42">
        <v>1.0</v>
      </c>
      <c r="R330" s="42">
        <v>0.0</v>
      </c>
      <c r="S330" s="38">
        <v>2.0</v>
      </c>
      <c r="T330" s="42">
        <v>1.0</v>
      </c>
      <c r="U330" s="46">
        <v>2.0</v>
      </c>
    </row>
    <row r="331">
      <c r="A331" s="43" t="s">
        <v>887</v>
      </c>
      <c r="B331" s="47" t="s">
        <v>888</v>
      </c>
      <c r="C331" s="43" t="s">
        <v>80</v>
      </c>
      <c r="D331" s="43">
        <v>1.0</v>
      </c>
      <c r="E331" s="43">
        <v>3.0</v>
      </c>
      <c r="F331" s="43">
        <f>IFERROR(__xludf.DUMMYFUNCTION("""COMPUTED_VALUE"""),3.0)</f>
        <v>3</v>
      </c>
      <c r="G331" s="43" t="s">
        <v>122</v>
      </c>
      <c r="H331" s="43" t="s">
        <v>113</v>
      </c>
      <c r="I331" s="43" t="s">
        <v>115</v>
      </c>
      <c r="J331" s="47" t="s">
        <v>115</v>
      </c>
      <c r="K331" s="38">
        <v>1.0</v>
      </c>
      <c r="L331" s="38">
        <v>3.0</v>
      </c>
      <c r="M331" s="38" t="str">
        <f>IFERROR(__xludf.DUMMYFUNCTION("""COMPUTED_VALUE"""),"Critical Sparepart")</f>
        <v>Critical Sparepart</v>
      </c>
      <c r="N331" s="38">
        <v>36.0</v>
      </c>
      <c r="O331" s="40">
        <v>46084.0</v>
      </c>
      <c r="P331" s="38" t="s">
        <v>126</v>
      </c>
      <c r="Q331" s="42">
        <v>2.0</v>
      </c>
      <c r="R331" s="42">
        <v>2.727272727272727</v>
      </c>
      <c r="S331" s="38">
        <v>3.0</v>
      </c>
      <c r="T331" s="42">
        <v>2.218181818181818</v>
      </c>
      <c r="U331" s="46">
        <v>3.0</v>
      </c>
    </row>
    <row r="332">
      <c r="A332" s="43" t="s">
        <v>889</v>
      </c>
      <c r="B332" s="47" t="s">
        <v>890</v>
      </c>
      <c r="C332" s="43" t="s">
        <v>80</v>
      </c>
      <c r="D332" s="43">
        <v>5.0</v>
      </c>
      <c r="E332" s="43">
        <v>10.0</v>
      </c>
      <c r="F332" s="43">
        <f>IFERROR(__xludf.DUMMYFUNCTION("""COMPUTED_VALUE"""),7.0)</f>
        <v>7</v>
      </c>
      <c r="G332" s="43" t="s">
        <v>122</v>
      </c>
      <c r="H332" s="43" t="s">
        <v>113</v>
      </c>
      <c r="I332" s="43" t="s">
        <v>119</v>
      </c>
      <c r="J332" s="47" t="s">
        <v>115</v>
      </c>
      <c r="K332" s="38">
        <v>0.0</v>
      </c>
      <c r="L332" s="38">
        <v>0.0</v>
      </c>
      <c r="M332" s="38" t="str">
        <f>IFERROR(__xludf.DUMMYFUNCTION("""COMPUTED_VALUE"""),"Fast Moving / Consumable")</f>
        <v>Fast Moving / Consumable</v>
      </c>
      <c r="N332" s="38">
        <v>18.0</v>
      </c>
      <c r="O332" s="40">
        <v>0.0</v>
      </c>
      <c r="P332" s="38" t="s">
        <v>116</v>
      </c>
      <c r="Q332" s="42">
        <v>0.0</v>
      </c>
      <c r="R332" s="42">
        <v>0.0</v>
      </c>
      <c r="S332" s="38">
        <v>0.0</v>
      </c>
      <c r="T332" s="42">
        <v>0.0</v>
      </c>
      <c r="U332" s="42">
        <v>0.0</v>
      </c>
    </row>
    <row r="333">
      <c r="A333" s="43" t="s">
        <v>891</v>
      </c>
      <c r="B333" s="47" t="s">
        <v>892</v>
      </c>
      <c r="C333" s="43" t="s">
        <v>80</v>
      </c>
      <c r="D333" s="43">
        <v>3.0</v>
      </c>
      <c r="E333" s="43">
        <v>10.0</v>
      </c>
      <c r="F333" s="43">
        <f>IFERROR(__xludf.DUMMYFUNCTION("""COMPUTED_VALUE"""),0.0)</f>
        <v>0</v>
      </c>
      <c r="G333" s="43" t="s">
        <v>112</v>
      </c>
      <c r="H333" s="43" t="s">
        <v>119</v>
      </c>
      <c r="I333" s="43" t="s">
        <v>119</v>
      </c>
      <c r="J333" s="47" t="s">
        <v>115</v>
      </c>
      <c r="K333" s="38">
        <v>0.0</v>
      </c>
      <c r="L333" s="38">
        <v>0.0</v>
      </c>
      <c r="M333" s="38" t="str">
        <f>IFERROR(__xludf.DUMMYFUNCTION("""COMPUTED_VALUE"""),"Fast Moving / Consumable")</f>
        <v>Fast Moving / Consumable</v>
      </c>
      <c r="N333" s="38">
        <v>18.0</v>
      </c>
      <c r="O333" s="40">
        <v>0.0</v>
      </c>
      <c r="P333" s="38" t="s">
        <v>116</v>
      </c>
      <c r="Q333" s="42">
        <v>0.0</v>
      </c>
      <c r="R333" s="42">
        <v>0.0</v>
      </c>
      <c r="S333" s="38">
        <v>0.0</v>
      </c>
      <c r="T333" s="42">
        <v>0.0</v>
      </c>
      <c r="U333" s="42">
        <v>0.0</v>
      </c>
    </row>
    <row r="334">
      <c r="A334" s="43" t="s">
        <v>893</v>
      </c>
      <c r="B334" s="47" t="s">
        <v>894</v>
      </c>
      <c r="C334" s="43" t="s">
        <v>80</v>
      </c>
      <c r="D334" s="43">
        <v>1.0</v>
      </c>
      <c r="E334" s="43">
        <v>5.0</v>
      </c>
      <c r="F334" s="43">
        <f>IFERROR(__xludf.DUMMYFUNCTION("""COMPUTED_VALUE"""),0.0)</f>
        <v>0</v>
      </c>
      <c r="G334" s="43" t="s">
        <v>112</v>
      </c>
      <c r="H334" s="43" t="s">
        <v>119</v>
      </c>
      <c r="I334" s="43" t="s">
        <v>119</v>
      </c>
      <c r="J334" s="47" t="s">
        <v>115</v>
      </c>
      <c r="K334" s="38">
        <v>0.0</v>
      </c>
      <c r="L334" s="38">
        <v>0.0</v>
      </c>
      <c r="M334" s="38" t="str">
        <f>IFERROR(__xludf.DUMMYFUNCTION("""COMPUTED_VALUE"""),"Fast Moving / Consumable")</f>
        <v>Fast Moving / Consumable</v>
      </c>
      <c r="N334" s="38">
        <v>18.0</v>
      </c>
      <c r="O334" s="40">
        <v>45231.0</v>
      </c>
      <c r="P334" s="38" t="s">
        <v>116</v>
      </c>
      <c r="Q334" s="42">
        <v>0.0</v>
      </c>
      <c r="R334" s="42">
        <v>0.5454545454545454</v>
      </c>
      <c r="S334" s="38">
        <v>0.0</v>
      </c>
      <c r="T334" s="42">
        <v>0.1636363636363636</v>
      </c>
      <c r="U334" s="42">
        <v>0.1636363636363636</v>
      </c>
    </row>
    <row r="335">
      <c r="A335" s="43" t="s">
        <v>895</v>
      </c>
      <c r="B335" s="47" t="s">
        <v>896</v>
      </c>
      <c r="C335" s="43" t="s">
        <v>80</v>
      </c>
      <c r="D335" s="43">
        <v>3.0</v>
      </c>
      <c r="E335" s="43">
        <v>10.0</v>
      </c>
      <c r="F335" s="43">
        <f>IFERROR(__xludf.DUMMYFUNCTION("""COMPUTED_VALUE"""),3.0)</f>
        <v>3</v>
      </c>
      <c r="G335" s="43" t="s">
        <v>125</v>
      </c>
      <c r="H335" s="43" t="s">
        <v>113</v>
      </c>
      <c r="I335" s="43" t="s">
        <v>115</v>
      </c>
      <c r="J335" s="47" t="s">
        <v>115</v>
      </c>
      <c r="K335" s="38">
        <v>0.0</v>
      </c>
      <c r="L335" s="38">
        <v>0.0</v>
      </c>
      <c r="M335" s="38" t="str">
        <f>IFERROR(__xludf.DUMMYFUNCTION("""COMPUTED_VALUE"""),"Fast Moving / Consumable")</f>
        <v>Fast Moving / Consumable</v>
      </c>
      <c r="N335" s="38">
        <v>18.0</v>
      </c>
      <c r="O335" s="40">
        <v>0.0</v>
      </c>
      <c r="P335" s="38" t="s">
        <v>116</v>
      </c>
      <c r="Q335" s="42">
        <v>0.0</v>
      </c>
      <c r="R335" s="42">
        <v>0.0</v>
      </c>
      <c r="S335" s="38">
        <v>0.0</v>
      </c>
      <c r="T335" s="42">
        <v>0.0</v>
      </c>
      <c r="U335" s="42">
        <v>0.0</v>
      </c>
    </row>
    <row r="336">
      <c r="A336" s="43" t="s">
        <v>897</v>
      </c>
      <c r="B336" s="47" t="s">
        <v>898</v>
      </c>
      <c r="C336" s="43" t="s">
        <v>80</v>
      </c>
      <c r="D336" s="43">
        <v>3.0</v>
      </c>
      <c r="E336" s="43">
        <v>10.0</v>
      </c>
      <c r="F336" s="43">
        <f>IFERROR(__xludf.DUMMYFUNCTION("""COMPUTED_VALUE"""),8.0)</f>
        <v>8</v>
      </c>
      <c r="G336" s="43" t="s">
        <v>122</v>
      </c>
      <c r="H336" s="43" t="s">
        <v>113</v>
      </c>
      <c r="I336" s="43" t="s">
        <v>115</v>
      </c>
      <c r="J336" s="47" t="s">
        <v>115</v>
      </c>
      <c r="K336" s="38">
        <v>2.0</v>
      </c>
      <c r="L336" s="38">
        <v>15.0</v>
      </c>
      <c r="M336" s="38" t="str">
        <f>IFERROR(__xludf.DUMMYFUNCTION("""COMPUTED_VALUE"""),"Fast Moving / Consumable")</f>
        <v>Fast Moving / Consumable</v>
      </c>
      <c r="N336" s="38">
        <v>18.0</v>
      </c>
      <c r="O336" s="40">
        <v>46260.0</v>
      </c>
      <c r="P336" s="38" t="s">
        <v>126</v>
      </c>
      <c r="Q336" s="42">
        <v>20.0</v>
      </c>
      <c r="R336" s="42">
        <v>2.1818181818181817</v>
      </c>
      <c r="S336" s="38">
        <v>10.0</v>
      </c>
      <c r="T336" s="42">
        <v>14.654545454545454</v>
      </c>
      <c r="U336" s="42">
        <v>14.654545454545454</v>
      </c>
    </row>
    <row r="337">
      <c r="A337" s="43" t="s">
        <v>899</v>
      </c>
      <c r="B337" s="47" t="s">
        <v>900</v>
      </c>
      <c r="C337" s="43" t="s">
        <v>80</v>
      </c>
      <c r="D337" s="43">
        <v>2.0</v>
      </c>
      <c r="E337" s="43">
        <v>10.0</v>
      </c>
      <c r="F337" s="43">
        <f>IFERROR(__xludf.DUMMYFUNCTION("""COMPUTED_VALUE"""),10.0)</f>
        <v>10</v>
      </c>
      <c r="G337" s="43" t="s">
        <v>122</v>
      </c>
      <c r="H337" s="43" t="s">
        <v>113</v>
      </c>
      <c r="I337" s="43" t="s">
        <v>115</v>
      </c>
      <c r="J337" s="47" t="s">
        <v>115</v>
      </c>
      <c r="K337" s="38">
        <v>0.0</v>
      </c>
      <c r="L337" s="38">
        <v>0.0</v>
      </c>
      <c r="M337" s="38" t="str">
        <f>IFERROR(__xludf.DUMMYFUNCTION("""COMPUTED_VALUE"""),"Fast Moving / Consumable")</f>
        <v>Fast Moving / Consumable</v>
      </c>
      <c r="N337" s="38">
        <v>18.0</v>
      </c>
      <c r="O337" s="40">
        <v>45682.0</v>
      </c>
      <c r="P337" s="38" t="s">
        <v>116</v>
      </c>
      <c r="Q337" s="42">
        <v>2.0</v>
      </c>
      <c r="R337" s="42">
        <v>0.5454545454545454</v>
      </c>
      <c r="S337" s="38">
        <v>0.0</v>
      </c>
      <c r="T337" s="42">
        <v>1.5636363636363635</v>
      </c>
      <c r="U337" s="42">
        <v>1.5636363636363635</v>
      </c>
    </row>
    <row r="338">
      <c r="A338" s="43" t="s">
        <v>901</v>
      </c>
      <c r="B338" s="47" t="s">
        <v>902</v>
      </c>
      <c r="C338" s="43" t="s">
        <v>80</v>
      </c>
      <c r="D338" s="43">
        <v>1.0</v>
      </c>
      <c r="E338" s="43">
        <v>3.0</v>
      </c>
      <c r="F338" s="43">
        <f>IFERROR(__xludf.DUMMYFUNCTION("""COMPUTED_VALUE"""),4.0)</f>
        <v>4</v>
      </c>
      <c r="G338" s="43" t="s">
        <v>122</v>
      </c>
      <c r="H338" s="43" t="s">
        <v>113</v>
      </c>
      <c r="I338" s="43" t="s">
        <v>115</v>
      </c>
      <c r="J338" s="47" t="s">
        <v>115</v>
      </c>
      <c r="K338" s="38">
        <v>1.0</v>
      </c>
      <c r="L338" s="38">
        <v>4.0</v>
      </c>
      <c r="M338" s="38" t="str">
        <f>IFERROR(__xludf.DUMMYFUNCTION("""COMPUTED_VALUE"""),"General Sparepart")</f>
        <v>General Sparepart</v>
      </c>
      <c r="N338" s="38">
        <v>24.0</v>
      </c>
      <c r="O338" s="40">
        <v>45955.0</v>
      </c>
      <c r="P338" s="38" t="s">
        <v>126</v>
      </c>
      <c r="Q338" s="42">
        <v>5.0</v>
      </c>
      <c r="R338" s="42">
        <v>0.2727272727272727</v>
      </c>
      <c r="S338" s="38">
        <v>0.0</v>
      </c>
      <c r="T338" s="42">
        <v>3.581818181818182</v>
      </c>
      <c r="U338" s="42">
        <v>3.581818181818182</v>
      </c>
    </row>
    <row r="339">
      <c r="A339" s="43" t="s">
        <v>903</v>
      </c>
      <c r="B339" s="47" t="s">
        <v>904</v>
      </c>
      <c r="C339" s="43" t="s">
        <v>80</v>
      </c>
      <c r="D339" s="43">
        <v>1.0</v>
      </c>
      <c r="E339" s="43">
        <v>3.0</v>
      </c>
      <c r="F339" s="43">
        <f>IFERROR(__xludf.DUMMYFUNCTION("""COMPUTED_VALUE"""),2.0)</f>
        <v>2</v>
      </c>
      <c r="G339" s="43" t="s">
        <v>122</v>
      </c>
      <c r="H339" s="43" t="s">
        <v>113</v>
      </c>
      <c r="I339" s="43" t="s">
        <v>115</v>
      </c>
      <c r="J339" s="47" t="s">
        <v>115</v>
      </c>
      <c r="K339" s="38">
        <v>1.0</v>
      </c>
      <c r="L339" s="38">
        <v>6.0</v>
      </c>
      <c r="M339" s="38" t="str">
        <f>IFERROR(__xludf.DUMMYFUNCTION("""COMPUTED_VALUE"""),"Fast Moving / Consumable")</f>
        <v>Fast Moving / Consumable</v>
      </c>
      <c r="N339" s="38">
        <v>18.0</v>
      </c>
      <c r="O339" s="40">
        <v>45975.0</v>
      </c>
      <c r="P339" s="38" t="s">
        <v>126</v>
      </c>
      <c r="Q339" s="42">
        <v>2.0</v>
      </c>
      <c r="R339" s="42">
        <v>12.272727272727273</v>
      </c>
      <c r="S339" s="38">
        <v>0.0</v>
      </c>
      <c r="T339" s="42">
        <v>5.081818181818182</v>
      </c>
      <c r="U339" s="42">
        <v>5.081818181818182</v>
      </c>
    </row>
    <row r="340">
      <c r="A340" s="43" t="s">
        <v>905</v>
      </c>
      <c r="B340" s="47" t="s">
        <v>906</v>
      </c>
      <c r="C340" s="43" t="s">
        <v>80</v>
      </c>
      <c r="D340" s="43">
        <v>50.0</v>
      </c>
      <c r="E340" s="43">
        <v>200.0</v>
      </c>
      <c r="F340" s="43">
        <f>IFERROR(__xludf.DUMMYFUNCTION("""COMPUTED_VALUE"""),50.0)</f>
        <v>50</v>
      </c>
      <c r="G340" s="43" t="s">
        <v>125</v>
      </c>
      <c r="H340" s="43" t="s">
        <v>113</v>
      </c>
      <c r="I340" s="43" t="s">
        <v>115</v>
      </c>
      <c r="J340" s="47" t="s">
        <v>115</v>
      </c>
      <c r="K340" s="38">
        <v>6.0</v>
      </c>
      <c r="L340" s="38">
        <v>52.0</v>
      </c>
      <c r="M340" s="38" t="str">
        <f>IFERROR(__xludf.DUMMYFUNCTION("""COMPUTED_VALUE"""),"Fast Moving / Consumable")</f>
        <v>Fast Moving / Consumable</v>
      </c>
      <c r="N340" s="38">
        <v>18.0</v>
      </c>
      <c r="O340" s="40">
        <v>46220.0</v>
      </c>
      <c r="P340" s="38" t="s">
        <v>126</v>
      </c>
      <c r="Q340" s="42">
        <v>13.0</v>
      </c>
      <c r="R340" s="42">
        <v>0.5454545454545454</v>
      </c>
      <c r="S340" s="38">
        <v>52.0</v>
      </c>
      <c r="T340" s="42">
        <v>9.263636363636364</v>
      </c>
      <c r="U340" s="46">
        <v>52.0</v>
      </c>
    </row>
    <row r="341">
      <c r="A341" s="43" t="s">
        <v>908</v>
      </c>
      <c r="B341" s="47" t="s">
        <v>909</v>
      </c>
      <c r="C341" s="43" t="s">
        <v>80</v>
      </c>
      <c r="D341" s="43">
        <v>50.0</v>
      </c>
      <c r="E341" s="43">
        <v>200.0</v>
      </c>
      <c r="F341" s="43">
        <f>IFERROR(__xludf.DUMMYFUNCTION("""COMPUTED_VALUE"""),150.0)</f>
        <v>150</v>
      </c>
      <c r="G341" s="43" t="s">
        <v>122</v>
      </c>
      <c r="H341" s="43" t="s">
        <v>113</v>
      </c>
      <c r="I341" s="43" t="s">
        <v>115</v>
      </c>
      <c r="J341" s="47" t="s">
        <v>115</v>
      </c>
      <c r="K341" s="38">
        <v>16.0</v>
      </c>
      <c r="L341" s="38">
        <v>150.0</v>
      </c>
      <c r="M341" s="38" t="str">
        <f>IFERROR(__xludf.DUMMYFUNCTION("""COMPUTED_VALUE"""),"Fast Moving / Consumable")</f>
        <v>Fast Moving / Consumable</v>
      </c>
      <c r="N341" s="38">
        <v>18.0</v>
      </c>
      <c r="O341" s="40">
        <v>46086.0</v>
      </c>
      <c r="P341" s="38" t="s">
        <v>126</v>
      </c>
      <c r="Q341" s="42">
        <v>71.0</v>
      </c>
      <c r="R341" s="42">
        <v>17.727272727272727</v>
      </c>
      <c r="S341" s="38">
        <v>150.0</v>
      </c>
      <c r="T341" s="42">
        <v>55.018181818181816</v>
      </c>
      <c r="U341" s="46">
        <v>150.0</v>
      </c>
    </row>
    <row r="342">
      <c r="A342" s="43" t="s">
        <v>910</v>
      </c>
      <c r="B342" s="47" t="s">
        <v>911</v>
      </c>
      <c r="C342" s="43" t="s">
        <v>80</v>
      </c>
      <c r="D342" s="43">
        <v>50.0</v>
      </c>
      <c r="E342" s="43">
        <v>200.0</v>
      </c>
      <c r="F342" s="43">
        <f>IFERROR(__xludf.DUMMYFUNCTION("""COMPUTED_VALUE"""),200.0)</f>
        <v>200</v>
      </c>
      <c r="G342" s="43" t="s">
        <v>122</v>
      </c>
      <c r="H342" s="43" t="s">
        <v>113</v>
      </c>
      <c r="I342" s="43" t="s">
        <v>115</v>
      </c>
      <c r="J342" s="47" t="s">
        <v>115</v>
      </c>
      <c r="K342" s="38">
        <v>16.0</v>
      </c>
      <c r="L342" s="38">
        <v>150.0</v>
      </c>
      <c r="M342" s="38" t="str">
        <f>IFERROR(__xludf.DUMMYFUNCTION("""COMPUTED_VALUE"""),"Fast Moving / Consumable")</f>
        <v>Fast Moving / Consumable</v>
      </c>
      <c r="N342" s="38">
        <v>18.0</v>
      </c>
      <c r="O342" s="40">
        <v>46086.0</v>
      </c>
      <c r="P342" s="38" t="s">
        <v>126</v>
      </c>
      <c r="Q342" s="42">
        <v>133.0</v>
      </c>
      <c r="R342" s="42">
        <v>90.0</v>
      </c>
      <c r="S342" s="38">
        <v>150.0</v>
      </c>
      <c r="T342" s="42">
        <v>120.1</v>
      </c>
      <c r="U342" s="46">
        <v>150.0</v>
      </c>
    </row>
    <row r="343">
      <c r="A343" s="43" t="s">
        <v>912</v>
      </c>
      <c r="B343" s="47" t="s">
        <v>913</v>
      </c>
      <c r="C343" s="43" t="s">
        <v>80</v>
      </c>
      <c r="D343" s="43">
        <v>1.0</v>
      </c>
      <c r="E343" s="43">
        <v>3.0</v>
      </c>
      <c r="F343" s="43">
        <f>IFERROR(__xludf.DUMMYFUNCTION("""COMPUTED_VALUE"""),2.0)</f>
        <v>2</v>
      </c>
      <c r="G343" s="43" t="s">
        <v>122</v>
      </c>
      <c r="H343" s="43" t="s">
        <v>113</v>
      </c>
      <c r="I343" s="43" t="s">
        <v>115</v>
      </c>
      <c r="J343" s="47" t="s">
        <v>115</v>
      </c>
      <c r="K343" s="38">
        <v>1.0</v>
      </c>
      <c r="L343" s="38">
        <v>2.0</v>
      </c>
      <c r="M343" s="38" t="str">
        <f>IFERROR(__xludf.DUMMYFUNCTION("""COMPUTED_VALUE"""),"General Sparepart")</f>
        <v>General Sparepart</v>
      </c>
      <c r="N343" s="38">
        <v>24.0</v>
      </c>
      <c r="O343" s="40">
        <v>46046.0</v>
      </c>
      <c r="P343" s="38" t="s">
        <v>126</v>
      </c>
      <c r="Q343" s="42">
        <v>1.0</v>
      </c>
      <c r="R343" s="42">
        <v>0.5454545454545454</v>
      </c>
      <c r="S343" s="38">
        <v>2.0</v>
      </c>
      <c r="T343" s="42">
        <v>0.8636363636363635</v>
      </c>
      <c r="U343" s="46">
        <v>2.0</v>
      </c>
    </row>
    <row r="344">
      <c r="A344" s="43" t="s">
        <v>914</v>
      </c>
      <c r="B344" s="47" t="s">
        <v>915</v>
      </c>
      <c r="C344" s="43" t="s">
        <v>80</v>
      </c>
      <c r="D344" s="43">
        <v>1.0</v>
      </c>
      <c r="E344" s="43">
        <v>2.0</v>
      </c>
      <c r="F344" s="43">
        <f>IFERROR(__xludf.DUMMYFUNCTION("""COMPUTED_VALUE"""),7.0)</f>
        <v>7</v>
      </c>
      <c r="G344" s="43" t="s">
        <v>122</v>
      </c>
      <c r="H344" s="43" t="s">
        <v>113</v>
      </c>
      <c r="I344" s="43" t="s">
        <v>115</v>
      </c>
      <c r="J344" s="47" t="s">
        <v>115</v>
      </c>
      <c r="K344" s="38">
        <v>1.0</v>
      </c>
      <c r="L344" s="38">
        <v>4.0</v>
      </c>
      <c r="M344" s="38" t="str">
        <f>IFERROR(__xludf.DUMMYFUNCTION("""COMPUTED_VALUE"""),"Fast Moving / Consumable")</f>
        <v>Fast Moving / Consumable</v>
      </c>
      <c r="N344" s="38">
        <v>18.0</v>
      </c>
      <c r="O344" s="40">
        <v>46171.0</v>
      </c>
      <c r="P344" s="38" t="s">
        <v>126</v>
      </c>
      <c r="Q344" s="42">
        <v>4.0</v>
      </c>
      <c r="R344" s="42">
        <v>2.4545454545454546</v>
      </c>
      <c r="S344" s="38">
        <v>0.0</v>
      </c>
      <c r="T344" s="42">
        <v>3.536363636363636</v>
      </c>
      <c r="U344" s="42">
        <v>3.536363636363636</v>
      </c>
    </row>
    <row r="345">
      <c r="A345" s="43" t="s">
        <v>916</v>
      </c>
      <c r="B345" s="47" t="s">
        <v>917</v>
      </c>
      <c r="C345" s="43" t="s">
        <v>80</v>
      </c>
      <c r="D345" s="43">
        <v>1.0</v>
      </c>
      <c r="E345" s="43">
        <v>3.0</v>
      </c>
      <c r="F345" s="43">
        <f>IFERROR(__xludf.DUMMYFUNCTION("""COMPUTED_VALUE"""),4.0)</f>
        <v>4</v>
      </c>
      <c r="G345" s="43" t="s">
        <v>122</v>
      </c>
      <c r="H345" s="43" t="s">
        <v>113</v>
      </c>
      <c r="I345" s="43" t="s">
        <v>115</v>
      </c>
      <c r="J345" s="47" t="s">
        <v>115</v>
      </c>
      <c r="K345" s="38">
        <v>1.0</v>
      </c>
      <c r="L345" s="38">
        <v>4.0</v>
      </c>
      <c r="M345" s="38" t="str">
        <f>IFERROR(__xludf.DUMMYFUNCTION("""COMPUTED_VALUE"""),"General Sparepart")</f>
        <v>General Sparepart</v>
      </c>
      <c r="N345" s="38">
        <v>24.0</v>
      </c>
      <c r="O345" s="40">
        <v>46142.0</v>
      </c>
      <c r="P345" s="38" t="s">
        <v>126</v>
      </c>
      <c r="Q345" s="42">
        <v>4.0</v>
      </c>
      <c r="R345" s="42">
        <v>1.0909090909090908</v>
      </c>
      <c r="S345" s="38">
        <v>0.0</v>
      </c>
      <c r="T345" s="42">
        <v>3.127272727272727</v>
      </c>
      <c r="U345" s="42">
        <v>3.127272727272727</v>
      </c>
    </row>
    <row r="346">
      <c r="A346" s="43" t="s">
        <v>918</v>
      </c>
      <c r="B346" s="47" t="s">
        <v>919</v>
      </c>
      <c r="C346" s="43" t="s">
        <v>80</v>
      </c>
      <c r="D346" s="43">
        <v>1.0</v>
      </c>
      <c r="E346" s="43">
        <v>3.0</v>
      </c>
      <c r="F346" s="43">
        <f>IFERROR(__xludf.DUMMYFUNCTION("""COMPUTED_VALUE"""),2.0)</f>
        <v>2</v>
      </c>
      <c r="G346" s="43" t="s">
        <v>122</v>
      </c>
      <c r="H346" s="43" t="s">
        <v>113</v>
      </c>
      <c r="I346" s="43" t="s">
        <v>115</v>
      </c>
      <c r="J346" s="47" t="s">
        <v>115</v>
      </c>
      <c r="K346" s="38">
        <v>0.0</v>
      </c>
      <c r="L346" s="38">
        <v>0.0</v>
      </c>
      <c r="M346" s="38" t="str">
        <f>IFERROR(__xludf.DUMMYFUNCTION("""COMPUTED_VALUE"""),"General Sparepart")</f>
        <v>General Sparepart</v>
      </c>
      <c r="N346" s="38">
        <v>24.0</v>
      </c>
      <c r="O346" s="40">
        <v>44440.0</v>
      </c>
      <c r="P346" s="38" t="s">
        <v>116</v>
      </c>
      <c r="Q346" s="42">
        <v>2.0</v>
      </c>
      <c r="R346" s="42">
        <v>0.0</v>
      </c>
      <c r="S346" s="38">
        <v>0.0</v>
      </c>
      <c r="T346" s="42">
        <v>2.0</v>
      </c>
      <c r="U346" s="42">
        <v>2.0</v>
      </c>
    </row>
    <row r="347">
      <c r="A347" s="43" t="s">
        <v>920</v>
      </c>
      <c r="B347" s="47" t="s">
        <v>921</v>
      </c>
      <c r="C347" s="43" t="s">
        <v>80</v>
      </c>
      <c r="D347" s="43">
        <v>1.0</v>
      </c>
      <c r="E347" s="43">
        <v>3.0</v>
      </c>
      <c r="F347" s="43">
        <f>IFERROR(__xludf.DUMMYFUNCTION("""COMPUTED_VALUE"""),3.0)</f>
        <v>3</v>
      </c>
      <c r="G347" s="43" t="s">
        <v>122</v>
      </c>
      <c r="H347" s="43" t="s">
        <v>113</v>
      </c>
      <c r="I347" s="43" t="s">
        <v>115</v>
      </c>
      <c r="J347" s="47" t="s">
        <v>115</v>
      </c>
      <c r="K347" s="38">
        <v>1.0</v>
      </c>
      <c r="L347" s="38">
        <v>5.0</v>
      </c>
      <c r="M347" s="38" t="str">
        <f>IFERROR(__xludf.DUMMYFUNCTION("""COMPUTED_VALUE"""),"General Sparepart")</f>
        <v>General Sparepart</v>
      </c>
      <c r="N347" s="38">
        <v>24.0</v>
      </c>
      <c r="O347" s="40">
        <v>46073.0</v>
      </c>
      <c r="P347" s="38" t="s">
        <v>126</v>
      </c>
      <c r="Q347" s="42">
        <v>6.0</v>
      </c>
      <c r="R347" s="42">
        <v>1.0909090909090908</v>
      </c>
      <c r="S347" s="38">
        <v>3.0</v>
      </c>
      <c r="T347" s="42">
        <v>4.5272727272727264</v>
      </c>
      <c r="U347" s="42">
        <v>4.5272727272727264</v>
      </c>
    </row>
    <row r="348">
      <c r="A348" s="43" t="s">
        <v>922</v>
      </c>
      <c r="B348" s="47" t="s">
        <v>923</v>
      </c>
      <c r="C348" s="43" t="s">
        <v>80</v>
      </c>
      <c r="D348" s="43">
        <v>1.0</v>
      </c>
      <c r="E348" s="43">
        <v>1.0</v>
      </c>
      <c r="F348" s="43">
        <f>IFERROR(__xludf.DUMMYFUNCTION("""COMPUTED_VALUE"""),0.0)</f>
        <v>0</v>
      </c>
      <c r="G348" s="43" t="s">
        <v>112</v>
      </c>
      <c r="H348" s="43" t="s">
        <v>113</v>
      </c>
      <c r="I348" s="43" t="s">
        <v>141</v>
      </c>
      <c r="J348" s="47" t="s">
        <v>924</v>
      </c>
      <c r="K348" s="38">
        <v>1.0</v>
      </c>
      <c r="L348" s="38">
        <v>3.0</v>
      </c>
      <c r="M348" s="38" t="str">
        <f>IFERROR(__xludf.DUMMYFUNCTION("""COMPUTED_VALUE"""),"Critical Sparepart")</f>
        <v>Critical Sparepart</v>
      </c>
      <c r="N348" s="38">
        <v>36.0</v>
      </c>
      <c r="O348" s="40">
        <v>46234.0</v>
      </c>
      <c r="P348" s="38" t="s">
        <v>126</v>
      </c>
      <c r="Q348" s="42">
        <v>3.0</v>
      </c>
      <c r="R348" s="42">
        <v>0.2727272727272727</v>
      </c>
      <c r="S348" s="38">
        <v>1.0</v>
      </c>
      <c r="T348" s="42">
        <v>2.1818181818181817</v>
      </c>
      <c r="U348" s="42">
        <v>2.1818181818181817</v>
      </c>
    </row>
    <row r="349">
      <c r="A349" s="43" t="s">
        <v>925</v>
      </c>
      <c r="B349" s="47" t="s">
        <v>926</v>
      </c>
      <c r="C349" s="43" t="s">
        <v>80</v>
      </c>
      <c r="D349" s="43">
        <v>1.0</v>
      </c>
      <c r="E349" s="43">
        <v>1.0</v>
      </c>
      <c r="F349" s="43">
        <f>IFERROR(__xludf.DUMMYFUNCTION("""COMPUTED_VALUE"""),5.0)</f>
        <v>5</v>
      </c>
      <c r="G349" s="43" t="s">
        <v>122</v>
      </c>
      <c r="H349" s="43" t="s">
        <v>113</v>
      </c>
      <c r="I349" s="43" t="s">
        <v>115</v>
      </c>
      <c r="J349" s="47" t="s">
        <v>115</v>
      </c>
      <c r="K349" s="38">
        <v>1.0</v>
      </c>
      <c r="L349" s="38">
        <v>7.0</v>
      </c>
      <c r="M349" s="38" t="str">
        <f>IFERROR(__xludf.DUMMYFUNCTION("""COMPUTED_VALUE"""),"Critical Sparepart")</f>
        <v>Critical Sparepart</v>
      </c>
      <c r="N349" s="38">
        <v>36.0</v>
      </c>
      <c r="O349" s="40">
        <v>46048.0</v>
      </c>
      <c r="P349" s="38" t="s">
        <v>126</v>
      </c>
      <c r="Q349" s="42">
        <v>9.0</v>
      </c>
      <c r="R349" s="42">
        <v>0.8181818181818181</v>
      </c>
      <c r="S349" s="38">
        <v>5.0</v>
      </c>
      <c r="T349" s="42">
        <v>6.545454545454545</v>
      </c>
      <c r="U349" s="42">
        <v>6.545454545454545</v>
      </c>
    </row>
    <row r="350">
      <c r="A350" s="43" t="s">
        <v>927</v>
      </c>
      <c r="B350" s="47" t="s">
        <v>928</v>
      </c>
      <c r="C350" s="43" t="s">
        <v>80</v>
      </c>
      <c r="D350" s="43">
        <v>1.0</v>
      </c>
      <c r="E350" s="43">
        <v>1.0</v>
      </c>
      <c r="F350" s="43">
        <f>IFERROR(__xludf.DUMMYFUNCTION("""COMPUTED_VALUE"""),7.0)</f>
        <v>7</v>
      </c>
      <c r="G350" s="43" t="s">
        <v>122</v>
      </c>
      <c r="H350" s="43" t="s">
        <v>113</v>
      </c>
      <c r="I350" s="43" t="s">
        <v>115</v>
      </c>
      <c r="J350" s="47" t="s">
        <v>115</v>
      </c>
      <c r="K350" s="38">
        <v>1.0</v>
      </c>
      <c r="L350" s="38">
        <v>5.0</v>
      </c>
      <c r="M350" s="38" t="str">
        <f>IFERROR(__xludf.DUMMYFUNCTION("""COMPUTED_VALUE"""),"Critical Sparepart")</f>
        <v>Critical Sparepart</v>
      </c>
      <c r="N350" s="38">
        <v>36.0</v>
      </c>
      <c r="O350" s="40">
        <v>46073.0</v>
      </c>
      <c r="P350" s="38" t="s">
        <v>126</v>
      </c>
      <c r="Q350" s="42">
        <v>4.0</v>
      </c>
      <c r="R350" s="42">
        <v>0.5454545454545454</v>
      </c>
      <c r="S350" s="38">
        <v>5.0</v>
      </c>
      <c r="T350" s="42">
        <v>2.9636363636363634</v>
      </c>
      <c r="U350" s="46">
        <v>5.0</v>
      </c>
    </row>
    <row r="351">
      <c r="A351" s="43" t="s">
        <v>929</v>
      </c>
      <c r="B351" s="47" t="s">
        <v>930</v>
      </c>
      <c r="C351" s="43" t="s">
        <v>80</v>
      </c>
      <c r="D351" s="43">
        <v>1.0</v>
      </c>
      <c r="E351" s="43">
        <v>1.0</v>
      </c>
      <c r="F351" s="43">
        <f>IFERROR(__xludf.DUMMYFUNCTION("""COMPUTED_VALUE"""),0.0)</f>
        <v>0</v>
      </c>
      <c r="G351" s="43" t="s">
        <v>112</v>
      </c>
      <c r="H351" s="43" t="s">
        <v>119</v>
      </c>
      <c r="I351" s="43" t="s">
        <v>115</v>
      </c>
      <c r="J351" s="47" t="s">
        <v>115</v>
      </c>
      <c r="K351" s="38">
        <v>0.0</v>
      </c>
      <c r="L351" s="38">
        <v>0.0</v>
      </c>
      <c r="M351" s="38" t="str">
        <f>IFERROR(__xludf.DUMMYFUNCTION("""COMPUTED_VALUE"""),"Critical Sparepart")</f>
        <v>Critical Sparepart</v>
      </c>
      <c r="N351" s="38">
        <v>36.0</v>
      </c>
      <c r="O351" s="40">
        <v>0.0</v>
      </c>
      <c r="P351" s="38" t="s">
        <v>116</v>
      </c>
      <c r="Q351" s="42">
        <v>0.0</v>
      </c>
      <c r="R351" s="42">
        <v>0.0</v>
      </c>
      <c r="S351" s="38">
        <v>0.0</v>
      </c>
      <c r="T351" s="42">
        <v>0.0</v>
      </c>
      <c r="U351" s="42">
        <v>0.0</v>
      </c>
    </row>
    <row r="352">
      <c r="A352" s="43" t="s">
        <v>931</v>
      </c>
      <c r="B352" s="47" t="s">
        <v>932</v>
      </c>
      <c r="C352" s="43" t="s">
        <v>80</v>
      </c>
      <c r="D352" s="43">
        <v>1.0</v>
      </c>
      <c r="E352" s="43">
        <v>1.0</v>
      </c>
      <c r="F352" s="43">
        <f>IFERROR(__xludf.DUMMYFUNCTION("""COMPUTED_VALUE"""),0.0)</f>
        <v>0</v>
      </c>
      <c r="G352" s="43" t="s">
        <v>112</v>
      </c>
      <c r="H352" s="43" t="s">
        <v>119</v>
      </c>
      <c r="I352" s="43" t="s">
        <v>115</v>
      </c>
      <c r="J352" s="47" t="s">
        <v>115</v>
      </c>
      <c r="K352" s="38">
        <v>0.0</v>
      </c>
      <c r="L352" s="38">
        <v>0.0</v>
      </c>
      <c r="M352" s="38" t="str">
        <f>IFERROR(__xludf.DUMMYFUNCTION("""COMPUTED_VALUE"""),"Critical Sparepart")</f>
        <v>Critical Sparepart</v>
      </c>
      <c r="N352" s="38">
        <v>36.0</v>
      </c>
      <c r="O352" s="40">
        <v>0.0</v>
      </c>
      <c r="P352" s="38" t="s">
        <v>116</v>
      </c>
      <c r="Q352" s="42">
        <v>0.0</v>
      </c>
      <c r="R352" s="42">
        <v>0.0</v>
      </c>
      <c r="S352" s="38">
        <v>0.0</v>
      </c>
      <c r="T352" s="42">
        <v>0.0</v>
      </c>
      <c r="U352" s="42">
        <v>0.0</v>
      </c>
    </row>
    <row r="353">
      <c r="A353" s="43" t="s">
        <v>933</v>
      </c>
      <c r="B353" s="47" t="s">
        <v>934</v>
      </c>
      <c r="C353" s="43" t="s">
        <v>80</v>
      </c>
      <c r="D353" s="43">
        <v>1.0</v>
      </c>
      <c r="E353" s="43">
        <v>1.0</v>
      </c>
      <c r="F353" s="43">
        <f>IFERROR(__xludf.DUMMYFUNCTION("""COMPUTED_VALUE"""),0.0)</f>
        <v>0</v>
      </c>
      <c r="G353" s="43" t="s">
        <v>112</v>
      </c>
      <c r="H353" s="43" t="s">
        <v>119</v>
      </c>
      <c r="I353" s="43" t="s">
        <v>115</v>
      </c>
      <c r="J353" s="47" t="s">
        <v>115</v>
      </c>
      <c r="K353" s="38">
        <v>0.0</v>
      </c>
      <c r="L353" s="38">
        <v>0.0</v>
      </c>
      <c r="M353" s="38" t="str">
        <f>IFERROR(__xludf.DUMMYFUNCTION("""COMPUTED_VALUE"""),"Critical Sparepart")</f>
        <v>Critical Sparepart</v>
      </c>
      <c r="N353" s="38">
        <v>36.0</v>
      </c>
      <c r="O353" s="40">
        <v>0.0</v>
      </c>
      <c r="P353" s="38" t="s">
        <v>116</v>
      </c>
      <c r="Q353" s="42">
        <v>0.0</v>
      </c>
      <c r="R353" s="42">
        <v>0.0</v>
      </c>
      <c r="S353" s="38">
        <v>0.0</v>
      </c>
      <c r="T353" s="42">
        <v>0.0</v>
      </c>
      <c r="U353" s="42">
        <v>0.0</v>
      </c>
    </row>
    <row r="354">
      <c r="A354" s="43" t="s">
        <v>935</v>
      </c>
      <c r="B354" s="47" t="s">
        <v>936</v>
      </c>
      <c r="C354" s="43" t="s">
        <v>80</v>
      </c>
      <c r="D354" s="43">
        <v>1.0</v>
      </c>
      <c r="E354" s="43">
        <v>1.0</v>
      </c>
      <c r="F354" s="43">
        <f>IFERROR(__xludf.DUMMYFUNCTION("""COMPUTED_VALUE"""),1.0)</f>
        <v>1</v>
      </c>
      <c r="G354" s="43" t="s">
        <v>125</v>
      </c>
      <c r="H354" s="43" t="s">
        <v>113</v>
      </c>
      <c r="I354" s="43" t="s">
        <v>115</v>
      </c>
      <c r="J354" s="47" t="s">
        <v>115</v>
      </c>
      <c r="K354" s="38">
        <v>1.0</v>
      </c>
      <c r="L354" s="38">
        <v>1.0</v>
      </c>
      <c r="M354" s="38" t="str">
        <f>IFERROR(__xludf.DUMMYFUNCTION("""COMPUTED_VALUE"""),"Critical Sparepart")</f>
        <v>Critical Sparepart</v>
      </c>
      <c r="N354" s="38">
        <v>36.0</v>
      </c>
      <c r="O354" s="40">
        <v>46086.0</v>
      </c>
      <c r="P354" s="38" t="s">
        <v>126</v>
      </c>
      <c r="Q354" s="42">
        <v>1.0</v>
      </c>
      <c r="R354" s="42">
        <v>0.0</v>
      </c>
      <c r="S354" s="38">
        <v>1.0</v>
      </c>
      <c r="T354" s="42">
        <v>1.0</v>
      </c>
      <c r="U354" s="42">
        <v>1.0</v>
      </c>
    </row>
    <row r="355">
      <c r="A355" s="43" t="s">
        <v>937</v>
      </c>
      <c r="B355" s="47" t="s">
        <v>938</v>
      </c>
      <c r="C355" s="43" t="s">
        <v>80</v>
      </c>
      <c r="D355" s="43">
        <v>2.0</v>
      </c>
      <c r="E355" s="43">
        <v>4.0</v>
      </c>
      <c r="F355" s="43">
        <f>IFERROR(__xludf.DUMMYFUNCTION("""COMPUTED_VALUE"""),4.0)</f>
        <v>4</v>
      </c>
      <c r="G355" s="43" t="s">
        <v>122</v>
      </c>
      <c r="H355" s="43" t="s">
        <v>113</v>
      </c>
      <c r="I355" s="43" t="s">
        <v>115</v>
      </c>
      <c r="J355" s="47" t="s">
        <v>115</v>
      </c>
      <c r="K355" s="38">
        <v>1.0</v>
      </c>
      <c r="L355" s="38">
        <v>4.0</v>
      </c>
      <c r="M355" s="38" t="str">
        <f>IFERROR(__xludf.DUMMYFUNCTION("""COMPUTED_VALUE"""),"Critical Sparepart")</f>
        <v>Critical Sparepart</v>
      </c>
      <c r="N355" s="38">
        <v>36.0</v>
      </c>
      <c r="O355" s="40">
        <v>46083.0</v>
      </c>
      <c r="P355" s="38" t="s">
        <v>126</v>
      </c>
      <c r="Q355" s="42">
        <v>1.0</v>
      </c>
      <c r="R355" s="42">
        <v>0.0</v>
      </c>
      <c r="S355" s="38">
        <v>4.0</v>
      </c>
      <c r="T355" s="42">
        <v>1.0</v>
      </c>
      <c r="U355" s="46">
        <v>4.0</v>
      </c>
    </row>
    <row r="356">
      <c r="A356" s="43" t="s">
        <v>940</v>
      </c>
      <c r="B356" s="47" t="s">
        <v>941</v>
      </c>
      <c r="C356" s="43" t="s">
        <v>80</v>
      </c>
      <c r="D356" s="43">
        <v>1.0</v>
      </c>
      <c r="E356" s="43">
        <v>1.0</v>
      </c>
      <c r="F356" s="43">
        <f>IFERROR(__xludf.DUMMYFUNCTION("""COMPUTED_VALUE"""),0.0)</f>
        <v>0</v>
      </c>
      <c r="G356" s="43" t="s">
        <v>112</v>
      </c>
      <c r="H356" s="43" t="s">
        <v>113</v>
      </c>
      <c r="I356" s="43" t="s">
        <v>141</v>
      </c>
      <c r="J356" s="47" t="s">
        <v>942</v>
      </c>
      <c r="K356" s="38">
        <v>0.0</v>
      </c>
      <c r="L356" s="38">
        <v>0.0</v>
      </c>
      <c r="M356" s="38" t="str">
        <f>IFERROR(__xludf.DUMMYFUNCTION("""COMPUTED_VALUE"""),"Critical Sparepart")</f>
        <v>Critical Sparepart</v>
      </c>
      <c r="N356" s="38">
        <v>36.0</v>
      </c>
      <c r="O356" s="40">
        <v>0.0</v>
      </c>
      <c r="P356" s="38" t="s">
        <v>116</v>
      </c>
      <c r="Q356" s="42">
        <v>0.0</v>
      </c>
      <c r="R356" s="42">
        <v>0.0</v>
      </c>
      <c r="S356" s="38">
        <v>0.0</v>
      </c>
      <c r="T356" s="42">
        <v>0.0</v>
      </c>
      <c r="U356" s="42">
        <v>0.0</v>
      </c>
    </row>
    <row r="357">
      <c r="A357" s="43" t="s">
        <v>943</v>
      </c>
      <c r="B357" s="47" t="s">
        <v>944</v>
      </c>
      <c r="C357" s="43" t="s">
        <v>80</v>
      </c>
      <c r="D357" s="43">
        <v>1.0</v>
      </c>
      <c r="E357" s="43">
        <v>1.0</v>
      </c>
      <c r="F357" s="43">
        <f>IFERROR(__xludf.DUMMYFUNCTION("""COMPUTED_VALUE"""),0.0)</f>
        <v>0</v>
      </c>
      <c r="G357" s="43" t="s">
        <v>112</v>
      </c>
      <c r="H357" s="43" t="s">
        <v>113</v>
      </c>
      <c r="I357" s="43" t="s">
        <v>141</v>
      </c>
      <c r="J357" s="47" t="s">
        <v>945</v>
      </c>
      <c r="K357" s="38">
        <v>0.0</v>
      </c>
      <c r="L357" s="38">
        <v>0.0</v>
      </c>
      <c r="M357" s="38" t="str">
        <f>IFERROR(__xludf.DUMMYFUNCTION("""COMPUTED_VALUE"""),"Critical Sparepart")</f>
        <v>Critical Sparepart</v>
      </c>
      <c r="N357" s="38">
        <v>36.0</v>
      </c>
      <c r="O357" s="40">
        <v>0.0</v>
      </c>
      <c r="P357" s="38" t="s">
        <v>116</v>
      </c>
      <c r="Q357" s="42">
        <v>0.0</v>
      </c>
      <c r="R357" s="42">
        <v>0.0</v>
      </c>
      <c r="S357" s="38">
        <v>0.0</v>
      </c>
      <c r="T357" s="42">
        <v>0.0</v>
      </c>
      <c r="U357" s="42">
        <v>0.0</v>
      </c>
    </row>
    <row r="358">
      <c r="A358" s="43" t="s">
        <v>946</v>
      </c>
      <c r="B358" s="47" t="s">
        <v>947</v>
      </c>
      <c r="C358" s="43" t="s">
        <v>80</v>
      </c>
      <c r="D358" s="43">
        <v>2.0</v>
      </c>
      <c r="E358" s="43">
        <v>2.0</v>
      </c>
      <c r="F358" s="43">
        <f>IFERROR(__xludf.DUMMYFUNCTION("""COMPUTED_VALUE"""),3.0)</f>
        <v>3</v>
      </c>
      <c r="G358" s="43" t="s">
        <v>122</v>
      </c>
      <c r="H358" s="43" t="s">
        <v>113</v>
      </c>
      <c r="I358" s="43" t="s">
        <v>115</v>
      </c>
      <c r="J358" s="47" t="s">
        <v>115</v>
      </c>
      <c r="K358" s="38">
        <v>1.0</v>
      </c>
      <c r="L358" s="38">
        <v>3.0</v>
      </c>
      <c r="M358" s="38" t="str">
        <f>IFERROR(__xludf.DUMMYFUNCTION("""COMPUTED_VALUE"""),"General Sparepart")</f>
        <v>General Sparepart</v>
      </c>
      <c r="N358" s="38">
        <v>24.0</v>
      </c>
      <c r="O358" s="40">
        <v>46048.0</v>
      </c>
      <c r="P358" s="38" t="s">
        <v>126</v>
      </c>
      <c r="Q358" s="42">
        <v>2.0</v>
      </c>
      <c r="R358" s="42">
        <v>0.8181818181818181</v>
      </c>
      <c r="S358" s="38">
        <v>3.0</v>
      </c>
      <c r="T358" s="42">
        <v>1.6454545454545453</v>
      </c>
      <c r="U358" s="46">
        <v>3.0</v>
      </c>
    </row>
    <row r="359">
      <c r="A359" s="43" t="s">
        <v>948</v>
      </c>
      <c r="B359" s="47" t="s">
        <v>949</v>
      </c>
      <c r="C359" s="43" t="s">
        <v>80</v>
      </c>
      <c r="D359" s="43">
        <v>2.0</v>
      </c>
      <c r="E359" s="43">
        <v>10.0</v>
      </c>
      <c r="F359" s="43">
        <f>IFERROR(__xludf.DUMMYFUNCTION("""COMPUTED_VALUE"""),14.0)</f>
        <v>14</v>
      </c>
      <c r="G359" s="43" t="s">
        <v>122</v>
      </c>
      <c r="H359" s="43" t="s">
        <v>113</v>
      </c>
      <c r="I359" s="43" t="s">
        <v>115</v>
      </c>
      <c r="J359" s="47" t="s">
        <v>115</v>
      </c>
      <c r="K359" s="38">
        <v>1.0</v>
      </c>
      <c r="L359" s="38">
        <v>5.0</v>
      </c>
      <c r="M359" s="38" t="str">
        <f>IFERROR(__xludf.DUMMYFUNCTION("""COMPUTED_VALUE"""),"General Sparepart")</f>
        <v>General Sparepart</v>
      </c>
      <c r="N359" s="38">
        <v>24.0</v>
      </c>
      <c r="O359" s="40">
        <v>46260.0</v>
      </c>
      <c r="P359" s="38" t="s">
        <v>126</v>
      </c>
      <c r="Q359" s="42">
        <v>5.0</v>
      </c>
      <c r="R359" s="42">
        <v>1.9090909090909092</v>
      </c>
      <c r="S359" s="38">
        <v>0.0</v>
      </c>
      <c r="T359" s="42">
        <v>4.072727272727272</v>
      </c>
      <c r="U359" s="42">
        <v>4.072727272727272</v>
      </c>
    </row>
    <row r="360">
      <c r="A360" s="43" t="s">
        <v>950</v>
      </c>
      <c r="B360" s="47" t="s">
        <v>951</v>
      </c>
      <c r="C360" s="43" t="s">
        <v>80</v>
      </c>
      <c r="D360" s="43">
        <v>2.0</v>
      </c>
      <c r="E360" s="43">
        <v>5.0</v>
      </c>
      <c r="F360" s="43">
        <f>IFERROR(__xludf.DUMMYFUNCTION("""COMPUTED_VALUE"""),3.0)</f>
        <v>3</v>
      </c>
      <c r="G360" s="43" t="s">
        <v>122</v>
      </c>
      <c r="H360" s="43" t="s">
        <v>113</v>
      </c>
      <c r="I360" s="43" t="s">
        <v>115</v>
      </c>
      <c r="J360" s="47" t="s">
        <v>115</v>
      </c>
      <c r="K360" s="38">
        <v>0.0</v>
      </c>
      <c r="L360" s="38">
        <v>0.0</v>
      </c>
      <c r="M360" s="38" t="str">
        <f>IFERROR(__xludf.DUMMYFUNCTION("""COMPUTED_VALUE"""),"General Sparepart")</f>
        <v>General Sparepart</v>
      </c>
      <c r="N360" s="38">
        <v>24.0</v>
      </c>
      <c r="O360" s="40">
        <v>0.0</v>
      </c>
      <c r="P360" s="38" t="s">
        <v>116</v>
      </c>
      <c r="Q360" s="42">
        <v>0.0</v>
      </c>
      <c r="R360" s="42">
        <v>0.0</v>
      </c>
      <c r="S360" s="38">
        <v>0.0</v>
      </c>
      <c r="T360" s="42">
        <v>0.0</v>
      </c>
      <c r="U360" s="42">
        <v>0.0</v>
      </c>
    </row>
    <row r="361">
      <c r="A361" s="43" t="s">
        <v>952</v>
      </c>
      <c r="B361" s="47" t="s">
        <v>953</v>
      </c>
      <c r="C361" s="43" t="s">
        <v>80</v>
      </c>
      <c r="D361" s="43">
        <v>1.0</v>
      </c>
      <c r="E361" s="43">
        <v>2.0</v>
      </c>
      <c r="F361" s="43">
        <f>IFERROR(__xludf.DUMMYFUNCTION("""COMPUTED_VALUE"""),33.0)</f>
        <v>33</v>
      </c>
      <c r="G361" s="43" t="s">
        <v>122</v>
      </c>
      <c r="H361" s="43" t="s">
        <v>113</v>
      </c>
      <c r="I361" s="43" t="s">
        <v>115</v>
      </c>
      <c r="J361" s="47" t="s">
        <v>115</v>
      </c>
      <c r="K361" s="38">
        <v>5.0</v>
      </c>
      <c r="L361" s="38">
        <v>45.0</v>
      </c>
      <c r="M361" s="38" t="str">
        <f>IFERROR(__xludf.DUMMYFUNCTION("""COMPUTED_VALUE"""),"General Sparepart")</f>
        <v>General Sparepart</v>
      </c>
      <c r="N361" s="38">
        <v>24.0</v>
      </c>
      <c r="O361" s="40">
        <v>46142.0</v>
      </c>
      <c r="P361" s="38" t="s">
        <v>126</v>
      </c>
      <c r="Q361" s="42">
        <v>24.0</v>
      </c>
      <c r="R361" s="42">
        <v>7.363636363636363</v>
      </c>
      <c r="S361" s="38">
        <v>45.0</v>
      </c>
      <c r="T361" s="42">
        <v>19.009090909090908</v>
      </c>
      <c r="U361" s="46">
        <v>45.0</v>
      </c>
    </row>
    <row r="362">
      <c r="A362" s="43" t="s">
        <v>954</v>
      </c>
      <c r="B362" s="47" t="s">
        <v>955</v>
      </c>
      <c r="C362" s="43" t="s">
        <v>80</v>
      </c>
      <c r="D362" s="43">
        <v>1.0</v>
      </c>
      <c r="E362" s="43">
        <v>1.0</v>
      </c>
      <c r="F362" s="43">
        <f>IFERROR(__xludf.DUMMYFUNCTION("""COMPUTED_VALUE"""),0.0)</f>
        <v>0</v>
      </c>
      <c r="G362" s="43" t="s">
        <v>112</v>
      </c>
      <c r="H362" s="43" t="s">
        <v>119</v>
      </c>
      <c r="I362" s="43" t="s">
        <v>115</v>
      </c>
      <c r="J362" s="47" t="s">
        <v>115</v>
      </c>
      <c r="K362" s="38">
        <v>0.0</v>
      </c>
      <c r="L362" s="38">
        <v>0.0</v>
      </c>
      <c r="M362" s="38" t="str">
        <f>IFERROR(__xludf.DUMMYFUNCTION("""COMPUTED_VALUE"""),"General Sparepart")</f>
        <v>General Sparepart</v>
      </c>
      <c r="N362" s="38">
        <v>24.0</v>
      </c>
      <c r="O362" s="40">
        <v>0.0</v>
      </c>
      <c r="P362" s="38" t="s">
        <v>116</v>
      </c>
      <c r="Q362" s="42">
        <v>0.0</v>
      </c>
      <c r="R362" s="42">
        <v>0.0</v>
      </c>
      <c r="S362" s="38">
        <v>0.0</v>
      </c>
      <c r="T362" s="42">
        <v>0.0</v>
      </c>
      <c r="U362" s="42">
        <v>0.0</v>
      </c>
    </row>
    <row r="363">
      <c r="A363" s="43" t="s">
        <v>956</v>
      </c>
      <c r="B363" s="47" t="s">
        <v>957</v>
      </c>
      <c r="C363" s="43" t="s">
        <v>80</v>
      </c>
      <c r="D363" s="43">
        <v>1.0</v>
      </c>
      <c r="E363" s="43">
        <v>3.0</v>
      </c>
      <c r="F363" s="43">
        <f>IFERROR(__xludf.DUMMYFUNCTION("""COMPUTED_VALUE"""),3.0)</f>
        <v>3</v>
      </c>
      <c r="G363" s="43" t="s">
        <v>122</v>
      </c>
      <c r="H363" s="43" t="s">
        <v>113</v>
      </c>
      <c r="I363" s="43" t="s">
        <v>115</v>
      </c>
      <c r="J363" s="47" t="s">
        <v>115</v>
      </c>
      <c r="K363" s="38">
        <v>1.0</v>
      </c>
      <c r="L363" s="38">
        <v>3.0</v>
      </c>
      <c r="M363" s="38" t="str">
        <f>IFERROR(__xludf.DUMMYFUNCTION("""COMPUTED_VALUE"""),"General Sparepart")</f>
        <v>General Sparepart</v>
      </c>
      <c r="N363" s="38">
        <v>24.0</v>
      </c>
      <c r="O363" s="40">
        <v>46086.0</v>
      </c>
      <c r="P363" s="38" t="s">
        <v>126</v>
      </c>
      <c r="Q363" s="42">
        <v>1.0</v>
      </c>
      <c r="R363" s="42">
        <v>0.5454545454545454</v>
      </c>
      <c r="S363" s="38">
        <v>3.0</v>
      </c>
      <c r="T363" s="42">
        <v>0.8636363636363635</v>
      </c>
      <c r="U363" s="46">
        <v>3.0</v>
      </c>
    </row>
    <row r="364">
      <c r="A364" s="43" t="s">
        <v>958</v>
      </c>
      <c r="B364" s="47" t="s">
        <v>959</v>
      </c>
      <c r="C364" s="43" t="s">
        <v>80</v>
      </c>
      <c r="D364" s="43">
        <v>1.0</v>
      </c>
      <c r="E364" s="43">
        <v>3.0</v>
      </c>
      <c r="F364" s="43">
        <f>IFERROR(__xludf.DUMMYFUNCTION("""COMPUTED_VALUE"""),3.0)</f>
        <v>3</v>
      </c>
      <c r="G364" s="43" t="s">
        <v>122</v>
      </c>
      <c r="H364" s="43" t="s">
        <v>113</v>
      </c>
      <c r="I364" s="43" t="s">
        <v>115</v>
      </c>
      <c r="J364" s="47" t="s">
        <v>115</v>
      </c>
      <c r="K364" s="38">
        <v>1.0</v>
      </c>
      <c r="L364" s="38">
        <v>4.0</v>
      </c>
      <c r="M364" s="38" t="str">
        <f>IFERROR(__xludf.DUMMYFUNCTION("""COMPUTED_VALUE"""),"Fast Moving / Consumable")</f>
        <v>Fast Moving / Consumable</v>
      </c>
      <c r="N364" s="38">
        <v>18.0</v>
      </c>
      <c r="O364" s="40">
        <v>46080.0</v>
      </c>
      <c r="P364" s="38" t="s">
        <v>126</v>
      </c>
      <c r="Q364" s="42">
        <v>5.0</v>
      </c>
      <c r="R364" s="42">
        <v>0.5454545454545454</v>
      </c>
      <c r="S364" s="38">
        <v>0.0</v>
      </c>
      <c r="T364" s="42">
        <v>3.6636363636363636</v>
      </c>
      <c r="U364" s="42">
        <v>3.6636363636363636</v>
      </c>
    </row>
    <row r="365">
      <c r="A365" s="43" t="s">
        <v>960</v>
      </c>
      <c r="B365" s="47" t="s">
        <v>961</v>
      </c>
      <c r="C365" s="43" t="s">
        <v>80</v>
      </c>
      <c r="D365" s="43">
        <v>5.0</v>
      </c>
      <c r="E365" s="43">
        <v>10.0</v>
      </c>
      <c r="F365" s="43">
        <f>IFERROR(__xludf.DUMMYFUNCTION("""COMPUTED_VALUE"""),0.0)</f>
        <v>0</v>
      </c>
      <c r="G365" s="43" t="s">
        <v>112</v>
      </c>
      <c r="H365" s="43" t="s">
        <v>113</v>
      </c>
      <c r="I365" s="43" t="s">
        <v>141</v>
      </c>
      <c r="J365" s="47" t="s">
        <v>962</v>
      </c>
      <c r="K365" s="38">
        <v>3.0</v>
      </c>
      <c r="L365" s="38">
        <v>23.0</v>
      </c>
      <c r="M365" s="38" t="str">
        <f>IFERROR(__xludf.DUMMYFUNCTION("""COMPUTED_VALUE"""),"Fast Moving / Consumable")</f>
        <v>Fast Moving / Consumable</v>
      </c>
      <c r="N365" s="38">
        <v>18.0</v>
      </c>
      <c r="O365" s="40">
        <v>45930.0</v>
      </c>
      <c r="P365" s="38" t="s">
        <v>126</v>
      </c>
      <c r="Q365" s="42">
        <v>28.0</v>
      </c>
      <c r="R365" s="42">
        <v>9.0</v>
      </c>
      <c r="S365" s="38">
        <v>0.0</v>
      </c>
      <c r="T365" s="42">
        <v>22.299999999999997</v>
      </c>
      <c r="U365" s="42">
        <v>22.299999999999997</v>
      </c>
    </row>
    <row r="366">
      <c r="A366" s="43" t="s">
        <v>963</v>
      </c>
      <c r="B366" s="47" t="s">
        <v>964</v>
      </c>
      <c r="C366" s="43" t="s">
        <v>80</v>
      </c>
      <c r="D366" s="43">
        <v>2.0</v>
      </c>
      <c r="E366" s="43">
        <v>6.0</v>
      </c>
      <c r="F366" s="43">
        <f>IFERROR(__xludf.DUMMYFUNCTION("""COMPUTED_VALUE"""),20.0)</f>
        <v>20</v>
      </c>
      <c r="G366" s="43" t="s">
        <v>122</v>
      </c>
      <c r="H366" s="43" t="s">
        <v>113</v>
      </c>
      <c r="I366" s="43" t="s">
        <v>115</v>
      </c>
      <c r="J366" s="47" t="s">
        <v>115</v>
      </c>
      <c r="K366" s="38">
        <v>3.0</v>
      </c>
      <c r="L366" s="38">
        <v>24.0</v>
      </c>
      <c r="M366" s="38" t="str">
        <f>IFERROR(__xludf.DUMMYFUNCTION("""COMPUTED_VALUE"""),"General Sparepart")</f>
        <v>General Sparepart</v>
      </c>
      <c r="N366" s="38">
        <v>24.0</v>
      </c>
      <c r="O366" s="40">
        <v>46203.0</v>
      </c>
      <c r="P366" s="38" t="s">
        <v>126</v>
      </c>
      <c r="Q366" s="42">
        <v>21.0</v>
      </c>
      <c r="R366" s="42">
        <v>28.636363636363633</v>
      </c>
      <c r="S366" s="38">
        <v>0.0</v>
      </c>
      <c r="T366" s="42">
        <v>23.29090909090909</v>
      </c>
      <c r="U366" s="42">
        <v>23.29090909090909</v>
      </c>
    </row>
    <row r="367">
      <c r="A367" s="43" t="s">
        <v>965</v>
      </c>
      <c r="B367" s="47" t="s">
        <v>966</v>
      </c>
      <c r="C367" s="43" t="s">
        <v>80</v>
      </c>
      <c r="D367" s="43">
        <v>1.0</v>
      </c>
      <c r="E367" s="43">
        <v>5.0</v>
      </c>
      <c r="F367" s="43">
        <f>IFERROR(__xludf.DUMMYFUNCTION("""COMPUTED_VALUE"""),2.0)</f>
        <v>2</v>
      </c>
      <c r="G367" s="43" t="s">
        <v>122</v>
      </c>
      <c r="H367" s="43" t="s">
        <v>113</v>
      </c>
      <c r="I367" s="43" t="s">
        <v>115</v>
      </c>
      <c r="J367" s="47" t="s">
        <v>115</v>
      </c>
      <c r="K367" s="38">
        <v>1.0</v>
      </c>
      <c r="L367" s="38">
        <v>5.0</v>
      </c>
      <c r="M367" s="38" t="str">
        <f>IFERROR(__xludf.DUMMYFUNCTION("""COMPUTED_VALUE"""),"General Sparepart")</f>
        <v>General Sparepart</v>
      </c>
      <c r="N367" s="38">
        <v>24.0</v>
      </c>
      <c r="O367" s="40">
        <v>46203.0</v>
      </c>
      <c r="P367" s="38" t="s">
        <v>126</v>
      </c>
      <c r="Q367" s="42">
        <v>5.0</v>
      </c>
      <c r="R367" s="42">
        <v>2.727272727272727</v>
      </c>
      <c r="S367" s="38">
        <v>0.0</v>
      </c>
      <c r="T367" s="42">
        <v>4.318181818181818</v>
      </c>
      <c r="U367" s="42">
        <v>4.318181818181818</v>
      </c>
    </row>
    <row r="368">
      <c r="A368" s="43" t="s">
        <v>967</v>
      </c>
      <c r="B368" s="47" t="s">
        <v>968</v>
      </c>
      <c r="C368" s="43" t="s">
        <v>80</v>
      </c>
      <c r="D368" s="43">
        <v>2.0</v>
      </c>
      <c r="E368" s="43">
        <v>5.0</v>
      </c>
      <c r="F368" s="43">
        <f>IFERROR(__xludf.DUMMYFUNCTION("""COMPUTED_VALUE"""),0.0)</f>
        <v>0</v>
      </c>
      <c r="G368" s="43" t="s">
        <v>112</v>
      </c>
      <c r="H368" s="43" t="s">
        <v>113</v>
      </c>
      <c r="I368" s="43" t="s">
        <v>141</v>
      </c>
      <c r="J368" s="47" t="s">
        <v>969</v>
      </c>
      <c r="K368" s="38">
        <v>2.0</v>
      </c>
      <c r="L368" s="38">
        <v>16.0</v>
      </c>
      <c r="M368" s="38" t="str">
        <f>IFERROR(__xludf.DUMMYFUNCTION("""COMPUTED_VALUE"""),"General Sparepart")</f>
        <v>General Sparepart</v>
      </c>
      <c r="N368" s="38">
        <v>24.0</v>
      </c>
      <c r="O368" s="40">
        <v>46203.0</v>
      </c>
      <c r="P368" s="38" t="s">
        <v>126</v>
      </c>
      <c r="Q368" s="42">
        <v>12.0</v>
      </c>
      <c r="R368" s="42">
        <v>23.181818181818183</v>
      </c>
      <c r="S368" s="38">
        <v>0.0</v>
      </c>
      <c r="T368" s="42">
        <v>15.354545454545454</v>
      </c>
      <c r="U368" s="42">
        <v>15.354545454545454</v>
      </c>
    </row>
    <row r="369">
      <c r="A369" s="43" t="s">
        <v>970</v>
      </c>
      <c r="B369" s="47" t="s">
        <v>971</v>
      </c>
      <c r="C369" s="43" t="s">
        <v>80</v>
      </c>
      <c r="D369" s="43">
        <v>1.0</v>
      </c>
      <c r="E369" s="43">
        <v>3.0</v>
      </c>
      <c r="F369" s="43">
        <f>IFERROR(__xludf.DUMMYFUNCTION("""COMPUTED_VALUE"""),0.0)</f>
        <v>0</v>
      </c>
      <c r="G369" s="43" t="s">
        <v>112</v>
      </c>
      <c r="H369" s="43" t="s">
        <v>119</v>
      </c>
      <c r="I369" s="43" t="s">
        <v>119</v>
      </c>
      <c r="J369" s="47" t="s">
        <v>115</v>
      </c>
      <c r="K369" s="38">
        <v>0.0</v>
      </c>
      <c r="L369" s="38">
        <v>0.0</v>
      </c>
      <c r="M369" s="38" t="str">
        <f>IFERROR(__xludf.DUMMYFUNCTION("""COMPUTED_VALUE"""),"Fast Moving / Consumable")</f>
        <v>Fast Moving / Consumable</v>
      </c>
      <c r="N369" s="38">
        <v>18.0</v>
      </c>
      <c r="O369" s="40">
        <v>0.0</v>
      </c>
      <c r="P369" s="38" t="s">
        <v>116</v>
      </c>
      <c r="Q369" s="42">
        <v>0.0</v>
      </c>
      <c r="R369" s="42">
        <v>0.0</v>
      </c>
      <c r="S369" s="38">
        <v>0.0</v>
      </c>
      <c r="T369" s="42">
        <v>0.0</v>
      </c>
      <c r="U369" s="42">
        <v>0.0</v>
      </c>
    </row>
    <row r="370">
      <c r="A370" s="43" t="s">
        <v>973</v>
      </c>
      <c r="B370" s="47" t="s">
        <v>974</v>
      </c>
      <c r="C370" s="43" t="s">
        <v>80</v>
      </c>
      <c r="D370" s="43">
        <v>1.0</v>
      </c>
      <c r="E370" s="43">
        <v>5.0</v>
      </c>
      <c r="F370" s="43">
        <f>IFERROR(__xludf.DUMMYFUNCTION("""COMPUTED_VALUE"""),3.0)</f>
        <v>3</v>
      </c>
      <c r="G370" s="43" t="s">
        <v>122</v>
      </c>
      <c r="H370" s="43" t="s">
        <v>113</v>
      </c>
      <c r="I370" s="43" t="s">
        <v>115</v>
      </c>
      <c r="J370" s="47" t="s">
        <v>115</v>
      </c>
      <c r="K370" s="38">
        <v>1.0</v>
      </c>
      <c r="L370" s="38">
        <v>3.0</v>
      </c>
      <c r="M370" s="38" t="str">
        <f>IFERROR(__xludf.DUMMYFUNCTION("""COMPUTED_VALUE"""),"Critical Sparepart")</f>
        <v>Critical Sparepart</v>
      </c>
      <c r="N370" s="38">
        <v>36.0</v>
      </c>
      <c r="O370" s="40">
        <v>46136.0</v>
      </c>
      <c r="P370" s="38" t="s">
        <v>126</v>
      </c>
      <c r="Q370" s="42">
        <v>3.0</v>
      </c>
      <c r="R370" s="42">
        <v>1.9090909090909092</v>
      </c>
      <c r="S370" s="38">
        <v>1.0</v>
      </c>
      <c r="T370" s="42">
        <v>2.6727272727272724</v>
      </c>
      <c r="U370" s="42">
        <v>2.6727272727272724</v>
      </c>
    </row>
    <row r="371">
      <c r="A371" s="43" t="s">
        <v>975</v>
      </c>
      <c r="B371" s="47" t="s">
        <v>976</v>
      </c>
      <c r="C371" s="43" t="s">
        <v>80</v>
      </c>
      <c r="D371" s="43">
        <v>1.0</v>
      </c>
      <c r="E371" s="43">
        <v>3.0</v>
      </c>
      <c r="F371" s="43">
        <f>IFERROR(__xludf.DUMMYFUNCTION("""COMPUTED_VALUE"""),5.0)</f>
        <v>5</v>
      </c>
      <c r="G371" s="43" t="s">
        <v>122</v>
      </c>
      <c r="H371" s="43" t="s">
        <v>113</v>
      </c>
      <c r="I371" s="43" t="s">
        <v>115</v>
      </c>
      <c r="J371" s="47" t="s">
        <v>115</v>
      </c>
      <c r="K371" s="38">
        <v>1.0</v>
      </c>
      <c r="L371" s="38">
        <v>4.0</v>
      </c>
      <c r="M371" s="38" t="str">
        <f>IFERROR(__xludf.DUMMYFUNCTION("""COMPUTED_VALUE"""),"Critical Sparepart")</f>
        <v>Critical Sparepart</v>
      </c>
      <c r="N371" s="38">
        <v>36.0</v>
      </c>
      <c r="O371" s="40">
        <v>46080.0</v>
      </c>
      <c r="P371" s="38" t="s">
        <v>126</v>
      </c>
      <c r="Q371" s="42">
        <v>4.0</v>
      </c>
      <c r="R371" s="42">
        <v>1.9090909090909092</v>
      </c>
      <c r="S371" s="38">
        <v>0.0</v>
      </c>
      <c r="T371" s="42">
        <v>3.3727272727272726</v>
      </c>
      <c r="U371" s="42">
        <v>3.3727272727272726</v>
      </c>
    </row>
    <row r="372">
      <c r="A372" s="43" t="s">
        <v>977</v>
      </c>
      <c r="B372" s="47" t="s">
        <v>978</v>
      </c>
      <c r="C372" s="43" t="s">
        <v>80</v>
      </c>
      <c r="D372" s="43">
        <v>2.0</v>
      </c>
      <c r="E372" s="43">
        <v>4.0</v>
      </c>
      <c r="F372" s="43">
        <f>IFERROR(__xludf.DUMMYFUNCTION("""COMPUTED_VALUE"""),4.0)</f>
        <v>4</v>
      </c>
      <c r="G372" s="43" t="s">
        <v>122</v>
      </c>
      <c r="H372" s="43" t="s">
        <v>113</v>
      </c>
      <c r="I372" s="43" t="s">
        <v>115</v>
      </c>
      <c r="J372" s="47" t="s">
        <v>979</v>
      </c>
      <c r="K372" s="38">
        <v>1.0</v>
      </c>
      <c r="L372" s="38">
        <v>4.0</v>
      </c>
      <c r="M372" s="38" t="str">
        <f>IFERROR(__xludf.DUMMYFUNCTION("""COMPUTED_VALUE"""),"General Sparepart")</f>
        <v>General Sparepart</v>
      </c>
      <c r="N372" s="38">
        <v>24.0</v>
      </c>
      <c r="O372" s="40">
        <v>46147.0</v>
      </c>
      <c r="P372" s="38" t="s">
        <v>126</v>
      </c>
      <c r="Q372" s="42">
        <v>2.0</v>
      </c>
      <c r="R372" s="42">
        <v>1.0909090909090908</v>
      </c>
      <c r="S372" s="38">
        <v>4.0</v>
      </c>
      <c r="T372" s="42">
        <v>1.727272727272727</v>
      </c>
      <c r="U372" s="46">
        <v>4.0</v>
      </c>
    </row>
    <row r="373">
      <c r="A373" s="43" t="s">
        <v>980</v>
      </c>
      <c r="B373" s="47" t="s">
        <v>981</v>
      </c>
      <c r="C373" s="43" t="s">
        <v>80</v>
      </c>
      <c r="D373" s="43">
        <v>2.0</v>
      </c>
      <c r="E373" s="43">
        <v>4.0</v>
      </c>
      <c r="F373" s="43">
        <f>IFERROR(__xludf.DUMMYFUNCTION("""COMPUTED_VALUE"""),10.0)</f>
        <v>10</v>
      </c>
      <c r="G373" s="43" t="s">
        <v>122</v>
      </c>
      <c r="H373" s="43" t="s">
        <v>113</v>
      </c>
      <c r="I373" s="43" t="s">
        <v>115</v>
      </c>
      <c r="J373" s="47" t="s">
        <v>115</v>
      </c>
      <c r="K373" s="38">
        <v>2.0</v>
      </c>
      <c r="L373" s="38">
        <v>13.0</v>
      </c>
      <c r="M373" s="38" t="str">
        <f>IFERROR(__xludf.DUMMYFUNCTION("""COMPUTED_VALUE"""),"General Sparepart")</f>
        <v>General Sparepart</v>
      </c>
      <c r="N373" s="38">
        <v>24.0</v>
      </c>
      <c r="O373" s="40">
        <v>46112.0</v>
      </c>
      <c r="P373" s="38" t="s">
        <v>126</v>
      </c>
      <c r="Q373" s="42">
        <v>17.0</v>
      </c>
      <c r="R373" s="42">
        <v>0.5454545454545454</v>
      </c>
      <c r="S373" s="38">
        <v>10.0</v>
      </c>
      <c r="T373" s="42">
        <v>12.063636363636363</v>
      </c>
      <c r="U373" s="42">
        <v>12.063636363636363</v>
      </c>
    </row>
    <row r="374">
      <c r="A374" s="43" t="s">
        <v>982</v>
      </c>
      <c r="B374" s="47" t="s">
        <v>983</v>
      </c>
      <c r="C374" s="43" t="s">
        <v>80</v>
      </c>
      <c r="D374" s="43">
        <v>2.0</v>
      </c>
      <c r="E374" s="43">
        <v>5.0</v>
      </c>
      <c r="F374" s="43">
        <f>IFERROR(__xludf.DUMMYFUNCTION("""COMPUTED_VALUE"""),3.0)</f>
        <v>3</v>
      </c>
      <c r="G374" s="43" t="s">
        <v>122</v>
      </c>
      <c r="H374" s="43" t="s">
        <v>113</v>
      </c>
      <c r="I374" s="43" t="s">
        <v>115</v>
      </c>
      <c r="J374" s="47" t="s">
        <v>115</v>
      </c>
      <c r="K374" s="38">
        <v>1.0</v>
      </c>
      <c r="L374" s="38">
        <v>5.0</v>
      </c>
      <c r="M374" s="38" t="str">
        <f>IFERROR(__xludf.DUMMYFUNCTION("""COMPUTED_VALUE"""),"General Sparepart")</f>
        <v>General Sparepart</v>
      </c>
      <c r="N374" s="38">
        <v>24.0</v>
      </c>
      <c r="O374" s="40">
        <v>46203.0</v>
      </c>
      <c r="P374" s="38" t="s">
        <v>126</v>
      </c>
      <c r="Q374" s="42">
        <v>3.0</v>
      </c>
      <c r="R374" s="42">
        <v>3.0</v>
      </c>
      <c r="S374" s="38">
        <v>5.0</v>
      </c>
      <c r="T374" s="42">
        <v>2.9999999999999996</v>
      </c>
      <c r="U374" s="46">
        <v>5.0</v>
      </c>
    </row>
    <row r="375">
      <c r="A375" s="43" t="s">
        <v>984</v>
      </c>
      <c r="B375" s="47" t="s">
        <v>985</v>
      </c>
      <c r="C375" s="43" t="s">
        <v>80</v>
      </c>
      <c r="D375" s="43">
        <v>3.0</v>
      </c>
      <c r="E375" s="43">
        <v>10.0</v>
      </c>
      <c r="F375" s="43">
        <f>IFERROR(__xludf.DUMMYFUNCTION("""COMPUTED_VALUE"""),9.0)</f>
        <v>9</v>
      </c>
      <c r="G375" s="43" t="s">
        <v>122</v>
      </c>
      <c r="H375" s="43" t="s">
        <v>113</v>
      </c>
      <c r="I375" s="43" t="s">
        <v>115</v>
      </c>
      <c r="J375" s="47" t="s">
        <v>115</v>
      </c>
      <c r="K375" s="38">
        <v>2.0</v>
      </c>
      <c r="L375" s="38">
        <v>10.0</v>
      </c>
      <c r="M375" s="38" t="str">
        <f>IFERROR(__xludf.DUMMYFUNCTION("""COMPUTED_VALUE"""),"General Sparepart")</f>
        <v>General Sparepart</v>
      </c>
      <c r="N375" s="38">
        <v>24.0</v>
      </c>
      <c r="O375" s="40">
        <v>46234.0</v>
      </c>
      <c r="P375" s="38" t="s">
        <v>126</v>
      </c>
      <c r="Q375" s="42">
        <v>8.0</v>
      </c>
      <c r="R375" s="42">
        <v>10.090909090909092</v>
      </c>
      <c r="S375" s="38">
        <v>10.0</v>
      </c>
      <c r="T375" s="42">
        <v>8.627272727272727</v>
      </c>
      <c r="U375" s="46">
        <v>10.0</v>
      </c>
    </row>
    <row r="376">
      <c r="A376" s="43" t="s">
        <v>986</v>
      </c>
      <c r="B376" s="47" t="s">
        <v>987</v>
      </c>
      <c r="C376" s="43" t="s">
        <v>80</v>
      </c>
      <c r="D376" s="43">
        <v>2.0</v>
      </c>
      <c r="E376" s="43">
        <v>5.0</v>
      </c>
      <c r="F376" s="43">
        <f>IFERROR(__xludf.DUMMYFUNCTION("""COMPUTED_VALUE"""),13.0)</f>
        <v>13</v>
      </c>
      <c r="G376" s="43" t="s">
        <v>122</v>
      </c>
      <c r="H376" s="43" t="s">
        <v>113</v>
      </c>
      <c r="I376" s="43" t="s">
        <v>115</v>
      </c>
      <c r="J376" s="47" t="s">
        <v>115</v>
      </c>
      <c r="K376" s="38">
        <v>2.0</v>
      </c>
      <c r="L376" s="38">
        <v>13.0</v>
      </c>
      <c r="M376" s="38" t="str">
        <f>IFERROR(__xludf.DUMMYFUNCTION("""COMPUTED_VALUE"""),"General Sparepart")</f>
        <v>General Sparepart</v>
      </c>
      <c r="N376" s="38">
        <v>24.0</v>
      </c>
      <c r="O376" s="40">
        <v>46048.0</v>
      </c>
      <c r="P376" s="38" t="s">
        <v>126</v>
      </c>
      <c r="Q376" s="42">
        <v>17.0</v>
      </c>
      <c r="R376" s="42">
        <v>3.2727272727272725</v>
      </c>
      <c r="S376" s="38">
        <v>10.0</v>
      </c>
      <c r="T376" s="42">
        <v>12.881818181818181</v>
      </c>
      <c r="U376" s="42">
        <v>12.881818181818181</v>
      </c>
    </row>
    <row r="377">
      <c r="A377" s="43" t="s">
        <v>988</v>
      </c>
      <c r="B377" s="47" t="s">
        <v>989</v>
      </c>
      <c r="C377" s="43" t="s">
        <v>80</v>
      </c>
      <c r="D377" s="43">
        <v>2.0</v>
      </c>
      <c r="E377" s="43">
        <v>10.0</v>
      </c>
      <c r="F377" s="43">
        <f>IFERROR(__xludf.DUMMYFUNCTION("""COMPUTED_VALUE"""),62.0)</f>
        <v>62</v>
      </c>
      <c r="G377" s="43" t="s">
        <v>122</v>
      </c>
      <c r="H377" s="43" t="s">
        <v>113</v>
      </c>
      <c r="I377" s="43" t="s">
        <v>115</v>
      </c>
      <c r="J377" s="47" t="s">
        <v>115</v>
      </c>
      <c r="K377" s="38">
        <v>8.0</v>
      </c>
      <c r="L377" s="38">
        <v>73.0</v>
      </c>
      <c r="M377" s="38" t="str">
        <f>IFERROR(__xludf.DUMMYFUNCTION("""COMPUTED_VALUE"""),"General Sparepart")</f>
        <v>General Sparepart</v>
      </c>
      <c r="N377" s="38">
        <v>24.0</v>
      </c>
      <c r="O377" s="40">
        <v>46073.0</v>
      </c>
      <c r="P377" s="38" t="s">
        <v>126</v>
      </c>
      <c r="Q377" s="42">
        <v>103.0</v>
      </c>
      <c r="R377" s="42">
        <v>1.3636363636363635</v>
      </c>
      <c r="S377" s="38">
        <v>60.0</v>
      </c>
      <c r="T377" s="42">
        <v>72.5090909090909</v>
      </c>
      <c r="U377" s="42">
        <v>72.5090909090909</v>
      </c>
    </row>
    <row r="378">
      <c r="A378" s="43" t="s">
        <v>990</v>
      </c>
      <c r="B378" s="47" t="s">
        <v>991</v>
      </c>
      <c r="C378" s="43" t="s">
        <v>80</v>
      </c>
      <c r="D378" s="43">
        <v>1.0</v>
      </c>
      <c r="E378" s="43">
        <v>3.0</v>
      </c>
      <c r="F378" s="43">
        <f>IFERROR(__xludf.DUMMYFUNCTION("""COMPUTED_VALUE"""),2.0)</f>
        <v>2</v>
      </c>
      <c r="G378" s="43" t="s">
        <v>122</v>
      </c>
      <c r="H378" s="43" t="s">
        <v>113</v>
      </c>
      <c r="I378" s="43" t="s">
        <v>115</v>
      </c>
      <c r="J378" s="47" t="s">
        <v>115</v>
      </c>
      <c r="K378" s="38">
        <v>1.0</v>
      </c>
      <c r="L378" s="38">
        <v>7.0</v>
      </c>
      <c r="M378" s="38" t="str">
        <f>IFERROR(__xludf.DUMMYFUNCTION("""COMPUTED_VALUE"""),"General Sparepart")</f>
        <v>General Sparepart</v>
      </c>
      <c r="N378" s="38">
        <v>24.0</v>
      </c>
      <c r="O378" s="40">
        <v>46085.0</v>
      </c>
      <c r="P378" s="38" t="s">
        <v>126</v>
      </c>
      <c r="Q378" s="42">
        <v>7.0</v>
      </c>
      <c r="R378" s="42">
        <v>4.363636363636363</v>
      </c>
      <c r="S378" s="38">
        <v>2.0</v>
      </c>
      <c r="T378" s="42">
        <v>6.209090909090908</v>
      </c>
      <c r="U378" s="42">
        <v>6.209090909090908</v>
      </c>
    </row>
    <row r="379">
      <c r="A379" s="43" t="s">
        <v>992</v>
      </c>
      <c r="B379" s="47" t="s">
        <v>993</v>
      </c>
      <c r="C379" s="43" t="s">
        <v>80</v>
      </c>
      <c r="D379" s="43">
        <v>1.0</v>
      </c>
      <c r="E379" s="43">
        <v>1.0</v>
      </c>
      <c r="F379" s="43">
        <f>IFERROR(__xludf.DUMMYFUNCTION("""COMPUTED_VALUE"""),1.0)</f>
        <v>1</v>
      </c>
      <c r="G379" s="43" t="s">
        <v>125</v>
      </c>
      <c r="H379" s="43" t="s">
        <v>113</v>
      </c>
      <c r="I379" s="43" t="s">
        <v>115</v>
      </c>
      <c r="J379" s="47" t="s">
        <v>115</v>
      </c>
      <c r="K379" s="38">
        <v>1.0</v>
      </c>
      <c r="L379" s="38">
        <v>1.0</v>
      </c>
      <c r="M379" s="38" t="str">
        <f>IFERROR(__xludf.DUMMYFUNCTION("""COMPUTED_VALUE"""),"General Sparepart")</f>
        <v>General Sparepart</v>
      </c>
      <c r="N379" s="38">
        <v>24.0</v>
      </c>
      <c r="O379" s="40">
        <v>46084.0</v>
      </c>
      <c r="P379" s="38" t="s">
        <v>126</v>
      </c>
      <c r="Q379" s="42">
        <v>0.0</v>
      </c>
      <c r="R379" s="42">
        <v>0.0</v>
      </c>
      <c r="S379" s="38">
        <v>1.0</v>
      </c>
      <c r="T379" s="42">
        <v>0.0</v>
      </c>
      <c r="U379" s="46">
        <v>1.0</v>
      </c>
    </row>
    <row r="380">
      <c r="A380" s="43" t="s">
        <v>994</v>
      </c>
      <c r="B380" s="47" t="s">
        <v>995</v>
      </c>
      <c r="C380" s="43" t="s">
        <v>81</v>
      </c>
      <c r="D380" s="43">
        <v>2.0</v>
      </c>
      <c r="E380" s="43">
        <v>10.0</v>
      </c>
      <c r="F380" s="43">
        <f>IFERROR(__xludf.DUMMYFUNCTION("""COMPUTED_VALUE"""),9.0)</f>
        <v>9</v>
      </c>
      <c r="G380" s="43" t="s">
        <v>122</v>
      </c>
      <c r="H380" s="43" t="s">
        <v>113</v>
      </c>
      <c r="I380" s="43" t="s">
        <v>115</v>
      </c>
      <c r="J380" s="47" t="s">
        <v>115</v>
      </c>
      <c r="K380" s="38">
        <v>2.0</v>
      </c>
      <c r="L380" s="38">
        <v>10.0</v>
      </c>
      <c r="M380" s="38" t="str">
        <f>IFERROR(__xludf.DUMMYFUNCTION("""COMPUTED_VALUE"""),"Fast Moving / Consumable")</f>
        <v>Fast Moving / Consumable</v>
      </c>
      <c r="N380" s="38">
        <v>18.0</v>
      </c>
      <c r="O380" s="40">
        <v>46203.0</v>
      </c>
      <c r="P380" s="38" t="s">
        <v>126</v>
      </c>
      <c r="Q380" s="42">
        <v>2.0</v>
      </c>
      <c r="R380" s="42">
        <v>1.9090909090909092</v>
      </c>
      <c r="S380" s="38">
        <v>10.0</v>
      </c>
      <c r="T380" s="42">
        <v>1.9727272727272727</v>
      </c>
      <c r="U380" s="46">
        <v>10.0</v>
      </c>
    </row>
    <row r="381">
      <c r="A381" s="43" t="s">
        <v>996</v>
      </c>
      <c r="B381" s="47" t="s">
        <v>997</v>
      </c>
      <c r="C381" s="43" t="s">
        <v>81</v>
      </c>
      <c r="D381" s="43">
        <v>3.0</v>
      </c>
      <c r="E381" s="43">
        <v>6.0</v>
      </c>
      <c r="F381" s="43">
        <f>IFERROR(__xludf.DUMMYFUNCTION("""COMPUTED_VALUE"""),25.0)</f>
        <v>25</v>
      </c>
      <c r="G381" s="43" t="s">
        <v>122</v>
      </c>
      <c r="H381" s="43" t="s">
        <v>113</v>
      </c>
      <c r="I381" s="43" t="s">
        <v>115</v>
      </c>
      <c r="J381" s="47" t="s">
        <v>115</v>
      </c>
      <c r="K381" s="38">
        <v>7.0</v>
      </c>
      <c r="L381" s="38">
        <v>60.0</v>
      </c>
      <c r="M381" s="38" t="str">
        <f>IFERROR(__xludf.DUMMYFUNCTION("""COMPUTED_VALUE"""),"Fast Moving / Consumable")</f>
        <v>Fast Moving / Consumable</v>
      </c>
      <c r="N381" s="38">
        <v>18.0</v>
      </c>
      <c r="O381" s="40">
        <v>46260.0</v>
      </c>
      <c r="P381" s="38" t="s">
        <v>126</v>
      </c>
      <c r="Q381" s="42">
        <v>25.0</v>
      </c>
      <c r="R381" s="42">
        <v>30.272727272727273</v>
      </c>
      <c r="S381" s="38">
        <v>60.0</v>
      </c>
      <c r="T381" s="42">
        <v>26.581818181818182</v>
      </c>
      <c r="U381" s="46">
        <v>60.0</v>
      </c>
    </row>
    <row r="382">
      <c r="A382" s="43" t="s">
        <v>998</v>
      </c>
      <c r="B382" s="47" t="s">
        <v>999</v>
      </c>
      <c r="C382" s="43" t="s">
        <v>81</v>
      </c>
      <c r="D382" s="43">
        <v>1.0</v>
      </c>
      <c r="E382" s="43">
        <v>2.0</v>
      </c>
      <c r="F382" s="43">
        <f>IFERROR(__xludf.DUMMYFUNCTION("""COMPUTED_VALUE"""),2.0)</f>
        <v>2</v>
      </c>
      <c r="G382" s="43" t="s">
        <v>122</v>
      </c>
      <c r="H382" s="43" t="s">
        <v>113</v>
      </c>
      <c r="I382" s="43" t="s">
        <v>115</v>
      </c>
      <c r="J382" s="47" t="s">
        <v>115</v>
      </c>
      <c r="K382" s="38">
        <v>1.0</v>
      </c>
      <c r="L382" s="38">
        <v>2.0</v>
      </c>
      <c r="M382" s="38" t="str">
        <f>IFERROR(__xludf.DUMMYFUNCTION("""COMPUTED_VALUE"""),"Fast Moving / Consumable")</f>
        <v>Fast Moving / Consumable</v>
      </c>
      <c r="N382" s="38">
        <v>18.0</v>
      </c>
      <c r="O382" s="40">
        <v>46086.0</v>
      </c>
      <c r="P382" s="38" t="s">
        <v>126</v>
      </c>
      <c r="Q382" s="42">
        <v>1.0</v>
      </c>
      <c r="R382" s="42">
        <v>1.0909090909090908</v>
      </c>
      <c r="S382" s="38">
        <v>2.0</v>
      </c>
      <c r="T382" s="42">
        <v>1.0272727272727271</v>
      </c>
      <c r="U382" s="46">
        <v>2.0</v>
      </c>
    </row>
    <row r="383">
      <c r="A383" s="43" t="s">
        <v>1001</v>
      </c>
      <c r="B383" s="47" t="s">
        <v>1002</v>
      </c>
      <c r="C383" s="43" t="s">
        <v>81</v>
      </c>
      <c r="D383" s="43">
        <v>2.0</v>
      </c>
      <c r="E383" s="43">
        <v>6.0</v>
      </c>
      <c r="F383" s="43">
        <f>IFERROR(__xludf.DUMMYFUNCTION("""COMPUTED_VALUE"""),5.0)</f>
        <v>5</v>
      </c>
      <c r="G383" s="43" t="s">
        <v>122</v>
      </c>
      <c r="H383" s="43" t="s">
        <v>113</v>
      </c>
      <c r="I383" s="43" t="s">
        <v>115</v>
      </c>
      <c r="J383" s="47" t="s">
        <v>115</v>
      </c>
      <c r="K383" s="38">
        <v>1.0</v>
      </c>
      <c r="L383" s="38">
        <v>7.0</v>
      </c>
      <c r="M383" s="38" t="str">
        <f>IFERROR(__xludf.DUMMYFUNCTION("""COMPUTED_VALUE"""),"Fast Moving / Consumable")</f>
        <v>Fast Moving / Consumable</v>
      </c>
      <c r="N383" s="38">
        <v>18.0</v>
      </c>
      <c r="O383" s="40">
        <v>46234.0</v>
      </c>
      <c r="P383" s="38" t="s">
        <v>126</v>
      </c>
      <c r="Q383" s="42">
        <v>8.0</v>
      </c>
      <c r="R383" s="42">
        <v>2.4545454545454546</v>
      </c>
      <c r="S383" s="38">
        <v>5.0</v>
      </c>
      <c r="T383" s="42">
        <v>6.336363636363636</v>
      </c>
      <c r="U383" s="42">
        <v>6.336363636363636</v>
      </c>
    </row>
    <row r="384">
      <c r="A384" s="43" t="s">
        <v>1003</v>
      </c>
      <c r="B384" s="47" t="s">
        <v>1004</v>
      </c>
      <c r="C384" s="43" t="s">
        <v>81</v>
      </c>
      <c r="D384" s="43">
        <v>10.0</v>
      </c>
      <c r="E384" s="43">
        <v>30.0</v>
      </c>
      <c r="F384" s="43">
        <f>IFERROR(__xludf.DUMMYFUNCTION("""COMPUTED_VALUE"""),0.0)</f>
        <v>0</v>
      </c>
      <c r="G384" s="43" t="s">
        <v>112</v>
      </c>
      <c r="H384" s="43" t="s">
        <v>113</v>
      </c>
      <c r="I384" s="43" t="s">
        <v>115</v>
      </c>
      <c r="J384" s="47" t="s">
        <v>115</v>
      </c>
      <c r="K384" s="38">
        <v>5.0</v>
      </c>
      <c r="L384" s="38">
        <v>39.0</v>
      </c>
      <c r="M384" s="38" t="str">
        <f>IFERROR(__xludf.DUMMYFUNCTION("""COMPUTED_VALUE"""),"Fast Moving / Consumable")</f>
        <v>Fast Moving / Consumable</v>
      </c>
      <c r="N384" s="38">
        <v>18.0</v>
      </c>
      <c r="O384" s="40">
        <v>46260.0</v>
      </c>
      <c r="P384" s="38" t="s">
        <v>126</v>
      </c>
      <c r="Q384" s="42">
        <v>37.0</v>
      </c>
      <c r="R384" s="42">
        <v>41.18181818181818</v>
      </c>
      <c r="S384" s="38">
        <v>30.0</v>
      </c>
      <c r="T384" s="42">
        <v>38.25454545454545</v>
      </c>
      <c r="U384" s="42">
        <v>38.25454545454545</v>
      </c>
    </row>
    <row r="385">
      <c r="A385" s="43" t="s">
        <v>1005</v>
      </c>
      <c r="B385" s="47" t="s">
        <v>1006</v>
      </c>
      <c r="C385" s="43" t="s">
        <v>81</v>
      </c>
      <c r="D385" s="43">
        <v>5.0</v>
      </c>
      <c r="E385" s="43">
        <v>10.0</v>
      </c>
      <c r="F385" s="43">
        <f>IFERROR(__xludf.DUMMYFUNCTION("""COMPUTED_VALUE"""),9.0)</f>
        <v>9</v>
      </c>
      <c r="G385" s="43" t="s">
        <v>122</v>
      </c>
      <c r="H385" s="43" t="s">
        <v>113</v>
      </c>
      <c r="I385" s="43" t="s">
        <v>115</v>
      </c>
      <c r="J385" s="47" t="s">
        <v>115</v>
      </c>
      <c r="K385" s="38">
        <v>2.0</v>
      </c>
      <c r="L385" s="38">
        <v>16.0</v>
      </c>
      <c r="M385" s="38" t="str">
        <f>IFERROR(__xludf.DUMMYFUNCTION("""COMPUTED_VALUE"""),"Fast Moving / Consumable")</f>
        <v>Fast Moving / Consumable</v>
      </c>
      <c r="N385" s="38">
        <v>18.0</v>
      </c>
      <c r="O385" s="40">
        <v>46203.0</v>
      </c>
      <c r="P385" s="38" t="s">
        <v>126</v>
      </c>
      <c r="Q385" s="42">
        <v>13.0</v>
      </c>
      <c r="R385" s="42">
        <v>21.818181818181817</v>
      </c>
      <c r="S385" s="38">
        <v>0.0</v>
      </c>
      <c r="T385" s="42">
        <v>15.645454545454545</v>
      </c>
      <c r="U385" s="42">
        <v>15.645454545454545</v>
      </c>
    </row>
    <row r="386">
      <c r="A386" s="43" t="s">
        <v>1007</v>
      </c>
      <c r="B386" s="47" t="s">
        <v>1008</v>
      </c>
      <c r="C386" s="43" t="s">
        <v>81</v>
      </c>
      <c r="D386" s="43">
        <v>2.0</v>
      </c>
      <c r="E386" s="43">
        <v>6.0</v>
      </c>
      <c r="F386" s="43">
        <f>IFERROR(__xludf.DUMMYFUNCTION("""COMPUTED_VALUE"""),1.0)</f>
        <v>1</v>
      </c>
      <c r="G386" s="43" t="s">
        <v>112</v>
      </c>
      <c r="H386" s="43" t="s">
        <v>113</v>
      </c>
      <c r="I386" s="43" t="s">
        <v>115</v>
      </c>
      <c r="J386" s="47" t="s">
        <v>115</v>
      </c>
      <c r="K386" s="38">
        <v>2.0</v>
      </c>
      <c r="L386" s="38">
        <v>16.0</v>
      </c>
      <c r="M386" s="38" t="str">
        <f>IFERROR(__xludf.DUMMYFUNCTION("""COMPUTED_VALUE"""),"Fast Moving / Consumable")</f>
        <v>Fast Moving / Consumable</v>
      </c>
      <c r="N386" s="38">
        <v>18.0</v>
      </c>
      <c r="O386" s="40">
        <v>46260.0</v>
      </c>
      <c r="P386" s="38" t="s">
        <v>126</v>
      </c>
      <c r="Q386" s="42">
        <v>12.0</v>
      </c>
      <c r="R386" s="42">
        <v>16.636363636363637</v>
      </c>
      <c r="S386" s="38">
        <v>16.0</v>
      </c>
      <c r="T386" s="42">
        <v>13.39090909090909</v>
      </c>
      <c r="U386" s="46">
        <v>16.0</v>
      </c>
    </row>
    <row r="387">
      <c r="A387" s="43" t="s">
        <v>1009</v>
      </c>
      <c r="B387" s="47" t="s">
        <v>1010</v>
      </c>
      <c r="C387" s="43" t="s">
        <v>81</v>
      </c>
      <c r="D387" s="43">
        <v>3.0</v>
      </c>
      <c r="E387" s="43">
        <v>6.0</v>
      </c>
      <c r="F387" s="43">
        <f>IFERROR(__xludf.DUMMYFUNCTION("""COMPUTED_VALUE"""),65.0)</f>
        <v>65</v>
      </c>
      <c r="G387" s="43" t="s">
        <v>122</v>
      </c>
      <c r="H387" s="43" t="s">
        <v>113</v>
      </c>
      <c r="I387" s="43" t="s">
        <v>115</v>
      </c>
      <c r="J387" s="47" t="s">
        <v>115</v>
      </c>
      <c r="K387" s="38">
        <v>9.0</v>
      </c>
      <c r="L387" s="38">
        <v>80.0</v>
      </c>
      <c r="M387" s="38" t="str">
        <f>IFERROR(__xludf.DUMMYFUNCTION("""COMPUTED_VALUE"""),"General Sparepart")</f>
        <v>General Sparepart</v>
      </c>
      <c r="N387" s="38">
        <v>24.0</v>
      </c>
      <c r="O387" s="40">
        <v>46260.0</v>
      </c>
      <c r="P387" s="38" t="s">
        <v>126</v>
      </c>
      <c r="Q387" s="42">
        <v>42.0</v>
      </c>
      <c r="R387" s="42">
        <v>59.727272727272734</v>
      </c>
      <c r="S387" s="38">
        <v>80.0</v>
      </c>
      <c r="T387" s="42">
        <v>47.31818181818181</v>
      </c>
      <c r="U387" s="46">
        <v>80.0</v>
      </c>
    </row>
    <row r="388">
      <c r="A388" s="43" t="s">
        <v>1011</v>
      </c>
      <c r="B388" s="47" t="s">
        <v>1012</v>
      </c>
      <c r="C388" s="43" t="s">
        <v>81</v>
      </c>
      <c r="D388" s="43">
        <v>3.0</v>
      </c>
      <c r="E388" s="43">
        <v>10.0</v>
      </c>
      <c r="F388" s="43">
        <f>IFERROR(__xludf.DUMMYFUNCTION("""COMPUTED_VALUE"""),7.0)</f>
        <v>7</v>
      </c>
      <c r="G388" s="43" t="s">
        <v>122</v>
      </c>
      <c r="H388" s="43" t="s">
        <v>113</v>
      </c>
      <c r="I388" s="43" t="s">
        <v>115</v>
      </c>
      <c r="J388" s="47" t="s">
        <v>115</v>
      </c>
      <c r="K388" s="38">
        <v>1.0</v>
      </c>
      <c r="L388" s="38">
        <v>8.0</v>
      </c>
      <c r="M388" s="38" t="str">
        <f>IFERROR(__xludf.DUMMYFUNCTION("""COMPUTED_VALUE"""),"Fast Moving / Consumable")</f>
        <v>Fast Moving / Consumable</v>
      </c>
      <c r="N388" s="38">
        <v>18.0</v>
      </c>
      <c r="O388" s="40">
        <v>46203.0</v>
      </c>
      <c r="P388" s="38" t="s">
        <v>126</v>
      </c>
      <c r="Q388" s="42">
        <v>4.0</v>
      </c>
      <c r="R388" s="42">
        <v>4.090909090909091</v>
      </c>
      <c r="S388" s="38">
        <v>8.0</v>
      </c>
      <c r="T388" s="42">
        <v>4.027272727272727</v>
      </c>
      <c r="U388" s="46">
        <v>8.0</v>
      </c>
    </row>
    <row r="389">
      <c r="A389" s="43" t="s">
        <v>1013</v>
      </c>
      <c r="B389" s="47" t="s">
        <v>1014</v>
      </c>
      <c r="C389" s="43" t="s">
        <v>81</v>
      </c>
      <c r="D389" s="43">
        <v>5.0</v>
      </c>
      <c r="E389" s="43">
        <v>10.0</v>
      </c>
      <c r="F389" s="43">
        <f>IFERROR(__xludf.DUMMYFUNCTION("""COMPUTED_VALUE"""),46.0)</f>
        <v>46</v>
      </c>
      <c r="G389" s="43" t="s">
        <v>122</v>
      </c>
      <c r="H389" s="43" t="s">
        <v>113</v>
      </c>
      <c r="I389" s="43" t="s">
        <v>115</v>
      </c>
      <c r="J389" s="47" t="s">
        <v>115</v>
      </c>
      <c r="K389" s="38">
        <v>5.0</v>
      </c>
      <c r="L389" s="38">
        <v>42.0</v>
      </c>
      <c r="M389" s="38" t="str">
        <f>IFERROR(__xludf.DUMMYFUNCTION("""COMPUTED_VALUE"""),"General Sparepart")</f>
        <v>General Sparepart</v>
      </c>
      <c r="N389" s="38">
        <v>24.0</v>
      </c>
      <c r="O389" s="40">
        <v>46260.0</v>
      </c>
      <c r="P389" s="38" t="s">
        <v>126</v>
      </c>
      <c r="Q389" s="42">
        <v>40.0</v>
      </c>
      <c r="R389" s="42">
        <v>45.54545454545455</v>
      </c>
      <c r="S389" s="38">
        <v>0.0</v>
      </c>
      <c r="T389" s="42">
        <v>41.663636363636364</v>
      </c>
      <c r="U389" s="42">
        <v>41.663636363636364</v>
      </c>
    </row>
    <row r="390">
      <c r="A390" s="43" t="s">
        <v>1015</v>
      </c>
      <c r="B390" s="47" t="s">
        <v>1016</v>
      </c>
      <c r="C390" s="43" t="s">
        <v>81</v>
      </c>
      <c r="D390" s="43">
        <v>2.0</v>
      </c>
      <c r="E390" s="43">
        <v>5.0</v>
      </c>
      <c r="F390" s="43">
        <f>IFERROR(__xludf.DUMMYFUNCTION("""COMPUTED_VALUE"""),6.0)</f>
        <v>6</v>
      </c>
      <c r="G390" s="43" t="s">
        <v>122</v>
      </c>
      <c r="H390" s="43" t="s">
        <v>113</v>
      </c>
      <c r="I390" s="43" t="s">
        <v>115</v>
      </c>
      <c r="J390" s="47" t="s">
        <v>115</v>
      </c>
      <c r="K390" s="38">
        <v>1.0</v>
      </c>
      <c r="L390" s="38">
        <v>5.0</v>
      </c>
      <c r="M390" s="38" t="str">
        <f>IFERROR(__xludf.DUMMYFUNCTION("""COMPUTED_VALUE"""),"Fast Moving / Consumable")</f>
        <v>Fast Moving / Consumable</v>
      </c>
      <c r="N390" s="38">
        <v>18.0</v>
      </c>
      <c r="O390" s="40">
        <v>46234.0</v>
      </c>
      <c r="P390" s="38" t="s">
        <v>126</v>
      </c>
      <c r="Q390" s="42">
        <v>5.0</v>
      </c>
      <c r="R390" s="42">
        <v>4.636363636363637</v>
      </c>
      <c r="S390" s="38">
        <v>0.0</v>
      </c>
      <c r="T390" s="42">
        <v>4.890909090909091</v>
      </c>
      <c r="U390" s="42">
        <v>4.890909090909091</v>
      </c>
    </row>
    <row r="391">
      <c r="A391" s="43" t="s">
        <v>1017</v>
      </c>
      <c r="B391" s="47" t="s">
        <v>1018</v>
      </c>
      <c r="C391" s="43" t="s">
        <v>84</v>
      </c>
      <c r="D391" s="43">
        <v>2.0</v>
      </c>
      <c r="E391" s="43">
        <v>2.0</v>
      </c>
      <c r="F391" s="43">
        <f>IFERROR(__xludf.DUMMYFUNCTION("""COMPUTED_VALUE"""),2.0)</f>
        <v>2</v>
      </c>
      <c r="G391" s="43" t="s">
        <v>125</v>
      </c>
      <c r="H391" s="43" t="s">
        <v>113</v>
      </c>
      <c r="I391" s="43" t="s">
        <v>115</v>
      </c>
      <c r="J391" s="47" t="s">
        <v>115</v>
      </c>
      <c r="K391" s="38">
        <v>1.0</v>
      </c>
      <c r="L391" s="38">
        <v>2.0</v>
      </c>
      <c r="M391" s="38" t="str">
        <f>IFERROR(__xludf.DUMMYFUNCTION("""COMPUTED_VALUE"""),"Critical Sparepart")</f>
        <v>Critical Sparepart</v>
      </c>
      <c r="N391" s="38">
        <v>36.0</v>
      </c>
      <c r="O391" s="40">
        <v>46087.0</v>
      </c>
      <c r="P391" s="38" t="s">
        <v>126</v>
      </c>
      <c r="Q391" s="42">
        <v>0.0</v>
      </c>
      <c r="R391" s="42">
        <v>0.0</v>
      </c>
      <c r="S391" s="38">
        <v>2.0</v>
      </c>
      <c r="T391" s="42">
        <v>0.0</v>
      </c>
      <c r="U391" s="46">
        <v>2.0</v>
      </c>
    </row>
    <row r="392">
      <c r="A392" s="43" t="s">
        <v>1019</v>
      </c>
      <c r="B392" s="47" t="s">
        <v>1020</v>
      </c>
      <c r="C392" s="43" t="s">
        <v>84</v>
      </c>
      <c r="D392" s="43">
        <v>1.0</v>
      </c>
      <c r="E392" s="43">
        <v>2.0</v>
      </c>
      <c r="F392" s="43">
        <f>IFERROR(__xludf.DUMMYFUNCTION("""COMPUTED_VALUE"""),0.0)</f>
        <v>0</v>
      </c>
      <c r="G392" s="43" t="s">
        <v>112</v>
      </c>
      <c r="H392" s="43" t="s">
        <v>113</v>
      </c>
      <c r="I392" s="43" t="s">
        <v>115</v>
      </c>
      <c r="J392" s="47" t="s">
        <v>115</v>
      </c>
      <c r="K392" s="38">
        <v>5.0</v>
      </c>
      <c r="L392" s="38">
        <v>42.0</v>
      </c>
      <c r="M392" s="38" t="str">
        <f>IFERROR(__xludf.DUMMYFUNCTION("""COMPUTED_VALUE"""),"Critical Sparepart")</f>
        <v>Critical Sparepart</v>
      </c>
      <c r="N392" s="38">
        <v>36.0</v>
      </c>
      <c r="O392" s="40">
        <v>46273.0</v>
      </c>
      <c r="P392" s="38" t="s">
        <v>126</v>
      </c>
      <c r="Q392" s="42">
        <v>42.0</v>
      </c>
      <c r="R392" s="42">
        <v>0.0</v>
      </c>
      <c r="S392" s="38">
        <v>7.0</v>
      </c>
      <c r="T392" s="42">
        <v>42.0</v>
      </c>
      <c r="U392" s="42">
        <v>42.0</v>
      </c>
    </row>
    <row r="393">
      <c r="A393" s="43" t="s">
        <v>1021</v>
      </c>
      <c r="B393" s="47" t="s">
        <v>1022</v>
      </c>
      <c r="C393" s="43" t="s">
        <v>84</v>
      </c>
      <c r="D393" s="43">
        <v>2.0</v>
      </c>
      <c r="E393" s="43">
        <v>4.0</v>
      </c>
      <c r="F393" s="43">
        <f>IFERROR(__xludf.DUMMYFUNCTION("""COMPUTED_VALUE"""),6.0)</f>
        <v>6</v>
      </c>
      <c r="G393" s="43" t="s">
        <v>122</v>
      </c>
      <c r="H393" s="43" t="s">
        <v>113</v>
      </c>
      <c r="I393" s="43" t="s">
        <v>115</v>
      </c>
      <c r="J393" s="47" t="s">
        <v>115</v>
      </c>
      <c r="K393" s="38">
        <v>1.0</v>
      </c>
      <c r="L393" s="38">
        <v>2.0</v>
      </c>
      <c r="M393" s="38" t="str">
        <f>IFERROR(__xludf.DUMMYFUNCTION("""COMPUTED_VALUE"""),"Critical Sparepart")</f>
        <v>Critical Sparepart</v>
      </c>
      <c r="N393" s="38">
        <v>36.0</v>
      </c>
      <c r="O393" s="40">
        <v>46112.0</v>
      </c>
      <c r="P393" s="38" t="s">
        <v>126</v>
      </c>
      <c r="Q393" s="42">
        <v>2.0</v>
      </c>
      <c r="R393" s="42">
        <v>0.2727272727272727</v>
      </c>
      <c r="S393" s="38">
        <v>0.0</v>
      </c>
      <c r="T393" s="42">
        <v>1.4818181818181817</v>
      </c>
      <c r="U393" s="42">
        <v>1.4818181818181817</v>
      </c>
    </row>
    <row r="394">
      <c r="A394" s="43" t="s">
        <v>1023</v>
      </c>
      <c r="B394" s="47" t="s">
        <v>1024</v>
      </c>
      <c r="C394" s="43" t="s">
        <v>84</v>
      </c>
      <c r="D394" s="43">
        <v>2.0</v>
      </c>
      <c r="E394" s="43">
        <v>2.0</v>
      </c>
      <c r="F394" s="43">
        <f>IFERROR(__xludf.DUMMYFUNCTION("""COMPUTED_VALUE"""),2.0)</f>
        <v>2</v>
      </c>
      <c r="G394" s="43" t="s">
        <v>125</v>
      </c>
      <c r="H394" s="43" t="s">
        <v>113</v>
      </c>
      <c r="I394" s="43" t="s">
        <v>115</v>
      </c>
      <c r="J394" s="47" t="s">
        <v>115</v>
      </c>
      <c r="K394" s="38">
        <v>1.0</v>
      </c>
      <c r="L394" s="38">
        <v>2.0</v>
      </c>
      <c r="M394" s="38" t="str">
        <f>IFERROR(__xludf.DUMMYFUNCTION("""COMPUTED_VALUE"""),"Critical Sparepart")</f>
        <v>Critical Sparepart</v>
      </c>
      <c r="N394" s="38">
        <v>36.0</v>
      </c>
      <c r="O394" s="40">
        <v>45779.0</v>
      </c>
      <c r="P394" s="38" t="s">
        <v>126</v>
      </c>
      <c r="Q394" s="42">
        <v>2.0</v>
      </c>
      <c r="R394" s="42">
        <v>0.0</v>
      </c>
      <c r="S394" s="38">
        <v>0.0</v>
      </c>
      <c r="T394" s="42">
        <v>2.0</v>
      </c>
      <c r="U394" s="42">
        <v>2.0</v>
      </c>
    </row>
    <row r="395">
      <c r="A395" s="43" t="s">
        <v>1025</v>
      </c>
      <c r="B395" s="47" t="s">
        <v>1026</v>
      </c>
      <c r="C395" s="43" t="s">
        <v>84</v>
      </c>
      <c r="D395" s="43">
        <v>1.0</v>
      </c>
      <c r="E395" s="43">
        <v>2.0</v>
      </c>
      <c r="F395" s="43">
        <f>IFERROR(__xludf.DUMMYFUNCTION("""COMPUTED_VALUE"""),2.0)</f>
        <v>2</v>
      </c>
      <c r="G395" s="43" t="s">
        <v>122</v>
      </c>
      <c r="H395" s="43" t="s">
        <v>113</v>
      </c>
      <c r="I395" s="43" t="s">
        <v>115</v>
      </c>
      <c r="J395" s="47" t="s">
        <v>115</v>
      </c>
      <c r="K395" s="38">
        <v>2.0</v>
      </c>
      <c r="L395" s="38">
        <v>12.0</v>
      </c>
      <c r="M395" s="38" t="str">
        <f>IFERROR(__xludf.DUMMYFUNCTION("""COMPUTED_VALUE"""),"Critical Sparepart")</f>
        <v>Critical Sparepart</v>
      </c>
      <c r="N395" s="38">
        <v>36.0</v>
      </c>
      <c r="O395" s="40">
        <v>46204.0</v>
      </c>
      <c r="P395" s="38" t="s">
        <v>126</v>
      </c>
      <c r="Q395" s="42">
        <v>12.0</v>
      </c>
      <c r="R395" s="42">
        <v>0.0</v>
      </c>
      <c r="S395" s="38">
        <v>2.0</v>
      </c>
      <c r="T395" s="42">
        <v>12.0</v>
      </c>
      <c r="U395" s="42">
        <v>12.0</v>
      </c>
    </row>
    <row r="396">
      <c r="A396" s="43" t="s">
        <v>1028</v>
      </c>
      <c r="B396" s="47" t="s">
        <v>1029</v>
      </c>
      <c r="C396" s="43" t="s">
        <v>84</v>
      </c>
      <c r="D396" s="43">
        <v>1.0</v>
      </c>
      <c r="E396" s="43">
        <v>1.0</v>
      </c>
      <c r="F396" s="43">
        <f>IFERROR(__xludf.DUMMYFUNCTION("""COMPUTED_VALUE"""),0.0)</f>
        <v>0</v>
      </c>
      <c r="G396" s="43" t="s">
        <v>112</v>
      </c>
      <c r="H396" s="43" t="s">
        <v>119</v>
      </c>
      <c r="I396" s="43" t="s">
        <v>119</v>
      </c>
      <c r="J396" s="47" t="s">
        <v>115</v>
      </c>
      <c r="K396" s="38">
        <v>0.0</v>
      </c>
      <c r="L396" s="38">
        <v>0.0</v>
      </c>
      <c r="M396" s="38" t="str">
        <f>IFERROR(__xludf.DUMMYFUNCTION("""COMPUTED_VALUE"""),"Critical Sparepart")</f>
        <v>Critical Sparepart</v>
      </c>
      <c r="N396" s="38">
        <v>36.0</v>
      </c>
      <c r="O396" s="40">
        <v>0.0</v>
      </c>
      <c r="P396" s="38" t="s">
        <v>116</v>
      </c>
      <c r="Q396" s="42">
        <v>0.0</v>
      </c>
      <c r="R396" s="42">
        <v>0.0</v>
      </c>
      <c r="S396" s="38">
        <v>0.0</v>
      </c>
      <c r="T396" s="42">
        <v>0.0</v>
      </c>
      <c r="U396" s="42">
        <v>0.0</v>
      </c>
    </row>
    <row r="397">
      <c r="A397" s="43" t="s">
        <v>1030</v>
      </c>
      <c r="B397" s="47" t="s">
        <v>1031</v>
      </c>
      <c r="C397" s="43" t="s">
        <v>84</v>
      </c>
      <c r="D397" s="43">
        <v>2.0</v>
      </c>
      <c r="E397" s="43">
        <v>2.0</v>
      </c>
      <c r="F397" s="43">
        <f>IFERROR(__xludf.DUMMYFUNCTION("""COMPUTED_VALUE"""),2.0)</f>
        <v>2</v>
      </c>
      <c r="G397" s="43" t="s">
        <v>125</v>
      </c>
      <c r="H397" s="43" t="s">
        <v>113</v>
      </c>
      <c r="I397" s="43" t="s">
        <v>115</v>
      </c>
      <c r="J397" s="47" t="s">
        <v>115</v>
      </c>
      <c r="K397" s="38">
        <v>1.0</v>
      </c>
      <c r="L397" s="38">
        <v>2.0</v>
      </c>
      <c r="M397" s="38" t="str">
        <f>IFERROR(__xludf.DUMMYFUNCTION("""COMPUTED_VALUE"""),"Critical Sparepart")</f>
        <v>Critical Sparepart</v>
      </c>
      <c r="N397" s="38">
        <v>36.0</v>
      </c>
      <c r="O397" s="40">
        <v>46086.0</v>
      </c>
      <c r="P397" s="38" t="s">
        <v>126</v>
      </c>
      <c r="Q397" s="42">
        <v>1.0</v>
      </c>
      <c r="R397" s="42">
        <v>0.0</v>
      </c>
      <c r="S397" s="38">
        <v>2.0</v>
      </c>
      <c r="T397" s="42">
        <v>1.0</v>
      </c>
      <c r="U397" s="46">
        <v>2.0</v>
      </c>
    </row>
    <row r="398">
      <c r="A398" s="43" t="s">
        <v>1032</v>
      </c>
      <c r="B398" s="47" t="s">
        <v>1033</v>
      </c>
      <c r="C398" s="43" t="s">
        <v>84</v>
      </c>
      <c r="D398" s="43">
        <v>1.0</v>
      </c>
      <c r="E398" s="43">
        <v>3.0</v>
      </c>
      <c r="F398" s="43">
        <f>IFERROR(__xludf.DUMMYFUNCTION("""COMPUTED_VALUE"""),5.0)</f>
        <v>5</v>
      </c>
      <c r="G398" s="43" t="s">
        <v>122</v>
      </c>
      <c r="H398" s="43" t="s">
        <v>113</v>
      </c>
      <c r="I398" s="43" t="s">
        <v>115</v>
      </c>
      <c r="J398" s="47" t="s">
        <v>115</v>
      </c>
      <c r="K398" s="38">
        <v>1.0</v>
      </c>
      <c r="L398" s="38">
        <v>1.0</v>
      </c>
      <c r="M398" s="38" t="str">
        <f>IFERROR(__xludf.DUMMYFUNCTION("""COMPUTED_VALUE"""),"Fast Moving / Consumable")</f>
        <v>Fast Moving / Consumable</v>
      </c>
      <c r="N398" s="38">
        <v>18.0</v>
      </c>
      <c r="O398" s="40">
        <v>45891.0</v>
      </c>
      <c r="P398" s="38" t="s">
        <v>126</v>
      </c>
      <c r="Q398" s="42">
        <v>1.0</v>
      </c>
      <c r="R398" s="42">
        <v>0.0</v>
      </c>
      <c r="S398" s="38">
        <v>0.0</v>
      </c>
      <c r="T398" s="42">
        <v>1.0</v>
      </c>
      <c r="U398" s="42">
        <v>1.0</v>
      </c>
    </row>
    <row r="399">
      <c r="A399" s="43" t="s">
        <v>1034</v>
      </c>
      <c r="B399" s="47" t="s">
        <v>1035</v>
      </c>
      <c r="C399" s="43" t="s">
        <v>84</v>
      </c>
      <c r="D399" s="43">
        <v>3.0</v>
      </c>
      <c r="E399" s="43">
        <v>10.0</v>
      </c>
      <c r="F399" s="43">
        <f>IFERROR(__xludf.DUMMYFUNCTION("""COMPUTED_VALUE"""),3.0)</f>
        <v>3</v>
      </c>
      <c r="G399" s="43" t="s">
        <v>125</v>
      </c>
      <c r="H399" s="43" t="s">
        <v>113</v>
      </c>
      <c r="I399" s="43" t="s">
        <v>115</v>
      </c>
      <c r="J399" s="47" t="s">
        <v>115</v>
      </c>
      <c r="K399" s="38">
        <v>1.0</v>
      </c>
      <c r="L399" s="38">
        <v>8.0</v>
      </c>
      <c r="M399" s="38" t="str">
        <f>IFERROR(__xludf.DUMMYFUNCTION("""COMPUTED_VALUE"""),"Fast Moving / Consumable")</f>
        <v>Fast Moving / Consumable</v>
      </c>
      <c r="N399" s="38">
        <v>18.0</v>
      </c>
      <c r="O399" s="40">
        <v>46260.0</v>
      </c>
      <c r="P399" s="38" t="s">
        <v>126</v>
      </c>
      <c r="Q399" s="42">
        <v>7.0</v>
      </c>
      <c r="R399" s="42">
        <v>9.272727272727273</v>
      </c>
      <c r="S399" s="38">
        <v>0.0</v>
      </c>
      <c r="T399" s="42">
        <v>7.681818181818182</v>
      </c>
      <c r="U399" s="42">
        <v>7.681818181818182</v>
      </c>
    </row>
    <row r="400">
      <c r="A400" s="43" t="s">
        <v>1036</v>
      </c>
      <c r="B400" s="47" t="s">
        <v>1037</v>
      </c>
      <c r="C400" s="43" t="s">
        <v>84</v>
      </c>
      <c r="D400" s="43">
        <v>3.0</v>
      </c>
      <c r="E400" s="43">
        <v>10.0</v>
      </c>
      <c r="F400" s="43">
        <f>IFERROR(__xludf.DUMMYFUNCTION("""COMPUTED_VALUE"""),9.0)</f>
        <v>9</v>
      </c>
      <c r="G400" s="43" t="s">
        <v>122</v>
      </c>
      <c r="H400" s="43" t="s">
        <v>113</v>
      </c>
      <c r="I400" s="43" t="s">
        <v>115</v>
      </c>
      <c r="J400" s="47" t="s">
        <v>115</v>
      </c>
      <c r="K400" s="38">
        <v>1.0</v>
      </c>
      <c r="L400" s="38">
        <v>6.0</v>
      </c>
      <c r="M400" s="38" t="str">
        <f>IFERROR(__xludf.DUMMYFUNCTION("""COMPUTED_VALUE"""),"Fast Moving / Consumable")</f>
        <v>Fast Moving / Consumable</v>
      </c>
      <c r="N400" s="38">
        <v>18.0</v>
      </c>
      <c r="O400" s="40">
        <v>46142.0</v>
      </c>
      <c r="P400" s="38" t="s">
        <v>126</v>
      </c>
      <c r="Q400" s="42">
        <v>6.0</v>
      </c>
      <c r="R400" s="42">
        <v>3.2727272727272725</v>
      </c>
      <c r="S400" s="38">
        <v>0.0</v>
      </c>
      <c r="T400" s="42">
        <v>5.181818181818181</v>
      </c>
      <c r="U400" s="42">
        <v>5.181818181818181</v>
      </c>
    </row>
    <row r="401">
      <c r="A401" s="43" t="s">
        <v>1038</v>
      </c>
      <c r="B401" s="47" t="s">
        <v>1039</v>
      </c>
      <c r="C401" s="43" t="s">
        <v>84</v>
      </c>
      <c r="D401" s="43">
        <v>10.0</v>
      </c>
      <c r="E401" s="43">
        <v>30.0</v>
      </c>
      <c r="F401" s="43">
        <f>IFERROR(__xludf.DUMMYFUNCTION("""COMPUTED_VALUE"""),10.0)</f>
        <v>10</v>
      </c>
      <c r="G401" s="43" t="s">
        <v>125</v>
      </c>
      <c r="H401" s="43" t="s">
        <v>113</v>
      </c>
      <c r="I401" s="43" t="s">
        <v>115</v>
      </c>
      <c r="J401" s="47" t="s">
        <v>115</v>
      </c>
      <c r="K401" s="38">
        <v>1.0</v>
      </c>
      <c r="L401" s="38">
        <v>5.0</v>
      </c>
      <c r="M401" s="38" t="str">
        <f>IFERROR(__xludf.DUMMYFUNCTION("""COMPUTED_VALUE"""),"Fast Moving / Consumable")</f>
        <v>Fast Moving / Consumable</v>
      </c>
      <c r="N401" s="38">
        <v>18.0</v>
      </c>
      <c r="O401" s="40">
        <v>45989.0</v>
      </c>
      <c r="P401" s="38" t="s">
        <v>126</v>
      </c>
      <c r="Q401" s="42">
        <v>4.0</v>
      </c>
      <c r="R401" s="42">
        <v>4.090909090909091</v>
      </c>
      <c r="S401" s="38">
        <v>0.0</v>
      </c>
      <c r="T401" s="42">
        <v>4.027272727272727</v>
      </c>
      <c r="U401" s="42">
        <v>4.027272727272727</v>
      </c>
    </row>
    <row r="402">
      <c r="A402" s="43" t="s">
        <v>1040</v>
      </c>
      <c r="B402" s="47" t="s">
        <v>1041</v>
      </c>
      <c r="C402" s="43" t="s">
        <v>84</v>
      </c>
      <c r="D402" s="43">
        <v>1.0</v>
      </c>
      <c r="E402" s="43">
        <v>3.0</v>
      </c>
      <c r="F402" s="43">
        <f>IFERROR(__xludf.DUMMYFUNCTION("""COMPUTED_VALUE"""),3.0)</f>
        <v>3</v>
      </c>
      <c r="G402" s="43" t="s">
        <v>122</v>
      </c>
      <c r="H402" s="43" t="s">
        <v>113</v>
      </c>
      <c r="I402" s="43" t="s">
        <v>115</v>
      </c>
      <c r="J402" s="47" t="s">
        <v>115</v>
      </c>
      <c r="K402" s="38">
        <v>1.0</v>
      </c>
      <c r="L402" s="38">
        <v>3.0</v>
      </c>
      <c r="M402" s="38" t="str">
        <f>IFERROR(__xludf.DUMMYFUNCTION("""COMPUTED_VALUE"""),"General Sparepart")</f>
        <v>General Sparepart</v>
      </c>
      <c r="N402" s="38">
        <v>24.0</v>
      </c>
      <c r="O402" s="40">
        <v>46086.0</v>
      </c>
      <c r="P402" s="38" t="s">
        <v>126</v>
      </c>
      <c r="Q402" s="42">
        <v>4.0</v>
      </c>
      <c r="R402" s="42">
        <v>0.2727272727272727</v>
      </c>
      <c r="S402" s="38">
        <v>3.0</v>
      </c>
      <c r="T402" s="42">
        <v>2.881818181818182</v>
      </c>
      <c r="U402" s="46">
        <v>3.0</v>
      </c>
    </row>
    <row r="403">
      <c r="A403" s="43" t="s">
        <v>1042</v>
      </c>
      <c r="B403" s="47" t="s">
        <v>1043</v>
      </c>
      <c r="C403" s="43" t="s">
        <v>84</v>
      </c>
      <c r="D403" s="43">
        <v>2.0</v>
      </c>
      <c r="E403" s="43">
        <v>4.0</v>
      </c>
      <c r="F403" s="43">
        <f>IFERROR(__xludf.DUMMYFUNCTION("""COMPUTED_VALUE"""),4.0)</f>
        <v>4</v>
      </c>
      <c r="G403" s="43" t="s">
        <v>122</v>
      </c>
      <c r="H403" s="43" t="s">
        <v>113</v>
      </c>
      <c r="I403" s="43" t="s">
        <v>115</v>
      </c>
      <c r="J403" s="47" t="s">
        <v>115</v>
      </c>
      <c r="K403" s="38">
        <v>1.0</v>
      </c>
      <c r="L403" s="38">
        <v>6.0</v>
      </c>
      <c r="M403" s="38" t="str">
        <f>IFERROR(__xludf.DUMMYFUNCTION("""COMPUTED_VALUE"""),"Fast Moving / Consumable")</f>
        <v>Fast Moving / Consumable</v>
      </c>
      <c r="N403" s="38">
        <v>18.0</v>
      </c>
      <c r="O403" s="40">
        <v>46260.0</v>
      </c>
      <c r="P403" s="38" t="s">
        <v>126</v>
      </c>
      <c r="Q403" s="42">
        <v>4.0</v>
      </c>
      <c r="R403" s="42">
        <v>0.2727272727272727</v>
      </c>
      <c r="S403" s="38">
        <v>6.0</v>
      </c>
      <c r="T403" s="42">
        <v>2.881818181818182</v>
      </c>
      <c r="U403" s="46">
        <v>6.0</v>
      </c>
    </row>
    <row r="404">
      <c r="A404" s="43" t="s">
        <v>1044</v>
      </c>
      <c r="B404" s="47" t="s">
        <v>1045</v>
      </c>
      <c r="C404" s="43" t="s">
        <v>84</v>
      </c>
      <c r="D404" s="43">
        <v>2.0</v>
      </c>
      <c r="E404" s="43">
        <v>4.0</v>
      </c>
      <c r="F404" s="43">
        <f>IFERROR(__xludf.DUMMYFUNCTION("""COMPUTED_VALUE"""),5.0)</f>
        <v>5</v>
      </c>
      <c r="G404" s="43" t="s">
        <v>122</v>
      </c>
      <c r="H404" s="43" t="s">
        <v>113</v>
      </c>
      <c r="I404" s="43" t="s">
        <v>115</v>
      </c>
      <c r="J404" s="47" t="s">
        <v>115</v>
      </c>
      <c r="K404" s="38">
        <v>0.0</v>
      </c>
      <c r="L404" s="38">
        <v>0.0</v>
      </c>
      <c r="M404" s="38" t="str">
        <f>IFERROR(__xludf.DUMMYFUNCTION("""COMPUTED_VALUE"""),"Fast Moving / Consumable")</f>
        <v>Fast Moving / Consumable</v>
      </c>
      <c r="N404" s="38">
        <v>18.0</v>
      </c>
      <c r="O404" s="40">
        <v>45695.0</v>
      </c>
      <c r="P404" s="38" t="s">
        <v>116</v>
      </c>
      <c r="Q404" s="42">
        <v>3.0</v>
      </c>
      <c r="R404" s="42">
        <v>0.0</v>
      </c>
      <c r="S404" s="38">
        <v>0.0</v>
      </c>
      <c r="T404" s="42">
        <v>3.0</v>
      </c>
      <c r="U404" s="42">
        <v>3.0</v>
      </c>
    </row>
    <row r="405">
      <c r="A405" s="43" t="s">
        <v>1046</v>
      </c>
      <c r="B405" s="47" t="s">
        <v>1047</v>
      </c>
      <c r="C405" s="43" t="s">
        <v>84</v>
      </c>
      <c r="D405" s="43">
        <v>2.0</v>
      </c>
      <c r="E405" s="43">
        <v>4.0</v>
      </c>
      <c r="F405" s="43">
        <f>IFERROR(__xludf.DUMMYFUNCTION("""COMPUTED_VALUE"""),4.0)</f>
        <v>4</v>
      </c>
      <c r="G405" s="43" t="s">
        <v>122</v>
      </c>
      <c r="H405" s="43" t="s">
        <v>113</v>
      </c>
      <c r="I405" s="43" t="s">
        <v>115</v>
      </c>
      <c r="J405" s="47" t="s">
        <v>115</v>
      </c>
      <c r="K405" s="38">
        <v>1.0</v>
      </c>
      <c r="L405" s="38">
        <v>6.0</v>
      </c>
      <c r="M405" s="38" t="str">
        <f>IFERROR(__xludf.DUMMYFUNCTION("""COMPUTED_VALUE"""),"Fast Moving / Consumable")</f>
        <v>Fast Moving / Consumable</v>
      </c>
      <c r="N405" s="38">
        <v>18.0</v>
      </c>
      <c r="O405" s="40">
        <v>45863.0</v>
      </c>
      <c r="P405" s="38" t="s">
        <v>126</v>
      </c>
      <c r="Q405" s="42">
        <v>6.0</v>
      </c>
      <c r="R405" s="42">
        <v>5.454545454545454</v>
      </c>
      <c r="S405" s="38">
        <v>0.0</v>
      </c>
      <c r="T405" s="42">
        <v>5.836363636363636</v>
      </c>
      <c r="U405" s="42">
        <v>5.836363636363636</v>
      </c>
    </row>
    <row r="406">
      <c r="A406" s="43" t="s">
        <v>1048</v>
      </c>
      <c r="B406" s="47" t="s">
        <v>1049</v>
      </c>
      <c r="C406" s="43" t="s">
        <v>84</v>
      </c>
      <c r="D406" s="43">
        <v>2.0</v>
      </c>
      <c r="E406" s="43">
        <v>4.0</v>
      </c>
      <c r="F406" s="43">
        <f>IFERROR(__xludf.DUMMYFUNCTION("""COMPUTED_VALUE"""),4.0)</f>
        <v>4</v>
      </c>
      <c r="G406" s="43" t="s">
        <v>122</v>
      </c>
      <c r="H406" s="43" t="s">
        <v>113</v>
      </c>
      <c r="I406" s="43" t="s">
        <v>115</v>
      </c>
      <c r="J406" s="47" t="s">
        <v>115</v>
      </c>
      <c r="K406" s="38">
        <v>1.0</v>
      </c>
      <c r="L406" s="38">
        <v>7.0</v>
      </c>
      <c r="M406" s="38" t="str">
        <f>IFERROR(__xludf.DUMMYFUNCTION("""COMPUTED_VALUE"""),"Fast Moving / Consumable")</f>
        <v>Fast Moving / Consumable</v>
      </c>
      <c r="N406" s="38">
        <v>18.0</v>
      </c>
      <c r="O406" s="40">
        <v>46087.0</v>
      </c>
      <c r="P406" s="38" t="s">
        <v>126</v>
      </c>
      <c r="Q406" s="42">
        <v>8.0</v>
      </c>
      <c r="R406" s="42">
        <v>4.090909090909091</v>
      </c>
      <c r="S406" s="38">
        <v>4.0</v>
      </c>
      <c r="T406" s="42">
        <v>6.827272727272727</v>
      </c>
      <c r="U406" s="42">
        <v>6.827272727272727</v>
      </c>
    </row>
    <row r="407">
      <c r="A407" s="43" t="s">
        <v>1050</v>
      </c>
      <c r="B407" s="47" t="s">
        <v>1051</v>
      </c>
      <c r="C407" s="43" t="s">
        <v>84</v>
      </c>
      <c r="D407" s="43">
        <v>2.0</v>
      </c>
      <c r="E407" s="43">
        <v>4.0</v>
      </c>
      <c r="F407" s="43">
        <f>IFERROR(__xludf.DUMMYFUNCTION("""COMPUTED_VALUE"""),5.0)</f>
        <v>5</v>
      </c>
      <c r="G407" s="43" t="s">
        <v>122</v>
      </c>
      <c r="H407" s="43" t="s">
        <v>113</v>
      </c>
      <c r="I407" s="43" t="s">
        <v>115</v>
      </c>
      <c r="J407" s="47" t="s">
        <v>115</v>
      </c>
      <c r="K407" s="38">
        <v>0.0</v>
      </c>
      <c r="L407" s="38">
        <v>0.0</v>
      </c>
      <c r="M407" s="38" t="str">
        <f>IFERROR(__xludf.DUMMYFUNCTION("""COMPUTED_VALUE"""),"Fast Moving / Consumable")</f>
        <v>Fast Moving / Consumable</v>
      </c>
      <c r="N407" s="38">
        <v>18.0</v>
      </c>
      <c r="O407" s="40">
        <v>45695.0</v>
      </c>
      <c r="P407" s="38" t="s">
        <v>116</v>
      </c>
      <c r="Q407" s="42">
        <v>3.0</v>
      </c>
      <c r="R407" s="42">
        <v>0.0</v>
      </c>
      <c r="S407" s="38">
        <v>0.0</v>
      </c>
      <c r="T407" s="42">
        <v>3.0</v>
      </c>
      <c r="U407" s="42">
        <v>3.0</v>
      </c>
    </row>
    <row r="408">
      <c r="A408" s="43" t="s">
        <v>1052</v>
      </c>
      <c r="B408" s="47" t="s">
        <v>1053</v>
      </c>
      <c r="C408" s="43" t="s">
        <v>84</v>
      </c>
      <c r="D408" s="43">
        <v>2.0</v>
      </c>
      <c r="E408" s="43">
        <v>4.0</v>
      </c>
      <c r="F408" s="43">
        <f>IFERROR(__xludf.DUMMYFUNCTION("""COMPUTED_VALUE"""),5.0)</f>
        <v>5</v>
      </c>
      <c r="G408" s="43" t="s">
        <v>122</v>
      </c>
      <c r="H408" s="43" t="s">
        <v>113</v>
      </c>
      <c r="I408" s="43" t="s">
        <v>115</v>
      </c>
      <c r="J408" s="47" t="s">
        <v>115</v>
      </c>
      <c r="K408" s="38">
        <v>1.0</v>
      </c>
      <c r="L408" s="38">
        <v>7.0</v>
      </c>
      <c r="M408" s="38" t="str">
        <f>IFERROR(__xludf.DUMMYFUNCTION("""COMPUTED_VALUE"""),"Fast Moving / Consumable")</f>
        <v>Fast Moving / Consumable</v>
      </c>
      <c r="N408" s="38">
        <v>18.0</v>
      </c>
      <c r="O408" s="40">
        <v>45722.0</v>
      </c>
      <c r="P408" s="38" t="s">
        <v>126</v>
      </c>
      <c r="Q408" s="42">
        <v>9.0</v>
      </c>
      <c r="R408" s="42">
        <v>1.3636363636363635</v>
      </c>
      <c r="S408" s="38">
        <v>0.0</v>
      </c>
      <c r="T408" s="42">
        <v>6.709090909090909</v>
      </c>
      <c r="U408" s="42">
        <v>6.709090909090909</v>
      </c>
    </row>
    <row r="409">
      <c r="A409" s="43" t="s">
        <v>1054</v>
      </c>
      <c r="B409" s="47" t="s">
        <v>1055</v>
      </c>
      <c r="C409" s="43" t="s">
        <v>84</v>
      </c>
      <c r="D409" s="43">
        <v>2.0</v>
      </c>
      <c r="E409" s="43">
        <v>4.0</v>
      </c>
      <c r="F409" s="43">
        <f>IFERROR(__xludf.DUMMYFUNCTION("""COMPUTED_VALUE"""),4.0)</f>
        <v>4</v>
      </c>
      <c r="G409" s="43" t="s">
        <v>122</v>
      </c>
      <c r="H409" s="43" t="s">
        <v>113</v>
      </c>
      <c r="I409" s="43" t="s">
        <v>115</v>
      </c>
      <c r="J409" s="47" t="s">
        <v>115</v>
      </c>
      <c r="K409" s="38">
        <v>1.0</v>
      </c>
      <c r="L409" s="38">
        <v>8.0</v>
      </c>
      <c r="M409" s="38" t="str">
        <f>IFERROR(__xludf.DUMMYFUNCTION("""COMPUTED_VALUE"""),"Fast Moving / Consumable")</f>
        <v>Fast Moving / Consumable</v>
      </c>
      <c r="N409" s="38">
        <v>18.0</v>
      </c>
      <c r="O409" s="40">
        <v>46087.0</v>
      </c>
      <c r="P409" s="38" t="s">
        <v>126</v>
      </c>
      <c r="Q409" s="42">
        <v>8.0</v>
      </c>
      <c r="R409" s="42">
        <v>0.0</v>
      </c>
      <c r="S409" s="38">
        <v>4.0</v>
      </c>
      <c r="T409" s="42">
        <v>8.0</v>
      </c>
      <c r="U409" s="42">
        <v>8.0</v>
      </c>
    </row>
    <row r="410">
      <c r="A410" s="43" t="s">
        <v>1056</v>
      </c>
      <c r="B410" s="47" t="s">
        <v>1057</v>
      </c>
      <c r="C410" s="43" t="s">
        <v>84</v>
      </c>
      <c r="D410" s="43">
        <v>2.0</v>
      </c>
      <c r="E410" s="43">
        <v>4.0</v>
      </c>
      <c r="F410" s="43">
        <f>IFERROR(__xludf.DUMMYFUNCTION("""COMPUTED_VALUE"""),5.0)</f>
        <v>5</v>
      </c>
      <c r="G410" s="43" t="s">
        <v>122</v>
      </c>
      <c r="H410" s="43" t="s">
        <v>113</v>
      </c>
      <c r="I410" s="43" t="s">
        <v>115</v>
      </c>
      <c r="J410" s="47" t="s">
        <v>115</v>
      </c>
      <c r="K410" s="38">
        <v>0.0</v>
      </c>
      <c r="L410" s="38">
        <v>0.0</v>
      </c>
      <c r="M410" s="38" t="str">
        <f>IFERROR(__xludf.DUMMYFUNCTION("""COMPUTED_VALUE"""),"Fast Moving / Consumable")</f>
        <v>Fast Moving / Consumable</v>
      </c>
      <c r="N410" s="38">
        <v>18.0</v>
      </c>
      <c r="O410" s="40">
        <v>45695.0</v>
      </c>
      <c r="P410" s="38" t="s">
        <v>116</v>
      </c>
      <c r="Q410" s="42">
        <v>1.0</v>
      </c>
      <c r="R410" s="42">
        <v>0.0</v>
      </c>
      <c r="S410" s="38">
        <v>0.0</v>
      </c>
      <c r="T410" s="42">
        <v>1.0</v>
      </c>
      <c r="U410" s="42">
        <v>1.0</v>
      </c>
    </row>
    <row r="411">
      <c r="A411" s="43" t="s">
        <v>1059</v>
      </c>
      <c r="B411" s="47" t="s">
        <v>1060</v>
      </c>
      <c r="C411" s="43" t="s">
        <v>84</v>
      </c>
      <c r="D411" s="43">
        <v>2.0</v>
      </c>
      <c r="E411" s="43">
        <v>4.0</v>
      </c>
      <c r="F411" s="43">
        <f>IFERROR(__xludf.DUMMYFUNCTION("""COMPUTED_VALUE"""),4.0)</f>
        <v>4</v>
      </c>
      <c r="G411" s="43" t="s">
        <v>122</v>
      </c>
      <c r="H411" s="43" t="s">
        <v>113</v>
      </c>
      <c r="I411" s="43" t="s">
        <v>115</v>
      </c>
      <c r="J411" s="47" t="s">
        <v>115</v>
      </c>
      <c r="K411" s="38">
        <v>1.0</v>
      </c>
      <c r="L411" s="38">
        <v>4.0</v>
      </c>
      <c r="M411" s="38" t="str">
        <f>IFERROR(__xludf.DUMMYFUNCTION("""COMPUTED_VALUE"""),"Fast Moving / Consumable")</f>
        <v>Fast Moving / Consumable</v>
      </c>
      <c r="N411" s="38">
        <v>18.0</v>
      </c>
      <c r="O411" s="40">
        <v>46087.0</v>
      </c>
      <c r="P411" s="38" t="s">
        <v>126</v>
      </c>
      <c r="Q411" s="42">
        <v>1.0</v>
      </c>
      <c r="R411" s="42">
        <v>0.2727272727272727</v>
      </c>
      <c r="S411" s="38">
        <v>4.0</v>
      </c>
      <c r="T411" s="42">
        <v>0.7818181818181817</v>
      </c>
      <c r="U411" s="46">
        <v>4.0</v>
      </c>
    </row>
    <row r="412">
      <c r="A412" s="43" t="s">
        <v>1061</v>
      </c>
      <c r="B412" s="47" t="s">
        <v>1062</v>
      </c>
      <c r="C412" s="43" t="s">
        <v>84</v>
      </c>
      <c r="D412" s="43">
        <v>5.0</v>
      </c>
      <c r="E412" s="43">
        <v>10.0</v>
      </c>
      <c r="F412" s="43">
        <f>IFERROR(__xludf.DUMMYFUNCTION("""COMPUTED_VALUE"""),10.0)</f>
        <v>10</v>
      </c>
      <c r="G412" s="43" t="s">
        <v>122</v>
      </c>
      <c r="H412" s="43" t="s">
        <v>113</v>
      </c>
      <c r="I412" s="43" t="s">
        <v>115</v>
      </c>
      <c r="J412" s="47" t="s">
        <v>115</v>
      </c>
      <c r="K412" s="38">
        <v>1.0</v>
      </c>
      <c r="L412" s="38">
        <v>8.0</v>
      </c>
      <c r="M412" s="38" t="str">
        <f>IFERROR(__xludf.DUMMYFUNCTION("""COMPUTED_VALUE"""),"Fast Moving / Consumable")</f>
        <v>Fast Moving / Consumable</v>
      </c>
      <c r="N412" s="38">
        <v>18.0</v>
      </c>
      <c r="O412" s="40">
        <v>46087.0</v>
      </c>
      <c r="P412" s="38" t="s">
        <v>126</v>
      </c>
      <c r="Q412" s="42">
        <v>8.0</v>
      </c>
      <c r="R412" s="42">
        <v>0.0</v>
      </c>
      <c r="S412" s="38">
        <v>6.0</v>
      </c>
      <c r="T412" s="42">
        <v>8.0</v>
      </c>
      <c r="U412" s="42">
        <v>8.0</v>
      </c>
    </row>
    <row r="413">
      <c r="A413" s="43" t="s">
        <v>1063</v>
      </c>
      <c r="B413" s="47" t="s">
        <v>1064</v>
      </c>
      <c r="C413" s="43" t="s">
        <v>84</v>
      </c>
      <c r="D413" s="43">
        <v>2.0</v>
      </c>
      <c r="E413" s="43">
        <v>4.0</v>
      </c>
      <c r="F413" s="43">
        <f>IFERROR(__xludf.DUMMYFUNCTION("""COMPUTED_VALUE"""),0.0)</f>
        <v>0</v>
      </c>
      <c r="G413" s="43" t="s">
        <v>112</v>
      </c>
      <c r="H413" s="43" t="s">
        <v>113</v>
      </c>
      <c r="I413" s="43" t="s">
        <v>115</v>
      </c>
      <c r="J413" s="47" t="s">
        <v>115</v>
      </c>
      <c r="K413" s="38">
        <v>2.0</v>
      </c>
      <c r="L413" s="38">
        <v>17.0</v>
      </c>
      <c r="M413" s="38" t="str">
        <f>IFERROR(__xludf.DUMMYFUNCTION("""COMPUTED_VALUE"""),"Fast Moving / Consumable")</f>
        <v>Fast Moving / Consumable</v>
      </c>
      <c r="N413" s="38">
        <v>18.0</v>
      </c>
      <c r="O413" s="40">
        <v>46204.0</v>
      </c>
      <c r="P413" s="38" t="s">
        <v>126</v>
      </c>
      <c r="Q413" s="42">
        <v>24.0</v>
      </c>
      <c r="R413" s="42">
        <v>0.2727272727272727</v>
      </c>
      <c r="S413" s="38">
        <v>4.0</v>
      </c>
      <c r="T413" s="42">
        <v>16.88181818181818</v>
      </c>
      <c r="U413" s="42">
        <v>16.88181818181818</v>
      </c>
    </row>
    <row r="414">
      <c r="A414" s="43" t="s">
        <v>1065</v>
      </c>
      <c r="B414" s="47" t="s">
        <v>1066</v>
      </c>
      <c r="C414" s="43" t="s">
        <v>84</v>
      </c>
      <c r="D414" s="43">
        <v>2.0</v>
      </c>
      <c r="E414" s="43">
        <v>4.0</v>
      </c>
      <c r="F414" s="43">
        <f>IFERROR(__xludf.DUMMYFUNCTION("""COMPUTED_VALUE"""),4.0)</f>
        <v>4</v>
      </c>
      <c r="G414" s="43" t="s">
        <v>122</v>
      </c>
      <c r="H414" s="43" t="s">
        <v>113</v>
      </c>
      <c r="I414" s="43" t="s">
        <v>115</v>
      </c>
      <c r="J414" s="47" t="s">
        <v>115</v>
      </c>
      <c r="K414" s="38">
        <v>1.0</v>
      </c>
      <c r="L414" s="38">
        <v>8.0</v>
      </c>
      <c r="M414" s="38" t="str">
        <f>IFERROR(__xludf.DUMMYFUNCTION("""COMPUTED_VALUE"""),"Fast Moving / Consumable")</f>
        <v>Fast Moving / Consumable</v>
      </c>
      <c r="N414" s="38">
        <v>18.0</v>
      </c>
      <c r="O414" s="40">
        <v>46087.0</v>
      </c>
      <c r="P414" s="38" t="s">
        <v>126</v>
      </c>
      <c r="Q414" s="42">
        <v>8.0</v>
      </c>
      <c r="R414" s="42">
        <v>0.0</v>
      </c>
      <c r="S414" s="38">
        <v>4.0</v>
      </c>
      <c r="T414" s="42">
        <v>8.0</v>
      </c>
      <c r="U414" s="42">
        <v>8.0</v>
      </c>
    </row>
    <row r="415">
      <c r="A415" s="43" t="s">
        <v>1067</v>
      </c>
      <c r="B415" s="47" t="s">
        <v>1068</v>
      </c>
      <c r="C415" s="43" t="s">
        <v>84</v>
      </c>
      <c r="D415" s="43">
        <v>2.0</v>
      </c>
      <c r="E415" s="43">
        <v>4.0</v>
      </c>
      <c r="F415" s="43">
        <f>IFERROR(__xludf.DUMMYFUNCTION("""COMPUTED_VALUE"""),3.0)</f>
        <v>3</v>
      </c>
      <c r="G415" s="43" t="s">
        <v>122</v>
      </c>
      <c r="H415" s="43" t="s">
        <v>113</v>
      </c>
      <c r="I415" s="43" t="s">
        <v>115</v>
      </c>
      <c r="J415" s="47" t="s">
        <v>115</v>
      </c>
      <c r="K415" s="38">
        <v>1.0</v>
      </c>
      <c r="L415" s="38">
        <v>6.0</v>
      </c>
      <c r="M415" s="38" t="str">
        <f>IFERROR(__xludf.DUMMYFUNCTION("""COMPUTED_VALUE"""),"Fast Moving / Consumable")</f>
        <v>Fast Moving / Consumable</v>
      </c>
      <c r="N415" s="38">
        <v>18.0</v>
      </c>
      <c r="O415" s="40">
        <v>46203.0</v>
      </c>
      <c r="P415" s="38" t="s">
        <v>126</v>
      </c>
      <c r="Q415" s="42">
        <v>8.0</v>
      </c>
      <c r="R415" s="42">
        <v>0.2727272727272727</v>
      </c>
      <c r="S415" s="38">
        <v>4.0</v>
      </c>
      <c r="T415" s="42">
        <v>5.681818181818182</v>
      </c>
      <c r="U415" s="42">
        <v>5.681818181818182</v>
      </c>
    </row>
    <row r="416">
      <c r="A416" s="43" t="s">
        <v>1069</v>
      </c>
      <c r="B416" s="47" t="s">
        <v>1070</v>
      </c>
      <c r="C416" s="43" t="s">
        <v>84</v>
      </c>
      <c r="D416" s="43">
        <v>2.0</v>
      </c>
      <c r="E416" s="43">
        <v>4.0</v>
      </c>
      <c r="F416" s="43">
        <f>IFERROR(__xludf.DUMMYFUNCTION("""COMPUTED_VALUE"""),4.0)</f>
        <v>4</v>
      </c>
      <c r="G416" s="43" t="s">
        <v>122</v>
      </c>
      <c r="H416" s="43" t="s">
        <v>113</v>
      </c>
      <c r="I416" s="43" t="s">
        <v>115</v>
      </c>
      <c r="J416" s="47" t="s">
        <v>115</v>
      </c>
      <c r="K416" s="38">
        <v>1.0</v>
      </c>
      <c r="L416" s="38">
        <v>4.0</v>
      </c>
      <c r="M416" s="38" t="str">
        <f>IFERROR(__xludf.DUMMYFUNCTION("""COMPUTED_VALUE"""),"Fast Moving / Consumable")</f>
        <v>Fast Moving / Consumable</v>
      </c>
      <c r="N416" s="38">
        <v>18.0</v>
      </c>
      <c r="O416" s="40">
        <v>46087.0</v>
      </c>
      <c r="P416" s="38" t="s">
        <v>126</v>
      </c>
      <c r="Q416" s="42">
        <v>1.0</v>
      </c>
      <c r="R416" s="42">
        <v>0.0</v>
      </c>
      <c r="S416" s="38">
        <v>4.0</v>
      </c>
      <c r="T416" s="42">
        <v>1.0</v>
      </c>
      <c r="U416" s="46">
        <v>4.0</v>
      </c>
    </row>
    <row r="417">
      <c r="A417" s="43" t="s">
        <v>1071</v>
      </c>
      <c r="B417" s="47" t="s">
        <v>1072</v>
      </c>
      <c r="C417" s="43" t="s">
        <v>84</v>
      </c>
      <c r="D417" s="43">
        <v>2.0</v>
      </c>
      <c r="E417" s="43">
        <v>4.0</v>
      </c>
      <c r="F417" s="43">
        <f>IFERROR(__xludf.DUMMYFUNCTION("""COMPUTED_VALUE"""),4.0)</f>
        <v>4</v>
      </c>
      <c r="G417" s="43" t="s">
        <v>122</v>
      </c>
      <c r="H417" s="43" t="s">
        <v>113</v>
      </c>
      <c r="I417" s="43" t="s">
        <v>115</v>
      </c>
      <c r="J417" s="47" t="s">
        <v>115</v>
      </c>
      <c r="K417" s="38">
        <v>1.0</v>
      </c>
      <c r="L417" s="38">
        <v>4.0</v>
      </c>
      <c r="M417" s="38" t="str">
        <f>IFERROR(__xludf.DUMMYFUNCTION("""COMPUTED_VALUE"""),"Fast Moving / Consumable")</f>
        <v>Fast Moving / Consumable</v>
      </c>
      <c r="N417" s="38">
        <v>18.0</v>
      </c>
      <c r="O417" s="40">
        <v>46087.0</v>
      </c>
      <c r="P417" s="38" t="s">
        <v>126</v>
      </c>
      <c r="Q417" s="42">
        <v>1.0</v>
      </c>
      <c r="R417" s="42">
        <v>0.0</v>
      </c>
      <c r="S417" s="38">
        <v>4.0</v>
      </c>
      <c r="T417" s="42">
        <v>1.0</v>
      </c>
      <c r="U417" s="46">
        <v>4.0</v>
      </c>
    </row>
    <row r="418">
      <c r="A418" s="43" t="s">
        <v>1073</v>
      </c>
      <c r="B418" s="47" t="s">
        <v>1074</v>
      </c>
      <c r="C418" s="43" t="s">
        <v>84</v>
      </c>
      <c r="D418" s="43">
        <v>2.0</v>
      </c>
      <c r="E418" s="43">
        <v>4.0</v>
      </c>
      <c r="F418" s="43">
        <f>IFERROR(__xludf.DUMMYFUNCTION("""COMPUTED_VALUE"""),0.0)</f>
        <v>0</v>
      </c>
      <c r="G418" s="43" t="s">
        <v>112</v>
      </c>
      <c r="H418" s="43" t="s">
        <v>113</v>
      </c>
      <c r="I418" s="43" t="s">
        <v>115</v>
      </c>
      <c r="J418" s="47" t="s">
        <v>115</v>
      </c>
      <c r="K418" s="38">
        <v>3.0</v>
      </c>
      <c r="L418" s="38">
        <v>24.0</v>
      </c>
      <c r="M418" s="38" t="str">
        <f>IFERROR(__xludf.DUMMYFUNCTION("""COMPUTED_VALUE"""),"Fast Moving / Consumable")</f>
        <v>Fast Moving / Consumable</v>
      </c>
      <c r="N418" s="38">
        <v>18.0</v>
      </c>
      <c r="O418" s="40">
        <v>46204.0</v>
      </c>
      <c r="P418" s="38" t="s">
        <v>126</v>
      </c>
      <c r="Q418" s="42">
        <v>24.0</v>
      </c>
      <c r="R418" s="42">
        <v>0.0</v>
      </c>
      <c r="S418" s="38">
        <v>4.0</v>
      </c>
      <c r="T418" s="42">
        <v>24.0</v>
      </c>
      <c r="U418" s="42">
        <v>24.0</v>
      </c>
    </row>
    <row r="419">
      <c r="A419" s="43" t="s">
        <v>1075</v>
      </c>
      <c r="B419" s="47" t="s">
        <v>1076</v>
      </c>
      <c r="C419" s="43" t="s">
        <v>84</v>
      </c>
      <c r="D419" s="43">
        <v>2.0</v>
      </c>
      <c r="E419" s="43">
        <v>4.0</v>
      </c>
      <c r="F419" s="43">
        <f>IFERROR(__xludf.DUMMYFUNCTION("""COMPUTED_VALUE"""),3.0)</f>
        <v>3</v>
      </c>
      <c r="G419" s="43" t="s">
        <v>122</v>
      </c>
      <c r="H419" s="43" t="s">
        <v>113</v>
      </c>
      <c r="I419" s="43" t="s">
        <v>115</v>
      </c>
      <c r="J419" s="47" t="s">
        <v>115</v>
      </c>
      <c r="K419" s="38">
        <v>1.0</v>
      </c>
      <c r="L419" s="38">
        <v>6.0</v>
      </c>
      <c r="M419" s="38" t="str">
        <f>IFERROR(__xludf.DUMMYFUNCTION("""COMPUTED_VALUE"""),"Fast Moving / Consumable")</f>
        <v>Fast Moving / Consumable</v>
      </c>
      <c r="N419" s="38">
        <v>18.0</v>
      </c>
      <c r="O419" s="40">
        <v>46260.0</v>
      </c>
      <c r="P419" s="38" t="s">
        <v>126</v>
      </c>
      <c r="Q419" s="42">
        <v>8.0</v>
      </c>
      <c r="R419" s="42">
        <v>0.2727272727272727</v>
      </c>
      <c r="S419" s="38">
        <v>4.0</v>
      </c>
      <c r="T419" s="42">
        <v>5.681818181818182</v>
      </c>
      <c r="U419" s="42">
        <v>5.681818181818182</v>
      </c>
    </row>
    <row r="420">
      <c r="A420" s="43" t="s">
        <v>1077</v>
      </c>
      <c r="B420" s="47" t="s">
        <v>1078</v>
      </c>
      <c r="C420" s="43" t="s">
        <v>84</v>
      </c>
      <c r="D420" s="43">
        <v>2.0</v>
      </c>
      <c r="E420" s="43">
        <v>4.0</v>
      </c>
      <c r="F420" s="43">
        <f>IFERROR(__xludf.DUMMYFUNCTION("""COMPUTED_VALUE"""),4.0)</f>
        <v>4</v>
      </c>
      <c r="G420" s="43" t="s">
        <v>122</v>
      </c>
      <c r="H420" s="43" t="s">
        <v>113</v>
      </c>
      <c r="I420" s="43" t="s">
        <v>115</v>
      </c>
      <c r="J420" s="47" t="s">
        <v>115</v>
      </c>
      <c r="K420" s="38">
        <v>1.0</v>
      </c>
      <c r="L420" s="38">
        <v>6.0</v>
      </c>
      <c r="M420" s="38" t="str">
        <f>IFERROR(__xludf.DUMMYFUNCTION("""COMPUTED_VALUE"""),"Fast Moving / Consumable")</f>
        <v>Fast Moving / Consumable</v>
      </c>
      <c r="N420" s="38">
        <v>18.0</v>
      </c>
      <c r="O420" s="40">
        <v>46087.0</v>
      </c>
      <c r="P420" s="38" t="s">
        <v>126</v>
      </c>
      <c r="Q420" s="42">
        <v>8.0</v>
      </c>
      <c r="R420" s="42">
        <v>0.2727272727272727</v>
      </c>
      <c r="S420" s="38">
        <v>4.0</v>
      </c>
      <c r="T420" s="42">
        <v>5.681818181818182</v>
      </c>
      <c r="U420" s="42">
        <v>5.681818181818182</v>
      </c>
    </row>
    <row r="421">
      <c r="A421" s="43" t="s">
        <v>1079</v>
      </c>
      <c r="B421" s="47" t="s">
        <v>1080</v>
      </c>
      <c r="C421" s="43" t="s">
        <v>84</v>
      </c>
      <c r="D421" s="43">
        <v>2.0</v>
      </c>
      <c r="E421" s="43">
        <v>4.0</v>
      </c>
      <c r="F421" s="43">
        <f>IFERROR(__xludf.DUMMYFUNCTION("""COMPUTED_VALUE"""),0.0)</f>
        <v>0</v>
      </c>
      <c r="G421" s="43" t="s">
        <v>112</v>
      </c>
      <c r="H421" s="43" t="s">
        <v>113</v>
      </c>
      <c r="I421" s="43" t="s">
        <v>115</v>
      </c>
      <c r="J421" s="47" t="s">
        <v>115</v>
      </c>
      <c r="K421" s="38">
        <v>3.0</v>
      </c>
      <c r="L421" s="38">
        <v>24.0</v>
      </c>
      <c r="M421" s="38" t="str">
        <f>IFERROR(__xludf.DUMMYFUNCTION("""COMPUTED_VALUE"""),"Fast Moving / Consumable")</f>
        <v>Fast Moving / Consumable</v>
      </c>
      <c r="N421" s="38">
        <v>18.0</v>
      </c>
      <c r="O421" s="40">
        <v>46204.0</v>
      </c>
      <c r="P421" s="38" t="s">
        <v>126</v>
      </c>
      <c r="Q421" s="42">
        <v>24.0</v>
      </c>
      <c r="R421" s="42">
        <v>0.0</v>
      </c>
      <c r="S421" s="38">
        <v>4.0</v>
      </c>
      <c r="T421" s="42">
        <v>24.0</v>
      </c>
      <c r="U421" s="42">
        <v>24.0</v>
      </c>
    </row>
    <row r="422">
      <c r="A422" s="43" t="s">
        <v>1081</v>
      </c>
      <c r="B422" s="47" t="s">
        <v>1082</v>
      </c>
      <c r="C422" s="43" t="s">
        <v>84</v>
      </c>
      <c r="D422" s="43">
        <v>2.0</v>
      </c>
      <c r="E422" s="43">
        <v>4.0</v>
      </c>
      <c r="F422" s="43">
        <f>IFERROR(__xludf.DUMMYFUNCTION("""COMPUTED_VALUE"""),4.0)</f>
        <v>4</v>
      </c>
      <c r="G422" s="43" t="s">
        <v>122</v>
      </c>
      <c r="H422" s="43" t="s">
        <v>113</v>
      </c>
      <c r="I422" s="43" t="s">
        <v>115</v>
      </c>
      <c r="J422" s="47" t="s">
        <v>115</v>
      </c>
      <c r="K422" s="38">
        <v>1.0</v>
      </c>
      <c r="L422" s="38">
        <v>4.0</v>
      </c>
      <c r="M422" s="38" t="str">
        <f>IFERROR(__xludf.DUMMYFUNCTION("""COMPUTED_VALUE"""),"Fast Moving / Consumable")</f>
        <v>Fast Moving / Consumable</v>
      </c>
      <c r="N422" s="38">
        <v>18.0</v>
      </c>
      <c r="O422" s="40">
        <v>46087.0</v>
      </c>
      <c r="P422" s="38" t="s">
        <v>126</v>
      </c>
      <c r="Q422" s="42">
        <v>2.0</v>
      </c>
      <c r="R422" s="42">
        <v>0.0</v>
      </c>
      <c r="S422" s="38">
        <v>4.0</v>
      </c>
      <c r="T422" s="42">
        <v>2.0</v>
      </c>
      <c r="U422" s="46">
        <v>4.0</v>
      </c>
    </row>
    <row r="423">
      <c r="A423" s="43" t="s">
        <v>1083</v>
      </c>
      <c r="B423" s="47" t="s">
        <v>1084</v>
      </c>
      <c r="C423" s="43" t="s">
        <v>84</v>
      </c>
      <c r="D423" s="43">
        <v>2.0</v>
      </c>
      <c r="E423" s="43">
        <v>4.0</v>
      </c>
      <c r="F423" s="43">
        <f>IFERROR(__xludf.DUMMYFUNCTION("""COMPUTED_VALUE"""),4.0)</f>
        <v>4</v>
      </c>
      <c r="G423" s="43" t="s">
        <v>122</v>
      </c>
      <c r="H423" s="43" t="s">
        <v>113</v>
      </c>
      <c r="I423" s="43" t="s">
        <v>115</v>
      </c>
      <c r="J423" s="47" t="s">
        <v>115</v>
      </c>
      <c r="K423" s="38">
        <v>1.0</v>
      </c>
      <c r="L423" s="38">
        <v>4.0</v>
      </c>
      <c r="M423" s="38" t="str">
        <f>IFERROR(__xludf.DUMMYFUNCTION("""COMPUTED_VALUE"""),"Fast Moving / Consumable")</f>
        <v>Fast Moving / Consumable</v>
      </c>
      <c r="N423" s="38">
        <v>18.0</v>
      </c>
      <c r="O423" s="40">
        <v>46087.0</v>
      </c>
      <c r="P423" s="38" t="s">
        <v>126</v>
      </c>
      <c r="Q423" s="42">
        <v>1.0</v>
      </c>
      <c r="R423" s="42">
        <v>0.0</v>
      </c>
      <c r="S423" s="38">
        <v>4.0</v>
      </c>
      <c r="T423" s="42">
        <v>1.0</v>
      </c>
      <c r="U423" s="46">
        <v>4.0</v>
      </c>
    </row>
    <row r="424">
      <c r="A424" s="43" t="s">
        <v>1086</v>
      </c>
      <c r="B424" s="47" t="s">
        <v>1087</v>
      </c>
      <c r="C424" s="43" t="s">
        <v>84</v>
      </c>
      <c r="D424" s="43">
        <v>2.0</v>
      </c>
      <c r="E424" s="43">
        <v>4.0</v>
      </c>
      <c r="F424" s="43">
        <f>IFERROR(__xludf.DUMMYFUNCTION("""COMPUTED_VALUE"""),4.0)</f>
        <v>4</v>
      </c>
      <c r="G424" s="43" t="s">
        <v>122</v>
      </c>
      <c r="H424" s="43" t="s">
        <v>113</v>
      </c>
      <c r="I424" s="43" t="s">
        <v>115</v>
      </c>
      <c r="J424" s="47" t="s">
        <v>115</v>
      </c>
      <c r="K424" s="38">
        <v>1.0</v>
      </c>
      <c r="L424" s="38">
        <v>8.0</v>
      </c>
      <c r="M424" s="38" t="str">
        <f>IFERROR(__xludf.DUMMYFUNCTION("""COMPUTED_VALUE"""),"Fast Moving / Consumable")</f>
        <v>Fast Moving / Consumable</v>
      </c>
      <c r="N424" s="38">
        <v>18.0</v>
      </c>
      <c r="O424" s="40">
        <v>46087.0</v>
      </c>
      <c r="P424" s="38" t="s">
        <v>126</v>
      </c>
      <c r="Q424" s="42">
        <v>8.0</v>
      </c>
      <c r="R424" s="42">
        <v>0.0</v>
      </c>
      <c r="S424" s="38">
        <v>4.0</v>
      </c>
      <c r="T424" s="42">
        <v>8.0</v>
      </c>
      <c r="U424" s="42">
        <v>8.0</v>
      </c>
    </row>
    <row r="425">
      <c r="A425" s="43" t="s">
        <v>1088</v>
      </c>
      <c r="B425" s="47" t="s">
        <v>1089</v>
      </c>
      <c r="C425" s="43" t="s">
        <v>84</v>
      </c>
      <c r="D425" s="43">
        <v>2.0</v>
      </c>
      <c r="E425" s="43">
        <v>4.0</v>
      </c>
      <c r="F425" s="43">
        <f>IFERROR(__xludf.DUMMYFUNCTION("""COMPUTED_VALUE"""),12.0)</f>
        <v>12</v>
      </c>
      <c r="G425" s="43" t="s">
        <v>122</v>
      </c>
      <c r="H425" s="43" t="s">
        <v>113</v>
      </c>
      <c r="I425" s="43" t="s">
        <v>115</v>
      </c>
      <c r="J425" s="47" t="s">
        <v>115</v>
      </c>
      <c r="K425" s="38">
        <v>1.0</v>
      </c>
      <c r="L425" s="38">
        <v>9.0</v>
      </c>
      <c r="M425" s="38" t="str">
        <f>IFERROR(__xludf.DUMMYFUNCTION("""COMPUTED_VALUE"""),"Fast Moving / Consumable")</f>
        <v>Fast Moving / Consumable</v>
      </c>
      <c r="N425" s="38">
        <v>18.0</v>
      </c>
      <c r="O425" s="40">
        <v>45779.0</v>
      </c>
      <c r="P425" s="38" t="s">
        <v>126</v>
      </c>
      <c r="Q425" s="42">
        <v>9.0</v>
      </c>
      <c r="R425" s="42">
        <v>0.0</v>
      </c>
      <c r="S425" s="38">
        <v>0.0</v>
      </c>
      <c r="T425" s="42">
        <v>9.0</v>
      </c>
      <c r="U425" s="42">
        <v>9.0</v>
      </c>
    </row>
    <row r="426">
      <c r="A426" s="43" t="s">
        <v>1090</v>
      </c>
      <c r="B426" s="47" t="s">
        <v>1091</v>
      </c>
      <c r="C426" s="43" t="s">
        <v>84</v>
      </c>
      <c r="D426" s="43">
        <v>2.0</v>
      </c>
      <c r="E426" s="43">
        <v>4.0</v>
      </c>
      <c r="F426" s="43">
        <f>IFERROR(__xludf.DUMMYFUNCTION("""COMPUTED_VALUE"""),0.0)</f>
        <v>0</v>
      </c>
      <c r="G426" s="43" t="s">
        <v>112</v>
      </c>
      <c r="H426" s="43" t="s">
        <v>119</v>
      </c>
      <c r="I426" s="43" t="s">
        <v>119</v>
      </c>
      <c r="J426" s="47" t="s">
        <v>115</v>
      </c>
      <c r="K426" s="38">
        <v>1.0</v>
      </c>
      <c r="L426" s="38">
        <v>1.0</v>
      </c>
      <c r="M426" s="38" t="str">
        <f>IFERROR(__xludf.DUMMYFUNCTION("""COMPUTED_VALUE"""),"Fast Moving / Consumable")</f>
        <v>Fast Moving / Consumable</v>
      </c>
      <c r="N426" s="38">
        <v>18.0</v>
      </c>
      <c r="O426" s="40">
        <v>45716.0</v>
      </c>
      <c r="P426" s="38" t="s">
        <v>126</v>
      </c>
      <c r="Q426" s="42">
        <v>0.0</v>
      </c>
      <c r="R426" s="42">
        <v>0.2727272727272727</v>
      </c>
      <c r="S426" s="38">
        <v>0.0</v>
      </c>
      <c r="T426" s="42">
        <v>0.0818181818181818</v>
      </c>
      <c r="U426" s="42">
        <v>0.0818181818181818</v>
      </c>
    </row>
    <row r="427">
      <c r="A427" s="43" t="s">
        <v>1092</v>
      </c>
      <c r="B427" s="47" t="s">
        <v>1093</v>
      </c>
      <c r="C427" s="43" t="s">
        <v>84</v>
      </c>
      <c r="D427" s="43">
        <v>2.0</v>
      </c>
      <c r="E427" s="43">
        <v>4.0</v>
      </c>
      <c r="F427" s="43">
        <f>IFERROR(__xludf.DUMMYFUNCTION("""COMPUTED_VALUE"""),1.0)</f>
        <v>1</v>
      </c>
      <c r="G427" s="43" t="s">
        <v>112</v>
      </c>
      <c r="H427" s="43" t="s">
        <v>113</v>
      </c>
      <c r="I427" s="43" t="s">
        <v>115</v>
      </c>
      <c r="J427" s="47" t="s">
        <v>115</v>
      </c>
      <c r="K427" s="38">
        <v>1.0</v>
      </c>
      <c r="L427" s="38">
        <v>4.0</v>
      </c>
      <c r="M427" s="38" t="str">
        <f>IFERROR(__xludf.DUMMYFUNCTION("""COMPUTED_VALUE"""),"Fast Moving / Consumable")</f>
        <v>Fast Moving / Consumable</v>
      </c>
      <c r="N427" s="38">
        <v>18.0</v>
      </c>
      <c r="O427" s="40">
        <v>46273.0</v>
      </c>
      <c r="P427" s="38" t="s">
        <v>126</v>
      </c>
      <c r="Q427" s="42">
        <v>4.0</v>
      </c>
      <c r="R427" s="42">
        <v>0.8181818181818181</v>
      </c>
      <c r="S427" s="38">
        <v>3.0</v>
      </c>
      <c r="T427" s="42">
        <v>3.0454545454545454</v>
      </c>
      <c r="U427" s="42">
        <v>3.0454545454545454</v>
      </c>
    </row>
    <row r="428">
      <c r="A428" s="43" t="s">
        <v>1094</v>
      </c>
      <c r="B428" s="47" t="s">
        <v>1095</v>
      </c>
      <c r="C428" s="43" t="s">
        <v>84</v>
      </c>
      <c r="D428" s="43">
        <v>2.0</v>
      </c>
      <c r="E428" s="43">
        <v>4.0</v>
      </c>
      <c r="F428" s="43">
        <f>IFERROR(__xludf.DUMMYFUNCTION("""COMPUTED_VALUE"""),3.0)</f>
        <v>3</v>
      </c>
      <c r="G428" s="43" t="s">
        <v>122</v>
      </c>
      <c r="H428" s="43" t="s">
        <v>113</v>
      </c>
      <c r="I428" s="43" t="s">
        <v>115</v>
      </c>
      <c r="J428" s="47" t="s">
        <v>115</v>
      </c>
      <c r="K428" s="38">
        <v>1.0</v>
      </c>
      <c r="L428" s="38">
        <v>3.0</v>
      </c>
      <c r="M428" s="38" t="str">
        <f>IFERROR(__xludf.DUMMYFUNCTION("""COMPUTED_VALUE"""),"Fast Moving / Consumable")</f>
        <v>Fast Moving / Consumable</v>
      </c>
      <c r="N428" s="38">
        <v>18.0</v>
      </c>
      <c r="O428" s="40">
        <v>46234.0</v>
      </c>
      <c r="P428" s="38" t="s">
        <v>126</v>
      </c>
      <c r="Q428" s="42">
        <v>3.0</v>
      </c>
      <c r="R428" s="42">
        <v>0.8181818181818181</v>
      </c>
      <c r="S428" s="38">
        <v>0.0</v>
      </c>
      <c r="T428" s="42">
        <v>2.3454545454545452</v>
      </c>
      <c r="U428" s="42">
        <v>2.3454545454545452</v>
      </c>
    </row>
    <row r="429">
      <c r="A429" s="43" t="s">
        <v>1096</v>
      </c>
      <c r="B429" s="47" t="s">
        <v>1097</v>
      </c>
      <c r="C429" s="43" t="s">
        <v>84</v>
      </c>
      <c r="D429" s="43">
        <v>2.0</v>
      </c>
      <c r="E429" s="43">
        <v>4.0</v>
      </c>
      <c r="F429" s="43">
        <f>IFERROR(__xludf.DUMMYFUNCTION("""COMPUTED_VALUE"""),0.0)</f>
        <v>0</v>
      </c>
      <c r="G429" s="43" t="s">
        <v>112</v>
      </c>
      <c r="H429" s="43" t="s">
        <v>119</v>
      </c>
      <c r="I429" s="43" t="s">
        <v>119</v>
      </c>
      <c r="J429" s="47" t="s">
        <v>115</v>
      </c>
      <c r="K429" s="38">
        <v>0.0</v>
      </c>
      <c r="L429" s="38">
        <v>0.0</v>
      </c>
      <c r="M429" s="38" t="str">
        <f>IFERROR(__xludf.DUMMYFUNCTION("""COMPUTED_VALUE"""),"Fast Moving / Consumable")</f>
        <v>Fast Moving / Consumable</v>
      </c>
      <c r="N429" s="38">
        <v>18.0</v>
      </c>
      <c r="O429" s="40">
        <v>0.0</v>
      </c>
      <c r="P429" s="38" t="s">
        <v>116</v>
      </c>
      <c r="Q429" s="42">
        <v>0.0</v>
      </c>
      <c r="R429" s="42">
        <v>0.0</v>
      </c>
      <c r="S429" s="38">
        <v>0.0</v>
      </c>
      <c r="T429" s="42">
        <v>0.0</v>
      </c>
      <c r="U429" s="42">
        <v>0.0</v>
      </c>
    </row>
    <row r="430">
      <c r="A430" s="43" t="s">
        <v>1098</v>
      </c>
      <c r="B430" s="47" t="s">
        <v>1099</v>
      </c>
      <c r="C430" s="43" t="s">
        <v>84</v>
      </c>
      <c r="D430" s="43">
        <v>2.0</v>
      </c>
      <c r="E430" s="43">
        <v>4.0</v>
      </c>
      <c r="F430" s="43">
        <f>IFERROR(__xludf.DUMMYFUNCTION("""COMPUTED_VALUE"""),4.0)</f>
        <v>4</v>
      </c>
      <c r="G430" s="43" t="s">
        <v>122</v>
      </c>
      <c r="H430" s="43" t="s">
        <v>113</v>
      </c>
      <c r="I430" s="43" t="s">
        <v>115</v>
      </c>
      <c r="J430" s="47" t="s">
        <v>115</v>
      </c>
      <c r="K430" s="38">
        <v>1.0</v>
      </c>
      <c r="L430" s="38">
        <v>4.0</v>
      </c>
      <c r="M430" s="38" t="str">
        <f>IFERROR(__xludf.DUMMYFUNCTION("""COMPUTED_VALUE"""),"Fast Moving / Consumable")</f>
        <v>Fast Moving / Consumable</v>
      </c>
      <c r="N430" s="38">
        <v>18.0</v>
      </c>
      <c r="O430" s="40">
        <v>46087.0</v>
      </c>
      <c r="P430" s="38" t="s">
        <v>126</v>
      </c>
      <c r="Q430" s="42">
        <v>4.0</v>
      </c>
      <c r="R430" s="42">
        <v>0.8181818181818181</v>
      </c>
      <c r="S430" s="38">
        <v>3.0</v>
      </c>
      <c r="T430" s="42">
        <v>3.0454545454545454</v>
      </c>
      <c r="U430" s="42">
        <v>3.0454545454545454</v>
      </c>
    </row>
    <row r="431">
      <c r="A431" s="43" t="s">
        <v>1100</v>
      </c>
      <c r="B431" s="47" t="s">
        <v>1101</v>
      </c>
      <c r="C431" s="43" t="s">
        <v>84</v>
      </c>
      <c r="D431" s="43">
        <v>1.0</v>
      </c>
      <c r="E431" s="43">
        <v>2.0</v>
      </c>
      <c r="F431" s="43">
        <f>IFERROR(__xludf.DUMMYFUNCTION("""COMPUTED_VALUE"""),2.0)</f>
        <v>2</v>
      </c>
      <c r="G431" s="43" t="s">
        <v>122</v>
      </c>
      <c r="H431" s="43" t="s">
        <v>113</v>
      </c>
      <c r="I431" s="43" t="s">
        <v>115</v>
      </c>
      <c r="J431" s="47" t="s">
        <v>115</v>
      </c>
      <c r="K431" s="38">
        <v>1.0</v>
      </c>
      <c r="L431" s="38">
        <v>2.0</v>
      </c>
      <c r="M431" s="38" t="str">
        <f>IFERROR(__xludf.DUMMYFUNCTION("""COMPUTED_VALUE"""),"Fast Moving / Consumable")</f>
        <v>Fast Moving / Consumable</v>
      </c>
      <c r="N431" s="38">
        <v>18.0</v>
      </c>
      <c r="O431" s="40">
        <v>46087.0</v>
      </c>
      <c r="P431" s="38" t="s">
        <v>126</v>
      </c>
      <c r="Q431" s="42">
        <v>0.0</v>
      </c>
      <c r="R431" s="42">
        <v>0.0</v>
      </c>
      <c r="S431" s="38">
        <v>2.0</v>
      </c>
      <c r="T431" s="42">
        <v>0.0</v>
      </c>
      <c r="U431" s="46">
        <v>2.0</v>
      </c>
    </row>
    <row r="432">
      <c r="A432" s="43" t="s">
        <v>1102</v>
      </c>
      <c r="B432" s="47" t="s">
        <v>1103</v>
      </c>
      <c r="C432" s="43" t="s">
        <v>84</v>
      </c>
      <c r="D432" s="43">
        <v>2.0</v>
      </c>
      <c r="E432" s="43">
        <v>4.0</v>
      </c>
      <c r="F432" s="43">
        <f>IFERROR(__xludf.DUMMYFUNCTION("""COMPUTED_VALUE"""),4.0)</f>
        <v>4</v>
      </c>
      <c r="G432" s="43" t="s">
        <v>122</v>
      </c>
      <c r="H432" s="43" t="s">
        <v>113</v>
      </c>
      <c r="I432" s="43" t="s">
        <v>115</v>
      </c>
      <c r="J432" s="47" t="s">
        <v>115</v>
      </c>
      <c r="K432" s="38">
        <v>1.0</v>
      </c>
      <c r="L432" s="38">
        <v>3.0</v>
      </c>
      <c r="M432" s="38" t="str">
        <f>IFERROR(__xludf.DUMMYFUNCTION("""COMPUTED_VALUE"""),"Fast Moving / Consumable")</f>
        <v>Fast Moving / Consumable</v>
      </c>
      <c r="N432" s="38">
        <v>18.0</v>
      </c>
      <c r="O432" s="40">
        <v>46087.0</v>
      </c>
      <c r="P432" s="38" t="s">
        <v>126</v>
      </c>
      <c r="Q432" s="42">
        <v>1.0</v>
      </c>
      <c r="R432" s="42">
        <v>0.2727272727272727</v>
      </c>
      <c r="S432" s="38">
        <v>3.0</v>
      </c>
      <c r="T432" s="42">
        <v>0.7818181818181817</v>
      </c>
      <c r="U432" s="46">
        <v>3.0</v>
      </c>
    </row>
    <row r="433">
      <c r="A433" s="43" t="s">
        <v>1104</v>
      </c>
      <c r="B433" s="47" t="s">
        <v>1105</v>
      </c>
      <c r="C433" s="43" t="s">
        <v>84</v>
      </c>
      <c r="D433" s="43">
        <v>2.0</v>
      </c>
      <c r="E433" s="43">
        <v>4.0</v>
      </c>
      <c r="F433" s="43">
        <f>IFERROR(__xludf.DUMMYFUNCTION("""COMPUTED_VALUE"""),4.0)</f>
        <v>4</v>
      </c>
      <c r="G433" s="43" t="s">
        <v>122</v>
      </c>
      <c r="H433" s="43" t="s">
        <v>113</v>
      </c>
      <c r="I433" s="43" t="s">
        <v>115</v>
      </c>
      <c r="J433" s="47" t="s">
        <v>115</v>
      </c>
      <c r="K433" s="38">
        <v>0.0</v>
      </c>
      <c r="L433" s="38">
        <v>0.0</v>
      </c>
      <c r="M433" s="38" t="str">
        <f>IFERROR(__xludf.DUMMYFUNCTION("""COMPUTED_VALUE"""),"Fast Moving / Consumable")</f>
        <v>Fast Moving / Consumable</v>
      </c>
      <c r="N433" s="38">
        <v>18.0</v>
      </c>
      <c r="O433" s="40">
        <v>45695.0</v>
      </c>
      <c r="P433" s="38" t="s">
        <v>116</v>
      </c>
      <c r="Q433" s="42">
        <v>1.0</v>
      </c>
      <c r="R433" s="42">
        <v>0.0</v>
      </c>
      <c r="S433" s="38">
        <v>0.0</v>
      </c>
      <c r="T433" s="42">
        <v>1.0</v>
      </c>
      <c r="U433" s="42">
        <v>1.0</v>
      </c>
    </row>
    <row r="434">
      <c r="A434" s="43" t="s">
        <v>1107</v>
      </c>
      <c r="B434" s="47" t="s">
        <v>1108</v>
      </c>
      <c r="C434" s="43" t="s">
        <v>84</v>
      </c>
      <c r="D434" s="43">
        <v>2.0</v>
      </c>
      <c r="E434" s="43">
        <v>4.0</v>
      </c>
      <c r="F434" s="43">
        <f>IFERROR(__xludf.DUMMYFUNCTION("""COMPUTED_VALUE"""),4.0)</f>
        <v>4</v>
      </c>
      <c r="G434" s="43" t="s">
        <v>122</v>
      </c>
      <c r="H434" s="43" t="s">
        <v>113</v>
      </c>
      <c r="I434" s="43" t="s">
        <v>115</v>
      </c>
      <c r="J434" s="47" t="s">
        <v>115</v>
      </c>
      <c r="K434" s="38">
        <v>1.0</v>
      </c>
      <c r="L434" s="38">
        <v>4.0</v>
      </c>
      <c r="M434" s="38" t="str">
        <f>IFERROR(__xludf.DUMMYFUNCTION("""COMPUTED_VALUE"""),"Fast Moving / Consumable")</f>
        <v>Fast Moving / Consumable</v>
      </c>
      <c r="N434" s="38">
        <v>18.0</v>
      </c>
      <c r="O434" s="40">
        <v>46087.0</v>
      </c>
      <c r="P434" s="38" t="s">
        <v>126</v>
      </c>
      <c r="Q434" s="42">
        <v>1.0</v>
      </c>
      <c r="R434" s="42">
        <v>0.0</v>
      </c>
      <c r="S434" s="38">
        <v>4.0</v>
      </c>
      <c r="T434" s="42">
        <v>1.0</v>
      </c>
      <c r="U434" s="46">
        <v>4.0</v>
      </c>
    </row>
    <row r="435">
      <c r="A435" s="43" t="s">
        <v>1109</v>
      </c>
      <c r="B435" s="47" t="s">
        <v>1110</v>
      </c>
      <c r="C435" s="43" t="s">
        <v>84</v>
      </c>
      <c r="D435" s="43">
        <v>5.0</v>
      </c>
      <c r="E435" s="43">
        <v>10.0</v>
      </c>
      <c r="F435" s="43">
        <f>IFERROR(__xludf.DUMMYFUNCTION("""COMPUTED_VALUE"""),10.0)</f>
        <v>10</v>
      </c>
      <c r="G435" s="43" t="s">
        <v>122</v>
      </c>
      <c r="H435" s="43" t="s">
        <v>113</v>
      </c>
      <c r="I435" s="43" t="s">
        <v>115</v>
      </c>
      <c r="J435" s="47" t="s">
        <v>115</v>
      </c>
      <c r="K435" s="38">
        <v>1.0</v>
      </c>
      <c r="L435" s="38">
        <v>7.0</v>
      </c>
      <c r="M435" s="38" t="str">
        <f>IFERROR(__xludf.DUMMYFUNCTION("""COMPUTED_VALUE"""),"Fast Moving / Consumable")</f>
        <v>Fast Moving / Consumable</v>
      </c>
      <c r="N435" s="38">
        <v>18.0</v>
      </c>
      <c r="O435" s="40">
        <v>46087.0</v>
      </c>
      <c r="P435" s="38" t="s">
        <v>126</v>
      </c>
      <c r="Q435" s="42">
        <v>7.0</v>
      </c>
      <c r="R435" s="42">
        <v>0.0</v>
      </c>
      <c r="S435" s="38">
        <v>6.0</v>
      </c>
      <c r="T435" s="42">
        <v>7.0</v>
      </c>
      <c r="U435" s="42">
        <v>7.0</v>
      </c>
    </row>
    <row r="436">
      <c r="A436" s="43" t="s">
        <v>1111</v>
      </c>
      <c r="B436" s="47" t="s">
        <v>1112</v>
      </c>
      <c r="C436" s="43" t="s">
        <v>84</v>
      </c>
      <c r="D436" s="43">
        <v>2.0</v>
      </c>
      <c r="E436" s="43">
        <v>4.0</v>
      </c>
      <c r="F436" s="43">
        <f>IFERROR(__xludf.DUMMYFUNCTION("""COMPUTED_VALUE"""),4.0)</f>
        <v>4</v>
      </c>
      <c r="G436" s="43" t="s">
        <v>122</v>
      </c>
      <c r="H436" s="43" t="s">
        <v>113</v>
      </c>
      <c r="I436" s="43" t="s">
        <v>115</v>
      </c>
      <c r="J436" s="47" t="s">
        <v>115</v>
      </c>
      <c r="K436" s="38">
        <v>1.0</v>
      </c>
      <c r="L436" s="38">
        <v>4.0</v>
      </c>
      <c r="M436" s="38" t="str">
        <f>IFERROR(__xludf.DUMMYFUNCTION("""COMPUTED_VALUE"""),"Fast Moving / Consumable")</f>
        <v>Fast Moving / Consumable</v>
      </c>
      <c r="N436" s="38">
        <v>18.0</v>
      </c>
      <c r="O436" s="40">
        <v>46087.0</v>
      </c>
      <c r="P436" s="38" t="s">
        <v>126</v>
      </c>
      <c r="Q436" s="42">
        <v>4.0</v>
      </c>
      <c r="R436" s="42">
        <v>0.0</v>
      </c>
      <c r="S436" s="38">
        <v>4.0</v>
      </c>
      <c r="T436" s="42">
        <v>4.0</v>
      </c>
      <c r="U436" s="42">
        <v>4.0</v>
      </c>
    </row>
    <row r="437">
      <c r="A437" s="43" t="s">
        <v>1113</v>
      </c>
      <c r="B437" s="47" t="s">
        <v>1114</v>
      </c>
      <c r="C437" s="43" t="s">
        <v>84</v>
      </c>
      <c r="D437" s="43">
        <v>2.0</v>
      </c>
      <c r="E437" s="43">
        <v>4.0</v>
      </c>
      <c r="F437" s="43">
        <f>IFERROR(__xludf.DUMMYFUNCTION("""COMPUTED_VALUE"""),0.0)</f>
        <v>0</v>
      </c>
      <c r="G437" s="43" t="s">
        <v>112</v>
      </c>
      <c r="H437" s="43" t="s">
        <v>119</v>
      </c>
      <c r="I437" s="43" t="s">
        <v>119</v>
      </c>
      <c r="J437" s="47" t="s">
        <v>115</v>
      </c>
      <c r="K437" s="38">
        <v>0.0</v>
      </c>
      <c r="L437" s="38">
        <v>0.0</v>
      </c>
      <c r="M437" s="38" t="str">
        <f>IFERROR(__xludf.DUMMYFUNCTION("""COMPUTED_VALUE"""),"Fast Moving / Consumable")</f>
        <v>Fast Moving / Consumable</v>
      </c>
      <c r="N437" s="38">
        <v>18.0</v>
      </c>
      <c r="O437" s="40">
        <v>0.0</v>
      </c>
      <c r="P437" s="38" t="s">
        <v>116</v>
      </c>
      <c r="Q437" s="42">
        <v>0.0</v>
      </c>
      <c r="R437" s="42">
        <v>0.0</v>
      </c>
      <c r="S437" s="38">
        <v>0.0</v>
      </c>
      <c r="T437" s="42">
        <v>0.0</v>
      </c>
      <c r="U437" s="42">
        <v>0.0</v>
      </c>
    </row>
    <row r="438">
      <c r="A438" s="43" t="s">
        <v>1115</v>
      </c>
      <c r="B438" s="47" t="s">
        <v>1116</v>
      </c>
      <c r="C438" s="43" t="s">
        <v>84</v>
      </c>
      <c r="D438" s="43">
        <v>2.0</v>
      </c>
      <c r="E438" s="43">
        <v>4.0</v>
      </c>
      <c r="F438" s="43">
        <f>IFERROR(__xludf.DUMMYFUNCTION("""COMPUTED_VALUE"""),0.0)</f>
        <v>0</v>
      </c>
      <c r="G438" s="43" t="s">
        <v>112</v>
      </c>
      <c r="H438" s="43" t="s">
        <v>113</v>
      </c>
      <c r="I438" s="43" t="s">
        <v>115</v>
      </c>
      <c r="J438" s="47" t="s">
        <v>115</v>
      </c>
      <c r="K438" s="38">
        <v>3.0</v>
      </c>
      <c r="L438" s="38">
        <v>24.0</v>
      </c>
      <c r="M438" s="38" t="str">
        <f>IFERROR(__xludf.DUMMYFUNCTION("""COMPUTED_VALUE"""),"Fast Moving / Consumable")</f>
        <v>Fast Moving / Consumable</v>
      </c>
      <c r="N438" s="38">
        <v>18.0</v>
      </c>
      <c r="O438" s="40">
        <v>46204.0</v>
      </c>
      <c r="P438" s="38" t="s">
        <v>126</v>
      </c>
      <c r="Q438" s="42">
        <v>24.0</v>
      </c>
      <c r="R438" s="42">
        <v>0.0</v>
      </c>
      <c r="S438" s="38">
        <v>4.0</v>
      </c>
      <c r="T438" s="42">
        <v>24.0</v>
      </c>
      <c r="U438" s="42">
        <v>24.0</v>
      </c>
    </row>
    <row r="439">
      <c r="A439" s="43" t="s">
        <v>1117</v>
      </c>
      <c r="B439" s="47" t="s">
        <v>1118</v>
      </c>
      <c r="C439" s="43" t="s">
        <v>84</v>
      </c>
      <c r="D439" s="43">
        <v>10.0</v>
      </c>
      <c r="E439" s="43">
        <v>30.0</v>
      </c>
      <c r="F439" s="43">
        <f>IFERROR(__xludf.DUMMYFUNCTION("""COMPUTED_VALUE"""),19.0)</f>
        <v>19</v>
      </c>
      <c r="G439" s="43" t="s">
        <v>122</v>
      </c>
      <c r="H439" s="43" t="s">
        <v>113</v>
      </c>
      <c r="I439" s="43" t="s">
        <v>115</v>
      </c>
      <c r="J439" s="47" t="s">
        <v>115</v>
      </c>
      <c r="K439" s="38">
        <v>1.0</v>
      </c>
      <c r="L439" s="38">
        <v>5.0</v>
      </c>
      <c r="M439" s="38" t="str">
        <f>IFERROR(__xludf.DUMMYFUNCTION("""COMPUTED_VALUE"""),"Fast Moving / Consumable")</f>
        <v>Fast Moving / Consumable</v>
      </c>
      <c r="N439" s="38">
        <v>18.0</v>
      </c>
      <c r="O439" s="40">
        <v>46022.0</v>
      </c>
      <c r="P439" s="38" t="s">
        <v>126</v>
      </c>
      <c r="Q439" s="42">
        <v>6.0</v>
      </c>
      <c r="R439" s="42">
        <v>0.2727272727272727</v>
      </c>
      <c r="S439" s="38">
        <v>0.0</v>
      </c>
      <c r="T439" s="42">
        <v>4.281818181818181</v>
      </c>
      <c r="U439" s="42">
        <v>4.281818181818181</v>
      </c>
    </row>
    <row r="440">
      <c r="A440" s="43" t="s">
        <v>1119</v>
      </c>
      <c r="B440" s="47" t="s">
        <v>1120</v>
      </c>
      <c r="C440" s="43" t="s">
        <v>84</v>
      </c>
      <c r="D440" s="43">
        <v>10.0</v>
      </c>
      <c r="E440" s="43">
        <v>30.0</v>
      </c>
      <c r="F440" s="43">
        <f>IFERROR(__xludf.DUMMYFUNCTION("""COMPUTED_VALUE"""),30.0)</f>
        <v>30</v>
      </c>
      <c r="G440" s="43" t="s">
        <v>122</v>
      </c>
      <c r="H440" s="43" t="s">
        <v>113</v>
      </c>
      <c r="I440" s="43" t="s">
        <v>115</v>
      </c>
      <c r="J440" s="47" t="s">
        <v>115</v>
      </c>
      <c r="K440" s="38">
        <v>0.0</v>
      </c>
      <c r="L440" s="38">
        <v>0.0</v>
      </c>
      <c r="M440" s="38" t="str">
        <f>IFERROR(__xludf.DUMMYFUNCTION("""COMPUTED_VALUE"""),"Fast Moving / Consumable")</f>
        <v>Fast Moving / Consumable</v>
      </c>
      <c r="N440" s="38">
        <v>18.0</v>
      </c>
      <c r="O440" s="40">
        <v>45443.0</v>
      </c>
      <c r="P440" s="38" t="s">
        <v>116</v>
      </c>
      <c r="Q440" s="42">
        <v>10.0</v>
      </c>
      <c r="R440" s="42">
        <v>3.0</v>
      </c>
      <c r="S440" s="38">
        <v>0.0</v>
      </c>
      <c r="T440" s="42">
        <v>7.9</v>
      </c>
      <c r="U440" s="42">
        <v>7.9</v>
      </c>
    </row>
    <row r="441">
      <c r="A441" s="43" t="s">
        <v>1121</v>
      </c>
      <c r="B441" s="47" t="s">
        <v>1122</v>
      </c>
      <c r="C441" s="43" t="s">
        <v>84</v>
      </c>
      <c r="D441" s="43">
        <v>2.0</v>
      </c>
      <c r="E441" s="43">
        <v>4.0</v>
      </c>
      <c r="F441" s="43">
        <f>IFERROR(__xludf.DUMMYFUNCTION("""COMPUTED_VALUE"""),7.0)</f>
        <v>7</v>
      </c>
      <c r="G441" s="43" t="s">
        <v>122</v>
      </c>
      <c r="H441" s="43" t="s">
        <v>113</v>
      </c>
      <c r="I441" s="43" t="s">
        <v>115</v>
      </c>
      <c r="J441" s="47" t="s">
        <v>115</v>
      </c>
      <c r="K441" s="38">
        <v>1.0</v>
      </c>
      <c r="L441" s="38">
        <v>2.0</v>
      </c>
      <c r="M441" s="38" t="str">
        <f>IFERROR(__xludf.DUMMYFUNCTION("""COMPUTED_VALUE"""),"Fast Moving / Consumable")</f>
        <v>Fast Moving / Consumable</v>
      </c>
      <c r="N441" s="38">
        <v>18.0</v>
      </c>
      <c r="O441" s="40">
        <v>45737.0</v>
      </c>
      <c r="P441" s="38" t="s">
        <v>126</v>
      </c>
      <c r="Q441" s="42">
        <v>2.0</v>
      </c>
      <c r="R441" s="42">
        <v>0.0</v>
      </c>
      <c r="S441" s="38">
        <v>0.0</v>
      </c>
      <c r="T441" s="42">
        <v>2.0</v>
      </c>
      <c r="U441" s="42">
        <v>2.0</v>
      </c>
    </row>
    <row r="442">
      <c r="A442" s="43" t="s">
        <v>1123</v>
      </c>
      <c r="B442" s="47" t="s">
        <v>1124</v>
      </c>
      <c r="C442" s="43" t="s">
        <v>84</v>
      </c>
      <c r="D442" s="43">
        <v>2.0</v>
      </c>
      <c r="E442" s="43">
        <v>5.0</v>
      </c>
      <c r="F442" s="43">
        <f>IFERROR(__xludf.DUMMYFUNCTION("""COMPUTED_VALUE"""),15.0)</f>
        <v>15</v>
      </c>
      <c r="G442" s="43" t="s">
        <v>122</v>
      </c>
      <c r="H442" s="43" t="s">
        <v>113</v>
      </c>
      <c r="I442" s="43" t="s">
        <v>115</v>
      </c>
      <c r="J442" s="47" t="s">
        <v>115</v>
      </c>
      <c r="K442" s="38">
        <v>1.0</v>
      </c>
      <c r="L442" s="38">
        <v>8.0</v>
      </c>
      <c r="M442" s="38" t="str">
        <f>IFERROR(__xludf.DUMMYFUNCTION("""COMPUTED_VALUE"""),"Fast Moving / Consumable")</f>
        <v>Fast Moving / Consumable</v>
      </c>
      <c r="N442" s="38">
        <v>18.0</v>
      </c>
      <c r="O442" s="40">
        <v>46260.0</v>
      </c>
      <c r="P442" s="38" t="s">
        <v>126</v>
      </c>
      <c r="Q442" s="42">
        <v>11.0</v>
      </c>
      <c r="R442" s="42">
        <v>0.2727272727272727</v>
      </c>
      <c r="S442" s="38">
        <v>0.0</v>
      </c>
      <c r="T442" s="42">
        <v>7.781818181818181</v>
      </c>
      <c r="U442" s="42">
        <v>7.781818181818181</v>
      </c>
    </row>
    <row r="443">
      <c r="A443" s="43" t="s">
        <v>1125</v>
      </c>
      <c r="B443" s="47" t="s">
        <v>1126</v>
      </c>
      <c r="C443" s="43" t="s">
        <v>84</v>
      </c>
      <c r="D443" s="43">
        <v>2.0</v>
      </c>
      <c r="E443" s="43">
        <v>5.0</v>
      </c>
      <c r="F443" s="43">
        <f>IFERROR(__xludf.DUMMYFUNCTION("""COMPUTED_VALUE"""),6.0)</f>
        <v>6</v>
      </c>
      <c r="G443" s="43" t="s">
        <v>122</v>
      </c>
      <c r="H443" s="43" t="s">
        <v>113</v>
      </c>
      <c r="I443" s="43" t="s">
        <v>115</v>
      </c>
      <c r="J443" s="47" t="s">
        <v>115</v>
      </c>
      <c r="K443" s="38">
        <v>1.0</v>
      </c>
      <c r="L443" s="38">
        <v>5.0</v>
      </c>
      <c r="M443" s="38" t="str">
        <f>IFERROR(__xludf.DUMMYFUNCTION("""COMPUTED_VALUE"""),"Fast Moving / Consumable")</f>
        <v>Fast Moving / Consumable</v>
      </c>
      <c r="N443" s="38">
        <v>18.0</v>
      </c>
      <c r="O443" s="40">
        <v>45770.0</v>
      </c>
      <c r="P443" s="38" t="s">
        <v>126</v>
      </c>
      <c r="Q443" s="42">
        <v>5.0</v>
      </c>
      <c r="R443" s="42">
        <v>0.0</v>
      </c>
      <c r="S443" s="38">
        <v>0.0</v>
      </c>
      <c r="T443" s="42">
        <v>5.0</v>
      </c>
      <c r="U443" s="42">
        <v>5.0</v>
      </c>
    </row>
    <row r="444">
      <c r="A444" s="43" t="s">
        <v>1127</v>
      </c>
      <c r="B444" s="47" t="s">
        <v>1128</v>
      </c>
      <c r="C444" s="43" t="s">
        <v>84</v>
      </c>
      <c r="D444" s="43">
        <v>5.0</v>
      </c>
      <c r="E444" s="43">
        <v>10.0</v>
      </c>
      <c r="F444" s="43">
        <f>IFERROR(__xludf.DUMMYFUNCTION("""COMPUTED_VALUE"""),2.0)</f>
        <v>2</v>
      </c>
      <c r="G444" s="43" t="s">
        <v>112</v>
      </c>
      <c r="H444" s="43" t="s">
        <v>113</v>
      </c>
      <c r="I444" s="43" t="s">
        <v>115</v>
      </c>
      <c r="J444" s="47" t="s">
        <v>115</v>
      </c>
      <c r="K444" s="38">
        <v>1.0</v>
      </c>
      <c r="L444" s="38">
        <v>8.0</v>
      </c>
      <c r="M444" s="38" t="str">
        <f>IFERROR(__xludf.DUMMYFUNCTION("""COMPUTED_VALUE"""),"General Sparepart")</f>
        <v>General Sparepart</v>
      </c>
      <c r="N444" s="38">
        <v>24.0</v>
      </c>
      <c r="O444" s="40">
        <v>46204.0</v>
      </c>
      <c r="P444" s="38" t="s">
        <v>126</v>
      </c>
      <c r="Q444" s="42">
        <v>4.0</v>
      </c>
      <c r="R444" s="42">
        <v>2.1818181818181817</v>
      </c>
      <c r="S444" s="38">
        <v>8.0</v>
      </c>
      <c r="T444" s="42">
        <v>3.454545454545454</v>
      </c>
      <c r="U444" s="46">
        <v>8.0</v>
      </c>
    </row>
    <row r="445">
      <c r="A445" s="43" t="s">
        <v>1129</v>
      </c>
      <c r="B445" s="47" t="s">
        <v>1130</v>
      </c>
      <c r="C445" s="43" t="s">
        <v>84</v>
      </c>
      <c r="D445" s="43">
        <v>3.0</v>
      </c>
      <c r="E445" s="43">
        <v>5.0</v>
      </c>
      <c r="F445" s="43">
        <f>IFERROR(__xludf.DUMMYFUNCTION("""COMPUTED_VALUE"""),1.0)</f>
        <v>1</v>
      </c>
      <c r="G445" s="43" t="s">
        <v>112</v>
      </c>
      <c r="H445" s="43" t="s">
        <v>119</v>
      </c>
      <c r="I445" s="43" t="s">
        <v>141</v>
      </c>
      <c r="J445" s="47" t="s">
        <v>1131</v>
      </c>
      <c r="K445" s="38">
        <v>0.0</v>
      </c>
      <c r="L445" s="38">
        <v>0.0</v>
      </c>
      <c r="M445" s="38" t="str">
        <f>IFERROR(__xludf.DUMMYFUNCTION("""COMPUTED_VALUE"""),"Fast Moving / Consumable")</f>
        <v>Fast Moving / Consumable</v>
      </c>
      <c r="N445" s="38">
        <v>18.0</v>
      </c>
      <c r="O445" s="40">
        <v>44574.0</v>
      </c>
      <c r="P445" s="38" t="s">
        <v>116</v>
      </c>
      <c r="Q445" s="42">
        <v>2.0</v>
      </c>
      <c r="R445" s="42">
        <v>0.0</v>
      </c>
      <c r="S445" s="38">
        <v>0.0</v>
      </c>
      <c r="T445" s="42">
        <v>2.0</v>
      </c>
      <c r="U445" s="42">
        <v>2.0</v>
      </c>
    </row>
    <row r="446">
      <c r="A446" s="43" t="s">
        <v>1132</v>
      </c>
      <c r="B446" s="47" t="s">
        <v>1133</v>
      </c>
      <c r="C446" s="43" t="s">
        <v>84</v>
      </c>
      <c r="D446" s="43">
        <v>1.0</v>
      </c>
      <c r="E446" s="43">
        <v>3.0</v>
      </c>
      <c r="F446" s="43">
        <f>IFERROR(__xludf.DUMMYFUNCTION("""COMPUTED_VALUE"""),6.0)</f>
        <v>6</v>
      </c>
      <c r="G446" s="43" t="s">
        <v>122</v>
      </c>
      <c r="H446" s="43" t="s">
        <v>113</v>
      </c>
      <c r="I446" s="43" t="s">
        <v>115</v>
      </c>
      <c r="J446" s="47" t="s">
        <v>115</v>
      </c>
      <c r="K446" s="38">
        <v>1.0</v>
      </c>
      <c r="L446" s="38">
        <v>6.0</v>
      </c>
      <c r="M446" s="38" t="str">
        <f>IFERROR(__xludf.DUMMYFUNCTION("""COMPUTED_VALUE"""),"Fast Moving / Consumable")</f>
        <v>Fast Moving / Consumable</v>
      </c>
      <c r="N446" s="38">
        <v>18.0</v>
      </c>
      <c r="O446" s="40">
        <v>46086.0</v>
      </c>
      <c r="P446" s="38" t="s">
        <v>126</v>
      </c>
      <c r="Q446" s="42">
        <v>7.0</v>
      </c>
      <c r="R446" s="42">
        <v>3.2727272727272725</v>
      </c>
      <c r="S446" s="38">
        <v>3.0</v>
      </c>
      <c r="T446" s="42">
        <v>5.881818181818181</v>
      </c>
      <c r="U446" s="42">
        <v>5.881818181818181</v>
      </c>
    </row>
    <row r="447">
      <c r="A447" s="43" t="s">
        <v>1134</v>
      </c>
      <c r="B447" s="47" t="s">
        <v>1135</v>
      </c>
      <c r="C447" s="43" t="s">
        <v>84</v>
      </c>
      <c r="D447" s="43">
        <v>2.0</v>
      </c>
      <c r="E447" s="43">
        <v>5.0</v>
      </c>
      <c r="F447" s="43">
        <f>IFERROR(__xludf.DUMMYFUNCTION("""COMPUTED_VALUE"""),5.0)</f>
        <v>5</v>
      </c>
      <c r="G447" s="43" t="s">
        <v>122</v>
      </c>
      <c r="H447" s="43" t="s">
        <v>113</v>
      </c>
      <c r="I447" s="43" t="s">
        <v>115</v>
      </c>
      <c r="J447" s="47" t="s">
        <v>115</v>
      </c>
      <c r="K447" s="38">
        <v>1.0</v>
      </c>
      <c r="L447" s="38">
        <v>5.0</v>
      </c>
      <c r="M447" s="38" t="str">
        <f>IFERROR(__xludf.DUMMYFUNCTION("""COMPUTED_VALUE"""),"Fast Moving / Consumable")</f>
        <v>Fast Moving / Consumable</v>
      </c>
      <c r="N447" s="38">
        <v>18.0</v>
      </c>
      <c r="O447" s="40">
        <v>46087.0</v>
      </c>
      <c r="P447" s="38" t="s">
        <v>126</v>
      </c>
      <c r="Q447" s="42">
        <v>2.0</v>
      </c>
      <c r="R447" s="42">
        <v>0.8181818181818181</v>
      </c>
      <c r="S447" s="38">
        <v>5.0</v>
      </c>
      <c r="T447" s="42">
        <v>1.6454545454545453</v>
      </c>
      <c r="U447" s="46">
        <v>5.0</v>
      </c>
    </row>
    <row r="448">
      <c r="A448" s="43" t="s">
        <v>1137</v>
      </c>
      <c r="B448" s="47" t="s">
        <v>1138</v>
      </c>
      <c r="C448" s="43" t="s">
        <v>84</v>
      </c>
      <c r="D448" s="43">
        <v>2.0</v>
      </c>
      <c r="E448" s="43">
        <v>5.0</v>
      </c>
      <c r="F448" s="43">
        <f>IFERROR(__xludf.DUMMYFUNCTION("""COMPUTED_VALUE"""),12.0)</f>
        <v>12</v>
      </c>
      <c r="G448" s="43" t="s">
        <v>122</v>
      </c>
      <c r="H448" s="43" t="s">
        <v>113</v>
      </c>
      <c r="I448" s="43" t="s">
        <v>115</v>
      </c>
      <c r="J448" s="47" t="s">
        <v>115</v>
      </c>
      <c r="K448" s="38">
        <v>1.0</v>
      </c>
      <c r="L448" s="38">
        <v>3.0</v>
      </c>
      <c r="M448" s="38" t="str">
        <f>IFERROR(__xludf.DUMMYFUNCTION("""COMPUTED_VALUE"""),"Fast Moving / Consumable")</f>
        <v>Fast Moving / Consumable</v>
      </c>
      <c r="N448" s="38">
        <v>18.0</v>
      </c>
      <c r="O448" s="40">
        <v>46260.0</v>
      </c>
      <c r="P448" s="38" t="s">
        <v>126</v>
      </c>
      <c r="Q448" s="42">
        <v>3.0</v>
      </c>
      <c r="R448" s="42">
        <v>2.4545454545454546</v>
      </c>
      <c r="S448" s="38">
        <v>0.0</v>
      </c>
      <c r="T448" s="42">
        <v>2.836363636363636</v>
      </c>
      <c r="U448" s="42">
        <v>2.836363636363636</v>
      </c>
    </row>
    <row r="449">
      <c r="A449" s="43" t="s">
        <v>1139</v>
      </c>
      <c r="B449" s="47" t="s">
        <v>1140</v>
      </c>
      <c r="C449" s="43" t="s">
        <v>84</v>
      </c>
      <c r="D449" s="43">
        <v>2.0</v>
      </c>
      <c r="E449" s="43">
        <v>5.0</v>
      </c>
      <c r="F449" s="43">
        <f>IFERROR(__xludf.DUMMYFUNCTION("""COMPUTED_VALUE"""),14.0)</f>
        <v>14</v>
      </c>
      <c r="G449" s="43" t="s">
        <v>122</v>
      </c>
      <c r="H449" s="43" t="s">
        <v>113</v>
      </c>
      <c r="I449" s="43" t="s">
        <v>115</v>
      </c>
      <c r="J449" s="47" t="s">
        <v>115</v>
      </c>
      <c r="K449" s="38">
        <v>1.0</v>
      </c>
      <c r="L449" s="38">
        <v>3.0</v>
      </c>
      <c r="M449" s="38" t="str">
        <f>IFERROR(__xludf.DUMMYFUNCTION("""COMPUTED_VALUE"""),"Fast Moving / Consumable")</f>
        <v>Fast Moving / Consumable</v>
      </c>
      <c r="N449" s="38">
        <v>18.0</v>
      </c>
      <c r="O449" s="40">
        <v>46203.0</v>
      </c>
      <c r="P449" s="38" t="s">
        <v>126</v>
      </c>
      <c r="Q449" s="42">
        <v>3.0</v>
      </c>
      <c r="R449" s="42">
        <v>0.2727272727272727</v>
      </c>
      <c r="S449" s="38">
        <v>0.0</v>
      </c>
      <c r="T449" s="42">
        <v>2.1818181818181817</v>
      </c>
      <c r="U449" s="42">
        <v>2.1818181818181817</v>
      </c>
    </row>
    <row r="450">
      <c r="A450" s="43" t="s">
        <v>1141</v>
      </c>
      <c r="B450" s="47" t="s">
        <v>1142</v>
      </c>
      <c r="C450" s="43" t="s">
        <v>84</v>
      </c>
      <c r="D450" s="43">
        <v>2.0</v>
      </c>
      <c r="E450" s="43">
        <v>5.0</v>
      </c>
      <c r="F450" s="43">
        <f>IFERROR(__xludf.DUMMYFUNCTION("""COMPUTED_VALUE"""),5.0)</f>
        <v>5</v>
      </c>
      <c r="G450" s="43" t="s">
        <v>122</v>
      </c>
      <c r="H450" s="43" t="s">
        <v>113</v>
      </c>
      <c r="I450" s="43" t="s">
        <v>115</v>
      </c>
      <c r="J450" s="47" t="s">
        <v>115</v>
      </c>
      <c r="K450" s="38">
        <v>0.0</v>
      </c>
      <c r="L450" s="38">
        <v>0.0</v>
      </c>
      <c r="M450" s="38" t="str">
        <f>IFERROR(__xludf.DUMMYFUNCTION("""COMPUTED_VALUE"""),"Fast Moving / Consumable")</f>
        <v>Fast Moving / Consumable</v>
      </c>
      <c r="N450" s="38">
        <v>18.0</v>
      </c>
      <c r="O450" s="40">
        <v>45698.0</v>
      </c>
      <c r="P450" s="38" t="s">
        <v>116</v>
      </c>
      <c r="Q450" s="42">
        <v>1.0</v>
      </c>
      <c r="R450" s="42">
        <v>0.0</v>
      </c>
      <c r="S450" s="38">
        <v>0.0</v>
      </c>
      <c r="T450" s="42">
        <v>1.0</v>
      </c>
      <c r="U450" s="42">
        <v>1.0</v>
      </c>
    </row>
    <row r="451">
      <c r="A451" s="43" t="s">
        <v>1143</v>
      </c>
      <c r="B451" s="47" t="s">
        <v>1144</v>
      </c>
      <c r="C451" s="43" t="s">
        <v>84</v>
      </c>
      <c r="D451" s="43">
        <v>10.0</v>
      </c>
      <c r="E451" s="43">
        <v>30.0</v>
      </c>
      <c r="F451" s="43">
        <f>IFERROR(__xludf.DUMMYFUNCTION("""COMPUTED_VALUE"""),34.0)</f>
        <v>34</v>
      </c>
      <c r="G451" s="43" t="s">
        <v>122</v>
      </c>
      <c r="H451" s="43" t="s">
        <v>113</v>
      </c>
      <c r="I451" s="43" t="s">
        <v>115</v>
      </c>
      <c r="J451" s="47" t="s">
        <v>115</v>
      </c>
      <c r="K451" s="38">
        <v>3.0</v>
      </c>
      <c r="L451" s="38">
        <v>20.0</v>
      </c>
      <c r="M451" s="38" t="str">
        <f>IFERROR(__xludf.DUMMYFUNCTION("""COMPUTED_VALUE"""),"Fast Moving / Consumable")</f>
        <v>Fast Moving / Consumable</v>
      </c>
      <c r="N451" s="38">
        <v>18.0</v>
      </c>
      <c r="O451" s="40">
        <v>46020.0</v>
      </c>
      <c r="P451" s="38" t="s">
        <v>126</v>
      </c>
      <c r="Q451" s="42">
        <v>11.0</v>
      </c>
      <c r="R451" s="42">
        <v>1.3636363636363635</v>
      </c>
      <c r="S451" s="38">
        <v>20.0</v>
      </c>
      <c r="T451" s="42">
        <v>8.109090909090908</v>
      </c>
      <c r="U451" s="46">
        <v>20.0</v>
      </c>
    </row>
    <row r="452">
      <c r="A452" s="43" t="s">
        <v>1145</v>
      </c>
      <c r="B452" s="47" t="s">
        <v>1146</v>
      </c>
      <c r="C452" s="43" t="s">
        <v>84</v>
      </c>
      <c r="D452" s="43">
        <v>10.0</v>
      </c>
      <c r="E452" s="43">
        <v>30.0</v>
      </c>
      <c r="F452" s="43">
        <f>IFERROR(__xludf.DUMMYFUNCTION("""COMPUTED_VALUE"""),9.0)</f>
        <v>9</v>
      </c>
      <c r="G452" s="43" t="s">
        <v>112</v>
      </c>
      <c r="H452" s="43" t="s">
        <v>113</v>
      </c>
      <c r="I452" s="43" t="s">
        <v>115</v>
      </c>
      <c r="J452" s="47" t="s">
        <v>115</v>
      </c>
      <c r="K452" s="38">
        <v>5.0</v>
      </c>
      <c r="L452" s="38">
        <v>39.0</v>
      </c>
      <c r="M452" s="38" t="str">
        <f>IFERROR(__xludf.DUMMYFUNCTION("""COMPUTED_VALUE"""),"Fast Moving / Consumable")</f>
        <v>Fast Moving / Consumable</v>
      </c>
      <c r="N452" s="38">
        <v>18.0</v>
      </c>
      <c r="O452" s="40">
        <v>46247.0</v>
      </c>
      <c r="P452" s="38" t="s">
        <v>126</v>
      </c>
      <c r="Q452" s="42">
        <v>23.0</v>
      </c>
      <c r="R452" s="42">
        <v>29.18181818181818</v>
      </c>
      <c r="S452" s="38">
        <v>39.0</v>
      </c>
      <c r="T452" s="42">
        <v>24.854545454545452</v>
      </c>
      <c r="U452" s="46">
        <v>39.0</v>
      </c>
    </row>
    <row r="453">
      <c r="A453" s="43" t="s">
        <v>1147</v>
      </c>
      <c r="B453" s="47" t="s">
        <v>1148</v>
      </c>
      <c r="C453" s="43" t="s">
        <v>84</v>
      </c>
      <c r="D453" s="43">
        <v>10.0</v>
      </c>
      <c r="E453" s="43">
        <v>30.0</v>
      </c>
      <c r="F453" s="43">
        <f>IFERROR(__xludf.DUMMYFUNCTION("""COMPUTED_VALUE"""),13.0)</f>
        <v>13</v>
      </c>
      <c r="G453" s="43" t="s">
        <v>122</v>
      </c>
      <c r="H453" s="43" t="s">
        <v>113</v>
      </c>
      <c r="I453" s="43" t="s">
        <v>115</v>
      </c>
      <c r="J453" s="47" t="s">
        <v>115</v>
      </c>
      <c r="K453" s="38">
        <v>2.0</v>
      </c>
      <c r="L453" s="38">
        <v>14.0</v>
      </c>
      <c r="M453" s="38" t="str">
        <f>IFERROR(__xludf.DUMMYFUNCTION("""COMPUTED_VALUE"""),"Fast Moving / Consumable")</f>
        <v>Fast Moving / Consumable</v>
      </c>
      <c r="N453" s="38">
        <v>18.0</v>
      </c>
      <c r="O453" s="40">
        <v>46234.0</v>
      </c>
      <c r="P453" s="38" t="s">
        <v>126</v>
      </c>
      <c r="Q453" s="42">
        <v>16.0</v>
      </c>
      <c r="R453" s="42">
        <v>9.272727272727273</v>
      </c>
      <c r="S453" s="38">
        <v>0.0</v>
      </c>
      <c r="T453" s="42">
        <v>13.98181818181818</v>
      </c>
      <c r="U453" s="42">
        <v>13.98181818181818</v>
      </c>
    </row>
    <row r="454">
      <c r="A454" s="43" t="s">
        <v>1149</v>
      </c>
      <c r="B454" s="47" t="s">
        <v>1150</v>
      </c>
      <c r="C454" s="43" t="s">
        <v>84</v>
      </c>
      <c r="D454" s="43">
        <v>10.0</v>
      </c>
      <c r="E454" s="43">
        <v>30.0</v>
      </c>
      <c r="F454" s="43">
        <f>IFERROR(__xludf.DUMMYFUNCTION("""COMPUTED_VALUE"""),8.0)</f>
        <v>8</v>
      </c>
      <c r="G454" s="43" t="s">
        <v>112</v>
      </c>
      <c r="H454" s="43" t="s">
        <v>113</v>
      </c>
      <c r="I454" s="43" t="s">
        <v>115</v>
      </c>
      <c r="J454" s="47" t="s">
        <v>115</v>
      </c>
      <c r="K454" s="38">
        <v>4.0</v>
      </c>
      <c r="L454" s="38">
        <v>30.0</v>
      </c>
      <c r="M454" s="38" t="str">
        <f>IFERROR(__xludf.DUMMYFUNCTION("""COMPUTED_VALUE"""),"Fast Moving / Consumable")</f>
        <v>Fast Moving / Consumable</v>
      </c>
      <c r="N454" s="38">
        <v>18.0</v>
      </c>
      <c r="O454" s="40">
        <v>46247.0</v>
      </c>
      <c r="P454" s="38" t="s">
        <v>126</v>
      </c>
      <c r="Q454" s="42">
        <v>22.0</v>
      </c>
      <c r="R454" s="42">
        <v>14.727272727272727</v>
      </c>
      <c r="S454" s="38">
        <v>30.0</v>
      </c>
      <c r="T454" s="42">
        <v>19.818181818181817</v>
      </c>
      <c r="U454" s="46">
        <v>30.0</v>
      </c>
    </row>
    <row r="455">
      <c r="A455" s="43" t="s">
        <v>1151</v>
      </c>
      <c r="B455" s="47" t="s">
        <v>1152</v>
      </c>
      <c r="C455" s="43" t="s">
        <v>84</v>
      </c>
      <c r="D455" s="43">
        <v>10.0</v>
      </c>
      <c r="E455" s="43">
        <v>30.0</v>
      </c>
      <c r="F455" s="43">
        <f>IFERROR(__xludf.DUMMYFUNCTION("""COMPUTED_VALUE"""),6.0)</f>
        <v>6</v>
      </c>
      <c r="G455" s="43" t="s">
        <v>112</v>
      </c>
      <c r="H455" s="43" t="s">
        <v>113</v>
      </c>
      <c r="I455" s="43" t="s">
        <v>115</v>
      </c>
      <c r="J455" s="47" t="s">
        <v>115</v>
      </c>
      <c r="K455" s="38">
        <v>4.0</v>
      </c>
      <c r="L455" s="38">
        <v>30.0</v>
      </c>
      <c r="M455" s="38" t="str">
        <f>IFERROR(__xludf.DUMMYFUNCTION("""COMPUTED_VALUE"""),"Fast Moving / Consumable")</f>
        <v>Fast Moving / Consumable</v>
      </c>
      <c r="N455" s="38">
        <v>18.0</v>
      </c>
      <c r="O455" s="40">
        <v>46247.0</v>
      </c>
      <c r="P455" s="38" t="s">
        <v>126</v>
      </c>
      <c r="Q455" s="42">
        <v>26.0</v>
      </c>
      <c r="R455" s="42">
        <v>7.909090909090908</v>
      </c>
      <c r="S455" s="38">
        <v>30.0</v>
      </c>
      <c r="T455" s="42">
        <v>20.57272727272727</v>
      </c>
      <c r="U455" s="46">
        <v>30.0</v>
      </c>
    </row>
    <row r="456">
      <c r="A456" s="43" t="s">
        <v>1153</v>
      </c>
      <c r="B456" s="47" t="s">
        <v>1154</v>
      </c>
      <c r="C456" s="43" t="s">
        <v>84</v>
      </c>
      <c r="D456" s="43">
        <v>10.0</v>
      </c>
      <c r="E456" s="43">
        <v>30.0</v>
      </c>
      <c r="F456" s="43">
        <f>IFERROR(__xludf.DUMMYFUNCTION("""COMPUTED_VALUE"""),8.0)</f>
        <v>8</v>
      </c>
      <c r="G456" s="43" t="s">
        <v>112</v>
      </c>
      <c r="H456" s="43" t="s">
        <v>113</v>
      </c>
      <c r="I456" s="43" t="s">
        <v>115</v>
      </c>
      <c r="J456" s="47" t="s">
        <v>115</v>
      </c>
      <c r="K456" s="38">
        <v>3.0</v>
      </c>
      <c r="L456" s="38">
        <v>20.0</v>
      </c>
      <c r="M456" s="38" t="str">
        <f>IFERROR(__xludf.DUMMYFUNCTION("""COMPUTED_VALUE"""),"Fast Moving / Consumable")</f>
        <v>Fast Moving / Consumable</v>
      </c>
      <c r="N456" s="38">
        <v>18.0</v>
      </c>
      <c r="O456" s="40">
        <v>46247.0</v>
      </c>
      <c r="P456" s="38" t="s">
        <v>126</v>
      </c>
      <c r="Q456" s="42">
        <v>9.0</v>
      </c>
      <c r="R456" s="42">
        <v>4.090909090909091</v>
      </c>
      <c r="S456" s="38">
        <v>20.0</v>
      </c>
      <c r="T456" s="42">
        <v>7.527272727272727</v>
      </c>
      <c r="U456" s="46">
        <v>20.0</v>
      </c>
    </row>
    <row r="457">
      <c r="A457" s="43" t="s">
        <v>1155</v>
      </c>
      <c r="B457" s="47" t="s">
        <v>1156</v>
      </c>
      <c r="C457" s="43" t="s">
        <v>84</v>
      </c>
      <c r="D457" s="43">
        <v>5.0</v>
      </c>
      <c r="E457" s="43">
        <v>10.0</v>
      </c>
      <c r="F457" s="43">
        <f>IFERROR(__xludf.DUMMYFUNCTION("""COMPUTED_VALUE"""),10.0)</f>
        <v>10</v>
      </c>
      <c r="G457" s="43" t="s">
        <v>122</v>
      </c>
      <c r="H457" s="43" t="s">
        <v>113</v>
      </c>
      <c r="I457" s="43" t="s">
        <v>115</v>
      </c>
      <c r="J457" s="47" t="s">
        <v>115</v>
      </c>
      <c r="K457" s="38">
        <v>2.0</v>
      </c>
      <c r="L457" s="38">
        <v>10.0</v>
      </c>
      <c r="M457" s="38" t="str">
        <f>IFERROR(__xludf.DUMMYFUNCTION("""COMPUTED_VALUE"""),"General Sparepart")</f>
        <v>General Sparepart</v>
      </c>
      <c r="N457" s="38">
        <v>24.0</v>
      </c>
      <c r="O457" s="40">
        <v>46087.0</v>
      </c>
      <c r="P457" s="38" t="s">
        <v>126</v>
      </c>
      <c r="Q457" s="42">
        <v>3.0</v>
      </c>
      <c r="R457" s="42">
        <v>1.3636363636363635</v>
      </c>
      <c r="S457" s="38">
        <v>10.0</v>
      </c>
      <c r="T457" s="42">
        <v>2.509090909090909</v>
      </c>
      <c r="U457" s="46">
        <v>10.0</v>
      </c>
    </row>
    <row r="458">
      <c r="A458" s="43" t="s">
        <v>1157</v>
      </c>
      <c r="B458" s="47" t="s">
        <v>1158</v>
      </c>
      <c r="C458" s="43" t="s">
        <v>84</v>
      </c>
      <c r="D458" s="43">
        <v>1.0</v>
      </c>
      <c r="E458" s="43">
        <v>3.0</v>
      </c>
      <c r="F458" s="43">
        <f>IFERROR(__xludf.DUMMYFUNCTION("""COMPUTED_VALUE"""),3.0)</f>
        <v>3</v>
      </c>
      <c r="G458" s="43" t="s">
        <v>122</v>
      </c>
      <c r="H458" s="43" t="s">
        <v>113</v>
      </c>
      <c r="I458" s="43" t="s">
        <v>115</v>
      </c>
      <c r="J458" s="47" t="s">
        <v>115</v>
      </c>
      <c r="K458" s="38">
        <v>1.0</v>
      </c>
      <c r="L458" s="38">
        <v>3.0</v>
      </c>
      <c r="M458" s="38" t="str">
        <f>IFERROR(__xludf.DUMMYFUNCTION("""COMPUTED_VALUE"""),"General Sparepart")</f>
        <v>General Sparepart</v>
      </c>
      <c r="N458" s="38">
        <v>24.0</v>
      </c>
      <c r="O458" s="40">
        <v>46087.0</v>
      </c>
      <c r="P458" s="38" t="s">
        <v>126</v>
      </c>
      <c r="Q458" s="42">
        <v>1.0</v>
      </c>
      <c r="R458" s="42">
        <v>0.5454545454545454</v>
      </c>
      <c r="S458" s="38">
        <v>3.0</v>
      </c>
      <c r="T458" s="42">
        <v>0.8636363636363635</v>
      </c>
      <c r="U458" s="46">
        <v>3.0</v>
      </c>
    </row>
    <row r="459">
      <c r="A459" s="43" t="s">
        <v>1160</v>
      </c>
      <c r="B459" s="47" t="s">
        <v>1161</v>
      </c>
      <c r="C459" s="43" t="s">
        <v>84</v>
      </c>
      <c r="D459" s="43">
        <v>5.0</v>
      </c>
      <c r="E459" s="43">
        <v>10.0</v>
      </c>
      <c r="F459" s="43">
        <f>IFERROR(__xludf.DUMMYFUNCTION("""COMPUTED_VALUE"""),10.0)</f>
        <v>10</v>
      </c>
      <c r="G459" s="43" t="s">
        <v>122</v>
      </c>
      <c r="H459" s="43" t="s">
        <v>113</v>
      </c>
      <c r="I459" s="43" t="s">
        <v>115</v>
      </c>
      <c r="J459" s="47" t="s">
        <v>115</v>
      </c>
      <c r="K459" s="38">
        <v>2.0</v>
      </c>
      <c r="L459" s="38">
        <v>10.0</v>
      </c>
      <c r="M459" s="38" t="str">
        <f>IFERROR(__xludf.DUMMYFUNCTION("""COMPUTED_VALUE"""),"General Sparepart")</f>
        <v>General Sparepart</v>
      </c>
      <c r="N459" s="38">
        <v>24.0</v>
      </c>
      <c r="O459" s="40">
        <v>46087.0</v>
      </c>
      <c r="P459" s="38" t="s">
        <v>126</v>
      </c>
      <c r="Q459" s="42">
        <v>4.0</v>
      </c>
      <c r="R459" s="42">
        <v>0.2727272727272727</v>
      </c>
      <c r="S459" s="38">
        <v>10.0</v>
      </c>
      <c r="T459" s="42">
        <v>2.881818181818182</v>
      </c>
      <c r="U459" s="46">
        <v>10.0</v>
      </c>
    </row>
    <row r="460">
      <c r="A460" s="43" t="s">
        <v>1162</v>
      </c>
      <c r="B460" s="47" t="s">
        <v>1163</v>
      </c>
      <c r="C460" s="43" t="s">
        <v>84</v>
      </c>
      <c r="D460" s="43">
        <v>5.0</v>
      </c>
      <c r="E460" s="43">
        <v>10.0</v>
      </c>
      <c r="F460" s="43">
        <f>IFERROR(__xludf.DUMMYFUNCTION("""COMPUTED_VALUE"""),5.0)</f>
        <v>5</v>
      </c>
      <c r="G460" s="43" t="s">
        <v>125</v>
      </c>
      <c r="H460" s="43" t="s">
        <v>113</v>
      </c>
      <c r="I460" s="43" t="s">
        <v>115</v>
      </c>
      <c r="J460" s="47" t="s">
        <v>115</v>
      </c>
      <c r="K460" s="38">
        <v>1.0</v>
      </c>
      <c r="L460" s="38">
        <v>2.0</v>
      </c>
      <c r="M460" s="38" t="str">
        <f>IFERROR(__xludf.DUMMYFUNCTION("""COMPUTED_VALUE"""),"General Sparepart")</f>
        <v>General Sparepart</v>
      </c>
      <c r="N460" s="38">
        <v>24.0</v>
      </c>
      <c r="O460" s="40">
        <v>45716.0</v>
      </c>
      <c r="P460" s="38" t="s">
        <v>126</v>
      </c>
      <c r="Q460" s="42">
        <v>2.0</v>
      </c>
      <c r="R460" s="42">
        <v>0.2727272727272727</v>
      </c>
      <c r="S460" s="38">
        <v>0.0</v>
      </c>
      <c r="T460" s="42">
        <v>1.4818181818181817</v>
      </c>
      <c r="U460" s="42">
        <v>1.4818181818181817</v>
      </c>
    </row>
    <row r="461">
      <c r="A461" s="43" t="s">
        <v>1164</v>
      </c>
      <c r="B461" s="47" t="s">
        <v>1165</v>
      </c>
      <c r="C461" s="43" t="s">
        <v>84</v>
      </c>
      <c r="D461" s="43">
        <v>2.0</v>
      </c>
      <c r="E461" s="43">
        <v>4.0</v>
      </c>
      <c r="F461" s="43">
        <f>IFERROR(__xludf.DUMMYFUNCTION("""COMPUTED_VALUE"""),3.0)</f>
        <v>3</v>
      </c>
      <c r="G461" s="43" t="s">
        <v>122</v>
      </c>
      <c r="H461" s="43" t="s">
        <v>113</v>
      </c>
      <c r="I461" s="43" t="s">
        <v>115</v>
      </c>
      <c r="J461" s="47" t="s">
        <v>115</v>
      </c>
      <c r="K461" s="38">
        <v>0.0</v>
      </c>
      <c r="L461" s="38">
        <v>0.0</v>
      </c>
      <c r="M461" s="38" t="str">
        <f>IFERROR(__xludf.DUMMYFUNCTION("""COMPUTED_VALUE"""),"General Sparepart")</f>
        <v>General Sparepart</v>
      </c>
      <c r="N461" s="38">
        <v>24.0</v>
      </c>
      <c r="O461" s="40">
        <v>0.0</v>
      </c>
      <c r="P461" s="38" t="s">
        <v>116</v>
      </c>
      <c r="Q461" s="42">
        <v>0.0</v>
      </c>
      <c r="R461" s="42">
        <v>0.0</v>
      </c>
      <c r="S461" s="38">
        <v>0.0</v>
      </c>
      <c r="T461" s="42">
        <v>0.0</v>
      </c>
      <c r="U461" s="42">
        <v>0.0</v>
      </c>
    </row>
    <row r="462">
      <c r="A462" s="43" t="s">
        <v>1166</v>
      </c>
      <c r="B462" s="47" t="s">
        <v>1167</v>
      </c>
      <c r="C462" s="43" t="s">
        <v>84</v>
      </c>
      <c r="D462" s="43">
        <v>2.0</v>
      </c>
      <c r="E462" s="43">
        <v>4.0</v>
      </c>
      <c r="F462" s="43">
        <f>IFERROR(__xludf.DUMMYFUNCTION("""COMPUTED_VALUE"""),4.0)</f>
        <v>4</v>
      </c>
      <c r="G462" s="43" t="s">
        <v>122</v>
      </c>
      <c r="H462" s="43" t="s">
        <v>113</v>
      </c>
      <c r="I462" s="43" t="s">
        <v>115</v>
      </c>
      <c r="J462" s="47" t="s">
        <v>115</v>
      </c>
      <c r="K462" s="38">
        <v>1.0</v>
      </c>
      <c r="L462" s="38">
        <v>6.0</v>
      </c>
      <c r="M462" s="38" t="str">
        <f>IFERROR(__xludf.DUMMYFUNCTION("""COMPUTED_VALUE"""),"General Sparepart")</f>
        <v>General Sparepart</v>
      </c>
      <c r="N462" s="38">
        <v>24.0</v>
      </c>
      <c r="O462" s="40">
        <v>46084.0</v>
      </c>
      <c r="P462" s="38" t="s">
        <v>126</v>
      </c>
      <c r="Q462" s="42">
        <v>8.0</v>
      </c>
      <c r="R462" s="42">
        <v>1.0909090909090908</v>
      </c>
      <c r="S462" s="38">
        <v>4.0</v>
      </c>
      <c r="T462" s="42">
        <v>5.927272727272727</v>
      </c>
      <c r="U462" s="42">
        <v>5.927272727272727</v>
      </c>
    </row>
    <row r="463">
      <c r="A463" s="43" t="s">
        <v>1168</v>
      </c>
      <c r="B463" s="47" t="s">
        <v>1169</v>
      </c>
      <c r="C463" s="43" t="s">
        <v>84</v>
      </c>
      <c r="D463" s="43">
        <v>2.0</v>
      </c>
      <c r="E463" s="43">
        <v>4.0</v>
      </c>
      <c r="F463" s="43">
        <f>IFERROR(__xludf.DUMMYFUNCTION("""COMPUTED_VALUE"""),4.0)</f>
        <v>4</v>
      </c>
      <c r="G463" s="43" t="s">
        <v>122</v>
      </c>
      <c r="H463" s="43" t="s">
        <v>113</v>
      </c>
      <c r="I463" s="43" t="s">
        <v>115</v>
      </c>
      <c r="J463" s="47" t="s">
        <v>115</v>
      </c>
      <c r="K463" s="38">
        <v>1.0</v>
      </c>
      <c r="L463" s="38">
        <v>4.0</v>
      </c>
      <c r="M463" s="38" t="str">
        <f>IFERROR(__xludf.DUMMYFUNCTION("""COMPUTED_VALUE"""),"General Sparepart")</f>
        <v>General Sparepart</v>
      </c>
      <c r="N463" s="38">
        <v>24.0</v>
      </c>
      <c r="O463" s="40">
        <v>46087.0</v>
      </c>
      <c r="P463" s="38" t="s">
        <v>126</v>
      </c>
      <c r="Q463" s="42">
        <v>1.0</v>
      </c>
      <c r="R463" s="42">
        <v>0.0</v>
      </c>
      <c r="S463" s="38">
        <v>4.0</v>
      </c>
      <c r="T463" s="42">
        <v>1.0</v>
      </c>
      <c r="U463" s="46">
        <v>4.0</v>
      </c>
    </row>
    <row r="464">
      <c r="A464" s="43" t="s">
        <v>1170</v>
      </c>
      <c r="B464" s="47" t="s">
        <v>1171</v>
      </c>
      <c r="C464" s="43" t="s">
        <v>84</v>
      </c>
      <c r="D464" s="43">
        <v>5.0</v>
      </c>
      <c r="E464" s="43">
        <v>10.0</v>
      </c>
      <c r="F464" s="43">
        <f>IFERROR(__xludf.DUMMYFUNCTION("""COMPUTED_VALUE"""),10.0)</f>
        <v>10</v>
      </c>
      <c r="G464" s="43" t="s">
        <v>122</v>
      </c>
      <c r="H464" s="43" t="s">
        <v>113</v>
      </c>
      <c r="I464" s="43" t="s">
        <v>115</v>
      </c>
      <c r="J464" s="47" t="s">
        <v>115</v>
      </c>
      <c r="K464" s="38">
        <v>2.0</v>
      </c>
      <c r="L464" s="38">
        <v>10.0</v>
      </c>
      <c r="M464" s="38" t="str">
        <f>IFERROR(__xludf.DUMMYFUNCTION("""COMPUTED_VALUE"""),"Fast Moving / Consumable")</f>
        <v>Fast Moving / Consumable</v>
      </c>
      <c r="N464" s="38">
        <v>18.0</v>
      </c>
      <c r="O464" s="40">
        <v>46087.0</v>
      </c>
      <c r="P464" s="38" t="s">
        <v>126</v>
      </c>
      <c r="Q464" s="42">
        <v>4.0</v>
      </c>
      <c r="R464" s="42">
        <v>0.2727272727272727</v>
      </c>
      <c r="S464" s="38">
        <v>10.0</v>
      </c>
      <c r="T464" s="42">
        <v>2.881818181818182</v>
      </c>
      <c r="U464" s="46">
        <v>10.0</v>
      </c>
    </row>
    <row r="465">
      <c r="A465" s="43" t="s">
        <v>1172</v>
      </c>
      <c r="B465" s="47" t="s">
        <v>1173</v>
      </c>
      <c r="C465" s="43" t="s">
        <v>84</v>
      </c>
      <c r="D465" s="43">
        <v>5.0</v>
      </c>
      <c r="E465" s="43">
        <v>10.0</v>
      </c>
      <c r="F465" s="43">
        <f>IFERROR(__xludf.DUMMYFUNCTION("""COMPUTED_VALUE"""),10.0)</f>
        <v>10</v>
      </c>
      <c r="G465" s="43" t="s">
        <v>122</v>
      </c>
      <c r="H465" s="43" t="s">
        <v>113</v>
      </c>
      <c r="I465" s="43" t="s">
        <v>115</v>
      </c>
      <c r="J465" s="47" t="s">
        <v>115</v>
      </c>
      <c r="K465" s="38">
        <v>1.0</v>
      </c>
      <c r="L465" s="38">
        <v>9.0</v>
      </c>
      <c r="M465" s="38" t="str">
        <f>IFERROR(__xludf.DUMMYFUNCTION("""COMPUTED_VALUE"""),"Fast Moving / Consumable")</f>
        <v>Fast Moving / Consumable</v>
      </c>
      <c r="N465" s="38">
        <v>18.0</v>
      </c>
      <c r="O465" s="40">
        <v>46087.0</v>
      </c>
      <c r="P465" s="38" t="s">
        <v>126</v>
      </c>
      <c r="Q465" s="42">
        <v>4.0</v>
      </c>
      <c r="R465" s="42">
        <v>1.0909090909090908</v>
      </c>
      <c r="S465" s="38">
        <v>9.0</v>
      </c>
      <c r="T465" s="42">
        <v>3.127272727272727</v>
      </c>
      <c r="U465" s="46">
        <v>9.0</v>
      </c>
    </row>
    <row r="466">
      <c r="A466" s="43" t="s">
        <v>1174</v>
      </c>
      <c r="B466" s="47" t="s">
        <v>1175</v>
      </c>
      <c r="C466" s="43" t="s">
        <v>84</v>
      </c>
      <c r="D466" s="43">
        <v>5.0</v>
      </c>
      <c r="E466" s="43">
        <v>10.0</v>
      </c>
      <c r="F466" s="43">
        <f>IFERROR(__xludf.DUMMYFUNCTION("""COMPUTED_VALUE"""),10.0)</f>
        <v>10</v>
      </c>
      <c r="G466" s="43" t="s">
        <v>122</v>
      </c>
      <c r="H466" s="43" t="s">
        <v>113</v>
      </c>
      <c r="I466" s="43" t="s">
        <v>115</v>
      </c>
      <c r="J466" s="47" t="s">
        <v>115</v>
      </c>
      <c r="K466" s="38">
        <v>1.0</v>
      </c>
      <c r="L466" s="38">
        <v>7.0</v>
      </c>
      <c r="M466" s="38" t="str">
        <f>IFERROR(__xludf.DUMMYFUNCTION("""COMPUTED_VALUE"""),"Fast Moving / Consumable")</f>
        <v>Fast Moving / Consumable</v>
      </c>
      <c r="N466" s="38">
        <v>18.0</v>
      </c>
      <c r="O466" s="40">
        <v>46087.0</v>
      </c>
      <c r="P466" s="38" t="s">
        <v>126</v>
      </c>
      <c r="Q466" s="42">
        <v>7.0</v>
      </c>
      <c r="R466" s="42">
        <v>0.0</v>
      </c>
      <c r="S466" s="38">
        <v>6.0</v>
      </c>
      <c r="T466" s="42">
        <v>7.0</v>
      </c>
      <c r="U466" s="42">
        <v>7.0</v>
      </c>
    </row>
    <row r="467">
      <c r="A467" s="43" t="s">
        <v>1176</v>
      </c>
      <c r="B467" s="47" t="s">
        <v>1177</v>
      </c>
      <c r="C467" s="43" t="s">
        <v>84</v>
      </c>
      <c r="D467" s="43">
        <v>1.0</v>
      </c>
      <c r="E467" s="43">
        <v>3.0</v>
      </c>
      <c r="F467" s="43">
        <f>IFERROR(__xludf.DUMMYFUNCTION("""COMPUTED_VALUE"""),3.0)</f>
        <v>3</v>
      </c>
      <c r="G467" s="43" t="s">
        <v>122</v>
      </c>
      <c r="H467" s="43" t="s">
        <v>113</v>
      </c>
      <c r="I467" s="43" t="s">
        <v>115</v>
      </c>
      <c r="J467" s="47" t="s">
        <v>115</v>
      </c>
      <c r="K467" s="38">
        <v>1.0</v>
      </c>
      <c r="L467" s="38">
        <v>3.0</v>
      </c>
      <c r="M467" s="38" t="str">
        <f>IFERROR(__xludf.DUMMYFUNCTION("""COMPUTED_VALUE"""),"General Sparepart")</f>
        <v>General Sparepart</v>
      </c>
      <c r="N467" s="38">
        <v>24.0</v>
      </c>
      <c r="O467" s="40">
        <v>46086.0</v>
      </c>
      <c r="P467" s="38" t="s">
        <v>126</v>
      </c>
      <c r="Q467" s="42">
        <v>2.0</v>
      </c>
      <c r="R467" s="42">
        <v>3.0</v>
      </c>
      <c r="S467" s="38">
        <v>3.0</v>
      </c>
      <c r="T467" s="42">
        <v>2.3</v>
      </c>
      <c r="U467" s="46">
        <v>3.0</v>
      </c>
    </row>
    <row r="468">
      <c r="A468" s="43" t="s">
        <v>1178</v>
      </c>
      <c r="B468" s="47" t="s">
        <v>1179</v>
      </c>
      <c r="C468" s="43" t="s">
        <v>84</v>
      </c>
      <c r="D468" s="43">
        <v>2.0</v>
      </c>
      <c r="E468" s="43">
        <v>4.0</v>
      </c>
      <c r="F468" s="43">
        <f>IFERROR(__xludf.DUMMYFUNCTION("""COMPUTED_VALUE"""),0.0)</f>
        <v>0</v>
      </c>
      <c r="G468" s="43" t="s">
        <v>112</v>
      </c>
      <c r="H468" s="43" t="s">
        <v>119</v>
      </c>
      <c r="I468" s="43" t="s">
        <v>141</v>
      </c>
      <c r="J468" s="47" t="s">
        <v>1181</v>
      </c>
      <c r="K468" s="38">
        <v>0.0</v>
      </c>
      <c r="L468" s="38">
        <v>0.0</v>
      </c>
      <c r="M468" s="38" t="str">
        <f>IFERROR(__xludf.DUMMYFUNCTION("""COMPUTED_VALUE"""),"General Sparepart")</f>
        <v>General Sparepart</v>
      </c>
      <c r="N468" s="38">
        <v>24.0</v>
      </c>
      <c r="O468" s="40">
        <v>43607.0</v>
      </c>
      <c r="P468" s="38" t="s">
        <v>116</v>
      </c>
      <c r="Q468" s="42">
        <v>0.0</v>
      </c>
      <c r="R468" s="42">
        <v>0.0</v>
      </c>
      <c r="S468" s="38">
        <v>0.0</v>
      </c>
      <c r="T468" s="42">
        <v>0.0</v>
      </c>
      <c r="U468" s="42">
        <v>0.0</v>
      </c>
    </row>
    <row r="469">
      <c r="A469" s="43" t="s">
        <v>1182</v>
      </c>
      <c r="B469" s="47" t="s">
        <v>1183</v>
      </c>
      <c r="C469" s="43" t="s">
        <v>79</v>
      </c>
      <c r="D469" s="43">
        <v>2.0</v>
      </c>
      <c r="E469" s="43">
        <v>15.0</v>
      </c>
      <c r="F469" s="43">
        <f>IFERROR(__xludf.DUMMYFUNCTION("""COMPUTED_VALUE"""),15.0)</f>
        <v>15</v>
      </c>
      <c r="G469" s="43" t="s">
        <v>122</v>
      </c>
      <c r="H469" s="43" t="s">
        <v>113</v>
      </c>
      <c r="I469" s="43" t="s">
        <v>115</v>
      </c>
      <c r="J469" s="47" t="s">
        <v>115</v>
      </c>
      <c r="K469" s="38">
        <v>2.0</v>
      </c>
      <c r="L469" s="38">
        <v>15.0</v>
      </c>
      <c r="M469" s="38" t="str">
        <f>IFERROR(__xludf.DUMMYFUNCTION("""COMPUTED_VALUE"""),"Fast Moving / Consumable")</f>
        <v>Fast Moving / Consumable</v>
      </c>
      <c r="N469" s="38">
        <v>18.0</v>
      </c>
      <c r="O469" s="40">
        <v>46083.0</v>
      </c>
      <c r="P469" s="38" t="s">
        <v>126</v>
      </c>
      <c r="Q469" s="42">
        <v>7.0</v>
      </c>
      <c r="R469" s="42">
        <v>0.5454545454545454</v>
      </c>
      <c r="S469" s="38">
        <v>15.0</v>
      </c>
      <c r="T469" s="42">
        <v>5.0636363636363635</v>
      </c>
      <c r="U469" s="46">
        <v>15.0</v>
      </c>
    </row>
    <row r="470">
      <c r="A470" s="43" t="s">
        <v>1184</v>
      </c>
      <c r="B470" s="47" t="s">
        <v>1185</v>
      </c>
      <c r="C470" s="43" t="s">
        <v>79</v>
      </c>
      <c r="D470" s="43">
        <v>50.0</v>
      </c>
      <c r="E470" s="43">
        <v>200.0</v>
      </c>
      <c r="F470" s="43">
        <f>IFERROR(__xludf.DUMMYFUNCTION("""COMPUTED_VALUE"""),44.0)</f>
        <v>44</v>
      </c>
      <c r="G470" s="43" t="s">
        <v>112</v>
      </c>
      <c r="H470" s="43" t="s">
        <v>113</v>
      </c>
      <c r="I470" s="43" t="s">
        <v>115</v>
      </c>
      <c r="J470" s="47" t="s">
        <v>115</v>
      </c>
      <c r="K470" s="38">
        <v>4.0</v>
      </c>
      <c r="L470" s="38">
        <v>35.0</v>
      </c>
      <c r="M470" s="38" t="str">
        <f>IFERROR(__xludf.DUMMYFUNCTION("""COMPUTED_VALUE"""),"General Sparepart")</f>
        <v>General Sparepart</v>
      </c>
      <c r="N470" s="38">
        <v>24.0</v>
      </c>
      <c r="O470" s="40">
        <v>46203.0</v>
      </c>
      <c r="P470" s="38" t="s">
        <v>126</v>
      </c>
      <c r="Q470" s="42">
        <v>40.0</v>
      </c>
      <c r="R470" s="42">
        <v>21.272727272727273</v>
      </c>
      <c r="S470" s="38">
        <v>0.0</v>
      </c>
      <c r="T470" s="42">
        <v>34.38181818181818</v>
      </c>
      <c r="U470" s="42">
        <v>34.38181818181818</v>
      </c>
    </row>
    <row r="471">
      <c r="A471" s="43" t="s">
        <v>1186</v>
      </c>
      <c r="B471" s="47" t="s">
        <v>1187</v>
      </c>
      <c r="C471" s="43" t="s">
        <v>79</v>
      </c>
      <c r="D471" s="43">
        <v>5.0</v>
      </c>
      <c r="E471" s="43">
        <v>20.0</v>
      </c>
      <c r="F471" s="43">
        <f>IFERROR(__xludf.DUMMYFUNCTION("""COMPUTED_VALUE"""),18.0)</f>
        <v>18</v>
      </c>
      <c r="G471" s="43" t="s">
        <v>122</v>
      </c>
      <c r="H471" s="43" t="s">
        <v>113</v>
      </c>
      <c r="I471" s="43" t="s">
        <v>115</v>
      </c>
      <c r="J471" s="47" t="s">
        <v>115</v>
      </c>
      <c r="K471" s="38">
        <v>1.0</v>
      </c>
      <c r="L471" s="38">
        <v>6.0</v>
      </c>
      <c r="M471" s="38" t="str">
        <f>IFERROR(__xludf.DUMMYFUNCTION("""COMPUTED_VALUE"""),"General Sparepart")</f>
        <v>General Sparepart</v>
      </c>
      <c r="N471" s="38">
        <v>24.0</v>
      </c>
      <c r="O471" s="40">
        <v>46022.0</v>
      </c>
      <c r="P471" s="38" t="s">
        <v>126</v>
      </c>
      <c r="Q471" s="42">
        <v>6.0</v>
      </c>
      <c r="R471" s="42">
        <v>3.2727272727272725</v>
      </c>
      <c r="S471" s="38">
        <v>0.0</v>
      </c>
      <c r="T471" s="42">
        <v>5.181818181818181</v>
      </c>
      <c r="U471" s="42">
        <v>5.181818181818181</v>
      </c>
    </row>
    <row r="472">
      <c r="A472" s="43" t="s">
        <v>1188</v>
      </c>
      <c r="B472" s="47" t="s">
        <v>1189</v>
      </c>
      <c r="C472" s="43" t="s">
        <v>79</v>
      </c>
      <c r="D472" s="43">
        <v>5.0</v>
      </c>
      <c r="E472" s="43">
        <v>20.0</v>
      </c>
      <c r="F472" s="43">
        <f>IFERROR(__xludf.DUMMYFUNCTION("""COMPUTED_VALUE"""),6.0)</f>
        <v>6</v>
      </c>
      <c r="G472" s="43" t="s">
        <v>122</v>
      </c>
      <c r="H472" s="43" t="s">
        <v>113</v>
      </c>
      <c r="I472" s="43" t="s">
        <v>115</v>
      </c>
      <c r="J472" s="47" t="s">
        <v>115</v>
      </c>
      <c r="K472" s="38">
        <v>1.0</v>
      </c>
      <c r="L472" s="38">
        <v>2.0</v>
      </c>
      <c r="M472" s="38" t="str">
        <f>IFERROR(__xludf.DUMMYFUNCTION("""COMPUTED_VALUE"""),"General Sparepart")</f>
        <v>General Sparepart</v>
      </c>
      <c r="N472" s="38">
        <v>24.0</v>
      </c>
      <c r="O472" s="40">
        <v>46234.0</v>
      </c>
      <c r="P472" s="38" t="s">
        <v>126</v>
      </c>
      <c r="Q472" s="42">
        <v>2.0</v>
      </c>
      <c r="R472" s="42">
        <v>0.5454545454545454</v>
      </c>
      <c r="S472" s="38">
        <v>0.0</v>
      </c>
      <c r="T472" s="42">
        <v>1.5636363636363635</v>
      </c>
      <c r="U472" s="42">
        <v>1.5636363636363635</v>
      </c>
    </row>
    <row r="473">
      <c r="A473" s="43" t="s">
        <v>1190</v>
      </c>
      <c r="B473" s="47" t="s">
        <v>1191</v>
      </c>
      <c r="C473" s="43" t="s">
        <v>79</v>
      </c>
      <c r="D473" s="43">
        <v>5.0</v>
      </c>
      <c r="E473" s="43">
        <v>20.0</v>
      </c>
      <c r="F473" s="43">
        <f>IFERROR(__xludf.DUMMYFUNCTION("""COMPUTED_VALUE"""),29.0)</f>
        <v>29</v>
      </c>
      <c r="G473" s="43" t="s">
        <v>122</v>
      </c>
      <c r="H473" s="43" t="s">
        <v>113</v>
      </c>
      <c r="I473" s="43" t="s">
        <v>115</v>
      </c>
      <c r="J473" s="47" t="s">
        <v>115</v>
      </c>
      <c r="K473" s="38">
        <v>3.0</v>
      </c>
      <c r="L473" s="38">
        <v>27.0</v>
      </c>
      <c r="M473" s="38" t="str">
        <f>IFERROR(__xludf.DUMMYFUNCTION("""COMPUTED_VALUE"""),"General Sparepart")</f>
        <v>General Sparepart</v>
      </c>
      <c r="N473" s="38">
        <v>24.0</v>
      </c>
      <c r="O473" s="40">
        <v>46260.0</v>
      </c>
      <c r="P473" s="38" t="s">
        <v>126</v>
      </c>
      <c r="Q473" s="42">
        <v>6.0</v>
      </c>
      <c r="R473" s="42">
        <v>2.1818181818181817</v>
      </c>
      <c r="S473" s="38">
        <v>27.0</v>
      </c>
      <c r="T473" s="42">
        <v>4.854545454545454</v>
      </c>
      <c r="U473" s="46">
        <v>27.0</v>
      </c>
    </row>
    <row r="474">
      <c r="A474" s="43" t="s">
        <v>1192</v>
      </c>
      <c r="B474" s="47" t="s">
        <v>1193</v>
      </c>
      <c r="C474" s="43" t="s">
        <v>79</v>
      </c>
      <c r="D474" s="43">
        <v>5.0</v>
      </c>
      <c r="E474" s="43">
        <v>20.0</v>
      </c>
      <c r="F474" s="43">
        <f>IFERROR(__xludf.DUMMYFUNCTION("""COMPUTED_VALUE"""),12.0)</f>
        <v>12</v>
      </c>
      <c r="G474" s="43" t="s">
        <v>122</v>
      </c>
      <c r="H474" s="43" t="s">
        <v>113</v>
      </c>
      <c r="I474" s="43" t="s">
        <v>115</v>
      </c>
      <c r="J474" s="47" t="s">
        <v>115</v>
      </c>
      <c r="K474" s="38">
        <v>3.0</v>
      </c>
      <c r="L474" s="38">
        <v>20.0</v>
      </c>
      <c r="M474" s="38" t="str">
        <f>IFERROR(__xludf.DUMMYFUNCTION("""COMPUTED_VALUE"""),"General Sparepart")</f>
        <v>General Sparepart</v>
      </c>
      <c r="N474" s="38">
        <v>24.0</v>
      </c>
      <c r="O474" s="40">
        <v>46260.0</v>
      </c>
      <c r="P474" s="38" t="s">
        <v>126</v>
      </c>
      <c r="Q474" s="42">
        <v>8.0</v>
      </c>
      <c r="R474" s="42">
        <v>6.545454545454545</v>
      </c>
      <c r="S474" s="38">
        <v>20.0</v>
      </c>
      <c r="T474" s="42">
        <v>7.563636363636363</v>
      </c>
      <c r="U474" s="46">
        <v>20.0</v>
      </c>
    </row>
    <row r="475">
      <c r="A475" s="43" t="s">
        <v>1194</v>
      </c>
      <c r="B475" s="47" t="s">
        <v>1195</v>
      </c>
      <c r="C475" s="43" t="s">
        <v>79</v>
      </c>
      <c r="D475" s="43">
        <v>5.0</v>
      </c>
      <c r="E475" s="43">
        <v>20.0</v>
      </c>
      <c r="F475" s="43">
        <f>IFERROR(__xludf.DUMMYFUNCTION("""COMPUTED_VALUE"""),0.0)</f>
        <v>0</v>
      </c>
      <c r="G475" s="43" t="s">
        <v>112</v>
      </c>
      <c r="H475" s="43" t="s">
        <v>119</v>
      </c>
      <c r="I475" s="43" t="s">
        <v>119</v>
      </c>
      <c r="J475" s="47" t="s">
        <v>115</v>
      </c>
      <c r="K475" s="38">
        <v>0.0</v>
      </c>
      <c r="L475" s="38">
        <v>0.0</v>
      </c>
      <c r="M475" s="38" t="str">
        <f>IFERROR(__xludf.DUMMYFUNCTION("""COMPUTED_VALUE"""),"Fast Moving / Consumable")</f>
        <v>Fast Moving / Consumable</v>
      </c>
      <c r="N475" s="38">
        <v>18.0</v>
      </c>
      <c r="O475" s="40">
        <v>45348.0</v>
      </c>
      <c r="P475" s="38" t="s">
        <v>116</v>
      </c>
      <c r="Q475" s="42">
        <v>2.0</v>
      </c>
      <c r="R475" s="42">
        <v>0.2727272727272727</v>
      </c>
      <c r="S475" s="38">
        <v>0.0</v>
      </c>
      <c r="T475" s="42">
        <v>1.4818181818181817</v>
      </c>
      <c r="U475" s="42">
        <v>1.4818181818181817</v>
      </c>
    </row>
    <row r="476">
      <c r="A476" s="43" t="s">
        <v>1196</v>
      </c>
      <c r="B476" s="47" t="s">
        <v>1197</v>
      </c>
      <c r="C476" s="43" t="s">
        <v>79</v>
      </c>
      <c r="D476" s="43">
        <v>5.0</v>
      </c>
      <c r="E476" s="43">
        <v>20.0</v>
      </c>
      <c r="F476" s="43">
        <f>IFERROR(__xludf.DUMMYFUNCTION("""COMPUTED_VALUE"""),17.0)</f>
        <v>17</v>
      </c>
      <c r="G476" s="43" t="s">
        <v>122</v>
      </c>
      <c r="H476" s="43" t="s">
        <v>113</v>
      </c>
      <c r="I476" s="43" t="s">
        <v>115</v>
      </c>
      <c r="J476" s="47" t="s">
        <v>115</v>
      </c>
      <c r="K476" s="38">
        <v>3.0</v>
      </c>
      <c r="L476" s="38">
        <v>20.0</v>
      </c>
      <c r="M476" s="38" t="str">
        <f>IFERROR(__xludf.DUMMYFUNCTION("""COMPUTED_VALUE"""),"Fast Moving / Consumable")</f>
        <v>Fast Moving / Consumable</v>
      </c>
      <c r="N476" s="38">
        <v>18.0</v>
      </c>
      <c r="O476" s="40">
        <v>46260.0</v>
      </c>
      <c r="P476" s="38" t="s">
        <v>126</v>
      </c>
      <c r="Q476" s="42">
        <v>5.0</v>
      </c>
      <c r="R476" s="42">
        <v>1.9090909090909092</v>
      </c>
      <c r="S476" s="38">
        <v>20.0</v>
      </c>
      <c r="T476" s="42">
        <v>4.072727272727272</v>
      </c>
      <c r="U476" s="46">
        <v>20.0</v>
      </c>
    </row>
    <row r="477">
      <c r="A477" s="43" t="s">
        <v>1198</v>
      </c>
      <c r="B477" s="47" t="s">
        <v>1199</v>
      </c>
      <c r="C477" s="43" t="s">
        <v>79</v>
      </c>
      <c r="D477" s="43">
        <v>5.0</v>
      </c>
      <c r="E477" s="43">
        <v>20.0</v>
      </c>
      <c r="F477" s="43">
        <f>IFERROR(__xludf.DUMMYFUNCTION("""COMPUTED_VALUE"""),27.0)</f>
        <v>27</v>
      </c>
      <c r="G477" s="43" t="s">
        <v>122</v>
      </c>
      <c r="H477" s="43" t="s">
        <v>113</v>
      </c>
      <c r="I477" s="43" t="s">
        <v>115</v>
      </c>
      <c r="J477" s="47" t="s">
        <v>115</v>
      </c>
      <c r="K477" s="38">
        <v>2.0</v>
      </c>
      <c r="L477" s="38">
        <v>13.0</v>
      </c>
      <c r="M477" s="38" t="str">
        <f>IFERROR(__xludf.DUMMYFUNCTION("""COMPUTED_VALUE"""),"General Sparepart")</f>
        <v>General Sparepart</v>
      </c>
      <c r="N477" s="38">
        <v>24.0</v>
      </c>
      <c r="O477" s="40">
        <v>46234.0</v>
      </c>
      <c r="P477" s="38" t="s">
        <v>126</v>
      </c>
      <c r="Q477" s="42">
        <v>17.0</v>
      </c>
      <c r="R477" s="42">
        <v>3.2727272727272725</v>
      </c>
      <c r="S477" s="38">
        <v>10.0</v>
      </c>
      <c r="T477" s="42">
        <v>12.881818181818181</v>
      </c>
      <c r="U477" s="42">
        <v>12.881818181818181</v>
      </c>
    </row>
    <row r="478">
      <c r="A478" s="43" t="s">
        <v>1200</v>
      </c>
      <c r="B478" s="47" t="s">
        <v>1201</v>
      </c>
      <c r="C478" s="43" t="s">
        <v>79</v>
      </c>
      <c r="D478" s="43">
        <v>5.0</v>
      </c>
      <c r="E478" s="43">
        <v>20.0</v>
      </c>
      <c r="F478" s="43">
        <f>IFERROR(__xludf.DUMMYFUNCTION("""COMPUTED_VALUE"""),20.0)</f>
        <v>20</v>
      </c>
      <c r="G478" s="43" t="s">
        <v>122</v>
      </c>
      <c r="H478" s="43" t="s">
        <v>113</v>
      </c>
      <c r="I478" s="43" t="s">
        <v>115</v>
      </c>
      <c r="J478" s="47" t="s">
        <v>115</v>
      </c>
      <c r="K478" s="38">
        <v>3.0</v>
      </c>
      <c r="L478" s="38">
        <v>20.0</v>
      </c>
      <c r="M478" s="38" t="str">
        <f>IFERROR(__xludf.DUMMYFUNCTION("""COMPUTED_VALUE"""),"Fast Moving / Consumable")</f>
        <v>Fast Moving / Consumable</v>
      </c>
      <c r="N478" s="38">
        <v>18.0</v>
      </c>
      <c r="O478" s="40">
        <v>46083.0</v>
      </c>
      <c r="P478" s="38" t="s">
        <v>126</v>
      </c>
      <c r="Q478" s="42">
        <v>3.0</v>
      </c>
      <c r="R478" s="42">
        <v>0.0</v>
      </c>
      <c r="S478" s="38">
        <v>20.0</v>
      </c>
      <c r="T478" s="42">
        <v>3.0</v>
      </c>
      <c r="U478" s="46">
        <v>20.0</v>
      </c>
    </row>
    <row r="479">
      <c r="A479" s="43" t="s">
        <v>1202</v>
      </c>
      <c r="B479" s="47" t="s">
        <v>1203</v>
      </c>
      <c r="C479" s="43" t="s">
        <v>79</v>
      </c>
      <c r="D479" s="43">
        <v>5.0</v>
      </c>
      <c r="E479" s="43">
        <v>20.0</v>
      </c>
      <c r="F479" s="43">
        <f>IFERROR(__xludf.DUMMYFUNCTION("""COMPUTED_VALUE"""),8.0)</f>
        <v>8</v>
      </c>
      <c r="G479" s="43" t="s">
        <v>122</v>
      </c>
      <c r="H479" s="43" t="s">
        <v>113</v>
      </c>
      <c r="I479" s="43" t="s">
        <v>115</v>
      </c>
      <c r="J479" s="47" t="s">
        <v>115</v>
      </c>
      <c r="K479" s="38">
        <v>1.0</v>
      </c>
      <c r="L479" s="38">
        <v>3.0</v>
      </c>
      <c r="M479" s="38" t="str">
        <f>IFERROR(__xludf.DUMMYFUNCTION("""COMPUTED_VALUE"""),"Fast Moving / Consumable")</f>
        <v>Fast Moving / Consumable</v>
      </c>
      <c r="N479" s="38">
        <v>18.0</v>
      </c>
      <c r="O479" s="40">
        <v>46022.0</v>
      </c>
      <c r="P479" s="38" t="s">
        <v>126</v>
      </c>
      <c r="Q479" s="42">
        <v>3.0</v>
      </c>
      <c r="R479" s="42">
        <v>0.5454545454545454</v>
      </c>
      <c r="S479" s="38">
        <v>0.0</v>
      </c>
      <c r="T479" s="42">
        <v>2.2636363636363632</v>
      </c>
      <c r="U479" s="42">
        <v>2.2636363636363632</v>
      </c>
    </row>
    <row r="480">
      <c r="A480" s="43" t="s">
        <v>1204</v>
      </c>
      <c r="B480" s="47" t="s">
        <v>1205</v>
      </c>
      <c r="C480" s="43" t="s">
        <v>79</v>
      </c>
      <c r="D480" s="43">
        <v>2.0</v>
      </c>
      <c r="E480" s="43">
        <v>15.0</v>
      </c>
      <c r="F480" s="43">
        <f>IFERROR(__xludf.DUMMYFUNCTION("""COMPUTED_VALUE"""),8.0)</f>
        <v>8</v>
      </c>
      <c r="G480" s="43" t="s">
        <v>122</v>
      </c>
      <c r="H480" s="43" t="s">
        <v>113</v>
      </c>
      <c r="I480" s="43" t="s">
        <v>115</v>
      </c>
      <c r="J480" s="47" t="s">
        <v>115</v>
      </c>
      <c r="K480" s="38">
        <v>1.0</v>
      </c>
      <c r="L480" s="38">
        <v>2.0</v>
      </c>
      <c r="M480" s="38" t="str">
        <f>IFERROR(__xludf.DUMMYFUNCTION("""COMPUTED_VALUE"""),"General Sparepart")</f>
        <v>General Sparepart</v>
      </c>
      <c r="N480" s="38">
        <v>24.0</v>
      </c>
      <c r="O480" s="40">
        <v>45743.0</v>
      </c>
      <c r="P480" s="38" t="s">
        <v>126</v>
      </c>
      <c r="Q480" s="42">
        <v>2.0</v>
      </c>
      <c r="R480" s="42">
        <v>0.2727272727272727</v>
      </c>
      <c r="S480" s="38">
        <v>0.0</v>
      </c>
      <c r="T480" s="42">
        <v>1.4818181818181817</v>
      </c>
      <c r="U480" s="42">
        <v>1.4818181818181817</v>
      </c>
    </row>
    <row r="481">
      <c r="A481" s="43" t="s">
        <v>1206</v>
      </c>
      <c r="B481" s="47" t="s">
        <v>1207</v>
      </c>
      <c r="C481" s="43" t="s">
        <v>79</v>
      </c>
      <c r="D481" s="43">
        <v>5.0</v>
      </c>
      <c r="E481" s="43">
        <v>20.0</v>
      </c>
      <c r="F481" s="43">
        <f>IFERROR(__xludf.DUMMYFUNCTION("""COMPUTED_VALUE"""),0.0)</f>
        <v>0</v>
      </c>
      <c r="G481" s="43" t="s">
        <v>112</v>
      </c>
      <c r="H481" s="43" t="s">
        <v>119</v>
      </c>
      <c r="I481" s="43" t="s">
        <v>141</v>
      </c>
      <c r="J481" s="47" t="s">
        <v>1208</v>
      </c>
      <c r="K481" s="38">
        <v>1.0</v>
      </c>
      <c r="L481" s="38">
        <v>6.0</v>
      </c>
      <c r="M481" s="38" t="str">
        <f>IFERROR(__xludf.DUMMYFUNCTION("""COMPUTED_VALUE"""),"General Sparepart")</f>
        <v>General Sparepart</v>
      </c>
      <c r="N481" s="38">
        <v>24.0</v>
      </c>
      <c r="O481" s="40">
        <v>46080.0</v>
      </c>
      <c r="P481" s="38" t="s">
        <v>126</v>
      </c>
      <c r="Q481" s="42">
        <v>5.0</v>
      </c>
      <c r="R481" s="42">
        <v>6.545454545454545</v>
      </c>
      <c r="S481" s="38">
        <v>0.0</v>
      </c>
      <c r="T481" s="42">
        <v>5.463636363636363</v>
      </c>
      <c r="U481" s="42">
        <v>5.463636363636363</v>
      </c>
    </row>
    <row r="482">
      <c r="A482" s="43" t="s">
        <v>1209</v>
      </c>
      <c r="B482" s="47" t="s">
        <v>1210</v>
      </c>
      <c r="C482" s="43" t="s">
        <v>79</v>
      </c>
      <c r="D482" s="43">
        <v>5.0</v>
      </c>
      <c r="E482" s="43">
        <v>10.0</v>
      </c>
      <c r="F482" s="43">
        <f>IFERROR(__xludf.DUMMYFUNCTION("""COMPUTED_VALUE"""),10.0)</f>
        <v>10</v>
      </c>
      <c r="G482" s="43" t="s">
        <v>122</v>
      </c>
      <c r="H482" s="43" t="s">
        <v>113</v>
      </c>
      <c r="I482" s="43" t="s">
        <v>115</v>
      </c>
      <c r="J482" s="47" t="s">
        <v>115</v>
      </c>
      <c r="K482" s="38">
        <v>2.0</v>
      </c>
      <c r="L482" s="38">
        <v>10.0</v>
      </c>
      <c r="M482" s="38" t="str">
        <f>IFERROR(__xludf.DUMMYFUNCTION("""COMPUTED_VALUE"""),"Fast Moving / Consumable")</f>
        <v>Fast Moving / Consumable</v>
      </c>
      <c r="N482" s="38">
        <v>18.0</v>
      </c>
      <c r="O482" s="40">
        <v>46085.0</v>
      </c>
      <c r="P482" s="38" t="s">
        <v>126</v>
      </c>
      <c r="Q482" s="42">
        <v>3.0</v>
      </c>
      <c r="R482" s="42">
        <v>0.0</v>
      </c>
      <c r="S482" s="38">
        <v>10.0</v>
      </c>
      <c r="T482" s="42">
        <v>3.0</v>
      </c>
      <c r="U482" s="46">
        <v>10.0</v>
      </c>
    </row>
    <row r="483">
      <c r="A483" s="43" t="s">
        <v>1211</v>
      </c>
      <c r="B483" s="47" t="s">
        <v>1212</v>
      </c>
      <c r="C483" s="43" t="s">
        <v>79</v>
      </c>
      <c r="D483" s="43">
        <v>5.0</v>
      </c>
      <c r="E483" s="43">
        <v>10.0</v>
      </c>
      <c r="F483" s="43">
        <f>IFERROR(__xludf.DUMMYFUNCTION("""COMPUTED_VALUE"""),10.0)</f>
        <v>10</v>
      </c>
      <c r="G483" s="43" t="s">
        <v>122</v>
      </c>
      <c r="H483" s="43" t="s">
        <v>113</v>
      </c>
      <c r="I483" s="43" t="s">
        <v>115</v>
      </c>
      <c r="J483" s="47" t="s">
        <v>115</v>
      </c>
      <c r="K483" s="38">
        <v>2.0</v>
      </c>
      <c r="L483" s="38">
        <v>10.0</v>
      </c>
      <c r="M483" s="38" t="str">
        <f>IFERROR(__xludf.DUMMYFUNCTION("""COMPUTED_VALUE"""),"Fast Moving / Consumable")</f>
        <v>Fast Moving / Consumable</v>
      </c>
      <c r="N483" s="38">
        <v>18.0</v>
      </c>
      <c r="O483" s="40">
        <v>46085.0</v>
      </c>
      <c r="P483" s="38" t="s">
        <v>126</v>
      </c>
      <c r="Q483" s="42">
        <v>2.0</v>
      </c>
      <c r="R483" s="42">
        <v>0.0</v>
      </c>
      <c r="S483" s="38">
        <v>10.0</v>
      </c>
      <c r="T483" s="42">
        <v>2.0</v>
      </c>
      <c r="U483" s="46">
        <v>10.0</v>
      </c>
    </row>
    <row r="484">
      <c r="A484" s="43" t="s">
        <v>1213</v>
      </c>
      <c r="B484" s="47" t="s">
        <v>1214</v>
      </c>
      <c r="C484" s="43" t="s">
        <v>79</v>
      </c>
      <c r="D484" s="43">
        <v>5.0</v>
      </c>
      <c r="E484" s="43">
        <v>10.0</v>
      </c>
      <c r="F484" s="43">
        <f>IFERROR(__xludf.DUMMYFUNCTION("""COMPUTED_VALUE"""),8.0)</f>
        <v>8</v>
      </c>
      <c r="G484" s="43" t="s">
        <v>122</v>
      </c>
      <c r="H484" s="43" t="s">
        <v>113</v>
      </c>
      <c r="I484" s="43" t="s">
        <v>115</v>
      </c>
      <c r="J484" s="47" t="s">
        <v>115</v>
      </c>
      <c r="K484" s="38">
        <v>2.0</v>
      </c>
      <c r="L484" s="38">
        <v>15.0</v>
      </c>
      <c r="M484" s="38" t="str">
        <f>IFERROR(__xludf.DUMMYFUNCTION("""COMPUTED_VALUE"""),"Fast Moving / Consumable")</f>
        <v>Fast Moving / Consumable</v>
      </c>
      <c r="N484" s="38">
        <v>18.0</v>
      </c>
      <c r="O484" s="40">
        <v>46203.0</v>
      </c>
      <c r="P484" s="38" t="s">
        <v>126</v>
      </c>
      <c r="Q484" s="42">
        <v>20.0</v>
      </c>
      <c r="R484" s="42">
        <v>0.8181818181818181</v>
      </c>
      <c r="S484" s="38">
        <v>10.0</v>
      </c>
      <c r="T484" s="42">
        <v>14.245454545454546</v>
      </c>
      <c r="U484" s="42">
        <v>14.245454545454546</v>
      </c>
    </row>
    <row r="485">
      <c r="A485" s="43" t="s">
        <v>1215</v>
      </c>
      <c r="B485" s="47" t="s">
        <v>1216</v>
      </c>
      <c r="C485" s="43" t="s">
        <v>79</v>
      </c>
      <c r="D485" s="43">
        <v>5.0</v>
      </c>
      <c r="E485" s="43">
        <v>10.0</v>
      </c>
      <c r="F485" s="43">
        <f>IFERROR(__xludf.DUMMYFUNCTION("""COMPUTED_VALUE"""),10.0)</f>
        <v>10</v>
      </c>
      <c r="G485" s="43" t="s">
        <v>122</v>
      </c>
      <c r="H485" s="43" t="s">
        <v>113</v>
      </c>
      <c r="I485" s="43" t="s">
        <v>115</v>
      </c>
      <c r="J485" s="47" t="s">
        <v>115</v>
      </c>
      <c r="K485" s="38">
        <v>3.0</v>
      </c>
      <c r="L485" s="38">
        <v>20.0</v>
      </c>
      <c r="M485" s="38" t="str">
        <f>IFERROR(__xludf.DUMMYFUNCTION("""COMPUTED_VALUE"""),"Fast Moving / Consumable")</f>
        <v>Fast Moving / Consumable</v>
      </c>
      <c r="N485" s="38">
        <v>18.0</v>
      </c>
      <c r="O485" s="40">
        <v>46085.0</v>
      </c>
      <c r="P485" s="38" t="s">
        <v>126</v>
      </c>
      <c r="Q485" s="42">
        <v>20.0</v>
      </c>
      <c r="R485" s="42">
        <v>0.0</v>
      </c>
      <c r="S485" s="38">
        <v>10.0</v>
      </c>
      <c r="T485" s="42">
        <v>20.0</v>
      </c>
      <c r="U485" s="42">
        <v>20.0</v>
      </c>
    </row>
    <row r="486">
      <c r="A486" s="43" t="s">
        <v>1217</v>
      </c>
      <c r="B486" s="47" t="s">
        <v>1218</v>
      </c>
      <c r="C486" s="43" t="s">
        <v>79</v>
      </c>
      <c r="D486" s="43">
        <v>3.0</v>
      </c>
      <c r="E486" s="43">
        <v>6.0</v>
      </c>
      <c r="F486" s="43">
        <f>IFERROR(__xludf.DUMMYFUNCTION("""COMPUTED_VALUE"""),3.0)</f>
        <v>3</v>
      </c>
      <c r="G486" s="43" t="s">
        <v>125</v>
      </c>
      <c r="H486" s="43" t="s">
        <v>113</v>
      </c>
      <c r="I486" s="43" t="s">
        <v>115</v>
      </c>
      <c r="J486" s="47" t="s">
        <v>115</v>
      </c>
      <c r="K486" s="38">
        <v>1.0</v>
      </c>
      <c r="L486" s="38">
        <v>9.0</v>
      </c>
      <c r="M486" s="38" t="str">
        <f>IFERROR(__xludf.DUMMYFUNCTION("""COMPUTED_VALUE"""),"Fast Moving / Consumable")</f>
        <v>Fast Moving / Consumable</v>
      </c>
      <c r="N486" s="38">
        <v>18.0</v>
      </c>
      <c r="O486" s="40">
        <v>46203.0</v>
      </c>
      <c r="P486" s="38" t="s">
        <v>126</v>
      </c>
      <c r="Q486" s="42">
        <v>12.0</v>
      </c>
      <c r="R486" s="42">
        <v>0.8181818181818181</v>
      </c>
      <c r="S486" s="38">
        <v>6.0</v>
      </c>
      <c r="T486" s="42">
        <v>8.645454545454545</v>
      </c>
      <c r="U486" s="42">
        <v>8.645454545454545</v>
      </c>
    </row>
    <row r="487">
      <c r="A487" s="43" t="s">
        <v>1219</v>
      </c>
      <c r="B487" s="47" t="s">
        <v>1220</v>
      </c>
      <c r="C487" s="43" t="s">
        <v>79</v>
      </c>
      <c r="D487" s="43">
        <v>3.0</v>
      </c>
      <c r="E487" s="43">
        <v>6.0</v>
      </c>
      <c r="F487" s="43">
        <f>IFERROR(__xludf.DUMMYFUNCTION("""COMPUTED_VALUE"""),6.0)</f>
        <v>6</v>
      </c>
      <c r="G487" s="43" t="s">
        <v>122</v>
      </c>
      <c r="H487" s="43" t="s">
        <v>113</v>
      </c>
      <c r="I487" s="43" t="s">
        <v>115</v>
      </c>
      <c r="J487" s="47" t="s">
        <v>115</v>
      </c>
      <c r="K487" s="38">
        <v>2.0</v>
      </c>
      <c r="L487" s="38">
        <v>12.0</v>
      </c>
      <c r="M487" s="38" t="str">
        <f>IFERROR(__xludf.DUMMYFUNCTION("""COMPUTED_VALUE"""),"Fast Moving / Consumable")</f>
        <v>Fast Moving / Consumable</v>
      </c>
      <c r="N487" s="38">
        <v>18.0</v>
      </c>
      <c r="O487" s="40">
        <v>46085.0</v>
      </c>
      <c r="P487" s="38" t="s">
        <v>126</v>
      </c>
      <c r="Q487" s="42">
        <v>12.0</v>
      </c>
      <c r="R487" s="42">
        <v>0.0</v>
      </c>
      <c r="S487" s="38">
        <v>6.0</v>
      </c>
      <c r="T487" s="42">
        <v>12.0</v>
      </c>
      <c r="U487" s="42">
        <v>12.0</v>
      </c>
    </row>
    <row r="488">
      <c r="A488" s="43" t="s">
        <v>1221</v>
      </c>
      <c r="B488" s="47" t="s">
        <v>1222</v>
      </c>
      <c r="C488" s="43" t="s">
        <v>79</v>
      </c>
      <c r="D488" s="43">
        <v>5.0</v>
      </c>
      <c r="E488" s="43">
        <v>20.0</v>
      </c>
      <c r="F488" s="43">
        <f>IFERROR(__xludf.DUMMYFUNCTION("""COMPUTED_VALUE"""),10.0)</f>
        <v>10</v>
      </c>
      <c r="G488" s="43" t="s">
        <v>122</v>
      </c>
      <c r="H488" s="43" t="s">
        <v>113</v>
      </c>
      <c r="I488" s="43" t="s">
        <v>115</v>
      </c>
      <c r="J488" s="47" t="s">
        <v>115</v>
      </c>
      <c r="K488" s="38">
        <v>2.0</v>
      </c>
      <c r="L488" s="38">
        <v>10.0</v>
      </c>
      <c r="M488" s="38" t="str">
        <f>IFERROR(__xludf.DUMMYFUNCTION("""COMPUTED_VALUE"""),"Fast Moving / Consumable")</f>
        <v>Fast Moving / Consumable</v>
      </c>
      <c r="N488" s="38">
        <v>18.0</v>
      </c>
      <c r="O488" s="40">
        <v>46086.0</v>
      </c>
      <c r="P488" s="38" t="s">
        <v>126</v>
      </c>
      <c r="Q488" s="42">
        <v>6.0</v>
      </c>
      <c r="R488" s="42">
        <v>1.0909090909090908</v>
      </c>
      <c r="S488" s="38">
        <v>10.0</v>
      </c>
      <c r="T488" s="42">
        <v>4.5272727272727264</v>
      </c>
      <c r="U488" s="46">
        <v>10.0</v>
      </c>
    </row>
    <row r="489">
      <c r="A489" s="43" t="s">
        <v>1223</v>
      </c>
      <c r="B489" s="47" t="s">
        <v>1224</v>
      </c>
      <c r="C489" s="43" t="s">
        <v>79</v>
      </c>
      <c r="D489" s="43">
        <v>3.0</v>
      </c>
      <c r="E489" s="43">
        <v>6.0</v>
      </c>
      <c r="F489" s="43">
        <f>IFERROR(__xludf.DUMMYFUNCTION("""COMPUTED_VALUE"""),6.0)</f>
        <v>6</v>
      </c>
      <c r="G489" s="43" t="s">
        <v>122</v>
      </c>
      <c r="H489" s="43" t="s">
        <v>113</v>
      </c>
      <c r="I489" s="43" t="s">
        <v>115</v>
      </c>
      <c r="J489" s="47" t="s">
        <v>115</v>
      </c>
      <c r="K489" s="38">
        <v>1.0</v>
      </c>
      <c r="L489" s="38">
        <v>4.0</v>
      </c>
      <c r="M489" s="38" t="str">
        <f>IFERROR(__xludf.DUMMYFUNCTION("""COMPUTED_VALUE"""),"Fast Moving / Consumable")</f>
        <v>Fast Moving / Consumable</v>
      </c>
      <c r="N489" s="38">
        <v>18.0</v>
      </c>
      <c r="O489" s="40">
        <v>46085.0</v>
      </c>
      <c r="P489" s="38" t="s">
        <v>126</v>
      </c>
      <c r="Q489" s="42">
        <v>1.0</v>
      </c>
      <c r="R489" s="42">
        <v>1.0909090909090908</v>
      </c>
      <c r="S489" s="38">
        <v>4.0</v>
      </c>
      <c r="T489" s="42">
        <v>1.0272727272727271</v>
      </c>
      <c r="U489" s="46">
        <v>4.0</v>
      </c>
    </row>
    <row r="490">
      <c r="A490" s="43" t="s">
        <v>1226</v>
      </c>
      <c r="B490" s="47" t="s">
        <v>1227</v>
      </c>
      <c r="C490" s="43" t="s">
        <v>79</v>
      </c>
      <c r="D490" s="43">
        <v>3.0</v>
      </c>
      <c r="E490" s="43">
        <v>6.0</v>
      </c>
      <c r="F490" s="43">
        <f>IFERROR(__xludf.DUMMYFUNCTION("""COMPUTED_VALUE"""),11.0)</f>
        <v>11</v>
      </c>
      <c r="G490" s="43" t="s">
        <v>122</v>
      </c>
      <c r="H490" s="43" t="s">
        <v>113</v>
      </c>
      <c r="I490" s="43" t="s">
        <v>115</v>
      </c>
      <c r="J490" s="47" t="s">
        <v>115</v>
      </c>
      <c r="K490" s="38">
        <v>3.0</v>
      </c>
      <c r="L490" s="38">
        <v>23.0</v>
      </c>
      <c r="M490" s="38" t="str">
        <f>IFERROR(__xludf.DUMMYFUNCTION("""COMPUTED_VALUE"""),"Fast Moving / Consumable")</f>
        <v>Fast Moving / Consumable</v>
      </c>
      <c r="N490" s="38">
        <v>18.0</v>
      </c>
      <c r="O490" s="40">
        <v>46234.0</v>
      </c>
      <c r="P490" s="38" t="s">
        <v>126</v>
      </c>
      <c r="Q490" s="42">
        <v>32.0</v>
      </c>
      <c r="R490" s="42">
        <v>1.3636363636363635</v>
      </c>
      <c r="S490" s="38">
        <v>16.0</v>
      </c>
      <c r="T490" s="42">
        <v>22.80909090909091</v>
      </c>
      <c r="U490" s="42">
        <v>22.80909090909091</v>
      </c>
    </row>
    <row r="491">
      <c r="A491" s="43" t="s">
        <v>1228</v>
      </c>
      <c r="B491" s="47" t="s">
        <v>1229</v>
      </c>
      <c r="C491" s="43" t="s">
        <v>79</v>
      </c>
      <c r="D491" s="43">
        <v>3.0</v>
      </c>
      <c r="E491" s="43">
        <v>6.0</v>
      </c>
      <c r="F491" s="43">
        <f>IFERROR(__xludf.DUMMYFUNCTION("""COMPUTED_VALUE"""),6.0)</f>
        <v>6</v>
      </c>
      <c r="G491" s="43" t="s">
        <v>122</v>
      </c>
      <c r="H491" s="43" t="s">
        <v>113</v>
      </c>
      <c r="I491" s="43" t="s">
        <v>115</v>
      </c>
      <c r="J491" s="47" t="s">
        <v>115</v>
      </c>
      <c r="K491" s="38">
        <v>1.0</v>
      </c>
      <c r="L491" s="38">
        <v>9.0</v>
      </c>
      <c r="M491" s="38" t="str">
        <f>IFERROR(__xludf.DUMMYFUNCTION("""COMPUTED_VALUE"""),"Fast Moving / Consumable")</f>
        <v>Fast Moving / Consumable</v>
      </c>
      <c r="N491" s="38">
        <v>18.0</v>
      </c>
      <c r="O491" s="40">
        <v>46085.0</v>
      </c>
      <c r="P491" s="38" t="s">
        <v>126</v>
      </c>
      <c r="Q491" s="42">
        <v>8.0</v>
      </c>
      <c r="R491" s="42">
        <v>8.454545454545455</v>
      </c>
      <c r="S491" s="38">
        <v>6.0</v>
      </c>
      <c r="T491" s="42">
        <v>8.136363636363637</v>
      </c>
      <c r="U491" s="42">
        <v>8.136363636363637</v>
      </c>
    </row>
    <row r="492">
      <c r="A492" s="43" t="s">
        <v>1230</v>
      </c>
      <c r="B492" s="47" t="s">
        <v>1231</v>
      </c>
      <c r="C492" s="43" t="s">
        <v>79</v>
      </c>
      <c r="D492" s="43">
        <v>3.0</v>
      </c>
      <c r="E492" s="43">
        <v>6.0</v>
      </c>
      <c r="F492" s="43">
        <f>IFERROR(__xludf.DUMMYFUNCTION("""COMPUTED_VALUE"""),0.0)</f>
        <v>0</v>
      </c>
      <c r="G492" s="43" t="s">
        <v>112</v>
      </c>
      <c r="H492" s="43" t="s">
        <v>119</v>
      </c>
      <c r="I492" s="43" t="s">
        <v>119</v>
      </c>
      <c r="J492" s="47" t="s">
        <v>115</v>
      </c>
      <c r="K492" s="38">
        <v>0.0</v>
      </c>
      <c r="L492" s="38">
        <v>0.0</v>
      </c>
      <c r="M492" s="38" t="str">
        <f>IFERROR(__xludf.DUMMYFUNCTION("""COMPUTED_VALUE"""),"Fast Moving / Consumable")</f>
        <v>Fast Moving / Consumable</v>
      </c>
      <c r="N492" s="38">
        <v>18.0</v>
      </c>
      <c r="O492" s="40">
        <v>0.0</v>
      </c>
      <c r="P492" s="38" t="s">
        <v>116</v>
      </c>
      <c r="Q492" s="42">
        <v>0.0</v>
      </c>
      <c r="R492" s="42">
        <v>0.0</v>
      </c>
      <c r="S492" s="38">
        <v>0.0</v>
      </c>
      <c r="T492" s="42">
        <v>0.0</v>
      </c>
      <c r="U492" s="42">
        <v>0.0</v>
      </c>
    </row>
    <row r="493">
      <c r="A493" s="43" t="s">
        <v>1232</v>
      </c>
      <c r="B493" s="47" t="s">
        <v>1233</v>
      </c>
      <c r="C493" s="43" t="s">
        <v>79</v>
      </c>
      <c r="D493" s="43">
        <v>5.0</v>
      </c>
      <c r="E493" s="43">
        <v>20.0</v>
      </c>
      <c r="F493" s="43">
        <f>IFERROR(__xludf.DUMMYFUNCTION("""COMPUTED_VALUE"""),19.0)</f>
        <v>19</v>
      </c>
      <c r="G493" s="43" t="s">
        <v>122</v>
      </c>
      <c r="H493" s="43" t="s">
        <v>113</v>
      </c>
      <c r="I493" s="43" t="s">
        <v>115</v>
      </c>
      <c r="J493" s="47" t="s">
        <v>1234</v>
      </c>
      <c r="K493" s="38">
        <v>3.0</v>
      </c>
      <c r="L493" s="38">
        <v>27.0</v>
      </c>
      <c r="M493" s="38" t="str">
        <f>IFERROR(__xludf.DUMMYFUNCTION("""COMPUTED_VALUE"""),"General Sparepart")</f>
        <v>General Sparepart</v>
      </c>
      <c r="N493" s="38">
        <v>24.0</v>
      </c>
      <c r="O493" s="40">
        <v>46260.0</v>
      </c>
      <c r="P493" s="38" t="s">
        <v>126</v>
      </c>
      <c r="Q493" s="42">
        <v>19.0</v>
      </c>
      <c r="R493" s="42">
        <v>6.545454545454545</v>
      </c>
      <c r="S493" s="38">
        <v>27.0</v>
      </c>
      <c r="T493" s="42">
        <v>15.263636363636362</v>
      </c>
      <c r="U493" s="46">
        <v>27.0</v>
      </c>
    </row>
    <row r="494">
      <c r="A494" s="43" t="s">
        <v>1235</v>
      </c>
      <c r="B494" s="47" t="s">
        <v>1236</v>
      </c>
      <c r="C494" s="43" t="s">
        <v>79</v>
      </c>
      <c r="D494" s="43">
        <v>5.0</v>
      </c>
      <c r="E494" s="43">
        <v>20.0</v>
      </c>
      <c r="F494" s="43">
        <f>IFERROR(__xludf.DUMMYFUNCTION("""COMPUTED_VALUE"""),16.0)</f>
        <v>16</v>
      </c>
      <c r="G494" s="43" t="s">
        <v>122</v>
      </c>
      <c r="H494" s="43" t="s">
        <v>113</v>
      </c>
      <c r="I494" s="43" t="s">
        <v>115</v>
      </c>
      <c r="J494" s="47" t="s">
        <v>115</v>
      </c>
      <c r="K494" s="38">
        <v>2.0</v>
      </c>
      <c r="L494" s="38">
        <v>11.0</v>
      </c>
      <c r="M494" s="38" t="str">
        <f>IFERROR(__xludf.DUMMYFUNCTION("""COMPUTED_VALUE"""),"Fast Moving / Consumable")</f>
        <v>Fast Moving / Consumable</v>
      </c>
      <c r="N494" s="38">
        <v>18.0</v>
      </c>
      <c r="O494" s="40">
        <v>46080.0</v>
      </c>
      <c r="P494" s="38" t="s">
        <v>126</v>
      </c>
      <c r="Q494" s="42">
        <v>14.0</v>
      </c>
      <c r="R494" s="42">
        <v>2.4545454545454546</v>
      </c>
      <c r="S494" s="38">
        <v>10.0</v>
      </c>
      <c r="T494" s="42">
        <v>10.536363636363635</v>
      </c>
      <c r="U494" s="42">
        <v>10.536363636363635</v>
      </c>
    </row>
    <row r="495">
      <c r="A495" s="43" t="s">
        <v>1237</v>
      </c>
      <c r="B495" s="47" t="s">
        <v>1238</v>
      </c>
      <c r="C495" s="43" t="s">
        <v>79</v>
      </c>
      <c r="D495" s="43">
        <v>5.0</v>
      </c>
      <c r="E495" s="43">
        <v>20.0</v>
      </c>
      <c r="F495" s="43">
        <f>IFERROR(__xludf.DUMMYFUNCTION("""COMPUTED_VALUE"""),7.0)</f>
        <v>7</v>
      </c>
      <c r="G495" s="43" t="s">
        <v>122</v>
      </c>
      <c r="H495" s="43" t="s">
        <v>119</v>
      </c>
      <c r="I495" s="43" t="s">
        <v>119</v>
      </c>
      <c r="J495" s="47" t="s">
        <v>115</v>
      </c>
      <c r="K495" s="38">
        <v>2.0</v>
      </c>
      <c r="L495" s="38">
        <v>15.0</v>
      </c>
      <c r="M495" s="38" t="str">
        <f>IFERROR(__xludf.DUMMYFUNCTION("""COMPUTED_VALUE"""),"Fast Moving / Consumable")</f>
        <v>Fast Moving / Consumable</v>
      </c>
      <c r="N495" s="38">
        <v>18.0</v>
      </c>
      <c r="O495" s="40">
        <v>46260.0</v>
      </c>
      <c r="P495" s="38" t="s">
        <v>126</v>
      </c>
      <c r="Q495" s="42">
        <v>20.0</v>
      </c>
      <c r="R495" s="42">
        <v>1.3636363636363635</v>
      </c>
      <c r="S495" s="38">
        <v>10.0</v>
      </c>
      <c r="T495" s="42">
        <v>14.409090909090908</v>
      </c>
      <c r="U495" s="42">
        <v>14.409090909090908</v>
      </c>
    </row>
    <row r="496">
      <c r="A496" s="43" t="s">
        <v>1239</v>
      </c>
      <c r="B496" s="47" t="s">
        <v>1240</v>
      </c>
      <c r="C496" s="43" t="s">
        <v>79</v>
      </c>
      <c r="D496" s="43">
        <v>2.0</v>
      </c>
      <c r="E496" s="43">
        <v>15.0</v>
      </c>
      <c r="F496" s="43">
        <f>IFERROR(__xludf.DUMMYFUNCTION("""COMPUTED_VALUE"""),11.0)</f>
        <v>11</v>
      </c>
      <c r="G496" s="43" t="s">
        <v>122</v>
      </c>
      <c r="H496" s="43" t="s">
        <v>113</v>
      </c>
      <c r="I496" s="43" t="s">
        <v>115</v>
      </c>
      <c r="J496" s="47" t="s">
        <v>115</v>
      </c>
      <c r="K496" s="38">
        <v>2.0</v>
      </c>
      <c r="L496" s="38">
        <v>15.0</v>
      </c>
      <c r="M496" s="38" t="str">
        <f>IFERROR(__xludf.DUMMYFUNCTION("""COMPUTED_VALUE"""),"Critical Sparepart")</f>
        <v>Critical Sparepart</v>
      </c>
      <c r="N496" s="38">
        <v>36.0</v>
      </c>
      <c r="O496" s="40">
        <v>46260.0</v>
      </c>
      <c r="P496" s="38" t="s">
        <v>126</v>
      </c>
      <c r="Q496" s="42">
        <v>5.0</v>
      </c>
      <c r="R496" s="42">
        <v>6.2727272727272725</v>
      </c>
      <c r="S496" s="38">
        <v>15.0</v>
      </c>
      <c r="T496" s="42">
        <v>5.381818181818182</v>
      </c>
      <c r="U496" s="46">
        <v>15.0</v>
      </c>
    </row>
    <row r="497">
      <c r="A497" s="43" t="s">
        <v>1241</v>
      </c>
      <c r="B497" s="47" t="s">
        <v>1242</v>
      </c>
      <c r="C497" s="43" t="s">
        <v>79</v>
      </c>
      <c r="D497" s="43">
        <v>2.0</v>
      </c>
      <c r="E497" s="43">
        <v>15.0</v>
      </c>
      <c r="F497" s="43">
        <f>IFERROR(__xludf.DUMMYFUNCTION("""COMPUTED_VALUE"""),13.0)</f>
        <v>13</v>
      </c>
      <c r="G497" s="43" t="s">
        <v>122</v>
      </c>
      <c r="H497" s="43" t="s">
        <v>113</v>
      </c>
      <c r="I497" s="43" t="s">
        <v>115</v>
      </c>
      <c r="J497" s="47" t="s">
        <v>115</v>
      </c>
      <c r="K497" s="38">
        <v>2.0</v>
      </c>
      <c r="L497" s="38">
        <v>14.0</v>
      </c>
      <c r="M497" s="38" t="str">
        <f>IFERROR(__xludf.DUMMYFUNCTION("""COMPUTED_VALUE"""),"Critical Sparepart")</f>
        <v>Critical Sparepart</v>
      </c>
      <c r="N497" s="38">
        <v>36.0</v>
      </c>
      <c r="O497" s="40">
        <v>46260.0</v>
      </c>
      <c r="P497" s="38" t="s">
        <v>126</v>
      </c>
      <c r="Q497" s="42">
        <v>6.0</v>
      </c>
      <c r="R497" s="42">
        <v>6.818181818181818</v>
      </c>
      <c r="S497" s="38">
        <v>14.0</v>
      </c>
      <c r="T497" s="42">
        <v>6.245454545454544</v>
      </c>
      <c r="U497" s="46">
        <v>14.0</v>
      </c>
    </row>
    <row r="498">
      <c r="A498" s="43" t="s">
        <v>1243</v>
      </c>
      <c r="B498" s="47" t="s">
        <v>1244</v>
      </c>
      <c r="C498" s="43" t="s">
        <v>79</v>
      </c>
      <c r="D498" s="43">
        <v>50.0</v>
      </c>
      <c r="E498" s="43">
        <v>200.0</v>
      </c>
      <c r="F498" s="43">
        <f>IFERROR(__xludf.DUMMYFUNCTION("""COMPUTED_VALUE"""),50.0)</f>
        <v>50</v>
      </c>
      <c r="G498" s="43" t="s">
        <v>125</v>
      </c>
      <c r="H498" s="43" t="s">
        <v>113</v>
      </c>
      <c r="I498" s="43" t="s">
        <v>115</v>
      </c>
      <c r="J498" s="47" t="s">
        <v>115</v>
      </c>
      <c r="K498" s="38">
        <v>8.0</v>
      </c>
      <c r="L498" s="38">
        <v>75.0</v>
      </c>
      <c r="M498" s="38" t="str">
        <f>IFERROR(__xludf.DUMMYFUNCTION("""COMPUTED_VALUE"""),"General Sparepart")</f>
        <v>General Sparepart</v>
      </c>
      <c r="N498" s="38">
        <v>24.0</v>
      </c>
      <c r="O498" s="40">
        <v>46084.0</v>
      </c>
      <c r="P498" s="38" t="s">
        <v>126</v>
      </c>
      <c r="Q498" s="42">
        <v>89.0</v>
      </c>
      <c r="R498" s="42">
        <v>41.72727272727273</v>
      </c>
      <c r="S498" s="38">
        <v>50.0</v>
      </c>
      <c r="T498" s="42">
        <v>74.81818181818181</v>
      </c>
      <c r="U498" s="42">
        <v>74.81818181818181</v>
      </c>
    </row>
    <row r="499">
      <c r="A499" s="43" t="s">
        <v>1245</v>
      </c>
      <c r="B499" s="47" t="s">
        <v>1246</v>
      </c>
      <c r="C499" s="43" t="s">
        <v>79</v>
      </c>
      <c r="D499" s="43">
        <v>5.0</v>
      </c>
      <c r="E499" s="43">
        <v>20.0</v>
      </c>
      <c r="F499" s="43">
        <f>IFERROR(__xludf.DUMMYFUNCTION("""COMPUTED_VALUE"""),19.0)</f>
        <v>19</v>
      </c>
      <c r="G499" s="43" t="s">
        <v>122</v>
      </c>
      <c r="H499" s="43" t="s">
        <v>113</v>
      </c>
      <c r="I499" s="43" t="s">
        <v>115</v>
      </c>
      <c r="J499" s="47" t="s">
        <v>115</v>
      </c>
      <c r="K499" s="38">
        <v>3.0</v>
      </c>
      <c r="L499" s="38">
        <v>20.0</v>
      </c>
      <c r="M499" s="38" t="str">
        <f>IFERROR(__xludf.DUMMYFUNCTION("""COMPUTED_VALUE"""),"Fast Moving / Consumable")</f>
        <v>Fast Moving / Consumable</v>
      </c>
      <c r="N499" s="38">
        <v>18.0</v>
      </c>
      <c r="O499" s="40">
        <v>46203.0</v>
      </c>
      <c r="P499" s="38" t="s">
        <v>126</v>
      </c>
      <c r="Q499" s="42">
        <v>12.0</v>
      </c>
      <c r="R499" s="42">
        <v>1.6363636363636362</v>
      </c>
      <c r="S499" s="38">
        <v>20.0</v>
      </c>
      <c r="T499" s="42">
        <v>8.890909090909089</v>
      </c>
      <c r="U499" s="46">
        <v>20.0</v>
      </c>
    </row>
    <row r="500">
      <c r="A500" s="43" t="s">
        <v>1247</v>
      </c>
      <c r="B500" s="47" t="s">
        <v>1248</v>
      </c>
      <c r="C500" s="43" t="s">
        <v>79</v>
      </c>
      <c r="D500" s="43">
        <v>5.0</v>
      </c>
      <c r="E500" s="43">
        <v>20.0</v>
      </c>
      <c r="F500" s="43">
        <f>IFERROR(__xludf.DUMMYFUNCTION("""COMPUTED_VALUE"""),10.0)</f>
        <v>10</v>
      </c>
      <c r="G500" s="43" t="s">
        <v>122</v>
      </c>
      <c r="H500" s="43" t="s">
        <v>113</v>
      </c>
      <c r="I500" s="43" t="s">
        <v>115</v>
      </c>
      <c r="J500" s="47" t="s">
        <v>115</v>
      </c>
      <c r="K500" s="38">
        <v>2.0</v>
      </c>
      <c r="L500" s="38">
        <v>10.0</v>
      </c>
      <c r="M500" s="38" t="str">
        <f>IFERROR(__xludf.DUMMYFUNCTION("""COMPUTED_VALUE"""),"Fast Moving / Consumable")</f>
        <v>Fast Moving / Consumable</v>
      </c>
      <c r="N500" s="38">
        <v>18.0</v>
      </c>
      <c r="O500" s="40">
        <v>46020.0</v>
      </c>
      <c r="P500" s="38" t="s">
        <v>126</v>
      </c>
      <c r="Q500" s="42">
        <v>2.0</v>
      </c>
      <c r="R500" s="42">
        <v>0.0</v>
      </c>
      <c r="S500" s="38">
        <v>10.0</v>
      </c>
      <c r="T500" s="42">
        <v>2.0</v>
      </c>
      <c r="U500" s="46">
        <v>10.0</v>
      </c>
    </row>
    <row r="501">
      <c r="A501" s="43" t="s">
        <v>1249</v>
      </c>
      <c r="B501" s="47" t="s">
        <v>1250</v>
      </c>
      <c r="C501" s="43" t="s">
        <v>79</v>
      </c>
      <c r="D501" s="43">
        <v>5.0</v>
      </c>
      <c r="E501" s="43">
        <v>20.0</v>
      </c>
      <c r="F501" s="43">
        <f>IFERROR(__xludf.DUMMYFUNCTION("""COMPUTED_VALUE"""),32.0)</f>
        <v>32</v>
      </c>
      <c r="G501" s="43" t="s">
        <v>122</v>
      </c>
      <c r="H501" s="43" t="s">
        <v>113</v>
      </c>
      <c r="I501" s="43" t="s">
        <v>115</v>
      </c>
      <c r="J501" s="47" t="s">
        <v>115</v>
      </c>
      <c r="K501" s="38">
        <v>3.0</v>
      </c>
      <c r="L501" s="38">
        <v>20.0</v>
      </c>
      <c r="M501" s="38" t="str">
        <f>IFERROR(__xludf.DUMMYFUNCTION("""COMPUTED_VALUE"""),"Fast Moving / Consumable")</f>
        <v>Fast Moving / Consumable</v>
      </c>
      <c r="N501" s="38">
        <v>18.0</v>
      </c>
      <c r="O501" s="40">
        <v>46234.0</v>
      </c>
      <c r="P501" s="38" t="s">
        <v>126</v>
      </c>
      <c r="Q501" s="42">
        <v>25.0</v>
      </c>
      <c r="R501" s="42">
        <v>5.181818181818182</v>
      </c>
      <c r="S501" s="38">
        <v>20.0</v>
      </c>
      <c r="T501" s="42">
        <v>19.054545454545455</v>
      </c>
      <c r="U501" s="46">
        <v>20.0</v>
      </c>
    </row>
    <row r="502">
      <c r="A502" s="43" t="s">
        <v>1251</v>
      </c>
      <c r="B502" s="47" t="s">
        <v>1252</v>
      </c>
      <c r="C502" s="43" t="s">
        <v>79</v>
      </c>
      <c r="D502" s="43">
        <v>5.0</v>
      </c>
      <c r="E502" s="43">
        <v>20.0</v>
      </c>
      <c r="F502" s="43">
        <f>IFERROR(__xludf.DUMMYFUNCTION("""COMPUTED_VALUE"""),18.0)</f>
        <v>18</v>
      </c>
      <c r="G502" s="43" t="s">
        <v>122</v>
      </c>
      <c r="H502" s="43" t="s">
        <v>113</v>
      </c>
      <c r="I502" s="43" t="s">
        <v>115</v>
      </c>
      <c r="J502" s="47" t="s">
        <v>115</v>
      </c>
      <c r="K502" s="38">
        <v>2.0</v>
      </c>
      <c r="L502" s="38">
        <v>16.0</v>
      </c>
      <c r="M502" s="38" t="str">
        <f>IFERROR(__xludf.DUMMYFUNCTION("""COMPUTED_VALUE"""),"Fast Moving / Consumable")</f>
        <v>Fast Moving / Consumable</v>
      </c>
      <c r="N502" s="38">
        <v>18.0</v>
      </c>
      <c r="O502" s="40">
        <v>46260.0</v>
      </c>
      <c r="P502" s="38" t="s">
        <v>126</v>
      </c>
      <c r="Q502" s="42">
        <v>12.0</v>
      </c>
      <c r="R502" s="42">
        <v>3.8181818181818183</v>
      </c>
      <c r="S502" s="38">
        <v>16.0</v>
      </c>
      <c r="T502" s="42">
        <v>9.545454545454543</v>
      </c>
      <c r="U502" s="46">
        <v>16.0</v>
      </c>
    </row>
    <row r="503">
      <c r="A503" s="43" t="s">
        <v>1253</v>
      </c>
      <c r="B503" s="47" t="s">
        <v>1254</v>
      </c>
      <c r="C503" s="43" t="s">
        <v>79</v>
      </c>
      <c r="D503" s="43">
        <v>5.0</v>
      </c>
      <c r="E503" s="43">
        <v>20.0</v>
      </c>
      <c r="F503" s="43">
        <f>IFERROR(__xludf.DUMMYFUNCTION("""COMPUTED_VALUE"""),23.0)</f>
        <v>23</v>
      </c>
      <c r="G503" s="43" t="s">
        <v>122</v>
      </c>
      <c r="H503" s="43" t="s">
        <v>113</v>
      </c>
      <c r="I503" s="43" t="s">
        <v>115</v>
      </c>
      <c r="J503" s="47" t="s">
        <v>115</v>
      </c>
      <c r="K503" s="38">
        <v>3.0</v>
      </c>
      <c r="L503" s="38">
        <v>22.0</v>
      </c>
      <c r="M503" s="38" t="str">
        <f>IFERROR(__xludf.DUMMYFUNCTION("""COMPUTED_VALUE"""),"Fast Moving / Consumable")</f>
        <v>Fast Moving / Consumable</v>
      </c>
      <c r="N503" s="38">
        <v>18.0</v>
      </c>
      <c r="O503" s="40">
        <v>46260.0</v>
      </c>
      <c r="P503" s="38" t="s">
        <v>126</v>
      </c>
      <c r="Q503" s="42">
        <v>26.0</v>
      </c>
      <c r="R503" s="42">
        <v>11.454545454545455</v>
      </c>
      <c r="S503" s="38">
        <v>20.0</v>
      </c>
      <c r="T503" s="42">
        <v>21.636363636363637</v>
      </c>
      <c r="U503" s="42">
        <v>21.636363636363637</v>
      </c>
    </row>
    <row r="504">
      <c r="A504" s="43" t="s">
        <v>1255</v>
      </c>
      <c r="B504" s="47" t="s">
        <v>1256</v>
      </c>
      <c r="C504" s="43" t="s">
        <v>79</v>
      </c>
      <c r="D504" s="43">
        <v>5.0</v>
      </c>
      <c r="E504" s="43">
        <v>20.0</v>
      </c>
      <c r="F504" s="43">
        <f>IFERROR(__xludf.DUMMYFUNCTION("""COMPUTED_VALUE"""),20.0)</f>
        <v>20</v>
      </c>
      <c r="G504" s="43" t="s">
        <v>122</v>
      </c>
      <c r="H504" s="43" t="s">
        <v>113</v>
      </c>
      <c r="I504" s="43" t="s">
        <v>115</v>
      </c>
      <c r="J504" s="47" t="s">
        <v>115</v>
      </c>
      <c r="K504" s="38">
        <v>3.0</v>
      </c>
      <c r="L504" s="38">
        <v>20.0</v>
      </c>
      <c r="M504" s="38" t="str">
        <f>IFERROR(__xludf.DUMMYFUNCTION("""COMPUTED_VALUE"""),"Fast Moving / Consumable")</f>
        <v>Fast Moving / Consumable</v>
      </c>
      <c r="N504" s="38">
        <v>18.0</v>
      </c>
      <c r="O504" s="40">
        <v>46083.0</v>
      </c>
      <c r="P504" s="38" t="s">
        <v>126</v>
      </c>
      <c r="Q504" s="42">
        <v>9.0</v>
      </c>
      <c r="R504" s="42">
        <v>1.6363636363636362</v>
      </c>
      <c r="S504" s="38">
        <v>20.0</v>
      </c>
      <c r="T504" s="42">
        <v>6.790909090909091</v>
      </c>
      <c r="U504" s="46">
        <v>20.0</v>
      </c>
    </row>
    <row r="505">
      <c r="A505" s="43" t="s">
        <v>1257</v>
      </c>
      <c r="B505" s="47" t="s">
        <v>1258</v>
      </c>
      <c r="C505" s="43" t="s">
        <v>79</v>
      </c>
      <c r="D505" s="43">
        <v>5.0</v>
      </c>
      <c r="E505" s="43">
        <v>20.0</v>
      </c>
      <c r="F505" s="43">
        <f>IFERROR(__xludf.DUMMYFUNCTION("""COMPUTED_VALUE"""),20.0)</f>
        <v>20</v>
      </c>
      <c r="G505" s="43" t="s">
        <v>122</v>
      </c>
      <c r="H505" s="43" t="s">
        <v>113</v>
      </c>
      <c r="I505" s="43" t="s">
        <v>115</v>
      </c>
      <c r="J505" s="47" t="s">
        <v>115</v>
      </c>
      <c r="K505" s="38">
        <v>3.0</v>
      </c>
      <c r="L505" s="38">
        <v>20.0</v>
      </c>
      <c r="M505" s="38" t="str">
        <f>IFERROR(__xludf.DUMMYFUNCTION("""COMPUTED_VALUE"""),"Fast Moving / Consumable")</f>
        <v>Fast Moving / Consumable</v>
      </c>
      <c r="N505" s="38">
        <v>18.0</v>
      </c>
      <c r="O505" s="40">
        <v>46112.0</v>
      </c>
      <c r="P505" s="38" t="s">
        <v>126</v>
      </c>
      <c r="Q505" s="42">
        <v>4.0</v>
      </c>
      <c r="R505" s="42">
        <v>0.8181818181818181</v>
      </c>
      <c r="S505" s="38">
        <v>20.0</v>
      </c>
      <c r="T505" s="42">
        <v>3.0454545454545454</v>
      </c>
      <c r="U505" s="46">
        <v>20.0</v>
      </c>
    </row>
    <row r="506">
      <c r="A506" s="43" t="s">
        <v>1259</v>
      </c>
      <c r="B506" s="47" t="s">
        <v>1260</v>
      </c>
      <c r="C506" s="43" t="s">
        <v>79</v>
      </c>
      <c r="D506" s="43">
        <v>5.0</v>
      </c>
      <c r="E506" s="43">
        <v>20.0</v>
      </c>
      <c r="F506" s="43">
        <f>IFERROR(__xludf.DUMMYFUNCTION("""COMPUTED_VALUE"""),19.0)</f>
        <v>19</v>
      </c>
      <c r="G506" s="43" t="s">
        <v>122</v>
      </c>
      <c r="H506" s="43" t="s">
        <v>113</v>
      </c>
      <c r="I506" s="43" t="s">
        <v>115</v>
      </c>
      <c r="J506" s="47" t="s">
        <v>115</v>
      </c>
      <c r="K506" s="38">
        <v>3.0</v>
      </c>
      <c r="L506" s="38">
        <v>20.0</v>
      </c>
      <c r="M506" s="38" t="str">
        <f>IFERROR(__xludf.DUMMYFUNCTION("""COMPUTED_VALUE"""),"Fast Moving / Consumable")</f>
        <v>Fast Moving / Consumable</v>
      </c>
      <c r="N506" s="38">
        <v>18.0</v>
      </c>
      <c r="O506" s="40">
        <v>46203.0</v>
      </c>
      <c r="P506" s="38" t="s">
        <v>126</v>
      </c>
      <c r="Q506" s="42">
        <v>13.0</v>
      </c>
      <c r="R506" s="42">
        <v>3.545454545454546</v>
      </c>
      <c r="S506" s="38">
        <v>20.0</v>
      </c>
      <c r="T506" s="42">
        <v>10.163636363636364</v>
      </c>
      <c r="U506" s="46">
        <v>20.0</v>
      </c>
    </row>
    <row r="507">
      <c r="A507" s="43" t="s">
        <v>1261</v>
      </c>
      <c r="B507" s="47" t="s">
        <v>1262</v>
      </c>
      <c r="C507" s="43" t="s">
        <v>79</v>
      </c>
      <c r="D507" s="43">
        <v>50.0</v>
      </c>
      <c r="E507" s="43">
        <v>200.0</v>
      </c>
      <c r="F507" s="43">
        <f>IFERROR(__xludf.DUMMYFUNCTION("""COMPUTED_VALUE"""),100.0)</f>
        <v>100</v>
      </c>
      <c r="G507" s="43" t="s">
        <v>122</v>
      </c>
      <c r="H507" s="43" t="s">
        <v>113</v>
      </c>
      <c r="I507" s="43" t="s">
        <v>115</v>
      </c>
      <c r="J507" s="47" t="s">
        <v>115</v>
      </c>
      <c r="K507" s="38">
        <v>12.0</v>
      </c>
      <c r="L507" s="38">
        <v>106.0</v>
      </c>
      <c r="M507" s="38" t="str">
        <f>IFERROR(__xludf.DUMMYFUNCTION("""COMPUTED_VALUE"""),"Fast Moving / Consumable")</f>
        <v>Fast Moving / Consumable</v>
      </c>
      <c r="N507" s="38">
        <v>18.0</v>
      </c>
      <c r="O507" s="40">
        <v>46084.0</v>
      </c>
      <c r="P507" s="38" t="s">
        <v>126</v>
      </c>
      <c r="Q507" s="42">
        <v>133.0</v>
      </c>
      <c r="R507" s="42">
        <v>41.18181818181818</v>
      </c>
      <c r="S507" s="38">
        <v>100.0</v>
      </c>
      <c r="T507" s="42">
        <v>105.45454545454545</v>
      </c>
      <c r="U507" s="42">
        <v>105.45454545454545</v>
      </c>
    </row>
    <row r="508">
      <c r="A508" s="43" t="s">
        <v>1263</v>
      </c>
      <c r="B508" s="47" t="s">
        <v>1264</v>
      </c>
      <c r="C508" s="43" t="s">
        <v>79</v>
      </c>
      <c r="D508" s="43">
        <v>30.0</v>
      </c>
      <c r="E508" s="43">
        <v>50.0</v>
      </c>
      <c r="F508" s="43">
        <f>IFERROR(__xludf.DUMMYFUNCTION("""COMPUTED_VALUE"""),45.0)</f>
        <v>45</v>
      </c>
      <c r="G508" s="43" t="s">
        <v>122</v>
      </c>
      <c r="H508" s="43" t="s">
        <v>113</v>
      </c>
      <c r="I508" s="43" t="s">
        <v>115</v>
      </c>
      <c r="J508" s="47" t="s">
        <v>115</v>
      </c>
      <c r="K508" s="38">
        <v>13.0</v>
      </c>
      <c r="L508" s="38">
        <v>116.0</v>
      </c>
      <c r="M508" s="38" t="str">
        <f>IFERROR(__xludf.DUMMYFUNCTION("""COMPUTED_VALUE"""),"Fast Moving / Consumable")</f>
        <v>Fast Moving / Consumable</v>
      </c>
      <c r="N508" s="38">
        <v>18.0</v>
      </c>
      <c r="O508" s="40">
        <v>46203.0</v>
      </c>
      <c r="P508" s="38" t="s">
        <v>126</v>
      </c>
      <c r="Q508" s="42">
        <v>133.0</v>
      </c>
      <c r="R508" s="42">
        <v>74.45454545454545</v>
      </c>
      <c r="S508" s="38">
        <v>50.0</v>
      </c>
      <c r="T508" s="42">
        <v>115.43636363636364</v>
      </c>
      <c r="U508" s="42">
        <v>115.43636363636364</v>
      </c>
    </row>
    <row r="509">
      <c r="A509" s="43" t="s">
        <v>1265</v>
      </c>
      <c r="B509" s="47" t="s">
        <v>1266</v>
      </c>
      <c r="C509" s="43" t="s">
        <v>79</v>
      </c>
      <c r="D509" s="43">
        <v>50.0</v>
      </c>
      <c r="E509" s="43">
        <v>200.0</v>
      </c>
      <c r="F509" s="43">
        <f>IFERROR(__xludf.DUMMYFUNCTION("""COMPUTED_VALUE"""),199.0)</f>
        <v>199</v>
      </c>
      <c r="G509" s="43" t="s">
        <v>122</v>
      </c>
      <c r="H509" s="43" t="s">
        <v>113</v>
      </c>
      <c r="I509" s="43" t="s">
        <v>115</v>
      </c>
      <c r="J509" s="47" t="s">
        <v>115</v>
      </c>
      <c r="K509" s="38">
        <v>21.0</v>
      </c>
      <c r="L509" s="38">
        <v>200.0</v>
      </c>
      <c r="M509" s="38" t="str">
        <f>IFERROR(__xludf.DUMMYFUNCTION("""COMPUTED_VALUE"""),"Fast Moving / Consumable")</f>
        <v>Fast Moving / Consumable</v>
      </c>
      <c r="N509" s="38">
        <v>18.0</v>
      </c>
      <c r="O509" s="40">
        <v>46260.0</v>
      </c>
      <c r="P509" s="38" t="s">
        <v>126</v>
      </c>
      <c r="Q509" s="42">
        <v>200.0</v>
      </c>
      <c r="R509" s="42">
        <v>69.27272727272727</v>
      </c>
      <c r="S509" s="38">
        <v>200.0</v>
      </c>
      <c r="T509" s="42">
        <v>160.78181818181818</v>
      </c>
      <c r="U509" s="46">
        <v>200.0</v>
      </c>
    </row>
    <row r="510">
      <c r="A510" s="43" t="s">
        <v>1267</v>
      </c>
      <c r="B510" s="47" t="s">
        <v>1268</v>
      </c>
      <c r="C510" s="43" t="s">
        <v>79</v>
      </c>
      <c r="D510" s="43">
        <v>10.0</v>
      </c>
      <c r="E510" s="43">
        <v>30.0</v>
      </c>
      <c r="F510" s="43">
        <f>IFERROR(__xludf.DUMMYFUNCTION("""COMPUTED_VALUE"""),49.0)</f>
        <v>49</v>
      </c>
      <c r="G510" s="43" t="s">
        <v>122</v>
      </c>
      <c r="H510" s="43" t="s">
        <v>113</v>
      </c>
      <c r="I510" s="43" t="s">
        <v>115</v>
      </c>
      <c r="J510" s="47" t="s">
        <v>115</v>
      </c>
      <c r="K510" s="38">
        <v>6.0</v>
      </c>
      <c r="L510" s="38">
        <v>50.0</v>
      </c>
      <c r="M510" s="38" t="str">
        <f>IFERROR(__xludf.DUMMYFUNCTION("""COMPUTED_VALUE"""),"Fast Moving / Consumable")</f>
        <v>Fast Moving / Consumable</v>
      </c>
      <c r="N510" s="38">
        <v>18.0</v>
      </c>
      <c r="O510" s="40">
        <v>46203.0</v>
      </c>
      <c r="P510" s="38" t="s">
        <v>126</v>
      </c>
      <c r="Q510" s="42">
        <v>30.0</v>
      </c>
      <c r="R510" s="42">
        <v>26.727272727272727</v>
      </c>
      <c r="S510" s="38">
        <v>50.0</v>
      </c>
      <c r="T510" s="42">
        <v>29.018181818181816</v>
      </c>
      <c r="U510" s="46">
        <v>50.0</v>
      </c>
    </row>
    <row r="511">
      <c r="A511" s="43" t="s">
        <v>1269</v>
      </c>
      <c r="B511" s="47" t="s">
        <v>1270</v>
      </c>
      <c r="C511" s="43" t="s">
        <v>79</v>
      </c>
      <c r="D511" s="43">
        <v>2.0</v>
      </c>
      <c r="E511" s="43">
        <v>10.0</v>
      </c>
      <c r="F511" s="43">
        <f>IFERROR(__xludf.DUMMYFUNCTION("""COMPUTED_VALUE"""),10.0)</f>
        <v>10</v>
      </c>
      <c r="G511" s="43" t="s">
        <v>122</v>
      </c>
      <c r="H511" s="43" t="s">
        <v>113</v>
      </c>
      <c r="I511" s="43" t="s">
        <v>115</v>
      </c>
      <c r="J511" s="47" t="s">
        <v>115</v>
      </c>
      <c r="K511" s="38">
        <v>2.0</v>
      </c>
      <c r="L511" s="38">
        <v>10.0</v>
      </c>
      <c r="M511" s="38" t="str">
        <f>IFERROR(__xludf.DUMMYFUNCTION("""COMPUTED_VALUE"""),"General Sparepart")</f>
        <v>General Sparepart</v>
      </c>
      <c r="N511" s="38">
        <v>24.0</v>
      </c>
      <c r="O511" s="40">
        <v>46085.0</v>
      </c>
      <c r="P511" s="38" t="s">
        <v>126</v>
      </c>
      <c r="Q511" s="42">
        <v>3.0</v>
      </c>
      <c r="R511" s="42">
        <v>0.5454545454545454</v>
      </c>
      <c r="S511" s="38">
        <v>10.0</v>
      </c>
      <c r="T511" s="42">
        <v>2.2636363636363632</v>
      </c>
      <c r="U511" s="46">
        <v>10.0</v>
      </c>
    </row>
    <row r="512">
      <c r="A512" s="43" t="s">
        <v>1271</v>
      </c>
      <c r="B512" s="47" t="s">
        <v>1272</v>
      </c>
      <c r="C512" s="43" t="s">
        <v>79</v>
      </c>
      <c r="D512" s="43">
        <v>3.0</v>
      </c>
      <c r="E512" s="43">
        <v>6.0</v>
      </c>
      <c r="F512" s="43">
        <f>IFERROR(__xludf.DUMMYFUNCTION("""COMPUTED_VALUE"""),6.0)</f>
        <v>6</v>
      </c>
      <c r="G512" s="43" t="s">
        <v>122</v>
      </c>
      <c r="H512" s="43" t="s">
        <v>113</v>
      </c>
      <c r="I512" s="43" t="s">
        <v>115</v>
      </c>
      <c r="J512" s="47" t="s">
        <v>115</v>
      </c>
      <c r="K512" s="38">
        <v>2.0</v>
      </c>
      <c r="L512" s="38">
        <v>12.0</v>
      </c>
      <c r="M512" s="38" t="str">
        <f>IFERROR(__xludf.DUMMYFUNCTION("""COMPUTED_VALUE"""),"General Sparepart")</f>
        <v>General Sparepart</v>
      </c>
      <c r="N512" s="38">
        <v>24.0</v>
      </c>
      <c r="O512" s="40">
        <v>46085.0</v>
      </c>
      <c r="P512" s="38" t="s">
        <v>126</v>
      </c>
      <c r="Q512" s="42">
        <v>12.0</v>
      </c>
      <c r="R512" s="42">
        <v>0.0</v>
      </c>
      <c r="S512" s="38">
        <v>6.0</v>
      </c>
      <c r="T512" s="42">
        <v>12.0</v>
      </c>
      <c r="U512" s="42">
        <v>12.0</v>
      </c>
    </row>
    <row r="513">
      <c r="A513" s="43" t="s">
        <v>1273</v>
      </c>
      <c r="B513" s="47" t="s">
        <v>1274</v>
      </c>
      <c r="C513" s="43" t="s">
        <v>79</v>
      </c>
      <c r="D513" s="43">
        <v>3.0</v>
      </c>
      <c r="E513" s="43">
        <v>6.0</v>
      </c>
      <c r="F513" s="43">
        <f>IFERROR(__xludf.DUMMYFUNCTION("""COMPUTED_VALUE"""),6.0)</f>
        <v>6</v>
      </c>
      <c r="G513" s="43" t="s">
        <v>122</v>
      </c>
      <c r="H513" s="43" t="s">
        <v>113</v>
      </c>
      <c r="I513" s="43" t="s">
        <v>115</v>
      </c>
      <c r="J513" s="47" t="s">
        <v>115</v>
      </c>
      <c r="K513" s="38">
        <v>2.0</v>
      </c>
      <c r="L513" s="38">
        <v>12.0</v>
      </c>
      <c r="M513" s="38" t="str">
        <f>IFERROR(__xludf.DUMMYFUNCTION("""COMPUTED_VALUE"""),"General Sparepart")</f>
        <v>General Sparepart</v>
      </c>
      <c r="N513" s="38">
        <v>24.0</v>
      </c>
      <c r="O513" s="40">
        <v>46085.0</v>
      </c>
      <c r="P513" s="38" t="s">
        <v>126</v>
      </c>
      <c r="Q513" s="42">
        <v>12.0</v>
      </c>
      <c r="R513" s="42">
        <v>0.0</v>
      </c>
      <c r="S513" s="38">
        <v>6.0</v>
      </c>
      <c r="T513" s="42">
        <v>12.0</v>
      </c>
      <c r="U513" s="42">
        <v>12.0</v>
      </c>
    </row>
    <row r="514">
      <c r="A514" s="43" t="s">
        <v>1275</v>
      </c>
      <c r="B514" s="47" t="s">
        <v>1276</v>
      </c>
      <c r="C514" s="43" t="s">
        <v>79</v>
      </c>
      <c r="D514" s="43">
        <v>3.0</v>
      </c>
      <c r="E514" s="43">
        <v>6.0</v>
      </c>
      <c r="F514" s="43">
        <f>IFERROR(__xludf.DUMMYFUNCTION("""COMPUTED_VALUE"""),6.0)</f>
        <v>6</v>
      </c>
      <c r="G514" s="43" t="s">
        <v>122</v>
      </c>
      <c r="H514" s="43" t="s">
        <v>113</v>
      </c>
      <c r="I514" s="43" t="s">
        <v>115</v>
      </c>
      <c r="J514" s="47" t="s">
        <v>115</v>
      </c>
      <c r="K514" s="38">
        <v>1.0</v>
      </c>
      <c r="L514" s="38">
        <v>4.0</v>
      </c>
      <c r="M514" s="38" t="str">
        <f>IFERROR(__xludf.DUMMYFUNCTION("""COMPUTED_VALUE"""),"General Sparepart")</f>
        <v>General Sparepart</v>
      </c>
      <c r="N514" s="38">
        <v>24.0</v>
      </c>
      <c r="O514" s="40">
        <v>46147.0</v>
      </c>
      <c r="P514" s="38" t="s">
        <v>126</v>
      </c>
      <c r="Q514" s="42">
        <v>1.0</v>
      </c>
      <c r="R514" s="42">
        <v>1.0909090909090908</v>
      </c>
      <c r="S514" s="38">
        <v>4.0</v>
      </c>
      <c r="T514" s="42">
        <v>1.0272727272727271</v>
      </c>
      <c r="U514" s="46">
        <v>4.0</v>
      </c>
    </row>
    <row r="515">
      <c r="A515" s="43" t="s">
        <v>1277</v>
      </c>
      <c r="B515" s="47" t="s">
        <v>1278</v>
      </c>
      <c r="C515" s="43" t="s">
        <v>79</v>
      </c>
      <c r="D515" s="43">
        <v>3.0</v>
      </c>
      <c r="E515" s="43">
        <v>6.0</v>
      </c>
      <c r="F515" s="43">
        <f>IFERROR(__xludf.DUMMYFUNCTION("""COMPUTED_VALUE"""),6.0)</f>
        <v>6</v>
      </c>
      <c r="G515" s="43" t="s">
        <v>122</v>
      </c>
      <c r="H515" s="43" t="s">
        <v>113</v>
      </c>
      <c r="I515" s="43" t="s">
        <v>115</v>
      </c>
      <c r="J515" s="47" t="s">
        <v>115</v>
      </c>
      <c r="K515" s="38">
        <v>1.0</v>
      </c>
      <c r="L515" s="38">
        <v>6.0</v>
      </c>
      <c r="M515" s="38" t="str">
        <f>IFERROR(__xludf.DUMMYFUNCTION("""COMPUTED_VALUE"""),"General Sparepart")</f>
        <v>General Sparepart</v>
      </c>
      <c r="N515" s="38">
        <v>24.0</v>
      </c>
      <c r="O515" s="40">
        <v>46085.0</v>
      </c>
      <c r="P515" s="38" t="s">
        <v>126</v>
      </c>
      <c r="Q515" s="42">
        <v>2.0</v>
      </c>
      <c r="R515" s="42">
        <v>0.0</v>
      </c>
      <c r="S515" s="38">
        <v>6.0</v>
      </c>
      <c r="T515" s="42">
        <v>2.0</v>
      </c>
      <c r="U515" s="46">
        <v>6.0</v>
      </c>
    </row>
    <row r="516">
      <c r="A516" s="43" t="s">
        <v>1279</v>
      </c>
      <c r="B516" s="47" t="s">
        <v>1280</v>
      </c>
      <c r="C516" s="43" t="s">
        <v>79</v>
      </c>
      <c r="D516" s="43">
        <v>10.0</v>
      </c>
      <c r="E516" s="43">
        <v>30.0</v>
      </c>
      <c r="F516" s="43">
        <f>IFERROR(__xludf.DUMMYFUNCTION("""COMPUTED_VALUE"""),30.0)</f>
        <v>30</v>
      </c>
      <c r="G516" s="43" t="s">
        <v>122</v>
      </c>
      <c r="H516" s="43" t="s">
        <v>113</v>
      </c>
      <c r="I516" s="43" t="s">
        <v>115</v>
      </c>
      <c r="J516" s="47" t="s">
        <v>115</v>
      </c>
      <c r="K516" s="38">
        <v>4.0</v>
      </c>
      <c r="L516" s="38">
        <v>30.0</v>
      </c>
      <c r="M516" s="38" t="str">
        <f>IFERROR(__xludf.DUMMYFUNCTION("""COMPUTED_VALUE"""),"General Sparepart")</f>
        <v>General Sparepart</v>
      </c>
      <c r="N516" s="38">
        <v>24.0</v>
      </c>
      <c r="O516" s="40">
        <v>46112.0</v>
      </c>
      <c r="P516" s="38" t="s">
        <v>126</v>
      </c>
      <c r="Q516" s="42">
        <v>15.0</v>
      </c>
      <c r="R516" s="42">
        <v>24.545454545454547</v>
      </c>
      <c r="S516" s="38">
        <v>30.0</v>
      </c>
      <c r="T516" s="42">
        <v>17.863636363636363</v>
      </c>
      <c r="U516" s="46">
        <v>30.0</v>
      </c>
    </row>
    <row r="517">
      <c r="A517" s="43" t="s">
        <v>1281</v>
      </c>
      <c r="B517" s="47" t="s">
        <v>1282</v>
      </c>
      <c r="C517" s="43" t="s">
        <v>82</v>
      </c>
      <c r="D517" s="43">
        <v>4.0</v>
      </c>
      <c r="E517" s="43">
        <v>6.0</v>
      </c>
      <c r="F517" s="43">
        <f>IFERROR(__xludf.DUMMYFUNCTION("""COMPUTED_VALUE"""),17.0)</f>
        <v>17</v>
      </c>
      <c r="G517" s="43" t="s">
        <v>122</v>
      </c>
      <c r="H517" s="43" t="s">
        <v>113</v>
      </c>
      <c r="I517" s="43" t="s">
        <v>115</v>
      </c>
      <c r="J517" s="47" t="s">
        <v>115</v>
      </c>
      <c r="K517" s="38">
        <v>3.0</v>
      </c>
      <c r="L517" s="38">
        <v>23.0</v>
      </c>
      <c r="M517" s="38" t="str">
        <f>IFERROR(__xludf.DUMMYFUNCTION("""COMPUTED_VALUE"""),"General Sparepart")</f>
        <v>General Sparepart</v>
      </c>
      <c r="N517" s="38">
        <v>24.0</v>
      </c>
      <c r="O517" s="40">
        <v>46260.0</v>
      </c>
      <c r="P517" s="38" t="s">
        <v>126</v>
      </c>
      <c r="Q517" s="42">
        <v>20.0</v>
      </c>
      <c r="R517" s="42">
        <v>29.18181818181818</v>
      </c>
      <c r="S517" s="38">
        <v>0.0</v>
      </c>
      <c r="T517" s="42">
        <v>22.754545454545454</v>
      </c>
      <c r="U517" s="42">
        <v>22.754545454545454</v>
      </c>
    </row>
    <row r="518">
      <c r="A518" s="43" t="s">
        <v>1283</v>
      </c>
      <c r="B518" s="47" t="s">
        <v>1284</v>
      </c>
      <c r="C518" s="43" t="s">
        <v>82</v>
      </c>
      <c r="D518" s="43">
        <v>4.0</v>
      </c>
      <c r="E518" s="43">
        <v>6.0</v>
      </c>
      <c r="F518" s="43">
        <f>IFERROR(__xludf.DUMMYFUNCTION("""COMPUTED_VALUE"""),6.0)</f>
        <v>6</v>
      </c>
      <c r="G518" s="43" t="s">
        <v>122</v>
      </c>
      <c r="H518" s="43" t="s">
        <v>113</v>
      </c>
      <c r="I518" s="43" t="s">
        <v>115</v>
      </c>
      <c r="J518" s="47" t="s">
        <v>115</v>
      </c>
      <c r="K518" s="38">
        <v>13.0</v>
      </c>
      <c r="L518" s="38">
        <v>120.0</v>
      </c>
      <c r="M518" s="38" t="str">
        <f>IFERROR(__xludf.DUMMYFUNCTION("""COMPUTED_VALUE"""),"General Sparepart")</f>
        <v>General Sparepart</v>
      </c>
      <c r="N518" s="38">
        <v>24.0</v>
      </c>
      <c r="O518" s="40">
        <v>46260.0</v>
      </c>
      <c r="P518" s="38" t="s">
        <v>126</v>
      </c>
      <c r="Q518" s="42">
        <v>39.0</v>
      </c>
      <c r="R518" s="42">
        <v>54.272727272727266</v>
      </c>
      <c r="S518" s="38">
        <v>120.0</v>
      </c>
      <c r="T518" s="42">
        <v>43.58181818181818</v>
      </c>
      <c r="U518" s="46">
        <v>120.0</v>
      </c>
    </row>
    <row r="519">
      <c r="A519" s="43" t="s">
        <v>1285</v>
      </c>
      <c r="B519" s="47" t="s">
        <v>1286</v>
      </c>
      <c r="C519" s="43" t="s">
        <v>82</v>
      </c>
      <c r="D519" s="43">
        <v>2.0</v>
      </c>
      <c r="E519" s="43">
        <v>10.0</v>
      </c>
      <c r="F519" s="43">
        <f>IFERROR(__xludf.DUMMYFUNCTION("""COMPUTED_VALUE"""),6.0)</f>
        <v>6</v>
      </c>
      <c r="G519" s="43" t="s">
        <v>122</v>
      </c>
      <c r="H519" s="43" t="s">
        <v>113</v>
      </c>
      <c r="I519" s="43" t="s">
        <v>115</v>
      </c>
      <c r="J519" s="47" t="s">
        <v>115</v>
      </c>
      <c r="K519" s="38">
        <v>2.0</v>
      </c>
      <c r="L519" s="38">
        <v>10.0</v>
      </c>
      <c r="M519" s="38" t="str">
        <f>IFERROR(__xludf.DUMMYFUNCTION("""COMPUTED_VALUE"""),"Fast Moving / Consumable")</f>
        <v>Fast Moving / Consumable</v>
      </c>
      <c r="N519" s="38">
        <v>18.0</v>
      </c>
      <c r="O519" s="40">
        <v>46234.0</v>
      </c>
      <c r="P519" s="38" t="s">
        <v>126</v>
      </c>
      <c r="Q519" s="42">
        <v>3.0</v>
      </c>
      <c r="R519" s="42">
        <v>1.3636363636363635</v>
      </c>
      <c r="S519" s="38">
        <v>10.0</v>
      </c>
      <c r="T519" s="42">
        <v>2.509090909090909</v>
      </c>
      <c r="U519" s="46">
        <v>10.0</v>
      </c>
    </row>
    <row r="520">
      <c r="A520" s="43" t="s">
        <v>1287</v>
      </c>
      <c r="B520" s="47" t="s">
        <v>1288</v>
      </c>
      <c r="C520" s="43" t="s">
        <v>82</v>
      </c>
      <c r="D520" s="43">
        <v>1.0</v>
      </c>
      <c r="E520" s="43">
        <v>2.0</v>
      </c>
      <c r="F520" s="43">
        <f>IFERROR(__xludf.DUMMYFUNCTION("""COMPUTED_VALUE"""),1.0)</f>
        <v>1</v>
      </c>
      <c r="G520" s="43" t="s">
        <v>125</v>
      </c>
      <c r="H520" s="43" t="s">
        <v>113</v>
      </c>
      <c r="I520" s="43" t="s">
        <v>115</v>
      </c>
      <c r="J520" s="47" t="s">
        <v>115</v>
      </c>
      <c r="K520" s="38">
        <v>1.0</v>
      </c>
      <c r="L520" s="38">
        <v>1.0</v>
      </c>
      <c r="M520" s="38" t="str">
        <f>IFERROR(__xludf.DUMMYFUNCTION("""COMPUTED_VALUE"""),"General Sparepart")</f>
        <v>General Sparepart</v>
      </c>
      <c r="N520" s="38">
        <v>24.0</v>
      </c>
      <c r="O520" s="40">
        <v>46084.0</v>
      </c>
      <c r="P520" s="38" t="s">
        <v>126</v>
      </c>
      <c r="Q520" s="42">
        <v>0.0</v>
      </c>
      <c r="R520" s="42">
        <v>0.0</v>
      </c>
      <c r="S520" s="38">
        <v>1.0</v>
      </c>
      <c r="T520" s="42">
        <v>0.0</v>
      </c>
      <c r="U520" s="46">
        <v>1.0</v>
      </c>
    </row>
    <row r="521">
      <c r="A521" s="43" t="s">
        <v>1289</v>
      </c>
      <c r="B521" s="47" t="s">
        <v>1290</v>
      </c>
      <c r="C521" s="43" t="s">
        <v>82</v>
      </c>
      <c r="D521" s="43">
        <v>1.0</v>
      </c>
      <c r="E521" s="43">
        <v>3.0</v>
      </c>
      <c r="F521" s="43">
        <f>IFERROR(__xludf.DUMMYFUNCTION("""COMPUTED_VALUE"""),2.0)</f>
        <v>2</v>
      </c>
      <c r="G521" s="43" t="s">
        <v>122</v>
      </c>
      <c r="H521" s="43" t="s">
        <v>113</v>
      </c>
      <c r="I521" s="43" t="s">
        <v>115</v>
      </c>
      <c r="J521" s="47" t="s">
        <v>1291</v>
      </c>
      <c r="K521" s="38">
        <v>1.0</v>
      </c>
      <c r="L521" s="38">
        <v>2.0</v>
      </c>
      <c r="M521" s="38" t="str">
        <f>IFERROR(__xludf.DUMMYFUNCTION("""COMPUTED_VALUE"""),"General Sparepart")</f>
        <v>General Sparepart</v>
      </c>
      <c r="N521" s="38">
        <v>24.0</v>
      </c>
      <c r="O521" s="40">
        <v>46234.0</v>
      </c>
      <c r="P521" s="38" t="s">
        <v>126</v>
      </c>
      <c r="Q521" s="42">
        <v>2.0</v>
      </c>
      <c r="R521" s="42">
        <v>0.8181818181818181</v>
      </c>
      <c r="S521" s="38">
        <v>0.0</v>
      </c>
      <c r="T521" s="42">
        <v>1.6454545454545453</v>
      </c>
      <c r="U521" s="42">
        <v>1.6454545454545453</v>
      </c>
    </row>
    <row r="522">
      <c r="A522" s="43" t="s">
        <v>1292</v>
      </c>
      <c r="B522" s="47" t="s">
        <v>1293</v>
      </c>
      <c r="C522" s="43" t="s">
        <v>82</v>
      </c>
      <c r="D522" s="43">
        <v>1.0</v>
      </c>
      <c r="E522" s="43">
        <v>1.0</v>
      </c>
      <c r="F522" s="43">
        <f>IFERROR(__xludf.DUMMYFUNCTION("""COMPUTED_VALUE"""),1.0)</f>
        <v>1</v>
      </c>
      <c r="G522" s="43" t="s">
        <v>125</v>
      </c>
      <c r="H522" s="43" t="s">
        <v>113</v>
      </c>
      <c r="I522" s="43" t="s">
        <v>115</v>
      </c>
      <c r="J522" s="47" t="s">
        <v>115</v>
      </c>
      <c r="K522" s="38">
        <v>1.0</v>
      </c>
      <c r="L522" s="38">
        <v>1.0</v>
      </c>
      <c r="M522" s="38" t="str">
        <f>IFERROR(__xludf.DUMMYFUNCTION("""COMPUTED_VALUE"""),"Fast Moving / Consumable")</f>
        <v>Fast Moving / Consumable</v>
      </c>
      <c r="N522" s="38">
        <v>18.0</v>
      </c>
      <c r="O522" s="40">
        <v>46086.0</v>
      </c>
      <c r="P522" s="38" t="s">
        <v>126</v>
      </c>
      <c r="Q522" s="42">
        <v>1.0</v>
      </c>
      <c r="R522" s="42">
        <v>0.2727272727272727</v>
      </c>
      <c r="S522" s="38">
        <v>1.0</v>
      </c>
      <c r="T522" s="42">
        <v>0.7818181818181817</v>
      </c>
      <c r="U522" s="46">
        <v>1.0</v>
      </c>
    </row>
    <row r="523">
      <c r="A523" s="43" t="s">
        <v>1294</v>
      </c>
      <c r="B523" s="47" t="s">
        <v>1295</v>
      </c>
      <c r="C523" s="43" t="s">
        <v>82</v>
      </c>
      <c r="D523" s="43">
        <v>1.0</v>
      </c>
      <c r="E523" s="43">
        <v>3.0</v>
      </c>
      <c r="F523" s="43">
        <f>IFERROR(__xludf.DUMMYFUNCTION("""COMPUTED_VALUE"""),3.0)</f>
        <v>3</v>
      </c>
      <c r="G523" s="43" t="s">
        <v>122</v>
      </c>
      <c r="H523" s="43" t="s">
        <v>113</v>
      </c>
      <c r="I523" s="43" t="s">
        <v>115</v>
      </c>
      <c r="J523" s="47" t="s">
        <v>115</v>
      </c>
      <c r="K523" s="38">
        <v>1.0</v>
      </c>
      <c r="L523" s="38">
        <v>3.0</v>
      </c>
      <c r="M523" s="38" t="str">
        <f>IFERROR(__xludf.DUMMYFUNCTION("""COMPUTED_VALUE"""),"General Sparepart")</f>
        <v>General Sparepart</v>
      </c>
      <c r="N523" s="38">
        <v>24.0</v>
      </c>
      <c r="O523" s="40">
        <v>46084.0</v>
      </c>
      <c r="P523" s="38" t="s">
        <v>126</v>
      </c>
      <c r="Q523" s="42">
        <v>1.0</v>
      </c>
      <c r="R523" s="42">
        <v>0.0</v>
      </c>
      <c r="S523" s="38">
        <v>3.0</v>
      </c>
      <c r="T523" s="42">
        <v>1.0</v>
      </c>
      <c r="U523" s="46">
        <v>3.0</v>
      </c>
    </row>
    <row r="524">
      <c r="A524" s="43" t="s">
        <v>1296</v>
      </c>
      <c r="B524" s="47" t="s">
        <v>1297</v>
      </c>
      <c r="C524" s="43" t="s">
        <v>82</v>
      </c>
      <c r="D524" s="43">
        <v>1.0</v>
      </c>
      <c r="E524" s="43">
        <v>2.0</v>
      </c>
      <c r="F524" s="43">
        <f>IFERROR(__xludf.DUMMYFUNCTION("""COMPUTED_VALUE"""),2.0)</f>
        <v>2</v>
      </c>
      <c r="G524" s="43" t="s">
        <v>122</v>
      </c>
      <c r="H524" s="43" t="s">
        <v>113</v>
      </c>
      <c r="I524" s="43" t="s">
        <v>115</v>
      </c>
      <c r="J524" s="47" t="s">
        <v>115</v>
      </c>
      <c r="K524" s="38">
        <v>1.0</v>
      </c>
      <c r="L524" s="38">
        <v>2.0</v>
      </c>
      <c r="M524" s="38" t="str">
        <f>IFERROR(__xludf.DUMMYFUNCTION("""COMPUTED_VALUE"""),"General Sparepart")</f>
        <v>General Sparepart</v>
      </c>
      <c r="N524" s="38">
        <v>24.0</v>
      </c>
      <c r="O524" s="40">
        <v>46086.0</v>
      </c>
      <c r="P524" s="38" t="s">
        <v>126</v>
      </c>
      <c r="Q524" s="42">
        <v>1.0</v>
      </c>
      <c r="R524" s="42">
        <v>0.0</v>
      </c>
      <c r="S524" s="38">
        <v>2.0</v>
      </c>
      <c r="T524" s="42">
        <v>1.0</v>
      </c>
      <c r="U524" s="46">
        <v>2.0</v>
      </c>
    </row>
    <row r="525">
      <c r="A525" s="43" t="s">
        <v>1298</v>
      </c>
      <c r="B525" s="47" t="s">
        <v>1299</v>
      </c>
      <c r="C525" s="43" t="s">
        <v>82</v>
      </c>
      <c r="D525" s="43">
        <v>1.0</v>
      </c>
      <c r="E525" s="43">
        <v>3.0</v>
      </c>
      <c r="F525" s="43">
        <f>IFERROR(__xludf.DUMMYFUNCTION("""COMPUTED_VALUE"""),2.0)</f>
        <v>2</v>
      </c>
      <c r="G525" s="43" t="s">
        <v>122</v>
      </c>
      <c r="H525" s="43" t="s">
        <v>113</v>
      </c>
      <c r="I525" s="43" t="s">
        <v>115</v>
      </c>
      <c r="J525" s="47" t="s">
        <v>115</v>
      </c>
      <c r="K525" s="38">
        <v>1.0</v>
      </c>
      <c r="L525" s="38">
        <v>3.0</v>
      </c>
      <c r="M525" s="38" t="str">
        <f>IFERROR(__xludf.DUMMYFUNCTION("""COMPUTED_VALUE"""),"General Sparepart")</f>
        <v>General Sparepart</v>
      </c>
      <c r="N525" s="38">
        <v>24.0</v>
      </c>
      <c r="O525" s="40">
        <v>46203.0</v>
      </c>
      <c r="P525" s="38" t="s">
        <v>126</v>
      </c>
      <c r="Q525" s="42">
        <v>1.0</v>
      </c>
      <c r="R525" s="42">
        <v>0.2727272727272727</v>
      </c>
      <c r="S525" s="38">
        <v>3.0</v>
      </c>
      <c r="T525" s="42">
        <v>0.7818181818181817</v>
      </c>
      <c r="U525" s="46">
        <v>3.0</v>
      </c>
    </row>
    <row r="526">
      <c r="A526" s="43" t="s">
        <v>1300</v>
      </c>
      <c r="B526" s="47" t="s">
        <v>1301</v>
      </c>
      <c r="C526" s="43" t="s">
        <v>82</v>
      </c>
      <c r="D526" s="43">
        <v>1.0</v>
      </c>
      <c r="E526" s="43">
        <v>3.0</v>
      </c>
      <c r="F526" s="43">
        <f>IFERROR(__xludf.DUMMYFUNCTION("""COMPUTED_VALUE"""),7.0)</f>
        <v>7</v>
      </c>
      <c r="G526" s="43" t="s">
        <v>122</v>
      </c>
      <c r="H526" s="43" t="s">
        <v>113</v>
      </c>
      <c r="I526" s="43" t="s">
        <v>115</v>
      </c>
      <c r="J526" s="47" t="s">
        <v>115</v>
      </c>
      <c r="K526" s="38">
        <v>1.0</v>
      </c>
      <c r="L526" s="38">
        <v>7.0</v>
      </c>
      <c r="M526" s="38" t="str">
        <f>IFERROR(__xludf.DUMMYFUNCTION("""COMPUTED_VALUE"""),"Fast Moving / Consumable")</f>
        <v>Fast Moving / Consumable</v>
      </c>
      <c r="N526" s="38">
        <v>18.0</v>
      </c>
      <c r="O526" s="40">
        <v>46092.0</v>
      </c>
      <c r="P526" s="38" t="s">
        <v>126</v>
      </c>
      <c r="Q526" s="42">
        <v>2.0</v>
      </c>
      <c r="R526" s="42">
        <v>0.0</v>
      </c>
      <c r="S526" s="38">
        <v>7.0</v>
      </c>
      <c r="T526" s="42">
        <v>2.0</v>
      </c>
      <c r="U526" s="46">
        <v>7.0</v>
      </c>
    </row>
    <row r="527">
      <c r="A527" s="43" t="s">
        <v>1302</v>
      </c>
      <c r="B527" s="47" t="s">
        <v>1303</v>
      </c>
      <c r="C527" s="43" t="s">
        <v>82</v>
      </c>
      <c r="D527" s="43">
        <v>5.0</v>
      </c>
      <c r="E527" s="43">
        <v>10.0</v>
      </c>
      <c r="F527" s="43">
        <f>IFERROR(__xludf.DUMMYFUNCTION("""COMPUTED_VALUE"""),10.0)</f>
        <v>10</v>
      </c>
      <c r="G527" s="43" t="s">
        <v>122</v>
      </c>
      <c r="H527" s="43" t="s">
        <v>113</v>
      </c>
      <c r="I527" s="43" t="s">
        <v>115</v>
      </c>
      <c r="J527" s="47" t="s">
        <v>115</v>
      </c>
      <c r="K527" s="38">
        <v>2.0</v>
      </c>
      <c r="L527" s="38">
        <v>17.0</v>
      </c>
      <c r="M527" s="38" t="str">
        <f>IFERROR(__xludf.DUMMYFUNCTION("""COMPUTED_VALUE"""),"General Sparepart")</f>
        <v>General Sparepart</v>
      </c>
      <c r="N527" s="38">
        <v>24.0</v>
      </c>
      <c r="O527" s="40">
        <v>46084.0</v>
      </c>
      <c r="P527" s="38" t="s">
        <v>126</v>
      </c>
      <c r="Q527" s="42">
        <v>21.0</v>
      </c>
      <c r="R527" s="42">
        <v>6.818181818181818</v>
      </c>
      <c r="S527" s="38">
        <v>10.0</v>
      </c>
      <c r="T527" s="42">
        <v>16.745454545454546</v>
      </c>
      <c r="U527" s="42">
        <v>16.745454545454546</v>
      </c>
    </row>
    <row r="528">
      <c r="A528" s="43" t="s">
        <v>1304</v>
      </c>
      <c r="B528" s="47" t="s">
        <v>1305</v>
      </c>
      <c r="C528" s="43" t="s">
        <v>82</v>
      </c>
      <c r="D528" s="43">
        <v>1.0</v>
      </c>
      <c r="E528" s="43">
        <v>3.0</v>
      </c>
      <c r="F528" s="43">
        <f>IFERROR(__xludf.DUMMYFUNCTION("""COMPUTED_VALUE"""),3.0)</f>
        <v>3</v>
      </c>
      <c r="G528" s="43" t="s">
        <v>122</v>
      </c>
      <c r="H528" s="43" t="s">
        <v>113</v>
      </c>
      <c r="I528" s="43" t="s">
        <v>115</v>
      </c>
      <c r="J528" s="47" t="s">
        <v>115</v>
      </c>
      <c r="K528" s="38">
        <v>2.0</v>
      </c>
      <c r="L528" s="38">
        <v>13.0</v>
      </c>
      <c r="M528" s="38" t="str">
        <f>IFERROR(__xludf.DUMMYFUNCTION("""COMPUTED_VALUE"""),"General Sparepart")</f>
        <v>General Sparepart</v>
      </c>
      <c r="N528" s="38">
        <v>24.0</v>
      </c>
      <c r="O528" s="40">
        <v>46220.0</v>
      </c>
      <c r="P528" s="38" t="s">
        <v>126</v>
      </c>
      <c r="Q528" s="42">
        <v>6.0</v>
      </c>
      <c r="R528" s="42">
        <v>1.0909090909090908</v>
      </c>
      <c r="S528" s="38">
        <v>13.0</v>
      </c>
      <c r="T528" s="42">
        <v>4.5272727272727264</v>
      </c>
      <c r="U528" s="46">
        <v>13.0</v>
      </c>
    </row>
    <row r="529">
      <c r="A529" s="43" t="s">
        <v>1306</v>
      </c>
      <c r="B529" s="47" t="s">
        <v>1307</v>
      </c>
      <c r="C529" s="43" t="s">
        <v>82</v>
      </c>
      <c r="D529" s="43">
        <v>1.0</v>
      </c>
      <c r="E529" s="43">
        <v>3.0</v>
      </c>
      <c r="F529" s="43">
        <f>IFERROR(__xludf.DUMMYFUNCTION("""COMPUTED_VALUE"""),1.0)</f>
        <v>1</v>
      </c>
      <c r="G529" s="43" t="s">
        <v>125</v>
      </c>
      <c r="H529" s="43" t="s">
        <v>113</v>
      </c>
      <c r="I529" s="43" t="s">
        <v>115</v>
      </c>
      <c r="J529" s="47" t="s">
        <v>115</v>
      </c>
      <c r="K529" s="38">
        <v>3.0</v>
      </c>
      <c r="L529" s="38">
        <v>25.0</v>
      </c>
      <c r="M529" s="38" t="str">
        <f>IFERROR(__xludf.DUMMYFUNCTION("""COMPUTED_VALUE"""),"General Sparepart")</f>
        <v>General Sparepart</v>
      </c>
      <c r="N529" s="38">
        <v>24.0</v>
      </c>
      <c r="O529" s="40">
        <v>46273.0</v>
      </c>
      <c r="P529" s="38" t="s">
        <v>126</v>
      </c>
      <c r="Q529" s="42">
        <v>10.0</v>
      </c>
      <c r="R529" s="42">
        <v>1.0909090909090908</v>
      </c>
      <c r="S529" s="38">
        <v>25.0</v>
      </c>
      <c r="T529" s="42">
        <v>7.327272727272727</v>
      </c>
      <c r="U529" s="46">
        <v>25.0</v>
      </c>
    </row>
    <row r="530">
      <c r="A530" s="43" t="s">
        <v>1308</v>
      </c>
      <c r="B530" s="47" t="s">
        <v>1309</v>
      </c>
      <c r="C530" s="43" t="s">
        <v>82</v>
      </c>
      <c r="D530" s="43">
        <v>1.0</v>
      </c>
      <c r="E530" s="43">
        <v>3.0</v>
      </c>
      <c r="F530" s="43">
        <f>IFERROR(__xludf.DUMMYFUNCTION("""COMPUTED_VALUE"""),3.0)</f>
        <v>3</v>
      </c>
      <c r="G530" s="43" t="s">
        <v>122</v>
      </c>
      <c r="H530" s="43" t="s">
        <v>113</v>
      </c>
      <c r="I530" s="43" t="s">
        <v>115</v>
      </c>
      <c r="J530" s="47" t="s">
        <v>115</v>
      </c>
      <c r="K530" s="38">
        <v>2.0</v>
      </c>
      <c r="L530" s="38">
        <v>13.0</v>
      </c>
      <c r="M530" s="38" t="str">
        <f>IFERROR(__xludf.DUMMYFUNCTION("""COMPUTED_VALUE"""),"General Sparepart")</f>
        <v>General Sparepart</v>
      </c>
      <c r="N530" s="38">
        <v>24.0</v>
      </c>
      <c r="O530" s="40">
        <v>46220.0</v>
      </c>
      <c r="P530" s="38" t="s">
        <v>126</v>
      </c>
      <c r="Q530" s="42">
        <v>5.0</v>
      </c>
      <c r="R530" s="42">
        <v>0.5454545454545454</v>
      </c>
      <c r="S530" s="38">
        <v>13.0</v>
      </c>
      <c r="T530" s="42">
        <v>3.6636363636363636</v>
      </c>
      <c r="U530" s="46">
        <v>13.0</v>
      </c>
    </row>
    <row r="531">
      <c r="A531" s="43" t="s">
        <v>1310</v>
      </c>
      <c r="B531" s="47" t="s">
        <v>1311</v>
      </c>
      <c r="C531" s="43" t="s">
        <v>82</v>
      </c>
      <c r="D531" s="43">
        <v>1.0</v>
      </c>
      <c r="E531" s="43">
        <v>3.0</v>
      </c>
      <c r="F531" s="43">
        <f>IFERROR(__xludf.DUMMYFUNCTION("""COMPUTED_VALUE"""),2.0)</f>
        <v>2</v>
      </c>
      <c r="G531" s="43" t="s">
        <v>122</v>
      </c>
      <c r="H531" s="43" t="s">
        <v>113</v>
      </c>
      <c r="I531" s="43" t="s">
        <v>115</v>
      </c>
      <c r="J531" s="47" t="s">
        <v>115</v>
      </c>
      <c r="K531" s="38">
        <v>2.0</v>
      </c>
      <c r="L531" s="38">
        <v>13.0</v>
      </c>
      <c r="M531" s="38" t="str">
        <f>IFERROR(__xludf.DUMMYFUNCTION("""COMPUTED_VALUE"""),"General Sparepart")</f>
        <v>General Sparepart</v>
      </c>
      <c r="N531" s="38">
        <v>24.0</v>
      </c>
      <c r="O531" s="40">
        <v>46260.0</v>
      </c>
      <c r="P531" s="38" t="s">
        <v>126</v>
      </c>
      <c r="Q531" s="42">
        <v>5.0</v>
      </c>
      <c r="R531" s="42">
        <v>1.3636363636363635</v>
      </c>
      <c r="S531" s="38">
        <v>13.0</v>
      </c>
      <c r="T531" s="42">
        <v>3.909090909090909</v>
      </c>
      <c r="U531" s="46">
        <v>13.0</v>
      </c>
    </row>
    <row r="532">
      <c r="A532" s="43" t="s">
        <v>1312</v>
      </c>
      <c r="B532" s="47" t="s">
        <v>1313</v>
      </c>
      <c r="C532" s="43" t="s">
        <v>82</v>
      </c>
      <c r="D532" s="43">
        <v>1.0</v>
      </c>
      <c r="E532" s="43">
        <v>3.0</v>
      </c>
      <c r="F532" s="43">
        <f>IFERROR(__xludf.DUMMYFUNCTION("""COMPUTED_VALUE"""),2.0)</f>
        <v>2</v>
      </c>
      <c r="G532" s="43" t="s">
        <v>122</v>
      </c>
      <c r="H532" s="43" t="s">
        <v>113</v>
      </c>
      <c r="I532" s="43" t="s">
        <v>115</v>
      </c>
      <c r="J532" s="47" t="s">
        <v>115</v>
      </c>
      <c r="K532" s="38">
        <v>2.0</v>
      </c>
      <c r="L532" s="38">
        <v>13.0</v>
      </c>
      <c r="M532" s="38" t="str">
        <f>IFERROR(__xludf.DUMMYFUNCTION("""COMPUTED_VALUE"""),"General Sparepart")</f>
        <v>General Sparepart</v>
      </c>
      <c r="N532" s="38">
        <v>24.0</v>
      </c>
      <c r="O532" s="40">
        <v>46260.0</v>
      </c>
      <c r="P532" s="38" t="s">
        <v>126</v>
      </c>
      <c r="Q532" s="42">
        <v>5.0</v>
      </c>
      <c r="R532" s="42">
        <v>1.3636363636363635</v>
      </c>
      <c r="S532" s="38">
        <v>13.0</v>
      </c>
      <c r="T532" s="42">
        <v>3.909090909090909</v>
      </c>
      <c r="U532" s="46">
        <v>13.0</v>
      </c>
    </row>
    <row r="533">
      <c r="A533" s="43" t="s">
        <v>1314</v>
      </c>
      <c r="B533" s="47" t="s">
        <v>1315</v>
      </c>
      <c r="C533" s="43" t="s">
        <v>82</v>
      </c>
      <c r="D533" s="43">
        <v>1.0</v>
      </c>
      <c r="E533" s="43">
        <v>2.0</v>
      </c>
      <c r="F533" s="43">
        <f>IFERROR(__xludf.DUMMYFUNCTION("""COMPUTED_VALUE"""),2.0)</f>
        <v>2</v>
      </c>
      <c r="G533" s="43" t="s">
        <v>122</v>
      </c>
      <c r="H533" s="43" t="s">
        <v>113</v>
      </c>
      <c r="I533" s="43" t="s">
        <v>115</v>
      </c>
      <c r="J533" s="47" t="s">
        <v>115</v>
      </c>
      <c r="K533" s="38">
        <v>1.0</v>
      </c>
      <c r="L533" s="38">
        <v>2.0</v>
      </c>
      <c r="M533" s="38" t="str">
        <f>IFERROR(__xludf.DUMMYFUNCTION("""COMPUTED_VALUE"""),"General Sparepart")</f>
        <v>General Sparepart</v>
      </c>
      <c r="N533" s="38">
        <v>24.0</v>
      </c>
      <c r="O533" s="40">
        <v>46086.0</v>
      </c>
      <c r="P533" s="38" t="s">
        <v>126</v>
      </c>
      <c r="Q533" s="42">
        <v>1.0</v>
      </c>
      <c r="R533" s="42">
        <v>0.2727272727272727</v>
      </c>
      <c r="S533" s="38">
        <v>2.0</v>
      </c>
      <c r="T533" s="42">
        <v>0.7818181818181817</v>
      </c>
      <c r="U533" s="46">
        <v>2.0</v>
      </c>
    </row>
    <row r="534">
      <c r="A534" s="43" t="s">
        <v>1316</v>
      </c>
      <c r="B534" s="47" t="s">
        <v>1317</v>
      </c>
      <c r="C534" s="43" t="s">
        <v>82</v>
      </c>
      <c r="D534" s="43">
        <v>1.0</v>
      </c>
      <c r="E534" s="43">
        <v>2.0</v>
      </c>
      <c r="F534" s="43">
        <f>IFERROR(__xludf.DUMMYFUNCTION("""COMPUTED_VALUE"""),0.0)</f>
        <v>0</v>
      </c>
      <c r="G534" s="43" t="s">
        <v>112</v>
      </c>
      <c r="H534" s="43" t="s">
        <v>119</v>
      </c>
      <c r="I534" s="43" t="s">
        <v>115</v>
      </c>
      <c r="J534" s="47" t="s">
        <v>115</v>
      </c>
      <c r="K534" s="38">
        <v>0.0</v>
      </c>
      <c r="L534" s="38">
        <v>0.0</v>
      </c>
      <c r="M534" s="38" t="str">
        <f>IFERROR(__xludf.DUMMYFUNCTION("""COMPUTED_VALUE"""),"Fast Moving / Consumable")</f>
        <v>Fast Moving / Consumable</v>
      </c>
      <c r="N534" s="38">
        <v>18.0</v>
      </c>
      <c r="O534" s="40">
        <v>44333.0</v>
      </c>
      <c r="P534" s="38" t="s">
        <v>116</v>
      </c>
      <c r="Q534" s="42">
        <v>0.0</v>
      </c>
      <c r="R534" s="42">
        <v>0.0</v>
      </c>
      <c r="S534" s="38">
        <v>0.0</v>
      </c>
      <c r="T534" s="42">
        <v>0.0</v>
      </c>
      <c r="U534" s="42">
        <v>0.0</v>
      </c>
    </row>
    <row r="535">
      <c r="A535" s="43" t="s">
        <v>1318</v>
      </c>
      <c r="B535" s="47" t="s">
        <v>1319</v>
      </c>
      <c r="C535" s="43" t="s">
        <v>82</v>
      </c>
      <c r="D535" s="43">
        <v>1.0</v>
      </c>
      <c r="E535" s="43">
        <v>3.0</v>
      </c>
      <c r="F535" s="43">
        <f>IFERROR(__xludf.DUMMYFUNCTION("""COMPUTED_VALUE"""),3.0)</f>
        <v>3</v>
      </c>
      <c r="G535" s="43" t="s">
        <v>122</v>
      </c>
      <c r="H535" s="43" t="s">
        <v>113</v>
      </c>
      <c r="I535" s="43" t="s">
        <v>119</v>
      </c>
      <c r="J535" s="47" t="s">
        <v>115</v>
      </c>
      <c r="K535" s="38">
        <v>1.0</v>
      </c>
      <c r="L535" s="38">
        <v>6.0</v>
      </c>
      <c r="M535" s="38" t="str">
        <f>IFERROR(__xludf.DUMMYFUNCTION("""COMPUTED_VALUE"""),"General Sparepart")</f>
        <v>General Sparepart</v>
      </c>
      <c r="N535" s="38">
        <v>24.0</v>
      </c>
      <c r="O535" s="40">
        <v>46086.0</v>
      </c>
      <c r="P535" s="38" t="s">
        <v>126</v>
      </c>
      <c r="Q535" s="42">
        <v>5.0</v>
      </c>
      <c r="R535" s="42">
        <v>7.090909090909092</v>
      </c>
      <c r="S535" s="38">
        <v>3.0</v>
      </c>
      <c r="T535" s="42">
        <v>5.627272727272727</v>
      </c>
      <c r="U535" s="42">
        <v>5.627272727272727</v>
      </c>
    </row>
    <row r="536">
      <c r="A536" s="43" t="s">
        <v>1320</v>
      </c>
      <c r="B536" s="47" t="s">
        <v>1321</v>
      </c>
      <c r="C536" s="43" t="s">
        <v>82</v>
      </c>
      <c r="D536" s="43">
        <v>1.0</v>
      </c>
      <c r="E536" s="43">
        <v>1.0</v>
      </c>
      <c r="F536" s="43">
        <f>IFERROR(__xludf.DUMMYFUNCTION("""COMPUTED_VALUE"""),0.0)</f>
        <v>0</v>
      </c>
      <c r="G536" s="43" t="s">
        <v>112</v>
      </c>
      <c r="H536" s="43" t="s">
        <v>113</v>
      </c>
      <c r="I536" s="43" t="s">
        <v>115</v>
      </c>
      <c r="J536" s="47" t="s">
        <v>115</v>
      </c>
      <c r="K536" s="38">
        <v>1.0</v>
      </c>
      <c r="L536" s="38">
        <v>2.0</v>
      </c>
      <c r="M536" s="38" t="str">
        <f>IFERROR(__xludf.DUMMYFUNCTION("""COMPUTED_VALUE"""),"General Sparepart")</f>
        <v>General Sparepart</v>
      </c>
      <c r="N536" s="38">
        <v>24.0</v>
      </c>
      <c r="O536" s="40">
        <v>46271.0</v>
      </c>
      <c r="P536" s="38" t="s">
        <v>126</v>
      </c>
      <c r="Q536" s="42">
        <v>0.0</v>
      </c>
      <c r="R536" s="42">
        <v>0.2727272727272727</v>
      </c>
      <c r="S536" s="38">
        <v>2.0</v>
      </c>
      <c r="T536" s="42">
        <v>0.0818181818181818</v>
      </c>
      <c r="U536" s="46">
        <v>2.0</v>
      </c>
    </row>
    <row r="537">
      <c r="A537" s="43" t="s">
        <v>1322</v>
      </c>
      <c r="B537" s="47" t="s">
        <v>1323</v>
      </c>
      <c r="C537" s="43" t="s">
        <v>82</v>
      </c>
      <c r="D537" s="43">
        <v>1.0</v>
      </c>
      <c r="E537" s="43">
        <v>1.0</v>
      </c>
      <c r="F537" s="43">
        <f>IFERROR(__xludf.DUMMYFUNCTION("""COMPUTED_VALUE"""),0.0)</f>
        <v>0</v>
      </c>
      <c r="G537" s="43" t="s">
        <v>112</v>
      </c>
      <c r="H537" s="43" t="s">
        <v>119</v>
      </c>
      <c r="I537" s="43" t="s">
        <v>119</v>
      </c>
      <c r="J537" s="47" t="s">
        <v>115</v>
      </c>
      <c r="K537" s="38">
        <v>0.0</v>
      </c>
      <c r="L537" s="38">
        <v>0.0</v>
      </c>
      <c r="M537" s="38" t="str">
        <f>IFERROR(__xludf.DUMMYFUNCTION("""COMPUTED_VALUE"""),"General Sparepart")</f>
        <v>General Sparepart</v>
      </c>
      <c r="N537" s="38">
        <v>24.0</v>
      </c>
      <c r="O537" s="40">
        <v>43279.0</v>
      </c>
      <c r="P537" s="38" t="s">
        <v>116</v>
      </c>
      <c r="Q537" s="42">
        <v>0.0</v>
      </c>
      <c r="R537" s="42">
        <v>0.0</v>
      </c>
      <c r="S537" s="38">
        <v>0.0</v>
      </c>
      <c r="T537" s="42">
        <v>0.0</v>
      </c>
      <c r="U537" s="42">
        <v>0.0</v>
      </c>
    </row>
    <row r="538">
      <c r="A538" s="43" t="s">
        <v>1324</v>
      </c>
      <c r="B538" s="47" t="s">
        <v>1325</v>
      </c>
      <c r="C538" s="43" t="s">
        <v>82</v>
      </c>
      <c r="D538" s="43">
        <v>3.0</v>
      </c>
      <c r="E538" s="43">
        <v>10.0</v>
      </c>
      <c r="F538" s="43">
        <f>IFERROR(__xludf.DUMMYFUNCTION("""COMPUTED_VALUE"""),14.0)</f>
        <v>14</v>
      </c>
      <c r="G538" s="43" t="s">
        <v>122</v>
      </c>
      <c r="H538" s="43" t="s">
        <v>113</v>
      </c>
      <c r="I538" s="43" t="s">
        <v>115</v>
      </c>
      <c r="J538" s="47" t="s">
        <v>115</v>
      </c>
      <c r="K538" s="38">
        <v>2.0</v>
      </c>
      <c r="L538" s="38">
        <v>15.0</v>
      </c>
      <c r="M538" s="38" t="str">
        <f>IFERROR(__xludf.DUMMYFUNCTION("""COMPUTED_VALUE"""),"General Sparepart")</f>
        <v>General Sparepart</v>
      </c>
      <c r="N538" s="38">
        <v>24.0</v>
      </c>
      <c r="O538" s="40">
        <v>46142.0</v>
      </c>
      <c r="P538" s="38" t="s">
        <v>126</v>
      </c>
      <c r="Q538" s="42">
        <v>4.0</v>
      </c>
      <c r="R538" s="42">
        <v>4.636363636363637</v>
      </c>
      <c r="S538" s="38">
        <v>15.0</v>
      </c>
      <c r="T538" s="42">
        <v>4.1909090909090905</v>
      </c>
      <c r="U538" s="46">
        <v>15.0</v>
      </c>
    </row>
    <row r="539">
      <c r="A539" s="43" t="s">
        <v>1326</v>
      </c>
      <c r="B539" s="47" t="s">
        <v>1327</v>
      </c>
      <c r="C539" s="43" t="s">
        <v>74</v>
      </c>
      <c r="D539" s="43">
        <v>1.0</v>
      </c>
      <c r="E539" s="43">
        <v>2.0</v>
      </c>
      <c r="F539" s="43">
        <f>IFERROR(__xludf.DUMMYFUNCTION("""COMPUTED_VALUE"""),1.0)</f>
        <v>1</v>
      </c>
      <c r="G539" s="43" t="s">
        <v>125</v>
      </c>
      <c r="H539" s="43" t="s">
        <v>113</v>
      </c>
      <c r="I539" s="43" t="s">
        <v>115</v>
      </c>
      <c r="J539" s="47" t="s">
        <v>115</v>
      </c>
      <c r="K539" s="38">
        <v>0.0</v>
      </c>
      <c r="L539" s="38">
        <v>0.0</v>
      </c>
      <c r="M539" s="38" t="str">
        <f>IFERROR(__xludf.DUMMYFUNCTION("""COMPUTED_VALUE"""),"General Sparepart")</f>
        <v>General Sparepart</v>
      </c>
      <c r="N539" s="38">
        <v>24.0</v>
      </c>
      <c r="O539" s="40">
        <v>45187.0</v>
      </c>
      <c r="P539" s="38" t="s">
        <v>116</v>
      </c>
      <c r="Q539" s="42">
        <v>0.0</v>
      </c>
      <c r="R539" s="42">
        <v>0.0</v>
      </c>
      <c r="S539" s="38">
        <v>0.0</v>
      </c>
      <c r="T539" s="42">
        <v>0.0</v>
      </c>
      <c r="U539" s="42">
        <v>0.0</v>
      </c>
    </row>
    <row r="540">
      <c r="A540" s="43" t="s">
        <v>1328</v>
      </c>
      <c r="B540" s="47" t="s">
        <v>1329</v>
      </c>
      <c r="C540" s="43" t="s">
        <v>74</v>
      </c>
      <c r="D540" s="43">
        <v>1.0</v>
      </c>
      <c r="E540" s="43">
        <v>1.0</v>
      </c>
      <c r="F540" s="43">
        <f>IFERROR(__xludf.DUMMYFUNCTION("""COMPUTED_VALUE"""),1.0)</f>
        <v>1</v>
      </c>
      <c r="G540" s="43" t="s">
        <v>125</v>
      </c>
      <c r="H540" s="43" t="s">
        <v>113</v>
      </c>
      <c r="I540" s="43" t="s">
        <v>115</v>
      </c>
      <c r="J540" s="47" t="s">
        <v>1330</v>
      </c>
      <c r="K540" s="38">
        <v>1.0</v>
      </c>
      <c r="L540" s="38">
        <v>1.0</v>
      </c>
      <c r="M540" s="38" t="str">
        <f>IFERROR(__xludf.DUMMYFUNCTION("""COMPUTED_VALUE"""),"Fast Moving / Consumable")</f>
        <v>Fast Moving / Consumable</v>
      </c>
      <c r="N540" s="38">
        <v>18.0</v>
      </c>
      <c r="O540" s="40">
        <v>45762.0</v>
      </c>
      <c r="P540" s="38" t="s">
        <v>126</v>
      </c>
      <c r="Q540" s="42">
        <v>0.0</v>
      </c>
      <c r="R540" s="42">
        <v>0.2727272727272727</v>
      </c>
      <c r="S540" s="38">
        <v>0.0</v>
      </c>
      <c r="T540" s="42">
        <v>0.0818181818181818</v>
      </c>
      <c r="U540" s="42">
        <v>0.0818181818181818</v>
      </c>
    </row>
    <row r="541">
      <c r="A541" s="43" t="s">
        <v>1331</v>
      </c>
      <c r="B541" s="47" t="s">
        <v>1332</v>
      </c>
      <c r="C541" s="43" t="s">
        <v>74</v>
      </c>
      <c r="D541" s="43">
        <v>1.0</v>
      </c>
      <c r="E541" s="43">
        <v>2.0</v>
      </c>
      <c r="F541" s="43">
        <f>IFERROR(__xludf.DUMMYFUNCTION("""COMPUTED_VALUE"""),0.0)</f>
        <v>0</v>
      </c>
      <c r="G541" s="43" t="s">
        <v>112</v>
      </c>
      <c r="H541" s="43" t="s">
        <v>113</v>
      </c>
      <c r="I541" s="43" t="s">
        <v>141</v>
      </c>
      <c r="J541" s="47" t="s">
        <v>1333</v>
      </c>
      <c r="K541" s="38">
        <v>1.0</v>
      </c>
      <c r="L541" s="38">
        <v>1.0</v>
      </c>
      <c r="M541" s="38" t="str">
        <f>IFERROR(__xludf.DUMMYFUNCTION("""COMPUTED_VALUE"""),"Critical Sparepart")</f>
        <v>Critical Sparepart</v>
      </c>
      <c r="N541" s="38">
        <v>36.0</v>
      </c>
      <c r="O541" s="40">
        <v>45833.0</v>
      </c>
      <c r="P541" s="38" t="s">
        <v>126</v>
      </c>
      <c r="Q541" s="42">
        <v>1.0</v>
      </c>
      <c r="R541" s="42">
        <v>0.2727272727272727</v>
      </c>
      <c r="S541" s="38">
        <v>0.0</v>
      </c>
      <c r="T541" s="42">
        <v>0.7818181818181817</v>
      </c>
      <c r="U541" s="42">
        <v>0.7818181818181817</v>
      </c>
    </row>
    <row r="542">
      <c r="A542" s="43" t="s">
        <v>1334</v>
      </c>
      <c r="B542" s="47" t="s">
        <v>1335</v>
      </c>
      <c r="C542" s="43" t="s">
        <v>74</v>
      </c>
      <c r="D542" s="43">
        <v>1.0</v>
      </c>
      <c r="E542" s="43">
        <v>1.0</v>
      </c>
      <c r="F542" s="43">
        <f>IFERROR(__xludf.DUMMYFUNCTION("""COMPUTED_VALUE"""),1.0)</f>
        <v>1</v>
      </c>
      <c r="G542" s="43" t="s">
        <v>125</v>
      </c>
      <c r="H542" s="43" t="s">
        <v>113</v>
      </c>
      <c r="I542" s="43" t="s">
        <v>115</v>
      </c>
      <c r="J542" s="47" t="s">
        <v>115</v>
      </c>
      <c r="K542" s="38">
        <v>1.0</v>
      </c>
      <c r="L542" s="38">
        <v>1.0</v>
      </c>
      <c r="M542" s="38" t="str">
        <f>IFERROR(__xludf.DUMMYFUNCTION("""COMPUTED_VALUE"""),"General Sparepart")</f>
        <v>General Sparepart</v>
      </c>
      <c r="N542" s="38">
        <v>24.0</v>
      </c>
      <c r="O542" s="40">
        <v>45552.0</v>
      </c>
      <c r="P542" s="38" t="s">
        <v>126</v>
      </c>
      <c r="Q542" s="42">
        <v>1.0</v>
      </c>
      <c r="R542" s="42">
        <v>0.2727272727272727</v>
      </c>
      <c r="S542" s="38">
        <v>0.0</v>
      </c>
      <c r="T542" s="42">
        <v>0.7818181818181817</v>
      </c>
      <c r="U542" s="42">
        <v>0.7818181818181817</v>
      </c>
    </row>
    <row r="543">
      <c r="A543" s="43" t="s">
        <v>1336</v>
      </c>
      <c r="B543" s="47" t="s">
        <v>1337</v>
      </c>
      <c r="C543" s="43" t="s">
        <v>74</v>
      </c>
      <c r="D543" s="43">
        <v>1.0</v>
      </c>
      <c r="E543" s="43">
        <v>1.0</v>
      </c>
      <c r="F543" s="43">
        <f>IFERROR(__xludf.DUMMYFUNCTION("""COMPUTED_VALUE"""),1.0)</f>
        <v>1</v>
      </c>
      <c r="G543" s="43" t="s">
        <v>125</v>
      </c>
      <c r="H543" s="43" t="s">
        <v>113</v>
      </c>
      <c r="I543" s="43" t="s">
        <v>115</v>
      </c>
      <c r="J543" s="47" t="s">
        <v>115</v>
      </c>
      <c r="K543" s="38">
        <v>0.0</v>
      </c>
      <c r="L543" s="38">
        <v>0.0</v>
      </c>
      <c r="M543" s="38" t="str">
        <f>IFERROR(__xludf.DUMMYFUNCTION("""COMPUTED_VALUE"""),"Fast Moving / Consumable")</f>
        <v>Fast Moving / Consumable</v>
      </c>
      <c r="N543" s="38">
        <v>18.0</v>
      </c>
      <c r="O543" s="40">
        <v>45552.0</v>
      </c>
      <c r="P543" s="38" t="s">
        <v>116</v>
      </c>
      <c r="Q543" s="42">
        <v>1.0</v>
      </c>
      <c r="R543" s="42">
        <v>0.5454545454545454</v>
      </c>
      <c r="S543" s="38">
        <v>0.0</v>
      </c>
      <c r="T543" s="42">
        <v>0.8636363636363635</v>
      </c>
      <c r="U543" s="42">
        <v>0.8636363636363635</v>
      </c>
    </row>
    <row r="544">
      <c r="A544" s="43" t="s">
        <v>1338</v>
      </c>
      <c r="B544" s="47" t="s">
        <v>1339</v>
      </c>
      <c r="C544" s="43" t="s">
        <v>74</v>
      </c>
      <c r="D544" s="43">
        <v>1.0</v>
      </c>
      <c r="E544" s="43">
        <v>1.0</v>
      </c>
      <c r="F544" s="43">
        <f>IFERROR(__xludf.DUMMYFUNCTION("""COMPUTED_VALUE"""),0.0)</f>
        <v>0</v>
      </c>
      <c r="G544" s="43" t="s">
        <v>112</v>
      </c>
      <c r="H544" s="43" t="s">
        <v>113</v>
      </c>
      <c r="I544" s="43" t="s">
        <v>115</v>
      </c>
      <c r="J544" s="47" t="s">
        <v>266</v>
      </c>
      <c r="K544" s="38">
        <v>1.0</v>
      </c>
      <c r="L544" s="38">
        <v>3.0</v>
      </c>
      <c r="M544" s="38" t="str">
        <f>IFERROR(__xludf.DUMMYFUNCTION("""COMPUTED_VALUE"""),"General Sparepart")</f>
        <v>General Sparepart</v>
      </c>
      <c r="N544" s="38">
        <v>24.0</v>
      </c>
      <c r="O544" s="40">
        <v>46147.0</v>
      </c>
      <c r="P544" s="38" t="s">
        <v>126</v>
      </c>
      <c r="Q544" s="42">
        <v>3.0</v>
      </c>
      <c r="R544" s="42">
        <v>0.0</v>
      </c>
      <c r="S544" s="38">
        <v>1.0</v>
      </c>
      <c r="T544" s="42">
        <v>3.0</v>
      </c>
      <c r="U544" s="42">
        <v>3.0</v>
      </c>
    </row>
    <row r="545">
      <c r="A545" s="43" t="s">
        <v>1340</v>
      </c>
      <c r="B545" s="47" t="s">
        <v>1341</v>
      </c>
      <c r="C545" s="43" t="s">
        <v>74</v>
      </c>
      <c r="D545" s="43">
        <v>5.0</v>
      </c>
      <c r="E545" s="43">
        <v>15.0</v>
      </c>
      <c r="F545" s="43">
        <f>IFERROR(__xludf.DUMMYFUNCTION("""COMPUTED_VALUE"""),9.0)</f>
        <v>9</v>
      </c>
      <c r="G545" s="43" t="s">
        <v>122</v>
      </c>
      <c r="H545" s="43" t="s">
        <v>113</v>
      </c>
      <c r="I545" s="43" t="s">
        <v>115</v>
      </c>
      <c r="J545" s="47" t="s">
        <v>115</v>
      </c>
      <c r="K545" s="38">
        <v>1.0</v>
      </c>
      <c r="L545" s="38">
        <v>5.0</v>
      </c>
      <c r="M545" s="38" t="str">
        <f>IFERROR(__xludf.DUMMYFUNCTION("""COMPUTED_VALUE"""),"General Sparepart")</f>
        <v>General Sparepart</v>
      </c>
      <c r="N545" s="38">
        <v>24.0</v>
      </c>
      <c r="O545" s="40">
        <v>46260.0</v>
      </c>
      <c r="P545" s="38" t="s">
        <v>126</v>
      </c>
      <c r="Q545" s="42">
        <v>5.0</v>
      </c>
      <c r="R545" s="42">
        <v>4.363636363636363</v>
      </c>
      <c r="S545" s="38">
        <v>0.0</v>
      </c>
      <c r="T545" s="42">
        <v>4.809090909090909</v>
      </c>
      <c r="U545" s="42">
        <v>4.809090909090909</v>
      </c>
    </row>
    <row r="546">
      <c r="A546" s="43" t="s">
        <v>1342</v>
      </c>
      <c r="B546" s="47" t="s">
        <v>1343</v>
      </c>
      <c r="C546" s="43" t="s">
        <v>74</v>
      </c>
      <c r="D546" s="43">
        <v>1.0</v>
      </c>
      <c r="E546" s="43">
        <v>2.0</v>
      </c>
      <c r="F546" s="43">
        <f>IFERROR(__xludf.DUMMYFUNCTION("""COMPUTED_VALUE"""),0.0)</f>
        <v>0</v>
      </c>
      <c r="G546" s="43" t="s">
        <v>112</v>
      </c>
      <c r="H546" s="43" t="s">
        <v>113</v>
      </c>
      <c r="I546" s="43" t="s">
        <v>141</v>
      </c>
      <c r="J546" s="47" t="s">
        <v>1344</v>
      </c>
      <c r="K546" s="38">
        <v>0.0</v>
      </c>
      <c r="L546" s="38">
        <v>0.0</v>
      </c>
      <c r="M546" s="38" t="str">
        <f>IFERROR(__xludf.DUMMYFUNCTION("""COMPUTED_VALUE"""),"Fast Moving / Consumable")</f>
        <v>Fast Moving / Consumable</v>
      </c>
      <c r="N546" s="38">
        <v>18.0</v>
      </c>
      <c r="O546" s="40">
        <v>45170.0</v>
      </c>
      <c r="P546" s="38" t="s">
        <v>116</v>
      </c>
      <c r="Q546" s="42">
        <v>0.0</v>
      </c>
      <c r="R546" s="42">
        <v>0.2727272727272727</v>
      </c>
      <c r="S546" s="38">
        <v>0.0</v>
      </c>
      <c r="T546" s="42">
        <v>0.0818181818181818</v>
      </c>
      <c r="U546" s="42">
        <v>0.0818181818181818</v>
      </c>
    </row>
    <row r="547">
      <c r="A547" s="43" t="s">
        <v>1345</v>
      </c>
      <c r="B547" s="47" t="s">
        <v>1346</v>
      </c>
      <c r="C547" s="43" t="s">
        <v>74</v>
      </c>
      <c r="D547" s="43">
        <v>1.0</v>
      </c>
      <c r="E547" s="43">
        <v>2.0</v>
      </c>
      <c r="F547" s="43">
        <f>IFERROR(__xludf.DUMMYFUNCTION("""COMPUTED_VALUE"""),0.0)</f>
        <v>0</v>
      </c>
      <c r="G547" s="43" t="s">
        <v>112</v>
      </c>
      <c r="H547" s="43" t="s">
        <v>113</v>
      </c>
      <c r="I547" s="43" t="s">
        <v>115</v>
      </c>
      <c r="J547" s="47" t="s">
        <v>115</v>
      </c>
      <c r="K547" s="38">
        <v>1.0</v>
      </c>
      <c r="L547" s="38">
        <v>2.0</v>
      </c>
      <c r="M547" s="38" t="str">
        <f>IFERROR(__xludf.DUMMYFUNCTION("""COMPUTED_VALUE"""),"Critical Sparepart")</f>
        <v>Critical Sparepart</v>
      </c>
      <c r="N547" s="38">
        <v>36.0</v>
      </c>
      <c r="O547" s="40">
        <v>45961.0</v>
      </c>
      <c r="P547" s="38" t="s">
        <v>126</v>
      </c>
      <c r="Q547" s="42">
        <v>2.0</v>
      </c>
      <c r="R547" s="42">
        <v>1.3636363636363635</v>
      </c>
      <c r="S547" s="38">
        <v>0.0</v>
      </c>
      <c r="T547" s="42">
        <v>1.809090909090909</v>
      </c>
      <c r="U547" s="42">
        <v>1.809090909090909</v>
      </c>
    </row>
    <row r="548">
      <c r="A548" s="43" t="s">
        <v>1347</v>
      </c>
      <c r="B548" s="47" t="s">
        <v>1348</v>
      </c>
      <c r="C548" s="43" t="s">
        <v>74</v>
      </c>
      <c r="D548" s="43">
        <v>1.0</v>
      </c>
      <c r="E548" s="43">
        <v>1.0</v>
      </c>
      <c r="F548" s="43">
        <f>IFERROR(__xludf.DUMMYFUNCTION("""COMPUTED_VALUE"""),2.0)</f>
        <v>2</v>
      </c>
      <c r="G548" s="43" t="s">
        <v>122</v>
      </c>
      <c r="H548" s="43" t="s">
        <v>113</v>
      </c>
      <c r="I548" s="43" t="s">
        <v>115</v>
      </c>
      <c r="J548" s="47" t="s">
        <v>115</v>
      </c>
      <c r="K548" s="38">
        <v>1.0</v>
      </c>
      <c r="L548" s="38">
        <v>1.0</v>
      </c>
      <c r="M548" s="38" t="str">
        <f>IFERROR(__xludf.DUMMYFUNCTION("""COMPUTED_VALUE"""),"Critical Sparepart")</f>
        <v>Critical Sparepart</v>
      </c>
      <c r="N548" s="38">
        <v>36.0</v>
      </c>
      <c r="O548" s="40">
        <v>46234.0</v>
      </c>
      <c r="P548" s="38" t="s">
        <v>126</v>
      </c>
      <c r="Q548" s="42">
        <v>1.0</v>
      </c>
      <c r="R548" s="42">
        <v>0.2727272727272727</v>
      </c>
      <c r="S548" s="38">
        <v>0.0</v>
      </c>
      <c r="T548" s="42">
        <v>0.7818181818181817</v>
      </c>
      <c r="U548" s="42">
        <v>0.7818181818181817</v>
      </c>
    </row>
    <row r="549">
      <c r="A549" s="43" t="s">
        <v>1349</v>
      </c>
      <c r="B549" s="47" t="s">
        <v>1350</v>
      </c>
      <c r="C549" s="43" t="s">
        <v>74</v>
      </c>
      <c r="D549" s="43">
        <v>0.0</v>
      </c>
      <c r="E549" s="43">
        <v>1.0</v>
      </c>
      <c r="F549" s="43">
        <f>IFERROR(__xludf.DUMMYFUNCTION("""COMPUTED_VALUE"""),0.0)</f>
        <v>0</v>
      </c>
      <c r="G549" s="43" t="s">
        <v>125</v>
      </c>
      <c r="H549" s="43" t="s">
        <v>119</v>
      </c>
      <c r="I549" s="43" t="s">
        <v>141</v>
      </c>
      <c r="J549" s="47" t="s">
        <v>1333</v>
      </c>
      <c r="K549" s="38">
        <v>0.0</v>
      </c>
      <c r="L549" s="38">
        <v>0.0</v>
      </c>
      <c r="M549" s="38" t="str">
        <f>IFERROR(__xludf.DUMMYFUNCTION("""COMPUTED_VALUE"""),"Critical Sparepart")</f>
        <v>Critical Sparepart</v>
      </c>
      <c r="N549" s="38">
        <v>36.0</v>
      </c>
      <c r="O549" s="40">
        <v>0.0</v>
      </c>
      <c r="P549" s="38" t="s">
        <v>116</v>
      </c>
      <c r="Q549" s="42">
        <v>0.0</v>
      </c>
      <c r="R549" s="42">
        <v>0.0</v>
      </c>
      <c r="S549" s="38">
        <v>0.0</v>
      </c>
      <c r="T549" s="42">
        <v>0.0</v>
      </c>
      <c r="U549" s="42">
        <v>0.0</v>
      </c>
    </row>
    <row r="550">
      <c r="A550" s="43" t="s">
        <v>1351</v>
      </c>
      <c r="B550" s="47" t="s">
        <v>1352</v>
      </c>
      <c r="C550" s="43" t="s">
        <v>75</v>
      </c>
      <c r="D550" s="43">
        <v>1.0</v>
      </c>
      <c r="E550" s="43">
        <v>1.0</v>
      </c>
      <c r="F550" s="43">
        <f>IFERROR(__xludf.DUMMYFUNCTION("""COMPUTED_VALUE"""),0.0)</f>
        <v>0</v>
      </c>
      <c r="G550" s="43" t="s">
        <v>112</v>
      </c>
      <c r="H550" s="43" t="s">
        <v>113</v>
      </c>
      <c r="I550" s="43" t="s">
        <v>141</v>
      </c>
      <c r="J550" s="47" t="s">
        <v>1353</v>
      </c>
      <c r="K550" s="38">
        <v>0.0</v>
      </c>
      <c r="L550" s="38">
        <v>0.0</v>
      </c>
      <c r="M550" s="38" t="str">
        <f>IFERROR(__xludf.DUMMYFUNCTION("""COMPUTED_VALUE"""),"Critical Sparepart")</f>
        <v>Critical Sparepart</v>
      </c>
      <c r="N550" s="38">
        <v>36.0</v>
      </c>
      <c r="O550" s="40">
        <v>0.0</v>
      </c>
      <c r="P550" s="38" t="s">
        <v>116</v>
      </c>
      <c r="Q550" s="42">
        <v>0.0</v>
      </c>
      <c r="R550" s="42">
        <v>0.0</v>
      </c>
      <c r="S550" s="38">
        <v>0.0</v>
      </c>
      <c r="T550" s="42">
        <v>0.0</v>
      </c>
      <c r="U550" s="42">
        <v>0.0</v>
      </c>
    </row>
    <row r="551">
      <c r="A551" s="43" t="s">
        <v>1354</v>
      </c>
      <c r="B551" s="47" t="s">
        <v>1355</v>
      </c>
      <c r="C551" s="43" t="s">
        <v>75</v>
      </c>
      <c r="D551" s="43">
        <v>1.0</v>
      </c>
      <c r="E551" s="43">
        <v>1.0</v>
      </c>
      <c r="F551" s="43">
        <f>IFERROR(__xludf.DUMMYFUNCTION("""COMPUTED_VALUE"""),0.0)</f>
        <v>0</v>
      </c>
      <c r="G551" s="43" t="s">
        <v>112</v>
      </c>
      <c r="H551" s="43" t="s">
        <v>119</v>
      </c>
      <c r="I551" s="43" t="s">
        <v>119</v>
      </c>
      <c r="J551" s="47" t="s">
        <v>1356</v>
      </c>
      <c r="K551" s="38">
        <v>0.0</v>
      </c>
      <c r="L551" s="38">
        <v>0.0</v>
      </c>
      <c r="M551" s="38" t="str">
        <f>IFERROR(__xludf.DUMMYFUNCTION("""COMPUTED_VALUE"""),"Fast Moving / Consumable")</f>
        <v>Fast Moving / Consumable</v>
      </c>
      <c r="N551" s="38">
        <v>18.0</v>
      </c>
      <c r="O551" s="40">
        <v>0.0</v>
      </c>
      <c r="P551" s="38" t="s">
        <v>116</v>
      </c>
      <c r="Q551" s="42">
        <v>0.0</v>
      </c>
      <c r="R551" s="42">
        <v>0.0</v>
      </c>
      <c r="S551" s="38">
        <v>0.0</v>
      </c>
      <c r="T551" s="42">
        <v>0.0</v>
      </c>
      <c r="U551" s="42">
        <v>0.0</v>
      </c>
    </row>
    <row r="552">
      <c r="A552" s="43" t="s">
        <v>1357</v>
      </c>
      <c r="B552" s="47" t="s">
        <v>1358</v>
      </c>
      <c r="C552" s="43" t="s">
        <v>75</v>
      </c>
      <c r="D552" s="43">
        <v>1.0</v>
      </c>
      <c r="E552" s="43">
        <v>1.0</v>
      </c>
      <c r="F552" s="43">
        <f>IFERROR(__xludf.DUMMYFUNCTION("""COMPUTED_VALUE"""),1.0)</f>
        <v>1</v>
      </c>
      <c r="G552" s="43" t="s">
        <v>125</v>
      </c>
      <c r="H552" s="43" t="s">
        <v>115</v>
      </c>
      <c r="I552" s="43" t="s">
        <v>141</v>
      </c>
      <c r="J552" s="47" t="s">
        <v>1359</v>
      </c>
      <c r="K552" s="38">
        <v>1.0</v>
      </c>
      <c r="L552" s="38">
        <v>1.0</v>
      </c>
      <c r="M552" s="38" t="str">
        <f>IFERROR(__xludf.DUMMYFUNCTION("""COMPUTED_VALUE"""),"Fast Moving / Consumable")</f>
        <v>Fast Moving / Consumable</v>
      </c>
      <c r="N552" s="38">
        <v>18.0</v>
      </c>
      <c r="O552" s="40">
        <v>45706.0</v>
      </c>
      <c r="P552" s="38" t="s">
        <v>126</v>
      </c>
      <c r="Q552" s="42">
        <v>1.0</v>
      </c>
      <c r="R552" s="42">
        <v>0.0</v>
      </c>
      <c r="S552" s="38">
        <v>0.0</v>
      </c>
      <c r="T552" s="42">
        <v>1.0</v>
      </c>
      <c r="U552" s="42">
        <v>1.0</v>
      </c>
    </row>
    <row r="553">
      <c r="A553" s="43" t="s">
        <v>1360</v>
      </c>
      <c r="B553" s="47" t="s">
        <v>1361</v>
      </c>
      <c r="C553" s="43" t="s">
        <v>75</v>
      </c>
      <c r="D553" s="43">
        <v>1.0</v>
      </c>
      <c r="E553" s="43">
        <v>2.0</v>
      </c>
      <c r="F553" s="43">
        <f>IFERROR(__xludf.DUMMYFUNCTION("""COMPUTED_VALUE"""),0.0)</f>
        <v>0</v>
      </c>
      <c r="G553" s="43" t="s">
        <v>112</v>
      </c>
      <c r="H553" s="43" t="s">
        <v>119</v>
      </c>
      <c r="I553" s="43" t="s">
        <v>141</v>
      </c>
      <c r="J553" s="47" t="s">
        <v>1362</v>
      </c>
      <c r="K553" s="38">
        <v>0.0</v>
      </c>
      <c r="L553" s="38">
        <v>0.0</v>
      </c>
      <c r="M553" s="38" t="str">
        <f>IFERROR(__xludf.DUMMYFUNCTION("""COMPUTED_VALUE"""),"Critical Sparepart")</f>
        <v>Critical Sparepart</v>
      </c>
      <c r="N553" s="38">
        <v>36.0</v>
      </c>
      <c r="O553" s="40">
        <v>0.0</v>
      </c>
      <c r="P553" s="38" t="s">
        <v>116</v>
      </c>
      <c r="Q553" s="42">
        <v>0.0</v>
      </c>
      <c r="R553" s="42">
        <v>0.0</v>
      </c>
      <c r="S553" s="38">
        <v>0.0</v>
      </c>
      <c r="T553" s="42">
        <v>0.0</v>
      </c>
      <c r="U553" s="42">
        <v>0.0</v>
      </c>
    </row>
    <row r="554">
      <c r="A554" s="43" t="s">
        <v>1363</v>
      </c>
      <c r="B554" s="47" t="s">
        <v>1364</v>
      </c>
      <c r="C554" s="43" t="s">
        <v>75</v>
      </c>
      <c r="D554" s="43">
        <v>0.0</v>
      </c>
      <c r="E554" s="43">
        <v>0.0</v>
      </c>
      <c r="F554" s="43">
        <f>IFERROR(__xludf.DUMMYFUNCTION("""COMPUTED_VALUE"""),0.0)</f>
        <v>0</v>
      </c>
      <c r="G554" s="43" t="s">
        <v>125</v>
      </c>
      <c r="H554" s="43" t="s">
        <v>119</v>
      </c>
      <c r="I554" s="43" t="s">
        <v>119</v>
      </c>
      <c r="J554" s="47" t="s">
        <v>1365</v>
      </c>
      <c r="K554" s="38">
        <v>0.0</v>
      </c>
      <c r="L554" s="38">
        <v>0.0</v>
      </c>
      <c r="M554" s="38" t="str">
        <f>IFERROR(__xludf.DUMMYFUNCTION("""COMPUTED_VALUE"""),"Fast Moving / Consumable")</f>
        <v>Fast Moving / Consumable</v>
      </c>
      <c r="N554" s="38">
        <v>18.0</v>
      </c>
      <c r="O554" s="40">
        <v>0.0</v>
      </c>
      <c r="P554" s="38" t="s">
        <v>116</v>
      </c>
      <c r="Q554" s="42">
        <v>0.0</v>
      </c>
      <c r="R554" s="42">
        <v>0.0</v>
      </c>
      <c r="S554" s="38">
        <v>0.0</v>
      </c>
      <c r="T554" s="42">
        <v>0.0</v>
      </c>
      <c r="U554" s="42">
        <v>0.0</v>
      </c>
    </row>
    <row r="555">
      <c r="A555" s="43" t="s">
        <v>1366</v>
      </c>
      <c r="B555" s="47" t="s">
        <v>1367</v>
      </c>
      <c r="C555" s="43" t="s">
        <v>75</v>
      </c>
      <c r="D555" s="43">
        <v>1.0</v>
      </c>
      <c r="E555" s="43">
        <v>2.0</v>
      </c>
      <c r="F555" s="43">
        <f>IFERROR(__xludf.DUMMYFUNCTION("""COMPUTED_VALUE"""),1.0)</f>
        <v>1</v>
      </c>
      <c r="G555" s="43" t="s">
        <v>125</v>
      </c>
      <c r="H555" s="43" t="s">
        <v>113</v>
      </c>
      <c r="I555" s="43" t="s">
        <v>115</v>
      </c>
      <c r="J555" s="47" t="s">
        <v>115</v>
      </c>
      <c r="K555" s="38">
        <v>0.0</v>
      </c>
      <c r="L555" s="38">
        <v>0.0</v>
      </c>
      <c r="M555" s="38" t="str">
        <f>IFERROR(__xludf.DUMMYFUNCTION("""COMPUTED_VALUE"""),"Fast Moving / Consumable")</f>
        <v>Fast Moving / Consumable</v>
      </c>
      <c r="N555" s="38">
        <v>18.0</v>
      </c>
      <c r="O555" s="40">
        <v>45341.0</v>
      </c>
      <c r="P555" s="38" t="s">
        <v>116</v>
      </c>
      <c r="Q555" s="42">
        <v>1.0</v>
      </c>
      <c r="R555" s="42">
        <v>0.0</v>
      </c>
      <c r="S555" s="38">
        <v>0.0</v>
      </c>
      <c r="T555" s="42">
        <v>1.0</v>
      </c>
      <c r="U555" s="42">
        <v>1.0</v>
      </c>
    </row>
    <row r="556">
      <c r="A556" s="43" t="s">
        <v>1368</v>
      </c>
      <c r="B556" s="47" t="s">
        <v>1369</v>
      </c>
      <c r="C556" s="43" t="s">
        <v>75</v>
      </c>
      <c r="D556" s="43">
        <v>1.0</v>
      </c>
      <c r="E556" s="43">
        <v>1.0</v>
      </c>
      <c r="F556" s="43">
        <f>IFERROR(__xludf.DUMMYFUNCTION("""COMPUTED_VALUE"""),1.0)</f>
        <v>1</v>
      </c>
      <c r="G556" s="43" t="s">
        <v>125</v>
      </c>
      <c r="H556" s="43" t="s">
        <v>113</v>
      </c>
      <c r="I556" s="43" t="s">
        <v>115</v>
      </c>
      <c r="J556" s="47" t="s">
        <v>1370</v>
      </c>
      <c r="K556" s="38">
        <v>1.0</v>
      </c>
      <c r="L556" s="38">
        <v>1.0</v>
      </c>
      <c r="M556" s="38" t="str">
        <f>IFERROR(__xludf.DUMMYFUNCTION("""COMPUTED_VALUE"""),"Fast Moving / Consumable")</f>
        <v>Fast Moving / Consumable</v>
      </c>
      <c r="N556" s="38">
        <v>18.0</v>
      </c>
      <c r="O556" s="40">
        <v>45875.0</v>
      </c>
      <c r="P556" s="38" t="s">
        <v>126</v>
      </c>
      <c r="Q556" s="42">
        <v>1.0</v>
      </c>
      <c r="R556" s="42">
        <v>0.0</v>
      </c>
      <c r="S556" s="38">
        <v>0.0</v>
      </c>
      <c r="T556" s="42">
        <v>1.0</v>
      </c>
      <c r="U556" s="42">
        <v>1.0</v>
      </c>
    </row>
    <row r="557">
      <c r="A557" s="43" t="s">
        <v>1371</v>
      </c>
      <c r="B557" s="47" t="s">
        <v>1372</v>
      </c>
      <c r="C557" s="43" t="s">
        <v>75</v>
      </c>
      <c r="D557" s="43">
        <v>1.0</v>
      </c>
      <c r="E557" s="43">
        <v>1.0</v>
      </c>
      <c r="F557" s="43">
        <f>IFERROR(__xludf.DUMMYFUNCTION("""COMPUTED_VALUE"""),0.0)</f>
        <v>0</v>
      </c>
      <c r="G557" s="43" t="s">
        <v>112</v>
      </c>
      <c r="H557" s="43" t="s">
        <v>119</v>
      </c>
      <c r="I557" s="43" t="s">
        <v>141</v>
      </c>
      <c r="J557" s="47" t="s">
        <v>1373</v>
      </c>
      <c r="K557" s="38">
        <v>0.0</v>
      </c>
      <c r="L557" s="38">
        <v>0.0</v>
      </c>
      <c r="M557" s="38" t="str">
        <f>IFERROR(__xludf.DUMMYFUNCTION("""COMPUTED_VALUE"""),"Critical Sparepart")</f>
        <v>Critical Sparepart</v>
      </c>
      <c r="N557" s="38">
        <v>36.0</v>
      </c>
      <c r="O557" s="40">
        <v>0.0</v>
      </c>
      <c r="P557" s="38" t="s">
        <v>116</v>
      </c>
      <c r="Q557" s="42">
        <v>0.0</v>
      </c>
      <c r="R557" s="42">
        <v>0.0</v>
      </c>
      <c r="S557" s="38">
        <v>0.0</v>
      </c>
      <c r="T557" s="42">
        <v>0.0</v>
      </c>
      <c r="U557" s="42">
        <v>0.0</v>
      </c>
    </row>
    <row r="558">
      <c r="A558" s="43" t="s">
        <v>1374</v>
      </c>
      <c r="B558" s="47" t="s">
        <v>1375</v>
      </c>
      <c r="C558" s="43" t="s">
        <v>75</v>
      </c>
      <c r="D558" s="43">
        <v>0.0</v>
      </c>
      <c r="E558" s="43">
        <v>1.0</v>
      </c>
      <c r="F558" s="43">
        <f>IFERROR(__xludf.DUMMYFUNCTION("""COMPUTED_VALUE"""),0.0)</f>
        <v>0</v>
      </c>
      <c r="G558" s="43" t="s">
        <v>125</v>
      </c>
      <c r="H558" s="43" t="s">
        <v>113</v>
      </c>
      <c r="I558" s="43" t="s">
        <v>115</v>
      </c>
      <c r="J558" s="47" t="s">
        <v>1376</v>
      </c>
      <c r="K558" s="38">
        <v>1.0</v>
      </c>
      <c r="L558" s="38">
        <v>1.0</v>
      </c>
      <c r="M558" s="38" t="str">
        <f>IFERROR(__xludf.DUMMYFUNCTION("""COMPUTED_VALUE"""),"Critical Sparepart")</f>
        <v>Critical Sparepart</v>
      </c>
      <c r="N558" s="38">
        <v>36.0</v>
      </c>
      <c r="O558" s="40">
        <v>45412.0</v>
      </c>
      <c r="P558" s="38" t="s">
        <v>126</v>
      </c>
      <c r="Q558" s="42">
        <v>1.0</v>
      </c>
      <c r="R558" s="42">
        <v>0.8181818181818181</v>
      </c>
      <c r="S558" s="38">
        <v>0.0</v>
      </c>
      <c r="T558" s="42">
        <v>0.9454545454545453</v>
      </c>
      <c r="U558" s="42">
        <v>0.9454545454545453</v>
      </c>
    </row>
    <row r="559">
      <c r="A559" s="43" t="s">
        <v>1377</v>
      </c>
      <c r="B559" s="47" t="s">
        <v>1378</v>
      </c>
      <c r="C559" s="43" t="s">
        <v>75</v>
      </c>
      <c r="D559" s="43">
        <v>0.0</v>
      </c>
      <c r="E559" s="43">
        <v>1.0</v>
      </c>
      <c r="F559" s="43">
        <f>IFERROR(__xludf.DUMMYFUNCTION("""COMPUTED_VALUE"""),0.0)</f>
        <v>0</v>
      </c>
      <c r="G559" s="43" t="s">
        <v>125</v>
      </c>
      <c r="H559" s="43" t="s">
        <v>113</v>
      </c>
      <c r="I559" s="43" t="s">
        <v>115</v>
      </c>
      <c r="J559" s="47" t="s">
        <v>1379</v>
      </c>
      <c r="K559" s="38">
        <v>1.0</v>
      </c>
      <c r="L559" s="38">
        <v>1.0</v>
      </c>
      <c r="M559" s="38" t="str">
        <f>IFERROR(__xludf.DUMMYFUNCTION("""COMPUTED_VALUE"""),"Critical Sparepart")</f>
        <v>Critical Sparepart</v>
      </c>
      <c r="N559" s="38">
        <v>36.0</v>
      </c>
      <c r="O559" s="40">
        <v>45348.0</v>
      </c>
      <c r="P559" s="38" t="s">
        <v>126</v>
      </c>
      <c r="Q559" s="42">
        <v>0.0</v>
      </c>
      <c r="R559" s="42">
        <v>0.2727272727272727</v>
      </c>
      <c r="S559" s="38">
        <v>0.0</v>
      </c>
      <c r="T559" s="42">
        <v>0.0818181818181818</v>
      </c>
      <c r="U559" s="42">
        <v>0.0818181818181818</v>
      </c>
    </row>
    <row r="560">
      <c r="A560" s="43" t="s">
        <v>1380</v>
      </c>
      <c r="B560" s="47" t="s">
        <v>1381</v>
      </c>
      <c r="C560" s="43" t="s">
        <v>75</v>
      </c>
      <c r="D560" s="43">
        <v>1.0</v>
      </c>
      <c r="E560" s="43">
        <v>1.0</v>
      </c>
      <c r="F560" s="43">
        <f>IFERROR(__xludf.DUMMYFUNCTION("""COMPUTED_VALUE"""),0.0)</f>
        <v>0</v>
      </c>
      <c r="G560" s="43" t="s">
        <v>112</v>
      </c>
      <c r="H560" s="43" t="s">
        <v>119</v>
      </c>
      <c r="I560" s="43" t="s">
        <v>141</v>
      </c>
      <c r="J560" s="47" t="s">
        <v>1382</v>
      </c>
      <c r="K560" s="38">
        <v>0.0</v>
      </c>
      <c r="L560" s="38">
        <v>0.0</v>
      </c>
      <c r="M560" s="38" t="str">
        <f>IFERROR(__xludf.DUMMYFUNCTION("""COMPUTED_VALUE"""),"Critical Sparepart")</f>
        <v>Critical Sparepart</v>
      </c>
      <c r="N560" s="38">
        <v>36.0</v>
      </c>
      <c r="O560" s="40">
        <v>0.0</v>
      </c>
      <c r="P560" s="38" t="s">
        <v>116</v>
      </c>
      <c r="Q560" s="42">
        <v>0.0</v>
      </c>
      <c r="R560" s="42">
        <v>0.0</v>
      </c>
      <c r="S560" s="38">
        <v>0.0</v>
      </c>
      <c r="T560" s="42">
        <v>0.0</v>
      </c>
      <c r="U560" s="42">
        <v>0.0</v>
      </c>
    </row>
    <row r="561">
      <c r="A561" s="43" t="s">
        <v>1383</v>
      </c>
      <c r="B561" s="47" t="s">
        <v>1384</v>
      </c>
      <c r="C561" s="43" t="s">
        <v>75</v>
      </c>
      <c r="D561" s="43">
        <v>1.0</v>
      </c>
      <c r="E561" s="43">
        <v>2.0</v>
      </c>
      <c r="F561" s="43">
        <f>IFERROR(__xludf.DUMMYFUNCTION("""COMPUTED_VALUE"""),3.0)</f>
        <v>3</v>
      </c>
      <c r="G561" s="43" t="s">
        <v>122</v>
      </c>
      <c r="H561" s="43" t="s">
        <v>113</v>
      </c>
      <c r="I561" s="43" t="s">
        <v>115</v>
      </c>
      <c r="J561" s="47" t="s">
        <v>1385</v>
      </c>
      <c r="K561" s="38">
        <v>1.0</v>
      </c>
      <c r="L561" s="38">
        <v>3.0</v>
      </c>
      <c r="M561" s="38" t="str">
        <f>IFERROR(__xludf.DUMMYFUNCTION("""COMPUTED_VALUE"""),"General Sparepart")</f>
        <v>General Sparepart</v>
      </c>
      <c r="N561" s="38">
        <v>24.0</v>
      </c>
      <c r="O561" s="40">
        <v>45928.0</v>
      </c>
      <c r="P561" s="38" t="s">
        <v>126</v>
      </c>
      <c r="Q561" s="42">
        <v>3.0</v>
      </c>
      <c r="R561" s="42">
        <v>0.0</v>
      </c>
      <c r="S561" s="38">
        <v>3.0</v>
      </c>
      <c r="T561" s="42">
        <v>3.0</v>
      </c>
      <c r="U561" s="42">
        <v>3.0</v>
      </c>
    </row>
    <row r="562">
      <c r="A562" s="43" t="s">
        <v>1386</v>
      </c>
      <c r="B562" s="47" t="s">
        <v>1387</v>
      </c>
      <c r="C562" s="43" t="s">
        <v>75</v>
      </c>
      <c r="D562" s="43">
        <v>1.0</v>
      </c>
      <c r="E562" s="43">
        <v>2.0</v>
      </c>
      <c r="F562" s="43">
        <f>IFERROR(__xludf.DUMMYFUNCTION("""COMPUTED_VALUE"""),3.0)</f>
        <v>3</v>
      </c>
      <c r="G562" s="43" t="s">
        <v>122</v>
      </c>
      <c r="H562" s="43" t="s">
        <v>113</v>
      </c>
      <c r="I562" s="43" t="s">
        <v>115</v>
      </c>
      <c r="J562" s="47" t="s">
        <v>115</v>
      </c>
      <c r="K562" s="38">
        <v>1.0</v>
      </c>
      <c r="L562" s="38">
        <v>1.0</v>
      </c>
      <c r="M562" s="38" t="str">
        <f>IFERROR(__xludf.DUMMYFUNCTION("""COMPUTED_VALUE"""),"Critical Sparepart")</f>
        <v>Critical Sparepart</v>
      </c>
      <c r="N562" s="38">
        <v>36.0</v>
      </c>
      <c r="O562" s="40">
        <v>45756.0</v>
      </c>
      <c r="P562" s="38" t="s">
        <v>126</v>
      </c>
      <c r="Q562" s="42">
        <v>1.0</v>
      </c>
      <c r="R562" s="42">
        <v>0.0</v>
      </c>
      <c r="S562" s="38">
        <v>0.0</v>
      </c>
      <c r="T562" s="42">
        <v>1.0</v>
      </c>
      <c r="U562" s="42">
        <v>1.0</v>
      </c>
    </row>
    <row r="563">
      <c r="A563" s="43" t="s">
        <v>1388</v>
      </c>
      <c r="B563" s="47" t="s">
        <v>1389</v>
      </c>
      <c r="C563" s="43" t="s">
        <v>75</v>
      </c>
      <c r="D563" s="43">
        <v>2.0</v>
      </c>
      <c r="E563" s="43">
        <v>4.0</v>
      </c>
      <c r="F563" s="43">
        <f>IFERROR(__xludf.DUMMYFUNCTION("""COMPUTED_VALUE"""),5.0)</f>
        <v>5</v>
      </c>
      <c r="G563" s="43" t="s">
        <v>122</v>
      </c>
      <c r="H563" s="43" t="s">
        <v>113</v>
      </c>
      <c r="I563" s="43" t="s">
        <v>115</v>
      </c>
      <c r="J563" s="47" t="s">
        <v>115</v>
      </c>
      <c r="K563" s="38">
        <v>1.0</v>
      </c>
      <c r="L563" s="38">
        <v>1.0</v>
      </c>
      <c r="M563" s="38" t="str">
        <f>IFERROR(__xludf.DUMMYFUNCTION("""COMPUTED_VALUE"""),"General Sparepart")</f>
        <v>General Sparepart</v>
      </c>
      <c r="N563" s="38">
        <v>24.0</v>
      </c>
      <c r="O563" s="40">
        <v>45808.0</v>
      </c>
      <c r="P563" s="38" t="s">
        <v>126</v>
      </c>
      <c r="Q563" s="42">
        <v>1.0</v>
      </c>
      <c r="R563" s="42">
        <v>0.5454545454545454</v>
      </c>
      <c r="S563" s="38">
        <v>0.0</v>
      </c>
      <c r="T563" s="42">
        <v>0.8636363636363635</v>
      </c>
      <c r="U563" s="42">
        <v>0.8636363636363635</v>
      </c>
    </row>
    <row r="564">
      <c r="A564" s="43" t="s">
        <v>1390</v>
      </c>
      <c r="B564" s="47" t="s">
        <v>1391</v>
      </c>
      <c r="C564" s="43" t="s">
        <v>75</v>
      </c>
      <c r="D564" s="43">
        <v>1.0</v>
      </c>
      <c r="E564" s="43">
        <v>2.0</v>
      </c>
      <c r="F564" s="43">
        <f>IFERROR(__xludf.DUMMYFUNCTION("""COMPUTED_VALUE"""),0.0)</f>
        <v>0</v>
      </c>
      <c r="G564" s="43" t="s">
        <v>112</v>
      </c>
      <c r="H564" s="43" t="s">
        <v>119</v>
      </c>
      <c r="I564" s="43" t="s">
        <v>141</v>
      </c>
      <c r="J564" s="47" t="s">
        <v>1392</v>
      </c>
      <c r="K564" s="38">
        <v>0.0</v>
      </c>
      <c r="L564" s="38">
        <v>0.0</v>
      </c>
      <c r="M564" s="38" t="str">
        <f>IFERROR(__xludf.DUMMYFUNCTION("""COMPUTED_VALUE"""),"General Sparepart")</f>
        <v>General Sparepart</v>
      </c>
      <c r="N564" s="38">
        <v>24.0</v>
      </c>
      <c r="O564" s="40">
        <v>0.0</v>
      </c>
      <c r="P564" s="38" t="s">
        <v>116</v>
      </c>
      <c r="Q564" s="42">
        <v>0.0</v>
      </c>
      <c r="R564" s="42">
        <v>0.0</v>
      </c>
      <c r="S564" s="38">
        <v>0.0</v>
      </c>
      <c r="T564" s="42">
        <v>0.0</v>
      </c>
      <c r="U564" s="42">
        <v>0.0</v>
      </c>
    </row>
    <row r="565">
      <c r="A565" s="43" t="s">
        <v>1393</v>
      </c>
      <c r="B565" s="47" t="s">
        <v>1394</v>
      </c>
      <c r="C565" s="43" t="s">
        <v>75</v>
      </c>
      <c r="D565" s="43">
        <v>1.0</v>
      </c>
      <c r="E565" s="43">
        <v>2.0</v>
      </c>
      <c r="F565" s="43">
        <f>IFERROR(__xludf.DUMMYFUNCTION("""COMPUTED_VALUE"""),0.0)</f>
        <v>0</v>
      </c>
      <c r="G565" s="43" t="s">
        <v>112</v>
      </c>
      <c r="H565" s="43" t="s">
        <v>119</v>
      </c>
      <c r="I565" s="43" t="s">
        <v>141</v>
      </c>
      <c r="J565" s="47" t="s">
        <v>1395</v>
      </c>
      <c r="K565" s="38">
        <v>0.0</v>
      </c>
      <c r="L565" s="38">
        <v>0.0</v>
      </c>
      <c r="M565" s="38" t="str">
        <f>IFERROR(__xludf.DUMMYFUNCTION("""COMPUTED_VALUE"""),"Fast Moving / Consumable")</f>
        <v>Fast Moving / Consumable</v>
      </c>
      <c r="N565" s="38">
        <v>18.0</v>
      </c>
      <c r="O565" s="40">
        <v>0.0</v>
      </c>
      <c r="P565" s="38" t="s">
        <v>116</v>
      </c>
      <c r="Q565" s="42">
        <v>0.0</v>
      </c>
      <c r="R565" s="42">
        <v>0.0</v>
      </c>
      <c r="S565" s="38">
        <v>0.0</v>
      </c>
      <c r="T565" s="42">
        <v>0.0</v>
      </c>
      <c r="U565" s="42">
        <v>0.0</v>
      </c>
    </row>
    <row r="566">
      <c r="A566" s="43" t="s">
        <v>1396</v>
      </c>
      <c r="B566" s="47" t="s">
        <v>1397</v>
      </c>
      <c r="C566" s="43" t="s">
        <v>75</v>
      </c>
      <c r="D566" s="43">
        <v>1.0</v>
      </c>
      <c r="E566" s="43">
        <v>2.0</v>
      </c>
      <c r="F566" s="43">
        <f>IFERROR(__xludf.DUMMYFUNCTION("""COMPUTED_VALUE"""),0.0)</f>
        <v>0</v>
      </c>
      <c r="G566" s="43" t="s">
        <v>112</v>
      </c>
      <c r="H566" s="43" t="s">
        <v>119</v>
      </c>
      <c r="I566" s="43" t="s">
        <v>119</v>
      </c>
      <c r="J566" s="47" t="s">
        <v>1398</v>
      </c>
      <c r="K566" s="38">
        <v>0.0</v>
      </c>
      <c r="L566" s="38">
        <v>0.0</v>
      </c>
      <c r="M566" s="38" t="str">
        <f>IFERROR(__xludf.DUMMYFUNCTION("""COMPUTED_VALUE"""),"Fast Moving / Consumable")</f>
        <v>Fast Moving / Consumable</v>
      </c>
      <c r="N566" s="38">
        <v>18.0</v>
      </c>
      <c r="O566" s="40">
        <v>0.0</v>
      </c>
      <c r="P566" s="38" t="s">
        <v>116</v>
      </c>
      <c r="Q566" s="42">
        <v>0.0</v>
      </c>
      <c r="R566" s="42">
        <v>0.0</v>
      </c>
      <c r="S566" s="38">
        <v>0.0</v>
      </c>
      <c r="T566" s="42">
        <v>0.0</v>
      </c>
      <c r="U566" s="42">
        <v>0.0</v>
      </c>
    </row>
    <row r="567">
      <c r="A567" s="43" t="s">
        <v>1399</v>
      </c>
      <c r="B567" s="47" t="s">
        <v>1400</v>
      </c>
      <c r="C567" s="43" t="s">
        <v>75</v>
      </c>
      <c r="D567" s="43">
        <v>1.0</v>
      </c>
      <c r="E567" s="43">
        <v>1.0</v>
      </c>
      <c r="F567" s="43">
        <f>IFERROR(__xludf.DUMMYFUNCTION("""COMPUTED_VALUE"""),1.0)</f>
        <v>1</v>
      </c>
      <c r="G567" s="43" t="s">
        <v>125</v>
      </c>
      <c r="H567" s="43" t="s">
        <v>113</v>
      </c>
      <c r="I567" s="43" t="s">
        <v>115</v>
      </c>
      <c r="J567" s="47" t="s">
        <v>115</v>
      </c>
      <c r="K567" s="38">
        <v>1.0</v>
      </c>
      <c r="L567" s="38">
        <v>1.0</v>
      </c>
      <c r="M567" s="38" t="str">
        <f>IFERROR(__xludf.DUMMYFUNCTION("""COMPUTED_VALUE"""),"General Sparepart")</f>
        <v>General Sparepart</v>
      </c>
      <c r="N567" s="38">
        <v>24.0</v>
      </c>
      <c r="O567" s="40">
        <v>46087.0</v>
      </c>
      <c r="P567" s="38" t="s">
        <v>126</v>
      </c>
      <c r="Q567" s="42">
        <v>0.0</v>
      </c>
      <c r="R567" s="42">
        <v>0.5454545454545454</v>
      </c>
      <c r="S567" s="38">
        <v>1.0</v>
      </c>
      <c r="T567" s="42">
        <v>0.1636363636363636</v>
      </c>
      <c r="U567" s="46">
        <v>1.0</v>
      </c>
    </row>
    <row r="568">
      <c r="A568" s="43" t="s">
        <v>1401</v>
      </c>
      <c r="B568" s="47" t="s">
        <v>1402</v>
      </c>
      <c r="C568" s="43" t="s">
        <v>75</v>
      </c>
      <c r="D568" s="43">
        <v>1.0</v>
      </c>
      <c r="E568" s="43">
        <v>2.0</v>
      </c>
      <c r="F568" s="43">
        <f>IFERROR(__xludf.DUMMYFUNCTION("""COMPUTED_VALUE"""),0.0)</f>
        <v>0</v>
      </c>
      <c r="G568" s="43" t="s">
        <v>112</v>
      </c>
      <c r="H568" s="43" t="s">
        <v>119</v>
      </c>
      <c r="I568" s="43" t="s">
        <v>141</v>
      </c>
      <c r="J568" s="47" t="s">
        <v>1392</v>
      </c>
      <c r="K568" s="38">
        <v>0.0</v>
      </c>
      <c r="L568" s="38">
        <v>0.0</v>
      </c>
      <c r="M568" s="38" t="str">
        <f>IFERROR(__xludf.DUMMYFUNCTION("""COMPUTED_VALUE"""),"Fast Moving / Consumable")</f>
        <v>Fast Moving / Consumable</v>
      </c>
      <c r="N568" s="38">
        <v>18.0</v>
      </c>
      <c r="O568" s="40">
        <v>0.0</v>
      </c>
      <c r="P568" s="38" t="s">
        <v>116</v>
      </c>
      <c r="Q568" s="42">
        <v>0.0</v>
      </c>
      <c r="R568" s="42">
        <v>0.0</v>
      </c>
      <c r="S568" s="38">
        <v>0.0</v>
      </c>
      <c r="T568" s="42">
        <v>0.0</v>
      </c>
      <c r="U568" s="42">
        <v>0.0</v>
      </c>
    </row>
    <row r="569">
      <c r="A569" s="43" t="s">
        <v>1403</v>
      </c>
      <c r="B569" s="47" t="s">
        <v>1404</v>
      </c>
      <c r="C569" s="43" t="s">
        <v>75</v>
      </c>
      <c r="D569" s="43">
        <v>1.0</v>
      </c>
      <c r="E569" s="43">
        <v>2.0</v>
      </c>
      <c r="F569" s="43">
        <f>IFERROR(__xludf.DUMMYFUNCTION("""COMPUTED_VALUE"""),0.0)</f>
        <v>0</v>
      </c>
      <c r="G569" s="43" t="s">
        <v>112</v>
      </c>
      <c r="H569" s="43" t="s">
        <v>119</v>
      </c>
      <c r="I569" s="43" t="s">
        <v>141</v>
      </c>
      <c r="J569" s="47" t="s">
        <v>1405</v>
      </c>
      <c r="K569" s="38">
        <v>0.0</v>
      </c>
      <c r="L569" s="38">
        <v>0.0</v>
      </c>
      <c r="M569" s="38" t="str">
        <f>IFERROR(__xludf.DUMMYFUNCTION("""COMPUTED_VALUE"""),"Critical Sparepart")</f>
        <v>Critical Sparepart</v>
      </c>
      <c r="N569" s="38">
        <v>36.0</v>
      </c>
      <c r="O569" s="40">
        <v>0.0</v>
      </c>
      <c r="P569" s="38" t="s">
        <v>116</v>
      </c>
      <c r="Q569" s="42">
        <v>0.0</v>
      </c>
      <c r="R569" s="42">
        <v>0.0</v>
      </c>
      <c r="S569" s="38">
        <v>0.0</v>
      </c>
      <c r="T569" s="42">
        <v>0.0</v>
      </c>
      <c r="U569" s="42">
        <v>0.0</v>
      </c>
    </row>
    <row r="570">
      <c r="A570" s="43" t="s">
        <v>1406</v>
      </c>
      <c r="B570" s="47" t="s">
        <v>1407</v>
      </c>
      <c r="C570" s="43" t="s">
        <v>75</v>
      </c>
      <c r="D570" s="43">
        <v>1.0</v>
      </c>
      <c r="E570" s="43">
        <v>2.0</v>
      </c>
      <c r="F570" s="43">
        <f>IFERROR(__xludf.DUMMYFUNCTION("""COMPUTED_VALUE"""),2.0)</f>
        <v>2</v>
      </c>
      <c r="G570" s="43" t="s">
        <v>122</v>
      </c>
      <c r="H570" s="43" t="s">
        <v>113</v>
      </c>
      <c r="I570" s="43" t="s">
        <v>115</v>
      </c>
      <c r="J570" s="47" t="s">
        <v>115</v>
      </c>
      <c r="K570" s="38">
        <v>1.0</v>
      </c>
      <c r="L570" s="38">
        <v>6.0</v>
      </c>
      <c r="M570" s="38" t="str">
        <f>IFERROR(__xludf.DUMMYFUNCTION("""COMPUTED_VALUE"""),"General Sparepart")</f>
        <v>General Sparepart</v>
      </c>
      <c r="N570" s="38">
        <v>24.0</v>
      </c>
      <c r="O570" s="40">
        <v>46147.0</v>
      </c>
      <c r="P570" s="38" t="s">
        <v>126</v>
      </c>
      <c r="Q570" s="42">
        <v>6.0</v>
      </c>
      <c r="R570" s="42">
        <v>0.0</v>
      </c>
      <c r="S570" s="38">
        <v>2.0</v>
      </c>
      <c r="T570" s="42">
        <v>6.0</v>
      </c>
      <c r="U570" s="42">
        <v>6.0</v>
      </c>
    </row>
    <row r="571">
      <c r="A571" s="43" t="s">
        <v>1408</v>
      </c>
      <c r="B571" s="47" t="s">
        <v>1409</v>
      </c>
      <c r="C571" s="43" t="s">
        <v>75</v>
      </c>
      <c r="D571" s="43">
        <v>1.0</v>
      </c>
      <c r="E571" s="43">
        <v>2.0</v>
      </c>
      <c r="F571" s="43">
        <f>IFERROR(__xludf.DUMMYFUNCTION("""COMPUTED_VALUE"""),1.0)</f>
        <v>1</v>
      </c>
      <c r="G571" s="43" t="s">
        <v>125</v>
      </c>
      <c r="H571" s="43" t="s">
        <v>113</v>
      </c>
      <c r="I571" s="43" t="s">
        <v>115</v>
      </c>
      <c r="J571" s="47" t="s">
        <v>115</v>
      </c>
      <c r="K571" s="38">
        <v>1.0</v>
      </c>
      <c r="L571" s="38">
        <v>1.0</v>
      </c>
      <c r="M571" s="38" t="str">
        <f>IFERROR(__xludf.DUMMYFUNCTION("""COMPUTED_VALUE"""),"General Sparepart")</f>
        <v>General Sparepart</v>
      </c>
      <c r="N571" s="38">
        <v>24.0</v>
      </c>
      <c r="O571" s="40">
        <v>45960.0</v>
      </c>
      <c r="P571" s="38" t="s">
        <v>126</v>
      </c>
      <c r="Q571" s="42">
        <v>1.0</v>
      </c>
      <c r="R571" s="42">
        <v>0.0</v>
      </c>
      <c r="S571" s="38">
        <v>1.0</v>
      </c>
      <c r="T571" s="42">
        <v>1.0</v>
      </c>
      <c r="U571" s="42">
        <v>1.0</v>
      </c>
    </row>
    <row r="572">
      <c r="A572" s="43" t="s">
        <v>1410</v>
      </c>
      <c r="B572" s="47" t="s">
        <v>1411</v>
      </c>
      <c r="C572" s="43" t="s">
        <v>75</v>
      </c>
      <c r="D572" s="43">
        <v>1.0</v>
      </c>
      <c r="E572" s="43">
        <v>2.0</v>
      </c>
      <c r="F572" s="43">
        <f>IFERROR(__xludf.DUMMYFUNCTION("""COMPUTED_VALUE"""),0.0)</f>
        <v>0</v>
      </c>
      <c r="G572" s="43" t="s">
        <v>112</v>
      </c>
      <c r="H572" s="43" t="s">
        <v>119</v>
      </c>
      <c r="I572" s="43" t="s">
        <v>141</v>
      </c>
      <c r="J572" s="47" t="s">
        <v>1412</v>
      </c>
      <c r="K572" s="38">
        <v>0.0</v>
      </c>
      <c r="L572" s="38">
        <v>0.0</v>
      </c>
      <c r="M572" s="38" t="str">
        <f>IFERROR(__xludf.DUMMYFUNCTION("""COMPUTED_VALUE"""),"General Sparepart")</f>
        <v>General Sparepart</v>
      </c>
      <c r="N572" s="38">
        <v>24.0</v>
      </c>
      <c r="O572" s="40">
        <v>0.0</v>
      </c>
      <c r="P572" s="38" t="s">
        <v>116</v>
      </c>
      <c r="Q572" s="42">
        <v>0.0</v>
      </c>
      <c r="R572" s="42">
        <v>0.0</v>
      </c>
      <c r="S572" s="38">
        <v>0.0</v>
      </c>
      <c r="T572" s="42">
        <v>0.0</v>
      </c>
      <c r="U572" s="42">
        <v>0.0</v>
      </c>
    </row>
    <row r="573">
      <c r="A573" s="43" t="s">
        <v>1413</v>
      </c>
      <c r="B573" s="47" t="s">
        <v>1414</v>
      </c>
      <c r="C573" s="43" t="s">
        <v>75</v>
      </c>
      <c r="D573" s="43">
        <v>1.0</v>
      </c>
      <c r="E573" s="43">
        <v>1.0</v>
      </c>
      <c r="F573" s="43">
        <f>IFERROR(__xludf.DUMMYFUNCTION("""COMPUTED_VALUE"""),2.0)</f>
        <v>2</v>
      </c>
      <c r="G573" s="43" t="s">
        <v>122</v>
      </c>
      <c r="H573" s="43" t="s">
        <v>113</v>
      </c>
      <c r="I573" s="43" t="s">
        <v>115</v>
      </c>
      <c r="J573" s="47" t="s">
        <v>1415</v>
      </c>
      <c r="K573" s="38">
        <v>1.0</v>
      </c>
      <c r="L573" s="38">
        <v>1.0</v>
      </c>
      <c r="M573" s="38" t="str">
        <f>IFERROR(__xludf.DUMMYFUNCTION("""COMPUTED_VALUE"""),"Fast Moving / Consumable")</f>
        <v>Fast Moving / Consumable</v>
      </c>
      <c r="N573" s="38">
        <v>18.0</v>
      </c>
      <c r="O573" s="40">
        <v>45820.0</v>
      </c>
      <c r="P573" s="38" t="s">
        <v>126</v>
      </c>
      <c r="Q573" s="42">
        <v>1.0</v>
      </c>
      <c r="R573" s="42">
        <v>0.2727272727272727</v>
      </c>
      <c r="S573" s="38">
        <v>0.0</v>
      </c>
      <c r="T573" s="42">
        <v>0.7818181818181817</v>
      </c>
      <c r="U573" s="42">
        <v>0.7818181818181817</v>
      </c>
    </row>
    <row r="574">
      <c r="A574" s="43" t="s">
        <v>1416</v>
      </c>
      <c r="B574" s="47" t="s">
        <v>1417</v>
      </c>
      <c r="C574" s="43" t="s">
        <v>75</v>
      </c>
      <c r="D574" s="43">
        <v>1.0</v>
      </c>
      <c r="E574" s="43">
        <v>1.0</v>
      </c>
      <c r="F574" s="43">
        <f>IFERROR(__xludf.DUMMYFUNCTION("""COMPUTED_VALUE"""),0.0)</f>
        <v>0</v>
      </c>
      <c r="G574" s="43" t="s">
        <v>112</v>
      </c>
      <c r="H574" s="43" t="s">
        <v>113</v>
      </c>
      <c r="I574" s="43" t="s">
        <v>115</v>
      </c>
      <c r="J574" s="47" t="s">
        <v>115</v>
      </c>
      <c r="K574" s="38">
        <v>0.0</v>
      </c>
      <c r="L574" s="38">
        <v>0.0</v>
      </c>
      <c r="M574" s="38" t="str">
        <f>IFERROR(__xludf.DUMMYFUNCTION("""COMPUTED_VALUE"""),"Critical Sparepart")</f>
        <v>Critical Sparepart</v>
      </c>
      <c r="N574" s="38">
        <v>36.0</v>
      </c>
      <c r="O574" s="40">
        <v>0.0</v>
      </c>
      <c r="P574" s="38" t="s">
        <v>116</v>
      </c>
      <c r="Q574" s="42">
        <v>0.0</v>
      </c>
      <c r="R574" s="42">
        <v>0.0</v>
      </c>
      <c r="S574" s="38">
        <v>0.0</v>
      </c>
      <c r="T574" s="42">
        <v>0.0</v>
      </c>
      <c r="U574" s="42">
        <v>0.0</v>
      </c>
    </row>
    <row r="575">
      <c r="A575" s="43" t="s">
        <v>1418</v>
      </c>
      <c r="B575" s="47" t="s">
        <v>1419</v>
      </c>
      <c r="C575" s="43" t="s">
        <v>75</v>
      </c>
      <c r="D575" s="43">
        <v>1.0</v>
      </c>
      <c r="E575" s="43">
        <v>1.0</v>
      </c>
      <c r="F575" s="43">
        <f>IFERROR(__xludf.DUMMYFUNCTION("""COMPUTED_VALUE"""),0.0)</f>
        <v>0</v>
      </c>
      <c r="G575" s="43" t="s">
        <v>112</v>
      </c>
      <c r="H575" s="43" t="s">
        <v>113</v>
      </c>
      <c r="I575" s="43" t="s">
        <v>115</v>
      </c>
      <c r="J575" s="47" t="s">
        <v>115</v>
      </c>
      <c r="K575" s="38">
        <v>0.0</v>
      </c>
      <c r="L575" s="38">
        <v>0.0</v>
      </c>
      <c r="M575" s="38" t="str">
        <f>IFERROR(__xludf.DUMMYFUNCTION("""COMPUTED_VALUE"""),"Critical Sparepart")</f>
        <v>Critical Sparepart</v>
      </c>
      <c r="N575" s="38">
        <v>36.0</v>
      </c>
      <c r="O575" s="40">
        <v>0.0</v>
      </c>
      <c r="P575" s="38" t="s">
        <v>116</v>
      </c>
      <c r="Q575" s="42">
        <v>0.0</v>
      </c>
      <c r="R575" s="42">
        <v>0.0</v>
      </c>
      <c r="S575" s="38">
        <v>0.0</v>
      </c>
      <c r="T575" s="42">
        <v>0.0</v>
      </c>
      <c r="U575" s="42">
        <v>0.0</v>
      </c>
    </row>
    <row r="576">
      <c r="A576" s="43" t="s">
        <v>1420</v>
      </c>
      <c r="B576" s="47" t="s">
        <v>1421</v>
      </c>
      <c r="C576" s="43" t="s">
        <v>75</v>
      </c>
      <c r="D576" s="43">
        <v>3.0</v>
      </c>
      <c r="E576" s="43">
        <v>6.0</v>
      </c>
      <c r="F576" s="43">
        <f>IFERROR(__xludf.DUMMYFUNCTION("""COMPUTED_VALUE"""),6.0)</f>
        <v>6</v>
      </c>
      <c r="G576" s="43" t="s">
        <v>122</v>
      </c>
      <c r="H576" s="43" t="s">
        <v>113</v>
      </c>
      <c r="I576" s="43" t="s">
        <v>115</v>
      </c>
      <c r="J576" s="47" t="s">
        <v>294</v>
      </c>
      <c r="K576" s="38">
        <v>1.0</v>
      </c>
      <c r="L576" s="38">
        <v>6.0</v>
      </c>
      <c r="M576" s="38" t="str">
        <f>IFERROR(__xludf.DUMMYFUNCTION("""COMPUTED_VALUE"""),"Fast Moving / Consumable")</f>
        <v>Fast Moving / Consumable</v>
      </c>
      <c r="N576" s="38">
        <v>18.0</v>
      </c>
      <c r="O576" s="40">
        <v>45928.0</v>
      </c>
      <c r="P576" s="38" t="s">
        <v>126</v>
      </c>
      <c r="Q576" s="42">
        <v>2.0</v>
      </c>
      <c r="R576" s="42">
        <v>1.0909090909090908</v>
      </c>
      <c r="S576" s="38">
        <v>6.0</v>
      </c>
      <c r="T576" s="42">
        <v>1.727272727272727</v>
      </c>
      <c r="U576" s="46">
        <v>6.0</v>
      </c>
    </row>
    <row r="577">
      <c r="A577" s="43" t="s">
        <v>1422</v>
      </c>
      <c r="B577" s="47" t="s">
        <v>1423</v>
      </c>
      <c r="C577" s="43" t="s">
        <v>75</v>
      </c>
      <c r="D577" s="43">
        <v>1.0</v>
      </c>
      <c r="E577" s="43">
        <v>1.0</v>
      </c>
      <c r="F577" s="43">
        <f>IFERROR(__xludf.DUMMYFUNCTION("""COMPUTED_VALUE"""),1.0)</f>
        <v>1</v>
      </c>
      <c r="G577" s="43" t="s">
        <v>125</v>
      </c>
      <c r="H577" s="43" t="s">
        <v>113</v>
      </c>
      <c r="I577" s="43" t="s">
        <v>115</v>
      </c>
      <c r="J577" s="47" t="s">
        <v>1424</v>
      </c>
      <c r="K577" s="38">
        <v>1.0</v>
      </c>
      <c r="L577" s="38">
        <v>1.0</v>
      </c>
      <c r="M577" s="38" t="str">
        <f>IFERROR(__xludf.DUMMYFUNCTION("""COMPUTED_VALUE"""),"Critical Sparepart")</f>
        <v>Critical Sparepart</v>
      </c>
      <c r="N577" s="38">
        <v>36.0</v>
      </c>
      <c r="O577" s="40">
        <v>45706.0</v>
      </c>
      <c r="P577" s="38" t="s">
        <v>126</v>
      </c>
      <c r="Q577" s="42">
        <v>1.0</v>
      </c>
      <c r="R577" s="42">
        <v>0.0</v>
      </c>
      <c r="S577" s="38">
        <v>0.0</v>
      </c>
      <c r="T577" s="42">
        <v>1.0</v>
      </c>
      <c r="U577" s="42">
        <v>1.0</v>
      </c>
    </row>
    <row r="578">
      <c r="A578" s="43" t="s">
        <v>1425</v>
      </c>
      <c r="B578" s="47" t="s">
        <v>1426</v>
      </c>
      <c r="C578" s="43" t="s">
        <v>75</v>
      </c>
      <c r="D578" s="43">
        <v>1.0</v>
      </c>
      <c r="E578" s="43">
        <v>1.0</v>
      </c>
      <c r="F578" s="43">
        <f>IFERROR(__xludf.DUMMYFUNCTION("""COMPUTED_VALUE"""),2.0)</f>
        <v>2</v>
      </c>
      <c r="G578" s="43" t="s">
        <v>122</v>
      </c>
      <c r="H578" s="43" t="s">
        <v>113</v>
      </c>
      <c r="I578" s="43" t="s">
        <v>115</v>
      </c>
      <c r="J578" s="47" t="s">
        <v>1424</v>
      </c>
      <c r="K578" s="38">
        <v>1.0</v>
      </c>
      <c r="L578" s="38">
        <v>1.0</v>
      </c>
      <c r="M578" s="38" t="str">
        <f>IFERROR(__xludf.DUMMYFUNCTION("""COMPUTED_VALUE"""),"Critical Sparepart")</f>
        <v>Critical Sparepart</v>
      </c>
      <c r="N578" s="38">
        <v>36.0</v>
      </c>
      <c r="O578" s="40">
        <v>45706.0</v>
      </c>
      <c r="P578" s="38" t="s">
        <v>126</v>
      </c>
      <c r="Q578" s="42">
        <v>1.0</v>
      </c>
      <c r="R578" s="42">
        <v>0.0</v>
      </c>
      <c r="S578" s="38">
        <v>0.0</v>
      </c>
      <c r="T578" s="42">
        <v>1.0</v>
      </c>
      <c r="U578" s="42">
        <v>1.0</v>
      </c>
    </row>
    <row r="579">
      <c r="A579" s="43" t="s">
        <v>1427</v>
      </c>
      <c r="B579" s="47" t="s">
        <v>1428</v>
      </c>
      <c r="C579" s="43" t="s">
        <v>75</v>
      </c>
      <c r="D579" s="43">
        <v>1.0</v>
      </c>
      <c r="E579" s="43">
        <v>3.0</v>
      </c>
      <c r="F579" s="43">
        <f>IFERROR(__xludf.DUMMYFUNCTION("""COMPUTED_VALUE"""),1.0)</f>
        <v>1</v>
      </c>
      <c r="G579" s="43" t="s">
        <v>125</v>
      </c>
      <c r="H579" s="43" t="s">
        <v>113</v>
      </c>
      <c r="I579" s="43" t="s">
        <v>115</v>
      </c>
      <c r="J579" s="47" t="s">
        <v>1424</v>
      </c>
      <c r="K579" s="38">
        <v>1.0</v>
      </c>
      <c r="L579" s="38">
        <v>1.0</v>
      </c>
      <c r="M579" s="38" t="str">
        <f>IFERROR(__xludf.DUMMYFUNCTION("""COMPUTED_VALUE"""),"Fast Moving / Consumable")</f>
        <v>Fast Moving / Consumable</v>
      </c>
      <c r="N579" s="38">
        <v>18.0</v>
      </c>
      <c r="O579" s="40">
        <v>45706.0</v>
      </c>
      <c r="P579" s="38" t="s">
        <v>126</v>
      </c>
      <c r="Q579" s="42">
        <v>1.0</v>
      </c>
      <c r="R579" s="42">
        <v>0.0</v>
      </c>
      <c r="S579" s="38">
        <v>0.0</v>
      </c>
      <c r="T579" s="42">
        <v>1.0</v>
      </c>
      <c r="U579" s="42">
        <v>1.0</v>
      </c>
    </row>
    <row r="580">
      <c r="A580" s="43" t="s">
        <v>1429</v>
      </c>
      <c r="B580" s="47" t="s">
        <v>1430</v>
      </c>
      <c r="C580" s="43" t="s">
        <v>75</v>
      </c>
      <c r="D580" s="43">
        <v>1.0</v>
      </c>
      <c r="E580" s="43">
        <v>1.0</v>
      </c>
      <c r="F580" s="43">
        <f>IFERROR(__xludf.DUMMYFUNCTION("""COMPUTED_VALUE"""),1.0)</f>
        <v>1</v>
      </c>
      <c r="G580" s="43" t="s">
        <v>125</v>
      </c>
      <c r="H580" s="43" t="s">
        <v>113</v>
      </c>
      <c r="I580" s="43" t="s">
        <v>115</v>
      </c>
      <c r="J580" s="47" t="s">
        <v>1431</v>
      </c>
      <c r="K580" s="38">
        <v>1.0</v>
      </c>
      <c r="L580" s="38">
        <v>1.0</v>
      </c>
      <c r="M580" s="38" t="str">
        <f>IFERROR(__xludf.DUMMYFUNCTION("""COMPUTED_VALUE"""),"General Sparepart")</f>
        <v>General Sparepart</v>
      </c>
      <c r="N580" s="38">
        <v>24.0</v>
      </c>
      <c r="O580" s="40">
        <v>45960.0</v>
      </c>
      <c r="P580" s="38" t="s">
        <v>126</v>
      </c>
      <c r="Q580" s="42">
        <v>1.0</v>
      </c>
      <c r="R580" s="42">
        <v>0.0</v>
      </c>
      <c r="S580" s="38">
        <v>1.0</v>
      </c>
      <c r="T580" s="42">
        <v>1.0</v>
      </c>
      <c r="U580" s="42">
        <v>1.0</v>
      </c>
    </row>
    <row r="581">
      <c r="A581" s="43" t="s">
        <v>1432</v>
      </c>
      <c r="B581" s="47" t="s">
        <v>1433</v>
      </c>
      <c r="C581" s="43" t="s">
        <v>75</v>
      </c>
      <c r="D581" s="43">
        <v>1.0</v>
      </c>
      <c r="E581" s="43">
        <v>2.0</v>
      </c>
      <c r="F581" s="43">
        <f>IFERROR(__xludf.DUMMYFUNCTION("""COMPUTED_VALUE"""),0.0)</f>
        <v>0</v>
      </c>
      <c r="G581" s="43" t="s">
        <v>112</v>
      </c>
      <c r="H581" s="43" t="s">
        <v>119</v>
      </c>
      <c r="I581" s="43" t="s">
        <v>141</v>
      </c>
      <c r="J581" s="47" t="s">
        <v>1434</v>
      </c>
      <c r="K581" s="38">
        <v>0.0</v>
      </c>
      <c r="L581" s="38">
        <v>0.0</v>
      </c>
      <c r="M581" s="38" t="str">
        <f>IFERROR(__xludf.DUMMYFUNCTION("""COMPUTED_VALUE"""),"General Sparepart")</f>
        <v>General Sparepart</v>
      </c>
      <c r="N581" s="38">
        <v>24.0</v>
      </c>
      <c r="O581" s="40">
        <v>0.0</v>
      </c>
      <c r="P581" s="38" t="s">
        <v>116</v>
      </c>
      <c r="Q581" s="42">
        <v>0.0</v>
      </c>
      <c r="R581" s="42">
        <v>0.0</v>
      </c>
      <c r="S581" s="38">
        <v>0.0</v>
      </c>
      <c r="T581" s="42">
        <v>0.0</v>
      </c>
      <c r="U581" s="42">
        <v>0.0</v>
      </c>
    </row>
    <row r="582">
      <c r="A582" s="43" t="s">
        <v>1435</v>
      </c>
      <c r="B582" s="47" t="s">
        <v>1436</v>
      </c>
      <c r="C582" s="43" t="s">
        <v>75</v>
      </c>
      <c r="D582" s="43">
        <v>1.0</v>
      </c>
      <c r="E582" s="43">
        <v>1.0</v>
      </c>
      <c r="F582" s="43">
        <f>IFERROR(__xludf.DUMMYFUNCTION("""COMPUTED_VALUE"""),3.0)</f>
        <v>3</v>
      </c>
      <c r="G582" s="43" t="s">
        <v>122</v>
      </c>
      <c r="H582" s="43" t="s">
        <v>113</v>
      </c>
      <c r="I582" s="43" t="s">
        <v>115</v>
      </c>
      <c r="J582" s="47" t="s">
        <v>1437</v>
      </c>
      <c r="K582" s="38">
        <v>1.0</v>
      </c>
      <c r="L582" s="38">
        <v>1.0</v>
      </c>
      <c r="M582" s="38" t="str">
        <f>IFERROR(__xludf.DUMMYFUNCTION("""COMPUTED_VALUE"""),"General Sparepart")</f>
        <v>General Sparepart</v>
      </c>
      <c r="N582" s="38">
        <v>24.0</v>
      </c>
      <c r="O582" s="40">
        <v>45820.0</v>
      </c>
      <c r="P582" s="38" t="s">
        <v>126</v>
      </c>
      <c r="Q582" s="42">
        <v>1.0</v>
      </c>
      <c r="R582" s="42">
        <v>0.0</v>
      </c>
      <c r="S582" s="38">
        <v>0.0</v>
      </c>
      <c r="T582" s="42">
        <v>1.0</v>
      </c>
      <c r="U582" s="42">
        <v>1.0</v>
      </c>
    </row>
    <row r="583">
      <c r="A583" s="43" t="s">
        <v>1438</v>
      </c>
      <c r="B583" s="47" t="s">
        <v>1439</v>
      </c>
      <c r="C583" s="43" t="s">
        <v>75</v>
      </c>
      <c r="D583" s="43">
        <v>1.0</v>
      </c>
      <c r="E583" s="43">
        <v>1.0</v>
      </c>
      <c r="F583" s="43">
        <f>IFERROR(__xludf.DUMMYFUNCTION("""COMPUTED_VALUE"""),1.0)</f>
        <v>1</v>
      </c>
      <c r="G583" s="43" t="s">
        <v>125</v>
      </c>
      <c r="H583" s="43" t="s">
        <v>113</v>
      </c>
      <c r="I583" s="43" t="s">
        <v>115</v>
      </c>
      <c r="J583" s="47" t="s">
        <v>115</v>
      </c>
      <c r="K583" s="38">
        <v>1.0</v>
      </c>
      <c r="L583" s="38">
        <v>1.0</v>
      </c>
      <c r="M583" s="38" t="str">
        <f>IFERROR(__xludf.DUMMYFUNCTION("""COMPUTED_VALUE"""),"General Sparepart")</f>
        <v>General Sparepart</v>
      </c>
      <c r="N583" s="38">
        <v>24.0</v>
      </c>
      <c r="O583" s="40">
        <v>45960.0</v>
      </c>
      <c r="P583" s="38" t="s">
        <v>126</v>
      </c>
      <c r="Q583" s="42">
        <v>1.0</v>
      </c>
      <c r="R583" s="42">
        <v>0.0</v>
      </c>
      <c r="S583" s="38">
        <v>1.0</v>
      </c>
      <c r="T583" s="42">
        <v>1.0</v>
      </c>
      <c r="U583" s="42">
        <v>1.0</v>
      </c>
    </row>
    <row r="584">
      <c r="A584" s="43" t="s">
        <v>1440</v>
      </c>
      <c r="B584" s="47" t="s">
        <v>1441</v>
      </c>
      <c r="C584" s="43" t="s">
        <v>75</v>
      </c>
      <c r="D584" s="43">
        <v>1.0</v>
      </c>
      <c r="E584" s="43">
        <v>2.0</v>
      </c>
      <c r="F584" s="43">
        <f>IFERROR(__xludf.DUMMYFUNCTION("""COMPUTED_VALUE"""),0.0)</f>
        <v>0</v>
      </c>
      <c r="G584" s="43" t="s">
        <v>112</v>
      </c>
      <c r="H584" s="43" t="s">
        <v>119</v>
      </c>
      <c r="I584" s="43" t="s">
        <v>141</v>
      </c>
      <c r="J584" s="47" t="s">
        <v>1442</v>
      </c>
      <c r="K584" s="38">
        <v>0.0</v>
      </c>
      <c r="L584" s="38">
        <v>0.0</v>
      </c>
      <c r="M584" s="38" t="str">
        <f>IFERROR(__xludf.DUMMYFUNCTION("""COMPUTED_VALUE"""),"General Sparepart")</f>
        <v>General Sparepart</v>
      </c>
      <c r="N584" s="38">
        <v>24.0</v>
      </c>
      <c r="O584" s="40">
        <v>0.0</v>
      </c>
      <c r="P584" s="38" t="s">
        <v>116</v>
      </c>
      <c r="Q584" s="42">
        <v>0.0</v>
      </c>
      <c r="R584" s="42">
        <v>0.0</v>
      </c>
      <c r="S584" s="38">
        <v>0.0</v>
      </c>
      <c r="T584" s="42">
        <v>0.0</v>
      </c>
      <c r="U584" s="42">
        <v>0.0</v>
      </c>
    </row>
    <row r="585">
      <c r="A585" s="43" t="s">
        <v>1443</v>
      </c>
      <c r="B585" s="47" t="s">
        <v>1444</v>
      </c>
      <c r="C585" s="43" t="s">
        <v>75</v>
      </c>
      <c r="D585" s="43">
        <v>1.0</v>
      </c>
      <c r="E585" s="43">
        <v>1.0</v>
      </c>
      <c r="F585" s="43">
        <f>IFERROR(__xludf.DUMMYFUNCTION("""COMPUTED_VALUE"""),0.0)</f>
        <v>0</v>
      </c>
      <c r="G585" s="43" t="s">
        <v>112</v>
      </c>
      <c r="H585" s="43" t="s">
        <v>113</v>
      </c>
      <c r="I585" s="43" t="s">
        <v>115</v>
      </c>
      <c r="J585" s="47" t="s">
        <v>115</v>
      </c>
      <c r="K585" s="38">
        <v>0.0</v>
      </c>
      <c r="L585" s="38">
        <v>0.0</v>
      </c>
      <c r="M585" s="38" t="str">
        <f>IFERROR(__xludf.DUMMYFUNCTION("""COMPUTED_VALUE"""),"Critical Sparepart")</f>
        <v>Critical Sparepart</v>
      </c>
      <c r="N585" s="38">
        <v>36.0</v>
      </c>
      <c r="O585" s="40">
        <v>0.0</v>
      </c>
      <c r="P585" s="38" t="s">
        <v>116</v>
      </c>
      <c r="Q585" s="42">
        <v>0.0</v>
      </c>
      <c r="R585" s="42">
        <v>0.0</v>
      </c>
      <c r="S585" s="38">
        <v>0.0</v>
      </c>
      <c r="T585" s="42">
        <v>0.0</v>
      </c>
      <c r="U585" s="42">
        <v>0.0</v>
      </c>
    </row>
    <row r="586">
      <c r="A586" s="43" t="s">
        <v>1445</v>
      </c>
      <c r="B586" s="47" t="s">
        <v>1446</v>
      </c>
      <c r="C586" s="43" t="s">
        <v>75</v>
      </c>
      <c r="D586" s="43">
        <v>2.0</v>
      </c>
      <c r="E586" s="43">
        <v>5.0</v>
      </c>
      <c r="F586" s="43">
        <f>IFERROR(__xludf.DUMMYFUNCTION("""COMPUTED_VALUE"""),7.0)</f>
        <v>7</v>
      </c>
      <c r="G586" s="43" t="s">
        <v>122</v>
      </c>
      <c r="H586" s="43" t="s">
        <v>113</v>
      </c>
      <c r="I586" s="43" t="s">
        <v>115</v>
      </c>
      <c r="J586" s="47" t="s">
        <v>115</v>
      </c>
      <c r="K586" s="38">
        <v>1.0</v>
      </c>
      <c r="L586" s="38">
        <v>5.0</v>
      </c>
      <c r="M586" s="38" t="str">
        <f>IFERROR(__xludf.DUMMYFUNCTION("""COMPUTED_VALUE"""),"General Sparepart")</f>
        <v>General Sparepart</v>
      </c>
      <c r="N586" s="38">
        <v>24.0</v>
      </c>
      <c r="O586" s="40">
        <v>46112.0</v>
      </c>
      <c r="P586" s="38" t="s">
        <v>126</v>
      </c>
      <c r="Q586" s="42">
        <v>2.0</v>
      </c>
      <c r="R586" s="42">
        <v>0.5454545454545454</v>
      </c>
      <c r="S586" s="38">
        <v>5.0</v>
      </c>
      <c r="T586" s="42">
        <v>1.5636363636363635</v>
      </c>
      <c r="U586" s="46">
        <v>5.0</v>
      </c>
    </row>
    <row r="587">
      <c r="A587" s="43" t="s">
        <v>1447</v>
      </c>
      <c r="B587" s="47" t="s">
        <v>1448</v>
      </c>
      <c r="C587" s="43" t="s">
        <v>75</v>
      </c>
      <c r="D587" s="43">
        <v>1.0</v>
      </c>
      <c r="E587" s="43">
        <v>1.0</v>
      </c>
      <c r="F587" s="43">
        <f>IFERROR(__xludf.DUMMYFUNCTION("""COMPUTED_VALUE"""),1.0)</f>
        <v>1</v>
      </c>
      <c r="G587" s="43" t="s">
        <v>125</v>
      </c>
      <c r="H587" s="43" t="s">
        <v>113</v>
      </c>
      <c r="I587" s="43" t="s">
        <v>115</v>
      </c>
      <c r="J587" s="47" t="s">
        <v>1424</v>
      </c>
      <c r="K587" s="38">
        <v>1.0</v>
      </c>
      <c r="L587" s="38">
        <v>1.0</v>
      </c>
      <c r="M587" s="38" t="str">
        <f>IFERROR(__xludf.DUMMYFUNCTION("""COMPUTED_VALUE"""),"Critical Sparepart")</f>
        <v>Critical Sparepart</v>
      </c>
      <c r="N587" s="38">
        <v>36.0</v>
      </c>
      <c r="O587" s="40">
        <v>45706.0</v>
      </c>
      <c r="P587" s="38" t="s">
        <v>126</v>
      </c>
      <c r="Q587" s="42">
        <v>1.0</v>
      </c>
      <c r="R587" s="42">
        <v>0.0</v>
      </c>
      <c r="S587" s="38">
        <v>0.0</v>
      </c>
      <c r="T587" s="42">
        <v>1.0</v>
      </c>
      <c r="U587" s="42">
        <v>1.0</v>
      </c>
    </row>
    <row r="588">
      <c r="A588" s="43" t="s">
        <v>1449</v>
      </c>
      <c r="B588" s="47" t="s">
        <v>1450</v>
      </c>
      <c r="C588" s="43" t="s">
        <v>75</v>
      </c>
      <c r="D588" s="43">
        <v>1.0</v>
      </c>
      <c r="E588" s="43">
        <v>1.0</v>
      </c>
      <c r="F588" s="43">
        <f>IFERROR(__xludf.DUMMYFUNCTION("""COMPUTED_VALUE"""),1.0)</f>
        <v>1</v>
      </c>
      <c r="G588" s="43" t="s">
        <v>125</v>
      </c>
      <c r="H588" s="43" t="s">
        <v>113</v>
      </c>
      <c r="I588" s="43" t="s">
        <v>115</v>
      </c>
      <c r="J588" s="47" t="s">
        <v>1424</v>
      </c>
      <c r="K588" s="38">
        <v>1.0</v>
      </c>
      <c r="L588" s="38">
        <v>1.0</v>
      </c>
      <c r="M588" s="38" t="str">
        <f>IFERROR(__xludf.DUMMYFUNCTION("""COMPUTED_VALUE"""),"Critical Sparepart")</f>
        <v>Critical Sparepart</v>
      </c>
      <c r="N588" s="38">
        <v>36.0</v>
      </c>
      <c r="O588" s="40">
        <v>45706.0</v>
      </c>
      <c r="P588" s="38" t="s">
        <v>126</v>
      </c>
      <c r="Q588" s="42">
        <v>1.0</v>
      </c>
      <c r="R588" s="42">
        <v>0.0</v>
      </c>
      <c r="S588" s="38">
        <v>0.0</v>
      </c>
      <c r="T588" s="42">
        <v>1.0</v>
      </c>
      <c r="U588" s="42">
        <v>1.0</v>
      </c>
    </row>
    <row r="589">
      <c r="A589" s="43" t="s">
        <v>1451</v>
      </c>
      <c r="B589" s="47" t="s">
        <v>1452</v>
      </c>
      <c r="C589" s="43" t="s">
        <v>75</v>
      </c>
      <c r="D589" s="43">
        <v>2.0</v>
      </c>
      <c r="E589" s="43">
        <v>5.0</v>
      </c>
      <c r="F589" s="43">
        <f>IFERROR(__xludf.DUMMYFUNCTION("""COMPUTED_VALUE"""),0.0)</f>
        <v>0</v>
      </c>
      <c r="G589" s="43" t="s">
        <v>112</v>
      </c>
      <c r="H589" s="43" t="s">
        <v>113</v>
      </c>
      <c r="I589" s="43" t="s">
        <v>141</v>
      </c>
      <c r="J589" s="47" t="s">
        <v>1453</v>
      </c>
      <c r="K589" s="38">
        <v>0.0</v>
      </c>
      <c r="L589" s="38">
        <v>0.0</v>
      </c>
      <c r="M589" s="38" t="str">
        <f>IFERROR(__xludf.DUMMYFUNCTION("""COMPUTED_VALUE"""),"General Sparepart")</f>
        <v>General Sparepart</v>
      </c>
      <c r="N589" s="38">
        <v>24.0</v>
      </c>
      <c r="O589" s="40">
        <v>0.0</v>
      </c>
      <c r="P589" s="38" t="s">
        <v>116</v>
      </c>
      <c r="Q589" s="42">
        <v>0.0</v>
      </c>
      <c r="R589" s="42">
        <v>0.0</v>
      </c>
      <c r="S589" s="38">
        <v>0.0</v>
      </c>
      <c r="T589" s="42">
        <v>0.0</v>
      </c>
      <c r="U589" s="42">
        <v>0.0</v>
      </c>
    </row>
    <row r="590">
      <c r="A590" s="43" t="s">
        <v>1454</v>
      </c>
      <c r="B590" s="47" t="s">
        <v>1455</v>
      </c>
      <c r="C590" s="43" t="s">
        <v>75</v>
      </c>
      <c r="D590" s="43">
        <v>1.0</v>
      </c>
      <c r="E590" s="43">
        <v>2.0</v>
      </c>
      <c r="F590" s="43">
        <f>IFERROR(__xludf.DUMMYFUNCTION("""COMPUTED_VALUE"""),1.0)</f>
        <v>1</v>
      </c>
      <c r="G590" s="43" t="s">
        <v>125</v>
      </c>
      <c r="H590" s="43" t="s">
        <v>113</v>
      </c>
      <c r="I590" s="43" t="s">
        <v>115</v>
      </c>
      <c r="J590" s="47" t="s">
        <v>1424</v>
      </c>
      <c r="K590" s="38">
        <v>1.0</v>
      </c>
      <c r="L590" s="38">
        <v>1.0</v>
      </c>
      <c r="M590" s="38" t="str">
        <f>IFERROR(__xludf.DUMMYFUNCTION("""COMPUTED_VALUE"""),"Critical Sparepart")</f>
        <v>Critical Sparepart</v>
      </c>
      <c r="N590" s="38">
        <v>36.0</v>
      </c>
      <c r="O590" s="40">
        <v>45621.0</v>
      </c>
      <c r="P590" s="38" t="s">
        <v>126</v>
      </c>
      <c r="Q590" s="42">
        <v>1.0</v>
      </c>
      <c r="R590" s="42">
        <v>0.0</v>
      </c>
      <c r="S590" s="38">
        <v>0.0</v>
      </c>
      <c r="T590" s="42">
        <v>1.0</v>
      </c>
      <c r="U590" s="42">
        <v>1.0</v>
      </c>
    </row>
    <row r="591">
      <c r="A591" s="43" t="s">
        <v>1456</v>
      </c>
      <c r="B591" s="47" t="s">
        <v>1457</v>
      </c>
      <c r="C591" s="43" t="s">
        <v>75</v>
      </c>
      <c r="D591" s="43">
        <v>1.0</v>
      </c>
      <c r="E591" s="43">
        <v>1.0</v>
      </c>
      <c r="F591" s="43">
        <f>IFERROR(__xludf.DUMMYFUNCTION("""COMPUTED_VALUE"""),2.0)</f>
        <v>2</v>
      </c>
      <c r="G591" s="43" t="s">
        <v>122</v>
      </c>
      <c r="H591" s="43" t="s">
        <v>113</v>
      </c>
      <c r="I591" s="43" t="s">
        <v>115</v>
      </c>
      <c r="J591" s="47" t="s">
        <v>1424</v>
      </c>
      <c r="K591" s="38">
        <v>1.0</v>
      </c>
      <c r="L591" s="38">
        <v>1.0</v>
      </c>
      <c r="M591" s="38" t="str">
        <f>IFERROR(__xludf.DUMMYFUNCTION("""COMPUTED_VALUE"""),"Fast Moving / Consumable")</f>
        <v>Fast Moving / Consumable</v>
      </c>
      <c r="N591" s="38">
        <v>18.0</v>
      </c>
      <c r="O591" s="40">
        <v>45715.0</v>
      </c>
      <c r="P591" s="38" t="s">
        <v>126</v>
      </c>
      <c r="Q591" s="42">
        <v>1.0</v>
      </c>
      <c r="R591" s="42">
        <v>0.2727272727272727</v>
      </c>
      <c r="S591" s="38">
        <v>0.0</v>
      </c>
      <c r="T591" s="42">
        <v>0.7818181818181817</v>
      </c>
      <c r="U591" s="42">
        <v>0.7818181818181817</v>
      </c>
    </row>
    <row r="592">
      <c r="A592" s="43" t="s">
        <v>1458</v>
      </c>
      <c r="B592" s="47" t="s">
        <v>1459</v>
      </c>
      <c r="C592" s="43" t="s">
        <v>75</v>
      </c>
      <c r="D592" s="43">
        <v>1.0</v>
      </c>
      <c r="E592" s="43">
        <v>1.0</v>
      </c>
      <c r="F592" s="43">
        <f>IFERROR(__xludf.DUMMYFUNCTION("""COMPUTED_VALUE"""),0.0)</f>
        <v>0</v>
      </c>
      <c r="G592" s="43" t="s">
        <v>112</v>
      </c>
      <c r="H592" s="43" t="s">
        <v>113</v>
      </c>
      <c r="I592" s="43" t="s">
        <v>115</v>
      </c>
      <c r="J592" s="47" t="s">
        <v>115</v>
      </c>
      <c r="K592" s="38">
        <v>1.0</v>
      </c>
      <c r="L592" s="38">
        <v>1.0</v>
      </c>
      <c r="M592" s="38" t="str">
        <f>IFERROR(__xludf.DUMMYFUNCTION("""COMPUTED_VALUE"""),"Critical Sparepart")</f>
        <v>Critical Sparepart</v>
      </c>
      <c r="N592" s="38">
        <v>36.0</v>
      </c>
      <c r="O592" s="40">
        <v>45928.0</v>
      </c>
      <c r="P592" s="38" t="s">
        <v>126</v>
      </c>
      <c r="Q592" s="42">
        <v>0.0</v>
      </c>
      <c r="R592" s="42">
        <v>0.0</v>
      </c>
      <c r="S592" s="38">
        <v>1.0</v>
      </c>
      <c r="T592" s="42">
        <v>0.0</v>
      </c>
      <c r="U592" s="46">
        <v>1.0</v>
      </c>
    </row>
    <row r="593">
      <c r="A593" s="43" t="s">
        <v>1460</v>
      </c>
      <c r="B593" s="47" t="s">
        <v>1461</v>
      </c>
      <c r="C593" s="43" t="s">
        <v>75</v>
      </c>
      <c r="D593" s="43">
        <v>1.0</v>
      </c>
      <c r="E593" s="43">
        <v>2.0</v>
      </c>
      <c r="F593" s="43">
        <f>IFERROR(__xludf.DUMMYFUNCTION("""COMPUTED_VALUE"""),1.0)</f>
        <v>1</v>
      </c>
      <c r="G593" s="43" t="s">
        <v>125</v>
      </c>
      <c r="H593" s="43" t="s">
        <v>113</v>
      </c>
      <c r="I593" s="43" t="s">
        <v>115</v>
      </c>
      <c r="J593" s="47" t="s">
        <v>115</v>
      </c>
      <c r="K593" s="38">
        <v>0.0</v>
      </c>
      <c r="L593" s="38">
        <v>0.0</v>
      </c>
      <c r="M593" s="38" t="str">
        <f>IFERROR(__xludf.DUMMYFUNCTION("""COMPUTED_VALUE"""),"General Sparepart")</f>
        <v>General Sparepart</v>
      </c>
      <c r="N593" s="38">
        <v>24.0</v>
      </c>
      <c r="O593" s="40">
        <v>43654.0</v>
      </c>
      <c r="P593" s="38" t="s">
        <v>116</v>
      </c>
      <c r="Q593" s="42">
        <v>0.0</v>
      </c>
      <c r="R593" s="42">
        <v>0.0</v>
      </c>
      <c r="S593" s="38">
        <v>0.0</v>
      </c>
      <c r="T593" s="42">
        <v>0.0</v>
      </c>
      <c r="U593" s="42">
        <v>0.0</v>
      </c>
    </row>
    <row r="594">
      <c r="A594" s="43" t="s">
        <v>1462</v>
      </c>
      <c r="B594" s="47" t="s">
        <v>1463</v>
      </c>
      <c r="C594" s="43" t="s">
        <v>77</v>
      </c>
      <c r="D594" s="43">
        <v>1.0</v>
      </c>
      <c r="E594" s="43">
        <v>2.0</v>
      </c>
      <c r="F594" s="43">
        <f>IFERROR(__xludf.DUMMYFUNCTION("""COMPUTED_VALUE"""),0.0)</f>
        <v>0</v>
      </c>
      <c r="G594" s="43" t="s">
        <v>112</v>
      </c>
      <c r="H594" s="43" t="s">
        <v>113</v>
      </c>
      <c r="I594" s="43" t="s">
        <v>141</v>
      </c>
      <c r="J594" s="47" t="s">
        <v>1464</v>
      </c>
      <c r="K594" s="38">
        <v>1.0</v>
      </c>
      <c r="L594" s="38">
        <v>2.0</v>
      </c>
      <c r="M594" s="38" t="str">
        <f>IFERROR(__xludf.DUMMYFUNCTION("""COMPUTED_VALUE"""),"Critical Sparepart")</f>
        <v>Critical Sparepart</v>
      </c>
      <c r="N594" s="38">
        <v>36.0</v>
      </c>
      <c r="O594" s="40">
        <v>46022.0</v>
      </c>
      <c r="P594" s="38" t="s">
        <v>126</v>
      </c>
      <c r="Q594" s="42">
        <v>1.0</v>
      </c>
      <c r="R594" s="42">
        <v>1.0909090909090908</v>
      </c>
      <c r="S594" s="38">
        <v>0.0</v>
      </c>
      <c r="T594" s="42">
        <v>1.0272727272727271</v>
      </c>
      <c r="U594" s="42">
        <v>1.0272727272727271</v>
      </c>
    </row>
    <row r="595">
      <c r="A595" s="43" t="s">
        <v>1465</v>
      </c>
      <c r="B595" s="47" t="s">
        <v>1466</v>
      </c>
      <c r="C595" s="43" t="s">
        <v>77</v>
      </c>
      <c r="D595" s="43">
        <v>1.0</v>
      </c>
      <c r="E595" s="43">
        <v>1.0</v>
      </c>
      <c r="F595" s="43">
        <f>IFERROR(__xludf.DUMMYFUNCTION("""COMPUTED_VALUE"""),0.0)</f>
        <v>0</v>
      </c>
      <c r="G595" s="43" t="s">
        <v>112</v>
      </c>
      <c r="H595" s="43" t="s">
        <v>119</v>
      </c>
      <c r="I595" s="43" t="s">
        <v>114</v>
      </c>
      <c r="J595" s="47" t="s">
        <v>1467</v>
      </c>
      <c r="K595" s="38">
        <v>0.0</v>
      </c>
      <c r="L595" s="38">
        <v>0.0</v>
      </c>
      <c r="M595" s="38" t="str">
        <f>IFERROR(__xludf.DUMMYFUNCTION("""COMPUTED_VALUE"""),"Critical Sparepart")</f>
        <v>Critical Sparepart</v>
      </c>
      <c r="N595" s="38">
        <v>36.0</v>
      </c>
      <c r="O595" s="40">
        <v>43203.0</v>
      </c>
      <c r="P595" s="38" t="s">
        <v>116</v>
      </c>
      <c r="Q595" s="42">
        <v>0.0</v>
      </c>
      <c r="R595" s="42">
        <v>0.0</v>
      </c>
      <c r="S595" s="38">
        <v>0.0</v>
      </c>
      <c r="T595" s="42">
        <v>0.0</v>
      </c>
      <c r="U595" s="42">
        <v>0.0</v>
      </c>
    </row>
    <row r="596">
      <c r="A596" s="43" t="s">
        <v>1468</v>
      </c>
      <c r="B596" s="47" t="s">
        <v>1469</v>
      </c>
      <c r="C596" s="43" t="s">
        <v>77</v>
      </c>
      <c r="D596" s="43">
        <v>0.0</v>
      </c>
      <c r="E596" s="43">
        <v>3.0</v>
      </c>
      <c r="F596" s="43">
        <f>IFERROR(__xludf.DUMMYFUNCTION("""COMPUTED_VALUE"""),5.0)</f>
        <v>5</v>
      </c>
      <c r="G596" s="43" t="s">
        <v>122</v>
      </c>
      <c r="H596" s="43" t="s">
        <v>113</v>
      </c>
      <c r="I596" s="43" t="s">
        <v>115</v>
      </c>
      <c r="J596" s="47" t="s">
        <v>115</v>
      </c>
      <c r="K596" s="38">
        <v>1.0</v>
      </c>
      <c r="L596" s="38">
        <v>3.0</v>
      </c>
      <c r="M596" s="38" t="str">
        <f>IFERROR(__xludf.DUMMYFUNCTION("""COMPUTED_VALUE"""),"Critical Sparepart")</f>
        <v>Critical Sparepart</v>
      </c>
      <c r="N596" s="38">
        <v>36.0</v>
      </c>
      <c r="O596" s="40">
        <v>45412.0</v>
      </c>
      <c r="P596" s="38" t="s">
        <v>126</v>
      </c>
      <c r="Q596" s="42">
        <v>3.0</v>
      </c>
      <c r="R596" s="42">
        <v>0.5454545454545454</v>
      </c>
      <c r="S596" s="38">
        <v>0.0</v>
      </c>
      <c r="T596" s="42">
        <v>2.2636363636363632</v>
      </c>
      <c r="U596" s="42">
        <v>2.2636363636363632</v>
      </c>
    </row>
    <row r="597">
      <c r="A597" s="43" t="s">
        <v>1470</v>
      </c>
      <c r="B597" s="47" t="s">
        <v>1471</v>
      </c>
      <c r="C597" s="43" t="s">
        <v>77</v>
      </c>
      <c r="D597" s="43">
        <v>1.0</v>
      </c>
      <c r="E597" s="43">
        <v>1.0</v>
      </c>
      <c r="F597" s="43">
        <f>IFERROR(__xludf.DUMMYFUNCTION("""COMPUTED_VALUE"""),0.0)</f>
        <v>0</v>
      </c>
      <c r="G597" s="43" t="s">
        <v>112</v>
      </c>
      <c r="H597" s="43" t="s">
        <v>119</v>
      </c>
      <c r="I597" s="43" t="s">
        <v>141</v>
      </c>
      <c r="J597" s="47" t="s">
        <v>1472</v>
      </c>
      <c r="K597" s="38">
        <v>0.0</v>
      </c>
      <c r="L597" s="38">
        <v>0.0</v>
      </c>
      <c r="M597" s="38" t="str">
        <f>IFERROR(__xludf.DUMMYFUNCTION("""COMPUTED_VALUE"""),"Critical Sparepart")</f>
        <v>Critical Sparepart</v>
      </c>
      <c r="N597" s="38">
        <v>36.0</v>
      </c>
      <c r="O597" s="40">
        <v>0.0</v>
      </c>
      <c r="P597" s="38" t="s">
        <v>116</v>
      </c>
      <c r="Q597" s="42">
        <v>0.0</v>
      </c>
      <c r="R597" s="42">
        <v>0.0</v>
      </c>
      <c r="S597" s="38">
        <v>0.0</v>
      </c>
      <c r="T597" s="42">
        <v>0.0</v>
      </c>
      <c r="U597" s="42">
        <v>0.0</v>
      </c>
    </row>
    <row r="598">
      <c r="A598" s="43" t="s">
        <v>1473</v>
      </c>
      <c r="B598" s="47" t="s">
        <v>1474</v>
      </c>
      <c r="C598" s="43" t="s">
        <v>77</v>
      </c>
      <c r="D598" s="43">
        <v>1.0</v>
      </c>
      <c r="E598" s="43">
        <v>2.0</v>
      </c>
      <c r="F598" s="43">
        <f>IFERROR(__xludf.DUMMYFUNCTION("""COMPUTED_VALUE"""),1.0)</f>
        <v>1</v>
      </c>
      <c r="G598" s="43" t="s">
        <v>125</v>
      </c>
      <c r="H598" s="43" t="s">
        <v>113</v>
      </c>
      <c r="I598" s="43" t="s">
        <v>115</v>
      </c>
      <c r="J598" s="47" t="s">
        <v>115</v>
      </c>
      <c r="K598" s="38">
        <v>1.0</v>
      </c>
      <c r="L598" s="38">
        <v>1.0</v>
      </c>
      <c r="M598" s="38" t="str">
        <f>IFERROR(__xludf.DUMMYFUNCTION("""COMPUTED_VALUE"""),"Critical Sparepart")</f>
        <v>Critical Sparepart</v>
      </c>
      <c r="N598" s="38">
        <v>36.0</v>
      </c>
      <c r="O598" s="40">
        <v>46260.0</v>
      </c>
      <c r="P598" s="38" t="s">
        <v>126</v>
      </c>
      <c r="Q598" s="42">
        <v>0.0</v>
      </c>
      <c r="R598" s="42">
        <v>0.8181818181818181</v>
      </c>
      <c r="S598" s="38">
        <v>0.0</v>
      </c>
      <c r="T598" s="42">
        <v>0.24545454545454543</v>
      </c>
      <c r="U598" s="42">
        <v>0.24545454545454543</v>
      </c>
    </row>
    <row r="599">
      <c r="A599" s="43" t="s">
        <v>1475</v>
      </c>
      <c r="B599" s="47" t="s">
        <v>1476</v>
      </c>
      <c r="C599" s="43" t="s">
        <v>77</v>
      </c>
      <c r="D599" s="43">
        <v>0.0</v>
      </c>
      <c r="E599" s="43">
        <v>1.0</v>
      </c>
      <c r="F599" s="43">
        <f>IFERROR(__xludf.DUMMYFUNCTION("""COMPUTED_VALUE"""),4.0)</f>
        <v>4</v>
      </c>
      <c r="G599" s="43" t="s">
        <v>122</v>
      </c>
      <c r="H599" s="43" t="s">
        <v>113</v>
      </c>
      <c r="I599" s="43" t="s">
        <v>115</v>
      </c>
      <c r="J599" s="47" t="s">
        <v>115</v>
      </c>
      <c r="K599" s="38">
        <v>0.0</v>
      </c>
      <c r="L599" s="38">
        <v>0.0</v>
      </c>
      <c r="M599" s="38" t="str">
        <f>IFERROR(__xludf.DUMMYFUNCTION("""COMPUTED_VALUE"""),"General Sparepart")</f>
        <v>General Sparepart</v>
      </c>
      <c r="N599" s="38">
        <v>24.0</v>
      </c>
      <c r="O599" s="40">
        <v>45412.0</v>
      </c>
      <c r="P599" s="38" t="s">
        <v>116</v>
      </c>
      <c r="Q599" s="42">
        <v>2.0</v>
      </c>
      <c r="R599" s="42">
        <v>0.8181818181818181</v>
      </c>
      <c r="S599" s="38">
        <v>0.0</v>
      </c>
      <c r="T599" s="42">
        <v>1.6454545454545453</v>
      </c>
      <c r="U599" s="42">
        <v>1.6454545454545453</v>
      </c>
    </row>
    <row r="600">
      <c r="A600" s="43" t="s">
        <v>1477</v>
      </c>
      <c r="B600" s="47" t="s">
        <v>1478</v>
      </c>
      <c r="C600" s="43" t="s">
        <v>77</v>
      </c>
      <c r="D600" s="43">
        <v>1.0</v>
      </c>
      <c r="E600" s="43">
        <v>2.0</v>
      </c>
      <c r="F600" s="43">
        <f>IFERROR(__xludf.DUMMYFUNCTION("""COMPUTED_VALUE"""),2.0)</f>
        <v>2</v>
      </c>
      <c r="G600" s="43" t="s">
        <v>122</v>
      </c>
      <c r="H600" s="43" t="s">
        <v>113</v>
      </c>
      <c r="I600" s="43" t="s">
        <v>115</v>
      </c>
      <c r="J600" s="47" t="s">
        <v>115</v>
      </c>
      <c r="K600" s="38">
        <v>1.0</v>
      </c>
      <c r="L600" s="38">
        <v>1.0</v>
      </c>
      <c r="M600" s="38" t="str">
        <f>IFERROR(__xludf.DUMMYFUNCTION("""COMPUTED_VALUE"""),"Critical Sparepart")</f>
        <v>Critical Sparepart</v>
      </c>
      <c r="N600" s="38">
        <v>36.0</v>
      </c>
      <c r="O600" s="40">
        <v>45762.0</v>
      </c>
      <c r="P600" s="38" t="s">
        <v>126</v>
      </c>
      <c r="Q600" s="42">
        <v>1.0</v>
      </c>
      <c r="R600" s="42">
        <v>0.2727272727272727</v>
      </c>
      <c r="S600" s="38">
        <v>0.0</v>
      </c>
      <c r="T600" s="42">
        <v>0.7818181818181817</v>
      </c>
      <c r="U600" s="42">
        <v>0.7818181818181817</v>
      </c>
    </row>
    <row r="601">
      <c r="A601" s="43" t="s">
        <v>1479</v>
      </c>
      <c r="B601" s="47" t="s">
        <v>1480</v>
      </c>
      <c r="C601" s="43" t="s">
        <v>77</v>
      </c>
      <c r="D601" s="43">
        <v>0.0</v>
      </c>
      <c r="E601" s="43">
        <v>1.0</v>
      </c>
      <c r="F601" s="43">
        <f>IFERROR(__xludf.DUMMYFUNCTION("""COMPUTED_VALUE"""),1.0)</f>
        <v>1</v>
      </c>
      <c r="G601" s="43" t="s">
        <v>122</v>
      </c>
      <c r="H601" s="43" t="s">
        <v>113</v>
      </c>
      <c r="I601" s="43" t="s">
        <v>115</v>
      </c>
      <c r="J601" s="47" t="s">
        <v>1481</v>
      </c>
      <c r="K601" s="38">
        <v>1.0</v>
      </c>
      <c r="L601" s="38">
        <v>1.0</v>
      </c>
      <c r="M601" s="38" t="str">
        <f>IFERROR(__xludf.DUMMYFUNCTION("""COMPUTED_VALUE"""),"Critical Sparepart")</f>
        <v>Critical Sparepart</v>
      </c>
      <c r="N601" s="38">
        <v>36.0</v>
      </c>
      <c r="O601" s="40">
        <v>45812.0</v>
      </c>
      <c r="P601" s="38" t="s">
        <v>126</v>
      </c>
      <c r="Q601" s="42">
        <v>1.0</v>
      </c>
      <c r="R601" s="42">
        <v>0.0</v>
      </c>
      <c r="S601" s="38">
        <v>0.0</v>
      </c>
      <c r="T601" s="42">
        <v>1.0</v>
      </c>
      <c r="U601" s="42">
        <v>1.0</v>
      </c>
    </row>
    <row r="602">
      <c r="A602" s="43" t="s">
        <v>1482</v>
      </c>
      <c r="B602" s="47" t="s">
        <v>1483</v>
      </c>
      <c r="C602" s="43" t="s">
        <v>77</v>
      </c>
      <c r="D602" s="43">
        <v>0.0</v>
      </c>
      <c r="E602" s="43">
        <v>1.0</v>
      </c>
      <c r="F602" s="43">
        <f>IFERROR(__xludf.DUMMYFUNCTION("""COMPUTED_VALUE"""),1.0)</f>
        <v>1</v>
      </c>
      <c r="G602" s="43" t="s">
        <v>122</v>
      </c>
      <c r="H602" s="43" t="s">
        <v>113</v>
      </c>
      <c r="I602" s="43" t="s">
        <v>115</v>
      </c>
      <c r="J602" s="47" t="s">
        <v>1481</v>
      </c>
      <c r="K602" s="38">
        <v>1.0</v>
      </c>
      <c r="L602" s="38">
        <v>1.0</v>
      </c>
      <c r="M602" s="38" t="str">
        <f>IFERROR(__xludf.DUMMYFUNCTION("""COMPUTED_VALUE"""),"Critical Sparepart")</f>
        <v>Critical Sparepart</v>
      </c>
      <c r="N602" s="38">
        <v>36.0</v>
      </c>
      <c r="O602" s="40">
        <v>45812.0</v>
      </c>
      <c r="P602" s="38" t="s">
        <v>126</v>
      </c>
      <c r="Q602" s="42">
        <v>1.0</v>
      </c>
      <c r="R602" s="42">
        <v>0.0</v>
      </c>
      <c r="S602" s="38">
        <v>0.0</v>
      </c>
      <c r="T602" s="42">
        <v>1.0</v>
      </c>
      <c r="U602" s="42">
        <v>1.0</v>
      </c>
    </row>
    <row r="603">
      <c r="A603" s="43" t="s">
        <v>1484</v>
      </c>
      <c r="B603" s="47" t="s">
        <v>1485</v>
      </c>
      <c r="C603" s="43" t="s">
        <v>77</v>
      </c>
      <c r="D603" s="43">
        <v>1.0</v>
      </c>
      <c r="E603" s="43">
        <v>3.0</v>
      </c>
      <c r="F603" s="43">
        <f>IFERROR(__xludf.DUMMYFUNCTION("""COMPUTED_VALUE"""),1.0)</f>
        <v>1</v>
      </c>
      <c r="G603" s="43" t="s">
        <v>125</v>
      </c>
      <c r="H603" s="43" t="s">
        <v>113</v>
      </c>
      <c r="I603" s="43" t="s">
        <v>115</v>
      </c>
      <c r="J603" s="47" t="s">
        <v>115</v>
      </c>
      <c r="K603" s="38">
        <v>1.0</v>
      </c>
      <c r="L603" s="38">
        <v>3.0</v>
      </c>
      <c r="M603" s="38" t="str">
        <f>IFERROR(__xludf.DUMMYFUNCTION("""COMPUTED_VALUE"""),"General Sparepart")</f>
        <v>General Sparepart</v>
      </c>
      <c r="N603" s="38">
        <v>24.0</v>
      </c>
      <c r="O603" s="40">
        <v>45975.0</v>
      </c>
      <c r="P603" s="38" t="s">
        <v>126</v>
      </c>
      <c r="Q603" s="42">
        <v>3.0</v>
      </c>
      <c r="R603" s="42">
        <v>1.0909090909090908</v>
      </c>
      <c r="S603" s="38">
        <v>0.0</v>
      </c>
      <c r="T603" s="42">
        <v>2.427272727272727</v>
      </c>
      <c r="U603" s="42">
        <v>2.427272727272727</v>
      </c>
    </row>
    <row r="604">
      <c r="A604" s="43" t="s">
        <v>1486</v>
      </c>
      <c r="B604" s="47" t="s">
        <v>1487</v>
      </c>
      <c r="C604" s="43" t="s">
        <v>77</v>
      </c>
      <c r="D604" s="43">
        <v>2.0</v>
      </c>
      <c r="E604" s="43">
        <v>4.0</v>
      </c>
      <c r="F604" s="43">
        <f>IFERROR(__xludf.DUMMYFUNCTION("""COMPUTED_VALUE"""),0.0)</f>
        <v>0</v>
      </c>
      <c r="G604" s="43" t="s">
        <v>112</v>
      </c>
      <c r="H604" s="43" t="s">
        <v>119</v>
      </c>
      <c r="I604" s="43" t="s">
        <v>141</v>
      </c>
      <c r="J604" s="47" t="s">
        <v>1472</v>
      </c>
      <c r="K604" s="38">
        <v>0.0</v>
      </c>
      <c r="L604" s="38">
        <v>0.0</v>
      </c>
      <c r="M604" s="38" t="str">
        <f>IFERROR(__xludf.DUMMYFUNCTION("""COMPUTED_VALUE"""),"Critical Sparepart")</f>
        <v>Critical Sparepart</v>
      </c>
      <c r="N604" s="38">
        <v>36.0</v>
      </c>
      <c r="O604" s="40">
        <v>0.0</v>
      </c>
      <c r="P604" s="38" t="s">
        <v>116</v>
      </c>
      <c r="Q604" s="42">
        <v>0.0</v>
      </c>
      <c r="R604" s="42">
        <v>0.0</v>
      </c>
      <c r="S604" s="38">
        <v>0.0</v>
      </c>
      <c r="T604" s="42">
        <v>0.0</v>
      </c>
      <c r="U604" s="42">
        <v>0.0</v>
      </c>
    </row>
    <row r="605">
      <c r="A605" s="43" t="s">
        <v>1488</v>
      </c>
      <c r="B605" s="47" t="s">
        <v>1489</v>
      </c>
      <c r="C605" s="43" t="s">
        <v>77</v>
      </c>
      <c r="D605" s="43">
        <v>0.0</v>
      </c>
      <c r="E605" s="43">
        <v>0.0</v>
      </c>
      <c r="F605" s="43">
        <f>IFERROR(__xludf.DUMMYFUNCTION("""COMPUTED_VALUE"""),0.0)</f>
        <v>0</v>
      </c>
      <c r="G605" s="43" t="s">
        <v>125</v>
      </c>
      <c r="H605" s="43" t="s">
        <v>119</v>
      </c>
      <c r="I605" s="43" t="s">
        <v>141</v>
      </c>
      <c r="J605" s="47" t="s">
        <v>1490</v>
      </c>
      <c r="K605" s="38">
        <v>0.0</v>
      </c>
      <c r="L605" s="38">
        <v>0.0</v>
      </c>
      <c r="M605" s="38" t="str">
        <f>IFERROR(__xludf.DUMMYFUNCTION("""COMPUTED_VALUE"""),"Critical Sparepart")</f>
        <v>Critical Sparepart</v>
      </c>
      <c r="N605" s="38">
        <v>36.0</v>
      </c>
      <c r="O605" s="40">
        <v>0.0</v>
      </c>
      <c r="P605" s="38" t="s">
        <v>116</v>
      </c>
      <c r="Q605" s="42">
        <v>0.0</v>
      </c>
      <c r="R605" s="42">
        <v>0.0</v>
      </c>
      <c r="S605" s="38">
        <v>0.0</v>
      </c>
      <c r="T605" s="42">
        <v>0.0</v>
      </c>
      <c r="U605" s="42">
        <v>0.0</v>
      </c>
    </row>
    <row r="606">
      <c r="A606" s="43" t="s">
        <v>1491</v>
      </c>
      <c r="B606" s="47" t="s">
        <v>1492</v>
      </c>
      <c r="C606" s="43" t="s">
        <v>77</v>
      </c>
      <c r="D606" s="43">
        <v>1.0</v>
      </c>
      <c r="E606" s="43">
        <v>2.0</v>
      </c>
      <c r="F606" s="43">
        <f>IFERROR(__xludf.DUMMYFUNCTION("""COMPUTED_VALUE"""),1.0)</f>
        <v>1</v>
      </c>
      <c r="G606" s="43" t="s">
        <v>125</v>
      </c>
      <c r="H606" s="43" t="s">
        <v>113</v>
      </c>
      <c r="I606" s="43" t="s">
        <v>141</v>
      </c>
      <c r="J606" s="47" t="s">
        <v>1472</v>
      </c>
      <c r="K606" s="38">
        <v>0.0</v>
      </c>
      <c r="L606" s="38">
        <v>0.0</v>
      </c>
      <c r="M606" s="38" t="str">
        <f>IFERROR(__xludf.DUMMYFUNCTION("""COMPUTED_VALUE"""),"Critical Sparepart")</f>
        <v>Critical Sparepart</v>
      </c>
      <c r="N606" s="38">
        <v>36.0</v>
      </c>
      <c r="O606" s="40">
        <v>45327.0</v>
      </c>
      <c r="P606" s="38" t="s">
        <v>126</v>
      </c>
      <c r="Q606" s="42">
        <v>0.0</v>
      </c>
      <c r="R606" s="42">
        <v>0.0</v>
      </c>
      <c r="S606" s="38">
        <v>0.0</v>
      </c>
      <c r="T606" s="42">
        <v>0.0</v>
      </c>
      <c r="U606" s="42">
        <v>0.0</v>
      </c>
    </row>
    <row r="607">
      <c r="A607" s="43" t="s">
        <v>1493</v>
      </c>
      <c r="B607" s="47" t="s">
        <v>1494</v>
      </c>
      <c r="C607" s="43" t="s">
        <v>77</v>
      </c>
      <c r="D607" s="43">
        <v>0.0</v>
      </c>
      <c r="E607" s="43">
        <v>0.0</v>
      </c>
      <c r="F607" s="43">
        <f>IFERROR(__xludf.DUMMYFUNCTION("""COMPUTED_VALUE"""),0.0)</f>
        <v>0</v>
      </c>
      <c r="G607" s="43" t="s">
        <v>125</v>
      </c>
      <c r="H607" s="43" t="s">
        <v>119</v>
      </c>
      <c r="I607" s="43" t="s">
        <v>119</v>
      </c>
      <c r="J607" s="47" t="s">
        <v>1495</v>
      </c>
      <c r="K607" s="38">
        <v>0.0</v>
      </c>
      <c r="L607" s="38">
        <v>0.0</v>
      </c>
      <c r="M607" s="38" t="str">
        <f>IFERROR(__xludf.DUMMYFUNCTION("""COMPUTED_VALUE"""),"Critical Sparepart")</f>
        <v>Critical Sparepart</v>
      </c>
      <c r="N607" s="38">
        <v>36.0</v>
      </c>
      <c r="O607" s="40">
        <v>0.0</v>
      </c>
      <c r="P607" s="38" t="s">
        <v>116</v>
      </c>
      <c r="Q607" s="42">
        <v>0.0</v>
      </c>
      <c r="R607" s="42">
        <v>0.0</v>
      </c>
      <c r="S607" s="38">
        <v>0.0</v>
      </c>
      <c r="T607" s="42">
        <v>0.0</v>
      </c>
      <c r="U607" s="42">
        <v>0.0</v>
      </c>
    </row>
    <row r="608">
      <c r="A608" s="43" t="s">
        <v>1496</v>
      </c>
      <c r="B608" s="47" t="s">
        <v>1497</v>
      </c>
      <c r="C608" s="43" t="s">
        <v>77</v>
      </c>
      <c r="D608" s="43">
        <v>1.0</v>
      </c>
      <c r="E608" s="43">
        <v>1.0</v>
      </c>
      <c r="F608" s="43">
        <f>IFERROR(__xludf.DUMMYFUNCTION("""COMPUTED_VALUE"""),0.0)</f>
        <v>0</v>
      </c>
      <c r="G608" s="43" t="s">
        <v>112</v>
      </c>
      <c r="H608" s="43" t="s">
        <v>113</v>
      </c>
      <c r="I608" s="43" t="s">
        <v>141</v>
      </c>
      <c r="J608" s="47" t="s">
        <v>1498</v>
      </c>
      <c r="K608" s="38">
        <v>0.0</v>
      </c>
      <c r="L608" s="38">
        <v>0.0</v>
      </c>
      <c r="M608" s="38" t="str">
        <f>IFERROR(__xludf.DUMMYFUNCTION("""COMPUTED_VALUE"""),"Critical Sparepart")</f>
        <v>Critical Sparepart</v>
      </c>
      <c r="N608" s="38">
        <v>36.0</v>
      </c>
      <c r="O608" s="40">
        <v>43276.0</v>
      </c>
      <c r="P608" s="38" t="s">
        <v>116</v>
      </c>
      <c r="Q608" s="42">
        <v>0.0</v>
      </c>
      <c r="R608" s="42">
        <v>0.0</v>
      </c>
      <c r="S608" s="38">
        <v>0.0</v>
      </c>
      <c r="T608" s="42">
        <v>0.0</v>
      </c>
      <c r="U608" s="42">
        <v>0.0</v>
      </c>
    </row>
    <row r="609">
      <c r="A609" s="43" t="s">
        <v>1499</v>
      </c>
      <c r="B609" s="47" t="s">
        <v>1500</v>
      </c>
      <c r="C609" s="43" t="s">
        <v>77</v>
      </c>
      <c r="D609" s="43">
        <v>6.0</v>
      </c>
      <c r="E609" s="43">
        <v>20.0</v>
      </c>
      <c r="F609" s="43">
        <f>IFERROR(__xludf.DUMMYFUNCTION("""COMPUTED_VALUE"""),15.0)</f>
        <v>15</v>
      </c>
      <c r="G609" s="43" t="s">
        <v>122</v>
      </c>
      <c r="H609" s="43" t="s">
        <v>113</v>
      </c>
      <c r="I609" s="43" t="s">
        <v>115</v>
      </c>
      <c r="J609" s="47" t="s">
        <v>1501</v>
      </c>
      <c r="K609" s="38">
        <v>3.0</v>
      </c>
      <c r="L609" s="38">
        <v>20.0</v>
      </c>
      <c r="M609" s="38" t="str">
        <f>IFERROR(__xludf.DUMMYFUNCTION("""COMPUTED_VALUE"""),"General Sparepart")</f>
        <v>General Sparepart</v>
      </c>
      <c r="N609" s="38">
        <v>24.0</v>
      </c>
      <c r="O609" s="40">
        <v>46142.0</v>
      </c>
      <c r="P609" s="38" t="s">
        <v>126</v>
      </c>
      <c r="Q609" s="42">
        <v>4.0</v>
      </c>
      <c r="R609" s="42">
        <v>2.1818181818181817</v>
      </c>
      <c r="S609" s="38">
        <v>20.0</v>
      </c>
      <c r="T609" s="42">
        <v>3.454545454545454</v>
      </c>
      <c r="U609" s="46">
        <v>20.0</v>
      </c>
    </row>
    <row r="610">
      <c r="A610" s="43" t="s">
        <v>1502</v>
      </c>
      <c r="B610" s="47" t="s">
        <v>1503</v>
      </c>
      <c r="C610" s="43" t="s">
        <v>77</v>
      </c>
      <c r="D610" s="43">
        <v>1.0</v>
      </c>
      <c r="E610" s="43">
        <v>1.0</v>
      </c>
      <c r="F610" s="43">
        <f>IFERROR(__xludf.DUMMYFUNCTION("""COMPUTED_VALUE"""),0.0)</f>
        <v>0</v>
      </c>
      <c r="G610" s="43" t="s">
        <v>112</v>
      </c>
      <c r="H610" s="43" t="s">
        <v>119</v>
      </c>
      <c r="I610" s="43" t="s">
        <v>119</v>
      </c>
      <c r="J610" s="47" t="s">
        <v>115</v>
      </c>
      <c r="K610" s="38">
        <v>0.0</v>
      </c>
      <c r="L610" s="38">
        <v>0.0</v>
      </c>
      <c r="M610" s="38" t="str">
        <f>IFERROR(__xludf.DUMMYFUNCTION("""COMPUTED_VALUE"""),"Critical Sparepart")</f>
        <v>Critical Sparepart</v>
      </c>
      <c r="N610" s="38">
        <v>36.0</v>
      </c>
      <c r="O610" s="40">
        <v>0.0</v>
      </c>
      <c r="P610" s="38" t="s">
        <v>116</v>
      </c>
      <c r="Q610" s="42">
        <v>0.0</v>
      </c>
      <c r="R610" s="42">
        <v>0.0</v>
      </c>
      <c r="S610" s="38">
        <v>0.0</v>
      </c>
      <c r="T610" s="42">
        <v>0.0</v>
      </c>
      <c r="U610" s="42">
        <v>0.0</v>
      </c>
    </row>
    <row r="611">
      <c r="A611" s="43" t="s">
        <v>1504</v>
      </c>
      <c r="B611" s="47" t="s">
        <v>1505</v>
      </c>
      <c r="C611" s="43" t="s">
        <v>77</v>
      </c>
      <c r="D611" s="43">
        <v>0.0</v>
      </c>
      <c r="E611" s="43">
        <v>1.0</v>
      </c>
      <c r="F611" s="43">
        <f>IFERROR(__xludf.DUMMYFUNCTION("""COMPUTED_VALUE"""),0.0)</f>
        <v>0</v>
      </c>
      <c r="G611" s="43" t="s">
        <v>125</v>
      </c>
      <c r="H611" s="43" t="s">
        <v>119</v>
      </c>
      <c r="I611" s="43" t="s">
        <v>1506</v>
      </c>
      <c r="J611" s="47" t="s">
        <v>1507</v>
      </c>
      <c r="K611" s="38">
        <v>0.0</v>
      </c>
      <c r="L611" s="38">
        <v>0.0</v>
      </c>
      <c r="M611" s="38" t="str">
        <f>IFERROR(__xludf.DUMMYFUNCTION("""COMPUTED_VALUE"""),"Critical Sparepart")</f>
        <v>Critical Sparepart</v>
      </c>
      <c r="N611" s="38">
        <v>36.0</v>
      </c>
      <c r="O611" s="40">
        <v>0.0</v>
      </c>
      <c r="P611" s="38" t="s">
        <v>116</v>
      </c>
      <c r="Q611" s="42">
        <v>0.0</v>
      </c>
      <c r="R611" s="42">
        <v>0.0</v>
      </c>
      <c r="S611" s="38">
        <v>0.0</v>
      </c>
      <c r="T611" s="42">
        <v>0.0</v>
      </c>
      <c r="U611" s="42">
        <v>0.0</v>
      </c>
    </row>
    <row r="612">
      <c r="A612" s="43" t="s">
        <v>1508</v>
      </c>
      <c r="B612" s="47" t="s">
        <v>1509</v>
      </c>
      <c r="C612" s="43" t="s">
        <v>77</v>
      </c>
      <c r="D612" s="43">
        <v>2.0</v>
      </c>
      <c r="E612" s="43">
        <v>3.0</v>
      </c>
      <c r="F612" s="43">
        <f>IFERROR(__xludf.DUMMYFUNCTION("""COMPUTED_VALUE"""),2.0)</f>
        <v>2</v>
      </c>
      <c r="G612" s="43" t="s">
        <v>125</v>
      </c>
      <c r="H612" s="43" t="s">
        <v>113</v>
      </c>
      <c r="I612" s="43" t="s">
        <v>115</v>
      </c>
      <c r="J612" s="47" t="s">
        <v>1510</v>
      </c>
      <c r="K612" s="38">
        <v>1.0</v>
      </c>
      <c r="L612" s="38">
        <v>3.0</v>
      </c>
      <c r="M612" s="38" t="str">
        <f>IFERROR(__xludf.DUMMYFUNCTION("""COMPUTED_VALUE"""),"Fast Moving / Consumable")</f>
        <v>Fast Moving / Consumable</v>
      </c>
      <c r="N612" s="38">
        <v>18.0</v>
      </c>
      <c r="O612" s="40">
        <v>46203.0</v>
      </c>
      <c r="P612" s="38" t="s">
        <v>126</v>
      </c>
      <c r="Q612" s="42">
        <v>1.0</v>
      </c>
      <c r="R612" s="42">
        <v>0.2727272727272727</v>
      </c>
      <c r="S612" s="38">
        <v>3.0</v>
      </c>
      <c r="T612" s="42">
        <v>0.7818181818181817</v>
      </c>
      <c r="U612" s="46">
        <v>3.0</v>
      </c>
    </row>
    <row r="613">
      <c r="A613" s="43" t="s">
        <v>1511</v>
      </c>
      <c r="B613" s="47" t="s">
        <v>1512</v>
      </c>
      <c r="C613" s="43" t="s">
        <v>77</v>
      </c>
      <c r="D613" s="43">
        <v>0.0</v>
      </c>
      <c r="E613" s="43">
        <v>1.0</v>
      </c>
      <c r="F613" s="43">
        <f>IFERROR(__xludf.DUMMYFUNCTION("""COMPUTED_VALUE"""),0.0)</f>
        <v>0</v>
      </c>
      <c r="G613" s="43" t="s">
        <v>125</v>
      </c>
      <c r="H613" s="43" t="s">
        <v>119</v>
      </c>
      <c r="I613" s="43" t="s">
        <v>141</v>
      </c>
      <c r="J613" s="47" t="s">
        <v>1513</v>
      </c>
      <c r="K613" s="38">
        <v>0.0</v>
      </c>
      <c r="L613" s="38">
        <v>0.0</v>
      </c>
      <c r="M613" s="38" t="str">
        <f>IFERROR(__xludf.DUMMYFUNCTION("""COMPUTED_VALUE"""),"Critical Sparepart")</f>
        <v>Critical Sparepart</v>
      </c>
      <c r="N613" s="38">
        <v>36.0</v>
      </c>
      <c r="O613" s="40">
        <v>0.0</v>
      </c>
      <c r="P613" s="38" t="s">
        <v>116</v>
      </c>
      <c r="Q613" s="42">
        <v>0.0</v>
      </c>
      <c r="R613" s="42">
        <v>0.0</v>
      </c>
      <c r="S613" s="38">
        <v>0.0</v>
      </c>
      <c r="T613" s="42">
        <v>0.0</v>
      </c>
      <c r="U613" s="42">
        <v>0.0</v>
      </c>
    </row>
    <row r="614">
      <c r="A614" s="43" t="s">
        <v>1514</v>
      </c>
      <c r="B614" s="47" t="s">
        <v>1515</v>
      </c>
      <c r="C614" s="43" t="s">
        <v>77</v>
      </c>
      <c r="D614" s="43">
        <v>1.0</v>
      </c>
      <c r="E614" s="43">
        <v>2.0</v>
      </c>
      <c r="F614" s="43">
        <f>IFERROR(__xludf.DUMMYFUNCTION("""COMPUTED_VALUE"""),0.0)</f>
        <v>0</v>
      </c>
      <c r="G614" s="43" t="s">
        <v>112</v>
      </c>
      <c r="H614" s="43" t="s">
        <v>113</v>
      </c>
      <c r="I614" s="43" t="s">
        <v>115</v>
      </c>
      <c r="J614" s="47" t="s">
        <v>115</v>
      </c>
      <c r="K614" s="38">
        <v>0.0</v>
      </c>
      <c r="L614" s="38">
        <v>0.0</v>
      </c>
      <c r="M614" s="38" t="str">
        <f>IFERROR(__xludf.DUMMYFUNCTION("""COMPUTED_VALUE"""),"Critical Sparepart")</f>
        <v>Critical Sparepart</v>
      </c>
      <c r="N614" s="38">
        <v>36.0</v>
      </c>
      <c r="O614" s="40">
        <v>0.0</v>
      </c>
      <c r="P614" s="38" t="s">
        <v>116</v>
      </c>
      <c r="Q614" s="42">
        <v>0.0</v>
      </c>
      <c r="R614" s="42">
        <v>0.0</v>
      </c>
      <c r="S614" s="38">
        <v>0.0</v>
      </c>
      <c r="T614" s="42">
        <v>0.0</v>
      </c>
      <c r="U614" s="42">
        <v>0.0</v>
      </c>
    </row>
    <row r="615">
      <c r="A615" s="43" t="s">
        <v>1516</v>
      </c>
      <c r="B615" s="47" t="s">
        <v>1517</v>
      </c>
      <c r="C615" s="43" t="s">
        <v>77</v>
      </c>
      <c r="D615" s="43">
        <v>0.0</v>
      </c>
      <c r="E615" s="43">
        <v>1.0</v>
      </c>
      <c r="F615" s="43">
        <f>IFERROR(__xludf.DUMMYFUNCTION("""COMPUTED_VALUE"""),1.0)</f>
        <v>1</v>
      </c>
      <c r="G615" s="43" t="s">
        <v>122</v>
      </c>
      <c r="H615" s="43" t="s">
        <v>113</v>
      </c>
      <c r="I615" s="43" t="s">
        <v>115</v>
      </c>
      <c r="J615" s="47" t="s">
        <v>115</v>
      </c>
      <c r="K615" s="38">
        <v>0.0</v>
      </c>
      <c r="L615" s="38">
        <v>0.0</v>
      </c>
      <c r="M615" s="38" t="str">
        <f>IFERROR(__xludf.DUMMYFUNCTION("""COMPUTED_VALUE"""),"Critical Sparepart")</f>
        <v>Critical Sparepart</v>
      </c>
      <c r="N615" s="38">
        <v>36.0</v>
      </c>
      <c r="O615" s="40">
        <v>45341.0</v>
      </c>
      <c r="P615" s="38" t="s">
        <v>126</v>
      </c>
      <c r="Q615" s="42">
        <v>0.0</v>
      </c>
      <c r="R615" s="42">
        <v>0.0</v>
      </c>
      <c r="S615" s="38">
        <v>0.0</v>
      </c>
      <c r="T615" s="42">
        <v>0.0</v>
      </c>
      <c r="U615" s="42">
        <v>0.0</v>
      </c>
    </row>
    <row r="616">
      <c r="A616" s="43" t="s">
        <v>1518</v>
      </c>
      <c r="B616" s="47" t="s">
        <v>1519</v>
      </c>
      <c r="C616" s="43" t="s">
        <v>77</v>
      </c>
      <c r="D616" s="43">
        <v>1.0</v>
      </c>
      <c r="E616" s="43">
        <v>1.0</v>
      </c>
      <c r="F616" s="43">
        <f>IFERROR(__xludf.DUMMYFUNCTION("""COMPUTED_VALUE"""),1.0)</f>
        <v>1</v>
      </c>
      <c r="G616" s="43" t="s">
        <v>125</v>
      </c>
      <c r="H616" s="43" t="s">
        <v>113</v>
      </c>
      <c r="I616" s="43" t="s">
        <v>115</v>
      </c>
      <c r="J616" s="47" t="s">
        <v>228</v>
      </c>
      <c r="K616" s="38">
        <v>1.0</v>
      </c>
      <c r="L616" s="38">
        <v>1.0</v>
      </c>
      <c r="M616" s="38" t="str">
        <f>IFERROR(__xludf.DUMMYFUNCTION("""COMPUTED_VALUE"""),"General Sparepart")</f>
        <v>General Sparepart</v>
      </c>
      <c r="N616" s="38">
        <v>24.0</v>
      </c>
      <c r="O616" s="40">
        <v>45928.0</v>
      </c>
      <c r="P616" s="38" t="s">
        <v>126</v>
      </c>
      <c r="Q616" s="42">
        <v>1.0</v>
      </c>
      <c r="R616" s="42">
        <v>0.2727272727272727</v>
      </c>
      <c r="S616" s="38">
        <v>1.0</v>
      </c>
      <c r="T616" s="42">
        <v>0.7818181818181817</v>
      </c>
      <c r="U616" s="46">
        <v>1.0</v>
      </c>
    </row>
    <row r="617">
      <c r="A617" s="43" t="s">
        <v>1520</v>
      </c>
      <c r="B617" s="47" t="s">
        <v>1519</v>
      </c>
      <c r="C617" s="43" t="s">
        <v>77</v>
      </c>
      <c r="D617" s="43">
        <v>1.0</v>
      </c>
      <c r="E617" s="43">
        <v>1.0</v>
      </c>
      <c r="F617" s="43">
        <f>IFERROR(__xludf.DUMMYFUNCTION("""COMPUTED_VALUE"""),1.0)</f>
        <v>1</v>
      </c>
      <c r="G617" s="43" t="s">
        <v>125</v>
      </c>
      <c r="H617" s="43" t="s">
        <v>113</v>
      </c>
      <c r="I617" s="43" t="s">
        <v>115</v>
      </c>
      <c r="J617" s="47" t="s">
        <v>1521</v>
      </c>
      <c r="K617" s="38">
        <v>1.0</v>
      </c>
      <c r="L617" s="38">
        <v>1.0</v>
      </c>
      <c r="M617" s="38" t="str">
        <f>IFERROR(__xludf.DUMMYFUNCTION("""COMPUTED_VALUE"""),"General Sparepart")</f>
        <v>General Sparepart</v>
      </c>
      <c r="N617" s="38">
        <v>24.0</v>
      </c>
      <c r="O617" s="40">
        <v>45928.0</v>
      </c>
      <c r="P617" s="38" t="s">
        <v>126</v>
      </c>
      <c r="Q617" s="42">
        <v>1.0</v>
      </c>
      <c r="R617" s="42">
        <v>0.2727272727272727</v>
      </c>
      <c r="S617" s="38">
        <v>1.0</v>
      </c>
      <c r="T617" s="42">
        <v>0.7818181818181817</v>
      </c>
      <c r="U617" s="46">
        <v>1.0</v>
      </c>
    </row>
    <row r="618">
      <c r="A618" s="43" t="s">
        <v>1522</v>
      </c>
      <c r="B618" s="47" t="s">
        <v>1523</v>
      </c>
      <c r="C618" s="43" t="s">
        <v>77</v>
      </c>
      <c r="D618" s="43">
        <v>1.0</v>
      </c>
      <c r="E618" s="43">
        <v>3.0</v>
      </c>
      <c r="F618" s="43">
        <f>IFERROR(__xludf.DUMMYFUNCTION("""COMPUTED_VALUE"""),2.0)</f>
        <v>2</v>
      </c>
      <c r="G618" s="43" t="s">
        <v>122</v>
      </c>
      <c r="H618" s="43" t="s">
        <v>113</v>
      </c>
      <c r="I618" s="43" t="s">
        <v>115</v>
      </c>
      <c r="J618" s="47" t="s">
        <v>1524</v>
      </c>
      <c r="K618" s="38">
        <v>1.0</v>
      </c>
      <c r="L618" s="38">
        <v>3.0</v>
      </c>
      <c r="M618" s="38" t="str">
        <f>IFERROR(__xludf.DUMMYFUNCTION("""COMPUTED_VALUE"""),"Fast Moving / Consumable")</f>
        <v>Fast Moving / Consumable</v>
      </c>
      <c r="N618" s="38">
        <v>18.0</v>
      </c>
      <c r="O618" s="40">
        <v>46085.0</v>
      </c>
      <c r="P618" s="38" t="s">
        <v>126</v>
      </c>
      <c r="Q618" s="42">
        <v>3.0</v>
      </c>
      <c r="R618" s="42">
        <v>0.5454545454545454</v>
      </c>
      <c r="S618" s="38">
        <v>2.0</v>
      </c>
      <c r="T618" s="42">
        <v>2.2636363636363632</v>
      </c>
      <c r="U618" s="42">
        <v>2.2636363636363632</v>
      </c>
    </row>
    <row r="619">
      <c r="A619" s="43" t="s">
        <v>1525</v>
      </c>
      <c r="B619" s="47" t="s">
        <v>1526</v>
      </c>
      <c r="C619" s="43" t="s">
        <v>77</v>
      </c>
      <c r="D619" s="43">
        <v>1.0</v>
      </c>
      <c r="E619" s="43">
        <v>1.0</v>
      </c>
      <c r="F619" s="43">
        <f>IFERROR(__xludf.DUMMYFUNCTION("""COMPUTED_VALUE"""),0.0)</f>
        <v>0</v>
      </c>
      <c r="G619" s="43" t="s">
        <v>112</v>
      </c>
      <c r="H619" s="43" t="s">
        <v>113</v>
      </c>
      <c r="I619" s="43" t="s">
        <v>115</v>
      </c>
      <c r="J619" s="47">
        <v>1.21703439E8</v>
      </c>
      <c r="K619" s="38">
        <v>1.0</v>
      </c>
      <c r="L619" s="38">
        <v>2.0</v>
      </c>
      <c r="M619" s="38" t="str">
        <f>IFERROR(__xludf.DUMMYFUNCTION("""COMPUTED_VALUE"""),"Fast Moving / Consumable")</f>
        <v>Fast Moving / Consumable</v>
      </c>
      <c r="N619" s="38">
        <v>18.0</v>
      </c>
      <c r="O619" s="40">
        <v>46203.0</v>
      </c>
      <c r="P619" s="38" t="s">
        <v>126</v>
      </c>
      <c r="Q619" s="42">
        <v>1.0</v>
      </c>
      <c r="R619" s="42">
        <v>1.0909090909090908</v>
      </c>
      <c r="S619" s="38">
        <v>1.0</v>
      </c>
      <c r="T619" s="42">
        <v>1.0272727272727271</v>
      </c>
      <c r="U619" s="42">
        <v>1.0272727272727271</v>
      </c>
    </row>
    <row r="620">
      <c r="A620" s="43" t="s">
        <v>1527</v>
      </c>
      <c r="B620" s="47" t="s">
        <v>1528</v>
      </c>
      <c r="C620" s="43" t="s">
        <v>77</v>
      </c>
      <c r="D620" s="43">
        <v>1.0</v>
      </c>
      <c r="E620" s="43">
        <v>1.0</v>
      </c>
      <c r="F620" s="43">
        <f>IFERROR(__xludf.DUMMYFUNCTION("""COMPUTED_VALUE"""),1.0)</f>
        <v>1</v>
      </c>
      <c r="G620" s="43" t="s">
        <v>125</v>
      </c>
      <c r="H620" s="43" t="s">
        <v>113</v>
      </c>
      <c r="I620" s="43" t="s">
        <v>115</v>
      </c>
      <c r="J620" s="47" t="s">
        <v>228</v>
      </c>
      <c r="K620" s="38">
        <v>1.0</v>
      </c>
      <c r="L620" s="38">
        <v>1.0</v>
      </c>
      <c r="M620" s="38" t="str">
        <f>IFERROR(__xludf.DUMMYFUNCTION("""COMPUTED_VALUE"""),"General Sparepart")</f>
        <v>General Sparepart</v>
      </c>
      <c r="N620" s="38">
        <v>24.0</v>
      </c>
      <c r="O620" s="40">
        <v>45928.0</v>
      </c>
      <c r="P620" s="38" t="s">
        <v>126</v>
      </c>
      <c r="Q620" s="42">
        <v>1.0</v>
      </c>
      <c r="R620" s="42">
        <v>0.5454545454545454</v>
      </c>
      <c r="S620" s="38">
        <v>1.0</v>
      </c>
      <c r="T620" s="42">
        <v>0.8636363636363635</v>
      </c>
      <c r="U620" s="46">
        <v>1.0</v>
      </c>
    </row>
    <row r="621">
      <c r="A621" s="43" t="s">
        <v>1529</v>
      </c>
      <c r="B621" s="47" t="s">
        <v>1530</v>
      </c>
      <c r="C621" s="43" t="s">
        <v>77</v>
      </c>
      <c r="D621" s="43">
        <v>10.0</v>
      </c>
      <c r="E621" s="43">
        <v>20.0</v>
      </c>
      <c r="F621" s="43">
        <f>IFERROR(__xludf.DUMMYFUNCTION("""COMPUTED_VALUE"""),19.0)</f>
        <v>19</v>
      </c>
      <c r="G621" s="43" t="s">
        <v>122</v>
      </c>
      <c r="H621" s="43" t="s">
        <v>113</v>
      </c>
      <c r="I621" s="43" t="s">
        <v>115</v>
      </c>
      <c r="J621" s="47" t="s">
        <v>115</v>
      </c>
      <c r="K621" s="38">
        <v>1.0</v>
      </c>
      <c r="L621" s="38">
        <v>3.0</v>
      </c>
      <c r="M621" s="38" t="str">
        <f>IFERROR(__xludf.DUMMYFUNCTION("""COMPUTED_VALUE"""),"General Sparepart")</f>
        <v>General Sparepart</v>
      </c>
      <c r="N621" s="38">
        <v>24.0</v>
      </c>
      <c r="O621" s="40">
        <v>45989.0</v>
      </c>
      <c r="P621" s="38" t="s">
        <v>126</v>
      </c>
      <c r="Q621" s="42">
        <v>4.0</v>
      </c>
      <c r="R621" s="42">
        <v>0.2727272727272727</v>
      </c>
      <c r="S621" s="38">
        <v>0.0</v>
      </c>
      <c r="T621" s="42">
        <v>2.881818181818182</v>
      </c>
      <c r="U621" s="42">
        <v>2.881818181818182</v>
      </c>
    </row>
    <row r="622">
      <c r="A622" s="43" t="s">
        <v>1531</v>
      </c>
      <c r="B622" s="47" t="s">
        <v>1532</v>
      </c>
      <c r="C622" s="43" t="s">
        <v>77</v>
      </c>
      <c r="D622" s="43">
        <v>10.0</v>
      </c>
      <c r="E622" s="43">
        <v>20.0</v>
      </c>
      <c r="F622" s="43">
        <f>IFERROR(__xludf.DUMMYFUNCTION("""COMPUTED_VALUE"""),20.0)</f>
        <v>20</v>
      </c>
      <c r="G622" s="43" t="s">
        <v>122</v>
      </c>
      <c r="H622" s="43" t="s">
        <v>113</v>
      </c>
      <c r="I622" s="43" t="s">
        <v>115</v>
      </c>
      <c r="J622" s="47" t="s">
        <v>115</v>
      </c>
      <c r="K622" s="38">
        <v>1.0</v>
      </c>
      <c r="L622" s="38">
        <v>4.0</v>
      </c>
      <c r="M622" s="38" t="str">
        <f>IFERROR(__xludf.DUMMYFUNCTION("""COMPUTED_VALUE"""),"General Sparepart")</f>
        <v>General Sparepart</v>
      </c>
      <c r="N622" s="38">
        <v>24.0</v>
      </c>
      <c r="O622" s="40">
        <v>45762.0</v>
      </c>
      <c r="P622" s="38" t="s">
        <v>126</v>
      </c>
      <c r="Q622" s="42">
        <v>5.0</v>
      </c>
      <c r="R622" s="42">
        <v>0.8181818181818181</v>
      </c>
      <c r="S622" s="38">
        <v>0.0</v>
      </c>
      <c r="T622" s="42">
        <v>3.7454545454545456</v>
      </c>
      <c r="U622" s="42">
        <v>3.7454545454545456</v>
      </c>
    </row>
    <row r="623">
      <c r="A623" s="43" t="s">
        <v>1533</v>
      </c>
      <c r="B623" s="47" t="s">
        <v>1534</v>
      </c>
      <c r="C623" s="43" t="s">
        <v>77</v>
      </c>
      <c r="D623" s="43">
        <v>10.0</v>
      </c>
      <c r="E623" s="43">
        <v>20.0</v>
      </c>
      <c r="F623" s="43">
        <f>IFERROR(__xludf.DUMMYFUNCTION("""COMPUTED_VALUE"""),12.0)</f>
        <v>12</v>
      </c>
      <c r="G623" s="43" t="s">
        <v>122</v>
      </c>
      <c r="H623" s="43" t="s">
        <v>113</v>
      </c>
      <c r="I623" s="43" t="s">
        <v>115</v>
      </c>
      <c r="J623" s="47" t="s">
        <v>115</v>
      </c>
      <c r="K623" s="38">
        <v>0.0</v>
      </c>
      <c r="L623" s="38">
        <v>0.0</v>
      </c>
      <c r="M623" s="38" t="str">
        <f>IFERROR(__xludf.DUMMYFUNCTION("""COMPUTED_VALUE"""),"General Sparepart")</f>
        <v>General Sparepart</v>
      </c>
      <c r="N623" s="38">
        <v>24.0</v>
      </c>
      <c r="O623" s="40">
        <v>43874.0</v>
      </c>
      <c r="P623" s="38" t="s">
        <v>116</v>
      </c>
      <c r="Q623" s="42">
        <v>2.0</v>
      </c>
      <c r="R623" s="42">
        <v>0.0</v>
      </c>
      <c r="S623" s="38">
        <v>0.0</v>
      </c>
      <c r="T623" s="42">
        <v>2.0</v>
      </c>
      <c r="U623" s="42">
        <v>2.0</v>
      </c>
    </row>
    <row r="624">
      <c r="A624" s="43" t="s">
        <v>1535</v>
      </c>
      <c r="B624" s="47" t="s">
        <v>1536</v>
      </c>
      <c r="C624" s="43" t="s">
        <v>77</v>
      </c>
      <c r="D624" s="43">
        <v>10.0</v>
      </c>
      <c r="E624" s="43">
        <v>20.0</v>
      </c>
      <c r="F624" s="43">
        <f>IFERROR(__xludf.DUMMYFUNCTION("""COMPUTED_VALUE"""),20.0)</f>
        <v>20</v>
      </c>
      <c r="G624" s="43" t="s">
        <v>122</v>
      </c>
      <c r="H624" s="43" t="s">
        <v>113</v>
      </c>
      <c r="I624" s="43" t="s">
        <v>115</v>
      </c>
      <c r="J624" s="47" t="s">
        <v>1537</v>
      </c>
      <c r="K624" s="38">
        <v>1.0</v>
      </c>
      <c r="L624" s="38">
        <v>4.0</v>
      </c>
      <c r="M624" s="38" t="str">
        <f>IFERROR(__xludf.DUMMYFUNCTION("""COMPUTED_VALUE"""),"General Sparepart")</f>
        <v>General Sparepart</v>
      </c>
      <c r="N624" s="38">
        <v>24.0</v>
      </c>
      <c r="O624" s="40">
        <v>45875.0</v>
      </c>
      <c r="P624" s="38" t="s">
        <v>126</v>
      </c>
      <c r="Q624" s="42">
        <v>4.0</v>
      </c>
      <c r="R624" s="42">
        <v>0.0</v>
      </c>
      <c r="S624" s="38">
        <v>0.0</v>
      </c>
      <c r="T624" s="42">
        <v>4.0</v>
      </c>
      <c r="U624" s="42">
        <v>4.0</v>
      </c>
    </row>
    <row r="625">
      <c r="A625" s="43" t="s">
        <v>1538</v>
      </c>
      <c r="B625" s="47" t="s">
        <v>1539</v>
      </c>
      <c r="C625" s="43" t="s">
        <v>77</v>
      </c>
      <c r="D625" s="43">
        <v>1.0</v>
      </c>
      <c r="E625" s="43">
        <v>1.0</v>
      </c>
      <c r="F625" s="43">
        <f>IFERROR(__xludf.DUMMYFUNCTION("""COMPUTED_VALUE"""),1.0)</f>
        <v>1</v>
      </c>
      <c r="G625" s="43" t="s">
        <v>125</v>
      </c>
      <c r="H625" s="43" t="s">
        <v>113</v>
      </c>
      <c r="I625" s="43" t="s">
        <v>115</v>
      </c>
      <c r="J625" s="47" t="s">
        <v>228</v>
      </c>
      <c r="K625" s="38">
        <v>1.0</v>
      </c>
      <c r="L625" s="38">
        <v>1.0</v>
      </c>
      <c r="M625" s="38" t="str">
        <f>IFERROR(__xludf.DUMMYFUNCTION("""COMPUTED_VALUE"""),"General Sparepart")</f>
        <v>General Sparepart</v>
      </c>
      <c r="N625" s="38">
        <v>24.0</v>
      </c>
      <c r="O625" s="40">
        <v>45928.0</v>
      </c>
      <c r="P625" s="38" t="s">
        <v>126</v>
      </c>
      <c r="Q625" s="42">
        <v>1.0</v>
      </c>
      <c r="R625" s="42">
        <v>0.2727272727272727</v>
      </c>
      <c r="S625" s="38">
        <v>1.0</v>
      </c>
      <c r="T625" s="42">
        <v>0.7818181818181817</v>
      </c>
      <c r="U625" s="46">
        <v>1.0</v>
      </c>
    </row>
    <row r="626">
      <c r="A626" s="43" t="s">
        <v>1540</v>
      </c>
      <c r="B626" s="47" t="s">
        <v>1541</v>
      </c>
      <c r="C626" s="43" t="s">
        <v>77</v>
      </c>
      <c r="D626" s="43">
        <v>1.0</v>
      </c>
      <c r="E626" s="43">
        <v>2.0</v>
      </c>
      <c r="F626" s="43">
        <f>IFERROR(__xludf.DUMMYFUNCTION("""COMPUTED_VALUE"""),2.0)</f>
        <v>2</v>
      </c>
      <c r="G626" s="43" t="s">
        <v>122</v>
      </c>
      <c r="H626" s="43" t="s">
        <v>113</v>
      </c>
      <c r="I626" s="43" t="s">
        <v>115</v>
      </c>
      <c r="J626" s="47">
        <v>1.21703457E8</v>
      </c>
      <c r="K626" s="38">
        <v>1.0</v>
      </c>
      <c r="L626" s="38">
        <v>2.0</v>
      </c>
      <c r="M626" s="38" t="str">
        <f>IFERROR(__xludf.DUMMYFUNCTION("""COMPUTED_VALUE"""),"Fast Moving / Consumable")</f>
        <v>Fast Moving / Consumable</v>
      </c>
      <c r="N626" s="38">
        <v>18.0</v>
      </c>
      <c r="O626" s="40">
        <v>46034.0</v>
      </c>
      <c r="P626" s="38" t="s">
        <v>126</v>
      </c>
      <c r="Q626" s="42">
        <v>2.0</v>
      </c>
      <c r="R626" s="42">
        <v>0.0</v>
      </c>
      <c r="S626" s="38">
        <v>2.0</v>
      </c>
      <c r="T626" s="42">
        <v>2.0</v>
      </c>
      <c r="U626" s="42">
        <v>2.0</v>
      </c>
    </row>
    <row r="627">
      <c r="A627" s="43" t="s">
        <v>1542</v>
      </c>
      <c r="B627" s="47" t="s">
        <v>1543</v>
      </c>
      <c r="C627" s="43" t="s">
        <v>77</v>
      </c>
      <c r="D627" s="43">
        <v>0.0</v>
      </c>
      <c r="E627" s="43">
        <v>1.0</v>
      </c>
      <c r="F627" s="43">
        <f>IFERROR(__xludf.DUMMYFUNCTION("""COMPUTED_VALUE"""),0.0)</f>
        <v>0</v>
      </c>
      <c r="G627" s="43" t="s">
        <v>125</v>
      </c>
      <c r="H627" s="43" t="s">
        <v>113</v>
      </c>
      <c r="I627" s="43" t="s">
        <v>115</v>
      </c>
      <c r="J627" s="47" t="s">
        <v>115</v>
      </c>
      <c r="K627" s="38">
        <v>0.0</v>
      </c>
      <c r="L627" s="38">
        <v>0.0</v>
      </c>
      <c r="M627" s="38" t="str">
        <f>IFERROR(__xludf.DUMMYFUNCTION("""COMPUTED_VALUE"""),"Critical Sparepart")</f>
        <v>Critical Sparepart</v>
      </c>
      <c r="N627" s="38">
        <v>36.0</v>
      </c>
      <c r="O627" s="40">
        <v>0.0</v>
      </c>
      <c r="P627" s="38" t="s">
        <v>116</v>
      </c>
      <c r="Q627" s="42">
        <v>0.0</v>
      </c>
      <c r="R627" s="42">
        <v>0.0</v>
      </c>
      <c r="S627" s="38">
        <v>0.0</v>
      </c>
      <c r="T627" s="42">
        <v>0.0</v>
      </c>
      <c r="U627" s="42">
        <v>0.0</v>
      </c>
    </row>
    <row r="628">
      <c r="A628" s="43" t="s">
        <v>1544</v>
      </c>
      <c r="B628" s="47" t="s">
        <v>1545</v>
      </c>
      <c r="C628" s="43" t="s">
        <v>77</v>
      </c>
      <c r="D628" s="43">
        <v>1.0</v>
      </c>
      <c r="E628" s="43">
        <v>2.0</v>
      </c>
      <c r="F628" s="43">
        <f>IFERROR(__xludf.DUMMYFUNCTION("""COMPUTED_VALUE"""),1.0)</f>
        <v>1</v>
      </c>
      <c r="G628" s="43" t="s">
        <v>125</v>
      </c>
      <c r="H628" s="43" t="s">
        <v>113</v>
      </c>
      <c r="I628" s="43" t="s">
        <v>141</v>
      </c>
      <c r="J628" s="47" t="s">
        <v>1546</v>
      </c>
      <c r="K628" s="38">
        <v>1.0</v>
      </c>
      <c r="L628" s="38">
        <v>1.0</v>
      </c>
      <c r="M628" s="38" t="str">
        <f>IFERROR(__xludf.DUMMYFUNCTION("""COMPUTED_VALUE"""),"General Sparepart")</f>
        <v>General Sparepart</v>
      </c>
      <c r="N628" s="38">
        <v>24.0</v>
      </c>
      <c r="O628" s="40">
        <v>45646.0</v>
      </c>
      <c r="P628" s="38" t="s">
        <v>126</v>
      </c>
      <c r="Q628" s="42">
        <v>1.0</v>
      </c>
      <c r="R628" s="42">
        <v>0.0</v>
      </c>
      <c r="S628" s="38">
        <v>0.0</v>
      </c>
      <c r="T628" s="42">
        <v>1.0</v>
      </c>
      <c r="U628" s="42">
        <v>1.0</v>
      </c>
    </row>
    <row r="629">
      <c r="A629" s="43" t="s">
        <v>1547</v>
      </c>
      <c r="B629" s="47" t="s">
        <v>1548</v>
      </c>
      <c r="C629" s="43" t="s">
        <v>77</v>
      </c>
      <c r="D629" s="43">
        <v>2.0</v>
      </c>
      <c r="E629" s="43">
        <v>4.0</v>
      </c>
      <c r="F629" s="43">
        <f>IFERROR(__xludf.DUMMYFUNCTION("""COMPUTED_VALUE"""),2.0)</f>
        <v>2</v>
      </c>
      <c r="G629" s="43" t="s">
        <v>125</v>
      </c>
      <c r="H629" s="43" t="s">
        <v>113</v>
      </c>
      <c r="I629" s="43" t="s">
        <v>141</v>
      </c>
      <c r="J629" s="47" t="s">
        <v>1546</v>
      </c>
      <c r="K629" s="38">
        <v>1.0</v>
      </c>
      <c r="L629" s="38">
        <v>1.0</v>
      </c>
      <c r="M629" s="38" t="str">
        <f>IFERROR(__xludf.DUMMYFUNCTION("""COMPUTED_VALUE"""),"General Sparepart")</f>
        <v>General Sparepart</v>
      </c>
      <c r="N629" s="38">
        <v>24.0</v>
      </c>
      <c r="O629" s="40">
        <v>45646.0</v>
      </c>
      <c r="P629" s="38" t="s">
        <v>126</v>
      </c>
      <c r="Q629" s="42">
        <v>1.0</v>
      </c>
      <c r="R629" s="42">
        <v>0.0</v>
      </c>
      <c r="S629" s="38">
        <v>0.0</v>
      </c>
      <c r="T629" s="42">
        <v>1.0</v>
      </c>
      <c r="U629" s="42">
        <v>1.0</v>
      </c>
    </row>
    <row r="630">
      <c r="A630" s="43" t="s">
        <v>1549</v>
      </c>
      <c r="B630" s="47" t="s">
        <v>1550</v>
      </c>
      <c r="C630" s="43" t="s">
        <v>48</v>
      </c>
      <c r="D630" s="43">
        <v>5.0</v>
      </c>
      <c r="E630" s="43">
        <v>40.0</v>
      </c>
      <c r="F630" s="43">
        <f>IFERROR(__xludf.DUMMYFUNCTION("""COMPUTED_VALUE"""),0.0)</f>
        <v>0</v>
      </c>
      <c r="G630" s="43" t="s">
        <v>112</v>
      </c>
      <c r="H630" s="43" t="s">
        <v>113</v>
      </c>
      <c r="I630" s="43" t="s">
        <v>115</v>
      </c>
      <c r="J630" s="47" t="s">
        <v>115</v>
      </c>
      <c r="K630" s="38">
        <v>4.0</v>
      </c>
      <c r="L630" s="38">
        <v>30.0</v>
      </c>
      <c r="M630" s="38" t="str">
        <f>IFERROR(__xludf.DUMMYFUNCTION("""COMPUTED_VALUE"""),"Fast Moving / Consumable")</f>
        <v>Fast Moving / Consumable</v>
      </c>
      <c r="N630" s="38">
        <v>18.0</v>
      </c>
      <c r="O630" s="40">
        <v>46147.0</v>
      </c>
      <c r="P630" s="38" t="s">
        <v>126</v>
      </c>
      <c r="Q630" s="42">
        <v>30.0</v>
      </c>
      <c r="R630" s="42">
        <v>0.0</v>
      </c>
      <c r="S630" s="38">
        <v>10.0</v>
      </c>
      <c r="T630" s="42">
        <v>30.0</v>
      </c>
      <c r="U630" s="42">
        <v>30.0</v>
      </c>
    </row>
    <row r="631">
      <c r="A631" s="43" t="s">
        <v>1551</v>
      </c>
      <c r="B631" s="47" t="s">
        <v>1552</v>
      </c>
      <c r="C631" s="43" t="s">
        <v>48</v>
      </c>
      <c r="D631" s="43">
        <v>5.0</v>
      </c>
      <c r="E631" s="43">
        <v>40.0</v>
      </c>
      <c r="F631" s="43">
        <f>IFERROR(__xludf.DUMMYFUNCTION("""COMPUTED_VALUE"""),0.0)</f>
        <v>0</v>
      </c>
      <c r="G631" s="43" t="s">
        <v>112</v>
      </c>
      <c r="H631" s="43" t="s">
        <v>113</v>
      </c>
      <c r="I631" s="43" t="s">
        <v>115</v>
      </c>
      <c r="J631" s="47" t="s">
        <v>115</v>
      </c>
      <c r="K631" s="38">
        <v>4.0</v>
      </c>
      <c r="L631" s="38">
        <v>30.0</v>
      </c>
      <c r="M631" s="38" t="str">
        <f>IFERROR(__xludf.DUMMYFUNCTION("""COMPUTED_VALUE"""),"Fast Moving / Consumable")</f>
        <v>Fast Moving / Consumable</v>
      </c>
      <c r="N631" s="38">
        <v>18.0</v>
      </c>
      <c r="O631" s="40">
        <v>46147.0</v>
      </c>
      <c r="P631" s="38" t="s">
        <v>126</v>
      </c>
      <c r="Q631" s="42">
        <v>30.0</v>
      </c>
      <c r="R631" s="42">
        <v>0.0</v>
      </c>
      <c r="S631" s="38">
        <v>10.0</v>
      </c>
      <c r="T631" s="42">
        <v>30.0</v>
      </c>
      <c r="U631" s="42">
        <v>30.0</v>
      </c>
    </row>
    <row r="632">
      <c r="A632" s="43" t="s">
        <v>1553</v>
      </c>
      <c r="B632" s="47" t="s">
        <v>1554</v>
      </c>
      <c r="C632" s="43" t="s">
        <v>48</v>
      </c>
      <c r="D632" s="43">
        <v>5.0</v>
      </c>
      <c r="E632" s="43">
        <v>40.0</v>
      </c>
      <c r="F632" s="43">
        <f>IFERROR(__xludf.DUMMYFUNCTION("""COMPUTED_VALUE"""),20.0)</f>
        <v>20</v>
      </c>
      <c r="G632" s="43" t="s">
        <v>122</v>
      </c>
      <c r="H632" s="43" t="s">
        <v>113</v>
      </c>
      <c r="I632" s="43" t="s">
        <v>115</v>
      </c>
      <c r="J632" s="47" t="s">
        <v>115</v>
      </c>
      <c r="K632" s="38">
        <v>5.0</v>
      </c>
      <c r="L632" s="38">
        <v>40.0</v>
      </c>
      <c r="M632" s="38" t="str">
        <f>IFERROR(__xludf.DUMMYFUNCTION("""COMPUTED_VALUE"""),"Fast Moving / Consumable")</f>
        <v>Fast Moving / Consumable</v>
      </c>
      <c r="N632" s="38">
        <v>18.0</v>
      </c>
      <c r="O632" s="40">
        <v>46073.0</v>
      </c>
      <c r="P632" s="38" t="s">
        <v>126</v>
      </c>
      <c r="Q632" s="42">
        <v>40.0</v>
      </c>
      <c r="R632" s="42">
        <v>0.0</v>
      </c>
      <c r="S632" s="38">
        <v>20.0</v>
      </c>
      <c r="T632" s="42">
        <v>40.0</v>
      </c>
      <c r="U632" s="42">
        <v>40.0</v>
      </c>
    </row>
    <row r="633">
      <c r="A633" s="43" t="s">
        <v>1555</v>
      </c>
      <c r="B633" s="47" t="s">
        <v>1556</v>
      </c>
      <c r="C633" s="43" t="s">
        <v>71</v>
      </c>
      <c r="D633" s="43">
        <v>1.0</v>
      </c>
      <c r="E633" s="43">
        <v>2.0</v>
      </c>
      <c r="F633" s="43">
        <f>IFERROR(__xludf.DUMMYFUNCTION("""COMPUTED_VALUE"""),0.0)</f>
        <v>0</v>
      </c>
      <c r="G633" s="43" t="s">
        <v>112</v>
      </c>
      <c r="H633" s="43" t="s">
        <v>119</v>
      </c>
      <c r="I633" s="43" t="s">
        <v>115</v>
      </c>
      <c r="J633" s="47" t="s">
        <v>115</v>
      </c>
      <c r="K633" s="38">
        <v>0.0</v>
      </c>
      <c r="L633" s="38">
        <v>0.0</v>
      </c>
      <c r="M633" s="38" t="str">
        <f>IFERROR(__xludf.DUMMYFUNCTION("""COMPUTED_VALUE"""),"General Sparepart")</f>
        <v>General Sparepart</v>
      </c>
      <c r="N633" s="38">
        <v>24.0</v>
      </c>
      <c r="O633" s="40">
        <v>0.0</v>
      </c>
      <c r="P633" s="38" t="s">
        <v>116</v>
      </c>
      <c r="Q633" s="42">
        <v>0.0</v>
      </c>
      <c r="R633" s="42">
        <v>0.0</v>
      </c>
      <c r="S633" s="38">
        <v>0.0</v>
      </c>
      <c r="T633" s="42">
        <v>0.0</v>
      </c>
      <c r="U633" s="42">
        <v>0.0</v>
      </c>
    </row>
    <row r="634">
      <c r="A634" s="43" t="s">
        <v>1557</v>
      </c>
      <c r="B634" s="47" t="s">
        <v>1558</v>
      </c>
      <c r="C634" s="43" t="s">
        <v>71</v>
      </c>
      <c r="D634" s="43">
        <v>1.0</v>
      </c>
      <c r="E634" s="43">
        <v>2.0</v>
      </c>
      <c r="F634" s="43">
        <f>IFERROR(__xludf.DUMMYFUNCTION("""COMPUTED_VALUE"""),2.0)</f>
        <v>2</v>
      </c>
      <c r="G634" s="43" t="s">
        <v>122</v>
      </c>
      <c r="H634" s="43" t="s">
        <v>113</v>
      </c>
      <c r="I634" s="43" t="s">
        <v>115</v>
      </c>
      <c r="J634" s="47">
        <v>1.21703531E8</v>
      </c>
      <c r="K634" s="38">
        <v>1.0</v>
      </c>
      <c r="L634" s="38">
        <v>3.0</v>
      </c>
      <c r="M634" s="38" t="str">
        <f>IFERROR(__xludf.DUMMYFUNCTION("""COMPUTED_VALUE"""),"Fast Moving / Consumable")</f>
        <v>Fast Moving / Consumable</v>
      </c>
      <c r="N634" s="38">
        <v>18.0</v>
      </c>
      <c r="O634" s="40">
        <v>45988.0</v>
      </c>
      <c r="P634" s="38" t="s">
        <v>126</v>
      </c>
      <c r="Q634" s="42">
        <v>3.0</v>
      </c>
      <c r="R634" s="42">
        <v>0.0</v>
      </c>
      <c r="S634" s="38">
        <v>2.0</v>
      </c>
      <c r="T634" s="42">
        <v>3.0</v>
      </c>
      <c r="U634" s="42">
        <v>3.0</v>
      </c>
    </row>
    <row r="635">
      <c r="A635" s="43" t="s">
        <v>1559</v>
      </c>
      <c r="B635" s="47" t="s">
        <v>1560</v>
      </c>
      <c r="C635" s="43" t="s">
        <v>75</v>
      </c>
      <c r="D635" s="43">
        <v>2.0</v>
      </c>
      <c r="E635" s="43">
        <v>13.0</v>
      </c>
      <c r="F635" s="43">
        <f>IFERROR(__xludf.DUMMYFUNCTION("""COMPUTED_VALUE"""),1.0)</f>
        <v>1</v>
      </c>
      <c r="G635" s="43" t="s">
        <v>112</v>
      </c>
      <c r="H635" s="43" t="s">
        <v>113</v>
      </c>
      <c r="I635" s="43" t="s">
        <v>115</v>
      </c>
      <c r="J635" s="47" t="s">
        <v>115</v>
      </c>
      <c r="K635" s="38">
        <v>3.0</v>
      </c>
      <c r="L635" s="38">
        <v>20.0</v>
      </c>
      <c r="M635" s="38" t="str">
        <f>IFERROR(__xludf.DUMMYFUNCTION("""COMPUTED_VALUE"""),"General Sparepart")</f>
        <v>General Sparepart</v>
      </c>
      <c r="N635" s="38">
        <v>24.0</v>
      </c>
      <c r="O635" s="40">
        <v>46273.0</v>
      </c>
      <c r="P635" s="38" t="s">
        <v>126</v>
      </c>
      <c r="Q635" s="42">
        <v>27.0</v>
      </c>
      <c r="R635" s="42">
        <v>2.4545454545454546</v>
      </c>
      <c r="S635" s="38">
        <v>18.0</v>
      </c>
      <c r="T635" s="42">
        <v>19.636363636363633</v>
      </c>
      <c r="U635" s="42">
        <v>19.636363636363633</v>
      </c>
    </row>
    <row r="636">
      <c r="A636" s="43" t="s">
        <v>1561</v>
      </c>
      <c r="B636" s="47" t="s">
        <v>1562</v>
      </c>
      <c r="C636" s="43" t="s">
        <v>71</v>
      </c>
      <c r="D636" s="43">
        <v>6.0</v>
      </c>
      <c r="E636" s="43">
        <v>18.0</v>
      </c>
      <c r="F636" s="44">
        <f>IFERROR(__xludf.DUMMYFUNCTION("""COMPUTED_VALUE"""),6.0)</f>
        <v>6</v>
      </c>
      <c r="G636" s="44" t="s">
        <v>125</v>
      </c>
      <c r="H636" s="43" t="s">
        <v>113</v>
      </c>
      <c r="I636" s="43" t="s">
        <v>115</v>
      </c>
      <c r="J636" s="47" t="s">
        <v>115</v>
      </c>
      <c r="K636" s="38">
        <v>1.0</v>
      </c>
      <c r="L636" s="38">
        <v>7.0</v>
      </c>
      <c r="M636" s="38" t="str">
        <f>IFERROR(__xludf.DUMMYFUNCTION("""COMPUTED_VALUE"""),"Fast Moving / Consumable")</f>
        <v>Fast Moving / Consumable</v>
      </c>
      <c r="N636" s="38">
        <v>18.0</v>
      </c>
      <c r="O636" s="40">
        <v>46203.0</v>
      </c>
      <c r="P636" s="38" t="s">
        <v>126</v>
      </c>
      <c r="Q636" s="42">
        <v>8.0</v>
      </c>
      <c r="R636" s="42">
        <v>0.5454545454545454</v>
      </c>
      <c r="S636" s="38">
        <v>7.0</v>
      </c>
      <c r="T636" s="42">
        <v>5.763636363636364</v>
      </c>
      <c r="U636" s="46">
        <v>7.0</v>
      </c>
    </row>
    <row r="637">
      <c r="A637" s="43" t="s">
        <v>1563</v>
      </c>
      <c r="B637" s="47" t="s">
        <v>1564</v>
      </c>
      <c r="C637" s="43" t="s">
        <v>77</v>
      </c>
      <c r="D637" s="43">
        <v>1.0</v>
      </c>
      <c r="E637" s="43">
        <v>5.0</v>
      </c>
      <c r="F637" s="44">
        <f>IFERROR(__xludf.DUMMYFUNCTION("""COMPUTED_VALUE"""),5.0)</f>
        <v>5</v>
      </c>
      <c r="G637" s="44" t="s">
        <v>122</v>
      </c>
      <c r="H637" s="43" t="s">
        <v>113</v>
      </c>
      <c r="I637" s="43" t="s">
        <v>115</v>
      </c>
      <c r="J637" s="47" t="s">
        <v>115</v>
      </c>
      <c r="K637" s="38">
        <v>1.0</v>
      </c>
      <c r="L637" s="38">
        <v>7.0</v>
      </c>
      <c r="M637" s="38" t="str">
        <f>IFERROR(__xludf.DUMMYFUNCTION("""COMPUTED_VALUE"""),"General Sparepart")</f>
        <v>General Sparepart</v>
      </c>
      <c r="N637" s="38">
        <v>24.0</v>
      </c>
      <c r="O637" s="40">
        <v>46260.0</v>
      </c>
      <c r="P637" s="38" t="s">
        <v>126</v>
      </c>
      <c r="Q637" s="42">
        <v>9.0</v>
      </c>
      <c r="R637" s="42">
        <v>1.3636363636363635</v>
      </c>
      <c r="S637" s="38">
        <v>5.0</v>
      </c>
      <c r="T637" s="42">
        <v>6.709090909090909</v>
      </c>
      <c r="U637" s="42">
        <v>6.709090909090909</v>
      </c>
    </row>
    <row r="638">
      <c r="A638" s="43" t="s">
        <v>1565</v>
      </c>
      <c r="B638" s="47" t="s">
        <v>1566</v>
      </c>
      <c r="C638" s="43" t="s">
        <v>48</v>
      </c>
      <c r="D638" s="43">
        <v>2.0</v>
      </c>
      <c r="E638" s="43">
        <v>6.0</v>
      </c>
      <c r="F638" s="44">
        <f>IFERROR(__xludf.DUMMYFUNCTION("""COMPUTED_VALUE"""),6.0)</f>
        <v>6</v>
      </c>
      <c r="G638" s="44" t="s">
        <v>122</v>
      </c>
      <c r="H638" s="43" t="s">
        <v>113</v>
      </c>
      <c r="I638" s="43" t="s">
        <v>115</v>
      </c>
      <c r="J638" s="47" t="s">
        <v>115</v>
      </c>
      <c r="K638" s="38">
        <v>2.0</v>
      </c>
      <c r="L638" s="38">
        <v>12.0</v>
      </c>
      <c r="M638" s="38" t="str">
        <f>IFERROR(__xludf.DUMMYFUNCTION("""COMPUTED_VALUE"""),"Critical Sparepart")</f>
        <v>Critical Sparepart</v>
      </c>
      <c r="N638" s="38">
        <v>36.0</v>
      </c>
      <c r="O638" s="40">
        <v>46069.0</v>
      </c>
      <c r="P638" s="38" t="s">
        <v>126</v>
      </c>
      <c r="Q638" s="42">
        <v>12.0</v>
      </c>
      <c r="R638" s="42">
        <v>0.0</v>
      </c>
      <c r="S638" s="38">
        <v>6.0</v>
      </c>
      <c r="T638" s="42">
        <v>12.0</v>
      </c>
      <c r="U638" s="42">
        <v>12.0</v>
      </c>
    </row>
    <row r="639">
      <c r="A639" s="43" t="s">
        <v>1567</v>
      </c>
      <c r="B639" s="47" t="s">
        <v>1568</v>
      </c>
      <c r="C639" s="43" t="s">
        <v>79</v>
      </c>
      <c r="D639" s="43">
        <v>5.0</v>
      </c>
      <c r="E639" s="43">
        <v>20.0</v>
      </c>
      <c r="F639" s="44">
        <f>IFERROR(__xludf.DUMMYFUNCTION("""COMPUTED_VALUE"""),17.0)</f>
        <v>17</v>
      </c>
      <c r="G639" s="44" t="s">
        <v>122</v>
      </c>
      <c r="H639" s="43" t="s">
        <v>113</v>
      </c>
      <c r="I639" s="43" t="s">
        <v>115</v>
      </c>
      <c r="J639" s="47" t="s">
        <v>115</v>
      </c>
      <c r="K639" s="38">
        <v>3.0</v>
      </c>
      <c r="L639" s="38">
        <v>20.0</v>
      </c>
      <c r="M639" s="38" t="str">
        <f>IFERROR(__xludf.DUMMYFUNCTION("""COMPUTED_VALUE"""),"General Sparepart")</f>
        <v>General Sparepart</v>
      </c>
      <c r="N639" s="38">
        <v>24.0</v>
      </c>
      <c r="O639" s="40">
        <v>46260.0</v>
      </c>
      <c r="P639" s="38" t="s">
        <v>126</v>
      </c>
      <c r="Q639" s="42">
        <v>12.0</v>
      </c>
      <c r="R639" s="42">
        <v>2.1818181818181817</v>
      </c>
      <c r="S639" s="38">
        <v>20.0</v>
      </c>
      <c r="T639" s="42">
        <v>9.054545454545453</v>
      </c>
      <c r="U639" s="46">
        <v>20.0</v>
      </c>
    </row>
    <row r="640">
      <c r="A640" s="43" t="s">
        <v>1569</v>
      </c>
      <c r="B640" s="47" t="s">
        <v>1570</v>
      </c>
      <c r="C640" s="43" t="s">
        <v>80</v>
      </c>
      <c r="D640" s="43">
        <v>5.0</v>
      </c>
      <c r="E640" s="43">
        <v>13.0</v>
      </c>
      <c r="F640" s="44">
        <f>IFERROR(__xludf.DUMMYFUNCTION("""COMPUTED_VALUE"""),0.0)</f>
        <v>0</v>
      </c>
      <c r="G640" s="44" t="s">
        <v>112</v>
      </c>
      <c r="H640" s="43" t="s">
        <v>113</v>
      </c>
      <c r="I640" s="43" t="s">
        <v>115</v>
      </c>
      <c r="J640" s="47" t="s">
        <v>115</v>
      </c>
      <c r="K640" s="38">
        <v>2.0</v>
      </c>
      <c r="L640" s="38">
        <v>13.0</v>
      </c>
      <c r="M640" s="38" t="str">
        <f>IFERROR(__xludf.DUMMYFUNCTION("""COMPUTED_VALUE"""),"Fast Moving / Consumable")</f>
        <v>Fast Moving / Consumable</v>
      </c>
      <c r="N640" s="38">
        <v>18.0</v>
      </c>
      <c r="O640" s="40">
        <v>46260.0</v>
      </c>
      <c r="P640" s="38" t="s">
        <v>126</v>
      </c>
      <c r="Q640" s="42">
        <v>16.0</v>
      </c>
      <c r="R640" s="42">
        <v>5.181818181818182</v>
      </c>
      <c r="S640" s="38">
        <v>13.0</v>
      </c>
      <c r="T640" s="42">
        <v>12.754545454545454</v>
      </c>
      <c r="U640" s="46">
        <v>13.0</v>
      </c>
    </row>
    <row r="641">
      <c r="A641" s="43" t="s">
        <v>1571</v>
      </c>
      <c r="B641" s="47" t="s">
        <v>1572</v>
      </c>
      <c r="C641" s="43" t="s">
        <v>84</v>
      </c>
      <c r="D641" s="43">
        <v>2.0</v>
      </c>
      <c r="E641" s="43">
        <v>3.0</v>
      </c>
      <c r="F641" s="44">
        <f>IFERROR(__xludf.DUMMYFUNCTION("""COMPUTED_VALUE"""),0.0)</f>
        <v>0</v>
      </c>
      <c r="G641" s="44" t="s">
        <v>112</v>
      </c>
      <c r="H641" s="43" t="s">
        <v>113</v>
      </c>
      <c r="I641" s="43" t="s">
        <v>115</v>
      </c>
      <c r="J641" s="47" t="s">
        <v>115</v>
      </c>
      <c r="K641" s="38">
        <v>1.0</v>
      </c>
      <c r="L641" s="38">
        <v>3.0</v>
      </c>
      <c r="M641" s="38" t="str">
        <f>IFERROR(__xludf.DUMMYFUNCTION("""COMPUTED_VALUE"""),"General Sparepart")</f>
        <v>General Sparepart</v>
      </c>
      <c r="N641" s="38">
        <v>24.0</v>
      </c>
      <c r="O641" s="40">
        <v>46112.0</v>
      </c>
      <c r="P641" s="38" t="s">
        <v>126</v>
      </c>
      <c r="Q641" s="42">
        <v>3.0</v>
      </c>
      <c r="R641" s="42">
        <v>0.2727272727272727</v>
      </c>
      <c r="S641" s="38">
        <v>2.0</v>
      </c>
      <c r="T641" s="42">
        <v>2.1818181818181817</v>
      </c>
      <c r="U641" s="42">
        <v>2.1818181818181817</v>
      </c>
    </row>
    <row r="642">
      <c r="A642" s="43" t="s">
        <v>1573</v>
      </c>
      <c r="B642" s="47" t="s">
        <v>1574</v>
      </c>
      <c r="C642" s="43" t="s">
        <v>84</v>
      </c>
      <c r="D642" s="43">
        <v>2.0</v>
      </c>
      <c r="E642" s="43">
        <v>5.0</v>
      </c>
      <c r="F642" s="44">
        <f>IFERROR(__xludf.DUMMYFUNCTION("""COMPUTED_VALUE"""),11.0)</f>
        <v>11</v>
      </c>
      <c r="G642" s="44" t="s">
        <v>122</v>
      </c>
      <c r="H642" s="43" t="s">
        <v>113</v>
      </c>
      <c r="I642" s="43" t="s">
        <v>115</v>
      </c>
      <c r="J642" s="47" t="s">
        <v>115</v>
      </c>
      <c r="K642" s="38">
        <v>1.0</v>
      </c>
      <c r="L642" s="38">
        <v>4.0</v>
      </c>
      <c r="M642" s="38" t="str">
        <f>IFERROR(__xludf.DUMMYFUNCTION("""COMPUTED_VALUE"""),"General Sparepart")</f>
        <v>General Sparepart</v>
      </c>
      <c r="N642" s="38">
        <v>24.0</v>
      </c>
      <c r="O642" s="40">
        <v>45863.0</v>
      </c>
      <c r="P642" s="38" t="s">
        <v>126</v>
      </c>
      <c r="Q642" s="42">
        <v>5.0</v>
      </c>
      <c r="R642" s="42">
        <v>1.6363636363636362</v>
      </c>
      <c r="S642" s="38">
        <v>0.0</v>
      </c>
      <c r="T642" s="42">
        <v>3.9909090909090907</v>
      </c>
      <c r="U642" s="42">
        <v>3.9909090909090907</v>
      </c>
    </row>
    <row r="643">
      <c r="A643" s="43" t="s">
        <v>1575</v>
      </c>
      <c r="B643" s="47" t="s">
        <v>1576</v>
      </c>
      <c r="C643" s="43" t="s">
        <v>77</v>
      </c>
      <c r="D643" s="43">
        <v>1.0</v>
      </c>
      <c r="E643" s="43">
        <v>2.0</v>
      </c>
      <c r="F643" s="44">
        <f>IFERROR(__xludf.DUMMYFUNCTION("""COMPUTED_VALUE"""),1.0)</f>
        <v>1</v>
      </c>
      <c r="G643" s="44" t="s">
        <v>125</v>
      </c>
      <c r="H643" s="43" t="s">
        <v>113</v>
      </c>
      <c r="I643" s="43" t="s">
        <v>115</v>
      </c>
      <c r="J643" s="47" t="s">
        <v>115</v>
      </c>
      <c r="K643" s="38">
        <v>1.0</v>
      </c>
      <c r="L643" s="38">
        <v>2.0</v>
      </c>
      <c r="M643" s="38" t="str">
        <f>IFERROR(__xludf.DUMMYFUNCTION("""COMPUTED_VALUE"""),"Critical Sparepart")</f>
        <v>Critical Sparepart</v>
      </c>
      <c r="N643" s="38">
        <v>36.0</v>
      </c>
      <c r="O643" s="40">
        <v>46171.0</v>
      </c>
      <c r="P643" s="38" t="s">
        <v>126</v>
      </c>
      <c r="Q643" s="42">
        <v>0.0</v>
      </c>
      <c r="R643" s="42">
        <v>0.2727272727272727</v>
      </c>
      <c r="S643" s="38">
        <v>2.0</v>
      </c>
      <c r="T643" s="42">
        <v>0.0818181818181818</v>
      </c>
      <c r="U643" s="46">
        <v>2.0</v>
      </c>
    </row>
    <row r="644">
      <c r="A644" s="43" t="s">
        <v>1577</v>
      </c>
      <c r="B644" s="47" t="s">
        <v>1578</v>
      </c>
      <c r="C644" s="43" t="s">
        <v>80</v>
      </c>
      <c r="D644" s="43">
        <v>1.0</v>
      </c>
      <c r="E644" s="43">
        <v>5.0</v>
      </c>
      <c r="F644" s="44">
        <f>IFERROR(__xludf.DUMMYFUNCTION("""COMPUTED_VALUE"""),3.0)</f>
        <v>3</v>
      </c>
      <c r="G644" s="44" t="s">
        <v>122</v>
      </c>
      <c r="H644" s="43" t="s">
        <v>113</v>
      </c>
      <c r="I644" s="43" t="s">
        <v>115</v>
      </c>
      <c r="J644" s="47" t="s">
        <v>115</v>
      </c>
      <c r="K644" s="38">
        <v>1.0</v>
      </c>
      <c r="L644" s="38">
        <v>4.0</v>
      </c>
      <c r="M644" s="38" t="str">
        <f>IFERROR(__xludf.DUMMYFUNCTION("""COMPUTED_VALUE"""),"Critical Sparepart")</f>
        <v>Critical Sparepart</v>
      </c>
      <c r="N644" s="38">
        <v>36.0</v>
      </c>
      <c r="O644" s="40">
        <v>45993.0</v>
      </c>
      <c r="P644" s="38" t="s">
        <v>126</v>
      </c>
      <c r="Q644" s="42">
        <v>4.0</v>
      </c>
      <c r="R644" s="42">
        <v>0.0</v>
      </c>
      <c r="S644" s="38">
        <v>3.0</v>
      </c>
      <c r="T644" s="42">
        <v>4.0</v>
      </c>
      <c r="U644" s="42">
        <v>4.0</v>
      </c>
    </row>
    <row r="645">
      <c r="A645" s="43" t="s">
        <v>1579</v>
      </c>
      <c r="B645" s="47" t="s">
        <v>1580</v>
      </c>
      <c r="C645" s="43" t="s">
        <v>80</v>
      </c>
      <c r="D645" s="43">
        <v>1.0</v>
      </c>
      <c r="E645" s="43">
        <v>3.0</v>
      </c>
      <c r="F645" s="44">
        <f>IFERROR(__xludf.DUMMYFUNCTION("""COMPUTED_VALUE"""),2.0)</f>
        <v>2</v>
      </c>
      <c r="G645" s="44" t="s">
        <v>122</v>
      </c>
      <c r="H645" s="43" t="s">
        <v>113</v>
      </c>
      <c r="I645" s="43" t="s">
        <v>115</v>
      </c>
      <c r="J645" s="47" t="s">
        <v>115</v>
      </c>
      <c r="K645" s="38">
        <v>1.0</v>
      </c>
      <c r="L645" s="38">
        <v>3.0</v>
      </c>
      <c r="M645" s="38" t="str">
        <f>IFERROR(__xludf.DUMMYFUNCTION("""COMPUTED_VALUE"""),"Critical Sparepart")</f>
        <v>Critical Sparepart</v>
      </c>
      <c r="N645" s="38">
        <v>36.0</v>
      </c>
      <c r="O645" s="40">
        <v>45993.0</v>
      </c>
      <c r="P645" s="38" t="s">
        <v>126</v>
      </c>
      <c r="Q645" s="42">
        <v>3.0</v>
      </c>
      <c r="R645" s="42">
        <v>0.0</v>
      </c>
      <c r="S645" s="38">
        <v>2.0</v>
      </c>
      <c r="T645" s="42">
        <v>3.0</v>
      </c>
      <c r="U645" s="42">
        <v>3.0</v>
      </c>
    </row>
    <row r="646">
      <c r="A646" s="43" t="s">
        <v>1581</v>
      </c>
      <c r="B646" s="47" t="s">
        <v>1582</v>
      </c>
      <c r="C646" s="43" t="s">
        <v>74</v>
      </c>
      <c r="D646" s="43">
        <v>1.0</v>
      </c>
      <c r="E646" s="43">
        <v>3.0</v>
      </c>
      <c r="F646" s="44">
        <f>IFERROR(__xludf.DUMMYFUNCTION("""COMPUTED_VALUE"""),0.0)</f>
        <v>0</v>
      </c>
      <c r="G646" s="44" t="s">
        <v>112</v>
      </c>
      <c r="H646" s="43" t="s">
        <v>113</v>
      </c>
      <c r="I646" s="43" t="s">
        <v>115</v>
      </c>
      <c r="J646" s="47" t="s">
        <v>115</v>
      </c>
      <c r="K646" s="38">
        <v>1.0</v>
      </c>
      <c r="L646" s="38">
        <v>9.0</v>
      </c>
      <c r="M646" s="38" t="str">
        <f>IFERROR(__xludf.DUMMYFUNCTION("""COMPUTED_VALUE"""),"Fast Moving / Consumable")</f>
        <v>Fast Moving / Consumable</v>
      </c>
      <c r="N646" s="38">
        <v>18.0</v>
      </c>
      <c r="O646" s="40">
        <v>46260.0</v>
      </c>
      <c r="P646" s="38" t="s">
        <v>126</v>
      </c>
      <c r="Q646" s="42">
        <v>12.0</v>
      </c>
      <c r="R646" s="42">
        <v>0.5454545454545454</v>
      </c>
      <c r="S646" s="38">
        <v>2.0</v>
      </c>
      <c r="T646" s="42">
        <v>8.563636363636363</v>
      </c>
      <c r="U646" s="42">
        <v>8.563636363636363</v>
      </c>
    </row>
    <row r="647">
      <c r="A647" s="43" t="s">
        <v>1583</v>
      </c>
      <c r="B647" s="47" t="s">
        <v>1584</v>
      </c>
      <c r="C647" s="43" t="s">
        <v>48</v>
      </c>
      <c r="D647" s="43">
        <v>1.0</v>
      </c>
      <c r="E647" s="43">
        <v>3.0</v>
      </c>
      <c r="F647" s="44">
        <f>IFERROR(__xludf.DUMMYFUNCTION("""COMPUTED_VALUE"""),0.0)</f>
        <v>0</v>
      </c>
      <c r="G647" s="44" t="s">
        <v>112</v>
      </c>
      <c r="H647" s="43" t="s">
        <v>113</v>
      </c>
      <c r="I647" s="43" t="s">
        <v>115</v>
      </c>
      <c r="J647" s="47" t="s">
        <v>115</v>
      </c>
      <c r="K647" s="38">
        <v>1.0</v>
      </c>
      <c r="L647" s="38">
        <v>6.0</v>
      </c>
      <c r="M647" s="38" t="str">
        <f>IFERROR(__xludf.DUMMYFUNCTION("""COMPUTED_VALUE"""),"Critical Sparepart")</f>
        <v>Critical Sparepart</v>
      </c>
      <c r="N647" s="38">
        <v>36.0</v>
      </c>
      <c r="O647" s="40">
        <v>46205.0</v>
      </c>
      <c r="P647" s="38" t="s">
        <v>126</v>
      </c>
      <c r="Q647" s="42">
        <v>6.0</v>
      </c>
      <c r="R647" s="42">
        <v>0.0</v>
      </c>
      <c r="S647" s="38">
        <v>1.0</v>
      </c>
      <c r="T647" s="42">
        <v>6.0</v>
      </c>
      <c r="U647" s="42">
        <v>6.0</v>
      </c>
    </row>
    <row r="648">
      <c r="A648" s="43" t="s">
        <v>1585</v>
      </c>
      <c r="B648" s="47" t="s">
        <v>1586</v>
      </c>
      <c r="C648" s="43" t="s">
        <v>48</v>
      </c>
      <c r="D648" s="43">
        <v>5.0</v>
      </c>
      <c r="E648" s="43">
        <v>15.0</v>
      </c>
      <c r="F648" s="44">
        <f>IFERROR(__xludf.DUMMYFUNCTION("""COMPUTED_VALUE"""),0.0)</f>
        <v>0</v>
      </c>
      <c r="G648" s="44" t="s">
        <v>112</v>
      </c>
      <c r="H648" s="43" t="s">
        <v>113</v>
      </c>
      <c r="I648" s="43" t="s">
        <v>115</v>
      </c>
      <c r="J648" s="47" t="s">
        <v>115</v>
      </c>
      <c r="K648" s="38">
        <v>4.0</v>
      </c>
      <c r="L648" s="38">
        <v>30.0</v>
      </c>
      <c r="M648" s="38" t="str">
        <f>IFERROR(__xludf.DUMMYFUNCTION("""COMPUTED_VALUE"""),"Critical Sparepart")</f>
        <v>Critical Sparepart</v>
      </c>
      <c r="N648" s="38">
        <v>36.0</v>
      </c>
      <c r="O648" s="40">
        <v>46205.0</v>
      </c>
      <c r="P648" s="38" t="s">
        <v>126</v>
      </c>
      <c r="Q648" s="42">
        <v>30.0</v>
      </c>
      <c r="R648" s="42">
        <v>0.0</v>
      </c>
      <c r="S648" s="38">
        <v>5.0</v>
      </c>
      <c r="T648" s="42">
        <v>30.0</v>
      </c>
      <c r="U648" s="42">
        <v>30.0</v>
      </c>
    </row>
    <row r="649">
      <c r="A649" s="43" t="s">
        <v>1587</v>
      </c>
      <c r="B649" s="47" t="s">
        <v>1588</v>
      </c>
      <c r="C649" s="43" t="s">
        <v>48</v>
      </c>
      <c r="D649" s="43">
        <v>5.0</v>
      </c>
      <c r="E649" s="43">
        <v>15.0</v>
      </c>
      <c r="F649" s="44">
        <f>IFERROR(__xludf.DUMMYFUNCTION("""COMPUTED_VALUE"""),0.0)</f>
        <v>0</v>
      </c>
      <c r="G649" s="44" t="s">
        <v>112</v>
      </c>
      <c r="H649" s="43" t="s">
        <v>113</v>
      </c>
      <c r="I649" s="43" t="s">
        <v>115</v>
      </c>
      <c r="J649" s="47" t="s">
        <v>115</v>
      </c>
      <c r="K649" s="38">
        <v>7.0</v>
      </c>
      <c r="L649" s="38">
        <v>60.0</v>
      </c>
      <c r="M649" s="38" t="str">
        <f>IFERROR(__xludf.DUMMYFUNCTION("""COMPUTED_VALUE"""),"Fast Moving / Consumable")</f>
        <v>Fast Moving / Consumable</v>
      </c>
      <c r="N649" s="38">
        <v>18.0</v>
      </c>
      <c r="O649" s="40">
        <v>46205.0</v>
      </c>
      <c r="P649" s="38" t="s">
        <v>126</v>
      </c>
      <c r="Q649" s="42">
        <v>60.0</v>
      </c>
      <c r="R649" s="42">
        <v>0.0</v>
      </c>
      <c r="S649" s="38">
        <v>10.0</v>
      </c>
      <c r="T649" s="42">
        <v>60.0</v>
      </c>
      <c r="U649" s="42">
        <v>60.0</v>
      </c>
    </row>
    <row r="650">
      <c r="A650" s="43" t="s">
        <v>1589</v>
      </c>
      <c r="B650" s="47" t="s">
        <v>1590</v>
      </c>
      <c r="C650" s="43" t="s">
        <v>74</v>
      </c>
      <c r="D650" s="43">
        <v>1.0</v>
      </c>
      <c r="E650" s="43">
        <v>2.0</v>
      </c>
      <c r="F650" s="44">
        <f>IFERROR(__xludf.DUMMYFUNCTION("""COMPUTED_VALUE"""),1.0)</f>
        <v>1</v>
      </c>
      <c r="G650" s="44" t="s">
        <v>125</v>
      </c>
      <c r="H650" s="43" t="s">
        <v>113</v>
      </c>
      <c r="I650" s="43" t="s">
        <v>115</v>
      </c>
      <c r="J650" s="47" t="s">
        <v>115</v>
      </c>
      <c r="K650" s="38">
        <v>1.0</v>
      </c>
      <c r="L650" s="38">
        <v>1.0</v>
      </c>
      <c r="M650" s="38" t="str">
        <f>IFERROR(__xludf.DUMMYFUNCTION("""COMPUTED_VALUE"""),"General Sparepart")</f>
        <v>General Sparepart</v>
      </c>
      <c r="N650" s="38">
        <v>24.0</v>
      </c>
      <c r="O650" s="40">
        <v>46204.0</v>
      </c>
      <c r="P650" s="38" t="s">
        <v>126</v>
      </c>
      <c r="Q650" s="42">
        <v>1.0</v>
      </c>
      <c r="R650" s="42">
        <v>0.5454545454545454</v>
      </c>
      <c r="S650" s="38">
        <v>1.0</v>
      </c>
      <c r="T650" s="42">
        <v>0.8636363636363635</v>
      </c>
      <c r="U650" s="46">
        <v>1.0</v>
      </c>
    </row>
    <row r="651">
      <c r="A651" s="43" t="s">
        <v>1591</v>
      </c>
      <c r="B651" s="47" t="s">
        <v>1592</v>
      </c>
      <c r="C651" s="43" t="s">
        <v>78</v>
      </c>
      <c r="D651" s="43">
        <v>2.0</v>
      </c>
      <c r="E651" s="43">
        <v>15.0</v>
      </c>
      <c r="F651" s="44">
        <f>IFERROR(__xludf.DUMMYFUNCTION("""COMPUTED_VALUE"""),3.0)</f>
        <v>3</v>
      </c>
      <c r="G651" s="44" t="s">
        <v>122</v>
      </c>
      <c r="H651" s="43" t="s">
        <v>113</v>
      </c>
      <c r="I651" s="43" t="s">
        <v>115</v>
      </c>
      <c r="J651" s="47" t="s">
        <v>115</v>
      </c>
      <c r="K651" s="38">
        <v>2.0</v>
      </c>
      <c r="L651" s="38">
        <v>12.0</v>
      </c>
      <c r="M651" s="38" t="str">
        <f>IFERROR(__xludf.DUMMYFUNCTION("""COMPUTED_VALUE"""),"General Sparepart")</f>
        <v>General Sparepart</v>
      </c>
      <c r="N651" s="38">
        <v>24.0</v>
      </c>
      <c r="O651" s="40">
        <v>46260.0</v>
      </c>
      <c r="P651" s="38" t="s">
        <v>126</v>
      </c>
      <c r="Q651" s="42">
        <v>9.0</v>
      </c>
      <c r="R651" s="42">
        <v>5.181818181818182</v>
      </c>
      <c r="S651" s="38">
        <v>12.0</v>
      </c>
      <c r="T651" s="42">
        <v>7.8545454545454545</v>
      </c>
      <c r="U651" s="46">
        <v>12.0</v>
      </c>
    </row>
    <row r="652">
      <c r="A652" s="43" t="s">
        <v>1593</v>
      </c>
      <c r="B652" s="47" t="s">
        <v>1594</v>
      </c>
      <c r="C652" s="43" t="s">
        <v>86</v>
      </c>
      <c r="D652" s="43">
        <v>1.0</v>
      </c>
      <c r="E652" s="43">
        <v>2.0</v>
      </c>
      <c r="F652" s="44">
        <f>IFERROR(__xludf.DUMMYFUNCTION("""COMPUTED_VALUE"""),0.0)</f>
        <v>0</v>
      </c>
      <c r="G652" s="44" t="s">
        <v>112</v>
      </c>
      <c r="H652" s="43" t="s">
        <v>113</v>
      </c>
      <c r="I652" s="43" t="s">
        <v>115</v>
      </c>
      <c r="J652" s="47" t="s">
        <v>115</v>
      </c>
      <c r="K652" s="38">
        <v>2.0</v>
      </c>
      <c r="L652" s="38">
        <v>12.0</v>
      </c>
      <c r="M652" s="38" t="str">
        <f>IFERROR(__xludf.DUMMYFUNCTION("""COMPUTED_VALUE"""),"Critical Sparepart")</f>
        <v>Critical Sparepart</v>
      </c>
      <c r="N652" s="38">
        <v>36.0</v>
      </c>
      <c r="O652" s="40">
        <v>46195.0</v>
      </c>
      <c r="P652" s="38" t="s">
        <v>126</v>
      </c>
      <c r="Q652" s="42">
        <v>12.0</v>
      </c>
      <c r="R652" s="42">
        <v>0.0</v>
      </c>
      <c r="S652" s="38">
        <v>2.0</v>
      </c>
      <c r="T652" s="42">
        <v>12.0</v>
      </c>
      <c r="U652" s="42">
        <v>12.0</v>
      </c>
    </row>
    <row r="653">
      <c r="A653" s="43" t="s">
        <v>1595</v>
      </c>
      <c r="B653" s="47" t="s">
        <v>1596</v>
      </c>
      <c r="C653" s="43" t="s">
        <v>86</v>
      </c>
      <c r="D653" s="43">
        <v>5.0</v>
      </c>
      <c r="E653" s="43">
        <v>50.0</v>
      </c>
      <c r="F653" s="44">
        <f>IFERROR(__xludf.DUMMYFUNCTION("""COMPUTED_VALUE"""),26.0)</f>
        <v>26</v>
      </c>
      <c r="G653" s="44" t="s">
        <v>122</v>
      </c>
      <c r="H653" s="43" t="s">
        <v>113</v>
      </c>
      <c r="I653" s="43" t="s">
        <v>115</v>
      </c>
      <c r="J653" s="47" t="s">
        <v>115</v>
      </c>
      <c r="K653" s="38">
        <v>5.0</v>
      </c>
      <c r="L653" s="38">
        <v>43.0</v>
      </c>
      <c r="M653" s="38" t="str">
        <f>IFERROR(__xludf.DUMMYFUNCTION("""COMPUTED_VALUE"""),"General Sparepart")</f>
        <v>General Sparepart</v>
      </c>
      <c r="N653" s="38">
        <v>24.0</v>
      </c>
      <c r="O653" s="40">
        <v>46260.0</v>
      </c>
      <c r="P653" s="38" t="s">
        <v>126</v>
      </c>
      <c r="Q653" s="42">
        <v>56.0</v>
      </c>
      <c r="R653" s="42">
        <v>12.0</v>
      </c>
      <c r="S653" s="38">
        <v>30.0</v>
      </c>
      <c r="T653" s="42">
        <v>42.8</v>
      </c>
      <c r="U653" s="42">
        <v>42.8</v>
      </c>
    </row>
    <row r="654">
      <c r="A654" s="43" t="s">
        <v>1597</v>
      </c>
      <c r="B654" s="47" t="s">
        <v>1598</v>
      </c>
      <c r="C654" s="43" t="s">
        <v>86</v>
      </c>
      <c r="D654" s="43">
        <v>10.0</v>
      </c>
      <c r="E654" s="43">
        <v>60.0</v>
      </c>
      <c r="F654" s="44">
        <f>IFERROR(__xludf.DUMMYFUNCTION("""COMPUTED_VALUE"""),37.0)</f>
        <v>37</v>
      </c>
      <c r="G654" s="44" t="s">
        <v>122</v>
      </c>
      <c r="H654" s="43" t="s">
        <v>113</v>
      </c>
      <c r="I654" s="43" t="s">
        <v>115</v>
      </c>
      <c r="J654" s="47" t="s">
        <v>115</v>
      </c>
      <c r="K654" s="38">
        <v>5.0</v>
      </c>
      <c r="L654" s="38">
        <v>41.0</v>
      </c>
      <c r="M654" s="38" t="str">
        <f>IFERROR(__xludf.DUMMYFUNCTION("""COMPUTED_VALUE"""),"General Sparepart")</f>
        <v>General Sparepart</v>
      </c>
      <c r="N654" s="38">
        <v>24.0</v>
      </c>
      <c r="O654" s="40">
        <v>46260.0</v>
      </c>
      <c r="P654" s="38" t="s">
        <v>126</v>
      </c>
      <c r="Q654" s="42">
        <v>44.0</v>
      </c>
      <c r="R654" s="42">
        <v>32.45454545454545</v>
      </c>
      <c r="S654" s="38">
        <v>40.0</v>
      </c>
      <c r="T654" s="42">
        <v>40.53636363636363</v>
      </c>
      <c r="U654" s="42">
        <v>40.53636363636363</v>
      </c>
    </row>
    <row r="655">
      <c r="A655" s="43" t="s">
        <v>1599</v>
      </c>
      <c r="B655" s="47" t="s">
        <v>1600</v>
      </c>
      <c r="C655" s="43" t="s">
        <v>48</v>
      </c>
      <c r="D655" s="43">
        <v>1.0</v>
      </c>
      <c r="E655" s="43">
        <v>3.0</v>
      </c>
      <c r="F655" s="44">
        <f>IFERROR(__xludf.DUMMYFUNCTION("""COMPUTED_VALUE"""),0.0)</f>
        <v>0</v>
      </c>
      <c r="G655" s="44" t="s">
        <v>112</v>
      </c>
      <c r="H655" s="43" t="s">
        <v>113</v>
      </c>
      <c r="I655" s="43" t="s">
        <v>115</v>
      </c>
      <c r="J655" s="47" t="s">
        <v>115</v>
      </c>
      <c r="K655" s="38">
        <v>1.0</v>
      </c>
      <c r="L655" s="38">
        <v>5.0</v>
      </c>
      <c r="M655" s="38" t="str">
        <f>IFERROR(__xludf.DUMMYFUNCTION("""COMPUTED_VALUE"""),"Critical Sparepart")</f>
        <v>Critical Sparepart</v>
      </c>
      <c r="N655" s="38">
        <v>36.0</v>
      </c>
      <c r="O655" s="40">
        <v>46147.0</v>
      </c>
      <c r="P655" s="38" t="s">
        <v>126</v>
      </c>
      <c r="Q655" s="42">
        <v>6.0</v>
      </c>
      <c r="R655" s="42">
        <v>0.2727272727272727</v>
      </c>
      <c r="S655" s="38">
        <v>2.0</v>
      </c>
      <c r="T655" s="42">
        <v>4.281818181818181</v>
      </c>
      <c r="U655" s="42">
        <v>4.281818181818181</v>
      </c>
    </row>
    <row r="656">
      <c r="A656" s="43" t="s">
        <v>1601</v>
      </c>
      <c r="B656" s="47" t="s">
        <v>1602</v>
      </c>
      <c r="C656" s="43" t="s">
        <v>48</v>
      </c>
      <c r="D656" s="43">
        <v>5.0</v>
      </c>
      <c r="E656" s="43">
        <v>15.0</v>
      </c>
      <c r="F656" s="44">
        <f>IFERROR(__xludf.DUMMYFUNCTION("""COMPUTED_VALUE"""),5.0)</f>
        <v>5</v>
      </c>
      <c r="G656" s="44" t="s">
        <v>125</v>
      </c>
      <c r="H656" s="43" t="s">
        <v>113</v>
      </c>
      <c r="I656" s="43" t="s">
        <v>115</v>
      </c>
      <c r="J656" s="47" t="s">
        <v>115</v>
      </c>
      <c r="K656" s="38">
        <v>2.0</v>
      </c>
      <c r="L656" s="38">
        <v>13.0</v>
      </c>
      <c r="M656" s="38" t="str">
        <f>IFERROR(__xludf.DUMMYFUNCTION("""COMPUTED_VALUE"""),"Critical Sparepart")</f>
        <v>Critical Sparepart</v>
      </c>
      <c r="N656" s="38">
        <v>36.0</v>
      </c>
      <c r="O656" s="40">
        <v>46147.0</v>
      </c>
      <c r="P656" s="38" t="s">
        <v>126</v>
      </c>
      <c r="Q656" s="42">
        <v>13.0</v>
      </c>
      <c r="R656" s="42">
        <v>0.0</v>
      </c>
      <c r="S656" s="38">
        <v>10.0</v>
      </c>
      <c r="T656" s="42">
        <v>13.0</v>
      </c>
      <c r="U656" s="42">
        <v>13.0</v>
      </c>
    </row>
    <row r="657">
      <c r="A657" s="43" t="s">
        <v>1603</v>
      </c>
      <c r="B657" s="47" t="s">
        <v>1604</v>
      </c>
      <c r="C657" s="43" t="s">
        <v>48</v>
      </c>
      <c r="D657" s="43">
        <v>1.0</v>
      </c>
      <c r="E657" s="43">
        <v>10.0</v>
      </c>
      <c r="F657" s="44">
        <f>IFERROR(__xludf.DUMMYFUNCTION("""COMPUTED_VALUE"""),8.0)</f>
        <v>8</v>
      </c>
      <c r="G657" s="44" t="s">
        <v>122</v>
      </c>
      <c r="H657" s="43" t="s">
        <v>113</v>
      </c>
      <c r="I657" s="43" t="s">
        <v>115</v>
      </c>
      <c r="J657" s="47" t="s">
        <v>115</v>
      </c>
      <c r="K657" s="38">
        <v>2.0</v>
      </c>
      <c r="L657" s="38">
        <v>13.0</v>
      </c>
      <c r="M657" s="38" t="str">
        <f>IFERROR(__xludf.DUMMYFUNCTION("""COMPUTED_VALUE"""),"Critical Sparepart")</f>
        <v>Critical Sparepart</v>
      </c>
      <c r="N657" s="38">
        <v>36.0</v>
      </c>
      <c r="O657" s="40">
        <v>46147.0</v>
      </c>
      <c r="P657" s="38" t="s">
        <v>126</v>
      </c>
      <c r="Q657" s="42">
        <v>17.0</v>
      </c>
      <c r="R657" s="42">
        <v>0.2727272727272727</v>
      </c>
      <c r="S657" s="38">
        <v>13.0</v>
      </c>
      <c r="T657" s="42">
        <v>11.98181818181818</v>
      </c>
      <c r="U657" s="46">
        <v>13.0</v>
      </c>
    </row>
    <row r="658">
      <c r="A658" s="43" t="s">
        <v>1605</v>
      </c>
      <c r="B658" s="47" t="s">
        <v>1606</v>
      </c>
      <c r="C658" s="43" t="s">
        <v>82</v>
      </c>
      <c r="D658" s="43">
        <v>1.0</v>
      </c>
      <c r="E658" s="43">
        <v>3.0</v>
      </c>
      <c r="F658" s="44">
        <f>IFERROR(__xludf.DUMMYFUNCTION("""COMPUTED_VALUE"""),1.0)</f>
        <v>1</v>
      </c>
      <c r="G658" s="44" t="s">
        <v>125</v>
      </c>
      <c r="H658" s="43" t="s">
        <v>113</v>
      </c>
      <c r="I658" s="43" t="s">
        <v>115</v>
      </c>
      <c r="J658" s="47" t="s">
        <v>115</v>
      </c>
      <c r="K658" s="38">
        <v>1.0</v>
      </c>
      <c r="L658" s="38">
        <v>3.0</v>
      </c>
      <c r="M658" s="38" t="str">
        <f>IFERROR(__xludf.DUMMYFUNCTION("""COMPUTED_VALUE"""),"General Sparepart")</f>
        <v>General Sparepart</v>
      </c>
      <c r="N658" s="38">
        <v>24.0</v>
      </c>
      <c r="O658" s="40">
        <v>46135.0</v>
      </c>
      <c r="P658" s="38" t="s">
        <v>126</v>
      </c>
      <c r="Q658" s="42">
        <v>3.0</v>
      </c>
      <c r="R658" s="42">
        <v>0.0</v>
      </c>
      <c r="S658" s="38">
        <v>1.0</v>
      </c>
      <c r="T658" s="42">
        <v>3.0</v>
      </c>
      <c r="U658" s="42">
        <v>3.0</v>
      </c>
    </row>
    <row r="659">
      <c r="A659" s="29" t="s">
        <v>1607</v>
      </c>
      <c r="B659" s="29" t="s">
        <v>1608</v>
      </c>
      <c r="C659" s="29" t="s">
        <v>92</v>
      </c>
      <c r="D659" s="43">
        <v>1.0</v>
      </c>
      <c r="E659" s="43">
        <v>1.0</v>
      </c>
      <c r="F659" s="44">
        <f>IFERROR(__xludf.DUMMYFUNCTION("""COMPUTED_VALUE"""),1.0)</f>
        <v>1</v>
      </c>
      <c r="G659" s="44" t="s">
        <v>125</v>
      </c>
      <c r="H659" s="29" t="s">
        <v>113</v>
      </c>
      <c r="I659" s="43" t="s">
        <v>115</v>
      </c>
      <c r="J659" s="47" t="s">
        <v>115</v>
      </c>
      <c r="K659" s="38">
        <v>1.0</v>
      </c>
      <c r="L659" s="38">
        <v>1.0</v>
      </c>
      <c r="M659" s="38" t="str">
        <f>IFERROR(__xludf.DUMMYFUNCTION("""COMPUTED_VALUE"""),"Critical Sparepart")</f>
        <v>Critical Sparepart</v>
      </c>
      <c r="N659" s="38">
        <v>36.0</v>
      </c>
      <c r="O659" s="40">
        <v>45961.0</v>
      </c>
      <c r="P659" s="38" t="s">
        <v>126</v>
      </c>
      <c r="Q659" s="42">
        <v>1.0</v>
      </c>
      <c r="R659" s="42">
        <v>0.2727272727272727</v>
      </c>
      <c r="S659" s="38">
        <v>0.0</v>
      </c>
      <c r="T659" s="42">
        <v>0.7818181818181817</v>
      </c>
      <c r="U659" s="42">
        <v>0.7818181818181817</v>
      </c>
    </row>
    <row r="660">
      <c r="A660" s="29" t="s">
        <v>1609</v>
      </c>
      <c r="B660" s="29" t="s">
        <v>1610</v>
      </c>
      <c r="C660" s="29" t="s">
        <v>92</v>
      </c>
      <c r="D660" s="43">
        <v>1.0</v>
      </c>
      <c r="E660" s="43">
        <v>1.0</v>
      </c>
      <c r="F660" s="44">
        <f>IFERROR(__xludf.DUMMYFUNCTION("""COMPUTED_VALUE"""),0.0)</f>
        <v>0</v>
      </c>
      <c r="G660" s="44" t="s">
        <v>112</v>
      </c>
      <c r="H660" s="29" t="s">
        <v>113</v>
      </c>
      <c r="I660" s="43" t="s">
        <v>115</v>
      </c>
      <c r="J660" s="47" t="s">
        <v>115</v>
      </c>
      <c r="K660" s="38">
        <v>1.0</v>
      </c>
      <c r="L660" s="38">
        <v>1.0</v>
      </c>
      <c r="M660" s="38" t="str">
        <f>IFERROR(__xludf.DUMMYFUNCTION("""COMPUTED_VALUE"""),"Critical Sparepart")</f>
        <v>Critical Sparepart</v>
      </c>
      <c r="N660" s="38">
        <v>36.0</v>
      </c>
      <c r="O660" s="40">
        <v>46247.0</v>
      </c>
      <c r="P660" s="38" t="s">
        <v>126</v>
      </c>
      <c r="Q660" s="42">
        <v>1.0</v>
      </c>
      <c r="R660" s="42">
        <v>0.5454545454545454</v>
      </c>
      <c r="S660" s="38">
        <v>1.0</v>
      </c>
      <c r="T660" s="42">
        <v>0.8636363636363635</v>
      </c>
      <c r="U660" s="46">
        <v>1.0</v>
      </c>
    </row>
    <row r="661">
      <c r="A661" s="29" t="s">
        <v>1611</v>
      </c>
      <c r="B661" s="29" t="s">
        <v>1612</v>
      </c>
      <c r="C661" s="29" t="s">
        <v>92</v>
      </c>
      <c r="D661" s="43">
        <v>2.0</v>
      </c>
      <c r="E661" s="43">
        <v>5.0</v>
      </c>
      <c r="F661" s="44">
        <f>IFERROR(__xludf.DUMMYFUNCTION("""COMPUTED_VALUE"""),0.0)</f>
        <v>0</v>
      </c>
      <c r="G661" s="44" t="s">
        <v>112</v>
      </c>
      <c r="H661" s="29" t="s">
        <v>113</v>
      </c>
      <c r="I661" s="43" t="s">
        <v>115</v>
      </c>
      <c r="J661" s="47" t="s">
        <v>115</v>
      </c>
      <c r="K661" s="38">
        <v>1.0</v>
      </c>
      <c r="L661" s="38">
        <v>5.0</v>
      </c>
      <c r="M661" s="38" t="str">
        <f>IFERROR(__xludf.DUMMYFUNCTION("""COMPUTED_VALUE"""),"Fast Moving / Consumable")</f>
        <v>Fast Moving / Consumable</v>
      </c>
      <c r="N661" s="38">
        <v>18.0</v>
      </c>
      <c r="O661" s="40">
        <v>46147.0</v>
      </c>
      <c r="P661" s="38" t="s">
        <v>126</v>
      </c>
      <c r="Q661" s="42">
        <v>2.0</v>
      </c>
      <c r="R661" s="42">
        <v>0.2727272727272727</v>
      </c>
      <c r="S661" s="38">
        <v>5.0</v>
      </c>
      <c r="T661" s="42">
        <v>1.4818181818181817</v>
      </c>
      <c r="U661" s="46">
        <v>5.0</v>
      </c>
    </row>
    <row r="662">
      <c r="A662" s="29" t="s">
        <v>1613</v>
      </c>
      <c r="B662" s="29" t="s">
        <v>1614</v>
      </c>
      <c r="C662" s="29" t="s">
        <v>92</v>
      </c>
      <c r="D662" s="43">
        <v>1.0</v>
      </c>
      <c r="E662" s="43">
        <v>3.0</v>
      </c>
      <c r="F662" s="44">
        <f>IFERROR(__xludf.DUMMYFUNCTION("""COMPUTED_VALUE"""),6.0)</f>
        <v>6</v>
      </c>
      <c r="G662" s="44" t="s">
        <v>122</v>
      </c>
      <c r="H662" s="29" t="s">
        <v>113</v>
      </c>
      <c r="I662" s="43" t="s">
        <v>115</v>
      </c>
      <c r="J662" s="47" t="s">
        <v>115</v>
      </c>
      <c r="K662" s="38">
        <v>1.0</v>
      </c>
      <c r="L662" s="38">
        <v>3.0</v>
      </c>
      <c r="M662" s="38" t="str">
        <f>IFERROR(__xludf.DUMMYFUNCTION("""COMPUTED_VALUE"""),"General Sparepart")</f>
        <v>General Sparepart</v>
      </c>
      <c r="N662" s="38">
        <v>24.0</v>
      </c>
      <c r="O662" s="40">
        <v>46147.0</v>
      </c>
      <c r="P662" s="38" t="s">
        <v>126</v>
      </c>
      <c r="Q662" s="42">
        <v>3.0</v>
      </c>
      <c r="R662" s="42">
        <v>0.8181818181818181</v>
      </c>
      <c r="S662" s="38">
        <v>3.0</v>
      </c>
      <c r="T662" s="42">
        <v>2.3454545454545452</v>
      </c>
      <c r="U662" s="46">
        <v>3.0</v>
      </c>
    </row>
    <row r="663">
      <c r="A663" s="29" t="s">
        <v>1615</v>
      </c>
      <c r="B663" s="29" t="s">
        <v>1616</v>
      </c>
      <c r="C663" s="29" t="s">
        <v>92</v>
      </c>
      <c r="D663" s="43">
        <v>1.0</v>
      </c>
      <c r="E663" s="43">
        <v>2.0</v>
      </c>
      <c r="F663" s="44">
        <f>IFERROR(__xludf.DUMMYFUNCTION("""COMPUTED_VALUE"""),3.0)</f>
        <v>3</v>
      </c>
      <c r="G663" s="44" t="s">
        <v>122</v>
      </c>
      <c r="H663" s="29" t="s">
        <v>113</v>
      </c>
      <c r="I663" s="43" t="s">
        <v>115</v>
      </c>
      <c r="J663" s="47" t="s">
        <v>115</v>
      </c>
      <c r="K663" s="38">
        <v>1.0</v>
      </c>
      <c r="L663" s="38">
        <v>1.0</v>
      </c>
      <c r="M663" s="38" t="str">
        <f>IFERROR(__xludf.DUMMYFUNCTION("""COMPUTED_VALUE"""),"General Sparepart")</f>
        <v>General Sparepart</v>
      </c>
      <c r="N663" s="38">
        <v>24.0</v>
      </c>
      <c r="O663" s="40">
        <v>45808.0</v>
      </c>
      <c r="P663" s="38" t="s">
        <v>126</v>
      </c>
      <c r="Q663" s="42">
        <v>1.0</v>
      </c>
      <c r="R663" s="42">
        <v>0.8181818181818181</v>
      </c>
      <c r="S663" s="38">
        <v>0.0</v>
      </c>
      <c r="T663" s="42">
        <v>0.9454545454545453</v>
      </c>
      <c r="U663" s="42">
        <v>0.9454545454545453</v>
      </c>
    </row>
    <row r="664">
      <c r="A664" s="29" t="s">
        <v>1617</v>
      </c>
      <c r="B664" s="29" t="s">
        <v>1618</v>
      </c>
      <c r="C664" s="29" t="s">
        <v>92</v>
      </c>
      <c r="D664" s="43">
        <v>1.0</v>
      </c>
      <c r="E664" s="43">
        <v>1.0</v>
      </c>
      <c r="F664" s="44">
        <f>IFERROR(__xludf.DUMMYFUNCTION("""COMPUTED_VALUE"""),0.0)</f>
        <v>0</v>
      </c>
      <c r="G664" s="44" t="s">
        <v>112</v>
      </c>
      <c r="H664" s="29" t="s">
        <v>113</v>
      </c>
      <c r="I664" s="43" t="s">
        <v>115</v>
      </c>
      <c r="J664" s="47" t="s">
        <v>115</v>
      </c>
      <c r="K664" s="38">
        <v>1.0</v>
      </c>
      <c r="L664" s="38">
        <v>1.0</v>
      </c>
      <c r="M664" s="38" t="str">
        <f>IFERROR(__xludf.DUMMYFUNCTION("""COMPUTED_VALUE"""),"Critical Sparepart")</f>
        <v>Critical Sparepart</v>
      </c>
      <c r="N664" s="38">
        <v>36.0</v>
      </c>
      <c r="O664" s="40">
        <v>45348.0</v>
      </c>
      <c r="P664" s="38" t="s">
        <v>126</v>
      </c>
      <c r="Q664" s="42">
        <v>0.0</v>
      </c>
      <c r="R664" s="42">
        <v>0.2727272727272727</v>
      </c>
      <c r="S664" s="38">
        <v>0.0</v>
      </c>
      <c r="T664" s="42">
        <v>0.0818181818181818</v>
      </c>
      <c r="U664" s="42">
        <v>0.0818181818181818</v>
      </c>
    </row>
    <row r="665">
      <c r="A665" s="43" t="s">
        <v>1619</v>
      </c>
      <c r="B665" s="47" t="s">
        <v>1620</v>
      </c>
      <c r="C665" s="43" t="s">
        <v>92</v>
      </c>
      <c r="D665" s="43">
        <v>1.0</v>
      </c>
      <c r="E665" s="43">
        <v>10.0</v>
      </c>
      <c r="F665" s="44">
        <f>IFERROR(__xludf.DUMMYFUNCTION("""COMPUTED_VALUE"""),50.0)</f>
        <v>50</v>
      </c>
      <c r="G665" s="44" t="s">
        <v>122</v>
      </c>
      <c r="H665" s="43" t="s">
        <v>113</v>
      </c>
      <c r="I665" s="43" t="s">
        <v>115</v>
      </c>
      <c r="J665" s="47" t="s">
        <v>115</v>
      </c>
      <c r="K665" s="38">
        <v>6.0</v>
      </c>
      <c r="L665" s="38">
        <v>50.0</v>
      </c>
      <c r="M665" s="38" t="str">
        <f>IFERROR(__xludf.DUMMYFUNCTION("""COMPUTED_VALUE"""),"General Sparepart")</f>
        <v>General Sparepart</v>
      </c>
      <c r="N665" s="38">
        <v>24.0</v>
      </c>
      <c r="O665" s="40">
        <v>46234.0</v>
      </c>
      <c r="P665" s="38" t="s">
        <v>126</v>
      </c>
      <c r="Q665" s="42">
        <v>44.0</v>
      </c>
      <c r="R665" s="42">
        <v>1.3636363636363635</v>
      </c>
      <c r="S665" s="38">
        <v>50.0</v>
      </c>
      <c r="T665" s="42">
        <v>31.209090909090907</v>
      </c>
      <c r="U665" s="46">
        <v>50.0</v>
      </c>
    </row>
    <row r="666">
      <c r="A666" s="43" t="s">
        <v>1621</v>
      </c>
      <c r="B666" s="47" t="s">
        <v>1622</v>
      </c>
      <c r="C666" s="43" t="s">
        <v>92</v>
      </c>
      <c r="D666" s="43">
        <v>3.0</v>
      </c>
      <c r="E666" s="43">
        <v>10.0</v>
      </c>
      <c r="F666" s="44">
        <f>IFERROR(__xludf.DUMMYFUNCTION("""COMPUTED_VALUE"""),10.0)</f>
        <v>10</v>
      </c>
      <c r="G666" s="44" t="s">
        <v>122</v>
      </c>
      <c r="H666" s="43" t="s">
        <v>113</v>
      </c>
      <c r="I666" s="43" t="s">
        <v>115</v>
      </c>
      <c r="J666" s="47" t="s">
        <v>115</v>
      </c>
      <c r="K666" s="38">
        <v>1.0</v>
      </c>
      <c r="L666" s="38">
        <v>7.0</v>
      </c>
      <c r="M666" s="38" t="str">
        <f>IFERROR(__xludf.DUMMYFUNCTION("""COMPUTED_VALUE"""),"General Sparepart")</f>
        <v>General Sparepart</v>
      </c>
      <c r="N666" s="38">
        <v>24.0</v>
      </c>
      <c r="O666" s="40">
        <v>45803.0</v>
      </c>
      <c r="P666" s="38" t="s">
        <v>126</v>
      </c>
      <c r="Q666" s="42">
        <v>8.0</v>
      </c>
      <c r="R666" s="42">
        <v>2.727272727272727</v>
      </c>
      <c r="S666" s="38">
        <v>0.0</v>
      </c>
      <c r="T666" s="42">
        <v>6.418181818181818</v>
      </c>
      <c r="U666" s="42">
        <v>6.418181818181818</v>
      </c>
    </row>
    <row r="667">
      <c r="A667" s="43" t="s">
        <v>1623</v>
      </c>
      <c r="B667" s="47" t="s">
        <v>1624</v>
      </c>
      <c r="C667" s="43" t="s">
        <v>92</v>
      </c>
      <c r="D667" s="43">
        <v>5.0</v>
      </c>
      <c r="E667" s="43">
        <v>20.0</v>
      </c>
      <c r="F667" s="44">
        <f>IFERROR(__xludf.DUMMYFUNCTION("""COMPUTED_VALUE"""),10.0)</f>
        <v>10</v>
      </c>
      <c r="G667" s="44" t="s">
        <v>122</v>
      </c>
      <c r="H667" s="43" t="s">
        <v>113</v>
      </c>
      <c r="I667" s="43" t="s">
        <v>115</v>
      </c>
      <c r="J667" s="47" t="s">
        <v>115</v>
      </c>
      <c r="K667" s="38">
        <v>2.0</v>
      </c>
      <c r="L667" s="38">
        <v>15.0</v>
      </c>
      <c r="M667" s="38" t="str">
        <f>IFERROR(__xludf.DUMMYFUNCTION("""COMPUTED_VALUE"""),"General Sparepart")</f>
        <v>General Sparepart</v>
      </c>
      <c r="N667" s="38">
        <v>24.0</v>
      </c>
      <c r="O667" s="40">
        <v>45989.0</v>
      </c>
      <c r="P667" s="38" t="s">
        <v>126</v>
      </c>
      <c r="Q667" s="42">
        <v>17.0</v>
      </c>
      <c r="R667" s="42">
        <v>8.181818181818182</v>
      </c>
      <c r="S667" s="38">
        <v>0.0</v>
      </c>
      <c r="T667" s="42">
        <v>14.354545454545454</v>
      </c>
      <c r="U667" s="42">
        <v>14.354545454545454</v>
      </c>
    </row>
    <row r="668">
      <c r="A668" s="43" t="s">
        <v>1625</v>
      </c>
      <c r="B668" s="47" t="s">
        <v>1626</v>
      </c>
      <c r="C668" s="43" t="s">
        <v>92</v>
      </c>
      <c r="D668" s="43">
        <v>1.0</v>
      </c>
      <c r="E668" s="43">
        <v>4.0</v>
      </c>
      <c r="F668" s="44">
        <f>IFERROR(__xludf.DUMMYFUNCTION("""COMPUTED_VALUE"""),0.0)</f>
        <v>0</v>
      </c>
      <c r="G668" s="44" t="s">
        <v>112</v>
      </c>
      <c r="H668" s="43" t="s">
        <v>113</v>
      </c>
      <c r="I668" s="43" t="s">
        <v>115</v>
      </c>
      <c r="J668" s="47" t="s">
        <v>115</v>
      </c>
      <c r="K668" s="38">
        <v>0.0</v>
      </c>
      <c r="L668" s="38">
        <v>0.0</v>
      </c>
      <c r="M668" s="38" t="str">
        <f>IFERROR(__xludf.DUMMYFUNCTION("""COMPUTED_VALUE"""),"General Sparepart")</f>
        <v>General Sparepart</v>
      </c>
      <c r="N668" s="38">
        <v>24.0</v>
      </c>
      <c r="O668" s="40">
        <v>45261.0</v>
      </c>
      <c r="P668" s="38" t="s">
        <v>116</v>
      </c>
      <c r="Q668" s="42">
        <v>1.0</v>
      </c>
      <c r="R668" s="42">
        <v>0.5454545454545454</v>
      </c>
      <c r="S668" s="38">
        <v>0.0</v>
      </c>
      <c r="T668" s="42">
        <v>0.8636363636363635</v>
      </c>
      <c r="U668" s="42">
        <v>0.8636363636363635</v>
      </c>
    </row>
    <row r="669">
      <c r="A669" s="43" t="s">
        <v>1627</v>
      </c>
      <c r="B669" s="47" t="s">
        <v>1628</v>
      </c>
      <c r="C669" s="43" t="s">
        <v>92</v>
      </c>
      <c r="D669" s="43">
        <v>1.0</v>
      </c>
      <c r="E669" s="43">
        <v>2.0</v>
      </c>
      <c r="F669" s="44">
        <f>IFERROR(__xludf.DUMMYFUNCTION("""COMPUTED_VALUE"""),0.0)</f>
        <v>0</v>
      </c>
      <c r="G669" s="44" t="s">
        <v>112</v>
      </c>
      <c r="H669" s="43" t="s">
        <v>113</v>
      </c>
      <c r="I669" s="43" t="s">
        <v>115</v>
      </c>
      <c r="J669" s="47" t="s">
        <v>115</v>
      </c>
      <c r="K669" s="38">
        <v>1.0</v>
      </c>
      <c r="L669" s="38">
        <v>2.0</v>
      </c>
      <c r="M669" s="38" t="str">
        <f>IFERROR(__xludf.DUMMYFUNCTION("""COMPUTED_VALUE"""),"Critical Sparepart")</f>
        <v>Critical Sparepart</v>
      </c>
      <c r="N669" s="38">
        <v>36.0</v>
      </c>
      <c r="O669" s="40">
        <v>46247.0</v>
      </c>
      <c r="P669" s="38" t="s">
        <v>126</v>
      </c>
      <c r="Q669" s="42">
        <v>1.0</v>
      </c>
      <c r="R669" s="42">
        <v>1.0909090909090908</v>
      </c>
      <c r="S669" s="38">
        <v>2.0</v>
      </c>
      <c r="T669" s="42">
        <v>1.0272727272727271</v>
      </c>
      <c r="U669" s="46">
        <v>2.0</v>
      </c>
    </row>
    <row r="670">
      <c r="A670" s="43" t="s">
        <v>1629</v>
      </c>
      <c r="B670" s="47" t="s">
        <v>1630</v>
      </c>
      <c r="C670" s="43" t="s">
        <v>92</v>
      </c>
      <c r="D670" s="43">
        <v>1.0</v>
      </c>
      <c r="E670" s="43">
        <v>1.0</v>
      </c>
      <c r="F670" s="44">
        <f>IFERROR(__xludf.DUMMYFUNCTION("""COMPUTED_VALUE"""),2.0)</f>
        <v>2</v>
      </c>
      <c r="G670" s="44" t="s">
        <v>122</v>
      </c>
      <c r="H670" s="43" t="s">
        <v>113</v>
      </c>
      <c r="I670" s="43" t="s">
        <v>115</v>
      </c>
      <c r="J670" s="47" t="s">
        <v>115</v>
      </c>
      <c r="K670" s="38">
        <v>1.0</v>
      </c>
      <c r="L670" s="38">
        <v>1.0</v>
      </c>
      <c r="M670" s="38" t="str">
        <f>IFERROR(__xludf.DUMMYFUNCTION("""COMPUTED_VALUE"""),"Fast Moving / Consumable")</f>
        <v>Fast Moving / Consumable</v>
      </c>
      <c r="N670" s="38">
        <v>18.0</v>
      </c>
      <c r="O670" s="40">
        <v>46217.0</v>
      </c>
      <c r="P670" s="38" t="s">
        <v>126</v>
      </c>
      <c r="Q670" s="42">
        <v>1.0</v>
      </c>
      <c r="R670" s="42">
        <v>0.5454545454545454</v>
      </c>
      <c r="S670" s="38">
        <v>1.0</v>
      </c>
      <c r="T670" s="42">
        <v>0.8636363636363635</v>
      </c>
      <c r="U670" s="46">
        <v>1.0</v>
      </c>
    </row>
    <row r="671">
      <c r="A671" s="43" t="s">
        <v>1631</v>
      </c>
      <c r="B671" s="47" t="s">
        <v>1632</v>
      </c>
      <c r="C671" s="43" t="s">
        <v>92</v>
      </c>
      <c r="D671" s="43">
        <v>3.0</v>
      </c>
      <c r="E671" s="43">
        <v>10.0</v>
      </c>
      <c r="F671" s="44">
        <f>IFERROR(__xludf.DUMMYFUNCTION("""COMPUTED_VALUE"""),22.0)</f>
        <v>22</v>
      </c>
      <c r="G671" s="44" t="s">
        <v>122</v>
      </c>
      <c r="H671" s="43" t="s">
        <v>113</v>
      </c>
      <c r="I671" s="43" t="s">
        <v>115</v>
      </c>
      <c r="J671" s="47" t="s">
        <v>115</v>
      </c>
      <c r="K671" s="38">
        <v>1.0</v>
      </c>
      <c r="L671" s="38">
        <v>6.0</v>
      </c>
      <c r="M671" s="38" t="str">
        <f>IFERROR(__xludf.DUMMYFUNCTION("""COMPUTED_VALUE"""),"Fast Moving / Consumable")</f>
        <v>Fast Moving / Consumable</v>
      </c>
      <c r="N671" s="38">
        <v>18.0</v>
      </c>
      <c r="O671" s="40">
        <v>46112.0</v>
      </c>
      <c r="P671" s="38" t="s">
        <v>126</v>
      </c>
      <c r="Q671" s="42">
        <v>7.0</v>
      </c>
      <c r="R671" s="42">
        <v>2.727272727272727</v>
      </c>
      <c r="S671" s="38">
        <v>0.0</v>
      </c>
      <c r="T671" s="42">
        <v>5.718181818181818</v>
      </c>
      <c r="U671" s="42">
        <v>5.718181818181818</v>
      </c>
    </row>
    <row r="672">
      <c r="A672" s="43" t="s">
        <v>1633</v>
      </c>
      <c r="B672" s="47" t="s">
        <v>1634</v>
      </c>
      <c r="C672" s="43" t="s">
        <v>92</v>
      </c>
      <c r="D672" s="43">
        <v>3.0</v>
      </c>
      <c r="E672" s="43">
        <v>10.0</v>
      </c>
      <c r="F672" s="44">
        <f>IFERROR(__xludf.DUMMYFUNCTION("""COMPUTED_VALUE"""),14.0)</f>
        <v>14</v>
      </c>
      <c r="G672" s="44" t="s">
        <v>122</v>
      </c>
      <c r="H672" s="43" t="s">
        <v>113</v>
      </c>
      <c r="I672" s="43" t="s">
        <v>115</v>
      </c>
      <c r="J672" s="47" t="s">
        <v>115</v>
      </c>
      <c r="K672" s="38">
        <v>1.0</v>
      </c>
      <c r="L672" s="38">
        <v>5.0</v>
      </c>
      <c r="M672" s="38" t="str">
        <f>IFERROR(__xludf.DUMMYFUNCTION("""COMPUTED_VALUE"""),"Fast Moving / Consumable")</f>
        <v>Fast Moving / Consumable</v>
      </c>
      <c r="N672" s="38">
        <v>18.0</v>
      </c>
      <c r="O672" s="40">
        <v>46022.0</v>
      </c>
      <c r="P672" s="38" t="s">
        <v>126</v>
      </c>
      <c r="Q672" s="42">
        <v>6.0</v>
      </c>
      <c r="R672" s="42">
        <v>2.4545454545454546</v>
      </c>
      <c r="S672" s="38">
        <v>0.0</v>
      </c>
      <c r="T672" s="42">
        <v>4.936363636363636</v>
      </c>
      <c r="U672" s="42">
        <v>4.936363636363636</v>
      </c>
    </row>
    <row r="673">
      <c r="A673" s="43" t="s">
        <v>1635</v>
      </c>
      <c r="B673" s="47" t="s">
        <v>1636</v>
      </c>
      <c r="C673" s="43" t="s">
        <v>92</v>
      </c>
      <c r="D673" s="43">
        <v>3.0</v>
      </c>
      <c r="E673" s="43">
        <v>10.0</v>
      </c>
      <c r="F673" s="44">
        <f>IFERROR(__xludf.DUMMYFUNCTION("""COMPUTED_VALUE"""),9.0)</f>
        <v>9</v>
      </c>
      <c r="G673" s="44" t="s">
        <v>122</v>
      </c>
      <c r="H673" s="43" t="s">
        <v>113</v>
      </c>
      <c r="I673" s="43" t="s">
        <v>115</v>
      </c>
      <c r="J673" s="47" t="s">
        <v>115</v>
      </c>
      <c r="K673" s="38">
        <v>1.0</v>
      </c>
      <c r="L673" s="38">
        <v>7.0</v>
      </c>
      <c r="M673" s="38" t="str">
        <f>IFERROR(__xludf.DUMMYFUNCTION("""COMPUTED_VALUE"""),"Fast Moving / Consumable")</f>
        <v>Fast Moving / Consumable</v>
      </c>
      <c r="N673" s="38">
        <v>18.0</v>
      </c>
      <c r="O673" s="40">
        <v>46022.0</v>
      </c>
      <c r="P673" s="38" t="s">
        <v>126</v>
      </c>
      <c r="Q673" s="42">
        <v>7.0</v>
      </c>
      <c r="R673" s="42">
        <v>3.8181818181818183</v>
      </c>
      <c r="S673" s="38">
        <v>0.0</v>
      </c>
      <c r="T673" s="42">
        <v>6.045454545454545</v>
      </c>
      <c r="U673" s="42">
        <v>6.045454545454545</v>
      </c>
    </row>
    <row r="674">
      <c r="A674" s="43" t="s">
        <v>1637</v>
      </c>
      <c r="B674" s="47" t="s">
        <v>1638</v>
      </c>
      <c r="C674" s="43" t="s">
        <v>92</v>
      </c>
      <c r="D674" s="43">
        <v>3.0</v>
      </c>
      <c r="E674" s="43">
        <v>10.0</v>
      </c>
      <c r="F674" s="44">
        <f>IFERROR(__xludf.DUMMYFUNCTION("""COMPUTED_VALUE"""),8.0)</f>
        <v>8</v>
      </c>
      <c r="G674" s="44" t="s">
        <v>122</v>
      </c>
      <c r="H674" s="43" t="s">
        <v>113</v>
      </c>
      <c r="I674" s="43" t="s">
        <v>115</v>
      </c>
      <c r="J674" s="47" t="s">
        <v>115</v>
      </c>
      <c r="K674" s="38">
        <v>2.0</v>
      </c>
      <c r="L674" s="38">
        <v>10.0</v>
      </c>
      <c r="M674" s="38" t="str">
        <f>IFERROR(__xludf.DUMMYFUNCTION("""COMPUTED_VALUE"""),"Fast Moving / Consumable")</f>
        <v>Fast Moving / Consumable</v>
      </c>
      <c r="N674" s="38">
        <v>18.0</v>
      </c>
      <c r="O674" s="40">
        <v>46234.0</v>
      </c>
      <c r="P674" s="38" t="s">
        <v>126</v>
      </c>
      <c r="Q674" s="42">
        <v>6.0</v>
      </c>
      <c r="R674" s="42">
        <v>7.090909090909092</v>
      </c>
      <c r="S674" s="38">
        <v>10.0</v>
      </c>
      <c r="T674" s="42">
        <v>6.327272727272726</v>
      </c>
      <c r="U674" s="46">
        <v>10.0</v>
      </c>
    </row>
    <row r="675">
      <c r="A675" s="43" t="s">
        <v>1639</v>
      </c>
      <c r="B675" s="47" t="s">
        <v>1640</v>
      </c>
      <c r="C675" s="43" t="s">
        <v>92</v>
      </c>
      <c r="D675" s="43">
        <v>3.0</v>
      </c>
      <c r="E675" s="43">
        <v>10.0</v>
      </c>
      <c r="F675" s="44">
        <f>IFERROR(__xludf.DUMMYFUNCTION("""COMPUTED_VALUE"""),0.0)</f>
        <v>0</v>
      </c>
      <c r="G675" s="44" t="s">
        <v>112</v>
      </c>
      <c r="H675" s="43" t="s">
        <v>113</v>
      </c>
      <c r="I675" s="43" t="s">
        <v>115</v>
      </c>
      <c r="J675" s="47" t="s">
        <v>115</v>
      </c>
      <c r="K675" s="38">
        <v>3.0</v>
      </c>
      <c r="L675" s="38">
        <v>20.0</v>
      </c>
      <c r="M675" s="38" t="str">
        <f>IFERROR(__xludf.DUMMYFUNCTION("""COMPUTED_VALUE"""),"Fast Moving / Consumable")</f>
        <v>Fast Moving / Consumable</v>
      </c>
      <c r="N675" s="38">
        <v>18.0</v>
      </c>
      <c r="O675" s="40">
        <v>46234.0</v>
      </c>
      <c r="P675" s="38" t="s">
        <v>126</v>
      </c>
      <c r="Q675" s="42">
        <v>7.0</v>
      </c>
      <c r="R675" s="42">
        <v>9.0</v>
      </c>
      <c r="S675" s="38">
        <v>20.0</v>
      </c>
      <c r="T675" s="42">
        <v>7.6</v>
      </c>
      <c r="U675" s="46">
        <v>20.0</v>
      </c>
    </row>
    <row r="676">
      <c r="A676" s="43" t="s">
        <v>1641</v>
      </c>
      <c r="B676" s="47" t="s">
        <v>1642</v>
      </c>
      <c r="C676" s="43" t="s">
        <v>92</v>
      </c>
      <c r="D676" s="43">
        <v>1.0</v>
      </c>
      <c r="E676" s="43">
        <v>2.0</v>
      </c>
      <c r="F676" s="44">
        <f>IFERROR(__xludf.DUMMYFUNCTION("""COMPUTED_VALUE"""),1.0)</f>
        <v>1</v>
      </c>
      <c r="G676" s="44" t="s">
        <v>125</v>
      </c>
      <c r="H676" s="43" t="s">
        <v>113</v>
      </c>
      <c r="I676" s="43" t="s">
        <v>115</v>
      </c>
      <c r="J676" s="47" t="s">
        <v>115</v>
      </c>
      <c r="K676" s="38">
        <v>1.0</v>
      </c>
      <c r="L676" s="38">
        <v>2.0</v>
      </c>
      <c r="M676" s="38" t="str">
        <f>IFERROR(__xludf.DUMMYFUNCTION("""COMPUTED_VALUE"""),"Critical Sparepart")</f>
        <v>Critical Sparepart</v>
      </c>
      <c r="N676" s="38">
        <v>36.0</v>
      </c>
      <c r="O676" s="40">
        <v>46080.0</v>
      </c>
      <c r="P676" s="38" t="s">
        <v>126</v>
      </c>
      <c r="Q676" s="42">
        <v>0.0</v>
      </c>
      <c r="R676" s="42">
        <v>0.2727272727272727</v>
      </c>
      <c r="S676" s="38">
        <v>2.0</v>
      </c>
      <c r="T676" s="42">
        <v>0.0818181818181818</v>
      </c>
      <c r="U676" s="46">
        <v>2.0</v>
      </c>
    </row>
    <row r="677">
      <c r="A677" s="43" t="s">
        <v>1643</v>
      </c>
      <c r="B677" s="47" t="s">
        <v>1644</v>
      </c>
      <c r="C677" s="43" t="s">
        <v>92</v>
      </c>
      <c r="D677" s="43">
        <v>1.0</v>
      </c>
      <c r="E677" s="43">
        <v>3.0</v>
      </c>
      <c r="F677" s="44">
        <f>IFERROR(__xludf.DUMMYFUNCTION("""COMPUTED_VALUE"""),0.0)</f>
        <v>0</v>
      </c>
      <c r="G677" s="44" t="s">
        <v>112</v>
      </c>
      <c r="H677" s="43" t="s">
        <v>113</v>
      </c>
      <c r="I677" s="43" t="s">
        <v>115</v>
      </c>
      <c r="J677" s="47" t="s">
        <v>115</v>
      </c>
      <c r="K677" s="38">
        <v>1.0</v>
      </c>
      <c r="L677" s="38">
        <v>6.0</v>
      </c>
      <c r="M677" s="38" t="str">
        <f>IFERROR(__xludf.DUMMYFUNCTION("""COMPUTED_VALUE"""),"Critical Sparepart")</f>
        <v>Critical Sparepart</v>
      </c>
      <c r="N677" s="38">
        <v>36.0</v>
      </c>
      <c r="O677" s="40">
        <v>46247.0</v>
      </c>
      <c r="P677" s="38" t="s">
        <v>126</v>
      </c>
      <c r="Q677" s="42">
        <v>2.0</v>
      </c>
      <c r="R677" s="42">
        <v>2.727272727272727</v>
      </c>
      <c r="S677" s="38">
        <v>6.0</v>
      </c>
      <c r="T677" s="42">
        <v>2.218181818181818</v>
      </c>
      <c r="U677" s="46">
        <v>6.0</v>
      </c>
    </row>
    <row r="678">
      <c r="A678" s="43" t="s">
        <v>1645</v>
      </c>
      <c r="B678" s="47" t="s">
        <v>1646</v>
      </c>
      <c r="C678" s="43" t="s">
        <v>92</v>
      </c>
      <c r="D678" s="43">
        <v>2.0</v>
      </c>
      <c r="E678" s="43">
        <v>10.0</v>
      </c>
      <c r="F678" s="44">
        <f>IFERROR(__xludf.DUMMYFUNCTION("""COMPUTED_VALUE"""),0.0)</f>
        <v>0</v>
      </c>
      <c r="G678" s="44" t="s">
        <v>112</v>
      </c>
      <c r="H678" s="43" t="s">
        <v>113</v>
      </c>
      <c r="I678" s="43" t="s">
        <v>141</v>
      </c>
      <c r="J678" s="47" t="s">
        <v>1647</v>
      </c>
      <c r="K678" s="38">
        <v>1.0</v>
      </c>
      <c r="L678" s="38">
        <v>3.0</v>
      </c>
      <c r="M678" s="38" t="str">
        <f>IFERROR(__xludf.DUMMYFUNCTION("""COMPUTED_VALUE"""),"Fast Moving / Consumable")</f>
        <v>Fast Moving / Consumable</v>
      </c>
      <c r="N678" s="38">
        <v>18.0</v>
      </c>
      <c r="O678" s="40">
        <v>45898.0</v>
      </c>
      <c r="P678" s="38" t="s">
        <v>126</v>
      </c>
      <c r="Q678" s="42">
        <v>2.0</v>
      </c>
      <c r="R678" s="42">
        <v>2.727272727272727</v>
      </c>
      <c r="S678" s="38">
        <v>0.0</v>
      </c>
      <c r="T678" s="42">
        <v>2.218181818181818</v>
      </c>
      <c r="U678" s="42">
        <v>2.218181818181818</v>
      </c>
    </row>
    <row r="679">
      <c r="A679" s="43" t="s">
        <v>1648</v>
      </c>
      <c r="B679" s="47" t="s">
        <v>1649</v>
      </c>
      <c r="C679" s="43" t="s">
        <v>92</v>
      </c>
      <c r="D679" s="43">
        <v>1.0</v>
      </c>
      <c r="E679" s="43">
        <v>10.0</v>
      </c>
      <c r="F679" s="44">
        <f>IFERROR(__xludf.DUMMYFUNCTION("""COMPUTED_VALUE"""),7.0)</f>
        <v>7</v>
      </c>
      <c r="G679" s="44" t="s">
        <v>122</v>
      </c>
      <c r="H679" s="43" t="s">
        <v>113</v>
      </c>
      <c r="I679" s="43" t="s">
        <v>115</v>
      </c>
      <c r="J679" s="47" t="s">
        <v>115</v>
      </c>
      <c r="K679" s="38">
        <v>1.0</v>
      </c>
      <c r="L679" s="38">
        <v>4.0</v>
      </c>
      <c r="M679" s="38" t="str">
        <f>IFERROR(__xludf.DUMMYFUNCTION("""COMPUTED_VALUE"""),"Critical Sparepart")</f>
        <v>Critical Sparepart</v>
      </c>
      <c r="N679" s="38">
        <v>36.0</v>
      </c>
      <c r="O679" s="40">
        <v>45989.0</v>
      </c>
      <c r="P679" s="38" t="s">
        <v>126</v>
      </c>
      <c r="Q679" s="42">
        <v>5.0</v>
      </c>
      <c r="R679" s="42">
        <v>1.6363636363636362</v>
      </c>
      <c r="S679" s="38">
        <v>0.0</v>
      </c>
      <c r="T679" s="42">
        <v>3.9909090909090907</v>
      </c>
      <c r="U679" s="42">
        <v>3.9909090909090907</v>
      </c>
    </row>
    <row r="680">
      <c r="A680" s="43" t="s">
        <v>1650</v>
      </c>
      <c r="B680" s="47" t="s">
        <v>1651</v>
      </c>
      <c r="C680" s="43" t="s">
        <v>92</v>
      </c>
      <c r="D680" s="43">
        <v>2.0</v>
      </c>
      <c r="E680" s="43">
        <v>15.0</v>
      </c>
      <c r="F680" s="44">
        <f>IFERROR(__xludf.DUMMYFUNCTION("""COMPUTED_VALUE"""),11.0)</f>
        <v>11</v>
      </c>
      <c r="G680" s="44" t="s">
        <v>122</v>
      </c>
      <c r="H680" s="43" t="s">
        <v>113</v>
      </c>
      <c r="I680" s="43" t="s">
        <v>115</v>
      </c>
      <c r="J680" s="47" t="s">
        <v>115</v>
      </c>
      <c r="K680" s="38">
        <v>1.0</v>
      </c>
      <c r="L680" s="38">
        <v>9.0</v>
      </c>
      <c r="M680" s="38" t="str">
        <f>IFERROR(__xludf.DUMMYFUNCTION("""COMPUTED_VALUE"""),"Critical Sparepart")</f>
        <v>Critical Sparepart</v>
      </c>
      <c r="N680" s="38">
        <v>36.0</v>
      </c>
      <c r="O680" s="40">
        <v>45534.0</v>
      </c>
      <c r="P680" s="38" t="s">
        <v>126</v>
      </c>
      <c r="Q680" s="42">
        <v>10.0</v>
      </c>
      <c r="R680" s="42">
        <v>3.8181818181818183</v>
      </c>
      <c r="S680" s="38">
        <v>0.0</v>
      </c>
      <c r="T680" s="42">
        <v>8.145454545454545</v>
      </c>
      <c r="U680" s="42">
        <v>8.145454545454545</v>
      </c>
    </row>
    <row r="681">
      <c r="A681" s="43" t="s">
        <v>1652</v>
      </c>
      <c r="B681" s="47" t="s">
        <v>1653</v>
      </c>
      <c r="C681" s="43" t="s">
        <v>92</v>
      </c>
      <c r="D681" s="43">
        <v>1.0</v>
      </c>
      <c r="E681" s="43">
        <v>10.0</v>
      </c>
      <c r="F681" s="44">
        <f>IFERROR(__xludf.DUMMYFUNCTION("""COMPUTED_VALUE"""),9.0)</f>
        <v>9</v>
      </c>
      <c r="G681" s="44" t="s">
        <v>122</v>
      </c>
      <c r="H681" s="43" t="s">
        <v>113</v>
      </c>
      <c r="I681" s="43" t="s">
        <v>115</v>
      </c>
      <c r="J681" s="47" t="s">
        <v>115</v>
      </c>
      <c r="K681" s="38">
        <v>1.0</v>
      </c>
      <c r="L681" s="38">
        <v>6.0</v>
      </c>
      <c r="M681" s="38" t="str">
        <f>IFERROR(__xludf.DUMMYFUNCTION("""COMPUTED_VALUE"""),"Critical Sparepart")</f>
        <v>Critical Sparepart</v>
      </c>
      <c r="N681" s="38">
        <v>36.0</v>
      </c>
      <c r="O681" s="40">
        <v>45989.0</v>
      </c>
      <c r="P681" s="38" t="s">
        <v>126</v>
      </c>
      <c r="Q681" s="42">
        <v>6.0</v>
      </c>
      <c r="R681" s="42">
        <v>2.727272727272727</v>
      </c>
      <c r="S681" s="38">
        <v>0.0</v>
      </c>
      <c r="T681" s="42">
        <v>5.018181818181818</v>
      </c>
      <c r="U681" s="42">
        <v>5.018181818181818</v>
      </c>
    </row>
    <row r="682">
      <c r="A682" s="43" t="s">
        <v>1654</v>
      </c>
      <c r="B682" s="47" t="s">
        <v>1655</v>
      </c>
      <c r="C682" s="43" t="s">
        <v>92</v>
      </c>
      <c r="D682" s="43">
        <v>1.0</v>
      </c>
      <c r="E682" s="43">
        <v>10.0</v>
      </c>
      <c r="F682" s="44">
        <f>IFERROR(__xludf.DUMMYFUNCTION("""COMPUTED_VALUE"""),7.0)</f>
        <v>7</v>
      </c>
      <c r="G682" s="44" t="s">
        <v>122</v>
      </c>
      <c r="H682" s="43" t="s">
        <v>113</v>
      </c>
      <c r="I682" s="43" t="s">
        <v>115</v>
      </c>
      <c r="J682" s="47" t="s">
        <v>115</v>
      </c>
      <c r="K682" s="38">
        <v>1.0</v>
      </c>
      <c r="L682" s="38">
        <v>8.0</v>
      </c>
      <c r="M682" s="38" t="str">
        <f>IFERROR(__xludf.DUMMYFUNCTION("""COMPUTED_VALUE"""),"Critical Sparepart")</f>
        <v>Critical Sparepart</v>
      </c>
      <c r="N682" s="38">
        <v>36.0</v>
      </c>
      <c r="O682" s="40">
        <v>46234.0</v>
      </c>
      <c r="P682" s="38" t="s">
        <v>126</v>
      </c>
      <c r="Q682" s="42">
        <v>10.0</v>
      </c>
      <c r="R682" s="42">
        <v>3.0</v>
      </c>
      <c r="S682" s="38">
        <v>0.0</v>
      </c>
      <c r="T682" s="42">
        <v>7.9</v>
      </c>
      <c r="U682" s="42">
        <v>7.9</v>
      </c>
    </row>
    <row r="683">
      <c r="A683" s="43" t="s">
        <v>1656</v>
      </c>
      <c r="B683" s="47" t="s">
        <v>1657</v>
      </c>
      <c r="C683" s="43" t="s">
        <v>92</v>
      </c>
      <c r="D683" s="43">
        <v>1.0</v>
      </c>
      <c r="E683" s="43">
        <v>4.0</v>
      </c>
      <c r="F683" s="44">
        <f>IFERROR(__xludf.DUMMYFUNCTION("""COMPUTED_VALUE"""),0.0)</f>
        <v>0</v>
      </c>
      <c r="G683" s="44" t="s">
        <v>112</v>
      </c>
      <c r="H683" s="43" t="s">
        <v>113</v>
      </c>
      <c r="I683" s="43" t="s">
        <v>115</v>
      </c>
      <c r="J683" s="47" t="s">
        <v>115</v>
      </c>
      <c r="K683" s="38">
        <v>0.0</v>
      </c>
      <c r="L683" s="38">
        <v>0.0</v>
      </c>
      <c r="M683" s="38" t="str">
        <f>IFERROR(__xludf.DUMMYFUNCTION("""COMPUTED_VALUE"""),"Fast Moving / Consumable")</f>
        <v>Fast Moving / Consumable</v>
      </c>
      <c r="N683" s="38">
        <v>18.0</v>
      </c>
      <c r="O683" s="40">
        <v>45261.0</v>
      </c>
      <c r="P683" s="38" t="s">
        <v>116</v>
      </c>
      <c r="Q683" s="42">
        <v>2.0</v>
      </c>
      <c r="R683" s="42">
        <v>0.8181818181818181</v>
      </c>
      <c r="S683" s="38">
        <v>0.0</v>
      </c>
      <c r="T683" s="42">
        <v>1.6454545454545453</v>
      </c>
      <c r="U683" s="42">
        <v>1.6454545454545453</v>
      </c>
    </row>
    <row r="684">
      <c r="A684" s="43" t="s">
        <v>1658</v>
      </c>
      <c r="B684" s="47" t="s">
        <v>1659</v>
      </c>
      <c r="C684" s="43" t="s">
        <v>92</v>
      </c>
      <c r="D684" s="43">
        <v>1.0</v>
      </c>
      <c r="E684" s="43">
        <v>4.0</v>
      </c>
      <c r="F684" s="44">
        <f>IFERROR(__xludf.DUMMYFUNCTION("""COMPUTED_VALUE"""),8.0)</f>
        <v>8</v>
      </c>
      <c r="G684" s="44" t="s">
        <v>122</v>
      </c>
      <c r="H684" s="43" t="s">
        <v>113</v>
      </c>
      <c r="I684" s="43" t="s">
        <v>115</v>
      </c>
      <c r="J684" s="47" t="s">
        <v>115</v>
      </c>
      <c r="K684" s="38">
        <v>1.0</v>
      </c>
      <c r="L684" s="38">
        <v>4.0</v>
      </c>
      <c r="M684" s="38" t="str">
        <f>IFERROR(__xludf.DUMMYFUNCTION("""COMPUTED_VALUE"""),"Fast Moving / Consumable")</f>
        <v>Fast Moving / Consumable</v>
      </c>
      <c r="N684" s="38">
        <v>18.0</v>
      </c>
      <c r="O684" s="40">
        <v>46142.0</v>
      </c>
      <c r="P684" s="38" t="s">
        <v>126</v>
      </c>
      <c r="Q684" s="42">
        <v>4.0</v>
      </c>
      <c r="R684" s="42">
        <v>1.9090909090909092</v>
      </c>
      <c r="S684" s="38">
        <v>0.0</v>
      </c>
      <c r="T684" s="42">
        <v>3.3727272727272726</v>
      </c>
      <c r="U684" s="42">
        <v>3.3727272727272726</v>
      </c>
    </row>
    <row r="685">
      <c r="A685" s="43" t="s">
        <v>1660</v>
      </c>
      <c r="B685" s="47" t="s">
        <v>1661</v>
      </c>
      <c r="C685" s="43" t="s">
        <v>91</v>
      </c>
      <c r="D685" s="43">
        <v>1.0</v>
      </c>
      <c r="E685" s="43">
        <v>5.0</v>
      </c>
      <c r="F685" s="44">
        <f>IFERROR(__xludf.DUMMYFUNCTION("""COMPUTED_VALUE"""),1.0)</f>
        <v>1</v>
      </c>
      <c r="G685" s="44" t="s">
        <v>125</v>
      </c>
      <c r="H685" s="43" t="s">
        <v>113</v>
      </c>
      <c r="I685" s="43" t="s">
        <v>115</v>
      </c>
      <c r="J685" s="47" t="s">
        <v>115</v>
      </c>
      <c r="K685" s="38">
        <v>1.0</v>
      </c>
      <c r="L685" s="38">
        <v>4.0</v>
      </c>
      <c r="M685" s="38" t="str">
        <f>IFERROR(__xludf.DUMMYFUNCTION("""COMPUTED_VALUE"""),"Fast Moving / Consumable")</f>
        <v>Fast Moving / Consumable</v>
      </c>
      <c r="N685" s="38">
        <v>18.0</v>
      </c>
      <c r="O685" s="40">
        <v>46171.0</v>
      </c>
      <c r="P685" s="38" t="s">
        <v>126</v>
      </c>
      <c r="Q685" s="42">
        <v>4.0</v>
      </c>
      <c r="R685" s="42">
        <v>3.0</v>
      </c>
      <c r="S685" s="38">
        <v>0.0</v>
      </c>
      <c r="T685" s="42">
        <v>3.6999999999999997</v>
      </c>
      <c r="U685" s="42">
        <v>3.6999999999999997</v>
      </c>
    </row>
    <row r="686">
      <c r="A686" s="43" t="s">
        <v>1662</v>
      </c>
      <c r="B686" s="47" t="s">
        <v>1663</v>
      </c>
      <c r="C686" s="43" t="s">
        <v>91</v>
      </c>
      <c r="D686" s="43">
        <v>3.0</v>
      </c>
      <c r="E686" s="43">
        <v>20.0</v>
      </c>
      <c r="F686" s="44">
        <f>IFERROR(__xludf.DUMMYFUNCTION("""COMPUTED_VALUE"""),0.0)</f>
        <v>0</v>
      </c>
      <c r="G686" s="44" t="s">
        <v>112</v>
      </c>
      <c r="H686" s="43" t="s">
        <v>113</v>
      </c>
      <c r="I686" s="43" t="s">
        <v>115</v>
      </c>
      <c r="J686" s="47" t="s">
        <v>115</v>
      </c>
      <c r="K686" s="38">
        <v>2.0</v>
      </c>
      <c r="L686" s="38">
        <v>18.0</v>
      </c>
      <c r="M686" s="38" t="str">
        <f>IFERROR(__xludf.DUMMYFUNCTION("""COMPUTED_VALUE"""),"General Sparepart")</f>
        <v>General Sparepart</v>
      </c>
      <c r="N686" s="38">
        <v>24.0</v>
      </c>
      <c r="O686" s="40">
        <v>46247.0</v>
      </c>
      <c r="P686" s="38" t="s">
        <v>126</v>
      </c>
      <c r="Q686" s="42">
        <v>21.0</v>
      </c>
      <c r="R686" s="42">
        <v>7.909090909090908</v>
      </c>
      <c r="S686" s="38">
        <v>10.0</v>
      </c>
      <c r="T686" s="42">
        <v>17.07272727272727</v>
      </c>
      <c r="U686" s="42">
        <v>17.07272727272727</v>
      </c>
    </row>
    <row r="687">
      <c r="A687" s="43" t="s">
        <v>1664</v>
      </c>
      <c r="B687" s="47" t="s">
        <v>1665</v>
      </c>
      <c r="C687" s="43" t="s">
        <v>91</v>
      </c>
      <c r="D687" s="43">
        <v>5.0</v>
      </c>
      <c r="E687" s="43">
        <v>70.0</v>
      </c>
      <c r="F687" s="44">
        <f>IFERROR(__xludf.DUMMYFUNCTION("""COMPUTED_VALUE"""),0.0)</f>
        <v>0</v>
      </c>
      <c r="G687" s="44" t="s">
        <v>112</v>
      </c>
      <c r="H687" s="43" t="s">
        <v>113</v>
      </c>
      <c r="I687" s="43" t="s">
        <v>115</v>
      </c>
      <c r="J687" s="47" t="s">
        <v>115</v>
      </c>
      <c r="K687" s="38">
        <v>8.0</v>
      </c>
      <c r="L687" s="38">
        <v>70.0</v>
      </c>
      <c r="M687" s="38" t="str">
        <f>IFERROR(__xludf.DUMMYFUNCTION("""COMPUTED_VALUE"""),"General Sparepart")</f>
        <v>General Sparepart</v>
      </c>
      <c r="N687" s="38">
        <v>24.0</v>
      </c>
      <c r="O687" s="40">
        <v>46247.0</v>
      </c>
      <c r="P687" s="38" t="s">
        <v>126</v>
      </c>
      <c r="Q687" s="42">
        <v>31.0</v>
      </c>
      <c r="R687" s="42">
        <v>13.636363636363637</v>
      </c>
      <c r="S687" s="38">
        <v>70.0</v>
      </c>
      <c r="T687" s="42">
        <v>25.79090909090909</v>
      </c>
      <c r="U687" s="46">
        <v>70.0</v>
      </c>
    </row>
    <row r="688">
      <c r="A688" s="43" t="s">
        <v>1666</v>
      </c>
      <c r="B688" s="47" t="s">
        <v>1667</v>
      </c>
      <c r="C688" s="43" t="s">
        <v>91</v>
      </c>
      <c r="D688" s="43">
        <v>3.0</v>
      </c>
      <c r="E688" s="43">
        <v>10.0</v>
      </c>
      <c r="F688" s="44">
        <f>IFERROR(__xludf.DUMMYFUNCTION("""COMPUTED_VALUE"""),0.0)</f>
        <v>0</v>
      </c>
      <c r="G688" s="44" t="s">
        <v>112</v>
      </c>
      <c r="H688" s="43" t="s">
        <v>113</v>
      </c>
      <c r="I688" s="43" t="s">
        <v>115</v>
      </c>
      <c r="J688" s="47" t="s">
        <v>115</v>
      </c>
      <c r="K688" s="38">
        <v>3.0</v>
      </c>
      <c r="L688" s="38">
        <v>20.0</v>
      </c>
      <c r="M688" s="38" t="str">
        <f>IFERROR(__xludf.DUMMYFUNCTION("""COMPUTED_VALUE"""),"Fast Moving / Consumable")</f>
        <v>Fast Moving / Consumable</v>
      </c>
      <c r="N688" s="38">
        <v>18.0</v>
      </c>
      <c r="O688" s="40">
        <v>46273.0</v>
      </c>
      <c r="P688" s="38" t="s">
        <v>126</v>
      </c>
      <c r="Q688" s="42">
        <v>7.0</v>
      </c>
      <c r="R688" s="42">
        <v>4.090909090909091</v>
      </c>
      <c r="S688" s="38">
        <v>20.0</v>
      </c>
      <c r="T688" s="42">
        <v>6.127272727272727</v>
      </c>
      <c r="U688" s="46">
        <v>20.0</v>
      </c>
    </row>
    <row r="689">
      <c r="A689" s="43" t="s">
        <v>1668</v>
      </c>
      <c r="B689" s="47" t="s">
        <v>1669</v>
      </c>
      <c r="C689" s="43" t="s">
        <v>91</v>
      </c>
      <c r="D689" s="43">
        <v>1.0</v>
      </c>
      <c r="E689" s="43">
        <v>2.0</v>
      </c>
      <c r="F689" s="44">
        <f>IFERROR(__xludf.DUMMYFUNCTION("""COMPUTED_VALUE"""),0.0)</f>
        <v>0</v>
      </c>
      <c r="G689" s="44" t="s">
        <v>112</v>
      </c>
      <c r="H689" s="43" t="s">
        <v>113</v>
      </c>
      <c r="I689" s="43" t="s">
        <v>115</v>
      </c>
      <c r="J689" s="47" t="s">
        <v>115</v>
      </c>
      <c r="K689" s="38">
        <v>0.0</v>
      </c>
      <c r="L689" s="38">
        <v>0.0</v>
      </c>
      <c r="M689" s="38" t="str">
        <f>IFERROR(__xludf.DUMMYFUNCTION("""COMPUTED_VALUE"""),"General Sparepart")</f>
        <v>General Sparepart</v>
      </c>
      <c r="N689" s="38">
        <v>24.0</v>
      </c>
      <c r="O689" s="40">
        <v>45200.0</v>
      </c>
      <c r="P689" s="38" t="s">
        <v>116</v>
      </c>
      <c r="Q689" s="42">
        <v>1.0</v>
      </c>
      <c r="R689" s="42">
        <v>0.2727272727272727</v>
      </c>
      <c r="S689" s="38">
        <v>0.0</v>
      </c>
      <c r="T689" s="42">
        <v>0.7818181818181817</v>
      </c>
      <c r="U689" s="42">
        <v>0.7818181818181817</v>
      </c>
    </row>
    <row r="690">
      <c r="A690" s="43" t="s">
        <v>1670</v>
      </c>
      <c r="B690" s="47" t="s">
        <v>1671</v>
      </c>
      <c r="C690" s="43" t="s">
        <v>91</v>
      </c>
      <c r="D690" s="43">
        <v>1.0</v>
      </c>
      <c r="E690" s="43">
        <v>5.0</v>
      </c>
      <c r="F690" s="44">
        <f>IFERROR(__xludf.DUMMYFUNCTION("""COMPUTED_VALUE"""),1.0)</f>
        <v>1</v>
      </c>
      <c r="G690" s="44" t="s">
        <v>125</v>
      </c>
      <c r="H690" s="43" t="s">
        <v>113</v>
      </c>
      <c r="I690" s="43" t="s">
        <v>115</v>
      </c>
      <c r="J690" s="47" t="s">
        <v>115</v>
      </c>
      <c r="K690" s="38">
        <v>1.0</v>
      </c>
      <c r="L690" s="38">
        <v>4.0</v>
      </c>
      <c r="M690" s="38" t="str">
        <f>IFERROR(__xludf.DUMMYFUNCTION("""COMPUTED_VALUE"""),"General Sparepart")</f>
        <v>General Sparepart</v>
      </c>
      <c r="N690" s="38">
        <v>24.0</v>
      </c>
      <c r="O690" s="40">
        <v>46234.0</v>
      </c>
      <c r="P690" s="38" t="s">
        <v>126</v>
      </c>
      <c r="Q690" s="42">
        <v>3.0</v>
      </c>
      <c r="R690" s="42">
        <v>3.2727272727272725</v>
      </c>
      <c r="S690" s="38">
        <v>0.0</v>
      </c>
      <c r="T690" s="42">
        <v>3.081818181818181</v>
      </c>
      <c r="U690" s="42">
        <v>3.081818181818181</v>
      </c>
    </row>
    <row r="691">
      <c r="A691" s="43" t="s">
        <v>1672</v>
      </c>
      <c r="B691" s="47" t="s">
        <v>1673</v>
      </c>
      <c r="C691" s="43" t="s">
        <v>91</v>
      </c>
      <c r="D691" s="43">
        <v>1.0</v>
      </c>
      <c r="E691" s="43">
        <v>1.0</v>
      </c>
      <c r="F691" s="44">
        <f>IFERROR(__xludf.DUMMYFUNCTION("""COMPUTED_VALUE"""),0.0)</f>
        <v>0</v>
      </c>
      <c r="G691" s="44" t="s">
        <v>112</v>
      </c>
      <c r="H691" s="43" t="s">
        <v>113</v>
      </c>
      <c r="I691" s="43" t="s">
        <v>115</v>
      </c>
      <c r="J691" s="47" t="s">
        <v>115</v>
      </c>
      <c r="K691" s="38">
        <v>1.0</v>
      </c>
      <c r="L691" s="38">
        <v>1.0</v>
      </c>
      <c r="M691" s="38" t="str">
        <f>IFERROR(__xludf.DUMMYFUNCTION("""COMPUTED_VALUE"""),"General Sparepart")</f>
        <v>General Sparepart</v>
      </c>
      <c r="N691" s="38">
        <v>24.0</v>
      </c>
      <c r="O691" s="40">
        <v>46247.0</v>
      </c>
      <c r="P691" s="38" t="s">
        <v>126</v>
      </c>
      <c r="Q691" s="42">
        <v>1.0</v>
      </c>
      <c r="R691" s="42">
        <v>0.2727272727272727</v>
      </c>
      <c r="S691" s="38">
        <v>1.0</v>
      </c>
      <c r="T691" s="42">
        <v>0.7818181818181817</v>
      </c>
      <c r="U691" s="46">
        <v>1.0</v>
      </c>
    </row>
    <row r="692">
      <c r="A692" s="43" t="s">
        <v>1674</v>
      </c>
      <c r="B692" s="47" t="s">
        <v>1675</v>
      </c>
      <c r="C692" s="43" t="s">
        <v>91</v>
      </c>
      <c r="D692" s="43">
        <v>2.0</v>
      </c>
      <c r="E692" s="43">
        <v>10.0</v>
      </c>
      <c r="F692" s="44">
        <f>IFERROR(__xludf.DUMMYFUNCTION("""COMPUTED_VALUE"""),51.0)</f>
        <v>51</v>
      </c>
      <c r="G692" s="44" t="s">
        <v>122</v>
      </c>
      <c r="H692" s="43" t="s">
        <v>113</v>
      </c>
      <c r="I692" s="43" t="s">
        <v>115</v>
      </c>
      <c r="J692" s="47" t="s">
        <v>115</v>
      </c>
      <c r="K692" s="38">
        <v>2.0</v>
      </c>
      <c r="L692" s="38">
        <v>12.0</v>
      </c>
      <c r="M692" s="38" t="str">
        <f>IFERROR(__xludf.DUMMYFUNCTION("""COMPUTED_VALUE"""),"General Sparepart")</f>
        <v>General Sparepart</v>
      </c>
      <c r="N692" s="38">
        <v>24.0</v>
      </c>
      <c r="O692" s="40">
        <v>46030.0</v>
      </c>
      <c r="P692" s="38" t="s">
        <v>126</v>
      </c>
      <c r="Q692" s="42">
        <v>15.0</v>
      </c>
      <c r="R692" s="42">
        <v>4.909090909090909</v>
      </c>
      <c r="S692" s="38">
        <v>0.0</v>
      </c>
      <c r="T692" s="42">
        <v>11.972727272727273</v>
      </c>
      <c r="U692" s="42">
        <v>11.972727272727273</v>
      </c>
    </row>
    <row r="693">
      <c r="A693" s="43" t="s">
        <v>1676</v>
      </c>
      <c r="B693" s="47" t="s">
        <v>1677</v>
      </c>
      <c r="C693" s="43" t="s">
        <v>91</v>
      </c>
      <c r="D693" s="43">
        <v>1.0</v>
      </c>
      <c r="E693" s="43">
        <v>5.0</v>
      </c>
      <c r="F693" s="44">
        <f>IFERROR(__xludf.DUMMYFUNCTION("""COMPUTED_VALUE"""),5.0)</f>
        <v>5</v>
      </c>
      <c r="G693" s="44" t="s">
        <v>122</v>
      </c>
      <c r="H693" s="43" t="s">
        <v>113</v>
      </c>
      <c r="I693" s="43" t="s">
        <v>115</v>
      </c>
      <c r="J693" s="47" t="s">
        <v>115</v>
      </c>
      <c r="K693" s="38">
        <v>2.0</v>
      </c>
      <c r="L693" s="38">
        <v>11.0</v>
      </c>
      <c r="M693" s="38" t="str">
        <f>IFERROR(__xludf.DUMMYFUNCTION("""COMPUTED_VALUE"""),"General Sparepart")</f>
        <v>General Sparepart</v>
      </c>
      <c r="N693" s="38">
        <v>24.0</v>
      </c>
      <c r="O693" s="40">
        <v>46080.0</v>
      </c>
      <c r="P693" s="38" t="s">
        <v>126</v>
      </c>
      <c r="Q693" s="42">
        <v>10.0</v>
      </c>
      <c r="R693" s="42">
        <v>12.818181818181817</v>
      </c>
      <c r="S693" s="38">
        <v>5.0</v>
      </c>
      <c r="T693" s="42">
        <v>10.845454545454544</v>
      </c>
      <c r="U693" s="42">
        <v>10.845454545454544</v>
      </c>
    </row>
    <row r="694">
      <c r="A694" s="43" t="s">
        <v>1678</v>
      </c>
      <c r="B694" s="47" t="s">
        <v>1679</v>
      </c>
      <c r="C694" s="43" t="s">
        <v>91</v>
      </c>
      <c r="D694" s="43">
        <v>1.0</v>
      </c>
      <c r="E694" s="43">
        <v>5.0</v>
      </c>
      <c r="F694" s="44">
        <f>IFERROR(__xludf.DUMMYFUNCTION("""COMPUTED_VALUE"""),0.0)</f>
        <v>0</v>
      </c>
      <c r="G694" s="44" t="s">
        <v>112</v>
      </c>
      <c r="H694" s="43" t="s">
        <v>113</v>
      </c>
      <c r="I694" s="43" t="s">
        <v>115</v>
      </c>
      <c r="J694" s="47" t="s">
        <v>115</v>
      </c>
      <c r="K694" s="38">
        <v>1.0</v>
      </c>
      <c r="L694" s="38">
        <v>3.0</v>
      </c>
      <c r="M694" s="38" t="str">
        <f>IFERROR(__xludf.DUMMYFUNCTION("""COMPUTED_VALUE"""),"General Sparepart")</f>
        <v>General Sparepart</v>
      </c>
      <c r="N694" s="38">
        <v>24.0</v>
      </c>
      <c r="O694" s="40">
        <v>46171.0</v>
      </c>
      <c r="P694" s="38" t="s">
        <v>126</v>
      </c>
      <c r="Q694" s="42">
        <v>2.0</v>
      </c>
      <c r="R694" s="42">
        <v>2.1818181818181817</v>
      </c>
      <c r="S694" s="38">
        <v>0.0</v>
      </c>
      <c r="T694" s="42">
        <v>2.0545454545454542</v>
      </c>
      <c r="U694" s="42">
        <v>2.0545454545454542</v>
      </c>
    </row>
    <row r="695">
      <c r="A695" s="43" t="s">
        <v>1680</v>
      </c>
      <c r="B695" s="47" t="s">
        <v>1681</v>
      </c>
      <c r="C695" s="43" t="s">
        <v>91</v>
      </c>
      <c r="D695" s="43">
        <v>1.0</v>
      </c>
      <c r="E695" s="43">
        <v>5.0</v>
      </c>
      <c r="F695" s="44">
        <f>IFERROR(__xludf.DUMMYFUNCTION("""COMPUTED_VALUE"""),4.0)</f>
        <v>4</v>
      </c>
      <c r="G695" s="44" t="s">
        <v>122</v>
      </c>
      <c r="H695" s="43" t="s">
        <v>113</v>
      </c>
      <c r="I695" s="43" t="s">
        <v>115</v>
      </c>
      <c r="J695" s="47" t="s">
        <v>115</v>
      </c>
      <c r="K695" s="38">
        <v>1.0</v>
      </c>
      <c r="L695" s="38">
        <v>5.0</v>
      </c>
      <c r="M695" s="38" t="str">
        <f>IFERROR(__xludf.DUMMYFUNCTION("""COMPUTED_VALUE"""),"Fast Moving / Consumable")</f>
        <v>Fast Moving / Consumable</v>
      </c>
      <c r="N695" s="38">
        <v>18.0</v>
      </c>
      <c r="O695" s="40">
        <v>46080.0</v>
      </c>
      <c r="P695" s="38" t="s">
        <v>126</v>
      </c>
      <c r="Q695" s="42">
        <v>5.0</v>
      </c>
      <c r="R695" s="42">
        <v>2.1818181818181817</v>
      </c>
      <c r="S695" s="38">
        <v>0.0</v>
      </c>
      <c r="T695" s="42">
        <v>4.154545454545454</v>
      </c>
      <c r="U695" s="42">
        <v>4.154545454545454</v>
      </c>
    </row>
    <row r="696">
      <c r="A696" s="43" t="s">
        <v>1682</v>
      </c>
      <c r="B696" s="47" t="s">
        <v>1683</v>
      </c>
      <c r="C696" s="43" t="s">
        <v>91</v>
      </c>
      <c r="D696" s="43">
        <v>1.0</v>
      </c>
      <c r="E696" s="43">
        <v>10.0</v>
      </c>
      <c r="F696" s="44">
        <f>IFERROR(__xludf.DUMMYFUNCTION("""COMPUTED_VALUE"""),0.0)</f>
        <v>0</v>
      </c>
      <c r="G696" s="44" t="s">
        <v>112</v>
      </c>
      <c r="H696" s="43" t="s">
        <v>113</v>
      </c>
      <c r="I696" s="43" t="s">
        <v>115</v>
      </c>
      <c r="J696" s="47" t="s">
        <v>115</v>
      </c>
      <c r="K696" s="38">
        <v>2.0</v>
      </c>
      <c r="L696" s="38">
        <v>10.0</v>
      </c>
      <c r="M696" s="38" t="str">
        <f>IFERROR(__xludf.DUMMYFUNCTION("""COMPUTED_VALUE"""),"General Sparepart")</f>
        <v>General Sparepart</v>
      </c>
      <c r="N696" s="38">
        <v>24.0</v>
      </c>
      <c r="O696" s="40">
        <v>46247.0</v>
      </c>
      <c r="P696" s="38" t="s">
        <v>126</v>
      </c>
      <c r="Q696" s="42">
        <v>2.0</v>
      </c>
      <c r="R696" s="42">
        <v>1.0909090909090908</v>
      </c>
      <c r="S696" s="38">
        <v>10.0</v>
      </c>
      <c r="T696" s="42">
        <v>1.727272727272727</v>
      </c>
      <c r="U696" s="46">
        <v>10.0</v>
      </c>
    </row>
    <row r="697">
      <c r="A697" s="43" t="s">
        <v>1684</v>
      </c>
      <c r="B697" s="47" t="s">
        <v>1685</v>
      </c>
      <c r="C697" s="43" t="s">
        <v>91</v>
      </c>
      <c r="D697" s="43">
        <v>2.0</v>
      </c>
      <c r="E697" s="43">
        <v>10.0</v>
      </c>
      <c r="F697" s="44">
        <f>IFERROR(__xludf.DUMMYFUNCTION("""COMPUTED_VALUE"""),0.0)</f>
        <v>0</v>
      </c>
      <c r="G697" s="44" t="s">
        <v>112</v>
      </c>
      <c r="H697" s="43" t="s">
        <v>113</v>
      </c>
      <c r="I697" s="43" t="s">
        <v>115</v>
      </c>
      <c r="J697" s="47" t="s">
        <v>115</v>
      </c>
      <c r="K697" s="38">
        <v>1.0</v>
      </c>
      <c r="L697" s="38">
        <v>7.0</v>
      </c>
      <c r="M697" s="38" t="str">
        <f>IFERROR(__xludf.DUMMYFUNCTION("""COMPUTED_VALUE"""),"General Sparepart")</f>
        <v>General Sparepart</v>
      </c>
      <c r="N697" s="38">
        <v>24.0</v>
      </c>
      <c r="O697" s="40">
        <v>45975.0</v>
      </c>
      <c r="P697" s="38" t="s">
        <v>126</v>
      </c>
      <c r="Q697" s="42">
        <v>6.0</v>
      </c>
      <c r="R697" s="42">
        <v>8.727272727272727</v>
      </c>
      <c r="S697" s="38">
        <v>0.0</v>
      </c>
      <c r="T697" s="42">
        <v>6.818181818181817</v>
      </c>
      <c r="U697" s="42">
        <v>6.818181818181817</v>
      </c>
    </row>
    <row r="698">
      <c r="A698" s="43" t="s">
        <v>1686</v>
      </c>
      <c r="B698" s="47" t="s">
        <v>1687</v>
      </c>
      <c r="C698" s="43" t="s">
        <v>91</v>
      </c>
      <c r="D698" s="43">
        <v>3.0</v>
      </c>
      <c r="E698" s="43">
        <v>10.0</v>
      </c>
      <c r="F698" s="44">
        <f>IFERROR(__xludf.DUMMYFUNCTION("""COMPUTED_VALUE"""),0.0)</f>
        <v>0</v>
      </c>
      <c r="G698" s="44" t="s">
        <v>112</v>
      </c>
      <c r="H698" s="43" t="s">
        <v>113</v>
      </c>
      <c r="I698" s="43" t="s">
        <v>115</v>
      </c>
      <c r="J698" s="47" t="s">
        <v>115</v>
      </c>
      <c r="K698" s="38">
        <v>2.0</v>
      </c>
      <c r="L698" s="38">
        <v>10.0</v>
      </c>
      <c r="M698" s="38" t="str">
        <f>IFERROR(__xludf.DUMMYFUNCTION("""COMPUTED_VALUE"""),"Fast Moving / Consumable")</f>
        <v>Fast Moving / Consumable</v>
      </c>
      <c r="N698" s="38">
        <v>18.0</v>
      </c>
      <c r="O698" s="40">
        <v>46234.0</v>
      </c>
      <c r="P698" s="38" t="s">
        <v>126</v>
      </c>
      <c r="Q698" s="42">
        <v>11.0</v>
      </c>
      <c r="R698" s="42">
        <v>4.909090909090909</v>
      </c>
      <c r="S698" s="38">
        <v>0.0</v>
      </c>
      <c r="T698" s="42">
        <v>9.172727272727272</v>
      </c>
      <c r="U698" s="42">
        <v>9.172727272727272</v>
      </c>
    </row>
    <row r="699">
      <c r="A699" s="43" t="s">
        <v>1688</v>
      </c>
      <c r="B699" s="47" t="s">
        <v>1689</v>
      </c>
      <c r="C699" s="43" t="s">
        <v>91</v>
      </c>
      <c r="D699" s="43">
        <v>1.0</v>
      </c>
      <c r="E699" s="43">
        <v>3.0</v>
      </c>
      <c r="F699" s="44">
        <f>IFERROR(__xludf.DUMMYFUNCTION("""COMPUTED_VALUE"""),0.0)</f>
        <v>0</v>
      </c>
      <c r="G699" s="44" t="s">
        <v>112</v>
      </c>
      <c r="H699" s="43" t="s">
        <v>113</v>
      </c>
      <c r="I699" s="43" t="s">
        <v>115</v>
      </c>
      <c r="J699" s="47" t="s">
        <v>115</v>
      </c>
      <c r="K699" s="38">
        <v>1.0</v>
      </c>
      <c r="L699" s="38">
        <v>3.0</v>
      </c>
      <c r="M699" s="38" t="str">
        <f>IFERROR(__xludf.DUMMYFUNCTION("""COMPUTED_VALUE"""),"General Sparepart")</f>
        <v>General Sparepart</v>
      </c>
      <c r="N699" s="38">
        <v>24.0</v>
      </c>
      <c r="O699" s="40">
        <v>46260.0</v>
      </c>
      <c r="P699" s="38" t="s">
        <v>126</v>
      </c>
      <c r="Q699" s="42">
        <v>3.0</v>
      </c>
      <c r="R699" s="42">
        <v>1.3636363636363635</v>
      </c>
      <c r="S699" s="38">
        <v>3.0</v>
      </c>
      <c r="T699" s="42">
        <v>2.509090909090909</v>
      </c>
      <c r="U699" s="46">
        <v>3.0</v>
      </c>
    </row>
    <row r="700">
      <c r="A700" s="43" t="s">
        <v>1690</v>
      </c>
      <c r="B700" s="47" t="s">
        <v>1691</v>
      </c>
      <c r="C700" s="43" t="s">
        <v>91</v>
      </c>
      <c r="D700" s="43">
        <v>1.0</v>
      </c>
      <c r="E700" s="43">
        <v>4.0</v>
      </c>
      <c r="F700" s="44">
        <f>IFERROR(__xludf.DUMMYFUNCTION("""COMPUTED_VALUE"""),4.0)</f>
        <v>4</v>
      </c>
      <c r="G700" s="44" t="s">
        <v>122</v>
      </c>
      <c r="H700" s="43" t="s">
        <v>113</v>
      </c>
      <c r="I700" s="43" t="s">
        <v>115</v>
      </c>
      <c r="J700" s="47" t="s">
        <v>115</v>
      </c>
      <c r="K700" s="38">
        <v>1.0</v>
      </c>
      <c r="L700" s="38">
        <v>4.0</v>
      </c>
      <c r="M700" s="38" t="str">
        <f>IFERROR(__xludf.DUMMYFUNCTION("""COMPUTED_VALUE"""),"General Sparepart")</f>
        <v>General Sparepart</v>
      </c>
      <c r="N700" s="38">
        <v>24.0</v>
      </c>
      <c r="O700" s="40">
        <v>46055.0</v>
      </c>
      <c r="P700" s="38" t="s">
        <v>126</v>
      </c>
      <c r="Q700" s="42">
        <v>3.0</v>
      </c>
      <c r="R700" s="42">
        <v>0.2727272727272727</v>
      </c>
      <c r="S700" s="38">
        <v>4.0</v>
      </c>
      <c r="T700" s="42">
        <v>2.1818181818181817</v>
      </c>
      <c r="U700" s="46">
        <v>4.0</v>
      </c>
    </row>
    <row r="701">
      <c r="A701" s="43" t="s">
        <v>1692</v>
      </c>
      <c r="B701" s="47" t="s">
        <v>1693</v>
      </c>
      <c r="C701" s="43" t="s">
        <v>91</v>
      </c>
      <c r="D701" s="43">
        <v>1.0</v>
      </c>
      <c r="E701" s="43">
        <v>20.0</v>
      </c>
      <c r="F701" s="44">
        <f>IFERROR(__xludf.DUMMYFUNCTION("""COMPUTED_VALUE"""),9.0)</f>
        <v>9</v>
      </c>
      <c r="G701" s="44" t="s">
        <v>122</v>
      </c>
      <c r="H701" s="43" t="s">
        <v>113</v>
      </c>
      <c r="I701" s="43" t="s">
        <v>115</v>
      </c>
      <c r="J701" s="47" t="s">
        <v>115</v>
      </c>
      <c r="K701" s="38">
        <v>2.0</v>
      </c>
      <c r="L701" s="38">
        <v>17.0</v>
      </c>
      <c r="M701" s="38" t="str">
        <f>IFERROR(__xludf.DUMMYFUNCTION("""COMPUTED_VALUE"""),"General Sparepart")</f>
        <v>General Sparepart</v>
      </c>
      <c r="N701" s="38">
        <v>24.0</v>
      </c>
      <c r="O701" s="40">
        <v>46260.0</v>
      </c>
      <c r="P701" s="38" t="s">
        <v>126</v>
      </c>
      <c r="Q701" s="42">
        <v>19.0</v>
      </c>
      <c r="R701" s="42">
        <v>11.727272727272727</v>
      </c>
      <c r="S701" s="38">
        <v>10.0</v>
      </c>
      <c r="T701" s="42">
        <v>16.818181818181817</v>
      </c>
      <c r="U701" s="42">
        <v>16.818181818181817</v>
      </c>
    </row>
    <row r="702">
      <c r="A702" s="43" t="s">
        <v>1694</v>
      </c>
      <c r="B702" s="47" t="s">
        <v>1695</v>
      </c>
      <c r="C702" s="43" t="s">
        <v>91</v>
      </c>
      <c r="D702" s="43">
        <v>3.0</v>
      </c>
      <c r="E702" s="43">
        <v>30.0</v>
      </c>
      <c r="F702" s="44">
        <f>IFERROR(__xludf.DUMMYFUNCTION("""COMPUTED_VALUE"""),11.0)</f>
        <v>11</v>
      </c>
      <c r="G702" s="44" t="s">
        <v>122</v>
      </c>
      <c r="H702" s="43" t="s">
        <v>113</v>
      </c>
      <c r="I702" s="43" t="s">
        <v>115</v>
      </c>
      <c r="J702" s="47" t="s">
        <v>115</v>
      </c>
      <c r="K702" s="38">
        <v>4.0</v>
      </c>
      <c r="L702" s="38">
        <v>30.0</v>
      </c>
      <c r="M702" s="38" t="str">
        <f>IFERROR(__xludf.DUMMYFUNCTION("""COMPUTED_VALUE"""),"General Sparepart")</f>
        <v>General Sparepart</v>
      </c>
      <c r="N702" s="38">
        <v>24.0</v>
      </c>
      <c r="O702" s="40">
        <v>46260.0</v>
      </c>
      <c r="P702" s="38" t="s">
        <v>126</v>
      </c>
      <c r="Q702" s="42">
        <v>29.0</v>
      </c>
      <c r="R702" s="42">
        <v>31.90909090909091</v>
      </c>
      <c r="S702" s="38">
        <v>20.0</v>
      </c>
      <c r="T702" s="42">
        <v>29.872727272727268</v>
      </c>
      <c r="U702" s="42">
        <v>29.872727272727268</v>
      </c>
    </row>
    <row r="703">
      <c r="A703" s="43" t="s">
        <v>1696</v>
      </c>
      <c r="B703" s="47" t="s">
        <v>1697</v>
      </c>
      <c r="C703" s="43" t="s">
        <v>91</v>
      </c>
      <c r="D703" s="43">
        <v>1.0</v>
      </c>
      <c r="E703" s="43">
        <v>2.0</v>
      </c>
      <c r="F703" s="44">
        <f>IFERROR(__xludf.DUMMYFUNCTION("""COMPUTED_VALUE"""),0.0)</f>
        <v>0</v>
      </c>
      <c r="G703" s="44" t="s">
        <v>112</v>
      </c>
      <c r="H703" s="43" t="s">
        <v>113</v>
      </c>
      <c r="I703" s="43" t="s">
        <v>115</v>
      </c>
      <c r="J703" s="47" t="s">
        <v>115</v>
      </c>
      <c r="K703" s="38">
        <v>1.0</v>
      </c>
      <c r="L703" s="38">
        <v>2.0</v>
      </c>
      <c r="M703" s="38" t="str">
        <f>IFERROR(__xludf.DUMMYFUNCTION("""COMPUTED_VALUE"""),"General Sparepart")</f>
        <v>General Sparepart</v>
      </c>
      <c r="N703" s="38">
        <v>24.0</v>
      </c>
      <c r="O703" s="40">
        <v>46247.0</v>
      </c>
      <c r="P703" s="38" t="s">
        <v>126</v>
      </c>
      <c r="Q703" s="42">
        <v>1.0</v>
      </c>
      <c r="R703" s="42">
        <v>1.3636363636363635</v>
      </c>
      <c r="S703" s="38">
        <v>2.0</v>
      </c>
      <c r="T703" s="42">
        <v>1.109090909090909</v>
      </c>
      <c r="U703" s="46">
        <v>2.0</v>
      </c>
    </row>
    <row r="704">
      <c r="A704" s="43" t="s">
        <v>1698</v>
      </c>
      <c r="B704" s="47" t="s">
        <v>1699</v>
      </c>
      <c r="C704" s="43" t="s">
        <v>91</v>
      </c>
      <c r="D704" s="43">
        <v>1.0</v>
      </c>
      <c r="E704" s="43">
        <v>10.0</v>
      </c>
      <c r="F704" s="44">
        <f>IFERROR(__xludf.DUMMYFUNCTION("""COMPUTED_VALUE"""),4.0)</f>
        <v>4</v>
      </c>
      <c r="G704" s="44" t="s">
        <v>122</v>
      </c>
      <c r="H704" s="43" t="s">
        <v>113</v>
      </c>
      <c r="I704" s="43" t="s">
        <v>115</v>
      </c>
      <c r="J704" s="47" t="s">
        <v>115</v>
      </c>
      <c r="K704" s="38">
        <v>1.0</v>
      </c>
      <c r="L704" s="38">
        <v>8.0</v>
      </c>
      <c r="M704" s="38" t="str">
        <f>IFERROR(__xludf.DUMMYFUNCTION("""COMPUTED_VALUE"""),"General Sparepart")</f>
        <v>General Sparepart</v>
      </c>
      <c r="N704" s="38">
        <v>24.0</v>
      </c>
      <c r="O704" s="40">
        <v>46203.0</v>
      </c>
      <c r="P704" s="38" t="s">
        <v>126</v>
      </c>
      <c r="Q704" s="42">
        <v>8.0</v>
      </c>
      <c r="R704" s="42">
        <v>5.181818181818182</v>
      </c>
      <c r="S704" s="38">
        <v>0.0</v>
      </c>
      <c r="T704" s="42">
        <v>7.154545454545454</v>
      </c>
      <c r="U704" s="42">
        <v>7.154545454545454</v>
      </c>
    </row>
    <row r="705">
      <c r="A705" s="43" t="s">
        <v>1700</v>
      </c>
      <c r="B705" s="47" t="s">
        <v>1701</v>
      </c>
      <c r="C705" s="43" t="s">
        <v>91</v>
      </c>
      <c r="D705" s="43">
        <v>1.0</v>
      </c>
      <c r="E705" s="43">
        <v>5.0</v>
      </c>
      <c r="F705" s="44">
        <f>IFERROR(__xludf.DUMMYFUNCTION("""COMPUTED_VALUE"""),0.0)</f>
        <v>0</v>
      </c>
      <c r="G705" s="44" t="s">
        <v>112</v>
      </c>
      <c r="H705" s="43" t="s">
        <v>113</v>
      </c>
      <c r="I705" s="43" t="s">
        <v>141</v>
      </c>
      <c r="J705" s="47" t="s">
        <v>1702</v>
      </c>
      <c r="K705" s="38">
        <v>1.0</v>
      </c>
      <c r="L705" s="38">
        <v>8.0</v>
      </c>
      <c r="M705" s="38" t="str">
        <f>IFERROR(__xludf.DUMMYFUNCTION("""COMPUTED_VALUE"""),"General Sparepart")</f>
        <v>General Sparepart</v>
      </c>
      <c r="N705" s="38">
        <v>24.0</v>
      </c>
      <c r="O705" s="40">
        <v>45808.0</v>
      </c>
      <c r="P705" s="38" t="s">
        <v>126</v>
      </c>
      <c r="Q705" s="42">
        <v>8.0</v>
      </c>
      <c r="R705" s="42">
        <v>7.909090909090908</v>
      </c>
      <c r="S705" s="38">
        <v>0.0</v>
      </c>
      <c r="T705" s="42">
        <v>7.972727272727273</v>
      </c>
      <c r="U705" s="42">
        <v>7.972727272727273</v>
      </c>
    </row>
    <row r="706">
      <c r="A706" s="43" t="s">
        <v>1703</v>
      </c>
      <c r="B706" s="47" t="s">
        <v>1704</v>
      </c>
      <c r="C706" s="43" t="s">
        <v>91</v>
      </c>
      <c r="D706" s="43">
        <v>1.0</v>
      </c>
      <c r="E706" s="43">
        <v>2.0</v>
      </c>
      <c r="F706" s="44">
        <f>IFERROR(__xludf.DUMMYFUNCTION("""COMPUTED_VALUE"""),0.0)</f>
        <v>0</v>
      </c>
      <c r="G706" s="44" t="s">
        <v>112</v>
      </c>
      <c r="H706" s="43" t="s">
        <v>113</v>
      </c>
      <c r="I706" s="43" t="s">
        <v>141</v>
      </c>
      <c r="J706" s="47" t="s">
        <v>1702</v>
      </c>
      <c r="K706" s="38">
        <v>0.0</v>
      </c>
      <c r="L706" s="38">
        <v>0.0</v>
      </c>
      <c r="M706" s="38" t="str">
        <f>IFERROR(__xludf.DUMMYFUNCTION("""COMPUTED_VALUE"""),"General Sparepart")</f>
        <v>General Sparepart</v>
      </c>
      <c r="N706" s="38">
        <v>24.0</v>
      </c>
      <c r="O706" s="40">
        <v>45139.0</v>
      </c>
      <c r="P706" s="38" t="s">
        <v>116</v>
      </c>
      <c r="Q706" s="42">
        <v>1.0</v>
      </c>
      <c r="R706" s="42">
        <v>0.2727272727272727</v>
      </c>
      <c r="S706" s="38">
        <v>0.0</v>
      </c>
      <c r="T706" s="42">
        <v>0.7818181818181817</v>
      </c>
      <c r="U706" s="42">
        <v>0.7818181818181817</v>
      </c>
    </row>
    <row r="707">
      <c r="A707" s="43" t="s">
        <v>1705</v>
      </c>
      <c r="B707" s="47" t="s">
        <v>1706</v>
      </c>
      <c r="C707" s="43" t="s">
        <v>91</v>
      </c>
      <c r="D707" s="43">
        <v>3.0</v>
      </c>
      <c r="E707" s="43">
        <v>20.0</v>
      </c>
      <c r="F707" s="44">
        <f>IFERROR(__xludf.DUMMYFUNCTION("""COMPUTED_VALUE"""),10.0)</f>
        <v>10</v>
      </c>
      <c r="G707" s="44" t="s">
        <v>122</v>
      </c>
      <c r="H707" s="43" t="s">
        <v>113</v>
      </c>
      <c r="I707" s="43" t="s">
        <v>115</v>
      </c>
      <c r="J707" s="47" t="s">
        <v>115</v>
      </c>
      <c r="K707" s="38">
        <v>3.0</v>
      </c>
      <c r="L707" s="38">
        <v>20.0</v>
      </c>
      <c r="M707" s="38" t="str">
        <f>IFERROR(__xludf.DUMMYFUNCTION("""COMPUTED_VALUE"""),"General Sparepart")</f>
        <v>General Sparepart</v>
      </c>
      <c r="N707" s="38">
        <v>24.0</v>
      </c>
      <c r="O707" s="40">
        <v>46142.0</v>
      </c>
      <c r="P707" s="38" t="s">
        <v>126</v>
      </c>
      <c r="Q707" s="42">
        <v>12.0</v>
      </c>
      <c r="R707" s="42">
        <v>14.181818181818183</v>
      </c>
      <c r="S707" s="38">
        <v>20.0</v>
      </c>
      <c r="T707" s="42">
        <v>12.654545454545453</v>
      </c>
      <c r="U707" s="46">
        <v>20.0</v>
      </c>
    </row>
    <row r="708">
      <c r="A708" s="43" t="s">
        <v>1707</v>
      </c>
      <c r="B708" s="47" t="s">
        <v>1708</v>
      </c>
      <c r="C708" s="43" t="s">
        <v>91</v>
      </c>
      <c r="D708" s="43">
        <v>10.0</v>
      </c>
      <c r="E708" s="43">
        <v>50.0</v>
      </c>
      <c r="F708" s="44">
        <f>IFERROR(__xludf.DUMMYFUNCTION("""COMPUTED_VALUE"""),0.0)</f>
        <v>0</v>
      </c>
      <c r="G708" s="44" t="s">
        <v>112</v>
      </c>
      <c r="H708" s="43" t="s">
        <v>113</v>
      </c>
      <c r="I708" s="43" t="s">
        <v>141</v>
      </c>
      <c r="J708" s="47" t="s">
        <v>1709</v>
      </c>
      <c r="K708" s="38">
        <v>6.0</v>
      </c>
      <c r="L708" s="38">
        <v>50.0</v>
      </c>
      <c r="M708" s="38" t="str">
        <f>IFERROR(__xludf.DUMMYFUNCTION("""COMPUTED_VALUE"""),"Critical Sparepart")</f>
        <v>Critical Sparepart</v>
      </c>
      <c r="N708" s="38">
        <v>36.0</v>
      </c>
      <c r="O708" s="40">
        <v>46080.0</v>
      </c>
      <c r="P708" s="38" t="s">
        <v>126</v>
      </c>
      <c r="Q708" s="42">
        <v>48.0</v>
      </c>
      <c r="R708" s="42">
        <v>52.09090909090909</v>
      </c>
      <c r="S708" s="38">
        <v>0.0</v>
      </c>
      <c r="T708" s="42">
        <v>49.22727272727272</v>
      </c>
      <c r="U708" s="42">
        <v>49.22727272727272</v>
      </c>
    </row>
    <row r="709">
      <c r="A709" s="43" t="s">
        <v>1710</v>
      </c>
      <c r="B709" s="47" t="s">
        <v>1711</v>
      </c>
      <c r="C709" s="43" t="s">
        <v>91</v>
      </c>
      <c r="D709" s="43">
        <v>1.0</v>
      </c>
      <c r="E709" s="43">
        <v>3.0</v>
      </c>
      <c r="F709" s="44">
        <f>IFERROR(__xludf.DUMMYFUNCTION("""COMPUTED_VALUE"""),3.0)</f>
        <v>3</v>
      </c>
      <c r="G709" s="44" t="s">
        <v>122</v>
      </c>
      <c r="H709" s="43" t="s">
        <v>113</v>
      </c>
      <c r="I709" s="43" t="s">
        <v>115</v>
      </c>
      <c r="J709" s="47" t="s">
        <v>115</v>
      </c>
      <c r="K709" s="38">
        <v>1.0</v>
      </c>
      <c r="L709" s="38">
        <v>4.0</v>
      </c>
      <c r="M709" s="38" t="str">
        <f>IFERROR(__xludf.DUMMYFUNCTION("""COMPUTED_VALUE"""),"General Sparepart")</f>
        <v>General Sparepart</v>
      </c>
      <c r="N709" s="38">
        <v>24.0</v>
      </c>
      <c r="O709" s="40">
        <v>46080.0</v>
      </c>
      <c r="P709" s="38" t="s">
        <v>126</v>
      </c>
      <c r="Q709" s="42">
        <v>4.0</v>
      </c>
      <c r="R709" s="42">
        <v>1.6363636363636362</v>
      </c>
      <c r="S709" s="38">
        <v>3.0</v>
      </c>
      <c r="T709" s="42">
        <v>3.2909090909090906</v>
      </c>
      <c r="U709" s="42">
        <v>3.2909090909090906</v>
      </c>
    </row>
    <row r="710">
      <c r="A710" s="43" t="s">
        <v>1712</v>
      </c>
      <c r="B710" s="47" t="s">
        <v>1713</v>
      </c>
      <c r="C710" s="43" t="s">
        <v>91</v>
      </c>
      <c r="D710" s="43">
        <v>1.0</v>
      </c>
      <c r="E710" s="43">
        <v>2.0</v>
      </c>
      <c r="F710" s="44">
        <f>IFERROR(__xludf.DUMMYFUNCTION("""COMPUTED_VALUE"""),2.0)</f>
        <v>2</v>
      </c>
      <c r="G710" s="44" t="s">
        <v>122</v>
      </c>
      <c r="H710" s="43" t="s">
        <v>113</v>
      </c>
      <c r="I710" s="43" t="s">
        <v>115</v>
      </c>
      <c r="J710" s="47" t="s">
        <v>115</v>
      </c>
      <c r="K710" s="38">
        <v>1.0</v>
      </c>
      <c r="L710" s="38">
        <v>1.0</v>
      </c>
      <c r="M710" s="38" t="str">
        <f>IFERROR(__xludf.DUMMYFUNCTION("""COMPUTED_VALUE"""),"General Sparepart")</f>
        <v>General Sparepart</v>
      </c>
      <c r="N710" s="38">
        <v>24.0</v>
      </c>
      <c r="O710" s="40">
        <v>45818.0</v>
      </c>
      <c r="P710" s="38" t="s">
        <v>126</v>
      </c>
      <c r="Q710" s="42">
        <v>1.0</v>
      </c>
      <c r="R710" s="42">
        <v>0.5454545454545454</v>
      </c>
      <c r="S710" s="38">
        <v>0.0</v>
      </c>
      <c r="T710" s="42">
        <v>0.8636363636363635</v>
      </c>
      <c r="U710" s="42">
        <v>0.8636363636363635</v>
      </c>
    </row>
    <row r="711">
      <c r="A711" s="43" t="s">
        <v>1714</v>
      </c>
      <c r="B711" s="47" t="s">
        <v>1715</v>
      </c>
      <c r="C711" s="43" t="s">
        <v>91</v>
      </c>
      <c r="D711" s="43">
        <v>1.0</v>
      </c>
      <c r="E711" s="43">
        <v>1.0</v>
      </c>
      <c r="F711" s="44">
        <f>IFERROR(__xludf.DUMMYFUNCTION("""COMPUTED_VALUE"""),0.0)</f>
        <v>0</v>
      </c>
      <c r="G711" s="44" t="s">
        <v>112</v>
      </c>
      <c r="H711" s="43" t="s">
        <v>113</v>
      </c>
      <c r="I711" s="43" t="s">
        <v>115</v>
      </c>
      <c r="J711" s="47" t="s">
        <v>115</v>
      </c>
      <c r="K711" s="38">
        <v>1.0</v>
      </c>
      <c r="L711" s="38">
        <v>1.0</v>
      </c>
      <c r="M711" s="38" t="str">
        <f>IFERROR(__xludf.DUMMYFUNCTION("""COMPUTED_VALUE"""),"Critical Sparepart")</f>
        <v>Critical Sparepart</v>
      </c>
      <c r="N711" s="38">
        <v>36.0</v>
      </c>
      <c r="O711" s="40">
        <v>46247.0</v>
      </c>
      <c r="P711" s="38" t="s">
        <v>126</v>
      </c>
      <c r="Q711" s="42">
        <v>1.0</v>
      </c>
      <c r="R711" s="42">
        <v>0.2727272727272727</v>
      </c>
      <c r="S711" s="38">
        <v>1.0</v>
      </c>
      <c r="T711" s="42">
        <v>0.7818181818181817</v>
      </c>
      <c r="U711" s="46">
        <v>1.0</v>
      </c>
    </row>
    <row r="712">
      <c r="A712" s="43" t="s">
        <v>1716</v>
      </c>
      <c r="B712" s="47" t="s">
        <v>1717</v>
      </c>
      <c r="C712" s="43" t="s">
        <v>91</v>
      </c>
      <c r="D712" s="43">
        <v>1.0</v>
      </c>
      <c r="E712" s="43">
        <v>5.0</v>
      </c>
      <c r="F712" s="44">
        <f>IFERROR(__xludf.DUMMYFUNCTION("""COMPUTED_VALUE"""),8.0)</f>
        <v>8</v>
      </c>
      <c r="G712" s="44" t="s">
        <v>122</v>
      </c>
      <c r="H712" s="43" t="s">
        <v>113</v>
      </c>
      <c r="I712" s="43" t="s">
        <v>115</v>
      </c>
      <c r="J712" s="47" t="s">
        <v>115</v>
      </c>
      <c r="K712" s="38">
        <v>0.0</v>
      </c>
      <c r="L712" s="38">
        <v>0.0</v>
      </c>
      <c r="M712" s="38" t="str">
        <f>IFERROR(__xludf.DUMMYFUNCTION("""COMPUTED_VALUE"""),"Fast Moving / Consumable")</f>
        <v>Fast Moving / Consumable</v>
      </c>
      <c r="N712" s="38">
        <v>18.0</v>
      </c>
      <c r="O712" s="40">
        <v>45426.0</v>
      </c>
      <c r="P712" s="38" t="s">
        <v>116</v>
      </c>
      <c r="Q712" s="42">
        <v>2.0</v>
      </c>
      <c r="R712" s="42">
        <v>0.2727272727272727</v>
      </c>
      <c r="S712" s="38">
        <v>0.0</v>
      </c>
      <c r="T712" s="42">
        <v>1.4818181818181817</v>
      </c>
      <c r="U712" s="42">
        <v>1.4818181818181817</v>
      </c>
    </row>
    <row r="713">
      <c r="A713" s="43" t="s">
        <v>1718</v>
      </c>
      <c r="B713" s="47" t="s">
        <v>1719</v>
      </c>
      <c r="C713" s="43" t="s">
        <v>91</v>
      </c>
      <c r="D713" s="43">
        <v>2.0</v>
      </c>
      <c r="E713" s="43">
        <v>15.0</v>
      </c>
      <c r="F713" s="44">
        <f>IFERROR(__xludf.DUMMYFUNCTION("""COMPUTED_VALUE"""),0.0)</f>
        <v>0</v>
      </c>
      <c r="G713" s="44" t="s">
        <v>112</v>
      </c>
      <c r="H713" s="43" t="s">
        <v>113</v>
      </c>
      <c r="I713" s="43" t="s">
        <v>115</v>
      </c>
      <c r="J713" s="47" t="s">
        <v>115</v>
      </c>
      <c r="K713" s="38">
        <v>2.0</v>
      </c>
      <c r="L713" s="38">
        <v>10.0</v>
      </c>
      <c r="M713" s="38" t="str">
        <f>IFERROR(__xludf.DUMMYFUNCTION("""COMPUTED_VALUE"""),"Fast Moving / Consumable")</f>
        <v>Fast Moving / Consumable</v>
      </c>
      <c r="N713" s="38">
        <v>18.0</v>
      </c>
      <c r="O713" s="40">
        <v>46255.0</v>
      </c>
      <c r="P713" s="38" t="s">
        <v>126</v>
      </c>
      <c r="Q713" s="42">
        <v>6.0</v>
      </c>
      <c r="R713" s="42">
        <v>1.9090909090909092</v>
      </c>
      <c r="S713" s="38">
        <v>10.0</v>
      </c>
      <c r="T713" s="42">
        <v>4.772727272727272</v>
      </c>
      <c r="U713" s="46">
        <v>10.0</v>
      </c>
    </row>
    <row r="714">
      <c r="A714" s="43" t="s">
        <v>1720</v>
      </c>
      <c r="B714" s="47" t="s">
        <v>1721</v>
      </c>
      <c r="C714" s="43" t="s">
        <v>91</v>
      </c>
      <c r="D714" s="43">
        <v>100.0</v>
      </c>
      <c r="E714" s="43">
        <v>2440.0</v>
      </c>
      <c r="F714" s="44">
        <f>IFERROR(__xludf.DUMMYFUNCTION("""COMPUTED_VALUE"""),0.0)</f>
        <v>0</v>
      </c>
      <c r="G714" s="44" t="s">
        <v>112</v>
      </c>
      <c r="H714" s="43" t="s">
        <v>113</v>
      </c>
      <c r="I714" s="43" t="s">
        <v>115</v>
      </c>
      <c r="J714" s="47" t="s">
        <v>115</v>
      </c>
      <c r="K714" s="38">
        <v>255.0</v>
      </c>
      <c r="L714" s="38">
        <v>2440.0</v>
      </c>
      <c r="M714" s="38" t="str">
        <f>IFERROR(__xludf.DUMMYFUNCTION("""COMPUTED_VALUE"""),"Fast Moving / Consumable")</f>
        <v>Fast Moving / Consumable</v>
      </c>
      <c r="N714" s="38">
        <v>18.0</v>
      </c>
      <c r="O714" s="40">
        <v>46260.0</v>
      </c>
      <c r="P714" s="38" t="s">
        <v>126</v>
      </c>
      <c r="Q714" s="42">
        <v>1830.0</v>
      </c>
      <c r="R714" s="42">
        <v>609.2727272727273</v>
      </c>
      <c r="S714" s="38">
        <v>2440.0</v>
      </c>
      <c r="T714" s="42">
        <v>1463.7818181818182</v>
      </c>
      <c r="U714" s="46">
        <v>2440.0</v>
      </c>
    </row>
    <row r="715">
      <c r="A715" s="43" t="s">
        <v>1722</v>
      </c>
      <c r="B715" s="47" t="s">
        <v>1723</v>
      </c>
      <c r="C715" s="43" t="s">
        <v>91</v>
      </c>
      <c r="D715" s="43">
        <v>20.0</v>
      </c>
      <c r="E715" s="43">
        <v>70.0</v>
      </c>
      <c r="F715" s="44">
        <f>IFERROR(__xludf.DUMMYFUNCTION("""COMPUTED_VALUE"""),10.0)</f>
        <v>10</v>
      </c>
      <c r="G715" s="44" t="s">
        <v>112</v>
      </c>
      <c r="H715" s="43" t="s">
        <v>113</v>
      </c>
      <c r="I715" s="43" t="s">
        <v>115</v>
      </c>
      <c r="J715" s="47" t="s">
        <v>115</v>
      </c>
      <c r="K715" s="38">
        <v>15.0</v>
      </c>
      <c r="L715" s="38">
        <v>143.0</v>
      </c>
      <c r="M715" s="38" t="str">
        <f>IFERROR(__xludf.DUMMYFUNCTION("""COMPUTED_VALUE"""),"Fast Moving / Consumable")</f>
        <v>Fast Moving / Consumable</v>
      </c>
      <c r="N715" s="38">
        <v>18.0</v>
      </c>
      <c r="O715" s="40">
        <v>46239.0</v>
      </c>
      <c r="P715" s="38" t="s">
        <v>126</v>
      </c>
      <c r="Q715" s="42">
        <v>138.0</v>
      </c>
      <c r="R715" s="42">
        <v>154.0909090909091</v>
      </c>
      <c r="S715" s="38">
        <v>40.0</v>
      </c>
      <c r="T715" s="42">
        <v>142.8272727272727</v>
      </c>
      <c r="U715" s="42">
        <v>142.8272727272727</v>
      </c>
    </row>
    <row r="716">
      <c r="A716" s="43" t="s">
        <v>1724</v>
      </c>
      <c r="B716" s="47" t="s">
        <v>1725</v>
      </c>
      <c r="C716" s="43" t="s">
        <v>91</v>
      </c>
      <c r="D716" s="43">
        <v>30.0</v>
      </c>
      <c r="E716" s="43">
        <v>100.0</v>
      </c>
      <c r="F716" s="44">
        <f>IFERROR(__xludf.DUMMYFUNCTION("""COMPUTED_VALUE"""),0.0)</f>
        <v>0</v>
      </c>
      <c r="G716" s="44" t="s">
        <v>112</v>
      </c>
      <c r="H716" s="43" t="s">
        <v>113</v>
      </c>
      <c r="I716" s="43" t="s">
        <v>115</v>
      </c>
      <c r="J716" s="47" t="s">
        <v>115</v>
      </c>
      <c r="K716" s="38">
        <v>19.0</v>
      </c>
      <c r="L716" s="38">
        <v>176.0</v>
      </c>
      <c r="M716" s="38" t="str">
        <f>IFERROR(__xludf.DUMMYFUNCTION("""COMPUTED_VALUE"""),"Fast Moving / Consumable")</f>
        <v>Fast Moving / Consumable</v>
      </c>
      <c r="N716" s="38">
        <v>18.0</v>
      </c>
      <c r="O716" s="40">
        <v>46239.0</v>
      </c>
      <c r="P716" s="38" t="s">
        <v>126</v>
      </c>
      <c r="Q716" s="42">
        <v>171.0</v>
      </c>
      <c r="R716" s="42">
        <v>186.8181818181818</v>
      </c>
      <c r="S716" s="38">
        <v>40.0</v>
      </c>
      <c r="T716" s="42">
        <v>175.74545454545452</v>
      </c>
      <c r="U716" s="42">
        <v>175.74545454545452</v>
      </c>
    </row>
    <row r="717">
      <c r="A717" s="43" t="s">
        <v>1726</v>
      </c>
      <c r="B717" s="47" t="s">
        <v>1727</v>
      </c>
      <c r="C717" s="43" t="s">
        <v>91</v>
      </c>
      <c r="D717" s="43">
        <v>2.0</v>
      </c>
      <c r="E717" s="43">
        <v>15.0</v>
      </c>
      <c r="F717" s="44">
        <f>IFERROR(__xludf.DUMMYFUNCTION("""COMPUTED_VALUE"""),3.0)</f>
        <v>3</v>
      </c>
      <c r="G717" s="44" t="s">
        <v>122</v>
      </c>
      <c r="H717" s="43" t="s">
        <v>113</v>
      </c>
      <c r="I717" s="43" t="s">
        <v>115</v>
      </c>
      <c r="J717" s="47" t="s">
        <v>115</v>
      </c>
      <c r="K717" s="38">
        <v>1.0</v>
      </c>
      <c r="L717" s="38">
        <v>3.0</v>
      </c>
      <c r="M717" s="38" t="str">
        <f>IFERROR(__xludf.DUMMYFUNCTION("""COMPUTED_VALUE"""),"General Sparepart")</f>
        <v>General Sparepart</v>
      </c>
      <c r="N717" s="38">
        <v>24.0</v>
      </c>
      <c r="O717" s="40">
        <v>45722.0</v>
      </c>
      <c r="P717" s="38" t="s">
        <v>126</v>
      </c>
      <c r="Q717" s="42">
        <v>3.0</v>
      </c>
      <c r="R717" s="42">
        <v>1.0909090909090908</v>
      </c>
      <c r="S717" s="38">
        <v>0.0</v>
      </c>
      <c r="T717" s="42">
        <v>2.427272727272727</v>
      </c>
      <c r="U717" s="42">
        <v>2.427272727272727</v>
      </c>
    </row>
    <row r="718">
      <c r="A718" s="43" t="s">
        <v>1728</v>
      </c>
      <c r="B718" s="47" t="s">
        <v>1729</v>
      </c>
      <c r="C718" s="43" t="s">
        <v>91</v>
      </c>
      <c r="D718" s="43">
        <v>2.0</v>
      </c>
      <c r="E718" s="43">
        <v>15.0</v>
      </c>
      <c r="F718" s="44">
        <f>IFERROR(__xludf.DUMMYFUNCTION("""COMPUTED_VALUE"""),11.0)</f>
        <v>11</v>
      </c>
      <c r="G718" s="44" t="s">
        <v>122</v>
      </c>
      <c r="H718" s="43" t="s">
        <v>113</v>
      </c>
      <c r="I718" s="43" t="s">
        <v>115</v>
      </c>
      <c r="J718" s="47" t="s">
        <v>115</v>
      </c>
      <c r="K718" s="38">
        <v>1.0</v>
      </c>
      <c r="L718" s="38">
        <v>3.0</v>
      </c>
      <c r="M718" s="38" t="str">
        <f>IFERROR(__xludf.DUMMYFUNCTION("""COMPUTED_VALUE"""),"General Sparepart")</f>
        <v>General Sparepart</v>
      </c>
      <c r="N718" s="38">
        <v>24.0</v>
      </c>
      <c r="O718" s="40">
        <v>45534.0</v>
      </c>
      <c r="P718" s="38" t="s">
        <v>126</v>
      </c>
      <c r="Q718" s="42">
        <v>3.0</v>
      </c>
      <c r="R718" s="42">
        <v>1.9090909090909092</v>
      </c>
      <c r="S718" s="38">
        <v>0.0</v>
      </c>
      <c r="T718" s="42">
        <v>2.6727272727272724</v>
      </c>
      <c r="U718" s="42">
        <v>2.6727272727272724</v>
      </c>
    </row>
    <row r="719">
      <c r="A719" s="43" t="s">
        <v>1730</v>
      </c>
      <c r="B719" s="47" t="s">
        <v>1731</v>
      </c>
      <c r="C719" s="43" t="s">
        <v>91</v>
      </c>
      <c r="D719" s="43">
        <v>1.0</v>
      </c>
      <c r="E719" s="43">
        <v>5.0</v>
      </c>
      <c r="F719" s="44">
        <f>IFERROR(__xludf.DUMMYFUNCTION("""COMPUTED_VALUE"""),4.0)</f>
        <v>4</v>
      </c>
      <c r="G719" s="44" t="s">
        <v>122</v>
      </c>
      <c r="H719" s="43" t="s">
        <v>113</v>
      </c>
      <c r="I719" s="43" t="s">
        <v>115</v>
      </c>
      <c r="J719" s="47" t="s">
        <v>115</v>
      </c>
      <c r="K719" s="38">
        <v>1.0</v>
      </c>
      <c r="L719" s="38">
        <v>2.0</v>
      </c>
      <c r="M719" s="38" t="str">
        <f>IFERROR(__xludf.DUMMYFUNCTION("""COMPUTED_VALUE"""),"General Sparepart")</f>
        <v>General Sparepart</v>
      </c>
      <c r="N719" s="38">
        <v>24.0</v>
      </c>
      <c r="O719" s="40">
        <v>45743.0</v>
      </c>
      <c r="P719" s="38" t="s">
        <v>126</v>
      </c>
      <c r="Q719" s="42">
        <v>2.0</v>
      </c>
      <c r="R719" s="42">
        <v>1.3636363636363635</v>
      </c>
      <c r="S719" s="38">
        <v>0.0</v>
      </c>
      <c r="T719" s="42">
        <v>1.809090909090909</v>
      </c>
      <c r="U719" s="42">
        <v>1.809090909090909</v>
      </c>
    </row>
    <row r="720">
      <c r="A720" s="43" t="s">
        <v>1732</v>
      </c>
      <c r="B720" s="47" t="s">
        <v>1733</v>
      </c>
      <c r="C720" s="43" t="s">
        <v>91</v>
      </c>
      <c r="D720" s="43">
        <v>5.0</v>
      </c>
      <c r="E720" s="43">
        <v>30.0</v>
      </c>
      <c r="F720" s="44">
        <f>IFERROR(__xludf.DUMMYFUNCTION("""COMPUTED_VALUE"""),4.0)</f>
        <v>4</v>
      </c>
      <c r="G720" s="44" t="s">
        <v>112</v>
      </c>
      <c r="H720" s="43" t="s">
        <v>113</v>
      </c>
      <c r="I720" s="43" t="s">
        <v>115</v>
      </c>
      <c r="J720" s="47" t="s">
        <v>115</v>
      </c>
      <c r="K720" s="38">
        <v>3.0</v>
      </c>
      <c r="L720" s="38">
        <v>25.0</v>
      </c>
      <c r="M720" s="38" t="str">
        <f>IFERROR(__xludf.DUMMYFUNCTION("""COMPUTED_VALUE"""),"General Sparepart")</f>
        <v>General Sparepart</v>
      </c>
      <c r="N720" s="38">
        <v>24.0</v>
      </c>
      <c r="O720" s="40">
        <v>46272.0</v>
      </c>
      <c r="P720" s="38" t="s">
        <v>126</v>
      </c>
      <c r="Q720" s="42">
        <v>17.0</v>
      </c>
      <c r="R720" s="42">
        <v>7.090909090909092</v>
      </c>
      <c r="S720" s="38">
        <v>25.0</v>
      </c>
      <c r="T720" s="42">
        <v>14.027272727272726</v>
      </c>
      <c r="U720" s="46">
        <v>25.0</v>
      </c>
    </row>
    <row r="721">
      <c r="A721" s="43" t="s">
        <v>1734</v>
      </c>
      <c r="B721" s="47" t="s">
        <v>1735</v>
      </c>
      <c r="C721" s="43" t="s">
        <v>91</v>
      </c>
      <c r="D721" s="43">
        <v>2.0</v>
      </c>
      <c r="E721" s="43">
        <v>20.0</v>
      </c>
      <c r="F721" s="44">
        <f>IFERROR(__xludf.DUMMYFUNCTION("""COMPUTED_VALUE"""),23.0)</f>
        <v>23</v>
      </c>
      <c r="G721" s="44" t="s">
        <v>122</v>
      </c>
      <c r="H721" s="43" t="s">
        <v>113</v>
      </c>
      <c r="I721" s="43" t="s">
        <v>115</v>
      </c>
      <c r="J721" s="47" t="s">
        <v>115</v>
      </c>
      <c r="K721" s="38">
        <v>1.0</v>
      </c>
      <c r="L721" s="38">
        <v>8.0</v>
      </c>
      <c r="M721" s="38" t="str">
        <f>IFERROR(__xludf.DUMMYFUNCTION("""COMPUTED_VALUE"""),"General Sparepart")</f>
        <v>General Sparepart</v>
      </c>
      <c r="N721" s="38">
        <v>24.0</v>
      </c>
      <c r="O721" s="40">
        <v>46142.0</v>
      </c>
      <c r="P721" s="38" t="s">
        <v>126</v>
      </c>
      <c r="Q721" s="42">
        <v>9.0</v>
      </c>
      <c r="R721" s="42">
        <v>3.2727272727272725</v>
      </c>
      <c r="S721" s="38">
        <v>0.0</v>
      </c>
      <c r="T721" s="42">
        <v>7.281818181818181</v>
      </c>
      <c r="U721" s="42">
        <v>7.281818181818181</v>
      </c>
    </row>
    <row r="722">
      <c r="A722" s="43" t="s">
        <v>1736</v>
      </c>
      <c r="B722" s="47" t="s">
        <v>1737</v>
      </c>
      <c r="C722" s="43" t="s">
        <v>91</v>
      </c>
      <c r="D722" s="43">
        <v>1.0</v>
      </c>
      <c r="E722" s="43">
        <v>13.0</v>
      </c>
      <c r="F722" s="44">
        <f>IFERROR(__xludf.DUMMYFUNCTION("""COMPUTED_VALUE"""),5.0)</f>
        <v>5</v>
      </c>
      <c r="G722" s="44" t="s">
        <v>122</v>
      </c>
      <c r="H722" s="43" t="s">
        <v>113</v>
      </c>
      <c r="I722" s="43" t="s">
        <v>115</v>
      </c>
      <c r="J722" s="47" t="s">
        <v>115</v>
      </c>
      <c r="K722" s="38">
        <v>2.0</v>
      </c>
      <c r="L722" s="38">
        <v>12.0</v>
      </c>
      <c r="M722" s="38" t="str">
        <f>IFERROR(__xludf.DUMMYFUNCTION("""COMPUTED_VALUE"""),"Fast Moving / Consumable")</f>
        <v>Fast Moving / Consumable</v>
      </c>
      <c r="N722" s="38">
        <v>18.0</v>
      </c>
      <c r="O722" s="40">
        <v>46031.0</v>
      </c>
      <c r="P722" s="38" t="s">
        <v>126</v>
      </c>
      <c r="Q722" s="42">
        <v>15.0</v>
      </c>
      <c r="R722" s="42">
        <v>2.727272727272727</v>
      </c>
      <c r="S722" s="38">
        <v>5.0</v>
      </c>
      <c r="T722" s="42">
        <v>11.318181818181818</v>
      </c>
      <c r="U722" s="42">
        <v>11.318181818181818</v>
      </c>
    </row>
    <row r="723">
      <c r="A723" s="43" t="s">
        <v>1738</v>
      </c>
      <c r="B723" s="47" t="s">
        <v>1739</v>
      </c>
      <c r="C723" s="43" t="s">
        <v>91</v>
      </c>
      <c r="D723" s="43">
        <v>1.0</v>
      </c>
      <c r="E723" s="43">
        <v>6.0</v>
      </c>
      <c r="F723" s="44">
        <f>IFERROR(__xludf.DUMMYFUNCTION("""COMPUTED_VALUE"""),0.0)</f>
        <v>0</v>
      </c>
      <c r="G723" s="44" t="s">
        <v>112</v>
      </c>
      <c r="H723" s="43" t="s">
        <v>113</v>
      </c>
      <c r="I723" s="43" t="s">
        <v>115</v>
      </c>
      <c r="J723" s="47" t="s">
        <v>115</v>
      </c>
      <c r="K723" s="38">
        <v>1.0</v>
      </c>
      <c r="L723" s="38">
        <v>7.0</v>
      </c>
      <c r="M723" s="38" t="str">
        <f>IFERROR(__xludf.DUMMYFUNCTION("""COMPUTED_VALUE"""),"Fast Moving / Consumable")</f>
        <v>Fast Moving / Consumable</v>
      </c>
      <c r="N723" s="38">
        <v>18.0</v>
      </c>
      <c r="O723" s="40">
        <v>46247.0</v>
      </c>
      <c r="P723" s="38" t="s">
        <v>126</v>
      </c>
      <c r="Q723" s="42">
        <v>7.0</v>
      </c>
      <c r="R723" s="42">
        <v>4.636363636363637</v>
      </c>
      <c r="S723" s="38">
        <v>6.0</v>
      </c>
      <c r="T723" s="42">
        <v>6.29090909090909</v>
      </c>
      <c r="U723" s="42">
        <v>6.29090909090909</v>
      </c>
    </row>
    <row r="724">
      <c r="A724" s="43" t="s">
        <v>1740</v>
      </c>
      <c r="B724" s="47" t="s">
        <v>1741</v>
      </c>
      <c r="C724" s="43" t="s">
        <v>91</v>
      </c>
      <c r="D724" s="43">
        <v>1.0</v>
      </c>
      <c r="E724" s="43">
        <v>9.0</v>
      </c>
      <c r="F724" s="44">
        <f>IFERROR(__xludf.DUMMYFUNCTION("""COMPUTED_VALUE"""),6.0)</f>
        <v>6</v>
      </c>
      <c r="G724" s="44" t="s">
        <v>122</v>
      </c>
      <c r="H724" s="43" t="s">
        <v>113</v>
      </c>
      <c r="I724" s="43" t="s">
        <v>115</v>
      </c>
      <c r="J724" s="47" t="s">
        <v>115</v>
      </c>
      <c r="K724" s="38">
        <v>1.0</v>
      </c>
      <c r="L724" s="38">
        <v>9.0</v>
      </c>
      <c r="M724" s="38" t="str">
        <f>IFERROR(__xludf.DUMMYFUNCTION("""COMPUTED_VALUE"""),"General Sparepart")</f>
        <v>General Sparepart</v>
      </c>
      <c r="N724" s="38">
        <v>24.0</v>
      </c>
      <c r="O724" s="40">
        <v>46080.0</v>
      </c>
      <c r="P724" s="38" t="s">
        <v>126</v>
      </c>
      <c r="Q724" s="42">
        <v>9.0</v>
      </c>
      <c r="R724" s="42">
        <v>7.636363636363637</v>
      </c>
      <c r="S724" s="38">
        <v>6.0</v>
      </c>
      <c r="T724" s="42">
        <v>8.59090909090909</v>
      </c>
      <c r="U724" s="42">
        <v>8.59090909090909</v>
      </c>
    </row>
    <row r="725">
      <c r="A725" s="43" t="s">
        <v>1742</v>
      </c>
      <c r="B725" s="47" t="s">
        <v>1743</v>
      </c>
      <c r="C725" s="43" t="s">
        <v>86</v>
      </c>
      <c r="D725" s="43">
        <v>1.0</v>
      </c>
      <c r="E725" s="43">
        <v>2.0</v>
      </c>
      <c r="F725" s="44">
        <f>IFERROR(__xludf.DUMMYFUNCTION("""COMPUTED_VALUE"""),1.0)</f>
        <v>1</v>
      </c>
      <c r="G725" s="44" t="s">
        <v>125</v>
      </c>
      <c r="H725" s="43" t="s">
        <v>113</v>
      </c>
      <c r="I725" s="43" t="s">
        <v>115</v>
      </c>
      <c r="J725" s="47" t="s">
        <v>115</v>
      </c>
      <c r="K725" s="38">
        <v>0.0</v>
      </c>
      <c r="L725" s="38">
        <v>0.0</v>
      </c>
      <c r="M725" s="38" t="str">
        <f>IFERROR(__xludf.DUMMYFUNCTION("""COMPUTED_VALUE"""),"Fast Moving / Consumable")</f>
        <v>Fast Moving / Consumable</v>
      </c>
      <c r="N725" s="38">
        <v>18.0</v>
      </c>
      <c r="O725" s="40">
        <v>45635.0</v>
      </c>
      <c r="P725" s="38" t="s">
        <v>116</v>
      </c>
      <c r="Q725" s="42">
        <v>1.0</v>
      </c>
      <c r="R725" s="42">
        <v>0.2727272727272727</v>
      </c>
      <c r="S725" s="38">
        <v>0.0</v>
      </c>
      <c r="T725" s="42">
        <v>0.7818181818181817</v>
      </c>
      <c r="U725" s="42">
        <v>0.7818181818181817</v>
      </c>
    </row>
    <row r="726">
      <c r="A726" s="43" t="s">
        <v>1744</v>
      </c>
      <c r="B726" s="47" t="s">
        <v>1745</v>
      </c>
      <c r="C726" s="43" t="s">
        <v>86</v>
      </c>
      <c r="D726" s="43">
        <v>1.0</v>
      </c>
      <c r="E726" s="43">
        <v>2.0</v>
      </c>
      <c r="F726" s="44">
        <f>IFERROR(__xludf.DUMMYFUNCTION("""COMPUTED_VALUE"""),0.0)</f>
        <v>0</v>
      </c>
      <c r="G726" s="44" t="s">
        <v>112</v>
      </c>
      <c r="H726" s="43" t="s">
        <v>113</v>
      </c>
      <c r="I726" s="43" t="s">
        <v>115</v>
      </c>
      <c r="J726" s="47" t="s">
        <v>115</v>
      </c>
      <c r="K726" s="38">
        <v>1.0</v>
      </c>
      <c r="L726" s="38">
        <v>2.0</v>
      </c>
      <c r="M726" s="38" t="str">
        <f>IFERROR(__xludf.DUMMYFUNCTION("""COMPUTED_VALUE"""),"Fast Moving / Consumable")</f>
        <v>Fast Moving / Consumable</v>
      </c>
      <c r="N726" s="38">
        <v>18.0</v>
      </c>
      <c r="O726" s="40">
        <v>46247.0</v>
      </c>
      <c r="P726" s="38" t="s">
        <v>126</v>
      </c>
      <c r="Q726" s="42">
        <v>2.0</v>
      </c>
      <c r="R726" s="42">
        <v>0.5454545454545454</v>
      </c>
      <c r="S726" s="38">
        <v>2.0</v>
      </c>
      <c r="T726" s="42">
        <v>1.5636363636363635</v>
      </c>
      <c r="U726" s="46">
        <v>2.0</v>
      </c>
    </row>
    <row r="727">
      <c r="A727" s="43" t="s">
        <v>1746</v>
      </c>
      <c r="B727" s="47" t="s">
        <v>1747</v>
      </c>
      <c r="C727" s="43" t="s">
        <v>86</v>
      </c>
      <c r="D727" s="43">
        <v>1.0</v>
      </c>
      <c r="E727" s="43">
        <v>2.0</v>
      </c>
      <c r="F727" s="44">
        <f>IFERROR(__xludf.DUMMYFUNCTION("""COMPUTED_VALUE"""),1.0)</f>
        <v>1</v>
      </c>
      <c r="G727" s="44" t="s">
        <v>125</v>
      </c>
      <c r="H727" s="43" t="s">
        <v>113</v>
      </c>
      <c r="I727" s="43" t="s">
        <v>115</v>
      </c>
      <c r="J727" s="47" t="s">
        <v>115</v>
      </c>
      <c r="K727" s="38">
        <v>0.0</v>
      </c>
      <c r="L727" s="38">
        <v>0.0</v>
      </c>
      <c r="M727" s="38" t="str">
        <f>IFERROR(__xludf.DUMMYFUNCTION("""COMPUTED_VALUE"""),"Fast Moving / Consumable")</f>
        <v>Fast Moving / Consumable</v>
      </c>
      <c r="N727" s="38">
        <v>18.0</v>
      </c>
      <c r="O727" s="40">
        <v>45635.0</v>
      </c>
      <c r="P727" s="38" t="s">
        <v>116</v>
      </c>
      <c r="Q727" s="42">
        <v>1.0</v>
      </c>
      <c r="R727" s="42">
        <v>0.2727272727272727</v>
      </c>
      <c r="S727" s="38">
        <v>0.0</v>
      </c>
      <c r="T727" s="42">
        <v>0.7818181818181817</v>
      </c>
      <c r="U727" s="42">
        <v>0.7818181818181817</v>
      </c>
    </row>
    <row r="728">
      <c r="A728" s="43" t="s">
        <v>1748</v>
      </c>
      <c r="B728" s="47" t="s">
        <v>1749</v>
      </c>
      <c r="C728" s="43" t="s">
        <v>85</v>
      </c>
      <c r="D728" s="43">
        <v>1.0</v>
      </c>
      <c r="E728" s="43">
        <v>1.0</v>
      </c>
      <c r="F728" s="44">
        <f>IFERROR(__xludf.DUMMYFUNCTION("""COMPUTED_VALUE"""),1.0)</f>
        <v>1</v>
      </c>
      <c r="G728" s="44" t="s">
        <v>125</v>
      </c>
      <c r="H728" s="43" t="s">
        <v>113</v>
      </c>
      <c r="I728" s="43" t="s">
        <v>115</v>
      </c>
      <c r="J728" s="47" t="s">
        <v>115</v>
      </c>
      <c r="K728" s="38">
        <v>1.0</v>
      </c>
      <c r="L728" s="38">
        <v>1.0</v>
      </c>
      <c r="M728" s="38" t="str">
        <f>IFERROR(__xludf.DUMMYFUNCTION("""COMPUTED_VALUE"""),"General Sparepart")</f>
        <v>General Sparepart</v>
      </c>
      <c r="N728" s="38">
        <v>24.0</v>
      </c>
      <c r="O728" s="40">
        <v>45891.0</v>
      </c>
      <c r="P728" s="38" t="s">
        <v>126</v>
      </c>
      <c r="Q728" s="42">
        <v>1.0</v>
      </c>
      <c r="R728" s="42">
        <v>0.2727272727272727</v>
      </c>
      <c r="S728" s="38">
        <v>0.0</v>
      </c>
      <c r="T728" s="42">
        <v>0.7818181818181817</v>
      </c>
      <c r="U728" s="42">
        <v>0.7818181818181817</v>
      </c>
    </row>
    <row r="729">
      <c r="A729" s="43" t="s">
        <v>1750</v>
      </c>
      <c r="B729" s="47" t="s">
        <v>1751</v>
      </c>
      <c r="C729" s="43" t="s">
        <v>90</v>
      </c>
      <c r="D729" s="43">
        <v>1.0</v>
      </c>
      <c r="E729" s="43">
        <v>2.0</v>
      </c>
      <c r="F729" s="44">
        <f>IFERROR(__xludf.DUMMYFUNCTION("""COMPUTED_VALUE"""),0.0)</f>
        <v>0</v>
      </c>
      <c r="G729" s="44" t="s">
        <v>112</v>
      </c>
      <c r="H729" s="43" t="s">
        <v>113</v>
      </c>
      <c r="I729" s="43" t="s">
        <v>115</v>
      </c>
      <c r="J729" s="47" t="s">
        <v>115</v>
      </c>
      <c r="K729" s="38">
        <v>1.0</v>
      </c>
      <c r="L729" s="38">
        <v>1.0</v>
      </c>
      <c r="M729" s="38" t="str">
        <f>IFERROR(__xludf.DUMMYFUNCTION("""COMPUTED_VALUE"""),"Fast Moving / Consumable")</f>
        <v>Fast Moving / Consumable</v>
      </c>
      <c r="N729" s="38">
        <v>18.0</v>
      </c>
      <c r="O729" s="40">
        <v>45975.0</v>
      </c>
      <c r="P729" s="38" t="s">
        <v>126</v>
      </c>
      <c r="Q729" s="42">
        <v>1.0</v>
      </c>
      <c r="R729" s="42">
        <v>0.8181818181818181</v>
      </c>
      <c r="S729" s="38">
        <v>0.0</v>
      </c>
      <c r="T729" s="42">
        <v>0.9454545454545453</v>
      </c>
      <c r="U729" s="42">
        <v>0.9454545454545453</v>
      </c>
    </row>
    <row r="730">
      <c r="A730" s="43" t="s">
        <v>1752</v>
      </c>
      <c r="B730" s="47" t="s">
        <v>1753</v>
      </c>
      <c r="C730" s="43" t="s">
        <v>90</v>
      </c>
      <c r="D730" s="43">
        <v>1.0</v>
      </c>
      <c r="E730" s="43">
        <v>1.0</v>
      </c>
      <c r="F730" s="44">
        <f>IFERROR(__xludf.DUMMYFUNCTION("""COMPUTED_VALUE"""),0.0)</f>
        <v>0</v>
      </c>
      <c r="G730" s="44" t="s">
        <v>112</v>
      </c>
      <c r="H730" s="43" t="s">
        <v>113</v>
      </c>
      <c r="I730" s="43" t="s">
        <v>115</v>
      </c>
      <c r="J730" s="47" t="s">
        <v>115</v>
      </c>
      <c r="K730" s="38">
        <v>1.0</v>
      </c>
      <c r="L730" s="38">
        <v>1.0</v>
      </c>
      <c r="M730" s="38" t="str">
        <f>IFERROR(__xludf.DUMMYFUNCTION("""COMPUTED_VALUE"""),"Fast Moving / Consumable")</f>
        <v>Fast Moving / Consumable</v>
      </c>
      <c r="N730" s="38">
        <v>18.0</v>
      </c>
      <c r="O730" s="40">
        <v>46112.0</v>
      </c>
      <c r="P730" s="38" t="s">
        <v>126</v>
      </c>
      <c r="Q730" s="42">
        <v>1.0</v>
      </c>
      <c r="R730" s="42">
        <v>0.5454545454545454</v>
      </c>
      <c r="S730" s="38">
        <v>0.0</v>
      </c>
      <c r="T730" s="42">
        <v>0.8636363636363635</v>
      </c>
      <c r="U730" s="42">
        <v>0.8636363636363635</v>
      </c>
    </row>
    <row r="731">
      <c r="A731" s="43" t="s">
        <v>1754</v>
      </c>
      <c r="B731" s="47" t="s">
        <v>1755</v>
      </c>
      <c r="C731" s="43" t="s">
        <v>90</v>
      </c>
      <c r="D731" s="43">
        <v>1.0</v>
      </c>
      <c r="E731" s="43">
        <v>1.0</v>
      </c>
      <c r="F731" s="44">
        <f>IFERROR(__xludf.DUMMYFUNCTION("""COMPUTED_VALUE"""),0.0)</f>
        <v>0</v>
      </c>
      <c r="G731" s="44" t="s">
        <v>112</v>
      </c>
      <c r="H731" s="43" t="s">
        <v>113</v>
      </c>
      <c r="I731" s="43" t="s">
        <v>115</v>
      </c>
      <c r="J731" s="47" t="s">
        <v>115</v>
      </c>
      <c r="K731" s="38">
        <v>1.0</v>
      </c>
      <c r="L731" s="38">
        <v>1.0</v>
      </c>
      <c r="M731" s="38" t="str">
        <f>IFERROR(__xludf.DUMMYFUNCTION("""COMPUTED_VALUE"""),"General Sparepart")</f>
        <v>General Sparepart</v>
      </c>
      <c r="N731" s="38">
        <v>24.0</v>
      </c>
      <c r="O731" s="40">
        <v>45975.0</v>
      </c>
      <c r="P731" s="38" t="s">
        <v>126</v>
      </c>
      <c r="Q731" s="42">
        <v>1.0</v>
      </c>
      <c r="R731" s="42">
        <v>0.2727272727272727</v>
      </c>
      <c r="S731" s="38">
        <v>0.0</v>
      </c>
      <c r="T731" s="42">
        <v>0.7818181818181817</v>
      </c>
      <c r="U731" s="42">
        <v>0.7818181818181817</v>
      </c>
    </row>
    <row r="732">
      <c r="A732" s="43" t="s">
        <v>1750</v>
      </c>
      <c r="B732" s="47" t="s">
        <v>1756</v>
      </c>
      <c r="C732" s="43" t="s">
        <v>90</v>
      </c>
      <c r="D732" s="43">
        <v>1.0</v>
      </c>
      <c r="E732" s="43">
        <v>8.0</v>
      </c>
      <c r="F732" s="44">
        <f>IFERROR(__xludf.DUMMYFUNCTION("""COMPUTED_VALUE"""),0.0)</f>
        <v>0</v>
      </c>
      <c r="G732" s="44" t="s">
        <v>112</v>
      </c>
      <c r="H732" s="43" t="s">
        <v>113</v>
      </c>
      <c r="I732" s="43" t="s">
        <v>115</v>
      </c>
      <c r="J732" s="47" t="s">
        <v>115</v>
      </c>
      <c r="K732" s="38">
        <v>1.0</v>
      </c>
      <c r="L732" s="38">
        <v>1.0</v>
      </c>
      <c r="M732" s="38" t="str">
        <f>IFERROR(__xludf.DUMMYFUNCTION("""COMPUTED_VALUE"""),"Critical Sparepart")</f>
        <v>Critical Sparepart</v>
      </c>
      <c r="N732" s="38">
        <v>36.0</v>
      </c>
      <c r="O732" s="40">
        <v>45975.0</v>
      </c>
      <c r="P732" s="38" t="s">
        <v>126</v>
      </c>
      <c r="Q732" s="42">
        <v>1.0</v>
      </c>
      <c r="R732" s="42">
        <v>0.8181818181818181</v>
      </c>
      <c r="S732" s="38">
        <v>0.0</v>
      </c>
      <c r="T732" s="42">
        <v>0.9454545454545453</v>
      </c>
      <c r="U732" s="42">
        <v>0.9454545454545453</v>
      </c>
    </row>
    <row r="733">
      <c r="A733" s="43" t="s">
        <v>1757</v>
      </c>
      <c r="B733" s="47" t="s">
        <v>1758</v>
      </c>
      <c r="C733" s="43" t="s">
        <v>90</v>
      </c>
      <c r="D733" s="43">
        <v>1.0</v>
      </c>
      <c r="E733" s="43">
        <v>2.0</v>
      </c>
      <c r="F733" s="44">
        <f>IFERROR(__xludf.DUMMYFUNCTION("""COMPUTED_VALUE"""),0.0)</f>
        <v>0</v>
      </c>
      <c r="G733" s="44" t="s">
        <v>112</v>
      </c>
      <c r="H733" s="43" t="s">
        <v>113</v>
      </c>
      <c r="I733" s="43" t="s">
        <v>115</v>
      </c>
      <c r="J733" s="47" t="s">
        <v>115</v>
      </c>
      <c r="K733" s="38">
        <v>1.0</v>
      </c>
      <c r="L733" s="38">
        <v>2.0</v>
      </c>
      <c r="M733" s="38" t="str">
        <f>IFERROR(__xludf.DUMMYFUNCTION("""COMPUTED_VALUE"""),"Fast Moving / Consumable")</f>
        <v>Fast Moving / Consumable</v>
      </c>
      <c r="N733" s="38">
        <v>18.0</v>
      </c>
      <c r="O733" s="40">
        <v>46234.0</v>
      </c>
      <c r="P733" s="38" t="s">
        <v>126</v>
      </c>
      <c r="Q733" s="42">
        <v>2.0</v>
      </c>
      <c r="R733" s="42">
        <v>1.0909090909090908</v>
      </c>
      <c r="S733" s="38">
        <v>1.0</v>
      </c>
      <c r="T733" s="42">
        <v>1.727272727272727</v>
      </c>
      <c r="U733" s="42">
        <v>1.727272727272727</v>
      </c>
    </row>
    <row r="734">
      <c r="A734" s="43" t="s">
        <v>1759</v>
      </c>
      <c r="B734" s="47" t="s">
        <v>1760</v>
      </c>
      <c r="C734" s="43" t="s">
        <v>90</v>
      </c>
      <c r="D734" s="43">
        <v>1.0</v>
      </c>
      <c r="E734" s="43">
        <v>2.0</v>
      </c>
      <c r="F734" s="44">
        <f>IFERROR(__xludf.DUMMYFUNCTION("""COMPUTED_VALUE"""),0.0)</f>
        <v>0</v>
      </c>
      <c r="G734" s="44" t="s">
        <v>112</v>
      </c>
      <c r="H734" s="43" t="s">
        <v>113</v>
      </c>
      <c r="I734" s="43" t="s">
        <v>115</v>
      </c>
      <c r="J734" s="47" t="s">
        <v>115</v>
      </c>
      <c r="K734" s="38">
        <v>0.0</v>
      </c>
      <c r="L734" s="38">
        <v>0.0</v>
      </c>
      <c r="M734" s="38" t="str">
        <f>IFERROR(__xludf.DUMMYFUNCTION("""COMPUTED_VALUE"""),"General Sparepart")</f>
        <v>General Sparepart</v>
      </c>
      <c r="N734" s="38">
        <v>24.0</v>
      </c>
      <c r="O734" s="40">
        <v>45279.0</v>
      </c>
      <c r="P734" s="38" t="s">
        <v>116</v>
      </c>
      <c r="Q734" s="42">
        <v>1.0</v>
      </c>
      <c r="R734" s="42">
        <v>0.5454545454545454</v>
      </c>
      <c r="S734" s="38">
        <v>0.0</v>
      </c>
      <c r="T734" s="42">
        <v>0.8636363636363635</v>
      </c>
      <c r="U734" s="42">
        <v>0.8636363636363635</v>
      </c>
    </row>
    <row r="735">
      <c r="A735" s="43" t="s">
        <v>1761</v>
      </c>
      <c r="B735" s="47" t="s">
        <v>1762</v>
      </c>
      <c r="C735" s="43" t="s">
        <v>90</v>
      </c>
      <c r="D735" s="43">
        <v>1.0</v>
      </c>
      <c r="E735" s="43">
        <v>3.0</v>
      </c>
      <c r="F735" s="44">
        <f>IFERROR(__xludf.DUMMYFUNCTION("""COMPUTED_VALUE"""),0.0)</f>
        <v>0</v>
      </c>
      <c r="G735" s="44" t="s">
        <v>112</v>
      </c>
      <c r="H735" s="43" t="s">
        <v>113</v>
      </c>
      <c r="I735" s="43" t="s">
        <v>115</v>
      </c>
      <c r="J735" s="47" t="s">
        <v>115</v>
      </c>
      <c r="K735" s="38">
        <v>1.0</v>
      </c>
      <c r="L735" s="38">
        <v>1.0</v>
      </c>
      <c r="M735" s="38" t="str">
        <f>IFERROR(__xludf.DUMMYFUNCTION("""COMPUTED_VALUE"""),"Fast Moving / Consumable")</f>
        <v>Fast Moving / Consumable</v>
      </c>
      <c r="N735" s="38">
        <v>18.0</v>
      </c>
      <c r="O735" s="40">
        <v>46260.0</v>
      </c>
      <c r="P735" s="38" t="s">
        <v>126</v>
      </c>
      <c r="Q735" s="42">
        <v>1.0</v>
      </c>
      <c r="R735" s="42">
        <v>0.8181818181818181</v>
      </c>
      <c r="S735" s="38">
        <v>0.0</v>
      </c>
      <c r="T735" s="42">
        <v>0.9454545454545453</v>
      </c>
      <c r="U735" s="42">
        <v>0.9454545454545453</v>
      </c>
    </row>
    <row r="736">
      <c r="A736" s="43" t="s">
        <v>1763</v>
      </c>
      <c r="B736" s="47" t="s">
        <v>1764</v>
      </c>
      <c r="C736" s="43" t="s">
        <v>90</v>
      </c>
      <c r="D736" s="43">
        <v>2.0</v>
      </c>
      <c r="E736" s="43">
        <v>6.0</v>
      </c>
      <c r="F736" s="44">
        <f>IFERROR(__xludf.DUMMYFUNCTION("""COMPUTED_VALUE"""),0.0)</f>
        <v>0</v>
      </c>
      <c r="G736" s="44" t="s">
        <v>112</v>
      </c>
      <c r="H736" s="43" t="s">
        <v>113</v>
      </c>
      <c r="I736" s="43" t="s">
        <v>115</v>
      </c>
      <c r="J736" s="47" t="s">
        <v>115</v>
      </c>
      <c r="K736" s="38">
        <v>1.0</v>
      </c>
      <c r="L736" s="38">
        <v>6.0</v>
      </c>
      <c r="M736" s="38" t="str">
        <f>IFERROR(__xludf.DUMMYFUNCTION("""COMPUTED_VALUE"""),"Fast Moving / Consumable")</f>
        <v>Fast Moving / Consumable</v>
      </c>
      <c r="N736" s="38">
        <v>18.0</v>
      </c>
      <c r="O736" s="40">
        <v>45961.0</v>
      </c>
      <c r="P736" s="38" t="s">
        <v>126</v>
      </c>
      <c r="Q736" s="42">
        <v>6.0</v>
      </c>
      <c r="R736" s="42">
        <v>2.727272727272727</v>
      </c>
      <c r="S736" s="38">
        <v>2.0</v>
      </c>
      <c r="T736" s="42">
        <v>5.018181818181818</v>
      </c>
      <c r="U736" s="42">
        <v>5.018181818181818</v>
      </c>
    </row>
    <row r="737">
      <c r="A737" s="43" t="s">
        <v>1765</v>
      </c>
      <c r="B737" s="47" t="s">
        <v>1766</v>
      </c>
      <c r="C737" s="43" t="s">
        <v>90</v>
      </c>
      <c r="D737" s="43">
        <v>1.0</v>
      </c>
      <c r="E737" s="43">
        <v>2.0</v>
      </c>
      <c r="F737" s="44">
        <f>IFERROR(__xludf.DUMMYFUNCTION("""COMPUTED_VALUE"""),0.0)</f>
        <v>0</v>
      </c>
      <c r="G737" s="44" t="s">
        <v>112</v>
      </c>
      <c r="H737" s="43" t="s">
        <v>113</v>
      </c>
      <c r="I737" s="43" t="s">
        <v>115</v>
      </c>
      <c r="J737" s="47" t="s">
        <v>115</v>
      </c>
      <c r="K737" s="38">
        <v>1.0</v>
      </c>
      <c r="L737" s="38">
        <v>2.0</v>
      </c>
      <c r="M737" s="38" t="str">
        <f>IFERROR(__xludf.DUMMYFUNCTION("""COMPUTED_VALUE"""),"General Sparepart")</f>
        <v>General Sparepart</v>
      </c>
      <c r="N737" s="38">
        <v>24.0</v>
      </c>
      <c r="O737" s="40">
        <v>46203.0</v>
      </c>
      <c r="P737" s="38" t="s">
        <v>126</v>
      </c>
      <c r="Q737" s="42">
        <v>1.0</v>
      </c>
      <c r="R737" s="42">
        <v>0.2727272727272727</v>
      </c>
      <c r="S737" s="38">
        <v>2.0</v>
      </c>
      <c r="T737" s="42">
        <v>0.7818181818181817</v>
      </c>
      <c r="U737" s="46">
        <v>2.0</v>
      </c>
    </row>
    <row r="738">
      <c r="A738" s="43" t="s">
        <v>1767</v>
      </c>
      <c r="B738" s="47" t="s">
        <v>1768</v>
      </c>
      <c r="C738" s="43" t="s">
        <v>90</v>
      </c>
      <c r="D738" s="43">
        <v>1.0</v>
      </c>
      <c r="E738" s="43">
        <v>2.0</v>
      </c>
      <c r="F738" s="44">
        <f>IFERROR(__xludf.DUMMYFUNCTION("""COMPUTED_VALUE"""),0.0)</f>
        <v>0</v>
      </c>
      <c r="G738" s="44" t="s">
        <v>112</v>
      </c>
      <c r="H738" s="43" t="s">
        <v>113</v>
      </c>
      <c r="I738" s="43" t="s">
        <v>115</v>
      </c>
      <c r="J738" s="47" t="s">
        <v>115</v>
      </c>
      <c r="K738" s="38">
        <v>0.0</v>
      </c>
      <c r="L738" s="38">
        <v>0.0</v>
      </c>
      <c r="M738" s="38" t="str">
        <f>IFERROR(__xludf.DUMMYFUNCTION("""COMPUTED_VALUE"""),"Fast Moving / Consumable")</f>
        <v>Fast Moving / Consumable</v>
      </c>
      <c r="N738" s="38">
        <v>18.0</v>
      </c>
      <c r="O738" s="40">
        <v>45565.0</v>
      </c>
      <c r="P738" s="38" t="s">
        <v>116</v>
      </c>
      <c r="Q738" s="42">
        <v>1.0</v>
      </c>
      <c r="R738" s="42">
        <v>0.2727272727272727</v>
      </c>
      <c r="S738" s="38">
        <v>0.0</v>
      </c>
      <c r="T738" s="42">
        <v>0.7818181818181817</v>
      </c>
      <c r="U738" s="42">
        <v>0.7818181818181817</v>
      </c>
    </row>
    <row r="739">
      <c r="A739" s="43" t="s">
        <v>1769</v>
      </c>
      <c r="B739" s="47" t="s">
        <v>1770</v>
      </c>
      <c r="C739" s="43" t="s">
        <v>90</v>
      </c>
      <c r="D739" s="43">
        <v>5.0</v>
      </c>
      <c r="E739" s="43">
        <v>16.0</v>
      </c>
      <c r="F739" s="44">
        <f>IFERROR(__xludf.DUMMYFUNCTION("""COMPUTED_VALUE"""),0.0)</f>
        <v>0</v>
      </c>
      <c r="G739" s="44" t="s">
        <v>112</v>
      </c>
      <c r="H739" s="43" t="s">
        <v>113</v>
      </c>
      <c r="I739" s="43" t="s">
        <v>115</v>
      </c>
      <c r="J739" s="47" t="s">
        <v>115</v>
      </c>
      <c r="K739" s="38">
        <v>2.0</v>
      </c>
      <c r="L739" s="38">
        <v>10.0</v>
      </c>
      <c r="M739" s="38" t="str">
        <f>IFERROR(__xludf.DUMMYFUNCTION("""COMPUTED_VALUE"""),"Critical Sparepart")</f>
        <v>Critical Sparepart</v>
      </c>
      <c r="N739" s="38">
        <v>36.0</v>
      </c>
      <c r="O739" s="40">
        <v>46260.0</v>
      </c>
      <c r="P739" s="38" t="s">
        <v>126</v>
      </c>
      <c r="Q739" s="42">
        <v>8.0</v>
      </c>
      <c r="R739" s="42">
        <v>8.727272727272727</v>
      </c>
      <c r="S739" s="38">
        <v>10.0</v>
      </c>
      <c r="T739" s="42">
        <v>8.218181818181817</v>
      </c>
      <c r="U739" s="46">
        <v>10.0</v>
      </c>
    </row>
    <row r="740">
      <c r="A740" s="43" t="s">
        <v>1771</v>
      </c>
      <c r="B740" s="47" t="s">
        <v>1772</v>
      </c>
      <c r="C740" s="43" t="s">
        <v>90</v>
      </c>
      <c r="D740" s="43">
        <v>1.0</v>
      </c>
      <c r="E740" s="43">
        <v>4.0</v>
      </c>
      <c r="F740" s="44">
        <f>IFERROR(__xludf.DUMMYFUNCTION("""COMPUTED_VALUE"""),0.0)</f>
        <v>0</v>
      </c>
      <c r="G740" s="44" t="s">
        <v>112</v>
      </c>
      <c r="H740" s="43" t="s">
        <v>113</v>
      </c>
      <c r="I740" s="43" t="s">
        <v>115</v>
      </c>
      <c r="J740" s="47" t="s">
        <v>115</v>
      </c>
      <c r="K740" s="38">
        <v>1.0</v>
      </c>
      <c r="L740" s="38">
        <v>2.0</v>
      </c>
      <c r="M740" s="38" t="str">
        <f>IFERROR(__xludf.DUMMYFUNCTION("""COMPUTED_VALUE"""),"Fast Moving / Consumable")</f>
        <v>Fast Moving / Consumable</v>
      </c>
      <c r="N740" s="38">
        <v>18.0</v>
      </c>
      <c r="O740" s="40">
        <v>46260.0</v>
      </c>
      <c r="P740" s="38" t="s">
        <v>126</v>
      </c>
      <c r="Q740" s="42">
        <v>2.0</v>
      </c>
      <c r="R740" s="42">
        <v>1.6363636363636362</v>
      </c>
      <c r="S740" s="38">
        <v>2.0</v>
      </c>
      <c r="T740" s="42">
        <v>1.8909090909090907</v>
      </c>
      <c r="U740" s="46">
        <v>2.0</v>
      </c>
    </row>
    <row r="741">
      <c r="A741" s="43" t="s">
        <v>1773</v>
      </c>
      <c r="B741" s="47" t="s">
        <v>1774</v>
      </c>
      <c r="C741" s="43" t="s">
        <v>90</v>
      </c>
      <c r="D741" s="43">
        <v>2.0</v>
      </c>
      <c r="E741" s="43">
        <v>10.0</v>
      </c>
      <c r="F741" s="44">
        <f>IFERROR(__xludf.DUMMYFUNCTION("""COMPUTED_VALUE"""),0.0)</f>
        <v>0</v>
      </c>
      <c r="G741" s="44" t="s">
        <v>112</v>
      </c>
      <c r="H741" s="43" t="s">
        <v>113</v>
      </c>
      <c r="I741" s="43" t="s">
        <v>115</v>
      </c>
      <c r="J741" s="47" t="s">
        <v>115</v>
      </c>
      <c r="K741" s="38">
        <v>1.0</v>
      </c>
      <c r="L741" s="38">
        <v>4.0</v>
      </c>
      <c r="M741" s="38" t="str">
        <f>IFERROR(__xludf.DUMMYFUNCTION("""COMPUTED_VALUE"""),"Critical Sparepart")</f>
        <v>Critical Sparepart</v>
      </c>
      <c r="N741" s="38">
        <v>36.0</v>
      </c>
      <c r="O741" s="40">
        <v>46260.0</v>
      </c>
      <c r="P741" s="38" t="s">
        <v>126</v>
      </c>
      <c r="Q741" s="42">
        <v>3.0</v>
      </c>
      <c r="R741" s="42">
        <v>4.090909090909091</v>
      </c>
      <c r="S741" s="38">
        <v>0.0</v>
      </c>
      <c r="T741" s="42">
        <v>3.327272727272727</v>
      </c>
      <c r="U741" s="42">
        <v>3.327272727272727</v>
      </c>
    </row>
    <row r="742">
      <c r="A742" s="43" t="s">
        <v>1775</v>
      </c>
      <c r="B742" s="47" t="s">
        <v>1776</v>
      </c>
      <c r="C742" s="43" t="s">
        <v>89</v>
      </c>
      <c r="D742" s="43">
        <v>16.0</v>
      </c>
      <c r="E742" s="43">
        <v>20.0</v>
      </c>
      <c r="F742" s="44">
        <f>IFERROR(__xludf.DUMMYFUNCTION("""COMPUTED_VALUE"""),20.0)</f>
        <v>20</v>
      </c>
      <c r="G742" s="44" t="s">
        <v>122</v>
      </c>
      <c r="H742" s="43" t="s">
        <v>113</v>
      </c>
      <c r="I742" s="43" t="s">
        <v>115</v>
      </c>
      <c r="J742" s="47" t="s">
        <v>1777</v>
      </c>
      <c r="K742" s="38">
        <v>3.0</v>
      </c>
      <c r="L742" s="38">
        <v>20.0</v>
      </c>
      <c r="M742" s="38" t="str">
        <f>IFERROR(__xludf.DUMMYFUNCTION("""COMPUTED_VALUE"""),"General Sparepart")</f>
        <v>General Sparepart</v>
      </c>
      <c r="N742" s="38">
        <v>24.0</v>
      </c>
      <c r="O742" s="40">
        <v>46098.0</v>
      </c>
      <c r="P742" s="38" t="s">
        <v>126</v>
      </c>
      <c r="Q742" s="42">
        <v>7.0</v>
      </c>
      <c r="R742" s="42">
        <v>10.636363636363637</v>
      </c>
      <c r="S742" s="38">
        <v>20.0</v>
      </c>
      <c r="T742" s="42">
        <v>8.09090909090909</v>
      </c>
      <c r="U742" s="46">
        <v>20.0</v>
      </c>
    </row>
    <row r="743">
      <c r="A743" s="43" t="s">
        <v>1778</v>
      </c>
      <c r="B743" s="47" t="s">
        <v>1779</v>
      </c>
      <c r="C743" s="43" t="s">
        <v>88</v>
      </c>
      <c r="D743" s="43">
        <v>1.0</v>
      </c>
      <c r="E743" s="43">
        <v>1.0</v>
      </c>
      <c r="F743" s="44">
        <f>IFERROR(__xludf.DUMMYFUNCTION("""COMPUTED_VALUE"""),0.0)</f>
        <v>0</v>
      </c>
      <c r="G743" s="44" t="s">
        <v>112</v>
      </c>
      <c r="H743" s="43" t="s">
        <v>113</v>
      </c>
      <c r="I743" s="43" t="s">
        <v>115</v>
      </c>
      <c r="J743" s="47" t="s">
        <v>115</v>
      </c>
      <c r="K743" s="38">
        <v>1.0</v>
      </c>
      <c r="L743" s="38">
        <v>1.0</v>
      </c>
      <c r="M743" s="38" t="str">
        <f>IFERROR(__xludf.DUMMYFUNCTION("""COMPUTED_VALUE"""),"General Sparepart")</f>
        <v>General Sparepart</v>
      </c>
      <c r="N743" s="38">
        <v>24.0</v>
      </c>
      <c r="O743" s="40">
        <v>46112.0</v>
      </c>
      <c r="P743" s="38" t="s">
        <v>126</v>
      </c>
      <c r="Q743" s="42">
        <v>1.0</v>
      </c>
      <c r="R743" s="42">
        <v>0.5454545454545454</v>
      </c>
      <c r="S743" s="38">
        <v>1.0</v>
      </c>
      <c r="T743" s="42">
        <v>0.8636363636363635</v>
      </c>
      <c r="U743" s="46">
        <v>1.0</v>
      </c>
    </row>
    <row r="744">
      <c r="A744" s="43" t="s">
        <v>1780</v>
      </c>
      <c r="B744" s="47" t="s">
        <v>1781</v>
      </c>
      <c r="C744" s="43" t="s">
        <v>88</v>
      </c>
      <c r="D744" s="43">
        <v>1.0</v>
      </c>
      <c r="E744" s="43">
        <v>3.0</v>
      </c>
      <c r="F744" s="44">
        <f>IFERROR(__xludf.DUMMYFUNCTION("""COMPUTED_VALUE"""),3.0)</f>
        <v>3</v>
      </c>
      <c r="G744" s="44" t="s">
        <v>122</v>
      </c>
      <c r="H744" s="43" t="s">
        <v>113</v>
      </c>
      <c r="I744" s="43" t="s">
        <v>115</v>
      </c>
      <c r="J744" s="47" t="s">
        <v>115</v>
      </c>
      <c r="K744" s="38">
        <v>1.0</v>
      </c>
      <c r="L744" s="38">
        <v>1.0</v>
      </c>
      <c r="M744" s="38" t="str">
        <f>IFERROR(__xludf.DUMMYFUNCTION("""COMPUTED_VALUE"""),"Fast Moving / Consumable")</f>
        <v>Fast Moving / Consumable</v>
      </c>
      <c r="N744" s="38">
        <v>18.0</v>
      </c>
      <c r="O744" s="40">
        <v>45707.0</v>
      </c>
      <c r="P744" s="38" t="s">
        <v>126</v>
      </c>
      <c r="Q744" s="42">
        <v>1.0</v>
      </c>
      <c r="R744" s="42">
        <v>0.2727272727272727</v>
      </c>
      <c r="S744" s="38">
        <v>0.0</v>
      </c>
      <c r="T744" s="42">
        <v>0.7818181818181817</v>
      </c>
      <c r="U744" s="42">
        <v>0.7818181818181817</v>
      </c>
    </row>
    <row r="745">
      <c r="A745" s="43" t="s">
        <v>1782</v>
      </c>
      <c r="B745" s="47" t="s">
        <v>1783</v>
      </c>
      <c r="C745" s="43" t="s">
        <v>1784</v>
      </c>
      <c r="D745" s="43">
        <v>1.0</v>
      </c>
      <c r="E745" s="43">
        <v>1.0</v>
      </c>
      <c r="F745" s="44">
        <f>IFERROR(__xludf.DUMMYFUNCTION("""COMPUTED_VALUE"""),0.0)</f>
        <v>0</v>
      </c>
      <c r="G745" s="44" t="s">
        <v>112</v>
      </c>
      <c r="H745" s="43" t="s">
        <v>113</v>
      </c>
      <c r="I745" s="43" t="s">
        <v>115</v>
      </c>
      <c r="J745" s="47" t="s">
        <v>115</v>
      </c>
      <c r="K745" s="38">
        <v>1.0</v>
      </c>
      <c r="L745" s="38">
        <v>1.0</v>
      </c>
      <c r="M745" s="38" t="str">
        <f>IFERROR(__xludf.DUMMYFUNCTION("""COMPUTED_VALUE"""),"Critical Sparepart")</f>
        <v>Critical Sparepart</v>
      </c>
      <c r="N745" s="38">
        <v>36.0</v>
      </c>
      <c r="O745" s="40">
        <v>46247.0</v>
      </c>
      <c r="P745" s="38" t="s">
        <v>126</v>
      </c>
      <c r="Q745" s="42">
        <v>0.0</v>
      </c>
      <c r="R745" s="42">
        <v>0.2727272727272727</v>
      </c>
      <c r="S745" s="38">
        <v>1.0</v>
      </c>
      <c r="T745" s="42">
        <v>0.0818181818181818</v>
      </c>
      <c r="U745" s="46">
        <v>1.0</v>
      </c>
    </row>
    <row r="746">
      <c r="A746" s="43" t="s">
        <v>1785</v>
      </c>
      <c r="B746" s="47" t="s">
        <v>1786</v>
      </c>
      <c r="C746" s="43" t="s">
        <v>1784</v>
      </c>
      <c r="D746" s="43">
        <v>1.0</v>
      </c>
      <c r="E746" s="43">
        <v>3.0</v>
      </c>
      <c r="F746" s="44">
        <f>IFERROR(__xludf.DUMMYFUNCTION("""COMPUTED_VALUE"""),0.0)</f>
        <v>0</v>
      </c>
      <c r="G746" s="44" t="s">
        <v>112</v>
      </c>
      <c r="H746" s="43" t="s">
        <v>113</v>
      </c>
      <c r="I746" s="43" t="s">
        <v>115</v>
      </c>
      <c r="J746" s="47" t="s">
        <v>115</v>
      </c>
      <c r="K746" s="38">
        <v>1.0</v>
      </c>
      <c r="L746" s="38">
        <v>4.0</v>
      </c>
      <c r="M746" s="38" t="str">
        <f>IFERROR(__xludf.DUMMYFUNCTION("""COMPUTED_VALUE"""),"Fast Moving / Consumable")</f>
        <v>Fast Moving / Consumable</v>
      </c>
      <c r="N746" s="38">
        <v>18.0</v>
      </c>
      <c r="O746" s="40">
        <v>46203.0</v>
      </c>
      <c r="P746" s="38" t="s">
        <v>126</v>
      </c>
      <c r="Q746" s="42">
        <v>4.0</v>
      </c>
      <c r="R746" s="42">
        <v>1.0909090909090908</v>
      </c>
      <c r="S746" s="38">
        <v>4.0</v>
      </c>
      <c r="T746" s="42">
        <v>3.127272727272727</v>
      </c>
      <c r="U746" s="46">
        <v>4.0</v>
      </c>
    </row>
    <row r="747">
      <c r="A747" s="29" t="s">
        <v>1787</v>
      </c>
      <c r="B747" s="29" t="s">
        <v>1788</v>
      </c>
      <c r="C747" s="43" t="s">
        <v>1784</v>
      </c>
      <c r="D747" s="43">
        <v>1.0</v>
      </c>
      <c r="E747" s="43">
        <v>1.0</v>
      </c>
      <c r="F747" s="44">
        <f>IFERROR(__xludf.DUMMYFUNCTION("""COMPUTED_VALUE"""),0.0)</f>
        <v>0</v>
      </c>
      <c r="G747" s="44" t="s">
        <v>112</v>
      </c>
      <c r="H747" s="43" t="s">
        <v>113</v>
      </c>
      <c r="I747" s="43" t="s">
        <v>115</v>
      </c>
      <c r="J747" s="47" t="s">
        <v>115</v>
      </c>
      <c r="K747" s="38">
        <v>0.0</v>
      </c>
      <c r="L747" s="38">
        <v>0.0</v>
      </c>
      <c r="M747" s="38" t="str">
        <f>IFERROR(__xludf.DUMMYFUNCTION("""COMPUTED_VALUE"""),"Fast Moving / Consumable")</f>
        <v>Fast Moving / Consumable</v>
      </c>
      <c r="N747" s="38">
        <v>18.0</v>
      </c>
      <c r="O747" s="40">
        <v>45261.0</v>
      </c>
      <c r="P747" s="38" t="s">
        <v>116</v>
      </c>
      <c r="Q747" s="42">
        <v>0.0</v>
      </c>
      <c r="R747" s="42">
        <v>0.2727272727272727</v>
      </c>
      <c r="S747" s="38">
        <v>0.0</v>
      </c>
      <c r="T747" s="42">
        <v>0.0818181818181818</v>
      </c>
      <c r="U747" s="42">
        <v>0.0818181818181818</v>
      </c>
    </row>
    <row r="748">
      <c r="A748" s="29" t="s">
        <v>1789</v>
      </c>
      <c r="B748" s="29" t="s">
        <v>1790</v>
      </c>
      <c r="C748" s="43" t="s">
        <v>1784</v>
      </c>
      <c r="D748" s="43">
        <v>3.0</v>
      </c>
      <c r="E748" s="43">
        <v>15.0</v>
      </c>
      <c r="F748" s="44">
        <f>IFERROR(__xludf.DUMMYFUNCTION("""COMPUTED_VALUE"""),1.0)</f>
        <v>1</v>
      </c>
      <c r="G748" s="44" t="s">
        <v>112</v>
      </c>
      <c r="H748" s="43" t="s">
        <v>113</v>
      </c>
      <c r="I748" s="43" t="s">
        <v>115</v>
      </c>
      <c r="J748" s="47" t="s">
        <v>115</v>
      </c>
      <c r="K748" s="38">
        <v>2.0</v>
      </c>
      <c r="L748" s="38">
        <v>10.0</v>
      </c>
      <c r="M748" s="38" t="str">
        <f>IFERROR(__xludf.DUMMYFUNCTION("""COMPUTED_VALUE"""),"General Sparepart")</f>
        <v>General Sparepart</v>
      </c>
      <c r="N748" s="38">
        <v>24.0</v>
      </c>
      <c r="O748" s="40">
        <v>46260.0</v>
      </c>
      <c r="P748" s="38" t="s">
        <v>126</v>
      </c>
      <c r="Q748" s="42">
        <v>8.0</v>
      </c>
      <c r="R748" s="42">
        <v>11.454545454545455</v>
      </c>
      <c r="S748" s="38">
        <v>0.0</v>
      </c>
      <c r="T748" s="42">
        <v>9.036363636363635</v>
      </c>
      <c r="U748" s="42">
        <v>9.036363636363635</v>
      </c>
    </row>
    <row r="749">
      <c r="A749" s="43" t="s">
        <v>1791</v>
      </c>
      <c r="B749" s="47" t="s">
        <v>1792</v>
      </c>
      <c r="C749" s="43" t="s">
        <v>1784</v>
      </c>
      <c r="D749" s="43">
        <v>1.0</v>
      </c>
      <c r="E749" s="43">
        <v>1.0</v>
      </c>
      <c r="F749" s="44">
        <f>IFERROR(__xludf.DUMMYFUNCTION("""COMPUTED_VALUE"""),0.0)</f>
        <v>0</v>
      </c>
      <c r="G749" s="44" t="s">
        <v>112</v>
      </c>
      <c r="H749" s="43" t="s">
        <v>113</v>
      </c>
      <c r="I749" s="43" t="s">
        <v>115</v>
      </c>
      <c r="J749" s="47" t="s">
        <v>115</v>
      </c>
      <c r="K749" s="38">
        <v>0.0</v>
      </c>
      <c r="L749" s="38">
        <v>0.0</v>
      </c>
      <c r="M749" s="38" t="str">
        <f>IFERROR(__xludf.DUMMYFUNCTION("""COMPUTED_VALUE"""),"General Sparepart")</f>
        <v>General Sparepart</v>
      </c>
      <c r="N749" s="38">
        <v>24.0</v>
      </c>
      <c r="O749" s="40">
        <v>45370.0</v>
      </c>
      <c r="P749" s="38" t="s">
        <v>116</v>
      </c>
      <c r="Q749" s="42">
        <v>0.0</v>
      </c>
      <c r="R749" s="42">
        <v>0.2727272727272727</v>
      </c>
      <c r="S749" s="38">
        <v>0.0</v>
      </c>
      <c r="T749" s="42">
        <v>0.0818181818181818</v>
      </c>
      <c r="U749" s="42">
        <v>0.0818181818181818</v>
      </c>
    </row>
    <row r="750">
      <c r="A750" s="43" t="s">
        <v>1793</v>
      </c>
      <c r="B750" s="47" t="s">
        <v>1794</v>
      </c>
      <c r="C750" s="43" t="s">
        <v>1784</v>
      </c>
      <c r="D750" s="43">
        <v>1.0</v>
      </c>
      <c r="E750" s="43">
        <v>2.0</v>
      </c>
      <c r="F750" s="44">
        <f>IFERROR(__xludf.DUMMYFUNCTION("""COMPUTED_VALUE"""),0.0)</f>
        <v>0</v>
      </c>
      <c r="G750" s="44" t="s">
        <v>112</v>
      </c>
      <c r="H750" s="43" t="s">
        <v>113</v>
      </c>
      <c r="I750" s="43" t="s">
        <v>114</v>
      </c>
      <c r="J750" s="47" t="s">
        <v>115</v>
      </c>
      <c r="K750" s="38">
        <v>1.0</v>
      </c>
      <c r="L750" s="38">
        <v>2.0</v>
      </c>
      <c r="M750" s="38" t="str">
        <f>IFERROR(__xludf.DUMMYFUNCTION("""COMPUTED_VALUE"""),"General Sparepart")</f>
        <v>General Sparepart</v>
      </c>
      <c r="N750" s="38">
        <v>24.0</v>
      </c>
      <c r="O750" s="40">
        <v>45863.0</v>
      </c>
      <c r="P750" s="38" t="s">
        <v>126</v>
      </c>
      <c r="Q750" s="42">
        <v>1.0</v>
      </c>
      <c r="R750" s="42">
        <v>1.0909090909090908</v>
      </c>
      <c r="S750" s="38">
        <v>0.0</v>
      </c>
      <c r="T750" s="42">
        <v>1.0272727272727271</v>
      </c>
      <c r="U750" s="42">
        <v>1.0272727272727271</v>
      </c>
    </row>
    <row r="751">
      <c r="A751" s="43" t="s">
        <v>1795</v>
      </c>
      <c r="B751" s="43" t="s">
        <v>1796</v>
      </c>
      <c r="C751" s="43" t="s">
        <v>86</v>
      </c>
      <c r="D751" s="43">
        <v>1.0</v>
      </c>
      <c r="E751" s="43">
        <v>2.0</v>
      </c>
      <c r="F751" s="44">
        <f>IFERROR(__xludf.DUMMYFUNCTION("""COMPUTED_VALUE"""),1.0)</f>
        <v>1</v>
      </c>
      <c r="G751" s="44" t="s">
        <v>125</v>
      </c>
      <c r="H751" s="43" t="s">
        <v>113</v>
      </c>
      <c r="I751" s="43" t="s">
        <v>115</v>
      </c>
      <c r="J751" s="47" t="s">
        <v>115</v>
      </c>
      <c r="K751" s="38">
        <v>1.0</v>
      </c>
      <c r="L751" s="38">
        <v>2.0</v>
      </c>
      <c r="M751" s="38" t="str">
        <f>IFERROR(__xludf.DUMMYFUNCTION("""COMPUTED_VALUE"""),"Fast Moving / Consumable")</f>
        <v>Fast Moving / Consumable</v>
      </c>
      <c r="N751" s="38">
        <v>18.0</v>
      </c>
      <c r="O751" s="40">
        <v>46046.0</v>
      </c>
      <c r="P751" s="38" t="s">
        <v>126</v>
      </c>
      <c r="Q751" s="42">
        <v>2.0</v>
      </c>
      <c r="R751" s="42">
        <v>0.0</v>
      </c>
      <c r="S751" s="38">
        <v>1.0</v>
      </c>
      <c r="T751" s="42">
        <v>2.0</v>
      </c>
      <c r="U751" s="42">
        <v>2.0</v>
      </c>
    </row>
    <row r="752">
      <c r="A752" s="43" t="s">
        <v>1797</v>
      </c>
      <c r="B752" s="43" t="s">
        <v>1798</v>
      </c>
      <c r="C752" s="43" t="s">
        <v>86</v>
      </c>
      <c r="D752" s="43">
        <v>1.0</v>
      </c>
      <c r="E752" s="43">
        <v>2.0</v>
      </c>
      <c r="F752" s="44">
        <f>IFERROR(__xludf.DUMMYFUNCTION("""COMPUTED_VALUE"""),1.0)</f>
        <v>1</v>
      </c>
      <c r="G752" s="44" t="s">
        <v>125</v>
      </c>
      <c r="H752" s="43" t="s">
        <v>113</v>
      </c>
      <c r="I752" s="43" t="s">
        <v>115</v>
      </c>
      <c r="J752" s="47" t="s">
        <v>115</v>
      </c>
      <c r="K752" s="38">
        <v>1.0</v>
      </c>
      <c r="L752" s="38">
        <v>2.0</v>
      </c>
      <c r="M752" s="38" t="str">
        <f>IFERROR(__xludf.DUMMYFUNCTION("""COMPUTED_VALUE"""),"Fast Moving / Consumable")</f>
        <v>Fast Moving / Consumable</v>
      </c>
      <c r="N752" s="38">
        <v>18.0</v>
      </c>
      <c r="O752" s="40">
        <v>46046.0</v>
      </c>
      <c r="P752" s="38" t="s">
        <v>126</v>
      </c>
      <c r="Q752" s="42">
        <v>2.0</v>
      </c>
      <c r="R752" s="42">
        <v>0.0</v>
      </c>
      <c r="S752" s="38">
        <v>1.0</v>
      </c>
      <c r="T752" s="42">
        <v>2.0</v>
      </c>
      <c r="U752" s="42">
        <v>2.0</v>
      </c>
    </row>
    <row r="753">
      <c r="A753" s="43" t="s">
        <v>1799</v>
      </c>
      <c r="B753" s="43" t="s">
        <v>1800</v>
      </c>
      <c r="C753" s="43" t="s">
        <v>86</v>
      </c>
      <c r="D753" s="43">
        <v>2.0</v>
      </c>
      <c r="E753" s="43">
        <v>5.0</v>
      </c>
      <c r="F753" s="44">
        <f>IFERROR(__xludf.DUMMYFUNCTION("""COMPUTED_VALUE"""),0.0)</f>
        <v>0</v>
      </c>
      <c r="G753" s="44" t="s">
        <v>112</v>
      </c>
      <c r="H753" s="43" t="s">
        <v>113</v>
      </c>
      <c r="I753" s="43" t="s">
        <v>115</v>
      </c>
      <c r="J753" s="47" t="s">
        <v>115</v>
      </c>
      <c r="K753" s="38">
        <v>2.0</v>
      </c>
      <c r="L753" s="38">
        <v>10.0</v>
      </c>
      <c r="M753" s="38" t="str">
        <f>IFERROR(__xludf.DUMMYFUNCTION("""COMPUTED_VALUE"""),"General Sparepart")</f>
        <v>General Sparepart</v>
      </c>
      <c r="N753" s="38">
        <v>24.0</v>
      </c>
      <c r="O753" s="40">
        <v>46271.0</v>
      </c>
      <c r="P753" s="38" t="s">
        <v>126</v>
      </c>
      <c r="Q753" s="42">
        <v>14.0</v>
      </c>
      <c r="R753" s="42">
        <v>0.5454545454545454</v>
      </c>
      <c r="S753" s="38">
        <v>8.0</v>
      </c>
      <c r="T753" s="42">
        <v>9.963636363636363</v>
      </c>
      <c r="U753" s="42">
        <v>9.963636363636363</v>
      </c>
    </row>
    <row r="754">
      <c r="A754" s="43" t="s">
        <v>1801</v>
      </c>
      <c r="B754" s="43" t="s">
        <v>1802</v>
      </c>
      <c r="C754" s="43" t="s">
        <v>86</v>
      </c>
      <c r="D754" s="43">
        <v>2.0</v>
      </c>
      <c r="E754" s="43">
        <v>8.0</v>
      </c>
      <c r="F754" s="44">
        <f>IFERROR(__xludf.DUMMYFUNCTION("""COMPUTED_VALUE"""),4.0)</f>
        <v>4</v>
      </c>
      <c r="G754" s="44" t="s">
        <v>122</v>
      </c>
      <c r="H754" s="43" t="s">
        <v>113</v>
      </c>
      <c r="I754" s="43" t="s">
        <v>115</v>
      </c>
      <c r="J754" s="47" t="s">
        <v>115</v>
      </c>
      <c r="K754" s="38">
        <v>1.0</v>
      </c>
      <c r="L754" s="38">
        <v>7.0</v>
      </c>
      <c r="M754" s="38" t="str">
        <f>IFERROR(__xludf.DUMMYFUNCTION("""COMPUTED_VALUE"""),"General Sparepart")</f>
        <v>General Sparepart</v>
      </c>
      <c r="N754" s="38">
        <v>24.0</v>
      </c>
      <c r="O754" s="40">
        <v>46234.0</v>
      </c>
      <c r="P754" s="38" t="s">
        <v>126</v>
      </c>
      <c r="Q754" s="42">
        <v>9.0</v>
      </c>
      <c r="R754" s="42">
        <v>0.2727272727272727</v>
      </c>
      <c r="S754" s="38">
        <v>5.0</v>
      </c>
      <c r="T754" s="42">
        <v>6.381818181818182</v>
      </c>
      <c r="U754" s="42">
        <v>6.381818181818182</v>
      </c>
    </row>
    <row r="755">
      <c r="A755" s="43" t="s">
        <v>1803</v>
      </c>
      <c r="B755" s="43" t="s">
        <v>1804</v>
      </c>
      <c r="C755" s="43" t="s">
        <v>86</v>
      </c>
      <c r="D755" s="43">
        <v>1.0</v>
      </c>
      <c r="E755" s="43">
        <v>4.0</v>
      </c>
      <c r="F755" s="44">
        <f>IFERROR(__xludf.DUMMYFUNCTION("""COMPUTED_VALUE"""),3.0)</f>
        <v>3</v>
      </c>
      <c r="G755" s="44" t="s">
        <v>122</v>
      </c>
      <c r="H755" s="43" t="s">
        <v>113</v>
      </c>
      <c r="I755" s="43" t="s">
        <v>115</v>
      </c>
      <c r="J755" s="47" t="s">
        <v>115</v>
      </c>
      <c r="K755" s="38">
        <v>1.0</v>
      </c>
      <c r="L755" s="38">
        <v>3.0</v>
      </c>
      <c r="M755" s="38" t="str">
        <f>IFERROR(__xludf.DUMMYFUNCTION("""COMPUTED_VALUE"""),"General Sparepart")</f>
        <v>General Sparepart</v>
      </c>
      <c r="N755" s="38">
        <v>24.0</v>
      </c>
      <c r="O755" s="40">
        <v>46046.0</v>
      </c>
      <c r="P755" s="38" t="s">
        <v>126</v>
      </c>
      <c r="Q755" s="42">
        <v>3.0</v>
      </c>
      <c r="R755" s="42">
        <v>0.0</v>
      </c>
      <c r="S755" s="38">
        <v>2.0</v>
      </c>
      <c r="T755" s="42">
        <v>3.0</v>
      </c>
      <c r="U755" s="42">
        <v>3.0</v>
      </c>
    </row>
    <row r="756">
      <c r="A756" s="43" t="s">
        <v>1805</v>
      </c>
      <c r="B756" s="43" t="s">
        <v>1806</v>
      </c>
      <c r="C756" s="43" t="s">
        <v>86</v>
      </c>
      <c r="D756" s="43">
        <v>1.0</v>
      </c>
      <c r="E756" s="43">
        <v>3.0</v>
      </c>
      <c r="F756" s="44">
        <f>IFERROR(__xludf.DUMMYFUNCTION("""COMPUTED_VALUE"""),0.0)</f>
        <v>0</v>
      </c>
      <c r="G756" s="44" t="s">
        <v>112</v>
      </c>
      <c r="H756" s="43" t="s">
        <v>113</v>
      </c>
      <c r="I756" s="43" t="s">
        <v>115</v>
      </c>
      <c r="J756" s="47" t="s">
        <v>115</v>
      </c>
      <c r="K756" s="38">
        <v>1.0</v>
      </c>
      <c r="L756" s="38">
        <v>7.0</v>
      </c>
      <c r="M756" s="38" t="str">
        <f>IFERROR(__xludf.DUMMYFUNCTION("""COMPUTED_VALUE"""),"General Sparepart")</f>
        <v>General Sparepart</v>
      </c>
      <c r="N756" s="38">
        <v>24.0</v>
      </c>
      <c r="O756" s="40">
        <v>46271.0</v>
      </c>
      <c r="P756" s="38" t="s">
        <v>126</v>
      </c>
      <c r="Q756" s="42">
        <v>9.0</v>
      </c>
      <c r="R756" s="42">
        <v>0.5454545454545454</v>
      </c>
      <c r="S756" s="38">
        <v>5.0</v>
      </c>
      <c r="T756" s="42">
        <v>6.463636363636364</v>
      </c>
      <c r="U756" s="42">
        <v>6.463636363636364</v>
      </c>
    </row>
    <row r="757">
      <c r="A757" s="43" t="s">
        <v>1807</v>
      </c>
      <c r="B757" s="43" t="s">
        <v>1808</v>
      </c>
      <c r="C757" s="43" t="s">
        <v>1809</v>
      </c>
      <c r="D757" s="43">
        <v>4.0</v>
      </c>
      <c r="E757" s="43">
        <v>20.0</v>
      </c>
      <c r="F757" s="44">
        <f>IFERROR(__xludf.DUMMYFUNCTION("""COMPUTED_VALUE"""),9.0)</f>
        <v>9</v>
      </c>
      <c r="G757" s="44" t="s">
        <v>122</v>
      </c>
      <c r="H757" s="43" t="s">
        <v>113</v>
      </c>
      <c r="I757" s="43" t="s">
        <v>115</v>
      </c>
      <c r="J757" s="47" t="s">
        <v>115</v>
      </c>
      <c r="K757" s="38">
        <v>4.0</v>
      </c>
      <c r="L757" s="38">
        <v>35.0</v>
      </c>
      <c r="M757" s="38" t="str">
        <f>IFERROR(__xludf.DUMMYFUNCTION("""COMPUTED_VALUE"""),"General Sparepart")</f>
        <v>General Sparepart</v>
      </c>
      <c r="N757" s="38">
        <v>24.0</v>
      </c>
      <c r="O757" s="40">
        <v>46260.0</v>
      </c>
      <c r="P757" s="38" t="s">
        <v>126</v>
      </c>
      <c r="Q757" s="42">
        <v>48.0</v>
      </c>
      <c r="R757" s="42">
        <v>3.0</v>
      </c>
      <c r="S757" s="38">
        <v>20.0</v>
      </c>
      <c r="T757" s="42">
        <v>34.49999999999999</v>
      </c>
      <c r="U757" s="42">
        <v>34.49999999999999</v>
      </c>
    </row>
    <row r="758">
      <c r="A758" s="43" t="s">
        <v>1810</v>
      </c>
      <c r="B758" s="43" t="s">
        <v>1811</v>
      </c>
      <c r="C758" s="43" t="s">
        <v>91</v>
      </c>
      <c r="D758" s="43">
        <v>16.0</v>
      </c>
      <c r="E758" s="43">
        <v>100.0</v>
      </c>
      <c r="F758" s="44">
        <f>IFERROR(__xludf.DUMMYFUNCTION("""COMPUTED_VALUE"""),50.0)</f>
        <v>50</v>
      </c>
      <c r="G758" s="44" t="s">
        <v>122</v>
      </c>
      <c r="H758" s="43" t="s">
        <v>113</v>
      </c>
      <c r="I758" s="43" t="s">
        <v>115</v>
      </c>
      <c r="J758" s="47" t="s">
        <v>115</v>
      </c>
      <c r="K758" s="38">
        <v>14.0</v>
      </c>
      <c r="L758" s="38">
        <v>125.0</v>
      </c>
      <c r="M758" s="38" t="str">
        <f>IFERROR(__xludf.DUMMYFUNCTION("""COMPUTED_VALUE"""),"Fast Moving / Consumable")</f>
        <v>Fast Moving / Consumable</v>
      </c>
      <c r="N758" s="38">
        <v>18.0</v>
      </c>
      <c r="O758" s="40">
        <v>46142.0</v>
      </c>
      <c r="P758" s="38" t="s">
        <v>126</v>
      </c>
      <c r="Q758" s="42">
        <v>150.0</v>
      </c>
      <c r="R758" s="42">
        <v>13.90909090909091</v>
      </c>
      <c r="S758" s="38">
        <v>125.0</v>
      </c>
      <c r="T758" s="42">
        <v>109.17272727272727</v>
      </c>
      <c r="U758" s="46">
        <v>125.0</v>
      </c>
    </row>
    <row r="759">
      <c r="A759" s="43" t="s">
        <v>1812</v>
      </c>
      <c r="B759" s="43" t="s">
        <v>1813</v>
      </c>
      <c r="C759" s="43" t="s">
        <v>91</v>
      </c>
      <c r="D759" s="43">
        <v>11.0</v>
      </c>
      <c r="E759" s="43">
        <v>100.0</v>
      </c>
      <c r="F759" s="44">
        <f>IFERROR(__xludf.DUMMYFUNCTION("""COMPUTED_VALUE"""),15.0)</f>
        <v>15</v>
      </c>
      <c r="G759" s="44" t="s">
        <v>122</v>
      </c>
      <c r="H759" s="43" t="s">
        <v>113</v>
      </c>
      <c r="I759" s="43" t="s">
        <v>115</v>
      </c>
      <c r="J759" s="47" t="s">
        <v>115</v>
      </c>
      <c r="K759" s="38">
        <v>11.0</v>
      </c>
      <c r="L759" s="38">
        <v>100.0</v>
      </c>
      <c r="M759" s="38" t="str">
        <f>IFERROR(__xludf.DUMMYFUNCTION("""COMPUTED_VALUE"""),"Fast Moving / Consumable")</f>
        <v>Fast Moving / Consumable</v>
      </c>
      <c r="N759" s="38">
        <v>18.0</v>
      </c>
      <c r="O759" s="40">
        <v>46234.0</v>
      </c>
      <c r="P759" s="38" t="s">
        <v>126</v>
      </c>
      <c r="Q759" s="42">
        <v>23.0</v>
      </c>
      <c r="R759" s="42">
        <v>37.36363636363637</v>
      </c>
      <c r="S759" s="38">
        <v>100.0</v>
      </c>
      <c r="T759" s="42">
        <v>27.309090909090905</v>
      </c>
      <c r="U759" s="46">
        <v>100.0</v>
      </c>
    </row>
    <row r="760">
      <c r="A760" s="43" t="s">
        <v>1814</v>
      </c>
      <c r="B760" s="43" t="s">
        <v>1815</v>
      </c>
      <c r="C760" s="43" t="s">
        <v>67</v>
      </c>
      <c r="D760" s="43">
        <v>24.0</v>
      </c>
      <c r="E760" s="43">
        <v>72.0</v>
      </c>
      <c r="F760" s="44">
        <f>IFERROR(__xludf.DUMMYFUNCTION("""COMPUTED_VALUE"""),0.0)</f>
        <v>0</v>
      </c>
      <c r="G760" s="44" t="s">
        <v>112</v>
      </c>
      <c r="H760" s="43" t="s">
        <v>113</v>
      </c>
      <c r="I760" s="43" t="s">
        <v>115</v>
      </c>
      <c r="J760" s="47" t="s">
        <v>115</v>
      </c>
      <c r="K760" s="38">
        <v>60.0</v>
      </c>
      <c r="L760" s="38">
        <v>576.0</v>
      </c>
      <c r="M760" s="38" t="str">
        <f>IFERROR(__xludf.DUMMYFUNCTION("""COMPUTED_VALUE"""),"General Sparepart")</f>
        <v>General Sparepart</v>
      </c>
      <c r="N760" s="38">
        <v>24.0</v>
      </c>
      <c r="O760" s="40">
        <v>46231.0</v>
      </c>
      <c r="P760" s="38" t="s">
        <v>126</v>
      </c>
      <c r="Q760" s="42">
        <v>576.0</v>
      </c>
      <c r="R760" s="42">
        <v>0.0</v>
      </c>
      <c r="S760" s="38">
        <v>48.0</v>
      </c>
      <c r="T760" s="42">
        <v>576.0</v>
      </c>
      <c r="U760" s="42">
        <v>576.0</v>
      </c>
    </row>
    <row r="761">
      <c r="A761" s="43" t="s">
        <v>1816</v>
      </c>
      <c r="B761" s="43" t="s">
        <v>1817</v>
      </c>
      <c r="C761" s="43" t="s">
        <v>1818</v>
      </c>
      <c r="D761" s="43">
        <v>23.0</v>
      </c>
      <c r="E761" s="43">
        <v>69.0</v>
      </c>
      <c r="F761" s="44">
        <f>IFERROR(__xludf.DUMMYFUNCTION("""COMPUTED_VALUE"""),23.0)</f>
        <v>23</v>
      </c>
      <c r="G761" s="44" t="s">
        <v>125</v>
      </c>
      <c r="H761" s="43" t="s">
        <v>113</v>
      </c>
      <c r="I761" s="43" t="s">
        <v>115</v>
      </c>
      <c r="J761" s="47" t="s">
        <v>115</v>
      </c>
      <c r="K761" s="38">
        <v>4.0</v>
      </c>
      <c r="L761" s="38">
        <v>33.0</v>
      </c>
      <c r="M761" s="38" t="str">
        <f>IFERROR(__xludf.DUMMYFUNCTION("""COMPUTED_VALUE"""),"General Sparepart")</f>
        <v>General Sparepart</v>
      </c>
      <c r="N761" s="38">
        <v>24.0</v>
      </c>
      <c r="O761" s="40">
        <v>46234.0</v>
      </c>
      <c r="P761" s="38" t="s">
        <v>126</v>
      </c>
      <c r="Q761" s="42">
        <v>45.0</v>
      </c>
      <c r="R761" s="42">
        <v>1.9090909090909092</v>
      </c>
      <c r="S761" s="38">
        <v>30.0</v>
      </c>
      <c r="T761" s="42">
        <v>32.07272727272727</v>
      </c>
      <c r="U761" s="42">
        <v>32.07272727272727</v>
      </c>
    </row>
    <row r="762">
      <c r="A762" s="43" t="s">
        <v>1819</v>
      </c>
      <c r="B762" s="43" t="s">
        <v>1820</v>
      </c>
      <c r="C762" s="43" t="s">
        <v>1821</v>
      </c>
      <c r="D762" s="43">
        <v>15.0</v>
      </c>
      <c r="E762" s="43">
        <v>42.0</v>
      </c>
      <c r="F762" s="44">
        <f>IFERROR(__xludf.DUMMYFUNCTION("""COMPUTED_VALUE"""),15.0)</f>
        <v>15</v>
      </c>
      <c r="G762" s="44" t="s">
        <v>125</v>
      </c>
      <c r="H762" s="43" t="s">
        <v>113</v>
      </c>
      <c r="I762" s="43" t="s">
        <v>115</v>
      </c>
      <c r="J762" s="47" t="s">
        <v>115</v>
      </c>
      <c r="K762" s="38">
        <v>4.0</v>
      </c>
      <c r="L762" s="38">
        <v>35.0</v>
      </c>
      <c r="M762" s="38" t="str">
        <f>IFERROR(__xludf.DUMMYFUNCTION("""COMPUTED_VALUE"""),"General Sparepart")</f>
        <v>General Sparepart</v>
      </c>
      <c r="N762" s="38">
        <v>24.0</v>
      </c>
      <c r="O762" s="40">
        <v>46234.0</v>
      </c>
      <c r="P762" s="38" t="s">
        <v>126</v>
      </c>
      <c r="Q762" s="42">
        <v>48.0</v>
      </c>
      <c r="R762" s="42">
        <v>1.3636363636363635</v>
      </c>
      <c r="S762" s="38">
        <v>20.0</v>
      </c>
      <c r="T762" s="42">
        <v>34.0090909090909</v>
      </c>
      <c r="U762" s="42">
        <v>34.0090909090909</v>
      </c>
    </row>
    <row r="763">
      <c r="A763" s="43" t="s">
        <v>1822</v>
      </c>
      <c r="B763" s="43" t="s">
        <v>1823</v>
      </c>
      <c r="C763" s="43" t="s">
        <v>81</v>
      </c>
      <c r="D763" s="43">
        <v>30.0</v>
      </c>
      <c r="E763" s="43">
        <v>200.0</v>
      </c>
      <c r="F763" s="44">
        <f>IFERROR(__xludf.DUMMYFUNCTION("""COMPUTED_VALUE"""),0.0)</f>
        <v>0</v>
      </c>
      <c r="G763" s="44" t="s">
        <v>112</v>
      </c>
      <c r="H763" s="43" t="s">
        <v>113</v>
      </c>
      <c r="I763" s="43" t="s">
        <v>115</v>
      </c>
      <c r="J763" s="47" t="s">
        <v>115</v>
      </c>
      <c r="K763" s="38">
        <v>21.0</v>
      </c>
      <c r="L763" s="38">
        <v>200.0</v>
      </c>
      <c r="M763" s="38" t="str">
        <f>IFERROR(__xludf.DUMMYFUNCTION("""COMPUTED_VALUE"""),"Fast Moving / Consumable")</f>
        <v>Fast Moving / Consumable</v>
      </c>
      <c r="N763" s="38">
        <v>18.0</v>
      </c>
      <c r="O763" s="40">
        <v>46260.0</v>
      </c>
      <c r="P763" s="38" t="s">
        <v>126</v>
      </c>
      <c r="Q763" s="42">
        <v>215.0</v>
      </c>
      <c r="R763" s="42">
        <v>48.81818181818182</v>
      </c>
      <c r="S763" s="38">
        <v>200.0</v>
      </c>
      <c r="T763" s="42">
        <v>165.14545454545456</v>
      </c>
      <c r="U763" s="46">
        <v>200.0</v>
      </c>
    </row>
    <row r="764">
      <c r="A764" s="43" t="s">
        <v>1824</v>
      </c>
      <c r="B764" s="43" t="s">
        <v>1825</v>
      </c>
      <c r="C764" s="43" t="s">
        <v>81</v>
      </c>
      <c r="D764" s="43">
        <v>20.0</v>
      </c>
      <c r="E764" s="43">
        <v>120.0</v>
      </c>
      <c r="F764" s="44">
        <f>IFERROR(__xludf.DUMMYFUNCTION("""COMPUTED_VALUE"""),0.0)</f>
        <v>0</v>
      </c>
      <c r="G764" s="44" t="s">
        <v>112</v>
      </c>
      <c r="H764" s="43" t="s">
        <v>113</v>
      </c>
      <c r="I764" s="43" t="s">
        <v>115</v>
      </c>
      <c r="J764" s="47" t="s">
        <v>115</v>
      </c>
      <c r="K764" s="38">
        <v>11.0</v>
      </c>
      <c r="L764" s="38">
        <v>103.0</v>
      </c>
      <c r="M764" s="38" t="str">
        <f>IFERROR(__xludf.DUMMYFUNCTION("""COMPUTED_VALUE"""),"General Sparepart")</f>
        <v>General Sparepart</v>
      </c>
      <c r="N764" s="38">
        <v>24.0</v>
      </c>
      <c r="O764" s="40">
        <v>45946.0</v>
      </c>
      <c r="P764" s="38" t="s">
        <v>126</v>
      </c>
      <c r="Q764" s="42">
        <v>103.0</v>
      </c>
      <c r="R764" s="42">
        <v>0.0</v>
      </c>
      <c r="S764" s="38">
        <v>60.0</v>
      </c>
      <c r="T764" s="42">
        <v>103.0</v>
      </c>
      <c r="U764" s="42">
        <v>103.0</v>
      </c>
    </row>
    <row r="765">
      <c r="A765" s="43" t="s">
        <v>1826</v>
      </c>
      <c r="B765" s="43" t="s">
        <v>1827</v>
      </c>
      <c r="C765" s="43" t="s">
        <v>98</v>
      </c>
      <c r="D765" s="43">
        <v>5.0</v>
      </c>
      <c r="E765" s="43">
        <v>30.0</v>
      </c>
      <c r="F765" s="44">
        <f>IFERROR(__xludf.DUMMYFUNCTION("""COMPUTED_VALUE"""),6.0)</f>
        <v>6</v>
      </c>
      <c r="G765" s="44" t="s">
        <v>122</v>
      </c>
      <c r="H765" s="43" t="s">
        <v>113</v>
      </c>
      <c r="I765" s="43" t="s">
        <v>115</v>
      </c>
      <c r="J765" s="47" t="s">
        <v>115</v>
      </c>
      <c r="K765" s="38">
        <v>1.0</v>
      </c>
      <c r="L765" s="38">
        <v>3.0</v>
      </c>
      <c r="M765" s="38" t="str">
        <f>IFERROR(__xludf.DUMMYFUNCTION("""COMPUTED_VALUE"""),"General Sparepart")</f>
        <v>General Sparepart</v>
      </c>
      <c r="N765" s="38">
        <v>24.0</v>
      </c>
      <c r="O765" s="40">
        <v>45863.0</v>
      </c>
      <c r="P765" s="38" t="s">
        <v>126</v>
      </c>
      <c r="Q765" s="42">
        <v>3.0</v>
      </c>
      <c r="R765" s="42">
        <v>2.4545454545454546</v>
      </c>
      <c r="S765" s="38">
        <v>0.0</v>
      </c>
      <c r="T765" s="42">
        <v>2.836363636363636</v>
      </c>
      <c r="U765" s="42">
        <v>2.836363636363636</v>
      </c>
    </row>
    <row r="766">
      <c r="A766" s="43" t="s">
        <v>1828</v>
      </c>
      <c r="B766" s="43" t="s">
        <v>1829</v>
      </c>
      <c r="C766" s="43" t="s">
        <v>98</v>
      </c>
      <c r="D766" s="43">
        <v>2.0</v>
      </c>
      <c r="E766" s="43">
        <v>10.0</v>
      </c>
      <c r="F766" s="44">
        <f>IFERROR(__xludf.DUMMYFUNCTION("""COMPUTED_VALUE"""),1.0)</f>
        <v>1</v>
      </c>
      <c r="G766" s="44" t="s">
        <v>112</v>
      </c>
      <c r="H766" s="43" t="s">
        <v>113</v>
      </c>
      <c r="I766" s="43" t="s">
        <v>115</v>
      </c>
      <c r="J766" s="47" t="s">
        <v>115</v>
      </c>
      <c r="K766" s="38">
        <v>2.0</v>
      </c>
      <c r="L766" s="38">
        <v>10.0</v>
      </c>
      <c r="M766" s="38" t="str">
        <f>IFERROR(__xludf.DUMMYFUNCTION("""COMPUTED_VALUE"""),"General Sparepart")</f>
        <v>General Sparepart</v>
      </c>
      <c r="N766" s="38">
        <v>24.0</v>
      </c>
      <c r="O766" s="40">
        <v>46272.0</v>
      </c>
      <c r="P766" s="38" t="s">
        <v>126</v>
      </c>
      <c r="Q766" s="42">
        <v>3.0</v>
      </c>
      <c r="R766" s="42">
        <v>2.1818181818181817</v>
      </c>
      <c r="S766" s="38">
        <v>10.0</v>
      </c>
      <c r="T766" s="42">
        <v>2.754545454545454</v>
      </c>
      <c r="U766" s="46">
        <v>10.0</v>
      </c>
    </row>
    <row r="767">
      <c r="A767" s="43" t="s">
        <v>1830</v>
      </c>
      <c r="B767" s="43" t="s">
        <v>1831</v>
      </c>
      <c r="C767" s="43" t="s">
        <v>106</v>
      </c>
      <c r="D767" s="43">
        <v>50.0</v>
      </c>
      <c r="E767" s="43">
        <v>350.0</v>
      </c>
      <c r="F767" s="44">
        <f>IFERROR(__xludf.DUMMYFUNCTION("""COMPUTED_VALUE"""),475.0)</f>
        <v>475</v>
      </c>
      <c r="G767" s="44" t="s">
        <v>122</v>
      </c>
      <c r="H767" s="43" t="s">
        <v>113</v>
      </c>
      <c r="I767" s="43" t="s">
        <v>115</v>
      </c>
      <c r="J767" s="47" t="s">
        <v>115</v>
      </c>
      <c r="K767" s="38">
        <v>37.0</v>
      </c>
      <c r="L767" s="38">
        <v>349.0</v>
      </c>
      <c r="M767" s="38" t="str">
        <f>IFERROR(__xludf.DUMMYFUNCTION("""COMPUTED_VALUE"""),"General Sparepart")</f>
        <v>General Sparepart</v>
      </c>
      <c r="N767" s="38">
        <v>24.0</v>
      </c>
      <c r="O767" s="40">
        <v>46203.0</v>
      </c>
      <c r="P767" s="38" t="s">
        <v>126</v>
      </c>
      <c r="Q767" s="42">
        <v>366.0</v>
      </c>
      <c r="R767" s="42">
        <v>307.09090909090907</v>
      </c>
      <c r="S767" s="38">
        <v>0.0</v>
      </c>
      <c r="T767" s="42">
        <v>348.3272727272727</v>
      </c>
      <c r="U767" s="42">
        <v>348.3272727272727</v>
      </c>
    </row>
    <row r="768">
      <c r="A768" s="43" t="s">
        <v>1832</v>
      </c>
      <c r="B768" s="43" t="s">
        <v>1833</v>
      </c>
      <c r="C768" s="43" t="s">
        <v>80</v>
      </c>
      <c r="D768" s="43">
        <v>20.0</v>
      </c>
      <c r="E768" s="43">
        <v>200.0</v>
      </c>
      <c r="F768" s="44">
        <f>IFERROR(__xludf.DUMMYFUNCTION("""COMPUTED_VALUE"""),0.0)</f>
        <v>0</v>
      </c>
      <c r="G768" s="44" t="s">
        <v>112</v>
      </c>
      <c r="H768" s="43" t="s">
        <v>113</v>
      </c>
      <c r="I768" s="43" t="s">
        <v>115</v>
      </c>
      <c r="J768" s="47" t="s">
        <v>115</v>
      </c>
      <c r="K768" s="38">
        <v>21.0</v>
      </c>
      <c r="L768" s="38">
        <v>200.0</v>
      </c>
      <c r="M768" s="38" t="str">
        <f>IFERROR(__xludf.DUMMYFUNCTION("""COMPUTED_VALUE"""),"Fast Moving / Consumable")</f>
        <v>Fast Moving / Consumable</v>
      </c>
      <c r="N768" s="38">
        <v>18.0</v>
      </c>
      <c r="O768" s="40">
        <v>46234.0</v>
      </c>
      <c r="P768" s="38" t="s">
        <v>126</v>
      </c>
      <c r="Q768" s="42">
        <v>119.0</v>
      </c>
      <c r="R768" s="42">
        <v>100.0909090909091</v>
      </c>
      <c r="S768" s="38">
        <v>200.0</v>
      </c>
      <c r="T768" s="42">
        <v>113.32727272727273</v>
      </c>
      <c r="U768" s="46">
        <v>200.0</v>
      </c>
    </row>
    <row r="769">
      <c r="A769" s="43" t="s">
        <v>1834</v>
      </c>
      <c r="B769" s="43" t="s">
        <v>1835</v>
      </c>
      <c r="C769" s="43" t="s">
        <v>80</v>
      </c>
      <c r="D769" s="43">
        <v>5.0</v>
      </c>
      <c r="E769" s="43">
        <v>20.0</v>
      </c>
      <c r="F769" s="44">
        <f>IFERROR(__xludf.DUMMYFUNCTION("""COMPUTED_VALUE"""),0.0)</f>
        <v>0</v>
      </c>
      <c r="G769" s="44" t="s">
        <v>112</v>
      </c>
      <c r="H769" s="43" t="s">
        <v>113</v>
      </c>
      <c r="I769" s="43" t="s">
        <v>115</v>
      </c>
      <c r="J769" s="47" t="s">
        <v>115</v>
      </c>
      <c r="K769" s="38">
        <v>13.0</v>
      </c>
      <c r="L769" s="38">
        <v>120.0</v>
      </c>
      <c r="M769" s="38" t="str">
        <f>IFERROR(__xludf.DUMMYFUNCTION("""COMPUTED_VALUE"""),"Fast Moving / Consumable")</f>
        <v>Fast Moving / Consumable</v>
      </c>
      <c r="N769" s="38">
        <v>18.0</v>
      </c>
      <c r="O769" s="40">
        <v>46273.0</v>
      </c>
      <c r="P769" s="38" t="s">
        <v>126</v>
      </c>
      <c r="Q769" s="42">
        <v>54.0</v>
      </c>
      <c r="R769" s="42">
        <v>30.0</v>
      </c>
      <c r="S769" s="38">
        <v>120.0</v>
      </c>
      <c r="T769" s="42">
        <v>46.8</v>
      </c>
      <c r="U769" s="46">
        <v>120.0</v>
      </c>
    </row>
    <row r="770">
      <c r="A770" s="43" t="s">
        <v>1836</v>
      </c>
      <c r="B770" s="43" t="s">
        <v>1837</v>
      </c>
      <c r="C770" s="43" t="s">
        <v>80</v>
      </c>
      <c r="D770" s="43">
        <v>20.0</v>
      </c>
      <c r="E770" s="43">
        <v>100.0</v>
      </c>
      <c r="F770" s="44">
        <f>IFERROR(__xludf.DUMMYFUNCTION("""COMPUTED_VALUE"""),80.0)</f>
        <v>80</v>
      </c>
      <c r="G770" s="44" t="s">
        <v>122</v>
      </c>
      <c r="H770" s="43" t="s">
        <v>113</v>
      </c>
      <c r="I770" s="43" t="s">
        <v>115</v>
      </c>
      <c r="J770" s="47" t="s">
        <v>115</v>
      </c>
      <c r="K770" s="38">
        <v>11.0</v>
      </c>
      <c r="L770" s="38">
        <v>100.0</v>
      </c>
      <c r="M770" s="38" t="str">
        <f>IFERROR(__xludf.DUMMYFUNCTION("""COMPUTED_VALUE"""),"Fast Moving / Consumable")</f>
        <v>Fast Moving / Consumable</v>
      </c>
      <c r="N770" s="38">
        <v>18.0</v>
      </c>
      <c r="O770" s="40">
        <v>46234.0</v>
      </c>
      <c r="P770" s="38" t="s">
        <v>126</v>
      </c>
      <c r="Q770" s="42">
        <v>40.0</v>
      </c>
      <c r="R770" s="42">
        <v>28.636363636363633</v>
      </c>
      <c r="S770" s="38">
        <v>100.0</v>
      </c>
      <c r="T770" s="42">
        <v>36.59090909090909</v>
      </c>
      <c r="U770" s="46">
        <v>100.0</v>
      </c>
    </row>
    <row r="771">
      <c r="A771" s="43" t="s">
        <v>1838</v>
      </c>
      <c r="B771" s="43" t="s">
        <v>1839</v>
      </c>
      <c r="C771" s="43" t="s">
        <v>80</v>
      </c>
      <c r="D771" s="43">
        <v>2.0</v>
      </c>
      <c r="E771" s="43">
        <v>5.0</v>
      </c>
      <c r="F771" s="44">
        <f>IFERROR(__xludf.DUMMYFUNCTION("""COMPUTED_VALUE"""),0.0)</f>
        <v>0</v>
      </c>
      <c r="G771" s="44" t="s">
        <v>112</v>
      </c>
      <c r="H771" s="43" t="s">
        <v>113</v>
      </c>
      <c r="I771" s="43" t="s">
        <v>115</v>
      </c>
      <c r="J771" s="47" t="s">
        <v>115</v>
      </c>
      <c r="K771" s="38">
        <v>38.0</v>
      </c>
      <c r="L771" s="38">
        <v>360.0</v>
      </c>
      <c r="M771" s="38" t="str">
        <f>IFERROR(__xludf.DUMMYFUNCTION("""COMPUTED_VALUE"""),"General Sparepart")</f>
        <v>General Sparepart</v>
      </c>
      <c r="N771" s="38">
        <v>24.0</v>
      </c>
      <c r="O771" s="40">
        <v>46267.0</v>
      </c>
      <c r="P771" s="38" t="s">
        <v>126</v>
      </c>
      <c r="Q771" s="42">
        <v>360.0</v>
      </c>
      <c r="R771" s="42">
        <v>0.0</v>
      </c>
      <c r="S771" s="38">
        <v>30.0</v>
      </c>
      <c r="T771" s="42">
        <v>360.0</v>
      </c>
      <c r="U771" s="42">
        <v>360.0</v>
      </c>
    </row>
    <row r="772">
      <c r="A772" s="43" t="s">
        <v>1840</v>
      </c>
      <c r="B772" s="47" t="s">
        <v>1841</v>
      </c>
      <c r="C772" s="43" t="s">
        <v>91</v>
      </c>
      <c r="D772" s="43">
        <v>1.0</v>
      </c>
      <c r="E772" s="43">
        <v>3.0</v>
      </c>
      <c r="F772" s="44">
        <f>IFERROR(__xludf.DUMMYFUNCTION("""COMPUTED_VALUE"""),0.0)</f>
        <v>0</v>
      </c>
      <c r="G772" s="44" t="s">
        <v>112</v>
      </c>
      <c r="H772" s="43" t="s">
        <v>113</v>
      </c>
      <c r="I772" s="43" t="s">
        <v>115</v>
      </c>
      <c r="J772" s="47" t="s">
        <v>115</v>
      </c>
      <c r="K772" s="38">
        <v>3.0</v>
      </c>
      <c r="L772" s="38">
        <v>24.0</v>
      </c>
      <c r="M772" s="38" t="str">
        <f>IFERROR(__xludf.DUMMYFUNCTION("""COMPUTED_VALUE"""),"General Sparepart")</f>
        <v>General Sparepart</v>
      </c>
      <c r="N772" s="38">
        <v>24.0</v>
      </c>
      <c r="O772" s="40">
        <v>46247.0</v>
      </c>
      <c r="P772" s="38" t="s">
        <v>126</v>
      </c>
      <c r="Q772" s="42">
        <v>24.0</v>
      </c>
      <c r="R772" s="42">
        <v>0.0</v>
      </c>
      <c r="S772" s="38">
        <v>2.0</v>
      </c>
      <c r="T772" s="42">
        <v>24.0</v>
      </c>
      <c r="U772" s="42">
        <v>24.0</v>
      </c>
    </row>
    <row r="773">
      <c r="A773" s="43" t="s">
        <v>1842</v>
      </c>
      <c r="B773" s="47" t="s">
        <v>1843</v>
      </c>
      <c r="C773" s="43" t="s">
        <v>91</v>
      </c>
      <c r="D773" s="43">
        <v>1.0</v>
      </c>
      <c r="E773" s="43">
        <v>3.0</v>
      </c>
      <c r="F773" s="44">
        <f>IFERROR(__xludf.DUMMYFUNCTION("""COMPUTED_VALUE"""),0.0)</f>
        <v>0</v>
      </c>
      <c r="G773" s="44" t="s">
        <v>112</v>
      </c>
      <c r="H773" s="43" t="s">
        <v>113</v>
      </c>
      <c r="I773" s="43" t="s">
        <v>115</v>
      </c>
      <c r="J773" s="47" t="s">
        <v>115</v>
      </c>
      <c r="K773" s="38">
        <v>1.0</v>
      </c>
      <c r="L773" s="38">
        <v>6.0</v>
      </c>
      <c r="M773" s="38" t="str">
        <f>IFERROR(__xludf.DUMMYFUNCTION("""COMPUTED_VALUE"""),"General Sparepart")</f>
        <v>General Sparepart</v>
      </c>
      <c r="N773" s="38">
        <v>24.0</v>
      </c>
      <c r="O773" s="40">
        <v>46273.0</v>
      </c>
      <c r="P773" s="38" t="s">
        <v>126</v>
      </c>
      <c r="Q773" s="42">
        <v>8.0</v>
      </c>
      <c r="R773" s="42">
        <v>0.2727272727272727</v>
      </c>
      <c r="S773" s="38">
        <v>5.0</v>
      </c>
      <c r="T773" s="42">
        <v>5.681818181818182</v>
      </c>
      <c r="U773" s="42">
        <v>5.681818181818182</v>
      </c>
    </row>
    <row r="774">
      <c r="A774" s="43" t="s">
        <v>1844</v>
      </c>
      <c r="B774" s="43" t="s">
        <v>1845</v>
      </c>
      <c r="C774" s="43" t="s">
        <v>81</v>
      </c>
      <c r="D774" s="43">
        <v>5.0</v>
      </c>
      <c r="E774" s="43">
        <v>20.0</v>
      </c>
      <c r="F774" s="44">
        <f>IFERROR(__xludf.DUMMYFUNCTION("""COMPUTED_VALUE"""),0.0)</f>
        <v>0</v>
      </c>
      <c r="G774" s="44" t="s">
        <v>112</v>
      </c>
      <c r="H774" s="43" t="s">
        <v>113</v>
      </c>
      <c r="I774" s="43" t="s">
        <v>115</v>
      </c>
      <c r="J774" s="47" t="s">
        <v>115</v>
      </c>
      <c r="K774" s="38">
        <v>4.0</v>
      </c>
      <c r="L774" s="38">
        <v>32.0</v>
      </c>
      <c r="M774" s="38" t="str">
        <f>IFERROR(__xludf.DUMMYFUNCTION("""COMPUTED_VALUE"""),"Fast Moving / Consumable")</f>
        <v>Fast Moving / Consumable</v>
      </c>
      <c r="N774" s="38">
        <v>18.0</v>
      </c>
      <c r="O774" s="40">
        <v>46273.0</v>
      </c>
      <c r="P774" s="38" t="s">
        <v>126</v>
      </c>
      <c r="Q774" s="42">
        <v>35.0</v>
      </c>
      <c r="R774" s="42">
        <v>14.181818181818183</v>
      </c>
      <c r="S774" s="38">
        <v>32.0</v>
      </c>
      <c r="T774" s="42">
        <v>28.754545454545454</v>
      </c>
      <c r="U774" s="46">
        <v>32.0</v>
      </c>
    </row>
    <row r="775">
      <c r="A775" s="43" t="s">
        <v>1846</v>
      </c>
      <c r="B775" s="43" t="s">
        <v>1847</v>
      </c>
      <c r="C775" s="43" t="s">
        <v>81</v>
      </c>
      <c r="D775" s="43">
        <v>2.0</v>
      </c>
      <c r="E775" s="43">
        <v>10.0</v>
      </c>
      <c r="F775" s="44">
        <f>IFERROR(__xludf.DUMMYFUNCTION("""COMPUTED_VALUE"""),0.0)</f>
        <v>0</v>
      </c>
      <c r="G775" s="44" t="s">
        <v>112</v>
      </c>
      <c r="H775" s="43" t="s">
        <v>113</v>
      </c>
      <c r="I775" s="43" t="s">
        <v>115</v>
      </c>
      <c r="J775" s="47" t="s">
        <v>115</v>
      </c>
      <c r="K775" s="38">
        <v>3.0</v>
      </c>
      <c r="L775" s="38">
        <v>23.0</v>
      </c>
      <c r="M775" s="38" t="str">
        <f>IFERROR(__xludf.DUMMYFUNCTION("""COMPUTED_VALUE"""),"Fast Moving / Consumable")</f>
        <v>Fast Moving / Consumable</v>
      </c>
      <c r="N775" s="38">
        <v>18.0</v>
      </c>
      <c r="O775" s="40">
        <v>46273.0</v>
      </c>
      <c r="P775" s="38" t="s">
        <v>126</v>
      </c>
      <c r="Q775" s="42">
        <v>32.0</v>
      </c>
      <c r="R775" s="42">
        <v>0.8181818181818181</v>
      </c>
      <c r="S775" s="38">
        <v>16.0</v>
      </c>
      <c r="T775" s="42">
        <v>22.645454545454545</v>
      </c>
      <c r="U775" s="42">
        <v>22.645454545454545</v>
      </c>
    </row>
    <row r="776">
      <c r="A776" s="43" t="s">
        <v>1848</v>
      </c>
      <c r="B776" s="43" t="s">
        <v>1849</v>
      </c>
      <c r="C776" s="43" t="s">
        <v>81</v>
      </c>
      <c r="D776" s="43">
        <v>1.0</v>
      </c>
      <c r="E776" s="43">
        <v>5.0</v>
      </c>
      <c r="F776" s="44">
        <f>IFERROR(__xludf.DUMMYFUNCTION("""COMPUTED_VALUE"""),0.0)</f>
        <v>0</v>
      </c>
      <c r="G776" s="44" t="s">
        <v>112</v>
      </c>
      <c r="H776" s="43" t="s">
        <v>113</v>
      </c>
      <c r="I776" s="43" t="s">
        <v>115</v>
      </c>
      <c r="J776" s="47" t="s">
        <v>115</v>
      </c>
      <c r="K776" s="38">
        <v>0.0</v>
      </c>
      <c r="L776" s="38">
        <v>0.0</v>
      </c>
      <c r="M776" s="38" t="str">
        <f>IFERROR(__xludf.DUMMYFUNCTION("""COMPUTED_VALUE"""),"Fast Moving / Consumable")</f>
        <v>Fast Moving / Consumable</v>
      </c>
      <c r="N776" s="38">
        <v>18.0</v>
      </c>
      <c r="O776" s="40">
        <v>45472.0</v>
      </c>
      <c r="P776" s="38" t="s">
        <v>116</v>
      </c>
      <c r="Q776" s="42">
        <v>2.0</v>
      </c>
      <c r="R776" s="42">
        <v>0.2727272727272727</v>
      </c>
      <c r="S776" s="38">
        <v>0.0</v>
      </c>
      <c r="T776" s="42">
        <v>1.4818181818181817</v>
      </c>
      <c r="U776" s="42">
        <v>1.4818181818181817</v>
      </c>
    </row>
    <row r="777">
      <c r="F777" s="6"/>
      <c r="G777" s="6"/>
      <c r="J777" s="51"/>
      <c r="K777" s="51"/>
      <c r="L777" s="51"/>
      <c r="M777" s="51" t="str">
        <f>IFERROR(__xludf.DUMMYFUNCTION("""COMPUTED_VALUE"""),"")</f>
        <v/>
      </c>
      <c r="N777" s="51" t="s">
        <v>1850</v>
      </c>
      <c r="O777" s="52" t="s">
        <v>1850</v>
      </c>
      <c r="P777" s="51" t="s">
        <v>1850</v>
      </c>
      <c r="Q777" s="53" t="s">
        <v>1850</v>
      </c>
      <c r="R777" s="53" t="s">
        <v>1850</v>
      </c>
      <c r="S777" s="51" t="s">
        <v>1850</v>
      </c>
      <c r="T777" s="53"/>
      <c r="U777" s="54" t="s">
        <v>1850</v>
      </c>
    </row>
    <row r="778">
      <c r="F778" s="6"/>
      <c r="G778" s="6"/>
      <c r="J778" s="51"/>
      <c r="K778" s="51"/>
      <c r="L778" s="51"/>
      <c r="M778" s="51" t="str">
        <f>IFERROR(__xludf.DUMMYFUNCTION("""COMPUTED_VALUE"""),"")</f>
        <v/>
      </c>
      <c r="N778" s="51" t="s">
        <v>1850</v>
      </c>
      <c r="O778" s="52" t="s">
        <v>1850</v>
      </c>
      <c r="P778" s="51" t="s">
        <v>1850</v>
      </c>
      <c r="Q778" s="53" t="s">
        <v>1850</v>
      </c>
      <c r="R778" s="53" t="s">
        <v>1850</v>
      </c>
      <c r="S778" s="51" t="s">
        <v>1850</v>
      </c>
      <c r="T778" s="53"/>
      <c r="U778" s="54" t="s">
        <v>1850</v>
      </c>
    </row>
    <row r="779">
      <c r="F779" s="6"/>
      <c r="G779" s="6"/>
      <c r="J779" s="51"/>
      <c r="K779" s="51"/>
      <c r="L779" s="51"/>
      <c r="M779" s="51" t="str">
        <f>IFERROR(__xludf.DUMMYFUNCTION("""COMPUTED_VALUE"""),"")</f>
        <v/>
      </c>
      <c r="N779" s="51" t="s">
        <v>1850</v>
      </c>
      <c r="O779" s="52" t="s">
        <v>1850</v>
      </c>
      <c r="P779" s="51" t="s">
        <v>1850</v>
      </c>
      <c r="Q779" s="53" t="s">
        <v>1850</v>
      </c>
      <c r="R779" s="53" t="s">
        <v>1850</v>
      </c>
      <c r="S779" s="51" t="s">
        <v>1850</v>
      </c>
      <c r="T779" s="53"/>
      <c r="U779" s="54" t="s">
        <v>1850</v>
      </c>
    </row>
    <row r="780">
      <c r="F780" s="6"/>
      <c r="G780" s="6"/>
      <c r="J780" s="51"/>
      <c r="K780" s="51"/>
      <c r="L780" s="51"/>
      <c r="M780" s="51" t="str">
        <f>IFERROR(__xludf.DUMMYFUNCTION("""COMPUTED_VALUE"""),"")</f>
        <v/>
      </c>
      <c r="N780" s="51" t="s">
        <v>1850</v>
      </c>
      <c r="O780" s="52" t="s">
        <v>1850</v>
      </c>
      <c r="P780" s="51" t="s">
        <v>1850</v>
      </c>
      <c r="Q780" s="53" t="s">
        <v>1850</v>
      </c>
      <c r="R780" s="53" t="s">
        <v>1850</v>
      </c>
      <c r="S780" s="51" t="s">
        <v>1850</v>
      </c>
      <c r="T780" s="53"/>
      <c r="U780" s="54" t="s">
        <v>1850</v>
      </c>
    </row>
    <row r="781">
      <c r="F781" s="6"/>
      <c r="G781" s="6"/>
      <c r="J781" s="51"/>
      <c r="K781" s="51"/>
      <c r="L781" s="51"/>
      <c r="M781" s="51" t="str">
        <f>IFERROR(__xludf.DUMMYFUNCTION("""COMPUTED_VALUE"""),"")</f>
        <v/>
      </c>
      <c r="N781" s="51" t="s">
        <v>1850</v>
      </c>
      <c r="O781" s="52" t="s">
        <v>1850</v>
      </c>
      <c r="P781" s="51" t="s">
        <v>1850</v>
      </c>
      <c r="Q781" s="53" t="s">
        <v>1850</v>
      </c>
      <c r="R781" s="53" t="s">
        <v>1850</v>
      </c>
      <c r="S781" s="51" t="s">
        <v>1850</v>
      </c>
      <c r="T781" s="53"/>
      <c r="U781" s="54" t="s">
        <v>1850</v>
      </c>
    </row>
    <row r="782">
      <c r="F782" s="6"/>
      <c r="G782" s="6"/>
      <c r="J782" s="51"/>
      <c r="K782" s="51"/>
      <c r="L782" s="51"/>
      <c r="M782" s="51" t="str">
        <f>IFERROR(__xludf.DUMMYFUNCTION("""COMPUTED_VALUE"""),"")</f>
        <v/>
      </c>
      <c r="N782" s="51" t="s">
        <v>1850</v>
      </c>
      <c r="O782" s="52" t="s">
        <v>1850</v>
      </c>
      <c r="P782" s="51" t="s">
        <v>1850</v>
      </c>
      <c r="Q782" s="53" t="s">
        <v>1850</v>
      </c>
      <c r="R782" s="53" t="s">
        <v>1850</v>
      </c>
      <c r="S782" s="51" t="s">
        <v>1850</v>
      </c>
      <c r="T782" s="53"/>
      <c r="U782" s="54" t="s">
        <v>1850</v>
      </c>
    </row>
    <row r="783">
      <c r="F783" s="6"/>
      <c r="G783" s="6"/>
      <c r="J783" s="51"/>
      <c r="K783" s="51"/>
      <c r="L783" s="51"/>
      <c r="M783" s="51" t="str">
        <f>IFERROR(__xludf.DUMMYFUNCTION("""COMPUTED_VALUE"""),"")</f>
        <v/>
      </c>
      <c r="N783" s="51" t="s">
        <v>1850</v>
      </c>
      <c r="O783" s="52" t="s">
        <v>1850</v>
      </c>
      <c r="P783" s="51" t="s">
        <v>1850</v>
      </c>
      <c r="Q783" s="53" t="s">
        <v>1850</v>
      </c>
      <c r="R783" s="53" t="s">
        <v>1850</v>
      </c>
      <c r="S783" s="51" t="s">
        <v>1850</v>
      </c>
      <c r="T783" s="53"/>
      <c r="U783" s="54" t="s">
        <v>1850</v>
      </c>
    </row>
    <row r="784">
      <c r="F784" s="6"/>
      <c r="G784" s="6"/>
      <c r="J784" s="51"/>
      <c r="K784" s="51"/>
      <c r="L784" s="51"/>
      <c r="M784" s="51" t="str">
        <f>IFERROR(__xludf.DUMMYFUNCTION("""COMPUTED_VALUE"""),"")</f>
        <v/>
      </c>
      <c r="N784" s="51" t="s">
        <v>1850</v>
      </c>
      <c r="O784" s="52" t="s">
        <v>1850</v>
      </c>
      <c r="P784" s="51" t="s">
        <v>1850</v>
      </c>
      <c r="Q784" s="53" t="s">
        <v>1850</v>
      </c>
      <c r="R784" s="53" t="s">
        <v>1850</v>
      </c>
      <c r="S784" s="51" t="s">
        <v>1850</v>
      </c>
      <c r="T784" s="53"/>
      <c r="U784" s="54" t="s">
        <v>1850</v>
      </c>
    </row>
    <row r="785">
      <c r="F785" s="6"/>
      <c r="G785" s="6"/>
      <c r="J785" s="51"/>
      <c r="K785" s="51"/>
      <c r="L785" s="51"/>
      <c r="M785" s="51" t="str">
        <f>IFERROR(__xludf.DUMMYFUNCTION("""COMPUTED_VALUE"""),"")</f>
        <v/>
      </c>
      <c r="N785" s="51" t="s">
        <v>1850</v>
      </c>
      <c r="O785" s="52" t="s">
        <v>1850</v>
      </c>
      <c r="P785" s="51" t="s">
        <v>1850</v>
      </c>
      <c r="Q785" s="53" t="s">
        <v>1850</v>
      </c>
      <c r="R785" s="53" t="s">
        <v>1850</v>
      </c>
      <c r="S785" s="51" t="s">
        <v>1850</v>
      </c>
      <c r="T785" s="53"/>
      <c r="U785" s="54" t="s">
        <v>1850</v>
      </c>
    </row>
    <row r="786">
      <c r="F786" s="6"/>
      <c r="G786" s="6"/>
      <c r="J786" s="51"/>
      <c r="K786" s="51"/>
      <c r="L786" s="51"/>
      <c r="M786" s="51" t="str">
        <f>IFERROR(__xludf.DUMMYFUNCTION("""COMPUTED_VALUE"""),"")</f>
        <v/>
      </c>
      <c r="N786" s="51" t="s">
        <v>1850</v>
      </c>
      <c r="O786" s="52" t="s">
        <v>1850</v>
      </c>
      <c r="P786" s="51" t="s">
        <v>1850</v>
      </c>
      <c r="Q786" s="53" t="s">
        <v>1850</v>
      </c>
      <c r="R786" s="53" t="s">
        <v>1850</v>
      </c>
      <c r="S786" s="51" t="s">
        <v>1850</v>
      </c>
      <c r="T786" s="53"/>
      <c r="U786" s="54" t="s">
        <v>1850</v>
      </c>
    </row>
    <row r="787">
      <c r="F787" s="6"/>
      <c r="G787" s="6"/>
      <c r="J787" s="51"/>
      <c r="K787" s="51"/>
      <c r="L787" s="51"/>
      <c r="M787" s="51" t="str">
        <f>IFERROR(__xludf.DUMMYFUNCTION("""COMPUTED_VALUE"""),"")</f>
        <v/>
      </c>
      <c r="N787" s="51" t="s">
        <v>1850</v>
      </c>
      <c r="O787" s="52" t="s">
        <v>1850</v>
      </c>
      <c r="P787" s="51" t="s">
        <v>1850</v>
      </c>
      <c r="Q787" s="53" t="s">
        <v>1850</v>
      </c>
      <c r="R787" s="53" t="s">
        <v>1850</v>
      </c>
      <c r="S787" s="51" t="s">
        <v>1850</v>
      </c>
      <c r="T787" s="53"/>
      <c r="U787" s="54" t="s">
        <v>1850</v>
      </c>
    </row>
    <row r="788">
      <c r="F788" s="6"/>
      <c r="G788" s="6"/>
      <c r="J788" s="51"/>
      <c r="K788" s="51"/>
      <c r="L788" s="51"/>
      <c r="M788" s="51" t="str">
        <f>IFERROR(__xludf.DUMMYFUNCTION("""COMPUTED_VALUE"""),"")</f>
        <v/>
      </c>
      <c r="N788" s="51" t="s">
        <v>1850</v>
      </c>
      <c r="O788" s="52" t="s">
        <v>1850</v>
      </c>
      <c r="P788" s="51" t="s">
        <v>1850</v>
      </c>
      <c r="Q788" s="53" t="s">
        <v>1850</v>
      </c>
      <c r="R788" s="53" t="s">
        <v>1850</v>
      </c>
      <c r="S788" s="51" t="s">
        <v>1850</v>
      </c>
      <c r="T788" s="53"/>
      <c r="U788" s="54" t="s">
        <v>1850</v>
      </c>
    </row>
    <row r="789">
      <c r="F789" s="6"/>
      <c r="G789" s="6"/>
      <c r="J789" s="51"/>
      <c r="K789" s="51"/>
      <c r="L789" s="51"/>
      <c r="M789" s="51" t="str">
        <f>IFERROR(__xludf.DUMMYFUNCTION("""COMPUTED_VALUE"""),"")</f>
        <v/>
      </c>
      <c r="N789" s="51" t="s">
        <v>1850</v>
      </c>
      <c r="O789" s="52" t="s">
        <v>1850</v>
      </c>
      <c r="P789" s="51" t="s">
        <v>1850</v>
      </c>
      <c r="Q789" s="53" t="s">
        <v>1850</v>
      </c>
      <c r="R789" s="53" t="s">
        <v>1850</v>
      </c>
      <c r="S789" s="51" t="s">
        <v>1850</v>
      </c>
      <c r="T789" s="53"/>
      <c r="U789" s="54" t="s">
        <v>1850</v>
      </c>
    </row>
    <row r="790">
      <c r="F790" s="6"/>
      <c r="G790" s="6"/>
      <c r="J790" s="51"/>
      <c r="K790" s="51"/>
      <c r="L790" s="51"/>
      <c r="M790" s="51" t="str">
        <f>IFERROR(__xludf.DUMMYFUNCTION("""COMPUTED_VALUE"""),"")</f>
        <v/>
      </c>
      <c r="N790" s="51" t="s">
        <v>1850</v>
      </c>
      <c r="O790" s="52" t="s">
        <v>1850</v>
      </c>
      <c r="P790" s="51" t="s">
        <v>1850</v>
      </c>
      <c r="Q790" s="53" t="s">
        <v>1850</v>
      </c>
      <c r="R790" s="53" t="s">
        <v>1850</v>
      </c>
      <c r="S790" s="51" t="s">
        <v>1850</v>
      </c>
      <c r="T790" s="53"/>
      <c r="U790" s="54" t="s">
        <v>1850</v>
      </c>
    </row>
    <row r="791">
      <c r="F791" s="6"/>
      <c r="G791" s="6"/>
      <c r="J791" s="51"/>
      <c r="K791" s="51"/>
      <c r="L791" s="51"/>
      <c r="M791" s="51" t="str">
        <f>IFERROR(__xludf.DUMMYFUNCTION("""COMPUTED_VALUE"""),"")</f>
        <v/>
      </c>
      <c r="N791" s="51" t="s">
        <v>1850</v>
      </c>
      <c r="O791" s="52" t="s">
        <v>1850</v>
      </c>
      <c r="P791" s="51" t="s">
        <v>1850</v>
      </c>
      <c r="Q791" s="53" t="s">
        <v>1850</v>
      </c>
      <c r="R791" s="53" t="s">
        <v>1850</v>
      </c>
      <c r="S791" s="51" t="s">
        <v>1850</v>
      </c>
      <c r="T791" s="53"/>
      <c r="U791" s="54" t="s">
        <v>1850</v>
      </c>
    </row>
    <row r="792">
      <c r="F792" s="6"/>
      <c r="G792" s="6"/>
      <c r="J792" s="51"/>
      <c r="K792" s="51"/>
      <c r="L792" s="51"/>
      <c r="M792" s="51" t="str">
        <f>IFERROR(__xludf.DUMMYFUNCTION("""COMPUTED_VALUE"""),"")</f>
        <v/>
      </c>
      <c r="N792" s="51" t="s">
        <v>1850</v>
      </c>
      <c r="O792" s="52" t="s">
        <v>1850</v>
      </c>
      <c r="P792" s="51" t="s">
        <v>1850</v>
      </c>
      <c r="Q792" s="53" t="s">
        <v>1850</v>
      </c>
      <c r="R792" s="53" t="s">
        <v>1850</v>
      </c>
      <c r="S792" s="51" t="s">
        <v>1850</v>
      </c>
      <c r="T792" s="53"/>
      <c r="U792" s="54" t="s">
        <v>1850</v>
      </c>
    </row>
    <row r="793">
      <c r="F793" s="6"/>
      <c r="G793" s="6"/>
      <c r="J793" s="51"/>
      <c r="K793" s="51"/>
      <c r="L793" s="51"/>
      <c r="M793" s="51" t="str">
        <f>IFERROR(__xludf.DUMMYFUNCTION("""COMPUTED_VALUE"""),"")</f>
        <v/>
      </c>
      <c r="N793" s="51" t="s">
        <v>1850</v>
      </c>
      <c r="O793" s="52" t="s">
        <v>1850</v>
      </c>
      <c r="P793" s="51" t="s">
        <v>1850</v>
      </c>
      <c r="Q793" s="53" t="s">
        <v>1850</v>
      </c>
      <c r="R793" s="53" t="s">
        <v>1850</v>
      </c>
      <c r="S793" s="51" t="s">
        <v>1850</v>
      </c>
      <c r="T793" s="53"/>
      <c r="U793" s="54" t="s">
        <v>1850</v>
      </c>
    </row>
    <row r="794">
      <c r="F794" s="6"/>
      <c r="G794" s="6"/>
      <c r="J794" s="51"/>
      <c r="K794" s="51"/>
      <c r="L794" s="51"/>
      <c r="M794" s="51" t="str">
        <f>IFERROR(__xludf.DUMMYFUNCTION("""COMPUTED_VALUE"""),"")</f>
        <v/>
      </c>
      <c r="N794" s="51" t="s">
        <v>1850</v>
      </c>
      <c r="O794" s="52" t="s">
        <v>1850</v>
      </c>
      <c r="P794" s="51" t="s">
        <v>1850</v>
      </c>
      <c r="Q794" s="53" t="s">
        <v>1850</v>
      </c>
      <c r="R794" s="53" t="s">
        <v>1850</v>
      </c>
      <c r="S794" s="51" t="s">
        <v>1850</v>
      </c>
      <c r="T794" s="53"/>
      <c r="U794" s="54" t="s">
        <v>1850</v>
      </c>
    </row>
    <row r="795">
      <c r="F795" s="6"/>
      <c r="G795" s="6"/>
      <c r="J795" s="51"/>
      <c r="K795" s="51"/>
      <c r="L795" s="51"/>
      <c r="M795" s="51" t="str">
        <f>IFERROR(__xludf.DUMMYFUNCTION("""COMPUTED_VALUE"""),"")</f>
        <v/>
      </c>
      <c r="N795" s="51" t="s">
        <v>1850</v>
      </c>
      <c r="O795" s="52" t="s">
        <v>1850</v>
      </c>
      <c r="P795" s="51" t="s">
        <v>1850</v>
      </c>
      <c r="Q795" s="53" t="s">
        <v>1850</v>
      </c>
      <c r="R795" s="53" t="s">
        <v>1850</v>
      </c>
      <c r="S795" s="51" t="s">
        <v>1850</v>
      </c>
      <c r="T795" s="53"/>
      <c r="U795" s="54" t="s">
        <v>1850</v>
      </c>
    </row>
    <row r="796">
      <c r="F796" s="6"/>
      <c r="G796" s="6"/>
      <c r="J796" s="51"/>
      <c r="K796" s="51"/>
      <c r="L796" s="51"/>
      <c r="M796" s="51" t="str">
        <f>IFERROR(__xludf.DUMMYFUNCTION("""COMPUTED_VALUE"""),"")</f>
        <v/>
      </c>
      <c r="N796" s="51" t="s">
        <v>1850</v>
      </c>
      <c r="O796" s="52" t="s">
        <v>1850</v>
      </c>
      <c r="P796" s="51" t="s">
        <v>1850</v>
      </c>
      <c r="Q796" s="53" t="s">
        <v>1850</v>
      </c>
      <c r="R796" s="53" t="s">
        <v>1850</v>
      </c>
      <c r="S796" s="51" t="s">
        <v>1850</v>
      </c>
      <c r="T796" s="53"/>
      <c r="U796" s="54" t="s">
        <v>1850</v>
      </c>
    </row>
    <row r="797">
      <c r="F797" s="6"/>
      <c r="G797" s="6"/>
      <c r="J797" s="51"/>
      <c r="K797" s="51"/>
      <c r="L797" s="51"/>
      <c r="M797" s="51" t="str">
        <f>IFERROR(__xludf.DUMMYFUNCTION("""COMPUTED_VALUE"""),"")</f>
        <v/>
      </c>
      <c r="N797" s="51" t="s">
        <v>1850</v>
      </c>
      <c r="O797" s="52" t="s">
        <v>1850</v>
      </c>
      <c r="P797" s="51" t="s">
        <v>1850</v>
      </c>
      <c r="Q797" s="53" t="s">
        <v>1850</v>
      </c>
      <c r="R797" s="53" t="s">
        <v>1850</v>
      </c>
      <c r="S797" s="51" t="s">
        <v>1850</v>
      </c>
      <c r="T797" s="53"/>
      <c r="U797" s="54" t="s">
        <v>1850</v>
      </c>
    </row>
    <row r="798">
      <c r="F798" s="6"/>
      <c r="G798" s="6"/>
      <c r="J798" s="51"/>
      <c r="K798" s="51"/>
      <c r="L798" s="51"/>
      <c r="M798" s="51" t="str">
        <f>IFERROR(__xludf.DUMMYFUNCTION("""COMPUTED_VALUE"""),"")</f>
        <v/>
      </c>
      <c r="N798" s="51" t="s">
        <v>1850</v>
      </c>
      <c r="O798" s="52" t="s">
        <v>1850</v>
      </c>
      <c r="P798" s="51" t="s">
        <v>1850</v>
      </c>
      <c r="Q798" s="53" t="s">
        <v>1850</v>
      </c>
      <c r="R798" s="53" t="s">
        <v>1850</v>
      </c>
      <c r="S798" s="51" t="s">
        <v>1850</v>
      </c>
      <c r="T798" s="53"/>
      <c r="U798" s="54" t="s">
        <v>1850</v>
      </c>
    </row>
    <row r="799">
      <c r="F799" s="6"/>
      <c r="G799" s="6"/>
      <c r="J799" s="51"/>
      <c r="K799" s="51"/>
      <c r="L799" s="51"/>
      <c r="M799" s="51" t="str">
        <f>IFERROR(__xludf.DUMMYFUNCTION("""COMPUTED_VALUE"""),"")</f>
        <v/>
      </c>
      <c r="N799" s="51" t="s">
        <v>1850</v>
      </c>
      <c r="O799" s="52" t="s">
        <v>1850</v>
      </c>
      <c r="P799" s="51" t="s">
        <v>1850</v>
      </c>
      <c r="Q799" s="53" t="s">
        <v>1850</v>
      </c>
      <c r="R799" s="53" t="s">
        <v>1850</v>
      </c>
      <c r="S799" s="51" t="s">
        <v>1850</v>
      </c>
      <c r="T799" s="53"/>
      <c r="U799" s="54" t="s">
        <v>1850</v>
      </c>
    </row>
    <row r="800">
      <c r="F800" s="6"/>
      <c r="G800" s="6"/>
      <c r="J800" s="51"/>
      <c r="K800" s="51"/>
      <c r="L800" s="51"/>
      <c r="M800" s="51" t="str">
        <f>IFERROR(__xludf.DUMMYFUNCTION("""COMPUTED_VALUE"""),"")</f>
        <v/>
      </c>
      <c r="N800" s="51" t="s">
        <v>1850</v>
      </c>
      <c r="O800" s="52" t="s">
        <v>1850</v>
      </c>
      <c r="P800" s="51" t="s">
        <v>1850</v>
      </c>
      <c r="Q800" s="53" t="s">
        <v>1850</v>
      </c>
      <c r="R800" s="53" t="s">
        <v>1850</v>
      </c>
      <c r="S800" s="51" t="s">
        <v>1850</v>
      </c>
      <c r="T800" s="53"/>
      <c r="U800" s="54" t="s">
        <v>1850</v>
      </c>
    </row>
    <row r="801">
      <c r="F801" s="6"/>
      <c r="G801" s="6"/>
      <c r="J801" s="51"/>
      <c r="K801" s="51"/>
      <c r="L801" s="51"/>
      <c r="M801" s="51" t="str">
        <f>IFERROR(__xludf.DUMMYFUNCTION("""COMPUTED_VALUE"""),"")</f>
        <v/>
      </c>
      <c r="N801" s="51" t="s">
        <v>1850</v>
      </c>
      <c r="O801" s="52" t="s">
        <v>1850</v>
      </c>
      <c r="P801" s="51" t="s">
        <v>1850</v>
      </c>
      <c r="Q801" s="53" t="s">
        <v>1850</v>
      </c>
      <c r="R801" s="53" t="s">
        <v>1850</v>
      </c>
      <c r="S801" s="51" t="s">
        <v>1850</v>
      </c>
      <c r="T801" s="53"/>
      <c r="U801" s="54" t="s">
        <v>1850</v>
      </c>
    </row>
    <row r="802">
      <c r="F802" s="6"/>
      <c r="G802" s="6"/>
      <c r="J802" s="51"/>
      <c r="K802" s="51"/>
      <c r="L802" s="51"/>
      <c r="M802" s="51" t="str">
        <f>IFERROR(__xludf.DUMMYFUNCTION("""COMPUTED_VALUE"""),"")</f>
        <v/>
      </c>
      <c r="N802" s="51" t="s">
        <v>1850</v>
      </c>
      <c r="O802" s="52" t="s">
        <v>1850</v>
      </c>
      <c r="P802" s="51" t="s">
        <v>1850</v>
      </c>
      <c r="Q802" s="53" t="s">
        <v>1850</v>
      </c>
      <c r="R802" s="53" t="s">
        <v>1850</v>
      </c>
      <c r="S802" s="51" t="s">
        <v>1850</v>
      </c>
      <c r="T802" s="53"/>
      <c r="U802" s="54" t="s">
        <v>1850</v>
      </c>
    </row>
    <row r="803">
      <c r="F803" s="6"/>
      <c r="G803" s="6"/>
      <c r="J803" s="51"/>
      <c r="K803" s="51"/>
      <c r="L803" s="51"/>
      <c r="M803" s="51" t="str">
        <f>IFERROR(__xludf.DUMMYFUNCTION("""COMPUTED_VALUE"""),"")</f>
        <v/>
      </c>
      <c r="N803" s="51" t="s">
        <v>1850</v>
      </c>
      <c r="O803" s="52" t="s">
        <v>1850</v>
      </c>
      <c r="P803" s="51" t="s">
        <v>1850</v>
      </c>
      <c r="Q803" s="53" t="s">
        <v>1850</v>
      </c>
      <c r="R803" s="53" t="s">
        <v>1850</v>
      </c>
      <c r="S803" s="51" t="s">
        <v>1850</v>
      </c>
      <c r="T803" s="53"/>
      <c r="U803" s="54" t="s">
        <v>1850</v>
      </c>
    </row>
    <row r="804">
      <c r="F804" s="6"/>
      <c r="G804" s="6"/>
      <c r="J804" s="51"/>
      <c r="K804" s="51"/>
      <c r="L804" s="51"/>
      <c r="M804" s="51" t="str">
        <f>IFERROR(__xludf.DUMMYFUNCTION("""COMPUTED_VALUE"""),"")</f>
        <v/>
      </c>
      <c r="N804" s="51" t="s">
        <v>1850</v>
      </c>
      <c r="O804" s="52" t="s">
        <v>1850</v>
      </c>
      <c r="P804" s="51" t="s">
        <v>1850</v>
      </c>
      <c r="Q804" s="53" t="s">
        <v>1850</v>
      </c>
      <c r="R804" s="53" t="s">
        <v>1850</v>
      </c>
      <c r="S804" s="51" t="s">
        <v>1850</v>
      </c>
      <c r="T804" s="53"/>
      <c r="U804" s="54" t="s">
        <v>1850</v>
      </c>
    </row>
    <row r="805">
      <c r="F805" s="6"/>
      <c r="G805" s="6"/>
      <c r="J805" s="51"/>
      <c r="K805" s="51"/>
      <c r="L805" s="51"/>
      <c r="M805" s="51" t="str">
        <f>IFERROR(__xludf.DUMMYFUNCTION("""COMPUTED_VALUE"""),"")</f>
        <v/>
      </c>
      <c r="N805" s="51" t="s">
        <v>1850</v>
      </c>
      <c r="O805" s="52" t="s">
        <v>1850</v>
      </c>
      <c r="P805" s="51" t="s">
        <v>1850</v>
      </c>
      <c r="Q805" s="53" t="s">
        <v>1850</v>
      </c>
      <c r="R805" s="53" t="s">
        <v>1850</v>
      </c>
      <c r="S805" s="51" t="s">
        <v>1850</v>
      </c>
      <c r="T805" s="53"/>
      <c r="U805" s="54" t="s">
        <v>1850</v>
      </c>
    </row>
    <row r="806">
      <c r="F806" s="6"/>
      <c r="G806" s="6"/>
      <c r="J806" s="51"/>
      <c r="K806" s="51"/>
      <c r="L806" s="51"/>
      <c r="M806" s="51" t="str">
        <f>IFERROR(__xludf.DUMMYFUNCTION("""COMPUTED_VALUE"""),"")</f>
        <v/>
      </c>
      <c r="N806" s="51" t="s">
        <v>1850</v>
      </c>
      <c r="O806" s="52" t="s">
        <v>1850</v>
      </c>
      <c r="P806" s="51" t="s">
        <v>1850</v>
      </c>
      <c r="Q806" s="53" t="s">
        <v>1850</v>
      </c>
      <c r="R806" s="53" t="s">
        <v>1850</v>
      </c>
      <c r="S806" s="51" t="s">
        <v>1850</v>
      </c>
      <c r="T806" s="53"/>
      <c r="U806" s="54" t="s">
        <v>1850</v>
      </c>
    </row>
    <row r="807">
      <c r="F807" s="6"/>
      <c r="G807" s="6"/>
      <c r="J807" s="51"/>
      <c r="K807" s="51"/>
      <c r="L807" s="51"/>
      <c r="M807" s="51" t="str">
        <f>IFERROR(__xludf.DUMMYFUNCTION("""COMPUTED_VALUE"""),"")</f>
        <v/>
      </c>
      <c r="N807" s="51" t="s">
        <v>1850</v>
      </c>
      <c r="O807" s="52" t="s">
        <v>1850</v>
      </c>
      <c r="P807" s="51" t="s">
        <v>1850</v>
      </c>
      <c r="Q807" s="53" t="s">
        <v>1850</v>
      </c>
      <c r="R807" s="53" t="s">
        <v>1850</v>
      </c>
      <c r="S807" s="51" t="s">
        <v>1850</v>
      </c>
      <c r="T807" s="53"/>
      <c r="U807" s="54" t="s">
        <v>1850</v>
      </c>
    </row>
    <row r="808">
      <c r="F808" s="6"/>
      <c r="G808" s="6"/>
      <c r="J808" s="51"/>
      <c r="K808" s="51"/>
      <c r="L808" s="51"/>
      <c r="M808" s="51" t="str">
        <f>IFERROR(__xludf.DUMMYFUNCTION("""COMPUTED_VALUE"""),"")</f>
        <v/>
      </c>
      <c r="N808" s="51" t="s">
        <v>1850</v>
      </c>
      <c r="O808" s="52" t="s">
        <v>1850</v>
      </c>
      <c r="P808" s="51" t="s">
        <v>1850</v>
      </c>
      <c r="Q808" s="53" t="s">
        <v>1850</v>
      </c>
      <c r="R808" s="53" t="s">
        <v>1850</v>
      </c>
      <c r="S808" s="51" t="s">
        <v>1850</v>
      </c>
      <c r="T808" s="53"/>
      <c r="U808" s="54" t="s">
        <v>1850</v>
      </c>
    </row>
    <row r="809">
      <c r="F809" s="6"/>
      <c r="G809" s="6"/>
      <c r="J809" s="51"/>
      <c r="K809" s="51"/>
      <c r="L809" s="51"/>
      <c r="M809" s="51" t="str">
        <f>IFERROR(__xludf.DUMMYFUNCTION("""COMPUTED_VALUE"""),"")</f>
        <v/>
      </c>
      <c r="N809" s="51" t="s">
        <v>1850</v>
      </c>
      <c r="O809" s="52" t="s">
        <v>1850</v>
      </c>
      <c r="P809" s="51" t="s">
        <v>1850</v>
      </c>
      <c r="Q809" s="53" t="s">
        <v>1850</v>
      </c>
      <c r="R809" s="53" t="s">
        <v>1850</v>
      </c>
      <c r="S809" s="51" t="s">
        <v>1850</v>
      </c>
      <c r="T809" s="53"/>
      <c r="U809" s="54" t="s">
        <v>1850</v>
      </c>
    </row>
    <row r="810">
      <c r="F810" s="6"/>
      <c r="G810" s="6"/>
      <c r="J810" s="51"/>
      <c r="K810" s="51"/>
      <c r="L810" s="51"/>
      <c r="M810" s="51" t="str">
        <f>IFERROR(__xludf.DUMMYFUNCTION("""COMPUTED_VALUE"""),"")</f>
        <v/>
      </c>
      <c r="N810" s="51" t="s">
        <v>1850</v>
      </c>
      <c r="O810" s="52" t="s">
        <v>1850</v>
      </c>
      <c r="P810" s="51" t="s">
        <v>1850</v>
      </c>
      <c r="Q810" s="53" t="s">
        <v>1850</v>
      </c>
      <c r="R810" s="53" t="s">
        <v>1850</v>
      </c>
      <c r="S810" s="51" t="s">
        <v>1850</v>
      </c>
      <c r="T810" s="53"/>
      <c r="U810" s="54" t="s">
        <v>1850</v>
      </c>
    </row>
    <row r="811">
      <c r="F811" s="6"/>
      <c r="G811" s="6"/>
      <c r="J811" s="51"/>
      <c r="K811" s="51"/>
      <c r="L811" s="51"/>
      <c r="M811" s="51" t="str">
        <f>IFERROR(__xludf.DUMMYFUNCTION("""COMPUTED_VALUE"""),"")</f>
        <v/>
      </c>
      <c r="N811" s="51" t="s">
        <v>1850</v>
      </c>
      <c r="O811" s="52" t="s">
        <v>1850</v>
      </c>
      <c r="P811" s="51" t="s">
        <v>1850</v>
      </c>
      <c r="Q811" s="53" t="s">
        <v>1850</v>
      </c>
      <c r="R811" s="53" t="s">
        <v>1850</v>
      </c>
      <c r="S811" s="51" t="s">
        <v>1850</v>
      </c>
      <c r="T811" s="53"/>
      <c r="U811" s="54" t="s">
        <v>1850</v>
      </c>
    </row>
    <row r="812">
      <c r="F812" s="6"/>
      <c r="G812" s="6"/>
      <c r="J812" s="51"/>
      <c r="K812" s="51"/>
      <c r="L812" s="51"/>
      <c r="M812" s="51" t="str">
        <f>IFERROR(__xludf.DUMMYFUNCTION("""COMPUTED_VALUE"""),"")</f>
        <v/>
      </c>
      <c r="N812" s="51" t="s">
        <v>1850</v>
      </c>
      <c r="O812" s="52" t="s">
        <v>1850</v>
      </c>
      <c r="P812" s="51" t="s">
        <v>1850</v>
      </c>
      <c r="Q812" s="53" t="s">
        <v>1850</v>
      </c>
      <c r="R812" s="53" t="s">
        <v>1850</v>
      </c>
      <c r="S812" s="51" t="s">
        <v>1850</v>
      </c>
      <c r="T812" s="53"/>
      <c r="U812" s="54" t="s">
        <v>1850</v>
      </c>
    </row>
    <row r="813">
      <c r="F813" s="6"/>
      <c r="G813" s="6"/>
      <c r="J813" s="51"/>
      <c r="K813" s="51"/>
      <c r="L813" s="51"/>
      <c r="M813" s="51" t="str">
        <f>IFERROR(__xludf.DUMMYFUNCTION("""COMPUTED_VALUE"""),"")</f>
        <v/>
      </c>
      <c r="N813" s="51" t="s">
        <v>1850</v>
      </c>
      <c r="O813" s="52" t="s">
        <v>1850</v>
      </c>
      <c r="P813" s="51" t="s">
        <v>1850</v>
      </c>
      <c r="Q813" s="53" t="s">
        <v>1850</v>
      </c>
      <c r="R813" s="53" t="s">
        <v>1850</v>
      </c>
      <c r="S813" s="51" t="s">
        <v>1850</v>
      </c>
      <c r="T813" s="53"/>
      <c r="U813" s="54" t="s">
        <v>1850</v>
      </c>
    </row>
    <row r="814">
      <c r="F814" s="6"/>
      <c r="G814" s="6"/>
      <c r="J814" s="51"/>
      <c r="K814" s="51"/>
      <c r="L814" s="51"/>
      <c r="M814" s="51" t="str">
        <f>IFERROR(__xludf.DUMMYFUNCTION("""COMPUTED_VALUE"""),"")</f>
        <v/>
      </c>
      <c r="N814" s="51" t="s">
        <v>1850</v>
      </c>
      <c r="O814" s="52" t="s">
        <v>1850</v>
      </c>
      <c r="P814" s="51" t="s">
        <v>1850</v>
      </c>
      <c r="Q814" s="53" t="s">
        <v>1850</v>
      </c>
      <c r="R814" s="53" t="s">
        <v>1850</v>
      </c>
      <c r="S814" s="51" t="s">
        <v>1850</v>
      </c>
      <c r="T814" s="53"/>
      <c r="U814" s="54" t="s">
        <v>1850</v>
      </c>
    </row>
    <row r="815">
      <c r="F815" s="6"/>
      <c r="G815" s="6"/>
      <c r="J815" s="51"/>
      <c r="K815" s="51"/>
      <c r="L815" s="51"/>
      <c r="M815" s="51" t="str">
        <f>IFERROR(__xludf.DUMMYFUNCTION("""COMPUTED_VALUE"""),"")</f>
        <v/>
      </c>
      <c r="N815" s="51" t="s">
        <v>1850</v>
      </c>
      <c r="O815" s="52" t="s">
        <v>1850</v>
      </c>
      <c r="P815" s="51" t="s">
        <v>1850</v>
      </c>
      <c r="Q815" s="53" t="s">
        <v>1850</v>
      </c>
      <c r="R815" s="53" t="s">
        <v>1850</v>
      </c>
      <c r="S815" s="51" t="s">
        <v>1850</v>
      </c>
      <c r="T815" s="53"/>
      <c r="U815" s="54" t="s">
        <v>1850</v>
      </c>
    </row>
    <row r="816">
      <c r="F816" s="6"/>
      <c r="G816" s="6"/>
      <c r="J816" s="51"/>
      <c r="K816" s="51"/>
      <c r="L816" s="51"/>
      <c r="M816" s="51" t="str">
        <f>IFERROR(__xludf.DUMMYFUNCTION("""COMPUTED_VALUE"""),"")</f>
        <v/>
      </c>
      <c r="N816" s="51" t="s">
        <v>1850</v>
      </c>
      <c r="O816" s="52" t="s">
        <v>1850</v>
      </c>
      <c r="P816" s="51" t="s">
        <v>1850</v>
      </c>
      <c r="Q816" s="53" t="s">
        <v>1850</v>
      </c>
      <c r="R816" s="53" t="s">
        <v>1850</v>
      </c>
      <c r="S816" s="51" t="s">
        <v>1850</v>
      </c>
      <c r="T816" s="53"/>
      <c r="U816" s="54" t="s">
        <v>1850</v>
      </c>
    </row>
    <row r="817">
      <c r="F817" s="6"/>
      <c r="G817" s="6"/>
      <c r="J817" s="51"/>
      <c r="K817" s="51"/>
      <c r="L817" s="51"/>
      <c r="M817" s="51" t="str">
        <f>IFERROR(__xludf.DUMMYFUNCTION("""COMPUTED_VALUE"""),"")</f>
        <v/>
      </c>
      <c r="N817" s="51" t="s">
        <v>1850</v>
      </c>
      <c r="O817" s="52" t="s">
        <v>1850</v>
      </c>
      <c r="P817" s="51" t="s">
        <v>1850</v>
      </c>
      <c r="Q817" s="53" t="s">
        <v>1850</v>
      </c>
      <c r="R817" s="53" t="s">
        <v>1850</v>
      </c>
      <c r="S817" s="51" t="s">
        <v>1850</v>
      </c>
      <c r="T817" s="53"/>
      <c r="U817" s="54" t="s">
        <v>1850</v>
      </c>
    </row>
    <row r="818">
      <c r="F818" s="6"/>
      <c r="G818" s="6"/>
      <c r="J818" s="51"/>
      <c r="K818" s="51"/>
      <c r="L818" s="51"/>
      <c r="M818" s="51" t="str">
        <f>IFERROR(__xludf.DUMMYFUNCTION("""COMPUTED_VALUE"""),"")</f>
        <v/>
      </c>
      <c r="N818" s="51" t="s">
        <v>1850</v>
      </c>
      <c r="O818" s="52" t="s">
        <v>1850</v>
      </c>
      <c r="P818" s="51" t="s">
        <v>1850</v>
      </c>
      <c r="Q818" s="53" t="s">
        <v>1850</v>
      </c>
      <c r="R818" s="53" t="s">
        <v>1850</v>
      </c>
      <c r="S818" s="51" t="s">
        <v>1850</v>
      </c>
      <c r="T818" s="53"/>
      <c r="U818" s="54" t="s">
        <v>1850</v>
      </c>
    </row>
    <row r="819">
      <c r="F819" s="6"/>
      <c r="G819" s="6"/>
      <c r="J819" s="51"/>
      <c r="K819" s="51"/>
      <c r="L819" s="51"/>
      <c r="M819" s="51" t="str">
        <f>IFERROR(__xludf.DUMMYFUNCTION("""COMPUTED_VALUE"""),"")</f>
        <v/>
      </c>
      <c r="N819" s="51" t="s">
        <v>1850</v>
      </c>
      <c r="O819" s="52" t="s">
        <v>1850</v>
      </c>
      <c r="P819" s="51" t="s">
        <v>1850</v>
      </c>
      <c r="Q819" s="53" t="s">
        <v>1850</v>
      </c>
      <c r="R819" s="53" t="s">
        <v>1850</v>
      </c>
      <c r="S819" s="51" t="s">
        <v>1850</v>
      </c>
      <c r="T819" s="53"/>
      <c r="U819" s="54" t="s">
        <v>1850</v>
      </c>
    </row>
    <row r="820">
      <c r="F820" s="6"/>
      <c r="G820" s="6"/>
      <c r="J820" s="51"/>
      <c r="K820" s="51"/>
      <c r="L820" s="51"/>
      <c r="M820" s="51" t="str">
        <f>IFERROR(__xludf.DUMMYFUNCTION("""COMPUTED_VALUE"""),"")</f>
        <v/>
      </c>
      <c r="N820" s="51" t="s">
        <v>1850</v>
      </c>
      <c r="O820" s="52" t="s">
        <v>1850</v>
      </c>
      <c r="P820" s="51" t="s">
        <v>1850</v>
      </c>
      <c r="Q820" s="53" t="s">
        <v>1850</v>
      </c>
      <c r="R820" s="53" t="s">
        <v>1850</v>
      </c>
      <c r="S820" s="51" t="s">
        <v>1850</v>
      </c>
      <c r="T820" s="53"/>
      <c r="U820" s="54" t="s">
        <v>1850</v>
      </c>
    </row>
    <row r="821">
      <c r="F821" s="6"/>
      <c r="G821" s="6"/>
      <c r="J821" s="51"/>
      <c r="K821" s="51"/>
      <c r="L821" s="51"/>
      <c r="M821" s="51" t="str">
        <f>IFERROR(__xludf.DUMMYFUNCTION("""COMPUTED_VALUE"""),"")</f>
        <v/>
      </c>
      <c r="N821" s="51" t="s">
        <v>1850</v>
      </c>
      <c r="O821" s="52" t="s">
        <v>1850</v>
      </c>
      <c r="P821" s="51" t="s">
        <v>1850</v>
      </c>
      <c r="Q821" s="53" t="s">
        <v>1850</v>
      </c>
      <c r="R821" s="53" t="s">
        <v>1850</v>
      </c>
      <c r="S821" s="51" t="s">
        <v>1850</v>
      </c>
      <c r="T821" s="53"/>
      <c r="U821" s="54" t="s">
        <v>1850</v>
      </c>
    </row>
    <row r="822">
      <c r="F822" s="6"/>
      <c r="G822" s="6"/>
      <c r="J822" s="51"/>
      <c r="K822" s="51"/>
      <c r="L822" s="51"/>
      <c r="M822" s="51" t="str">
        <f>IFERROR(__xludf.DUMMYFUNCTION("""COMPUTED_VALUE"""),"")</f>
        <v/>
      </c>
      <c r="N822" s="51" t="s">
        <v>1850</v>
      </c>
      <c r="O822" s="52" t="s">
        <v>1850</v>
      </c>
      <c r="P822" s="51" t="s">
        <v>1850</v>
      </c>
      <c r="Q822" s="53" t="s">
        <v>1850</v>
      </c>
      <c r="R822" s="53" t="s">
        <v>1850</v>
      </c>
      <c r="S822" s="51" t="s">
        <v>1850</v>
      </c>
      <c r="T822" s="53"/>
      <c r="U822" s="54" t="s">
        <v>1850</v>
      </c>
    </row>
    <row r="823">
      <c r="F823" s="6"/>
      <c r="G823" s="6"/>
      <c r="J823" s="51"/>
      <c r="K823" s="51"/>
      <c r="L823" s="51"/>
      <c r="M823" s="51" t="str">
        <f>IFERROR(__xludf.DUMMYFUNCTION("""COMPUTED_VALUE"""),"")</f>
        <v/>
      </c>
      <c r="N823" s="51" t="s">
        <v>1850</v>
      </c>
      <c r="O823" s="52" t="s">
        <v>1850</v>
      </c>
      <c r="P823" s="51" t="s">
        <v>1850</v>
      </c>
      <c r="Q823" s="53" t="s">
        <v>1850</v>
      </c>
      <c r="R823" s="53" t="s">
        <v>1850</v>
      </c>
      <c r="S823" s="51" t="s">
        <v>1850</v>
      </c>
      <c r="T823" s="53"/>
      <c r="U823" s="54" t="s">
        <v>1850</v>
      </c>
    </row>
    <row r="824">
      <c r="F824" s="6"/>
      <c r="G824" s="6"/>
      <c r="J824" s="51"/>
      <c r="K824" s="51"/>
      <c r="L824" s="51"/>
      <c r="M824" s="51" t="str">
        <f>IFERROR(__xludf.DUMMYFUNCTION("""COMPUTED_VALUE"""),"")</f>
        <v/>
      </c>
      <c r="N824" s="51" t="s">
        <v>1850</v>
      </c>
      <c r="O824" s="52" t="s">
        <v>1850</v>
      </c>
      <c r="P824" s="51" t="s">
        <v>1850</v>
      </c>
      <c r="Q824" s="53" t="s">
        <v>1850</v>
      </c>
      <c r="R824" s="53" t="s">
        <v>1850</v>
      </c>
      <c r="S824" s="51" t="s">
        <v>1850</v>
      </c>
      <c r="T824" s="53"/>
      <c r="U824" s="54" t="s">
        <v>1850</v>
      </c>
    </row>
    <row r="825">
      <c r="F825" s="6"/>
      <c r="G825" s="6"/>
      <c r="J825" s="51"/>
      <c r="K825" s="51"/>
      <c r="L825" s="51"/>
      <c r="M825" s="51" t="str">
        <f>IFERROR(__xludf.DUMMYFUNCTION("""COMPUTED_VALUE"""),"")</f>
        <v/>
      </c>
      <c r="N825" s="51" t="s">
        <v>1850</v>
      </c>
      <c r="O825" s="52" t="s">
        <v>1850</v>
      </c>
      <c r="P825" s="51" t="s">
        <v>1850</v>
      </c>
      <c r="Q825" s="53" t="s">
        <v>1850</v>
      </c>
      <c r="R825" s="53" t="s">
        <v>1850</v>
      </c>
      <c r="S825" s="51" t="s">
        <v>1850</v>
      </c>
      <c r="T825" s="53"/>
      <c r="U825" s="54" t="s">
        <v>1850</v>
      </c>
    </row>
    <row r="826">
      <c r="F826" s="6"/>
      <c r="G826" s="6"/>
      <c r="J826" s="51"/>
      <c r="K826" s="51"/>
      <c r="L826" s="51"/>
      <c r="M826" s="51" t="str">
        <f>IFERROR(__xludf.DUMMYFUNCTION("""COMPUTED_VALUE"""),"")</f>
        <v/>
      </c>
      <c r="N826" s="51" t="s">
        <v>1850</v>
      </c>
      <c r="O826" s="52" t="s">
        <v>1850</v>
      </c>
      <c r="P826" s="51" t="s">
        <v>1850</v>
      </c>
      <c r="Q826" s="53" t="s">
        <v>1850</v>
      </c>
      <c r="R826" s="53" t="s">
        <v>1850</v>
      </c>
      <c r="S826" s="51" t="s">
        <v>1850</v>
      </c>
      <c r="T826" s="53"/>
      <c r="U826" s="54" t="s">
        <v>1850</v>
      </c>
    </row>
    <row r="827">
      <c r="F827" s="6"/>
      <c r="G827" s="6"/>
      <c r="J827" s="51"/>
      <c r="K827" s="51"/>
      <c r="L827" s="51"/>
      <c r="M827" s="51" t="str">
        <f>IFERROR(__xludf.DUMMYFUNCTION("""COMPUTED_VALUE"""),"")</f>
        <v/>
      </c>
      <c r="N827" s="51" t="s">
        <v>1850</v>
      </c>
      <c r="O827" s="52" t="s">
        <v>1850</v>
      </c>
      <c r="P827" s="51" t="s">
        <v>1850</v>
      </c>
      <c r="Q827" s="53" t="s">
        <v>1850</v>
      </c>
      <c r="R827" s="53" t="s">
        <v>1850</v>
      </c>
      <c r="S827" s="51" t="s">
        <v>1850</v>
      </c>
      <c r="T827" s="53"/>
      <c r="U827" s="54" t="s">
        <v>1850</v>
      </c>
    </row>
    <row r="828">
      <c r="F828" s="6"/>
      <c r="G828" s="6"/>
      <c r="J828" s="51"/>
      <c r="K828" s="51"/>
      <c r="L828" s="51"/>
      <c r="M828" s="51" t="str">
        <f>IFERROR(__xludf.DUMMYFUNCTION("""COMPUTED_VALUE"""),"")</f>
        <v/>
      </c>
      <c r="N828" s="51" t="s">
        <v>1850</v>
      </c>
      <c r="O828" s="52" t="s">
        <v>1850</v>
      </c>
      <c r="P828" s="51" t="s">
        <v>1850</v>
      </c>
      <c r="Q828" s="53" t="s">
        <v>1850</v>
      </c>
      <c r="R828" s="53" t="s">
        <v>1850</v>
      </c>
      <c r="S828" s="51" t="s">
        <v>1850</v>
      </c>
      <c r="T828" s="53"/>
      <c r="U828" s="54" t="s">
        <v>1850</v>
      </c>
    </row>
    <row r="829">
      <c r="F829" s="6"/>
      <c r="G829" s="6"/>
      <c r="J829" s="51"/>
      <c r="K829" s="51"/>
      <c r="L829" s="51"/>
      <c r="M829" s="51" t="str">
        <f>IFERROR(__xludf.DUMMYFUNCTION("""COMPUTED_VALUE"""),"")</f>
        <v/>
      </c>
      <c r="N829" s="51" t="s">
        <v>1850</v>
      </c>
      <c r="O829" s="52" t="s">
        <v>1850</v>
      </c>
      <c r="P829" s="51" t="s">
        <v>1850</v>
      </c>
      <c r="Q829" s="53" t="s">
        <v>1850</v>
      </c>
      <c r="R829" s="53" t="s">
        <v>1850</v>
      </c>
      <c r="S829" s="51" t="s">
        <v>1850</v>
      </c>
      <c r="T829" s="53"/>
      <c r="U829" s="54" t="s">
        <v>1850</v>
      </c>
    </row>
    <row r="830">
      <c r="F830" s="6"/>
      <c r="G830" s="6"/>
      <c r="J830" s="51"/>
      <c r="K830" s="51"/>
      <c r="L830" s="51"/>
      <c r="M830" s="51" t="str">
        <f>IFERROR(__xludf.DUMMYFUNCTION("""COMPUTED_VALUE"""),"")</f>
        <v/>
      </c>
      <c r="N830" s="51" t="s">
        <v>1850</v>
      </c>
      <c r="O830" s="52" t="s">
        <v>1850</v>
      </c>
      <c r="P830" s="51" t="s">
        <v>1850</v>
      </c>
      <c r="Q830" s="53" t="s">
        <v>1850</v>
      </c>
      <c r="R830" s="53" t="s">
        <v>1850</v>
      </c>
      <c r="S830" s="51" t="s">
        <v>1850</v>
      </c>
      <c r="T830" s="53"/>
      <c r="U830" s="54" t="s">
        <v>1850</v>
      </c>
    </row>
    <row r="831">
      <c r="F831" s="6"/>
      <c r="G831" s="6"/>
      <c r="J831" s="51"/>
      <c r="K831" s="51"/>
      <c r="L831" s="51"/>
      <c r="M831" s="51" t="str">
        <f>IFERROR(__xludf.DUMMYFUNCTION("""COMPUTED_VALUE"""),"")</f>
        <v/>
      </c>
      <c r="N831" s="51" t="s">
        <v>1850</v>
      </c>
      <c r="O831" s="52" t="s">
        <v>1850</v>
      </c>
      <c r="P831" s="51" t="s">
        <v>1850</v>
      </c>
      <c r="Q831" s="53" t="s">
        <v>1850</v>
      </c>
      <c r="R831" s="53" t="s">
        <v>1850</v>
      </c>
      <c r="S831" s="51" t="s">
        <v>1850</v>
      </c>
      <c r="T831" s="53"/>
      <c r="U831" s="54" t="s">
        <v>1850</v>
      </c>
    </row>
    <row r="832">
      <c r="F832" s="6"/>
      <c r="G832" s="6"/>
      <c r="J832" s="51"/>
      <c r="K832" s="51"/>
      <c r="L832" s="51"/>
      <c r="M832" s="51" t="str">
        <f>IFERROR(__xludf.DUMMYFUNCTION("""COMPUTED_VALUE"""),"")</f>
        <v/>
      </c>
      <c r="N832" s="51" t="s">
        <v>1850</v>
      </c>
      <c r="O832" s="52" t="s">
        <v>1850</v>
      </c>
      <c r="P832" s="51" t="s">
        <v>1850</v>
      </c>
      <c r="Q832" s="53" t="s">
        <v>1850</v>
      </c>
      <c r="R832" s="53" t="s">
        <v>1850</v>
      </c>
      <c r="S832" s="51" t="s">
        <v>1850</v>
      </c>
      <c r="T832" s="53"/>
      <c r="U832" s="54" t="s">
        <v>1850</v>
      </c>
    </row>
    <row r="833">
      <c r="F833" s="6"/>
      <c r="G833" s="6"/>
      <c r="J833" s="51"/>
      <c r="K833" s="51"/>
      <c r="L833" s="51"/>
      <c r="M833" s="51" t="str">
        <f>IFERROR(__xludf.DUMMYFUNCTION("""COMPUTED_VALUE"""),"")</f>
        <v/>
      </c>
      <c r="N833" s="51" t="s">
        <v>1850</v>
      </c>
      <c r="O833" s="52" t="s">
        <v>1850</v>
      </c>
      <c r="P833" s="51" t="s">
        <v>1850</v>
      </c>
      <c r="Q833" s="53" t="s">
        <v>1850</v>
      </c>
      <c r="R833" s="53" t="s">
        <v>1850</v>
      </c>
      <c r="S833" s="51" t="s">
        <v>1850</v>
      </c>
      <c r="T833" s="53"/>
      <c r="U833" s="54" t="s">
        <v>1850</v>
      </c>
    </row>
    <row r="834">
      <c r="F834" s="6"/>
      <c r="G834" s="6"/>
      <c r="I834" s="1" t="s">
        <v>115</v>
      </c>
      <c r="J834" s="55" t="s">
        <v>115</v>
      </c>
      <c r="K834" s="51"/>
      <c r="L834" s="51"/>
      <c r="M834" s="51" t="str">
        <f>IFERROR(__xludf.DUMMYFUNCTION("""COMPUTED_VALUE"""),"")</f>
        <v/>
      </c>
      <c r="N834" s="51" t="s">
        <v>1850</v>
      </c>
      <c r="O834" s="52" t="s">
        <v>1850</v>
      </c>
      <c r="P834" s="51" t="s">
        <v>1850</v>
      </c>
      <c r="Q834" s="53" t="s">
        <v>1850</v>
      </c>
      <c r="R834" s="53" t="s">
        <v>1850</v>
      </c>
      <c r="S834" s="51" t="s">
        <v>1850</v>
      </c>
      <c r="T834" s="53"/>
      <c r="U834" s="54" t="s">
        <v>1850</v>
      </c>
    </row>
    <row r="835">
      <c r="F835" s="6"/>
      <c r="G835" s="6"/>
      <c r="I835" s="1" t="s">
        <v>115</v>
      </c>
      <c r="J835" s="55" t="s">
        <v>115</v>
      </c>
      <c r="K835" s="51"/>
      <c r="L835" s="51"/>
      <c r="M835" s="51" t="str">
        <f>IFERROR(__xludf.DUMMYFUNCTION("""COMPUTED_VALUE"""),"")</f>
        <v/>
      </c>
      <c r="N835" s="51" t="s">
        <v>1850</v>
      </c>
      <c r="O835" s="52" t="s">
        <v>1850</v>
      </c>
      <c r="P835" s="51" t="s">
        <v>1850</v>
      </c>
      <c r="Q835" s="53" t="s">
        <v>1850</v>
      </c>
      <c r="R835" s="53" t="s">
        <v>1850</v>
      </c>
      <c r="S835" s="51" t="s">
        <v>1850</v>
      </c>
      <c r="T835" s="53"/>
      <c r="U835" s="54" t="s">
        <v>1850</v>
      </c>
    </row>
    <row r="836">
      <c r="F836" s="6"/>
      <c r="G836" s="6"/>
      <c r="I836" s="1" t="s">
        <v>115</v>
      </c>
      <c r="J836" s="55" t="s">
        <v>115</v>
      </c>
      <c r="K836" s="51"/>
      <c r="L836" s="51"/>
      <c r="M836" s="51" t="str">
        <f>IFERROR(__xludf.DUMMYFUNCTION("""COMPUTED_VALUE"""),"")</f>
        <v/>
      </c>
      <c r="N836" s="51" t="s">
        <v>1850</v>
      </c>
      <c r="O836" s="52" t="s">
        <v>1850</v>
      </c>
      <c r="P836" s="51" t="s">
        <v>1850</v>
      </c>
      <c r="Q836" s="53" t="s">
        <v>1850</v>
      </c>
      <c r="R836" s="53" t="s">
        <v>1850</v>
      </c>
      <c r="S836" s="51" t="s">
        <v>1850</v>
      </c>
      <c r="T836" s="53"/>
      <c r="U836" s="54" t="s">
        <v>1850</v>
      </c>
    </row>
    <row r="837">
      <c r="B837" s="51"/>
      <c r="F837" s="6"/>
      <c r="G837" s="6"/>
      <c r="J837" s="51"/>
      <c r="K837" s="51"/>
      <c r="L837" s="51"/>
      <c r="M837" s="51" t="str">
        <f>IFERROR(__xludf.DUMMYFUNCTION("""COMPUTED_VALUE"""),"")</f>
        <v/>
      </c>
      <c r="N837" s="51" t="s">
        <v>1850</v>
      </c>
      <c r="O837" s="52" t="s">
        <v>1850</v>
      </c>
      <c r="P837" s="51" t="s">
        <v>1850</v>
      </c>
      <c r="Q837" s="53" t="s">
        <v>1850</v>
      </c>
      <c r="R837" s="53" t="s">
        <v>1850</v>
      </c>
      <c r="S837" s="51" t="s">
        <v>1850</v>
      </c>
      <c r="T837" s="53"/>
      <c r="U837" s="54" t="s">
        <v>1850</v>
      </c>
    </row>
    <row r="838">
      <c r="B838" s="51"/>
      <c r="F838" s="6"/>
      <c r="G838" s="6"/>
      <c r="J838" s="51"/>
      <c r="K838" s="51"/>
      <c r="L838" s="51"/>
      <c r="M838" s="51" t="str">
        <f>IFERROR(__xludf.DUMMYFUNCTION("""COMPUTED_VALUE"""),"")</f>
        <v/>
      </c>
      <c r="N838" s="51" t="s">
        <v>1850</v>
      </c>
      <c r="O838" s="52" t="s">
        <v>1850</v>
      </c>
      <c r="P838" s="51" t="s">
        <v>1850</v>
      </c>
      <c r="Q838" s="53" t="s">
        <v>1850</v>
      </c>
      <c r="R838" s="53" t="s">
        <v>1850</v>
      </c>
      <c r="S838" s="51" t="s">
        <v>1850</v>
      </c>
      <c r="T838" s="53"/>
      <c r="U838" s="54" t="s">
        <v>1850</v>
      </c>
    </row>
    <row r="839">
      <c r="B839" s="51"/>
      <c r="F839" s="6"/>
      <c r="G839" s="6"/>
      <c r="J839" s="51"/>
      <c r="K839" s="51"/>
      <c r="L839" s="51"/>
      <c r="M839" s="51" t="str">
        <f>IFERROR(__xludf.DUMMYFUNCTION("""COMPUTED_VALUE"""),"")</f>
        <v/>
      </c>
      <c r="N839" s="51" t="s">
        <v>1850</v>
      </c>
      <c r="O839" s="52" t="s">
        <v>1850</v>
      </c>
      <c r="P839" s="51" t="s">
        <v>1850</v>
      </c>
      <c r="Q839" s="53" t="s">
        <v>1850</v>
      </c>
      <c r="R839" s="53" t="s">
        <v>1850</v>
      </c>
      <c r="S839" s="51" t="s">
        <v>1850</v>
      </c>
      <c r="T839" s="53"/>
      <c r="U839" s="54" t="s">
        <v>1850</v>
      </c>
    </row>
    <row r="840">
      <c r="B840" s="51"/>
      <c r="F840" s="6"/>
      <c r="G840" s="6"/>
      <c r="J840" s="51"/>
      <c r="K840" s="51"/>
      <c r="L840" s="51"/>
      <c r="M840" s="51" t="str">
        <f>IFERROR(__xludf.DUMMYFUNCTION("""COMPUTED_VALUE"""),"")</f>
        <v/>
      </c>
      <c r="N840" s="51" t="s">
        <v>1850</v>
      </c>
      <c r="O840" s="52" t="s">
        <v>1850</v>
      </c>
      <c r="P840" s="51" t="s">
        <v>1850</v>
      </c>
      <c r="Q840" s="53" t="s">
        <v>1850</v>
      </c>
      <c r="R840" s="53" t="s">
        <v>1850</v>
      </c>
      <c r="S840" s="51" t="s">
        <v>1850</v>
      </c>
      <c r="T840" s="53"/>
      <c r="U840" s="54" t="s">
        <v>1850</v>
      </c>
    </row>
    <row r="841">
      <c r="B841" s="51"/>
      <c r="F841" s="6"/>
      <c r="G841" s="6"/>
      <c r="J841" s="51"/>
      <c r="K841" s="51"/>
      <c r="L841" s="51"/>
      <c r="M841" s="51" t="str">
        <f>IFERROR(__xludf.DUMMYFUNCTION("""COMPUTED_VALUE"""),"")</f>
        <v/>
      </c>
      <c r="N841" s="51" t="s">
        <v>1850</v>
      </c>
      <c r="O841" s="52" t="s">
        <v>1850</v>
      </c>
      <c r="P841" s="51" t="s">
        <v>1850</v>
      </c>
      <c r="Q841" s="53" t="s">
        <v>1850</v>
      </c>
      <c r="R841" s="53" t="s">
        <v>1850</v>
      </c>
      <c r="S841" s="51" t="s">
        <v>1850</v>
      </c>
      <c r="T841" s="53"/>
      <c r="U841" s="54" t="s">
        <v>1850</v>
      </c>
    </row>
    <row r="842">
      <c r="B842" s="51"/>
      <c r="F842" s="6"/>
      <c r="G842" s="6"/>
      <c r="J842" s="51"/>
      <c r="K842" s="51"/>
      <c r="L842" s="51"/>
      <c r="M842" s="51" t="str">
        <f>IFERROR(__xludf.DUMMYFUNCTION("""COMPUTED_VALUE"""),"")</f>
        <v/>
      </c>
      <c r="N842" s="51" t="s">
        <v>1850</v>
      </c>
      <c r="O842" s="52" t="s">
        <v>1850</v>
      </c>
      <c r="P842" s="51" t="s">
        <v>1850</v>
      </c>
      <c r="Q842" s="53" t="s">
        <v>1850</v>
      </c>
      <c r="R842" s="53" t="s">
        <v>1850</v>
      </c>
      <c r="S842" s="51" t="s">
        <v>1850</v>
      </c>
      <c r="T842" s="53"/>
      <c r="U842" s="54" t="s">
        <v>1850</v>
      </c>
    </row>
    <row r="843">
      <c r="B843" s="51"/>
      <c r="F843" s="6"/>
      <c r="G843" s="6"/>
      <c r="J843" s="51"/>
      <c r="K843" s="51"/>
      <c r="L843" s="51"/>
      <c r="M843" s="51" t="str">
        <f>IFERROR(__xludf.DUMMYFUNCTION("""COMPUTED_VALUE"""),"")</f>
        <v/>
      </c>
      <c r="N843" s="51" t="s">
        <v>1850</v>
      </c>
      <c r="O843" s="52" t="s">
        <v>1850</v>
      </c>
      <c r="P843" s="51" t="s">
        <v>1850</v>
      </c>
      <c r="Q843" s="53" t="s">
        <v>1850</v>
      </c>
      <c r="R843" s="53" t="s">
        <v>1850</v>
      </c>
      <c r="S843" s="51" t="s">
        <v>1850</v>
      </c>
      <c r="T843" s="53"/>
      <c r="U843" s="54" t="s">
        <v>1850</v>
      </c>
    </row>
    <row r="844">
      <c r="B844" s="51"/>
      <c r="F844" s="6"/>
      <c r="G844" s="6"/>
      <c r="J844" s="51"/>
      <c r="K844" s="51"/>
      <c r="L844" s="51"/>
      <c r="M844" s="51" t="str">
        <f>IFERROR(__xludf.DUMMYFUNCTION("""COMPUTED_VALUE"""),"")</f>
        <v/>
      </c>
      <c r="N844" s="51" t="s">
        <v>1850</v>
      </c>
      <c r="O844" s="52" t="s">
        <v>1850</v>
      </c>
      <c r="P844" s="51" t="s">
        <v>1850</v>
      </c>
      <c r="Q844" s="53" t="s">
        <v>1850</v>
      </c>
      <c r="R844" s="53" t="s">
        <v>1850</v>
      </c>
      <c r="S844" s="51" t="s">
        <v>1850</v>
      </c>
      <c r="T844" s="53"/>
      <c r="U844" s="54" t="s">
        <v>1850</v>
      </c>
    </row>
    <row r="845">
      <c r="B845" s="51"/>
      <c r="F845" s="6"/>
      <c r="G845" s="6"/>
      <c r="J845" s="51"/>
      <c r="K845" s="51"/>
      <c r="L845" s="51"/>
      <c r="M845" s="51" t="str">
        <f>IFERROR(__xludf.DUMMYFUNCTION("""COMPUTED_VALUE"""),"")</f>
        <v/>
      </c>
      <c r="N845" s="51" t="s">
        <v>1850</v>
      </c>
      <c r="O845" s="52" t="s">
        <v>1850</v>
      </c>
      <c r="P845" s="51" t="s">
        <v>1850</v>
      </c>
      <c r="Q845" s="53" t="s">
        <v>1850</v>
      </c>
      <c r="R845" s="53" t="s">
        <v>1850</v>
      </c>
      <c r="S845" s="51" t="s">
        <v>1850</v>
      </c>
      <c r="T845" s="53"/>
      <c r="U845" s="54" t="s">
        <v>1850</v>
      </c>
    </row>
    <row r="846">
      <c r="B846" s="51"/>
      <c r="F846" s="6"/>
      <c r="G846" s="6"/>
      <c r="J846" s="51"/>
      <c r="K846" s="51"/>
      <c r="L846" s="51"/>
      <c r="M846" s="51" t="str">
        <f>IFERROR(__xludf.DUMMYFUNCTION("""COMPUTED_VALUE"""),"")</f>
        <v/>
      </c>
      <c r="N846" s="51" t="s">
        <v>1850</v>
      </c>
      <c r="O846" s="52" t="s">
        <v>1850</v>
      </c>
      <c r="P846" s="51" t="s">
        <v>1850</v>
      </c>
      <c r="Q846" s="53" t="s">
        <v>1850</v>
      </c>
      <c r="R846" s="53" t="s">
        <v>1850</v>
      </c>
      <c r="S846" s="51" t="s">
        <v>1850</v>
      </c>
      <c r="T846" s="53"/>
      <c r="U846" s="54" t="s">
        <v>1850</v>
      </c>
    </row>
    <row r="847">
      <c r="B847" s="51"/>
      <c r="F847" s="6"/>
      <c r="G847" s="6"/>
      <c r="J847" s="51"/>
      <c r="K847" s="51"/>
      <c r="L847" s="51"/>
      <c r="M847" s="51" t="str">
        <f>IFERROR(__xludf.DUMMYFUNCTION("""COMPUTED_VALUE"""),"")</f>
        <v/>
      </c>
      <c r="N847" s="51" t="s">
        <v>1850</v>
      </c>
      <c r="O847" s="52" t="s">
        <v>1850</v>
      </c>
      <c r="P847" s="51" t="s">
        <v>1850</v>
      </c>
      <c r="Q847" s="53" t="s">
        <v>1850</v>
      </c>
      <c r="R847" s="53" t="s">
        <v>1850</v>
      </c>
      <c r="S847" s="51" t="s">
        <v>1850</v>
      </c>
      <c r="T847" s="53"/>
      <c r="U847" s="54" t="s">
        <v>1850</v>
      </c>
    </row>
    <row r="848">
      <c r="B848" s="51"/>
      <c r="F848" s="6"/>
      <c r="G848" s="6"/>
      <c r="J848" s="51"/>
      <c r="K848" s="51"/>
      <c r="L848" s="51"/>
      <c r="M848" s="51" t="str">
        <f>IFERROR(__xludf.DUMMYFUNCTION("""COMPUTED_VALUE"""),"")</f>
        <v/>
      </c>
      <c r="N848" s="51" t="s">
        <v>1850</v>
      </c>
      <c r="O848" s="52" t="s">
        <v>1850</v>
      </c>
      <c r="P848" s="51" t="s">
        <v>1850</v>
      </c>
      <c r="Q848" s="53" t="s">
        <v>1850</v>
      </c>
      <c r="R848" s="53" t="s">
        <v>1850</v>
      </c>
      <c r="S848" s="51" t="s">
        <v>1850</v>
      </c>
      <c r="T848" s="53"/>
      <c r="U848" s="54" t="s">
        <v>1850</v>
      </c>
    </row>
    <row r="849">
      <c r="B849" s="51"/>
      <c r="F849" s="6"/>
      <c r="G849" s="6"/>
      <c r="J849" s="51"/>
      <c r="K849" s="51"/>
      <c r="L849" s="51"/>
      <c r="M849" s="51" t="str">
        <f>IFERROR(__xludf.DUMMYFUNCTION("""COMPUTED_VALUE"""),"")</f>
        <v/>
      </c>
      <c r="N849" s="51" t="s">
        <v>1850</v>
      </c>
      <c r="O849" s="52" t="s">
        <v>1850</v>
      </c>
      <c r="P849" s="51" t="s">
        <v>1850</v>
      </c>
      <c r="Q849" s="53" t="s">
        <v>1850</v>
      </c>
      <c r="R849" s="53" t="s">
        <v>1850</v>
      </c>
      <c r="S849" s="51" t="s">
        <v>1850</v>
      </c>
      <c r="T849" s="53"/>
      <c r="U849" s="54" t="s">
        <v>1850</v>
      </c>
    </row>
    <row r="850">
      <c r="B850" s="51"/>
      <c r="F850" s="6"/>
      <c r="G850" s="6"/>
      <c r="J850" s="51"/>
      <c r="K850" s="51"/>
      <c r="L850" s="51"/>
      <c r="M850" s="51" t="str">
        <f>IFERROR(__xludf.DUMMYFUNCTION("""COMPUTED_VALUE"""),"")</f>
        <v/>
      </c>
      <c r="N850" s="51" t="s">
        <v>1850</v>
      </c>
      <c r="O850" s="52" t="s">
        <v>1850</v>
      </c>
      <c r="P850" s="51" t="s">
        <v>1850</v>
      </c>
      <c r="Q850" s="53" t="s">
        <v>1850</v>
      </c>
      <c r="R850" s="53" t="s">
        <v>1850</v>
      </c>
      <c r="S850" s="51" t="s">
        <v>1850</v>
      </c>
      <c r="T850" s="53"/>
      <c r="U850" s="54" t="s">
        <v>1850</v>
      </c>
    </row>
    <row r="851">
      <c r="B851" s="51"/>
      <c r="F851" s="6"/>
      <c r="G851" s="6"/>
      <c r="J851" s="51"/>
      <c r="K851" s="51"/>
      <c r="L851" s="51"/>
      <c r="M851" s="51" t="str">
        <f>IFERROR(__xludf.DUMMYFUNCTION("""COMPUTED_VALUE"""),"")</f>
        <v/>
      </c>
      <c r="N851" s="51" t="s">
        <v>1850</v>
      </c>
      <c r="O851" s="52" t="s">
        <v>1850</v>
      </c>
      <c r="P851" s="51" t="s">
        <v>1850</v>
      </c>
      <c r="Q851" s="53" t="s">
        <v>1850</v>
      </c>
      <c r="R851" s="53" t="s">
        <v>1850</v>
      </c>
      <c r="S851" s="51" t="s">
        <v>1850</v>
      </c>
      <c r="T851" s="53"/>
      <c r="U851" s="54" t="s">
        <v>1850</v>
      </c>
    </row>
    <row r="852">
      <c r="B852" s="51"/>
      <c r="F852" s="6"/>
      <c r="G852" s="6"/>
      <c r="J852" s="51"/>
      <c r="K852" s="51"/>
      <c r="L852" s="51"/>
      <c r="M852" s="51" t="str">
        <f>IFERROR(__xludf.DUMMYFUNCTION("""COMPUTED_VALUE"""),"")</f>
        <v/>
      </c>
      <c r="N852" s="51" t="s">
        <v>1850</v>
      </c>
      <c r="O852" s="52" t="s">
        <v>1850</v>
      </c>
      <c r="P852" s="51" t="s">
        <v>1850</v>
      </c>
      <c r="Q852" s="53" t="s">
        <v>1850</v>
      </c>
      <c r="R852" s="53" t="s">
        <v>1850</v>
      </c>
      <c r="S852" s="51" t="s">
        <v>1850</v>
      </c>
      <c r="T852" s="53"/>
      <c r="U852" s="54" t="s">
        <v>1850</v>
      </c>
    </row>
    <row r="853">
      <c r="B853" s="51"/>
      <c r="F853" s="6"/>
      <c r="G853" s="6"/>
      <c r="J853" s="51"/>
      <c r="K853" s="51"/>
      <c r="L853" s="51"/>
      <c r="M853" s="51" t="str">
        <f>IFERROR(__xludf.DUMMYFUNCTION("""COMPUTED_VALUE"""),"")</f>
        <v/>
      </c>
      <c r="N853" s="51" t="s">
        <v>1850</v>
      </c>
      <c r="O853" s="52" t="s">
        <v>1850</v>
      </c>
      <c r="P853" s="51" t="s">
        <v>1850</v>
      </c>
      <c r="Q853" s="53" t="s">
        <v>1850</v>
      </c>
      <c r="R853" s="53" t="s">
        <v>1850</v>
      </c>
      <c r="S853" s="51" t="s">
        <v>1850</v>
      </c>
      <c r="T853" s="53"/>
      <c r="U853" s="54" t="s">
        <v>1850</v>
      </c>
    </row>
    <row r="854">
      <c r="B854" s="51"/>
      <c r="F854" s="6"/>
      <c r="G854" s="6"/>
      <c r="J854" s="51"/>
      <c r="K854" s="51"/>
      <c r="L854" s="51"/>
      <c r="M854" s="51" t="str">
        <f>IFERROR(__xludf.DUMMYFUNCTION("""COMPUTED_VALUE"""),"")</f>
        <v/>
      </c>
      <c r="N854" s="51" t="s">
        <v>1850</v>
      </c>
      <c r="O854" s="52" t="s">
        <v>1850</v>
      </c>
      <c r="P854" s="51" t="s">
        <v>1850</v>
      </c>
      <c r="Q854" s="53" t="s">
        <v>1850</v>
      </c>
      <c r="R854" s="53" t="s">
        <v>1850</v>
      </c>
      <c r="S854" s="51" t="s">
        <v>1850</v>
      </c>
      <c r="T854" s="53"/>
      <c r="U854" s="54" t="s">
        <v>1850</v>
      </c>
    </row>
    <row r="855">
      <c r="B855" s="51"/>
      <c r="F855" s="6"/>
      <c r="G855" s="6"/>
      <c r="J855" s="51"/>
      <c r="K855" s="51"/>
      <c r="L855" s="51"/>
      <c r="M855" s="51" t="str">
        <f>IFERROR(__xludf.DUMMYFUNCTION("""COMPUTED_VALUE"""),"")</f>
        <v/>
      </c>
      <c r="N855" s="51" t="s">
        <v>1850</v>
      </c>
      <c r="O855" s="52" t="s">
        <v>1850</v>
      </c>
      <c r="P855" s="51" t="s">
        <v>1850</v>
      </c>
      <c r="Q855" s="53" t="s">
        <v>1850</v>
      </c>
      <c r="R855" s="53" t="s">
        <v>1850</v>
      </c>
      <c r="S855" s="51" t="s">
        <v>1850</v>
      </c>
      <c r="T855" s="53"/>
      <c r="U855" s="54" t="s">
        <v>1850</v>
      </c>
    </row>
    <row r="856">
      <c r="B856" s="51"/>
      <c r="F856" s="6"/>
      <c r="G856" s="6"/>
      <c r="J856" s="51"/>
      <c r="K856" s="51"/>
      <c r="L856" s="51"/>
      <c r="M856" s="51" t="str">
        <f>IFERROR(__xludf.DUMMYFUNCTION("""COMPUTED_VALUE"""),"")</f>
        <v/>
      </c>
      <c r="N856" s="51" t="s">
        <v>1850</v>
      </c>
      <c r="O856" s="52" t="s">
        <v>1850</v>
      </c>
      <c r="P856" s="51" t="s">
        <v>1850</v>
      </c>
      <c r="Q856" s="53" t="s">
        <v>1850</v>
      </c>
      <c r="R856" s="53" t="s">
        <v>1850</v>
      </c>
      <c r="S856" s="51" t="s">
        <v>1850</v>
      </c>
      <c r="T856" s="53"/>
      <c r="U856" s="54" t="s">
        <v>1850</v>
      </c>
    </row>
    <row r="857">
      <c r="B857" s="51"/>
      <c r="F857" s="6"/>
      <c r="G857" s="6"/>
      <c r="J857" s="51"/>
      <c r="K857" s="51"/>
      <c r="L857" s="51"/>
      <c r="M857" s="51" t="str">
        <f>IFERROR(__xludf.DUMMYFUNCTION("""COMPUTED_VALUE"""),"")</f>
        <v/>
      </c>
      <c r="N857" s="51" t="s">
        <v>1850</v>
      </c>
      <c r="O857" s="52" t="s">
        <v>1850</v>
      </c>
      <c r="P857" s="51" t="s">
        <v>1850</v>
      </c>
      <c r="Q857" s="53" t="s">
        <v>1850</v>
      </c>
      <c r="R857" s="53" t="s">
        <v>1850</v>
      </c>
      <c r="S857" s="51" t="s">
        <v>1850</v>
      </c>
      <c r="T857" s="53"/>
      <c r="U857" s="54" t="s">
        <v>1850</v>
      </c>
    </row>
    <row r="858">
      <c r="B858" s="51"/>
      <c r="F858" s="6"/>
      <c r="G858" s="6"/>
      <c r="J858" s="51"/>
      <c r="K858" s="51"/>
      <c r="L858" s="51"/>
      <c r="M858" s="51" t="str">
        <f>IFERROR(__xludf.DUMMYFUNCTION("""COMPUTED_VALUE"""),"")</f>
        <v/>
      </c>
      <c r="N858" s="51" t="s">
        <v>1850</v>
      </c>
      <c r="O858" s="52" t="s">
        <v>1850</v>
      </c>
      <c r="P858" s="51" t="s">
        <v>1850</v>
      </c>
      <c r="Q858" s="53" t="s">
        <v>1850</v>
      </c>
      <c r="R858" s="53" t="s">
        <v>1850</v>
      </c>
      <c r="S858" s="51" t="s">
        <v>1850</v>
      </c>
      <c r="T858" s="53"/>
      <c r="U858" s="54" t="s">
        <v>1850</v>
      </c>
    </row>
    <row r="859">
      <c r="B859" s="51"/>
      <c r="F859" s="6"/>
      <c r="G859" s="6"/>
      <c r="J859" s="51"/>
      <c r="K859" s="51"/>
      <c r="L859" s="51"/>
      <c r="M859" s="51" t="str">
        <f>IFERROR(__xludf.DUMMYFUNCTION("""COMPUTED_VALUE"""),"")</f>
        <v/>
      </c>
      <c r="N859" s="51" t="s">
        <v>1850</v>
      </c>
      <c r="O859" s="52" t="s">
        <v>1850</v>
      </c>
      <c r="P859" s="51" t="s">
        <v>1850</v>
      </c>
      <c r="Q859" s="53" t="s">
        <v>1850</v>
      </c>
      <c r="R859" s="53" t="s">
        <v>1850</v>
      </c>
      <c r="S859" s="51" t="s">
        <v>1850</v>
      </c>
      <c r="T859" s="53"/>
      <c r="U859" s="54" t="s">
        <v>1850</v>
      </c>
    </row>
    <row r="860">
      <c r="B860" s="51"/>
      <c r="F860" s="6"/>
      <c r="G860" s="6"/>
      <c r="J860" s="51"/>
      <c r="K860" s="51"/>
      <c r="L860" s="51"/>
      <c r="M860" s="51" t="str">
        <f>IFERROR(__xludf.DUMMYFUNCTION("""COMPUTED_VALUE"""),"")</f>
        <v/>
      </c>
      <c r="N860" s="51" t="s">
        <v>1850</v>
      </c>
      <c r="O860" s="52" t="s">
        <v>1850</v>
      </c>
      <c r="P860" s="51" t="s">
        <v>1850</v>
      </c>
      <c r="Q860" s="53" t="s">
        <v>1850</v>
      </c>
      <c r="R860" s="53" t="s">
        <v>1850</v>
      </c>
      <c r="S860" s="51" t="s">
        <v>1850</v>
      </c>
      <c r="T860" s="53"/>
      <c r="U860" s="54" t="s">
        <v>1850</v>
      </c>
    </row>
    <row r="861">
      <c r="B861" s="51"/>
      <c r="F861" s="6"/>
      <c r="G861" s="6"/>
      <c r="J861" s="51"/>
      <c r="K861" s="51"/>
      <c r="L861" s="51"/>
      <c r="M861" s="51" t="str">
        <f>IFERROR(__xludf.DUMMYFUNCTION("""COMPUTED_VALUE"""),"")</f>
        <v/>
      </c>
      <c r="N861" s="51" t="s">
        <v>1850</v>
      </c>
      <c r="O861" s="52" t="s">
        <v>1850</v>
      </c>
      <c r="P861" s="51" t="s">
        <v>1850</v>
      </c>
      <c r="Q861" s="53" t="s">
        <v>1850</v>
      </c>
      <c r="R861" s="53" t="s">
        <v>1850</v>
      </c>
      <c r="S861" s="51" t="s">
        <v>1850</v>
      </c>
      <c r="T861" s="53"/>
      <c r="U861" s="54" t="s">
        <v>1850</v>
      </c>
    </row>
    <row r="862">
      <c r="B862" s="51"/>
      <c r="F862" s="6"/>
      <c r="G862" s="6"/>
      <c r="J862" s="51"/>
      <c r="K862" s="51"/>
      <c r="L862" s="51"/>
      <c r="M862" s="51" t="str">
        <f>IFERROR(__xludf.DUMMYFUNCTION("""COMPUTED_VALUE"""),"")</f>
        <v/>
      </c>
      <c r="N862" s="51" t="s">
        <v>1850</v>
      </c>
      <c r="O862" s="52" t="s">
        <v>1850</v>
      </c>
      <c r="P862" s="51" t="s">
        <v>1850</v>
      </c>
      <c r="Q862" s="53" t="s">
        <v>1850</v>
      </c>
      <c r="R862" s="53" t="s">
        <v>1850</v>
      </c>
      <c r="S862" s="51" t="s">
        <v>1850</v>
      </c>
      <c r="T862" s="53"/>
      <c r="U862" s="54" t="s">
        <v>1850</v>
      </c>
    </row>
    <row r="863">
      <c r="B863" s="51"/>
      <c r="F863" s="6"/>
      <c r="G863" s="6"/>
      <c r="J863" s="51"/>
      <c r="K863" s="51"/>
      <c r="L863" s="51"/>
      <c r="M863" s="51" t="str">
        <f>IFERROR(__xludf.DUMMYFUNCTION("""COMPUTED_VALUE"""),"")</f>
        <v/>
      </c>
      <c r="N863" s="51" t="s">
        <v>1850</v>
      </c>
      <c r="O863" s="52" t="s">
        <v>1850</v>
      </c>
      <c r="P863" s="51" t="s">
        <v>1850</v>
      </c>
      <c r="Q863" s="53" t="s">
        <v>1850</v>
      </c>
      <c r="R863" s="53" t="s">
        <v>1850</v>
      </c>
      <c r="S863" s="51" t="s">
        <v>1850</v>
      </c>
      <c r="T863" s="53"/>
      <c r="U863" s="54" t="s">
        <v>1850</v>
      </c>
    </row>
    <row r="864">
      <c r="B864" s="51"/>
      <c r="F864" s="6"/>
      <c r="G864" s="6"/>
      <c r="J864" s="51"/>
      <c r="K864" s="51"/>
      <c r="L864" s="51"/>
      <c r="M864" s="51" t="str">
        <f>IFERROR(__xludf.DUMMYFUNCTION("""COMPUTED_VALUE"""),"")</f>
        <v/>
      </c>
      <c r="N864" s="51" t="s">
        <v>1850</v>
      </c>
      <c r="O864" s="52" t="s">
        <v>1850</v>
      </c>
      <c r="P864" s="51" t="s">
        <v>1850</v>
      </c>
      <c r="Q864" s="53" t="s">
        <v>1850</v>
      </c>
      <c r="R864" s="53" t="s">
        <v>1850</v>
      </c>
      <c r="S864" s="51" t="s">
        <v>1850</v>
      </c>
      <c r="T864" s="53"/>
      <c r="U864" s="54" t="s">
        <v>1850</v>
      </c>
    </row>
    <row r="865">
      <c r="B865" s="51"/>
      <c r="F865" s="6"/>
      <c r="G865" s="6"/>
      <c r="J865" s="51"/>
      <c r="K865" s="51"/>
      <c r="L865" s="51"/>
      <c r="M865" s="51" t="str">
        <f>IFERROR(__xludf.DUMMYFUNCTION("""COMPUTED_VALUE"""),"")</f>
        <v/>
      </c>
      <c r="N865" s="51" t="s">
        <v>1850</v>
      </c>
      <c r="O865" s="52" t="s">
        <v>1850</v>
      </c>
      <c r="P865" s="51" t="s">
        <v>1850</v>
      </c>
      <c r="Q865" s="53" t="s">
        <v>1850</v>
      </c>
      <c r="R865" s="53" t="s">
        <v>1850</v>
      </c>
      <c r="S865" s="51" t="s">
        <v>1850</v>
      </c>
      <c r="T865" s="53"/>
      <c r="U865" s="54" t="s">
        <v>1850</v>
      </c>
    </row>
    <row r="866">
      <c r="B866" s="51"/>
      <c r="F866" s="6"/>
      <c r="G866" s="6"/>
      <c r="J866" s="51"/>
      <c r="K866" s="51"/>
      <c r="L866" s="51"/>
      <c r="M866" s="51" t="str">
        <f>IFERROR(__xludf.DUMMYFUNCTION("""COMPUTED_VALUE"""),"")</f>
        <v/>
      </c>
      <c r="N866" s="51" t="s">
        <v>1850</v>
      </c>
      <c r="O866" s="52" t="s">
        <v>1850</v>
      </c>
      <c r="P866" s="51" t="s">
        <v>1850</v>
      </c>
      <c r="Q866" s="53" t="s">
        <v>1850</v>
      </c>
      <c r="R866" s="53" t="s">
        <v>1850</v>
      </c>
      <c r="S866" s="51" t="s">
        <v>1850</v>
      </c>
      <c r="T866" s="53"/>
      <c r="U866" s="54" t="s">
        <v>1850</v>
      </c>
    </row>
    <row r="867">
      <c r="B867" s="51"/>
      <c r="F867" s="6"/>
      <c r="G867" s="6"/>
      <c r="J867" s="51"/>
      <c r="K867" s="51"/>
      <c r="L867" s="51"/>
      <c r="M867" s="51" t="str">
        <f>IFERROR(__xludf.DUMMYFUNCTION("""COMPUTED_VALUE"""),"")</f>
        <v/>
      </c>
      <c r="N867" s="51" t="s">
        <v>1850</v>
      </c>
      <c r="O867" s="52" t="s">
        <v>1850</v>
      </c>
      <c r="P867" s="51" t="s">
        <v>1850</v>
      </c>
      <c r="Q867" s="53" t="s">
        <v>1850</v>
      </c>
      <c r="R867" s="53" t="s">
        <v>1850</v>
      </c>
      <c r="S867" s="51" t="s">
        <v>1850</v>
      </c>
      <c r="T867" s="53"/>
      <c r="U867" s="54" t="s">
        <v>1850</v>
      </c>
    </row>
    <row r="868">
      <c r="B868" s="51"/>
      <c r="F868" s="6"/>
      <c r="G868" s="6"/>
      <c r="J868" s="51"/>
      <c r="K868" s="51"/>
      <c r="L868" s="51"/>
      <c r="M868" s="51" t="str">
        <f>IFERROR(__xludf.DUMMYFUNCTION("""COMPUTED_VALUE"""),"")</f>
        <v/>
      </c>
      <c r="N868" s="51" t="s">
        <v>1850</v>
      </c>
      <c r="O868" s="52" t="s">
        <v>1850</v>
      </c>
      <c r="P868" s="51" t="s">
        <v>1850</v>
      </c>
      <c r="Q868" s="53" t="s">
        <v>1850</v>
      </c>
      <c r="R868" s="53" t="s">
        <v>1850</v>
      </c>
      <c r="S868" s="51" t="s">
        <v>1850</v>
      </c>
      <c r="T868" s="53"/>
      <c r="U868" s="54" t="s">
        <v>1850</v>
      </c>
    </row>
    <row r="869">
      <c r="B869" s="51"/>
      <c r="F869" s="6"/>
      <c r="G869" s="6"/>
      <c r="J869" s="51"/>
      <c r="K869" s="51"/>
      <c r="L869" s="51"/>
      <c r="M869" s="51" t="str">
        <f>IFERROR(__xludf.DUMMYFUNCTION("""COMPUTED_VALUE"""),"")</f>
        <v/>
      </c>
      <c r="N869" s="51" t="s">
        <v>1850</v>
      </c>
      <c r="O869" s="52" t="s">
        <v>1850</v>
      </c>
      <c r="P869" s="51" t="s">
        <v>1850</v>
      </c>
      <c r="Q869" s="53" t="s">
        <v>1850</v>
      </c>
      <c r="R869" s="53" t="s">
        <v>1850</v>
      </c>
      <c r="S869" s="51" t="s">
        <v>1850</v>
      </c>
      <c r="T869" s="53"/>
      <c r="U869" s="54" t="s">
        <v>1850</v>
      </c>
    </row>
    <row r="870">
      <c r="B870" s="51"/>
      <c r="F870" s="6"/>
      <c r="G870" s="6"/>
      <c r="J870" s="51"/>
      <c r="K870" s="51"/>
      <c r="L870" s="51"/>
      <c r="M870" s="51" t="str">
        <f>IFERROR(__xludf.DUMMYFUNCTION("""COMPUTED_VALUE"""),"")</f>
        <v/>
      </c>
      <c r="N870" s="51" t="s">
        <v>1850</v>
      </c>
      <c r="O870" s="52" t="s">
        <v>1850</v>
      </c>
      <c r="P870" s="51" t="s">
        <v>1850</v>
      </c>
      <c r="Q870" s="53" t="s">
        <v>1850</v>
      </c>
      <c r="R870" s="53" t="s">
        <v>1850</v>
      </c>
      <c r="S870" s="51" t="s">
        <v>1850</v>
      </c>
      <c r="T870" s="53"/>
      <c r="U870" s="54" t="s">
        <v>1850</v>
      </c>
    </row>
    <row r="871">
      <c r="B871" s="51"/>
      <c r="F871" s="6"/>
      <c r="G871" s="6"/>
      <c r="J871" s="51"/>
      <c r="K871" s="51"/>
      <c r="L871" s="51"/>
      <c r="M871" s="51" t="str">
        <f>IFERROR(__xludf.DUMMYFUNCTION("""COMPUTED_VALUE"""),"")</f>
        <v/>
      </c>
      <c r="N871" s="51" t="s">
        <v>1850</v>
      </c>
      <c r="O871" s="52" t="s">
        <v>1850</v>
      </c>
      <c r="P871" s="51" t="s">
        <v>1850</v>
      </c>
      <c r="Q871" s="53" t="s">
        <v>1850</v>
      </c>
      <c r="R871" s="53" t="s">
        <v>1850</v>
      </c>
      <c r="S871" s="51" t="s">
        <v>1850</v>
      </c>
      <c r="T871" s="53"/>
      <c r="U871" s="54" t="s">
        <v>1850</v>
      </c>
    </row>
    <row r="872">
      <c r="B872" s="51"/>
      <c r="F872" s="6"/>
      <c r="G872" s="6"/>
      <c r="J872" s="51"/>
      <c r="K872" s="51"/>
      <c r="L872" s="51"/>
      <c r="M872" s="51" t="str">
        <f>IFERROR(__xludf.DUMMYFUNCTION("""COMPUTED_VALUE"""),"")</f>
        <v/>
      </c>
      <c r="N872" s="51" t="s">
        <v>1850</v>
      </c>
      <c r="O872" s="52" t="s">
        <v>1850</v>
      </c>
      <c r="P872" s="51" t="s">
        <v>1850</v>
      </c>
      <c r="Q872" s="53" t="s">
        <v>1850</v>
      </c>
      <c r="R872" s="53" t="s">
        <v>1850</v>
      </c>
      <c r="S872" s="51" t="s">
        <v>1850</v>
      </c>
      <c r="T872" s="53"/>
      <c r="U872" s="54" t="s">
        <v>1850</v>
      </c>
    </row>
    <row r="873">
      <c r="B873" s="51"/>
      <c r="F873" s="6"/>
      <c r="G873" s="6"/>
      <c r="J873" s="51"/>
      <c r="K873" s="51"/>
      <c r="L873" s="51"/>
      <c r="M873" s="51" t="str">
        <f>IFERROR(__xludf.DUMMYFUNCTION("""COMPUTED_VALUE"""),"")</f>
        <v/>
      </c>
      <c r="N873" s="51" t="s">
        <v>1850</v>
      </c>
      <c r="O873" s="52" t="s">
        <v>1850</v>
      </c>
      <c r="P873" s="51" t="s">
        <v>1850</v>
      </c>
      <c r="Q873" s="53" t="s">
        <v>1850</v>
      </c>
      <c r="R873" s="53" t="s">
        <v>1850</v>
      </c>
      <c r="S873" s="51" t="s">
        <v>1850</v>
      </c>
      <c r="T873" s="53"/>
      <c r="U873" s="54" t="s">
        <v>1850</v>
      </c>
    </row>
    <row r="874">
      <c r="B874" s="51"/>
      <c r="F874" s="6"/>
      <c r="G874" s="6"/>
      <c r="J874" s="51"/>
      <c r="K874" s="51"/>
      <c r="L874" s="51"/>
      <c r="M874" s="51" t="str">
        <f>IFERROR(__xludf.DUMMYFUNCTION("""COMPUTED_VALUE"""),"")</f>
        <v/>
      </c>
      <c r="N874" s="51" t="s">
        <v>1850</v>
      </c>
      <c r="O874" s="52" t="s">
        <v>1850</v>
      </c>
      <c r="P874" s="51" t="s">
        <v>1850</v>
      </c>
      <c r="Q874" s="53" t="s">
        <v>1850</v>
      </c>
      <c r="R874" s="53" t="s">
        <v>1850</v>
      </c>
      <c r="S874" s="51" t="s">
        <v>1850</v>
      </c>
      <c r="T874" s="53"/>
      <c r="U874" s="54" t="s">
        <v>1850</v>
      </c>
    </row>
    <row r="875">
      <c r="B875" s="51"/>
      <c r="F875" s="6"/>
      <c r="G875" s="6"/>
      <c r="J875" s="51"/>
      <c r="K875" s="51"/>
      <c r="L875" s="51"/>
      <c r="M875" s="51" t="str">
        <f>IFERROR(__xludf.DUMMYFUNCTION("""COMPUTED_VALUE"""),"")</f>
        <v/>
      </c>
      <c r="N875" s="51" t="s">
        <v>1850</v>
      </c>
      <c r="O875" s="52" t="s">
        <v>1850</v>
      </c>
      <c r="P875" s="51" t="s">
        <v>1850</v>
      </c>
      <c r="Q875" s="53" t="s">
        <v>1850</v>
      </c>
      <c r="R875" s="53" t="s">
        <v>1850</v>
      </c>
      <c r="S875" s="51" t="s">
        <v>1850</v>
      </c>
      <c r="T875" s="53"/>
      <c r="U875" s="54" t="s">
        <v>1850</v>
      </c>
    </row>
    <row r="876">
      <c r="B876" s="51"/>
      <c r="F876" s="6"/>
      <c r="G876" s="6"/>
      <c r="J876" s="51"/>
      <c r="K876" s="51"/>
      <c r="L876" s="51"/>
      <c r="M876" s="51" t="str">
        <f>IFERROR(__xludf.DUMMYFUNCTION("""COMPUTED_VALUE"""),"")</f>
        <v/>
      </c>
      <c r="N876" s="51" t="s">
        <v>1850</v>
      </c>
      <c r="O876" s="52" t="s">
        <v>1850</v>
      </c>
      <c r="P876" s="51" t="s">
        <v>1850</v>
      </c>
      <c r="Q876" s="53" t="s">
        <v>1850</v>
      </c>
      <c r="R876" s="53" t="s">
        <v>1850</v>
      </c>
      <c r="S876" s="51" t="s">
        <v>1850</v>
      </c>
      <c r="T876" s="53"/>
      <c r="U876" s="54" t="s">
        <v>1850</v>
      </c>
    </row>
    <row r="877">
      <c r="B877" s="51"/>
      <c r="F877" s="6"/>
      <c r="G877" s="6"/>
      <c r="J877" s="51"/>
      <c r="K877" s="51"/>
      <c r="L877" s="51"/>
      <c r="M877" s="51" t="str">
        <f>IFERROR(__xludf.DUMMYFUNCTION("""COMPUTED_VALUE"""),"")</f>
        <v/>
      </c>
      <c r="N877" s="51" t="s">
        <v>1850</v>
      </c>
      <c r="O877" s="52" t="s">
        <v>1850</v>
      </c>
      <c r="P877" s="51" t="s">
        <v>1850</v>
      </c>
      <c r="Q877" s="53" t="s">
        <v>1850</v>
      </c>
      <c r="R877" s="53" t="s">
        <v>1850</v>
      </c>
      <c r="S877" s="51" t="s">
        <v>1850</v>
      </c>
      <c r="T877" s="53"/>
      <c r="U877" s="54" t="s">
        <v>1850</v>
      </c>
    </row>
    <row r="878">
      <c r="B878" s="51"/>
      <c r="F878" s="6"/>
      <c r="G878" s="6"/>
      <c r="J878" s="51"/>
      <c r="K878" s="51"/>
      <c r="L878" s="51"/>
      <c r="M878" s="51" t="str">
        <f>IFERROR(__xludf.DUMMYFUNCTION("""COMPUTED_VALUE"""),"")</f>
        <v/>
      </c>
      <c r="N878" s="51" t="s">
        <v>1850</v>
      </c>
      <c r="O878" s="52" t="s">
        <v>1850</v>
      </c>
      <c r="P878" s="51" t="s">
        <v>1850</v>
      </c>
      <c r="Q878" s="53" t="s">
        <v>1850</v>
      </c>
      <c r="R878" s="53" t="s">
        <v>1850</v>
      </c>
      <c r="S878" s="51" t="s">
        <v>1850</v>
      </c>
      <c r="T878" s="53"/>
      <c r="U878" s="54" t="s">
        <v>1850</v>
      </c>
    </row>
    <row r="879">
      <c r="B879" s="51"/>
      <c r="F879" s="6"/>
      <c r="G879" s="6"/>
      <c r="J879" s="51"/>
      <c r="K879" s="51"/>
      <c r="L879" s="51"/>
      <c r="M879" s="51" t="str">
        <f>IFERROR(__xludf.DUMMYFUNCTION("""COMPUTED_VALUE"""),"")</f>
        <v/>
      </c>
      <c r="N879" s="51" t="s">
        <v>1850</v>
      </c>
      <c r="O879" s="52" t="s">
        <v>1850</v>
      </c>
      <c r="P879" s="51" t="s">
        <v>1850</v>
      </c>
      <c r="Q879" s="53" t="s">
        <v>1850</v>
      </c>
      <c r="R879" s="53" t="s">
        <v>1850</v>
      </c>
      <c r="S879" s="51" t="s">
        <v>1850</v>
      </c>
      <c r="T879" s="53"/>
      <c r="U879" s="54" t="s">
        <v>1850</v>
      </c>
    </row>
    <row r="880">
      <c r="B880" s="51"/>
      <c r="F880" s="6"/>
      <c r="G880" s="6"/>
      <c r="J880" s="51"/>
      <c r="K880" s="51"/>
      <c r="L880" s="51"/>
      <c r="M880" s="51" t="str">
        <f>IFERROR(__xludf.DUMMYFUNCTION("""COMPUTED_VALUE"""),"")</f>
        <v/>
      </c>
      <c r="N880" s="51" t="s">
        <v>1850</v>
      </c>
      <c r="O880" s="52" t="s">
        <v>1850</v>
      </c>
      <c r="P880" s="51" t="s">
        <v>1850</v>
      </c>
      <c r="Q880" s="53" t="s">
        <v>1850</v>
      </c>
      <c r="R880" s="53" t="s">
        <v>1850</v>
      </c>
      <c r="S880" s="51" t="s">
        <v>1850</v>
      </c>
      <c r="T880" s="53"/>
      <c r="U880" s="54" t="s">
        <v>1850</v>
      </c>
    </row>
    <row r="881">
      <c r="B881" s="51"/>
      <c r="F881" s="6"/>
      <c r="G881" s="6"/>
      <c r="J881" s="51"/>
      <c r="K881" s="51"/>
      <c r="L881" s="51"/>
      <c r="M881" s="51" t="str">
        <f>IFERROR(__xludf.DUMMYFUNCTION("""COMPUTED_VALUE"""),"")</f>
        <v/>
      </c>
      <c r="N881" s="51" t="s">
        <v>1850</v>
      </c>
      <c r="O881" s="52" t="s">
        <v>1850</v>
      </c>
      <c r="P881" s="51" t="s">
        <v>1850</v>
      </c>
      <c r="Q881" s="53" t="s">
        <v>1850</v>
      </c>
      <c r="R881" s="53" t="s">
        <v>1850</v>
      </c>
      <c r="S881" s="51" t="s">
        <v>1850</v>
      </c>
      <c r="T881" s="53"/>
      <c r="U881" s="54" t="s">
        <v>1850</v>
      </c>
    </row>
    <row r="882">
      <c r="B882" s="51"/>
      <c r="F882" s="6"/>
      <c r="G882" s="6"/>
      <c r="J882" s="51"/>
      <c r="K882" s="51"/>
      <c r="L882" s="51"/>
      <c r="M882" s="51" t="str">
        <f>IFERROR(__xludf.DUMMYFUNCTION("""COMPUTED_VALUE"""),"")</f>
        <v/>
      </c>
      <c r="N882" s="51" t="s">
        <v>1850</v>
      </c>
      <c r="O882" s="52" t="s">
        <v>1850</v>
      </c>
      <c r="P882" s="51" t="s">
        <v>1850</v>
      </c>
      <c r="Q882" s="53" t="s">
        <v>1850</v>
      </c>
      <c r="R882" s="53" t="s">
        <v>1850</v>
      </c>
      <c r="S882" s="51" t="s">
        <v>1850</v>
      </c>
      <c r="T882" s="53"/>
      <c r="U882" s="54" t="s">
        <v>1850</v>
      </c>
    </row>
    <row r="883">
      <c r="B883" s="51"/>
      <c r="F883" s="6"/>
      <c r="G883" s="6"/>
      <c r="J883" s="51"/>
      <c r="K883" s="51"/>
      <c r="L883" s="51"/>
      <c r="M883" s="51" t="str">
        <f>IFERROR(__xludf.DUMMYFUNCTION("""COMPUTED_VALUE"""),"")</f>
        <v/>
      </c>
      <c r="N883" s="51" t="s">
        <v>1850</v>
      </c>
      <c r="O883" s="52" t="s">
        <v>1850</v>
      </c>
      <c r="P883" s="51" t="s">
        <v>1850</v>
      </c>
      <c r="Q883" s="53" t="s">
        <v>1850</v>
      </c>
      <c r="R883" s="53" t="s">
        <v>1850</v>
      </c>
      <c r="S883" s="51" t="s">
        <v>1850</v>
      </c>
      <c r="T883" s="53"/>
      <c r="U883" s="54" t="s">
        <v>1850</v>
      </c>
    </row>
  </sheetData>
  <autoFilter ref="$A$1:$AB$8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4.75"/>
    <col customWidth="1" min="3" max="3" width="4.0"/>
    <col customWidth="1" min="4" max="4" width="3.63"/>
    <col customWidth="1" min="5" max="6" width="4.0"/>
    <col customWidth="1" min="7" max="7" width="4.75"/>
    <col customWidth="1" min="8" max="9" width="3.88"/>
    <col customWidth="1" min="10" max="12" width="3.63"/>
    <col customWidth="1" min="13" max="13" width="3.13"/>
    <col customWidth="1" min="14" max="15" width="4.0"/>
    <col customWidth="1" min="16" max="16" width="3.63"/>
    <col customWidth="1" min="17" max="18" width="4.0"/>
  </cols>
  <sheetData>
    <row r="1">
      <c r="A1" s="20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>
      <c r="A2" s="23" t="s">
        <v>39</v>
      </c>
      <c r="B2" s="24">
        <v>2026.0</v>
      </c>
      <c r="C2" s="8"/>
      <c r="D2" s="8"/>
      <c r="E2" s="8"/>
      <c r="F2" s="9"/>
      <c r="G2" s="24">
        <v>2027.0</v>
      </c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>
      <c r="A3" s="29" t="s">
        <v>45</v>
      </c>
      <c r="B3" s="29" t="s">
        <v>46</v>
      </c>
      <c r="C3" s="29" t="s">
        <v>47</v>
      </c>
      <c r="D3" s="29" t="s">
        <v>49</v>
      </c>
      <c r="E3" s="29" t="s">
        <v>50</v>
      </c>
      <c r="F3" s="29" t="s">
        <v>51</v>
      </c>
      <c r="G3" s="29" t="s">
        <v>52</v>
      </c>
      <c r="H3" s="29" t="s">
        <v>53</v>
      </c>
      <c r="I3" s="29" t="s">
        <v>54</v>
      </c>
      <c r="J3" s="29" t="s">
        <v>55</v>
      </c>
      <c r="K3" s="29" t="s">
        <v>56</v>
      </c>
      <c r="L3" s="29" t="s">
        <v>57</v>
      </c>
      <c r="M3" s="29" t="s">
        <v>58</v>
      </c>
      <c r="N3" s="29" t="s">
        <v>46</v>
      </c>
      <c r="O3" s="29" t="s">
        <v>47</v>
      </c>
      <c r="P3" s="29" t="s">
        <v>49</v>
      </c>
      <c r="Q3" s="29" t="s">
        <v>50</v>
      </c>
      <c r="R3" s="29" t="s">
        <v>51</v>
      </c>
    </row>
    <row r="4">
      <c r="A4" s="29" t="s">
        <v>59</v>
      </c>
      <c r="B4" s="30">
        <v>47.0</v>
      </c>
      <c r="C4" s="30">
        <f t="shared" ref="C4:R4" si="1">B8</f>
        <v>35</v>
      </c>
      <c r="D4" s="30">
        <f t="shared" si="1"/>
        <v>30</v>
      </c>
      <c r="E4" s="30">
        <f t="shared" si="1"/>
        <v>25</v>
      </c>
      <c r="F4" s="30">
        <f t="shared" si="1"/>
        <v>25</v>
      </c>
      <c r="G4" s="30">
        <f t="shared" si="1"/>
        <v>25</v>
      </c>
      <c r="H4" s="30">
        <f t="shared" si="1"/>
        <v>20</v>
      </c>
      <c r="I4" s="30">
        <f t="shared" si="1"/>
        <v>15</v>
      </c>
      <c r="J4" s="30">
        <f t="shared" si="1"/>
        <v>10</v>
      </c>
      <c r="K4" s="30">
        <f t="shared" si="1"/>
        <v>65</v>
      </c>
      <c r="L4" s="30">
        <f t="shared" si="1"/>
        <v>60</v>
      </c>
      <c r="M4" s="30">
        <f t="shared" si="1"/>
        <v>55</v>
      </c>
      <c r="N4" s="30">
        <f t="shared" si="1"/>
        <v>50</v>
      </c>
      <c r="O4" s="30">
        <f t="shared" si="1"/>
        <v>45</v>
      </c>
      <c r="P4" s="30">
        <f t="shared" si="1"/>
        <v>40</v>
      </c>
      <c r="Q4" s="30">
        <f t="shared" si="1"/>
        <v>75</v>
      </c>
      <c r="R4" s="30">
        <f t="shared" si="1"/>
        <v>70</v>
      </c>
    </row>
    <row r="5">
      <c r="A5" s="29" t="s">
        <v>64</v>
      </c>
      <c r="B5" s="36">
        <v>12.0</v>
      </c>
      <c r="C5" s="30">
        <v>5.0</v>
      </c>
      <c r="D5" s="30">
        <v>5.0</v>
      </c>
      <c r="E5" s="30">
        <v>0.0</v>
      </c>
      <c r="F5" s="30">
        <v>0.0</v>
      </c>
      <c r="G5" s="30">
        <v>5.0</v>
      </c>
      <c r="H5" s="30">
        <v>5.0</v>
      </c>
      <c r="I5" s="30">
        <v>5.0</v>
      </c>
      <c r="J5" s="30">
        <v>5.0</v>
      </c>
      <c r="K5" s="30">
        <v>5.0</v>
      </c>
      <c r="L5" s="30">
        <v>5.0</v>
      </c>
      <c r="M5" s="30">
        <v>5.0</v>
      </c>
      <c r="N5" s="30">
        <v>5.0</v>
      </c>
      <c r="O5" s="30">
        <v>5.0</v>
      </c>
      <c r="P5" s="30">
        <v>5.0</v>
      </c>
      <c r="Q5" s="30">
        <v>5.0</v>
      </c>
      <c r="R5" s="30">
        <v>5.0</v>
      </c>
    </row>
    <row r="6">
      <c r="A6" s="29" t="s">
        <v>66</v>
      </c>
      <c r="B6" s="30">
        <v>60.0</v>
      </c>
      <c r="C6" s="30">
        <v>0.0</v>
      </c>
      <c r="D6" s="30">
        <v>0.0</v>
      </c>
      <c r="E6" s="30">
        <v>0.0</v>
      </c>
      <c r="F6" s="30">
        <v>0.0</v>
      </c>
      <c r="G6" s="30">
        <v>0.0</v>
      </c>
      <c r="H6" s="36">
        <v>40.0</v>
      </c>
      <c r="I6" s="30">
        <v>0.0</v>
      </c>
      <c r="J6" s="36">
        <v>0.0</v>
      </c>
      <c r="K6" s="30">
        <v>0.0</v>
      </c>
      <c r="L6" s="30">
        <v>0.0</v>
      </c>
      <c r="M6" s="30">
        <v>0.0</v>
      </c>
      <c r="N6" s="30">
        <v>0.0</v>
      </c>
      <c r="O6" s="30">
        <v>0.0</v>
      </c>
      <c r="P6" s="30">
        <v>0.0</v>
      </c>
      <c r="Q6" s="30">
        <v>0.0</v>
      </c>
      <c r="R6" s="30">
        <v>40.0</v>
      </c>
    </row>
    <row r="7">
      <c r="A7" s="29" t="s">
        <v>68</v>
      </c>
      <c r="B7" s="30">
        <v>0.0</v>
      </c>
      <c r="C7" s="30">
        <v>0.0</v>
      </c>
      <c r="D7" s="30">
        <v>0.0</v>
      </c>
      <c r="E7" s="30">
        <v>0.0</v>
      </c>
      <c r="F7" s="30">
        <v>0.0</v>
      </c>
      <c r="G7" s="30">
        <v>0.0</v>
      </c>
      <c r="H7" s="30">
        <v>0.0</v>
      </c>
      <c r="I7" s="30">
        <v>0.0</v>
      </c>
      <c r="J7" s="30">
        <v>60.0</v>
      </c>
      <c r="K7" s="30">
        <v>0.0</v>
      </c>
      <c r="L7" s="30">
        <v>0.0</v>
      </c>
      <c r="M7" s="30">
        <v>0.0</v>
      </c>
      <c r="N7" s="30">
        <v>0.0</v>
      </c>
      <c r="O7" s="30">
        <v>0.0</v>
      </c>
      <c r="P7" s="36">
        <v>40.0</v>
      </c>
      <c r="Q7" s="30">
        <v>0.0</v>
      </c>
      <c r="R7" s="36">
        <v>0.0</v>
      </c>
    </row>
    <row r="8">
      <c r="A8" s="23" t="s">
        <v>69</v>
      </c>
      <c r="B8" s="30">
        <f t="shared" ref="B8:R8" si="2">B4-B5+B7</f>
        <v>35</v>
      </c>
      <c r="C8" s="30">
        <f t="shared" si="2"/>
        <v>30</v>
      </c>
      <c r="D8" s="30">
        <f t="shared" si="2"/>
        <v>25</v>
      </c>
      <c r="E8" s="30">
        <f t="shared" si="2"/>
        <v>25</v>
      </c>
      <c r="F8" s="30">
        <f t="shared" si="2"/>
        <v>25</v>
      </c>
      <c r="G8" s="30">
        <f t="shared" si="2"/>
        <v>20</v>
      </c>
      <c r="H8" s="30">
        <f t="shared" si="2"/>
        <v>15</v>
      </c>
      <c r="I8" s="30">
        <f t="shared" si="2"/>
        <v>10</v>
      </c>
      <c r="J8" s="30">
        <f t="shared" si="2"/>
        <v>65</v>
      </c>
      <c r="K8" s="30">
        <f t="shared" si="2"/>
        <v>60</v>
      </c>
      <c r="L8" s="30">
        <f t="shared" si="2"/>
        <v>55</v>
      </c>
      <c r="M8" s="30">
        <f t="shared" si="2"/>
        <v>50</v>
      </c>
      <c r="N8" s="30">
        <f t="shared" si="2"/>
        <v>45</v>
      </c>
      <c r="O8" s="30">
        <f t="shared" si="2"/>
        <v>40</v>
      </c>
      <c r="P8" s="30">
        <f t="shared" si="2"/>
        <v>75</v>
      </c>
      <c r="Q8" s="30">
        <f t="shared" si="2"/>
        <v>70</v>
      </c>
      <c r="R8" s="30">
        <f t="shared" si="2"/>
        <v>65</v>
      </c>
    </row>
    <row r="10">
      <c r="A10" s="24" t="s">
        <v>76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>
      <c r="A11" s="23" t="s">
        <v>39</v>
      </c>
      <c r="B11" s="24">
        <v>2026.0</v>
      </c>
      <c r="C11" s="8"/>
      <c r="D11" s="8"/>
      <c r="E11" s="8"/>
      <c r="F11" s="9"/>
      <c r="G11" s="24">
        <v>2027.0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>
      <c r="A12" s="29" t="s">
        <v>45</v>
      </c>
      <c r="B12" s="29" t="s">
        <v>46</v>
      </c>
      <c r="C12" s="29" t="s">
        <v>47</v>
      </c>
      <c r="D12" s="29" t="s">
        <v>49</v>
      </c>
      <c r="E12" s="29" t="s">
        <v>50</v>
      </c>
      <c r="F12" s="29" t="s">
        <v>51</v>
      </c>
      <c r="G12" s="29" t="s">
        <v>52</v>
      </c>
      <c r="H12" s="29" t="s">
        <v>53</v>
      </c>
      <c r="I12" s="29" t="s">
        <v>54</v>
      </c>
      <c r="J12" s="29" t="s">
        <v>55</v>
      </c>
      <c r="K12" s="29" t="s">
        <v>56</v>
      </c>
      <c r="L12" s="29" t="s">
        <v>57</v>
      </c>
      <c r="M12" s="29" t="s">
        <v>58</v>
      </c>
      <c r="N12" s="29" t="s">
        <v>46</v>
      </c>
      <c r="O12" s="29" t="s">
        <v>47</v>
      </c>
      <c r="P12" s="29" t="s">
        <v>49</v>
      </c>
      <c r="Q12" s="29" t="s">
        <v>50</v>
      </c>
      <c r="R12" s="29" t="s">
        <v>51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>
      <c r="A13" s="29" t="s">
        <v>59</v>
      </c>
      <c r="B13" s="30">
        <v>20.0</v>
      </c>
      <c r="C13" s="30">
        <f t="shared" ref="C13:R13" si="3">B17</f>
        <v>14</v>
      </c>
      <c r="D13" s="30">
        <f t="shared" si="3"/>
        <v>11</v>
      </c>
      <c r="E13" s="30">
        <f t="shared" si="3"/>
        <v>8</v>
      </c>
      <c r="F13" s="30">
        <f t="shared" si="3"/>
        <v>8</v>
      </c>
      <c r="G13" s="30">
        <f t="shared" si="3"/>
        <v>8</v>
      </c>
      <c r="H13" s="30">
        <f t="shared" si="3"/>
        <v>5</v>
      </c>
      <c r="I13" s="30">
        <f t="shared" si="3"/>
        <v>2</v>
      </c>
      <c r="J13" s="30">
        <f t="shared" si="3"/>
        <v>-1</v>
      </c>
      <c r="K13" s="30">
        <f t="shared" si="3"/>
        <v>44</v>
      </c>
      <c r="L13" s="30">
        <f t="shared" si="3"/>
        <v>41</v>
      </c>
      <c r="M13" s="30">
        <f t="shared" si="3"/>
        <v>38</v>
      </c>
      <c r="N13" s="30">
        <f t="shared" si="3"/>
        <v>35</v>
      </c>
      <c r="O13" s="30">
        <f t="shared" si="3"/>
        <v>32</v>
      </c>
      <c r="P13" s="30">
        <f t="shared" si="3"/>
        <v>29</v>
      </c>
      <c r="Q13" s="30">
        <f t="shared" si="3"/>
        <v>26</v>
      </c>
      <c r="R13" s="30">
        <f t="shared" si="3"/>
        <v>23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</row>
    <row r="14">
      <c r="A14" s="29" t="s">
        <v>64</v>
      </c>
      <c r="B14" s="36">
        <v>6.0</v>
      </c>
      <c r="C14" s="30">
        <v>3.0</v>
      </c>
      <c r="D14" s="30">
        <v>3.0</v>
      </c>
      <c r="E14" s="30">
        <v>0.0</v>
      </c>
      <c r="F14" s="30">
        <v>0.0</v>
      </c>
      <c r="G14" s="30">
        <v>3.0</v>
      </c>
      <c r="H14" s="30">
        <v>3.0</v>
      </c>
      <c r="I14" s="30">
        <v>3.0</v>
      </c>
      <c r="J14" s="30">
        <v>3.0</v>
      </c>
      <c r="K14" s="30">
        <v>3.0</v>
      </c>
      <c r="L14" s="30">
        <v>3.0</v>
      </c>
      <c r="M14" s="30">
        <v>3.0</v>
      </c>
      <c r="N14" s="30">
        <v>3.0</v>
      </c>
      <c r="O14" s="30">
        <v>3.0</v>
      </c>
      <c r="P14" s="30">
        <v>3.0</v>
      </c>
      <c r="Q14" s="30">
        <v>3.0</v>
      </c>
      <c r="R14" s="30">
        <v>3.0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</row>
    <row r="15">
      <c r="A15" s="29" t="s">
        <v>66</v>
      </c>
      <c r="B15" s="30">
        <v>48.0</v>
      </c>
      <c r="C15" s="30">
        <v>0.0</v>
      </c>
      <c r="D15" s="30">
        <v>0.0</v>
      </c>
      <c r="E15" s="30">
        <v>0.0</v>
      </c>
      <c r="F15" s="30">
        <v>0.0</v>
      </c>
      <c r="G15" s="30">
        <v>0.0</v>
      </c>
      <c r="H15" s="30">
        <v>0.0</v>
      </c>
      <c r="I15" s="30">
        <v>0.0</v>
      </c>
      <c r="J15" s="30">
        <v>0.0</v>
      </c>
      <c r="K15" s="36">
        <v>24.0</v>
      </c>
      <c r="L15" s="30">
        <v>0.0</v>
      </c>
      <c r="M15" s="36">
        <v>0.0</v>
      </c>
      <c r="N15" s="30">
        <v>0.0</v>
      </c>
      <c r="O15" s="30">
        <v>0.0</v>
      </c>
      <c r="P15" s="30">
        <v>0.0</v>
      </c>
      <c r="Q15" s="30">
        <v>0.0</v>
      </c>
      <c r="R15" s="30">
        <v>0.0</v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>
      <c r="A16" s="29" t="s">
        <v>68</v>
      </c>
      <c r="B16" s="30">
        <v>0.0</v>
      </c>
      <c r="C16" s="30">
        <v>0.0</v>
      </c>
      <c r="D16" s="30">
        <v>0.0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48.0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  <c r="P16" s="30">
        <v>0.0</v>
      </c>
      <c r="Q16" s="30">
        <v>0.0</v>
      </c>
      <c r="R16" s="30">
        <v>0.0</v>
      </c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7">
      <c r="A17" s="23" t="s">
        <v>69</v>
      </c>
      <c r="B17" s="30">
        <f t="shared" ref="B17:R17" si="4">B13-B14+B16</f>
        <v>14</v>
      </c>
      <c r="C17" s="30">
        <f t="shared" si="4"/>
        <v>11</v>
      </c>
      <c r="D17" s="30">
        <f t="shared" si="4"/>
        <v>8</v>
      </c>
      <c r="E17" s="30">
        <f t="shared" si="4"/>
        <v>8</v>
      </c>
      <c r="F17" s="30">
        <f t="shared" si="4"/>
        <v>8</v>
      </c>
      <c r="G17" s="30">
        <f t="shared" si="4"/>
        <v>5</v>
      </c>
      <c r="H17" s="30">
        <f t="shared" si="4"/>
        <v>2</v>
      </c>
      <c r="I17" s="30">
        <f t="shared" si="4"/>
        <v>-1</v>
      </c>
      <c r="J17" s="30">
        <f t="shared" si="4"/>
        <v>44</v>
      </c>
      <c r="K17" s="30">
        <f t="shared" si="4"/>
        <v>41</v>
      </c>
      <c r="L17" s="30">
        <f t="shared" si="4"/>
        <v>38</v>
      </c>
      <c r="M17" s="30">
        <f t="shared" si="4"/>
        <v>35</v>
      </c>
      <c r="N17" s="30">
        <f t="shared" si="4"/>
        <v>32</v>
      </c>
      <c r="O17" s="30">
        <f t="shared" si="4"/>
        <v>29</v>
      </c>
      <c r="P17" s="30">
        <f t="shared" si="4"/>
        <v>26</v>
      </c>
      <c r="Q17" s="30">
        <f t="shared" si="4"/>
        <v>23</v>
      </c>
      <c r="R17" s="30">
        <f t="shared" si="4"/>
        <v>20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</row>
    <row r="19">
      <c r="A19" s="24" t="s">
        <v>93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</row>
    <row r="20">
      <c r="A20" s="23" t="s">
        <v>39</v>
      </c>
      <c r="B20" s="24">
        <v>2026.0</v>
      </c>
      <c r="C20" s="8"/>
      <c r="D20" s="8"/>
      <c r="E20" s="8"/>
      <c r="F20" s="9"/>
      <c r="G20" s="24">
        <v>2027.0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>
      <c r="A21" s="29" t="s">
        <v>45</v>
      </c>
      <c r="B21" s="29" t="s">
        <v>46</v>
      </c>
      <c r="C21" s="29" t="s">
        <v>47</v>
      </c>
      <c r="D21" s="29" t="s">
        <v>49</v>
      </c>
      <c r="E21" s="29" t="s">
        <v>50</v>
      </c>
      <c r="F21" s="29" t="s">
        <v>51</v>
      </c>
      <c r="G21" s="29" t="s">
        <v>52</v>
      </c>
      <c r="H21" s="29" t="s">
        <v>53</v>
      </c>
      <c r="I21" s="29" t="s">
        <v>54</v>
      </c>
      <c r="J21" s="29" t="s">
        <v>55</v>
      </c>
      <c r="K21" s="29" t="s">
        <v>56</v>
      </c>
      <c r="L21" s="29" t="s">
        <v>57</v>
      </c>
      <c r="M21" s="29" t="s">
        <v>58</v>
      </c>
      <c r="N21" s="29" t="s">
        <v>46</v>
      </c>
      <c r="O21" s="29" t="s">
        <v>47</v>
      </c>
      <c r="P21" s="29" t="s">
        <v>49</v>
      </c>
      <c r="Q21" s="29" t="s">
        <v>50</v>
      </c>
      <c r="R21" s="29" t="s">
        <v>51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>
      <c r="A22" s="29" t="s">
        <v>59</v>
      </c>
      <c r="B22" s="36">
        <v>29.0</v>
      </c>
      <c r="C22" s="30">
        <f t="shared" ref="C22:R22" si="5">B26</f>
        <v>29</v>
      </c>
      <c r="D22" s="30">
        <f t="shared" si="5"/>
        <v>28</v>
      </c>
      <c r="E22" s="30">
        <f t="shared" si="5"/>
        <v>47</v>
      </c>
      <c r="F22" s="30">
        <f t="shared" si="5"/>
        <v>47</v>
      </c>
      <c r="G22" s="30">
        <f t="shared" si="5"/>
        <v>47</v>
      </c>
      <c r="H22" s="30">
        <f t="shared" si="5"/>
        <v>46</v>
      </c>
      <c r="I22" s="30">
        <f t="shared" si="5"/>
        <v>45</v>
      </c>
      <c r="J22" s="30">
        <f t="shared" si="5"/>
        <v>44</v>
      </c>
      <c r="K22" s="30">
        <f t="shared" si="5"/>
        <v>43</v>
      </c>
      <c r="L22" s="30">
        <f t="shared" si="5"/>
        <v>42</v>
      </c>
      <c r="M22" s="30">
        <f t="shared" si="5"/>
        <v>41</v>
      </c>
      <c r="N22" s="30">
        <f t="shared" si="5"/>
        <v>40</v>
      </c>
      <c r="O22" s="30">
        <f t="shared" si="5"/>
        <v>39</v>
      </c>
      <c r="P22" s="30">
        <f t="shared" si="5"/>
        <v>38</v>
      </c>
      <c r="Q22" s="30">
        <f t="shared" si="5"/>
        <v>37</v>
      </c>
      <c r="R22" s="30">
        <f t="shared" si="5"/>
        <v>36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>
      <c r="A23" s="29" t="s">
        <v>64</v>
      </c>
      <c r="B23" s="36">
        <v>0.0</v>
      </c>
      <c r="C23" s="30">
        <v>1.0</v>
      </c>
      <c r="D23" s="30">
        <v>1.0</v>
      </c>
      <c r="E23" s="30">
        <v>0.0</v>
      </c>
      <c r="F23" s="30">
        <v>0.0</v>
      </c>
      <c r="G23" s="30">
        <v>1.0</v>
      </c>
      <c r="H23" s="30">
        <v>1.0</v>
      </c>
      <c r="I23" s="30">
        <v>1.0</v>
      </c>
      <c r="J23" s="30">
        <v>1.0</v>
      </c>
      <c r="K23" s="30">
        <v>1.0</v>
      </c>
      <c r="L23" s="30">
        <v>1.0</v>
      </c>
      <c r="M23" s="30">
        <v>1.0</v>
      </c>
      <c r="N23" s="30">
        <v>1.0</v>
      </c>
      <c r="O23" s="30">
        <v>1.0</v>
      </c>
      <c r="P23" s="30">
        <v>1.0</v>
      </c>
      <c r="Q23" s="30">
        <v>1.0</v>
      </c>
      <c r="R23" s="30">
        <v>1.0</v>
      </c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>
      <c r="A24" s="29" t="s">
        <v>66</v>
      </c>
      <c r="B24" s="30">
        <v>0.0</v>
      </c>
      <c r="C24" s="30">
        <v>0.0</v>
      </c>
      <c r="D24" s="30">
        <v>0.0</v>
      </c>
      <c r="E24" s="30">
        <v>0.0</v>
      </c>
      <c r="F24" s="30">
        <v>0.0</v>
      </c>
      <c r="G24" s="30">
        <v>0.0</v>
      </c>
      <c r="H24" s="30">
        <v>0.0</v>
      </c>
      <c r="I24" s="30">
        <v>0.0</v>
      </c>
      <c r="J24" s="30">
        <v>0.0</v>
      </c>
      <c r="K24" s="30">
        <v>0.0</v>
      </c>
      <c r="L24" s="30">
        <v>0.0</v>
      </c>
      <c r="M24" s="30">
        <v>0.0</v>
      </c>
      <c r="N24" s="30">
        <v>0.0</v>
      </c>
      <c r="O24" s="30">
        <v>0.0</v>
      </c>
      <c r="P24" s="30">
        <v>0.0</v>
      </c>
      <c r="Q24" s="30">
        <v>0.0</v>
      </c>
      <c r="R24" s="30">
        <v>10.0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>
      <c r="A25" s="29" t="s">
        <v>68</v>
      </c>
      <c r="B25" s="30">
        <v>0.0</v>
      </c>
      <c r="C25" s="30">
        <v>0.0</v>
      </c>
      <c r="D25" s="30">
        <v>20.0</v>
      </c>
      <c r="E25" s="30">
        <v>0.0</v>
      </c>
      <c r="F25" s="30">
        <v>0.0</v>
      </c>
      <c r="G25" s="30">
        <v>0.0</v>
      </c>
      <c r="H25" s="30">
        <v>0.0</v>
      </c>
      <c r="I25" s="30">
        <v>0.0</v>
      </c>
      <c r="J25" s="30">
        <v>0.0</v>
      </c>
      <c r="K25" s="30">
        <v>0.0</v>
      </c>
      <c r="L25" s="30">
        <v>0.0</v>
      </c>
      <c r="M25" s="30">
        <v>0.0</v>
      </c>
      <c r="N25" s="30">
        <v>0.0</v>
      </c>
      <c r="O25" s="30">
        <v>0.0</v>
      </c>
      <c r="P25" s="30">
        <v>0.0</v>
      </c>
      <c r="Q25" s="30">
        <v>0.0</v>
      </c>
      <c r="R25" s="30">
        <v>0.0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>
      <c r="A26" s="23" t="s">
        <v>69</v>
      </c>
      <c r="B26" s="30">
        <f t="shared" ref="B26:R26" si="6">B22-B23+B25</f>
        <v>29</v>
      </c>
      <c r="C26" s="30">
        <f t="shared" si="6"/>
        <v>28</v>
      </c>
      <c r="D26" s="30">
        <f t="shared" si="6"/>
        <v>47</v>
      </c>
      <c r="E26" s="30">
        <f t="shared" si="6"/>
        <v>47</v>
      </c>
      <c r="F26" s="30">
        <f t="shared" si="6"/>
        <v>47</v>
      </c>
      <c r="G26" s="30">
        <f t="shared" si="6"/>
        <v>46</v>
      </c>
      <c r="H26" s="30">
        <f t="shared" si="6"/>
        <v>45</v>
      </c>
      <c r="I26" s="30">
        <f t="shared" si="6"/>
        <v>44</v>
      </c>
      <c r="J26" s="30">
        <f t="shared" si="6"/>
        <v>43</v>
      </c>
      <c r="K26" s="30">
        <f t="shared" si="6"/>
        <v>42</v>
      </c>
      <c r="L26" s="30">
        <f t="shared" si="6"/>
        <v>41</v>
      </c>
      <c r="M26" s="30">
        <f t="shared" si="6"/>
        <v>40</v>
      </c>
      <c r="N26" s="30">
        <f t="shared" si="6"/>
        <v>39</v>
      </c>
      <c r="O26" s="30">
        <f t="shared" si="6"/>
        <v>38</v>
      </c>
      <c r="P26" s="30">
        <f t="shared" si="6"/>
        <v>37</v>
      </c>
      <c r="Q26" s="30">
        <f t="shared" si="6"/>
        <v>36</v>
      </c>
      <c r="R26" s="30">
        <f t="shared" si="6"/>
        <v>35</v>
      </c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8">
      <c r="A28" s="24" t="s">
        <v>133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>
      <c r="A29" s="23" t="s">
        <v>39</v>
      </c>
      <c r="B29" s="24">
        <v>2026.0</v>
      </c>
      <c r="C29" s="8"/>
      <c r="D29" s="8"/>
      <c r="E29" s="8"/>
      <c r="F29" s="9"/>
      <c r="G29" s="24">
        <v>2027.0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29" t="s">
        <v>45</v>
      </c>
      <c r="B30" s="29" t="s">
        <v>46</v>
      </c>
      <c r="C30" s="29" t="s">
        <v>47</v>
      </c>
      <c r="D30" s="29" t="s">
        <v>49</v>
      </c>
      <c r="E30" s="29" t="s">
        <v>50</v>
      </c>
      <c r="F30" s="29" t="s">
        <v>51</v>
      </c>
      <c r="G30" s="29" t="s">
        <v>52</v>
      </c>
      <c r="H30" s="29" t="s">
        <v>53</v>
      </c>
      <c r="I30" s="29" t="s">
        <v>54</v>
      </c>
      <c r="J30" s="29" t="s">
        <v>55</v>
      </c>
      <c r="K30" s="29" t="s">
        <v>56</v>
      </c>
      <c r="L30" s="29" t="s">
        <v>57</v>
      </c>
      <c r="M30" s="29" t="s">
        <v>58</v>
      </c>
      <c r="N30" s="29" t="s">
        <v>46</v>
      </c>
      <c r="O30" s="29" t="s">
        <v>47</v>
      </c>
      <c r="P30" s="29" t="s">
        <v>49</v>
      </c>
      <c r="Q30" s="29" t="s">
        <v>50</v>
      </c>
      <c r="R30" s="29" t="s">
        <v>51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29" t="s">
        <v>59</v>
      </c>
      <c r="B31" s="30">
        <v>30.0</v>
      </c>
      <c r="C31" s="30">
        <f t="shared" ref="C31:R31" si="7">B35</f>
        <v>23</v>
      </c>
      <c r="D31" s="30">
        <f t="shared" si="7"/>
        <v>21</v>
      </c>
      <c r="E31" s="30">
        <f t="shared" si="7"/>
        <v>19</v>
      </c>
      <c r="F31" s="30">
        <f t="shared" si="7"/>
        <v>17</v>
      </c>
      <c r="G31" s="30">
        <f t="shared" si="7"/>
        <v>15</v>
      </c>
      <c r="H31" s="30">
        <f t="shared" si="7"/>
        <v>13</v>
      </c>
      <c r="I31" s="30">
        <f t="shared" si="7"/>
        <v>11</v>
      </c>
      <c r="J31" s="30">
        <f t="shared" si="7"/>
        <v>19</v>
      </c>
      <c r="K31" s="30">
        <f t="shared" si="7"/>
        <v>17</v>
      </c>
      <c r="L31" s="30">
        <f t="shared" si="7"/>
        <v>15</v>
      </c>
      <c r="M31" s="30">
        <f t="shared" si="7"/>
        <v>13</v>
      </c>
      <c r="N31" s="30">
        <f t="shared" si="7"/>
        <v>11</v>
      </c>
      <c r="O31" s="30">
        <f t="shared" si="7"/>
        <v>9</v>
      </c>
      <c r="P31" s="30">
        <f t="shared" si="7"/>
        <v>17</v>
      </c>
      <c r="Q31" s="30">
        <f t="shared" si="7"/>
        <v>15</v>
      </c>
      <c r="R31" s="30">
        <f t="shared" si="7"/>
        <v>13</v>
      </c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>
      <c r="A32" s="29" t="s">
        <v>64</v>
      </c>
      <c r="B32" s="36">
        <v>7.0</v>
      </c>
      <c r="C32" s="30">
        <v>2.0</v>
      </c>
      <c r="D32" s="30">
        <v>2.0</v>
      </c>
      <c r="E32" s="30">
        <v>2.0</v>
      </c>
      <c r="F32" s="30">
        <v>2.0</v>
      </c>
      <c r="G32" s="30">
        <v>2.0</v>
      </c>
      <c r="H32" s="30">
        <v>2.0</v>
      </c>
      <c r="I32" s="30">
        <v>2.0</v>
      </c>
      <c r="J32" s="30">
        <v>2.0</v>
      </c>
      <c r="K32" s="30">
        <v>2.0</v>
      </c>
      <c r="L32" s="30">
        <v>2.0</v>
      </c>
      <c r="M32" s="30">
        <v>2.0</v>
      </c>
      <c r="N32" s="30">
        <v>2.0</v>
      </c>
      <c r="O32" s="30">
        <v>2.0</v>
      </c>
      <c r="P32" s="30">
        <v>2.0</v>
      </c>
      <c r="Q32" s="30">
        <v>2.0</v>
      </c>
      <c r="R32" s="30">
        <v>2.0</v>
      </c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>
      <c r="A33" s="29" t="s">
        <v>66</v>
      </c>
      <c r="B33" s="30">
        <v>0.0</v>
      </c>
      <c r="C33" s="30">
        <v>0.0</v>
      </c>
      <c r="D33" s="36">
        <v>10.0</v>
      </c>
      <c r="E33" s="30">
        <v>0.0</v>
      </c>
      <c r="F33" s="36">
        <v>0.0</v>
      </c>
      <c r="G33" s="30">
        <v>0.0</v>
      </c>
      <c r="H33" s="30">
        <v>0.0</v>
      </c>
      <c r="I33" s="30">
        <v>0.0</v>
      </c>
      <c r="J33" s="36">
        <v>10.0</v>
      </c>
      <c r="K33" s="36">
        <v>0.0</v>
      </c>
      <c r="L33" s="30">
        <v>0.0</v>
      </c>
      <c r="M33" s="30">
        <v>0.0</v>
      </c>
      <c r="N33" s="30">
        <v>0.0</v>
      </c>
      <c r="O33" s="30">
        <v>0.0</v>
      </c>
      <c r="P33" s="36">
        <v>10.0</v>
      </c>
      <c r="Q33" s="30">
        <v>0.0</v>
      </c>
      <c r="R33" s="30">
        <v>0.0</v>
      </c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>
      <c r="A34" s="29" t="s">
        <v>68</v>
      </c>
      <c r="B34" s="30">
        <v>0.0</v>
      </c>
      <c r="C34" s="30">
        <v>0.0</v>
      </c>
      <c r="D34" s="30">
        <v>0.0</v>
      </c>
      <c r="E34" s="30">
        <v>0.0</v>
      </c>
      <c r="F34" s="30">
        <v>0.0</v>
      </c>
      <c r="G34" s="30">
        <v>0.0</v>
      </c>
      <c r="H34" s="30">
        <v>0.0</v>
      </c>
      <c r="I34" s="36">
        <v>10.0</v>
      </c>
      <c r="J34" s="30">
        <v>0.0</v>
      </c>
      <c r="K34" s="36">
        <v>0.0</v>
      </c>
      <c r="L34" s="30">
        <v>0.0</v>
      </c>
      <c r="M34" s="30">
        <v>0.0</v>
      </c>
      <c r="N34" s="30">
        <v>0.0</v>
      </c>
      <c r="O34" s="36">
        <v>10.0</v>
      </c>
      <c r="P34" s="36">
        <v>0.0</v>
      </c>
      <c r="Q34" s="30">
        <v>0.0</v>
      </c>
      <c r="R34" s="30">
        <v>0.0</v>
      </c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>
      <c r="A35" s="23" t="s">
        <v>69</v>
      </c>
      <c r="B35" s="30">
        <f t="shared" ref="B35:R35" si="8">B31-B32+B34</f>
        <v>23</v>
      </c>
      <c r="C35" s="30">
        <f t="shared" si="8"/>
        <v>21</v>
      </c>
      <c r="D35" s="30">
        <f t="shared" si="8"/>
        <v>19</v>
      </c>
      <c r="E35" s="30">
        <f t="shared" si="8"/>
        <v>17</v>
      </c>
      <c r="F35" s="30">
        <f t="shared" si="8"/>
        <v>15</v>
      </c>
      <c r="G35" s="30">
        <f t="shared" si="8"/>
        <v>13</v>
      </c>
      <c r="H35" s="30">
        <f t="shared" si="8"/>
        <v>11</v>
      </c>
      <c r="I35" s="30">
        <f t="shared" si="8"/>
        <v>19</v>
      </c>
      <c r="J35" s="30">
        <f t="shared" si="8"/>
        <v>17</v>
      </c>
      <c r="K35" s="30">
        <f t="shared" si="8"/>
        <v>15</v>
      </c>
      <c r="L35" s="30">
        <f t="shared" si="8"/>
        <v>13</v>
      </c>
      <c r="M35" s="30">
        <f t="shared" si="8"/>
        <v>11</v>
      </c>
      <c r="N35" s="30">
        <f t="shared" si="8"/>
        <v>9</v>
      </c>
      <c r="O35" s="30">
        <f t="shared" si="8"/>
        <v>17</v>
      </c>
      <c r="P35" s="30">
        <f t="shared" si="8"/>
        <v>15</v>
      </c>
      <c r="Q35" s="30">
        <f t="shared" si="8"/>
        <v>13</v>
      </c>
      <c r="R35" s="30">
        <f t="shared" si="8"/>
        <v>11</v>
      </c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7">
      <c r="A37" s="24" t="s">
        <v>173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>
      <c r="A38" s="23" t="s">
        <v>39</v>
      </c>
      <c r="B38" s="24">
        <v>2026.0</v>
      </c>
      <c r="C38" s="8"/>
      <c r="D38" s="8"/>
      <c r="E38" s="8"/>
      <c r="F38" s="9"/>
      <c r="G38" s="24">
        <v>2027.0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29" t="s">
        <v>45</v>
      </c>
      <c r="B39" s="29" t="s">
        <v>46</v>
      </c>
      <c r="C39" s="29" t="s">
        <v>47</v>
      </c>
      <c r="D39" s="29" t="s">
        <v>49</v>
      </c>
      <c r="E39" s="29" t="s">
        <v>50</v>
      </c>
      <c r="F39" s="29" t="s">
        <v>51</v>
      </c>
      <c r="G39" s="29" t="s">
        <v>52</v>
      </c>
      <c r="H39" s="29" t="s">
        <v>53</v>
      </c>
      <c r="I39" s="29" t="s">
        <v>54</v>
      </c>
      <c r="J39" s="29" t="s">
        <v>55</v>
      </c>
      <c r="K39" s="29" t="s">
        <v>56</v>
      </c>
      <c r="L39" s="29" t="s">
        <v>57</v>
      </c>
      <c r="M39" s="29" t="s">
        <v>58</v>
      </c>
      <c r="N39" s="29" t="s">
        <v>46</v>
      </c>
      <c r="O39" s="29" t="s">
        <v>47</v>
      </c>
      <c r="P39" s="29" t="s">
        <v>49</v>
      </c>
      <c r="Q39" s="29" t="s">
        <v>50</v>
      </c>
      <c r="R39" s="29" t="s">
        <v>51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29" t="s">
        <v>59</v>
      </c>
      <c r="B40" s="30">
        <v>15.0</v>
      </c>
      <c r="C40" s="30">
        <f t="shared" ref="C40:R40" si="9">B44</f>
        <v>15</v>
      </c>
      <c r="D40" s="30">
        <f t="shared" si="9"/>
        <v>13</v>
      </c>
      <c r="E40" s="30">
        <f t="shared" si="9"/>
        <v>11</v>
      </c>
      <c r="F40" s="30">
        <f t="shared" si="9"/>
        <v>9</v>
      </c>
      <c r="G40" s="30">
        <f t="shared" si="9"/>
        <v>27</v>
      </c>
      <c r="H40" s="30">
        <f t="shared" si="9"/>
        <v>25</v>
      </c>
      <c r="I40" s="30">
        <f t="shared" si="9"/>
        <v>23</v>
      </c>
      <c r="J40" s="30">
        <f t="shared" si="9"/>
        <v>21</v>
      </c>
      <c r="K40" s="30">
        <f t="shared" si="9"/>
        <v>19</v>
      </c>
      <c r="L40" s="30">
        <f t="shared" si="9"/>
        <v>17</v>
      </c>
      <c r="M40" s="30">
        <f t="shared" si="9"/>
        <v>15</v>
      </c>
      <c r="N40" s="30">
        <f t="shared" si="9"/>
        <v>13</v>
      </c>
      <c r="O40" s="30">
        <f t="shared" si="9"/>
        <v>21</v>
      </c>
      <c r="P40" s="30">
        <f t="shared" si="9"/>
        <v>19</v>
      </c>
      <c r="Q40" s="30">
        <f t="shared" si="9"/>
        <v>17</v>
      </c>
      <c r="R40" s="30">
        <f t="shared" si="9"/>
        <v>15</v>
      </c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>
      <c r="A41" s="29" t="s">
        <v>64</v>
      </c>
      <c r="B41" s="36">
        <v>0.0</v>
      </c>
      <c r="C41" s="30">
        <v>2.0</v>
      </c>
      <c r="D41" s="30">
        <v>2.0</v>
      </c>
      <c r="E41" s="30">
        <v>2.0</v>
      </c>
      <c r="F41" s="30">
        <v>2.0</v>
      </c>
      <c r="G41" s="30">
        <v>2.0</v>
      </c>
      <c r="H41" s="30">
        <v>2.0</v>
      </c>
      <c r="I41" s="30">
        <v>2.0</v>
      </c>
      <c r="J41" s="30">
        <v>2.0</v>
      </c>
      <c r="K41" s="30">
        <v>2.0</v>
      </c>
      <c r="L41" s="30">
        <v>2.0</v>
      </c>
      <c r="M41" s="30">
        <v>2.0</v>
      </c>
      <c r="N41" s="30">
        <v>2.0</v>
      </c>
      <c r="O41" s="30">
        <v>2.0</v>
      </c>
      <c r="P41" s="30">
        <v>2.0</v>
      </c>
      <c r="Q41" s="30">
        <v>2.0</v>
      </c>
      <c r="R41" s="30">
        <v>2.0</v>
      </c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>
      <c r="A42" s="29" t="s">
        <v>66</v>
      </c>
      <c r="B42" s="30">
        <v>20.0</v>
      </c>
      <c r="C42" s="30">
        <v>0.0</v>
      </c>
      <c r="D42" s="30">
        <v>0.0</v>
      </c>
      <c r="E42" s="30">
        <v>0.0</v>
      </c>
      <c r="F42" s="30">
        <v>0.0</v>
      </c>
      <c r="G42" s="30">
        <v>0.0</v>
      </c>
      <c r="H42" s="30">
        <v>0.0</v>
      </c>
      <c r="I42" s="30">
        <v>0.0</v>
      </c>
      <c r="J42" s="30">
        <v>10.0</v>
      </c>
      <c r="K42" s="30">
        <v>0.0</v>
      </c>
      <c r="L42" s="30">
        <v>0.0</v>
      </c>
      <c r="M42" s="30">
        <v>0.0</v>
      </c>
      <c r="N42" s="30">
        <v>10.0</v>
      </c>
      <c r="O42" s="30">
        <v>0.0</v>
      </c>
      <c r="P42" s="30">
        <v>0.0</v>
      </c>
      <c r="Q42" s="30">
        <v>0.0</v>
      </c>
      <c r="R42" s="30">
        <v>10.0</v>
      </c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>
      <c r="A43" s="29" t="s">
        <v>68</v>
      </c>
      <c r="B43" s="30">
        <v>0.0</v>
      </c>
      <c r="C43" s="30">
        <v>0.0</v>
      </c>
      <c r="D43" s="30">
        <v>0.0</v>
      </c>
      <c r="E43" s="30">
        <v>0.0</v>
      </c>
      <c r="F43" s="30">
        <v>20.0</v>
      </c>
      <c r="G43" s="30">
        <v>0.0</v>
      </c>
      <c r="H43" s="30">
        <v>0.0</v>
      </c>
      <c r="I43" s="30">
        <v>0.0</v>
      </c>
      <c r="J43" s="30">
        <v>0.0</v>
      </c>
      <c r="K43" s="30">
        <v>0.0</v>
      </c>
      <c r="L43" s="30">
        <v>0.0</v>
      </c>
      <c r="M43" s="30">
        <v>0.0</v>
      </c>
      <c r="N43" s="30">
        <v>10.0</v>
      </c>
      <c r="O43" s="30">
        <v>0.0</v>
      </c>
      <c r="P43" s="30">
        <v>0.0</v>
      </c>
      <c r="Q43" s="30">
        <v>0.0</v>
      </c>
      <c r="R43" s="30">
        <v>10.0</v>
      </c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>
      <c r="A44" s="29" t="s">
        <v>193</v>
      </c>
      <c r="B44" s="30">
        <f t="shared" ref="B44:R44" si="10">B40-B41+B43</f>
        <v>15</v>
      </c>
      <c r="C44" s="30">
        <f t="shared" si="10"/>
        <v>13</v>
      </c>
      <c r="D44" s="30">
        <f t="shared" si="10"/>
        <v>11</v>
      </c>
      <c r="E44" s="30">
        <f t="shared" si="10"/>
        <v>9</v>
      </c>
      <c r="F44" s="30">
        <f t="shared" si="10"/>
        <v>27</v>
      </c>
      <c r="G44" s="30">
        <f t="shared" si="10"/>
        <v>25</v>
      </c>
      <c r="H44" s="30">
        <f t="shared" si="10"/>
        <v>23</v>
      </c>
      <c r="I44" s="30">
        <f t="shared" si="10"/>
        <v>21</v>
      </c>
      <c r="J44" s="30">
        <f t="shared" si="10"/>
        <v>19</v>
      </c>
      <c r="K44" s="30">
        <f t="shared" si="10"/>
        <v>17</v>
      </c>
      <c r="L44" s="30">
        <f t="shared" si="10"/>
        <v>15</v>
      </c>
      <c r="M44" s="30">
        <f t="shared" si="10"/>
        <v>13</v>
      </c>
      <c r="N44" s="30">
        <f t="shared" si="10"/>
        <v>21</v>
      </c>
      <c r="O44" s="30">
        <f t="shared" si="10"/>
        <v>19</v>
      </c>
      <c r="P44" s="30">
        <f t="shared" si="10"/>
        <v>17</v>
      </c>
      <c r="Q44" s="30">
        <f t="shared" si="10"/>
        <v>15</v>
      </c>
      <c r="R44" s="30">
        <f t="shared" si="10"/>
        <v>23</v>
      </c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6">
      <c r="A46" s="24" t="s">
        <v>205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>
      <c r="A47" s="23" t="s">
        <v>39</v>
      </c>
      <c r="B47" s="24">
        <v>2026.0</v>
      </c>
      <c r="C47" s="8"/>
      <c r="D47" s="8"/>
      <c r="E47" s="8"/>
      <c r="F47" s="9"/>
      <c r="G47" s="24">
        <v>2027.0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29" t="s">
        <v>45</v>
      </c>
      <c r="B48" s="29" t="s">
        <v>46</v>
      </c>
      <c r="C48" s="29" t="s">
        <v>47</v>
      </c>
      <c r="D48" s="29" t="s">
        <v>49</v>
      </c>
      <c r="E48" s="29" t="s">
        <v>50</v>
      </c>
      <c r="F48" s="29" t="s">
        <v>51</v>
      </c>
      <c r="G48" s="29" t="s">
        <v>52</v>
      </c>
      <c r="H48" s="29" t="s">
        <v>53</v>
      </c>
      <c r="I48" s="29" t="s">
        <v>54</v>
      </c>
      <c r="J48" s="29" t="s">
        <v>55</v>
      </c>
      <c r="K48" s="29" t="s">
        <v>56</v>
      </c>
      <c r="L48" s="29" t="s">
        <v>57</v>
      </c>
      <c r="M48" s="29" t="s">
        <v>58</v>
      </c>
      <c r="N48" s="29" t="s">
        <v>46</v>
      </c>
      <c r="O48" s="29" t="s">
        <v>47</v>
      </c>
      <c r="P48" s="29" t="s">
        <v>49</v>
      </c>
      <c r="Q48" s="29" t="s">
        <v>50</v>
      </c>
      <c r="R48" s="29" t="s">
        <v>51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29" t="s">
        <v>59</v>
      </c>
      <c r="B49" s="30">
        <v>18.0</v>
      </c>
      <c r="C49" s="30">
        <f t="shared" ref="C49:R49" si="11">B53</f>
        <v>14</v>
      </c>
      <c r="D49" s="30">
        <f t="shared" si="11"/>
        <v>14</v>
      </c>
      <c r="E49" s="30">
        <f t="shared" si="11"/>
        <v>14</v>
      </c>
      <c r="F49" s="30">
        <f t="shared" si="11"/>
        <v>14</v>
      </c>
      <c r="G49" s="30">
        <f t="shared" si="11"/>
        <v>32</v>
      </c>
      <c r="H49" s="30">
        <f t="shared" si="11"/>
        <v>32</v>
      </c>
      <c r="I49" s="30">
        <f t="shared" si="11"/>
        <v>26</v>
      </c>
      <c r="J49" s="30">
        <f t="shared" si="11"/>
        <v>26</v>
      </c>
      <c r="K49" s="30">
        <f t="shared" si="11"/>
        <v>26</v>
      </c>
      <c r="L49" s="30">
        <f t="shared" si="11"/>
        <v>20</v>
      </c>
      <c r="M49" s="30">
        <f t="shared" si="11"/>
        <v>20</v>
      </c>
      <c r="N49" s="30">
        <f t="shared" si="11"/>
        <v>20</v>
      </c>
      <c r="O49" s="30">
        <f t="shared" si="11"/>
        <v>14</v>
      </c>
      <c r="P49" s="30">
        <f t="shared" si="11"/>
        <v>14</v>
      </c>
      <c r="Q49" s="30">
        <f t="shared" si="11"/>
        <v>14</v>
      </c>
      <c r="R49" s="30">
        <f t="shared" si="11"/>
        <v>26</v>
      </c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>
      <c r="A50" s="29" t="s">
        <v>64</v>
      </c>
      <c r="B50" s="36">
        <v>4.0</v>
      </c>
      <c r="C50" s="36">
        <v>0.0</v>
      </c>
      <c r="D50" s="30">
        <v>0.0</v>
      </c>
      <c r="E50" s="30">
        <v>0.0</v>
      </c>
      <c r="F50" s="30">
        <v>0.0</v>
      </c>
      <c r="G50" s="30">
        <v>0.0</v>
      </c>
      <c r="H50" s="30">
        <v>6.0</v>
      </c>
      <c r="I50" s="30">
        <v>0.0</v>
      </c>
      <c r="J50" s="30">
        <v>0.0</v>
      </c>
      <c r="K50" s="30">
        <v>6.0</v>
      </c>
      <c r="L50" s="30">
        <v>0.0</v>
      </c>
      <c r="M50" s="30">
        <v>0.0</v>
      </c>
      <c r="N50" s="30">
        <v>6.0</v>
      </c>
      <c r="O50" s="30">
        <v>0.0</v>
      </c>
      <c r="P50" s="30">
        <v>0.0</v>
      </c>
      <c r="Q50" s="30">
        <v>6.0</v>
      </c>
      <c r="R50" s="30">
        <v>0.0</v>
      </c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>
      <c r="A51" s="29" t="s">
        <v>66</v>
      </c>
      <c r="B51" s="30">
        <v>0.0</v>
      </c>
      <c r="C51" s="36">
        <v>18.0</v>
      </c>
      <c r="D51" s="36">
        <v>0.0</v>
      </c>
      <c r="E51" s="30">
        <v>0.0</v>
      </c>
      <c r="F51" s="30">
        <v>0.0</v>
      </c>
      <c r="G51" s="30">
        <v>0.0</v>
      </c>
      <c r="H51" s="30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36">
        <v>18.0</v>
      </c>
      <c r="O51" s="36">
        <v>0.0</v>
      </c>
      <c r="P51" s="30">
        <v>0.0</v>
      </c>
      <c r="Q51" s="30">
        <v>0.0</v>
      </c>
      <c r="R51" s="30">
        <v>0.0</v>
      </c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>
      <c r="A52" s="29" t="s">
        <v>68</v>
      </c>
      <c r="B52" s="30">
        <v>0.0</v>
      </c>
      <c r="C52" s="30">
        <v>0.0</v>
      </c>
      <c r="D52" s="30">
        <v>0.0</v>
      </c>
      <c r="E52" s="30">
        <v>0.0</v>
      </c>
      <c r="F52" s="36">
        <v>18.0</v>
      </c>
      <c r="G52" s="36">
        <v>0.0</v>
      </c>
      <c r="H52" s="30">
        <v>0.0</v>
      </c>
      <c r="I52" s="30">
        <v>0.0</v>
      </c>
      <c r="J52" s="30">
        <v>0.0</v>
      </c>
      <c r="K52" s="30">
        <v>0.0</v>
      </c>
      <c r="L52" s="30">
        <v>0.0</v>
      </c>
      <c r="M52" s="30">
        <v>0.0</v>
      </c>
      <c r="N52" s="30">
        <v>0.0</v>
      </c>
      <c r="O52" s="30">
        <v>0.0</v>
      </c>
      <c r="P52" s="30">
        <v>0.0</v>
      </c>
      <c r="Q52" s="36">
        <v>18.0</v>
      </c>
      <c r="R52" s="36">
        <v>0.0</v>
      </c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>
      <c r="A53" s="29" t="s">
        <v>193</v>
      </c>
      <c r="B53" s="30">
        <f t="shared" ref="B53:R53" si="12">B49-B50+B52</f>
        <v>14</v>
      </c>
      <c r="C53" s="30">
        <f t="shared" si="12"/>
        <v>14</v>
      </c>
      <c r="D53" s="30">
        <f t="shared" si="12"/>
        <v>14</v>
      </c>
      <c r="E53" s="30">
        <f t="shared" si="12"/>
        <v>14</v>
      </c>
      <c r="F53" s="30">
        <f t="shared" si="12"/>
        <v>32</v>
      </c>
      <c r="G53" s="30">
        <f t="shared" si="12"/>
        <v>32</v>
      </c>
      <c r="H53" s="30">
        <f t="shared" si="12"/>
        <v>26</v>
      </c>
      <c r="I53" s="30">
        <f t="shared" si="12"/>
        <v>26</v>
      </c>
      <c r="J53" s="30">
        <f t="shared" si="12"/>
        <v>26</v>
      </c>
      <c r="K53" s="30">
        <f t="shared" si="12"/>
        <v>20</v>
      </c>
      <c r="L53" s="30">
        <f t="shared" si="12"/>
        <v>20</v>
      </c>
      <c r="M53" s="30">
        <f t="shared" si="12"/>
        <v>20</v>
      </c>
      <c r="N53" s="30">
        <f t="shared" si="12"/>
        <v>14</v>
      </c>
      <c r="O53" s="30">
        <f t="shared" si="12"/>
        <v>14</v>
      </c>
      <c r="P53" s="30">
        <f t="shared" si="12"/>
        <v>14</v>
      </c>
      <c r="Q53" s="30">
        <f t="shared" si="12"/>
        <v>26</v>
      </c>
      <c r="R53" s="30">
        <f t="shared" si="12"/>
        <v>26</v>
      </c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5">
      <c r="A55" s="24" t="s">
        <v>249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>
      <c r="A56" s="23" t="s">
        <v>39</v>
      </c>
      <c r="B56" s="24">
        <v>2026.0</v>
      </c>
      <c r="C56" s="8"/>
      <c r="D56" s="8"/>
      <c r="E56" s="8"/>
      <c r="F56" s="9"/>
      <c r="G56" s="24">
        <v>2027.0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>
      <c r="A57" s="29" t="s">
        <v>45</v>
      </c>
      <c r="B57" s="29" t="s">
        <v>46</v>
      </c>
      <c r="C57" s="29" t="s">
        <v>47</v>
      </c>
      <c r="D57" s="29" t="s">
        <v>49</v>
      </c>
      <c r="E57" s="29" t="s">
        <v>50</v>
      </c>
      <c r="F57" s="29" t="s">
        <v>51</v>
      </c>
      <c r="G57" s="29" t="s">
        <v>52</v>
      </c>
      <c r="H57" s="29" t="s">
        <v>53</v>
      </c>
      <c r="I57" s="29" t="s">
        <v>54</v>
      </c>
      <c r="J57" s="29" t="s">
        <v>55</v>
      </c>
      <c r="K57" s="29" t="s">
        <v>56</v>
      </c>
      <c r="L57" s="29" t="s">
        <v>57</v>
      </c>
      <c r="M57" s="29" t="s">
        <v>58</v>
      </c>
      <c r="N57" s="29" t="s">
        <v>46</v>
      </c>
      <c r="O57" s="29" t="s">
        <v>47</v>
      </c>
      <c r="P57" s="29" t="s">
        <v>49</v>
      </c>
      <c r="Q57" s="29" t="s">
        <v>50</v>
      </c>
      <c r="R57" s="29" t="s">
        <v>51</v>
      </c>
    </row>
    <row r="58">
      <c r="A58" s="29" t="s">
        <v>59</v>
      </c>
      <c r="B58" s="36">
        <v>30.0</v>
      </c>
      <c r="C58" s="30">
        <f t="shared" ref="C58:R58" si="13">B62</f>
        <v>23</v>
      </c>
      <c r="D58" s="30">
        <f t="shared" si="13"/>
        <v>23</v>
      </c>
      <c r="E58" s="30">
        <f t="shared" si="13"/>
        <v>23</v>
      </c>
      <c r="F58" s="30">
        <f t="shared" si="13"/>
        <v>23</v>
      </c>
      <c r="G58" s="30">
        <f t="shared" si="13"/>
        <v>63</v>
      </c>
      <c r="H58" s="30">
        <f t="shared" si="13"/>
        <v>63</v>
      </c>
      <c r="I58" s="30">
        <f t="shared" si="13"/>
        <v>53</v>
      </c>
      <c r="J58" s="30">
        <f t="shared" si="13"/>
        <v>53</v>
      </c>
      <c r="K58" s="30">
        <f t="shared" si="13"/>
        <v>53</v>
      </c>
      <c r="L58" s="30">
        <f t="shared" si="13"/>
        <v>43</v>
      </c>
      <c r="M58" s="30">
        <f t="shared" si="13"/>
        <v>43</v>
      </c>
      <c r="N58" s="30">
        <f t="shared" si="13"/>
        <v>43</v>
      </c>
      <c r="O58" s="30">
        <f t="shared" si="13"/>
        <v>33</v>
      </c>
      <c r="P58" s="30">
        <f t="shared" si="13"/>
        <v>33</v>
      </c>
      <c r="Q58" s="30">
        <f t="shared" si="13"/>
        <v>33</v>
      </c>
      <c r="R58" s="30">
        <f t="shared" si="13"/>
        <v>63</v>
      </c>
    </row>
    <row r="59">
      <c r="A59" s="29" t="s">
        <v>64</v>
      </c>
      <c r="B59" s="36">
        <v>7.0</v>
      </c>
      <c r="C59" s="36">
        <v>0.0</v>
      </c>
      <c r="D59" s="30">
        <v>0.0</v>
      </c>
      <c r="E59" s="30">
        <v>0.0</v>
      </c>
      <c r="F59" s="30">
        <v>0.0</v>
      </c>
      <c r="G59" s="30">
        <v>0.0</v>
      </c>
      <c r="H59" s="36">
        <v>10.0</v>
      </c>
      <c r="I59" s="30">
        <v>0.0</v>
      </c>
      <c r="J59" s="30">
        <v>0.0</v>
      </c>
      <c r="K59" s="36">
        <v>10.0</v>
      </c>
      <c r="L59" s="30">
        <v>0.0</v>
      </c>
      <c r="M59" s="30">
        <v>0.0</v>
      </c>
      <c r="N59" s="36">
        <v>10.0</v>
      </c>
      <c r="O59" s="30">
        <v>0.0</v>
      </c>
      <c r="P59" s="30">
        <v>0.0</v>
      </c>
      <c r="Q59" s="36">
        <v>10.0</v>
      </c>
      <c r="R59" s="30">
        <v>0.0</v>
      </c>
    </row>
    <row r="60">
      <c r="A60" s="29" t="s">
        <v>66</v>
      </c>
      <c r="B60" s="30">
        <v>0.0</v>
      </c>
      <c r="C60" s="36">
        <v>40.0</v>
      </c>
      <c r="D60" s="36">
        <v>0.0</v>
      </c>
      <c r="E60" s="30">
        <v>0.0</v>
      </c>
      <c r="F60" s="30">
        <v>0.0</v>
      </c>
      <c r="G60" s="30">
        <v>0.0</v>
      </c>
      <c r="H60" s="30">
        <v>0.0</v>
      </c>
      <c r="I60" s="30">
        <v>0.0</v>
      </c>
      <c r="J60" s="30">
        <v>0.0</v>
      </c>
      <c r="K60" s="30">
        <v>0.0</v>
      </c>
      <c r="L60" s="30">
        <v>0.0</v>
      </c>
      <c r="M60" s="30">
        <v>0.0</v>
      </c>
      <c r="N60" s="36">
        <v>40.0</v>
      </c>
      <c r="O60" s="36">
        <v>0.0</v>
      </c>
      <c r="P60" s="30">
        <v>0.0</v>
      </c>
      <c r="Q60" s="30">
        <v>0.0</v>
      </c>
      <c r="R60" s="30">
        <v>0.0</v>
      </c>
    </row>
    <row r="61">
      <c r="A61" s="29" t="s">
        <v>68</v>
      </c>
      <c r="B61" s="30">
        <v>0.0</v>
      </c>
      <c r="C61" s="30">
        <v>0.0</v>
      </c>
      <c r="D61" s="30">
        <v>0.0</v>
      </c>
      <c r="E61" s="30">
        <v>0.0</v>
      </c>
      <c r="F61" s="36">
        <v>40.0</v>
      </c>
      <c r="G61" s="36">
        <v>0.0</v>
      </c>
      <c r="H61" s="30">
        <v>0.0</v>
      </c>
      <c r="I61" s="30">
        <v>0.0</v>
      </c>
      <c r="J61" s="30">
        <v>0.0</v>
      </c>
      <c r="K61" s="30">
        <v>0.0</v>
      </c>
      <c r="L61" s="30">
        <v>0.0</v>
      </c>
      <c r="M61" s="30">
        <v>0.0</v>
      </c>
      <c r="N61" s="30">
        <v>0.0</v>
      </c>
      <c r="O61" s="30">
        <v>0.0</v>
      </c>
      <c r="P61" s="30">
        <v>0.0</v>
      </c>
      <c r="Q61" s="36">
        <v>40.0</v>
      </c>
      <c r="R61" s="36">
        <v>0.0</v>
      </c>
    </row>
    <row r="62">
      <c r="A62" s="29" t="s">
        <v>193</v>
      </c>
      <c r="B62" s="30">
        <f t="shared" ref="B62:R62" si="14">B58-B59+B61</f>
        <v>23</v>
      </c>
      <c r="C62" s="30">
        <f t="shared" si="14"/>
        <v>23</v>
      </c>
      <c r="D62" s="30">
        <f t="shared" si="14"/>
        <v>23</v>
      </c>
      <c r="E62" s="30">
        <f t="shared" si="14"/>
        <v>23</v>
      </c>
      <c r="F62" s="30">
        <f t="shared" si="14"/>
        <v>63</v>
      </c>
      <c r="G62" s="30">
        <f t="shared" si="14"/>
        <v>63</v>
      </c>
      <c r="H62" s="30">
        <f t="shared" si="14"/>
        <v>53</v>
      </c>
      <c r="I62" s="30">
        <f t="shared" si="14"/>
        <v>53</v>
      </c>
      <c r="J62" s="30">
        <f t="shared" si="14"/>
        <v>53</v>
      </c>
      <c r="K62" s="30">
        <f t="shared" si="14"/>
        <v>43</v>
      </c>
      <c r="L62" s="30">
        <f t="shared" si="14"/>
        <v>43</v>
      </c>
      <c r="M62" s="30">
        <f t="shared" si="14"/>
        <v>43</v>
      </c>
      <c r="N62" s="30">
        <f t="shared" si="14"/>
        <v>33</v>
      </c>
      <c r="O62" s="30">
        <f t="shared" si="14"/>
        <v>33</v>
      </c>
      <c r="P62" s="30">
        <f t="shared" si="14"/>
        <v>33</v>
      </c>
      <c r="Q62" s="30">
        <f t="shared" si="14"/>
        <v>63</v>
      </c>
      <c r="R62" s="30">
        <f t="shared" si="14"/>
        <v>63</v>
      </c>
    </row>
    <row r="64">
      <c r="A64" s="24" t="s">
        <v>293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>
      <c r="A65" s="23" t="s">
        <v>39</v>
      </c>
      <c r="B65" s="24">
        <v>2026.0</v>
      </c>
      <c r="C65" s="8"/>
      <c r="D65" s="8"/>
      <c r="E65" s="8"/>
      <c r="F65" s="9"/>
      <c r="G65" s="24">
        <v>2027.0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</row>
    <row r="66">
      <c r="A66" s="29" t="s">
        <v>45</v>
      </c>
      <c r="B66" s="29" t="s">
        <v>46</v>
      </c>
      <c r="C66" s="29" t="s">
        <v>47</v>
      </c>
      <c r="D66" s="29" t="s">
        <v>49</v>
      </c>
      <c r="E66" s="29" t="s">
        <v>50</v>
      </c>
      <c r="F66" s="29" t="s">
        <v>51</v>
      </c>
      <c r="G66" s="29" t="s">
        <v>52</v>
      </c>
      <c r="H66" s="29" t="s">
        <v>53</v>
      </c>
      <c r="I66" s="29" t="s">
        <v>54</v>
      </c>
      <c r="J66" s="29" t="s">
        <v>55</v>
      </c>
      <c r="K66" s="29" t="s">
        <v>56</v>
      </c>
      <c r="L66" s="29" t="s">
        <v>57</v>
      </c>
      <c r="M66" s="29" t="s">
        <v>58</v>
      </c>
      <c r="N66" s="29" t="s">
        <v>46</v>
      </c>
      <c r="O66" s="29" t="s">
        <v>47</v>
      </c>
      <c r="P66" s="29" t="s">
        <v>49</v>
      </c>
      <c r="Q66" s="29" t="s">
        <v>50</v>
      </c>
      <c r="R66" s="29" t="s">
        <v>51</v>
      </c>
    </row>
    <row r="67">
      <c r="A67" s="29" t="s">
        <v>59</v>
      </c>
      <c r="B67" s="36">
        <v>6.0</v>
      </c>
      <c r="C67" s="30">
        <f t="shared" ref="C67:R67" si="15">B71</f>
        <v>6</v>
      </c>
      <c r="D67" s="30">
        <f t="shared" si="15"/>
        <v>5</v>
      </c>
      <c r="E67" s="30">
        <f t="shared" si="15"/>
        <v>5</v>
      </c>
      <c r="F67" s="30">
        <f t="shared" si="15"/>
        <v>5</v>
      </c>
      <c r="G67" s="30">
        <f t="shared" si="15"/>
        <v>5</v>
      </c>
      <c r="H67" s="30">
        <f t="shared" si="15"/>
        <v>8</v>
      </c>
      <c r="I67" s="30">
        <f t="shared" si="15"/>
        <v>7</v>
      </c>
      <c r="J67" s="30">
        <f t="shared" si="15"/>
        <v>7</v>
      </c>
      <c r="K67" s="30">
        <f t="shared" si="15"/>
        <v>7</v>
      </c>
      <c r="L67" s="30">
        <f t="shared" si="15"/>
        <v>6</v>
      </c>
      <c r="M67" s="30">
        <f t="shared" si="15"/>
        <v>6</v>
      </c>
      <c r="N67" s="30">
        <f t="shared" si="15"/>
        <v>6</v>
      </c>
      <c r="O67" s="30">
        <f t="shared" si="15"/>
        <v>5</v>
      </c>
      <c r="P67" s="30">
        <f t="shared" si="15"/>
        <v>5</v>
      </c>
      <c r="Q67" s="30">
        <f t="shared" si="15"/>
        <v>5</v>
      </c>
      <c r="R67" s="30">
        <f t="shared" si="15"/>
        <v>4</v>
      </c>
    </row>
    <row r="68">
      <c r="A68" s="29" t="s">
        <v>64</v>
      </c>
      <c r="B68" s="30">
        <v>0.0</v>
      </c>
      <c r="C68" s="36">
        <v>1.0</v>
      </c>
      <c r="D68" s="30">
        <v>0.0</v>
      </c>
      <c r="E68" s="30">
        <v>0.0</v>
      </c>
      <c r="F68" s="30">
        <v>0.0</v>
      </c>
      <c r="G68" s="30">
        <v>0.0</v>
      </c>
      <c r="H68" s="36">
        <v>1.0</v>
      </c>
      <c r="I68" s="30">
        <v>0.0</v>
      </c>
      <c r="J68" s="30">
        <v>0.0</v>
      </c>
      <c r="K68" s="36">
        <v>1.0</v>
      </c>
      <c r="L68" s="30">
        <v>0.0</v>
      </c>
      <c r="M68" s="30">
        <v>0.0</v>
      </c>
      <c r="N68" s="36">
        <v>1.0</v>
      </c>
      <c r="O68" s="30">
        <v>0.0</v>
      </c>
      <c r="P68" s="30">
        <v>0.0</v>
      </c>
      <c r="Q68" s="36">
        <v>1.0</v>
      </c>
      <c r="R68" s="30">
        <v>0.0</v>
      </c>
    </row>
    <row r="69">
      <c r="A69" s="29" t="s">
        <v>66</v>
      </c>
      <c r="B69" s="30">
        <v>0.0</v>
      </c>
      <c r="C69" s="30">
        <v>0.0</v>
      </c>
      <c r="D69" s="36">
        <v>3.0</v>
      </c>
      <c r="E69" s="30">
        <v>0.0</v>
      </c>
      <c r="F69" s="30">
        <v>0.0</v>
      </c>
      <c r="G69" s="30">
        <v>0.0</v>
      </c>
      <c r="H69" s="30">
        <v>0.0</v>
      </c>
      <c r="I69" s="30">
        <v>0.0</v>
      </c>
      <c r="J69" s="30">
        <v>0.0</v>
      </c>
      <c r="K69" s="30">
        <v>0.0</v>
      </c>
      <c r="L69" s="30">
        <v>0.0</v>
      </c>
      <c r="M69" s="30">
        <v>0.0</v>
      </c>
      <c r="N69" s="30">
        <v>0.0</v>
      </c>
      <c r="O69" s="36">
        <v>3.0</v>
      </c>
      <c r="P69" s="30">
        <v>0.0</v>
      </c>
      <c r="Q69" s="30">
        <v>0.0</v>
      </c>
      <c r="R69" s="30">
        <v>0.0</v>
      </c>
    </row>
    <row r="70">
      <c r="A70" s="29" t="s">
        <v>68</v>
      </c>
      <c r="B70" s="30">
        <v>0.0</v>
      </c>
      <c r="C70" s="30">
        <v>0.0</v>
      </c>
      <c r="D70" s="30">
        <v>0.0</v>
      </c>
      <c r="E70" s="30">
        <v>0.0</v>
      </c>
      <c r="F70" s="30">
        <v>0.0</v>
      </c>
      <c r="G70" s="36">
        <v>3.0</v>
      </c>
      <c r="H70" s="30">
        <v>0.0</v>
      </c>
      <c r="I70" s="30">
        <v>0.0</v>
      </c>
      <c r="J70" s="30">
        <v>0.0</v>
      </c>
      <c r="K70" s="30">
        <v>0.0</v>
      </c>
      <c r="L70" s="30">
        <v>0.0</v>
      </c>
      <c r="M70" s="30">
        <v>0.0</v>
      </c>
      <c r="N70" s="30">
        <v>0.0</v>
      </c>
      <c r="O70" s="30">
        <v>0.0</v>
      </c>
      <c r="P70" s="30">
        <v>0.0</v>
      </c>
      <c r="Q70" s="30">
        <v>0.0</v>
      </c>
      <c r="R70" s="36">
        <v>3.0</v>
      </c>
    </row>
    <row r="71">
      <c r="A71" s="29" t="s">
        <v>193</v>
      </c>
      <c r="B71" s="30">
        <f t="shared" ref="B71:R71" si="16">B67-B68+B70</f>
        <v>6</v>
      </c>
      <c r="C71" s="30">
        <f t="shared" si="16"/>
        <v>5</v>
      </c>
      <c r="D71" s="30">
        <f t="shared" si="16"/>
        <v>5</v>
      </c>
      <c r="E71" s="30">
        <f t="shared" si="16"/>
        <v>5</v>
      </c>
      <c r="F71" s="30">
        <f t="shared" si="16"/>
        <v>5</v>
      </c>
      <c r="G71" s="30">
        <f t="shared" si="16"/>
        <v>8</v>
      </c>
      <c r="H71" s="30">
        <f t="shared" si="16"/>
        <v>7</v>
      </c>
      <c r="I71" s="30">
        <f t="shared" si="16"/>
        <v>7</v>
      </c>
      <c r="J71" s="30">
        <f t="shared" si="16"/>
        <v>7</v>
      </c>
      <c r="K71" s="30">
        <f t="shared" si="16"/>
        <v>6</v>
      </c>
      <c r="L71" s="30">
        <f t="shared" si="16"/>
        <v>6</v>
      </c>
      <c r="M71" s="30">
        <f t="shared" si="16"/>
        <v>6</v>
      </c>
      <c r="N71" s="30">
        <f t="shared" si="16"/>
        <v>5</v>
      </c>
      <c r="O71" s="30">
        <f t="shared" si="16"/>
        <v>5</v>
      </c>
      <c r="P71" s="30">
        <f t="shared" si="16"/>
        <v>5</v>
      </c>
      <c r="Q71" s="30">
        <f t="shared" si="16"/>
        <v>4</v>
      </c>
      <c r="R71" s="30">
        <f t="shared" si="16"/>
        <v>7</v>
      </c>
    </row>
    <row r="73">
      <c r="A73" s="48" t="s">
        <v>333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>
      <c r="A74" s="23" t="s">
        <v>39</v>
      </c>
      <c r="B74" s="24">
        <v>2026.0</v>
      </c>
      <c r="C74" s="8"/>
      <c r="D74" s="8"/>
      <c r="E74" s="8"/>
      <c r="F74" s="9"/>
      <c r="G74" s="24">
        <v>2027.0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>
      <c r="A75" s="29" t="s">
        <v>45</v>
      </c>
      <c r="B75" s="29" t="s">
        <v>46</v>
      </c>
      <c r="C75" s="29" t="s">
        <v>47</v>
      </c>
      <c r="D75" s="29" t="s">
        <v>49</v>
      </c>
      <c r="E75" s="29" t="s">
        <v>50</v>
      </c>
      <c r="F75" s="29" t="s">
        <v>51</v>
      </c>
      <c r="G75" s="29" t="s">
        <v>52</v>
      </c>
      <c r="H75" s="29" t="s">
        <v>53</v>
      </c>
      <c r="I75" s="29" t="s">
        <v>54</v>
      </c>
      <c r="J75" s="29" t="s">
        <v>55</v>
      </c>
      <c r="K75" s="29" t="s">
        <v>56</v>
      </c>
      <c r="L75" s="29" t="s">
        <v>57</v>
      </c>
      <c r="M75" s="29" t="s">
        <v>58</v>
      </c>
      <c r="N75" s="29" t="s">
        <v>46</v>
      </c>
      <c r="O75" s="29" t="s">
        <v>47</v>
      </c>
      <c r="P75" s="29" t="s">
        <v>49</v>
      </c>
      <c r="Q75" s="29" t="s">
        <v>50</v>
      </c>
      <c r="R75" s="29" t="s">
        <v>51</v>
      </c>
    </row>
    <row r="76">
      <c r="A76" s="29" t="s">
        <v>59</v>
      </c>
      <c r="B76" s="36">
        <v>0.0</v>
      </c>
      <c r="C76" s="30">
        <f t="shared" ref="C76:R76" si="17">B80</f>
        <v>3</v>
      </c>
      <c r="D76" s="30">
        <f t="shared" si="17"/>
        <v>1</v>
      </c>
      <c r="E76" s="30">
        <f t="shared" si="17"/>
        <v>34</v>
      </c>
      <c r="F76" s="30">
        <f t="shared" si="17"/>
        <v>32</v>
      </c>
      <c r="G76" s="30">
        <f t="shared" si="17"/>
        <v>30</v>
      </c>
      <c r="H76" s="30">
        <f t="shared" si="17"/>
        <v>28</v>
      </c>
      <c r="I76" s="30">
        <f t="shared" si="17"/>
        <v>26</v>
      </c>
      <c r="J76" s="30">
        <f t="shared" si="17"/>
        <v>24</v>
      </c>
      <c r="K76" s="30">
        <f t="shared" si="17"/>
        <v>22</v>
      </c>
      <c r="L76" s="30">
        <f t="shared" si="17"/>
        <v>20</v>
      </c>
      <c r="M76" s="30">
        <f t="shared" si="17"/>
        <v>18</v>
      </c>
      <c r="N76" s="30">
        <f t="shared" si="17"/>
        <v>16</v>
      </c>
      <c r="O76" s="30">
        <f t="shared" si="17"/>
        <v>14</v>
      </c>
      <c r="P76" s="30">
        <f t="shared" si="17"/>
        <v>12</v>
      </c>
      <c r="Q76" s="30">
        <f t="shared" si="17"/>
        <v>45</v>
      </c>
      <c r="R76" s="30">
        <f t="shared" si="17"/>
        <v>43</v>
      </c>
    </row>
    <row r="77">
      <c r="A77" s="29" t="s">
        <v>64</v>
      </c>
      <c r="B77" s="36">
        <v>0.0</v>
      </c>
      <c r="C77" s="36">
        <v>2.0</v>
      </c>
      <c r="D77" s="36">
        <v>2.0</v>
      </c>
      <c r="E77" s="36">
        <v>2.0</v>
      </c>
      <c r="F77" s="36">
        <v>2.0</v>
      </c>
      <c r="G77" s="36">
        <v>2.0</v>
      </c>
      <c r="H77" s="36">
        <v>2.0</v>
      </c>
      <c r="I77" s="36">
        <v>2.0</v>
      </c>
      <c r="J77" s="36">
        <v>2.0</v>
      </c>
      <c r="K77" s="36">
        <v>2.0</v>
      </c>
      <c r="L77" s="36">
        <v>2.0</v>
      </c>
      <c r="M77" s="36">
        <v>2.0</v>
      </c>
      <c r="N77" s="36">
        <v>2.0</v>
      </c>
      <c r="O77" s="36">
        <v>2.0</v>
      </c>
      <c r="P77" s="36">
        <v>2.0</v>
      </c>
      <c r="Q77" s="36">
        <v>2.0</v>
      </c>
      <c r="R77" s="36">
        <v>2.0</v>
      </c>
    </row>
    <row r="78">
      <c r="A78" s="29" t="s">
        <v>66</v>
      </c>
      <c r="B78" s="36">
        <v>35.0</v>
      </c>
      <c r="C78" s="30">
        <v>0.0</v>
      </c>
      <c r="D78" s="36">
        <v>0.0</v>
      </c>
      <c r="E78" s="30">
        <v>0.0</v>
      </c>
      <c r="F78" s="30">
        <v>0.0</v>
      </c>
      <c r="G78" s="30">
        <v>0.0</v>
      </c>
      <c r="H78" s="30">
        <v>0.0</v>
      </c>
      <c r="I78" s="30">
        <v>0.0</v>
      </c>
      <c r="J78" s="30">
        <v>0.0</v>
      </c>
      <c r="K78" s="30">
        <v>0.0</v>
      </c>
      <c r="L78" s="30">
        <v>0.0</v>
      </c>
      <c r="M78" s="30">
        <v>0.0</v>
      </c>
      <c r="N78" s="36">
        <v>35.0</v>
      </c>
      <c r="O78" s="36">
        <v>0.0</v>
      </c>
      <c r="P78" s="30">
        <v>0.0</v>
      </c>
      <c r="Q78" s="30">
        <v>0.0</v>
      </c>
      <c r="R78" s="30">
        <v>0.0</v>
      </c>
    </row>
    <row r="79">
      <c r="A79" s="29" t="s">
        <v>68</v>
      </c>
      <c r="B79" s="36">
        <v>3.0</v>
      </c>
      <c r="C79" s="30">
        <v>0.0</v>
      </c>
      <c r="D79" s="36">
        <v>35.0</v>
      </c>
      <c r="E79" s="30">
        <v>0.0</v>
      </c>
      <c r="F79" s="30">
        <v>0.0</v>
      </c>
      <c r="G79" s="36">
        <v>0.0</v>
      </c>
      <c r="H79" s="30">
        <v>0.0</v>
      </c>
      <c r="I79" s="30">
        <v>0.0</v>
      </c>
      <c r="J79" s="30">
        <v>0.0</v>
      </c>
      <c r="K79" s="30">
        <v>0.0</v>
      </c>
      <c r="L79" s="30">
        <v>0.0</v>
      </c>
      <c r="M79" s="30">
        <v>0.0</v>
      </c>
      <c r="N79" s="30">
        <v>0.0</v>
      </c>
      <c r="O79" s="30">
        <v>0.0</v>
      </c>
      <c r="P79" s="36">
        <v>35.0</v>
      </c>
      <c r="Q79" s="30">
        <v>0.0</v>
      </c>
      <c r="R79" s="36">
        <v>0.0</v>
      </c>
    </row>
    <row r="80">
      <c r="A80" s="29" t="s">
        <v>193</v>
      </c>
      <c r="B80" s="30">
        <f t="shared" ref="B80:R80" si="18">B76-B77+B79</f>
        <v>3</v>
      </c>
      <c r="C80" s="30">
        <f t="shared" si="18"/>
        <v>1</v>
      </c>
      <c r="D80" s="30">
        <f t="shared" si="18"/>
        <v>34</v>
      </c>
      <c r="E80" s="30">
        <f t="shared" si="18"/>
        <v>32</v>
      </c>
      <c r="F80" s="30">
        <f t="shared" si="18"/>
        <v>30</v>
      </c>
      <c r="G80" s="30">
        <f t="shared" si="18"/>
        <v>28</v>
      </c>
      <c r="H80" s="30">
        <f t="shared" si="18"/>
        <v>26</v>
      </c>
      <c r="I80" s="30">
        <f t="shared" si="18"/>
        <v>24</v>
      </c>
      <c r="J80" s="30">
        <f t="shared" si="18"/>
        <v>22</v>
      </c>
      <c r="K80" s="30">
        <f t="shared" si="18"/>
        <v>20</v>
      </c>
      <c r="L80" s="30">
        <f t="shared" si="18"/>
        <v>18</v>
      </c>
      <c r="M80" s="30">
        <f t="shared" si="18"/>
        <v>16</v>
      </c>
      <c r="N80" s="30">
        <f t="shared" si="18"/>
        <v>14</v>
      </c>
      <c r="O80" s="30">
        <f t="shared" si="18"/>
        <v>12</v>
      </c>
      <c r="P80" s="30">
        <f t="shared" si="18"/>
        <v>45</v>
      </c>
      <c r="Q80" s="30">
        <f t="shared" si="18"/>
        <v>43</v>
      </c>
      <c r="R80" s="30">
        <f t="shared" si="18"/>
        <v>41</v>
      </c>
    </row>
    <row r="82">
      <c r="A82" s="48" t="s">
        <v>360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>
      <c r="A83" s="23" t="s">
        <v>39</v>
      </c>
      <c r="B83" s="24">
        <v>2026.0</v>
      </c>
      <c r="C83" s="8"/>
      <c r="D83" s="8"/>
      <c r="E83" s="8"/>
      <c r="F83" s="9"/>
      <c r="G83" s="24">
        <v>2027.0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>
      <c r="A84" s="29" t="s">
        <v>45</v>
      </c>
      <c r="B84" s="29" t="s">
        <v>46</v>
      </c>
      <c r="C84" s="29" t="s">
        <v>47</v>
      </c>
      <c r="D84" s="29" t="s">
        <v>49</v>
      </c>
      <c r="E84" s="29" t="s">
        <v>50</v>
      </c>
      <c r="F84" s="29" t="s">
        <v>51</v>
      </c>
      <c r="G84" s="29" t="s">
        <v>52</v>
      </c>
      <c r="H84" s="29" t="s">
        <v>53</v>
      </c>
      <c r="I84" s="29" t="s">
        <v>54</v>
      </c>
      <c r="J84" s="29" t="s">
        <v>55</v>
      </c>
      <c r="K84" s="29" t="s">
        <v>56</v>
      </c>
      <c r="L84" s="29" t="s">
        <v>57</v>
      </c>
      <c r="M84" s="29" t="s">
        <v>58</v>
      </c>
      <c r="N84" s="29" t="s">
        <v>46</v>
      </c>
      <c r="O84" s="29" t="s">
        <v>47</v>
      </c>
      <c r="P84" s="29" t="s">
        <v>49</v>
      </c>
      <c r="Q84" s="29" t="s">
        <v>50</v>
      </c>
      <c r="R84" s="29" t="s">
        <v>51</v>
      </c>
    </row>
    <row r="85">
      <c r="A85" s="29" t="s">
        <v>59</v>
      </c>
      <c r="B85" s="36">
        <v>4.0</v>
      </c>
      <c r="C85" s="30">
        <f t="shared" ref="C85:R85" si="19">B89</f>
        <v>4</v>
      </c>
      <c r="D85" s="30">
        <f t="shared" si="19"/>
        <v>3</v>
      </c>
      <c r="E85" s="30">
        <f t="shared" si="19"/>
        <v>2</v>
      </c>
      <c r="F85" s="30">
        <f t="shared" si="19"/>
        <v>13</v>
      </c>
      <c r="G85" s="30">
        <f t="shared" si="19"/>
        <v>12</v>
      </c>
      <c r="H85" s="30">
        <f t="shared" si="19"/>
        <v>11</v>
      </c>
      <c r="I85" s="30">
        <f t="shared" si="19"/>
        <v>10</v>
      </c>
      <c r="J85" s="30">
        <f t="shared" si="19"/>
        <v>9</v>
      </c>
      <c r="K85" s="30">
        <f t="shared" si="19"/>
        <v>8</v>
      </c>
      <c r="L85" s="30">
        <f t="shared" si="19"/>
        <v>7</v>
      </c>
      <c r="M85" s="30">
        <f t="shared" si="19"/>
        <v>6</v>
      </c>
      <c r="N85" s="30">
        <f t="shared" si="19"/>
        <v>5</v>
      </c>
      <c r="O85" s="30">
        <f t="shared" si="19"/>
        <v>4</v>
      </c>
      <c r="P85" s="30">
        <f t="shared" si="19"/>
        <v>3</v>
      </c>
      <c r="Q85" s="30">
        <f t="shared" si="19"/>
        <v>2</v>
      </c>
      <c r="R85" s="30">
        <f t="shared" si="19"/>
        <v>1</v>
      </c>
    </row>
    <row r="86">
      <c r="A86" s="29" t="s">
        <v>64</v>
      </c>
      <c r="B86" s="36">
        <v>0.0</v>
      </c>
      <c r="C86" s="36">
        <v>1.0</v>
      </c>
      <c r="D86" s="36">
        <v>1.0</v>
      </c>
      <c r="E86" s="36">
        <v>1.0</v>
      </c>
      <c r="F86" s="36">
        <v>1.0</v>
      </c>
      <c r="G86" s="36">
        <v>1.0</v>
      </c>
      <c r="H86" s="36">
        <v>1.0</v>
      </c>
      <c r="I86" s="36">
        <v>1.0</v>
      </c>
      <c r="J86" s="36">
        <v>1.0</v>
      </c>
      <c r="K86" s="36">
        <v>1.0</v>
      </c>
      <c r="L86" s="36">
        <v>1.0</v>
      </c>
      <c r="M86" s="36">
        <v>1.0</v>
      </c>
      <c r="N86" s="36">
        <v>1.0</v>
      </c>
      <c r="O86" s="36">
        <v>1.0</v>
      </c>
      <c r="P86" s="36">
        <v>1.0</v>
      </c>
      <c r="Q86" s="36">
        <v>1.0</v>
      </c>
      <c r="R86" s="36">
        <v>1.0</v>
      </c>
    </row>
    <row r="87">
      <c r="A87" s="29" t="s">
        <v>66</v>
      </c>
      <c r="B87" s="36">
        <v>0.0</v>
      </c>
      <c r="C87" s="36">
        <v>12.0</v>
      </c>
      <c r="D87" s="36">
        <v>0.0</v>
      </c>
      <c r="E87" s="30">
        <v>0.0</v>
      </c>
      <c r="F87" s="30">
        <v>0.0</v>
      </c>
      <c r="G87" s="30">
        <v>0.0</v>
      </c>
      <c r="H87" s="30">
        <v>0.0</v>
      </c>
      <c r="I87" s="30">
        <v>0.0</v>
      </c>
      <c r="J87" s="30">
        <v>0.0</v>
      </c>
      <c r="K87" s="30">
        <v>0.0</v>
      </c>
      <c r="L87" s="30">
        <v>0.0</v>
      </c>
      <c r="M87" s="30">
        <v>0.0</v>
      </c>
      <c r="N87" s="36">
        <v>0.0</v>
      </c>
      <c r="O87" s="36">
        <v>0.0</v>
      </c>
      <c r="P87" s="30">
        <v>0.0</v>
      </c>
      <c r="Q87" s="30">
        <v>0.0</v>
      </c>
      <c r="R87" s="36">
        <v>0.0</v>
      </c>
    </row>
    <row r="88">
      <c r="A88" s="29" t="s">
        <v>68</v>
      </c>
      <c r="B88" s="30">
        <v>0.0</v>
      </c>
      <c r="C88" s="30">
        <v>0.0</v>
      </c>
      <c r="D88" s="36">
        <v>0.0</v>
      </c>
      <c r="E88" s="36">
        <v>12.0</v>
      </c>
      <c r="F88" s="30">
        <v>0.0</v>
      </c>
      <c r="G88" s="36">
        <v>0.0</v>
      </c>
      <c r="H88" s="30">
        <v>0.0</v>
      </c>
      <c r="I88" s="30">
        <v>0.0</v>
      </c>
      <c r="J88" s="30">
        <v>0.0</v>
      </c>
      <c r="K88" s="30">
        <v>0.0</v>
      </c>
      <c r="L88" s="30">
        <v>0.0</v>
      </c>
      <c r="M88" s="30">
        <v>0.0</v>
      </c>
      <c r="N88" s="30">
        <v>0.0</v>
      </c>
      <c r="O88" s="30">
        <v>0.0</v>
      </c>
      <c r="P88" s="36">
        <v>0.0</v>
      </c>
      <c r="Q88" s="30">
        <v>0.0</v>
      </c>
      <c r="R88" s="36">
        <v>0.0</v>
      </c>
    </row>
    <row r="89">
      <c r="A89" s="29" t="s">
        <v>193</v>
      </c>
      <c r="B89" s="30">
        <f t="shared" ref="B89:R89" si="20">B85-B86+B88</f>
        <v>4</v>
      </c>
      <c r="C89" s="30">
        <f t="shared" si="20"/>
        <v>3</v>
      </c>
      <c r="D89" s="30">
        <f t="shared" si="20"/>
        <v>2</v>
      </c>
      <c r="E89" s="30">
        <f t="shared" si="20"/>
        <v>13</v>
      </c>
      <c r="F89" s="30">
        <f t="shared" si="20"/>
        <v>12</v>
      </c>
      <c r="G89" s="30">
        <f t="shared" si="20"/>
        <v>11</v>
      </c>
      <c r="H89" s="30">
        <f t="shared" si="20"/>
        <v>10</v>
      </c>
      <c r="I89" s="30">
        <f t="shared" si="20"/>
        <v>9</v>
      </c>
      <c r="J89" s="30">
        <f t="shared" si="20"/>
        <v>8</v>
      </c>
      <c r="K89" s="30">
        <f t="shared" si="20"/>
        <v>7</v>
      </c>
      <c r="L89" s="30">
        <f t="shared" si="20"/>
        <v>6</v>
      </c>
      <c r="M89" s="30">
        <f t="shared" si="20"/>
        <v>5</v>
      </c>
      <c r="N89" s="30">
        <f t="shared" si="20"/>
        <v>4</v>
      </c>
      <c r="O89" s="30">
        <f t="shared" si="20"/>
        <v>3</v>
      </c>
      <c r="P89" s="30">
        <f t="shared" si="20"/>
        <v>2</v>
      </c>
      <c r="Q89" s="30">
        <f t="shared" si="20"/>
        <v>1</v>
      </c>
      <c r="R89" s="30">
        <f t="shared" si="20"/>
        <v>0</v>
      </c>
    </row>
    <row r="91">
      <c r="A91" s="48" t="s">
        <v>382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>
      <c r="A92" s="23" t="s">
        <v>39</v>
      </c>
      <c r="B92" s="24">
        <v>2026.0</v>
      </c>
      <c r="C92" s="8"/>
      <c r="D92" s="8"/>
      <c r="E92" s="8"/>
      <c r="F92" s="9"/>
      <c r="G92" s="24">
        <v>2027.0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>
      <c r="A93" s="29" t="s">
        <v>45</v>
      </c>
      <c r="B93" s="29" t="s">
        <v>46</v>
      </c>
      <c r="C93" s="29" t="s">
        <v>47</v>
      </c>
      <c r="D93" s="29" t="s">
        <v>49</v>
      </c>
      <c r="E93" s="29" t="s">
        <v>50</v>
      </c>
      <c r="F93" s="29" t="s">
        <v>51</v>
      </c>
      <c r="G93" s="29" t="s">
        <v>52</v>
      </c>
      <c r="H93" s="29" t="s">
        <v>53</v>
      </c>
      <c r="I93" s="29" t="s">
        <v>54</v>
      </c>
      <c r="J93" s="29" t="s">
        <v>55</v>
      </c>
      <c r="K93" s="29" t="s">
        <v>56</v>
      </c>
      <c r="L93" s="29" t="s">
        <v>57</v>
      </c>
      <c r="M93" s="29" t="s">
        <v>58</v>
      </c>
      <c r="N93" s="29" t="s">
        <v>46</v>
      </c>
      <c r="O93" s="29" t="s">
        <v>47</v>
      </c>
      <c r="P93" s="29" t="s">
        <v>49</v>
      </c>
      <c r="Q93" s="29" t="s">
        <v>50</v>
      </c>
      <c r="R93" s="29" t="s">
        <v>51</v>
      </c>
    </row>
    <row r="94">
      <c r="A94" s="29" t="s">
        <v>59</v>
      </c>
      <c r="B94" s="36">
        <v>0.0</v>
      </c>
      <c r="C94" s="30">
        <f t="shared" ref="C94:R94" si="21">B98</f>
        <v>0</v>
      </c>
      <c r="D94" s="30">
        <f t="shared" si="21"/>
        <v>-1</v>
      </c>
      <c r="E94" s="30">
        <f t="shared" si="21"/>
        <v>8</v>
      </c>
      <c r="F94" s="30">
        <f t="shared" si="21"/>
        <v>7</v>
      </c>
      <c r="G94" s="30">
        <f t="shared" si="21"/>
        <v>6</v>
      </c>
      <c r="H94" s="30">
        <f t="shared" si="21"/>
        <v>5</v>
      </c>
      <c r="I94" s="30">
        <f t="shared" si="21"/>
        <v>4</v>
      </c>
      <c r="J94" s="30">
        <f t="shared" si="21"/>
        <v>3</v>
      </c>
      <c r="K94" s="30">
        <f t="shared" si="21"/>
        <v>2</v>
      </c>
      <c r="L94" s="30">
        <f t="shared" si="21"/>
        <v>11</v>
      </c>
      <c r="M94" s="30">
        <f t="shared" si="21"/>
        <v>10</v>
      </c>
      <c r="N94" s="30">
        <f t="shared" si="21"/>
        <v>9</v>
      </c>
      <c r="O94" s="30">
        <f t="shared" si="21"/>
        <v>8</v>
      </c>
      <c r="P94" s="30">
        <f t="shared" si="21"/>
        <v>7</v>
      </c>
      <c r="Q94" s="30">
        <f t="shared" si="21"/>
        <v>6</v>
      </c>
      <c r="R94" s="30">
        <f t="shared" si="21"/>
        <v>5</v>
      </c>
    </row>
    <row r="95">
      <c r="A95" s="29" t="s">
        <v>64</v>
      </c>
      <c r="B95" s="36">
        <v>0.0</v>
      </c>
      <c r="C95" s="36">
        <v>1.0</v>
      </c>
      <c r="D95" s="36">
        <v>1.0</v>
      </c>
      <c r="E95" s="36">
        <v>1.0</v>
      </c>
      <c r="F95" s="36">
        <v>1.0</v>
      </c>
      <c r="G95" s="36">
        <v>1.0</v>
      </c>
      <c r="H95" s="36">
        <v>1.0</v>
      </c>
      <c r="I95" s="36">
        <v>1.0</v>
      </c>
      <c r="J95" s="36">
        <v>1.0</v>
      </c>
      <c r="K95" s="36">
        <v>1.0</v>
      </c>
      <c r="L95" s="36">
        <v>1.0</v>
      </c>
      <c r="M95" s="36">
        <v>1.0</v>
      </c>
      <c r="N95" s="36">
        <v>1.0</v>
      </c>
      <c r="O95" s="36">
        <v>1.0</v>
      </c>
      <c r="P95" s="36">
        <v>1.0</v>
      </c>
      <c r="Q95" s="36">
        <v>1.0</v>
      </c>
      <c r="R95" s="36">
        <v>1.0</v>
      </c>
    </row>
    <row r="96">
      <c r="A96" s="29" t="s">
        <v>66</v>
      </c>
      <c r="B96" s="36">
        <v>10.0</v>
      </c>
      <c r="C96" s="30">
        <v>0.0</v>
      </c>
      <c r="D96" s="36">
        <v>0.0</v>
      </c>
      <c r="E96" s="30">
        <v>0.0</v>
      </c>
      <c r="F96" s="30">
        <v>0.0</v>
      </c>
      <c r="G96" s="30">
        <v>0.0</v>
      </c>
      <c r="H96" s="30">
        <v>0.0</v>
      </c>
      <c r="I96" s="36">
        <v>10.0</v>
      </c>
      <c r="J96" s="30">
        <v>0.0</v>
      </c>
      <c r="K96" s="30">
        <v>0.0</v>
      </c>
      <c r="L96" s="30">
        <v>0.0</v>
      </c>
      <c r="M96" s="30">
        <v>0.0</v>
      </c>
      <c r="N96" s="36">
        <v>0.0</v>
      </c>
      <c r="O96" s="36">
        <v>0.0</v>
      </c>
      <c r="P96" s="30">
        <v>0.0</v>
      </c>
      <c r="Q96" s="30">
        <v>0.0</v>
      </c>
      <c r="R96" s="36">
        <v>0.0</v>
      </c>
    </row>
    <row r="97">
      <c r="A97" s="29" t="s">
        <v>68</v>
      </c>
      <c r="B97" s="30">
        <v>0.0</v>
      </c>
      <c r="C97" s="30">
        <v>0.0</v>
      </c>
      <c r="D97" s="36">
        <v>10.0</v>
      </c>
      <c r="E97" s="30">
        <v>0.0</v>
      </c>
      <c r="F97" s="30">
        <v>0.0</v>
      </c>
      <c r="G97" s="36">
        <v>0.0</v>
      </c>
      <c r="H97" s="30">
        <v>0.0</v>
      </c>
      <c r="I97" s="30">
        <v>0.0</v>
      </c>
      <c r="J97" s="30">
        <v>0.0</v>
      </c>
      <c r="K97" s="36">
        <v>10.0</v>
      </c>
      <c r="L97" s="30">
        <v>0.0</v>
      </c>
      <c r="M97" s="30">
        <v>0.0</v>
      </c>
      <c r="N97" s="30">
        <v>0.0</v>
      </c>
      <c r="O97" s="30">
        <v>0.0</v>
      </c>
      <c r="P97" s="36">
        <v>0.0</v>
      </c>
      <c r="Q97" s="30">
        <v>0.0</v>
      </c>
      <c r="R97" s="36">
        <v>0.0</v>
      </c>
    </row>
    <row r="98">
      <c r="A98" s="29" t="s">
        <v>193</v>
      </c>
      <c r="B98" s="30">
        <f t="shared" ref="B98:R98" si="22">B94-B95+B97</f>
        <v>0</v>
      </c>
      <c r="C98" s="30">
        <f t="shared" si="22"/>
        <v>-1</v>
      </c>
      <c r="D98" s="30">
        <f t="shared" si="22"/>
        <v>8</v>
      </c>
      <c r="E98" s="30">
        <f t="shared" si="22"/>
        <v>7</v>
      </c>
      <c r="F98" s="30">
        <f t="shared" si="22"/>
        <v>6</v>
      </c>
      <c r="G98" s="30">
        <f t="shared" si="22"/>
        <v>5</v>
      </c>
      <c r="H98" s="30">
        <f t="shared" si="22"/>
        <v>4</v>
      </c>
      <c r="I98" s="30">
        <f t="shared" si="22"/>
        <v>3</v>
      </c>
      <c r="J98" s="30">
        <f t="shared" si="22"/>
        <v>2</v>
      </c>
      <c r="K98" s="30">
        <f t="shared" si="22"/>
        <v>11</v>
      </c>
      <c r="L98" s="30">
        <f t="shared" si="22"/>
        <v>10</v>
      </c>
      <c r="M98" s="30">
        <f t="shared" si="22"/>
        <v>9</v>
      </c>
      <c r="N98" s="30">
        <f t="shared" si="22"/>
        <v>8</v>
      </c>
      <c r="O98" s="30">
        <f t="shared" si="22"/>
        <v>7</v>
      </c>
      <c r="P98" s="30">
        <f t="shared" si="22"/>
        <v>6</v>
      </c>
      <c r="Q98" s="30">
        <f t="shared" si="22"/>
        <v>5</v>
      </c>
      <c r="R98" s="30">
        <f t="shared" si="22"/>
        <v>4</v>
      </c>
    </row>
    <row r="100">
      <c r="A100" s="48" t="s">
        <v>404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</row>
    <row r="101">
      <c r="A101" s="23" t="s">
        <v>39</v>
      </c>
      <c r="B101" s="24">
        <v>2026.0</v>
      </c>
      <c r="C101" s="8"/>
      <c r="D101" s="8"/>
      <c r="E101" s="8"/>
      <c r="F101" s="9"/>
      <c r="G101" s="24">
        <v>2027.0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</row>
    <row r="102">
      <c r="A102" s="29" t="s">
        <v>45</v>
      </c>
      <c r="B102" s="29" t="s">
        <v>46</v>
      </c>
      <c r="C102" s="29" t="s">
        <v>47</v>
      </c>
      <c r="D102" s="29" t="s">
        <v>49</v>
      </c>
      <c r="E102" s="29" t="s">
        <v>50</v>
      </c>
      <c r="F102" s="29" t="s">
        <v>51</v>
      </c>
      <c r="G102" s="29" t="s">
        <v>52</v>
      </c>
      <c r="H102" s="29" t="s">
        <v>53</v>
      </c>
      <c r="I102" s="29" t="s">
        <v>54</v>
      </c>
      <c r="J102" s="29" t="s">
        <v>55</v>
      </c>
      <c r="K102" s="29" t="s">
        <v>56</v>
      </c>
      <c r="L102" s="29" t="s">
        <v>57</v>
      </c>
      <c r="M102" s="29" t="s">
        <v>58</v>
      </c>
      <c r="N102" s="29" t="s">
        <v>46</v>
      </c>
      <c r="O102" s="29" t="s">
        <v>47</v>
      </c>
      <c r="P102" s="29" t="s">
        <v>49</v>
      </c>
      <c r="Q102" s="29" t="s">
        <v>50</v>
      </c>
      <c r="R102" s="29" t="s">
        <v>51</v>
      </c>
    </row>
    <row r="103">
      <c r="A103" s="29" t="s">
        <v>59</v>
      </c>
      <c r="B103" s="36">
        <v>3.0</v>
      </c>
      <c r="C103" s="30">
        <f t="shared" ref="C103:R103" si="23">B107</f>
        <v>2</v>
      </c>
      <c r="D103" s="30">
        <f t="shared" si="23"/>
        <v>2</v>
      </c>
      <c r="E103" s="30">
        <f t="shared" si="23"/>
        <v>2</v>
      </c>
      <c r="F103" s="30">
        <f t="shared" si="23"/>
        <v>1</v>
      </c>
      <c r="G103" s="30">
        <f t="shared" si="23"/>
        <v>8</v>
      </c>
      <c r="H103" s="30">
        <f t="shared" si="23"/>
        <v>8</v>
      </c>
      <c r="I103" s="30">
        <f t="shared" si="23"/>
        <v>7</v>
      </c>
      <c r="J103" s="30">
        <f t="shared" si="23"/>
        <v>7</v>
      </c>
      <c r="K103" s="30">
        <f t="shared" si="23"/>
        <v>7</v>
      </c>
      <c r="L103" s="30">
        <f t="shared" si="23"/>
        <v>6</v>
      </c>
      <c r="M103" s="30">
        <f t="shared" si="23"/>
        <v>6</v>
      </c>
      <c r="N103" s="30">
        <f t="shared" si="23"/>
        <v>6</v>
      </c>
      <c r="O103" s="30">
        <f t="shared" si="23"/>
        <v>5</v>
      </c>
      <c r="P103" s="30">
        <f t="shared" si="23"/>
        <v>5</v>
      </c>
      <c r="Q103" s="30">
        <f t="shared" si="23"/>
        <v>5</v>
      </c>
      <c r="R103" s="30">
        <f t="shared" si="23"/>
        <v>4</v>
      </c>
    </row>
    <row r="104">
      <c r="A104" s="29" t="s">
        <v>64</v>
      </c>
      <c r="B104" s="36">
        <v>1.0</v>
      </c>
      <c r="C104" s="36">
        <v>0.0</v>
      </c>
      <c r="D104" s="36">
        <v>0.0</v>
      </c>
      <c r="E104" s="36">
        <v>1.0</v>
      </c>
      <c r="F104" s="36">
        <v>0.0</v>
      </c>
      <c r="G104" s="36">
        <v>0.0</v>
      </c>
      <c r="H104" s="36">
        <v>1.0</v>
      </c>
      <c r="I104" s="36">
        <v>0.0</v>
      </c>
      <c r="J104" s="36">
        <v>0.0</v>
      </c>
      <c r="K104" s="36">
        <v>1.0</v>
      </c>
      <c r="L104" s="36">
        <v>0.0</v>
      </c>
      <c r="M104" s="36">
        <v>0.0</v>
      </c>
      <c r="N104" s="36">
        <v>1.0</v>
      </c>
      <c r="O104" s="36">
        <v>0.0</v>
      </c>
      <c r="P104" s="36">
        <v>0.0</v>
      </c>
      <c r="Q104" s="36">
        <v>1.0</v>
      </c>
      <c r="R104" s="36">
        <v>0.0</v>
      </c>
    </row>
    <row r="105">
      <c r="A105" s="29" t="s">
        <v>66</v>
      </c>
      <c r="B105" s="36">
        <v>0.0</v>
      </c>
      <c r="C105" s="30">
        <v>0.0</v>
      </c>
      <c r="D105" s="36">
        <v>7.0</v>
      </c>
      <c r="E105" s="30">
        <v>0.0</v>
      </c>
      <c r="F105" s="30">
        <v>0.0</v>
      </c>
      <c r="G105" s="30">
        <v>0.0</v>
      </c>
      <c r="H105" s="30">
        <v>0.0</v>
      </c>
      <c r="I105" s="36">
        <v>0.0</v>
      </c>
      <c r="J105" s="30">
        <v>0.0</v>
      </c>
      <c r="K105" s="30">
        <v>0.0</v>
      </c>
      <c r="L105" s="30">
        <v>0.0</v>
      </c>
      <c r="M105" s="30">
        <v>0.0</v>
      </c>
      <c r="N105" s="36">
        <v>0.0</v>
      </c>
      <c r="O105" s="36">
        <v>0.0</v>
      </c>
      <c r="P105" s="30">
        <v>0.0</v>
      </c>
      <c r="Q105" s="30">
        <v>0.0</v>
      </c>
      <c r="R105" s="36">
        <v>0.0</v>
      </c>
    </row>
    <row r="106">
      <c r="A106" s="29" t="s">
        <v>68</v>
      </c>
      <c r="B106" s="30">
        <v>0.0</v>
      </c>
      <c r="C106" s="30">
        <v>0.0</v>
      </c>
      <c r="D106" s="36">
        <v>0.0</v>
      </c>
      <c r="E106" s="30">
        <v>0.0</v>
      </c>
      <c r="F106" s="36">
        <v>7.0</v>
      </c>
      <c r="G106" s="36">
        <v>0.0</v>
      </c>
      <c r="H106" s="30">
        <v>0.0</v>
      </c>
      <c r="I106" s="30">
        <v>0.0</v>
      </c>
      <c r="J106" s="30">
        <v>0.0</v>
      </c>
      <c r="K106" s="36">
        <v>0.0</v>
      </c>
      <c r="L106" s="30">
        <v>0.0</v>
      </c>
      <c r="M106" s="30">
        <v>0.0</v>
      </c>
      <c r="N106" s="30">
        <v>0.0</v>
      </c>
      <c r="O106" s="30">
        <v>0.0</v>
      </c>
      <c r="P106" s="36">
        <v>0.0</v>
      </c>
      <c r="Q106" s="30">
        <v>0.0</v>
      </c>
      <c r="R106" s="36">
        <v>0.0</v>
      </c>
    </row>
    <row r="107">
      <c r="A107" s="29" t="s">
        <v>193</v>
      </c>
      <c r="B107" s="30">
        <f t="shared" ref="B107:R107" si="24">B103-B104+B106</f>
        <v>2</v>
      </c>
      <c r="C107" s="30">
        <f t="shared" si="24"/>
        <v>2</v>
      </c>
      <c r="D107" s="30">
        <f t="shared" si="24"/>
        <v>2</v>
      </c>
      <c r="E107" s="30">
        <f t="shared" si="24"/>
        <v>1</v>
      </c>
      <c r="F107" s="30">
        <f t="shared" si="24"/>
        <v>8</v>
      </c>
      <c r="G107" s="30">
        <f t="shared" si="24"/>
        <v>8</v>
      </c>
      <c r="H107" s="30">
        <f t="shared" si="24"/>
        <v>7</v>
      </c>
      <c r="I107" s="30">
        <f t="shared" si="24"/>
        <v>7</v>
      </c>
      <c r="J107" s="30">
        <f t="shared" si="24"/>
        <v>7</v>
      </c>
      <c r="K107" s="30">
        <f t="shared" si="24"/>
        <v>6</v>
      </c>
      <c r="L107" s="30">
        <f t="shared" si="24"/>
        <v>6</v>
      </c>
      <c r="M107" s="30">
        <f t="shared" si="24"/>
        <v>6</v>
      </c>
      <c r="N107" s="30">
        <f t="shared" si="24"/>
        <v>5</v>
      </c>
      <c r="O107" s="30">
        <f t="shared" si="24"/>
        <v>5</v>
      </c>
      <c r="P107" s="30">
        <f t="shared" si="24"/>
        <v>5</v>
      </c>
      <c r="Q107" s="30">
        <f t="shared" si="24"/>
        <v>4</v>
      </c>
      <c r="R107" s="30">
        <f t="shared" si="24"/>
        <v>4</v>
      </c>
    </row>
    <row r="109">
      <c r="A109" s="48" t="s">
        <v>429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>
      <c r="A110" s="23" t="s">
        <v>39</v>
      </c>
      <c r="B110" s="24">
        <v>2026.0</v>
      </c>
      <c r="C110" s="8"/>
      <c r="D110" s="8"/>
      <c r="E110" s="8"/>
      <c r="F110" s="9"/>
      <c r="G110" s="24">
        <v>2027.0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>
      <c r="A111" s="29" t="s">
        <v>45</v>
      </c>
      <c r="B111" s="29" t="s">
        <v>46</v>
      </c>
      <c r="C111" s="29" t="s">
        <v>47</v>
      </c>
      <c r="D111" s="29" t="s">
        <v>49</v>
      </c>
      <c r="E111" s="29" t="s">
        <v>50</v>
      </c>
      <c r="F111" s="29" t="s">
        <v>51</v>
      </c>
      <c r="G111" s="29" t="s">
        <v>52</v>
      </c>
      <c r="H111" s="29" t="s">
        <v>53</v>
      </c>
      <c r="I111" s="29" t="s">
        <v>54</v>
      </c>
      <c r="J111" s="29" t="s">
        <v>55</v>
      </c>
      <c r="K111" s="29" t="s">
        <v>56</v>
      </c>
      <c r="L111" s="29" t="s">
        <v>57</v>
      </c>
      <c r="M111" s="29" t="s">
        <v>58</v>
      </c>
      <c r="N111" s="29" t="s">
        <v>46</v>
      </c>
      <c r="O111" s="29" t="s">
        <v>47</v>
      </c>
      <c r="P111" s="29" t="s">
        <v>49</v>
      </c>
      <c r="Q111" s="29" t="s">
        <v>50</v>
      </c>
      <c r="R111" s="29" t="s">
        <v>51</v>
      </c>
    </row>
    <row r="112">
      <c r="A112" s="29" t="s">
        <v>59</v>
      </c>
      <c r="B112" s="36">
        <v>2.0</v>
      </c>
      <c r="C112" s="30">
        <f t="shared" ref="C112:R112" si="25">B116</f>
        <v>2</v>
      </c>
      <c r="D112" s="30">
        <f t="shared" si="25"/>
        <v>2</v>
      </c>
      <c r="E112" s="30">
        <f t="shared" si="25"/>
        <v>2</v>
      </c>
      <c r="F112" s="30">
        <f t="shared" si="25"/>
        <v>1</v>
      </c>
      <c r="G112" s="30">
        <f t="shared" si="25"/>
        <v>4</v>
      </c>
      <c r="H112" s="30">
        <f t="shared" si="25"/>
        <v>4</v>
      </c>
      <c r="I112" s="30">
        <f t="shared" si="25"/>
        <v>3</v>
      </c>
      <c r="J112" s="30">
        <f t="shared" si="25"/>
        <v>3</v>
      </c>
      <c r="K112" s="30">
        <f t="shared" si="25"/>
        <v>3</v>
      </c>
      <c r="L112" s="30">
        <f t="shared" si="25"/>
        <v>2</v>
      </c>
      <c r="M112" s="30">
        <f t="shared" si="25"/>
        <v>2</v>
      </c>
      <c r="N112" s="30">
        <f t="shared" si="25"/>
        <v>2</v>
      </c>
      <c r="O112" s="30">
        <f t="shared" si="25"/>
        <v>1</v>
      </c>
      <c r="P112" s="30">
        <f t="shared" si="25"/>
        <v>4</v>
      </c>
      <c r="Q112" s="30">
        <f t="shared" si="25"/>
        <v>4</v>
      </c>
      <c r="R112" s="30">
        <f t="shared" si="25"/>
        <v>3</v>
      </c>
    </row>
    <row r="113">
      <c r="A113" s="29" t="s">
        <v>64</v>
      </c>
      <c r="B113" s="36">
        <v>0.0</v>
      </c>
      <c r="C113" s="36">
        <v>0.0</v>
      </c>
      <c r="D113" s="36">
        <v>0.0</v>
      </c>
      <c r="E113" s="36">
        <v>1.0</v>
      </c>
      <c r="F113" s="36">
        <v>0.0</v>
      </c>
      <c r="G113" s="36">
        <v>0.0</v>
      </c>
      <c r="H113" s="36">
        <v>1.0</v>
      </c>
      <c r="I113" s="36">
        <v>0.0</v>
      </c>
      <c r="J113" s="36">
        <v>0.0</v>
      </c>
      <c r="K113" s="36">
        <v>1.0</v>
      </c>
      <c r="L113" s="36">
        <v>0.0</v>
      </c>
      <c r="M113" s="36">
        <v>0.0</v>
      </c>
      <c r="N113" s="36">
        <v>1.0</v>
      </c>
      <c r="O113" s="36">
        <v>0.0</v>
      </c>
      <c r="P113" s="36">
        <v>0.0</v>
      </c>
      <c r="Q113" s="36">
        <v>1.0</v>
      </c>
      <c r="R113" s="36">
        <v>0.0</v>
      </c>
    </row>
    <row r="114">
      <c r="A114" s="29" t="s">
        <v>66</v>
      </c>
      <c r="B114" s="36">
        <v>0.0</v>
      </c>
      <c r="C114" s="36">
        <v>0.0</v>
      </c>
      <c r="D114" s="36">
        <v>3.0</v>
      </c>
      <c r="E114" s="30">
        <v>0.0</v>
      </c>
      <c r="F114" s="36">
        <v>0.0</v>
      </c>
      <c r="G114" s="30">
        <v>0.0</v>
      </c>
      <c r="H114" s="30">
        <v>0.0</v>
      </c>
      <c r="I114" s="36">
        <v>0.0</v>
      </c>
      <c r="J114" s="30">
        <v>0.0</v>
      </c>
      <c r="K114" s="30">
        <v>0.0</v>
      </c>
      <c r="L114" s="36">
        <v>0.0</v>
      </c>
      <c r="M114" s="36">
        <v>3.0</v>
      </c>
      <c r="N114" s="36">
        <v>0.0</v>
      </c>
      <c r="O114" s="36">
        <v>0.0</v>
      </c>
      <c r="P114" s="30">
        <v>0.0</v>
      </c>
      <c r="Q114" s="30">
        <v>0.0</v>
      </c>
      <c r="R114" s="36">
        <v>0.0</v>
      </c>
    </row>
    <row r="115">
      <c r="A115" s="29" t="s">
        <v>68</v>
      </c>
      <c r="B115" s="30">
        <v>0.0</v>
      </c>
      <c r="C115" s="30">
        <v>0.0</v>
      </c>
      <c r="D115" s="36">
        <v>0.0</v>
      </c>
      <c r="E115" s="36">
        <v>0.0</v>
      </c>
      <c r="F115" s="36">
        <v>3.0</v>
      </c>
      <c r="G115" s="36">
        <v>0.0</v>
      </c>
      <c r="H115" s="36">
        <v>0.0</v>
      </c>
      <c r="I115" s="30">
        <v>0.0</v>
      </c>
      <c r="J115" s="30">
        <v>0.0</v>
      </c>
      <c r="K115" s="36">
        <v>0.0</v>
      </c>
      <c r="L115" s="30">
        <v>0.0</v>
      </c>
      <c r="M115" s="30">
        <v>0.0</v>
      </c>
      <c r="N115" s="36">
        <v>0.0</v>
      </c>
      <c r="O115" s="36">
        <v>3.0</v>
      </c>
      <c r="P115" s="36">
        <v>0.0</v>
      </c>
      <c r="Q115" s="36">
        <v>0.0</v>
      </c>
      <c r="R115" s="36">
        <v>0.0</v>
      </c>
    </row>
    <row r="116">
      <c r="A116" s="29" t="s">
        <v>193</v>
      </c>
      <c r="B116" s="30">
        <f t="shared" ref="B116:R116" si="26">B112-B113+B115</f>
        <v>2</v>
      </c>
      <c r="C116" s="30">
        <f t="shared" si="26"/>
        <v>2</v>
      </c>
      <c r="D116" s="30">
        <f t="shared" si="26"/>
        <v>2</v>
      </c>
      <c r="E116" s="30">
        <f t="shared" si="26"/>
        <v>1</v>
      </c>
      <c r="F116" s="30">
        <f t="shared" si="26"/>
        <v>4</v>
      </c>
      <c r="G116" s="30">
        <f t="shared" si="26"/>
        <v>4</v>
      </c>
      <c r="H116" s="30">
        <f t="shared" si="26"/>
        <v>3</v>
      </c>
      <c r="I116" s="30">
        <f t="shared" si="26"/>
        <v>3</v>
      </c>
      <c r="J116" s="30">
        <f t="shared" si="26"/>
        <v>3</v>
      </c>
      <c r="K116" s="30">
        <f t="shared" si="26"/>
        <v>2</v>
      </c>
      <c r="L116" s="30">
        <f t="shared" si="26"/>
        <v>2</v>
      </c>
      <c r="M116" s="30">
        <f t="shared" si="26"/>
        <v>2</v>
      </c>
      <c r="N116" s="30">
        <f t="shared" si="26"/>
        <v>1</v>
      </c>
      <c r="O116" s="30">
        <f t="shared" si="26"/>
        <v>4</v>
      </c>
      <c r="P116" s="30">
        <f t="shared" si="26"/>
        <v>4</v>
      </c>
      <c r="Q116" s="30">
        <f t="shared" si="26"/>
        <v>3</v>
      </c>
      <c r="R116" s="30">
        <f t="shared" si="26"/>
        <v>3</v>
      </c>
    </row>
    <row r="118">
      <c r="A118" s="48" t="s">
        <v>458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19">
      <c r="A119" s="23" t="s">
        <v>39</v>
      </c>
      <c r="B119" s="24">
        <v>2026.0</v>
      </c>
      <c r="C119" s="8"/>
      <c r="D119" s="8"/>
      <c r="E119" s="8"/>
      <c r="F119" s="9"/>
      <c r="G119" s="24">
        <v>2027.0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/>
    </row>
    <row r="120">
      <c r="A120" s="29" t="s">
        <v>45</v>
      </c>
      <c r="B120" s="29" t="s">
        <v>46</v>
      </c>
      <c r="C120" s="29" t="s">
        <v>47</v>
      </c>
      <c r="D120" s="29" t="s">
        <v>49</v>
      </c>
      <c r="E120" s="29" t="s">
        <v>50</v>
      </c>
      <c r="F120" s="29" t="s">
        <v>51</v>
      </c>
      <c r="G120" s="29" t="s">
        <v>52</v>
      </c>
      <c r="H120" s="29" t="s">
        <v>53</v>
      </c>
      <c r="I120" s="29" t="s">
        <v>54</v>
      </c>
      <c r="J120" s="29" t="s">
        <v>55</v>
      </c>
      <c r="K120" s="29" t="s">
        <v>56</v>
      </c>
      <c r="L120" s="29" t="s">
        <v>57</v>
      </c>
      <c r="M120" s="29" t="s">
        <v>58</v>
      </c>
      <c r="N120" s="29" t="s">
        <v>46</v>
      </c>
      <c r="O120" s="29" t="s">
        <v>47</v>
      </c>
      <c r="P120" s="29" t="s">
        <v>49</v>
      </c>
      <c r="Q120" s="29" t="s">
        <v>50</v>
      </c>
      <c r="R120" s="29" t="s">
        <v>51</v>
      </c>
    </row>
    <row r="121">
      <c r="A121" s="29" t="s">
        <v>59</v>
      </c>
      <c r="B121" s="36">
        <v>0.0</v>
      </c>
      <c r="C121" s="30">
        <f t="shared" ref="C121:R121" si="27">B125</f>
        <v>0</v>
      </c>
      <c r="D121" s="30">
        <f t="shared" si="27"/>
        <v>0</v>
      </c>
      <c r="E121" s="30">
        <f t="shared" si="27"/>
        <v>5</v>
      </c>
      <c r="F121" s="30">
        <f t="shared" si="27"/>
        <v>4</v>
      </c>
      <c r="G121" s="30">
        <f t="shared" si="27"/>
        <v>4</v>
      </c>
      <c r="H121" s="30">
        <f t="shared" si="27"/>
        <v>4</v>
      </c>
      <c r="I121" s="30">
        <f t="shared" si="27"/>
        <v>4</v>
      </c>
      <c r="J121" s="30">
        <f t="shared" si="27"/>
        <v>4</v>
      </c>
      <c r="K121" s="30">
        <f t="shared" si="27"/>
        <v>4</v>
      </c>
      <c r="L121" s="30">
        <f t="shared" si="27"/>
        <v>4</v>
      </c>
      <c r="M121" s="30">
        <f t="shared" si="27"/>
        <v>3</v>
      </c>
      <c r="N121" s="30">
        <f t="shared" si="27"/>
        <v>3</v>
      </c>
      <c r="O121" s="30">
        <f t="shared" si="27"/>
        <v>3</v>
      </c>
      <c r="P121" s="30">
        <f t="shared" si="27"/>
        <v>3</v>
      </c>
      <c r="Q121" s="30">
        <f t="shared" si="27"/>
        <v>3</v>
      </c>
      <c r="R121" s="30">
        <f t="shared" si="27"/>
        <v>2</v>
      </c>
    </row>
    <row r="122">
      <c r="A122" s="29" t="s">
        <v>64</v>
      </c>
      <c r="B122" s="36">
        <v>0.0</v>
      </c>
      <c r="C122" s="36">
        <v>0.0</v>
      </c>
      <c r="D122" s="36">
        <v>0.0</v>
      </c>
      <c r="E122" s="36">
        <v>1.0</v>
      </c>
      <c r="F122" s="36">
        <v>0.0</v>
      </c>
      <c r="G122" s="36">
        <v>0.0</v>
      </c>
      <c r="H122" s="36">
        <v>0.0</v>
      </c>
      <c r="I122" s="36">
        <v>0.0</v>
      </c>
      <c r="J122" s="36">
        <v>0.0</v>
      </c>
      <c r="K122" s="36">
        <v>0.0</v>
      </c>
      <c r="L122" s="36">
        <v>1.0</v>
      </c>
      <c r="M122" s="36">
        <v>0.0</v>
      </c>
      <c r="N122" s="36">
        <v>0.0</v>
      </c>
      <c r="O122" s="36">
        <v>0.0</v>
      </c>
      <c r="P122" s="36">
        <v>0.0</v>
      </c>
      <c r="Q122" s="36">
        <v>1.0</v>
      </c>
      <c r="R122" s="36">
        <v>0.0</v>
      </c>
    </row>
    <row r="123">
      <c r="A123" s="29" t="s">
        <v>66</v>
      </c>
      <c r="B123" s="36">
        <v>5.0</v>
      </c>
      <c r="C123" s="36">
        <v>0.0</v>
      </c>
      <c r="D123" s="36">
        <v>0.0</v>
      </c>
      <c r="E123" s="30">
        <v>0.0</v>
      </c>
      <c r="F123" s="36">
        <v>0.0</v>
      </c>
      <c r="G123" s="30">
        <v>0.0</v>
      </c>
      <c r="H123" s="30">
        <v>0.0</v>
      </c>
      <c r="I123" s="36">
        <v>0.0</v>
      </c>
      <c r="J123" s="30">
        <v>0.0</v>
      </c>
      <c r="K123" s="30">
        <v>0.0</v>
      </c>
      <c r="L123" s="36">
        <v>0.0</v>
      </c>
      <c r="M123" s="30">
        <v>0.0</v>
      </c>
      <c r="N123" s="36">
        <v>0.0</v>
      </c>
      <c r="O123" s="36">
        <v>0.0</v>
      </c>
      <c r="P123" s="30">
        <v>0.0</v>
      </c>
      <c r="Q123" s="30">
        <v>0.0</v>
      </c>
      <c r="R123" s="36">
        <v>0.0</v>
      </c>
    </row>
    <row r="124">
      <c r="A124" s="29" t="s">
        <v>68</v>
      </c>
      <c r="B124" s="30">
        <v>0.0</v>
      </c>
      <c r="C124" s="30">
        <v>0.0</v>
      </c>
      <c r="D124" s="36">
        <v>5.0</v>
      </c>
      <c r="E124" s="36">
        <v>0.0</v>
      </c>
      <c r="F124" s="36">
        <v>0.0</v>
      </c>
      <c r="G124" s="36">
        <v>0.0</v>
      </c>
      <c r="H124" s="36">
        <v>0.0</v>
      </c>
      <c r="I124" s="30">
        <v>0.0</v>
      </c>
      <c r="J124" s="30">
        <v>0.0</v>
      </c>
      <c r="K124" s="36">
        <v>0.0</v>
      </c>
      <c r="L124" s="30">
        <v>0.0</v>
      </c>
      <c r="M124" s="30">
        <v>0.0</v>
      </c>
      <c r="N124" s="36">
        <v>0.0</v>
      </c>
      <c r="O124" s="30">
        <v>0.0</v>
      </c>
      <c r="P124" s="36">
        <v>0.0</v>
      </c>
      <c r="Q124" s="36">
        <v>0.0</v>
      </c>
      <c r="R124" s="36">
        <v>0.0</v>
      </c>
    </row>
    <row r="125">
      <c r="A125" s="29" t="s">
        <v>193</v>
      </c>
      <c r="B125" s="30">
        <f t="shared" ref="B125:R125" si="28">B121-B122+B124</f>
        <v>0</v>
      </c>
      <c r="C125" s="30">
        <f t="shared" si="28"/>
        <v>0</v>
      </c>
      <c r="D125" s="30">
        <f t="shared" si="28"/>
        <v>5</v>
      </c>
      <c r="E125" s="30">
        <f t="shared" si="28"/>
        <v>4</v>
      </c>
      <c r="F125" s="30">
        <f t="shared" si="28"/>
        <v>4</v>
      </c>
      <c r="G125" s="30">
        <f t="shared" si="28"/>
        <v>4</v>
      </c>
      <c r="H125" s="30">
        <f t="shared" si="28"/>
        <v>4</v>
      </c>
      <c r="I125" s="30">
        <f t="shared" si="28"/>
        <v>4</v>
      </c>
      <c r="J125" s="30">
        <f t="shared" si="28"/>
        <v>4</v>
      </c>
      <c r="K125" s="30">
        <f t="shared" si="28"/>
        <v>4</v>
      </c>
      <c r="L125" s="30">
        <f t="shared" si="28"/>
        <v>3</v>
      </c>
      <c r="M125" s="30">
        <f t="shared" si="28"/>
        <v>3</v>
      </c>
      <c r="N125" s="30">
        <f t="shared" si="28"/>
        <v>3</v>
      </c>
      <c r="O125" s="30">
        <f t="shared" si="28"/>
        <v>3</v>
      </c>
      <c r="P125" s="30">
        <f t="shared" si="28"/>
        <v>3</v>
      </c>
      <c r="Q125" s="30">
        <f t="shared" si="28"/>
        <v>2</v>
      </c>
      <c r="R125" s="30">
        <f t="shared" si="28"/>
        <v>2</v>
      </c>
    </row>
    <row r="127">
      <c r="A127" s="48" t="s">
        <v>480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9"/>
    </row>
    <row r="128">
      <c r="A128" s="23" t="s">
        <v>39</v>
      </c>
      <c r="B128" s="24">
        <v>2026.0</v>
      </c>
      <c r="C128" s="8"/>
      <c r="D128" s="8"/>
      <c r="E128" s="8"/>
      <c r="F128" s="9"/>
      <c r="G128" s="24">
        <v>2027.0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9"/>
    </row>
    <row r="129">
      <c r="A129" s="29" t="s">
        <v>45</v>
      </c>
      <c r="B129" s="29" t="s">
        <v>46</v>
      </c>
      <c r="C129" s="29" t="s">
        <v>47</v>
      </c>
      <c r="D129" s="29" t="s">
        <v>49</v>
      </c>
      <c r="E129" s="29" t="s">
        <v>50</v>
      </c>
      <c r="F129" s="29" t="s">
        <v>51</v>
      </c>
      <c r="G129" s="29" t="s">
        <v>52</v>
      </c>
      <c r="H129" s="29" t="s">
        <v>53</v>
      </c>
      <c r="I129" s="29" t="s">
        <v>54</v>
      </c>
      <c r="J129" s="29" t="s">
        <v>55</v>
      </c>
      <c r="K129" s="29" t="s">
        <v>56</v>
      </c>
      <c r="L129" s="29" t="s">
        <v>57</v>
      </c>
      <c r="M129" s="29" t="s">
        <v>58</v>
      </c>
      <c r="N129" s="29" t="s">
        <v>46</v>
      </c>
      <c r="O129" s="29" t="s">
        <v>47</v>
      </c>
      <c r="P129" s="29" t="s">
        <v>49</v>
      </c>
      <c r="Q129" s="29" t="s">
        <v>50</v>
      </c>
      <c r="R129" s="29" t="s">
        <v>51</v>
      </c>
    </row>
    <row r="130">
      <c r="A130" s="29" t="s">
        <v>59</v>
      </c>
      <c r="B130" s="36">
        <v>0.0</v>
      </c>
      <c r="C130" s="30">
        <f t="shared" ref="C130:R130" si="29">B134</f>
        <v>0</v>
      </c>
      <c r="D130" s="30">
        <f t="shared" si="29"/>
        <v>0</v>
      </c>
      <c r="E130" s="30">
        <f t="shared" si="29"/>
        <v>3</v>
      </c>
      <c r="F130" s="30">
        <f t="shared" si="29"/>
        <v>2</v>
      </c>
      <c r="G130" s="30">
        <f t="shared" si="29"/>
        <v>2</v>
      </c>
      <c r="H130" s="30">
        <f t="shared" si="29"/>
        <v>2</v>
      </c>
      <c r="I130" s="30">
        <f t="shared" si="29"/>
        <v>2</v>
      </c>
      <c r="J130" s="30">
        <f t="shared" si="29"/>
        <v>2</v>
      </c>
      <c r="K130" s="30">
        <f t="shared" si="29"/>
        <v>2</v>
      </c>
      <c r="L130" s="30">
        <f t="shared" si="29"/>
        <v>2</v>
      </c>
      <c r="M130" s="30">
        <f t="shared" si="29"/>
        <v>1</v>
      </c>
      <c r="N130" s="30">
        <f t="shared" si="29"/>
        <v>1</v>
      </c>
      <c r="O130" s="30">
        <f t="shared" si="29"/>
        <v>1</v>
      </c>
      <c r="P130" s="30">
        <f t="shared" si="29"/>
        <v>3</v>
      </c>
      <c r="Q130" s="30">
        <f t="shared" si="29"/>
        <v>3</v>
      </c>
      <c r="R130" s="30">
        <f t="shared" si="29"/>
        <v>2</v>
      </c>
    </row>
    <row r="131">
      <c r="A131" s="29" t="s">
        <v>64</v>
      </c>
      <c r="B131" s="36">
        <v>0.0</v>
      </c>
      <c r="C131" s="36">
        <v>0.0</v>
      </c>
      <c r="D131" s="36">
        <v>0.0</v>
      </c>
      <c r="E131" s="36">
        <v>1.0</v>
      </c>
      <c r="F131" s="36">
        <v>0.0</v>
      </c>
      <c r="G131" s="36">
        <v>0.0</v>
      </c>
      <c r="H131" s="36">
        <v>0.0</v>
      </c>
      <c r="I131" s="36">
        <v>0.0</v>
      </c>
      <c r="J131" s="36">
        <v>0.0</v>
      </c>
      <c r="K131" s="36">
        <v>0.0</v>
      </c>
      <c r="L131" s="36">
        <v>1.0</v>
      </c>
      <c r="M131" s="36">
        <v>0.0</v>
      </c>
      <c r="N131" s="36">
        <v>0.0</v>
      </c>
      <c r="O131" s="36">
        <v>0.0</v>
      </c>
      <c r="P131" s="36">
        <v>0.0</v>
      </c>
      <c r="Q131" s="36">
        <v>1.0</v>
      </c>
      <c r="R131" s="36">
        <v>0.0</v>
      </c>
    </row>
    <row r="132">
      <c r="A132" s="29" t="s">
        <v>66</v>
      </c>
      <c r="B132" s="36">
        <v>3.0</v>
      </c>
      <c r="C132" s="36">
        <v>0.0</v>
      </c>
      <c r="D132" s="36">
        <v>0.0</v>
      </c>
      <c r="E132" s="30">
        <v>0.0</v>
      </c>
      <c r="F132" s="36">
        <v>0.0</v>
      </c>
      <c r="G132" s="30">
        <v>0.0</v>
      </c>
      <c r="H132" s="30">
        <v>0.0</v>
      </c>
      <c r="I132" s="36">
        <v>0.0</v>
      </c>
      <c r="J132" s="30">
        <v>0.0</v>
      </c>
      <c r="K132" s="30">
        <v>0.0</v>
      </c>
      <c r="L132" s="36">
        <v>0.0</v>
      </c>
      <c r="M132" s="36">
        <v>2.0</v>
      </c>
      <c r="N132" s="36">
        <v>0.0</v>
      </c>
      <c r="O132" s="36">
        <v>0.0</v>
      </c>
      <c r="P132" s="30">
        <v>0.0</v>
      </c>
      <c r="Q132" s="30">
        <v>0.0</v>
      </c>
      <c r="R132" s="36">
        <v>0.0</v>
      </c>
    </row>
    <row r="133">
      <c r="A133" s="29" t="s">
        <v>68</v>
      </c>
      <c r="B133" s="30">
        <v>0.0</v>
      </c>
      <c r="C133" s="30">
        <v>0.0</v>
      </c>
      <c r="D133" s="36">
        <v>3.0</v>
      </c>
      <c r="E133" s="36">
        <v>0.0</v>
      </c>
      <c r="F133" s="36">
        <v>0.0</v>
      </c>
      <c r="G133" s="36">
        <v>0.0</v>
      </c>
      <c r="H133" s="36">
        <v>0.0</v>
      </c>
      <c r="I133" s="30">
        <v>0.0</v>
      </c>
      <c r="J133" s="30">
        <v>0.0</v>
      </c>
      <c r="K133" s="36">
        <v>0.0</v>
      </c>
      <c r="L133" s="30">
        <v>0.0</v>
      </c>
      <c r="M133" s="30">
        <v>0.0</v>
      </c>
      <c r="N133" s="36">
        <v>0.0</v>
      </c>
      <c r="O133" s="36">
        <v>2.0</v>
      </c>
      <c r="P133" s="36">
        <v>0.0</v>
      </c>
      <c r="Q133" s="36">
        <v>0.0</v>
      </c>
      <c r="R133" s="36">
        <v>0.0</v>
      </c>
    </row>
    <row r="134">
      <c r="A134" s="29" t="s">
        <v>193</v>
      </c>
      <c r="B134" s="30">
        <f t="shared" ref="B134:R134" si="30">B130-B131+B133</f>
        <v>0</v>
      </c>
      <c r="C134" s="30">
        <f t="shared" si="30"/>
        <v>0</v>
      </c>
      <c r="D134" s="30">
        <f t="shared" si="30"/>
        <v>3</v>
      </c>
      <c r="E134" s="30">
        <f t="shared" si="30"/>
        <v>2</v>
      </c>
      <c r="F134" s="30">
        <f t="shared" si="30"/>
        <v>2</v>
      </c>
      <c r="G134" s="30">
        <f t="shared" si="30"/>
        <v>2</v>
      </c>
      <c r="H134" s="30">
        <f t="shared" si="30"/>
        <v>2</v>
      </c>
      <c r="I134" s="30">
        <f t="shared" si="30"/>
        <v>2</v>
      </c>
      <c r="J134" s="30">
        <f t="shared" si="30"/>
        <v>2</v>
      </c>
      <c r="K134" s="30">
        <f t="shared" si="30"/>
        <v>2</v>
      </c>
      <c r="L134" s="30">
        <f t="shared" si="30"/>
        <v>1</v>
      </c>
      <c r="M134" s="30">
        <f t="shared" si="30"/>
        <v>1</v>
      </c>
      <c r="N134" s="30">
        <f t="shared" si="30"/>
        <v>1</v>
      </c>
      <c r="O134" s="30">
        <f t="shared" si="30"/>
        <v>3</v>
      </c>
      <c r="P134" s="30">
        <f t="shared" si="30"/>
        <v>3</v>
      </c>
      <c r="Q134" s="30">
        <f t="shared" si="30"/>
        <v>2</v>
      </c>
      <c r="R134" s="30">
        <f t="shared" si="30"/>
        <v>2</v>
      </c>
    </row>
    <row r="136">
      <c r="A136" s="48" t="s">
        <v>497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9"/>
    </row>
    <row r="137">
      <c r="A137" s="23" t="s">
        <v>39</v>
      </c>
      <c r="B137" s="24">
        <v>2026.0</v>
      </c>
      <c r="C137" s="8"/>
      <c r="D137" s="8"/>
      <c r="E137" s="8"/>
      <c r="F137" s="9"/>
      <c r="G137" s="24">
        <v>2027.0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9"/>
    </row>
    <row r="138">
      <c r="A138" s="29" t="s">
        <v>45</v>
      </c>
      <c r="B138" s="29" t="s">
        <v>46</v>
      </c>
      <c r="C138" s="29" t="s">
        <v>47</v>
      </c>
      <c r="D138" s="29" t="s">
        <v>49</v>
      </c>
      <c r="E138" s="29" t="s">
        <v>50</v>
      </c>
      <c r="F138" s="29" t="s">
        <v>51</v>
      </c>
      <c r="G138" s="29" t="s">
        <v>52</v>
      </c>
      <c r="H138" s="29" t="s">
        <v>53</v>
      </c>
      <c r="I138" s="29" t="s">
        <v>54</v>
      </c>
      <c r="J138" s="29" t="s">
        <v>55</v>
      </c>
      <c r="K138" s="29" t="s">
        <v>56</v>
      </c>
      <c r="L138" s="29" t="s">
        <v>57</v>
      </c>
      <c r="M138" s="29" t="s">
        <v>58</v>
      </c>
      <c r="N138" s="29" t="s">
        <v>46</v>
      </c>
      <c r="O138" s="29" t="s">
        <v>47</v>
      </c>
      <c r="P138" s="29" t="s">
        <v>49</v>
      </c>
      <c r="Q138" s="29" t="s">
        <v>50</v>
      </c>
      <c r="R138" s="29" t="s">
        <v>51</v>
      </c>
    </row>
    <row r="139">
      <c r="A139" s="29" t="s">
        <v>59</v>
      </c>
      <c r="B139" s="36">
        <v>0.0</v>
      </c>
      <c r="C139" s="30">
        <f t="shared" ref="C139:R139" si="31">B143</f>
        <v>0</v>
      </c>
      <c r="D139" s="30">
        <f t="shared" si="31"/>
        <v>0</v>
      </c>
      <c r="E139" s="30">
        <f t="shared" si="31"/>
        <v>2</v>
      </c>
      <c r="F139" s="30">
        <f t="shared" si="31"/>
        <v>1</v>
      </c>
      <c r="G139" s="30">
        <f t="shared" si="31"/>
        <v>1</v>
      </c>
      <c r="H139" s="30">
        <f t="shared" si="31"/>
        <v>1</v>
      </c>
      <c r="I139" s="30">
        <f t="shared" si="31"/>
        <v>1</v>
      </c>
      <c r="J139" s="30">
        <f t="shared" si="31"/>
        <v>1</v>
      </c>
      <c r="K139" s="30">
        <f t="shared" si="31"/>
        <v>1</v>
      </c>
      <c r="L139" s="30">
        <f t="shared" si="31"/>
        <v>1</v>
      </c>
      <c r="M139" s="30">
        <f t="shared" si="31"/>
        <v>0</v>
      </c>
      <c r="N139" s="30">
        <f t="shared" si="31"/>
        <v>0</v>
      </c>
      <c r="O139" s="30">
        <f t="shared" si="31"/>
        <v>0</v>
      </c>
      <c r="P139" s="30">
        <f t="shared" si="31"/>
        <v>2</v>
      </c>
      <c r="Q139" s="30">
        <f t="shared" si="31"/>
        <v>2</v>
      </c>
      <c r="R139" s="30">
        <f t="shared" si="31"/>
        <v>1</v>
      </c>
    </row>
    <row r="140">
      <c r="A140" s="29" t="s">
        <v>64</v>
      </c>
      <c r="B140" s="36">
        <v>0.0</v>
      </c>
      <c r="C140" s="36">
        <v>0.0</v>
      </c>
      <c r="D140" s="36">
        <v>0.0</v>
      </c>
      <c r="E140" s="36">
        <v>1.0</v>
      </c>
      <c r="F140" s="36">
        <v>0.0</v>
      </c>
      <c r="G140" s="36">
        <v>0.0</v>
      </c>
      <c r="H140" s="36">
        <v>0.0</v>
      </c>
      <c r="I140" s="36">
        <v>0.0</v>
      </c>
      <c r="J140" s="36">
        <v>0.0</v>
      </c>
      <c r="K140" s="36">
        <v>0.0</v>
      </c>
      <c r="L140" s="36">
        <v>1.0</v>
      </c>
      <c r="M140" s="36">
        <v>0.0</v>
      </c>
      <c r="N140" s="36">
        <v>0.0</v>
      </c>
      <c r="O140" s="36">
        <v>0.0</v>
      </c>
      <c r="P140" s="36">
        <v>0.0</v>
      </c>
      <c r="Q140" s="36">
        <v>1.0</v>
      </c>
      <c r="R140" s="36">
        <v>0.0</v>
      </c>
    </row>
    <row r="141">
      <c r="A141" s="29" t="s">
        <v>66</v>
      </c>
      <c r="B141" s="36">
        <v>2.0</v>
      </c>
      <c r="C141" s="36">
        <v>0.0</v>
      </c>
      <c r="D141" s="36">
        <v>0.0</v>
      </c>
      <c r="E141" s="30">
        <v>0.0</v>
      </c>
      <c r="F141" s="36">
        <v>0.0</v>
      </c>
      <c r="G141" s="30">
        <v>0.0</v>
      </c>
      <c r="H141" s="30">
        <v>0.0</v>
      </c>
      <c r="I141" s="36">
        <v>0.0</v>
      </c>
      <c r="J141" s="30">
        <v>0.0</v>
      </c>
      <c r="K141" s="30">
        <v>0.0</v>
      </c>
      <c r="L141" s="36">
        <v>0.0</v>
      </c>
      <c r="M141" s="36">
        <v>2.0</v>
      </c>
      <c r="N141" s="36">
        <v>0.0</v>
      </c>
      <c r="O141" s="36">
        <v>0.0</v>
      </c>
      <c r="P141" s="30">
        <v>0.0</v>
      </c>
      <c r="Q141" s="30">
        <v>0.0</v>
      </c>
      <c r="R141" s="36">
        <v>0.0</v>
      </c>
    </row>
    <row r="142">
      <c r="A142" s="29" t="s">
        <v>68</v>
      </c>
      <c r="B142" s="30">
        <v>0.0</v>
      </c>
      <c r="C142" s="30">
        <v>0.0</v>
      </c>
      <c r="D142" s="36">
        <v>2.0</v>
      </c>
      <c r="E142" s="36">
        <v>0.0</v>
      </c>
      <c r="F142" s="36">
        <v>0.0</v>
      </c>
      <c r="G142" s="36">
        <v>0.0</v>
      </c>
      <c r="H142" s="36">
        <v>0.0</v>
      </c>
      <c r="I142" s="30">
        <v>0.0</v>
      </c>
      <c r="J142" s="30">
        <v>0.0</v>
      </c>
      <c r="K142" s="36">
        <v>0.0</v>
      </c>
      <c r="L142" s="30">
        <v>0.0</v>
      </c>
      <c r="M142" s="30">
        <v>0.0</v>
      </c>
      <c r="N142" s="36">
        <v>0.0</v>
      </c>
      <c r="O142" s="36">
        <v>2.0</v>
      </c>
      <c r="P142" s="36">
        <v>0.0</v>
      </c>
      <c r="Q142" s="36">
        <v>0.0</v>
      </c>
      <c r="R142" s="36">
        <v>0.0</v>
      </c>
    </row>
    <row r="143">
      <c r="A143" s="29" t="s">
        <v>193</v>
      </c>
      <c r="B143" s="30">
        <f t="shared" ref="B143:R143" si="32">B139-B140+B142</f>
        <v>0</v>
      </c>
      <c r="C143" s="30">
        <f t="shared" si="32"/>
        <v>0</v>
      </c>
      <c r="D143" s="30">
        <f t="shared" si="32"/>
        <v>2</v>
      </c>
      <c r="E143" s="30">
        <f t="shared" si="32"/>
        <v>1</v>
      </c>
      <c r="F143" s="30">
        <f t="shared" si="32"/>
        <v>1</v>
      </c>
      <c r="G143" s="30">
        <f t="shared" si="32"/>
        <v>1</v>
      </c>
      <c r="H143" s="30">
        <f t="shared" si="32"/>
        <v>1</v>
      </c>
      <c r="I143" s="30">
        <f t="shared" si="32"/>
        <v>1</v>
      </c>
      <c r="J143" s="30">
        <f t="shared" si="32"/>
        <v>1</v>
      </c>
      <c r="K143" s="30">
        <f t="shared" si="32"/>
        <v>1</v>
      </c>
      <c r="L143" s="30">
        <f t="shared" si="32"/>
        <v>0</v>
      </c>
      <c r="M143" s="30">
        <f t="shared" si="32"/>
        <v>0</v>
      </c>
      <c r="N143" s="30">
        <f t="shared" si="32"/>
        <v>0</v>
      </c>
      <c r="O143" s="30">
        <f t="shared" si="32"/>
        <v>2</v>
      </c>
      <c r="P143" s="30">
        <f t="shared" si="32"/>
        <v>2</v>
      </c>
      <c r="Q143" s="30">
        <f t="shared" si="32"/>
        <v>1</v>
      </c>
      <c r="R143" s="30">
        <f t="shared" si="32"/>
        <v>1</v>
      </c>
    </row>
    <row r="145">
      <c r="A145" s="48" t="s">
        <v>525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9"/>
    </row>
    <row r="146">
      <c r="A146" s="23" t="s">
        <v>39</v>
      </c>
      <c r="B146" s="24">
        <v>2026.0</v>
      </c>
      <c r="C146" s="8"/>
      <c r="D146" s="8"/>
      <c r="E146" s="8"/>
      <c r="F146" s="9"/>
      <c r="G146" s="24">
        <v>2027.0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9"/>
    </row>
    <row r="147">
      <c r="A147" s="29" t="s">
        <v>45</v>
      </c>
      <c r="B147" s="29" t="s">
        <v>46</v>
      </c>
      <c r="C147" s="29" t="s">
        <v>47</v>
      </c>
      <c r="D147" s="29" t="s">
        <v>49</v>
      </c>
      <c r="E147" s="29" t="s">
        <v>50</v>
      </c>
      <c r="F147" s="29" t="s">
        <v>51</v>
      </c>
      <c r="G147" s="29" t="s">
        <v>52</v>
      </c>
      <c r="H147" s="29" t="s">
        <v>53</v>
      </c>
      <c r="I147" s="29" t="s">
        <v>54</v>
      </c>
      <c r="J147" s="29" t="s">
        <v>55</v>
      </c>
      <c r="K147" s="29" t="s">
        <v>56</v>
      </c>
      <c r="L147" s="29" t="s">
        <v>57</v>
      </c>
      <c r="M147" s="29" t="s">
        <v>58</v>
      </c>
      <c r="N147" s="29" t="s">
        <v>46</v>
      </c>
      <c r="O147" s="29" t="s">
        <v>47</v>
      </c>
      <c r="P147" s="29" t="s">
        <v>49</v>
      </c>
      <c r="Q147" s="29" t="s">
        <v>50</v>
      </c>
      <c r="R147" s="29" t="s">
        <v>51</v>
      </c>
    </row>
    <row r="148">
      <c r="A148" s="29" t="s">
        <v>59</v>
      </c>
      <c r="B148" s="36">
        <v>0.0</v>
      </c>
      <c r="C148" s="30">
        <f t="shared" ref="C148:R148" si="33">B152</f>
        <v>0</v>
      </c>
      <c r="D148" s="30">
        <f t="shared" si="33"/>
        <v>0</v>
      </c>
      <c r="E148" s="30">
        <f t="shared" si="33"/>
        <v>5</v>
      </c>
      <c r="F148" s="30">
        <f t="shared" si="33"/>
        <v>5</v>
      </c>
      <c r="G148" s="30">
        <f t="shared" si="33"/>
        <v>5</v>
      </c>
      <c r="H148" s="30">
        <f t="shared" si="33"/>
        <v>5</v>
      </c>
      <c r="I148" s="30">
        <f t="shared" si="33"/>
        <v>4</v>
      </c>
      <c r="J148" s="30">
        <f t="shared" si="33"/>
        <v>4</v>
      </c>
      <c r="K148" s="30">
        <f t="shared" si="33"/>
        <v>4</v>
      </c>
      <c r="L148" s="30">
        <f t="shared" si="33"/>
        <v>3</v>
      </c>
      <c r="M148" s="30">
        <f t="shared" si="33"/>
        <v>3</v>
      </c>
      <c r="N148" s="30">
        <f t="shared" si="33"/>
        <v>3</v>
      </c>
      <c r="O148" s="30">
        <f t="shared" si="33"/>
        <v>3</v>
      </c>
      <c r="P148" s="30">
        <f t="shared" si="33"/>
        <v>2</v>
      </c>
      <c r="Q148" s="30">
        <f t="shared" si="33"/>
        <v>2</v>
      </c>
      <c r="R148" s="30">
        <f t="shared" si="33"/>
        <v>2</v>
      </c>
    </row>
    <row r="149">
      <c r="A149" s="29" t="s">
        <v>64</v>
      </c>
      <c r="B149" s="36">
        <v>0.0</v>
      </c>
      <c r="C149" s="36">
        <v>0.0</v>
      </c>
      <c r="D149" s="36">
        <v>1.0</v>
      </c>
      <c r="E149" s="36">
        <v>0.0</v>
      </c>
      <c r="F149" s="36">
        <v>0.0</v>
      </c>
      <c r="G149" s="36">
        <v>0.0</v>
      </c>
      <c r="H149" s="36">
        <v>1.0</v>
      </c>
      <c r="I149" s="36">
        <v>0.0</v>
      </c>
      <c r="J149" s="36">
        <v>0.0</v>
      </c>
      <c r="K149" s="36">
        <v>1.0</v>
      </c>
      <c r="L149" s="36">
        <v>0.0</v>
      </c>
      <c r="M149" s="36">
        <v>0.0</v>
      </c>
      <c r="N149" s="36">
        <v>0.0</v>
      </c>
      <c r="O149" s="36">
        <v>1.0</v>
      </c>
      <c r="P149" s="36">
        <v>0.0</v>
      </c>
      <c r="Q149" s="36">
        <v>0.0</v>
      </c>
      <c r="R149" s="36">
        <v>0.0</v>
      </c>
    </row>
    <row r="150">
      <c r="A150" s="29" t="s">
        <v>66</v>
      </c>
      <c r="B150" s="36">
        <v>6.0</v>
      </c>
      <c r="C150" s="36">
        <v>0.0</v>
      </c>
      <c r="D150" s="36">
        <v>0.0</v>
      </c>
      <c r="E150" s="30">
        <v>0.0</v>
      </c>
      <c r="F150" s="36">
        <v>0.0</v>
      </c>
      <c r="G150" s="30">
        <v>0.0</v>
      </c>
      <c r="H150" s="30">
        <v>0.0</v>
      </c>
      <c r="I150" s="36">
        <v>0.0</v>
      </c>
      <c r="J150" s="30">
        <v>0.0</v>
      </c>
      <c r="K150" s="30">
        <v>0.0</v>
      </c>
      <c r="L150" s="36">
        <v>0.0</v>
      </c>
      <c r="M150" s="36">
        <v>0.0</v>
      </c>
      <c r="N150" s="36">
        <v>0.0</v>
      </c>
      <c r="O150" s="36">
        <v>0.0</v>
      </c>
      <c r="P150" s="30">
        <v>0.0</v>
      </c>
      <c r="Q150" s="30">
        <v>0.0</v>
      </c>
      <c r="R150" s="36">
        <v>0.0</v>
      </c>
    </row>
    <row r="151">
      <c r="A151" s="29" t="s">
        <v>68</v>
      </c>
      <c r="B151" s="30">
        <v>0.0</v>
      </c>
      <c r="C151" s="30">
        <v>0.0</v>
      </c>
      <c r="D151" s="36">
        <v>6.0</v>
      </c>
      <c r="E151" s="36">
        <v>0.0</v>
      </c>
      <c r="F151" s="36">
        <v>0.0</v>
      </c>
      <c r="G151" s="36">
        <v>0.0</v>
      </c>
      <c r="H151" s="36">
        <v>0.0</v>
      </c>
      <c r="I151" s="30">
        <v>0.0</v>
      </c>
      <c r="J151" s="30">
        <v>0.0</v>
      </c>
      <c r="K151" s="36">
        <v>0.0</v>
      </c>
      <c r="L151" s="30">
        <v>0.0</v>
      </c>
      <c r="M151" s="30">
        <v>0.0</v>
      </c>
      <c r="N151" s="36">
        <v>0.0</v>
      </c>
      <c r="O151" s="36">
        <v>0.0</v>
      </c>
      <c r="P151" s="36">
        <v>0.0</v>
      </c>
      <c r="Q151" s="36">
        <v>0.0</v>
      </c>
      <c r="R151" s="36">
        <v>0.0</v>
      </c>
    </row>
    <row r="152">
      <c r="A152" s="29" t="s">
        <v>193</v>
      </c>
      <c r="B152" s="30">
        <f t="shared" ref="B152:R152" si="34">B148-B149+B151</f>
        <v>0</v>
      </c>
      <c r="C152" s="30">
        <f t="shared" si="34"/>
        <v>0</v>
      </c>
      <c r="D152" s="30">
        <f t="shared" si="34"/>
        <v>5</v>
      </c>
      <c r="E152" s="30">
        <f t="shared" si="34"/>
        <v>5</v>
      </c>
      <c r="F152" s="30">
        <f t="shared" si="34"/>
        <v>5</v>
      </c>
      <c r="G152" s="30">
        <f t="shared" si="34"/>
        <v>5</v>
      </c>
      <c r="H152" s="30">
        <f t="shared" si="34"/>
        <v>4</v>
      </c>
      <c r="I152" s="30">
        <f t="shared" si="34"/>
        <v>4</v>
      </c>
      <c r="J152" s="30">
        <f t="shared" si="34"/>
        <v>4</v>
      </c>
      <c r="K152" s="30">
        <f t="shared" si="34"/>
        <v>3</v>
      </c>
      <c r="L152" s="30">
        <f t="shared" si="34"/>
        <v>3</v>
      </c>
      <c r="M152" s="30">
        <f t="shared" si="34"/>
        <v>3</v>
      </c>
      <c r="N152" s="30">
        <f t="shared" si="34"/>
        <v>3</v>
      </c>
      <c r="O152" s="30">
        <f t="shared" si="34"/>
        <v>2</v>
      </c>
      <c r="P152" s="30">
        <f t="shared" si="34"/>
        <v>2</v>
      </c>
      <c r="Q152" s="30">
        <f t="shared" si="34"/>
        <v>2</v>
      </c>
      <c r="R152" s="30">
        <f t="shared" si="34"/>
        <v>2</v>
      </c>
    </row>
    <row r="154">
      <c r="A154" s="48" t="s">
        <v>547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9"/>
    </row>
    <row r="155">
      <c r="A155" s="23" t="s">
        <v>39</v>
      </c>
      <c r="B155" s="24">
        <v>2026.0</v>
      </c>
      <c r="C155" s="8"/>
      <c r="D155" s="8"/>
      <c r="E155" s="8"/>
      <c r="F155" s="9"/>
      <c r="G155" s="24">
        <v>2027.0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9"/>
    </row>
    <row r="156">
      <c r="A156" s="29" t="s">
        <v>45</v>
      </c>
      <c r="B156" s="29" t="s">
        <v>46</v>
      </c>
      <c r="C156" s="29" t="s">
        <v>47</v>
      </c>
      <c r="D156" s="29" t="s">
        <v>49</v>
      </c>
      <c r="E156" s="29" t="s">
        <v>50</v>
      </c>
      <c r="F156" s="29" t="s">
        <v>51</v>
      </c>
      <c r="G156" s="29" t="s">
        <v>52</v>
      </c>
      <c r="H156" s="29" t="s">
        <v>53</v>
      </c>
      <c r="I156" s="29" t="s">
        <v>54</v>
      </c>
      <c r="J156" s="29" t="s">
        <v>55</v>
      </c>
      <c r="K156" s="29" t="s">
        <v>56</v>
      </c>
      <c r="L156" s="29" t="s">
        <v>57</v>
      </c>
      <c r="M156" s="29" t="s">
        <v>58</v>
      </c>
      <c r="N156" s="29" t="s">
        <v>46</v>
      </c>
      <c r="O156" s="29" t="s">
        <v>47</v>
      </c>
      <c r="P156" s="29" t="s">
        <v>49</v>
      </c>
      <c r="Q156" s="29" t="s">
        <v>50</v>
      </c>
      <c r="R156" s="29" t="s">
        <v>51</v>
      </c>
    </row>
    <row r="157">
      <c r="A157" s="29" t="s">
        <v>59</v>
      </c>
      <c r="B157" s="36">
        <v>5.0</v>
      </c>
      <c r="C157" s="30">
        <f t="shared" ref="C157:R157" si="35">B161</f>
        <v>5</v>
      </c>
      <c r="D157" s="30">
        <f t="shared" si="35"/>
        <v>5</v>
      </c>
      <c r="E157" s="30">
        <f t="shared" si="35"/>
        <v>4</v>
      </c>
      <c r="F157" s="30">
        <f t="shared" si="35"/>
        <v>4</v>
      </c>
      <c r="G157" s="30">
        <f t="shared" si="35"/>
        <v>4</v>
      </c>
      <c r="H157" s="30">
        <f t="shared" si="35"/>
        <v>4</v>
      </c>
      <c r="I157" s="30">
        <f t="shared" si="35"/>
        <v>3</v>
      </c>
      <c r="J157" s="30">
        <f t="shared" si="35"/>
        <v>3</v>
      </c>
      <c r="K157" s="30">
        <f t="shared" si="35"/>
        <v>3</v>
      </c>
      <c r="L157" s="30">
        <f t="shared" si="35"/>
        <v>2</v>
      </c>
      <c r="M157" s="30">
        <f t="shared" si="35"/>
        <v>2</v>
      </c>
      <c r="N157" s="30">
        <f t="shared" si="35"/>
        <v>2</v>
      </c>
      <c r="O157" s="30">
        <f t="shared" si="35"/>
        <v>2</v>
      </c>
      <c r="P157" s="30">
        <f t="shared" si="35"/>
        <v>1</v>
      </c>
      <c r="Q157" s="30">
        <f t="shared" si="35"/>
        <v>1</v>
      </c>
      <c r="R157" s="30">
        <f t="shared" si="35"/>
        <v>1</v>
      </c>
    </row>
    <row r="158">
      <c r="A158" s="29" t="s">
        <v>64</v>
      </c>
      <c r="B158" s="36">
        <v>0.0</v>
      </c>
      <c r="C158" s="36">
        <v>0.0</v>
      </c>
      <c r="D158" s="36">
        <v>1.0</v>
      </c>
      <c r="E158" s="36">
        <v>0.0</v>
      </c>
      <c r="F158" s="36">
        <v>0.0</v>
      </c>
      <c r="G158" s="36">
        <v>0.0</v>
      </c>
      <c r="H158" s="36">
        <v>1.0</v>
      </c>
      <c r="I158" s="36">
        <v>0.0</v>
      </c>
      <c r="J158" s="36">
        <v>0.0</v>
      </c>
      <c r="K158" s="36">
        <v>1.0</v>
      </c>
      <c r="L158" s="36">
        <v>0.0</v>
      </c>
      <c r="M158" s="36">
        <v>0.0</v>
      </c>
      <c r="N158" s="36">
        <v>0.0</v>
      </c>
      <c r="O158" s="36">
        <v>1.0</v>
      </c>
      <c r="P158" s="36">
        <v>0.0</v>
      </c>
      <c r="Q158" s="36">
        <v>0.0</v>
      </c>
      <c r="R158" s="36">
        <v>0.0</v>
      </c>
    </row>
    <row r="159">
      <c r="A159" s="29" t="s">
        <v>66</v>
      </c>
      <c r="B159" s="36">
        <v>0.0</v>
      </c>
      <c r="C159" s="36">
        <v>0.0</v>
      </c>
      <c r="D159" s="36">
        <v>0.0</v>
      </c>
      <c r="E159" s="30">
        <v>0.0</v>
      </c>
      <c r="F159" s="36">
        <v>0.0</v>
      </c>
      <c r="G159" s="30">
        <v>0.0</v>
      </c>
      <c r="H159" s="30">
        <v>0.0</v>
      </c>
      <c r="I159" s="36">
        <v>0.0</v>
      </c>
      <c r="J159" s="30">
        <v>0.0</v>
      </c>
      <c r="K159" s="30">
        <v>0.0</v>
      </c>
      <c r="L159" s="36">
        <v>0.0</v>
      </c>
      <c r="M159" s="36">
        <v>0.0</v>
      </c>
      <c r="N159" s="36">
        <v>0.0</v>
      </c>
      <c r="O159" s="36">
        <v>0.0</v>
      </c>
      <c r="P159" s="30">
        <v>0.0</v>
      </c>
      <c r="Q159" s="30">
        <v>0.0</v>
      </c>
      <c r="R159" s="36">
        <v>0.0</v>
      </c>
    </row>
    <row r="160">
      <c r="A160" s="29" t="s">
        <v>68</v>
      </c>
      <c r="B160" s="30">
        <v>0.0</v>
      </c>
      <c r="C160" s="30">
        <v>0.0</v>
      </c>
      <c r="D160" s="36">
        <v>0.0</v>
      </c>
      <c r="E160" s="36">
        <v>0.0</v>
      </c>
      <c r="F160" s="36">
        <v>0.0</v>
      </c>
      <c r="G160" s="36">
        <v>0.0</v>
      </c>
      <c r="H160" s="36">
        <v>0.0</v>
      </c>
      <c r="I160" s="30">
        <v>0.0</v>
      </c>
      <c r="J160" s="30">
        <v>0.0</v>
      </c>
      <c r="K160" s="36">
        <v>0.0</v>
      </c>
      <c r="L160" s="30">
        <v>0.0</v>
      </c>
      <c r="M160" s="30">
        <v>0.0</v>
      </c>
      <c r="N160" s="36">
        <v>0.0</v>
      </c>
      <c r="O160" s="36">
        <v>0.0</v>
      </c>
      <c r="P160" s="36">
        <v>0.0</v>
      </c>
      <c r="Q160" s="36">
        <v>0.0</v>
      </c>
      <c r="R160" s="36">
        <v>0.0</v>
      </c>
    </row>
    <row r="161">
      <c r="A161" s="29" t="s">
        <v>193</v>
      </c>
      <c r="B161" s="30">
        <f t="shared" ref="B161:R161" si="36">B157-B158+B160</f>
        <v>5</v>
      </c>
      <c r="C161" s="30">
        <f t="shared" si="36"/>
        <v>5</v>
      </c>
      <c r="D161" s="30">
        <f t="shared" si="36"/>
        <v>4</v>
      </c>
      <c r="E161" s="30">
        <f t="shared" si="36"/>
        <v>4</v>
      </c>
      <c r="F161" s="30">
        <f t="shared" si="36"/>
        <v>4</v>
      </c>
      <c r="G161" s="30">
        <f t="shared" si="36"/>
        <v>4</v>
      </c>
      <c r="H161" s="30">
        <f t="shared" si="36"/>
        <v>3</v>
      </c>
      <c r="I161" s="30">
        <f t="shared" si="36"/>
        <v>3</v>
      </c>
      <c r="J161" s="30">
        <f t="shared" si="36"/>
        <v>3</v>
      </c>
      <c r="K161" s="30">
        <f t="shared" si="36"/>
        <v>2</v>
      </c>
      <c r="L161" s="30">
        <f t="shared" si="36"/>
        <v>2</v>
      </c>
      <c r="M161" s="30">
        <f t="shared" si="36"/>
        <v>2</v>
      </c>
      <c r="N161" s="30">
        <f t="shared" si="36"/>
        <v>2</v>
      </c>
      <c r="O161" s="30">
        <f t="shared" si="36"/>
        <v>1</v>
      </c>
      <c r="P161" s="30">
        <f t="shared" si="36"/>
        <v>1</v>
      </c>
      <c r="Q161" s="30">
        <f t="shared" si="36"/>
        <v>1</v>
      </c>
      <c r="R161" s="30">
        <f t="shared" si="36"/>
        <v>1</v>
      </c>
    </row>
    <row r="163">
      <c r="A163" s="48" t="s">
        <v>573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9"/>
    </row>
    <row r="164">
      <c r="A164" s="23" t="s">
        <v>39</v>
      </c>
      <c r="B164" s="24">
        <v>2026.0</v>
      </c>
      <c r="C164" s="8"/>
      <c r="D164" s="8"/>
      <c r="E164" s="8"/>
      <c r="F164" s="9"/>
      <c r="G164" s="24">
        <v>2027.0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9"/>
    </row>
    <row r="165">
      <c r="A165" s="29" t="s">
        <v>45</v>
      </c>
      <c r="B165" s="29" t="s">
        <v>46</v>
      </c>
      <c r="C165" s="29" t="s">
        <v>47</v>
      </c>
      <c r="D165" s="29" t="s">
        <v>49</v>
      </c>
      <c r="E165" s="29" t="s">
        <v>50</v>
      </c>
      <c r="F165" s="29" t="s">
        <v>51</v>
      </c>
      <c r="G165" s="29" t="s">
        <v>52</v>
      </c>
      <c r="H165" s="29" t="s">
        <v>53</v>
      </c>
      <c r="I165" s="29" t="s">
        <v>54</v>
      </c>
      <c r="J165" s="29" t="s">
        <v>55</v>
      </c>
      <c r="K165" s="29" t="s">
        <v>56</v>
      </c>
      <c r="L165" s="29" t="s">
        <v>57</v>
      </c>
      <c r="M165" s="29" t="s">
        <v>58</v>
      </c>
      <c r="N165" s="29" t="s">
        <v>46</v>
      </c>
      <c r="O165" s="29" t="s">
        <v>47</v>
      </c>
      <c r="P165" s="29" t="s">
        <v>49</v>
      </c>
      <c r="Q165" s="29" t="s">
        <v>50</v>
      </c>
      <c r="R165" s="29" t="s">
        <v>51</v>
      </c>
    </row>
    <row r="166">
      <c r="A166" s="29" t="s">
        <v>59</v>
      </c>
      <c r="B166" s="36">
        <v>1.0</v>
      </c>
      <c r="C166" s="30">
        <f t="shared" ref="C166:R166" si="37">B170</f>
        <v>1</v>
      </c>
      <c r="D166" s="30">
        <f t="shared" si="37"/>
        <v>1</v>
      </c>
      <c r="E166" s="30">
        <f t="shared" si="37"/>
        <v>1</v>
      </c>
      <c r="F166" s="30">
        <f t="shared" si="37"/>
        <v>1</v>
      </c>
      <c r="G166" s="30">
        <f t="shared" si="37"/>
        <v>1</v>
      </c>
      <c r="H166" s="30">
        <f t="shared" si="37"/>
        <v>1</v>
      </c>
      <c r="I166" s="30">
        <f t="shared" si="37"/>
        <v>0</v>
      </c>
      <c r="J166" s="30">
        <f t="shared" si="37"/>
        <v>0</v>
      </c>
      <c r="K166" s="30">
        <f t="shared" si="37"/>
        <v>0</v>
      </c>
      <c r="L166" s="30">
        <f t="shared" si="37"/>
        <v>0</v>
      </c>
      <c r="M166" s="30">
        <f t="shared" si="37"/>
        <v>0</v>
      </c>
      <c r="N166" s="30">
        <f t="shared" si="37"/>
        <v>1</v>
      </c>
      <c r="O166" s="30">
        <f t="shared" si="37"/>
        <v>1</v>
      </c>
      <c r="P166" s="30">
        <f t="shared" si="37"/>
        <v>1</v>
      </c>
      <c r="Q166" s="30">
        <f t="shared" si="37"/>
        <v>1</v>
      </c>
      <c r="R166" s="30">
        <f t="shared" si="37"/>
        <v>1</v>
      </c>
    </row>
    <row r="167">
      <c r="A167" s="29" t="s">
        <v>64</v>
      </c>
      <c r="B167" s="36">
        <v>0.0</v>
      </c>
      <c r="C167" s="36">
        <v>0.0</v>
      </c>
      <c r="D167" s="36">
        <v>0.0</v>
      </c>
      <c r="E167" s="36">
        <v>0.0</v>
      </c>
      <c r="F167" s="36">
        <v>0.0</v>
      </c>
      <c r="G167" s="36">
        <v>0.0</v>
      </c>
      <c r="H167" s="36">
        <v>1.0</v>
      </c>
      <c r="I167" s="36">
        <v>0.0</v>
      </c>
      <c r="J167" s="36">
        <v>0.0</v>
      </c>
      <c r="K167" s="36">
        <v>0.0</v>
      </c>
      <c r="L167" s="36">
        <v>0.0</v>
      </c>
      <c r="M167" s="36">
        <v>0.0</v>
      </c>
      <c r="N167" s="36">
        <v>0.0</v>
      </c>
      <c r="O167" s="36">
        <v>0.0</v>
      </c>
      <c r="P167" s="36">
        <v>0.0</v>
      </c>
      <c r="Q167" s="36">
        <v>0.0</v>
      </c>
      <c r="R167" s="36">
        <v>0.0</v>
      </c>
    </row>
    <row r="168">
      <c r="A168" s="29" t="s">
        <v>66</v>
      </c>
      <c r="B168" s="36">
        <v>0.0</v>
      </c>
      <c r="C168" s="36">
        <v>0.0</v>
      </c>
      <c r="D168" s="36">
        <v>0.0</v>
      </c>
      <c r="E168" s="30">
        <v>0.0</v>
      </c>
      <c r="F168" s="36">
        <v>0.0</v>
      </c>
      <c r="G168" s="30">
        <v>0.0</v>
      </c>
      <c r="H168" s="30">
        <v>0.0</v>
      </c>
      <c r="I168" s="36">
        <v>1.0</v>
      </c>
      <c r="J168" s="30">
        <v>0.0</v>
      </c>
      <c r="K168" s="30">
        <v>0.0</v>
      </c>
      <c r="L168" s="36">
        <v>0.0</v>
      </c>
      <c r="M168" s="36">
        <v>0.0</v>
      </c>
      <c r="N168" s="36">
        <v>0.0</v>
      </c>
      <c r="O168" s="36">
        <v>0.0</v>
      </c>
      <c r="P168" s="30">
        <v>0.0</v>
      </c>
      <c r="Q168" s="30">
        <v>0.0</v>
      </c>
      <c r="R168" s="36">
        <v>0.0</v>
      </c>
    </row>
    <row r="169">
      <c r="A169" s="29" t="s">
        <v>68</v>
      </c>
      <c r="B169" s="30">
        <v>0.0</v>
      </c>
      <c r="C169" s="30">
        <v>0.0</v>
      </c>
      <c r="D169" s="36">
        <v>0.0</v>
      </c>
      <c r="E169" s="36">
        <v>0.0</v>
      </c>
      <c r="F169" s="36">
        <v>0.0</v>
      </c>
      <c r="G169" s="36">
        <v>0.0</v>
      </c>
      <c r="H169" s="36">
        <v>0.0</v>
      </c>
      <c r="I169" s="30">
        <v>0.0</v>
      </c>
      <c r="J169" s="30">
        <v>0.0</v>
      </c>
      <c r="K169" s="36">
        <v>0.0</v>
      </c>
      <c r="L169" s="30">
        <v>0.0</v>
      </c>
      <c r="M169" s="36">
        <v>1.0</v>
      </c>
      <c r="N169" s="36">
        <v>0.0</v>
      </c>
      <c r="O169" s="36">
        <v>0.0</v>
      </c>
      <c r="P169" s="36">
        <v>0.0</v>
      </c>
      <c r="Q169" s="36">
        <v>0.0</v>
      </c>
      <c r="R169" s="36">
        <v>0.0</v>
      </c>
    </row>
    <row r="170">
      <c r="A170" s="29" t="s">
        <v>193</v>
      </c>
      <c r="B170" s="30">
        <f t="shared" ref="B170:R170" si="38">B166-B167+B169</f>
        <v>1</v>
      </c>
      <c r="C170" s="30">
        <f t="shared" si="38"/>
        <v>1</v>
      </c>
      <c r="D170" s="30">
        <f t="shared" si="38"/>
        <v>1</v>
      </c>
      <c r="E170" s="30">
        <f t="shared" si="38"/>
        <v>1</v>
      </c>
      <c r="F170" s="30">
        <f t="shared" si="38"/>
        <v>1</v>
      </c>
      <c r="G170" s="30">
        <f t="shared" si="38"/>
        <v>1</v>
      </c>
      <c r="H170" s="30">
        <f t="shared" si="38"/>
        <v>0</v>
      </c>
      <c r="I170" s="30">
        <f t="shared" si="38"/>
        <v>0</v>
      </c>
      <c r="J170" s="30">
        <f t="shared" si="38"/>
        <v>0</v>
      </c>
      <c r="K170" s="30">
        <f t="shared" si="38"/>
        <v>0</v>
      </c>
      <c r="L170" s="30">
        <f t="shared" si="38"/>
        <v>0</v>
      </c>
      <c r="M170" s="30">
        <f t="shared" si="38"/>
        <v>1</v>
      </c>
      <c r="N170" s="30">
        <f t="shared" si="38"/>
        <v>1</v>
      </c>
      <c r="O170" s="30">
        <f t="shared" si="38"/>
        <v>1</v>
      </c>
      <c r="P170" s="30">
        <f t="shared" si="38"/>
        <v>1</v>
      </c>
      <c r="Q170" s="30">
        <f t="shared" si="38"/>
        <v>1</v>
      </c>
      <c r="R170" s="30">
        <f t="shared" si="38"/>
        <v>1</v>
      </c>
    </row>
    <row r="172">
      <c r="A172" s="48" t="s">
        <v>597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9"/>
    </row>
    <row r="173">
      <c r="A173" s="23" t="s">
        <v>39</v>
      </c>
      <c r="B173" s="24">
        <v>2026.0</v>
      </c>
      <c r="C173" s="8"/>
      <c r="D173" s="8"/>
      <c r="E173" s="8"/>
      <c r="F173" s="9"/>
      <c r="G173" s="24">
        <v>2027.0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/>
    </row>
    <row r="174">
      <c r="A174" s="29" t="s">
        <v>45</v>
      </c>
      <c r="B174" s="29" t="s">
        <v>46</v>
      </c>
      <c r="C174" s="29" t="s">
        <v>47</v>
      </c>
      <c r="D174" s="29" t="s">
        <v>49</v>
      </c>
      <c r="E174" s="29" t="s">
        <v>50</v>
      </c>
      <c r="F174" s="29" t="s">
        <v>51</v>
      </c>
      <c r="G174" s="29" t="s">
        <v>52</v>
      </c>
      <c r="H174" s="29" t="s">
        <v>53</v>
      </c>
      <c r="I174" s="29" t="s">
        <v>54</v>
      </c>
      <c r="J174" s="29" t="s">
        <v>55</v>
      </c>
      <c r="K174" s="29" t="s">
        <v>56</v>
      </c>
      <c r="L174" s="29" t="s">
        <v>57</v>
      </c>
      <c r="M174" s="29" t="s">
        <v>58</v>
      </c>
      <c r="N174" s="29" t="s">
        <v>46</v>
      </c>
      <c r="O174" s="29" t="s">
        <v>47</v>
      </c>
      <c r="P174" s="29" t="s">
        <v>49</v>
      </c>
      <c r="Q174" s="29" t="s">
        <v>50</v>
      </c>
      <c r="R174" s="29" t="s">
        <v>51</v>
      </c>
    </row>
    <row r="175">
      <c r="A175" s="29" t="s">
        <v>59</v>
      </c>
      <c r="B175" s="36">
        <v>1.0</v>
      </c>
      <c r="C175" s="30">
        <f t="shared" ref="C175:R175" si="39">B179</f>
        <v>1</v>
      </c>
      <c r="D175" s="30">
        <f t="shared" si="39"/>
        <v>1</v>
      </c>
      <c r="E175" s="30">
        <f t="shared" si="39"/>
        <v>1</v>
      </c>
      <c r="F175" s="30">
        <f t="shared" si="39"/>
        <v>1</v>
      </c>
      <c r="G175" s="30">
        <f t="shared" si="39"/>
        <v>1</v>
      </c>
      <c r="H175" s="30">
        <f t="shared" si="39"/>
        <v>1</v>
      </c>
      <c r="I175" s="30">
        <f t="shared" si="39"/>
        <v>0</v>
      </c>
      <c r="J175" s="30">
        <f t="shared" si="39"/>
        <v>0</v>
      </c>
      <c r="K175" s="30">
        <f t="shared" si="39"/>
        <v>0</v>
      </c>
      <c r="L175" s="30">
        <f t="shared" si="39"/>
        <v>1</v>
      </c>
      <c r="M175" s="30">
        <f t="shared" si="39"/>
        <v>1</v>
      </c>
      <c r="N175" s="30">
        <f t="shared" si="39"/>
        <v>1</v>
      </c>
      <c r="O175" s="30">
        <f t="shared" si="39"/>
        <v>1</v>
      </c>
      <c r="P175" s="30">
        <f t="shared" si="39"/>
        <v>1</v>
      </c>
      <c r="Q175" s="30">
        <f t="shared" si="39"/>
        <v>1</v>
      </c>
      <c r="R175" s="30">
        <f t="shared" si="39"/>
        <v>1</v>
      </c>
    </row>
    <row r="176">
      <c r="A176" s="29" t="s">
        <v>64</v>
      </c>
      <c r="B176" s="36">
        <v>0.0</v>
      </c>
      <c r="C176" s="36">
        <v>0.0</v>
      </c>
      <c r="D176" s="36">
        <v>0.0</v>
      </c>
      <c r="E176" s="36">
        <v>0.0</v>
      </c>
      <c r="F176" s="36">
        <v>0.0</v>
      </c>
      <c r="G176" s="36">
        <v>0.0</v>
      </c>
      <c r="H176" s="36">
        <v>1.0</v>
      </c>
      <c r="I176" s="36">
        <v>0.0</v>
      </c>
      <c r="J176" s="36">
        <v>0.0</v>
      </c>
      <c r="K176" s="36">
        <v>0.0</v>
      </c>
      <c r="L176" s="36">
        <v>0.0</v>
      </c>
      <c r="M176" s="36">
        <v>0.0</v>
      </c>
      <c r="N176" s="36">
        <v>0.0</v>
      </c>
      <c r="O176" s="36">
        <v>0.0</v>
      </c>
      <c r="P176" s="36">
        <v>0.0</v>
      </c>
      <c r="Q176" s="36">
        <v>0.0</v>
      </c>
      <c r="R176" s="36">
        <v>0.0</v>
      </c>
    </row>
    <row r="177">
      <c r="A177" s="29" t="s">
        <v>66</v>
      </c>
      <c r="B177" s="36">
        <v>0.0</v>
      </c>
      <c r="C177" s="36">
        <v>0.0</v>
      </c>
      <c r="D177" s="36">
        <v>0.0</v>
      </c>
      <c r="E177" s="30">
        <v>0.0</v>
      </c>
      <c r="F177" s="36">
        <v>0.0</v>
      </c>
      <c r="G177" s="30">
        <v>0.0</v>
      </c>
      <c r="H177" s="30">
        <v>0.0</v>
      </c>
      <c r="I177" s="36">
        <v>1.0</v>
      </c>
      <c r="J177" s="30">
        <v>0.0</v>
      </c>
      <c r="K177" s="30">
        <v>0.0</v>
      </c>
      <c r="L177" s="36">
        <v>0.0</v>
      </c>
      <c r="M177" s="36">
        <v>0.0</v>
      </c>
      <c r="N177" s="36">
        <v>0.0</v>
      </c>
      <c r="O177" s="36">
        <v>0.0</v>
      </c>
      <c r="P177" s="30">
        <v>0.0</v>
      </c>
      <c r="Q177" s="30">
        <v>0.0</v>
      </c>
      <c r="R177" s="36">
        <v>0.0</v>
      </c>
    </row>
    <row r="178">
      <c r="A178" s="29" t="s">
        <v>68</v>
      </c>
      <c r="B178" s="30">
        <v>0.0</v>
      </c>
      <c r="C178" s="30">
        <v>0.0</v>
      </c>
      <c r="D178" s="36">
        <v>0.0</v>
      </c>
      <c r="E178" s="36">
        <v>0.0</v>
      </c>
      <c r="F178" s="36">
        <v>0.0</v>
      </c>
      <c r="G178" s="36">
        <v>0.0</v>
      </c>
      <c r="H178" s="36">
        <v>0.0</v>
      </c>
      <c r="I178" s="30">
        <v>0.0</v>
      </c>
      <c r="J178" s="30">
        <v>0.0</v>
      </c>
      <c r="K178" s="36">
        <v>1.0</v>
      </c>
      <c r="L178" s="30">
        <v>0.0</v>
      </c>
      <c r="M178" s="36">
        <v>0.0</v>
      </c>
      <c r="N178" s="36">
        <v>0.0</v>
      </c>
      <c r="O178" s="36">
        <v>0.0</v>
      </c>
      <c r="P178" s="36">
        <v>0.0</v>
      </c>
      <c r="Q178" s="36">
        <v>0.0</v>
      </c>
      <c r="R178" s="36">
        <v>0.0</v>
      </c>
    </row>
    <row r="179">
      <c r="A179" s="29" t="s">
        <v>193</v>
      </c>
      <c r="B179" s="30">
        <f t="shared" ref="B179:R179" si="40">B175-B176+B178</f>
        <v>1</v>
      </c>
      <c r="C179" s="30">
        <f t="shared" si="40"/>
        <v>1</v>
      </c>
      <c r="D179" s="30">
        <f t="shared" si="40"/>
        <v>1</v>
      </c>
      <c r="E179" s="30">
        <f t="shared" si="40"/>
        <v>1</v>
      </c>
      <c r="F179" s="30">
        <f t="shared" si="40"/>
        <v>1</v>
      </c>
      <c r="G179" s="30">
        <f t="shared" si="40"/>
        <v>1</v>
      </c>
      <c r="H179" s="30">
        <f t="shared" si="40"/>
        <v>0</v>
      </c>
      <c r="I179" s="30">
        <f t="shared" si="40"/>
        <v>0</v>
      </c>
      <c r="J179" s="30">
        <f t="shared" si="40"/>
        <v>0</v>
      </c>
      <c r="K179" s="30">
        <f t="shared" si="40"/>
        <v>1</v>
      </c>
      <c r="L179" s="30">
        <f t="shared" si="40"/>
        <v>1</v>
      </c>
      <c r="M179" s="30">
        <f t="shared" si="40"/>
        <v>1</v>
      </c>
      <c r="N179" s="30">
        <f t="shared" si="40"/>
        <v>1</v>
      </c>
      <c r="O179" s="30">
        <f t="shared" si="40"/>
        <v>1</v>
      </c>
      <c r="P179" s="30">
        <f t="shared" si="40"/>
        <v>1</v>
      </c>
      <c r="Q179" s="30">
        <f t="shared" si="40"/>
        <v>1</v>
      </c>
      <c r="R179" s="30">
        <f t="shared" si="40"/>
        <v>1</v>
      </c>
    </row>
    <row r="181">
      <c r="A181" s="48" t="s">
        <v>628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9"/>
    </row>
    <row r="182">
      <c r="A182" s="23" t="s">
        <v>39</v>
      </c>
      <c r="B182" s="24">
        <v>2026.0</v>
      </c>
      <c r="C182" s="8"/>
      <c r="D182" s="8"/>
      <c r="E182" s="8"/>
      <c r="F182" s="9"/>
      <c r="G182" s="24">
        <v>2027.0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9"/>
    </row>
    <row r="183">
      <c r="A183" s="29" t="s">
        <v>45</v>
      </c>
      <c r="B183" s="29" t="s">
        <v>46</v>
      </c>
      <c r="C183" s="29" t="s">
        <v>47</v>
      </c>
      <c r="D183" s="29" t="s">
        <v>49</v>
      </c>
      <c r="E183" s="29" t="s">
        <v>50</v>
      </c>
      <c r="F183" s="29" t="s">
        <v>51</v>
      </c>
      <c r="G183" s="29" t="s">
        <v>52</v>
      </c>
      <c r="H183" s="29" t="s">
        <v>53</v>
      </c>
      <c r="I183" s="29" t="s">
        <v>54</v>
      </c>
      <c r="J183" s="29" t="s">
        <v>55</v>
      </c>
      <c r="K183" s="29" t="s">
        <v>56</v>
      </c>
      <c r="L183" s="29" t="s">
        <v>57</v>
      </c>
      <c r="M183" s="29" t="s">
        <v>58</v>
      </c>
      <c r="N183" s="29" t="s">
        <v>46</v>
      </c>
      <c r="O183" s="29" t="s">
        <v>47</v>
      </c>
      <c r="P183" s="29" t="s">
        <v>49</v>
      </c>
      <c r="Q183" s="29" t="s">
        <v>50</v>
      </c>
      <c r="R183" s="29" t="s">
        <v>51</v>
      </c>
    </row>
    <row r="184">
      <c r="A184" s="29" t="s">
        <v>59</v>
      </c>
      <c r="B184" s="36">
        <v>5.0</v>
      </c>
      <c r="C184" s="30">
        <f t="shared" ref="C184:R184" si="41">B188</f>
        <v>4</v>
      </c>
      <c r="D184" s="30">
        <f t="shared" si="41"/>
        <v>4</v>
      </c>
      <c r="E184" s="30">
        <f t="shared" si="41"/>
        <v>4</v>
      </c>
      <c r="F184" s="30">
        <f t="shared" si="41"/>
        <v>4</v>
      </c>
      <c r="G184" s="30">
        <f t="shared" si="41"/>
        <v>4</v>
      </c>
      <c r="H184" s="30">
        <f t="shared" si="41"/>
        <v>4</v>
      </c>
      <c r="I184" s="30">
        <f t="shared" si="41"/>
        <v>3</v>
      </c>
      <c r="J184" s="30">
        <f t="shared" si="41"/>
        <v>3</v>
      </c>
      <c r="K184" s="30">
        <f t="shared" si="41"/>
        <v>3</v>
      </c>
      <c r="L184" s="30">
        <f t="shared" si="41"/>
        <v>3</v>
      </c>
      <c r="M184" s="30">
        <f t="shared" si="41"/>
        <v>3</v>
      </c>
      <c r="N184" s="30">
        <f t="shared" si="41"/>
        <v>3</v>
      </c>
      <c r="O184" s="30">
        <f t="shared" si="41"/>
        <v>2</v>
      </c>
      <c r="P184" s="30">
        <f t="shared" si="41"/>
        <v>2</v>
      </c>
      <c r="Q184" s="30">
        <f t="shared" si="41"/>
        <v>2</v>
      </c>
      <c r="R184" s="30">
        <f t="shared" si="41"/>
        <v>2</v>
      </c>
    </row>
    <row r="185">
      <c r="A185" s="29" t="s">
        <v>64</v>
      </c>
      <c r="B185" s="36">
        <v>1.0</v>
      </c>
      <c r="C185" s="36">
        <v>0.0</v>
      </c>
      <c r="D185" s="36">
        <v>0.0</v>
      </c>
      <c r="E185" s="36">
        <v>0.0</v>
      </c>
      <c r="F185" s="36">
        <v>0.0</v>
      </c>
      <c r="G185" s="36">
        <v>0.0</v>
      </c>
      <c r="H185" s="36">
        <v>1.0</v>
      </c>
      <c r="I185" s="36">
        <v>0.0</v>
      </c>
      <c r="J185" s="36">
        <v>0.0</v>
      </c>
      <c r="K185" s="36">
        <v>0.0</v>
      </c>
      <c r="L185" s="36">
        <v>0.0</v>
      </c>
      <c r="M185" s="36">
        <v>0.0</v>
      </c>
      <c r="N185" s="36">
        <v>1.0</v>
      </c>
      <c r="O185" s="36">
        <v>0.0</v>
      </c>
      <c r="P185" s="36">
        <v>0.0</v>
      </c>
      <c r="Q185" s="36">
        <v>0.0</v>
      </c>
      <c r="R185" s="36">
        <v>0.0</v>
      </c>
    </row>
    <row r="186">
      <c r="A186" s="29" t="s">
        <v>66</v>
      </c>
      <c r="B186" s="36">
        <v>0.0</v>
      </c>
      <c r="C186" s="36">
        <v>0.0</v>
      </c>
      <c r="D186" s="36">
        <v>0.0</v>
      </c>
      <c r="E186" s="30">
        <v>0.0</v>
      </c>
      <c r="F186" s="36">
        <v>0.0</v>
      </c>
      <c r="G186" s="30">
        <v>0.0</v>
      </c>
      <c r="H186" s="30">
        <v>0.0</v>
      </c>
      <c r="I186" s="36">
        <v>0.0</v>
      </c>
      <c r="J186" s="30">
        <v>0.0</v>
      </c>
      <c r="K186" s="30">
        <v>0.0</v>
      </c>
      <c r="L186" s="36">
        <v>0.0</v>
      </c>
      <c r="M186" s="36">
        <v>0.0</v>
      </c>
      <c r="N186" s="36">
        <v>0.0</v>
      </c>
      <c r="O186" s="36">
        <v>0.0</v>
      </c>
      <c r="P186" s="30">
        <v>0.0</v>
      </c>
      <c r="Q186" s="30">
        <v>0.0</v>
      </c>
      <c r="R186" s="36">
        <v>0.0</v>
      </c>
    </row>
    <row r="187">
      <c r="A187" s="29" t="s">
        <v>68</v>
      </c>
      <c r="B187" s="30">
        <v>0.0</v>
      </c>
      <c r="C187" s="30">
        <v>0.0</v>
      </c>
      <c r="D187" s="36">
        <v>0.0</v>
      </c>
      <c r="E187" s="36">
        <v>0.0</v>
      </c>
      <c r="F187" s="36">
        <v>0.0</v>
      </c>
      <c r="G187" s="36">
        <v>0.0</v>
      </c>
      <c r="H187" s="36">
        <v>0.0</v>
      </c>
      <c r="I187" s="30">
        <v>0.0</v>
      </c>
      <c r="J187" s="30">
        <v>0.0</v>
      </c>
      <c r="K187" s="36">
        <v>0.0</v>
      </c>
      <c r="L187" s="30">
        <v>0.0</v>
      </c>
      <c r="M187" s="36">
        <v>0.0</v>
      </c>
      <c r="N187" s="36">
        <v>0.0</v>
      </c>
      <c r="O187" s="36">
        <v>0.0</v>
      </c>
      <c r="P187" s="36">
        <v>0.0</v>
      </c>
      <c r="Q187" s="36">
        <v>0.0</v>
      </c>
      <c r="R187" s="36">
        <v>0.0</v>
      </c>
    </row>
    <row r="188">
      <c r="A188" s="29" t="s">
        <v>193</v>
      </c>
      <c r="B188" s="30">
        <f t="shared" ref="B188:R188" si="42">B184-B185+B187</f>
        <v>4</v>
      </c>
      <c r="C188" s="30">
        <f t="shared" si="42"/>
        <v>4</v>
      </c>
      <c r="D188" s="30">
        <f t="shared" si="42"/>
        <v>4</v>
      </c>
      <c r="E188" s="30">
        <f t="shared" si="42"/>
        <v>4</v>
      </c>
      <c r="F188" s="30">
        <f t="shared" si="42"/>
        <v>4</v>
      </c>
      <c r="G188" s="30">
        <f t="shared" si="42"/>
        <v>4</v>
      </c>
      <c r="H188" s="30">
        <f t="shared" si="42"/>
        <v>3</v>
      </c>
      <c r="I188" s="30">
        <f t="shared" si="42"/>
        <v>3</v>
      </c>
      <c r="J188" s="30">
        <f t="shared" si="42"/>
        <v>3</v>
      </c>
      <c r="K188" s="30">
        <f t="shared" si="42"/>
        <v>3</v>
      </c>
      <c r="L188" s="30">
        <f t="shared" si="42"/>
        <v>3</v>
      </c>
      <c r="M188" s="30">
        <f t="shared" si="42"/>
        <v>3</v>
      </c>
      <c r="N188" s="30">
        <f t="shared" si="42"/>
        <v>2</v>
      </c>
      <c r="O188" s="30">
        <f t="shared" si="42"/>
        <v>2</v>
      </c>
      <c r="P188" s="30">
        <f t="shared" si="42"/>
        <v>2</v>
      </c>
      <c r="Q188" s="30">
        <f t="shared" si="42"/>
        <v>2</v>
      </c>
      <c r="R188" s="30">
        <f t="shared" si="42"/>
        <v>2</v>
      </c>
    </row>
    <row r="190">
      <c r="A190" s="48" t="s">
        <v>660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9"/>
    </row>
    <row r="191">
      <c r="A191" s="23" t="s">
        <v>39</v>
      </c>
      <c r="B191" s="24">
        <v>2026.0</v>
      </c>
      <c r="C191" s="8"/>
      <c r="D191" s="8"/>
      <c r="E191" s="8"/>
      <c r="F191" s="9"/>
      <c r="G191" s="24">
        <v>2027.0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9"/>
    </row>
    <row r="192">
      <c r="A192" s="29" t="s">
        <v>45</v>
      </c>
      <c r="B192" s="29" t="s">
        <v>46</v>
      </c>
      <c r="C192" s="29" t="s">
        <v>47</v>
      </c>
      <c r="D192" s="29" t="s">
        <v>49</v>
      </c>
      <c r="E192" s="29" t="s">
        <v>50</v>
      </c>
      <c r="F192" s="29" t="s">
        <v>51</v>
      </c>
      <c r="G192" s="29" t="s">
        <v>52</v>
      </c>
      <c r="H192" s="29" t="s">
        <v>53</v>
      </c>
      <c r="I192" s="29" t="s">
        <v>54</v>
      </c>
      <c r="J192" s="29" t="s">
        <v>55</v>
      </c>
      <c r="K192" s="29" t="s">
        <v>56</v>
      </c>
      <c r="L192" s="29" t="s">
        <v>57</v>
      </c>
      <c r="M192" s="29" t="s">
        <v>58</v>
      </c>
      <c r="N192" s="29" t="s">
        <v>46</v>
      </c>
      <c r="O192" s="29" t="s">
        <v>47</v>
      </c>
      <c r="P192" s="29" t="s">
        <v>49</v>
      </c>
      <c r="Q192" s="29" t="s">
        <v>50</v>
      </c>
      <c r="R192" s="29" t="s">
        <v>51</v>
      </c>
    </row>
    <row r="193">
      <c r="A193" s="29" t="s">
        <v>59</v>
      </c>
      <c r="B193" s="36">
        <v>7.0</v>
      </c>
      <c r="C193" s="30">
        <f t="shared" ref="C193:R193" si="43">B197</f>
        <v>7</v>
      </c>
      <c r="D193" s="30">
        <f t="shared" si="43"/>
        <v>6</v>
      </c>
      <c r="E193" s="30">
        <f t="shared" si="43"/>
        <v>5</v>
      </c>
      <c r="F193" s="30">
        <f t="shared" si="43"/>
        <v>4</v>
      </c>
      <c r="G193" s="30">
        <f t="shared" si="43"/>
        <v>3</v>
      </c>
      <c r="H193" s="30">
        <f t="shared" si="43"/>
        <v>2</v>
      </c>
      <c r="I193" s="30">
        <f t="shared" si="43"/>
        <v>1</v>
      </c>
      <c r="J193" s="30">
        <f t="shared" si="43"/>
        <v>0</v>
      </c>
      <c r="K193" s="30">
        <f t="shared" si="43"/>
        <v>6</v>
      </c>
      <c r="L193" s="30">
        <f t="shared" si="43"/>
        <v>5</v>
      </c>
      <c r="M193" s="30">
        <f t="shared" si="43"/>
        <v>4</v>
      </c>
      <c r="N193" s="30">
        <f t="shared" si="43"/>
        <v>3</v>
      </c>
      <c r="O193" s="30">
        <f t="shared" si="43"/>
        <v>2</v>
      </c>
      <c r="P193" s="30">
        <f t="shared" si="43"/>
        <v>1</v>
      </c>
      <c r="Q193" s="30">
        <f t="shared" si="43"/>
        <v>0</v>
      </c>
      <c r="R193" s="30">
        <f t="shared" si="43"/>
        <v>6</v>
      </c>
    </row>
    <row r="194">
      <c r="A194" s="29" t="s">
        <v>64</v>
      </c>
      <c r="B194" s="36">
        <v>0.0</v>
      </c>
      <c r="C194" s="36">
        <v>1.0</v>
      </c>
      <c r="D194" s="36">
        <v>1.0</v>
      </c>
      <c r="E194" s="36">
        <v>1.0</v>
      </c>
      <c r="F194" s="36">
        <v>1.0</v>
      </c>
      <c r="G194" s="36">
        <v>1.0</v>
      </c>
      <c r="H194" s="36">
        <v>1.0</v>
      </c>
      <c r="I194" s="36">
        <v>1.0</v>
      </c>
      <c r="J194" s="36">
        <v>1.0</v>
      </c>
      <c r="K194" s="36">
        <v>1.0</v>
      </c>
      <c r="L194" s="36">
        <v>1.0</v>
      </c>
      <c r="M194" s="36">
        <v>1.0</v>
      </c>
      <c r="N194" s="36">
        <v>1.0</v>
      </c>
      <c r="O194" s="36">
        <v>1.0</v>
      </c>
      <c r="P194" s="36">
        <v>1.0</v>
      </c>
      <c r="Q194" s="36">
        <v>1.0</v>
      </c>
      <c r="R194" s="36">
        <v>1.0</v>
      </c>
    </row>
    <row r="195">
      <c r="A195" s="29" t="s">
        <v>66</v>
      </c>
      <c r="B195" s="36">
        <v>0.0</v>
      </c>
      <c r="C195" s="36">
        <v>0.0</v>
      </c>
      <c r="D195" s="36">
        <v>0.0</v>
      </c>
      <c r="E195" s="30">
        <v>0.0</v>
      </c>
      <c r="F195" s="36">
        <v>0.0</v>
      </c>
      <c r="G195" s="36">
        <v>0.0</v>
      </c>
      <c r="H195" s="36">
        <v>7.0</v>
      </c>
      <c r="I195" s="36">
        <v>0.0</v>
      </c>
      <c r="J195" s="30">
        <v>0.0</v>
      </c>
      <c r="K195" s="30">
        <v>0.0</v>
      </c>
      <c r="L195" s="36">
        <v>0.0</v>
      </c>
      <c r="M195" s="36">
        <v>0.0</v>
      </c>
      <c r="N195" s="36">
        <v>0.0</v>
      </c>
      <c r="O195" s="36">
        <v>7.0</v>
      </c>
      <c r="P195" s="30">
        <v>0.0</v>
      </c>
      <c r="Q195" s="30">
        <v>0.0</v>
      </c>
      <c r="R195" s="36">
        <v>0.0</v>
      </c>
    </row>
    <row r="196">
      <c r="A196" s="29" t="s">
        <v>68</v>
      </c>
      <c r="B196" s="30">
        <v>0.0</v>
      </c>
      <c r="C196" s="30">
        <v>0.0</v>
      </c>
      <c r="D196" s="36">
        <v>0.0</v>
      </c>
      <c r="E196" s="36">
        <v>0.0</v>
      </c>
      <c r="F196" s="36">
        <v>0.0</v>
      </c>
      <c r="G196" s="36">
        <v>0.0</v>
      </c>
      <c r="H196" s="36">
        <v>0.0</v>
      </c>
      <c r="I196" s="36">
        <v>0.0</v>
      </c>
      <c r="J196" s="36">
        <v>7.0</v>
      </c>
      <c r="K196" s="36">
        <v>0.0</v>
      </c>
      <c r="L196" s="30">
        <v>0.0</v>
      </c>
      <c r="M196" s="36">
        <v>0.0</v>
      </c>
      <c r="N196" s="36">
        <v>0.0</v>
      </c>
      <c r="O196" s="36">
        <v>0.0</v>
      </c>
      <c r="P196" s="36">
        <v>0.0</v>
      </c>
      <c r="Q196" s="36">
        <v>7.0</v>
      </c>
      <c r="R196" s="36">
        <v>0.0</v>
      </c>
    </row>
    <row r="197">
      <c r="A197" s="29" t="s">
        <v>193</v>
      </c>
      <c r="B197" s="30">
        <f t="shared" ref="B197:R197" si="44">B193-B194+B196</f>
        <v>7</v>
      </c>
      <c r="C197" s="30">
        <f t="shared" si="44"/>
        <v>6</v>
      </c>
      <c r="D197" s="30">
        <f t="shared" si="44"/>
        <v>5</v>
      </c>
      <c r="E197" s="30">
        <f t="shared" si="44"/>
        <v>4</v>
      </c>
      <c r="F197" s="30">
        <f t="shared" si="44"/>
        <v>3</v>
      </c>
      <c r="G197" s="30">
        <f t="shared" si="44"/>
        <v>2</v>
      </c>
      <c r="H197" s="30">
        <f t="shared" si="44"/>
        <v>1</v>
      </c>
      <c r="I197" s="30">
        <f t="shared" si="44"/>
        <v>0</v>
      </c>
      <c r="J197" s="30">
        <f t="shared" si="44"/>
        <v>6</v>
      </c>
      <c r="K197" s="30">
        <f t="shared" si="44"/>
        <v>5</v>
      </c>
      <c r="L197" s="30">
        <f t="shared" si="44"/>
        <v>4</v>
      </c>
      <c r="M197" s="30">
        <f t="shared" si="44"/>
        <v>3</v>
      </c>
      <c r="N197" s="30">
        <f t="shared" si="44"/>
        <v>2</v>
      </c>
      <c r="O197" s="30">
        <f t="shared" si="44"/>
        <v>1</v>
      </c>
      <c r="P197" s="30">
        <f t="shared" si="44"/>
        <v>0</v>
      </c>
      <c r="Q197" s="30">
        <f t="shared" si="44"/>
        <v>6</v>
      </c>
      <c r="R197" s="30">
        <f t="shared" si="44"/>
        <v>5</v>
      </c>
    </row>
    <row r="199">
      <c r="A199" s="48" t="s">
        <v>695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9"/>
    </row>
    <row r="200">
      <c r="A200" s="23" t="s">
        <v>39</v>
      </c>
      <c r="B200" s="24">
        <v>2026.0</v>
      </c>
      <c r="C200" s="8"/>
      <c r="D200" s="8"/>
      <c r="E200" s="8"/>
      <c r="F200" s="9"/>
      <c r="G200" s="24">
        <v>2027.0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9"/>
    </row>
    <row r="201">
      <c r="A201" s="29" t="s">
        <v>45</v>
      </c>
      <c r="B201" s="29" t="s">
        <v>46</v>
      </c>
      <c r="C201" s="29" t="s">
        <v>47</v>
      </c>
      <c r="D201" s="29" t="s">
        <v>49</v>
      </c>
      <c r="E201" s="29" t="s">
        <v>50</v>
      </c>
      <c r="F201" s="29" t="s">
        <v>51</v>
      </c>
      <c r="G201" s="29" t="s">
        <v>52</v>
      </c>
      <c r="H201" s="29" t="s">
        <v>53</v>
      </c>
      <c r="I201" s="29" t="s">
        <v>54</v>
      </c>
      <c r="J201" s="29" t="s">
        <v>55</v>
      </c>
      <c r="K201" s="29" t="s">
        <v>56</v>
      </c>
      <c r="L201" s="29" t="s">
        <v>57</v>
      </c>
      <c r="M201" s="29" t="s">
        <v>58</v>
      </c>
      <c r="N201" s="29" t="s">
        <v>46</v>
      </c>
      <c r="O201" s="29" t="s">
        <v>47</v>
      </c>
      <c r="P201" s="29" t="s">
        <v>49</v>
      </c>
      <c r="Q201" s="29" t="s">
        <v>50</v>
      </c>
      <c r="R201" s="29" t="s">
        <v>51</v>
      </c>
    </row>
    <row r="202">
      <c r="A202" s="29" t="s">
        <v>59</v>
      </c>
      <c r="B202" s="36">
        <v>1.0</v>
      </c>
      <c r="C202" s="30">
        <f t="shared" ref="C202:R202" si="45">B206</f>
        <v>1</v>
      </c>
      <c r="D202" s="30">
        <f t="shared" si="45"/>
        <v>0</v>
      </c>
      <c r="E202" s="30">
        <f t="shared" si="45"/>
        <v>0</v>
      </c>
      <c r="F202" s="30">
        <f t="shared" si="45"/>
        <v>0</v>
      </c>
      <c r="G202" s="30">
        <f t="shared" si="45"/>
        <v>2</v>
      </c>
      <c r="H202" s="30">
        <f t="shared" si="45"/>
        <v>1</v>
      </c>
      <c r="I202" s="30">
        <f t="shared" si="45"/>
        <v>1</v>
      </c>
      <c r="J202" s="30">
        <f t="shared" si="45"/>
        <v>1</v>
      </c>
      <c r="K202" s="30">
        <f t="shared" si="45"/>
        <v>1</v>
      </c>
      <c r="L202" s="30">
        <f t="shared" si="45"/>
        <v>1</v>
      </c>
      <c r="M202" s="30">
        <f t="shared" si="45"/>
        <v>0</v>
      </c>
      <c r="N202" s="30">
        <f t="shared" si="45"/>
        <v>0</v>
      </c>
      <c r="O202" s="30">
        <f t="shared" si="45"/>
        <v>0</v>
      </c>
      <c r="P202" s="30">
        <f t="shared" si="45"/>
        <v>2</v>
      </c>
      <c r="Q202" s="30">
        <f t="shared" si="45"/>
        <v>2</v>
      </c>
      <c r="R202" s="30">
        <f t="shared" si="45"/>
        <v>1</v>
      </c>
    </row>
    <row r="203">
      <c r="A203" s="29" t="s">
        <v>64</v>
      </c>
      <c r="B203" s="36">
        <v>0.0</v>
      </c>
      <c r="C203" s="36">
        <v>1.0</v>
      </c>
      <c r="D203" s="36">
        <v>0.0</v>
      </c>
      <c r="E203" s="36">
        <v>0.0</v>
      </c>
      <c r="F203" s="36">
        <v>0.0</v>
      </c>
      <c r="G203" s="36">
        <v>1.0</v>
      </c>
      <c r="H203" s="36">
        <v>0.0</v>
      </c>
      <c r="I203" s="36">
        <v>0.0</v>
      </c>
      <c r="J203" s="36">
        <v>0.0</v>
      </c>
      <c r="K203" s="36">
        <v>0.0</v>
      </c>
      <c r="L203" s="36">
        <v>1.0</v>
      </c>
      <c r="M203" s="36">
        <v>0.0</v>
      </c>
      <c r="N203" s="36">
        <v>0.0</v>
      </c>
      <c r="O203" s="36">
        <v>0.0</v>
      </c>
      <c r="P203" s="36">
        <v>0.0</v>
      </c>
      <c r="Q203" s="36">
        <v>1.0</v>
      </c>
      <c r="R203" s="36">
        <v>0.0</v>
      </c>
    </row>
    <row r="204">
      <c r="A204" s="29" t="s">
        <v>66</v>
      </c>
      <c r="B204" s="36">
        <v>0.0</v>
      </c>
      <c r="C204" s="36">
        <v>0.0</v>
      </c>
      <c r="D204" s="36">
        <v>2.0</v>
      </c>
      <c r="E204" s="30">
        <v>0.0</v>
      </c>
      <c r="F204" s="36">
        <v>0.0</v>
      </c>
      <c r="G204" s="36">
        <v>0.0</v>
      </c>
      <c r="H204" s="36">
        <v>0.0</v>
      </c>
      <c r="I204" s="36">
        <v>0.0</v>
      </c>
      <c r="J204" s="30">
        <v>0.0</v>
      </c>
      <c r="K204" s="30">
        <v>0.0</v>
      </c>
      <c r="L204" s="36">
        <v>0.0</v>
      </c>
      <c r="M204" s="36">
        <v>2.0</v>
      </c>
      <c r="N204" s="36">
        <v>0.0</v>
      </c>
      <c r="O204" s="36">
        <v>0.0</v>
      </c>
      <c r="P204" s="30">
        <v>0.0</v>
      </c>
      <c r="Q204" s="30">
        <v>0.0</v>
      </c>
      <c r="R204" s="36">
        <v>2.0</v>
      </c>
    </row>
    <row r="205">
      <c r="A205" s="29" t="s">
        <v>68</v>
      </c>
      <c r="B205" s="30">
        <v>0.0</v>
      </c>
      <c r="C205" s="30">
        <v>0.0</v>
      </c>
      <c r="D205" s="36">
        <v>0.0</v>
      </c>
      <c r="E205" s="36">
        <v>0.0</v>
      </c>
      <c r="F205" s="36">
        <v>2.0</v>
      </c>
      <c r="G205" s="36">
        <v>0.0</v>
      </c>
      <c r="H205" s="36">
        <v>0.0</v>
      </c>
      <c r="I205" s="36">
        <v>0.0</v>
      </c>
      <c r="J205" s="36">
        <v>0.0</v>
      </c>
      <c r="K205" s="36">
        <v>0.0</v>
      </c>
      <c r="L205" s="30">
        <v>0.0</v>
      </c>
      <c r="M205" s="36">
        <v>0.0</v>
      </c>
      <c r="N205" s="36">
        <v>0.0</v>
      </c>
      <c r="O205" s="36">
        <v>2.0</v>
      </c>
      <c r="P205" s="36">
        <v>0.0</v>
      </c>
      <c r="Q205" s="36">
        <v>0.0</v>
      </c>
      <c r="R205" s="36">
        <v>0.0</v>
      </c>
    </row>
    <row r="206">
      <c r="A206" s="29" t="s">
        <v>193</v>
      </c>
      <c r="B206" s="30">
        <f t="shared" ref="B206:R206" si="46">B202-B203+B205</f>
        <v>1</v>
      </c>
      <c r="C206" s="30">
        <f t="shared" si="46"/>
        <v>0</v>
      </c>
      <c r="D206" s="30">
        <f t="shared" si="46"/>
        <v>0</v>
      </c>
      <c r="E206" s="30">
        <f t="shared" si="46"/>
        <v>0</v>
      </c>
      <c r="F206" s="30">
        <f t="shared" si="46"/>
        <v>2</v>
      </c>
      <c r="G206" s="30">
        <f t="shared" si="46"/>
        <v>1</v>
      </c>
      <c r="H206" s="30">
        <f t="shared" si="46"/>
        <v>1</v>
      </c>
      <c r="I206" s="30">
        <f t="shared" si="46"/>
        <v>1</v>
      </c>
      <c r="J206" s="30">
        <f t="shared" si="46"/>
        <v>1</v>
      </c>
      <c r="K206" s="30">
        <f t="shared" si="46"/>
        <v>1</v>
      </c>
      <c r="L206" s="30">
        <f t="shared" si="46"/>
        <v>0</v>
      </c>
      <c r="M206" s="30">
        <f t="shared" si="46"/>
        <v>0</v>
      </c>
      <c r="N206" s="30">
        <f t="shared" si="46"/>
        <v>0</v>
      </c>
      <c r="O206" s="30">
        <f t="shared" si="46"/>
        <v>2</v>
      </c>
      <c r="P206" s="30">
        <f t="shared" si="46"/>
        <v>2</v>
      </c>
      <c r="Q206" s="30">
        <f t="shared" si="46"/>
        <v>1</v>
      </c>
      <c r="R206" s="30">
        <f t="shared" si="46"/>
        <v>1</v>
      </c>
    </row>
    <row r="208">
      <c r="A208" s="48" t="s">
        <v>730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9"/>
    </row>
    <row r="209">
      <c r="A209" s="23" t="s">
        <v>39</v>
      </c>
      <c r="B209" s="24">
        <v>2026.0</v>
      </c>
      <c r="C209" s="8"/>
      <c r="D209" s="8"/>
      <c r="E209" s="8"/>
      <c r="F209" s="9"/>
      <c r="G209" s="24">
        <v>2027.0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9"/>
    </row>
    <row r="210">
      <c r="A210" s="29" t="s">
        <v>45</v>
      </c>
      <c r="B210" s="29" t="s">
        <v>46</v>
      </c>
      <c r="C210" s="29" t="s">
        <v>47</v>
      </c>
      <c r="D210" s="29" t="s">
        <v>49</v>
      </c>
      <c r="E210" s="29" t="s">
        <v>50</v>
      </c>
      <c r="F210" s="29" t="s">
        <v>51</v>
      </c>
      <c r="G210" s="29" t="s">
        <v>52</v>
      </c>
      <c r="H210" s="29" t="s">
        <v>53</v>
      </c>
      <c r="I210" s="29" t="s">
        <v>54</v>
      </c>
      <c r="J210" s="29" t="s">
        <v>55</v>
      </c>
      <c r="K210" s="29" t="s">
        <v>56</v>
      </c>
      <c r="L210" s="29" t="s">
        <v>57</v>
      </c>
      <c r="M210" s="29" t="s">
        <v>58</v>
      </c>
      <c r="N210" s="29" t="s">
        <v>46</v>
      </c>
      <c r="O210" s="29" t="s">
        <v>47</v>
      </c>
      <c r="P210" s="29" t="s">
        <v>49</v>
      </c>
      <c r="Q210" s="29" t="s">
        <v>50</v>
      </c>
      <c r="R210" s="29" t="s">
        <v>51</v>
      </c>
    </row>
    <row r="211">
      <c r="A211" s="29" t="s">
        <v>59</v>
      </c>
      <c r="B211" s="36">
        <v>2.0</v>
      </c>
      <c r="C211" s="30">
        <f t="shared" ref="C211:R211" si="47">B215</f>
        <v>2</v>
      </c>
      <c r="D211" s="30">
        <f t="shared" si="47"/>
        <v>2</v>
      </c>
      <c r="E211" s="30">
        <f t="shared" si="47"/>
        <v>1</v>
      </c>
      <c r="F211" s="30">
        <f t="shared" si="47"/>
        <v>1</v>
      </c>
      <c r="G211" s="30">
        <f t="shared" si="47"/>
        <v>1</v>
      </c>
      <c r="H211" s="30">
        <f t="shared" si="47"/>
        <v>1</v>
      </c>
      <c r="I211" s="30">
        <f t="shared" si="47"/>
        <v>1</v>
      </c>
      <c r="J211" s="30">
        <f t="shared" si="47"/>
        <v>1</v>
      </c>
      <c r="K211" s="30">
        <f t="shared" si="47"/>
        <v>1</v>
      </c>
      <c r="L211" s="30">
        <f t="shared" si="47"/>
        <v>1</v>
      </c>
      <c r="M211" s="30">
        <f t="shared" si="47"/>
        <v>1</v>
      </c>
      <c r="N211" s="30">
        <f t="shared" si="47"/>
        <v>0</v>
      </c>
      <c r="O211" s="30">
        <f t="shared" si="47"/>
        <v>0</v>
      </c>
      <c r="P211" s="30">
        <f t="shared" si="47"/>
        <v>0</v>
      </c>
      <c r="Q211" s="30">
        <f t="shared" si="47"/>
        <v>2</v>
      </c>
      <c r="R211" s="30">
        <f t="shared" si="47"/>
        <v>2</v>
      </c>
    </row>
    <row r="212">
      <c r="A212" s="29" t="s">
        <v>64</v>
      </c>
      <c r="B212" s="36">
        <v>0.0</v>
      </c>
      <c r="C212" s="36">
        <v>0.0</v>
      </c>
      <c r="D212" s="36">
        <v>1.0</v>
      </c>
      <c r="E212" s="36">
        <v>0.0</v>
      </c>
      <c r="F212" s="36">
        <v>0.0</v>
      </c>
      <c r="G212" s="36">
        <v>0.0</v>
      </c>
      <c r="H212" s="36">
        <v>0.0</v>
      </c>
      <c r="I212" s="36">
        <v>0.0</v>
      </c>
      <c r="J212" s="36">
        <v>0.0</v>
      </c>
      <c r="K212" s="36">
        <v>0.0</v>
      </c>
      <c r="L212" s="36">
        <v>0.0</v>
      </c>
      <c r="M212" s="36">
        <v>1.0</v>
      </c>
      <c r="N212" s="36">
        <v>0.0</v>
      </c>
      <c r="O212" s="36">
        <v>0.0</v>
      </c>
      <c r="P212" s="36">
        <v>0.0</v>
      </c>
      <c r="Q212" s="36">
        <v>0.0</v>
      </c>
      <c r="R212" s="36">
        <v>0.0</v>
      </c>
    </row>
    <row r="213">
      <c r="A213" s="29" t="s">
        <v>66</v>
      </c>
      <c r="B213" s="36">
        <v>0.0</v>
      </c>
      <c r="C213" s="36">
        <v>0.0</v>
      </c>
      <c r="D213" s="36">
        <v>0.0</v>
      </c>
      <c r="E213" s="30">
        <v>0.0</v>
      </c>
      <c r="F213" s="36">
        <v>0.0</v>
      </c>
      <c r="G213" s="36">
        <v>0.0</v>
      </c>
      <c r="H213" s="36">
        <v>0.0</v>
      </c>
      <c r="I213" s="36">
        <v>0.0</v>
      </c>
      <c r="J213" s="30">
        <v>0.0</v>
      </c>
      <c r="K213" s="30">
        <v>0.0</v>
      </c>
      <c r="L213" s="36">
        <v>0.0</v>
      </c>
      <c r="M213" s="36">
        <v>0.0</v>
      </c>
      <c r="N213" s="36">
        <v>2.0</v>
      </c>
      <c r="O213" s="36">
        <v>0.0</v>
      </c>
      <c r="P213" s="30">
        <v>0.0</v>
      </c>
      <c r="Q213" s="30">
        <v>0.0</v>
      </c>
      <c r="R213" s="36">
        <v>0.0</v>
      </c>
    </row>
    <row r="214">
      <c r="A214" s="29" t="s">
        <v>68</v>
      </c>
      <c r="B214" s="30">
        <v>0.0</v>
      </c>
      <c r="C214" s="30">
        <v>0.0</v>
      </c>
      <c r="D214" s="36">
        <v>0.0</v>
      </c>
      <c r="E214" s="36">
        <v>0.0</v>
      </c>
      <c r="F214" s="36">
        <v>0.0</v>
      </c>
      <c r="G214" s="36">
        <v>0.0</v>
      </c>
      <c r="H214" s="36">
        <v>0.0</v>
      </c>
      <c r="I214" s="36">
        <v>0.0</v>
      </c>
      <c r="J214" s="36">
        <v>0.0</v>
      </c>
      <c r="K214" s="36">
        <v>0.0</v>
      </c>
      <c r="L214" s="30">
        <v>0.0</v>
      </c>
      <c r="M214" s="36">
        <v>0.0</v>
      </c>
      <c r="N214" s="36">
        <v>0.0</v>
      </c>
      <c r="O214" s="36">
        <v>0.0</v>
      </c>
      <c r="P214" s="36">
        <v>2.0</v>
      </c>
      <c r="Q214" s="36">
        <v>0.0</v>
      </c>
      <c r="R214" s="36">
        <v>0.0</v>
      </c>
    </row>
    <row r="215">
      <c r="A215" s="29" t="s">
        <v>193</v>
      </c>
      <c r="B215" s="30">
        <f t="shared" ref="B215:R215" si="48">B211-B212+B214</f>
        <v>2</v>
      </c>
      <c r="C215" s="30">
        <f t="shared" si="48"/>
        <v>2</v>
      </c>
      <c r="D215" s="30">
        <f t="shared" si="48"/>
        <v>1</v>
      </c>
      <c r="E215" s="30">
        <f t="shared" si="48"/>
        <v>1</v>
      </c>
      <c r="F215" s="30">
        <f t="shared" si="48"/>
        <v>1</v>
      </c>
      <c r="G215" s="30">
        <f t="shared" si="48"/>
        <v>1</v>
      </c>
      <c r="H215" s="30">
        <f t="shared" si="48"/>
        <v>1</v>
      </c>
      <c r="I215" s="30">
        <f t="shared" si="48"/>
        <v>1</v>
      </c>
      <c r="J215" s="30">
        <f t="shared" si="48"/>
        <v>1</v>
      </c>
      <c r="K215" s="30">
        <f t="shared" si="48"/>
        <v>1</v>
      </c>
      <c r="L215" s="30">
        <f t="shared" si="48"/>
        <v>1</v>
      </c>
      <c r="M215" s="30">
        <f t="shared" si="48"/>
        <v>0</v>
      </c>
      <c r="N215" s="30">
        <f t="shared" si="48"/>
        <v>0</v>
      </c>
      <c r="O215" s="30">
        <f t="shared" si="48"/>
        <v>0</v>
      </c>
      <c r="P215" s="30">
        <f t="shared" si="48"/>
        <v>2</v>
      </c>
      <c r="Q215" s="30">
        <f t="shared" si="48"/>
        <v>2</v>
      </c>
      <c r="R215" s="30">
        <f t="shared" si="48"/>
        <v>2</v>
      </c>
    </row>
    <row r="217">
      <c r="A217" s="48" t="s">
        <v>769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9"/>
    </row>
    <row r="218">
      <c r="A218" s="23" t="s">
        <v>39</v>
      </c>
      <c r="B218" s="24">
        <v>2026.0</v>
      </c>
      <c r="C218" s="8"/>
      <c r="D218" s="8"/>
      <c r="E218" s="8"/>
      <c r="F218" s="9"/>
      <c r="G218" s="24">
        <v>2027.0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9"/>
    </row>
    <row r="219">
      <c r="A219" s="29" t="s">
        <v>45</v>
      </c>
      <c r="B219" s="29" t="s">
        <v>46</v>
      </c>
      <c r="C219" s="29" t="s">
        <v>47</v>
      </c>
      <c r="D219" s="29" t="s">
        <v>49</v>
      </c>
      <c r="E219" s="29" t="s">
        <v>50</v>
      </c>
      <c r="F219" s="29" t="s">
        <v>51</v>
      </c>
      <c r="G219" s="29" t="s">
        <v>52</v>
      </c>
      <c r="H219" s="29" t="s">
        <v>53</v>
      </c>
      <c r="I219" s="29" t="s">
        <v>54</v>
      </c>
      <c r="J219" s="29" t="s">
        <v>55</v>
      </c>
      <c r="K219" s="29" t="s">
        <v>56</v>
      </c>
      <c r="L219" s="29" t="s">
        <v>57</v>
      </c>
      <c r="M219" s="29" t="s">
        <v>58</v>
      </c>
      <c r="N219" s="29" t="s">
        <v>46</v>
      </c>
      <c r="O219" s="29" t="s">
        <v>47</v>
      </c>
      <c r="P219" s="29" t="s">
        <v>49</v>
      </c>
      <c r="Q219" s="29" t="s">
        <v>50</v>
      </c>
      <c r="R219" s="29" t="s">
        <v>51</v>
      </c>
    </row>
    <row r="220">
      <c r="A220" s="29" t="s">
        <v>59</v>
      </c>
      <c r="B220" s="36">
        <v>3.0</v>
      </c>
      <c r="C220" s="30">
        <f t="shared" ref="C220:R220" si="49">B224</f>
        <v>3</v>
      </c>
      <c r="D220" s="30">
        <f t="shared" si="49"/>
        <v>3</v>
      </c>
      <c r="E220" s="30">
        <f t="shared" si="49"/>
        <v>2</v>
      </c>
      <c r="F220" s="30">
        <f t="shared" si="49"/>
        <v>2</v>
      </c>
      <c r="G220" s="30">
        <f t="shared" si="49"/>
        <v>2</v>
      </c>
      <c r="H220" s="30">
        <f t="shared" si="49"/>
        <v>2</v>
      </c>
      <c r="I220" s="30">
        <f t="shared" si="49"/>
        <v>2</v>
      </c>
      <c r="J220" s="30">
        <f t="shared" si="49"/>
        <v>2</v>
      </c>
      <c r="K220" s="30">
        <f t="shared" si="49"/>
        <v>2</v>
      </c>
      <c r="L220" s="30">
        <f t="shared" si="49"/>
        <v>2</v>
      </c>
      <c r="M220" s="30">
        <f t="shared" si="49"/>
        <v>2</v>
      </c>
      <c r="N220" s="30">
        <f t="shared" si="49"/>
        <v>1</v>
      </c>
      <c r="O220" s="30">
        <f t="shared" si="49"/>
        <v>1</v>
      </c>
      <c r="P220" s="30">
        <f t="shared" si="49"/>
        <v>1</v>
      </c>
      <c r="Q220" s="30">
        <f t="shared" si="49"/>
        <v>1</v>
      </c>
      <c r="R220" s="30">
        <f t="shared" si="49"/>
        <v>1</v>
      </c>
    </row>
    <row r="221">
      <c r="A221" s="29" t="s">
        <v>64</v>
      </c>
      <c r="B221" s="36">
        <v>0.0</v>
      </c>
      <c r="C221" s="36">
        <v>0.0</v>
      </c>
      <c r="D221" s="36">
        <v>1.0</v>
      </c>
      <c r="E221" s="36">
        <v>0.0</v>
      </c>
      <c r="F221" s="36">
        <v>0.0</v>
      </c>
      <c r="G221" s="36">
        <v>0.0</v>
      </c>
      <c r="H221" s="36">
        <v>0.0</v>
      </c>
      <c r="I221" s="36">
        <v>0.0</v>
      </c>
      <c r="J221" s="36">
        <v>0.0</v>
      </c>
      <c r="K221" s="36">
        <v>0.0</v>
      </c>
      <c r="L221" s="36">
        <v>0.0</v>
      </c>
      <c r="M221" s="36">
        <v>1.0</v>
      </c>
      <c r="N221" s="36">
        <v>0.0</v>
      </c>
      <c r="O221" s="36">
        <v>0.0</v>
      </c>
      <c r="P221" s="36">
        <v>0.0</v>
      </c>
      <c r="Q221" s="36">
        <v>0.0</v>
      </c>
      <c r="R221" s="36">
        <v>0.0</v>
      </c>
    </row>
    <row r="222">
      <c r="A222" s="29" t="s">
        <v>66</v>
      </c>
      <c r="B222" s="36">
        <v>0.0</v>
      </c>
      <c r="C222" s="36">
        <v>0.0</v>
      </c>
      <c r="D222" s="36">
        <v>0.0</v>
      </c>
      <c r="E222" s="30">
        <v>0.0</v>
      </c>
      <c r="F222" s="36">
        <v>0.0</v>
      </c>
      <c r="G222" s="36">
        <v>0.0</v>
      </c>
      <c r="H222" s="36">
        <v>0.0</v>
      </c>
      <c r="I222" s="36">
        <v>0.0</v>
      </c>
      <c r="J222" s="30">
        <v>0.0</v>
      </c>
      <c r="K222" s="30">
        <v>0.0</v>
      </c>
      <c r="L222" s="36">
        <v>0.0</v>
      </c>
      <c r="M222" s="36">
        <v>0.0</v>
      </c>
      <c r="N222" s="36">
        <v>0.0</v>
      </c>
      <c r="O222" s="36">
        <v>0.0</v>
      </c>
      <c r="P222" s="30">
        <v>0.0</v>
      </c>
      <c r="Q222" s="30">
        <v>0.0</v>
      </c>
      <c r="R222" s="36">
        <v>0.0</v>
      </c>
    </row>
    <row r="223">
      <c r="A223" s="29" t="s">
        <v>68</v>
      </c>
      <c r="B223" s="30">
        <v>0.0</v>
      </c>
      <c r="C223" s="30">
        <v>0.0</v>
      </c>
      <c r="D223" s="36">
        <v>0.0</v>
      </c>
      <c r="E223" s="36">
        <v>0.0</v>
      </c>
      <c r="F223" s="36">
        <v>0.0</v>
      </c>
      <c r="G223" s="36">
        <v>0.0</v>
      </c>
      <c r="H223" s="36">
        <v>0.0</v>
      </c>
      <c r="I223" s="36">
        <v>0.0</v>
      </c>
      <c r="J223" s="36">
        <v>0.0</v>
      </c>
      <c r="K223" s="36">
        <v>0.0</v>
      </c>
      <c r="L223" s="30">
        <v>0.0</v>
      </c>
      <c r="M223" s="36">
        <v>0.0</v>
      </c>
      <c r="N223" s="36">
        <v>0.0</v>
      </c>
      <c r="O223" s="36">
        <v>0.0</v>
      </c>
      <c r="P223" s="36">
        <v>0.0</v>
      </c>
      <c r="Q223" s="36">
        <v>0.0</v>
      </c>
      <c r="R223" s="36">
        <v>0.0</v>
      </c>
    </row>
    <row r="224">
      <c r="A224" s="29" t="s">
        <v>193</v>
      </c>
      <c r="B224" s="30">
        <f t="shared" ref="B224:R224" si="50">B220-B221+B223</f>
        <v>3</v>
      </c>
      <c r="C224" s="30">
        <f t="shared" si="50"/>
        <v>3</v>
      </c>
      <c r="D224" s="30">
        <f t="shared" si="50"/>
        <v>2</v>
      </c>
      <c r="E224" s="30">
        <f t="shared" si="50"/>
        <v>2</v>
      </c>
      <c r="F224" s="30">
        <f t="shared" si="50"/>
        <v>2</v>
      </c>
      <c r="G224" s="30">
        <f t="shared" si="50"/>
        <v>2</v>
      </c>
      <c r="H224" s="30">
        <f t="shared" si="50"/>
        <v>2</v>
      </c>
      <c r="I224" s="30">
        <f t="shared" si="50"/>
        <v>2</v>
      </c>
      <c r="J224" s="30">
        <f t="shared" si="50"/>
        <v>2</v>
      </c>
      <c r="K224" s="30">
        <f t="shared" si="50"/>
        <v>2</v>
      </c>
      <c r="L224" s="30">
        <f t="shared" si="50"/>
        <v>2</v>
      </c>
      <c r="M224" s="30">
        <f t="shared" si="50"/>
        <v>1</v>
      </c>
      <c r="N224" s="30">
        <f t="shared" si="50"/>
        <v>1</v>
      </c>
      <c r="O224" s="30">
        <f t="shared" si="50"/>
        <v>1</v>
      </c>
      <c r="P224" s="30">
        <f t="shared" si="50"/>
        <v>1</v>
      </c>
      <c r="Q224" s="30">
        <f t="shared" si="50"/>
        <v>1</v>
      </c>
      <c r="R224" s="30">
        <f t="shared" si="50"/>
        <v>1</v>
      </c>
    </row>
    <row r="226">
      <c r="A226" s="48" t="s">
        <v>802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9"/>
    </row>
    <row r="227">
      <c r="A227" s="23" t="s">
        <v>39</v>
      </c>
      <c r="B227" s="24">
        <v>2026.0</v>
      </c>
      <c r="C227" s="8"/>
      <c r="D227" s="8"/>
      <c r="E227" s="8"/>
      <c r="F227" s="9"/>
      <c r="G227" s="24">
        <v>2027.0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9"/>
    </row>
    <row r="228">
      <c r="A228" s="29" t="s">
        <v>45</v>
      </c>
      <c r="B228" s="29" t="s">
        <v>46</v>
      </c>
      <c r="C228" s="29" t="s">
        <v>47</v>
      </c>
      <c r="D228" s="29" t="s">
        <v>49</v>
      </c>
      <c r="E228" s="29" t="s">
        <v>50</v>
      </c>
      <c r="F228" s="29" t="s">
        <v>51</v>
      </c>
      <c r="G228" s="29" t="s">
        <v>52</v>
      </c>
      <c r="H228" s="29" t="s">
        <v>53</v>
      </c>
      <c r="I228" s="29" t="s">
        <v>54</v>
      </c>
      <c r="J228" s="29" t="s">
        <v>55</v>
      </c>
      <c r="K228" s="29" t="s">
        <v>56</v>
      </c>
      <c r="L228" s="29" t="s">
        <v>57</v>
      </c>
      <c r="M228" s="29" t="s">
        <v>58</v>
      </c>
      <c r="N228" s="29" t="s">
        <v>46</v>
      </c>
      <c r="O228" s="29" t="s">
        <v>47</v>
      </c>
      <c r="P228" s="29" t="s">
        <v>49</v>
      </c>
      <c r="Q228" s="29" t="s">
        <v>50</v>
      </c>
      <c r="R228" s="29" t="s">
        <v>51</v>
      </c>
    </row>
    <row r="229">
      <c r="A229" s="29" t="s">
        <v>59</v>
      </c>
      <c r="B229" s="36">
        <v>0.0</v>
      </c>
      <c r="C229" s="30">
        <f t="shared" ref="C229:R229" si="51">B233</f>
        <v>0</v>
      </c>
      <c r="D229" s="30">
        <f t="shared" si="51"/>
        <v>2</v>
      </c>
      <c r="E229" s="30">
        <f t="shared" si="51"/>
        <v>1</v>
      </c>
      <c r="F229" s="30">
        <f t="shared" si="51"/>
        <v>1</v>
      </c>
      <c r="G229" s="30">
        <f t="shared" si="51"/>
        <v>1</v>
      </c>
      <c r="H229" s="30">
        <f t="shared" si="51"/>
        <v>1</v>
      </c>
      <c r="I229" s="30">
        <f t="shared" si="51"/>
        <v>1</v>
      </c>
      <c r="J229" s="30">
        <f t="shared" si="51"/>
        <v>0</v>
      </c>
      <c r="K229" s="30">
        <f t="shared" si="51"/>
        <v>0</v>
      </c>
      <c r="L229" s="30">
        <f t="shared" si="51"/>
        <v>0</v>
      </c>
      <c r="M229" s="30">
        <f t="shared" si="51"/>
        <v>2</v>
      </c>
      <c r="N229" s="30">
        <f t="shared" si="51"/>
        <v>2</v>
      </c>
      <c r="O229" s="30">
        <f t="shared" si="51"/>
        <v>2</v>
      </c>
      <c r="P229" s="30">
        <f t="shared" si="51"/>
        <v>1</v>
      </c>
      <c r="Q229" s="30">
        <f t="shared" si="51"/>
        <v>1</v>
      </c>
      <c r="R229" s="30">
        <f t="shared" si="51"/>
        <v>1</v>
      </c>
    </row>
    <row r="230">
      <c r="A230" s="29" t="s">
        <v>64</v>
      </c>
      <c r="B230" s="36">
        <v>0.0</v>
      </c>
      <c r="C230" s="36">
        <v>0.0</v>
      </c>
      <c r="D230" s="36">
        <v>1.0</v>
      </c>
      <c r="E230" s="36">
        <v>0.0</v>
      </c>
      <c r="F230" s="36">
        <v>0.0</v>
      </c>
      <c r="G230" s="36">
        <v>0.0</v>
      </c>
      <c r="H230" s="36">
        <v>0.0</v>
      </c>
      <c r="I230" s="36">
        <v>1.0</v>
      </c>
      <c r="J230" s="36">
        <v>0.0</v>
      </c>
      <c r="K230" s="36">
        <v>0.0</v>
      </c>
      <c r="L230" s="36">
        <v>0.0</v>
      </c>
      <c r="M230" s="36">
        <v>0.0</v>
      </c>
      <c r="N230" s="36">
        <v>0.0</v>
      </c>
      <c r="O230" s="36">
        <v>1.0</v>
      </c>
      <c r="P230" s="36">
        <v>0.0</v>
      </c>
      <c r="Q230" s="36">
        <v>0.0</v>
      </c>
      <c r="R230" s="36">
        <v>0.0</v>
      </c>
    </row>
    <row r="231">
      <c r="A231" s="29" t="s">
        <v>66</v>
      </c>
      <c r="B231" s="36">
        <v>2.0</v>
      </c>
      <c r="C231" s="36">
        <v>0.0</v>
      </c>
      <c r="D231" s="36">
        <v>0.0</v>
      </c>
      <c r="E231" s="36">
        <v>0.0</v>
      </c>
      <c r="F231" s="36">
        <v>0.0</v>
      </c>
      <c r="G231" s="36">
        <v>0.0</v>
      </c>
      <c r="H231" s="36">
        <v>0.0</v>
      </c>
      <c r="I231" s="36">
        <v>0.0</v>
      </c>
      <c r="J231" s="36">
        <v>2.0</v>
      </c>
      <c r="K231" s="30">
        <v>0.0</v>
      </c>
      <c r="L231" s="36">
        <v>0.0</v>
      </c>
      <c r="M231" s="36">
        <v>0.0</v>
      </c>
      <c r="N231" s="36">
        <v>0.0</v>
      </c>
      <c r="O231" s="36">
        <v>0.0</v>
      </c>
      <c r="P231" s="30">
        <v>0.0</v>
      </c>
      <c r="Q231" s="30">
        <v>0.0</v>
      </c>
      <c r="R231" s="36">
        <v>0.0</v>
      </c>
    </row>
    <row r="232">
      <c r="A232" s="29" t="s">
        <v>68</v>
      </c>
      <c r="B232" s="30">
        <v>0.0</v>
      </c>
      <c r="C232" s="36">
        <v>2.0</v>
      </c>
      <c r="D232" s="36">
        <v>0.0</v>
      </c>
      <c r="E232" s="36">
        <v>0.0</v>
      </c>
      <c r="F232" s="36">
        <v>0.0</v>
      </c>
      <c r="G232" s="36">
        <v>0.0</v>
      </c>
      <c r="H232" s="36">
        <v>0.0</v>
      </c>
      <c r="I232" s="36">
        <v>0.0</v>
      </c>
      <c r="J232" s="36">
        <v>0.0</v>
      </c>
      <c r="K232" s="36">
        <v>0.0</v>
      </c>
      <c r="L232" s="36">
        <v>2.0</v>
      </c>
      <c r="M232" s="36">
        <v>0.0</v>
      </c>
      <c r="N232" s="36">
        <v>0.0</v>
      </c>
      <c r="O232" s="36">
        <v>0.0</v>
      </c>
      <c r="P232" s="36">
        <v>0.0</v>
      </c>
      <c r="Q232" s="36">
        <v>0.0</v>
      </c>
      <c r="R232" s="36">
        <v>0.0</v>
      </c>
    </row>
    <row r="233">
      <c r="A233" s="29" t="s">
        <v>193</v>
      </c>
      <c r="B233" s="30">
        <f t="shared" ref="B233:R233" si="52">B229-B230+B232</f>
        <v>0</v>
      </c>
      <c r="C233" s="30">
        <f t="shared" si="52"/>
        <v>2</v>
      </c>
      <c r="D233" s="30">
        <f t="shared" si="52"/>
        <v>1</v>
      </c>
      <c r="E233" s="30">
        <f t="shared" si="52"/>
        <v>1</v>
      </c>
      <c r="F233" s="30">
        <f t="shared" si="52"/>
        <v>1</v>
      </c>
      <c r="G233" s="30">
        <f t="shared" si="52"/>
        <v>1</v>
      </c>
      <c r="H233" s="30">
        <f t="shared" si="52"/>
        <v>1</v>
      </c>
      <c r="I233" s="30">
        <f t="shared" si="52"/>
        <v>0</v>
      </c>
      <c r="J233" s="30">
        <f t="shared" si="52"/>
        <v>0</v>
      </c>
      <c r="K233" s="30">
        <f t="shared" si="52"/>
        <v>0</v>
      </c>
      <c r="L233" s="30">
        <f t="shared" si="52"/>
        <v>2</v>
      </c>
      <c r="M233" s="30">
        <f t="shared" si="52"/>
        <v>2</v>
      </c>
      <c r="N233" s="30">
        <f t="shared" si="52"/>
        <v>2</v>
      </c>
      <c r="O233" s="30">
        <f t="shared" si="52"/>
        <v>1</v>
      </c>
      <c r="P233" s="30">
        <f t="shared" si="52"/>
        <v>1</v>
      </c>
      <c r="Q233" s="30">
        <f t="shared" si="52"/>
        <v>1</v>
      </c>
      <c r="R233" s="30">
        <f t="shared" si="52"/>
        <v>1</v>
      </c>
    </row>
    <row r="235">
      <c r="A235" s="48" t="s">
        <v>836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9"/>
    </row>
    <row r="236">
      <c r="A236" s="23" t="s">
        <v>39</v>
      </c>
      <c r="B236" s="24">
        <v>2026.0</v>
      </c>
      <c r="C236" s="8"/>
      <c r="D236" s="8"/>
      <c r="E236" s="8"/>
      <c r="F236" s="9"/>
      <c r="G236" s="24">
        <v>2027.0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9"/>
    </row>
    <row r="237">
      <c r="A237" s="29" t="s">
        <v>45</v>
      </c>
      <c r="B237" s="29" t="s">
        <v>46</v>
      </c>
      <c r="C237" s="29" t="s">
        <v>47</v>
      </c>
      <c r="D237" s="29" t="s">
        <v>49</v>
      </c>
      <c r="E237" s="29" t="s">
        <v>50</v>
      </c>
      <c r="F237" s="29" t="s">
        <v>51</v>
      </c>
      <c r="G237" s="29" t="s">
        <v>52</v>
      </c>
      <c r="H237" s="29" t="s">
        <v>53</v>
      </c>
      <c r="I237" s="29" t="s">
        <v>54</v>
      </c>
      <c r="J237" s="29" t="s">
        <v>55</v>
      </c>
      <c r="K237" s="29" t="s">
        <v>56</v>
      </c>
      <c r="L237" s="29" t="s">
        <v>57</v>
      </c>
      <c r="M237" s="29" t="s">
        <v>58</v>
      </c>
      <c r="N237" s="29" t="s">
        <v>46</v>
      </c>
      <c r="O237" s="29" t="s">
        <v>47</v>
      </c>
      <c r="P237" s="29" t="s">
        <v>49</v>
      </c>
      <c r="Q237" s="29" t="s">
        <v>50</v>
      </c>
      <c r="R237" s="29" t="s">
        <v>51</v>
      </c>
    </row>
    <row r="238">
      <c r="A238" s="29" t="s">
        <v>59</v>
      </c>
      <c r="B238" s="36">
        <v>0.0</v>
      </c>
      <c r="C238" s="30">
        <f t="shared" ref="C238:R238" si="53">B242</f>
        <v>0</v>
      </c>
      <c r="D238" s="30">
        <f t="shared" si="53"/>
        <v>2</v>
      </c>
      <c r="E238" s="30">
        <f t="shared" si="53"/>
        <v>2</v>
      </c>
      <c r="F238" s="30">
        <f t="shared" si="53"/>
        <v>2</v>
      </c>
      <c r="G238" s="30">
        <f t="shared" si="53"/>
        <v>2</v>
      </c>
      <c r="H238" s="30">
        <f t="shared" si="53"/>
        <v>2</v>
      </c>
      <c r="I238" s="30">
        <f t="shared" si="53"/>
        <v>1</v>
      </c>
      <c r="J238" s="30">
        <f t="shared" si="53"/>
        <v>1</v>
      </c>
      <c r="K238" s="30">
        <f t="shared" si="53"/>
        <v>1</v>
      </c>
      <c r="L238" s="30">
        <f t="shared" si="53"/>
        <v>1</v>
      </c>
      <c r="M238" s="30">
        <f t="shared" si="53"/>
        <v>1</v>
      </c>
      <c r="N238" s="30">
        <f t="shared" si="53"/>
        <v>1</v>
      </c>
      <c r="O238" s="30">
        <f t="shared" si="53"/>
        <v>1</v>
      </c>
      <c r="P238" s="30">
        <f t="shared" si="53"/>
        <v>1</v>
      </c>
      <c r="Q238" s="30">
        <f t="shared" si="53"/>
        <v>1</v>
      </c>
      <c r="R238" s="30">
        <f t="shared" si="53"/>
        <v>1</v>
      </c>
    </row>
    <row r="239">
      <c r="A239" s="29" t="s">
        <v>64</v>
      </c>
      <c r="B239" s="36">
        <v>0.0</v>
      </c>
      <c r="C239" s="36">
        <v>0.0</v>
      </c>
      <c r="D239" s="36">
        <v>0.0</v>
      </c>
      <c r="E239" s="36">
        <v>0.0</v>
      </c>
      <c r="F239" s="36">
        <v>0.0</v>
      </c>
      <c r="G239" s="36">
        <v>0.0</v>
      </c>
      <c r="H239" s="36">
        <v>1.0</v>
      </c>
      <c r="I239" s="36">
        <v>0.0</v>
      </c>
      <c r="J239" s="36">
        <v>0.0</v>
      </c>
      <c r="K239" s="36">
        <v>0.0</v>
      </c>
      <c r="L239" s="36">
        <v>0.0</v>
      </c>
      <c r="M239" s="36">
        <v>0.0</v>
      </c>
      <c r="N239" s="36">
        <v>0.0</v>
      </c>
      <c r="O239" s="36">
        <v>0.0</v>
      </c>
      <c r="P239" s="36">
        <v>0.0</v>
      </c>
      <c r="Q239" s="36">
        <v>0.0</v>
      </c>
      <c r="R239" s="36">
        <v>0.0</v>
      </c>
    </row>
    <row r="240">
      <c r="A240" s="29" t="s">
        <v>66</v>
      </c>
      <c r="B240" s="36">
        <v>2.0</v>
      </c>
      <c r="C240" s="36">
        <v>0.0</v>
      </c>
      <c r="D240" s="36">
        <v>0.0</v>
      </c>
      <c r="E240" s="36">
        <v>0.0</v>
      </c>
      <c r="F240" s="36">
        <v>0.0</v>
      </c>
      <c r="G240" s="36">
        <v>0.0</v>
      </c>
      <c r="H240" s="36">
        <v>0.0</v>
      </c>
      <c r="I240" s="36">
        <v>0.0</v>
      </c>
      <c r="J240" s="36">
        <v>0.0</v>
      </c>
      <c r="K240" s="30">
        <v>0.0</v>
      </c>
      <c r="L240" s="36">
        <v>0.0</v>
      </c>
      <c r="M240" s="36">
        <v>0.0</v>
      </c>
      <c r="N240" s="36">
        <v>0.0</v>
      </c>
      <c r="O240" s="36">
        <v>0.0</v>
      </c>
      <c r="P240" s="30">
        <v>0.0</v>
      </c>
      <c r="Q240" s="30">
        <v>0.0</v>
      </c>
      <c r="R240" s="36">
        <v>0.0</v>
      </c>
    </row>
    <row r="241">
      <c r="A241" s="29" t="s">
        <v>68</v>
      </c>
      <c r="B241" s="30">
        <v>0.0</v>
      </c>
      <c r="C241" s="36">
        <v>2.0</v>
      </c>
      <c r="D241" s="36">
        <v>0.0</v>
      </c>
      <c r="E241" s="36">
        <v>0.0</v>
      </c>
      <c r="F241" s="36">
        <v>0.0</v>
      </c>
      <c r="G241" s="36">
        <v>0.0</v>
      </c>
      <c r="H241" s="36">
        <v>0.0</v>
      </c>
      <c r="I241" s="36">
        <v>0.0</v>
      </c>
      <c r="J241" s="36">
        <v>0.0</v>
      </c>
      <c r="K241" s="36">
        <v>0.0</v>
      </c>
      <c r="L241" s="36">
        <v>0.0</v>
      </c>
      <c r="M241" s="36">
        <v>0.0</v>
      </c>
      <c r="N241" s="36">
        <v>0.0</v>
      </c>
      <c r="O241" s="36">
        <v>0.0</v>
      </c>
      <c r="P241" s="36">
        <v>0.0</v>
      </c>
      <c r="Q241" s="36">
        <v>0.0</v>
      </c>
      <c r="R241" s="36">
        <v>0.0</v>
      </c>
    </row>
    <row r="242">
      <c r="A242" s="29" t="s">
        <v>193</v>
      </c>
      <c r="B242" s="30">
        <f t="shared" ref="B242:R242" si="54">B238-B239+B241</f>
        <v>0</v>
      </c>
      <c r="C242" s="30">
        <f t="shared" si="54"/>
        <v>2</v>
      </c>
      <c r="D242" s="30">
        <f t="shared" si="54"/>
        <v>2</v>
      </c>
      <c r="E242" s="30">
        <f t="shared" si="54"/>
        <v>2</v>
      </c>
      <c r="F242" s="30">
        <f t="shared" si="54"/>
        <v>2</v>
      </c>
      <c r="G242" s="30">
        <f t="shared" si="54"/>
        <v>2</v>
      </c>
      <c r="H242" s="30">
        <f t="shared" si="54"/>
        <v>1</v>
      </c>
      <c r="I242" s="30">
        <f t="shared" si="54"/>
        <v>1</v>
      </c>
      <c r="J242" s="30">
        <f t="shared" si="54"/>
        <v>1</v>
      </c>
      <c r="K242" s="30">
        <f t="shared" si="54"/>
        <v>1</v>
      </c>
      <c r="L242" s="30">
        <f t="shared" si="54"/>
        <v>1</v>
      </c>
      <c r="M242" s="30">
        <f t="shared" si="54"/>
        <v>1</v>
      </c>
      <c r="N242" s="30">
        <f t="shared" si="54"/>
        <v>1</v>
      </c>
      <c r="O242" s="30">
        <f t="shared" si="54"/>
        <v>1</v>
      </c>
      <c r="P242" s="30">
        <f t="shared" si="54"/>
        <v>1</v>
      </c>
      <c r="Q242" s="30">
        <f t="shared" si="54"/>
        <v>1</v>
      </c>
      <c r="R242" s="30">
        <f t="shared" si="54"/>
        <v>1</v>
      </c>
    </row>
    <row r="244">
      <c r="A244" s="48" t="s">
        <v>870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9"/>
    </row>
    <row r="245">
      <c r="A245" s="23" t="s">
        <v>39</v>
      </c>
      <c r="B245" s="24">
        <v>2026.0</v>
      </c>
      <c r="C245" s="8"/>
      <c r="D245" s="8"/>
      <c r="E245" s="8"/>
      <c r="F245" s="9"/>
      <c r="G245" s="24">
        <v>2027.0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9"/>
    </row>
    <row r="246">
      <c r="A246" s="29" t="s">
        <v>45</v>
      </c>
      <c r="B246" s="29" t="s">
        <v>46</v>
      </c>
      <c r="C246" s="29" t="s">
        <v>47</v>
      </c>
      <c r="D246" s="29" t="s">
        <v>49</v>
      </c>
      <c r="E246" s="29" t="s">
        <v>50</v>
      </c>
      <c r="F246" s="29" t="s">
        <v>51</v>
      </c>
      <c r="G246" s="29" t="s">
        <v>52</v>
      </c>
      <c r="H246" s="29" t="s">
        <v>53</v>
      </c>
      <c r="I246" s="29" t="s">
        <v>54</v>
      </c>
      <c r="J246" s="29" t="s">
        <v>55</v>
      </c>
      <c r="K246" s="29" t="s">
        <v>56</v>
      </c>
      <c r="L246" s="29" t="s">
        <v>57</v>
      </c>
      <c r="M246" s="29" t="s">
        <v>58</v>
      </c>
      <c r="N246" s="29" t="s">
        <v>46</v>
      </c>
      <c r="O246" s="29" t="s">
        <v>47</v>
      </c>
      <c r="P246" s="29" t="s">
        <v>49</v>
      </c>
      <c r="Q246" s="29" t="s">
        <v>50</v>
      </c>
      <c r="R246" s="29" t="s">
        <v>51</v>
      </c>
    </row>
    <row r="247">
      <c r="A247" s="29" t="s">
        <v>59</v>
      </c>
      <c r="B247" s="36">
        <v>0.0</v>
      </c>
      <c r="C247" s="30">
        <f t="shared" ref="C247:R247" si="55">B251</f>
        <v>0</v>
      </c>
      <c r="D247" s="30">
        <f t="shared" si="55"/>
        <v>0</v>
      </c>
      <c r="E247" s="30">
        <f t="shared" si="55"/>
        <v>4</v>
      </c>
      <c r="F247" s="30">
        <f t="shared" si="55"/>
        <v>3</v>
      </c>
      <c r="G247" s="30">
        <f t="shared" si="55"/>
        <v>3</v>
      </c>
      <c r="H247" s="30">
        <f t="shared" si="55"/>
        <v>3</v>
      </c>
      <c r="I247" s="30">
        <f t="shared" si="55"/>
        <v>3</v>
      </c>
      <c r="J247" s="30">
        <f t="shared" si="55"/>
        <v>2</v>
      </c>
      <c r="K247" s="30">
        <f t="shared" si="55"/>
        <v>2</v>
      </c>
      <c r="L247" s="30">
        <f t="shared" si="55"/>
        <v>2</v>
      </c>
      <c r="M247" s="30">
        <f t="shared" si="55"/>
        <v>2</v>
      </c>
      <c r="N247" s="30">
        <f t="shared" si="55"/>
        <v>1</v>
      </c>
      <c r="O247" s="30">
        <f t="shared" si="55"/>
        <v>1</v>
      </c>
      <c r="P247" s="30">
        <f t="shared" si="55"/>
        <v>1</v>
      </c>
      <c r="Q247" s="30">
        <f t="shared" si="55"/>
        <v>1</v>
      </c>
      <c r="R247" s="30">
        <f t="shared" si="55"/>
        <v>1</v>
      </c>
    </row>
    <row r="248">
      <c r="A248" s="29" t="s">
        <v>64</v>
      </c>
      <c r="B248" s="36">
        <v>0.0</v>
      </c>
      <c r="C248" s="36">
        <v>0.0</v>
      </c>
      <c r="D248" s="36">
        <v>0.0</v>
      </c>
      <c r="E248" s="36">
        <v>1.0</v>
      </c>
      <c r="F248" s="36">
        <v>0.0</v>
      </c>
      <c r="G248" s="36">
        <v>0.0</v>
      </c>
      <c r="H248" s="36">
        <v>0.0</v>
      </c>
      <c r="I248" s="36">
        <v>1.0</v>
      </c>
      <c r="J248" s="36">
        <v>0.0</v>
      </c>
      <c r="K248" s="36">
        <v>0.0</v>
      </c>
      <c r="L248" s="36">
        <v>0.0</v>
      </c>
      <c r="M248" s="36">
        <v>1.0</v>
      </c>
      <c r="N248" s="36">
        <v>0.0</v>
      </c>
      <c r="O248" s="36">
        <v>0.0</v>
      </c>
      <c r="P248" s="36">
        <v>0.0</v>
      </c>
      <c r="Q248" s="36">
        <v>0.0</v>
      </c>
      <c r="R248" s="36">
        <v>1.0</v>
      </c>
    </row>
    <row r="249">
      <c r="A249" s="29" t="s">
        <v>66</v>
      </c>
      <c r="B249" s="36">
        <v>4.0</v>
      </c>
      <c r="C249" s="36">
        <v>0.0</v>
      </c>
      <c r="D249" s="36">
        <v>0.0</v>
      </c>
      <c r="E249" s="36">
        <v>0.0</v>
      </c>
      <c r="F249" s="36">
        <v>0.0</v>
      </c>
      <c r="G249" s="36">
        <v>0.0</v>
      </c>
      <c r="H249" s="36">
        <v>0.0</v>
      </c>
      <c r="I249" s="36">
        <v>0.0</v>
      </c>
      <c r="J249" s="36">
        <v>0.0</v>
      </c>
      <c r="K249" s="30">
        <v>0.0</v>
      </c>
      <c r="L249" s="36">
        <v>0.0</v>
      </c>
      <c r="M249" s="36">
        <v>0.0</v>
      </c>
      <c r="N249" s="36">
        <v>0.0</v>
      </c>
      <c r="O249" s="36">
        <v>0.0</v>
      </c>
      <c r="P249" s="30">
        <v>0.0</v>
      </c>
      <c r="Q249" s="30">
        <v>0.0</v>
      </c>
      <c r="R249" s="36">
        <v>0.0</v>
      </c>
    </row>
    <row r="250">
      <c r="A250" s="29" t="s">
        <v>68</v>
      </c>
      <c r="B250" s="30">
        <v>0.0</v>
      </c>
      <c r="C250" s="36">
        <v>0.0</v>
      </c>
      <c r="D250" s="36">
        <v>4.0</v>
      </c>
      <c r="E250" s="36">
        <v>0.0</v>
      </c>
      <c r="F250" s="36">
        <v>0.0</v>
      </c>
      <c r="G250" s="36">
        <v>0.0</v>
      </c>
      <c r="H250" s="36">
        <v>0.0</v>
      </c>
      <c r="I250" s="36">
        <v>0.0</v>
      </c>
      <c r="J250" s="36">
        <v>0.0</v>
      </c>
      <c r="K250" s="36">
        <v>0.0</v>
      </c>
      <c r="L250" s="36">
        <v>0.0</v>
      </c>
      <c r="M250" s="36">
        <v>0.0</v>
      </c>
      <c r="N250" s="36">
        <v>0.0</v>
      </c>
      <c r="O250" s="36">
        <v>0.0</v>
      </c>
      <c r="P250" s="36">
        <v>0.0</v>
      </c>
      <c r="Q250" s="36">
        <v>0.0</v>
      </c>
      <c r="R250" s="36">
        <v>0.0</v>
      </c>
    </row>
    <row r="251">
      <c r="A251" s="29" t="s">
        <v>193</v>
      </c>
      <c r="B251" s="30">
        <f t="shared" ref="B251:R251" si="56">B247-B248+B250</f>
        <v>0</v>
      </c>
      <c r="C251" s="30">
        <f t="shared" si="56"/>
        <v>0</v>
      </c>
      <c r="D251" s="30">
        <f t="shared" si="56"/>
        <v>4</v>
      </c>
      <c r="E251" s="30">
        <f t="shared" si="56"/>
        <v>3</v>
      </c>
      <c r="F251" s="30">
        <f t="shared" si="56"/>
        <v>3</v>
      </c>
      <c r="G251" s="30">
        <f t="shared" si="56"/>
        <v>3</v>
      </c>
      <c r="H251" s="30">
        <f t="shared" si="56"/>
        <v>3</v>
      </c>
      <c r="I251" s="30">
        <f t="shared" si="56"/>
        <v>2</v>
      </c>
      <c r="J251" s="30">
        <f t="shared" si="56"/>
        <v>2</v>
      </c>
      <c r="K251" s="30">
        <f t="shared" si="56"/>
        <v>2</v>
      </c>
      <c r="L251" s="30">
        <f t="shared" si="56"/>
        <v>2</v>
      </c>
      <c r="M251" s="30">
        <f t="shared" si="56"/>
        <v>1</v>
      </c>
      <c r="N251" s="30">
        <f t="shared" si="56"/>
        <v>1</v>
      </c>
      <c r="O251" s="30">
        <f t="shared" si="56"/>
        <v>1</v>
      </c>
      <c r="P251" s="30">
        <f t="shared" si="56"/>
        <v>1</v>
      </c>
      <c r="Q251" s="30">
        <f t="shared" si="56"/>
        <v>1</v>
      </c>
      <c r="R251" s="30">
        <f t="shared" si="56"/>
        <v>0</v>
      </c>
    </row>
    <row r="253">
      <c r="A253" s="48" t="s">
        <v>907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9"/>
    </row>
    <row r="254">
      <c r="A254" s="23" t="s">
        <v>39</v>
      </c>
      <c r="B254" s="24">
        <v>2026.0</v>
      </c>
      <c r="C254" s="8"/>
      <c r="D254" s="8"/>
      <c r="E254" s="8"/>
      <c r="F254" s="9"/>
      <c r="G254" s="24">
        <v>2027.0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9"/>
    </row>
    <row r="255">
      <c r="A255" s="29" t="s">
        <v>45</v>
      </c>
      <c r="B255" s="29" t="s">
        <v>46</v>
      </c>
      <c r="C255" s="29" t="s">
        <v>47</v>
      </c>
      <c r="D255" s="29" t="s">
        <v>49</v>
      </c>
      <c r="E255" s="29" t="s">
        <v>50</v>
      </c>
      <c r="F255" s="29" t="s">
        <v>51</v>
      </c>
      <c r="G255" s="29" t="s">
        <v>52</v>
      </c>
      <c r="H255" s="29" t="s">
        <v>53</v>
      </c>
      <c r="I255" s="29" t="s">
        <v>54</v>
      </c>
      <c r="J255" s="29" t="s">
        <v>55</v>
      </c>
      <c r="K255" s="29" t="s">
        <v>56</v>
      </c>
      <c r="L255" s="29" t="s">
        <v>57</v>
      </c>
      <c r="M255" s="29" t="s">
        <v>58</v>
      </c>
      <c r="N255" s="29" t="s">
        <v>46</v>
      </c>
      <c r="O255" s="29" t="s">
        <v>47</v>
      </c>
      <c r="P255" s="29" t="s">
        <v>49</v>
      </c>
      <c r="Q255" s="29" t="s">
        <v>50</v>
      </c>
      <c r="R255" s="29" t="s">
        <v>51</v>
      </c>
    </row>
    <row r="256">
      <c r="A256" s="29" t="s">
        <v>59</v>
      </c>
      <c r="B256" s="36">
        <v>0.0</v>
      </c>
      <c r="C256" s="30">
        <f t="shared" ref="C256:R256" si="57">B260</f>
        <v>0</v>
      </c>
      <c r="D256" s="30">
        <f t="shared" si="57"/>
        <v>0</v>
      </c>
      <c r="E256" s="30">
        <f t="shared" si="57"/>
        <v>2</v>
      </c>
      <c r="F256" s="30">
        <f t="shared" si="57"/>
        <v>2</v>
      </c>
      <c r="G256" s="30">
        <f t="shared" si="57"/>
        <v>2</v>
      </c>
      <c r="H256" s="30">
        <f t="shared" si="57"/>
        <v>1</v>
      </c>
      <c r="I256" s="30">
        <f t="shared" si="57"/>
        <v>1</v>
      </c>
      <c r="J256" s="30">
        <f t="shared" si="57"/>
        <v>1</v>
      </c>
      <c r="K256" s="30">
        <f t="shared" si="57"/>
        <v>1</v>
      </c>
      <c r="L256" s="30">
        <f t="shared" si="57"/>
        <v>1</v>
      </c>
      <c r="M256" s="30">
        <f t="shared" si="57"/>
        <v>1</v>
      </c>
      <c r="N256" s="30">
        <f t="shared" si="57"/>
        <v>0</v>
      </c>
      <c r="O256" s="30">
        <f t="shared" si="57"/>
        <v>0</v>
      </c>
      <c r="P256" s="30">
        <f t="shared" si="57"/>
        <v>0</v>
      </c>
      <c r="Q256" s="30">
        <f t="shared" si="57"/>
        <v>2</v>
      </c>
      <c r="R256" s="30">
        <f t="shared" si="57"/>
        <v>2</v>
      </c>
    </row>
    <row r="257">
      <c r="A257" s="29" t="s">
        <v>64</v>
      </c>
      <c r="B257" s="36">
        <v>0.0</v>
      </c>
      <c r="C257" s="36">
        <v>0.0</v>
      </c>
      <c r="D257" s="36">
        <v>0.0</v>
      </c>
      <c r="E257" s="36">
        <v>0.0</v>
      </c>
      <c r="F257" s="36">
        <v>0.0</v>
      </c>
      <c r="G257" s="36">
        <v>1.0</v>
      </c>
      <c r="H257" s="36">
        <v>0.0</v>
      </c>
      <c r="I257" s="36">
        <v>0.0</v>
      </c>
      <c r="J257" s="36">
        <v>0.0</v>
      </c>
      <c r="K257" s="36">
        <v>0.0</v>
      </c>
      <c r="L257" s="36">
        <v>0.0</v>
      </c>
      <c r="M257" s="36">
        <v>1.0</v>
      </c>
      <c r="N257" s="36">
        <v>0.0</v>
      </c>
      <c r="O257" s="36">
        <v>0.0</v>
      </c>
      <c r="P257" s="36">
        <v>0.0</v>
      </c>
      <c r="Q257" s="36">
        <v>0.0</v>
      </c>
      <c r="R257" s="36">
        <v>1.0</v>
      </c>
    </row>
    <row r="258">
      <c r="A258" s="29" t="s">
        <v>66</v>
      </c>
      <c r="B258" s="36">
        <v>2.0</v>
      </c>
      <c r="C258" s="36">
        <v>0.0</v>
      </c>
      <c r="D258" s="36">
        <v>0.0</v>
      </c>
      <c r="E258" s="36">
        <v>0.0</v>
      </c>
      <c r="F258" s="36">
        <v>0.0</v>
      </c>
      <c r="G258" s="36">
        <v>0.0</v>
      </c>
      <c r="H258" s="36">
        <v>0.0</v>
      </c>
      <c r="I258" s="36">
        <v>0.0</v>
      </c>
      <c r="J258" s="36">
        <v>0.0</v>
      </c>
      <c r="K258" s="30">
        <v>0.0</v>
      </c>
      <c r="L258" s="36">
        <v>0.0</v>
      </c>
      <c r="M258" s="36">
        <v>0.0</v>
      </c>
      <c r="N258" s="36">
        <v>2.0</v>
      </c>
      <c r="O258" s="36">
        <v>0.0</v>
      </c>
      <c r="P258" s="30">
        <v>0.0</v>
      </c>
      <c r="Q258" s="30">
        <v>0.0</v>
      </c>
      <c r="R258" s="36">
        <v>0.0</v>
      </c>
    </row>
    <row r="259">
      <c r="A259" s="29" t="s">
        <v>68</v>
      </c>
      <c r="B259" s="30">
        <v>0.0</v>
      </c>
      <c r="C259" s="36">
        <v>0.0</v>
      </c>
      <c r="D259" s="36">
        <v>2.0</v>
      </c>
      <c r="E259" s="36">
        <v>0.0</v>
      </c>
      <c r="F259" s="36">
        <v>0.0</v>
      </c>
      <c r="G259" s="36">
        <v>0.0</v>
      </c>
      <c r="H259" s="36">
        <v>0.0</v>
      </c>
      <c r="I259" s="36">
        <v>0.0</v>
      </c>
      <c r="J259" s="36">
        <v>0.0</v>
      </c>
      <c r="K259" s="36">
        <v>0.0</v>
      </c>
      <c r="L259" s="36">
        <v>0.0</v>
      </c>
      <c r="M259" s="36">
        <v>0.0</v>
      </c>
      <c r="N259" s="36">
        <v>0.0</v>
      </c>
      <c r="O259" s="36">
        <v>0.0</v>
      </c>
      <c r="P259" s="36">
        <v>2.0</v>
      </c>
      <c r="Q259" s="36">
        <v>0.0</v>
      </c>
      <c r="R259" s="36">
        <v>0.0</v>
      </c>
    </row>
    <row r="260">
      <c r="A260" s="29" t="s">
        <v>193</v>
      </c>
      <c r="B260" s="30">
        <f t="shared" ref="B260:R260" si="58">B256-B257+B259</f>
        <v>0</v>
      </c>
      <c r="C260" s="30">
        <f t="shared" si="58"/>
        <v>0</v>
      </c>
      <c r="D260" s="30">
        <f t="shared" si="58"/>
        <v>2</v>
      </c>
      <c r="E260" s="30">
        <f t="shared" si="58"/>
        <v>2</v>
      </c>
      <c r="F260" s="30">
        <f t="shared" si="58"/>
        <v>2</v>
      </c>
      <c r="G260" s="30">
        <f t="shared" si="58"/>
        <v>1</v>
      </c>
      <c r="H260" s="30">
        <f t="shared" si="58"/>
        <v>1</v>
      </c>
      <c r="I260" s="30">
        <f t="shared" si="58"/>
        <v>1</v>
      </c>
      <c r="J260" s="30">
        <f t="shared" si="58"/>
        <v>1</v>
      </c>
      <c r="K260" s="30">
        <f t="shared" si="58"/>
        <v>1</v>
      </c>
      <c r="L260" s="30">
        <f t="shared" si="58"/>
        <v>1</v>
      </c>
      <c r="M260" s="30">
        <f t="shared" si="58"/>
        <v>0</v>
      </c>
      <c r="N260" s="30">
        <f t="shared" si="58"/>
        <v>0</v>
      </c>
      <c r="O260" s="30">
        <f t="shared" si="58"/>
        <v>0</v>
      </c>
      <c r="P260" s="30">
        <f t="shared" si="58"/>
        <v>2</v>
      </c>
      <c r="Q260" s="30">
        <f t="shared" si="58"/>
        <v>2</v>
      </c>
      <c r="R260" s="30">
        <f t="shared" si="58"/>
        <v>1</v>
      </c>
    </row>
    <row r="262">
      <c r="A262" s="48" t="s">
        <v>939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9"/>
    </row>
    <row r="263">
      <c r="A263" s="23" t="s">
        <v>39</v>
      </c>
      <c r="B263" s="24">
        <v>2026.0</v>
      </c>
      <c r="C263" s="8"/>
      <c r="D263" s="8"/>
      <c r="E263" s="8"/>
      <c r="F263" s="9"/>
      <c r="G263" s="24">
        <v>2027.0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9"/>
    </row>
    <row r="264">
      <c r="A264" s="29" t="s">
        <v>45</v>
      </c>
      <c r="B264" s="29" t="s">
        <v>46</v>
      </c>
      <c r="C264" s="29" t="s">
        <v>47</v>
      </c>
      <c r="D264" s="29" t="s">
        <v>49</v>
      </c>
      <c r="E264" s="29" t="s">
        <v>50</v>
      </c>
      <c r="F264" s="29" t="s">
        <v>51</v>
      </c>
      <c r="G264" s="29" t="s">
        <v>52</v>
      </c>
      <c r="H264" s="29" t="s">
        <v>53</v>
      </c>
      <c r="I264" s="29" t="s">
        <v>54</v>
      </c>
      <c r="J264" s="29" t="s">
        <v>55</v>
      </c>
      <c r="K264" s="29" t="s">
        <v>56</v>
      </c>
      <c r="L264" s="29" t="s">
        <v>57</v>
      </c>
      <c r="M264" s="29" t="s">
        <v>58</v>
      </c>
      <c r="N264" s="29" t="s">
        <v>46</v>
      </c>
      <c r="O264" s="29" t="s">
        <v>47</v>
      </c>
      <c r="P264" s="29" t="s">
        <v>49</v>
      </c>
      <c r="Q264" s="29" t="s">
        <v>50</v>
      </c>
      <c r="R264" s="29" t="s">
        <v>51</v>
      </c>
    </row>
    <row r="265">
      <c r="A265" s="29" t="s">
        <v>59</v>
      </c>
      <c r="B265" s="36">
        <v>0.0</v>
      </c>
      <c r="C265" s="30">
        <f t="shared" ref="C265:R265" si="59">B269</f>
        <v>0</v>
      </c>
      <c r="D265" s="30">
        <f t="shared" si="59"/>
        <v>0</v>
      </c>
      <c r="E265" s="30">
        <f t="shared" si="59"/>
        <v>1</v>
      </c>
      <c r="F265" s="30">
        <f t="shared" si="59"/>
        <v>1</v>
      </c>
      <c r="G265" s="30">
        <f t="shared" si="59"/>
        <v>1</v>
      </c>
      <c r="H265" s="30">
        <f t="shared" si="59"/>
        <v>0</v>
      </c>
      <c r="I265" s="30">
        <f t="shared" si="59"/>
        <v>0</v>
      </c>
      <c r="J265" s="30">
        <f t="shared" si="59"/>
        <v>0</v>
      </c>
      <c r="K265" s="30">
        <f t="shared" si="59"/>
        <v>1</v>
      </c>
      <c r="L265" s="30">
        <f t="shared" si="59"/>
        <v>1</v>
      </c>
      <c r="M265" s="30">
        <f t="shared" si="59"/>
        <v>1</v>
      </c>
      <c r="N265" s="30">
        <f t="shared" si="59"/>
        <v>1</v>
      </c>
      <c r="O265" s="30">
        <f t="shared" si="59"/>
        <v>1</v>
      </c>
      <c r="P265" s="30">
        <f t="shared" si="59"/>
        <v>1</v>
      </c>
      <c r="Q265" s="30">
        <f t="shared" si="59"/>
        <v>1</v>
      </c>
      <c r="R265" s="30">
        <f t="shared" si="59"/>
        <v>1</v>
      </c>
    </row>
    <row r="266">
      <c r="A266" s="29" t="s">
        <v>64</v>
      </c>
      <c r="B266" s="36">
        <v>0.0</v>
      </c>
      <c r="C266" s="36">
        <v>0.0</v>
      </c>
      <c r="D266" s="36">
        <v>0.0</v>
      </c>
      <c r="E266" s="36">
        <v>0.0</v>
      </c>
      <c r="F266" s="36">
        <v>0.0</v>
      </c>
      <c r="G266" s="36">
        <v>1.0</v>
      </c>
      <c r="H266" s="36">
        <v>0.0</v>
      </c>
      <c r="I266" s="36">
        <v>0.0</v>
      </c>
      <c r="J266" s="36">
        <v>0.0</v>
      </c>
      <c r="K266" s="36">
        <v>0.0</v>
      </c>
      <c r="L266" s="36">
        <v>0.0</v>
      </c>
      <c r="M266" s="36">
        <v>0.0</v>
      </c>
      <c r="N266" s="36">
        <v>0.0</v>
      </c>
      <c r="O266" s="36">
        <v>0.0</v>
      </c>
      <c r="P266" s="36">
        <v>0.0</v>
      </c>
      <c r="Q266" s="36">
        <v>0.0</v>
      </c>
      <c r="R266" s="36">
        <v>1.0</v>
      </c>
    </row>
    <row r="267">
      <c r="A267" s="29" t="s">
        <v>66</v>
      </c>
      <c r="B267" s="36">
        <v>1.0</v>
      </c>
      <c r="C267" s="36">
        <v>0.0</v>
      </c>
      <c r="D267" s="36">
        <v>0.0</v>
      </c>
      <c r="E267" s="36">
        <v>0.0</v>
      </c>
      <c r="F267" s="36">
        <v>0.0</v>
      </c>
      <c r="G267" s="36">
        <v>0.0</v>
      </c>
      <c r="H267" s="36">
        <v>1.0</v>
      </c>
      <c r="I267" s="36">
        <v>0.0</v>
      </c>
      <c r="J267" s="36">
        <v>0.0</v>
      </c>
      <c r="K267" s="30">
        <v>0.0</v>
      </c>
      <c r="L267" s="36">
        <v>0.0</v>
      </c>
      <c r="M267" s="36">
        <v>0.0</v>
      </c>
      <c r="N267" s="36">
        <v>0.0</v>
      </c>
      <c r="O267" s="36">
        <v>0.0</v>
      </c>
      <c r="P267" s="30">
        <v>0.0</v>
      </c>
      <c r="Q267" s="30">
        <v>0.0</v>
      </c>
      <c r="R267" s="36">
        <v>0.0</v>
      </c>
    </row>
    <row r="268">
      <c r="A268" s="29" t="s">
        <v>68</v>
      </c>
      <c r="B268" s="30">
        <v>0.0</v>
      </c>
      <c r="C268" s="36">
        <v>0.0</v>
      </c>
      <c r="D268" s="36">
        <v>1.0</v>
      </c>
      <c r="E268" s="36">
        <v>0.0</v>
      </c>
      <c r="F268" s="36">
        <v>0.0</v>
      </c>
      <c r="G268" s="36">
        <v>0.0</v>
      </c>
      <c r="H268" s="36">
        <v>0.0</v>
      </c>
      <c r="I268" s="36">
        <v>0.0</v>
      </c>
      <c r="J268" s="36">
        <v>1.0</v>
      </c>
      <c r="K268" s="36">
        <v>0.0</v>
      </c>
      <c r="L268" s="36">
        <v>0.0</v>
      </c>
      <c r="M268" s="36">
        <v>0.0</v>
      </c>
      <c r="N268" s="36">
        <v>0.0</v>
      </c>
      <c r="O268" s="36">
        <v>0.0</v>
      </c>
      <c r="P268" s="36">
        <v>0.0</v>
      </c>
      <c r="Q268" s="36">
        <v>0.0</v>
      </c>
      <c r="R268" s="36">
        <v>0.0</v>
      </c>
    </row>
    <row r="269">
      <c r="A269" s="29" t="s">
        <v>193</v>
      </c>
      <c r="B269" s="30">
        <f t="shared" ref="B269:R269" si="60">B265-B266+B268</f>
        <v>0</v>
      </c>
      <c r="C269" s="30">
        <f t="shared" si="60"/>
        <v>0</v>
      </c>
      <c r="D269" s="30">
        <f t="shared" si="60"/>
        <v>1</v>
      </c>
      <c r="E269" s="30">
        <f t="shared" si="60"/>
        <v>1</v>
      </c>
      <c r="F269" s="30">
        <f t="shared" si="60"/>
        <v>1</v>
      </c>
      <c r="G269" s="30">
        <f t="shared" si="60"/>
        <v>0</v>
      </c>
      <c r="H269" s="30">
        <f t="shared" si="60"/>
        <v>0</v>
      </c>
      <c r="I269" s="30">
        <f t="shared" si="60"/>
        <v>0</v>
      </c>
      <c r="J269" s="30">
        <f t="shared" si="60"/>
        <v>1</v>
      </c>
      <c r="K269" s="30">
        <f t="shared" si="60"/>
        <v>1</v>
      </c>
      <c r="L269" s="30">
        <f t="shared" si="60"/>
        <v>1</v>
      </c>
      <c r="M269" s="30">
        <f t="shared" si="60"/>
        <v>1</v>
      </c>
      <c r="N269" s="30">
        <f t="shared" si="60"/>
        <v>1</v>
      </c>
      <c r="O269" s="30">
        <f t="shared" si="60"/>
        <v>1</v>
      </c>
      <c r="P269" s="30">
        <f t="shared" si="60"/>
        <v>1</v>
      </c>
      <c r="Q269" s="30">
        <f t="shared" si="60"/>
        <v>1</v>
      </c>
      <c r="R269" s="30">
        <f t="shared" si="60"/>
        <v>0</v>
      </c>
    </row>
    <row r="271">
      <c r="A271" s="48" t="s">
        <v>972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9"/>
    </row>
    <row r="272">
      <c r="A272" s="23" t="s">
        <v>39</v>
      </c>
      <c r="B272" s="24">
        <v>2026.0</v>
      </c>
      <c r="C272" s="8"/>
      <c r="D272" s="8"/>
      <c r="E272" s="8"/>
      <c r="F272" s="9"/>
      <c r="G272" s="24">
        <v>2027.0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9"/>
    </row>
    <row r="273">
      <c r="A273" s="29" t="s">
        <v>45</v>
      </c>
      <c r="B273" s="29" t="s">
        <v>46</v>
      </c>
      <c r="C273" s="29" t="s">
        <v>47</v>
      </c>
      <c r="D273" s="29" t="s">
        <v>49</v>
      </c>
      <c r="E273" s="29" t="s">
        <v>50</v>
      </c>
      <c r="F273" s="29" t="s">
        <v>51</v>
      </c>
      <c r="G273" s="29" t="s">
        <v>52</v>
      </c>
      <c r="H273" s="29" t="s">
        <v>53</v>
      </c>
      <c r="I273" s="29" t="s">
        <v>54</v>
      </c>
      <c r="J273" s="29" t="s">
        <v>55</v>
      </c>
      <c r="K273" s="29" t="s">
        <v>56</v>
      </c>
      <c r="L273" s="29" t="s">
        <v>57</v>
      </c>
      <c r="M273" s="29" t="s">
        <v>58</v>
      </c>
      <c r="N273" s="29" t="s">
        <v>46</v>
      </c>
      <c r="O273" s="29" t="s">
        <v>47</v>
      </c>
      <c r="P273" s="29" t="s">
        <v>49</v>
      </c>
      <c r="Q273" s="29" t="s">
        <v>50</v>
      </c>
      <c r="R273" s="29" t="s">
        <v>51</v>
      </c>
    </row>
    <row r="274">
      <c r="A274" s="29" t="s">
        <v>59</v>
      </c>
      <c r="B274" s="36">
        <v>1.0</v>
      </c>
      <c r="C274" s="30">
        <f t="shared" ref="C274:R274" si="61">B278</f>
        <v>1</v>
      </c>
      <c r="D274" s="30">
        <f t="shared" si="61"/>
        <v>0</v>
      </c>
      <c r="E274" s="30">
        <f t="shared" si="61"/>
        <v>0</v>
      </c>
      <c r="F274" s="30">
        <f t="shared" si="61"/>
        <v>1</v>
      </c>
      <c r="G274" s="30">
        <f t="shared" si="61"/>
        <v>1</v>
      </c>
      <c r="H274" s="30">
        <f t="shared" si="61"/>
        <v>0</v>
      </c>
      <c r="I274" s="30">
        <f t="shared" si="61"/>
        <v>0</v>
      </c>
      <c r="J274" s="30">
        <f t="shared" si="61"/>
        <v>1</v>
      </c>
      <c r="K274" s="30">
        <f t="shared" si="61"/>
        <v>1</v>
      </c>
      <c r="L274" s="30">
        <f t="shared" si="61"/>
        <v>1</v>
      </c>
      <c r="M274" s="30">
        <f t="shared" si="61"/>
        <v>0</v>
      </c>
      <c r="N274" s="30">
        <f t="shared" si="61"/>
        <v>0</v>
      </c>
      <c r="O274" s="30">
        <f t="shared" si="61"/>
        <v>1</v>
      </c>
      <c r="P274" s="30">
        <f t="shared" si="61"/>
        <v>1</v>
      </c>
      <c r="Q274" s="30">
        <f t="shared" si="61"/>
        <v>1</v>
      </c>
      <c r="R274" s="30">
        <f t="shared" si="61"/>
        <v>0</v>
      </c>
    </row>
    <row r="275">
      <c r="A275" s="29" t="s">
        <v>64</v>
      </c>
      <c r="B275" s="36">
        <v>0.0</v>
      </c>
      <c r="C275" s="36">
        <v>1.0</v>
      </c>
      <c r="D275" s="36">
        <v>0.0</v>
      </c>
      <c r="E275" s="36">
        <v>0.0</v>
      </c>
      <c r="F275" s="36">
        <v>0.0</v>
      </c>
      <c r="G275" s="36">
        <v>1.0</v>
      </c>
      <c r="H275" s="36">
        <v>0.0</v>
      </c>
      <c r="I275" s="36">
        <v>0.0</v>
      </c>
      <c r="J275" s="36">
        <v>0.0</v>
      </c>
      <c r="K275" s="36">
        <v>0.0</v>
      </c>
      <c r="L275" s="36">
        <v>1.0</v>
      </c>
      <c r="M275" s="36">
        <v>0.0</v>
      </c>
      <c r="N275" s="36">
        <v>0.0</v>
      </c>
      <c r="O275" s="36">
        <v>0.0</v>
      </c>
      <c r="P275" s="36">
        <v>0.0</v>
      </c>
      <c r="Q275" s="36">
        <v>1.0</v>
      </c>
      <c r="R275" s="36">
        <v>0.0</v>
      </c>
    </row>
    <row r="276">
      <c r="A276" s="29" t="s">
        <v>66</v>
      </c>
      <c r="B276" s="36">
        <v>0.0</v>
      </c>
      <c r="C276" s="36">
        <v>0.0</v>
      </c>
      <c r="D276" s="36">
        <v>0.0</v>
      </c>
      <c r="E276" s="36">
        <v>0.0</v>
      </c>
      <c r="F276" s="36">
        <v>0.0</v>
      </c>
      <c r="G276" s="36">
        <v>0.0</v>
      </c>
      <c r="H276" s="36">
        <v>0.0</v>
      </c>
      <c r="I276" s="36">
        <v>0.0</v>
      </c>
      <c r="J276" s="36">
        <v>0.0</v>
      </c>
      <c r="K276" s="30">
        <v>0.0</v>
      </c>
      <c r="L276" s="36">
        <v>0.0</v>
      </c>
      <c r="M276" s="36">
        <v>0.0</v>
      </c>
      <c r="N276" s="36">
        <v>0.0</v>
      </c>
      <c r="O276" s="36">
        <v>0.0</v>
      </c>
      <c r="P276" s="30">
        <v>0.0</v>
      </c>
      <c r="Q276" s="30">
        <v>0.0</v>
      </c>
      <c r="R276" s="36">
        <v>0.0</v>
      </c>
    </row>
    <row r="277">
      <c r="A277" s="29" t="s">
        <v>68</v>
      </c>
      <c r="B277" s="30">
        <v>0.0</v>
      </c>
      <c r="C277" s="36">
        <v>0.0</v>
      </c>
      <c r="D277" s="36">
        <v>0.0</v>
      </c>
      <c r="E277" s="36">
        <v>1.0</v>
      </c>
      <c r="F277" s="36">
        <v>0.0</v>
      </c>
      <c r="G277" s="36">
        <v>0.0</v>
      </c>
      <c r="H277" s="36">
        <v>0.0</v>
      </c>
      <c r="I277" s="36">
        <v>1.0</v>
      </c>
      <c r="J277" s="36">
        <v>0.0</v>
      </c>
      <c r="K277" s="36">
        <v>0.0</v>
      </c>
      <c r="L277" s="36">
        <v>0.0</v>
      </c>
      <c r="M277" s="36">
        <v>0.0</v>
      </c>
      <c r="N277" s="36">
        <v>1.0</v>
      </c>
      <c r="O277" s="36">
        <v>0.0</v>
      </c>
      <c r="P277" s="36">
        <v>0.0</v>
      </c>
      <c r="Q277" s="36">
        <v>0.0</v>
      </c>
      <c r="R277" s="36">
        <v>0.0</v>
      </c>
    </row>
    <row r="278">
      <c r="A278" s="29" t="s">
        <v>193</v>
      </c>
      <c r="B278" s="30">
        <f t="shared" ref="B278:R278" si="62">B274-B275+B277</f>
        <v>1</v>
      </c>
      <c r="C278" s="30">
        <f t="shared" si="62"/>
        <v>0</v>
      </c>
      <c r="D278" s="30">
        <f t="shared" si="62"/>
        <v>0</v>
      </c>
      <c r="E278" s="30">
        <f t="shared" si="62"/>
        <v>1</v>
      </c>
      <c r="F278" s="30">
        <f t="shared" si="62"/>
        <v>1</v>
      </c>
      <c r="G278" s="30">
        <f t="shared" si="62"/>
        <v>0</v>
      </c>
      <c r="H278" s="30">
        <f t="shared" si="62"/>
        <v>0</v>
      </c>
      <c r="I278" s="30">
        <f t="shared" si="62"/>
        <v>1</v>
      </c>
      <c r="J278" s="30">
        <f t="shared" si="62"/>
        <v>1</v>
      </c>
      <c r="K278" s="30">
        <f t="shared" si="62"/>
        <v>1</v>
      </c>
      <c r="L278" s="30">
        <f t="shared" si="62"/>
        <v>0</v>
      </c>
      <c r="M278" s="30">
        <f t="shared" si="62"/>
        <v>0</v>
      </c>
      <c r="N278" s="30">
        <f t="shared" si="62"/>
        <v>1</v>
      </c>
      <c r="O278" s="30">
        <f t="shared" si="62"/>
        <v>1</v>
      </c>
      <c r="P278" s="30">
        <f t="shared" si="62"/>
        <v>1</v>
      </c>
      <c r="Q278" s="30">
        <f t="shared" si="62"/>
        <v>0</v>
      </c>
      <c r="R278" s="30">
        <f t="shared" si="62"/>
        <v>0</v>
      </c>
    </row>
    <row r="280">
      <c r="A280" s="48" t="s">
        <v>1000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9"/>
    </row>
    <row r="281">
      <c r="A281" s="23" t="s">
        <v>39</v>
      </c>
      <c r="B281" s="24">
        <v>2026.0</v>
      </c>
      <c r="C281" s="8"/>
      <c r="D281" s="8"/>
      <c r="E281" s="8"/>
      <c r="F281" s="9"/>
      <c r="G281" s="24">
        <v>2027.0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9"/>
    </row>
    <row r="282">
      <c r="A282" s="29" t="s">
        <v>45</v>
      </c>
      <c r="B282" s="29" t="s">
        <v>46</v>
      </c>
      <c r="C282" s="29" t="s">
        <v>47</v>
      </c>
      <c r="D282" s="29" t="s">
        <v>49</v>
      </c>
      <c r="E282" s="29" t="s">
        <v>50</v>
      </c>
      <c r="F282" s="29" t="s">
        <v>51</v>
      </c>
      <c r="G282" s="29" t="s">
        <v>52</v>
      </c>
      <c r="H282" s="29" t="s">
        <v>53</v>
      </c>
      <c r="I282" s="29" t="s">
        <v>54</v>
      </c>
      <c r="J282" s="29" t="s">
        <v>55</v>
      </c>
      <c r="K282" s="29" t="s">
        <v>56</v>
      </c>
      <c r="L282" s="29" t="s">
        <v>57</v>
      </c>
      <c r="M282" s="29" t="s">
        <v>58</v>
      </c>
      <c r="N282" s="29" t="s">
        <v>46</v>
      </c>
      <c r="O282" s="29" t="s">
        <v>47</v>
      </c>
      <c r="P282" s="29" t="s">
        <v>49</v>
      </c>
      <c r="Q282" s="29" t="s">
        <v>50</v>
      </c>
      <c r="R282" s="29" t="s">
        <v>51</v>
      </c>
    </row>
    <row r="283">
      <c r="A283" s="29" t="s">
        <v>59</v>
      </c>
      <c r="B283" s="36">
        <v>1.0</v>
      </c>
      <c r="C283" s="30">
        <f t="shared" ref="C283:R283" si="63">B287</f>
        <v>1</v>
      </c>
      <c r="D283" s="30">
        <f t="shared" si="63"/>
        <v>0</v>
      </c>
      <c r="E283" s="30">
        <f t="shared" si="63"/>
        <v>0</v>
      </c>
      <c r="F283" s="30">
        <f t="shared" si="63"/>
        <v>0</v>
      </c>
      <c r="G283" s="30">
        <f t="shared" si="63"/>
        <v>1</v>
      </c>
      <c r="H283" s="30">
        <f t="shared" si="63"/>
        <v>0</v>
      </c>
      <c r="I283" s="30">
        <f t="shared" si="63"/>
        <v>0</v>
      </c>
      <c r="J283" s="30">
        <f t="shared" si="63"/>
        <v>0</v>
      </c>
      <c r="K283" s="30">
        <f t="shared" si="63"/>
        <v>1</v>
      </c>
      <c r="L283" s="30">
        <f t="shared" si="63"/>
        <v>1</v>
      </c>
      <c r="M283" s="30">
        <f t="shared" si="63"/>
        <v>0</v>
      </c>
      <c r="N283" s="30">
        <f t="shared" si="63"/>
        <v>0</v>
      </c>
      <c r="O283" s="30">
        <f t="shared" si="63"/>
        <v>0</v>
      </c>
      <c r="P283" s="30">
        <f t="shared" si="63"/>
        <v>1</v>
      </c>
      <c r="Q283" s="30">
        <f t="shared" si="63"/>
        <v>1</v>
      </c>
      <c r="R283" s="30">
        <f t="shared" si="63"/>
        <v>0</v>
      </c>
    </row>
    <row r="284">
      <c r="A284" s="29" t="s">
        <v>64</v>
      </c>
      <c r="B284" s="36">
        <v>0.0</v>
      </c>
      <c r="C284" s="36">
        <v>1.0</v>
      </c>
      <c r="D284" s="36">
        <v>0.0</v>
      </c>
      <c r="E284" s="36">
        <v>0.0</v>
      </c>
      <c r="F284" s="36">
        <v>0.0</v>
      </c>
      <c r="G284" s="36">
        <v>1.0</v>
      </c>
      <c r="H284" s="36">
        <v>0.0</v>
      </c>
      <c r="I284" s="36">
        <v>0.0</v>
      </c>
      <c r="J284" s="36">
        <v>0.0</v>
      </c>
      <c r="K284" s="36">
        <v>0.0</v>
      </c>
      <c r="L284" s="36">
        <v>1.0</v>
      </c>
      <c r="M284" s="36">
        <v>0.0</v>
      </c>
      <c r="N284" s="36">
        <v>0.0</v>
      </c>
      <c r="O284" s="36">
        <v>0.0</v>
      </c>
      <c r="P284" s="36">
        <v>0.0</v>
      </c>
      <c r="Q284" s="36">
        <v>1.0</v>
      </c>
      <c r="R284" s="36">
        <v>0.0</v>
      </c>
    </row>
    <row r="285">
      <c r="A285" s="29" t="s">
        <v>66</v>
      </c>
      <c r="B285" s="36">
        <v>0.0</v>
      </c>
      <c r="C285" s="36">
        <v>0.0</v>
      </c>
      <c r="D285" s="36">
        <v>1.0</v>
      </c>
      <c r="E285" s="36">
        <v>0.0</v>
      </c>
      <c r="F285" s="36">
        <v>0.0</v>
      </c>
      <c r="G285" s="36">
        <v>0.0</v>
      </c>
      <c r="H285" s="36">
        <v>1.0</v>
      </c>
      <c r="I285" s="36">
        <v>0.0</v>
      </c>
      <c r="J285" s="36">
        <v>0.0</v>
      </c>
      <c r="K285" s="30">
        <v>0.0</v>
      </c>
      <c r="L285" s="36">
        <v>0.0</v>
      </c>
      <c r="M285" s="36">
        <v>1.0</v>
      </c>
      <c r="N285" s="36">
        <v>0.0</v>
      </c>
      <c r="O285" s="36">
        <v>0.0</v>
      </c>
      <c r="P285" s="30">
        <v>0.0</v>
      </c>
      <c r="Q285" s="30">
        <v>0.0</v>
      </c>
      <c r="R285" s="36">
        <v>0.0</v>
      </c>
    </row>
    <row r="286">
      <c r="A286" s="29" t="s">
        <v>68</v>
      </c>
      <c r="B286" s="30">
        <v>0.0</v>
      </c>
      <c r="C286" s="36">
        <v>0.0</v>
      </c>
      <c r="D286" s="36">
        <v>0.0</v>
      </c>
      <c r="E286" s="36">
        <v>0.0</v>
      </c>
      <c r="F286" s="36">
        <v>1.0</v>
      </c>
      <c r="G286" s="36">
        <v>0.0</v>
      </c>
      <c r="H286" s="36">
        <v>0.0</v>
      </c>
      <c r="I286" s="36">
        <v>0.0</v>
      </c>
      <c r="J286" s="36">
        <v>1.0</v>
      </c>
      <c r="K286" s="36">
        <v>0.0</v>
      </c>
      <c r="L286" s="36">
        <v>0.0</v>
      </c>
      <c r="M286" s="36">
        <v>0.0</v>
      </c>
      <c r="N286" s="36">
        <v>0.0</v>
      </c>
      <c r="O286" s="36">
        <v>1.0</v>
      </c>
      <c r="P286" s="36">
        <v>0.0</v>
      </c>
      <c r="Q286" s="36">
        <v>0.0</v>
      </c>
      <c r="R286" s="36">
        <v>0.0</v>
      </c>
    </row>
    <row r="287">
      <c r="A287" s="29" t="s">
        <v>193</v>
      </c>
      <c r="B287" s="30">
        <f t="shared" ref="B287:R287" si="64">B283-B284+B286</f>
        <v>1</v>
      </c>
      <c r="C287" s="30">
        <f t="shared" si="64"/>
        <v>0</v>
      </c>
      <c r="D287" s="30">
        <f t="shared" si="64"/>
        <v>0</v>
      </c>
      <c r="E287" s="30">
        <f t="shared" si="64"/>
        <v>0</v>
      </c>
      <c r="F287" s="30">
        <f t="shared" si="64"/>
        <v>1</v>
      </c>
      <c r="G287" s="30">
        <f t="shared" si="64"/>
        <v>0</v>
      </c>
      <c r="H287" s="30">
        <f t="shared" si="64"/>
        <v>0</v>
      </c>
      <c r="I287" s="30">
        <f t="shared" si="64"/>
        <v>0</v>
      </c>
      <c r="J287" s="30">
        <f t="shared" si="64"/>
        <v>1</v>
      </c>
      <c r="K287" s="30">
        <f t="shared" si="64"/>
        <v>1</v>
      </c>
      <c r="L287" s="30">
        <f t="shared" si="64"/>
        <v>0</v>
      </c>
      <c r="M287" s="30">
        <f t="shared" si="64"/>
        <v>0</v>
      </c>
      <c r="N287" s="30">
        <f t="shared" si="64"/>
        <v>0</v>
      </c>
      <c r="O287" s="30">
        <f t="shared" si="64"/>
        <v>1</v>
      </c>
      <c r="P287" s="30">
        <f t="shared" si="64"/>
        <v>1</v>
      </c>
      <c r="Q287" s="30">
        <f t="shared" si="64"/>
        <v>0</v>
      </c>
      <c r="R287" s="30">
        <f t="shared" si="64"/>
        <v>0</v>
      </c>
    </row>
    <row r="289">
      <c r="A289" s="48" t="s">
        <v>1027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9"/>
    </row>
    <row r="290">
      <c r="A290" s="23" t="s">
        <v>39</v>
      </c>
      <c r="B290" s="24">
        <v>2026.0</v>
      </c>
      <c r="C290" s="8"/>
      <c r="D290" s="8"/>
      <c r="E290" s="8"/>
      <c r="F290" s="9"/>
      <c r="G290" s="24">
        <v>2027.0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9"/>
    </row>
    <row r="291">
      <c r="A291" s="29" t="s">
        <v>45</v>
      </c>
      <c r="B291" s="29" t="s">
        <v>46</v>
      </c>
      <c r="C291" s="29" t="s">
        <v>47</v>
      </c>
      <c r="D291" s="29" t="s">
        <v>49</v>
      </c>
      <c r="E291" s="29" t="s">
        <v>50</v>
      </c>
      <c r="F291" s="29" t="s">
        <v>51</v>
      </c>
      <c r="G291" s="29" t="s">
        <v>52</v>
      </c>
      <c r="H291" s="29" t="s">
        <v>53</v>
      </c>
      <c r="I291" s="29" t="s">
        <v>54</v>
      </c>
      <c r="J291" s="29" t="s">
        <v>55</v>
      </c>
      <c r="K291" s="29" t="s">
        <v>56</v>
      </c>
      <c r="L291" s="29" t="s">
        <v>57</v>
      </c>
      <c r="M291" s="29" t="s">
        <v>58</v>
      </c>
      <c r="N291" s="29" t="s">
        <v>46</v>
      </c>
      <c r="O291" s="29" t="s">
        <v>47</v>
      </c>
      <c r="P291" s="29" t="s">
        <v>49</v>
      </c>
      <c r="Q291" s="29" t="s">
        <v>50</v>
      </c>
      <c r="R291" s="29" t="s">
        <v>51</v>
      </c>
    </row>
    <row r="292">
      <c r="A292" s="29" t="s">
        <v>59</v>
      </c>
      <c r="B292" s="36">
        <v>99.0</v>
      </c>
      <c r="C292" s="30">
        <f t="shared" ref="C292:R292" si="65">B296</f>
        <v>82</v>
      </c>
      <c r="D292" s="30">
        <f t="shared" si="65"/>
        <v>78</v>
      </c>
      <c r="E292" s="30">
        <f t="shared" si="65"/>
        <v>74</v>
      </c>
      <c r="F292" s="30">
        <f t="shared" si="65"/>
        <v>70</v>
      </c>
      <c r="G292" s="30">
        <f t="shared" si="65"/>
        <v>66</v>
      </c>
      <c r="H292" s="30">
        <f t="shared" si="65"/>
        <v>62</v>
      </c>
      <c r="I292" s="30">
        <f t="shared" si="65"/>
        <v>58</v>
      </c>
      <c r="J292" s="30">
        <f t="shared" si="65"/>
        <v>54</v>
      </c>
      <c r="K292" s="30">
        <f t="shared" si="65"/>
        <v>50</v>
      </c>
      <c r="L292" s="30">
        <f t="shared" si="65"/>
        <v>46</v>
      </c>
      <c r="M292" s="30">
        <f t="shared" si="65"/>
        <v>42</v>
      </c>
      <c r="N292" s="30">
        <f t="shared" si="65"/>
        <v>38</v>
      </c>
      <c r="O292" s="30">
        <f t="shared" si="65"/>
        <v>34</v>
      </c>
      <c r="P292" s="30">
        <f t="shared" si="65"/>
        <v>30</v>
      </c>
      <c r="Q292" s="30">
        <f t="shared" si="65"/>
        <v>26</v>
      </c>
      <c r="R292" s="30">
        <f t="shared" si="65"/>
        <v>22</v>
      </c>
    </row>
    <row r="293">
      <c r="A293" s="29" t="s">
        <v>64</v>
      </c>
      <c r="B293" s="36">
        <v>17.0</v>
      </c>
      <c r="C293" s="36">
        <v>4.0</v>
      </c>
      <c r="D293" s="36">
        <v>4.0</v>
      </c>
      <c r="E293" s="36">
        <v>4.0</v>
      </c>
      <c r="F293" s="36">
        <v>4.0</v>
      </c>
      <c r="G293" s="36">
        <v>4.0</v>
      </c>
      <c r="H293" s="36">
        <v>4.0</v>
      </c>
      <c r="I293" s="36">
        <v>4.0</v>
      </c>
      <c r="J293" s="36">
        <v>4.0</v>
      </c>
      <c r="K293" s="36">
        <v>4.0</v>
      </c>
      <c r="L293" s="36">
        <v>4.0</v>
      </c>
      <c r="M293" s="36">
        <v>4.0</v>
      </c>
      <c r="N293" s="36">
        <v>4.0</v>
      </c>
      <c r="O293" s="36">
        <v>4.0</v>
      </c>
      <c r="P293" s="36">
        <v>4.0</v>
      </c>
      <c r="Q293" s="36">
        <v>4.0</v>
      </c>
      <c r="R293" s="36">
        <v>4.0</v>
      </c>
    </row>
    <row r="294">
      <c r="A294" s="29" t="s">
        <v>66</v>
      </c>
      <c r="B294" s="36">
        <v>0.0</v>
      </c>
      <c r="C294" s="36">
        <v>0.0</v>
      </c>
      <c r="D294" s="36">
        <v>0.0</v>
      </c>
      <c r="E294" s="36">
        <v>0.0</v>
      </c>
      <c r="F294" s="36">
        <v>0.0</v>
      </c>
      <c r="G294" s="36">
        <v>0.0</v>
      </c>
      <c r="H294" s="36">
        <v>0.0</v>
      </c>
      <c r="I294" s="36">
        <v>0.0</v>
      </c>
      <c r="J294" s="36">
        <v>0.0</v>
      </c>
      <c r="K294" s="30">
        <v>0.0</v>
      </c>
      <c r="L294" s="36">
        <v>0.0</v>
      </c>
      <c r="M294" s="36">
        <v>0.0</v>
      </c>
      <c r="N294" s="36">
        <v>0.0</v>
      </c>
      <c r="O294" s="36">
        <v>0.0</v>
      </c>
      <c r="P294" s="30">
        <v>0.0</v>
      </c>
      <c r="Q294" s="30">
        <v>0.0</v>
      </c>
      <c r="R294" s="36">
        <v>0.0</v>
      </c>
    </row>
    <row r="295">
      <c r="A295" s="29" t="s">
        <v>68</v>
      </c>
      <c r="B295" s="30">
        <v>0.0</v>
      </c>
      <c r="C295" s="36">
        <v>0.0</v>
      </c>
      <c r="D295" s="36">
        <v>0.0</v>
      </c>
      <c r="E295" s="36">
        <v>0.0</v>
      </c>
      <c r="F295" s="36">
        <v>0.0</v>
      </c>
      <c r="G295" s="36">
        <v>0.0</v>
      </c>
      <c r="H295" s="36">
        <v>0.0</v>
      </c>
      <c r="I295" s="36">
        <v>0.0</v>
      </c>
      <c r="J295" s="36">
        <v>0.0</v>
      </c>
      <c r="K295" s="36">
        <v>0.0</v>
      </c>
      <c r="L295" s="36">
        <v>0.0</v>
      </c>
      <c r="M295" s="36">
        <v>0.0</v>
      </c>
      <c r="N295" s="36">
        <v>0.0</v>
      </c>
      <c r="O295" s="36">
        <v>0.0</v>
      </c>
      <c r="P295" s="36">
        <v>0.0</v>
      </c>
      <c r="Q295" s="36">
        <v>0.0</v>
      </c>
      <c r="R295" s="36">
        <v>0.0</v>
      </c>
    </row>
    <row r="296">
      <c r="A296" s="29" t="s">
        <v>193</v>
      </c>
      <c r="B296" s="30">
        <f t="shared" ref="B296:R296" si="66">B292-B293+B295</f>
        <v>82</v>
      </c>
      <c r="C296" s="30">
        <f t="shared" si="66"/>
        <v>78</v>
      </c>
      <c r="D296" s="30">
        <f t="shared" si="66"/>
        <v>74</v>
      </c>
      <c r="E296" s="30">
        <f t="shared" si="66"/>
        <v>70</v>
      </c>
      <c r="F296" s="30">
        <f t="shared" si="66"/>
        <v>66</v>
      </c>
      <c r="G296" s="30">
        <f t="shared" si="66"/>
        <v>62</v>
      </c>
      <c r="H296" s="30">
        <f t="shared" si="66"/>
        <v>58</v>
      </c>
      <c r="I296" s="30">
        <f t="shared" si="66"/>
        <v>54</v>
      </c>
      <c r="J296" s="30">
        <f t="shared" si="66"/>
        <v>50</v>
      </c>
      <c r="K296" s="30">
        <f t="shared" si="66"/>
        <v>46</v>
      </c>
      <c r="L296" s="30">
        <f t="shared" si="66"/>
        <v>42</v>
      </c>
      <c r="M296" s="30">
        <f t="shared" si="66"/>
        <v>38</v>
      </c>
      <c r="N296" s="30">
        <f t="shared" si="66"/>
        <v>34</v>
      </c>
      <c r="O296" s="30">
        <f t="shared" si="66"/>
        <v>30</v>
      </c>
      <c r="P296" s="30">
        <f t="shared" si="66"/>
        <v>26</v>
      </c>
      <c r="Q296" s="30">
        <f t="shared" si="66"/>
        <v>22</v>
      </c>
      <c r="R296" s="30">
        <f t="shared" si="66"/>
        <v>18</v>
      </c>
    </row>
    <row r="298">
      <c r="A298" s="48" t="s">
        <v>1058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9"/>
    </row>
    <row r="299">
      <c r="A299" s="23" t="s">
        <v>39</v>
      </c>
      <c r="B299" s="24">
        <v>2026.0</v>
      </c>
      <c r="C299" s="8"/>
      <c r="D299" s="8"/>
      <c r="E299" s="8"/>
      <c r="F299" s="9"/>
      <c r="G299" s="24">
        <v>2027.0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9"/>
    </row>
    <row r="300">
      <c r="A300" s="29" t="s">
        <v>45</v>
      </c>
      <c r="B300" s="29" t="s">
        <v>46</v>
      </c>
      <c r="C300" s="29" t="s">
        <v>47</v>
      </c>
      <c r="D300" s="29" t="s">
        <v>49</v>
      </c>
      <c r="E300" s="29" t="s">
        <v>50</v>
      </c>
      <c r="F300" s="29" t="s">
        <v>51</v>
      </c>
      <c r="G300" s="29" t="s">
        <v>52</v>
      </c>
      <c r="H300" s="29" t="s">
        <v>53</v>
      </c>
      <c r="I300" s="29" t="s">
        <v>54</v>
      </c>
      <c r="J300" s="29" t="s">
        <v>55</v>
      </c>
      <c r="K300" s="29" t="s">
        <v>56</v>
      </c>
      <c r="L300" s="29" t="s">
        <v>57</v>
      </c>
      <c r="M300" s="29" t="s">
        <v>58</v>
      </c>
      <c r="N300" s="29" t="s">
        <v>46</v>
      </c>
      <c r="O300" s="29" t="s">
        <v>47</v>
      </c>
      <c r="P300" s="29" t="s">
        <v>49</v>
      </c>
      <c r="Q300" s="29" t="s">
        <v>50</v>
      </c>
      <c r="R300" s="29" t="s">
        <v>51</v>
      </c>
    </row>
    <row r="301">
      <c r="A301" s="29" t="s">
        <v>59</v>
      </c>
      <c r="B301" s="36">
        <v>4.0</v>
      </c>
      <c r="C301" s="30">
        <f t="shared" ref="C301:R301" si="67">B305</f>
        <v>-6</v>
      </c>
      <c r="D301" s="30">
        <f t="shared" si="67"/>
        <v>-16</v>
      </c>
      <c r="E301" s="30">
        <f t="shared" si="67"/>
        <v>94</v>
      </c>
      <c r="F301" s="30">
        <f t="shared" si="67"/>
        <v>84</v>
      </c>
      <c r="G301" s="30">
        <f t="shared" si="67"/>
        <v>74</v>
      </c>
      <c r="H301" s="30">
        <f t="shared" si="67"/>
        <v>64</v>
      </c>
      <c r="I301" s="30">
        <f t="shared" si="67"/>
        <v>54</v>
      </c>
      <c r="J301" s="30">
        <f t="shared" si="67"/>
        <v>44</v>
      </c>
      <c r="K301" s="30">
        <f t="shared" si="67"/>
        <v>34</v>
      </c>
      <c r="L301" s="30">
        <f t="shared" si="67"/>
        <v>24</v>
      </c>
      <c r="M301" s="30">
        <f t="shared" si="67"/>
        <v>14</v>
      </c>
      <c r="N301" s="30">
        <f t="shared" si="67"/>
        <v>4</v>
      </c>
      <c r="O301" s="30">
        <f t="shared" si="67"/>
        <v>114</v>
      </c>
      <c r="P301" s="30">
        <f t="shared" si="67"/>
        <v>104</v>
      </c>
      <c r="Q301" s="30">
        <f t="shared" si="67"/>
        <v>94</v>
      </c>
      <c r="R301" s="30">
        <f t="shared" si="67"/>
        <v>84</v>
      </c>
    </row>
    <row r="302">
      <c r="A302" s="29" t="s">
        <v>64</v>
      </c>
      <c r="B302" s="36">
        <v>10.0</v>
      </c>
      <c r="C302" s="36">
        <v>10.0</v>
      </c>
      <c r="D302" s="36">
        <v>10.0</v>
      </c>
      <c r="E302" s="36">
        <v>10.0</v>
      </c>
      <c r="F302" s="36">
        <v>10.0</v>
      </c>
      <c r="G302" s="36">
        <v>10.0</v>
      </c>
      <c r="H302" s="36">
        <v>10.0</v>
      </c>
      <c r="I302" s="36">
        <v>10.0</v>
      </c>
      <c r="J302" s="36">
        <v>10.0</v>
      </c>
      <c r="K302" s="36">
        <v>10.0</v>
      </c>
      <c r="L302" s="36">
        <v>10.0</v>
      </c>
      <c r="M302" s="36">
        <v>10.0</v>
      </c>
      <c r="N302" s="36">
        <v>10.0</v>
      </c>
      <c r="O302" s="36">
        <v>10.0</v>
      </c>
      <c r="P302" s="36">
        <v>10.0</v>
      </c>
      <c r="Q302" s="36">
        <v>10.0</v>
      </c>
      <c r="R302" s="36">
        <v>10.0</v>
      </c>
    </row>
    <row r="303">
      <c r="A303" s="29" t="s">
        <v>66</v>
      </c>
      <c r="B303" s="36">
        <v>120.0</v>
      </c>
      <c r="C303" s="36">
        <v>0.0</v>
      </c>
      <c r="D303" s="36">
        <v>0.0</v>
      </c>
      <c r="E303" s="36">
        <v>0.0</v>
      </c>
      <c r="F303" s="36">
        <v>0.0</v>
      </c>
      <c r="G303" s="36">
        <v>0.0</v>
      </c>
      <c r="H303" s="36">
        <v>0.0</v>
      </c>
      <c r="I303" s="36">
        <v>0.0</v>
      </c>
      <c r="J303" s="36">
        <v>0.0</v>
      </c>
      <c r="K303" s="30">
        <v>0.0</v>
      </c>
      <c r="L303" s="36">
        <v>120.0</v>
      </c>
      <c r="M303" s="36">
        <v>0.0</v>
      </c>
      <c r="N303" s="36">
        <v>0.0</v>
      </c>
      <c r="O303" s="36">
        <v>0.0</v>
      </c>
      <c r="P303" s="30">
        <v>0.0</v>
      </c>
      <c r="Q303" s="30">
        <v>0.0</v>
      </c>
      <c r="R303" s="36">
        <v>0.0</v>
      </c>
    </row>
    <row r="304">
      <c r="A304" s="29" t="s">
        <v>68</v>
      </c>
      <c r="B304" s="30">
        <v>0.0</v>
      </c>
      <c r="C304" s="36">
        <v>0.0</v>
      </c>
      <c r="D304" s="36">
        <v>120.0</v>
      </c>
      <c r="E304" s="36">
        <v>0.0</v>
      </c>
      <c r="F304" s="36">
        <v>0.0</v>
      </c>
      <c r="G304" s="36">
        <v>0.0</v>
      </c>
      <c r="H304" s="36">
        <v>0.0</v>
      </c>
      <c r="I304" s="36">
        <v>0.0</v>
      </c>
      <c r="J304" s="36">
        <v>0.0</v>
      </c>
      <c r="K304" s="36">
        <v>0.0</v>
      </c>
      <c r="L304" s="36">
        <v>0.0</v>
      </c>
      <c r="M304" s="36">
        <v>0.0</v>
      </c>
      <c r="N304" s="36">
        <v>120.0</v>
      </c>
      <c r="O304" s="36">
        <v>0.0</v>
      </c>
      <c r="P304" s="36">
        <v>0.0</v>
      </c>
      <c r="Q304" s="36">
        <v>0.0</v>
      </c>
      <c r="R304" s="36">
        <v>0.0</v>
      </c>
    </row>
    <row r="305">
      <c r="A305" s="29" t="s">
        <v>193</v>
      </c>
      <c r="B305" s="30">
        <f t="shared" ref="B305:R305" si="68">B301-B302+B304</f>
        <v>-6</v>
      </c>
      <c r="C305" s="30">
        <f t="shared" si="68"/>
        <v>-16</v>
      </c>
      <c r="D305" s="30">
        <f t="shared" si="68"/>
        <v>94</v>
      </c>
      <c r="E305" s="30">
        <f t="shared" si="68"/>
        <v>84</v>
      </c>
      <c r="F305" s="30">
        <f t="shared" si="68"/>
        <v>74</v>
      </c>
      <c r="G305" s="30">
        <f t="shared" si="68"/>
        <v>64</v>
      </c>
      <c r="H305" s="30">
        <f t="shared" si="68"/>
        <v>54</v>
      </c>
      <c r="I305" s="30">
        <f t="shared" si="68"/>
        <v>44</v>
      </c>
      <c r="J305" s="30">
        <f t="shared" si="68"/>
        <v>34</v>
      </c>
      <c r="K305" s="30">
        <f t="shared" si="68"/>
        <v>24</v>
      </c>
      <c r="L305" s="30">
        <f t="shared" si="68"/>
        <v>14</v>
      </c>
      <c r="M305" s="30">
        <f t="shared" si="68"/>
        <v>4</v>
      </c>
      <c r="N305" s="30">
        <f t="shared" si="68"/>
        <v>114</v>
      </c>
      <c r="O305" s="30">
        <f t="shared" si="68"/>
        <v>104</v>
      </c>
      <c r="P305" s="30">
        <f t="shared" si="68"/>
        <v>94</v>
      </c>
      <c r="Q305" s="30">
        <f t="shared" si="68"/>
        <v>84</v>
      </c>
      <c r="R305" s="30">
        <f t="shared" si="68"/>
        <v>74</v>
      </c>
    </row>
    <row r="307">
      <c r="A307" s="48" t="s">
        <v>1085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9"/>
    </row>
    <row r="308">
      <c r="A308" s="23" t="s">
        <v>39</v>
      </c>
      <c r="B308" s="24">
        <v>2026.0</v>
      </c>
      <c r="C308" s="8"/>
      <c r="D308" s="8"/>
      <c r="E308" s="8"/>
      <c r="F308" s="9"/>
      <c r="G308" s="24">
        <v>2027.0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9"/>
    </row>
    <row r="309">
      <c r="A309" s="29" t="s">
        <v>45</v>
      </c>
      <c r="B309" s="29" t="s">
        <v>46</v>
      </c>
      <c r="C309" s="29" t="s">
        <v>47</v>
      </c>
      <c r="D309" s="29" t="s">
        <v>49</v>
      </c>
      <c r="E309" s="29" t="s">
        <v>50</v>
      </c>
      <c r="F309" s="29" t="s">
        <v>51</v>
      </c>
      <c r="G309" s="29" t="s">
        <v>52</v>
      </c>
      <c r="H309" s="29" t="s">
        <v>53</v>
      </c>
      <c r="I309" s="29" t="s">
        <v>54</v>
      </c>
      <c r="J309" s="29" t="s">
        <v>55</v>
      </c>
      <c r="K309" s="29" t="s">
        <v>56</v>
      </c>
      <c r="L309" s="29" t="s">
        <v>57</v>
      </c>
      <c r="M309" s="29" t="s">
        <v>58</v>
      </c>
      <c r="N309" s="29" t="s">
        <v>46</v>
      </c>
      <c r="O309" s="29" t="s">
        <v>47</v>
      </c>
      <c r="P309" s="29" t="s">
        <v>49</v>
      </c>
      <c r="Q309" s="29" t="s">
        <v>50</v>
      </c>
      <c r="R309" s="29" t="s">
        <v>51</v>
      </c>
    </row>
    <row r="310">
      <c r="A310" s="29" t="s">
        <v>59</v>
      </c>
      <c r="B310" s="36">
        <v>0.0</v>
      </c>
      <c r="C310" s="30">
        <f t="shared" ref="C310:R310" si="69">B314</f>
        <v>0</v>
      </c>
      <c r="D310" s="30">
        <f t="shared" si="69"/>
        <v>0</v>
      </c>
      <c r="E310" s="30">
        <f t="shared" si="69"/>
        <v>3</v>
      </c>
      <c r="F310" s="30">
        <f t="shared" si="69"/>
        <v>2</v>
      </c>
      <c r="G310" s="30">
        <f t="shared" si="69"/>
        <v>2</v>
      </c>
      <c r="H310" s="30">
        <f t="shared" si="69"/>
        <v>2</v>
      </c>
      <c r="I310" s="30">
        <f t="shared" si="69"/>
        <v>2</v>
      </c>
      <c r="J310" s="30">
        <f t="shared" si="69"/>
        <v>2</v>
      </c>
      <c r="K310" s="30">
        <f t="shared" si="69"/>
        <v>2</v>
      </c>
      <c r="L310" s="30">
        <f t="shared" si="69"/>
        <v>1</v>
      </c>
      <c r="M310" s="30">
        <f t="shared" si="69"/>
        <v>1</v>
      </c>
      <c r="N310" s="30">
        <f t="shared" si="69"/>
        <v>1</v>
      </c>
      <c r="O310" s="30">
        <f t="shared" si="69"/>
        <v>1</v>
      </c>
      <c r="P310" s="30">
        <f t="shared" si="69"/>
        <v>1</v>
      </c>
      <c r="Q310" s="30">
        <f t="shared" si="69"/>
        <v>1</v>
      </c>
      <c r="R310" s="30">
        <f t="shared" si="69"/>
        <v>0</v>
      </c>
    </row>
    <row r="311">
      <c r="A311" s="29" t="s">
        <v>64</v>
      </c>
      <c r="B311" s="36">
        <v>0.0</v>
      </c>
      <c r="C311" s="36">
        <v>0.0</v>
      </c>
      <c r="D311" s="36">
        <v>0.0</v>
      </c>
      <c r="E311" s="36">
        <v>1.0</v>
      </c>
      <c r="F311" s="36">
        <v>0.0</v>
      </c>
      <c r="G311" s="36">
        <v>0.0</v>
      </c>
      <c r="H311" s="36">
        <v>0.0</v>
      </c>
      <c r="I311" s="36">
        <v>0.0</v>
      </c>
      <c r="J311" s="36">
        <v>0.0</v>
      </c>
      <c r="K311" s="36">
        <v>1.0</v>
      </c>
      <c r="L311" s="36">
        <v>0.0</v>
      </c>
      <c r="M311" s="36">
        <v>0.0</v>
      </c>
      <c r="N311" s="36">
        <v>0.0</v>
      </c>
      <c r="O311" s="36">
        <v>0.0</v>
      </c>
      <c r="P311" s="36">
        <v>0.0</v>
      </c>
      <c r="Q311" s="36">
        <v>1.0</v>
      </c>
      <c r="R311" s="36">
        <v>0.0</v>
      </c>
    </row>
    <row r="312">
      <c r="A312" s="29" t="s">
        <v>66</v>
      </c>
      <c r="B312" s="36">
        <v>0.0</v>
      </c>
      <c r="C312" s="36">
        <v>3.0</v>
      </c>
      <c r="D312" s="36">
        <v>0.0</v>
      </c>
      <c r="E312" s="36">
        <v>0.0</v>
      </c>
      <c r="F312" s="36">
        <v>0.0</v>
      </c>
      <c r="G312" s="36">
        <v>0.0</v>
      </c>
      <c r="H312" s="36">
        <v>0.0</v>
      </c>
      <c r="I312" s="36">
        <v>0.0</v>
      </c>
      <c r="J312" s="36">
        <v>0.0</v>
      </c>
      <c r="K312" s="30">
        <v>0.0</v>
      </c>
      <c r="L312" s="36">
        <v>0.0</v>
      </c>
      <c r="M312" s="36">
        <v>0.0</v>
      </c>
      <c r="N312" s="36">
        <v>0.0</v>
      </c>
      <c r="O312" s="36">
        <v>0.0</v>
      </c>
      <c r="P312" s="30">
        <v>0.0</v>
      </c>
      <c r="Q312" s="30">
        <v>0.0</v>
      </c>
      <c r="R312" s="36">
        <v>3.0</v>
      </c>
    </row>
    <row r="313">
      <c r="A313" s="29" t="s">
        <v>68</v>
      </c>
      <c r="B313" s="30">
        <v>0.0</v>
      </c>
      <c r="C313" s="36">
        <v>0.0</v>
      </c>
      <c r="D313" s="36">
        <v>3.0</v>
      </c>
      <c r="E313" s="36">
        <v>0.0</v>
      </c>
      <c r="F313" s="36">
        <v>0.0</v>
      </c>
      <c r="G313" s="36">
        <v>0.0</v>
      </c>
      <c r="H313" s="36">
        <v>0.0</v>
      </c>
      <c r="I313" s="36">
        <v>0.0</v>
      </c>
      <c r="J313" s="36">
        <v>0.0</v>
      </c>
      <c r="K313" s="36">
        <v>0.0</v>
      </c>
      <c r="L313" s="36">
        <v>0.0</v>
      </c>
      <c r="M313" s="36">
        <v>0.0</v>
      </c>
      <c r="N313" s="36">
        <v>0.0</v>
      </c>
      <c r="O313" s="36">
        <v>0.0</v>
      </c>
      <c r="P313" s="36">
        <v>0.0</v>
      </c>
      <c r="Q313" s="36">
        <v>0.0</v>
      </c>
      <c r="R313" s="36">
        <v>0.0</v>
      </c>
    </row>
    <row r="314">
      <c r="A314" s="29" t="s">
        <v>193</v>
      </c>
      <c r="B314" s="30">
        <f t="shared" ref="B314:R314" si="70">B310-B311+B313</f>
        <v>0</v>
      </c>
      <c r="C314" s="30">
        <f t="shared" si="70"/>
        <v>0</v>
      </c>
      <c r="D314" s="30">
        <f t="shared" si="70"/>
        <v>3</v>
      </c>
      <c r="E314" s="30">
        <f t="shared" si="70"/>
        <v>2</v>
      </c>
      <c r="F314" s="30">
        <f t="shared" si="70"/>
        <v>2</v>
      </c>
      <c r="G314" s="30">
        <f t="shared" si="70"/>
        <v>2</v>
      </c>
      <c r="H314" s="30">
        <f t="shared" si="70"/>
        <v>2</v>
      </c>
      <c r="I314" s="30">
        <f t="shared" si="70"/>
        <v>2</v>
      </c>
      <c r="J314" s="30">
        <f t="shared" si="70"/>
        <v>2</v>
      </c>
      <c r="K314" s="30">
        <f t="shared" si="70"/>
        <v>1</v>
      </c>
      <c r="L314" s="30">
        <f t="shared" si="70"/>
        <v>1</v>
      </c>
      <c r="M314" s="30">
        <f t="shared" si="70"/>
        <v>1</v>
      </c>
      <c r="N314" s="30">
        <f t="shared" si="70"/>
        <v>1</v>
      </c>
      <c r="O314" s="30">
        <f t="shared" si="70"/>
        <v>1</v>
      </c>
      <c r="P314" s="30">
        <f t="shared" si="70"/>
        <v>1</v>
      </c>
      <c r="Q314" s="30">
        <f t="shared" si="70"/>
        <v>0</v>
      </c>
      <c r="R314" s="30">
        <f t="shared" si="70"/>
        <v>0</v>
      </c>
    </row>
    <row r="316">
      <c r="A316" s="24" t="s">
        <v>1106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9"/>
    </row>
    <row r="317">
      <c r="A317" s="29" t="s">
        <v>39</v>
      </c>
      <c r="B317" s="49">
        <v>2026.0</v>
      </c>
      <c r="C317" s="8"/>
      <c r="D317" s="8"/>
      <c r="E317" s="8"/>
      <c r="F317" s="9"/>
      <c r="G317" s="49">
        <v>2027.0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9"/>
    </row>
    <row r="318">
      <c r="A318" s="29" t="s">
        <v>45</v>
      </c>
      <c r="B318" s="29" t="s">
        <v>46</v>
      </c>
      <c r="C318" s="29" t="s">
        <v>47</v>
      </c>
      <c r="D318" s="29" t="s">
        <v>49</v>
      </c>
      <c r="E318" s="29" t="s">
        <v>50</v>
      </c>
      <c r="F318" s="29" t="s">
        <v>51</v>
      </c>
      <c r="G318" s="29" t="s">
        <v>52</v>
      </c>
      <c r="H318" s="29" t="s">
        <v>53</v>
      </c>
      <c r="I318" s="29" t="s">
        <v>54</v>
      </c>
      <c r="J318" s="29" t="s">
        <v>55</v>
      </c>
      <c r="K318" s="29" t="s">
        <v>56</v>
      </c>
      <c r="L318" s="29" t="s">
        <v>57</v>
      </c>
      <c r="M318" s="29" t="s">
        <v>58</v>
      </c>
      <c r="N318" s="29" t="s">
        <v>46</v>
      </c>
      <c r="O318" s="29" t="s">
        <v>47</v>
      </c>
      <c r="P318" s="29" t="s">
        <v>49</v>
      </c>
      <c r="Q318" s="29" t="s">
        <v>50</v>
      </c>
      <c r="R318" s="29" t="s">
        <v>51</v>
      </c>
    </row>
    <row r="319">
      <c r="A319" s="29" t="s">
        <v>59</v>
      </c>
      <c r="B319" s="36">
        <v>0.0</v>
      </c>
      <c r="C319" s="30">
        <f t="shared" ref="C319:R319" si="71">B323</f>
        <v>0</v>
      </c>
      <c r="D319" s="30">
        <f t="shared" si="71"/>
        <v>0</v>
      </c>
      <c r="E319" s="30">
        <f t="shared" si="71"/>
        <v>3</v>
      </c>
      <c r="F319" s="30">
        <f t="shared" si="71"/>
        <v>2</v>
      </c>
      <c r="G319" s="30">
        <f t="shared" si="71"/>
        <v>2</v>
      </c>
      <c r="H319" s="30">
        <f t="shared" si="71"/>
        <v>2</v>
      </c>
      <c r="I319" s="30">
        <f t="shared" si="71"/>
        <v>2</v>
      </c>
      <c r="J319" s="30">
        <f t="shared" si="71"/>
        <v>2</v>
      </c>
      <c r="K319" s="30">
        <f t="shared" si="71"/>
        <v>2</v>
      </c>
      <c r="L319" s="30">
        <f t="shared" si="71"/>
        <v>1</v>
      </c>
      <c r="M319" s="30">
        <f t="shared" si="71"/>
        <v>1</v>
      </c>
      <c r="N319" s="30">
        <f t="shared" si="71"/>
        <v>1</v>
      </c>
      <c r="O319" s="30">
        <f t="shared" si="71"/>
        <v>1</v>
      </c>
      <c r="P319" s="30">
        <f t="shared" si="71"/>
        <v>1</v>
      </c>
      <c r="Q319" s="30">
        <f t="shared" si="71"/>
        <v>1</v>
      </c>
      <c r="R319" s="30">
        <f t="shared" si="71"/>
        <v>0</v>
      </c>
    </row>
    <row r="320">
      <c r="A320" s="29" t="s">
        <v>64</v>
      </c>
      <c r="B320" s="36">
        <v>0.0</v>
      </c>
      <c r="C320" s="36">
        <v>0.0</v>
      </c>
      <c r="D320" s="36">
        <v>0.0</v>
      </c>
      <c r="E320" s="36">
        <v>1.0</v>
      </c>
      <c r="F320" s="36">
        <v>0.0</v>
      </c>
      <c r="G320" s="36">
        <v>0.0</v>
      </c>
      <c r="H320" s="36">
        <v>0.0</v>
      </c>
      <c r="I320" s="36">
        <v>0.0</v>
      </c>
      <c r="J320" s="36">
        <v>0.0</v>
      </c>
      <c r="K320" s="36">
        <v>1.0</v>
      </c>
      <c r="L320" s="36">
        <v>0.0</v>
      </c>
      <c r="M320" s="36">
        <v>0.0</v>
      </c>
      <c r="N320" s="36">
        <v>0.0</v>
      </c>
      <c r="O320" s="36">
        <v>0.0</v>
      </c>
      <c r="P320" s="36">
        <v>0.0</v>
      </c>
      <c r="Q320" s="36">
        <v>1.0</v>
      </c>
      <c r="R320" s="36">
        <v>0.0</v>
      </c>
    </row>
    <row r="321">
      <c r="A321" s="29" t="s">
        <v>66</v>
      </c>
      <c r="B321" s="36">
        <v>0.0</v>
      </c>
      <c r="C321" s="36">
        <v>3.0</v>
      </c>
      <c r="D321" s="30">
        <v>0.0</v>
      </c>
      <c r="E321" s="30">
        <v>0.0</v>
      </c>
      <c r="F321" s="30">
        <v>0.0</v>
      </c>
      <c r="G321" s="30">
        <v>0.0</v>
      </c>
      <c r="H321" s="30">
        <v>0.0</v>
      </c>
      <c r="I321" s="30">
        <v>0.0</v>
      </c>
      <c r="J321" s="30">
        <v>0.0</v>
      </c>
      <c r="K321" s="30">
        <v>0.0</v>
      </c>
      <c r="L321" s="36">
        <v>0.0</v>
      </c>
      <c r="M321" s="30">
        <v>0.0</v>
      </c>
      <c r="N321" s="30">
        <v>0.0</v>
      </c>
      <c r="O321" s="30">
        <v>0.0</v>
      </c>
      <c r="P321" s="30">
        <v>0.0</v>
      </c>
      <c r="Q321" s="30">
        <v>0.0</v>
      </c>
      <c r="R321" s="36">
        <v>3.0</v>
      </c>
    </row>
    <row r="322">
      <c r="A322" s="29" t="s">
        <v>68</v>
      </c>
      <c r="B322" s="30">
        <v>0.0</v>
      </c>
      <c r="C322" s="30">
        <v>0.0</v>
      </c>
      <c r="D322" s="36">
        <v>3.0</v>
      </c>
      <c r="E322" s="30">
        <v>0.0</v>
      </c>
      <c r="F322" s="30">
        <v>0.0</v>
      </c>
      <c r="G322" s="30">
        <v>0.0</v>
      </c>
      <c r="H322" s="30">
        <v>0.0</v>
      </c>
      <c r="I322" s="30">
        <v>0.0</v>
      </c>
      <c r="J322" s="30">
        <v>0.0</v>
      </c>
      <c r="K322" s="30">
        <v>0.0</v>
      </c>
      <c r="L322" s="30">
        <v>0.0</v>
      </c>
      <c r="M322" s="30">
        <v>0.0</v>
      </c>
      <c r="N322" s="36">
        <v>0.0</v>
      </c>
      <c r="O322" s="30">
        <v>0.0</v>
      </c>
      <c r="P322" s="30">
        <v>0.0</v>
      </c>
      <c r="Q322" s="30">
        <v>0.0</v>
      </c>
      <c r="R322" s="30">
        <v>0.0</v>
      </c>
    </row>
    <row r="323">
      <c r="A323" s="29" t="s">
        <v>193</v>
      </c>
      <c r="B323" s="30">
        <f t="shared" ref="B323:R323" si="72">B319-B320+B322</f>
        <v>0</v>
      </c>
      <c r="C323" s="30">
        <f t="shared" si="72"/>
        <v>0</v>
      </c>
      <c r="D323" s="30">
        <f t="shared" si="72"/>
        <v>3</v>
      </c>
      <c r="E323" s="30">
        <f t="shared" si="72"/>
        <v>2</v>
      </c>
      <c r="F323" s="30">
        <f t="shared" si="72"/>
        <v>2</v>
      </c>
      <c r="G323" s="30">
        <f t="shared" si="72"/>
        <v>2</v>
      </c>
      <c r="H323" s="30">
        <f t="shared" si="72"/>
        <v>2</v>
      </c>
      <c r="I323" s="30">
        <f t="shared" si="72"/>
        <v>2</v>
      </c>
      <c r="J323" s="30">
        <f t="shared" si="72"/>
        <v>2</v>
      </c>
      <c r="K323" s="30">
        <f t="shared" si="72"/>
        <v>1</v>
      </c>
      <c r="L323" s="30">
        <f t="shared" si="72"/>
        <v>1</v>
      </c>
      <c r="M323" s="30">
        <f t="shared" si="72"/>
        <v>1</v>
      </c>
      <c r="N323" s="30">
        <f t="shared" si="72"/>
        <v>1</v>
      </c>
      <c r="O323" s="30">
        <f t="shared" si="72"/>
        <v>1</v>
      </c>
      <c r="P323" s="30">
        <f t="shared" si="72"/>
        <v>1</v>
      </c>
      <c r="Q323" s="30">
        <f t="shared" si="72"/>
        <v>0</v>
      </c>
      <c r="R323" s="30">
        <f t="shared" si="72"/>
        <v>0</v>
      </c>
    </row>
    <row r="325">
      <c r="A325" s="24" t="s">
        <v>1136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9"/>
    </row>
    <row r="326">
      <c r="A326" s="29" t="s">
        <v>39</v>
      </c>
      <c r="B326" s="49">
        <v>2026.0</v>
      </c>
      <c r="C326" s="8"/>
      <c r="D326" s="8"/>
      <c r="E326" s="8"/>
      <c r="F326" s="9"/>
      <c r="G326" s="49">
        <v>2027.0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9"/>
    </row>
    <row r="327">
      <c r="A327" s="29" t="s">
        <v>45</v>
      </c>
      <c r="B327" s="29" t="s">
        <v>46</v>
      </c>
      <c r="C327" s="29" t="s">
        <v>47</v>
      </c>
      <c r="D327" s="29" t="s">
        <v>49</v>
      </c>
      <c r="E327" s="29" t="s">
        <v>50</v>
      </c>
      <c r="F327" s="29" t="s">
        <v>51</v>
      </c>
      <c r="G327" s="29" t="s">
        <v>52</v>
      </c>
      <c r="H327" s="29" t="s">
        <v>53</v>
      </c>
      <c r="I327" s="29" t="s">
        <v>54</v>
      </c>
      <c r="J327" s="29" t="s">
        <v>55</v>
      </c>
      <c r="K327" s="29" t="s">
        <v>56</v>
      </c>
      <c r="L327" s="29" t="s">
        <v>57</v>
      </c>
      <c r="M327" s="29" t="s">
        <v>58</v>
      </c>
      <c r="N327" s="29" t="s">
        <v>46</v>
      </c>
      <c r="O327" s="29" t="s">
        <v>47</v>
      </c>
      <c r="P327" s="29" t="s">
        <v>49</v>
      </c>
      <c r="Q327" s="29" t="s">
        <v>50</v>
      </c>
      <c r="R327" s="29" t="s">
        <v>51</v>
      </c>
    </row>
    <row r="328">
      <c r="A328" s="29" t="s">
        <v>59</v>
      </c>
      <c r="B328" s="36">
        <v>0.0</v>
      </c>
      <c r="C328" s="30">
        <f t="shared" ref="C328:R328" si="73">B332</f>
        <v>0</v>
      </c>
      <c r="D328" s="30">
        <f t="shared" si="73"/>
        <v>0</v>
      </c>
      <c r="E328" s="30">
        <f t="shared" si="73"/>
        <v>20</v>
      </c>
      <c r="F328" s="30">
        <f t="shared" si="73"/>
        <v>19</v>
      </c>
      <c r="G328" s="30">
        <f t="shared" si="73"/>
        <v>18</v>
      </c>
      <c r="H328" s="30">
        <f t="shared" si="73"/>
        <v>17</v>
      </c>
      <c r="I328" s="30">
        <f t="shared" si="73"/>
        <v>16</v>
      </c>
      <c r="J328" s="30">
        <f t="shared" si="73"/>
        <v>15</v>
      </c>
      <c r="K328" s="30">
        <f t="shared" si="73"/>
        <v>14</v>
      </c>
      <c r="L328" s="30">
        <f t="shared" si="73"/>
        <v>13</v>
      </c>
      <c r="M328" s="30">
        <f t="shared" si="73"/>
        <v>12</v>
      </c>
      <c r="N328" s="30">
        <f t="shared" si="73"/>
        <v>11</v>
      </c>
      <c r="O328" s="30">
        <f t="shared" si="73"/>
        <v>10</v>
      </c>
      <c r="P328" s="30">
        <f t="shared" si="73"/>
        <v>9</v>
      </c>
      <c r="Q328" s="30">
        <f t="shared" si="73"/>
        <v>8</v>
      </c>
      <c r="R328" s="30">
        <f t="shared" si="73"/>
        <v>7</v>
      </c>
    </row>
    <row r="329">
      <c r="A329" s="29" t="s">
        <v>64</v>
      </c>
      <c r="B329" s="36">
        <v>0.0</v>
      </c>
      <c r="C329" s="36">
        <v>0.0</v>
      </c>
      <c r="D329" s="36">
        <v>0.0</v>
      </c>
      <c r="E329" s="36">
        <v>1.0</v>
      </c>
      <c r="F329" s="36">
        <v>1.0</v>
      </c>
      <c r="G329" s="36">
        <v>1.0</v>
      </c>
      <c r="H329" s="36">
        <v>1.0</v>
      </c>
      <c r="I329" s="36">
        <v>1.0</v>
      </c>
      <c r="J329" s="36">
        <v>1.0</v>
      </c>
      <c r="K329" s="36">
        <v>1.0</v>
      </c>
      <c r="L329" s="36">
        <v>1.0</v>
      </c>
      <c r="M329" s="36">
        <v>1.0</v>
      </c>
      <c r="N329" s="36">
        <v>1.0</v>
      </c>
      <c r="O329" s="36">
        <v>1.0</v>
      </c>
      <c r="P329" s="36">
        <v>1.0</v>
      </c>
      <c r="Q329" s="36">
        <v>1.0</v>
      </c>
      <c r="R329" s="36">
        <v>1.0</v>
      </c>
    </row>
    <row r="330">
      <c r="A330" s="29" t="s">
        <v>66</v>
      </c>
      <c r="B330" s="36">
        <v>0.0</v>
      </c>
      <c r="C330" s="36">
        <v>20.0</v>
      </c>
      <c r="D330" s="30">
        <v>0.0</v>
      </c>
      <c r="E330" s="30">
        <v>0.0</v>
      </c>
      <c r="F330" s="30">
        <v>0.0</v>
      </c>
      <c r="G330" s="30">
        <v>0.0</v>
      </c>
      <c r="H330" s="30">
        <v>0.0</v>
      </c>
      <c r="I330" s="30">
        <v>0.0</v>
      </c>
      <c r="J330" s="30">
        <v>0.0</v>
      </c>
      <c r="K330" s="30">
        <v>0.0</v>
      </c>
      <c r="L330" s="36">
        <v>0.0</v>
      </c>
      <c r="M330" s="30">
        <v>0.0</v>
      </c>
      <c r="N330" s="30">
        <v>0.0</v>
      </c>
      <c r="O330" s="30">
        <v>0.0</v>
      </c>
      <c r="P330" s="30">
        <v>0.0</v>
      </c>
      <c r="Q330" s="30">
        <v>0.0</v>
      </c>
      <c r="R330" s="36">
        <v>0.0</v>
      </c>
    </row>
    <row r="331">
      <c r="A331" s="29" t="s">
        <v>68</v>
      </c>
      <c r="B331" s="30">
        <v>0.0</v>
      </c>
      <c r="C331" s="30">
        <v>0.0</v>
      </c>
      <c r="D331" s="36">
        <v>20.0</v>
      </c>
      <c r="E331" s="30">
        <v>0.0</v>
      </c>
      <c r="F331" s="30">
        <v>0.0</v>
      </c>
      <c r="G331" s="30">
        <v>0.0</v>
      </c>
      <c r="H331" s="30">
        <v>0.0</v>
      </c>
      <c r="I331" s="30">
        <v>0.0</v>
      </c>
      <c r="J331" s="30">
        <v>0.0</v>
      </c>
      <c r="K331" s="30">
        <v>0.0</v>
      </c>
      <c r="L331" s="30">
        <v>0.0</v>
      </c>
      <c r="M331" s="30">
        <v>0.0</v>
      </c>
      <c r="N331" s="36">
        <v>0.0</v>
      </c>
      <c r="O331" s="30">
        <v>0.0</v>
      </c>
      <c r="P331" s="30">
        <v>0.0</v>
      </c>
      <c r="Q331" s="30">
        <v>0.0</v>
      </c>
      <c r="R331" s="30">
        <v>0.0</v>
      </c>
    </row>
    <row r="332">
      <c r="A332" s="29" t="s">
        <v>193</v>
      </c>
      <c r="B332" s="30">
        <f t="shared" ref="B332:R332" si="74">B328-B329+B331</f>
        <v>0</v>
      </c>
      <c r="C332" s="30">
        <f t="shared" si="74"/>
        <v>0</v>
      </c>
      <c r="D332" s="30">
        <f t="shared" si="74"/>
        <v>20</v>
      </c>
      <c r="E332" s="30">
        <f t="shared" si="74"/>
        <v>19</v>
      </c>
      <c r="F332" s="30">
        <f t="shared" si="74"/>
        <v>18</v>
      </c>
      <c r="G332" s="30">
        <f t="shared" si="74"/>
        <v>17</v>
      </c>
      <c r="H332" s="30">
        <f t="shared" si="74"/>
        <v>16</v>
      </c>
      <c r="I332" s="30">
        <f t="shared" si="74"/>
        <v>15</v>
      </c>
      <c r="J332" s="30">
        <f t="shared" si="74"/>
        <v>14</v>
      </c>
      <c r="K332" s="30">
        <f t="shared" si="74"/>
        <v>13</v>
      </c>
      <c r="L332" s="30">
        <f t="shared" si="74"/>
        <v>12</v>
      </c>
      <c r="M332" s="30">
        <f t="shared" si="74"/>
        <v>11</v>
      </c>
      <c r="N332" s="30">
        <f t="shared" si="74"/>
        <v>10</v>
      </c>
      <c r="O332" s="30">
        <f t="shared" si="74"/>
        <v>9</v>
      </c>
      <c r="P332" s="30">
        <f t="shared" si="74"/>
        <v>8</v>
      </c>
      <c r="Q332" s="30">
        <f t="shared" si="74"/>
        <v>7</v>
      </c>
      <c r="R332" s="30">
        <f t="shared" si="74"/>
        <v>6</v>
      </c>
    </row>
    <row r="334">
      <c r="A334" s="24" t="s">
        <v>1159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9"/>
    </row>
    <row r="335">
      <c r="A335" s="29" t="s">
        <v>39</v>
      </c>
      <c r="B335" s="49">
        <v>2026.0</v>
      </c>
      <c r="C335" s="8"/>
      <c r="D335" s="8"/>
      <c r="E335" s="8"/>
      <c r="F335" s="9"/>
      <c r="G335" s="49">
        <v>2027.0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9"/>
    </row>
    <row r="336">
      <c r="A336" s="29" t="s">
        <v>45</v>
      </c>
      <c r="B336" s="29" t="s">
        <v>46</v>
      </c>
      <c r="C336" s="29" t="s">
        <v>47</v>
      </c>
      <c r="D336" s="29" t="s">
        <v>49</v>
      </c>
      <c r="E336" s="29" t="s">
        <v>50</v>
      </c>
      <c r="F336" s="29" t="s">
        <v>51</v>
      </c>
      <c r="G336" s="29" t="s">
        <v>52</v>
      </c>
      <c r="H336" s="29" t="s">
        <v>53</v>
      </c>
      <c r="I336" s="29" t="s">
        <v>54</v>
      </c>
      <c r="J336" s="29" t="s">
        <v>55</v>
      </c>
      <c r="K336" s="29" t="s">
        <v>56</v>
      </c>
      <c r="L336" s="29" t="s">
        <v>57</v>
      </c>
      <c r="M336" s="29" t="s">
        <v>58</v>
      </c>
      <c r="N336" s="29" t="s">
        <v>46</v>
      </c>
      <c r="O336" s="29" t="s">
        <v>47</v>
      </c>
      <c r="P336" s="29" t="s">
        <v>49</v>
      </c>
      <c r="Q336" s="29" t="s">
        <v>50</v>
      </c>
      <c r="R336" s="29" t="s">
        <v>51</v>
      </c>
    </row>
    <row r="337">
      <c r="A337" s="29" t="s">
        <v>59</v>
      </c>
      <c r="B337" s="36">
        <v>0.0</v>
      </c>
      <c r="C337" s="30">
        <f t="shared" ref="C337:R337" si="75">B341</f>
        <v>0</v>
      </c>
      <c r="D337" s="30">
        <f t="shared" si="75"/>
        <v>0</v>
      </c>
      <c r="E337" s="30">
        <f t="shared" si="75"/>
        <v>10</v>
      </c>
      <c r="F337" s="30">
        <f t="shared" si="75"/>
        <v>10</v>
      </c>
      <c r="G337" s="30">
        <f t="shared" si="75"/>
        <v>10</v>
      </c>
      <c r="H337" s="30">
        <f t="shared" si="75"/>
        <v>10</v>
      </c>
      <c r="I337" s="30">
        <f t="shared" si="75"/>
        <v>10</v>
      </c>
      <c r="J337" s="30">
        <f t="shared" si="75"/>
        <v>9</v>
      </c>
      <c r="K337" s="30">
        <f t="shared" si="75"/>
        <v>9</v>
      </c>
      <c r="L337" s="30">
        <f t="shared" si="75"/>
        <v>9</v>
      </c>
      <c r="M337" s="30">
        <f t="shared" si="75"/>
        <v>9</v>
      </c>
      <c r="N337" s="30">
        <f t="shared" si="75"/>
        <v>9</v>
      </c>
      <c r="O337" s="30">
        <f t="shared" si="75"/>
        <v>8</v>
      </c>
      <c r="P337" s="30">
        <f t="shared" si="75"/>
        <v>8</v>
      </c>
      <c r="Q337" s="30">
        <f t="shared" si="75"/>
        <v>8</v>
      </c>
      <c r="R337" s="30">
        <f t="shared" si="75"/>
        <v>8</v>
      </c>
    </row>
    <row r="338">
      <c r="A338" s="29" t="s">
        <v>64</v>
      </c>
      <c r="B338" s="36">
        <v>0.0</v>
      </c>
      <c r="C338" s="36">
        <v>0.0</v>
      </c>
      <c r="D338" s="36">
        <v>0.0</v>
      </c>
      <c r="E338" s="36">
        <v>0.0</v>
      </c>
      <c r="F338" s="36">
        <v>0.0</v>
      </c>
      <c r="G338" s="36">
        <v>0.0</v>
      </c>
      <c r="H338" s="36">
        <v>0.0</v>
      </c>
      <c r="I338" s="36">
        <v>1.0</v>
      </c>
      <c r="J338" s="36">
        <v>0.0</v>
      </c>
      <c r="K338" s="36">
        <v>0.0</v>
      </c>
      <c r="L338" s="36">
        <v>0.0</v>
      </c>
      <c r="M338" s="36">
        <v>0.0</v>
      </c>
      <c r="N338" s="36">
        <v>1.0</v>
      </c>
      <c r="O338" s="36">
        <v>0.0</v>
      </c>
      <c r="P338" s="36">
        <v>0.0</v>
      </c>
      <c r="Q338" s="36">
        <v>0.0</v>
      </c>
      <c r="R338" s="36">
        <v>1.0</v>
      </c>
    </row>
    <row r="339">
      <c r="A339" s="29" t="s">
        <v>66</v>
      </c>
      <c r="B339" s="36">
        <v>0.0</v>
      </c>
      <c r="C339" s="36">
        <v>10.0</v>
      </c>
      <c r="D339" s="30">
        <v>0.0</v>
      </c>
      <c r="E339" s="30">
        <v>0.0</v>
      </c>
      <c r="F339" s="30">
        <v>0.0</v>
      </c>
      <c r="G339" s="30">
        <v>0.0</v>
      </c>
      <c r="H339" s="30">
        <v>0.0</v>
      </c>
      <c r="I339" s="30">
        <v>0.0</v>
      </c>
      <c r="J339" s="30">
        <v>0.0</v>
      </c>
      <c r="K339" s="30">
        <v>0.0</v>
      </c>
      <c r="L339" s="36">
        <v>0.0</v>
      </c>
      <c r="M339" s="30">
        <v>0.0</v>
      </c>
      <c r="N339" s="30">
        <v>0.0</v>
      </c>
      <c r="O339" s="30">
        <v>0.0</v>
      </c>
      <c r="P339" s="30">
        <v>0.0</v>
      </c>
      <c r="Q339" s="30">
        <v>0.0</v>
      </c>
      <c r="R339" s="36">
        <v>0.0</v>
      </c>
    </row>
    <row r="340">
      <c r="A340" s="29" t="s">
        <v>68</v>
      </c>
      <c r="B340" s="30">
        <v>0.0</v>
      </c>
      <c r="C340" s="30">
        <v>0.0</v>
      </c>
      <c r="D340" s="36">
        <v>10.0</v>
      </c>
      <c r="E340" s="30">
        <v>0.0</v>
      </c>
      <c r="F340" s="30">
        <v>0.0</v>
      </c>
      <c r="G340" s="30">
        <v>0.0</v>
      </c>
      <c r="H340" s="30">
        <v>0.0</v>
      </c>
      <c r="I340" s="30">
        <v>0.0</v>
      </c>
      <c r="J340" s="30">
        <v>0.0</v>
      </c>
      <c r="K340" s="30">
        <v>0.0</v>
      </c>
      <c r="L340" s="30">
        <v>0.0</v>
      </c>
      <c r="M340" s="30">
        <v>0.0</v>
      </c>
      <c r="N340" s="36">
        <v>0.0</v>
      </c>
      <c r="O340" s="30">
        <v>0.0</v>
      </c>
      <c r="P340" s="30">
        <v>0.0</v>
      </c>
      <c r="Q340" s="30">
        <v>0.0</v>
      </c>
      <c r="R340" s="30">
        <v>0.0</v>
      </c>
    </row>
    <row r="341">
      <c r="A341" s="29" t="s">
        <v>193</v>
      </c>
      <c r="B341" s="30">
        <f t="shared" ref="B341:R341" si="76">B337-B338+B340</f>
        <v>0</v>
      </c>
      <c r="C341" s="30">
        <f t="shared" si="76"/>
        <v>0</v>
      </c>
      <c r="D341" s="30">
        <f t="shared" si="76"/>
        <v>10</v>
      </c>
      <c r="E341" s="30">
        <f t="shared" si="76"/>
        <v>10</v>
      </c>
      <c r="F341" s="30">
        <f t="shared" si="76"/>
        <v>10</v>
      </c>
      <c r="G341" s="30">
        <f t="shared" si="76"/>
        <v>10</v>
      </c>
      <c r="H341" s="30">
        <f t="shared" si="76"/>
        <v>10</v>
      </c>
      <c r="I341" s="30">
        <f t="shared" si="76"/>
        <v>9</v>
      </c>
      <c r="J341" s="30">
        <f t="shared" si="76"/>
        <v>9</v>
      </c>
      <c r="K341" s="30">
        <f t="shared" si="76"/>
        <v>9</v>
      </c>
      <c r="L341" s="30">
        <f t="shared" si="76"/>
        <v>9</v>
      </c>
      <c r="M341" s="30">
        <f t="shared" si="76"/>
        <v>9</v>
      </c>
      <c r="N341" s="30">
        <f t="shared" si="76"/>
        <v>8</v>
      </c>
      <c r="O341" s="30">
        <f t="shared" si="76"/>
        <v>8</v>
      </c>
      <c r="P341" s="30">
        <f t="shared" si="76"/>
        <v>8</v>
      </c>
      <c r="Q341" s="30">
        <f t="shared" si="76"/>
        <v>8</v>
      </c>
      <c r="R341" s="30">
        <f t="shared" si="76"/>
        <v>7</v>
      </c>
    </row>
    <row r="343">
      <c r="A343" s="24" t="s">
        <v>1180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9"/>
    </row>
    <row r="344">
      <c r="A344" s="29" t="s">
        <v>39</v>
      </c>
      <c r="B344" s="49">
        <v>2026.0</v>
      </c>
      <c r="C344" s="8"/>
      <c r="D344" s="8"/>
      <c r="E344" s="8"/>
      <c r="F344" s="9"/>
      <c r="G344" s="49">
        <v>2027.0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9"/>
    </row>
    <row r="345">
      <c r="A345" s="29" t="s">
        <v>45</v>
      </c>
      <c r="B345" s="29" t="s">
        <v>46</v>
      </c>
      <c r="C345" s="29" t="s">
        <v>47</v>
      </c>
      <c r="D345" s="29" t="s">
        <v>49</v>
      </c>
      <c r="E345" s="29" t="s">
        <v>50</v>
      </c>
      <c r="F345" s="29" t="s">
        <v>51</v>
      </c>
      <c r="G345" s="29" t="s">
        <v>52</v>
      </c>
      <c r="H345" s="29" t="s">
        <v>53</v>
      </c>
      <c r="I345" s="29" t="s">
        <v>54</v>
      </c>
      <c r="J345" s="29" t="s">
        <v>55</v>
      </c>
      <c r="K345" s="29" t="s">
        <v>56</v>
      </c>
      <c r="L345" s="29" t="s">
        <v>57</v>
      </c>
      <c r="M345" s="29" t="s">
        <v>58</v>
      </c>
      <c r="N345" s="29" t="s">
        <v>46</v>
      </c>
      <c r="O345" s="29" t="s">
        <v>47</v>
      </c>
      <c r="P345" s="29" t="s">
        <v>49</v>
      </c>
      <c r="Q345" s="29" t="s">
        <v>50</v>
      </c>
      <c r="R345" s="29" t="s">
        <v>51</v>
      </c>
    </row>
    <row r="346">
      <c r="A346" s="29" t="s">
        <v>59</v>
      </c>
      <c r="B346" s="36">
        <v>0.0</v>
      </c>
      <c r="C346" s="30">
        <f t="shared" ref="C346:R346" si="77">B350</f>
        <v>0</v>
      </c>
      <c r="D346" s="30">
        <f t="shared" si="77"/>
        <v>0</v>
      </c>
      <c r="E346" s="30">
        <f t="shared" si="77"/>
        <v>5</v>
      </c>
      <c r="F346" s="30">
        <f t="shared" si="77"/>
        <v>5</v>
      </c>
      <c r="G346" s="30">
        <f t="shared" si="77"/>
        <v>4</v>
      </c>
      <c r="H346" s="30">
        <f t="shared" si="77"/>
        <v>4</v>
      </c>
      <c r="I346" s="30">
        <f t="shared" si="77"/>
        <v>4</v>
      </c>
      <c r="J346" s="30">
        <f t="shared" si="77"/>
        <v>4</v>
      </c>
      <c r="K346" s="30">
        <f t="shared" si="77"/>
        <v>4</v>
      </c>
      <c r="L346" s="30">
        <f t="shared" si="77"/>
        <v>4</v>
      </c>
      <c r="M346" s="30">
        <f t="shared" si="77"/>
        <v>4</v>
      </c>
      <c r="N346" s="30">
        <f t="shared" si="77"/>
        <v>3</v>
      </c>
      <c r="O346" s="30">
        <f t="shared" si="77"/>
        <v>3</v>
      </c>
      <c r="P346" s="30">
        <f t="shared" si="77"/>
        <v>3</v>
      </c>
      <c r="Q346" s="30">
        <f t="shared" si="77"/>
        <v>3</v>
      </c>
      <c r="R346" s="30">
        <f t="shared" si="77"/>
        <v>3</v>
      </c>
    </row>
    <row r="347">
      <c r="A347" s="29" t="s">
        <v>64</v>
      </c>
      <c r="B347" s="36">
        <v>0.0</v>
      </c>
      <c r="C347" s="36">
        <v>0.0</v>
      </c>
      <c r="D347" s="36">
        <v>0.0</v>
      </c>
      <c r="E347" s="36">
        <v>0.0</v>
      </c>
      <c r="F347" s="36">
        <v>1.0</v>
      </c>
      <c r="G347" s="36">
        <v>0.0</v>
      </c>
      <c r="H347" s="36">
        <v>0.0</v>
      </c>
      <c r="I347" s="36">
        <v>0.0</v>
      </c>
      <c r="J347" s="36">
        <v>0.0</v>
      </c>
      <c r="K347" s="36">
        <v>0.0</v>
      </c>
      <c r="L347" s="36">
        <v>0.0</v>
      </c>
      <c r="M347" s="36">
        <v>1.0</v>
      </c>
      <c r="N347" s="36">
        <v>0.0</v>
      </c>
      <c r="O347" s="36">
        <v>0.0</v>
      </c>
      <c r="P347" s="36">
        <v>0.0</v>
      </c>
      <c r="Q347" s="36">
        <v>0.0</v>
      </c>
      <c r="R347" s="36">
        <v>0.0</v>
      </c>
    </row>
    <row r="348">
      <c r="A348" s="29" t="s">
        <v>66</v>
      </c>
      <c r="B348" s="36">
        <v>0.0</v>
      </c>
      <c r="C348" s="36">
        <v>5.0</v>
      </c>
      <c r="D348" s="30">
        <v>0.0</v>
      </c>
      <c r="E348" s="30">
        <v>0.0</v>
      </c>
      <c r="F348" s="30">
        <v>0.0</v>
      </c>
      <c r="G348" s="30">
        <v>0.0</v>
      </c>
      <c r="H348" s="30">
        <v>0.0</v>
      </c>
      <c r="I348" s="30">
        <v>0.0</v>
      </c>
      <c r="J348" s="30">
        <v>0.0</v>
      </c>
      <c r="K348" s="30">
        <v>0.0</v>
      </c>
      <c r="L348" s="36">
        <v>0.0</v>
      </c>
      <c r="M348" s="30">
        <v>0.0</v>
      </c>
      <c r="N348" s="30">
        <v>0.0</v>
      </c>
      <c r="O348" s="30">
        <v>0.0</v>
      </c>
      <c r="P348" s="30">
        <v>0.0</v>
      </c>
      <c r="Q348" s="30">
        <v>0.0</v>
      </c>
      <c r="R348" s="36">
        <v>0.0</v>
      </c>
    </row>
    <row r="349">
      <c r="A349" s="29" t="s">
        <v>68</v>
      </c>
      <c r="B349" s="30">
        <v>0.0</v>
      </c>
      <c r="C349" s="30">
        <v>0.0</v>
      </c>
      <c r="D349" s="36">
        <v>5.0</v>
      </c>
      <c r="E349" s="30">
        <v>0.0</v>
      </c>
      <c r="F349" s="30">
        <v>0.0</v>
      </c>
      <c r="G349" s="30">
        <v>0.0</v>
      </c>
      <c r="H349" s="30">
        <v>0.0</v>
      </c>
      <c r="I349" s="30">
        <v>0.0</v>
      </c>
      <c r="J349" s="30">
        <v>0.0</v>
      </c>
      <c r="K349" s="30">
        <v>0.0</v>
      </c>
      <c r="L349" s="30">
        <v>0.0</v>
      </c>
      <c r="M349" s="30">
        <v>0.0</v>
      </c>
      <c r="N349" s="36">
        <v>0.0</v>
      </c>
      <c r="O349" s="30">
        <v>0.0</v>
      </c>
      <c r="P349" s="30">
        <v>0.0</v>
      </c>
      <c r="Q349" s="30">
        <v>0.0</v>
      </c>
      <c r="R349" s="30">
        <v>0.0</v>
      </c>
    </row>
    <row r="350">
      <c r="A350" s="29" t="s">
        <v>193</v>
      </c>
      <c r="B350" s="30">
        <f t="shared" ref="B350:R350" si="78">B346-B347+B349</f>
        <v>0</v>
      </c>
      <c r="C350" s="30">
        <f t="shared" si="78"/>
        <v>0</v>
      </c>
      <c r="D350" s="30">
        <f t="shared" si="78"/>
        <v>5</v>
      </c>
      <c r="E350" s="30">
        <f t="shared" si="78"/>
        <v>5</v>
      </c>
      <c r="F350" s="30">
        <f t="shared" si="78"/>
        <v>4</v>
      </c>
      <c r="G350" s="30">
        <f t="shared" si="78"/>
        <v>4</v>
      </c>
      <c r="H350" s="30">
        <f t="shared" si="78"/>
        <v>4</v>
      </c>
      <c r="I350" s="30">
        <f t="shared" si="78"/>
        <v>4</v>
      </c>
      <c r="J350" s="30">
        <f t="shared" si="78"/>
        <v>4</v>
      </c>
      <c r="K350" s="30">
        <f t="shared" si="78"/>
        <v>4</v>
      </c>
      <c r="L350" s="30">
        <f t="shared" si="78"/>
        <v>4</v>
      </c>
      <c r="M350" s="30">
        <f t="shared" si="78"/>
        <v>3</v>
      </c>
      <c r="N350" s="30">
        <f t="shared" si="78"/>
        <v>3</v>
      </c>
      <c r="O350" s="30">
        <f t="shared" si="78"/>
        <v>3</v>
      </c>
      <c r="P350" s="30">
        <f t="shared" si="78"/>
        <v>3</v>
      </c>
      <c r="Q350" s="30">
        <f t="shared" si="78"/>
        <v>3</v>
      </c>
      <c r="R350" s="30">
        <f t="shared" si="78"/>
        <v>3</v>
      </c>
    </row>
    <row r="352">
      <c r="A352" s="24" t="s">
        <v>1225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9"/>
    </row>
    <row r="353">
      <c r="A353" s="29" t="s">
        <v>39</v>
      </c>
      <c r="B353" s="49">
        <v>2026.0</v>
      </c>
      <c r="C353" s="8"/>
      <c r="D353" s="8"/>
      <c r="E353" s="8"/>
      <c r="F353" s="9"/>
      <c r="G353" s="49">
        <v>2027.0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9"/>
    </row>
    <row r="354">
      <c r="A354" s="29" t="s">
        <v>45</v>
      </c>
      <c r="B354" s="29" t="s">
        <v>46</v>
      </c>
      <c r="C354" s="29" t="s">
        <v>47</v>
      </c>
      <c r="D354" s="29" t="s">
        <v>49</v>
      </c>
      <c r="E354" s="29" t="s">
        <v>50</v>
      </c>
      <c r="F354" s="29" t="s">
        <v>51</v>
      </c>
      <c r="G354" s="29" t="s">
        <v>52</v>
      </c>
      <c r="H354" s="29" t="s">
        <v>53</v>
      </c>
      <c r="I354" s="29" t="s">
        <v>54</v>
      </c>
      <c r="J354" s="29" t="s">
        <v>55</v>
      </c>
      <c r="K354" s="29" t="s">
        <v>56</v>
      </c>
      <c r="L354" s="29" t="s">
        <v>57</v>
      </c>
      <c r="M354" s="29" t="s">
        <v>58</v>
      </c>
      <c r="N354" s="29" t="s">
        <v>46</v>
      </c>
      <c r="O354" s="29" t="s">
        <v>47</v>
      </c>
      <c r="P354" s="29" t="s">
        <v>49</v>
      </c>
      <c r="Q354" s="29" t="s">
        <v>50</v>
      </c>
      <c r="R354" s="29" t="s">
        <v>51</v>
      </c>
    </row>
    <row r="355">
      <c r="A355" s="29" t="s">
        <v>59</v>
      </c>
      <c r="B355" s="36">
        <v>200.0</v>
      </c>
      <c r="C355" s="30">
        <f t="shared" ref="C355:R355" si="79">B359</f>
        <v>200</v>
      </c>
      <c r="D355" s="30">
        <f t="shared" si="79"/>
        <v>190</v>
      </c>
      <c r="E355" s="30">
        <f t="shared" si="79"/>
        <v>180</v>
      </c>
      <c r="F355" s="30">
        <f t="shared" si="79"/>
        <v>170</v>
      </c>
      <c r="G355" s="30">
        <f t="shared" si="79"/>
        <v>160</v>
      </c>
      <c r="H355" s="30">
        <f t="shared" si="79"/>
        <v>150</v>
      </c>
      <c r="I355" s="30">
        <f t="shared" si="79"/>
        <v>140</v>
      </c>
      <c r="J355" s="30">
        <f t="shared" si="79"/>
        <v>130</v>
      </c>
      <c r="K355" s="30">
        <f t="shared" si="79"/>
        <v>120</v>
      </c>
      <c r="L355" s="30">
        <f t="shared" si="79"/>
        <v>110</v>
      </c>
      <c r="M355" s="30">
        <f t="shared" si="79"/>
        <v>100</v>
      </c>
      <c r="N355" s="30">
        <f t="shared" si="79"/>
        <v>90</v>
      </c>
      <c r="O355" s="30">
        <f t="shared" si="79"/>
        <v>80</v>
      </c>
      <c r="P355" s="30">
        <f t="shared" si="79"/>
        <v>70</v>
      </c>
      <c r="Q355" s="30">
        <f t="shared" si="79"/>
        <v>60</v>
      </c>
      <c r="R355" s="30">
        <f t="shared" si="79"/>
        <v>50</v>
      </c>
    </row>
    <row r="356">
      <c r="A356" s="29" t="s">
        <v>64</v>
      </c>
      <c r="B356" s="36">
        <v>0.0</v>
      </c>
      <c r="C356" s="36">
        <v>10.0</v>
      </c>
      <c r="D356" s="36">
        <v>10.0</v>
      </c>
      <c r="E356" s="36">
        <v>10.0</v>
      </c>
      <c r="F356" s="36">
        <v>10.0</v>
      </c>
      <c r="G356" s="36">
        <v>10.0</v>
      </c>
      <c r="H356" s="36">
        <v>10.0</v>
      </c>
      <c r="I356" s="36">
        <v>10.0</v>
      </c>
      <c r="J356" s="36">
        <v>10.0</v>
      </c>
      <c r="K356" s="36">
        <v>10.0</v>
      </c>
      <c r="L356" s="36">
        <v>10.0</v>
      </c>
      <c r="M356" s="36">
        <v>10.0</v>
      </c>
      <c r="N356" s="36">
        <v>10.0</v>
      </c>
      <c r="O356" s="36">
        <v>10.0</v>
      </c>
      <c r="P356" s="36">
        <v>10.0</v>
      </c>
      <c r="Q356" s="36">
        <v>10.0</v>
      </c>
      <c r="R356" s="36">
        <v>10.0</v>
      </c>
    </row>
    <row r="357">
      <c r="A357" s="29" t="s">
        <v>66</v>
      </c>
      <c r="B357" s="36">
        <v>0.0</v>
      </c>
      <c r="C357" s="36">
        <v>0.0</v>
      </c>
      <c r="D357" s="30">
        <v>0.0</v>
      </c>
      <c r="E357" s="30">
        <v>0.0</v>
      </c>
      <c r="F357" s="30">
        <v>0.0</v>
      </c>
      <c r="G357" s="30">
        <v>0.0</v>
      </c>
      <c r="H357" s="30">
        <v>0.0</v>
      </c>
      <c r="I357" s="30">
        <v>0.0</v>
      </c>
      <c r="J357" s="30">
        <v>0.0</v>
      </c>
      <c r="K357" s="30">
        <v>0.0</v>
      </c>
      <c r="L357" s="36">
        <v>0.0</v>
      </c>
      <c r="M357" s="30">
        <v>0.0</v>
      </c>
      <c r="N357" s="30">
        <v>0.0</v>
      </c>
      <c r="O357" s="30">
        <v>0.0</v>
      </c>
      <c r="P357" s="30">
        <v>0.0</v>
      </c>
      <c r="Q357" s="30">
        <v>0.0</v>
      </c>
      <c r="R357" s="36">
        <v>0.0</v>
      </c>
    </row>
    <row r="358">
      <c r="A358" s="29" t="s">
        <v>68</v>
      </c>
      <c r="B358" s="30">
        <v>0.0</v>
      </c>
      <c r="C358" s="30">
        <v>0.0</v>
      </c>
      <c r="D358" s="36">
        <v>0.0</v>
      </c>
      <c r="E358" s="30">
        <v>0.0</v>
      </c>
      <c r="F358" s="30">
        <v>0.0</v>
      </c>
      <c r="G358" s="30">
        <v>0.0</v>
      </c>
      <c r="H358" s="30">
        <v>0.0</v>
      </c>
      <c r="I358" s="30">
        <v>0.0</v>
      </c>
      <c r="J358" s="30">
        <v>0.0</v>
      </c>
      <c r="K358" s="30">
        <v>0.0</v>
      </c>
      <c r="L358" s="30">
        <v>0.0</v>
      </c>
      <c r="M358" s="30">
        <v>0.0</v>
      </c>
      <c r="N358" s="36">
        <v>0.0</v>
      </c>
      <c r="O358" s="30">
        <v>0.0</v>
      </c>
      <c r="P358" s="30">
        <v>0.0</v>
      </c>
      <c r="Q358" s="30">
        <v>0.0</v>
      </c>
      <c r="R358" s="30">
        <v>0.0</v>
      </c>
    </row>
    <row r="359">
      <c r="A359" s="29" t="s">
        <v>193</v>
      </c>
      <c r="B359" s="30">
        <f t="shared" ref="B359:R359" si="80">B355-B356+B358</f>
        <v>200</v>
      </c>
      <c r="C359" s="30">
        <f t="shared" si="80"/>
        <v>190</v>
      </c>
      <c r="D359" s="30">
        <f t="shared" si="80"/>
        <v>180</v>
      </c>
      <c r="E359" s="30">
        <f t="shared" si="80"/>
        <v>170</v>
      </c>
      <c r="F359" s="30">
        <f t="shared" si="80"/>
        <v>160</v>
      </c>
      <c r="G359" s="30">
        <f t="shared" si="80"/>
        <v>150</v>
      </c>
      <c r="H359" s="30">
        <f t="shared" si="80"/>
        <v>140</v>
      </c>
      <c r="I359" s="30">
        <f t="shared" si="80"/>
        <v>130</v>
      </c>
      <c r="J359" s="30">
        <f t="shared" si="80"/>
        <v>120</v>
      </c>
      <c r="K359" s="30">
        <f t="shared" si="80"/>
        <v>110</v>
      </c>
      <c r="L359" s="30">
        <f t="shared" si="80"/>
        <v>100</v>
      </c>
      <c r="M359" s="30">
        <f t="shared" si="80"/>
        <v>90</v>
      </c>
      <c r="N359" s="30">
        <f t="shared" si="80"/>
        <v>80</v>
      </c>
      <c r="O359" s="30">
        <f t="shared" si="80"/>
        <v>70</v>
      </c>
      <c r="P359" s="30">
        <f t="shared" si="80"/>
        <v>60</v>
      </c>
      <c r="Q359" s="30">
        <f t="shared" si="80"/>
        <v>50</v>
      </c>
      <c r="R359" s="30">
        <f t="shared" si="80"/>
        <v>40</v>
      </c>
    </row>
  </sheetData>
  <mergeCells count="120">
    <mergeCell ref="A1:R1"/>
    <mergeCell ref="B2:F2"/>
    <mergeCell ref="G2:R2"/>
    <mergeCell ref="A10:R10"/>
    <mergeCell ref="B11:F11"/>
    <mergeCell ref="G11:R11"/>
    <mergeCell ref="A19:R19"/>
    <mergeCell ref="B20:F20"/>
    <mergeCell ref="G20:R20"/>
    <mergeCell ref="A28:R28"/>
    <mergeCell ref="B29:F29"/>
    <mergeCell ref="G29:R29"/>
    <mergeCell ref="A37:R37"/>
    <mergeCell ref="B38:F38"/>
    <mergeCell ref="G38:R38"/>
    <mergeCell ref="A46:R46"/>
    <mergeCell ref="B47:F47"/>
    <mergeCell ref="G47:R47"/>
    <mergeCell ref="A55:R55"/>
    <mergeCell ref="B56:F56"/>
    <mergeCell ref="G56:R56"/>
    <mergeCell ref="A64:R64"/>
    <mergeCell ref="B65:F65"/>
    <mergeCell ref="G65:R65"/>
    <mergeCell ref="A73:R73"/>
    <mergeCell ref="B74:F74"/>
    <mergeCell ref="G74:R74"/>
    <mergeCell ref="A82:R82"/>
    <mergeCell ref="B83:F83"/>
    <mergeCell ref="G83:R83"/>
    <mergeCell ref="A91:R91"/>
    <mergeCell ref="B92:F92"/>
    <mergeCell ref="G92:R92"/>
    <mergeCell ref="A100:R100"/>
    <mergeCell ref="B101:F101"/>
    <mergeCell ref="G101:R101"/>
    <mergeCell ref="A109:R109"/>
    <mergeCell ref="B110:F110"/>
    <mergeCell ref="G110:R110"/>
    <mergeCell ref="A118:R118"/>
    <mergeCell ref="B119:F119"/>
    <mergeCell ref="G119:R119"/>
    <mergeCell ref="A127:R127"/>
    <mergeCell ref="B128:F128"/>
    <mergeCell ref="G128:R128"/>
    <mergeCell ref="A136:R136"/>
    <mergeCell ref="B137:F137"/>
    <mergeCell ref="G137:R137"/>
    <mergeCell ref="A145:R145"/>
    <mergeCell ref="B272:F272"/>
    <mergeCell ref="G272:R272"/>
    <mergeCell ref="A280:R280"/>
    <mergeCell ref="B281:F281"/>
    <mergeCell ref="G281:R281"/>
    <mergeCell ref="A289:R289"/>
    <mergeCell ref="B290:F290"/>
    <mergeCell ref="G290:R290"/>
    <mergeCell ref="A298:R298"/>
    <mergeCell ref="B299:F299"/>
    <mergeCell ref="G299:R299"/>
    <mergeCell ref="A307:R307"/>
    <mergeCell ref="B308:F308"/>
    <mergeCell ref="G308:R308"/>
    <mergeCell ref="B146:F146"/>
    <mergeCell ref="G146:R146"/>
    <mergeCell ref="A154:R154"/>
    <mergeCell ref="B155:F155"/>
    <mergeCell ref="G155:R155"/>
    <mergeCell ref="A163:R163"/>
    <mergeCell ref="B164:F164"/>
    <mergeCell ref="G164:R164"/>
    <mergeCell ref="A172:R172"/>
    <mergeCell ref="B173:F173"/>
    <mergeCell ref="G173:R173"/>
    <mergeCell ref="A181:R181"/>
    <mergeCell ref="B182:F182"/>
    <mergeCell ref="G182:R182"/>
    <mergeCell ref="A190:R190"/>
    <mergeCell ref="B191:F191"/>
    <mergeCell ref="G191:R191"/>
    <mergeCell ref="A199:R199"/>
    <mergeCell ref="B200:F200"/>
    <mergeCell ref="G200:R200"/>
    <mergeCell ref="A208:R208"/>
    <mergeCell ref="B209:F209"/>
    <mergeCell ref="G209:R209"/>
    <mergeCell ref="A217:R217"/>
    <mergeCell ref="B218:F218"/>
    <mergeCell ref="G218:R218"/>
    <mergeCell ref="A226:R226"/>
    <mergeCell ref="B227:F227"/>
    <mergeCell ref="G227:R227"/>
    <mergeCell ref="A235:R235"/>
    <mergeCell ref="B236:F236"/>
    <mergeCell ref="G236:R236"/>
    <mergeCell ref="A244:R244"/>
    <mergeCell ref="B245:F245"/>
    <mergeCell ref="G245:R245"/>
    <mergeCell ref="A253:R253"/>
    <mergeCell ref="B254:F254"/>
    <mergeCell ref="G254:R254"/>
    <mergeCell ref="A262:R262"/>
    <mergeCell ref="B263:F263"/>
    <mergeCell ref="G263:R263"/>
    <mergeCell ref="A271:R271"/>
    <mergeCell ref="B335:F335"/>
    <mergeCell ref="G335:R335"/>
    <mergeCell ref="A343:R343"/>
    <mergeCell ref="B344:F344"/>
    <mergeCell ref="G344:R344"/>
    <mergeCell ref="A352:R352"/>
    <mergeCell ref="B353:F353"/>
    <mergeCell ref="G353:R353"/>
    <mergeCell ref="A316:R316"/>
    <mergeCell ref="B317:F317"/>
    <mergeCell ref="G317:R317"/>
    <mergeCell ref="A325:R325"/>
    <mergeCell ref="B326:F326"/>
    <mergeCell ref="G326:R326"/>
    <mergeCell ref="A334:R3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0.63"/>
    <col customWidth="1" min="3" max="3" width="14.63"/>
    <col hidden="1" min="4" max="19" width="12.63"/>
  </cols>
  <sheetData>
    <row r="1">
      <c r="A1" s="2" t="s">
        <v>1</v>
      </c>
      <c r="B1" s="2" t="s">
        <v>15</v>
      </c>
      <c r="C1" s="2" t="s">
        <v>22</v>
      </c>
      <c r="D1" s="5" t="s">
        <v>23</v>
      </c>
      <c r="E1" s="7" t="s">
        <v>27</v>
      </c>
      <c r="F1" s="8"/>
      <c r="G1" s="8"/>
      <c r="H1" s="8"/>
      <c r="I1" s="9"/>
      <c r="J1" s="2" t="s">
        <v>28</v>
      </c>
      <c r="K1" s="10" t="s">
        <v>29</v>
      </c>
      <c r="L1" s="12" t="s">
        <v>30</v>
      </c>
      <c r="M1" s="14" t="s">
        <v>31</v>
      </c>
      <c r="N1" s="15"/>
      <c r="O1" s="10" t="s">
        <v>32</v>
      </c>
      <c r="P1" s="10" t="s">
        <v>33</v>
      </c>
      <c r="Q1" s="10" t="s">
        <v>34</v>
      </c>
      <c r="R1" s="10" t="s">
        <v>35</v>
      </c>
      <c r="S1" s="18"/>
    </row>
    <row r="2">
      <c r="A2" s="19"/>
      <c r="B2" s="19"/>
      <c r="C2" s="19"/>
      <c r="D2" s="19"/>
      <c r="E2" s="2" t="s">
        <v>37</v>
      </c>
      <c r="F2" s="7" t="s">
        <v>38</v>
      </c>
      <c r="G2" s="8"/>
      <c r="H2" s="8"/>
      <c r="I2" s="9"/>
      <c r="J2" s="19"/>
      <c r="K2" s="19"/>
      <c r="L2" s="19"/>
      <c r="M2" s="21"/>
      <c r="N2" s="22"/>
      <c r="O2" s="19"/>
      <c r="P2" s="19"/>
      <c r="Q2" s="19"/>
      <c r="R2" s="19"/>
      <c r="S2" s="18"/>
    </row>
    <row r="3">
      <c r="A3" s="19"/>
      <c r="B3" s="19"/>
      <c r="C3" s="19"/>
      <c r="D3" s="19"/>
      <c r="E3" s="19"/>
      <c r="F3" s="5" t="s">
        <v>40</v>
      </c>
      <c r="G3" s="2" t="s">
        <v>41</v>
      </c>
      <c r="H3" s="7" t="s">
        <v>42</v>
      </c>
      <c r="I3" s="9"/>
      <c r="J3" s="19"/>
      <c r="K3" s="19"/>
      <c r="L3" s="19"/>
      <c r="M3" s="21"/>
      <c r="N3" s="22"/>
      <c r="O3" s="19"/>
      <c r="P3" s="19"/>
      <c r="Q3" s="19"/>
      <c r="R3" s="19"/>
      <c r="S3" s="18"/>
    </row>
    <row r="4">
      <c r="A4" s="25"/>
      <c r="B4" s="25"/>
      <c r="C4" s="25"/>
      <c r="D4" s="25"/>
      <c r="E4" s="25"/>
      <c r="F4" s="25"/>
      <c r="G4" s="25"/>
      <c r="H4" s="26" t="s">
        <v>43</v>
      </c>
      <c r="I4" s="26" t="s">
        <v>44</v>
      </c>
      <c r="J4" s="25"/>
      <c r="K4" s="25"/>
      <c r="L4" s="25"/>
      <c r="M4" s="27"/>
      <c r="N4" s="28"/>
      <c r="O4" s="25"/>
      <c r="P4" s="25"/>
      <c r="Q4" s="25"/>
      <c r="R4" s="25"/>
      <c r="S4" s="18"/>
    </row>
    <row r="5">
      <c r="A5" s="30">
        <v>1.0</v>
      </c>
      <c r="B5" s="31" t="s">
        <v>48</v>
      </c>
      <c r="C5" s="32">
        <f>countif('All Critical Part'!C:C,B5)</f>
        <v>47</v>
      </c>
      <c r="D5" s="30">
        <v>11.0</v>
      </c>
      <c r="E5" s="30">
        <v>24.0</v>
      </c>
      <c r="F5" s="30">
        <v>4.0</v>
      </c>
      <c r="G5" s="30">
        <v>6.0</v>
      </c>
      <c r="H5" s="30">
        <v>1.0</v>
      </c>
      <c r="I5" s="30">
        <v>0.0</v>
      </c>
      <c r="J5" s="33">
        <f t="shared" ref="J5:J20" si="1">E5/(C5-D5)</f>
        <v>0.6666666667</v>
      </c>
      <c r="K5" s="33">
        <f t="shared" ref="K5:K20" si="2">(E5+F5)/(C5-D5)</f>
        <v>0.7777777778</v>
      </c>
      <c r="L5" s="30">
        <v>0.0</v>
      </c>
      <c r="M5" s="30">
        <f t="shared" ref="M5:M20" si="3">sum(G5:I5)</f>
        <v>7</v>
      </c>
      <c r="N5" s="33">
        <f t="shared" ref="N5:N20" si="4">M5/(C5-D5)</f>
        <v>0.1944444444</v>
      </c>
      <c r="O5" s="30">
        <v>1.0</v>
      </c>
      <c r="P5" s="30">
        <v>0.0</v>
      </c>
      <c r="Q5" s="34">
        <v>46016.0</v>
      </c>
      <c r="R5" s="34">
        <v>45714.0</v>
      </c>
      <c r="S5" s="35" t="s">
        <v>63</v>
      </c>
      <c r="T5" s="6">
        <f>sum(C5:C55)</f>
        <v>690</v>
      </c>
    </row>
    <row r="6">
      <c r="A6" s="30">
        <v>2.0</v>
      </c>
      <c r="B6" s="37" t="s">
        <v>65</v>
      </c>
      <c r="C6" s="32">
        <f>countif('All Critical Part'!C:C,B6)</f>
        <v>49</v>
      </c>
      <c r="D6" s="30">
        <v>20.0</v>
      </c>
      <c r="E6" s="30">
        <v>22.0</v>
      </c>
      <c r="F6" s="30">
        <v>4.0</v>
      </c>
      <c r="G6" s="30">
        <v>2.0</v>
      </c>
      <c r="H6" s="30">
        <v>1.0</v>
      </c>
      <c r="I6" s="30">
        <v>0.0</v>
      </c>
      <c r="J6" s="33">
        <f t="shared" si="1"/>
        <v>0.7586206897</v>
      </c>
      <c r="K6" s="33">
        <f t="shared" si="2"/>
        <v>0.8965517241</v>
      </c>
      <c r="L6" s="30">
        <v>0.0</v>
      </c>
      <c r="M6" s="30">
        <f t="shared" si="3"/>
        <v>3</v>
      </c>
      <c r="N6" s="33">
        <f t="shared" si="4"/>
        <v>0.1034482759</v>
      </c>
      <c r="O6" s="30">
        <v>1.0</v>
      </c>
      <c r="P6" s="30">
        <v>0.0</v>
      </c>
      <c r="Q6" s="34">
        <v>45986.0</v>
      </c>
      <c r="R6" s="34">
        <v>45714.0</v>
      </c>
      <c r="S6" s="25"/>
    </row>
    <row r="7">
      <c r="A7" s="30">
        <v>3.0</v>
      </c>
      <c r="B7" s="37" t="s">
        <v>67</v>
      </c>
      <c r="C7" s="32">
        <f>countif('All Critical Part'!C:C,B7)</f>
        <v>65</v>
      </c>
      <c r="D7" s="30">
        <v>26.0</v>
      </c>
      <c r="E7" s="30">
        <v>28.0</v>
      </c>
      <c r="F7" s="30">
        <v>11.0</v>
      </c>
      <c r="G7" s="30">
        <v>5.0</v>
      </c>
      <c r="H7" s="30">
        <v>1.0</v>
      </c>
      <c r="I7" s="30">
        <v>0.0</v>
      </c>
      <c r="J7" s="33">
        <f t="shared" si="1"/>
        <v>0.7179487179</v>
      </c>
      <c r="K7" s="33">
        <f t="shared" si="2"/>
        <v>1</v>
      </c>
      <c r="L7" s="30">
        <v>1.0</v>
      </c>
      <c r="M7" s="30">
        <f t="shared" si="3"/>
        <v>6</v>
      </c>
      <c r="N7" s="33">
        <f t="shared" si="4"/>
        <v>0.1538461538</v>
      </c>
      <c r="O7" s="30">
        <v>3.0</v>
      </c>
      <c r="P7" s="30">
        <v>0.0</v>
      </c>
      <c r="Q7" s="34">
        <v>46016.0</v>
      </c>
      <c r="R7" s="34">
        <v>45742.0</v>
      </c>
      <c r="S7" s="33">
        <f>AVERAGE((K5:K13))</f>
        <v>0.9372244617</v>
      </c>
    </row>
    <row r="8">
      <c r="A8" s="30">
        <v>4.0</v>
      </c>
      <c r="B8" s="37" t="s">
        <v>70</v>
      </c>
      <c r="C8" s="32">
        <f>countif('All Critical Part'!C:C,B8)</f>
        <v>18</v>
      </c>
      <c r="D8" s="30">
        <v>10.0</v>
      </c>
      <c r="E8" s="30">
        <v>4.0</v>
      </c>
      <c r="F8" s="30">
        <v>7.0</v>
      </c>
      <c r="G8" s="30">
        <v>2.0</v>
      </c>
      <c r="H8" s="30">
        <v>2.0</v>
      </c>
      <c r="I8" s="30">
        <v>0.0</v>
      </c>
      <c r="J8" s="33">
        <f t="shared" si="1"/>
        <v>0.5</v>
      </c>
      <c r="K8" s="33">
        <f t="shared" si="2"/>
        <v>1.375</v>
      </c>
      <c r="L8" s="30">
        <v>0.0</v>
      </c>
      <c r="M8" s="30">
        <f t="shared" si="3"/>
        <v>4</v>
      </c>
      <c r="N8" s="33">
        <f t="shared" si="4"/>
        <v>0.5</v>
      </c>
      <c r="O8" s="30">
        <v>0.0</v>
      </c>
      <c r="P8" s="30">
        <v>0.0</v>
      </c>
      <c r="Q8" s="34">
        <v>46016.0</v>
      </c>
      <c r="R8" s="34">
        <v>45742.0</v>
      </c>
      <c r="S8" s="18"/>
    </row>
    <row r="9">
      <c r="A9" s="30">
        <v>5.0</v>
      </c>
      <c r="B9" s="37" t="s">
        <v>71</v>
      </c>
      <c r="C9" s="32">
        <f>countif('All Critical Part'!C:C,B9)</f>
        <v>76</v>
      </c>
      <c r="D9" s="30">
        <v>14.0</v>
      </c>
      <c r="E9" s="30">
        <v>55.0</v>
      </c>
      <c r="F9" s="30">
        <v>5.0</v>
      </c>
      <c r="G9" s="30">
        <v>4.0</v>
      </c>
      <c r="H9" s="30">
        <v>4.0</v>
      </c>
      <c r="I9" s="30">
        <v>0.0</v>
      </c>
      <c r="J9" s="33">
        <f t="shared" si="1"/>
        <v>0.8870967742</v>
      </c>
      <c r="K9" s="33">
        <f t="shared" si="2"/>
        <v>0.9677419355</v>
      </c>
      <c r="L9" s="30">
        <v>0.0</v>
      </c>
      <c r="M9" s="30">
        <f t="shared" si="3"/>
        <v>8</v>
      </c>
      <c r="N9" s="33">
        <f t="shared" si="4"/>
        <v>0.1290322581</v>
      </c>
      <c r="O9" s="30">
        <v>0.0</v>
      </c>
      <c r="P9" s="30">
        <v>0.0</v>
      </c>
      <c r="Q9" s="34">
        <v>45986.0</v>
      </c>
      <c r="R9" s="34">
        <v>45683.0</v>
      </c>
      <c r="S9" s="35" t="s">
        <v>72</v>
      </c>
    </row>
    <row r="10">
      <c r="A10" s="30">
        <v>6.0</v>
      </c>
      <c r="B10" s="37" t="s">
        <v>73</v>
      </c>
      <c r="C10" s="32">
        <f>countif('All Critical Part'!C:C,B10)</f>
        <v>43</v>
      </c>
      <c r="D10" s="30">
        <v>23.0</v>
      </c>
      <c r="E10" s="30">
        <v>13.0</v>
      </c>
      <c r="F10" s="30">
        <v>6.0</v>
      </c>
      <c r="G10" s="30">
        <v>5.0</v>
      </c>
      <c r="H10" s="30">
        <v>3.0</v>
      </c>
      <c r="I10" s="30">
        <v>0.0</v>
      </c>
      <c r="J10" s="33">
        <f t="shared" si="1"/>
        <v>0.65</v>
      </c>
      <c r="K10" s="33">
        <f t="shared" si="2"/>
        <v>0.95</v>
      </c>
      <c r="L10" s="30">
        <v>1.0</v>
      </c>
      <c r="M10" s="30">
        <f t="shared" si="3"/>
        <v>8</v>
      </c>
      <c r="N10" s="33">
        <f t="shared" si="4"/>
        <v>0.4</v>
      </c>
      <c r="O10" s="30">
        <v>1.0</v>
      </c>
      <c r="P10" s="30">
        <v>3.0</v>
      </c>
      <c r="Q10" s="34">
        <v>46016.0</v>
      </c>
      <c r="R10" s="34">
        <v>45742.0</v>
      </c>
      <c r="S10" s="25"/>
    </row>
    <row r="11">
      <c r="A11" s="30">
        <v>7.0</v>
      </c>
      <c r="B11" s="37" t="s">
        <v>74</v>
      </c>
      <c r="C11" s="32">
        <f>countif('All Critical Part'!C:C,B11)</f>
        <v>13</v>
      </c>
      <c r="D11" s="30">
        <v>5.0</v>
      </c>
      <c r="E11" s="30">
        <v>4.0</v>
      </c>
      <c r="F11" s="30">
        <v>1.0</v>
      </c>
      <c r="G11" s="30">
        <v>1.0</v>
      </c>
      <c r="H11" s="30">
        <v>10.0</v>
      </c>
      <c r="I11" s="30">
        <v>3.0</v>
      </c>
      <c r="J11" s="33">
        <f t="shared" si="1"/>
        <v>0.5</v>
      </c>
      <c r="K11" s="33">
        <f t="shared" si="2"/>
        <v>0.625</v>
      </c>
      <c r="L11" s="30">
        <v>5.0</v>
      </c>
      <c r="M11" s="30">
        <f t="shared" si="3"/>
        <v>14</v>
      </c>
      <c r="N11" s="33">
        <f t="shared" si="4"/>
        <v>1.75</v>
      </c>
      <c r="O11" s="30">
        <v>10.0</v>
      </c>
      <c r="P11" s="30">
        <v>1.0</v>
      </c>
      <c r="Q11" s="34">
        <v>45683.0</v>
      </c>
      <c r="R11" s="34">
        <v>45773.0</v>
      </c>
      <c r="S11" s="33">
        <f>AVERAGE(J5:J13)</f>
        <v>0.6813617695</v>
      </c>
    </row>
    <row r="12">
      <c r="A12" s="30">
        <v>8.0</v>
      </c>
      <c r="B12" s="37" t="s">
        <v>75</v>
      </c>
      <c r="C12" s="32">
        <f>countif('All Critical Part'!C:C,B12)</f>
        <v>45</v>
      </c>
      <c r="D12" s="30">
        <v>21.0</v>
      </c>
      <c r="E12" s="30">
        <v>21.0</v>
      </c>
      <c r="F12" s="30">
        <v>2.0</v>
      </c>
      <c r="G12" s="30">
        <v>6.0</v>
      </c>
      <c r="H12" s="30">
        <v>0.0</v>
      </c>
      <c r="I12" s="30">
        <v>2.0</v>
      </c>
      <c r="J12" s="33">
        <f t="shared" si="1"/>
        <v>0.875</v>
      </c>
      <c r="K12" s="33">
        <f t="shared" si="2"/>
        <v>0.9583333333</v>
      </c>
      <c r="L12" s="30">
        <v>0.0</v>
      </c>
      <c r="M12" s="30">
        <f t="shared" si="3"/>
        <v>8</v>
      </c>
      <c r="N12" s="33">
        <f t="shared" si="4"/>
        <v>0.3333333333</v>
      </c>
      <c r="O12" s="30">
        <v>1.0</v>
      </c>
      <c r="P12" s="30">
        <v>0.0</v>
      </c>
      <c r="Q12" s="34">
        <v>46016.0</v>
      </c>
      <c r="R12" s="34">
        <v>45742.0</v>
      </c>
      <c r="S12" s="18"/>
    </row>
    <row r="13">
      <c r="A13" s="30">
        <v>9.0</v>
      </c>
      <c r="B13" s="37" t="s">
        <v>77</v>
      </c>
      <c r="C13" s="32">
        <f>countif('All Critical Part'!C:C,B13)</f>
        <v>38</v>
      </c>
      <c r="D13" s="30">
        <v>12.0</v>
      </c>
      <c r="E13" s="30">
        <v>15.0</v>
      </c>
      <c r="F13" s="30">
        <v>8.0</v>
      </c>
      <c r="G13" s="30">
        <v>2.0</v>
      </c>
      <c r="H13" s="30">
        <v>1.0</v>
      </c>
      <c r="I13" s="30">
        <v>1.0</v>
      </c>
      <c r="J13" s="33">
        <f t="shared" si="1"/>
        <v>0.5769230769</v>
      </c>
      <c r="K13" s="33">
        <f t="shared" si="2"/>
        <v>0.8846153846</v>
      </c>
      <c r="L13" s="30">
        <v>0.0</v>
      </c>
      <c r="M13" s="30">
        <f t="shared" si="3"/>
        <v>4</v>
      </c>
      <c r="N13" s="33">
        <f t="shared" si="4"/>
        <v>0.1538461538</v>
      </c>
      <c r="O13" s="30">
        <v>1.0</v>
      </c>
      <c r="P13" s="30">
        <v>0.0</v>
      </c>
      <c r="Q13" s="34">
        <v>45986.0</v>
      </c>
      <c r="R13" s="34">
        <v>45714.0</v>
      </c>
      <c r="S13" s="18"/>
    </row>
    <row r="14">
      <c r="A14" s="30">
        <v>10.0</v>
      </c>
      <c r="B14" s="37" t="s">
        <v>78</v>
      </c>
      <c r="C14" s="32">
        <f>countif('All Critical Part'!C:C,B14)</f>
        <v>18</v>
      </c>
      <c r="D14" s="30">
        <v>0.0</v>
      </c>
      <c r="E14" s="30">
        <v>9.0</v>
      </c>
      <c r="F14" s="30">
        <v>0.0</v>
      </c>
      <c r="G14" s="30">
        <v>5.0</v>
      </c>
      <c r="H14" s="30">
        <v>3.0</v>
      </c>
      <c r="I14" s="30">
        <v>0.0</v>
      </c>
      <c r="J14" s="33">
        <f t="shared" si="1"/>
        <v>0.5</v>
      </c>
      <c r="K14" s="33">
        <f t="shared" si="2"/>
        <v>0.5</v>
      </c>
      <c r="L14" s="30">
        <v>0.0</v>
      </c>
      <c r="M14" s="30">
        <f t="shared" si="3"/>
        <v>8</v>
      </c>
      <c r="N14" s="33">
        <f t="shared" si="4"/>
        <v>0.4444444444</v>
      </c>
      <c r="O14" s="30">
        <v>0.0</v>
      </c>
      <c r="P14" s="30">
        <v>0.0</v>
      </c>
      <c r="Q14" s="34">
        <v>46016.0</v>
      </c>
      <c r="R14" s="34">
        <v>45683.0</v>
      </c>
      <c r="S14" s="18"/>
    </row>
    <row r="15">
      <c r="A15" s="30">
        <v>11.0</v>
      </c>
      <c r="B15" s="37" t="s">
        <v>79</v>
      </c>
      <c r="C15" s="32">
        <f>countif('All Critical Part'!C:C,B15)</f>
        <v>49</v>
      </c>
      <c r="D15" s="30">
        <v>0.0</v>
      </c>
      <c r="E15" s="30">
        <v>22.0</v>
      </c>
      <c r="F15" s="30">
        <v>1.0</v>
      </c>
      <c r="G15" s="30">
        <v>22.0</v>
      </c>
      <c r="H15" s="30">
        <v>3.0</v>
      </c>
      <c r="I15" s="30">
        <v>0.0</v>
      </c>
      <c r="J15" s="33">
        <f t="shared" si="1"/>
        <v>0.4489795918</v>
      </c>
      <c r="K15" s="33">
        <f t="shared" si="2"/>
        <v>0.4693877551</v>
      </c>
      <c r="L15" s="30">
        <v>0.0</v>
      </c>
      <c r="M15" s="30">
        <f t="shared" si="3"/>
        <v>25</v>
      </c>
      <c r="N15" s="33">
        <f t="shared" si="4"/>
        <v>0.5102040816</v>
      </c>
      <c r="O15" s="30">
        <v>0.0</v>
      </c>
      <c r="P15" s="30">
        <v>0.0</v>
      </c>
      <c r="Q15" s="34">
        <v>46016.0</v>
      </c>
      <c r="R15" s="34">
        <v>45683.0</v>
      </c>
      <c r="S15" s="18"/>
    </row>
    <row r="16">
      <c r="A16" s="30">
        <v>12.0</v>
      </c>
      <c r="B16" s="37" t="s">
        <v>80</v>
      </c>
      <c r="C16" s="32">
        <f>countif('All Critical Part'!C:C,B16)</f>
        <v>73</v>
      </c>
      <c r="D16" s="30">
        <v>0.0</v>
      </c>
      <c r="E16" s="30">
        <v>35.0</v>
      </c>
      <c r="F16" s="30">
        <v>0.0</v>
      </c>
      <c r="G16" s="30">
        <v>30.0</v>
      </c>
      <c r="H16" s="30">
        <v>2.0</v>
      </c>
      <c r="I16" s="30">
        <v>0.0</v>
      </c>
      <c r="J16" s="33">
        <f t="shared" si="1"/>
        <v>0.4794520548</v>
      </c>
      <c r="K16" s="33">
        <f t="shared" si="2"/>
        <v>0.4794520548</v>
      </c>
      <c r="L16" s="30">
        <v>0.0</v>
      </c>
      <c r="M16" s="30">
        <f t="shared" si="3"/>
        <v>32</v>
      </c>
      <c r="N16" s="33">
        <f t="shared" si="4"/>
        <v>0.4383561644</v>
      </c>
      <c r="O16" s="30">
        <v>0.0</v>
      </c>
      <c r="P16" s="30">
        <v>0.0</v>
      </c>
      <c r="Q16" s="34">
        <v>46016.0</v>
      </c>
      <c r="R16" s="34">
        <v>45683.0</v>
      </c>
      <c r="S16" s="18"/>
    </row>
    <row r="17">
      <c r="A17" s="30">
        <v>13.0</v>
      </c>
      <c r="B17" s="37" t="s">
        <v>81</v>
      </c>
      <c r="C17" s="32">
        <f>countif('All Critical Part'!C:C,B17)</f>
        <v>16</v>
      </c>
      <c r="D17" s="30">
        <v>0.0</v>
      </c>
      <c r="E17" s="30">
        <v>8.0</v>
      </c>
      <c r="F17" s="30">
        <v>0.0</v>
      </c>
      <c r="G17" s="30">
        <v>3.0</v>
      </c>
      <c r="H17" s="30">
        <v>0.0</v>
      </c>
      <c r="I17" s="30">
        <v>0.0</v>
      </c>
      <c r="J17" s="33">
        <f t="shared" si="1"/>
        <v>0.5</v>
      </c>
      <c r="K17" s="33">
        <f t="shared" si="2"/>
        <v>0.5</v>
      </c>
      <c r="L17" s="30">
        <v>0.0</v>
      </c>
      <c r="M17" s="30">
        <f t="shared" si="3"/>
        <v>3</v>
      </c>
      <c r="N17" s="33">
        <f t="shared" si="4"/>
        <v>0.1875</v>
      </c>
      <c r="O17" s="30">
        <v>0.0</v>
      </c>
      <c r="P17" s="30">
        <v>0.0</v>
      </c>
      <c r="Q17" s="34">
        <v>45986.0</v>
      </c>
      <c r="R17" s="34">
        <v>46016.0</v>
      </c>
      <c r="S17" s="18"/>
    </row>
    <row r="18">
      <c r="A18" s="30">
        <v>14.0</v>
      </c>
      <c r="B18" s="37" t="s">
        <v>82</v>
      </c>
      <c r="C18" s="32">
        <f>countif('All Critical Part'!C:C,B18)</f>
        <v>23</v>
      </c>
      <c r="D18" s="30">
        <v>0.0</v>
      </c>
      <c r="E18" s="30">
        <v>5.0</v>
      </c>
      <c r="F18" s="30">
        <v>0.0</v>
      </c>
      <c r="G18" s="30">
        <v>17.0</v>
      </c>
      <c r="H18" s="30">
        <v>0.0</v>
      </c>
      <c r="I18" s="30">
        <v>0.0</v>
      </c>
      <c r="J18" s="33">
        <f t="shared" si="1"/>
        <v>0.2173913043</v>
      </c>
      <c r="K18" s="33">
        <f t="shared" si="2"/>
        <v>0.2173913043</v>
      </c>
      <c r="L18" s="30">
        <v>0.0</v>
      </c>
      <c r="M18" s="30">
        <f t="shared" si="3"/>
        <v>17</v>
      </c>
      <c r="N18" s="33">
        <f t="shared" si="4"/>
        <v>0.7391304348</v>
      </c>
      <c r="O18" s="30">
        <v>0.0</v>
      </c>
      <c r="P18" s="30">
        <v>0.0</v>
      </c>
      <c r="Q18" s="34">
        <v>45986.0</v>
      </c>
      <c r="R18" s="34">
        <v>46016.0</v>
      </c>
      <c r="S18" s="18"/>
    </row>
    <row r="19">
      <c r="A19" s="30">
        <v>15.0</v>
      </c>
      <c r="B19" s="37" t="s">
        <v>83</v>
      </c>
      <c r="C19" s="32">
        <f>countif('All Critical Part'!C:C,B19)</f>
        <v>11</v>
      </c>
      <c r="D19" s="30">
        <v>0.0</v>
      </c>
      <c r="E19" s="30">
        <v>1.0</v>
      </c>
      <c r="F19" s="30">
        <v>0.0</v>
      </c>
      <c r="G19" s="30">
        <v>10.0</v>
      </c>
      <c r="H19" s="30">
        <v>0.0</v>
      </c>
      <c r="I19" s="30">
        <v>0.0</v>
      </c>
      <c r="J19" s="33">
        <f t="shared" si="1"/>
        <v>0.09090909091</v>
      </c>
      <c r="K19" s="33">
        <f t="shared" si="2"/>
        <v>0.09090909091</v>
      </c>
      <c r="L19" s="30">
        <v>0.0</v>
      </c>
      <c r="M19" s="30">
        <f t="shared" si="3"/>
        <v>10</v>
      </c>
      <c r="N19" s="33">
        <f t="shared" si="4"/>
        <v>0.9090909091</v>
      </c>
      <c r="O19" s="30">
        <v>0.0</v>
      </c>
      <c r="P19" s="30">
        <v>0.0</v>
      </c>
      <c r="Q19" s="34">
        <v>45986.0</v>
      </c>
      <c r="R19" s="34">
        <v>46016.0</v>
      </c>
      <c r="S19" s="18"/>
    </row>
    <row r="20">
      <c r="A20" s="30">
        <v>16.0</v>
      </c>
      <c r="B20" s="37" t="s">
        <v>84</v>
      </c>
      <c r="C20" s="32">
        <f>countif('All Critical Part'!C:C,B20)</f>
        <v>80</v>
      </c>
      <c r="D20" s="30">
        <v>0.0</v>
      </c>
      <c r="E20" s="30">
        <v>41.0</v>
      </c>
      <c r="F20" s="30">
        <v>0.0</v>
      </c>
      <c r="G20" s="30">
        <v>34.0</v>
      </c>
      <c r="H20" s="30">
        <v>4.0</v>
      </c>
      <c r="I20" s="30">
        <v>0.0</v>
      </c>
      <c r="J20" s="33">
        <f t="shared" si="1"/>
        <v>0.5125</v>
      </c>
      <c r="K20" s="33">
        <f t="shared" si="2"/>
        <v>0.5125</v>
      </c>
      <c r="L20" s="30">
        <v>0.0</v>
      </c>
      <c r="M20" s="30">
        <f t="shared" si="3"/>
        <v>38</v>
      </c>
      <c r="N20" s="33">
        <f t="shared" si="4"/>
        <v>0.475</v>
      </c>
      <c r="O20" s="30">
        <v>0.0</v>
      </c>
      <c r="P20" s="30">
        <v>0.0</v>
      </c>
      <c r="Q20" s="34">
        <v>46016.0</v>
      </c>
      <c r="R20" s="34">
        <v>45683.0</v>
      </c>
      <c r="S20" s="18"/>
    </row>
    <row r="21">
      <c r="A21" s="30">
        <v>17.0</v>
      </c>
      <c r="B21" s="43" t="s">
        <v>85</v>
      </c>
      <c r="C21" s="44"/>
      <c r="D21" s="29"/>
      <c r="E21" s="29"/>
      <c r="F21" s="29"/>
      <c r="G21" s="29"/>
      <c r="H21" s="29"/>
      <c r="I21" s="29"/>
      <c r="J21" s="29"/>
      <c r="K21" s="45"/>
      <c r="L21" s="29"/>
      <c r="M21" s="29"/>
      <c r="N21" s="29"/>
      <c r="O21" s="29"/>
      <c r="P21" s="29"/>
      <c r="Q21" s="29"/>
      <c r="R21" s="29"/>
      <c r="S21" s="29"/>
      <c r="T21" s="44"/>
      <c r="U21" s="1" t="b">
        <v>1</v>
      </c>
    </row>
    <row r="22">
      <c r="A22" s="30">
        <v>18.0</v>
      </c>
      <c r="B22" s="43" t="s">
        <v>86</v>
      </c>
      <c r="C22" s="44"/>
      <c r="D22" s="29"/>
      <c r="E22" s="29"/>
      <c r="F22" s="29"/>
      <c r="G22" s="29"/>
      <c r="H22" s="29"/>
      <c r="I22" s="29"/>
      <c r="J22" s="29"/>
      <c r="K22" s="45"/>
      <c r="L22" s="29"/>
      <c r="M22" s="29"/>
      <c r="N22" s="29"/>
      <c r="O22" s="29"/>
      <c r="P22" s="29"/>
      <c r="Q22" s="29"/>
      <c r="R22" s="29"/>
      <c r="S22" s="29"/>
      <c r="T22" s="43" t="s">
        <v>87</v>
      </c>
      <c r="U22" s="1" t="b">
        <v>1</v>
      </c>
    </row>
    <row r="23">
      <c r="A23" s="30">
        <v>19.0</v>
      </c>
      <c r="B23" s="43" t="s">
        <v>88</v>
      </c>
      <c r="C23" s="44"/>
      <c r="D23" s="29"/>
      <c r="E23" s="29"/>
      <c r="F23" s="29"/>
      <c r="G23" s="29"/>
      <c r="H23" s="29"/>
      <c r="I23" s="29"/>
      <c r="J23" s="29"/>
      <c r="K23" s="45"/>
      <c r="L23" s="29"/>
      <c r="M23" s="29"/>
      <c r="N23" s="29"/>
      <c r="O23" s="29"/>
      <c r="P23" s="29"/>
      <c r="Q23" s="29"/>
      <c r="R23" s="29"/>
      <c r="S23" s="29"/>
      <c r="T23" s="43" t="s">
        <v>87</v>
      </c>
      <c r="U23" s="1" t="b">
        <v>1</v>
      </c>
    </row>
    <row r="24">
      <c r="A24" s="30">
        <v>20.0</v>
      </c>
      <c r="B24" s="43" t="s">
        <v>89</v>
      </c>
      <c r="C24" s="44"/>
      <c r="D24" s="29"/>
      <c r="E24" s="29"/>
      <c r="F24" s="29"/>
      <c r="G24" s="29"/>
      <c r="H24" s="29"/>
      <c r="I24" s="29"/>
      <c r="J24" s="29"/>
      <c r="K24" s="45"/>
      <c r="L24" s="29"/>
      <c r="M24" s="29"/>
      <c r="N24" s="29"/>
      <c r="O24" s="29"/>
      <c r="P24" s="29"/>
      <c r="Q24" s="29"/>
      <c r="R24" s="29"/>
      <c r="S24" s="29"/>
      <c r="T24" s="44"/>
      <c r="U24" s="1" t="b">
        <v>1</v>
      </c>
    </row>
    <row r="25">
      <c r="A25" s="30">
        <v>21.0</v>
      </c>
      <c r="B25" s="43" t="s">
        <v>90</v>
      </c>
      <c r="C25" s="44"/>
      <c r="D25" s="29"/>
      <c r="E25" s="29"/>
      <c r="F25" s="29"/>
      <c r="G25" s="29"/>
      <c r="H25" s="29"/>
      <c r="I25" s="29"/>
      <c r="J25" s="29"/>
      <c r="K25" s="45"/>
      <c r="L25" s="29"/>
      <c r="M25" s="29"/>
      <c r="N25" s="29"/>
      <c r="O25" s="29"/>
      <c r="P25" s="29"/>
      <c r="Q25" s="29"/>
      <c r="R25" s="29"/>
      <c r="S25" s="29"/>
      <c r="T25" s="43" t="s">
        <v>87</v>
      </c>
      <c r="U25" s="1" t="b">
        <v>1</v>
      </c>
    </row>
    <row r="26">
      <c r="A26" s="30">
        <v>22.0</v>
      </c>
      <c r="B26" s="43" t="s">
        <v>91</v>
      </c>
      <c r="C26" s="44"/>
      <c r="D26" s="29"/>
      <c r="E26" s="29"/>
      <c r="F26" s="29"/>
      <c r="G26" s="29"/>
      <c r="H26" s="29"/>
      <c r="I26" s="29"/>
      <c r="J26" s="29"/>
      <c r="K26" s="45"/>
      <c r="L26" s="29"/>
      <c r="M26" s="29"/>
      <c r="N26" s="29"/>
      <c r="O26" s="29"/>
      <c r="P26" s="29"/>
      <c r="Q26" s="29"/>
      <c r="R26" s="29"/>
      <c r="S26" s="29"/>
      <c r="T26" s="43" t="s">
        <v>87</v>
      </c>
      <c r="U26" s="1" t="b">
        <v>1</v>
      </c>
    </row>
    <row r="27">
      <c r="A27" s="30">
        <v>23.0</v>
      </c>
      <c r="B27" s="29" t="s">
        <v>92</v>
      </c>
      <c r="C27" s="30">
        <f>countif('All Critical Part'!C:C,B27)</f>
        <v>26</v>
      </c>
      <c r="D27" s="29"/>
      <c r="E27" s="29"/>
      <c r="F27" s="29"/>
      <c r="G27" s="29"/>
      <c r="H27" s="29"/>
      <c r="I27" s="29"/>
      <c r="J27" s="29"/>
      <c r="K27" s="45"/>
      <c r="L27" s="29"/>
      <c r="M27" s="29"/>
      <c r="N27" s="29"/>
      <c r="O27" s="29"/>
      <c r="P27" s="29"/>
      <c r="Q27" s="29"/>
      <c r="R27" s="29"/>
      <c r="S27" s="29"/>
      <c r="T27" s="43" t="s">
        <v>87</v>
      </c>
      <c r="U27" s="1" t="b">
        <v>1</v>
      </c>
    </row>
    <row r="28">
      <c r="A28" s="30">
        <v>24.0</v>
      </c>
      <c r="B28" s="43" t="s">
        <v>94</v>
      </c>
      <c r="C28" s="44"/>
      <c r="D28" s="29"/>
      <c r="E28" s="29"/>
      <c r="F28" s="29"/>
      <c r="G28" s="29"/>
      <c r="H28" s="29"/>
      <c r="I28" s="29"/>
      <c r="J28" s="29"/>
      <c r="K28" s="45"/>
      <c r="L28" s="29"/>
      <c r="M28" s="29"/>
      <c r="N28" s="29"/>
      <c r="O28" s="29"/>
      <c r="P28" s="29"/>
      <c r="Q28" s="29"/>
      <c r="R28" s="29"/>
      <c r="S28" s="29"/>
      <c r="T28" s="43" t="s">
        <v>87</v>
      </c>
      <c r="U28" s="1" t="b">
        <v>1</v>
      </c>
    </row>
    <row r="29">
      <c r="A29" s="30">
        <v>25.0</v>
      </c>
      <c r="B29" s="43" t="s">
        <v>95</v>
      </c>
      <c r="C29" s="44"/>
      <c r="D29" s="29"/>
      <c r="E29" s="29"/>
      <c r="F29" s="29"/>
      <c r="G29" s="29"/>
      <c r="H29" s="29"/>
      <c r="I29" s="29"/>
      <c r="J29" s="29"/>
      <c r="K29" s="45"/>
      <c r="L29" s="29"/>
      <c r="M29" s="29"/>
      <c r="N29" s="29"/>
      <c r="O29" s="29"/>
      <c r="P29" s="29"/>
      <c r="Q29" s="29"/>
      <c r="R29" s="29"/>
      <c r="S29" s="29"/>
      <c r="T29" s="43" t="s">
        <v>87</v>
      </c>
      <c r="U29" s="1" t="b">
        <v>1</v>
      </c>
    </row>
    <row r="30">
      <c r="A30" s="30">
        <v>26.0</v>
      </c>
      <c r="B30" s="43" t="s">
        <v>96</v>
      </c>
      <c r="C30" s="44"/>
      <c r="D30" s="29"/>
      <c r="E30" s="29"/>
      <c r="F30" s="29"/>
      <c r="G30" s="29"/>
      <c r="H30" s="29"/>
      <c r="I30" s="29"/>
      <c r="J30" s="29"/>
      <c r="K30" s="45"/>
      <c r="L30" s="29"/>
      <c r="M30" s="29"/>
      <c r="N30" s="29"/>
      <c r="O30" s="29"/>
      <c r="P30" s="29"/>
      <c r="Q30" s="29"/>
      <c r="R30" s="29"/>
      <c r="S30" s="29"/>
      <c r="T30" s="43" t="s">
        <v>87</v>
      </c>
      <c r="U30" s="1" t="b">
        <v>1</v>
      </c>
    </row>
    <row r="31">
      <c r="A31" s="30">
        <v>28.0</v>
      </c>
      <c r="B31" s="43" t="s">
        <v>97</v>
      </c>
      <c r="C31" s="44"/>
      <c r="D31" s="29"/>
      <c r="E31" s="29"/>
      <c r="F31" s="29"/>
      <c r="G31" s="29"/>
      <c r="H31" s="29"/>
      <c r="I31" s="29"/>
      <c r="J31" s="29"/>
      <c r="K31" s="45"/>
      <c r="L31" s="29"/>
      <c r="M31" s="29"/>
      <c r="N31" s="29"/>
      <c r="O31" s="29"/>
      <c r="P31" s="29"/>
      <c r="Q31" s="29"/>
      <c r="R31" s="29"/>
      <c r="S31" s="29"/>
      <c r="T31" s="44"/>
      <c r="U31" s="6" t="b">
        <v>0</v>
      </c>
    </row>
    <row r="32">
      <c r="A32" s="30">
        <v>29.0</v>
      </c>
      <c r="B32" s="43" t="s">
        <v>98</v>
      </c>
      <c r="C32" s="44"/>
      <c r="D32" s="29"/>
      <c r="E32" s="29"/>
      <c r="F32" s="29"/>
      <c r="G32" s="29"/>
      <c r="H32" s="29"/>
      <c r="I32" s="29"/>
      <c r="J32" s="29"/>
      <c r="K32" s="45"/>
      <c r="L32" s="29"/>
      <c r="M32" s="29"/>
      <c r="N32" s="29"/>
      <c r="O32" s="29"/>
      <c r="P32" s="29"/>
      <c r="Q32" s="29"/>
      <c r="R32" s="29"/>
      <c r="S32" s="29"/>
      <c r="T32" s="43" t="s">
        <v>87</v>
      </c>
      <c r="U32" s="1" t="b">
        <v>1</v>
      </c>
    </row>
    <row r="33">
      <c r="A33" s="30"/>
      <c r="B33" s="29"/>
      <c r="C33" s="30"/>
      <c r="D33" s="29"/>
      <c r="E33" s="29"/>
      <c r="F33" s="29"/>
      <c r="G33" s="29"/>
      <c r="H33" s="29"/>
      <c r="I33" s="29"/>
      <c r="J33" s="29"/>
      <c r="K33" s="45"/>
      <c r="L33" s="29"/>
      <c r="M33" s="29"/>
      <c r="N33" s="29"/>
      <c r="O33" s="29"/>
      <c r="P33" s="29"/>
      <c r="Q33" s="18"/>
      <c r="R33" s="18"/>
      <c r="S33" s="18"/>
    </row>
    <row r="34">
      <c r="A34" s="30"/>
      <c r="B34" s="29"/>
      <c r="C34" s="30"/>
      <c r="D34" s="29"/>
      <c r="E34" s="29"/>
      <c r="F34" s="29"/>
      <c r="G34" s="29"/>
      <c r="H34" s="29"/>
      <c r="I34" s="29"/>
      <c r="J34" s="29"/>
      <c r="K34" s="45"/>
      <c r="L34" s="29"/>
      <c r="M34" s="29"/>
      <c r="N34" s="29"/>
      <c r="O34" s="29"/>
      <c r="P34" s="29"/>
      <c r="Q34" s="18"/>
      <c r="R34" s="18"/>
      <c r="S34" s="18"/>
    </row>
    <row r="35">
      <c r="A35" s="30"/>
      <c r="B35" s="29"/>
      <c r="C35" s="30"/>
      <c r="D35" s="29"/>
      <c r="E35" s="29"/>
      <c r="F35" s="29"/>
      <c r="G35" s="29"/>
      <c r="H35" s="29"/>
      <c r="I35" s="29"/>
      <c r="J35" s="29"/>
      <c r="K35" s="45"/>
      <c r="L35" s="29"/>
      <c r="M35" s="29"/>
      <c r="N35" s="29"/>
      <c r="O35" s="29"/>
      <c r="P35" s="29"/>
      <c r="Q35" s="18"/>
      <c r="R35" s="18"/>
      <c r="S35" s="18"/>
    </row>
    <row r="36">
      <c r="A36" s="30"/>
      <c r="B36" s="29"/>
      <c r="C36" s="30"/>
      <c r="D36" s="29"/>
      <c r="E36" s="29"/>
      <c r="F36" s="29"/>
      <c r="G36" s="29"/>
      <c r="H36" s="29"/>
      <c r="I36" s="29"/>
      <c r="J36" s="29"/>
      <c r="K36" s="45"/>
      <c r="L36" s="29"/>
      <c r="M36" s="29"/>
      <c r="N36" s="29"/>
      <c r="O36" s="29"/>
      <c r="P36" s="29"/>
      <c r="Q36" s="18"/>
      <c r="R36" s="18"/>
      <c r="S36" s="18"/>
    </row>
    <row r="37">
      <c r="A37" s="30"/>
      <c r="B37" s="29"/>
      <c r="C37" s="30"/>
      <c r="D37" s="29"/>
      <c r="E37" s="29"/>
      <c r="F37" s="29"/>
      <c r="G37" s="29"/>
      <c r="H37" s="29"/>
      <c r="I37" s="29"/>
      <c r="J37" s="29"/>
      <c r="K37" s="45"/>
      <c r="L37" s="29"/>
      <c r="M37" s="29"/>
      <c r="N37" s="29"/>
      <c r="O37" s="29"/>
      <c r="P37" s="29"/>
      <c r="Q37" s="18"/>
      <c r="R37" s="18"/>
      <c r="S37" s="18"/>
    </row>
    <row r="38">
      <c r="A38" s="30"/>
      <c r="B38" s="29"/>
      <c r="C38" s="30"/>
      <c r="D38" s="29"/>
      <c r="E38" s="29"/>
      <c r="F38" s="29"/>
      <c r="G38" s="29"/>
      <c r="H38" s="29"/>
      <c r="I38" s="29"/>
      <c r="J38" s="29"/>
      <c r="K38" s="45"/>
      <c r="L38" s="29"/>
      <c r="M38" s="29"/>
      <c r="N38" s="29"/>
      <c r="O38" s="29"/>
      <c r="P38" s="29"/>
      <c r="Q38" s="18"/>
      <c r="R38" s="18"/>
      <c r="S38" s="18"/>
    </row>
    <row r="39">
      <c r="A39" s="30"/>
      <c r="B39" s="29"/>
      <c r="C39" s="30"/>
      <c r="D39" s="29"/>
      <c r="E39" s="29"/>
      <c r="F39" s="29"/>
      <c r="G39" s="29"/>
      <c r="H39" s="29"/>
      <c r="I39" s="29"/>
      <c r="J39" s="29"/>
      <c r="K39" s="45"/>
      <c r="L39" s="29"/>
      <c r="M39" s="29"/>
      <c r="N39" s="29"/>
      <c r="O39" s="29"/>
      <c r="P39" s="29"/>
      <c r="Q39" s="18"/>
      <c r="R39" s="18"/>
      <c r="S39" s="18"/>
    </row>
    <row r="40">
      <c r="A40" s="30"/>
      <c r="B40" s="29"/>
      <c r="C40" s="30"/>
      <c r="D40" s="29"/>
      <c r="E40" s="29"/>
      <c r="F40" s="29"/>
      <c r="G40" s="29"/>
      <c r="H40" s="29"/>
      <c r="I40" s="29"/>
      <c r="J40" s="29"/>
      <c r="K40" s="45"/>
      <c r="L40" s="29"/>
      <c r="M40" s="29"/>
      <c r="N40" s="29"/>
      <c r="O40" s="29"/>
      <c r="P40" s="29"/>
      <c r="Q40" s="18"/>
      <c r="R40" s="18"/>
      <c r="S40" s="18"/>
    </row>
    <row r="41">
      <c r="A41" s="30"/>
      <c r="B41" s="29"/>
      <c r="C41" s="30"/>
      <c r="D41" s="29"/>
      <c r="E41" s="29"/>
      <c r="F41" s="29"/>
      <c r="G41" s="29"/>
      <c r="H41" s="29"/>
      <c r="I41" s="29"/>
      <c r="J41" s="29"/>
      <c r="K41" s="45"/>
      <c r="L41" s="29"/>
      <c r="M41" s="29"/>
      <c r="N41" s="29"/>
      <c r="O41" s="29"/>
      <c r="P41" s="29"/>
      <c r="Q41" s="18"/>
      <c r="R41" s="18"/>
      <c r="S41" s="18"/>
    </row>
    <row r="42">
      <c r="A42" s="30"/>
      <c r="B42" s="29"/>
      <c r="C42" s="30"/>
      <c r="D42" s="29"/>
      <c r="E42" s="29"/>
      <c r="F42" s="29"/>
      <c r="G42" s="29"/>
      <c r="H42" s="29"/>
      <c r="I42" s="29"/>
      <c r="J42" s="29"/>
      <c r="K42" s="45"/>
      <c r="L42" s="29"/>
      <c r="M42" s="29"/>
      <c r="N42" s="29"/>
      <c r="O42" s="29"/>
      <c r="P42" s="29"/>
      <c r="Q42" s="18"/>
      <c r="R42" s="18"/>
      <c r="S42" s="18"/>
    </row>
    <row r="43">
      <c r="A43" s="30"/>
      <c r="B43" s="29"/>
      <c r="C43" s="30"/>
      <c r="D43" s="29"/>
      <c r="E43" s="29"/>
      <c r="F43" s="29"/>
      <c r="G43" s="29"/>
      <c r="H43" s="29"/>
      <c r="I43" s="29"/>
      <c r="J43" s="29"/>
      <c r="K43" s="45"/>
      <c r="L43" s="29"/>
      <c r="M43" s="29"/>
      <c r="N43" s="29"/>
      <c r="O43" s="29"/>
      <c r="P43" s="29"/>
      <c r="Q43" s="18"/>
      <c r="R43" s="18"/>
      <c r="S43" s="18"/>
    </row>
    <row r="44">
      <c r="A44" s="30"/>
      <c r="B44" s="29"/>
      <c r="C44" s="30"/>
      <c r="D44" s="29"/>
      <c r="E44" s="29"/>
      <c r="F44" s="29"/>
      <c r="G44" s="29"/>
      <c r="H44" s="29"/>
      <c r="I44" s="29"/>
      <c r="J44" s="29"/>
      <c r="K44" s="45"/>
      <c r="L44" s="29"/>
      <c r="M44" s="29"/>
      <c r="N44" s="29"/>
      <c r="O44" s="29"/>
      <c r="P44" s="29"/>
      <c r="Q44" s="18"/>
      <c r="R44" s="18"/>
      <c r="S44" s="18"/>
    </row>
    <row r="45">
      <c r="A45" s="30"/>
      <c r="B45" s="29"/>
      <c r="C45" s="30"/>
      <c r="D45" s="29"/>
      <c r="E45" s="29"/>
      <c r="F45" s="29"/>
      <c r="G45" s="29"/>
      <c r="H45" s="29"/>
      <c r="I45" s="29"/>
      <c r="J45" s="29"/>
      <c r="K45" s="45"/>
      <c r="L45" s="29"/>
      <c r="M45" s="29"/>
      <c r="N45" s="29"/>
      <c r="O45" s="29"/>
      <c r="P45" s="29"/>
      <c r="Q45" s="18"/>
      <c r="R45" s="18"/>
      <c r="S45" s="18"/>
    </row>
    <row r="46">
      <c r="A46" s="30"/>
      <c r="B46" s="29"/>
      <c r="C46" s="30"/>
      <c r="D46" s="29"/>
      <c r="E46" s="29"/>
      <c r="F46" s="29"/>
      <c r="G46" s="29"/>
      <c r="H46" s="29"/>
      <c r="I46" s="29"/>
      <c r="J46" s="29"/>
      <c r="K46" s="45"/>
      <c r="L46" s="29"/>
      <c r="M46" s="29"/>
      <c r="N46" s="29"/>
      <c r="O46" s="29"/>
      <c r="P46" s="29"/>
      <c r="Q46" s="18"/>
      <c r="R46" s="18"/>
      <c r="S46" s="18"/>
    </row>
    <row r="47">
      <c r="A47" s="30"/>
      <c r="B47" s="29"/>
      <c r="C47" s="30"/>
      <c r="D47" s="29"/>
      <c r="E47" s="29"/>
      <c r="F47" s="29"/>
      <c r="G47" s="29"/>
      <c r="H47" s="29"/>
      <c r="I47" s="29"/>
      <c r="J47" s="29"/>
      <c r="K47" s="45"/>
      <c r="L47" s="29"/>
      <c r="M47" s="29"/>
      <c r="N47" s="29"/>
      <c r="O47" s="29"/>
      <c r="P47" s="29"/>
      <c r="Q47" s="18"/>
      <c r="R47" s="18"/>
      <c r="S47" s="18"/>
    </row>
    <row r="48">
      <c r="A48" s="30"/>
      <c r="B48" s="29"/>
      <c r="C48" s="30"/>
      <c r="D48" s="29"/>
      <c r="E48" s="29"/>
      <c r="F48" s="29"/>
      <c r="G48" s="29"/>
      <c r="H48" s="29"/>
      <c r="I48" s="29"/>
      <c r="J48" s="29"/>
      <c r="K48" s="45"/>
      <c r="L48" s="29"/>
      <c r="M48" s="29"/>
      <c r="N48" s="29"/>
      <c r="O48" s="29"/>
      <c r="P48" s="29"/>
      <c r="Q48" s="18"/>
      <c r="R48" s="18"/>
      <c r="S48" s="18"/>
    </row>
    <row r="49">
      <c r="B49" s="29" t="s">
        <v>99</v>
      </c>
      <c r="C49" s="30">
        <f>countif('All Critical Part'!C:C,B49)</f>
        <v>0</v>
      </c>
    </row>
    <row r="50">
      <c r="B50" s="29" t="s">
        <v>100</v>
      </c>
      <c r="C50" s="30">
        <f>countif('All Critical Part'!C:C,B50)</f>
        <v>0</v>
      </c>
    </row>
    <row r="51">
      <c r="B51" s="29" t="s">
        <v>101</v>
      </c>
      <c r="C51" s="30">
        <f>countif('All Critical Part'!C:C,B51)</f>
        <v>0</v>
      </c>
    </row>
    <row r="52">
      <c r="B52" s="29" t="s">
        <v>102</v>
      </c>
      <c r="C52" s="30">
        <f>countif('All Critical Part'!C:C,B52)</f>
        <v>0</v>
      </c>
    </row>
    <row r="53">
      <c r="B53" s="29" t="s">
        <v>103</v>
      </c>
      <c r="C53" s="30">
        <f>countif('All Critical Part'!C:C,B53)</f>
        <v>0</v>
      </c>
    </row>
    <row r="54">
      <c r="B54" s="29" t="s">
        <v>106</v>
      </c>
      <c r="C54" s="30"/>
    </row>
    <row r="55">
      <c r="B55" s="29" t="s">
        <v>107</v>
      </c>
      <c r="C55" s="30"/>
    </row>
    <row r="56">
      <c r="B56" s="29" t="s">
        <v>108</v>
      </c>
      <c r="C56" s="29"/>
    </row>
    <row r="57">
      <c r="B57" s="29" t="s">
        <v>109</v>
      </c>
      <c r="C57" s="29"/>
    </row>
    <row r="58">
      <c r="B58" s="29" t="s">
        <v>110</v>
      </c>
      <c r="C58" s="29"/>
    </row>
    <row r="59">
      <c r="B59" s="29" t="s">
        <v>111</v>
      </c>
      <c r="C59" s="29"/>
    </row>
  </sheetData>
  <mergeCells count="20">
    <mergeCell ref="L1:L4"/>
    <mergeCell ref="M1:N4"/>
    <mergeCell ref="O1:O4"/>
    <mergeCell ref="P1:P4"/>
    <mergeCell ref="Q1:Q4"/>
    <mergeCell ref="R1:R4"/>
    <mergeCell ref="S5:S6"/>
    <mergeCell ref="S9:S10"/>
    <mergeCell ref="E1:I1"/>
    <mergeCell ref="F2:I2"/>
    <mergeCell ref="F3:F4"/>
    <mergeCell ref="G3:G4"/>
    <mergeCell ref="A1:A4"/>
    <mergeCell ref="B1:B4"/>
    <mergeCell ref="C1:C4"/>
    <mergeCell ref="D1:D4"/>
    <mergeCell ref="J1:J4"/>
    <mergeCell ref="K1:K4"/>
    <mergeCell ref="E2:E4"/>
    <mergeCell ref="H3: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</row>
    <row r="2">
      <c r="A2" s="6" t="str">
        <f>IFERROR(__xludf.DUMMYFUNCTION("FILTER(
  IMPORTRANGE(""1-dQuO-dirpd7144O3pZq8VkGXSA12p4ZTEYRJJJN7zc"", ""Sheet1!B:U""),
  (IMPORTRANGE(""1-dQuO-dirpd7144O3pZq8VkGXSA12p4ZTEYRJJJN7zc"", ""Sheet1!Q:Q"") = ""PR Open"") +
  (IMPORTRANGE(""1-dQuO-dirpd7144O3pZq8VkGXSA12p4ZTEYRJJJN7zc"", ""S"&amp;"heet1!Q:Q"") = ""PO Open"") +
  (IMPORTRANGE(""1-dQuO-dirpd7144O3pZq8VkGXSA12p4ZTEYRJJJN7zc"", ""Sheet1!Q:Q"") = ""PO Closed"")
)"),"181750042-1")</f>
        <v>181750042-1</v>
      </c>
      <c r="B2" s="6" t="str">
        <f>IFERROR(__xludf.DUMMYFUNCTION("""COMPUTED_VALUE"""),"181750042 - Approved")</f>
        <v>181750042 - Approved</v>
      </c>
      <c r="C2" s="6">
        <f>IFERROR(__xludf.DUMMYFUNCTION("""COMPUTED_VALUE"""),1.0)</f>
        <v>1</v>
      </c>
      <c r="D2" s="6" t="str">
        <f>IFERROR(__xludf.DUMMYFUNCTION("""COMPUTED_VALUE"""),"P-15905-00")</f>
        <v>P-15905-00</v>
      </c>
      <c r="E2" s="6" t="str">
        <f>IFERROR(__xludf.DUMMYFUNCTION("""COMPUTED_VALUE"""),"Filter Catridge; Type: TefTEC Series; P/N : TefTEC 0.2 - 10 P7S; Lenght : 10 Inch; O-Ring : 226 Fin; ; ;")</f>
        <v>Filter Catridge; Type: TefTEC Series; P/N : TefTEC 0.2 - 10 P7S; Lenght : 10 Inch; O-Ring : 226 Fin; ; ;</v>
      </c>
      <c r="F2" s="6">
        <f>IFERROR(__xludf.DUMMYFUNCTION("""COMPUTED_VALUE"""),1.0)</f>
        <v>1</v>
      </c>
      <c r="G2" s="6" t="str">
        <f>IFERROR(__xludf.DUMMYFUNCTION("""COMPUTED_VALUE"""),"Unit")</f>
        <v>Unit</v>
      </c>
      <c r="H2" s="6" t="str">
        <f>IFERROR(__xludf.DUMMYFUNCTION("""COMPUTED_VALUE"""),"IDR")</f>
        <v>IDR</v>
      </c>
      <c r="I2" s="11">
        <f>IFERROR(__xludf.DUMMYFUNCTION("""COMPUTED_VALUE"""),3575000.0)</f>
        <v>3575000</v>
      </c>
      <c r="J2" s="11">
        <f>IFERROR(__xludf.DUMMYFUNCTION("""COMPUTED_VALUE"""),3575000.0)</f>
        <v>3575000</v>
      </c>
      <c r="K2" s="13">
        <f>IFERROR(__xludf.DUMMYFUNCTION("""COMPUTED_VALUE"""),43189.0)</f>
        <v>43189</v>
      </c>
      <c r="L2" s="6" t="str">
        <f>IFERROR(__xludf.DUMMYFUNCTION("""COMPUTED_VALUE"""),"FIP Engineering")</f>
        <v>FIP Engineering</v>
      </c>
      <c r="M2" s="6" t="str">
        <f>IFERROR(__xludf.DUMMYFUNCTION("""COMPUTED_VALUE"""),"Joko Nugroho")</f>
        <v>Joko Nugroho</v>
      </c>
      <c r="N2" s="6" t="str">
        <f>IFERROR(__xludf.DUMMYFUNCTION("""COMPUTED_VALUE"""),"FIP Engineering")</f>
        <v>FIP Engineering</v>
      </c>
      <c r="O2" s="6" t="str">
        <f>IFERROR(__xludf.DUMMYFUNCTION("""COMPUTED_VALUE"""),"FIP-DOM-000-11304-OS00001-INA-000000")</f>
        <v>FIP-DOM-000-11304-OS00001-INA-000000</v>
      </c>
      <c r="P2" s="6" t="str">
        <f>IFERROR(__xludf.DUMMYFUNCTION("""COMPUTED_VALUE"""),"PO Closed")</f>
        <v>PO Closed</v>
      </c>
      <c r="Q2" s="6" t="str">
        <f>IFERROR(__xludf.DUMMYFUNCTION("""COMPUTED_VALUE"""),"GL1802051")</f>
        <v>GL1802051</v>
      </c>
      <c r="R2" s="16">
        <f>IFERROR(__xludf.DUMMYFUNCTION("""COMPUTED_VALUE"""),43136.0)</f>
        <v>43136</v>
      </c>
      <c r="S2" s="6" t="str">
        <f>IFERROR(__xludf.DUMMYFUNCTION("""COMPUTED_VALUE"""),"-")</f>
        <v>-</v>
      </c>
      <c r="T2" s="17">
        <f>IFERROR(__xludf.DUMMYFUNCTION("""COMPUTED_VALUE"""),43160.0)</f>
        <v>43160</v>
      </c>
    </row>
    <row r="3">
      <c r="A3" s="6" t="str">
        <f>IFERROR(__xludf.DUMMYFUNCTION("""COMPUTED_VALUE"""),"181750042-2")</f>
        <v>181750042-2</v>
      </c>
      <c r="B3" s="6" t="str">
        <f>IFERROR(__xludf.DUMMYFUNCTION("""COMPUTED_VALUE"""),"181750042 - Approved")</f>
        <v>181750042 - Approved</v>
      </c>
      <c r="C3" s="6">
        <f>IFERROR(__xludf.DUMMYFUNCTION("""COMPUTED_VALUE"""),2.0)</f>
        <v>2</v>
      </c>
      <c r="D3" s="6" t="str">
        <f>IFERROR(__xludf.DUMMYFUNCTION("""COMPUTED_VALUE"""),"P-15904-00")</f>
        <v>P-15904-00</v>
      </c>
      <c r="E3" s="6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F3" s="6">
        <f>IFERROR(__xludf.DUMMYFUNCTION("""COMPUTED_VALUE"""),1.0)</f>
        <v>1</v>
      </c>
      <c r="G3" s="6" t="str">
        <f>IFERROR(__xludf.DUMMYFUNCTION("""COMPUTED_VALUE"""),"Unit")</f>
        <v>Unit</v>
      </c>
      <c r="H3" s="6" t="str">
        <f>IFERROR(__xludf.DUMMYFUNCTION("""COMPUTED_VALUE"""),"IDR")</f>
        <v>IDR</v>
      </c>
      <c r="I3" s="11">
        <f>IFERROR(__xludf.DUMMYFUNCTION("""COMPUTED_VALUE"""),2850000.0)</f>
        <v>2850000</v>
      </c>
      <c r="J3" s="11">
        <f>IFERROR(__xludf.DUMMYFUNCTION("""COMPUTED_VALUE"""),2850000.0)</f>
        <v>2850000</v>
      </c>
      <c r="K3" s="13">
        <f>IFERROR(__xludf.DUMMYFUNCTION("""COMPUTED_VALUE"""),43189.0)</f>
        <v>43189</v>
      </c>
      <c r="L3" s="6" t="str">
        <f>IFERROR(__xludf.DUMMYFUNCTION("""COMPUTED_VALUE"""),"FIP Engineering")</f>
        <v>FIP Engineering</v>
      </c>
      <c r="M3" s="6" t="str">
        <f>IFERROR(__xludf.DUMMYFUNCTION("""COMPUTED_VALUE"""),"Joko Nugroho")</f>
        <v>Joko Nugroho</v>
      </c>
      <c r="N3" s="6" t="str">
        <f>IFERROR(__xludf.DUMMYFUNCTION("""COMPUTED_VALUE"""),"FIP Engineering")</f>
        <v>FIP Engineering</v>
      </c>
      <c r="O3" s="6" t="str">
        <f>IFERROR(__xludf.DUMMYFUNCTION("""COMPUTED_VALUE"""),"FIP-DOM-000-11304-OS00001-INA-000000")</f>
        <v>FIP-DOM-000-11304-OS00001-INA-000000</v>
      </c>
      <c r="P3" s="6" t="str">
        <f>IFERROR(__xludf.DUMMYFUNCTION("""COMPUTED_VALUE"""),"PO Closed")</f>
        <v>PO Closed</v>
      </c>
      <c r="Q3" s="6" t="str">
        <f>IFERROR(__xludf.DUMMYFUNCTION("""COMPUTED_VALUE"""),"GL1802051")</f>
        <v>GL1802051</v>
      </c>
      <c r="R3" s="16">
        <f>IFERROR(__xludf.DUMMYFUNCTION("""COMPUTED_VALUE"""),43136.0)</f>
        <v>43136</v>
      </c>
      <c r="S3" s="6" t="str">
        <f>IFERROR(__xludf.DUMMYFUNCTION("""COMPUTED_VALUE"""),"-")</f>
        <v>-</v>
      </c>
      <c r="T3" s="13">
        <f>IFERROR(__xludf.DUMMYFUNCTION("""COMPUTED_VALUE"""),43160.0)</f>
        <v>43160</v>
      </c>
    </row>
    <row r="4">
      <c r="A4" s="6" t="str">
        <f>IFERROR(__xludf.DUMMYFUNCTION("""COMPUTED_VALUE"""),"181750039-5")</f>
        <v>181750039-5</v>
      </c>
      <c r="B4" s="6" t="str">
        <f>IFERROR(__xludf.DUMMYFUNCTION("""COMPUTED_VALUE"""),"181750039 - Approved")</f>
        <v>181750039 - Approved</v>
      </c>
      <c r="C4" s="6">
        <f>IFERROR(__xludf.DUMMYFUNCTION("""COMPUTED_VALUE"""),5.0)</f>
        <v>5</v>
      </c>
      <c r="D4" s="6" t="str">
        <f>IFERROR(__xludf.DUMMYFUNCTION("""COMPUTED_VALUE"""),"P-15446-00")</f>
        <v>P-15446-00</v>
      </c>
      <c r="E4" s="6" t="str">
        <f>IFERROR(__xludf.DUMMYFUNCTION("""COMPUTED_VALUE"""),"Flowmeter Merk Wiebrock; 60 LPM 0-60 liter/menit; ; ;")</f>
        <v>Flowmeter Merk Wiebrock; 60 LPM 0-60 liter/menit; ; ;</v>
      </c>
      <c r="F4" s="6">
        <f>IFERROR(__xludf.DUMMYFUNCTION("""COMPUTED_VALUE"""),2.0)</f>
        <v>2</v>
      </c>
      <c r="G4" s="6" t="str">
        <f>IFERROR(__xludf.DUMMYFUNCTION("""COMPUTED_VALUE"""),"Unit")</f>
        <v>Unit</v>
      </c>
      <c r="H4" s="6" t="str">
        <f>IFERROR(__xludf.DUMMYFUNCTION("""COMPUTED_VALUE"""),"IDR")</f>
        <v>IDR</v>
      </c>
      <c r="I4" s="11">
        <f>IFERROR(__xludf.DUMMYFUNCTION("""COMPUTED_VALUE"""),876000.0)</f>
        <v>876000</v>
      </c>
      <c r="J4" s="11">
        <f>IFERROR(__xludf.DUMMYFUNCTION("""COMPUTED_VALUE"""),1752000.0)</f>
        <v>1752000</v>
      </c>
      <c r="K4" s="13">
        <f>IFERROR(__xludf.DUMMYFUNCTION("""COMPUTED_VALUE"""),43159.0)</f>
        <v>43159</v>
      </c>
      <c r="L4" s="6" t="str">
        <f>IFERROR(__xludf.DUMMYFUNCTION("""COMPUTED_VALUE"""),"FIP General")</f>
        <v>FIP General</v>
      </c>
      <c r="M4" s="6" t="str">
        <f>IFERROR(__xludf.DUMMYFUNCTION("""COMPUTED_VALUE"""),"Joko Nugroho")</f>
        <v>Joko Nugroho</v>
      </c>
      <c r="N4" s="6" t="str">
        <f>IFERROR(__xludf.DUMMYFUNCTION("""COMPUTED_VALUE"""),"FIP Engineering")</f>
        <v>FIP Engineering</v>
      </c>
      <c r="O4" s="6" t="str">
        <f>IFERROR(__xludf.DUMMYFUNCTION("""COMPUTED_VALUE"""),"FIP-DOM-ENG-51404-0000000-INA-000000")</f>
        <v>FIP-DOM-ENG-51404-0000000-INA-000000</v>
      </c>
      <c r="P4" s="6" t="str">
        <f>IFERROR(__xludf.DUMMYFUNCTION("""COMPUTED_VALUE"""),"PO Closed")</f>
        <v>PO Closed</v>
      </c>
      <c r="Q4" s="6" t="str">
        <f>IFERROR(__xludf.DUMMYFUNCTION("""COMPUTED_VALUE"""),"GL1803032")</f>
        <v>GL1803032</v>
      </c>
      <c r="R4" s="16">
        <f>IFERROR(__xludf.DUMMYFUNCTION("""COMPUTED_VALUE"""),43139.0)</f>
        <v>43139</v>
      </c>
      <c r="S4" s="6" t="str">
        <f>IFERROR(__xludf.DUMMYFUNCTION("""COMPUTED_VALUE"""),"-")</f>
        <v>-</v>
      </c>
      <c r="T4" s="13">
        <f>IFERROR(__xludf.DUMMYFUNCTION("""COMPUTED_VALUE"""),43174.0)</f>
        <v>43174</v>
      </c>
    </row>
    <row r="5">
      <c r="A5" s="6" t="str">
        <f>IFERROR(__xludf.DUMMYFUNCTION("""COMPUTED_VALUE"""),"181750039-5")</f>
        <v>181750039-5</v>
      </c>
      <c r="B5" s="6" t="str">
        <f>IFERROR(__xludf.DUMMYFUNCTION("""COMPUTED_VALUE"""),"181750039 - Approved")</f>
        <v>181750039 - Approved</v>
      </c>
      <c r="C5" s="6">
        <f>IFERROR(__xludf.DUMMYFUNCTION("""COMPUTED_VALUE"""),5.0)</f>
        <v>5</v>
      </c>
      <c r="D5" s="6" t="str">
        <f>IFERROR(__xludf.DUMMYFUNCTION("""COMPUTED_VALUE"""),"P-15448-00")</f>
        <v>P-15448-00</v>
      </c>
      <c r="E5" s="6" t="str">
        <f>IFERROR(__xludf.DUMMYFUNCTION("""COMPUTED_VALUE"""),"Flowmeter Mfg : Dwyer; Type : MMA-5; ; ;")</f>
        <v>Flowmeter Mfg : Dwyer; Type : MMA-5; ; ;</v>
      </c>
      <c r="F5" s="6">
        <f>IFERROR(__xludf.DUMMYFUNCTION("""COMPUTED_VALUE"""),1.0)</f>
        <v>1</v>
      </c>
      <c r="G5" s="6" t="str">
        <f>IFERROR(__xludf.DUMMYFUNCTION("""COMPUTED_VALUE"""),"Unit")</f>
        <v>Unit</v>
      </c>
      <c r="H5" s="6" t="str">
        <f>IFERROR(__xludf.DUMMYFUNCTION("""COMPUTED_VALUE"""),"IDR")</f>
        <v>IDR</v>
      </c>
      <c r="I5" s="11">
        <f>IFERROR(__xludf.DUMMYFUNCTION("""COMPUTED_VALUE"""),782000.0)</f>
        <v>782000</v>
      </c>
      <c r="J5" s="11">
        <f>IFERROR(__xludf.DUMMYFUNCTION("""COMPUTED_VALUE"""),782000.0)</f>
        <v>782000</v>
      </c>
      <c r="K5" s="13">
        <f>IFERROR(__xludf.DUMMYFUNCTION("""COMPUTED_VALUE"""),43159.0)</f>
        <v>43159</v>
      </c>
      <c r="L5" s="6" t="str">
        <f>IFERROR(__xludf.DUMMYFUNCTION("""COMPUTED_VALUE"""),"FIP General")</f>
        <v>FIP General</v>
      </c>
      <c r="M5" s="6" t="str">
        <f>IFERROR(__xludf.DUMMYFUNCTION("""COMPUTED_VALUE"""),"Joko Nugroho")</f>
        <v>Joko Nugroho</v>
      </c>
      <c r="N5" s="6" t="str">
        <f>IFERROR(__xludf.DUMMYFUNCTION("""COMPUTED_VALUE"""),"FIP Engineering")</f>
        <v>FIP Engineering</v>
      </c>
      <c r="O5" s="6" t="str">
        <f>IFERROR(__xludf.DUMMYFUNCTION("""COMPUTED_VALUE"""),"FIP-DOM-ENG-51404-0000000-INA-000000")</f>
        <v>FIP-DOM-ENG-51404-0000000-INA-000000</v>
      </c>
      <c r="P5" s="6" t="str">
        <f>IFERROR(__xludf.DUMMYFUNCTION("""COMPUTED_VALUE"""),"PO Closed")</f>
        <v>PO Closed</v>
      </c>
      <c r="Q5" s="6" t="str">
        <f>IFERROR(__xludf.DUMMYFUNCTION("""COMPUTED_VALUE"""),"GL1802043")</f>
        <v>GL1802043</v>
      </c>
      <c r="R5" s="16">
        <f>IFERROR(__xludf.DUMMYFUNCTION("""COMPUTED_VALUE"""),43139.0)</f>
        <v>43139</v>
      </c>
      <c r="S5" s="6" t="str">
        <f>IFERROR(__xludf.DUMMYFUNCTION("""COMPUTED_VALUE"""),"-")</f>
        <v>-</v>
      </c>
      <c r="T5" s="17">
        <f>IFERROR(__xludf.DUMMYFUNCTION("""COMPUTED_VALUE"""),43208.0)</f>
        <v>43208</v>
      </c>
    </row>
    <row r="6">
      <c r="A6" s="6" t="str">
        <f>IFERROR(__xludf.DUMMYFUNCTION("""COMPUTED_VALUE"""),"181750039-5")</f>
        <v>181750039-5</v>
      </c>
      <c r="B6" s="6" t="str">
        <f>IFERROR(__xludf.DUMMYFUNCTION("""COMPUTED_VALUE"""),"181750039 - Approved")</f>
        <v>181750039 - Approved</v>
      </c>
      <c r="C6" s="6">
        <f>IFERROR(__xludf.DUMMYFUNCTION("""COMPUTED_VALUE"""),5.0)</f>
        <v>5</v>
      </c>
      <c r="D6" s="6" t="str">
        <f>IFERROR(__xludf.DUMMYFUNCTION("""COMPUTED_VALUE"""),"P-15447-00")</f>
        <v>P-15447-00</v>
      </c>
      <c r="E6" s="6" t="str">
        <f>IFERROR(__xludf.DUMMYFUNCTION("""COMPUTED_VALUE"""),"Flowmeter Merk Wiebrock; 100 LPM, 0 - 100liter / menit; ; ;")</f>
        <v>Flowmeter Merk Wiebrock; 100 LPM, 0 - 100liter / menit; ; ;</v>
      </c>
      <c r="F6" s="6">
        <f>IFERROR(__xludf.DUMMYFUNCTION("""COMPUTED_VALUE"""),1.0)</f>
        <v>1</v>
      </c>
      <c r="G6" s="6" t="str">
        <f>IFERROR(__xludf.DUMMYFUNCTION("""COMPUTED_VALUE"""),"Unit")</f>
        <v>Unit</v>
      </c>
      <c r="H6" s="6" t="str">
        <f>IFERROR(__xludf.DUMMYFUNCTION("""COMPUTED_VALUE"""),"IDR")</f>
        <v>IDR</v>
      </c>
      <c r="I6" s="11">
        <f>IFERROR(__xludf.DUMMYFUNCTION("""COMPUTED_VALUE"""),792000.0)</f>
        <v>792000</v>
      </c>
      <c r="J6" s="11">
        <f>IFERROR(__xludf.DUMMYFUNCTION("""COMPUTED_VALUE"""),792000.0)</f>
        <v>792000</v>
      </c>
      <c r="K6" s="13">
        <f>IFERROR(__xludf.DUMMYFUNCTION("""COMPUTED_VALUE"""),43159.0)</f>
        <v>43159</v>
      </c>
      <c r="L6" s="6" t="str">
        <f>IFERROR(__xludf.DUMMYFUNCTION("""COMPUTED_VALUE"""),"FIP General")</f>
        <v>FIP General</v>
      </c>
      <c r="M6" s="6" t="str">
        <f>IFERROR(__xludf.DUMMYFUNCTION("""COMPUTED_VALUE"""),"Joko Nugroho")</f>
        <v>Joko Nugroho</v>
      </c>
      <c r="N6" s="6" t="str">
        <f>IFERROR(__xludf.DUMMYFUNCTION("""COMPUTED_VALUE"""),"FIP Engineering")</f>
        <v>FIP Engineering</v>
      </c>
      <c r="O6" s="6" t="str">
        <f>IFERROR(__xludf.DUMMYFUNCTION("""COMPUTED_VALUE"""),"FIP-DOM-ENG-51404-0000000-INA-000000")</f>
        <v>FIP-DOM-ENG-51404-0000000-INA-000000</v>
      </c>
      <c r="P6" s="6" t="str">
        <f>IFERROR(__xludf.DUMMYFUNCTION("""COMPUTED_VALUE"""),"PO Closed")</f>
        <v>PO Closed</v>
      </c>
      <c r="Q6" s="6" t="str">
        <f>IFERROR(__xludf.DUMMYFUNCTION("""COMPUTED_VALUE"""),"GL1803052")</f>
        <v>GL1803052</v>
      </c>
      <c r="R6" s="16">
        <f>IFERROR(__xludf.DUMMYFUNCTION("""COMPUTED_VALUE"""),43139.0)</f>
        <v>43139</v>
      </c>
      <c r="S6" s="6" t="str">
        <f>IFERROR(__xludf.DUMMYFUNCTION("""COMPUTED_VALUE"""),"-")</f>
        <v>-</v>
      </c>
      <c r="T6" s="17">
        <f>IFERROR(__xludf.DUMMYFUNCTION("""COMPUTED_VALUE"""),43208.0)</f>
        <v>43208</v>
      </c>
    </row>
    <row r="7">
      <c r="A7" s="6" t="str">
        <f>IFERROR(__xludf.DUMMYFUNCTION("""COMPUTED_VALUE"""),"181750039-5")</f>
        <v>181750039-5</v>
      </c>
      <c r="B7" s="6" t="str">
        <f>IFERROR(__xludf.DUMMYFUNCTION("""COMPUTED_VALUE"""),"181750039 - Approved")</f>
        <v>181750039 - Approved</v>
      </c>
      <c r="C7" s="6">
        <f>IFERROR(__xludf.DUMMYFUNCTION("""COMPUTED_VALUE"""),5.0)</f>
        <v>5</v>
      </c>
      <c r="D7" s="6" t="str">
        <f>IFERROR(__xludf.DUMMYFUNCTION("""COMPUTED_VALUE"""),"P-15449-00")</f>
        <v>P-15449-00</v>
      </c>
      <c r="E7" s="6" t="str">
        <f>IFERROR(__xludf.DUMMYFUNCTION("""COMPUTED_VALUE"""),"Flowmeter Mfg : Dwyer; Type : RMA-1-SSV-ARB; Range : 0.05-0.4 SCFH AIR; ; ;")</f>
        <v>Flowmeter Mfg : Dwyer; Type : RMA-1-SSV-ARB; Range : 0.05-0.4 SCFH AIR; ; ;</v>
      </c>
      <c r="F7" s="6">
        <f>IFERROR(__xludf.DUMMYFUNCTION("""COMPUTED_VALUE"""),1.0)</f>
        <v>1</v>
      </c>
      <c r="G7" s="6" t="str">
        <f>IFERROR(__xludf.DUMMYFUNCTION("""COMPUTED_VALUE"""),"Unit")</f>
        <v>Unit</v>
      </c>
      <c r="H7" s="6" t="str">
        <f>IFERROR(__xludf.DUMMYFUNCTION("""COMPUTED_VALUE"""),"IDR")</f>
        <v>IDR</v>
      </c>
      <c r="I7" s="11">
        <f>IFERROR(__xludf.DUMMYFUNCTION("""COMPUTED_VALUE"""),1232500.0)</f>
        <v>1232500</v>
      </c>
      <c r="J7" s="11">
        <f>IFERROR(__xludf.DUMMYFUNCTION("""COMPUTED_VALUE"""),1232500.0)</f>
        <v>1232500</v>
      </c>
      <c r="K7" s="13">
        <f>IFERROR(__xludf.DUMMYFUNCTION("""COMPUTED_VALUE"""),43159.0)</f>
        <v>43159</v>
      </c>
      <c r="L7" s="6" t="str">
        <f>IFERROR(__xludf.DUMMYFUNCTION("""COMPUTED_VALUE"""),"FIP General")</f>
        <v>FIP General</v>
      </c>
      <c r="M7" s="6" t="str">
        <f>IFERROR(__xludf.DUMMYFUNCTION("""COMPUTED_VALUE"""),"Joko Nugroho")</f>
        <v>Joko Nugroho</v>
      </c>
      <c r="N7" s="6" t="str">
        <f>IFERROR(__xludf.DUMMYFUNCTION("""COMPUTED_VALUE"""),"FIP Engineering")</f>
        <v>FIP Engineering</v>
      </c>
      <c r="O7" s="6" t="str">
        <f>IFERROR(__xludf.DUMMYFUNCTION("""COMPUTED_VALUE"""),"FIP-DOM-ENG-51404-0000000-INA-000000")</f>
        <v>FIP-DOM-ENG-51404-0000000-INA-000000</v>
      </c>
      <c r="P7" s="6" t="str">
        <f>IFERROR(__xludf.DUMMYFUNCTION("""COMPUTED_VALUE"""),"PO Closed")</f>
        <v>PO Closed</v>
      </c>
      <c r="Q7" s="6" t="str">
        <f>IFERROR(__xludf.DUMMYFUNCTION("""COMPUTED_VALUE"""),"GL1802043")</f>
        <v>GL1802043</v>
      </c>
      <c r="R7" s="16">
        <f>IFERROR(__xludf.DUMMYFUNCTION("""COMPUTED_VALUE"""),43139.0)</f>
        <v>43139</v>
      </c>
      <c r="S7" s="6" t="str">
        <f>IFERROR(__xludf.DUMMYFUNCTION("""COMPUTED_VALUE"""),"-")</f>
        <v>-</v>
      </c>
      <c r="T7" s="13">
        <f>IFERROR(__xludf.DUMMYFUNCTION("""COMPUTED_VALUE"""),43208.0)</f>
        <v>43208</v>
      </c>
    </row>
    <row r="8">
      <c r="A8" s="6" t="str">
        <f>IFERROR(__xludf.DUMMYFUNCTION("""COMPUTED_VALUE"""),"181750039-2")</f>
        <v>181750039-2</v>
      </c>
      <c r="B8" s="6" t="str">
        <f>IFERROR(__xludf.DUMMYFUNCTION("""COMPUTED_VALUE"""),"181750039 - Approved")</f>
        <v>181750039 - Approved</v>
      </c>
      <c r="C8" s="6">
        <f>IFERROR(__xludf.DUMMYFUNCTION("""COMPUTED_VALUE"""),2.0)</f>
        <v>2</v>
      </c>
      <c r="D8" s="6" t="str">
        <f>IFERROR(__xludf.DUMMYFUNCTION("""COMPUTED_VALUE"""),"O-15902-00")</f>
        <v>O-15902-00</v>
      </c>
      <c r="E8" s="6" t="str">
        <f>IFERROR(__xludf.DUMMYFUNCTION("""COMPUTED_VALUE"""),"Suction Cup capping size 6R; P/N : 011010; ; ;")</f>
        <v>Suction Cup capping size 6R; P/N : 011010; ; ;</v>
      </c>
      <c r="F8" s="6">
        <f>IFERROR(__xludf.DUMMYFUNCTION("""COMPUTED_VALUE"""),12.0)</f>
        <v>12</v>
      </c>
      <c r="G8" s="6" t="str">
        <f>IFERROR(__xludf.DUMMYFUNCTION("""COMPUTED_VALUE"""),"Pieces")</f>
        <v>Pieces</v>
      </c>
      <c r="H8" s="6" t="str">
        <f>IFERROR(__xludf.DUMMYFUNCTION("""COMPUTED_VALUE"""),"IDR")</f>
        <v>IDR</v>
      </c>
      <c r="I8" s="11">
        <f>IFERROR(__xludf.DUMMYFUNCTION("""COMPUTED_VALUE"""),36000.0)</f>
        <v>36000</v>
      </c>
      <c r="J8" s="11">
        <f>IFERROR(__xludf.DUMMYFUNCTION("""COMPUTED_VALUE"""),432000.0)</f>
        <v>432000</v>
      </c>
      <c r="K8" s="13">
        <f>IFERROR(__xludf.DUMMYFUNCTION("""COMPUTED_VALUE"""),43157.0)</f>
        <v>43157</v>
      </c>
      <c r="L8" s="6" t="str">
        <f>IFERROR(__xludf.DUMMYFUNCTION("""COMPUTED_VALUE"""),"FIP Engineering")</f>
        <v>FIP Engineering</v>
      </c>
      <c r="M8" s="6" t="str">
        <f>IFERROR(__xludf.DUMMYFUNCTION("""COMPUTED_VALUE"""),"Joko Nugroho")</f>
        <v>Joko Nugroho</v>
      </c>
      <c r="N8" s="6" t="str">
        <f>IFERROR(__xludf.DUMMYFUNCTION("""COMPUTED_VALUE"""),"FIP Engineering")</f>
        <v>FIP Engineering</v>
      </c>
      <c r="O8" s="6" t="str">
        <f>IFERROR(__xludf.DUMMYFUNCTION("""COMPUTED_VALUE"""),"FIP-DOM-000-11304-OS00001-INA-000000")</f>
        <v>FIP-DOM-000-11304-OS00001-INA-000000</v>
      </c>
      <c r="P8" s="6" t="str">
        <f>IFERROR(__xludf.DUMMYFUNCTION("""COMPUTED_VALUE"""),"PO Closed")</f>
        <v>PO Closed</v>
      </c>
      <c r="Q8" s="6" t="str">
        <f>IFERROR(__xludf.DUMMYFUNCTION("""COMPUTED_VALUE"""),"GL1802044")</f>
        <v>GL1802044</v>
      </c>
      <c r="R8" s="16">
        <f>IFERROR(__xludf.DUMMYFUNCTION("""COMPUTED_VALUE"""),43144.0)</f>
        <v>43144</v>
      </c>
      <c r="S8" s="6" t="str">
        <f>IFERROR(__xludf.DUMMYFUNCTION("""COMPUTED_VALUE"""),"-")</f>
        <v>-</v>
      </c>
      <c r="T8" s="13">
        <f>IFERROR(__xludf.DUMMYFUNCTION("""COMPUTED_VALUE"""),43227.0)</f>
        <v>43227</v>
      </c>
    </row>
    <row r="9">
      <c r="A9" s="6" t="str">
        <f>IFERROR(__xludf.DUMMYFUNCTION("""COMPUTED_VALUE"""),"181750047-3")</f>
        <v>181750047-3</v>
      </c>
      <c r="B9" s="6" t="str">
        <f>IFERROR(__xludf.DUMMYFUNCTION("""COMPUTED_VALUE"""),"181750047 - Approved")</f>
        <v>181750047 - Approved</v>
      </c>
      <c r="C9" s="6">
        <f>IFERROR(__xludf.DUMMYFUNCTION("""COMPUTED_VALUE"""),3.0)</f>
        <v>3</v>
      </c>
      <c r="D9" s="6" t="str">
        <f>IFERROR(__xludf.DUMMYFUNCTION("""COMPUTED_VALUE"""),"O-15902-00")</f>
        <v>O-15902-00</v>
      </c>
      <c r="E9" s="6" t="str">
        <f>IFERROR(__xludf.DUMMYFUNCTION("""COMPUTED_VALUE"""),"Suction Cup capping size 6R; P/N : 011010; ; ;")</f>
        <v>Suction Cup capping size 6R; P/N : 011010; ; ;</v>
      </c>
      <c r="F9" s="6">
        <f>IFERROR(__xludf.DUMMYFUNCTION("""COMPUTED_VALUE"""),28.0)</f>
        <v>28</v>
      </c>
      <c r="G9" s="6" t="str">
        <f>IFERROR(__xludf.DUMMYFUNCTION("""COMPUTED_VALUE"""),"Pieces")</f>
        <v>Pieces</v>
      </c>
      <c r="H9" s="6" t="str">
        <f>IFERROR(__xludf.DUMMYFUNCTION("""COMPUTED_VALUE"""),"IDR")</f>
        <v>IDR</v>
      </c>
      <c r="I9" s="11">
        <f>IFERROR(__xludf.DUMMYFUNCTION("""COMPUTED_VALUE"""),36000.0)</f>
        <v>36000</v>
      </c>
      <c r="J9" s="11">
        <f>IFERROR(__xludf.DUMMYFUNCTION("""COMPUTED_VALUE"""),1008000.0)</f>
        <v>1008000</v>
      </c>
      <c r="K9" s="13">
        <f>IFERROR(__xludf.DUMMYFUNCTION("""COMPUTED_VALUE"""),43171.0)</f>
        <v>43171</v>
      </c>
      <c r="L9" s="6" t="str">
        <f>IFERROR(__xludf.DUMMYFUNCTION("""COMPUTED_VALUE"""),"FIP Engineering")</f>
        <v>FIP Engineering</v>
      </c>
      <c r="M9" s="6" t="str">
        <f>IFERROR(__xludf.DUMMYFUNCTION("""COMPUTED_VALUE"""),"Joko Nugroho")</f>
        <v>Joko Nugroho</v>
      </c>
      <c r="N9" s="6" t="str">
        <f>IFERROR(__xludf.DUMMYFUNCTION("""COMPUTED_VALUE"""),"FIP Engineering")</f>
        <v>FIP Engineering</v>
      </c>
      <c r="O9" s="6" t="str">
        <f>IFERROR(__xludf.DUMMYFUNCTION("""COMPUTED_VALUE"""),"FIP-DOM-000-11304-OS00001-INA-000000")</f>
        <v>FIP-DOM-000-11304-OS00001-INA-000000</v>
      </c>
      <c r="P9" s="6" t="str">
        <f>IFERROR(__xludf.DUMMYFUNCTION("""COMPUTED_VALUE"""),"PO Closed")</f>
        <v>PO Closed</v>
      </c>
      <c r="Q9" s="6" t="str">
        <f>IFERROR(__xludf.DUMMYFUNCTION("""COMPUTED_VALUE"""),"GL1802044")</f>
        <v>GL1802044</v>
      </c>
      <c r="R9" s="16">
        <f>IFERROR(__xludf.DUMMYFUNCTION("""COMPUTED_VALUE"""),43144.0)</f>
        <v>43144</v>
      </c>
      <c r="S9" s="6" t="str">
        <f>IFERROR(__xludf.DUMMYFUNCTION("""COMPUTED_VALUE"""),"-")</f>
        <v>-</v>
      </c>
      <c r="T9" s="13">
        <f>IFERROR(__xludf.DUMMYFUNCTION("""COMPUTED_VALUE"""),43227.0)</f>
        <v>43227</v>
      </c>
    </row>
    <row r="10">
      <c r="A10" s="6" t="str">
        <f>IFERROR(__xludf.DUMMYFUNCTION("""COMPUTED_VALUE"""),"181750054-1")</f>
        <v>181750054-1</v>
      </c>
      <c r="B10" s="6" t="str">
        <f>IFERROR(__xludf.DUMMYFUNCTION("""COMPUTED_VALUE"""),"181750054 - Approved")</f>
        <v>181750054 - Approved</v>
      </c>
      <c r="C10" s="6">
        <f>IFERROR(__xludf.DUMMYFUNCTION("""COMPUTED_VALUE"""),1.0)</f>
        <v>1</v>
      </c>
      <c r="D10" s="6" t="str">
        <f>IFERROR(__xludf.DUMMYFUNCTION("""COMPUTED_VALUE"""),"O-14594-00")</f>
        <v>O-14594-00</v>
      </c>
      <c r="E10" s="6" t="str">
        <f>IFERROR(__xludf.DUMMYFUNCTION("""COMPUTED_VALUE"""),"Kit, membrane ozone 6510; ; ;")</f>
        <v>Kit, membrane ozone 6510; ; ;</v>
      </c>
      <c r="F10" s="6">
        <f>IFERROR(__xludf.DUMMYFUNCTION("""COMPUTED_VALUE"""),1.0)</f>
        <v>1</v>
      </c>
      <c r="G10" s="6" t="str">
        <f>IFERROR(__xludf.DUMMYFUNCTION("""COMPUTED_VALUE"""),"Unit")</f>
        <v>Unit</v>
      </c>
      <c r="H10" s="6" t="str">
        <f>IFERROR(__xludf.DUMMYFUNCTION("""COMPUTED_VALUE"""),"IDR")</f>
        <v>IDR</v>
      </c>
      <c r="I10" s="11">
        <f>IFERROR(__xludf.DUMMYFUNCTION("""COMPUTED_VALUE"""),1.032365E7)</f>
        <v>10323650</v>
      </c>
      <c r="J10" s="11">
        <f>IFERROR(__xludf.DUMMYFUNCTION("""COMPUTED_VALUE"""),1.032365E7)</f>
        <v>10323650</v>
      </c>
      <c r="K10" s="13">
        <f>IFERROR(__xludf.DUMMYFUNCTION("""COMPUTED_VALUE"""),43192.0)</f>
        <v>43192</v>
      </c>
      <c r="L10" s="6" t="str">
        <f>IFERROR(__xludf.DUMMYFUNCTION("""COMPUTED_VALUE"""),"FIP Engineering")</f>
        <v>FIP Engineering</v>
      </c>
      <c r="M10" s="6" t="str">
        <f>IFERROR(__xludf.DUMMYFUNCTION("""COMPUTED_VALUE"""),"Joko Nugroho")</f>
        <v>Joko Nugroho</v>
      </c>
      <c r="N10" s="6" t="str">
        <f>IFERROR(__xludf.DUMMYFUNCTION("""COMPUTED_VALUE"""),"FIP Engineering")</f>
        <v>FIP Engineering</v>
      </c>
      <c r="O10" s="6" t="str">
        <f>IFERROR(__xludf.DUMMYFUNCTION("""COMPUTED_VALUE"""),"FIP-DOM-000-11304-OS00001-INA-000000")</f>
        <v>FIP-DOM-000-11304-OS00001-INA-000000</v>
      </c>
      <c r="P10" s="6" t="str">
        <f>IFERROR(__xludf.DUMMYFUNCTION("""COMPUTED_VALUE"""),"PO Closed")</f>
        <v>PO Closed</v>
      </c>
      <c r="Q10" s="6" t="str">
        <f>IFERROR(__xludf.DUMMYFUNCTION("""COMPUTED_VALUE"""),"GL1802045")</f>
        <v>GL1802045</v>
      </c>
      <c r="R10" s="16">
        <f>IFERROR(__xludf.DUMMYFUNCTION("""COMPUTED_VALUE"""),43145.0)</f>
        <v>43145</v>
      </c>
      <c r="S10" s="6" t="str">
        <f>IFERROR(__xludf.DUMMYFUNCTION("""COMPUTED_VALUE"""),"-")</f>
        <v>-</v>
      </c>
      <c r="T10" s="13">
        <f>IFERROR(__xludf.DUMMYFUNCTION("""COMPUTED_VALUE"""),43209.0)</f>
        <v>43209</v>
      </c>
    </row>
    <row r="11">
      <c r="A11" s="6" t="str">
        <f>IFERROR(__xludf.DUMMYFUNCTION("""COMPUTED_VALUE"""),"181750047-3")</f>
        <v>181750047-3</v>
      </c>
      <c r="B11" s="6" t="str">
        <f>IFERROR(__xludf.DUMMYFUNCTION("""COMPUTED_VALUE"""),"181750047 - Approved")</f>
        <v>181750047 - Approved</v>
      </c>
      <c r="C11" s="6">
        <f>IFERROR(__xludf.DUMMYFUNCTION("""COMPUTED_VALUE"""),3.0)</f>
        <v>3</v>
      </c>
      <c r="D11" s="6" t="str">
        <f>IFERROR(__xludf.DUMMYFUNCTION("""COMPUTED_VALUE"""),"S-62033-00")</f>
        <v>S-62033-00</v>
      </c>
      <c r="E11" s="6" t="str">
        <f>IFERROR(__xludf.DUMMYFUNCTION("""COMPUTED_VALUE"""),"Regulator Hidrogen Yamato; ; ;")</f>
        <v>Regulator Hidrogen Yamato; ; ;</v>
      </c>
      <c r="F11" s="6">
        <f>IFERROR(__xludf.DUMMYFUNCTION("""COMPUTED_VALUE"""),1.0)</f>
        <v>1</v>
      </c>
      <c r="G11" s="6" t="str">
        <f>IFERROR(__xludf.DUMMYFUNCTION("""COMPUTED_VALUE"""),"Unit")</f>
        <v>Unit</v>
      </c>
      <c r="H11" s="6" t="str">
        <f>IFERROR(__xludf.DUMMYFUNCTION("""COMPUTED_VALUE"""),"IDR")</f>
        <v>IDR</v>
      </c>
      <c r="I11" s="11">
        <f>IFERROR(__xludf.DUMMYFUNCTION("""COMPUTED_VALUE"""),1260000.0)</f>
        <v>1260000</v>
      </c>
      <c r="J11" s="11">
        <f>IFERROR(__xludf.DUMMYFUNCTION("""COMPUTED_VALUE"""),1260000.0)</f>
        <v>1260000</v>
      </c>
      <c r="K11" s="17">
        <f>IFERROR(__xludf.DUMMYFUNCTION("""COMPUTED_VALUE"""),43159.0)</f>
        <v>43159</v>
      </c>
      <c r="L11" s="6" t="str">
        <f>IFERROR(__xludf.DUMMYFUNCTION("""COMPUTED_VALUE"""),"FIP General")</f>
        <v>FIP General</v>
      </c>
      <c r="M11" s="6" t="str">
        <f>IFERROR(__xludf.DUMMYFUNCTION("""COMPUTED_VALUE"""),"Joko Nugroho")</f>
        <v>Joko Nugroho</v>
      </c>
      <c r="N11" s="6" t="str">
        <f>IFERROR(__xludf.DUMMYFUNCTION("""COMPUTED_VALUE"""),"FIP Engineering")</f>
        <v>FIP Engineering</v>
      </c>
      <c r="O11" s="6" t="str">
        <f>IFERROR(__xludf.DUMMYFUNCTION("""COMPUTED_VALUE"""),"FIP-DOM-ENG-51504-0000000-INA-000000")</f>
        <v>FIP-DOM-ENG-51504-0000000-INA-000000</v>
      </c>
      <c r="P11" s="6" t="str">
        <f>IFERROR(__xludf.DUMMYFUNCTION("""COMPUTED_VALUE"""),"PO Closed")</f>
        <v>PO Closed</v>
      </c>
      <c r="Q11" s="6" t="str">
        <f>IFERROR(__xludf.DUMMYFUNCTION("""COMPUTED_VALUE"""),"GL1806028")</f>
        <v>GL1806028</v>
      </c>
      <c r="R11" s="16">
        <f>IFERROR(__xludf.DUMMYFUNCTION("""COMPUTED_VALUE"""),43145.0)</f>
        <v>43145</v>
      </c>
      <c r="S11" s="6" t="str">
        <f>IFERROR(__xludf.DUMMYFUNCTION("""COMPUTED_VALUE"""),"-")</f>
        <v>-</v>
      </c>
      <c r="T11" s="13">
        <f>IFERROR(__xludf.DUMMYFUNCTION("""COMPUTED_VALUE"""),43280.0)</f>
        <v>43280</v>
      </c>
    </row>
    <row r="12">
      <c r="A12" s="6" t="str">
        <f>IFERROR(__xludf.DUMMYFUNCTION("""COMPUTED_VALUE"""),"181750057-2")</f>
        <v>181750057-2</v>
      </c>
      <c r="B12" s="6" t="str">
        <f>IFERROR(__xludf.DUMMYFUNCTION("""COMPUTED_VALUE"""),"181750057 - Approved")</f>
        <v>181750057 - Approved</v>
      </c>
      <c r="C12" s="6">
        <f>IFERROR(__xludf.DUMMYFUNCTION("""COMPUTED_VALUE"""),2.0)</f>
        <v>2</v>
      </c>
      <c r="D12" s="6" t="str">
        <f>IFERROR(__xludf.DUMMYFUNCTION("""COMPUTED_VALUE"""),"P-51027-00")</f>
        <v>P-51027-00</v>
      </c>
      <c r="E12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2" s="6">
        <f>IFERROR(__xludf.DUMMYFUNCTION("""COMPUTED_VALUE"""),3.0)</f>
        <v>3</v>
      </c>
      <c r="G12" s="6" t="str">
        <f>IFERROR(__xludf.DUMMYFUNCTION("""COMPUTED_VALUE"""),"Pieces")</f>
        <v>Pieces</v>
      </c>
      <c r="H12" s="6" t="str">
        <f>IFERROR(__xludf.DUMMYFUNCTION("""COMPUTED_VALUE"""),"IDR")</f>
        <v>IDR</v>
      </c>
      <c r="I12" s="11">
        <f>IFERROR(__xludf.DUMMYFUNCTION("""COMPUTED_VALUE"""),47700.0)</f>
        <v>47700</v>
      </c>
      <c r="J12" s="11">
        <f>IFERROR(__xludf.DUMMYFUNCTION("""COMPUTED_VALUE"""),143100.0)</f>
        <v>143100</v>
      </c>
      <c r="K12" s="13">
        <f>IFERROR(__xludf.DUMMYFUNCTION("""COMPUTED_VALUE"""),43171.0)</f>
        <v>43171</v>
      </c>
      <c r="L12" s="6" t="str">
        <f>IFERROR(__xludf.DUMMYFUNCTION("""COMPUTED_VALUE"""),"FIP Engineering")</f>
        <v>FIP Engineering</v>
      </c>
      <c r="M12" s="6" t="str">
        <f>IFERROR(__xludf.DUMMYFUNCTION("""COMPUTED_VALUE"""),"Joko Nugroho")</f>
        <v>Joko Nugroho</v>
      </c>
      <c r="N12" s="6" t="str">
        <f>IFERROR(__xludf.DUMMYFUNCTION("""COMPUTED_VALUE"""),"FIP Engineering")</f>
        <v>FIP Engineering</v>
      </c>
      <c r="O12" s="6" t="str">
        <f>IFERROR(__xludf.DUMMYFUNCTION("""COMPUTED_VALUE"""),"FIP-DOM-000-11304-OS00001-INA-000000")</f>
        <v>FIP-DOM-000-11304-OS00001-INA-000000</v>
      </c>
      <c r="P12" s="6" t="str">
        <f>IFERROR(__xludf.DUMMYFUNCTION("""COMPUTED_VALUE"""),"PO Closed")</f>
        <v>PO Closed</v>
      </c>
      <c r="Q12" s="6" t="str">
        <f>IFERROR(__xludf.DUMMYFUNCTION("""COMPUTED_VALUE"""),"GL1803022")</f>
        <v>GL1803022</v>
      </c>
      <c r="R12" s="16">
        <f>IFERROR(__xludf.DUMMYFUNCTION("""COMPUTED_VALUE"""),43146.0)</f>
        <v>43146</v>
      </c>
      <c r="S12" s="6" t="str">
        <f>IFERROR(__xludf.DUMMYFUNCTION("""COMPUTED_VALUE"""),"-")</f>
        <v>-</v>
      </c>
      <c r="T12" s="13">
        <f>IFERROR(__xludf.DUMMYFUNCTION("""COMPUTED_VALUE"""),43171.0)</f>
        <v>43171</v>
      </c>
    </row>
    <row r="13">
      <c r="A13" s="6" t="str">
        <f>IFERROR(__xludf.DUMMYFUNCTION("""COMPUTED_VALUE"""),"181750057-3")</f>
        <v>181750057-3</v>
      </c>
      <c r="B13" s="6" t="str">
        <f>IFERROR(__xludf.DUMMYFUNCTION("""COMPUTED_VALUE"""),"181750057 - Approved")</f>
        <v>181750057 - Approved</v>
      </c>
      <c r="C13" s="6">
        <f>IFERROR(__xludf.DUMMYFUNCTION("""COMPUTED_VALUE"""),3.0)</f>
        <v>3</v>
      </c>
      <c r="D13" s="6" t="str">
        <f>IFERROR(__xludf.DUMMYFUNCTION("""COMPUTED_VALUE"""),"P-53214-00")</f>
        <v>P-53214-00</v>
      </c>
      <c r="E13" s="6" t="str">
        <f>IFERROR(__xludf.DUMMYFUNCTION("""COMPUTED_VALUE"""),"Epoxy Adhesive DEXTONE; ; ;")</f>
        <v>Epoxy Adhesive DEXTONE; ; ;</v>
      </c>
      <c r="F13" s="6">
        <f>IFERROR(__xludf.DUMMYFUNCTION("""COMPUTED_VALUE"""),3.0)</f>
        <v>3</v>
      </c>
      <c r="G13" s="6" t="str">
        <f>IFERROR(__xludf.DUMMYFUNCTION("""COMPUTED_VALUE"""),"Pieces")</f>
        <v>Pieces</v>
      </c>
      <c r="H13" s="6" t="str">
        <f>IFERROR(__xludf.DUMMYFUNCTION("""COMPUTED_VALUE"""),"IDR")</f>
        <v>IDR</v>
      </c>
      <c r="I13" s="11">
        <f>IFERROR(__xludf.DUMMYFUNCTION("""COMPUTED_VALUE"""),13500.0)</f>
        <v>13500</v>
      </c>
      <c r="J13" s="11">
        <f>IFERROR(__xludf.DUMMYFUNCTION("""COMPUTED_VALUE"""),40500.0)</f>
        <v>40500</v>
      </c>
      <c r="K13" s="13">
        <f>IFERROR(__xludf.DUMMYFUNCTION("""COMPUTED_VALUE"""),43171.0)</f>
        <v>43171</v>
      </c>
      <c r="L13" s="6" t="str">
        <f>IFERROR(__xludf.DUMMYFUNCTION("""COMPUTED_VALUE"""),"FIP Engineering")</f>
        <v>FIP Engineering</v>
      </c>
      <c r="M13" s="6" t="str">
        <f>IFERROR(__xludf.DUMMYFUNCTION("""COMPUTED_VALUE"""),"Joko Nugroho")</f>
        <v>Joko Nugroho</v>
      </c>
      <c r="N13" s="6" t="str">
        <f>IFERROR(__xludf.DUMMYFUNCTION("""COMPUTED_VALUE"""),"FIP Engineering")</f>
        <v>FIP Engineering</v>
      </c>
      <c r="O13" s="6" t="str">
        <f>IFERROR(__xludf.DUMMYFUNCTION("""COMPUTED_VALUE"""),"FIP-DOM-000-11304-OS00001-INA-000000")</f>
        <v>FIP-DOM-000-11304-OS00001-INA-000000</v>
      </c>
      <c r="P13" s="6" t="str">
        <f>IFERROR(__xludf.DUMMYFUNCTION("""COMPUTED_VALUE"""),"PO Closed")</f>
        <v>PO Closed</v>
      </c>
      <c r="Q13" s="6" t="str">
        <f>IFERROR(__xludf.DUMMYFUNCTION("""COMPUTED_VALUE"""),"GL1803022")</f>
        <v>GL1803022</v>
      </c>
      <c r="R13" s="16">
        <f>IFERROR(__xludf.DUMMYFUNCTION("""COMPUTED_VALUE"""),43146.0)</f>
        <v>43146</v>
      </c>
      <c r="S13" s="6" t="str">
        <f>IFERROR(__xludf.DUMMYFUNCTION("""COMPUTED_VALUE"""),"-")</f>
        <v>-</v>
      </c>
      <c r="T13" s="13">
        <f>IFERROR(__xludf.DUMMYFUNCTION("""COMPUTED_VALUE"""),43171.0)</f>
        <v>43171</v>
      </c>
    </row>
    <row r="14">
      <c r="A14" s="6" t="str">
        <f>IFERROR(__xludf.DUMMYFUNCTION("""COMPUTED_VALUE"""),"181750057-4")</f>
        <v>181750057-4</v>
      </c>
      <c r="B14" s="6" t="str">
        <f>IFERROR(__xludf.DUMMYFUNCTION("""COMPUTED_VALUE"""),"181750057 - Approved")</f>
        <v>181750057 - Approved</v>
      </c>
      <c r="C14" s="6">
        <f>IFERROR(__xludf.DUMMYFUNCTION("""COMPUTED_VALUE"""),4.0)</f>
        <v>4</v>
      </c>
      <c r="D14" s="6" t="str">
        <f>IFERROR(__xludf.DUMMYFUNCTION("""COMPUTED_VALUE"""),"P-12764-00")</f>
        <v>P-12764-00</v>
      </c>
      <c r="E14" s="6" t="str">
        <f>IFERROR(__xludf.DUMMYFUNCTION("""COMPUTED_VALUE"""),"Silicone gasket for ferrule dia 1/2inch Taiwan")</f>
        <v>Silicone gasket for ferrule dia 1/2inch Taiwan</v>
      </c>
      <c r="F14" s="6">
        <f>IFERROR(__xludf.DUMMYFUNCTION("""COMPUTED_VALUE"""),6.0)</f>
        <v>6</v>
      </c>
      <c r="G14" s="6" t="str">
        <f>IFERROR(__xludf.DUMMYFUNCTION("""COMPUTED_VALUE"""),"Pieces")</f>
        <v>Pieces</v>
      </c>
      <c r="H14" s="6" t="str">
        <f>IFERROR(__xludf.DUMMYFUNCTION("""COMPUTED_VALUE"""),"IDR")</f>
        <v>IDR</v>
      </c>
      <c r="I14" s="11">
        <f>IFERROR(__xludf.DUMMYFUNCTION("""COMPUTED_VALUE"""),8000.0)</f>
        <v>8000</v>
      </c>
      <c r="J14" s="11">
        <f>IFERROR(__xludf.DUMMYFUNCTION("""COMPUTED_VALUE"""),48000.0)</f>
        <v>48000</v>
      </c>
      <c r="K14" s="13">
        <f>IFERROR(__xludf.DUMMYFUNCTION("""COMPUTED_VALUE"""),43171.0)</f>
        <v>43171</v>
      </c>
      <c r="L14" s="6" t="str">
        <f>IFERROR(__xludf.DUMMYFUNCTION("""COMPUTED_VALUE"""),"FIP Engineering")</f>
        <v>FIP Engineering</v>
      </c>
      <c r="M14" s="6" t="str">
        <f>IFERROR(__xludf.DUMMYFUNCTION("""COMPUTED_VALUE"""),"Joko Nugroho")</f>
        <v>Joko Nugroho</v>
      </c>
      <c r="N14" s="6" t="str">
        <f>IFERROR(__xludf.DUMMYFUNCTION("""COMPUTED_VALUE"""),"FIP Engineering")</f>
        <v>FIP Engineering</v>
      </c>
      <c r="O14" s="6" t="str">
        <f>IFERROR(__xludf.DUMMYFUNCTION("""COMPUTED_VALUE"""),"FIP-DOM-000-11304-OS00001-INA-000000")</f>
        <v>FIP-DOM-000-11304-OS00001-INA-000000</v>
      </c>
      <c r="P14" s="6" t="str">
        <f>IFERROR(__xludf.DUMMYFUNCTION("""COMPUTED_VALUE"""),"PO Closed")</f>
        <v>PO Closed</v>
      </c>
      <c r="Q14" s="6" t="str">
        <f>IFERROR(__xludf.DUMMYFUNCTION("""COMPUTED_VALUE"""),"GL1803022")</f>
        <v>GL1803022</v>
      </c>
      <c r="R14" s="16">
        <f>IFERROR(__xludf.DUMMYFUNCTION("""COMPUTED_VALUE"""),43146.0)</f>
        <v>43146</v>
      </c>
      <c r="S14" s="6" t="str">
        <f>IFERROR(__xludf.DUMMYFUNCTION("""COMPUTED_VALUE"""),"-")</f>
        <v>-</v>
      </c>
      <c r="T14" s="13">
        <f>IFERROR(__xludf.DUMMYFUNCTION("""COMPUTED_VALUE"""),43171.0)</f>
        <v>43171</v>
      </c>
    </row>
    <row r="15">
      <c r="A15" s="6" t="str">
        <f>IFERROR(__xludf.DUMMYFUNCTION("""COMPUTED_VALUE"""),"181750057-5")</f>
        <v>181750057-5</v>
      </c>
      <c r="B15" s="6" t="str">
        <f>IFERROR(__xludf.DUMMYFUNCTION("""COMPUTED_VALUE"""),"181750057 - Approved")</f>
        <v>181750057 - Approved</v>
      </c>
      <c r="C15" s="6">
        <f>IFERROR(__xludf.DUMMYFUNCTION("""COMPUTED_VALUE"""),5.0)</f>
        <v>5</v>
      </c>
      <c r="D15" s="6" t="str">
        <f>IFERROR(__xludf.DUMMYFUNCTION("""COMPUTED_VALUE"""),"P-15862-00")</f>
        <v>P-15862-00</v>
      </c>
      <c r="E15" s="6" t="str">
        <f>IFERROR(__xludf.DUMMYFUNCTION("""COMPUTED_VALUE"""),"PAPER RECORD YOKOGAWA; FOLDING CHART B9565AW")</f>
        <v>PAPER RECORD YOKOGAWA; FOLDING CHART B9565AW</v>
      </c>
      <c r="F15" s="6">
        <f>IFERROR(__xludf.DUMMYFUNCTION("""COMPUTED_VALUE"""),13.0)</f>
        <v>13</v>
      </c>
      <c r="G15" s="6" t="str">
        <f>IFERROR(__xludf.DUMMYFUNCTION("""COMPUTED_VALUE"""),"Pieces")</f>
        <v>Pieces</v>
      </c>
      <c r="H15" s="6" t="str">
        <f>IFERROR(__xludf.DUMMYFUNCTION("""COMPUTED_VALUE"""),"IDR")</f>
        <v>IDR</v>
      </c>
      <c r="I15" s="11">
        <f>IFERROR(__xludf.DUMMYFUNCTION("""COMPUTED_VALUE"""),220000.0)</f>
        <v>220000</v>
      </c>
      <c r="J15" s="11">
        <f>IFERROR(__xludf.DUMMYFUNCTION("""COMPUTED_VALUE"""),2860000.0)</f>
        <v>2860000</v>
      </c>
      <c r="K15" s="13">
        <f>IFERROR(__xludf.DUMMYFUNCTION("""COMPUTED_VALUE"""),43171.0)</f>
        <v>43171</v>
      </c>
      <c r="L15" s="6" t="str">
        <f>IFERROR(__xludf.DUMMYFUNCTION("""COMPUTED_VALUE"""),"FIP Engineering")</f>
        <v>FIP Engineering</v>
      </c>
      <c r="M15" s="6" t="str">
        <f>IFERROR(__xludf.DUMMYFUNCTION("""COMPUTED_VALUE"""),"Joko Nugroho")</f>
        <v>Joko Nugroho</v>
      </c>
      <c r="N15" s="6" t="str">
        <f>IFERROR(__xludf.DUMMYFUNCTION("""COMPUTED_VALUE"""),"FIP Engineering")</f>
        <v>FIP Engineering</v>
      </c>
      <c r="O15" s="6" t="str">
        <f>IFERROR(__xludf.DUMMYFUNCTION("""COMPUTED_VALUE"""),"FIP-DOM-000-11304-OS00001-INA-000000")</f>
        <v>FIP-DOM-000-11304-OS00001-INA-000000</v>
      </c>
      <c r="P15" s="6" t="str">
        <f>IFERROR(__xludf.DUMMYFUNCTION("""COMPUTED_VALUE"""),"PO Closed")</f>
        <v>PO Closed</v>
      </c>
      <c r="Q15" s="6" t="str">
        <f>IFERROR(__xludf.DUMMYFUNCTION("""COMPUTED_VALUE"""),"GL1803026")</f>
        <v>GL1803026</v>
      </c>
      <c r="R15" s="16">
        <f>IFERROR(__xludf.DUMMYFUNCTION("""COMPUTED_VALUE"""),43146.0)</f>
        <v>43146</v>
      </c>
      <c r="S15" s="6" t="str">
        <f>IFERROR(__xludf.DUMMYFUNCTION("""COMPUTED_VALUE"""),"-")</f>
        <v>-</v>
      </c>
      <c r="T15" s="13">
        <f>IFERROR(__xludf.DUMMYFUNCTION("""COMPUTED_VALUE"""),43171.0)</f>
        <v>43171</v>
      </c>
    </row>
    <row r="16">
      <c r="A16" s="6" t="str">
        <f>IFERROR(__xludf.DUMMYFUNCTION("""COMPUTED_VALUE"""),"181750057-6")</f>
        <v>181750057-6</v>
      </c>
      <c r="B16" s="6" t="str">
        <f>IFERROR(__xludf.DUMMYFUNCTION("""COMPUTED_VALUE"""),"181750057 - Approved")</f>
        <v>181750057 - Approved</v>
      </c>
      <c r="C16" s="6">
        <f>IFERROR(__xludf.DUMMYFUNCTION("""COMPUTED_VALUE"""),6.0)</f>
        <v>6</v>
      </c>
      <c r="D16" s="6" t="str">
        <f>IFERROR(__xludf.DUMMYFUNCTION("""COMPUTED_VALUE"""),"P-10945-00")</f>
        <v>P-10945-00</v>
      </c>
      <c r="E16" s="6" t="str">
        <f>IFERROR(__xludf.DUMMYFUNCTION("""COMPUTED_VALUE"""),"Insulation - Seal Tape onda")</f>
        <v>Insulation - Seal Tape onda</v>
      </c>
      <c r="F16" s="6">
        <f>IFERROR(__xludf.DUMMYFUNCTION("""COMPUTED_VALUE"""),9.0)</f>
        <v>9</v>
      </c>
      <c r="G16" s="6" t="str">
        <f>IFERROR(__xludf.DUMMYFUNCTION("""COMPUTED_VALUE"""),"Pieces")</f>
        <v>Pieces</v>
      </c>
      <c r="H16" s="6" t="str">
        <f>IFERROR(__xludf.DUMMYFUNCTION("""COMPUTED_VALUE"""),"IDR")</f>
        <v>IDR</v>
      </c>
      <c r="I16" s="11">
        <f>IFERROR(__xludf.DUMMYFUNCTION("""COMPUTED_VALUE"""),4500.0)</f>
        <v>4500</v>
      </c>
      <c r="J16" s="11">
        <f>IFERROR(__xludf.DUMMYFUNCTION("""COMPUTED_VALUE"""),40500.0)</f>
        <v>40500</v>
      </c>
      <c r="K16" s="17">
        <f>IFERROR(__xludf.DUMMYFUNCTION("""COMPUTED_VALUE"""),43171.0)</f>
        <v>43171</v>
      </c>
      <c r="L16" s="6" t="str">
        <f>IFERROR(__xludf.DUMMYFUNCTION("""COMPUTED_VALUE"""),"FIP Engineering")</f>
        <v>FIP Engineering</v>
      </c>
      <c r="M16" s="6" t="str">
        <f>IFERROR(__xludf.DUMMYFUNCTION("""COMPUTED_VALUE"""),"Joko Nugroho")</f>
        <v>Joko Nugroho</v>
      </c>
      <c r="N16" s="6" t="str">
        <f>IFERROR(__xludf.DUMMYFUNCTION("""COMPUTED_VALUE"""),"FIP Engineering")</f>
        <v>FIP Engineering</v>
      </c>
      <c r="O16" s="6" t="str">
        <f>IFERROR(__xludf.DUMMYFUNCTION("""COMPUTED_VALUE"""),"FIP-DOM-000-11304-OS00001-INA-000000")</f>
        <v>FIP-DOM-000-11304-OS00001-INA-000000</v>
      </c>
      <c r="P16" s="6" t="str">
        <f>IFERROR(__xludf.DUMMYFUNCTION("""COMPUTED_VALUE"""),"PO Closed")</f>
        <v>PO Closed</v>
      </c>
      <c r="Q16" s="6" t="str">
        <f>IFERROR(__xludf.DUMMYFUNCTION("""COMPUTED_VALUE"""),"GL1803022")</f>
        <v>GL1803022</v>
      </c>
      <c r="R16" s="16">
        <f>IFERROR(__xludf.DUMMYFUNCTION("""COMPUTED_VALUE"""),43146.0)</f>
        <v>43146</v>
      </c>
      <c r="S16" s="6" t="str">
        <f>IFERROR(__xludf.DUMMYFUNCTION("""COMPUTED_VALUE"""),"-")</f>
        <v>-</v>
      </c>
      <c r="T16" s="13">
        <f>IFERROR(__xludf.DUMMYFUNCTION("""COMPUTED_VALUE"""),43171.0)</f>
        <v>43171</v>
      </c>
    </row>
    <row r="17">
      <c r="A17" s="6" t="str">
        <f>IFERROR(__xludf.DUMMYFUNCTION("""COMPUTED_VALUE"""),"181750057-7")</f>
        <v>181750057-7</v>
      </c>
      <c r="B17" s="6" t="str">
        <f>IFERROR(__xludf.DUMMYFUNCTION("""COMPUTED_VALUE"""),"181750057 - Approved")</f>
        <v>181750057 - Approved</v>
      </c>
      <c r="C17" s="6">
        <f>IFERROR(__xludf.DUMMYFUNCTION("""COMPUTED_VALUE"""),7.0)</f>
        <v>7</v>
      </c>
      <c r="D17" s="6" t="str">
        <f>IFERROR(__xludf.DUMMYFUNCTION("""COMPUTED_VALUE"""),"O-15490-00")</f>
        <v>O-15490-00</v>
      </c>
      <c r="E17" s="6" t="str">
        <f>IFERROR(__xludf.DUMMYFUNCTION("""COMPUTED_VALUE"""),"B63 Brand : Optibelt / Bando Merah; Optibelt; ;")</f>
        <v>B63 Brand : Optibelt / Bando Merah; Optibelt; ;</v>
      </c>
      <c r="F17" s="6">
        <f>IFERROR(__xludf.DUMMYFUNCTION("""COMPUTED_VALUE"""),2.0)</f>
        <v>2</v>
      </c>
      <c r="G17" s="6" t="str">
        <f>IFERROR(__xludf.DUMMYFUNCTION("""COMPUTED_VALUE"""),"Pieces")</f>
        <v>Pieces</v>
      </c>
      <c r="H17" s="6" t="str">
        <f>IFERROR(__xludf.DUMMYFUNCTION("""COMPUTED_VALUE"""),"IDR")</f>
        <v>IDR</v>
      </c>
      <c r="I17" s="11">
        <f>IFERROR(__xludf.DUMMYFUNCTION("""COMPUTED_VALUE"""),141800.0)</f>
        <v>141800</v>
      </c>
      <c r="J17" s="11">
        <f>IFERROR(__xludf.DUMMYFUNCTION("""COMPUTED_VALUE"""),283600.0)</f>
        <v>283600</v>
      </c>
      <c r="K17" s="17">
        <f>IFERROR(__xludf.DUMMYFUNCTION("""COMPUTED_VALUE"""),43171.0)</f>
        <v>43171</v>
      </c>
      <c r="L17" s="6" t="str">
        <f>IFERROR(__xludf.DUMMYFUNCTION("""COMPUTED_VALUE"""),"FIP Engineering")</f>
        <v>FIP Engineering</v>
      </c>
      <c r="M17" s="6" t="str">
        <f>IFERROR(__xludf.DUMMYFUNCTION("""COMPUTED_VALUE"""),"Joko Nugroho")</f>
        <v>Joko Nugroho</v>
      </c>
      <c r="N17" s="6" t="str">
        <f>IFERROR(__xludf.DUMMYFUNCTION("""COMPUTED_VALUE"""),"FIP Engineering")</f>
        <v>FIP Engineering</v>
      </c>
      <c r="O17" s="6" t="str">
        <f>IFERROR(__xludf.DUMMYFUNCTION("""COMPUTED_VALUE"""),"FIP-DOM-000-11304-OS00001-INA-000000")</f>
        <v>FIP-DOM-000-11304-OS00001-INA-000000</v>
      </c>
      <c r="P17" s="6" t="str">
        <f>IFERROR(__xludf.DUMMYFUNCTION("""COMPUTED_VALUE"""),"PO Closed")</f>
        <v>PO Closed</v>
      </c>
      <c r="Q17" s="6" t="str">
        <f>IFERROR(__xludf.DUMMYFUNCTION("""COMPUTED_VALUE"""),"GL1803023")</f>
        <v>GL1803023</v>
      </c>
      <c r="R17" s="16">
        <f>IFERROR(__xludf.DUMMYFUNCTION("""COMPUTED_VALUE"""),43146.0)</f>
        <v>43146</v>
      </c>
      <c r="S17" s="6" t="str">
        <f>IFERROR(__xludf.DUMMYFUNCTION("""COMPUTED_VALUE"""),"-")</f>
        <v>-</v>
      </c>
      <c r="T17" s="13">
        <f>IFERROR(__xludf.DUMMYFUNCTION("""COMPUTED_VALUE"""),43192.0)</f>
        <v>43192</v>
      </c>
    </row>
    <row r="18">
      <c r="A18" s="6" t="str">
        <f>IFERROR(__xludf.DUMMYFUNCTION("""COMPUTED_VALUE"""),"181750057-8")</f>
        <v>181750057-8</v>
      </c>
      <c r="B18" s="6" t="str">
        <f>IFERROR(__xludf.DUMMYFUNCTION("""COMPUTED_VALUE"""),"181750057 - Approved")</f>
        <v>181750057 - Approved</v>
      </c>
      <c r="C18" s="6">
        <f>IFERROR(__xludf.DUMMYFUNCTION("""COMPUTED_VALUE"""),8.0)</f>
        <v>8</v>
      </c>
      <c r="D18" s="6" t="str">
        <f>IFERROR(__xludf.DUMMYFUNCTION("""COMPUTED_VALUE"""),"P-12464-00")</f>
        <v>P-12464-00</v>
      </c>
      <c r="E18" s="6" t="str">
        <f>IFERROR(__xludf.DUMMYFUNCTION("""COMPUTED_VALUE"""),"Lem Aibon 1 gal/ kaleng")</f>
        <v>Lem Aibon 1 gal/ kaleng</v>
      </c>
      <c r="F18" s="6">
        <f>IFERROR(__xludf.DUMMYFUNCTION("""COMPUTED_VALUE"""),1.0)</f>
        <v>1</v>
      </c>
      <c r="G18" s="6" t="str">
        <f>IFERROR(__xludf.DUMMYFUNCTION("""COMPUTED_VALUE"""),"Pieces")</f>
        <v>Pieces</v>
      </c>
      <c r="H18" s="6" t="str">
        <f>IFERROR(__xludf.DUMMYFUNCTION("""COMPUTED_VALUE"""),"IDR")</f>
        <v>IDR</v>
      </c>
      <c r="I18" s="11">
        <f>IFERROR(__xludf.DUMMYFUNCTION("""COMPUTED_VALUE"""),11500.0)</f>
        <v>11500</v>
      </c>
      <c r="J18" s="11">
        <f>IFERROR(__xludf.DUMMYFUNCTION("""COMPUTED_VALUE"""),11500.0)</f>
        <v>11500</v>
      </c>
      <c r="K18" s="17">
        <f>IFERROR(__xludf.DUMMYFUNCTION("""COMPUTED_VALUE"""),43171.0)</f>
        <v>43171</v>
      </c>
      <c r="L18" s="6" t="str">
        <f>IFERROR(__xludf.DUMMYFUNCTION("""COMPUTED_VALUE"""),"FIP Engineering")</f>
        <v>FIP Engineering</v>
      </c>
      <c r="M18" s="6" t="str">
        <f>IFERROR(__xludf.DUMMYFUNCTION("""COMPUTED_VALUE"""),"Joko Nugroho")</f>
        <v>Joko Nugroho</v>
      </c>
      <c r="N18" s="6" t="str">
        <f>IFERROR(__xludf.DUMMYFUNCTION("""COMPUTED_VALUE"""),"FIP Engineering")</f>
        <v>FIP Engineering</v>
      </c>
      <c r="O18" s="6" t="str">
        <f>IFERROR(__xludf.DUMMYFUNCTION("""COMPUTED_VALUE"""),"FIP-DOM-000-11304-OS00001-INA-000000")</f>
        <v>FIP-DOM-000-11304-OS00001-INA-000000</v>
      </c>
      <c r="P18" s="6" t="str">
        <f>IFERROR(__xludf.DUMMYFUNCTION("""COMPUTED_VALUE"""),"PO Closed")</f>
        <v>PO Closed</v>
      </c>
      <c r="Q18" s="6" t="str">
        <f>IFERROR(__xludf.DUMMYFUNCTION("""COMPUTED_VALUE"""),"GL1803022")</f>
        <v>GL1803022</v>
      </c>
      <c r="R18" s="16">
        <f>IFERROR(__xludf.DUMMYFUNCTION("""COMPUTED_VALUE"""),43146.0)</f>
        <v>43146</v>
      </c>
      <c r="S18" s="6" t="str">
        <f>IFERROR(__xludf.DUMMYFUNCTION("""COMPUTED_VALUE"""),"-")</f>
        <v>-</v>
      </c>
      <c r="T18" s="17">
        <f>IFERROR(__xludf.DUMMYFUNCTION("""COMPUTED_VALUE"""),43171.0)</f>
        <v>43171</v>
      </c>
    </row>
    <row r="19">
      <c r="A19" s="6" t="str">
        <f>IFERROR(__xludf.DUMMYFUNCTION("""COMPUTED_VALUE"""),"181750057-9")</f>
        <v>181750057-9</v>
      </c>
      <c r="B19" s="6" t="str">
        <f>IFERROR(__xludf.DUMMYFUNCTION("""COMPUTED_VALUE"""),"181750057 - Approved")</f>
        <v>181750057 - Approved</v>
      </c>
      <c r="C19" s="6">
        <f>IFERROR(__xludf.DUMMYFUNCTION("""COMPUTED_VALUE"""),9.0)</f>
        <v>9</v>
      </c>
      <c r="D19" s="6" t="str">
        <f>IFERROR(__xludf.DUMMYFUNCTION("""COMPUTED_VALUE"""),"Q-10234-00")</f>
        <v>Q-10234-00</v>
      </c>
      <c r="E19" s="6" t="str">
        <f>IFERROR(__xludf.DUMMYFUNCTION("""COMPUTED_VALUE"""),"Silicone Sealant N10 Grey; ; ;")</f>
        <v>Silicone Sealant N10 Grey; ; ;</v>
      </c>
      <c r="F19" s="6">
        <f>IFERROR(__xludf.DUMMYFUNCTION("""COMPUTED_VALUE"""),8.0)</f>
        <v>8</v>
      </c>
      <c r="G19" s="6" t="str">
        <f>IFERROR(__xludf.DUMMYFUNCTION("""COMPUTED_VALUE"""),"Pieces")</f>
        <v>Pieces</v>
      </c>
      <c r="H19" s="6" t="str">
        <f>IFERROR(__xludf.DUMMYFUNCTION("""COMPUTED_VALUE"""),"IDR")</f>
        <v>IDR</v>
      </c>
      <c r="I19" s="11">
        <f>IFERROR(__xludf.DUMMYFUNCTION("""COMPUTED_VALUE"""),45000.0)</f>
        <v>45000</v>
      </c>
      <c r="J19" s="11">
        <f>IFERROR(__xludf.DUMMYFUNCTION("""COMPUTED_VALUE"""),360000.0)</f>
        <v>360000</v>
      </c>
      <c r="K19" s="17">
        <f>IFERROR(__xludf.DUMMYFUNCTION("""COMPUTED_VALUE"""),43171.0)</f>
        <v>43171</v>
      </c>
      <c r="L19" s="6" t="str">
        <f>IFERROR(__xludf.DUMMYFUNCTION("""COMPUTED_VALUE"""),"FIP Engineering")</f>
        <v>FIP Engineering</v>
      </c>
      <c r="M19" s="6" t="str">
        <f>IFERROR(__xludf.DUMMYFUNCTION("""COMPUTED_VALUE"""),"Joko Nugroho")</f>
        <v>Joko Nugroho</v>
      </c>
      <c r="N19" s="6" t="str">
        <f>IFERROR(__xludf.DUMMYFUNCTION("""COMPUTED_VALUE"""),"FIP Engineering")</f>
        <v>FIP Engineering</v>
      </c>
      <c r="O19" s="6" t="str">
        <f>IFERROR(__xludf.DUMMYFUNCTION("""COMPUTED_VALUE"""),"FIP-DOM-000-11304-OS00001-INA-000000")</f>
        <v>FIP-DOM-000-11304-OS00001-INA-000000</v>
      </c>
      <c r="P19" s="6" t="str">
        <f>IFERROR(__xludf.DUMMYFUNCTION("""COMPUTED_VALUE"""),"PO Closed")</f>
        <v>PO Closed</v>
      </c>
      <c r="Q19" s="6" t="str">
        <f>IFERROR(__xludf.DUMMYFUNCTION("""COMPUTED_VALUE"""),"GL1803022")</f>
        <v>GL1803022</v>
      </c>
      <c r="R19" s="16">
        <f>IFERROR(__xludf.DUMMYFUNCTION("""COMPUTED_VALUE"""),43146.0)</f>
        <v>43146</v>
      </c>
      <c r="S19" s="6" t="str">
        <f>IFERROR(__xludf.DUMMYFUNCTION("""COMPUTED_VALUE"""),"-")</f>
        <v>-</v>
      </c>
      <c r="T19" s="13">
        <f>IFERROR(__xludf.DUMMYFUNCTION("""COMPUTED_VALUE"""),43171.0)</f>
        <v>43171</v>
      </c>
    </row>
    <row r="20">
      <c r="A20" s="6" t="str">
        <f>IFERROR(__xludf.DUMMYFUNCTION("""COMPUTED_VALUE"""),"181750058-5")</f>
        <v>181750058-5</v>
      </c>
      <c r="B20" s="6" t="str">
        <f>IFERROR(__xludf.DUMMYFUNCTION("""COMPUTED_VALUE"""),"181750058 - Approved")</f>
        <v>181750058 - Approved</v>
      </c>
      <c r="C20" s="6">
        <f>IFERROR(__xludf.DUMMYFUNCTION("""COMPUTED_VALUE"""),5.0)</f>
        <v>5</v>
      </c>
      <c r="D20" s="6" t="str">
        <f>IFERROR(__xludf.DUMMYFUNCTION("""COMPUTED_VALUE"""),"O-15820-00")</f>
        <v>O-15820-00</v>
      </c>
      <c r="E20" s="6" t="str">
        <f>IFERROR(__xludf.DUMMYFUNCTION("""COMPUTED_VALUE"""),"MCB Schneider C60H 1 phase 1 pole 2 A 100000A")</f>
        <v>MCB Schneider C60H 1 phase 1 pole 2 A 100000A</v>
      </c>
      <c r="F20" s="6">
        <f>IFERROR(__xludf.DUMMYFUNCTION("""COMPUTED_VALUE"""),2.0)</f>
        <v>2</v>
      </c>
      <c r="G20" s="6" t="str">
        <f>IFERROR(__xludf.DUMMYFUNCTION("""COMPUTED_VALUE"""),"Pieces")</f>
        <v>Pieces</v>
      </c>
      <c r="H20" s="6" t="str">
        <f>IFERROR(__xludf.DUMMYFUNCTION("""COMPUTED_VALUE"""),"IDR")</f>
        <v>IDR</v>
      </c>
      <c r="I20" s="11">
        <f>IFERROR(__xludf.DUMMYFUNCTION("""COMPUTED_VALUE"""),118500.0)</f>
        <v>118500</v>
      </c>
      <c r="J20" s="11">
        <f>IFERROR(__xludf.DUMMYFUNCTION("""COMPUTED_VALUE"""),237000.0)</f>
        <v>237000</v>
      </c>
      <c r="K20" s="17">
        <f>IFERROR(__xludf.DUMMYFUNCTION("""COMPUTED_VALUE"""),43171.0)</f>
        <v>43171</v>
      </c>
      <c r="L20" s="6" t="str">
        <f>IFERROR(__xludf.DUMMYFUNCTION("""COMPUTED_VALUE"""),"FIP Engineering")</f>
        <v>FIP Engineering</v>
      </c>
      <c r="M20" s="6" t="str">
        <f>IFERROR(__xludf.DUMMYFUNCTION("""COMPUTED_VALUE"""),"Joko Nugroho")</f>
        <v>Joko Nugroho</v>
      </c>
      <c r="N20" s="6" t="str">
        <f>IFERROR(__xludf.DUMMYFUNCTION("""COMPUTED_VALUE"""),"FIP Engineering")</f>
        <v>FIP Engineering</v>
      </c>
      <c r="O20" s="6" t="str">
        <f>IFERROR(__xludf.DUMMYFUNCTION("""COMPUTED_VALUE"""),"FIP-DOM-000-11304-OS00001-INA-000000")</f>
        <v>FIP-DOM-000-11304-OS00001-INA-000000</v>
      </c>
      <c r="P20" s="6" t="str">
        <f>IFERROR(__xludf.DUMMYFUNCTION("""COMPUTED_VALUE"""),"PO Closed")</f>
        <v>PO Closed</v>
      </c>
      <c r="Q20" s="6" t="str">
        <f>IFERROR(__xludf.DUMMYFUNCTION("""COMPUTED_VALUE"""),"GL1715059")</f>
        <v>GL1715059</v>
      </c>
      <c r="R20" s="16">
        <f>IFERROR(__xludf.DUMMYFUNCTION("""COMPUTED_VALUE"""),43149.0)</f>
        <v>43149</v>
      </c>
      <c r="S20" s="6" t="str">
        <f>IFERROR(__xludf.DUMMYFUNCTION("""COMPUTED_VALUE"""),"-")</f>
        <v>-</v>
      </c>
      <c r="T20" s="17">
        <f>IFERROR(__xludf.DUMMYFUNCTION("""COMPUTED_VALUE"""),43174.0)</f>
        <v>43174</v>
      </c>
    </row>
    <row r="21">
      <c r="A21" s="6" t="str">
        <f>IFERROR(__xludf.DUMMYFUNCTION("""COMPUTED_VALUE"""),"181750057-10")</f>
        <v>181750057-10</v>
      </c>
      <c r="B21" s="6" t="str">
        <f>IFERROR(__xludf.DUMMYFUNCTION("""COMPUTED_VALUE"""),"181750057 - Approved")</f>
        <v>181750057 - Approved</v>
      </c>
      <c r="C21" s="6">
        <f>IFERROR(__xludf.DUMMYFUNCTION("""COMPUTED_VALUE"""),10.0)</f>
        <v>10</v>
      </c>
      <c r="D21" s="6" t="str">
        <f>IFERROR(__xludf.DUMMYFUNCTION("""COMPUTED_VALUE"""),"P-14455-00")</f>
        <v>P-14455-00</v>
      </c>
      <c r="E21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21" s="6">
        <f>IFERROR(__xludf.DUMMYFUNCTION("""COMPUTED_VALUE"""),6.0)</f>
        <v>6</v>
      </c>
      <c r="G21" s="6" t="str">
        <f>IFERROR(__xludf.DUMMYFUNCTION("""COMPUTED_VALUE"""),"Pieces")</f>
        <v>Pieces</v>
      </c>
      <c r="H21" s="6" t="str">
        <f>IFERROR(__xludf.DUMMYFUNCTION("""COMPUTED_VALUE"""),"IDR")</f>
        <v>IDR</v>
      </c>
      <c r="I21" s="11">
        <f>IFERROR(__xludf.DUMMYFUNCTION("""COMPUTED_VALUE"""),1600000.0)</f>
        <v>1600000</v>
      </c>
      <c r="J21" s="11">
        <f>IFERROR(__xludf.DUMMYFUNCTION("""COMPUTED_VALUE"""),9600000.0)</f>
        <v>9600000</v>
      </c>
      <c r="K21" s="17">
        <f>IFERROR(__xludf.DUMMYFUNCTION("""COMPUTED_VALUE"""),43178.0)</f>
        <v>43178</v>
      </c>
      <c r="L21" s="6" t="str">
        <f>IFERROR(__xludf.DUMMYFUNCTION("""COMPUTED_VALUE"""),"FIP Engineering")</f>
        <v>FIP Engineering</v>
      </c>
      <c r="M21" s="6" t="str">
        <f>IFERROR(__xludf.DUMMYFUNCTION("""COMPUTED_VALUE"""),"Joko Nugroho")</f>
        <v>Joko Nugroho</v>
      </c>
      <c r="N21" s="6" t="str">
        <f>IFERROR(__xludf.DUMMYFUNCTION("""COMPUTED_VALUE"""),"FIP Engineering")</f>
        <v>FIP Engineering</v>
      </c>
      <c r="O21" s="6" t="str">
        <f>IFERROR(__xludf.DUMMYFUNCTION("""COMPUTED_VALUE"""),"FIP-DOM-000-11304-OS00001-INA-000000")</f>
        <v>FIP-DOM-000-11304-OS00001-INA-000000</v>
      </c>
      <c r="P21" s="6" t="str">
        <f>IFERROR(__xludf.DUMMYFUNCTION("""COMPUTED_VALUE"""),"PO Closed")</f>
        <v>PO Closed</v>
      </c>
      <c r="Q21" s="6" t="str">
        <f>IFERROR(__xludf.DUMMYFUNCTION("""COMPUTED_VALUE"""),"GL1803025")</f>
        <v>GL1803025</v>
      </c>
      <c r="R21" s="16">
        <f>IFERROR(__xludf.DUMMYFUNCTION("""COMPUTED_VALUE"""),43151.0)</f>
        <v>43151</v>
      </c>
      <c r="S21" s="6" t="str">
        <f>IFERROR(__xludf.DUMMYFUNCTION("""COMPUTED_VALUE"""),"-")</f>
        <v>-</v>
      </c>
      <c r="T21" s="17">
        <f>IFERROR(__xludf.DUMMYFUNCTION("""COMPUTED_VALUE"""),43187.0)</f>
        <v>43187</v>
      </c>
    </row>
    <row r="22">
      <c r="A22" s="6" t="str">
        <f>IFERROR(__xludf.DUMMYFUNCTION("""COMPUTED_VALUE"""),"181750057-11")</f>
        <v>181750057-11</v>
      </c>
      <c r="B22" s="6" t="str">
        <f>IFERROR(__xludf.DUMMYFUNCTION("""COMPUTED_VALUE"""),"181750057 - Approved")</f>
        <v>181750057 - Approved</v>
      </c>
      <c r="C22" s="6">
        <f>IFERROR(__xludf.DUMMYFUNCTION("""COMPUTED_VALUE"""),11.0)</f>
        <v>11</v>
      </c>
      <c r="D22" s="6" t="str">
        <f>IFERROR(__xludf.DUMMYFUNCTION("""COMPUTED_VALUE"""),"P-14456-00")</f>
        <v>P-14456-00</v>
      </c>
      <c r="E22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22" s="6">
        <f>IFERROR(__xludf.DUMMYFUNCTION("""COMPUTED_VALUE"""),7.0)</f>
        <v>7</v>
      </c>
      <c r="G22" s="6" t="str">
        <f>IFERROR(__xludf.DUMMYFUNCTION("""COMPUTED_VALUE"""),"Pieces")</f>
        <v>Pieces</v>
      </c>
      <c r="H22" s="6" t="str">
        <f>IFERROR(__xludf.DUMMYFUNCTION("""COMPUTED_VALUE"""),"IDR")</f>
        <v>IDR</v>
      </c>
      <c r="I22" s="11">
        <f>IFERROR(__xludf.DUMMYFUNCTION("""COMPUTED_VALUE"""),540000.0)</f>
        <v>540000</v>
      </c>
      <c r="J22" s="11">
        <f>IFERROR(__xludf.DUMMYFUNCTION("""COMPUTED_VALUE"""),3780000.0)</f>
        <v>3780000</v>
      </c>
      <c r="K22" s="17">
        <f>IFERROR(__xludf.DUMMYFUNCTION("""COMPUTED_VALUE"""),43178.0)</f>
        <v>43178</v>
      </c>
      <c r="L22" s="6" t="str">
        <f>IFERROR(__xludf.DUMMYFUNCTION("""COMPUTED_VALUE"""),"FIP Engineering")</f>
        <v>FIP Engineering</v>
      </c>
      <c r="M22" s="6" t="str">
        <f>IFERROR(__xludf.DUMMYFUNCTION("""COMPUTED_VALUE"""),"Joko Nugroho")</f>
        <v>Joko Nugroho</v>
      </c>
      <c r="N22" s="6" t="str">
        <f>IFERROR(__xludf.DUMMYFUNCTION("""COMPUTED_VALUE"""),"FIP Engineering")</f>
        <v>FIP Engineering</v>
      </c>
      <c r="O22" s="6" t="str">
        <f>IFERROR(__xludf.DUMMYFUNCTION("""COMPUTED_VALUE"""),"FIP-DOM-000-11304-OS00001-INA-000000")</f>
        <v>FIP-DOM-000-11304-OS00001-INA-000000</v>
      </c>
      <c r="P22" s="6" t="str">
        <f>IFERROR(__xludf.DUMMYFUNCTION("""COMPUTED_VALUE"""),"PO Closed")</f>
        <v>PO Closed</v>
      </c>
      <c r="Q22" s="6" t="str">
        <f>IFERROR(__xludf.DUMMYFUNCTION("""COMPUTED_VALUE"""),"GL1803025")</f>
        <v>GL1803025</v>
      </c>
      <c r="R22" s="16">
        <f>IFERROR(__xludf.DUMMYFUNCTION("""COMPUTED_VALUE"""),43151.0)</f>
        <v>43151</v>
      </c>
      <c r="S22" s="6" t="str">
        <f>IFERROR(__xludf.DUMMYFUNCTION("""COMPUTED_VALUE"""),"-")</f>
        <v>-</v>
      </c>
      <c r="T22" s="13">
        <f>IFERROR(__xludf.DUMMYFUNCTION("""COMPUTED_VALUE"""),43187.0)</f>
        <v>43187</v>
      </c>
    </row>
    <row r="23">
      <c r="A23" s="6" t="str">
        <f>IFERROR(__xludf.DUMMYFUNCTION("""COMPUTED_VALUE"""),"181750057-12")</f>
        <v>181750057-12</v>
      </c>
      <c r="B23" s="6" t="str">
        <f>IFERROR(__xludf.DUMMYFUNCTION("""COMPUTED_VALUE"""),"181750057 - Approved")</f>
        <v>181750057 - Approved</v>
      </c>
      <c r="C23" s="6">
        <f>IFERROR(__xludf.DUMMYFUNCTION("""COMPUTED_VALUE"""),12.0)</f>
        <v>12</v>
      </c>
      <c r="D23" s="6" t="str">
        <f>IFERROR(__xludf.DUMMYFUNCTION("""COMPUTED_VALUE"""),"P-14457-00")</f>
        <v>P-14457-00</v>
      </c>
      <c r="E23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23" s="6">
        <f>IFERROR(__xludf.DUMMYFUNCTION("""COMPUTED_VALUE"""),8.0)</f>
        <v>8</v>
      </c>
      <c r="G23" s="6" t="str">
        <f>IFERROR(__xludf.DUMMYFUNCTION("""COMPUTED_VALUE"""),"Pieces")</f>
        <v>Pieces</v>
      </c>
      <c r="H23" s="6" t="str">
        <f>IFERROR(__xludf.DUMMYFUNCTION("""COMPUTED_VALUE"""),"IDR")</f>
        <v>IDR</v>
      </c>
      <c r="I23" s="11">
        <f>IFERROR(__xludf.DUMMYFUNCTION("""COMPUTED_VALUE"""),1800000.0)</f>
        <v>1800000</v>
      </c>
      <c r="J23" s="11">
        <f>IFERROR(__xludf.DUMMYFUNCTION("""COMPUTED_VALUE"""),1.44E7)</f>
        <v>14400000</v>
      </c>
      <c r="K23" s="17">
        <f>IFERROR(__xludf.DUMMYFUNCTION("""COMPUTED_VALUE"""),43178.0)</f>
        <v>43178</v>
      </c>
      <c r="L23" s="6" t="str">
        <f>IFERROR(__xludf.DUMMYFUNCTION("""COMPUTED_VALUE"""),"FIP Engineering")</f>
        <v>FIP Engineering</v>
      </c>
      <c r="M23" s="6" t="str">
        <f>IFERROR(__xludf.DUMMYFUNCTION("""COMPUTED_VALUE"""),"Joko Nugroho")</f>
        <v>Joko Nugroho</v>
      </c>
      <c r="N23" s="6" t="str">
        <f>IFERROR(__xludf.DUMMYFUNCTION("""COMPUTED_VALUE"""),"FIP Engineering")</f>
        <v>FIP Engineering</v>
      </c>
      <c r="O23" s="6" t="str">
        <f>IFERROR(__xludf.DUMMYFUNCTION("""COMPUTED_VALUE"""),"FIP-DOM-000-11304-OS00001-INA-000000")</f>
        <v>FIP-DOM-000-11304-OS00001-INA-000000</v>
      </c>
      <c r="P23" s="6" t="str">
        <f>IFERROR(__xludf.DUMMYFUNCTION("""COMPUTED_VALUE"""),"PO Closed")</f>
        <v>PO Closed</v>
      </c>
      <c r="Q23" s="6" t="str">
        <f>IFERROR(__xludf.DUMMYFUNCTION("""COMPUTED_VALUE"""),"GL1803025")</f>
        <v>GL1803025</v>
      </c>
      <c r="R23" s="16">
        <f>IFERROR(__xludf.DUMMYFUNCTION("""COMPUTED_VALUE"""),43151.0)</f>
        <v>43151</v>
      </c>
      <c r="S23" s="6" t="str">
        <f>IFERROR(__xludf.DUMMYFUNCTION("""COMPUTED_VALUE"""),"-")</f>
        <v>-</v>
      </c>
      <c r="T23" s="17">
        <f>IFERROR(__xludf.DUMMYFUNCTION("""COMPUTED_VALUE"""),43187.0)</f>
        <v>43187</v>
      </c>
    </row>
    <row r="24">
      <c r="A24" s="6" t="str">
        <f>IFERROR(__xludf.DUMMYFUNCTION("""COMPUTED_VALUE"""),"181750057-13")</f>
        <v>181750057-13</v>
      </c>
      <c r="B24" s="6" t="str">
        <f>IFERROR(__xludf.DUMMYFUNCTION("""COMPUTED_VALUE"""),"181750057 - Approved")</f>
        <v>181750057 - Approved</v>
      </c>
      <c r="C24" s="6">
        <f>IFERROR(__xludf.DUMMYFUNCTION("""COMPUTED_VALUE"""),13.0)</f>
        <v>13</v>
      </c>
      <c r="D24" s="6" t="str">
        <f>IFERROR(__xludf.DUMMYFUNCTION("""COMPUTED_VALUE"""),"P-14458-00")</f>
        <v>P-14458-00</v>
      </c>
      <c r="E24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24" s="6">
        <f>IFERROR(__xludf.DUMMYFUNCTION("""COMPUTED_VALUE"""),3.0)</f>
        <v>3</v>
      </c>
      <c r="G24" s="6" t="str">
        <f>IFERROR(__xludf.DUMMYFUNCTION("""COMPUTED_VALUE"""),"Pieces")</f>
        <v>Pieces</v>
      </c>
      <c r="H24" s="6" t="str">
        <f>IFERROR(__xludf.DUMMYFUNCTION("""COMPUTED_VALUE"""),"IDR")</f>
        <v>IDR</v>
      </c>
      <c r="I24" s="11">
        <f>IFERROR(__xludf.DUMMYFUNCTION("""COMPUTED_VALUE"""),1200000.0)</f>
        <v>1200000</v>
      </c>
      <c r="J24" s="11">
        <f>IFERROR(__xludf.DUMMYFUNCTION("""COMPUTED_VALUE"""),3600000.0)</f>
        <v>3600000</v>
      </c>
      <c r="K24" s="17">
        <f>IFERROR(__xludf.DUMMYFUNCTION("""COMPUTED_VALUE"""),43178.0)</f>
        <v>43178</v>
      </c>
      <c r="L24" s="6" t="str">
        <f>IFERROR(__xludf.DUMMYFUNCTION("""COMPUTED_VALUE"""),"FIP Engineering")</f>
        <v>FIP Engineering</v>
      </c>
      <c r="M24" s="6" t="str">
        <f>IFERROR(__xludf.DUMMYFUNCTION("""COMPUTED_VALUE"""),"Joko Nugroho")</f>
        <v>Joko Nugroho</v>
      </c>
      <c r="N24" s="6" t="str">
        <f>IFERROR(__xludf.DUMMYFUNCTION("""COMPUTED_VALUE"""),"FIP Engineering")</f>
        <v>FIP Engineering</v>
      </c>
      <c r="O24" s="6" t="str">
        <f>IFERROR(__xludf.DUMMYFUNCTION("""COMPUTED_VALUE"""),"FIP-DOM-000-11304-OS00001-INA-000000")</f>
        <v>FIP-DOM-000-11304-OS00001-INA-000000</v>
      </c>
      <c r="P24" s="6" t="str">
        <f>IFERROR(__xludf.DUMMYFUNCTION("""COMPUTED_VALUE"""),"PO Closed")</f>
        <v>PO Closed</v>
      </c>
      <c r="Q24" s="6" t="str">
        <f>IFERROR(__xludf.DUMMYFUNCTION("""COMPUTED_VALUE"""),"GL1803025")</f>
        <v>GL1803025</v>
      </c>
      <c r="R24" s="16">
        <f>IFERROR(__xludf.DUMMYFUNCTION("""COMPUTED_VALUE"""),43151.0)</f>
        <v>43151</v>
      </c>
      <c r="S24" s="6" t="str">
        <f>IFERROR(__xludf.DUMMYFUNCTION("""COMPUTED_VALUE"""),"-")</f>
        <v>-</v>
      </c>
      <c r="T24" s="13">
        <f>IFERROR(__xludf.DUMMYFUNCTION("""COMPUTED_VALUE"""),43187.0)</f>
        <v>43187</v>
      </c>
    </row>
    <row r="25">
      <c r="A25" s="6" t="str">
        <f>IFERROR(__xludf.DUMMYFUNCTION("""COMPUTED_VALUE"""),"181750060-2")</f>
        <v>181750060-2</v>
      </c>
      <c r="B25" s="6" t="str">
        <f>IFERROR(__xludf.DUMMYFUNCTION("""COMPUTED_VALUE"""),"181750060 - Approved")</f>
        <v>181750060 - Approved</v>
      </c>
      <c r="C25" s="6">
        <f>IFERROR(__xludf.DUMMYFUNCTION("""COMPUTED_VALUE"""),2.0)</f>
        <v>2</v>
      </c>
      <c r="D25" s="6" t="str">
        <f>IFERROR(__xludf.DUMMYFUNCTION("""COMPUTED_VALUE"""),"O-15918-00")</f>
        <v>O-15918-00</v>
      </c>
      <c r="E25" s="6" t="str">
        <f>IFERROR(__xludf.DUMMYFUNCTION("""COMPUTED_VALUE"""),"Fedegari FVA2/A1 - O-RING 15.47x3.53 ; Code : CC150170; ; ;")</f>
        <v>Fedegari FVA2/A1 - O-RING 15.47x3.53 ; Code : CC150170; ; ;</v>
      </c>
      <c r="F25" s="6">
        <f>IFERROR(__xludf.DUMMYFUNCTION("""COMPUTED_VALUE"""),5.0)</f>
        <v>5</v>
      </c>
      <c r="G25" s="6" t="str">
        <f>IFERROR(__xludf.DUMMYFUNCTION("""COMPUTED_VALUE"""),"Unit")</f>
        <v>Unit</v>
      </c>
      <c r="H25" s="6" t="str">
        <f>IFERROR(__xludf.DUMMYFUNCTION("""COMPUTED_VALUE"""),"EUR")</f>
        <v>EUR</v>
      </c>
      <c r="I25" s="11">
        <f>IFERROR(__xludf.DUMMYFUNCTION("""COMPUTED_VALUE"""),3.66)</f>
        <v>3.66</v>
      </c>
      <c r="J25" s="11">
        <f>IFERROR(__xludf.DUMMYFUNCTION("""COMPUTED_VALUE"""),18.3)</f>
        <v>18.3</v>
      </c>
      <c r="K25" s="17">
        <f>IFERROR(__xludf.DUMMYFUNCTION("""COMPUTED_VALUE"""),43221.0)</f>
        <v>43221</v>
      </c>
      <c r="L25" s="6" t="str">
        <f>IFERROR(__xludf.DUMMYFUNCTION("""COMPUTED_VALUE"""),"FIP Engineering")</f>
        <v>FIP Engineering</v>
      </c>
      <c r="M25" s="6" t="str">
        <f>IFERROR(__xludf.DUMMYFUNCTION("""COMPUTED_VALUE"""),"Joko Nugroho")</f>
        <v>Joko Nugroho</v>
      </c>
      <c r="N25" s="6" t="str">
        <f>IFERROR(__xludf.DUMMYFUNCTION("""COMPUTED_VALUE"""),"FIP Engineering")</f>
        <v>FIP Engineering</v>
      </c>
      <c r="O25" s="6" t="str">
        <f>IFERROR(__xludf.DUMMYFUNCTION("""COMPUTED_VALUE"""),"FIP-DOM-000-11304-OS00001-INA-000000")</f>
        <v>FIP-DOM-000-11304-OS00001-INA-000000</v>
      </c>
      <c r="P25" s="6" t="str">
        <f>IFERROR(__xludf.DUMMYFUNCTION("""COMPUTED_VALUE"""),"PO Closed")</f>
        <v>PO Closed</v>
      </c>
      <c r="Q25" s="6" t="str">
        <f>IFERROR(__xludf.DUMMYFUNCTION("""COMPUTED_VALUE"""),"GL1803040")</f>
        <v>GL1803040</v>
      </c>
      <c r="R25" s="16">
        <f>IFERROR(__xludf.DUMMYFUNCTION("""COMPUTED_VALUE"""),43153.0)</f>
        <v>43153</v>
      </c>
      <c r="S25" s="6" t="str">
        <f>IFERROR(__xludf.DUMMYFUNCTION("""COMPUTED_VALUE"""),"-")</f>
        <v>-</v>
      </c>
      <c r="T25" s="17">
        <f>IFERROR(__xludf.DUMMYFUNCTION("""COMPUTED_VALUE"""),43279.0)</f>
        <v>43279</v>
      </c>
    </row>
    <row r="26">
      <c r="A26" s="6" t="str">
        <f>IFERROR(__xludf.DUMMYFUNCTION("""COMPUTED_VALUE"""),"181750060-3")</f>
        <v>181750060-3</v>
      </c>
      <c r="B26" s="6" t="str">
        <f>IFERROR(__xludf.DUMMYFUNCTION("""COMPUTED_VALUE"""),"181750060 - Approved")</f>
        <v>181750060 - Approved</v>
      </c>
      <c r="C26" s="6">
        <f>IFERROR(__xludf.DUMMYFUNCTION("""COMPUTED_VALUE"""),3.0)</f>
        <v>3</v>
      </c>
      <c r="D26" s="6" t="str">
        <f>IFERROR(__xludf.DUMMYFUNCTION("""COMPUTED_VALUE"""),"O-15917-00")</f>
        <v>O-15917-00</v>
      </c>
      <c r="E26" s="6" t="str">
        <f>IFERROR(__xludf.DUMMYFUNCTION("""COMPUTED_VALUE"""),"Fedegari FVA2/A1 - CENTERING RING DN16 CLAMP; Code : PP100907; ; ;")</f>
        <v>Fedegari FVA2/A1 - CENTERING RING DN16 CLAMP; Code : PP100907; ; ;</v>
      </c>
      <c r="F26" s="6">
        <f>IFERROR(__xludf.DUMMYFUNCTION("""COMPUTED_VALUE"""),5.0)</f>
        <v>5</v>
      </c>
      <c r="G26" s="6" t="str">
        <f>IFERROR(__xludf.DUMMYFUNCTION("""COMPUTED_VALUE"""),"Unit")</f>
        <v>Unit</v>
      </c>
      <c r="H26" s="6" t="str">
        <f>IFERROR(__xludf.DUMMYFUNCTION("""COMPUTED_VALUE"""),"EUR")</f>
        <v>EUR</v>
      </c>
      <c r="I26" s="11">
        <f>IFERROR(__xludf.DUMMYFUNCTION("""COMPUTED_VALUE"""),6.58)</f>
        <v>6.58</v>
      </c>
      <c r="J26" s="11">
        <f>IFERROR(__xludf.DUMMYFUNCTION("""COMPUTED_VALUE"""),32.9)</f>
        <v>32.9</v>
      </c>
      <c r="K26" s="13">
        <f>IFERROR(__xludf.DUMMYFUNCTION("""COMPUTED_VALUE"""),43221.0)</f>
        <v>43221</v>
      </c>
      <c r="L26" s="6" t="str">
        <f>IFERROR(__xludf.DUMMYFUNCTION("""COMPUTED_VALUE"""),"FIP Engineering")</f>
        <v>FIP Engineering</v>
      </c>
      <c r="M26" s="6" t="str">
        <f>IFERROR(__xludf.DUMMYFUNCTION("""COMPUTED_VALUE"""),"Joko Nugroho")</f>
        <v>Joko Nugroho</v>
      </c>
      <c r="N26" s="6" t="str">
        <f>IFERROR(__xludf.DUMMYFUNCTION("""COMPUTED_VALUE"""),"FIP Engineering")</f>
        <v>FIP Engineering</v>
      </c>
      <c r="O26" s="6" t="str">
        <f>IFERROR(__xludf.DUMMYFUNCTION("""COMPUTED_VALUE"""),"FIP-DOM-000-11304-OS00001-INA-000000")</f>
        <v>FIP-DOM-000-11304-OS00001-INA-000000</v>
      </c>
      <c r="P26" s="6" t="str">
        <f>IFERROR(__xludf.DUMMYFUNCTION("""COMPUTED_VALUE"""),"PO Closed")</f>
        <v>PO Closed</v>
      </c>
      <c r="Q26" s="6" t="str">
        <f>IFERROR(__xludf.DUMMYFUNCTION("""COMPUTED_VALUE"""),"GL1803040")</f>
        <v>GL1803040</v>
      </c>
      <c r="R26" s="16">
        <f>IFERROR(__xludf.DUMMYFUNCTION("""COMPUTED_VALUE"""),43153.0)</f>
        <v>43153</v>
      </c>
      <c r="S26" s="6" t="str">
        <f>IFERROR(__xludf.DUMMYFUNCTION("""COMPUTED_VALUE"""),"-")</f>
        <v>-</v>
      </c>
      <c r="T26" s="13">
        <f>IFERROR(__xludf.DUMMYFUNCTION("""COMPUTED_VALUE"""),43279.0)</f>
        <v>43279</v>
      </c>
    </row>
    <row r="27">
      <c r="A27" s="6" t="str">
        <f>IFERROR(__xludf.DUMMYFUNCTION("""COMPUTED_VALUE"""),"181750060-4")</f>
        <v>181750060-4</v>
      </c>
      <c r="B27" s="6" t="str">
        <f>IFERROR(__xludf.DUMMYFUNCTION("""COMPUTED_VALUE"""),"181750060 - Approved")</f>
        <v>181750060 - Approved</v>
      </c>
      <c r="C27" s="6">
        <f>IFERROR(__xludf.DUMMYFUNCTION("""COMPUTED_VALUE"""),4.0)</f>
        <v>4</v>
      </c>
      <c r="D27" s="6" t="str">
        <f>IFERROR(__xludf.DUMMYFUNCTION("""COMPUTED_VALUE"""),"O-15916-00")</f>
        <v>O-15916-00</v>
      </c>
      <c r="E27" s="6" t="str">
        <f>IFERROR(__xludf.DUMMYFUNCTION("""COMPUTED_VALUE"""),"Fedegari FVA2/A1 - CLAMP DN10 1/2"" (MICROCASTED); Code : GM100017; ; ;")</f>
        <v>Fedegari FVA2/A1 - CLAMP DN10 1/2" (MICROCASTED); Code : GM100017; ; ;</v>
      </c>
      <c r="F27" s="6">
        <f>IFERROR(__xludf.DUMMYFUNCTION("""COMPUTED_VALUE"""),2.0)</f>
        <v>2</v>
      </c>
      <c r="G27" s="6" t="str">
        <f>IFERROR(__xludf.DUMMYFUNCTION("""COMPUTED_VALUE"""),"Unit")</f>
        <v>Unit</v>
      </c>
      <c r="H27" s="6" t="str">
        <f>IFERROR(__xludf.DUMMYFUNCTION("""COMPUTED_VALUE"""),"EUR")</f>
        <v>EUR</v>
      </c>
      <c r="I27" s="11">
        <f>IFERROR(__xludf.DUMMYFUNCTION("""COMPUTED_VALUE"""),37.28)</f>
        <v>37.28</v>
      </c>
      <c r="J27" s="11">
        <f>IFERROR(__xludf.DUMMYFUNCTION("""COMPUTED_VALUE"""),74.56)</f>
        <v>74.56</v>
      </c>
      <c r="K27" s="17">
        <f>IFERROR(__xludf.DUMMYFUNCTION("""COMPUTED_VALUE"""),43221.0)</f>
        <v>43221</v>
      </c>
      <c r="L27" s="6" t="str">
        <f>IFERROR(__xludf.DUMMYFUNCTION("""COMPUTED_VALUE"""),"FIP Engineering")</f>
        <v>FIP Engineering</v>
      </c>
      <c r="M27" s="6" t="str">
        <f>IFERROR(__xludf.DUMMYFUNCTION("""COMPUTED_VALUE"""),"Joko Nugroho")</f>
        <v>Joko Nugroho</v>
      </c>
      <c r="N27" s="6" t="str">
        <f>IFERROR(__xludf.DUMMYFUNCTION("""COMPUTED_VALUE"""),"FIP Engineering")</f>
        <v>FIP Engineering</v>
      </c>
      <c r="O27" s="6" t="str">
        <f>IFERROR(__xludf.DUMMYFUNCTION("""COMPUTED_VALUE"""),"FIP-DOM-000-11304-OS00001-INA-000000")</f>
        <v>FIP-DOM-000-11304-OS00001-INA-000000</v>
      </c>
      <c r="P27" s="6" t="str">
        <f>IFERROR(__xludf.DUMMYFUNCTION("""COMPUTED_VALUE"""),"PO Closed")</f>
        <v>PO Closed</v>
      </c>
      <c r="Q27" s="6" t="str">
        <f>IFERROR(__xludf.DUMMYFUNCTION("""COMPUTED_VALUE"""),"GL1803040")</f>
        <v>GL1803040</v>
      </c>
      <c r="R27" s="16">
        <f>IFERROR(__xludf.DUMMYFUNCTION("""COMPUTED_VALUE"""),43153.0)</f>
        <v>43153</v>
      </c>
      <c r="S27" s="6" t="str">
        <f>IFERROR(__xludf.DUMMYFUNCTION("""COMPUTED_VALUE"""),"-")</f>
        <v>-</v>
      </c>
      <c r="T27" s="17">
        <f>IFERROR(__xludf.DUMMYFUNCTION("""COMPUTED_VALUE"""),43279.0)</f>
        <v>43279</v>
      </c>
    </row>
    <row r="28">
      <c r="A28" s="6" t="str">
        <f>IFERROR(__xludf.DUMMYFUNCTION("""COMPUTED_VALUE"""),"181750060-5")</f>
        <v>181750060-5</v>
      </c>
      <c r="B28" s="6" t="str">
        <f>IFERROR(__xludf.DUMMYFUNCTION("""COMPUTED_VALUE"""),"181750060 - Approved")</f>
        <v>181750060 - Approved</v>
      </c>
      <c r="C28" s="6">
        <f>IFERROR(__xludf.DUMMYFUNCTION("""COMPUTED_VALUE"""),5.0)</f>
        <v>5</v>
      </c>
      <c r="D28" s="6" t="str">
        <f>IFERROR(__xludf.DUMMYFUNCTION("""COMPUTED_VALUE"""),"O-15915-00")</f>
        <v>O-15915-00</v>
      </c>
      <c r="E28" s="6" t="str">
        <f>IFERROR(__xludf.DUMMYFUNCTION("""COMPUTED_VALUE"""),"Fedegari FVA2/A1 - DN16 ASTM CAP; Code : PM102747; ; ;")</f>
        <v>Fedegari FVA2/A1 - DN16 ASTM CAP; Code : PM102747; ; ;</v>
      </c>
      <c r="F28" s="6">
        <f>IFERROR(__xludf.DUMMYFUNCTION("""COMPUTED_VALUE"""),1.0)</f>
        <v>1</v>
      </c>
      <c r="G28" s="6" t="str">
        <f>IFERROR(__xludf.DUMMYFUNCTION("""COMPUTED_VALUE"""),"Unit")</f>
        <v>Unit</v>
      </c>
      <c r="H28" s="6" t="str">
        <f>IFERROR(__xludf.DUMMYFUNCTION("""COMPUTED_VALUE"""),"EUR")</f>
        <v>EUR</v>
      </c>
      <c r="I28" s="11">
        <f>IFERROR(__xludf.DUMMYFUNCTION("""COMPUTED_VALUE"""),31.43)</f>
        <v>31.43</v>
      </c>
      <c r="J28" s="11">
        <f>IFERROR(__xludf.DUMMYFUNCTION("""COMPUTED_VALUE"""),31.43)</f>
        <v>31.43</v>
      </c>
      <c r="K28" s="17">
        <f>IFERROR(__xludf.DUMMYFUNCTION("""COMPUTED_VALUE"""),43221.0)</f>
        <v>43221</v>
      </c>
      <c r="L28" s="6" t="str">
        <f>IFERROR(__xludf.DUMMYFUNCTION("""COMPUTED_VALUE"""),"FIP Engineering")</f>
        <v>FIP Engineering</v>
      </c>
      <c r="M28" s="6" t="str">
        <f>IFERROR(__xludf.DUMMYFUNCTION("""COMPUTED_VALUE"""),"Joko Nugroho")</f>
        <v>Joko Nugroho</v>
      </c>
      <c r="N28" s="6" t="str">
        <f>IFERROR(__xludf.DUMMYFUNCTION("""COMPUTED_VALUE"""),"FIP Engineering")</f>
        <v>FIP Engineering</v>
      </c>
      <c r="O28" s="6" t="str">
        <f>IFERROR(__xludf.DUMMYFUNCTION("""COMPUTED_VALUE"""),"FIP-DOM-000-11304-OS00001-INA-000000")</f>
        <v>FIP-DOM-000-11304-OS00001-INA-000000</v>
      </c>
      <c r="P28" s="6" t="str">
        <f>IFERROR(__xludf.DUMMYFUNCTION("""COMPUTED_VALUE"""),"PO Closed")</f>
        <v>PO Closed</v>
      </c>
      <c r="Q28" s="6" t="str">
        <f>IFERROR(__xludf.DUMMYFUNCTION("""COMPUTED_VALUE"""),"GL1803040")</f>
        <v>GL1803040</v>
      </c>
      <c r="R28" s="16">
        <f>IFERROR(__xludf.DUMMYFUNCTION("""COMPUTED_VALUE"""),43153.0)</f>
        <v>43153</v>
      </c>
      <c r="S28" s="6" t="str">
        <f>IFERROR(__xludf.DUMMYFUNCTION("""COMPUTED_VALUE"""),"-")</f>
        <v>-</v>
      </c>
      <c r="T28" s="13">
        <f>IFERROR(__xludf.DUMMYFUNCTION("""COMPUTED_VALUE"""),43279.0)</f>
        <v>43279</v>
      </c>
    </row>
    <row r="29">
      <c r="A29" s="6" t="str">
        <f>IFERROR(__xludf.DUMMYFUNCTION("""COMPUTED_VALUE"""),"181750060-6")</f>
        <v>181750060-6</v>
      </c>
      <c r="B29" s="6" t="str">
        <f>IFERROR(__xludf.DUMMYFUNCTION("""COMPUTED_VALUE"""),"181750060 - Approved")</f>
        <v>181750060 - Approved</v>
      </c>
      <c r="C29" s="6">
        <f>IFERROR(__xludf.DUMMYFUNCTION("""COMPUTED_VALUE"""),6.0)</f>
        <v>6</v>
      </c>
      <c r="D29" s="6" t="str">
        <f>IFERROR(__xludf.DUMMYFUNCTION("""COMPUTED_VALUE"""),"O-15914-00")</f>
        <v>O-15914-00</v>
      </c>
      <c r="E29" s="6" t="str">
        <f>IFERROR(__xludf.DUMMYFUNCTION("""COMPUTED_VALUE"""),"Fedegari FVA2/A1 - O-RING 34.52x3.53; Code : CC150171; ; ;")</f>
        <v>Fedegari FVA2/A1 - O-RING 34.52x3.53; Code : CC150171; ; ;</v>
      </c>
      <c r="F29" s="6">
        <f>IFERROR(__xludf.DUMMYFUNCTION("""COMPUTED_VALUE"""),5.0)</f>
        <v>5</v>
      </c>
      <c r="G29" s="6" t="str">
        <f>IFERROR(__xludf.DUMMYFUNCTION("""COMPUTED_VALUE"""),"Unit")</f>
        <v>Unit</v>
      </c>
      <c r="H29" s="6" t="str">
        <f>IFERROR(__xludf.DUMMYFUNCTION("""COMPUTED_VALUE"""),"EUR")</f>
        <v>EUR</v>
      </c>
      <c r="I29" s="11">
        <f>IFERROR(__xludf.DUMMYFUNCTION("""COMPUTED_VALUE"""),2.92)</f>
        <v>2.92</v>
      </c>
      <c r="J29" s="11">
        <f>IFERROR(__xludf.DUMMYFUNCTION("""COMPUTED_VALUE"""),14.6)</f>
        <v>14.6</v>
      </c>
      <c r="K29" s="17">
        <f>IFERROR(__xludf.DUMMYFUNCTION("""COMPUTED_VALUE"""),43221.0)</f>
        <v>43221</v>
      </c>
      <c r="L29" s="6" t="str">
        <f>IFERROR(__xludf.DUMMYFUNCTION("""COMPUTED_VALUE"""),"FIP Engineering")</f>
        <v>FIP Engineering</v>
      </c>
      <c r="M29" s="6" t="str">
        <f>IFERROR(__xludf.DUMMYFUNCTION("""COMPUTED_VALUE"""),"Joko Nugroho")</f>
        <v>Joko Nugroho</v>
      </c>
      <c r="N29" s="6" t="str">
        <f>IFERROR(__xludf.DUMMYFUNCTION("""COMPUTED_VALUE"""),"FIP Engineering")</f>
        <v>FIP Engineering</v>
      </c>
      <c r="O29" s="6" t="str">
        <f>IFERROR(__xludf.DUMMYFUNCTION("""COMPUTED_VALUE"""),"FIP-DOM-000-11304-OS00001-INA-000000")</f>
        <v>FIP-DOM-000-11304-OS00001-INA-000000</v>
      </c>
      <c r="P29" s="6" t="str">
        <f>IFERROR(__xludf.DUMMYFUNCTION("""COMPUTED_VALUE"""),"PO Closed")</f>
        <v>PO Closed</v>
      </c>
      <c r="Q29" s="6" t="str">
        <f>IFERROR(__xludf.DUMMYFUNCTION("""COMPUTED_VALUE"""),"GL1803040")</f>
        <v>GL1803040</v>
      </c>
      <c r="R29" s="16">
        <f>IFERROR(__xludf.DUMMYFUNCTION("""COMPUTED_VALUE"""),43153.0)</f>
        <v>43153</v>
      </c>
      <c r="S29" s="6" t="str">
        <f>IFERROR(__xludf.DUMMYFUNCTION("""COMPUTED_VALUE"""),"-")</f>
        <v>-</v>
      </c>
      <c r="T29" s="13">
        <f>IFERROR(__xludf.DUMMYFUNCTION("""COMPUTED_VALUE"""),43279.0)</f>
        <v>43279</v>
      </c>
    </row>
    <row r="30">
      <c r="A30" s="6" t="str">
        <f>IFERROR(__xludf.DUMMYFUNCTION("""COMPUTED_VALUE"""),"181750060-7")</f>
        <v>181750060-7</v>
      </c>
      <c r="B30" s="6" t="str">
        <f>IFERROR(__xludf.DUMMYFUNCTION("""COMPUTED_VALUE"""),"181750060 - Approved")</f>
        <v>181750060 - Approved</v>
      </c>
      <c r="C30" s="6">
        <f>IFERROR(__xludf.DUMMYFUNCTION("""COMPUTED_VALUE"""),7.0)</f>
        <v>7</v>
      </c>
      <c r="D30" s="6" t="str">
        <f>IFERROR(__xludf.DUMMYFUNCTION("""COMPUTED_VALUE"""),"O-15913-00")</f>
        <v>O-15913-00</v>
      </c>
      <c r="E30" s="6" t="str">
        <f>IFERROR(__xludf.DUMMYFUNCTION("""COMPUTED_VALUE"""),"Fedegari FVA2/A1 - CENTERING RING DN35 CLAMP; Code : PP100897; ; ;")</f>
        <v>Fedegari FVA2/A1 - CENTERING RING DN35 CLAMP; Code : PP100897; ; ;</v>
      </c>
      <c r="F30" s="6">
        <f>IFERROR(__xludf.DUMMYFUNCTION("""COMPUTED_VALUE"""),5.0)</f>
        <v>5</v>
      </c>
      <c r="G30" s="6" t="str">
        <f>IFERROR(__xludf.DUMMYFUNCTION("""COMPUTED_VALUE"""),"Unit")</f>
        <v>Unit</v>
      </c>
      <c r="H30" s="6" t="str">
        <f>IFERROR(__xludf.DUMMYFUNCTION("""COMPUTED_VALUE"""),"EUR")</f>
        <v>EUR</v>
      </c>
      <c r="I30" s="11">
        <f>IFERROR(__xludf.DUMMYFUNCTION("""COMPUTED_VALUE"""),9.5)</f>
        <v>9.5</v>
      </c>
      <c r="J30" s="11">
        <f>IFERROR(__xludf.DUMMYFUNCTION("""COMPUTED_VALUE"""),47.5)</f>
        <v>47.5</v>
      </c>
      <c r="K30" s="17">
        <f>IFERROR(__xludf.DUMMYFUNCTION("""COMPUTED_VALUE"""),43221.0)</f>
        <v>43221</v>
      </c>
      <c r="L30" s="6" t="str">
        <f>IFERROR(__xludf.DUMMYFUNCTION("""COMPUTED_VALUE"""),"FIP Engineering")</f>
        <v>FIP Engineering</v>
      </c>
      <c r="M30" s="6" t="str">
        <f>IFERROR(__xludf.DUMMYFUNCTION("""COMPUTED_VALUE"""),"Joko Nugroho")</f>
        <v>Joko Nugroho</v>
      </c>
      <c r="N30" s="6" t="str">
        <f>IFERROR(__xludf.DUMMYFUNCTION("""COMPUTED_VALUE"""),"FIP Engineering")</f>
        <v>FIP Engineering</v>
      </c>
      <c r="O30" s="6" t="str">
        <f>IFERROR(__xludf.DUMMYFUNCTION("""COMPUTED_VALUE"""),"FIP-DOM-000-11304-OS00001-INA-000000")</f>
        <v>FIP-DOM-000-11304-OS00001-INA-000000</v>
      </c>
      <c r="P30" s="6" t="str">
        <f>IFERROR(__xludf.DUMMYFUNCTION("""COMPUTED_VALUE"""),"PO Closed")</f>
        <v>PO Closed</v>
      </c>
      <c r="Q30" s="6" t="str">
        <f>IFERROR(__xludf.DUMMYFUNCTION("""COMPUTED_VALUE"""),"GL1803040")</f>
        <v>GL1803040</v>
      </c>
      <c r="R30" s="16">
        <f>IFERROR(__xludf.DUMMYFUNCTION("""COMPUTED_VALUE"""),43153.0)</f>
        <v>43153</v>
      </c>
      <c r="S30" s="6" t="str">
        <f>IFERROR(__xludf.DUMMYFUNCTION("""COMPUTED_VALUE"""),"-")</f>
        <v>-</v>
      </c>
      <c r="T30" s="17">
        <f>IFERROR(__xludf.DUMMYFUNCTION("""COMPUTED_VALUE"""),43279.0)</f>
        <v>43279</v>
      </c>
    </row>
    <row r="31">
      <c r="A31" s="6" t="str">
        <f>IFERROR(__xludf.DUMMYFUNCTION("""COMPUTED_VALUE"""),"181750060-8")</f>
        <v>181750060-8</v>
      </c>
      <c r="B31" s="6" t="str">
        <f>IFERROR(__xludf.DUMMYFUNCTION("""COMPUTED_VALUE"""),"181750060 - Approved")</f>
        <v>181750060 - Approved</v>
      </c>
      <c r="C31" s="6">
        <f>IFERROR(__xludf.DUMMYFUNCTION("""COMPUTED_VALUE"""),8.0)</f>
        <v>8</v>
      </c>
      <c r="D31" s="6" t="str">
        <f>IFERROR(__xludf.DUMMYFUNCTION("""COMPUTED_VALUE"""),"O-15912-00")</f>
        <v>O-15912-00</v>
      </c>
      <c r="E31" s="6" t="str">
        <f>IFERROR(__xludf.DUMMYFUNCTION("""COMPUTED_VALUE"""),"Fedegari FVA2/A1 - CLAMP DN34-DN35 (MICROCASTED); Code : GM100094; ; ;")</f>
        <v>Fedegari FVA2/A1 - CLAMP DN34-DN35 (MICROCASTED); Code : GM100094; ; ;</v>
      </c>
      <c r="F31" s="6">
        <f>IFERROR(__xludf.DUMMYFUNCTION("""COMPUTED_VALUE"""),2.0)</f>
        <v>2</v>
      </c>
      <c r="G31" s="6" t="str">
        <f>IFERROR(__xludf.DUMMYFUNCTION("""COMPUTED_VALUE"""),"Unit")</f>
        <v>Unit</v>
      </c>
      <c r="H31" s="6" t="str">
        <f>IFERROR(__xludf.DUMMYFUNCTION("""COMPUTED_VALUE"""),"EUR")</f>
        <v>EUR</v>
      </c>
      <c r="I31" s="11">
        <f>IFERROR(__xludf.DUMMYFUNCTION("""COMPUTED_VALUE"""),52.63)</f>
        <v>52.63</v>
      </c>
      <c r="J31" s="11">
        <f>IFERROR(__xludf.DUMMYFUNCTION("""COMPUTED_VALUE"""),105.26)</f>
        <v>105.26</v>
      </c>
      <c r="K31" s="17">
        <f>IFERROR(__xludf.DUMMYFUNCTION("""COMPUTED_VALUE"""),43221.0)</f>
        <v>43221</v>
      </c>
      <c r="L31" s="6" t="str">
        <f>IFERROR(__xludf.DUMMYFUNCTION("""COMPUTED_VALUE"""),"FIP Engineering")</f>
        <v>FIP Engineering</v>
      </c>
      <c r="M31" s="6" t="str">
        <f>IFERROR(__xludf.DUMMYFUNCTION("""COMPUTED_VALUE"""),"Joko Nugroho")</f>
        <v>Joko Nugroho</v>
      </c>
      <c r="N31" s="6" t="str">
        <f>IFERROR(__xludf.DUMMYFUNCTION("""COMPUTED_VALUE"""),"FIP Engineering")</f>
        <v>FIP Engineering</v>
      </c>
      <c r="O31" s="6" t="str">
        <f>IFERROR(__xludf.DUMMYFUNCTION("""COMPUTED_VALUE"""),"FIP-DOM-000-11304-OS00001-INA-000000")</f>
        <v>FIP-DOM-000-11304-OS00001-INA-000000</v>
      </c>
      <c r="P31" s="6" t="str">
        <f>IFERROR(__xludf.DUMMYFUNCTION("""COMPUTED_VALUE"""),"PO Closed")</f>
        <v>PO Closed</v>
      </c>
      <c r="Q31" s="6" t="str">
        <f>IFERROR(__xludf.DUMMYFUNCTION("""COMPUTED_VALUE"""),"GL1803040")</f>
        <v>GL1803040</v>
      </c>
      <c r="R31" s="16">
        <f>IFERROR(__xludf.DUMMYFUNCTION("""COMPUTED_VALUE"""),43153.0)</f>
        <v>43153</v>
      </c>
      <c r="S31" s="6" t="str">
        <f>IFERROR(__xludf.DUMMYFUNCTION("""COMPUTED_VALUE"""),"-")</f>
        <v>-</v>
      </c>
      <c r="T31" s="17">
        <f>IFERROR(__xludf.DUMMYFUNCTION("""COMPUTED_VALUE"""),43279.0)</f>
        <v>43279</v>
      </c>
    </row>
    <row r="32">
      <c r="A32" s="6" t="str">
        <f>IFERROR(__xludf.DUMMYFUNCTION("""COMPUTED_VALUE"""),"181750060-9")</f>
        <v>181750060-9</v>
      </c>
      <c r="B32" s="6" t="str">
        <f>IFERROR(__xludf.DUMMYFUNCTION("""COMPUTED_VALUE"""),"181750060 - Approved")</f>
        <v>181750060 - Approved</v>
      </c>
      <c r="C32" s="6">
        <f>IFERROR(__xludf.DUMMYFUNCTION("""COMPUTED_VALUE"""),9.0)</f>
        <v>9</v>
      </c>
      <c r="D32" s="6" t="str">
        <f>IFERROR(__xludf.DUMMYFUNCTION("""COMPUTED_VALUE"""),"O-15911-00")</f>
        <v>O-15911-00</v>
      </c>
      <c r="E32" s="6" t="str">
        <f>IFERROR(__xludf.DUMMYFUNCTION("""COMPUTED_VALUE"""),"Fedegari FVA2/A1 - TAPPO DN35 ASTM; Code : PM102749; ; ;")</f>
        <v>Fedegari FVA2/A1 - TAPPO DN35 ASTM; Code : PM102749; ; ;</v>
      </c>
      <c r="F32" s="6">
        <f>IFERROR(__xludf.DUMMYFUNCTION("""COMPUTED_VALUE"""),1.0)</f>
        <v>1</v>
      </c>
      <c r="G32" s="6" t="str">
        <f>IFERROR(__xludf.DUMMYFUNCTION("""COMPUTED_VALUE"""),"Unit")</f>
        <v>Unit</v>
      </c>
      <c r="H32" s="6" t="str">
        <f>IFERROR(__xludf.DUMMYFUNCTION("""COMPUTED_VALUE"""),"EUR")</f>
        <v>EUR</v>
      </c>
      <c r="I32" s="11">
        <f>IFERROR(__xludf.DUMMYFUNCTION("""COMPUTED_VALUE"""),43.13)</f>
        <v>43.13</v>
      </c>
      <c r="J32" s="11">
        <f>IFERROR(__xludf.DUMMYFUNCTION("""COMPUTED_VALUE"""),43.13)</f>
        <v>43.13</v>
      </c>
      <c r="K32" s="17">
        <f>IFERROR(__xludf.DUMMYFUNCTION("""COMPUTED_VALUE"""),43221.0)</f>
        <v>43221</v>
      </c>
      <c r="L32" s="6" t="str">
        <f>IFERROR(__xludf.DUMMYFUNCTION("""COMPUTED_VALUE"""),"FIP Engineering")</f>
        <v>FIP Engineering</v>
      </c>
      <c r="M32" s="6" t="str">
        <f>IFERROR(__xludf.DUMMYFUNCTION("""COMPUTED_VALUE"""),"Joko Nugroho")</f>
        <v>Joko Nugroho</v>
      </c>
      <c r="N32" s="6" t="str">
        <f>IFERROR(__xludf.DUMMYFUNCTION("""COMPUTED_VALUE"""),"FIP Engineering")</f>
        <v>FIP Engineering</v>
      </c>
      <c r="O32" s="6" t="str">
        <f>IFERROR(__xludf.DUMMYFUNCTION("""COMPUTED_VALUE"""),"FIP-DOM-000-11304-OS00001-INA-000000")</f>
        <v>FIP-DOM-000-11304-OS00001-INA-000000</v>
      </c>
      <c r="P32" s="6" t="str">
        <f>IFERROR(__xludf.DUMMYFUNCTION("""COMPUTED_VALUE"""),"PO Closed")</f>
        <v>PO Closed</v>
      </c>
      <c r="Q32" s="6" t="str">
        <f>IFERROR(__xludf.DUMMYFUNCTION("""COMPUTED_VALUE"""),"GL1803040")</f>
        <v>GL1803040</v>
      </c>
      <c r="R32" s="16">
        <f>IFERROR(__xludf.DUMMYFUNCTION("""COMPUTED_VALUE"""),43153.0)</f>
        <v>43153</v>
      </c>
      <c r="S32" s="6" t="str">
        <f>IFERROR(__xludf.DUMMYFUNCTION("""COMPUTED_VALUE"""),"-")</f>
        <v>-</v>
      </c>
      <c r="T32" s="17">
        <f>IFERROR(__xludf.DUMMYFUNCTION("""COMPUTED_VALUE"""),43279.0)</f>
        <v>43279</v>
      </c>
    </row>
    <row r="33">
      <c r="A33" s="6" t="str">
        <f>IFERROR(__xludf.DUMMYFUNCTION("""COMPUTED_VALUE"""),"181750059-3")</f>
        <v>181750059-3</v>
      </c>
      <c r="B33" s="6" t="str">
        <f>IFERROR(__xludf.DUMMYFUNCTION("""COMPUTED_VALUE"""),"181750059 - Approved")</f>
        <v>181750059 - Approved</v>
      </c>
      <c r="C33" s="6">
        <f>IFERROR(__xludf.DUMMYFUNCTION("""COMPUTED_VALUE"""),3.0)</f>
        <v>3</v>
      </c>
      <c r="D33" s="6" t="str">
        <f>IFERROR(__xludf.DUMMYFUNCTION("""COMPUTED_VALUE"""),"O-15920-00")</f>
        <v>O-15920-00</v>
      </c>
      <c r="E33" s="6" t="str">
        <f>IFERROR(__xludf.DUMMYFUNCTION("""COMPUTED_VALUE"""),"Digital Event I/O module PUM-E, model PUM ERYY1-0B072; ; ;")</f>
        <v>Digital Event I/O module PUM-E, model PUM ERYY1-0B072; ; ;</v>
      </c>
      <c r="F33" s="6">
        <f>IFERROR(__xludf.DUMMYFUNCTION("""COMPUTED_VALUE"""),1.0)</f>
        <v>1</v>
      </c>
      <c r="G33" s="6" t="str">
        <f>IFERROR(__xludf.DUMMYFUNCTION("""COMPUTED_VALUE"""),"Unit")</f>
        <v>Unit</v>
      </c>
      <c r="H33" s="6" t="str">
        <f>IFERROR(__xludf.DUMMYFUNCTION("""COMPUTED_VALUE"""),"USD")</f>
        <v>USD</v>
      </c>
      <c r="I33" s="11">
        <f>IFERROR(__xludf.DUMMYFUNCTION("""COMPUTED_VALUE"""),751.0)</f>
        <v>751</v>
      </c>
      <c r="J33" s="11">
        <f>IFERROR(__xludf.DUMMYFUNCTION("""COMPUTED_VALUE"""),751.0)</f>
        <v>751</v>
      </c>
      <c r="K33" s="17">
        <f>IFERROR(__xludf.DUMMYFUNCTION("""COMPUTED_VALUE"""),43192.0)</f>
        <v>43192</v>
      </c>
      <c r="L33" s="6" t="str">
        <f>IFERROR(__xludf.DUMMYFUNCTION("""COMPUTED_VALUE"""),"FIP Engineering")</f>
        <v>FIP Engineering</v>
      </c>
      <c r="M33" s="6" t="str">
        <f>IFERROR(__xludf.DUMMYFUNCTION("""COMPUTED_VALUE"""),"Joko Nugroho")</f>
        <v>Joko Nugroho</v>
      </c>
      <c r="N33" s="6" t="str">
        <f>IFERROR(__xludf.DUMMYFUNCTION("""COMPUTED_VALUE"""),"FIP Engineering")</f>
        <v>FIP Engineering</v>
      </c>
      <c r="O33" s="6" t="str">
        <f>IFERROR(__xludf.DUMMYFUNCTION("""COMPUTED_VALUE"""),"FIP-DOM-000-11304-OS00001-INA-000000")</f>
        <v>FIP-DOM-000-11304-OS00001-INA-000000</v>
      </c>
      <c r="P33" s="6" t="str">
        <f>IFERROR(__xludf.DUMMYFUNCTION("""COMPUTED_VALUE"""),"PO Closed")</f>
        <v>PO Closed</v>
      </c>
      <c r="Q33" s="6" t="str">
        <f>IFERROR(__xludf.DUMMYFUNCTION("""COMPUTED_VALUE"""),"GL1803028")</f>
        <v>GL1803028</v>
      </c>
      <c r="R33" s="16">
        <f>IFERROR(__xludf.DUMMYFUNCTION("""COMPUTED_VALUE"""),43153.0)</f>
        <v>43153</v>
      </c>
      <c r="S33" s="6" t="str">
        <f>IFERROR(__xludf.DUMMYFUNCTION("""COMPUTED_VALUE"""),"-")</f>
        <v>-</v>
      </c>
      <c r="T33" s="17">
        <f>IFERROR(__xludf.DUMMYFUNCTION("""COMPUTED_VALUE"""),43231.0)</f>
        <v>43231</v>
      </c>
    </row>
    <row r="34">
      <c r="A34" s="6" t="str">
        <f>IFERROR(__xludf.DUMMYFUNCTION("""COMPUTED_VALUE"""),"181750059-4")</f>
        <v>181750059-4</v>
      </c>
      <c r="B34" s="6" t="str">
        <f>IFERROR(__xludf.DUMMYFUNCTION("""COMPUTED_VALUE"""),"181750059 - Approved")</f>
        <v>181750059 - Approved</v>
      </c>
      <c r="C34" s="6">
        <f>IFERROR(__xludf.DUMMYFUNCTION("""COMPUTED_VALUE"""),4.0)</f>
        <v>4</v>
      </c>
      <c r="D34" s="6" t="str">
        <f>IFERROR(__xludf.DUMMYFUNCTION("""COMPUTED_VALUE"""),"O-15919-00")</f>
        <v>O-15919-00</v>
      </c>
      <c r="E34" s="6" t="str">
        <f>IFERROR(__xludf.DUMMYFUNCTION("""COMPUTED_VALUE"""),"Temperature control Module PUM-A, MODEL PUMATCC1-0BY71; ; ;")</f>
        <v>Temperature control Module PUM-A, MODEL PUMATCC1-0BY71; ; ;</v>
      </c>
      <c r="F34" s="6">
        <f>IFERROR(__xludf.DUMMYFUNCTION("""COMPUTED_VALUE"""),2.0)</f>
        <v>2</v>
      </c>
      <c r="G34" s="6" t="str">
        <f>IFERROR(__xludf.DUMMYFUNCTION("""COMPUTED_VALUE"""),"Unit")</f>
        <v>Unit</v>
      </c>
      <c r="H34" s="6" t="str">
        <f>IFERROR(__xludf.DUMMYFUNCTION("""COMPUTED_VALUE"""),"USD")</f>
        <v>USD</v>
      </c>
      <c r="I34" s="11">
        <f>IFERROR(__xludf.DUMMYFUNCTION("""COMPUTED_VALUE"""),751.0)</f>
        <v>751</v>
      </c>
      <c r="J34" s="11">
        <f>IFERROR(__xludf.DUMMYFUNCTION("""COMPUTED_VALUE"""),1502.0)</f>
        <v>1502</v>
      </c>
      <c r="K34" s="13">
        <f>IFERROR(__xludf.DUMMYFUNCTION("""COMPUTED_VALUE"""),43192.0)</f>
        <v>43192</v>
      </c>
      <c r="L34" s="6" t="str">
        <f>IFERROR(__xludf.DUMMYFUNCTION("""COMPUTED_VALUE"""),"FIP Engineering")</f>
        <v>FIP Engineering</v>
      </c>
      <c r="M34" s="6" t="str">
        <f>IFERROR(__xludf.DUMMYFUNCTION("""COMPUTED_VALUE"""),"Joko Nugroho")</f>
        <v>Joko Nugroho</v>
      </c>
      <c r="N34" s="6" t="str">
        <f>IFERROR(__xludf.DUMMYFUNCTION("""COMPUTED_VALUE"""),"FIP Engineering")</f>
        <v>FIP Engineering</v>
      </c>
      <c r="O34" s="6" t="str">
        <f>IFERROR(__xludf.DUMMYFUNCTION("""COMPUTED_VALUE"""),"FIP-DOM-000-11304-OS00001-INA-000000")</f>
        <v>FIP-DOM-000-11304-OS00001-INA-000000</v>
      </c>
      <c r="P34" s="6" t="str">
        <f>IFERROR(__xludf.DUMMYFUNCTION("""COMPUTED_VALUE"""),"PO Closed")</f>
        <v>PO Closed</v>
      </c>
      <c r="Q34" s="6" t="str">
        <f>IFERROR(__xludf.DUMMYFUNCTION("""COMPUTED_VALUE"""),"GL1803028")</f>
        <v>GL1803028</v>
      </c>
      <c r="R34" s="16">
        <f>IFERROR(__xludf.DUMMYFUNCTION("""COMPUTED_VALUE"""),43153.0)</f>
        <v>43153</v>
      </c>
      <c r="S34" s="6" t="str">
        <f>IFERROR(__xludf.DUMMYFUNCTION("""COMPUTED_VALUE"""),"-")</f>
        <v>-</v>
      </c>
      <c r="T34" s="13">
        <f>IFERROR(__xludf.DUMMYFUNCTION("""COMPUTED_VALUE"""),43231.0)</f>
        <v>43231</v>
      </c>
    </row>
    <row r="35">
      <c r="A35" s="6" t="str">
        <f>IFERROR(__xludf.DUMMYFUNCTION("""COMPUTED_VALUE"""),"181750058-6")</f>
        <v>181750058-6</v>
      </c>
      <c r="B35" s="6" t="str">
        <f>IFERROR(__xludf.DUMMYFUNCTION("""COMPUTED_VALUE"""),"181750058 - Approved")</f>
        <v>181750058 - Approved</v>
      </c>
      <c r="C35" s="6">
        <f>IFERROR(__xludf.DUMMYFUNCTION("""COMPUTED_VALUE"""),6.0)</f>
        <v>6</v>
      </c>
      <c r="D35" s="6" t="str">
        <f>IFERROR(__xludf.DUMMYFUNCTION("""COMPUTED_VALUE"""),"P-15943-00")</f>
        <v>P-15943-00</v>
      </c>
      <c r="E35" s="6" t="str">
        <f>IFERROR(__xludf.DUMMYFUNCTION("""COMPUTED_VALUE"""),"Blind Ferrule SUS304 1/2""; ; ;")</f>
        <v>Blind Ferrule SUS304 1/2"; ; ;</v>
      </c>
      <c r="F35" s="6">
        <f>IFERROR(__xludf.DUMMYFUNCTION("""COMPUTED_VALUE"""),8.0)</f>
        <v>8</v>
      </c>
      <c r="G35" s="6" t="str">
        <f>IFERROR(__xludf.DUMMYFUNCTION("""COMPUTED_VALUE"""),"Pieces")</f>
        <v>Pieces</v>
      </c>
      <c r="H35" s="6" t="str">
        <f>IFERROR(__xludf.DUMMYFUNCTION("""COMPUTED_VALUE"""),"IDR")</f>
        <v>IDR</v>
      </c>
      <c r="I35" s="11">
        <f>IFERROR(__xludf.DUMMYFUNCTION("""COMPUTED_VALUE"""),150000.0)</f>
        <v>150000</v>
      </c>
      <c r="J35" s="11">
        <f>IFERROR(__xludf.DUMMYFUNCTION("""COMPUTED_VALUE"""),1200000.0)</f>
        <v>1200000</v>
      </c>
      <c r="K35" s="13">
        <f>IFERROR(__xludf.DUMMYFUNCTION("""COMPUTED_VALUE"""),43171.0)</f>
        <v>43171</v>
      </c>
      <c r="L35" s="6" t="str">
        <f>IFERROR(__xludf.DUMMYFUNCTION("""COMPUTED_VALUE"""),"FIP General")</f>
        <v>FIP General</v>
      </c>
      <c r="M35" s="6" t="str">
        <f>IFERROR(__xludf.DUMMYFUNCTION("""COMPUTED_VALUE"""),"Joko Nugroho")</f>
        <v>Joko Nugroho</v>
      </c>
      <c r="N35" s="6" t="str">
        <f>IFERROR(__xludf.DUMMYFUNCTION("""COMPUTED_VALUE"""),"FIP Engineering")</f>
        <v>FIP Engineering</v>
      </c>
      <c r="O35" s="6" t="str">
        <f>IFERROR(__xludf.DUMMYFUNCTION("""COMPUTED_VALUE"""),"FIP-DOM-ENG-51404-0000000-INA-000000")</f>
        <v>FIP-DOM-ENG-51404-0000000-INA-000000</v>
      </c>
      <c r="P35" s="6" t="str">
        <f>IFERROR(__xludf.DUMMYFUNCTION("""COMPUTED_VALUE"""),"PO Closed")</f>
        <v>PO Closed</v>
      </c>
      <c r="Q35" s="6" t="str">
        <f>IFERROR(__xludf.DUMMYFUNCTION("""COMPUTED_VALUE"""),"GL1803027")</f>
        <v>GL1803027</v>
      </c>
      <c r="R35" s="16">
        <f>IFERROR(__xludf.DUMMYFUNCTION("""COMPUTED_VALUE"""),43153.0)</f>
        <v>43153</v>
      </c>
      <c r="S35" s="6" t="str">
        <f>IFERROR(__xludf.DUMMYFUNCTION("""COMPUTED_VALUE"""),"-")</f>
        <v>-</v>
      </c>
      <c r="T35" s="13">
        <f>IFERROR(__xludf.DUMMYFUNCTION("""COMPUTED_VALUE"""),43174.0)</f>
        <v>43174</v>
      </c>
    </row>
    <row r="36">
      <c r="A36" s="6" t="str">
        <f>IFERROR(__xludf.DUMMYFUNCTION("""COMPUTED_VALUE"""),"181750058-6")</f>
        <v>181750058-6</v>
      </c>
      <c r="B36" s="6" t="str">
        <f>IFERROR(__xludf.DUMMYFUNCTION("""COMPUTED_VALUE"""),"181750058 - Approved")</f>
        <v>181750058 - Approved</v>
      </c>
      <c r="C36" s="6">
        <f>IFERROR(__xludf.DUMMYFUNCTION("""COMPUTED_VALUE"""),6.0)</f>
        <v>6</v>
      </c>
      <c r="D36" s="6" t="str">
        <f>IFERROR(__xludf.DUMMYFUNCTION("""COMPUTED_VALUE"""),"P-15944-00")</f>
        <v>P-15944-00</v>
      </c>
      <c r="E36" s="6" t="str">
        <f>IFERROR(__xludf.DUMMYFUNCTION("""COMPUTED_VALUE"""),"Sealing belt (nillon) 1.5 cm x 77cm; ; ;")</f>
        <v>Sealing belt (nillon) 1.5 cm x 77cm; ; ;</v>
      </c>
      <c r="F36" s="6">
        <f>IFERROR(__xludf.DUMMYFUNCTION("""COMPUTED_VALUE"""),3.0)</f>
        <v>3</v>
      </c>
      <c r="G36" s="6" t="str">
        <f>IFERROR(__xludf.DUMMYFUNCTION("""COMPUTED_VALUE"""),"Pieces")</f>
        <v>Pieces</v>
      </c>
      <c r="H36" s="6" t="str">
        <f>IFERROR(__xludf.DUMMYFUNCTION("""COMPUTED_VALUE"""),"IDR")</f>
        <v>IDR</v>
      </c>
      <c r="I36" s="11">
        <f>IFERROR(__xludf.DUMMYFUNCTION("""COMPUTED_VALUE"""),30000.0)</f>
        <v>30000</v>
      </c>
      <c r="J36" s="11">
        <f>IFERROR(__xludf.DUMMYFUNCTION("""COMPUTED_VALUE"""),90000.0)</f>
        <v>90000</v>
      </c>
      <c r="K36" s="13">
        <f>IFERROR(__xludf.DUMMYFUNCTION("""COMPUTED_VALUE"""),43171.0)</f>
        <v>43171</v>
      </c>
      <c r="L36" s="6" t="str">
        <f>IFERROR(__xludf.DUMMYFUNCTION("""COMPUTED_VALUE"""),"FIP General")</f>
        <v>FIP General</v>
      </c>
      <c r="M36" s="6" t="str">
        <f>IFERROR(__xludf.DUMMYFUNCTION("""COMPUTED_VALUE"""),"Joko Nugroho")</f>
        <v>Joko Nugroho</v>
      </c>
      <c r="N36" s="6" t="str">
        <f>IFERROR(__xludf.DUMMYFUNCTION("""COMPUTED_VALUE"""),"FIP Engineering")</f>
        <v>FIP Engineering</v>
      </c>
      <c r="O36" s="6" t="str">
        <f>IFERROR(__xludf.DUMMYFUNCTION("""COMPUTED_VALUE"""),"FIP-DOM-ENG-51404-0000000-INA-000000")</f>
        <v>FIP-DOM-ENG-51404-0000000-INA-000000</v>
      </c>
      <c r="P36" s="6" t="str">
        <f>IFERROR(__xludf.DUMMYFUNCTION("""COMPUTED_VALUE"""),"PO Closed")</f>
        <v>PO Closed</v>
      </c>
      <c r="Q36" s="6" t="str">
        <f>IFERROR(__xludf.DUMMYFUNCTION("""COMPUTED_VALUE"""),"GL1803023")</f>
        <v>GL1803023</v>
      </c>
      <c r="R36" s="16">
        <f>IFERROR(__xludf.DUMMYFUNCTION("""COMPUTED_VALUE"""),43153.0)</f>
        <v>43153</v>
      </c>
      <c r="S36" s="6" t="str">
        <f>IFERROR(__xludf.DUMMYFUNCTION("""COMPUTED_VALUE"""),"-")</f>
        <v>-</v>
      </c>
      <c r="T36" s="13">
        <f>IFERROR(__xludf.DUMMYFUNCTION("""COMPUTED_VALUE"""),43192.0)</f>
        <v>43192</v>
      </c>
    </row>
    <row r="37">
      <c r="A37" s="6" t="str">
        <f>IFERROR(__xludf.DUMMYFUNCTION("""COMPUTED_VALUE"""),"181750058-6")</f>
        <v>181750058-6</v>
      </c>
      <c r="B37" s="6" t="str">
        <f>IFERROR(__xludf.DUMMYFUNCTION("""COMPUTED_VALUE"""),"181750058 - Approved")</f>
        <v>181750058 - Approved</v>
      </c>
      <c r="C37" s="6">
        <f>IFERROR(__xludf.DUMMYFUNCTION("""COMPUTED_VALUE"""),6.0)</f>
        <v>6</v>
      </c>
      <c r="D37" s="6" t="str">
        <f>IFERROR(__xludf.DUMMYFUNCTION("""COMPUTED_VALUE"""),"P-15942-00")</f>
        <v>P-15942-00</v>
      </c>
      <c r="E37" s="6" t="str">
        <f>IFERROR(__xludf.DUMMYFUNCTION("""COMPUTED_VALUE"""),"Blind Ferrule SUS304 1.0""; ; ;")</f>
        <v>Blind Ferrule SUS304 1.0"; ; ;</v>
      </c>
      <c r="F37" s="6">
        <f>IFERROR(__xludf.DUMMYFUNCTION("""COMPUTED_VALUE"""),4.0)</f>
        <v>4</v>
      </c>
      <c r="G37" s="6" t="str">
        <f>IFERROR(__xludf.DUMMYFUNCTION("""COMPUTED_VALUE"""),"Pieces")</f>
        <v>Pieces</v>
      </c>
      <c r="H37" s="6" t="str">
        <f>IFERROR(__xludf.DUMMYFUNCTION("""COMPUTED_VALUE"""),"IDR")</f>
        <v>IDR</v>
      </c>
      <c r="I37" s="11">
        <f>IFERROR(__xludf.DUMMYFUNCTION("""COMPUTED_VALUE"""),225000.0)</f>
        <v>225000</v>
      </c>
      <c r="J37" s="11">
        <f>IFERROR(__xludf.DUMMYFUNCTION("""COMPUTED_VALUE"""),900000.0)</f>
        <v>900000</v>
      </c>
      <c r="K37" s="13">
        <f>IFERROR(__xludf.DUMMYFUNCTION("""COMPUTED_VALUE"""),43171.0)</f>
        <v>43171</v>
      </c>
      <c r="L37" s="6" t="str">
        <f>IFERROR(__xludf.DUMMYFUNCTION("""COMPUTED_VALUE"""),"FIP General")</f>
        <v>FIP General</v>
      </c>
      <c r="M37" s="6" t="str">
        <f>IFERROR(__xludf.DUMMYFUNCTION("""COMPUTED_VALUE"""),"Joko Nugroho")</f>
        <v>Joko Nugroho</v>
      </c>
      <c r="N37" s="6" t="str">
        <f>IFERROR(__xludf.DUMMYFUNCTION("""COMPUTED_VALUE"""),"FIP Engineering")</f>
        <v>FIP Engineering</v>
      </c>
      <c r="O37" s="6" t="str">
        <f>IFERROR(__xludf.DUMMYFUNCTION("""COMPUTED_VALUE"""),"FIP-DOM-ENG-51404-0000000-INA-000000")</f>
        <v>FIP-DOM-ENG-51404-0000000-INA-000000</v>
      </c>
      <c r="P37" s="6" t="str">
        <f>IFERROR(__xludf.DUMMYFUNCTION("""COMPUTED_VALUE"""),"PO Closed")</f>
        <v>PO Closed</v>
      </c>
      <c r="Q37" s="6" t="str">
        <f>IFERROR(__xludf.DUMMYFUNCTION("""COMPUTED_VALUE"""),"GL1803027")</f>
        <v>GL1803027</v>
      </c>
      <c r="R37" s="16">
        <f>IFERROR(__xludf.DUMMYFUNCTION("""COMPUTED_VALUE"""),43153.0)</f>
        <v>43153</v>
      </c>
      <c r="S37" s="6" t="str">
        <f>IFERROR(__xludf.DUMMYFUNCTION("""COMPUTED_VALUE"""),"-")</f>
        <v>-</v>
      </c>
      <c r="T37" s="13">
        <f>IFERROR(__xludf.DUMMYFUNCTION("""COMPUTED_VALUE"""),43174.0)</f>
        <v>43174</v>
      </c>
    </row>
    <row r="38">
      <c r="A38" s="6" t="str">
        <f>IFERROR(__xludf.DUMMYFUNCTION("""COMPUTED_VALUE"""),"181750058-6")</f>
        <v>181750058-6</v>
      </c>
      <c r="B38" s="6" t="str">
        <f>IFERROR(__xludf.DUMMYFUNCTION("""COMPUTED_VALUE"""),"181750058 - Approved")</f>
        <v>181750058 - Approved</v>
      </c>
      <c r="C38" s="6">
        <f>IFERROR(__xludf.DUMMYFUNCTION("""COMPUTED_VALUE"""),6.0)</f>
        <v>6</v>
      </c>
      <c r="D38" s="6" t="str">
        <f>IFERROR(__xludf.DUMMYFUNCTION("""COMPUTED_VALUE"""),"P-15945-00")</f>
        <v>P-15945-00</v>
      </c>
      <c r="E38" s="6" t="str">
        <f>IFERROR(__xludf.DUMMYFUNCTION("""COMPUTED_VALUE"""),"WEDGE BELT OPTIBELT SPA 2082; ; ;")</f>
        <v>WEDGE BELT OPTIBELT SPA 2082; ; ;</v>
      </c>
      <c r="F38" s="6">
        <f>IFERROR(__xludf.DUMMYFUNCTION("""COMPUTED_VALUE"""),2.0)</f>
        <v>2</v>
      </c>
      <c r="G38" s="6" t="str">
        <f>IFERROR(__xludf.DUMMYFUNCTION("""COMPUTED_VALUE"""),"Unit")</f>
        <v>Unit</v>
      </c>
      <c r="H38" s="6" t="str">
        <f>IFERROR(__xludf.DUMMYFUNCTION("""COMPUTED_VALUE"""),"IDR")</f>
        <v>IDR</v>
      </c>
      <c r="I38" s="11">
        <f>IFERROR(__xludf.DUMMYFUNCTION("""COMPUTED_VALUE"""),106000.0)</f>
        <v>106000</v>
      </c>
      <c r="J38" s="11">
        <f>IFERROR(__xludf.DUMMYFUNCTION("""COMPUTED_VALUE"""),212000.0)</f>
        <v>212000</v>
      </c>
      <c r="K38" s="13">
        <f>IFERROR(__xludf.DUMMYFUNCTION("""COMPUTED_VALUE"""),43171.0)</f>
        <v>43171</v>
      </c>
      <c r="L38" s="6" t="str">
        <f>IFERROR(__xludf.DUMMYFUNCTION("""COMPUTED_VALUE"""),"FIP Engineering")</f>
        <v>FIP Engineering</v>
      </c>
      <c r="M38" s="6" t="str">
        <f>IFERROR(__xludf.DUMMYFUNCTION("""COMPUTED_VALUE"""),"Joko Nugroho")</f>
        <v>Joko Nugroho</v>
      </c>
      <c r="N38" s="6" t="str">
        <f>IFERROR(__xludf.DUMMYFUNCTION("""COMPUTED_VALUE"""),"FIP Engineering")</f>
        <v>FIP Engineering</v>
      </c>
      <c r="O38" s="6" t="str">
        <f>IFERROR(__xludf.DUMMYFUNCTION("""COMPUTED_VALUE"""),"FIP-DOM-000-11304-OS00001-INA-000000")</f>
        <v>FIP-DOM-000-11304-OS00001-INA-000000</v>
      </c>
      <c r="P38" s="6" t="str">
        <f>IFERROR(__xludf.DUMMYFUNCTION("""COMPUTED_VALUE"""),"PO Closed")</f>
        <v>PO Closed</v>
      </c>
      <c r="Q38" s="6" t="str">
        <f>IFERROR(__xludf.DUMMYFUNCTION("""COMPUTED_VALUE"""),"GL1803024")</f>
        <v>GL1803024</v>
      </c>
      <c r="R38" s="16">
        <f>IFERROR(__xludf.DUMMYFUNCTION("""COMPUTED_VALUE"""),43153.0)</f>
        <v>43153</v>
      </c>
      <c r="S38" s="6" t="str">
        <f>IFERROR(__xludf.DUMMYFUNCTION("""COMPUTED_VALUE"""),"-")</f>
        <v>-</v>
      </c>
      <c r="T38" s="13">
        <f>IFERROR(__xludf.DUMMYFUNCTION("""COMPUTED_VALUE"""),43171.0)</f>
        <v>43171</v>
      </c>
    </row>
    <row r="39">
      <c r="A39" s="6" t="str">
        <f>IFERROR(__xludf.DUMMYFUNCTION("""COMPUTED_VALUE"""),"181750062-1")</f>
        <v>181750062-1</v>
      </c>
      <c r="B39" s="6" t="str">
        <f>IFERROR(__xludf.DUMMYFUNCTION("""COMPUTED_VALUE"""),"181750062 - Approved")</f>
        <v>181750062 - Approved</v>
      </c>
      <c r="C39" s="6">
        <f>IFERROR(__xludf.DUMMYFUNCTION("""COMPUTED_VALUE"""),1.0)</f>
        <v>1</v>
      </c>
      <c r="D39" s="6" t="str">
        <f>IFERROR(__xludf.DUMMYFUNCTION("""COMPUTED_VALUE"""),"S-20016-00")</f>
        <v>S-20016-00</v>
      </c>
      <c r="E39" s="6" t="str">
        <f>IFERROR(__xludf.DUMMYFUNCTION("""COMPUTED_VALUE"""),"Sarung tangan bahan kain; ; ;")</f>
        <v>Sarung tangan bahan kain; ; ;</v>
      </c>
      <c r="F39" s="6">
        <f>IFERROR(__xludf.DUMMYFUNCTION("""COMPUTED_VALUE"""),2.0)</f>
        <v>2</v>
      </c>
      <c r="G39" s="6" t="str">
        <f>IFERROR(__xludf.DUMMYFUNCTION("""COMPUTED_VALUE"""),"Pack")</f>
        <v>Pack</v>
      </c>
      <c r="H39" s="6" t="str">
        <f>IFERROR(__xludf.DUMMYFUNCTION("""COMPUTED_VALUE"""),"IDR")</f>
        <v>IDR</v>
      </c>
      <c r="I39" s="11">
        <f>IFERROR(__xludf.DUMMYFUNCTION("""COMPUTED_VALUE"""),42000.0)</f>
        <v>42000</v>
      </c>
      <c r="J39" s="11">
        <f>IFERROR(__xludf.DUMMYFUNCTION("""COMPUTED_VALUE"""),84000.0)</f>
        <v>84000</v>
      </c>
      <c r="K39" s="13">
        <f>IFERROR(__xludf.DUMMYFUNCTION("""COMPUTED_VALUE"""),43171.0)</f>
        <v>43171</v>
      </c>
      <c r="L39" s="6" t="str">
        <f>IFERROR(__xludf.DUMMYFUNCTION("""COMPUTED_VALUE"""),"FIP General")</f>
        <v>FIP General</v>
      </c>
      <c r="M39" s="6" t="str">
        <f>IFERROR(__xludf.DUMMYFUNCTION("""COMPUTED_VALUE"""),"Joko Nugroho")</f>
        <v>Joko Nugroho</v>
      </c>
      <c r="N39" s="6" t="str">
        <f>IFERROR(__xludf.DUMMYFUNCTION("""COMPUTED_VALUE"""),"FIP Engineering")</f>
        <v>FIP Engineering</v>
      </c>
      <c r="O39" s="6" t="str">
        <f>IFERROR(__xludf.DUMMYFUNCTION("""COMPUTED_VALUE"""),"FIP-DOM-ENG-51202-0000000-INA-000000")</f>
        <v>FIP-DOM-ENG-51202-0000000-INA-000000</v>
      </c>
      <c r="P39" s="6" t="str">
        <f>IFERROR(__xludf.DUMMYFUNCTION("""COMPUTED_VALUE"""),"PO Closed")</f>
        <v>PO Closed</v>
      </c>
      <c r="Q39" s="6" t="str">
        <f>IFERROR(__xludf.DUMMYFUNCTION("""COMPUTED_VALUE"""),"GL1803044")</f>
        <v>GL1803044</v>
      </c>
      <c r="R39" s="16">
        <f>IFERROR(__xludf.DUMMYFUNCTION("""COMPUTED_VALUE"""),43154.0)</f>
        <v>43154</v>
      </c>
      <c r="S39" s="6" t="str">
        <f>IFERROR(__xludf.DUMMYFUNCTION("""COMPUTED_VALUE"""),"-")</f>
        <v>-</v>
      </c>
      <c r="T39" s="13">
        <f>IFERROR(__xludf.DUMMYFUNCTION("""COMPUTED_VALUE"""),43178.0)</f>
        <v>43178</v>
      </c>
    </row>
    <row r="40">
      <c r="A40" s="6" t="str">
        <f>IFERROR(__xludf.DUMMYFUNCTION("""COMPUTED_VALUE"""),"181750059-3")</f>
        <v>181750059-3</v>
      </c>
      <c r="B40" s="6" t="str">
        <f>IFERROR(__xludf.DUMMYFUNCTION("""COMPUTED_VALUE"""),"181750059 - Approved")</f>
        <v>181750059 - Approved</v>
      </c>
      <c r="C40" s="6">
        <f>IFERROR(__xludf.DUMMYFUNCTION("""COMPUTED_VALUE"""),3.0)</f>
        <v>3</v>
      </c>
      <c r="D40" s="6" t="str">
        <f>IFERROR(__xludf.DUMMYFUNCTION("""COMPUTED_VALUE"""),"S-60002-00")</f>
        <v>S-60002-00</v>
      </c>
      <c r="E40" s="6" t="str">
        <f>IFERROR(__xludf.DUMMYFUNCTION("""COMPUTED_VALUE"""),"FREIGHT CHARGES")</f>
        <v>FREIGHT CHARGES</v>
      </c>
      <c r="F40" s="6">
        <f>IFERROR(__xludf.DUMMYFUNCTION("""COMPUTED_VALUE"""),1.0)</f>
        <v>1</v>
      </c>
      <c r="G40" s="6" t="str">
        <f>IFERROR(__xludf.DUMMYFUNCTION("""COMPUTED_VALUE"""),"Lot")</f>
        <v>Lot</v>
      </c>
      <c r="H40" s="6" t="str">
        <f>IFERROR(__xludf.DUMMYFUNCTION("""COMPUTED_VALUE"""),"USD")</f>
        <v>USD</v>
      </c>
      <c r="I40" s="11">
        <f>IFERROR(__xludf.DUMMYFUNCTION("""COMPUTED_VALUE"""),200.0)</f>
        <v>200</v>
      </c>
      <c r="J40" s="11">
        <f>IFERROR(__xludf.DUMMYFUNCTION("""COMPUTED_VALUE"""),200.0)</f>
        <v>200</v>
      </c>
      <c r="K40" s="13">
        <f>IFERROR(__xludf.DUMMYFUNCTION("""COMPUTED_VALUE"""),43192.0)</f>
        <v>43192</v>
      </c>
      <c r="L40" s="6" t="str">
        <f>IFERROR(__xludf.DUMMYFUNCTION("""COMPUTED_VALUE"""),"FIP General")</f>
        <v>FIP General</v>
      </c>
      <c r="M40" s="6" t="str">
        <f>IFERROR(__xludf.DUMMYFUNCTION("""COMPUTED_VALUE"""),"Joko Nugroho")</f>
        <v>Joko Nugroho</v>
      </c>
      <c r="N40" s="6" t="str">
        <f>IFERROR(__xludf.DUMMYFUNCTION("""COMPUTED_VALUE"""),"FIP Engineering")</f>
        <v>FIP Engineering</v>
      </c>
      <c r="O40" s="6" t="str">
        <f>IFERROR(__xludf.DUMMYFUNCTION("""COMPUTED_VALUE"""),"FIP-DOM-ENG-51508-0000000-INA-000000")</f>
        <v>FIP-DOM-ENG-51508-0000000-INA-000000</v>
      </c>
      <c r="P40" s="6" t="str">
        <f>IFERROR(__xludf.DUMMYFUNCTION("""COMPUTED_VALUE"""),"PO Closed")</f>
        <v>PO Closed</v>
      </c>
      <c r="Q40" s="6" t="str">
        <f>IFERROR(__xludf.DUMMYFUNCTION("""COMPUTED_VALUE"""),"GL1803028")</f>
        <v>GL1803028</v>
      </c>
      <c r="R40" s="16">
        <f>IFERROR(__xludf.DUMMYFUNCTION("""COMPUTED_VALUE"""),43154.0)</f>
        <v>43154</v>
      </c>
      <c r="S40" s="6" t="str">
        <f>IFERROR(__xludf.DUMMYFUNCTION("""COMPUTED_VALUE"""),"-")</f>
        <v>-</v>
      </c>
      <c r="T40" s="13">
        <f>IFERROR(__xludf.DUMMYFUNCTION("""COMPUTED_VALUE"""),43231.0)</f>
        <v>43231</v>
      </c>
    </row>
    <row r="41">
      <c r="A41" s="6" t="str">
        <f>IFERROR(__xludf.DUMMYFUNCTION("""COMPUTED_VALUE"""),"181750063-1")</f>
        <v>181750063-1</v>
      </c>
      <c r="B41" s="6" t="str">
        <f>IFERROR(__xludf.DUMMYFUNCTION("""COMPUTED_VALUE"""),"181750063 - Approved")</f>
        <v>181750063 - Approved</v>
      </c>
      <c r="C41" s="6">
        <f>IFERROR(__xludf.DUMMYFUNCTION("""COMPUTED_VALUE"""),1.0)</f>
        <v>1</v>
      </c>
      <c r="D41" s="6" t="str">
        <f>IFERROR(__xludf.DUMMYFUNCTION("""COMPUTED_VALUE"""),"S-60002-00")</f>
        <v>S-60002-00</v>
      </c>
      <c r="E41" s="6" t="str">
        <f>IFERROR(__xludf.DUMMYFUNCTION("""COMPUTED_VALUE"""),"Remote Service assistance; 4 hours connection package + SW Engineer preparation")</f>
        <v>Remote Service assistance; 4 hours connection package + SW Engineer preparation</v>
      </c>
      <c r="F41" s="6">
        <f>IFERROR(__xludf.DUMMYFUNCTION("""COMPUTED_VALUE"""),1.0)</f>
        <v>1</v>
      </c>
      <c r="G41" s="6" t="str">
        <f>IFERROR(__xludf.DUMMYFUNCTION("""COMPUTED_VALUE"""),"Lot")</f>
        <v>Lot</v>
      </c>
      <c r="H41" s="6" t="str">
        <f>IFERROR(__xludf.DUMMYFUNCTION("""COMPUTED_VALUE"""),"EUR")</f>
        <v>EUR</v>
      </c>
      <c r="I41" s="11">
        <f>IFERROR(__xludf.DUMMYFUNCTION("""COMPUTED_VALUE"""),1400.0)</f>
        <v>1400</v>
      </c>
      <c r="J41" s="11">
        <f>IFERROR(__xludf.DUMMYFUNCTION("""COMPUTED_VALUE"""),1400.0)</f>
        <v>1400</v>
      </c>
      <c r="K41" s="13">
        <f>IFERROR(__xludf.DUMMYFUNCTION("""COMPUTED_VALUE"""),43168.0)</f>
        <v>43168</v>
      </c>
      <c r="L41" s="6" t="str">
        <f>IFERROR(__xludf.DUMMYFUNCTION("""COMPUTED_VALUE"""),"FIP General")</f>
        <v>FIP General</v>
      </c>
      <c r="M41" s="6" t="str">
        <f>IFERROR(__xludf.DUMMYFUNCTION("""COMPUTED_VALUE"""),"Iman Dwinanto")</f>
        <v>Iman Dwinanto</v>
      </c>
      <c r="N41" s="6" t="str">
        <f>IFERROR(__xludf.DUMMYFUNCTION("""COMPUTED_VALUE"""),"FIP Engineering")</f>
        <v>FIP Engineering</v>
      </c>
      <c r="O41" s="6" t="str">
        <f>IFERROR(__xludf.DUMMYFUNCTION("""COMPUTED_VALUE"""),"FIP-DOM-ENG-51508-0000000-INA-000000")</f>
        <v>FIP-DOM-ENG-51508-0000000-INA-000000</v>
      </c>
      <c r="P41" s="6" t="str">
        <f>IFERROR(__xludf.DUMMYFUNCTION("""COMPUTED_VALUE"""),"PO Closed")</f>
        <v>PO Closed</v>
      </c>
      <c r="Q41" s="6" t="str">
        <f>IFERROR(__xludf.DUMMYFUNCTION("""COMPUTED_VALUE"""),"GL1802054")</f>
        <v>GL1802054</v>
      </c>
      <c r="R41" s="16">
        <f>IFERROR(__xludf.DUMMYFUNCTION("""COMPUTED_VALUE"""),43156.0)</f>
        <v>43156</v>
      </c>
      <c r="S41" s="6" t="str">
        <f>IFERROR(__xludf.DUMMYFUNCTION("""COMPUTED_VALUE"""),"-")</f>
        <v>-</v>
      </c>
      <c r="T41" s="13">
        <f>IFERROR(__xludf.DUMMYFUNCTION("""COMPUTED_VALUE"""),43189.0)</f>
        <v>43189</v>
      </c>
    </row>
    <row r="42">
      <c r="A42" s="6" t="str">
        <f>IFERROR(__xludf.DUMMYFUNCTION("""COMPUTED_VALUE"""),"181750064-1")</f>
        <v>181750064-1</v>
      </c>
      <c r="B42" s="6" t="str">
        <f>IFERROR(__xludf.DUMMYFUNCTION("""COMPUTED_VALUE"""),"181750064 - Approved")</f>
        <v>181750064 - Approved</v>
      </c>
      <c r="C42" s="6">
        <f>IFERROR(__xludf.DUMMYFUNCTION("""COMPUTED_VALUE"""),1.0)</f>
        <v>1</v>
      </c>
      <c r="D42" s="6" t="str">
        <f>IFERROR(__xludf.DUMMYFUNCTION("""COMPUTED_VALUE"""),"S-60002-00")</f>
        <v>S-60002-00</v>
      </c>
      <c r="E42" s="6" t="str">
        <f>IFERROR(__xludf.DUMMYFUNCTION("""COMPUTED_VALUE"""),"Parts untuk perbaikan isolator Skan; Pneum Gasket for SKAN P/N : 1015746")</f>
        <v>Parts untuk perbaikan isolator Skan; Pneum Gasket for SKAN P/N : 1015746</v>
      </c>
      <c r="F42" s="6">
        <f>IFERROR(__xludf.DUMMYFUNCTION("""COMPUTED_VALUE"""),1.0)</f>
        <v>1</v>
      </c>
      <c r="G42" s="6" t="str">
        <f>IFERROR(__xludf.DUMMYFUNCTION("""COMPUTED_VALUE"""),"Lot")</f>
        <v>Lot</v>
      </c>
      <c r="H42" s="6" t="str">
        <f>IFERROR(__xludf.DUMMYFUNCTION("""COMPUTED_VALUE"""),"IDR")</f>
        <v>IDR</v>
      </c>
      <c r="I42" s="11">
        <f>IFERROR(__xludf.DUMMYFUNCTION("""COMPUTED_VALUE"""),2.612E7)</f>
        <v>26120000</v>
      </c>
      <c r="J42" s="11">
        <f>IFERROR(__xludf.DUMMYFUNCTION("""COMPUTED_VALUE"""),2.612E7)</f>
        <v>26120000</v>
      </c>
      <c r="K42" s="13">
        <f>IFERROR(__xludf.DUMMYFUNCTION("""COMPUTED_VALUE"""),43234.0)</f>
        <v>43234</v>
      </c>
      <c r="L42" s="6" t="str">
        <f>IFERROR(__xludf.DUMMYFUNCTION("""COMPUTED_VALUE"""),"FIP General")</f>
        <v>FIP General</v>
      </c>
      <c r="M42" s="6" t="str">
        <f>IFERROR(__xludf.DUMMYFUNCTION("""COMPUTED_VALUE"""),"Iman Dwinanto")</f>
        <v>Iman Dwinanto</v>
      </c>
      <c r="N42" s="6" t="str">
        <f>IFERROR(__xludf.DUMMYFUNCTION("""COMPUTED_VALUE"""),"FIP Engineering")</f>
        <v>FIP Engineering</v>
      </c>
      <c r="O42" s="6" t="str">
        <f>IFERROR(__xludf.DUMMYFUNCTION("""COMPUTED_VALUE"""),"FIP-DOM-ENG-51508-0000000-INA-000000")</f>
        <v>FIP-DOM-ENG-51508-0000000-INA-000000</v>
      </c>
      <c r="P42" s="6" t="str">
        <f>IFERROR(__xludf.DUMMYFUNCTION("""COMPUTED_VALUE"""),"PO Closed")</f>
        <v>PO Closed</v>
      </c>
      <c r="Q42" s="6" t="str">
        <f>IFERROR(__xludf.DUMMYFUNCTION("""COMPUTED_VALUE"""),"GL1803029")</f>
        <v>GL1803029</v>
      </c>
      <c r="R42" s="16">
        <f>IFERROR(__xludf.DUMMYFUNCTION("""COMPUTED_VALUE"""),43158.0)</f>
        <v>43158</v>
      </c>
      <c r="S42" s="6" t="str">
        <f>IFERROR(__xludf.DUMMYFUNCTION("""COMPUTED_VALUE"""),"-")</f>
        <v>-</v>
      </c>
      <c r="T42" s="13">
        <f>IFERROR(__xludf.DUMMYFUNCTION("""COMPUTED_VALUE"""),43210.0)</f>
        <v>43210</v>
      </c>
    </row>
    <row r="43">
      <c r="A43" s="6" t="str">
        <f>IFERROR(__xludf.DUMMYFUNCTION("""COMPUTED_VALUE"""),"181750060-12")</f>
        <v>181750060-12</v>
      </c>
      <c r="B43" s="6" t="str">
        <f>IFERROR(__xludf.DUMMYFUNCTION("""COMPUTED_VALUE"""),"181750060 - Approved")</f>
        <v>181750060 - Approved</v>
      </c>
      <c r="C43" s="6">
        <f>IFERROR(__xludf.DUMMYFUNCTION("""COMPUTED_VALUE"""),12.0)</f>
        <v>12</v>
      </c>
      <c r="D43" s="6" t="str">
        <f>IFERROR(__xludf.DUMMYFUNCTION("""COMPUTED_VALUE"""),"P-15429-00")</f>
        <v>P-15429-00</v>
      </c>
      <c r="E43" s="6" t="str">
        <f>IFERROR(__xludf.DUMMYFUNCTION("""COMPUTED_VALUE"""),"Fedegari FVA2/A1 S/N : NB2964AT - Cover Seal FVM-A/2 FOB2 (Code: PP600265); ; ;")</f>
        <v>Fedegari FVA2/A1 S/N : NB2964AT - Cover Seal FVM-A/2 FOB2 (Code: PP600265); ; ;</v>
      </c>
      <c r="F43" s="6">
        <f>IFERROR(__xludf.DUMMYFUNCTION("""COMPUTED_VALUE"""),2.0)</f>
        <v>2</v>
      </c>
      <c r="G43" s="6" t="str">
        <f>IFERROR(__xludf.DUMMYFUNCTION("""COMPUTED_VALUE"""),"Unit")</f>
        <v>Unit</v>
      </c>
      <c r="H43" s="6" t="str">
        <f>IFERROR(__xludf.DUMMYFUNCTION("""COMPUTED_VALUE"""),"EUR")</f>
        <v>EUR</v>
      </c>
      <c r="I43" s="11">
        <f>IFERROR(__xludf.DUMMYFUNCTION("""COMPUTED_VALUE"""),182.02)</f>
        <v>182.02</v>
      </c>
      <c r="J43" s="11">
        <f>IFERROR(__xludf.DUMMYFUNCTION("""COMPUTED_VALUE"""),364.04)</f>
        <v>364.04</v>
      </c>
      <c r="K43" s="13">
        <f>IFERROR(__xludf.DUMMYFUNCTION("""COMPUTED_VALUE"""),43221.0)</f>
        <v>43221</v>
      </c>
      <c r="L43" s="6" t="str">
        <f>IFERROR(__xludf.DUMMYFUNCTION("""COMPUTED_VALUE"""),"FIP Engineering")</f>
        <v>FIP Engineering</v>
      </c>
      <c r="M43" s="6" t="str">
        <f>IFERROR(__xludf.DUMMYFUNCTION("""COMPUTED_VALUE"""),"Joko Nugroho")</f>
        <v>Joko Nugroho</v>
      </c>
      <c r="N43" s="6" t="str">
        <f>IFERROR(__xludf.DUMMYFUNCTION("""COMPUTED_VALUE"""),"FIP Engineering")</f>
        <v>FIP Engineering</v>
      </c>
      <c r="O43" s="6" t="str">
        <f>IFERROR(__xludf.DUMMYFUNCTION("""COMPUTED_VALUE"""),"FIP-DOM-000-11304-OS00001-INA-000000")</f>
        <v>FIP-DOM-000-11304-OS00001-INA-000000</v>
      </c>
      <c r="P43" s="6" t="str">
        <f>IFERROR(__xludf.DUMMYFUNCTION("""COMPUTED_VALUE"""),"PO Closed")</f>
        <v>PO Closed</v>
      </c>
      <c r="Q43" s="6" t="str">
        <f>IFERROR(__xludf.DUMMYFUNCTION("""COMPUTED_VALUE"""),"GL1803040")</f>
        <v>GL1803040</v>
      </c>
      <c r="R43" s="16">
        <f>IFERROR(__xludf.DUMMYFUNCTION("""COMPUTED_VALUE"""),43158.0)</f>
        <v>43158</v>
      </c>
      <c r="S43" s="6" t="str">
        <f>IFERROR(__xludf.DUMMYFUNCTION("""COMPUTED_VALUE"""),"-")</f>
        <v>-</v>
      </c>
      <c r="T43" s="13">
        <f>IFERROR(__xludf.DUMMYFUNCTION("""COMPUTED_VALUE"""),43279.0)</f>
        <v>43279</v>
      </c>
    </row>
    <row r="44">
      <c r="A44" s="6" t="str">
        <f>IFERROR(__xludf.DUMMYFUNCTION("""COMPUTED_VALUE"""),"181750062-3")</f>
        <v>181750062-3</v>
      </c>
      <c r="B44" s="6" t="str">
        <f>IFERROR(__xludf.DUMMYFUNCTION("""COMPUTED_VALUE"""),"181750062 - Approved")</f>
        <v>181750062 - Approved</v>
      </c>
      <c r="C44" s="6">
        <f>IFERROR(__xludf.DUMMYFUNCTION("""COMPUTED_VALUE"""),3.0)</f>
        <v>3</v>
      </c>
      <c r="D44" s="6" t="str">
        <f>IFERROR(__xludf.DUMMYFUNCTION("""COMPUTED_VALUE"""),"O-51000-00")</f>
        <v>O-51000-00</v>
      </c>
      <c r="E44" s="6" t="str">
        <f>IFERROR(__xludf.DUMMYFUNCTION("""COMPUTED_VALUE"""),"Colamark - Print Head for Part TTO Domino p/n EPP001359 SP; ; ;")</f>
        <v>Colamark - Print Head for Part TTO Domino p/n EPP001359 SP; ; ;</v>
      </c>
      <c r="F44" s="6">
        <f>IFERROR(__xludf.DUMMYFUNCTION("""COMPUTED_VALUE"""),1.0)</f>
        <v>1</v>
      </c>
      <c r="G44" s="6" t="str">
        <f>IFERROR(__xludf.DUMMYFUNCTION("""COMPUTED_VALUE"""),"Pieces")</f>
        <v>Pieces</v>
      </c>
      <c r="H44" s="6" t="str">
        <f>IFERROR(__xludf.DUMMYFUNCTION("""COMPUTED_VALUE"""),"IDR")</f>
        <v>IDR</v>
      </c>
      <c r="I44" s="11">
        <f>IFERROR(__xludf.DUMMYFUNCTION("""COMPUTED_VALUE"""),1.0824E7)</f>
        <v>10824000</v>
      </c>
      <c r="J44" s="11">
        <f>IFERROR(__xludf.DUMMYFUNCTION("""COMPUTED_VALUE"""),1.0824E7)</f>
        <v>10824000</v>
      </c>
      <c r="K44" s="13">
        <f>IFERROR(__xludf.DUMMYFUNCTION("""COMPUTED_VALUE"""),43168.0)</f>
        <v>43168</v>
      </c>
      <c r="L44" s="6" t="str">
        <f>IFERROR(__xludf.DUMMYFUNCTION("""COMPUTED_VALUE"""),"FIP General")</f>
        <v>FIP General</v>
      </c>
      <c r="M44" s="6" t="str">
        <f>IFERROR(__xludf.DUMMYFUNCTION("""COMPUTED_VALUE"""),"Joko Nugroho")</f>
        <v>Joko Nugroho</v>
      </c>
      <c r="N44" s="6" t="str">
        <f>IFERROR(__xludf.DUMMYFUNCTION("""COMPUTED_VALUE"""),"FIP Engineering")</f>
        <v>FIP Engineering</v>
      </c>
      <c r="O44" s="6" t="str">
        <f>IFERROR(__xludf.DUMMYFUNCTION("""COMPUTED_VALUE"""),"FIP-DOM-ENG-51504-0000000-INA-000000")</f>
        <v>FIP-DOM-ENG-51504-0000000-INA-000000</v>
      </c>
      <c r="P44" s="6" t="str">
        <f>IFERROR(__xludf.DUMMYFUNCTION("""COMPUTED_VALUE"""),"PO Closed")</f>
        <v>PO Closed</v>
      </c>
      <c r="Q44" s="6" t="str">
        <f>IFERROR(__xludf.DUMMYFUNCTION("""COMPUTED_VALUE"""),"GL1803053")</f>
        <v>GL1803053</v>
      </c>
      <c r="R44" s="16">
        <f>IFERROR(__xludf.DUMMYFUNCTION("""COMPUTED_VALUE"""),43159.0)</f>
        <v>43159</v>
      </c>
      <c r="S44" s="6" t="str">
        <f>IFERROR(__xludf.DUMMYFUNCTION("""COMPUTED_VALUE"""),"-")</f>
        <v>-</v>
      </c>
      <c r="T44" s="13">
        <f>IFERROR(__xludf.DUMMYFUNCTION("""COMPUTED_VALUE"""),43195.0)</f>
        <v>43195</v>
      </c>
    </row>
    <row r="45">
      <c r="A45" s="6" t="str">
        <f>IFERROR(__xludf.DUMMYFUNCTION("""COMPUTED_VALUE"""),"181750073-1")</f>
        <v>181750073-1</v>
      </c>
      <c r="B45" s="6" t="str">
        <f>IFERROR(__xludf.DUMMYFUNCTION("""COMPUTED_VALUE"""),"181750073 - Approved")</f>
        <v>181750073 - Approved</v>
      </c>
      <c r="C45" s="6">
        <f>IFERROR(__xludf.DUMMYFUNCTION("""COMPUTED_VALUE"""),1.0)</f>
        <v>1</v>
      </c>
      <c r="D45" s="6" t="str">
        <f>IFERROR(__xludf.DUMMYFUNCTION("""COMPUTED_VALUE"""),"O-14621-00")</f>
        <v>O-14621-00</v>
      </c>
      <c r="E45" s="6" t="str">
        <f>IFERROR(__xludf.DUMMYFUNCTION("""COMPUTED_VALUE"""),"Coil U2 11W 24VDC; Univer; c/n 5233;")</f>
        <v>Coil U2 11W 24VDC; Univer; c/n 5233;</v>
      </c>
      <c r="F45" s="6">
        <f>IFERROR(__xludf.DUMMYFUNCTION("""COMPUTED_VALUE"""),2.0)</f>
        <v>2</v>
      </c>
      <c r="G45" s="6" t="str">
        <f>IFERROR(__xludf.DUMMYFUNCTION("""COMPUTED_VALUE"""),"Unit")</f>
        <v>Unit</v>
      </c>
      <c r="H45" s="6" t="str">
        <f>IFERROR(__xludf.DUMMYFUNCTION("""COMPUTED_VALUE"""),"EUR")</f>
        <v>EUR</v>
      </c>
      <c r="I45" s="11">
        <f>IFERROR(__xludf.DUMMYFUNCTION("""COMPUTED_VALUE"""),26.0)</f>
        <v>26</v>
      </c>
      <c r="J45" s="11">
        <f>IFERROR(__xludf.DUMMYFUNCTION("""COMPUTED_VALUE"""),52.0)</f>
        <v>52</v>
      </c>
      <c r="K45" s="13">
        <f>IFERROR(__xludf.DUMMYFUNCTION("""COMPUTED_VALUE"""),43234.0)</f>
        <v>43234</v>
      </c>
      <c r="L45" s="6" t="str">
        <f>IFERROR(__xludf.DUMMYFUNCTION("""COMPUTED_VALUE"""),"FIP Engineering")</f>
        <v>FIP Engineering</v>
      </c>
      <c r="M45" s="6" t="str">
        <f>IFERROR(__xludf.DUMMYFUNCTION("""COMPUTED_VALUE"""),"Joko Nugroho")</f>
        <v>Joko Nugroho</v>
      </c>
      <c r="N45" s="6" t="str">
        <f>IFERROR(__xludf.DUMMYFUNCTION("""COMPUTED_VALUE"""),"FIP Engineering")</f>
        <v>FIP Engineering</v>
      </c>
      <c r="O45" s="6" t="str">
        <f>IFERROR(__xludf.DUMMYFUNCTION("""COMPUTED_VALUE"""),"FIP-DOM-000-11304-OS00001-INA-000000")</f>
        <v>FIP-DOM-000-11304-OS00001-INA-000000</v>
      </c>
      <c r="P45" s="6" t="str">
        <f>IFERROR(__xludf.DUMMYFUNCTION("""COMPUTED_VALUE"""),"PO Closed")</f>
        <v>PO Closed</v>
      </c>
      <c r="Q45" s="6" t="str">
        <f>IFERROR(__xludf.DUMMYFUNCTION("""COMPUTED_VALUE"""),"GL1804055")</f>
        <v>GL1804055</v>
      </c>
      <c r="R45" s="16">
        <f>IFERROR(__xludf.DUMMYFUNCTION("""COMPUTED_VALUE"""),43161.0)</f>
        <v>43161</v>
      </c>
      <c r="S45" s="6" t="str">
        <f>IFERROR(__xludf.DUMMYFUNCTION("""COMPUTED_VALUE"""),"-")</f>
        <v>-</v>
      </c>
      <c r="T45" s="13">
        <f>IFERROR(__xludf.DUMMYFUNCTION("""COMPUTED_VALUE"""),43347.0)</f>
        <v>43347</v>
      </c>
    </row>
    <row r="46">
      <c r="A46" s="6" t="str">
        <f>IFERROR(__xludf.DUMMYFUNCTION("""COMPUTED_VALUE"""),"181750073-3")</f>
        <v>181750073-3</v>
      </c>
      <c r="B46" s="6" t="str">
        <f>IFERROR(__xludf.DUMMYFUNCTION("""COMPUTED_VALUE"""),"181750073 - Approved")</f>
        <v>181750073 - Approved</v>
      </c>
      <c r="C46" s="6">
        <f>IFERROR(__xludf.DUMMYFUNCTION("""COMPUTED_VALUE"""),3.0)</f>
        <v>3</v>
      </c>
      <c r="D46" s="6" t="str">
        <f>IFERROR(__xludf.DUMMYFUNCTION("""COMPUTED_VALUE"""),"S-60002-00")</f>
        <v>S-60002-00</v>
      </c>
      <c r="E46" s="6" t="str">
        <f>IFERROR(__xludf.DUMMYFUNCTION("""COMPUTED_VALUE"""),"Instrument Calibration Certificate")</f>
        <v>Instrument Calibration Certificate</v>
      </c>
      <c r="F46" s="6">
        <f>IFERROR(__xludf.DUMMYFUNCTION("""COMPUTED_VALUE"""),6.0)</f>
        <v>6</v>
      </c>
      <c r="G46" s="6" t="str">
        <f>IFERROR(__xludf.DUMMYFUNCTION("""COMPUTED_VALUE"""),"Lot")</f>
        <v>Lot</v>
      </c>
      <c r="H46" s="6" t="str">
        <f>IFERROR(__xludf.DUMMYFUNCTION("""COMPUTED_VALUE"""),"EUR")</f>
        <v>EUR</v>
      </c>
      <c r="I46" s="11">
        <f>IFERROR(__xludf.DUMMYFUNCTION("""COMPUTED_VALUE"""),26.0)</f>
        <v>26</v>
      </c>
      <c r="J46" s="11">
        <f>IFERROR(__xludf.DUMMYFUNCTION("""COMPUTED_VALUE"""),156.0)</f>
        <v>156</v>
      </c>
      <c r="K46" s="13">
        <f>IFERROR(__xludf.DUMMYFUNCTION("""COMPUTED_VALUE"""),43234.0)</f>
        <v>43234</v>
      </c>
      <c r="L46" s="6" t="str">
        <f>IFERROR(__xludf.DUMMYFUNCTION("""COMPUTED_VALUE"""),"FIP General")</f>
        <v>FIP General</v>
      </c>
      <c r="M46" s="6" t="str">
        <f>IFERROR(__xludf.DUMMYFUNCTION("""COMPUTED_VALUE"""),"Joko Nugroho")</f>
        <v>Joko Nugroho</v>
      </c>
      <c r="N46" s="6" t="str">
        <f>IFERROR(__xludf.DUMMYFUNCTION("""COMPUTED_VALUE"""),"FIP Engineering")</f>
        <v>FIP Engineering</v>
      </c>
      <c r="O46" s="6" t="str">
        <f>IFERROR(__xludf.DUMMYFUNCTION("""COMPUTED_VALUE"""),"FIP-DOM-ENG-51508-0000000-INA-000000")</f>
        <v>FIP-DOM-ENG-51508-0000000-INA-000000</v>
      </c>
      <c r="P46" s="6" t="str">
        <f>IFERROR(__xludf.DUMMYFUNCTION("""COMPUTED_VALUE"""),"PO Closed")</f>
        <v>PO Closed</v>
      </c>
      <c r="Q46" s="6" t="str">
        <f>IFERROR(__xludf.DUMMYFUNCTION("""COMPUTED_VALUE"""),"GL1804055")</f>
        <v>GL1804055</v>
      </c>
      <c r="R46" s="16">
        <f>IFERROR(__xludf.DUMMYFUNCTION("""COMPUTED_VALUE"""),43161.0)</f>
        <v>43161</v>
      </c>
      <c r="S46" s="6" t="str">
        <f>IFERROR(__xludf.DUMMYFUNCTION("""COMPUTED_VALUE"""),"-")</f>
        <v>-</v>
      </c>
      <c r="T46" s="13">
        <f>IFERROR(__xludf.DUMMYFUNCTION("""COMPUTED_VALUE"""),43347.0)</f>
        <v>43347</v>
      </c>
    </row>
    <row r="47">
      <c r="A47" s="6" t="str">
        <f>IFERROR(__xludf.DUMMYFUNCTION("""COMPUTED_VALUE"""),"181750073-4")</f>
        <v>181750073-4</v>
      </c>
      <c r="B47" s="6" t="str">
        <f>IFERROR(__xludf.DUMMYFUNCTION("""COMPUTED_VALUE"""),"181750073 - Approved")</f>
        <v>181750073 - Approved</v>
      </c>
      <c r="C47" s="6">
        <f>IFERROR(__xludf.DUMMYFUNCTION("""COMPUTED_VALUE"""),4.0)</f>
        <v>4</v>
      </c>
      <c r="D47" s="6" t="str">
        <f>IFERROR(__xludf.DUMMYFUNCTION("""COMPUTED_VALUE"""),"O-14618-00")</f>
        <v>O-14618-00</v>
      </c>
      <c r="E47" s="6" t="str">
        <f>IFERROR(__xludf.DUMMYFUNCTION("""COMPUTED_VALUE"""),"Pneumatic pincher silicone cover sleeve; ; c/n 15927;")</f>
        <v>Pneumatic pincher silicone cover sleeve; ; c/n 15927;</v>
      </c>
      <c r="F47" s="6">
        <f>IFERROR(__xludf.DUMMYFUNCTION("""COMPUTED_VALUE"""),10.0)</f>
        <v>10</v>
      </c>
      <c r="G47" s="6" t="str">
        <f>IFERROR(__xludf.DUMMYFUNCTION("""COMPUTED_VALUE"""),"Unit")</f>
        <v>Unit</v>
      </c>
      <c r="H47" s="6" t="str">
        <f>IFERROR(__xludf.DUMMYFUNCTION("""COMPUTED_VALUE"""),"EUR")</f>
        <v>EUR</v>
      </c>
      <c r="I47" s="11">
        <f>IFERROR(__xludf.DUMMYFUNCTION("""COMPUTED_VALUE"""),66.0)</f>
        <v>66</v>
      </c>
      <c r="J47" s="11">
        <f>IFERROR(__xludf.DUMMYFUNCTION("""COMPUTED_VALUE"""),660.0)</f>
        <v>660</v>
      </c>
      <c r="K47" s="13">
        <f>IFERROR(__xludf.DUMMYFUNCTION("""COMPUTED_VALUE"""),43234.0)</f>
        <v>43234</v>
      </c>
      <c r="L47" s="6" t="str">
        <f>IFERROR(__xludf.DUMMYFUNCTION("""COMPUTED_VALUE"""),"FIP Engineering")</f>
        <v>FIP Engineering</v>
      </c>
      <c r="M47" s="6" t="str">
        <f>IFERROR(__xludf.DUMMYFUNCTION("""COMPUTED_VALUE"""),"Joko Nugroho")</f>
        <v>Joko Nugroho</v>
      </c>
      <c r="N47" s="6" t="str">
        <f>IFERROR(__xludf.DUMMYFUNCTION("""COMPUTED_VALUE"""),"FIP Engineering")</f>
        <v>FIP Engineering</v>
      </c>
      <c r="O47" s="6" t="str">
        <f>IFERROR(__xludf.DUMMYFUNCTION("""COMPUTED_VALUE"""),"FIP-DOM-000-11304-OS00001-INA-000000")</f>
        <v>FIP-DOM-000-11304-OS00001-INA-000000</v>
      </c>
      <c r="P47" s="6" t="str">
        <f>IFERROR(__xludf.DUMMYFUNCTION("""COMPUTED_VALUE"""),"PO Closed")</f>
        <v>PO Closed</v>
      </c>
      <c r="Q47" s="6" t="str">
        <f>IFERROR(__xludf.DUMMYFUNCTION("""COMPUTED_VALUE"""),"GL1804055")</f>
        <v>GL1804055</v>
      </c>
      <c r="R47" s="16">
        <f>IFERROR(__xludf.DUMMYFUNCTION("""COMPUTED_VALUE"""),43161.0)</f>
        <v>43161</v>
      </c>
      <c r="S47" s="6" t="str">
        <f>IFERROR(__xludf.DUMMYFUNCTION("""COMPUTED_VALUE"""),"-")</f>
        <v>-</v>
      </c>
      <c r="T47" s="13">
        <f>IFERROR(__xludf.DUMMYFUNCTION("""COMPUTED_VALUE"""),43347.0)</f>
        <v>43347</v>
      </c>
    </row>
    <row r="48">
      <c r="A48" s="6" t="str">
        <f>IFERROR(__xludf.DUMMYFUNCTION("""COMPUTED_VALUE"""),"181750073-5")</f>
        <v>181750073-5</v>
      </c>
      <c r="B48" s="6" t="str">
        <f>IFERROR(__xludf.DUMMYFUNCTION("""COMPUTED_VALUE"""),"181750073 - Approved")</f>
        <v>181750073 - Approved</v>
      </c>
      <c r="C48" s="6">
        <f>IFERROR(__xludf.DUMMYFUNCTION("""COMPUTED_VALUE"""),5.0)</f>
        <v>5</v>
      </c>
      <c r="D48" s="6" t="str">
        <f>IFERROR(__xludf.DUMMYFUNCTION("""COMPUTED_VALUE"""),"O-14617-00")</f>
        <v>O-14617-00</v>
      </c>
      <c r="E48" s="6" t="str">
        <f>IFERROR(__xludf.DUMMYFUNCTION("""COMPUTED_VALUE"""),"Solenoid valve 2/2 ways NC 4,5mm; ; c/n 28582;")</f>
        <v>Solenoid valve 2/2 ways NC 4,5mm; ; c/n 28582;</v>
      </c>
      <c r="F48" s="6">
        <f>IFERROR(__xludf.DUMMYFUNCTION("""COMPUTED_VALUE"""),4.0)</f>
        <v>4</v>
      </c>
      <c r="G48" s="6" t="str">
        <f>IFERROR(__xludf.DUMMYFUNCTION("""COMPUTED_VALUE"""),"Unit")</f>
        <v>Unit</v>
      </c>
      <c r="H48" s="6" t="str">
        <f>IFERROR(__xludf.DUMMYFUNCTION("""COMPUTED_VALUE"""),"EUR")</f>
        <v>EUR</v>
      </c>
      <c r="I48" s="11">
        <f>IFERROR(__xludf.DUMMYFUNCTION("""COMPUTED_VALUE"""),88.0)</f>
        <v>88</v>
      </c>
      <c r="J48" s="11">
        <f>IFERROR(__xludf.DUMMYFUNCTION("""COMPUTED_VALUE"""),352.0)</f>
        <v>352</v>
      </c>
      <c r="K48" s="13">
        <f>IFERROR(__xludf.DUMMYFUNCTION("""COMPUTED_VALUE"""),43234.0)</f>
        <v>43234</v>
      </c>
      <c r="L48" s="6" t="str">
        <f>IFERROR(__xludf.DUMMYFUNCTION("""COMPUTED_VALUE"""),"FIP Engineering")</f>
        <v>FIP Engineering</v>
      </c>
      <c r="M48" s="6" t="str">
        <f>IFERROR(__xludf.DUMMYFUNCTION("""COMPUTED_VALUE"""),"Joko Nugroho")</f>
        <v>Joko Nugroho</v>
      </c>
      <c r="N48" s="6" t="str">
        <f>IFERROR(__xludf.DUMMYFUNCTION("""COMPUTED_VALUE"""),"FIP Engineering")</f>
        <v>FIP Engineering</v>
      </c>
      <c r="O48" s="6" t="str">
        <f>IFERROR(__xludf.DUMMYFUNCTION("""COMPUTED_VALUE"""),"FIP-DOM-000-11304-OS00001-INA-000000")</f>
        <v>FIP-DOM-000-11304-OS00001-INA-000000</v>
      </c>
      <c r="P48" s="6" t="str">
        <f>IFERROR(__xludf.DUMMYFUNCTION("""COMPUTED_VALUE"""),"PO Closed")</f>
        <v>PO Closed</v>
      </c>
      <c r="Q48" s="6" t="str">
        <f>IFERROR(__xludf.DUMMYFUNCTION("""COMPUTED_VALUE"""),"GL1804055")</f>
        <v>GL1804055</v>
      </c>
      <c r="R48" s="16">
        <f>IFERROR(__xludf.DUMMYFUNCTION("""COMPUTED_VALUE"""),43161.0)</f>
        <v>43161</v>
      </c>
      <c r="S48" s="6" t="str">
        <f>IFERROR(__xludf.DUMMYFUNCTION("""COMPUTED_VALUE"""),"-")</f>
        <v>-</v>
      </c>
      <c r="T48" s="13">
        <f>IFERROR(__xludf.DUMMYFUNCTION("""COMPUTED_VALUE"""),43347.0)</f>
        <v>43347</v>
      </c>
    </row>
    <row r="49">
      <c r="A49" s="6" t="str">
        <f>IFERROR(__xludf.DUMMYFUNCTION("""COMPUTED_VALUE"""),"181750073-6")</f>
        <v>181750073-6</v>
      </c>
      <c r="B49" s="6" t="str">
        <f>IFERROR(__xludf.DUMMYFUNCTION("""COMPUTED_VALUE"""),"181750073 - Approved")</f>
        <v>181750073 - Approved</v>
      </c>
      <c r="C49" s="6">
        <f>IFERROR(__xludf.DUMMYFUNCTION("""COMPUTED_VALUE"""),6.0)</f>
        <v>6</v>
      </c>
      <c r="D49" s="6" t="str">
        <f>IFERROR(__xludf.DUMMYFUNCTION("""COMPUTED_VALUE"""),"O-15905-00")</f>
        <v>O-15905-00</v>
      </c>
      <c r="E49" s="6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F49" s="6">
        <f>IFERROR(__xludf.DUMMYFUNCTION("""COMPUTED_VALUE"""),1.0)</f>
        <v>1</v>
      </c>
      <c r="G49" s="6" t="str">
        <f>IFERROR(__xludf.DUMMYFUNCTION("""COMPUTED_VALUE"""),"Unit")</f>
        <v>Unit</v>
      </c>
      <c r="H49" s="6" t="str">
        <f>IFERROR(__xludf.DUMMYFUNCTION("""COMPUTED_VALUE"""),"EUR")</f>
        <v>EUR</v>
      </c>
      <c r="I49" s="11">
        <f>IFERROR(__xludf.DUMMYFUNCTION("""COMPUTED_VALUE"""),296.0)</f>
        <v>296</v>
      </c>
      <c r="J49" s="11">
        <f>IFERROR(__xludf.DUMMYFUNCTION("""COMPUTED_VALUE"""),296.0)</f>
        <v>296</v>
      </c>
      <c r="K49" s="13">
        <f>IFERROR(__xludf.DUMMYFUNCTION("""COMPUTED_VALUE"""),43234.0)</f>
        <v>43234</v>
      </c>
      <c r="L49" s="6" t="str">
        <f>IFERROR(__xludf.DUMMYFUNCTION("""COMPUTED_VALUE"""),"FIP Engineering")</f>
        <v>FIP Engineering</v>
      </c>
      <c r="M49" s="6" t="str">
        <f>IFERROR(__xludf.DUMMYFUNCTION("""COMPUTED_VALUE"""),"Joko Nugroho")</f>
        <v>Joko Nugroho</v>
      </c>
      <c r="N49" s="6" t="str">
        <f>IFERROR(__xludf.DUMMYFUNCTION("""COMPUTED_VALUE"""),"FIP Engineering")</f>
        <v>FIP Engineering</v>
      </c>
      <c r="O49" s="6" t="str">
        <f>IFERROR(__xludf.DUMMYFUNCTION("""COMPUTED_VALUE"""),"FIP-DOM-000-11304-OS00001-INA-000000")</f>
        <v>FIP-DOM-000-11304-OS00001-INA-000000</v>
      </c>
      <c r="P49" s="6" t="str">
        <f>IFERROR(__xludf.DUMMYFUNCTION("""COMPUTED_VALUE"""),"PO Closed")</f>
        <v>PO Closed</v>
      </c>
      <c r="Q49" s="6" t="str">
        <f>IFERROR(__xludf.DUMMYFUNCTION("""COMPUTED_VALUE"""),"GL1804055")</f>
        <v>GL1804055</v>
      </c>
      <c r="R49" s="16">
        <f>IFERROR(__xludf.DUMMYFUNCTION("""COMPUTED_VALUE"""),43161.0)</f>
        <v>43161</v>
      </c>
      <c r="S49" s="6" t="str">
        <f>IFERROR(__xludf.DUMMYFUNCTION("""COMPUTED_VALUE"""),"-")</f>
        <v>-</v>
      </c>
      <c r="T49" s="13">
        <f>IFERROR(__xludf.DUMMYFUNCTION("""COMPUTED_VALUE"""),43347.0)</f>
        <v>43347</v>
      </c>
    </row>
    <row r="50">
      <c r="A50" s="6" t="str">
        <f>IFERROR(__xludf.DUMMYFUNCTION("""COMPUTED_VALUE"""),"181750073-7")</f>
        <v>181750073-7</v>
      </c>
      <c r="B50" s="6" t="str">
        <f>IFERROR(__xludf.DUMMYFUNCTION("""COMPUTED_VALUE"""),"181750073 - Approved")</f>
        <v>181750073 - Approved</v>
      </c>
      <c r="C50" s="6">
        <f>IFERROR(__xludf.DUMMYFUNCTION("""COMPUTED_VALUE"""),7.0)</f>
        <v>7</v>
      </c>
      <c r="D50" s="6" t="str">
        <f>IFERROR(__xludf.DUMMYFUNCTION("""COMPUTED_VALUE"""),"S-60002-00")</f>
        <v>S-60002-00</v>
      </c>
      <c r="E50" s="6" t="str">
        <f>IFERROR(__xludf.DUMMYFUNCTION("""COMPUTED_VALUE"""),"Packaging")</f>
        <v>Packaging</v>
      </c>
      <c r="F50" s="6">
        <f>IFERROR(__xludf.DUMMYFUNCTION("""COMPUTED_VALUE"""),1.0)</f>
        <v>1</v>
      </c>
      <c r="G50" s="6" t="str">
        <f>IFERROR(__xludf.DUMMYFUNCTION("""COMPUTED_VALUE"""),"Lot")</f>
        <v>Lot</v>
      </c>
      <c r="H50" s="6" t="str">
        <f>IFERROR(__xludf.DUMMYFUNCTION("""COMPUTED_VALUE"""),"EUR")</f>
        <v>EUR</v>
      </c>
      <c r="I50" s="11">
        <f>IFERROR(__xludf.DUMMYFUNCTION("""COMPUTED_VALUE"""),85.0)</f>
        <v>85</v>
      </c>
      <c r="J50" s="11">
        <f>IFERROR(__xludf.DUMMYFUNCTION("""COMPUTED_VALUE"""),85.0)</f>
        <v>85</v>
      </c>
      <c r="K50" s="13">
        <f>IFERROR(__xludf.DUMMYFUNCTION("""COMPUTED_VALUE"""),43234.0)</f>
        <v>43234</v>
      </c>
      <c r="L50" s="6" t="str">
        <f>IFERROR(__xludf.DUMMYFUNCTION("""COMPUTED_VALUE"""),"FIP General")</f>
        <v>FIP General</v>
      </c>
      <c r="M50" s="6" t="str">
        <f>IFERROR(__xludf.DUMMYFUNCTION("""COMPUTED_VALUE"""),"Joko Nugroho")</f>
        <v>Joko Nugroho</v>
      </c>
      <c r="N50" s="6" t="str">
        <f>IFERROR(__xludf.DUMMYFUNCTION("""COMPUTED_VALUE"""),"FIP Engineering")</f>
        <v>FIP Engineering</v>
      </c>
      <c r="O50" s="6" t="str">
        <f>IFERROR(__xludf.DUMMYFUNCTION("""COMPUTED_VALUE"""),"FIP-DOM-ENG-51508-0000000-INA-000000")</f>
        <v>FIP-DOM-ENG-51508-0000000-INA-000000</v>
      </c>
      <c r="P50" s="6" t="str">
        <f>IFERROR(__xludf.DUMMYFUNCTION("""COMPUTED_VALUE"""),"PO Closed")</f>
        <v>PO Closed</v>
      </c>
      <c r="Q50" s="6" t="str">
        <f>IFERROR(__xludf.DUMMYFUNCTION("""COMPUTED_VALUE"""),"GL1804055")</f>
        <v>GL1804055</v>
      </c>
      <c r="R50" s="16">
        <f>IFERROR(__xludf.DUMMYFUNCTION("""COMPUTED_VALUE"""),43161.0)</f>
        <v>43161</v>
      </c>
      <c r="S50" s="6" t="str">
        <f>IFERROR(__xludf.DUMMYFUNCTION("""COMPUTED_VALUE"""),"-")</f>
        <v>-</v>
      </c>
      <c r="T50" s="13">
        <f>IFERROR(__xludf.DUMMYFUNCTION("""COMPUTED_VALUE"""),43347.0)</f>
        <v>43347</v>
      </c>
    </row>
    <row r="51">
      <c r="A51" s="6" t="str">
        <f>IFERROR(__xludf.DUMMYFUNCTION("""COMPUTED_VALUE"""),"181750075-4")</f>
        <v>181750075-4</v>
      </c>
      <c r="B51" s="6" t="str">
        <f>IFERROR(__xludf.DUMMYFUNCTION("""COMPUTED_VALUE"""),"181750075 - Approved")</f>
        <v>181750075 - Approved</v>
      </c>
      <c r="C51" s="6">
        <f>IFERROR(__xludf.DUMMYFUNCTION("""COMPUTED_VALUE"""),4.0)</f>
        <v>4</v>
      </c>
      <c r="D51" s="6" t="str">
        <f>IFERROR(__xludf.DUMMYFUNCTION("""COMPUTED_VALUE"""),"S-60002-00")</f>
        <v>S-60002-00</v>
      </c>
      <c r="E51" s="6" t="str">
        <f>IFERROR(__xludf.DUMMYFUNCTION("""COMPUTED_VALUE"""),"Ferrule Set; Gasket, Clamp Set; Mat SUS 304 dia 1""")</f>
        <v>Ferrule Set; Gasket, Clamp Set; Mat SUS 304 dia 1"</v>
      </c>
      <c r="F51" s="6">
        <f>IFERROR(__xludf.DUMMYFUNCTION("""COMPUTED_VALUE"""),1.0)</f>
        <v>1</v>
      </c>
      <c r="G51" s="6" t="str">
        <f>IFERROR(__xludf.DUMMYFUNCTION("""COMPUTED_VALUE"""),"Lot")</f>
        <v>Lot</v>
      </c>
      <c r="H51" s="6" t="str">
        <f>IFERROR(__xludf.DUMMYFUNCTION("""COMPUTED_VALUE"""),"IDR")</f>
        <v>IDR</v>
      </c>
      <c r="I51" s="11">
        <f>IFERROR(__xludf.DUMMYFUNCTION("""COMPUTED_VALUE"""),377000.0)</f>
        <v>377000</v>
      </c>
      <c r="J51" s="11">
        <f>IFERROR(__xludf.DUMMYFUNCTION("""COMPUTED_VALUE"""),377000.0)</f>
        <v>377000</v>
      </c>
      <c r="K51" s="13">
        <f>IFERROR(__xludf.DUMMYFUNCTION("""COMPUTED_VALUE"""),43182.0)</f>
        <v>43182</v>
      </c>
      <c r="L51" s="6" t="str">
        <f>IFERROR(__xludf.DUMMYFUNCTION("""COMPUTED_VALUE"""),"FIP General")</f>
        <v>FIP General</v>
      </c>
      <c r="M51" s="6" t="str">
        <f>IFERROR(__xludf.DUMMYFUNCTION("""COMPUTED_VALUE"""),"Joko Nugroho")</f>
        <v>Joko Nugroho</v>
      </c>
      <c r="N51" s="6" t="str">
        <f>IFERROR(__xludf.DUMMYFUNCTION("""COMPUTED_VALUE"""),"FIP Engineering")</f>
        <v>FIP Engineering</v>
      </c>
      <c r="O51" s="6" t="str">
        <f>IFERROR(__xludf.DUMMYFUNCTION("""COMPUTED_VALUE"""),"FIP-DOM-ENG-51508-0000000-INA-000000")</f>
        <v>FIP-DOM-ENG-51508-0000000-INA-000000</v>
      </c>
      <c r="P51" s="6" t="str">
        <f>IFERROR(__xludf.DUMMYFUNCTION("""COMPUTED_VALUE"""),"PO Closed")</f>
        <v>PO Closed</v>
      </c>
      <c r="Q51" s="6" t="str">
        <f>IFERROR(__xludf.DUMMYFUNCTION("""COMPUTED_VALUE"""),"GL1804002")</f>
        <v>GL1804002</v>
      </c>
      <c r="R51" s="16">
        <f>IFERROR(__xludf.DUMMYFUNCTION("""COMPUTED_VALUE"""),43163.0)</f>
        <v>43163</v>
      </c>
      <c r="S51" s="6" t="str">
        <f>IFERROR(__xludf.DUMMYFUNCTION("""COMPUTED_VALUE"""),"-")</f>
        <v>-</v>
      </c>
      <c r="T51" s="13">
        <f>IFERROR(__xludf.DUMMYFUNCTION("""COMPUTED_VALUE"""),43216.0)</f>
        <v>43216</v>
      </c>
    </row>
    <row r="52">
      <c r="A52" s="6" t="str">
        <f>IFERROR(__xludf.DUMMYFUNCTION("""COMPUTED_VALUE"""),"181750075-5")</f>
        <v>181750075-5</v>
      </c>
      <c r="B52" s="6" t="str">
        <f>IFERROR(__xludf.DUMMYFUNCTION("""COMPUTED_VALUE"""),"181750075 - Approved")</f>
        <v>181750075 - Approved</v>
      </c>
      <c r="C52" s="6">
        <f>IFERROR(__xludf.DUMMYFUNCTION("""COMPUTED_VALUE"""),5.0)</f>
        <v>5</v>
      </c>
      <c r="D52" s="6" t="str">
        <f>IFERROR(__xludf.DUMMYFUNCTION("""COMPUTED_VALUE"""),"S-60002-00")</f>
        <v>S-60002-00</v>
      </c>
      <c r="E52" s="6" t="str">
        <f>IFERROR(__xludf.DUMMYFUNCTION("""COMPUTED_VALUE"""),"Elbow SCH 1"" 304 SUS")</f>
        <v>Elbow SCH 1" 304 SUS</v>
      </c>
      <c r="F52" s="6">
        <f>IFERROR(__xludf.DUMMYFUNCTION("""COMPUTED_VALUE"""),1.0)</f>
        <v>1</v>
      </c>
      <c r="G52" s="6" t="str">
        <f>IFERROR(__xludf.DUMMYFUNCTION("""COMPUTED_VALUE"""),"Lot")</f>
        <v>Lot</v>
      </c>
      <c r="H52" s="6" t="str">
        <f>IFERROR(__xludf.DUMMYFUNCTION("""COMPUTED_VALUE"""),"IDR")</f>
        <v>IDR</v>
      </c>
      <c r="I52" s="11">
        <f>IFERROR(__xludf.DUMMYFUNCTION("""COMPUTED_VALUE"""),65000.0)</f>
        <v>65000</v>
      </c>
      <c r="J52" s="11">
        <f>IFERROR(__xludf.DUMMYFUNCTION("""COMPUTED_VALUE"""),65000.0)</f>
        <v>65000</v>
      </c>
      <c r="K52" s="13">
        <f>IFERROR(__xludf.DUMMYFUNCTION("""COMPUTED_VALUE"""),43182.0)</f>
        <v>43182</v>
      </c>
      <c r="L52" s="6" t="str">
        <f>IFERROR(__xludf.DUMMYFUNCTION("""COMPUTED_VALUE"""),"FIP General")</f>
        <v>FIP General</v>
      </c>
      <c r="M52" s="6" t="str">
        <f>IFERROR(__xludf.DUMMYFUNCTION("""COMPUTED_VALUE"""),"Joko Nugroho")</f>
        <v>Joko Nugroho</v>
      </c>
      <c r="N52" s="6" t="str">
        <f>IFERROR(__xludf.DUMMYFUNCTION("""COMPUTED_VALUE"""),"FIP Engineering")</f>
        <v>FIP Engineering</v>
      </c>
      <c r="O52" s="6" t="str">
        <f>IFERROR(__xludf.DUMMYFUNCTION("""COMPUTED_VALUE"""),"FIP-DOM-ENG-51508-0000000-INA-000000")</f>
        <v>FIP-DOM-ENG-51508-0000000-INA-000000</v>
      </c>
      <c r="P52" s="6" t="str">
        <f>IFERROR(__xludf.DUMMYFUNCTION("""COMPUTED_VALUE"""),"PO Closed")</f>
        <v>PO Closed</v>
      </c>
      <c r="Q52" s="6" t="str">
        <f>IFERROR(__xludf.DUMMYFUNCTION("""COMPUTED_VALUE"""),"GL1804002")</f>
        <v>GL1804002</v>
      </c>
      <c r="R52" s="16">
        <f>IFERROR(__xludf.DUMMYFUNCTION("""COMPUTED_VALUE"""),43163.0)</f>
        <v>43163</v>
      </c>
      <c r="S52" s="6" t="str">
        <f>IFERROR(__xludf.DUMMYFUNCTION("""COMPUTED_VALUE"""),"-")</f>
        <v>-</v>
      </c>
      <c r="T52" s="13">
        <f>IFERROR(__xludf.DUMMYFUNCTION("""COMPUTED_VALUE"""),43216.0)</f>
        <v>43216</v>
      </c>
    </row>
    <row r="53">
      <c r="A53" s="6" t="str">
        <f>IFERROR(__xludf.DUMMYFUNCTION("""COMPUTED_VALUE"""),"181750074-1")</f>
        <v>181750074-1</v>
      </c>
      <c r="B53" s="6" t="str">
        <f>IFERROR(__xludf.DUMMYFUNCTION("""COMPUTED_VALUE"""),"181750074 - Approved")</f>
        <v>181750074 - Approved</v>
      </c>
      <c r="C53" s="6">
        <f>IFERROR(__xludf.DUMMYFUNCTION("""COMPUTED_VALUE"""),1.0)</f>
        <v>1</v>
      </c>
      <c r="D53" s="6" t="str">
        <f>IFERROR(__xludf.DUMMYFUNCTION("""COMPUTED_VALUE"""),"S-60002-00")</f>
        <v>S-60002-00</v>
      </c>
      <c r="E53" s="6" t="str">
        <f>IFERROR(__xludf.DUMMYFUNCTION("""COMPUTED_VALUE"""),"Material Workshop; Hollow SUS 304 30x30x2.0 mm")</f>
        <v>Material Workshop; Hollow SUS 304 30x30x2.0 mm</v>
      </c>
      <c r="F53" s="6">
        <f>IFERROR(__xludf.DUMMYFUNCTION("""COMPUTED_VALUE"""),4.0)</f>
        <v>4</v>
      </c>
      <c r="G53" s="6" t="str">
        <f>IFERROR(__xludf.DUMMYFUNCTION("""COMPUTED_VALUE"""),"Lot")</f>
        <v>Lot</v>
      </c>
      <c r="H53" s="6" t="str">
        <f>IFERROR(__xludf.DUMMYFUNCTION("""COMPUTED_VALUE"""),"IDR")</f>
        <v>IDR</v>
      </c>
      <c r="I53" s="11">
        <f>IFERROR(__xludf.DUMMYFUNCTION("""COMPUTED_VALUE"""),925000.0)</f>
        <v>925000</v>
      </c>
      <c r="J53" s="11">
        <f>IFERROR(__xludf.DUMMYFUNCTION("""COMPUTED_VALUE"""),3700000.0)</f>
        <v>3700000</v>
      </c>
      <c r="K53" s="13">
        <f>IFERROR(__xludf.DUMMYFUNCTION("""COMPUTED_VALUE"""),43182.0)</f>
        <v>43182</v>
      </c>
      <c r="L53" s="6" t="str">
        <f>IFERROR(__xludf.DUMMYFUNCTION("""COMPUTED_VALUE"""),"FIP General")</f>
        <v>FIP General</v>
      </c>
      <c r="M53" s="6" t="str">
        <f>IFERROR(__xludf.DUMMYFUNCTION("""COMPUTED_VALUE"""),"Joko Nugroho")</f>
        <v>Joko Nugroho</v>
      </c>
      <c r="N53" s="6" t="str">
        <f>IFERROR(__xludf.DUMMYFUNCTION("""COMPUTED_VALUE"""),"FIP Engineering")</f>
        <v>FIP Engineering</v>
      </c>
      <c r="O53" s="6" t="str">
        <f>IFERROR(__xludf.DUMMYFUNCTION("""COMPUTED_VALUE"""),"FIP-DOM-ENG-51508-0000000-INA-000000")</f>
        <v>FIP-DOM-ENG-51508-0000000-INA-000000</v>
      </c>
      <c r="P53" s="6" t="str">
        <f>IFERROR(__xludf.DUMMYFUNCTION("""COMPUTED_VALUE"""),"PO Closed")</f>
        <v>PO Closed</v>
      </c>
      <c r="Q53" s="6" t="str">
        <f>IFERROR(__xludf.DUMMYFUNCTION("""COMPUTED_VALUE"""),"GL1804002")</f>
        <v>GL1804002</v>
      </c>
      <c r="R53" s="16">
        <f>IFERROR(__xludf.DUMMYFUNCTION("""COMPUTED_VALUE"""),43163.0)</f>
        <v>43163</v>
      </c>
      <c r="S53" s="6" t="str">
        <f>IFERROR(__xludf.DUMMYFUNCTION("""COMPUTED_VALUE"""),"-")</f>
        <v>-</v>
      </c>
      <c r="T53" s="13">
        <f>IFERROR(__xludf.DUMMYFUNCTION("""COMPUTED_VALUE"""),43216.0)</f>
        <v>43216</v>
      </c>
    </row>
    <row r="54">
      <c r="A54" s="6" t="str">
        <f>IFERROR(__xludf.DUMMYFUNCTION("""COMPUTED_VALUE"""),"181750074-2")</f>
        <v>181750074-2</v>
      </c>
      <c r="B54" s="6" t="str">
        <f>IFERROR(__xludf.DUMMYFUNCTION("""COMPUTED_VALUE"""),"181750074 - Approved")</f>
        <v>181750074 - Approved</v>
      </c>
      <c r="C54" s="6">
        <f>IFERROR(__xludf.DUMMYFUNCTION("""COMPUTED_VALUE"""),2.0)</f>
        <v>2</v>
      </c>
      <c r="D54" s="6" t="str">
        <f>IFERROR(__xludf.DUMMYFUNCTION("""COMPUTED_VALUE"""),"S-60002-00")</f>
        <v>S-60002-00</v>
      </c>
      <c r="E54" s="6" t="str">
        <f>IFERROR(__xludf.DUMMYFUNCTION("""COMPUTED_VALUE"""),"Material Workshop; Leveling Feet Rubber (Foot Adjuster) M12 SUS 304")</f>
        <v>Material Workshop; Leveling Feet Rubber (Foot Adjuster) M12 SUS 304</v>
      </c>
      <c r="F54" s="6">
        <f>IFERROR(__xludf.DUMMYFUNCTION("""COMPUTED_VALUE"""),8.0)</f>
        <v>8</v>
      </c>
      <c r="G54" s="6" t="str">
        <f>IFERROR(__xludf.DUMMYFUNCTION("""COMPUTED_VALUE"""),"Lot")</f>
        <v>Lot</v>
      </c>
      <c r="H54" s="6" t="str">
        <f>IFERROR(__xludf.DUMMYFUNCTION("""COMPUTED_VALUE"""),"IDR")</f>
        <v>IDR</v>
      </c>
      <c r="I54" s="11">
        <f>IFERROR(__xludf.DUMMYFUNCTION("""COMPUTED_VALUE"""),175000.0)</f>
        <v>175000</v>
      </c>
      <c r="J54" s="11">
        <f>IFERROR(__xludf.DUMMYFUNCTION("""COMPUTED_VALUE"""),1400000.0)</f>
        <v>1400000</v>
      </c>
      <c r="K54" s="13">
        <f>IFERROR(__xludf.DUMMYFUNCTION("""COMPUTED_VALUE"""),43182.0)</f>
        <v>43182</v>
      </c>
      <c r="L54" s="6" t="str">
        <f>IFERROR(__xludf.DUMMYFUNCTION("""COMPUTED_VALUE"""),"FIP General")</f>
        <v>FIP General</v>
      </c>
      <c r="M54" s="6" t="str">
        <f>IFERROR(__xludf.DUMMYFUNCTION("""COMPUTED_VALUE"""),"Joko Nugroho")</f>
        <v>Joko Nugroho</v>
      </c>
      <c r="N54" s="6" t="str">
        <f>IFERROR(__xludf.DUMMYFUNCTION("""COMPUTED_VALUE"""),"FIP Engineering")</f>
        <v>FIP Engineering</v>
      </c>
      <c r="O54" s="6" t="str">
        <f>IFERROR(__xludf.DUMMYFUNCTION("""COMPUTED_VALUE"""),"FIP-DOM-ENG-51508-0000000-INA-000000")</f>
        <v>FIP-DOM-ENG-51508-0000000-INA-000000</v>
      </c>
      <c r="P54" s="6" t="str">
        <f>IFERROR(__xludf.DUMMYFUNCTION("""COMPUTED_VALUE"""),"PO Closed")</f>
        <v>PO Closed</v>
      </c>
      <c r="Q54" s="6" t="str">
        <f>IFERROR(__xludf.DUMMYFUNCTION("""COMPUTED_VALUE"""),"GL1804002")</f>
        <v>GL1804002</v>
      </c>
      <c r="R54" s="16">
        <f>IFERROR(__xludf.DUMMYFUNCTION("""COMPUTED_VALUE"""),43163.0)</f>
        <v>43163</v>
      </c>
      <c r="S54" s="6" t="str">
        <f>IFERROR(__xludf.DUMMYFUNCTION("""COMPUTED_VALUE"""),"-")</f>
        <v>-</v>
      </c>
      <c r="T54" s="13">
        <f>IFERROR(__xludf.DUMMYFUNCTION("""COMPUTED_VALUE"""),43216.0)</f>
        <v>43216</v>
      </c>
    </row>
    <row r="55">
      <c r="A55" s="6" t="str">
        <f>IFERROR(__xludf.DUMMYFUNCTION("""COMPUTED_VALUE"""),"181750074-3")</f>
        <v>181750074-3</v>
      </c>
      <c r="B55" s="6" t="str">
        <f>IFERROR(__xludf.DUMMYFUNCTION("""COMPUTED_VALUE"""),"181750074 - Approved")</f>
        <v>181750074 - Approved</v>
      </c>
      <c r="C55" s="6">
        <f>IFERROR(__xludf.DUMMYFUNCTION("""COMPUTED_VALUE"""),3.0)</f>
        <v>3</v>
      </c>
      <c r="D55" s="6" t="str">
        <f>IFERROR(__xludf.DUMMYFUNCTION("""COMPUTED_VALUE"""),"S-60002-00")</f>
        <v>S-60002-00</v>
      </c>
      <c r="E55" s="6" t="str">
        <f>IFERROR(__xludf.DUMMYFUNCTION("""COMPUTED_VALUE"""),"Material Workshop; Ring Dop Pipa 1"" SUS 304")</f>
        <v>Material Workshop; Ring Dop Pipa 1" SUS 304</v>
      </c>
      <c r="F55" s="6">
        <f>IFERROR(__xludf.DUMMYFUNCTION("""COMPUTED_VALUE"""),4.0)</f>
        <v>4</v>
      </c>
      <c r="G55" s="6" t="str">
        <f>IFERROR(__xludf.DUMMYFUNCTION("""COMPUTED_VALUE"""),"Lot")</f>
        <v>Lot</v>
      </c>
      <c r="H55" s="6" t="str">
        <f>IFERROR(__xludf.DUMMYFUNCTION("""COMPUTED_VALUE"""),"IDR")</f>
        <v>IDR</v>
      </c>
      <c r="I55" s="11">
        <f>IFERROR(__xludf.DUMMYFUNCTION("""COMPUTED_VALUE"""),25000.0)</f>
        <v>25000</v>
      </c>
      <c r="J55" s="11">
        <f>IFERROR(__xludf.DUMMYFUNCTION("""COMPUTED_VALUE"""),100000.0)</f>
        <v>100000</v>
      </c>
      <c r="K55" s="13">
        <f>IFERROR(__xludf.DUMMYFUNCTION("""COMPUTED_VALUE"""),43182.0)</f>
        <v>43182</v>
      </c>
      <c r="L55" s="6" t="str">
        <f>IFERROR(__xludf.DUMMYFUNCTION("""COMPUTED_VALUE"""),"FIP General")</f>
        <v>FIP General</v>
      </c>
      <c r="M55" s="6" t="str">
        <f>IFERROR(__xludf.DUMMYFUNCTION("""COMPUTED_VALUE"""),"Joko Nugroho")</f>
        <v>Joko Nugroho</v>
      </c>
      <c r="N55" s="6" t="str">
        <f>IFERROR(__xludf.DUMMYFUNCTION("""COMPUTED_VALUE"""),"FIP Engineering")</f>
        <v>FIP Engineering</v>
      </c>
      <c r="O55" s="6" t="str">
        <f>IFERROR(__xludf.DUMMYFUNCTION("""COMPUTED_VALUE"""),"FIP-DOM-ENG-51508-0000000-INA-000000")</f>
        <v>FIP-DOM-ENG-51508-0000000-INA-000000</v>
      </c>
      <c r="P55" s="6" t="str">
        <f>IFERROR(__xludf.DUMMYFUNCTION("""COMPUTED_VALUE"""),"PO Closed")</f>
        <v>PO Closed</v>
      </c>
      <c r="Q55" s="6" t="str">
        <f>IFERROR(__xludf.DUMMYFUNCTION("""COMPUTED_VALUE"""),"GL1804002")</f>
        <v>GL1804002</v>
      </c>
      <c r="R55" s="16">
        <f>IFERROR(__xludf.DUMMYFUNCTION("""COMPUTED_VALUE"""),43163.0)</f>
        <v>43163</v>
      </c>
      <c r="S55" s="6" t="str">
        <f>IFERROR(__xludf.DUMMYFUNCTION("""COMPUTED_VALUE"""),"-")</f>
        <v>-</v>
      </c>
      <c r="T55" s="13">
        <f>IFERROR(__xludf.DUMMYFUNCTION("""COMPUTED_VALUE"""),43216.0)</f>
        <v>43216</v>
      </c>
    </row>
    <row r="56">
      <c r="A56" s="6" t="str">
        <f>IFERROR(__xludf.DUMMYFUNCTION("""COMPUTED_VALUE"""),"181750074-4")</f>
        <v>181750074-4</v>
      </c>
      <c r="B56" s="6" t="str">
        <f>IFERROR(__xludf.DUMMYFUNCTION("""COMPUTED_VALUE"""),"181750074 - Approved")</f>
        <v>181750074 - Approved</v>
      </c>
      <c r="C56" s="6">
        <f>IFERROR(__xludf.DUMMYFUNCTION("""COMPUTED_VALUE"""),4.0)</f>
        <v>4</v>
      </c>
      <c r="D56" s="6" t="str">
        <f>IFERROR(__xludf.DUMMYFUNCTION("""COMPUTED_VALUE"""),"S-60002-00")</f>
        <v>S-60002-00</v>
      </c>
      <c r="E56" s="6" t="str">
        <f>IFERROR(__xludf.DUMMYFUNCTION("""COMPUTED_VALUE"""),"Material Workshop; Ferrule SUS 304 1""")</f>
        <v>Material Workshop; Ferrule SUS 304 1"</v>
      </c>
      <c r="F56" s="6">
        <f>IFERROR(__xludf.DUMMYFUNCTION("""COMPUTED_VALUE"""),2.0)</f>
        <v>2</v>
      </c>
      <c r="G56" s="6" t="str">
        <f>IFERROR(__xludf.DUMMYFUNCTION("""COMPUTED_VALUE"""),"Lot")</f>
        <v>Lot</v>
      </c>
      <c r="H56" s="6" t="str">
        <f>IFERROR(__xludf.DUMMYFUNCTION("""COMPUTED_VALUE"""),"IDR")</f>
        <v>IDR</v>
      </c>
      <c r="I56" s="11">
        <f>IFERROR(__xludf.DUMMYFUNCTION("""COMPUTED_VALUE"""),375000.0)</f>
        <v>375000</v>
      </c>
      <c r="J56" s="11">
        <f>IFERROR(__xludf.DUMMYFUNCTION("""COMPUTED_VALUE"""),750000.0)</f>
        <v>750000</v>
      </c>
      <c r="K56" s="13">
        <f>IFERROR(__xludf.DUMMYFUNCTION("""COMPUTED_VALUE"""),43182.0)</f>
        <v>43182</v>
      </c>
      <c r="L56" s="6" t="str">
        <f>IFERROR(__xludf.DUMMYFUNCTION("""COMPUTED_VALUE"""),"FIP General")</f>
        <v>FIP General</v>
      </c>
      <c r="M56" s="6" t="str">
        <f>IFERROR(__xludf.DUMMYFUNCTION("""COMPUTED_VALUE"""),"Joko Nugroho")</f>
        <v>Joko Nugroho</v>
      </c>
      <c r="N56" s="6" t="str">
        <f>IFERROR(__xludf.DUMMYFUNCTION("""COMPUTED_VALUE"""),"FIP Engineering")</f>
        <v>FIP Engineering</v>
      </c>
      <c r="O56" s="6" t="str">
        <f>IFERROR(__xludf.DUMMYFUNCTION("""COMPUTED_VALUE"""),"FIP-DOM-ENG-51508-0000000-INA-000000")</f>
        <v>FIP-DOM-ENG-51508-0000000-INA-000000</v>
      </c>
      <c r="P56" s="6" t="str">
        <f>IFERROR(__xludf.DUMMYFUNCTION("""COMPUTED_VALUE"""),"PO Closed")</f>
        <v>PO Closed</v>
      </c>
      <c r="Q56" s="6" t="str">
        <f>IFERROR(__xludf.DUMMYFUNCTION("""COMPUTED_VALUE"""),"GL1804002")</f>
        <v>GL1804002</v>
      </c>
      <c r="R56" s="16">
        <f>IFERROR(__xludf.DUMMYFUNCTION("""COMPUTED_VALUE"""),43163.0)</f>
        <v>43163</v>
      </c>
      <c r="S56" s="6" t="str">
        <f>IFERROR(__xludf.DUMMYFUNCTION("""COMPUTED_VALUE"""),"-")</f>
        <v>-</v>
      </c>
      <c r="T56" s="13">
        <f>IFERROR(__xludf.DUMMYFUNCTION("""COMPUTED_VALUE"""),43216.0)</f>
        <v>43216</v>
      </c>
    </row>
    <row r="57">
      <c r="A57" s="6" t="str">
        <f>IFERROR(__xludf.DUMMYFUNCTION("""COMPUTED_VALUE"""),"181750074-5")</f>
        <v>181750074-5</v>
      </c>
      <c r="B57" s="6" t="str">
        <f>IFERROR(__xludf.DUMMYFUNCTION("""COMPUTED_VALUE"""),"181750074 - Approved")</f>
        <v>181750074 - Approved</v>
      </c>
      <c r="C57" s="6">
        <f>IFERROR(__xludf.DUMMYFUNCTION("""COMPUTED_VALUE"""),5.0)</f>
        <v>5</v>
      </c>
      <c r="D57" s="6" t="str">
        <f>IFERROR(__xludf.DUMMYFUNCTION("""COMPUTED_VALUE"""),"S-60002-00")</f>
        <v>S-60002-00</v>
      </c>
      <c r="E57" s="6" t="str">
        <f>IFERROR(__xludf.DUMMYFUNCTION("""COMPUTED_VALUE"""),"Material Workshop; Elbow SCH SUS 304 1""")</f>
        <v>Material Workshop; Elbow SCH SUS 304 1"</v>
      </c>
      <c r="F57" s="6">
        <f>IFERROR(__xludf.DUMMYFUNCTION("""COMPUTED_VALUE"""),4.0)</f>
        <v>4</v>
      </c>
      <c r="G57" s="6" t="str">
        <f>IFERROR(__xludf.DUMMYFUNCTION("""COMPUTED_VALUE"""),"Lot")</f>
        <v>Lot</v>
      </c>
      <c r="H57" s="6" t="str">
        <f>IFERROR(__xludf.DUMMYFUNCTION("""COMPUTED_VALUE"""),"IDR")</f>
        <v>IDR</v>
      </c>
      <c r="I57" s="11">
        <f>IFERROR(__xludf.DUMMYFUNCTION("""COMPUTED_VALUE"""),75000.0)</f>
        <v>75000</v>
      </c>
      <c r="J57" s="11">
        <f>IFERROR(__xludf.DUMMYFUNCTION("""COMPUTED_VALUE"""),300000.0)</f>
        <v>300000</v>
      </c>
      <c r="K57" s="13">
        <f>IFERROR(__xludf.DUMMYFUNCTION("""COMPUTED_VALUE"""),43182.0)</f>
        <v>43182</v>
      </c>
      <c r="L57" s="6" t="str">
        <f>IFERROR(__xludf.DUMMYFUNCTION("""COMPUTED_VALUE"""),"FIP General")</f>
        <v>FIP General</v>
      </c>
      <c r="M57" s="6" t="str">
        <f>IFERROR(__xludf.DUMMYFUNCTION("""COMPUTED_VALUE"""),"Joko Nugroho")</f>
        <v>Joko Nugroho</v>
      </c>
      <c r="N57" s="6" t="str">
        <f>IFERROR(__xludf.DUMMYFUNCTION("""COMPUTED_VALUE"""),"FIP Engineering")</f>
        <v>FIP Engineering</v>
      </c>
      <c r="O57" s="6" t="str">
        <f>IFERROR(__xludf.DUMMYFUNCTION("""COMPUTED_VALUE"""),"FIP-DOM-ENG-51508-0000000-INA-000000")</f>
        <v>FIP-DOM-ENG-51508-0000000-INA-000000</v>
      </c>
      <c r="P57" s="6" t="str">
        <f>IFERROR(__xludf.DUMMYFUNCTION("""COMPUTED_VALUE"""),"PO Closed")</f>
        <v>PO Closed</v>
      </c>
      <c r="Q57" s="6" t="str">
        <f>IFERROR(__xludf.DUMMYFUNCTION("""COMPUTED_VALUE"""),"GL1804002")</f>
        <v>GL1804002</v>
      </c>
      <c r="R57" s="16">
        <f>IFERROR(__xludf.DUMMYFUNCTION("""COMPUTED_VALUE"""),43163.0)</f>
        <v>43163</v>
      </c>
      <c r="S57" s="6" t="str">
        <f>IFERROR(__xludf.DUMMYFUNCTION("""COMPUTED_VALUE"""),"-")</f>
        <v>-</v>
      </c>
      <c r="T57" s="13">
        <f>IFERROR(__xludf.DUMMYFUNCTION("""COMPUTED_VALUE"""),43216.0)</f>
        <v>43216</v>
      </c>
    </row>
    <row r="58">
      <c r="A58" s="6" t="str">
        <f>IFERROR(__xludf.DUMMYFUNCTION("""COMPUTED_VALUE"""),"181750074-6")</f>
        <v>181750074-6</v>
      </c>
      <c r="B58" s="6" t="str">
        <f>IFERROR(__xludf.DUMMYFUNCTION("""COMPUTED_VALUE"""),"181750074 - Approved")</f>
        <v>181750074 - Approved</v>
      </c>
      <c r="C58" s="6">
        <f>IFERROR(__xludf.DUMMYFUNCTION("""COMPUTED_VALUE"""),6.0)</f>
        <v>6</v>
      </c>
      <c r="D58" s="6" t="str">
        <f>IFERROR(__xludf.DUMMYFUNCTION("""COMPUTED_VALUE"""),"S-60002-00")</f>
        <v>S-60002-00</v>
      </c>
      <c r="E58" s="6" t="str">
        <f>IFERROR(__xludf.DUMMYFUNCTION("""COMPUTED_VALUE"""),"Material for Pemasangan RH controller di API room; Junction box ; 120x120x100mm")</f>
        <v>Material for Pemasangan RH controller di API room; Junction box ; 120x120x100mm</v>
      </c>
      <c r="F58" s="6">
        <f>IFERROR(__xludf.DUMMYFUNCTION("""COMPUTED_VALUE"""),3.0)</f>
        <v>3</v>
      </c>
      <c r="G58" s="6" t="str">
        <f>IFERROR(__xludf.DUMMYFUNCTION("""COMPUTED_VALUE"""),"Lot")</f>
        <v>Lot</v>
      </c>
      <c r="H58" s="6" t="str">
        <f>IFERROR(__xludf.DUMMYFUNCTION("""COMPUTED_VALUE"""),"IDR")</f>
        <v>IDR</v>
      </c>
      <c r="I58" s="11">
        <f>IFERROR(__xludf.DUMMYFUNCTION("""COMPUTED_VALUE"""),450000.0)</f>
        <v>450000</v>
      </c>
      <c r="J58" s="11">
        <f>IFERROR(__xludf.DUMMYFUNCTION("""COMPUTED_VALUE"""),1350000.0)</f>
        <v>1350000</v>
      </c>
      <c r="K58" s="13">
        <f>IFERROR(__xludf.DUMMYFUNCTION("""COMPUTED_VALUE"""),43182.0)</f>
        <v>43182</v>
      </c>
      <c r="L58" s="6" t="str">
        <f>IFERROR(__xludf.DUMMYFUNCTION("""COMPUTED_VALUE"""),"FIP General")</f>
        <v>FIP General</v>
      </c>
      <c r="M58" s="6" t="str">
        <f>IFERROR(__xludf.DUMMYFUNCTION("""COMPUTED_VALUE"""),"Joko Nugroho")</f>
        <v>Joko Nugroho</v>
      </c>
      <c r="N58" s="6" t="str">
        <f>IFERROR(__xludf.DUMMYFUNCTION("""COMPUTED_VALUE"""),"FIP Engineering")</f>
        <v>FIP Engineering</v>
      </c>
      <c r="O58" s="6" t="str">
        <f>IFERROR(__xludf.DUMMYFUNCTION("""COMPUTED_VALUE"""),"FIP-DOM-ENG-51508-0000000-INA-000000")</f>
        <v>FIP-DOM-ENG-51508-0000000-INA-000000</v>
      </c>
      <c r="P58" s="6" t="str">
        <f>IFERROR(__xludf.DUMMYFUNCTION("""COMPUTED_VALUE"""),"PO Closed")</f>
        <v>PO Closed</v>
      </c>
      <c r="Q58" s="6" t="str">
        <f>IFERROR(__xludf.DUMMYFUNCTION("""COMPUTED_VALUE"""),"GL1804001")</f>
        <v>GL1804001</v>
      </c>
      <c r="R58" s="16">
        <f>IFERROR(__xludf.DUMMYFUNCTION("""COMPUTED_VALUE"""),43163.0)</f>
        <v>43163</v>
      </c>
      <c r="S58" s="6" t="str">
        <f>IFERROR(__xludf.DUMMYFUNCTION("""COMPUTED_VALUE"""),"-")</f>
        <v>-</v>
      </c>
      <c r="T58" s="13">
        <f>IFERROR(__xludf.DUMMYFUNCTION("""COMPUTED_VALUE"""),43195.0)</f>
        <v>43195</v>
      </c>
    </row>
    <row r="59">
      <c r="A59" s="6" t="str">
        <f>IFERROR(__xludf.DUMMYFUNCTION("""COMPUTED_VALUE"""),"181750077-1")</f>
        <v>181750077-1</v>
      </c>
      <c r="B59" s="6" t="str">
        <f>IFERROR(__xludf.DUMMYFUNCTION("""COMPUTED_VALUE"""),"181750077 - Approved")</f>
        <v>181750077 - Approved</v>
      </c>
      <c r="C59" s="6">
        <f>IFERROR(__xludf.DUMMYFUNCTION("""COMPUTED_VALUE"""),1.0)</f>
        <v>1</v>
      </c>
      <c r="D59" s="6" t="str">
        <f>IFERROR(__xludf.DUMMYFUNCTION("""COMPUTED_VALUE"""),"S-11614-00")</f>
        <v>S-11614-00</v>
      </c>
      <c r="E59" s="6" t="str">
        <f>IFERROR(__xludf.DUMMYFUNCTION("""COMPUTED_VALUE"""),"Jerigen Putih 5 L")</f>
        <v>Jerigen Putih 5 L</v>
      </c>
      <c r="F59" s="6">
        <f>IFERROR(__xludf.DUMMYFUNCTION("""COMPUTED_VALUE"""),3.0)</f>
        <v>3</v>
      </c>
      <c r="G59" s="6" t="str">
        <f>IFERROR(__xludf.DUMMYFUNCTION("""COMPUTED_VALUE"""),"Pieces")</f>
        <v>Pieces</v>
      </c>
      <c r="H59" s="6" t="str">
        <f>IFERROR(__xludf.DUMMYFUNCTION("""COMPUTED_VALUE"""),"IDR")</f>
        <v>IDR</v>
      </c>
      <c r="I59" s="11">
        <f>IFERROR(__xludf.DUMMYFUNCTION("""COMPUTED_VALUE"""),15000.0)</f>
        <v>15000</v>
      </c>
      <c r="J59" s="11">
        <f>IFERROR(__xludf.DUMMYFUNCTION("""COMPUTED_VALUE"""),45000.0)</f>
        <v>45000</v>
      </c>
      <c r="K59" s="13">
        <f>IFERROR(__xludf.DUMMYFUNCTION("""COMPUTED_VALUE"""),43189.0)</f>
        <v>43189</v>
      </c>
      <c r="L59" s="6" t="str">
        <f>IFERROR(__xludf.DUMMYFUNCTION("""COMPUTED_VALUE"""),"FIP General")</f>
        <v>FIP General</v>
      </c>
      <c r="M59" s="6" t="str">
        <f>IFERROR(__xludf.DUMMYFUNCTION("""COMPUTED_VALUE"""),"Joko Nugroho")</f>
        <v>Joko Nugroho</v>
      </c>
      <c r="N59" s="6" t="str">
        <f>IFERROR(__xludf.DUMMYFUNCTION("""COMPUTED_VALUE"""),"FIP Engineering")</f>
        <v>FIP Engineering</v>
      </c>
      <c r="O59" s="6" t="str">
        <f>IFERROR(__xludf.DUMMYFUNCTION("""COMPUTED_VALUE"""),"FIP-DOM-ENG-51302-0000000-INA-000000")</f>
        <v>FIP-DOM-ENG-51302-0000000-INA-000000</v>
      </c>
      <c r="P59" s="6" t="str">
        <f>IFERROR(__xludf.DUMMYFUNCTION("""COMPUTED_VALUE"""),"PO Closed")</f>
        <v>PO Closed</v>
      </c>
      <c r="Q59" s="6" t="str">
        <f>IFERROR(__xludf.DUMMYFUNCTION("""COMPUTED_VALUE"""),"GL1803008")</f>
        <v>GL1803008</v>
      </c>
      <c r="R59" s="16">
        <f>IFERROR(__xludf.DUMMYFUNCTION("""COMPUTED_VALUE"""),43164.0)</f>
        <v>43164</v>
      </c>
      <c r="S59" s="6" t="str">
        <f>IFERROR(__xludf.DUMMYFUNCTION("""COMPUTED_VALUE"""),"-")</f>
        <v>-</v>
      </c>
      <c r="T59" s="13">
        <f>IFERROR(__xludf.DUMMYFUNCTION("""COMPUTED_VALUE"""),43196.0)</f>
        <v>43196</v>
      </c>
    </row>
    <row r="60">
      <c r="A60" s="6" t="str">
        <f>IFERROR(__xludf.DUMMYFUNCTION("""COMPUTED_VALUE"""),"181750077-2")</f>
        <v>181750077-2</v>
      </c>
      <c r="B60" s="6" t="str">
        <f>IFERROR(__xludf.DUMMYFUNCTION("""COMPUTED_VALUE"""),"181750077 - Approved")</f>
        <v>181750077 - Approved</v>
      </c>
      <c r="C60" s="6">
        <f>IFERROR(__xludf.DUMMYFUNCTION("""COMPUTED_VALUE"""),2.0)</f>
        <v>2</v>
      </c>
      <c r="D60" s="6" t="str">
        <f>IFERROR(__xludf.DUMMYFUNCTION("""COMPUTED_VALUE"""),"S-60002-00")</f>
        <v>S-60002-00</v>
      </c>
      <c r="E60" s="6" t="str">
        <f>IFERROR(__xludf.DUMMYFUNCTION("""COMPUTED_VALUE"""),"Karton A3")</f>
        <v>Karton A3</v>
      </c>
      <c r="F60" s="6">
        <f>IFERROR(__xludf.DUMMYFUNCTION("""COMPUTED_VALUE"""),2.0)</f>
        <v>2</v>
      </c>
      <c r="G60" s="6" t="str">
        <f>IFERROR(__xludf.DUMMYFUNCTION("""COMPUTED_VALUE"""),"Lot")</f>
        <v>Lot</v>
      </c>
      <c r="H60" s="6" t="str">
        <f>IFERROR(__xludf.DUMMYFUNCTION("""COMPUTED_VALUE"""),"IDR")</f>
        <v>IDR</v>
      </c>
      <c r="I60" s="11">
        <f>IFERROR(__xludf.DUMMYFUNCTION("""COMPUTED_VALUE"""),2500.0)</f>
        <v>2500</v>
      </c>
      <c r="J60" s="11">
        <f>IFERROR(__xludf.DUMMYFUNCTION("""COMPUTED_VALUE"""),5000.0)</f>
        <v>5000</v>
      </c>
      <c r="K60" s="13">
        <f>IFERROR(__xludf.DUMMYFUNCTION("""COMPUTED_VALUE"""),43189.0)</f>
        <v>43189</v>
      </c>
      <c r="L60" s="6" t="str">
        <f>IFERROR(__xludf.DUMMYFUNCTION("""COMPUTED_VALUE"""),"FIP General")</f>
        <v>FIP General</v>
      </c>
      <c r="M60" s="6" t="str">
        <f>IFERROR(__xludf.DUMMYFUNCTION("""COMPUTED_VALUE"""),"Joko Nugroho")</f>
        <v>Joko Nugroho</v>
      </c>
      <c r="N60" s="6" t="str">
        <f>IFERROR(__xludf.DUMMYFUNCTION("""COMPUTED_VALUE"""),"FIP Engineering")</f>
        <v>FIP Engineering</v>
      </c>
      <c r="O60" s="6" t="str">
        <f>IFERROR(__xludf.DUMMYFUNCTION("""COMPUTED_VALUE"""),"FIP-DOM-ENG-51508-0000000-INA-000000")</f>
        <v>FIP-DOM-ENG-51508-0000000-INA-000000</v>
      </c>
      <c r="P60" s="6" t="str">
        <f>IFERROR(__xludf.DUMMYFUNCTION("""COMPUTED_VALUE"""),"PO Closed")</f>
        <v>PO Closed</v>
      </c>
      <c r="Q60" s="6" t="str">
        <f>IFERROR(__xludf.DUMMYFUNCTION("""COMPUTED_VALUE"""),"GL1804003")</f>
        <v>GL1804003</v>
      </c>
      <c r="R60" s="16">
        <f>IFERROR(__xludf.DUMMYFUNCTION("""COMPUTED_VALUE"""),43164.0)</f>
        <v>43164</v>
      </c>
      <c r="S60" s="6" t="str">
        <f>IFERROR(__xludf.DUMMYFUNCTION("""COMPUTED_VALUE"""),"-")</f>
        <v>-</v>
      </c>
      <c r="T60" s="13">
        <f>IFERROR(__xludf.DUMMYFUNCTION("""COMPUTED_VALUE"""),43195.0)</f>
        <v>43195</v>
      </c>
    </row>
    <row r="61">
      <c r="A61" s="6" t="str">
        <f>IFERROR(__xludf.DUMMYFUNCTION("""COMPUTED_VALUE"""),"181750077-5")</f>
        <v>181750077-5</v>
      </c>
      <c r="B61" s="6" t="str">
        <f>IFERROR(__xludf.DUMMYFUNCTION("""COMPUTED_VALUE"""),"181750077 - Approved")</f>
        <v>181750077 - Approved</v>
      </c>
      <c r="C61" s="6">
        <f>IFERROR(__xludf.DUMMYFUNCTION("""COMPUTED_VALUE"""),5.0)</f>
        <v>5</v>
      </c>
      <c r="D61" s="6" t="str">
        <f>IFERROR(__xludf.DUMMYFUNCTION("""COMPUTED_VALUE"""),"S-60002-00")</f>
        <v>S-60002-00</v>
      </c>
      <c r="E61" s="6" t="str">
        <f>IFERROR(__xludf.DUMMYFUNCTION("""COMPUTED_VALUE"""),"Neeple BPC 4 MS")</f>
        <v>Neeple BPC 4 MS</v>
      </c>
      <c r="F61" s="6">
        <f>IFERROR(__xludf.DUMMYFUNCTION("""COMPUTED_VALUE"""),2.0)</f>
        <v>2</v>
      </c>
      <c r="G61" s="6" t="str">
        <f>IFERROR(__xludf.DUMMYFUNCTION("""COMPUTED_VALUE"""),"Lot")</f>
        <v>Lot</v>
      </c>
      <c r="H61" s="6" t="str">
        <f>IFERROR(__xludf.DUMMYFUNCTION("""COMPUTED_VALUE"""),"IDR")</f>
        <v>IDR</v>
      </c>
      <c r="I61" s="11">
        <f>IFERROR(__xludf.DUMMYFUNCTION("""COMPUTED_VALUE"""),15000.0)</f>
        <v>15000</v>
      </c>
      <c r="J61" s="11">
        <f>IFERROR(__xludf.DUMMYFUNCTION("""COMPUTED_VALUE"""),30000.0)</f>
        <v>30000</v>
      </c>
      <c r="K61" s="13">
        <f>IFERROR(__xludf.DUMMYFUNCTION("""COMPUTED_VALUE"""),43189.0)</f>
        <v>43189</v>
      </c>
      <c r="L61" s="6" t="str">
        <f>IFERROR(__xludf.DUMMYFUNCTION("""COMPUTED_VALUE"""),"FIP General")</f>
        <v>FIP General</v>
      </c>
      <c r="M61" s="6" t="str">
        <f>IFERROR(__xludf.DUMMYFUNCTION("""COMPUTED_VALUE"""),"Joko Nugroho")</f>
        <v>Joko Nugroho</v>
      </c>
      <c r="N61" s="6" t="str">
        <f>IFERROR(__xludf.DUMMYFUNCTION("""COMPUTED_VALUE"""),"FIP Engineering")</f>
        <v>FIP Engineering</v>
      </c>
      <c r="O61" s="6" t="str">
        <f>IFERROR(__xludf.DUMMYFUNCTION("""COMPUTED_VALUE"""),"FIP-DOM-ENG-51508-0000000-INA-000000")</f>
        <v>FIP-DOM-ENG-51508-0000000-INA-000000</v>
      </c>
      <c r="P61" s="6" t="str">
        <f>IFERROR(__xludf.DUMMYFUNCTION("""COMPUTED_VALUE"""),"PO Closed")</f>
        <v>PO Closed</v>
      </c>
      <c r="Q61" s="6" t="str">
        <f>IFERROR(__xludf.DUMMYFUNCTION("""COMPUTED_VALUE"""),"GL1804003")</f>
        <v>GL1804003</v>
      </c>
      <c r="R61" s="16">
        <f>IFERROR(__xludf.DUMMYFUNCTION("""COMPUTED_VALUE"""),43164.0)</f>
        <v>43164</v>
      </c>
      <c r="S61" s="6" t="str">
        <f>IFERROR(__xludf.DUMMYFUNCTION("""COMPUTED_VALUE"""),"-")</f>
        <v>-</v>
      </c>
      <c r="T61" s="13">
        <f>IFERROR(__xludf.DUMMYFUNCTION("""COMPUTED_VALUE"""),43195.0)</f>
        <v>43195</v>
      </c>
    </row>
    <row r="62">
      <c r="A62" s="6" t="str">
        <f>IFERROR(__xludf.DUMMYFUNCTION("""COMPUTED_VALUE"""),"181750077-6")</f>
        <v>181750077-6</v>
      </c>
      <c r="B62" s="6" t="str">
        <f>IFERROR(__xludf.DUMMYFUNCTION("""COMPUTED_VALUE"""),"181750077 - Approved")</f>
        <v>181750077 - Approved</v>
      </c>
      <c r="C62" s="6">
        <f>IFERROR(__xludf.DUMMYFUNCTION("""COMPUTED_VALUE"""),6.0)</f>
        <v>6</v>
      </c>
      <c r="D62" s="6" t="str">
        <f>IFERROR(__xludf.DUMMYFUNCTION("""COMPUTED_VALUE"""),"S-60002-00")</f>
        <v>S-60002-00</v>
      </c>
      <c r="E62" s="6" t="str">
        <f>IFERROR(__xludf.DUMMYFUNCTION("""COMPUTED_VALUE"""),"Neeple Selang")</f>
        <v>Neeple Selang</v>
      </c>
      <c r="F62" s="6">
        <f>IFERROR(__xludf.DUMMYFUNCTION("""COMPUTED_VALUE"""),1.0)</f>
        <v>1</v>
      </c>
      <c r="G62" s="6" t="str">
        <f>IFERROR(__xludf.DUMMYFUNCTION("""COMPUTED_VALUE"""),"Lot")</f>
        <v>Lot</v>
      </c>
      <c r="H62" s="6" t="str">
        <f>IFERROR(__xludf.DUMMYFUNCTION("""COMPUTED_VALUE"""),"IDR")</f>
        <v>IDR</v>
      </c>
      <c r="I62" s="11">
        <f>IFERROR(__xludf.DUMMYFUNCTION("""COMPUTED_VALUE"""),12000.0)</f>
        <v>12000</v>
      </c>
      <c r="J62" s="11">
        <f>IFERROR(__xludf.DUMMYFUNCTION("""COMPUTED_VALUE"""),12000.0)</f>
        <v>12000</v>
      </c>
      <c r="K62" s="13">
        <f>IFERROR(__xludf.DUMMYFUNCTION("""COMPUTED_VALUE"""),43189.0)</f>
        <v>43189</v>
      </c>
      <c r="L62" s="6" t="str">
        <f>IFERROR(__xludf.DUMMYFUNCTION("""COMPUTED_VALUE"""),"FIP General")</f>
        <v>FIP General</v>
      </c>
      <c r="M62" s="6" t="str">
        <f>IFERROR(__xludf.DUMMYFUNCTION("""COMPUTED_VALUE"""),"Joko Nugroho")</f>
        <v>Joko Nugroho</v>
      </c>
      <c r="N62" s="6" t="str">
        <f>IFERROR(__xludf.DUMMYFUNCTION("""COMPUTED_VALUE"""),"FIP Engineering")</f>
        <v>FIP Engineering</v>
      </c>
      <c r="O62" s="6" t="str">
        <f>IFERROR(__xludf.DUMMYFUNCTION("""COMPUTED_VALUE"""),"FIP-DOM-ENG-51508-0000000-INA-000000")</f>
        <v>FIP-DOM-ENG-51508-0000000-INA-000000</v>
      </c>
      <c r="P62" s="6" t="str">
        <f>IFERROR(__xludf.DUMMYFUNCTION("""COMPUTED_VALUE"""),"PO Closed")</f>
        <v>PO Closed</v>
      </c>
      <c r="Q62" s="6" t="str">
        <f>IFERROR(__xludf.DUMMYFUNCTION("""COMPUTED_VALUE"""),"GL1804003")</f>
        <v>GL1804003</v>
      </c>
      <c r="R62" s="16">
        <f>IFERROR(__xludf.DUMMYFUNCTION("""COMPUTED_VALUE"""),43164.0)</f>
        <v>43164</v>
      </c>
      <c r="S62" s="6" t="str">
        <f>IFERROR(__xludf.DUMMYFUNCTION("""COMPUTED_VALUE"""),"-")</f>
        <v>-</v>
      </c>
      <c r="T62" s="13">
        <f>IFERROR(__xludf.DUMMYFUNCTION("""COMPUTED_VALUE"""),43195.0)</f>
        <v>43195</v>
      </c>
    </row>
    <row r="63">
      <c r="A63" s="6" t="str">
        <f>IFERROR(__xludf.DUMMYFUNCTION("""COMPUTED_VALUE"""),"181750077-7")</f>
        <v>181750077-7</v>
      </c>
      <c r="B63" s="6" t="str">
        <f>IFERROR(__xludf.DUMMYFUNCTION("""COMPUTED_VALUE"""),"181750077 - Approved")</f>
        <v>181750077 - Approved</v>
      </c>
      <c r="C63" s="6">
        <f>IFERROR(__xludf.DUMMYFUNCTION("""COMPUTED_VALUE"""),7.0)</f>
        <v>7</v>
      </c>
      <c r="D63" s="6" t="str">
        <f>IFERROR(__xludf.DUMMYFUNCTION("""COMPUTED_VALUE"""),"S-60002-00")</f>
        <v>S-60002-00</v>
      </c>
      <c r="E63" s="6" t="str">
        <f>IFERROR(__xludf.DUMMYFUNCTION("""COMPUTED_VALUE"""),"Klem Slang")</f>
        <v>Klem Slang</v>
      </c>
      <c r="F63" s="6">
        <f>IFERROR(__xludf.DUMMYFUNCTION("""COMPUTED_VALUE"""),1.0)</f>
        <v>1</v>
      </c>
      <c r="G63" s="6" t="str">
        <f>IFERROR(__xludf.DUMMYFUNCTION("""COMPUTED_VALUE"""),"Lot")</f>
        <v>Lot</v>
      </c>
      <c r="H63" s="6" t="str">
        <f>IFERROR(__xludf.DUMMYFUNCTION("""COMPUTED_VALUE"""),"IDR")</f>
        <v>IDR</v>
      </c>
      <c r="I63" s="11">
        <f>IFERROR(__xludf.DUMMYFUNCTION("""COMPUTED_VALUE"""),3000.0)</f>
        <v>3000</v>
      </c>
      <c r="J63" s="11">
        <f>IFERROR(__xludf.DUMMYFUNCTION("""COMPUTED_VALUE"""),3000.0)</f>
        <v>3000</v>
      </c>
      <c r="K63" s="13">
        <f>IFERROR(__xludf.DUMMYFUNCTION("""COMPUTED_VALUE"""),43189.0)</f>
        <v>43189</v>
      </c>
      <c r="L63" s="6" t="str">
        <f>IFERROR(__xludf.DUMMYFUNCTION("""COMPUTED_VALUE"""),"FIP General")</f>
        <v>FIP General</v>
      </c>
      <c r="M63" s="6" t="str">
        <f>IFERROR(__xludf.DUMMYFUNCTION("""COMPUTED_VALUE"""),"Joko Nugroho")</f>
        <v>Joko Nugroho</v>
      </c>
      <c r="N63" s="6" t="str">
        <f>IFERROR(__xludf.DUMMYFUNCTION("""COMPUTED_VALUE"""),"FIP Engineering")</f>
        <v>FIP Engineering</v>
      </c>
      <c r="O63" s="6" t="str">
        <f>IFERROR(__xludf.DUMMYFUNCTION("""COMPUTED_VALUE"""),"FIP-DOM-ENG-51508-0000000-INA-000000")</f>
        <v>FIP-DOM-ENG-51508-0000000-INA-000000</v>
      </c>
      <c r="P63" s="6" t="str">
        <f>IFERROR(__xludf.DUMMYFUNCTION("""COMPUTED_VALUE"""),"PO Closed")</f>
        <v>PO Closed</v>
      </c>
      <c r="Q63" s="6" t="str">
        <f>IFERROR(__xludf.DUMMYFUNCTION("""COMPUTED_VALUE"""),"GL1804003")</f>
        <v>GL1804003</v>
      </c>
      <c r="R63" s="16">
        <f>IFERROR(__xludf.DUMMYFUNCTION("""COMPUTED_VALUE"""),43164.0)</f>
        <v>43164</v>
      </c>
      <c r="S63" s="6" t="str">
        <f>IFERROR(__xludf.DUMMYFUNCTION("""COMPUTED_VALUE"""),"-")</f>
        <v>-</v>
      </c>
      <c r="T63" s="13">
        <f>IFERROR(__xludf.DUMMYFUNCTION("""COMPUTED_VALUE"""),43195.0)</f>
        <v>43195</v>
      </c>
    </row>
    <row r="64">
      <c r="A64" s="6" t="str">
        <f>IFERROR(__xludf.DUMMYFUNCTION("""COMPUTED_VALUE"""),"181750077-8")</f>
        <v>181750077-8</v>
      </c>
      <c r="B64" s="6" t="str">
        <f>IFERROR(__xludf.DUMMYFUNCTION("""COMPUTED_VALUE"""),"181750077 - Approved")</f>
        <v>181750077 - Approved</v>
      </c>
      <c r="C64" s="6">
        <f>IFERROR(__xludf.DUMMYFUNCTION("""COMPUTED_VALUE"""),8.0)</f>
        <v>8</v>
      </c>
      <c r="D64" s="6" t="str">
        <f>IFERROR(__xludf.DUMMYFUNCTION("""COMPUTED_VALUE"""),"S-60002-00")</f>
        <v>S-60002-00</v>
      </c>
      <c r="E64" s="6" t="str">
        <f>IFERROR(__xludf.DUMMYFUNCTION("""COMPUTED_VALUE"""),"BL 2.5 x 15")</f>
        <v>BL 2.5 x 15</v>
      </c>
      <c r="F64" s="6">
        <f>IFERROR(__xludf.DUMMYFUNCTION("""COMPUTED_VALUE"""),10.0)</f>
        <v>10</v>
      </c>
      <c r="G64" s="6" t="str">
        <f>IFERROR(__xludf.DUMMYFUNCTION("""COMPUTED_VALUE"""),"Lot")</f>
        <v>Lot</v>
      </c>
      <c r="H64" s="6" t="str">
        <f>IFERROR(__xludf.DUMMYFUNCTION("""COMPUTED_VALUE"""),"IDR")</f>
        <v>IDR</v>
      </c>
      <c r="I64" s="11">
        <f>IFERROR(__xludf.DUMMYFUNCTION("""COMPUTED_VALUE"""),2500.0)</f>
        <v>2500</v>
      </c>
      <c r="J64" s="11">
        <f>IFERROR(__xludf.DUMMYFUNCTION("""COMPUTED_VALUE"""),25000.0)</f>
        <v>25000</v>
      </c>
      <c r="K64" s="13">
        <f>IFERROR(__xludf.DUMMYFUNCTION("""COMPUTED_VALUE"""),43189.0)</f>
        <v>43189</v>
      </c>
      <c r="L64" s="6" t="str">
        <f>IFERROR(__xludf.DUMMYFUNCTION("""COMPUTED_VALUE"""),"FIP General")</f>
        <v>FIP General</v>
      </c>
      <c r="M64" s="6" t="str">
        <f>IFERROR(__xludf.DUMMYFUNCTION("""COMPUTED_VALUE"""),"Joko Nugroho")</f>
        <v>Joko Nugroho</v>
      </c>
      <c r="N64" s="6" t="str">
        <f>IFERROR(__xludf.DUMMYFUNCTION("""COMPUTED_VALUE"""),"FIP Engineering")</f>
        <v>FIP Engineering</v>
      </c>
      <c r="O64" s="6" t="str">
        <f>IFERROR(__xludf.DUMMYFUNCTION("""COMPUTED_VALUE"""),"FIP-DOM-ENG-51508-0000000-INA-000000")</f>
        <v>FIP-DOM-ENG-51508-0000000-INA-000000</v>
      </c>
      <c r="P64" s="6" t="str">
        <f>IFERROR(__xludf.DUMMYFUNCTION("""COMPUTED_VALUE"""),"PO Closed")</f>
        <v>PO Closed</v>
      </c>
      <c r="Q64" s="6" t="str">
        <f>IFERROR(__xludf.DUMMYFUNCTION("""COMPUTED_VALUE"""),"GL1804003")</f>
        <v>GL1804003</v>
      </c>
      <c r="R64" s="16">
        <f>IFERROR(__xludf.DUMMYFUNCTION("""COMPUTED_VALUE"""),43164.0)</f>
        <v>43164</v>
      </c>
      <c r="S64" s="6" t="str">
        <f>IFERROR(__xludf.DUMMYFUNCTION("""COMPUTED_VALUE"""),"-")</f>
        <v>-</v>
      </c>
      <c r="T64" s="13">
        <f>IFERROR(__xludf.DUMMYFUNCTION("""COMPUTED_VALUE"""),43195.0)</f>
        <v>43195</v>
      </c>
    </row>
    <row r="65">
      <c r="A65" s="6" t="str">
        <f>IFERROR(__xludf.DUMMYFUNCTION("""COMPUTED_VALUE"""),"181750077-9")</f>
        <v>181750077-9</v>
      </c>
      <c r="B65" s="6" t="str">
        <f>IFERROR(__xludf.DUMMYFUNCTION("""COMPUTED_VALUE"""),"181750077 - Approved")</f>
        <v>181750077 - Approved</v>
      </c>
      <c r="C65" s="6">
        <f>IFERROR(__xludf.DUMMYFUNCTION("""COMPUTED_VALUE"""),9.0)</f>
        <v>9</v>
      </c>
      <c r="D65" s="6" t="str">
        <f>IFERROR(__xludf.DUMMYFUNCTION("""COMPUTED_VALUE"""),"S-60002-00")</f>
        <v>S-60002-00</v>
      </c>
      <c r="E65" s="6" t="str">
        <f>IFERROR(__xludf.DUMMYFUNCTION("""COMPUTED_VALUE"""),"Testpen; ; ;")</f>
        <v>Testpen; ; ;</v>
      </c>
      <c r="F65" s="6">
        <f>IFERROR(__xludf.DUMMYFUNCTION("""COMPUTED_VALUE"""),2.0)</f>
        <v>2</v>
      </c>
      <c r="G65" s="6" t="str">
        <f>IFERROR(__xludf.DUMMYFUNCTION("""COMPUTED_VALUE"""),"Lot")</f>
        <v>Lot</v>
      </c>
      <c r="H65" s="6" t="str">
        <f>IFERROR(__xludf.DUMMYFUNCTION("""COMPUTED_VALUE"""),"IDR")</f>
        <v>IDR</v>
      </c>
      <c r="I65" s="11">
        <f>IFERROR(__xludf.DUMMYFUNCTION("""COMPUTED_VALUE"""),8500.0)</f>
        <v>8500</v>
      </c>
      <c r="J65" s="11">
        <f>IFERROR(__xludf.DUMMYFUNCTION("""COMPUTED_VALUE"""),17000.0)</f>
        <v>17000</v>
      </c>
      <c r="K65" s="13">
        <f>IFERROR(__xludf.DUMMYFUNCTION("""COMPUTED_VALUE"""),43189.0)</f>
        <v>43189</v>
      </c>
      <c r="L65" s="6" t="str">
        <f>IFERROR(__xludf.DUMMYFUNCTION("""COMPUTED_VALUE"""),"FIP General")</f>
        <v>FIP General</v>
      </c>
      <c r="M65" s="6" t="str">
        <f>IFERROR(__xludf.DUMMYFUNCTION("""COMPUTED_VALUE"""),"Joko Nugroho")</f>
        <v>Joko Nugroho</v>
      </c>
      <c r="N65" s="6" t="str">
        <f>IFERROR(__xludf.DUMMYFUNCTION("""COMPUTED_VALUE"""),"FIP Engineering")</f>
        <v>FIP Engineering</v>
      </c>
      <c r="O65" s="6" t="str">
        <f>IFERROR(__xludf.DUMMYFUNCTION("""COMPUTED_VALUE"""),"FIP-DOM-ENG-51508-0000000-INA-000000")</f>
        <v>FIP-DOM-ENG-51508-0000000-INA-000000</v>
      </c>
      <c r="P65" s="6" t="str">
        <f>IFERROR(__xludf.DUMMYFUNCTION("""COMPUTED_VALUE"""),"PO Closed")</f>
        <v>PO Closed</v>
      </c>
      <c r="Q65" s="6" t="str">
        <f>IFERROR(__xludf.DUMMYFUNCTION("""COMPUTED_VALUE"""),"GL1804003")</f>
        <v>GL1804003</v>
      </c>
      <c r="R65" s="16">
        <f>IFERROR(__xludf.DUMMYFUNCTION("""COMPUTED_VALUE"""),43164.0)</f>
        <v>43164</v>
      </c>
      <c r="S65" s="6" t="str">
        <f>IFERROR(__xludf.DUMMYFUNCTION("""COMPUTED_VALUE"""),"-")</f>
        <v>-</v>
      </c>
      <c r="T65" s="13">
        <f>IFERROR(__xludf.DUMMYFUNCTION("""COMPUTED_VALUE"""),43195.0)</f>
        <v>43195</v>
      </c>
    </row>
    <row r="66">
      <c r="A66" s="6" t="str">
        <f>IFERROR(__xludf.DUMMYFUNCTION("""COMPUTED_VALUE"""),"181750081-1")</f>
        <v>181750081-1</v>
      </c>
      <c r="B66" s="6" t="str">
        <f>IFERROR(__xludf.DUMMYFUNCTION("""COMPUTED_VALUE"""),"181750081 - Approved")</f>
        <v>181750081 - Approved</v>
      </c>
      <c r="C66" s="6">
        <f>IFERROR(__xludf.DUMMYFUNCTION("""COMPUTED_VALUE"""),1.0)</f>
        <v>1</v>
      </c>
      <c r="D66" s="6" t="str">
        <f>IFERROR(__xludf.DUMMYFUNCTION("""COMPUTED_VALUE"""),"S-60002-00")</f>
        <v>S-60002-00</v>
      </c>
      <c r="E66" s="6" t="str">
        <f>IFERROR(__xludf.DUMMYFUNCTION("""COMPUTED_VALUE"""),"Pekerjaan Persiapan; Preliminaries, Mob &amp; Demob dll")</f>
        <v>Pekerjaan Persiapan; Preliminaries, Mob &amp; Demob dll</v>
      </c>
      <c r="F66" s="6">
        <f>IFERROR(__xludf.DUMMYFUNCTION("""COMPUTED_VALUE"""),1.0)</f>
        <v>1</v>
      </c>
      <c r="G66" s="6" t="str">
        <f>IFERROR(__xludf.DUMMYFUNCTION("""COMPUTED_VALUE"""),"Lot")</f>
        <v>Lot</v>
      </c>
      <c r="H66" s="6" t="str">
        <f>IFERROR(__xludf.DUMMYFUNCTION("""COMPUTED_VALUE"""),"IDR")</f>
        <v>IDR</v>
      </c>
      <c r="I66" s="11">
        <f>IFERROR(__xludf.DUMMYFUNCTION("""COMPUTED_VALUE"""),1000000.0)</f>
        <v>1000000</v>
      </c>
      <c r="J66" s="11">
        <f>IFERROR(__xludf.DUMMYFUNCTION("""COMPUTED_VALUE"""),1000000.0)</f>
        <v>1000000</v>
      </c>
      <c r="K66" s="13">
        <f>IFERROR(__xludf.DUMMYFUNCTION("""COMPUTED_VALUE"""),43192.0)</f>
        <v>43192</v>
      </c>
      <c r="L66" s="6" t="str">
        <f>IFERROR(__xludf.DUMMYFUNCTION("""COMPUTED_VALUE"""),"FIP General")</f>
        <v>FIP General</v>
      </c>
      <c r="M66" s="6" t="str">
        <f>IFERROR(__xludf.DUMMYFUNCTION("""COMPUTED_VALUE"""),"Joko Nugroho")</f>
        <v>Joko Nugroho</v>
      </c>
      <c r="N66" s="6" t="str">
        <f>IFERROR(__xludf.DUMMYFUNCTION("""COMPUTED_VALUE"""),"FIP Engineering")</f>
        <v>FIP Engineering</v>
      </c>
      <c r="O66" s="6" t="str">
        <f>IFERROR(__xludf.DUMMYFUNCTION("""COMPUTED_VALUE"""),"FIP-DOM-ENG-51508-0000000-INA-000000")</f>
        <v>FIP-DOM-ENG-51508-0000000-INA-000000</v>
      </c>
      <c r="P66" s="6" t="str">
        <f>IFERROR(__xludf.DUMMYFUNCTION("""COMPUTED_VALUE"""),"PO Closed")</f>
        <v>PO Closed</v>
      </c>
      <c r="Q66" s="6" t="str">
        <f>IFERROR(__xludf.DUMMYFUNCTION("""COMPUTED_VALUE"""),"GL1804005")</f>
        <v>GL1804005</v>
      </c>
      <c r="R66" s="16">
        <f>IFERROR(__xludf.DUMMYFUNCTION("""COMPUTED_VALUE"""),43166.0)</f>
        <v>43166</v>
      </c>
      <c r="S66" s="6" t="str">
        <f>IFERROR(__xludf.DUMMYFUNCTION("""COMPUTED_VALUE"""),"-")</f>
        <v>-</v>
      </c>
      <c r="T66" s="13">
        <f>IFERROR(__xludf.DUMMYFUNCTION("""COMPUTED_VALUE"""),43227.0)</f>
        <v>43227</v>
      </c>
    </row>
    <row r="67">
      <c r="A67" s="6" t="str">
        <f>IFERROR(__xludf.DUMMYFUNCTION("""COMPUTED_VALUE"""),"181750081-2")</f>
        <v>181750081-2</v>
      </c>
      <c r="B67" s="6" t="str">
        <f>IFERROR(__xludf.DUMMYFUNCTION("""COMPUTED_VALUE"""),"181750081 - Approved")</f>
        <v>181750081 - Approved</v>
      </c>
      <c r="C67" s="6">
        <f>IFERROR(__xludf.DUMMYFUNCTION("""COMPUTED_VALUE"""),2.0)</f>
        <v>2</v>
      </c>
      <c r="D67" s="6" t="str">
        <f>IFERROR(__xludf.DUMMYFUNCTION("""COMPUTED_VALUE"""),"S-60002-00")</f>
        <v>S-60002-00</v>
      </c>
      <c r="E67" s="6" t="str">
        <f>IFERROR(__xludf.DUMMYFUNCTION("""COMPUTED_VALUE"""),"Pekerjaan Lantai; Injeksi Epoxy;")</f>
        <v>Pekerjaan Lantai; Injeksi Epoxy;</v>
      </c>
      <c r="F67" s="6">
        <f>IFERROR(__xludf.DUMMYFUNCTION("""COMPUTED_VALUE"""),65.0)</f>
        <v>65</v>
      </c>
      <c r="G67" s="6" t="str">
        <f>IFERROR(__xludf.DUMMYFUNCTION("""COMPUTED_VALUE"""),"Lot")</f>
        <v>Lot</v>
      </c>
      <c r="H67" s="6" t="str">
        <f>IFERROR(__xludf.DUMMYFUNCTION("""COMPUTED_VALUE"""),"IDR")</f>
        <v>IDR</v>
      </c>
      <c r="I67" s="11">
        <f>IFERROR(__xludf.DUMMYFUNCTION("""COMPUTED_VALUE"""),125000.0)</f>
        <v>125000</v>
      </c>
      <c r="J67" s="11">
        <f>IFERROR(__xludf.DUMMYFUNCTION("""COMPUTED_VALUE"""),8125000.0)</f>
        <v>8125000</v>
      </c>
      <c r="K67" s="13">
        <f>IFERROR(__xludf.DUMMYFUNCTION("""COMPUTED_VALUE"""),43192.0)</f>
        <v>43192</v>
      </c>
      <c r="L67" s="6" t="str">
        <f>IFERROR(__xludf.DUMMYFUNCTION("""COMPUTED_VALUE"""),"FIP General")</f>
        <v>FIP General</v>
      </c>
      <c r="M67" s="6" t="str">
        <f>IFERROR(__xludf.DUMMYFUNCTION("""COMPUTED_VALUE"""),"Joko Nugroho")</f>
        <v>Joko Nugroho</v>
      </c>
      <c r="N67" s="6" t="str">
        <f>IFERROR(__xludf.DUMMYFUNCTION("""COMPUTED_VALUE"""),"FIP Engineering")</f>
        <v>FIP Engineering</v>
      </c>
      <c r="O67" s="6" t="str">
        <f>IFERROR(__xludf.DUMMYFUNCTION("""COMPUTED_VALUE"""),"FIP-DOM-ENG-51508-0000000-INA-000000")</f>
        <v>FIP-DOM-ENG-51508-0000000-INA-000000</v>
      </c>
      <c r="P67" s="6" t="str">
        <f>IFERROR(__xludf.DUMMYFUNCTION("""COMPUTED_VALUE"""),"PO Closed")</f>
        <v>PO Closed</v>
      </c>
      <c r="Q67" s="6" t="str">
        <f>IFERROR(__xludf.DUMMYFUNCTION("""COMPUTED_VALUE"""),"GL1804005")</f>
        <v>GL1804005</v>
      </c>
      <c r="R67" s="16">
        <f>IFERROR(__xludf.DUMMYFUNCTION("""COMPUTED_VALUE"""),43166.0)</f>
        <v>43166</v>
      </c>
      <c r="S67" s="6" t="str">
        <f>IFERROR(__xludf.DUMMYFUNCTION("""COMPUTED_VALUE"""),"-")</f>
        <v>-</v>
      </c>
      <c r="T67" s="13">
        <f>IFERROR(__xludf.DUMMYFUNCTION("""COMPUTED_VALUE"""),43227.0)</f>
        <v>43227</v>
      </c>
    </row>
    <row r="68">
      <c r="A68" s="6" t="str">
        <f>IFERROR(__xludf.DUMMYFUNCTION("""COMPUTED_VALUE"""),"181750080-1")</f>
        <v>181750080-1</v>
      </c>
      <c r="B68" s="6" t="str">
        <f>IFERROR(__xludf.DUMMYFUNCTION("""COMPUTED_VALUE"""),"181750080 - Approved")</f>
        <v>181750080 - Approved</v>
      </c>
      <c r="C68" s="6">
        <f>IFERROR(__xludf.DUMMYFUNCTION("""COMPUTED_VALUE"""),1.0)</f>
        <v>1</v>
      </c>
      <c r="D68" s="6" t="str">
        <f>IFERROR(__xludf.DUMMYFUNCTION("""COMPUTED_VALUE"""),"S-60002-00")</f>
        <v>S-60002-00</v>
      </c>
      <c r="E68" s="6" t="str">
        <f>IFERROR(__xludf.DUMMYFUNCTION("""COMPUTED_VALUE"""),"Mesin Cutting 14"" Type : GCO200 Bosch")</f>
        <v>Mesin Cutting 14" Type : GCO200 Bosch</v>
      </c>
      <c r="F68" s="6">
        <f>IFERROR(__xludf.DUMMYFUNCTION("""COMPUTED_VALUE"""),1.0)</f>
        <v>1</v>
      </c>
      <c r="G68" s="6" t="str">
        <f>IFERROR(__xludf.DUMMYFUNCTION("""COMPUTED_VALUE"""),"Lot")</f>
        <v>Lot</v>
      </c>
      <c r="H68" s="6" t="str">
        <f>IFERROR(__xludf.DUMMYFUNCTION("""COMPUTED_VALUE"""),"IDR")</f>
        <v>IDR</v>
      </c>
      <c r="I68" s="11">
        <f>IFERROR(__xludf.DUMMYFUNCTION("""COMPUTED_VALUE"""),2150000.0)</f>
        <v>2150000</v>
      </c>
      <c r="J68" s="11">
        <f>IFERROR(__xludf.DUMMYFUNCTION("""COMPUTED_VALUE"""),2150000.0)</f>
        <v>2150000</v>
      </c>
      <c r="K68" s="13">
        <f>IFERROR(__xludf.DUMMYFUNCTION("""COMPUTED_VALUE"""),43180.0)</f>
        <v>43180</v>
      </c>
      <c r="L68" s="6" t="str">
        <f>IFERROR(__xludf.DUMMYFUNCTION("""COMPUTED_VALUE"""),"FIP General")</f>
        <v>FIP General</v>
      </c>
      <c r="M68" s="6" t="str">
        <f>IFERROR(__xludf.DUMMYFUNCTION("""COMPUTED_VALUE"""),"Joko Nugroho")</f>
        <v>Joko Nugroho</v>
      </c>
      <c r="N68" s="6" t="str">
        <f>IFERROR(__xludf.DUMMYFUNCTION("""COMPUTED_VALUE"""),"FIP Engineering")</f>
        <v>FIP Engineering</v>
      </c>
      <c r="O68" s="6" t="str">
        <f>IFERROR(__xludf.DUMMYFUNCTION("""COMPUTED_VALUE"""),"FIP-DOM-ENG-51508-0000000-INA-000000")</f>
        <v>FIP-DOM-ENG-51508-0000000-INA-000000</v>
      </c>
      <c r="P68" s="6" t="str">
        <f>IFERROR(__xludf.DUMMYFUNCTION("""COMPUTED_VALUE"""),"PO Closed")</f>
        <v>PO Closed</v>
      </c>
      <c r="Q68" s="6" t="str">
        <f>IFERROR(__xludf.DUMMYFUNCTION("""COMPUTED_VALUE"""),"GL1804001")</f>
        <v>GL1804001</v>
      </c>
      <c r="R68" s="16">
        <f>IFERROR(__xludf.DUMMYFUNCTION("""COMPUTED_VALUE"""),43166.0)</f>
        <v>43166</v>
      </c>
      <c r="S68" s="6" t="str">
        <f>IFERROR(__xludf.DUMMYFUNCTION("""COMPUTED_VALUE"""),"-")</f>
        <v>-</v>
      </c>
      <c r="T68" s="13">
        <f>IFERROR(__xludf.DUMMYFUNCTION("""COMPUTED_VALUE"""),43195.0)</f>
        <v>43195</v>
      </c>
    </row>
    <row r="69">
      <c r="A69" s="6" t="str">
        <f>IFERROR(__xludf.DUMMYFUNCTION("""COMPUTED_VALUE"""),"181750080-2")</f>
        <v>181750080-2</v>
      </c>
      <c r="B69" s="6" t="str">
        <f>IFERROR(__xludf.DUMMYFUNCTION("""COMPUTED_VALUE"""),"181750080 - Approved")</f>
        <v>181750080 - Approved</v>
      </c>
      <c r="C69" s="6">
        <f>IFERROR(__xludf.DUMMYFUNCTION("""COMPUTED_VALUE"""),2.0)</f>
        <v>2</v>
      </c>
      <c r="D69" s="6" t="str">
        <f>IFERROR(__xludf.DUMMYFUNCTION("""COMPUTED_VALUE"""),"S-60002-00")</f>
        <v>S-60002-00</v>
      </c>
      <c r="E69" s="6" t="str">
        <f>IFERROR(__xludf.DUMMYFUNCTION("""COMPUTED_VALUE"""),"Mata Cutting 14"" Makita")</f>
        <v>Mata Cutting 14" Makita</v>
      </c>
      <c r="F69" s="6">
        <f>IFERROR(__xludf.DUMMYFUNCTION("""COMPUTED_VALUE"""),2.0)</f>
        <v>2</v>
      </c>
      <c r="G69" s="6" t="str">
        <f>IFERROR(__xludf.DUMMYFUNCTION("""COMPUTED_VALUE"""),"Lot")</f>
        <v>Lot</v>
      </c>
      <c r="H69" s="6" t="str">
        <f>IFERROR(__xludf.DUMMYFUNCTION("""COMPUTED_VALUE"""),"IDR")</f>
        <v>IDR</v>
      </c>
      <c r="I69" s="11">
        <f>IFERROR(__xludf.DUMMYFUNCTION("""COMPUTED_VALUE"""),63000.0)</f>
        <v>63000</v>
      </c>
      <c r="J69" s="11">
        <f>IFERROR(__xludf.DUMMYFUNCTION("""COMPUTED_VALUE"""),126000.0)</f>
        <v>126000</v>
      </c>
      <c r="K69" s="13">
        <f>IFERROR(__xludf.DUMMYFUNCTION("""COMPUTED_VALUE"""),43180.0)</f>
        <v>43180</v>
      </c>
      <c r="L69" s="6" t="str">
        <f>IFERROR(__xludf.DUMMYFUNCTION("""COMPUTED_VALUE"""),"FIP General")</f>
        <v>FIP General</v>
      </c>
      <c r="M69" s="6" t="str">
        <f>IFERROR(__xludf.DUMMYFUNCTION("""COMPUTED_VALUE"""),"Joko Nugroho")</f>
        <v>Joko Nugroho</v>
      </c>
      <c r="N69" s="6" t="str">
        <f>IFERROR(__xludf.DUMMYFUNCTION("""COMPUTED_VALUE"""),"FIP Engineering")</f>
        <v>FIP Engineering</v>
      </c>
      <c r="O69" s="6" t="str">
        <f>IFERROR(__xludf.DUMMYFUNCTION("""COMPUTED_VALUE"""),"FIP-DOM-ENG-51508-0000000-INA-000000")</f>
        <v>FIP-DOM-ENG-51508-0000000-INA-000000</v>
      </c>
      <c r="P69" s="6" t="str">
        <f>IFERROR(__xludf.DUMMYFUNCTION("""COMPUTED_VALUE"""),"PO Closed")</f>
        <v>PO Closed</v>
      </c>
      <c r="Q69" s="6" t="str">
        <f>IFERROR(__xludf.DUMMYFUNCTION("""COMPUTED_VALUE"""),"GL1804001")</f>
        <v>GL1804001</v>
      </c>
      <c r="R69" s="16">
        <f>IFERROR(__xludf.DUMMYFUNCTION("""COMPUTED_VALUE"""),43166.0)</f>
        <v>43166</v>
      </c>
      <c r="S69" s="6" t="str">
        <f>IFERROR(__xludf.DUMMYFUNCTION("""COMPUTED_VALUE"""),"-")</f>
        <v>-</v>
      </c>
      <c r="T69" s="13">
        <f>IFERROR(__xludf.DUMMYFUNCTION("""COMPUTED_VALUE"""),43195.0)</f>
        <v>43195</v>
      </c>
    </row>
    <row r="70">
      <c r="A70" s="6" t="str">
        <f>IFERROR(__xludf.DUMMYFUNCTION("""COMPUTED_VALUE"""),"181750080-3")</f>
        <v>181750080-3</v>
      </c>
      <c r="B70" s="6" t="str">
        <f>IFERROR(__xludf.DUMMYFUNCTION("""COMPUTED_VALUE"""),"181750080 - Approved")</f>
        <v>181750080 - Approved</v>
      </c>
      <c r="C70" s="6">
        <f>IFERROR(__xludf.DUMMYFUNCTION("""COMPUTED_VALUE"""),3.0)</f>
        <v>3</v>
      </c>
      <c r="D70" s="6" t="str">
        <f>IFERROR(__xludf.DUMMYFUNCTION("""COMPUTED_VALUE"""),"S-60002-00")</f>
        <v>S-60002-00</v>
      </c>
      <c r="E70" s="6" t="str">
        <f>IFERROR(__xludf.DUMMYFUNCTION("""COMPUTED_VALUE"""),"Penggaris Siku 10x30 cm")</f>
        <v>Penggaris Siku 10x30 cm</v>
      </c>
      <c r="F70" s="6">
        <f>IFERROR(__xludf.DUMMYFUNCTION("""COMPUTED_VALUE"""),1.0)</f>
        <v>1</v>
      </c>
      <c r="G70" s="6" t="str">
        <f>IFERROR(__xludf.DUMMYFUNCTION("""COMPUTED_VALUE"""),"Lot")</f>
        <v>Lot</v>
      </c>
      <c r="H70" s="6" t="str">
        <f>IFERROR(__xludf.DUMMYFUNCTION("""COMPUTED_VALUE"""),"IDR")</f>
        <v>IDR</v>
      </c>
      <c r="I70" s="11">
        <f>IFERROR(__xludf.DUMMYFUNCTION("""COMPUTED_VALUE"""),25000.0)</f>
        <v>25000</v>
      </c>
      <c r="J70" s="11">
        <f>IFERROR(__xludf.DUMMYFUNCTION("""COMPUTED_VALUE"""),25000.0)</f>
        <v>25000</v>
      </c>
      <c r="K70" s="13">
        <f>IFERROR(__xludf.DUMMYFUNCTION("""COMPUTED_VALUE"""),43180.0)</f>
        <v>43180</v>
      </c>
      <c r="L70" s="6" t="str">
        <f>IFERROR(__xludf.DUMMYFUNCTION("""COMPUTED_VALUE"""),"FIP General")</f>
        <v>FIP General</v>
      </c>
      <c r="M70" s="6" t="str">
        <f>IFERROR(__xludf.DUMMYFUNCTION("""COMPUTED_VALUE"""),"Joko Nugroho")</f>
        <v>Joko Nugroho</v>
      </c>
      <c r="N70" s="6" t="str">
        <f>IFERROR(__xludf.DUMMYFUNCTION("""COMPUTED_VALUE"""),"FIP Engineering")</f>
        <v>FIP Engineering</v>
      </c>
      <c r="O70" s="6" t="str">
        <f>IFERROR(__xludf.DUMMYFUNCTION("""COMPUTED_VALUE"""),"FIP-DOM-ENG-51508-0000000-INA-000000")</f>
        <v>FIP-DOM-ENG-51508-0000000-INA-000000</v>
      </c>
      <c r="P70" s="6" t="str">
        <f>IFERROR(__xludf.DUMMYFUNCTION("""COMPUTED_VALUE"""),"PO Closed")</f>
        <v>PO Closed</v>
      </c>
      <c r="Q70" s="6" t="str">
        <f>IFERROR(__xludf.DUMMYFUNCTION("""COMPUTED_VALUE"""),"GL1804001")</f>
        <v>GL1804001</v>
      </c>
      <c r="R70" s="16">
        <f>IFERROR(__xludf.DUMMYFUNCTION("""COMPUTED_VALUE"""),43166.0)</f>
        <v>43166</v>
      </c>
      <c r="S70" s="6" t="str">
        <f>IFERROR(__xludf.DUMMYFUNCTION("""COMPUTED_VALUE"""),"-")</f>
        <v>-</v>
      </c>
      <c r="T70" s="13">
        <f>IFERROR(__xludf.DUMMYFUNCTION("""COMPUTED_VALUE"""),43195.0)</f>
        <v>43195</v>
      </c>
    </row>
    <row r="71">
      <c r="A71" s="6" t="str">
        <f>IFERROR(__xludf.DUMMYFUNCTION("""COMPUTED_VALUE"""),"181750080-4")</f>
        <v>181750080-4</v>
      </c>
      <c r="B71" s="6" t="str">
        <f>IFERROR(__xludf.DUMMYFUNCTION("""COMPUTED_VALUE"""),"181750080 - Approved")</f>
        <v>181750080 - Approved</v>
      </c>
      <c r="C71" s="6">
        <f>IFERROR(__xludf.DUMMYFUNCTION("""COMPUTED_VALUE"""),4.0)</f>
        <v>4</v>
      </c>
      <c r="D71" s="6" t="str">
        <f>IFERROR(__xludf.DUMMYFUNCTION("""COMPUTED_VALUE"""),"S-60002-00")</f>
        <v>S-60002-00</v>
      </c>
      <c r="E71" s="6" t="str">
        <f>IFERROR(__xludf.DUMMYFUNCTION("""COMPUTED_VALUE"""),"Pin Punch Set Lipro")</f>
        <v>Pin Punch Set Lipro</v>
      </c>
      <c r="F71" s="6">
        <f>IFERROR(__xludf.DUMMYFUNCTION("""COMPUTED_VALUE"""),1.0)</f>
        <v>1</v>
      </c>
      <c r="G71" s="6" t="str">
        <f>IFERROR(__xludf.DUMMYFUNCTION("""COMPUTED_VALUE"""),"Lot")</f>
        <v>Lot</v>
      </c>
      <c r="H71" s="6" t="str">
        <f>IFERROR(__xludf.DUMMYFUNCTION("""COMPUTED_VALUE"""),"IDR")</f>
        <v>IDR</v>
      </c>
      <c r="I71" s="11">
        <f>IFERROR(__xludf.DUMMYFUNCTION("""COMPUTED_VALUE"""),325000.0)</f>
        <v>325000</v>
      </c>
      <c r="J71" s="11">
        <f>IFERROR(__xludf.DUMMYFUNCTION("""COMPUTED_VALUE"""),325000.0)</f>
        <v>325000</v>
      </c>
      <c r="K71" s="13">
        <f>IFERROR(__xludf.DUMMYFUNCTION("""COMPUTED_VALUE"""),43180.0)</f>
        <v>43180</v>
      </c>
      <c r="L71" s="6" t="str">
        <f>IFERROR(__xludf.DUMMYFUNCTION("""COMPUTED_VALUE"""),"FIP General")</f>
        <v>FIP General</v>
      </c>
      <c r="M71" s="6" t="str">
        <f>IFERROR(__xludf.DUMMYFUNCTION("""COMPUTED_VALUE"""),"Joko Nugroho")</f>
        <v>Joko Nugroho</v>
      </c>
      <c r="N71" s="6" t="str">
        <f>IFERROR(__xludf.DUMMYFUNCTION("""COMPUTED_VALUE"""),"FIP Engineering")</f>
        <v>FIP Engineering</v>
      </c>
      <c r="O71" s="6" t="str">
        <f>IFERROR(__xludf.DUMMYFUNCTION("""COMPUTED_VALUE"""),"FIP-DOM-ENG-51508-0000000-INA-000000")</f>
        <v>FIP-DOM-ENG-51508-0000000-INA-000000</v>
      </c>
      <c r="P71" s="6" t="str">
        <f>IFERROR(__xludf.DUMMYFUNCTION("""COMPUTED_VALUE"""),"PO Closed")</f>
        <v>PO Closed</v>
      </c>
      <c r="Q71" s="6" t="str">
        <f>IFERROR(__xludf.DUMMYFUNCTION("""COMPUTED_VALUE"""),"GL1804019")</f>
        <v>GL1804019</v>
      </c>
      <c r="R71" s="16">
        <f>IFERROR(__xludf.DUMMYFUNCTION("""COMPUTED_VALUE"""),43166.0)</f>
        <v>43166</v>
      </c>
      <c r="S71" s="6" t="str">
        <f>IFERROR(__xludf.DUMMYFUNCTION("""COMPUTED_VALUE"""),"-")</f>
        <v>-</v>
      </c>
      <c r="T71" s="13">
        <f>IFERROR(__xludf.DUMMYFUNCTION("""COMPUTED_VALUE"""),43216.0)</f>
        <v>43216</v>
      </c>
    </row>
    <row r="72">
      <c r="A72" s="6" t="str">
        <f>IFERROR(__xludf.DUMMYFUNCTION("""COMPUTED_VALUE"""),"181750075-3")</f>
        <v>181750075-3</v>
      </c>
      <c r="B72" s="6" t="str">
        <f>IFERROR(__xludf.DUMMYFUNCTION("""COMPUTED_VALUE"""),"181750075 - Approved")</f>
        <v>181750075 - Approved</v>
      </c>
      <c r="C72" s="6">
        <f>IFERROR(__xludf.DUMMYFUNCTION("""COMPUTED_VALUE"""),3.0)</f>
        <v>3</v>
      </c>
      <c r="D72" s="6" t="str">
        <f>IFERROR(__xludf.DUMMYFUNCTION("""COMPUTED_VALUE"""),"S-60002-00")</f>
        <v>S-60002-00</v>
      </c>
      <c r="E72" s="6" t="str">
        <f>IFERROR(__xludf.DUMMYFUNCTION("""COMPUTED_VALUE"""),"Material For HUBBER MIXING; PIPA SCH 10 SUS304 1/4""")</f>
        <v>Material For HUBBER MIXING; PIPA SCH 10 SUS304 1/4"</v>
      </c>
      <c r="F72" s="6">
        <f>IFERROR(__xludf.DUMMYFUNCTION("""COMPUTED_VALUE"""),1.0)</f>
        <v>1</v>
      </c>
      <c r="G72" s="6" t="str">
        <f>IFERROR(__xludf.DUMMYFUNCTION("""COMPUTED_VALUE"""),"Lot")</f>
        <v>Lot</v>
      </c>
      <c r="H72" s="6" t="str">
        <f>IFERROR(__xludf.DUMMYFUNCTION("""COMPUTED_VALUE"""),"IDR")</f>
        <v>IDR</v>
      </c>
      <c r="I72" s="11">
        <f>IFERROR(__xludf.DUMMYFUNCTION("""COMPUTED_VALUE"""),850000.0)</f>
        <v>850000</v>
      </c>
      <c r="J72" s="11">
        <f>IFERROR(__xludf.DUMMYFUNCTION("""COMPUTED_VALUE"""),850000.0)</f>
        <v>850000</v>
      </c>
      <c r="K72" s="13">
        <f>IFERROR(__xludf.DUMMYFUNCTION("""COMPUTED_VALUE"""),43182.0)</f>
        <v>43182</v>
      </c>
      <c r="L72" s="6" t="str">
        <f>IFERROR(__xludf.DUMMYFUNCTION("""COMPUTED_VALUE"""),"FIP General")</f>
        <v>FIP General</v>
      </c>
      <c r="M72" s="6" t="str">
        <f>IFERROR(__xludf.DUMMYFUNCTION("""COMPUTED_VALUE"""),"Joko Nugroho")</f>
        <v>Joko Nugroho</v>
      </c>
      <c r="N72" s="6" t="str">
        <f>IFERROR(__xludf.DUMMYFUNCTION("""COMPUTED_VALUE"""),"FIP Engineering")</f>
        <v>FIP Engineering</v>
      </c>
      <c r="O72" s="6" t="str">
        <f>IFERROR(__xludf.DUMMYFUNCTION("""COMPUTED_VALUE"""),"FIP-DOM-ENG-51508-0000000-INA-000000")</f>
        <v>FIP-DOM-ENG-51508-0000000-INA-000000</v>
      </c>
      <c r="P72" s="6" t="str">
        <f>IFERROR(__xludf.DUMMYFUNCTION("""COMPUTED_VALUE"""),"PO Closed")</f>
        <v>PO Closed</v>
      </c>
      <c r="Q72" s="6" t="str">
        <f>IFERROR(__xludf.DUMMYFUNCTION("""COMPUTED_VALUE"""),"GL1804002")</f>
        <v>GL1804002</v>
      </c>
      <c r="R72" s="16">
        <f>IFERROR(__xludf.DUMMYFUNCTION("""COMPUTED_VALUE"""),43166.0)</f>
        <v>43166</v>
      </c>
      <c r="S72" s="6" t="str">
        <f>IFERROR(__xludf.DUMMYFUNCTION("""COMPUTED_VALUE"""),"-")</f>
        <v>-</v>
      </c>
      <c r="T72" s="13">
        <f>IFERROR(__xludf.DUMMYFUNCTION("""COMPUTED_VALUE"""),43216.0)</f>
        <v>43216</v>
      </c>
    </row>
    <row r="73">
      <c r="A73" s="6" t="str">
        <f>IFERROR(__xludf.DUMMYFUNCTION("""COMPUTED_VALUE"""),"181750075-4")</f>
        <v>181750075-4</v>
      </c>
      <c r="B73" s="6" t="str">
        <f>IFERROR(__xludf.DUMMYFUNCTION("""COMPUTED_VALUE"""),"181750075 - Approved")</f>
        <v>181750075 - Approved</v>
      </c>
      <c r="C73" s="6">
        <f>IFERROR(__xludf.DUMMYFUNCTION("""COMPUTED_VALUE"""),4.0)</f>
        <v>4</v>
      </c>
      <c r="D73" s="6" t="str">
        <f>IFERROR(__xludf.DUMMYFUNCTION("""COMPUTED_VALUE"""),"S-60002-00")</f>
        <v>S-60002-00</v>
      </c>
      <c r="E73" s="6" t="str">
        <f>IFERROR(__xludf.DUMMYFUNCTION("""COMPUTED_VALUE"""),"Material For HUBBER MIXING; Elbow Type Weld SUS304 1/4""")</f>
        <v>Material For HUBBER MIXING; Elbow Type Weld SUS304 1/4"</v>
      </c>
      <c r="F73" s="6">
        <f>IFERROR(__xludf.DUMMYFUNCTION("""COMPUTED_VALUE"""),6.0)</f>
        <v>6</v>
      </c>
      <c r="G73" s="6" t="str">
        <f>IFERROR(__xludf.DUMMYFUNCTION("""COMPUTED_VALUE"""),"Lot")</f>
        <v>Lot</v>
      </c>
      <c r="H73" s="6" t="str">
        <f>IFERROR(__xludf.DUMMYFUNCTION("""COMPUTED_VALUE"""),"IDR")</f>
        <v>IDR</v>
      </c>
      <c r="I73" s="11">
        <f>IFERROR(__xludf.DUMMYFUNCTION("""COMPUTED_VALUE"""),62500.0)</f>
        <v>62500</v>
      </c>
      <c r="J73" s="11">
        <f>IFERROR(__xludf.DUMMYFUNCTION("""COMPUTED_VALUE"""),375000.0)</f>
        <v>375000</v>
      </c>
      <c r="K73" s="13">
        <f>IFERROR(__xludf.DUMMYFUNCTION("""COMPUTED_VALUE"""),43182.0)</f>
        <v>43182</v>
      </c>
      <c r="L73" s="6" t="str">
        <f>IFERROR(__xludf.DUMMYFUNCTION("""COMPUTED_VALUE"""),"FIP General")</f>
        <v>FIP General</v>
      </c>
      <c r="M73" s="6" t="str">
        <f>IFERROR(__xludf.DUMMYFUNCTION("""COMPUTED_VALUE"""),"Joko Nugroho")</f>
        <v>Joko Nugroho</v>
      </c>
      <c r="N73" s="6" t="str">
        <f>IFERROR(__xludf.DUMMYFUNCTION("""COMPUTED_VALUE"""),"FIP Engineering")</f>
        <v>FIP Engineering</v>
      </c>
      <c r="O73" s="6" t="str">
        <f>IFERROR(__xludf.DUMMYFUNCTION("""COMPUTED_VALUE"""),"FIP-DOM-ENG-51508-0000000-INA-000000")</f>
        <v>FIP-DOM-ENG-51508-0000000-INA-000000</v>
      </c>
      <c r="P73" s="6" t="str">
        <f>IFERROR(__xludf.DUMMYFUNCTION("""COMPUTED_VALUE"""),"PO Closed")</f>
        <v>PO Closed</v>
      </c>
      <c r="Q73" s="6" t="str">
        <f>IFERROR(__xludf.DUMMYFUNCTION("""COMPUTED_VALUE"""),"GL1804002")</f>
        <v>GL1804002</v>
      </c>
      <c r="R73" s="16">
        <f>IFERROR(__xludf.DUMMYFUNCTION("""COMPUTED_VALUE"""),43166.0)</f>
        <v>43166</v>
      </c>
      <c r="S73" s="6" t="str">
        <f>IFERROR(__xludf.DUMMYFUNCTION("""COMPUTED_VALUE"""),"-")</f>
        <v>-</v>
      </c>
      <c r="T73" s="13">
        <f>IFERROR(__xludf.DUMMYFUNCTION("""COMPUTED_VALUE"""),43216.0)</f>
        <v>43216</v>
      </c>
    </row>
    <row r="74">
      <c r="A74" s="6" t="str">
        <f>IFERROR(__xludf.DUMMYFUNCTION("""COMPUTED_VALUE"""),"181750075-5")</f>
        <v>181750075-5</v>
      </c>
      <c r="B74" s="6" t="str">
        <f>IFERROR(__xludf.DUMMYFUNCTION("""COMPUTED_VALUE"""),"181750075 - Approved")</f>
        <v>181750075 - Approved</v>
      </c>
      <c r="C74" s="6">
        <f>IFERROR(__xludf.DUMMYFUNCTION("""COMPUTED_VALUE"""),5.0)</f>
        <v>5</v>
      </c>
      <c r="D74" s="6" t="str">
        <f>IFERROR(__xludf.DUMMYFUNCTION("""COMPUTED_VALUE"""),"S-60002-00")</f>
        <v>S-60002-00</v>
      </c>
      <c r="E74" s="6" t="str">
        <f>IFERROR(__xludf.DUMMYFUNCTION("""COMPUTED_VALUE"""),"Material For HUBBER MIXING; Ferrule Conection SS304 1/2""")</f>
        <v>Material For HUBBER MIXING; Ferrule Conection SS304 1/2"</v>
      </c>
      <c r="F74" s="6">
        <f>IFERROR(__xludf.DUMMYFUNCTION("""COMPUTED_VALUE"""),1.0)</f>
        <v>1</v>
      </c>
      <c r="G74" s="6" t="str">
        <f>IFERROR(__xludf.DUMMYFUNCTION("""COMPUTED_VALUE"""),"Lot")</f>
        <v>Lot</v>
      </c>
      <c r="H74" s="6" t="str">
        <f>IFERROR(__xludf.DUMMYFUNCTION("""COMPUTED_VALUE"""),"IDR")</f>
        <v>IDR</v>
      </c>
      <c r="I74" s="11">
        <f>IFERROR(__xludf.DUMMYFUNCTION("""COMPUTED_VALUE"""),325000.0)</f>
        <v>325000</v>
      </c>
      <c r="J74" s="11">
        <f>IFERROR(__xludf.DUMMYFUNCTION("""COMPUTED_VALUE"""),325000.0)</f>
        <v>325000</v>
      </c>
      <c r="K74" s="13">
        <f>IFERROR(__xludf.DUMMYFUNCTION("""COMPUTED_VALUE"""),43182.0)</f>
        <v>43182</v>
      </c>
      <c r="L74" s="6" t="str">
        <f>IFERROR(__xludf.DUMMYFUNCTION("""COMPUTED_VALUE"""),"FIP General")</f>
        <v>FIP General</v>
      </c>
      <c r="M74" s="6" t="str">
        <f>IFERROR(__xludf.DUMMYFUNCTION("""COMPUTED_VALUE"""),"Joko Nugroho")</f>
        <v>Joko Nugroho</v>
      </c>
      <c r="N74" s="6" t="str">
        <f>IFERROR(__xludf.DUMMYFUNCTION("""COMPUTED_VALUE"""),"FIP Engineering")</f>
        <v>FIP Engineering</v>
      </c>
      <c r="O74" s="6" t="str">
        <f>IFERROR(__xludf.DUMMYFUNCTION("""COMPUTED_VALUE"""),"FIP-DOM-ENG-51508-0000000-INA-000000")</f>
        <v>FIP-DOM-ENG-51508-0000000-INA-000000</v>
      </c>
      <c r="P74" s="6" t="str">
        <f>IFERROR(__xludf.DUMMYFUNCTION("""COMPUTED_VALUE"""),"PO Closed")</f>
        <v>PO Closed</v>
      </c>
      <c r="Q74" s="6" t="str">
        <f>IFERROR(__xludf.DUMMYFUNCTION("""COMPUTED_VALUE"""),"GL1804002")</f>
        <v>GL1804002</v>
      </c>
      <c r="R74" s="16">
        <f>IFERROR(__xludf.DUMMYFUNCTION("""COMPUTED_VALUE"""),43166.0)</f>
        <v>43166</v>
      </c>
      <c r="S74" s="6" t="str">
        <f>IFERROR(__xludf.DUMMYFUNCTION("""COMPUTED_VALUE"""),"-")</f>
        <v>-</v>
      </c>
      <c r="T74" s="13">
        <f>IFERROR(__xludf.DUMMYFUNCTION("""COMPUTED_VALUE"""),43216.0)</f>
        <v>43216</v>
      </c>
    </row>
    <row r="75">
      <c r="A75" s="6" t="str">
        <f>IFERROR(__xludf.DUMMYFUNCTION("""COMPUTED_VALUE"""),"181750075-6")</f>
        <v>181750075-6</v>
      </c>
      <c r="B75" s="6" t="str">
        <f>IFERROR(__xludf.DUMMYFUNCTION("""COMPUTED_VALUE"""),"181750075 - Approved")</f>
        <v>181750075 - Approved</v>
      </c>
      <c r="C75" s="6">
        <f>IFERROR(__xludf.DUMMYFUNCTION("""COMPUTED_VALUE"""),6.0)</f>
        <v>6</v>
      </c>
      <c r="D75" s="6" t="str">
        <f>IFERROR(__xludf.DUMMYFUNCTION("""COMPUTED_VALUE"""),"S-60002-00")</f>
        <v>S-60002-00</v>
      </c>
      <c r="E75" s="6" t="str">
        <f>IFERROR(__xludf.DUMMYFUNCTION("""COMPUTED_VALUE"""),"Material For Drain WFI MIXING; Gate Valve SS304 1.0""")</f>
        <v>Material For Drain WFI MIXING; Gate Valve SS304 1.0"</v>
      </c>
      <c r="F75" s="6">
        <f>IFERROR(__xludf.DUMMYFUNCTION("""COMPUTED_VALUE"""),1.0)</f>
        <v>1</v>
      </c>
      <c r="G75" s="6" t="str">
        <f>IFERROR(__xludf.DUMMYFUNCTION("""COMPUTED_VALUE"""),"Lot")</f>
        <v>Lot</v>
      </c>
      <c r="H75" s="6" t="str">
        <f>IFERROR(__xludf.DUMMYFUNCTION("""COMPUTED_VALUE"""),"IDR")</f>
        <v>IDR</v>
      </c>
      <c r="I75" s="11">
        <f>IFERROR(__xludf.DUMMYFUNCTION("""COMPUTED_VALUE"""),650000.0)</f>
        <v>650000</v>
      </c>
      <c r="J75" s="11">
        <f>IFERROR(__xludf.DUMMYFUNCTION("""COMPUTED_VALUE"""),650000.0)</f>
        <v>650000</v>
      </c>
      <c r="K75" s="13">
        <f>IFERROR(__xludf.DUMMYFUNCTION("""COMPUTED_VALUE"""),43182.0)</f>
        <v>43182</v>
      </c>
      <c r="L75" s="6" t="str">
        <f>IFERROR(__xludf.DUMMYFUNCTION("""COMPUTED_VALUE"""),"FIP General")</f>
        <v>FIP General</v>
      </c>
      <c r="M75" s="6" t="str">
        <f>IFERROR(__xludf.DUMMYFUNCTION("""COMPUTED_VALUE"""),"Joko Nugroho")</f>
        <v>Joko Nugroho</v>
      </c>
      <c r="N75" s="6" t="str">
        <f>IFERROR(__xludf.DUMMYFUNCTION("""COMPUTED_VALUE"""),"FIP Engineering")</f>
        <v>FIP Engineering</v>
      </c>
      <c r="O75" s="6" t="str">
        <f>IFERROR(__xludf.DUMMYFUNCTION("""COMPUTED_VALUE"""),"FIP-DOM-ENG-51508-0000000-INA-000000")</f>
        <v>FIP-DOM-ENG-51508-0000000-INA-000000</v>
      </c>
      <c r="P75" s="6" t="str">
        <f>IFERROR(__xludf.DUMMYFUNCTION("""COMPUTED_VALUE"""),"PO Closed")</f>
        <v>PO Closed</v>
      </c>
      <c r="Q75" s="6" t="str">
        <f>IFERROR(__xludf.DUMMYFUNCTION("""COMPUTED_VALUE"""),"GL1804002")</f>
        <v>GL1804002</v>
      </c>
      <c r="R75" s="16">
        <f>IFERROR(__xludf.DUMMYFUNCTION("""COMPUTED_VALUE"""),43166.0)</f>
        <v>43166</v>
      </c>
      <c r="S75" s="6" t="str">
        <f>IFERROR(__xludf.DUMMYFUNCTION("""COMPUTED_VALUE"""),"-")</f>
        <v>-</v>
      </c>
      <c r="T75" s="13">
        <f>IFERROR(__xludf.DUMMYFUNCTION("""COMPUTED_VALUE"""),43216.0)</f>
        <v>43216</v>
      </c>
    </row>
    <row r="76">
      <c r="A76" s="6" t="str">
        <f>IFERROR(__xludf.DUMMYFUNCTION("""COMPUTED_VALUE"""),"181750075-7")</f>
        <v>181750075-7</v>
      </c>
      <c r="B76" s="6" t="str">
        <f>IFERROR(__xludf.DUMMYFUNCTION("""COMPUTED_VALUE"""),"181750075 - Approved")</f>
        <v>181750075 - Approved</v>
      </c>
      <c r="C76" s="6">
        <f>IFERROR(__xludf.DUMMYFUNCTION("""COMPUTED_VALUE"""),7.0)</f>
        <v>7</v>
      </c>
      <c r="D76" s="6" t="str">
        <f>IFERROR(__xludf.DUMMYFUNCTION("""COMPUTED_VALUE"""),"S-60002-00")</f>
        <v>S-60002-00</v>
      </c>
      <c r="E76" s="6" t="str">
        <f>IFERROR(__xludf.DUMMYFUNCTION("""COMPUTED_VALUE"""),"Material For Drain WFI MIXING; Ferrule Conection SS304 1.0""")</f>
        <v>Material For Drain WFI MIXING; Ferrule Conection SS304 1.0"</v>
      </c>
      <c r="F76" s="6">
        <f>IFERROR(__xludf.DUMMYFUNCTION("""COMPUTED_VALUE"""),1.0)</f>
        <v>1</v>
      </c>
      <c r="G76" s="6" t="str">
        <f>IFERROR(__xludf.DUMMYFUNCTION("""COMPUTED_VALUE"""),"Lot")</f>
        <v>Lot</v>
      </c>
      <c r="H76" s="6" t="str">
        <f>IFERROR(__xludf.DUMMYFUNCTION("""COMPUTED_VALUE"""),"IDR")</f>
        <v>IDR</v>
      </c>
      <c r="I76" s="11">
        <f>IFERROR(__xludf.DUMMYFUNCTION("""COMPUTED_VALUE"""),375000.0)</f>
        <v>375000</v>
      </c>
      <c r="J76" s="11">
        <f>IFERROR(__xludf.DUMMYFUNCTION("""COMPUTED_VALUE"""),375000.0)</f>
        <v>375000</v>
      </c>
      <c r="K76" s="13">
        <f>IFERROR(__xludf.DUMMYFUNCTION("""COMPUTED_VALUE"""),43182.0)</f>
        <v>43182</v>
      </c>
      <c r="L76" s="6" t="str">
        <f>IFERROR(__xludf.DUMMYFUNCTION("""COMPUTED_VALUE"""),"FIP General")</f>
        <v>FIP General</v>
      </c>
      <c r="M76" s="6" t="str">
        <f>IFERROR(__xludf.DUMMYFUNCTION("""COMPUTED_VALUE"""),"Joko Nugroho")</f>
        <v>Joko Nugroho</v>
      </c>
      <c r="N76" s="6" t="str">
        <f>IFERROR(__xludf.DUMMYFUNCTION("""COMPUTED_VALUE"""),"FIP Engineering")</f>
        <v>FIP Engineering</v>
      </c>
      <c r="O76" s="6" t="str">
        <f>IFERROR(__xludf.DUMMYFUNCTION("""COMPUTED_VALUE"""),"FIP-DOM-ENG-51508-0000000-INA-000000")</f>
        <v>FIP-DOM-ENG-51508-0000000-INA-000000</v>
      </c>
      <c r="P76" s="6" t="str">
        <f>IFERROR(__xludf.DUMMYFUNCTION("""COMPUTED_VALUE"""),"PO Closed")</f>
        <v>PO Closed</v>
      </c>
      <c r="Q76" s="6" t="str">
        <f>IFERROR(__xludf.DUMMYFUNCTION("""COMPUTED_VALUE"""),"GL1804002")</f>
        <v>GL1804002</v>
      </c>
      <c r="R76" s="16">
        <f>IFERROR(__xludf.DUMMYFUNCTION("""COMPUTED_VALUE"""),43166.0)</f>
        <v>43166</v>
      </c>
      <c r="S76" s="6" t="str">
        <f>IFERROR(__xludf.DUMMYFUNCTION("""COMPUTED_VALUE"""),"-")</f>
        <v>-</v>
      </c>
      <c r="T76" s="13">
        <f>IFERROR(__xludf.DUMMYFUNCTION("""COMPUTED_VALUE"""),43216.0)</f>
        <v>43216</v>
      </c>
    </row>
    <row r="77">
      <c r="A77" s="6" t="str">
        <f>IFERROR(__xludf.DUMMYFUNCTION("""COMPUTED_VALUE"""),"181750075-8")</f>
        <v>181750075-8</v>
      </c>
      <c r="B77" s="6" t="str">
        <f>IFERROR(__xludf.DUMMYFUNCTION("""COMPUTED_VALUE"""),"181750075 - Approved")</f>
        <v>181750075 - Approved</v>
      </c>
      <c r="C77" s="6">
        <f>IFERROR(__xludf.DUMMYFUNCTION("""COMPUTED_VALUE"""),8.0)</f>
        <v>8</v>
      </c>
      <c r="D77" s="6" t="str">
        <f>IFERROR(__xludf.DUMMYFUNCTION("""COMPUTED_VALUE"""),"S-60002-00")</f>
        <v>S-60002-00</v>
      </c>
      <c r="E77" s="6" t="str">
        <f>IFERROR(__xludf.DUMMYFUNCTION("""COMPUTED_VALUE"""),"Material For Drain WFI MIXING; Treading Pipe SS304 1.0""")</f>
        <v>Material For Drain WFI MIXING; Treading Pipe SS304 1.0"</v>
      </c>
      <c r="F77" s="6">
        <f>IFERROR(__xludf.DUMMYFUNCTION("""COMPUTED_VALUE"""),1.0)</f>
        <v>1</v>
      </c>
      <c r="G77" s="6" t="str">
        <f>IFERROR(__xludf.DUMMYFUNCTION("""COMPUTED_VALUE"""),"Lot")</f>
        <v>Lot</v>
      </c>
      <c r="H77" s="6" t="str">
        <f>IFERROR(__xludf.DUMMYFUNCTION("""COMPUTED_VALUE"""),"IDR")</f>
        <v>IDR</v>
      </c>
      <c r="I77" s="11">
        <f>IFERROR(__xludf.DUMMYFUNCTION("""COMPUTED_VALUE"""),55000.0)</f>
        <v>55000</v>
      </c>
      <c r="J77" s="11">
        <f>IFERROR(__xludf.DUMMYFUNCTION("""COMPUTED_VALUE"""),55000.0)</f>
        <v>55000</v>
      </c>
      <c r="K77" s="13">
        <f>IFERROR(__xludf.DUMMYFUNCTION("""COMPUTED_VALUE"""),43182.0)</f>
        <v>43182</v>
      </c>
      <c r="L77" s="6" t="str">
        <f>IFERROR(__xludf.DUMMYFUNCTION("""COMPUTED_VALUE"""),"FIP General")</f>
        <v>FIP General</v>
      </c>
      <c r="M77" s="6" t="str">
        <f>IFERROR(__xludf.DUMMYFUNCTION("""COMPUTED_VALUE"""),"Joko Nugroho")</f>
        <v>Joko Nugroho</v>
      </c>
      <c r="N77" s="6" t="str">
        <f>IFERROR(__xludf.DUMMYFUNCTION("""COMPUTED_VALUE"""),"FIP Engineering")</f>
        <v>FIP Engineering</v>
      </c>
      <c r="O77" s="6" t="str">
        <f>IFERROR(__xludf.DUMMYFUNCTION("""COMPUTED_VALUE"""),"FIP-DOM-ENG-51508-0000000-INA-000000")</f>
        <v>FIP-DOM-ENG-51508-0000000-INA-000000</v>
      </c>
      <c r="P77" s="6" t="str">
        <f>IFERROR(__xludf.DUMMYFUNCTION("""COMPUTED_VALUE"""),"PO Closed")</f>
        <v>PO Closed</v>
      </c>
      <c r="Q77" s="6" t="str">
        <f>IFERROR(__xludf.DUMMYFUNCTION("""COMPUTED_VALUE"""),"GL1804002")</f>
        <v>GL1804002</v>
      </c>
      <c r="R77" s="16">
        <f>IFERROR(__xludf.DUMMYFUNCTION("""COMPUTED_VALUE"""),43166.0)</f>
        <v>43166</v>
      </c>
      <c r="S77" s="6" t="str">
        <f>IFERROR(__xludf.DUMMYFUNCTION("""COMPUTED_VALUE"""),"-")</f>
        <v>-</v>
      </c>
      <c r="T77" s="13">
        <f>IFERROR(__xludf.DUMMYFUNCTION("""COMPUTED_VALUE"""),43216.0)</f>
        <v>43216</v>
      </c>
    </row>
    <row r="78">
      <c r="A78" s="6" t="str">
        <f>IFERROR(__xludf.DUMMYFUNCTION("""COMPUTED_VALUE"""),"181750077-10")</f>
        <v>181750077-10</v>
      </c>
      <c r="B78" s="6" t="str">
        <f>IFERROR(__xludf.DUMMYFUNCTION("""COMPUTED_VALUE"""),"181750077 - Approved")</f>
        <v>181750077 - Approved</v>
      </c>
      <c r="C78" s="6">
        <f>IFERROR(__xludf.DUMMYFUNCTION("""COMPUTED_VALUE"""),10.0)</f>
        <v>10</v>
      </c>
      <c r="D78" s="6" t="str">
        <f>IFERROR(__xludf.DUMMYFUNCTION("""COMPUTED_VALUE"""),"S-60002-00")</f>
        <v>S-60002-00</v>
      </c>
      <c r="E78" s="6" t="str">
        <f>IFERROR(__xludf.DUMMYFUNCTION("""COMPUTED_VALUE"""),"Tespen")</f>
        <v>Tespen</v>
      </c>
      <c r="F78" s="6">
        <f>IFERROR(__xludf.DUMMYFUNCTION("""COMPUTED_VALUE"""),2.0)</f>
        <v>2</v>
      </c>
      <c r="G78" s="6" t="str">
        <f>IFERROR(__xludf.DUMMYFUNCTION("""COMPUTED_VALUE"""),"Lot")</f>
        <v>Lot</v>
      </c>
      <c r="H78" s="6" t="str">
        <f>IFERROR(__xludf.DUMMYFUNCTION("""COMPUTED_VALUE"""),"IDR")</f>
        <v>IDR</v>
      </c>
      <c r="I78" s="11">
        <f>IFERROR(__xludf.DUMMYFUNCTION("""COMPUTED_VALUE"""),10000.0)</f>
        <v>10000</v>
      </c>
      <c r="J78" s="11">
        <f>IFERROR(__xludf.DUMMYFUNCTION("""COMPUTED_VALUE"""),20000.0)</f>
        <v>20000</v>
      </c>
      <c r="K78" s="13">
        <f>IFERROR(__xludf.DUMMYFUNCTION("""COMPUTED_VALUE"""),43189.0)</f>
        <v>43189</v>
      </c>
      <c r="L78" s="6" t="str">
        <f>IFERROR(__xludf.DUMMYFUNCTION("""COMPUTED_VALUE"""),"FIP General")</f>
        <v>FIP General</v>
      </c>
      <c r="M78" s="6" t="str">
        <f>IFERROR(__xludf.DUMMYFUNCTION("""COMPUTED_VALUE"""),"Joko Nugroho")</f>
        <v>Joko Nugroho</v>
      </c>
      <c r="N78" s="6" t="str">
        <f>IFERROR(__xludf.DUMMYFUNCTION("""COMPUTED_VALUE"""),"FIP Engineering")</f>
        <v>FIP Engineering</v>
      </c>
      <c r="O78" s="6" t="str">
        <f>IFERROR(__xludf.DUMMYFUNCTION("""COMPUTED_VALUE"""),"FIP-DOM-ENG-51508-0000000-INA-000000")</f>
        <v>FIP-DOM-ENG-51508-0000000-INA-000000</v>
      </c>
      <c r="P78" s="6" t="str">
        <f>IFERROR(__xludf.DUMMYFUNCTION("""COMPUTED_VALUE"""),"PO Closed")</f>
        <v>PO Closed</v>
      </c>
      <c r="Q78" s="6" t="str">
        <f>IFERROR(__xludf.DUMMYFUNCTION("""COMPUTED_VALUE"""),"GL1804003")</f>
        <v>GL1804003</v>
      </c>
      <c r="R78" s="16">
        <f>IFERROR(__xludf.DUMMYFUNCTION("""COMPUTED_VALUE"""),43174.0)</f>
        <v>43174</v>
      </c>
      <c r="S78" s="6" t="str">
        <f>IFERROR(__xludf.DUMMYFUNCTION("""COMPUTED_VALUE"""),"-")</f>
        <v>-</v>
      </c>
      <c r="T78" s="17">
        <f>IFERROR(__xludf.DUMMYFUNCTION("""COMPUTED_VALUE"""),43195.0)</f>
        <v>43195</v>
      </c>
    </row>
    <row r="79">
      <c r="A79" s="6" t="str">
        <f>IFERROR(__xludf.DUMMYFUNCTION("""COMPUTED_VALUE"""),"181750077-11")</f>
        <v>181750077-11</v>
      </c>
      <c r="B79" s="6" t="str">
        <f>IFERROR(__xludf.DUMMYFUNCTION("""COMPUTED_VALUE"""),"181750077 - Approved")</f>
        <v>181750077 - Approved</v>
      </c>
      <c r="C79" s="6">
        <f>IFERROR(__xludf.DUMMYFUNCTION("""COMPUTED_VALUE"""),11.0)</f>
        <v>11</v>
      </c>
      <c r="D79" s="6" t="str">
        <f>IFERROR(__xludf.DUMMYFUNCTION("""COMPUTED_VALUE"""),"S-60002-00")</f>
        <v>S-60002-00</v>
      </c>
      <c r="E79" s="6" t="str">
        <f>IFERROR(__xludf.DUMMYFUNCTION("""COMPUTED_VALUE"""),"Nepple 6mm")</f>
        <v>Nepple 6mm</v>
      </c>
      <c r="F79" s="6">
        <f>IFERROR(__xludf.DUMMYFUNCTION("""COMPUTED_VALUE"""),1.0)</f>
        <v>1</v>
      </c>
      <c r="G79" s="6" t="str">
        <f>IFERROR(__xludf.DUMMYFUNCTION("""COMPUTED_VALUE"""),"Lot")</f>
        <v>Lot</v>
      </c>
      <c r="H79" s="6" t="str">
        <f>IFERROR(__xludf.DUMMYFUNCTION("""COMPUTED_VALUE"""),"IDR")</f>
        <v>IDR</v>
      </c>
      <c r="I79" s="11">
        <f>IFERROR(__xludf.DUMMYFUNCTION("""COMPUTED_VALUE"""),20000.0)</f>
        <v>20000</v>
      </c>
      <c r="J79" s="11">
        <f>IFERROR(__xludf.DUMMYFUNCTION("""COMPUTED_VALUE"""),20000.0)</f>
        <v>20000</v>
      </c>
      <c r="K79" s="13">
        <f>IFERROR(__xludf.DUMMYFUNCTION("""COMPUTED_VALUE"""),43189.0)</f>
        <v>43189</v>
      </c>
      <c r="L79" s="6" t="str">
        <f>IFERROR(__xludf.DUMMYFUNCTION("""COMPUTED_VALUE"""),"FIP General")</f>
        <v>FIP General</v>
      </c>
      <c r="M79" s="6" t="str">
        <f>IFERROR(__xludf.DUMMYFUNCTION("""COMPUTED_VALUE"""),"Joko Nugroho")</f>
        <v>Joko Nugroho</v>
      </c>
      <c r="N79" s="6" t="str">
        <f>IFERROR(__xludf.DUMMYFUNCTION("""COMPUTED_VALUE"""),"FIP Engineering")</f>
        <v>FIP Engineering</v>
      </c>
      <c r="O79" s="6" t="str">
        <f>IFERROR(__xludf.DUMMYFUNCTION("""COMPUTED_VALUE"""),"FIP-DOM-ENG-51508-0000000-INA-000000")</f>
        <v>FIP-DOM-ENG-51508-0000000-INA-000000</v>
      </c>
      <c r="P79" s="6" t="str">
        <f>IFERROR(__xludf.DUMMYFUNCTION("""COMPUTED_VALUE"""),"PO Closed")</f>
        <v>PO Closed</v>
      </c>
      <c r="Q79" s="6" t="str">
        <f>IFERROR(__xludf.DUMMYFUNCTION("""COMPUTED_VALUE"""),"GL1804003")</f>
        <v>GL1804003</v>
      </c>
      <c r="R79" s="16">
        <f>IFERROR(__xludf.DUMMYFUNCTION("""COMPUTED_VALUE"""),43174.0)</f>
        <v>43174</v>
      </c>
      <c r="S79" s="6" t="str">
        <f>IFERROR(__xludf.DUMMYFUNCTION("""COMPUTED_VALUE"""),"-")</f>
        <v>-</v>
      </c>
      <c r="T79" s="13">
        <f>IFERROR(__xludf.DUMMYFUNCTION("""COMPUTED_VALUE"""),43195.0)</f>
        <v>43195</v>
      </c>
    </row>
    <row r="80">
      <c r="A80" s="6" t="str">
        <f>IFERROR(__xludf.DUMMYFUNCTION("""COMPUTED_VALUE"""),"181750094-1")</f>
        <v>181750094-1</v>
      </c>
      <c r="B80" s="6" t="str">
        <f>IFERROR(__xludf.DUMMYFUNCTION("""COMPUTED_VALUE"""),"181750094 - Approved")</f>
        <v>181750094 - Approved</v>
      </c>
      <c r="C80" s="6">
        <f>IFERROR(__xludf.DUMMYFUNCTION("""COMPUTED_VALUE"""),1.0)</f>
        <v>1</v>
      </c>
      <c r="D80" s="6" t="str">
        <f>IFERROR(__xludf.DUMMYFUNCTION("""COMPUTED_VALUE"""),"S-60002-00")</f>
        <v>S-60002-00</v>
      </c>
      <c r="E80" s="6" t="str">
        <f>IFERROR(__xludf.DUMMYFUNCTION("""COMPUTED_VALUE"""),"Perbaikan Roll O-Pack QA; Rantai KBU 32 Mata; Garansi 6 Bulan")</f>
        <v>Perbaikan Roll O-Pack QA; Rantai KBU 32 Mata; Garansi 6 Bulan</v>
      </c>
      <c r="F80" s="6">
        <f>IFERROR(__xludf.DUMMYFUNCTION("""COMPUTED_VALUE"""),1.0)</f>
        <v>1</v>
      </c>
      <c r="G80" s="6" t="str">
        <f>IFERROR(__xludf.DUMMYFUNCTION("""COMPUTED_VALUE"""),"Lot")</f>
        <v>Lot</v>
      </c>
      <c r="H80" s="6" t="str">
        <f>IFERROR(__xludf.DUMMYFUNCTION("""COMPUTED_VALUE"""),"IDR")</f>
        <v>IDR</v>
      </c>
      <c r="I80" s="11">
        <f>IFERROR(__xludf.DUMMYFUNCTION("""COMPUTED_VALUE"""),315000.0)</f>
        <v>315000</v>
      </c>
      <c r="J80" s="11">
        <f>IFERROR(__xludf.DUMMYFUNCTION("""COMPUTED_VALUE"""),315000.0)</f>
        <v>315000</v>
      </c>
      <c r="K80" s="13">
        <f>IFERROR(__xludf.DUMMYFUNCTION("""COMPUTED_VALUE"""),43182.0)</f>
        <v>43182</v>
      </c>
      <c r="L80" s="6" t="str">
        <f>IFERROR(__xludf.DUMMYFUNCTION("""COMPUTED_VALUE"""),"FIP General")</f>
        <v>FIP General</v>
      </c>
      <c r="M80" s="6" t="str">
        <f>IFERROR(__xludf.DUMMYFUNCTION("""COMPUTED_VALUE"""),"Joko Nugroho")</f>
        <v>Joko Nugroho</v>
      </c>
      <c r="N80" s="6" t="str">
        <f>IFERROR(__xludf.DUMMYFUNCTION("""COMPUTED_VALUE"""),"FIP Engineering")</f>
        <v>FIP Engineering</v>
      </c>
      <c r="O80" s="6" t="str">
        <f>IFERROR(__xludf.DUMMYFUNCTION("""COMPUTED_VALUE"""),"FIP-DOM-ENG-51508-0000000-INA-000000")</f>
        <v>FIP-DOM-ENG-51508-0000000-INA-000000</v>
      </c>
      <c r="P80" s="6" t="str">
        <f>IFERROR(__xludf.DUMMYFUNCTION("""COMPUTED_VALUE"""),"PO Closed")</f>
        <v>PO Closed</v>
      </c>
      <c r="Q80" s="6" t="str">
        <f>IFERROR(__xludf.DUMMYFUNCTION("""COMPUTED_VALUE"""),"GL1804004")</f>
        <v>GL1804004</v>
      </c>
      <c r="R80" s="16">
        <f>IFERROR(__xludf.DUMMYFUNCTION("""COMPUTED_VALUE"""),43175.0)</f>
        <v>43175</v>
      </c>
      <c r="S80" s="6" t="str">
        <f>IFERROR(__xludf.DUMMYFUNCTION("""COMPUTED_VALUE"""),"-")</f>
        <v>-</v>
      </c>
      <c r="T80" s="13">
        <f>IFERROR(__xludf.DUMMYFUNCTION("""COMPUTED_VALUE"""),43227.0)</f>
        <v>43227</v>
      </c>
    </row>
    <row r="81">
      <c r="A81" s="6" t="str">
        <f>IFERROR(__xludf.DUMMYFUNCTION("""COMPUTED_VALUE"""),"181750097-1")</f>
        <v>181750097-1</v>
      </c>
      <c r="B81" s="6" t="str">
        <f>IFERROR(__xludf.DUMMYFUNCTION("""COMPUTED_VALUE"""),"181750097 - Approved")</f>
        <v>181750097 - Approved</v>
      </c>
      <c r="C81" s="6">
        <f>IFERROR(__xludf.DUMMYFUNCTION("""COMPUTED_VALUE"""),1.0)</f>
        <v>1</v>
      </c>
      <c r="D81" s="6" t="str">
        <f>IFERROR(__xludf.DUMMYFUNCTION("""COMPUTED_VALUE"""),"S-62032-00")</f>
        <v>S-62032-00</v>
      </c>
      <c r="E81" s="6" t="str">
        <f>IFERROR(__xludf.DUMMYFUNCTION("""COMPUTED_VALUE"""),"Refill Argon HP; Gas Content : 1,5 M3 ; Gas Purrity : 99,995%; Filling Pressure : 150 Bar; ; ;")</f>
        <v>Refill Argon HP; Gas Content : 1,5 M3 ; Gas Purrity : 99,995%; Filling Pressure : 150 Bar; ; ;</v>
      </c>
      <c r="F81" s="6">
        <f>IFERROR(__xludf.DUMMYFUNCTION("""COMPUTED_VALUE"""),1.0)</f>
        <v>1</v>
      </c>
      <c r="G81" s="6" t="str">
        <f>IFERROR(__xludf.DUMMYFUNCTION("""COMPUTED_VALUE"""),"Tube")</f>
        <v>Tube</v>
      </c>
      <c r="H81" s="6" t="str">
        <f>IFERROR(__xludf.DUMMYFUNCTION("""COMPUTED_VALUE"""),"IDR")</f>
        <v>IDR</v>
      </c>
      <c r="I81" s="11">
        <f>IFERROR(__xludf.DUMMYFUNCTION("""COMPUTED_VALUE"""),235000.0)</f>
        <v>235000</v>
      </c>
      <c r="J81" s="11">
        <f>IFERROR(__xludf.DUMMYFUNCTION("""COMPUTED_VALUE"""),235000.0)</f>
        <v>235000</v>
      </c>
      <c r="K81" s="13">
        <f>IFERROR(__xludf.DUMMYFUNCTION("""COMPUTED_VALUE"""),43189.0)</f>
        <v>43189</v>
      </c>
      <c r="L81" s="6" t="str">
        <f>IFERROR(__xludf.DUMMYFUNCTION("""COMPUTED_VALUE"""),"FIP General")</f>
        <v>FIP General</v>
      </c>
      <c r="M81" s="6" t="str">
        <f>IFERROR(__xludf.DUMMYFUNCTION("""COMPUTED_VALUE"""),"Joko Nugroho")</f>
        <v>Joko Nugroho</v>
      </c>
      <c r="N81" s="6" t="str">
        <f>IFERROR(__xludf.DUMMYFUNCTION("""COMPUTED_VALUE"""),"FIP Engineering")</f>
        <v>FIP Engineering</v>
      </c>
      <c r="O81" s="6" t="str">
        <f>IFERROR(__xludf.DUMMYFUNCTION("""COMPUTED_VALUE"""),"FIP-DOM-ENG-51404-0000000-INA-000000")</f>
        <v>FIP-DOM-ENG-51404-0000000-INA-000000</v>
      </c>
      <c r="P81" s="6" t="str">
        <f>IFERROR(__xludf.DUMMYFUNCTION("""COMPUTED_VALUE"""),"PO Closed")</f>
        <v>PO Closed</v>
      </c>
      <c r="Q81" s="6" t="str">
        <f>IFERROR(__xludf.DUMMYFUNCTION("""COMPUTED_VALUE"""),"GL1803050")</f>
        <v>GL1803050</v>
      </c>
      <c r="R81" s="16">
        <f>IFERROR(__xludf.DUMMYFUNCTION("""COMPUTED_VALUE"""),43179.0)</f>
        <v>43179</v>
      </c>
      <c r="S81" s="6" t="str">
        <f>IFERROR(__xludf.DUMMYFUNCTION("""COMPUTED_VALUE"""),"-")</f>
        <v>-</v>
      </c>
      <c r="T81" s="13">
        <f>IFERROR(__xludf.DUMMYFUNCTION("""COMPUTED_VALUE"""),43192.0)</f>
        <v>43192</v>
      </c>
    </row>
    <row r="82">
      <c r="A82" s="6" t="str">
        <f>IFERROR(__xludf.DUMMYFUNCTION("""COMPUTED_VALUE"""),"181750100-1")</f>
        <v>181750100-1</v>
      </c>
      <c r="B82" s="6" t="str">
        <f>IFERROR(__xludf.DUMMYFUNCTION("""COMPUTED_VALUE"""),"181750100 - Approved")</f>
        <v>181750100 - Approved</v>
      </c>
      <c r="C82" s="6">
        <f>IFERROR(__xludf.DUMMYFUNCTION("""COMPUTED_VALUE"""),1.0)</f>
        <v>1</v>
      </c>
      <c r="D82" s="6" t="str">
        <f>IFERROR(__xludf.DUMMYFUNCTION("""COMPUTED_VALUE"""),"P-51560-00")</f>
        <v>P-51560-00</v>
      </c>
      <c r="E82" s="6" t="str">
        <f>IFERROR(__xludf.DUMMYFUNCTION("""COMPUTED_VALUE"""),"Lampu T5 28watt Putih; Phillips; ;")</f>
        <v>Lampu T5 28watt Putih; Phillips; ;</v>
      </c>
      <c r="F82" s="6">
        <f>IFERROR(__xludf.DUMMYFUNCTION("""COMPUTED_VALUE"""),20.0)</f>
        <v>20</v>
      </c>
      <c r="G82" s="6" t="str">
        <f>IFERROR(__xludf.DUMMYFUNCTION("""COMPUTED_VALUE"""),"Pieces")</f>
        <v>Pieces</v>
      </c>
      <c r="H82" s="6" t="str">
        <f>IFERROR(__xludf.DUMMYFUNCTION("""COMPUTED_VALUE"""),"IDR")</f>
        <v>IDR</v>
      </c>
      <c r="I82" s="11">
        <f>IFERROR(__xludf.DUMMYFUNCTION("""COMPUTED_VALUE"""),36000.0)</f>
        <v>36000</v>
      </c>
      <c r="J82" s="11">
        <f>IFERROR(__xludf.DUMMYFUNCTION("""COMPUTED_VALUE"""),720000.0)</f>
        <v>720000</v>
      </c>
      <c r="K82" s="13">
        <f>IFERROR(__xludf.DUMMYFUNCTION("""COMPUTED_VALUE"""),43192.0)</f>
        <v>43192</v>
      </c>
      <c r="L82" s="6" t="str">
        <f>IFERROR(__xludf.DUMMYFUNCTION("""COMPUTED_VALUE"""),"FIP Engineering")</f>
        <v>FIP Engineering</v>
      </c>
      <c r="M82" s="6" t="str">
        <f>IFERROR(__xludf.DUMMYFUNCTION("""COMPUTED_VALUE"""),"Joko Nugroho")</f>
        <v>Joko Nugroho</v>
      </c>
      <c r="N82" s="6" t="str">
        <f>IFERROR(__xludf.DUMMYFUNCTION("""COMPUTED_VALUE"""),"FIP Engineering")</f>
        <v>FIP Engineering</v>
      </c>
      <c r="O82" s="6" t="str">
        <f>IFERROR(__xludf.DUMMYFUNCTION("""COMPUTED_VALUE"""),"FIP-DOM-000-11304-OS00001-INA-000000")</f>
        <v>FIP-DOM-000-11304-OS00001-INA-000000</v>
      </c>
      <c r="P82" s="6" t="str">
        <f>IFERROR(__xludf.DUMMYFUNCTION("""COMPUTED_VALUE"""),"PO Closed")</f>
        <v>PO Closed</v>
      </c>
      <c r="Q82" s="6" t="str">
        <f>IFERROR(__xludf.DUMMYFUNCTION("""COMPUTED_VALUE"""),"GL1804001")</f>
        <v>GL1804001</v>
      </c>
      <c r="R82" s="16">
        <f>IFERROR(__xludf.DUMMYFUNCTION("""COMPUTED_VALUE"""),43180.0)</f>
        <v>43180</v>
      </c>
      <c r="S82" s="6" t="str">
        <f>IFERROR(__xludf.DUMMYFUNCTION("""COMPUTED_VALUE"""),"-")</f>
        <v>-</v>
      </c>
      <c r="T82" s="13">
        <f>IFERROR(__xludf.DUMMYFUNCTION("""COMPUTED_VALUE"""),43195.0)</f>
        <v>43195</v>
      </c>
    </row>
    <row r="83">
      <c r="A83" s="6" t="str">
        <f>IFERROR(__xludf.DUMMYFUNCTION("""COMPUTED_VALUE"""),"181750100-2")</f>
        <v>181750100-2</v>
      </c>
      <c r="B83" s="6" t="str">
        <f>IFERROR(__xludf.DUMMYFUNCTION("""COMPUTED_VALUE"""),"181750100 - Approved")</f>
        <v>181750100 - Approved</v>
      </c>
      <c r="C83" s="6">
        <f>IFERROR(__xludf.DUMMYFUNCTION("""COMPUTED_VALUE"""),2.0)</f>
        <v>2</v>
      </c>
      <c r="D83" s="6" t="str">
        <f>IFERROR(__xludf.DUMMYFUNCTION("""COMPUTED_VALUE"""),"P-51559-00")</f>
        <v>P-51559-00</v>
      </c>
      <c r="E83" s="6" t="str">
        <f>IFERROR(__xludf.DUMMYFUNCTION("""COMPUTED_VALUE"""),"Lampu T5 14watt Putih; Phillips; ;")</f>
        <v>Lampu T5 14watt Putih; Phillips; ;</v>
      </c>
      <c r="F83" s="6">
        <f>IFERROR(__xludf.DUMMYFUNCTION("""COMPUTED_VALUE"""),20.0)</f>
        <v>20</v>
      </c>
      <c r="G83" s="6" t="str">
        <f>IFERROR(__xludf.DUMMYFUNCTION("""COMPUTED_VALUE"""),"Pack")</f>
        <v>Pack</v>
      </c>
      <c r="H83" s="6" t="str">
        <f>IFERROR(__xludf.DUMMYFUNCTION("""COMPUTED_VALUE"""),"IDR")</f>
        <v>IDR</v>
      </c>
      <c r="I83" s="11">
        <f>IFERROR(__xludf.DUMMYFUNCTION("""COMPUTED_VALUE"""),29700.0)</f>
        <v>29700</v>
      </c>
      <c r="J83" s="11">
        <f>IFERROR(__xludf.DUMMYFUNCTION("""COMPUTED_VALUE"""),594000.0)</f>
        <v>594000</v>
      </c>
      <c r="K83" s="13">
        <f>IFERROR(__xludf.DUMMYFUNCTION("""COMPUTED_VALUE"""),43192.0)</f>
        <v>43192</v>
      </c>
      <c r="L83" s="6" t="str">
        <f>IFERROR(__xludf.DUMMYFUNCTION("""COMPUTED_VALUE"""),"FIP Engineering")</f>
        <v>FIP Engineering</v>
      </c>
      <c r="M83" s="6" t="str">
        <f>IFERROR(__xludf.DUMMYFUNCTION("""COMPUTED_VALUE"""),"Joko Nugroho")</f>
        <v>Joko Nugroho</v>
      </c>
      <c r="N83" s="6" t="str">
        <f>IFERROR(__xludf.DUMMYFUNCTION("""COMPUTED_VALUE"""),"FIP Engineering")</f>
        <v>FIP Engineering</v>
      </c>
      <c r="O83" s="6" t="str">
        <f>IFERROR(__xludf.DUMMYFUNCTION("""COMPUTED_VALUE"""),"FIP-DOM-000-11304-OS00001-INA-000000")</f>
        <v>FIP-DOM-000-11304-OS00001-INA-000000</v>
      </c>
      <c r="P83" s="6" t="str">
        <f>IFERROR(__xludf.DUMMYFUNCTION("""COMPUTED_VALUE"""),"PO Closed")</f>
        <v>PO Closed</v>
      </c>
      <c r="Q83" s="6" t="str">
        <f>IFERROR(__xludf.DUMMYFUNCTION("""COMPUTED_VALUE"""),"GL1804001")</f>
        <v>GL1804001</v>
      </c>
      <c r="R83" s="16">
        <f>IFERROR(__xludf.DUMMYFUNCTION("""COMPUTED_VALUE"""),43180.0)</f>
        <v>43180</v>
      </c>
      <c r="S83" s="6" t="str">
        <f>IFERROR(__xludf.DUMMYFUNCTION("""COMPUTED_VALUE"""),"-")</f>
        <v>-</v>
      </c>
      <c r="T83" s="17">
        <f>IFERROR(__xludf.DUMMYFUNCTION("""COMPUTED_VALUE"""),43195.0)</f>
        <v>43195</v>
      </c>
    </row>
    <row r="84">
      <c r="A84" s="6" t="str">
        <f>IFERROR(__xludf.DUMMYFUNCTION("""COMPUTED_VALUE"""),"181750100-3")</f>
        <v>181750100-3</v>
      </c>
      <c r="B84" s="6" t="str">
        <f>IFERROR(__xludf.DUMMYFUNCTION("""COMPUTED_VALUE"""),"181750100 - Approved")</f>
        <v>181750100 - Approved</v>
      </c>
      <c r="C84" s="6">
        <f>IFERROR(__xludf.DUMMYFUNCTION("""COMPUTED_VALUE"""),3.0)</f>
        <v>3</v>
      </c>
      <c r="D84" s="6" t="str">
        <f>IFERROR(__xludf.DUMMYFUNCTION("""COMPUTED_VALUE"""),"P-53211-00")</f>
        <v>P-53211-00</v>
      </c>
      <c r="E84" s="6" t="str">
        <f>IFERROR(__xludf.DUMMYFUNCTION("""COMPUTED_VALUE"""),"LOCTITE High Temperature @ 50 ml; ; ;")</f>
        <v>LOCTITE High Temperature @ 50 ml; ; ;</v>
      </c>
      <c r="F84" s="6">
        <f>IFERROR(__xludf.DUMMYFUNCTION("""COMPUTED_VALUE"""),2.0)</f>
        <v>2</v>
      </c>
      <c r="G84" s="6" t="str">
        <f>IFERROR(__xludf.DUMMYFUNCTION("""COMPUTED_VALUE"""),"Pieces")</f>
        <v>Pieces</v>
      </c>
      <c r="H84" s="6" t="str">
        <f>IFERROR(__xludf.DUMMYFUNCTION("""COMPUTED_VALUE"""),"IDR")</f>
        <v>IDR</v>
      </c>
      <c r="I84" s="11">
        <f>IFERROR(__xludf.DUMMYFUNCTION("""COMPUTED_VALUE"""),280000.0)</f>
        <v>280000</v>
      </c>
      <c r="J84" s="11">
        <f>IFERROR(__xludf.DUMMYFUNCTION("""COMPUTED_VALUE"""),560000.0)</f>
        <v>560000</v>
      </c>
      <c r="K84" s="13">
        <f>IFERROR(__xludf.DUMMYFUNCTION("""COMPUTED_VALUE"""),43192.0)</f>
        <v>43192</v>
      </c>
      <c r="L84" s="6" t="str">
        <f>IFERROR(__xludf.DUMMYFUNCTION("""COMPUTED_VALUE"""),"FIP Engineering")</f>
        <v>FIP Engineering</v>
      </c>
      <c r="M84" s="6" t="str">
        <f>IFERROR(__xludf.DUMMYFUNCTION("""COMPUTED_VALUE"""),"Joko Nugroho")</f>
        <v>Joko Nugroho</v>
      </c>
      <c r="N84" s="6" t="str">
        <f>IFERROR(__xludf.DUMMYFUNCTION("""COMPUTED_VALUE"""),"FIP Engineering")</f>
        <v>FIP Engineering</v>
      </c>
      <c r="O84" s="6" t="str">
        <f>IFERROR(__xludf.DUMMYFUNCTION("""COMPUTED_VALUE"""),"FIP-DOM-000-11304-OS00001-INA-000000")</f>
        <v>FIP-DOM-000-11304-OS00001-INA-000000</v>
      </c>
      <c r="P84" s="6" t="str">
        <f>IFERROR(__xludf.DUMMYFUNCTION("""COMPUTED_VALUE"""),"PO Closed")</f>
        <v>PO Closed</v>
      </c>
      <c r="Q84" s="6" t="str">
        <f>IFERROR(__xludf.DUMMYFUNCTION("""COMPUTED_VALUE"""),"GL1804001")</f>
        <v>GL1804001</v>
      </c>
      <c r="R84" s="16">
        <f>IFERROR(__xludf.DUMMYFUNCTION("""COMPUTED_VALUE"""),43180.0)</f>
        <v>43180</v>
      </c>
      <c r="S84" s="6" t="str">
        <f>IFERROR(__xludf.DUMMYFUNCTION("""COMPUTED_VALUE"""),"-")</f>
        <v>-</v>
      </c>
      <c r="T84" s="13">
        <f>IFERROR(__xludf.DUMMYFUNCTION("""COMPUTED_VALUE"""),43195.0)</f>
        <v>43195</v>
      </c>
    </row>
    <row r="85">
      <c r="A85" s="6" t="str">
        <f>IFERROR(__xludf.DUMMYFUNCTION("""COMPUTED_VALUE"""),"181750100-4")</f>
        <v>181750100-4</v>
      </c>
      <c r="B85" s="6" t="str">
        <f>IFERROR(__xludf.DUMMYFUNCTION("""COMPUTED_VALUE"""),"181750100 - Approved")</f>
        <v>181750100 - Approved</v>
      </c>
      <c r="C85" s="6">
        <f>IFERROR(__xludf.DUMMYFUNCTION("""COMPUTED_VALUE"""),4.0)</f>
        <v>4</v>
      </c>
      <c r="D85" s="6" t="str">
        <f>IFERROR(__xludf.DUMMYFUNCTION("""COMPUTED_VALUE"""),"O-15718-00")</f>
        <v>O-15718-00</v>
      </c>
      <c r="E85" s="6" t="str">
        <f>IFERROR(__xludf.DUMMYFUNCTION("""COMPUTED_VALUE"""),"SYNTHETIC FOOD GRADE, CRC, NSF H1")</f>
        <v>SYNTHETIC FOOD GRADE, CRC, NSF H1</v>
      </c>
      <c r="F85" s="6">
        <f>IFERROR(__xludf.DUMMYFUNCTION("""COMPUTED_VALUE"""),2.0)</f>
        <v>2</v>
      </c>
      <c r="G85" s="6" t="str">
        <f>IFERROR(__xludf.DUMMYFUNCTION("""COMPUTED_VALUE"""),"Pieces")</f>
        <v>Pieces</v>
      </c>
      <c r="H85" s="6" t="str">
        <f>IFERROR(__xludf.DUMMYFUNCTION("""COMPUTED_VALUE"""),"IDR")</f>
        <v>IDR</v>
      </c>
      <c r="I85" s="11">
        <f>IFERROR(__xludf.DUMMYFUNCTION("""COMPUTED_VALUE"""),243000.0)</f>
        <v>243000</v>
      </c>
      <c r="J85" s="11">
        <f>IFERROR(__xludf.DUMMYFUNCTION("""COMPUTED_VALUE"""),486000.0)</f>
        <v>486000</v>
      </c>
      <c r="K85" s="13">
        <f>IFERROR(__xludf.DUMMYFUNCTION("""COMPUTED_VALUE"""),43192.0)</f>
        <v>43192</v>
      </c>
      <c r="L85" s="6" t="str">
        <f>IFERROR(__xludf.DUMMYFUNCTION("""COMPUTED_VALUE"""),"FIP Engineering")</f>
        <v>FIP Engineering</v>
      </c>
      <c r="M85" s="6" t="str">
        <f>IFERROR(__xludf.DUMMYFUNCTION("""COMPUTED_VALUE"""),"Joko Nugroho")</f>
        <v>Joko Nugroho</v>
      </c>
      <c r="N85" s="6" t="str">
        <f>IFERROR(__xludf.DUMMYFUNCTION("""COMPUTED_VALUE"""),"FIP Engineering")</f>
        <v>FIP Engineering</v>
      </c>
      <c r="O85" s="6" t="str">
        <f>IFERROR(__xludf.DUMMYFUNCTION("""COMPUTED_VALUE"""),"FIP-DOM-000-11304-OS00001-INA-000000")</f>
        <v>FIP-DOM-000-11304-OS00001-INA-000000</v>
      </c>
      <c r="P85" s="6" t="str">
        <f>IFERROR(__xludf.DUMMYFUNCTION("""COMPUTED_VALUE"""),"PO Closed")</f>
        <v>PO Closed</v>
      </c>
      <c r="Q85" s="6" t="str">
        <f>IFERROR(__xludf.DUMMYFUNCTION("""COMPUTED_VALUE"""),"GL1804001")</f>
        <v>GL1804001</v>
      </c>
      <c r="R85" s="16">
        <f>IFERROR(__xludf.DUMMYFUNCTION("""COMPUTED_VALUE"""),43180.0)</f>
        <v>43180</v>
      </c>
      <c r="S85" s="6" t="str">
        <f>IFERROR(__xludf.DUMMYFUNCTION("""COMPUTED_VALUE"""),"-")</f>
        <v>-</v>
      </c>
      <c r="T85" s="13">
        <f>IFERROR(__xludf.DUMMYFUNCTION("""COMPUTED_VALUE"""),43195.0)</f>
        <v>43195</v>
      </c>
    </row>
    <row r="86">
      <c r="A86" s="6" t="str">
        <f>IFERROR(__xludf.DUMMYFUNCTION("""COMPUTED_VALUE"""),"181750100-5")</f>
        <v>181750100-5</v>
      </c>
      <c r="B86" s="6" t="str">
        <f>IFERROR(__xludf.DUMMYFUNCTION("""COMPUTED_VALUE"""),"181750100 - Approved")</f>
        <v>181750100 - Approved</v>
      </c>
      <c r="C86" s="6">
        <f>IFERROR(__xludf.DUMMYFUNCTION("""COMPUTED_VALUE"""),5.0)</f>
        <v>5</v>
      </c>
      <c r="D86" s="6" t="str">
        <f>IFERROR(__xludf.DUMMYFUNCTION("""COMPUTED_VALUE"""),"O-15931-00")</f>
        <v>O-15931-00</v>
      </c>
      <c r="E86" s="6" t="str">
        <f>IFERROR(__xludf.DUMMYFUNCTION("""COMPUTED_VALUE"""),"Double Tape 3M 1"" Merah; ; ;")</f>
        <v>Double Tape 3M 1" Merah; ; ;</v>
      </c>
      <c r="F86" s="6">
        <f>IFERROR(__xludf.DUMMYFUNCTION("""COMPUTED_VALUE"""),10.0)</f>
        <v>10</v>
      </c>
      <c r="G86" s="6" t="str">
        <f>IFERROR(__xludf.DUMMYFUNCTION("""COMPUTED_VALUE"""),"Pieces")</f>
        <v>Pieces</v>
      </c>
      <c r="H86" s="6" t="str">
        <f>IFERROR(__xludf.DUMMYFUNCTION("""COMPUTED_VALUE"""),"IDR")</f>
        <v>IDR</v>
      </c>
      <c r="I86" s="11">
        <f>IFERROR(__xludf.DUMMYFUNCTION("""COMPUTED_VALUE"""),112500.0)</f>
        <v>112500</v>
      </c>
      <c r="J86" s="11">
        <f>IFERROR(__xludf.DUMMYFUNCTION("""COMPUTED_VALUE"""),1125000.0)</f>
        <v>1125000</v>
      </c>
      <c r="K86" s="13">
        <f>IFERROR(__xludf.DUMMYFUNCTION("""COMPUTED_VALUE"""),43192.0)</f>
        <v>43192</v>
      </c>
      <c r="L86" s="6" t="str">
        <f>IFERROR(__xludf.DUMMYFUNCTION("""COMPUTED_VALUE"""),"FIP Engineering")</f>
        <v>FIP Engineering</v>
      </c>
      <c r="M86" s="6" t="str">
        <f>IFERROR(__xludf.DUMMYFUNCTION("""COMPUTED_VALUE"""),"Joko Nugroho")</f>
        <v>Joko Nugroho</v>
      </c>
      <c r="N86" s="6" t="str">
        <f>IFERROR(__xludf.DUMMYFUNCTION("""COMPUTED_VALUE"""),"FIP Engineering")</f>
        <v>FIP Engineering</v>
      </c>
      <c r="O86" s="6" t="str">
        <f>IFERROR(__xludf.DUMMYFUNCTION("""COMPUTED_VALUE"""),"FIP-DOM-000-11304-OS00001-INA-000000")</f>
        <v>FIP-DOM-000-11304-OS00001-INA-000000</v>
      </c>
      <c r="P86" s="6" t="str">
        <f>IFERROR(__xludf.DUMMYFUNCTION("""COMPUTED_VALUE"""),"PO Closed")</f>
        <v>PO Closed</v>
      </c>
      <c r="Q86" s="6" t="str">
        <f>IFERROR(__xludf.DUMMYFUNCTION("""COMPUTED_VALUE"""),"GL1804001")</f>
        <v>GL1804001</v>
      </c>
      <c r="R86" s="16">
        <f>IFERROR(__xludf.DUMMYFUNCTION("""COMPUTED_VALUE"""),43180.0)</f>
        <v>43180</v>
      </c>
      <c r="S86" s="6" t="str">
        <f>IFERROR(__xludf.DUMMYFUNCTION("""COMPUTED_VALUE"""),"-")</f>
        <v>-</v>
      </c>
      <c r="T86" s="17">
        <f>IFERROR(__xludf.DUMMYFUNCTION("""COMPUTED_VALUE"""),43195.0)</f>
        <v>43195</v>
      </c>
    </row>
    <row r="87">
      <c r="A87" s="6" t="str">
        <f>IFERROR(__xludf.DUMMYFUNCTION("""COMPUTED_VALUE"""),"181750099-1")</f>
        <v>181750099-1</v>
      </c>
      <c r="B87" s="6" t="str">
        <f>IFERROR(__xludf.DUMMYFUNCTION("""COMPUTED_VALUE"""),"181750099 - Approved")</f>
        <v>181750099 - Approved</v>
      </c>
      <c r="C87" s="6">
        <f>IFERROR(__xludf.DUMMYFUNCTION("""COMPUTED_VALUE"""),1.0)</f>
        <v>1</v>
      </c>
      <c r="D87" s="6" t="str">
        <f>IFERROR(__xludf.DUMMYFUNCTION("""COMPUTED_VALUE"""),"S-40530-00")</f>
        <v>S-40530-00</v>
      </c>
      <c r="E87" s="6" t="str">
        <f>IFERROR(__xludf.DUMMYFUNCTION("""COMPUTED_VALUE"""),"Acrylic Box; Brochure Holder A4 Potrait; ( Dengan Tutup ); Bahan Acryic Clear 4mm")</f>
        <v>Acrylic Box; Brochure Holder A4 Potrait; ( Dengan Tutup ); Bahan Acryic Clear 4mm</v>
      </c>
      <c r="F87" s="6">
        <f>IFERROR(__xludf.DUMMYFUNCTION("""COMPUTED_VALUE"""),4.0)</f>
        <v>4</v>
      </c>
      <c r="G87" s="6" t="str">
        <f>IFERROR(__xludf.DUMMYFUNCTION("""COMPUTED_VALUE"""),"Pieces")</f>
        <v>Pieces</v>
      </c>
      <c r="H87" s="6" t="str">
        <f>IFERROR(__xludf.DUMMYFUNCTION("""COMPUTED_VALUE"""),"IDR")</f>
        <v>IDR</v>
      </c>
      <c r="I87" s="11">
        <f>IFERROR(__xludf.DUMMYFUNCTION("""COMPUTED_VALUE"""),154000.0)</f>
        <v>154000</v>
      </c>
      <c r="J87" s="11">
        <f>IFERROR(__xludf.DUMMYFUNCTION("""COMPUTED_VALUE"""),616000.0)</f>
        <v>616000</v>
      </c>
      <c r="K87" s="13">
        <f>IFERROR(__xludf.DUMMYFUNCTION("""COMPUTED_VALUE"""),43192.0)</f>
        <v>43192</v>
      </c>
      <c r="L87" s="6" t="str">
        <f>IFERROR(__xludf.DUMMYFUNCTION("""COMPUTED_VALUE"""),"FIP General")</f>
        <v>FIP General</v>
      </c>
      <c r="M87" s="6" t="str">
        <f>IFERROR(__xludf.DUMMYFUNCTION("""COMPUTED_VALUE"""),"Joko Nugroho")</f>
        <v>Joko Nugroho</v>
      </c>
      <c r="N87" s="6" t="str">
        <f>IFERROR(__xludf.DUMMYFUNCTION("""COMPUTED_VALUE"""),"FIP Engineering")</f>
        <v>FIP Engineering</v>
      </c>
      <c r="O87" s="6" t="str">
        <f>IFERROR(__xludf.DUMMYFUNCTION("""COMPUTED_VALUE"""),"FIP-DOM-ENG-51404-0000000-INA-000000")</f>
        <v>FIP-DOM-ENG-51404-0000000-INA-000000</v>
      </c>
      <c r="P87" s="6" t="str">
        <f>IFERROR(__xludf.DUMMYFUNCTION("""COMPUTED_VALUE"""),"PO Closed")</f>
        <v>PO Closed</v>
      </c>
      <c r="Q87" s="6" t="str">
        <f>IFERROR(__xludf.DUMMYFUNCTION("""COMPUTED_VALUE"""),"GL1804032")</f>
        <v>GL1804032</v>
      </c>
      <c r="R87" s="16">
        <f>IFERROR(__xludf.DUMMYFUNCTION("""COMPUTED_VALUE"""),43180.0)</f>
        <v>43180</v>
      </c>
      <c r="S87" s="6" t="str">
        <f>IFERROR(__xludf.DUMMYFUNCTION("""COMPUTED_VALUE"""),"-")</f>
        <v>-</v>
      </c>
      <c r="T87" s="13">
        <f>IFERROR(__xludf.DUMMYFUNCTION("""COMPUTED_VALUE"""),43223.0)</f>
        <v>43223</v>
      </c>
    </row>
    <row r="88">
      <c r="A88" s="6" t="str">
        <f>IFERROR(__xludf.DUMMYFUNCTION("""COMPUTED_VALUE"""),"181750099-2")</f>
        <v>181750099-2</v>
      </c>
      <c r="B88" s="6" t="str">
        <f>IFERROR(__xludf.DUMMYFUNCTION("""COMPUTED_VALUE"""),"181750099 - Approved")</f>
        <v>181750099 - Approved</v>
      </c>
      <c r="C88" s="6">
        <f>IFERROR(__xludf.DUMMYFUNCTION("""COMPUTED_VALUE"""),2.0)</f>
        <v>2</v>
      </c>
      <c r="D88" s="6" t="str">
        <f>IFERROR(__xludf.DUMMYFUNCTION("""COMPUTED_VALUE"""),"S-40530-00")</f>
        <v>S-40530-00</v>
      </c>
      <c r="E88" s="6" t="str">
        <f>IFERROR(__xludf.DUMMYFUNCTION("""COMPUTED_VALUE"""),"Acrylic Box;Brochure Holder A4 Potrait; Bahan Acrylic Clear 4mm")</f>
        <v>Acrylic Box;Brochure Holder A4 Potrait; Bahan Acrylic Clear 4mm</v>
      </c>
      <c r="F88" s="6">
        <f>IFERROR(__xludf.DUMMYFUNCTION("""COMPUTED_VALUE"""),5.0)</f>
        <v>5</v>
      </c>
      <c r="G88" s="6" t="str">
        <f>IFERROR(__xludf.DUMMYFUNCTION("""COMPUTED_VALUE"""),"Pieces")</f>
        <v>Pieces</v>
      </c>
      <c r="H88" s="6" t="str">
        <f>IFERROR(__xludf.DUMMYFUNCTION("""COMPUTED_VALUE"""),"IDR")</f>
        <v>IDR</v>
      </c>
      <c r="I88" s="11">
        <f>IFERROR(__xludf.DUMMYFUNCTION("""COMPUTED_VALUE"""),134000.0)</f>
        <v>134000</v>
      </c>
      <c r="J88" s="11">
        <f>IFERROR(__xludf.DUMMYFUNCTION("""COMPUTED_VALUE"""),670000.0)</f>
        <v>670000</v>
      </c>
      <c r="K88" s="13">
        <f>IFERROR(__xludf.DUMMYFUNCTION("""COMPUTED_VALUE"""),43192.0)</f>
        <v>43192</v>
      </c>
      <c r="L88" s="6" t="str">
        <f>IFERROR(__xludf.DUMMYFUNCTION("""COMPUTED_VALUE"""),"FIP General")</f>
        <v>FIP General</v>
      </c>
      <c r="M88" s="6" t="str">
        <f>IFERROR(__xludf.DUMMYFUNCTION("""COMPUTED_VALUE"""),"Joko Nugroho")</f>
        <v>Joko Nugroho</v>
      </c>
      <c r="N88" s="6" t="str">
        <f>IFERROR(__xludf.DUMMYFUNCTION("""COMPUTED_VALUE"""),"FIP Engineering")</f>
        <v>FIP Engineering</v>
      </c>
      <c r="O88" s="6" t="str">
        <f>IFERROR(__xludf.DUMMYFUNCTION("""COMPUTED_VALUE"""),"FIP-DOM-ENG-51404-0000000-INA-000000")</f>
        <v>FIP-DOM-ENG-51404-0000000-INA-000000</v>
      </c>
      <c r="P88" s="6" t="str">
        <f>IFERROR(__xludf.DUMMYFUNCTION("""COMPUTED_VALUE"""),"PO Closed")</f>
        <v>PO Closed</v>
      </c>
      <c r="Q88" s="6" t="str">
        <f>IFERROR(__xludf.DUMMYFUNCTION("""COMPUTED_VALUE"""),"GL1804032")</f>
        <v>GL1804032</v>
      </c>
      <c r="R88" s="16">
        <f>IFERROR(__xludf.DUMMYFUNCTION("""COMPUTED_VALUE"""),43180.0)</f>
        <v>43180</v>
      </c>
      <c r="S88" s="6" t="str">
        <f>IFERROR(__xludf.DUMMYFUNCTION("""COMPUTED_VALUE"""),"-")</f>
        <v>-</v>
      </c>
      <c r="T88" s="13">
        <f>IFERROR(__xludf.DUMMYFUNCTION("""COMPUTED_VALUE"""),43223.0)</f>
        <v>43223</v>
      </c>
    </row>
    <row r="89">
      <c r="A89" s="6" t="str">
        <f>IFERROR(__xludf.DUMMYFUNCTION("""COMPUTED_VALUE"""),"181750103-1")</f>
        <v>181750103-1</v>
      </c>
      <c r="B89" s="6" t="str">
        <f>IFERROR(__xludf.DUMMYFUNCTION("""COMPUTED_VALUE"""),"181750103 - Approved")</f>
        <v>181750103 - Approved</v>
      </c>
      <c r="C89" s="6">
        <f>IFERROR(__xludf.DUMMYFUNCTION("""COMPUTED_VALUE"""),1.0)</f>
        <v>1</v>
      </c>
      <c r="D89" s="6" t="str">
        <f>IFERROR(__xludf.DUMMYFUNCTION("""COMPUTED_VALUE"""),"S-60002-00")</f>
        <v>S-60002-00</v>
      </c>
      <c r="E89" s="6" t="str">
        <f>IFERROR(__xludf.DUMMYFUNCTION("""COMPUTED_VALUE"""),"PERGANTIAN KABLE DISPALY V2K")</f>
        <v>PERGANTIAN KABLE DISPALY V2K</v>
      </c>
      <c r="F89" s="6">
        <f>IFERROR(__xludf.DUMMYFUNCTION("""COMPUTED_VALUE"""),1.0)</f>
        <v>1</v>
      </c>
      <c r="G89" s="6" t="str">
        <f>IFERROR(__xludf.DUMMYFUNCTION("""COMPUTED_VALUE"""),"Lot")</f>
        <v>Lot</v>
      </c>
      <c r="H89" s="6" t="str">
        <f>IFERROR(__xludf.DUMMYFUNCTION("""COMPUTED_VALUE"""),"IDR")</f>
        <v>IDR</v>
      </c>
      <c r="I89" s="11">
        <f>IFERROR(__xludf.DUMMYFUNCTION("""COMPUTED_VALUE"""),2889000.0)</f>
        <v>2889000</v>
      </c>
      <c r="J89" s="11">
        <f>IFERROR(__xludf.DUMMYFUNCTION("""COMPUTED_VALUE"""),2889000.0)</f>
        <v>2889000</v>
      </c>
      <c r="K89" s="13">
        <f>IFERROR(__xludf.DUMMYFUNCTION("""COMPUTED_VALUE"""),43217.0)</f>
        <v>43217</v>
      </c>
      <c r="L89" s="6" t="str">
        <f>IFERROR(__xludf.DUMMYFUNCTION("""COMPUTED_VALUE"""),"FIP General")</f>
        <v>FIP General</v>
      </c>
      <c r="M89" s="6" t="str">
        <f>IFERROR(__xludf.DUMMYFUNCTION("""COMPUTED_VALUE"""),"Joko Nugroho")</f>
        <v>Joko Nugroho</v>
      </c>
      <c r="N89" s="6" t="str">
        <f>IFERROR(__xludf.DUMMYFUNCTION("""COMPUTED_VALUE"""),"FIP Engineering")</f>
        <v>FIP Engineering</v>
      </c>
      <c r="O89" s="6" t="str">
        <f>IFERROR(__xludf.DUMMYFUNCTION("""COMPUTED_VALUE"""),"FIP-DOM-ENG-51508-0000000-INA-000000")</f>
        <v>FIP-DOM-ENG-51508-0000000-INA-000000</v>
      </c>
      <c r="P89" s="6" t="str">
        <f>IFERROR(__xludf.DUMMYFUNCTION("""COMPUTED_VALUE"""),"PO Closed")</f>
        <v>PO Closed</v>
      </c>
      <c r="Q89" s="6" t="str">
        <f>IFERROR(__xludf.DUMMYFUNCTION("""COMPUTED_VALUE"""),"GL1804006")</f>
        <v>GL1804006</v>
      </c>
      <c r="R89" s="16">
        <f>IFERROR(__xludf.DUMMYFUNCTION("""COMPUTED_VALUE"""),43182.0)</f>
        <v>43182</v>
      </c>
      <c r="S89" s="6" t="str">
        <f>IFERROR(__xludf.DUMMYFUNCTION("""COMPUTED_VALUE"""),"-")</f>
        <v>-</v>
      </c>
      <c r="T89" s="17">
        <f>IFERROR(__xludf.DUMMYFUNCTION("""COMPUTED_VALUE"""),43287.0)</f>
        <v>43287</v>
      </c>
    </row>
    <row r="90">
      <c r="A90" s="6" t="str">
        <f>IFERROR(__xludf.DUMMYFUNCTION("""COMPUTED_VALUE"""),"181750103-2")</f>
        <v>181750103-2</v>
      </c>
      <c r="B90" s="6" t="str">
        <f>IFERROR(__xludf.DUMMYFUNCTION("""COMPUTED_VALUE"""),"181750103 - Approved")</f>
        <v>181750103 - Approved</v>
      </c>
      <c r="C90" s="6">
        <f>IFERROR(__xludf.DUMMYFUNCTION("""COMPUTED_VALUE"""),2.0)</f>
        <v>2</v>
      </c>
      <c r="D90" s="6" t="str">
        <f>IFERROR(__xludf.DUMMYFUNCTION("""COMPUTED_VALUE"""),"S-60002-00")</f>
        <v>S-60002-00</v>
      </c>
      <c r="E90" s="6" t="str">
        <f>IFERROR(__xludf.DUMMYFUNCTION("""COMPUTED_VALUE"""),"PERGANTIAN BATRAI V2K")</f>
        <v>PERGANTIAN BATRAI V2K</v>
      </c>
      <c r="F90" s="6">
        <f>IFERROR(__xludf.DUMMYFUNCTION("""COMPUTED_VALUE"""),1.0)</f>
        <v>1</v>
      </c>
      <c r="G90" s="6" t="str">
        <f>IFERROR(__xludf.DUMMYFUNCTION("""COMPUTED_VALUE"""),"Lot")</f>
        <v>Lot</v>
      </c>
      <c r="H90" s="6" t="str">
        <f>IFERROR(__xludf.DUMMYFUNCTION("""COMPUTED_VALUE"""),"IDR")</f>
        <v>IDR</v>
      </c>
      <c r="I90" s="11">
        <f>IFERROR(__xludf.DUMMYFUNCTION("""COMPUTED_VALUE"""),1.4445E7)</f>
        <v>14445000</v>
      </c>
      <c r="J90" s="11">
        <f>IFERROR(__xludf.DUMMYFUNCTION("""COMPUTED_VALUE"""),1.4445E7)</f>
        <v>14445000</v>
      </c>
      <c r="K90" s="13">
        <f>IFERROR(__xludf.DUMMYFUNCTION("""COMPUTED_VALUE"""),43217.0)</f>
        <v>43217</v>
      </c>
      <c r="L90" s="6" t="str">
        <f>IFERROR(__xludf.DUMMYFUNCTION("""COMPUTED_VALUE"""),"FIP General")</f>
        <v>FIP General</v>
      </c>
      <c r="M90" s="6" t="str">
        <f>IFERROR(__xludf.DUMMYFUNCTION("""COMPUTED_VALUE"""),"Joko Nugroho")</f>
        <v>Joko Nugroho</v>
      </c>
      <c r="N90" s="6" t="str">
        <f>IFERROR(__xludf.DUMMYFUNCTION("""COMPUTED_VALUE"""),"FIP Engineering")</f>
        <v>FIP Engineering</v>
      </c>
      <c r="O90" s="6" t="str">
        <f>IFERROR(__xludf.DUMMYFUNCTION("""COMPUTED_VALUE"""),"FIP-DOM-ENG-51508-0000000-INA-000000")</f>
        <v>FIP-DOM-ENG-51508-0000000-INA-000000</v>
      </c>
      <c r="P90" s="6" t="str">
        <f>IFERROR(__xludf.DUMMYFUNCTION("""COMPUTED_VALUE"""),"PO Closed")</f>
        <v>PO Closed</v>
      </c>
      <c r="Q90" s="6" t="str">
        <f>IFERROR(__xludf.DUMMYFUNCTION("""COMPUTED_VALUE"""),"GL1804006")</f>
        <v>GL1804006</v>
      </c>
      <c r="R90" s="16">
        <f>IFERROR(__xludf.DUMMYFUNCTION("""COMPUTED_VALUE"""),43182.0)</f>
        <v>43182</v>
      </c>
      <c r="S90" s="6" t="str">
        <f>IFERROR(__xludf.DUMMYFUNCTION("""COMPUTED_VALUE"""),"-")</f>
        <v>-</v>
      </c>
      <c r="T90" s="13">
        <f>IFERROR(__xludf.DUMMYFUNCTION("""COMPUTED_VALUE"""),43287.0)</f>
        <v>43287</v>
      </c>
    </row>
    <row r="91">
      <c r="A91" s="6" t="str">
        <f>IFERROR(__xludf.DUMMYFUNCTION("""COMPUTED_VALUE"""),"181750101-1")</f>
        <v>181750101-1</v>
      </c>
      <c r="B91" s="6" t="str">
        <f>IFERROR(__xludf.DUMMYFUNCTION("""COMPUTED_VALUE"""),"181750101 - Approved")</f>
        <v>181750101 - Approved</v>
      </c>
      <c r="C91" s="6">
        <f>IFERROR(__xludf.DUMMYFUNCTION("""COMPUTED_VALUE"""),1.0)</f>
        <v>1</v>
      </c>
      <c r="D91" s="6" t="str">
        <f>IFERROR(__xludf.DUMMYFUNCTION("""COMPUTED_VALUE"""),"S-60002-00")</f>
        <v>S-60002-00</v>
      </c>
      <c r="E91" s="6" t="str">
        <f>IFERROR(__xludf.DUMMYFUNCTION("""COMPUTED_VALUE"""),"Steam Trap Survey")</f>
        <v>Steam Trap Survey</v>
      </c>
      <c r="F91" s="6">
        <f>IFERROR(__xludf.DUMMYFUNCTION("""COMPUTED_VALUE"""),1.0)</f>
        <v>1</v>
      </c>
      <c r="G91" s="6" t="str">
        <f>IFERROR(__xludf.DUMMYFUNCTION("""COMPUTED_VALUE"""),"Lot")</f>
        <v>Lot</v>
      </c>
      <c r="H91" s="6" t="str">
        <f>IFERROR(__xludf.DUMMYFUNCTION("""COMPUTED_VALUE"""),"IDR")</f>
        <v>IDR</v>
      </c>
      <c r="I91" s="11">
        <f>IFERROR(__xludf.DUMMYFUNCTION("""COMPUTED_VALUE"""),6000000.0)</f>
        <v>6000000</v>
      </c>
      <c r="J91" s="11">
        <f>IFERROR(__xludf.DUMMYFUNCTION("""COMPUTED_VALUE"""),6000000.0)</f>
        <v>6000000</v>
      </c>
      <c r="K91" s="17">
        <f>IFERROR(__xludf.DUMMYFUNCTION("""COMPUTED_VALUE"""),43199.0)</f>
        <v>43199</v>
      </c>
      <c r="L91" s="6" t="str">
        <f>IFERROR(__xludf.DUMMYFUNCTION("""COMPUTED_VALUE"""),"FIP General")</f>
        <v>FIP General</v>
      </c>
      <c r="M91" s="6" t="str">
        <f>IFERROR(__xludf.DUMMYFUNCTION("""COMPUTED_VALUE"""),"Joko Nugroho")</f>
        <v>Joko Nugroho</v>
      </c>
      <c r="N91" s="6" t="str">
        <f>IFERROR(__xludf.DUMMYFUNCTION("""COMPUTED_VALUE"""),"FIP Engineering")</f>
        <v>FIP Engineering</v>
      </c>
      <c r="O91" s="6" t="str">
        <f>IFERROR(__xludf.DUMMYFUNCTION("""COMPUTED_VALUE"""),"FIP-DOM-ENG-51508-0000000-INA-000000")</f>
        <v>FIP-DOM-ENG-51508-0000000-INA-000000</v>
      </c>
      <c r="P91" s="6" t="str">
        <f>IFERROR(__xludf.DUMMYFUNCTION("""COMPUTED_VALUE"""),"PO Closed")</f>
        <v>PO Closed</v>
      </c>
      <c r="Q91" s="6" t="str">
        <f>IFERROR(__xludf.DUMMYFUNCTION("""COMPUTED_VALUE"""),"GL1804027")</f>
        <v>GL1804027</v>
      </c>
      <c r="R91" s="16">
        <f>IFERROR(__xludf.DUMMYFUNCTION("""COMPUTED_VALUE"""),43182.0)</f>
        <v>43182</v>
      </c>
      <c r="S91" s="6" t="str">
        <f>IFERROR(__xludf.DUMMYFUNCTION("""COMPUTED_VALUE"""),"-")</f>
        <v>-</v>
      </c>
      <c r="T91" s="13">
        <f>IFERROR(__xludf.DUMMYFUNCTION("""COMPUTED_VALUE"""),43256.0)</f>
        <v>43256</v>
      </c>
    </row>
    <row r="92">
      <c r="A92" s="6" t="str">
        <f>IFERROR(__xludf.DUMMYFUNCTION("""COMPUTED_VALUE"""),"181750078-3")</f>
        <v>181750078-3</v>
      </c>
      <c r="B92" s="6" t="str">
        <f>IFERROR(__xludf.DUMMYFUNCTION("""COMPUTED_VALUE"""),"181750078 - Approved")</f>
        <v>181750078 - Approved</v>
      </c>
      <c r="C92" s="6">
        <f>IFERROR(__xludf.DUMMYFUNCTION("""COMPUTED_VALUE"""),3.0)</f>
        <v>3</v>
      </c>
      <c r="D92" s="6" t="str">
        <f>IFERROR(__xludf.DUMMYFUNCTION("""COMPUTED_VALUE"""),"O-51813-00")</f>
        <v>O-51813-00</v>
      </c>
      <c r="E92" s="6" t="str">
        <f>IFERROR(__xludf.DUMMYFUNCTION("""COMPUTED_VALUE"""),"Digital Timer Switch Simplexa 601 Theben Germany; ; ;")</f>
        <v>Digital Timer Switch Simplexa 601 Theben Germany; ; ;</v>
      </c>
      <c r="F92" s="6">
        <f>IFERROR(__xludf.DUMMYFUNCTION("""COMPUTED_VALUE"""),1.0)</f>
        <v>1</v>
      </c>
      <c r="G92" s="6" t="str">
        <f>IFERROR(__xludf.DUMMYFUNCTION("""COMPUTED_VALUE"""),"Unit")</f>
        <v>Unit</v>
      </c>
      <c r="H92" s="6" t="str">
        <f>IFERROR(__xludf.DUMMYFUNCTION("""COMPUTED_VALUE"""),"IDR")</f>
        <v>IDR</v>
      </c>
      <c r="I92" s="11">
        <f>IFERROR(__xludf.DUMMYFUNCTION("""COMPUTED_VALUE"""),1200000.0)</f>
        <v>1200000</v>
      </c>
      <c r="J92" s="11">
        <f>IFERROR(__xludf.DUMMYFUNCTION("""COMPUTED_VALUE"""),1200000.0)</f>
        <v>1200000</v>
      </c>
      <c r="K92" s="13">
        <f>IFERROR(__xludf.DUMMYFUNCTION("""COMPUTED_VALUE"""),43245.0)</f>
        <v>43245</v>
      </c>
      <c r="L92" s="6" t="str">
        <f>IFERROR(__xludf.DUMMYFUNCTION("""COMPUTED_VALUE"""),"FIP Engineering")</f>
        <v>FIP Engineering</v>
      </c>
      <c r="M92" s="6" t="str">
        <f>IFERROR(__xludf.DUMMYFUNCTION("""COMPUTED_VALUE"""),"Joko Nugroho")</f>
        <v>Joko Nugroho</v>
      </c>
      <c r="N92" s="6" t="str">
        <f>IFERROR(__xludf.DUMMYFUNCTION("""COMPUTED_VALUE"""),"FIP Engineering")</f>
        <v>FIP Engineering</v>
      </c>
      <c r="O92" s="6" t="str">
        <f>IFERROR(__xludf.DUMMYFUNCTION("""COMPUTED_VALUE"""),"FIP-DOM-000-11304-OS00001-INA-000000")</f>
        <v>FIP-DOM-000-11304-OS00001-INA-000000</v>
      </c>
      <c r="P92" s="6" t="str">
        <f>IFERROR(__xludf.DUMMYFUNCTION("""COMPUTED_VALUE"""),"PO Closed")</f>
        <v>PO Closed</v>
      </c>
      <c r="Q92" s="6" t="str">
        <f>IFERROR(__xludf.DUMMYFUNCTION("""COMPUTED_VALUE"""),"GL1805036")</f>
        <v>GL1805036</v>
      </c>
      <c r="R92" s="16">
        <f>IFERROR(__xludf.DUMMYFUNCTION("""COMPUTED_VALUE"""),43185.0)</f>
        <v>43185</v>
      </c>
      <c r="S92" s="6" t="str">
        <f>IFERROR(__xludf.DUMMYFUNCTION("""COMPUTED_VALUE"""),"-")</f>
        <v>-</v>
      </c>
      <c r="T92" s="13">
        <f>IFERROR(__xludf.DUMMYFUNCTION("""COMPUTED_VALUE"""),43312.0)</f>
        <v>43312</v>
      </c>
    </row>
    <row r="93">
      <c r="A93" s="6" t="str">
        <f>IFERROR(__xludf.DUMMYFUNCTION("""COMPUTED_VALUE"""),"181750073-18")</f>
        <v>181750073-18</v>
      </c>
      <c r="B93" s="6" t="str">
        <f>IFERROR(__xludf.DUMMYFUNCTION("""COMPUTED_VALUE"""),"181750073 - Approved")</f>
        <v>181750073 - Approved</v>
      </c>
      <c r="C93" s="6">
        <f>IFERROR(__xludf.DUMMYFUNCTION("""COMPUTED_VALUE"""),18.0)</f>
        <v>18</v>
      </c>
      <c r="D93" s="6" t="str">
        <f>IFERROR(__xludf.DUMMYFUNCTION("""COMPUTED_VALUE"""),"O-51818-00")</f>
        <v>O-51818-00</v>
      </c>
      <c r="E93" s="6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F93" s="6">
        <f>IFERROR(__xludf.DUMMYFUNCTION("""COMPUTED_VALUE"""),1.0)</f>
        <v>1</v>
      </c>
      <c r="G93" s="6" t="str">
        <f>IFERROR(__xludf.DUMMYFUNCTION("""COMPUTED_VALUE"""),"Unit")</f>
        <v>Unit</v>
      </c>
      <c r="H93" s="6" t="str">
        <f>IFERROR(__xludf.DUMMYFUNCTION("""COMPUTED_VALUE"""),"EUR")</f>
        <v>EUR</v>
      </c>
      <c r="I93" s="11">
        <f>IFERROR(__xludf.DUMMYFUNCTION("""COMPUTED_VALUE"""),426.0)</f>
        <v>426</v>
      </c>
      <c r="J93" s="11">
        <f>IFERROR(__xludf.DUMMYFUNCTION("""COMPUTED_VALUE"""),426.0)</f>
        <v>426</v>
      </c>
      <c r="K93" s="13">
        <f>IFERROR(__xludf.DUMMYFUNCTION("""COMPUTED_VALUE"""),43234.0)</f>
        <v>43234</v>
      </c>
      <c r="L93" s="6" t="str">
        <f>IFERROR(__xludf.DUMMYFUNCTION("""COMPUTED_VALUE"""),"FIP Engineering")</f>
        <v>FIP Engineering</v>
      </c>
      <c r="M93" s="6" t="str">
        <f>IFERROR(__xludf.DUMMYFUNCTION("""COMPUTED_VALUE"""),"Joko Nugroho")</f>
        <v>Joko Nugroho</v>
      </c>
      <c r="N93" s="6" t="str">
        <f>IFERROR(__xludf.DUMMYFUNCTION("""COMPUTED_VALUE"""),"FIP Engineering")</f>
        <v>FIP Engineering</v>
      </c>
      <c r="O93" s="6" t="str">
        <f>IFERROR(__xludf.DUMMYFUNCTION("""COMPUTED_VALUE"""),"FIP-DOM-000-11304-OS00001-INA-000000")</f>
        <v>FIP-DOM-000-11304-OS00001-INA-000000</v>
      </c>
      <c r="P93" s="6" t="str">
        <f>IFERROR(__xludf.DUMMYFUNCTION("""COMPUTED_VALUE"""),"PO Closed")</f>
        <v>PO Closed</v>
      </c>
      <c r="Q93" s="6" t="str">
        <f>IFERROR(__xludf.DUMMYFUNCTION("""COMPUTED_VALUE"""),"GL1804055")</f>
        <v>GL1804055</v>
      </c>
      <c r="R93" s="16">
        <f>IFERROR(__xludf.DUMMYFUNCTION("""COMPUTED_VALUE"""),43185.0)</f>
        <v>43185</v>
      </c>
      <c r="S93" s="6" t="str">
        <f>IFERROR(__xludf.DUMMYFUNCTION("""COMPUTED_VALUE"""),"-")</f>
        <v>-</v>
      </c>
      <c r="T93" s="17">
        <f>IFERROR(__xludf.DUMMYFUNCTION("""COMPUTED_VALUE"""),43347.0)</f>
        <v>43347</v>
      </c>
    </row>
    <row r="94">
      <c r="A94" s="6" t="str">
        <f>IFERROR(__xludf.DUMMYFUNCTION("""COMPUTED_VALUE"""),"181750073-18")</f>
        <v>181750073-18</v>
      </c>
      <c r="B94" s="6" t="str">
        <f>IFERROR(__xludf.DUMMYFUNCTION("""COMPUTED_VALUE"""),"181750073 - Approved")</f>
        <v>181750073 - Approved</v>
      </c>
      <c r="C94" s="6">
        <f>IFERROR(__xludf.DUMMYFUNCTION("""COMPUTED_VALUE"""),18.0)</f>
        <v>18</v>
      </c>
      <c r="D94" s="6" t="str">
        <f>IFERROR(__xludf.DUMMYFUNCTION("""COMPUTED_VALUE"""),"O-16007-00")</f>
        <v>O-16007-00</v>
      </c>
      <c r="E94" s="6" t="str">
        <f>IFERROR(__xludf.DUMMYFUNCTION("""COMPUTED_VALUE"""),"Silicone Sucker 01.10.10; P/N : 201119; ; ;")</f>
        <v>Silicone Sucker 01.10.10; P/N : 201119; ; ;</v>
      </c>
      <c r="F94" s="6">
        <f>IFERROR(__xludf.DUMMYFUNCTION("""COMPUTED_VALUE"""),30.0)</f>
        <v>30</v>
      </c>
      <c r="G94" s="6" t="str">
        <f>IFERROR(__xludf.DUMMYFUNCTION("""COMPUTED_VALUE"""),"Unit")</f>
        <v>Unit</v>
      </c>
      <c r="H94" s="6" t="str">
        <f>IFERROR(__xludf.DUMMYFUNCTION("""COMPUTED_VALUE"""),"EUR")</f>
        <v>EUR</v>
      </c>
      <c r="I94" s="11">
        <f>IFERROR(__xludf.DUMMYFUNCTION("""COMPUTED_VALUE"""),4.0)</f>
        <v>4</v>
      </c>
      <c r="J94" s="11">
        <f>IFERROR(__xludf.DUMMYFUNCTION("""COMPUTED_VALUE"""),120.0)</f>
        <v>120</v>
      </c>
      <c r="K94" s="13">
        <f>IFERROR(__xludf.DUMMYFUNCTION("""COMPUTED_VALUE"""),43234.0)</f>
        <v>43234</v>
      </c>
      <c r="L94" s="6" t="str">
        <f>IFERROR(__xludf.DUMMYFUNCTION("""COMPUTED_VALUE"""),"FIP Engineering")</f>
        <v>FIP Engineering</v>
      </c>
      <c r="M94" s="6" t="str">
        <f>IFERROR(__xludf.DUMMYFUNCTION("""COMPUTED_VALUE"""),"Joko Nugroho")</f>
        <v>Joko Nugroho</v>
      </c>
      <c r="N94" s="6" t="str">
        <f>IFERROR(__xludf.DUMMYFUNCTION("""COMPUTED_VALUE"""),"FIP Engineering")</f>
        <v>FIP Engineering</v>
      </c>
      <c r="O94" s="6" t="str">
        <f>IFERROR(__xludf.DUMMYFUNCTION("""COMPUTED_VALUE"""),"FIP-DOM-000-11304-OS00001-INA-000000")</f>
        <v>FIP-DOM-000-11304-OS00001-INA-000000</v>
      </c>
      <c r="P94" s="6" t="str">
        <f>IFERROR(__xludf.DUMMYFUNCTION("""COMPUTED_VALUE"""),"PO Closed")</f>
        <v>PO Closed</v>
      </c>
      <c r="Q94" s="6" t="str">
        <f>IFERROR(__xludf.DUMMYFUNCTION("""COMPUTED_VALUE"""),"GL1804055")</f>
        <v>GL1804055</v>
      </c>
      <c r="R94" s="16">
        <f>IFERROR(__xludf.DUMMYFUNCTION("""COMPUTED_VALUE"""),43185.0)</f>
        <v>43185</v>
      </c>
      <c r="S94" s="6" t="str">
        <f>IFERROR(__xludf.DUMMYFUNCTION("""COMPUTED_VALUE"""),"-")</f>
        <v>-</v>
      </c>
      <c r="T94" s="13">
        <f>IFERROR(__xludf.DUMMYFUNCTION("""COMPUTED_VALUE"""),43347.0)</f>
        <v>43347</v>
      </c>
    </row>
    <row r="95">
      <c r="A95" s="6" t="str">
        <f>IFERROR(__xludf.DUMMYFUNCTION("""COMPUTED_VALUE"""),"181750073-18")</f>
        <v>181750073-18</v>
      </c>
      <c r="B95" s="6" t="str">
        <f>IFERROR(__xludf.DUMMYFUNCTION("""COMPUTED_VALUE"""),"181750073 - Approved")</f>
        <v>181750073 - Approved</v>
      </c>
      <c r="C95" s="6">
        <f>IFERROR(__xludf.DUMMYFUNCTION("""COMPUTED_VALUE"""),18.0)</f>
        <v>18</v>
      </c>
      <c r="D95" s="6" t="str">
        <f>IFERROR(__xludf.DUMMYFUNCTION("""COMPUTED_VALUE"""),"O-51822-00")</f>
        <v>O-51822-00</v>
      </c>
      <c r="E95" s="6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F95" s="6">
        <f>IFERROR(__xludf.DUMMYFUNCTION("""COMPUTED_VALUE"""),1.0)</f>
        <v>1</v>
      </c>
      <c r="G95" s="6" t="str">
        <f>IFERROR(__xludf.DUMMYFUNCTION("""COMPUTED_VALUE"""),"Unit")</f>
        <v>Unit</v>
      </c>
      <c r="H95" s="6" t="str">
        <f>IFERROR(__xludf.DUMMYFUNCTION("""COMPUTED_VALUE"""),"EUR")</f>
        <v>EUR</v>
      </c>
      <c r="I95" s="11">
        <f>IFERROR(__xludf.DUMMYFUNCTION("""COMPUTED_VALUE"""),324.0)</f>
        <v>324</v>
      </c>
      <c r="J95" s="11">
        <f>IFERROR(__xludf.DUMMYFUNCTION("""COMPUTED_VALUE"""),324.0)</f>
        <v>324</v>
      </c>
      <c r="K95" s="13">
        <f>IFERROR(__xludf.DUMMYFUNCTION("""COMPUTED_VALUE"""),43234.0)</f>
        <v>43234</v>
      </c>
      <c r="L95" s="6" t="str">
        <f>IFERROR(__xludf.DUMMYFUNCTION("""COMPUTED_VALUE"""),"FIP Engineering")</f>
        <v>FIP Engineering</v>
      </c>
      <c r="M95" s="6" t="str">
        <f>IFERROR(__xludf.DUMMYFUNCTION("""COMPUTED_VALUE"""),"Joko Nugroho")</f>
        <v>Joko Nugroho</v>
      </c>
      <c r="N95" s="6" t="str">
        <f>IFERROR(__xludf.DUMMYFUNCTION("""COMPUTED_VALUE"""),"FIP Engineering")</f>
        <v>FIP Engineering</v>
      </c>
      <c r="O95" s="6" t="str">
        <f>IFERROR(__xludf.DUMMYFUNCTION("""COMPUTED_VALUE"""),"FIP-DOM-000-11304-OS00001-INA-000000")</f>
        <v>FIP-DOM-000-11304-OS00001-INA-000000</v>
      </c>
      <c r="P95" s="6" t="str">
        <f>IFERROR(__xludf.DUMMYFUNCTION("""COMPUTED_VALUE"""),"PO Closed")</f>
        <v>PO Closed</v>
      </c>
      <c r="Q95" s="6" t="str">
        <f>IFERROR(__xludf.DUMMYFUNCTION("""COMPUTED_VALUE"""),"GL1804055")</f>
        <v>GL1804055</v>
      </c>
      <c r="R95" s="16">
        <f>IFERROR(__xludf.DUMMYFUNCTION("""COMPUTED_VALUE"""),43185.0)</f>
        <v>43185</v>
      </c>
      <c r="S95" s="6" t="str">
        <f>IFERROR(__xludf.DUMMYFUNCTION("""COMPUTED_VALUE"""),"-")</f>
        <v>-</v>
      </c>
      <c r="T95" s="17">
        <f>IFERROR(__xludf.DUMMYFUNCTION("""COMPUTED_VALUE"""),43347.0)</f>
        <v>43347</v>
      </c>
    </row>
    <row r="96">
      <c r="A96" s="6" t="str">
        <f>IFERROR(__xludf.DUMMYFUNCTION("""COMPUTED_VALUE"""),"181750073-18")</f>
        <v>181750073-18</v>
      </c>
      <c r="B96" s="6" t="str">
        <f>IFERROR(__xludf.DUMMYFUNCTION("""COMPUTED_VALUE"""),"181750073 - Approved")</f>
        <v>181750073 - Approved</v>
      </c>
      <c r="C96" s="6">
        <f>IFERROR(__xludf.DUMMYFUNCTION("""COMPUTED_VALUE"""),18.0)</f>
        <v>18</v>
      </c>
      <c r="D96" s="6" t="str">
        <f>IFERROR(__xludf.DUMMYFUNCTION("""COMPUTED_VALUE"""),"O-51814-00")</f>
        <v>O-51814-00</v>
      </c>
      <c r="E96" s="6" t="str">
        <f>IFERROR(__xludf.DUMMYFUNCTION("""COMPUTED_VALUE"""),"Cable gland for temperature probe with D15mm; 64940; ; ;")</f>
        <v>Cable gland for temperature probe with D15mm; 64940; ; ;</v>
      </c>
      <c r="F96" s="6">
        <f>IFERROR(__xludf.DUMMYFUNCTION("""COMPUTED_VALUE"""),1.0)</f>
        <v>1</v>
      </c>
      <c r="G96" s="6" t="str">
        <f>IFERROR(__xludf.DUMMYFUNCTION("""COMPUTED_VALUE"""),"Unit")</f>
        <v>Unit</v>
      </c>
      <c r="H96" s="6" t="str">
        <f>IFERROR(__xludf.DUMMYFUNCTION("""COMPUTED_VALUE"""),"EUR")</f>
        <v>EUR</v>
      </c>
      <c r="I96" s="11">
        <f>IFERROR(__xludf.DUMMYFUNCTION("""COMPUTED_VALUE"""),110.0)</f>
        <v>110</v>
      </c>
      <c r="J96" s="11">
        <f>IFERROR(__xludf.DUMMYFUNCTION("""COMPUTED_VALUE"""),110.0)</f>
        <v>110</v>
      </c>
      <c r="K96" s="13">
        <f>IFERROR(__xludf.DUMMYFUNCTION("""COMPUTED_VALUE"""),43234.0)</f>
        <v>43234</v>
      </c>
      <c r="L96" s="6" t="str">
        <f>IFERROR(__xludf.DUMMYFUNCTION("""COMPUTED_VALUE"""),"FIP Engineering")</f>
        <v>FIP Engineering</v>
      </c>
      <c r="M96" s="6" t="str">
        <f>IFERROR(__xludf.DUMMYFUNCTION("""COMPUTED_VALUE"""),"Joko Nugroho")</f>
        <v>Joko Nugroho</v>
      </c>
      <c r="N96" s="6" t="str">
        <f>IFERROR(__xludf.DUMMYFUNCTION("""COMPUTED_VALUE"""),"FIP Engineering")</f>
        <v>FIP Engineering</v>
      </c>
      <c r="O96" s="6" t="str">
        <f>IFERROR(__xludf.DUMMYFUNCTION("""COMPUTED_VALUE"""),"FIP-DOM-000-11304-OS00001-INA-000000")</f>
        <v>FIP-DOM-000-11304-OS00001-INA-000000</v>
      </c>
      <c r="P96" s="6" t="str">
        <f>IFERROR(__xludf.DUMMYFUNCTION("""COMPUTED_VALUE"""),"PO Closed")</f>
        <v>PO Closed</v>
      </c>
      <c r="Q96" s="6" t="str">
        <f>IFERROR(__xludf.DUMMYFUNCTION("""COMPUTED_VALUE"""),"GL1804055")</f>
        <v>GL1804055</v>
      </c>
      <c r="R96" s="16">
        <f>IFERROR(__xludf.DUMMYFUNCTION("""COMPUTED_VALUE"""),43185.0)</f>
        <v>43185</v>
      </c>
      <c r="S96" s="6" t="str">
        <f>IFERROR(__xludf.DUMMYFUNCTION("""COMPUTED_VALUE"""),"-")</f>
        <v>-</v>
      </c>
      <c r="T96" s="13">
        <f>IFERROR(__xludf.DUMMYFUNCTION("""COMPUTED_VALUE"""),43347.0)</f>
        <v>43347</v>
      </c>
    </row>
    <row r="97">
      <c r="A97" s="6" t="str">
        <f>IFERROR(__xludf.DUMMYFUNCTION("""COMPUTED_VALUE"""),"181750073-18")</f>
        <v>181750073-18</v>
      </c>
      <c r="B97" s="6" t="str">
        <f>IFERROR(__xludf.DUMMYFUNCTION("""COMPUTED_VALUE"""),"181750073 - Approved")</f>
        <v>181750073 - Approved</v>
      </c>
      <c r="C97" s="6">
        <f>IFERROR(__xludf.DUMMYFUNCTION("""COMPUTED_VALUE"""),18.0)</f>
        <v>18</v>
      </c>
      <c r="D97" s="6" t="str">
        <f>IFERROR(__xludf.DUMMYFUNCTION("""COMPUTED_VALUE"""),"O-51817-00")</f>
        <v>O-51817-00</v>
      </c>
      <c r="E97" s="6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F97" s="6">
        <f>IFERROR(__xludf.DUMMYFUNCTION("""COMPUTED_VALUE"""),1.0)</f>
        <v>1</v>
      </c>
      <c r="G97" s="6" t="str">
        <f>IFERROR(__xludf.DUMMYFUNCTION("""COMPUTED_VALUE"""),"Unit")</f>
        <v>Unit</v>
      </c>
      <c r="H97" s="6" t="str">
        <f>IFERROR(__xludf.DUMMYFUNCTION("""COMPUTED_VALUE"""),"EUR")</f>
        <v>EUR</v>
      </c>
      <c r="I97" s="11">
        <f>IFERROR(__xludf.DUMMYFUNCTION("""COMPUTED_VALUE"""),302.0)</f>
        <v>302</v>
      </c>
      <c r="J97" s="11">
        <f>IFERROR(__xludf.DUMMYFUNCTION("""COMPUTED_VALUE"""),302.0)</f>
        <v>302</v>
      </c>
      <c r="K97" s="17">
        <f>IFERROR(__xludf.DUMMYFUNCTION("""COMPUTED_VALUE"""),43234.0)</f>
        <v>43234</v>
      </c>
      <c r="L97" s="6" t="str">
        <f>IFERROR(__xludf.DUMMYFUNCTION("""COMPUTED_VALUE"""),"FIP Engineering")</f>
        <v>FIP Engineering</v>
      </c>
      <c r="M97" s="6" t="str">
        <f>IFERROR(__xludf.DUMMYFUNCTION("""COMPUTED_VALUE"""),"Joko Nugroho")</f>
        <v>Joko Nugroho</v>
      </c>
      <c r="N97" s="6" t="str">
        <f>IFERROR(__xludf.DUMMYFUNCTION("""COMPUTED_VALUE"""),"FIP Engineering")</f>
        <v>FIP Engineering</v>
      </c>
      <c r="O97" s="6" t="str">
        <f>IFERROR(__xludf.DUMMYFUNCTION("""COMPUTED_VALUE"""),"FIP-DOM-000-11304-OS00001-INA-000000")</f>
        <v>FIP-DOM-000-11304-OS00001-INA-000000</v>
      </c>
      <c r="P97" s="6" t="str">
        <f>IFERROR(__xludf.DUMMYFUNCTION("""COMPUTED_VALUE"""),"PO Closed")</f>
        <v>PO Closed</v>
      </c>
      <c r="Q97" s="6" t="str">
        <f>IFERROR(__xludf.DUMMYFUNCTION("""COMPUTED_VALUE"""),"GL1804055")</f>
        <v>GL1804055</v>
      </c>
      <c r="R97" s="16">
        <f>IFERROR(__xludf.DUMMYFUNCTION("""COMPUTED_VALUE"""),43185.0)</f>
        <v>43185</v>
      </c>
      <c r="S97" s="6" t="str">
        <f>IFERROR(__xludf.DUMMYFUNCTION("""COMPUTED_VALUE"""),"-")</f>
        <v>-</v>
      </c>
      <c r="T97" s="13">
        <f>IFERROR(__xludf.DUMMYFUNCTION("""COMPUTED_VALUE"""),43347.0)</f>
        <v>43347</v>
      </c>
    </row>
    <row r="98">
      <c r="A98" s="6" t="str">
        <f>IFERROR(__xludf.DUMMYFUNCTION("""COMPUTED_VALUE"""),"181750105-1")</f>
        <v>181750105-1</v>
      </c>
      <c r="B98" s="6" t="str">
        <f>IFERROR(__xludf.DUMMYFUNCTION("""COMPUTED_VALUE"""),"181750105 - Approved")</f>
        <v>181750105 - Approved</v>
      </c>
      <c r="C98" s="6">
        <f>IFERROR(__xludf.DUMMYFUNCTION("""COMPUTED_VALUE"""),1.0)</f>
        <v>1</v>
      </c>
      <c r="D98" s="6" t="str">
        <f>IFERROR(__xludf.DUMMYFUNCTION("""COMPUTED_VALUE"""),"S-20016-00")</f>
        <v>S-20016-00</v>
      </c>
      <c r="E98" s="6" t="str">
        <f>IFERROR(__xludf.DUMMYFUNCTION("""COMPUTED_VALUE"""),"Sarung tangan bahan kain; ; ;")</f>
        <v>Sarung tangan bahan kain; ; ;</v>
      </c>
      <c r="F98" s="6">
        <f>IFERROR(__xludf.DUMMYFUNCTION("""COMPUTED_VALUE"""),2.0)</f>
        <v>2</v>
      </c>
      <c r="G98" s="6" t="str">
        <f>IFERROR(__xludf.DUMMYFUNCTION("""COMPUTED_VALUE"""),"Pack")</f>
        <v>Pack</v>
      </c>
      <c r="H98" s="6" t="str">
        <f>IFERROR(__xludf.DUMMYFUNCTION("""COMPUTED_VALUE"""),"IDR")</f>
        <v>IDR</v>
      </c>
      <c r="I98" s="11">
        <f>IFERROR(__xludf.DUMMYFUNCTION("""COMPUTED_VALUE"""),42000.0)</f>
        <v>42000</v>
      </c>
      <c r="J98" s="11">
        <f>IFERROR(__xludf.DUMMYFUNCTION("""COMPUTED_VALUE"""),84000.0)</f>
        <v>84000</v>
      </c>
      <c r="K98" s="17">
        <f>IFERROR(__xludf.DUMMYFUNCTION("""COMPUTED_VALUE"""),43199.0)</f>
        <v>43199</v>
      </c>
      <c r="L98" s="6" t="str">
        <f>IFERROR(__xludf.DUMMYFUNCTION("""COMPUTED_VALUE"""),"FIP General")</f>
        <v>FIP General</v>
      </c>
      <c r="M98" s="6" t="str">
        <f>IFERROR(__xludf.DUMMYFUNCTION("""COMPUTED_VALUE"""),"Joko Nugroho")</f>
        <v>Joko Nugroho</v>
      </c>
      <c r="N98" s="6" t="str">
        <f>IFERROR(__xludf.DUMMYFUNCTION("""COMPUTED_VALUE"""),"FIP Engineering")</f>
        <v>FIP Engineering</v>
      </c>
      <c r="O98" s="6" t="str">
        <f>IFERROR(__xludf.DUMMYFUNCTION("""COMPUTED_VALUE"""),"FIP-DOM-ENG-51202-0000000-INA-000000")</f>
        <v>FIP-DOM-ENG-51202-0000000-INA-000000</v>
      </c>
      <c r="P98" s="6" t="str">
        <f>IFERROR(__xludf.DUMMYFUNCTION("""COMPUTED_VALUE"""),"PO Closed")</f>
        <v>PO Closed</v>
      </c>
      <c r="Q98" s="6" t="str">
        <f>IFERROR(__xludf.DUMMYFUNCTION("""COMPUTED_VALUE"""),"GL1804009")</f>
        <v>GL1804009</v>
      </c>
      <c r="R98" s="16">
        <f>IFERROR(__xludf.DUMMYFUNCTION("""COMPUTED_VALUE"""),43186.0)</f>
        <v>43186</v>
      </c>
      <c r="S98" s="6" t="str">
        <f>IFERROR(__xludf.DUMMYFUNCTION("""COMPUTED_VALUE"""),"-")</f>
        <v>-</v>
      </c>
      <c r="T98" s="13">
        <f>IFERROR(__xludf.DUMMYFUNCTION("""COMPUTED_VALUE"""),43203.0)</f>
        <v>43203</v>
      </c>
    </row>
    <row r="99">
      <c r="A99" s="6" t="str">
        <f>IFERROR(__xludf.DUMMYFUNCTION("""COMPUTED_VALUE"""),"181750105-2")</f>
        <v>181750105-2</v>
      </c>
      <c r="B99" s="6" t="str">
        <f>IFERROR(__xludf.DUMMYFUNCTION("""COMPUTED_VALUE"""),"181750105 - Approved")</f>
        <v>181750105 - Approved</v>
      </c>
      <c r="C99" s="6">
        <f>IFERROR(__xludf.DUMMYFUNCTION("""COMPUTED_VALUE"""),2.0)</f>
        <v>2</v>
      </c>
      <c r="D99" s="6" t="str">
        <f>IFERROR(__xludf.DUMMYFUNCTION("""COMPUTED_VALUE"""),"S-12006-00")</f>
        <v>S-12006-00</v>
      </c>
      <c r="E99" s="6" t="str">
        <f>IFERROR(__xludf.DUMMYFUNCTION("""COMPUTED_VALUE"""),"Majun")</f>
        <v>Majun</v>
      </c>
      <c r="F99" s="6">
        <f>IFERROR(__xludf.DUMMYFUNCTION("""COMPUTED_VALUE"""),10.0)</f>
        <v>10</v>
      </c>
      <c r="G99" s="6" t="str">
        <f>IFERROR(__xludf.DUMMYFUNCTION("""COMPUTED_VALUE"""),"Kilogram")</f>
        <v>Kilogram</v>
      </c>
      <c r="H99" s="6" t="str">
        <f>IFERROR(__xludf.DUMMYFUNCTION("""COMPUTED_VALUE"""),"IDR")</f>
        <v>IDR</v>
      </c>
      <c r="I99" s="11">
        <f>IFERROR(__xludf.DUMMYFUNCTION("""COMPUTED_VALUE"""),33000.0)</f>
        <v>33000</v>
      </c>
      <c r="J99" s="11">
        <f>IFERROR(__xludf.DUMMYFUNCTION("""COMPUTED_VALUE"""),330000.0)</f>
        <v>330000</v>
      </c>
      <c r="K99" s="17">
        <f>IFERROR(__xludf.DUMMYFUNCTION("""COMPUTED_VALUE"""),43199.0)</f>
        <v>43199</v>
      </c>
      <c r="L99" s="6" t="str">
        <f>IFERROR(__xludf.DUMMYFUNCTION("""COMPUTED_VALUE"""),"FIP General")</f>
        <v>FIP General</v>
      </c>
      <c r="M99" s="6" t="str">
        <f>IFERROR(__xludf.DUMMYFUNCTION("""COMPUTED_VALUE"""),"Joko Nugroho")</f>
        <v>Joko Nugroho</v>
      </c>
      <c r="N99" s="6" t="str">
        <f>IFERROR(__xludf.DUMMYFUNCTION("""COMPUTED_VALUE"""),"FIP Engineering")</f>
        <v>FIP Engineering</v>
      </c>
      <c r="O99" s="6" t="str">
        <f>IFERROR(__xludf.DUMMYFUNCTION("""COMPUTED_VALUE"""),"FIP-DOM-ENG-51302-0000000-INA-000000")</f>
        <v>FIP-DOM-ENG-51302-0000000-INA-000000</v>
      </c>
      <c r="P99" s="6" t="str">
        <f>IFERROR(__xludf.DUMMYFUNCTION("""COMPUTED_VALUE"""),"PO Closed")</f>
        <v>PO Closed</v>
      </c>
      <c r="Q99" s="6" t="str">
        <f>IFERROR(__xludf.DUMMYFUNCTION("""COMPUTED_VALUE"""),"GL1804008")</f>
        <v>GL1804008</v>
      </c>
      <c r="R99" s="16">
        <f>IFERROR(__xludf.DUMMYFUNCTION("""COMPUTED_VALUE"""),43186.0)</f>
        <v>43186</v>
      </c>
      <c r="S99" s="6" t="str">
        <f>IFERROR(__xludf.DUMMYFUNCTION("""COMPUTED_VALUE"""),"-")</f>
        <v>-</v>
      </c>
      <c r="T99" s="13">
        <f>IFERROR(__xludf.DUMMYFUNCTION("""COMPUTED_VALUE"""),43210.0)</f>
        <v>43210</v>
      </c>
    </row>
    <row r="100">
      <c r="A100" s="6" t="str">
        <f>IFERROR(__xludf.DUMMYFUNCTION("""COMPUTED_VALUE"""),"181750093-3")</f>
        <v>181750093-3</v>
      </c>
      <c r="B100" s="6" t="str">
        <f>IFERROR(__xludf.DUMMYFUNCTION("""COMPUTED_VALUE"""),"181750093 - Approved")</f>
        <v>181750093 - Approved</v>
      </c>
      <c r="C100" s="6">
        <f>IFERROR(__xludf.DUMMYFUNCTION("""COMPUTED_VALUE"""),3.0)</f>
        <v>3</v>
      </c>
      <c r="D100" s="6" t="str">
        <f>IFERROR(__xludf.DUMMYFUNCTION("""COMPUTED_VALUE"""),"P-14877-00")</f>
        <v>P-14877-00</v>
      </c>
      <c r="E100" s="6" t="str">
        <f>IFERROR(__xludf.DUMMYFUNCTION("""COMPUTED_VALUE"""),"Kabel NYYHY 3x2,5mm; ; ;")</f>
        <v>Kabel NYYHY 3x2,5mm; ; ;</v>
      </c>
      <c r="F100" s="6">
        <f>IFERROR(__xludf.DUMMYFUNCTION("""COMPUTED_VALUE"""),100.0)</f>
        <v>100</v>
      </c>
      <c r="G100" s="6" t="str">
        <f>IFERROR(__xludf.DUMMYFUNCTION("""COMPUTED_VALUE"""),"Meter")</f>
        <v>Meter</v>
      </c>
      <c r="H100" s="6" t="str">
        <f>IFERROR(__xludf.DUMMYFUNCTION("""COMPUTED_VALUE"""),"IDR")</f>
        <v>IDR</v>
      </c>
      <c r="I100" s="11">
        <f>IFERROR(__xludf.DUMMYFUNCTION("""COMPUTED_VALUE"""),15500.0)</f>
        <v>15500</v>
      </c>
      <c r="J100" s="11">
        <f>IFERROR(__xludf.DUMMYFUNCTION("""COMPUTED_VALUE"""),1550000.0)</f>
        <v>1550000</v>
      </c>
      <c r="K100" s="13">
        <f>IFERROR(__xludf.DUMMYFUNCTION("""COMPUTED_VALUE"""),43224.0)</f>
        <v>43224</v>
      </c>
      <c r="L100" s="6" t="str">
        <f>IFERROR(__xludf.DUMMYFUNCTION("""COMPUTED_VALUE"""),"FIP General")</f>
        <v>FIP General</v>
      </c>
      <c r="M100" s="6" t="str">
        <f>IFERROR(__xludf.DUMMYFUNCTION("""COMPUTED_VALUE"""),"Joko Nugroho")</f>
        <v>Joko Nugroho</v>
      </c>
      <c r="N100" s="6" t="str">
        <f>IFERROR(__xludf.DUMMYFUNCTION("""COMPUTED_VALUE"""),"FIP Engineering")</f>
        <v>FIP Engineering</v>
      </c>
      <c r="O100" s="6" t="str">
        <f>IFERROR(__xludf.DUMMYFUNCTION("""COMPUTED_VALUE"""),"FIP-DOM-ENG-51504-0000000-INA-000000")</f>
        <v>FIP-DOM-ENG-51504-0000000-INA-000000</v>
      </c>
      <c r="P100" s="6" t="str">
        <f>IFERROR(__xludf.DUMMYFUNCTION("""COMPUTED_VALUE"""),"PO Closed")</f>
        <v>PO Closed</v>
      </c>
      <c r="Q100" s="6" t="str">
        <f>IFERROR(__xludf.DUMMYFUNCTION("""COMPUTED_VALUE"""),"GL1804047")</f>
        <v>GL1804047</v>
      </c>
      <c r="R100" s="16">
        <f>IFERROR(__xludf.DUMMYFUNCTION("""COMPUTED_VALUE"""),43192.0)</f>
        <v>43192</v>
      </c>
      <c r="S100" s="6" t="str">
        <f>IFERROR(__xludf.DUMMYFUNCTION("""COMPUTED_VALUE"""),"-")</f>
        <v>-</v>
      </c>
      <c r="T100" s="13">
        <f>IFERROR(__xludf.DUMMYFUNCTION("""COMPUTED_VALUE"""),43223.0)</f>
        <v>43223</v>
      </c>
    </row>
    <row r="101">
      <c r="A101" s="6" t="str">
        <f>IFERROR(__xludf.DUMMYFUNCTION("""COMPUTED_VALUE"""),"181750092-5")</f>
        <v>181750092-5</v>
      </c>
      <c r="B101" s="6" t="str">
        <f>IFERROR(__xludf.DUMMYFUNCTION("""COMPUTED_VALUE"""),"181750092 - Approved")</f>
        <v>181750092 - Approved</v>
      </c>
      <c r="C101" s="6">
        <f>IFERROR(__xludf.DUMMYFUNCTION("""COMPUTED_VALUE"""),5.0)</f>
        <v>5</v>
      </c>
      <c r="D101" s="6" t="str">
        <f>IFERROR(__xludf.DUMMYFUNCTION("""COMPUTED_VALUE"""),"O-16006-00")</f>
        <v>O-16006-00</v>
      </c>
      <c r="E101" s="6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F101" s="6">
        <f>IFERROR(__xludf.DUMMYFUNCTION("""COMPUTED_VALUE"""),2.0)</f>
        <v>2</v>
      </c>
      <c r="G101" s="6" t="str">
        <f>IFERROR(__xludf.DUMMYFUNCTION("""COMPUTED_VALUE"""),"Unit")</f>
        <v>Unit</v>
      </c>
      <c r="H101" s="6" t="str">
        <f>IFERROR(__xludf.DUMMYFUNCTION("""COMPUTED_VALUE"""),"IDR")</f>
        <v>IDR</v>
      </c>
      <c r="I101" s="11">
        <f>IFERROR(__xludf.DUMMYFUNCTION("""COMPUTED_VALUE"""),450000.0)</f>
        <v>450000</v>
      </c>
      <c r="J101" s="11">
        <f>IFERROR(__xludf.DUMMYFUNCTION("""COMPUTED_VALUE"""),900000.0)</f>
        <v>900000</v>
      </c>
      <c r="K101" s="13">
        <f>IFERROR(__xludf.DUMMYFUNCTION("""COMPUTED_VALUE"""),43217.0)</f>
        <v>43217</v>
      </c>
      <c r="L101" s="6" t="str">
        <f>IFERROR(__xludf.DUMMYFUNCTION("""COMPUTED_VALUE"""),"FIP Engineering")</f>
        <v>FIP Engineering</v>
      </c>
      <c r="M101" s="6" t="str">
        <f>IFERROR(__xludf.DUMMYFUNCTION("""COMPUTED_VALUE"""),"Joko Nugroho")</f>
        <v>Joko Nugroho</v>
      </c>
      <c r="N101" s="6" t="str">
        <f>IFERROR(__xludf.DUMMYFUNCTION("""COMPUTED_VALUE"""),"FIP Engineering")</f>
        <v>FIP Engineering</v>
      </c>
      <c r="O101" s="6" t="str">
        <f>IFERROR(__xludf.DUMMYFUNCTION("""COMPUTED_VALUE"""),"FIP-DOM-000-11304-OS00001-INA-000000")</f>
        <v>FIP-DOM-000-11304-OS00001-INA-000000</v>
      </c>
      <c r="P101" s="6" t="str">
        <f>IFERROR(__xludf.DUMMYFUNCTION("""COMPUTED_VALUE"""),"PO Closed")</f>
        <v>PO Closed</v>
      </c>
      <c r="Q101" s="6" t="str">
        <f>IFERROR(__xludf.DUMMYFUNCTION("""COMPUTED_VALUE"""),"GL1804047")</f>
        <v>GL1804047</v>
      </c>
      <c r="R101" s="16">
        <f>IFERROR(__xludf.DUMMYFUNCTION("""COMPUTED_VALUE"""),43192.0)</f>
        <v>43192</v>
      </c>
      <c r="S101" s="6" t="str">
        <f>IFERROR(__xludf.DUMMYFUNCTION("""COMPUTED_VALUE"""),"-")</f>
        <v>-</v>
      </c>
      <c r="T101" s="13">
        <f>IFERROR(__xludf.DUMMYFUNCTION("""COMPUTED_VALUE"""),43223.0)</f>
        <v>43223</v>
      </c>
    </row>
    <row r="102">
      <c r="A102" s="6" t="str">
        <f>IFERROR(__xludf.DUMMYFUNCTION("""COMPUTED_VALUE"""),"181750092-5")</f>
        <v>181750092-5</v>
      </c>
      <c r="B102" s="6" t="str">
        <f>IFERROR(__xludf.DUMMYFUNCTION("""COMPUTED_VALUE"""),"181750092 - Approved")</f>
        <v>181750092 - Approved</v>
      </c>
      <c r="C102" s="6">
        <f>IFERROR(__xludf.DUMMYFUNCTION("""COMPUTED_VALUE"""),5.0)</f>
        <v>5</v>
      </c>
      <c r="D102" s="6" t="str">
        <f>IFERROR(__xludf.DUMMYFUNCTION("""COMPUTED_VALUE"""),"Q-10460-00")</f>
        <v>Q-10460-00</v>
      </c>
      <c r="E102" s="6" t="str">
        <f>IFERROR(__xludf.DUMMYFUNCTION("""COMPUTED_VALUE"""),"Magnetic door stopper; Dekson; Part No. MDS 889 SN;")</f>
        <v>Magnetic door stopper; Dekson; Part No. MDS 889 SN;</v>
      </c>
      <c r="F102" s="6">
        <f>IFERROR(__xludf.DUMMYFUNCTION("""COMPUTED_VALUE"""),15.0)</f>
        <v>15</v>
      </c>
      <c r="G102" s="6" t="str">
        <f>IFERROR(__xludf.DUMMYFUNCTION("""COMPUTED_VALUE"""),"Pieces")</f>
        <v>Pieces</v>
      </c>
      <c r="H102" s="6" t="str">
        <f>IFERROR(__xludf.DUMMYFUNCTION("""COMPUTED_VALUE"""),"IDR")</f>
        <v>IDR</v>
      </c>
      <c r="I102" s="11">
        <f>IFERROR(__xludf.DUMMYFUNCTION("""COMPUTED_VALUE"""),54000.0)</f>
        <v>54000</v>
      </c>
      <c r="J102" s="11">
        <f>IFERROR(__xludf.DUMMYFUNCTION("""COMPUTED_VALUE"""),810000.0)</f>
        <v>810000</v>
      </c>
      <c r="K102" s="13">
        <f>IFERROR(__xludf.DUMMYFUNCTION("""COMPUTED_VALUE"""),43217.0)</f>
        <v>43217</v>
      </c>
      <c r="L102" s="6" t="str">
        <f>IFERROR(__xludf.DUMMYFUNCTION("""COMPUTED_VALUE"""),"FIP General")</f>
        <v>FIP General</v>
      </c>
      <c r="M102" s="6" t="str">
        <f>IFERROR(__xludf.DUMMYFUNCTION("""COMPUTED_VALUE"""),"Joko Nugroho")</f>
        <v>Joko Nugroho</v>
      </c>
      <c r="N102" s="6" t="str">
        <f>IFERROR(__xludf.DUMMYFUNCTION("""COMPUTED_VALUE"""),"FIP Engineering")</f>
        <v>FIP Engineering</v>
      </c>
      <c r="O102" s="6" t="str">
        <f>IFERROR(__xludf.DUMMYFUNCTION("""COMPUTED_VALUE"""),"FIP-DOM-ENG-51502-0000000-INA-000000")</f>
        <v>FIP-DOM-ENG-51502-0000000-INA-000000</v>
      </c>
      <c r="P102" s="6" t="str">
        <f>IFERROR(__xludf.DUMMYFUNCTION("""COMPUTED_VALUE"""),"PO Closed")</f>
        <v>PO Closed</v>
      </c>
      <c r="Q102" s="6" t="str">
        <f>IFERROR(__xludf.DUMMYFUNCTION("""COMPUTED_VALUE"""),"GL1804047")</f>
        <v>GL1804047</v>
      </c>
      <c r="R102" s="16">
        <f>IFERROR(__xludf.DUMMYFUNCTION("""COMPUTED_VALUE"""),43192.0)</f>
        <v>43192</v>
      </c>
      <c r="S102" s="6" t="str">
        <f>IFERROR(__xludf.DUMMYFUNCTION("""COMPUTED_VALUE"""),"-")</f>
        <v>-</v>
      </c>
      <c r="T102" s="17">
        <f>IFERROR(__xludf.DUMMYFUNCTION("""COMPUTED_VALUE"""),43223.0)</f>
        <v>43223</v>
      </c>
    </row>
    <row r="103">
      <c r="A103" s="6" t="str">
        <f>IFERROR(__xludf.DUMMYFUNCTION("""COMPUTED_VALUE"""),"181750122-1")</f>
        <v>181750122-1</v>
      </c>
      <c r="B103" s="6" t="str">
        <f>IFERROR(__xludf.DUMMYFUNCTION("""COMPUTED_VALUE"""),"181750122 - Approved")</f>
        <v>181750122 - Approved</v>
      </c>
      <c r="C103" s="6">
        <f>IFERROR(__xludf.DUMMYFUNCTION("""COMPUTED_VALUE"""),1.0)</f>
        <v>1</v>
      </c>
      <c r="D103" s="6" t="str">
        <f>IFERROR(__xludf.DUMMYFUNCTION("""COMPUTED_VALUE"""),"R-62025-00")</f>
        <v>R-62025-00</v>
      </c>
      <c r="E103" s="6" t="str">
        <f>IFERROR(__xludf.DUMMYFUNCTION("""COMPUTED_VALUE"""),"UPS Eaton 5e650Va/ 360Watt")</f>
        <v>UPS Eaton 5e650Va/ 360Watt</v>
      </c>
      <c r="F103" s="6">
        <f>IFERROR(__xludf.DUMMYFUNCTION("""COMPUTED_VALUE"""),1.0)</f>
        <v>1</v>
      </c>
      <c r="G103" s="6" t="str">
        <f>IFERROR(__xludf.DUMMYFUNCTION("""COMPUTED_VALUE"""),"Unit")</f>
        <v>Unit</v>
      </c>
      <c r="H103" s="6" t="str">
        <f>IFERROR(__xludf.DUMMYFUNCTION("""COMPUTED_VALUE"""),"IDR")</f>
        <v>IDR</v>
      </c>
      <c r="I103" s="11">
        <f>IFERROR(__xludf.DUMMYFUNCTION("""COMPUTED_VALUE"""),890000.0)</f>
        <v>890000</v>
      </c>
      <c r="J103" s="11">
        <f>IFERROR(__xludf.DUMMYFUNCTION("""COMPUTED_VALUE"""),890000.0)</f>
        <v>890000</v>
      </c>
      <c r="K103" s="13">
        <f>IFERROR(__xludf.DUMMYFUNCTION("""COMPUTED_VALUE"""),43224.0)</f>
        <v>43224</v>
      </c>
      <c r="L103" s="6" t="str">
        <f>IFERROR(__xludf.DUMMYFUNCTION("""COMPUTED_VALUE"""),"FIP General")</f>
        <v>FIP General</v>
      </c>
      <c r="M103" s="6" t="str">
        <f>IFERROR(__xludf.DUMMYFUNCTION("""COMPUTED_VALUE"""),"Joko Nugroho")</f>
        <v>Joko Nugroho</v>
      </c>
      <c r="N103" s="6" t="str">
        <f>IFERROR(__xludf.DUMMYFUNCTION("""COMPUTED_VALUE"""),"FIP Engineering")</f>
        <v>FIP Engineering</v>
      </c>
      <c r="O103" s="6" t="str">
        <f>IFERROR(__xludf.DUMMYFUNCTION("""COMPUTED_VALUE"""),"FIP-DOM-ENG-13408-ITNB185-INA-000000")</f>
        <v>FIP-DOM-ENG-13408-ITNB185-INA-000000</v>
      </c>
      <c r="P103" s="6" t="str">
        <f>IFERROR(__xludf.DUMMYFUNCTION("""COMPUTED_VALUE"""),"PO Closed")</f>
        <v>PO Closed</v>
      </c>
      <c r="Q103" s="6" t="str">
        <f>IFERROR(__xludf.DUMMYFUNCTION("""COMPUTED_VALUE"""),"GL1804057")</f>
        <v>GL1804057</v>
      </c>
      <c r="R103" s="16">
        <f>IFERROR(__xludf.DUMMYFUNCTION("""COMPUTED_VALUE"""),43194.0)</f>
        <v>43194</v>
      </c>
      <c r="S103" s="6" t="str">
        <f>IFERROR(__xludf.DUMMYFUNCTION("""COMPUTED_VALUE"""),"-")</f>
        <v>-</v>
      </c>
      <c r="T103" s="13">
        <f>IFERROR(__xludf.DUMMYFUNCTION("""COMPUTED_VALUE"""),43238.0)</f>
        <v>43238</v>
      </c>
    </row>
    <row r="104">
      <c r="A104" s="6" t="str">
        <f>IFERROR(__xludf.DUMMYFUNCTION("""COMPUTED_VALUE"""),"181750122-2")</f>
        <v>181750122-2</v>
      </c>
      <c r="B104" s="6" t="str">
        <f>IFERROR(__xludf.DUMMYFUNCTION("""COMPUTED_VALUE"""),"181750122 - Approved")</f>
        <v>181750122 - Approved</v>
      </c>
      <c r="C104" s="6">
        <f>IFERROR(__xludf.DUMMYFUNCTION("""COMPUTED_VALUE"""),2.0)</f>
        <v>2</v>
      </c>
      <c r="D104" s="6" t="str">
        <f>IFERROR(__xludf.DUMMYFUNCTION("""COMPUTED_VALUE"""),"R-62025-00")</f>
        <v>R-62025-00</v>
      </c>
      <c r="E104" s="6" t="str">
        <f>IFERROR(__xludf.DUMMYFUNCTION("""COMPUTED_VALUE"""),"UPS Eaton 5E1100iUSB, 1100VA/660W")</f>
        <v>UPS Eaton 5E1100iUSB, 1100VA/660W</v>
      </c>
      <c r="F104" s="6">
        <f>IFERROR(__xludf.DUMMYFUNCTION("""COMPUTED_VALUE"""),1.0)</f>
        <v>1</v>
      </c>
      <c r="G104" s="6" t="str">
        <f>IFERROR(__xludf.DUMMYFUNCTION("""COMPUTED_VALUE"""),"Unit")</f>
        <v>Unit</v>
      </c>
      <c r="H104" s="6" t="str">
        <f>IFERROR(__xludf.DUMMYFUNCTION("""COMPUTED_VALUE"""),"IDR")</f>
        <v>IDR</v>
      </c>
      <c r="I104" s="11">
        <f>IFERROR(__xludf.DUMMYFUNCTION("""COMPUTED_VALUE"""),1900000.0)</f>
        <v>1900000</v>
      </c>
      <c r="J104" s="11">
        <f>IFERROR(__xludf.DUMMYFUNCTION("""COMPUTED_VALUE"""),1900000.0)</f>
        <v>1900000</v>
      </c>
      <c r="K104" s="17">
        <f>IFERROR(__xludf.DUMMYFUNCTION("""COMPUTED_VALUE"""),43224.0)</f>
        <v>43224</v>
      </c>
      <c r="L104" s="6" t="str">
        <f>IFERROR(__xludf.DUMMYFUNCTION("""COMPUTED_VALUE"""),"FIP General")</f>
        <v>FIP General</v>
      </c>
      <c r="M104" s="6" t="str">
        <f>IFERROR(__xludf.DUMMYFUNCTION("""COMPUTED_VALUE"""),"Joko Nugroho")</f>
        <v>Joko Nugroho</v>
      </c>
      <c r="N104" s="6" t="str">
        <f>IFERROR(__xludf.DUMMYFUNCTION("""COMPUTED_VALUE"""),"FIP Engineering")</f>
        <v>FIP Engineering</v>
      </c>
      <c r="O104" s="6" t="str">
        <f>IFERROR(__xludf.DUMMYFUNCTION("""COMPUTED_VALUE"""),"FIP-DOM-ENG-13408-ITNB187-INA-000000")</f>
        <v>FIP-DOM-ENG-13408-ITNB187-INA-000000</v>
      </c>
      <c r="P104" s="6" t="str">
        <f>IFERROR(__xludf.DUMMYFUNCTION("""COMPUTED_VALUE"""),"PO Closed")</f>
        <v>PO Closed</v>
      </c>
      <c r="Q104" s="6" t="str">
        <f>IFERROR(__xludf.DUMMYFUNCTION("""COMPUTED_VALUE"""),"GL1804057")</f>
        <v>GL1804057</v>
      </c>
      <c r="R104" s="16">
        <f>IFERROR(__xludf.DUMMYFUNCTION("""COMPUTED_VALUE"""),43194.0)</f>
        <v>43194</v>
      </c>
      <c r="S104" s="6" t="str">
        <f>IFERROR(__xludf.DUMMYFUNCTION("""COMPUTED_VALUE"""),"-")</f>
        <v>-</v>
      </c>
      <c r="T104" s="13">
        <f>IFERROR(__xludf.DUMMYFUNCTION("""COMPUTED_VALUE"""),43238.0)</f>
        <v>43238</v>
      </c>
    </row>
    <row r="105">
      <c r="A105" s="6" t="str">
        <f>IFERROR(__xludf.DUMMYFUNCTION("""COMPUTED_VALUE"""),"181750120-2")</f>
        <v>181750120-2</v>
      </c>
      <c r="B105" s="6" t="str">
        <f>IFERROR(__xludf.DUMMYFUNCTION("""COMPUTED_VALUE"""),"181750120 - Approved")</f>
        <v>181750120 - Approved</v>
      </c>
      <c r="C105" s="6">
        <f>IFERROR(__xludf.DUMMYFUNCTION("""COMPUTED_VALUE"""),2.0)</f>
        <v>2</v>
      </c>
      <c r="D105" s="6" t="str">
        <f>IFERROR(__xludf.DUMMYFUNCTION("""COMPUTED_VALUE"""),"P-15433-00")</f>
        <v>P-15433-00</v>
      </c>
      <c r="E105" s="6" t="str">
        <f>IFERROR(__xludf.DUMMYFUNCTION("""COMPUTED_VALUE"""),"Fitting KQ2E06-00A; ; ;")</f>
        <v>Fitting KQ2E06-00A; ; ;</v>
      </c>
      <c r="F105" s="6">
        <f>IFERROR(__xludf.DUMMYFUNCTION("""COMPUTED_VALUE"""),4.0)</f>
        <v>4</v>
      </c>
      <c r="G105" s="6" t="str">
        <f>IFERROR(__xludf.DUMMYFUNCTION("""COMPUTED_VALUE"""),"Pieces")</f>
        <v>Pieces</v>
      </c>
      <c r="H105" s="6" t="str">
        <f>IFERROR(__xludf.DUMMYFUNCTION("""COMPUTED_VALUE"""),"IDR")</f>
        <v>IDR</v>
      </c>
      <c r="I105" s="11">
        <f>IFERROR(__xludf.DUMMYFUNCTION("""COMPUTED_VALUE"""),48000.0)</f>
        <v>48000</v>
      </c>
      <c r="J105" s="11">
        <f>IFERROR(__xludf.DUMMYFUNCTION("""COMPUTED_VALUE"""),192000.0)</f>
        <v>192000</v>
      </c>
      <c r="K105" s="17">
        <f>IFERROR(__xludf.DUMMYFUNCTION("""COMPUTED_VALUE"""),43217.0)</f>
        <v>43217</v>
      </c>
      <c r="L105" s="6" t="str">
        <f>IFERROR(__xludf.DUMMYFUNCTION("""COMPUTED_VALUE"""),"FIP Engineering")</f>
        <v>FIP Engineering</v>
      </c>
      <c r="M105" s="6" t="str">
        <f>IFERROR(__xludf.DUMMYFUNCTION("""COMPUTED_VALUE"""),"Joko Nugroho")</f>
        <v>Joko Nugroho</v>
      </c>
      <c r="N105" s="6" t="str">
        <f>IFERROR(__xludf.DUMMYFUNCTION("""COMPUTED_VALUE"""),"FIP Engineering")</f>
        <v>FIP Engineering</v>
      </c>
      <c r="O105" s="6" t="str">
        <f>IFERROR(__xludf.DUMMYFUNCTION("""COMPUTED_VALUE"""),"FIP-DOM-000-11304-OS00001-INA-000000")</f>
        <v>FIP-DOM-000-11304-OS00001-INA-000000</v>
      </c>
      <c r="P105" s="6" t="str">
        <f>IFERROR(__xludf.DUMMYFUNCTION("""COMPUTED_VALUE"""),"PO Closed")</f>
        <v>PO Closed</v>
      </c>
      <c r="Q105" s="6" t="str">
        <f>IFERROR(__xludf.DUMMYFUNCTION("""COMPUTED_VALUE"""),"GL1804052")</f>
        <v>GL1804052</v>
      </c>
      <c r="R105" s="16">
        <f>IFERROR(__xludf.DUMMYFUNCTION("""COMPUTED_VALUE"""),43194.0)</f>
        <v>43194</v>
      </c>
      <c r="S105" s="6" t="str">
        <f>IFERROR(__xludf.DUMMYFUNCTION("""COMPUTED_VALUE"""),"-")</f>
        <v>-</v>
      </c>
      <c r="T105" s="13">
        <f>IFERROR(__xludf.DUMMYFUNCTION("""COMPUTED_VALUE"""),43224.0)</f>
        <v>43224</v>
      </c>
    </row>
    <row r="106">
      <c r="A106" s="6" t="str">
        <f>IFERROR(__xludf.DUMMYFUNCTION("""COMPUTED_VALUE"""),"181750125-2")</f>
        <v>181750125-2</v>
      </c>
      <c r="B106" s="6" t="str">
        <f>IFERROR(__xludf.DUMMYFUNCTION("""COMPUTED_VALUE"""),"181750125 - Approved")</f>
        <v>181750125 - Approved</v>
      </c>
      <c r="C106" s="6">
        <f>IFERROR(__xludf.DUMMYFUNCTION("""COMPUTED_VALUE"""),2.0)</f>
        <v>2</v>
      </c>
      <c r="D106" s="6" t="str">
        <f>IFERROR(__xludf.DUMMYFUNCTION("""COMPUTED_VALUE"""),"P-13370-00")</f>
        <v>P-13370-00</v>
      </c>
      <c r="E106" s="6" t="str">
        <f>IFERROR(__xludf.DUMMYFUNCTION("""COMPUTED_VALUE"""),"Pulser SCR Heater Contoller; Regin; ;")</f>
        <v>Pulser SCR Heater Contoller; Regin; ;</v>
      </c>
      <c r="F106" s="6">
        <f>IFERROR(__xludf.DUMMYFUNCTION("""COMPUTED_VALUE"""),2.0)</f>
        <v>2</v>
      </c>
      <c r="G106" s="6" t="str">
        <f>IFERROR(__xludf.DUMMYFUNCTION("""COMPUTED_VALUE"""),"Unit")</f>
        <v>Unit</v>
      </c>
      <c r="H106" s="6" t="str">
        <f>IFERROR(__xludf.DUMMYFUNCTION("""COMPUTED_VALUE"""),"IDR")</f>
        <v>IDR</v>
      </c>
      <c r="I106" s="11">
        <f>IFERROR(__xludf.DUMMYFUNCTION("""COMPUTED_VALUE"""),2887500.0)</f>
        <v>2887500</v>
      </c>
      <c r="J106" s="11">
        <f>IFERROR(__xludf.DUMMYFUNCTION("""COMPUTED_VALUE"""),5775000.0)</f>
        <v>5775000</v>
      </c>
      <c r="K106" s="13">
        <f>IFERROR(__xludf.DUMMYFUNCTION("""COMPUTED_VALUE"""),43217.0)</f>
        <v>43217</v>
      </c>
      <c r="L106" s="6" t="str">
        <f>IFERROR(__xludf.DUMMYFUNCTION("""COMPUTED_VALUE"""),"FIP Engineering")</f>
        <v>FIP Engineering</v>
      </c>
      <c r="M106" s="6" t="str">
        <f>IFERROR(__xludf.DUMMYFUNCTION("""COMPUTED_VALUE"""),"Joko Nugroho")</f>
        <v>Joko Nugroho</v>
      </c>
      <c r="N106" s="6" t="str">
        <f>IFERROR(__xludf.DUMMYFUNCTION("""COMPUTED_VALUE"""),"FIP Engineering")</f>
        <v>FIP Engineering</v>
      </c>
      <c r="O106" s="6" t="str">
        <f>IFERROR(__xludf.DUMMYFUNCTION("""COMPUTED_VALUE"""),"FIP-DOM-000-11304-OS00001-INA-000000")</f>
        <v>FIP-DOM-000-11304-OS00001-INA-000000</v>
      </c>
      <c r="P106" s="6" t="str">
        <f>IFERROR(__xludf.DUMMYFUNCTION("""COMPUTED_VALUE"""),"PO Closed")</f>
        <v>PO Closed</v>
      </c>
      <c r="Q106" s="6" t="str">
        <f>IFERROR(__xludf.DUMMYFUNCTION("""COMPUTED_VALUE"""),"GL1804030")</f>
        <v>GL1804030</v>
      </c>
      <c r="R106" s="16">
        <f>IFERROR(__xludf.DUMMYFUNCTION("""COMPUTED_VALUE"""),43195.0)</f>
        <v>43195</v>
      </c>
      <c r="S106" s="6" t="str">
        <f>IFERROR(__xludf.DUMMYFUNCTION("""COMPUTED_VALUE"""),"-")</f>
        <v>-</v>
      </c>
      <c r="T106" s="13">
        <f>IFERROR(__xludf.DUMMYFUNCTION("""COMPUTED_VALUE"""),43259.0)</f>
        <v>43259</v>
      </c>
    </row>
    <row r="107">
      <c r="A107" s="6" t="str">
        <f>IFERROR(__xludf.DUMMYFUNCTION("""COMPUTED_VALUE"""),"181750124-1")</f>
        <v>181750124-1</v>
      </c>
      <c r="B107" s="6" t="str">
        <f>IFERROR(__xludf.DUMMYFUNCTION("""COMPUTED_VALUE"""),"181750124 - Approved")</f>
        <v>181750124 - Approved</v>
      </c>
      <c r="C107" s="6">
        <f>IFERROR(__xludf.DUMMYFUNCTION("""COMPUTED_VALUE"""),1.0)</f>
        <v>1</v>
      </c>
      <c r="D107" s="6" t="str">
        <f>IFERROR(__xludf.DUMMYFUNCTION("""COMPUTED_VALUE"""),"S-60002-00")</f>
        <v>S-60002-00</v>
      </c>
      <c r="E107" s="6" t="str">
        <f>IFERROR(__xludf.DUMMYFUNCTION("""COMPUTED_VALUE"""),"Material Penggantian Heating Coil AHU D1 3")</f>
        <v>Material Penggantian Heating Coil AHU D1 3</v>
      </c>
      <c r="F107" s="6">
        <f>IFERROR(__xludf.DUMMYFUNCTION("""COMPUTED_VALUE"""),1.0)</f>
        <v>1</v>
      </c>
      <c r="G107" s="6" t="str">
        <f>IFERROR(__xludf.DUMMYFUNCTION("""COMPUTED_VALUE"""),"Lot")</f>
        <v>Lot</v>
      </c>
      <c r="H107" s="6" t="str">
        <f>IFERROR(__xludf.DUMMYFUNCTION("""COMPUTED_VALUE"""),"IDR")</f>
        <v>IDR</v>
      </c>
      <c r="I107" s="11">
        <f>IFERROR(__xludf.DUMMYFUNCTION("""COMPUTED_VALUE"""),3.2E7)</f>
        <v>32000000</v>
      </c>
      <c r="J107" s="11">
        <f>IFERROR(__xludf.DUMMYFUNCTION("""COMPUTED_VALUE"""),3.2E7)</f>
        <v>32000000</v>
      </c>
      <c r="K107" s="17">
        <f>IFERROR(__xludf.DUMMYFUNCTION("""COMPUTED_VALUE"""),43234.0)</f>
        <v>43234</v>
      </c>
      <c r="L107" s="6" t="str">
        <f>IFERROR(__xludf.DUMMYFUNCTION("""COMPUTED_VALUE"""),"FIP General")</f>
        <v>FIP General</v>
      </c>
      <c r="M107" s="6" t="str">
        <f>IFERROR(__xludf.DUMMYFUNCTION("""COMPUTED_VALUE"""),"Joko Nugroho")</f>
        <v>Joko Nugroho</v>
      </c>
      <c r="N107" s="6" t="str">
        <f>IFERROR(__xludf.DUMMYFUNCTION("""COMPUTED_VALUE"""),"FIP Engineering")</f>
        <v>FIP Engineering</v>
      </c>
      <c r="O107" s="6" t="str">
        <f>IFERROR(__xludf.DUMMYFUNCTION("""COMPUTED_VALUE"""),"FIP-DOM-ENG-51508-0000000-INA-000000")</f>
        <v>FIP-DOM-ENG-51508-0000000-INA-000000</v>
      </c>
      <c r="P107" s="6" t="str">
        <f>IFERROR(__xludf.DUMMYFUNCTION("""COMPUTED_VALUE"""),"PO Closed")</f>
        <v>PO Closed</v>
      </c>
      <c r="Q107" s="6" t="str">
        <f>IFERROR(__xludf.DUMMYFUNCTION("""COMPUTED_VALUE"""),"GL1804031")</f>
        <v>GL1804031</v>
      </c>
      <c r="R107" s="16">
        <f>IFERROR(__xludf.DUMMYFUNCTION("""COMPUTED_VALUE"""),43195.0)</f>
        <v>43195</v>
      </c>
      <c r="S107" s="6" t="str">
        <f>IFERROR(__xludf.DUMMYFUNCTION("""COMPUTED_VALUE"""),"-")</f>
        <v>-</v>
      </c>
      <c r="T107" s="13">
        <f>IFERROR(__xludf.DUMMYFUNCTION("""COMPUTED_VALUE"""),43258.0)</f>
        <v>43258</v>
      </c>
    </row>
    <row r="108">
      <c r="A108" s="6" t="str">
        <f>IFERROR(__xludf.DUMMYFUNCTION("""COMPUTED_VALUE"""),"181750124-2")</f>
        <v>181750124-2</v>
      </c>
      <c r="B108" s="6" t="str">
        <f>IFERROR(__xludf.DUMMYFUNCTION("""COMPUTED_VALUE"""),"181750124 - Approved")</f>
        <v>181750124 - Approved</v>
      </c>
      <c r="C108" s="6">
        <f>IFERROR(__xludf.DUMMYFUNCTION("""COMPUTED_VALUE"""),2.0)</f>
        <v>2</v>
      </c>
      <c r="D108" s="6" t="str">
        <f>IFERROR(__xludf.DUMMYFUNCTION("""COMPUTED_VALUE"""),"S-60002-00")</f>
        <v>S-60002-00</v>
      </c>
      <c r="E108" s="6" t="str">
        <f>IFERROR(__xludf.DUMMYFUNCTION("""COMPUTED_VALUE"""),"Bongkar dan Pasang Penggantian Heating Coil AHU D1 3")</f>
        <v>Bongkar dan Pasang Penggantian Heating Coil AHU D1 3</v>
      </c>
      <c r="F108" s="6">
        <f>IFERROR(__xludf.DUMMYFUNCTION("""COMPUTED_VALUE"""),1.0)</f>
        <v>1</v>
      </c>
      <c r="G108" s="6" t="str">
        <f>IFERROR(__xludf.DUMMYFUNCTION("""COMPUTED_VALUE"""),"Lot")</f>
        <v>Lot</v>
      </c>
      <c r="H108" s="6" t="str">
        <f>IFERROR(__xludf.DUMMYFUNCTION("""COMPUTED_VALUE"""),"IDR")</f>
        <v>IDR</v>
      </c>
      <c r="I108" s="11">
        <f>IFERROR(__xludf.DUMMYFUNCTION("""COMPUTED_VALUE"""),3000000.0)</f>
        <v>3000000</v>
      </c>
      <c r="J108" s="11">
        <f>IFERROR(__xludf.DUMMYFUNCTION("""COMPUTED_VALUE"""),3000000.0)</f>
        <v>3000000</v>
      </c>
      <c r="K108" s="13">
        <f>IFERROR(__xludf.DUMMYFUNCTION("""COMPUTED_VALUE"""),43234.0)</f>
        <v>43234</v>
      </c>
      <c r="L108" s="6" t="str">
        <f>IFERROR(__xludf.DUMMYFUNCTION("""COMPUTED_VALUE"""),"FIP General")</f>
        <v>FIP General</v>
      </c>
      <c r="M108" s="6" t="str">
        <f>IFERROR(__xludf.DUMMYFUNCTION("""COMPUTED_VALUE"""),"Joko Nugroho")</f>
        <v>Joko Nugroho</v>
      </c>
      <c r="N108" s="6" t="str">
        <f>IFERROR(__xludf.DUMMYFUNCTION("""COMPUTED_VALUE"""),"FIP Engineering")</f>
        <v>FIP Engineering</v>
      </c>
      <c r="O108" s="6" t="str">
        <f>IFERROR(__xludf.DUMMYFUNCTION("""COMPUTED_VALUE"""),"FIP-DOM-ENG-51508-0000000-INA-000000")</f>
        <v>FIP-DOM-ENG-51508-0000000-INA-000000</v>
      </c>
      <c r="P108" s="6" t="str">
        <f>IFERROR(__xludf.DUMMYFUNCTION("""COMPUTED_VALUE"""),"PO Closed")</f>
        <v>PO Closed</v>
      </c>
      <c r="Q108" s="6" t="str">
        <f>IFERROR(__xludf.DUMMYFUNCTION("""COMPUTED_VALUE"""),"GL1804031")</f>
        <v>GL1804031</v>
      </c>
      <c r="R108" s="16">
        <f>IFERROR(__xludf.DUMMYFUNCTION("""COMPUTED_VALUE"""),43195.0)</f>
        <v>43195</v>
      </c>
      <c r="S108" s="6" t="str">
        <f>IFERROR(__xludf.DUMMYFUNCTION("""COMPUTED_VALUE"""),"-")</f>
        <v>-</v>
      </c>
      <c r="T108" s="17">
        <f>IFERROR(__xludf.DUMMYFUNCTION("""COMPUTED_VALUE"""),43258.0)</f>
        <v>43258</v>
      </c>
    </row>
    <row r="109">
      <c r="A109" s="6" t="str">
        <f>IFERROR(__xludf.DUMMYFUNCTION("""COMPUTED_VALUE"""),"181750126-3")</f>
        <v>181750126-3</v>
      </c>
      <c r="B109" s="6" t="str">
        <f>IFERROR(__xludf.DUMMYFUNCTION("""COMPUTED_VALUE"""),"181750126 - Approved")</f>
        <v>181750126 - Approved</v>
      </c>
      <c r="C109" s="6">
        <f>IFERROR(__xludf.DUMMYFUNCTION("""COMPUTED_VALUE"""),3.0)</f>
        <v>3</v>
      </c>
      <c r="D109" s="6" t="str">
        <f>IFERROR(__xludf.DUMMYFUNCTION("""COMPUTED_VALUE"""),"S-60002-00")</f>
        <v>S-60002-00</v>
      </c>
      <c r="E109" s="6" t="str">
        <f>IFERROR(__xludf.DUMMYFUNCTION("""COMPUTED_VALUE"""),"Perbaikan kebocoran freon freeze dryer; jasa kerja dan peralatan; test press")</f>
        <v>Perbaikan kebocoran freon freeze dryer; jasa kerja dan peralatan; test press</v>
      </c>
      <c r="F109" s="6">
        <f>IFERROR(__xludf.DUMMYFUNCTION("""COMPUTED_VALUE"""),1.0)</f>
        <v>1</v>
      </c>
      <c r="G109" s="6" t="str">
        <f>IFERROR(__xludf.DUMMYFUNCTION("""COMPUTED_VALUE"""),"Lot")</f>
        <v>Lot</v>
      </c>
      <c r="H109" s="6" t="str">
        <f>IFERROR(__xludf.DUMMYFUNCTION("""COMPUTED_VALUE"""),"IDR")</f>
        <v>IDR</v>
      </c>
      <c r="I109" s="11">
        <f>IFERROR(__xludf.DUMMYFUNCTION("""COMPUTED_VALUE"""),255000.0)</f>
        <v>255000</v>
      </c>
      <c r="J109" s="11">
        <f>IFERROR(__xludf.DUMMYFUNCTION("""COMPUTED_VALUE"""),255000.0)</f>
        <v>255000</v>
      </c>
      <c r="K109" s="17">
        <f>IFERROR(__xludf.DUMMYFUNCTION("""COMPUTED_VALUE"""),43210.0)</f>
        <v>43210</v>
      </c>
      <c r="L109" s="6" t="str">
        <f>IFERROR(__xludf.DUMMYFUNCTION("""COMPUTED_VALUE"""),"FIP General")</f>
        <v>FIP General</v>
      </c>
      <c r="M109" s="6" t="str">
        <f>IFERROR(__xludf.DUMMYFUNCTION("""COMPUTED_VALUE"""),"Joko Nugroho")</f>
        <v>Joko Nugroho</v>
      </c>
      <c r="N109" s="6" t="str">
        <f>IFERROR(__xludf.DUMMYFUNCTION("""COMPUTED_VALUE"""),"FIP Engineering")</f>
        <v>FIP Engineering</v>
      </c>
      <c r="O109" s="6" t="str">
        <f>IFERROR(__xludf.DUMMYFUNCTION("""COMPUTED_VALUE"""),"FIP-DOM-ENG-51508-0000000-INA-000000")</f>
        <v>FIP-DOM-ENG-51508-0000000-INA-000000</v>
      </c>
      <c r="P109" s="6" t="str">
        <f>IFERROR(__xludf.DUMMYFUNCTION("""COMPUTED_VALUE"""),"PO Closed")</f>
        <v>PO Closed</v>
      </c>
      <c r="Q109" s="6" t="str">
        <f>IFERROR(__xludf.DUMMYFUNCTION("""COMPUTED_VALUE"""),"GL1804028")</f>
        <v>GL1804028</v>
      </c>
      <c r="R109" s="16">
        <f>IFERROR(__xludf.DUMMYFUNCTION("""COMPUTED_VALUE"""),43196.0)</f>
        <v>43196</v>
      </c>
      <c r="S109" s="6" t="str">
        <f>IFERROR(__xludf.DUMMYFUNCTION("""COMPUTED_VALUE"""),"-")</f>
        <v>-</v>
      </c>
      <c r="T109" s="13">
        <f>IFERROR(__xludf.DUMMYFUNCTION("""COMPUTED_VALUE"""),43227.0)</f>
        <v>43227</v>
      </c>
    </row>
    <row r="110">
      <c r="A110" s="6" t="str">
        <f>IFERROR(__xludf.DUMMYFUNCTION("""COMPUTED_VALUE"""),"181750126-4")</f>
        <v>181750126-4</v>
      </c>
      <c r="B110" s="6" t="str">
        <f>IFERROR(__xludf.DUMMYFUNCTION("""COMPUTED_VALUE"""),"181750126 - Approved")</f>
        <v>181750126 - Approved</v>
      </c>
      <c r="C110" s="6">
        <f>IFERROR(__xludf.DUMMYFUNCTION("""COMPUTED_VALUE"""),4.0)</f>
        <v>4</v>
      </c>
      <c r="D110" s="6" t="str">
        <f>IFERROR(__xludf.DUMMYFUNCTION("""COMPUTED_VALUE"""),"S-60002-00")</f>
        <v>S-60002-00</v>
      </c>
      <c r="E110" s="6" t="str">
        <f>IFERROR(__xludf.DUMMYFUNCTION("""COMPUTED_VALUE"""),"Perbaikan kebocoran freon freeze dryer; jasa kerja dan peralatan; perbaikan kebocoran; vakum; test comisioning")</f>
        <v>Perbaikan kebocoran freon freeze dryer; jasa kerja dan peralatan; perbaikan kebocoran; vakum; test comisioning</v>
      </c>
      <c r="F110" s="6">
        <f>IFERROR(__xludf.DUMMYFUNCTION("""COMPUTED_VALUE"""),1.0)</f>
        <v>1</v>
      </c>
      <c r="G110" s="6" t="str">
        <f>IFERROR(__xludf.DUMMYFUNCTION("""COMPUTED_VALUE"""),"Lot")</f>
        <v>Lot</v>
      </c>
      <c r="H110" s="6" t="str">
        <f>IFERROR(__xludf.DUMMYFUNCTION("""COMPUTED_VALUE"""),"IDR")</f>
        <v>IDR</v>
      </c>
      <c r="I110" s="11">
        <f>IFERROR(__xludf.DUMMYFUNCTION("""COMPUTED_VALUE"""),8500000.0)</f>
        <v>8500000</v>
      </c>
      <c r="J110" s="11">
        <f>IFERROR(__xludf.DUMMYFUNCTION("""COMPUTED_VALUE"""),8500000.0)</f>
        <v>8500000</v>
      </c>
      <c r="K110" s="13">
        <f>IFERROR(__xludf.DUMMYFUNCTION("""COMPUTED_VALUE"""),43210.0)</f>
        <v>43210</v>
      </c>
      <c r="L110" s="6" t="str">
        <f>IFERROR(__xludf.DUMMYFUNCTION("""COMPUTED_VALUE"""),"FIP General")</f>
        <v>FIP General</v>
      </c>
      <c r="M110" s="6" t="str">
        <f>IFERROR(__xludf.DUMMYFUNCTION("""COMPUTED_VALUE"""),"Joko Nugroho")</f>
        <v>Joko Nugroho</v>
      </c>
      <c r="N110" s="6" t="str">
        <f>IFERROR(__xludf.DUMMYFUNCTION("""COMPUTED_VALUE"""),"FIP Engineering")</f>
        <v>FIP Engineering</v>
      </c>
      <c r="O110" s="6" t="str">
        <f>IFERROR(__xludf.DUMMYFUNCTION("""COMPUTED_VALUE"""),"FIP-DOM-ENG-51508-0000000-INA-000000")</f>
        <v>FIP-DOM-ENG-51508-0000000-INA-000000</v>
      </c>
      <c r="P110" s="6" t="str">
        <f>IFERROR(__xludf.DUMMYFUNCTION("""COMPUTED_VALUE"""),"PO Closed")</f>
        <v>PO Closed</v>
      </c>
      <c r="Q110" s="6" t="str">
        <f>IFERROR(__xludf.DUMMYFUNCTION("""COMPUTED_VALUE"""),"GL1804028")</f>
        <v>GL1804028</v>
      </c>
      <c r="R110" s="16">
        <f>IFERROR(__xludf.DUMMYFUNCTION("""COMPUTED_VALUE"""),43196.0)</f>
        <v>43196</v>
      </c>
      <c r="S110" s="6" t="str">
        <f>IFERROR(__xludf.DUMMYFUNCTION("""COMPUTED_VALUE"""),"-")</f>
        <v>-</v>
      </c>
      <c r="T110" s="13">
        <f>IFERROR(__xludf.DUMMYFUNCTION("""COMPUTED_VALUE"""),43227.0)</f>
        <v>43227</v>
      </c>
    </row>
    <row r="111">
      <c r="A111" s="6" t="str">
        <f>IFERROR(__xludf.DUMMYFUNCTION("""COMPUTED_VALUE"""),"181750127-1")</f>
        <v>181750127-1</v>
      </c>
      <c r="B111" s="6" t="str">
        <f>IFERROR(__xludf.DUMMYFUNCTION("""COMPUTED_VALUE"""),"181750127 - Approved")</f>
        <v>181750127 - Approved</v>
      </c>
      <c r="C111" s="6">
        <f>IFERROR(__xludf.DUMMYFUNCTION("""COMPUTED_VALUE"""),1.0)</f>
        <v>1</v>
      </c>
      <c r="D111" s="6" t="str">
        <f>IFERROR(__xludf.DUMMYFUNCTION("""COMPUTED_VALUE"""),"T-20123-00")</f>
        <v>T-20123-00</v>
      </c>
      <c r="E111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111" s="6">
        <f>IFERROR(__xludf.DUMMYFUNCTION("""COMPUTED_VALUE"""),2.0)</f>
        <v>2</v>
      </c>
      <c r="G111" s="6" t="str">
        <f>IFERROR(__xludf.DUMMYFUNCTION("""COMPUTED_VALUE"""),"Pieces")</f>
        <v>Pieces</v>
      </c>
      <c r="H111" s="6" t="str">
        <f>IFERROR(__xludf.DUMMYFUNCTION("""COMPUTED_VALUE"""),"IDR")</f>
        <v>IDR</v>
      </c>
      <c r="I111" s="11">
        <f>IFERROR(__xludf.DUMMYFUNCTION("""COMPUTED_VALUE"""),1.16824E7)</f>
        <v>11682400</v>
      </c>
      <c r="J111" s="11">
        <f>IFERROR(__xludf.DUMMYFUNCTION("""COMPUTED_VALUE"""),2.33648E7)</f>
        <v>23364800</v>
      </c>
      <c r="K111" s="17">
        <f>IFERROR(__xludf.DUMMYFUNCTION("""COMPUTED_VALUE"""),43217.0)</f>
        <v>43217</v>
      </c>
      <c r="L111" s="6" t="str">
        <f>IFERROR(__xludf.DUMMYFUNCTION("""COMPUTED_VALUE"""),"FIP General")</f>
        <v>FIP General</v>
      </c>
      <c r="M111" s="6" t="str">
        <f>IFERROR(__xludf.DUMMYFUNCTION("""COMPUTED_VALUE"""),"Joko Nugroho")</f>
        <v>Joko Nugroho</v>
      </c>
      <c r="N111" s="6" t="str">
        <f>IFERROR(__xludf.DUMMYFUNCTION("""COMPUTED_VALUE"""),"FIP Engineering")</f>
        <v>FIP Engineering</v>
      </c>
      <c r="O111" s="6" t="str">
        <f>IFERROR(__xludf.DUMMYFUNCTION("""COMPUTED_VALUE"""),"FIP-DOM-ENG-51505-0000000-INA-000000")</f>
        <v>FIP-DOM-ENG-51505-0000000-INA-000000</v>
      </c>
      <c r="P111" s="6" t="str">
        <f>IFERROR(__xludf.DUMMYFUNCTION("""COMPUTED_VALUE"""),"PO Closed")</f>
        <v>PO Closed</v>
      </c>
      <c r="Q111" s="6" t="str">
        <f>IFERROR(__xludf.DUMMYFUNCTION("""COMPUTED_VALUE"""),"GL1804045")</f>
        <v>GL1804045</v>
      </c>
      <c r="R111" s="16">
        <f>IFERROR(__xludf.DUMMYFUNCTION("""COMPUTED_VALUE"""),43200.0)</f>
        <v>43200</v>
      </c>
      <c r="S111" s="6" t="str">
        <f>IFERROR(__xludf.DUMMYFUNCTION("""COMPUTED_VALUE"""),"-")</f>
        <v>-</v>
      </c>
      <c r="T111" s="13">
        <f>IFERROR(__xludf.DUMMYFUNCTION("""COMPUTED_VALUE"""),43221.0)</f>
        <v>43221</v>
      </c>
    </row>
    <row r="112">
      <c r="A112" s="6" t="str">
        <f>IFERROR(__xludf.DUMMYFUNCTION("""COMPUTED_VALUE"""),"181750121-4")</f>
        <v>181750121-4</v>
      </c>
      <c r="B112" s="6" t="str">
        <f>IFERROR(__xludf.DUMMYFUNCTION("""COMPUTED_VALUE"""),"181750121 - Approved")</f>
        <v>181750121 - Approved</v>
      </c>
      <c r="C112" s="6">
        <f>IFERROR(__xludf.DUMMYFUNCTION("""COMPUTED_VALUE"""),4.0)</f>
        <v>4</v>
      </c>
      <c r="D112" s="6" t="str">
        <f>IFERROR(__xludf.DUMMYFUNCTION("""COMPUTED_VALUE"""),"O-16030-00")</f>
        <v>O-16030-00</v>
      </c>
      <c r="E112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F112" s="6">
        <f>IFERROR(__xludf.DUMMYFUNCTION("""COMPUTED_VALUE"""),2.0)</f>
        <v>2</v>
      </c>
      <c r="G112" s="6" t="str">
        <f>IFERROR(__xludf.DUMMYFUNCTION("""COMPUTED_VALUE"""),"Unit")</f>
        <v>Unit</v>
      </c>
      <c r="H112" s="6" t="str">
        <f>IFERROR(__xludf.DUMMYFUNCTION("""COMPUTED_VALUE"""),"EUR")</f>
        <v>EUR</v>
      </c>
      <c r="I112" s="11">
        <f>IFERROR(__xludf.DUMMYFUNCTION("""COMPUTED_VALUE"""),120.0)</f>
        <v>120</v>
      </c>
      <c r="J112" s="11">
        <f>IFERROR(__xludf.DUMMYFUNCTION("""COMPUTED_VALUE"""),240.0)</f>
        <v>240</v>
      </c>
      <c r="K112" s="17">
        <f>IFERROR(__xludf.DUMMYFUNCTION("""COMPUTED_VALUE"""),43222.0)</f>
        <v>43222</v>
      </c>
      <c r="L112" s="6" t="str">
        <f>IFERROR(__xludf.DUMMYFUNCTION("""COMPUTED_VALUE"""),"FIP Engineering")</f>
        <v>FIP Engineering</v>
      </c>
      <c r="M112" s="6" t="str">
        <f>IFERROR(__xludf.DUMMYFUNCTION("""COMPUTED_VALUE"""),"Joko Nugroho")</f>
        <v>Joko Nugroho</v>
      </c>
      <c r="N112" s="6" t="str">
        <f>IFERROR(__xludf.DUMMYFUNCTION("""COMPUTED_VALUE"""),"FIP Engineering")</f>
        <v>FIP Engineering</v>
      </c>
      <c r="O112" s="6" t="str">
        <f>IFERROR(__xludf.DUMMYFUNCTION("""COMPUTED_VALUE"""),"FIP-DOM-000-11304-OS00001-INA-000000")</f>
        <v>FIP-DOM-000-11304-OS00001-INA-000000</v>
      </c>
      <c r="P112" s="6" t="str">
        <f>IFERROR(__xludf.DUMMYFUNCTION("""COMPUTED_VALUE"""),"PO Closed")</f>
        <v>PO Closed</v>
      </c>
      <c r="Q112" s="6" t="str">
        <f>IFERROR(__xludf.DUMMYFUNCTION("""COMPUTED_VALUE"""),"GL1804041")</f>
        <v>GL1804041</v>
      </c>
      <c r="R112" s="16">
        <f>IFERROR(__xludf.DUMMYFUNCTION("""COMPUTED_VALUE"""),43200.0)</f>
        <v>43200</v>
      </c>
      <c r="S112" s="6" t="str">
        <f>IFERROR(__xludf.DUMMYFUNCTION("""COMPUTED_VALUE"""),"-")</f>
        <v>-</v>
      </c>
      <c r="T112" s="13">
        <f>IFERROR(__xludf.DUMMYFUNCTION("""COMPUTED_VALUE"""),43413.0)</f>
        <v>43413</v>
      </c>
    </row>
    <row r="113">
      <c r="A113" s="6" t="str">
        <f>IFERROR(__xludf.DUMMYFUNCTION("""COMPUTED_VALUE"""),"181750121-4")</f>
        <v>181750121-4</v>
      </c>
      <c r="B113" s="6" t="str">
        <f>IFERROR(__xludf.DUMMYFUNCTION("""COMPUTED_VALUE"""),"181750121 - Approved")</f>
        <v>181750121 - Approved</v>
      </c>
      <c r="C113" s="6">
        <f>IFERROR(__xludf.DUMMYFUNCTION("""COMPUTED_VALUE"""),4.0)</f>
        <v>4</v>
      </c>
      <c r="D113" s="6" t="str">
        <f>IFERROR(__xludf.DUMMYFUNCTION("""COMPUTED_VALUE"""),"O-16032-00")</f>
        <v>O-16032-00</v>
      </c>
      <c r="E113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F113" s="6">
        <f>IFERROR(__xludf.DUMMYFUNCTION("""COMPUTED_VALUE"""),10.0)</f>
        <v>10</v>
      </c>
      <c r="G113" s="6" t="str">
        <f>IFERROR(__xludf.DUMMYFUNCTION("""COMPUTED_VALUE"""),"Unit")</f>
        <v>Unit</v>
      </c>
      <c r="H113" s="6" t="str">
        <f>IFERROR(__xludf.DUMMYFUNCTION("""COMPUTED_VALUE"""),"EUR")</f>
        <v>EUR</v>
      </c>
      <c r="I113" s="11">
        <f>IFERROR(__xludf.DUMMYFUNCTION("""COMPUTED_VALUE"""),148.58)</f>
        <v>148.58</v>
      </c>
      <c r="J113" s="11">
        <f>IFERROR(__xludf.DUMMYFUNCTION("""COMPUTED_VALUE"""),1485.8)</f>
        <v>1485.8</v>
      </c>
      <c r="K113" s="17">
        <f>IFERROR(__xludf.DUMMYFUNCTION("""COMPUTED_VALUE"""),43222.0)</f>
        <v>43222</v>
      </c>
      <c r="L113" s="6" t="str">
        <f>IFERROR(__xludf.DUMMYFUNCTION("""COMPUTED_VALUE"""),"FIP Engineering")</f>
        <v>FIP Engineering</v>
      </c>
      <c r="M113" s="6" t="str">
        <f>IFERROR(__xludf.DUMMYFUNCTION("""COMPUTED_VALUE"""),"Joko Nugroho")</f>
        <v>Joko Nugroho</v>
      </c>
      <c r="N113" s="6" t="str">
        <f>IFERROR(__xludf.DUMMYFUNCTION("""COMPUTED_VALUE"""),"FIP Engineering")</f>
        <v>FIP Engineering</v>
      </c>
      <c r="O113" s="6" t="str">
        <f>IFERROR(__xludf.DUMMYFUNCTION("""COMPUTED_VALUE"""),"FIP-DOM-000-11304-OS00001-INA-000000")</f>
        <v>FIP-DOM-000-11304-OS00001-INA-000000</v>
      </c>
      <c r="P113" s="6" t="str">
        <f>IFERROR(__xludf.DUMMYFUNCTION("""COMPUTED_VALUE"""),"PO Closed")</f>
        <v>PO Closed</v>
      </c>
      <c r="Q113" s="6" t="str">
        <f>IFERROR(__xludf.DUMMYFUNCTION("""COMPUTED_VALUE"""),"GL1804041")</f>
        <v>GL1804041</v>
      </c>
      <c r="R113" s="16">
        <f>IFERROR(__xludf.DUMMYFUNCTION("""COMPUTED_VALUE"""),43200.0)</f>
        <v>43200</v>
      </c>
      <c r="S113" s="6" t="str">
        <f>IFERROR(__xludf.DUMMYFUNCTION("""COMPUTED_VALUE"""),"-")</f>
        <v>-</v>
      </c>
      <c r="T113" s="13">
        <f>IFERROR(__xludf.DUMMYFUNCTION("""COMPUTED_VALUE"""),43413.0)</f>
        <v>43413</v>
      </c>
    </row>
    <row r="114">
      <c r="A114" s="6" t="str">
        <f>IFERROR(__xludf.DUMMYFUNCTION("""COMPUTED_VALUE"""),"181750121-4")</f>
        <v>181750121-4</v>
      </c>
      <c r="B114" s="6" t="str">
        <f>IFERROR(__xludf.DUMMYFUNCTION("""COMPUTED_VALUE"""),"181750121 - Approved")</f>
        <v>181750121 - Approved</v>
      </c>
      <c r="C114" s="6">
        <f>IFERROR(__xludf.DUMMYFUNCTION("""COMPUTED_VALUE"""),4.0)</f>
        <v>4</v>
      </c>
      <c r="D114" s="6" t="str">
        <f>IFERROR(__xludf.DUMMYFUNCTION("""COMPUTED_VALUE"""),"O-16033-00")</f>
        <v>O-16033-00</v>
      </c>
      <c r="E11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F114" s="6">
        <f>IFERROR(__xludf.DUMMYFUNCTION("""COMPUTED_VALUE"""),10.0)</f>
        <v>10</v>
      </c>
      <c r="G114" s="6" t="str">
        <f>IFERROR(__xludf.DUMMYFUNCTION("""COMPUTED_VALUE"""),"Unit")</f>
        <v>Unit</v>
      </c>
      <c r="H114" s="6" t="str">
        <f>IFERROR(__xludf.DUMMYFUNCTION("""COMPUTED_VALUE"""),"EUR")</f>
        <v>EUR</v>
      </c>
      <c r="I114" s="11">
        <f>IFERROR(__xludf.DUMMYFUNCTION("""COMPUTED_VALUE"""),38.04)</f>
        <v>38.04</v>
      </c>
      <c r="J114" s="11">
        <f>IFERROR(__xludf.DUMMYFUNCTION("""COMPUTED_VALUE"""),380.4)</f>
        <v>380.4</v>
      </c>
      <c r="K114" s="17">
        <f>IFERROR(__xludf.DUMMYFUNCTION("""COMPUTED_VALUE"""),43222.0)</f>
        <v>43222</v>
      </c>
      <c r="L114" s="6" t="str">
        <f>IFERROR(__xludf.DUMMYFUNCTION("""COMPUTED_VALUE"""),"FIP Engineering")</f>
        <v>FIP Engineering</v>
      </c>
      <c r="M114" s="6" t="str">
        <f>IFERROR(__xludf.DUMMYFUNCTION("""COMPUTED_VALUE"""),"Joko Nugroho")</f>
        <v>Joko Nugroho</v>
      </c>
      <c r="N114" s="6" t="str">
        <f>IFERROR(__xludf.DUMMYFUNCTION("""COMPUTED_VALUE"""),"FIP Engineering")</f>
        <v>FIP Engineering</v>
      </c>
      <c r="O114" s="6" t="str">
        <f>IFERROR(__xludf.DUMMYFUNCTION("""COMPUTED_VALUE"""),"FIP-DOM-000-11304-OS00001-INA-000000")</f>
        <v>FIP-DOM-000-11304-OS00001-INA-000000</v>
      </c>
      <c r="P114" s="6" t="str">
        <f>IFERROR(__xludf.DUMMYFUNCTION("""COMPUTED_VALUE"""),"PO Closed")</f>
        <v>PO Closed</v>
      </c>
      <c r="Q114" s="6" t="str">
        <f>IFERROR(__xludf.DUMMYFUNCTION("""COMPUTED_VALUE"""),"GL1804041")</f>
        <v>GL1804041</v>
      </c>
      <c r="R114" s="16">
        <f>IFERROR(__xludf.DUMMYFUNCTION("""COMPUTED_VALUE"""),43200.0)</f>
        <v>43200</v>
      </c>
      <c r="S114" s="6" t="str">
        <f>IFERROR(__xludf.DUMMYFUNCTION("""COMPUTED_VALUE"""),"-")</f>
        <v>-</v>
      </c>
      <c r="T114" s="13">
        <f>IFERROR(__xludf.DUMMYFUNCTION("""COMPUTED_VALUE"""),43413.0)</f>
        <v>43413</v>
      </c>
    </row>
    <row r="115">
      <c r="A115" s="6" t="str">
        <f>IFERROR(__xludf.DUMMYFUNCTION("""COMPUTED_VALUE"""),"181750130-3")</f>
        <v>181750130-3</v>
      </c>
      <c r="B115" s="6" t="str">
        <f>IFERROR(__xludf.DUMMYFUNCTION("""COMPUTED_VALUE"""),"181750130 - Approved")</f>
        <v>181750130 - Approved</v>
      </c>
      <c r="C115" s="6">
        <f>IFERROR(__xludf.DUMMYFUNCTION("""COMPUTED_VALUE"""),3.0)</f>
        <v>3</v>
      </c>
      <c r="D115" s="6" t="str">
        <f>IFERROR(__xludf.DUMMYFUNCTION("""COMPUTED_VALUE"""),"P-53261-00")</f>
        <v>P-53261-00</v>
      </c>
      <c r="E115" s="6" t="str">
        <f>IFERROR(__xludf.DUMMYFUNCTION("""COMPUTED_VALUE"""),"Junction Box uk 30x40x20cm; ; ;")</f>
        <v>Junction Box uk 30x40x20cm; ; ;</v>
      </c>
      <c r="F115" s="6">
        <f>IFERROR(__xludf.DUMMYFUNCTION("""COMPUTED_VALUE"""),1.0)</f>
        <v>1</v>
      </c>
      <c r="G115" s="6" t="str">
        <f>IFERROR(__xludf.DUMMYFUNCTION("""COMPUTED_VALUE"""),"Pieces")</f>
        <v>Pieces</v>
      </c>
      <c r="H115" s="6" t="str">
        <f>IFERROR(__xludf.DUMMYFUNCTION("""COMPUTED_VALUE"""),"IDR")</f>
        <v>IDR</v>
      </c>
      <c r="I115" s="11">
        <f>IFERROR(__xludf.DUMMYFUNCTION("""COMPUTED_VALUE"""),247500.0)</f>
        <v>247500</v>
      </c>
      <c r="J115" s="11">
        <f>IFERROR(__xludf.DUMMYFUNCTION("""COMPUTED_VALUE"""),247500.0)</f>
        <v>247500</v>
      </c>
      <c r="K115" s="13">
        <f>IFERROR(__xludf.DUMMYFUNCTION("""COMPUTED_VALUE"""),43214.0)</f>
        <v>43214</v>
      </c>
      <c r="L115" s="6" t="str">
        <f>IFERROR(__xludf.DUMMYFUNCTION("""COMPUTED_VALUE"""),"FIP General")</f>
        <v>FIP General</v>
      </c>
      <c r="M115" s="6" t="str">
        <f>IFERROR(__xludf.DUMMYFUNCTION("""COMPUTED_VALUE"""),"Joko Nugroho")</f>
        <v>Joko Nugroho</v>
      </c>
      <c r="N115" s="6" t="str">
        <f>IFERROR(__xludf.DUMMYFUNCTION("""COMPUTED_VALUE"""),"FIP Engineering")</f>
        <v>FIP Engineering</v>
      </c>
      <c r="O115" s="6" t="str">
        <f>IFERROR(__xludf.DUMMYFUNCTION("""COMPUTED_VALUE"""),"FIP-DOM-ENG-51404-0000000-INA-000000")</f>
        <v>FIP-DOM-ENG-51404-0000000-INA-000000</v>
      </c>
      <c r="P115" s="6" t="str">
        <f>IFERROR(__xludf.DUMMYFUNCTION("""COMPUTED_VALUE"""),"PO Closed")</f>
        <v>PO Closed</v>
      </c>
      <c r="Q115" s="6" t="str">
        <f>IFERROR(__xludf.DUMMYFUNCTION("""COMPUTED_VALUE"""),"GL1804047")</f>
        <v>GL1804047</v>
      </c>
      <c r="R115" s="16">
        <f>IFERROR(__xludf.DUMMYFUNCTION("""COMPUTED_VALUE"""),43201.0)</f>
        <v>43201</v>
      </c>
      <c r="S115" s="6" t="str">
        <f>IFERROR(__xludf.DUMMYFUNCTION("""COMPUTED_VALUE"""),"-")</f>
        <v>-</v>
      </c>
      <c r="T115" s="13">
        <f>IFERROR(__xludf.DUMMYFUNCTION("""COMPUTED_VALUE"""),43223.0)</f>
        <v>43223</v>
      </c>
    </row>
    <row r="116">
      <c r="A116" s="6" t="str">
        <f>IFERROR(__xludf.DUMMYFUNCTION("""COMPUTED_VALUE"""),"181750130-7")</f>
        <v>181750130-7</v>
      </c>
      <c r="B116" s="6" t="str">
        <f>IFERROR(__xludf.DUMMYFUNCTION("""COMPUTED_VALUE"""),"181750130 - Approved")</f>
        <v>181750130 - Approved</v>
      </c>
      <c r="C116" s="6">
        <f>IFERROR(__xludf.DUMMYFUNCTION("""COMPUTED_VALUE"""),7.0)</f>
        <v>7</v>
      </c>
      <c r="D116" s="6" t="str">
        <f>IFERROR(__xludf.DUMMYFUNCTION("""COMPUTED_VALUE"""),"P-14877-00")</f>
        <v>P-14877-00</v>
      </c>
      <c r="E116" s="6" t="str">
        <f>IFERROR(__xludf.DUMMYFUNCTION("""COMPUTED_VALUE"""),"Kabel NYYHY 3x2,5mm; ; ;")</f>
        <v>Kabel NYYHY 3x2,5mm; ; ;</v>
      </c>
      <c r="F116" s="6">
        <f>IFERROR(__xludf.DUMMYFUNCTION("""COMPUTED_VALUE"""),100.0)</f>
        <v>100</v>
      </c>
      <c r="G116" s="6" t="str">
        <f>IFERROR(__xludf.DUMMYFUNCTION("""COMPUTED_VALUE"""),"Meter")</f>
        <v>Meter</v>
      </c>
      <c r="H116" s="6" t="str">
        <f>IFERROR(__xludf.DUMMYFUNCTION("""COMPUTED_VALUE"""),"IDR")</f>
        <v>IDR</v>
      </c>
      <c r="I116" s="11">
        <f>IFERROR(__xludf.DUMMYFUNCTION("""COMPUTED_VALUE"""),15500.0)</f>
        <v>15500</v>
      </c>
      <c r="J116" s="11">
        <f>IFERROR(__xludf.DUMMYFUNCTION("""COMPUTED_VALUE"""),1550000.0)</f>
        <v>1550000</v>
      </c>
      <c r="K116" s="13">
        <f>IFERROR(__xludf.DUMMYFUNCTION("""COMPUTED_VALUE"""),43214.0)</f>
        <v>43214</v>
      </c>
      <c r="L116" s="6" t="str">
        <f>IFERROR(__xludf.DUMMYFUNCTION("""COMPUTED_VALUE"""),"FIP General")</f>
        <v>FIP General</v>
      </c>
      <c r="M116" s="6" t="str">
        <f>IFERROR(__xludf.DUMMYFUNCTION("""COMPUTED_VALUE"""),"Joko Nugroho")</f>
        <v>Joko Nugroho</v>
      </c>
      <c r="N116" s="6" t="str">
        <f>IFERROR(__xludf.DUMMYFUNCTION("""COMPUTED_VALUE"""),"FIP Engineering")</f>
        <v>FIP Engineering</v>
      </c>
      <c r="O116" s="6" t="str">
        <f>IFERROR(__xludf.DUMMYFUNCTION("""COMPUTED_VALUE"""),"FIP-DOM-ENG-51504-0000000-INA-000000")</f>
        <v>FIP-DOM-ENG-51504-0000000-INA-000000</v>
      </c>
      <c r="P116" s="6" t="str">
        <f>IFERROR(__xludf.DUMMYFUNCTION("""COMPUTED_VALUE"""),"PO Closed")</f>
        <v>PO Closed</v>
      </c>
      <c r="Q116" s="6" t="str">
        <f>IFERROR(__xludf.DUMMYFUNCTION("""COMPUTED_VALUE"""),"GL1804047")</f>
        <v>GL1804047</v>
      </c>
      <c r="R116" s="16">
        <f>IFERROR(__xludf.DUMMYFUNCTION("""COMPUTED_VALUE"""),43201.0)</f>
        <v>43201</v>
      </c>
      <c r="S116" s="6" t="str">
        <f>IFERROR(__xludf.DUMMYFUNCTION("""COMPUTED_VALUE"""),"-")</f>
        <v>-</v>
      </c>
      <c r="T116" s="13">
        <f>IFERROR(__xludf.DUMMYFUNCTION("""COMPUTED_VALUE"""),43223.0)</f>
        <v>43223</v>
      </c>
    </row>
    <row r="117">
      <c r="A117" s="6" t="str">
        <f>IFERROR(__xludf.DUMMYFUNCTION("""COMPUTED_VALUE"""),"181750131-2")</f>
        <v>181750131-2</v>
      </c>
      <c r="B117" s="6" t="str">
        <f>IFERROR(__xludf.DUMMYFUNCTION("""COMPUTED_VALUE"""),"181750131 - Approved")</f>
        <v>181750131 - Approved</v>
      </c>
      <c r="C117" s="6">
        <f>IFERROR(__xludf.DUMMYFUNCTION("""COMPUTED_VALUE"""),2.0)</f>
        <v>2</v>
      </c>
      <c r="D117" s="6" t="str">
        <f>IFERROR(__xludf.DUMMYFUNCTION("""COMPUTED_VALUE"""),"P-12027-00")</f>
        <v>P-12027-00</v>
      </c>
      <c r="E117" s="6" t="str">
        <f>IFERROR(__xludf.DUMMYFUNCTION("""COMPUTED_VALUE"""),"Caustic soda flake (NaOH)")</f>
        <v>Caustic soda flake (NaOH)</v>
      </c>
      <c r="F117" s="6">
        <f>IFERROR(__xludf.DUMMYFUNCTION("""COMPUTED_VALUE"""),150.0)</f>
        <v>150</v>
      </c>
      <c r="G117" s="6" t="str">
        <f>IFERROR(__xludf.DUMMYFUNCTION("""COMPUTED_VALUE"""),"Pieces")</f>
        <v>Pieces</v>
      </c>
      <c r="H117" s="6" t="str">
        <f>IFERROR(__xludf.DUMMYFUNCTION("""COMPUTED_VALUE"""),"IDR")</f>
        <v>IDR</v>
      </c>
      <c r="I117" s="11">
        <f>IFERROR(__xludf.DUMMYFUNCTION("""COMPUTED_VALUE"""),8500.0)</f>
        <v>8500</v>
      </c>
      <c r="J117" s="11">
        <f>IFERROR(__xludf.DUMMYFUNCTION("""COMPUTED_VALUE"""),1275000.0)</f>
        <v>1275000</v>
      </c>
      <c r="K117" s="13">
        <f>IFERROR(__xludf.DUMMYFUNCTION("""COMPUTED_VALUE"""),43217.0)</f>
        <v>43217</v>
      </c>
      <c r="L117" s="6" t="str">
        <f>IFERROR(__xludf.DUMMYFUNCTION("""COMPUTED_VALUE"""),"FIP General")</f>
        <v>FIP General</v>
      </c>
      <c r="M117" s="6" t="str">
        <f>IFERROR(__xludf.DUMMYFUNCTION("""COMPUTED_VALUE"""),"Joko Nugroho")</f>
        <v>Joko Nugroho</v>
      </c>
      <c r="N117" s="6" t="str">
        <f>IFERROR(__xludf.DUMMYFUNCTION("""COMPUTED_VALUE"""),"FIP Engineering")</f>
        <v>FIP Engineering</v>
      </c>
      <c r="O117" s="6" t="str">
        <f>IFERROR(__xludf.DUMMYFUNCTION("""COMPUTED_VALUE"""),"FIP-DOM-ENG-51502-0000000-INA-000000")</f>
        <v>FIP-DOM-ENG-51502-0000000-INA-000000</v>
      </c>
      <c r="P117" s="6" t="str">
        <f>IFERROR(__xludf.DUMMYFUNCTION("""COMPUTED_VALUE"""),"PO Closed")</f>
        <v>PO Closed</v>
      </c>
      <c r="Q117" s="6" t="str">
        <f>IFERROR(__xludf.DUMMYFUNCTION("""COMPUTED_VALUE"""),"GL1804056")</f>
        <v>GL1804056</v>
      </c>
      <c r="R117" s="16">
        <f>IFERROR(__xludf.DUMMYFUNCTION("""COMPUTED_VALUE"""),43202.0)</f>
        <v>43202</v>
      </c>
      <c r="S117" s="6" t="str">
        <f>IFERROR(__xludf.DUMMYFUNCTION("""COMPUTED_VALUE"""),"-")</f>
        <v>-</v>
      </c>
      <c r="T117" s="13">
        <f>IFERROR(__xludf.DUMMYFUNCTION("""COMPUTED_VALUE"""),43271.0)</f>
        <v>43271</v>
      </c>
    </row>
    <row r="118">
      <c r="A118" s="6" t="str">
        <f>IFERROR(__xludf.DUMMYFUNCTION("""COMPUTED_VALUE"""),"181750130-9")</f>
        <v>181750130-9</v>
      </c>
      <c r="B118" s="6" t="str">
        <f>IFERROR(__xludf.DUMMYFUNCTION("""COMPUTED_VALUE"""),"181750130 - Approved")</f>
        <v>181750130 - Approved</v>
      </c>
      <c r="C118" s="6">
        <f>IFERROR(__xludf.DUMMYFUNCTION("""COMPUTED_VALUE"""),9.0)</f>
        <v>9</v>
      </c>
      <c r="D118" s="6" t="str">
        <f>IFERROR(__xludf.DUMMYFUNCTION("""COMPUTED_VALUE"""),"P-16970-00")</f>
        <v>P-16970-00</v>
      </c>
      <c r="E118" s="6" t="str">
        <f>IFERROR(__xludf.DUMMYFUNCTION("""COMPUTED_VALUE"""),"Terminal viking uk. 2,5 mm; ; ;")</f>
        <v>Terminal viking uk. 2,5 mm; ; ;</v>
      </c>
      <c r="F118" s="6">
        <f>IFERROR(__xludf.DUMMYFUNCTION("""COMPUTED_VALUE"""),10.0)</f>
        <v>10</v>
      </c>
      <c r="G118" s="6" t="str">
        <f>IFERROR(__xludf.DUMMYFUNCTION("""COMPUTED_VALUE"""),"Pieces")</f>
        <v>Pieces</v>
      </c>
      <c r="H118" s="6" t="str">
        <f>IFERROR(__xludf.DUMMYFUNCTION("""COMPUTED_VALUE"""),"IDR")</f>
        <v>IDR</v>
      </c>
      <c r="I118" s="11">
        <f>IFERROR(__xludf.DUMMYFUNCTION("""COMPUTED_VALUE"""),6500.0)</f>
        <v>6500</v>
      </c>
      <c r="J118" s="11">
        <f>IFERROR(__xludf.DUMMYFUNCTION("""COMPUTED_VALUE"""),65000.0)</f>
        <v>65000</v>
      </c>
      <c r="K118" s="13">
        <f>IFERROR(__xludf.DUMMYFUNCTION("""COMPUTED_VALUE"""),43213.0)</f>
        <v>43213</v>
      </c>
      <c r="L118" s="6" t="str">
        <f>IFERROR(__xludf.DUMMYFUNCTION("""COMPUTED_VALUE"""),"FIP General")</f>
        <v>FIP General</v>
      </c>
      <c r="M118" s="6" t="str">
        <f>IFERROR(__xludf.DUMMYFUNCTION("""COMPUTED_VALUE"""),"Joko Nugroho")</f>
        <v>Joko Nugroho</v>
      </c>
      <c r="N118" s="6" t="str">
        <f>IFERROR(__xludf.DUMMYFUNCTION("""COMPUTED_VALUE"""),"FIP Engineering")</f>
        <v>FIP Engineering</v>
      </c>
      <c r="O118" s="6" t="str">
        <f>IFERROR(__xludf.DUMMYFUNCTION("""COMPUTED_VALUE"""),"FIP-DOM-ENG-51404-0000000-INA-000000")</f>
        <v>FIP-DOM-ENG-51404-0000000-INA-000000</v>
      </c>
      <c r="P118" s="6" t="str">
        <f>IFERROR(__xludf.DUMMYFUNCTION("""COMPUTED_VALUE"""),"PO Closed")</f>
        <v>PO Closed</v>
      </c>
      <c r="Q118" s="6" t="str">
        <f>IFERROR(__xludf.DUMMYFUNCTION("""COMPUTED_VALUE"""),"GL1804047")</f>
        <v>GL1804047</v>
      </c>
      <c r="R118" s="16">
        <f>IFERROR(__xludf.DUMMYFUNCTION("""COMPUTED_VALUE"""),43203.0)</f>
        <v>43203</v>
      </c>
      <c r="S118" s="6" t="str">
        <f>IFERROR(__xludf.DUMMYFUNCTION("""COMPUTED_VALUE"""),"-")</f>
        <v>-</v>
      </c>
      <c r="T118" s="13">
        <f>IFERROR(__xludf.DUMMYFUNCTION("""COMPUTED_VALUE"""),43223.0)</f>
        <v>43223</v>
      </c>
    </row>
    <row r="119">
      <c r="A119" s="6" t="str">
        <f>IFERROR(__xludf.DUMMYFUNCTION("""COMPUTED_VALUE"""),"181750130-9")</f>
        <v>181750130-9</v>
      </c>
      <c r="B119" s="6" t="str">
        <f>IFERROR(__xludf.DUMMYFUNCTION("""COMPUTED_VALUE"""),"181750130 - Approved")</f>
        <v>181750130 - Approved</v>
      </c>
      <c r="C119" s="6">
        <f>IFERROR(__xludf.DUMMYFUNCTION("""COMPUTED_VALUE"""),9.0)</f>
        <v>9</v>
      </c>
      <c r="D119" s="6" t="str">
        <f>IFERROR(__xludf.DUMMYFUNCTION("""COMPUTED_VALUE"""),"P-51741-00")</f>
        <v>P-51741-00</v>
      </c>
      <c r="E119" s="6" t="str">
        <f>IFERROR(__xludf.DUMMYFUNCTION("""COMPUTED_VALUE"""),"Lampu Phillips PHP LED; 710 7w E27 White 220-240v; ; ;")</f>
        <v>Lampu Phillips PHP LED; 710 7w E27 White 220-240v; ; ;</v>
      </c>
      <c r="F119" s="6">
        <f>IFERROR(__xludf.DUMMYFUNCTION("""COMPUTED_VALUE"""),6.0)</f>
        <v>6</v>
      </c>
      <c r="G119" s="6" t="str">
        <f>IFERROR(__xludf.DUMMYFUNCTION("""COMPUTED_VALUE"""),"Pieces")</f>
        <v>Pieces</v>
      </c>
      <c r="H119" s="6" t="str">
        <f>IFERROR(__xludf.DUMMYFUNCTION("""COMPUTED_VALUE"""),"IDR")</f>
        <v>IDR</v>
      </c>
      <c r="I119" s="11">
        <f>IFERROR(__xludf.DUMMYFUNCTION("""COMPUTED_VALUE"""),35000.0)</f>
        <v>35000</v>
      </c>
      <c r="J119" s="11">
        <f>IFERROR(__xludf.DUMMYFUNCTION("""COMPUTED_VALUE"""),210000.0)</f>
        <v>210000</v>
      </c>
      <c r="K119" s="17">
        <f>IFERROR(__xludf.DUMMYFUNCTION("""COMPUTED_VALUE"""),43213.0)</f>
        <v>43213</v>
      </c>
      <c r="L119" s="6" t="str">
        <f>IFERROR(__xludf.DUMMYFUNCTION("""COMPUTED_VALUE"""),"FIP Engineering")</f>
        <v>FIP Engineering</v>
      </c>
      <c r="M119" s="6" t="str">
        <f>IFERROR(__xludf.DUMMYFUNCTION("""COMPUTED_VALUE"""),"Joko Nugroho")</f>
        <v>Joko Nugroho</v>
      </c>
      <c r="N119" s="6" t="str">
        <f>IFERROR(__xludf.DUMMYFUNCTION("""COMPUTED_VALUE"""),"FIP Engineering")</f>
        <v>FIP Engineering</v>
      </c>
      <c r="O119" s="6" t="str">
        <f>IFERROR(__xludf.DUMMYFUNCTION("""COMPUTED_VALUE"""),"FIP-DOM-000-11304-OS00001-INA-000000")</f>
        <v>FIP-DOM-000-11304-OS00001-INA-000000</v>
      </c>
      <c r="P119" s="6" t="str">
        <f>IFERROR(__xludf.DUMMYFUNCTION("""COMPUTED_VALUE"""),"PO Closed")</f>
        <v>PO Closed</v>
      </c>
      <c r="Q119" s="6" t="str">
        <f>IFERROR(__xludf.DUMMYFUNCTION("""COMPUTED_VALUE"""),"GL1804047")</f>
        <v>GL1804047</v>
      </c>
      <c r="R119" s="16">
        <f>IFERROR(__xludf.DUMMYFUNCTION("""COMPUTED_VALUE"""),43203.0)</f>
        <v>43203</v>
      </c>
      <c r="S119" s="6" t="str">
        <f>IFERROR(__xludf.DUMMYFUNCTION("""COMPUTED_VALUE"""),"-")</f>
        <v>-</v>
      </c>
      <c r="T119" s="17">
        <f>IFERROR(__xludf.DUMMYFUNCTION("""COMPUTED_VALUE"""),43223.0)</f>
        <v>43223</v>
      </c>
    </row>
    <row r="120">
      <c r="A120" s="6" t="str">
        <f>IFERROR(__xludf.DUMMYFUNCTION("""COMPUTED_VALUE"""),"181750130-9")</f>
        <v>181750130-9</v>
      </c>
      <c r="B120" s="6" t="str">
        <f>IFERROR(__xludf.DUMMYFUNCTION("""COMPUTED_VALUE"""),"181750130 - Approved")</f>
        <v>181750130 - Approved</v>
      </c>
      <c r="C120" s="6">
        <f>IFERROR(__xludf.DUMMYFUNCTION("""COMPUTED_VALUE"""),9.0)</f>
        <v>9</v>
      </c>
      <c r="D120" s="6" t="str">
        <f>IFERROR(__xludf.DUMMYFUNCTION("""COMPUTED_VALUE"""),"P-51739-00")</f>
        <v>P-51739-00</v>
      </c>
      <c r="E120" s="6" t="str">
        <f>IFERROR(__xludf.DUMMYFUNCTION("""COMPUTED_VALUE"""),"TOR Schneider LRD05 0,63 - 1,0 A; ; ;")</f>
        <v>TOR Schneider LRD05 0,63 - 1,0 A; ; ;</v>
      </c>
      <c r="F120" s="6">
        <f>IFERROR(__xludf.DUMMYFUNCTION("""COMPUTED_VALUE"""),1.0)</f>
        <v>1</v>
      </c>
      <c r="G120" s="6" t="str">
        <f>IFERROR(__xludf.DUMMYFUNCTION("""COMPUTED_VALUE"""),"Pieces")</f>
        <v>Pieces</v>
      </c>
      <c r="H120" s="6" t="str">
        <f>IFERROR(__xludf.DUMMYFUNCTION("""COMPUTED_VALUE"""),"IDR")</f>
        <v>IDR</v>
      </c>
      <c r="I120" s="11">
        <f>IFERROR(__xludf.DUMMYFUNCTION("""COMPUTED_VALUE"""),255000.0)</f>
        <v>255000</v>
      </c>
      <c r="J120" s="11">
        <f>IFERROR(__xludf.DUMMYFUNCTION("""COMPUTED_VALUE"""),255000.0)</f>
        <v>255000</v>
      </c>
      <c r="K120" s="17">
        <f>IFERROR(__xludf.DUMMYFUNCTION("""COMPUTED_VALUE"""),43213.0)</f>
        <v>43213</v>
      </c>
      <c r="L120" s="6" t="str">
        <f>IFERROR(__xludf.DUMMYFUNCTION("""COMPUTED_VALUE"""),"FIP Engineering")</f>
        <v>FIP Engineering</v>
      </c>
      <c r="M120" s="6" t="str">
        <f>IFERROR(__xludf.DUMMYFUNCTION("""COMPUTED_VALUE"""),"Joko Nugroho")</f>
        <v>Joko Nugroho</v>
      </c>
      <c r="N120" s="6" t="str">
        <f>IFERROR(__xludf.DUMMYFUNCTION("""COMPUTED_VALUE"""),"FIP Engineering")</f>
        <v>FIP Engineering</v>
      </c>
      <c r="O120" s="6" t="str">
        <f>IFERROR(__xludf.DUMMYFUNCTION("""COMPUTED_VALUE"""),"FIP-DOM-000-11304-OS00001-INA-000000")</f>
        <v>FIP-DOM-000-11304-OS00001-INA-000000</v>
      </c>
      <c r="P120" s="6" t="str">
        <f>IFERROR(__xludf.DUMMYFUNCTION("""COMPUTED_VALUE"""),"PO Closed")</f>
        <v>PO Closed</v>
      </c>
      <c r="Q120" s="6" t="str">
        <f>IFERROR(__xludf.DUMMYFUNCTION("""COMPUTED_VALUE"""),"GL1804047")</f>
        <v>GL1804047</v>
      </c>
      <c r="R120" s="16">
        <f>IFERROR(__xludf.DUMMYFUNCTION("""COMPUTED_VALUE"""),43203.0)</f>
        <v>43203</v>
      </c>
      <c r="S120" s="6" t="str">
        <f>IFERROR(__xludf.DUMMYFUNCTION("""COMPUTED_VALUE"""),"-")</f>
        <v>-</v>
      </c>
      <c r="T120" s="13">
        <f>IFERROR(__xludf.DUMMYFUNCTION("""COMPUTED_VALUE"""),43223.0)</f>
        <v>43223</v>
      </c>
    </row>
    <row r="121">
      <c r="A121" s="6" t="str">
        <f>IFERROR(__xludf.DUMMYFUNCTION("""COMPUTED_VALUE"""),"181750130-9")</f>
        <v>181750130-9</v>
      </c>
      <c r="B121" s="6" t="str">
        <f>IFERROR(__xludf.DUMMYFUNCTION("""COMPUTED_VALUE"""),"181750130 - Approved")</f>
        <v>181750130 - Approved</v>
      </c>
      <c r="C121" s="6">
        <f>IFERROR(__xludf.DUMMYFUNCTION("""COMPUTED_VALUE"""),9.0)</f>
        <v>9</v>
      </c>
      <c r="D121" s="6" t="str">
        <f>IFERROR(__xludf.DUMMYFUNCTION("""COMPUTED_VALUE"""),"P-51740-00")</f>
        <v>P-51740-00</v>
      </c>
      <c r="E121" s="6" t="str">
        <f>IFERROR(__xludf.DUMMYFUNCTION("""COMPUTED_VALUE"""),"Timer + Socket Omron 43BA-A8 220 VAC; ; ;")</f>
        <v>Timer + Socket Omron 43BA-A8 220 VAC; ; ;</v>
      </c>
      <c r="F121" s="6">
        <f>IFERROR(__xludf.DUMMYFUNCTION("""COMPUTED_VALUE"""),1.0)</f>
        <v>1</v>
      </c>
      <c r="G121" s="6" t="str">
        <f>IFERROR(__xludf.DUMMYFUNCTION("""COMPUTED_VALUE"""),"Pieces")</f>
        <v>Pieces</v>
      </c>
      <c r="H121" s="6" t="str">
        <f>IFERROR(__xludf.DUMMYFUNCTION("""COMPUTED_VALUE"""),"IDR")</f>
        <v>IDR</v>
      </c>
      <c r="I121" s="11">
        <f>IFERROR(__xludf.DUMMYFUNCTION("""COMPUTED_VALUE"""),210000.0)</f>
        <v>210000</v>
      </c>
      <c r="J121" s="11">
        <f>IFERROR(__xludf.DUMMYFUNCTION("""COMPUTED_VALUE"""),210000.0)</f>
        <v>210000</v>
      </c>
      <c r="K121" s="13">
        <f>IFERROR(__xludf.DUMMYFUNCTION("""COMPUTED_VALUE"""),43213.0)</f>
        <v>43213</v>
      </c>
      <c r="L121" s="6" t="str">
        <f>IFERROR(__xludf.DUMMYFUNCTION("""COMPUTED_VALUE"""),"FIP Engineering")</f>
        <v>FIP Engineering</v>
      </c>
      <c r="M121" s="6" t="str">
        <f>IFERROR(__xludf.DUMMYFUNCTION("""COMPUTED_VALUE"""),"Joko Nugroho")</f>
        <v>Joko Nugroho</v>
      </c>
      <c r="N121" s="6" t="str">
        <f>IFERROR(__xludf.DUMMYFUNCTION("""COMPUTED_VALUE"""),"FIP Engineering")</f>
        <v>FIP Engineering</v>
      </c>
      <c r="O121" s="6" t="str">
        <f>IFERROR(__xludf.DUMMYFUNCTION("""COMPUTED_VALUE"""),"FIP-DOM-000-11304-OS00001-INA-000000")</f>
        <v>FIP-DOM-000-11304-OS00001-INA-000000</v>
      </c>
      <c r="P121" s="6" t="str">
        <f>IFERROR(__xludf.DUMMYFUNCTION("""COMPUTED_VALUE"""),"PO Closed")</f>
        <v>PO Closed</v>
      </c>
      <c r="Q121" s="6" t="str">
        <f>IFERROR(__xludf.DUMMYFUNCTION("""COMPUTED_VALUE"""),"GL1804047")</f>
        <v>GL1804047</v>
      </c>
      <c r="R121" s="16">
        <f>IFERROR(__xludf.DUMMYFUNCTION("""COMPUTED_VALUE"""),43203.0)</f>
        <v>43203</v>
      </c>
      <c r="S121" s="6" t="str">
        <f>IFERROR(__xludf.DUMMYFUNCTION("""COMPUTED_VALUE"""),"-")</f>
        <v>-</v>
      </c>
      <c r="T121" s="17">
        <f>IFERROR(__xludf.DUMMYFUNCTION("""COMPUTED_VALUE"""),43223.0)</f>
        <v>43223</v>
      </c>
    </row>
    <row r="122">
      <c r="A122" s="6" t="str">
        <f>IFERROR(__xludf.DUMMYFUNCTION("""COMPUTED_VALUE"""),"181750130-10")</f>
        <v>181750130-10</v>
      </c>
      <c r="B122" s="6" t="str">
        <f>IFERROR(__xludf.DUMMYFUNCTION("""COMPUTED_VALUE"""),"181750130 - Approved")</f>
        <v>181750130 - Approved</v>
      </c>
      <c r="C122" s="6">
        <f>IFERROR(__xludf.DUMMYFUNCTION("""COMPUTED_VALUE"""),10.0)</f>
        <v>10</v>
      </c>
      <c r="D122" s="6" t="str">
        <f>IFERROR(__xludf.DUMMYFUNCTION("""COMPUTED_VALUE"""),"P-53362-00")</f>
        <v>P-53362-00</v>
      </c>
      <c r="E122" s="6" t="str">
        <f>IFERROR(__xludf.DUMMYFUNCTION("""COMPUTED_VALUE"""),"Contactor Schneider LC1D09M7 Coil 220 VAC; ; ;")</f>
        <v>Contactor Schneider LC1D09M7 Coil 220 VAC; ; ;</v>
      </c>
      <c r="F122" s="6">
        <f>IFERROR(__xludf.DUMMYFUNCTION("""COMPUTED_VALUE"""),1.0)</f>
        <v>1</v>
      </c>
      <c r="G122" s="6" t="str">
        <f>IFERROR(__xludf.DUMMYFUNCTION("""COMPUTED_VALUE"""),"Pieces")</f>
        <v>Pieces</v>
      </c>
      <c r="H122" s="6" t="str">
        <f>IFERROR(__xludf.DUMMYFUNCTION("""COMPUTED_VALUE"""),"IDR")</f>
        <v>IDR</v>
      </c>
      <c r="I122" s="11">
        <f>IFERROR(__xludf.DUMMYFUNCTION("""COMPUTED_VALUE"""),180000.0)</f>
        <v>180000</v>
      </c>
      <c r="J122" s="11">
        <f>IFERROR(__xludf.DUMMYFUNCTION("""COMPUTED_VALUE"""),180000.0)</f>
        <v>180000</v>
      </c>
      <c r="K122" s="13">
        <f>IFERROR(__xludf.DUMMYFUNCTION("""COMPUTED_VALUE"""),43213.0)</f>
        <v>43213</v>
      </c>
      <c r="L122" s="6" t="str">
        <f>IFERROR(__xludf.DUMMYFUNCTION("""COMPUTED_VALUE"""),"FIP Engineering")</f>
        <v>FIP Engineering</v>
      </c>
      <c r="M122" s="6" t="str">
        <f>IFERROR(__xludf.DUMMYFUNCTION("""COMPUTED_VALUE"""),"Joko Nugroho")</f>
        <v>Joko Nugroho</v>
      </c>
      <c r="N122" s="6" t="str">
        <f>IFERROR(__xludf.DUMMYFUNCTION("""COMPUTED_VALUE"""),"FIP Engineering")</f>
        <v>FIP Engineering</v>
      </c>
      <c r="O122" s="6" t="str">
        <f>IFERROR(__xludf.DUMMYFUNCTION("""COMPUTED_VALUE"""),"FIP-DOM-000-11304-OS00001-INA-000000")</f>
        <v>FIP-DOM-000-11304-OS00001-INA-000000</v>
      </c>
      <c r="P122" s="6" t="str">
        <f>IFERROR(__xludf.DUMMYFUNCTION("""COMPUTED_VALUE"""),"PO Closed")</f>
        <v>PO Closed</v>
      </c>
      <c r="Q122" s="6" t="str">
        <f>IFERROR(__xludf.DUMMYFUNCTION("""COMPUTED_VALUE"""),"GL1804047")</f>
        <v>GL1804047</v>
      </c>
      <c r="R122" s="16">
        <f>IFERROR(__xludf.DUMMYFUNCTION("""COMPUTED_VALUE"""),43203.0)</f>
        <v>43203</v>
      </c>
      <c r="S122" s="6" t="str">
        <f>IFERROR(__xludf.DUMMYFUNCTION("""COMPUTED_VALUE"""),"-")</f>
        <v>-</v>
      </c>
      <c r="T122" s="17">
        <f>IFERROR(__xludf.DUMMYFUNCTION("""COMPUTED_VALUE"""),43223.0)</f>
        <v>43223</v>
      </c>
    </row>
    <row r="123">
      <c r="A123" s="6" t="str">
        <f>IFERROR(__xludf.DUMMYFUNCTION("""COMPUTED_VALUE"""),"181750130-10")</f>
        <v>181750130-10</v>
      </c>
      <c r="B123" s="6" t="str">
        <f>IFERROR(__xludf.DUMMYFUNCTION("""COMPUTED_VALUE"""),"181750130 - Approved")</f>
        <v>181750130 - Approved</v>
      </c>
      <c r="C123" s="6">
        <f>IFERROR(__xludf.DUMMYFUNCTION("""COMPUTED_VALUE"""),10.0)</f>
        <v>10</v>
      </c>
      <c r="D123" s="6" t="str">
        <f>IFERROR(__xludf.DUMMYFUNCTION("""COMPUTED_VALUE"""),"P-51738-00")</f>
        <v>P-51738-00</v>
      </c>
      <c r="E123" s="6" t="str">
        <f>IFERROR(__xludf.DUMMYFUNCTION("""COMPUTED_VALUE"""),"Limit Switch CZ7311 10 A 220 V; ; ;")</f>
        <v>Limit Switch CZ7311 10 A 220 V; ; ;</v>
      </c>
      <c r="F123" s="6">
        <f>IFERROR(__xludf.DUMMYFUNCTION("""COMPUTED_VALUE"""),1.0)</f>
        <v>1</v>
      </c>
      <c r="G123" s="6" t="str">
        <f>IFERROR(__xludf.DUMMYFUNCTION("""COMPUTED_VALUE"""),"Pieces")</f>
        <v>Pieces</v>
      </c>
      <c r="H123" s="6" t="str">
        <f>IFERROR(__xludf.DUMMYFUNCTION("""COMPUTED_VALUE"""),"IDR")</f>
        <v>IDR</v>
      </c>
      <c r="I123" s="11">
        <f>IFERROR(__xludf.DUMMYFUNCTION("""COMPUTED_VALUE"""),90000.0)</f>
        <v>90000</v>
      </c>
      <c r="J123" s="11">
        <f>IFERROR(__xludf.DUMMYFUNCTION("""COMPUTED_VALUE"""),90000.0)</f>
        <v>90000</v>
      </c>
      <c r="K123" s="13">
        <f>IFERROR(__xludf.DUMMYFUNCTION("""COMPUTED_VALUE"""),43213.0)</f>
        <v>43213</v>
      </c>
      <c r="L123" s="6" t="str">
        <f>IFERROR(__xludf.DUMMYFUNCTION("""COMPUTED_VALUE"""),"FIP Engineering")</f>
        <v>FIP Engineering</v>
      </c>
      <c r="M123" s="6" t="str">
        <f>IFERROR(__xludf.DUMMYFUNCTION("""COMPUTED_VALUE"""),"Joko Nugroho")</f>
        <v>Joko Nugroho</v>
      </c>
      <c r="N123" s="6" t="str">
        <f>IFERROR(__xludf.DUMMYFUNCTION("""COMPUTED_VALUE"""),"FIP Engineering")</f>
        <v>FIP Engineering</v>
      </c>
      <c r="O123" s="6" t="str">
        <f>IFERROR(__xludf.DUMMYFUNCTION("""COMPUTED_VALUE"""),"FIP-DOM-000-11304-OS00001-INA-000000")</f>
        <v>FIP-DOM-000-11304-OS00001-INA-000000</v>
      </c>
      <c r="P123" s="6" t="str">
        <f>IFERROR(__xludf.DUMMYFUNCTION("""COMPUTED_VALUE"""),"PO Closed")</f>
        <v>PO Closed</v>
      </c>
      <c r="Q123" s="6" t="str">
        <f>IFERROR(__xludf.DUMMYFUNCTION("""COMPUTED_VALUE"""),"GL1804047")</f>
        <v>GL1804047</v>
      </c>
      <c r="R123" s="16">
        <f>IFERROR(__xludf.DUMMYFUNCTION("""COMPUTED_VALUE"""),43203.0)</f>
        <v>43203</v>
      </c>
      <c r="S123" s="6" t="str">
        <f>IFERROR(__xludf.DUMMYFUNCTION("""COMPUTED_VALUE"""),"-")</f>
        <v>-</v>
      </c>
      <c r="T123" s="13">
        <f>IFERROR(__xludf.DUMMYFUNCTION("""COMPUTED_VALUE"""),43223.0)</f>
        <v>43223</v>
      </c>
    </row>
    <row r="124">
      <c r="A124" s="6" t="str">
        <f>IFERROR(__xludf.DUMMYFUNCTION("""COMPUTED_VALUE"""),"181750128-3")</f>
        <v>181750128-3</v>
      </c>
      <c r="B124" s="6" t="str">
        <f>IFERROR(__xludf.DUMMYFUNCTION("""COMPUTED_VALUE"""),"181750128 - Approved")</f>
        <v>181750128 - Approved</v>
      </c>
      <c r="C124" s="6">
        <f>IFERROR(__xludf.DUMMYFUNCTION("""COMPUTED_VALUE"""),3.0)</f>
        <v>3</v>
      </c>
      <c r="D124" s="6" t="str">
        <f>IFERROR(__xludf.DUMMYFUNCTION("""COMPUTED_VALUE"""),"O-51837-00")</f>
        <v>O-51837-00</v>
      </c>
      <c r="E124" s="6" t="str">
        <f>IFERROR(__xludf.DUMMYFUNCTION("""COMPUTED_VALUE"""),"REED SWITCH WITH CONNECTOR M08; UNIVER; TYPE : DF 220 M08; ; ;")</f>
        <v>REED SWITCH WITH CONNECTOR M08; UNIVER; TYPE : DF 220 M08; ; ;</v>
      </c>
      <c r="F124" s="6">
        <f>IFERROR(__xludf.DUMMYFUNCTION("""COMPUTED_VALUE"""),2.0)</f>
        <v>2</v>
      </c>
      <c r="G124" s="6" t="str">
        <f>IFERROR(__xludf.DUMMYFUNCTION("""COMPUTED_VALUE"""),"Unit")</f>
        <v>Unit</v>
      </c>
      <c r="H124" s="6" t="str">
        <f>IFERROR(__xludf.DUMMYFUNCTION("""COMPUTED_VALUE"""),"IDR")</f>
        <v>IDR</v>
      </c>
      <c r="I124" s="11">
        <f>IFERROR(__xludf.DUMMYFUNCTION("""COMPUTED_VALUE"""),550000.0)</f>
        <v>550000</v>
      </c>
      <c r="J124" s="11">
        <f>IFERROR(__xludf.DUMMYFUNCTION("""COMPUTED_VALUE"""),1100000.0)</f>
        <v>1100000</v>
      </c>
      <c r="K124" s="13">
        <f>IFERROR(__xludf.DUMMYFUNCTION("""COMPUTED_VALUE"""),43220.0)</f>
        <v>43220</v>
      </c>
      <c r="L124" s="6" t="str">
        <f>IFERROR(__xludf.DUMMYFUNCTION("""COMPUTED_VALUE"""),"FIP Engineering")</f>
        <v>FIP Engineering</v>
      </c>
      <c r="M124" s="6" t="str">
        <f>IFERROR(__xludf.DUMMYFUNCTION("""COMPUTED_VALUE"""),"Joko Nugroho")</f>
        <v>Joko Nugroho</v>
      </c>
      <c r="N124" s="6" t="str">
        <f>IFERROR(__xludf.DUMMYFUNCTION("""COMPUTED_VALUE"""),"FIP Engineering")</f>
        <v>FIP Engineering</v>
      </c>
      <c r="O124" s="6" t="str">
        <f>IFERROR(__xludf.DUMMYFUNCTION("""COMPUTED_VALUE"""),"FIP-DOM-000-11304-OS00001-INA-000000")</f>
        <v>FIP-DOM-000-11304-OS00001-INA-000000</v>
      </c>
      <c r="P124" s="6" t="str">
        <f>IFERROR(__xludf.DUMMYFUNCTION("""COMPUTED_VALUE"""),"PO Closed")</f>
        <v>PO Closed</v>
      </c>
      <c r="Q124" s="6" t="str">
        <f>IFERROR(__xludf.DUMMYFUNCTION("""COMPUTED_VALUE"""),"GL1804053")</f>
        <v>GL1804053</v>
      </c>
      <c r="R124" s="16">
        <f>IFERROR(__xludf.DUMMYFUNCTION("""COMPUTED_VALUE"""),43203.0)</f>
        <v>43203</v>
      </c>
      <c r="S124" s="6" t="str">
        <f>IFERROR(__xludf.DUMMYFUNCTION("""COMPUTED_VALUE"""),"-")</f>
        <v>-</v>
      </c>
      <c r="T124" s="13">
        <f>IFERROR(__xludf.DUMMYFUNCTION("""COMPUTED_VALUE"""),43321.0)</f>
        <v>43321</v>
      </c>
    </row>
    <row r="125">
      <c r="A125" s="6" t="str">
        <f>IFERROR(__xludf.DUMMYFUNCTION("""COMPUTED_VALUE"""),"181750128-3")</f>
        <v>181750128-3</v>
      </c>
      <c r="B125" s="6" t="str">
        <f>IFERROR(__xludf.DUMMYFUNCTION("""COMPUTED_VALUE"""),"181750128 - Approved")</f>
        <v>181750128 - Approved</v>
      </c>
      <c r="C125" s="6">
        <f>IFERROR(__xludf.DUMMYFUNCTION("""COMPUTED_VALUE"""),3.0)</f>
        <v>3</v>
      </c>
      <c r="D125" s="6" t="str">
        <f>IFERROR(__xludf.DUMMYFUNCTION("""COMPUTED_VALUE"""),"O-51838-00")</f>
        <v>O-51838-00</v>
      </c>
      <c r="E125" s="6" t="str">
        <f>IFERROR(__xludf.DUMMYFUNCTION("""COMPUTED_VALUE"""),"Compact Cylinder (w/o Non Rotating); TYPE : RP 200 016 0015; ; ;")</f>
        <v>Compact Cylinder (w/o Non Rotating); TYPE : RP 200 016 0015; ; ;</v>
      </c>
      <c r="F125" s="6">
        <f>IFERROR(__xludf.DUMMYFUNCTION("""COMPUTED_VALUE"""),2.0)</f>
        <v>2</v>
      </c>
      <c r="G125" s="6" t="str">
        <f>IFERROR(__xludf.DUMMYFUNCTION("""COMPUTED_VALUE"""),"Unit")</f>
        <v>Unit</v>
      </c>
      <c r="H125" s="6" t="str">
        <f>IFERROR(__xludf.DUMMYFUNCTION("""COMPUTED_VALUE"""),"IDR")</f>
        <v>IDR</v>
      </c>
      <c r="I125" s="11">
        <f>IFERROR(__xludf.DUMMYFUNCTION("""COMPUTED_VALUE"""),785000.0)</f>
        <v>785000</v>
      </c>
      <c r="J125" s="11">
        <f>IFERROR(__xludf.DUMMYFUNCTION("""COMPUTED_VALUE"""),1570000.0)</f>
        <v>1570000</v>
      </c>
      <c r="K125" s="13">
        <f>IFERROR(__xludf.DUMMYFUNCTION("""COMPUTED_VALUE"""),43220.0)</f>
        <v>43220</v>
      </c>
      <c r="L125" s="6" t="str">
        <f>IFERROR(__xludf.DUMMYFUNCTION("""COMPUTED_VALUE"""),"FIP Engineering")</f>
        <v>FIP Engineering</v>
      </c>
      <c r="M125" s="6" t="str">
        <f>IFERROR(__xludf.DUMMYFUNCTION("""COMPUTED_VALUE"""),"Joko Nugroho")</f>
        <v>Joko Nugroho</v>
      </c>
      <c r="N125" s="6" t="str">
        <f>IFERROR(__xludf.DUMMYFUNCTION("""COMPUTED_VALUE"""),"FIP Engineering")</f>
        <v>FIP Engineering</v>
      </c>
      <c r="O125" s="6" t="str">
        <f>IFERROR(__xludf.DUMMYFUNCTION("""COMPUTED_VALUE"""),"FIP-DOM-000-11304-OS00001-INA-000000")</f>
        <v>FIP-DOM-000-11304-OS00001-INA-000000</v>
      </c>
      <c r="P125" s="6" t="str">
        <f>IFERROR(__xludf.DUMMYFUNCTION("""COMPUTED_VALUE"""),"PO Closed")</f>
        <v>PO Closed</v>
      </c>
      <c r="Q125" s="6" t="str">
        <f>IFERROR(__xludf.DUMMYFUNCTION("""COMPUTED_VALUE"""),"GL1804053")</f>
        <v>GL1804053</v>
      </c>
      <c r="R125" s="16">
        <f>IFERROR(__xludf.DUMMYFUNCTION("""COMPUTED_VALUE"""),43203.0)</f>
        <v>43203</v>
      </c>
      <c r="S125" s="6" t="str">
        <f>IFERROR(__xludf.DUMMYFUNCTION("""COMPUTED_VALUE"""),"-")</f>
        <v>-</v>
      </c>
      <c r="T125" s="13">
        <f>IFERROR(__xludf.DUMMYFUNCTION("""COMPUTED_VALUE"""),43273.0)</f>
        <v>43273</v>
      </c>
    </row>
    <row r="126">
      <c r="A126" s="6" t="str">
        <f>IFERROR(__xludf.DUMMYFUNCTION("""COMPUTED_VALUE"""),"181750122-3")</f>
        <v>181750122-3</v>
      </c>
      <c r="B126" s="6" t="str">
        <f>IFERROR(__xludf.DUMMYFUNCTION("""COMPUTED_VALUE"""),"181750122 - Approved")</f>
        <v>181750122 - Approved</v>
      </c>
      <c r="C126" s="6">
        <f>IFERROR(__xludf.DUMMYFUNCTION("""COMPUTED_VALUE"""),3.0)</f>
        <v>3</v>
      </c>
      <c r="D126" s="6" t="str">
        <f>IFERROR(__xludf.DUMMYFUNCTION("""COMPUTED_VALUE"""),"R-62025-00")</f>
        <v>R-62025-00</v>
      </c>
      <c r="E126" s="6" t="str">
        <f>IFERROR(__xludf.DUMMYFUNCTION("""COMPUTED_VALUE"""),"UPS Eaton 5E1100iUSB, 1100VA/660W")</f>
        <v>UPS Eaton 5E1100iUSB, 1100VA/660W</v>
      </c>
      <c r="F126" s="6">
        <f>IFERROR(__xludf.DUMMYFUNCTION("""COMPUTED_VALUE"""),1.0)</f>
        <v>1</v>
      </c>
      <c r="G126" s="6" t="str">
        <f>IFERROR(__xludf.DUMMYFUNCTION("""COMPUTED_VALUE"""),"Unit")</f>
        <v>Unit</v>
      </c>
      <c r="H126" s="6" t="str">
        <f>IFERROR(__xludf.DUMMYFUNCTION("""COMPUTED_VALUE"""),"IDR")</f>
        <v>IDR</v>
      </c>
      <c r="I126" s="11">
        <f>IFERROR(__xludf.DUMMYFUNCTION("""COMPUTED_VALUE"""),1900000.0)</f>
        <v>1900000</v>
      </c>
      <c r="J126" s="11">
        <f>IFERROR(__xludf.DUMMYFUNCTION("""COMPUTED_VALUE"""),1900000.0)</f>
        <v>1900000</v>
      </c>
      <c r="K126" s="13">
        <f>IFERROR(__xludf.DUMMYFUNCTION("""COMPUTED_VALUE"""),43224.0)</f>
        <v>43224</v>
      </c>
      <c r="L126" s="6" t="str">
        <f>IFERROR(__xludf.DUMMYFUNCTION("""COMPUTED_VALUE"""),"FIP General")</f>
        <v>FIP General</v>
      </c>
      <c r="M126" s="6" t="str">
        <f>IFERROR(__xludf.DUMMYFUNCTION("""COMPUTED_VALUE"""),"Joko Nugroho")</f>
        <v>Joko Nugroho</v>
      </c>
      <c r="N126" s="6" t="str">
        <f>IFERROR(__xludf.DUMMYFUNCTION("""COMPUTED_VALUE"""),"FIP Engineering")</f>
        <v>FIP Engineering</v>
      </c>
      <c r="O126" s="6" t="str">
        <f>IFERROR(__xludf.DUMMYFUNCTION("""COMPUTED_VALUE"""),"FIP-DOM-ENG-13408-ITNB186-INA-000000")</f>
        <v>FIP-DOM-ENG-13408-ITNB186-INA-000000</v>
      </c>
      <c r="P126" s="6" t="str">
        <f>IFERROR(__xludf.DUMMYFUNCTION("""COMPUTED_VALUE"""),"PO Closed")</f>
        <v>PO Closed</v>
      </c>
      <c r="Q126" s="6" t="str">
        <f>IFERROR(__xludf.DUMMYFUNCTION("""COMPUTED_VALUE"""),"GL1804057")</f>
        <v>GL1804057</v>
      </c>
      <c r="R126" s="16">
        <f>IFERROR(__xludf.DUMMYFUNCTION("""COMPUTED_VALUE"""),43203.0)</f>
        <v>43203</v>
      </c>
      <c r="S126" s="6" t="str">
        <f>IFERROR(__xludf.DUMMYFUNCTION("""COMPUTED_VALUE"""),"-")</f>
        <v>-</v>
      </c>
      <c r="T126" s="13">
        <f>IFERROR(__xludf.DUMMYFUNCTION("""COMPUTED_VALUE"""),43238.0)</f>
        <v>43238</v>
      </c>
    </row>
    <row r="127">
      <c r="A127" s="6" t="str">
        <f>IFERROR(__xludf.DUMMYFUNCTION("""COMPUTED_VALUE"""),"181750120-4")</f>
        <v>181750120-4</v>
      </c>
      <c r="B127" s="6" t="str">
        <f>IFERROR(__xludf.DUMMYFUNCTION("""COMPUTED_VALUE"""),"181750120 - Approved")</f>
        <v>181750120 - Approved</v>
      </c>
      <c r="C127" s="6">
        <f>IFERROR(__xludf.DUMMYFUNCTION("""COMPUTED_VALUE"""),4.0)</f>
        <v>4</v>
      </c>
      <c r="D127" s="6" t="str">
        <f>IFERROR(__xludf.DUMMYFUNCTION("""COMPUTED_VALUE"""),"P-51744-00")</f>
        <v>P-51744-00</v>
      </c>
      <c r="E127" s="6" t="str">
        <f>IFERROR(__xludf.DUMMYFUNCTION("""COMPUTED_VALUE"""),"Exhaust Fan; SUNON; 12 VDC, KD 1205; ; ;")</f>
        <v>Exhaust Fan; SUNON; 12 VDC, KD 1205; ; ;</v>
      </c>
      <c r="F127" s="6">
        <f>IFERROR(__xludf.DUMMYFUNCTION("""COMPUTED_VALUE"""),1.0)</f>
        <v>1</v>
      </c>
      <c r="G127" s="6" t="str">
        <f>IFERROR(__xludf.DUMMYFUNCTION("""COMPUTED_VALUE"""),"Pieces")</f>
        <v>Pieces</v>
      </c>
      <c r="H127" s="6" t="str">
        <f>IFERROR(__xludf.DUMMYFUNCTION("""COMPUTED_VALUE"""),"IDR")</f>
        <v>IDR</v>
      </c>
      <c r="I127" s="11">
        <f>IFERROR(__xludf.DUMMYFUNCTION("""COMPUTED_VALUE"""),150000.0)</f>
        <v>150000</v>
      </c>
      <c r="J127" s="11">
        <f>IFERROR(__xludf.DUMMYFUNCTION("""COMPUTED_VALUE"""),150000.0)</f>
        <v>150000</v>
      </c>
      <c r="K127" s="13">
        <f>IFERROR(__xludf.DUMMYFUNCTION("""COMPUTED_VALUE"""),43220.0)</f>
        <v>43220</v>
      </c>
      <c r="L127" s="6" t="str">
        <f>IFERROR(__xludf.DUMMYFUNCTION("""COMPUTED_VALUE"""),"FIP General")</f>
        <v>FIP General</v>
      </c>
      <c r="M127" s="6" t="str">
        <f>IFERROR(__xludf.DUMMYFUNCTION("""COMPUTED_VALUE"""),"Joko Nugroho")</f>
        <v>Joko Nugroho</v>
      </c>
      <c r="N127" s="6" t="str">
        <f>IFERROR(__xludf.DUMMYFUNCTION("""COMPUTED_VALUE"""),"FIP Engineering")</f>
        <v>FIP Engineering</v>
      </c>
      <c r="O127" s="6" t="str">
        <f>IFERROR(__xludf.DUMMYFUNCTION("""COMPUTED_VALUE"""),"FIP-DOM-ENG-51404-0000000-INA-000000")</f>
        <v>FIP-DOM-ENG-51404-0000000-INA-000000</v>
      </c>
      <c r="P127" s="6" t="str">
        <f>IFERROR(__xludf.DUMMYFUNCTION("""COMPUTED_VALUE"""),"PO Closed")</f>
        <v>PO Closed</v>
      </c>
      <c r="Q127" s="6" t="str">
        <f>IFERROR(__xludf.DUMMYFUNCTION("""COMPUTED_VALUE"""),"GL1804047")</f>
        <v>GL1804047</v>
      </c>
      <c r="R127" s="16">
        <f>IFERROR(__xludf.DUMMYFUNCTION("""COMPUTED_VALUE"""),43203.0)</f>
        <v>43203</v>
      </c>
      <c r="S127" s="6" t="str">
        <f>IFERROR(__xludf.DUMMYFUNCTION("""COMPUTED_VALUE"""),"-")</f>
        <v>-</v>
      </c>
      <c r="T127" s="17">
        <f>IFERROR(__xludf.DUMMYFUNCTION("""COMPUTED_VALUE"""),43223.0)</f>
        <v>43223</v>
      </c>
    </row>
    <row r="128">
      <c r="A128" s="6" t="str">
        <f>IFERROR(__xludf.DUMMYFUNCTION("""COMPUTED_VALUE"""),"181750120-4")</f>
        <v>181750120-4</v>
      </c>
      <c r="B128" s="6" t="str">
        <f>IFERROR(__xludf.DUMMYFUNCTION("""COMPUTED_VALUE"""),"181750120 - Approved")</f>
        <v>181750120 - Approved</v>
      </c>
      <c r="C128" s="6">
        <f>IFERROR(__xludf.DUMMYFUNCTION("""COMPUTED_VALUE"""),4.0)</f>
        <v>4</v>
      </c>
      <c r="D128" s="6" t="str">
        <f>IFERROR(__xludf.DUMMYFUNCTION("""COMPUTED_VALUE"""),"P-51743-00")</f>
        <v>P-51743-00</v>
      </c>
      <c r="E128" s="6" t="str">
        <f>IFERROR(__xludf.DUMMYFUNCTION("""COMPUTED_VALUE"""),"Capasitor bulat 5 mF; 400 V; ; ;")</f>
        <v>Capasitor bulat 5 mF; 400 V; ; ;</v>
      </c>
      <c r="F128" s="6">
        <f>IFERROR(__xludf.DUMMYFUNCTION("""COMPUTED_VALUE"""),8.0)</f>
        <v>8</v>
      </c>
      <c r="G128" s="6" t="str">
        <f>IFERROR(__xludf.DUMMYFUNCTION("""COMPUTED_VALUE"""),"Unit")</f>
        <v>Unit</v>
      </c>
      <c r="H128" s="6" t="str">
        <f>IFERROR(__xludf.DUMMYFUNCTION("""COMPUTED_VALUE"""),"IDR")</f>
        <v>IDR</v>
      </c>
      <c r="I128" s="11">
        <f>IFERROR(__xludf.DUMMYFUNCTION("""COMPUTED_VALUE"""),30000.0)</f>
        <v>30000</v>
      </c>
      <c r="J128" s="11">
        <f>IFERROR(__xludf.DUMMYFUNCTION("""COMPUTED_VALUE"""),240000.0)</f>
        <v>240000</v>
      </c>
      <c r="K128" s="13">
        <f>IFERROR(__xludf.DUMMYFUNCTION("""COMPUTED_VALUE"""),43220.0)</f>
        <v>43220</v>
      </c>
      <c r="L128" s="6" t="str">
        <f>IFERROR(__xludf.DUMMYFUNCTION("""COMPUTED_VALUE"""),"FIP General")</f>
        <v>FIP General</v>
      </c>
      <c r="M128" s="6" t="str">
        <f>IFERROR(__xludf.DUMMYFUNCTION("""COMPUTED_VALUE"""),"Joko Nugroho")</f>
        <v>Joko Nugroho</v>
      </c>
      <c r="N128" s="6" t="str">
        <f>IFERROR(__xludf.DUMMYFUNCTION("""COMPUTED_VALUE"""),"FIP Engineering")</f>
        <v>FIP Engineering</v>
      </c>
      <c r="O128" s="6" t="str">
        <f>IFERROR(__xludf.DUMMYFUNCTION("""COMPUTED_VALUE"""),"FIP-DOM-ENG-51404-0000000-INA-000000")</f>
        <v>FIP-DOM-ENG-51404-0000000-INA-000000</v>
      </c>
      <c r="P128" s="6" t="str">
        <f>IFERROR(__xludf.DUMMYFUNCTION("""COMPUTED_VALUE"""),"PO Closed")</f>
        <v>PO Closed</v>
      </c>
      <c r="Q128" s="6" t="str">
        <f>IFERROR(__xludf.DUMMYFUNCTION("""COMPUTED_VALUE"""),"GL1804047")</f>
        <v>GL1804047</v>
      </c>
      <c r="R128" s="16">
        <f>IFERROR(__xludf.DUMMYFUNCTION("""COMPUTED_VALUE"""),43203.0)</f>
        <v>43203</v>
      </c>
      <c r="S128" s="6" t="str">
        <f>IFERROR(__xludf.DUMMYFUNCTION("""COMPUTED_VALUE"""),"-")</f>
        <v>-</v>
      </c>
      <c r="T128" s="13">
        <f>IFERROR(__xludf.DUMMYFUNCTION("""COMPUTED_VALUE"""),43223.0)</f>
        <v>43223</v>
      </c>
    </row>
    <row r="129">
      <c r="A129" s="6" t="str">
        <f>IFERROR(__xludf.DUMMYFUNCTION("""COMPUTED_VALUE"""),"181750119-3")</f>
        <v>181750119-3</v>
      </c>
      <c r="B129" s="6" t="str">
        <f>IFERROR(__xludf.DUMMYFUNCTION("""COMPUTED_VALUE"""),"181750119 - Approved")</f>
        <v>181750119 - Approved</v>
      </c>
      <c r="C129" s="6">
        <f>IFERROR(__xludf.DUMMYFUNCTION("""COMPUTED_VALUE"""),3.0)</f>
        <v>3</v>
      </c>
      <c r="D129" s="6" t="str">
        <f>IFERROR(__xludf.DUMMYFUNCTION("""COMPUTED_VALUE"""),"P-16971-00")</f>
        <v>P-16971-00</v>
      </c>
      <c r="E129" s="6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F129" s="6">
        <f>IFERROR(__xludf.DUMMYFUNCTION("""COMPUTED_VALUE"""),1.0)</f>
        <v>1</v>
      </c>
      <c r="G129" s="6" t="str">
        <f>IFERROR(__xludf.DUMMYFUNCTION("""COMPUTED_VALUE"""),"Unit")</f>
        <v>Unit</v>
      </c>
      <c r="H129" s="6" t="str">
        <f>IFERROR(__xludf.DUMMYFUNCTION("""COMPUTED_VALUE"""),"IDR")</f>
        <v>IDR</v>
      </c>
      <c r="I129" s="11">
        <f>IFERROR(__xludf.DUMMYFUNCTION("""COMPUTED_VALUE"""),2477700.0)</f>
        <v>2477700</v>
      </c>
      <c r="J129" s="11">
        <f>IFERROR(__xludf.DUMMYFUNCTION("""COMPUTED_VALUE"""),2477700.0)</f>
        <v>2477700</v>
      </c>
      <c r="K129" s="13">
        <f>IFERROR(__xludf.DUMMYFUNCTION("""COMPUTED_VALUE"""),43220.0)</f>
        <v>43220</v>
      </c>
      <c r="L129" s="6" t="str">
        <f>IFERROR(__xludf.DUMMYFUNCTION("""COMPUTED_VALUE"""),"FIP Engineering")</f>
        <v>FIP Engineering</v>
      </c>
      <c r="M129" s="6" t="str">
        <f>IFERROR(__xludf.DUMMYFUNCTION("""COMPUTED_VALUE"""),"Joko Nugroho")</f>
        <v>Joko Nugroho</v>
      </c>
      <c r="N129" s="6" t="str">
        <f>IFERROR(__xludf.DUMMYFUNCTION("""COMPUTED_VALUE"""),"FIP Engineering")</f>
        <v>FIP Engineering</v>
      </c>
      <c r="O129" s="6" t="str">
        <f>IFERROR(__xludf.DUMMYFUNCTION("""COMPUTED_VALUE"""),"FIP-DOM-000-11304-OS00001-INA-000000")</f>
        <v>FIP-DOM-000-11304-OS00001-INA-000000</v>
      </c>
      <c r="P129" s="6" t="str">
        <f>IFERROR(__xludf.DUMMYFUNCTION("""COMPUTED_VALUE"""),"PO Closed")</f>
        <v>PO Closed</v>
      </c>
      <c r="Q129" s="6" t="str">
        <f>IFERROR(__xludf.DUMMYFUNCTION("""COMPUTED_VALUE"""),"GL1804051")</f>
        <v>GL1804051</v>
      </c>
      <c r="R129" s="16">
        <f>IFERROR(__xludf.DUMMYFUNCTION("""COMPUTED_VALUE"""),43203.0)</f>
        <v>43203</v>
      </c>
      <c r="S129" s="6" t="str">
        <f>IFERROR(__xludf.DUMMYFUNCTION("""COMPUTED_VALUE"""),"-")</f>
        <v>-</v>
      </c>
      <c r="T129" s="13">
        <f>IFERROR(__xludf.DUMMYFUNCTION("""COMPUTED_VALUE"""),43291.0)</f>
        <v>43291</v>
      </c>
    </row>
    <row r="130">
      <c r="A130" s="6" t="str">
        <f>IFERROR(__xludf.DUMMYFUNCTION("""COMPUTED_VALUE"""),"181750119-3")</f>
        <v>181750119-3</v>
      </c>
      <c r="B130" s="6" t="str">
        <f>IFERROR(__xludf.DUMMYFUNCTION("""COMPUTED_VALUE"""),"181750119 - Approved")</f>
        <v>181750119 - Approved</v>
      </c>
      <c r="C130" s="6">
        <f>IFERROR(__xludf.DUMMYFUNCTION("""COMPUTED_VALUE"""),3.0)</f>
        <v>3</v>
      </c>
      <c r="D130" s="6" t="str">
        <f>IFERROR(__xludf.DUMMYFUNCTION("""COMPUTED_VALUE"""),"P-16972-00")</f>
        <v>P-16972-00</v>
      </c>
      <c r="E130" s="6" t="str">
        <f>IFERROR(__xludf.DUMMYFUNCTION("""COMPUTED_VALUE"""),"Vent Filter HE; C3PFRPI , IT09556493; Press 6.5 bar, temp. 40C; NOVASIP ( PALL ); ; ;")</f>
        <v>Vent Filter HE; C3PFRPI , IT09556493; Press 6.5 bar, temp. 40C; NOVASIP ( PALL ); ; ;</v>
      </c>
      <c r="F130" s="6">
        <f>IFERROR(__xludf.DUMMYFUNCTION("""COMPUTED_VALUE"""),1.0)</f>
        <v>1</v>
      </c>
      <c r="G130" s="6" t="str">
        <f>IFERROR(__xludf.DUMMYFUNCTION("""COMPUTED_VALUE"""),"Unit")</f>
        <v>Unit</v>
      </c>
      <c r="H130" s="6" t="str">
        <f>IFERROR(__xludf.DUMMYFUNCTION("""COMPUTED_VALUE"""),"IDR")</f>
        <v>IDR</v>
      </c>
      <c r="I130" s="11">
        <f>IFERROR(__xludf.DUMMYFUNCTION("""COMPUTED_VALUE"""),3735000.0)</f>
        <v>3735000</v>
      </c>
      <c r="J130" s="11">
        <f>IFERROR(__xludf.DUMMYFUNCTION("""COMPUTED_VALUE"""),3735000.0)</f>
        <v>3735000</v>
      </c>
      <c r="K130" s="13">
        <f>IFERROR(__xludf.DUMMYFUNCTION("""COMPUTED_VALUE"""),43220.0)</f>
        <v>43220</v>
      </c>
      <c r="L130" s="6" t="str">
        <f>IFERROR(__xludf.DUMMYFUNCTION("""COMPUTED_VALUE"""),"FIP Engineering")</f>
        <v>FIP Engineering</v>
      </c>
      <c r="M130" s="6" t="str">
        <f>IFERROR(__xludf.DUMMYFUNCTION("""COMPUTED_VALUE"""),"Joko Nugroho")</f>
        <v>Joko Nugroho</v>
      </c>
      <c r="N130" s="6" t="str">
        <f>IFERROR(__xludf.DUMMYFUNCTION("""COMPUTED_VALUE"""),"FIP Engineering")</f>
        <v>FIP Engineering</v>
      </c>
      <c r="O130" s="6" t="str">
        <f>IFERROR(__xludf.DUMMYFUNCTION("""COMPUTED_VALUE"""),"FIP-DOM-000-11304-OS00001-INA-000000")</f>
        <v>FIP-DOM-000-11304-OS00001-INA-000000</v>
      </c>
      <c r="P130" s="6" t="str">
        <f>IFERROR(__xludf.DUMMYFUNCTION("""COMPUTED_VALUE"""),"PO Closed")</f>
        <v>PO Closed</v>
      </c>
      <c r="Q130" s="6" t="str">
        <f>IFERROR(__xludf.DUMMYFUNCTION("""COMPUTED_VALUE"""),"GL1804051")</f>
        <v>GL1804051</v>
      </c>
      <c r="R130" s="16">
        <f>IFERROR(__xludf.DUMMYFUNCTION("""COMPUTED_VALUE"""),43203.0)</f>
        <v>43203</v>
      </c>
      <c r="S130" s="6" t="str">
        <f>IFERROR(__xludf.DUMMYFUNCTION("""COMPUTED_VALUE"""),"-")</f>
        <v>-</v>
      </c>
      <c r="T130" s="17">
        <f>IFERROR(__xludf.DUMMYFUNCTION("""COMPUTED_VALUE"""),43255.0)</f>
        <v>43255</v>
      </c>
    </row>
    <row r="131">
      <c r="A131" s="6" t="str">
        <f>IFERROR(__xludf.DUMMYFUNCTION("""COMPUTED_VALUE"""),"181750118-3")</f>
        <v>181750118-3</v>
      </c>
      <c r="B131" s="6" t="str">
        <f>IFERROR(__xludf.DUMMYFUNCTION("""COMPUTED_VALUE"""),"181750118 - Approved")</f>
        <v>181750118 - Approved</v>
      </c>
      <c r="C131" s="6">
        <f>IFERROR(__xludf.DUMMYFUNCTION("""COMPUTED_VALUE"""),3.0)</f>
        <v>3</v>
      </c>
      <c r="D131" s="6" t="str">
        <f>IFERROR(__xludf.DUMMYFUNCTION("""COMPUTED_VALUE"""),"P-16974-00")</f>
        <v>P-16974-00</v>
      </c>
      <c r="E131" s="6" t="str">
        <f>IFERROR(__xludf.DUMMYFUNCTION("""COMPUTED_VALUE"""),"Strainer KITZ 1 1/2"" BRASS; ; ;")</f>
        <v>Strainer KITZ 1 1/2" BRASS; ; ;</v>
      </c>
      <c r="F131" s="6">
        <f>IFERROR(__xludf.DUMMYFUNCTION("""COMPUTED_VALUE"""),2.0)</f>
        <v>2</v>
      </c>
      <c r="G131" s="6" t="str">
        <f>IFERROR(__xludf.DUMMYFUNCTION("""COMPUTED_VALUE"""),"Pieces")</f>
        <v>Pieces</v>
      </c>
      <c r="H131" s="6" t="str">
        <f>IFERROR(__xludf.DUMMYFUNCTION("""COMPUTED_VALUE"""),"IDR")</f>
        <v>IDR</v>
      </c>
      <c r="I131" s="11">
        <f>IFERROR(__xludf.DUMMYFUNCTION("""COMPUTED_VALUE"""),855000.0)</f>
        <v>855000</v>
      </c>
      <c r="J131" s="11">
        <f>IFERROR(__xludf.DUMMYFUNCTION("""COMPUTED_VALUE"""),1710000.0)</f>
        <v>1710000</v>
      </c>
      <c r="K131" s="17">
        <f>IFERROR(__xludf.DUMMYFUNCTION("""COMPUTED_VALUE"""),43220.0)</f>
        <v>43220</v>
      </c>
      <c r="L131" s="6" t="str">
        <f>IFERROR(__xludf.DUMMYFUNCTION("""COMPUTED_VALUE"""),"FIP General")</f>
        <v>FIP General</v>
      </c>
      <c r="M131" s="6" t="str">
        <f>IFERROR(__xludf.DUMMYFUNCTION("""COMPUTED_VALUE"""),"Joko Nugroho")</f>
        <v>Joko Nugroho</v>
      </c>
      <c r="N131" s="6" t="str">
        <f>IFERROR(__xludf.DUMMYFUNCTION("""COMPUTED_VALUE"""),"FIP Engineering")</f>
        <v>FIP Engineering</v>
      </c>
      <c r="O131" s="6" t="str">
        <f>IFERROR(__xludf.DUMMYFUNCTION("""COMPUTED_VALUE"""),"FIP-DOM-ENG-51404-0000000-INA-000000")</f>
        <v>FIP-DOM-ENG-51404-0000000-INA-000000</v>
      </c>
      <c r="P131" s="6" t="str">
        <f>IFERROR(__xludf.DUMMYFUNCTION("""COMPUTED_VALUE"""),"PO Closed")</f>
        <v>PO Closed</v>
      </c>
      <c r="Q131" s="6" t="str">
        <f>IFERROR(__xludf.DUMMYFUNCTION("""COMPUTED_VALUE"""),"GL1804050")</f>
        <v>GL1804050</v>
      </c>
      <c r="R131" s="16">
        <f>IFERROR(__xludf.DUMMYFUNCTION("""COMPUTED_VALUE"""),43203.0)</f>
        <v>43203</v>
      </c>
      <c r="S131" s="6" t="str">
        <f>IFERROR(__xludf.DUMMYFUNCTION("""COMPUTED_VALUE"""),"-")</f>
        <v>-</v>
      </c>
      <c r="T131" s="13">
        <f>IFERROR(__xludf.DUMMYFUNCTION("""COMPUTED_VALUE"""),43259.0)</f>
        <v>43259</v>
      </c>
    </row>
    <row r="132">
      <c r="A132" s="6" t="str">
        <f>IFERROR(__xludf.DUMMYFUNCTION("""COMPUTED_VALUE"""),"181750118-3")</f>
        <v>181750118-3</v>
      </c>
      <c r="B132" s="6" t="str">
        <f>IFERROR(__xludf.DUMMYFUNCTION("""COMPUTED_VALUE"""),"181750118 - Approved")</f>
        <v>181750118 - Approved</v>
      </c>
      <c r="C132" s="6">
        <f>IFERROR(__xludf.DUMMYFUNCTION("""COMPUTED_VALUE"""),3.0)</f>
        <v>3</v>
      </c>
      <c r="D132" s="6" t="str">
        <f>IFERROR(__xludf.DUMMYFUNCTION("""COMPUTED_VALUE"""),"P-16975-00")</f>
        <v>P-16975-00</v>
      </c>
      <c r="E132" s="6" t="str">
        <f>IFERROR(__xludf.DUMMYFUNCTION("""COMPUTED_VALUE"""),"Strainer KITZ 1 1/4"" BRASS; ; ;")</f>
        <v>Strainer KITZ 1 1/4" BRASS; ; ;</v>
      </c>
      <c r="F132" s="6">
        <f>IFERROR(__xludf.DUMMYFUNCTION("""COMPUTED_VALUE"""),2.0)</f>
        <v>2</v>
      </c>
      <c r="G132" s="6" t="str">
        <f>IFERROR(__xludf.DUMMYFUNCTION("""COMPUTED_VALUE"""),"Pieces")</f>
        <v>Pieces</v>
      </c>
      <c r="H132" s="6" t="str">
        <f>IFERROR(__xludf.DUMMYFUNCTION("""COMPUTED_VALUE"""),"IDR")</f>
        <v>IDR</v>
      </c>
      <c r="I132" s="11">
        <f>IFERROR(__xludf.DUMMYFUNCTION("""COMPUTED_VALUE"""),825000.0)</f>
        <v>825000</v>
      </c>
      <c r="J132" s="11">
        <f>IFERROR(__xludf.DUMMYFUNCTION("""COMPUTED_VALUE"""),1650000.0)</f>
        <v>1650000</v>
      </c>
      <c r="K132" s="13">
        <f>IFERROR(__xludf.DUMMYFUNCTION("""COMPUTED_VALUE"""),43220.0)</f>
        <v>43220</v>
      </c>
      <c r="L132" s="6" t="str">
        <f>IFERROR(__xludf.DUMMYFUNCTION("""COMPUTED_VALUE"""),"FIP General")</f>
        <v>FIP General</v>
      </c>
      <c r="M132" s="6" t="str">
        <f>IFERROR(__xludf.DUMMYFUNCTION("""COMPUTED_VALUE"""),"Joko Nugroho")</f>
        <v>Joko Nugroho</v>
      </c>
      <c r="N132" s="6" t="str">
        <f>IFERROR(__xludf.DUMMYFUNCTION("""COMPUTED_VALUE"""),"FIP Engineering")</f>
        <v>FIP Engineering</v>
      </c>
      <c r="O132" s="6" t="str">
        <f>IFERROR(__xludf.DUMMYFUNCTION("""COMPUTED_VALUE"""),"FIP-DOM-ENG-51404-0000000-INA-000000")</f>
        <v>FIP-DOM-ENG-51404-0000000-INA-000000</v>
      </c>
      <c r="P132" s="6" t="str">
        <f>IFERROR(__xludf.DUMMYFUNCTION("""COMPUTED_VALUE"""),"PO Closed")</f>
        <v>PO Closed</v>
      </c>
      <c r="Q132" s="6" t="str">
        <f>IFERROR(__xludf.DUMMYFUNCTION("""COMPUTED_VALUE"""),"GL1804050")</f>
        <v>GL1804050</v>
      </c>
      <c r="R132" s="16">
        <f>IFERROR(__xludf.DUMMYFUNCTION("""COMPUTED_VALUE"""),43203.0)</f>
        <v>43203</v>
      </c>
      <c r="S132" s="6" t="str">
        <f>IFERROR(__xludf.DUMMYFUNCTION("""COMPUTED_VALUE"""),"-")</f>
        <v>-</v>
      </c>
      <c r="T132" s="13">
        <f>IFERROR(__xludf.DUMMYFUNCTION("""COMPUTED_VALUE"""),43259.0)</f>
        <v>43259</v>
      </c>
    </row>
    <row r="133">
      <c r="A133" s="6" t="str">
        <f>IFERROR(__xludf.DUMMYFUNCTION("""COMPUTED_VALUE"""),"181750114-3")</f>
        <v>181750114-3</v>
      </c>
      <c r="B133" s="6" t="str">
        <f>IFERROR(__xludf.DUMMYFUNCTION("""COMPUTED_VALUE"""),"181750114 - Approved")</f>
        <v>181750114 - Approved</v>
      </c>
      <c r="C133" s="6">
        <f>IFERROR(__xludf.DUMMYFUNCTION("""COMPUTED_VALUE"""),3.0)</f>
        <v>3</v>
      </c>
      <c r="D133" s="6" t="str">
        <f>IFERROR(__xludf.DUMMYFUNCTION("""COMPUTED_VALUE"""),"P-16976-00")</f>
        <v>P-16976-00</v>
      </c>
      <c r="E133" s="6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F133" s="6">
        <f>IFERROR(__xludf.DUMMYFUNCTION("""COMPUTED_VALUE"""),2.0)</f>
        <v>2</v>
      </c>
      <c r="G133" s="6" t="str">
        <f>IFERROR(__xludf.DUMMYFUNCTION("""COMPUTED_VALUE"""),"Unit")</f>
        <v>Unit</v>
      </c>
      <c r="H133" s="6" t="str">
        <f>IFERROR(__xludf.DUMMYFUNCTION("""COMPUTED_VALUE"""),"IDR")</f>
        <v>IDR</v>
      </c>
      <c r="I133" s="11">
        <f>IFERROR(__xludf.DUMMYFUNCTION("""COMPUTED_VALUE"""),1040000.0)</f>
        <v>1040000</v>
      </c>
      <c r="J133" s="11">
        <f>IFERROR(__xludf.DUMMYFUNCTION("""COMPUTED_VALUE"""),2080000.0)</f>
        <v>2080000</v>
      </c>
      <c r="K133" s="17">
        <f>IFERROR(__xludf.DUMMYFUNCTION("""COMPUTED_VALUE"""),43220.0)</f>
        <v>43220</v>
      </c>
      <c r="L133" s="6" t="str">
        <f>IFERROR(__xludf.DUMMYFUNCTION("""COMPUTED_VALUE"""),"FIP Engineering")</f>
        <v>FIP Engineering</v>
      </c>
      <c r="M133" s="6" t="str">
        <f>IFERROR(__xludf.DUMMYFUNCTION("""COMPUTED_VALUE"""),"Joko Nugroho")</f>
        <v>Joko Nugroho</v>
      </c>
      <c r="N133" s="6" t="str">
        <f>IFERROR(__xludf.DUMMYFUNCTION("""COMPUTED_VALUE"""),"FIP Engineering")</f>
        <v>FIP Engineering</v>
      </c>
      <c r="O133" s="6" t="str">
        <f>IFERROR(__xludf.DUMMYFUNCTION("""COMPUTED_VALUE"""),"FIP-DOM-000-11304-OS00001-INA-000000")</f>
        <v>FIP-DOM-000-11304-OS00001-INA-000000</v>
      </c>
      <c r="P133" s="6" t="str">
        <f>IFERROR(__xludf.DUMMYFUNCTION("""COMPUTED_VALUE"""),"PO Closed")</f>
        <v>PO Closed</v>
      </c>
      <c r="Q133" s="6" t="str">
        <f>IFERROR(__xludf.DUMMYFUNCTION("""COMPUTED_VALUE"""),"GL1804049")</f>
        <v>GL1804049</v>
      </c>
      <c r="R133" s="16">
        <f>IFERROR(__xludf.DUMMYFUNCTION("""COMPUTED_VALUE"""),43203.0)</f>
        <v>43203</v>
      </c>
      <c r="S133" s="6" t="str">
        <f>IFERROR(__xludf.DUMMYFUNCTION("""COMPUTED_VALUE"""),"-")</f>
        <v>-</v>
      </c>
      <c r="T133" s="13">
        <f>IFERROR(__xludf.DUMMYFUNCTION("""COMPUTED_VALUE"""),43234.0)</f>
        <v>43234</v>
      </c>
    </row>
    <row r="134">
      <c r="A134" s="6" t="str">
        <f>IFERROR(__xludf.DUMMYFUNCTION("""COMPUTED_VALUE"""),"181750114-3")</f>
        <v>181750114-3</v>
      </c>
      <c r="B134" s="6" t="str">
        <f>IFERROR(__xludf.DUMMYFUNCTION("""COMPUTED_VALUE"""),"181750114 - Approved")</f>
        <v>181750114 - Approved</v>
      </c>
      <c r="C134" s="6">
        <f>IFERROR(__xludf.DUMMYFUNCTION("""COMPUTED_VALUE"""),3.0)</f>
        <v>3</v>
      </c>
      <c r="D134" s="6" t="str">
        <f>IFERROR(__xludf.DUMMYFUNCTION("""COMPUTED_VALUE"""),"Q-10472-00")</f>
        <v>Q-10472-00</v>
      </c>
      <c r="E134" s="6" t="str">
        <f>IFERROR(__xludf.DUMMYFUNCTION("""COMPUTED_VALUE"""),"Kunci Loker Huben HL-103 30mm; ; ;")</f>
        <v>Kunci Loker Huben HL-103 30mm; ; ;</v>
      </c>
      <c r="F134" s="6">
        <f>IFERROR(__xludf.DUMMYFUNCTION("""COMPUTED_VALUE"""),5.0)</f>
        <v>5</v>
      </c>
      <c r="G134" s="6" t="str">
        <f>IFERROR(__xludf.DUMMYFUNCTION("""COMPUTED_VALUE"""),"Pieces")</f>
        <v>Pieces</v>
      </c>
      <c r="H134" s="6" t="str">
        <f>IFERROR(__xludf.DUMMYFUNCTION("""COMPUTED_VALUE"""),"IDR")</f>
        <v>IDR</v>
      </c>
      <c r="I134" s="11">
        <f>IFERROR(__xludf.DUMMYFUNCTION("""COMPUTED_VALUE"""),13000.0)</f>
        <v>13000</v>
      </c>
      <c r="J134" s="11">
        <f>IFERROR(__xludf.DUMMYFUNCTION("""COMPUTED_VALUE"""),65000.0)</f>
        <v>65000</v>
      </c>
      <c r="K134" s="13">
        <f>IFERROR(__xludf.DUMMYFUNCTION("""COMPUTED_VALUE"""),43220.0)</f>
        <v>43220</v>
      </c>
      <c r="L134" s="6" t="str">
        <f>IFERROR(__xludf.DUMMYFUNCTION("""COMPUTED_VALUE"""),"FIP General")</f>
        <v>FIP General</v>
      </c>
      <c r="M134" s="6" t="str">
        <f>IFERROR(__xludf.DUMMYFUNCTION("""COMPUTED_VALUE"""),"Joko Nugroho")</f>
        <v>Joko Nugroho</v>
      </c>
      <c r="N134" s="6" t="str">
        <f>IFERROR(__xludf.DUMMYFUNCTION("""COMPUTED_VALUE"""),"FIP Engineering")</f>
        <v>FIP Engineering</v>
      </c>
      <c r="O134" s="6" t="str">
        <f>IFERROR(__xludf.DUMMYFUNCTION("""COMPUTED_VALUE"""),"FIP-DOM-ENG-51502-0000000-INA-000000")</f>
        <v>FIP-DOM-ENG-51502-0000000-INA-000000</v>
      </c>
      <c r="P134" s="6" t="str">
        <f>IFERROR(__xludf.DUMMYFUNCTION("""COMPUTED_VALUE"""),"PO Closed")</f>
        <v>PO Closed</v>
      </c>
      <c r="Q134" s="6" t="str">
        <f>IFERROR(__xludf.DUMMYFUNCTION("""COMPUTED_VALUE"""),"GL1804047")</f>
        <v>GL1804047</v>
      </c>
      <c r="R134" s="16">
        <f>IFERROR(__xludf.DUMMYFUNCTION("""COMPUTED_VALUE"""),43203.0)</f>
        <v>43203</v>
      </c>
      <c r="S134" s="6" t="str">
        <f>IFERROR(__xludf.DUMMYFUNCTION("""COMPUTED_VALUE"""),"-")</f>
        <v>-</v>
      </c>
      <c r="T134" s="13">
        <f>IFERROR(__xludf.DUMMYFUNCTION("""COMPUTED_VALUE"""),43223.0)</f>
        <v>43223</v>
      </c>
    </row>
    <row r="135">
      <c r="A135" s="6" t="str">
        <f>IFERROR(__xludf.DUMMYFUNCTION("""COMPUTED_VALUE"""),"181750095-2")</f>
        <v>181750095-2</v>
      </c>
      <c r="B135" s="6" t="str">
        <f>IFERROR(__xludf.DUMMYFUNCTION("""COMPUTED_VALUE"""),"181750095 - Approved")</f>
        <v>181750095 - Approved</v>
      </c>
      <c r="C135" s="6">
        <f>IFERROR(__xludf.DUMMYFUNCTION("""COMPUTED_VALUE"""),2.0)</f>
        <v>2</v>
      </c>
      <c r="D135" s="6" t="str">
        <f>IFERROR(__xludf.DUMMYFUNCTION("""COMPUTED_VALUE"""),"Q-10471-00")</f>
        <v>Q-10471-00</v>
      </c>
      <c r="E135" s="6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F135" s="6">
        <f>IFERROR(__xludf.DUMMYFUNCTION("""COMPUTED_VALUE"""),2.0)</f>
        <v>2</v>
      </c>
      <c r="G135" s="6" t="str">
        <f>IFERROR(__xludf.DUMMYFUNCTION("""COMPUTED_VALUE"""),"Unit")</f>
        <v>Unit</v>
      </c>
      <c r="H135" s="6" t="str">
        <f>IFERROR(__xludf.DUMMYFUNCTION("""COMPUTED_VALUE"""),"IDR")</f>
        <v>IDR</v>
      </c>
      <c r="I135" s="11">
        <f>IFERROR(__xludf.DUMMYFUNCTION("""COMPUTED_VALUE"""),735000.0)</f>
        <v>735000</v>
      </c>
      <c r="J135" s="11">
        <f>IFERROR(__xludf.DUMMYFUNCTION("""COMPUTED_VALUE"""),1470000.0)</f>
        <v>1470000</v>
      </c>
      <c r="K135" s="13">
        <f>IFERROR(__xludf.DUMMYFUNCTION("""COMPUTED_VALUE"""),43220.0)</f>
        <v>43220</v>
      </c>
      <c r="L135" s="6" t="str">
        <f>IFERROR(__xludf.DUMMYFUNCTION("""COMPUTED_VALUE"""),"FIP General")</f>
        <v>FIP General</v>
      </c>
      <c r="M135" s="6" t="str">
        <f>IFERROR(__xludf.DUMMYFUNCTION("""COMPUTED_VALUE"""),"Joko Nugroho")</f>
        <v>Joko Nugroho</v>
      </c>
      <c r="N135" s="6" t="str">
        <f>IFERROR(__xludf.DUMMYFUNCTION("""COMPUTED_VALUE"""),"FIP Engineering")</f>
        <v>FIP Engineering</v>
      </c>
      <c r="O135" s="6" t="str">
        <f>IFERROR(__xludf.DUMMYFUNCTION("""COMPUTED_VALUE"""),"FIP-DOM-ENG-51502-0000000-INA-000000")</f>
        <v>FIP-DOM-ENG-51502-0000000-INA-000000</v>
      </c>
      <c r="P135" s="6" t="str">
        <f>IFERROR(__xludf.DUMMYFUNCTION("""COMPUTED_VALUE"""),"PO Closed")</f>
        <v>PO Closed</v>
      </c>
      <c r="Q135" s="6" t="str">
        <f>IFERROR(__xludf.DUMMYFUNCTION("""COMPUTED_VALUE"""),"GL1804054")</f>
        <v>GL1804054</v>
      </c>
      <c r="R135" s="16">
        <f>IFERROR(__xludf.DUMMYFUNCTION("""COMPUTED_VALUE"""),43203.0)</f>
        <v>43203</v>
      </c>
      <c r="S135" s="6" t="str">
        <f>IFERROR(__xludf.DUMMYFUNCTION("""COMPUTED_VALUE"""),"-")</f>
        <v>-</v>
      </c>
      <c r="T135" s="13">
        <f>IFERROR(__xludf.DUMMYFUNCTION("""COMPUTED_VALUE"""),43256.0)</f>
        <v>43256</v>
      </c>
    </row>
    <row r="136">
      <c r="A136" s="6" t="str">
        <f>IFERROR(__xludf.DUMMYFUNCTION("""COMPUTED_VALUE"""),"181750135-2")</f>
        <v>181750135-2</v>
      </c>
      <c r="B136" s="6" t="str">
        <f>IFERROR(__xludf.DUMMYFUNCTION("""COMPUTED_VALUE"""),"181750135 - Approved")</f>
        <v>181750135 - Approved</v>
      </c>
      <c r="C136" s="6">
        <f>IFERROR(__xludf.DUMMYFUNCTION("""COMPUTED_VALUE"""),2.0)</f>
        <v>2</v>
      </c>
      <c r="D136" s="6" t="str">
        <f>IFERROR(__xludf.DUMMYFUNCTION("""COMPUTED_VALUE"""),"S-62032-00")</f>
        <v>S-62032-00</v>
      </c>
      <c r="E136" s="6" t="str">
        <f>IFERROR(__xludf.DUMMYFUNCTION("""COMPUTED_VALUE"""),"Refill Argon HP; Gas Content : 1,5 M3 ; Gas Purrity : 99,995%; Filling Pressure : 150 Bar; ; ;")</f>
        <v>Refill Argon HP; Gas Content : 1,5 M3 ; Gas Purrity : 99,995%; Filling Pressure : 150 Bar; ; ;</v>
      </c>
      <c r="F136" s="6">
        <f>IFERROR(__xludf.DUMMYFUNCTION("""COMPUTED_VALUE"""),1.0)</f>
        <v>1</v>
      </c>
      <c r="G136" s="6" t="str">
        <f>IFERROR(__xludf.DUMMYFUNCTION("""COMPUTED_VALUE"""),"Tube")</f>
        <v>Tube</v>
      </c>
      <c r="H136" s="6" t="str">
        <f>IFERROR(__xludf.DUMMYFUNCTION("""COMPUTED_VALUE"""),"IDR")</f>
        <v>IDR</v>
      </c>
      <c r="I136" s="11">
        <f>IFERROR(__xludf.DUMMYFUNCTION("""COMPUTED_VALUE"""),235000.0)</f>
        <v>235000</v>
      </c>
      <c r="J136" s="11">
        <f>IFERROR(__xludf.DUMMYFUNCTION("""COMPUTED_VALUE"""),235000.0)</f>
        <v>235000</v>
      </c>
      <c r="K136" s="13">
        <f>IFERROR(__xludf.DUMMYFUNCTION("""COMPUTED_VALUE"""),43220.0)</f>
        <v>43220</v>
      </c>
      <c r="L136" s="6" t="str">
        <f>IFERROR(__xludf.DUMMYFUNCTION("""COMPUTED_VALUE"""),"FIP General")</f>
        <v>FIP General</v>
      </c>
      <c r="M136" s="6" t="str">
        <f>IFERROR(__xludf.DUMMYFUNCTION("""COMPUTED_VALUE"""),"Joko Nugroho")</f>
        <v>Joko Nugroho</v>
      </c>
      <c r="N136" s="6" t="str">
        <f>IFERROR(__xludf.DUMMYFUNCTION("""COMPUTED_VALUE"""),"FIP Engineering")</f>
        <v>FIP Engineering</v>
      </c>
      <c r="O136" s="6" t="str">
        <f>IFERROR(__xludf.DUMMYFUNCTION("""COMPUTED_VALUE"""),"FIP-DOM-ENG-51404-0000000-INA-000000")</f>
        <v>FIP-DOM-ENG-51404-0000000-INA-000000</v>
      </c>
      <c r="P136" s="6" t="str">
        <f>IFERROR(__xludf.DUMMYFUNCTION("""COMPUTED_VALUE"""),"PO Closed")</f>
        <v>PO Closed</v>
      </c>
      <c r="Q136" s="6" t="str">
        <f>IFERROR(__xludf.DUMMYFUNCTION("""COMPUTED_VALUE"""),"GL1805007")</f>
        <v>GL1805007</v>
      </c>
      <c r="R136" s="16">
        <f>IFERROR(__xludf.DUMMYFUNCTION("""COMPUTED_VALUE"""),43205.0)</f>
        <v>43205</v>
      </c>
      <c r="S136" s="6" t="str">
        <f>IFERROR(__xludf.DUMMYFUNCTION("""COMPUTED_VALUE"""),"-")</f>
        <v>-</v>
      </c>
      <c r="T136" s="13">
        <f>IFERROR(__xludf.DUMMYFUNCTION("""COMPUTED_VALUE"""),43236.0)</f>
        <v>43236</v>
      </c>
    </row>
    <row r="137">
      <c r="A137" s="6" t="str">
        <f>IFERROR(__xludf.DUMMYFUNCTION("""COMPUTED_VALUE"""),"181750134-1")</f>
        <v>181750134-1</v>
      </c>
      <c r="B137" s="6" t="str">
        <f>IFERROR(__xludf.DUMMYFUNCTION("""COMPUTED_VALUE"""),"181750134 - Approved")</f>
        <v>181750134 - Approved</v>
      </c>
      <c r="C137" s="6">
        <f>IFERROR(__xludf.DUMMYFUNCTION("""COMPUTED_VALUE"""),1.0)</f>
        <v>1</v>
      </c>
      <c r="D137" s="6" t="str">
        <f>IFERROR(__xludf.DUMMYFUNCTION("""COMPUTED_VALUE"""),"P-51559-00")</f>
        <v>P-51559-00</v>
      </c>
      <c r="E137" s="6" t="str">
        <f>IFERROR(__xludf.DUMMYFUNCTION("""COMPUTED_VALUE"""),"Lampu T5 14watt Putih; Phillips; ;")</f>
        <v>Lampu T5 14watt Putih; Phillips; ;</v>
      </c>
      <c r="F137" s="6">
        <f>IFERROR(__xludf.DUMMYFUNCTION("""COMPUTED_VALUE"""),20.0)</f>
        <v>20</v>
      </c>
      <c r="G137" s="6" t="str">
        <f>IFERROR(__xludf.DUMMYFUNCTION("""COMPUTED_VALUE"""),"Pack")</f>
        <v>Pack</v>
      </c>
      <c r="H137" s="6" t="str">
        <f>IFERROR(__xludf.DUMMYFUNCTION("""COMPUTED_VALUE"""),"IDR")</f>
        <v>IDR</v>
      </c>
      <c r="I137" s="11">
        <f>IFERROR(__xludf.DUMMYFUNCTION("""COMPUTED_VALUE"""),29700.0)</f>
        <v>29700</v>
      </c>
      <c r="J137" s="11">
        <f>IFERROR(__xludf.DUMMYFUNCTION("""COMPUTED_VALUE"""),594000.0)</f>
        <v>594000</v>
      </c>
      <c r="K137" s="13">
        <f>IFERROR(__xludf.DUMMYFUNCTION("""COMPUTED_VALUE"""),43220.0)</f>
        <v>43220</v>
      </c>
      <c r="L137" s="6" t="str">
        <f>IFERROR(__xludf.DUMMYFUNCTION("""COMPUTED_VALUE"""),"FIP Engineering")</f>
        <v>FIP Engineering</v>
      </c>
      <c r="M137" s="6" t="str">
        <f>IFERROR(__xludf.DUMMYFUNCTION("""COMPUTED_VALUE"""),"Joko Nugroho")</f>
        <v>Joko Nugroho</v>
      </c>
      <c r="N137" s="6" t="str">
        <f>IFERROR(__xludf.DUMMYFUNCTION("""COMPUTED_VALUE"""),"FIP Engineering")</f>
        <v>FIP Engineering</v>
      </c>
      <c r="O137" s="6" t="str">
        <f>IFERROR(__xludf.DUMMYFUNCTION("""COMPUTED_VALUE"""),"FIP-DOM-000-11304-OS00001-INA-000000")</f>
        <v>FIP-DOM-000-11304-OS00001-INA-000000</v>
      </c>
      <c r="P137" s="6" t="str">
        <f>IFERROR(__xludf.DUMMYFUNCTION("""COMPUTED_VALUE"""),"PO Closed")</f>
        <v>PO Closed</v>
      </c>
      <c r="Q137" s="6" t="str">
        <f>IFERROR(__xludf.DUMMYFUNCTION("""COMPUTED_VALUE"""),"GL1804047")</f>
        <v>GL1804047</v>
      </c>
      <c r="R137" s="16">
        <f>IFERROR(__xludf.DUMMYFUNCTION("""COMPUTED_VALUE"""),43205.0)</f>
        <v>43205</v>
      </c>
      <c r="S137" s="6" t="str">
        <f>IFERROR(__xludf.DUMMYFUNCTION("""COMPUTED_VALUE"""),"-")</f>
        <v>-</v>
      </c>
      <c r="T137" s="13">
        <f>IFERROR(__xludf.DUMMYFUNCTION("""COMPUTED_VALUE"""),43223.0)</f>
        <v>43223</v>
      </c>
    </row>
    <row r="138">
      <c r="A138" s="6" t="str">
        <f>IFERROR(__xludf.DUMMYFUNCTION("""COMPUTED_VALUE"""),"181750134-2")</f>
        <v>181750134-2</v>
      </c>
      <c r="B138" s="6" t="str">
        <f>IFERROR(__xludf.DUMMYFUNCTION("""COMPUTED_VALUE"""),"181750134 - Approved")</f>
        <v>181750134 - Approved</v>
      </c>
      <c r="C138" s="6">
        <f>IFERROR(__xludf.DUMMYFUNCTION("""COMPUTED_VALUE"""),2.0)</f>
        <v>2</v>
      </c>
      <c r="D138" s="6" t="str">
        <f>IFERROR(__xludf.DUMMYFUNCTION("""COMPUTED_VALUE"""),"P-51560-00")</f>
        <v>P-51560-00</v>
      </c>
      <c r="E138" s="6" t="str">
        <f>IFERROR(__xludf.DUMMYFUNCTION("""COMPUTED_VALUE"""),"Lampu T5 28watt Putih; Phillips; ;")</f>
        <v>Lampu T5 28watt Putih; Phillips; ;</v>
      </c>
      <c r="F138" s="6">
        <f>IFERROR(__xludf.DUMMYFUNCTION("""COMPUTED_VALUE"""),20.0)</f>
        <v>20</v>
      </c>
      <c r="G138" s="6" t="str">
        <f>IFERROR(__xludf.DUMMYFUNCTION("""COMPUTED_VALUE"""),"Pieces")</f>
        <v>Pieces</v>
      </c>
      <c r="H138" s="6" t="str">
        <f>IFERROR(__xludf.DUMMYFUNCTION("""COMPUTED_VALUE"""),"IDR")</f>
        <v>IDR</v>
      </c>
      <c r="I138" s="11">
        <f>IFERROR(__xludf.DUMMYFUNCTION("""COMPUTED_VALUE"""),36000.0)</f>
        <v>36000</v>
      </c>
      <c r="J138" s="11">
        <f>IFERROR(__xludf.DUMMYFUNCTION("""COMPUTED_VALUE"""),720000.0)</f>
        <v>720000</v>
      </c>
      <c r="K138" s="17">
        <f>IFERROR(__xludf.DUMMYFUNCTION("""COMPUTED_VALUE"""),43220.0)</f>
        <v>43220</v>
      </c>
      <c r="L138" s="6" t="str">
        <f>IFERROR(__xludf.DUMMYFUNCTION("""COMPUTED_VALUE"""),"FIP Engineering")</f>
        <v>FIP Engineering</v>
      </c>
      <c r="M138" s="6" t="str">
        <f>IFERROR(__xludf.DUMMYFUNCTION("""COMPUTED_VALUE"""),"Joko Nugroho")</f>
        <v>Joko Nugroho</v>
      </c>
      <c r="N138" s="6" t="str">
        <f>IFERROR(__xludf.DUMMYFUNCTION("""COMPUTED_VALUE"""),"FIP Engineering")</f>
        <v>FIP Engineering</v>
      </c>
      <c r="O138" s="6" t="str">
        <f>IFERROR(__xludf.DUMMYFUNCTION("""COMPUTED_VALUE"""),"FIP-DOM-000-11304-OS00001-INA-000000")</f>
        <v>FIP-DOM-000-11304-OS00001-INA-000000</v>
      </c>
      <c r="P138" s="6" t="str">
        <f>IFERROR(__xludf.DUMMYFUNCTION("""COMPUTED_VALUE"""),"PO Closed")</f>
        <v>PO Closed</v>
      </c>
      <c r="Q138" s="6" t="str">
        <f>IFERROR(__xludf.DUMMYFUNCTION("""COMPUTED_VALUE"""),"GL1804047")</f>
        <v>GL1804047</v>
      </c>
      <c r="R138" s="16">
        <f>IFERROR(__xludf.DUMMYFUNCTION("""COMPUTED_VALUE"""),43205.0)</f>
        <v>43205</v>
      </c>
      <c r="S138" s="6" t="str">
        <f>IFERROR(__xludf.DUMMYFUNCTION("""COMPUTED_VALUE"""),"-")</f>
        <v>-</v>
      </c>
      <c r="T138" s="13">
        <f>IFERROR(__xludf.DUMMYFUNCTION("""COMPUTED_VALUE"""),43223.0)</f>
        <v>43223</v>
      </c>
    </row>
    <row r="139">
      <c r="A139" s="6" t="str">
        <f>IFERROR(__xludf.DUMMYFUNCTION("""COMPUTED_VALUE"""),"181750134-3")</f>
        <v>181750134-3</v>
      </c>
      <c r="B139" s="6" t="str">
        <f>IFERROR(__xludf.DUMMYFUNCTION("""COMPUTED_VALUE"""),"181750134 - Approved")</f>
        <v>181750134 - Approved</v>
      </c>
      <c r="C139" s="6">
        <f>IFERROR(__xludf.DUMMYFUNCTION("""COMPUTED_VALUE"""),3.0)</f>
        <v>3</v>
      </c>
      <c r="D139" s="6" t="str">
        <f>IFERROR(__xludf.DUMMYFUNCTION("""COMPUTED_VALUE"""),"P-53102-00")</f>
        <v>P-53102-00</v>
      </c>
      <c r="E139" s="6" t="str">
        <f>IFERROR(__xludf.DUMMYFUNCTION("""COMPUTED_VALUE"""),"Lampu PLC 13watt/E27 Putih; Phillips; ;")</f>
        <v>Lampu PLC 13watt/E27 Putih; Phillips; ;</v>
      </c>
      <c r="F139" s="6">
        <f>IFERROR(__xludf.DUMMYFUNCTION("""COMPUTED_VALUE"""),20.0)</f>
        <v>20</v>
      </c>
      <c r="G139" s="6" t="str">
        <f>IFERROR(__xludf.DUMMYFUNCTION("""COMPUTED_VALUE"""),"Pieces")</f>
        <v>Pieces</v>
      </c>
      <c r="H139" s="6" t="str">
        <f>IFERROR(__xludf.DUMMYFUNCTION("""COMPUTED_VALUE"""),"IDR")</f>
        <v>IDR</v>
      </c>
      <c r="I139" s="11">
        <f>IFERROR(__xludf.DUMMYFUNCTION("""COMPUTED_VALUE"""),26100.0)</f>
        <v>26100</v>
      </c>
      <c r="J139" s="11">
        <f>IFERROR(__xludf.DUMMYFUNCTION("""COMPUTED_VALUE"""),522000.0)</f>
        <v>522000</v>
      </c>
      <c r="K139" s="13">
        <f>IFERROR(__xludf.DUMMYFUNCTION("""COMPUTED_VALUE"""),43220.0)</f>
        <v>43220</v>
      </c>
      <c r="L139" s="6" t="str">
        <f>IFERROR(__xludf.DUMMYFUNCTION("""COMPUTED_VALUE"""),"FIP Engineering")</f>
        <v>FIP Engineering</v>
      </c>
      <c r="M139" s="6" t="str">
        <f>IFERROR(__xludf.DUMMYFUNCTION("""COMPUTED_VALUE"""),"Joko Nugroho")</f>
        <v>Joko Nugroho</v>
      </c>
      <c r="N139" s="6" t="str">
        <f>IFERROR(__xludf.DUMMYFUNCTION("""COMPUTED_VALUE"""),"FIP Engineering")</f>
        <v>FIP Engineering</v>
      </c>
      <c r="O139" s="6" t="str">
        <f>IFERROR(__xludf.DUMMYFUNCTION("""COMPUTED_VALUE"""),"FIP-DOM-000-11304-OS00001-INA-000000")</f>
        <v>FIP-DOM-000-11304-OS00001-INA-000000</v>
      </c>
      <c r="P139" s="6" t="str">
        <f>IFERROR(__xludf.DUMMYFUNCTION("""COMPUTED_VALUE"""),"PO Closed")</f>
        <v>PO Closed</v>
      </c>
      <c r="Q139" s="6" t="str">
        <f>IFERROR(__xludf.DUMMYFUNCTION("""COMPUTED_VALUE"""),"GL1804047")</f>
        <v>GL1804047</v>
      </c>
      <c r="R139" s="16">
        <f>IFERROR(__xludf.DUMMYFUNCTION("""COMPUTED_VALUE"""),43205.0)</f>
        <v>43205</v>
      </c>
      <c r="S139" s="6" t="str">
        <f>IFERROR(__xludf.DUMMYFUNCTION("""COMPUTED_VALUE"""),"-")</f>
        <v>-</v>
      </c>
      <c r="T139" s="13">
        <f>IFERROR(__xludf.DUMMYFUNCTION("""COMPUTED_VALUE"""),43223.0)</f>
        <v>43223</v>
      </c>
    </row>
    <row r="140">
      <c r="A140" s="6" t="str">
        <f>IFERROR(__xludf.DUMMYFUNCTION("""COMPUTED_VALUE"""),"181750134-4")</f>
        <v>181750134-4</v>
      </c>
      <c r="B140" s="6" t="str">
        <f>IFERROR(__xludf.DUMMYFUNCTION("""COMPUTED_VALUE"""),"181750134 - Approved")</f>
        <v>181750134 - Approved</v>
      </c>
      <c r="C140" s="6">
        <f>IFERROR(__xludf.DUMMYFUNCTION("""COMPUTED_VALUE"""),4.0)</f>
        <v>4</v>
      </c>
      <c r="D140" s="6" t="str">
        <f>IFERROR(__xludf.DUMMYFUNCTION("""COMPUTED_VALUE"""),"O-15718-00")</f>
        <v>O-15718-00</v>
      </c>
      <c r="E140" s="6" t="str">
        <f>IFERROR(__xludf.DUMMYFUNCTION("""COMPUTED_VALUE"""),"SYNTHETIC FOOD GRADE, CRC, NSF H1")</f>
        <v>SYNTHETIC FOOD GRADE, CRC, NSF H1</v>
      </c>
      <c r="F140" s="6">
        <f>IFERROR(__xludf.DUMMYFUNCTION("""COMPUTED_VALUE"""),2.0)</f>
        <v>2</v>
      </c>
      <c r="G140" s="6" t="str">
        <f>IFERROR(__xludf.DUMMYFUNCTION("""COMPUTED_VALUE"""),"Pieces")</f>
        <v>Pieces</v>
      </c>
      <c r="H140" s="6" t="str">
        <f>IFERROR(__xludf.DUMMYFUNCTION("""COMPUTED_VALUE"""),"IDR")</f>
        <v>IDR</v>
      </c>
      <c r="I140" s="11">
        <f>IFERROR(__xludf.DUMMYFUNCTION("""COMPUTED_VALUE"""),243000.0)</f>
        <v>243000</v>
      </c>
      <c r="J140" s="11">
        <f>IFERROR(__xludf.DUMMYFUNCTION("""COMPUTED_VALUE"""),486000.0)</f>
        <v>486000</v>
      </c>
      <c r="K140" s="13">
        <f>IFERROR(__xludf.DUMMYFUNCTION("""COMPUTED_VALUE"""),43220.0)</f>
        <v>43220</v>
      </c>
      <c r="L140" s="6" t="str">
        <f>IFERROR(__xludf.DUMMYFUNCTION("""COMPUTED_VALUE"""),"FIP Engineering")</f>
        <v>FIP Engineering</v>
      </c>
      <c r="M140" s="6" t="str">
        <f>IFERROR(__xludf.DUMMYFUNCTION("""COMPUTED_VALUE"""),"Joko Nugroho")</f>
        <v>Joko Nugroho</v>
      </c>
      <c r="N140" s="6" t="str">
        <f>IFERROR(__xludf.DUMMYFUNCTION("""COMPUTED_VALUE"""),"FIP Engineering")</f>
        <v>FIP Engineering</v>
      </c>
      <c r="O140" s="6" t="str">
        <f>IFERROR(__xludf.DUMMYFUNCTION("""COMPUTED_VALUE"""),"FIP-DOM-000-11304-OS00001-INA-000000")</f>
        <v>FIP-DOM-000-11304-OS00001-INA-000000</v>
      </c>
      <c r="P140" s="6" t="str">
        <f>IFERROR(__xludf.DUMMYFUNCTION("""COMPUTED_VALUE"""),"PO Closed")</f>
        <v>PO Closed</v>
      </c>
      <c r="Q140" s="6" t="str">
        <f>IFERROR(__xludf.DUMMYFUNCTION("""COMPUTED_VALUE"""),"GL1804047")</f>
        <v>GL1804047</v>
      </c>
      <c r="R140" s="16">
        <f>IFERROR(__xludf.DUMMYFUNCTION("""COMPUTED_VALUE"""),43205.0)</f>
        <v>43205</v>
      </c>
      <c r="S140" s="6" t="str">
        <f>IFERROR(__xludf.DUMMYFUNCTION("""COMPUTED_VALUE"""),"-")</f>
        <v>-</v>
      </c>
      <c r="T140" s="13">
        <f>IFERROR(__xludf.DUMMYFUNCTION("""COMPUTED_VALUE"""),43223.0)</f>
        <v>43223</v>
      </c>
    </row>
    <row r="141">
      <c r="A141" s="6" t="str">
        <f>IFERROR(__xludf.DUMMYFUNCTION("""COMPUTED_VALUE"""),"181750134-5")</f>
        <v>181750134-5</v>
      </c>
      <c r="B141" s="6" t="str">
        <f>IFERROR(__xludf.DUMMYFUNCTION("""COMPUTED_VALUE"""),"181750134 - Approved")</f>
        <v>181750134 - Approved</v>
      </c>
      <c r="C141" s="6">
        <f>IFERROR(__xludf.DUMMYFUNCTION("""COMPUTED_VALUE"""),5.0)</f>
        <v>5</v>
      </c>
      <c r="D141" s="6" t="str">
        <f>IFERROR(__xludf.DUMMYFUNCTION("""COMPUTED_VALUE"""),"P-13383-00")</f>
        <v>P-13383-00</v>
      </c>
      <c r="E141" s="6" t="str">
        <f>IFERROR(__xludf.DUMMYFUNCTION("""COMPUTED_VALUE"""),"Silicone Sealant High Temp Red; ; ;")</f>
        <v>Silicone Sealant High Temp Red; ; ;</v>
      </c>
      <c r="F141" s="6">
        <f>IFERROR(__xludf.DUMMYFUNCTION("""COMPUTED_VALUE"""),4.0)</f>
        <v>4</v>
      </c>
      <c r="G141" s="6" t="str">
        <f>IFERROR(__xludf.DUMMYFUNCTION("""COMPUTED_VALUE"""),"Pieces")</f>
        <v>Pieces</v>
      </c>
      <c r="H141" s="6" t="str">
        <f>IFERROR(__xludf.DUMMYFUNCTION("""COMPUTED_VALUE"""),"IDR")</f>
        <v>IDR</v>
      </c>
      <c r="I141" s="11">
        <f>IFERROR(__xludf.DUMMYFUNCTION("""COMPUTED_VALUE"""),26000.0)</f>
        <v>26000</v>
      </c>
      <c r="J141" s="11">
        <f>IFERROR(__xludf.DUMMYFUNCTION("""COMPUTED_VALUE"""),104000.0)</f>
        <v>104000</v>
      </c>
      <c r="K141" s="13">
        <f>IFERROR(__xludf.DUMMYFUNCTION("""COMPUTED_VALUE"""),43220.0)</f>
        <v>43220</v>
      </c>
      <c r="L141" s="6" t="str">
        <f>IFERROR(__xludf.DUMMYFUNCTION("""COMPUTED_VALUE"""),"FIP Engineering")</f>
        <v>FIP Engineering</v>
      </c>
      <c r="M141" s="6" t="str">
        <f>IFERROR(__xludf.DUMMYFUNCTION("""COMPUTED_VALUE"""),"Joko Nugroho")</f>
        <v>Joko Nugroho</v>
      </c>
      <c r="N141" s="6" t="str">
        <f>IFERROR(__xludf.DUMMYFUNCTION("""COMPUTED_VALUE"""),"FIP Engineering")</f>
        <v>FIP Engineering</v>
      </c>
      <c r="O141" s="6" t="str">
        <f>IFERROR(__xludf.DUMMYFUNCTION("""COMPUTED_VALUE"""),"FIP-DOM-000-11304-OS00001-INA-000000")</f>
        <v>FIP-DOM-000-11304-OS00001-INA-000000</v>
      </c>
      <c r="P141" s="6" t="str">
        <f>IFERROR(__xludf.DUMMYFUNCTION("""COMPUTED_VALUE"""),"PO Closed")</f>
        <v>PO Closed</v>
      </c>
      <c r="Q141" s="6" t="str">
        <f>IFERROR(__xludf.DUMMYFUNCTION("""COMPUTED_VALUE"""),"GL1804047")</f>
        <v>GL1804047</v>
      </c>
      <c r="R141" s="16">
        <f>IFERROR(__xludf.DUMMYFUNCTION("""COMPUTED_VALUE"""),43205.0)</f>
        <v>43205</v>
      </c>
      <c r="S141" s="6" t="str">
        <f>IFERROR(__xludf.DUMMYFUNCTION("""COMPUTED_VALUE"""),"-")</f>
        <v>-</v>
      </c>
      <c r="T141" s="13">
        <f>IFERROR(__xludf.DUMMYFUNCTION("""COMPUTED_VALUE"""),43223.0)</f>
        <v>43223</v>
      </c>
    </row>
    <row r="142">
      <c r="A142" s="6" t="str">
        <f>IFERROR(__xludf.DUMMYFUNCTION("""COMPUTED_VALUE"""),"181750134-6")</f>
        <v>181750134-6</v>
      </c>
      <c r="B142" s="6" t="str">
        <f>IFERROR(__xludf.DUMMYFUNCTION("""COMPUTED_VALUE"""),"181750134 - Approved")</f>
        <v>181750134 - Approved</v>
      </c>
      <c r="C142" s="6">
        <f>IFERROR(__xludf.DUMMYFUNCTION("""COMPUTED_VALUE"""),6.0)</f>
        <v>6</v>
      </c>
      <c r="D142" s="6" t="str">
        <f>IFERROR(__xludf.DUMMYFUNCTION("""COMPUTED_VALUE"""),"P-53213-00")</f>
        <v>P-53213-00</v>
      </c>
      <c r="E142" s="6" t="str">
        <f>IFERROR(__xludf.DUMMYFUNCTION("""COMPUTED_VALUE"""),"Lem Pipa PVC; ; ;")</f>
        <v>Lem Pipa PVC; ; ;</v>
      </c>
      <c r="F142" s="6">
        <f>IFERROR(__xludf.DUMMYFUNCTION("""COMPUTED_VALUE"""),4.0)</f>
        <v>4</v>
      </c>
      <c r="G142" s="6" t="str">
        <f>IFERROR(__xludf.DUMMYFUNCTION("""COMPUTED_VALUE"""),"Pieces")</f>
        <v>Pieces</v>
      </c>
      <c r="H142" s="6" t="str">
        <f>IFERROR(__xludf.DUMMYFUNCTION("""COMPUTED_VALUE"""),"IDR")</f>
        <v>IDR</v>
      </c>
      <c r="I142" s="11">
        <f>IFERROR(__xludf.DUMMYFUNCTION("""COMPUTED_VALUE"""),8100.0)</f>
        <v>8100</v>
      </c>
      <c r="J142" s="11">
        <f>IFERROR(__xludf.DUMMYFUNCTION("""COMPUTED_VALUE"""),32400.0)</f>
        <v>32400</v>
      </c>
      <c r="K142" s="13">
        <f>IFERROR(__xludf.DUMMYFUNCTION("""COMPUTED_VALUE"""),43220.0)</f>
        <v>43220</v>
      </c>
      <c r="L142" s="6" t="str">
        <f>IFERROR(__xludf.DUMMYFUNCTION("""COMPUTED_VALUE"""),"FIP Engineering")</f>
        <v>FIP Engineering</v>
      </c>
      <c r="M142" s="6" t="str">
        <f>IFERROR(__xludf.DUMMYFUNCTION("""COMPUTED_VALUE"""),"Joko Nugroho")</f>
        <v>Joko Nugroho</v>
      </c>
      <c r="N142" s="6" t="str">
        <f>IFERROR(__xludf.DUMMYFUNCTION("""COMPUTED_VALUE"""),"FIP Engineering")</f>
        <v>FIP Engineering</v>
      </c>
      <c r="O142" s="6" t="str">
        <f>IFERROR(__xludf.DUMMYFUNCTION("""COMPUTED_VALUE"""),"FIP-DOM-000-11304-OS00001-INA-000000")</f>
        <v>FIP-DOM-000-11304-OS00001-INA-000000</v>
      </c>
      <c r="P142" s="6" t="str">
        <f>IFERROR(__xludf.DUMMYFUNCTION("""COMPUTED_VALUE"""),"PO Closed")</f>
        <v>PO Closed</v>
      </c>
      <c r="Q142" s="6" t="str">
        <f>IFERROR(__xludf.DUMMYFUNCTION("""COMPUTED_VALUE"""),"GL1804047")</f>
        <v>GL1804047</v>
      </c>
      <c r="R142" s="16">
        <f>IFERROR(__xludf.DUMMYFUNCTION("""COMPUTED_VALUE"""),43205.0)</f>
        <v>43205</v>
      </c>
      <c r="S142" s="6" t="str">
        <f>IFERROR(__xludf.DUMMYFUNCTION("""COMPUTED_VALUE"""),"-")</f>
        <v>-</v>
      </c>
      <c r="T142" s="13">
        <f>IFERROR(__xludf.DUMMYFUNCTION("""COMPUTED_VALUE"""),43223.0)</f>
        <v>43223</v>
      </c>
    </row>
    <row r="143">
      <c r="A143" s="6" t="str">
        <f>IFERROR(__xludf.DUMMYFUNCTION("""COMPUTED_VALUE"""),"181750134-7")</f>
        <v>181750134-7</v>
      </c>
      <c r="B143" s="6" t="str">
        <f>IFERROR(__xludf.DUMMYFUNCTION("""COMPUTED_VALUE"""),"181750134 - Approved")</f>
        <v>181750134 - Approved</v>
      </c>
      <c r="C143" s="6">
        <f>IFERROR(__xludf.DUMMYFUNCTION("""COMPUTED_VALUE"""),7.0)</f>
        <v>7</v>
      </c>
      <c r="D143" s="6" t="str">
        <f>IFERROR(__xludf.DUMMYFUNCTION("""COMPUTED_VALUE"""),"P-53214-00")</f>
        <v>P-53214-00</v>
      </c>
      <c r="E143" s="6" t="str">
        <f>IFERROR(__xludf.DUMMYFUNCTION("""COMPUTED_VALUE"""),"Epoxy Adhesive DEXTONE; ; ;")</f>
        <v>Epoxy Adhesive DEXTONE; ; ;</v>
      </c>
      <c r="F143" s="6">
        <f>IFERROR(__xludf.DUMMYFUNCTION("""COMPUTED_VALUE"""),4.0)</f>
        <v>4</v>
      </c>
      <c r="G143" s="6" t="str">
        <f>IFERROR(__xludf.DUMMYFUNCTION("""COMPUTED_VALUE"""),"Pieces")</f>
        <v>Pieces</v>
      </c>
      <c r="H143" s="6" t="str">
        <f>IFERROR(__xludf.DUMMYFUNCTION("""COMPUTED_VALUE"""),"IDR")</f>
        <v>IDR</v>
      </c>
      <c r="I143" s="11">
        <f>IFERROR(__xludf.DUMMYFUNCTION("""COMPUTED_VALUE"""),13500.0)</f>
        <v>13500</v>
      </c>
      <c r="J143" s="11">
        <f>IFERROR(__xludf.DUMMYFUNCTION("""COMPUTED_VALUE"""),54000.0)</f>
        <v>54000</v>
      </c>
      <c r="K143" s="13">
        <f>IFERROR(__xludf.DUMMYFUNCTION("""COMPUTED_VALUE"""),43220.0)</f>
        <v>43220</v>
      </c>
      <c r="L143" s="6" t="str">
        <f>IFERROR(__xludf.DUMMYFUNCTION("""COMPUTED_VALUE"""),"FIP Engineering")</f>
        <v>FIP Engineering</v>
      </c>
      <c r="M143" s="6" t="str">
        <f>IFERROR(__xludf.DUMMYFUNCTION("""COMPUTED_VALUE"""),"Joko Nugroho")</f>
        <v>Joko Nugroho</v>
      </c>
      <c r="N143" s="6" t="str">
        <f>IFERROR(__xludf.DUMMYFUNCTION("""COMPUTED_VALUE"""),"FIP Engineering")</f>
        <v>FIP Engineering</v>
      </c>
      <c r="O143" s="6" t="str">
        <f>IFERROR(__xludf.DUMMYFUNCTION("""COMPUTED_VALUE"""),"FIP-DOM-000-11304-OS00001-INA-000000")</f>
        <v>FIP-DOM-000-11304-OS00001-INA-000000</v>
      </c>
      <c r="P143" s="6" t="str">
        <f>IFERROR(__xludf.DUMMYFUNCTION("""COMPUTED_VALUE"""),"PO Closed")</f>
        <v>PO Closed</v>
      </c>
      <c r="Q143" s="6" t="str">
        <f>IFERROR(__xludf.DUMMYFUNCTION("""COMPUTED_VALUE"""),"GL1804047")</f>
        <v>GL1804047</v>
      </c>
      <c r="R143" s="16">
        <f>IFERROR(__xludf.DUMMYFUNCTION("""COMPUTED_VALUE"""),43205.0)</f>
        <v>43205</v>
      </c>
      <c r="S143" s="6" t="str">
        <f>IFERROR(__xludf.DUMMYFUNCTION("""COMPUTED_VALUE"""),"-")</f>
        <v>-</v>
      </c>
      <c r="T143" s="13">
        <f>IFERROR(__xludf.DUMMYFUNCTION("""COMPUTED_VALUE"""),43223.0)</f>
        <v>43223</v>
      </c>
    </row>
    <row r="144">
      <c r="A144" s="6" t="str">
        <f>IFERROR(__xludf.DUMMYFUNCTION("""COMPUTED_VALUE"""),"181750134-8")</f>
        <v>181750134-8</v>
      </c>
      <c r="B144" s="6" t="str">
        <f>IFERROR(__xludf.DUMMYFUNCTION("""COMPUTED_VALUE"""),"181750134 - Approved")</f>
        <v>181750134 - Approved</v>
      </c>
      <c r="C144" s="6">
        <f>IFERROR(__xludf.DUMMYFUNCTION("""COMPUTED_VALUE"""),8.0)</f>
        <v>8</v>
      </c>
      <c r="D144" s="6" t="str">
        <f>IFERROR(__xludf.DUMMYFUNCTION("""COMPUTED_VALUE"""),"P-10945-00")</f>
        <v>P-10945-00</v>
      </c>
      <c r="E144" s="6" t="str">
        <f>IFERROR(__xludf.DUMMYFUNCTION("""COMPUTED_VALUE"""),"Insulation - Seal Tape onda")</f>
        <v>Insulation - Seal Tape onda</v>
      </c>
      <c r="F144" s="6">
        <f>IFERROR(__xludf.DUMMYFUNCTION("""COMPUTED_VALUE"""),10.0)</f>
        <v>10</v>
      </c>
      <c r="G144" s="6" t="str">
        <f>IFERROR(__xludf.DUMMYFUNCTION("""COMPUTED_VALUE"""),"Pieces")</f>
        <v>Pieces</v>
      </c>
      <c r="H144" s="6" t="str">
        <f>IFERROR(__xludf.DUMMYFUNCTION("""COMPUTED_VALUE"""),"IDR")</f>
        <v>IDR</v>
      </c>
      <c r="I144" s="11">
        <f>IFERROR(__xludf.DUMMYFUNCTION("""COMPUTED_VALUE"""),4500.0)</f>
        <v>4500</v>
      </c>
      <c r="J144" s="11">
        <f>IFERROR(__xludf.DUMMYFUNCTION("""COMPUTED_VALUE"""),45000.0)</f>
        <v>45000</v>
      </c>
      <c r="K144" s="13">
        <f>IFERROR(__xludf.DUMMYFUNCTION("""COMPUTED_VALUE"""),43220.0)</f>
        <v>43220</v>
      </c>
      <c r="L144" s="6" t="str">
        <f>IFERROR(__xludf.DUMMYFUNCTION("""COMPUTED_VALUE"""),"FIP Engineering")</f>
        <v>FIP Engineering</v>
      </c>
      <c r="M144" s="6" t="str">
        <f>IFERROR(__xludf.DUMMYFUNCTION("""COMPUTED_VALUE"""),"Joko Nugroho")</f>
        <v>Joko Nugroho</v>
      </c>
      <c r="N144" s="6" t="str">
        <f>IFERROR(__xludf.DUMMYFUNCTION("""COMPUTED_VALUE"""),"FIP Engineering")</f>
        <v>FIP Engineering</v>
      </c>
      <c r="O144" s="6" t="str">
        <f>IFERROR(__xludf.DUMMYFUNCTION("""COMPUTED_VALUE"""),"FIP-DOM-000-11304-OS00001-INA-000000")</f>
        <v>FIP-DOM-000-11304-OS00001-INA-000000</v>
      </c>
      <c r="P144" s="6" t="str">
        <f>IFERROR(__xludf.DUMMYFUNCTION("""COMPUTED_VALUE"""),"PO Closed")</f>
        <v>PO Closed</v>
      </c>
      <c r="Q144" s="6" t="str">
        <f>IFERROR(__xludf.DUMMYFUNCTION("""COMPUTED_VALUE"""),"GL1804047")</f>
        <v>GL1804047</v>
      </c>
      <c r="R144" s="16">
        <f>IFERROR(__xludf.DUMMYFUNCTION("""COMPUTED_VALUE"""),43205.0)</f>
        <v>43205</v>
      </c>
      <c r="S144" s="6" t="str">
        <f>IFERROR(__xludf.DUMMYFUNCTION("""COMPUTED_VALUE"""),"-")</f>
        <v>-</v>
      </c>
      <c r="T144" s="13">
        <f>IFERROR(__xludf.DUMMYFUNCTION("""COMPUTED_VALUE"""),43223.0)</f>
        <v>43223</v>
      </c>
    </row>
    <row r="145">
      <c r="A145" s="6" t="str">
        <f>IFERROR(__xludf.DUMMYFUNCTION("""COMPUTED_VALUE"""),"181750133-1")</f>
        <v>181750133-1</v>
      </c>
      <c r="B145" s="6" t="str">
        <f>IFERROR(__xludf.DUMMYFUNCTION("""COMPUTED_VALUE"""),"181750133 - Approved")</f>
        <v>181750133 - Approved</v>
      </c>
      <c r="C145" s="6">
        <f>IFERROR(__xludf.DUMMYFUNCTION("""COMPUTED_VALUE"""),1.0)</f>
        <v>1</v>
      </c>
      <c r="D145" s="6" t="str">
        <f>IFERROR(__xludf.DUMMYFUNCTION("""COMPUTED_VALUE"""),"S-11614-00")</f>
        <v>S-11614-00</v>
      </c>
      <c r="E145" s="6" t="str">
        <f>IFERROR(__xludf.DUMMYFUNCTION("""COMPUTED_VALUE"""),"Jerigen Putih 5 L")</f>
        <v>Jerigen Putih 5 L</v>
      </c>
      <c r="F145" s="6">
        <f>IFERROR(__xludf.DUMMYFUNCTION("""COMPUTED_VALUE"""),3.0)</f>
        <v>3</v>
      </c>
      <c r="G145" s="6" t="str">
        <f>IFERROR(__xludf.DUMMYFUNCTION("""COMPUTED_VALUE"""),"Pieces")</f>
        <v>Pieces</v>
      </c>
      <c r="H145" s="6" t="str">
        <f>IFERROR(__xludf.DUMMYFUNCTION("""COMPUTED_VALUE"""),"IDR")</f>
        <v>IDR</v>
      </c>
      <c r="I145" s="11">
        <f>IFERROR(__xludf.DUMMYFUNCTION("""COMPUTED_VALUE"""),15000.0)</f>
        <v>15000</v>
      </c>
      <c r="J145" s="11">
        <f>IFERROR(__xludf.DUMMYFUNCTION("""COMPUTED_VALUE"""),45000.0)</f>
        <v>45000</v>
      </c>
      <c r="K145" s="13">
        <f>IFERROR(__xludf.DUMMYFUNCTION("""COMPUTED_VALUE"""),43221.0)</f>
        <v>43221</v>
      </c>
      <c r="L145" s="6" t="str">
        <f>IFERROR(__xludf.DUMMYFUNCTION("""COMPUTED_VALUE"""),"FIP General")</f>
        <v>FIP General</v>
      </c>
      <c r="M145" s="6" t="str">
        <f>IFERROR(__xludf.DUMMYFUNCTION("""COMPUTED_VALUE"""),"Joko Nugroho")</f>
        <v>Joko Nugroho</v>
      </c>
      <c r="N145" s="6" t="str">
        <f>IFERROR(__xludf.DUMMYFUNCTION("""COMPUTED_VALUE"""),"FIP Engineering")</f>
        <v>FIP Engineering</v>
      </c>
      <c r="O145" s="6" t="str">
        <f>IFERROR(__xludf.DUMMYFUNCTION("""COMPUTED_VALUE"""),"FIP-DOM-ENG-51302-0000000-INA-000000")</f>
        <v>FIP-DOM-ENG-51302-0000000-INA-000000</v>
      </c>
      <c r="P145" s="6" t="str">
        <f>IFERROR(__xludf.DUMMYFUNCTION("""COMPUTED_VALUE"""),"PO Closed")</f>
        <v>PO Closed</v>
      </c>
      <c r="Q145" s="6" t="str">
        <f>IFERROR(__xludf.DUMMYFUNCTION("""COMPUTED_VALUE"""),"GL1804044")</f>
        <v>GL1804044</v>
      </c>
      <c r="R145" s="16">
        <f>IFERROR(__xludf.DUMMYFUNCTION("""COMPUTED_VALUE"""),43205.0)</f>
        <v>43205</v>
      </c>
      <c r="S145" s="6" t="str">
        <f>IFERROR(__xludf.DUMMYFUNCTION("""COMPUTED_VALUE"""),"-")</f>
        <v>-</v>
      </c>
      <c r="T145" s="13">
        <f>IFERROR(__xludf.DUMMYFUNCTION("""COMPUTED_VALUE"""),43217.0)</f>
        <v>43217</v>
      </c>
    </row>
    <row r="146">
      <c r="A146" s="6" t="str">
        <f>IFERROR(__xludf.DUMMYFUNCTION("""COMPUTED_VALUE"""),"181750133-5")</f>
        <v>181750133-5</v>
      </c>
      <c r="B146" s="6" t="str">
        <f>IFERROR(__xludf.DUMMYFUNCTION("""COMPUTED_VALUE"""),"181750133 - Approved")</f>
        <v>181750133 - Approved</v>
      </c>
      <c r="C146" s="6">
        <f>IFERROR(__xludf.DUMMYFUNCTION("""COMPUTED_VALUE"""),5.0)</f>
        <v>5</v>
      </c>
      <c r="D146" s="6" t="str">
        <f>IFERROR(__xludf.DUMMYFUNCTION("""COMPUTED_VALUE"""),"P-10283-00")</f>
        <v>P-10283-00</v>
      </c>
      <c r="E146" s="6" t="str">
        <f>IFERROR(__xludf.DUMMYFUNCTION("""COMPUTED_VALUE"""),"Abrasive - Amplas SS Scoth Brite 3M")</f>
        <v>Abrasive - Amplas SS Scoth Brite 3M</v>
      </c>
      <c r="F146" s="6">
        <f>IFERROR(__xludf.DUMMYFUNCTION("""COMPUTED_VALUE"""),2.0)</f>
        <v>2</v>
      </c>
      <c r="G146" s="6" t="str">
        <f>IFERROR(__xludf.DUMMYFUNCTION("""COMPUTED_VALUE"""),"Pieces")</f>
        <v>Pieces</v>
      </c>
      <c r="H146" s="6" t="str">
        <f>IFERROR(__xludf.DUMMYFUNCTION("""COMPUTED_VALUE"""),"IDR")</f>
        <v>IDR</v>
      </c>
      <c r="I146" s="11">
        <f>IFERROR(__xludf.DUMMYFUNCTION("""COMPUTED_VALUE"""),12000.0)</f>
        <v>12000</v>
      </c>
      <c r="J146" s="11">
        <f>IFERROR(__xludf.DUMMYFUNCTION("""COMPUTED_VALUE"""),24000.0)</f>
        <v>24000</v>
      </c>
      <c r="K146" s="13">
        <f>IFERROR(__xludf.DUMMYFUNCTION("""COMPUTED_VALUE"""),43221.0)</f>
        <v>43221</v>
      </c>
      <c r="L146" s="6" t="str">
        <f>IFERROR(__xludf.DUMMYFUNCTION("""COMPUTED_VALUE"""),"FIP Engineering")</f>
        <v>FIP Engineering</v>
      </c>
      <c r="M146" s="6" t="str">
        <f>IFERROR(__xludf.DUMMYFUNCTION("""COMPUTED_VALUE"""),"Joko Nugroho")</f>
        <v>Joko Nugroho</v>
      </c>
      <c r="N146" s="6" t="str">
        <f>IFERROR(__xludf.DUMMYFUNCTION("""COMPUTED_VALUE"""),"FIP Engineering")</f>
        <v>FIP Engineering</v>
      </c>
      <c r="O146" s="6" t="str">
        <f>IFERROR(__xludf.DUMMYFUNCTION("""COMPUTED_VALUE"""),"FIP-DOM-000-11304-OS00001-INA-000000")</f>
        <v>FIP-DOM-000-11304-OS00001-INA-000000</v>
      </c>
      <c r="P146" s="6" t="str">
        <f>IFERROR(__xludf.DUMMYFUNCTION("""COMPUTED_VALUE"""),"PO Closed")</f>
        <v>PO Closed</v>
      </c>
      <c r="Q146" s="6" t="str">
        <f>IFERROR(__xludf.DUMMYFUNCTION("""COMPUTED_VALUE"""),"GL1804044")</f>
        <v>GL1804044</v>
      </c>
      <c r="R146" s="16">
        <f>IFERROR(__xludf.DUMMYFUNCTION("""COMPUTED_VALUE"""),43205.0)</f>
        <v>43205</v>
      </c>
      <c r="S146" s="6" t="str">
        <f>IFERROR(__xludf.DUMMYFUNCTION("""COMPUTED_VALUE"""),"-")</f>
        <v>-</v>
      </c>
      <c r="T146" s="13">
        <f>IFERROR(__xludf.DUMMYFUNCTION("""COMPUTED_VALUE"""),43217.0)</f>
        <v>43217</v>
      </c>
    </row>
    <row r="147">
      <c r="A147" s="6" t="str">
        <f>IFERROR(__xludf.DUMMYFUNCTION("""COMPUTED_VALUE"""),"181750133-10")</f>
        <v>181750133-10</v>
      </c>
      <c r="B147" s="6" t="str">
        <f>IFERROR(__xludf.DUMMYFUNCTION("""COMPUTED_VALUE"""),"181750133 - Approved")</f>
        <v>181750133 - Approved</v>
      </c>
      <c r="C147" s="6">
        <f>IFERROR(__xludf.DUMMYFUNCTION("""COMPUTED_VALUE"""),10.0)</f>
        <v>10</v>
      </c>
      <c r="D147" s="6" t="str">
        <f>IFERROR(__xludf.DUMMYFUNCTION("""COMPUTED_VALUE"""),"T-80372-00")</f>
        <v>T-80372-00</v>
      </c>
      <c r="E147" s="6" t="str">
        <f>IFERROR(__xludf.DUMMYFUNCTION("""COMPUTED_VALUE"""),"Plakban Kertas 1""")</f>
        <v>Plakban Kertas 1"</v>
      </c>
      <c r="F147" s="6">
        <f>IFERROR(__xludf.DUMMYFUNCTION("""COMPUTED_VALUE"""),10.0)</f>
        <v>10</v>
      </c>
      <c r="G147" s="6" t="str">
        <f>IFERROR(__xludf.DUMMYFUNCTION("""COMPUTED_VALUE"""),"Roll")</f>
        <v>Roll</v>
      </c>
      <c r="H147" s="6" t="str">
        <f>IFERROR(__xludf.DUMMYFUNCTION("""COMPUTED_VALUE"""),"IDR")</f>
        <v>IDR</v>
      </c>
      <c r="I147" s="11">
        <f>IFERROR(__xludf.DUMMYFUNCTION("""COMPUTED_VALUE"""),6000.0)</f>
        <v>6000</v>
      </c>
      <c r="J147" s="11">
        <f>IFERROR(__xludf.DUMMYFUNCTION("""COMPUTED_VALUE"""),60000.0)</f>
        <v>60000</v>
      </c>
      <c r="K147" s="13">
        <f>IFERROR(__xludf.DUMMYFUNCTION("""COMPUTED_VALUE"""),43221.0)</f>
        <v>43221</v>
      </c>
      <c r="L147" s="6" t="str">
        <f>IFERROR(__xludf.DUMMYFUNCTION("""COMPUTED_VALUE"""),"FIP General")</f>
        <v>FIP General</v>
      </c>
      <c r="M147" s="6" t="str">
        <f>IFERROR(__xludf.DUMMYFUNCTION("""COMPUTED_VALUE"""),"Joko Nugroho")</f>
        <v>Joko Nugroho</v>
      </c>
      <c r="N147" s="6" t="str">
        <f>IFERROR(__xludf.DUMMYFUNCTION("""COMPUTED_VALUE"""),"FIP Engineering")</f>
        <v>FIP Engineering</v>
      </c>
      <c r="O147" s="6" t="str">
        <f>IFERROR(__xludf.DUMMYFUNCTION("""COMPUTED_VALUE"""),"FIP-DOM-ENG-51411-0000000-INA-000000")</f>
        <v>FIP-DOM-ENG-51411-0000000-INA-000000</v>
      </c>
      <c r="P147" s="6" t="str">
        <f>IFERROR(__xludf.DUMMYFUNCTION("""COMPUTED_VALUE"""),"PO Closed")</f>
        <v>PO Closed</v>
      </c>
      <c r="Q147" s="6" t="str">
        <f>IFERROR(__xludf.DUMMYFUNCTION("""COMPUTED_VALUE"""),"GL1804044")</f>
        <v>GL1804044</v>
      </c>
      <c r="R147" s="16">
        <f>IFERROR(__xludf.DUMMYFUNCTION("""COMPUTED_VALUE"""),43205.0)</f>
        <v>43205</v>
      </c>
      <c r="S147" s="6" t="str">
        <f>IFERROR(__xludf.DUMMYFUNCTION("""COMPUTED_VALUE"""),"-")</f>
        <v>-</v>
      </c>
      <c r="T147" s="17">
        <f>IFERROR(__xludf.DUMMYFUNCTION("""COMPUTED_VALUE"""),43217.0)</f>
        <v>43217</v>
      </c>
    </row>
    <row r="148">
      <c r="A148" s="6" t="str">
        <f>IFERROR(__xludf.DUMMYFUNCTION("""COMPUTED_VALUE"""),"181750133-11")</f>
        <v>181750133-11</v>
      </c>
      <c r="B148" s="6" t="str">
        <f>IFERROR(__xludf.DUMMYFUNCTION("""COMPUTED_VALUE"""),"181750133 - Approved")</f>
        <v>181750133 - Approved</v>
      </c>
      <c r="C148" s="6">
        <f>IFERROR(__xludf.DUMMYFUNCTION("""COMPUTED_VALUE"""),11.0)</f>
        <v>11</v>
      </c>
      <c r="D148" s="6" t="str">
        <f>IFERROR(__xludf.DUMMYFUNCTION("""COMPUTED_VALUE"""),"Q-60026-00")</f>
        <v>Q-60026-00</v>
      </c>
      <c r="E148" s="6" t="str">
        <f>IFERROR(__xludf.DUMMYFUNCTION("""COMPUTED_VALUE"""),"Kuas Eterna 2""")</f>
        <v>Kuas Eterna 2"</v>
      </c>
      <c r="F148" s="6">
        <f>IFERROR(__xludf.DUMMYFUNCTION("""COMPUTED_VALUE"""),3.0)</f>
        <v>3</v>
      </c>
      <c r="G148" s="6" t="str">
        <f>IFERROR(__xludf.DUMMYFUNCTION("""COMPUTED_VALUE"""),"Pieces")</f>
        <v>Pieces</v>
      </c>
      <c r="H148" s="6" t="str">
        <f>IFERROR(__xludf.DUMMYFUNCTION("""COMPUTED_VALUE"""),"IDR")</f>
        <v>IDR</v>
      </c>
      <c r="I148" s="11">
        <f>IFERROR(__xludf.DUMMYFUNCTION("""COMPUTED_VALUE"""),6000.0)</f>
        <v>6000</v>
      </c>
      <c r="J148" s="11">
        <f>IFERROR(__xludf.DUMMYFUNCTION("""COMPUTED_VALUE"""),18000.0)</f>
        <v>18000</v>
      </c>
      <c r="K148" s="17">
        <f>IFERROR(__xludf.DUMMYFUNCTION("""COMPUTED_VALUE"""),43221.0)</f>
        <v>43221</v>
      </c>
      <c r="L148" s="6" t="str">
        <f>IFERROR(__xludf.DUMMYFUNCTION("""COMPUTED_VALUE"""),"FIP General")</f>
        <v>FIP General</v>
      </c>
      <c r="M148" s="6" t="str">
        <f>IFERROR(__xludf.DUMMYFUNCTION("""COMPUTED_VALUE"""),"Joko Nugroho")</f>
        <v>Joko Nugroho</v>
      </c>
      <c r="N148" s="6" t="str">
        <f>IFERROR(__xludf.DUMMYFUNCTION("""COMPUTED_VALUE"""),"FIP Engineering")</f>
        <v>FIP Engineering</v>
      </c>
      <c r="O148" s="6" t="str">
        <f>IFERROR(__xludf.DUMMYFUNCTION("""COMPUTED_VALUE"""),"FIP-DOM-ENG-51404-0000000-INA-000000")</f>
        <v>FIP-DOM-ENG-51404-0000000-INA-000000</v>
      </c>
      <c r="P148" s="6" t="str">
        <f>IFERROR(__xludf.DUMMYFUNCTION("""COMPUTED_VALUE"""),"PO Closed")</f>
        <v>PO Closed</v>
      </c>
      <c r="Q148" s="6" t="str">
        <f>IFERROR(__xludf.DUMMYFUNCTION("""COMPUTED_VALUE"""),"GL1804044")</f>
        <v>GL1804044</v>
      </c>
      <c r="R148" s="16">
        <f>IFERROR(__xludf.DUMMYFUNCTION("""COMPUTED_VALUE"""),43205.0)</f>
        <v>43205</v>
      </c>
      <c r="S148" s="6" t="str">
        <f>IFERROR(__xludf.DUMMYFUNCTION("""COMPUTED_VALUE"""),"-")</f>
        <v>-</v>
      </c>
      <c r="T148" s="17">
        <f>IFERROR(__xludf.DUMMYFUNCTION("""COMPUTED_VALUE"""),43217.0)</f>
        <v>43217</v>
      </c>
    </row>
    <row r="149">
      <c r="A149" s="6" t="str">
        <f>IFERROR(__xludf.DUMMYFUNCTION("""COMPUTED_VALUE"""),"181750138-1")</f>
        <v>181750138-1</v>
      </c>
      <c r="B149" s="6" t="str">
        <f>IFERROR(__xludf.DUMMYFUNCTION("""COMPUTED_VALUE"""),"181750138 - Approved")</f>
        <v>181750138 - Approved</v>
      </c>
      <c r="C149" s="6">
        <f>IFERROR(__xludf.DUMMYFUNCTION("""COMPUTED_VALUE"""),1.0)</f>
        <v>1</v>
      </c>
      <c r="D149" s="6" t="str">
        <f>IFERROR(__xludf.DUMMYFUNCTION("""COMPUTED_VALUE"""),"S-10785-00")</f>
        <v>S-10785-00</v>
      </c>
      <c r="E149" s="6" t="str">
        <f>IFERROR(__xludf.DUMMYFUNCTION("""COMPUTED_VALUE"""),"Refill APAR Powder 2.5 Kg;Pressure;; ; ;")</f>
        <v>Refill APAR Powder 2.5 Kg;Pressure;; ; ;</v>
      </c>
      <c r="F149" s="6">
        <f>IFERROR(__xludf.DUMMYFUNCTION("""COMPUTED_VALUE"""),5.0)</f>
        <v>5</v>
      </c>
      <c r="G149" s="6" t="str">
        <f>IFERROR(__xludf.DUMMYFUNCTION("""COMPUTED_VALUE"""),"Tube")</f>
        <v>Tube</v>
      </c>
      <c r="H149" s="6" t="str">
        <f>IFERROR(__xludf.DUMMYFUNCTION("""COMPUTED_VALUE"""),"IDR")</f>
        <v>IDR</v>
      </c>
      <c r="I149" s="11">
        <f>IFERROR(__xludf.DUMMYFUNCTION("""COMPUTED_VALUE"""),85500.0)</f>
        <v>85500</v>
      </c>
      <c r="J149" s="11">
        <f>IFERROR(__xludf.DUMMYFUNCTION("""COMPUTED_VALUE"""),427500.0)</f>
        <v>427500</v>
      </c>
      <c r="K149" s="13">
        <f>IFERROR(__xludf.DUMMYFUNCTION("""COMPUTED_VALUE"""),43220.0)</f>
        <v>43220</v>
      </c>
      <c r="L149" s="6" t="str">
        <f>IFERROR(__xludf.DUMMYFUNCTION("""COMPUTED_VALUE"""),"FIP General")</f>
        <v>FIP General</v>
      </c>
      <c r="M149" s="6" t="str">
        <f>IFERROR(__xludf.DUMMYFUNCTION("""COMPUTED_VALUE"""),"Joko Nugroho")</f>
        <v>Joko Nugroho</v>
      </c>
      <c r="N149" s="6" t="str">
        <f>IFERROR(__xludf.DUMMYFUNCTION("""COMPUTED_VALUE"""),"FIP Engineering")</f>
        <v>FIP Engineering</v>
      </c>
      <c r="O149" s="6" t="str">
        <f>IFERROR(__xludf.DUMMYFUNCTION("""COMPUTED_VALUE"""),"FIP-DOM-ENG-51502-0000000-INA-000000")</f>
        <v>FIP-DOM-ENG-51502-0000000-INA-000000</v>
      </c>
      <c r="P149" s="6" t="str">
        <f>IFERROR(__xludf.DUMMYFUNCTION("""COMPUTED_VALUE"""),"PO Closed")</f>
        <v>PO Closed</v>
      </c>
      <c r="Q149" s="6" t="str">
        <f>IFERROR(__xludf.DUMMYFUNCTION("""COMPUTED_VALUE"""),"GL1804059")</f>
        <v>GL1804059</v>
      </c>
      <c r="R149" s="16">
        <f>IFERROR(__xludf.DUMMYFUNCTION("""COMPUTED_VALUE"""),43208.0)</f>
        <v>43208</v>
      </c>
      <c r="S149" s="6" t="str">
        <f>IFERROR(__xludf.DUMMYFUNCTION("""COMPUTED_VALUE"""),"-")</f>
        <v>-</v>
      </c>
      <c r="T149" s="13">
        <f>IFERROR(__xludf.DUMMYFUNCTION("""COMPUTED_VALUE"""),43224.0)</f>
        <v>43224</v>
      </c>
    </row>
    <row r="150">
      <c r="A150" s="6" t="str">
        <f>IFERROR(__xludf.DUMMYFUNCTION("""COMPUTED_VALUE"""),"181750135-3")</f>
        <v>181750135-3</v>
      </c>
      <c r="B150" s="6" t="str">
        <f>IFERROR(__xludf.DUMMYFUNCTION("""COMPUTED_VALUE"""),"181750135 - Approved")</f>
        <v>181750135 - Approved</v>
      </c>
      <c r="C150" s="6">
        <f>IFERROR(__xludf.DUMMYFUNCTION("""COMPUTED_VALUE"""),3.0)</f>
        <v>3</v>
      </c>
      <c r="D150" s="6" t="str">
        <f>IFERROR(__xludf.DUMMYFUNCTION("""COMPUTED_VALUE"""),"S-62036-00")</f>
        <v>S-62036-00</v>
      </c>
      <c r="E150" s="6" t="str">
        <f>IFERROR(__xludf.DUMMYFUNCTION("""COMPUTED_VALUE"""),"Refill Argon HP ARGON HP 6 m3; ; ;")</f>
        <v>Refill Argon HP ARGON HP 6 m3; ; ;</v>
      </c>
      <c r="F150" s="6">
        <f>IFERROR(__xludf.DUMMYFUNCTION("""COMPUTED_VALUE"""),1.0)</f>
        <v>1</v>
      </c>
      <c r="G150" s="6" t="str">
        <f>IFERROR(__xludf.DUMMYFUNCTION("""COMPUTED_VALUE"""),"Tube")</f>
        <v>Tube</v>
      </c>
      <c r="H150" s="6" t="str">
        <f>IFERROR(__xludf.DUMMYFUNCTION("""COMPUTED_VALUE"""),"IDR")</f>
        <v>IDR</v>
      </c>
      <c r="I150" s="11">
        <f>IFERROR(__xludf.DUMMYFUNCTION("""COMPUTED_VALUE"""),315000.0)</f>
        <v>315000</v>
      </c>
      <c r="J150" s="11">
        <f>IFERROR(__xludf.DUMMYFUNCTION("""COMPUTED_VALUE"""),315000.0)</f>
        <v>315000</v>
      </c>
      <c r="K150" s="17">
        <f>IFERROR(__xludf.DUMMYFUNCTION("""COMPUTED_VALUE"""),43220.0)</f>
        <v>43220</v>
      </c>
      <c r="L150" s="6" t="str">
        <f>IFERROR(__xludf.DUMMYFUNCTION("""COMPUTED_VALUE"""),"FIP General")</f>
        <v>FIP General</v>
      </c>
      <c r="M150" s="6" t="str">
        <f>IFERROR(__xludf.DUMMYFUNCTION("""COMPUTED_VALUE"""),"Joko Nugroho")</f>
        <v>Joko Nugroho</v>
      </c>
      <c r="N150" s="6" t="str">
        <f>IFERROR(__xludf.DUMMYFUNCTION("""COMPUTED_VALUE"""),"FIP Engineering")</f>
        <v>FIP Engineering</v>
      </c>
      <c r="O150" s="6" t="str">
        <f>IFERROR(__xludf.DUMMYFUNCTION("""COMPUTED_VALUE"""),"FIP-DOM-ENG-51404-0000000-INA-000000")</f>
        <v>FIP-DOM-ENG-51404-0000000-INA-000000</v>
      </c>
      <c r="P150" s="6" t="str">
        <f>IFERROR(__xludf.DUMMYFUNCTION("""COMPUTED_VALUE"""),"PO Closed")</f>
        <v>PO Closed</v>
      </c>
      <c r="Q150" s="6" t="str">
        <f>IFERROR(__xludf.DUMMYFUNCTION("""COMPUTED_VALUE"""),"GL1804043")</f>
        <v>GL1804043</v>
      </c>
      <c r="R150" s="16">
        <f>IFERROR(__xludf.DUMMYFUNCTION("""COMPUTED_VALUE"""),43208.0)</f>
        <v>43208</v>
      </c>
      <c r="S150" s="6" t="str">
        <f>IFERROR(__xludf.DUMMYFUNCTION("""COMPUTED_VALUE"""),"-")</f>
        <v>-</v>
      </c>
      <c r="T150" s="13">
        <f>IFERROR(__xludf.DUMMYFUNCTION("""COMPUTED_VALUE"""),43213.0)</f>
        <v>43213</v>
      </c>
    </row>
    <row r="151">
      <c r="A151" s="6" t="str">
        <f>IFERROR(__xludf.DUMMYFUNCTION("""COMPUTED_VALUE"""),"181750140-7")</f>
        <v>181750140-7</v>
      </c>
      <c r="B151" s="6" t="str">
        <f>IFERROR(__xludf.DUMMYFUNCTION("""COMPUTED_VALUE"""),"181750140 - Approved")</f>
        <v>181750140 - Approved</v>
      </c>
      <c r="C151" s="6">
        <f>IFERROR(__xludf.DUMMYFUNCTION("""COMPUTED_VALUE"""),7.0)</f>
        <v>7</v>
      </c>
      <c r="D151" s="6" t="str">
        <f>IFERROR(__xludf.DUMMYFUNCTION("""COMPUTED_VALUE"""),"P-12750-00")</f>
        <v>P-12750-00</v>
      </c>
      <c r="E151" s="6" t="str">
        <f>IFERROR(__xludf.DUMMYFUNCTION("""COMPUTED_VALUE"""),"RUCIKA - Pipa PVC aw dia 1/2inch")</f>
        <v>RUCIKA - Pipa PVC aw dia 1/2inch</v>
      </c>
      <c r="F151" s="6">
        <f>IFERROR(__xludf.DUMMYFUNCTION("""COMPUTED_VALUE"""),2.0)</f>
        <v>2</v>
      </c>
      <c r="G151" s="6" t="str">
        <f>IFERROR(__xludf.DUMMYFUNCTION("""COMPUTED_VALUE"""),"Pieces")</f>
        <v>Pieces</v>
      </c>
      <c r="H151" s="6" t="str">
        <f>IFERROR(__xludf.DUMMYFUNCTION("""COMPUTED_VALUE"""),"IDR")</f>
        <v>IDR</v>
      </c>
      <c r="I151" s="11">
        <f>IFERROR(__xludf.DUMMYFUNCTION("""COMPUTED_VALUE"""),60000.0)</f>
        <v>60000</v>
      </c>
      <c r="J151" s="11">
        <f>IFERROR(__xludf.DUMMYFUNCTION("""COMPUTED_VALUE"""),120000.0)</f>
        <v>120000</v>
      </c>
      <c r="K151" s="13">
        <f>IFERROR(__xludf.DUMMYFUNCTION("""COMPUTED_VALUE"""),43221.0)</f>
        <v>43221</v>
      </c>
      <c r="L151" s="6" t="str">
        <f>IFERROR(__xludf.DUMMYFUNCTION("""COMPUTED_VALUE"""),"FIP Engineering")</f>
        <v>FIP Engineering</v>
      </c>
      <c r="M151" s="6" t="str">
        <f>IFERROR(__xludf.DUMMYFUNCTION("""COMPUTED_VALUE"""),"Joko Nugroho")</f>
        <v>Joko Nugroho</v>
      </c>
      <c r="N151" s="6" t="str">
        <f>IFERROR(__xludf.DUMMYFUNCTION("""COMPUTED_VALUE"""),"FIP Engineering")</f>
        <v>FIP Engineering</v>
      </c>
      <c r="O151" s="6" t="str">
        <f>IFERROR(__xludf.DUMMYFUNCTION("""COMPUTED_VALUE"""),"FIP-DOM-000-11304-OS00001-INA-000000")</f>
        <v>FIP-DOM-000-11304-OS00001-INA-000000</v>
      </c>
      <c r="P151" s="6" t="str">
        <f>IFERROR(__xludf.DUMMYFUNCTION("""COMPUTED_VALUE"""),"PO Closed")</f>
        <v>PO Closed</v>
      </c>
      <c r="Q151" s="6" t="str">
        <f>IFERROR(__xludf.DUMMYFUNCTION("""COMPUTED_VALUE"""),"GL1804047")</f>
        <v>GL1804047</v>
      </c>
      <c r="R151" s="16">
        <f>IFERROR(__xludf.DUMMYFUNCTION("""COMPUTED_VALUE"""),43209.0)</f>
        <v>43209</v>
      </c>
      <c r="S151" s="6" t="str">
        <f>IFERROR(__xludf.DUMMYFUNCTION("""COMPUTED_VALUE"""),"-")</f>
        <v>-</v>
      </c>
      <c r="T151" s="13">
        <f>IFERROR(__xludf.DUMMYFUNCTION("""COMPUTED_VALUE"""),43223.0)</f>
        <v>43223</v>
      </c>
    </row>
    <row r="152">
      <c r="A152" s="6" t="str">
        <f>IFERROR(__xludf.DUMMYFUNCTION("""COMPUTED_VALUE"""),"181750133-14")</f>
        <v>181750133-14</v>
      </c>
      <c r="B152" s="6" t="str">
        <f>IFERROR(__xludf.DUMMYFUNCTION("""COMPUTED_VALUE"""),"181750133 - Approved")</f>
        <v>181750133 - Approved</v>
      </c>
      <c r="C152" s="6">
        <f>IFERROR(__xludf.DUMMYFUNCTION("""COMPUTED_VALUE"""),14.0)</f>
        <v>14</v>
      </c>
      <c r="D152" s="6" t="str">
        <f>IFERROR(__xludf.DUMMYFUNCTION("""COMPUTED_VALUE"""),"S-40119-00")</f>
        <v>S-40119-00</v>
      </c>
      <c r="E152" s="6" t="str">
        <f>IFERROR(__xludf.DUMMYFUNCTION("""COMPUTED_VALUE"""),"Palu")</f>
        <v>Palu</v>
      </c>
      <c r="F152" s="6">
        <f>IFERROR(__xludf.DUMMYFUNCTION("""COMPUTED_VALUE"""),1.0)</f>
        <v>1</v>
      </c>
      <c r="G152" s="6" t="str">
        <f>IFERROR(__xludf.DUMMYFUNCTION("""COMPUTED_VALUE"""),"Pieces")</f>
        <v>Pieces</v>
      </c>
      <c r="H152" s="6" t="str">
        <f>IFERROR(__xludf.DUMMYFUNCTION("""COMPUTED_VALUE"""),"IDR")</f>
        <v>IDR</v>
      </c>
      <c r="I152" s="11">
        <f>IFERROR(__xludf.DUMMYFUNCTION("""COMPUTED_VALUE"""),55000.0)</f>
        <v>55000</v>
      </c>
      <c r="J152" s="11">
        <f>IFERROR(__xludf.DUMMYFUNCTION("""COMPUTED_VALUE"""),55000.0)</f>
        <v>55000</v>
      </c>
      <c r="K152" s="13">
        <f>IFERROR(__xludf.DUMMYFUNCTION("""COMPUTED_VALUE"""),43221.0)</f>
        <v>43221</v>
      </c>
      <c r="L152" s="6" t="str">
        <f>IFERROR(__xludf.DUMMYFUNCTION("""COMPUTED_VALUE"""),"FIP General")</f>
        <v>FIP General</v>
      </c>
      <c r="M152" s="6" t="str">
        <f>IFERROR(__xludf.DUMMYFUNCTION("""COMPUTED_VALUE"""),"Joko Nugroho")</f>
        <v>Joko Nugroho</v>
      </c>
      <c r="N152" s="6" t="str">
        <f>IFERROR(__xludf.DUMMYFUNCTION("""COMPUTED_VALUE"""),"FIP Engineering")</f>
        <v>FIP Engineering</v>
      </c>
      <c r="O152" s="6" t="str">
        <f>IFERROR(__xludf.DUMMYFUNCTION("""COMPUTED_VALUE"""),"FIP-DOM-ENG-51404-0000000-INA-000000")</f>
        <v>FIP-DOM-ENG-51404-0000000-INA-000000</v>
      </c>
      <c r="P152" s="6" t="str">
        <f>IFERROR(__xludf.DUMMYFUNCTION("""COMPUTED_VALUE"""),"PO Closed")</f>
        <v>PO Closed</v>
      </c>
      <c r="Q152" s="6" t="str">
        <f>IFERROR(__xludf.DUMMYFUNCTION("""COMPUTED_VALUE"""),"GL1804044")</f>
        <v>GL1804044</v>
      </c>
      <c r="R152" s="16">
        <f>IFERROR(__xludf.DUMMYFUNCTION("""COMPUTED_VALUE"""),43209.0)</f>
        <v>43209</v>
      </c>
      <c r="S152" s="6" t="str">
        <f>IFERROR(__xludf.DUMMYFUNCTION("""COMPUTED_VALUE"""),"-")</f>
        <v>-</v>
      </c>
      <c r="T152" s="13">
        <f>IFERROR(__xludf.DUMMYFUNCTION("""COMPUTED_VALUE"""),43217.0)</f>
        <v>43217</v>
      </c>
    </row>
    <row r="153">
      <c r="A153" s="6" t="str">
        <f>IFERROR(__xludf.DUMMYFUNCTION("""COMPUTED_VALUE"""),"181750133-14")</f>
        <v>181750133-14</v>
      </c>
      <c r="B153" s="6" t="str">
        <f>IFERROR(__xludf.DUMMYFUNCTION("""COMPUTED_VALUE"""),"181750133 - Approved")</f>
        <v>181750133 - Approved</v>
      </c>
      <c r="C153" s="6">
        <f>IFERROR(__xludf.DUMMYFUNCTION("""COMPUTED_VALUE"""),14.0)</f>
        <v>14</v>
      </c>
      <c r="D153" s="6" t="str">
        <f>IFERROR(__xludf.DUMMYFUNCTION("""COMPUTED_VALUE"""),"P-16987-00")</f>
        <v>P-16987-00</v>
      </c>
      <c r="E153" s="6" t="str">
        <f>IFERROR(__xludf.DUMMYFUNCTION("""COMPUTED_VALUE"""),"Baut/Skrup Fisher; ; ;")</f>
        <v>Baut/Skrup Fisher; ; ;</v>
      </c>
      <c r="F153" s="6">
        <f>IFERROR(__xludf.DUMMYFUNCTION("""COMPUTED_VALUE"""),1.0)</f>
        <v>1</v>
      </c>
      <c r="G153" s="6" t="str">
        <f>IFERROR(__xludf.DUMMYFUNCTION("""COMPUTED_VALUE"""),"Pieces")</f>
        <v>Pieces</v>
      </c>
      <c r="H153" s="6" t="str">
        <f>IFERROR(__xludf.DUMMYFUNCTION("""COMPUTED_VALUE"""),"IDR")</f>
        <v>IDR</v>
      </c>
      <c r="I153" s="11">
        <f>IFERROR(__xludf.DUMMYFUNCTION("""COMPUTED_VALUE"""),6000.0)</f>
        <v>6000</v>
      </c>
      <c r="J153" s="11">
        <f>IFERROR(__xludf.DUMMYFUNCTION("""COMPUTED_VALUE"""),6000.0)</f>
        <v>6000</v>
      </c>
      <c r="K153" s="13">
        <f>IFERROR(__xludf.DUMMYFUNCTION("""COMPUTED_VALUE"""),43221.0)</f>
        <v>43221</v>
      </c>
      <c r="L153" s="6" t="str">
        <f>IFERROR(__xludf.DUMMYFUNCTION("""COMPUTED_VALUE"""),"FIP General")</f>
        <v>FIP General</v>
      </c>
      <c r="M153" s="6" t="str">
        <f>IFERROR(__xludf.DUMMYFUNCTION("""COMPUTED_VALUE"""),"Joko Nugroho")</f>
        <v>Joko Nugroho</v>
      </c>
      <c r="N153" s="6" t="str">
        <f>IFERROR(__xludf.DUMMYFUNCTION("""COMPUTED_VALUE"""),"FIP Engineering")</f>
        <v>FIP Engineering</v>
      </c>
      <c r="O153" s="6" t="str">
        <f>IFERROR(__xludf.DUMMYFUNCTION("""COMPUTED_VALUE"""),"FIP-DOM-ENG-51404-0000000-INA-000000")</f>
        <v>FIP-DOM-ENG-51404-0000000-INA-000000</v>
      </c>
      <c r="P153" s="6" t="str">
        <f>IFERROR(__xludf.DUMMYFUNCTION("""COMPUTED_VALUE"""),"PO Closed")</f>
        <v>PO Closed</v>
      </c>
      <c r="Q153" s="6" t="str">
        <f>IFERROR(__xludf.DUMMYFUNCTION("""COMPUTED_VALUE"""),"GL1804044")</f>
        <v>GL1804044</v>
      </c>
      <c r="R153" s="16">
        <f>IFERROR(__xludf.DUMMYFUNCTION("""COMPUTED_VALUE"""),43209.0)</f>
        <v>43209</v>
      </c>
      <c r="S153" s="6" t="str">
        <f>IFERROR(__xludf.DUMMYFUNCTION("""COMPUTED_VALUE"""),"-")</f>
        <v>-</v>
      </c>
      <c r="T153" s="13">
        <f>IFERROR(__xludf.DUMMYFUNCTION("""COMPUTED_VALUE"""),43217.0)</f>
        <v>43217</v>
      </c>
    </row>
    <row r="154">
      <c r="A154" s="6" t="str">
        <f>IFERROR(__xludf.DUMMYFUNCTION("""COMPUTED_VALUE"""),"181750133-14")</f>
        <v>181750133-14</v>
      </c>
      <c r="B154" s="6" t="str">
        <f>IFERROR(__xludf.DUMMYFUNCTION("""COMPUTED_VALUE"""),"181750133 - Approved")</f>
        <v>181750133 - Approved</v>
      </c>
      <c r="C154" s="6">
        <f>IFERROR(__xludf.DUMMYFUNCTION("""COMPUTED_VALUE"""),14.0)</f>
        <v>14</v>
      </c>
      <c r="D154" s="6" t="str">
        <f>IFERROR(__xludf.DUMMYFUNCTION("""COMPUTED_VALUE"""),"P-16987-00")</f>
        <v>P-16987-00</v>
      </c>
      <c r="E154" s="6" t="str">
        <f>IFERROR(__xludf.DUMMYFUNCTION("""COMPUTED_VALUE"""),"Baut/Skrup Fisher; ; ;")</f>
        <v>Baut/Skrup Fisher; ; ;</v>
      </c>
      <c r="F154" s="6">
        <f>IFERROR(__xludf.DUMMYFUNCTION("""COMPUTED_VALUE"""),1.0)</f>
        <v>1</v>
      </c>
      <c r="G154" s="6" t="str">
        <f>IFERROR(__xludf.DUMMYFUNCTION("""COMPUTED_VALUE"""),"Pieces")</f>
        <v>Pieces</v>
      </c>
      <c r="H154" s="6" t="str">
        <f>IFERROR(__xludf.DUMMYFUNCTION("""COMPUTED_VALUE"""),"IDR")</f>
        <v>IDR</v>
      </c>
      <c r="I154" s="11">
        <f>IFERROR(__xludf.DUMMYFUNCTION("""COMPUTED_VALUE"""),10000.0)</f>
        <v>10000</v>
      </c>
      <c r="J154" s="11">
        <f>IFERROR(__xludf.DUMMYFUNCTION("""COMPUTED_VALUE"""),10000.0)</f>
        <v>10000</v>
      </c>
      <c r="K154" s="13">
        <f>IFERROR(__xludf.DUMMYFUNCTION("""COMPUTED_VALUE"""),43221.0)</f>
        <v>43221</v>
      </c>
      <c r="L154" s="6" t="str">
        <f>IFERROR(__xludf.DUMMYFUNCTION("""COMPUTED_VALUE"""),"FIP General")</f>
        <v>FIP General</v>
      </c>
      <c r="M154" s="6" t="str">
        <f>IFERROR(__xludf.DUMMYFUNCTION("""COMPUTED_VALUE"""),"Joko Nugroho")</f>
        <v>Joko Nugroho</v>
      </c>
      <c r="N154" s="6" t="str">
        <f>IFERROR(__xludf.DUMMYFUNCTION("""COMPUTED_VALUE"""),"FIP Engineering")</f>
        <v>FIP Engineering</v>
      </c>
      <c r="O154" s="6" t="str">
        <f>IFERROR(__xludf.DUMMYFUNCTION("""COMPUTED_VALUE"""),"FIP-DOM-ENG-51404-0000000-INA-000000")</f>
        <v>FIP-DOM-ENG-51404-0000000-INA-000000</v>
      </c>
      <c r="P154" s="6" t="str">
        <f>IFERROR(__xludf.DUMMYFUNCTION("""COMPUTED_VALUE"""),"PO Closed")</f>
        <v>PO Closed</v>
      </c>
      <c r="Q154" s="6" t="str">
        <f>IFERROR(__xludf.DUMMYFUNCTION("""COMPUTED_VALUE"""),"GL1804044")</f>
        <v>GL1804044</v>
      </c>
      <c r="R154" s="16">
        <f>IFERROR(__xludf.DUMMYFUNCTION("""COMPUTED_VALUE"""),43209.0)</f>
        <v>43209</v>
      </c>
      <c r="S154" s="6" t="str">
        <f>IFERROR(__xludf.DUMMYFUNCTION("""COMPUTED_VALUE"""),"-")</f>
        <v>-</v>
      </c>
      <c r="T154" s="13">
        <f>IFERROR(__xludf.DUMMYFUNCTION("""COMPUTED_VALUE"""),43217.0)</f>
        <v>43217</v>
      </c>
    </row>
    <row r="155">
      <c r="A155" s="6" t="str">
        <f>IFERROR(__xludf.DUMMYFUNCTION("""COMPUTED_VALUE"""),"181750133-15")</f>
        <v>181750133-15</v>
      </c>
      <c r="B155" s="6" t="str">
        <f>IFERROR(__xludf.DUMMYFUNCTION("""COMPUTED_VALUE"""),"181750133 - Approved")</f>
        <v>181750133 - Approved</v>
      </c>
      <c r="C155" s="6">
        <f>IFERROR(__xludf.DUMMYFUNCTION("""COMPUTED_VALUE"""),15.0)</f>
        <v>15</v>
      </c>
      <c r="D155" s="6" t="str">
        <f>IFERROR(__xludf.DUMMYFUNCTION("""COMPUTED_VALUE"""),"Q-10474-00")</f>
        <v>Q-10474-00</v>
      </c>
      <c r="E155" s="6" t="str">
        <f>IFERROR(__xludf.DUMMYFUNCTION("""COMPUTED_VALUE"""),"Aquaproof; ; ;")</f>
        <v>Aquaproof; ; ;</v>
      </c>
      <c r="F155" s="6">
        <f>IFERROR(__xludf.DUMMYFUNCTION("""COMPUTED_VALUE"""),2.0)</f>
        <v>2</v>
      </c>
      <c r="G155" s="6" t="str">
        <f>IFERROR(__xludf.DUMMYFUNCTION("""COMPUTED_VALUE"""),"Can")</f>
        <v>Can</v>
      </c>
      <c r="H155" s="6" t="str">
        <f>IFERROR(__xludf.DUMMYFUNCTION("""COMPUTED_VALUE"""),"IDR")</f>
        <v>IDR</v>
      </c>
      <c r="I155" s="11">
        <f>IFERROR(__xludf.DUMMYFUNCTION("""COMPUTED_VALUE"""),170000.0)</f>
        <v>170000</v>
      </c>
      <c r="J155" s="11">
        <f>IFERROR(__xludf.DUMMYFUNCTION("""COMPUTED_VALUE"""),340000.0)</f>
        <v>340000</v>
      </c>
      <c r="K155" s="13">
        <f>IFERROR(__xludf.DUMMYFUNCTION("""COMPUTED_VALUE"""),43221.0)</f>
        <v>43221</v>
      </c>
      <c r="L155" s="6" t="str">
        <f>IFERROR(__xludf.DUMMYFUNCTION("""COMPUTED_VALUE"""),"FIP General")</f>
        <v>FIP General</v>
      </c>
      <c r="M155" s="6" t="str">
        <f>IFERROR(__xludf.DUMMYFUNCTION("""COMPUTED_VALUE"""),"Joko Nugroho")</f>
        <v>Joko Nugroho</v>
      </c>
      <c r="N155" s="6" t="str">
        <f>IFERROR(__xludf.DUMMYFUNCTION("""COMPUTED_VALUE"""),"FIP Engineering")</f>
        <v>FIP Engineering</v>
      </c>
      <c r="O155" s="6" t="str">
        <f>IFERROR(__xludf.DUMMYFUNCTION("""COMPUTED_VALUE"""),"FIP-DOM-ENG-51502-0000000-INA-000000")</f>
        <v>FIP-DOM-ENG-51502-0000000-INA-000000</v>
      </c>
      <c r="P155" s="6" t="str">
        <f>IFERROR(__xludf.DUMMYFUNCTION("""COMPUTED_VALUE"""),"PO Closed")</f>
        <v>PO Closed</v>
      </c>
      <c r="Q155" s="6" t="str">
        <f>IFERROR(__xludf.DUMMYFUNCTION("""COMPUTED_VALUE"""),"GL1804044")</f>
        <v>GL1804044</v>
      </c>
      <c r="R155" s="16">
        <f>IFERROR(__xludf.DUMMYFUNCTION("""COMPUTED_VALUE"""),43209.0)</f>
        <v>43209</v>
      </c>
      <c r="S155" s="6" t="str">
        <f>IFERROR(__xludf.DUMMYFUNCTION("""COMPUTED_VALUE"""),"-")</f>
        <v>-</v>
      </c>
      <c r="T155" s="13">
        <f>IFERROR(__xludf.DUMMYFUNCTION("""COMPUTED_VALUE"""),43217.0)</f>
        <v>43217</v>
      </c>
    </row>
    <row r="156">
      <c r="A156" s="6" t="str">
        <f>IFERROR(__xludf.DUMMYFUNCTION("""COMPUTED_VALUE"""),"181750133-15")</f>
        <v>181750133-15</v>
      </c>
      <c r="B156" s="6" t="str">
        <f>IFERROR(__xludf.DUMMYFUNCTION("""COMPUTED_VALUE"""),"181750133 - Approved")</f>
        <v>181750133 - Approved</v>
      </c>
      <c r="C156" s="6">
        <f>IFERROR(__xludf.DUMMYFUNCTION("""COMPUTED_VALUE"""),15.0)</f>
        <v>15</v>
      </c>
      <c r="D156" s="6" t="str">
        <f>IFERROR(__xludf.DUMMYFUNCTION("""COMPUTED_VALUE"""),"Q-10476-00")</f>
        <v>Q-10476-00</v>
      </c>
      <c r="E156" s="6" t="str">
        <f>IFERROR(__xludf.DUMMYFUNCTION("""COMPUTED_VALUE"""),"Dudukan Amplas Bulat; ; ;")</f>
        <v>Dudukan Amplas Bulat; ; ;</v>
      </c>
      <c r="F156" s="6">
        <f>IFERROR(__xludf.DUMMYFUNCTION("""COMPUTED_VALUE"""),1.0)</f>
        <v>1</v>
      </c>
      <c r="G156" s="6" t="str">
        <f>IFERROR(__xludf.DUMMYFUNCTION("""COMPUTED_VALUE"""),"Pieces")</f>
        <v>Pieces</v>
      </c>
      <c r="H156" s="6" t="str">
        <f>IFERROR(__xludf.DUMMYFUNCTION("""COMPUTED_VALUE"""),"IDR")</f>
        <v>IDR</v>
      </c>
      <c r="I156" s="11">
        <f>IFERROR(__xludf.DUMMYFUNCTION("""COMPUTED_VALUE"""),10000.0)</f>
        <v>10000</v>
      </c>
      <c r="J156" s="11">
        <f>IFERROR(__xludf.DUMMYFUNCTION("""COMPUTED_VALUE"""),10000.0)</f>
        <v>10000</v>
      </c>
      <c r="K156" s="13">
        <f>IFERROR(__xludf.DUMMYFUNCTION("""COMPUTED_VALUE"""),43221.0)</f>
        <v>43221</v>
      </c>
      <c r="L156" s="6" t="str">
        <f>IFERROR(__xludf.DUMMYFUNCTION("""COMPUTED_VALUE"""),"FIP General")</f>
        <v>FIP General</v>
      </c>
      <c r="M156" s="6" t="str">
        <f>IFERROR(__xludf.DUMMYFUNCTION("""COMPUTED_VALUE"""),"Joko Nugroho")</f>
        <v>Joko Nugroho</v>
      </c>
      <c r="N156" s="6" t="str">
        <f>IFERROR(__xludf.DUMMYFUNCTION("""COMPUTED_VALUE"""),"FIP Engineering")</f>
        <v>FIP Engineering</v>
      </c>
      <c r="O156" s="6" t="str">
        <f>IFERROR(__xludf.DUMMYFUNCTION("""COMPUTED_VALUE"""),"FIP-DOM-ENG-51502-0000000-INA-000000")</f>
        <v>FIP-DOM-ENG-51502-0000000-INA-000000</v>
      </c>
      <c r="P156" s="6" t="str">
        <f>IFERROR(__xludf.DUMMYFUNCTION("""COMPUTED_VALUE"""),"PO Closed")</f>
        <v>PO Closed</v>
      </c>
      <c r="Q156" s="6" t="str">
        <f>IFERROR(__xludf.DUMMYFUNCTION("""COMPUTED_VALUE"""),"GL1804044")</f>
        <v>GL1804044</v>
      </c>
      <c r="R156" s="16">
        <f>IFERROR(__xludf.DUMMYFUNCTION("""COMPUTED_VALUE"""),43209.0)</f>
        <v>43209</v>
      </c>
      <c r="S156" s="6" t="str">
        <f>IFERROR(__xludf.DUMMYFUNCTION("""COMPUTED_VALUE"""),"-")</f>
        <v>-</v>
      </c>
      <c r="T156" s="13">
        <f>IFERROR(__xludf.DUMMYFUNCTION("""COMPUTED_VALUE"""),43217.0)</f>
        <v>43217</v>
      </c>
    </row>
    <row r="157">
      <c r="A157" s="6" t="str">
        <f>IFERROR(__xludf.DUMMYFUNCTION("""COMPUTED_VALUE"""),"181750133-15")</f>
        <v>181750133-15</v>
      </c>
      <c r="B157" s="6" t="str">
        <f>IFERROR(__xludf.DUMMYFUNCTION("""COMPUTED_VALUE"""),"181750133 - Approved")</f>
        <v>181750133 - Approved</v>
      </c>
      <c r="C157" s="6">
        <f>IFERROR(__xludf.DUMMYFUNCTION("""COMPUTED_VALUE"""),15.0)</f>
        <v>15</v>
      </c>
      <c r="D157" s="6" t="str">
        <f>IFERROR(__xludf.DUMMYFUNCTION("""COMPUTED_VALUE"""),"Q-10476-00")</f>
        <v>Q-10476-00</v>
      </c>
      <c r="E157" s="6" t="str">
        <f>IFERROR(__xludf.DUMMYFUNCTION("""COMPUTED_VALUE"""),"Dudukan Amplas Bulat; ; ;")</f>
        <v>Dudukan Amplas Bulat; ; ;</v>
      </c>
      <c r="F157" s="6">
        <f>IFERROR(__xludf.DUMMYFUNCTION("""COMPUTED_VALUE"""),5.0)</f>
        <v>5</v>
      </c>
      <c r="G157" s="6" t="str">
        <f>IFERROR(__xludf.DUMMYFUNCTION("""COMPUTED_VALUE"""),"Pieces")</f>
        <v>Pieces</v>
      </c>
      <c r="H157" s="6" t="str">
        <f>IFERROR(__xludf.DUMMYFUNCTION("""COMPUTED_VALUE"""),"IDR")</f>
        <v>IDR</v>
      </c>
      <c r="I157" s="11">
        <f>IFERROR(__xludf.DUMMYFUNCTION("""COMPUTED_VALUE"""),2000.0)</f>
        <v>2000</v>
      </c>
      <c r="J157" s="11">
        <f>IFERROR(__xludf.DUMMYFUNCTION("""COMPUTED_VALUE"""),10000.0)</f>
        <v>10000</v>
      </c>
      <c r="K157" s="17">
        <f>IFERROR(__xludf.DUMMYFUNCTION("""COMPUTED_VALUE"""),43221.0)</f>
        <v>43221</v>
      </c>
      <c r="L157" s="6" t="str">
        <f>IFERROR(__xludf.DUMMYFUNCTION("""COMPUTED_VALUE"""),"FIP General")</f>
        <v>FIP General</v>
      </c>
      <c r="M157" s="6" t="str">
        <f>IFERROR(__xludf.DUMMYFUNCTION("""COMPUTED_VALUE"""),"Joko Nugroho")</f>
        <v>Joko Nugroho</v>
      </c>
      <c r="N157" s="6" t="str">
        <f>IFERROR(__xludf.DUMMYFUNCTION("""COMPUTED_VALUE"""),"FIP Engineering")</f>
        <v>FIP Engineering</v>
      </c>
      <c r="O157" s="6" t="str">
        <f>IFERROR(__xludf.DUMMYFUNCTION("""COMPUTED_VALUE"""),"FIP-DOM-ENG-51502-0000000-INA-000000")</f>
        <v>FIP-DOM-ENG-51502-0000000-INA-000000</v>
      </c>
      <c r="P157" s="6" t="str">
        <f>IFERROR(__xludf.DUMMYFUNCTION("""COMPUTED_VALUE"""),"PO Closed")</f>
        <v>PO Closed</v>
      </c>
      <c r="Q157" s="6" t="str">
        <f>IFERROR(__xludf.DUMMYFUNCTION("""COMPUTED_VALUE"""),"GL1804044")</f>
        <v>GL1804044</v>
      </c>
      <c r="R157" s="16">
        <f>IFERROR(__xludf.DUMMYFUNCTION("""COMPUTED_VALUE"""),43209.0)</f>
        <v>43209</v>
      </c>
      <c r="S157" s="6" t="str">
        <f>IFERROR(__xludf.DUMMYFUNCTION("""COMPUTED_VALUE"""),"-")</f>
        <v>-</v>
      </c>
      <c r="T157" s="13">
        <f>IFERROR(__xludf.DUMMYFUNCTION("""COMPUTED_VALUE"""),43217.0)</f>
        <v>43217</v>
      </c>
    </row>
    <row r="158">
      <c r="A158" s="6" t="str">
        <f>IFERROR(__xludf.DUMMYFUNCTION("""COMPUTED_VALUE"""),"181750140-7")</f>
        <v>181750140-7</v>
      </c>
      <c r="B158" s="6" t="str">
        <f>IFERROR(__xludf.DUMMYFUNCTION("""COMPUTED_VALUE"""),"181750140 - Approved")</f>
        <v>181750140 - Approved</v>
      </c>
      <c r="C158" s="6">
        <f>IFERROR(__xludf.DUMMYFUNCTION("""COMPUTED_VALUE"""),7.0)</f>
        <v>7</v>
      </c>
      <c r="D158" s="6" t="str">
        <f>IFERROR(__xludf.DUMMYFUNCTION("""COMPUTED_VALUE"""),"P-12811-00")</f>
        <v>P-12811-00</v>
      </c>
      <c r="E158" s="6" t="str">
        <f>IFERROR(__xludf.DUMMYFUNCTION("""COMPUTED_VALUE"""),"Sock Drat luar PVC AW dia 1/2inch")</f>
        <v>Sock Drat luar PVC AW dia 1/2inch</v>
      </c>
      <c r="F158" s="6">
        <f>IFERROR(__xludf.DUMMYFUNCTION("""COMPUTED_VALUE"""),3.0)</f>
        <v>3</v>
      </c>
      <c r="G158" s="6" t="str">
        <f>IFERROR(__xludf.DUMMYFUNCTION("""COMPUTED_VALUE"""),"Pieces")</f>
        <v>Pieces</v>
      </c>
      <c r="H158" s="6" t="str">
        <f>IFERROR(__xludf.DUMMYFUNCTION("""COMPUTED_VALUE"""),"IDR")</f>
        <v>IDR</v>
      </c>
      <c r="I158" s="11">
        <f>IFERROR(__xludf.DUMMYFUNCTION("""COMPUTED_VALUE"""),3000.0)</f>
        <v>3000</v>
      </c>
      <c r="J158" s="11">
        <f>IFERROR(__xludf.DUMMYFUNCTION("""COMPUTED_VALUE"""),9000.0)</f>
        <v>9000</v>
      </c>
      <c r="K158" s="13">
        <f>IFERROR(__xludf.DUMMYFUNCTION("""COMPUTED_VALUE"""),43221.0)</f>
        <v>43221</v>
      </c>
      <c r="L158" s="6" t="str">
        <f>IFERROR(__xludf.DUMMYFUNCTION("""COMPUTED_VALUE"""),"FIP Engineering")</f>
        <v>FIP Engineering</v>
      </c>
      <c r="M158" s="6" t="str">
        <f>IFERROR(__xludf.DUMMYFUNCTION("""COMPUTED_VALUE"""),"Joko Nugroho")</f>
        <v>Joko Nugroho</v>
      </c>
      <c r="N158" s="6" t="str">
        <f>IFERROR(__xludf.DUMMYFUNCTION("""COMPUTED_VALUE"""),"FIP Engineering")</f>
        <v>FIP Engineering</v>
      </c>
      <c r="O158" s="6" t="str">
        <f>IFERROR(__xludf.DUMMYFUNCTION("""COMPUTED_VALUE"""),"FIP-DOM-000-11304-OS00001-INA-000000")</f>
        <v>FIP-DOM-000-11304-OS00001-INA-000000</v>
      </c>
      <c r="P158" s="6" t="str">
        <f>IFERROR(__xludf.DUMMYFUNCTION("""COMPUTED_VALUE"""),"PO Closed")</f>
        <v>PO Closed</v>
      </c>
      <c r="Q158" s="6" t="str">
        <f>IFERROR(__xludf.DUMMYFUNCTION("""COMPUTED_VALUE"""),"GL1804047")</f>
        <v>GL1804047</v>
      </c>
      <c r="R158" s="16">
        <f>IFERROR(__xludf.DUMMYFUNCTION("""COMPUTED_VALUE"""),43211.0)</f>
        <v>43211</v>
      </c>
      <c r="S158" s="6" t="str">
        <f>IFERROR(__xludf.DUMMYFUNCTION("""COMPUTED_VALUE"""),"-")</f>
        <v>-</v>
      </c>
      <c r="T158" s="13">
        <f>IFERROR(__xludf.DUMMYFUNCTION("""COMPUTED_VALUE"""),43223.0)</f>
        <v>43223</v>
      </c>
    </row>
    <row r="159">
      <c r="A159" s="6" t="str">
        <f>IFERROR(__xludf.DUMMYFUNCTION("""COMPUTED_VALUE"""),"181750140-9")</f>
        <v>181750140-9</v>
      </c>
      <c r="B159" s="6" t="str">
        <f>IFERROR(__xludf.DUMMYFUNCTION("""COMPUTED_VALUE"""),"181750140 - Approved")</f>
        <v>181750140 - Approved</v>
      </c>
      <c r="C159" s="6">
        <f>IFERROR(__xludf.DUMMYFUNCTION("""COMPUTED_VALUE"""),9.0)</f>
        <v>9</v>
      </c>
      <c r="D159" s="6" t="str">
        <f>IFERROR(__xludf.DUMMYFUNCTION("""COMPUTED_VALUE"""),"Q-10486-00")</f>
        <v>Q-10486-00</v>
      </c>
      <c r="E159" s="6" t="str">
        <f>IFERROR(__xludf.DUMMYFUNCTION("""COMPUTED_VALUE"""),"Neple selang Kuningan 1/2 inch x 1/2 inch; ; ;")</f>
        <v>Neple selang Kuningan 1/2 inch x 1/2 inch; ; ;</v>
      </c>
      <c r="F159" s="6">
        <f>IFERROR(__xludf.DUMMYFUNCTION("""COMPUTED_VALUE"""),4.0)</f>
        <v>4</v>
      </c>
      <c r="G159" s="6" t="str">
        <f>IFERROR(__xludf.DUMMYFUNCTION("""COMPUTED_VALUE"""),"Pieces")</f>
        <v>Pieces</v>
      </c>
      <c r="H159" s="6" t="str">
        <f>IFERROR(__xludf.DUMMYFUNCTION("""COMPUTED_VALUE"""),"IDR")</f>
        <v>IDR</v>
      </c>
      <c r="I159" s="11">
        <f>IFERROR(__xludf.DUMMYFUNCTION("""COMPUTED_VALUE"""),15000.0)</f>
        <v>15000</v>
      </c>
      <c r="J159" s="11">
        <f>IFERROR(__xludf.DUMMYFUNCTION("""COMPUTED_VALUE"""),60000.0)</f>
        <v>60000</v>
      </c>
      <c r="K159" s="17">
        <f>IFERROR(__xludf.DUMMYFUNCTION("""COMPUTED_VALUE"""),43221.0)</f>
        <v>43221</v>
      </c>
      <c r="L159" s="6" t="str">
        <f>IFERROR(__xludf.DUMMYFUNCTION("""COMPUTED_VALUE"""),"FIP General")</f>
        <v>FIP General</v>
      </c>
      <c r="M159" s="6" t="str">
        <f>IFERROR(__xludf.DUMMYFUNCTION("""COMPUTED_VALUE"""),"Joko Nugroho")</f>
        <v>Joko Nugroho</v>
      </c>
      <c r="N159" s="6" t="str">
        <f>IFERROR(__xludf.DUMMYFUNCTION("""COMPUTED_VALUE"""),"FIP Engineering")</f>
        <v>FIP Engineering</v>
      </c>
      <c r="O159" s="6" t="str">
        <f>IFERROR(__xludf.DUMMYFUNCTION("""COMPUTED_VALUE"""),"FIP-DOM-ENG-51502-0000000-INA-000000")</f>
        <v>FIP-DOM-ENG-51502-0000000-INA-000000</v>
      </c>
      <c r="P159" s="6" t="str">
        <f>IFERROR(__xludf.DUMMYFUNCTION("""COMPUTED_VALUE"""),"PO Closed")</f>
        <v>PO Closed</v>
      </c>
      <c r="Q159" s="6" t="str">
        <f>IFERROR(__xludf.DUMMYFUNCTION("""COMPUTED_VALUE"""),"GL1804047")</f>
        <v>GL1804047</v>
      </c>
      <c r="R159" s="16">
        <f>IFERROR(__xludf.DUMMYFUNCTION("""COMPUTED_VALUE"""),43211.0)</f>
        <v>43211</v>
      </c>
      <c r="S159" s="6" t="str">
        <f>IFERROR(__xludf.DUMMYFUNCTION("""COMPUTED_VALUE"""),"-")</f>
        <v>-</v>
      </c>
      <c r="T159" s="13">
        <f>IFERROR(__xludf.DUMMYFUNCTION("""COMPUTED_VALUE"""),43223.0)</f>
        <v>43223</v>
      </c>
    </row>
    <row r="160">
      <c r="A160" s="6" t="str">
        <f>IFERROR(__xludf.DUMMYFUNCTION("""COMPUTED_VALUE"""),"181750140-9")</f>
        <v>181750140-9</v>
      </c>
      <c r="B160" s="6" t="str">
        <f>IFERROR(__xludf.DUMMYFUNCTION("""COMPUTED_VALUE"""),"181750140 - Approved")</f>
        <v>181750140 - Approved</v>
      </c>
      <c r="C160" s="6">
        <f>IFERROR(__xludf.DUMMYFUNCTION("""COMPUTED_VALUE"""),9.0)</f>
        <v>9</v>
      </c>
      <c r="D160" s="6" t="str">
        <f>IFERROR(__xludf.DUMMYFUNCTION("""COMPUTED_VALUE"""),"Q-10485-00")</f>
        <v>Q-10485-00</v>
      </c>
      <c r="E160" s="6" t="str">
        <f>IFERROR(__xludf.DUMMYFUNCTION("""COMPUTED_VALUE"""),"Ball Valve Kuningan 1/2 inch Kitz; ; ;")</f>
        <v>Ball Valve Kuningan 1/2 inch Kitz; ; ;</v>
      </c>
      <c r="F160" s="6">
        <f>IFERROR(__xludf.DUMMYFUNCTION("""COMPUTED_VALUE"""),4.0)</f>
        <v>4</v>
      </c>
      <c r="G160" s="6" t="str">
        <f>IFERROR(__xludf.DUMMYFUNCTION("""COMPUTED_VALUE"""),"Pieces")</f>
        <v>Pieces</v>
      </c>
      <c r="H160" s="6" t="str">
        <f>IFERROR(__xludf.DUMMYFUNCTION("""COMPUTED_VALUE"""),"IDR")</f>
        <v>IDR</v>
      </c>
      <c r="I160" s="11">
        <f>IFERROR(__xludf.DUMMYFUNCTION("""COMPUTED_VALUE"""),200000.0)</f>
        <v>200000</v>
      </c>
      <c r="J160" s="11">
        <f>IFERROR(__xludf.DUMMYFUNCTION("""COMPUTED_VALUE"""),800000.0)</f>
        <v>800000</v>
      </c>
      <c r="K160" s="13">
        <f>IFERROR(__xludf.DUMMYFUNCTION("""COMPUTED_VALUE"""),43221.0)</f>
        <v>43221</v>
      </c>
      <c r="L160" s="6" t="str">
        <f>IFERROR(__xludf.DUMMYFUNCTION("""COMPUTED_VALUE"""),"FIP Engineering")</f>
        <v>FIP Engineering</v>
      </c>
      <c r="M160" s="6" t="str">
        <f>IFERROR(__xludf.DUMMYFUNCTION("""COMPUTED_VALUE"""),"Joko Nugroho")</f>
        <v>Joko Nugroho</v>
      </c>
      <c r="N160" s="6" t="str">
        <f>IFERROR(__xludf.DUMMYFUNCTION("""COMPUTED_VALUE"""),"FIP Engineering")</f>
        <v>FIP Engineering</v>
      </c>
      <c r="O160" s="6" t="str">
        <f>IFERROR(__xludf.DUMMYFUNCTION("""COMPUTED_VALUE"""),"FIP-DOM-000-11304-OS00001-INA-000000")</f>
        <v>FIP-DOM-000-11304-OS00001-INA-000000</v>
      </c>
      <c r="P160" s="6" t="str">
        <f>IFERROR(__xludf.DUMMYFUNCTION("""COMPUTED_VALUE"""),"PO Closed")</f>
        <v>PO Closed</v>
      </c>
      <c r="Q160" s="6" t="str">
        <f>IFERROR(__xludf.DUMMYFUNCTION("""COMPUTED_VALUE"""),"GL1804047")</f>
        <v>GL1804047</v>
      </c>
      <c r="R160" s="16">
        <f>IFERROR(__xludf.DUMMYFUNCTION("""COMPUTED_VALUE"""),43211.0)</f>
        <v>43211</v>
      </c>
      <c r="S160" s="6" t="str">
        <f>IFERROR(__xludf.DUMMYFUNCTION("""COMPUTED_VALUE"""),"-")</f>
        <v>-</v>
      </c>
      <c r="T160" s="13">
        <f>IFERROR(__xludf.DUMMYFUNCTION("""COMPUTED_VALUE"""),43223.0)</f>
        <v>43223</v>
      </c>
    </row>
    <row r="161">
      <c r="A161" s="6" t="str">
        <f>IFERROR(__xludf.DUMMYFUNCTION("""COMPUTED_VALUE"""),"181750140-9")</f>
        <v>181750140-9</v>
      </c>
      <c r="B161" s="6" t="str">
        <f>IFERROR(__xludf.DUMMYFUNCTION("""COMPUTED_VALUE"""),"181750140 - Approved")</f>
        <v>181750140 - Approved</v>
      </c>
      <c r="C161" s="6">
        <f>IFERROR(__xludf.DUMMYFUNCTION("""COMPUTED_VALUE"""),9.0)</f>
        <v>9</v>
      </c>
      <c r="D161" s="6" t="str">
        <f>IFERROR(__xludf.DUMMYFUNCTION("""COMPUTED_VALUE"""),"Q-10136-00")</f>
        <v>Q-10136-00</v>
      </c>
      <c r="E161" s="6" t="str">
        <f>IFERROR(__xludf.DUMMYFUNCTION("""COMPUTED_VALUE"""),"TOTO - Kran T23BQ13N")</f>
        <v>TOTO - Kran T23BQ13N</v>
      </c>
      <c r="F161" s="6">
        <f>IFERROR(__xludf.DUMMYFUNCTION("""COMPUTED_VALUE"""),3.0)</f>
        <v>3</v>
      </c>
      <c r="G161" s="6" t="str">
        <f>IFERROR(__xludf.DUMMYFUNCTION("""COMPUTED_VALUE"""),"Pieces")</f>
        <v>Pieces</v>
      </c>
      <c r="H161" s="6" t="str">
        <f>IFERROR(__xludf.DUMMYFUNCTION("""COMPUTED_VALUE"""),"IDR")</f>
        <v>IDR</v>
      </c>
      <c r="I161" s="11">
        <f>IFERROR(__xludf.DUMMYFUNCTION("""COMPUTED_VALUE"""),420000.0)</f>
        <v>420000</v>
      </c>
      <c r="J161" s="11">
        <f>IFERROR(__xludf.DUMMYFUNCTION("""COMPUTED_VALUE"""),1260000.0)</f>
        <v>1260000</v>
      </c>
      <c r="K161" s="13">
        <f>IFERROR(__xludf.DUMMYFUNCTION("""COMPUTED_VALUE"""),43221.0)</f>
        <v>43221</v>
      </c>
      <c r="L161" s="6" t="str">
        <f>IFERROR(__xludf.DUMMYFUNCTION("""COMPUTED_VALUE"""),"FIP General")</f>
        <v>FIP General</v>
      </c>
      <c r="M161" s="6" t="str">
        <f>IFERROR(__xludf.DUMMYFUNCTION("""COMPUTED_VALUE"""),"Joko Nugroho")</f>
        <v>Joko Nugroho</v>
      </c>
      <c r="N161" s="6" t="str">
        <f>IFERROR(__xludf.DUMMYFUNCTION("""COMPUTED_VALUE"""),"FIP Engineering")</f>
        <v>FIP Engineering</v>
      </c>
      <c r="O161" s="6" t="str">
        <f>IFERROR(__xludf.DUMMYFUNCTION("""COMPUTED_VALUE"""),"FIP-DOM-ENG-51502-0000000-INA-000000")</f>
        <v>FIP-DOM-ENG-51502-0000000-INA-000000</v>
      </c>
      <c r="P161" s="6" t="str">
        <f>IFERROR(__xludf.DUMMYFUNCTION("""COMPUTED_VALUE"""),"PO Closed")</f>
        <v>PO Closed</v>
      </c>
      <c r="Q161" s="6" t="str">
        <f>IFERROR(__xludf.DUMMYFUNCTION("""COMPUTED_VALUE"""),"GL1804047")</f>
        <v>GL1804047</v>
      </c>
      <c r="R161" s="16">
        <f>IFERROR(__xludf.DUMMYFUNCTION("""COMPUTED_VALUE"""),43211.0)</f>
        <v>43211</v>
      </c>
      <c r="S161" s="6" t="str">
        <f>IFERROR(__xludf.DUMMYFUNCTION("""COMPUTED_VALUE"""),"-")</f>
        <v>-</v>
      </c>
      <c r="T161" s="13">
        <f>IFERROR(__xludf.DUMMYFUNCTION("""COMPUTED_VALUE"""),43223.0)</f>
        <v>43223</v>
      </c>
    </row>
    <row r="162">
      <c r="A162" s="6" t="str">
        <f>IFERROR(__xludf.DUMMYFUNCTION("""COMPUTED_VALUE"""),"181750140-9")</f>
        <v>181750140-9</v>
      </c>
      <c r="B162" s="6" t="str">
        <f>IFERROR(__xludf.DUMMYFUNCTION("""COMPUTED_VALUE"""),"181750140 - Approved")</f>
        <v>181750140 - Approved</v>
      </c>
      <c r="C162" s="6">
        <f>IFERROR(__xludf.DUMMYFUNCTION("""COMPUTED_VALUE"""),9.0)</f>
        <v>9</v>
      </c>
      <c r="D162" s="6" t="str">
        <f>IFERROR(__xludf.DUMMYFUNCTION("""COMPUTED_VALUE"""),"Q-10487-00")</f>
        <v>Q-10487-00</v>
      </c>
      <c r="E162" s="6" t="str">
        <f>IFERROR(__xludf.DUMMYFUNCTION("""COMPUTED_VALUE"""),"Tutup Wastafel TOTO; ; ;")</f>
        <v>Tutup Wastafel TOTO; ; ;</v>
      </c>
      <c r="F162" s="6">
        <f>IFERROR(__xludf.DUMMYFUNCTION("""COMPUTED_VALUE"""),2.0)</f>
        <v>2</v>
      </c>
      <c r="G162" s="6" t="str">
        <f>IFERROR(__xludf.DUMMYFUNCTION("""COMPUTED_VALUE"""),"Pieces")</f>
        <v>Pieces</v>
      </c>
      <c r="H162" s="6" t="str">
        <f>IFERROR(__xludf.DUMMYFUNCTION("""COMPUTED_VALUE"""),"IDR")</f>
        <v>IDR</v>
      </c>
      <c r="I162" s="11">
        <f>IFERROR(__xludf.DUMMYFUNCTION("""COMPUTED_VALUE"""),250000.0)</f>
        <v>250000</v>
      </c>
      <c r="J162" s="11">
        <f>IFERROR(__xludf.DUMMYFUNCTION("""COMPUTED_VALUE"""),500000.0)</f>
        <v>500000</v>
      </c>
      <c r="K162" s="13">
        <f>IFERROR(__xludf.DUMMYFUNCTION("""COMPUTED_VALUE"""),43221.0)</f>
        <v>43221</v>
      </c>
      <c r="L162" s="6" t="str">
        <f>IFERROR(__xludf.DUMMYFUNCTION("""COMPUTED_VALUE"""),"FIP General")</f>
        <v>FIP General</v>
      </c>
      <c r="M162" s="6" t="str">
        <f>IFERROR(__xludf.DUMMYFUNCTION("""COMPUTED_VALUE"""),"Joko Nugroho")</f>
        <v>Joko Nugroho</v>
      </c>
      <c r="N162" s="6" t="str">
        <f>IFERROR(__xludf.DUMMYFUNCTION("""COMPUTED_VALUE"""),"FIP Engineering")</f>
        <v>FIP Engineering</v>
      </c>
      <c r="O162" s="6" t="str">
        <f>IFERROR(__xludf.DUMMYFUNCTION("""COMPUTED_VALUE"""),"FIP-DOM-ENG-51502-0000000-INA-000000")</f>
        <v>FIP-DOM-ENG-51502-0000000-INA-000000</v>
      </c>
      <c r="P162" s="6" t="str">
        <f>IFERROR(__xludf.DUMMYFUNCTION("""COMPUTED_VALUE"""),"PO Closed")</f>
        <v>PO Closed</v>
      </c>
      <c r="Q162" s="6" t="str">
        <f>IFERROR(__xludf.DUMMYFUNCTION("""COMPUTED_VALUE"""),"GL1804047")</f>
        <v>GL1804047</v>
      </c>
      <c r="R162" s="16">
        <f>IFERROR(__xludf.DUMMYFUNCTION("""COMPUTED_VALUE"""),43211.0)</f>
        <v>43211</v>
      </c>
      <c r="S162" s="6" t="str">
        <f>IFERROR(__xludf.DUMMYFUNCTION("""COMPUTED_VALUE"""),"-")</f>
        <v>-</v>
      </c>
      <c r="T162" s="13">
        <f>IFERROR(__xludf.DUMMYFUNCTION("""COMPUTED_VALUE"""),43223.0)</f>
        <v>43223</v>
      </c>
    </row>
    <row r="163">
      <c r="A163" s="6" t="str">
        <f>IFERROR(__xludf.DUMMYFUNCTION("""COMPUTED_VALUE"""),"181750140-9")</f>
        <v>181750140-9</v>
      </c>
      <c r="B163" s="6" t="str">
        <f>IFERROR(__xludf.DUMMYFUNCTION("""COMPUTED_VALUE"""),"181750140 - Approved")</f>
        <v>181750140 - Approved</v>
      </c>
      <c r="C163" s="6">
        <f>IFERROR(__xludf.DUMMYFUNCTION("""COMPUTED_VALUE"""),9.0)</f>
        <v>9</v>
      </c>
      <c r="D163" s="6" t="str">
        <f>IFERROR(__xludf.DUMMYFUNCTION("""COMPUTED_VALUE"""),"Q-10488-00")</f>
        <v>Q-10488-00</v>
      </c>
      <c r="E163" s="6" t="str">
        <f>IFERROR(__xludf.DUMMYFUNCTION("""COMPUTED_VALUE"""),"Selang Wastafel TOTO; ; ;")</f>
        <v>Selang Wastafel TOTO; ; ;</v>
      </c>
      <c r="F163" s="6">
        <f>IFERROR(__xludf.DUMMYFUNCTION("""COMPUTED_VALUE"""),4.0)</f>
        <v>4</v>
      </c>
      <c r="G163" s="6" t="str">
        <f>IFERROR(__xludf.DUMMYFUNCTION("""COMPUTED_VALUE"""),"Pieces")</f>
        <v>Pieces</v>
      </c>
      <c r="H163" s="6" t="str">
        <f>IFERROR(__xludf.DUMMYFUNCTION("""COMPUTED_VALUE"""),"IDR")</f>
        <v>IDR</v>
      </c>
      <c r="I163" s="11">
        <f>IFERROR(__xludf.DUMMYFUNCTION("""COMPUTED_VALUE"""),175000.0)</f>
        <v>175000</v>
      </c>
      <c r="J163" s="11">
        <f>IFERROR(__xludf.DUMMYFUNCTION("""COMPUTED_VALUE"""),700000.0)</f>
        <v>700000</v>
      </c>
      <c r="K163" s="13">
        <f>IFERROR(__xludf.DUMMYFUNCTION("""COMPUTED_VALUE"""),43221.0)</f>
        <v>43221</v>
      </c>
      <c r="L163" s="6" t="str">
        <f>IFERROR(__xludf.DUMMYFUNCTION("""COMPUTED_VALUE"""),"FIP General")</f>
        <v>FIP General</v>
      </c>
      <c r="M163" s="6" t="str">
        <f>IFERROR(__xludf.DUMMYFUNCTION("""COMPUTED_VALUE"""),"Joko Nugroho")</f>
        <v>Joko Nugroho</v>
      </c>
      <c r="N163" s="6" t="str">
        <f>IFERROR(__xludf.DUMMYFUNCTION("""COMPUTED_VALUE"""),"FIP Engineering")</f>
        <v>FIP Engineering</v>
      </c>
      <c r="O163" s="6" t="str">
        <f>IFERROR(__xludf.DUMMYFUNCTION("""COMPUTED_VALUE"""),"FIP-DOM-ENG-51502-0000000-INA-000000")</f>
        <v>FIP-DOM-ENG-51502-0000000-INA-000000</v>
      </c>
      <c r="P163" s="6" t="str">
        <f>IFERROR(__xludf.DUMMYFUNCTION("""COMPUTED_VALUE"""),"PO Closed")</f>
        <v>PO Closed</v>
      </c>
      <c r="Q163" s="6" t="str">
        <f>IFERROR(__xludf.DUMMYFUNCTION("""COMPUTED_VALUE"""),"GL1804047")</f>
        <v>GL1804047</v>
      </c>
      <c r="R163" s="16">
        <f>IFERROR(__xludf.DUMMYFUNCTION("""COMPUTED_VALUE"""),43211.0)</f>
        <v>43211</v>
      </c>
      <c r="S163" s="6" t="str">
        <f>IFERROR(__xludf.DUMMYFUNCTION("""COMPUTED_VALUE"""),"-")</f>
        <v>-</v>
      </c>
      <c r="T163" s="13">
        <f>IFERROR(__xludf.DUMMYFUNCTION("""COMPUTED_VALUE"""),43223.0)</f>
        <v>43223</v>
      </c>
    </row>
    <row r="164">
      <c r="A164" s="6" t="str">
        <f>IFERROR(__xludf.DUMMYFUNCTION("""COMPUTED_VALUE"""),"181750133-14")</f>
        <v>181750133-14</v>
      </c>
      <c r="B164" s="6" t="str">
        <f>IFERROR(__xludf.DUMMYFUNCTION("""COMPUTED_VALUE"""),"181750133 - Approved")</f>
        <v>181750133 - Approved</v>
      </c>
      <c r="C164" s="6">
        <f>IFERROR(__xludf.DUMMYFUNCTION("""COMPUTED_VALUE"""),14.0)</f>
        <v>14</v>
      </c>
      <c r="D164" s="6" t="str">
        <f>IFERROR(__xludf.DUMMYFUNCTION("""COMPUTED_VALUE"""),"S-40097-00")</f>
        <v>S-40097-00</v>
      </c>
      <c r="E164" s="6" t="str">
        <f>IFERROR(__xludf.DUMMYFUNCTION("""COMPUTED_VALUE"""),"Kuas Cat")</f>
        <v>Kuas Cat</v>
      </c>
      <c r="F164" s="6">
        <f>IFERROR(__xludf.DUMMYFUNCTION("""COMPUTED_VALUE"""),2.0)</f>
        <v>2</v>
      </c>
      <c r="G164" s="6" t="str">
        <f>IFERROR(__xludf.DUMMYFUNCTION("""COMPUTED_VALUE"""),"Pieces")</f>
        <v>Pieces</v>
      </c>
      <c r="H164" s="6" t="str">
        <f>IFERROR(__xludf.DUMMYFUNCTION("""COMPUTED_VALUE"""),"IDR")</f>
        <v>IDR</v>
      </c>
      <c r="I164" s="11">
        <f>IFERROR(__xludf.DUMMYFUNCTION("""COMPUTED_VALUE"""),7000.0)</f>
        <v>7000</v>
      </c>
      <c r="J164" s="11">
        <f>IFERROR(__xludf.DUMMYFUNCTION("""COMPUTED_VALUE"""),14000.0)</f>
        <v>14000</v>
      </c>
      <c r="K164" s="13">
        <f>IFERROR(__xludf.DUMMYFUNCTION("""COMPUTED_VALUE"""),43221.0)</f>
        <v>43221</v>
      </c>
      <c r="L164" s="6" t="str">
        <f>IFERROR(__xludf.DUMMYFUNCTION("""COMPUTED_VALUE"""),"FIP General")</f>
        <v>FIP General</v>
      </c>
      <c r="M164" s="6" t="str">
        <f>IFERROR(__xludf.DUMMYFUNCTION("""COMPUTED_VALUE"""),"Joko Nugroho")</f>
        <v>Joko Nugroho</v>
      </c>
      <c r="N164" s="6" t="str">
        <f>IFERROR(__xludf.DUMMYFUNCTION("""COMPUTED_VALUE"""),"FIP Engineering")</f>
        <v>FIP Engineering</v>
      </c>
      <c r="O164" s="6" t="str">
        <f>IFERROR(__xludf.DUMMYFUNCTION("""COMPUTED_VALUE"""),"FIP-DOM-ENG-51502-0000000-INA-000000")</f>
        <v>FIP-DOM-ENG-51502-0000000-INA-000000</v>
      </c>
      <c r="P164" s="6" t="str">
        <f>IFERROR(__xludf.DUMMYFUNCTION("""COMPUTED_VALUE"""),"PO Closed")</f>
        <v>PO Closed</v>
      </c>
      <c r="Q164" s="6" t="str">
        <f>IFERROR(__xludf.DUMMYFUNCTION("""COMPUTED_VALUE"""),"GL1804044")</f>
        <v>GL1804044</v>
      </c>
      <c r="R164" s="16">
        <f>IFERROR(__xludf.DUMMYFUNCTION("""COMPUTED_VALUE"""),43211.0)</f>
        <v>43211</v>
      </c>
      <c r="S164" s="6" t="str">
        <f>IFERROR(__xludf.DUMMYFUNCTION("""COMPUTED_VALUE"""),"-")</f>
        <v>-</v>
      </c>
      <c r="T164" s="13">
        <f>IFERROR(__xludf.DUMMYFUNCTION("""COMPUTED_VALUE"""),43217.0)</f>
        <v>43217</v>
      </c>
    </row>
    <row r="165">
      <c r="A165" s="6" t="str">
        <f>IFERROR(__xludf.DUMMYFUNCTION("""COMPUTED_VALUE"""),"181750133-14")</f>
        <v>181750133-14</v>
      </c>
      <c r="B165" s="6" t="str">
        <f>IFERROR(__xludf.DUMMYFUNCTION("""COMPUTED_VALUE"""),"181750133 - Approved")</f>
        <v>181750133 - Approved</v>
      </c>
      <c r="C165" s="6">
        <f>IFERROR(__xludf.DUMMYFUNCTION("""COMPUTED_VALUE"""),14.0)</f>
        <v>14</v>
      </c>
      <c r="D165" s="6" t="str">
        <f>IFERROR(__xludf.DUMMYFUNCTION("""COMPUTED_VALUE"""),"Q-10152-00")</f>
        <v>Q-10152-00</v>
      </c>
      <c r="E165" s="6" t="str">
        <f>IFERROR(__xludf.DUMMYFUNCTION("""COMPUTED_VALUE"""),"Kuas roller set")</f>
        <v>Kuas roller set</v>
      </c>
      <c r="F165" s="6">
        <f>IFERROR(__xludf.DUMMYFUNCTION("""COMPUTED_VALUE"""),3.0)</f>
        <v>3</v>
      </c>
      <c r="G165" s="6" t="str">
        <f>IFERROR(__xludf.DUMMYFUNCTION("""COMPUTED_VALUE"""),"Pieces")</f>
        <v>Pieces</v>
      </c>
      <c r="H165" s="6" t="str">
        <f>IFERROR(__xludf.DUMMYFUNCTION("""COMPUTED_VALUE"""),"IDR")</f>
        <v>IDR</v>
      </c>
      <c r="I165" s="11">
        <f>IFERROR(__xludf.DUMMYFUNCTION("""COMPUTED_VALUE"""),8000.0)</f>
        <v>8000</v>
      </c>
      <c r="J165" s="11">
        <f>IFERROR(__xludf.DUMMYFUNCTION("""COMPUTED_VALUE"""),24000.0)</f>
        <v>24000</v>
      </c>
      <c r="K165" s="13">
        <f>IFERROR(__xludf.DUMMYFUNCTION("""COMPUTED_VALUE"""),43221.0)</f>
        <v>43221</v>
      </c>
      <c r="L165" s="6" t="str">
        <f>IFERROR(__xludf.DUMMYFUNCTION("""COMPUTED_VALUE"""),"FIP General")</f>
        <v>FIP General</v>
      </c>
      <c r="M165" s="6" t="str">
        <f>IFERROR(__xludf.DUMMYFUNCTION("""COMPUTED_VALUE"""),"Joko Nugroho")</f>
        <v>Joko Nugroho</v>
      </c>
      <c r="N165" s="6" t="str">
        <f>IFERROR(__xludf.DUMMYFUNCTION("""COMPUTED_VALUE"""),"FIP Engineering")</f>
        <v>FIP Engineering</v>
      </c>
      <c r="O165" s="6" t="str">
        <f>IFERROR(__xludf.DUMMYFUNCTION("""COMPUTED_VALUE"""),"FIP-DOM-ENG-51502-0000000-INA-000000")</f>
        <v>FIP-DOM-ENG-51502-0000000-INA-000000</v>
      </c>
      <c r="P165" s="6" t="str">
        <f>IFERROR(__xludf.DUMMYFUNCTION("""COMPUTED_VALUE"""),"PO Closed")</f>
        <v>PO Closed</v>
      </c>
      <c r="Q165" s="6" t="str">
        <f>IFERROR(__xludf.DUMMYFUNCTION("""COMPUTED_VALUE"""),"GL1804044")</f>
        <v>GL1804044</v>
      </c>
      <c r="R165" s="16">
        <f>IFERROR(__xludf.DUMMYFUNCTION("""COMPUTED_VALUE"""),43211.0)</f>
        <v>43211</v>
      </c>
      <c r="S165" s="6" t="str">
        <f>IFERROR(__xludf.DUMMYFUNCTION("""COMPUTED_VALUE"""),"-")</f>
        <v>-</v>
      </c>
      <c r="T165" s="13">
        <f>IFERROR(__xludf.DUMMYFUNCTION("""COMPUTED_VALUE"""),43217.0)</f>
        <v>43217</v>
      </c>
    </row>
    <row r="166">
      <c r="A166" s="6" t="str">
        <f>IFERROR(__xludf.DUMMYFUNCTION("""COMPUTED_VALUE"""),"181750142-2")</f>
        <v>181750142-2</v>
      </c>
      <c r="B166" s="6" t="str">
        <f>IFERROR(__xludf.DUMMYFUNCTION("""COMPUTED_VALUE"""),"181750142 - Approved")</f>
        <v>181750142 - Approved</v>
      </c>
      <c r="C166" s="6">
        <f>IFERROR(__xludf.DUMMYFUNCTION("""COMPUTED_VALUE"""),2.0)</f>
        <v>2</v>
      </c>
      <c r="D166" s="6" t="str">
        <f>IFERROR(__xludf.DUMMYFUNCTION("""COMPUTED_VALUE"""),"T-20136-00")</f>
        <v>T-20136-00</v>
      </c>
      <c r="E166" s="6" t="str">
        <f>IFERROR(__xludf.DUMMYFUNCTION("""COMPUTED_VALUE"""),"2690 SEAL PACK REBUILD PKG; Waters; c/n WAT271019;")</f>
        <v>2690 SEAL PACK REBUILD PKG; Waters; c/n WAT271019;</v>
      </c>
      <c r="F166" s="6">
        <f>IFERROR(__xludf.DUMMYFUNCTION("""COMPUTED_VALUE"""),1.0)</f>
        <v>1</v>
      </c>
      <c r="G166" s="6" t="str">
        <f>IFERROR(__xludf.DUMMYFUNCTION("""COMPUTED_VALUE"""),"Pieces")</f>
        <v>Pieces</v>
      </c>
      <c r="H166" s="6" t="str">
        <f>IFERROR(__xludf.DUMMYFUNCTION("""COMPUTED_VALUE"""),"IDR")</f>
        <v>IDR</v>
      </c>
      <c r="I166" s="11">
        <f>IFERROR(__xludf.DUMMYFUNCTION("""COMPUTED_VALUE"""),4510695.0)</f>
        <v>4510695</v>
      </c>
      <c r="J166" s="11">
        <f>IFERROR(__xludf.DUMMYFUNCTION("""COMPUTED_VALUE"""),4510695.0)</f>
        <v>4510695</v>
      </c>
      <c r="K166" s="13">
        <f>IFERROR(__xludf.DUMMYFUNCTION("""COMPUTED_VALUE"""),43221.0)</f>
        <v>43221</v>
      </c>
      <c r="L166" s="6" t="str">
        <f>IFERROR(__xludf.DUMMYFUNCTION("""COMPUTED_VALUE"""),"FIP General")</f>
        <v>FIP General</v>
      </c>
      <c r="M166" s="6" t="str">
        <f>IFERROR(__xludf.DUMMYFUNCTION("""COMPUTED_VALUE"""),"Vivi Faliyanna")</f>
        <v>Vivi Faliyanna</v>
      </c>
      <c r="N166" s="6" t="str">
        <f>IFERROR(__xludf.DUMMYFUNCTION("""COMPUTED_VALUE"""),"FIP Engineering")</f>
        <v>FIP Engineering</v>
      </c>
      <c r="O166" s="6" t="str">
        <f>IFERROR(__xludf.DUMMYFUNCTION("""COMPUTED_VALUE"""),"FIP-DOM-ENG-51505-0000000-INA-000000")</f>
        <v>FIP-DOM-ENG-51505-0000000-INA-000000</v>
      </c>
      <c r="P166" s="6" t="str">
        <f>IFERROR(__xludf.DUMMYFUNCTION("""COMPUTED_VALUE"""),"PO Closed")</f>
        <v>PO Closed</v>
      </c>
      <c r="Q166" s="6" t="str">
        <f>IFERROR(__xludf.DUMMYFUNCTION("""COMPUTED_VALUE"""),"GL1804045")</f>
        <v>GL1804045</v>
      </c>
      <c r="R166" s="16">
        <f>IFERROR(__xludf.DUMMYFUNCTION("""COMPUTED_VALUE"""),43213.0)</f>
        <v>43213</v>
      </c>
      <c r="S166" s="6" t="str">
        <f>IFERROR(__xludf.DUMMYFUNCTION("""COMPUTED_VALUE"""),"-")</f>
        <v>-</v>
      </c>
      <c r="T166" s="13">
        <f>IFERROR(__xludf.DUMMYFUNCTION("""COMPUTED_VALUE"""),43221.0)</f>
        <v>43221</v>
      </c>
    </row>
    <row r="167">
      <c r="A167" s="6" t="str">
        <f>IFERROR(__xludf.DUMMYFUNCTION("""COMPUTED_VALUE"""),"181750093-7")</f>
        <v>181750093-7</v>
      </c>
      <c r="B167" s="6" t="str">
        <f>IFERROR(__xludf.DUMMYFUNCTION("""COMPUTED_VALUE"""),"181750093 - Approved")</f>
        <v>181750093 - Approved</v>
      </c>
      <c r="C167" s="6">
        <f>IFERROR(__xludf.DUMMYFUNCTION("""COMPUTED_VALUE"""),7.0)</f>
        <v>7</v>
      </c>
      <c r="D167" s="6" t="str">
        <f>IFERROR(__xludf.DUMMYFUNCTION("""COMPUTED_VALUE"""),"S-40668-00")</f>
        <v>S-40668-00</v>
      </c>
      <c r="E167" s="6" t="str">
        <f>IFERROR(__xludf.DUMMYFUNCTION("""COMPUTED_VALUE"""),"Kabel HDMI; ; ;")</f>
        <v>Kabel HDMI; ; ;</v>
      </c>
      <c r="F167" s="6">
        <f>IFERROR(__xludf.DUMMYFUNCTION("""COMPUTED_VALUE"""),1.0)</f>
        <v>1</v>
      </c>
      <c r="G167" s="6" t="str">
        <f>IFERROR(__xludf.DUMMYFUNCTION("""COMPUTED_VALUE"""),"Pieces")</f>
        <v>Pieces</v>
      </c>
      <c r="H167" s="6" t="str">
        <f>IFERROR(__xludf.DUMMYFUNCTION("""COMPUTED_VALUE"""),"IDR")</f>
        <v>IDR</v>
      </c>
      <c r="I167" s="11">
        <f>IFERROR(__xludf.DUMMYFUNCTION("""COMPUTED_VALUE"""),220000.0)</f>
        <v>220000</v>
      </c>
      <c r="J167" s="11">
        <f>IFERROR(__xludf.DUMMYFUNCTION("""COMPUTED_VALUE"""),220000.0)</f>
        <v>220000</v>
      </c>
      <c r="K167" s="13">
        <f>IFERROR(__xludf.DUMMYFUNCTION("""COMPUTED_VALUE"""),43224.0)</f>
        <v>43224</v>
      </c>
      <c r="L167" s="6" t="str">
        <f>IFERROR(__xludf.DUMMYFUNCTION("""COMPUTED_VALUE"""),"FIP General")</f>
        <v>FIP General</v>
      </c>
      <c r="M167" s="6" t="str">
        <f>IFERROR(__xludf.DUMMYFUNCTION("""COMPUTED_VALUE"""),"Joko Nugroho")</f>
        <v>Joko Nugroho</v>
      </c>
      <c r="N167" s="6" t="str">
        <f>IFERROR(__xludf.DUMMYFUNCTION("""COMPUTED_VALUE"""),"FIP Engineering")</f>
        <v>FIP Engineering</v>
      </c>
      <c r="O167" s="6" t="str">
        <f>IFERROR(__xludf.DUMMYFUNCTION("""COMPUTED_VALUE"""),"FIP-DOM-ENG-51404-0000000-INA-000000")</f>
        <v>FIP-DOM-ENG-51404-0000000-INA-000000</v>
      </c>
      <c r="P167" s="6" t="str">
        <f>IFERROR(__xludf.DUMMYFUNCTION("""COMPUTED_VALUE"""),"PO Closed")</f>
        <v>PO Closed</v>
      </c>
      <c r="Q167" s="6" t="str">
        <f>IFERROR(__xludf.DUMMYFUNCTION("""COMPUTED_VALUE"""),"GL1804047")</f>
        <v>GL1804047</v>
      </c>
      <c r="R167" s="16">
        <f>IFERROR(__xludf.DUMMYFUNCTION("""COMPUTED_VALUE"""),43213.0)</f>
        <v>43213</v>
      </c>
      <c r="S167" s="6" t="str">
        <f>IFERROR(__xludf.DUMMYFUNCTION("""COMPUTED_VALUE"""),"-")</f>
        <v>-</v>
      </c>
      <c r="T167" s="17">
        <f>IFERROR(__xludf.DUMMYFUNCTION("""COMPUTED_VALUE"""),43223.0)</f>
        <v>43223</v>
      </c>
    </row>
    <row r="168">
      <c r="A168" s="6" t="str">
        <f>IFERROR(__xludf.DUMMYFUNCTION("""COMPUTED_VALUE"""),"181750093-7")</f>
        <v>181750093-7</v>
      </c>
      <c r="B168" s="6" t="str">
        <f>IFERROR(__xludf.DUMMYFUNCTION("""COMPUTED_VALUE"""),"181750093 - Approved")</f>
        <v>181750093 - Approved</v>
      </c>
      <c r="C168" s="6">
        <f>IFERROR(__xludf.DUMMYFUNCTION("""COMPUTED_VALUE"""),7.0)</f>
        <v>7</v>
      </c>
      <c r="D168" s="6" t="str">
        <f>IFERROR(__xludf.DUMMYFUNCTION("""COMPUTED_VALUE"""),"S-40670-00")</f>
        <v>S-40670-00</v>
      </c>
      <c r="E168" s="6" t="str">
        <f>IFERROR(__xludf.DUMMYFUNCTION("""COMPUTED_VALUE"""),"Kabel HDMI to VGA; ; ;")</f>
        <v>Kabel HDMI to VGA; ; ;</v>
      </c>
      <c r="F168" s="6">
        <f>IFERROR(__xludf.DUMMYFUNCTION("""COMPUTED_VALUE"""),2.0)</f>
        <v>2</v>
      </c>
      <c r="G168" s="6" t="str">
        <f>IFERROR(__xludf.DUMMYFUNCTION("""COMPUTED_VALUE"""),"Pieces")</f>
        <v>Pieces</v>
      </c>
      <c r="H168" s="6" t="str">
        <f>IFERROR(__xludf.DUMMYFUNCTION("""COMPUTED_VALUE"""),"IDR")</f>
        <v>IDR</v>
      </c>
      <c r="I168" s="11">
        <f>IFERROR(__xludf.DUMMYFUNCTION("""COMPUTED_VALUE"""),150000.0)</f>
        <v>150000</v>
      </c>
      <c r="J168" s="11">
        <f>IFERROR(__xludf.DUMMYFUNCTION("""COMPUTED_VALUE"""),300000.0)</f>
        <v>300000</v>
      </c>
      <c r="K168" s="13">
        <f>IFERROR(__xludf.DUMMYFUNCTION("""COMPUTED_VALUE"""),43224.0)</f>
        <v>43224</v>
      </c>
      <c r="L168" s="6" t="str">
        <f>IFERROR(__xludf.DUMMYFUNCTION("""COMPUTED_VALUE"""),"FIP General")</f>
        <v>FIP General</v>
      </c>
      <c r="M168" s="6" t="str">
        <f>IFERROR(__xludf.DUMMYFUNCTION("""COMPUTED_VALUE"""),"Joko Nugroho")</f>
        <v>Joko Nugroho</v>
      </c>
      <c r="N168" s="6" t="str">
        <f>IFERROR(__xludf.DUMMYFUNCTION("""COMPUTED_VALUE"""),"FIP Engineering")</f>
        <v>FIP Engineering</v>
      </c>
      <c r="O168" s="6" t="str">
        <f>IFERROR(__xludf.DUMMYFUNCTION("""COMPUTED_VALUE"""),"FIP-DOM-ENG-51404-0000000-INA-000000")</f>
        <v>FIP-DOM-ENG-51404-0000000-INA-000000</v>
      </c>
      <c r="P168" s="6" t="str">
        <f>IFERROR(__xludf.DUMMYFUNCTION("""COMPUTED_VALUE"""),"PO Closed")</f>
        <v>PO Closed</v>
      </c>
      <c r="Q168" s="6" t="str">
        <f>IFERROR(__xludf.DUMMYFUNCTION("""COMPUTED_VALUE"""),"GL1804047")</f>
        <v>GL1804047</v>
      </c>
      <c r="R168" s="16">
        <f>IFERROR(__xludf.DUMMYFUNCTION("""COMPUTED_VALUE"""),43213.0)</f>
        <v>43213</v>
      </c>
      <c r="S168" s="6" t="str">
        <f>IFERROR(__xludf.DUMMYFUNCTION("""COMPUTED_VALUE"""),"-")</f>
        <v>-</v>
      </c>
      <c r="T168" s="13">
        <f>IFERROR(__xludf.DUMMYFUNCTION("""COMPUTED_VALUE"""),43223.0)</f>
        <v>43223</v>
      </c>
    </row>
    <row r="169">
      <c r="A169" s="6" t="str">
        <f>IFERROR(__xludf.DUMMYFUNCTION("""COMPUTED_VALUE"""),"181750093-7")</f>
        <v>181750093-7</v>
      </c>
      <c r="B169" s="6" t="str">
        <f>IFERROR(__xludf.DUMMYFUNCTION("""COMPUTED_VALUE"""),"181750093 - Approved")</f>
        <v>181750093 - Approved</v>
      </c>
      <c r="C169" s="6">
        <f>IFERROR(__xludf.DUMMYFUNCTION("""COMPUTED_VALUE"""),7.0)</f>
        <v>7</v>
      </c>
      <c r="D169" s="6" t="str">
        <f>IFERROR(__xludf.DUMMYFUNCTION("""COMPUTED_VALUE"""),"S-40669-00")</f>
        <v>S-40669-00</v>
      </c>
      <c r="E169" s="6" t="str">
        <f>IFERROR(__xludf.DUMMYFUNCTION("""COMPUTED_VALUE"""),"Coverter HDMI; ; ;")</f>
        <v>Coverter HDMI; ; ;</v>
      </c>
      <c r="F169" s="6">
        <f>IFERROR(__xludf.DUMMYFUNCTION("""COMPUTED_VALUE"""),2.0)</f>
        <v>2</v>
      </c>
      <c r="G169" s="6" t="str">
        <f>IFERROR(__xludf.DUMMYFUNCTION("""COMPUTED_VALUE"""),"Pieces")</f>
        <v>Pieces</v>
      </c>
      <c r="H169" s="6" t="str">
        <f>IFERROR(__xludf.DUMMYFUNCTION("""COMPUTED_VALUE"""),"IDR")</f>
        <v>IDR</v>
      </c>
      <c r="I169" s="11">
        <f>IFERROR(__xludf.DUMMYFUNCTION("""COMPUTED_VALUE"""),850000.0)</f>
        <v>850000</v>
      </c>
      <c r="J169" s="11">
        <f>IFERROR(__xludf.DUMMYFUNCTION("""COMPUTED_VALUE"""),1700000.0)</f>
        <v>1700000</v>
      </c>
      <c r="K169" s="13">
        <f>IFERROR(__xludf.DUMMYFUNCTION("""COMPUTED_VALUE"""),43224.0)</f>
        <v>43224</v>
      </c>
      <c r="L169" s="6" t="str">
        <f>IFERROR(__xludf.DUMMYFUNCTION("""COMPUTED_VALUE"""),"FIP General")</f>
        <v>FIP General</v>
      </c>
      <c r="M169" s="6" t="str">
        <f>IFERROR(__xludf.DUMMYFUNCTION("""COMPUTED_VALUE"""),"Joko Nugroho")</f>
        <v>Joko Nugroho</v>
      </c>
      <c r="N169" s="6" t="str">
        <f>IFERROR(__xludf.DUMMYFUNCTION("""COMPUTED_VALUE"""),"FIP Engineering")</f>
        <v>FIP Engineering</v>
      </c>
      <c r="O169" s="6" t="str">
        <f>IFERROR(__xludf.DUMMYFUNCTION("""COMPUTED_VALUE"""),"FIP-DOM-ENG-51404-0000000-INA-000000")</f>
        <v>FIP-DOM-ENG-51404-0000000-INA-000000</v>
      </c>
      <c r="P169" s="6" t="str">
        <f>IFERROR(__xludf.DUMMYFUNCTION("""COMPUTED_VALUE"""),"PO Closed")</f>
        <v>PO Closed</v>
      </c>
      <c r="Q169" s="6" t="str">
        <f>IFERROR(__xludf.DUMMYFUNCTION("""COMPUTED_VALUE"""),"GL1804047")</f>
        <v>GL1804047</v>
      </c>
      <c r="R169" s="16">
        <f>IFERROR(__xludf.DUMMYFUNCTION("""COMPUTED_VALUE"""),43213.0)</f>
        <v>43213</v>
      </c>
      <c r="S169" s="6" t="str">
        <f>IFERROR(__xludf.DUMMYFUNCTION("""COMPUTED_VALUE"""),"-")</f>
        <v>-</v>
      </c>
      <c r="T169" s="13">
        <f>IFERROR(__xludf.DUMMYFUNCTION("""COMPUTED_VALUE"""),43223.0)</f>
        <v>43223</v>
      </c>
    </row>
    <row r="170">
      <c r="A170" s="6" t="str">
        <f>IFERROR(__xludf.DUMMYFUNCTION("""COMPUTED_VALUE"""),"181750141-2")</f>
        <v>181750141-2</v>
      </c>
      <c r="B170" s="6" t="str">
        <f>IFERROR(__xludf.DUMMYFUNCTION("""COMPUTED_VALUE"""),"181750141 - Approved")</f>
        <v>181750141 - Approved</v>
      </c>
      <c r="C170" s="6">
        <f>IFERROR(__xludf.DUMMYFUNCTION("""COMPUTED_VALUE"""),2.0)</f>
        <v>2</v>
      </c>
      <c r="D170" s="6" t="str">
        <f>IFERROR(__xludf.DUMMYFUNCTION("""COMPUTED_VALUE"""),"P-51752-00")</f>
        <v>P-51752-00</v>
      </c>
      <c r="E170" s="6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F170" s="6">
        <f>IFERROR(__xludf.DUMMYFUNCTION("""COMPUTED_VALUE"""),2.0)</f>
        <v>2</v>
      </c>
      <c r="G170" s="6" t="str">
        <f>IFERROR(__xludf.DUMMYFUNCTION("""COMPUTED_VALUE"""),"Unit")</f>
        <v>Unit</v>
      </c>
      <c r="H170" s="6" t="str">
        <f>IFERROR(__xludf.DUMMYFUNCTION("""COMPUTED_VALUE"""),"IDR")</f>
        <v>IDR</v>
      </c>
      <c r="I170" s="11">
        <f>IFERROR(__xludf.DUMMYFUNCTION("""COMPUTED_VALUE"""),1000000.0)</f>
        <v>1000000</v>
      </c>
      <c r="J170" s="11">
        <f>IFERROR(__xludf.DUMMYFUNCTION("""COMPUTED_VALUE"""),2000000.0)</f>
        <v>2000000</v>
      </c>
      <c r="K170" s="13">
        <f>IFERROR(__xludf.DUMMYFUNCTION("""COMPUTED_VALUE"""),43224.0)</f>
        <v>43224</v>
      </c>
      <c r="L170" s="6" t="str">
        <f>IFERROR(__xludf.DUMMYFUNCTION("""COMPUTED_VALUE"""),"FIP Engineering")</f>
        <v>FIP Engineering</v>
      </c>
      <c r="M170" s="6" t="str">
        <f>IFERROR(__xludf.DUMMYFUNCTION("""COMPUTED_VALUE"""),"Joko Nugroho")</f>
        <v>Joko Nugroho</v>
      </c>
      <c r="N170" s="6" t="str">
        <f>IFERROR(__xludf.DUMMYFUNCTION("""COMPUTED_VALUE"""),"FIP Engineering")</f>
        <v>FIP Engineering</v>
      </c>
      <c r="O170" s="6" t="str">
        <f>IFERROR(__xludf.DUMMYFUNCTION("""COMPUTED_VALUE"""),"FIP-DOM-000-11304-OS00001-INA-000000")</f>
        <v>FIP-DOM-000-11304-OS00001-INA-000000</v>
      </c>
      <c r="P170" s="6" t="str">
        <f>IFERROR(__xludf.DUMMYFUNCTION("""COMPUTED_VALUE"""),"PO Closed")</f>
        <v>PO Closed</v>
      </c>
      <c r="Q170" s="6" t="str">
        <f>IFERROR(__xludf.DUMMYFUNCTION("""COMPUTED_VALUE"""),"GL1811066")</f>
        <v>GL1811066</v>
      </c>
      <c r="R170" s="16">
        <f>IFERROR(__xludf.DUMMYFUNCTION("""COMPUTED_VALUE"""),43216.0)</f>
        <v>43216</v>
      </c>
      <c r="S170" s="6" t="str">
        <f>IFERROR(__xludf.DUMMYFUNCTION("""COMPUTED_VALUE"""),"-")</f>
        <v>-</v>
      </c>
      <c r="T170" s="13">
        <f>IFERROR(__xludf.DUMMYFUNCTION("""COMPUTED_VALUE"""),43426.0)</f>
        <v>43426</v>
      </c>
    </row>
    <row r="171">
      <c r="A171" s="6" t="str">
        <f>IFERROR(__xludf.DUMMYFUNCTION("""COMPUTED_VALUE"""),"181750144-14")</f>
        <v>181750144-14</v>
      </c>
      <c r="B171" s="6" t="str">
        <f>IFERROR(__xludf.DUMMYFUNCTION("""COMPUTED_VALUE"""),"181750144 - Approved")</f>
        <v>181750144 - Approved</v>
      </c>
      <c r="C171" s="6">
        <f>IFERROR(__xludf.DUMMYFUNCTION("""COMPUTED_VALUE"""),14.0)</f>
        <v>14</v>
      </c>
      <c r="D171" s="6" t="str">
        <f>IFERROR(__xludf.DUMMYFUNCTION("""COMPUTED_VALUE"""),"P-10905-00")</f>
        <v>P-10905-00</v>
      </c>
      <c r="E171" s="6" t="str">
        <f>IFERROR(__xludf.DUMMYFUNCTION("""COMPUTED_VALUE"""),"Fitting PVC - Tee PVC 1/2""")</f>
        <v>Fitting PVC - Tee PVC 1/2"</v>
      </c>
      <c r="F171" s="6">
        <f>IFERROR(__xludf.DUMMYFUNCTION("""COMPUTED_VALUE"""),6.0)</f>
        <v>6</v>
      </c>
      <c r="G171" s="6" t="str">
        <f>IFERROR(__xludf.DUMMYFUNCTION("""COMPUTED_VALUE"""),"Pieces")</f>
        <v>Pieces</v>
      </c>
      <c r="H171" s="6" t="str">
        <f>IFERROR(__xludf.DUMMYFUNCTION("""COMPUTED_VALUE"""),"IDR")</f>
        <v>IDR</v>
      </c>
      <c r="I171" s="11">
        <f>IFERROR(__xludf.DUMMYFUNCTION("""COMPUTED_VALUE"""),4000.0)</f>
        <v>4000</v>
      </c>
      <c r="J171" s="11">
        <f>IFERROR(__xludf.DUMMYFUNCTION("""COMPUTED_VALUE"""),24000.0)</f>
        <v>24000</v>
      </c>
      <c r="K171" s="13">
        <f>IFERROR(__xludf.DUMMYFUNCTION("""COMPUTED_VALUE"""),43252.0)</f>
        <v>43252</v>
      </c>
      <c r="L171" s="6" t="str">
        <f>IFERROR(__xludf.DUMMYFUNCTION("""COMPUTED_VALUE"""),"FIP Engineering")</f>
        <v>FIP Engineering</v>
      </c>
      <c r="M171" s="6" t="str">
        <f>IFERROR(__xludf.DUMMYFUNCTION("""COMPUTED_VALUE"""),"Joko Nugroho")</f>
        <v>Joko Nugroho</v>
      </c>
      <c r="N171" s="6" t="str">
        <f>IFERROR(__xludf.DUMMYFUNCTION("""COMPUTED_VALUE"""),"FIP Engineering")</f>
        <v>FIP Engineering</v>
      </c>
      <c r="O171" s="6" t="str">
        <f>IFERROR(__xludf.DUMMYFUNCTION("""COMPUTED_VALUE"""),"FIP-DOM-000-11304-OS00001-INA-000000")</f>
        <v>FIP-DOM-000-11304-OS00001-INA-000000</v>
      </c>
      <c r="P171" s="6" t="str">
        <f>IFERROR(__xludf.DUMMYFUNCTION("""COMPUTED_VALUE"""),"PO Closed")</f>
        <v>PO Closed</v>
      </c>
      <c r="Q171" s="6" t="str">
        <f>IFERROR(__xludf.DUMMYFUNCTION("""COMPUTED_VALUE"""),"GL1806005")</f>
        <v>GL1806005</v>
      </c>
      <c r="R171" s="16">
        <f>IFERROR(__xludf.DUMMYFUNCTION("""COMPUTED_VALUE"""),43217.0)</f>
        <v>43217</v>
      </c>
      <c r="S171" s="6" t="str">
        <f>IFERROR(__xludf.DUMMYFUNCTION("""COMPUTED_VALUE"""),"-")</f>
        <v>-</v>
      </c>
      <c r="T171" s="13">
        <f>IFERROR(__xludf.DUMMYFUNCTION("""COMPUTED_VALUE"""),43256.0)</f>
        <v>43256</v>
      </c>
    </row>
    <row r="172">
      <c r="A172" s="6" t="str">
        <f>IFERROR(__xludf.DUMMYFUNCTION("""COMPUTED_VALUE"""),"181750152-1")</f>
        <v>181750152-1</v>
      </c>
      <c r="B172" s="6" t="str">
        <f>IFERROR(__xludf.DUMMYFUNCTION("""COMPUTED_VALUE"""),"181750152 - Approved")</f>
        <v>181750152 - Approved</v>
      </c>
      <c r="C172" s="6">
        <f>IFERROR(__xludf.DUMMYFUNCTION("""COMPUTED_VALUE"""),1.0)</f>
        <v>1</v>
      </c>
      <c r="D172" s="6" t="str">
        <f>IFERROR(__xludf.DUMMYFUNCTION("""COMPUTED_VALUE"""),"S-60002-00")</f>
        <v>S-60002-00</v>
      </c>
      <c r="E172" s="6" t="str">
        <f>IFERROR(__xludf.DUMMYFUNCTION("""COMPUTED_VALUE"""),"Jasa Pemasangan Seal Pack (WAT271019)")</f>
        <v>Jasa Pemasangan Seal Pack (WAT271019)</v>
      </c>
      <c r="F172" s="6">
        <f>IFERROR(__xludf.DUMMYFUNCTION("""COMPUTED_VALUE"""),1.0)</f>
        <v>1</v>
      </c>
      <c r="G172" s="6" t="str">
        <f>IFERROR(__xludf.DUMMYFUNCTION("""COMPUTED_VALUE"""),"Lot")</f>
        <v>Lot</v>
      </c>
      <c r="H172" s="6" t="str">
        <f>IFERROR(__xludf.DUMMYFUNCTION("""COMPUTED_VALUE"""),"IDR")</f>
        <v>IDR</v>
      </c>
      <c r="I172" s="11">
        <f>IFERROR(__xludf.DUMMYFUNCTION("""COMPUTED_VALUE"""),1500000.0)</f>
        <v>1500000</v>
      </c>
      <c r="J172" s="11">
        <f>IFERROR(__xludf.DUMMYFUNCTION("""COMPUTED_VALUE"""),1500000.0)</f>
        <v>1500000</v>
      </c>
      <c r="K172" s="13">
        <f>IFERROR(__xludf.DUMMYFUNCTION("""COMPUTED_VALUE"""),43224.0)</f>
        <v>43224</v>
      </c>
      <c r="L172" s="6" t="str">
        <f>IFERROR(__xludf.DUMMYFUNCTION("""COMPUTED_VALUE"""),"FIP General")</f>
        <v>FIP General</v>
      </c>
      <c r="M172" s="6" t="str">
        <f>IFERROR(__xludf.DUMMYFUNCTION("""COMPUTED_VALUE"""),"Vivi Faliyanna")</f>
        <v>Vivi Faliyanna</v>
      </c>
      <c r="N172" s="6" t="str">
        <f>IFERROR(__xludf.DUMMYFUNCTION("""COMPUTED_VALUE"""),"FIP Engineering")</f>
        <v>FIP Engineering</v>
      </c>
      <c r="O172" s="6" t="str">
        <f>IFERROR(__xludf.DUMMYFUNCTION("""COMPUTED_VALUE"""),"FIP-DOM-ENG-51508-0000000-INA-000000")</f>
        <v>FIP-DOM-ENG-51508-0000000-INA-000000</v>
      </c>
      <c r="P172" s="6" t="str">
        <f>IFERROR(__xludf.DUMMYFUNCTION("""COMPUTED_VALUE"""),"PO Closed")</f>
        <v>PO Closed</v>
      </c>
      <c r="Q172" s="6" t="str">
        <f>IFERROR(__xludf.DUMMYFUNCTION("""COMPUTED_VALUE"""),"GL1805025")</f>
        <v>GL1805025</v>
      </c>
      <c r="R172" s="16">
        <f>IFERROR(__xludf.DUMMYFUNCTION("""COMPUTED_VALUE"""),43220.0)</f>
        <v>43220</v>
      </c>
      <c r="S172" s="6" t="str">
        <f>IFERROR(__xludf.DUMMYFUNCTION("""COMPUTED_VALUE"""),"-")</f>
        <v>-</v>
      </c>
      <c r="T172" s="13">
        <f>IFERROR(__xludf.DUMMYFUNCTION("""COMPUTED_VALUE"""),43244.0)</f>
        <v>43244</v>
      </c>
    </row>
    <row r="173">
      <c r="A173" s="6" t="str">
        <f>IFERROR(__xludf.DUMMYFUNCTION("""COMPUTED_VALUE"""),"181750126-5")</f>
        <v>181750126-5</v>
      </c>
      <c r="B173" s="6" t="str">
        <f>IFERROR(__xludf.DUMMYFUNCTION("""COMPUTED_VALUE"""),"181750126 - Approved")</f>
        <v>181750126 - Approved</v>
      </c>
      <c r="C173" s="6">
        <f>IFERROR(__xludf.DUMMYFUNCTION("""COMPUTED_VALUE"""),5.0)</f>
        <v>5</v>
      </c>
      <c r="D173" s="6" t="str">
        <f>IFERROR(__xludf.DUMMYFUNCTION("""COMPUTED_VALUE"""),"S-60002-00")</f>
        <v>S-60002-00</v>
      </c>
      <c r="E173" s="6" t="str">
        <f>IFERROR(__xludf.DUMMYFUNCTION("""COMPUTED_VALUE"""),"Perbaikan kebocoran freon freeze dryer; refrigerant r407 dupont")</f>
        <v>Perbaikan kebocoran freon freeze dryer; refrigerant r407 dupont</v>
      </c>
      <c r="F173" s="6">
        <f>IFERROR(__xludf.DUMMYFUNCTION("""COMPUTED_VALUE"""),1.0)</f>
        <v>1</v>
      </c>
      <c r="G173" s="6" t="str">
        <f>IFERROR(__xludf.DUMMYFUNCTION("""COMPUTED_VALUE"""),"Lot")</f>
        <v>Lot</v>
      </c>
      <c r="H173" s="6" t="str">
        <f>IFERROR(__xludf.DUMMYFUNCTION("""COMPUTED_VALUE"""),"IDR")</f>
        <v>IDR</v>
      </c>
      <c r="I173" s="11">
        <f>IFERROR(__xludf.DUMMYFUNCTION("""COMPUTED_VALUE"""),2125000.0)</f>
        <v>2125000</v>
      </c>
      <c r="J173" s="11">
        <f>IFERROR(__xludf.DUMMYFUNCTION("""COMPUTED_VALUE"""),2125000.0)</f>
        <v>2125000</v>
      </c>
      <c r="K173" s="13">
        <f>IFERROR(__xludf.DUMMYFUNCTION("""COMPUTED_VALUE"""),43210.0)</f>
        <v>43210</v>
      </c>
      <c r="L173" s="6" t="str">
        <f>IFERROR(__xludf.DUMMYFUNCTION("""COMPUTED_VALUE"""),"FIP General")</f>
        <v>FIP General</v>
      </c>
      <c r="M173" s="6" t="str">
        <f>IFERROR(__xludf.DUMMYFUNCTION("""COMPUTED_VALUE"""),"Joko Nugroho")</f>
        <v>Joko Nugroho</v>
      </c>
      <c r="N173" s="6" t="str">
        <f>IFERROR(__xludf.DUMMYFUNCTION("""COMPUTED_VALUE"""),"FIP Engineering")</f>
        <v>FIP Engineering</v>
      </c>
      <c r="O173" s="6" t="str">
        <f>IFERROR(__xludf.DUMMYFUNCTION("""COMPUTED_VALUE"""),"FIP-DOM-ENG-51508-0000000-INA-000000")</f>
        <v>FIP-DOM-ENG-51508-0000000-INA-000000</v>
      </c>
      <c r="P173" s="6" t="str">
        <f>IFERROR(__xludf.DUMMYFUNCTION("""COMPUTED_VALUE"""),"PO Closed")</f>
        <v>PO Closed</v>
      </c>
      <c r="Q173" s="6" t="str">
        <f>IFERROR(__xludf.DUMMYFUNCTION("""COMPUTED_VALUE"""),"GL1804028")</f>
        <v>GL1804028</v>
      </c>
      <c r="R173" s="16">
        <f>IFERROR(__xludf.DUMMYFUNCTION("""COMPUTED_VALUE"""),43223.0)</f>
        <v>43223</v>
      </c>
      <c r="S173" s="6" t="str">
        <f>IFERROR(__xludf.DUMMYFUNCTION("""COMPUTED_VALUE"""),"-")</f>
        <v>-</v>
      </c>
      <c r="T173" s="13">
        <f>IFERROR(__xludf.DUMMYFUNCTION("""COMPUTED_VALUE"""),43227.0)</f>
        <v>43227</v>
      </c>
    </row>
    <row r="174">
      <c r="A174" s="6" t="str">
        <f>IFERROR(__xludf.DUMMYFUNCTION("""COMPUTED_VALUE"""),"181750164-1")</f>
        <v>181750164-1</v>
      </c>
      <c r="B174" s="6" t="str">
        <f>IFERROR(__xludf.DUMMYFUNCTION("""COMPUTED_VALUE"""),"181750164 - Approved")</f>
        <v>181750164 - Approved</v>
      </c>
      <c r="C174" s="6">
        <f>IFERROR(__xludf.DUMMYFUNCTION("""COMPUTED_VALUE"""),1.0)</f>
        <v>1</v>
      </c>
      <c r="D174" s="6" t="str">
        <f>IFERROR(__xludf.DUMMYFUNCTION("""COMPUTED_VALUE"""),"O-15552-00")</f>
        <v>O-15552-00</v>
      </c>
      <c r="E174" s="6" t="str">
        <f>IFERROR(__xludf.DUMMYFUNCTION("""COMPUTED_VALUE"""),"ABSOLUTE ENCODER SSI 8192 GRAY RADIAL CONNECTOR; PART NO :202931")</f>
        <v>ABSOLUTE ENCODER SSI 8192 GRAY RADIAL CONNECTOR; PART NO :202931</v>
      </c>
      <c r="F174" s="6">
        <f>IFERROR(__xludf.DUMMYFUNCTION("""COMPUTED_VALUE"""),1.0)</f>
        <v>1</v>
      </c>
      <c r="G174" s="6" t="str">
        <f>IFERROR(__xludf.DUMMYFUNCTION("""COMPUTED_VALUE"""),"Unit")</f>
        <v>Unit</v>
      </c>
      <c r="H174" s="6" t="str">
        <f>IFERROR(__xludf.DUMMYFUNCTION("""COMPUTED_VALUE"""),"IDR")</f>
        <v>IDR</v>
      </c>
      <c r="I174" s="11">
        <f>IFERROR(__xludf.DUMMYFUNCTION("""COMPUTED_VALUE"""),1.2598425E7)</f>
        <v>12598425</v>
      </c>
      <c r="J174" s="11">
        <f>IFERROR(__xludf.DUMMYFUNCTION("""COMPUTED_VALUE"""),1.2598425E7)</f>
        <v>12598425</v>
      </c>
      <c r="K174" s="13">
        <f>IFERROR(__xludf.DUMMYFUNCTION("""COMPUTED_VALUE"""),43273.0)</f>
        <v>43273</v>
      </c>
      <c r="L174" s="6" t="str">
        <f>IFERROR(__xludf.DUMMYFUNCTION("""COMPUTED_VALUE"""),"FIP Engineering")</f>
        <v>FIP Engineering</v>
      </c>
      <c r="M174" s="6" t="str">
        <f>IFERROR(__xludf.DUMMYFUNCTION("""COMPUTED_VALUE"""),"Joko Nugroho")</f>
        <v>Joko Nugroho</v>
      </c>
      <c r="N174" s="6" t="str">
        <f>IFERROR(__xludf.DUMMYFUNCTION("""COMPUTED_VALUE"""),"FIP Engineering")</f>
        <v>FIP Engineering</v>
      </c>
      <c r="O174" s="6" t="str">
        <f>IFERROR(__xludf.DUMMYFUNCTION("""COMPUTED_VALUE"""),"FIP-DOM-000-11304-OS00001-INA-000000")</f>
        <v>FIP-DOM-000-11304-OS00001-INA-000000</v>
      </c>
      <c r="P174" s="6" t="str">
        <f>IFERROR(__xludf.DUMMYFUNCTION("""COMPUTED_VALUE"""),"PO Closed")</f>
        <v>PO Closed</v>
      </c>
      <c r="Q174" s="6" t="str">
        <f>IFERROR(__xludf.DUMMYFUNCTION("""COMPUTED_VALUE"""),"GL1806043")</f>
        <v>GL1806043</v>
      </c>
      <c r="R174" s="16">
        <f>IFERROR(__xludf.DUMMYFUNCTION("""COMPUTED_VALUE"""),43227.0)</f>
        <v>43227</v>
      </c>
      <c r="S174" s="6" t="str">
        <f>IFERROR(__xludf.DUMMYFUNCTION("""COMPUTED_VALUE"""),"-")</f>
        <v>-</v>
      </c>
      <c r="T174" s="13">
        <f>IFERROR(__xludf.DUMMYFUNCTION("""COMPUTED_VALUE"""),43326.0)</f>
        <v>43326</v>
      </c>
    </row>
    <row r="175">
      <c r="A175" s="6" t="str">
        <f>IFERROR(__xludf.DUMMYFUNCTION("""COMPUTED_VALUE"""),"181750144-17")</f>
        <v>181750144-17</v>
      </c>
      <c r="B175" s="6" t="str">
        <f>IFERROR(__xludf.DUMMYFUNCTION("""COMPUTED_VALUE"""),"181750144 - Approved")</f>
        <v>181750144 - Approved</v>
      </c>
      <c r="C175" s="6">
        <f>IFERROR(__xludf.DUMMYFUNCTION("""COMPUTED_VALUE"""),17.0)</f>
        <v>17</v>
      </c>
      <c r="D175" s="6" t="str">
        <f>IFERROR(__xludf.DUMMYFUNCTION("""COMPUTED_VALUE"""),"P-16990-00")</f>
        <v>P-16990-00</v>
      </c>
      <c r="E175" s="6" t="str">
        <f>IFERROR(__xludf.DUMMYFUNCTION("""COMPUTED_VALUE"""),"Konektor Las; ; ;")</f>
        <v>Konektor Las; ; ;</v>
      </c>
      <c r="F175" s="6">
        <f>IFERROR(__xludf.DUMMYFUNCTION("""COMPUTED_VALUE"""),1.0)</f>
        <v>1</v>
      </c>
      <c r="G175" s="6" t="str">
        <f>IFERROR(__xludf.DUMMYFUNCTION("""COMPUTED_VALUE"""),"Pieces")</f>
        <v>Pieces</v>
      </c>
      <c r="H175" s="6" t="str">
        <f>IFERROR(__xludf.DUMMYFUNCTION("""COMPUTED_VALUE"""),"IDR")</f>
        <v>IDR</v>
      </c>
      <c r="I175" s="11">
        <f>IFERROR(__xludf.DUMMYFUNCTION("""COMPUTED_VALUE"""),25000.0)</f>
        <v>25000</v>
      </c>
      <c r="J175" s="11">
        <f>IFERROR(__xludf.DUMMYFUNCTION("""COMPUTED_VALUE"""),25000.0)</f>
        <v>25000</v>
      </c>
      <c r="K175" s="17">
        <f>IFERROR(__xludf.DUMMYFUNCTION("""COMPUTED_VALUE"""),43252.0)</f>
        <v>43252</v>
      </c>
      <c r="L175" s="6" t="str">
        <f>IFERROR(__xludf.DUMMYFUNCTION("""COMPUTED_VALUE"""),"FIP General")</f>
        <v>FIP General</v>
      </c>
      <c r="M175" s="6" t="str">
        <f>IFERROR(__xludf.DUMMYFUNCTION("""COMPUTED_VALUE"""),"Joko Nugroho")</f>
        <v>Joko Nugroho</v>
      </c>
      <c r="N175" s="6" t="str">
        <f>IFERROR(__xludf.DUMMYFUNCTION("""COMPUTED_VALUE"""),"FIP Engineering")</f>
        <v>FIP Engineering</v>
      </c>
      <c r="O175" s="6" t="str">
        <f>IFERROR(__xludf.DUMMYFUNCTION("""COMPUTED_VALUE"""),"FIP-DOM-ENG-51404-0000000-INA-000000")</f>
        <v>FIP-DOM-ENG-51404-0000000-INA-000000</v>
      </c>
      <c r="P175" s="6" t="str">
        <f>IFERROR(__xludf.DUMMYFUNCTION("""COMPUTED_VALUE"""),"PO Closed")</f>
        <v>PO Closed</v>
      </c>
      <c r="Q175" s="6" t="str">
        <f>IFERROR(__xludf.DUMMYFUNCTION("""COMPUTED_VALUE"""),"GL1806005")</f>
        <v>GL1806005</v>
      </c>
      <c r="R175" s="16">
        <f>IFERROR(__xludf.DUMMYFUNCTION("""COMPUTED_VALUE"""),43227.0)</f>
        <v>43227</v>
      </c>
      <c r="S175" s="6" t="str">
        <f>IFERROR(__xludf.DUMMYFUNCTION("""COMPUTED_VALUE"""),"-")</f>
        <v>-</v>
      </c>
      <c r="T175" s="13">
        <f>IFERROR(__xludf.DUMMYFUNCTION("""COMPUTED_VALUE"""),43256.0)</f>
        <v>43256</v>
      </c>
    </row>
    <row r="176">
      <c r="A176" s="6" t="str">
        <f>IFERROR(__xludf.DUMMYFUNCTION("""COMPUTED_VALUE"""),"181750144-17")</f>
        <v>181750144-17</v>
      </c>
      <c r="B176" s="6" t="str">
        <f>IFERROR(__xludf.DUMMYFUNCTION("""COMPUTED_VALUE"""),"181750144 - Approved")</f>
        <v>181750144 - Approved</v>
      </c>
      <c r="C176" s="6">
        <f>IFERROR(__xludf.DUMMYFUNCTION("""COMPUTED_VALUE"""),17.0)</f>
        <v>17</v>
      </c>
      <c r="D176" s="6" t="str">
        <f>IFERROR(__xludf.DUMMYFUNCTION("""COMPUTED_VALUE"""),"S-41653-00")</f>
        <v>S-41653-00</v>
      </c>
      <c r="E176" s="6" t="str">
        <f>IFERROR(__xludf.DUMMYFUNCTION("""COMPUTED_VALUE"""),"Selang; ; ;")</f>
        <v>Selang; ; ;</v>
      </c>
      <c r="F176" s="6">
        <f>IFERROR(__xludf.DUMMYFUNCTION("""COMPUTED_VALUE"""),1.0)</f>
        <v>1</v>
      </c>
      <c r="G176" s="6" t="str">
        <f>IFERROR(__xludf.DUMMYFUNCTION("""COMPUTED_VALUE"""),"Meter")</f>
        <v>Meter</v>
      </c>
      <c r="H176" s="6" t="str">
        <f>IFERROR(__xludf.DUMMYFUNCTION("""COMPUTED_VALUE"""),"IDR")</f>
        <v>IDR</v>
      </c>
      <c r="I176" s="11">
        <f>IFERROR(__xludf.DUMMYFUNCTION("""COMPUTED_VALUE"""),115000.0)</f>
        <v>115000</v>
      </c>
      <c r="J176" s="11">
        <f>IFERROR(__xludf.DUMMYFUNCTION("""COMPUTED_VALUE"""),115000.0)</f>
        <v>115000</v>
      </c>
      <c r="K176" s="13">
        <f>IFERROR(__xludf.DUMMYFUNCTION("""COMPUTED_VALUE"""),43252.0)</f>
        <v>43252</v>
      </c>
      <c r="L176" s="6" t="str">
        <f>IFERROR(__xludf.DUMMYFUNCTION("""COMPUTED_VALUE"""),"FIP General")</f>
        <v>FIP General</v>
      </c>
      <c r="M176" s="6" t="str">
        <f>IFERROR(__xludf.DUMMYFUNCTION("""COMPUTED_VALUE"""),"Joko Nugroho")</f>
        <v>Joko Nugroho</v>
      </c>
      <c r="N176" s="6" t="str">
        <f>IFERROR(__xludf.DUMMYFUNCTION("""COMPUTED_VALUE"""),"FIP Engineering")</f>
        <v>FIP Engineering</v>
      </c>
      <c r="O176" s="6" t="str">
        <f>IFERROR(__xludf.DUMMYFUNCTION("""COMPUTED_VALUE"""),"FIP-DOM-ENG-51502-0000000-INA-000000")</f>
        <v>FIP-DOM-ENG-51502-0000000-INA-000000</v>
      </c>
      <c r="P176" s="6" t="str">
        <f>IFERROR(__xludf.DUMMYFUNCTION("""COMPUTED_VALUE"""),"PO Closed")</f>
        <v>PO Closed</v>
      </c>
      <c r="Q176" s="6" t="str">
        <f>IFERROR(__xludf.DUMMYFUNCTION("""COMPUTED_VALUE"""),"GL1806005")</f>
        <v>GL1806005</v>
      </c>
      <c r="R176" s="16">
        <f>IFERROR(__xludf.DUMMYFUNCTION("""COMPUTED_VALUE"""),43227.0)</f>
        <v>43227</v>
      </c>
      <c r="S176" s="6" t="str">
        <f>IFERROR(__xludf.DUMMYFUNCTION("""COMPUTED_VALUE"""),"-")</f>
        <v>-</v>
      </c>
      <c r="T176" s="13">
        <f>IFERROR(__xludf.DUMMYFUNCTION("""COMPUTED_VALUE"""),43256.0)</f>
        <v>43256</v>
      </c>
    </row>
    <row r="177">
      <c r="A177" s="6" t="str">
        <f>IFERROR(__xludf.DUMMYFUNCTION("""COMPUTED_VALUE"""),"181750144-17")</f>
        <v>181750144-17</v>
      </c>
      <c r="B177" s="6" t="str">
        <f>IFERROR(__xludf.DUMMYFUNCTION("""COMPUTED_VALUE"""),"181750144 - Approved")</f>
        <v>181750144 - Approved</v>
      </c>
      <c r="C177" s="6">
        <f>IFERROR(__xludf.DUMMYFUNCTION("""COMPUTED_VALUE"""),17.0)</f>
        <v>17</v>
      </c>
      <c r="D177" s="6" t="str">
        <f>IFERROR(__xludf.DUMMYFUNCTION("""COMPUTED_VALUE"""),"P-16991-00")</f>
        <v>P-16991-00</v>
      </c>
      <c r="E177" s="6" t="str">
        <f>IFERROR(__xludf.DUMMYFUNCTION("""COMPUTED_VALUE"""),"Ferrule Welding dia.1""; ; ;")</f>
        <v>Ferrule Welding dia.1"; ; ;</v>
      </c>
      <c r="F177" s="6">
        <f>IFERROR(__xludf.DUMMYFUNCTION("""COMPUTED_VALUE"""),2.0)</f>
        <v>2</v>
      </c>
      <c r="G177" s="6" t="str">
        <f>IFERROR(__xludf.DUMMYFUNCTION("""COMPUTED_VALUE"""),"Pieces")</f>
        <v>Pieces</v>
      </c>
      <c r="H177" s="6" t="str">
        <f>IFERROR(__xludf.DUMMYFUNCTION("""COMPUTED_VALUE"""),"IDR")</f>
        <v>IDR</v>
      </c>
      <c r="I177" s="11">
        <f>IFERROR(__xludf.DUMMYFUNCTION("""COMPUTED_VALUE"""),55000.0)</f>
        <v>55000</v>
      </c>
      <c r="J177" s="11">
        <f>IFERROR(__xludf.DUMMYFUNCTION("""COMPUTED_VALUE"""),110000.0)</f>
        <v>110000</v>
      </c>
      <c r="K177" s="13">
        <f>IFERROR(__xludf.DUMMYFUNCTION("""COMPUTED_VALUE"""),43252.0)</f>
        <v>43252</v>
      </c>
      <c r="L177" s="6" t="str">
        <f>IFERROR(__xludf.DUMMYFUNCTION("""COMPUTED_VALUE"""),"FIP General")</f>
        <v>FIP General</v>
      </c>
      <c r="M177" s="6" t="str">
        <f>IFERROR(__xludf.DUMMYFUNCTION("""COMPUTED_VALUE"""),"Joko Nugroho")</f>
        <v>Joko Nugroho</v>
      </c>
      <c r="N177" s="6" t="str">
        <f>IFERROR(__xludf.DUMMYFUNCTION("""COMPUTED_VALUE"""),"FIP Engineering")</f>
        <v>FIP Engineering</v>
      </c>
      <c r="O177" s="6" t="str">
        <f>IFERROR(__xludf.DUMMYFUNCTION("""COMPUTED_VALUE"""),"FIP-DOM-ENG-51502-0000000-INA-000000")</f>
        <v>FIP-DOM-ENG-51502-0000000-INA-000000</v>
      </c>
      <c r="P177" s="6" t="str">
        <f>IFERROR(__xludf.DUMMYFUNCTION("""COMPUTED_VALUE"""),"PO Closed")</f>
        <v>PO Closed</v>
      </c>
      <c r="Q177" s="6" t="str">
        <f>IFERROR(__xludf.DUMMYFUNCTION("""COMPUTED_VALUE"""),"GL1806005")</f>
        <v>GL1806005</v>
      </c>
      <c r="R177" s="16">
        <f>IFERROR(__xludf.DUMMYFUNCTION("""COMPUTED_VALUE"""),43227.0)</f>
        <v>43227</v>
      </c>
      <c r="S177" s="6" t="str">
        <f>IFERROR(__xludf.DUMMYFUNCTION("""COMPUTED_VALUE"""),"-")</f>
        <v>-</v>
      </c>
      <c r="T177" s="13">
        <f>IFERROR(__xludf.DUMMYFUNCTION("""COMPUTED_VALUE"""),43256.0)</f>
        <v>43256</v>
      </c>
    </row>
    <row r="178">
      <c r="A178" s="6" t="str">
        <f>IFERROR(__xludf.DUMMYFUNCTION("""COMPUTED_VALUE"""),"181750144-17")</f>
        <v>181750144-17</v>
      </c>
      <c r="B178" s="6" t="str">
        <f>IFERROR(__xludf.DUMMYFUNCTION("""COMPUTED_VALUE"""),"181750144 - Approved")</f>
        <v>181750144 - Approved</v>
      </c>
      <c r="C178" s="6">
        <f>IFERROR(__xludf.DUMMYFUNCTION("""COMPUTED_VALUE"""),17.0)</f>
        <v>17</v>
      </c>
      <c r="D178" s="6" t="str">
        <f>IFERROR(__xludf.DUMMYFUNCTION("""COMPUTED_VALUE"""),"P-50172-00")</f>
        <v>P-50172-00</v>
      </c>
      <c r="E178" s="6" t="str">
        <f>IFERROR(__xludf.DUMMYFUNCTION("""COMPUTED_VALUE"""),"Carbon Brush")</f>
        <v>Carbon Brush</v>
      </c>
      <c r="F178" s="6">
        <f>IFERROR(__xludf.DUMMYFUNCTION("""COMPUTED_VALUE"""),1.0)</f>
        <v>1</v>
      </c>
      <c r="G178" s="6" t="str">
        <f>IFERROR(__xludf.DUMMYFUNCTION("""COMPUTED_VALUE"""),"Pieces")</f>
        <v>Pieces</v>
      </c>
      <c r="H178" s="6" t="str">
        <f>IFERROR(__xludf.DUMMYFUNCTION("""COMPUTED_VALUE"""),"IDR")</f>
        <v>IDR</v>
      </c>
      <c r="I178" s="11">
        <f>IFERROR(__xludf.DUMMYFUNCTION("""COMPUTED_VALUE"""),10000.0)</f>
        <v>10000</v>
      </c>
      <c r="J178" s="11">
        <f>IFERROR(__xludf.DUMMYFUNCTION("""COMPUTED_VALUE"""),10000.0)</f>
        <v>10000</v>
      </c>
      <c r="K178" s="13">
        <f>IFERROR(__xludf.DUMMYFUNCTION("""COMPUTED_VALUE"""),43252.0)</f>
        <v>43252</v>
      </c>
      <c r="L178" s="6" t="str">
        <f>IFERROR(__xludf.DUMMYFUNCTION("""COMPUTED_VALUE"""),"FIP Engineering")</f>
        <v>FIP Engineering</v>
      </c>
      <c r="M178" s="6" t="str">
        <f>IFERROR(__xludf.DUMMYFUNCTION("""COMPUTED_VALUE"""),"Joko Nugroho")</f>
        <v>Joko Nugroho</v>
      </c>
      <c r="N178" s="6" t="str">
        <f>IFERROR(__xludf.DUMMYFUNCTION("""COMPUTED_VALUE"""),"FIP Engineering")</f>
        <v>FIP Engineering</v>
      </c>
      <c r="O178" s="6" t="str">
        <f>IFERROR(__xludf.DUMMYFUNCTION("""COMPUTED_VALUE"""),"FIP-DOM-000-11304-OS00001-INA-000000")</f>
        <v>FIP-DOM-000-11304-OS00001-INA-000000</v>
      </c>
      <c r="P178" s="6" t="str">
        <f>IFERROR(__xludf.DUMMYFUNCTION("""COMPUTED_VALUE"""),"PO Closed")</f>
        <v>PO Closed</v>
      </c>
      <c r="Q178" s="6" t="str">
        <f>IFERROR(__xludf.DUMMYFUNCTION("""COMPUTED_VALUE"""),"GL1806005")</f>
        <v>GL1806005</v>
      </c>
      <c r="R178" s="16">
        <f>IFERROR(__xludf.DUMMYFUNCTION("""COMPUTED_VALUE"""),43227.0)</f>
        <v>43227</v>
      </c>
      <c r="S178" s="6" t="str">
        <f>IFERROR(__xludf.DUMMYFUNCTION("""COMPUTED_VALUE"""),"-")</f>
        <v>-</v>
      </c>
      <c r="T178" s="13">
        <f>IFERROR(__xludf.DUMMYFUNCTION("""COMPUTED_VALUE"""),43256.0)</f>
        <v>43256</v>
      </c>
    </row>
    <row r="179">
      <c r="A179" s="6" t="str">
        <f>IFERROR(__xludf.DUMMYFUNCTION("""COMPUTED_VALUE"""),"181750150-2")</f>
        <v>181750150-2</v>
      </c>
      <c r="B179" s="6" t="str">
        <f>IFERROR(__xludf.DUMMYFUNCTION("""COMPUTED_VALUE"""),"181750150 - Approved")</f>
        <v>181750150 - Approved</v>
      </c>
      <c r="C179" s="6">
        <f>IFERROR(__xludf.DUMMYFUNCTION("""COMPUTED_VALUE"""),2.0)</f>
        <v>2</v>
      </c>
      <c r="D179" s="6" t="str">
        <f>IFERROR(__xludf.DUMMYFUNCTION("""COMPUTED_VALUE"""),"P-51760-00")</f>
        <v>P-51760-00</v>
      </c>
      <c r="E179" s="6" t="str">
        <f>IFERROR(__xludf.DUMMYFUNCTION("""COMPUTED_VALUE"""),"UHI FINNED HEATER W FORM; DIA. 11X260X140MM; Power : 1,5KW - 240V; ; ;")</f>
        <v>UHI FINNED HEATER W FORM; DIA. 11X260X140MM; Power : 1,5KW - 240V; ; ;</v>
      </c>
      <c r="F179" s="6">
        <f>IFERROR(__xludf.DUMMYFUNCTION("""COMPUTED_VALUE"""),4.0)</f>
        <v>4</v>
      </c>
      <c r="G179" s="6" t="str">
        <f>IFERROR(__xludf.DUMMYFUNCTION("""COMPUTED_VALUE"""),"Unit")</f>
        <v>Unit</v>
      </c>
      <c r="H179" s="6" t="str">
        <f>IFERROR(__xludf.DUMMYFUNCTION("""COMPUTED_VALUE"""),"IDR")</f>
        <v>IDR</v>
      </c>
      <c r="I179" s="11">
        <f>IFERROR(__xludf.DUMMYFUNCTION("""COMPUTED_VALUE"""),880000.0)</f>
        <v>880000</v>
      </c>
      <c r="J179" s="11">
        <f>IFERROR(__xludf.DUMMYFUNCTION("""COMPUTED_VALUE"""),3520000.0)</f>
        <v>3520000</v>
      </c>
      <c r="K179" s="17">
        <f>IFERROR(__xludf.DUMMYFUNCTION("""COMPUTED_VALUE"""),43245.0)</f>
        <v>43245</v>
      </c>
      <c r="L179" s="6" t="str">
        <f>IFERROR(__xludf.DUMMYFUNCTION("""COMPUTED_VALUE"""),"FIP Engineering")</f>
        <v>FIP Engineering</v>
      </c>
      <c r="M179" s="6" t="str">
        <f>IFERROR(__xludf.DUMMYFUNCTION("""COMPUTED_VALUE"""),"Joko Nugroho")</f>
        <v>Joko Nugroho</v>
      </c>
      <c r="N179" s="6" t="str">
        <f>IFERROR(__xludf.DUMMYFUNCTION("""COMPUTED_VALUE"""),"FIP Engineering")</f>
        <v>FIP Engineering</v>
      </c>
      <c r="O179" s="6" t="str">
        <f>IFERROR(__xludf.DUMMYFUNCTION("""COMPUTED_VALUE"""),"FIP-DOM-000-11304-OS00001-INA-000000")</f>
        <v>FIP-DOM-000-11304-OS00001-INA-000000</v>
      </c>
      <c r="P179" s="6" t="str">
        <f>IFERROR(__xludf.DUMMYFUNCTION("""COMPUTED_VALUE"""),"PO Closed")</f>
        <v>PO Closed</v>
      </c>
      <c r="Q179" s="6" t="str">
        <f>IFERROR(__xludf.DUMMYFUNCTION("""COMPUTED_VALUE"""),"GL1805023")</f>
        <v>GL1805023</v>
      </c>
      <c r="R179" s="16">
        <f>IFERROR(__xludf.DUMMYFUNCTION("""COMPUTED_VALUE"""),43228.0)</f>
        <v>43228</v>
      </c>
      <c r="S179" s="6" t="str">
        <f>IFERROR(__xludf.DUMMYFUNCTION("""COMPUTED_VALUE"""),"-")</f>
        <v>-</v>
      </c>
      <c r="T179" s="13">
        <f>IFERROR(__xludf.DUMMYFUNCTION("""COMPUTED_VALUE"""),43259.0)</f>
        <v>43259</v>
      </c>
    </row>
    <row r="180">
      <c r="A180" s="6" t="str">
        <f>IFERROR(__xludf.DUMMYFUNCTION("""COMPUTED_VALUE"""),"181750167-1")</f>
        <v>181750167-1</v>
      </c>
      <c r="B180" s="6" t="str">
        <f>IFERROR(__xludf.DUMMYFUNCTION("""COMPUTED_VALUE"""),"181750167 - Approved")</f>
        <v>181750167 - Approved</v>
      </c>
      <c r="C180" s="6">
        <f>IFERROR(__xludf.DUMMYFUNCTION("""COMPUTED_VALUE"""),1.0)</f>
        <v>1</v>
      </c>
      <c r="D180" s="6" t="str">
        <f>IFERROR(__xludf.DUMMYFUNCTION("""COMPUTED_VALUE"""),"S-60002-00")</f>
        <v>S-60002-00</v>
      </c>
      <c r="E180" s="6" t="str">
        <f>IFERROR(__xludf.DUMMYFUNCTION("""COMPUTED_VALUE"""),"Service softener PW generator")</f>
        <v>Service softener PW generator</v>
      </c>
      <c r="F180" s="6">
        <f>IFERROR(__xludf.DUMMYFUNCTION("""COMPUTED_VALUE"""),2.0)</f>
        <v>2</v>
      </c>
      <c r="G180" s="6" t="str">
        <f>IFERROR(__xludf.DUMMYFUNCTION("""COMPUTED_VALUE"""),"Lot")</f>
        <v>Lot</v>
      </c>
      <c r="H180" s="6" t="str">
        <f>IFERROR(__xludf.DUMMYFUNCTION("""COMPUTED_VALUE"""),"IDR")</f>
        <v>IDR</v>
      </c>
      <c r="I180" s="11">
        <f>IFERROR(__xludf.DUMMYFUNCTION("""COMPUTED_VALUE"""),3000000.0)</f>
        <v>3000000</v>
      </c>
      <c r="J180" s="11">
        <f>IFERROR(__xludf.DUMMYFUNCTION("""COMPUTED_VALUE"""),6000000.0)</f>
        <v>6000000</v>
      </c>
      <c r="K180" s="13">
        <f>IFERROR(__xludf.DUMMYFUNCTION("""COMPUTED_VALUE"""),43240.0)</f>
        <v>43240</v>
      </c>
      <c r="L180" s="6" t="str">
        <f>IFERROR(__xludf.DUMMYFUNCTION("""COMPUTED_VALUE"""),"FIP General")</f>
        <v>FIP General</v>
      </c>
      <c r="M180" s="6" t="str">
        <f>IFERROR(__xludf.DUMMYFUNCTION("""COMPUTED_VALUE"""),"Iman Dwinanto")</f>
        <v>Iman Dwinanto</v>
      </c>
      <c r="N180" s="6" t="str">
        <f>IFERROR(__xludf.DUMMYFUNCTION("""COMPUTED_VALUE"""),"FIP Engineering")</f>
        <v>FIP Engineering</v>
      </c>
      <c r="O180" s="6" t="str">
        <f>IFERROR(__xludf.DUMMYFUNCTION("""COMPUTED_VALUE"""),"FIP-DOM-ENG-51508-0000000-INA-000000")</f>
        <v>FIP-DOM-ENG-51508-0000000-INA-000000</v>
      </c>
      <c r="P180" s="6" t="str">
        <f>IFERROR(__xludf.DUMMYFUNCTION("""COMPUTED_VALUE"""),"PO Closed")</f>
        <v>PO Closed</v>
      </c>
      <c r="Q180" s="6" t="str">
        <f>IFERROR(__xludf.DUMMYFUNCTION("""COMPUTED_VALUE"""),"GL1805024")</f>
        <v>GL1805024</v>
      </c>
      <c r="R180" s="16">
        <f>IFERROR(__xludf.DUMMYFUNCTION("""COMPUTED_VALUE"""),43229.0)</f>
        <v>43229</v>
      </c>
      <c r="S180" s="6" t="str">
        <f>IFERROR(__xludf.DUMMYFUNCTION("""COMPUTED_VALUE"""),"-")</f>
        <v>-</v>
      </c>
      <c r="T180" s="13">
        <f>IFERROR(__xludf.DUMMYFUNCTION("""COMPUTED_VALUE"""),43250.0)</f>
        <v>43250</v>
      </c>
    </row>
    <row r="181">
      <c r="A181" s="6" t="str">
        <f>IFERROR(__xludf.DUMMYFUNCTION("""COMPUTED_VALUE"""),"181750144-17")</f>
        <v>181750144-17</v>
      </c>
      <c r="B181" s="6" t="str">
        <f>IFERROR(__xludf.DUMMYFUNCTION("""COMPUTED_VALUE"""),"181750144 - Approved")</f>
        <v>181750144 - Approved</v>
      </c>
      <c r="C181" s="6">
        <f>IFERROR(__xludf.DUMMYFUNCTION("""COMPUTED_VALUE"""),17.0)</f>
        <v>17</v>
      </c>
      <c r="D181" s="6" t="str">
        <f>IFERROR(__xludf.DUMMYFUNCTION("""COMPUTED_VALUE"""),"P-51302-00")</f>
        <v>P-51302-00</v>
      </c>
      <c r="E181" s="6" t="str">
        <f>IFERROR(__xludf.DUMMYFUNCTION("""COMPUTED_VALUE"""),"Timah Solder dia 1 mm")</f>
        <v>Timah Solder dia 1 mm</v>
      </c>
      <c r="F181" s="6">
        <f>IFERROR(__xludf.DUMMYFUNCTION("""COMPUTED_VALUE"""),1.0)</f>
        <v>1</v>
      </c>
      <c r="G181" s="6" t="str">
        <f>IFERROR(__xludf.DUMMYFUNCTION("""COMPUTED_VALUE"""),"Pieces")</f>
        <v>Pieces</v>
      </c>
      <c r="H181" s="6" t="str">
        <f>IFERROR(__xludf.DUMMYFUNCTION("""COMPUTED_VALUE"""),"IDR")</f>
        <v>IDR</v>
      </c>
      <c r="I181" s="11">
        <f>IFERROR(__xludf.DUMMYFUNCTION("""COMPUTED_VALUE"""),28000.0)</f>
        <v>28000</v>
      </c>
      <c r="J181" s="11">
        <f>IFERROR(__xludf.DUMMYFUNCTION("""COMPUTED_VALUE"""),28000.0)</f>
        <v>28000</v>
      </c>
      <c r="K181" s="13">
        <f>IFERROR(__xludf.DUMMYFUNCTION("""COMPUTED_VALUE"""),43252.0)</f>
        <v>43252</v>
      </c>
      <c r="L181" s="6" t="str">
        <f>IFERROR(__xludf.DUMMYFUNCTION("""COMPUTED_VALUE"""),"FIP Engineering")</f>
        <v>FIP Engineering</v>
      </c>
      <c r="M181" s="6" t="str">
        <f>IFERROR(__xludf.DUMMYFUNCTION("""COMPUTED_VALUE"""),"Joko Nugroho")</f>
        <v>Joko Nugroho</v>
      </c>
      <c r="N181" s="6" t="str">
        <f>IFERROR(__xludf.DUMMYFUNCTION("""COMPUTED_VALUE"""),"FIP Engineering")</f>
        <v>FIP Engineering</v>
      </c>
      <c r="O181" s="6" t="str">
        <f>IFERROR(__xludf.DUMMYFUNCTION("""COMPUTED_VALUE"""),"FIP-DOM-000-11304-OS00001-INA-000000")</f>
        <v>FIP-DOM-000-11304-OS00001-INA-000000</v>
      </c>
      <c r="P181" s="6" t="str">
        <f>IFERROR(__xludf.DUMMYFUNCTION("""COMPUTED_VALUE"""),"PO Closed")</f>
        <v>PO Closed</v>
      </c>
      <c r="Q181" s="6" t="str">
        <f>IFERROR(__xludf.DUMMYFUNCTION("""COMPUTED_VALUE"""),"GL1806005")</f>
        <v>GL1806005</v>
      </c>
      <c r="R181" s="16">
        <f>IFERROR(__xludf.DUMMYFUNCTION("""COMPUTED_VALUE"""),43229.0)</f>
        <v>43229</v>
      </c>
      <c r="S181" s="6" t="str">
        <f>IFERROR(__xludf.DUMMYFUNCTION("""COMPUTED_VALUE"""),"-")</f>
        <v>-</v>
      </c>
      <c r="T181" s="13">
        <f>IFERROR(__xludf.DUMMYFUNCTION("""COMPUTED_VALUE"""),43256.0)</f>
        <v>43256</v>
      </c>
    </row>
    <row r="182">
      <c r="A182" s="6" t="str">
        <f>IFERROR(__xludf.DUMMYFUNCTION("""COMPUTED_VALUE"""),"181750144-17")</f>
        <v>181750144-17</v>
      </c>
      <c r="B182" s="6" t="str">
        <f>IFERROR(__xludf.DUMMYFUNCTION("""COMPUTED_VALUE"""),"181750144 - Approved")</f>
        <v>181750144 - Approved</v>
      </c>
      <c r="C182" s="6">
        <f>IFERROR(__xludf.DUMMYFUNCTION("""COMPUTED_VALUE"""),17.0)</f>
        <v>17</v>
      </c>
      <c r="D182" s="6" t="str">
        <f>IFERROR(__xludf.DUMMYFUNCTION("""COMPUTED_VALUE"""),"P-12143-00")</f>
        <v>P-12143-00</v>
      </c>
      <c r="E182" s="6" t="str">
        <f>IFERROR(__xludf.DUMMYFUNCTION("""COMPUTED_VALUE"""),"Double nepple Kuningan 1/2inch")</f>
        <v>Double nepple Kuningan 1/2inch</v>
      </c>
      <c r="F182" s="6">
        <f>IFERROR(__xludf.DUMMYFUNCTION("""COMPUTED_VALUE"""),1.0)</f>
        <v>1</v>
      </c>
      <c r="G182" s="6" t="str">
        <f>IFERROR(__xludf.DUMMYFUNCTION("""COMPUTED_VALUE"""),"Pieces")</f>
        <v>Pieces</v>
      </c>
      <c r="H182" s="6" t="str">
        <f>IFERROR(__xludf.DUMMYFUNCTION("""COMPUTED_VALUE"""),"IDR")</f>
        <v>IDR</v>
      </c>
      <c r="I182" s="11">
        <f>IFERROR(__xludf.DUMMYFUNCTION("""COMPUTED_VALUE"""),12000.0)</f>
        <v>12000</v>
      </c>
      <c r="J182" s="11">
        <f>IFERROR(__xludf.DUMMYFUNCTION("""COMPUTED_VALUE"""),12000.0)</f>
        <v>12000</v>
      </c>
      <c r="K182" s="13">
        <f>IFERROR(__xludf.DUMMYFUNCTION("""COMPUTED_VALUE"""),43252.0)</f>
        <v>43252</v>
      </c>
      <c r="L182" s="6" t="str">
        <f>IFERROR(__xludf.DUMMYFUNCTION("""COMPUTED_VALUE"""),"FIP Engineering")</f>
        <v>FIP Engineering</v>
      </c>
      <c r="M182" s="6" t="str">
        <f>IFERROR(__xludf.DUMMYFUNCTION("""COMPUTED_VALUE"""),"Joko Nugroho")</f>
        <v>Joko Nugroho</v>
      </c>
      <c r="N182" s="6" t="str">
        <f>IFERROR(__xludf.DUMMYFUNCTION("""COMPUTED_VALUE"""),"FIP Engineering")</f>
        <v>FIP Engineering</v>
      </c>
      <c r="O182" s="6" t="str">
        <f>IFERROR(__xludf.DUMMYFUNCTION("""COMPUTED_VALUE"""),"FIP-DOM-000-11304-OS00001-INA-000000")</f>
        <v>FIP-DOM-000-11304-OS00001-INA-000000</v>
      </c>
      <c r="P182" s="6" t="str">
        <f>IFERROR(__xludf.DUMMYFUNCTION("""COMPUTED_VALUE"""),"PO Closed")</f>
        <v>PO Closed</v>
      </c>
      <c r="Q182" s="6" t="str">
        <f>IFERROR(__xludf.DUMMYFUNCTION("""COMPUTED_VALUE"""),"GL1806005")</f>
        <v>GL1806005</v>
      </c>
      <c r="R182" s="16">
        <f>IFERROR(__xludf.DUMMYFUNCTION("""COMPUTED_VALUE"""),43229.0)</f>
        <v>43229</v>
      </c>
      <c r="S182" s="6" t="str">
        <f>IFERROR(__xludf.DUMMYFUNCTION("""COMPUTED_VALUE"""),"-")</f>
        <v>-</v>
      </c>
      <c r="T182" s="13">
        <f>IFERROR(__xludf.DUMMYFUNCTION("""COMPUTED_VALUE"""),43256.0)</f>
        <v>43256</v>
      </c>
    </row>
    <row r="183">
      <c r="A183" s="6" t="str">
        <f>IFERROR(__xludf.DUMMYFUNCTION("""COMPUTED_VALUE"""),"181750144-17")</f>
        <v>181750144-17</v>
      </c>
      <c r="B183" s="6" t="str">
        <f>IFERROR(__xludf.DUMMYFUNCTION("""COMPUTED_VALUE"""),"181750144 - Approved")</f>
        <v>181750144 - Approved</v>
      </c>
      <c r="C183" s="6">
        <f>IFERROR(__xludf.DUMMYFUNCTION("""COMPUTED_VALUE"""),17.0)</f>
        <v>17</v>
      </c>
      <c r="D183" s="6" t="str">
        <f>IFERROR(__xludf.DUMMYFUNCTION("""COMPUTED_VALUE"""),"P-12186-00")</f>
        <v>P-12186-00</v>
      </c>
      <c r="E183" s="6" t="str">
        <f>IFERROR(__xludf.DUMMYFUNCTION("""COMPUTED_VALUE"""),"Elbow PVC AW 90 deg dia 1/2inch")</f>
        <v>Elbow PVC AW 90 deg dia 1/2inch</v>
      </c>
      <c r="F183" s="6">
        <f>IFERROR(__xludf.DUMMYFUNCTION("""COMPUTED_VALUE"""),15.0)</f>
        <v>15</v>
      </c>
      <c r="G183" s="6" t="str">
        <f>IFERROR(__xludf.DUMMYFUNCTION("""COMPUTED_VALUE"""),"Pieces")</f>
        <v>Pieces</v>
      </c>
      <c r="H183" s="6" t="str">
        <f>IFERROR(__xludf.DUMMYFUNCTION("""COMPUTED_VALUE"""),"IDR")</f>
        <v>IDR</v>
      </c>
      <c r="I183" s="11">
        <f>IFERROR(__xludf.DUMMYFUNCTION("""COMPUTED_VALUE"""),2000.0)</f>
        <v>2000</v>
      </c>
      <c r="J183" s="11">
        <f>IFERROR(__xludf.DUMMYFUNCTION("""COMPUTED_VALUE"""),30000.0)</f>
        <v>30000</v>
      </c>
      <c r="K183" s="13">
        <f>IFERROR(__xludf.DUMMYFUNCTION("""COMPUTED_VALUE"""),43252.0)</f>
        <v>43252</v>
      </c>
      <c r="L183" s="6" t="str">
        <f>IFERROR(__xludf.DUMMYFUNCTION("""COMPUTED_VALUE"""),"FIP Engineering")</f>
        <v>FIP Engineering</v>
      </c>
      <c r="M183" s="6" t="str">
        <f>IFERROR(__xludf.DUMMYFUNCTION("""COMPUTED_VALUE"""),"Joko Nugroho")</f>
        <v>Joko Nugroho</v>
      </c>
      <c r="N183" s="6" t="str">
        <f>IFERROR(__xludf.DUMMYFUNCTION("""COMPUTED_VALUE"""),"FIP Engineering")</f>
        <v>FIP Engineering</v>
      </c>
      <c r="O183" s="6" t="str">
        <f>IFERROR(__xludf.DUMMYFUNCTION("""COMPUTED_VALUE"""),"FIP-DOM-000-11304-OS00001-INA-000000")</f>
        <v>FIP-DOM-000-11304-OS00001-INA-000000</v>
      </c>
      <c r="P183" s="6" t="str">
        <f>IFERROR(__xludf.DUMMYFUNCTION("""COMPUTED_VALUE"""),"PO Closed")</f>
        <v>PO Closed</v>
      </c>
      <c r="Q183" s="6" t="str">
        <f>IFERROR(__xludf.DUMMYFUNCTION("""COMPUTED_VALUE"""),"GL1806005")</f>
        <v>GL1806005</v>
      </c>
      <c r="R183" s="16">
        <f>IFERROR(__xludf.DUMMYFUNCTION("""COMPUTED_VALUE"""),43229.0)</f>
        <v>43229</v>
      </c>
      <c r="S183" s="6" t="str">
        <f>IFERROR(__xludf.DUMMYFUNCTION("""COMPUTED_VALUE"""),"-")</f>
        <v>-</v>
      </c>
      <c r="T183" s="13">
        <f>IFERROR(__xludf.DUMMYFUNCTION("""COMPUTED_VALUE"""),43256.0)</f>
        <v>43256</v>
      </c>
    </row>
    <row r="184">
      <c r="A184" s="6" t="str">
        <f>IFERROR(__xludf.DUMMYFUNCTION("""COMPUTED_VALUE"""),"181750144-17")</f>
        <v>181750144-17</v>
      </c>
      <c r="B184" s="6" t="str">
        <f>IFERROR(__xludf.DUMMYFUNCTION("""COMPUTED_VALUE"""),"181750144 - Approved")</f>
        <v>181750144 - Approved</v>
      </c>
      <c r="C184" s="6">
        <f>IFERROR(__xludf.DUMMYFUNCTION("""COMPUTED_VALUE"""),17.0)</f>
        <v>17</v>
      </c>
      <c r="D184" s="6" t="str">
        <f>IFERROR(__xludf.DUMMYFUNCTION("""COMPUTED_VALUE"""),"P-17001-00")</f>
        <v>P-17001-00</v>
      </c>
      <c r="E184" s="6" t="str">
        <f>IFERROR(__xludf.DUMMYFUNCTION("""COMPUTED_VALUE"""),"Hexabolt M8; ; ;")</f>
        <v>Hexabolt M8; ; ;</v>
      </c>
      <c r="F184" s="6">
        <f>IFERROR(__xludf.DUMMYFUNCTION("""COMPUTED_VALUE"""),4.0)</f>
        <v>4</v>
      </c>
      <c r="G184" s="6" t="str">
        <f>IFERROR(__xludf.DUMMYFUNCTION("""COMPUTED_VALUE"""),"Pieces")</f>
        <v>Pieces</v>
      </c>
      <c r="H184" s="6" t="str">
        <f>IFERROR(__xludf.DUMMYFUNCTION("""COMPUTED_VALUE"""),"IDR")</f>
        <v>IDR</v>
      </c>
      <c r="I184" s="11">
        <f>IFERROR(__xludf.DUMMYFUNCTION("""COMPUTED_VALUE"""),2000.0)</f>
        <v>2000</v>
      </c>
      <c r="J184" s="11">
        <f>IFERROR(__xludf.DUMMYFUNCTION("""COMPUTED_VALUE"""),8000.0)</f>
        <v>8000</v>
      </c>
      <c r="K184" s="17">
        <f>IFERROR(__xludf.DUMMYFUNCTION("""COMPUTED_VALUE"""),43252.0)</f>
        <v>43252</v>
      </c>
      <c r="L184" s="6" t="str">
        <f>IFERROR(__xludf.DUMMYFUNCTION("""COMPUTED_VALUE"""),"FIP General")</f>
        <v>FIP General</v>
      </c>
      <c r="M184" s="6" t="str">
        <f>IFERROR(__xludf.DUMMYFUNCTION("""COMPUTED_VALUE"""),"Joko Nugroho")</f>
        <v>Joko Nugroho</v>
      </c>
      <c r="N184" s="6" t="str">
        <f>IFERROR(__xludf.DUMMYFUNCTION("""COMPUTED_VALUE"""),"FIP Engineering")</f>
        <v>FIP Engineering</v>
      </c>
      <c r="O184" s="6" t="str">
        <f>IFERROR(__xludf.DUMMYFUNCTION("""COMPUTED_VALUE"""),"FIP-DOM-ENG-51404-0000000-INA-000000")</f>
        <v>FIP-DOM-ENG-51404-0000000-INA-000000</v>
      </c>
      <c r="P184" s="6" t="str">
        <f>IFERROR(__xludf.DUMMYFUNCTION("""COMPUTED_VALUE"""),"PO Closed")</f>
        <v>PO Closed</v>
      </c>
      <c r="Q184" s="6" t="str">
        <f>IFERROR(__xludf.DUMMYFUNCTION("""COMPUTED_VALUE"""),"GL1806005")</f>
        <v>GL1806005</v>
      </c>
      <c r="R184" s="16">
        <f>IFERROR(__xludf.DUMMYFUNCTION("""COMPUTED_VALUE"""),43229.0)</f>
        <v>43229</v>
      </c>
      <c r="S184" s="6" t="str">
        <f>IFERROR(__xludf.DUMMYFUNCTION("""COMPUTED_VALUE"""),"-")</f>
        <v>-</v>
      </c>
      <c r="T184" s="13">
        <f>IFERROR(__xludf.DUMMYFUNCTION("""COMPUTED_VALUE"""),43256.0)</f>
        <v>43256</v>
      </c>
    </row>
    <row r="185">
      <c r="A185" s="6" t="str">
        <f>IFERROR(__xludf.DUMMYFUNCTION("""COMPUTED_VALUE"""),"181750144-17")</f>
        <v>181750144-17</v>
      </c>
      <c r="B185" s="6" t="str">
        <f>IFERROR(__xludf.DUMMYFUNCTION("""COMPUTED_VALUE"""),"181750144 - Approved")</f>
        <v>181750144 - Approved</v>
      </c>
      <c r="C185" s="6">
        <f>IFERROR(__xludf.DUMMYFUNCTION("""COMPUTED_VALUE"""),17.0)</f>
        <v>17</v>
      </c>
      <c r="D185" s="6" t="str">
        <f>IFERROR(__xludf.DUMMYFUNCTION("""COMPUTED_VALUE"""),"P-16992-00")</f>
        <v>P-16992-00</v>
      </c>
      <c r="E185" s="6" t="str">
        <f>IFERROR(__xludf.DUMMYFUNCTION("""COMPUTED_VALUE"""),"Elbow SS304 SCH 10x1/2 inch; ; ;")</f>
        <v>Elbow SS304 SCH 10x1/2 inch; ; ;</v>
      </c>
      <c r="F185" s="6">
        <f>IFERROR(__xludf.DUMMYFUNCTION("""COMPUTED_VALUE"""),2.0)</f>
        <v>2</v>
      </c>
      <c r="G185" s="6" t="str">
        <f>IFERROR(__xludf.DUMMYFUNCTION("""COMPUTED_VALUE"""),"Pieces")</f>
        <v>Pieces</v>
      </c>
      <c r="H185" s="6" t="str">
        <f>IFERROR(__xludf.DUMMYFUNCTION("""COMPUTED_VALUE"""),"IDR")</f>
        <v>IDR</v>
      </c>
      <c r="I185" s="11">
        <f>IFERROR(__xludf.DUMMYFUNCTION("""COMPUTED_VALUE"""),40000.0)</f>
        <v>40000</v>
      </c>
      <c r="J185" s="11">
        <f>IFERROR(__xludf.DUMMYFUNCTION("""COMPUTED_VALUE"""),80000.0)</f>
        <v>80000</v>
      </c>
      <c r="K185" s="13">
        <f>IFERROR(__xludf.DUMMYFUNCTION("""COMPUTED_VALUE"""),43252.0)</f>
        <v>43252</v>
      </c>
      <c r="L185" s="6" t="str">
        <f>IFERROR(__xludf.DUMMYFUNCTION("""COMPUTED_VALUE"""),"FIP General")</f>
        <v>FIP General</v>
      </c>
      <c r="M185" s="6" t="str">
        <f>IFERROR(__xludf.DUMMYFUNCTION("""COMPUTED_VALUE"""),"Joko Nugroho")</f>
        <v>Joko Nugroho</v>
      </c>
      <c r="N185" s="6" t="str">
        <f>IFERROR(__xludf.DUMMYFUNCTION("""COMPUTED_VALUE"""),"FIP Engineering")</f>
        <v>FIP Engineering</v>
      </c>
      <c r="O185" s="6" t="str">
        <f>IFERROR(__xludf.DUMMYFUNCTION("""COMPUTED_VALUE"""),"FIP-DOM-ENG-51502-0000000-INA-000000")</f>
        <v>FIP-DOM-ENG-51502-0000000-INA-000000</v>
      </c>
      <c r="P185" s="6" t="str">
        <f>IFERROR(__xludf.DUMMYFUNCTION("""COMPUTED_VALUE"""),"PO Closed")</f>
        <v>PO Closed</v>
      </c>
      <c r="Q185" s="6" t="str">
        <f>IFERROR(__xludf.DUMMYFUNCTION("""COMPUTED_VALUE"""),"GL1806005")</f>
        <v>GL1806005</v>
      </c>
      <c r="R185" s="16">
        <f>IFERROR(__xludf.DUMMYFUNCTION("""COMPUTED_VALUE"""),43229.0)</f>
        <v>43229</v>
      </c>
      <c r="S185" s="6" t="str">
        <f>IFERROR(__xludf.DUMMYFUNCTION("""COMPUTED_VALUE"""),"-")</f>
        <v>-</v>
      </c>
      <c r="T185" s="13">
        <f>IFERROR(__xludf.DUMMYFUNCTION("""COMPUTED_VALUE"""),43256.0)</f>
        <v>43256</v>
      </c>
    </row>
    <row r="186">
      <c r="A186" s="6" t="str">
        <f>IFERROR(__xludf.DUMMYFUNCTION("""COMPUTED_VALUE"""),"181750144-17")</f>
        <v>181750144-17</v>
      </c>
      <c r="B186" s="6" t="str">
        <f>IFERROR(__xludf.DUMMYFUNCTION("""COMPUTED_VALUE"""),"181750144 - Approved")</f>
        <v>181750144 - Approved</v>
      </c>
      <c r="C186" s="6">
        <f>IFERROR(__xludf.DUMMYFUNCTION("""COMPUTED_VALUE"""),17.0)</f>
        <v>17</v>
      </c>
      <c r="D186" s="6" t="str">
        <f>IFERROR(__xludf.DUMMYFUNCTION("""COMPUTED_VALUE"""),"P-12712-00")</f>
        <v>P-12712-00</v>
      </c>
      <c r="E186" s="6" t="str">
        <f>IFERROR(__xludf.DUMMYFUNCTION("""COMPUTED_VALUE"""),"PVC - Dop drat dalam 1/2inch")</f>
        <v>PVC - Dop drat dalam 1/2inch</v>
      </c>
      <c r="F186" s="6">
        <f>IFERROR(__xludf.DUMMYFUNCTION("""COMPUTED_VALUE"""),3.0)</f>
        <v>3</v>
      </c>
      <c r="G186" s="6" t="str">
        <f>IFERROR(__xludf.DUMMYFUNCTION("""COMPUTED_VALUE"""),"Pieces")</f>
        <v>Pieces</v>
      </c>
      <c r="H186" s="6" t="str">
        <f>IFERROR(__xludf.DUMMYFUNCTION("""COMPUTED_VALUE"""),"IDR")</f>
        <v>IDR</v>
      </c>
      <c r="I186" s="11">
        <f>IFERROR(__xludf.DUMMYFUNCTION("""COMPUTED_VALUE"""),2000.0)</f>
        <v>2000</v>
      </c>
      <c r="J186" s="11">
        <f>IFERROR(__xludf.DUMMYFUNCTION("""COMPUTED_VALUE"""),6000.0)</f>
        <v>6000</v>
      </c>
      <c r="K186" s="13">
        <f>IFERROR(__xludf.DUMMYFUNCTION("""COMPUTED_VALUE"""),43252.0)</f>
        <v>43252</v>
      </c>
      <c r="L186" s="6" t="str">
        <f>IFERROR(__xludf.DUMMYFUNCTION("""COMPUTED_VALUE"""),"FIP Engineering")</f>
        <v>FIP Engineering</v>
      </c>
      <c r="M186" s="6" t="str">
        <f>IFERROR(__xludf.DUMMYFUNCTION("""COMPUTED_VALUE"""),"Joko Nugroho")</f>
        <v>Joko Nugroho</v>
      </c>
      <c r="N186" s="6" t="str">
        <f>IFERROR(__xludf.DUMMYFUNCTION("""COMPUTED_VALUE"""),"FIP Engineering")</f>
        <v>FIP Engineering</v>
      </c>
      <c r="O186" s="6" t="str">
        <f>IFERROR(__xludf.DUMMYFUNCTION("""COMPUTED_VALUE"""),"FIP-DOM-000-11304-OS00001-INA-000000")</f>
        <v>FIP-DOM-000-11304-OS00001-INA-000000</v>
      </c>
      <c r="P186" s="6" t="str">
        <f>IFERROR(__xludf.DUMMYFUNCTION("""COMPUTED_VALUE"""),"PO Closed")</f>
        <v>PO Closed</v>
      </c>
      <c r="Q186" s="6" t="str">
        <f>IFERROR(__xludf.DUMMYFUNCTION("""COMPUTED_VALUE"""),"GL1806005")</f>
        <v>GL1806005</v>
      </c>
      <c r="R186" s="16">
        <f>IFERROR(__xludf.DUMMYFUNCTION("""COMPUTED_VALUE"""),43229.0)</f>
        <v>43229</v>
      </c>
      <c r="S186" s="6" t="str">
        <f>IFERROR(__xludf.DUMMYFUNCTION("""COMPUTED_VALUE"""),"-")</f>
        <v>-</v>
      </c>
      <c r="T186" s="17">
        <f>IFERROR(__xludf.DUMMYFUNCTION("""COMPUTED_VALUE"""),43256.0)</f>
        <v>43256</v>
      </c>
    </row>
    <row r="187">
      <c r="A187" s="6" t="str">
        <f>IFERROR(__xludf.DUMMYFUNCTION("""COMPUTED_VALUE"""),"181750144-17")</f>
        <v>181750144-17</v>
      </c>
      <c r="B187" s="6" t="str">
        <f>IFERROR(__xludf.DUMMYFUNCTION("""COMPUTED_VALUE"""),"181750144 - Approved")</f>
        <v>181750144 - Approved</v>
      </c>
      <c r="C187" s="6">
        <f>IFERROR(__xludf.DUMMYFUNCTION("""COMPUTED_VALUE"""),17.0)</f>
        <v>17</v>
      </c>
      <c r="D187" s="6" t="str">
        <f>IFERROR(__xludf.DUMMYFUNCTION("""COMPUTED_VALUE"""),"P-10885-00")</f>
        <v>P-10885-00</v>
      </c>
      <c r="E187" s="6" t="str">
        <f>IFERROR(__xludf.DUMMYFUNCTION("""COMPUTED_VALUE"""),"Fitting PVC - SDD PVC 1/2""")</f>
        <v>Fitting PVC - SDD PVC 1/2"</v>
      </c>
      <c r="F187" s="6">
        <f>IFERROR(__xludf.DUMMYFUNCTION("""COMPUTED_VALUE"""),3.0)</f>
        <v>3</v>
      </c>
      <c r="G187" s="6" t="str">
        <f>IFERROR(__xludf.DUMMYFUNCTION("""COMPUTED_VALUE"""),"Pieces")</f>
        <v>Pieces</v>
      </c>
      <c r="H187" s="6" t="str">
        <f>IFERROR(__xludf.DUMMYFUNCTION("""COMPUTED_VALUE"""),"IDR")</f>
        <v>IDR</v>
      </c>
      <c r="I187" s="11">
        <f>IFERROR(__xludf.DUMMYFUNCTION("""COMPUTED_VALUE"""),2000.0)</f>
        <v>2000</v>
      </c>
      <c r="J187" s="11">
        <f>IFERROR(__xludf.DUMMYFUNCTION("""COMPUTED_VALUE"""),6000.0)</f>
        <v>6000</v>
      </c>
      <c r="K187" s="13">
        <f>IFERROR(__xludf.DUMMYFUNCTION("""COMPUTED_VALUE"""),43252.0)</f>
        <v>43252</v>
      </c>
      <c r="L187" s="6" t="str">
        <f>IFERROR(__xludf.DUMMYFUNCTION("""COMPUTED_VALUE"""),"FIP Engineering")</f>
        <v>FIP Engineering</v>
      </c>
      <c r="M187" s="6" t="str">
        <f>IFERROR(__xludf.DUMMYFUNCTION("""COMPUTED_VALUE"""),"Joko Nugroho")</f>
        <v>Joko Nugroho</v>
      </c>
      <c r="N187" s="6" t="str">
        <f>IFERROR(__xludf.DUMMYFUNCTION("""COMPUTED_VALUE"""),"FIP Engineering")</f>
        <v>FIP Engineering</v>
      </c>
      <c r="O187" s="6" t="str">
        <f>IFERROR(__xludf.DUMMYFUNCTION("""COMPUTED_VALUE"""),"FIP-DOM-000-11304-OS00001-INA-000000")</f>
        <v>FIP-DOM-000-11304-OS00001-INA-000000</v>
      </c>
      <c r="P187" s="6" t="str">
        <f>IFERROR(__xludf.DUMMYFUNCTION("""COMPUTED_VALUE"""),"PO Closed")</f>
        <v>PO Closed</v>
      </c>
      <c r="Q187" s="6" t="str">
        <f>IFERROR(__xludf.DUMMYFUNCTION("""COMPUTED_VALUE"""),"GL1806005")</f>
        <v>GL1806005</v>
      </c>
      <c r="R187" s="16">
        <f>IFERROR(__xludf.DUMMYFUNCTION("""COMPUTED_VALUE"""),43229.0)</f>
        <v>43229</v>
      </c>
      <c r="S187" s="6" t="str">
        <f>IFERROR(__xludf.DUMMYFUNCTION("""COMPUTED_VALUE"""),"-")</f>
        <v>-</v>
      </c>
      <c r="T187" s="17">
        <f>IFERROR(__xludf.DUMMYFUNCTION("""COMPUTED_VALUE"""),43256.0)</f>
        <v>43256</v>
      </c>
    </row>
    <row r="188">
      <c r="A188" s="6" t="str">
        <f>IFERROR(__xludf.DUMMYFUNCTION("""COMPUTED_VALUE"""),"181750144-17")</f>
        <v>181750144-17</v>
      </c>
      <c r="B188" s="6" t="str">
        <f>IFERROR(__xludf.DUMMYFUNCTION("""COMPUTED_VALUE"""),"181750144 - Approved")</f>
        <v>181750144 - Approved</v>
      </c>
      <c r="C188" s="6">
        <f>IFERROR(__xludf.DUMMYFUNCTION("""COMPUTED_VALUE"""),17.0)</f>
        <v>17</v>
      </c>
      <c r="D188" s="6" t="str">
        <f>IFERROR(__xludf.DUMMYFUNCTION("""COMPUTED_VALUE"""),"P-17000-00")</f>
        <v>P-17000-00</v>
      </c>
      <c r="E188" s="6" t="str">
        <f>IFERROR(__xludf.DUMMYFUNCTION("""COMPUTED_VALUE"""),"Dynabolt M8; ; ;")</f>
        <v>Dynabolt M8; ; ;</v>
      </c>
      <c r="F188" s="6">
        <f>IFERROR(__xludf.DUMMYFUNCTION("""COMPUTED_VALUE"""),9.0)</f>
        <v>9</v>
      </c>
      <c r="G188" s="6" t="str">
        <f>IFERROR(__xludf.DUMMYFUNCTION("""COMPUTED_VALUE"""),"Pieces")</f>
        <v>Pieces</v>
      </c>
      <c r="H188" s="6" t="str">
        <f>IFERROR(__xludf.DUMMYFUNCTION("""COMPUTED_VALUE"""),"IDR")</f>
        <v>IDR</v>
      </c>
      <c r="I188" s="11">
        <f>IFERROR(__xludf.DUMMYFUNCTION("""COMPUTED_VALUE"""),1000.0)</f>
        <v>1000</v>
      </c>
      <c r="J188" s="11">
        <f>IFERROR(__xludf.DUMMYFUNCTION("""COMPUTED_VALUE"""),9000.0)</f>
        <v>9000</v>
      </c>
      <c r="K188" s="13">
        <f>IFERROR(__xludf.DUMMYFUNCTION("""COMPUTED_VALUE"""),43252.0)</f>
        <v>43252</v>
      </c>
      <c r="L188" s="6" t="str">
        <f>IFERROR(__xludf.DUMMYFUNCTION("""COMPUTED_VALUE"""),"FIP General")</f>
        <v>FIP General</v>
      </c>
      <c r="M188" s="6" t="str">
        <f>IFERROR(__xludf.DUMMYFUNCTION("""COMPUTED_VALUE"""),"Joko Nugroho")</f>
        <v>Joko Nugroho</v>
      </c>
      <c r="N188" s="6" t="str">
        <f>IFERROR(__xludf.DUMMYFUNCTION("""COMPUTED_VALUE"""),"FIP Engineering")</f>
        <v>FIP Engineering</v>
      </c>
      <c r="O188" s="6" t="str">
        <f>IFERROR(__xludf.DUMMYFUNCTION("""COMPUTED_VALUE"""),"FIP-DOM-ENG-51404-0000000-INA-000000")</f>
        <v>FIP-DOM-ENG-51404-0000000-INA-000000</v>
      </c>
      <c r="P188" s="6" t="str">
        <f>IFERROR(__xludf.DUMMYFUNCTION("""COMPUTED_VALUE"""),"PO Closed")</f>
        <v>PO Closed</v>
      </c>
      <c r="Q188" s="6" t="str">
        <f>IFERROR(__xludf.DUMMYFUNCTION("""COMPUTED_VALUE"""),"GL1806005")</f>
        <v>GL1806005</v>
      </c>
      <c r="R188" s="16">
        <f>IFERROR(__xludf.DUMMYFUNCTION("""COMPUTED_VALUE"""),43229.0)</f>
        <v>43229</v>
      </c>
      <c r="S188" s="6" t="str">
        <f>IFERROR(__xludf.DUMMYFUNCTION("""COMPUTED_VALUE"""),"-")</f>
        <v>-</v>
      </c>
      <c r="T188" s="13">
        <f>IFERROR(__xludf.DUMMYFUNCTION("""COMPUTED_VALUE"""),43256.0)</f>
        <v>43256</v>
      </c>
    </row>
    <row r="189">
      <c r="A189" s="6" t="str">
        <f>IFERROR(__xludf.DUMMYFUNCTION("""COMPUTED_VALUE"""),"181750174-1")</f>
        <v>181750174-1</v>
      </c>
      <c r="B189" s="6" t="str">
        <f>IFERROR(__xludf.DUMMYFUNCTION("""COMPUTED_VALUE"""),"181750174 - Approved")</f>
        <v>181750174 - Approved</v>
      </c>
      <c r="C189" s="6">
        <f>IFERROR(__xludf.DUMMYFUNCTION("""COMPUTED_VALUE"""),1.0)</f>
        <v>1</v>
      </c>
      <c r="D189" s="6" t="str">
        <f>IFERROR(__xludf.DUMMYFUNCTION("""COMPUTED_VALUE"""),"P-51559-00")</f>
        <v>P-51559-00</v>
      </c>
      <c r="E189" s="6" t="str">
        <f>IFERROR(__xludf.DUMMYFUNCTION("""COMPUTED_VALUE"""),"Lampu T5 14watt Putih; Phillips; ;")</f>
        <v>Lampu T5 14watt Putih; Phillips; ;</v>
      </c>
      <c r="F189" s="6">
        <f>IFERROR(__xludf.DUMMYFUNCTION("""COMPUTED_VALUE"""),40.0)</f>
        <v>40</v>
      </c>
      <c r="G189" s="6" t="str">
        <f>IFERROR(__xludf.DUMMYFUNCTION("""COMPUTED_VALUE"""),"Pack")</f>
        <v>Pack</v>
      </c>
      <c r="H189" s="6" t="str">
        <f>IFERROR(__xludf.DUMMYFUNCTION("""COMPUTED_VALUE"""),"IDR")</f>
        <v>IDR</v>
      </c>
      <c r="I189" s="11">
        <f>IFERROR(__xludf.DUMMYFUNCTION("""COMPUTED_VALUE"""),29700.0)</f>
        <v>29700</v>
      </c>
      <c r="J189" s="11">
        <f>IFERROR(__xludf.DUMMYFUNCTION("""COMPUTED_VALUE"""),1188000.0)</f>
        <v>1188000</v>
      </c>
      <c r="K189" s="17">
        <f>IFERROR(__xludf.DUMMYFUNCTION("""COMPUTED_VALUE"""),43252.0)</f>
        <v>43252</v>
      </c>
      <c r="L189" s="6" t="str">
        <f>IFERROR(__xludf.DUMMYFUNCTION("""COMPUTED_VALUE"""),"FIP Engineering")</f>
        <v>FIP Engineering</v>
      </c>
      <c r="M189" s="6" t="str">
        <f>IFERROR(__xludf.DUMMYFUNCTION("""COMPUTED_VALUE"""),"Joko Nugroho")</f>
        <v>Joko Nugroho</v>
      </c>
      <c r="N189" s="6" t="str">
        <f>IFERROR(__xludf.DUMMYFUNCTION("""COMPUTED_VALUE"""),"FIP Engineering")</f>
        <v>FIP Engineering</v>
      </c>
      <c r="O189" s="6" t="str">
        <f>IFERROR(__xludf.DUMMYFUNCTION("""COMPUTED_VALUE"""),"FIP-DOM-000-11304-OS00001-INA-000000")</f>
        <v>FIP-DOM-000-11304-OS00001-INA-000000</v>
      </c>
      <c r="P189" s="6" t="str">
        <f>IFERROR(__xludf.DUMMYFUNCTION("""COMPUTED_VALUE"""),"PO Closed")</f>
        <v>PO Closed</v>
      </c>
      <c r="Q189" s="6" t="str">
        <f>IFERROR(__xludf.DUMMYFUNCTION("""COMPUTED_VALUE"""),"GL1805037")</f>
        <v>GL1805037</v>
      </c>
      <c r="R189" s="16">
        <f>IFERROR(__xludf.DUMMYFUNCTION("""COMPUTED_VALUE"""),43234.0)</f>
        <v>43234</v>
      </c>
      <c r="S189" s="6" t="str">
        <f>IFERROR(__xludf.DUMMYFUNCTION("""COMPUTED_VALUE"""),"-")</f>
        <v>-</v>
      </c>
      <c r="T189" s="13">
        <f>IFERROR(__xludf.DUMMYFUNCTION("""COMPUTED_VALUE"""),43251.0)</f>
        <v>43251</v>
      </c>
    </row>
    <row r="190">
      <c r="A190" s="6" t="str">
        <f>IFERROR(__xludf.DUMMYFUNCTION("""COMPUTED_VALUE"""),"181750174-2")</f>
        <v>181750174-2</v>
      </c>
      <c r="B190" s="6" t="str">
        <f>IFERROR(__xludf.DUMMYFUNCTION("""COMPUTED_VALUE"""),"181750174 - Approved")</f>
        <v>181750174 - Approved</v>
      </c>
      <c r="C190" s="6">
        <f>IFERROR(__xludf.DUMMYFUNCTION("""COMPUTED_VALUE"""),2.0)</f>
        <v>2</v>
      </c>
      <c r="D190" s="6" t="str">
        <f>IFERROR(__xludf.DUMMYFUNCTION("""COMPUTED_VALUE"""),"P-51560-00")</f>
        <v>P-51560-00</v>
      </c>
      <c r="E190" s="6" t="str">
        <f>IFERROR(__xludf.DUMMYFUNCTION("""COMPUTED_VALUE"""),"Lampu T5 28watt Putih; Phillips; ;")</f>
        <v>Lampu T5 28watt Putih; Phillips; ;</v>
      </c>
      <c r="F190" s="6">
        <f>IFERROR(__xludf.DUMMYFUNCTION("""COMPUTED_VALUE"""),20.0)</f>
        <v>20</v>
      </c>
      <c r="G190" s="6" t="str">
        <f>IFERROR(__xludf.DUMMYFUNCTION("""COMPUTED_VALUE"""),"Pieces")</f>
        <v>Pieces</v>
      </c>
      <c r="H190" s="6" t="str">
        <f>IFERROR(__xludf.DUMMYFUNCTION("""COMPUTED_VALUE"""),"IDR")</f>
        <v>IDR</v>
      </c>
      <c r="I190" s="11">
        <f>IFERROR(__xludf.DUMMYFUNCTION("""COMPUTED_VALUE"""),36000.0)</f>
        <v>36000</v>
      </c>
      <c r="J190" s="11">
        <f>IFERROR(__xludf.DUMMYFUNCTION("""COMPUTED_VALUE"""),720000.0)</f>
        <v>720000</v>
      </c>
      <c r="K190" s="13">
        <f>IFERROR(__xludf.DUMMYFUNCTION("""COMPUTED_VALUE"""),43252.0)</f>
        <v>43252</v>
      </c>
      <c r="L190" s="6" t="str">
        <f>IFERROR(__xludf.DUMMYFUNCTION("""COMPUTED_VALUE"""),"FIP Engineering")</f>
        <v>FIP Engineering</v>
      </c>
      <c r="M190" s="6" t="str">
        <f>IFERROR(__xludf.DUMMYFUNCTION("""COMPUTED_VALUE"""),"Joko Nugroho")</f>
        <v>Joko Nugroho</v>
      </c>
      <c r="N190" s="6" t="str">
        <f>IFERROR(__xludf.DUMMYFUNCTION("""COMPUTED_VALUE"""),"FIP Engineering")</f>
        <v>FIP Engineering</v>
      </c>
      <c r="O190" s="6" t="str">
        <f>IFERROR(__xludf.DUMMYFUNCTION("""COMPUTED_VALUE"""),"FIP-DOM-000-11304-OS00001-INA-000000")</f>
        <v>FIP-DOM-000-11304-OS00001-INA-000000</v>
      </c>
      <c r="P190" s="6" t="str">
        <f>IFERROR(__xludf.DUMMYFUNCTION("""COMPUTED_VALUE"""),"PO Closed")</f>
        <v>PO Closed</v>
      </c>
      <c r="Q190" s="6" t="str">
        <f>IFERROR(__xludf.DUMMYFUNCTION("""COMPUTED_VALUE"""),"GL1805037")</f>
        <v>GL1805037</v>
      </c>
      <c r="R190" s="16">
        <f>IFERROR(__xludf.DUMMYFUNCTION("""COMPUTED_VALUE"""),43234.0)</f>
        <v>43234</v>
      </c>
      <c r="S190" s="6" t="str">
        <f>IFERROR(__xludf.DUMMYFUNCTION("""COMPUTED_VALUE"""),"-")</f>
        <v>-</v>
      </c>
      <c r="T190" s="17">
        <f>IFERROR(__xludf.DUMMYFUNCTION("""COMPUTED_VALUE"""),43251.0)</f>
        <v>43251</v>
      </c>
    </row>
    <row r="191">
      <c r="A191" s="6" t="str">
        <f>IFERROR(__xludf.DUMMYFUNCTION("""COMPUTED_VALUE"""),"181750174-3")</f>
        <v>181750174-3</v>
      </c>
      <c r="B191" s="6" t="str">
        <f>IFERROR(__xludf.DUMMYFUNCTION("""COMPUTED_VALUE"""),"181750174 - Approved")</f>
        <v>181750174 - Approved</v>
      </c>
      <c r="C191" s="6">
        <f>IFERROR(__xludf.DUMMYFUNCTION("""COMPUTED_VALUE"""),3.0)</f>
        <v>3</v>
      </c>
      <c r="D191" s="6" t="str">
        <f>IFERROR(__xludf.DUMMYFUNCTION("""COMPUTED_VALUE"""),"P-53102-00")</f>
        <v>P-53102-00</v>
      </c>
      <c r="E191" s="6" t="str">
        <f>IFERROR(__xludf.DUMMYFUNCTION("""COMPUTED_VALUE"""),"Lampu PLC 13watt/E27 Putih; Phillips; ;")</f>
        <v>Lampu PLC 13watt/E27 Putih; Phillips; ;</v>
      </c>
      <c r="F191" s="6">
        <f>IFERROR(__xludf.DUMMYFUNCTION("""COMPUTED_VALUE"""),20.0)</f>
        <v>20</v>
      </c>
      <c r="G191" s="6" t="str">
        <f>IFERROR(__xludf.DUMMYFUNCTION("""COMPUTED_VALUE"""),"Pieces")</f>
        <v>Pieces</v>
      </c>
      <c r="H191" s="6" t="str">
        <f>IFERROR(__xludf.DUMMYFUNCTION("""COMPUTED_VALUE"""),"IDR")</f>
        <v>IDR</v>
      </c>
      <c r="I191" s="11">
        <f>IFERROR(__xludf.DUMMYFUNCTION("""COMPUTED_VALUE"""),26100.0)</f>
        <v>26100</v>
      </c>
      <c r="J191" s="11">
        <f>IFERROR(__xludf.DUMMYFUNCTION("""COMPUTED_VALUE"""),522000.0)</f>
        <v>522000</v>
      </c>
      <c r="K191" s="13">
        <f>IFERROR(__xludf.DUMMYFUNCTION("""COMPUTED_VALUE"""),43252.0)</f>
        <v>43252</v>
      </c>
      <c r="L191" s="6" t="str">
        <f>IFERROR(__xludf.DUMMYFUNCTION("""COMPUTED_VALUE"""),"FIP Engineering")</f>
        <v>FIP Engineering</v>
      </c>
      <c r="M191" s="6" t="str">
        <f>IFERROR(__xludf.DUMMYFUNCTION("""COMPUTED_VALUE"""),"Joko Nugroho")</f>
        <v>Joko Nugroho</v>
      </c>
      <c r="N191" s="6" t="str">
        <f>IFERROR(__xludf.DUMMYFUNCTION("""COMPUTED_VALUE"""),"FIP Engineering")</f>
        <v>FIP Engineering</v>
      </c>
      <c r="O191" s="6" t="str">
        <f>IFERROR(__xludf.DUMMYFUNCTION("""COMPUTED_VALUE"""),"FIP-DOM-000-11304-OS00001-INA-000000")</f>
        <v>FIP-DOM-000-11304-OS00001-INA-000000</v>
      </c>
      <c r="P191" s="6" t="str">
        <f>IFERROR(__xludf.DUMMYFUNCTION("""COMPUTED_VALUE"""),"PO Closed")</f>
        <v>PO Closed</v>
      </c>
      <c r="Q191" s="6" t="str">
        <f>IFERROR(__xludf.DUMMYFUNCTION("""COMPUTED_VALUE"""),"GL1805037")</f>
        <v>GL1805037</v>
      </c>
      <c r="R191" s="16">
        <f>IFERROR(__xludf.DUMMYFUNCTION("""COMPUTED_VALUE"""),43234.0)</f>
        <v>43234</v>
      </c>
      <c r="S191" s="6" t="str">
        <f>IFERROR(__xludf.DUMMYFUNCTION("""COMPUTED_VALUE"""),"-")</f>
        <v>-</v>
      </c>
      <c r="T191" s="17">
        <f>IFERROR(__xludf.DUMMYFUNCTION("""COMPUTED_VALUE"""),43251.0)</f>
        <v>43251</v>
      </c>
    </row>
    <row r="192">
      <c r="A192" s="6" t="str">
        <f>IFERROR(__xludf.DUMMYFUNCTION("""COMPUTED_VALUE"""),"181750174-4")</f>
        <v>181750174-4</v>
      </c>
      <c r="B192" s="6" t="str">
        <f>IFERROR(__xludf.DUMMYFUNCTION("""COMPUTED_VALUE"""),"181750174 - Approved")</f>
        <v>181750174 - Approved</v>
      </c>
      <c r="C192" s="6">
        <f>IFERROR(__xludf.DUMMYFUNCTION("""COMPUTED_VALUE"""),4.0)</f>
        <v>4</v>
      </c>
      <c r="D192" s="6" t="str">
        <f>IFERROR(__xludf.DUMMYFUNCTION("""COMPUTED_VALUE"""),"O-54014-00")</f>
        <v>O-54014-00</v>
      </c>
      <c r="E192" s="6" t="str">
        <f>IFERROR(__xludf.DUMMYFUNCTION("""COMPUTED_VALUE"""),"STEKER 1 PHASE, BROCO")</f>
        <v>STEKER 1 PHASE, BROCO</v>
      </c>
      <c r="F192" s="6">
        <f>IFERROR(__xludf.DUMMYFUNCTION("""COMPUTED_VALUE"""),5.0)</f>
        <v>5</v>
      </c>
      <c r="G192" s="6" t="str">
        <f>IFERROR(__xludf.DUMMYFUNCTION("""COMPUTED_VALUE"""),"Pieces")</f>
        <v>Pieces</v>
      </c>
      <c r="H192" s="6" t="str">
        <f>IFERROR(__xludf.DUMMYFUNCTION("""COMPUTED_VALUE"""),"IDR")</f>
        <v>IDR</v>
      </c>
      <c r="I192" s="11">
        <f>IFERROR(__xludf.DUMMYFUNCTION("""COMPUTED_VALUE"""),9000.0)</f>
        <v>9000</v>
      </c>
      <c r="J192" s="11">
        <f>IFERROR(__xludf.DUMMYFUNCTION("""COMPUTED_VALUE"""),45000.0)</f>
        <v>45000</v>
      </c>
      <c r="K192" s="13">
        <f>IFERROR(__xludf.DUMMYFUNCTION("""COMPUTED_VALUE"""),43252.0)</f>
        <v>43252</v>
      </c>
      <c r="L192" s="6" t="str">
        <f>IFERROR(__xludf.DUMMYFUNCTION("""COMPUTED_VALUE"""),"FIP Engineering")</f>
        <v>FIP Engineering</v>
      </c>
      <c r="M192" s="6" t="str">
        <f>IFERROR(__xludf.DUMMYFUNCTION("""COMPUTED_VALUE"""),"Joko Nugroho")</f>
        <v>Joko Nugroho</v>
      </c>
      <c r="N192" s="6" t="str">
        <f>IFERROR(__xludf.DUMMYFUNCTION("""COMPUTED_VALUE"""),"FIP Engineering")</f>
        <v>FIP Engineering</v>
      </c>
      <c r="O192" s="6" t="str">
        <f>IFERROR(__xludf.DUMMYFUNCTION("""COMPUTED_VALUE"""),"FIP-DOM-000-11304-OS00001-INA-000000")</f>
        <v>FIP-DOM-000-11304-OS00001-INA-000000</v>
      </c>
      <c r="P192" s="6" t="str">
        <f>IFERROR(__xludf.DUMMYFUNCTION("""COMPUTED_VALUE"""),"PO Closed")</f>
        <v>PO Closed</v>
      </c>
      <c r="Q192" s="6" t="str">
        <f>IFERROR(__xludf.DUMMYFUNCTION("""COMPUTED_VALUE"""),"GL1805037")</f>
        <v>GL1805037</v>
      </c>
      <c r="R192" s="16">
        <f>IFERROR(__xludf.DUMMYFUNCTION("""COMPUTED_VALUE"""),43234.0)</f>
        <v>43234</v>
      </c>
      <c r="S192" s="6" t="str">
        <f>IFERROR(__xludf.DUMMYFUNCTION("""COMPUTED_VALUE"""),"-")</f>
        <v>-</v>
      </c>
      <c r="T192" s="13">
        <f>IFERROR(__xludf.DUMMYFUNCTION("""COMPUTED_VALUE"""),43251.0)</f>
        <v>43251</v>
      </c>
    </row>
    <row r="193">
      <c r="A193" s="6" t="str">
        <f>IFERROR(__xludf.DUMMYFUNCTION("""COMPUTED_VALUE"""),"181750174-5")</f>
        <v>181750174-5</v>
      </c>
      <c r="B193" s="6" t="str">
        <f>IFERROR(__xludf.DUMMYFUNCTION("""COMPUTED_VALUE"""),"181750174 - Approved")</f>
        <v>181750174 - Approved</v>
      </c>
      <c r="C193" s="6">
        <f>IFERROR(__xludf.DUMMYFUNCTION("""COMPUTED_VALUE"""),5.0)</f>
        <v>5</v>
      </c>
      <c r="D193" s="6" t="str">
        <f>IFERROR(__xludf.DUMMYFUNCTION("""COMPUTED_VALUE"""),"O-54015-00")</f>
        <v>O-54015-00</v>
      </c>
      <c r="E193" s="6" t="str">
        <f>IFERROR(__xludf.DUMMYFUNCTION("""COMPUTED_VALUE"""),"STOP KONTAK LUBANG 4, BROCO")</f>
        <v>STOP KONTAK LUBANG 4, BROCO</v>
      </c>
      <c r="F193" s="6">
        <f>IFERROR(__xludf.DUMMYFUNCTION("""COMPUTED_VALUE"""),5.0)</f>
        <v>5</v>
      </c>
      <c r="G193" s="6" t="str">
        <f>IFERROR(__xludf.DUMMYFUNCTION("""COMPUTED_VALUE"""),"Unit")</f>
        <v>Unit</v>
      </c>
      <c r="H193" s="6" t="str">
        <f>IFERROR(__xludf.DUMMYFUNCTION("""COMPUTED_VALUE"""),"IDR")</f>
        <v>IDR</v>
      </c>
      <c r="I193" s="11">
        <f>IFERROR(__xludf.DUMMYFUNCTION("""COMPUTED_VALUE"""),49000.0)</f>
        <v>49000</v>
      </c>
      <c r="J193" s="11">
        <f>IFERROR(__xludf.DUMMYFUNCTION("""COMPUTED_VALUE"""),245000.0)</f>
        <v>245000</v>
      </c>
      <c r="K193" s="13">
        <f>IFERROR(__xludf.DUMMYFUNCTION("""COMPUTED_VALUE"""),43252.0)</f>
        <v>43252</v>
      </c>
      <c r="L193" s="6" t="str">
        <f>IFERROR(__xludf.DUMMYFUNCTION("""COMPUTED_VALUE"""),"FIP Engineering")</f>
        <v>FIP Engineering</v>
      </c>
      <c r="M193" s="6" t="str">
        <f>IFERROR(__xludf.DUMMYFUNCTION("""COMPUTED_VALUE"""),"Joko Nugroho")</f>
        <v>Joko Nugroho</v>
      </c>
      <c r="N193" s="6" t="str">
        <f>IFERROR(__xludf.DUMMYFUNCTION("""COMPUTED_VALUE"""),"FIP Engineering")</f>
        <v>FIP Engineering</v>
      </c>
      <c r="O193" s="6" t="str">
        <f>IFERROR(__xludf.DUMMYFUNCTION("""COMPUTED_VALUE"""),"FIP-DOM-000-11304-OS00001-INA-000000")</f>
        <v>FIP-DOM-000-11304-OS00001-INA-000000</v>
      </c>
      <c r="P193" s="6" t="str">
        <f>IFERROR(__xludf.DUMMYFUNCTION("""COMPUTED_VALUE"""),"PO Closed")</f>
        <v>PO Closed</v>
      </c>
      <c r="Q193" s="6" t="str">
        <f>IFERROR(__xludf.DUMMYFUNCTION("""COMPUTED_VALUE"""),"GL1805037")</f>
        <v>GL1805037</v>
      </c>
      <c r="R193" s="16">
        <f>IFERROR(__xludf.DUMMYFUNCTION("""COMPUTED_VALUE"""),43234.0)</f>
        <v>43234</v>
      </c>
      <c r="S193" s="6" t="str">
        <f>IFERROR(__xludf.DUMMYFUNCTION("""COMPUTED_VALUE"""),"-")</f>
        <v>-</v>
      </c>
      <c r="T193" s="13">
        <f>IFERROR(__xludf.DUMMYFUNCTION("""COMPUTED_VALUE"""),43251.0)</f>
        <v>43251</v>
      </c>
    </row>
    <row r="194">
      <c r="A194" s="6" t="str">
        <f>IFERROR(__xludf.DUMMYFUNCTION("""COMPUTED_VALUE"""),"181750169-1")</f>
        <v>181750169-1</v>
      </c>
      <c r="B194" s="6" t="str">
        <f>IFERROR(__xludf.DUMMYFUNCTION("""COMPUTED_VALUE"""),"181750169 - Approved")</f>
        <v>181750169 - Approved</v>
      </c>
      <c r="C194" s="6">
        <f>IFERROR(__xludf.DUMMYFUNCTION("""COMPUTED_VALUE"""),1.0)</f>
        <v>1</v>
      </c>
      <c r="D194" s="6" t="str">
        <f>IFERROR(__xludf.DUMMYFUNCTION("""COMPUTED_VALUE"""),"S-60002-00")</f>
        <v>S-60002-00</v>
      </c>
      <c r="E194" s="6" t="str">
        <f>IFERROR(__xludf.DUMMYFUNCTION("""COMPUTED_VALUE"""),"Penambahan Ducting Inlet Air Tunnel (Include Material : Cover Perforated t = 6 mm : 1 Pcs ; Spiral Duct + Flexible Ducting Ø 6"" : 1 Lot ; Adapter Plate Ø 6"" + Clamp Flexible : 2 set )")</f>
        <v>Penambahan Ducting Inlet Air Tunnel (Include Material : Cover Perforated t = 6 mm : 1 Pcs ; Spiral Duct + Flexible Ducting Ø 6" : 1 Lot ; Adapter Plate Ø 6" + Clamp Flexible : 2 set )</v>
      </c>
      <c r="F194" s="6">
        <f>IFERROR(__xludf.DUMMYFUNCTION("""COMPUTED_VALUE"""),1.0)</f>
        <v>1</v>
      </c>
      <c r="G194" s="6" t="str">
        <f>IFERROR(__xludf.DUMMYFUNCTION("""COMPUTED_VALUE"""),"Lot")</f>
        <v>Lot</v>
      </c>
      <c r="H194" s="6" t="str">
        <f>IFERROR(__xludf.DUMMYFUNCTION("""COMPUTED_VALUE"""),"IDR")</f>
        <v>IDR</v>
      </c>
      <c r="I194" s="11">
        <f>IFERROR(__xludf.DUMMYFUNCTION("""COMPUTED_VALUE"""),5000000.0)</f>
        <v>5000000</v>
      </c>
      <c r="J194" s="11">
        <f>IFERROR(__xludf.DUMMYFUNCTION("""COMPUTED_VALUE"""),5000000.0)</f>
        <v>5000000</v>
      </c>
      <c r="K194" s="13">
        <f>IFERROR(__xludf.DUMMYFUNCTION("""COMPUTED_VALUE"""),43308.0)</f>
        <v>43308</v>
      </c>
      <c r="L194" s="6" t="str">
        <f>IFERROR(__xludf.DUMMYFUNCTION("""COMPUTED_VALUE"""),"FIP General")</f>
        <v>FIP General</v>
      </c>
      <c r="M194" s="6" t="str">
        <f>IFERROR(__xludf.DUMMYFUNCTION("""COMPUTED_VALUE"""),"Joko Nugroho")</f>
        <v>Joko Nugroho</v>
      </c>
      <c r="N194" s="6" t="str">
        <f>IFERROR(__xludf.DUMMYFUNCTION("""COMPUTED_VALUE"""),"FIP Engineering")</f>
        <v>FIP Engineering</v>
      </c>
      <c r="O194" s="6" t="str">
        <f>IFERROR(__xludf.DUMMYFUNCTION("""COMPUTED_VALUE"""),"FIP-DOM-ENG-51508-0000000-INA-000000")</f>
        <v>FIP-DOM-ENG-51508-0000000-INA-000000</v>
      </c>
      <c r="P194" s="6" t="str">
        <f>IFERROR(__xludf.DUMMYFUNCTION("""COMPUTED_VALUE"""),"PO Closed")</f>
        <v>PO Closed</v>
      </c>
      <c r="Q194" s="6" t="str">
        <f>IFERROR(__xludf.DUMMYFUNCTION("""COMPUTED_VALUE"""),"GL1807026")</f>
        <v>GL1807026</v>
      </c>
      <c r="R194" s="16">
        <f>IFERROR(__xludf.DUMMYFUNCTION("""COMPUTED_VALUE"""),43234.0)</f>
        <v>43234</v>
      </c>
      <c r="S194" s="6" t="str">
        <f>IFERROR(__xludf.DUMMYFUNCTION("""COMPUTED_VALUE"""),"-")</f>
        <v>-</v>
      </c>
      <c r="T194" s="13">
        <f>IFERROR(__xludf.DUMMYFUNCTION("""COMPUTED_VALUE"""),43322.0)</f>
        <v>43322</v>
      </c>
    </row>
    <row r="195">
      <c r="A195" s="6" t="str">
        <f>IFERROR(__xludf.DUMMYFUNCTION("""COMPUTED_VALUE"""),"181750178-1")</f>
        <v>181750178-1</v>
      </c>
      <c r="B195" s="6" t="str">
        <f>IFERROR(__xludf.DUMMYFUNCTION("""COMPUTED_VALUE"""),"181750178 - Approved")</f>
        <v>181750178 - Approved</v>
      </c>
      <c r="C195" s="6">
        <f>IFERROR(__xludf.DUMMYFUNCTION("""COMPUTED_VALUE"""),1.0)</f>
        <v>1</v>
      </c>
      <c r="D195" s="6" t="str">
        <f>IFERROR(__xludf.DUMMYFUNCTION("""COMPUTED_VALUE"""),"O-51308-00")</f>
        <v>O-51308-00</v>
      </c>
      <c r="E195" s="6" t="str">
        <f>IFERROR(__xludf.DUMMYFUNCTION("""COMPUTED_VALUE"""),"Push Button 22mm Green ABW111EP Fort; ; ;")</f>
        <v>Push Button 22mm Green ABW111EP Fort; ; ;</v>
      </c>
      <c r="F195" s="6">
        <f>IFERROR(__xludf.DUMMYFUNCTION("""COMPUTED_VALUE"""),2.0)</f>
        <v>2</v>
      </c>
      <c r="G195" s="6" t="str">
        <f>IFERROR(__xludf.DUMMYFUNCTION("""COMPUTED_VALUE"""),"Pieces")</f>
        <v>Pieces</v>
      </c>
      <c r="H195" s="6" t="str">
        <f>IFERROR(__xludf.DUMMYFUNCTION("""COMPUTED_VALUE"""),"IDR")</f>
        <v>IDR</v>
      </c>
      <c r="I195" s="11">
        <f>IFERROR(__xludf.DUMMYFUNCTION("""COMPUTED_VALUE"""),21000.0)</f>
        <v>21000</v>
      </c>
      <c r="J195" s="11">
        <f>IFERROR(__xludf.DUMMYFUNCTION("""COMPUTED_VALUE"""),42000.0)</f>
        <v>42000</v>
      </c>
      <c r="K195" s="13">
        <f>IFERROR(__xludf.DUMMYFUNCTION("""COMPUTED_VALUE"""),43252.0)</f>
        <v>43252</v>
      </c>
      <c r="L195" s="6" t="str">
        <f>IFERROR(__xludf.DUMMYFUNCTION("""COMPUTED_VALUE"""),"FIP General")</f>
        <v>FIP General</v>
      </c>
      <c r="M195" s="6" t="str">
        <f>IFERROR(__xludf.DUMMYFUNCTION("""COMPUTED_VALUE"""),"Joko Nugroho")</f>
        <v>Joko Nugroho</v>
      </c>
      <c r="N195" s="6" t="str">
        <f>IFERROR(__xludf.DUMMYFUNCTION("""COMPUTED_VALUE"""),"FIP Engineering")</f>
        <v>FIP Engineering</v>
      </c>
      <c r="O195" s="6" t="str">
        <f>IFERROR(__xludf.DUMMYFUNCTION("""COMPUTED_VALUE"""),"FIP-DOM-ENG-51404-0000000-INA-000000")</f>
        <v>FIP-DOM-ENG-51404-0000000-INA-000000</v>
      </c>
      <c r="P195" s="6" t="str">
        <f>IFERROR(__xludf.DUMMYFUNCTION("""COMPUTED_VALUE"""),"PO Closed")</f>
        <v>PO Closed</v>
      </c>
      <c r="Q195" s="6" t="str">
        <f>IFERROR(__xludf.DUMMYFUNCTION("""COMPUTED_VALUE"""),"GL1805037")</f>
        <v>GL1805037</v>
      </c>
      <c r="R195" s="16">
        <f>IFERROR(__xludf.DUMMYFUNCTION("""COMPUTED_VALUE"""),43237.0)</f>
        <v>43237</v>
      </c>
      <c r="S195" s="6" t="str">
        <f>IFERROR(__xludf.DUMMYFUNCTION("""COMPUTED_VALUE"""),"-")</f>
        <v>-</v>
      </c>
      <c r="T195" s="13">
        <f>IFERROR(__xludf.DUMMYFUNCTION("""COMPUTED_VALUE"""),43251.0)</f>
        <v>43251</v>
      </c>
    </row>
    <row r="196">
      <c r="A196" s="6" t="str">
        <f>IFERROR(__xludf.DUMMYFUNCTION("""COMPUTED_VALUE"""),"181750178-2")</f>
        <v>181750178-2</v>
      </c>
      <c r="B196" s="6" t="str">
        <f>IFERROR(__xludf.DUMMYFUNCTION("""COMPUTED_VALUE"""),"181750178 - Approved")</f>
        <v>181750178 - Approved</v>
      </c>
      <c r="C196" s="6">
        <f>IFERROR(__xludf.DUMMYFUNCTION("""COMPUTED_VALUE"""),2.0)</f>
        <v>2</v>
      </c>
      <c r="D196" s="6" t="str">
        <f>IFERROR(__xludf.DUMMYFUNCTION("""COMPUTED_VALUE"""),"O-51307-00")</f>
        <v>O-51307-00</v>
      </c>
      <c r="E196" s="6" t="str">
        <f>IFERROR(__xludf.DUMMYFUNCTION("""COMPUTED_VALUE"""),"Selector Switch 22mm On-Off XPB22-22A Fort; ; ;")</f>
        <v>Selector Switch 22mm On-Off XPB22-22A Fort; ; ;</v>
      </c>
      <c r="F196" s="6">
        <f>IFERROR(__xludf.DUMMYFUNCTION("""COMPUTED_VALUE"""),2.0)</f>
        <v>2</v>
      </c>
      <c r="G196" s="6" t="str">
        <f>IFERROR(__xludf.DUMMYFUNCTION("""COMPUTED_VALUE"""),"Pieces")</f>
        <v>Pieces</v>
      </c>
      <c r="H196" s="6" t="str">
        <f>IFERROR(__xludf.DUMMYFUNCTION("""COMPUTED_VALUE"""),"IDR")</f>
        <v>IDR</v>
      </c>
      <c r="I196" s="11">
        <f>IFERROR(__xludf.DUMMYFUNCTION("""COMPUTED_VALUE"""),29000.0)</f>
        <v>29000</v>
      </c>
      <c r="J196" s="11">
        <f>IFERROR(__xludf.DUMMYFUNCTION("""COMPUTED_VALUE"""),58000.0)</f>
        <v>58000</v>
      </c>
      <c r="K196" s="13">
        <f>IFERROR(__xludf.DUMMYFUNCTION("""COMPUTED_VALUE"""),43252.0)</f>
        <v>43252</v>
      </c>
      <c r="L196" s="6" t="str">
        <f>IFERROR(__xludf.DUMMYFUNCTION("""COMPUTED_VALUE"""),"FIP General")</f>
        <v>FIP General</v>
      </c>
      <c r="M196" s="6" t="str">
        <f>IFERROR(__xludf.DUMMYFUNCTION("""COMPUTED_VALUE"""),"Joko Nugroho")</f>
        <v>Joko Nugroho</v>
      </c>
      <c r="N196" s="6" t="str">
        <f>IFERROR(__xludf.DUMMYFUNCTION("""COMPUTED_VALUE"""),"FIP Engineering")</f>
        <v>FIP Engineering</v>
      </c>
      <c r="O196" s="6" t="str">
        <f>IFERROR(__xludf.DUMMYFUNCTION("""COMPUTED_VALUE"""),"FIP-DOM-ENG-51404-0000000-INA-000000")</f>
        <v>FIP-DOM-ENG-51404-0000000-INA-000000</v>
      </c>
      <c r="P196" s="6" t="str">
        <f>IFERROR(__xludf.DUMMYFUNCTION("""COMPUTED_VALUE"""),"PO Closed")</f>
        <v>PO Closed</v>
      </c>
      <c r="Q196" s="6" t="str">
        <f>IFERROR(__xludf.DUMMYFUNCTION("""COMPUTED_VALUE"""),"GL1805037")</f>
        <v>GL1805037</v>
      </c>
      <c r="R196" s="16">
        <f>IFERROR(__xludf.DUMMYFUNCTION("""COMPUTED_VALUE"""),43237.0)</f>
        <v>43237</v>
      </c>
      <c r="S196" s="6" t="str">
        <f>IFERROR(__xludf.DUMMYFUNCTION("""COMPUTED_VALUE"""),"-")</f>
        <v>-</v>
      </c>
      <c r="T196" s="13">
        <f>IFERROR(__xludf.DUMMYFUNCTION("""COMPUTED_VALUE"""),43251.0)</f>
        <v>43251</v>
      </c>
    </row>
    <row r="197">
      <c r="A197" s="6" t="str">
        <f>IFERROR(__xludf.DUMMYFUNCTION("""COMPUTED_VALUE"""),"181750178-3")</f>
        <v>181750178-3</v>
      </c>
      <c r="B197" s="6" t="str">
        <f>IFERROR(__xludf.DUMMYFUNCTION("""COMPUTED_VALUE"""),"181750178 - Approved")</f>
        <v>181750178 - Approved</v>
      </c>
      <c r="C197" s="6">
        <f>IFERROR(__xludf.DUMMYFUNCTION("""COMPUTED_VALUE"""),3.0)</f>
        <v>3</v>
      </c>
      <c r="D197" s="6" t="str">
        <f>IFERROR(__xludf.DUMMYFUNCTION("""COMPUTED_VALUE"""),"O-51309-00")</f>
        <v>O-51309-00</v>
      </c>
      <c r="E197" s="6" t="str">
        <f>IFERROR(__xludf.DUMMYFUNCTION("""COMPUTED_VALUE"""),"WAGO 750-333 I/O SYSTEM PROFIBUS DP/FMS-12 MBAUD-DPV1-COUPL; ; ;")</f>
        <v>WAGO 750-333 I/O SYSTEM PROFIBUS DP/FMS-12 MBAUD-DPV1-COUPL; ; ;</v>
      </c>
      <c r="F197" s="6">
        <f>IFERROR(__xludf.DUMMYFUNCTION("""COMPUTED_VALUE"""),2.0)</f>
        <v>2</v>
      </c>
      <c r="G197" s="6" t="str">
        <f>IFERROR(__xludf.DUMMYFUNCTION("""COMPUTED_VALUE"""),"Unit")</f>
        <v>Unit</v>
      </c>
      <c r="H197" s="6" t="str">
        <f>IFERROR(__xludf.DUMMYFUNCTION("""COMPUTED_VALUE"""),"IDR")</f>
        <v>IDR</v>
      </c>
      <c r="I197" s="11">
        <f>IFERROR(__xludf.DUMMYFUNCTION("""COMPUTED_VALUE"""),4883620.0)</f>
        <v>4883620</v>
      </c>
      <c r="J197" s="11">
        <f>IFERROR(__xludf.DUMMYFUNCTION("""COMPUTED_VALUE"""),9767240.0)</f>
        <v>9767240</v>
      </c>
      <c r="K197" s="13">
        <f>IFERROR(__xludf.DUMMYFUNCTION("""COMPUTED_VALUE"""),43283.0)</f>
        <v>43283</v>
      </c>
      <c r="L197" s="6" t="str">
        <f>IFERROR(__xludf.DUMMYFUNCTION("""COMPUTED_VALUE"""),"FIP Engineering")</f>
        <v>FIP Engineering</v>
      </c>
      <c r="M197" s="6" t="str">
        <f>IFERROR(__xludf.DUMMYFUNCTION("""COMPUTED_VALUE"""),"Joko Nugroho")</f>
        <v>Joko Nugroho</v>
      </c>
      <c r="N197" s="6" t="str">
        <f>IFERROR(__xludf.DUMMYFUNCTION("""COMPUTED_VALUE"""),"FIP Engineering")</f>
        <v>FIP Engineering</v>
      </c>
      <c r="O197" s="6" t="str">
        <f>IFERROR(__xludf.DUMMYFUNCTION("""COMPUTED_VALUE"""),"FIP-DOM-000-11304-OS00001-INA-000000")</f>
        <v>FIP-DOM-000-11304-OS00001-INA-000000</v>
      </c>
      <c r="P197" s="6" t="str">
        <f>IFERROR(__xludf.DUMMYFUNCTION("""COMPUTED_VALUE"""),"PO Closed")</f>
        <v>PO Closed</v>
      </c>
      <c r="Q197" s="6" t="str">
        <f>IFERROR(__xludf.DUMMYFUNCTION("""COMPUTED_VALUE"""),"GL1805038")</f>
        <v>GL1805038</v>
      </c>
      <c r="R197" s="16">
        <f>IFERROR(__xludf.DUMMYFUNCTION("""COMPUTED_VALUE"""),43237.0)</f>
        <v>43237</v>
      </c>
      <c r="S197" s="6" t="str">
        <f>IFERROR(__xludf.DUMMYFUNCTION("""COMPUTED_VALUE"""),"-")</f>
        <v>-</v>
      </c>
      <c r="T197" s="13">
        <f>IFERROR(__xludf.DUMMYFUNCTION("""COMPUTED_VALUE"""),43284.0)</f>
        <v>43284</v>
      </c>
    </row>
    <row r="198">
      <c r="A198" s="6" t="str">
        <f>IFERROR(__xludf.DUMMYFUNCTION("""COMPUTED_VALUE"""),"181750174-6")</f>
        <v>181750174-6</v>
      </c>
      <c r="B198" s="6" t="str">
        <f>IFERROR(__xludf.DUMMYFUNCTION("""COMPUTED_VALUE"""),"181750174 - Approved")</f>
        <v>181750174 - Approved</v>
      </c>
      <c r="C198" s="6">
        <f>IFERROR(__xludf.DUMMYFUNCTION("""COMPUTED_VALUE"""),6.0)</f>
        <v>6</v>
      </c>
      <c r="D198" s="6" t="str">
        <f>IFERROR(__xludf.DUMMYFUNCTION("""COMPUTED_VALUE"""),"Q-10249-00")</f>
        <v>Q-10249-00</v>
      </c>
      <c r="E198" s="6" t="str">
        <f>IFERROR(__xludf.DUMMYFUNCTION("""COMPUTED_VALUE"""),"Lem Power Glue; ; ;")</f>
        <v>Lem Power Glue; ; ;</v>
      </c>
      <c r="F198" s="6">
        <f>IFERROR(__xludf.DUMMYFUNCTION("""COMPUTED_VALUE"""),5.0)</f>
        <v>5</v>
      </c>
      <c r="G198" s="6" t="str">
        <f>IFERROR(__xludf.DUMMYFUNCTION("""COMPUTED_VALUE"""),"Pieces")</f>
        <v>Pieces</v>
      </c>
      <c r="H198" s="6" t="str">
        <f>IFERROR(__xludf.DUMMYFUNCTION("""COMPUTED_VALUE"""),"IDR")</f>
        <v>IDR</v>
      </c>
      <c r="I198" s="11">
        <f>IFERROR(__xludf.DUMMYFUNCTION("""COMPUTED_VALUE"""),4050.0)</f>
        <v>4050</v>
      </c>
      <c r="J198" s="11">
        <f>IFERROR(__xludf.DUMMYFUNCTION("""COMPUTED_VALUE"""),20250.0)</f>
        <v>20250</v>
      </c>
      <c r="K198" s="13">
        <f>IFERROR(__xludf.DUMMYFUNCTION("""COMPUTED_VALUE"""),43252.0)</f>
        <v>43252</v>
      </c>
      <c r="L198" s="6" t="str">
        <f>IFERROR(__xludf.DUMMYFUNCTION("""COMPUTED_VALUE"""),"FIP Engineering")</f>
        <v>FIP Engineering</v>
      </c>
      <c r="M198" s="6" t="str">
        <f>IFERROR(__xludf.DUMMYFUNCTION("""COMPUTED_VALUE"""),"Joko Nugroho")</f>
        <v>Joko Nugroho</v>
      </c>
      <c r="N198" s="6" t="str">
        <f>IFERROR(__xludf.DUMMYFUNCTION("""COMPUTED_VALUE"""),"FIP Engineering")</f>
        <v>FIP Engineering</v>
      </c>
      <c r="O198" s="6" t="str">
        <f>IFERROR(__xludf.DUMMYFUNCTION("""COMPUTED_VALUE"""),"FIP-DOM-000-11304-OS00001-INA-000000")</f>
        <v>FIP-DOM-000-11304-OS00001-INA-000000</v>
      </c>
      <c r="P198" s="6" t="str">
        <f>IFERROR(__xludf.DUMMYFUNCTION("""COMPUTED_VALUE"""),"PO Closed")</f>
        <v>PO Closed</v>
      </c>
      <c r="Q198" s="6" t="str">
        <f>IFERROR(__xludf.DUMMYFUNCTION("""COMPUTED_VALUE"""),"GL1805037")</f>
        <v>GL1805037</v>
      </c>
      <c r="R198" s="16">
        <f>IFERROR(__xludf.DUMMYFUNCTION("""COMPUTED_VALUE"""),43237.0)</f>
        <v>43237</v>
      </c>
      <c r="S198" s="6" t="str">
        <f>IFERROR(__xludf.DUMMYFUNCTION("""COMPUTED_VALUE"""),"-")</f>
        <v>-</v>
      </c>
      <c r="T198" s="13">
        <f>IFERROR(__xludf.DUMMYFUNCTION("""COMPUTED_VALUE"""),43251.0)</f>
        <v>43251</v>
      </c>
    </row>
    <row r="199">
      <c r="A199" s="6" t="str">
        <f>IFERROR(__xludf.DUMMYFUNCTION("""COMPUTED_VALUE"""),"181750171-12")</f>
        <v>181750171-12</v>
      </c>
      <c r="B199" s="6" t="str">
        <f>IFERROR(__xludf.DUMMYFUNCTION("""COMPUTED_VALUE"""),"181750171 - Approved")</f>
        <v>181750171 - Approved</v>
      </c>
      <c r="C199" s="6">
        <f>IFERROR(__xludf.DUMMYFUNCTION("""COMPUTED_VALUE"""),12.0)</f>
        <v>12</v>
      </c>
      <c r="D199" s="6" t="str">
        <f>IFERROR(__xludf.DUMMYFUNCTION("""COMPUTED_VALUE"""),"P-13428-00")</f>
        <v>P-13428-00</v>
      </c>
      <c r="E199" s="6" t="str">
        <f>IFERROR(__xludf.DUMMYFUNCTION("""COMPUTED_VALUE"""),"Tig Welder Torch Collet Size : 1,6mm; ; ;")</f>
        <v>Tig Welder Torch Collet Size : 1,6mm; ; ;</v>
      </c>
      <c r="F199" s="6">
        <f>IFERROR(__xludf.DUMMYFUNCTION("""COMPUTED_VALUE"""),2.0)</f>
        <v>2</v>
      </c>
      <c r="G199" s="6" t="str">
        <f>IFERROR(__xludf.DUMMYFUNCTION("""COMPUTED_VALUE"""),"Pieces")</f>
        <v>Pieces</v>
      </c>
      <c r="H199" s="6" t="str">
        <f>IFERROR(__xludf.DUMMYFUNCTION("""COMPUTED_VALUE"""),"IDR")</f>
        <v>IDR</v>
      </c>
      <c r="I199" s="11">
        <f>IFERROR(__xludf.DUMMYFUNCTION("""COMPUTED_VALUE"""),12000.0)</f>
        <v>12000</v>
      </c>
      <c r="J199" s="11">
        <f>IFERROR(__xludf.DUMMYFUNCTION("""COMPUTED_VALUE"""),24000.0)</f>
        <v>24000</v>
      </c>
      <c r="K199" s="13">
        <f>IFERROR(__xludf.DUMMYFUNCTION("""COMPUTED_VALUE"""),43252.0)</f>
        <v>43252</v>
      </c>
      <c r="L199" s="6" t="str">
        <f>IFERROR(__xludf.DUMMYFUNCTION("""COMPUTED_VALUE"""),"FIP General")</f>
        <v>FIP General</v>
      </c>
      <c r="M199" s="6" t="str">
        <f>IFERROR(__xludf.DUMMYFUNCTION("""COMPUTED_VALUE"""),"Joko Nugroho")</f>
        <v>Joko Nugroho</v>
      </c>
      <c r="N199" s="6" t="str">
        <f>IFERROR(__xludf.DUMMYFUNCTION("""COMPUTED_VALUE"""),"FIP Engineering")</f>
        <v>FIP Engineering</v>
      </c>
      <c r="O199" s="6" t="str">
        <f>IFERROR(__xludf.DUMMYFUNCTION("""COMPUTED_VALUE"""),"FIP-DOM-ENG-51404-0000000-INA-000000")</f>
        <v>FIP-DOM-ENG-51404-0000000-INA-000000</v>
      </c>
      <c r="P199" s="6" t="str">
        <f>IFERROR(__xludf.DUMMYFUNCTION("""COMPUTED_VALUE"""),"PO Closed")</f>
        <v>PO Closed</v>
      </c>
      <c r="Q199" s="6" t="str">
        <f>IFERROR(__xludf.DUMMYFUNCTION("""COMPUTED_VALUE"""),"GL1805037")</f>
        <v>GL1805037</v>
      </c>
      <c r="R199" s="16">
        <f>IFERROR(__xludf.DUMMYFUNCTION("""COMPUTED_VALUE"""),43237.0)</f>
        <v>43237</v>
      </c>
      <c r="S199" s="6" t="str">
        <f>IFERROR(__xludf.DUMMYFUNCTION("""COMPUTED_VALUE"""),"-")</f>
        <v>-</v>
      </c>
      <c r="T199" s="17">
        <f>IFERROR(__xludf.DUMMYFUNCTION("""COMPUTED_VALUE"""),43251.0)</f>
        <v>43251</v>
      </c>
    </row>
    <row r="200">
      <c r="A200" s="6" t="str">
        <f>IFERROR(__xludf.DUMMYFUNCTION("""COMPUTED_VALUE"""),"181750171-13")</f>
        <v>181750171-13</v>
      </c>
      <c r="B200" s="6" t="str">
        <f>IFERROR(__xludf.DUMMYFUNCTION("""COMPUTED_VALUE"""),"181750171 - Approved")</f>
        <v>181750171 - Approved</v>
      </c>
      <c r="C200" s="6">
        <f>IFERROR(__xludf.DUMMYFUNCTION("""COMPUTED_VALUE"""),13.0)</f>
        <v>13</v>
      </c>
      <c r="D200" s="6" t="str">
        <f>IFERROR(__xludf.DUMMYFUNCTION("""COMPUTED_VALUE"""),"P-13427-00")</f>
        <v>P-13427-00</v>
      </c>
      <c r="E200" s="6" t="str">
        <f>IFERROR(__xludf.DUMMYFUNCTION("""COMPUTED_VALUE"""),"Tig Welder Torch Collet Size : 2,4mm; ; ;")</f>
        <v>Tig Welder Torch Collet Size : 2,4mm; ; ;</v>
      </c>
      <c r="F200" s="6">
        <f>IFERROR(__xludf.DUMMYFUNCTION("""COMPUTED_VALUE"""),2.0)</f>
        <v>2</v>
      </c>
      <c r="G200" s="6" t="str">
        <f>IFERROR(__xludf.DUMMYFUNCTION("""COMPUTED_VALUE"""),"Pieces")</f>
        <v>Pieces</v>
      </c>
      <c r="H200" s="6" t="str">
        <f>IFERROR(__xludf.DUMMYFUNCTION("""COMPUTED_VALUE"""),"IDR")</f>
        <v>IDR</v>
      </c>
      <c r="I200" s="11">
        <f>IFERROR(__xludf.DUMMYFUNCTION("""COMPUTED_VALUE"""),12000.0)</f>
        <v>12000</v>
      </c>
      <c r="J200" s="11">
        <f>IFERROR(__xludf.DUMMYFUNCTION("""COMPUTED_VALUE"""),24000.0)</f>
        <v>24000</v>
      </c>
      <c r="K200" s="13">
        <f>IFERROR(__xludf.DUMMYFUNCTION("""COMPUTED_VALUE"""),43252.0)</f>
        <v>43252</v>
      </c>
      <c r="L200" s="6" t="str">
        <f>IFERROR(__xludf.DUMMYFUNCTION("""COMPUTED_VALUE"""),"FIP General")</f>
        <v>FIP General</v>
      </c>
      <c r="M200" s="6" t="str">
        <f>IFERROR(__xludf.DUMMYFUNCTION("""COMPUTED_VALUE"""),"Joko Nugroho")</f>
        <v>Joko Nugroho</v>
      </c>
      <c r="N200" s="6" t="str">
        <f>IFERROR(__xludf.DUMMYFUNCTION("""COMPUTED_VALUE"""),"FIP Engineering")</f>
        <v>FIP Engineering</v>
      </c>
      <c r="O200" s="6" t="str">
        <f>IFERROR(__xludf.DUMMYFUNCTION("""COMPUTED_VALUE"""),"FIP-DOM-ENG-51404-0000000-INA-000000")</f>
        <v>FIP-DOM-ENG-51404-0000000-INA-000000</v>
      </c>
      <c r="P200" s="6" t="str">
        <f>IFERROR(__xludf.DUMMYFUNCTION("""COMPUTED_VALUE"""),"PO Closed")</f>
        <v>PO Closed</v>
      </c>
      <c r="Q200" s="6" t="str">
        <f>IFERROR(__xludf.DUMMYFUNCTION("""COMPUTED_VALUE"""),"GL1805037")</f>
        <v>GL1805037</v>
      </c>
      <c r="R200" s="16">
        <f>IFERROR(__xludf.DUMMYFUNCTION("""COMPUTED_VALUE"""),43237.0)</f>
        <v>43237</v>
      </c>
      <c r="S200" s="6" t="str">
        <f>IFERROR(__xludf.DUMMYFUNCTION("""COMPUTED_VALUE"""),"-")</f>
        <v>-</v>
      </c>
      <c r="T200" s="13">
        <f>IFERROR(__xludf.DUMMYFUNCTION("""COMPUTED_VALUE"""),43251.0)</f>
        <v>43251</v>
      </c>
    </row>
    <row r="201">
      <c r="A201" s="6" t="str">
        <f>IFERROR(__xludf.DUMMYFUNCTION("""COMPUTED_VALUE"""),"181750171-14")</f>
        <v>181750171-14</v>
      </c>
      <c r="B201" s="6" t="str">
        <f>IFERROR(__xludf.DUMMYFUNCTION("""COMPUTED_VALUE"""),"181750171 - Approved")</f>
        <v>181750171 - Approved</v>
      </c>
      <c r="C201" s="6">
        <f>IFERROR(__xludf.DUMMYFUNCTION("""COMPUTED_VALUE"""),14.0)</f>
        <v>14</v>
      </c>
      <c r="D201" s="6" t="str">
        <f>IFERROR(__xludf.DUMMYFUNCTION("""COMPUTED_VALUE"""),"P-13426-00")</f>
        <v>P-13426-00</v>
      </c>
      <c r="E201" s="6" t="str">
        <f>IFERROR(__xludf.DUMMYFUNCTION("""COMPUTED_VALUE"""),"Tig Welder Torch Collet Body Size : 1,6mm; ; ;")</f>
        <v>Tig Welder Torch Collet Body Size : 1,6mm; ; ;</v>
      </c>
      <c r="F201" s="6">
        <f>IFERROR(__xludf.DUMMYFUNCTION("""COMPUTED_VALUE"""),2.0)</f>
        <v>2</v>
      </c>
      <c r="G201" s="6" t="str">
        <f>IFERROR(__xludf.DUMMYFUNCTION("""COMPUTED_VALUE"""),"Pieces")</f>
        <v>Pieces</v>
      </c>
      <c r="H201" s="6" t="str">
        <f>IFERROR(__xludf.DUMMYFUNCTION("""COMPUTED_VALUE"""),"IDR")</f>
        <v>IDR</v>
      </c>
      <c r="I201" s="11">
        <f>IFERROR(__xludf.DUMMYFUNCTION("""COMPUTED_VALUE"""),24000.0)</f>
        <v>24000</v>
      </c>
      <c r="J201" s="11">
        <f>IFERROR(__xludf.DUMMYFUNCTION("""COMPUTED_VALUE"""),48000.0)</f>
        <v>48000</v>
      </c>
      <c r="K201" s="13">
        <f>IFERROR(__xludf.DUMMYFUNCTION("""COMPUTED_VALUE"""),43252.0)</f>
        <v>43252</v>
      </c>
      <c r="L201" s="6" t="str">
        <f>IFERROR(__xludf.DUMMYFUNCTION("""COMPUTED_VALUE"""),"FIP General")</f>
        <v>FIP General</v>
      </c>
      <c r="M201" s="6" t="str">
        <f>IFERROR(__xludf.DUMMYFUNCTION("""COMPUTED_VALUE"""),"Joko Nugroho")</f>
        <v>Joko Nugroho</v>
      </c>
      <c r="N201" s="6" t="str">
        <f>IFERROR(__xludf.DUMMYFUNCTION("""COMPUTED_VALUE"""),"FIP Engineering")</f>
        <v>FIP Engineering</v>
      </c>
      <c r="O201" s="6" t="str">
        <f>IFERROR(__xludf.DUMMYFUNCTION("""COMPUTED_VALUE"""),"FIP-DOM-ENG-51404-0000000-INA-000000")</f>
        <v>FIP-DOM-ENG-51404-0000000-INA-000000</v>
      </c>
      <c r="P201" s="6" t="str">
        <f>IFERROR(__xludf.DUMMYFUNCTION("""COMPUTED_VALUE"""),"PO Closed")</f>
        <v>PO Closed</v>
      </c>
      <c r="Q201" s="6" t="str">
        <f>IFERROR(__xludf.DUMMYFUNCTION("""COMPUTED_VALUE"""),"GL1805037")</f>
        <v>GL1805037</v>
      </c>
      <c r="R201" s="16">
        <f>IFERROR(__xludf.DUMMYFUNCTION("""COMPUTED_VALUE"""),43237.0)</f>
        <v>43237</v>
      </c>
      <c r="S201" s="6" t="str">
        <f>IFERROR(__xludf.DUMMYFUNCTION("""COMPUTED_VALUE"""),"-")</f>
        <v>-</v>
      </c>
      <c r="T201" s="17">
        <f>IFERROR(__xludf.DUMMYFUNCTION("""COMPUTED_VALUE"""),43251.0)</f>
        <v>43251</v>
      </c>
    </row>
    <row r="202">
      <c r="A202" s="6" t="str">
        <f>IFERROR(__xludf.DUMMYFUNCTION("""COMPUTED_VALUE"""),"181750171-15")</f>
        <v>181750171-15</v>
      </c>
      <c r="B202" s="6" t="str">
        <f>IFERROR(__xludf.DUMMYFUNCTION("""COMPUTED_VALUE"""),"181750171 - Approved")</f>
        <v>181750171 - Approved</v>
      </c>
      <c r="C202" s="6">
        <f>IFERROR(__xludf.DUMMYFUNCTION("""COMPUTED_VALUE"""),15.0)</f>
        <v>15</v>
      </c>
      <c r="D202" s="6" t="str">
        <f>IFERROR(__xludf.DUMMYFUNCTION("""COMPUTED_VALUE"""),"P-13425-00")</f>
        <v>P-13425-00</v>
      </c>
      <c r="E202" s="6" t="str">
        <f>IFERROR(__xludf.DUMMYFUNCTION("""COMPUTED_VALUE"""),"Tig Welder Torch Collet Body Size : 2,4mm; ; ;")</f>
        <v>Tig Welder Torch Collet Body Size : 2,4mm; ; ;</v>
      </c>
      <c r="F202" s="6">
        <f>IFERROR(__xludf.DUMMYFUNCTION("""COMPUTED_VALUE"""),2.0)</f>
        <v>2</v>
      </c>
      <c r="G202" s="6" t="str">
        <f>IFERROR(__xludf.DUMMYFUNCTION("""COMPUTED_VALUE"""),"Pieces")</f>
        <v>Pieces</v>
      </c>
      <c r="H202" s="6" t="str">
        <f>IFERROR(__xludf.DUMMYFUNCTION("""COMPUTED_VALUE"""),"IDR")</f>
        <v>IDR</v>
      </c>
      <c r="I202" s="11">
        <f>IFERROR(__xludf.DUMMYFUNCTION("""COMPUTED_VALUE"""),24000.0)</f>
        <v>24000</v>
      </c>
      <c r="J202" s="11">
        <f>IFERROR(__xludf.DUMMYFUNCTION("""COMPUTED_VALUE"""),48000.0)</f>
        <v>48000</v>
      </c>
      <c r="K202" s="17">
        <f>IFERROR(__xludf.DUMMYFUNCTION("""COMPUTED_VALUE"""),43252.0)</f>
        <v>43252</v>
      </c>
      <c r="L202" s="6" t="str">
        <f>IFERROR(__xludf.DUMMYFUNCTION("""COMPUTED_VALUE"""),"FIP General")</f>
        <v>FIP General</v>
      </c>
      <c r="M202" s="6" t="str">
        <f>IFERROR(__xludf.DUMMYFUNCTION("""COMPUTED_VALUE"""),"Joko Nugroho")</f>
        <v>Joko Nugroho</v>
      </c>
      <c r="N202" s="6" t="str">
        <f>IFERROR(__xludf.DUMMYFUNCTION("""COMPUTED_VALUE"""),"FIP Engineering")</f>
        <v>FIP Engineering</v>
      </c>
      <c r="O202" s="6" t="str">
        <f>IFERROR(__xludf.DUMMYFUNCTION("""COMPUTED_VALUE"""),"FIP-DOM-ENG-51404-0000000-INA-000000")</f>
        <v>FIP-DOM-ENG-51404-0000000-INA-000000</v>
      </c>
      <c r="P202" s="6" t="str">
        <f>IFERROR(__xludf.DUMMYFUNCTION("""COMPUTED_VALUE"""),"PO Closed")</f>
        <v>PO Closed</v>
      </c>
      <c r="Q202" s="6" t="str">
        <f>IFERROR(__xludf.DUMMYFUNCTION("""COMPUTED_VALUE"""),"GL1805037")</f>
        <v>GL1805037</v>
      </c>
      <c r="R202" s="16">
        <f>IFERROR(__xludf.DUMMYFUNCTION("""COMPUTED_VALUE"""),43237.0)</f>
        <v>43237</v>
      </c>
      <c r="S202" s="6" t="str">
        <f>IFERROR(__xludf.DUMMYFUNCTION("""COMPUTED_VALUE"""),"-")</f>
        <v>-</v>
      </c>
      <c r="T202" s="13">
        <f>IFERROR(__xludf.DUMMYFUNCTION("""COMPUTED_VALUE"""),43251.0)</f>
        <v>43251</v>
      </c>
    </row>
    <row r="203">
      <c r="A203" s="6" t="str">
        <f>IFERROR(__xludf.DUMMYFUNCTION("""COMPUTED_VALUE"""),"181750171-16")</f>
        <v>181750171-16</v>
      </c>
      <c r="B203" s="6" t="str">
        <f>IFERROR(__xludf.DUMMYFUNCTION("""COMPUTED_VALUE"""),"181750171 - Approved")</f>
        <v>181750171 - Approved</v>
      </c>
      <c r="C203" s="6">
        <f>IFERROR(__xludf.DUMMYFUNCTION("""COMPUTED_VALUE"""),16.0)</f>
        <v>16</v>
      </c>
      <c r="D203" s="6" t="str">
        <f>IFERROR(__xludf.DUMMYFUNCTION("""COMPUTED_VALUE"""),"P-13424-00")</f>
        <v>P-13424-00</v>
      </c>
      <c r="E203" s="6" t="str">
        <f>IFERROR(__xludf.DUMMYFUNCTION("""COMPUTED_VALUE"""),"Gas Lens 2.4mm Std Body (WP9/20) Size : 2,4mm; ; ;")</f>
        <v>Gas Lens 2.4mm Std Body (WP9/20) Size : 2,4mm; ; ;</v>
      </c>
      <c r="F203" s="6">
        <f>IFERROR(__xludf.DUMMYFUNCTION("""COMPUTED_VALUE"""),1.0)</f>
        <v>1</v>
      </c>
      <c r="G203" s="6" t="str">
        <f>IFERROR(__xludf.DUMMYFUNCTION("""COMPUTED_VALUE"""),"Pieces")</f>
        <v>Pieces</v>
      </c>
      <c r="H203" s="6" t="str">
        <f>IFERROR(__xludf.DUMMYFUNCTION("""COMPUTED_VALUE"""),"IDR")</f>
        <v>IDR</v>
      </c>
      <c r="I203" s="11">
        <f>IFERROR(__xludf.DUMMYFUNCTION("""COMPUTED_VALUE"""),82500.0)</f>
        <v>82500</v>
      </c>
      <c r="J203" s="11">
        <f>IFERROR(__xludf.DUMMYFUNCTION("""COMPUTED_VALUE"""),82500.0)</f>
        <v>82500</v>
      </c>
      <c r="K203" s="13">
        <f>IFERROR(__xludf.DUMMYFUNCTION("""COMPUTED_VALUE"""),43252.0)</f>
        <v>43252</v>
      </c>
      <c r="L203" s="6" t="str">
        <f>IFERROR(__xludf.DUMMYFUNCTION("""COMPUTED_VALUE"""),"FIP General")</f>
        <v>FIP General</v>
      </c>
      <c r="M203" s="6" t="str">
        <f>IFERROR(__xludf.DUMMYFUNCTION("""COMPUTED_VALUE"""),"Joko Nugroho")</f>
        <v>Joko Nugroho</v>
      </c>
      <c r="N203" s="6" t="str">
        <f>IFERROR(__xludf.DUMMYFUNCTION("""COMPUTED_VALUE"""),"FIP Engineering")</f>
        <v>FIP Engineering</v>
      </c>
      <c r="O203" s="6" t="str">
        <f>IFERROR(__xludf.DUMMYFUNCTION("""COMPUTED_VALUE"""),"FIP-DOM-ENG-51404-0000000-INA-000000")</f>
        <v>FIP-DOM-ENG-51404-0000000-INA-000000</v>
      </c>
      <c r="P203" s="6" t="str">
        <f>IFERROR(__xludf.DUMMYFUNCTION("""COMPUTED_VALUE"""),"PO Closed")</f>
        <v>PO Closed</v>
      </c>
      <c r="Q203" s="6" t="str">
        <f>IFERROR(__xludf.DUMMYFUNCTION("""COMPUTED_VALUE"""),"GL1805037")</f>
        <v>GL1805037</v>
      </c>
      <c r="R203" s="16">
        <f>IFERROR(__xludf.DUMMYFUNCTION("""COMPUTED_VALUE"""),43237.0)</f>
        <v>43237</v>
      </c>
      <c r="S203" s="6" t="str">
        <f>IFERROR(__xludf.DUMMYFUNCTION("""COMPUTED_VALUE"""),"-")</f>
        <v>-</v>
      </c>
      <c r="T203" s="13">
        <f>IFERROR(__xludf.DUMMYFUNCTION("""COMPUTED_VALUE"""),43251.0)</f>
        <v>43251</v>
      </c>
    </row>
    <row r="204">
      <c r="A204" s="6" t="str">
        <f>IFERROR(__xludf.DUMMYFUNCTION("""COMPUTED_VALUE"""),"181750171-17")</f>
        <v>181750171-17</v>
      </c>
      <c r="B204" s="6" t="str">
        <f>IFERROR(__xludf.DUMMYFUNCTION("""COMPUTED_VALUE"""),"181750171 - Approved")</f>
        <v>181750171 - Approved</v>
      </c>
      <c r="C204" s="6">
        <f>IFERROR(__xludf.DUMMYFUNCTION("""COMPUTED_VALUE"""),17.0)</f>
        <v>17</v>
      </c>
      <c r="D204" s="6" t="str">
        <f>IFERROR(__xludf.DUMMYFUNCTION("""COMPUTED_VALUE"""),"P-13423-00")</f>
        <v>P-13423-00</v>
      </c>
      <c r="E204" s="6" t="str">
        <f>IFERROR(__xludf.DUMMYFUNCTION("""COMPUTED_VALUE"""),"Tig Torch Short Back Cap WP9/20 Size : Short; ; ;")</f>
        <v>Tig Torch Short Back Cap WP9/20 Size : Short; ; ;</v>
      </c>
      <c r="F204" s="6">
        <f>IFERROR(__xludf.DUMMYFUNCTION("""COMPUTED_VALUE"""),1.0)</f>
        <v>1</v>
      </c>
      <c r="G204" s="6" t="str">
        <f>IFERROR(__xludf.DUMMYFUNCTION("""COMPUTED_VALUE"""),"Pieces")</f>
        <v>Pieces</v>
      </c>
      <c r="H204" s="6" t="str">
        <f>IFERROR(__xludf.DUMMYFUNCTION("""COMPUTED_VALUE"""),"IDR")</f>
        <v>IDR</v>
      </c>
      <c r="I204" s="11">
        <f>IFERROR(__xludf.DUMMYFUNCTION("""COMPUTED_VALUE"""),25000.0)</f>
        <v>25000</v>
      </c>
      <c r="J204" s="11">
        <f>IFERROR(__xludf.DUMMYFUNCTION("""COMPUTED_VALUE"""),25000.0)</f>
        <v>25000</v>
      </c>
      <c r="K204" s="13">
        <f>IFERROR(__xludf.DUMMYFUNCTION("""COMPUTED_VALUE"""),43252.0)</f>
        <v>43252</v>
      </c>
      <c r="L204" s="6" t="str">
        <f>IFERROR(__xludf.DUMMYFUNCTION("""COMPUTED_VALUE"""),"FIP General")</f>
        <v>FIP General</v>
      </c>
      <c r="M204" s="6" t="str">
        <f>IFERROR(__xludf.DUMMYFUNCTION("""COMPUTED_VALUE"""),"Joko Nugroho")</f>
        <v>Joko Nugroho</v>
      </c>
      <c r="N204" s="6" t="str">
        <f>IFERROR(__xludf.DUMMYFUNCTION("""COMPUTED_VALUE"""),"FIP Engineering")</f>
        <v>FIP Engineering</v>
      </c>
      <c r="O204" s="6" t="str">
        <f>IFERROR(__xludf.DUMMYFUNCTION("""COMPUTED_VALUE"""),"FIP-DOM-ENG-51404-0000000-INA-000000")</f>
        <v>FIP-DOM-ENG-51404-0000000-INA-000000</v>
      </c>
      <c r="P204" s="6" t="str">
        <f>IFERROR(__xludf.DUMMYFUNCTION("""COMPUTED_VALUE"""),"PO Closed")</f>
        <v>PO Closed</v>
      </c>
      <c r="Q204" s="6" t="str">
        <f>IFERROR(__xludf.DUMMYFUNCTION("""COMPUTED_VALUE"""),"GL1805037")</f>
        <v>GL1805037</v>
      </c>
      <c r="R204" s="16">
        <f>IFERROR(__xludf.DUMMYFUNCTION("""COMPUTED_VALUE"""),43237.0)</f>
        <v>43237</v>
      </c>
      <c r="S204" s="6" t="str">
        <f>IFERROR(__xludf.DUMMYFUNCTION("""COMPUTED_VALUE"""),"-")</f>
        <v>-</v>
      </c>
      <c r="T204" s="13">
        <f>IFERROR(__xludf.DUMMYFUNCTION("""COMPUTED_VALUE"""),43251.0)</f>
        <v>43251</v>
      </c>
    </row>
    <row r="205">
      <c r="A205" s="6" t="str">
        <f>IFERROR(__xludf.DUMMYFUNCTION("""COMPUTED_VALUE"""),"181750171-18")</f>
        <v>181750171-18</v>
      </c>
      <c r="B205" s="6" t="str">
        <f>IFERROR(__xludf.DUMMYFUNCTION("""COMPUTED_VALUE"""),"181750171 - Approved")</f>
        <v>181750171 - Approved</v>
      </c>
      <c r="C205" s="6">
        <f>IFERROR(__xludf.DUMMYFUNCTION("""COMPUTED_VALUE"""),18.0)</f>
        <v>18</v>
      </c>
      <c r="D205" s="6" t="str">
        <f>IFERROR(__xludf.DUMMYFUNCTION("""COMPUTED_VALUE"""),"P-13422-00")</f>
        <v>P-13422-00</v>
      </c>
      <c r="E205" s="6" t="str">
        <f>IFERROR(__xludf.DUMMYFUNCTION("""COMPUTED_VALUE"""),"Tig Torch Medium Back Cap WP 9/20 Size : Medium; ; ;")</f>
        <v>Tig Torch Medium Back Cap WP 9/20 Size : Medium; ; ;</v>
      </c>
      <c r="F205" s="6">
        <f>IFERROR(__xludf.DUMMYFUNCTION("""COMPUTED_VALUE"""),1.0)</f>
        <v>1</v>
      </c>
      <c r="G205" s="6" t="str">
        <f>IFERROR(__xludf.DUMMYFUNCTION("""COMPUTED_VALUE"""),"Pieces")</f>
        <v>Pieces</v>
      </c>
      <c r="H205" s="6" t="str">
        <f>IFERROR(__xludf.DUMMYFUNCTION("""COMPUTED_VALUE"""),"IDR")</f>
        <v>IDR</v>
      </c>
      <c r="I205" s="11">
        <f>IFERROR(__xludf.DUMMYFUNCTION("""COMPUTED_VALUE"""),16000.0)</f>
        <v>16000</v>
      </c>
      <c r="J205" s="11">
        <f>IFERROR(__xludf.DUMMYFUNCTION("""COMPUTED_VALUE"""),16000.0)</f>
        <v>16000</v>
      </c>
      <c r="K205" s="17">
        <f>IFERROR(__xludf.DUMMYFUNCTION("""COMPUTED_VALUE"""),43252.0)</f>
        <v>43252</v>
      </c>
      <c r="L205" s="6" t="str">
        <f>IFERROR(__xludf.DUMMYFUNCTION("""COMPUTED_VALUE"""),"FIP General")</f>
        <v>FIP General</v>
      </c>
      <c r="M205" s="6" t="str">
        <f>IFERROR(__xludf.DUMMYFUNCTION("""COMPUTED_VALUE"""),"Joko Nugroho")</f>
        <v>Joko Nugroho</v>
      </c>
      <c r="N205" s="6" t="str">
        <f>IFERROR(__xludf.DUMMYFUNCTION("""COMPUTED_VALUE"""),"FIP Engineering")</f>
        <v>FIP Engineering</v>
      </c>
      <c r="O205" s="6" t="str">
        <f>IFERROR(__xludf.DUMMYFUNCTION("""COMPUTED_VALUE"""),"FIP-DOM-ENG-51404-0000000-INA-000000")</f>
        <v>FIP-DOM-ENG-51404-0000000-INA-000000</v>
      </c>
      <c r="P205" s="6" t="str">
        <f>IFERROR(__xludf.DUMMYFUNCTION("""COMPUTED_VALUE"""),"PO Closed")</f>
        <v>PO Closed</v>
      </c>
      <c r="Q205" s="6" t="str">
        <f>IFERROR(__xludf.DUMMYFUNCTION("""COMPUTED_VALUE"""),"GL1805037")</f>
        <v>GL1805037</v>
      </c>
      <c r="R205" s="16">
        <f>IFERROR(__xludf.DUMMYFUNCTION("""COMPUTED_VALUE"""),43237.0)</f>
        <v>43237</v>
      </c>
      <c r="S205" s="6" t="str">
        <f>IFERROR(__xludf.DUMMYFUNCTION("""COMPUTED_VALUE"""),"-")</f>
        <v>-</v>
      </c>
      <c r="T205" s="13">
        <f>IFERROR(__xludf.DUMMYFUNCTION("""COMPUTED_VALUE"""),43251.0)</f>
        <v>43251</v>
      </c>
    </row>
    <row r="206">
      <c r="A206" s="6" t="str">
        <f>IFERROR(__xludf.DUMMYFUNCTION("""COMPUTED_VALUE"""),"181750171-19")</f>
        <v>181750171-19</v>
      </c>
      <c r="B206" s="6" t="str">
        <f>IFERROR(__xludf.DUMMYFUNCTION("""COMPUTED_VALUE"""),"181750171 - Approved")</f>
        <v>181750171 - Approved</v>
      </c>
      <c r="C206" s="6">
        <f>IFERROR(__xludf.DUMMYFUNCTION("""COMPUTED_VALUE"""),19.0)</f>
        <v>19</v>
      </c>
      <c r="D206" s="6" t="str">
        <f>IFERROR(__xludf.DUMMYFUNCTION("""COMPUTED_VALUE"""),"P-13421-00")</f>
        <v>P-13421-00</v>
      </c>
      <c r="E206" s="6" t="str">
        <f>IFERROR(__xludf.DUMMYFUNCTION("""COMPUTED_VALUE"""),"Tig Torch Medium Back Cap WP 9/20 Size : Long; ; ;")</f>
        <v>Tig Torch Medium Back Cap WP 9/20 Size : Long; ; ;</v>
      </c>
      <c r="F206" s="6">
        <f>IFERROR(__xludf.DUMMYFUNCTION("""COMPUTED_VALUE"""),1.0)</f>
        <v>1</v>
      </c>
      <c r="G206" s="6" t="str">
        <f>IFERROR(__xludf.DUMMYFUNCTION("""COMPUTED_VALUE"""),"Pieces")</f>
        <v>Pieces</v>
      </c>
      <c r="H206" s="6" t="str">
        <f>IFERROR(__xludf.DUMMYFUNCTION("""COMPUTED_VALUE"""),"IDR")</f>
        <v>IDR</v>
      </c>
      <c r="I206" s="11">
        <f>IFERROR(__xludf.DUMMYFUNCTION("""COMPUTED_VALUE"""),20000.0)</f>
        <v>20000</v>
      </c>
      <c r="J206" s="11">
        <f>IFERROR(__xludf.DUMMYFUNCTION("""COMPUTED_VALUE"""),20000.0)</f>
        <v>20000</v>
      </c>
      <c r="K206" s="13">
        <f>IFERROR(__xludf.DUMMYFUNCTION("""COMPUTED_VALUE"""),43252.0)</f>
        <v>43252</v>
      </c>
      <c r="L206" s="6" t="str">
        <f>IFERROR(__xludf.DUMMYFUNCTION("""COMPUTED_VALUE"""),"FIP General")</f>
        <v>FIP General</v>
      </c>
      <c r="M206" s="6" t="str">
        <f>IFERROR(__xludf.DUMMYFUNCTION("""COMPUTED_VALUE"""),"Joko Nugroho")</f>
        <v>Joko Nugroho</v>
      </c>
      <c r="N206" s="6" t="str">
        <f>IFERROR(__xludf.DUMMYFUNCTION("""COMPUTED_VALUE"""),"FIP Engineering")</f>
        <v>FIP Engineering</v>
      </c>
      <c r="O206" s="6" t="str">
        <f>IFERROR(__xludf.DUMMYFUNCTION("""COMPUTED_VALUE"""),"FIP-DOM-ENG-51404-0000000-INA-000000")</f>
        <v>FIP-DOM-ENG-51404-0000000-INA-000000</v>
      </c>
      <c r="P206" s="6" t="str">
        <f>IFERROR(__xludf.DUMMYFUNCTION("""COMPUTED_VALUE"""),"PO Closed")</f>
        <v>PO Closed</v>
      </c>
      <c r="Q206" s="6" t="str">
        <f>IFERROR(__xludf.DUMMYFUNCTION("""COMPUTED_VALUE"""),"GL1805037")</f>
        <v>GL1805037</v>
      </c>
      <c r="R206" s="16">
        <f>IFERROR(__xludf.DUMMYFUNCTION("""COMPUTED_VALUE"""),43237.0)</f>
        <v>43237</v>
      </c>
      <c r="S206" s="6" t="str">
        <f>IFERROR(__xludf.DUMMYFUNCTION("""COMPUTED_VALUE"""),"-")</f>
        <v>-</v>
      </c>
      <c r="T206" s="13">
        <f>IFERROR(__xludf.DUMMYFUNCTION("""COMPUTED_VALUE"""),43251.0)</f>
        <v>43251</v>
      </c>
    </row>
    <row r="207">
      <c r="A207" s="6" t="str">
        <f>IFERROR(__xludf.DUMMYFUNCTION("""COMPUTED_VALUE"""),"181750171-20")</f>
        <v>181750171-20</v>
      </c>
      <c r="B207" s="6" t="str">
        <f>IFERROR(__xludf.DUMMYFUNCTION("""COMPUTED_VALUE"""),"181750171 - Approved")</f>
        <v>181750171 - Approved</v>
      </c>
      <c r="C207" s="6">
        <f>IFERROR(__xludf.DUMMYFUNCTION("""COMPUTED_VALUE"""),20.0)</f>
        <v>20</v>
      </c>
      <c r="D207" s="6" t="str">
        <f>IFERROR(__xludf.DUMMYFUNCTION("""COMPUTED_VALUE"""),"P-13420-00")</f>
        <v>P-13420-00</v>
      </c>
      <c r="E207" s="6" t="str">
        <f>IFERROR(__xludf.DUMMYFUNCTION("""COMPUTED_VALUE"""),"Tig Welder Torch No.5 Ceramic 5/16 Bore Size : no.5; ; ;")</f>
        <v>Tig Welder Torch No.5 Ceramic 5/16 Bore Size : no.5; ; ;</v>
      </c>
      <c r="F207" s="6">
        <f>IFERROR(__xludf.DUMMYFUNCTION("""COMPUTED_VALUE"""),1.0)</f>
        <v>1</v>
      </c>
      <c r="G207" s="6" t="str">
        <f>IFERROR(__xludf.DUMMYFUNCTION("""COMPUTED_VALUE"""),"Pieces")</f>
        <v>Pieces</v>
      </c>
      <c r="H207" s="6" t="str">
        <f>IFERROR(__xludf.DUMMYFUNCTION("""COMPUTED_VALUE"""),"IDR")</f>
        <v>IDR</v>
      </c>
      <c r="I207" s="11">
        <f>IFERROR(__xludf.DUMMYFUNCTION("""COMPUTED_VALUE"""),10000.0)</f>
        <v>10000</v>
      </c>
      <c r="J207" s="11">
        <f>IFERROR(__xludf.DUMMYFUNCTION("""COMPUTED_VALUE"""),10000.0)</f>
        <v>10000</v>
      </c>
      <c r="K207" s="13">
        <f>IFERROR(__xludf.DUMMYFUNCTION("""COMPUTED_VALUE"""),43252.0)</f>
        <v>43252</v>
      </c>
      <c r="L207" s="6" t="str">
        <f>IFERROR(__xludf.DUMMYFUNCTION("""COMPUTED_VALUE"""),"FIP General")</f>
        <v>FIP General</v>
      </c>
      <c r="M207" s="6" t="str">
        <f>IFERROR(__xludf.DUMMYFUNCTION("""COMPUTED_VALUE"""),"Joko Nugroho")</f>
        <v>Joko Nugroho</v>
      </c>
      <c r="N207" s="6" t="str">
        <f>IFERROR(__xludf.DUMMYFUNCTION("""COMPUTED_VALUE"""),"FIP Engineering")</f>
        <v>FIP Engineering</v>
      </c>
      <c r="O207" s="6" t="str">
        <f>IFERROR(__xludf.DUMMYFUNCTION("""COMPUTED_VALUE"""),"FIP-DOM-ENG-51404-0000000-INA-000000")</f>
        <v>FIP-DOM-ENG-51404-0000000-INA-000000</v>
      </c>
      <c r="P207" s="6" t="str">
        <f>IFERROR(__xludf.DUMMYFUNCTION("""COMPUTED_VALUE"""),"PO Closed")</f>
        <v>PO Closed</v>
      </c>
      <c r="Q207" s="6" t="str">
        <f>IFERROR(__xludf.DUMMYFUNCTION("""COMPUTED_VALUE"""),"GL1805037")</f>
        <v>GL1805037</v>
      </c>
      <c r="R207" s="16">
        <f>IFERROR(__xludf.DUMMYFUNCTION("""COMPUTED_VALUE"""),43237.0)</f>
        <v>43237</v>
      </c>
      <c r="S207" s="6" t="str">
        <f>IFERROR(__xludf.DUMMYFUNCTION("""COMPUTED_VALUE"""),"-")</f>
        <v>-</v>
      </c>
      <c r="T207" s="13">
        <f>IFERROR(__xludf.DUMMYFUNCTION("""COMPUTED_VALUE"""),43251.0)</f>
        <v>43251</v>
      </c>
    </row>
    <row r="208">
      <c r="A208" s="6" t="str">
        <f>IFERROR(__xludf.DUMMYFUNCTION("""COMPUTED_VALUE"""),"181750171-21")</f>
        <v>181750171-21</v>
      </c>
      <c r="B208" s="6" t="str">
        <f>IFERROR(__xludf.DUMMYFUNCTION("""COMPUTED_VALUE"""),"181750171 - Approved")</f>
        <v>181750171 - Approved</v>
      </c>
      <c r="C208" s="6">
        <f>IFERROR(__xludf.DUMMYFUNCTION("""COMPUTED_VALUE"""),21.0)</f>
        <v>21</v>
      </c>
      <c r="D208" s="6" t="str">
        <f>IFERROR(__xludf.DUMMYFUNCTION("""COMPUTED_VALUE"""),"P-13419-00")</f>
        <v>P-13419-00</v>
      </c>
      <c r="E208" s="6" t="str">
        <f>IFERROR(__xludf.DUMMYFUNCTION("""COMPUTED_VALUE"""),"Tungsten tig weld Size : 2,4mm; ; ;")</f>
        <v>Tungsten tig weld Size : 2,4mm; ; ;</v>
      </c>
      <c r="F208" s="6">
        <f>IFERROR(__xludf.DUMMYFUNCTION("""COMPUTED_VALUE"""),1.0)</f>
        <v>1</v>
      </c>
      <c r="G208" s="6" t="str">
        <f>IFERROR(__xludf.DUMMYFUNCTION("""COMPUTED_VALUE"""),"Pieces")</f>
        <v>Pieces</v>
      </c>
      <c r="H208" s="6" t="str">
        <f>IFERROR(__xludf.DUMMYFUNCTION("""COMPUTED_VALUE"""),"IDR")</f>
        <v>IDR</v>
      </c>
      <c r="I208" s="11">
        <f>IFERROR(__xludf.DUMMYFUNCTION("""COMPUTED_VALUE"""),260000.0)</f>
        <v>260000</v>
      </c>
      <c r="J208" s="11">
        <f>IFERROR(__xludf.DUMMYFUNCTION("""COMPUTED_VALUE"""),260000.0)</f>
        <v>260000</v>
      </c>
      <c r="K208" s="13">
        <f>IFERROR(__xludf.DUMMYFUNCTION("""COMPUTED_VALUE"""),43252.0)</f>
        <v>43252</v>
      </c>
      <c r="L208" s="6" t="str">
        <f>IFERROR(__xludf.DUMMYFUNCTION("""COMPUTED_VALUE"""),"FIP General")</f>
        <v>FIP General</v>
      </c>
      <c r="M208" s="6" t="str">
        <f>IFERROR(__xludf.DUMMYFUNCTION("""COMPUTED_VALUE"""),"Joko Nugroho")</f>
        <v>Joko Nugroho</v>
      </c>
      <c r="N208" s="6" t="str">
        <f>IFERROR(__xludf.DUMMYFUNCTION("""COMPUTED_VALUE"""),"FIP Engineering")</f>
        <v>FIP Engineering</v>
      </c>
      <c r="O208" s="6" t="str">
        <f>IFERROR(__xludf.DUMMYFUNCTION("""COMPUTED_VALUE"""),"FIP-DOM-ENG-51404-0000000-INA-000000")</f>
        <v>FIP-DOM-ENG-51404-0000000-INA-000000</v>
      </c>
      <c r="P208" s="6" t="str">
        <f>IFERROR(__xludf.DUMMYFUNCTION("""COMPUTED_VALUE"""),"PO Closed")</f>
        <v>PO Closed</v>
      </c>
      <c r="Q208" s="6" t="str">
        <f>IFERROR(__xludf.DUMMYFUNCTION("""COMPUTED_VALUE"""),"GL1805037")</f>
        <v>GL1805037</v>
      </c>
      <c r="R208" s="16">
        <f>IFERROR(__xludf.DUMMYFUNCTION("""COMPUTED_VALUE"""),43237.0)</f>
        <v>43237</v>
      </c>
      <c r="S208" s="6" t="str">
        <f>IFERROR(__xludf.DUMMYFUNCTION("""COMPUTED_VALUE"""),"-")</f>
        <v>-</v>
      </c>
      <c r="T208" s="13">
        <f>IFERROR(__xludf.DUMMYFUNCTION("""COMPUTED_VALUE"""),43251.0)</f>
        <v>43251</v>
      </c>
    </row>
    <row r="209">
      <c r="A209" s="6" t="str">
        <f>IFERROR(__xludf.DUMMYFUNCTION("""COMPUTED_VALUE"""),"181750171-22")</f>
        <v>181750171-22</v>
      </c>
      <c r="B209" s="6" t="str">
        <f>IFERROR(__xludf.DUMMYFUNCTION("""COMPUTED_VALUE"""),"181750171 - Approved")</f>
        <v>181750171 - Approved</v>
      </c>
      <c r="C209" s="6">
        <f>IFERROR(__xludf.DUMMYFUNCTION("""COMPUTED_VALUE"""),22.0)</f>
        <v>22</v>
      </c>
      <c r="D209" s="6" t="str">
        <f>IFERROR(__xludf.DUMMYFUNCTION("""COMPUTED_VALUE"""),"P-13418-00")</f>
        <v>P-13418-00</v>
      </c>
      <c r="E209" s="6" t="str">
        <f>IFERROR(__xludf.DUMMYFUNCTION("""COMPUTED_VALUE"""),"Non-Woven abrasive Size : 6 ""x 2"" 7; ; ;")</f>
        <v>Non-Woven abrasive Size : 6 "x 2" 7; ; ;</v>
      </c>
      <c r="F209" s="6">
        <f>IFERROR(__xludf.DUMMYFUNCTION("""COMPUTED_VALUE"""),5.0)</f>
        <v>5</v>
      </c>
      <c r="G209" s="6" t="str">
        <f>IFERROR(__xludf.DUMMYFUNCTION("""COMPUTED_VALUE"""),"Pieces")</f>
        <v>Pieces</v>
      </c>
      <c r="H209" s="6" t="str">
        <f>IFERROR(__xludf.DUMMYFUNCTION("""COMPUTED_VALUE"""),"IDR")</f>
        <v>IDR</v>
      </c>
      <c r="I209" s="11">
        <f>IFERROR(__xludf.DUMMYFUNCTION("""COMPUTED_VALUE"""),40000.0)</f>
        <v>40000</v>
      </c>
      <c r="J209" s="11">
        <f>IFERROR(__xludf.DUMMYFUNCTION("""COMPUTED_VALUE"""),200000.0)</f>
        <v>200000</v>
      </c>
      <c r="K209" s="13">
        <f>IFERROR(__xludf.DUMMYFUNCTION("""COMPUTED_VALUE"""),43252.0)</f>
        <v>43252</v>
      </c>
      <c r="L209" s="6" t="str">
        <f>IFERROR(__xludf.DUMMYFUNCTION("""COMPUTED_VALUE"""),"FIP General")</f>
        <v>FIP General</v>
      </c>
      <c r="M209" s="6" t="str">
        <f>IFERROR(__xludf.DUMMYFUNCTION("""COMPUTED_VALUE"""),"Joko Nugroho")</f>
        <v>Joko Nugroho</v>
      </c>
      <c r="N209" s="6" t="str">
        <f>IFERROR(__xludf.DUMMYFUNCTION("""COMPUTED_VALUE"""),"FIP Engineering")</f>
        <v>FIP Engineering</v>
      </c>
      <c r="O209" s="6" t="str">
        <f>IFERROR(__xludf.DUMMYFUNCTION("""COMPUTED_VALUE"""),"FIP-DOM-ENG-51404-0000000-INA-000000")</f>
        <v>FIP-DOM-ENG-51404-0000000-INA-000000</v>
      </c>
      <c r="P209" s="6" t="str">
        <f>IFERROR(__xludf.DUMMYFUNCTION("""COMPUTED_VALUE"""),"PO Closed")</f>
        <v>PO Closed</v>
      </c>
      <c r="Q209" s="6" t="str">
        <f>IFERROR(__xludf.DUMMYFUNCTION("""COMPUTED_VALUE"""),"GL1805037")</f>
        <v>GL1805037</v>
      </c>
      <c r="R209" s="16">
        <f>IFERROR(__xludf.DUMMYFUNCTION("""COMPUTED_VALUE"""),43237.0)</f>
        <v>43237</v>
      </c>
      <c r="S209" s="6" t="str">
        <f>IFERROR(__xludf.DUMMYFUNCTION("""COMPUTED_VALUE"""),"-")</f>
        <v>-</v>
      </c>
      <c r="T209" s="13">
        <f>IFERROR(__xludf.DUMMYFUNCTION("""COMPUTED_VALUE"""),43251.0)</f>
        <v>43251</v>
      </c>
    </row>
    <row r="210">
      <c r="A210" s="6" t="str">
        <f>IFERROR(__xludf.DUMMYFUNCTION("""COMPUTED_VALUE"""),"181750171-23")</f>
        <v>181750171-23</v>
      </c>
      <c r="B210" s="6" t="str">
        <f>IFERROR(__xludf.DUMMYFUNCTION("""COMPUTED_VALUE"""),"181750171 - Approved")</f>
        <v>181750171 - Approved</v>
      </c>
      <c r="C210" s="6">
        <f>IFERROR(__xludf.DUMMYFUNCTION("""COMPUTED_VALUE"""),23.0)</f>
        <v>23</v>
      </c>
      <c r="D210" s="6" t="str">
        <f>IFERROR(__xludf.DUMMYFUNCTION("""COMPUTED_VALUE"""),"P-50172-00")</f>
        <v>P-50172-00</v>
      </c>
      <c r="E210" s="6" t="str">
        <f>IFERROR(__xludf.DUMMYFUNCTION("""COMPUTED_VALUE"""),"Carbon Brush")</f>
        <v>Carbon Brush</v>
      </c>
      <c r="F210" s="6">
        <f>IFERROR(__xludf.DUMMYFUNCTION("""COMPUTED_VALUE"""),2.0)</f>
        <v>2</v>
      </c>
      <c r="G210" s="6" t="str">
        <f>IFERROR(__xludf.DUMMYFUNCTION("""COMPUTED_VALUE"""),"Pieces")</f>
        <v>Pieces</v>
      </c>
      <c r="H210" s="6" t="str">
        <f>IFERROR(__xludf.DUMMYFUNCTION("""COMPUTED_VALUE"""),"IDR")</f>
        <v>IDR</v>
      </c>
      <c r="I210" s="11">
        <f>IFERROR(__xludf.DUMMYFUNCTION("""COMPUTED_VALUE"""),65000.0)</f>
        <v>65000</v>
      </c>
      <c r="J210" s="11">
        <f>IFERROR(__xludf.DUMMYFUNCTION("""COMPUTED_VALUE"""),130000.0)</f>
        <v>130000</v>
      </c>
      <c r="K210" s="13">
        <f>IFERROR(__xludf.DUMMYFUNCTION("""COMPUTED_VALUE"""),43252.0)</f>
        <v>43252</v>
      </c>
      <c r="L210" s="6" t="str">
        <f>IFERROR(__xludf.DUMMYFUNCTION("""COMPUTED_VALUE"""),"FIP Engineering")</f>
        <v>FIP Engineering</v>
      </c>
      <c r="M210" s="6" t="str">
        <f>IFERROR(__xludf.DUMMYFUNCTION("""COMPUTED_VALUE"""),"Joko Nugroho")</f>
        <v>Joko Nugroho</v>
      </c>
      <c r="N210" s="6" t="str">
        <f>IFERROR(__xludf.DUMMYFUNCTION("""COMPUTED_VALUE"""),"FIP Engineering")</f>
        <v>FIP Engineering</v>
      </c>
      <c r="O210" s="6" t="str">
        <f>IFERROR(__xludf.DUMMYFUNCTION("""COMPUTED_VALUE"""),"FIP-DOM-000-11304-OS00001-INA-000000")</f>
        <v>FIP-DOM-000-11304-OS00001-INA-000000</v>
      </c>
      <c r="P210" s="6" t="str">
        <f>IFERROR(__xludf.DUMMYFUNCTION("""COMPUTED_VALUE"""),"PO Closed")</f>
        <v>PO Closed</v>
      </c>
      <c r="Q210" s="6" t="str">
        <f>IFERROR(__xludf.DUMMYFUNCTION("""COMPUTED_VALUE"""),"GL1805037")</f>
        <v>GL1805037</v>
      </c>
      <c r="R210" s="16">
        <f>IFERROR(__xludf.DUMMYFUNCTION("""COMPUTED_VALUE"""),43237.0)</f>
        <v>43237</v>
      </c>
      <c r="S210" s="6" t="str">
        <f>IFERROR(__xludf.DUMMYFUNCTION("""COMPUTED_VALUE"""),"-")</f>
        <v>-</v>
      </c>
      <c r="T210" s="13">
        <f>IFERROR(__xludf.DUMMYFUNCTION("""COMPUTED_VALUE"""),43251.0)</f>
        <v>43251</v>
      </c>
    </row>
    <row r="211">
      <c r="A211" s="6" t="str">
        <f>IFERROR(__xludf.DUMMYFUNCTION("""COMPUTED_VALUE"""),"181750170-3")</f>
        <v>181750170-3</v>
      </c>
      <c r="B211" s="6" t="str">
        <f>IFERROR(__xludf.DUMMYFUNCTION("""COMPUTED_VALUE"""),"181750170 - Approved")</f>
        <v>181750170 - Approved</v>
      </c>
      <c r="C211" s="6">
        <f>IFERROR(__xludf.DUMMYFUNCTION("""COMPUTED_VALUE"""),3.0)</f>
        <v>3</v>
      </c>
      <c r="D211" s="6" t="str">
        <f>IFERROR(__xludf.DUMMYFUNCTION("""COMPUTED_VALUE"""),"Q-10496-00")</f>
        <v>Q-10496-00</v>
      </c>
      <c r="E211" s="6" t="str">
        <f>IFERROR(__xludf.DUMMYFUNCTION("""COMPUTED_VALUE"""),"Sirocco Ventilating Fan 24CHF KDK; ; ;")</f>
        <v>Sirocco Ventilating Fan 24CHF KDK; ; ;</v>
      </c>
      <c r="F211" s="6">
        <f>IFERROR(__xludf.DUMMYFUNCTION("""COMPUTED_VALUE"""),1.0)</f>
        <v>1</v>
      </c>
      <c r="G211" s="6" t="str">
        <f>IFERROR(__xludf.DUMMYFUNCTION("""COMPUTED_VALUE"""),"Pieces")</f>
        <v>Pieces</v>
      </c>
      <c r="H211" s="6" t="str">
        <f>IFERROR(__xludf.DUMMYFUNCTION("""COMPUTED_VALUE"""),"IDR")</f>
        <v>IDR</v>
      </c>
      <c r="I211" s="11">
        <f>IFERROR(__xludf.DUMMYFUNCTION("""COMPUTED_VALUE"""),2250000.0)</f>
        <v>2250000</v>
      </c>
      <c r="J211" s="11">
        <f>IFERROR(__xludf.DUMMYFUNCTION("""COMPUTED_VALUE"""),2250000.0)</f>
        <v>2250000</v>
      </c>
      <c r="K211" s="13">
        <f>IFERROR(__xludf.DUMMYFUNCTION("""COMPUTED_VALUE"""),43251.0)</f>
        <v>43251</v>
      </c>
      <c r="L211" s="6" t="str">
        <f>IFERROR(__xludf.DUMMYFUNCTION("""COMPUTED_VALUE"""),"FIP General")</f>
        <v>FIP General</v>
      </c>
      <c r="M211" s="6" t="str">
        <f>IFERROR(__xludf.DUMMYFUNCTION("""COMPUTED_VALUE"""),"Joko Nugroho")</f>
        <v>Joko Nugroho</v>
      </c>
      <c r="N211" s="6" t="str">
        <f>IFERROR(__xludf.DUMMYFUNCTION("""COMPUTED_VALUE"""),"FIP Engineering")</f>
        <v>FIP Engineering</v>
      </c>
      <c r="O211" s="6" t="str">
        <f>IFERROR(__xludf.DUMMYFUNCTION("""COMPUTED_VALUE"""),"FIP-DOM-ENG-51502-0000000-INA-000000")</f>
        <v>FIP-DOM-ENG-51502-0000000-INA-000000</v>
      </c>
      <c r="P211" s="6" t="str">
        <f>IFERROR(__xludf.DUMMYFUNCTION("""COMPUTED_VALUE"""),"PO Closed")</f>
        <v>PO Closed</v>
      </c>
      <c r="Q211" s="6" t="str">
        <f>IFERROR(__xludf.DUMMYFUNCTION("""COMPUTED_VALUE"""),"GL1805037")</f>
        <v>GL1805037</v>
      </c>
      <c r="R211" s="16">
        <f>IFERROR(__xludf.DUMMYFUNCTION("""COMPUTED_VALUE"""),43237.0)</f>
        <v>43237</v>
      </c>
      <c r="S211" s="6" t="str">
        <f>IFERROR(__xludf.DUMMYFUNCTION("""COMPUTED_VALUE"""),"-")</f>
        <v>-</v>
      </c>
      <c r="T211" s="13">
        <f>IFERROR(__xludf.DUMMYFUNCTION("""COMPUTED_VALUE"""),43251.0)</f>
        <v>43251</v>
      </c>
    </row>
    <row r="212">
      <c r="A212" s="6" t="str">
        <f>IFERROR(__xludf.DUMMYFUNCTION("""COMPUTED_VALUE"""),"181750170-3")</f>
        <v>181750170-3</v>
      </c>
      <c r="B212" s="6" t="str">
        <f>IFERROR(__xludf.DUMMYFUNCTION("""COMPUTED_VALUE"""),"181750170 - Approved")</f>
        <v>181750170 - Approved</v>
      </c>
      <c r="C212" s="6">
        <f>IFERROR(__xludf.DUMMYFUNCTION("""COMPUTED_VALUE"""),3.0)</f>
        <v>3</v>
      </c>
      <c r="D212" s="6" t="str">
        <f>IFERROR(__xludf.DUMMYFUNCTION("""COMPUTED_VALUE"""),"P-13429-00")</f>
        <v>P-13429-00</v>
      </c>
      <c r="E212" s="6" t="str">
        <f>IFERROR(__xludf.DUMMYFUNCTION("""COMPUTED_VALUE"""),"Cable Ducting 25x40mm; ; ;")</f>
        <v>Cable Ducting 25x40mm; ; ;</v>
      </c>
      <c r="F212" s="6">
        <f>IFERROR(__xludf.DUMMYFUNCTION("""COMPUTED_VALUE"""),10.0)</f>
        <v>10</v>
      </c>
      <c r="G212" s="6" t="str">
        <f>IFERROR(__xludf.DUMMYFUNCTION("""COMPUTED_VALUE"""),"Pieces")</f>
        <v>Pieces</v>
      </c>
      <c r="H212" s="6" t="str">
        <f>IFERROR(__xludf.DUMMYFUNCTION("""COMPUTED_VALUE"""),"IDR")</f>
        <v>IDR</v>
      </c>
      <c r="I212" s="11">
        <f>IFERROR(__xludf.DUMMYFUNCTION("""COMPUTED_VALUE"""),50000.0)</f>
        <v>50000</v>
      </c>
      <c r="J212" s="11">
        <f>IFERROR(__xludf.DUMMYFUNCTION("""COMPUTED_VALUE"""),500000.0)</f>
        <v>500000</v>
      </c>
      <c r="K212" s="13">
        <f>IFERROR(__xludf.DUMMYFUNCTION("""COMPUTED_VALUE"""),43251.0)</f>
        <v>43251</v>
      </c>
      <c r="L212" s="6" t="str">
        <f>IFERROR(__xludf.DUMMYFUNCTION("""COMPUTED_VALUE"""),"FIP General")</f>
        <v>FIP General</v>
      </c>
      <c r="M212" s="6" t="str">
        <f>IFERROR(__xludf.DUMMYFUNCTION("""COMPUTED_VALUE"""),"Joko Nugroho")</f>
        <v>Joko Nugroho</v>
      </c>
      <c r="N212" s="6" t="str">
        <f>IFERROR(__xludf.DUMMYFUNCTION("""COMPUTED_VALUE"""),"FIP Engineering")</f>
        <v>FIP Engineering</v>
      </c>
      <c r="O212" s="6" t="str">
        <f>IFERROR(__xludf.DUMMYFUNCTION("""COMPUTED_VALUE"""),"FIP-DOM-ENG-51502-0000000-INA-000000")</f>
        <v>FIP-DOM-ENG-51502-0000000-INA-000000</v>
      </c>
      <c r="P212" s="6" t="str">
        <f>IFERROR(__xludf.DUMMYFUNCTION("""COMPUTED_VALUE"""),"PO Closed")</f>
        <v>PO Closed</v>
      </c>
      <c r="Q212" s="6" t="str">
        <f>IFERROR(__xludf.DUMMYFUNCTION("""COMPUTED_VALUE"""),"GL1805037")</f>
        <v>GL1805037</v>
      </c>
      <c r="R212" s="16">
        <f>IFERROR(__xludf.DUMMYFUNCTION("""COMPUTED_VALUE"""),43237.0)</f>
        <v>43237</v>
      </c>
      <c r="S212" s="6" t="str">
        <f>IFERROR(__xludf.DUMMYFUNCTION("""COMPUTED_VALUE"""),"-")</f>
        <v>-</v>
      </c>
      <c r="T212" s="13">
        <f>IFERROR(__xludf.DUMMYFUNCTION("""COMPUTED_VALUE"""),43251.0)</f>
        <v>43251</v>
      </c>
    </row>
    <row r="213">
      <c r="A213" s="6" t="str">
        <f>IFERROR(__xludf.DUMMYFUNCTION("""COMPUTED_VALUE"""),"181750144-17")</f>
        <v>181750144-17</v>
      </c>
      <c r="B213" s="6" t="str">
        <f>IFERROR(__xludf.DUMMYFUNCTION("""COMPUTED_VALUE"""),"181750144 - Approved")</f>
        <v>181750144 - Approved</v>
      </c>
      <c r="C213" s="6">
        <f>IFERROR(__xludf.DUMMYFUNCTION("""COMPUTED_VALUE"""),17.0)</f>
        <v>17</v>
      </c>
      <c r="D213" s="6" t="str">
        <f>IFERROR(__xludf.DUMMYFUNCTION("""COMPUTED_VALUE"""),"O-51755-00")</f>
        <v>O-51755-00</v>
      </c>
      <c r="E213" s="6" t="str">
        <f>IFERROR(__xludf.DUMMYFUNCTION("""COMPUTED_VALUE"""),"Connector VGA male plug breakout terminal connector 15 Pin Socket VGA; ; ;")</f>
        <v>Connector VGA male plug breakout terminal connector 15 Pin Socket VGA; ; ;</v>
      </c>
      <c r="F213" s="6">
        <f>IFERROR(__xludf.DUMMYFUNCTION("""COMPUTED_VALUE"""),4.0)</f>
        <v>4</v>
      </c>
      <c r="G213" s="6" t="str">
        <f>IFERROR(__xludf.DUMMYFUNCTION("""COMPUTED_VALUE"""),"Pieces")</f>
        <v>Pieces</v>
      </c>
      <c r="H213" s="6" t="str">
        <f>IFERROR(__xludf.DUMMYFUNCTION("""COMPUTED_VALUE"""),"IDR")</f>
        <v>IDR</v>
      </c>
      <c r="I213" s="11">
        <f>IFERROR(__xludf.DUMMYFUNCTION("""COMPUTED_VALUE"""),20000.0)</f>
        <v>20000</v>
      </c>
      <c r="J213" s="11">
        <f>IFERROR(__xludf.DUMMYFUNCTION("""COMPUTED_VALUE"""),80000.0)</f>
        <v>80000</v>
      </c>
      <c r="K213" s="17">
        <f>IFERROR(__xludf.DUMMYFUNCTION("""COMPUTED_VALUE"""),43252.0)</f>
        <v>43252</v>
      </c>
      <c r="L213" s="6" t="str">
        <f>IFERROR(__xludf.DUMMYFUNCTION("""COMPUTED_VALUE"""),"FIP General")</f>
        <v>FIP General</v>
      </c>
      <c r="M213" s="6" t="str">
        <f>IFERROR(__xludf.DUMMYFUNCTION("""COMPUTED_VALUE"""),"Joko Nugroho")</f>
        <v>Joko Nugroho</v>
      </c>
      <c r="N213" s="6" t="str">
        <f>IFERROR(__xludf.DUMMYFUNCTION("""COMPUTED_VALUE"""),"FIP Engineering")</f>
        <v>FIP Engineering</v>
      </c>
      <c r="O213" s="6" t="str">
        <f>IFERROR(__xludf.DUMMYFUNCTION("""COMPUTED_VALUE"""),"FIP-DOM-ENG-51404-0000000-INA-000000")</f>
        <v>FIP-DOM-ENG-51404-0000000-INA-000000</v>
      </c>
      <c r="P213" s="6" t="str">
        <f>IFERROR(__xludf.DUMMYFUNCTION("""COMPUTED_VALUE"""),"PO Closed")</f>
        <v>PO Closed</v>
      </c>
      <c r="Q213" s="6" t="str">
        <f>IFERROR(__xludf.DUMMYFUNCTION("""COMPUTED_VALUE"""),"GL1806005")</f>
        <v>GL1806005</v>
      </c>
      <c r="R213" s="16">
        <f>IFERROR(__xludf.DUMMYFUNCTION("""COMPUTED_VALUE"""),43237.0)</f>
        <v>43237</v>
      </c>
      <c r="S213" s="6" t="str">
        <f>IFERROR(__xludf.DUMMYFUNCTION("""COMPUTED_VALUE"""),"-")</f>
        <v>-</v>
      </c>
      <c r="T213" s="13">
        <f>IFERROR(__xludf.DUMMYFUNCTION("""COMPUTED_VALUE"""),43256.0)</f>
        <v>43256</v>
      </c>
    </row>
    <row r="214">
      <c r="A214" s="6" t="str">
        <f>IFERROR(__xludf.DUMMYFUNCTION("""COMPUTED_VALUE"""),"181750144-17")</f>
        <v>181750144-17</v>
      </c>
      <c r="B214" s="6" t="str">
        <f>IFERROR(__xludf.DUMMYFUNCTION("""COMPUTED_VALUE"""),"181750144 - Approved")</f>
        <v>181750144 - Approved</v>
      </c>
      <c r="C214" s="6">
        <f>IFERROR(__xludf.DUMMYFUNCTION("""COMPUTED_VALUE"""),17.0)</f>
        <v>17</v>
      </c>
      <c r="D214" s="6" t="str">
        <f>IFERROR(__xludf.DUMMYFUNCTION("""COMPUTED_VALUE"""),"P-12943-00")</f>
        <v>P-12943-00</v>
      </c>
      <c r="E214" s="6" t="str">
        <f>IFERROR(__xludf.DUMMYFUNCTION("""COMPUTED_VALUE"""),"Water Mur PVC dia 1/2inch")</f>
        <v>Water Mur PVC dia 1/2inch</v>
      </c>
      <c r="F214" s="6">
        <f>IFERROR(__xludf.DUMMYFUNCTION("""COMPUTED_VALUE"""),1.0)</f>
        <v>1</v>
      </c>
      <c r="G214" s="6" t="str">
        <f>IFERROR(__xludf.DUMMYFUNCTION("""COMPUTED_VALUE"""),"Pieces")</f>
        <v>Pieces</v>
      </c>
      <c r="H214" s="6" t="str">
        <f>IFERROR(__xludf.DUMMYFUNCTION("""COMPUTED_VALUE"""),"IDR")</f>
        <v>IDR</v>
      </c>
      <c r="I214" s="11">
        <f>IFERROR(__xludf.DUMMYFUNCTION("""COMPUTED_VALUE"""),25000.0)</f>
        <v>25000</v>
      </c>
      <c r="J214" s="11">
        <f>IFERROR(__xludf.DUMMYFUNCTION("""COMPUTED_VALUE"""),25000.0)</f>
        <v>25000</v>
      </c>
      <c r="K214" s="13">
        <f>IFERROR(__xludf.DUMMYFUNCTION("""COMPUTED_VALUE"""),43252.0)</f>
        <v>43252</v>
      </c>
      <c r="L214" s="6" t="str">
        <f>IFERROR(__xludf.DUMMYFUNCTION("""COMPUTED_VALUE"""),"FIP Engineering")</f>
        <v>FIP Engineering</v>
      </c>
      <c r="M214" s="6" t="str">
        <f>IFERROR(__xludf.DUMMYFUNCTION("""COMPUTED_VALUE"""),"Joko Nugroho")</f>
        <v>Joko Nugroho</v>
      </c>
      <c r="N214" s="6" t="str">
        <f>IFERROR(__xludf.DUMMYFUNCTION("""COMPUTED_VALUE"""),"FIP Engineering")</f>
        <v>FIP Engineering</v>
      </c>
      <c r="O214" s="6" t="str">
        <f>IFERROR(__xludf.DUMMYFUNCTION("""COMPUTED_VALUE"""),"FIP-DOM-000-11304-OS00001-INA-000000")</f>
        <v>FIP-DOM-000-11304-OS00001-INA-000000</v>
      </c>
      <c r="P214" s="6" t="str">
        <f>IFERROR(__xludf.DUMMYFUNCTION("""COMPUTED_VALUE"""),"PO Closed")</f>
        <v>PO Closed</v>
      </c>
      <c r="Q214" s="6" t="str">
        <f>IFERROR(__xludf.DUMMYFUNCTION("""COMPUTED_VALUE"""),"GL1806005")</f>
        <v>GL1806005</v>
      </c>
      <c r="R214" s="16">
        <f>IFERROR(__xludf.DUMMYFUNCTION("""COMPUTED_VALUE"""),43241.0)</f>
        <v>43241</v>
      </c>
      <c r="S214" s="6" t="str">
        <f>IFERROR(__xludf.DUMMYFUNCTION("""COMPUTED_VALUE"""),"-")</f>
        <v>-</v>
      </c>
      <c r="T214" s="13">
        <f>IFERROR(__xludf.DUMMYFUNCTION("""COMPUTED_VALUE"""),43256.0)</f>
        <v>43256</v>
      </c>
    </row>
    <row r="215">
      <c r="A215" s="6" t="str">
        <f>IFERROR(__xludf.DUMMYFUNCTION("""COMPUTED_VALUE"""),"181750184-1")</f>
        <v>181750184-1</v>
      </c>
      <c r="B215" s="6" t="str">
        <f>IFERROR(__xludf.DUMMYFUNCTION("""COMPUTED_VALUE"""),"181750184 - Approved")</f>
        <v>181750184 - Approved</v>
      </c>
      <c r="C215" s="6">
        <f>IFERROR(__xludf.DUMMYFUNCTION("""COMPUTED_VALUE"""),1.0)</f>
        <v>1</v>
      </c>
      <c r="D215" s="6" t="str">
        <f>IFERROR(__xludf.DUMMYFUNCTION("""COMPUTED_VALUE"""),"P-14906-00")</f>
        <v>P-14906-00</v>
      </c>
      <c r="E215" s="6" t="str">
        <f>IFERROR(__xludf.DUMMYFUNCTION("""COMPUTED_VALUE"""),"UV Sensor Housing Hanovia UV System; HANOVIA; p/n 270264043;")</f>
        <v>UV Sensor Housing Hanovia UV System; HANOVIA; p/n 270264043;</v>
      </c>
      <c r="F215" s="6">
        <f>IFERROR(__xludf.DUMMYFUNCTION("""COMPUTED_VALUE"""),1.0)</f>
        <v>1</v>
      </c>
      <c r="G215" s="6" t="str">
        <f>IFERROR(__xludf.DUMMYFUNCTION("""COMPUTED_VALUE"""),"Unit")</f>
        <v>Unit</v>
      </c>
      <c r="H215" s="6" t="str">
        <f>IFERROR(__xludf.DUMMYFUNCTION("""COMPUTED_VALUE"""),"IDR")</f>
        <v>IDR</v>
      </c>
      <c r="I215" s="11">
        <f>IFERROR(__xludf.DUMMYFUNCTION("""COMPUTED_VALUE"""),8100000.0)</f>
        <v>8100000</v>
      </c>
      <c r="J215" s="11">
        <f>IFERROR(__xludf.DUMMYFUNCTION("""COMPUTED_VALUE"""),8100000.0)</f>
        <v>8100000</v>
      </c>
      <c r="K215" s="13">
        <f>IFERROR(__xludf.DUMMYFUNCTION("""COMPUTED_VALUE"""),43283.0)</f>
        <v>43283</v>
      </c>
      <c r="L215" s="6" t="str">
        <f>IFERROR(__xludf.DUMMYFUNCTION("""COMPUTED_VALUE"""),"FIP Engineering")</f>
        <v>FIP Engineering</v>
      </c>
      <c r="M215" s="6" t="str">
        <f>IFERROR(__xludf.DUMMYFUNCTION("""COMPUTED_VALUE"""),"Joko Nugroho")</f>
        <v>Joko Nugroho</v>
      </c>
      <c r="N215" s="6" t="str">
        <f>IFERROR(__xludf.DUMMYFUNCTION("""COMPUTED_VALUE"""),"FIP Engineering")</f>
        <v>FIP Engineering</v>
      </c>
      <c r="O215" s="6" t="str">
        <f>IFERROR(__xludf.DUMMYFUNCTION("""COMPUTED_VALUE"""),"FIP-DOM-000-11304-OS00001-INA-000000")</f>
        <v>FIP-DOM-000-11304-OS00001-INA-000000</v>
      </c>
      <c r="P215" s="6" t="str">
        <f>IFERROR(__xludf.DUMMYFUNCTION("""COMPUTED_VALUE"""),"PO Closed")</f>
        <v>PO Closed</v>
      </c>
      <c r="Q215" s="6" t="str">
        <f>IFERROR(__xludf.DUMMYFUNCTION("""COMPUTED_VALUE"""),"GL1806052")</f>
        <v>GL1806052</v>
      </c>
      <c r="R215" s="16">
        <f>IFERROR(__xludf.DUMMYFUNCTION("""COMPUTED_VALUE"""),43242.0)</f>
        <v>43242</v>
      </c>
      <c r="S215" s="6" t="str">
        <f>IFERROR(__xludf.DUMMYFUNCTION("""COMPUTED_VALUE"""),"-")</f>
        <v>-</v>
      </c>
      <c r="T215" s="13">
        <f>IFERROR(__xludf.DUMMYFUNCTION("""COMPUTED_VALUE"""),43384.0)</f>
        <v>43384</v>
      </c>
    </row>
    <row r="216">
      <c r="A216" s="6" t="str">
        <f>IFERROR(__xludf.DUMMYFUNCTION("""COMPUTED_VALUE"""),"181750183-2")</f>
        <v>181750183-2</v>
      </c>
      <c r="B216" s="6" t="str">
        <f>IFERROR(__xludf.DUMMYFUNCTION("""COMPUTED_VALUE"""),"181750183 - Approved")</f>
        <v>181750183 - Approved</v>
      </c>
      <c r="C216" s="6">
        <f>IFERROR(__xludf.DUMMYFUNCTION("""COMPUTED_VALUE"""),2.0)</f>
        <v>2</v>
      </c>
      <c r="D216" s="6" t="str">
        <f>IFERROR(__xludf.DUMMYFUNCTION("""COMPUTED_VALUE"""),"Q-10152-00")</f>
        <v>Q-10152-00</v>
      </c>
      <c r="E216" s="6" t="str">
        <f>IFERROR(__xludf.DUMMYFUNCTION("""COMPUTED_VALUE"""),"Kuas roller set")</f>
        <v>Kuas roller set</v>
      </c>
      <c r="F216" s="6">
        <f>IFERROR(__xludf.DUMMYFUNCTION("""COMPUTED_VALUE"""),5.0)</f>
        <v>5</v>
      </c>
      <c r="G216" s="6" t="str">
        <f>IFERROR(__xludf.DUMMYFUNCTION("""COMPUTED_VALUE"""),"Pieces")</f>
        <v>Pieces</v>
      </c>
      <c r="H216" s="6" t="str">
        <f>IFERROR(__xludf.DUMMYFUNCTION("""COMPUTED_VALUE"""),"IDR")</f>
        <v>IDR</v>
      </c>
      <c r="I216" s="11">
        <f>IFERROR(__xludf.DUMMYFUNCTION("""COMPUTED_VALUE"""),25000.0)</f>
        <v>25000</v>
      </c>
      <c r="J216" s="11">
        <f>IFERROR(__xludf.DUMMYFUNCTION("""COMPUTED_VALUE"""),125000.0)</f>
        <v>125000</v>
      </c>
      <c r="K216" s="13">
        <f>IFERROR(__xludf.DUMMYFUNCTION("""COMPUTED_VALUE"""),43283.0)</f>
        <v>43283</v>
      </c>
      <c r="L216" s="6" t="str">
        <f>IFERROR(__xludf.DUMMYFUNCTION("""COMPUTED_VALUE"""),"FIP General")</f>
        <v>FIP General</v>
      </c>
      <c r="M216" s="6" t="str">
        <f>IFERROR(__xludf.DUMMYFUNCTION("""COMPUTED_VALUE"""),"Joko Nugroho")</f>
        <v>Joko Nugroho</v>
      </c>
      <c r="N216" s="6" t="str">
        <f>IFERROR(__xludf.DUMMYFUNCTION("""COMPUTED_VALUE"""),"FIP Engineering")</f>
        <v>FIP Engineering</v>
      </c>
      <c r="O216" s="6" t="str">
        <f>IFERROR(__xludf.DUMMYFUNCTION("""COMPUTED_VALUE"""),"FIP-DOM-ENG-51502-0000000-INA-000000")</f>
        <v>FIP-DOM-ENG-51502-0000000-INA-000000</v>
      </c>
      <c r="P216" s="6" t="str">
        <f>IFERROR(__xludf.DUMMYFUNCTION("""COMPUTED_VALUE"""),"PO Closed")</f>
        <v>PO Closed</v>
      </c>
      <c r="Q216" s="6" t="str">
        <f>IFERROR(__xludf.DUMMYFUNCTION("""COMPUTED_VALUE"""),"GL1806050")</f>
        <v>GL1806050</v>
      </c>
      <c r="R216" s="16">
        <f>IFERROR(__xludf.DUMMYFUNCTION("""COMPUTED_VALUE"""),43242.0)</f>
        <v>43242</v>
      </c>
      <c r="S216" s="6" t="str">
        <f>IFERROR(__xludf.DUMMYFUNCTION("""COMPUTED_VALUE"""),"-")</f>
        <v>-</v>
      </c>
      <c r="T216" s="17">
        <f>IFERROR(__xludf.DUMMYFUNCTION("""COMPUTED_VALUE"""),43286.0)</f>
        <v>43286</v>
      </c>
    </row>
    <row r="217">
      <c r="A217" s="6" t="str">
        <f>IFERROR(__xludf.DUMMYFUNCTION("""COMPUTED_VALUE"""),"181750183-3")</f>
        <v>181750183-3</v>
      </c>
      <c r="B217" s="6" t="str">
        <f>IFERROR(__xludf.DUMMYFUNCTION("""COMPUTED_VALUE"""),"181750183 - Approved")</f>
        <v>181750183 - Approved</v>
      </c>
      <c r="C217" s="6">
        <f>IFERROR(__xludf.DUMMYFUNCTION("""COMPUTED_VALUE"""),3.0)</f>
        <v>3</v>
      </c>
      <c r="D217" s="6" t="str">
        <f>IFERROR(__xludf.DUMMYFUNCTION("""COMPUTED_VALUE"""),"Q-10152-00")</f>
        <v>Q-10152-00</v>
      </c>
      <c r="E217" s="6" t="str">
        <f>IFERROR(__xludf.DUMMYFUNCTION("""COMPUTED_VALUE"""),"Kuas roller set")</f>
        <v>Kuas roller set</v>
      </c>
      <c r="F217" s="6">
        <f>IFERROR(__xludf.DUMMYFUNCTION("""COMPUTED_VALUE"""),5.0)</f>
        <v>5</v>
      </c>
      <c r="G217" s="6" t="str">
        <f>IFERROR(__xludf.DUMMYFUNCTION("""COMPUTED_VALUE"""),"Pieces")</f>
        <v>Pieces</v>
      </c>
      <c r="H217" s="6" t="str">
        <f>IFERROR(__xludf.DUMMYFUNCTION("""COMPUTED_VALUE"""),"IDR")</f>
        <v>IDR</v>
      </c>
      <c r="I217" s="11">
        <f>IFERROR(__xludf.DUMMYFUNCTION("""COMPUTED_VALUE"""),45000.0)</f>
        <v>45000</v>
      </c>
      <c r="J217" s="11">
        <f>IFERROR(__xludf.DUMMYFUNCTION("""COMPUTED_VALUE"""),225000.0)</f>
        <v>225000</v>
      </c>
      <c r="K217" s="13">
        <f>IFERROR(__xludf.DUMMYFUNCTION("""COMPUTED_VALUE"""),43283.0)</f>
        <v>43283</v>
      </c>
      <c r="L217" s="6" t="str">
        <f>IFERROR(__xludf.DUMMYFUNCTION("""COMPUTED_VALUE"""),"FIP General")</f>
        <v>FIP General</v>
      </c>
      <c r="M217" s="6" t="str">
        <f>IFERROR(__xludf.DUMMYFUNCTION("""COMPUTED_VALUE"""),"Joko Nugroho")</f>
        <v>Joko Nugroho</v>
      </c>
      <c r="N217" s="6" t="str">
        <f>IFERROR(__xludf.DUMMYFUNCTION("""COMPUTED_VALUE"""),"FIP Engineering")</f>
        <v>FIP Engineering</v>
      </c>
      <c r="O217" s="6" t="str">
        <f>IFERROR(__xludf.DUMMYFUNCTION("""COMPUTED_VALUE"""),"FIP-DOM-ENG-51502-0000000-INA-000000")</f>
        <v>FIP-DOM-ENG-51502-0000000-INA-000000</v>
      </c>
      <c r="P217" s="6" t="str">
        <f>IFERROR(__xludf.DUMMYFUNCTION("""COMPUTED_VALUE"""),"PO Closed")</f>
        <v>PO Closed</v>
      </c>
      <c r="Q217" s="6" t="str">
        <f>IFERROR(__xludf.DUMMYFUNCTION("""COMPUTED_VALUE"""),"GL1806050")</f>
        <v>GL1806050</v>
      </c>
      <c r="R217" s="16">
        <f>IFERROR(__xludf.DUMMYFUNCTION("""COMPUTED_VALUE"""),43242.0)</f>
        <v>43242</v>
      </c>
      <c r="S217" s="6" t="str">
        <f>IFERROR(__xludf.DUMMYFUNCTION("""COMPUTED_VALUE"""),"-")</f>
        <v>-</v>
      </c>
      <c r="T217" s="13">
        <f>IFERROR(__xludf.DUMMYFUNCTION("""COMPUTED_VALUE"""),43286.0)</f>
        <v>43286</v>
      </c>
    </row>
    <row r="218">
      <c r="A218" s="6" t="str">
        <f>IFERROR(__xludf.DUMMYFUNCTION("""COMPUTED_VALUE"""),"181750190-1")</f>
        <v>181750190-1</v>
      </c>
      <c r="B218" s="6" t="str">
        <f>IFERROR(__xludf.DUMMYFUNCTION("""COMPUTED_VALUE"""),"181750190 - Approved")</f>
        <v>181750190 - Approved</v>
      </c>
      <c r="C218" s="6">
        <f>IFERROR(__xludf.DUMMYFUNCTION("""COMPUTED_VALUE"""),1.0)</f>
        <v>1</v>
      </c>
      <c r="D218" s="6" t="str">
        <f>IFERROR(__xludf.DUMMYFUNCTION("""COMPUTED_VALUE"""),"S-60002-00")</f>
        <v>S-60002-00</v>
      </c>
      <c r="E218" s="6" t="str">
        <f>IFERROR(__xludf.DUMMYFUNCTION("""COMPUTED_VALUE"""),"Pekerjaan Persiapan : Mob &amp; Demob")</f>
        <v>Pekerjaan Persiapan : Mob &amp; Demob</v>
      </c>
      <c r="F218" s="6">
        <f>IFERROR(__xludf.DUMMYFUNCTION("""COMPUTED_VALUE"""),1.0)</f>
        <v>1</v>
      </c>
      <c r="G218" s="6" t="str">
        <f>IFERROR(__xludf.DUMMYFUNCTION("""COMPUTED_VALUE"""),"Lot")</f>
        <v>Lot</v>
      </c>
      <c r="H218" s="6" t="str">
        <f>IFERROR(__xludf.DUMMYFUNCTION("""COMPUTED_VALUE"""),"IDR")</f>
        <v>IDR</v>
      </c>
      <c r="I218" s="11">
        <f>IFERROR(__xludf.DUMMYFUNCTION("""COMPUTED_VALUE"""),3237500.0)</f>
        <v>3237500</v>
      </c>
      <c r="J218" s="11">
        <f>IFERROR(__xludf.DUMMYFUNCTION("""COMPUTED_VALUE"""),3237500.0)</f>
        <v>3237500</v>
      </c>
      <c r="K218" s="13">
        <f>IFERROR(__xludf.DUMMYFUNCTION("""COMPUTED_VALUE"""),43249.0)</f>
        <v>43249</v>
      </c>
      <c r="L218" s="6" t="str">
        <f>IFERROR(__xludf.DUMMYFUNCTION("""COMPUTED_VALUE"""),"FIP General")</f>
        <v>FIP General</v>
      </c>
      <c r="M218" s="6" t="str">
        <f>IFERROR(__xludf.DUMMYFUNCTION("""COMPUTED_VALUE"""),"Joko Nugroho")</f>
        <v>Joko Nugroho</v>
      </c>
      <c r="N218" s="6" t="str">
        <f>IFERROR(__xludf.DUMMYFUNCTION("""COMPUTED_VALUE"""),"FIP Engineering")</f>
        <v>FIP Engineering</v>
      </c>
      <c r="O218" s="6" t="str">
        <f>IFERROR(__xludf.DUMMYFUNCTION("""COMPUTED_VALUE"""),"FIP-DOM-ENG-51508-0000000-INA-000000")</f>
        <v>FIP-DOM-ENG-51508-0000000-INA-000000</v>
      </c>
      <c r="P218" s="6" t="str">
        <f>IFERROR(__xludf.DUMMYFUNCTION("""COMPUTED_VALUE"""),"PO Closed")</f>
        <v>PO Closed</v>
      </c>
      <c r="Q218" s="6" t="str">
        <f>IFERROR(__xludf.DUMMYFUNCTION("""COMPUTED_VALUE"""),"GL1805048")</f>
        <v>GL1805048</v>
      </c>
      <c r="R218" s="16">
        <f>IFERROR(__xludf.DUMMYFUNCTION("""COMPUTED_VALUE"""),43243.0)</f>
        <v>43243</v>
      </c>
      <c r="S218" s="6" t="str">
        <f>IFERROR(__xludf.DUMMYFUNCTION("""COMPUTED_VALUE"""),"-")</f>
        <v>-</v>
      </c>
      <c r="T218" s="17">
        <f>IFERROR(__xludf.DUMMYFUNCTION("""COMPUTED_VALUE"""),43404.0)</f>
        <v>43404</v>
      </c>
    </row>
    <row r="219">
      <c r="A219" s="6" t="str">
        <f>IFERROR(__xludf.DUMMYFUNCTION("""COMPUTED_VALUE"""),"181750190-2")</f>
        <v>181750190-2</v>
      </c>
      <c r="B219" s="6" t="str">
        <f>IFERROR(__xludf.DUMMYFUNCTION("""COMPUTED_VALUE"""),"181750190 - Approved")</f>
        <v>181750190 - Approved</v>
      </c>
      <c r="C219" s="6">
        <f>IFERROR(__xludf.DUMMYFUNCTION("""COMPUTED_VALUE"""),2.0)</f>
        <v>2</v>
      </c>
      <c r="D219" s="6" t="str">
        <f>IFERROR(__xludf.DUMMYFUNCTION("""COMPUTED_VALUE"""),"S-60002-00")</f>
        <v>S-60002-00</v>
      </c>
      <c r="E219" s="6" t="str">
        <f>IFERROR(__xludf.DUMMYFUNCTION("""COMPUTED_VALUE"""),"Pengelupasan cat lama pintu")</f>
        <v>Pengelupasan cat lama pintu</v>
      </c>
      <c r="F219" s="6">
        <f>IFERROR(__xludf.DUMMYFUNCTION("""COMPUTED_VALUE"""),3.0)</f>
        <v>3</v>
      </c>
      <c r="G219" s="6" t="str">
        <f>IFERROR(__xludf.DUMMYFUNCTION("""COMPUTED_VALUE"""),"Lot")</f>
        <v>Lot</v>
      </c>
      <c r="H219" s="6" t="str">
        <f>IFERROR(__xludf.DUMMYFUNCTION("""COMPUTED_VALUE"""),"IDR")</f>
        <v>IDR</v>
      </c>
      <c r="I219" s="11">
        <f>IFERROR(__xludf.DUMMYFUNCTION("""COMPUTED_VALUE"""),291375.0)</f>
        <v>291375</v>
      </c>
      <c r="J219" s="11">
        <f>IFERROR(__xludf.DUMMYFUNCTION("""COMPUTED_VALUE"""),874125.0)</f>
        <v>874125</v>
      </c>
      <c r="K219" s="13">
        <f>IFERROR(__xludf.DUMMYFUNCTION("""COMPUTED_VALUE"""),43249.0)</f>
        <v>43249</v>
      </c>
      <c r="L219" s="6" t="str">
        <f>IFERROR(__xludf.DUMMYFUNCTION("""COMPUTED_VALUE"""),"FIP General")</f>
        <v>FIP General</v>
      </c>
      <c r="M219" s="6" t="str">
        <f>IFERROR(__xludf.DUMMYFUNCTION("""COMPUTED_VALUE"""),"Joko Nugroho")</f>
        <v>Joko Nugroho</v>
      </c>
      <c r="N219" s="6" t="str">
        <f>IFERROR(__xludf.DUMMYFUNCTION("""COMPUTED_VALUE"""),"FIP Engineering")</f>
        <v>FIP Engineering</v>
      </c>
      <c r="O219" s="6" t="str">
        <f>IFERROR(__xludf.DUMMYFUNCTION("""COMPUTED_VALUE"""),"FIP-DOM-ENG-51508-0000000-INA-000000")</f>
        <v>FIP-DOM-ENG-51508-0000000-INA-000000</v>
      </c>
      <c r="P219" s="6" t="str">
        <f>IFERROR(__xludf.DUMMYFUNCTION("""COMPUTED_VALUE"""),"PO Closed")</f>
        <v>PO Closed</v>
      </c>
      <c r="Q219" s="6" t="str">
        <f>IFERROR(__xludf.DUMMYFUNCTION("""COMPUTED_VALUE"""),"GL1805048")</f>
        <v>GL1805048</v>
      </c>
      <c r="R219" s="16">
        <f>IFERROR(__xludf.DUMMYFUNCTION("""COMPUTED_VALUE"""),43243.0)</f>
        <v>43243</v>
      </c>
      <c r="S219" s="6" t="str">
        <f>IFERROR(__xludf.DUMMYFUNCTION("""COMPUTED_VALUE"""),"-")</f>
        <v>-</v>
      </c>
      <c r="T219" s="13">
        <f>IFERROR(__xludf.DUMMYFUNCTION("""COMPUTED_VALUE"""),43404.0)</f>
        <v>43404</v>
      </c>
    </row>
    <row r="220">
      <c r="A220" s="6" t="str">
        <f>IFERROR(__xludf.DUMMYFUNCTION("""COMPUTED_VALUE"""),"181750190-3")</f>
        <v>181750190-3</v>
      </c>
      <c r="B220" s="6" t="str">
        <f>IFERROR(__xludf.DUMMYFUNCTION("""COMPUTED_VALUE"""),"181750190 - Approved")</f>
        <v>181750190 - Approved</v>
      </c>
      <c r="C220" s="6">
        <f>IFERROR(__xludf.DUMMYFUNCTION("""COMPUTED_VALUE"""),3.0)</f>
        <v>3</v>
      </c>
      <c r="D220" s="6" t="str">
        <f>IFERROR(__xludf.DUMMYFUNCTION("""COMPUTED_VALUE"""),"S-60002-00")</f>
        <v>S-60002-00</v>
      </c>
      <c r="E220" s="6" t="str">
        <f>IFERROR(__xludf.DUMMYFUNCTION("""COMPUTED_VALUE"""),"Pengecatan daun pintu cat PU Syntetic")</f>
        <v>Pengecatan daun pintu cat PU Syntetic</v>
      </c>
      <c r="F220" s="6">
        <f>IFERROR(__xludf.DUMMYFUNCTION("""COMPUTED_VALUE"""),3.0)</f>
        <v>3</v>
      </c>
      <c r="G220" s="6" t="str">
        <f>IFERROR(__xludf.DUMMYFUNCTION("""COMPUTED_VALUE"""),"Lot")</f>
        <v>Lot</v>
      </c>
      <c r="H220" s="6" t="str">
        <f>IFERROR(__xludf.DUMMYFUNCTION("""COMPUTED_VALUE"""),"IDR")</f>
        <v>IDR</v>
      </c>
      <c r="I220" s="11">
        <f>IFERROR(__xludf.DUMMYFUNCTION("""COMPUTED_VALUE"""),830650.0)</f>
        <v>830650</v>
      </c>
      <c r="J220" s="11">
        <f>IFERROR(__xludf.DUMMYFUNCTION("""COMPUTED_VALUE"""),2491950.0)</f>
        <v>2491950</v>
      </c>
      <c r="K220" s="17">
        <f>IFERROR(__xludf.DUMMYFUNCTION("""COMPUTED_VALUE"""),43249.0)</f>
        <v>43249</v>
      </c>
      <c r="L220" s="6" t="str">
        <f>IFERROR(__xludf.DUMMYFUNCTION("""COMPUTED_VALUE"""),"FIP General")</f>
        <v>FIP General</v>
      </c>
      <c r="M220" s="6" t="str">
        <f>IFERROR(__xludf.DUMMYFUNCTION("""COMPUTED_VALUE"""),"Joko Nugroho")</f>
        <v>Joko Nugroho</v>
      </c>
      <c r="N220" s="6" t="str">
        <f>IFERROR(__xludf.DUMMYFUNCTION("""COMPUTED_VALUE"""),"FIP Engineering")</f>
        <v>FIP Engineering</v>
      </c>
      <c r="O220" s="6" t="str">
        <f>IFERROR(__xludf.DUMMYFUNCTION("""COMPUTED_VALUE"""),"FIP-DOM-ENG-51508-0000000-INA-000000")</f>
        <v>FIP-DOM-ENG-51508-0000000-INA-000000</v>
      </c>
      <c r="P220" s="6" t="str">
        <f>IFERROR(__xludf.DUMMYFUNCTION("""COMPUTED_VALUE"""),"PO Closed")</f>
        <v>PO Closed</v>
      </c>
      <c r="Q220" s="6" t="str">
        <f>IFERROR(__xludf.DUMMYFUNCTION("""COMPUTED_VALUE"""),"GL1805048")</f>
        <v>GL1805048</v>
      </c>
      <c r="R220" s="16">
        <f>IFERROR(__xludf.DUMMYFUNCTION("""COMPUTED_VALUE"""),43243.0)</f>
        <v>43243</v>
      </c>
      <c r="S220" s="6" t="str">
        <f>IFERROR(__xludf.DUMMYFUNCTION("""COMPUTED_VALUE"""),"-")</f>
        <v>-</v>
      </c>
      <c r="T220" s="13">
        <f>IFERROR(__xludf.DUMMYFUNCTION("""COMPUTED_VALUE"""),43404.0)</f>
        <v>43404</v>
      </c>
    </row>
    <row r="221">
      <c r="A221" s="6" t="str">
        <f>IFERROR(__xludf.DUMMYFUNCTION("""COMPUTED_VALUE"""),"181750190-4")</f>
        <v>181750190-4</v>
      </c>
      <c r="B221" s="6" t="str">
        <f>IFERROR(__xludf.DUMMYFUNCTION("""COMPUTED_VALUE"""),"181750190 - Approved")</f>
        <v>181750190 - Approved</v>
      </c>
      <c r="C221" s="6">
        <f>IFERROR(__xludf.DUMMYFUNCTION("""COMPUTED_VALUE"""),4.0)</f>
        <v>4</v>
      </c>
      <c r="D221" s="6" t="str">
        <f>IFERROR(__xludf.DUMMYFUNCTION("""COMPUTED_VALUE"""),"S-60002-00")</f>
        <v>S-60002-00</v>
      </c>
      <c r="E221" s="6" t="str">
        <f>IFERROR(__xludf.DUMMYFUNCTION("""COMPUTED_VALUE"""),"Perbaikan dan Pembuatan Kurcing baru")</f>
        <v>Perbaikan dan Pembuatan Kurcing baru</v>
      </c>
      <c r="F221" s="6">
        <f>IFERROR(__xludf.DUMMYFUNCTION("""COMPUTED_VALUE"""),1.0)</f>
        <v>1</v>
      </c>
      <c r="G221" s="6" t="str">
        <f>IFERROR(__xludf.DUMMYFUNCTION("""COMPUTED_VALUE"""),"Lot")</f>
        <v>Lot</v>
      </c>
      <c r="H221" s="6" t="str">
        <f>IFERROR(__xludf.DUMMYFUNCTION("""COMPUTED_VALUE"""),"IDR")</f>
        <v>IDR</v>
      </c>
      <c r="I221" s="11">
        <f>IFERROR(__xludf.DUMMYFUNCTION("""COMPUTED_VALUE"""),786250.0)</f>
        <v>786250</v>
      </c>
      <c r="J221" s="11">
        <f>IFERROR(__xludf.DUMMYFUNCTION("""COMPUTED_VALUE"""),786250.0)</f>
        <v>786250</v>
      </c>
      <c r="K221" s="17">
        <f>IFERROR(__xludf.DUMMYFUNCTION("""COMPUTED_VALUE"""),43249.0)</f>
        <v>43249</v>
      </c>
      <c r="L221" s="6" t="str">
        <f>IFERROR(__xludf.DUMMYFUNCTION("""COMPUTED_VALUE"""),"FIP General")</f>
        <v>FIP General</v>
      </c>
      <c r="M221" s="6" t="str">
        <f>IFERROR(__xludf.DUMMYFUNCTION("""COMPUTED_VALUE"""),"Joko Nugroho")</f>
        <v>Joko Nugroho</v>
      </c>
      <c r="N221" s="6" t="str">
        <f>IFERROR(__xludf.DUMMYFUNCTION("""COMPUTED_VALUE"""),"FIP Engineering")</f>
        <v>FIP Engineering</v>
      </c>
      <c r="O221" s="6" t="str">
        <f>IFERROR(__xludf.DUMMYFUNCTION("""COMPUTED_VALUE"""),"FIP-DOM-ENG-51508-0000000-INA-000000")</f>
        <v>FIP-DOM-ENG-51508-0000000-INA-000000</v>
      </c>
      <c r="P221" s="6" t="str">
        <f>IFERROR(__xludf.DUMMYFUNCTION("""COMPUTED_VALUE"""),"PO Closed")</f>
        <v>PO Closed</v>
      </c>
      <c r="Q221" s="6" t="str">
        <f>IFERROR(__xludf.DUMMYFUNCTION("""COMPUTED_VALUE"""),"GL1805048")</f>
        <v>GL1805048</v>
      </c>
      <c r="R221" s="16">
        <f>IFERROR(__xludf.DUMMYFUNCTION("""COMPUTED_VALUE"""),43243.0)</f>
        <v>43243</v>
      </c>
      <c r="S221" s="6" t="str">
        <f>IFERROR(__xludf.DUMMYFUNCTION("""COMPUTED_VALUE"""),"-")</f>
        <v>-</v>
      </c>
      <c r="T221" s="13">
        <f>IFERROR(__xludf.DUMMYFUNCTION("""COMPUTED_VALUE"""),43404.0)</f>
        <v>43404</v>
      </c>
    </row>
    <row r="222">
      <c r="A222" s="6" t="str">
        <f>IFERROR(__xludf.DUMMYFUNCTION("""COMPUTED_VALUE"""),"181750189-1")</f>
        <v>181750189-1</v>
      </c>
      <c r="B222" s="6" t="str">
        <f>IFERROR(__xludf.DUMMYFUNCTION("""COMPUTED_VALUE"""),"181750189 - Approved")</f>
        <v>181750189 - Approved</v>
      </c>
      <c r="C222" s="6">
        <f>IFERROR(__xludf.DUMMYFUNCTION("""COMPUTED_VALUE"""),1.0)</f>
        <v>1</v>
      </c>
      <c r="D222" s="6" t="str">
        <f>IFERROR(__xludf.DUMMYFUNCTION("""COMPUTED_VALUE"""),"T-20134-00")</f>
        <v>T-20134-00</v>
      </c>
      <c r="E222" s="6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F222" s="6">
        <f>IFERROR(__xludf.DUMMYFUNCTION("""COMPUTED_VALUE"""),2.0)</f>
        <v>2</v>
      </c>
      <c r="G222" s="6" t="str">
        <f>IFERROR(__xludf.DUMMYFUNCTION("""COMPUTED_VALUE"""),"Pieces")</f>
        <v>Pieces</v>
      </c>
      <c r="H222" s="6" t="str">
        <f>IFERROR(__xludf.DUMMYFUNCTION("""COMPUTED_VALUE"""),"IDR")</f>
        <v>IDR</v>
      </c>
      <c r="I222" s="11">
        <f>IFERROR(__xludf.DUMMYFUNCTION("""COMPUTED_VALUE"""),2650000.0)</f>
        <v>2650000</v>
      </c>
      <c r="J222" s="11">
        <f>IFERROR(__xludf.DUMMYFUNCTION("""COMPUTED_VALUE"""),5300000.0)</f>
        <v>5300000</v>
      </c>
      <c r="K222" s="17">
        <f>IFERROR(__xludf.DUMMYFUNCTION("""COMPUTED_VALUE"""),43280.0)</f>
        <v>43280</v>
      </c>
      <c r="L222" s="6" t="str">
        <f>IFERROR(__xludf.DUMMYFUNCTION("""COMPUTED_VALUE"""),"FIP Engineering")</f>
        <v>FIP Engineering</v>
      </c>
      <c r="M222" s="6" t="str">
        <f>IFERROR(__xludf.DUMMYFUNCTION("""COMPUTED_VALUE"""),"Joko Nugroho")</f>
        <v>Joko Nugroho</v>
      </c>
      <c r="N222" s="6" t="str">
        <f>IFERROR(__xludf.DUMMYFUNCTION("""COMPUTED_VALUE"""),"FIP Engineering")</f>
        <v>FIP Engineering</v>
      </c>
      <c r="O222" s="6" t="str">
        <f>IFERROR(__xludf.DUMMYFUNCTION("""COMPUTED_VALUE"""),"FIP-DOM-000-11304-OS00001-INA-000000")</f>
        <v>FIP-DOM-000-11304-OS00001-INA-000000</v>
      </c>
      <c r="P222" s="6" t="str">
        <f>IFERROR(__xludf.DUMMYFUNCTION("""COMPUTED_VALUE"""),"PO Closed")</f>
        <v>PO Closed</v>
      </c>
      <c r="Q222" s="6" t="str">
        <f>IFERROR(__xludf.DUMMYFUNCTION("""COMPUTED_VALUE"""),"GL1808040-IM")</f>
        <v>GL1808040-IM</v>
      </c>
      <c r="R222" s="16">
        <f>IFERROR(__xludf.DUMMYFUNCTION("""COMPUTED_VALUE"""),43243.0)</f>
        <v>43243</v>
      </c>
      <c r="S222" s="6" t="str">
        <f>IFERROR(__xludf.DUMMYFUNCTION("""COMPUTED_VALUE"""),"-")</f>
        <v>-</v>
      </c>
      <c r="T222" s="13">
        <f>IFERROR(__xludf.DUMMYFUNCTION("""COMPUTED_VALUE"""),43280.0)</f>
        <v>43280</v>
      </c>
    </row>
    <row r="223">
      <c r="A223" s="6" t="str">
        <f>IFERROR(__xludf.DUMMYFUNCTION("""COMPUTED_VALUE"""),"181750188-5")</f>
        <v>181750188-5</v>
      </c>
      <c r="B223" s="6" t="str">
        <f>IFERROR(__xludf.DUMMYFUNCTION("""COMPUTED_VALUE"""),"181750188 - Approved")</f>
        <v>181750188 - Approved</v>
      </c>
      <c r="C223" s="6">
        <f>IFERROR(__xludf.DUMMYFUNCTION("""COMPUTED_VALUE"""),5.0)</f>
        <v>5</v>
      </c>
      <c r="D223" s="6" t="str">
        <f>IFERROR(__xludf.DUMMYFUNCTION("""COMPUTED_VALUE"""),"P-51236-00")</f>
        <v>P-51236-00</v>
      </c>
      <c r="E223" s="6" t="str">
        <f>IFERROR(__xludf.DUMMYFUNCTION("""COMPUTED_VALUE"""),"Skun ( I ) pin dia 0.75 mm")</f>
        <v>Skun ( I ) pin dia 0.75 mm</v>
      </c>
      <c r="F223" s="6">
        <f>IFERROR(__xludf.DUMMYFUNCTION("""COMPUTED_VALUE"""),1.0)</f>
        <v>1</v>
      </c>
      <c r="G223" s="6" t="str">
        <f>IFERROR(__xludf.DUMMYFUNCTION("""COMPUTED_VALUE"""),"Pieces")</f>
        <v>Pieces</v>
      </c>
      <c r="H223" s="6" t="str">
        <f>IFERROR(__xludf.DUMMYFUNCTION("""COMPUTED_VALUE"""),"IDR")</f>
        <v>IDR</v>
      </c>
      <c r="I223" s="11">
        <f>IFERROR(__xludf.DUMMYFUNCTION("""COMPUTED_VALUE"""),35000.0)</f>
        <v>35000</v>
      </c>
      <c r="J223" s="11">
        <f>IFERROR(__xludf.DUMMYFUNCTION("""COMPUTED_VALUE"""),35000.0)</f>
        <v>35000</v>
      </c>
      <c r="K223" s="13">
        <f>IFERROR(__xludf.DUMMYFUNCTION("""COMPUTED_VALUE"""),43312.0)</f>
        <v>43312</v>
      </c>
      <c r="L223" s="6" t="str">
        <f>IFERROR(__xludf.DUMMYFUNCTION("""COMPUTED_VALUE"""),"FIP Engineering")</f>
        <v>FIP Engineering</v>
      </c>
      <c r="M223" s="6" t="str">
        <f>IFERROR(__xludf.DUMMYFUNCTION("""COMPUTED_VALUE"""),"Joko Nugroho")</f>
        <v>Joko Nugroho</v>
      </c>
      <c r="N223" s="6" t="str">
        <f>IFERROR(__xludf.DUMMYFUNCTION("""COMPUTED_VALUE"""),"FIP Engineering")</f>
        <v>FIP Engineering</v>
      </c>
      <c r="O223" s="6" t="str">
        <f>IFERROR(__xludf.DUMMYFUNCTION("""COMPUTED_VALUE"""),"FIP-DOM-000-11304-OS00001-INA-000000")</f>
        <v>FIP-DOM-000-11304-OS00001-INA-000000</v>
      </c>
      <c r="P223" s="6" t="str">
        <f>IFERROR(__xludf.DUMMYFUNCTION("""COMPUTED_VALUE"""),"PO Closed")</f>
        <v>PO Closed</v>
      </c>
      <c r="Q223" s="6" t="str">
        <f>IFERROR(__xludf.DUMMYFUNCTION("""COMPUTED_VALUE"""),"GL1807041")</f>
        <v>GL1807041</v>
      </c>
      <c r="R223" s="16">
        <f>IFERROR(__xludf.DUMMYFUNCTION("""COMPUTED_VALUE"""),43243.0)</f>
        <v>43243</v>
      </c>
      <c r="S223" s="6" t="str">
        <f>IFERROR(__xludf.DUMMYFUNCTION("""COMPUTED_VALUE"""),"-")</f>
        <v>-</v>
      </c>
      <c r="T223" s="13">
        <f>IFERROR(__xludf.DUMMYFUNCTION("""COMPUTED_VALUE"""),43307.0)</f>
        <v>43307</v>
      </c>
    </row>
    <row r="224">
      <c r="A224" s="6" t="str">
        <f>IFERROR(__xludf.DUMMYFUNCTION("""COMPUTED_VALUE"""),"181750188-6")</f>
        <v>181750188-6</v>
      </c>
      <c r="B224" s="6" t="str">
        <f>IFERROR(__xludf.DUMMYFUNCTION("""COMPUTED_VALUE"""),"181750188 - Approved")</f>
        <v>181750188 - Approved</v>
      </c>
      <c r="C224" s="6">
        <f>IFERROR(__xludf.DUMMYFUNCTION("""COMPUTED_VALUE"""),6.0)</f>
        <v>6</v>
      </c>
      <c r="D224" s="6" t="str">
        <f>IFERROR(__xludf.DUMMYFUNCTION("""COMPUTED_VALUE"""),"P-16970-00")</f>
        <v>P-16970-00</v>
      </c>
      <c r="E224" s="6" t="str">
        <f>IFERROR(__xludf.DUMMYFUNCTION("""COMPUTED_VALUE"""),"Terminal viking uk. 2,5 mm; ; ;")</f>
        <v>Terminal viking uk. 2,5 mm; ; ;</v>
      </c>
      <c r="F224" s="6">
        <f>IFERROR(__xludf.DUMMYFUNCTION("""COMPUTED_VALUE"""),20.0)</f>
        <v>20</v>
      </c>
      <c r="G224" s="6" t="str">
        <f>IFERROR(__xludf.DUMMYFUNCTION("""COMPUTED_VALUE"""),"Pieces")</f>
        <v>Pieces</v>
      </c>
      <c r="H224" s="6" t="str">
        <f>IFERROR(__xludf.DUMMYFUNCTION("""COMPUTED_VALUE"""),"IDR")</f>
        <v>IDR</v>
      </c>
      <c r="I224" s="11">
        <f>IFERROR(__xludf.DUMMYFUNCTION("""COMPUTED_VALUE"""),5850.0)</f>
        <v>5850</v>
      </c>
      <c r="J224" s="11">
        <f>IFERROR(__xludf.DUMMYFUNCTION("""COMPUTED_VALUE"""),117000.0)</f>
        <v>117000</v>
      </c>
      <c r="K224" s="13">
        <f>IFERROR(__xludf.DUMMYFUNCTION("""COMPUTED_VALUE"""),43312.0)</f>
        <v>43312</v>
      </c>
      <c r="L224" s="6" t="str">
        <f>IFERROR(__xludf.DUMMYFUNCTION("""COMPUTED_VALUE"""),"FIP General")</f>
        <v>FIP General</v>
      </c>
      <c r="M224" s="6" t="str">
        <f>IFERROR(__xludf.DUMMYFUNCTION("""COMPUTED_VALUE"""),"Joko Nugroho")</f>
        <v>Joko Nugroho</v>
      </c>
      <c r="N224" s="6" t="str">
        <f>IFERROR(__xludf.DUMMYFUNCTION("""COMPUTED_VALUE"""),"FIP Engineering")</f>
        <v>FIP Engineering</v>
      </c>
      <c r="O224" s="6" t="str">
        <f>IFERROR(__xludf.DUMMYFUNCTION("""COMPUTED_VALUE"""),"FIP-DOM-ENG-51404-0000000-INA-000000")</f>
        <v>FIP-DOM-ENG-51404-0000000-INA-000000</v>
      </c>
      <c r="P224" s="6" t="str">
        <f>IFERROR(__xludf.DUMMYFUNCTION("""COMPUTED_VALUE"""),"PO Closed")</f>
        <v>PO Closed</v>
      </c>
      <c r="Q224" s="6" t="str">
        <f>IFERROR(__xludf.DUMMYFUNCTION("""COMPUTED_VALUE"""),"GL1807041")</f>
        <v>GL1807041</v>
      </c>
      <c r="R224" s="16">
        <f>IFERROR(__xludf.DUMMYFUNCTION("""COMPUTED_VALUE"""),43243.0)</f>
        <v>43243</v>
      </c>
      <c r="S224" s="6" t="str">
        <f>IFERROR(__xludf.DUMMYFUNCTION("""COMPUTED_VALUE"""),"-")</f>
        <v>-</v>
      </c>
      <c r="T224" s="13">
        <f>IFERROR(__xludf.DUMMYFUNCTION("""COMPUTED_VALUE"""),43307.0)</f>
        <v>43307</v>
      </c>
    </row>
    <row r="225">
      <c r="A225" s="6" t="str">
        <f>IFERROR(__xludf.DUMMYFUNCTION("""COMPUTED_VALUE"""),"181750188-11")</f>
        <v>181750188-11</v>
      </c>
      <c r="B225" s="6" t="str">
        <f>IFERROR(__xludf.DUMMYFUNCTION("""COMPUTED_VALUE"""),"181750188 - Approved")</f>
        <v>181750188 - Approved</v>
      </c>
      <c r="C225" s="6">
        <f>IFERROR(__xludf.DUMMYFUNCTION("""COMPUTED_VALUE"""),11.0)</f>
        <v>11</v>
      </c>
      <c r="D225" s="6" t="str">
        <f>IFERROR(__xludf.DUMMYFUNCTION("""COMPUTED_VALUE"""),"P-53262-00")</f>
        <v>P-53262-00</v>
      </c>
      <c r="E225" s="6" t="str">
        <f>IFERROR(__xludf.DUMMYFUNCTION("""COMPUTED_VALUE"""),"Din Rail MCB; ; ;")</f>
        <v>Din Rail MCB; ; ;</v>
      </c>
      <c r="F225" s="6">
        <f>IFERROR(__xludf.DUMMYFUNCTION("""COMPUTED_VALUE"""),1.0)</f>
        <v>1</v>
      </c>
      <c r="G225" s="6" t="str">
        <f>IFERROR(__xludf.DUMMYFUNCTION("""COMPUTED_VALUE"""),"Pieces")</f>
        <v>Pieces</v>
      </c>
      <c r="H225" s="6" t="str">
        <f>IFERROR(__xludf.DUMMYFUNCTION("""COMPUTED_VALUE"""),"IDR")</f>
        <v>IDR</v>
      </c>
      <c r="I225" s="11">
        <f>IFERROR(__xludf.DUMMYFUNCTION("""COMPUTED_VALUE"""),15750.0)</f>
        <v>15750</v>
      </c>
      <c r="J225" s="11">
        <f>IFERROR(__xludf.DUMMYFUNCTION("""COMPUTED_VALUE"""),15750.0)</f>
        <v>15750</v>
      </c>
      <c r="K225" s="13">
        <f>IFERROR(__xludf.DUMMYFUNCTION("""COMPUTED_VALUE"""),43312.0)</f>
        <v>43312</v>
      </c>
      <c r="L225" s="6" t="str">
        <f>IFERROR(__xludf.DUMMYFUNCTION("""COMPUTED_VALUE"""),"FIP General")</f>
        <v>FIP General</v>
      </c>
      <c r="M225" s="6" t="str">
        <f>IFERROR(__xludf.DUMMYFUNCTION("""COMPUTED_VALUE"""),"Joko Nugroho")</f>
        <v>Joko Nugroho</v>
      </c>
      <c r="N225" s="6" t="str">
        <f>IFERROR(__xludf.DUMMYFUNCTION("""COMPUTED_VALUE"""),"FIP Engineering")</f>
        <v>FIP Engineering</v>
      </c>
      <c r="O225" s="6" t="str">
        <f>IFERROR(__xludf.DUMMYFUNCTION("""COMPUTED_VALUE"""),"FIP-DOM-ENG-51404-0000000-INA-000000")</f>
        <v>FIP-DOM-ENG-51404-0000000-INA-000000</v>
      </c>
      <c r="P225" s="6" t="str">
        <f>IFERROR(__xludf.DUMMYFUNCTION("""COMPUTED_VALUE"""),"PO Closed")</f>
        <v>PO Closed</v>
      </c>
      <c r="Q225" s="6" t="str">
        <f>IFERROR(__xludf.DUMMYFUNCTION("""COMPUTED_VALUE"""),"GL1807041")</f>
        <v>GL1807041</v>
      </c>
      <c r="R225" s="16">
        <f>IFERROR(__xludf.DUMMYFUNCTION("""COMPUTED_VALUE"""),43243.0)</f>
        <v>43243</v>
      </c>
      <c r="S225" s="6" t="str">
        <f>IFERROR(__xludf.DUMMYFUNCTION("""COMPUTED_VALUE"""),"-")</f>
        <v>-</v>
      </c>
      <c r="T225" s="13">
        <f>IFERROR(__xludf.DUMMYFUNCTION("""COMPUTED_VALUE"""),43307.0)</f>
        <v>43307</v>
      </c>
    </row>
    <row r="226">
      <c r="A226" s="6" t="str">
        <f>IFERROR(__xludf.DUMMYFUNCTION("""COMPUTED_VALUE"""),"181750188-12")</f>
        <v>181750188-12</v>
      </c>
      <c r="B226" s="6" t="str">
        <f>IFERROR(__xludf.DUMMYFUNCTION("""COMPUTED_VALUE"""),"181750188 - Approved")</f>
        <v>181750188 - Approved</v>
      </c>
      <c r="C226" s="6">
        <f>IFERROR(__xludf.DUMMYFUNCTION("""COMPUTED_VALUE"""),12.0)</f>
        <v>12</v>
      </c>
      <c r="D226" s="6" t="str">
        <f>IFERROR(__xludf.DUMMYFUNCTION("""COMPUTED_VALUE"""),"P-17000-00")</f>
        <v>P-17000-00</v>
      </c>
      <c r="E226" s="6" t="str">
        <f>IFERROR(__xludf.DUMMYFUNCTION("""COMPUTED_VALUE"""),"Dynabolt M8; ; ;")</f>
        <v>Dynabolt M8; ; ;</v>
      </c>
      <c r="F226" s="6">
        <f>IFERROR(__xludf.DUMMYFUNCTION("""COMPUTED_VALUE"""),10.0)</f>
        <v>10</v>
      </c>
      <c r="G226" s="6" t="str">
        <f>IFERROR(__xludf.DUMMYFUNCTION("""COMPUTED_VALUE"""),"Pieces")</f>
        <v>Pieces</v>
      </c>
      <c r="H226" s="6" t="str">
        <f>IFERROR(__xludf.DUMMYFUNCTION("""COMPUTED_VALUE"""),"IDR")</f>
        <v>IDR</v>
      </c>
      <c r="I226" s="11">
        <f>IFERROR(__xludf.DUMMYFUNCTION("""COMPUTED_VALUE"""),1250.0)</f>
        <v>1250</v>
      </c>
      <c r="J226" s="11">
        <f>IFERROR(__xludf.DUMMYFUNCTION("""COMPUTED_VALUE"""),12500.0)</f>
        <v>12500</v>
      </c>
      <c r="K226" s="13">
        <f>IFERROR(__xludf.DUMMYFUNCTION("""COMPUTED_VALUE"""),43312.0)</f>
        <v>43312</v>
      </c>
      <c r="L226" s="6" t="str">
        <f>IFERROR(__xludf.DUMMYFUNCTION("""COMPUTED_VALUE"""),"FIP General")</f>
        <v>FIP General</v>
      </c>
      <c r="M226" s="6" t="str">
        <f>IFERROR(__xludf.DUMMYFUNCTION("""COMPUTED_VALUE"""),"Joko Nugroho")</f>
        <v>Joko Nugroho</v>
      </c>
      <c r="N226" s="6" t="str">
        <f>IFERROR(__xludf.DUMMYFUNCTION("""COMPUTED_VALUE"""),"FIP Engineering")</f>
        <v>FIP Engineering</v>
      </c>
      <c r="O226" s="6" t="str">
        <f>IFERROR(__xludf.DUMMYFUNCTION("""COMPUTED_VALUE"""),"FIP-DOM-ENG-51404-0000000-INA-000000")</f>
        <v>FIP-DOM-ENG-51404-0000000-INA-000000</v>
      </c>
      <c r="P226" s="6" t="str">
        <f>IFERROR(__xludf.DUMMYFUNCTION("""COMPUTED_VALUE"""),"PO Closed")</f>
        <v>PO Closed</v>
      </c>
      <c r="Q226" s="6" t="str">
        <f>IFERROR(__xludf.DUMMYFUNCTION("""COMPUTED_VALUE"""),"GL1807041")</f>
        <v>GL1807041</v>
      </c>
      <c r="R226" s="16">
        <f>IFERROR(__xludf.DUMMYFUNCTION("""COMPUTED_VALUE"""),43243.0)</f>
        <v>43243</v>
      </c>
      <c r="S226" s="6" t="str">
        <f>IFERROR(__xludf.DUMMYFUNCTION("""COMPUTED_VALUE"""),"-")</f>
        <v>-</v>
      </c>
      <c r="T226" s="13">
        <f>IFERROR(__xludf.DUMMYFUNCTION("""COMPUTED_VALUE"""),43307.0)</f>
        <v>43307</v>
      </c>
    </row>
    <row r="227">
      <c r="A227" s="6" t="str">
        <f>IFERROR(__xludf.DUMMYFUNCTION("""COMPUTED_VALUE"""),"181750187-1")</f>
        <v>181750187-1</v>
      </c>
      <c r="B227" s="6" t="str">
        <f>IFERROR(__xludf.DUMMYFUNCTION("""COMPUTED_VALUE"""),"181750187 - Approved")</f>
        <v>181750187 - Approved</v>
      </c>
      <c r="C227" s="6">
        <f>IFERROR(__xludf.DUMMYFUNCTION("""COMPUTED_VALUE"""),1.0)</f>
        <v>1</v>
      </c>
      <c r="D227" s="6" t="str">
        <f>IFERROR(__xludf.DUMMYFUNCTION("""COMPUTED_VALUE"""),"S-60002-00")</f>
        <v>S-60002-00</v>
      </c>
      <c r="E227" s="6" t="str">
        <f>IFERROR(__xludf.DUMMYFUNCTION("""COMPUTED_VALUE"""),"Modifikasi Pipa Mixing Tank")</f>
        <v>Modifikasi Pipa Mixing Tank</v>
      </c>
      <c r="F227" s="6">
        <f>IFERROR(__xludf.DUMMYFUNCTION("""COMPUTED_VALUE"""),1.0)</f>
        <v>1</v>
      </c>
      <c r="G227" s="6" t="str">
        <f>IFERROR(__xludf.DUMMYFUNCTION("""COMPUTED_VALUE"""),"Lot")</f>
        <v>Lot</v>
      </c>
      <c r="H227" s="6" t="str">
        <f>IFERROR(__xludf.DUMMYFUNCTION("""COMPUTED_VALUE"""),"IDR")</f>
        <v>IDR</v>
      </c>
      <c r="I227" s="11">
        <f>IFERROR(__xludf.DUMMYFUNCTION("""COMPUTED_VALUE"""),3800000.0)</f>
        <v>3800000</v>
      </c>
      <c r="J227" s="11">
        <f>IFERROR(__xludf.DUMMYFUNCTION("""COMPUTED_VALUE"""),3800000.0)</f>
        <v>3800000</v>
      </c>
      <c r="K227" s="13">
        <f>IFERROR(__xludf.DUMMYFUNCTION("""COMPUTED_VALUE"""),43251.0)</f>
        <v>43251</v>
      </c>
      <c r="L227" s="6" t="str">
        <f>IFERROR(__xludf.DUMMYFUNCTION("""COMPUTED_VALUE"""),"FIP General")</f>
        <v>FIP General</v>
      </c>
      <c r="M227" s="6" t="str">
        <f>IFERROR(__xludf.DUMMYFUNCTION("""COMPUTED_VALUE"""),"Joko Nugroho")</f>
        <v>Joko Nugroho</v>
      </c>
      <c r="N227" s="6" t="str">
        <f>IFERROR(__xludf.DUMMYFUNCTION("""COMPUTED_VALUE"""),"FIP Engineering")</f>
        <v>FIP Engineering</v>
      </c>
      <c r="O227" s="6" t="str">
        <f>IFERROR(__xludf.DUMMYFUNCTION("""COMPUTED_VALUE"""),"FIP-DOM-ENG-51508-0000000-INA-000000")</f>
        <v>FIP-DOM-ENG-51508-0000000-INA-000000</v>
      </c>
      <c r="P227" s="6" t="str">
        <f>IFERROR(__xludf.DUMMYFUNCTION("""COMPUTED_VALUE"""),"PO Closed")</f>
        <v>PO Closed</v>
      </c>
      <c r="Q227" s="6" t="str">
        <f>IFERROR(__xludf.DUMMYFUNCTION("""COMPUTED_VALUE"""),"GL1805049")</f>
        <v>GL1805049</v>
      </c>
      <c r="R227" s="16">
        <f>IFERROR(__xludf.DUMMYFUNCTION("""COMPUTED_VALUE"""),43243.0)</f>
        <v>43243</v>
      </c>
      <c r="S227" s="6" t="str">
        <f>IFERROR(__xludf.DUMMYFUNCTION("""COMPUTED_VALUE"""),"-")</f>
        <v>-</v>
      </c>
      <c r="T227" s="13">
        <f>IFERROR(__xludf.DUMMYFUNCTION("""COMPUTED_VALUE"""),43258.0)</f>
        <v>43258</v>
      </c>
    </row>
    <row r="228">
      <c r="A228" s="6" t="str">
        <f>IFERROR(__xludf.DUMMYFUNCTION("""COMPUTED_VALUE"""),"181750144-17")</f>
        <v>181750144-17</v>
      </c>
      <c r="B228" s="6" t="str">
        <f>IFERROR(__xludf.DUMMYFUNCTION("""COMPUTED_VALUE"""),"181750144 - Approved")</f>
        <v>181750144 - Approved</v>
      </c>
      <c r="C228" s="6">
        <f>IFERROR(__xludf.DUMMYFUNCTION("""COMPUTED_VALUE"""),17.0)</f>
        <v>17</v>
      </c>
      <c r="D228" s="6" t="str">
        <f>IFERROR(__xludf.DUMMYFUNCTION("""COMPUTED_VALUE"""),"P-15774-00")</f>
        <v>P-15774-00</v>
      </c>
      <c r="E228" s="6" t="str">
        <f>IFERROR(__xludf.DUMMYFUNCTION("""COMPUTED_VALUE"""),"Tee SS 304 dia. 1"" x 1"" Sch 10 But Weld")</f>
        <v>Tee SS 304 dia. 1" x 1" Sch 10 But Weld</v>
      </c>
      <c r="F228" s="6">
        <f>IFERROR(__xludf.DUMMYFUNCTION("""COMPUTED_VALUE"""),1.0)</f>
        <v>1</v>
      </c>
      <c r="G228" s="6" t="str">
        <f>IFERROR(__xludf.DUMMYFUNCTION("""COMPUTED_VALUE"""),"Pieces")</f>
        <v>Pieces</v>
      </c>
      <c r="H228" s="6" t="str">
        <f>IFERROR(__xludf.DUMMYFUNCTION("""COMPUTED_VALUE"""),"IDR")</f>
        <v>IDR</v>
      </c>
      <c r="I228" s="11">
        <f>IFERROR(__xludf.DUMMYFUNCTION("""COMPUTED_VALUE"""),100000.0)</f>
        <v>100000</v>
      </c>
      <c r="J228" s="11">
        <f>IFERROR(__xludf.DUMMYFUNCTION("""COMPUTED_VALUE"""),100000.0)</f>
        <v>100000</v>
      </c>
      <c r="K228" s="13">
        <f>IFERROR(__xludf.DUMMYFUNCTION("""COMPUTED_VALUE"""),43252.0)</f>
        <v>43252</v>
      </c>
      <c r="L228" s="6" t="str">
        <f>IFERROR(__xludf.DUMMYFUNCTION("""COMPUTED_VALUE"""),"FIP General")</f>
        <v>FIP General</v>
      </c>
      <c r="M228" s="6" t="str">
        <f>IFERROR(__xludf.DUMMYFUNCTION("""COMPUTED_VALUE"""),"Joko Nugroho")</f>
        <v>Joko Nugroho</v>
      </c>
      <c r="N228" s="6" t="str">
        <f>IFERROR(__xludf.DUMMYFUNCTION("""COMPUTED_VALUE"""),"FIP Engineering")</f>
        <v>FIP Engineering</v>
      </c>
      <c r="O228" s="6" t="str">
        <f>IFERROR(__xludf.DUMMYFUNCTION("""COMPUTED_VALUE"""),"FIP-DOM-ENG-51404-0000000-INA-000000")</f>
        <v>FIP-DOM-ENG-51404-0000000-INA-000000</v>
      </c>
      <c r="P228" s="6" t="str">
        <f>IFERROR(__xludf.DUMMYFUNCTION("""COMPUTED_VALUE"""),"PO Closed")</f>
        <v>PO Closed</v>
      </c>
      <c r="Q228" s="6" t="str">
        <f>IFERROR(__xludf.DUMMYFUNCTION("""COMPUTED_VALUE"""),"GL1806005")</f>
        <v>GL1806005</v>
      </c>
      <c r="R228" s="16">
        <f>IFERROR(__xludf.DUMMYFUNCTION("""COMPUTED_VALUE"""),43243.0)</f>
        <v>43243</v>
      </c>
      <c r="S228" s="6" t="str">
        <f>IFERROR(__xludf.DUMMYFUNCTION("""COMPUTED_VALUE"""),"-")</f>
        <v>-</v>
      </c>
      <c r="T228" s="17">
        <f>IFERROR(__xludf.DUMMYFUNCTION("""COMPUTED_VALUE"""),43256.0)</f>
        <v>43256</v>
      </c>
    </row>
    <row r="229">
      <c r="A229" s="6" t="str">
        <f>IFERROR(__xludf.DUMMYFUNCTION("""COMPUTED_VALUE"""),"181750192-1")</f>
        <v>181750192-1</v>
      </c>
      <c r="B229" s="6" t="str">
        <f>IFERROR(__xludf.DUMMYFUNCTION("""COMPUTED_VALUE"""),"181750192 - Approved")</f>
        <v>181750192 - Approved</v>
      </c>
      <c r="C229" s="6">
        <f>IFERROR(__xludf.DUMMYFUNCTION("""COMPUTED_VALUE"""),1.0)</f>
        <v>1</v>
      </c>
      <c r="D229" s="6" t="str">
        <f>IFERROR(__xludf.DUMMYFUNCTION("""COMPUTED_VALUE"""),"T-20136-00")</f>
        <v>T-20136-00</v>
      </c>
      <c r="E229" s="6" t="str">
        <f>IFERROR(__xludf.DUMMYFUNCTION("""COMPUTED_VALUE"""),"2690 SEAL PACK REBUILD PKG; Waters; c/n WAT271019;")</f>
        <v>2690 SEAL PACK REBUILD PKG; Waters; c/n WAT271019;</v>
      </c>
      <c r="F229" s="6">
        <f>IFERROR(__xludf.DUMMYFUNCTION("""COMPUTED_VALUE"""),2.0)</f>
        <v>2</v>
      </c>
      <c r="G229" s="6" t="str">
        <f>IFERROR(__xludf.DUMMYFUNCTION("""COMPUTED_VALUE"""),"Pieces")</f>
        <v>Pieces</v>
      </c>
      <c r="H229" s="6" t="str">
        <f>IFERROR(__xludf.DUMMYFUNCTION("""COMPUTED_VALUE"""),"IDR")</f>
        <v>IDR</v>
      </c>
      <c r="I229" s="11">
        <f>IFERROR(__xludf.DUMMYFUNCTION("""COMPUTED_VALUE"""),4510695.0)</f>
        <v>4510695</v>
      </c>
      <c r="J229" s="11">
        <f>IFERROR(__xludf.DUMMYFUNCTION("""COMPUTED_VALUE"""),9021390.0)</f>
        <v>9021390</v>
      </c>
      <c r="K229" s="13">
        <f>IFERROR(__xludf.DUMMYFUNCTION("""COMPUTED_VALUE"""),43262.0)</f>
        <v>43262</v>
      </c>
      <c r="L229" s="6" t="str">
        <f>IFERROR(__xludf.DUMMYFUNCTION("""COMPUTED_VALUE"""),"FIP General")</f>
        <v>FIP General</v>
      </c>
      <c r="M229" s="6" t="str">
        <f>IFERROR(__xludf.DUMMYFUNCTION("""COMPUTED_VALUE"""),"Joko Nugroho")</f>
        <v>Joko Nugroho</v>
      </c>
      <c r="N229" s="6" t="str">
        <f>IFERROR(__xludf.DUMMYFUNCTION("""COMPUTED_VALUE"""),"FIP Engineering")</f>
        <v>FIP Engineering</v>
      </c>
      <c r="O229" s="6" t="str">
        <f>IFERROR(__xludf.DUMMYFUNCTION("""COMPUTED_VALUE"""),"FIP-DOM-ENG-51505-0000000-INA-000000")</f>
        <v>FIP-DOM-ENG-51505-0000000-INA-000000</v>
      </c>
      <c r="P229" s="6" t="str">
        <f>IFERROR(__xludf.DUMMYFUNCTION("""COMPUTED_VALUE"""),"PO Closed")</f>
        <v>PO Closed</v>
      </c>
      <c r="Q229" s="6" t="str">
        <f>IFERROR(__xludf.DUMMYFUNCTION("""COMPUTED_VALUE"""),"GL1806037")</f>
        <v>GL1806037</v>
      </c>
      <c r="R229" s="16">
        <f>IFERROR(__xludf.DUMMYFUNCTION("""COMPUTED_VALUE"""),43244.0)</f>
        <v>43244</v>
      </c>
      <c r="S229" s="6" t="str">
        <f>IFERROR(__xludf.DUMMYFUNCTION("""COMPUTED_VALUE"""),"-")</f>
        <v>-</v>
      </c>
      <c r="T229" s="13">
        <f>IFERROR(__xludf.DUMMYFUNCTION("""COMPUTED_VALUE"""),43290.0)</f>
        <v>43290</v>
      </c>
    </row>
    <row r="230">
      <c r="A230" s="6" t="str">
        <f>IFERROR(__xludf.DUMMYFUNCTION("""COMPUTED_VALUE"""),"181750192-2")</f>
        <v>181750192-2</v>
      </c>
      <c r="B230" s="6" t="str">
        <f>IFERROR(__xludf.DUMMYFUNCTION("""COMPUTED_VALUE"""),"181750192 - Approved")</f>
        <v>181750192 - Approved</v>
      </c>
      <c r="C230" s="6">
        <f>IFERROR(__xludf.DUMMYFUNCTION("""COMPUTED_VALUE"""),2.0)</f>
        <v>2</v>
      </c>
      <c r="D230" s="6" t="str">
        <f>IFERROR(__xludf.DUMMYFUNCTION("""COMPUTED_VALUE"""),"S-60002-00")</f>
        <v>S-60002-00</v>
      </c>
      <c r="E230" s="6" t="str">
        <f>IFERROR(__xludf.DUMMYFUNCTION("""COMPUTED_VALUE"""),"Biaya Jasa Pemasangan Seal Pack (WAT271019)")</f>
        <v>Biaya Jasa Pemasangan Seal Pack (WAT271019)</v>
      </c>
      <c r="F230" s="6">
        <f>IFERROR(__xludf.DUMMYFUNCTION("""COMPUTED_VALUE"""),1.0)</f>
        <v>1</v>
      </c>
      <c r="G230" s="6" t="str">
        <f>IFERROR(__xludf.DUMMYFUNCTION("""COMPUTED_VALUE"""),"Lot")</f>
        <v>Lot</v>
      </c>
      <c r="H230" s="6" t="str">
        <f>IFERROR(__xludf.DUMMYFUNCTION("""COMPUTED_VALUE"""),"IDR")</f>
        <v>IDR</v>
      </c>
      <c r="I230" s="11">
        <f>IFERROR(__xludf.DUMMYFUNCTION("""COMPUTED_VALUE"""),1500000.0)</f>
        <v>1500000</v>
      </c>
      <c r="J230" s="11">
        <f>IFERROR(__xludf.DUMMYFUNCTION("""COMPUTED_VALUE"""),1500000.0)</f>
        <v>1500000</v>
      </c>
      <c r="K230" s="13">
        <f>IFERROR(__xludf.DUMMYFUNCTION("""COMPUTED_VALUE"""),43262.0)</f>
        <v>43262</v>
      </c>
      <c r="L230" s="6" t="str">
        <f>IFERROR(__xludf.DUMMYFUNCTION("""COMPUTED_VALUE"""),"FIP General")</f>
        <v>FIP General</v>
      </c>
      <c r="M230" s="6" t="str">
        <f>IFERROR(__xludf.DUMMYFUNCTION("""COMPUTED_VALUE"""),"Joko Nugroho")</f>
        <v>Joko Nugroho</v>
      </c>
      <c r="N230" s="6" t="str">
        <f>IFERROR(__xludf.DUMMYFUNCTION("""COMPUTED_VALUE"""),"FIP Engineering")</f>
        <v>FIP Engineering</v>
      </c>
      <c r="O230" s="6" t="str">
        <f>IFERROR(__xludf.DUMMYFUNCTION("""COMPUTED_VALUE"""),"FIP-DOM-ENG-51508-0000000-INA-000000")</f>
        <v>FIP-DOM-ENG-51508-0000000-INA-000000</v>
      </c>
      <c r="P230" s="6" t="str">
        <f>IFERROR(__xludf.DUMMYFUNCTION("""COMPUTED_VALUE"""),"PO Closed")</f>
        <v>PO Closed</v>
      </c>
      <c r="Q230" s="6" t="str">
        <f>IFERROR(__xludf.DUMMYFUNCTION("""COMPUTED_VALUE"""),"GL1806037")</f>
        <v>GL1806037</v>
      </c>
      <c r="R230" s="16">
        <f>IFERROR(__xludf.DUMMYFUNCTION("""COMPUTED_VALUE"""),43244.0)</f>
        <v>43244</v>
      </c>
      <c r="S230" s="6" t="str">
        <f>IFERROR(__xludf.DUMMYFUNCTION("""COMPUTED_VALUE"""),"-")</f>
        <v>-</v>
      </c>
      <c r="T230" s="13">
        <f>IFERROR(__xludf.DUMMYFUNCTION("""COMPUTED_VALUE"""),43305.0)</f>
        <v>43305</v>
      </c>
    </row>
    <row r="231">
      <c r="A231" s="6" t="str">
        <f>IFERROR(__xludf.DUMMYFUNCTION("""COMPUTED_VALUE"""),"181750191-1")</f>
        <v>181750191-1</v>
      </c>
      <c r="B231" s="6" t="str">
        <f>IFERROR(__xludf.DUMMYFUNCTION("""COMPUTED_VALUE"""),"181750191 - Approved")</f>
        <v>181750191 - Approved</v>
      </c>
      <c r="C231" s="6">
        <f>IFERROR(__xludf.DUMMYFUNCTION("""COMPUTED_VALUE"""),1.0)</f>
        <v>1</v>
      </c>
      <c r="D231" s="6" t="str">
        <f>IFERROR(__xludf.DUMMYFUNCTION("""COMPUTED_VALUE"""),"S-60007-00")</f>
        <v>S-60007-00</v>
      </c>
      <c r="E231" s="6" t="str">
        <f>IFERROR(__xludf.DUMMYFUNCTION("""COMPUTED_VALUE"""),"SUCTION CUP (C977151820); ; ;")</f>
        <v>SUCTION CUP (C977151820); ; ;</v>
      </c>
      <c r="F231" s="6">
        <f>IFERROR(__xludf.DUMMYFUNCTION("""COMPUTED_VALUE"""),1.0)</f>
        <v>1</v>
      </c>
      <c r="G231" s="6" t="str">
        <f>IFERROR(__xludf.DUMMYFUNCTION("""COMPUTED_VALUE"""),"Pieces")</f>
        <v>Pieces</v>
      </c>
      <c r="H231" s="6" t="str">
        <f>IFERROR(__xludf.DUMMYFUNCTION("""COMPUTED_VALUE"""),"IDR")</f>
        <v>IDR</v>
      </c>
      <c r="I231" s="11">
        <f>IFERROR(__xludf.DUMMYFUNCTION("""COMPUTED_VALUE"""),675000.0)</f>
        <v>675000</v>
      </c>
      <c r="J231" s="11">
        <f>IFERROR(__xludf.DUMMYFUNCTION("""COMPUTED_VALUE"""),675000.0)</f>
        <v>675000</v>
      </c>
      <c r="K231" s="13">
        <f>IFERROR(__xludf.DUMMYFUNCTION("""COMPUTED_VALUE"""),43273.0)</f>
        <v>43273</v>
      </c>
      <c r="L231" s="6" t="str">
        <f>IFERROR(__xludf.DUMMYFUNCTION("""COMPUTED_VALUE"""),"FIP General")</f>
        <v>FIP General</v>
      </c>
      <c r="M231" s="6" t="str">
        <f>IFERROR(__xludf.DUMMYFUNCTION("""COMPUTED_VALUE"""),"Joko Nugroho")</f>
        <v>Joko Nugroho</v>
      </c>
      <c r="N231" s="6" t="str">
        <f>IFERROR(__xludf.DUMMYFUNCTION("""COMPUTED_VALUE"""),"FIP Engineering")</f>
        <v>FIP Engineering</v>
      </c>
      <c r="O231" s="6" t="str">
        <f>IFERROR(__xludf.DUMMYFUNCTION("""COMPUTED_VALUE"""),"FIP-DOM-ENG-51504-0000000-INA-000000")</f>
        <v>FIP-DOM-ENG-51504-0000000-INA-000000</v>
      </c>
      <c r="P231" s="6" t="str">
        <f>IFERROR(__xludf.DUMMYFUNCTION("""COMPUTED_VALUE"""),"PO Closed")</f>
        <v>PO Closed</v>
      </c>
      <c r="Q231" s="6" t="str">
        <f>IFERROR(__xludf.DUMMYFUNCTION("""COMPUTED_VALUE"""),"GL1806048")</f>
        <v>GL1806048</v>
      </c>
      <c r="R231" s="16">
        <f>IFERROR(__xludf.DUMMYFUNCTION("""COMPUTED_VALUE"""),43244.0)</f>
        <v>43244</v>
      </c>
      <c r="S231" s="6" t="str">
        <f>IFERROR(__xludf.DUMMYFUNCTION("""COMPUTED_VALUE"""),"-")</f>
        <v>-</v>
      </c>
      <c r="T231" s="13">
        <f>IFERROR(__xludf.DUMMYFUNCTION("""COMPUTED_VALUE"""),43283.0)</f>
        <v>43283</v>
      </c>
    </row>
    <row r="232">
      <c r="A232" s="6" t="str">
        <f>IFERROR(__xludf.DUMMYFUNCTION("""COMPUTED_VALUE"""),"181750194-1")</f>
        <v>181750194-1</v>
      </c>
      <c r="B232" s="6" t="str">
        <f>IFERROR(__xludf.DUMMYFUNCTION("""COMPUTED_VALUE"""),"181750194 - Approved")</f>
        <v>181750194 - Approved</v>
      </c>
      <c r="C232" s="6">
        <f>IFERROR(__xludf.DUMMYFUNCTION("""COMPUTED_VALUE"""),1.0)</f>
        <v>1</v>
      </c>
      <c r="D232" s="6" t="str">
        <f>IFERROR(__xludf.DUMMYFUNCTION("""COMPUTED_VALUE"""),"O-14639-00")</f>
        <v>O-14639-00</v>
      </c>
      <c r="E232" s="6" t="str">
        <f>IFERROR(__xludf.DUMMYFUNCTION("""COMPUTED_VALUE"""),"EPDM Gasket for Ferrule dia. 1/2""; ; ;")</f>
        <v>EPDM Gasket for Ferrule dia. 1/2"; ; ;</v>
      </c>
      <c r="F232" s="6">
        <f>IFERROR(__xludf.DUMMYFUNCTION("""COMPUTED_VALUE"""),15.0)</f>
        <v>15</v>
      </c>
      <c r="G232" s="6" t="str">
        <f>IFERROR(__xludf.DUMMYFUNCTION("""COMPUTED_VALUE"""),"Pieces")</f>
        <v>Pieces</v>
      </c>
      <c r="H232" s="6" t="str">
        <f>IFERROR(__xludf.DUMMYFUNCTION("""COMPUTED_VALUE"""),"IDR")</f>
        <v>IDR</v>
      </c>
      <c r="I232" s="11">
        <f>IFERROR(__xludf.DUMMYFUNCTION("""COMPUTED_VALUE"""),6400.0)</f>
        <v>6400</v>
      </c>
      <c r="J232" s="11">
        <f>IFERROR(__xludf.DUMMYFUNCTION("""COMPUTED_VALUE"""),96000.0)</f>
        <v>96000</v>
      </c>
      <c r="K232" s="13">
        <f>IFERROR(__xludf.DUMMYFUNCTION("""COMPUTED_VALUE"""),43308.0)</f>
        <v>43308</v>
      </c>
      <c r="L232" s="6" t="str">
        <f>IFERROR(__xludf.DUMMYFUNCTION("""COMPUTED_VALUE"""),"FIP Engineering")</f>
        <v>FIP Engineering</v>
      </c>
      <c r="M232" s="6" t="str">
        <f>IFERROR(__xludf.DUMMYFUNCTION("""COMPUTED_VALUE"""),"Joko Nugroho")</f>
        <v>Joko Nugroho</v>
      </c>
      <c r="N232" s="6" t="str">
        <f>IFERROR(__xludf.DUMMYFUNCTION("""COMPUTED_VALUE"""),"FIP Engineering")</f>
        <v>FIP Engineering</v>
      </c>
      <c r="O232" s="6" t="str">
        <f>IFERROR(__xludf.DUMMYFUNCTION("""COMPUTED_VALUE"""),"FIP-DOM-000-11304-OS00001-INA-000000")</f>
        <v>FIP-DOM-000-11304-OS00001-INA-000000</v>
      </c>
      <c r="P232" s="6" t="str">
        <f>IFERROR(__xludf.DUMMYFUNCTION("""COMPUTED_VALUE"""),"PO Closed")</f>
        <v>PO Closed</v>
      </c>
      <c r="Q232" s="6" t="str">
        <f>IFERROR(__xludf.DUMMYFUNCTION("""COMPUTED_VALUE"""),"GL1807042")</f>
        <v>GL1807042</v>
      </c>
      <c r="R232" s="16">
        <f>IFERROR(__xludf.DUMMYFUNCTION("""COMPUTED_VALUE"""),43248.0)</f>
        <v>43248</v>
      </c>
      <c r="S232" s="6" t="str">
        <f>IFERROR(__xludf.DUMMYFUNCTION("""COMPUTED_VALUE"""),"-")</f>
        <v>-</v>
      </c>
      <c r="T232" s="13">
        <f>IFERROR(__xludf.DUMMYFUNCTION("""COMPUTED_VALUE"""),43312.0)</f>
        <v>43312</v>
      </c>
    </row>
    <row r="233">
      <c r="A233" s="6" t="str">
        <f>IFERROR(__xludf.DUMMYFUNCTION("""COMPUTED_VALUE"""),"181750194-2")</f>
        <v>181750194-2</v>
      </c>
      <c r="B233" s="6" t="str">
        <f>IFERROR(__xludf.DUMMYFUNCTION("""COMPUTED_VALUE"""),"181750194 - Approved")</f>
        <v>181750194 - Approved</v>
      </c>
      <c r="C233" s="6">
        <f>IFERROR(__xludf.DUMMYFUNCTION("""COMPUTED_VALUE"""),2.0)</f>
        <v>2</v>
      </c>
      <c r="D233" s="6" t="str">
        <f>IFERROR(__xludf.DUMMYFUNCTION("""COMPUTED_VALUE"""),"P-14377-00")</f>
        <v>P-14377-00</v>
      </c>
      <c r="E233" s="6" t="str">
        <f>IFERROR(__xludf.DUMMYFUNCTION("""COMPUTED_VALUE"""),"Gasket 1"" /EPDM; ; ;")</f>
        <v>Gasket 1" /EPDM; ; ;</v>
      </c>
      <c r="F233" s="6">
        <f>IFERROR(__xludf.DUMMYFUNCTION("""COMPUTED_VALUE"""),33.0)</f>
        <v>33</v>
      </c>
      <c r="G233" s="6" t="str">
        <f>IFERROR(__xludf.DUMMYFUNCTION("""COMPUTED_VALUE"""),"Pieces")</f>
        <v>Pieces</v>
      </c>
      <c r="H233" s="6" t="str">
        <f>IFERROR(__xludf.DUMMYFUNCTION("""COMPUTED_VALUE"""),"IDR")</f>
        <v>IDR</v>
      </c>
      <c r="I233" s="11">
        <f>IFERROR(__xludf.DUMMYFUNCTION("""COMPUTED_VALUE"""),13000.0)</f>
        <v>13000</v>
      </c>
      <c r="J233" s="11">
        <f>IFERROR(__xludf.DUMMYFUNCTION("""COMPUTED_VALUE"""),429000.0)</f>
        <v>429000</v>
      </c>
      <c r="K233" s="13">
        <f>IFERROR(__xludf.DUMMYFUNCTION("""COMPUTED_VALUE"""),43308.0)</f>
        <v>43308</v>
      </c>
      <c r="L233" s="6" t="str">
        <f>IFERROR(__xludf.DUMMYFUNCTION("""COMPUTED_VALUE"""),"FIP Engineering")</f>
        <v>FIP Engineering</v>
      </c>
      <c r="M233" s="6" t="str">
        <f>IFERROR(__xludf.DUMMYFUNCTION("""COMPUTED_VALUE"""),"Joko Nugroho")</f>
        <v>Joko Nugroho</v>
      </c>
      <c r="N233" s="6" t="str">
        <f>IFERROR(__xludf.DUMMYFUNCTION("""COMPUTED_VALUE"""),"FIP Engineering")</f>
        <v>FIP Engineering</v>
      </c>
      <c r="O233" s="6" t="str">
        <f>IFERROR(__xludf.DUMMYFUNCTION("""COMPUTED_VALUE"""),"FIP-DOM-000-11304-OS00001-INA-000000")</f>
        <v>FIP-DOM-000-11304-OS00001-INA-000000</v>
      </c>
      <c r="P233" s="6" t="str">
        <f>IFERROR(__xludf.DUMMYFUNCTION("""COMPUTED_VALUE"""),"PO Closed")</f>
        <v>PO Closed</v>
      </c>
      <c r="Q233" s="6" t="str">
        <f>IFERROR(__xludf.DUMMYFUNCTION("""COMPUTED_VALUE"""),"GL1807042")</f>
        <v>GL1807042</v>
      </c>
      <c r="R233" s="16">
        <f>IFERROR(__xludf.DUMMYFUNCTION("""COMPUTED_VALUE"""),43248.0)</f>
        <v>43248</v>
      </c>
      <c r="S233" s="6" t="str">
        <f>IFERROR(__xludf.DUMMYFUNCTION("""COMPUTED_VALUE"""),"-")</f>
        <v>-</v>
      </c>
      <c r="T233" s="13">
        <f>IFERROR(__xludf.DUMMYFUNCTION("""COMPUTED_VALUE"""),43312.0)</f>
        <v>43312</v>
      </c>
    </row>
    <row r="234">
      <c r="A234" s="6" t="str">
        <f>IFERROR(__xludf.DUMMYFUNCTION("""COMPUTED_VALUE"""),"181750194-3")</f>
        <v>181750194-3</v>
      </c>
      <c r="B234" s="6" t="str">
        <f>IFERROR(__xludf.DUMMYFUNCTION("""COMPUTED_VALUE"""),"181750194 - Approved")</f>
        <v>181750194 - Approved</v>
      </c>
      <c r="C234" s="6">
        <f>IFERROR(__xludf.DUMMYFUNCTION("""COMPUTED_VALUE"""),3.0)</f>
        <v>3</v>
      </c>
      <c r="D234" s="6" t="str">
        <f>IFERROR(__xludf.DUMMYFUNCTION("""COMPUTED_VALUE"""),"O-13521-00")</f>
        <v>O-13521-00</v>
      </c>
      <c r="E234" s="6" t="str">
        <f>IFERROR(__xludf.DUMMYFUNCTION("""COMPUTED_VALUE"""),"gasket 1 1/2"" / EPDM; ; ;")</f>
        <v>gasket 1 1/2" / EPDM; ; ;</v>
      </c>
      <c r="F234" s="6">
        <f>IFERROR(__xludf.DUMMYFUNCTION("""COMPUTED_VALUE"""),20.0)</f>
        <v>20</v>
      </c>
      <c r="G234" s="6" t="str">
        <f>IFERROR(__xludf.DUMMYFUNCTION("""COMPUTED_VALUE"""),"Pieces")</f>
        <v>Pieces</v>
      </c>
      <c r="H234" s="6" t="str">
        <f>IFERROR(__xludf.DUMMYFUNCTION("""COMPUTED_VALUE"""),"IDR")</f>
        <v>IDR</v>
      </c>
      <c r="I234" s="11">
        <f>IFERROR(__xludf.DUMMYFUNCTION("""COMPUTED_VALUE"""),17600.0)</f>
        <v>17600</v>
      </c>
      <c r="J234" s="11">
        <f>IFERROR(__xludf.DUMMYFUNCTION("""COMPUTED_VALUE"""),352000.0)</f>
        <v>352000</v>
      </c>
      <c r="K234" s="13">
        <f>IFERROR(__xludf.DUMMYFUNCTION("""COMPUTED_VALUE"""),43308.0)</f>
        <v>43308</v>
      </c>
      <c r="L234" s="6" t="str">
        <f>IFERROR(__xludf.DUMMYFUNCTION("""COMPUTED_VALUE"""),"FIP Engineering")</f>
        <v>FIP Engineering</v>
      </c>
      <c r="M234" s="6" t="str">
        <f>IFERROR(__xludf.DUMMYFUNCTION("""COMPUTED_VALUE"""),"Joko Nugroho")</f>
        <v>Joko Nugroho</v>
      </c>
      <c r="N234" s="6" t="str">
        <f>IFERROR(__xludf.DUMMYFUNCTION("""COMPUTED_VALUE"""),"FIP Engineering")</f>
        <v>FIP Engineering</v>
      </c>
      <c r="O234" s="6" t="str">
        <f>IFERROR(__xludf.DUMMYFUNCTION("""COMPUTED_VALUE"""),"FIP-DOM-000-11304-OS00001-INA-000000")</f>
        <v>FIP-DOM-000-11304-OS00001-INA-000000</v>
      </c>
      <c r="P234" s="6" t="str">
        <f>IFERROR(__xludf.DUMMYFUNCTION("""COMPUTED_VALUE"""),"PO Closed")</f>
        <v>PO Closed</v>
      </c>
      <c r="Q234" s="6" t="str">
        <f>IFERROR(__xludf.DUMMYFUNCTION("""COMPUTED_VALUE"""),"GL1807042")</f>
        <v>GL1807042</v>
      </c>
      <c r="R234" s="16">
        <f>IFERROR(__xludf.DUMMYFUNCTION("""COMPUTED_VALUE"""),43248.0)</f>
        <v>43248</v>
      </c>
      <c r="S234" s="6" t="str">
        <f>IFERROR(__xludf.DUMMYFUNCTION("""COMPUTED_VALUE"""),"-")</f>
        <v>-</v>
      </c>
      <c r="T234" s="13">
        <f>IFERROR(__xludf.DUMMYFUNCTION("""COMPUTED_VALUE"""),43312.0)</f>
        <v>43312</v>
      </c>
    </row>
    <row r="235">
      <c r="A235" s="6" t="str">
        <f>IFERROR(__xludf.DUMMYFUNCTION("""COMPUTED_VALUE"""),"181750194-4")</f>
        <v>181750194-4</v>
      </c>
      <c r="B235" s="6" t="str">
        <f>IFERROR(__xludf.DUMMYFUNCTION("""COMPUTED_VALUE"""),"181750194 - Approved")</f>
        <v>181750194 - Approved</v>
      </c>
      <c r="C235" s="6">
        <f>IFERROR(__xludf.DUMMYFUNCTION("""COMPUTED_VALUE"""),4.0)</f>
        <v>4</v>
      </c>
      <c r="D235" s="6" t="str">
        <f>IFERROR(__xludf.DUMMYFUNCTION("""COMPUTED_VALUE"""),"O-13522-00")</f>
        <v>O-13522-00</v>
      </c>
      <c r="E235" s="6" t="str">
        <f>IFERROR(__xludf.DUMMYFUNCTION("""COMPUTED_VALUE"""),"gasket 2"" / EPDM; ; ;")</f>
        <v>gasket 2" / EPDM; ; ;</v>
      </c>
      <c r="F235" s="6">
        <f>IFERROR(__xludf.DUMMYFUNCTION("""COMPUTED_VALUE"""),30.0)</f>
        <v>30</v>
      </c>
      <c r="G235" s="6" t="str">
        <f>IFERROR(__xludf.DUMMYFUNCTION("""COMPUTED_VALUE"""),"Pieces")</f>
        <v>Pieces</v>
      </c>
      <c r="H235" s="6" t="str">
        <f>IFERROR(__xludf.DUMMYFUNCTION("""COMPUTED_VALUE"""),"IDR")</f>
        <v>IDR</v>
      </c>
      <c r="I235" s="11">
        <f>IFERROR(__xludf.DUMMYFUNCTION("""COMPUTED_VALUE"""),23200.0)</f>
        <v>23200</v>
      </c>
      <c r="J235" s="11">
        <f>IFERROR(__xludf.DUMMYFUNCTION("""COMPUTED_VALUE"""),696000.0)</f>
        <v>696000</v>
      </c>
      <c r="K235" s="17">
        <f>IFERROR(__xludf.DUMMYFUNCTION("""COMPUTED_VALUE"""),43308.0)</f>
        <v>43308</v>
      </c>
      <c r="L235" s="6" t="str">
        <f>IFERROR(__xludf.DUMMYFUNCTION("""COMPUTED_VALUE"""),"FIP Engineering")</f>
        <v>FIP Engineering</v>
      </c>
      <c r="M235" s="6" t="str">
        <f>IFERROR(__xludf.DUMMYFUNCTION("""COMPUTED_VALUE"""),"Joko Nugroho")</f>
        <v>Joko Nugroho</v>
      </c>
      <c r="N235" s="6" t="str">
        <f>IFERROR(__xludf.DUMMYFUNCTION("""COMPUTED_VALUE"""),"FIP Engineering")</f>
        <v>FIP Engineering</v>
      </c>
      <c r="O235" s="6" t="str">
        <f>IFERROR(__xludf.DUMMYFUNCTION("""COMPUTED_VALUE"""),"FIP-DOM-000-11304-OS00001-INA-000000")</f>
        <v>FIP-DOM-000-11304-OS00001-INA-000000</v>
      </c>
      <c r="P235" s="6" t="str">
        <f>IFERROR(__xludf.DUMMYFUNCTION("""COMPUTED_VALUE"""),"PO Closed")</f>
        <v>PO Closed</v>
      </c>
      <c r="Q235" s="6" t="str">
        <f>IFERROR(__xludf.DUMMYFUNCTION("""COMPUTED_VALUE"""),"GL1807042")</f>
        <v>GL1807042</v>
      </c>
      <c r="R235" s="16">
        <f>IFERROR(__xludf.DUMMYFUNCTION("""COMPUTED_VALUE"""),43248.0)</f>
        <v>43248</v>
      </c>
      <c r="S235" s="6" t="str">
        <f>IFERROR(__xludf.DUMMYFUNCTION("""COMPUTED_VALUE"""),"-")</f>
        <v>-</v>
      </c>
      <c r="T235" s="13">
        <f>IFERROR(__xludf.DUMMYFUNCTION("""COMPUTED_VALUE"""),43312.0)</f>
        <v>43312</v>
      </c>
    </row>
    <row r="236">
      <c r="A236" s="6" t="str">
        <f>IFERROR(__xludf.DUMMYFUNCTION("""COMPUTED_VALUE"""),"181750194-5")</f>
        <v>181750194-5</v>
      </c>
      <c r="B236" s="6" t="str">
        <f>IFERROR(__xludf.DUMMYFUNCTION("""COMPUTED_VALUE"""),"181750194 - Approved")</f>
        <v>181750194 - Approved</v>
      </c>
      <c r="C236" s="6">
        <f>IFERROR(__xludf.DUMMYFUNCTION("""COMPUTED_VALUE"""),5.0)</f>
        <v>5</v>
      </c>
      <c r="D236" s="6" t="str">
        <f>IFERROR(__xludf.DUMMYFUNCTION("""COMPUTED_VALUE"""),"O-14643-00")</f>
        <v>O-14643-00</v>
      </c>
      <c r="E236" s="6" t="str">
        <f>IFERROR(__xludf.DUMMYFUNCTION("""COMPUTED_VALUE"""),"EPDM Gasket for Ferrule dia. 3""; ; ;")</f>
        <v>EPDM Gasket for Ferrule dia. 3"; ; ;</v>
      </c>
      <c r="F236" s="6">
        <f>IFERROR(__xludf.DUMMYFUNCTION("""COMPUTED_VALUE"""),6.0)</f>
        <v>6</v>
      </c>
      <c r="G236" s="6" t="str">
        <f>IFERROR(__xludf.DUMMYFUNCTION("""COMPUTED_VALUE"""),"Pieces")</f>
        <v>Pieces</v>
      </c>
      <c r="H236" s="6" t="str">
        <f>IFERROR(__xludf.DUMMYFUNCTION("""COMPUTED_VALUE"""),"IDR")</f>
        <v>IDR</v>
      </c>
      <c r="I236" s="11">
        <f>IFERROR(__xludf.DUMMYFUNCTION("""COMPUTED_VALUE"""),13600.0)</f>
        <v>13600</v>
      </c>
      <c r="J236" s="11">
        <f>IFERROR(__xludf.DUMMYFUNCTION("""COMPUTED_VALUE"""),81600.0)</f>
        <v>81600</v>
      </c>
      <c r="K236" s="17">
        <f>IFERROR(__xludf.DUMMYFUNCTION("""COMPUTED_VALUE"""),43308.0)</f>
        <v>43308</v>
      </c>
      <c r="L236" s="6" t="str">
        <f>IFERROR(__xludf.DUMMYFUNCTION("""COMPUTED_VALUE"""),"FIP Engineering")</f>
        <v>FIP Engineering</v>
      </c>
      <c r="M236" s="6" t="str">
        <f>IFERROR(__xludf.DUMMYFUNCTION("""COMPUTED_VALUE"""),"Joko Nugroho")</f>
        <v>Joko Nugroho</v>
      </c>
      <c r="N236" s="6" t="str">
        <f>IFERROR(__xludf.DUMMYFUNCTION("""COMPUTED_VALUE"""),"FIP Engineering")</f>
        <v>FIP Engineering</v>
      </c>
      <c r="O236" s="6" t="str">
        <f>IFERROR(__xludf.DUMMYFUNCTION("""COMPUTED_VALUE"""),"FIP-DOM-000-11304-OS00001-INA-000000")</f>
        <v>FIP-DOM-000-11304-OS00001-INA-000000</v>
      </c>
      <c r="P236" s="6" t="str">
        <f>IFERROR(__xludf.DUMMYFUNCTION("""COMPUTED_VALUE"""),"PO Closed")</f>
        <v>PO Closed</v>
      </c>
      <c r="Q236" s="6" t="str">
        <f>IFERROR(__xludf.DUMMYFUNCTION("""COMPUTED_VALUE"""),"GL1807042")</f>
        <v>GL1807042</v>
      </c>
      <c r="R236" s="16">
        <f>IFERROR(__xludf.DUMMYFUNCTION("""COMPUTED_VALUE"""),43248.0)</f>
        <v>43248</v>
      </c>
      <c r="S236" s="6" t="str">
        <f>IFERROR(__xludf.DUMMYFUNCTION("""COMPUTED_VALUE"""),"-")</f>
        <v>-</v>
      </c>
      <c r="T236" s="13">
        <f>IFERROR(__xludf.DUMMYFUNCTION("""COMPUTED_VALUE"""),43312.0)</f>
        <v>43312</v>
      </c>
    </row>
    <row r="237">
      <c r="A237" s="6" t="str">
        <f>IFERROR(__xludf.DUMMYFUNCTION("""COMPUTED_VALUE"""),"181750193-1")</f>
        <v>181750193-1</v>
      </c>
      <c r="B237" s="6" t="str">
        <f>IFERROR(__xludf.DUMMYFUNCTION("""COMPUTED_VALUE"""),"181750193 - Approved")</f>
        <v>181750193 - Approved</v>
      </c>
      <c r="C237" s="6">
        <f>IFERROR(__xludf.DUMMYFUNCTION("""COMPUTED_VALUE"""),1.0)</f>
        <v>1</v>
      </c>
      <c r="D237" s="6" t="str">
        <f>IFERROR(__xludf.DUMMYFUNCTION("""COMPUTED_VALUE"""),"S-62032-00")</f>
        <v>S-62032-00</v>
      </c>
      <c r="E237" s="6" t="str">
        <f>IFERROR(__xludf.DUMMYFUNCTION("""COMPUTED_VALUE"""),"Refill Argon HP; Gas Content : 1,5 M3 ; Gas Purrity : 99,995%; Filling Pressure : 150 Bar; ; ;")</f>
        <v>Refill Argon HP; Gas Content : 1,5 M3 ; Gas Purrity : 99,995%; Filling Pressure : 150 Bar; ; ;</v>
      </c>
      <c r="F237" s="6">
        <f>IFERROR(__xludf.DUMMYFUNCTION("""COMPUTED_VALUE"""),1.0)</f>
        <v>1</v>
      </c>
      <c r="G237" s="6" t="str">
        <f>IFERROR(__xludf.DUMMYFUNCTION("""COMPUTED_VALUE"""),"Tube")</f>
        <v>Tube</v>
      </c>
      <c r="H237" s="6" t="str">
        <f>IFERROR(__xludf.DUMMYFUNCTION("""COMPUTED_VALUE"""),"IDR")</f>
        <v>IDR</v>
      </c>
      <c r="I237" s="11">
        <f>IFERROR(__xludf.DUMMYFUNCTION("""COMPUTED_VALUE"""),235000.0)</f>
        <v>235000</v>
      </c>
      <c r="J237" s="11">
        <f>IFERROR(__xludf.DUMMYFUNCTION("""COMPUTED_VALUE"""),235000.0)</f>
        <v>235000</v>
      </c>
      <c r="K237" s="13">
        <f>IFERROR(__xludf.DUMMYFUNCTION("""COMPUTED_VALUE"""),43259.0)</f>
        <v>43259</v>
      </c>
      <c r="L237" s="6" t="str">
        <f>IFERROR(__xludf.DUMMYFUNCTION("""COMPUTED_VALUE"""),"FIP General")</f>
        <v>FIP General</v>
      </c>
      <c r="M237" s="6" t="str">
        <f>IFERROR(__xludf.DUMMYFUNCTION("""COMPUTED_VALUE"""),"Joko Nugroho")</f>
        <v>Joko Nugroho</v>
      </c>
      <c r="N237" s="6" t="str">
        <f>IFERROR(__xludf.DUMMYFUNCTION("""COMPUTED_VALUE"""),"FIP Engineering")</f>
        <v>FIP Engineering</v>
      </c>
      <c r="O237" s="6" t="str">
        <f>IFERROR(__xludf.DUMMYFUNCTION("""COMPUTED_VALUE"""),"FIP-DOM-ENG-51404-0000000-INA-000000")</f>
        <v>FIP-DOM-ENG-51404-0000000-INA-000000</v>
      </c>
      <c r="P237" s="6" t="str">
        <f>IFERROR(__xludf.DUMMYFUNCTION("""COMPUTED_VALUE"""),"PO Closed")</f>
        <v>PO Closed</v>
      </c>
      <c r="Q237" s="6" t="str">
        <f>IFERROR(__xludf.DUMMYFUNCTION("""COMPUTED_VALUE"""),"GL1806026")</f>
        <v>GL1806026</v>
      </c>
      <c r="R237" s="16">
        <f>IFERROR(__xludf.DUMMYFUNCTION("""COMPUTED_VALUE"""),43248.0)</f>
        <v>43248</v>
      </c>
      <c r="S237" s="6" t="str">
        <f>IFERROR(__xludf.DUMMYFUNCTION("""COMPUTED_VALUE"""),"-")</f>
        <v>-</v>
      </c>
      <c r="T237" s="13">
        <f>IFERROR(__xludf.DUMMYFUNCTION("""COMPUTED_VALUE"""),43262.0)</f>
        <v>43262</v>
      </c>
    </row>
    <row r="238">
      <c r="A238" s="6" t="str">
        <f>IFERROR(__xludf.DUMMYFUNCTION("""COMPUTED_VALUE"""),"181750193-2")</f>
        <v>181750193-2</v>
      </c>
      <c r="B238" s="6" t="str">
        <f>IFERROR(__xludf.DUMMYFUNCTION("""COMPUTED_VALUE"""),"181750193 - Approved")</f>
        <v>181750193 - Approved</v>
      </c>
      <c r="C238" s="6">
        <f>IFERROR(__xludf.DUMMYFUNCTION("""COMPUTED_VALUE"""),2.0)</f>
        <v>2</v>
      </c>
      <c r="D238" s="6" t="str">
        <f>IFERROR(__xludf.DUMMYFUNCTION("""COMPUTED_VALUE"""),"S-62036-00")</f>
        <v>S-62036-00</v>
      </c>
      <c r="E238" s="6" t="str">
        <f>IFERROR(__xludf.DUMMYFUNCTION("""COMPUTED_VALUE"""),"Refill Argon HP ARGON HP 6 m3; ; ;")</f>
        <v>Refill Argon HP ARGON HP 6 m3; ; ;</v>
      </c>
      <c r="F238" s="6">
        <f>IFERROR(__xludf.DUMMYFUNCTION("""COMPUTED_VALUE"""),1.0)</f>
        <v>1</v>
      </c>
      <c r="G238" s="6" t="str">
        <f>IFERROR(__xludf.DUMMYFUNCTION("""COMPUTED_VALUE"""),"Tube")</f>
        <v>Tube</v>
      </c>
      <c r="H238" s="6" t="str">
        <f>IFERROR(__xludf.DUMMYFUNCTION("""COMPUTED_VALUE"""),"IDR")</f>
        <v>IDR</v>
      </c>
      <c r="I238" s="11">
        <f>IFERROR(__xludf.DUMMYFUNCTION("""COMPUTED_VALUE"""),315000.0)</f>
        <v>315000</v>
      </c>
      <c r="J238" s="11">
        <f>IFERROR(__xludf.DUMMYFUNCTION("""COMPUTED_VALUE"""),315000.0)</f>
        <v>315000</v>
      </c>
      <c r="K238" s="17">
        <f>IFERROR(__xludf.DUMMYFUNCTION("""COMPUTED_VALUE"""),43259.0)</f>
        <v>43259</v>
      </c>
      <c r="L238" s="6" t="str">
        <f>IFERROR(__xludf.DUMMYFUNCTION("""COMPUTED_VALUE"""),"FIP General")</f>
        <v>FIP General</v>
      </c>
      <c r="M238" s="6" t="str">
        <f>IFERROR(__xludf.DUMMYFUNCTION("""COMPUTED_VALUE"""),"Joko Nugroho")</f>
        <v>Joko Nugroho</v>
      </c>
      <c r="N238" s="6" t="str">
        <f>IFERROR(__xludf.DUMMYFUNCTION("""COMPUTED_VALUE"""),"FIP Engineering")</f>
        <v>FIP Engineering</v>
      </c>
      <c r="O238" s="6" t="str">
        <f>IFERROR(__xludf.DUMMYFUNCTION("""COMPUTED_VALUE"""),"FIP-DOM-ENG-51404-0000000-INA-000000")</f>
        <v>FIP-DOM-ENG-51404-0000000-INA-000000</v>
      </c>
      <c r="P238" s="6" t="str">
        <f>IFERROR(__xludf.DUMMYFUNCTION("""COMPUTED_VALUE"""),"PO Closed")</f>
        <v>PO Closed</v>
      </c>
      <c r="Q238" s="6" t="str">
        <f>IFERROR(__xludf.DUMMYFUNCTION("""COMPUTED_VALUE"""),"GL1806029")</f>
        <v>GL1806029</v>
      </c>
      <c r="R238" s="16">
        <f>IFERROR(__xludf.DUMMYFUNCTION("""COMPUTED_VALUE"""),43248.0)</f>
        <v>43248</v>
      </c>
      <c r="S238" s="6" t="str">
        <f>IFERROR(__xludf.DUMMYFUNCTION("""COMPUTED_VALUE"""),"-")</f>
        <v>-</v>
      </c>
      <c r="T238" s="13">
        <f>IFERROR(__xludf.DUMMYFUNCTION("""COMPUTED_VALUE"""),43262.0)</f>
        <v>43262</v>
      </c>
    </row>
    <row r="239">
      <c r="A239" s="6" t="str">
        <f>IFERROR(__xludf.DUMMYFUNCTION("""COMPUTED_VALUE"""),"181750198-2")</f>
        <v>181750198-2</v>
      </c>
      <c r="B239" s="6" t="str">
        <f>IFERROR(__xludf.DUMMYFUNCTION("""COMPUTED_VALUE"""),"181750198 - Approved")</f>
        <v>181750198 - Approved</v>
      </c>
      <c r="C239" s="6">
        <f>IFERROR(__xludf.DUMMYFUNCTION("""COMPUTED_VALUE"""),2.0)</f>
        <v>2</v>
      </c>
      <c r="D239" s="6" t="str">
        <f>IFERROR(__xludf.DUMMYFUNCTION("""COMPUTED_VALUE"""),"S-60002-00")</f>
        <v>S-60002-00</v>
      </c>
      <c r="E239" s="6" t="str">
        <f>IFERROR(__xludf.DUMMYFUNCTION("""COMPUTED_VALUE"""),"Biaya Pengiriman Zenner Barier Pepperl + Fuchs")</f>
        <v>Biaya Pengiriman Zenner Barier Pepperl + Fuchs</v>
      </c>
      <c r="F239" s="6">
        <f>IFERROR(__xludf.DUMMYFUNCTION("""COMPUTED_VALUE"""),1.0)</f>
        <v>1</v>
      </c>
      <c r="G239" s="6" t="str">
        <f>IFERROR(__xludf.DUMMYFUNCTION("""COMPUTED_VALUE"""),"Lot")</f>
        <v>Lot</v>
      </c>
      <c r="H239" s="6" t="str">
        <f>IFERROR(__xludf.DUMMYFUNCTION("""COMPUTED_VALUE"""),"IDR")</f>
        <v>IDR</v>
      </c>
      <c r="I239" s="11">
        <f>IFERROR(__xludf.DUMMYFUNCTION("""COMPUTED_VALUE"""),140000.0)</f>
        <v>140000</v>
      </c>
      <c r="J239" s="11">
        <f>IFERROR(__xludf.DUMMYFUNCTION("""COMPUTED_VALUE"""),140000.0)</f>
        <v>140000</v>
      </c>
      <c r="K239" s="13">
        <f>IFERROR(__xludf.DUMMYFUNCTION("""COMPUTED_VALUE"""),43273.0)</f>
        <v>43273</v>
      </c>
      <c r="L239" s="6" t="str">
        <f>IFERROR(__xludf.DUMMYFUNCTION("""COMPUTED_VALUE"""),"FIP General")</f>
        <v>FIP General</v>
      </c>
      <c r="M239" s="6" t="str">
        <f>IFERROR(__xludf.DUMMYFUNCTION("""COMPUTED_VALUE"""),"Joko Nugroho")</f>
        <v>Joko Nugroho</v>
      </c>
      <c r="N239" s="6" t="str">
        <f>IFERROR(__xludf.DUMMYFUNCTION("""COMPUTED_VALUE"""),"FIP Engineering")</f>
        <v>FIP Engineering</v>
      </c>
      <c r="O239" s="6" t="str">
        <f>IFERROR(__xludf.DUMMYFUNCTION("""COMPUTED_VALUE"""),"FIP-DOM-ENG-51508-0000000-INA-000000")</f>
        <v>FIP-DOM-ENG-51508-0000000-INA-000000</v>
      </c>
      <c r="P239" s="6" t="str">
        <f>IFERROR(__xludf.DUMMYFUNCTION("""COMPUTED_VALUE"""),"PO Closed")</f>
        <v>PO Closed</v>
      </c>
      <c r="Q239" s="6" t="str">
        <f>IFERROR(__xludf.DUMMYFUNCTION("""COMPUTED_VALUE"""),"GL1806049")</f>
        <v>GL1806049</v>
      </c>
      <c r="R239" s="16">
        <f>IFERROR(__xludf.DUMMYFUNCTION("""COMPUTED_VALUE"""),43255.0)</f>
        <v>43255</v>
      </c>
      <c r="S239" s="6" t="str">
        <f>IFERROR(__xludf.DUMMYFUNCTION("""COMPUTED_VALUE"""),"-")</f>
        <v>-</v>
      </c>
      <c r="T239" s="13">
        <f>IFERROR(__xludf.DUMMYFUNCTION("""COMPUTED_VALUE"""),43283.0)</f>
        <v>43283</v>
      </c>
    </row>
    <row r="240">
      <c r="A240" s="6" t="str">
        <f>IFERROR(__xludf.DUMMYFUNCTION("""COMPUTED_VALUE"""),"181750184-3")</f>
        <v>181750184-3</v>
      </c>
      <c r="B240" s="6" t="str">
        <f>IFERROR(__xludf.DUMMYFUNCTION("""COMPUTED_VALUE"""),"181750184 - Approved")</f>
        <v>181750184 - Approved</v>
      </c>
      <c r="C240" s="6">
        <f>IFERROR(__xludf.DUMMYFUNCTION("""COMPUTED_VALUE"""),3.0)</f>
        <v>3</v>
      </c>
      <c r="D240" s="6" t="str">
        <f>IFERROR(__xludf.DUMMYFUNCTION("""COMPUTED_VALUE"""),"P-53259-00")</f>
        <v>P-53259-00</v>
      </c>
      <c r="E240" s="6" t="str">
        <f>IFERROR(__xludf.DUMMYFUNCTION("""COMPUTED_VALUE"""),"UV Sensor PIN : 270264040; Hanovia; ;")</f>
        <v>UV Sensor PIN : 270264040; Hanovia; ;</v>
      </c>
      <c r="F240" s="6">
        <f>IFERROR(__xludf.DUMMYFUNCTION("""COMPUTED_VALUE"""),1.0)</f>
        <v>1</v>
      </c>
      <c r="G240" s="6" t="str">
        <f>IFERROR(__xludf.DUMMYFUNCTION("""COMPUTED_VALUE"""),"Unit")</f>
        <v>Unit</v>
      </c>
      <c r="H240" s="6" t="str">
        <f>IFERROR(__xludf.DUMMYFUNCTION("""COMPUTED_VALUE"""),"IDR")</f>
        <v>IDR</v>
      </c>
      <c r="I240" s="11">
        <f>IFERROR(__xludf.DUMMYFUNCTION("""COMPUTED_VALUE"""),1.836E7)</f>
        <v>18360000</v>
      </c>
      <c r="J240" s="11">
        <f>IFERROR(__xludf.DUMMYFUNCTION("""COMPUTED_VALUE"""),1.836E7)</f>
        <v>18360000</v>
      </c>
      <c r="K240" s="13">
        <f>IFERROR(__xludf.DUMMYFUNCTION("""COMPUTED_VALUE"""),43283.0)</f>
        <v>43283</v>
      </c>
      <c r="L240" s="6" t="str">
        <f>IFERROR(__xludf.DUMMYFUNCTION("""COMPUTED_VALUE"""),"FIP Engineering")</f>
        <v>FIP Engineering</v>
      </c>
      <c r="M240" s="6" t="str">
        <f>IFERROR(__xludf.DUMMYFUNCTION("""COMPUTED_VALUE"""),"Joko Nugroho")</f>
        <v>Joko Nugroho</v>
      </c>
      <c r="N240" s="6" t="str">
        <f>IFERROR(__xludf.DUMMYFUNCTION("""COMPUTED_VALUE"""),"FIP Engineering")</f>
        <v>FIP Engineering</v>
      </c>
      <c r="O240" s="6" t="str">
        <f>IFERROR(__xludf.DUMMYFUNCTION("""COMPUTED_VALUE"""),"FIP-DOM-000-11304-OS00001-INA-000000")</f>
        <v>FIP-DOM-000-11304-OS00001-INA-000000</v>
      </c>
      <c r="P240" s="6" t="str">
        <f>IFERROR(__xludf.DUMMYFUNCTION("""COMPUTED_VALUE"""),"PO Closed")</f>
        <v>PO Closed</v>
      </c>
      <c r="Q240" s="6" t="str">
        <f>IFERROR(__xludf.DUMMYFUNCTION("""COMPUTED_VALUE"""),"GL1806052")</f>
        <v>GL1806052</v>
      </c>
      <c r="R240" s="16">
        <f>IFERROR(__xludf.DUMMYFUNCTION("""COMPUTED_VALUE"""),43255.0)</f>
        <v>43255</v>
      </c>
      <c r="S240" s="6" t="str">
        <f>IFERROR(__xludf.DUMMYFUNCTION("""COMPUTED_VALUE"""),"-")</f>
        <v>-</v>
      </c>
      <c r="T240" s="13">
        <f>IFERROR(__xludf.DUMMYFUNCTION("""COMPUTED_VALUE"""),43384.0)</f>
        <v>43384</v>
      </c>
    </row>
    <row r="241">
      <c r="A241" s="6" t="str">
        <f>IFERROR(__xludf.DUMMYFUNCTION("""COMPUTED_VALUE"""),"181750202-1")</f>
        <v>181750202-1</v>
      </c>
      <c r="B241" s="6" t="str">
        <f>IFERROR(__xludf.DUMMYFUNCTION("""COMPUTED_VALUE"""),"181750202 - Approved")</f>
        <v>181750202 - Approved</v>
      </c>
      <c r="C241" s="6">
        <f>IFERROR(__xludf.DUMMYFUNCTION("""COMPUTED_VALUE"""),1.0)</f>
        <v>1</v>
      </c>
      <c r="D241" s="6" t="str">
        <f>IFERROR(__xludf.DUMMYFUNCTION("""COMPUTED_VALUE"""),"P-13417-00")</f>
        <v>P-13417-00</v>
      </c>
      <c r="E241" s="6" t="str">
        <f>IFERROR(__xludf.DUMMYFUNCTION("""COMPUTED_VALUE"""),"BALLPOINT HEX KEY L 1.5-10MM 9PCS; Krisbow; Part No. KW0101634;")</f>
        <v>BALLPOINT HEX KEY L 1.5-10MM 9PCS; Krisbow; Part No. KW0101634;</v>
      </c>
      <c r="F241" s="6">
        <f>IFERROR(__xludf.DUMMYFUNCTION("""COMPUTED_VALUE"""),2.0)</f>
        <v>2</v>
      </c>
      <c r="G241" s="6" t="str">
        <f>IFERROR(__xludf.DUMMYFUNCTION("""COMPUTED_VALUE"""),"Pieces")</f>
        <v>Pieces</v>
      </c>
      <c r="H241" s="6" t="str">
        <f>IFERROR(__xludf.DUMMYFUNCTION("""COMPUTED_VALUE"""),"IDR")</f>
        <v>IDR</v>
      </c>
      <c r="I241" s="11">
        <f>IFERROR(__xludf.DUMMYFUNCTION("""COMPUTED_VALUE"""),109650.0)</f>
        <v>109650</v>
      </c>
      <c r="J241" s="11">
        <f>IFERROR(__xludf.DUMMYFUNCTION("""COMPUTED_VALUE"""),219300.0)</f>
        <v>219300</v>
      </c>
      <c r="K241" s="17">
        <f>IFERROR(__xludf.DUMMYFUNCTION("""COMPUTED_VALUE"""),43283.0)</f>
        <v>43283</v>
      </c>
      <c r="L241" s="6" t="str">
        <f>IFERROR(__xludf.DUMMYFUNCTION("""COMPUTED_VALUE"""),"FIP General")</f>
        <v>FIP General</v>
      </c>
      <c r="M241" s="6" t="str">
        <f>IFERROR(__xludf.DUMMYFUNCTION("""COMPUTED_VALUE"""),"Joko Nugroho")</f>
        <v>Joko Nugroho</v>
      </c>
      <c r="N241" s="6" t="str">
        <f>IFERROR(__xludf.DUMMYFUNCTION("""COMPUTED_VALUE"""),"FIP Engineering")</f>
        <v>FIP Engineering</v>
      </c>
      <c r="O241" s="6" t="str">
        <f>IFERROR(__xludf.DUMMYFUNCTION("""COMPUTED_VALUE"""),"FIP-DOM-ENG-51404-0000000-INA-000000")</f>
        <v>FIP-DOM-ENG-51404-0000000-INA-000000</v>
      </c>
      <c r="P241" s="6" t="str">
        <f>IFERROR(__xludf.DUMMYFUNCTION("""COMPUTED_VALUE"""),"PO Closed")</f>
        <v>PO Closed</v>
      </c>
      <c r="Q241" s="6" t="str">
        <f>IFERROR(__xludf.DUMMYFUNCTION("""COMPUTED_VALUE"""),"GL1806047")</f>
        <v>GL1806047</v>
      </c>
      <c r="R241" s="16">
        <f>IFERROR(__xludf.DUMMYFUNCTION("""COMPUTED_VALUE"""),43256.0)</f>
        <v>43256</v>
      </c>
      <c r="S241" s="6" t="str">
        <f>IFERROR(__xludf.DUMMYFUNCTION("""COMPUTED_VALUE"""),"-")</f>
        <v>-</v>
      </c>
      <c r="T241" s="13">
        <f>IFERROR(__xludf.DUMMYFUNCTION("""COMPUTED_VALUE"""),43307.0)</f>
        <v>43307</v>
      </c>
    </row>
    <row r="242">
      <c r="A242" s="6" t="str">
        <f>IFERROR(__xludf.DUMMYFUNCTION("""COMPUTED_VALUE"""),"181750202-2")</f>
        <v>181750202-2</v>
      </c>
      <c r="B242" s="6" t="str">
        <f>IFERROR(__xludf.DUMMYFUNCTION("""COMPUTED_VALUE"""),"181750202 - Approved")</f>
        <v>181750202 - Approved</v>
      </c>
      <c r="C242" s="6">
        <f>IFERROR(__xludf.DUMMYFUNCTION("""COMPUTED_VALUE"""),2.0)</f>
        <v>2</v>
      </c>
      <c r="D242" s="6" t="str">
        <f>IFERROR(__xludf.DUMMYFUNCTION("""COMPUTED_VALUE"""),"P-13415-00")</f>
        <v>P-13415-00</v>
      </c>
      <c r="E242" s="6" t="str">
        <f>IFERROR(__xludf.DUMMYFUNCTION("""COMPUTED_VALUE"""),"DIAGONAL CUTTER PLIER 6INC; Krisbow; Part No. KW0101358;")</f>
        <v>DIAGONAL CUTTER PLIER 6INC; Krisbow; Part No. KW0101358;</v>
      </c>
      <c r="F242" s="6">
        <f>IFERROR(__xludf.DUMMYFUNCTION("""COMPUTED_VALUE"""),1.0)</f>
        <v>1</v>
      </c>
      <c r="G242" s="6" t="str">
        <f>IFERROR(__xludf.DUMMYFUNCTION("""COMPUTED_VALUE"""),"Pieces")</f>
        <v>Pieces</v>
      </c>
      <c r="H242" s="6" t="str">
        <f>IFERROR(__xludf.DUMMYFUNCTION("""COMPUTED_VALUE"""),"IDR")</f>
        <v>IDR</v>
      </c>
      <c r="I242" s="11">
        <f>IFERROR(__xludf.DUMMYFUNCTION("""COMPUTED_VALUE"""),110500.0)</f>
        <v>110500</v>
      </c>
      <c r="J242" s="11">
        <f>IFERROR(__xludf.DUMMYFUNCTION("""COMPUTED_VALUE"""),110500.0)</f>
        <v>110500</v>
      </c>
      <c r="K242" s="13">
        <f>IFERROR(__xludf.DUMMYFUNCTION("""COMPUTED_VALUE"""),43283.0)</f>
        <v>43283</v>
      </c>
      <c r="L242" s="6" t="str">
        <f>IFERROR(__xludf.DUMMYFUNCTION("""COMPUTED_VALUE"""),"FIP General")</f>
        <v>FIP General</v>
      </c>
      <c r="M242" s="6" t="str">
        <f>IFERROR(__xludf.DUMMYFUNCTION("""COMPUTED_VALUE"""),"Joko Nugroho")</f>
        <v>Joko Nugroho</v>
      </c>
      <c r="N242" s="6" t="str">
        <f>IFERROR(__xludf.DUMMYFUNCTION("""COMPUTED_VALUE"""),"FIP Engineering")</f>
        <v>FIP Engineering</v>
      </c>
      <c r="O242" s="6" t="str">
        <f>IFERROR(__xludf.DUMMYFUNCTION("""COMPUTED_VALUE"""),"FIP-DOM-ENG-51404-0000000-INA-000000")</f>
        <v>FIP-DOM-ENG-51404-0000000-INA-000000</v>
      </c>
      <c r="P242" s="6" t="str">
        <f>IFERROR(__xludf.DUMMYFUNCTION("""COMPUTED_VALUE"""),"PO Closed")</f>
        <v>PO Closed</v>
      </c>
      <c r="Q242" s="6" t="str">
        <f>IFERROR(__xludf.DUMMYFUNCTION("""COMPUTED_VALUE"""),"GL1806047")</f>
        <v>GL1806047</v>
      </c>
      <c r="R242" s="16">
        <f>IFERROR(__xludf.DUMMYFUNCTION("""COMPUTED_VALUE"""),43256.0)</f>
        <v>43256</v>
      </c>
      <c r="S242" s="6" t="str">
        <f>IFERROR(__xludf.DUMMYFUNCTION("""COMPUTED_VALUE"""),"-")</f>
        <v>-</v>
      </c>
      <c r="T242" s="13">
        <f>IFERROR(__xludf.DUMMYFUNCTION("""COMPUTED_VALUE"""),43307.0)</f>
        <v>43307</v>
      </c>
    </row>
    <row r="243">
      <c r="A243" s="6" t="str">
        <f>IFERROR(__xludf.DUMMYFUNCTION("""COMPUTED_VALUE"""),"181750202-3")</f>
        <v>181750202-3</v>
      </c>
      <c r="B243" s="6" t="str">
        <f>IFERROR(__xludf.DUMMYFUNCTION("""COMPUTED_VALUE"""),"181750202 - Approved")</f>
        <v>181750202 - Approved</v>
      </c>
      <c r="C243" s="6">
        <f>IFERROR(__xludf.DUMMYFUNCTION("""COMPUTED_VALUE"""),3.0)</f>
        <v>3</v>
      </c>
      <c r="D243" s="6" t="str">
        <f>IFERROR(__xludf.DUMMYFUNCTION("""COMPUTED_VALUE"""),"P-13414-00")</f>
        <v>P-13414-00</v>
      </c>
      <c r="E243" s="6" t="str">
        <f>IFERROR(__xludf.DUMMYFUNCTION("""COMPUTED_VALUE"""),"COMBINATION PLIER 6INC; Krisbow; Part No. KW0101352;")</f>
        <v>COMBINATION PLIER 6INC; Krisbow; Part No. KW0101352;</v>
      </c>
      <c r="F243" s="6">
        <f>IFERROR(__xludf.DUMMYFUNCTION("""COMPUTED_VALUE"""),3.0)</f>
        <v>3</v>
      </c>
      <c r="G243" s="6" t="str">
        <f>IFERROR(__xludf.DUMMYFUNCTION("""COMPUTED_VALUE"""),"Pieces")</f>
        <v>Pieces</v>
      </c>
      <c r="H243" s="6" t="str">
        <f>IFERROR(__xludf.DUMMYFUNCTION("""COMPUTED_VALUE"""),"IDR")</f>
        <v>IDR</v>
      </c>
      <c r="I243" s="11">
        <f>IFERROR(__xludf.DUMMYFUNCTION("""COMPUTED_VALUE"""),106250.0)</f>
        <v>106250</v>
      </c>
      <c r="J243" s="11">
        <f>IFERROR(__xludf.DUMMYFUNCTION("""COMPUTED_VALUE"""),318750.0)</f>
        <v>318750</v>
      </c>
      <c r="K243" s="13">
        <f>IFERROR(__xludf.DUMMYFUNCTION("""COMPUTED_VALUE"""),43283.0)</f>
        <v>43283</v>
      </c>
      <c r="L243" s="6" t="str">
        <f>IFERROR(__xludf.DUMMYFUNCTION("""COMPUTED_VALUE"""),"FIP General")</f>
        <v>FIP General</v>
      </c>
      <c r="M243" s="6" t="str">
        <f>IFERROR(__xludf.DUMMYFUNCTION("""COMPUTED_VALUE"""),"Joko Nugroho")</f>
        <v>Joko Nugroho</v>
      </c>
      <c r="N243" s="6" t="str">
        <f>IFERROR(__xludf.DUMMYFUNCTION("""COMPUTED_VALUE"""),"FIP Engineering")</f>
        <v>FIP Engineering</v>
      </c>
      <c r="O243" s="6" t="str">
        <f>IFERROR(__xludf.DUMMYFUNCTION("""COMPUTED_VALUE"""),"FIP-DOM-ENG-51404-0000000-INA-000000")</f>
        <v>FIP-DOM-ENG-51404-0000000-INA-000000</v>
      </c>
      <c r="P243" s="6" t="str">
        <f>IFERROR(__xludf.DUMMYFUNCTION("""COMPUTED_VALUE"""),"PO Closed")</f>
        <v>PO Closed</v>
      </c>
      <c r="Q243" s="6" t="str">
        <f>IFERROR(__xludf.DUMMYFUNCTION("""COMPUTED_VALUE"""),"GL1806047")</f>
        <v>GL1806047</v>
      </c>
      <c r="R243" s="16">
        <f>IFERROR(__xludf.DUMMYFUNCTION("""COMPUTED_VALUE"""),43256.0)</f>
        <v>43256</v>
      </c>
      <c r="S243" s="6" t="str">
        <f>IFERROR(__xludf.DUMMYFUNCTION("""COMPUTED_VALUE"""),"-")</f>
        <v>-</v>
      </c>
      <c r="T243" s="13">
        <f>IFERROR(__xludf.DUMMYFUNCTION("""COMPUTED_VALUE"""),43307.0)</f>
        <v>43307</v>
      </c>
    </row>
    <row r="244">
      <c r="A244" s="6" t="str">
        <f>IFERROR(__xludf.DUMMYFUNCTION("""COMPUTED_VALUE"""),"181750202-4")</f>
        <v>181750202-4</v>
      </c>
      <c r="B244" s="6" t="str">
        <f>IFERROR(__xludf.DUMMYFUNCTION("""COMPUTED_VALUE"""),"181750202 - Approved")</f>
        <v>181750202 - Approved</v>
      </c>
      <c r="C244" s="6">
        <f>IFERROR(__xludf.DUMMYFUNCTION("""COMPUTED_VALUE"""),4.0)</f>
        <v>4</v>
      </c>
      <c r="D244" s="6" t="str">
        <f>IFERROR(__xludf.DUMMYFUNCTION("""COMPUTED_VALUE"""),"P-13413-00")</f>
        <v>P-13413-00</v>
      </c>
      <c r="E244" s="6" t="str">
        <f>IFERROR(__xludf.DUMMYFUNCTION("""COMPUTED_VALUE"""),"ELECTRICIAN SCREWDRIVER PZ 6X100MM; Krisbow; Part No. KW0100765;")</f>
        <v>ELECTRICIAN SCREWDRIVER PZ 6X100MM; Krisbow; Part No. KW0100765;</v>
      </c>
      <c r="F244" s="6">
        <f>IFERROR(__xludf.DUMMYFUNCTION("""COMPUTED_VALUE"""),3.0)</f>
        <v>3</v>
      </c>
      <c r="G244" s="6" t="str">
        <f>IFERROR(__xludf.DUMMYFUNCTION("""COMPUTED_VALUE"""),"Pieces")</f>
        <v>Pieces</v>
      </c>
      <c r="H244" s="6" t="str">
        <f>IFERROR(__xludf.DUMMYFUNCTION("""COMPUTED_VALUE"""),"IDR")</f>
        <v>IDR</v>
      </c>
      <c r="I244" s="11">
        <f>IFERROR(__xludf.DUMMYFUNCTION("""COMPUTED_VALUE"""),21255.0)</f>
        <v>21255</v>
      </c>
      <c r="J244" s="11">
        <f>IFERROR(__xludf.DUMMYFUNCTION("""COMPUTED_VALUE"""),63765.0)</f>
        <v>63765</v>
      </c>
      <c r="K244" s="13">
        <f>IFERROR(__xludf.DUMMYFUNCTION("""COMPUTED_VALUE"""),43283.0)</f>
        <v>43283</v>
      </c>
      <c r="L244" s="6" t="str">
        <f>IFERROR(__xludf.DUMMYFUNCTION("""COMPUTED_VALUE"""),"FIP General")</f>
        <v>FIP General</v>
      </c>
      <c r="M244" s="6" t="str">
        <f>IFERROR(__xludf.DUMMYFUNCTION("""COMPUTED_VALUE"""),"Joko Nugroho")</f>
        <v>Joko Nugroho</v>
      </c>
      <c r="N244" s="6" t="str">
        <f>IFERROR(__xludf.DUMMYFUNCTION("""COMPUTED_VALUE"""),"FIP Engineering")</f>
        <v>FIP Engineering</v>
      </c>
      <c r="O244" s="6" t="str">
        <f>IFERROR(__xludf.DUMMYFUNCTION("""COMPUTED_VALUE"""),"FIP-DOM-ENG-51404-0000000-INA-000000")</f>
        <v>FIP-DOM-ENG-51404-0000000-INA-000000</v>
      </c>
      <c r="P244" s="6" t="str">
        <f>IFERROR(__xludf.DUMMYFUNCTION("""COMPUTED_VALUE"""),"PO Closed")</f>
        <v>PO Closed</v>
      </c>
      <c r="Q244" s="6" t="str">
        <f>IFERROR(__xludf.DUMMYFUNCTION("""COMPUTED_VALUE"""),"GL1806047")</f>
        <v>GL1806047</v>
      </c>
      <c r="R244" s="16">
        <f>IFERROR(__xludf.DUMMYFUNCTION("""COMPUTED_VALUE"""),43256.0)</f>
        <v>43256</v>
      </c>
      <c r="S244" s="6" t="str">
        <f>IFERROR(__xludf.DUMMYFUNCTION("""COMPUTED_VALUE"""),"-")</f>
        <v>-</v>
      </c>
      <c r="T244" s="13">
        <f>IFERROR(__xludf.DUMMYFUNCTION("""COMPUTED_VALUE"""),43307.0)</f>
        <v>43307</v>
      </c>
    </row>
    <row r="245">
      <c r="A245" s="6" t="str">
        <f>IFERROR(__xludf.DUMMYFUNCTION("""COMPUTED_VALUE"""),"181750202-5")</f>
        <v>181750202-5</v>
      </c>
      <c r="B245" s="6" t="str">
        <f>IFERROR(__xludf.DUMMYFUNCTION("""COMPUTED_VALUE"""),"181750202 - Approved")</f>
        <v>181750202 - Approved</v>
      </c>
      <c r="C245" s="6">
        <f>IFERROR(__xludf.DUMMYFUNCTION("""COMPUTED_VALUE"""),5.0)</f>
        <v>5</v>
      </c>
      <c r="D245" s="6" t="str">
        <f>IFERROR(__xludf.DUMMYFUNCTION("""COMPUTED_VALUE"""),"P-13412-00")</f>
        <v>P-13412-00</v>
      </c>
      <c r="E245" s="6" t="str">
        <f>IFERROR(__xludf.DUMMYFUNCTION("""COMPUTED_VALUE"""),"SCREWDRIVER SET 4PCS; Krisbow; Part No. KW0101633;")</f>
        <v>SCREWDRIVER SET 4PCS; Krisbow; Part No. KW0101633;</v>
      </c>
      <c r="F245" s="6">
        <f>IFERROR(__xludf.DUMMYFUNCTION("""COMPUTED_VALUE"""),3.0)</f>
        <v>3</v>
      </c>
      <c r="G245" s="6" t="str">
        <f>IFERROR(__xludf.DUMMYFUNCTION("""COMPUTED_VALUE"""),"Pieces")</f>
        <v>Pieces</v>
      </c>
      <c r="H245" s="6" t="str">
        <f>IFERROR(__xludf.DUMMYFUNCTION("""COMPUTED_VALUE"""),"IDR")</f>
        <v>IDR</v>
      </c>
      <c r="I245" s="11">
        <f>IFERROR(__xludf.DUMMYFUNCTION("""COMPUTED_VALUE"""),69190.0)</f>
        <v>69190</v>
      </c>
      <c r="J245" s="11">
        <f>IFERROR(__xludf.DUMMYFUNCTION("""COMPUTED_VALUE"""),207570.0)</f>
        <v>207570</v>
      </c>
      <c r="K245" s="13">
        <f>IFERROR(__xludf.DUMMYFUNCTION("""COMPUTED_VALUE"""),43283.0)</f>
        <v>43283</v>
      </c>
      <c r="L245" s="6" t="str">
        <f>IFERROR(__xludf.DUMMYFUNCTION("""COMPUTED_VALUE"""),"FIP General")</f>
        <v>FIP General</v>
      </c>
      <c r="M245" s="6" t="str">
        <f>IFERROR(__xludf.DUMMYFUNCTION("""COMPUTED_VALUE"""),"Joko Nugroho")</f>
        <v>Joko Nugroho</v>
      </c>
      <c r="N245" s="6" t="str">
        <f>IFERROR(__xludf.DUMMYFUNCTION("""COMPUTED_VALUE"""),"FIP Engineering")</f>
        <v>FIP Engineering</v>
      </c>
      <c r="O245" s="6" t="str">
        <f>IFERROR(__xludf.DUMMYFUNCTION("""COMPUTED_VALUE"""),"FIP-DOM-ENG-51404-0000000-INA-000000")</f>
        <v>FIP-DOM-ENG-51404-0000000-INA-000000</v>
      </c>
      <c r="P245" s="6" t="str">
        <f>IFERROR(__xludf.DUMMYFUNCTION("""COMPUTED_VALUE"""),"PO Closed")</f>
        <v>PO Closed</v>
      </c>
      <c r="Q245" s="6" t="str">
        <f>IFERROR(__xludf.DUMMYFUNCTION("""COMPUTED_VALUE"""),"GL1806047")</f>
        <v>GL1806047</v>
      </c>
      <c r="R245" s="16">
        <f>IFERROR(__xludf.DUMMYFUNCTION("""COMPUTED_VALUE"""),43256.0)</f>
        <v>43256</v>
      </c>
      <c r="S245" s="6" t="str">
        <f>IFERROR(__xludf.DUMMYFUNCTION("""COMPUTED_VALUE"""),"-")</f>
        <v>-</v>
      </c>
      <c r="T245" s="13">
        <f>IFERROR(__xludf.DUMMYFUNCTION("""COMPUTED_VALUE"""),43307.0)</f>
        <v>43307</v>
      </c>
    </row>
    <row r="246">
      <c r="A246" s="6" t="str">
        <f>IFERROR(__xludf.DUMMYFUNCTION("""COMPUTED_VALUE"""),"181750202-6")</f>
        <v>181750202-6</v>
      </c>
      <c r="B246" s="6" t="str">
        <f>IFERROR(__xludf.DUMMYFUNCTION("""COMPUTED_VALUE"""),"181750202 - Approved")</f>
        <v>181750202 - Approved</v>
      </c>
      <c r="C246" s="6">
        <f>IFERROR(__xludf.DUMMYFUNCTION("""COMPUTED_VALUE"""),6.0)</f>
        <v>6</v>
      </c>
      <c r="D246" s="6" t="str">
        <f>IFERROR(__xludf.DUMMYFUNCTION("""COMPUTED_VALUE"""),"P-13408-00")</f>
        <v>P-13408-00</v>
      </c>
      <c r="E246" s="6" t="str">
        <f>IFERROR(__xludf.DUMMYFUNCTION("""COMPUTED_VALUE"""),"OPEN END WRENCH SET 6-32MM 12PCS; Krisbow; Part No. KW0100297;")</f>
        <v>OPEN END WRENCH SET 6-32MM 12PCS; Krisbow; Part No. KW0100297;</v>
      </c>
      <c r="F246" s="6">
        <f>IFERROR(__xludf.DUMMYFUNCTION("""COMPUTED_VALUE"""),1.0)</f>
        <v>1</v>
      </c>
      <c r="G246" s="6" t="str">
        <f>IFERROR(__xludf.DUMMYFUNCTION("""COMPUTED_VALUE"""),"Pieces")</f>
        <v>Pieces</v>
      </c>
      <c r="H246" s="6" t="str">
        <f>IFERROR(__xludf.DUMMYFUNCTION("""COMPUTED_VALUE"""),"IDR")</f>
        <v>IDR</v>
      </c>
      <c r="I246" s="11">
        <f>IFERROR(__xludf.DUMMYFUNCTION("""COMPUTED_VALUE"""),709750.0)</f>
        <v>709750</v>
      </c>
      <c r="J246" s="11">
        <f>IFERROR(__xludf.DUMMYFUNCTION("""COMPUTED_VALUE"""),709750.0)</f>
        <v>709750</v>
      </c>
      <c r="K246" s="13">
        <f>IFERROR(__xludf.DUMMYFUNCTION("""COMPUTED_VALUE"""),43283.0)</f>
        <v>43283</v>
      </c>
      <c r="L246" s="6" t="str">
        <f>IFERROR(__xludf.DUMMYFUNCTION("""COMPUTED_VALUE"""),"FIP General")</f>
        <v>FIP General</v>
      </c>
      <c r="M246" s="6" t="str">
        <f>IFERROR(__xludf.DUMMYFUNCTION("""COMPUTED_VALUE"""),"Joko Nugroho")</f>
        <v>Joko Nugroho</v>
      </c>
      <c r="N246" s="6" t="str">
        <f>IFERROR(__xludf.DUMMYFUNCTION("""COMPUTED_VALUE"""),"FIP Engineering")</f>
        <v>FIP Engineering</v>
      </c>
      <c r="O246" s="6" t="str">
        <f>IFERROR(__xludf.DUMMYFUNCTION("""COMPUTED_VALUE"""),"FIP-DOM-ENG-51404-0000000-INA-000000")</f>
        <v>FIP-DOM-ENG-51404-0000000-INA-000000</v>
      </c>
      <c r="P246" s="6" t="str">
        <f>IFERROR(__xludf.DUMMYFUNCTION("""COMPUTED_VALUE"""),"PO Closed")</f>
        <v>PO Closed</v>
      </c>
      <c r="Q246" s="6" t="str">
        <f>IFERROR(__xludf.DUMMYFUNCTION("""COMPUTED_VALUE"""),"GL1806047")</f>
        <v>GL1806047</v>
      </c>
      <c r="R246" s="16">
        <f>IFERROR(__xludf.DUMMYFUNCTION("""COMPUTED_VALUE"""),43256.0)</f>
        <v>43256</v>
      </c>
      <c r="S246" s="6" t="str">
        <f>IFERROR(__xludf.DUMMYFUNCTION("""COMPUTED_VALUE"""),"-")</f>
        <v>-</v>
      </c>
      <c r="T246" s="13">
        <f>IFERROR(__xludf.DUMMYFUNCTION("""COMPUTED_VALUE"""),43312.0)</f>
        <v>43312</v>
      </c>
    </row>
    <row r="247">
      <c r="A247" s="6" t="str">
        <f>IFERROR(__xludf.DUMMYFUNCTION("""COMPUTED_VALUE"""),"181750202-7")</f>
        <v>181750202-7</v>
      </c>
      <c r="B247" s="6" t="str">
        <f>IFERROR(__xludf.DUMMYFUNCTION("""COMPUTED_VALUE"""),"181750202 - Approved")</f>
        <v>181750202 - Approved</v>
      </c>
      <c r="C247" s="6">
        <f>IFERROR(__xludf.DUMMYFUNCTION("""COMPUTED_VALUE"""),7.0)</f>
        <v>7</v>
      </c>
      <c r="D247" s="6" t="str">
        <f>IFERROR(__xludf.DUMMYFUNCTION("""COMPUTED_VALUE"""),"P-13407-00")</f>
        <v>P-13407-00</v>
      </c>
      <c r="E247" s="6" t="str">
        <f>IFERROR(__xludf.DUMMYFUNCTION("""COMPUTED_VALUE"""),"OPEN END WRENCH SET 6-22MM 8PCS; Krisbow; Part No. KW0100296;")</f>
        <v>OPEN END WRENCH SET 6-22MM 8PCS; Krisbow; Part No. KW0100296;</v>
      </c>
      <c r="F247" s="6">
        <f>IFERROR(__xludf.DUMMYFUNCTION("""COMPUTED_VALUE"""),1.0)</f>
        <v>1</v>
      </c>
      <c r="G247" s="6" t="str">
        <f>IFERROR(__xludf.DUMMYFUNCTION("""COMPUTED_VALUE"""),"Pieces")</f>
        <v>Pieces</v>
      </c>
      <c r="H247" s="6" t="str">
        <f>IFERROR(__xludf.DUMMYFUNCTION("""COMPUTED_VALUE"""),"IDR")</f>
        <v>IDR</v>
      </c>
      <c r="I247" s="11">
        <f>IFERROR(__xludf.DUMMYFUNCTION("""COMPUTED_VALUE"""),334900.0)</f>
        <v>334900</v>
      </c>
      <c r="J247" s="11">
        <f>IFERROR(__xludf.DUMMYFUNCTION("""COMPUTED_VALUE"""),334900.0)</f>
        <v>334900</v>
      </c>
      <c r="K247" s="13">
        <f>IFERROR(__xludf.DUMMYFUNCTION("""COMPUTED_VALUE"""),43283.0)</f>
        <v>43283</v>
      </c>
      <c r="L247" s="6" t="str">
        <f>IFERROR(__xludf.DUMMYFUNCTION("""COMPUTED_VALUE"""),"FIP General")</f>
        <v>FIP General</v>
      </c>
      <c r="M247" s="6" t="str">
        <f>IFERROR(__xludf.DUMMYFUNCTION("""COMPUTED_VALUE"""),"Joko Nugroho")</f>
        <v>Joko Nugroho</v>
      </c>
      <c r="N247" s="6" t="str">
        <f>IFERROR(__xludf.DUMMYFUNCTION("""COMPUTED_VALUE"""),"FIP Engineering")</f>
        <v>FIP Engineering</v>
      </c>
      <c r="O247" s="6" t="str">
        <f>IFERROR(__xludf.DUMMYFUNCTION("""COMPUTED_VALUE"""),"FIP-DOM-ENG-51404-0000000-INA-000000")</f>
        <v>FIP-DOM-ENG-51404-0000000-INA-000000</v>
      </c>
      <c r="P247" s="6" t="str">
        <f>IFERROR(__xludf.DUMMYFUNCTION("""COMPUTED_VALUE"""),"PO Closed")</f>
        <v>PO Closed</v>
      </c>
      <c r="Q247" s="6" t="str">
        <f>IFERROR(__xludf.DUMMYFUNCTION("""COMPUTED_VALUE"""),"GL1806047")</f>
        <v>GL1806047</v>
      </c>
      <c r="R247" s="16">
        <f>IFERROR(__xludf.DUMMYFUNCTION("""COMPUTED_VALUE"""),43256.0)</f>
        <v>43256</v>
      </c>
      <c r="S247" s="6" t="str">
        <f>IFERROR(__xludf.DUMMYFUNCTION("""COMPUTED_VALUE"""),"-")</f>
        <v>-</v>
      </c>
      <c r="T247" s="13">
        <f>IFERROR(__xludf.DUMMYFUNCTION("""COMPUTED_VALUE"""),43312.0)</f>
        <v>43312</v>
      </c>
    </row>
    <row r="248">
      <c r="A248" s="6" t="str">
        <f>IFERROR(__xludf.DUMMYFUNCTION("""COMPUTED_VALUE"""),"181750202-8")</f>
        <v>181750202-8</v>
      </c>
      <c r="B248" s="6" t="str">
        <f>IFERROR(__xludf.DUMMYFUNCTION("""COMPUTED_VALUE"""),"181750202 - Approved")</f>
        <v>181750202 - Approved</v>
      </c>
      <c r="C248" s="6">
        <f>IFERROR(__xludf.DUMMYFUNCTION("""COMPUTED_VALUE"""),8.0)</f>
        <v>8</v>
      </c>
      <c r="D248" s="6" t="str">
        <f>IFERROR(__xludf.DUMMYFUNCTION("""COMPUTED_VALUE"""),"P-13406-00")</f>
        <v>P-13406-00</v>
      </c>
      <c r="E248" s="6" t="str">
        <f>IFERROR(__xludf.DUMMYFUNCTION("""COMPUTED_VALUE"""),"ADJUSTABLE WRENCH SOFTGRIP 6INC; Krisbow; Part No. KW0101962;")</f>
        <v>ADJUSTABLE WRENCH SOFTGRIP 6INC; Krisbow; Part No. KW0101962;</v>
      </c>
      <c r="F248" s="6">
        <f>IFERROR(__xludf.DUMMYFUNCTION("""COMPUTED_VALUE"""),3.0)</f>
        <v>3</v>
      </c>
      <c r="G248" s="6" t="str">
        <f>IFERROR(__xludf.DUMMYFUNCTION("""COMPUTED_VALUE"""),"Pieces")</f>
        <v>Pieces</v>
      </c>
      <c r="H248" s="6" t="str">
        <f>IFERROR(__xludf.DUMMYFUNCTION("""COMPUTED_VALUE"""),"IDR")</f>
        <v>IDR</v>
      </c>
      <c r="I248" s="11">
        <f>IFERROR(__xludf.DUMMYFUNCTION("""COMPUTED_VALUE"""),50150.0)</f>
        <v>50150</v>
      </c>
      <c r="J248" s="11">
        <f>IFERROR(__xludf.DUMMYFUNCTION("""COMPUTED_VALUE"""),150450.0)</f>
        <v>150450</v>
      </c>
      <c r="K248" s="13">
        <f>IFERROR(__xludf.DUMMYFUNCTION("""COMPUTED_VALUE"""),43283.0)</f>
        <v>43283</v>
      </c>
      <c r="L248" s="6" t="str">
        <f>IFERROR(__xludf.DUMMYFUNCTION("""COMPUTED_VALUE"""),"FIP General")</f>
        <v>FIP General</v>
      </c>
      <c r="M248" s="6" t="str">
        <f>IFERROR(__xludf.DUMMYFUNCTION("""COMPUTED_VALUE"""),"Joko Nugroho")</f>
        <v>Joko Nugroho</v>
      </c>
      <c r="N248" s="6" t="str">
        <f>IFERROR(__xludf.DUMMYFUNCTION("""COMPUTED_VALUE"""),"FIP Engineering")</f>
        <v>FIP Engineering</v>
      </c>
      <c r="O248" s="6" t="str">
        <f>IFERROR(__xludf.DUMMYFUNCTION("""COMPUTED_VALUE"""),"FIP-DOM-ENG-51404-0000000-INA-000000")</f>
        <v>FIP-DOM-ENG-51404-0000000-INA-000000</v>
      </c>
      <c r="P248" s="6" t="str">
        <f>IFERROR(__xludf.DUMMYFUNCTION("""COMPUTED_VALUE"""),"PO Closed")</f>
        <v>PO Closed</v>
      </c>
      <c r="Q248" s="6" t="str">
        <f>IFERROR(__xludf.DUMMYFUNCTION("""COMPUTED_VALUE"""),"GL1806047")</f>
        <v>GL1806047</v>
      </c>
      <c r="R248" s="16">
        <f>IFERROR(__xludf.DUMMYFUNCTION("""COMPUTED_VALUE"""),43256.0)</f>
        <v>43256</v>
      </c>
      <c r="S248" s="6" t="str">
        <f>IFERROR(__xludf.DUMMYFUNCTION("""COMPUTED_VALUE"""),"-")</f>
        <v>-</v>
      </c>
      <c r="T248" s="13">
        <f>IFERROR(__xludf.DUMMYFUNCTION("""COMPUTED_VALUE"""),43307.0)</f>
        <v>43307</v>
      </c>
    </row>
    <row r="249">
      <c r="A249" s="6" t="str">
        <f>IFERROR(__xludf.DUMMYFUNCTION("""COMPUTED_VALUE"""),"181750202-9")</f>
        <v>181750202-9</v>
      </c>
      <c r="B249" s="6" t="str">
        <f>IFERROR(__xludf.DUMMYFUNCTION("""COMPUTED_VALUE"""),"181750202 - Approved")</f>
        <v>181750202 - Approved</v>
      </c>
      <c r="C249" s="6">
        <f>IFERROR(__xludf.DUMMYFUNCTION("""COMPUTED_VALUE"""),9.0)</f>
        <v>9</v>
      </c>
      <c r="D249" s="6" t="str">
        <f>IFERROR(__xludf.DUMMYFUNCTION("""COMPUTED_VALUE"""),"P-13405-00")</f>
        <v>P-13405-00</v>
      </c>
      <c r="E249" s="6" t="str">
        <f>IFERROR(__xludf.DUMMYFUNCTION("""COMPUTED_VALUE"""),"COMBINATION WRENCH SET 6-32MM 16PCS; Krisbow; Part No. KW0100333;")</f>
        <v>COMBINATION WRENCH SET 6-32MM 16PCS; Krisbow; Part No. KW0100333;</v>
      </c>
      <c r="F249" s="6">
        <f>IFERROR(__xludf.DUMMYFUNCTION("""COMPUTED_VALUE"""),2.0)</f>
        <v>2</v>
      </c>
      <c r="G249" s="6" t="str">
        <f>IFERROR(__xludf.DUMMYFUNCTION("""COMPUTED_VALUE"""),"Pieces")</f>
        <v>Pieces</v>
      </c>
      <c r="H249" s="6" t="str">
        <f>IFERROR(__xludf.DUMMYFUNCTION("""COMPUTED_VALUE"""),"IDR")</f>
        <v>IDR</v>
      </c>
      <c r="I249" s="11">
        <f>IFERROR(__xludf.DUMMYFUNCTION("""COMPUTED_VALUE"""),841500.0)</f>
        <v>841500</v>
      </c>
      <c r="J249" s="11">
        <f>IFERROR(__xludf.DUMMYFUNCTION("""COMPUTED_VALUE"""),1683000.0)</f>
        <v>1683000</v>
      </c>
      <c r="K249" s="13">
        <f>IFERROR(__xludf.DUMMYFUNCTION("""COMPUTED_VALUE"""),43283.0)</f>
        <v>43283</v>
      </c>
      <c r="L249" s="6" t="str">
        <f>IFERROR(__xludf.DUMMYFUNCTION("""COMPUTED_VALUE"""),"FIP General")</f>
        <v>FIP General</v>
      </c>
      <c r="M249" s="6" t="str">
        <f>IFERROR(__xludf.DUMMYFUNCTION("""COMPUTED_VALUE"""),"Joko Nugroho")</f>
        <v>Joko Nugroho</v>
      </c>
      <c r="N249" s="6" t="str">
        <f>IFERROR(__xludf.DUMMYFUNCTION("""COMPUTED_VALUE"""),"FIP Engineering")</f>
        <v>FIP Engineering</v>
      </c>
      <c r="O249" s="6" t="str">
        <f>IFERROR(__xludf.DUMMYFUNCTION("""COMPUTED_VALUE"""),"FIP-DOM-ENG-51404-0000000-INA-000000")</f>
        <v>FIP-DOM-ENG-51404-0000000-INA-000000</v>
      </c>
      <c r="P249" s="6" t="str">
        <f>IFERROR(__xludf.DUMMYFUNCTION("""COMPUTED_VALUE"""),"PO Closed")</f>
        <v>PO Closed</v>
      </c>
      <c r="Q249" s="6" t="str">
        <f>IFERROR(__xludf.DUMMYFUNCTION("""COMPUTED_VALUE"""),"GL1806047")</f>
        <v>GL1806047</v>
      </c>
      <c r="R249" s="16">
        <f>IFERROR(__xludf.DUMMYFUNCTION("""COMPUTED_VALUE"""),43256.0)</f>
        <v>43256</v>
      </c>
      <c r="S249" s="6" t="str">
        <f>IFERROR(__xludf.DUMMYFUNCTION("""COMPUTED_VALUE"""),"-")</f>
        <v>-</v>
      </c>
      <c r="T249" s="13">
        <f>IFERROR(__xludf.DUMMYFUNCTION("""COMPUTED_VALUE"""),43307.0)</f>
        <v>43307</v>
      </c>
    </row>
    <row r="250">
      <c r="A250" s="6" t="str">
        <f>IFERROR(__xludf.DUMMYFUNCTION("""COMPUTED_VALUE"""),"181750202-10")</f>
        <v>181750202-10</v>
      </c>
      <c r="B250" s="6" t="str">
        <f>IFERROR(__xludf.DUMMYFUNCTION("""COMPUTED_VALUE"""),"181750202 - Approved")</f>
        <v>181750202 - Approved</v>
      </c>
      <c r="C250" s="6">
        <f>IFERROR(__xludf.DUMMYFUNCTION("""COMPUTED_VALUE"""),10.0)</f>
        <v>10</v>
      </c>
      <c r="D250" s="6" t="str">
        <f>IFERROR(__xludf.DUMMYFUNCTION("""COMPUTED_VALUE"""),"P-13404-00")</f>
        <v>P-13404-00</v>
      </c>
      <c r="E250" s="6" t="str">
        <f>IFERROR(__xludf.DUMMYFUNCTION("""COMPUTED_VALUE"""),"COMBINATION WRENCH SET 6-22MM 12PCS; Krisbow; Part No. KW0100332;")</f>
        <v>COMBINATION WRENCH SET 6-22MM 12PCS; Krisbow; Part No. KW0100332;</v>
      </c>
      <c r="F250" s="6">
        <f>IFERROR(__xludf.DUMMYFUNCTION("""COMPUTED_VALUE"""),1.0)</f>
        <v>1</v>
      </c>
      <c r="G250" s="6" t="str">
        <f>IFERROR(__xludf.DUMMYFUNCTION("""COMPUTED_VALUE"""),"Pieces")</f>
        <v>Pieces</v>
      </c>
      <c r="H250" s="6" t="str">
        <f>IFERROR(__xludf.DUMMYFUNCTION("""COMPUTED_VALUE"""),"IDR")</f>
        <v>IDR</v>
      </c>
      <c r="I250" s="11">
        <f>IFERROR(__xludf.DUMMYFUNCTION("""COMPUTED_VALUE"""),442000.0)</f>
        <v>442000</v>
      </c>
      <c r="J250" s="11">
        <f>IFERROR(__xludf.DUMMYFUNCTION("""COMPUTED_VALUE"""),442000.0)</f>
        <v>442000</v>
      </c>
      <c r="K250" s="13">
        <f>IFERROR(__xludf.DUMMYFUNCTION("""COMPUTED_VALUE"""),43283.0)</f>
        <v>43283</v>
      </c>
      <c r="L250" s="6" t="str">
        <f>IFERROR(__xludf.DUMMYFUNCTION("""COMPUTED_VALUE"""),"FIP General")</f>
        <v>FIP General</v>
      </c>
      <c r="M250" s="6" t="str">
        <f>IFERROR(__xludf.DUMMYFUNCTION("""COMPUTED_VALUE"""),"Joko Nugroho")</f>
        <v>Joko Nugroho</v>
      </c>
      <c r="N250" s="6" t="str">
        <f>IFERROR(__xludf.DUMMYFUNCTION("""COMPUTED_VALUE"""),"FIP Engineering")</f>
        <v>FIP Engineering</v>
      </c>
      <c r="O250" s="6" t="str">
        <f>IFERROR(__xludf.DUMMYFUNCTION("""COMPUTED_VALUE"""),"FIP-DOM-ENG-51404-0000000-INA-000000")</f>
        <v>FIP-DOM-ENG-51404-0000000-INA-000000</v>
      </c>
      <c r="P250" s="6" t="str">
        <f>IFERROR(__xludf.DUMMYFUNCTION("""COMPUTED_VALUE"""),"PO Closed")</f>
        <v>PO Closed</v>
      </c>
      <c r="Q250" s="6" t="str">
        <f>IFERROR(__xludf.DUMMYFUNCTION("""COMPUTED_VALUE"""),"GL1806047")</f>
        <v>GL1806047</v>
      </c>
      <c r="R250" s="16">
        <f>IFERROR(__xludf.DUMMYFUNCTION("""COMPUTED_VALUE"""),43256.0)</f>
        <v>43256</v>
      </c>
      <c r="S250" s="6" t="str">
        <f>IFERROR(__xludf.DUMMYFUNCTION("""COMPUTED_VALUE"""),"-")</f>
        <v>-</v>
      </c>
      <c r="T250" s="13">
        <f>IFERROR(__xludf.DUMMYFUNCTION("""COMPUTED_VALUE"""),43307.0)</f>
        <v>43307</v>
      </c>
    </row>
    <row r="251">
      <c r="A251" s="6" t="str">
        <f>IFERROR(__xludf.DUMMYFUNCTION("""COMPUTED_VALUE"""),"181750202-11")</f>
        <v>181750202-11</v>
      </c>
      <c r="B251" s="6" t="str">
        <f>IFERROR(__xludf.DUMMYFUNCTION("""COMPUTED_VALUE"""),"181750202 - Approved")</f>
        <v>181750202 - Approved</v>
      </c>
      <c r="C251" s="6">
        <f>IFERROR(__xludf.DUMMYFUNCTION("""COMPUTED_VALUE"""),11.0)</f>
        <v>11</v>
      </c>
      <c r="D251" s="6" t="str">
        <f>IFERROR(__xludf.DUMMYFUNCTION("""COMPUTED_VALUE"""),"P-13398-00")</f>
        <v>P-13398-00</v>
      </c>
      <c r="E251" s="6" t="str">
        <f>IFERROR(__xludf.DUMMYFUNCTION("""COMPUTED_VALUE"""),"MEASURING TAPE 5MX19MM W/MAGNET; ; Part No. 10070238;")</f>
        <v>MEASURING TAPE 5MX19MM W/MAGNET; ; Part No. 10070238;</v>
      </c>
      <c r="F251" s="6">
        <f>IFERROR(__xludf.DUMMYFUNCTION("""COMPUTED_VALUE"""),2.0)</f>
        <v>2</v>
      </c>
      <c r="G251" s="6" t="str">
        <f>IFERROR(__xludf.DUMMYFUNCTION("""COMPUTED_VALUE"""),"Pieces")</f>
        <v>Pieces</v>
      </c>
      <c r="H251" s="6" t="str">
        <f>IFERROR(__xludf.DUMMYFUNCTION("""COMPUTED_VALUE"""),"IDR")</f>
        <v>IDR</v>
      </c>
      <c r="I251" s="11">
        <f>IFERROR(__xludf.DUMMYFUNCTION("""COMPUTED_VALUE"""),43350.0)</f>
        <v>43350</v>
      </c>
      <c r="J251" s="11">
        <f>IFERROR(__xludf.DUMMYFUNCTION("""COMPUTED_VALUE"""),86700.0)</f>
        <v>86700</v>
      </c>
      <c r="K251" s="13">
        <f>IFERROR(__xludf.DUMMYFUNCTION("""COMPUTED_VALUE"""),43283.0)</f>
        <v>43283</v>
      </c>
      <c r="L251" s="6" t="str">
        <f>IFERROR(__xludf.DUMMYFUNCTION("""COMPUTED_VALUE"""),"FIP General")</f>
        <v>FIP General</v>
      </c>
      <c r="M251" s="6" t="str">
        <f>IFERROR(__xludf.DUMMYFUNCTION("""COMPUTED_VALUE"""),"Joko Nugroho")</f>
        <v>Joko Nugroho</v>
      </c>
      <c r="N251" s="6" t="str">
        <f>IFERROR(__xludf.DUMMYFUNCTION("""COMPUTED_VALUE"""),"FIP Engineering")</f>
        <v>FIP Engineering</v>
      </c>
      <c r="O251" s="6" t="str">
        <f>IFERROR(__xludf.DUMMYFUNCTION("""COMPUTED_VALUE"""),"FIP-DOM-ENG-51404-0000000-INA-000000")</f>
        <v>FIP-DOM-ENG-51404-0000000-INA-000000</v>
      </c>
      <c r="P251" s="6" t="str">
        <f>IFERROR(__xludf.DUMMYFUNCTION("""COMPUTED_VALUE"""),"PO Closed")</f>
        <v>PO Closed</v>
      </c>
      <c r="Q251" s="6" t="str">
        <f>IFERROR(__xludf.DUMMYFUNCTION("""COMPUTED_VALUE"""),"GL1806047")</f>
        <v>GL1806047</v>
      </c>
      <c r="R251" s="16">
        <f>IFERROR(__xludf.DUMMYFUNCTION("""COMPUTED_VALUE"""),43256.0)</f>
        <v>43256</v>
      </c>
      <c r="S251" s="6" t="str">
        <f>IFERROR(__xludf.DUMMYFUNCTION("""COMPUTED_VALUE"""),"-")</f>
        <v>-</v>
      </c>
      <c r="T251" s="13">
        <f>IFERROR(__xludf.DUMMYFUNCTION("""COMPUTED_VALUE"""),43367.0)</f>
        <v>43367</v>
      </c>
    </row>
    <row r="252">
      <c r="A252" s="6" t="str">
        <f>IFERROR(__xludf.DUMMYFUNCTION("""COMPUTED_VALUE"""),"181750202-12")</f>
        <v>181750202-12</v>
      </c>
      <c r="B252" s="6" t="str">
        <f>IFERROR(__xludf.DUMMYFUNCTION("""COMPUTED_VALUE"""),"181750202 - Approved")</f>
        <v>181750202 - Approved</v>
      </c>
      <c r="C252" s="6">
        <f>IFERROR(__xludf.DUMMYFUNCTION("""COMPUTED_VALUE"""),12.0)</f>
        <v>12</v>
      </c>
      <c r="D252" s="6" t="str">
        <f>IFERROR(__xludf.DUMMYFUNCTION("""COMPUTED_VALUE"""),"P-13397-00")</f>
        <v>P-13397-00</v>
      </c>
      <c r="E252" s="6" t="str">
        <f>IFERROR(__xludf.DUMMYFUNCTION("""COMPUTED_VALUE"""),"LED WORKLIGHT dan FLASHLIGHT 200dan60LM,3XAA; ; Part No. 10108194;")</f>
        <v>LED WORKLIGHT dan FLASHLIGHT 200dan60LM,3XAA; ; Part No. 10108194;</v>
      </c>
      <c r="F252" s="6">
        <f>IFERROR(__xludf.DUMMYFUNCTION("""COMPUTED_VALUE"""),3.0)</f>
        <v>3</v>
      </c>
      <c r="G252" s="6" t="str">
        <f>IFERROR(__xludf.DUMMYFUNCTION("""COMPUTED_VALUE"""),"Pieces")</f>
        <v>Pieces</v>
      </c>
      <c r="H252" s="6" t="str">
        <f>IFERROR(__xludf.DUMMYFUNCTION("""COMPUTED_VALUE"""),"IDR")</f>
        <v>IDR</v>
      </c>
      <c r="I252" s="11">
        <f>IFERROR(__xludf.DUMMYFUNCTION("""COMPUTED_VALUE"""),126650.0)</f>
        <v>126650</v>
      </c>
      <c r="J252" s="11">
        <f>IFERROR(__xludf.DUMMYFUNCTION("""COMPUTED_VALUE"""),379950.0)</f>
        <v>379950</v>
      </c>
      <c r="K252" s="13">
        <f>IFERROR(__xludf.DUMMYFUNCTION("""COMPUTED_VALUE"""),43283.0)</f>
        <v>43283</v>
      </c>
      <c r="L252" s="6" t="str">
        <f>IFERROR(__xludf.DUMMYFUNCTION("""COMPUTED_VALUE"""),"FIP General")</f>
        <v>FIP General</v>
      </c>
      <c r="M252" s="6" t="str">
        <f>IFERROR(__xludf.DUMMYFUNCTION("""COMPUTED_VALUE"""),"Joko Nugroho")</f>
        <v>Joko Nugroho</v>
      </c>
      <c r="N252" s="6" t="str">
        <f>IFERROR(__xludf.DUMMYFUNCTION("""COMPUTED_VALUE"""),"FIP Engineering")</f>
        <v>FIP Engineering</v>
      </c>
      <c r="O252" s="6" t="str">
        <f>IFERROR(__xludf.DUMMYFUNCTION("""COMPUTED_VALUE"""),"FIP-DOM-ENG-51404-0000000-INA-000000")</f>
        <v>FIP-DOM-ENG-51404-0000000-INA-000000</v>
      </c>
      <c r="P252" s="6" t="str">
        <f>IFERROR(__xludf.DUMMYFUNCTION("""COMPUTED_VALUE"""),"PO Closed")</f>
        <v>PO Closed</v>
      </c>
      <c r="Q252" s="6" t="str">
        <f>IFERROR(__xludf.DUMMYFUNCTION("""COMPUTED_VALUE"""),"GL1806047")</f>
        <v>GL1806047</v>
      </c>
      <c r="R252" s="16">
        <f>IFERROR(__xludf.DUMMYFUNCTION("""COMPUTED_VALUE"""),43256.0)</f>
        <v>43256</v>
      </c>
      <c r="S252" s="6" t="str">
        <f>IFERROR(__xludf.DUMMYFUNCTION("""COMPUTED_VALUE"""),"-")</f>
        <v>-</v>
      </c>
      <c r="T252" s="13">
        <f>IFERROR(__xludf.DUMMYFUNCTION("""COMPUTED_VALUE"""),43312.0)</f>
        <v>43312</v>
      </c>
    </row>
    <row r="253">
      <c r="A253" s="6" t="str">
        <f>IFERROR(__xludf.DUMMYFUNCTION("""COMPUTED_VALUE"""),"181750202-13")</f>
        <v>181750202-13</v>
      </c>
      <c r="B253" s="6" t="str">
        <f>IFERROR(__xludf.DUMMYFUNCTION("""COMPUTED_VALUE"""),"181750202 - Approved")</f>
        <v>181750202 - Approved</v>
      </c>
      <c r="C253" s="6">
        <f>IFERROR(__xludf.DUMMYFUNCTION("""COMPUTED_VALUE"""),13.0)</f>
        <v>13</v>
      </c>
      <c r="D253" s="6" t="str">
        <f>IFERROR(__xludf.DUMMYFUNCTION("""COMPUTED_VALUE"""),"P-13396-00")</f>
        <v>P-13396-00</v>
      </c>
      <c r="E253" s="6" t="str">
        <f>IFERROR(__xludf.DUMMYFUNCTION("""COMPUTED_VALUE"""),"HEXAGON CRIMPING PLIER 4-16MM2; Krisbow; Part No. KW0103754;")</f>
        <v>HEXAGON CRIMPING PLIER 4-16MM2; Krisbow; Part No. KW0103754;</v>
      </c>
      <c r="F253" s="6">
        <f>IFERROR(__xludf.DUMMYFUNCTION("""COMPUTED_VALUE"""),1.0)</f>
        <v>1</v>
      </c>
      <c r="G253" s="6" t="str">
        <f>IFERROR(__xludf.DUMMYFUNCTION("""COMPUTED_VALUE"""),"Pieces")</f>
        <v>Pieces</v>
      </c>
      <c r="H253" s="6" t="str">
        <f>IFERROR(__xludf.DUMMYFUNCTION("""COMPUTED_VALUE"""),"IDR")</f>
        <v>IDR</v>
      </c>
      <c r="I253" s="11">
        <f>IFERROR(__xludf.DUMMYFUNCTION("""COMPUTED_VALUE"""),358700.0)</f>
        <v>358700</v>
      </c>
      <c r="J253" s="11">
        <f>IFERROR(__xludf.DUMMYFUNCTION("""COMPUTED_VALUE"""),358700.0)</f>
        <v>358700</v>
      </c>
      <c r="K253" s="13">
        <f>IFERROR(__xludf.DUMMYFUNCTION("""COMPUTED_VALUE"""),43283.0)</f>
        <v>43283</v>
      </c>
      <c r="L253" s="6" t="str">
        <f>IFERROR(__xludf.DUMMYFUNCTION("""COMPUTED_VALUE"""),"FIP General")</f>
        <v>FIP General</v>
      </c>
      <c r="M253" s="6" t="str">
        <f>IFERROR(__xludf.DUMMYFUNCTION("""COMPUTED_VALUE"""),"Joko Nugroho")</f>
        <v>Joko Nugroho</v>
      </c>
      <c r="N253" s="6" t="str">
        <f>IFERROR(__xludf.DUMMYFUNCTION("""COMPUTED_VALUE"""),"FIP Engineering")</f>
        <v>FIP Engineering</v>
      </c>
      <c r="O253" s="6" t="str">
        <f>IFERROR(__xludf.DUMMYFUNCTION("""COMPUTED_VALUE"""),"FIP-DOM-ENG-51404-0000000-INA-000000")</f>
        <v>FIP-DOM-ENG-51404-0000000-INA-000000</v>
      </c>
      <c r="P253" s="6" t="str">
        <f>IFERROR(__xludf.DUMMYFUNCTION("""COMPUTED_VALUE"""),"PO Closed")</f>
        <v>PO Closed</v>
      </c>
      <c r="Q253" s="6" t="str">
        <f>IFERROR(__xludf.DUMMYFUNCTION("""COMPUTED_VALUE"""),"GL1806047")</f>
        <v>GL1806047</v>
      </c>
      <c r="R253" s="16">
        <f>IFERROR(__xludf.DUMMYFUNCTION("""COMPUTED_VALUE"""),43256.0)</f>
        <v>43256</v>
      </c>
      <c r="S253" s="6" t="str">
        <f>IFERROR(__xludf.DUMMYFUNCTION("""COMPUTED_VALUE"""),"-")</f>
        <v>-</v>
      </c>
      <c r="T253" s="13">
        <f>IFERROR(__xludf.DUMMYFUNCTION("""COMPUTED_VALUE"""),43307.0)</f>
        <v>43307</v>
      </c>
    </row>
    <row r="254">
      <c r="A254" s="6" t="str">
        <f>IFERROR(__xludf.DUMMYFUNCTION("""COMPUTED_VALUE"""),"181750202-14")</f>
        <v>181750202-14</v>
      </c>
      <c r="B254" s="6" t="str">
        <f>IFERROR(__xludf.DUMMYFUNCTION("""COMPUTED_VALUE"""),"181750202 - Approved")</f>
        <v>181750202 - Approved</v>
      </c>
      <c r="C254" s="6">
        <f>IFERROR(__xludf.DUMMYFUNCTION("""COMPUTED_VALUE"""),14.0)</f>
        <v>14</v>
      </c>
      <c r="D254" s="6" t="str">
        <f>IFERROR(__xludf.DUMMYFUNCTION("""COMPUTED_VALUE"""),"P-13395-00")</f>
        <v>P-13395-00</v>
      </c>
      <c r="E254" s="6" t="str">
        <f>IFERROR(__xludf.DUMMYFUNCTION("""COMPUTED_VALUE"""),"TOOL BOX 42X17.5X14CM STEEL; Krisbow; Part No. KW0100810;")</f>
        <v>TOOL BOX 42X17.5X14CM STEEL; Krisbow; Part No. KW0100810;</v>
      </c>
      <c r="F254" s="6">
        <f>IFERROR(__xludf.DUMMYFUNCTION("""COMPUTED_VALUE"""),3.0)</f>
        <v>3</v>
      </c>
      <c r="G254" s="6" t="str">
        <f>IFERROR(__xludf.DUMMYFUNCTION("""COMPUTED_VALUE"""),"Pieces")</f>
        <v>Pieces</v>
      </c>
      <c r="H254" s="6" t="str">
        <f>IFERROR(__xludf.DUMMYFUNCTION("""COMPUTED_VALUE"""),"IDR")</f>
        <v>IDR</v>
      </c>
      <c r="I254" s="11">
        <f>IFERROR(__xludf.DUMMYFUNCTION("""COMPUTED_VALUE"""),127500.0)</f>
        <v>127500</v>
      </c>
      <c r="J254" s="11">
        <f>IFERROR(__xludf.DUMMYFUNCTION("""COMPUTED_VALUE"""),382500.0)</f>
        <v>382500</v>
      </c>
      <c r="K254" s="13">
        <f>IFERROR(__xludf.DUMMYFUNCTION("""COMPUTED_VALUE"""),43283.0)</f>
        <v>43283</v>
      </c>
      <c r="L254" s="6" t="str">
        <f>IFERROR(__xludf.DUMMYFUNCTION("""COMPUTED_VALUE"""),"FIP General")</f>
        <v>FIP General</v>
      </c>
      <c r="M254" s="6" t="str">
        <f>IFERROR(__xludf.DUMMYFUNCTION("""COMPUTED_VALUE"""),"Joko Nugroho")</f>
        <v>Joko Nugroho</v>
      </c>
      <c r="N254" s="6" t="str">
        <f>IFERROR(__xludf.DUMMYFUNCTION("""COMPUTED_VALUE"""),"FIP Engineering")</f>
        <v>FIP Engineering</v>
      </c>
      <c r="O254" s="6" t="str">
        <f>IFERROR(__xludf.DUMMYFUNCTION("""COMPUTED_VALUE"""),"FIP-DOM-ENG-51404-0000000-INA-000000")</f>
        <v>FIP-DOM-ENG-51404-0000000-INA-000000</v>
      </c>
      <c r="P254" s="6" t="str">
        <f>IFERROR(__xludf.DUMMYFUNCTION("""COMPUTED_VALUE"""),"PO Closed")</f>
        <v>PO Closed</v>
      </c>
      <c r="Q254" s="6" t="str">
        <f>IFERROR(__xludf.DUMMYFUNCTION("""COMPUTED_VALUE"""),"GL1806047")</f>
        <v>GL1806047</v>
      </c>
      <c r="R254" s="16">
        <f>IFERROR(__xludf.DUMMYFUNCTION("""COMPUTED_VALUE"""),43256.0)</f>
        <v>43256</v>
      </c>
      <c r="S254" s="6" t="str">
        <f>IFERROR(__xludf.DUMMYFUNCTION("""COMPUTED_VALUE"""),"-")</f>
        <v>-</v>
      </c>
      <c r="T254" s="13">
        <f>IFERROR(__xludf.DUMMYFUNCTION("""COMPUTED_VALUE"""),43312.0)</f>
        <v>43312</v>
      </c>
    </row>
    <row r="255">
      <c r="A255" s="6" t="str">
        <f>IFERROR(__xludf.DUMMYFUNCTION("""COMPUTED_VALUE"""),"181750205-1")</f>
        <v>181750205-1</v>
      </c>
      <c r="B255" s="6" t="str">
        <f>IFERROR(__xludf.DUMMYFUNCTION("""COMPUTED_VALUE"""),"181750205 - Approved")</f>
        <v>181750205 - Approved</v>
      </c>
      <c r="C255" s="6">
        <f>IFERROR(__xludf.DUMMYFUNCTION("""COMPUTED_VALUE"""),1.0)</f>
        <v>1</v>
      </c>
      <c r="D255" s="6" t="str">
        <f>IFERROR(__xludf.DUMMYFUNCTION("""COMPUTED_VALUE"""),"S-60002-00")</f>
        <v>S-60002-00</v>
      </c>
      <c r="E255" s="6" t="str">
        <f>IFERROR(__xludf.DUMMYFUNCTION("""COMPUTED_VALUE"""),"Remote Service; Software Logic modification; PLC modification for alarm by pass on M11 motor; Functionality test; original program restore")</f>
        <v>Remote Service; Software Logic modification; PLC modification for alarm by pass on M11 motor; Functionality test; original program restore</v>
      </c>
      <c r="F255" s="6">
        <f>IFERROR(__xludf.DUMMYFUNCTION("""COMPUTED_VALUE"""),1.0)</f>
        <v>1</v>
      </c>
      <c r="G255" s="6" t="str">
        <f>IFERROR(__xludf.DUMMYFUNCTION("""COMPUTED_VALUE"""),"Lot")</f>
        <v>Lot</v>
      </c>
      <c r="H255" s="6" t="str">
        <f>IFERROR(__xludf.DUMMYFUNCTION("""COMPUTED_VALUE"""),"EUR")</f>
        <v>EUR</v>
      </c>
      <c r="I255" s="11">
        <f>IFERROR(__xludf.DUMMYFUNCTION("""COMPUTED_VALUE"""),2200.0)</f>
        <v>2200</v>
      </c>
      <c r="J255" s="11">
        <f>IFERROR(__xludf.DUMMYFUNCTION("""COMPUTED_VALUE"""),2200.0)</f>
        <v>2200</v>
      </c>
      <c r="K255" s="13">
        <f>IFERROR(__xludf.DUMMYFUNCTION("""COMPUTED_VALUE"""),43273.0)</f>
        <v>43273</v>
      </c>
      <c r="L255" s="6" t="str">
        <f>IFERROR(__xludf.DUMMYFUNCTION("""COMPUTED_VALUE"""),"FIP General")</f>
        <v>FIP General</v>
      </c>
      <c r="M255" s="6" t="str">
        <f>IFERROR(__xludf.DUMMYFUNCTION("""COMPUTED_VALUE"""),"Joko Nugroho")</f>
        <v>Joko Nugroho</v>
      </c>
      <c r="N255" s="6" t="str">
        <f>IFERROR(__xludf.DUMMYFUNCTION("""COMPUTED_VALUE"""),"FIP Engineering")</f>
        <v>FIP Engineering</v>
      </c>
      <c r="O255" s="6" t="str">
        <f>IFERROR(__xludf.DUMMYFUNCTION("""COMPUTED_VALUE"""),"FIP-DOM-ENG-51508-0000000-INA-000000")</f>
        <v>FIP-DOM-ENG-51508-0000000-INA-000000</v>
      </c>
      <c r="P255" s="6" t="str">
        <f>IFERROR(__xludf.DUMMYFUNCTION("""COMPUTED_VALUE"""),"PO Closed")</f>
        <v>PO Closed</v>
      </c>
      <c r="Q255" s="6" t="str">
        <f>IFERROR(__xludf.DUMMYFUNCTION("""COMPUTED_VALUE"""),"GL1806032")</f>
        <v>GL1806032</v>
      </c>
      <c r="R255" s="16">
        <f>IFERROR(__xludf.DUMMYFUNCTION("""COMPUTED_VALUE"""),43259.0)</f>
        <v>43259</v>
      </c>
      <c r="S255" s="6" t="str">
        <f>IFERROR(__xludf.DUMMYFUNCTION("""COMPUTED_VALUE"""),"-")</f>
        <v>-</v>
      </c>
      <c r="T255" s="13">
        <f>IFERROR(__xludf.DUMMYFUNCTION("""COMPUTED_VALUE"""),43409.0)</f>
        <v>43409</v>
      </c>
    </row>
    <row r="256">
      <c r="A256" s="6" t="str">
        <f>IFERROR(__xludf.DUMMYFUNCTION("""COMPUTED_VALUE"""),"181750198-3")</f>
        <v>181750198-3</v>
      </c>
      <c r="B256" s="6" t="str">
        <f>IFERROR(__xludf.DUMMYFUNCTION("""COMPUTED_VALUE"""),"181750198 - Approved")</f>
        <v>181750198 - Approved</v>
      </c>
      <c r="C256" s="6">
        <f>IFERROR(__xludf.DUMMYFUNCTION("""COMPUTED_VALUE"""),3.0)</f>
        <v>3</v>
      </c>
      <c r="D256" s="6" t="str">
        <f>IFERROR(__xludf.DUMMYFUNCTION("""COMPUTED_VALUE"""),"O-51871-00")</f>
        <v>O-51871-00</v>
      </c>
      <c r="E256" s="6" t="str">
        <f>IFERROR(__xludf.DUMMYFUNCTION("""COMPUTED_VALUE"""),"Zenner Barier Pepperl + Fuchs Type Z788.H P/N : 71972; ; ;")</f>
        <v>Zenner Barier Pepperl + Fuchs Type Z788.H P/N : 71972; ; ;</v>
      </c>
      <c r="F256" s="6">
        <f>IFERROR(__xludf.DUMMYFUNCTION("""COMPUTED_VALUE"""),1.0)</f>
        <v>1</v>
      </c>
      <c r="G256" s="6" t="str">
        <f>IFERROR(__xludf.DUMMYFUNCTION("""COMPUTED_VALUE"""),"Unit")</f>
        <v>Unit</v>
      </c>
      <c r="H256" s="6" t="str">
        <f>IFERROR(__xludf.DUMMYFUNCTION("""COMPUTED_VALUE"""),"IDR")</f>
        <v>IDR</v>
      </c>
      <c r="I256" s="11">
        <f>IFERROR(__xludf.DUMMYFUNCTION("""COMPUTED_VALUE"""),2800000.0)</f>
        <v>2800000</v>
      </c>
      <c r="J256" s="11">
        <f>IFERROR(__xludf.DUMMYFUNCTION("""COMPUTED_VALUE"""),2800000.0)</f>
        <v>2800000</v>
      </c>
      <c r="K256" s="13">
        <f>IFERROR(__xludf.DUMMYFUNCTION("""COMPUTED_VALUE"""),43273.0)</f>
        <v>43273</v>
      </c>
      <c r="L256" s="6" t="str">
        <f>IFERROR(__xludf.DUMMYFUNCTION("""COMPUTED_VALUE"""),"FIP Engineering")</f>
        <v>FIP Engineering</v>
      </c>
      <c r="M256" s="6" t="str">
        <f>IFERROR(__xludf.DUMMYFUNCTION("""COMPUTED_VALUE"""),"Joko Nugroho")</f>
        <v>Joko Nugroho</v>
      </c>
      <c r="N256" s="6" t="str">
        <f>IFERROR(__xludf.DUMMYFUNCTION("""COMPUTED_VALUE"""),"FIP Engineering")</f>
        <v>FIP Engineering</v>
      </c>
      <c r="O256" s="6" t="str">
        <f>IFERROR(__xludf.DUMMYFUNCTION("""COMPUTED_VALUE"""),"FIP-DOM-000-11304-OS00001-INA-000000")</f>
        <v>FIP-DOM-000-11304-OS00001-INA-000000</v>
      </c>
      <c r="P256" s="6" t="str">
        <f>IFERROR(__xludf.DUMMYFUNCTION("""COMPUTED_VALUE"""),"PO Closed")</f>
        <v>PO Closed</v>
      </c>
      <c r="Q256" s="6" t="str">
        <f>IFERROR(__xludf.DUMMYFUNCTION("""COMPUTED_VALUE"""),"GL1806049")</f>
        <v>GL1806049</v>
      </c>
      <c r="R256" s="16">
        <f>IFERROR(__xludf.DUMMYFUNCTION("""COMPUTED_VALUE"""),43259.0)</f>
        <v>43259</v>
      </c>
      <c r="S256" s="6" t="str">
        <f>IFERROR(__xludf.DUMMYFUNCTION("""COMPUTED_VALUE"""),"-")</f>
        <v>-</v>
      </c>
      <c r="T256" s="13">
        <f>IFERROR(__xludf.DUMMYFUNCTION("""COMPUTED_VALUE"""),43283.0)</f>
        <v>43283</v>
      </c>
    </row>
    <row r="257">
      <c r="A257" s="6" t="str">
        <f>IFERROR(__xludf.DUMMYFUNCTION("""COMPUTED_VALUE"""),"181750210-1")</f>
        <v>181750210-1</v>
      </c>
      <c r="B257" s="6" t="str">
        <f>IFERROR(__xludf.DUMMYFUNCTION("""COMPUTED_VALUE"""),"181750210 - Approved")</f>
        <v>181750210 - Approved</v>
      </c>
      <c r="C257" s="6">
        <f>IFERROR(__xludf.DUMMYFUNCTION("""COMPUTED_VALUE"""),1.0)</f>
        <v>1</v>
      </c>
      <c r="D257" s="6" t="str">
        <f>IFERROR(__xludf.DUMMYFUNCTION("""COMPUTED_VALUE"""),"P-51785-00")</f>
        <v>P-51785-00</v>
      </c>
      <c r="E257" s="6" t="str">
        <f>IFERROR(__xludf.DUMMYFUNCTION("""COMPUTED_VALUE"""),"Hour Meter LE8N-BF Autonics; ; ;")</f>
        <v>Hour Meter LE8N-BF Autonics; ; ;</v>
      </c>
      <c r="F257" s="6">
        <f>IFERROR(__xludf.DUMMYFUNCTION("""COMPUTED_VALUE"""),4.0)</f>
        <v>4</v>
      </c>
      <c r="G257" s="6" t="str">
        <f>IFERROR(__xludf.DUMMYFUNCTION("""COMPUTED_VALUE"""),"Unit")</f>
        <v>Unit</v>
      </c>
      <c r="H257" s="6" t="str">
        <f>IFERROR(__xludf.DUMMYFUNCTION("""COMPUTED_VALUE"""),"IDR")</f>
        <v>IDR</v>
      </c>
      <c r="I257" s="11">
        <f>IFERROR(__xludf.DUMMYFUNCTION("""COMPUTED_VALUE"""),450000.0)</f>
        <v>450000</v>
      </c>
      <c r="J257" s="11">
        <f>IFERROR(__xludf.DUMMYFUNCTION("""COMPUTED_VALUE"""),1800000.0)</f>
        <v>1800000</v>
      </c>
      <c r="K257" s="13">
        <f>IFERROR(__xludf.DUMMYFUNCTION("""COMPUTED_VALUE"""),43312.0)</f>
        <v>43312</v>
      </c>
      <c r="L257" s="6" t="str">
        <f>IFERROR(__xludf.DUMMYFUNCTION("""COMPUTED_VALUE"""),"FIP General")</f>
        <v>FIP General</v>
      </c>
      <c r="M257" s="6" t="str">
        <f>IFERROR(__xludf.DUMMYFUNCTION("""COMPUTED_VALUE"""),"Joko Nugroho")</f>
        <v>Joko Nugroho</v>
      </c>
      <c r="N257" s="6" t="str">
        <f>IFERROR(__xludf.DUMMYFUNCTION("""COMPUTED_VALUE"""),"FIP Engineering")</f>
        <v>FIP Engineering</v>
      </c>
      <c r="O257" s="6" t="str">
        <f>IFERROR(__xludf.DUMMYFUNCTION("""COMPUTED_VALUE"""),"FIP-DOM-ENG-51504-0000000-INA-000000")</f>
        <v>FIP-DOM-ENG-51504-0000000-INA-000000</v>
      </c>
      <c r="P257" s="6" t="str">
        <f>IFERROR(__xludf.DUMMYFUNCTION("""COMPUTED_VALUE"""),"PO Closed")</f>
        <v>PO Closed</v>
      </c>
      <c r="Q257" s="6" t="str">
        <f>IFERROR(__xludf.DUMMYFUNCTION("""COMPUTED_VALUE"""),"GL1807050")</f>
        <v>GL1807050</v>
      </c>
      <c r="R257" s="16">
        <f>IFERROR(__xludf.DUMMYFUNCTION("""COMPUTED_VALUE"""),43262.0)</f>
        <v>43262</v>
      </c>
      <c r="S257" s="6" t="str">
        <f>IFERROR(__xludf.DUMMYFUNCTION("""COMPUTED_VALUE"""),"-")</f>
        <v>-</v>
      </c>
      <c r="T257" s="13">
        <f>IFERROR(__xludf.DUMMYFUNCTION("""COMPUTED_VALUE"""),43314.0)</f>
        <v>43314</v>
      </c>
    </row>
    <row r="258">
      <c r="A258" s="6" t="str">
        <f>IFERROR(__xludf.DUMMYFUNCTION("""COMPUTED_VALUE"""),"181750210-2")</f>
        <v>181750210-2</v>
      </c>
      <c r="B258" s="6" t="str">
        <f>IFERROR(__xludf.DUMMYFUNCTION("""COMPUTED_VALUE"""),"181750210 - Approved")</f>
        <v>181750210 - Approved</v>
      </c>
      <c r="C258" s="6">
        <f>IFERROR(__xludf.DUMMYFUNCTION("""COMPUTED_VALUE"""),2.0)</f>
        <v>2</v>
      </c>
      <c r="D258" s="6" t="str">
        <f>IFERROR(__xludf.DUMMYFUNCTION("""COMPUTED_VALUE"""),"Q-10510-00")</f>
        <v>Q-10510-00</v>
      </c>
      <c r="E258" s="6" t="str">
        <f>IFERROR(__xludf.DUMMYFUNCTION("""COMPUTED_VALUE"""),"Junction Box Plastik 12x12x10 cm; ; ;")</f>
        <v>Junction Box Plastik 12x12x10 cm; ; ;</v>
      </c>
      <c r="F258" s="6">
        <f>IFERROR(__xludf.DUMMYFUNCTION("""COMPUTED_VALUE"""),1.0)</f>
        <v>1</v>
      </c>
      <c r="G258" s="6" t="str">
        <f>IFERROR(__xludf.DUMMYFUNCTION("""COMPUTED_VALUE"""),"Pieces")</f>
        <v>Pieces</v>
      </c>
      <c r="H258" s="6" t="str">
        <f>IFERROR(__xludf.DUMMYFUNCTION("""COMPUTED_VALUE"""),"IDR")</f>
        <v>IDR</v>
      </c>
      <c r="I258" s="11">
        <f>IFERROR(__xludf.DUMMYFUNCTION("""COMPUTED_VALUE"""),405000.0)</f>
        <v>405000</v>
      </c>
      <c r="J258" s="11">
        <f>IFERROR(__xludf.DUMMYFUNCTION("""COMPUTED_VALUE"""),405000.0)</f>
        <v>405000</v>
      </c>
      <c r="K258" s="13">
        <f>IFERROR(__xludf.DUMMYFUNCTION("""COMPUTED_VALUE"""),43312.0)</f>
        <v>43312</v>
      </c>
      <c r="L258" s="6" t="str">
        <f>IFERROR(__xludf.DUMMYFUNCTION("""COMPUTED_VALUE"""),"FIP General")</f>
        <v>FIP General</v>
      </c>
      <c r="M258" s="6" t="str">
        <f>IFERROR(__xludf.DUMMYFUNCTION("""COMPUTED_VALUE"""),"Joko Nugroho")</f>
        <v>Joko Nugroho</v>
      </c>
      <c r="N258" s="6" t="str">
        <f>IFERROR(__xludf.DUMMYFUNCTION("""COMPUTED_VALUE"""),"FIP Engineering")</f>
        <v>FIP Engineering</v>
      </c>
      <c r="O258" s="6" t="str">
        <f>IFERROR(__xludf.DUMMYFUNCTION("""COMPUTED_VALUE"""),"FIP-DOM-ENG-51502-0000000-INA-000000")</f>
        <v>FIP-DOM-ENG-51502-0000000-INA-000000</v>
      </c>
      <c r="P258" s="6" t="str">
        <f>IFERROR(__xludf.DUMMYFUNCTION("""COMPUTED_VALUE"""),"PO Closed")</f>
        <v>PO Closed</v>
      </c>
      <c r="Q258" s="6" t="str">
        <f>IFERROR(__xludf.DUMMYFUNCTION("""COMPUTED_VALUE"""),"GL1807050")</f>
        <v>GL1807050</v>
      </c>
      <c r="R258" s="16">
        <f>IFERROR(__xludf.DUMMYFUNCTION("""COMPUTED_VALUE"""),43262.0)</f>
        <v>43262</v>
      </c>
      <c r="S258" s="6" t="str">
        <f>IFERROR(__xludf.DUMMYFUNCTION("""COMPUTED_VALUE"""),"-")</f>
        <v>-</v>
      </c>
      <c r="T258" s="13">
        <f>IFERROR(__xludf.DUMMYFUNCTION("""COMPUTED_VALUE"""),43314.0)</f>
        <v>43314</v>
      </c>
    </row>
    <row r="259">
      <c r="A259" s="6" t="str">
        <f>IFERROR(__xludf.DUMMYFUNCTION("""COMPUTED_VALUE"""),"181750210-3")</f>
        <v>181750210-3</v>
      </c>
      <c r="B259" s="6" t="str">
        <f>IFERROR(__xludf.DUMMYFUNCTION("""COMPUTED_VALUE"""),"181750210 - Approved")</f>
        <v>181750210 - Approved</v>
      </c>
      <c r="C259" s="6">
        <f>IFERROR(__xludf.DUMMYFUNCTION("""COMPUTED_VALUE"""),3.0)</f>
        <v>3</v>
      </c>
      <c r="D259" s="6" t="str">
        <f>IFERROR(__xludf.DUMMYFUNCTION("""COMPUTED_VALUE"""),"P-51784-00")</f>
        <v>P-51784-00</v>
      </c>
      <c r="E259" s="6" t="str">
        <f>IFERROR(__xludf.DUMMYFUNCTION("""COMPUTED_VALUE"""),"Acessoris GEMU 687; Type 1215 order No. 1215000Z1110X; ; ;")</f>
        <v>Acessoris GEMU 687; Type 1215 order No. 1215000Z1110X; ; ;</v>
      </c>
      <c r="F259" s="6">
        <f>IFERROR(__xludf.DUMMYFUNCTION("""COMPUTED_VALUE"""),1.0)</f>
        <v>1</v>
      </c>
      <c r="G259" s="6" t="str">
        <f>IFERROR(__xludf.DUMMYFUNCTION("""COMPUTED_VALUE"""),"Unit")</f>
        <v>Unit</v>
      </c>
      <c r="H259" s="6" t="str">
        <f>IFERROR(__xludf.DUMMYFUNCTION("""COMPUTED_VALUE"""),"IDR")</f>
        <v>IDR</v>
      </c>
      <c r="I259" s="11">
        <f>IFERROR(__xludf.DUMMYFUNCTION("""COMPUTED_VALUE"""),3400000.0)</f>
        <v>3400000</v>
      </c>
      <c r="J259" s="11">
        <f>IFERROR(__xludf.DUMMYFUNCTION("""COMPUTED_VALUE"""),3400000.0)</f>
        <v>3400000</v>
      </c>
      <c r="K259" s="13">
        <f>IFERROR(__xludf.DUMMYFUNCTION("""COMPUTED_VALUE"""),43312.0)</f>
        <v>43312</v>
      </c>
      <c r="L259" s="6" t="str">
        <f>IFERROR(__xludf.DUMMYFUNCTION("""COMPUTED_VALUE"""),"FIP General")</f>
        <v>FIP General</v>
      </c>
      <c r="M259" s="6" t="str">
        <f>IFERROR(__xludf.DUMMYFUNCTION("""COMPUTED_VALUE"""),"Joko Nugroho")</f>
        <v>Joko Nugroho</v>
      </c>
      <c r="N259" s="6" t="str">
        <f>IFERROR(__xludf.DUMMYFUNCTION("""COMPUTED_VALUE"""),"FIP Engineering")</f>
        <v>FIP Engineering</v>
      </c>
      <c r="O259" s="6" t="str">
        <f>IFERROR(__xludf.DUMMYFUNCTION("""COMPUTED_VALUE"""),"FIP-DOM-ENG-51504-0000000-INA-000000")</f>
        <v>FIP-DOM-ENG-51504-0000000-INA-000000</v>
      </c>
      <c r="P259" s="6" t="str">
        <f>IFERROR(__xludf.DUMMYFUNCTION("""COMPUTED_VALUE"""),"PO Closed")</f>
        <v>PO Closed</v>
      </c>
      <c r="Q259" s="6" t="str">
        <f>IFERROR(__xludf.DUMMYFUNCTION("""COMPUTED_VALUE"""),"GL1807051")</f>
        <v>GL1807051</v>
      </c>
      <c r="R259" s="16">
        <f>IFERROR(__xludf.DUMMYFUNCTION("""COMPUTED_VALUE"""),43262.0)</f>
        <v>43262</v>
      </c>
      <c r="S259" s="6" t="str">
        <f>IFERROR(__xludf.DUMMYFUNCTION("""COMPUTED_VALUE"""),"-")</f>
        <v>-</v>
      </c>
      <c r="T259" s="13">
        <f>IFERROR(__xludf.DUMMYFUNCTION("""COMPUTED_VALUE"""),43319.0)</f>
        <v>43319</v>
      </c>
    </row>
    <row r="260">
      <c r="A260" s="6" t="str">
        <f>IFERROR(__xludf.DUMMYFUNCTION("""COMPUTED_VALUE"""),"181750208-1")</f>
        <v>181750208-1</v>
      </c>
      <c r="B260" s="6" t="str">
        <f>IFERROR(__xludf.DUMMYFUNCTION("""COMPUTED_VALUE"""),"181750208 - Approved")</f>
        <v>181750208 - Approved</v>
      </c>
      <c r="C260" s="6">
        <f>IFERROR(__xludf.DUMMYFUNCTION("""COMPUTED_VALUE"""),1.0)</f>
        <v>1</v>
      </c>
      <c r="D260" s="6" t="str">
        <f>IFERROR(__xludf.DUMMYFUNCTION("""COMPUTED_VALUE"""),"O-16097-00")</f>
        <v>O-16097-00</v>
      </c>
      <c r="E260" s="6" t="str">
        <f>IFERROR(__xludf.DUMMYFUNCTION("""COMPUTED_VALUE"""),"FILTER KIT FOR 92XX/94XX; P/N : A40989; ; ;")</f>
        <v>FILTER KIT FOR 92XX/94XX; P/N : A40989; ; ;</v>
      </c>
      <c r="F260" s="6">
        <f>IFERROR(__xludf.DUMMYFUNCTION("""COMPUTED_VALUE"""),1.0)</f>
        <v>1</v>
      </c>
      <c r="G260" s="6" t="str">
        <f>IFERROR(__xludf.DUMMYFUNCTION("""COMPUTED_VALUE"""),"Unit")</f>
        <v>Unit</v>
      </c>
      <c r="H260" s="6" t="str">
        <f>IFERROR(__xludf.DUMMYFUNCTION("""COMPUTED_VALUE"""),"IDR")</f>
        <v>IDR</v>
      </c>
      <c r="I260" s="11">
        <f>IFERROR(__xludf.DUMMYFUNCTION("""COMPUTED_VALUE"""),4957000.0)</f>
        <v>4957000</v>
      </c>
      <c r="J260" s="11">
        <f>IFERROR(__xludf.DUMMYFUNCTION("""COMPUTED_VALUE"""),4957000.0)</f>
        <v>4957000</v>
      </c>
      <c r="K260" s="13">
        <f>IFERROR(__xludf.DUMMYFUNCTION("""COMPUTED_VALUE"""),43280.0)</f>
        <v>43280</v>
      </c>
      <c r="L260" s="6" t="str">
        <f>IFERROR(__xludf.DUMMYFUNCTION("""COMPUTED_VALUE"""),"FIP Engineering")</f>
        <v>FIP Engineering</v>
      </c>
      <c r="M260" s="6" t="str">
        <f>IFERROR(__xludf.DUMMYFUNCTION("""COMPUTED_VALUE"""),"Joko Nugroho")</f>
        <v>Joko Nugroho</v>
      </c>
      <c r="N260" s="6" t="str">
        <f>IFERROR(__xludf.DUMMYFUNCTION("""COMPUTED_VALUE"""),"FIP Engineering")</f>
        <v>FIP Engineering</v>
      </c>
      <c r="O260" s="6" t="str">
        <f>IFERROR(__xludf.DUMMYFUNCTION("""COMPUTED_VALUE"""),"FIP-DOM-000-11304-OS00001-INA-000000")</f>
        <v>FIP-DOM-000-11304-OS00001-INA-000000</v>
      </c>
      <c r="P260" s="6" t="str">
        <f>IFERROR(__xludf.DUMMYFUNCTION("""COMPUTED_VALUE"""),"PO Closed")</f>
        <v>PO Closed</v>
      </c>
      <c r="Q260" s="6" t="str">
        <f>IFERROR(__xludf.DUMMYFUNCTION("""COMPUTED_VALUE"""),"GL1806046")</f>
        <v>GL1806046</v>
      </c>
      <c r="R260" s="16">
        <f>IFERROR(__xludf.DUMMYFUNCTION("""COMPUTED_VALUE"""),43262.0)</f>
        <v>43262</v>
      </c>
      <c r="S260" s="6" t="str">
        <f>IFERROR(__xludf.DUMMYFUNCTION("""COMPUTED_VALUE"""),"-")</f>
        <v>-</v>
      </c>
      <c r="T260" s="13">
        <f>IFERROR(__xludf.DUMMYFUNCTION("""COMPUTED_VALUE"""),43280.0)</f>
        <v>43280</v>
      </c>
    </row>
    <row r="261">
      <c r="A261" s="6" t="str">
        <f>IFERROR(__xludf.DUMMYFUNCTION("""COMPUTED_VALUE"""),"181750207-1")</f>
        <v>181750207-1</v>
      </c>
      <c r="B261" s="6" t="str">
        <f>IFERROR(__xludf.DUMMYFUNCTION("""COMPUTED_VALUE"""),"181750207 - Approved")</f>
        <v>181750207 - Approved</v>
      </c>
      <c r="C261" s="6">
        <f>IFERROR(__xludf.DUMMYFUNCTION("""COMPUTED_VALUE"""),1.0)</f>
        <v>1</v>
      </c>
      <c r="D261" s="6" t="str">
        <f>IFERROR(__xludf.DUMMYFUNCTION("""COMPUTED_VALUE"""),"P-51782-00")</f>
        <v>P-51782-00</v>
      </c>
      <c r="E261" s="6" t="str">
        <f>IFERROR(__xludf.DUMMYFUNCTION("""COMPUTED_VALUE"""),"SRV66 MAINTENANCE KIT 1"" 1.0-5.0 BAR; 6404999UA; ; ;")</f>
        <v>SRV66 MAINTENANCE KIT 1" 1.0-5.0 BAR; 6404999UA; ; ;</v>
      </c>
      <c r="F261" s="6">
        <f>IFERROR(__xludf.DUMMYFUNCTION("""COMPUTED_VALUE"""),1.0)</f>
        <v>1</v>
      </c>
      <c r="G261" s="6" t="str">
        <f>IFERROR(__xludf.DUMMYFUNCTION("""COMPUTED_VALUE"""),"Unit")</f>
        <v>Unit</v>
      </c>
      <c r="H261" s="6" t="str">
        <f>IFERROR(__xludf.DUMMYFUNCTION("""COMPUTED_VALUE"""),"IDR")</f>
        <v>IDR</v>
      </c>
      <c r="I261" s="11">
        <f>IFERROR(__xludf.DUMMYFUNCTION("""COMPUTED_VALUE"""),1.9677E7)</f>
        <v>19677000</v>
      </c>
      <c r="J261" s="11">
        <f>IFERROR(__xludf.DUMMYFUNCTION("""COMPUTED_VALUE"""),1.9677E7)</f>
        <v>19677000</v>
      </c>
      <c r="K261" s="13">
        <f>IFERROR(__xludf.DUMMYFUNCTION("""COMPUTED_VALUE"""),43301.0)</f>
        <v>43301</v>
      </c>
      <c r="L261" s="6" t="str">
        <f>IFERROR(__xludf.DUMMYFUNCTION("""COMPUTED_VALUE"""),"FIP Engineering")</f>
        <v>FIP Engineering</v>
      </c>
      <c r="M261" s="6" t="str">
        <f>IFERROR(__xludf.DUMMYFUNCTION("""COMPUTED_VALUE"""),"Joko Nugroho")</f>
        <v>Joko Nugroho</v>
      </c>
      <c r="N261" s="6" t="str">
        <f>IFERROR(__xludf.DUMMYFUNCTION("""COMPUTED_VALUE"""),"FIP Engineering")</f>
        <v>FIP Engineering</v>
      </c>
      <c r="O261" s="6" t="str">
        <f>IFERROR(__xludf.DUMMYFUNCTION("""COMPUTED_VALUE"""),"FIP-DOM-000-11304-OS00001-INA-000000")</f>
        <v>FIP-DOM-000-11304-OS00001-INA-000000</v>
      </c>
      <c r="P261" s="6" t="str">
        <f>IFERROR(__xludf.DUMMYFUNCTION("""COMPUTED_VALUE"""),"PO Closed")</f>
        <v>PO Closed</v>
      </c>
      <c r="Q261" s="6" t="str">
        <f>IFERROR(__xludf.DUMMYFUNCTION("""COMPUTED_VALUE"""),"GL1806051")</f>
        <v>GL1806051</v>
      </c>
      <c r="R261" s="16">
        <f>IFERROR(__xludf.DUMMYFUNCTION("""COMPUTED_VALUE"""),43262.0)</f>
        <v>43262</v>
      </c>
      <c r="S261" s="6" t="str">
        <f>IFERROR(__xludf.DUMMYFUNCTION("""COMPUTED_VALUE"""),"-")</f>
        <v>-</v>
      </c>
      <c r="T261" s="13">
        <f>IFERROR(__xludf.DUMMYFUNCTION("""COMPUTED_VALUE"""),43350.0)</f>
        <v>43350</v>
      </c>
    </row>
    <row r="262">
      <c r="A262" s="6" t="str">
        <f>IFERROR(__xludf.DUMMYFUNCTION("""COMPUTED_VALUE"""),"181750188-13")</f>
        <v>181750188-13</v>
      </c>
      <c r="B262" s="6" t="str">
        <f>IFERROR(__xludf.DUMMYFUNCTION("""COMPUTED_VALUE"""),"181750188 - Approved")</f>
        <v>181750188 - Approved</v>
      </c>
      <c r="C262" s="6">
        <f>IFERROR(__xludf.DUMMYFUNCTION("""COMPUTED_VALUE"""),13.0)</f>
        <v>13</v>
      </c>
      <c r="D262" s="6" t="str">
        <f>IFERROR(__xludf.DUMMYFUNCTION("""COMPUTED_VALUE"""),"P-51786-00")</f>
        <v>P-51786-00</v>
      </c>
      <c r="E262" s="6" t="str">
        <f>IFERROR(__xludf.DUMMYFUNCTION("""COMPUTED_VALUE"""),"Jumper Terminal viking uk. 2,5 mm; ; ;")</f>
        <v>Jumper Terminal viking uk. 2,5 mm; ; ;</v>
      </c>
      <c r="F262" s="6">
        <f>IFERROR(__xludf.DUMMYFUNCTION("""COMPUTED_VALUE"""),4.0)</f>
        <v>4</v>
      </c>
      <c r="G262" s="6" t="str">
        <f>IFERROR(__xludf.DUMMYFUNCTION("""COMPUTED_VALUE"""),"Pieces")</f>
        <v>Pieces</v>
      </c>
      <c r="H262" s="6" t="str">
        <f>IFERROR(__xludf.DUMMYFUNCTION("""COMPUTED_VALUE"""),"IDR")</f>
        <v>IDR</v>
      </c>
      <c r="I262" s="11">
        <f>IFERROR(__xludf.DUMMYFUNCTION("""COMPUTED_VALUE"""),27500.0)</f>
        <v>27500</v>
      </c>
      <c r="J262" s="11">
        <f>IFERROR(__xludf.DUMMYFUNCTION("""COMPUTED_VALUE"""),110000.0)</f>
        <v>110000</v>
      </c>
      <c r="K262" s="13">
        <f>IFERROR(__xludf.DUMMYFUNCTION("""COMPUTED_VALUE"""),43312.0)</f>
        <v>43312</v>
      </c>
      <c r="L262" s="6" t="str">
        <f>IFERROR(__xludf.DUMMYFUNCTION("""COMPUTED_VALUE"""),"FIP General")</f>
        <v>FIP General</v>
      </c>
      <c r="M262" s="6" t="str">
        <f>IFERROR(__xludf.DUMMYFUNCTION("""COMPUTED_VALUE"""),"Joko Nugroho")</f>
        <v>Joko Nugroho</v>
      </c>
      <c r="N262" s="6" t="str">
        <f>IFERROR(__xludf.DUMMYFUNCTION("""COMPUTED_VALUE"""),"FIP Engineering")</f>
        <v>FIP Engineering</v>
      </c>
      <c r="O262" s="6" t="str">
        <f>IFERROR(__xludf.DUMMYFUNCTION("""COMPUTED_VALUE"""),"FIP-DOM-ENG-51404-0000000-INA-000000")</f>
        <v>FIP-DOM-ENG-51404-0000000-INA-000000</v>
      </c>
      <c r="P262" s="6" t="str">
        <f>IFERROR(__xludf.DUMMYFUNCTION("""COMPUTED_VALUE"""),"PO Closed")</f>
        <v>PO Closed</v>
      </c>
      <c r="Q262" s="6" t="str">
        <f>IFERROR(__xludf.DUMMYFUNCTION("""COMPUTED_VALUE"""),"GL1807041")</f>
        <v>GL1807041</v>
      </c>
      <c r="R262" s="16">
        <f>IFERROR(__xludf.DUMMYFUNCTION("""COMPUTED_VALUE"""),43262.0)</f>
        <v>43262</v>
      </c>
      <c r="S262" s="6" t="str">
        <f>IFERROR(__xludf.DUMMYFUNCTION("""COMPUTED_VALUE"""),"-")</f>
        <v>-</v>
      </c>
      <c r="T262" s="13">
        <f>IFERROR(__xludf.DUMMYFUNCTION("""COMPUTED_VALUE"""),43307.0)</f>
        <v>43307</v>
      </c>
    </row>
    <row r="263">
      <c r="A263" s="6" t="str">
        <f>IFERROR(__xludf.DUMMYFUNCTION("""COMPUTED_VALUE"""),"181750188-13")</f>
        <v>181750188-13</v>
      </c>
      <c r="B263" s="6" t="str">
        <f>IFERROR(__xludf.DUMMYFUNCTION("""COMPUTED_VALUE"""),"181750188 - Approved")</f>
        <v>181750188 - Approved</v>
      </c>
      <c r="C263" s="6">
        <f>IFERROR(__xludf.DUMMYFUNCTION("""COMPUTED_VALUE"""),13.0)</f>
        <v>13</v>
      </c>
      <c r="D263" s="6" t="str">
        <f>IFERROR(__xludf.DUMMYFUNCTION("""COMPUTED_VALUE"""),"P-51781-00")</f>
        <v>P-51781-00</v>
      </c>
      <c r="E263" s="6" t="str">
        <f>IFERROR(__xludf.DUMMYFUNCTION("""COMPUTED_VALUE"""),"Digital Temperature Switch Type : TS2-021; Voltage : 230 VAC; Brand: Dwyer; ;")</f>
        <v>Digital Temperature Switch Type : TS2-021; Voltage : 230 VAC; Brand: Dwyer; ;</v>
      </c>
      <c r="F263" s="6">
        <f>IFERROR(__xludf.DUMMYFUNCTION("""COMPUTED_VALUE"""),1.0)</f>
        <v>1</v>
      </c>
      <c r="G263" s="6" t="str">
        <f>IFERROR(__xludf.DUMMYFUNCTION("""COMPUTED_VALUE"""),"Unit")</f>
        <v>Unit</v>
      </c>
      <c r="H263" s="6" t="str">
        <f>IFERROR(__xludf.DUMMYFUNCTION("""COMPUTED_VALUE"""),"IDR")</f>
        <v>IDR</v>
      </c>
      <c r="I263" s="11">
        <f>IFERROR(__xludf.DUMMYFUNCTION("""COMPUTED_VALUE"""),1700000.0)</f>
        <v>1700000</v>
      </c>
      <c r="J263" s="11">
        <f>IFERROR(__xludf.DUMMYFUNCTION("""COMPUTED_VALUE"""),1700000.0)</f>
        <v>1700000</v>
      </c>
      <c r="K263" s="13">
        <f>IFERROR(__xludf.DUMMYFUNCTION("""COMPUTED_VALUE"""),43312.0)</f>
        <v>43312</v>
      </c>
      <c r="L263" s="6" t="str">
        <f>IFERROR(__xludf.DUMMYFUNCTION("""COMPUTED_VALUE"""),"FIP Engineering")</f>
        <v>FIP Engineering</v>
      </c>
      <c r="M263" s="6" t="str">
        <f>IFERROR(__xludf.DUMMYFUNCTION("""COMPUTED_VALUE"""),"Joko Nugroho")</f>
        <v>Joko Nugroho</v>
      </c>
      <c r="N263" s="6" t="str">
        <f>IFERROR(__xludf.DUMMYFUNCTION("""COMPUTED_VALUE"""),"FIP Engineering")</f>
        <v>FIP Engineering</v>
      </c>
      <c r="O263" s="6" t="str">
        <f>IFERROR(__xludf.DUMMYFUNCTION("""COMPUTED_VALUE"""),"FIP-DOM-000-11304-OS00001-INA-000000")</f>
        <v>FIP-DOM-000-11304-OS00001-INA-000000</v>
      </c>
      <c r="P263" s="6" t="str">
        <f>IFERROR(__xludf.DUMMYFUNCTION("""COMPUTED_VALUE"""),"PO Closed")</f>
        <v>PO Closed</v>
      </c>
      <c r="Q263" s="6" t="str">
        <f>IFERROR(__xludf.DUMMYFUNCTION("""COMPUTED_VALUE"""),"GL1807044")</f>
        <v>GL1807044</v>
      </c>
      <c r="R263" s="16">
        <f>IFERROR(__xludf.DUMMYFUNCTION("""COMPUTED_VALUE"""),43262.0)</f>
        <v>43262</v>
      </c>
      <c r="S263" s="6" t="str">
        <f>IFERROR(__xludf.DUMMYFUNCTION("""COMPUTED_VALUE"""),"-")</f>
        <v>-</v>
      </c>
      <c r="T263" s="13">
        <f>IFERROR(__xludf.DUMMYFUNCTION("""COMPUTED_VALUE"""),43307.0)</f>
        <v>43307</v>
      </c>
    </row>
    <row r="264">
      <c r="A264" s="6" t="str">
        <f>IFERROR(__xludf.DUMMYFUNCTION("""COMPUTED_VALUE"""),"181750188-13")</f>
        <v>181750188-13</v>
      </c>
      <c r="B264" s="6" t="str">
        <f>IFERROR(__xludf.DUMMYFUNCTION("""COMPUTED_VALUE"""),"181750188 - Approved")</f>
        <v>181750188 - Approved</v>
      </c>
      <c r="C264" s="6">
        <f>IFERROR(__xludf.DUMMYFUNCTION("""COMPUTED_VALUE"""),13.0)</f>
        <v>13</v>
      </c>
      <c r="D264" s="6" t="str">
        <f>IFERROR(__xludf.DUMMYFUNCTION("""COMPUTED_VALUE"""),"Q-10509-00")</f>
        <v>Q-10509-00</v>
      </c>
      <c r="E264" s="6" t="str">
        <f>IFERROR(__xludf.DUMMYFUNCTION("""COMPUTED_VALUE"""),"Cable Ducting; ; ;")</f>
        <v>Cable Ducting; ; ;</v>
      </c>
      <c r="F264" s="6">
        <f>IFERROR(__xludf.DUMMYFUNCTION("""COMPUTED_VALUE"""),5.0)</f>
        <v>5</v>
      </c>
      <c r="G264" s="6" t="str">
        <f>IFERROR(__xludf.DUMMYFUNCTION("""COMPUTED_VALUE"""),"Pieces")</f>
        <v>Pieces</v>
      </c>
      <c r="H264" s="6" t="str">
        <f>IFERROR(__xludf.DUMMYFUNCTION("""COMPUTED_VALUE"""),"IDR")</f>
        <v>IDR</v>
      </c>
      <c r="I264" s="11">
        <f>IFERROR(__xludf.DUMMYFUNCTION("""COMPUTED_VALUE"""),150000.0)</f>
        <v>150000</v>
      </c>
      <c r="J264" s="11">
        <f>IFERROR(__xludf.DUMMYFUNCTION("""COMPUTED_VALUE"""),750000.0)</f>
        <v>750000</v>
      </c>
      <c r="K264" s="13">
        <f>IFERROR(__xludf.DUMMYFUNCTION("""COMPUTED_VALUE"""),43312.0)</f>
        <v>43312</v>
      </c>
      <c r="L264" s="6" t="str">
        <f>IFERROR(__xludf.DUMMYFUNCTION("""COMPUTED_VALUE"""),"FIP General")</f>
        <v>FIP General</v>
      </c>
      <c r="M264" s="6" t="str">
        <f>IFERROR(__xludf.DUMMYFUNCTION("""COMPUTED_VALUE"""),"Joko Nugroho")</f>
        <v>Joko Nugroho</v>
      </c>
      <c r="N264" s="6" t="str">
        <f>IFERROR(__xludf.DUMMYFUNCTION("""COMPUTED_VALUE"""),"FIP Engineering")</f>
        <v>FIP Engineering</v>
      </c>
      <c r="O264" s="6" t="str">
        <f>IFERROR(__xludf.DUMMYFUNCTION("""COMPUTED_VALUE"""),"FIP-DOM-ENG-51502-0000000-INA-000000")</f>
        <v>FIP-DOM-ENG-51502-0000000-INA-000000</v>
      </c>
      <c r="P264" s="6" t="str">
        <f>IFERROR(__xludf.DUMMYFUNCTION("""COMPUTED_VALUE"""),"PO Closed")</f>
        <v>PO Closed</v>
      </c>
      <c r="Q264" s="6" t="str">
        <f>IFERROR(__xludf.DUMMYFUNCTION("""COMPUTED_VALUE"""),"GL1807041")</f>
        <v>GL1807041</v>
      </c>
      <c r="R264" s="16">
        <f>IFERROR(__xludf.DUMMYFUNCTION("""COMPUTED_VALUE"""),43262.0)</f>
        <v>43262</v>
      </c>
      <c r="S264" s="6" t="str">
        <f>IFERROR(__xludf.DUMMYFUNCTION("""COMPUTED_VALUE"""),"-")</f>
        <v>-</v>
      </c>
      <c r="T264" s="13">
        <f>IFERROR(__xludf.DUMMYFUNCTION("""COMPUTED_VALUE"""),43307.0)</f>
        <v>43307</v>
      </c>
    </row>
    <row r="265">
      <c r="A265" s="6" t="str">
        <f>IFERROR(__xludf.DUMMYFUNCTION("""COMPUTED_VALUE"""),"181750188-13")</f>
        <v>181750188-13</v>
      </c>
      <c r="B265" s="6" t="str">
        <f>IFERROR(__xludf.DUMMYFUNCTION("""COMPUTED_VALUE"""),"181750188 - Approved")</f>
        <v>181750188 - Approved</v>
      </c>
      <c r="C265" s="6">
        <f>IFERROR(__xludf.DUMMYFUNCTION("""COMPUTED_VALUE"""),13.0)</f>
        <v>13</v>
      </c>
      <c r="D265" s="6" t="str">
        <f>IFERROR(__xludf.DUMMYFUNCTION("""COMPUTED_VALUE"""),"Q-10510-00")</f>
        <v>Q-10510-00</v>
      </c>
      <c r="E265" s="6" t="str">
        <f>IFERROR(__xludf.DUMMYFUNCTION("""COMPUTED_VALUE"""),"Junction Box Plastik 12x12x10 cm; ; ;")</f>
        <v>Junction Box Plastik 12x12x10 cm; ; ;</v>
      </c>
      <c r="F265" s="6">
        <f>IFERROR(__xludf.DUMMYFUNCTION("""COMPUTED_VALUE"""),1.0)</f>
        <v>1</v>
      </c>
      <c r="G265" s="6" t="str">
        <f>IFERROR(__xludf.DUMMYFUNCTION("""COMPUTED_VALUE"""),"Pieces")</f>
        <v>Pieces</v>
      </c>
      <c r="H265" s="6" t="str">
        <f>IFERROR(__xludf.DUMMYFUNCTION("""COMPUTED_VALUE"""),"IDR")</f>
        <v>IDR</v>
      </c>
      <c r="I265" s="11">
        <f>IFERROR(__xludf.DUMMYFUNCTION("""COMPUTED_VALUE"""),405000.0)</f>
        <v>405000</v>
      </c>
      <c r="J265" s="11">
        <f>IFERROR(__xludf.DUMMYFUNCTION("""COMPUTED_VALUE"""),405000.0)</f>
        <v>405000</v>
      </c>
      <c r="K265" s="13">
        <f>IFERROR(__xludf.DUMMYFUNCTION("""COMPUTED_VALUE"""),43312.0)</f>
        <v>43312</v>
      </c>
      <c r="L265" s="6" t="str">
        <f>IFERROR(__xludf.DUMMYFUNCTION("""COMPUTED_VALUE"""),"FIP General")</f>
        <v>FIP General</v>
      </c>
      <c r="M265" s="6" t="str">
        <f>IFERROR(__xludf.DUMMYFUNCTION("""COMPUTED_VALUE"""),"Joko Nugroho")</f>
        <v>Joko Nugroho</v>
      </c>
      <c r="N265" s="6" t="str">
        <f>IFERROR(__xludf.DUMMYFUNCTION("""COMPUTED_VALUE"""),"FIP Engineering")</f>
        <v>FIP Engineering</v>
      </c>
      <c r="O265" s="6" t="str">
        <f>IFERROR(__xludf.DUMMYFUNCTION("""COMPUTED_VALUE"""),"FIP-DOM-ENG-51502-0000000-INA-000000")</f>
        <v>FIP-DOM-ENG-51502-0000000-INA-000000</v>
      </c>
      <c r="P265" s="6" t="str">
        <f>IFERROR(__xludf.DUMMYFUNCTION("""COMPUTED_VALUE"""),"PO Closed")</f>
        <v>PO Closed</v>
      </c>
      <c r="Q265" s="6" t="str">
        <f>IFERROR(__xludf.DUMMYFUNCTION("""COMPUTED_VALUE"""),"GL1807041")</f>
        <v>GL1807041</v>
      </c>
      <c r="R265" s="16">
        <f>IFERROR(__xludf.DUMMYFUNCTION("""COMPUTED_VALUE"""),43262.0)</f>
        <v>43262</v>
      </c>
      <c r="S265" s="6" t="str">
        <f>IFERROR(__xludf.DUMMYFUNCTION("""COMPUTED_VALUE"""),"-")</f>
        <v>-</v>
      </c>
      <c r="T265" s="13">
        <f>IFERROR(__xludf.DUMMYFUNCTION("""COMPUTED_VALUE"""),43307.0)</f>
        <v>43307</v>
      </c>
    </row>
    <row r="266">
      <c r="A266" s="6" t="str">
        <f>IFERROR(__xludf.DUMMYFUNCTION("""COMPUTED_VALUE"""),"181750183-5")</f>
        <v>181750183-5</v>
      </c>
      <c r="B266" s="6" t="str">
        <f>IFERROR(__xludf.DUMMYFUNCTION("""COMPUTED_VALUE"""),"181750183 - Approved")</f>
        <v>181750183 - Approved</v>
      </c>
      <c r="C266" s="6">
        <f>IFERROR(__xludf.DUMMYFUNCTION("""COMPUTED_VALUE"""),5.0)</f>
        <v>5</v>
      </c>
      <c r="D266" s="6" t="str">
        <f>IFERROR(__xludf.DUMMYFUNCTION("""COMPUTED_VALUE"""),"Q-10042-00")</f>
        <v>Q-10042-00</v>
      </c>
      <c r="E266" s="6" t="str">
        <f>IFERROR(__xludf.DUMMYFUNCTION("""COMPUTED_VALUE"""),"Thiner Epoxy @ 1 galon")</f>
        <v>Thiner Epoxy @ 1 galon</v>
      </c>
      <c r="F266" s="6">
        <f>IFERROR(__xludf.DUMMYFUNCTION("""COMPUTED_VALUE"""),5.0)</f>
        <v>5</v>
      </c>
      <c r="G266" s="6" t="str">
        <f>IFERROR(__xludf.DUMMYFUNCTION("""COMPUTED_VALUE"""),"Liter")</f>
        <v>Liter</v>
      </c>
      <c r="H266" s="6" t="str">
        <f>IFERROR(__xludf.DUMMYFUNCTION("""COMPUTED_VALUE"""),"IDR")</f>
        <v>IDR</v>
      </c>
      <c r="I266" s="11">
        <f>IFERROR(__xludf.DUMMYFUNCTION("""COMPUTED_VALUE"""),30000.0)</f>
        <v>30000</v>
      </c>
      <c r="J266" s="11">
        <f>IFERROR(__xludf.DUMMYFUNCTION("""COMPUTED_VALUE"""),150000.0)</f>
        <v>150000</v>
      </c>
      <c r="K266" s="13">
        <f>IFERROR(__xludf.DUMMYFUNCTION("""COMPUTED_VALUE"""),43283.0)</f>
        <v>43283</v>
      </c>
      <c r="L266" s="6" t="str">
        <f>IFERROR(__xludf.DUMMYFUNCTION("""COMPUTED_VALUE"""),"FIP General")</f>
        <v>FIP General</v>
      </c>
      <c r="M266" s="6" t="str">
        <f>IFERROR(__xludf.DUMMYFUNCTION("""COMPUTED_VALUE"""),"Joko Nugroho")</f>
        <v>Joko Nugroho</v>
      </c>
      <c r="N266" s="6" t="str">
        <f>IFERROR(__xludf.DUMMYFUNCTION("""COMPUTED_VALUE"""),"FIP Engineering")</f>
        <v>FIP Engineering</v>
      </c>
      <c r="O266" s="6" t="str">
        <f>IFERROR(__xludf.DUMMYFUNCTION("""COMPUTED_VALUE"""),"FIP-DOM-ENG-51502-0000000-INA-000000")</f>
        <v>FIP-DOM-ENG-51502-0000000-INA-000000</v>
      </c>
      <c r="P266" s="6" t="str">
        <f>IFERROR(__xludf.DUMMYFUNCTION("""COMPUTED_VALUE"""),"PO Closed")</f>
        <v>PO Closed</v>
      </c>
      <c r="Q266" s="6" t="str">
        <f>IFERROR(__xludf.DUMMYFUNCTION("""COMPUTED_VALUE"""),"GL1806050")</f>
        <v>GL1806050</v>
      </c>
      <c r="R266" s="16">
        <f>IFERROR(__xludf.DUMMYFUNCTION("""COMPUTED_VALUE"""),43262.0)</f>
        <v>43262</v>
      </c>
      <c r="S266" s="6" t="str">
        <f>IFERROR(__xludf.DUMMYFUNCTION("""COMPUTED_VALUE"""),"-")</f>
        <v>-</v>
      </c>
      <c r="T266" s="13">
        <f>IFERROR(__xludf.DUMMYFUNCTION("""COMPUTED_VALUE"""),43286.0)</f>
        <v>43286</v>
      </c>
    </row>
    <row r="267">
      <c r="A267" s="6" t="str">
        <f>IFERROR(__xludf.DUMMYFUNCTION("""COMPUTED_VALUE"""),"181750183-5")</f>
        <v>181750183-5</v>
      </c>
      <c r="B267" s="6" t="str">
        <f>IFERROR(__xludf.DUMMYFUNCTION("""COMPUTED_VALUE"""),"181750183 - Approved")</f>
        <v>181750183 - Approved</v>
      </c>
      <c r="C267" s="6">
        <f>IFERROR(__xludf.DUMMYFUNCTION("""COMPUTED_VALUE"""),5.0)</f>
        <v>5</v>
      </c>
      <c r="D267" s="6" t="str">
        <f>IFERROR(__xludf.DUMMYFUNCTION("""COMPUTED_VALUE"""),"Q-10470-00")</f>
        <v>Q-10470-00</v>
      </c>
      <c r="E267" s="6" t="str">
        <f>IFERROR(__xludf.DUMMYFUNCTION("""COMPUTED_VALUE"""),"Cat Epoxy; ; ;")</f>
        <v>Cat Epoxy; ; ;</v>
      </c>
      <c r="F267" s="6">
        <f>IFERROR(__xludf.DUMMYFUNCTION("""COMPUTED_VALUE"""),5.0)</f>
        <v>5</v>
      </c>
      <c r="G267" s="6" t="str">
        <f>IFERROR(__xludf.DUMMYFUNCTION("""COMPUTED_VALUE"""),"Pieces")</f>
        <v>Pieces</v>
      </c>
      <c r="H267" s="6" t="str">
        <f>IFERROR(__xludf.DUMMYFUNCTION("""COMPUTED_VALUE"""),"IDR")</f>
        <v>IDR</v>
      </c>
      <c r="I267" s="11">
        <f>IFERROR(__xludf.DUMMYFUNCTION("""COMPUTED_VALUE"""),150000.0)</f>
        <v>150000</v>
      </c>
      <c r="J267" s="11">
        <f>IFERROR(__xludf.DUMMYFUNCTION("""COMPUTED_VALUE"""),750000.0)</f>
        <v>750000</v>
      </c>
      <c r="K267" s="13">
        <f>IFERROR(__xludf.DUMMYFUNCTION("""COMPUTED_VALUE"""),43283.0)</f>
        <v>43283</v>
      </c>
      <c r="L267" s="6" t="str">
        <f>IFERROR(__xludf.DUMMYFUNCTION("""COMPUTED_VALUE"""),"FIP General")</f>
        <v>FIP General</v>
      </c>
      <c r="M267" s="6" t="str">
        <f>IFERROR(__xludf.DUMMYFUNCTION("""COMPUTED_VALUE"""),"Joko Nugroho")</f>
        <v>Joko Nugroho</v>
      </c>
      <c r="N267" s="6" t="str">
        <f>IFERROR(__xludf.DUMMYFUNCTION("""COMPUTED_VALUE"""),"FIP Engineering")</f>
        <v>FIP Engineering</v>
      </c>
      <c r="O267" s="6" t="str">
        <f>IFERROR(__xludf.DUMMYFUNCTION("""COMPUTED_VALUE"""),"FIP-DOM-ENG-51502-0000000-INA-000000")</f>
        <v>FIP-DOM-ENG-51502-0000000-INA-000000</v>
      </c>
      <c r="P267" s="6" t="str">
        <f>IFERROR(__xludf.DUMMYFUNCTION("""COMPUTED_VALUE"""),"PO Closed")</f>
        <v>PO Closed</v>
      </c>
      <c r="Q267" s="6" t="str">
        <f>IFERROR(__xludf.DUMMYFUNCTION("""COMPUTED_VALUE"""),"GL1806050")</f>
        <v>GL1806050</v>
      </c>
      <c r="R267" s="16">
        <f>IFERROR(__xludf.DUMMYFUNCTION("""COMPUTED_VALUE"""),43263.0)</f>
        <v>43263</v>
      </c>
      <c r="S267" s="6" t="str">
        <f>IFERROR(__xludf.DUMMYFUNCTION("""COMPUTED_VALUE"""),"-")</f>
        <v>-</v>
      </c>
      <c r="T267" s="13">
        <f>IFERROR(__xludf.DUMMYFUNCTION("""COMPUTED_VALUE"""),43286.0)</f>
        <v>43286</v>
      </c>
    </row>
    <row r="268">
      <c r="A268" s="6" t="str">
        <f>IFERROR(__xludf.DUMMYFUNCTION("""COMPUTED_VALUE"""),"181750213-1")</f>
        <v>181750213-1</v>
      </c>
      <c r="B268" s="6" t="str">
        <f>IFERROR(__xludf.DUMMYFUNCTION("""COMPUTED_VALUE"""),"181750213 - Approved")</f>
        <v>181750213 - Approved</v>
      </c>
      <c r="C268" s="6">
        <f>IFERROR(__xludf.DUMMYFUNCTION("""COMPUTED_VALUE"""),1.0)</f>
        <v>1</v>
      </c>
      <c r="D268" s="6" t="str">
        <f>IFERROR(__xludf.DUMMYFUNCTION("""COMPUTED_VALUE"""),"S-12006-00")</f>
        <v>S-12006-00</v>
      </c>
      <c r="E268" s="6" t="str">
        <f>IFERROR(__xludf.DUMMYFUNCTION("""COMPUTED_VALUE"""),"Majun")</f>
        <v>Majun</v>
      </c>
      <c r="F268" s="6">
        <f>IFERROR(__xludf.DUMMYFUNCTION("""COMPUTED_VALUE"""),10.0)</f>
        <v>10</v>
      </c>
      <c r="G268" s="6" t="str">
        <f>IFERROR(__xludf.DUMMYFUNCTION("""COMPUTED_VALUE"""),"Kilogram")</f>
        <v>Kilogram</v>
      </c>
      <c r="H268" s="6" t="str">
        <f>IFERROR(__xludf.DUMMYFUNCTION("""COMPUTED_VALUE"""),"IDR")</f>
        <v>IDR</v>
      </c>
      <c r="I268" s="11">
        <f>IFERROR(__xludf.DUMMYFUNCTION("""COMPUTED_VALUE"""),33000.0)</f>
        <v>33000</v>
      </c>
      <c r="J268" s="11">
        <f>IFERROR(__xludf.DUMMYFUNCTION("""COMPUTED_VALUE"""),330000.0)</f>
        <v>330000</v>
      </c>
      <c r="K268" s="13">
        <f>IFERROR(__xludf.DUMMYFUNCTION("""COMPUTED_VALUE"""),43283.0)</f>
        <v>43283</v>
      </c>
      <c r="L268" s="6" t="str">
        <f>IFERROR(__xludf.DUMMYFUNCTION("""COMPUTED_VALUE"""),"FIP General")</f>
        <v>FIP General</v>
      </c>
      <c r="M268" s="6" t="str">
        <f>IFERROR(__xludf.DUMMYFUNCTION("""COMPUTED_VALUE"""),"Joko Nugroho")</f>
        <v>Joko Nugroho</v>
      </c>
      <c r="N268" s="6" t="str">
        <f>IFERROR(__xludf.DUMMYFUNCTION("""COMPUTED_VALUE"""),"FIP Engineering")</f>
        <v>FIP Engineering</v>
      </c>
      <c r="O268" s="6" t="str">
        <f>IFERROR(__xludf.DUMMYFUNCTION("""COMPUTED_VALUE"""),"FIP-DOM-ENG-51302-0000000-INA-000000")</f>
        <v>FIP-DOM-ENG-51302-0000000-INA-000000</v>
      </c>
      <c r="P268" s="6" t="str">
        <f>IFERROR(__xludf.DUMMYFUNCTION("""COMPUTED_VALUE"""),"PO Closed")</f>
        <v>PO Closed</v>
      </c>
      <c r="Q268" s="6" t="str">
        <f>IFERROR(__xludf.DUMMYFUNCTION("""COMPUTED_VALUE"""),"GL1807001")</f>
        <v>GL1807001</v>
      </c>
      <c r="R268" s="16">
        <f>IFERROR(__xludf.DUMMYFUNCTION("""COMPUTED_VALUE"""),43276.0)</f>
        <v>43276</v>
      </c>
      <c r="S268" s="6" t="str">
        <f>IFERROR(__xludf.DUMMYFUNCTION("""COMPUTED_VALUE"""),"-")</f>
        <v>-</v>
      </c>
      <c r="T268" s="13">
        <f>IFERROR(__xludf.DUMMYFUNCTION("""COMPUTED_VALUE"""),43287.0)</f>
        <v>43287</v>
      </c>
    </row>
    <row r="269">
      <c r="A269" s="6" t="str">
        <f>IFERROR(__xludf.DUMMYFUNCTION("""COMPUTED_VALUE"""),"181750213-2")</f>
        <v>181750213-2</v>
      </c>
      <c r="B269" s="6" t="str">
        <f>IFERROR(__xludf.DUMMYFUNCTION("""COMPUTED_VALUE"""),"181750213 - Approved")</f>
        <v>181750213 - Approved</v>
      </c>
      <c r="C269" s="6">
        <f>IFERROR(__xludf.DUMMYFUNCTION("""COMPUTED_VALUE"""),2.0)</f>
        <v>2</v>
      </c>
      <c r="D269" s="6" t="str">
        <f>IFERROR(__xludf.DUMMYFUNCTION("""COMPUTED_VALUE"""),"S-20016-00")</f>
        <v>S-20016-00</v>
      </c>
      <c r="E269" s="6" t="str">
        <f>IFERROR(__xludf.DUMMYFUNCTION("""COMPUTED_VALUE"""),"Sarung tangan bahan kain; ; ;")</f>
        <v>Sarung tangan bahan kain; ; ;</v>
      </c>
      <c r="F269" s="6">
        <f>IFERROR(__xludf.DUMMYFUNCTION("""COMPUTED_VALUE"""),2.0)</f>
        <v>2</v>
      </c>
      <c r="G269" s="6" t="str">
        <f>IFERROR(__xludf.DUMMYFUNCTION("""COMPUTED_VALUE"""),"Pack")</f>
        <v>Pack</v>
      </c>
      <c r="H269" s="6" t="str">
        <f>IFERROR(__xludf.DUMMYFUNCTION("""COMPUTED_VALUE"""),"IDR")</f>
        <v>IDR</v>
      </c>
      <c r="I269" s="11">
        <f>IFERROR(__xludf.DUMMYFUNCTION("""COMPUTED_VALUE"""),42000.0)</f>
        <v>42000</v>
      </c>
      <c r="J269" s="11">
        <f>IFERROR(__xludf.DUMMYFUNCTION("""COMPUTED_VALUE"""),84000.0)</f>
        <v>84000</v>
      </c>
      <c r="K269" s="13">
        <f>IFERROR(__xludf.DUMMYFUNCTION("""COMPUTED_VALUE"""),43283.0)</f>
        <v>43283</v>
      </c>
      <c r="L269" s="6" t="str">
        <f>IFERROR(__xludf.DUMMYFUNCTION("""COMPUTED_VALUE"""),"FIP General")</f>
        <v>FIP General</v>
      </c>
      <c r="M269" s="6" t="str">
        <f>IFERROR(__xludf.DUMMYFUNCTION("""COMPUTED_VALUE"""),"Joko Nugroho")</f>
        <v>Joko Nugroho</v>
      </c>
      <c r="N269" s="6" t="str">
        <f>IFERROR(__xludf.DUMMYFUNCTION("""COMPUTED_VALUE"""),"FIP Engineering")</f>
        <v>FIP Engineering</v>
      </c>
      <c r="O269" s="6" t="str">
        <f>IFERROR(__xludf.DUMMYFUNCTION("""COMPUTED_VALUE"""),"FIP-DOM-ENG-51202-0000000-INA-000000")</f>
        <v>FIP-DOM-ENG-51202-0000000-INA-000000</v>
      </c>
      <c r="P269" s="6" t="str">
        <f>IFERROR(__xludf.DUMMYFUNCTION("""COMPUTED_VALUE"""),"PO Closed")</f>
        <v>PO Closed</v>
      </c>
      <c r="Q269" s="6" t="str">
        <f>IFERROR(__xludf.DUMMYFUNCTION("""COMPUTED_VALUE"""),"GL1807002")</f>
        <v>GL1807002</v>
      </c>
      <c r="R269" s="16">
        <f>IFERROR(__xludf.DUMMYFUNCTION("""COMPUTED_VALUE"""),43276.0)</f>
        <v>43276</v>
      </c>
      <c r="S269" s="6" t="str">
        <f>IFERROR(__xludf.DUMMYFUNCTION("""COMPUTED_VALUE"""),"-")</f>
        <v>-</v>
      </c>
      <c r="T269" s="13">
        <f>IFERROR(__xludf.DUMMYFUNCTION("""COMPUTED_VALUE"""),43290.0)</f>
        <v>43290</v>
      </c>
    </row>
    <row r="270">
      <c r="A270" s="6" t="str">
        <f>IFERROR(__xludf.DUMMYFUNCTION("""COMPUTED_VALUE"""),"181750211-1")</f>
        <v>181750211-1</v>
      </c>
      <c r="B270" s="6" t="str">
        <f>IFERROR(__xludf.DUMMYFUNCTION("""COMPUTED_VALUE"""),"181750211 - Approved")</f>
        <v>181750211 - Approved</v>
      </c>
      <c r="C270" s="6">
        <f>IFERROR(__xludf.DUMMYFUNCTION("""COMPUTED_VALUE"""),1.0)</f>
        <v>1</v>
      </c>
      <c r="D270" s="6" t="str">
        <f>IFERROR(__xludf.DUMMYFUNCTION("""COMPUTED_VALUE"""),"O-15641-00")</f>
        <v>O-15641-00</v>
      </c>
      <c r="E270" s="6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F270" s="6">
        <f>IFERROR(__xludf.DUMMYFUNCTION("""COMPUTED_VALUE"""),1.0)</f>
        <v>1</v>
      </c>
      <c r="G270" s="6" t="str">
        <f>IFERROR(__xludf.DUMMYFUNCTION("""COMPUTED_VALUE"""),"Unit")</f>
        <v>Unit</v>
      </c>
      <c r="H270" s="6" t="str">
        <f>IFERROR(__xludf.DUMMYFUNCTION("""COMPUTED_VALUE"""),"EUR")</f>
        <v>EUR</v>
      </c>
      <c r="I270" s="11">
        <f>IFERROR(__xludf.DUMMYFUNCTION("""COMPUTED_VALUE"""),2176.0)</f>
        <v>2176</v>
      </c>
      <c r="J270" s="11">
        <f>IFERROR(__xludf.DUMMYFUNCTION("""COMPUTED_VALUE"""),2176.0)</f>
        <v>2176</v>
      </c>
      <c r="K270" s="13">
        <f>IFERROR(__xludf.DUMMYFUNCTION("""COMPUTED_VALUE"""),43297.0)</f>
        <v>43297</v>
      </c>
      <c r="L270" s="6" t="str">
        <f>IFERROR(__xludf.DUMMYFUNCTION("""COMPUTED_VALUE"""),"FIP Engineering")</f>
        <v>FIP Engineering</v>
      </c>
      <c r="M270" s="6" t="str">
        <f>IFERROR(__xludf.DUMMYFUNCTION("""COMPUTED_VALUE"""),"Joko Nugroho")</f>
        <v>Joko Nugroho</v>
      </c>
      <c r="N270" s="6" t="str">
        <f>IFERROR(__xludf.DUMMYFUNCTION("""COMPUTED_VALUE"""),"FIP Engineering")</f>
        <v>FIP Engineering</v>
      </c>
      <c r="O270" s="6" t="str">
        <f>IFERROR(__xludf.DUMMYFUNCTION("""COMPUTED_VALUE"""),"FIP-DOM-000-11304-OS00001-INA-000000")</f>
        <v>FIP-DOM-000-11304-OS00001-INA-000000</v>
      </c>
      <c r="P270" s="6" t="str">
        <f>IFERROR(__xludf.DUMMYFUNCTION("""COMPUTED_VALUE"""),"PO Closed")</f>
        <v>PO Closed</v>
      </c>
      <c r="Q270" s="6" t="str">
        <f>IFERROR(__xludf.DUMMYFUNCTION("""COMPUTED_VALUE"""),"GL1806042")</f>
        <v>GL1806042</v>
      </c>
      <c r="R270" s="16">
        <f>IFERROR(__xludf.DUMMYFUNCTION("""COMPUTED_VALUE"""),43276.0)</f>
        <v>43276</v>
      </c>
      <c r="S270" s="6" t="str">
        <f>IFERROR(__xludf.DUMMYFUNCTION("""COMPUTED_VALUE"""),"-")</f>
        <v>-</v>
      </c>
      <c r="T270" s="13">
        <f>IFERROR(__xludf.DUMMYFUNCTION("""COMPUTED_VALUE"""),43298.0)</f>
        <v>43298</v>
      </c>
    </row>
    <row r="271">
      <c r="A271" s="6" t="str">
        <f>IFERROR(__xludf.DUMMYFUNCTION("""COMPUTED_VALUE"""),"181750211-2")</f>
        <v>181750211-2</v>
      </c>
      <c r="B271" s="6" t="str">
        <f>IFERROR(__xludf.DUMMYFUNCTION("""COMPUTED_VALUE"""),"181750211 - Approved")</f>
        <v>181750211 - Approved</v>
      </c>
      <c r="C271" s="6">
        <f>IFERROR(__xludf.DUMMYFUNCTION("""COMPUTED_VALUE"""),2.0)</f>
        <v>2</v>
      </c>
      <c r="D271" s="6" t="str">
        <f>IFERROR(__xludf.DUMMYFUNCTION("""COMPUTED_VALUE"""),"S-60002-00")</f>
        <v>S-60002-00</v>
      </c>
      <c r="E271" s="6" t="str">
        <f>IFERROR(__xludf.DUMMYFUNCTION("""COMPUTED_VALUE"""),"Packaging")</f>
        <v>Packaging</v>
      </c>
      <c r="F271" s="6">
        <f>IFERROR(__xludf.DUMMYFUNCTION("""COMPUTED_VALUE"""),1.0)</f>
        <v>1</v>
      </c>
      <c r="G271" s="6" t="str">
        <f>IFERROR(__xludf.DUMMYFUNCTION("""COMPUTED_VALUE"""),"Lot")</f>
        <v>Lot</v>
      </c>
      <c r="H271" s="6" t="str">
        <f>IFERROR(__xludf.DUMMYFUNCTION("""COMPUTED_VALUE"""),"EUR")</f>
        <v>EUR</v>
      </c>
      <c r="I271" s="11">
        <f>IFERROR(__xludf.DUMMYFUNCTION("""COMPUTED_VALUE"""),75.0)</f>
        <v>75</v>
      </c>
      <c r="J271" s="11">
        <f>IFERROR(__xludf.DUMMYFUNCTION("""COMPUTED_VALUE"""),75.0)</f>
        <v>75</v>
      </c>
      <c r="K271" s="13">
        <f>IFERROR(__xludf.DUMMYFUNCTION("""COMPUTED_VALUE"""),43297.0)</f>
        <v>43297</v>
      </c>
      <c r="L271" s="6" t="str">
        <f>IFERROR(__xludf.DUMMYFUNCTION("""COMPUTED_VALUE"""),"FIP General")</f>
        <v>FIP General</v>
      </c>
      <c r="M271" s="6" t="str">
        <f>IFERROR(__xludf.DUMMYFUNCTION("""COMPUTED_VALUE"""),"Joko Nugroho")</f>
        <v>Joko Nugroho</v>
      </c>
      <c r="N271" s="6" t="str">
        <f>IFERROR(__xludf.DUMMYFUNCTION("""COMPUTED_VALUE"""),"FIP Engineering")</f>
        <v>FIP Engineering</v>
      </c>
      <c r="O271" s="6" t="str">
        <f>IFERROR(__xludf.DUMMYFUNCTION("""COMPUTED_VALUE"""),"FIP-DOM-ENG-51508-0000000-INA-000000")</f>
        <v>FIP-DOM-ENG-51508-0000000-INA-000000</v>
      </c>
      <c r="P271" s="6" t="str">
        <f>IFERROR(__xludf.DUMMYFUNCTION("""COMPUTED_VALUE"""),"PO Closed")</f>
        <v>PO Closed</v>
      </c>
      <c r="Q271" s="6" t="str">
        <f>IFERROR(__xludf.DUMMYFUNCTION("""COMPUTED_VALUE"""),"GL1806042")</f>
        <v>GL1806042</v>
      </c>
      <c r="R271" s="16">
        <f>IFERROR(__xludf.DUMMYFUNCTION("""COMPUTED_VALUE"""),43276.0)</f>
        <v>43276</v>
      </c>
      <c r="S271" s="6" t="str">
        <f>IFERROR(__xludf.DUMMYFUNCTION("""COMPUTED_VALUE"""),"-")</f>
        <v>-</v>
      </c>
      <c r="T271" s="13">
        <f>IFERROR(__xludf.DUMMYFUNCTION("""COMPUTED_VALUE"""),43298.0)</f>
        <v>43298</v>
      </c>
    </row>
    <row r="272">
      <c r="A272" s="6" t="str">
        <f>IFERROR(__xludf.DUMMYFUNCTION("""COMPUTED_VALUE"""),"181750211-3")</f>
        <v>181750211-3</v>
      </c>
      <c r="B272" s="6" t="str">
        <f>IFERROR(__xludf.DUMMYFUNCTION("""COMPUTED_VALUE"""),"181750211 - Approved")</f>
        <v>181750211 - Approved</v>
      </c>
      <c r="C272" s="6">
        <f>IFERROR(__xludf.DUMMYFUNCTION("""COMPUTED_VALUE"""),3.0)</f>
        <v>3</v>
      </c>
      <c r="D272" s="6" t="str">
        <f>IFERROR(__xludf.DUMMYFUNCTION("""COMPUTED_VALUE"""),"S-60002-00")</f>
        <v>S-60002-00</v>
      </c>
      <c r="E272" s="6" t="str">
        <f>IFERROR(__xludf.DUMMYFUNCTION("""COMPUTED_VALUE"""),"Delivery")</f>
        <v>Delivery</v>
      </c>
      <c r="F272" s="6">
        <f>IFERROR(__xludf.DUMMYFUNCTION("""COMPUTED_VALUE"""),1.0)</f>
        <v>1</v>
      </c>
      <c r="G272" s="6" t="str">
        <f>IFERROR(__xludf.DUMMYFUNCTION("""COMPUTED_VALUE"""),"Lot")</f>
        <v>Lot</v>
      </c>
      <c r="H272" s="6" t="str">
        <f>IFERROR(__xludf.DUMMYFUNCTION("""COMPUTED_VALUE"""),"EUR")</f>
        <v>EUR</v>
      </c>
      <c r="I272" s="11">
        <f>IFERROR(__xludf.DUMMYFUNCTION("""COMPUTED_VALUE"""),220.0)</f>
        <v>220</v>
      </c>
      <c r="J272" s="11">
        <f>IFERROR(__xludf.DUMMYFUNCTION("""COMPUTED_VALUE"""),220.0)</f>
        <v>220</v>
      </c>
      <c r="K272" s="13">
        <f>IFERROR(__xludf.DUMMYFUNCTION("""COMPUTED_VALUE"""),43297.0)</f>
        <v>43297</v>
      </c>
      <c r="L272" s="6" t="str">
        <f>IFERROR(__xludf.DUMMYFUNCTION("""COMPUTED_VALUE"""),"FIP General")</f>
        <v>FIP General</v>
      </c>
      <c r="M272" s="6" t="str">
        <f>IFERROR(__xludf.DUMMYFUNCTION("""COMPUTED_VALUE"""),"Joko Nugroho")</f>
        <v>Joko Nugroho</v>
      </c>
      <c r="N272" s="6" t="str">
        <f>IFERROR(__xludf.DUMMYFUNCTION("""COMPUTED_VALUE"""),"FIP Engineering")</f>
        <v>FIP Engineering</v>
      </c>
      <c r="O272" s="6" t="str">
        <f>IFERROR(__xludf.DUMMYFUNCTION("""COMPUTED_VALUE"""),"FIP-DOM-ENG-51508-0000000-INA-000000")</f>
        <v>FIP-DOM-ENG-51508-0000000-INA-000000</v>
      </c>
      <c r="P272" s="6" t="str">
        <f>IFERROR(__xludf.DUMMYFUNCTION("""COMPUTED_VALUE"""),"PO Closed")</f>
        <v>PO Closed</v>
      </c>
      <c r="Q272" s="6" t="str">
        <f>IFERROR(__xludf.DUMMYFUNCTION("""COMPUTED_VALUE"""),"GL1806042")</f>
        <v>GL1806042</v>
      </c>
      <c r="R272" s="16">
        <f>IFERROR(__xludf.DUMMYFUNCTION("""COMPUTED_VALUE"""),43276.0)</f>
        <v>43276</v>
      </c>
      <c r="S272" s="6" t="str">
        <f>IFERROR(__xludf.DUMMYFUNCTION("""COMPUTED_VALUE"""),"-")</f>
        <v>-</v>
      </c>
      <c r="T272" s="13">
        <f>IFERROR(__xludf.DUMMYFUNCTION("""COMPUTED_VALUE"""),43298.0)</f>
        <v>43298</v>
      </c>
    </row>
    <row r="273">
      <c r="A273" s="6" t="str">
        <f>IFERROR(__xludf.DUMMYFUNCTION("""COMPUTED_VALUE"""),"181750214-1")</f>
        <v>181750214-1</v>
      </c>
      <c r="B273" s="6" t="str">
        <f>IFERROR(__xludf.DUMMYFUNCTION("""COMPUTED_VALUE"""),"181750214 - Approved")</f>
        <v>181750214 - Approved</v>
      </c>
      <c r="C273" s="6">
        <f>IFERROR(__xludf.DUMMYFUNCTION("""COMPUTED_VALUE"""),1.0)</f>
        <v>1</v>
      </c>
      <c r="D273" s="6" t="str">
        <f>IFERROR(__xludf.DUMMYFUNCTION("""COMPUTED_VALUE"""),"S-85000-00")</f>
        <v>S-85000-00</v>
      </c>
      <c r="E273" s="6" t="str">
        <f>IFERROR(__xludf.DUMMYFUNCTION("""COMPUTED_VALUE"""),"Form Engineering Job Order; Bahan : Ncr 2 Ply ( putih + Merah ); Isi : 50 Set / buku ( 100 lbr ); Ukuran :1/2 Folio")</f>
        <v>Form Engineering Job Order; Bahan : Ncr 2 Ply ( putih + Merah ); Isi : 50 Set / buku ( 100 lbr ); Ukuran :1/2 Folio</v>
      </c>
      <c r="F273" s="6">
        <f>IFERROR(__xludf.DUMMYFUNCTION("""COMPUTED_VALUE"""),6.0)</f>
        <v>6</v>
      </c>
      <c r="G273" s="6" t="str">
        <f>IFERROR(__xludf.DUMMYFUNCTION("""COMPUTED_VALUE"""),"Pack")</f>
        <v>Pack</v>
      </c>
      <c r="H273" s="6" t="str">
        <f>IFERROR(__xludf.DUMMYFUNCTION("""COMPUTED_VALUE"""),"IDR")</f>
        <v>IDR</v>
      </c>
      <c r="I273" s="11">
        <f>IFERROR(__xludf.DUMMYFUNCTION("""COMPUTED_VALUE"""),35000.0)</f>
        <v>35000</v>
      </c>
      <c r="J273" s="11">
        <f>IFERROR(__xludf.DUMMYFUNCTION("""COMPUTED_VALUE"""),210000.0)</f>
        <v>210000</v>
      </c>
      <c r="K273" s="13">
        <f>IFERROR(__xludf.DUMMYFUNCTION("""COMPUTED_VALUE"""),43287.0)</f>
        <v>43287</v>
      </c>
      <c r="L273" s="6" t="str">
        <f>IFERROR(__xludf.DUMMYFUNCTION("""COMPUTED_VALUE"""),"FIP General")</f>
        <v>FIP General</v>
      </c>
      <c r="M273" s="6" t="str">
        <f>IFERROR(__xludf.DUMMYFUNCTION("""COMPUTED_VALUE"""),"Joko Nugroho")</f>
        <v>Joko Nugroho</v>
      </c>
      <c r="N273" s="6" t="str">
        <f>IFERROR(__xludf.DUMMYFUNCTION("""COMPUTED_VALUE"""),"FIP Engineering")</f>
        <v>FIP Engineering</v>
      </c>
      <c r="O273" s="6" t="str">
        <f>IFERROR(__xludf.DUMMYFUNCTION("""COMPUTED_VALUE"""),"FIP-DOM-ENG-51402-0000000-INA-000000")</f>
        <v>FIP-DOM-ENG-51402-0000000-INA-000000</v>
      </c>
      <c r="P273" s="6" t="str">
        <f>IFERROR(__xludf.DUMMYFUNCTION("""COMPUTED_VALUE"""),"PO Closed")</f>
        <v>PO Closed</v>
      </c>
      <c r="Q273" s="6" t="str">
        <f>IFERROR(__xludf.DUMMYFUNCTION("""COMPUTED_VALUE"""),"GL1807003")</f>
        <v>GL1807003</v>
      </c>
      <c r="R273" s="16">
        <f>IFERROR(__xludf.DUMMYFUNCTION("""COMPUTED_VALUE"""),43277.0)</f>
        <v>43277</v>
      </c>
      <c r="S273" s="6" t="str">
        <f>IFERROR(__xludf.DUMMYFUNCTION("""COMPUTED_VALUE"""),"-")</f>
        <v>-</v>
      </c>
      <c r="T273" s="13">
        <f>IFERROR(__xludf.DUMMYFUNCTION("""COMPUTED_VALUE"""),43304.0)</f>
        <v>43304</v>
      </c>
    </row>
    <row r="274">
      <c r="A274" s="6" t="str">
        <f>IFERROR(__xludf.DUMMYFUNCTION("""COMPUTED_VALUE"""),"181750216-1")</f>
        <v>181750216-1</v>
      </c>
      <c r="B274" s="6" t="str">
        <f>IFERROR(__xludf.DUMMYFUNCTION("""COMPUTED_VALUE"""),"181750216 - Approved")</f>
        <v>181750216 - Approved</v>
      </c>
      <c r="C274" s="6">
        <f>IFERROR(__xludf.DUMMYFUNCTION("""COMPUTED_VALUE"""),1.0)</f>
        <v>1</v>
      </c>
      <c r="D274" s="6" t="str">
        <f>IFERROR(__xludf.DUMMYFUNCTION("""COMPUTED_VALUE"""),"Q-10232-00")</f>
        <v>Q-10232-00</v>
      </c>
      <c r="E274" s="6" t="str">
        <f>IFERROR(__xludf.DUMMYFUNCTION("""COMPUTED_VALUE"""),"Silicone Sealant N10 White; ; ;")</f>
        <v>Silicone Sealant N10 White; ; ;</v>
      </c>
      <c r="F274" s="6">
        <f>IFERROR(__xludf.DUMMYFUNCTION("""COMPUTED_VALUE"""),7.0)</f>
        <v>7</v>
      </c>
      <c r="G274" s="6" t="str">
        <f>IFERROR(__xludf.DUMMYFUNCTION("""COMPUTED_VALUE"""),"Pieces")</f>
        <v>Pieces</v>
      </c>
      <c r="H274" s="6" t="str">
        <f>IFERROR(__xludf.DUMMYFUNCTION("""COMPUTED_VALUE"""),"IDR")</f>
        <v>IDR</v>
      </c>
      <c r="I274" s="11">
        <f>IFERROR(__xludf.DUMMYFUNCTION("""COMPUTED_VALUE"""),45000.0)</f>
        <v>45000</v>
      </c>
      <c r="J274" s="11">
        <f>IFERROR(__xludf.DUMMYFUNCTION("""COMPUTED_VALUE"""),315000.0)</f>
        <v>315000</v>
      </c>
      <c r="K274" s="13">
        <f>IFERROR(__xludf.DUMMYFUNCTION("""COMPUTED_VALUE"""),43294.0)</f>
        <v>43294</v>
      </c>
      <c r="L274" s="6" t="str">
        <f>IFERROR(__xludf.DUMMYFUNCTION("""COMPUTED_VALUE"""),"FIP Engineering")</f>
        <v>FIP Engineering</v>
      </c>
      <c r="M274" s="6" t="str">
        <f>IFERROR(__xludf.DUMMYFUNCTION("""COMPUTED_VALUE"""),"Joko Nugroho")</f>
        <v>Joko Nugroho</v>
      </c>
      <c r="N274" s="6" t="str">
        <f>IFERROR(__xludf.DUMMYFUNCTION("""COMPUTED_VALUE"""),"FIP Engineering")</f>
        <v>FIP Engineering</v>
      </c>
      <c r="O274" s="6" t="str">
        <f>IFERROR(__xludf.DUMMYFUNCTION("""COMPUTED_VALUE"""),"FIP-DOM-000-11304-OS00001-INA-000000")</f>
        <v>FIP-DOM-000-11304-OS00001-INA-000000</v>
      </c>
      <c r="P274" s="6" t="str">
        <f>IFERROR(__xludf.DUMMYFUNCTION("""COMPUTED_VALUE"""),"PO Closed")</f>
        <v>PO Closed</v>
      </c>
      <c r="Q274" s="6" t="str">
        <f>IFERROR(__xludf.DUMMYFUNCTION("""COMPUTED_VALUE"""),"GL1807005")</f>
        <v>GL1807005</v>
      </c>
      <c r="R274" s="16">
        <f>IFERROR(__xludf.DUMMYFUNCTION("""COMPUTED_VALUE"""),43279.0)</f>
        <v>43279</v>
      </c>
      <c r="S274" s="6" t="str">
        <f>IFERROR(__xludf.DUMMYFUNCTION("""COMPUTED_VALUE"""),"-")</f>
        <v>-</v>
      </c>
      <c r="T274" s="13">
        <f>IFERROR(__xludf.DUMMYFUNCTION("""COMPUTED_VALUE"""),43287.0)</f>
        <v>43287</v>
      </c>
    </row>
    <row r="275">
      <c r="A275" s="6" t="str">
        <f>IFERROR(__xludf.DUMMYFUNCTION("""COMPUTED_VALUE"""),"181750216-2")</f>
        <v>181750216-2</v>
      </c>
      <c r="B275" s="6" t="str">
        <f>IFERROR(__xludf.DUMMYFUNCTION("""COMPUTED_VALUE"""),"181750216 - Approved")</f>
        <v>181750216 - Approved</v>
      </c>
      <c r="C275" s="6">
        <f>IFERROR(__xludf.DUMMYFUNCTION("""COMPUTED_VALUE"""),2.0)</f>
        <v>2</v>
      </c>
      <c r="D275" s="6" t="str">
        <f>IFERROR(__xludf.DUMMYFUNCTION("""COMPUTED_VALUE"""),"P-53216-00")</f>
        <v>P-53216-00</v>
      </c>
      <c r="E275" s="6" t="str">
        <f>IFERROR(__xludf.DUMMYFUNCTION("""COMPUTED_VALUE"""),"Silicon Lembaran, tebal 3 mm, size: 1 meter X 1 meter; ; ;")</f>
        <v>Silicon Lembaran, tebal 3 mm, size: 1 meter X 1 meter; ; ;</v>
      </c>
      <c r="F275" s="6">
        <f>IFERROR(__xludf.DUMMYFUNCTION("""COMPUTED_VALUE"""),1.0)</f>
        <v>1</v>
      </c>
      <c r="G275" s="6" t="str">
        <f>IFERROR(__xludf.DUMMYFUNCTION("""COMPUTED_VALUE"""),"Pieces")</f>
        <v>Pieces</v>
      </c>
      <c r="H275" s="6" t="str">
        <f>IFERROR(__xludf.DUMMYFUNCTION("""COMPUTED_VALUE"""),"IDR")</f>
        <v>IDR</v>
      </c>
      <c r="I275" s="11">
        <f>IFERROR(__xludf.DUMMYFUNCTION("""COMPUTED_VALUE"""),400000.0)</f>
        <v>400000</v>
      </c>
      <c r="J275" s="11">
        <f>IFERROR(__xludf.DUMMYFUNCTION("""COMPUTED_VALUE"""),400000.0)</f>
        <v>400000</v>
      </c>
      <c r="K275" s="13">
        <f>IFERROR(__xludf.DUMMYFUNCTION("""COMPUTED_VALUE"""),43294.0)</f>
        <v>43294</v>
      </c>
      <c r="L275" s="6" t="str">
        <f>IFERROR(__xludf.DUMMYFUNCTION("""COMPUTED_VALUE"""),"FIP Engineering")</f>
        <v>FIP Engineering</v>
      </c>
      <c r="M275" s="6" t="str">
        <f>IFERROR(__xludf.DUMMYFUNCTION("""COMPUTED_VALUE"""),"Joko Nugroho")</f>
        <v>Joko Nugroho</v>
      </c>
      <c r="N275" s="6" t="str">
        <f>IFERROR(__xludf.DUMMYFUNCTION("""COMPUTED_VALUE"""),"FIP Engineering")</f>
        <v>FIP Engineering</v>
      </c>
      <c r="O275" s="6" t="str">
        <f>IFERROR(__xludf.DUMMYFUNCTION("""COMPUTED_VALUE"""),"FIP-DOM-000-11304-OS00001-INA-000000")</f>
        <v>FIP-DOM-000-11304-OS00001-INA-000000</v>
      </c>
      <c r="P275" s="6" t="str">
        <f>IFERROR(__xludf.DUMMYFUNCTION("""COMPUTED_VALUE"""),"PO Closed")</f>
        <v>PO Closed</v>
      </c>
      <c r="Q275" s="6" t="str">
        <f>IFERROR(__xludf.DUMMYFUNCTION("""COMPUTED_VALUE"""),"GL1807005")</f>
        <v>GL1807005</v>
      </c>
      <c r="R275" s="16">
        <f>IFERROR(__xludf.DUMMYFUNCTION("""COMPUTED_VALUE"""),43279.0)</f>
        <v>43279</v>
      </c>
      <c r="S275" s="6" t="str">
        <f>IFERROR(__xludf.DUMMYFUNCTION("""COMPUTED_VALUE"""),"-")</f>
        <v>-</v>
      </c>
      <c r="T275" s="13">
        <f>IFERROR(__xludf.DUMMYFUNCTION("""COMPUTED_VALUE"""),43287.0)</f>
        <v>43287</v>
      </c>
    </row>
    <row r="276">
      <c r="A276" s="6" t="str">
        <f>IFERROR(__xludf.DUMMYFUNCTION("""COMPUTED_VALUE"""),"181750216-3")</f>
        <v>181750216-3</v>
      </c>
      <c r="B276" s="6" t="str">
        <f>IFERROR(__xludf.DUMMYFUNCTION("""COMPUTED_VALUE"""),"181750216 - Approved")</f>
        <v>181750216 - Approved</v>
      </c>
      <c r="C276" s="6">
        <f>IFERROR(__xludf.DUMMYFUNCTION("""COMPUTED_VALUE"""),3.0)</f>
        <v>3</v>
      </c>
      <c r="D276" s="6" t="str">
        <f>IFERROR(__xludf.DUMMYFUNCTION("""COMPUTED_VALUE"""),"P-53215-00")</f>
        <v>P-53215-00</v>
      </c>
      <c r="E276" s="6" t="str">
        <f>IFERROR(__xludf.DUMMYFUNCTION("""COMPUTED_VALUE"""),"Silicon Lembaran, tebal 5 mm, size: 1 meter X 1 meter; ; ;")</f>
        <v>Silicon Lembaran, tebal 5 mm, size: 1 meter X 1 meter; ; ;</v>
      </c>
      <c r="F276" s="6">
        <f>IFERROR(__xludf.DUMMYFUNCTION("""COMPUTED_VALUE"""),1.0)</f>
        <v>1</v>
      </c>
      <c r="G276" s="6" t="str">
        <f>IFERROR(__xludf.DUMMYFUNCTION("""COMPUTED_VALUE"""),"Pieces")</f>
        <v>Pieces</v>
      </c>
      <c r="H276" s="6" t="str">
        <f>IFERROR(__xludf.DUMMYFUNCTION("""COMPUTED_VALUE"""),"IDR")</f>
        <v>IDR</v>
      </c>
      <c r="I276" s="11">
        <f>IFERROR(__xludf.DUMMYFUNCTION("""COMPUTED_VALUE"""),680000.0)</f>
        <v>680000</v>
      </c>
      <c r="J276" s="11">
        <f>IFERROR(__xludf.DUMMYFUNCTION("""COMPUTED_VALUE"""),680000.0)</f>
        <v>680000</v>
      </c>
      <c r="K276" s="13">
        <f>IFERROR(__xludf.DUMMYFUNCTION("""COMPUTED_VALUE"""),43294.0)</f>
        <v>43294</v>
      </c>
      <c r="L276" s="6" t="str">
        <f>IFERROR(__xludf.DUMMYFUNCTION("""COMPUTED_VALUE"""),"FIP Engineering")</f>
        <v>FIP Engineering</v>
      </c>
      <c r="M276" s="6" t="str">
        <f>IFERROR(__xludf.DUMMYFUNCTION("""COMPUTED_VALUE"""),"Joko Nugroho")</f>
        <v>Joko Nugroho</v>
      </c>
      <c r="N276" s="6" t="str">
        <f>IFERROR(__xludf.DUMMYFUNCTION("""COMPUTED_VALUE"""),"FIP Engineering")</f>
        <v>FIP Engineering</v>
      </c>
      <c r="O276" s="6" t="str">
        <f>IFERROR(__xludf.DUMMYFUNCTION("""COMPUTED_VALUE"""),"FIP-DOM-000-11304-OS00001-INA-000000")</f>
        <v>FIP-DOM-000-11304-OS00001-INA-000000</v>
      </c>
      <c r="P276" s="6" t="str">
        <f>IFERROR(__xludf.DUMMYFUNCTION("""COMPUTED_VALUE"""),"PO Closed")</f>
        <v>PO Closed</v>
      </c>
      <c r="Q276" s="6" t="str">
        <f>IFERROR(__xludf.DUMMYFUNCTION("""COMPUTED_VALUE"""),"GL1807005")</f>
        <v>GL1807005</v>
      </c>
      <c r="R276" s="16">
        <f>IFERROR(__xludf.DUMMYFUNCTION("""COMPUTED_VALUE"""),43279.0)</f>
        <v>43279</v>
      </c>
      <c r="S276" s="6" t="str">
        <f>IFERROR(__xludf.DUMMYFUNCTION("""COMPUTED_VALUE"""),"-")</f>
        <v>-</v>
      </c>
      <c r="T276" s="13">
        <f>IFERROR(__xludf.DUMMYFUNCTION("""COMPUTED_VALUE"""),43287.0)</f>
        <v>43287</v>
      </c>
    </row>
    <row r="277">
      <c r="A277" s="6" t="str">
        <f>IFERROR(__xludf.DUMMYFUNCTION("""COMPUTED_VALUE"""),"181750216-4")</f>
        <v>181750216-4</v>
      </c>
      <c r="B277" s="6" t="str">
        <f>IFERROR(__xludf.DUMMYFUNCTION("""COMPUTED_VALUE"""),"181750216 - Approved")</f>
        <v>181750216 - Approved</v>
      </c>
      <c r="C277" s="6">
        <f>IFERROR(__xludf.DUMMYFUNCTION("""COMPUTED_VALUE"""),4.0)</f>
        <v>4</v>
      </c>
      <c r="D277" s="6" t="str">
        <f>IFERROR(__xludf.DUMMYFUNCTION("""COMPUTED_VALUE"""),"P-13389-00")</f>
        <v>P-13389-00</v>
      </c>
      <c r="E277" s="6" t="str">
        <f>IFERROR(__xludf.DUMMYFUNCTION("""COMPUTED_VALUE"""),"Scotch Brite 3M; ; ;")</f>
        <v>Scotch Brite 3M; ; ;</v>
      </c>
      <c r="F277" s="6">
        <f>IFERROR(__xludf.DUMMYFUNCTION("""COMPUTED_VALUE"""),10.0)</f>
        <v>10</v>
      </c>
      <c r="G277" s="6" t="str">
        <f>IFERROR(__xludf.DUMMYFUNCTION("""COMPUTED_VALUE"""),"Pieces")</f>
        <v>Pieces</v>
      </c>
      <c r="H277" s="6" t="str">
        <f>IFERROR(__xludf.DUMMYFUNCTION("""COMPUTED_VALUE"""),"IDR")</f>
        <v>IDR</v>
      </c>
      <c r="I277" s="11">
        <f>IFERROR(__xludf.DUMMYFUNCTION("""COMPUTED_VALUE"""),13500.0)</f>
        <v>13500</v>
      </c>
      <c r="J277" s="11">
        <f>IFERROR(__xludf.DUMMYFUNCTION("""COMPUTED_VALUE"""),135000.0)</f>
        <v>135000</v>
      </c>
      <c r="K277" s="13">
        <f>IFERROR(__xludf.DUMMYFUNCTION("""COMPUTED_VALUE"""),43294.0)</f>
        <v>43294</v>
      </c>
      <c r="L277" s="6" t="str">
        <f>IFERROR(__xludf.DUMMYFUNCTION("""COMPUTED_VALUE"""),"FIP Engineering")</f>
        <v>FIP Engineering</v>
      </c>
      <c r="M277" s="6" t="str">
        <f>IFERROR(__xludf.DUMMYFUNCTION("""COMPUTED_VALUE"""),"Joko Nugroho")</f>
        <v>Joko Nugroho</v>
      </c>
      <c r="N277" s="6" t="str">
        <f>IFERROR(__xludf.DUMMYFUNCTION("""COMPUTED_VALUE"""),"FIP Engineering")</f>
        <v>FIP Engineering</v>
      </c>
      <c r="O277" s="6" t="str">
        <f>IFERROR(__xludf.DUMMYFUNCTION("""COMPUTED_VALUE"""),"FIP-DOM-000-11304-OS00001-INA-000000")</f>
        <v>FIP-DOM-000-11304-OS00001-INA-000000</v>
      </c>
      <c r="P277" s="6" t="str">
        <f>IFERROR(__xludf.DUMMYFUNCTION("""COMPUTED_VALUE"""),"PO Closed")</f>
        <v>PO Closed</v>
      </c>
      <c r="Q277" s="6" t="str">
        <f>IFERROR(__xludf.DUMMYFUNCTION("""COMPUTED_VALUE"""),"GL1807005")</f>
        <v>GL1807005</v>
      </c>
      <c r="R277" s="16">
        <f>IFERROR(__xludf.DUMMYFUNCTION("""COMPUTED_VALUE"""),43279.0)</f>
        <v>43279</v>
      </c>
      <c r="S277" s="6" t="str">
        <f>IFERROR(__xludf.DUMMYFUNCTION("""COMPUTED_VALUE"""),"-")</f>
        <v>-</v>
      </c>
      <c r="T277" s="13">
        <f>IFERROR(__xludf.DUMMYFUNCTION("""COMPUTED_VALUE"""),43287.0)</f>
        <v>43287</v>
      </c>
    </row>
    <row r="278">
      <c r="A278" s="6" t="str">
        <f>IFERROR(__xludf.DUMMYFUNCTION("""COMPUTED_VALUE"""),"181750216-5")</f>
        <v>181750216-5</v>
      </c>
      <c r="B278" s="6" t="str">
        <f>IFERROR(__xludf.DUMMYFUNCTION("""COMPUTED_VALUE"""),"181750216 - Approved")</f>
        <v>181750216 - Approved</v>
      </c>
      <c r="C278" s="6">
        <f>IFERROR(__xludf.DUMMYFUNCTION("""COMPUTED_VALUE"""),5.0)</f>
        <v>5</v>
      </c>
      <c r="D278" s="6" t="str">
        <f>IFERROR(__xludf.DUMMYFUNCTION("""COMPUTED_VALUE"""),"P-53169-00")</f>
        <v>P-53169-00</v>
      </c>
      <c r="E278" s="6" t="str">
        <f>IFERROR(__xludf.DUMMYFUNCTION("""COMPUTED_VALUE"""),"Ballast Electronic EB-C 228 TL5, 2x28W; Phillips; ;")</f>
        <v>Ballast Electronic EB-C 228 TL5, 2x28W; Phillips; ;</v>
      </c>
      <c r="F278" s="6">
        <f>IFERROR(__xludf.DUMMYFUNCTION("""COMPUTED_VALUE"""),10.0)</f>
        <v>10</v>
      </c>
      <c r="G278" s="6" t="str">
        <f>IFERROR(__xludf.DUMMYFUNCTION("""COMPUTED_VALUE"""),"Pieces")</f>
        <v>Pieces</v>
      </c>
      <c r="H278" s="6" t="str">
        <f>IFERROR(__xludf.DUMMYFUNCTION("""COMPUTED_VALUE"""),"IDR")</f>
        <v>IDR</v>
      </c>
      <c r="I278" s="11">
        <f>IFERROR(__xludf.DUMMYFUNCTION("""COMPUTED_VALUE"""),115000.0)</f>
        <v>115000</v>
      </c>
      <c r="J278" s="11">
        <f>IFERROR(__xludf.DUMMYFUNCTION("""COMPUTED_VALUE"""),1150000.0)</f>
        <v>1150000</v>
      </c>
      <c r="K278" s="13">
        <f>IFERROR(__xludf.DUMMYFUNCTION("""COMPUTED_VALUE"""),43294.0)</f>
        <v>43294</v>
      </c>
      <c r="L278" s="6" t="str">
        <f>IFERROR(__xludf.DUMMYFUNCTION("""COMPUTED_VALUE"""),"FIP Engineering")</f>
        <v>FIP Engineering</v>
      </c>
      <c r="M278" s="6" t="str">
        <f>IFERROR(__xludf.DUMMYFUNCTION("""COMPUTED_VALUE"""),"Joko Nugroho")</f>
        <v>Joko Nugroho</v>
      </c>
      <c r="N278" s="6" t="str">
        <f>IFERROR(__xludf.DUMMYFUNCTION("""COMPUTED_VALUE"""),"FIP Engineering")</f>
        <v>FIP Engineering</v>
      </c>
      <c r="O278" s="6" t="str">
        <f>IFERROR(__xludf.DUMMYFUNCTION("""COMPUTED_VALUE"""),"FIP-DOM-000-11304-OS00001-INA-000000")</f>
        <v>FIP-DOM-000-11304-OS00001-INA-000000</v>
      </c>
      <c r="P278" s="6" t="str">
        <f>IFERROR(__xludf.DUMMYFUNCTION("""COMPUTED_VALUE"""),"PO Closed")</f>
        <v>PO Closed</v>
      </c>
      <c r="Q278" s="6" t="str">
        <f>IFERROR(__xludf.DUMMYFUNCTION("""COMPUTED_VALUE"""),"GL1807005")</f>
        <v>GL1807005</v>
      </c>
      <c r="R278" s="16">
        <f>IFERROR(__xludf.DUMMYFUNCTION("""COMPUTED_VALUE"""),43279.0)</f>
        <v>43279</v>
      </c>
      <c r="S278" s="6" t="str">
        <f>IFERROR(__xludf.DUMMYFUNCTION("""COMPUTED_VALUE"""),"-")</f>
        <v>-</v>
      </c>
      <c r="T278" s="13">
        <f>IFERROR(__xludf.DUMMYFUNCTION("""COMPUTED_VALUE"""),43287.0)</f>
        <v>43287</v>
      </c>
    </row>
    <row r="279">
      <c r="A279" s="6" t="str">
        <f>IFERROR(__xludf.DUMMYFUNCTION("""COMPUTED_VALUE"""),"181750216-6")</f>
        <v>181750216-6</v>
      </c>
      <c r="B279" s="6" t="str">
        <f>IFERROR(__xludf.DUMMYFUNCTION("""COMPUTED_VALUE"""),"181750216 - Approved")</f>
        <v>181750216 - Approved</v>
      </c>
      <c r="C279" s="6">
        <f>IFERROR(__xludf.DUMMYFUNCTION("""COMPUTED_VALUE"""),6.0)</f>
        <v>6</v>
      </c>
      <c r="D279" s="6" t="str">
        <f>IFERROR(__xludf.DUMMYFUNCTION("""COMPUTED_VALUE"""),"O-54013-00")</f>
        <v>O-54013-00</v>
      </c>
      <c r="E279" s="6" t="str">
        <f>IFERROR(__xludf.DUMMYFUNCTION("""COMPUTED_VALUE"""),"SOCKET RJ 45")</f>
        <v>SOCKET RJ 45</v>
      </c>
      <c r="F279" s="6">
        <f>IFERROR(__xludf.DUMMYFUNCTION("""COMPUTED_VALUE"""),10.0)</f>
        <v>10</v>
      </c>
      <c r="G279" s="6" t="str">
        <f>IFERROR(__xludf.DUMMYFUNCTION("""COMPUTED_VALUE"""),"Pieces")</f>
        <v>Pieces</v>
      </c>
      <c r="H279" s="6" t="str">
        <f>IFERROR(__xludf.DUMMYFUNCTION("""COMPUTED_VALUE"""),"IDR")</f>
        <v>IDR</v>
      </c>
      <c r="I279" s="11">
        <f>IFERROR(__xludf.DUMMYFUNCTION("""COMPUTED_VALUE"""),3000.0)</f>
        <v>3000</v>
      </c>
      <c r="J279" s="11">
        <f>IFERROR(__xludf.DUMMYFUNCTION("""COMPUTED_VALUE"""),30000.0)</f>
        <v>30000</v>
      </c>
      <c r="K279" s="13">
        <f>IFERROR(__xludf.DUMMYFUNCTION("""COMPUTED_VALUE"""),43294.0)</f>
        <v>43294</v>
      </c>
      <c r="L279" s="6" t="str">
        <f>IFERROR(__xludf.DUMMYFUNCTION("""COMPUTED_VALUE"""),"FIP Engineering")</f>
        <v>FIP Engineering</v>
      </c>
      <c r="M279" s="6" t="str">
        <f>IFERROR(__xludf.DUMMYFUNCTION("""COMPUTED_VALUE"""),"Joko Nugroho")</f>
        <v>Joko Nugroho</v>
      </c>
      <c r="N279" s="6" t="str">
        <f>IFERROR(__xludf.DUMMYFUNCTION("""COMPUTED_VALUE"""),"FIP Engineering")</f>
        <v>FIP Engineering</v>
      </c>
      <c r="O279" s="6" t="str">
        <f>IFERROR(__xludf.DUMMYFUNCTION("""COMPUTED_VALUE"""),"FIP-DOM-000-11304-OS00001-INA-000000")</f>
        <v>FIP-DOM-000-11304-OS00001-INA-000000</v>
      </c>
      <c r="P279" s="6" t="str">
        <f>IFERROR(__xludf.DUMMYFUNCTION("""COMPUTED_VALUE"""),"PO Closed")</f>
        <v>PO Closed</v>
      </c>
      <c r="Q279" s="6" t="str">
        <f>IFERROR(__xludf.DUMMYFUNCTION("""COMPUTED_VALUE"""),"GL1807005")</f>
        <v>GL1807005</v>
      </c>
      <c r="R279" s="16">
        <f>IFERROR(__xludf.DUMMYFUNCTION("""COMPUTED_VALUE"""),43279.0)</f>
        <v>43279</v>
      </c>
      <c r="S279" s="6" t="str">
        <f>IFERROR(__xludf.DUMMYFUNCTION("""COMPUTED_VALUE"""),"-")</f>
        <v>-</v>
      </c>
      <c r="T279" s="13">
        <f>IFERROR(__xludf.DUMMYFUNCTION("""COMPUTED_VALUE"""),43287.0)</f>
        <v>43287</v>
      </c>
    </row>
    <row r="280">
      <c r="A280" s="6" t="str">
        <f>IFERROR(__xludf.DUMMYFUNCTION("""COMPUTED_VALUE"""),"181750216-7")</f>
        <v>181750216-7</v>
      </c>
      <c r="B280" s="6" t="str">
        <f>IFERROR(__xludf.DUMMYFUNCTION("""COMPUTED_VALUE"""),"181750216 - Approved")</f>
        <v>181750216 - Approved</v>
      </c>
      <c r="C280" s="6">
        <f>IFERROR(__xludf.DUMMYFUNCTION("""COMPUTED_VALUE"""),7.0)</f>
        <v>7</v>
      </c>
      <c r="D280" s="6" t="str">
        <f>IFERROR(__xludf.DUMMYFUNCTION("""COMPUTED_VALUE"""),"O-54001-00")</f>
        <v>O-54001-00</v>
      </c>
      <c r="E280" s="6" t="str">
        <f>IFERROR(__xludf.DUMMYFUNCTION("""COMPUTED_VALUE"""),"AUXILUARY CONTACT NC SIEMENS")</f>
        <v>AUXILUARY CONTACT NC SIEMENS</v>
      </c>
      <c r="F280" s="6">
        <f>IFERROR(__xludf.DUMMYFUNCTION("""COMPUTED_VALUE"""),2.0)</f>
        <v>2</v>
      </c>
      <c r="G280" s="6" t="str">
        <f>IFERROR(__xludf.DUMMYFUNCTION("""COMPUTED_VALUE"""),"Pieces")</f>
        <v>Pieces</v>
      </c>
      <c r="H280" s="6" t="str">
        <f>IFERROR(__xludf.DUMMYFUNCTION("""COMPUTED_VALUE"""),"IDR")</f>
        <v>IDR</v>
      </c>
      <c r="I280" s="11">
        <f>IFERROR(__xludf.DUMMYFUNCTION("""COMPUTED_VALUE"""),25000.0)</f>
        <v>25000</v>
      </c>
      <c r="J280" s="11">
        <f>IFERROR(__xludf.DUMMYFUNCTION("""COMPUTED_VALUE"""),50000.0)</f>
        <v>50000</v>
      </c>
      <c r="K280" s="13">
        <f>IFERROR(__xludf.DUMMYFUNCTION("""COMPUTED_VALUE"""),43294.0)</f>
        <v>43294</v>
      </c>
      <c r="L280" s="6" t="str">
        <f>IFERROR(__xludf.DUMMYFUNCTION("""COMPUTED_VALUE"""),"FIP Engineering")</f>
        <v>FIP Engineering</v>
      </c>
      <c r="M280" s="6" t="str">
        <f>IFERROR(__xludf.DUMMYFUNCTION("""COMPUTED_VALUE"""),"Joko Nugroho")</f>
        <v>Joko Nugroho</v>
      </c>
      <c r="N280" s="6" t="str">
        <f>IFERROR(__xludf.DUMMYFUNCTION("""COMPUTED_VALUE"""),"FIP Engineering")</f>
        <v>FIP Engineering</v>
      </c>
      <c r="O280" s="6" t="str">
        <f>IFERROR(__xludf.DUMMYFUNCTION("""COMPUTED_VALUE"""),"FIP-DOM-000-11304-OS00001-INA-000000")</f>
        <v>FIP-DOM-000-11304-OS00001-INA-000000</v>
      </c>
      <c r="P280" s="6" t="str">
        <f>IFERROR(__xludf.DUMMYFUNCTION("""COMPUTED_VALUE"""),"PO Closed")</f>
        <v>PO Closed</v>
      </c>
      <c r="Q280" s="6" t="str">
        <f>IFERROR(__xludf.DUMMYFUNCTION("""COMPUTED_VALUE"""),"GL1807005")</f>
        <v>GL1807005</v>
      </c>
      <c r="R280" s="16">
        <f>IFERROR(__xludf.DUMMYFUNCTION("""COMPUTED_VALUE"""),43279.0)</f>
        <v>43279</v>
      </c>
      <c r="S280" s="6" t="str">
        <f>IFERROR(__xludf.DUMMYFUNCTION("""COMPUTED_VALUE"""),"-")</f>
        <v>-</v>
      </c>
      <c r="T280" s="13">
        <f>IFERROR(__xludf.DUMMYFUNCTION("""COMPUTED_VALUE"""),43287.0)</f>
        <v>43287</v>
      </c>
    </row>
    <row r="281">
      <c r="A281" s="6" t="str">
        <f>IFERROR(__xludf.DUMMYFUNCTION("""COMPUTED_VALUE"""),"181750216-8")</f>
        <v>181750216-8</v>
      </c>
      <c r="B281" s="6" t="str">
        <f>IFERROR(__xludf.DUMMYFUNCTION("""COMPUTED_VALUE"""),"181750216 - Approved")</f>
        <v>181750216 - Approved</v>
      </c>
      <c r="C281" s="6">
        <f>IFERROR(__xludf.DUMMYFUNCTION("""COMPUTED_VALUE"""),8.0)</f>
        <v>8</v>
      </c>
      <c r="D281" s="6" t="str">
        <f>IFERROR(__xludf.DUMMYFUNCTION("""COMPUTED_VALUE"""),"O-51850-00")</f>
        <v>O-51850-00</v>
      </c>
      <c r="E281" s="6" t="str">
        <f>IFERROR(__xludf.DUMMYFUNCTION("""COMPUTED_VALUE"""),"Power Supply 220 VAC 12 VDC, 3 Ampere; ; ;")</f>
        <v>Power Supply 220 VAC 12 VDC, 3 Ampere; ; ;</v>
      </c>
      <c r="F281" s="6">
        <f>IFERROR(__xludf.DUMMYFUNCTION("""COMPUTED_VALUE"""),2.0)</f>
        <v>2</v>
      </c>
      <c r="G281" s="6" t="str">
        <f>IFERROR(__xludf.DUMMYFUNCTION("""COMPUTED_VALUE"""),"Pieces")</f>
        <v>Pieces</v>
      </c>
      <c r="H281" s="6" t="str">
        <f>IFERROR(__xludf.DUMMYFUNCTION("""COMPUTED_VALUE"""),"IDR")</f>
        <v>IDR</v>
      </c>
      <c r="I281" s="11">
        <f>IFERROR(__xludf.DUMMYFUNCTION("""COMPUTED_VALUE"""),125000.0)</f>
        <v>125000</v>
      </c>
      <c r="J281" s="11">
        <f>IFERROR(__xludf.DUMMYFUNCTION("""COMPUTED_VALUE"""),250000.0)</f>
        <v>250000</v>
      </c>
      <c r="K281" s="13">
        <f>IFERROR(__xludf.DUMMYFUNCTION("""COMPUTED_VALUE"""),43294.0)</f>
        <v>43294</v>
      </c>
      <c r="L281" s="6" t="str">
        <f>IFERROR(__xludf.DUMMYFUNCTION("""COMPUTED_VALUE"""),"FIP Engineering")</f>
        <v>FIP Engineering</v>
      </c>
      <c r="M281" s="6" t="str">
        <f>IFERROR(__xludf.DUMMYFUNCTION("""COMPUTED_VALUE"""),"Joko Nugroho")</f>
        <v>Joko Nugroho</v>
      </c>
      <c r="N281" s="6" t="str">
        <f>IFERROR(__xludf.DUMMYFUNCTION("""COMPUTED_VALUE"""),"FIP Engineering")</f>
        <v>FIP Engineering</v>
      </c>
      <c r="O281" s="6" t="str">
        <f>IFERROR(__xludf.DUMMYFUNCTION("""COMPUTED_VALUE"""),"FIP-DOM-000-11304-OS00001-INA-000000")</f>
        <v>FIP-DOM-000-11304-OS00001-INA-000000</v>
      </c>
      <c r="P281" s="6" t="str">
        <f>IFERROR(__xludf.DUMMYFUNCTION("""COMPUTED_VALUE"""),"PO Closed")</f>
        <v>PO Closed</v>
      </c>
      <c r="Q281" s="6" t="str">
        <f>IFERROR(__xludf.DUMMYFUNCTION("""COMPUTED_VALUE"""),"GL1807005")</f>
        <v>GL1807005</v>
      </c>
      <c r="R281" s="16">
        <f>IFERROR(__xludf.DUMMYFUNCTION("""COMPUTED_VALUE"""),43279.0)</f>
        <v>43279</v>
      </c>
      <c r="S281" s="6" t="str">
        <f>IFERROR(__xludf.DUMMYFUNCTION("""COMPUTED_VALUE"""),"-")</f>
        <v>-</v>
      </c>
      <c r="T281" s="13">
        <f>IFERROR(__xludf.DUMMYFUNCTION("""COMPUTED_VALUE"""),43287.0)</f>
        <v>43287</v>
      </c>
    </row>
    <row r="282">
      <c r="A282" s="6" t="str">
        <f>IFERROR(__xludf.DUMMYFUNCTION("""COMPUTED_VALUE"""),"181750216-9")</f>
        <v>181750216-9</v>
      </c>
      <c r="B282" s="6" t="str">
        <f>IFERROR(__xludf.DUMMYFUNCTION("""COMPUTED_VALUE"""),"181750216 - Approved")</f>
        <v>181750216 - Approved</v>
      </c>
      <c r="C282" s="6">
        <f>IFERROR(__xludf.DUMMYFUNCTION("""COMPUTED_VALUE"""),9.0)</f>
        <v>9</v>
      </c>
      <c r="D282" s="6" t="str">
        <f>IFERROR(__xludf.DUMMYFUNCTION("""COMPUTED_VALUE"""),"Q-10233-00")</f>
        <v>Q-10233-00</v>
      </c>
      <c r="E282" s="6" t="str">
        <f>IFERROR(__xludf.DUMMYFUNCTION("""COMPUTED_VALUE"""),"Silicone Sealant N10 Clear; ; ;")</f>
        <v>Silicone Sealant N10 Clear; ; ;</v>
      </c>
      <c r="F282" s="6">
        <f>IFERROR(__xludf.DUMMYFUNCTION("""COMPUTED_VALUE"""),6.0)</f>
        <v>6</v>
      </c>
      <c r="G282" s="6" t="str">
        <f>IFERROR(__xludf.DUMMYFUNCTION("""COMPUTED_VALUE"""),"Pieces")</f>
        <v>Pieces</v>
      </c>
      <c r="H282" s="6" t="str">
        <f>IFERROR(__xludf.DUMMYFUNCTION("""COMPUTED_VALUE"""),"IDR")</f>
        <v>IDR</v>
      </c>
      <c r="I282" s="11">
        <f>IFERROR(__xludf.DUMMYFUNCTION("""COMPUTED_VALUE"""),45000.0)</f>
        <v>45000</v>
      </c>
      <c r="J282" s="11">
        <f>IFERROR(__xludf.DUMMYFUNCTION("""COMPUTED_VALUE"""),270000.0)</f>
        <v>270000</v>
      </c>
      <c r="K282" s="13">
        <f>IFERROR(__xludf.DUMMYFUNCTION("""COMPUTED_VALUE"""),43294.0)</f>
        <v>43294</v>
      </c>
      <c r="L282" s="6" t="str">
        <f>IFERROR(__xludf.DUMMYFUNCTION("""COMPUTED_VALUE"""),"FIP Engineering")</f>
        <v>FIP Engineering</v>
      </c>
      <c r="M282" s="6" t="str">
        <f>IFERROR(__xludf.DUMMYFUNCTION("""COMPUTED_VALUE"""),"Joko Nugroho")</f>
        <v>Joko Nugroho</v>
      </c>
      <c r="N282" s="6" t="str">
        <f>IFERROR(__xludf.DUMMYFUNCTION("""COMPUTED_VALUE"""),"FIP Engineering")</f>
        <v>FIP Engineering</v>
      </c>
      <c r="O282" s="6" t="str">
        <f>IFERROR(__xludf.DUMMYFUNCTION("""COMPUTED_VALUE"""),"FIP-DOM-000-11304-OS00001-INA-000000")</f>
        <v>FIP-DOM-000-11304-OS00001-INA-000000</v>
      </c>
      <c r="P282" s="6" t="str">
        <f>IFERROR(__xludf.DUMMYFUNCTION("""COMPUTED_VALUE"""),"PO Closed")</f>
        <v>PO Closed</v>
      </c>
      <c r="Q282" s="6" t="str">
        <f>IFERROR(__xludf.DUMMYFUNCTION("""COMPUTED_VALUE"""),"GL1807005")</f>
        <v>GL1807005</v>
      </c>
      <c r="R282" s="16">
        <f>IFERROR(__xludf.DUMMYFUNCTION("""COMPUTED_VALUE"""),43279.0)</f>
        <v>43279</v>
      </c>
      <c r="S282" s="6" t="str">
        <f>IFERROR(__xludf.DUMMYFUNCTION("""COMPUTED_VALUE"""),"-")</f>
        <v>-</v>
      </c>
      <c r="T282" s="13">
        <f>IFERROR(__xludf.DUMMYFUNCTION("""COMPUTED_VALUE"""),43287.0)</f>
        <v>43287</v>
      </c>
    </row>
    <row r="283">
      <c r="A283" s="6" t="str">
        <f>IFERROR(__xludf.DUMMYFUNCTION("""COMPUTED_VALUE"""),"181750216-10")</f>
        <v>181750216-10</v>
      </c>
      <c r="B283" s="6" t="str">
        <f>IFERROR(__xludf.DUMMYFUNCTION("""COMPUTED_VALUE"""),"181750216 - Approved")</f>
        <v>181750216 - Approved</v>
      </c>
      <c r="C283" s="6">
        <f>IFERROR(__xludf.DUMMYFUNCTION("""COMPUTED_VALUE"""),10.0)</f>
        <v>10</v>
      </c>
      <c r="D283" s="6" t="str">
        <f>IFERROR(__xludf.DUMMYFUNCTION("""COMPUTED_VALUE"""),"P-13386-00")</f>
        <v>P-13386-00</v>
      </c>
      <c r="E283" s="6" t="str">
        <f>IFERROR(__xludf.DUMMYFUNCTION("""COMPUTED_VALUE"""),"Sok Polos 2"" Rucika; ; ;")</f>
        <v>Sok Polos 2" Rucika; ; ;</v>
      </c>
      <c r="F283" s="6">
        <f>IFERROR(__xludf.DUMMYFUNCTION("""COMPUTED_VALUE"""),2.0)</f>
        <v>2</v>
      </c>
      <c r="G283" s="6" t="str">
        <f>IFERROR(__xludf.DUMMYFUNCTION("""COMPUTED_VALUE"""),"Pieces")</f>
        <v>Pieces</v>
      </c>
      <c r="H283" s="6" t="str">
        <f>IFERROR(__xludf.DUMMYFUNCTION("""COMPUTED_VALUE"""),"IDR")</f>
        <v>IDR</v>
      </c>
      <c r="I283" s="11">
        <f>IFERROR(__xludf.DUMMYFUNCTION("""COMPUTED_VALUE"""),16000.0)</f>
        <v>16000</v>
      </c>
      <c r="J283" s="11">
        <f>IFERROR(__xludf.DUMMYFUNCTION("""COMPUTED_VALUE"""),32000.0)</f>
        <v>32000</v>
      </c>
      <c r="K283" s="13">
        <f>IFERROR(__xludf.DUMMYFUNCTION("""COMPUTED_VALUE"""),43294.0)</f>
        <v>43294</v>
      </c>
      <c r="L283" s="6" t="str">
        <f>IFERROR(__xludf.DUMMYFUNCTION("""COMPUTED_VALUE"""),"FIP Engineering")</f>
        <v>FIP Engineering</v>
      </c>
      <c r="M283" s="6" t="str">
        <f>IFERROR(__xludf.DUMMYFUNCTION("""COMPUTED_VALUE"""),"Joko Nugroho")</f>
        <v>Joko Nugroho</v>
      </c>
      <c r="N283" s="6" t="str">
        <f>IFERROR(__xludf.DUMMYFUNCTION("""COMPUTED_VALUE"""),"FIP Engineering")</f>
        <v>FIP Engineering</v>
      </c>
      <c r="O283" s="6" t="str">
        <f>IFERROR(__xludf.DUMMYFUNCTION("""COMPUTED_VALUE"""),"FIP-DOM-000-11304-OS00001-INA-000000")</f>
        <v>FIP-DOM-000-11304-OS00001-INA-000000</v>
      </c>
      <c r="P283" s="6" t="str">
        <f>IFERROR(__xludf.DUMMYFUNCTION("""COMPUTED_VALUE"""),"PO Closed")</f>
        <v>PO Closed</v>
      </c>
      <c r="Q283" s="6" t="str">
        <f>IFERROR(__xludf.DUMMYFUNCTION("""COMPUTED_VALUE"""),"GL1807007")</f>
        <v>GL1807007</v>
      </c>
      <c r="R283" s="16">
        <f>IFERROR(__xludf.DUMMYFUNCTION("""COMPUTED_VALUE"""),43279.0)</f>
        <v>43279</v>
      </c>
      <c r="S283" s="6" t="str">
        <f>IFERROR(__xludf.DUMMYFUNCTION("""COMPUTED_VALUE"""),"-")</f>
        <v>-</v>
      </c>
      <c r="T283" s="13">
        <f>IFERROR(__xludf.DUMMYFUNCTION("""COMPUTED_VALUE"""),43307.0)</f>
        <v>43307</v>
      </c>
    </row>
    <row r="284">
      <c r="A284" s="6" t="str">
        <f>IFERROR(__xludf.DUMMYFUNCTION("""COMPUTED_VALUE"""),"181750216-11")</f>
        <v>181750216-11</v>
      </c>
      <c r="B284" s="6" t="str">
        <f>IFERROR(__xludf.DUMMYFUNCTION("""COMPUTED_VALUE"""),"181750216 - Approved")</f>
        <v>181750216 - Approved</v>
      </c>
      <c r="C284" s="6">
        <f>IFERROR(__xludf.DUMMYFUNCTION("""COMPUTED_VALUE"""),11.0)</f>
        <v>11</v>
      </c>
      <c r="D284" s="6" t="str">
        <f>IFERROR(__xludf.DUMMYFUNCTION("""COMPUTED_VALUE"""),"P-10887-00")</f>
        <v>P-10887-00</v>
      </c>
      <c r="E284" s="6" t="str">
        <f>IFERROR(__xludf.DUMMYFUNCTION("""COMPUTED_VALUE"""),"Fitting PVC - SDD PVC 2""")</f>
        <v>Fitting PVC - SDD PVC 2"</v>
      </c>
      <c r="F284" s="6">
        <f>IFERROR(__xludf.DUMMYFUNCTION("""COMPUTED_VALUE"""),2.0)</f>
        <v>2</v>
      </c>
      <c r="G284" s="6" t="str">
        <f>IFERROR(__xludf.DUMMYFUNCTION("""COMPUTED_VALUE"""),"Pieces")</f>
        <v>Pieces</v>
      </c>
      <c r="H284" s="6" t="str">
        <f>IFERROR(__xludf.DUMMYFUNCTION("""COMPUTED_VALUE"""),"IDR")</f>
        <v>IDR</v>
      </c>
      <c r="I284" s="11">
        <f>IFERROR(__xludf.DUMMYFUNCTION("""COMPUTED_VALUE"""),16000.0)</f>
        <v>16000</v>
      </c>
      <c r="J284" s="11">
        <f>IFERROR(__xludf.DUMMYFUNCTION("""COMPUTED_VALUE"""),32000.0)</f>
        <v>32000</v>
      </c>
      <c r="K284" s="13">
        <f>IFERROR(__xludf.DUMMYFUNCTION("""COMPUTED_VALUE"""),43294.0)</f>
        <v>43294</v>
      </c>
      <c r="L284" s="6" t="str">
        <f>IFERROR(__xludf.DUMMYFUNCTION("""COMPUTED_VALUE"""),"FIP Engineering")</f>
        <v>FIP Engineering</v>
      </c>
      <c r="M284" s="6" t="str">
        <f>IFERROR(__xludf.DUMMYFUNCTION("""COMPUTED_VALUE"""),"Joko Nugroho")</f>
        <v>Joko Nugroho</v>
      </c>
      <c r="N284" s="6" t="str">
        <f>IFERROR(__xludf.DUMMYFUNCTION("""COMPUTED_VALUE"""),"FIP Engineering")</f>
        <v>FIP Engineering</v>
      </c>
      <c r="O284" s="6" t="str">
        <f>IFERROR(__xludf.DUMMYFUNCTION("""COMPUTED_VALUE"""),"FIP-DOM-000-11304-OS00001-INA-000000")</f>
        <v>FIP-DOM-000-11304-OS00001-INA-000000</v>
      </c>
      <c r="P284" s="6" t="str">
        <f>IFERROR(__xludf.DUMMYFUNCTION("""COMPUTED_VALUE"""),"PO Closed")</f>
        <v>PO Closed</v>
      </c>
      <c r="Q284" s="6" t="str">
        <f>IFERROR(__xludf.DUMMYFUNCTION("""COMPUTED_VALUE"""),"GL1807007")</f>
        <v>GL1807007</v>
      </c>
      <c r="R284" s="16">
        <f>IFERROR(__xludf.DUMMYFUNCTION("""COMPUTED_VALUE"""),43279.0)</f>
        <v>43279</v>
      </c>
      <c r="S284" s="6" t="str">
        <f>IFERROR(__xludf.DUMMYFUNCTION("""COMPUTED_VALUE"""),"-")</f>
        <v>-</v>
      </c>
      <c r="T284" s="13">
        <f>IFERROR(__xludf.DUMMYFUNCTION("""COMPUTED_VALUE"""),43307.0)</f>
        <v>43307</v>
      </c>
    </row>
    <row r="285">
      <c r="A285" s="6" t="str">
        <f>IFERROR(__xludf.DUMMYFUNCTION("""COMPUTED_VALUE"""),"181750216-12")</f>
        <v>181750216-12</v>
      </c>
      <c r="B285" s="6" t="str">
        <f>IFERROR(__xludf.DUMMYFUNCTION("""COMPUTED_VALUE"""),"181750216 - Approved")</f>
        <v>181750216 - Approved</v>
      </c>
      <c r="C285" s="6">
        <f>IFERROR(__xludf.DUMMYFUNCTION("""COMPUTED_VALUE"""),12.0)</f>
        <v>12</v>
      </c>
      <c r="D285" s="6" t="str">
        <f>IFERROR(__xludf.DUMMYFUNCTION("""COMPUTED_VALUE"""),"P-10893-00")</f>
        <v>P-10893-00</v>
      </c>
      <c r="E285" s="6" t="str">
        <f>IFERROR(__xludf.DUMMYFUNCTION("""COMPUTED_VALUE"""),"Fitting PVC - SDL PVC 2""")</f>
        <v>Fitting PVC - SDL PVC 2"</v>
      </c>
      <c r="F285" s="6">
        <f>IFERROR(__xludf.DUMMYFUNCTION("""COMPUTED_VALUE"""),2.0)</f>
        <v>2</v>
      </c>
      <c r="G285" s="6" t="str">
        <f>IFERROR(__xludf.DUMMYFUNCTION("""COMPUTED_VALUE"""),"Pieces")</f>
        <v>Pieces</v>
      </c>
      <c r="H285" s="6" t="str">
        <f>IFERROR(__xludf.DUMMYFUNCTION("""COMPUTED_VALUE"""),"IDR")</f>
        <v>IDR</v>
      </c>
      <c r="I285" s="11">
        <f>IFERROR(__xludf.DUMMYFUNCTION("""COMPUTED_VALUE"""),16000.0)</f>
        <v>16000</v>
      </c>
      <c r="J285" s="11">
        <f>IFERROR(__xludf.DUMMYFUNCTION("""COMPUTED_VALUE"""),32000.0)</f>
        <v>32000</v>
      </c>
      <c r="K285" s="13">
        <f>IFERROR(__xludf.DUMMYFUNCTION("""COMPUTED_VALUE"""),43294.0)</f>
        <v>43294</v>
      </c>
      <c r="L285" s="6" t="str">
        <f>IFERROR(__xludf.DUMMYFUNCTION("""COMPUTED_VALUE"""),"FIP Engineering")</f>
        <v>FIP Engineering</v>
      </c>
      <c r="M285" s="6" t="str">
        <f>IFERROR(__xludf.DUMMYFUNCTION("""COMPUTED_VALUE"""),"Joko Nugroho")</f>
        <v>Joko Nugroho</v>
      </c>
      <c r="N285" s="6" t="str">
        <f>IFERROR(__xludf.DUMMYFUNCTION("""COMPUTED_VALUE"""),"FIP Engineering")</f>
        <v>FIP Engineering</v>
      </c>
      <c r="O285" s="6" t="str">
        <f>IFERROR(__xludf.DUMMYFUNCTION("""COMPUTED_VALUE"""),"FIP-DOM-000-11304-OS00001-INA-000000")</f>
        <v>FIP-DOM-000-11304-OS00001-INA-000000</v>
      </c>
      <c r="P285" s="6" t="str">
        <f>IFERROR(__xludf.DUMMYFUNCTION("""COMPUTED_VALUE"""),"PO Closed")</f>
        <v>PO Closed</v>
      </c>
      <c r="Q285" s="6" t="str">
        <f>IFERROR(__xludf.DUMMYFUNCTION("""COMPUTED_VALUE"""),"GL1807007")</f>
        <v>GL1807007</v>
      </c>
      <c r="R285" s="16">
        <f>IFERROR(__xludf.DUMMYFUNCTION("""COMPUTED_VALUE"""),43279.0)</f>
        <v>43279</v>
      </c>
      <c r="S285" s="6" t="str">
        <f>IFERROR(__xludf.DUMMYFUNCTION("""COMPUTED_VALUE"""),"-")</f>
        <v>-</v>
      </c>
      <c r="T285" s="13">
        <f>IFERROR(__xludf.DUMMYFUNCTION("""COMPUTED_VALUE"""),43307.0)</f>
        <v>43307</v>
      </c>
    </row>
    <row r="286">
      <c r="A286" s="6" t="str">
        <f>IFERROR(__xludf.DUMMYFUNCTION("""COMPUTED_VALUE"""),"181750216-13")</f>
        <v>181750216-13</v>
      </c>
      <c r="B286" s="6" t="str">
        <f>IFERROR(__xludf.DUMMYFUNCTION("""COMPUTED_VALUE"""),"181750216 - Approved")</f>
        <v>181750216 - Approved</v>
      </c>
      <c r="C286" s="6">
        <f>IFERROR(__xludf.DUMMYFUNCTION("""COMPUTED_VALUE"""),13.0)</f>
        <v>13</v>
      </c>
      <c r="D286" s="6" t="str">
        <f>IFERROR(__xludf.DUMMYFUNCTION("""COMPUTED_VALUE"""),"Q-10234-00")</f>
        <v>Q-10234-00</v>
      </c>
      <c r="E286" s="6" t="str">
        <f>IFERROR(__xludf.DUMMYFUNCTION("""COMPUTED_VALUE"""),"Silicone Sealant N10 Grey; ; ;")</f>
        <v>Silicone Sealant N10 Grey; ; ;</v>
      </c>
      <c r="F286" s="6">
        <f>IFERROR(__xludf.DUMMYFUNCTION("""COMPUTED_VALUE"""),5.0)</f>
        <v>5</v>
      </c>
      <c r="G286" s="6" t="str">
        <f>IFERROR(__xludf.DUMMYFUNCTION("""COMPUTED_VALUE"""),"Pieces")</f>
        <v>Pieces</v>
      </c>
      <c r="H286" s="6" t="str">
        <f>IFERROR(__xludf.DUMMYFUNCTION("""COMPUTED_VALUE"""),"IDR")</f>
        <v>IDR</v>
      </c>
      <c r="I286" s="11">
        <f>IFERROR(__xludf.DUMMYFUNCTION("""COMPUTED_VALUE"""),45000.0)</f>
        <v>45000</v>
      </c>
      <c r="J286" s="11">
        <f>IFERROR(__xludf.DUMMYFUNCTION("""COMPUTED_VALUE"""),225000.0)</f>
        <v>225000</v>
      </c>
      <c r="K286" s="13">
        <f>IFERROR(__xludf.DUMMYFUNCTION("""COMPUTED_VALUE"""),43294.0)</f>
        <v>43294</v>
      </c>
      <c r="L286" s="6" t="str">
        <f>IFERROR(__xludf.DUMMYFUNCTION("""COMPUTED_VALUE"""),"FIP Engineering")</f>
        <v>FIP Engineering</v>
      </c>
      <c r="M286" s="6" t="str">
        <f>IFERROR(__xludf.DUMMYFUNCTION("""COMPUTED_VALUE"""),"Joko Nugroho")</f>
        <v>Joko Nugroho</v>
      </c>
      <c r="N286" s="6" t="str">
        <f>IFERROR(__xludf.DUMMYFUNCTION("""COMPUTED_VALUE"""),"FIP Engineering")</f>
        <v>FIP Engineering</v>
      </c>
      <c r="O286" s="6" t="str">
        <f>IFERROR(__xludf.DUMMYFUNCTION("""COMPUTED_VALUE"""),"FIP-DOM-000-11304-OS00001-INA-000000")</f>
        <v>FIP-DOM-000-11304-OS00001-INA-000000</v>
      </c>
      <c r="P286" s="6" t="str">
        <f>IFERROR(__xludf.DUMMYFUNCTION("""COMPUTED_VALUE"""),"PO Closed")</f>
        <v>PO Closed</v>
      </c>
      <c r="Q286" s="6" t="str">
        <f>IFERROR(__xludf.DUMMYFUNCTION("""COMPUTED_VALUE"""),"GL1807005")</f>
        <v>GL1807005</v>
      </c>
      <c r="R286" s="16">
        <f>IFERROR(__xludf.DUMMYFUNCTION("""COMPUTED_VALUE"""),43279.0)</f>
        <v>43279</v>
      </c>
      <c r="S286" s="6" t="str">
        <f>IFERROR(__xludf.DUMMYFUNCTION("""COMPUTED_VALUE"""),"-")</f>
        <v>-</v>
      </c>
      <c r="T286" s="13">
        <f>IFERROR(__xludf.DUMMYFUNCTION("""COMPUTED_VALUE"""),43287.0)</f>
        <v>43287</v>
      </c>
    </row>
    <row r="287">
      <c r="A287" s="6" t="str">
        <f>IFERROR(__xludf.DUMMYFUNCTION("""COMPUTED_VALUE"""),"181750216-14")</f>
        <v>181750216-14</v>
      </c>
      <c r="B287" s="6" t="str">
        <f>IFERROR(__xludf.DUMMYFUNCTION("""COMPUTED_VALUE"""),"181750216 - Approved")</f>
        <v>181750216 - Approved</v>
      </c>
      <c r="C287" s="6">
        <f>IFERROR(__xludf.DUMMYFUNCTION("""COMPUTED_VALUE"""),14.0)</f>
        <v>14</v>
      </c>
      <c r="D287" s="6" t="str">
        <f>IFERROR(__xludf.DUMMYFUNCTION("""COMPUTED_VALUE"""),"P-14455-00")</f>
        <v>P-14455-00</v>
      </c>
      <c r="E287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287" s="6">
        <f>IFERROR(__xludf.DUMMYFUNCTION("""COMPUTED_VALUE"""),8.0)</f>
        <v>8</v>
      </c>
      <c r="G287" s="6" t="str">
        <f>IFERROR(__xludf.DUMMYFUNCTION("""COMPUTED_VALUE"""),"Pieces")</f>
        <v>Pieces</v>
      </c>
      <c r="H287" s="6" t="str">
        <f>IFERROR(__xludf.DUMMYFUNCTION("""COMPUTED_VALUE"""),"IDR")</f>
        <v>IDR</v>
      </c>
      <c r="I287" s="11">
        <f>IFERROR(__xludf.DUMMYFUNCTION("""COMPUTED_VALUE"""),1600000.0)</f>
        <v>1600000</v>
      </c>
      <c r="J287" s="11">
        <f>IFERROR(__xludf.DUMMYFUNCTION("""COMPUTED_VALUE"""),1.28E7)</f>
        <v>12800000</v>
      </c>
      <c r="K287" s="13">
        <f>IFERROR(__xludf.DUMMYFUNCTION("""COMPUTED_VALUE"""),43294.0)</f>
        <v>43294</v>
      </c>
      <c r="L287" s="6" t="str">
        <f>IFERROR(__xludf.DUMMYFUNCTION("""COMPUTED_VALUE"""),"FIP Engineering")</f>
        <v>FIP Engineering</v>
      </c>
      <c r="M287" s="6" t="str">
        <f>IFERROR(__xludf.DUMMYFUNCTION("""COMPUTED_VALUE"""),"Joko Nugroho")</f>
        <v>Joko Nugroho</v>
      </c>
      <c r="N287" s="6" t="str">
        <f>IFERROR(__xludf.DUMMYFUNCTION("""COMPUTED_VALUE"""),"FIP Engineering")</f>
        <v>FIP Engineering</v>
      </c>
      <c r="O287" s="6" t="str">
        <f>IFERROR(__xludf.DUMMYFUNCTION("""COMPUTED_VALUE"""),"FIP-DOM-000-11304-OS00001-INA-000000")</f>
        <v>FIP-DOM-000-11304-OS00001-INA-000000</v>
      </c>
      <c r="P287" s="6" t="str">
        <f>IFERROR(__xludf.DUMMYFUNCTION("""COMPUTED_VALUE"""),"PO Closed")</f>
        <v>PO Closed</v>
      </c>
      <c r="Q287" s="6" t="str">
        <f>IFERROR(__xludf.DUMMYFUNCTION("""COMPUTED_VALUE"""),"GL1807009")</f>
        <v>GL1807009</v>
      </c>
      <c r="R287" s="16">
        <f>IFERROR(__xludf.DUMMYFUNCTION("""COMPUTED_VALUE"""),43279.0)</f>
        <v>43279</v>
      </c>
      <c r="S287" s="6" t="str">
        <f>IFERROR(__xludf.DUMMYFUNCTION("""COMPUTED_VALUE"""),"-")</f>
        <v>-</v>
      </c>
      <c r="T287" s="13">
        <f>IFERROR(__xludf.DUMMYFUNCTION("""COMPUTED_VALUE"""),43306.0)</f>
        <v>43306</v>
      </c>
    </row>
    <row r="288">
      <c r="A288" s="6" t="str">
        <f>IFERROR(__xludf.DUMMYFUNCTION("""COMPUTED_VALUE"""),"181750216-15")</f>
        <v>181750216-15</v>
      </c>
      <c r="B288" s="6" t="str">
        <f>IFERROR(__xludf.DUMMYFUNCTION("""COMPUTED_VALUE"""),"181750216 - Approved")</f>
        <v>181750216 - Approved</v>
      </c>
      <c r="C288" s="6">
        <f>IFERROR(__xludf.DUMMYFUNCTION("""COMPUTED_VALUE"""),15.0)</f>
        <v>15</v>
      </c>
      <c r="D288" s="6" t="str">
        <f>IFERROR(__xludf.DUMMYFUNCTION("""COMPUTED_VALUE"""),"P-51741-00")</f>
        <v>P-51741-00</v>
      </c>
      <c r="E288" s="6" t="str">
        <f>IFERROR(__xludf.DUMMYFUNCTION("""COMPUTED_VALUE"""),"Lampu Phillips PHP LED; 710 7w E27 White 220-240v; ; ;")</f>
        <v>Lampu Phillips PHP LED; 710 7w E27 White 220-240v; ; ;</v>
      </c>
      <c r="F288" s="6">
        <f>IFERROR(__xludf.DUMMYFUNCTION("""COMPUTED_VALUE"""),20.0)</f>
        <v>20</v>
      </c>
      <c r="G288" s="6" t="str">
        <f>IFERROR(__xludf.DUMMYFUNCTION("""COMPUTED_VALUE"""),"Pieces")</f>
        <v>Pieces</v>
      </c>
      <c r="H288" s="6" t="str">
        <f>IFERROR(__xludf.DUMMYFUNCTION("""COMPUTED_VALUE"""),"IDR")</f>
        <v>IDR</v>
      </c>
      <c r="I288" s="11">
        <f>IFERROR(__xludf.DUMMYFUNCTION("""COMPUTED_VALUE"""),35000.0)</f>
        <v>35000</v>
      </c>
      <c r="J288" s="11">
        <f>IFERROR(__xludf.DUMMYFUNCTION("""COMPUTED_VALUE"""),700000.0)</f>
        <v>700000</v>
      </c>
      <c r="K288" s="13">
        <f>IFERROR(__xludf.DUMMYFUNCTION("""COMPUTED_VALUE"""),43294.0)</f>
        <v>43294</v>
      </c>
      <c r="L288" s="6" t="str">
        <f>IFERROR(__xludf.DUMMYFUNCTION("""COMPUTED_VALUE"""),"FIP Engineering")</f>
        <v>FIP Engineering</v>
      </c>
      <c r="M288" s="6" t="str">
        <f>IFERROR(__xludf.DUMMYFUNCTION("""COMPUTED_VALUE"""),"Joko Nugroho")</f>
        <v>Joko Nugroho</v>
      </c>
      <c r="N288" s="6" t="str">
        <f>IFERROR(__xludf.DUMMYFUNCTION("""COMPUTED_VALUE"""),"FIP Engineering")</f>
        <v>FIP Engineering</v>
      </c>
      <c r="O288" s="6" t="str">
        <f>IFERROR(__xludf.DUMMYFUNCTION("""COMPUTED_VALUE"""),"FIP-DOM-000-11304-OS00001-INA-000000")</f>
        <v>FIP-DOM-000-11304-OS00001-INA-000000</v>
      </c>
      <c r="P288" s="6" t="str">
        <f>IFERROR(__xludf.DUMMYFUNCTION("""COMPUTED_VALUE"""),"PO Closed")</f>
        <v>PO Closed</v>
      </c>
      <c r="Q288" s="6" t="str">
        <f>IFERROR(__xludf.DUMMYFUNCTION("""COMPUTED_VALUE"""),"GL1807005")</f>
        <v>GL1807005</v>
      </c>
      <c r="R288" s="16">
        <f>IFERROR(__xludf.DUMMYFUNCTION("""COMPUTED_VALUE"""),43279.0)</f>
        <v>43279</v>
      </c>
      <c r="S288" s="6" t="str">
        <f>IFERROR(__xludf.DUMMYFUNCTION("""COMPUTED_VALUE"""),"-")</f>
        <v>-</v>
      </c>
      <c r="T288" s="13">
        <f>IFERROR(__xludf.DUMMYFUNCTION("""COMPUTED_VALUE"""),43287.0)</f>
        <v>43287</v>
      </c>
    </row>
    <row r="289">
      <c r="A289" s="6" t="str">
        <f>IFERROR(__xludf.DUMMYFUNCTION("""COMPUTED_VALUE"""),"181750216-16")</f>
        <v>181750216-16</v>
      </c>
      <c r="B289" s="6" t="str">
        <f>IFERROR(__xludf.DUMMYFUNCTION("""COMPUTED_VALUE"""),"181750216 - Approved")</f>
        <v>181750216 - Approved</v>
      </c>
      <c r="C289" s="6">
        <f>IFERROR(__xludf.DUMMYFUNCTION("""COMPUTED_VALUE"""),16.0)</f>
        <v>16</v>
      </c>
      <c r="D289" s="6" t="str">
        <f>IFERROR(__xludf.DUMMYFUNCTION("""COMPUTED_VALUE"""),"P-53213-00")</f>
        <v>P-53213-00</v>
      </c>
      <c r="E289" s="6" t="str">
        <f>IFERROR(__xludf.DUMMYFUNCTION("""COMPUTED_VALUE"""),"Lem Pipa PVC; ; ;")</f>
        <v>Lem Pipa PVC; ; ;</v>
      </c>
      <c r="F289" s="6">
        <f>IFERROR(__xludf.DUMMYFUNCTION("""COMPUTED_VALUE"""),3.0)</f>
        <v>3</v>
      </c>
      <c r="G289" s="6" t="str">
        <f>IFERROR(__xludf.DUMMYFUNCTION("""COMPUTED_VALUE"""),"Pieces")</f>
        <v>Pieces</v>
      </c>
      <c r="H289" s="6" t="str">
        <f>IFERROR(__xludf.DUMMYFUNCTION("""COMPUTED_VALUE"""),"IDR")</f>
        <v>IDR</v>
      </c>
      <c r="I289" s="11">
        <f>IFERROR(__xludf.DUMMYFUNCTION("""COMPUTED_VALUE"""),8100.0)</f>
        <v>8100</v>
      </c>
      <c r="J289" s="11">
        <f>IFERROR(__xludf.DUMMYFUNCTION("""COMPUTED_VALUE"""),24300.0)</f>
        <v>24300</v>
      </c>
      <c r="K289" s="13">
        <f>IFERROR(__xludf.DUMMYFUNCTION("""COMPUTED_VALUE"""),43294.0)</f>
        <v>43294</v>
      </c>
      <c r="L289" s="6" t="str">
        <f>IFERROR(__xludf.DUMMYFUNCTION("""COMPUTED_VALUE"""),"FIP Engineering")</f>
        <v>FIP Engineering</v>
      </c>
      <c r="M289" s="6" t="str">
        <f>IFERROR(__xludf.DUMMYFUNCTION("""COMPUTED_VALUE"""),"Joko Nugroho")</f>
        <v>Joko Nugroho</v>
      </c>
      <c r="N289" s="6" t="str">
        <f>IFERROR(__xludf.DUMMYFUNCTION("""COMPUTED_VALUE"""),"FIP Engineering")</f>
        <v>FIP Engineering</v>
      </c>
      <c r="O289" s="6" t="str">
        <f>IFERROR(__xludf.DUMMYFUNCTION("""COMPUTED_VALUE"""),"FIP-DOM-000-11304-OS00001-INA-000000")</f>
        <v>FIP-DOM-000-11304-OS00001-INA-000000</v>
      </c>
      <c r="P289" s="6" t="str">
        <f>IFERROR(__xludf.DUMMYFUNCTION("""COMPUTED_VALUE"""),"PO Closed")</f>
        <v>PO Closed</v>
      </c>
      <c r="Q289" s="6" t="str">
        <f>IFERROR(__xludf.DUMMYFUNCTION("""COMPUTED_VALUE"""),"GL1807007")</f>
        <v>GL1807007</v>
      </c>
      <c r="R289" s="16">
        <f>IFERROR(__xludf.DUMMYFUNCTION("""COMPUTED_VALUE"""),43279.0)</f>
        <v>43279</v>
      </c>
      <c r="S289" s="6" t="str">
        <f>IFERROR(__xludf.DUMMYFUNCTION("""COMPUTED_VALUE"""),"-")</f>
        <v>-</v>
      </c>
      <c r="T289" s="13">
        <f>IFERROR(__xludf.DUMMYFUNCTION("""COMPUTED_VALUE"""),43307.0)</f>
        <v>43307</v>
      </c>
    </row>
    <row r="290">
      <c r="A290" s="6" t="str">
        <f>IFERROR(__xludf.DUMMYFUNCTION("""COMPUTED_VALUE"""),"181750216-17")</f>
        <v>181750216-17</v>
      </c>
      <c r="B290" s="6" t="str">
        <f>IFERROR(__xludf.DUMMYFUNCTION("""COMPUTED_VALUE"""),"181750216 - Approved")</f>
        <v>181750216 - Approved</v>
      </c>
      <c r="C290" s="6">
        <f>IFERROR(__xludf.DUMMYFUNCTION("""COMPUTED_VALUE"""),17.0)</f>
        <v>17</v>
      </c>
      <c r="D290" s="6" t="str">
        <f>IFERROR(__xludf.DUMMYFUNCTION("""COMPUTED_VALUE"""),"P-53102-00")</f>
        <v>P-53102-00</v>
      </c>
      <c r="E290" s="6" t="str">
        <f>IFERROR(__xludf.DUMMYFUNCTION("""COMPUTED_VALUE"""),"Lampu PLC 13watt/E27 Putih; Phillips; ;")</f>
        <v>Lampu PLC 13watt/E27 Putih; Phillips; ;</v>
      </c>
      <c r="F290" s="6">
        <f>IFERROR(__xludf.DUMMYFUNCTION("""COMPUTED_VALUE"""),10.0)</f>
        <v>10</v>
      </c>
      <c r="G290" s="6" t="str">
        <f>IFERROR(__xludf.DUMMYFUNCTION("""COMPUTED_VALUE"""),"Pieces")</f>
        <v>Pieces</v>
      </c>
      <c r="H290" s="6" t="str">
        <f>IFERROR(__xludf.DUMMYFUNCTION("""COMPUTED_VALUE"""),"IDR")</f>
        <v>IDR</v>
      </c>
      <c r="I290" s="11">
        <f>IFERROR(__xludf.DUMMYFUNCTION("""COMPUTED_VALUE"""),26100.0)</f>
        <v>26100</v>
      </c>
      <c r="J290" s="11">
        <f>IFERROR(__xludf.DUMMYFUNCTION("""COMPUTED_VALUE"""),261000.0)</f>
        <v>261000</v>
      </c>
      <c r="K290" s="13">
        <f>IFERROR(__xludf.DUMMYFUNCTION("""COMPUTED_VALUE"""),43294.0)</f>
        <v>43294</v>
      </c>
      <c r="L290" s="6" t="str">
        <f>IFERROR(__xludf.DUMMYFUNCTION("""COMPUTED_VALUE"""),"FIP Engineering")</f>
        <v>FIP Engineering</v>
      </c>
      <c r="M290" s="6" t="str">
        <f>IFERROR(__xludf.DUMMYFUNCTION("""COMPUTED_VALUE"""),"Joko Nugroho")</f>
        <v>Joko Nugroho</v>
      </c>
      <c r="N290" s="6" t="str">
        <f>IFERROR(__xludf.DUMMYFUNCTION("""COMPUTED_VALUE"""),"FIP Engineering")</f>
        <v>FIP Engineering</v>
      </c>
      <c r="O290" s="6" t="str">
        <f>IFERROR(__xludf.DUMMYFUNCTION("""COMPUTED_VALUE"""),"FIP-DOM-000-11304-OS00001-INA-000000")</f>
        <v>FIP-DOM-000-11304-OS00001-INA-000000</v>
      </c>
      <c r="P290" s="6" t="str">
        <f>IFERROR(__xludf.DUMMYFUNCTION("""COMPUTED_VALUE"""),"PO Closed")</f>
        <v>PO Closed</v>
      </c>
      <c r="Q290" s="6" t="str">
        <f>IFERROR(__xludf.DUMMYFUNCTION("""COMPUTED_VALUE"""),"GL1807005")</f>
        <v>GL1807005</v>
      </c>
      <c r="R290" s="16">
        <f>IFERROR(__xludf.DUMMYFUNCTION("""COMPUTED_VALUE"""),43279.0)</f>
        <v>43279</v>
      </c>
      <c r="S290" s="6" t="str">
        <f>IFERROR(__xludf.DUMMYFUNCTION("""COMPUTED_VALUE"""),"-")</f>
        <v>-</v>
      </c>
      <c r="T290" s="13">
        <f>IFERROR(__xludf.DUMMYFUNCTION("""COMPUTED_VALUE"""),43287.0)</f>
        <v>43287</v>
      </c>
    </row>
    <row r="291">
      <c r="A291" s="6" t="str">
        <f>IFERROR(__xludf.DUMMYFUNCTION("""COMPUTED_VALUE"""),"181750216-18")</f>
        <v>181750216-18</v>
      </c>
      <c r="B291" s="6" t="str">
        <f>IFERROR(__xludf.DUMMYFUNCTION("""COMPUTED_VALUE"""),"181750216 - Approved")</f>
        <v>181750216 - Approved</v>
      </c>
      <c r="C291" s="6">
        <f>IFERROR(__xludf.DUMMYFUNCTION("""COMPUTED_VALUE"""),18.0)</f>
        <v>18</v>
      </c>
      <c r="D291" s="6" t="str">
        <f>IFERROR(__xludf.DUMMYFUNCTION("""COMPUTED_VALUE"""),"P-15868-00")</f>
        <v>P-15868-00</v>
      </c>
      <c r="E291" s="6" t="str">
        <f>IFERROR(__xludf.DUMMYFUNCTION("""COMPUTED_VALUE"""),"VENT FILTER, TEFTEC 0,2-5 P7S")</f>
        <v>VENT FILTER, TEFTEC 0,2-5 P7S</v>
      </c>
      <c r="F291" s="6">
        <f>IFERROR(__xludf.DUMMYFUNCTION("""COMPUTED_VALUE"""),1.0)</f>
        <v>1</v>
      </c>
      <c r="G291" s="6" t="str">
        <f>IFERROR(__xludf.DUMMYFUNCTION("""COMPUTED_VALUE"""),"Unit")</f>
        <v>Unit</v>
      </c>
      <c r="H291" s="6" t="str">
        <f>IFERROR(__xludf.DUMMYFUNCTION("""COMPUTED_VALUE"""),"IDR")</f>
        <v>IDR</v>
      </c>
      <c r="I291" s="11">
        <f>IFERROR(__xludf.DUMMYFUNCTION("""COMPUTED_VALUE"""),2850000.0)</f>
        <v>2850000</v>
      </c>
      <c r="J291" s="11">
        <f>IFERROR(__xludf.DUMMYFUNCTION("""COMPUTED_VALUE"""),2850000.0)</f>
        <v>2850000</v>
      </c>
      <c r="K291" s="13">
        <f>IFERROR(__xludf.DUMMYFUNCTION("""COMPUTED_VALUE"""),43312.0)</f>
        <v>43312</v>
      </c>
      <c r="L291" s="6" t="str">
        <f>IFERROR(__xludf.DUMMYFUNCTION("""COMPUTED_VALUE"""),"FIP Engineering")</f>
        <v>FIP Engineering</v>
      </c>
      <c r="M291" s="6" t="str">
        <f>IFERROR(__xludf.DUMMYFUNCTION("""COMPUTED_VALUE"""),"Joko Nugroho")</f>
        <v>Joko Nugroho</v>
      </c>
      <c r="N291" s="6" t="str">
        <f>IFERROR(__xludf.DUMMYFUNCTION("""COMPUTED_VALUE"""),"FIP Engineering")</f>
        <v>FIP Engineering</v>
      </c>
      <c r="O291" s="6" t="str">
        <f>IFERROR(__xludf.DUMMYFUNCTION("""COMPUTED_VALUE"""),"FIP-DOM-000-11304-OS00001-INA-000000")</f>
        <v>FIP-DOM-000-11304-OS00001-INA-000000</v>
      </c>
      <c r="P291" s="6" t="str">
        <f>IFERROR(__xludf.DUMMYFUNCTION("""COMPUTED_VALUE"""),"PO Closed")</f>
        <v>PO Closed</v>
      </c>
      <c r="Q291" s="6" t="str">
        <f>IFERROR(__xludf.DUMMYFUNCTION("""COMPUTED_VALUE"""),"GL1807010")</f>
        <v>GL1807010</v>
      </c>
      <c r="R291" s="16">
        <f>IFERROR(__xludf.DUMMYFUNCTION("""COMPUTED_VALUE"""),43279.0)</f>
        <v>43279</v>
      </c>
      <c r="S291" s="6" t="str">
        <f>IFERROR(__xludf.DUMMYFUNCTION("""COMPUTED_VALUE"""),"-")</f>
        <v>-</v>
      </c>
      <c r="T291" s="17">
        <f>IFERROR(__xludf.DUMMYFUNCTION("""COMPUTED_VALUE"""),43299.0)</f>
        <v>43299</v>
      </c>
    </row>
    <row r="292">
      <c r="A292" s="6" t="str">
        <f>IFERROR(__xludf.DUMMYFUNCTION("""COMPUTED_VALUE"""),"181750216-19")</f>
        <v>181750216-19</v>
      </c>
      <c r="B292" s="6" t="str">
        <f>IFERROR(__xludf.DUMMYFUNCTION("""COMPUTED_VALUE"""),"181750216 - Approved")</f>
        <v>181750216 - Approved</v>
      </c>
      <c r="C292" s="6">
        <f>IFERROR(__xludf.DUMMYFUNCTION("""COMPUTED_VALUE"""),19.0)</f>
        <v>19</v>
      </c>
      <c r="D292" s="6" t="str">
        <f>IFERROR(__xludf.DUMMYFUNCTION("""COMPUTED_VALUE"""),"P-15870-00")</f>
        <v>P-15870-00</v>
      </c>
      <c r="E292" s="6" t="str">
        <f>IFERROR(__xludf.DUMMYFUNCTION("""COMPUTED_VALUE"""),"VENT FILTER, TEFTEC, TEFTEC 0,2-10 P7S")</f>
        <v>VENT FILTER, TEFTEC, TEFTEC 0,2-10 P7S</v>
      </c>
      <c r="F292" s="6">
        <f>IFERROR(__xludf.DUMMYFUNCTION("""COMPUTED_VALUE"""),1.0)</f>
        <v>1</v>
      </c>
      <c r="G292" s="6" t="str">
        <f>IFERROR(__xludf.DUMMYFUNCTION("""COMPUTED_VALUE"""),"Unit")</f>
        <v>Unit</v>
      </c>
      <c r="H292" s="6" t="str">
        <f>IFERROR(__xludf.DUMMYFUNCTION("""COMPUTED_VALUE"""),"IDR")</f>
        <v>IDR</v>
      </c>
      <c r="I292" s="11">
        <f>IFERROR(__xludf.DUMMYFUNCTION("""COMPUTED_VALUE"""),3575000.0)</f>
        <v>3575000</v>
      </c>
      <c r="J292" s="11">
        <f>IFERROR(__xludf.DUMMYFUNCTION("""COMPUTED_VALUE"""),3575000.0)</f>
        <v>3575000</v>
      </c>
      <c r="K292" s="13">
        <f>IFERROR(__xludf.DUMMYFUNCTION("""COMPUTED_VALUE"""),43312.0)</f>
        <v>43312</v>
      </c>
      <c r="L292" s="6" t="str">
        <f>IFERROR(__xludf.DUMMYFUNCTION("""COMPUTED_VALUE"""),"FIP Engineering")</f>
        <v>FIP Engineering</v>
      </c>
      <c r="M292" s="6" t="str">
        <f>IFERROR(__xludf.DUMMYFUNCTION("""COMPUTED_VALUE"""),"Joko Nugroho")</f>
        <v>Joko Nugroho</v>
      </c>
      <c r="N292" s="6" t="str">
        <f>IFERROR(__xludf.DUMMYFUNCTION("""COMPUTED_VALUE"""),"FIP Engineering")</f>
        <v>FIP Engineering</v>
      </c>
      <c r="O292" s="6" t="str">
        <f>IFERROR(__xludf.DUMMYFUNCTION("""COMPUTED_VALUE"""),"FIP-DOM-000-11304-OS00001-INA-000000")</f>
        <v>FIP-DOM-000-11304-OS00001-INA-000000</v>
      </c>
      <c r="P292" s="6" t="str">
        <f>IFERROR(__xludf.DUMMYFUNCTION("""COMPUTED_VALUE"""),"PO Closed")</f>
        <v>PO Closed</v>
      </c>
      <c r="Q292" s="6" t="str">
        <f>IFERROR(__xludf.DUMMYFUNCTION("""COMPUTED_VALUE"""),"GL1807010")</f>
        <v>GL1807010</v>
      </c>
      <c r="R292" s="16">
        <f>IFERROR(__xludf.DUMMYFUNCTION("""COMPUTED_VALUE"""),43279.0)</f>
        <v>43279</v>
      </c>
      <c r="S292" s="6" t="str">
        <f>IFERROR(__xludf.DUMMYFUNCTION("""COMPUTED_VALUE"""),"-")</f>
        <v>-</v>
      </c>
      <c r="T292" s="13">
        <f>IFERROR(__xludf.DUMMYFUNCTION("""COMPUTED_VALUE"""),43299.0)</f>
        <v>43299</v>
      </c>
    </row>
    <row r="293">
      <c r="A293" s="6" t="str">
        <f>IFERROR(__xludf.DUMMYFUNCTION("""COMPUTED_VALUE"""),"181750216-20")</f>
        <v>181750216-20</v>
      </c>
      <c r="B293" s="6" t="str">
        <f>IFERROR(__xludf.DUMMYFUNCTION("""COMPUTED_VALUE"""),"181750216 - Approved")</f>
        <v>181750216 - Approved</v>
      </c>
      <c r="C293" s="6">
        <f>IFERROR(__xludf.DUMMYFUNCTION("""COMPUTED_VALUE"""),20.0)</f>
        <v>20</v>
      </c>
      <c r="D293" s="6" t="str">
        <f>IFERROR(__xludf.DUMMYFUNCTION("""COMPUTED_VALUE"""),"P-15851-00")</f>
        <v>P-15851-00</v>
      </c>
      <c r="E293" s="6" t="str">
        <f>IFERROR(__xludf.DUMMYFUNCTION("""COMPUTED_VALUE"""),"AMPLAS EAGLE 100")</f>
        <v>AMPLAS EAGLE 100</v>
      </c>
      <c r="F293" s="6">
        <f>IFERROR(__xludf.DUMMYFUNCTION("""COMPUTED_VALUE"""),10.0)</f>
        <v>10</v>
      </c>
      <c r="G293" s="6" t="str">
        <f>IFERROR(__xludf.DUMMYFUNCTION("""COMPUTED_VALUE"""),"Pieces")</f>
        <v>Pieces</v>
      </c>
      <c r="H293" s="6" t="str">
        <f>IFERROR(__xludf.DUMMYFUNCTION("""COMPUTED_VALUE"""),"IDR")</f>
        <v>IDR</v>
      </c>
      <c r="I293" s="11">
        <f>IFERROR(__xludf.DUMMYFUNCTION("""COMPUTED_VALUE"""),4000.0)</f>
        <v>4000</v>
      </c>
      <c r="J293" s="11">
        <f>IFERROR(__xludf.DUMMYFUNCTION("""COMPUTED_VALUE"""),40000.0)</f>
        <v>40000</v>
      </c>
      <c r="K293" s="13">
        <f>IFERROR(__xludf.DUMMYFUNCTION("""COMPUTED_VALUE"""),43294.0)</f>
        <v>43294</v>
      </c>
      <c r="L293" s="6" t="str">
        <f>IFERROR(__xludf.DUMMYFUNCTION("""COMPUTED_VALUE"""),"FIP Engineering")</f>
        <v>FIP Engineering</v>
      </c>
      <c r="M293" s="6" t="str">
        <f>IFERROR(__xludf.DUMMYFUNCTION("""COMPUTED_VALUE"""),"Joko Nugroho")</f>
        <v>Joko Nugroho</v>
      </c>
      <c r="N293" s="6" t="str">
        <f>IFERROR(__xludf.DUMMYFUNCTION("""COMPUTED_VALUE"""),"FIP Engineering")</f>
        <v>FIP Engineering</v>
      </c>
      <c r="O293" s="6" t="str">
        <f>IFERROR(__xludf.DUMMYFUNCTION("""COMPUTED_VALUE"""),"FIP-DOM-000-11304-OS00001-INA-000000")</f>
        <v>FIP-DOM-000-11304-OS00001-INA-000000</v>
      </c>
      <c r="P293" s="6" t="str">
        <f>IFERROR(__xludf.DUMMYFUNCTION("""COMPUTED_VALUE"""),"PO Closed")</f>
        <v>PO Closed</v>
      </c>
      <c r="Q293" s="6" t="str">
        <f>IFERROR(__xludf.DUMMYFUNCTION("""COMPUTED_VALUE"""),"GL1807005")</f>
        <v>GL1807005</v>
      </c>
      <c r="R293" s="16">
        <f>IFERROR(__xludf.DUMMYFUNCTION("""COMPUTED_VALUE"""),43279.0)</f>
        <v>43279</v>
      </c>
      <c r="S293" s="6" t="str">
        <f>IFERROR(__xludf.DUMMYFUNCTION("""COMPUTED_VALUE"""),"-")</f>
        <v>-</v>
      </c>
      <c r="T293" s="13">
        <f>IFERROR(__xludf.DUMMYFUNCTION("""COMPUTED_VALUE"""),43287.0)</f>
        <v>43287</v>
      </c>
    </row>
    <row r="294">
      <c r="A294" s="6" t="str">
        <f>IFERROR(__xludf.DUMMYFUNCTION("""COMPUTED_VALUE"""),"181750221-1")</f>
        <v>181750221-1</v>
      </c>
      <c r="B294" s="6" t="str">
        <f>IFERROR(__xludf.DUMMYFUNCTION("""COMPUTED_VALUE"""),"181750221 - Approved")</f>
        <v>181750221 - Approved</v>
      </c>
      <c r="C294" s="6">
        <f>IFERROR(__xludf.DUMMYFUNCTION("""COMPUTED_VALUE"""),1.0)</f>
        <v>1</v>
      </c>
      <c r="D294" s="6" t="str">
        <f>IFERROR(__xludf.DUMMYFUNCTION("""COMPUTED_VALUE"""),"P-15053-00")</f>
        <v>P-15053-00</v>
      </c>
      <c r="E294" s="6" t="str">
        <f>IFERROR(__xludf.DUMMYFUNCTION("""COMPUTED_VALUE"""),"Element Filter 0.01 micron P/N NXE-400-X; ; ;")</f>
        <v>Element Filter 0.01 micron P/N NXE-400-X; ; ;</v>
      </c>
      <c r="F294" s="6">
        <f>IFERROR(__xludf.DUMMYFUNCTION("""COMPUTED_VALUE"""),1.0)</f>
        <v>1</v>
      </c>
      <c r="G294" s="6" t="str">
        <f>IFERROR(__xludf.DUMMYFUNCTION("""COMPUTED_VALUE"""),"Pieces")</f>
        <v>Pieces</v>
      </c>
      <c r="H294" s="6" t="str">
        <f>IFERROR(__xludf.DUMMYFUNCTION("""COMPUTED_VALUE"""),"USD")</f>
        <v>USD</v>
      </c>
      <c r="I294" s="11">
        <f>IFERROR(__xludf.DUMMYFUNCTION("""COMPUTED_VALUE"""),160.0)</f>
        <v>160</v>
      </c>
      <c r="J294" s="11">
        <f>IFERROR(__xludf.DUMMYFUNCTION("""COMPUTED_VALUE"""),160.0)</f>
        <v>160</v>
      </c>
      <c r="K294" s="13">
        <f>IFERROR(__xludf.DUMMYFUNCTION("""COMPUTED_VALUE"""),43294.0)</f>
        <v>43294</v>
      </c>
      <c r="L294" s="6" t="str">
        <f>IFERROR(__xludf.DUMMYFUNCTION("""COMPUTED_VALUE"""),"FIP Engineering")</f>
        <v>FIP Engineering</v>
      </c>
      <c r="M294" s="6" t="str">
        <f>IFERROR(__xludf.DUMMYFUNCTION("""COMPUTED_VALUE"""),"Joko Nugroho")</f>
        <v>Joko Nugroho</v>
      </c>
      <c r="N294" s="6" t="str">
        <f>IFERROR(__xludf.DUMMYFUNCTION("""COMPUTED_VALUE"""),"FIP Engineering")</f>
        <v>FIP Engineering</v>
      </c>
      <c r="O294" s="6" t="str">
        <f>IFERROR(__xludf.DUMMYFUNCTION("""COMPUTED_VALUE"""),"FIP-DOM-000-11304-OS00001-INA-000000")</f>
        <v>FIP-DOM-000-11304-OS00001-INA-000000</v>
      </c>
      <c r="P294" s="6" t="str">
        <f>IFERROR(__xludf.DUMMYFUNCTION("""COMPUTED_VALUE"""),"PO Closed")</f>
        <v>PO Closed</v>
      </c>
      <c r="Q294" s="6" t="str">
        <f>IFERROR(__xludf.DUMMYFUNCTION("""COMPUTED_VALUE"""),"GL1807008")</f>
        <v>GL1807008</v>
      </c>
      <c r="R294" s="16">
        <f>IFERROR(__xludf.DUMMYFUNCTION("""COMPUTED_VALUE"""),43280.0)</f>
        <v>43280</v>
      </c>
      <c r="S294" s="6" t="str">
        <f>IFERROR(__xludf.DUMMYFUNCTION("""COMPUTED_VALUE"""),"-")</f>
        <v>-</v>
      </c>
      <c r="T294" s="13">
        <f>IFERROR(__xludf.DUMMYFUNCTION("""COMPUTED_VALUE"""),43314.0)</f>
        <v>43314</v>
      </c>
    </row>
    <row r="295">
      <c r="A295" s="6" t="str">
        <f>IFERROR(__xludf.DUMMYFUNCTION("""COMPUTED_VALUE"""),"181750221-2")</f>
        <v>181750221-2</v>
      </c>
      <c r="B295" s="6" t="str">
        <f>IFERROR(__xludf.DUMMYFUNCTION("""COMPUTED_VALUE"""),"181750221 - Approved")</f>
        <v>181750221 - Approved</v>
      </c>
      <c r="C295" s="6">
        <f>IFERROR(__xludf.DUMMYFUNCTION("""COMPUTED_VALUE"""),2.0)</f>
        <v>2</v>
      </c>
      <c r="D295" s="6" t="str">
        <f>IFERROR(__xludf.DUMMYFUNCTION("""COMPUTED_VALUE"""),"P-15052-00")</f>
        <v>P-15052-00</v>
      </c>
      <c r="E295" s="6" t="str">
        <f>IFERROR(__xludf.DUMMYFUNCTION("""COMPUTED_VALUE"""),"Element Filter 1 micron P/N NXE-400-Z; ; ;")</f>
        <v>Element Filter 1 micron P/N NXE-400-Z; ; ;</v>
      </c>
      <c r="F295" s="6">
        <f>IFERROR(__xludf.DUMMYFUNCTION("""COMPUTED_VALUE"""),1.0)</f>
        <v>1</v>
      </c>
      <c r="G295" s="6" t="str">
        <f>IFERROR(__xludf.DUMMYFUNCTION("""COMPUTED_VALUE"""),"Pieces")</f>
        <v>Pieces</v>
      </c>
      <c r="H295" s="6" t="str">
        <f>IFERROR(__xludf.DUMMYFUNCTION("""COMPUTED_VALUE"""),"USD")</f>
        <v>USD</v>
      </c>
      <c r="I295" s="11">
        <f>IFERROR(__xludf.DUMMYFUNCTION("""COMPUTED_VALUE"""),160.0)</f>
        <v>160</v>
      </c>
      <c r="J295" s="11">
        <f>IFERROR(__xludf.DUMMYFUNCTION("""COMPUTED_VALUE"""),160.0)</f>
        <v>160</v>
      </c>
      <c r="K295" s="13">
        <f>IFERROR(__xludf.DUMMYFUNCTION("""COMPUTED_VALUE"""),43294.0)</f>
        <v>43294</v>
      </c>
      <c r="L295" s="6" t="str">
        <f>IFERROR(__xludf.DUMMYFUNCTION("""COMPUTED_VALUE"""),"FIP Engineering")</f>
        <v>FIP Engineering</v>
      </c>
      <c r="M295" s="6" t="str">
        <f>IFERROR(__xludf.DUMMYFUNCTION("""COMPUTED_VALUE"""),"Joko Nugroho")</f>
        <v>Joko Nugroho</v>
      </c>
      <c r="N295" s="6" t="str">
        <f>IFERROR(__xludf.DUMMYFUNCTION("""COMPUTED_VALUE"""),"FIP Engineering")</f>
        <v>FIP Engineering</v>
      </c>
      <c r="O295" s="6" t="str">
        <f>IFERROR(__xludf.DUMMYFUNCTION("""COMPUTED_VALUE"""),"FIP-DOM-000-11304-OS00001-INA-000000")</f>
        <v>FIP-DOM-000-11304-OS00001-INA-000000</v>
      </c>
      <c r="P295" s="6" t="str">
        <f>IFERROR(__xludf.DUMMYFUNCTION("""COMPUTED_VALUE"""),"PO Closed")</f>
        <v>PO Closed</v>
      </c>
      <c r="Q295" s="6" t="str">
        <f>IFERROR(__xludf.DUMMYFUNCTION("""COMPUTED_VALUE"""),"GL1807008")</f>
        <v>GL1807008</v>
      </c>
      <c r="R295" s="16">
        <f>IFERROR(__xludf.DUMMYFUNCTION("""COMPUTED_VALUE"""),43280.0)</f>
        <v>43280</v>
      </c>
      <c r="S295" s="6" t="str">
        <f>IFERROR(__xludf.DUMMYFUNCTION("""COMPUTED_VALUE"""),"-")</f>
        <v>-</v>
      </c>
      <c r="T295" s="13">
        <f>IFERROR(__xludf.DUMMYFUNCTION("""COMPUTED_VALUE"""),43314.0)</f>
        <v>43314</v>
      </c>
    </row>
    <row r="296">
      <c r="A296" s="6" t="str">
        <f>IFERROR(__xludf.DUMMYFUNCTION("""COMPUTED_VALUE"""),"181750212-4")</f>
        <v>181750212-4</v>
      </c>
      <c r="B296" s="6" t="str">
        <f>IFERROR(__xludf.DUMMYFUNCTION("""COMPUTED_VALUE"""),"181750212 - Approved")</f>
        <v>181750212 - Approved</v>
      </c>
      <c r="C296" s="6">
        <f>IFERROR(__xludf.DUMMYFUNCTION("""COMPUTED_VALUE"""),4.0)</f>
        <v>4</v>
      </c>
      <c r="D296" s="6" t="str">
        <f>IFERROR(__xludf.DUMMYFUNCTION("""COMPUTED_VALUE"""),"O-51875-00")</f>
        <v>O-51875-00</v>
      </c>
      <c r="E296" s="6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F296" s="6">
        <f>IFERROR(__xludf.DUMMYFUNCTION("""COMPUTED_VALUE"""),1.0)</f>
        <v>1</v>
      </c>
      <c r="G296" s="6" t="str">
        <f>IFERROR(__xludf.DUMMYFUNCTION("""COMPUTED_VALUE"""),"Unit")</f>
        <v>Unit</v>
      </c>
      <c r="H296" s="6" t="str">
        <f>IFERROR(__xludf.DUMMYFUNCTION("""COMPUTED_VALUE"""),"IDR")</f>
        <v>IDR</v>
      </c>
      <c r="I296" s="11">
        <f>IFERROR(__xludf.DUMMYFUNCTION("""COMPUTED_VALUE"""),3.18E7)</f>
        <v>31800000</v>
      </c>
      <c r="J296" s="11">
        <f>IFERROR(__xludf.DUMMYFUNCTION("""COMPUTED_VALUE"""),3.18E7)</f>
        <v>31800000</v>
      </c>
      <c r="K296" s="13">
        <f>IFERROR(__xludf.DUMMYFUNCTION("""COMPUTED_VALUE"""),43346.0)</f>
        <v>43346</v>
      </c>
      <c r="L296" s="6" t="str">
        <f>IFERROR(__xludf.DUMMYFUNCTION("""COMPUTED_VALUE"""),"FIP Engineering")</f>
        <v>FIP Engineering</v>
      </c>
      <c r="M296" s="6" t="str">
        <f>IFERROR(__xludf.DUMMYFUNCTION("""COMPUTED_VALUE"""),"Joko Nugroho")</f>
        <v>Joko Nugroho</v>
      </c>
      <c r="N296" s="6" t="str">
        <f>IFERROR(__xludf.DUMMYFUNCTION("""COMPUTED_VALUE"""),"FIP Engineering")</f>
        <v>FIP Engineering</v>
      </c>
      <c r="O296" s="6" t="str">
        <f>IFERROR(__xludf.DUMMYFUNCTION("""COMPUTED_VALUE"""),"FIP-DOM-000-11304-OS00001-INA-000000")</f>
        <v>FIP-DOM-000-11304-OS00001-INA-000000</v>
      </c>
      <c r="P296" s="6" t="str">
        <f>IFERROR(__xludf.DUMMYFUNCTION("""COMPUTED_VALUE"""),"PO Closed")</f>
        <v>PO Closed</v>
      </c>
      <c r="Q296" s="6" t="str">
        <f>IFERROR(__xludf.DUMMYFUNCTION("""COMPUTED_VALUE"""),"GL1807006")</f>
        <v>GL1807006</v>
      </c>
      <c r="R296" s="16">
        <f>IFERROR(__xludf.DUMMYFUNCTION("""COMPUTED_VALUE"""),43280.0)</f>
        <v>43280</v>
      </c>
      <c r="S296" s="6" t="str">
        <f>IFERROR(__xludf.DUMMYFUNCTION("""COMPUTED_VALUE"""),"-")</f>
        <v>-</v>
      </c>
      <c r="T296" s="13">
        <f>IFERROR(__xludf.DUMMYFUNCTION("""COMPUTED_VALUE"""),43369.0)</f>
        <v>43369</v>
      </c>
    </row>
    <row r="297">
      <c r="A297" s="6" t="str">
        <f>IFERROR(__xludf.DUMMYFUNCTION("""COMPUTED_VALUE"""),"181750212-5")</f>
        <v>181750212-5</v>
      </c>
      <c r="B297" s="6" t="str">
        <f>IFERROR(__xludf.DUMMYFUNCTION("""COMPUTED_VALUE"""),"181750212 - Approved")</f>
        <v>181750212 - Approved</v>
      </c>
      <c r="C297" s="6">
        <f>IFERROR(__xludf.DUMMYFUNCTION("""COMPUTED_VALUE"""),5.0)</f>
        <v>5</v>
      </c>
      <c r="D297" s="6" t="str">
        <f>IFERROR(__xludf.DUMMYFUNCTION("""COMPUTED_VALUE"""),"O-51873-00")</f>
        <v>O-51873-00</v>
      </c>
      <c r="E297" s="6" t="str">
        <f>IFERROR(__xludf.DUMMYFUNCTION("""COMPUTED_VALUE"""),"Cable Glad for 15mm EX Probes, Metric Thread M25 x 1,5 Model : AC1301-MEX; ; ;")</f>
        <v>Cable Glad for 15mm EX Probes, Metric Thread M25 x 1,5 Model : AC1301-MEX; ; ;</v>
      </c>
      <c r="F297" s="6">
        <f>IFERROR(__xludf.DUMMYFUNCTION("""COMPUTED_VALUE"""),1.0)</f>
        <v>1</v>
      </c>
      <c r="G297" s="6" t="str">
        <f>IFERROR(__xludf.DUMMYFUNCTION("""COMPUTED_VALUE"""),"Unit")</f>
        <v>Unit</v>
      </c>
      <c r="H297" s="6" t="str">
        <f>IFERROR(__xludf.DUMMYFUNCTION("""COMPUTED_VALUE"""),"IDR")</f>
        <v>IDR</v>
      </c>
      <c r="I297" s="11">
        <f>IFERROR(__xludf.DUMMYFUNCTION("""COMPUTED_VALUE"""),600000.0)</f>
        <v>600000</v>
      </c>
      <c r="J297" s="11">
        <f>IFERROR(__xludf.DUMMYFUNCTION("""COMPUTED_VALUE"""),600000.0)</f>
        <v>600000</v>
      </c>
      <c r="K297" s="13">
        <f>IFERROR(__xludf.DUMMYFUNCTION("""COMPUTED_VALUE"""),43346.0)</f>
        <v>43346</v>
      </c>
      <c r="L297" s="6" t="str">
        <f>IFERROR(__xludf.DUMMYFUNCTION("""COMPUTED_VALUE"""),"FIP Engineering")</f>
        <v>FIP Engineering</v>
      </c>
      <c r="M297" s="6" t="str">
        <f>IFERROR(__xludf.DUMMYFUNCTION("""COMPUTED_VALUE"""),"Joko Nugroho")</f>
        <v>Joko Nugroho</v>
      </c>
      <c r="N297" s="6" t="str">
        <f>IFERROR(__xludf.DUMMYFUNCTION("""COMPUTED_VALUE"""),"FIP Engineering")</f>
        <v>FIP Engineering</v>
      </c>
      <c r="O297" s="6" t="str">
        <f>IFERROR(__xludf.DUMMYFUNCTION("""COMPUTED_VALUE"""),"FIP-DOM-000-11304-OS00001-INA-000000")</f>
        <v>FIP-DOM-000-11304-OS00001-INA-000000</v>
      </c>
      <c r="P297" s="6" t="str">
        <f>IFERROR(__xludf.DUMMYFUNCTION("""COMPUTED_VALUE"""),"PO Closed")</f>
        <v>PO Closed</v>
      </c>
      <c r="Q297" s="6" t="str">
        <f>IFERROR(__xludf.DUMMYFUNCTION("""COMPUTED_VALUE"""),"GL1807006")</f>
        <v>GL1807006</v>
      </c>
      <c r="R297" s="16">
        <f>IFERROR(__xludf.DUMMYFUNCTION("""COMPUTED_VALUE"""),43280.0)</f>
        <v>43280</v>
      </c>
      <c r="S297" s="6" t="str">
        <f>IFERROR(__xludf.DUMMYFUNCTION("""COMPUTED_VALUE"""),"-")</f>
        <v>-</v>
      </c>
      <c r="T297" s="13">
        <f>IFERROR(__xludf.DUMMYFUNCTION("""COMPUTED_VALUE"""),43369.0)</f>
        <v>43369</v>
      </c>
    </row>
    <row r="298">
      <c r="A298" s="6" t="str">
        <f>IFERROR(__xludf.DUMMYFUNCTION("""COMPUTED_VALUE"""),"181750212-6")</f>
        <v>181750212-6</v>
      </c>
      <c r="B298" s="6" t="str">
        <f>IFERROR(__xludf.DUMMYFUNCTION("""COMPUTED_VALUE"""),"181750212 - Approved")</f>
        <v>181750212 - Approved</v>
      </c>
      <c r="C298" s="6">
        <f>IFERROR(__xludf.DUMMYFUNCTION("""COMPUTED_VALUE"""),6.0)</f>
        <v>6</v>
      </c>
      <c r="D298" s="6" t="str">
        <f>IFERROR(__xludf.DUMMYFUNCTION("""COMPUTED_VALUE"""),"O-51874-00")</f>
        <v>O-51874-00</v>
      </c>
      <c r="E298" s="6" t="str">
        <f>IFERROR(__xludf.DUMMYFUNCTION("""COMPUTED_VALUE"""),"Wall Mount Probe With 140 mm Probe Length, Model : HC2-SM-EX; ; ;")</f>
        <v>Wall Mount Probe With 140 mm Probe Length, Model : HC2-SM-EX; ; ;</v>
      </c>
      <c r="F298" s="6">
        <f>IFERROR(__xludf.DUMMYFUNCTION("""COMPUTED_VALUE"""),1.0)</f>
        <v>1</v>
      </c>
      <c r="G298" s="6" t="str">
        <f>IFERROR(__xludf.DUMMYFUNCTION("""COMPUTED_VALUE"""),"Unit")</f>
        <v>Unit</v>
      </c>
      <c r="H298" s="6" t="str">
        <f>IFERROR(__xludf.DUMMYFUNCTION("""COMPUTED_VALUE"""),"IDR")</f>
        <v>IDR</v>
      </c>
      <c r="I298" s="11">
        <f>IFERROR(__xludf.DUMMYFUNCTION("""COMPUTED_VALUE"""),1.16E7)</f>
        <v>11600000</v>
      </c>
      <c r="J298" s="11">
        <f>IFERROR(__xludf.DUMMYFUNCTION("""COMPUTED_VALUE"""),1.16E7)</f>
        <v>11600000</v>
      </c>
      <c r="K298" s="13">
        <f>IFERROR(__xludf.DUMMYFUNCTION("""COMPUTED_VALUE"""),43346.0)</f>
        <v>43346</v>
      </c>
      <c r="L298" s="6" t="str">
        <f>IFERROR(__xludf.DUMMYFUNCTION("""COMPUTED_VALUE"""),"FIP Engineering")</f>
        <v>FIP Engineering</v>
      </c>
      <c r="M298" s="6" t="str">
        <f>IFERROR(__xludf.DUMMYFUNCTION("""COMPUTED_VALUE"""),"Joko Nugroho")</f>
        <v>Joko Nugroho</v>
      </c>
      <c r="N298" s="6" t="str">
        <f>IFERROR(__xludf.DUMMYFUNCTION("""COMPUTED_VALUE"""),"FIP Engineering")</f>
        <v>FIP Engineering</v>
      </c>
      <c r="O298" s="6" t="str">
        <f>IFERROR(__xludf.DUMMYFUNCTION("""COMPUTED_VALUE"""),"FIP-DOM-000-11304-OS00001-INA-000000")</f>
        <v>FIP-DOM-000-11304-OS00001-INA-000000</v>
      </c>
      <c r="P298" s="6" t="str">
        <f>IFERROR(__xludf.DUMMYFUNCTION("""COMPUTED_VALUE"""),"PO Closed")</f>
        <v>PO Closed</v>
      </c>
      <c r="Q298" s="6" t="str">
        <f>IFERROR(__xludf.DUMMYFUNCTION("""COMPUTED_VALUE"""),"GL1807006")</f>
        <v>GL1807006</v>
      </c>
      <c r="R298" s="16">
        <f>IFERROR(__xludf.DUMMYFUNCTION("""COMPUTED_VALUE"""),43280.0)</f>
        <v>43280</v>
      </c>
      <c r="S298" s="6" t="str">
        <f>IFERROR(__xludf.DUMMYFUNCTION("""COMPUTED_VALUE"""),"-")</f>
        <v>-</v>
      </c>
      <c r="T298" s="13">
        <f>IFERROR(__xludf.DUMMYFUNCTION("""COMPUTED_VALUE"""),43369.0)</f>
        <v>43369</v>
      </c>
    </row>
    <row r="299">
      <c r="A299" s="6" t="str">
        <f>IFERROR(__xludf.DUMMYFUNCTION("""COMPUTED_VALUE"""),"181750227-1")</f>
        <v>181750227-1</v>
      </c>
      <c r="B299" s="6" t="str">
        <f>IFERROR(__xludf.DUMMYFUNCTION("""COMPUTED_VALUE"""),"181750227 - Approved")</f>
        <v>181750227 - Approved</v>
      </c>
      <c r="C299" s="6">
        <f>IFERROR(__xludf.DUMMYFUNCTION("""COMPUTED_VALUE"""),1.0)</f>
        <v>1</v>
      </c>
      <c r="D299" s="6" t="str">
        <f>IFERROR(__xludf.DUMMYFUNCTION("""COMPUTED_VALUE"""),"S-60007-00")</f>
        <v>S-60007-00</v>
      </c>
      <c r="E299" s="6" t="str">
        <f>IFERROR(__xludf.DUMMYFUNCTION("""COMPUTED_VALUE"""),"SUCTION CUP (C977151820); ; ;")</f>
        <v>SUCTION CUP (C977151820); ; ;</v>
      </c>
      <c r="F299" s="6">
        <f>IFERROR(__xludf.DUMMYFUNCTION("""COMPUTED_VALUE"""),20.0)</f>
        <v>20</v>
      </c>
      <c r="G299" s="6" t="str">
        <f>IFERROR(__xludf.DUMMYFUNCTION("""COMPUTED_VALUE"""),"Pieces")</f>
        <v>Pieces</v>
      </c>
      <c r="H299" s="6" t="str">
        <f>IFERROR(__xludf.DUMMYFUNCTION("""COMPUTED_VALUE"""),"IDR")</f>
        <v>IDR</v>
      </c>
      <c r="I299" s="11">
        <f>IFERROR(__xludf.DUMMYFUNCTION("""COMPUTED_VALUE"""),67500.0)</f>
        <v>67500</v>
      </c>
      <c r="J299" s="11">
        <f>IFERROR(__xludf.DUMMYFUNCTION("""COMPUTED_VALUE"""),1350000.0)</f>
        <v>1350000</v>
      </c>
      <c r="K299" s="13">
        <f>IFERROR(__xludf.DUMMYFUNCTION("""COMPUTED_VALUE"""),43301.0)</f>
        <v>43301</v>
      </c>
      <c r="L299" s="6" t="str">
        <f>IFERROR(__xludf.DUMMYFUNCTION("""COMPUTED_VALUE"""),"FIP General")</f>
        <v>FIP General</v>
      </c>
      <c r="M299" s="6" t="str">
        <f>IFERROR(__xludf.DUMMYFUNCTION("""COMPUTED_VALUE"""),"Joko Nugroho")</f>
        <v>Joko Nugroho</v>
      </c>
      <c r="N299" s="6" t="str">
        <f>IFERROR(__xludf.DUMMYFUNCTION("""COMPUTED_VALUE"""),"FIP Engineering")</f>
        <v>FIP Engineering</v>
      </c>
      <c r="O299" s="6" t="str">
        <f>IFERROR(__xludf.DUMMYFUNCTION("""COMPUTED_VALUE"""),"FIP-DOM-ENG-51504-0000000-INA-000000")</f>
        <v>FIP-DOM-ENG-51504-0000000-INA-000000</v>
      </c>
      <c r="P299" s="6" t="str">
        <f>IFERROR(__xludf.DUMMYFUNCTION("""COMPUTED_VALUE"""),"PO Closed")</f>
        <v>PO Closed</v>
      </c>
      <c r="Q299" s="6" t="str">
        <f>IFERROR(__xludf.DUMMYFUNCTION("""COMPUTED_VALUE"""),"GL1807025")</f>
        <v>GL1807025</v>
      </c>
      <c r="R299" s="16">
        <f>IFERROR(__xludf.DUMMYFUNCTION("""COMPUTED_VALUE"""),43284.0)</f>
        <v>43284</v>
      </c>
      <c r="S299" s="6" t="str">
        <f>IFERROR(__xludf.DUMMYFUNCTION("""COMPUTED_VALUE"""),"-")</f>
        <v>-</v>
      </c>
      <c r="T299" s="13">
        <f>IFERROR(__xludf.DUMMYFUNCTION("""COMPUTED_VALUE"""),43320.0)</f>
        <v>43320</v>
      </c>
    </row>
    <row r="300">
      <c r="A300" s="6" t="str">
        <f>IFERROR(__xludf.DUMMYFUNCTION("""COMPUTED_VALUE"""),"181750230-5")</f>
        <v>181750230-5</v>
      </c>
      <c r="B300" s="6" t="str">
        <f>IFERROR(__xludf.DUMMYFUNCTION("""COMPUTED_VALUE"""),"181750230 - Approved")</f>
        <v>181750230 - Approved</v>
      </c>
      <c r="C300" s="6">
        <f>IFERROR(__xludf.DUMMYFUNCTION("""COMPUTED_VALUE"""),5.0)</f>
        <v>5</v>
      </c>
      <c r="D300" s="6" t="str">
        <f>IFERROR(__xludf.DUMMYFUNCTION("""COMPUTED_VALUE"""),"P-12752-00")</f>
        <v>P-12752-00</v>
      </c>
      <c r="E300" s="6" t="str">
        <f>IFERROR(__xludf.DUMMYFUNCTION("""COMPUTED_VALUE"""),"RUCIKA - Pipa PVC dia. 4inch")</f>
        <v>RUCIKA - Pipa PVC dia. 4inch</v>
      </c>
      <c r="F300" s="6">
        <f>IFERROR(__xludf.DUMMYFUNCTION("""COMPUTED_VALUE"""),1.0)</f>
        <v>1</v>
      </c>
      <c r="G300" s="6" t="str">
        <f>IFERROR(__xludf.DUMMYFUNCTION("""COMPUTED_VALUE"""),"Pieces")</f>
        <v>Pieces</v>
      </c>
      <c r="H300" s="6" t="str">
        <f>IFERROR(__xludf.DUMMYFUNCTION("""COMPUTED_VALUE"""),"IDR")</f>
        <v>IDR</v>
      </c>
      <c r="I300" s="11">
        <f>IFERROR(__xludf.DUMMYFUNCTION("""COMPUTED_VALUE"""),750000.0)</f>
        <v>750000</v>
      </c>
      <c r="J300" s="11">
        <f>IFERROR(__xludf.DUMMYFUNCTION("""COMPUTED_VALUE"""),750000.0)</f>
        <v>750000</v>
      </c>
      <c r="K300" s="13">
        <f>IFERROR(__xludf.DUMMYFUNCTION("""COMPUTED_VALUE"""),43332.0)</f>
        <v>43332</v>
      </c>
      <c r="L300" s="6" t="str">
        <f>IFERROR(__xludf.DUMMYFUNCTION("""COMPUTED_VALUE"""),"FIP Engineering")</f>
        <v>FIP Engineering</v>
      </c>
      <c r="M300" s="6" t="str">
        <f>IFERROR(__xludf.DUMMYFUNCTION("""COMPUTED_VALUE"""),"Joko Nugroho")</f>
        <v>Joko Nugroho</v>
      </c>
      <c r="N300" s="6" t="str">
        <f>IFERROR(__xludf.DUMMYFUNCTION("""COMPUTED_VALUE"""),"FIP Engineering")</f>
        <v>FIP Engineering</v>
      </c>
      <c r="O300" s="6" t="str">
        <f>IFERROR(__xludf.DUMMYFUNCTION("""COMPUTED_VALUE"""),"FIP-DOM-000-11304-OS00001-INA-000000")</f>
        <v>FIP-DOM-000-11304-OS00001-INA-000000</v>
      </c>
      <c r="P300" s="6" t="str">
        <f>IFERROR(__xludf.DUMMYFUNCTION("""COMPUTED_VALUE"""),"PO Closed")</f>
        <v>PO Closed</v>
      </c>
      <c r="Q300" s="6" t="str">
        <f>IFERROR(__xludf.DUMMYFUNCTION("""COMPUTED_VALUE"""),"GL1808016")</f>
        <v>GL1808016</v>
      </c>
      <c r="R300" s="16">
        <f>IFERROR(__xludf.DUMMYFUNCTION("""COMPUTED_VALUE"""),43285.0)</f>
        <v>43285</v>
      </c>
      <c r="S300" s="6" t="str">
        <f>IFERROR(__xludf.DUMMYFUNCTION("""COMPUTED_VALUE"""),"-")</f>
        <v>-</v>
      </c>
      <c r="T300" s="13">
        <f>IFERROR(__xludf.DUMMYFUNCTION("""COMPUTED_VALUE"""),43332.0)</f>
        <v>43332</v>
      </c>
    </row>
    <row r="301">
      <c r="A301" s="6" t="str">
        <f>IFERROR(__xludf.DUMMYFUNCTION("""COMPUTED_VALUE"""),"181750230-9")</f>
        <v>181750230-9</v>
      </c>
      <c r="B301" s="6" t="str">
        <f>IFERROR(__xludf.DUMMYFUNCTION("""COMPUTED_VALUE"""),"181750230 - Approved")</f>
        <v>181750230 - Approved</v>
      </c>
      <c r="C301" s="6">
        <f>IFERROR(__xludf.DUMMYFUNCTION("""COMPUTED_VALUE"""),9.0)</f>
        <v>9</v>
      </c>
      <c r="D301" s="6" t="str">
        <f>IFERROR(__xludf.DUMMYFUNCTION("""COMPUTED_VALUE"""),"P-53213-00")</f>
        <v>P-53213-00</v>
      </c>
      <c r="E301" s="6" t="str">
        <f>IFERROR(__xludf.DUMMYFUNCTION("""COMPUTED_VALUE"""),"Lem Pipa PVC; ; ;")</f>
        <v>Lem Pipa PVC; ; ;</v>
      </c>
      <c r="F301" s="6">
        <f>IFERROR(__xludf.DUMMYFUNCTION("""COMPUTED_VALUE"""),1.0)</f>
        <v>1</v>
      </c>
      <c r="G301" s="6" t="str">
        <f>IFERROR(__xludf.DUMMYFUNCTION("""COMPUTED_VALUE"""),"Pieces")</f>
        <v>Pieces</v>
      </c>
      <c r="H301" s="6" t="str">
        <f>IFERROR(__xludf.DUMMYFUNCTION("""COMPUTED_VALUE"""),"IDR")</f>
        <v>IDR</v>
      </c>
      <c r="I301" s="11">
        <f>IFERROR(__xludf.DUMMYFUNCTION("""COMPUTED_VALUE"""),45000.0)</f>
        <v>45000</v>
      </c>
      <c r="J301" s="11">
        <f>IFERROR(__xludf.DUMMYFUNCTION("""COMPUTED_VALUE"""),45000.0)</f>
        <v>45000</v>
      </c>
      <c r="K301" s="13">
        <f>IFERROR(__xludf.DUMMYFUNCTION("""COMPUTED_VALUE"""),43332.0)</f>
        <v>43332</v>
      </c>
      <c r="L301" s="6" t="str">
        <f>IFERROR(__xludf.DUMMYFUNCTION("""COMPUTED_VALUE"""),"FIP Engineering")</f>
        <v>FIP Engineering</v>
      </c>
      <c r="M301" s="6" t="str">
        <f>IFERROR(__xludf.DUMMYFUNCTION("""COMPUTED_VALUE"""),"Joko Nugroho")</f>
        <v>Joko Nugroho</v>
      </c>
      <c r="N301" s="6" t="str">
        <f>IFERROR(__xludf.DUMMYFUNCTION("""COMPUTED_VALUE"""),"FIP Engineering")</f>
        <v>FIP Engineering</v>
      </c>
      <c r="O301" s="6" t="str">
        <f>IFERROR(__xludf.DUMMYFUNCTION("""COMPUTED_VALUE"""),"FIP-DOM-000-11304-OS00001-INA-000000")</f>
        <v>FIP-DOM-000-11304-OS00001-INA-000000</v>
      </c>
      <c r="P301" s="6" t="str">
        <f>IFERROR(__xludf.DUMMYFUNCTION("""COMPUTED_VALUE"""),"PO Closed")</f>
        <v>PO Closed</v>
      </c>
      <c r="Q301" s="6" t="str">
        <f>IFERROR(__xludf.DUMMYFUNCTION("""COMPUTED_VALUE"""),"GL1808016")</f>
        <v>GL1808016</v>
      </c>
      <c r="R301" s="16">
        <f>IFERROR(__xludf.DUMMYFUNCTION("""COMPUTED_VALUE"""),43285.0)</f>
        <v>43285</v>
      </c>
      <c r="S301" s="6" t="str">
        <f>IFERROR(__xludf.DUMMYFUNCTION("""COMPUTED_VALUE"""),"-")</f>
        <v>-</v>
      </c>
      <c r="T301" s="13">
        <f>IFERROR(__xludf.DUMMYFUNCTION("""COMPUTED_VALUE"""),43328.0)</f>
        <v>43328</v>
      </c>
    </row>
    <row r="302">
      <c r="A302" s="6" t="str">
        <f>IFERROR(__xludf.DUMMYFUNCTION("""COMPUTED_VALUE"""),"181750232-14")</f>
        <v>181750232-14</v>
      </c>
      <c r="B302" s="6" t="str">
        <f>IFERROR(__xludf.DUMMYFUNCTION("""COMPUTED_VALUE"""),"181750232 - Approved")</f>
        <v>181750232 - Approved</v>
      </c>
      <c r="C302" s="6">
        <f>IFERROR(__xludf.DUMMYFUNCTION("""COMPUTED_VALUE"""),14.0)</f>
        <v>14</v>
      </c>
      <c r="D302" s="6" t="str">
        <f>IFERROR(__xludf.DUMMYFUNCTION("""COMPUTED_VALUE"""),"P-13389-00")</f>
        <v>P-13389-00</v>
      </c>
      <c r="E302" s="6" t="str">
        <f>IFERROR(__xludf.DUMMYFUNCTION("""COMPUTED_VALUE"""),"Scotch Brite 3M; ; ;")</f>
        <v>Scotch Brite 3M; ; ;</v>
      </c>
      <c r="F302" s="6">
        <f>IFERROR(__xludf.DUMMYFUNCTION("""COMPUTED_VALUE"""),10.0)</f>
        <v>10</v>
      </c>
      <c r="G302" s="6" t="str">
        <f>IFERROR(__xludf.DUMMYFUNCTION("""COMPUTED_VALUE"""),"Pieces")</f>
        <v>Pieces</v>
      </c>
      <c r="H302" s="6" t="str">
        <f>IFERROR(__xludf.DUMMYFUNCTION("""COMPUTED_VALUE"""),"IDR")</f>
        <v>IDR</v>
      </c>
      <c r="I302" s="11">
        <f>IFERROR(__xludf.DUMMYFUNCTION("""COMPUTED_VALUE"""),14500.0)</f>
        <v>14500</v>
      </c>
      <c r="J302" s="11">
        <f>IFERROR(__xludf.DUMMYFUNCTION("""COMPUTED_VALUE"""),145000.0)</f>
        <v>145000</v>
      </c>
      <c r="K302" s="13">
        <f>IFERROR(__xludf.DUMMYFUNCTION("""COMPUTED_VALUE"""),43315.0)</f>
        <v>43315</v>
      </c>
      <c r="L302" s="6" t="str">
        <f>IFERROR(__xludf.DUMMYFUNCTION("""COMPUTED_VALUE"""),"FIP Engineering")</f>
        <v>FIP Engineering</v>
      </c>
      <c r="M302" s="6" t="str">
        <f>IFERROR(__xludf.DUMMYFUNCTION("""COMPUTED_VALUE"""),"Joko Nugroho")</f>
        <v>Joko Nugroho</v>
      </c>
      <c r="N302" s="6" t="str">
        <f>IFERROR(__xludf.DUMMYFUNCTION("""COMPUTED_VALUE"""),"FIP Engineering")</f>
        <v>FIP Engineering</v>
      </c>
      <c r="O302" s="6" t="str">
        <f>IFERROR(__xludf.DUMMYFUNCTION("""COMPUTED_VALUE"""),"FIP-DOM-000-11304-OS00001-INA-000000")</f>
        <v>FIP-DOM-000-11304-OS00001-INA-000000</v>
      </c>
      <c r="P302" s="6" t="str">
        <f>IFERROR(__xludf.DUMMYFUNCTION("""COMPUTED_VALUE"""),"PO Closed")</f>
        <v>PO Closed</v>
      </c>
      <c r="Q302" s="6" t="str">
        <f>IFERROR(__xludf.DUMMYFUNCTION("""COMPUTED_VALUE"""),"GL1807060")</f>
        <v>GL1807060</v>
      </c>
      <c r="R302" s="16">
        <f>IFERROR(__xludf.DUMMYFUNCTION("""COMPUTED_VALUE"""),43286.0)</f>
        <v>43286</v>
      </c>
      <c r="S302" s="6" t="str">
        <f>IFERROR(__xludf.DUMMYFUNCTION("""COMPUTED_VALUE"""),"-")</f>
        <v>-</v>
      </c>
      <c r="T302" s="13">
        <f>IFERROR(__xludf.DUMMYFUNCTION("""COMPUTED_VALUE"""),43321.0)</f>
        <v>43321</v>
      </c>
    </row>
    <row r="303">
      <c r="A303" s="6" t="str">
        <f>IFERROR(__xludf.DUMMYFUNCTION("""COMPUTED_VALUE"""),"181750231-1")</f>
        <v>181750231-1</v>
      </c>
      <c r="B303" s="6" t="str">
        <f>IFERROR(__xludf.DUMMYFUNCTION("""COMPUTED_VALUE"""),"181750231 - Approved")</f>
        <v>181750231 - Approved</v>
      </c>
      <c r="C303" s="6">
        <f>IFERROR(__xludf.DUMMYFUNCTION("""COMPUTED_VALUE"""),1.0)</f>
        <v>1</v>
      </c>
      <c r="D303" s="6" t="str">
        <f>IFERROR(__xludf.DUMMYFUNCTION("""COMPUTED_VALUE"""),"S-60002-00")</f>
        <v>S-60002-00</v>
      </c>
      <c r="E303" s="6" t="str">
        <f>IFERROR(__xludf.DUMMYFUNCTION("""COMPUTED_VALUE"""),"Jasa untuk Penambahan spray-Gun CA pada mesin Vial Washerntenance Fee; ; ; Lot")</f>
        <v>Jasa untuk Penambahan spray-Gun CA pada mesin Vial Washerntenance Fee; ; ; Lot</v>
      </c>
      <c r="F303" s="6">
        <f>IFERROR(__xludf.DUMMYFUNCTION("""COMPUTED_VALUE"""),1.0)</f>
        <v>1</v>
      </c>
      <c r="G303" s="6" t="str">
        <f>IFERROR(__xludf.DUMMYFUNCTION("""COMPUTED_VALUE"""),"Lot")</f>
        <v>Lot</v>
      </c>
      <c r="H303" s="6" t="str">
        <f>IFERROR(__xludf.DUMMYFUNCTION("""COMPUTED_VALUE"""),"IDR")</f>
        <v>IDR</v>
      </c>
      <c r="I303" s="11">
        <f>IFERROR(__xludf.DUMMYFUNCTION("""COMPUTED_VALUE"""),3500000.0)</f>
        <v>3500000</v>
      </c>
      <c r="J303" s="11">
        <f>IFERROR(__xludf.DUMMYFUNCTION("""COMPUTED_VALUE"""),3500000.0)</f>
        <v>3500000</v>
      </c>
      <c r="K303" s="13">
        <f>IFERROR(__xludf.DUMMYFUNCTION("""COMPUTED_VALUE"""),43304.0)</f>
        <v>43304</v>
      </c>
      <c r="L303" s="6" t="str">
        <f>IFERROR(__xludf.DUMMYFUNCTION("""COMPUTED_VALUE"""),"FIP General")</f>
        <v>FIP General</v>
      </c>
      <c r="M303" s="6" t="str">
        <f>IFERROR(__xludf.DUMMYFUNCTION("""COMPUTED_VALUE"""),"Joko Nugroho")</f>
        <v>Joko Nugroho</v>
      </c>
      <c r="N303" s="6" t="str">
        <f>IFERROR(__xludf.DUMMYFUNCTION("""COMPUTED_VALUE"""),"FIP Engineering")</f>
        <v>FIP Engineering</v>
      </c>
      <c r="O303" s="6" t="str">
        <f>IFERROR(__xludf.DUMMYFUNCTION("""COMPUTED_VALUE"""),"FIP-DOM-ENG-51508-0000000-INA-000000")</f>
        <v>FIP-DOM-ENG-51508-0000000-INA-000000</v>
      </c>
      <c r="P303" s="6" t="str">
        <f>IFERROR(__xludf.DUMMYFUNCTION("""COMPUTED_VALUE"""),"PO Closed")</f>
        <v>PO Closed</v>
      </c>
      <c r="Q303" s="6" t="str">
        <f>IFERROR(__xludf.DUMMYFUNCTION("""COMPUTED_VALUE"""),"GL1807046")</f>
        <v>GL1807046</v>
      </c>
      <c r="R303" s="16">
        <f>IFERROR(__xludf.DUMMYFUNCTION("""COMPUTED_VALUE"""),43286.0)</f>
        <v>43286</v>
      </c>
      <c r="S303" s="6" t="str">
        <f>IFERROR(__xludf.DUMMYFUNCTION("""COMPUTED_VALUE"""),"-")</f>
        <v>-</v>
      </c>
      <c r="T303" s="13">
        <f>IFERROR(__xludf.DUMMYFUNCTION("""COMPUTED_VALUE"""),43332.0)</f>
        <v>43332</v>
      </c>
    </row>
    <row r="304">
      <c r="A304" s="6" t="str">
        <f>IFERROR(__xludf.DUMMYFUNCTION("""COMPUTED_VALUE"""),"181750231-2")</f>
        <v>181750231-2</v>
      </c>
      <c r="B304" s="6" t="str">
        <f>IFERROR(__xludf.DUMMYFUNCTION("""COMPUTED_VALUE"""),"181750231 - Approved")</f>
        <v>181750231 - Approved</v>
      </c>
      <c r="C304" s="6">
        <f>IFERROR(__xludf.DUMMYFUNCTION("""COMPUTED_VALUE"""),2.0)</f>
        <v>2</v>
      </c>
      <c r="D304" s="6" t="str">
        <f>IFERROR(__xludf.DUMMYFUNCTION("""COMPUTED_VALUE"""),"S-60002-00")</f>
        <v>S-60002-00</v>
      </c>
      <c r="E304" s="6" t="str">
        <f>IFERROR(__xludf.DUMMYFUNCTION("""COMPUTED_VALUE"""),"Material untuk Penambahan spray-Gun CA pada mesin Vial Washerntenance Fee; ; ; Lot")</f>
        <v>Material untuk Penambahan spray-Gun CA pada mesin Vial Washerntenance Fee; ; ; Lot</v>
      </c>
      <c r="F304" s="6">
        <f>IFERROR(__xludf.DUMMYFUNCTION("""COMPUTED_VALUE"""),1.0)</f>
        <v>1</v>
      </c>
      <c r="G304" s="6" t="str">
        <f>IFERROR(__xludf.DUMMYFUNCTION("""COMPUTED_VALUE"""),"Lot")</f>
        <v>Lot</v>
      </c>
      <c r="H304" s="6" t="str">
        <f>IFERROR(__xludf.DUMMYFUNCTION("""COMPUTED_VALUE"""),"IDR")</f>
        <v>IDR</v>
      </c>
      <c r="I304" s="11">
        <f>IFERROR(__xludf.DUMMYFUNCTION("""COMPUTED_VALUE"""),3010000.0)</f>
        <v>3010000</v>
      </c>
      <c r="J304" s="11">
        <f>IFERROR(__xludf.DUMMYFUNCTION("""COMPUTED_VALUE"""),3010000.0)</f>
        <v>3010000</v>
      </c>
      <c r="K304" s="13">
        <f>IFERROR(__xludf.DUMMYFUNCTION("""COMPUTED_VALUE"""),43304.0)</f>
        <v>43304</v>
      </c>
      <c r="L304" s="6" t="str">
        <f>IFERROR(__xludf.DUMMYFUNCTION("""COMPUTED_VALUE"""),"FIP General")</f>
        <v>FIP General</v>
      </c>
      <c r="M304" s="6" t="str">
        <f>IFERROR(__xludf.DUMMYFUNCTION("""COMPUTED_VALUE"""),"Joko Nugroho")</f>
        <v>Joko Nugroho</v>
      </c>
      <c r="N304" s="6" t="str">
        <f>IFERROR(__xludf.DUMMYFUNCTION("""COMPUTED_VALUE"""),"FIP Engineering")</f>
        <v>FIP Engineering</v>
      </c>
      <c r="O304" s="6" t="str">
        <f>IFERROR(__xludf.DUMMYFUNCTION("""COMPUTED_VALUE"""),"FIP-DOM-ENG-51508-0000000-INA-000000")</f>
        <v>FIP-DOM-ENG-51508-0000000-INA-000000</v>
      </c>
      <c r="P304" s="6" t="str">
        <f>IFERROR(__xludf.DUMMYFUNCTION("""COMPUTED_VALUE"""),"PO Closed")</f>
        <v>PO Closed</v>
      </c>
      <c r="Q304" s="6" t="str">
        <f>IFERROR(__xludf.DUMMYFUNCTION("""COMPUTED_VALUE"""),"GL1807046")</f>
        <v>GL1807046</v>
      </c>
      <c r="R304" s="16">
        <f>IFERROR(__xludf.DUMMYFUNCTION("""COMPUTED_VALUE"""),43286.0)</f>
        <v>43286</v>
      </c>
      <c r="S304" s="6" t="str">
        <f>IFERROR(__xludf.DUMMYFUNCTION("""COMPUTED_VALUE"""),"-")</f>
        <v>-</v>
      </c>
      <c r="T304" s="13">
        <f>IFERROR(__xludf.DUMMYFUNCTION("""COMPUTED_VALUE"""),43332.0)</f>
        <v>43332</v>
      </c>
    </row>
    <row r="305">
      <c r="A305" s="6" t="str">
        <f>IFERROR(__xludf.DUMMYFUNCTION("""COMPUTED_VALUE"""),"181750235-1")</f>
        <v>181750235-1</v>
      </c>
      <c r="B305" s="6" t="str">
        <f>IFERROR(__xludf.DUMMYFUNCTION("""COMPUTED_VALUE"""),"181750235 - Approved")</f>
        <v>181750235 - Approved</v>
      </c>
      <c r="C305" s="6">
        <f>IFERROR(__xludf.DUMMYFUNCTION("""COMPUTED_VALUE"""),1.0)</f>
        <v>1</v>
      </c>
      <c r="D305" s="6" t="str">
        <f>IFERROR(__xludf.DUMMYFUNCTION("""COMPUTED_VALUE"""),"P-14434-00")</f>
        <v>P-14434-00</v>
      </c>
      <c r="E305" s="6" t="str">
        <f>IFERROR(__xludf.DUMMYFUNCTION("""COMPUTED_VALUE"""),"Tee Sanitary Expanding (long) SS 316 L Dia 1"" - Sodime; ; ;")</f>
        <v>Tee Sanitary Expanding (long) SS 316 L Dia 1" - Sodime; ; ;</v>
      </c>
      <c r="F305" s="6">
        <f>IFERROR(__xludf.DUMMYFUNCTION("""COMPUTED_VALUE"""),1.0)</f>
        <v>1</v>
      </c>
      <c r="G305" s="6" t="str">
        <f>IFERROR(__xludf.DUMMYFUNCTION("""COMPUTED_VALUE"""),"Pieces")</f>
        <v>Pieces</v>
      </c>
      <c r="H305" s="6" t="str">
        <f>IFERROR(__xludf.DUMMYFUNCTION("""COMPUTED_VALUE"""),"IDR")</f>
        <v>IDR</v>
      </c>
      <c r="I305" s="11">
        <f>IFERROR(__xludf.DUMMYFUNCTION("""COMPUTED_VALUE"""),120000.0)</f>
        <v>120000</v>
      </c>
      <c r="J305" s="11">
        <f>IFERROR(__xludf.DUMMYFUNCTION("""COMPUTED_VALUE"""),120000.0)</f>
        <v>120000</v>
      </c>
      <c r="K305" s="13">
        <f>IFERROR(__xludf.DUMMYFUNCTION("""COMPUTED_VALUE"""),43312.0)</f>
        <v>43312</v>
      </c>
      <c r="L305" s="6" t="str">
        <f>IFERROR(__xludf.DUMMYFUNCTION("""COMPUTED_VALUE"""),"FIP General")</f>
        <v>FIP General</v>
      </c>
      <c r="M305" s="6" t="str">
        <f>IFERROR(__xludf.DUMMYFUNCTION("""COMPUTED_VALUE"""),"Joko Nugroho")</f>
        <v>Joko Nugroho</v>
      </c>
      <c r="N305" s="6" t="str">
        <f>IFERROR(__xludf.DUMMYFUNCTION("""COMPUTED_VALUE"""),"FIP Engineering")</f>
        <v>FIP Engineering</v>
      </c>
      <c r="O305" s="6" t="str">
        <f>IFERROR(__xludf.DUMMYFUNCTION("""COMPUTED_VALUE"""),"FIP-DOM-ENG-51404-0000000-INA-000000")</f>
        <v>FIP-DOM-ENG-51404-0000000-INA-000000</v>
      </c>
      <c r="P305" s="6" t="str">
        <f>IFERROR(__xludf.DUMMYFUNCTION("""COMPUTED_VALUE"""),"PO Closed")</f>
        <v>PO Closed</v>
      </c>
      <c r="Q305" s="6" t="str">
        <f>IFERROR(__xludf.DUMMYFUNCTION("""COMPUTED_VALUE"""),"GL1807059")</f>
        <v>GL1807059</v>
      </c>
      <c r="R305" s="16">
        <f>IFERROR(__xludf.DUMMYFUNCTION("""COMPUTED_VALUE"""),43290.0)</f>
        <v>43290</v>
      </c>
      <c r="S305" s="6" t="str">
        <f>IFERROR(__xludf.DUMMYFUNCTION("""COMPUTED_VALUE"""),"-")</f>
        <v>-</v>
      </c>
      <c r="T305" s="13">
        <f>IFERROR(__xludf.DUMMYFUNCTION("""COMPUTED_VALUE"""),43314.0)</f>
        <v>43314</v>
      </c>
    </row>
    <row r="306">
      <c r="A306" s="6" t="str">
        <f>IFERROR(__xludf.DUMMYFUNCTION("""COMPUTED_VALUE"""),"181750235-4")</f>
        <v>181750235-4</v>
      </c>
      <c r="B306" s="6" t="str">
        <f>IFERROR(__xludf.DUMMYFUNCTION("""COMPUTED_VALUE"""),"181750235 - Approved")</f>
        <v>181750235 - Approved</v>
      </c>
      <c r="C306" s="6">
        <f>IFERROR(__xludf.DUMMYFUNCTION("""COMPUTED_VALUE"""),4.0)</f>
        <v>4</v>
      </c>
      <c r="D306" s="6" t="str">
        <f>IFERROR(__xludf.DUMMYFUNCTION("""COMPUTED_VALUE"""),"P-12140-00")</f>
        <v>P-12140-00</v>
      </c>
      <c r="E306" s="6" t="str">
        <f>IFERROR(__xludf.DUMMYFUNCTION("""COMPUTED_VALUE"""),"Double neeple SS 304 dia 1/2inch")</f>
        <v>Double neeple SS 304 dia 1/2inch</v>
      </c>
      <c r="F306" s="6">
        <f>IFERROR(__xludf.DUMMYFUNCTION("""COMPUTED_VALUE"""),4.0)</f>
        <v>4</v>
      </c>
      <c r="G306" s="6" t="str">
        <f>IFERROR(__xludf.DUMMYFUNCTION("""COMPUTED_VALUE"""),"Pieces")</f>
        <v>Pieces</v>
      </c>
      <c r="H306" s="6" t="str">
        <f>IFERROR(__xludf.DUMMYFUNCTION("""COMPUTED_VALUE"""),"IDR")</f>
        <v>IDR</v>
      </c>
      <c r="I306" s="11">
        <f>IFERROR(__xludf.DUMMYFUNCTION("""COMPUTED_VALUE"""),28000.0)</f>
        <v>28000</v>
      </c>
      <c r="J306" s="11">
        <f>IFERROR(__xludf.DUMMYFUNCTION("""COMPUTED_VALUE"""),112000.0)</f>
        <v>112000</v>
      </c>
      <c r="K306" s="13">
        <f>IFERROR(__xludf.DUMMYFUNCTION("""COMPUTED_VALUE"""),43312.0)</f>
        <v>43312</v>
      </c>
      <c r="L306" s="6" t="str">
        <f>IFERROR(__xludf.DUMMYFUNCTION("""COMPUTED_VALUE"""),"FIP General")</f>
        <v>FIP General</v>
      </c>
      <c r="M306" s="6" t="str">
        <f>IFERROR(__xludf.DUMMYFUNCTION("""COMPUTED_VALUE"""),"Joko Nugroho")</f>
        <v>Joko Nugroho</v>
      </c>
      <c r="N306" s="6" t="str">
        <f>IFERROR(__xludf.DUMMYFUNCTION("""COMPUTED_VALUE"""),"FIP Engineering")</f>
        <v>FIP Engineering</v>
      </c>
      <c r="O306" s="6" t="str">
        <f>IFERROR(__xludf.DUMMYFUNCTION("""COMPUTED_VALUE"""),"FIP-DOM-ENG-51404-0000000-INA-000000")</f>
        <v>FIP-DOM-ENG-51404-0000000-INA-000000</v>
      </c>
      <c r="P306" s="6" t="str">
        <f>IFERROR(__xludf.DUMMYFUNCTION("""COMPUTED_VALUE"""),"PO Closed")</f>
        <v>PO Closed</v>
      </c>
      <c r="Q306" s="6" t="str">
        <f>IFERROR(__xludf.DUMMYFUNCTION("""COMPUTED_VALUE"""),"GL1807059")</f>
        <v>GL1807059</v>
      </c>
      <c r="R306" s="16">
        <f>IFERROR(__xludf.DUMMYFUNCTION("""COMPUTED_VALUE"""),43290.0)</f>
        <v>43290</v>
      </c>
      <c r="S306" s="6" t="str">
        <f>IFERROR(__xludf.DUMMYFUNCTION("""COMPUTED_VALUE"""),"-")</f>
        <v>-</v>
      </c>
      <c r="T306" s="17">
        <f>IFERROR(__xludf.DUMMYFUNCTION("""COMPUTED_VALUE"""),43314.0)</f>
        <v>43314</v>
      </c>
    </row>
    <row r="307">
      <c r="A307" s="6" t="str">
        <f>IFERROR(__xludf.DUMMYFUNCTION("""COMPUTED_VALUE"""),"181750235-5")</f>
        <v>181750235-5</v>
      </c>
      <c r="B307" s="6" t="str">
        <f>IFERROR(__xludf.DUMMYFUNCTION("""COMPUTED_VALUE"""),"181750235 - Approved")</f>
        <v>181750235 - Approved</v>
      </c>
      <c r="C307" s="6">
        <f>IFERROR(__xludf.DUMMYFUNCTION("""COMPUTED_VALUE"""),5.0)</f>
        <v>5</v>
      </c>
      <c r="D307" s="6" t="str">
        <f>IFERROR(__xludf.DUMMYFUNCTION("""COMPUTED_VALUE"""),"P-17041-00")</f>
        <v>P-17041-00</v>
      </c>
      <c r="E307" s="6" t="str">
        <f>IFERROR(__xludf.DUMMYFUNCTION("""COMPUTED_VALUE"""),"Sok Pneumatic 1/2 x 6 inch; ; ;")</f>
        <v>Sok Pneumatic 1/2 x 6 inch; ; ;</v>
      </c>
      <c r="F307" s="6">
        <f>IFERROR(__xludf.DUMMYFUNCTION("""COMPUTED_VALUE"""),2.0)</f>
        <v>2</v>
      </c>
      <c r="G307" s="6" t="str">
        <f>IFERROR(__xludf.DUMMYFUNCTION("""COMPUTED_VALUE"""),"Pieces")</f>
        <v>Pieces</v>
      </c>
      <c r="H307" s="6" t="str">
        <f>IFERROR(__xludf.DUMMYFUNCTION("""COMPUTED_VALUE"""),"IDR")</f>
        <v>IDR</v>
      </c>
      <c r="I307" s="11">
        <f>IFERROR(__xludf.DUMMYFUNCTION("""COMPUTED_VALUE"""),18000.0)</f>
        <v>18000</v>
      </c>
      <c r="J307" s="11">
        <f>IFERROR(__xludf.DUMMYFUNCTION("""COMPUTED_VALUE"""),36000.0)</f>
        <v>36000</v>
      </c>
      <c r="K307" s="13">
        <f>IFERROR(__xludf.DUMMYFUNCTION("""COMPUTED_VALUE"""),43312.0)</f>
        <v>43312</v>
      </c>
      <c r="L307" s="6" t="str">
        <f>IFERROR(__xludf.DUMMYFUNCTION("""COMPUTED_VALUE"""),"FIP General")</f>
        <v>FIP General</v>
      </c>
      <c r="M307" s="6" t="str">
        <f>IFERROR(__xludf.DUMMYFUNCTION("""COMPUTED_VALUE"""),"Joko Nugroho")</f>
        <v>Joko Nugroho</v>
      </c>
      <c r="N307" s="6" t="str">
        <f>IFERROR(__xludf.DUMMYFUNCTION("""COMPUTED_VALUE"""),"FIP Engineering")</f>
        <v>FIP Engineering</v>
      </c>
      <c r="O307" s="6" t="str">
        <f>IFERROR(__xludf.DUMMYFUNCTION("""COMPUTED_VALUE"""),"FIP-DOM-ENG-51404-0000000-INA-000000")</f>
        <v>FIP-DOM-ENG-51404-0000000-INA-000000</v>
      </c>
      <c r="P307" s="6" t="str">
        <f>IFERROR(__xludf.DUMMYFUNCTION("""COMPUTED_VALUE"""),"PO Closed")</f>
        <v>PO Closed</v>
      </c>
      <c r="Q307" s="6" t="str">
        <f>IFERROR(__xludf.DUMMYFUNCTION("""COMPUTED_VALUE"""),"GL1807059")</f>
        <v>GL1807059</v>
      </c>
      <c r="R307" s="16">
        <f>IFERROR(__xludf.DUMMYFUNCTION("""COMPUTED_VALUE"""),43290.0)</f>
        <v>43290</v>
      </c>
      <c r="S307" s="6" t="str">
        <f>IFERROR(__xludf.DUMMYFUNCTION("""COMPUTED_VALUE"""),"-")</f>
        <v>-</v>
      </c>
      <c r="T307" s="13">
        <f>IFERROR(__xludf.DUMMYFUNCTION("""COMPUTED_VALUE"""),43314.0)</f>
        <v>43314</v>
      </c>
    </row>
    <row r="308">
      <c r="A308" s="6" t="str">
        <f>IFERROR(__xludf.DUMMYFUNCTION("""COMPUTED_VALUE"""),"181750234-1")</f>
        <v>181750234-1</v>
      </c>
      <c r="B308" s="6" t="str">
        <f>IFERROR(__xludf.DUMMYFUNCTION("""COMPUTED_VALUE"""),"181750234 - Approved")</f>
        <v>181750234 - Approved</v>
      </c>
      <c r="C308" s="6">
        <f>IFERROR(__xludf.DUMMYFUNCTION("""COMPUTED_VALUE"""),1.0)</f>
        <v>1</v>
      </c>
      <c r="D308" s="6" t="str">
        <f>IFERROR(__xludf.DUMMYFUNCTION("""COMPUTED_VALUE"""),"P-11968-00")</f>
        <v>P-11968-00</v>
      </c>
      <c r="E308" s="6" t="str">
        <f>IFERROR(__xludf.DUMMYFUNCTION("""COMPUTED_VALUE"""),"Berusynt FGH Spray H1 - Bechem")</f>
        <v>Berusynt FGH Spray H1 - Bechem</v>
      </c>
      <c r="F308" s="6">
        <f>IFERROR(__xludf.DUMMYFUNCTION("""COMPUTED_VALUE"""),1.0)</f>
        <v>1</v>
      </c>
      <c r="G308" s="6" t="str">
        <f>IFERROR(__xludf.DUMMYFUNCTION("""COMPUTED_VALUE"""),"Pieces")</f>
        <v>Pieces</v>
      </c>
      <c r="H308" s="6" t="str">
        <f>IFERROR(__xludf.DUMMYFUNCTION("""COMPUTED_VALUE"""),"IDR")</f>
        <v>IDR</v>
      </c>
      <c r="I308" s="11">
        <f>IFERROR(__xludf.DUMMYFUNCTION("""COMPUTED_VALUE"""),481000.0)</f>
        <v>481000</v>
      </c>
      <c r="J308" s="11">
        <f>IFERROR(__xludf.DUMMYFUNCTION("""COMPUTED_VALUE"""),481000.0)</f>
        <v>481000</v>
      </c>
      <c r="K308" s="13">
        <f>IFERROR(__xludf.DUMMYFUNCTION("""COMPUTED_VALUE"""),43308.0)</f>
        <v>43308</v>
      </c>
      <c r="L308" s="6" t="str">
        <f>IFERROR(__xludf.DUMMYFUNCTION("""COMPUTED_VALUE"""),"FIP Engineering")</f>
        <v>FIP Engineering</v>
      </c>
      <c r="M308" s="6" t="str">
        <f>IFERROR(__xludf.DUMMYFUNCTION("""COMPUTED_VALUE"""),"Joko Nugroho")</f>
        <v>Joko Nugroho</v>
      </c>
      <c r="N308" s="6" t="str">
        <f>IFERROR(__xludf.DUMMYFUNCTION("""COMPUTED_VALUE"""),"FIP Engineering")</f>
        <v>FIP Engineering</v>
      </c>
      <c r="O308" s="6" t="str">
        <f>IFERROR(__xludf.DUMMYFUNCTION("""COMPUTED_VALUE"""),"FIP-DOM-000-11304-OS00001-INA-000000")</f>
        <v>FIP-DOM-000-11304-OS00001-INA-000000</v>
      </c>
      <c r="P308" s="6" t="str">
        <f>IFERROR(__xludf.DUMMYFUNCTION("""COMPUTED_VALUE"""),"PO Closed")</f>
        <v>PO Closed</v>
      </c>
      <c r="Q308" s="6" t="str">
        <f>IFERROR(__xludf.DUMMYFUNCTION("""COMPUTED_VALUE"""),"GL1807045")</f>
        <v>GL1807045</v>
      </c>
      <c r="R308" s="16">
        <f>IFERROR(__xludf.DUMMYFUNCTION("""COMPUTED_VALUE"""),43290.0)</f>
        <v>43290</v>
      </c>
      <c r="S308" s="6" t="str">
        <f>IFERROR(__xludf.DUMMYFUNCTION("""COMPUTED_VALUE"""),"-")</f>
        <v>-</v>
      </c>
      <c r="T308" s="13">
        <f>IFERROR(__xludf.DUMMYFUNCTION("""COMPUTED_VALUE"""),43308.0)</f>
        <v>43308</v>
      </c>
    </row>
    <row r="309">
      <c r="A309" s="6" t="str">
        <f>IFERROR(__xludf.DUMMYFUNCTION("""COMPUTED_VALUE"""),"181750234-2")</f>
        <v>181750234-2</v>
      </c>
      <c r="B309" s="6" t="str">
        <f>IFERROR(__xludf.DUMMYFUNCTION("""COMPUTED_VALUE"""),"181750234 - Approved")</f>
        <v>181750234 - Approved</v>
      </c>
      <c r="C309" s="6">
        <f>IFERROR(__xludf.DUMMYFUNCTION("""COMPUTED_VALUE"""),2.0)</f>
        <v>2</v>
      </c>
      <c r="D309" s="6" t="str">
        <f>IFERROR(__xludf.DUMMYFUNCTION("""COMPUTED_VALUE"""),"P-17040-00")</f>
        <v>P-17040-00</v>
      </c>
      <c r="E309" s="6" t="str">
        <f>IFERROR(__xludf.DUMMYFUNCTION("""COMPUTED_VALUE"""),"Brake Fluid Prestone @300ml; ; ;")</f>
        <v>Brake Fluid Prestone @300ml; ; ;</v>
      </c>
      <c r="F309" s="6">
        <f>IFERROR(__xludf.DUMMYFUNCTION("""COMPUTED_VALUE"""),1.0)</f>
        <v>1</v>
      </c>
      <c r="G309" s="6" t="str">
        <f>IFERROR(__xludf.DUMMYFUNCTION("""COMPUTED_VALUE"""),"Pieces")</f>
        <v>Pieces</v>
      </c>
      <c r="H309" s="6" t="str">
        <f>IFERROR(__xludf.DUMMYFUNCTION("""COMPUTED_VALUE"""),"IDR")</f>
        <v>IDR</v>
      </c>
      <c r="I309" s="11">
        <f>IFERROR(__xludf.DUMMYFUNCTION("""COMPUTED_VALUE"""),43000.0)</f>
        <v>43000</v>
      </c>
      <c r="J309" s="11">
        <f>IFERROR(__xludf.DUMMYFUNCTION("""COMPUTED_VALUE"""),43000.0)</f>
        <v>43000</v>
      </c>
      <c r="K309" s="13">
        <f>IFERROR(__xludf.DUMMYFUNCTION("""COMPUTED_VALUE"""),43308.0)</f>
        <v>43308</v>
      </c>
      <c r="L309" s="6" t="str">
        <f>IFERROR(__xludf.DUMMYFUNCTION("""COMPUTED_VALUE"""),"FIP Engineering")</f>
        <v>FIP Engineering</v>
      </c>
      <c r="M309" s="6" t="str">
        <f>IFERROR(__xludf.DUMMYFUNCTION("""COMPUTED_VALUE"""),"Joko Nugroho")</f>
        <v>Joko Nugroho</v>
      </c>
      <c r="N309" s="6" t="str">
        <f>IFERROR(__xludf.DUMMYFUNCTION("""COMPUTED_VALUE"""),"FIP Engineering")</f>
        <v>FIP Engineering</v>
      </c>
      <c r="O309" s="6" t="str">
        <f>IFERROR(__xludf.DUMMYFUNCTION("""COMPUTED_VALUE"""),"FIP-DOM-000-11304-OS00001-INA-000000")</f>
        <v>FIP-DOM-000-11304-OS00001-INA-000000</v>
      </c>
      <c r="P309" s="6" t="str">
        <f>IFERROR(__xludf.DUMMYFUNCTION("""COMPUTED_VALUE"""),"PO Closed")</f>
        <v>PO Closed</v>
      </c>
      <c r="Q309" s="6" t="str">
        <f>IFERROR(__xludf.DUMMYFUNCTION("""COMPUTED_VALUE"""),"GL1807041")</f>
        <v>GL1807041</v>
      </c>
      <c r="R309" s="16">
        <f>IFERROR(__xludf.DUMMYFUNCTION("""COMPUTED_VALUE"""),43290.0)</f>
        <v>43290</v>
      </c>
      <c r="S309" s="6" t="str">
        <f>IFERROR(__xludf.DUMMYFUNCTION("""COMPUTED_VALUE"""),"-")</f>
        <v>-</v>
      </c>
      <c r="T309" s="13">
        <f>IFERROR(__xludf.DUMMYFUNCTION("""COMPUTED_VALUE"""),43307.0)</f>
        <v>43307</v>
      </c>
    </row>
    <row r="310">
      <c r="A310" s="6" t="str">
        <f>IFERROR(__xludf.DUMMYFUNCTION("""COMPUTED_VALUE"""),"181750239-1")</f>
        <v>181750239-1</v>
      </c>
      <c r="B310" s="6" t="str">
        <f>IFERROR(__xludf.DUMMYFUNCTION("""COMPUTED_VALUE"""),"181750239 - Approved")</f>
        <v>181750239 - Approved</v>
      </c>
      <c r="C310" s="6">
        <f>IFERROR(__xludf.DUMMYFUNCTION("""COMPUTED_VALUE"""),1.0)</f>
        <v>1</v>
      </c>
      <c r="D310" s="6" t="str">
        <f>IFERROR(__xludf.DUMMYFUNCTION("""COMPUTED_VALUE"""),"P-51559-00")</f>
        <v>P-51559-00</v>
      </c>
      <c r="E310" s="6" t="str">
        <f>IFERROR(__xludf.DUMMYFUNCTION("""COMPUTED_VALUE"""),"Lampu T5 14watt Putih; Phillips; ;")</f>
        <v>Lampu T5 14watt Putih; Phillips; ;</v>
      </c>
      <c r="F310" s="6">
        <f>IFERROR(__xludf.DUMMYFUNCTION("""COMPUTED_VALUE"""),35.0)</f>
        <v>35</v>
      </c>
      <c r="G310" s="6" t="str">
        <f>IFERROR(__xludf.DUMMYFUNCTION("""COMPUTED_VALUE"""),"Pack")</f>
        <v>Pack</v>
      </c>
      <c r="H310" s="6" t="str">
        <f>IFERROR(__xludf.DUMMYFUNCTION("""COMPUTED_VALUE"""),"IDR")</f>
        <v>IDR</v>
      </c>
      <c r="I310" s="11">
        <f>IFERROR(__xludf.DUMMYFUNCTION("""COMPUTED_VALUE"""),29700.0)</f>
        <v>29700</v>
      </c>
      <c r="J310" s="11">
        <f>IFERROR(__xludf.DUMMYFUNCTION("""COMPUTED_VALUE"""),1039500.0)</f>
        <v>1039500</v>
      </c>
      <c r="K310" s="13">
        <f>IFERROR(__xludf.DUMMYFUNCTION("""COMPUTED_VALUE"""),43312.0)</f>
        <v>43312</v>
      </c>
      <c r="L310" s="6" t="str">
        <f>IFERROR(__xludf.DUMMYFUNCTION("""COMPUTED_VALUE"""),"FIP Engineering")</f>
        <v>FIP Engineering</v>
      </c>
      <c r="M310" s="6" t="str">
        <f>IFERROR(__xludf.DUMMYFUNCTION("""COMPUTED_VALUE"""),"Joko Nugroho")</f>
        <v>Joko Nugroho</v>
      </c>
      <c r="N310" s="6" t="str">
        <f>IFERROR(__xludf.DUMMYFUNCTION("""COMPUTED_VALUE"""),"FIP Engineering")</f>
        <v>FIP Engineering</v>
      </c>
      <c r="O310" s="6" t="str">
        <f>IFERROR(__xludf.DUMMYFUNCTION("""COMPUTED_VALUE"""),"FIP-DOM-000-11304-OS00001-INA-000000")</f>
        <v>FIP-DOM-000-11304-OS00001-INA-000000</v>
      </c>
      <c r="P310" s="6" t="str">
        <f>IFERROR(__xludf.DUMMYFUNCTION("""COMPUTED_VALUE"""),"PO Closed")</f>
        <v>PO Closed</v>
      </c>
      <c r="Q310" s="6" t="str">
        <f>IFERROR(__xludf.DUMMYFUNCTION("""COMPUTED_VALUE"""),"GL1807041")</f>
        <v>GL1807041</v>
      </c>
      <c r="R310" s="16">
        <f>IFERROR(__xludf.DUMMYFUNCTION("""COMPUTED_VALUE"""),43292.0)</f>
        <v>43292</v>
      </c>
      <c r="S310" s="6" t="str">
        <f>IFERROR(__xludf.DUMMYFUNCTION("""COMPUTED_VALUE"""),"-")</f>
        <v>-</v>
      </c>
      <c r="T310" s="13">
        <f>IFERROR(__xludf.DUMMYFUNCTION("""COMPUTED_VALUE"""),43307.0)</f>
        <v>43307</v>
      </c>
    </row>
    <row r="311">
      <c r="A311" s="6" t="str">
        <f>IFERROR(__xludf.DUMMYFUNCTION("""COMPUTED_VALUE"""),"181750239-2")</f>
        <v>181750239-2</v>
      </c>
      <c r="B311" s="6" t="str">
        <f>IFERROR(__xludf.DUMMYFUNCTION("""COMPUTED_VALUE"""),"181750239 - Approved")</f>
        <v>181750239 - Approved</v>
      </c>
      <c r="C311" s="6">
        <f>IFERROR(__xludf.DUMMYFUNCTION("""COMPUTED_VALUE"""),2.0)</f>
        <v>2</v>
      </c>
      <c r="D311" s="6" t="str">
        <f>IFERROR(__xludf.DUMMYFUNCTION("""COMPUTED_VALUE"""),"P-50172-00")</f>
        <v>P-50172-00</v>
      </c>
      <c r="E311" s="6" t="str">
        <f>IFERROR(__xludf.DUMMYFUNCTION("""COMPUTED_VALUE"""),"Carbon Brush")</f>
        <v>Carbon Brush</v>
      </c>
      <c r="F311" s="6">
        <f>IFERROR(__xludf.DUMMYFUNCTION("""COMPUTED_VALUE"""),2.0)</f>
        <v>2</v>
      </c>
      <c r="G311" s="6" t="str">
        <f>IFERROR(__xludf.DUMMYFUNCTION("""COMPUTED_VALUE"""),"Pieces")</f>
        <v>Pieces</v>
      </c>
      <c r="H311" s="6" t="str">
        <f>IFERROR(__xludf.DUMMYFUNCTION("""COMPUTED_VALUE"""),"IDR")</f>
        <v>IDR</v>
      </c>
      <c r="I311" s="11">
        <f>IFERROR(__xludf.DUMMYFUNCTION("""COMPUTED_VALUE"""),65000.0)</f>
        <v>65000</v>
      </c>
      <c r="J311" s="11">
        <f>IFERROR(__xludf.DUMMYFUNCTION("""COMPUTED_VALUE"""),130000.0)</f>
        <v>130000</v>
      </c>
      <c r="K311" s="13">
        <f>IFERROR(__xludf.DUMMYFUNCTION("""COMPUTED_VALUE"""),43312.0)</f>
        <v>43312</v>
      </c>
      <c r="L311" s="6" t="str">
        <f>IFERROR(__xludf.DUMMYFUNCTION("""COMPUTED_VALUE"""),"FIP Engineering")</f>
        <v>FIP Engineering</v>
      </c>
      <c r="M311" s="6" t="str">
        <f>IFERROR(__xludf.DUMMYFUNCTION("""COMPUTED_VALUE"""),"Joko Nugroho")</f>
        <v>Joko Nugroho</v>
      </c>
      <c r="N311" s="6" t="str">
        <f>IFERROR(__xludf.DUMMYFUNCTION("""COMPUTED_VALUE"""),"FIP Engineering")</f>
        <v>FIP Engineering</v>
      </c>
      <c r="O311" s="6" t="str">
        <f>IFERROR(__xludf.DUMMYFUNCTION("""COMPUTED_VALUE"""),"FIP-DOM-000-11304-OS00001-INA-000000")</f>
        <v>FIP-DOM-000-11304-OS00001-INA-000000</v>
      </c>
      <c r="P311" s="6" t="str">
        <f>IFERROR(__xludf.DUMMYFUNCTION("""COMPUTED_VALUE"""),"PO Closed")</f>
        <v>PO Closed</v>
      </c>
      <c r="Q311" s="6" t="str">
        <f>IFERROR(__xludf.DUMMYFUNCTION("""COMPUTED_VALUE"""),"GL1807041")</f>
        <v>GL1807041</v>
      </c>
      <c r="R311" s="16">
        <f>IFERROR(__xludf.DUMMYFUNCTION("""COMPUTED_VALUE"""),43292.0)</f>
        <v>43292</v>
      </c>
      <c r="S311" s="6" t="str">
        <f>IFERROR(__xludf.DUMMYFUNCTION("""COMPUTED_VALUE"""),"-")</f>
        <v>-</v>
      </c>
      <c r="T311" s="13">
        <f>IFERROR(__xludf.DUMMYFUNCTION("""COMPUTED_VALUE"""),43307.0)</f>
        <v>43307</v>
      </c>
    </row>
    <row r="312">
      <c r="A312" s="6" t="str">
        <f>IFERROR(__xludf.DUMMYFUNCTION("""COMPUTED_VALUE"""),"181750238-1")</f>
        <v>181750238-1</v>
      </c>
      <c r="B312" s="6" t="str">
        <f>IFERROR(__xludf.DUMMYFUNCTION("""COMPUTED_VALUE"""),"181750238 - Approved")</f>
        <v>181750238 - Approved</v>
      </c>
      <c r="C312" s="6">
        <f>IFERROR(__xludf.DUMMYFUNCTION("""COMPUTED_VALUE"""),1.0)</f>
        <v>1</v>
      </c>
      <c r="D312" s="6" t="str">
        <f>IFERROR(__xludf.DUMMYFUNCTION("""COMPUTED_VALUE"""),"O-51742-00")</f>
        <v>O-51742-00</v>
      </c>
      <c r="E312" s="6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F312" s="6">
        <f>IFERROR(__xludf.DUMMYFUNCTION("""COMPUTED_VALUE"""),1.0)</f>
        <v>1</v>
      </c>
      <c r="G312" s="6" t="str">
        <f>IFERROR(__xludf.DUMMYFUNCTION("""COMPUTED_VALUE"""),"Unit")</f>
        <v>Unit</v>
      </c>
      <c r="H312" s="6" t="str">
        <f>IFERROR(__xludf.DUMMYFUNCTION("""COMPUTED_VALUE"""),"IDR")</f>
        <v>IDR</v>
      </c>
      <c r="I312" s="11">
        <f>IFERROR(__xludf.DUMMYFUNCTION("""COMPUTED_VALUE"""),5600000.0)</f>
        <v>5600000</v>
      </c>
      <c r="J312" s="11">
        <f>IFERROR(__xludf.DUMMYFUNCTION("""COMPUTED_VALUE"""),5600000.0)</f>
        <v>5600000</v>
      </c>
      <c r="K312" s="13">
        <f>IFERROR(__xludf.DUMMYFUNCTION("""COMPUTED_VALUE"""),43360.0)</f>
        <v>43360</v>
      </c>
      <c r="L312" s="6" t="str">
        <f>IFERROR(__xludf.DUMMYFUNCTION("""COMPUTED_VALUE"""),"FIP Engineering")</f>
        <v>FIP Engineering</v>
      </c>
      <c r="M312" s="6" t="str">
        <f>IFERROR(__xludf.DUMMYFUNCTION("""COMPUTED_VALUE"""),"Joko Nugroho")</f>
        <v>Joko Nugroho</v>
      </c>
      <c r="N312" s="6" t="str">
        <f>IFERROR(__xludf.DUMMYFUNCTION("""COMPUTED_VALUE"""),"FIP Engineering")</f>
        <v>FIP Engineering</v>
      </c>
      <c r="O312" s="6" t="str">
        <f>IFERROR(__xludf.DUMMYFUNCTION("""COMPUTED_VALUE"""),"FIP-DOM-000-11304-OS00001-INA-000000")</f>
        <v>FIP-DOM-000-11304-OS00001-INA-000000</v>
      </c>
      <c r="P312" s="6" t="str">
        <f>IFERROR(__xludf.DUMMYFUNCTION("""COMPUTED_VALUE"""),"PO Closed")</f>
        <v>PO Closed</v>
      </c>
      <c r="Q312" s="6" t="str">
        <f>IFERROR(__xludf.DUMMYFUNCTION("""COMPUTED_VALUE"""),"GL1808020")</f>
        <v>GL1808020</v>
      </c>
      <c r="R312" s="16">
        <f>IFERROR(__xludf.DUMMYFUNCTION("""COMPUTED_VALUE"""),43292.0)</f>
        <v>43292</v>
      </c>
      <c r="S312" s="6" t="str">
        <f>IFERROR(__xludf.DUMMYFUNCTION("""COMPUTED_VALUE"""),"-")</f>
        <v>-</v>
      </c>
      <c r="T312" s="13">
        <f>IFERROR(__xludf.DUMMYFUNCTION("""COMPUTED_VALUE"""),43382.0)</f>
        <v>43382</v>
      </c>
    </row>
    <row r="313">
      <c r="A313" s="6" t="str">
        <f>IFERROR(__xludf.DUMMYFUNCTION("""COMPUTED_VALUE"""),"181750236-1")</f>
        <v>181750236-1</v>
      </c>
      <c r="B313" s="6" t="str">
        <f>IFERROR(__xludf.DUMMYFUNCTION("""COMPUTED_VALUE"""),"181750236 - Approved")</f>
        <v>181750236 - Approved</v>
      </c>
      <c r="C313" s="6">
        <f>IFERROR(__xludf.DUMMYFUNCTION("""COMPUTED_VALUE"""),1.0)</f>
        <v>1</v>
      </c>
      <c r="D313" s="6" t="str">
        <f>IFERROR(__xludf.DUMMYFUNCTION("""COMPUTED_VALUE"""),"S-85000-00")</f>
        <v>S-85000-00</v>
      </c>
      <c r="E313" s="6" t="str">
        <f>IFERROR(__xludf.DUMMYFUNCTION("""COMPUTED_VALUE"""),"Form Engineering Job Order; Bahan : Ncr 2 Ply ( putih + Merah ); Isi : 50 Set / buku ( 100 lbr ); Ukuran :1/2 Folio")</f>
        <v>Form Engineering Job Order; Bahan : Ncr 2 Ply ( putih + Merah ); Isi : 50 Set / buku ( 100 lbr ); Ukuran :1/2 Folio</v>
      </c>
      <c r="F313" s="6">
        <f>IFERROR(__xludf.DUMMYFUNCTION("""COMPUTED_VALUE"""),4.0)</f>
        <v>4</v>
      </c>
      <c r="G313" s="6" t="str">
        <f>IFERROR(__xludf.DUMMYFUNCTION("""COMPUTED_VALUE"""),"Pack")</f>
        <v>Pack</v>
      </c>
      <c r="H313" s="6" t="str">
        <f>IFERROR(__xludf.DUMMYFUNCTION("""COMPUTED_VALUE"""),"IDR")</f>
        <v>IDR</v>
      </c>
      <c r="I313" s="11">
        <f>IFERROR(__xludf.DUMMYFUNCTION("""COMPUTED_VALUE"""),35000.0)</f>
        <v>35000</v>
      </c>
      <c r="J313" s="11">
        <f>IFERROR(__xludf.DUMMYFUNCTION("""COMPUTED_VALUE"""),140000.0)</f>
        <v>140000</v>
      </c>
      <c r="K313" s="13">
        <f>IFERROR(__xludf.DUMMYFUNCTION("""COMPUTED_VALUE"""),43307.0)</f>
        <v>43307</v>
      </c>
      <c r="L313" s="6" t="str">
        <f>IFERROR(__xludf.DUMMYFUNCTION("""COMPUTED_VALUE"""),"FIP General")</f>
        <v>FIP General</v>
      </c>
      <c r="M313" s="6" t="str">
        <f>IFERROR(__xludf.DUMMYFUNCTION("""COMPUTED_VALUE"""),"Joko Nugroho")</f>
        <v>Joko Nugroho</v>
      </c>
      <c r="N313" s="6" t="str">
        <f>IFERROR(__xludf.DUMMYFUNCTION("""COMPUTED_VALUE"""),"FIP Engineering")</f>
        <v>FIP Engineering</v>
      </c>
      <c r="O313" s="6" t="str">
        <f>IFERROR(__xludf.DUMMYFUNCTION("""COMPUTED_VALUE"""),"FIP-DOM-ENG-51402-0000000-INA-000000")</f>
        <v>FIP-DOM-ENG-51402-0000000-INA-000000</v>
      </c>
      <c r="P313" s="6" t="str">
        <f>IFERROR(__xludf.DUMMYFUNCTION("""COMPUTED_VALUE"""),"PO Closed")</f>
        <v>PO Closed</v>
      </c>
      <c r="Q313" s="6" t="str">
        <f>IFERROR(__xludf.DUMMYFUNCTION("""COMPUTED_VALUE"""),"GL1807003")</f>
        <v>GL1807003</v>
      </c>
      <c r="R313" s="16">
        <f>IFERROR(__xludf.DUMMYFUNCTION("""COMPUTED_VALUE"""),43292.0)</f>
        <v>43292</v>
      </c>
      <c r="S313" s="6" t="str">
        <f>IFERROR(__xludf.DUMMYFUNCTION("""COMPUTED_VALUE"""),"-")</f>
        <v>-</v>
      </c>
      <c r="T313" s="13">
        <f>IFERROR(__xludf.DUMMYFUNCTION("""COMPUTED_VALUE"""),43304.0)</f>
        <v>43304</v>
      </c>
    </row>
    <row r="314">
      <c r="A314" s="6" t="str">
        <f>IFERROR(__xludf.DUMMYFUNCTION("""COMPUTED_VALUE"""),"181750236-2")</f>
        <v>181750236-2</v>
      </c>
      <c r="B314" s="6" t="str">
        <f>IFERROR(__xludf.DUMMYFUNCTION("""COMPUTED_VALUE"""),"181750236 - Approved")</f>
        <v>181750236 - Approved</v>
      </c>
      <c r="C314" s="6">
        <f>IFERROR(__xludf.DUMMYFUNCTION("""COMPUTED_VALUE"""),2.0)</f>
        <v>2</v>
      </c>
      <c r="D314" s="6" t="str">
        <f>IFERROR(__xludf.DUMMYFUNCTION("""COMPUTED_VALUE"""),"O-51653-00")</f>
        <v>O-51653-00</v>
      </c>
      <c r="E314" s="6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F314" s="6">
        <f>IFERROR(__xludf.DUMMYFUNCTION("""COMPUTED_VALUE"""),3.0)</f>
        <v>3</v>
      </c>
      <c r="G314" s="6" t="str">
        <f>IFERROR(__xludf.DUMMYFUNCTION("""COMPUTED_VALUE"""),"Pieces")</f>
        <v>Pieces</v>
      </c>
      <c r="H314" s="6" t="str">
        <f>IFERROR(__xludf.DUMMYFUNCTION("""COMPUTED_VALUE"""),"IDR")</f>
        <v>IDR</v>
      </c>
      <c r="I314" s="11">
        <f>IFERROR(__xludf.DUMMYFUNCTION("""COMPUTED_VALUE"""),125000.0)</f>
        <v>125000</v>
      </c>
      <c r="J314" s="11">
        <f>IFERROR(__xludf.DUMMYFUNCTION("""COMPUTED_VALUE"""),375000.0)</f>
        <v>375000</v>
      </c>
      <c r="K314" s="13">
        <f>IFERROR(__xludf.DUMMYFUNCTION("""COMPUTED_VALUE"""),43307.0)</f>
        <v>43307</v>
      </c>
      <c r="L314" s="6" t="str">
        <f>IFERROR(__xludf.DUMMYFUNCTION("""COMPUTED_VALUE"""),"FIP Engineering")</f>
        <v>FIP Engineering</v>
      </c>
      <c r="M314" s="6" t="str">
        <f>IFERROR(__xludf.DUMMYFUNCTION("""COMPUTED_VALUE"""),"Joko Nugroho")</f>
        <v>Joko Nugroho</v>
      </c>
      <c r="N314" s="6" t="str">
        <f>IFERROR(__xludf.DUMMYFUNCTION("""COMPUTED_VALUE"""),"FIP Engineering")</f>
        <v>FIP Engineering</v>
      </c>
      <c r="O314" s="6" t="str">
        <f>IFERROR(__xludf.DUMMYFUNCTION("""COMPUTED_VALUE"""),"FIP-DOM-000-11304-OS00001-INA-000000")</f>
        <v>FIP-DOM-000-11304-OS00001-INA-000000</v>
      </c>
      <c r="P314" s="6" t="str">
        <f>IFERROR(__xludf.DUMMYFUNCTION("""COMPUTED_VALUE"""),"PO Closed")</f>
        <v>PO Closed</v>
      </c>
      <c r="Q314" s="6" t="str">
        <f>IFERROR(__xludf.DUMMYFUNCTION("""COMPUTED_VALUE"""),"GL1807041")</f>
        <v>GL1807041</v>
      </c>
      <c r="R314" s="16">
        <f>IFERROR(__xludf.DUMMYFUNCTION("""COMPUTED_VALUE"""),43292.0)</f>
        <v>43292</v>
      </c>
      <c r="S314" s="6" t="str">
        <f>IFERROR(__xludf.DUMMYFUNCTION("""COMPUTED_VALUE"""),"-")</f>
        <v>-</v>
      </c>
      <c r="T314" s="13">
        <f>IFERROR(__xludf.DUMMYFUNCTION("""COMPUTED_VALUE"""),43307.0)</f>
        <v>43307</v>
      </c>
    </row>
    <row r="315">
      <c r="A315" s="6" t="str">
        <f>IFERROR(__xludf.DUMMYFUNCTION("""COMPUTED_VALUE"""),"181750188-13")</f>
        <v>181750188-13</v>
      </c>
      <c r="B315" s="6" t="str">
        <f>IFERROR(__xludf.DUMMYFUNCTION("""COMPUTED_VALUE"""),"181750188 - Approved")</f>
        <v>181750188 - Approved</v>
      </c>
      <c r="C315" s="6">
        <f>IFERROR(__xludf.DUMMYFUNCTION("""COMPUTED_VALUE"""),13.0)</f>
        <v>13</v>
      </c>
      <c r="D315" s="6" t="str">
        <f>IFERROR(__xludf.DUMMYFUNCTION("""COMPUTED_VALUE"""),"P-51793-00")</f>
        <v>P-51793-00</v>
      </c>
      <c r="E315" s="6" t="str">
        <f>IFERROR(__xludf.DUMMYFUNCTION("""COMPUTED_VALUE"""),"Junction Box 20x30x15 cm; ; ;")</f>
        <v>Junction Box 20x30x15 cm; ; ;</v>
      </c>
      <c r="F315" s="6">
        <f>IFERROR(__xludf.DUMMYFUNCTION("""COMPUTED_VALUE"""),1.0)</f>
        <v>1</v>
      </c>
      <c r="G315" s="6" t="str">
        <f>IFERROR(__xludf.DUMMYFUNCTION("""COMPUTED_VALUE"""),"Pieces")</f>
        <v>Pieces</v>
      </c>
      <c r="H315" s="6" t="str">
        <f>IFERROR(__xludf.DUMMYFUNCTION("""COMPUTED_VALUE"""),"IDR")</f>
        <v>IDR</v>
      </c>
      <c r="I315" s="11">
        <f>IFERROR(__xludf.DUMMYFUNCTION("""COMPUTED_VALUE"""),220000.0)</f>
        <v>220000</v>
      </c>
      <c r="J315" s="11">
        <f>IFERROR(__xludf.DUMMYFUNCTION("""COMPUTED_VALUE"""),220000.0)</f>
        <v>220000</v>
      </c>
      <c r="K315" s="13">
        <f>IFERROR(__xludf.DUMMYFUNCTION("""COMPUTED_VALUE"""),43312.0)</f>
        <v>43312</v>
      </c>
      <c r="L315" s="6" t="str">
        <f>IFERROR(__xludf.DUMMYFUNCTION("""COMPUTED_VALUE"""),"FIP General")</f>
        <v>FIP General</v>
      </c>
      <c r="M315" s="6" t="str">
        <f>IFERROR(__xludf.DUMMYFUNCTION("""COMPUTED_VALUE"""),"Joko Nugroho")</f>
        <v>Joko Nugroho</v>
      </c>
      <c r="N315" s="6" t="str">
        <f>IFERROR(__xludf.DUMMYFUNCTION("""COMPUTED_VALUE"""),"FIP Engineering")</f>
        <v>FIP Engineering</v>
      </c>
      <c r="O315" s="6" t="str">
        <f>IFERROR(__xludf.DUMMYFUNCTION("""COMPUTED_VALUE"""),"FIP-DOM-ENG-51404-0000000-INA-000000")</f>
        <v>FIP-DOM-ENG-51404-0000000-INA-000000</v>
      </c>
      <c r="P315" s="6" t="str">
        <f>IFERROR(__xludf.DUMMYFUNCTION("""COMPUTED_VALUE"""),"PO Closed")</f>
        <v>PO Closed</v>
      </c>
      <c r="Q315" s="6" t="str">
        <f>IFERROR(__xludf.DUMMYFUNCTION("""COMPUTED_VALUE"""),"GL1807041")</f>
        <v>GL1807041</v>
      </c>
      <c r="R315" s="16">
        <f>IFERROR(__xludf.DUMMYFUNCTION("""COMPUTED_VALUE"""),43292.0)</f>
        <v>43292</v>
      </c>
      <c r="S315" s="6" t="str">
        <f>IFERROR(__xludf.DUMMYFUNCTION("""COMPUTED_VALUE"""),"-")</f>
        <v>-</v>
      </c>
      <c r="T315" s="13">
        <f>IFERROR(__xludf.DUMMYFUNCTION("""COMPUTED_VALUE"""),43307.0)</f>
        <v>43307</v>
      </c>
    </row>
    <row r="316">
      <c r="A316" s="6" t="str">
        <f>IFERROR(__xludf.DUMMYFUNCTION("""COMPUTED_VALUE"""),"181750188-13")</f>
        <v>181750188-13</v>
      </c>
      <c r="B316" s="6" t="str">
        <f>IFERROR(__xludf.DUMMYFUNCTION("""COMPUTED_VALUE"""),"181750188 - Approved")</f>
        <v>181750188 - Approved</v>
      </c>
      <c r="C316" s="6">
        <f>IFERROR(__xludf.DUMMYFUNCTION("""COMPUTED_VALUE"""),13.0)</f>
        <v>13</v>
      </c>
      <c r="D316" s="6" t="str">
        <f>IFERROR(__xludf.DUMMYFUNCTION("""COMPUTED_VALUE"""),"P-51780-00")</f>
        <v>P-51780-00</v>
      </c>
      <c r="E316" s="6" t="str">
        <f>IFERROR(__xludf.DUMMYFUNCTION("""COMPUTED_VALUE"""),"Temperature Controller type E5CN; Merk Omron; ;")</f>
        <v>Temperature Controller type E5CN; Merk Omron; ;</v>
      </c>
      <c r="F316" s="6">
        <f>IFERROR(__xludf.DUMMYFUNCTION("""COMPUTED_VALUE"""),1.0)</f>
        <v>1</v>
      </c>
      <c r="G316" s="6" t="str">
        <f>IFERROR(__xludf.DUMMYFUNCTION("""COMPUTED_VALUE"""),"Unit")</f>
        <v>Unit</v>
      </c>
      <c r="H316" s="6" t="str">
        <f>IFERROR(__xludf.DUMMYFUNCTION("""COMPUTED_VALUE"""),"IDR")</f>
        <v>IDR</v>
      </c>
      <c r="I316" s="11">
        <f>IFERROR(__xludf.DUMMYFUNCTION("""COMPUTED_VALUE"""),2450000.0)</f>
        <v>2450000</v>
      </c>
      <c r="J316" s="11">
        <f>IFERROR(__xludf.DUMMYFUNCTION("""COMPUTED_VALUE"""),2450000.0)</f>
        <v>2450000</v>
      </c>
      <c r="K316" s="13">
        <f>IFERROR(__xludf.DUMMYFUNCTION("""COMPUTED_VALUE"""),43312.0)</f>
        <v>43312</v>
      </c>
      <c r="L316" s="6" t="str">
        <f>IFERROR(__xludf.DUMMYFUNCTION("""COMPUTED_VALUE"""),"FIP Engineering")</f>
        <v>FIP Engineering</v>
      </c>
      <c r="M316" s="6" t="str">
        <f>IFERROR(__xludf.DUMMYFUNCTION("""COMPUTED_VALUE"""),"Joko Nugroho")</f>
        <v>Joko Nugroho</v>
      </c>
      <c r="N316" s="6" t="str">
        <f>IFERROR(__xludf.DUMMYFUNCTION("""COMPUTED_VALUE"""),"FIP Engineering")</f>
        <v>FIP Engineering</v>
      </c>
      <c r="O316" s="6" t="str">
        <f>IFERROR(__xludf.DUMMYFUNCTION("""COMPUTED_VALUE"""),"FIP-DOM-000-11304-OS00001-INA-000000")</f>
        <v>FIP-DOM-000-11304-OS00001-INA-000000</v>
      </c>
      <c r="P316" s="6" t="str">
        <f>IFERROR(__xludf.DUMMYFUNCTION("""COMPUTED_VALUE"""),"PO Closed")</f>
        <v>PO Closed</v>
      </c>
      <c r="Q316" s="6" t="str">
        <f>IFERROR(__xludf.DUMMYFUNCTION("""COMPUTED_VALUE"""),"GL1807041")</f>
        <v>GL1807041</v>
      </c>
      <c r="R316" s="16">
        <f>IFERROR(__xludf.DUMMYFUNCTION("""COMPUTED_VALUE"""),43292.0)</f>
        <v>43292</v>
      </c>
      <c r="S316" s="6" t="str">
        <f>IFERROR(__xludf.DUMMYFUNCTION("""COMPUTED_VALUE"""),"-")</f>
        <v>-</v>
      </c>
      <c r="T316" s="13">
        <f>IFERROR(__xludf.DUMMYFUNCTION("""COMPUTED_VALUE"""),43307.0)</f>
        <v>43307</v>
      </c>
    </row>
    <row r="317">
      <c r="A317" s="6" t="str">
        <f>IFERROR(__xludf.DUMMYFUNCTION("""COMPUTED_VALUE"""),"181750243-1")</f>
        <v>181750243-1</v>
      </c>
      <c r="B317" s="6" t="str">
        <f>IFERROR(__xludf.DUMMYFUNCTION("""COMPUTED_VALUE"""),"181750243 - Approved")</f>
        <v>181750243 - Approved</v>
      </c>
      <c r="C317" s="6">
        <f>IFERROR(__xludf.DUMMYFUNCTION("""COMPUTED_VALUE"""),1.0)</f>
        <v>1</v>
      </c>
      <c r="D317" s="6" t="str">
        <f>IFERROR(__xludf.DUMMYFUNCTION("""COMPUTED_VALUE"""),"O-16148-00")</f>
        <v>O-16148-00</v>
      </c>
      <c r="E317" s="6" t="str">
        <f>IFERROR(__xludf.DUMMYFUNCTION("""COMPUTED_VALUE"""),"O-Ring Silicone Red Uk.10.05 x 7.5 x 2.55; ; ;")</f>
        <v>O-Ring Silicone Red Uk.10.05 x 7.5 x 2.55; ; ;</v>
      </c>
      <c r="F317" s="6">
        <f>IFERROR(__xludf.DUMMYFUNCTION("""COMPUTED_VALUE"""),10.0)</f>
        <v>10</v>
      </c>
      <c r="G317" s="6" t="str">
        <f>IFERROR(__xludf.DUMMYFUNCTION("""COMPUTED_VALUE"""),"Pieces")</f>
        <v>Pieces</v>
      </c>
      <c r="H317" s="6" t="str">
        <f>IFERROR(__xludf.DUMMYFUNCTION("""COMPUTED_VALUE"""),"IDR")</f>
        <v>IDR</v>
      </c>
      <c r="I317" s="11">
        <f>IFERROR(__xludf.DUMMYFUNCTION("""COMPUTED_VALUE"""),35000.0)</f>
        <v>35000</v>
      </c>
      <c r="J317" s="11">
        <f>IFERROR(__xludf.DUMMYFUNCTION("""COMPUTED_VALUE"""),350000.0)</f>
        <v>350000</v>
      </c>
      <c r="K317" s="13">
        <f>IFERROR(__xludf.DUMMYFUNCTION("""COMPUTED_VALUE"""),43312.0)</f>
        <v>43312</v>
      </c>
      <c r="L317" s="6" t="str">
        <f>IFERROR(__xludf.DUMMYFUNCTION("""COMPUTED_VALUE"""),"FIP Engineering")</f>
        <v>FIP Engineering</v>
      </c>
      <c r="M317" s="6" t="str">
        <f>IFERROR(__xludf.DUMMYFUNCTION("""COMPUTED_VALUE"""),"Joko Nugroho")</f>
        <v>Joko Nugroho</v>
      </c>
      <c r="N317" s="6" t="str">
        <f>IFERROR(__xludf.DUMMYFUNCTION("""COMPUTED_VALUE"""),"FIP Engineering")</f>
        <v>FIP Engineering</v>
      </c>
      <c r="O317" s="6" t="str">
        <f>IFERROR(__xludf.DUMMYFUNCTION("""COMPUTED_VALUE"""),"FIP-DOM-000-11304-OS00001-INA-000000")</f>
        <v>FIP-DOM-000-11304-OS00001-INA-000000</v>
      </c>
      <c r="P317" s="6" t="str">
        <f>IFERROR(__xludf.DUMMYFUNCTION("""COMPUTED_VALUE"""),"PO Closed")</f>
        <v>PO Closed</v>
      </c>
      <c r="Q317" s="6" t="str">
        <f>IFERROR(__xludf.DUMMYFUNCTION("""COMPUTED_VALUE"""),"GL1807043")</f>
        <v>GL1807043</v>
      </c>
      <c r="R317" s="16">
        <f>IFERROR(__xludf.DUMMYFUNCTION("""COMPUTED_VALUE"""),43297.0)</f>
        <v>43297</v>
      </c>
      <c r="S317" s="6" t="str">
        <f>IFERROR(__xludf.DUMMYFUNCTION("""COMPUTED_VALUE"""),"-")</f>
        <v>-</v>
      </c>
      <c r="T317" s="13">
        <f>IFERROR(__xludf.DUMMYFUNCTION("""COMPUTED_VALUE"""),43320.0)</f>
        <v>43320</v>
      </c>
    </row>
    <row r="318">
      <c r="A318" s="6" t="str">
        <f>IFERROR(__xludf.DUMMYFUNCTION("""COMPUTED_VALUE"""),"181750235-6")</f>
        <v>181750235-6</v>
      </c>
      <c r="B318" s="6" t="str">
        <f>IFERROR(__xludf.DUMMYFUNCTION("""COMPUTED_VALUE"""),"181750235 - Approved")</f>
        <v>181750235 - Approved</v>
      </c>
      <c r="C318" s="6">
        <f>IFERROR(__xludf.DUMMYFUNCTION("""COMPUTED_VALUE"""),6.0)</f>
        <v>6</v>
      </c>
      <c r="D318" s="6" t="str">
        <f>IFERROR(__xludf.DUMMYFUNCTION("""COMPUTED_VALUE"""),"P-10342-00")</f>
        <v>P-10342-00</v>
      </c>
      <c r="E318" s="6" t="str">
        <f>IFERROR(__xludf.DUMMYFUNCTION("""COMPUTED_VALUE"""),"Alat potong - mata gergaji")</f>
        <v>Alat potong - mata gergaji</v>
      </c>
      <c r="F318" s="6">
        <f>IFERROR(__xludf.DUMMYFUNCTION("""COMPUTED_VALUE"""),2.0)</f>
        <v>2</v>
      </c>
      <c r="G318" s="6" t="str">
        <f>IFERROR(__xludf.DUMMYFUNCTION("""COMPUTED_VALUE"""),"Pieces")</f>
        <v>Pieces</v>
      </c>
      <c r="H318" s="6" t="str">
        <f>IFERROR(__xludf.DUMMYFUNCTION("""COMPUTED_VALUE"""),"IDR")</f>
        <v>IDR</v>
      </c>
      <c r="I318" s="11">
        <f>IFERROR(__xludf.DUMMYFUNCTION("""COMPUTED_VALUE"""),20000.0)</f>
        <v>20000</v>
      </c>
      <c r="J318" s="11">
        <f>IFERROR(__xludf.DUMMYFUNCTION("""COMPUTED_VALUE"""),40000.0)</f>
        <v>40000</v>
      </c>
      <c r="K318" s="13">
        <f>IFERROR(__xludf.DUMMYFUNCTION("""COMPUTED_VALUE"""),43312.0)</f>
        <v>43312</v>
      </c>
      <c r="L318" s="6" t="str">
        <f>IFERROR(__xludf.DUMMYFUNCTION("""COMPUTED_VALUE"""),"FIP General")</f>
        <v>FIP General</v>
      </c>
      <c r="M318" s="6" t="str">
        <f>IFERROR(__xludf.DUMMYFUNCTION("""COMPUTED_VALUE"""),"Joko Nugroho")</f>
        <v>Joko Nugroho</v>
      </c>
      <c r="N318" s="6" t="str">
        <f>IFERROR(__xludf.DUMMYFUNCTION("""COMPUTED_VALUE"""),"FIP Engineering")</f>
        <v>FIP Engineering</v>
      </c>
      <c r="O318" s="6" t="str">
        <f>IFERROR(__xludf.DUMMYFUNCTION("""COMPUTED_VALUE"""),"FIP-DOM-ENG-51404-0000000-INA-000000")</f>
        <v>FIP-DOM-ENG-51404-0000000-INA-000000</v>
      </c>
      <c r="P318" s="6" t="str">
        <f>IFERROR(__xludf.DUMMYFUNCTION("""COMPUTED_VALUE"""),"PO Closed")</f>
        <v>PO Closed</v>
      </c>
      <c r="Q318" s="6" t="str">
        <f>IFERROR(__xludf.DUMMYFUNCTION("""COMPUTED_VALUE"""),"GL1807059")</f>
        <v>GL1807059</v>
      </c>
      <c r="R318" s="16">
        <f>IFERROR(__xludf.DUMMYFUNCTION("""COMPUTED_VALUE"""),43297.0)</f>
        <v>43297</v>
      </c>
      <c r="S318" s="6" t="str">
        <f>IFERROR(__xludf.DUMMYFUNCTION("""COMPUTED_VALUE"""),"-")</f>
        <v>-</v>
      </c>
      <c r="T318" s="13">
        <f>IFERROR(__xludf.DUMMYFUNCTION("""COMPUTED_VALUE"""),43314.0)</f>
        <v>43314</v>
      </c>
    </row>
    <row r="319">
      <c r="A319" s="6" t="str">
        <f>IFERROR(__xludf.DUMMYFUNCTION("""COMPUTED_VALUE"""),"181750235-6")</f>
        <v>181750235-6</v>
      </c>
      <c r="B319" s="6" t="str">
        <f>IFERROR(__xludf.DUMMYFUNCTION("""COMPUTED_VALUE"""),"181750235 - Approved")</f>
        <v>181750235 - Approved</v>
      </c>
      <c r="C319" s="6">
        <f>IFERROR(__xludf.DUMMYFUNCTION("""COMPUTED_VALUE"""),6.0)</f>
        <v>6</v>
      </c>
      <c r="D319" s="6" t="str">
        <f>IFERROR(__xludf.DUMMYFUNCTION("""COMPUTED_VALUE"""),"P-11694-00")</f>
        <v>P-11694-00</v>
      </c>
      <c r="E319" s="6" t="str">
        <f>IFERROR(__xludf.DUMMYFUNCTION("""COMPUTED_VALUE"""),"Mata Gerinda 4""")</f>
        <v>Mata Gerinda 4"</v>
      </c>
      <c r="F319" s="6">
        <f>IFERROR(__xludf.DUMMYFUNCTION("""COMPUTED_VALUE"""),15.0)</f>
        <v>15</v>
      </c>
      <c r="G319" s="6" t="str">
        <f>IFERROR(__xludf.DUMMYFUNCTION("""COMPUTED_VALUE"""),"Pieces")</f>
        <v>Pieces</v>
      </c>
      <c r="H319" s="6" t="str">
        <f>IFERROR(__xludf.DUMMYFUNCTION("""COMPUTED_VALUE"""),"IDR")</f>
        <v>IDR</v>
      </c>
      <c r="I319" s="11">
        <f>IFERROR(__xludf.DUMMYFUNCTION("""COMPUTED_VALUE"""),5000.0)</f>
        <v>5000</v>
      </c>
      <c r="J319" s="11">
        <f>IFERROR(__xludf.DUMMYFUNCTION("""COMPUTED_VALUE"""),75000.0)</f>
        <v>75000</v>
      </c>
      <c r="K319" s="13">
        <f>IFERROR(__xludf.DUMMYFUNCTION("""COMPUTED_VALUE"""),43312.0)</f>
        <v>43312</v>
      </c>
      <c r="L319" s="6" t="str">
        <f>IFERROR(__xludf.DUMMYFUNCTION("""COMPUTED_VALUE"""),"FIP General")</f>
        <v>FIP General</v>
      </c>
      <c r="M319" s="6" t="str">
        <f>IFERROR(__xludf.DUMMYFUNCTION("""COMPUTED_VALUE"""),"Joko Nugroho")</f>
        <v>Joko Nugroho</v>
      </c>
      <c r="N319" s="6" t="str">
        <f>IFERROR(__xludf.DUMMYFUNCTION("""COMPUTED_VALUE"""),"FIP Engineering")</f>
        <v>FIP Engineering</v>
      </c>
      <c r="O319" s="6" t="str">
        <f>IFERROR(__xludf.DUMMYFUNCTION("""COMPUTED_VALUE"""),"FIP-DOM-ENG-51404-0000000-INA-000000")</f>
        <v>FIP-DOM-ENG-51404-0000000-INA-000000</v>
      </c>
      <c r="P319" s="6" t="str">
        <f>IFERROR(__xludf.DUMMYFUNCTION("""COMPUTED_VALUE"""),"PO Closed")</f>
        <v>PO Closed</v>
      </c>
      <c r="Q319" s="6" t="str">
        <f>IFERROR(__xludf.DUMMYFUNCTION("""COMPUTED_VALUE"""),"GL1807059")</f>
        <v>GL1807059</v>
      </c>
      <c r="R319" s="16">
        <f>IFERROR(__xludf.DUMMYFUNCTION("""COMPUTED_VALUE"""),43297.0)</f>
        <v>43297</v>
      </c>
      <c r="S319" s="6" t="str">
        <f>IFERROR(__xludf.DUMMYFUNCTION("""COMPUTED_VALUE"""),"-")</f>
        <v>-</v>
      </c>
      <c r="T319" s="13">
        <f>IFERROR(__xludf.DUMMYFUNCTION("""COMPUTED_VALUE"""),43314.0)</f>
        <v>43314</v>
      </c>
    </row>
    <row r="320">
      <c r="A320" s="6" t="str">
        <f>IFERROR(__xludf.DUMMYFUNCTION("""COMPUTED_VALUE"""),"181750233-7")</f>
        <v>181750233-7</v>
      </c>
      <c r="B320" s="6" t="str">
        <f>IFERROR(__xludf.DUMMYFUNCTION("""COMPUTED_VALUE"""),"181750233 - Approved")</f>
        <v>181750233 - Approved</v>
      </c>
      <c r="C320" s="6">
        <f>IFERROR(__xludf.DUMMYFUNCTION("""COMPUTED_VALUE"""),7.0)</f>
        <v>7</v>
      </c>
      <c r="D320" s="6" t="str">
        <f>IFERROR(__xludf.DUMMYFUNCTION("""COMPUTED_VALUE"""),"P-11974-00")</f>
        <v>P-11974-00</v>
      </c>
      <c r="E320" s="6" t="str">
        <f>IFERROR(__xludf.DUMMYFUNCTION("""COMPUTED_VALUE"""),"Besi siku SS 304 40x40x3x6000")</f>
        <v>Besi siku SS 304 40x40x3x6000</v>
      </c>
      <c r="F320" s="6">
        <f>IFERROR(__xludf.DUMMYFUNCTION("""COMPUTED_VALUE"""),4.0)</f>
        <v>4</v>
      </c>
      <c r="G320" s="6" t="str">
        <f>IFERROR(__xludf.DUMMYFUNCTION("""COMPUTED_VALUE"""),"Pieces")</f>
        <v>Pieces</v>
      </c>
      <c r="H320" s="6" t="str">
        <f>IFERROR(__xludf.DUMMYFUNCTION("""COMPUTED_VALUE"""),"IDR")</f>
        <v>IDR</v>
      </c>
      <c r="I320" s="11">
        <f>IFERROR(__xludf.DUMMYFUNCTION("""COMPUTED_VALUE"""),650000.0)</f>
        <v>650000</v>
      </c>
      <c r="J320" s="11">
        <f>IFERROR(__xludf.DUMMYFUNCTION("""COMPUTED_VALUE"""),2600000.0)</f>
        <v>2600000</v>
      </c>
      <c r="K320" s="13">
        <f>IFERROR(__xludf.DUMMYFUNCTION("""COMPUTED_VALUE"""),43318.0)</f>
        <v>43318</v>
      </c>
      <c r="L320" s="6" t="str">
        <f>IFERROR(__xludf.DUMMYFUNCTION("""COMPUTED_VALUE"""),"FIP General")</f>
        <v>FIP General</v>
      </c>
      <c r="M320" s="6" t="str">
        <f>IFERROR(__xludf.DUMMYFUNCTION("""COMPUTED_VALUE"""),"Joko Nugroho")</f>
        <v>Joko Nugroho</v>
      </c>
      <c r="N320" s="6" t="str">
        <f>IFERROR(__xludf.DUMMYFUNCTION("""COMPUTED_VALUE"""),"FIP Engineering")</f>
        <v>FIP Engineering</v>
      </c>
      <c r="O320" s="6" t="str">
        <f>IFERROR(__xludf.DUMMYFUNCTION("""COMPUTED_VALUE"""),"FIP-DOM-ENG-51404-0000000-INA-000000")</f>
        <v>FIP-DOM-ENG-51404-0000000-INA-000000</v>
      </c>
      <c r="P320" s="6" t="str">
        <f>IFERROR(__xludf.DUMMYFUNCTION("""COMPUTED_VALUE"""),"PO Closed")</f>
        <v>PO Closed</v>
      </c>
      <c r="Q320" s="6" t="str">
        <f>IFERROR(__xludf.DUMMYFUNCTION("""COMPUTED_VALUE"""),"GL1810050")</f>
        <v>GL1810050</v>
      </c>
      <c r="R320" s="16">
        <f>IFERROR(__xludf.DUMMYFUNCTION("""COMPUTED_VALUE"""),43297.0)</f>
        <v>43297</v>
      </c>
      <c r="S320" s="6" t="str">
        <f>IFERROR(__xludf.DUMMYFUNCTION("""COMPUTED_VALUE"""),"-")</f>
        <v>-</v>
      </c>
      <c r="T320" s="13">
        <f>IFERROR(__xludf.DUMMYFUNCTION("""COMPUTED_VALUE"""),43404.0)</f>
        <v>43404</v>
      </c>
    </row>
    <row r="321">
      <c r="A321" s="6" t="str">
        <f>IFERROR(__xludf.DUMMYFUNCTION("""COMPUTED_VALUE"""),"181750233-7")</f>
        <v>181750233-7</v>
      </c>
      <c r="B321" s="6" t="str">
        <f>IFERROR(__xludf.DUMMYFUNCTION("""COMPUTED_VALUE"""),"181750233 - Approved")</f>
        <v>181750233 - Approved</v>
      </c>
      <c r="C321" s="6">
        <f>IFERROR(__xludf.DUMMYFUNCTION("""COMPUTED_VALUE"""),7.0)</f>
        <v>7</v>
      </c>
      <c r="D321" s="6" t="str">
        <f>IFERROR(__xludf.DUMMYFUNCTION("""COMPUTED_VALUE"""),"P-17044-00")</f>
        <v>P-17044-00</v>
      </c>
      <c r="E321" s="6" t="str">
        <f>IFERROR(__xludf.DUMMYFUNCTION("""COMPUTED_VALUE"""),"Rubber Leveling Feet M10; ; ;")</f>
        <v>Rubber Leveling Feet M10; ; ;</v>
      </c>
      <c r="F321" s="6">
        <f>IFERROR(__xludf.DUMMYFUNCTION("""COMPUTED_VALUE"""),4.0)</f>
        <v>4</v>
      </c>
      <c r="G321" s="6" t="str">
        <f>IFERROR(__xludf.DUMMYFUNCTION("""COMPUTED_VALUE"""),"Pieces")</f>
        <v>Pieces</v>
      </c>
      <c r="H321" s="6" t="str">
        <f>IFERROR(__xludf.DUMMYFUNCTION("""COMPUTED_VALUE"""),"IDR")</f>
        <v>IDR</v>
      </c>
      <c r="I321" s="11">
        <f>IFERROR(__xludf.DUMMYFUNCTION("""COMPUTED_VALUE"""),155000.0)</f>
        <v>155000</v>
      </c>
      <c r="J321" s="11">
        <f>IFERROR(__xludf.DUMMYFUNCTION("""COMPUTED_VALUE"""),620000.0)</f>
        <v>620000</v>
      </c>
      <c r="K321" s="13">
        <f>IFERROR(__xludf.DUMMYFUNCTION("""COMPUTED_VALUE"""),43318.0)</f>
        <v>43318</v>
      </c>
      <c r="L321" s="6" t="str">
        <f>IFERROR(__xludf.DUMMYFUNCTION("""COMPUTED_VALUE"""),"FIP General")</f>
        <v>FIP General</v>
      </c>
      <c r="M321" s="6" t="str">
        <f>IFERROR(__xludf.DUMMYFUNCTION("""COMPUTED_VALUE"""),"Joko Nugroho")</f>
        <v>Joko Nugroho</v>
      </c>
      <c r="N321" s="6" t="str">
        <f>IFERROR(__xludf.DUMMYFUNCTION("""COMPUTED_VALUE"""),"FIP Engineering")</f>
        <v>FIP Engineering</v>
      </c>
      <c r="O321" s="6" t="str">
        <f>IFERROR(__xludf.DUMMYFUNCTION("""COMPUTED_VALUE"""),"FIP-DOM-ENG-51404-0000000-INA-000000")</f>
        <v>FIP-DOM-ENG-51404-0000000-INA-000000</v>
      </c>
      <c r="P321" s="6" t="str">
        <f>IFERROR(__xludf.DUMMYFUNCTION("""COMPUTED_VALUE"""),"PO Closed")</f>
        <v>PO Closed</v>
      </c>
      <c r="Q321" s="6" t="str">
        <f>IFERROR(__xludf.DUMMYFUNCTION("""COMPUTED_VALUE"""),"GL1809007")</f>
        <v>GL1809007</v>
      </c>
      <c r="R321" s="16">
        <f>IFERROR(__xludf.DUMMYFUNCTION("""COMPUTED_VALUE"""),43297.0)</f>
        <v>43297</v>
      </c>
      <c r="S321" s="6" t="str">
        <f>IFERROR(__xludf.DUMMYFUNCTION("""COMPUTED_VALUE"""),"-")</f>
        <v>-</v>
      </c>
      <c r="T321" s="13">
        <f>IFERROR(__xludf.DUMMYFUNCTION("""COMPUTED_VALUE"""),43370.0)</f>
        <v>43370</v>
      </c>
    </row>
    <row r="322">
      <c r="A322" s="6" t="str">
        <f>IFERROR(__xludf.DUMMYFUNCTION("""COMPUTED_VALUE"""),"181750233-7")</f>
        <v>181750233-7</v>
      </c>
      <c r="B322" s="6" t="str">
        <f>IFERROR(__xludf.DUMMYFUNCTION("""COMPUTED_VALUE"""),"181750233 - Approved")</f>
        <v>181750233 - Approved</v>
      </c>
      <c r="C322" s="6">
        <f>IFERROR(__xludf.DUMMYFUNCTION("""COMPUTED_VALUE"""),7.0)</f>
        <v>7</v>
      </c>
      <c r="D322" s="6" t="str">
        <f>IFERROR(__xludf.DUMMYFUNCTION("""COMPUTED_VALUE"""),"Q-10192-00")</f>
        <v>Q-10192-00</v>
      </c>
      <c r="E322" s="6" t="str">
        <f>IFERROR(__xludf.DUMMYFUNCTION("""COMPUTED_VALUE"""),"Dynabolt 8 X 40; ; ;")</f>
        <v>Dynabolt 8 X 40; ; ;</v>
      </c>
      <c r="F322" s="6">
        <f>IFERROR(__xludf.DUMMYFUNCTION("""COMPUTED_VALUE"""),10.0)</f>
        <v>10</v>
      </c>
      <c r="G322" s="6" t="str">
        <f>IFERROR(__xludf.DUMMYFUNCTION("""COMPUTED_VALUE"""),"Pieces")</f>
        <v>Pieces</v>
      </c>
      <c r="H322" s="6" t="str">
        <f>IFERROR(__xludf.DUMMYFUNCTION("""COMPUTED_VALUE"""),"IDR")</f>
        <v>IDR</v>
      </c>
      <c r="I322" s="11">
        <f>IFERROR(__xludf.DUMMYFUNCTION("""COMPUTED_VALUE"""),16500.0)</f>
        <v>16500</v>
      </c>
      <c r="J322" s="11">
        <f>IFERROR(__xludf.DUMMYFUNCTION("""COMPUTED_VALUE"""),165000.0)</f>
        <v>165000</v>
      </c>
      <c r="K322" s="13">
        <f>IFERROR(__xludf.DUMMYFUNCTION("""COMPUTED_VALUE"""),43318.0)</f>
        <v>43318</v>
      </c>
      <c r="L322" s="6" t="str">
        <f>IFERROR(__xludf.DUMMYFUNCTION("""COMPUTED_VALUE"""),"FIP General")</f>
        <v>FIP General</v>
      </c>
      <c r="M322" s="6" t="str">
        <f>IFERROR(__xludf.DUMMYFUNCTION("""COMPUTED_VALUE"""),"Joko Nugroho")</f>
        <v>Joko Nugroho</v>
      </c>
      <c r="N322" s="6" t="str">
        <f>IFERROR(__xludf.DUMMYFUNCTION("""COMPUTED_VALUE"""),"FIP Engineering")</f>
        <v>FIP Engineering</v>
      </c>
      <c r="O322" s="6" t="str">
        <f>IFERROR(__xludf.DUMMYFUNCTION("""COMPUTED_VALUE"""),"FIP-DOM-ENG-51404-0000000-INA-000000")</f>
        <v>FIP-DOM-ENG-51404-0000000-INA-000000</v>
      </c>
      <c r="P322" s="6" t="str">
        <f>IFERROR(__xludf.DUMMYFUNCTION("""COMPUTED_VALUE"""),"PO Closed")</f>
        <v>PO Closed</v>
      </c>
      <c r="Q322" s="6" t="str">
        <f>IFERROR(__xludf.DUMMYFUNCTION("""COMPUTED_VALUE"""),"GL1809007")</f>
        <v>GL1809007</v>
      </c>
      <c r="R322" s="16">
        <f>IFERROR(__xludf.DUMMYFUNCTION("""COMPUTED_VALUE"""),43297.0)</f>
        <v>43297</v>
      </c>
      <c r="S322" s="6" t="str">
        <f>IFERROR(__xludf.DUMMYFUNCTION("""COMPUTED_VALUE"""),"-")</f>
        <v>-</v>
      </c>
      <c r="T322" s="17">
        <f>IFERROR(__xludf.DUMMYFUNCTION("""COMPUTED_VALUE"""),43370.0)</f>
        <v>43370</v>
      </c>
    </row>
    <row r="323">
      <c r="A323" s="6" t="str">
        <f>IFERROR(__xludf.DUMMYFUNCTION("""COMPUTED_VALUE"""),"181750232-15")</f>
        <v>181750232-15</v>
      </c>
      <c r="B323" s="6" t="str">
        <f>IFERROR(__xludf.DUMMYFUNCTION("""COMPUTED_VALUE"""),"181750232 - Approved")</f>
        <v>181750232 - Approved</v>
      </c>
      <c r="C323" s="6">
        <f>IFERROR(__xludf.DUMMYFUNCTION("""COMPUTED_VALUE"""),15.0)</f>
        <v>15</v>
      </c>
      <c r="D323" s="6" t="str">
        <f>IFERROR(__xludf.DUMMYFUNCTION("""COMPUTED_VALUE"""),"P-17049-00")</f>
        <v>P-17049-00</v>
      </c>
      <c r="E323" s="6" t="str">
        <f>IFERROR(__xludf.DUMMYFUNCTION("""COMPUTED_VALUE"""),"Kikir Besi 8""; ; ;")</f>
        <v>Kikir Besi 8"; ; ;</v>
      </c>
      <c r="F323" s="6">
        <f>IFERROR(__xludf.DUMMYFUNCTION("""COMPUTED_VALUE"""),1.0)</f>
        <v>1</v>
      </c>
      <c r="G323" s="6" t="str">
        <f>IFERROR(__xludf.DUMMYFUNCTION("""COMPUTED_VALUE"""),"Pieces")</f>
        <v>Pieces</v>
      </c>
      <c r="H323" s="6" t="str">
        <f>IFERROR(__xludf.DUMMYFUNCTION("""COMPUTED_VALUE"""),"IDR")</f>
        <v>IDR</v>
      </c>
      <c r="I323" s="11">
        <f>IFERROR(__xludf.DUMMYFUNCTION("""COMPUTED_VALUE"""),300000.0)</f>
        <v>300000</v>
      </c>
      <c r="J323" s="11">
        <f>IFERROR(__xludf.DUMMYFUNCTION("""COMPUTED_VALUE"""),300000.0)</f>
        <v>300000</v>
      </c>
      <c r="K323" s="13">
        <f>IFERROR(__xludf.DUMMYFUNCTION("""COMPUTED_VALUE"""),43315.0)</f>
        <v>43315</v>
      </c>
      <c r="L323" s="6" t="str">
        <f>IFERROR(__xludf.DUMMYFUNCTION("""COMPUTED_VALUE"""),"FIP General")</f>
        <v>FIP General</v>
      </c>
      <c r="M323" s="6" t="str">
        <f>IFERROR(__xludf.DUMMYFUNCTION("""COMPUTED_VALUE"""),"Joko Nugroho")</f>
        <v>Joko Nugroho</v>
      </c>
      <c r="N323" s="6" t="str">
        <f>IFERROR(__xludf.DUMMYFUNCTION("""COMPUTED_VALUE"""),"FIP Engineering")</f>
        <v>FIP Engineering</v>
      </c>
      <c r="O323" s="6" t="str">
        <f>IFERROR(__xludf.DUMMYFUNCTION("""COMPUTED_VALUE"""),"FIP-DOM-ENG-51404-0000000-INA-000000")</f>
        <v>FIP-DOM-ENG-51404-0000000-INA-000000</v>
      </c>
      <c r="P323" s="6" t="str">
        <f>IFERROR(__xludf.DUMMYFUNCTION("""COMPUTED_VALUE"""),"PO Closed")</f>
        <v>PO Closed</v>
      </c>
      <c r="Q323" s="6" t="str">
        <f>IFERROR(__xludf.DUMMYFUNCTION("""COMPUTED_VALUE"""),"GL1807060")</f>
        <v>GL1807060</v>
      </c>
      <c r="R323" s="16">
        <f>IFERROR(__xludf.DUMMYFUNCTION("""COMPUTED_VALUE"""),43297.0)</f>
        <v>43297</v>
      </c>
      <c r="S323" s="6" t="str">
        <f>IFERROR(__xludf.DUMMYFUNCTION("""COMPUTED_VALUE"""),"-")</f>
        <v>-</v>
      </c>
      <c r="T323" s="17">
        <f>IFERROR(__xludf.DUMMYFUNCTION("""COMPUTED_VALUE"""),43321.0)</f>
        <v>43321</v>
      </c>
    </row>
    <row r="324">
      <c r="A324" s="6" t="str">
        <f>IFERROR(__xludf.DUMMYFUNCTION("""COMPUTED_VALUE"""),"181750232-15")</f>
        <v>181750232-15</v>
      </c>
      <c r="B324" s="6" t="str">
        <f>IFERROR(__xludf.DUMMYFUNCTION("""COMPUTED_VALUE"""),"181750232 - Approved")</f>
        <v>181750232 - Approved</v>
      </c>
      <c r="C324" s="6">
        <f>IFERROR(__xludf.DUMMYFUNCTION("""COMPUTED_VALUE"""),15.0)</f>
        <v>15</v>
      </c>
      <c r="D324" s="6" t="str">
        <f>IFERROR(__xludf.DUMMYFUNCTION("""COMPUTED_VALUE"""),"P-17001-00")</f>
        <v>P-17001-00</v>
      </c>
      <c r="E324" s="6" t="str">
        <f>IFERROR(__xludf.DUMMYFUNCTION("""COMPUTED_VALUE"""),"Hexabolt M8; ; ;")</f>
        <v>Hexabolt M8; ; ;</v>
      </c>
      <c r="F324" s="6">
        <f>IFERROR(__xludf.DUMMYFUNCTION("""COMPUTED_VALUE"""),1.0)</f>
        <v>1</v>
      </c>
      <c r="G324" s="6" t="str">
        <f>IFERROR(__xludf.DUMMYFUNCTION("""COMPUTED_VALUE"""),"Pieces")</f>
        <v>Pieces</v>
      </c>
      <c r="H324" s="6" t="str">
        <f>IFERROR(__xludf.DUMMYFUNCTION("""COMPUTED_VALUE"""),"IDR")</f>
        <v>IDR</v>
      </c>
      <c r="I324" s="11">
        <f>IFERROR(__xludf.DUMMYFUNCTION("""COMPUTED_VALUE"""),355000.0)</f>
        <v>355000</v>
      </c>
      <c r="J324" s="11">
        <f>IFERROR(__xludf.DUMMYFUNCTION("""COMPUTED_VALUE"""),355000.0)</f>
        <v>355000</v>
      </c>
      <c r="K324" s="13">
        <f>IFERROR(__xludf.DUMMYFUNCTION("""COMPUTED_VALUE"""),43315.0)</f>
        <v>43315</v>
      </c>
      <c r="L324" s="6" t="str">
        <f>IFERROR(__xludf.DUMMYFUNCTION("""COMPUTED_VALUE"""),"FIP General")</f>
        <v>FIP General</v>
      </c>
      <c r="M324" s="6" t="str">
        <f>IFERROR(__xludf.DUMMYFUNCTION("""COMPUTED_VALUE"""),"Joko Nugroho")</f>
        <v>Joko Nugroho</v>
      </c>
      <c r="N324" s="6" t="str">
        <f>IFERROR(__xludf.DUMMYFUNCTION("""COMPUTED_VALUE"""),"FIP Engineering")</f>
        <v>FIP Engineering</v>
      </c>
      <c r="O324" s="6" t="str">
        <f>IFERROR(__xludf.DUMMYFUNCTION("""COMPUTED_VALUE"""),"FIP-DOM-ENG-51404-0000000-INA-000000")</f>
        <v>FIP-DOM-ENG-51404-0000000-INA-000000</v>
      </c>
      <c r="P324" s="6" t="str">
        <f>IFERROR(__xludf.DUMMYFUNCTION("""COMPUTED_VALUE"""),"PO Closed")</f>
        <v>PO Closed</v>
      </c>
      <c r="Q324" s="6" t="str">
        <f>IFERROR(__xludf.DUMMYFUNCTION("""COMPUTED_VALUE"""),"GL1807060")</f>
        <v>GL1807060</v>
      </c>
      <c r="R324" s="16">
        <f>IFERROR(__xludf.DUMMYFUNCTION("""COMPUTED_VALUE"""),43297.0)</f>
        <v>43297</v>
      </c>
      <c r="S324" s="6" t="str">
        <f>IFERROR(__xludf.DUMMYFUNCTION("""COMPUTED_VALUE"""),"-")</f>
        <v>-</v>
      </c>
      <c r="T324" s="13">
        <f>IFERROR(__xludf.DUMMYFUNCTION("""COMPUTED_VALUE"""),43321.0)</f>
        <v>43321</v>
      </c>
    </row>
    <row r="325">
      <c r="A325" s="6" t="str">
        <f>IFERROR(__xludf.DUMMYFUNCTION("""COMPUTED_VALUE"""),"181750232-15")</f>
        <v>181750232-15</v>
      </c>
      <c r="B325" s="6" t="str">
        <f>IFERROR(__xludf.DUMMYFUNCTION("""COMPUTED_VALUE"""),"181750232 - Approved")</f>
        <v>181750232 - Approved</v>
      </c>
      <c r="C325" s="6">
        <f>IFERROR(__xludf.DUMMYFUNCTION("""COMPUTED_VALUE"""),15.0)</f>
        <v>15</v>
      </c>
      <c r="D325" s="6" t="str">
        <f>IFERROR(__xludf.DUMMYFUNCTION("""COMPUTED_VALUE"""),"P-14358-00")</f>
        <v>P-14358-00</v>
      </c>
      <c r="E325" s="6" t="str">
        <f>IFERROR(__xludf.DUMMYFUNCTION("""COMPUTED_VALUE"""),"Ring Plate SS M6; ; ;")</f>
        <v>Ring Plate SS M6; ; ;</v>
      </c>
      <c r="F325" s="6">
        <f>IFERROR(__xludf.DUMMYFUNCTION("""COMPUTED_VALUE"""),1.0)</f>
        <v>1</v>
      </c>
      <c r="G325" s="6" t="str">
        <f>IFERROR(__xludf.DUMMYFUNCTION("""COMPUTED_VALUE"""),"Pieces")</f>
        <v>Pieces</v>
      </c>
      <c r="H325" s="6" t="str">
        <f>IFERROR(__xludf.DUMMYFUNCTION("""COMPUTED_VALUE"""),"IDR")</f>
        <v>IDR</v>
      </c>
      <c r="I325" s="11">
        <f>IFERROR(__xludf.DUMMYFUNCTION("""COMPUTED_VALUE"""),15000.0)</f>
        <v>15000</v>
      </c>
      <c r="J325" s="11">
        <f>IFERROR(__xludf.DUMMYFUNCTION("""COMPUTED_VALUE"""),15000.0)</f>
        <v>15000</v>
      </c>
      <c r="K325" s="17">
        <f>IFERROR(__xludf.DUMMYFUNCTION("""COMPUTED_VALUE"""),43315.0)</f>
        <v>43315</v>
      </c>
      <c r="L325" s="6" t="str">
        <f>IFERROR(__xludf.DUMMYFUNCTION("""COMPUTED_VALUE"""),"FIP General")</f>
        <v>FIP General</v>
      </c>
      <c r="M325" s="6" t="str">
        <f>IFERROR(__xludf.DUMMYFUNCTION("""COMPUTED_VALUE"""),"Joko Nugroho")</f>
        <v>Joko Nugroho</v>
      </c>
      <c r="N325" s="6" t="str">
        <f>IFERROR(__xludf.DUMMYFUNCTION("""COMPUTED_VALUE"""),"FIP Engineering")</f>
        <v>FIP Engineering</v>
      </c>
      <c r="O325" s="6" t="str">
        <f>IFERROR(__xludf.DUMMYFUNCTION("""COMPUTED_VALUE"""),"FIP-DOM-ENG-51404-0000000-INA-000000")</f>
        <v>FIP-DOM-ENG-51404-0000000-INA-000000</v>
      </c>
      <c r="P325" s="6" t="str">
        <f>IFERROR(__xludf.DUMMYFUNCTION("""COMPUTED_VALUE"""),"PO Closed")</f>
        <v>PO Closed</v>
      </c>
      <c r="Q325" s="6" t="str">
        <f>IFERROR(__xludf.DUMMYFUNCTION("""COMPUTED_VALUE"""),"GL1807060")</f>
        <v>GL1807060</v>
      </c>
      <c r="R325" s="16">
        <f>IFERROR(__xludf.DUMMYFUNCTION("""COMPUTED_VALUE"""),43297.0)</f>
        <v>43297</v>
      </c>
      <c r="S325" s="6" t="str">
        <f>IFERROR(__xludf.DUMMYFUNCTION("""COMPUTED_VALUE"""),"-")</f>
        <v>-</v>
      </c>
      <c r="T325" s="13">
        <f>IFERROR(__xludf.DUMMYFUNCTION("""COMPUTED_VALUE"""),43321.0)</f>
        <v>43321</v>
      </c>
    </row>
    <row r="326">
      <c r="A326" s="6" t="str">
        <f>IFERROR(__xludf.DUMMYFUNCTION("""COMPUTED_VALUE"""),"181750232-15")</f>
        <v>181750232-15</v>
      </c>
      <c r="B326" s="6" t="str">
        <f>IFERROR(__xludf.DUMMYFUNCTION("""COMPUTED_VALUE"""),"181750232 - Approved")</f>
        <v>181750232 - Approved</v>
      </c>
      <c r="C326" s="6">
        <f>IFERROR(__xludf.DUMMYFUNCTION("""COMPUTED_VALUE"""),15.0)</f>
        <v>15</v>
      </c>
      <c r="D326" s="6" t="str">
        <f>IFERROR(__xludf.DUMMYFUNCTION("""COMPUTED_VALUE"""),"P-17047-00")</f>
        <v>P-17047-00</v>
      </c>
      <c r="E326" s="6" t="str">
        <f>IFERROR(__xludf.DUMMYFUNCTION("""COMPUTED_VALUE"""),"Hexabolt M6; ; ;")</f>
        <v>Hexabolt M6; ; ;</v>
      </c>
      <c r="F326" s="6">
        <f>IFERROR(__xludf.DUMMYFUNCTION("""COMPUTED_VALUE"""),1.0)</f>
        <v>1</v>
      </c>
      <c r="G326" s="6" t="str">
        <f>IFERROR(__xludf.DUMMYFUNCTION("""COMPUTED_VALUE"""),"Pieces")</f>
        <v>Pieces</v>
      </c>
      <c r="H326" s="6" t="str">
        <f>IFERROR(__xludf.DUMMYFUNCTION("""COMPUTED_VALUE"""),"IDR")</f>
        <v>IDR</v>
      </c>
      <c r="I326" s="11">
        <f>IFERROR(__xludf.DUMMYFUNCTION("""COMPUTED_VALUE"""),175000.0)</f>
        <v>175000</v>
      </c>
      <c r="J326" s="11">
        <f>IFERROR(__xludf.DUMMYFUNCTION("""COMPUTED_VALUE"""),175000.0)</f>
        <v>175000</v>
      </c>
      <c r="K326" s="13">
        <f>IFERROR(__xludf.DUMMYFUNCTION("""COMPUTED_VALUE"""),43315.0)</f>
        <v>43315</v>
      </c>
      <c r="L326" s="6" t="str">
        <f>IFERROR(__xludf.DUMMYFUNCTION("""COMPUTED_VALUE"""),"FIP General")</f>
        <v>FIP General</v>
      </c>
      <c r="M326" s="6" t="str">
        <f>IFERROR(__xludf.DUMMYFUNCTION("""COMPUTED_VALUE"""),"Joko Nugroho")</f>
        <v>Joko Nugroho</v>
      </c>
      <c r="N326" s="6" t="str">
        <f>IFERROR(__xludf.DUMMYFUNCTION("""COMPUTED_VALUE"""),"FIP Engineering")</f>
        <v>FIP Engineering</v>
      </c>
      <c r="O326" s="6" t="str">
        <f>IFERROR(__xludf.DUMMYFUNCTION("""COMPUTED_VALUE"""),"FIP-DOM-ENG-51404-0000000-INA-000000")</f>
        <v>FIP-DOM-ENG-51404-0000000-INA-000000</v>
      </c>
      <c r="P326" s="6" t="str">
        <f>IFERROR(__xludf.DUMMYFUNCTION("""COMPUTED_VALUE"""),"PO Closed")</f>
        <v>PO Closed</v>
      </c>
      <c r="Q326" s="6" t="str">
        <f>IFERROR(__xludf.DUMMYFUNCTION("""COMPUTED_VALUE"""),"GL1807060")</f>
        <v>GL1807060</v>
      </c>
      <c r="R326" s="16">
        <f>IFERROR(__xludf.DUMMYFUNCTION("""COMPUTED_VALUE"""),43297.0)</f>
        <v>43297</v>
      </c>
      <c r="S326" s="6" t="str">
        <f>IFERROR(__xludf.DUMMYFUNCTION("""COMPUTED_VALUE"""),"-")</f>
        <v>-</v>
      </c>
      <c r="T326" s="13">
        <f>IFERROR(__xludf.DUMMYFUNCTION("""COMPUTED_VALUE"""),43321.0)</f>
        <v>43321</v>
      </c>
    </row>
    <row r="327">
      <c r="A327" s="6" t="str">
        <f>IFERROR(__xludf.DUMMYFUNCTION("""COMPUTED_VALUE"""),"181750232-15")</f>
        <v>181750232-15</v>
      </c>
      <c r="B327" s="6" t="str">
        <f>IFERROR(__xludf.DUMMYFUNCTION("""COMPUTED_VALUE"""),"181750232 - Approved")</f>
        <v>181750232 - Approved</v>
      </c>
      <c r="C327" s="6">
        <f>IFERROR(__xludf.DUMMYFUNCTION("""COMPUTED_VALUE"""),15.0)</f>
        <v>15</v>
      </c>
      <c r="D327" s="6" t="str">
        <f>IFERROR(__xludf.DUMMYFUNCTION("""COMPUTED_VALUE"""),"P-14357-00")</f>
        <v>P-14357-00</v>
      </c>
      <c r="E327" s="6" t="str">
        <f>IFERROR(__xludf.DUMMYFUNCTION("""COMPUTED_VALUE"""),"Ring Plate SS M8; ; ;")</f>
        <v>Ring Plate SS M8; ; ;</v>
      </c>
      <c r="F327" s="6">
        <f>IFERROR(__xludf.DUMMYFUNCTION("""COMPUTED_VALUE"""),1.0)</f>
        <v>1</v>
      </c>
      <c r="G327" s="6" t="str">
        <f>IFERROR(__xludf.DUMMYFUNCTION("""COMPUTED_VALUE"""),"Pieces")</f>
        <v>Pieces</v>
      </c>
      <c r="H327" s="6" t="str">
        <f>IFERROR(__xludf.DUMMYFUNCTION("""COMPUTED_VALUE"""),"IDR")</f>
        <v>IDR</v>
      </c>
      <c r="I327" s="11">
        <f>IFERROR(__xludf.DUMMYFUNCTION("""COMPUTED_VALUE"""),30000.0)</f>
        <v>30000</v>
      </c>
      <c r="J327" s="11">
        <f>IFERROR(__xludf.DUMMYFUNCTION("""COMPUTED_VALUE"""),30000.0)</f>
        <v>30000</v>
      </c>
      <c r="K327" s="13">
        <f>IFERROR(__xludf.DUMMYFUNCTION("""COMPUTED_VALUE"""),43315.0)</f>
        <v>43315</v>
      </c>
      <c r="L327" s="6" t="str">
        <f>IFERROR(__xludf.DUMMYFUNCTION("""COMPUTED_VALUE"""),"FIP General")</f>
        <v>FIP General</v>
      </c>
      <c r="M327" s="6" t="str">
        <f>IFERROR(__xludf.DUMMYFUNCTION("""COMPUTED_VALUE"""),"Joko Nugroho")</f>
        <v>Joko Nugroho</v>
      </c>
      <c r="N327" s="6" t="str">
        <f>IFERROR(__xludf.DUMMYFUNCTION("""COMPUTED_VALUE"""),"FIP Engineering")</f>
        <v>FIP Engineering</v>
      </c>
      <c r="O327" s="6" t="str">
        <f>IFERROR(__xludf.DUMMYFUNCTION("""COMPUTED_VALUE"""),"FIP-DOM-ENG-51404-0000000-INA-000000")</f>
        <v>FIP-DOM-ENG-51404-0000000-INA-000000</v>
      </c>
      <c r="P327" s="6" t="str">
        <f>IFERROR(__xludf.DUMMYFUNCTION("""COMPUTED_VALUE"""),"PO Closed")</f>
        <v>PO Closed</v>
      </c>
      <c r="Q327" s="6" t="str">
        <f>IFERROR(__xludf.DUMMYFUNCTION("""COMPUTED_VALUE"""),"GL1807060")</f>
        <v>GL1807060</v>
      </c>
      <c r="R327" s="16">
        <f>IFERROR(__xludf.DUMMYFUNCTION("""COMPUTED_VALUE"""),43297.0)</f>
        <v>43297</v>
      </c>
      <c r="S327" s="6" t="str">
        <f>IFERROR(__xludf.DUMMYFUNCTION("""COMPUTED_VALUE"""),"-")</f>
        <v>-</v>
      </c>
      <c r="T327" s="13">
        <f>IFERROR(__xludf.DUMMYFUNCTION("""COMPUTED_VALUE"""),43321.0)</f>
        <v>43321</v>
      </c>
    </row>
    <row r="328">
      <c r="A328" s="6" t="str">
        <f>IFERROR(__xludf.DUMMYFUNCTION("""COMPUTED_VALUE"""),"181750230-12")</f>
        <v>181750230-12</v>
      </c>
      <c r="B328" s="6" t="str">
        <f>IFERROR(__xludf.DUMMYFUNCTION("""COMPUTED_VALUE"""),"181750230 - Approved")</f>
        <v>181750230 - Approved</v>
      </c>
      <c r="C328" s="6">
        <f>IFERROR(__xludf.DUMMYFUNCTION("""COMPUTED_VALUE"""),12.0)</f>
        <v>12</v>
      </c>
      <c r="D328" s="6" t="str">
        <f>IFERROR(__xludf.DUMMYFUNCTION("""COMPUTED_VALUE"""),"P-13269-00")</f>
        <v>P-13269-00</v>
      </c>
      <c r="E328" s="6" t="str">
        <f>IFERROR(__xludf.DUMMYFUNCTION("""COMPUTED_VALUE"""),"Fitting PVC - Sock PVC 4""")</f>
        <v>Fitting PVC - Sock PVC 4"</v>
      </c>
      <c r="F328" s="6">
        <f>IFERROR(__xludf.DUMMYFUNCTION("""COMPUTED_VALUE"""),2.0)</f>
        <v>2</v>
      </c>
      <c r="G328" s="6" t="str">
        <f>IFERROR(__xludf.DUMMYFUNCTION("""COMPUTED_VALUE"""),"Pieces")</f>
        <v>Pieces</v>
      </c>
      <c r="H328" s="6" t="str">
        <f>IFERROR(__xludf.DUMMYFUNCTION("""COMPUTED_VALUE"""),"IDR")</f>
        <v>IDR</v>
      </c>
      <c r="I328" s="11">
        <f>IFERROR(__xludf.DUMMYFUNCTION("""COMPUTED_VALUE"""),21500.0)</f>
        <v>21500</v>
      </c>
      <c r="J328" s="11">
        <f>IFERROR(__xludf.DUMMYFUNCTION("""COMPUTED_VALUE"""),43000.0)</f>
        <v>43000</v>
      </c>
      <c r="K328" s="13">
        <f>IFERROR(__xludf.DUMMYFUNCTION("""COMPUTED_VALUE"""),43332.0)</f>
        <v>43332</v>
      </c>
      <c r="L328" s="6" t="str">
        <f>IFERROR(__xludf.DUMMYFUNCTION("""COMPUTED_VALUE"""),"FIP General")</f>
        <v>FIP General</v>
      </c>
      <c r="M328" s="6" t="str">
        <f>IFERROR(__xludf.DUMMYFUNCTION("""COMPUTED_VALUE"""),"Joko Nugroho")</f>
        <v>Joko Nugroho</v>
      </c>
      <c r="N328" s="6" t="str">
        <f>IFERROR(__xludf.DUMMYFUNCTION("""COMPUTED_VALUE"""),"FIP Engineering")</f>
        <v>FIP Engineering</v>
      </c>
      <c r="O328" s="6" t="str">
        <f>IFERROR(__xludf.DUMMYFUNCTION("""COMPUTED_VALUE"""),"FIP-DOM-ENG-51404-0000000-INA-000000")</f>
        <v>FIP-DOM-ENG-51404-0000000-INA-000000</v>
      </c>
      <c r="P328" s="6" t="str">
        <f>IFERROR(__xludf.DUMMYFUNCTION("""COMPUTED_VALUE"""),"PO Closed")</f>
        <v>PO Closed</v>
      </c>
      <c r="Q328" s="6" t="str">
        <f>IFERROR(__xludf.DUMMYFUNCTION("""COMPUTED_VALUE"""),"GL1808016")</f>
        <v>GL1808016</v>
      </c>
      <c r="R328" s="16">
        <f>IFERROR(__xludf.DUMMYFUNCTION("""COMPUTED_VALUE"""),43297.0)</f>
        <v>43297</v>
      </c>
      <c r="S328" s="6" t="str">
        <f>IFERROR(__xludf.DUMMYFUNCTION("""COMPUTED_VALUE"""),"-")</f>
        <v>-</v>
      </c>
      <c r="T328" s="17">
        <f>IFERROR(__xludf.DUMMYFUNCTION("""COMPUTED_VALUE"""),43328.0)</f>
        <v>43328</v>
      </c>
    </row>
    <row r="329">
      <c r="A329" s="6" t="str">
        <f>IFERROR(__xludf.DUMMYFUNCTION("""COMPUTED_VALUE"""),"181750230-12")</f>
        <v>181750230-12</v>
      </c>
      <c r="B329" s="6" t="str">
        <f>IFERROR(__xludf.DUMMYFUNCTION("""COMPUTED_VALUE"""),"181750230 - Approved")</f>
        <v>181750230 - Approved</v>
      </c>
      <c r="C329" s="6">
        <f>IFERROR(__xludf.DUMMYFUNCTION("""COMPUTED_VALUE"""),12.0)</f>
        <v>12</v>
      </c>
      <c r="D329" s="6" t="str">
        <f>IFERROR(__xludf.DUMMYFUNCTION("""COMPUTED_VALUE"""),"P-17052-00")</f>
        <v>P-17052-00</v>
      </c>
      <c r="E329" s="6" t="str">
        <f>IFERROR(__xludf.DUMMYFUNCTION("""COMPUTED_VALUE"""),"Check Valve BRONZE 3/4""; ; ;")</f>
        <v>Check Valve BRONZE 3/4"; ; ;</v>
      </c>
      <c r="F329" s="6">
        <f>IFERROR(__xludf.DUMMYFUNCTION("""COMPUTED_VALUE"""),2.0)</f>
        <v>2</v>
      </c>
      <c r="G329" s="6" t="str">
        <f>IFERROR(__xludf.DUMMYFUNCTION("""COMPUTED_VALUE"""),"Pieces")</f>
        <v>Pieces</v>
      </c>
      <c r="H329" s="6" t="str">
        <f>IFERROR(__xludf.DUMMYFUNCTION("""COMPUTED_VALUE"""),"IDR")</f>
        <v>IDR</v>
      </c>
      <c r="I329" s="11">
        <f>IFERROR(__xludf.DUMMYFUNCTION("""COMPUTED_VALUE"""),215000.0)</f>
        <v>215000</v>
      </c>
      <c r="J329" s="11">
        <f>IFERROR(__xludf.DUMMYFUNCTION("""COMPUTED_VALUE"""),430000.0)</f>
        <v>430000</v>
      </c>
      <c r="K329" s="17">
        <f>IFERROR(__xludf.DUMMYFUNCTION("""COMPUTED_VALUE"""),43332.0)</f>
        <v>43332</v>
      </c>
      <c r="L329" s="6" t="str">
        <f>IFERROR(__xludf.DUMMYFUNCTION("""COMPUTED_VALUE"""),"FIP General")</f>
        <v>FIP General</v>
      </c>
      <c r="M329" s="6" t="str">
        <f>IFERROR(__xludf.DUMMYFUNCTION("""COMPUTED_VALUE"""),"Joko Nugroho")</f>
        <v>Joko Nugroho</v>
      </c>
      <c r="N329" s="6" t="str">
        <f>IFERROR(__xludf.DUMMYFUNCTION("""COMPUTED_VALUE"""),"FIP Engineering")</f>
        <v>FIP Engineering</v>
      </c>
      <c r="O329" s="6" t="str">
        <f>IFERROR(__xludf.DUMMYFUNCTION("""COMPUTED_VALUE"""),"FIP-DOM-ENG-51404-0000000-INA-000000")</f>
        <v>FIP-DOM-ENG-51404-0000000-INA-000000</v>
      </c>
      <c r="P329" s="6" t="str">
        <f>IFERROR(__xludf.DUMMYFUNCTION("""COMPUTED_VALUE"""),"PO Closed")</f>
        <v>PO Closed</v>
      </c>
      <c r="Q329" s="6" t="str">
        <f>IFERROR(__xludf.DUMMYFUNCTION("""COMPUTED_VALUE"""),"GL1808016")</f>
        <v>GL1808016</v>
      </c>
      <c r="R329" s="16">
        <f>IFERROR(__xludf.DUMMYFUNCTION("""COMPUTED_VALUE"""),43297.0)</f>
        <v>43297</v>
      </c>
      <c r="S329" s="6" t="str">
        <f>IFERROR(__xludf.DUMMYFUNCTION("""COMPUTED_VALUE"""),"-")</f>
        <v>-</v>
      </c>
      <c r="T329" s="13">
        <f>IFERROR(__xludf.DUMMYFUNCTION("""COMPUTED_VALUE"""),43328.0)</f>
        <v>43328</v>
      </c>
    </row>
    <row r="330">
      <c r="A330" s="6" t="str">
        <f>IFERROR(__xludf.DUMMYFUNCTION("""COMPUTED_VALUE"""),"181750230-12")</f>
        <v>181750230-12</v>
      </c>
      <c r="B330" s="6" t="str">
        <f>IFERROR(__xludf.DUMMYFUNCTION("""COMPUTED_VALUE"""),"181750230 - Approved")</f>
        <v>181750230 - Approved</v>
      </c>
      <c r="C330" s="6">
        <f>IFERROR(__xludf.DUMMYFUNCTION("""COMPUTED_VALUE"""),12.0)</f>
        <v>12</v>
      </c>
      <c r="D330" s="6" t="str">
        <f>IFERROR(__xludf.DUMMYFUNCTION("""COMPUTED_VALUE"""),"P-17051-00")</f>
        <v>P-17051-00</v>
      </c>
      <c r="E330" s="6" t="str">
        <f>IFERROR(__xludf.DUMMYFUNCTION("""COMPUTED_VALUE"""),"Threading Pipe SS304 1/2""; ; ;")</f>
        <v>Threading Pipe SS304 1/2"; ; ;</v>
      </c>
      <c r="F330" s="6">
        <f>IFERROR(__xludf.DUMMYFUNCTION("""COMPUTED_VALUE"""),2.0)</f>
        <v>2</v>
      </c>
      <c r="G330" s="6" t="str">
        <f>IFERROR(__xludf.DUMMYFUNCTION("""COMPUTED_VALUE"""),"Pieces")</f>
        <v>Pieces</v>
      </c>
      <c r="H330" s="6" t="str">
        <f>IFERROR(__xludf.DUMMYFUNCTION("""COMPUTED_VALUE"""),"IDR")</f>
        <v>IDR</v>
      </c>
      <c r="I330" s="11">
        <f>IFERROR(__xludf.DUMMYFUNCTION("""COMPUTED_VALUE"""),45000.0)</f>
        <v>45000</v>
      </c>
      <c r="J330" s="11">
        <f>IFERROR(__xludf.DUMMYFUNCTION("""COMPUTED_VALUE"""),90000.0)</f>
        <v>90000</v>
      </c>
      <c r="K330" s="13">
        <f>IFERROR(__xludf.DUMMYFUNCTION("""COMPUTED_VALUE"""),43332.0)</f>
        <v>43332</v>
      </c>
      <c r="L330" s="6" t="str">
        <f>IFERROR(__xludf.DUMMYFUNCTION("""COMPUTED_VALUE"""),"FIP General")</f>
        <v>FIP General</v>
      </c>
      <c r="M330" s="6" t="str">
        <f>IFERROR(__xludf.DUMMYFUNCTION("""COMPUTED_VALUE"""),"Joko Nugroho")</f>
        <v>Joko Nugroho</v>
      </c>
      <c r="N330" s="6" t="str">
        <f>IFERROR(__xludf.DUMMYFUNCTION("""COMPUTED_VALUE"""),"FIP Engineering")</f>
        <v>FIP Engineering</v>
      </c>
      <c r="O330" s="6" t="str">
        <f>IFERROR(__xludf.DUMMYFUNCTION("""COMPUTED_VALUE"""),"FIP-DOM-ENG-51404-0000000-INA-000000")</f>
        <v>FIP-DOM-ENG-51404-0000000-INA-000000</v>
      </c>
      <c r="P330" s="6" t="str">
        <f>IFERROR(__xludf.DUMMYFUNCTION("""COMPUTED_VALUE"""),"PO Closed")</f>
        <v>PO Closed</v>
      </c>
      <c r="Q330" s="6" t="str">
        <f>IFERROR(__xludf.DUMMYFUNCTION("""COMPUTED_VALUE"""),"GL1808016")</f>
        <v>GL1808016</v>
      </c>
      <c r="R330" s="16">
        <f>IFERROR(__xludf.DUMMYFUNCTION("""COMPUTED_VALUE"""),43297.0)</f>
        <v>43297</v>
      </c>
      <c r="S330" s="6" t="str">
        <f>IFERROR(__xludf.DUMMYFUNCTION("""COMPUTED_VALUE"""),"-")</f>
        <v>-</v>
      </c>
      <c r="T330" s="17">
        <f>IFERROR(__xludf.DUMMYFUNCTION("""COMPUTED_VALUE"""),43328.0)</f>
        <v>43328</v>
      </c>
    </row>
    <row r="331">
      <c r="A331" s="6" t="str">
        <f>IFERROR(__xludf.DUMMYFUNCTION("""COMPUTED_VALUE"""),"181750230-12")</f>
        <v>181750230-12</v>
      </c>
      <c r="B331" s="6" t="str">
        <f>IFERROR(__xludf.DUMMYFUNCTION("""COMPUTED_VALUE"""),"181750230 - Approved")</f>
        <v>181750230 - Approved</v>
      </c>
      <c r="C331" s="6">
        <f>IFERROR(__xludf.DUMMYFUNCTION("""COMPUTED_VALUE"""),12.0)</f>
        <v>12</v>
      </c>
      <c r="D331" s="6" t="str">
        <f>IFERROR(__xludf.DUMMYFUNCTION("""COMPUTED_VALUE"""),"P-17050-00")</f>
        <v>P-17050-00</v>
      </c>
      <c r="E331" s="6" t="str">
        <f>IFERROR(__xludf.DUMMYFUNCTION("""COMPUTED_VALUE"""),"Elbow 90 Kuningan 1/4"" NPT x 6mm Tubing; ; ;")</f>
        <v>Elbow 90 Kuningan 1/4" NPT x 6mm Tubing; ; ;</v>
      </c>
      <c r="F331" s="6">
        <f>IFERROR(__xludf.DUMMYFUNCTION("""COMPUTED_VALUE"""),2.0)</f>
        <v>2</v>
      </c>
      <c r="G331" s="6" t="str">
        <f>IFERROR(__xludf.DUMMYFUNCTION("""COMPUTED_VALUE"""),"Pieces")</f>
        <v>Pieces</v>
      </c>
      <c r="H331" s="6" t="str">
        <f>IFERROR(__xludf.DUMMYFUNCTION("""COMPUTED_VALUE"""),"IDR")</f>
        <v>IDR</v>
      </c>
      <c r="I331" s="11">
        <f>IFERROR(__xludf.DUMMYFUNCTION("""COMPUTED_VALUE"""),225000.0)</f>
        <v>225000</v>
      </c>
      <c r="J331" s="11">
        <f>IFERROR(__xludf.DUMMYFUNCTION("""COMPUTED_VALUE"""),450000.0)</f>
        <v>450000</v>
      </c>
      <c r="K331" s="13">
        <f>IFERROR(__xludf.DUMMYFUNCTION("""COMPUTED_VALUE"""),43332.0)</f>
        <v>43332</v>
      </c>
      <c r="L331" s="6" t="str">
        <f>IFERROR(__xludf.DUMMYFUNCTION("""COMPUTED_VALUE"""),"FIP General")</f>
        <v>FIP General</v>
      </c>
      <c r="M331" s="6" t="str">
        <f>IFERROR(__xludf.DUMMYFUNCTION("""COMPUTED_VALUE"""),"Joko Nugroho")</f>
        <v>Joko Nugroho</v>
      </c>
      <c r="N331" s="6" t="str">
        <f>IFERROR(__xludf.DUMMYFUNCTION("""COMPUTED_VALUE"""),"FIP Engineering")</f>
        <v>FIP Engineering</v>
      </c>
      <c r="O331" s="6" t="str">
        <f>IFERROR(__xludf.DUMMYFUNCTION("""COMPUTED_VALUE"""),"FIP-DOM-ENG-51404-0000000-INA-000000")</f>
        <v>FIP-DOM-ENG-51404-0000000-INA-000000</v>
      </c>
      <c r="P331" s="6" t="str">
        <f>IFERROR(__xludf.DUMMYFUNCTION("""COMPUTED_VALUE"""),"PO Closed")</f>
        <v>PO Closed</v>
      </c>
      <c r="Q331" s="6" t="str">
        <f>IFERROR(__xludf.DUMMYFUNCTION("""COMPUTED_VALUE"""),"GL1808016")</f>
        <v>GL1808016</v>
      </c>
      <c r="R331" s="16">
        <f>IFERROR(__xludf.DUMMYFUNCTION("""COMPUTED_VALUE"""),43297.0)</f>
        <v>43297</v>
      </c>
      <c r="S331" s="6" t="str">
        <f>IFERROR(__xludf.DUMMYFUNCTION("""COMPUTED_VALUE"""),"-")</f>
        <v>-</v>
      </c>
      <c r="T331" s="13">
        <f>IFERROR(__xludf.DUMMYFUNCTION("""COMPUTED_VALUE"""),43328.0)</f>
        <v>43328</v>
      </c>
    </row>
    <row r="332">
      <c r="A332" s="6" t="str">
        <f>IFERROR(__xludf.DUMMYFUNCTION("""COMPUTED_VALUE"""),"181750247-2")</f>
        <v>181750247-2</v>
      </c>
      <c r="B332" s="6" t="str">
        <f>IFERROR(__xludf.DUMMYFUNCTION("""COMPUTED_VALUE"""),"181750247 - Approved")</f>
        <v>181750247 - Approved</v>
      </c>
      <c r="C332" s="6">
        <f>IFERROR(__xludf.DUMMYFUNCTION("""COMPUTED_VALUE"""),2.0)</f>
        <v>2</v>
      </c>
      <c r="D332" s="6" t="str">
        <f>IFERROR(__xludf.DUMMYFUNCTION("""COMPUTED_VALUE"""),"O-51677-00")</f>
        <v>O-51677-00</v>
      </c>
      <c r="E332" s="6" t="str">
        <f>IFERROR(__xludf.DUMMYFUNCTION("""COMPUTED_VALUE"""),"Fork Sensor; brand SICK; type WFL80-60B416; Part No: 6036833 (Steriline No : 22179 ); SICK; ;")</f>
        <v>Fork Sensor; brand SICK; type WFL80-60B416; Part No: 6036833 (Steriline No : 22179 ); SICK; ;</v>
      </c>
      <c r="F332" s="6">
        <f>IFERROR(__xludf.DUMMYFUNCTION("""COMPUTED_VALUE"""),1.0)</f>
        <v>1</v>
      </c>
      <c r="G332" s="6" t="str">
        <f>IFERROR(__xludf.DUMMYFUNCTION("""COMPUTED_VALUE"""),"Unit")</f>
        <v>Unit</v>
      </c>
      <c r="H332" s="6" t="str">
        <f>IFERROR(__xludf.DUMMYFUNCTION("""COMPUTED_VALUE"""),"IDR")</f>
        <v>IDR</v>
      </c>
      <c r="I332" s="11">
        <f>IFERROR(__xludf.DUMMYFUNCTION("""COMPUTED_VALUE"""),6200000.0)</f>
        <v>6200000</v>
      </c>
      <c r="J332" s="11">
        <f>IFERROR(__xludf.DUMMYFUNCTION("""COMPUTED_VALUE"""),6200000.0)</f>
        <v>6200000</v>
      </c>
      <c r="K332" s="17">
        <f>IFERROR(__xludf.DUMMYFUNCTION("""COMPUTED_VALUE"""),43332.0)</f>
        <v>43332</v>
      </c>
      <c r="L332" s="6" t="str">
        <f>IFERROR(__xludf.DUMMYFUNCTION("""COMPUTED_VALUE"""),"FIP Engineering")</f>
        <v>FIP Engineering</v>
      </c>
      <c r="M332" s="6" t="str">
        <f>IFERROR(__xludf.DUMMYFUNCTION("""COMPUTED_VALUE"""),"Joko Nugroho")</f>
        <v>Joko Nugroho</v>
      </c>
      <c r="N332" s="6" t="str">
        <f>IFERROR(__xludf.DUMMYFUNCTION("""COMPUTED_VALUE"""),"FIP Engineering")</f>
        <v>FIP Engineering</v>
      </c>
      <c r="O332" s="6" t="str">
        <f>IFERROR(__xludf.DUMMYFUNCTION("""COMPUTED_VALUE"""),"FIP-DOM-000-11304-OS00001-INA-000000")</f>
        <v>FIP-DOM-000-11304-OS00001-INA-000000</v>
      </c>
      <c r="P332" s="6" t="str">
        <f>IFERROR(__xludf.DUMMYFUNCTION("""COMPUTED_VALUE"""),"PO Closed")</f>
        <v>PO Closed</v>
      </c>
      <c r="Q332" s="6" t="str">
        <f>IFERROR(__xludf.DUMMYFUNCTION("""COMPUTED_VALUE"""),"GL1807052")</f>
        <v>GL1807052</v>
      </c>
      <c r="R332" s="16">
        <f>IFERROR(__xludf.DUMMYFUNCTION("""COMPUTED_VALUE"""),43300.0)</f>
        <v>43300</v>
      </c>
      <c r="S332" s="6" t="str">
        <f>IFERROR(__xludf.DUMMYFUNCTION("""COMPUTED_VALUE"""),"-")</f>
        <v>-</v>
      </c>
      <c r="T332" s="13">
        <f>IFERROR(__xludf.DUMMYFUNCTION("""COMPUTED_VALUE"""),43349.0)</f>
        <v>43349</v>
      </c>
    </row>
    <row r="333">
      <c r="A333" s="6" t="str">
        <f>IFERROR(__xludf.DUMMYFUNCTION("""COMPUTED_VALUE"""),"181750245-1")</f>
        <v>181750245-1</v>
      </c>
      <c r="B333" s="6" t="str">
        <f>IFERROR(__xludf.DUMMYFUNCTION("""COMPUTED_VALUE"""),"181750245 - Approved")</f>
        <v>181750245 - Approved</v>
      </c>
      <c r="C333" s="6">
        <f>IFERROR(__xludf.DUMMYFUNCTION("""COMPUTED_VALUE"""),1.0)</f>
        <v>1</v>
      </c>
      <c r="D333" s="6" t="str">
        <f>IFERROR(__xludf.DUMMYFUNCTION("""COMPUTED_VALUE"""),"P-17026-00")</f>
        <v>P-17026-00</v>
      </c>
      <c r="E333" s="6" t="str">
        <f>IFERROR(__xludf.DUMMYFUNCTION("""COMPUTED_VALUE"""),"Cover Gasket Set DN15-25MM; ; ;")</f>
        <v>Cover Gasket Set DN15-25MM; ; ;</v>
      </c>
      <c r="F333" s="6">
        <f>IFERROR(__xludf.DUMMYFUNCTION("""COMPUTED_VALUE"""),8.0)</f>
        <v>8</v>
      </c>
      <c r="G333" s="6" t="str">
        <f>IFERROR(__xludf.DUMMYFUNCTION("""COMPUTED_VALUE"""),"Unit")</f>
        <v>Unit</v>
      </c>
      <c r="H333" s="6" t="str">
        <f>IFERROR(__xludf.DUMMYFUNCTION("""COMPUTED_VALUE"""),"IDR")</f>
        <v>IDR</v>
      </c>
      <c r="I333" s="11">
        <f>IFERROR(__xludf.DUMMYFUNCTION("""COMPUTED_VALUE"""),774000.0)</f>
        <v>774000</v>
      </c>
      <c r="J333" s="11">
        <f>IFERROR(__xludf.DUMMYFUNCTION("""COMPUTED_VALUE"""),6192000.0)</f>
        <v>6192000</v>
      </c>
      <c r="K333" s="13">
        <f>IFERROR(__xludf.DUMMYFUNCTION("""COMPUTED_VALUE"""),43343.0)</f>
        <v>43343</v>
      </c>
      <c r="L333" s="6" t="str">
        <f>IFERROR(__xludf.DUMMYFUNCTION("""COMPUTED_VALUE"""),"FIP Engineering")</f>
        <v>FIP Engineering</v>
      </c>
      <c r="M333" s="6" t="str">
        <f>IFERROR(__xludf.DUMMYFUNCTION("""COMPUTED_VALUE"""),"Joko Nugroho")</f>
        <v>Joko Nugroho</v>
      </c>
      <c r="N333" s="6" t="str">
        <f>IFERROR(__xludf.DUMMYFUNCTION("""COMPUTED_VALUE"""),"FIP Engineering")</f>
        <v>FIP Engineering</v>
      </c>
      <c r="O333" s="6" t="str">
        <f>IFERROR(__xludf.DUMMYFUNCTION("""COMPUTED_VALUE"""),"FIP-DOM-000-11304-OS00001-INA-000000")</f>
        <v>FIP-DOM-000-11304-OS00001-INA-000000</v>
      </c>
      <c r="P333" s="6" t="str">
        <f>IFERROR(__xludf.DUMMYFUNCTION("""COMPUTED_VALUE"""),"PO Closed")</f>
        <v>PO Closed</v>
      </c>
      <c r="Q333" s="6" t="str">
        <f>IFERROR(__xludf.DUMMYFUNCTION("""COMPUTED_VALUE"""),"GL1807055")</f>
        <v>GL1807055</v>
      </c>
      <c r="R333" s="16">
        <f>IFERROR(__xludf.DUMMYFUNCTION("""COMPUTED_VALUE"""),43300.0)</f>
        <v>43300</v>
      </c>
      <c r="S333" s="6" t="str">
        <f>IFERROR(__xludf.DUMMYFUNCTION("""COMPUTED_VALUE"""),"-")</f>
        <v>-</v>
      </c>
      <c r="T333" s="13">
        <f>IFERROR(__xludf.DUMMYFUNCTION("""COMPUTED_VALUE"""),43343.0)</f>
        <v>43343</v>
      </c>
    </row>
    <row r="334">
      <c r="A334" s="6" t="str">
        <f>IFERROR(__xludf.DUMMYFUNCTION("""COMPUTED_VALUE"""),"181750245-2")</f>
        <v>181750245-2</v>
      </c>
      <c r="B334" s="6" t="str">
        <f>IFERROR(__xludf.DUMMYFUNCTION("""COMPUTED_VALUE"""),"181750245 - Approved")</f>
        <v>181750245 - Approved</v>
      </c>
      <c r="C334" s="6">
        <f>IFERROR(__xludf.DUMMYFUNCTION("""COMPUTED_VALUE"""),2.0)</f>
        <v>2</v>
      </c>
      <c r="D334" s="6" t="str">
        <f>IFERROR(__xludf.DUMMYFUNCTION("""COMPUTED_VALUE"""),"P-17027-00")</f>
        <v>P-17027-00</v>
      </c>
      <c r="E334" s="6" t="str">
        <f>IFERROR(__xludf.DUMMYFUNCTION("""COMPUTED_VALUE"""),"Complete Gasket set for 1 1/2"" FT43-10TV; ; ;")</f>
        <v>Complete Gasket set for 1 1/2" FT43-10TV; ; ;</v>
      </c>
      <c r="F334" s="6">
        <f>IFERROR(__xludf.DUMMYFUNCTION("""COMPUTED_VALUE"""),1.0)</f>
        <v>1</v>
      </c>
      <c r="G334" s="6" t="str">
        <f>IFERROR(__xludf.DUMMYFUNCTION("""COMPUTED_VALUE"""),"Unit")</f>
        <v>Unit</v>
      </c>
      <c r="H334" s="6" t="str">
        <f>IFERROR(__xludf.DUMMYFUNCTION("""COMPUTED_VALUE"""),"IDR")</f>
        <v>IDR</v>
      </c>
      <c r="I334" s="11">
        <f>IFERROR(__xludf.DUMMYFUNCTION("""COMPUTED_VALUE"""),758000.0)</f>
        <v>758000</v>
      </c>
      <c r="J334" s="11">
        <f>IFERROR(__xludf.DUMMYFUNCTION("""COMPUTED_VALUE"""),758000.0)</f>
        <v>758000</v>
      </c>
      <c r="K334" s="13">
        <f>IFERROR(__xludf.DUMMYFUNCTION("""COMPUTED_VALUE"""),43343.0)</f>
        <v>43343</v>
      </c>
      <c r="L334" s="6" t="str">
        <f>IFERROR(__xludf.DUMMYFUNCTION("""COMPUTED_VALUE"""),"FIP Engineering")</f>
        <v>FIP Engineering</v>
      </c>
      <c r="M334" s="6" t="str">
        <f>IFERROR(__xludf.DUMMYFUNCTION("""COMPUTED_VALUE"""),"Joko Nugroho")</f>
        <v>Joko Nugroho</v>
      </c>
      <c r="N334" s="6" t="str">
        <f>IFERROR(__xludf.DUMMYFUNCTION("""COMPUTED_VALUE"""),"FIP Engineering")</f>
        <v>FIP Engineering</v>
      </c>
      <c r="O334" s="6" t="str">
        <f>IFERROR(__xludf.DUMMYFUNCTION("""COMPUTED_VALUE"""),"FIP-DOM-000-11304-OS00001-INA-000000")</f>
        <v>FIP-DOM-000-11304-OS00001-INA-000000</v>
      </c>
      <c r="P334" s="6" t="str">
        <f>IFERROR(__xludf.DUMMYFUNCTION("""COMPUTED_VALUE"""),"PO Closed")</f>
        <v>PO Closed</v>
      </c>
      <c r="Q334" s="6" t="str">
        <f>IFERROR(__xludf.DUMMYFUNCTION("""COMPUTED_VALUE"""),"GL1807055")</f>
        <v>GL1807055</v>
      </c>
      <c r="R334" s="16">
        <f>IFERROR(__xludf.DUMMYFUNCTION("""COMPUTED_VALUE"""),43300.0)</f>
        <v>43300</v>
      </c>
      <c r="S334" s="6" t="str">
        <f>IFERROR(__xludf.DUMMYFUNCTION("""COMPUTED_VALUE"""),"-")</f>
        <v>-</v>
      </c>
      <c r="T334" s="13">
        <f>IFERROR(__xludf.DUMMYFUNCTION("""COMPUTED_VALUE"""),43343.0)</f>
        <v>43343</v>
      </c>
    </row>
    <row r="335">
      <c r="A335" s="6" t="str">
        <f>IFERROR(__xludf.DUMMYFUNCTION("""COMPUTED_VALUE"""),"181750245-4")</f>
        <v>181750245-4</v>
      </c>
      <c r="B335" s="6" t="str">
        <f>IFERROR(__xludf.DUMMYFUNCTION("""COMPUTED_VALUE"""),"181750245 - Approved")</f>
        <v>181750245 - Approved</v>
      </c>
      <c r="C335" s="6">
        <f>IFERROR(__xludf.DUMMYFUNCTION("""COMPUTED_VALUE"""),4.0)</f>
        <v>4</v>
      </c>
      <c r="D335" s="6" t="str">
        <f>IFERROR(__xludf.DUMMYFUNCTION("""COMPUTED_VALUE"""),"P-17034-00")</f>
        <v>P-17034-00</v>
      </c>
      <c r="E335" s="6" t="str">
        <f>IFERROR(__xludf.DUMMYFUNCTION("""COMPUTED_VALUE"""),"O-ring Gasket packet for 1/2"" BTM7 Thermostatic Steam Trap; ; ;")</f>
        <v>O-ring Gasket packet for 1/2" BTM7 Thermostatic Steam Trap; ; ;</v>
      </c>
      <c r="F335" s="6">
        <f>IFERROR(__xludf.DUMMYFUNCTION("""COMPUTED_VALUE"""),3.0)</f>
        <v>3</v>
      </c>
      <c r="G335" s="6" t="str">
        <f>IFERROR(__xludf.DUMMYFUNCTION("""COMPUTED_VALUE"""),"Unit")</f>
        <v>Unit</v>
      </c>
      <c r="H335" s="6" t="str">
        <f>IFERROR(__xludf.DUMMYFUNCTION("""COMPUTED_VALUE"""),"IDR")</f>
        <v>IDR</v>
      </c>
      <c r="I335" s="11">
        <f>IFERROR(__xludf.DUMMYFUNCTION("""COMPUTED_VALUE"""),992000.0)</f>
        <v>992000</v>
      </c>
      <c r="J335" s="11">
        <f>IFERROR(__xludf.DUMMYFUNCTION("""COMPUTED_VALUE"""),2976000.0)</f>
        <v>2976000</v>
      </c>
      <c r="K335" s="17">
        <f>IFERROR(__xludf.DUMMYFUNCTION("""COMPUTED_VALUE"""),43343.0)</f>
        <v>43343</v>
      </c>
      <c r="L335" s="6" t="str">
        <f>IFERROR(__xludf.DUMMYFUNCTION("""COMPUTED_VALUE"""),"FIP Engineering")</f>
        <v>FIP Engineering</v>
      </c>
      <c r="M335" s="6" t="str">
        <f>IFERROR(__xludf.DUMMYFUNCTION("""COMPUTED_VALUE"""),"Joko Nugroho")</f>
        <v>Joko Nugroho</v>
      </c>
      <c r="N335" s="6" t="str">
        <f>IFERROR(__xludf.DUMMYFUNCTION("""COMPUTED_VALUE"""),"FIP Engineering")</f>
        <v>FIP Engineering</v>
      </c>
      <c r="O335" s="6" t="str">
        <f>IFERROR(__xludf.DUMMYFUNCTION("""COMPUTED_VALUE"""),"FIP-DOM-000-11304-OS00001-INA-000000")</f>
        <v>FIP-DOM-000-11304-OS00001-INA-000000</v>
      </c>
      <c r="P335" s="6" t="str">
        <f>IFERROR(__xludf.DUMMYFUNCTION("""COMPUTED_VALUE"""),"PO Closed")</f>
        <v>PO Closed</v>
      </c>
      <c r="Q335" s="6" t="str">
        <f>IFERROR(__xludf.DUMMYFUNCTION("""COMPUTED_VALUE"""),"GL1807055")</f>
        <v>GL1807055</v>
      </c>
      <c r="R335" s="16">
        <f>IFERROR(__xludf.DUMMYFUNCTION("""COMPUTED_VALUE"""),43300.0)</f>
        <v>43300</v>
      </c>
      <c r="S335" s="6" t="str">
        <f>IFERROR(__xludf.DUMMYFUNCTION("""COMPUTED_VALUE"""),"-")</f>
        <v>-</v>
      </c>
      <c r="T335" s="13">
        <f>IFERROR(__xludf.DUMMYFUNCTION("""COMPUTED_VALUE"""),43343.0)</f>
        <v>43343</v>
      </c>
    </row>
    <row r="336">
      <c r="A336" s="6" t="str">
        <f>IFERROR(__xludf.DUMMYFUNCTION("""COMPUTED_VALUE"""),"181750232-15")</f>
        <v>181750232-15</v>
      </c>
      <c r="B336" s="6" t="str">
        <f>IFERROR(__xludf.DUMMYFUNCTION("""COMPUTED_VALUE"""),"181750232 - Approved")</f>
        <v>181750232 - Approved</v>
      </c>
      <c r="C336" s="6">
        <f>IFERROR(__xludf.DUMMYFUNCTION("""COMPUTED_VALUE"""),15.0)</f>
        <v>15</v>
      </c>
      <c r="D336" s="6" t="str">
        <f>IFERROR(__xludf.DUMMYFUNCTION("""COMPUTED_VALUE"""),"P-11694-00")</f>
        <v>P-11694-00</v>
      </c>
      <c r="E336" s="6" t="str">
        <f>IFERROR(__xludf.DUMMYFUNCTION("""COMPUTED_VALUE"""),"Mata Gerinda 4""")</f>
        <v>Mata Gerinda 4"</v>
      </c>
      <c r="F336" s="6">
        <f>IFERROR(__xludf.DUMMYFUNCTION("""COMPUTED_VALUE"""),1.0)</f>
        <v>1</v>
      </c>
      <c r="G336" s="6" t="str">
        <f>IFERROR(__xludf.DUMMYFUNCTION("""COMPUTED_VALUE"""),"Pieces")</f>
        <v>Pieces</v>
      </c>
      <c r="H336" s="6" t="str">
        <f>IFERROR(__xludf.DUMMYFUNCTION("""COMPUTED_VALUE"""),"IDR")</f>
        <v>IDR</v>
      </c>
      <c r="I336" s="11">
        <f>IFERROR(__xludf.DUMMYFUNCTION("""COMPUTED_VALUE"""),115000.0)</f>
        <v>115000</v>
      </c>
      <c r="J336" s="11">
        <f>IFERROR(__xludf.DUMMYFUNCTION("""COMPUTED_VALUE"""),115000.0)</f>
        <v>115000</v>
      </c>
      <c r="K336" s="17">
        <f>IFERROR(__xludf.DUMMYFUNCTION("""COMPUTED_VALUE"""),43315.0)</f>
        <v>43315</v>
      </c>
      <c r="L336" s="6" t="str">
        <f>IFERROR(__xludf.DUMMYFUNCTION("""COMPUTED_VALUE"""),"FIP General")</f>
        <v>FIP General</v>
      </c>
      <c r="M336" s="6" t="str">
        <f>IFERROR(__xludf.DUMMYFUNCTION("""COMPUTED_VALUE"""),"Joko Nugroho")</f>
        <v>Joko Nugroho</v>
      </c>
      <c r="N336" s="6" t="str">
        <f>IFERROR(__xludf.DUMMYFUNCTION("""COMPUTED_VALUE"""),"FIP Engineering")</f>
        <v>FIP Engineering</v>
      </c>
      <c r="O336" s="6" t="str">
        <f>IFERROR(__xludf.DUMMYFUNCTION("""COMPUTED_VALUE"""),"FIP-DOM-ENG-51404-0000000-INA-000000")</f>
        <v>FIP-DOM-ENG-51404-0000000-INA-000000</v>
      </c>
      <c r="P336" s="6" t="str">
        <f>IFERROR(__xludf.DUMMYFUNCTION("""COMPUTED_VALUE"""),"PO Closed")</f>
        <v>PO Closed</v>
      </c>
      <c r="Q336" s="6" t="str">
        <f>IFERROR(__xludf.DUMMYFUNCTION("""COMPUTED_VALUE"""),"GL1807060")</f>
        <v>GL1807060</v>
      </c>
      <c r="R336" s="16">
        <f>IFERROR(__xludf.DUMMYFUNCTION("""COMPUTED_VALUE"""),43300.0)</f>
        <v>43300</v>
      </c>
      <c r="S336" s="6" t="str">
        <f>IFERROR(__xludf.DUMMYFUNCTION("""COMPUTED_VALUE"""),"-")</f>
        <v>-</v>
      </c>
      <c r="T336" s="13">
        <f>IFERROR(__xludf.DUMMYFUNCTION("""COMPUTED_VALUE"""),43321.0)</f>
        <v>43321</v>
      </c>
    </row>
    <row r="337">
      <c r="A337" s="6" t="str">
        <f>IFERROR(__xludf.DUMMYFUNCTION("""COMPUTED_VALUE"""),"181750232-15")</f>
        <v>181750232-15</v>
      </c>
      <c r="B337" s="6" t="str">
        <f>IFERROR(__xludf.DUMMYFUNCTION("""COMPUTED_VALUE"""),"181750232 - Approved")</f>
        <v>181750232 - Approved</v>
      </c>
      <c r="C337" s="6">
        <f>IFERROR(__xludf.DUMMYFUNCTION("""COMPUTED_VALUE"""),15.0)</f>
        <v>15</v>
      </c>
      <c r="D337" s="6" t="str">
        <f>IFERROR(__xludf.DUMMYFUNCTION("""COMPUTED_VALUE"""),"P-11694-00")</f>
        <v>P-11694-00</v>
      </c>
      <c r="E337" s="6" t="str">
        <f>IFERROR(__xludf.DUMMYFUNCTION("""COMPUTED_VALUE"""),"Mata Gerinda 4""")</f>
        <v>Mata Gerinda 4"</v>
      </c>
      <c r="F337" s="6">
        <f>IFERROR(__xludf.DUMMYFUNCTION("""COMPUTED_VALUE"""),1.0)</f>
        <v>1</v>
      </c>
      <c r="G337" s="6" t="str">
        <f>IFERROR(__xludf.DUMMYFUNCTION("""COMPUTED_VALUE"""),"Pieces")</f>
        <v>Pieces</v>
      </c>
      <c r="H337" s="6" t="str">
        <f>IFERROR(__xludf.DUMMYFUNCTION("""COMPUTED_VALUE"""),"IDR")</f>
        <v>IDR</v>
      </c>
      <c r="I337" s="11">
        <f>IFERROR(__xludf.DUMMYFUNCTION("""COMPUTED_VALUE"""),190000.0)</f>
        <v>190000</v>
      </c>
      <c r="J337" s="11">
        <f>IFERROR(__xludf.DUMMYFUNCTION("""COMPUTED_VALUE"""),190000.0)</f>
        <v>190000</v>
      </c>
      <c r="K337" s="17">
        <f>IFERROR(__xludf.DUMMYFUNCTION("""COMPUTED_VALUE"""),43315.0)</f>
        <v>43315</v>
      </c>
      <c r="L337" s="6" t="str">
        <f>IFERROR(__xludf.DUMMYFUNCTION("""COMPUTED_VALUE"""),"FIP General")</f>
        <v>FIP General</v>
      </c>
      <c r="M337" s="6" t="str">
        <f>IFERROR(__xludf.DUMMYFUNCTION("""COMPUTED_VALUE"""),"Joko Nugroho")</f>
        <v>Joko Nugroho</v>
      </c>
      <c r="N337" s="6" t="str">
        <f>IFERROR(__xludf.DUMMYFUNCTION("""COMPUTED_VALUE"""),"FIP Engineering")</f>
        <v>FIP Engineering</v>
      </c>
      <c r="O337" s="6" t="str">
        <f>IFERROR(__xludf.DUMMYFUNCTION("""COMPUTED_VALUE"""),"FIP-DOM-ENG-51404-0000000-INA-000000")</f>
        <v>FIP-DOM-ENG-51404-0000000-INA-000000</v>
      </c>
      <c r="P337" s="6" t="str">
        <f>IFERROR(__xludf.DUMMYFUNCTION("""COMPUTED_VALUE"""),"PO Closed")</f>
        <v>PO Closed</v>
      </c>
      <c r="Q337" s="6" t="str">
        <f>IFERROR(__xludf.DUMMYFUNCTION("""COMPUTED_VALUE"""),"GL1807060")</f>
        <v>GL1807060</v>
      </c>
      <c r="R337" s="16">
        <f>IFERROR(__xludf.DUMMYFUNCTION("""COMPUTED_VALUE"""),43300.0)</f>
        <v>43300</v>
      </c>
      <c r="S337" s="6" t="str">
        <f>IFERROR(__xludf.DUMMYFUNCTION("""COMPUTED_VALUE"""),"-")</f>
        <v>-</v>
      </c>
      <c r="T337" s="13">
        <f>IFERROR(__xludf.DUMMYFUNCTION("""COMPUTED_VALUE"""),43321.0)</f>
        <v>43321</v>
      </c>
    </row>
    <row r="338">
      <c r="A338" s="6" t="str">
        <f>IFERROR(__xludf.DUMMYFUNCTION("""COMPUTED_VALUE"""),"181750233-7")</f>
        <v>181750233-7</v>
      </c>
      <c r="B338" s="6" t="str">
        <f>IFERROR(__xludf.DUMMYFUNCTION("""COMPUTED_VALUE"""),"181750233 - Approved")</f>
        <v>181750233 - Approved</v>
      </c>
      <c r="C338" s="6">
        <f>IFERROR(__xludf.DUMMYFUNCTION("""COMPUTED_VALUE"""),7.0)</f>
        <v>7</v>
      </c>
      <c r="D338" s="6" t="str">
        <f>IFERROR(__xludf.DUMMYFUNCTION("""COMPUTED_VALUE"""),"Q-50000-00")</f>
        <v>Q-50000-00</v>
      </c>
      <c r="E338" s="6" t="str">
        <f>IFERROR(__xludf.DUMMYFUNCTION("""COMPUTED_VALUE"""),"Engsel Pintu SS")</f>
        <v>Engsel Pintu SS</v>
      </c>
      <c r="F338" s="6">
        <f>IFERROR(__xludf.DUMMYFUNCTION("""COMPUTED_VALUE"""),1.0)</f>
        <v>1</v>
      </c>
      <c r="G338" s="6" t="str">
        <f>IFERROR(__xludf.DUMMYFUNCTION("""COMPUTED_VALUE"""),"Pieces")</f>
        <v>Pieces</v>
      </c>
      <c r="H338" s="6" t="str">
        <f>IFERROR(__xludf.DUMMYFUNCTION("""COMPUTED_VALUE"""),"IDR")</f>
        <v>IDR</v>
      </c>
      <c r="I338" s="11">
        <f>IFERROR(__xludf.DUMMYFUNCTION("""COMPUTED_VALUE"""),375000.0)</f>
        <v>375000</v>
      </c>
      <c r="J338" s="11">
        <f>IFERROR(__xludf.DUMMYFUNCTION("""COMPUTED_VALUE"""),375000.0)</f>
        <v>375000</v>
      </c>
      <c r="K338" s="17">
        <f>IFERROR(__xludf.DUMMYFUNCTION("""COMPUTED_VALUE"""),43318.0)</f>
        <v>43318</v>
      </c>
      <c r="L338" s="6" t="str">
        <f>IFERROR(__xludf.DUMMYFUNCTION("""COMPUTED_VALUE"""),"FIP General")</f>
        <v>FIP General</v>
      </c>
      <c r="M338" s="6" t="str">
        <f>IFERROR(__xludf.DUMMYFUNCTION("""COMPUTED_VALUE"""),"Joko Nugroho")</f>
        <v>Joko Nugroho</v>
      </c>
      <c r="N338" s="6" t="str">
        <f>IFERROR(__xludf.DUMMYFUNCTION("""COMPUTED_VALUE"""),"FIP Engineering")</f>
        <v>FIP Engineering</v>
      </c>
      <c r="O338" s="6" t="str">
        <f>IFERROR(__xludf.DUMMYFUNCTION("""COMPUTED_VALUE"""),"FIP-DOM-ENG-51404-0000000-INA-000000")</f>
        <v>FIP-DOM-ENG-51404-0000000-INA-000000</v>
      </c>
      <c r="P338" s="6" t="str">
        <f>IFERROR(__xludf.DUMMYFUNCTION("""COMPUTED_VALUE"""),"PO Closed")</f>
        <v>PO Closed</v>
      </c>
      <c r="Q338" s="6" t="str">
        <f>IFERROR(__xludf.DUMMYFUNCTION("""COMPUTED_VALUE"""),"GL1809007")</f>
        <v>GL1809007</v>
      </c>
      <c r="R338" s="16">
        <f>IFERROR(__xludf.DUMMYFUNCTION("""COMPUTED_VALUE"""),43301.0)</f>
        <v>43301</v>
      </c>
      <c r="S338" s="6" t="str">
        <f>IFERROR(__xludf.DUMMYFUNCTION("""COMPUTED_VALUE"""),"-")</f>
        <v>-</v>
      </c>
      <c r="T338" s="13">
        <f>IFERROR(__xludf.DUMMYFUNCTION("""COMPUTED_VALUE"""),43370.0)</f>
        <v>43370</v>
      </c>
    </row>
    <row r="339">
      <c r="A339" s="6" t="str">
        <f>IFERROR(__xludf.DUMMYFUNCTION("""COMPUTED_VALUE"""),"181750232-15")</f>
        <v>181750232-15</v>
      </c>
      <c r="B339" s="6" t="str">
        <f>IFERROR(__xludf.DUMMYFUNCTION("""COMPUTED_VALUE"""),"181750232 - Approved")</f>
        <v>181750232 - Approved</v>
      </c>
      <c r="C339" s="6">
        <f>IFERROR(__xludf.DUMMYFUNCTION("""COMPUTED_VALUE"""),15.0)</f>
        <v>15</v>
      </c>
      <c r="D339" s="6" t="str">
        <f>IFERROR(__xludf.DUMMYFUNCTION("""COMPUTED_VALUE"""),"P-10763-00")</f>
        <v>P-10763-00</v>
      </c>
      <c r="E339" s="6" t="str">
        <f>IFERROR(__xludf.DUMMYFUNCTION("""COMPUTED_VALUE"""),"Ferrule 1"" SS 316L")</f>
        <v>Ferrule 1" SS 316L</v>
      </c>
      <c r="F339" s="6">
        <f>IFERROR(__xludf.DUMMYFUNCTION("""COMPUTED_VALUE"""),8.0)</f>
        <v>8</v>
      </c>
      <c r="G339" s="6" t="str">
        <f>IFERROR(__xludf.DUMMYFUNCTION("""COMPUTED_VALUE"""),"Pieces")</f>
        <v>Pieces</v>
      </c>
      <c r="H339" s="6" t="str">
        <f>IFERROR(__xludf.DUMMYFUNCTION("""COMPUTED_VALUE"""),"IDR")</f>
        <v>IDR</v>
      </c>
      <c r="I339" s="11">
        <f>IFERROR(__xludf.DUMMYFUNCTION("""COMPUTED_VALUE"""),235000.0)</f>
        <v>235000</v>
      </c>
      <c r="J339" s="11">
        <f>IFERROR(__xludf.DUMMYFUNCTION("""COMPUTED_VALUE"""),1880000.0)</f>
        <v>1880000</v>
      </c>
      <c r="K339" s="17">
        <f>IFERROR(__xludf.DUMMYFUNCTION("""COMPUTED_VALUE"""),43315.0)</f>
        <v>43315</v>
      </c>
      <c r="L339" s="6" t="str">
        <f>IFERROR(__xludf.DUMMYFUNCTION("""COMPUTED_VALUE"""),"FIP General")</f>
        <v>FIP General</v>
      </c>
      <c r="M339" s="6" t="str">
        <f>IFERROR(__xludf.DUMMYFUNCTION("""COMPUTED_VALUE"""),"Joko Nugroho")</f>
        <v>Joko Nugroho</v>
      </c>
      <c r="N339" s="6" t="str">
        <f>IFERROR(__xludf.DUMMYFUNCTION("""COMPUTED_VALUE"""),"FIP Engineering")</f>
        <v>FIP Engineering</v>
      </c>
      <c r="O339" s="6" t="str">
        <f>IFERROR(__xludf.DUMMYFUNCTION("""COMPUTED_VALUE"""),"FIP-DOM-ENG-51404-0000000-INA-000000")</f>
        <v>FIP-DOM-ENG-51404-0000000-INA-000000</v>
      </c>
      <c r="P339" s="6" t="str">
        <f>IFERROR(__xludf.DUMMYFUNCTION("""COMPUTED_VALUE"""),"PO Closed")</f>
        <v>PO Closed</v>
      </c>
      <c r="Q339" s="6" t="str">
        <f>IFERROR(__xludf.DUMMYFUNCTION("""COMPUTED_VALUE"""),"GL1807060")</f>
        <v>GL1807060</v>
      </c>
      <c r="R339" s="16">
        <f>IFERROR(__xludf.DUMMYFUNCTION("""COMPUTED_VALUE"""),43301.0)</f>
        <v>43301</v>
      </c>
      <c r="S339" s="6" t="str">
        <f>IFERROR(__xludf.DUMMYFUNCTION("""COMPUTED_VALUE"""),"-")</f>
        <v>-</v>
      </c>
      <c r="T339" s="13">
        <f>IFERROR(__xludf.DUMMYFUNCTION("""COMPUTED_VALUE"""),43321.0)</f>
        <v>43321</v>
      </c>
    </row>
    <row r="340">
      <c r="A340" s="6" t="str">
        <f>IFERROR(__xludf.DUMMYFUNCTION("""COMPUTED_VALUE"""),"181750232-15")</f>
        <v>181750232-15</v>
      </c>
      <c r="B340" s="6" t="str">
        <f>IFERROR(__xludf.DUMMYFUNCTION("""COMPUTED_VALUE"""),"181750232 - Approved")</f>
        <v>181750232 - Approved</v>
      </c>
      <c r="C340" s="6">
        <f>IFERROR(__xludf.DUMMYFUNCTION("""COMPUTED_VALUE"""),15.0)</f>
        <v>15</v>
      </c>
      <c r="D340" s="6" t="str">
        <f>IFERROR(__xludf.DUMMYFUNCTION("""COMPUTED_VALUE"""),"P-12195-00")</f>
        <v>P-12195-00</v>
      </c>
      <c r="E340" s="6" t="str">
        <f>IFERROR(__xludf.DUMMYFUNCTION("""COMPUTED_VALUE"""),"Elbow SS 316 L dia 1inch")</f>
        <v>Elbow SS 316 L dia 1inch</v>
      </c>
      <c r="F340" s="6">
        <f>IFERROR(__xludf.DUMMYFUNCTION("""COMPUTED_VALUE"""),2.0)</f>
        <v>2</v>
      </c>
      <c r="G340" s="6" t="str">
        <f>IFERROR(__xludf.DUMMYFUNCTION("""COMPUTED_VALUE"""),"Pieces")</f>
        <v>Pieces</v>
      </c>
      <c r="H340" s="6" t="str">
        <f>IFERROR(__xludf.DUMMYFUNCTION("""COMPUTED_VALUE"""),"IDR")</f>
        <v>IDR</v>
      </c>
      <c r="I340" s="11">
        <f>IFERROR(__xludf.DUMMYFUNCTION("""COMPUTED_VALUE"""),85000.0)</f>
        <v>85000</v>
      </c>
      <c r="J340" s="11">
        <f>IFERROR(__xludf.DUMMYFUNCTION("""COMPUTED_VALUE"""),170000.0)</f>
        <v>170000</v>
      </c>
      <c r="K340" s="17">
        <f>IFERROR(__xludf.DUMMYFUNCTION("""COMPUTED_VALUE"""),43315.0)</f>
        <v>43315</v>
      </c>
      <c r="L340" s="6" t="str">
        <f>IFERROR(__xludf.DUMMYFUNCTION("""COMPUTED_VALUE"""),"FIP Engineering")</f>
        <v>FIP Engineering</v>
      </c>
      <c r="M340" s="6" t="str">
        <f>IFERROR(__xludf.DUMMYFUNCTION("""COMPUTED_VALUE"""),"Joko Nugroho")</f>
        <v>Joko Nugroho</v>
      </c>
      <c r="N340" s="6" t="str">
        <f>IFERROR(__xludf.DUMMYFUNCTION("""COMPUTED_VALUE"""),"FIP Engineering")</f>
        <v>FIP Engineering</v>
      </c>
      <c r="O340" s="6" t="str">
        <f>IFERROR(__xludf.DUMMYFUNCTION("""COMPUTED_VALUE"""),"FIP-DOM-000-11304-OS00001-INA-000000")</f>
        <v>FIP-DOM-000-11304-OS00001-INA-000000</v>
      </c>
      <c r="P340" s="6" t="str">
        <f>IFERROR(__xludf.DUMMYFUNCTION("""COMPUTED_VALUE"""),"PO Closed")</f>
        <v>PO Closed</v>
      </c>
      <c r="Q340" s="6" t="str">
        <f>IFERROR(__xludf.DUMMYFUNCTION("""COMPUTED_VALUE"""),"GL1807060")</f>
        <v>GL1807060</v>
      </c>
      <c r="R340" s="16">
        <f>IFERROR(__xludf.DUMMYFUNCTION("""COMPUTED_VALUE"""),43301.0)</f>
        <v>43301</v>
      </c>
      <c r="S340" s="6" t="str">
        <f>IFERROR(__xludf.DUMMYFUNCTION("""COMPUTED_VALUE"""),"-")</f>
        <v>-</v>
      </c>
      <c r="T340" s="13">
        <f>IFERROR(__xludf.DUMMYFUNCTION("""COMPUTED_VALUE"""),43321.0)</f>
        <v>43321</v>
      </c>
    </row>
    <row r="341">
      <c r="A341" s="6" t="str">
        <f>IFERROR(__xludf.DUMMYFUNCTION("""COMPUTED_VALUE"""),"181750232-15")</f>
        <v>181750232-15</v>
      </c>
      <c r="B341" s="6" t="str">
        <f>IFERROR(__xludf.DUMMYFUNCTION("""COMPUTED_VALUE"""),"181750232 - Approved")</f>
        <v>181750232 - Approved</v>
      </c>
      <c r="C341" s="6">
        <f>IFERROR(__xludf.DUMMYFUNCTION("""COMPUTED_VALUE"""),15.0)</f>
        <v>15</v>
      </c>
      <c r="D341" s="6" t="str">
        <f>IFERROR(__xludf.DUMMYFUNCTION("""COMPUTED_VALUE"""),"P-10763-00")</f>
        <v>P-10763-00</v>
      </c>
      <c r="E341" s="6" t="str">
        <f>IFERROR(__xludf.DUMMYFUNCTION("""COMPUTED_VALUE"""),"Ferrule 1"" SS 316L")</f>
        <v>Ferrule 1" SS 316L</v>
      </c>
      <c r="F341" s="6">
        <f>IFERROR(__xludf.DUMMYFUNCTION("""COMPUTED_VALUE"""),4.0)</f>
        <v>4</v>
      </c>
      <c r="G341" s="6" t="str">
        <f>IFERROR(__xludf.DUMMYFUNCTION("""COMPUTED_VALUE"""),"Pieces")</f>
        <v>Pieces</v>
      </c>
      <c r="H341" s="6" t="str">
        <f>IFERROR(__xludf.DUMMYFUNCTION("""COMPUTED_VALUE"""),"IDR")</f>
        <v>IDR</v>
      </c>
      <c r="I341" s="11">
        <f>IFERROR(__xludf.DUMMYFUNCTION("""COMPUTED_VALUE"""),195000.0)</f>
        <v>195000</v>
      </c>
      <c r="J341" s="11">
        <f>IFERROR(__xludf.DUMMYFUNCTION("""COMPUTED_VALUE"""),780000.0)</f>
        <v>780000</v>
      </c>
      <c r="K341" s="17">
        <f>IFERROR(__xludf.DUMMYFUNCTION("""COMPUTED_VALUE"""),43315.0)</f>
        <v>43315</v>
      </c>
      <c r="L341" s="6" t="str">
        <f>IFERROR(__xludf.DUMMYFUNCTION("""COMPUTED_VALUE"""),"FIP General")</f>
        <v>FIP General</v>
      </c>
      <c r="M341" s="6" t="str">
        <f>IFERROR(__xludf.DUMMYFUNCTION("""COMPUTED_VALUE"""),"Joko Nugroho")</f>
        <v>Joko Nugroho</v>
      </c>
      <c r="N341" s="6" t="str">
        <f>IFERROR(__xludf.DUMMYFUNCTION("""COMPUTED_VALUE"""),"FIP Engineering")</f>
        <v>FIP Engineering</v>
      </c>
      <c r="O341" s="6" t="str">
        <f>IFERROR(__xludf.DUMMYFUNCTION("""COMPUTED_VALUE"""),"FIP-DOM-ENG-51404-0000000-INA-000000")</f>
        <v>FIP-DOM-ENG-51404-0000000-INA-000000</v>
      </c>
      <c r="P341" s="6" t="str">
        <f>IFERROR(__xludf.DUMMYFUNCTION("""COMPUTED_VALUE"""),"PO Closed")</f>
        <v>PO Closed</v>
      </c>
      <c r="Q341" s="6" t="str">
        <f>IFERROR(__xludf.DUMMYFUNCTION("""COMPUTED_VALUE"""),"GL1807060")</f>
        <v>GL1807060</v>
      </c>
      <c r="R341" s="16">
        <f>IFERROR(__xludf.DUMMYFUNCTION("""COMPUTED_VALUE"""),43301.0)</f>
        <v>43301</v>
      </c>
      <c r="S341" s="6" t="str">
        <f>IFERROR(__xludf.DUMMYFUNCTION("""COMPUTED_VALUE"""),"-")</f>
        <v>-</v>
      </c>
      <c r="T341" s="13">
        <f>IFERROR(__xludf.DUMMYFUNCTION("""COMPUTED_VALUE"""),43321.0)</f>
        <v>43321</v>
      </c>
    </row>
    <row r="342">
      <c r="A342" s="6" t="str">
        <f>IFERROR(__xludf.DUMMYFUNCTION("""COMPUTED_VALUE"""),"181750230-12")</f>
        <v>181750230-12</v>
      </c>
      <c r="B342" s="6" t="str">
        <f>IFERROR(__xludf.DUMMYFUNCTION("""COMPUTED_VALUE"""),"181750230 - Approved")</f>
        <v>181750230 - Approved</v>
      </c>
      <c r="C342" s="6">
        <f>IFERROR(__xludf.DUMMYFUNCTION("""COMPUTED_VALUE"""),12.0)</f>
        <v>12</v>
      </c>
      <c r="D342" s="6" t="str">
        <f>IFERROR(__xludf.DUMMYFUNCTION("""COMPUTED_VALUE"""),"P-15391-00")</f>
        <v>P-15391-00</v>
      </c>
      <c r="E342" s="6" t="str">
        <f>IFERROR(__xludf.DUMMYFUNCTION("""COMPUTED_VALUE"""),"Fitting PVC - Reducer PVC AW 4"" x 2""; ; ;")</f>
        <v>Fitting PVC - Reducer PVC AW 4" x 2"; ; ;</v>
      </c>
      <c r="F342" s="6">
        <f>IFERROR(__xludf.DUMMYFUNCTION("""COMPUTED_VALUE"""),2.0)</f>
        <v>2</v>
      </c>
      <c r="G342" s="6" t="str">
        <f>IFERROR(__xludf.DUMMYFUNCTION("""COMPUTED_VALUE"""),"Pieces")</f>
        <v>Pieces</v>
      </c>
      <c r="H342" s="6" t="str">
        <f>IFERROR(__xludf.DUMMYFUNCTION("""COMPUTED_VALUE"""),"IDR")</f>
        <v>IDR</v>
      </c>
      <c r="I342" s="11">
        <f>IFERROR(__xludf.DUMMYFUNCTION("""COMPUTED_VALUE"""),21000.0)</f>
        <v>21000</v>
      </c>
      <c r="J342" s="11">
        <f>IFERROR(__xludf.DUMMYFUNCTION("""COMPUTED_VALUE"""),42000.0)</f>
        <v>42000</v>
      </c>
      <c r="K342" s="17">
        <f>IFERROR(__xludf.DUMMYFUNCTION("""COMPUTED_VALUE"""),43332.0)</f>
        <v>43332</v>
      </c>
      <c r="L342" s="6" t="str">
        <f>IFERROR(__xludf.DUMMYFUNCTION("""COMPUTED_VALUE"""),"FIP General")</f>
        <v>FIP General</v>
      </c>
      <c r="M342" s="6" t="str">
        <f>IFERROR(__xludf.DUMMYFUNCTION("""COMPUTED_VALUE"""),"Joko Nugroho")</f>
        <v>Joko Nugroho</v>
      </c>
      <c r="N342" s="6" t="str">
        <f>IFERROR(__xludf.DUMMYFUNCTION("""COMPUTED_VALUE"""),"FIP Engineering")</f>
        <v>FIP Engineering</v>
      </c>
      <c r="O342" s="6" t="str">
        <f>IFERROR(__xludf.DUMMYFUNCTION("""COMPUTED_VALUE"""),"FIP-DOM-ENG-51404-0000000-INA-000000")</f>
        <v>FIP-DOM-ENG-51404-0000000-INA-000000</v>
      </c>
      <c r="P342" s="6" t="str">
        <f>IFERROR(__xludf.DUMMYFUNCTION("""COMPUTED_VALUE"""),"PO Closed")</f>
        <v>PO Closed</v>
      </c>
      <c r="Q342" s="6" t="str">
        <f>IFERROR(__xludf.DUMMYFUNCTION("""COMPUTED_VALUE"""),"GL1808016")</f>
        <v>GL1808016</v>
      </c>
      <c r="R342" s="16">
        <f>IFERROR(__xludf.DUMMYFUNCTION("""COMPUTED_VALUE"""),43301.0)</f>
        <v>43301</v>
      </c>
      <c r="S342" s="6" t="str">
        <f>IFERROR(__xludf.DUMMYFUNCTION("""COMPUTED_VALUE"""),"-")</f>
        <v>-</v>
      </c>
      <c r="T342" s="13">
        <f>IFERROR(__xludf.DUMMYFUNCTION("""COMPUTED_VALUE"""),43328.0)</f>
        <v>43328</v>
      </c>
    </row>
    <row r="343">
      <c r="A343" s="6" t="str">
        <f>IFERROR(__xludf.DUMMYFUNCTION("""COMPUTED_VALUE"""),"181750252-1")</f>
        <v>181750252-1</v>
      </c>
      <c r="B343" s="6" t="str">
        <f>IFERROR(__xludf.DUMMYFUNCTION("""COMPUTED_VALUE"""),"181750252 - Approved")</f>
        <v>181750252 - Approved</v>
      </c>
      <c r="C343" s="6">
        <f>IFERROR(__xludf.DUMMYFUNCTION("""COMPUTED_VALUE"""),1.0)</f>
        <v>1</v>
      </c>
      <c r="D343" s="6" t="str">
        <f>IFERROR(__xludf.DUMMYFUNCTION("""COMPUTED_VALUE"""),"O-15669-00")</f>
        <v>O-15669-00</v>
      </c>
      <c r="E343" s="6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F343" s="6">
        <f>IFERROR(__xludf.DUMMYFUNCTION("""COMPUTED_VALUE"""),1.0)</f>
        <v>1</v>
      </c>
      <c r="G343" s="6" t="str">
        <f>IFERROR(__xludf.DUMMYFUNCTION("""COMPUTED_VALUE"""),"Unit")</f>
        <v>Unit</v>
      </c>
      <c r="H343" s="6" t="str">
        <f>IFERROR(__xludf.DUMMYFUNCTION("""COMPUTED_VALUE"""),"EUR")</f>
        <v>EUR</v>
      </c>
      <c r="I343" s="11">
        <f>IFERROR(__xludf.DUMMYFUNCTION("""COMPUTED_VALUE"""),107.52)</f>
        <v>107.52</v>
      </c>
      <c r="J343" s="11">
        <f>IFERROR(__xludf.DUMMYFUNCTION("""COMPUTED_VALUE"""),107.52)</f>
        <v>107.52</v>
      </c>
      <c r="K343" s="13">
        <f>IFERROR(__xludf.DUMMYFUNCTION("""COMPUTED_VALUE"""),43367.0)</f>
        <v>43367</v>
      </c>
      <c r="L343" s="6" t="str">
        <f>IFERROR(__xludf.DUMMYFUNCTION("""COMPUTED_VALUE"""),"FIP Engineering")</f>
        <v>FIP Engineering</v>
      </c>
      <c r="M343" s="6" t="str">
        <f>IFERROR(__xludf.DUMMYFUNCTION("""COMPUTED_VALUE"""),"Joko Nugroho")</f>
        <v>Joko Nugroho</v>
      </c>
      <c r="N343" s="6" t="str">
        <f>IFERROR(__xludf.DUMMYFUNCTION("""COMPUTED_VALUE"""),"FIP Engineering")</f>
        <v>FIP Engineering</v>
      </c>
      <c r="O343" s="6" t="str">
        <f>IFERROR(__xludf.DUMMYFUNCTION("""COMPUTED_VALUE"""),"FIP-DOM-000-11304-OS00001-INA-000000")</f>
        <v>FIP-DOM-000-11304-OS00001-INA-000000</v>
      </c>
      <c r="P343" s="6" t="str">
        <f>IFERROR(__xludf.DUMMYFUNCTION("""COMPUTED_VALUE"""),"PO Closed")</f>
        <v>PO Closed</v>
      </c>
      <c r="Q343" s="6" t="str">
        <f>IFERROR(__xludf.DUMMYFUNCTION("""COMPUTED_VALUE"""),"GL1808021")</f>
        <v>GL1808021</v>
      </c>
      <c r="R343" s="16">
        <f>IFERROR(__xludf.DUMMYFUNCTION("""COMPUTED_VALUE"""),43304.0)</f>
        <v>43304</v>
      </c>
      <c r="S343" s="6" t="str">
        <f>IFERROR(__xludf.DUMMYFUNCTION("""COMPUTED_VALUE"""),"-")</f>
        <v>-</v>
      </c>
      <c r="T343" s="13">
        <f>IFERROR(__xludf.DUMMYFUNCTION("""COMPUTED_VALUE"""),43434.0)</f>
        <v>43434</v>
      </c>
    </row>
    <row r="344">
      <c r="A344" s="6" t="str">
        <f>IFERROR(__xludf.DUMMYFUNCTION("""COMPUTED_VALUE"""),"181750252-2")</f>
        <v>181750252-2</v>
      </c>
      <c r="B344" s="6" t="str">
        <f>IFERROR(__xludf.DUMMYFUNCTION("""COMPUTED_VALUE"""),"181750252 - Approved")</f>
        <v>181750252 - Approved</v>
      </c>
      <c r="C344" s="6">
        <f>IFERROR(__xludf.DUMMYFUNCTION("""COMPUTED_VALUE"""),2.0)</f>
        <v>2</v>
      </c>
      <c r="D344" s="6" t="str">
        <f>IFERROR(__xludf.DUMMYFUNCTION("""COMPUTED_VALUE"""),"O-15643-00")</f>
        <v>O-15643-00</v>
      </c>
      <c r="E344" s="6" t="str">
        <f>IFERROR(__xludf.DUMMYFUNCTION("""COMPUTED_VALUE"""),"NOZZLE FOR WATER ; STERILINE ; SS AISI 316L A-1/8MJJXP020S316; PART NO :5311")</f>
        <v>NOZZLE FOR WATER ; STERILINE ; SS AISI 316L A-1/8MJJXP020S316; PART NO :5311</v>
      </c>
      <c r="F344" s="6">
        <f>IFERROR(__xludf.DUMMYFUNCTION("""COMPUTED_VALUE"""),2.0)</f>
        <v>2</v>
      </c>
      <c r="G344" s="6" t="str">
        <f>IFERROR(__xludf.DUMMYFUNCTION("""COMPUTED_VALUE"""),"Unit")</f>
        <v>Unit</v>
      </c>
      <c r="H344" s="6" t="str">
        <f>IFERROR(__xludf.DUMMYFUNCTION("""COMPUTED_VALUE"""),"EUR")</f>
        <v>EUR</v>
      </c>
      <c r="I344" s="11">
        <f>IFERROR(__xludf.DUMMYFUNCTION("""COMPUTED_VALUE"""),14.08)</f>
        <v>14.08</v>
      </c>
      <c r="J344" s="11">
        <f>IFERROR(__xludf.DUMMYFUNCTION("""COMPUTED_VALUE"""),28.16)</f>
        <v>28.16</v>
      </c>
      <c r="K344" s="17">
        <f>IFERROR(__xludf.DUMMYFUNCTION("""COMPUTED_VALUE"""),43367.0)</f>
        <v>43367</v>
      </c>
      <c r="L344" s="6" t="str">
        <f>IFERROR(__xludf.DUMMYFUNCTION("""COMPUTED_VALUE"""),"FIP Engineering")</f>
        <v>FIP Engineering</v>
      </c>
      <c r="M344" s="6" t="str">
        <f>IFERROR(__xludf.DUMMYFUNCTION("""COMPUTED_VALUE"""),"Joko Nugroho")</f>
        <v>Joko Nugroho</v>
      </c>
      <c r="N344" s="6" t="str">
        <f>IFERROR(__xludf.DUMMYFUNCTION("""COMPUTED_VALUE"""),"FIP Engineering")</f>
        <v>FIP Engineering</v>
      </c>
      <c r="O344" s="6" t="str">
        <f>IFERROR(__xludf.DUMMYFUNCTION("""COMPUTED_VALUE"""),"FIP-DOM-000-11304-OS00001-INA-000000")</f>
        <v>FIP-DOM-000-11304-OS00001-INA-000000</v>
      </c>
      <c r="P344" s="6" t="str">
        <f>IFERROR(__xludf.DUMMYFUNCTION("""COMPUTED_VALUE"""),"PO Closed")</f>
        <v>PO Closed</v>
      </c>
      <c r="Q344" s="6" t="str">
        <f>IFERROR(__xludf.DUMMYFUNCTION("""COMPUTED_VALUE"""),"GL1808021")</f>
        <v>GL1808021</v>
      </c>
      <c r="R344" s="16">
        <f>IFERROR(__xludf.DUMMYFUNCTION("""COMPUTED_VALUE"""),43304.0)</f>
        <v>43304</v>
      </c>
      <c r="S344" s="6" t="str">
        <f>IFERROR(__xludf.DUMMYFUNCTION("""COMPUTED_VALUE"""),"-")</f>
        <v>-</v>
      </c>
      <c r="T344" s="13">
        <f>IFERROR(__xludf.DUMMYFUNCTION("""COMPUTED_VALUE"""),43434.0)</f>
        <v>43434</v>
      </c>
    </row>
    <row r="345">
      <c r="A345" s="6" t="str">
        <f>IFERROR(__xludf.DUMMYFUNCTION("""COMPUTED_VALUE"""),"181750252-3")</f>
        <v>181750252-3</v>
      </c>
      <c r="B345" s="6" t="str">
        <f>IFERROR(__xludf.DUMMYFUNCTION("""COMPUTED_VALUE"""),"181750252 - Approved")</f>
        <v>181750252 - Approved</v>
      </c>
      <c r="C345" s="6">
        <f>IFERROR(__xludf.DUMMYFUNCTION("""COMPUTED_VALUE"""),3.0)</f>
        <v>3</v>
      </c>
      <c r="D345" s="6" t="str">
        <f>IFERROR(__xludf.DUMMYFUNCTION("""COMPUTED_VALUE"""),"O-15572-00")</f>
        <v>O-15572-00</v>
      </c>
      <c r="E345" s="6" t="str">
        <f>IFERROR(__xludf.DUMMYFUNCTION("""COMPUTED_VALUE"""),"CORDA TONDA IN NBR D=3MM; STERILINE ; PART NO :6829")</f>
        <v>CORDA TONDA IN NBR D=3MM; STERILINE ; PART NO :6829</v>
      </c>
      <c r="F345" s="6">
        <f>IFERROR(__xludf.DUMMYFUNCTION("""COMPUTED_VALUE"""),4.0)</f>
        <v>4</v>
      </c>
      <c r="G345" s="6" t="str">
        <f>IFERROR(__xludf.DUMMYFUNCTION("""COMPUTED_VALUE"""),"Unit")</f>
        <v>Unit</v>
      </c>
      <c r="H345" s="6" t="str">
        <f>IFERROR(__xludf.DUMMYFUNCTION("""COMPUTED_VALUE"""),"EUR")</f>
        <v>EUR</v>
      </c>
      <c r="I345" s="11">
        <f>IFERROR(__xludf.DUMMYFUNCTION("""COMPUTED_VALUE"""),1.28)</f>
        <v>1.28</v>
      </c>
      <c r="J345" s="11">
        <f>IFERROR(__xludf.DUMMYFUNCTION("""COMPUTED_VALUE"""),5.12)</f>
        <v>5.12</v>
      </c>
      <c r="K345" s="17">
        <f>IFERROR(__xludf.DUMMYFUNCTION("""COMPUTED_VALUE"""),43367.0)</f>
        <v>43367</v>
      </c>
      <c r="L345" s="6" t="str">
        <f>IFERROR(__xludf.DUMMYFUNCTION("""COMPUTED_VALUE"""),"FIP Engineering")</f>
        <v>FIP Engineering</v>
      </c>
      <c r="M345" s="6" t="str">
        <f>IFERROR(__xludf.DUMMYFUNCTION("""COMPUTED_VALUE"""),"Joko Nugroho")</f>
        <v>Joko Nugroho</v>
      </c>
      <c r="N345" s="6" t="str">
        <f>IFERROR(__xludf.DUMMYFUNCTION("""COMPUTED_VALUE"""),"FIP Engineering")</f>
        <v>FIP Engineering</v>
      </c>
      <c r="O345" s="6" t="str">
        <f>IFERROR(__xludf.DUMMYFUNCTION("""COMPUTED_VALUE"""),"FIP-DOM-000-11304-OS00001-INA-000000")</f>
        <v>FIP-DOM-000-11304-OS00001-INA-000000</v>
      </c>
      <c r="P345" s="6" t="str">
        <f>IFERROR(__xludf.DUMMYFUNCTION("""COMPUTED_VALUE"""),"PO Closed")</f>
        <v>PO Closed</v>
      </c>
      <c r="Q345" s="6" t="str">
        <f>IFERROR(__xludf.DUMMYFUNCTION("""COMPUTED_VALUE"""),"GL1808021")</f>
        <v>GL1808021</v>
      </c>
      <c r="R345" s="16">
        <f>IFERROR(__xludf.DUMMYFUNCTION("""COMPUTED_VALUE"""),43304.0)</f>
        <v>43304</v>
      </c>
      <c r="S345" s="6" t="str">
        <f>IFERROR(__xludf.DUMMYFUNCTION("""COMPUTED_VALUE"""),"-")</f>
        <v>-</v>
      </c>
      <c r="T345" s="13">
        <f>IFERROR(__xludf.DUMMYFUNCTION("""COMPUTED_VALUE"""),43434.0)</f>
        <v>43434</v>
      </c>
    </row>
    <row r="346">
      <c r="A346" s="6" t="str">
        <f>IFERROR(__xludf.DUMMYFUNCTION("""COMPUTED_VALUE"""),"181750252-5")</f>
        <v>181750252-5</v>
      </c>
      <c r="B346" s="6" t="str">
        <f>IFERROR(__xludf.DUMMYFUNCTION("""COMPUTED_VALUE"""),"181750252 - Approved")</f>
        <v>181750252 - Approved</v>
      </c>
      <c r="C346" s="6">
        <f>IFERROR(__xludf.DUMMYFUNCTION("""COMPUTED_VALUE"""),5.0)</f>
        <v>5</v>
      </c>
      <c r="D346" s="6" t="str">
        <f>IFERROR(__xludf.DUMMYFUNCTION("""COMPUTED_VALUE"""),"O-51817-00")</f>
        <v>O-51817-00</v>
      </c>
      <c r="E346" s="6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F346" s="6">
        <f>IFERROR(__xludf.DUMMYFUNCTION("""COMPUTED_VALUE"""),1.0)</f>
        <v>1</v>
      </c>
      <c r="G346" s="6" t="str">
        <f>IFERROR(__xludf.DUMMYFUNCTION("""COMPUTED_VALUE"""),"Unit")</f>
        <v>Unit</v>
      </c>
      <c r="H346" s="6" t="str">
        <f>IFERROR(__xludf.DUMMYFUNCTION("""COMPUTED_VALUE"""),"EUR")</f>
        <v>EUR</v>
      </c>
      <c r="I346" s="11">
        <f>IFERROR(__xludf.DUMMYFUNCTION("""COMPUTED_VALUE"""),193.28)</f>
        <v>193.28</v>
      </c>
      <c r="J346" s="11">
        <f>IFERROR(__xludf.DUMMYFUNCTION("""COMPUTED_VALUE"""),193.28)</f>
        <v>193.28</v>
      </c>
      <c r="K346" s="17">
        <f>IFERROR(__xludf.DUMMYFUNCTION("""COMPUTED_VALUE"""),43367.0)</f>
        <v>43367</v>
      </c>
      <c r="L346" s="6" t="str">
        <f>IFERROR(__xludf.DUMMYFUNCTION("""COMPUTED_VALUE"""),"FIP Engineering")</f>
        <v>FIP Engineering</v>
      </c>
      <c r="M346" s="6" t="str">
        <f>IFERROR(__xludf.DUMMYFUNCTION("""COMPUTED_VALUE"""),"Joko Nugroho")</f>
        <v>Joko Nugroho</v>
      </c>
      <c r="N346" s="6" t="str">
        <f>IFERROR(__xludf.DUMMYFUNCTION("""COMPUTED_VALUE"""),"FIP Engineering")</f>
        <v>FIP Engineering</v>
      </c>
      <c r="O346" s="6" t="str">
        <f>IFERROR(__xludf.DUMMYFUNCTION("""COMPUTED_VALUE"""),"FIP-DOM-000-11304-OS00001-INA-000000")</f>
        <v>FIP-DOM-000-11304-OS00001-INA-000000</v>
      </c>
      <c r="P346" s="6" t="str">
        <f>IFERROR(__xludf.DUMMYFUNCTION("""COMPUTED_VALUE"""),"PO Closed")</f>
        <v>PO Closed</v>
      </c>
      <c r="Q346" s="6" t="str">
        <f>IFERROR(__xludf.DUMMYFUNCTION("""COMPUTED_VALUE"""),"GL1808021")</f>
        <v>GL1808021</v>
      </c>
      <c r="R346" s="16">
        <f>IFERROR(__xludf.DUMMYFUNCTION("""COMPUTED_VALUE"""),43304.0)</f>
        <v>43304</v>
      </c>
      <c r="S346" s="6" t="str">
        <f>IFERROR(__xludf.DUMMYFUNCTION("""COMPUTED_VALUE"""),"-")</f>
        <v>-</v>
      </c>
      <c r="T346" s="13">
        <f>IFERROR(__xludf.DUMMYFUNCTION("""COMPUTED_VALUE"""),43434.0)</f>
        <v>43434</v>
      </c>
    </row>
    <row r="347">
      <c r="A347" s="6" t="str">
        <f>IFERROR(__xludf.DUMMYFUNCTION("""COMPUTED_VALUE"""),"181750252-6")</f>
        <v>181750252-6</v>
      </c>
      <c r="B347" s="6" t="str">
        <f>IFERROR(__xludf.DUMMYFUNCTION("""COMPUTED_VALUE"""),"181750252 - Approved")</f>
        <v>181750252 - Approved</v>
      </c>
      <c r="C347" s="6">
        <f>IFERROR(__xludf.DUMMYFUNCTION("""COMPUTED_VALUE"""),6.0)</f>
        <v>6</v>
      </c>
      <c r="D347" s="6" t="str">
        <f>IFERROR(__xludf.DUMMYFUNCTION("""COMPUTED_VALUE"""),"O-15905-00")</f>
        <v>O-15905-00</v>
      </c>
      <c r="E347" s="6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F347" s="6">
        <f>IFERROR(__xludf.DUMMYFUNCTION("""COMPUTED_VALUE"""),1.0)</f>
        <v>1</v>
      </c>
      <c r="G347" s="6" t="str">
        <f>IFERROR(__xludf.DUMMYFUNCTION("""COMPUTED_VALUE"""),"Unit")</f>
        <v>Unit</v>
      </c>
      <c r="H347" s="6" t="str">
        <f>IFERROR(__xludf.DUMMYFUNCTION("""COMPUTED_VALUE"""),"EUR")</f>
        <v>EUR</v>
      </c>
      <c r="I347" s="11">
        <f>IFERROR(__xludf.DUMMYFUNCTION("""COMPUTED_VALUE"""),94.72)</f>
        <v>94.72</v>
      </c>
      <c r="J347" s="11">
        <f>IFERROR(__xludf.DUMMYFUNCTION("""COMPUTED_VALUE"""),94.72)</f>
        <v>94.72</v>
      </c>
      <c r="K347" s="17">
        <f>IFERROR(__xludf.DUMMYFUNCTION("""COMPUTED_VALUE"""),43367.0)</f>
        <v>43367</v>
      </c>
      <c r="L347" s="6" t="str">
        <f>IFERROR(__xludf.DUMMYFUNCTION("""COMPUTED_VALUE"""),"FIP Engineering")</f>
        <v>FIP Engineering</v>
      </c>
      <c r="M347" s="6" t="str">
        <f>IFERROR(__xludf.DUMMYFUNCTION("""COMPUTED_VALUE"""),"Joko Nugroho")</f>
        <v>Joko Nugroho</v>
      </c>
      <c r="N347" s="6" t="str">
        <f>IFERROR(__xludf.DUMMYFUNCTION("""COMPUTED_VALUE"""),"FIP Engineering")</f>
        <v>FIP Engineering</v>
      </c>
      <c r="O347" s="6" t="str">
        <f>IFERROR(__xludf.DUMMYFUNCTION("""COMPUTED_VALUE"""),"FIP-DOM-000-11304-OS00001-INA-000000")</f>
        <v>FIP-DOM-000-11304-OS00001-INA-000000</v>
      </c>
      <c r="P347" s="6" t="str">
        <f>IFERROR(__xludf.DUMMYFUNCTION("""COMPUTED_VALUE"""),"PO Closed")</f>
        <v>PO Closed</v>
      </c>
      <c r="Q347" s="6" t="str">
        <f>IFERROR(__xludf.DUMMYFUNCTION("""COMPUTED_VALUE"""),"GL1808021")</f>
        <v>GL1808021</v>
      </c>
      <c r="R347" s="16">
        <f>IFERROR(__xludf.DUMMYFUNCTION("""COMPUTED_VALUE"""),43304.0)</f>
        <v>43304</v>
      </c>
      <c r="S347" s="6" t="str">
        <f>IFERROR(__xludf.DUMMYFUNCTION("""COMPUTED_VALUE"""),"-")</f>
        <v>-</v>
      </c>
      <c r="T347" s="13">
        <f>IFERROR(__xludf.DUMMYFUNCTION("""COMPUTED_VALUE"""),43434.0)</f>
        <v>43434</v>
      </c>
    </row>
    <row r="348">
      <c r="A348" s="6" t="str">
        <f>IFERROR(__xludf.DUMMYFUNCTION("""COMPUTED_VALUE"""),"181750252-10")</f>
        <v>181750252-10</v>
      </c>
      <c r="B348" s="6" t="str">
        <f>IFERROR(__xludf.DUMMYFUNCTION("""COMPUTED_VALUE"""),"181750252 - Approved")</f>
        <v>181750252 - Approved</v>
      </c>
      <c r="C348" s="6">
        <f>IFERROR(__xludf.DUMMYFUNCTION("""COMPUTED_VALUE"""),10.0)</f>
        <v>10</v>
      </c>
      <c r="D348" s="6" t="str">
        <f>IFERROR(__xludf.DUMMYFUNCTION("""COMPUTED_VALUE"""),"O-15587-00")</f>
        <v>O-15587-00</v>
      </c>
      <c r="E348" s="6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F348" s="6">
        <f>IFERROR(__xludf.DUMMYFUNCTION("""COMPUTED_VALUE"""),2.0)</f>
        <v>2</v>
      </c>
      <c r="G348" s="6" t="str">
        <f>IFERROR(__xludf.DUMMYFUNCTION("""COMPUTED_VALUE"""),"Unit")</f>
        <v>Unit</v>
      </c>
      <c r="H348" s="6" t="str">
        <f>IFERROR(__xludf.DUMMYFUNCTION("""COMPUTED_VALUE"""),"EUR")</f>
        <v>EUR</v>
      </c>
      <c r="I348" s="11">
        <f>IFERROR(__xludf.DUMMYFUNCTION("""COMPUTED_VALUE"""),250.88)</f>
        <v>250.88</v>
      </c>
      <c r="J348" s="11">
        <f>IFERROR(__xludf.DUMMYFUNCTION("""COMPUTED_VALUE"""),501.76)</f>
        <v>501.76</v>
      </c>
      <c r="K348" s="17">
        <f>IFERROR(__xludf.DUMMYFUNCTION("""COMPUTED_VALUE"""),43367.0)</f>
        <v>43367</v>
      </c>
      <c r="L348" s="6" t="str">
        <f>IFERROR(__xludf.DUMMYFUNCTION("""COMPUTED_VALUE"""),"FIP Engineering")</f>
        <v>FIP Engineering</v>
      </c>
      <c r="M348" s="6" t="str">
        <f>IFERROR(__xludf.DUMMYFUNCTION("""COMPUTED_VALUE"""),"Joko Nugroho")</f>
        <v>Joko Nugroho</v>
      </c>
      <c r="N348" s="6" t="str">
        <f>IFERROR(__xludf.DUMMYFUNCTION("""COMPUTED_VALUE"""),"FIP Engineering")</f>
        <v>FIP Engineering</v>
      </c>
      <c r="O348" s="6" t="str">
        <f>IFERROR(__xludf.DUMMYFUNCTION("""COMPUTED_VALUE"""),"FIP-DOM-000-11304-OS00001-INA-000000")</f>
        <v>FIP-DOM-000-11304-OS00001-INA-000000</v>
      </c>
      <c r="P348" s="6" t="str">
        <f>IFERROR(__xludf.DUMMYFUNCTION("""COMPUTED_VALUE"""),"PO Closed")</f>
        <v>PO Closed</v>
      </c>
      <c r="Q348" s="6" t="str">
        <f>IFERROR(__xludf.DUMMYFUNCTION("""COMPUTED_VALUE"""),"GL1808021")</f>
        <v>GL1808021</v>
      </c>
      <c r="R348" s="16">
        <f>IFERROR(__xludf.DUMMYFUNCTION("""COMPUTED_VALUE"""),43304.0)</f>
        <v>43304</v>
      </c>
      <c r="S348" s="6" t="str">
        <f>IFERROR(__xludf.DUMMYFUNCTION("""COMPUTED_VALUE"""),"-")</f>
        <v>-</v>
      </c>
      <c r="T348" s="13">
        <f>IFERROR(__xludf.DUMMYFUNCTION("""COMPUTED_VALUE"""),43434.0)</f>
        <v>43434</v>
      </c>
    </row>
    <row r="349">
      <c r="A349" s="6" t="str">
        <f>IFERROR(__xludf.DUMMYFUNCTION("""COMPUTED_VALUE"""),"181750252-12")</f>
        <v>181750252-12</v>
      </c>
      <c r="B349" s="6" t="str">
        <f>IFERROR(__xludf.DUMMYFUNCTION("""COMPUTED_VALUE"""),"181750252 - Approved")</f>
        <v>181750252 - Approved</v>
      </c>
      <c r="C349" s="6">
        <f>IFERROR(__xludf.DUMMYFUNCTION("""COMPUTED_VALUE"""),12.0)</f>
        <v>12</v>
      </c>
      <c r="D349" s="6" t="str">
        <f>IFERROR(__xludf.DUMMYFUNCTION("""COMPUTED_VALUE"""),"O-15587-00")</f>
        <v>O-15587-00</v>
      </c>
      <c r="E349" s="6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F349" s="6">
        <f>IFERROR(__xludf.DUMMYFUNCTION("""COMPUTED_VALUE"""),2.0)</f>
        <v>2</v>
      </c>
      <c r="G349" s="6" t="str">
        <f>IFERROR(__xludf.DUMMYFUNCTION("""COMPUTED_VALUE"""),"Unit")</f>
        <v>Unit</v>
      </c>
      <c r="H349" s="6" t="str">
        <f>IFERROR(__xludf.DUMMYFUNCTION("""COMPUTED_VALUE"""),"EUR")</f>
        <v>EUR</v>
      </c>
      <c r="I349" s="11">
        <f>IFERROR(__xludf.DUMMYFUNCTION("""COMPUTED_VALUE"""),250.88)</f>
        <v>250.88</v>
      </c>
      <c r="J349" s="11">
        <f>IFERROR(__xludf.DUMMYFUNCTION("""COMPUTED_VALUE"""),501.76)</f>
        <v>501.76</v>
      </c>
      <c r="K349" s="17">
        <f>IFERROR(__xludf.DUMMYFUNCTION("""COMPUTED_VALUE"""),43367.0)</f>
        <v>43367</v>
      </c>
      <c r="L349" s="6" t="str">
        <f>IFERROR(__xludf.DUMMYFUNCTION("""COMPUTED_VALUE"""),"FIP Engineering")</f>
        <v>FIP Engineering</v>
      </c>
      <c r="M349" s="6" t="str">
        <f>IFERROR(__xludf.DUMMYFUNCTION("""COMPUTED_VALUE"""),"Joko Nugroho")</f>
        <v>Joko Nugroho</v>
      </c>
      <c r="N349" s="6" t="str">
        <f>IFERROR(__xludf.DUMMYFUNCTION("""COMPUTED_VALUE"""),"FIP Engineering")</f>
        <v>FIP Engineering</v>
      </c>
      <c r="O349" s="6" t="str">
        <f>IFERROR(__xludf.DUMMYFUNCTION("""COMPUTED_VALUE"""),"FIP-DOM-000-11304-OS00001-INA-000000")</f>
        <v>FIP-DOM-000-11304-OS00001-INA-000000</v>
      </c>
      <c r="P349" s="6" t="str">
        <f>IFERROR(__xludf.DUMMYFUNCTION("""COMPUTED_VALUE"""),"PO Closed")</f>
        <v>PO Closed</v>
      </c>
      <c r="Q349" s="6" t="str">
        <f>IFERROR(__xludf.DUMMYFUNCTION("""COMPUTED_VALUE"""),"GL1808021")</f>
        <v>GL1808021</v>
      </c>
      <c r="R349" s="16">
        <f>IFERROR(__xludf.DUMMYFUNCTION("""COMPUTED_VALUE"""),43304.0)</f>
        <v>43304</v>
      </c>
      <c r="S349" s="6" t="str">
        <f>IFERROR(__xludf.DUMMYFUNCTION("""COMPUTED_VALUE"""),"-")</f>
        <v>-</v>
      </c>
      <c r="T349" s="13">
        <f>IFERROR(__xludf.DUMMYFUNCTION("""COMPUTED_VALUE"""),43434.0)</f>
        <v>43434</v>
      </c>
    </row>
    <row r="350">
      <c r="A350" s="6" t="str">
        <f>IFERROR(__xludf.DUMMYFUNCTION("""COMPUTED_VALUE"""),"181750250-1")</f>
        <v>181750250-1</v>
      </c>
      <c r="B350" s="6" t="str">
        <f>IFERROR(__xludf.DUMMYFUNCTION("""COMPUTED_VALUE"""),"181750250 - Approved")</f>
        <v>181750250 - Approved</v>
      </c>
      <c r="C350" s="6">
        <f>IFERROR(__xludf.DUMMYFUNCTION("""COMPUTED_VALUE"""),1.0)</f>
        <v>1</v>
      </c>
      <c r="D350" s="6" t="str">
        <f>IFERROR(__xludf.DUMMYFUNCTION("""COMPUTED_VALUE"""),"O-16149-00")</f>
        <v>O-16149-00</v>
      </c>
      <c r="E350" s="6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F350" s="6">
        <f>IFERROR(__xludf.DUMMYFUNCTION("""COMPUTED_VALUE"""),2.0)</f>
        <v>2</v>
      </c>
      <c r="G350" s="6" t="str">
        <f>IFERROR(__xludf.DUMMYFUNCTION("""COMPUTED_VALUE"""),"Set")</f>
        <v>Set</v>
      </c>
      <c r="H350" s="6" t="str">
        <f>IFERROR(__xludf.DUMMYFUNCTION("""COMPUTED_VALUE"""),"USD")</f>
        <v>USD</v>
      </c>
      <c r="I350" s="11">
        <f>IFERROR(__xludf.DUMMYFUNCTION("""COMPUTED_VALUE"""),35.77)</f>
        <v>35.77</v>
      </c>
      <c r="J350" s="11">
        <f>IFERROR(__xludf.DUMMYFUNCTION("""COMPUTED_VALUE"""),71.54)</f>
        <v>71.54</v>
      </c>
      <c r="K350" s="13">
        <f>IFERROR(__xludf.DUMMYFUNCTION("""COMPUTED_VALUE"""),43353.0)</f>
        <v>43353</v>
      </c>
      <c r="L350" s="6" t="str">
        <f>IFERROR(__xludf.DUMMYFUNCTION("""COMPUTED_VALUE"""),"FIP Engineering")</f>
        <v>FIP Engineering</v>
      </c>
      <c r="M350" s="6" t="str">
        <f>IFERROR(__xludf.DUMMYFUNCTION("""COMPUTED_VALUE"""),"Joko Nugroho")</f>
        <v>Joko Nugroho</v>
      </c>
      <c r="N350" s="6" t="str">
        <f>IFERROR(__xludf.DUMMYFUNCTION("""COMPUTED_VALUE"""),"FIP Engineering")</f>
        <v>FIP Engineering</v>
      </c>
      <c r="O350" s="6" t="str">
        <f>IFERROR(__xludf.DUMMYFUNCTION("""COMPUTED_VALUE"""),"FIP-DOM-000-11304-OS00001-INA-000000")</f>
        <v>FIP-DOM-000-11304-OS00001-INA-000000</v>
      </c>
      <c r="P350" s="6" t="str">
        <f>IFERROR(__xludf.DUMMYFUNCTION("""COMPUTED_VALUE"""),"PO Closed")</f>
        <v>PO Closed</v>
      </c>
      <c r="Q350" s="6" t="str">
        <f>IFERROR(__xludf.DUMMYFUNCTION("""COMPUTED_VALUE"""),"GL1807053")</f>
        <v>GL1807053</v>
      </c>
      <c r="R350" s="16">
        <f>IFERROR(__xludf.DUMMYFUNCTION("""COMPUTED_VALUE"""),43304.0)</f>
        <v>43304</v>
      </c>
      <c r="S350" s="6" t="str">
        <f>IFERROR(__xludf.DUMMYFUNCTION("""COMPUTED_VALUE"""),"-")</f>
        <v>-</v>
      </c>
      <c r="T350" s="13">
        <f>IFERROR(__xludf.DUMMYFUNCTION("""COMPUTED_VALUE"""),43383.0)</f>
        <v>43383</v>
      </c>
    </row>
    <row r="351">
      <c r="A351" s="6" t="str">
        <f>IFERROR(__xludf.DUMMYFUNCTION("""COMPUTED_VALUE"""),"181750250-2")</f>
        <v>181750250-2</v>
      </c>
      <c r="B351" s="6" t="str">
        <f>IFERROR(__xludf.DUMMYFUNCTION("""COMPUTED_VALUE"""),"181750250 - Approved")</f>
        <v>181750250 - Approved</v>
      </c>
      <c r="C351" s="6">
        <f>IFERROR(__xludf.DUMMYFUNCTION("""COMPUTED_VALUE"""),2.0)</f>
        <v>2</v>
      </c>
      <c r="D351" s="6" t="str">
        <f>IFERROR(__xludf.DUMMYFUNCTION("""COMPUTED_VALUE"""),"O-16150-00")</f>
        <v>O-16150-00</v>
      </c>
      <c r="E351" s="6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F351" s="6">
        <f>IFERROR(__xludf.DUMMYFUNCTION("""COMPUTED_VALUE"""),2.0)</f>
        <v>2</v>
      </c>
      <c r="G351" s="6" t="str">
        <f>IFERROR(__xludf.DUMMYFUNCTION("""COMPUTED_VALUE"""),"Set")</f>
        <v>Set</v>
      </c>
      <c r="H351" s="6" t="str">
        <f>IFERROR(__xludf.DUMMYFUNCTION("""COMPUTED_VALUE"""),"USD")</f>
        <v>USD</v>
      </c>
      <c r="I351" s="11">
        <f>IFERROR(__xludf.DUMMYFUNCTION("""COMPUTED_VALUE"""),14.52)</f>
        <v>14.52</v>
      </c>
      <c r="J351" s="11">
        <f>IFERROR(__xludf.DUMMYFUNCTION("""COMPUTED_VALUE"""),29.04)</f>
        <v>29.04</v>
      </c>
      <c r="K351" s="17">
        <f>IFERROR(__xludf.DUMMYFUNCTION("""COMPUTED_VALUE"""),43353.0)</f>
        <v>43353</v>
      </c>
      <c r="L351" s="6" t="str">
        <f>IFERROR(__xludf.DUMMYFUNCTION("""COMPUTED_VALUE"""),"FIP Engineering")</f>
        <v>FIP Engineering</v>
      </c>
      <c r="M351" s="6" t="str">
        <f>IFERROR(__xludf.DUMMYFUNCTION("""COMPUTED_VALUE"""),"Joko Nugroho")</f>
        <v>Joko Nugroho</v>
      </c>
      <c r="N351" s="6" t="str">
        <f>IFERROR(__xludf.DUMMYFUNCTION("""COMPUTED_VALUE"""),"FIP Engineering")</f>
        <v>FIP Engineering</v>
      </c>
      <c r="O351" s="6" t="str">
        <f>IFERROR(__xludf.DUMMYFUNCTION("""COMPUTED_VALUE"""),"FIP-DOM-000-11304-OS00001-INA-000000")</f>
        <v>FIP-DOM-000-11304-OS00001-INA-000000</v>
      </c>
      <c r="P351" s="6" t="str">
        <f>IFERROR(__xludf.DUMMYFUNCTION("""COMPUTED_VALUE"""),"PO Closed")</f>
        <v>PO Closed</v>
      </c>
      <c r="Q351" s="6" t="str">
        <f>IFERROR(__xludf.DUMMYFUNCTION("""COMPUTED_VALUE"""),"GL1807053")</f>
        <v>GL1807053</v>
      </c>
      <c r="R351" s="16">
        <f>IFERROR(__xludf.DUMMYFUNCTION("""COMPUTED_VALUE"""),43304.0)</f>
        <v>43304</v>
      </c>
      <c r="S351" s="6" t="str">
        <f>IFERROR(__xludf.DUMMYFUNCTION("""COMPUTED_VALUE"""),"-")</f>
        <v>-</v>
      </c>
      <c r="T351" s="13">
        <f>IFERROR(__xludf.DUMMYFUNCTION("""COMPUTED_VALUE"""),43383.0)</f>
        <v>43383</v>
      </c>
    </row>
    <row r="352">
      <c r="A352" s="6" t="str">
        <f>IFERROR(__xludf.DUMMYFUNCTION("""COMPUTED_VALUE"""),"181750250-3")</f>
        <v>181750250-3</v>
      </c>
      <c r="B352" s="6" t="str">
        <f>IFERROR(__xludf.DUMMYFUNCTION("""COMPUTED_VALUE"""),"181750250 - Approved")</f>
        <v>181750250 - Approved</v>
      </c>
      <c r="C352" s="6">
        <f>IFERROR(__xludf.DUMMYFUNCTION("""COMPUTED_VALUE"""),3.0)</f>
        <v>3</v>
      </c>
      <c r="D352" s="6" t="str">
        <f>IFERROR(__xludf.DUMMYFUNCTION("""COMPUTED_VALUE"""),"O-16152-00")</f>
        <v>O-16152-00</v>
      </c>
      <c r="E352" s="6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F352" s="6">
        <f>IFERROR(__xludf.DUMMYFUNCTION("""COMPUTED_VALUE"""),2.0)</f>
        <v>2</v>
      </c>
      <c r="G352" s="6" t="str">
        <f>IFERROR(__xludf.DUMMYFUNCTION("""COMPUTED_VALUE"""),"Unit")</f>
        <v>Unit</v>
      </c>
      <c r="H352" s="6" t="str">
        <f>IFERROR(__xludf.DUMMYFUNCTION("""COMPUTED_VALUE"""),"USD")</f>
        <v>USD</v>
      </c>
      <c r="I352" s="11">
        <f>IFERROR(__xludf.DUMMYFUNCTION("""COMPUTED_VALUE"""),17.25)</f>
        <v>17.25</v>
      </c>
      <c r="J352" s="11">
        <f>IFERROR(__xludf.DUMMYFUNCTION("""COMPUTED_VALUE"""),34.5)</f>
        <v>34.5</v>
      </c>
      <c r="K352" s="13">
        <f>IFERROR(__xludf.DUMMYFUNCTION("""COMPUTED_VALUE"""),43353.0)</f>
        <v>43353</v>
      </c>
      <c r="L352" s="6" t="str">
        <f>IFERROR(__xludf.DUMMYFUNCTION("""COMPUTED_VALUE"""),"FIP Engineering")</f>
        <v>FIP Engineering</v>
      </c>
      <c r="M352" s="6" t="str">
        <f>IFERROR(__xludf.DUMMYFUNCTION("""COMPUTED_VALUE"""),"Joko Nugroho")</f>
        <v>Joko Nugroho</v>
      </c>
      <c r="N352" s="6" t="str">
        <f>IFERROR(__xludf.DUMMYFUNCTION("""COMPUTED_VALUE"""),"FIP Engineering")</f>
        <v>FIP Engineering</v>
      </c>
      <c r="O352" s="6" t="str">
        <f>IFERROR(__xludf.DUMMYFUNCTION("""COMPUTED_VALUE"""),"FIP-DOM-000-11304-OS00001-INA-000000")</f>
        <v>FIP-DOM-000-11304-OS00001-INA-000000</v>
      </c>
      <c r="P352" s="6" t="str">
        <f>IFERROR(__xludf.DUMMYFUNCTION("""COMPUTED_VALUE"""),"PO Closed")</f>
        <v>PO Closed</v>
      </c>
      <c r="Q352" s="6" t="str">
        <f>IFERROR(__xludf.DUMMYFUNCTION("""COMPUTED_VALUE"""),"GL1807053")</f>
        <v>GL1807053</v>
      </c>
      <c r="R352" s="16">
        <f>IFERROR(__xludf.DUMMYFUNCTION("""COMPUTED_VALUE"""),43304.0)</f>
        <v>43304</v>
      </c>
      <c r="S352" s="6" t="str">
        <f>IFERROR(__xludf.DUMMYFUNCTION("""COMPUTED_VALUE"""),"-")</f>
        <v>-</v>
      </c>
      <c r="T352" s="13">
        <f>IFERROR(__xludf.DUMMYFUNCTION("""COMPUTED_VALUE"""),43383.0)</f>
        <v>43383</v>
      </c>
    </row>
    <row r="353">
      <c r="A353" s="6" t="str">
        <f>IFERROR(__xludf.DUMMYFUNCTION("""COMPUTED_VALUE"""),"181750249-1")</f>
        <v>181750249-1</v>
      </c>
      <c r="B353" s="6" t="str">
        <f>IFERROR(__xludf.DUMMYFUNCTION("""COMPUTED_VALUE"""),"181750249 - Approved")</f>
        <v>181750249 - Approved</v>
      </c>
      <c r="C353" s="6">
        <f>IFERROR(__xludf.DUMMYFUNCTION("""COMPUTED_VALUE"""),1.0)</f>
        <v>1</v>
      </c>
      <c r="D353" s="6" t="str">
        <f>IFERROR(__xludf.DUMMYFUNCTION("""COMPUTED_VALUE"""),"O-16175-00")</f>
        <v>O-16175-00</v>
      </c>
      <c r="E353" s="6" t="str">
        <f>IFERROR(__xludf.DUMMYFUNCTION("""COMPUTED_VALUE"""),"O-RING T=3,53 :OR 4725 MVQ NT70-RED+M4 39269097; Order No : 5025020; ; ;")</f>
        <v>O-RING T=3,53 :OR 4725 MVQ NT70-RED+M4 39269097; Order No : 5025020; ; ;</v>
      </c>
      <c r="F353" s="6">
        <f>IFERROR(__xludf.DUMMYFUNCTION("""COMPUTED_VALUE"""),6.0)</f>
        <v>6</v>
      </c>
      <c r="G353" s="6" t="str">
        <f>IFERROR(__xludf.DUMMYFUNCTION("""COMPUTED_VALUE"""),"Unit")</f>
        <v>Unit</v>
      </c>
      <c r="H353" s="6" t="str">
        <f>IFERROR(__xludf.DUMMYFUNCTION("""COMPUTED_VALUE"""),"EUR")</f>
        <v>EUR</v>
      </c>
      <c r="I353" s="11">
        <f>IFERROR(__xludf.DUMMYFUNCTION("""COMPUTED_VALUE"""),2.59)</f>
        <v>2.59</v>
      </c>
      <c r="J353" s="11">
        <f>IFERROR(__xludf.DUMMYFUNCTION("""COMPUTED_VALUE"""),15.54)</f>
        <v>15.54</v>
      </c>
      <c r="K353" s="13">
        <f>IFERROR(__xludf.DUMMYFUNCTION("""COMPUTED_VALUE"""),43346.0)</f>
        <v>43346</v>
      </c>
      <c r="L353" s="6" t="str">
        <f>IFERROR(__xludf.DUMMYFUNCTION("""COMPUTED_VALUE"""),"FIP Engineering")</f>
        <v>FIP Engineering</v>
      </c>
      <c r="M353" s="6" t="str">
        <f>IFERROR(__xludf.DUMMYFUNCTION("""COMPUTED_VALUE"""),"Joko Nugroho")</f>
        <v>Joko Nugroho</v>
      </c>
      <c r="N353" s="6" t="str">
        <f>IFERROR(__xludf.DUMMYFUNCTION("""COMPUTED_VALUE"""),"FIP Engineering")</f>
        <v>FIP Engineering</v>
      </c>
      <c r="O353" s="6" t="str">
        <f>IFERROR(__xludf.DUMMYFUNCTION("""COMPUTED_VALUE"""),"FIP-DOM-000-11304-OS00001-INA-000000")</f>
        <v>FIP-DOM-000-11304-OS00001-INA-000000</v>
      </c>
      <c r="P353" s="6" t="str">
        <f>IFERROR(__xludf.DUMMYFUNCTION("""COMPUTED_VALUE"""),"PO Closed")</f>
        <v>PO Closed</v>
      </c>
      <c r="Q353" s="6" t="str">
        <f>IFERROR(__xludf.DUMMYFUNCTION("""COMPUTED_VALUE"""),"GL1807058")</f>
        <v>GL1807058</v>
      </c>
      <c r="R353" s="16">
        <f>IFERROR(__xludf.DUMMYFUNCTION("""COMPUTED_VALUE"""),43304.0)</f>
        <v>43304</v>
      </c>
      <c r="S353" s="6" t="str">
        <f>IFERROR(__xludf.DUMMYFUNCTION("""COMPUTED_VALUE"""),"-")</f>
        <v>-</v>
      </c>
      <c r="T353" s="13">
        <f>IFERROR(__xludf.DUMMYFUNCTION("""COMPUTED_VALUE"""),43420.0)</f>
        <v>43420</v>
      </c>
    </row>
    <row r="354">
      <c r="A354" s="6" t="str">
        <f>IFERROR(__xludf.DUMMYFUNCTION("""COMPUTED_VALUE"""),"181750249-2")</f>
        <v>181750249-2</v>
      </c>
      <c r="B354" s="6" t="str">
        <f>IFERROR(__xludf.DUMMYFUNCTION("""COMPUTED_VALUE"""),"181750249 - Approved")</f>
        <v>181750249 - Approved</v>
      </c>
      <c r="C354" s="6">
        <f>IFERROR(__xludf.DUMMYFUNCTION("""COMPUTED_VALUE"""),2.0)</f>
        <v>2</v>
      </c>
      <c r="D354" s="6" t="str">
        <f>IFERROR(__xludf.DUMMYFUNCTION("""COMPUTED_VALUE"""),"O-16174-00")</f>
        <v>O-16174-00</v>
      </c>
      <c r="E354" s="6" t="str">
        <f>IFERROR(__xludf.DUMMYFUNCTION("""COMPUTED_VALUE"""),"O-RING T=3,53 :OR 4400 MVQ70SH +M4 40169997 ; Order No : 5025024; ; ;")</f>
        <v>O-RING T=3,53 :OR 4400 MVQ70SH +M4 40169997 ; Order No : 5025024; ; ;</v>
      </c>
      <c r="F354" s="6">
        <f>IFERROR(__xludf.DUMMYFUNCTION("""COMPUTED_VALUE"""),6.0)</f>
        <v>6</v>
      </c>
      <c r="G354" s="6" t="str">
        <f>IFERROR(__xludf.DUMMYFUNCTION("""COMPUTED_VALUE"""),"Unit")</f>
        <v>Unit</v>
      </c>
      <c r="H354" s="6" t="str">
        <f>IFERROR(__xludf.DUMMYFUNCTION("""COMPUTED_VALUE"""),"EUR")</f>
        <v>EUR</v>
      </c>
      <c r="I354" s="11">
        <f>IFERROR(__xludf.DUMMYFUNCTION("""COMPUTED_VALUE"""),4.07)</f>
        <v>4.07</v>
      </c>
      <c r="J354" s="11">
        <f>IFERROR(__xludf.DUMMYFUNCTION("""COMPUTED_VALUE"""),24.42)</f>
        <v>24.42</v>
      </c>
      <c r="K354" s="13">
        <f>IFERROR(__xludf.DUMMYFUNCTION("""COMPUTED_VALUE"""),43346.0)</f>
        <v>43346</v>
      </c>
      <c r="L354" s="6" t="str">
        <f>IFERROR(__xludf.DUMMYFUNCTION("""COMPUTED_VALUE"""),"FIP Engineering")</f>
        <v>FIP Engineering</v>
      </c>
      <c r="M354" s="6" t="str">
        <f>IFERROR(__xludf.DUMMYFUNCTION("""COMPUTED_VALUE"""),"Joko Nugroho")</f>
        <v>Joko Nugroho</v>
      </c>
      <c r="N354" s="6" t="str">
        <f>IFERROR(__xludf.DUMMYFUNCTION("""COMPUTED_VALUE"""),"FIP Engineering")</f>
        <v>FIP Engineering</v>
      </c>
      <c r="O354" s="6" t="str">
        <f>IFERROR(__xludf.DUMMYFUNCTION("""COMPUTED_VALUE"""),"FIP-DOM-000-11304-OS00001-INA-000000")</f>
        <v>FIP-DOM-000-11304-OS00001-INA-000000</v>
      </c>
      <c r="P354" s="6" t="str">
        <f>IFERROR(__xludf.DUMMYFUNCTION("""COMPUTED_VALUE"""),"PO Closed")</f>
        <v>PO Closed</v>
      </c>
      <c r="Q354" s="6" t="str">
        <f>IFERROR(__xludf.DUMMYFUNCTION("""COMPUTED_VALUE"""),"GL1807058")</f>
        <v>GL1807058</v>
      </c>
      <c r="R354" s="16">
        <f>IFERROR(__xludf.DUMMYFUNCTION("""COMPUTED_VALUE"""),43304.0)</f>
        <v>43304</v>
      </c>
      <c r="S354" s="6" t="str">
        <f>IFERROR(__xludf.DUMMYFUNCTION("""COMPUTED_VALUE"""),"-")</f>
        <v>-</v>
      </c>
      <c r="T354" s="13">
        <f>IFERROR(__xludf.DUMMYFUNCTION("""COMPUTED_VALUE"""),43420.0)</f>
        <v>43420</v>
      </c>
    </row>
    <row r="355">
      <c r="A355" s="6" t="str">
        <f>IFERROR(__xludf.DUMMYFUNCTION("""COMPUTED_VALUE"""),"181750249-3")</f>
        <v>181750249-3</v>
      </c>
      <c r="B355" s="6" t="str">
        <f>IFERROR(__xludf.DUMMYFUNCTION("""COMPUTED_VALUE"""),"181750249 - Approved")</f>
        <v>181750249 - Approved</v>
      </c>
      <c r="C355" s="6">
        <f>IFERROR(__xludf.DUMMYFUNCTION("""COMPUTED_VALUE"""),3.0)</f>
        <v>3</v>
      </c>
      <c r="D355" s="6" t="str">
        <f>IFERROR(__xludf.DUMMYFUNCTION("""COMPUTED_VALUE"""),"O-16173-00")</f>
        <v>O-16173-00</v>
      </c>
      <c r="E355" s="6" t="str">
        <f>IFERROR(__xludf.DUMMYFUNCTION("""COMPUTED_VALUE"""),"O-RING T=3,53 :OR 4275 MVQ NT80-RED 39269097; Order No : 5022383; ; ;")</f>
        <v>O-RING T=3,53 :OR 4275 MVQ NT80-RED 39269097; Order No : 5022383; ; ;</v>
      </c>
      <c r="F355" s="6">
        <f>IFERROR(__xludf.DUMMYFUNCTION("""COMPUTED_VALUE"""),12.0)</f>
        <v>12</v>
      </c>
      <c r="G355" s="6" t="str">
        <f>IFERROR(__xludf.DUMMYFUNCTION("""COMPUTED_VALUE"""),"Unit")</f>
        <v>Unit</v>
      </c>
      <c r="H355" s="6" t="str">
        <f>IFERROR(__xludf.DUMMYFUNCTION("""COMPUTED_VALUE"""),"EUR")</f>
        <v>EUR</v>
      </c>
      <c r="I355" s="11">
        <f>IFERROR(__xludf.DUMMYFUNCTION("""COMPUTED_VALUE"""),1.15)</f>
        <v>1.15</v>
      </c>
      <c r="J355" s="11">
        <f>IFERROR(__xludf.DUMMYFUNCTION("""COMPUTED_VALUE"""),13.8)</f>
        <v>13.8</v>
      </c>
      <c r="K355" s="13">
        <f>IFERROR(__xludf.DUMMYFUNCTION("""COMPUTED_VALUE"""),43346.0)</f>
        <v>43346</v>
      </c>
      <c r="L355" s="6" t="str">
        <f>IFERROR(__xludf.DUMMYFUNCTION("""COMPUTED_VALUE"""),"FIP Engineering")</f>
        <v>FIP Engineering</v>
      </c>
      <c r="M355" s="6" t="str">
        <f>IFERROR(__xludf.DUMMYFUNCTION("""COMPUTED_VALUE"""),"Joko Nugroho")</f>
        <v>Joko Nugroho</v>
      </c>
      <c r="N355" s="6" t="str">
        <f>IFERROR(__xludf.DUMMYFUNCTION("""COMPUTED_VALUE"""),"FIP Engineering")</f>
        <v>FIP Engineering</v>
      </c>
      <c r="O355" s="6" t="str">
        <f>IFERROR(__xludf.DUMMYFUNCTION("""COMPUTED_VALUE"""),"FIP-DOM-000-11304-OS00001-INA-000000")</f>
        <v>FIP-DOM-000-11304-OS00001-INA-000000</v>
      </c>
      <c r="P355" s="6" t="str">
        <f>IFERROR(__xludf.DUMMYFUNCTION("""COMPUTED_VALUE"""),"PO Closed")</f>
        <v>PO Closed</v>
      </c>
      <c r="Q355" s="6" t="str">
        <f>IFERROR(__xludf.DUMMYFUNCTION("""COMPUTED_VALUE"""),"GL1807058")</f>
        <v>GL1807058</v>
      </c>
      <c r="R355" s="16">
        <f>IFERROR(__xludf.DUMMYFUNCTION("""COMPUTED_VALUE"""),43304.0)</f>
        <v>43304</v>
      </c>
      <c r="S355" s="6" t="str">
        <f>IFERROR(__xludf.DUMMYFUNCTION("""COMPUTED_VALUE"""),"-")</f>
        <v>-</v>
      </c>
      <c r="T355" s="13">
        <f>IFERROR(__xludf.DUMMYFUNCTION("""COMPUTED_VALUE"""),43420.0)</f>
        <v>43420</v>
      </c>
    </row>
    <row r="356">
      <c r="A356" s="6" t="str">
        <f>IFERROR(__xludf.DUMMYFUNCTION("""COMPUTED_VALUE"""),"181750233-6")</f>
        <v>181750233-6</v>
      </c>
      <c r="B356" s="6" t="str">
        <f>IFERROR(__xludf.DUMMYFUNCTION("""COMPUTED_VALUE"""),"181750233 - Approved")</f>
        <v>181750233 - Approved</v>
      </c>
      <c r="C356" s="6">
        <f>IFERROR(__xludf.DUMMYFUNCTION("""COMPUTED_VALUE"""),6.0)</f>
        <v>6</v>
      </c>
      <c r="D356" s="6" t="str">
        <f>IFERROR(__xludf.DUMMYFUNCTION("""COMPUTED_VALUE"""),"Q-10483-00")</f>
        <v>Q-10483-00</v>
      </c>
      <c r="E356" s="6" t="str">
        <f>IFERROR(__xludf.DUMMYFUNCTION("""COMPUTED_VALUE"""),"Plat Bordes; ; ;")</f>
        <v>Plat Bordes; ; ;</v>
      </c>
      <c r="F356" s="6">
        <f>IFERROR(__xludf.DUMMYFUNCTION("""COMPUTED_VALUE"""),1.0)</f>
        <v>1</v>
      </c>
      <c r="G356" s="6" t="str">
        <f>IFERROR(__xludf.DUMMYFUNCTION("""COMPUTED_VALUE"""),"Unit")</f>
        <v>Unit</v>
      </c>
      <c r="H356" s="6" t="str">
        <f>IFERROR(__xludf.DUMMYFUNCTION("""COMPUTED_VALUE"""),"IDR")</f>
        <v>IDR</v>
      </c>
      <c r="I356" s="11">
        <f>IFERROR(__xludf.DUMMYFUNCTION("""COMPUTED_VALUE"""),1500000.0)</f>
        <v>1500000</v>
      </c>
      <c r="J356" s="11">
        <f>IFERROR(__xludf.DUMMYFUNCTION("""COMPUTED_VALUE"""),1500000.0)</f>
        <v>1500000</v>
      </c>
      <c r="K356" s="13">
        <f>IFERROR(__xludf.DUMMYFUNCTION("""COMPUTED_VALUE"""),43318.0)</f>
        <v>43318</v>
      </c>
      <c r="L356" s="6" t="str">
        <f>IFERROR(__xludf.DUMMYFUNCTION("""COMPUTED_VALUE"""),"FIP General")</f>
        <v>FIP General</v>
      </c>
      <c r="M356" s="6" t="str">
        <f>IFERROR(__xludf.DUMMYFUNCTION("""COMPUTED_VALUE"""),"Joko Nugroho")</f>
        <v>Joko Nugroho</v>
      </c>
      <c r="N356" s="6" t="str">
        <f>IFERROR(__xludf.DUMMYFUNCTION("""COMPUTED_VALUE"""),"FIP Engineering")</f>
        <v>FIP Engineering</v>
      </c>
      <c r="O356" s="6" t="str">
        <f>IFERROR(__xludf.DUMMYFUNCTION("""COMPUTED_VALUE"""),"FIP-DOM-ENG-51404-0000000-INA-000000")</f>
        <v>FIP-DOM-ENG-51404-0000000-INA-000000</v>
      </c>
      <c r="P356" s="6" t="str">
        <f>IFERROR(__xludf.DUMMYFUNCTION("""COMPUTED_VALUE"""),"PO Closed")</f>
        <v>PO Closed</v>
      </c>
      <c r="Q356" s="6" t="str">
        <f>IFERROR(__xludf.DUMMYFUNCTION("""COMPUTED_VALUE"""),"GL1810050")</f>
        <v>GL1810050</v>
      </c>
      <c r="R356" s="16">
        <f>IFERROR(__xludf.DUMMYFUNCTION("""COMPUTED_VALUE"""),43304.0)</f>
        <v>43304</v>
      </c>
      <c r="S356" s="6" t="str">
        <f>IFERROR(__xludf.DUMMYFUNCTION("""COMPUTED_VALUE"""),"-")</f>
        <v>-</v>
      </c>
      <c r="T356" s="13">
        <f>IFERROR(__xludf.DUMMYFUNCTION("""COMPUTED_VALUE"""),43404.0)</f>
        <v>43404</v>
      </c>
    </row>
    <row r="357">
      <c r="A357" s="6" t="str">
        <f>IFERROR(__xludf.DUMMYFUNCTION("""COMPUTED_VALUE"""),"181750254-1")</f>
        <v>181750254-1</v>
      </c>
      <c r="B357" s="6" t="str">
        <f>IFERROR(__xludf.DUMMYFUNCTION("""COMPUTED_VALUE"""),"181750254 - Approved")</f>
        <v>181750254 - Approved</v>
      </c>
      <c r="C357" s="6">
        <f>IFERROR(__xludf.DUMMYFUNCTION("""COMPUTED_VALUE"""),1.0)</f>
        <v>1</v>
      </c>
      <c r="D357" s="6" t="str">
        <f>IFERROR(__xludf.DUMMYFUNCTION("""COMPUTED_VALUE"""),"T-20123-00")</f>
        <v>T-20123-00</v>
      </c>
      <c r="E357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57" s="6">
        <f>IFERROR(__xludf.DUMMYFUNCTION("""COMPUTED_VALUE"""),1.0)</f>
        <v>1</v>
      </c>
      <c r="G357" s="6" t="str">
        <f>IFERROR(__xludf.DUMMYFUNCTION("""COMPUTED_VALUE"""),"Pieces")</f>
        <v>Pieces</v>
      </c>
      <c r="H357" s="6" t="str">
        <f>IFERROR(__xludf.DUMMYFUNCTION("""COMPUTED_VALUE"""),"IDR")</f>
        <v>IDR</v>
      </c>
      <c r="I357" s="11">
        <f>IFERROR(__xludf.DUMMYFUNCTION("""COMPUTED_VALUE"""),1.16824E7)</f>
        <v>11682400</v>
      </c>
      <c r="J357" s="11">
        <f>IFERROR(__xludf.DUMMYFUNCTION("""COMPUTED_VALUE"""),1.16824E7)</f>
        <v>11682400</v>
      </c>
      <c r="K357" s="13">
        <f>IFERROR(__xludf.DUMMYFUNCTION("""COMPUTED_VALUE"""),43325.0)</f>
        <v>43325</v>
      </c>
      <c r="L357" s="6" t="str">
        <f>IFERROR(__xludf.DUMMYFUNCTION("""COMPUTED_VALUE"""),"FIP General")</f>
        <v>FIP General</v>
      </c>
      <c r="M357" s="6" t="str">
        <f>IFERROR(__xludf.DUMMYFUNCTION("""COMPUTED_VALUE"""),"Joko Nugroho")</f>
        <v>Joko Nugroho</v>
      </c>
      <c r="N357" s="6" t="str">
        <f>IFERROR(__xludf.DUMMYFUNCTION("""COMPUTED_VALUE"""),"FIP Engineering")</f>
        <v>FIP Engineering</v>
      </c>
      <c r="O357" s="6" t="str">
        <f>IFERROR(__xludf.DUMMYFUNCTION("""COMPUTED_VALUE"""),"FIP-DOM-ENG-51505-0000000-INA-000000")</f>
        <v>FIP-DOM-ENG-51505-0000000-INA-000000</v>
      </c>
      <c r="P357" s="6" t="str">
        <f>IFERROR(__xludf.DUMMYFUNCTION("""COMPUTED_VALUE"""),"PO Closed")</f>
        <v>PO Closed</v>
      </c>
      <c r="Q357" s="6" t="str">
        <f>IFERROR(__xludf.DUMMYFUNCTION("""COMPUTED_VALUE"""),"GL1807057")</f>
        <v>GL1807057</v>
      </c>
      <c r="R357" s="16">
        <f>IFERROR(__xludf.DUMMYFUNCTION("""COMPUTED_VALUE"""),43305.0)</f>
        <v>43305</v>
      </c>
      <c r="S357" s="6" t="str">
        <f>IFERROR(__xludf.DUMMYFUNCTION("""COMPUTED_VALUE"""),"-")</f>
        <v>-</v>
      </c>
      <c r="T357" s="13">
        <f>IFERROR(__xludf.DUMMYFUNCTION("""COMPUTED_VALUE"""),43336.0)</f>
        <v>43336</v>
      </c>
    </row>
    <row r="358">
      <c r="A358" s="6" t="str">
        <f>IFERROR(__xludf.DUMMYFUNCTION("""COMPUTED_VALUE"""),"181750259-1")</f>
        <v>181750259-1</v>
      </c>
      <c r="B358" s="6" t="str">
        <f>IFERROR(__xludf.DUMMYFUNCTION("""COMPUTED_VALUE"""),"181750259 - Approved")</f>
        <v>181750259 - Approved</v>
      </c>
      <c r="C358" s="6">
        <f>IFERROR(__xludf.DUMMYFUNCTION("""COMPUTED_VALUE"""),1.0)</f>
        <v>1</v>
      </c>
      <c r="D358" s="6" t="str">
        <f>IFERROR(__xludf.DUMMYFUNCTION("""COMPUTED_VALUE"""),"O-15786-00")</f>
        <v>O-15786-00</v>
      </c>
      <c r="E358" s="6" t="str">
        <f>IFERROR(__xludf.DUMMYFUNCTION("""COMPUTED_VALUE"""),"SG-1 Coiled Tubing W/3/8""FL Type : 1002-0161; ; ;")</f>
        <v>SG-1 Coiled Tubing W/3/8"FL Type : 1002-0161; ; ;</v>
      </c>
      <c r="F358" s="6">
        <f>IFERROR(__xludf.DUMMYFUNCTION("""COMPUTED_VALUE"""),1.0)</f>
        <v>1</v>
      </c>
      <c r="G358" s="6" t="str">
        <f>IFERROR(__xludf.DUMMYFUNCTION("""COMPUTED_VALUE"""),"Unit")</f>
        <v>Unit</v>
      </c>
      <c r="H358" s="6" t="str">
        <f>IFERROR(__xludf.DUMMYFUNCTION("""COMPUTED_VALUE"""),"IDR")</f>
        <v>IDR</v>
      </c>
      <c r="I358" s="11">
        <f>IFERROR(__xludf.DUMMYFUNCTION("""COMPUTED_VALUE"""),4621312.0)</f>
        <v>4621312</v>
      </c>
      <c r="J358" s="11">
        <f>IFERROR(__xludf.DUMMYFUNCTION("""COMPUTED_VALUE"""),4621312.0)</f>
        <v>4621312</v>
      </c>
      <c r="K358" s="13">
        <f>IFERROR(__xludf.DUMMYFUNCTION("""COMPUTED_VALUE"""),43367.0)</f>
        <v>43367</v>
      </c>
      <c r="L358" s="6" t="str">
        <f>IFERROR(__xludf.DUMMYFUNCTION("""COMPUTED_VALUE"""),"FIP Engineering")</f>
        <v>FIP Engineering</v>
      </c>
      <c r="M358" s="6" t="str">
        <f>IFERROR(__xludf.DUMMYFUNCTION("""COMPUTED_VALUE"""),"Joko Nugroho")</f>
        <v>Joko Nugroho</v>
      </c>
      <c r="N358" s="6" t="str">
        <f>IFERROR(__xludf.DUMMYFUNCTION("""COMPUTED_VALUE"""),"FIP Engineering")</f>
        <v>FIP Engineering</v>
      </c>
      <c r="O358" s="6" t="str">
        <f>IFERROR(__xludf.DUMMYFUNCTION("""COMPUTED_VALUE"""),"FIP-DOM-000-11304-OS00001-INA-000000")</f>
        <v>FIP-DOM-000-11304-OS00001-INA-000000</v>
      </c>
      <c r="P358" s="6" t="str">
        <f>IFERROR(__xludf.DUMMYFUNCTION("""COMPUTED_VALUE"""),"PO Closed")</f>
        <v>PO Closed</v>
      </c>
      <c r="Q358" s="6" t="str">
        <f>IFERROR(__xludf.DUMMYFUNCTION("""COMPUTED_VALUE"""),"GL1808023")</f>
        <v>GL1808023</v>
      </c>
      <c r="R358" s="16">
        <f>IFERROR(__xludf.DUMMYFUNCTION("""COMPUTED_VALUE"""),43307.0)</f>
        <v>43307</v>
      </c>
      <c r="S358" s="6" t="str">
        <f>IFERROR(__xludf.DUMMYFUNCTION("""COMPUTED_VALUE"""),"-")</f>
        <v>-</v>
      </c>
      <c r="T358" s="13">
        <f>IFERROR(__xludf.DUMMYFUNCTION("""COMPUTED_VALUE"""),43364.0)</f>
        <v>43364</v>
      </c>
    </row>
    <row r="359">
      <c r="A359" s="6" t="str">
        <f>IFERROR(__xludf.DUMMYFUNCTION("""COMPUTED_VALUE"""),"181750235-6")</f>
        <v>181750235-6</v>
      </c>
      <c r="B359" s="6" t="str">
        <f>IFERROR(__xludf.DUMMYFUNCTION("""COMPUTED_VALUE"""),"181750235 - Approved")</f>
        <v>181750235 - Approved</v>
      </c>
      <c r="C359" s="6">
        <f>IFERROR(__xludf.DUMMYFUNCTION("""COMPUTED_VALUE"""),6.0)</f>
        <v>6</v>
      </c>
      <c r="D359" s="6" t="str">
        <f>IFERROR(__xludf.DUMMYFUNCTION("""COMPUTED_VALUE"""),"S-40035-00")</f>
        <v>S-40035-00</v>
      </c>
      <c r="E359" s="6" t="str">
        <f>IFERROR(__xludf.DUMMYFUNCTION("""COMPUTED_VALUE"""),"Clam Selang Stainless Steel")</f>
        <v>Clam Selang Stainless Steel</v>
      </c>
      <c r="F359" s="6">
        <f>IFERROR(__xludf.DUMMYFUNCTION("""COMPUTED_VALUE"""),5.0)</f>
        <v>5</v>
      </c>
      <c r="G359" s="6" t="str">
        <f>IFERROR(__xludf.DUMMYFUNCTION("""COMPUTED_VALUE"""),"Pieces")</f>
        <v>Pieces</v>
      </c>
      <c r="H359" s="6" t="str">
        <f>IFERROR(__xludf.DUMMYFUNCTION("""COMPUTED_VALUE"""),"IDR")</f>
        <v>IDR</v>
      </c>
      <c r="I359" s="11">
        <f>IFERROR(__xludf.DUMMYFUNCTION("""COMPUTED_VALUE"""),2000.0)</f>
        <v>2000</v>
      </c>
      <c r="J359" s="11">
        <f>IFERROR(__xludf.DUMMYFUNCTION("""COMPUTED_VALUE"""),10000.0)</f>
        <v>10000</v>
      </c>
      <c r="K359" s="13">
        <f>IFERROR(__xludf.DUMMYFUNCTION("""COMPUTED_VALUE"""),43325.0)</f>
        <v>43325</v>
      </c>
      <c r="L359" s="6" t="str">
        <f>IFERROR(__xludf.DUMMYFUNCTION("""COMPUTED_VALUE"""),"FIP General")</f>
        <v>FIP General</v>
      </c>
      <c r="M359" s="6" t="str">
        <f>IFERROR(__xludf.DUMMYFUNCTION("""COMPUTED_VALUE"""),"Joko Nugroho")</f>
        <v>Joko Nugroho</v>
      </c>
      <c r="N359" s="6" t="str">
        <f>IFERROR(__xludf.DUMMYFUNCTION("""COMPUTED_VALUE"""),"FIP Engineering")</f>
        <v>FIP Engineering</v>
      </c>
      <c r="O359" s="6" t="str">
        <f>IFERROR(__xludf.DUMMYFUNCTION("""COMPUTED_VALUE"""),"FIP-DOM-ENG-51404-0000000-INA-000000")</f>
        <v>FIP-DOM-ENG-51404-0000000-INA-000000</v>
      </c>
      <c r="P359" s="6" t="str">
        <f>IFERROR(__xludf.DUMMYFUNCTION("""COMPUTED_VALUE"""),"PO Closed")</f>
        <v>PO Closed</v>
      </c>
      <c r="Q359" s="6" t="str">
        <f>IFERROR(__xludf.DUMMYFUNCTION("""COMPUTED_VALUE"""),"GL1807059")</f>
        <v>GL1807059</v>
      </c>
      <c r="R359" s="16">
        <f>IFERROR(__xludf.DUMMYFUNCTION("""COMPUTED_VALUE"""),43307.0)</f>
        <v>43307</v>
      </c>
      <c r="S359" s="6" t="str">
        <f>IFERROR(__xludf.DUMMYFUNCTION("""COMPUTED_VALUE"""),"-")</f>
        <v>-</v>
      </c>
      <c r="T359" s="13">
        <f>IFERROR(__xludf.DUMMYFUNCTION("""COMPUTED_VALUE"""),43314.0)</f>
        <v>43314</v>
      </c>
    </row>
    <row r="360">
      <c r="A360" s="6" t="str">
        <f>IFERROR(__xludf.DUMMYFUNCTION("""COMPUTED_VALUE"""),"181750235-7")</f>
        <v>181750235-7</v>
      </c>
      <c r="B360" s="6" t="str">
        <f>IFERROR(__xludf.DUMMYFUNCTION("""COMPUTED_VALUE"""),"181750235 - Approved")</f>
        <v>181750235 - Approved</v>
      </c>
      <c r="C360" s="6">
        <f>IFERROR(__xludf.DUMMYFUNCTION("""COMPUTED_VALUE"""),7.0)</f>
        <v>7</v>
      </c>
      <c r="D360" s="6" t="str">
        <f>IFERROR(__xludf.DUMMYFUNCTION("""COMPUTED_VALUE"""),"S-40035-00")</f>
        <v>S-40035-00</v>
      </c>
      <c r="E360" s="6" t="str">
        <f>IFERROR(__xludf.DUMMYFUNCTION("""COMPUTED_VALUE"""),"Clam Selang Stainless Steel")</f>
        <v>Clam Selang Stainless Steel</v>
      </c>
      <c r="F360" s="6">
        <f>IFERROR(__xludf.DUMMYFUNCTION("""COMPUTED_VALUE"""),5.0)</f>
        <v>5</v>
      </c>
      <c r="G360" s="6" t="str">
        <f>IFERROR(__xludf.DUMMYFUNCTION("""COMPUTED_VALUE"""),"Pieces")</f>
        <v>Pieces</v>
      </c>
      <c r="H360" s="6" t="str">
        <f>IFERROR(__xludf.DUMMYFUNCTION("""COMPUTED_VALUE"""),"IDR")</f>
        <v>IDR</v>
      </c>
      <c r="I360" s="11">
        <f>IFERROR(__xludf.DUMMYFUNCTION("""COMPUTED_VALUE"""),2000.0)</f>
        <v>2000</v>
      </c>
      <c r="J360" s="11">
        <f>IFERROR(__xludf.DUMMYFUNCTION("""COMPUTED_VALUE"""),10000.0)</f>
        <v>10000</v>
      </c>
      <c r="K360" s="13">
        <f>IFERROR(__xludf.DUMMYFUNCTION("""COMPUTED_VALUE"""),43325.0)</f>
        <v>43325</v>
      </c>
      <c r="L360" s="6" t="str">
        <f>IFERROR(__xludf.DUMMYFUNCTION("""COMPUTED_VALUE"""),"FIP General")</f>
        <v>FIP General</v>
      </c>
      <c r="M360" s="6" t="str">
        <f>IFERROR(__xludf.DUMMYFUNCTION("""COMPUTED_VALUE"""),"Joko Nugroho")</f>
        <v>Joko Nugroho</v>
      </c>
      <c r="N360" s="6" t="str">
        <f>IFERROR(__xludf.DUMMYFUNCTION("""COMPUTED_VALUE"""),"FIP Engineering")</f>
        <v>FIP Engineering</v>
      </c>
      <c r="O360" s="6" t="str">
        <f>IFERROR(__xludf.DUMMYFUNCTION("""COMPUTED_VALUE"""),"FIP-DOM-ENG-51404-0000000-INA-000000")</f>
        <v>FIP-DOM-ENG-51404-0000000-INA-000000</v>
      </c>
      <c r="P360" s="6" t="str">
        <f>IFERROR(__xludf.DUMMYFUNCTION("""COMPUTED_VALUE"""),"PO Closed")</f>
        <v>PO Closed</v>
      </c>
      <c r="Q360" s="6" t="str">
        <f>IFERROR(__xludf.DUMMYFUNCTION("""COMPUTED_VALUE"""),"GL1807059")</f>
        <v>GL1807059</v>
      </c>
      <c r="R360" s="16">
        <f>IFERROR(__xludf.DUMMYFUNCTION("""COMPUTED_VALUE"""),43307.0)</f>
        <v>43307</v>
      </c>
      <c r="S360" s="6" t="str">
        <f>IFERROR(__xludf.DUMMYFUNCTION("""COMPUTED_VALUE"""),"-")</f>
        <v>-</v>
      </c>
      <c r="T360" s="13">
        <f>IFERROR(__xludf.DUMMYFUNCTION("""COMPUTED_VALUE"""),43314.0)</f>
        <v>43314</v>
      </c>
    </row>
    <row r="361">
      <c r="A361" s="6" t="str">
        <f>IFERROR(__xludf.DUMMYFUNCTION("""COMPUTED_VALUE"""),"181750235-8")</f>
        <v>181750235-8</v>
      </c>
      <c r="B361" s="6" t="str">
        <f>IFERROR(__xludf.DUMMYFUNCTION("""COMPUTED_VALUE"""),"181750235 - Approved")</f>
        <v>181750235 - Approved</v>
      </c>
      <c r="C361" s="6">
        <f>IFERROR(__xludf.DUMMYFUNCTION("""COMPUTED_VALUE"""),8.0)</f>
        <v>8</v>
      </c>
      <c r="D361" s="6" t="str">
        <f>IFERROR(__xludf.DUMMYFUNCTION("""COMPUTED_VALUE"""),"Q-10302-00")</f>
        <v>Q-10302-00</v>
      </c>
      <c r="E361" s="6" t="str">
        <f>IFERROR(__xludf.DUMMYFUNCTION("""COMPUTED_VALUE"""),"Compound Gypsum; ; ;")</f>
        <v>Compound Gypsum; ; ;</v>
      </c>
      <c r="F361" s="6">
        <f>IFERROR(__xludf.DUMMYFUNCTION("""COMPUTED_VALUE"""),5.0)</f>
        <v>5</v>
      </c>
      <c r="G361" s="6" t="str">
        <f>IFERROR(__xludf.DUMMYFUNCTION("""COMPUTED_VALUE"""),"Pack")</f>
        <v>Pack</v>
      </c>
      <c r="H361" s="6" t="str">
        <f>IFERROR(__xludf.DUMMYFUNCTION("""COMPUTED_VALUE"""),"IDR")</f>
        <v>IDR</v>
      </c>
      <c r="I361" s="11">
        <f>IFERROR(__xludf.DUMMYFUNCTION("""COMPUTED_VALUE"""),5000.0)</f>
        <v>5000</v>
      </c>
      <c r="J361" s="11">
        <f>IFERROR(__xludf.DUMMYFUNCTION("""COMPUTED_VALUE"""),25000.0)</f>
        <v>25000</v>
      </c>
      <c r="K361" s="13">
        <f>IFERROR(__xludf.DUMMYFUNCTION("""COMPUTED_VALUE"""),43325.0)</f>
        <v>43325</v>
      </c>
      <c r="L361" s="6" t="str">
        <f>IFERROR(__xludf.DUMMYFUNCTION("""COMPUTED_VALUE"""),"FIP General")</f>
        <v>FIP General</v>
      </c>
      <c r="M361" s="6" t="str">
        <f>IFERROR(__xludf.DUMMYFUNCTION("""COMPUTED_VALUE"""),"Joko Nugroho")</f>
        <v>Joko Nugroho</v>
      </c>
      <c r="N361" s="6" t="str">
        <f>IFERROR(__xludf.DUMMYFUNCTION("""COMPUTED_VALUE"""),"FIP Engineering")</f>
        <v>FIP Engineering</v>
      </c>
      <c r="O361" s="6" t="str">
        <f>IFERROR(__xludf.DUMMYFUNCTION("""COMPUTED_VALUE"""),"FIP-DOM-ENG-51502-0000000-INA-000000")</f>
        <v>FIP-DOM-ENG-51502-0000000-INA-000000</v>
      </c>
      <c r="P361" s="6" t="str">
        <f>IFERROR(__xludf.DUMMYFUNCTION("""COMPUTED_VALUE"""),"PO Closed")</f>
        <v>PO Closed</v>
      </c>
      <c r="Q361" s="6" t="str">
        <f>IFERROR(__xludf.DUMMYFUNCTION("""COMPUTED_VALUE"""),"GL1807059")</f>
        <v>GL1807059</v>
      </c>
      <c r="R361" s="16">
        <f>IFERROR(__xludf.DUMMYFUNCTION("""COMPUTED_VALUE"""),43307.0)</f>
        <v>43307</v>
      </c>
      <c r="S361" s="6" t="str">
        <f>IFERROR(__xludf.DUMMYFUNCTION("""COMPUTED_VALUE"""),"-")</f>
        <v>-</v>
      </c>
      <c r="T361" s="13">
        <f>IFERROR(__xludf.DUMMYFUNCTION("""COMPUTED_VALUE"""),43314.0)</f>
        <v>43314</v>
      </c>
    </row>
    <row r="362">
      <c r="A362" s="6" t="str">
        <f>IFERROR(__xludf.DUMMYFUNCTION("""COMPUTED_VALUE"""),"181750235-9")</f>
        <v>181750235-9</v>
      </c>
      <c r="B362" s="6" t="str">
        <f>IFERROR(__xludf.DUMMYFUNCTION("""COMPUTED_VALUE"""),"181750235 - Approved")</f>
        <v>181750235 - Approved</v>
      </c>
      <c r="C362" s="6">
        <f>IFERROR(__xludf.DUMMYFUNCTION("""COMPUTED_VALUE"""),9.0)</f>
        <v>9</v>
      </c>
      <c r="D362" s="6" t="str">
        <f>IFERROR(__xludf.DUMMYFUNCTION("""COMPUTED_VALUE"""),"Q-10500-00")</f>
        <v>Q-10500-00</v>
      </c>
      <c r="E362" s="6" t="str">
        <f>IFERROR(__xludf.DUMMYFUNCTION("""COMPUTED_VALUE"""),"Paku; ; ;")</f>
        <v>Paku; ; ;</v>
      </c>
      <c r="F362" s="6">
        <f>IFERROR(__xludf.DUMMYFUNCTION("""COMPUTED_VALUE"""),1.0)</f>
        <v>1</v>
      </c>
      <c r="G362" s="6" t="str">
        <f>IFERROR(__xludf.DUMMYFUNCTION("""COMPUTED_VALUE"""),"Box")</f>
        <v>Box</v>
      </c>
      <c r="H362" s="6" t="str">
        <f>IFERROR(__xludf.DUMMYFUNCTION("""COMPUTED_VALUE"""),"IDR")</f>
        <v>IDR</v>
      </c>
      <c r="I362" s="11">
        <f>IFERROR(__xludf.DUMMYFUNCTION("""COMPUTED_VALUE"""),20000.0)</f>
        <v>20000</v>
      </c>
      <c r="J362" s="11">
        <f>IFERROR(__xludf.DUMMYFUNCTION("""COMPUTED_VALUE"""),20000.0)</f>
        <v>20000</v>
      </c>
      <c r="K362" s="13">
        <f>IFERROR(__xludf.DUMMYFUNCTION("""COMPUTED_VALUE"""),43325.0)</f>
        <v>43325</v>
      </c>
      <c r="L362" s="6" t="str">
        <f>IFERROR(__xludf.DUMMYFUNCTION("""COMPUTED_VALUE"""),"FIP General")</f>
        <v>FIP General</v>
      </c>
      <c r="M362" s="6" t="str">
        <f>IFERROR(__xludf.DUMMYFUNCTION("""COMPUTED_VALUE"""),"Joko Nugroho")</f>
        <v>Joko Nugroho</v>
      </c>
      <c r="N362" s="6" t="str">
        <f>IFERROR(__xludf.DUMMYFUNCTION("""COMPUTED_VALUE"""),"FIP Engineering")</f>
        <v>FIP Engineering</v>
      </c>
      <c r="O362" s="6" t="str">
        <f>IFERROR(__xludf.DUMMYFUNCTION("""COMPUTED_VALUE"""),"FIP-DOM-ENG-51502-0000000-INA-000000")</f>
        <v>FIP-DOM-ENG-51502-0000000-INA-000000</v>
      </c>
      <c r="P362" s="6" t="str">
        <f>IFERROR(__xludf.DUMMYFUNCTION("""COMPUTED_VALUE"""),"PO Closed")</f>
        <v>PO Closed</v>
      </c>
      <c r="Q362" s="6" t="str">
        <f>IFERROR(__xludf.DUMMYFUNCTION("""COMPUTED_VALUE"""),"GL1807059")</f>
        <v>GL1807059</v>
      </c>
      <c r="R362" s="16">
        <f>IFERROR(__xludf.DUMMYFUNCTION("""COMPUTED_VALUE"""),43307.0)</f>
        <v>43307</v>
      </c>
      <c r="S362" s="6" t="str">
        <f>IFERROR(__xludf.DUMMYFUNCTION("""COMPUTED_VALUE"""),"-")</f>
        <v>-</v>
      </c>
      <c r="T362" s="13">
        <f>IFERROR(__xludf.DUMMYFUNCTION("""COMPUTED_VALUE"""),43314.0)</f>
        <v>43314</v>
      </c>
    </row>
    <row r="363">
      <c r="A363" s="6" t="str">
        <f>IFERROR(__xludf.DUMMYFUNCTION("""COMPUTED_VALUE"""),"181750235-10")</f>
        <v>181750235-10</v>
      </c>
      <c r="B363" s="6" t="str">
        <f>IFERROR(__xludf.DUMMYFUNCTION("""COMPUTED_VALUE"""),"181750235 - Approved")</f>
        <v>181750235 - Approved</v>
      </c>
      <c r="C363" s="6">
        <f>IFERROR(__xludf.DUMMYFUNCTION("""COMPUTED_VALUE"""),10.0)</f>
        <v>10</v>
      </c>
      <c r="D363" s="6" t="str">
        <f>IFERROR(__xludf.DUMMYFUNCTION("""COMPUTED_VALUE"""),"Q-90010-00")</f>
        <v>Q-90010-00</v>
      </c>
      <c r="E363" s="6" t="str">
        <f>IFERROR(__xludf.DUMMYFUNCTION("""COMPUTED_VALUE"""),"Sendok Semen")</f>
        <v>Sendok Semen</v>
      </c>
      <c r="F363" s="6">
        <f>IFERROR(__xludf.DUMMYFUNCTION("""COMPUTED_VALUE"""),2.0)</f>
        <v>2</v>
      </c>
      <c r="G363" s="6" t="str">
        <f>IFERROR(__xludf.DUMMYFUNCTION("""COMPUTED_VALUE"""),"Pieces")</f>
        <v>Pieces</v>
      </c>
      <c r="H363" s="6" t="str">
        <f>IFERROR(__xludf.DUMMYFUNCTION("""COMPUTED_VALUE"""),"IDR")</f>
        <v>IDR</v>
      </c>
      <c r="I363" s="11">
        <f>IFERROR(__xludf.DUMMYFUNCTION("""COMPUTED_VALUE"""),10000.0)</f>
        <v>10000</v>
      </c>
      <c r="J363" s="11">
        <f>IFERROR(__xludf.DUMMYFUNCTION("""COMPUTED_VALUE"""),20000.0)</f>
        <v>20000</v>
      </c>
      <c r="K363" s="13">
        <f>IFERROR(__xludf.DUMMYFUNCTION("""COMPUTED_VALUE"""),43325.0)</f>
        <v>43325</v>
      </c>
      <c r="L363" s="6" t="str">
        <f>IFERROR(__xludf.DUMMYFUNCTION("""COMPUTED_VALUE"""),"FIP General")</f>
        <v>FIP General</v>
      </c>
      <c r="M363" s="6" t="str">
        <f>IFERROR(__xludf.DUMMYFUNCTION("""COMPUTED_VALUE"""),"Joko Nugroho")</f>
        <v>Joko Nugroho</v>
      </c>
      <c r="N363" s="6" t="str">
        <f>IFERROR(__xludf.DUMMYFUNCTION("""COMPUTED_VALUE"""),"FIP Engineering")</f>
        <v>FIP Engineering</v>
      </c>
      <c r="O363" s="6" t="str">
        <f>IFERROR(__xludf.DUMMYFUNCTION("""COMPUTED_VALUE"""),"FIP-DOM-ENG-51502-0000000-INA-000000")</f>
        <v>FIP-DOM-ENG-51502-0000000-INA-000000</v>
      </c>
      <c r="P363" s="6" t="str">
        <f>IFERROR(__xludf.DUMMYFUNCTION("""COMPUTED_VALUE"""),"PO Closed")</f>
        <v>PO Closed</v>
      </c>
      <c r="Q363" s="6" t="str">
        <f>IFERROR(__xludf.DUMMYFUNCTION("""COMPUTED_VALUE"""),"GL1807059")</f>
        <v>GL1807059</v>
      </c>
      <c r="R363" s="16">
        <f>IFERROR(__xludf.DUMMYFUNCTION("""COMPUTED_VALUE"""),43308.0)</f>
        <v>43308</v>
      </c>
      <c r="S363" s="6" t="str">
        <f>IFERROR(__xludf.DUMMYFUNCTION("""COMPUTED_VALUE"""),"-")</f>
        <v>-</v>
      </c>
      <c r="T363" s="13">
        <f>IFERROR(__xludf.DUMMYFUNCTION("""COMPUTED_VALUE"""),43314.0)</f>
        <v>43314</v>
      </c>
    </row>
    <row r="364">
      <c r="A364" s="6" t="str">
        <f>IFERROR(__xludf.DUMMYFUNCTION("""COMPUTED_VALUE"""),"181750230-12")</f>
        <v>181750230-12</v>
      </c>
      <c r="B364" s="6" t="str">
        <f>IFERROR(__xludf.DUMMYFUNCTION("""COMPUTED_VALUE"""),"181750230 - Approved")</f>
        <v>181750230 - Approved</v>
      </c>
      <c r="C364" s="6">
        <f>IFERROR(__xludf.DUMMYFUNCTION("""COMPUTED_VALUE"""),12.0)</f>
        <v>12</v>
      </c>
      <c r="D364" s="6" t="str">
        <f>IFERROR(__xludf.DUMMYFUNCTION("""COMPUTED_VALUE"""),"P-11842-00")</f>
        <v>P-11842-00</v>
      </c>
      <c r="E364" s="6" t="str">
        <f>IFERROR(__xludf.DUMMYFUNCTION("""COMPUTED_VALUE"""),"Ball Valve SS dia. 3/8 inch")</f>
        <v>Ball Valve SS dia. 3/8 inch</v>
      </c>
      <c r="F364" s="6">
        <f>IFERROR(__xludf.DUMMYFUNCTION("""COMPUTED_VALUE"""),1.0)</f>
        <v>1</v>
      </c>
      <c r="G364" s="6" t="str">
        <f>IFERROR(__xludf.DUMMYFUNCTION("""COMPUTED_VALUE"""),"Pieces")</f>
        <v>Pieces</v>
      </c>
      <c r="H364" s="6" t="str">
        <f>IFERROR(__xludf.DUMMYFUNCTION("""COMPUTED_VALUE"""),"IDR")</f>
        <v>IDR</v>
      </c>
      <c r="I364" s="11">
        <f>IFERROR(__xludf.DUMMYFUNCTION("""COMPUTED_VALUE"""),290000.0)</f>
        <v>290000</v>
      </c>
      <c r="J364" s="11">
        <f>IFERROR(__xludf.DUMMYFUNCTION("""COMPUTED_VALUE"""),290000.0)</f>
        <v>290000</v>
      </c>
      <c r="K364" s="13">
        <f>IFERROR(__xludf.DUMMYFUNCTION("""COMPUTED_VALUE"""),43332.0)</f>
        <v>43332</v>
      </c>
      <c r="L364" s="6" t="str">
        <f>IFERROR(__xludf.DUMMYFUNCTION("""COMPUTED_VALUE"""),"FIP General")</f>
        <v>FIP General</v>
      </c>
      <c r="M364" s="6" t="str">
        <f>IFERROR(__xludf.DUMMYFUNCTION("""COMPUTED_VALUE"""),"Joko Nugroho")</f>
        <v>Joko Nugroho</v>
      </c>
      <c r="N364" s="6" t="str">
        <f>IFERROR(__xludf.DUMMYFUNCTION("""COMPUTED_VALUE"""),"FIP Engineering")</f>
        <v>FIP Engineering</v>
      </c>
      <c r="O364" s="6" t="str">
        <f>IFERROR(__xludf.DUMMYFUNCTION("""COMPUTED_VALUE"""),"FIP-DOM-ENG-51404-0000000-INA-000000")</f>
        <v>FIP-DOM-ENG-51404-0000000-INA-000000</v>
      </c>
      <c r="P364" s="6" t="str">
        <f>IFERROR(__xludf.DUMMYFUNCTION("""COMPUTED_VALUE"""),"PO Closed")</f>
        <v>PO Closed</v>
      </c>
      <c r="Q364" s="6" t="str">
        <f>IFERROR(__xludf.DUMMYFUNCTION("""COMPUTED_VALUE"""),"GL1808016")</f>
        <v>GL1808016</v>
      </c>
      <c r="R364" s="16">
        <f>IFERROR(__xludf.DUMMYFUNCTION("""COMPUTED_VALUE"""),43308.0)</f>
        <v>43308</v>
      </c>
      <c r="S364" s="6" t="str">
        <f>IFERROR(__xludf.DUMMYFUNCTION("""COMPUTED_VALUE"""),"-")</f>
        <v>-</v>
      </c>
      <c r="T364" s="13">
        <f>IFERROR(__xludf.DUMMYFUNCTION("""COMPUTED_VALUE"""),43332.0)</f>
        <v>43332</v>
      </c>
    </row>
    <row r="365">
      <c r="A365" s="6" t="str">
        <f>IFERROR(__xludf.DUMMYFUNCTION("""COMPUTED_VALUE"""),"181750235-11")</f>
        <v>181750235-11</v>
      </c>
      <c r="B365" s="6" t="str">
        <f>IFERROR(__xludf.DUMMYFUNCTION("""COMPUTED_VALUE"""),"181750235 - Approved")</f>
        <v>181750235 - Approved</v>
      </c>
      <c r="C365" s="6">
        <f>IFERROR(__xludf.DUMMYFUNCTION("""COMPUTED_VALUE"""),11.0)</f>
        <v>11</v>
      </c>
      <c r="D365" s="6" t="str">
        <f>IFERROR(__xludf.DUMMYFUNCTION("""COMPUTED_VALUE"""),"Q-10518-00")</f>
        <v>Q-10518-00</v>
      </c>
      <c r="E365" s="6" t="str">
        <f>IFERROR(__xludf.DUMMYFUNCTION("""COMPUTED_VALUE"""),"Dempul; ; ;")</f>
        <v>Dempul; ; ;</v>
      </c>
      <c r="F365" s="6">
        <f>IFERROR(__xludf.DUMMYFUNCTION("""COMPUTED_VALUE"""),1.0)</f>
        <v>1</v>
      </c>
      <c r="G365" s="6" t="str">
        <f>IFERROR(__xludf.DUMMYFUNCTION("""COMPUTED_VALUE"""),"Kilogram")</f>
        <v>Kilogram</v>
      </c>
      <c r="H365" s="6" t="str">
        <f>IFERROR(__xludf.DUMMYFUNCTION("""COMPUTED_VALUE"""),"IDR")</f>
        <v>IDR</v>
      </c>
      <c r="I365" s="11">
        <f>IFERROR(__xludf.DUMMYFUNCTION("""COMPUTED_VALUE"""),14000.0)</f>
        <v>14000</v>
      </c>
      <c r="J365" s="11">
        <f>IFERROR(__xludf.DUMMYFUNCTION("""COMPUTED_VALUE"""),14000.0)</f>
        <v>14000</v>
      </c>
      <c r="K365" s="13">
        <f>IFERROR(__xludf.DUMMYFUNCTION("""COMPUTED_VALUE"""),43325.0)</f>
        <v>43325</v>
      </c>
      <c r="L365" s="6" t="str">
        <f>IFERROR(__xludf.DUMMYFUNCTION("""COMPUTED_VALUE"""),"FIP General")</f>
        <v>FIP General</v>
      </c>
      <c r="M365" s="6" t="str">
        <f>IFERROR(__xludf.DUMMYFUNCTION("""COMPUTED_VALUE"""),"Joko Nugroho")</f>
        <v>Joko Nugroho</v>
      </c>
      <c r="N365" s="6" t="str">
        <f>IFERROR(__xludf.DUMMYFUNCTION("""COMPUTED_VALUE"""),"FIP Engineering")</f>
        <v>FIP Engineering</v>
      </c>
      <c r="O365" s="6" t="str">
        <f>IFERROR(__xludf.DUMMYFUNCTION("""COMPUTED_VALUE"""),"FIP-DOM-ENG-51502-0000000-INA-000000")</f>
        <v>FIP-DOM-ENG-51502-0000000-INA-000000</v>
      </c>
      <c r="P365" s="6" t="str">
        <f>IFERROR(__xludf.DUMMYFUNCTION("""COMPUTED_VALUE"""),"PO Closed")</f>
        <v>PO Closed</v>
      </c>
      <c r="Q365" s="6" t="str">
        <f>IFERROR(__xludf.DUMMYFUNCTION("""COMPUTED_VALUE"""),"GL1807059")</f>
        <v>GL1807059</v>
      </c>
      <c r="R365" s="16">
        <f>IFERROR(__xludf.DUMMYFUNCTION("""COMPUTED_VALUE"""),43309.0)</f>
        <v>43309</v>
      </c>
      <c r="S365" s="6" t="str">
        <f>IFERROR(__xludf.DUMMYFUNCTION("""COMPUTED_VALUE"""),"-")</f>
        <v>-</v>
      </c>
      <c r="T365" s="13">
        <f>IFERROR(__xludf.DUMMYFUNCTION("""COMPUTED_VALUE"""),43314.0)</f>
        <v>43314</v>
      </c>
    </row>
    <row r="366">
      <c r="A366" s="6" t="str">
        <f>IFERROR(__xludf.DUMMYFUNCTION("""COMPUTED_VALUE"""),"181750235-12")</f>
        <v>181750235-12</v>
      </c>
      <c r="B366" s="6" t="str">
        <f>IFERROR(__xludf.DUMMYFUNCTION("""COMPUTED_VALUE"""),"181750235 - Approved")</f>
        <v>181750235 - Approved</v>
      </c>
      <c r="C366" s="6">
        <f>IFERROR(__xludf.DUMMYFUNCTION("""COMPUTED_VALUE"""),12.0)</f>
        <v>12</v>
      </c>
      <c r="D366" s="6" t="str">
        <f>IFERROR(__xludf.DUMMYFUNCTION("""COMPUTED_VALUE"""),"Q-10152-00")</f>
        <v>Q-10152-00</v>
      </c>
      <c r="E366" s="6" t="str">
        <f>IFERROR(__xludf.DUMMYFUNCTION("""COMPUTED_VALUE"""),"Kuas roller set")</f>
        <v>Kuas roller set</v>
      </c>
      <c r="F366" s="6">
        <f>IFERROR(__xludf.DUMMYFUNCTION("""COMPUTED_VALUE"""),2.0)</f>
        <v>2</v>
      </c>
      <c r="G366" s="6" t="str">
        <f>IFERROR(__xludf.DUMMYFUNCTION("""COMPUTED_VALUE"""),"Pieces")</f>
        <v>Pieces</v>
      </c>
      <c r="H366" s="6" t="str">
        <f>IFERROR(__xludf.DUMMYFUNCTION("""COMPUTED_VALUE"""),"IDR")</f>
        <v>IDR</v>
      </c>
      <c r="I366" s="11">
        <f>IFERROR(__xludf.DUMMYFUNCTION("""COMPUTED_VALUE"""),8000.0)</f>
        <v>8000</v>
      </c>
      <c r="J366" s="11">
        <f>IFERROR(__xludf.DUMMYFUNCTION("""COMPUTED_VALUE"""),16000.0)</f>
        <v>16000</v>
      </c>
      <c r="K366" s="13">
        <f>IFERROR(__xludf.DUMMYFUNCTION("""COMPUTED_VALUE"""),43325.0)</f>
        <v>43325</v>
      </c>
      <c r="L366" s="6" t="str">
        <f>IFERROR(__xludf.DUMMYFUNCTION("""COMPUTED_VALUE"""),"FIP General")</f>
        <v>FIP General</v>
      </c>
      <c r="M366" s="6" t="str">
        <f>IFERROR(__xludf.DUMMYFUNCTION("""COMPUTED_VALUE"""),"Joko Nugroho")</f>
        <v>Joko Nugroho</v>
      </c>
      <c r="N366" s="6" t="str">
        <f>IFERROR(__xludf.DUMMYFUNCTION("""COMPUTED_VALUE"""),"FIP Engineering")</f>
        <v>FIP Engineering</v>
      </c>
      <c r="O366" s="6" t="str">
        <f>IFERROR(__xludf.DUMMYFUNCTION("""COMPUTED_VALUE"""),"FIP-DOM-ENG-51502-0000000-INA-000000")</f>
        <v>FIP-DOM-ENG-51502-0000000-INA-000000</v>
      </c>
      <c r="P366" s="6" t="str">
        <f>IFERROR(__xludf.DUMMYFUNCTION("""COMPUTED_VALUE"""),"PO Closed")</f>
        <v>PO Closed</v>
      </c>
      <c r="Q366" s="6" t="str">
        <f>IFERROR(__xludf.DUMMYFUNCTION("""COMPUTED_VALUE"""),"GL1807059")</f>
        <v>GL1807059</v>
      </c>
      <c r="R366" s="16">
        <f>IFERROR(__xludf.DUMMYFUNCTION("""COMPUTED_VALUE"""),43309.0)</f>
        <v>43309</v>
      </c>
      <c r="S366" s="6" t="str">
        <f>IFERROR(__xludf.DUMMYFUNCTION("""COMPUTED_VALUE"""),"-")</f>
        <v>-</v>
      </c>
      <c r="T366" s="13">
        <f>IFERROR(__xludf.DUMMYFUNCTION("""COMPUTED_VALUE"""),43314.0)</f>
        <v>43314</v>
      </c>
    </row>
    <row r="367">
      <c r="A367" s="6" t="str">
        <f>IFERROR(__xludf.DUMMYFUNCTION("""COMPUTED_VALUE"""),"181750235-13")</f>
        <v>181750235-13</v>
      </c>
      <c r="B367" s="6" t="str">
        <f>IFERROR(__xludf.DUMMYFUNCTION("""COMPUTED_VALUE"""),"181750235 - Approved")</f>
        <v>181750235 - Approved</v>
      </c>
      <c r="C367" s="6">
        <f>IFERROR(__xludf.DUMMYFUNCTION("""COMPUTED_VALUE"""),13.0)</f>
        <v>13</v>
      </c>
      <c r="D367" s="6" t="str">
        <f>IFERROR(__xludf.DUMMYFUNCTION("""COMPUTED_VALUE"""),"Q-10152-00")</f>
        <v>Q-10152-00</v>
      </c>
      <c r="E367" s="6" t="str">
        <f>IFERROR(__xludf.DUMMYFUNCTION("""COMPUTED_VALUE"""),"Kuas roller set")</f>
        <v>Kuas roller set</v>
      </c>
      <c r="F367" s="6">
        <f>IFERROR(__xludf.DUMMYFUNCTION("""COMPUTED_VALUE"""),1.0)</f>
        <v>1</v>
      </c>
      <c r="G367" s="6" t="str">
        <f>IFERROR(__xludf.DUMMYFUNCTION("""COMPUTED_VALUE"""),"Pieces")</f>
        <v>Pieces</v>
      </c>
      <c r="H367" s="6" t="str">
        <f>IFERROR(__xludf.DUMMYFUNCTION("""COMPUTED_VALUE"""),"IDR")</f>
        <v>IDR</v>
      </c>
      <c r="I367" s="11">
        <f>IFERROR(__xludf.DUMMYFUNCTION("""COMPUTED_VALUE"""),18000.0)</f>
        <v>18000</v>
      </c>
      <c r="J367" s="11">
        <f>IFERROR(__xludf.DUMMYFUNCTION("""COMPUTED_VALUE"""),18000.0)</f>
        <v>18000</v>
      </c>
      <c r="K367" s="13">
        <f>IFERROR(__xludf.DUMMYFUNCTION("""COMPUTED_VALUE"""),43325.0)</f>
        <v>43325</v>
      </c>
      <c r="L367" s="6" t="str">
        <f>IFERROR(__xludf.DUMMYFUNCTION("""COMPUTED_VALUE"""),"FIP General")</f>
        <v>FIP General</v>
      </c>
      <c r="M367" s="6" t="str">
        <f>IFERROR(__xludf.DUMMYFUNCTION("""COMPUTED_VALUE"""),"Joko Nugroho")</f>
        <v>Joko Nugroho</v>
      </c>
      <c r="N367" s="6" t="str">
        <f>IFERROR(__xludf.DUMMYFUNCTION("""COMPUTED_VALUE"""),"FIP Engineering")</f>
        <v>FIP Engineering</v>
      </c>
      <c r="O367" s="6" t="str">
        <f>IFERROR(__xludf.DUMMYFUNCTION("""COMPUTED_VALUE"""),"FIP-DOM-ENG-51502-0000000-INA-000000")</f>
        <v>FIP-DOM-ENG-51502-0000000-INA-000000</v>
      </c>
      <c r="P367" s="6" t="str">
        <f>IFERROR(__xludf.DUMMYFUNCTION("""COMPUTED_VALUE"""),"PO Closed")</f>
        <v>PO Closed</v>
      </c>
      <c r="Q367" s="6" t="str">
        <f>IFERROR(__xludf.DUMMYFUNCTION("""COMPUTED_VALUE"""),"GL1807059")</f>
        <v>GL1807059</v>
      </c>
      <c r="R367" s="16">
        <f>IFERROR(__xludf.DUMMYFUNCTION("""COMPUTED_VALUE"""),43309.0)</f>
        <v>43309</v>
      </c>
      <c r="S367" s="6" t="str">
        <f>IFERROR(__xludf.DUMMYFUNCTION("""COMPUTED_VALUE"""),"-")</f>
        <v>-</v>
      </c>
      <c r="T367" s="13">
        <f>IFERROR(__xludf.DUMMYFUNCTION("""COMPUTED_VALUE"""),43314.0)</f>
        <v>43314</v>
      </c>
    </row>
    <row r="368">
      <c r="A368" s="6" t="str">
        <f>IFERROR(__xludf.DUMMYFUNCTION("""COMPUTED_VALUE"""),"181750235-14")</f>
        <v>181750235-14</v>
      </c>
      <c r="B368" s="6" t="str">
        <f>IFERROR(__xludf.DUMMYFUNCTION("""COMPUTED_VALUE"""),"181750235 - Approved")</f>
        <v>181750235 - Approved</v>
      </c>
      <c r="C368" s="6">
        <f>IFERROR(__xludf.DUMMYFUNCTION("""COMPUTED_VALUE"""),14.0)</f>
        <v>14</v>
      </c>
      <c r="D368" s="6" t="str">
        <f>IFERROR(__xludf.DUMMYFUNCTION("""COMPUTED_VALUE"""),"Q-10516-00")</f>
        <v>Q-10516-00</v>
      </c>
      <c r="E368" s="6" t="str">
        <f>IFERROR(__xludf.DUMMYFUNCTION("""COMPUTED_VALUE"""),"Pahat Besi / Cold Chisel; ; ;")</f>
        <v>Pahat Besi / Cold Chisel; ; ;</v>
      </c>
      <c r="F368" s="6">
        <f>IFERROR(__xludf.DUMMYFUNCTION("""COMPUTED_VALUE"""),1.0)</f>
        <v>1</v>
      </c>
      <c r="G368" s="6" t="str">
        <f>IFERROR(__xludf.DUMMYFUNCTION("""COMPUTED_VALUE"""),"Pieces")</f>
        <v>Pieces</v>
      </c>
      <c r="H368" s="6" t="str">
        <f>IFERROR(__xludf.DUMMYFUNCTION("""COMPUTED_VALUE"""),"IDR")</f>
        <v>IDR</v>
      </c>
      <c r="I368" s="11">
        <f>IFERROR(__xludf.DUMMYFUNCTION("""COMPUTED_VALUE"""),10000.0)</f>
        <v>10000</v>
      </c>
      <c r="J368" s="11">
        <f>IFERROR(__xludf.DUMMYFUNCTION("""COMPUTED_VALUE"""),10000.0)</f>
        <v>10000</v>
      </c>
      <c r="K368" s="13">
        <f>IFERROR(__xludf.DUMMYFUNCTION("""COMPUTED_VALUE"""),43325.0)</f>
        <v>43325</v>
      </c>
      <c r="L368" s="6" t="str">
        <f>IFERROR(__xludf.DUMMYFUNCTION("""COMPUTED_VALUE"""),"FIP General")</f>
        <v>FIP General</v>
      </c>
      <c r="M368" s="6" t="str">
        <f>IFERROR(__xludf.DUMMYFUNCTION("""COMPUTED_VALUE"""),"Joko Nugroho")</f>
        <v>Joko Nugroho</v>
      </c>
      <c r="N368" s="6" t="str">
        <f>IFERROR(__xludf.DUMMYFUNCTION("""COMPUTED_VALUE"""),"FIP Engineering")</f>
        <v>FIP Engineering</v>
      </c>
      <c r="O368" s="6" t="str">
        <f>IFERROR(__xludf.DUMMYFUNCTION("""COMPUTED_VALUE"""),"FIP-DOM-ENG-51502-0000000-INA-000000")</f>
        <v>FIP-DOM-ENG-51502-0000000-INA-000000</v>
      </c>
      <c r="P368" s="6" t="str">
        <f>IFERROR(__xludf.DUMMYFUNCTION("""COMPUTED_VALUE"""),"PO Closed")</f>
        <v>PO Closed</v>
      </c>
      <c r="Q368" s="6" t="str">
        <f>IFERROR(__xludf.DUMMYFUNCTION("""COMPUTED_VALUE"""),"GL1807059")</f>
        <v>GL1807059</v>
      </c>
      <c r="R368" s="16">
        <f>IFERROR(__xludf.DUMMYFUNCTION("""COMPUTED_VALUE"""),43309.0)</f>
        <v>43309</v>
      </c>
      <c r="S368" s="6" t="str">
        <f>IFERROR(__xludf.DUMMYFUNCTION("""COMPUTED_VALUE"""),"-")</f>
        <v>-</v>
      </c>
      <c r="T368" s="13">
        <f>IFERROR(__xludf.DUMMYFUNCTION("""COMPUTED_VALUE"""),43314.0)</f>
        <v>43314</v>
      </c>
    </row>
    <row r="369">
      <c r="A369" s="6" t="str">
        <f>IFERROR(__xludf.DUMMYFUNCTION("""COMPUTED_VALUE"""),"181750235-15")</f>
        <v>181750235-15</v>
      </c>
      <c r="B369" s="6" t="str">
        <f>IFERROR(__xludf.DUMMYFUNCTION("""COMPUTED_VALUE"""),"181750235 - Approved")</f>
        <v>181750235 - Approved</v>
      </c>
      <c r="C369" s="6">
        <f>IFERROR(__xludf.DUMMYFUNCTION("""COMPUTED_VALUE"""),15.0)</f>
        <v>15</v>
      </c>
      <c r="D369" s="6" t="str">
        <f>IFERROR(__xludf.DUMMYFUNCTION("""COMPUTED_VALUE"""),"Q-10517-00")</f>
        <v>Q-10517-00</v>
      </c>
      <c r="E369" s="6" t="str">
        <f>IFERROR(__xludf.DUMMYFUNCTION("""COMPUTED_VALUE"""),"Scraper / Kape Besi; ; ;")</f>
        <v>Scraper / Kape Besi; ; ;</v>
      </c>
      <c r="F369" s="6">
        <f>IFERROR(__xludf.DUMMYFUNCTION("""COMPUTED_VALUE"""),1.0)</f>
        <v>1</v>
      </c>
      <c r="G369" s="6" t="str">
        <f>IFERROR(__xludf.DUMMYFUNCTION("""COMPUTED_VALUE"""),"Pieces")</f>
        <v>Pieces</v>
      </c>
      <c r="H369" s="6" t="str">
        <f>IFERROR(__xludf.DUMMYFUNCTION("""COMPUTED_VALUE"""),"IDR")</f>
        <v>IDR</v>
      </c>
      <c r="I369" s="11">
        <f>IFERROR(__xludf.DUMMYFUNCTION("""COMPUTED_VALUE"""),17000.0)</f>
        <v>17000</v>
      </c>
      <c r="J369" s="11">
        <f>IFERROR(__xludf.DUMMYFUNCTION("""COMPUTED_VALUE"""),17000.0)</f>
        <v>17000</v>
      </c>
      <c r="K369" s="13">
        <f>IFERROR(__xludf.DUMMYFUNCTION("""COMPUTED_VALUE"""),43331.0)</f>
        <v>43331</v>
      </c>
      <c r="L369" s="6" t="str">
        <f>IFERROR(__xludf.DUMMYFUNCTION("""COMPUTED_VALUE"""),"FIP General")</f>
        <v>FIP General</v>
      </c>
      <c r="M369" s="6" t="str">
        <f>IFERROR(__xludf.DUMMYFUNCTION("""COMPUTED_VALUE"""),"Joko Nugroho")</f>
        <v>Joko Nugroho</v>
      </c>
      <c r="N369" s="6" t="str">
        <f>IFERROR(__xludf.DUMMYFUNCTION("""COMPUTED_VALUE"""),"FIP Engineering")</f>
        <v>FIP Engineering</v>
      </c>
      <c r="O369" s="6" t="str">
        <f>IFERROR(__xludf.DUMMYFUNCTION("""COMPUTED_VALUE"""),"FIP-DOM-ENG-51502-0000000-INA-000000")</f>
        <v>FIP-DOM-ENG-51502-0000000-INA-000000</v>
      </c>
      <c r="P369" s="6" t="str">
        <f>IFERROR(__xludf.DUMMYFUNCTION("""COMPUTED_VALUE"""),"PO Closed")</f>
        <v>PO Closed</v>
      </c>
      <c r="Q369" s="6" t="str">
        <f>IFERROR(__xludf.DUMMYFUNCTION("""COMPUTED_VALUE"""),"GL1807059")</f>
        <v>GL1807059</v>
      </c>
      <c r="R369" s="16">
        <f>IFERROR(__xludf.DUMMYFUNCTION("""COMPUTED_VALUE"""),43309.0)</f>
        <v>43309</v>
      </c>
      <c r="S369" s="6" t="str">
        <f>IFERROR(__xludf.DUMMYFUNCTION("""COMPUTED_VALUE"""),"-")</f>
        <v>-</v>
      </c>
      <c r="T369" s="13">
        <f>IFERROR(__xludf.DUMMYFUNCTION("""COMPUTED_VALUE"""),43314.0)</f>
        <v>43314</v>
      </c>
    </row>
    <row r="370">
      <c r="A370" s="6" t="str">
        <f>IFERROR(__xludf.DUMMYFUNCTION("""COMPUTED_VALUE"""),"181750235-16")</f>
        <v>181750235-16</v>
      </c>
      <c r="B370" s="6" t="str">
        <f>IFERROR(__xludf.DUMMYFUNCTION("""COMPUTED_VALUE"""),"181750235 - Approved")</f>
        <v>181750235 - Approved</v>
      </c>
      <c r="C370" s="6">
        <f>IFERROR(__xludf.DUMMYFUNCTION("""COMPUTED_VALUE"""),16.0)</f>
        <v>16</v>
      </c>
      <c r="D370" s="6" t="str">
        <f>IFERROR(__xludf.DUMMYFUNCTION("""COMPUTED_VALUE"""),"Q-10517-00")</f>
        <v>Q-10517-00</v>
      </c>
      <c r="E370" s="6" t="str">
        <f>IFERROR(__xludf.DUMMYFUNCTION("""COMPUTED_VALUE"""),"Scraper / Kape Besi; ; ;")</f>
        <v>Scraper / Kape Besi; ; ;</v>
      </c>
      <c r="F370" s="6">
        <f>IFERROR(__xludf.DUMMYFUNCTION("""COMPUTED_VALUE"""),1.0)</f>
        <v>1</v>
      </c>
      <c r="G370" s="6" t="str">
        <f>IFERROR(__xludf.DUMMYFUNCTION("""COMPUTED_VALUE"""),"Pieces")</f>
        <v>Pieces</v>
      </c>
      <c r="H370" s="6" t="str">
        <f>IFERROR(__xludf.DUMMYFUNCTION("""COMPUTED_VALUE"""),"IDR")</f>
        <v>IDR</v>
      </c>
      <c r="I370" s="11">
        <f>IFERROR(__xludf.DUMMYFUNCTION("""COMPUTED_VALUE"""),12000.0)</f>
        <v>12000</v>
      </c>
      <c r="J370" s="11">
        <f>IFERROR(__xludf.DUMMYFUNCTION("""COMPUTED_VALUE"""),12000.0)</f>
        <v>12000</v>
      </c>
      <c r="K370" s="13">
        <f>IFERROR(__xludf.DUMMYFUNCTION("""COMPUTED_VALUE"""),43325.0)</f>
        <v>43325</v>
      </c>
      <c r="L370" s="6" t="str">
        <f>IFERROR(__xludf.DUMMYFUNCTION("""COMPUTED_VALUE"""),"FIP General")</f>
        <v>FIP General</v>
      </c>
      <c r="M370" s="6" t="str">
        <f>IFERROR(__xludf.DUMMYFUNCTION("""COMPUTED_VALUE"""),"Joko Nugroho")</f>
        <v>Joko Nugroho</v>
      </c>
      <c r="N370" s="6" t="str">
        <f>IFERROR(__xludf.DUMMYFUNCTION("""COMPUTED_VALUE"""),"FIP Engineering")</f>
        <v>FIP Engineering</v>
      </c>
      <c r="O370" s="6" t="str">
        <f>IFERROR(__xludf.DUMMYFUNCTION("""COMPUTED_VALUE"""),"FIP-DOM-ENG-51502-0000000-INA-000000")</f>
        <v>FIP-DOM-ENG-51502-0000000-INA-000000</v>
      </c>
      <c r="P370" s="6" t="str">
        <f>IFERROR(__xludf.DUMMYFUNCTION("""COMPUTED_VALUE"""),"PO Closed")</f>
        <v>PO Closed</v>
      </c>
      <c r="Q370" s="6" t="str">
        <f>IFERROR(__xludf.DUMMYFUNCTION("""COMPUTED_VALUE"""),"GL1807059")</f>
        <v>GL1807059</v>
      </c>
      <c r="R370" s="16">
        <f>IFERROR(__xludf.DUMMYFUNCTION("""COMPUTED_VALUE"""),43309.0)</f>
        <v>43309</v>
      </c>
      <c r="S370" s="6" t="str">
        <f>IFERROR(__xludf.DUMMYFUNCTION("""COMPUTED_VALUE"""),"-")</f>
        <v>-</v>
      </c>
      <c r="T370" s="13">
        <f>IFERROR(__xludf.DUMMYFUNCTION("""COMPUTED_VALUE"""),43314.0)</f>
        <v>43314</v>
      </c>
    </row>
    <row r="371">
      <c r="A371" s="6" t="str">
        <f>IFERROR(__xludf.DUMMYFUNCTION("""COMPUTED_VALUE"""),"181750235-17")</f>
        <v>181750235-17</v>
      </c>
      <c r="B371" s="6" t="str">
        <f>IFERROR(__xludf.DUMMYFUNCTION("""COMPUTED_VALUE"""),"181750235 - Approved")</f>
        <v>181750235 - Approved</v>
      </c>
      <c r="C371" s="6">
        <f>IFERROR(__xludf.DUMMYFUNCTION("""COMPUTED_VALUE"""),17.0)</f>
        <v>17</v>
      </c>
      <c r="D371" s="6" t="str">
        <f>IFERROR(__xludf.DUMMYFUNCTION("""COMPUTED_VALUE"""),"S-40097-00")</f>
        <v>S-40097-00</v>
      </c>
      <c r="E371" s="6" t="str">
        <f>IFERROR(__xludf.DUMMYFUNCTION("""COMPUTED_VALUE"""),"Kuas Cat")</f>
        <v>Kuas Cat</v>
      </c>
      <c r="F371" s="6">
        <f>IFERROR(__xludf.DUMMYFUNCTION("""COMPUTED_VALUE"""),4.0)</f>
        <v>4</v>
      </c>
      <c r="G371" s="6" t="str">
        <f>IFERROR(__xludf.DUMMYFUNCTION("""COMPUTED_VALUE"""),"Pieces")</f>
        <v>Pieces</v>
      </c>
      <c r="H371" s="6" t="str">
        <f>IFERROR(__xludf.DUMMYFUNCTION("""COMPUTED_VALUE"""),"IDR")</f>
        <v>IDR</v>
      </c>
      <c r="I371" s="11">
        <f>IFERROR(__xludf.DUMMYFUNCTION("""COMPUTED_VALUE"""),6000.0)</f>
        <v>6000</v>
      </c>
      <c r="J371" s="11">
        <f>IFERROR(__xludf.DUMMYFUNCTION("""COMPUTED_VALUE"""),24000.0)</f>
        <v>24000</v>
      </c>
      <c r="K371" s="13">
        <f>IFERROR(__xludf.DUMMYFUNCTION("""COMPUTED_VALUE"""),43325.0)</f>
        <v>43325</v>
      </c>
      <c r="L371" s="6" t="str">
        <f>IFERROR(__xludf.DUMMYFUNCTION("""COMPUTED_VALUE"""),"FIP General")</f>
        <v>FIP General</v>
      </c>
      <c r="M371" s="6" t="str">
        <f>IFERROR(__xludf.DUMMYFUNCTION("""COMPUTED_VALUE"""),"Joko Nugroho")</f>
        <v>Joko Nugroho</v>
      </c>
      <c r="N371" s="6" t="str">
        <f>IFERROR(__xludf.DUMMYFUNCTION("""COMPUTED_VALUE"""),"FIP Engineering")</f>
        <v>FIP Engineering</v>
      </c>
      <c r="O371" s="6" t="str">
        <f>IFERROR(__xludf.DUMMYFUNCTION("""COMPUTED_VALUE"""),"FIP-DOM-ENG-51502-0000000-INA-000000")</f>
        <v>FIP-DOM-ENG-51502-0000000-INA-000000</v>
      </c>
      <c r="P371" s="6" t="str">
        <f>IFERROR(__xludf.DUMMYFUNCTION("""COMPUTED_VALUE"""),"PO Closed")</f>
        <v>PO Closed</v>
      </c>
      <c r="Q371" s="6" t="str">
        <f>IFERROR(__xludf.DUMMYFUNCTION("""COMPUTED_VALUE"""),"GL1807059")</f>
        <v>GL1807059</v>
      </c>
      <c r="R371" s="16">
        <f>IFERROR(__xludf.DUMMYFUNCTION("""COMPUTED_VALUE"""),43309.0)</f>
        <v>43309</v>
      </c>
      <c r="S371" s="6" t="str">
        <f>IFERROR(__xludf.DUMMYFUNCTION("""COMPUTED_VALUE"""),"-")</f>
        <v>-</v>
      </c>
      <c r="T371" s="50">
        <f>IFERROR(__xludf.DUMMYFUNCTION("""COMPUTED_VALUE"""),43314.0)</f>
        <v>43314</v>
      </c>
    </row>
    <row r="372">
      <c r="A372" s="6" t="str">
        <f>IFERROR(__xludf.DUMMYFUNCTION("""COMPUTED_VALUE"""),"181750235-18")</f>
        <v>181750235-18</v>
      </c>
      <c r="B372" s="6" t="str">
        <f>IFERROR(__xludf.DUMMYFUNCTION("""COMPUTED_VALUE"""),"181750235 - Approved")</f>
        <v>181750235 - Approved</v>
      </c>
      <c r="C372" s="6">
        <f>IFERROR(__xludf.DUMMYFUNCTION("""COMPUTED_VALUE"""),18.0)</f>
        <v>18</v>
      </c>
      <c r="D372" s="6" t="str">
        <f>IFERROR(__xludf.DUMMYFUNCTION("""COMPUTED_VALUE"""),"P-16987-00")</f>
        <v>P-16987-00</v>
      </c>
      <c r="E372" s="6" t="str">
        <f>IFERROR(__xludf.DUMMYFUNCTION("""COMPUTED_VALUE"""),"Baut/Skrup Fisher; ; ;")</f>
        <v>Baut/Skrup Fisher; ; ;</v>
      </c>
      <c r="F372" s="6">
        <f>IFERROR(__xludf.DUMMYFUNCTION("""COMPUTED_VALUE"""),1.0)</f>
        <v>1</v>
      </c>
      <c r="G372" s="6" t="str">
        <f>IFERROR(__xludf.DUMMYFUNCTION("""COMPUTED_VALUE"""),"Pieces")</f>
        <v>Pieces</v>
      </c>
      <c r="H372" s="6" t="str">
        <f>IFERROR(__xludf.DUMMYFUNCTION("""COMPUTED_VALUE"""),"IDR")</f>
        <v>IDR</v>
      </c>
      <c r="I372" s="11">
        <f>IFERROR(__xludf.DUMMYFUNCTION("""COMPUTED_VALUE"""),12000.0)</f>
        <v>12000</v>
      </c>
      <c r="J372" s="11">
        <f>IFERROR(__xludf.DUMMYFUNCTION("""COMPUTED_VALUE"""),12000.0)</f>
        <v>12000</v>
      </c>
      <c r="K372" s="13">
        <f>IFERROR(__xludf.DUMMYFUNCTION("""COMPUTED_VALUE"""),43325.0)</f>
        <v>43325</v>
      </c>
      <c r="L372" s="6" t="str">
        <f>IFERROR(__xludf.DUMMYFUNCTION("""COMPUTED_VALUE"""),"FIP General")</f>
        <v>FIP General</v>
      </c>
      <c r="M372" s="6" t="str">
        <f>IFERROR(__xludf.DUMMYFUNCTION("""COMPUTED_VALUE"""),"Joko Nugroho")</f>
        <v>Joko Nugroho</v>
      </c>
      <c r="N372" s="6" t="str">
        <f>IFERROR(__xludf.DUMMYFUNCTION("""COMPUTED_VALUE"""),"FIP Engineering")</f>
        <v>FIP Engineering</v>
      </c>
      <c r="O372" s="6" t="str">
        <f>IFERROR(__xludf.DUMMYFUNCTION("""COMPUTED_VALUE"""),"FIP-DOM-ENG-51404-0000000-INA-000000")</f>
        <v>FIP-DOM-ENG-51404-0000000-INA-000000</v>
      </c>
      <c r="P372" s="6" t="str">
        <f>IFERROR(__xludf.DUMMYFUNCTION("""COMPUTED_VALUE"""),"PO Closed")</f>
        <v>PO Closed</v>
      </c>
      <c r="Q372" s="6" t="str">
        <f>IFERROR(__xludf.DUMMYFUNCTION("""COMPUTED_VALUE"""),"GL1807059")</f>
        <v>GL1807059</v>
      </c>
      <c r="R372" s="16">
        <f>IFERROR(__xludf.DUMMYFUNCTION("""COMPUTED_VALUE"""),43309.0)</f>
        <v>43309</v>
      </c>
      <c r="S372" s="6" t="str">
        <f>IFERROR(__xludf.DUMMYFUNCTION("""COMPUTED_VALUE"""),"-")</f>
        <v>-</v>
      </c>
      <c r="T372" s="13">
        <f>IFERROR(__xludf.DUMMYFUNCTION("""COMPUTED_VALUE"""),43314.0)</f>
        <v>43314</v>
      </c>
    </row>
    <row r="373">
      <c r="A373" s="6" t="str">
        <f>IFERROR(__xludf.DUMMYFUNCTION("""COMPUTED_VALUE"""),"181750235-19")</f>
        <v>181750235-19</v>
      </c>
      <c r="B373" s="6" t="str">
        <f>IFERROR(__xludf.DUMMYFUNCTION("""COMPUTED_VALUE"""),"181750235 - Approved")</f>
        <v>181750235 - Approved</v>
      </c>
      <c r="C373" s="6">
        <f>IFERROR(__xludf.DUMMYFUNCTION("""COMPUTED_VALUE"""),19.0)</f>
        <v>19</v>
      </c>
      <c r="D373" s="6" t="str">
        <f>IFERROR(__xludf.DUMMYFUNCTION("""COMPUTED_VALUE"""),"S-41621-00")</f>
        <v>S-41621-00</v>
      </c>
      <c r="E373" s="6" t="str">
        <f>IFERROR(__xludf.DUMMYFUNCTION("""COMPUTED_VALUE"""),"Ember plastik; ; ;")</f>
        <v>Ember plastik; ; ;</v>
      </c>
      <c r="F373" s="6">
        <f>IFERROR(__xludf.DUMMYFUNCTION("""COMPUTED_VALUE"""),3.0)</f>
        <v>3</v>
      </c>
      <c r="G373" s="6" t="str">
        <f>IFERROR(__xludf.DUMMYFUNCTION("""COMPUTED_VALUE"""),"Pieces")</f>
        <v>Pieces</v>
      </c>
      <c r="H373" s="6" t="str">
        <f>IFERROR(__xludf.DUMMYFUNCTION("""COMPUTED_VALUE"""),"IDR")</f>
        <v>IDR</v>
      </c>
      <c r="I373" s="11">
        <f>IFERROR(__xludf.DUMMYFUNCTION("""COMPUTED_VALUE"""),8000.0)</f>
        <v>8000</v>
      </c>
      <c r="J373" s="11">
        <f>IFERROR(__xludf.DUMMYFUNCTION("""COMPUTED_VALUE"""),24000.0)</f>
        <v>24000</v>
      </c>
      <c r="K373" s="13">
        <f>IFERROR(__xludf.DUMMYFUNCTION("""COMPUTED_VALUE"""),43325.0)</f>
        <v>43325</v>
      </c>
      <c r="L373" s="6" t="str">
        <f>IFERROR(__xludf.DUMMYFUNCTION("""COMPUTED_VALUE"""),"FIP General")</f>
        <v>FIP General</v>
      </c>
      <c r="M373" s="6" t="str">
        <f>IFERROR(__xludf.DUMMYFUNCTION("""COMPUTED_VALUE"""),"Joko Nugroho")</f>
        <v>Joko Nugroho</v>
      </c>
      <c r="N373" s="6" t="str">
        <f>IFERROR(__xludf.DUMMYFUNCTION("""COMPUTED_VALUE"""),"FIP Engineering")</f>
        <v>FIP Engineering</v>
      </c>
      <c r="O373" s="6" t="str">
        <f>IFERROR(__xludf.DUMMYFUNCTION("""COMPUTED_VALUE"""),"FIP-DOM-ENG-51502-0000000-INA-000000")</f>
        <v>FIP-DOM-ENG-51502-0000000-INA-000000</v>
      </c>
      <c r="P373" s="6" t="str">
        <f>IFERROR(__xludf.DUMMYFUNCTION("""COMPUTED_VALUE"""),"PO Closed")</f>
        <v>PO Closed</v>
      </c>
      <c r="Q373" s="6" t="str">
        <f>IFERROR(__xludf.DUMMYFUNCTION("""COMPUTED_VALUE"""),"GL1807059")</f>
        <v>GL1807059</v>
      </c>
      <c r="R373" s="16">
        <f>IFERROR(__xludf.DUMMYFUNCTION("""COMPUTED_VALUE"""),43309.0)</f>
        <v>43309</v>
      </c>
      <c r="S373" s="6" t="str">
        <f>IFERROR(__xludf.DUMMYFUNCTION("""COMPUTED_VALUE"""),"-")</f>
        <v>-</v>
      </c>
      <c r="T373" s="13">
        <f>IFERROR(__xludf.DUMMYFUNCTION("""COMPUTED_VALUE"""),43314.0)</f>
        <v>43314</v>
      </c>
    </row>
    <row r="374">
      <c r="A374" s="6" t="str">
        <f>IFERROR(__xludf.DUMMYFUNCTION("""COMPUTED_VALUE"""),"181750235-20")</f>
        <v>181750235-20</v>
      </c>
      <c r="B374" s="6" t="str">
        <f>IFERROR(__xludf.DUMMYFUNCTION("""COMPUTED_VALUE"""),"181750235 - Approved")</f>
        <v>181750235 - Approved</v>
      </c>
      <c r="C374" s="6">
        <f>IFERROR(__xludf.DUMMYFUNCTION("""COMPUTED_VALUE"""),20.0)</f>
        <v>20</v>
      </c>
      <c r="D374" s="6" t="str">
        <f>IFERROR(__xludf.DUMMYFUNCTION("""COMPUTED_VALUE"""),"Q-10042-00")</f>
        <v>Q-10042-00</v>
      </c>
      <c r="E374" s="6" t="str">
        <f>IFERROR(__xludf.DUMMYFUNCTION("""COMPUTED_VALUE"""),"Thiner Epoxy @ 1 galon")</f>
        <v>Thiner Epoxy @ 1 galon</v>
      </c>
      <c r="F374" s="6">
        <f>IFERROR(__xludf.DUMMYFUNCTION("""COMPUTED_VALUE"""),1.0)</f>
        <v>1</v>
      </c>
      <c r="G374" s="6" t="str">
        <f>IFERROR(__xludf.DUMMYFUNCTION("""COMPUTED_VALUE"""),"Liter")</f>
        <v>Liter</v>
      </c>
      <c r="H374" s="6" t="str">
        <f>IFERROR(__xludf.DUMMYFUNCTION("""COMPUTED_VALUE"""),"IDR")</f>
        <v>IDR</v>
      </c>
      <c r="I374" s="11">
        <f>IFERROR(__xludf.DUMMYFUNCTION("""COMPUTED_VALUE"""),28000.0)</f>
        <v>28000</v>
      </c>
      <c r="J374" s="11">
        <f>IFERROR(__xludf.DUMMYFUNCTION("""COMPUTED_VALUE"""),28000.0)</f>
        <v>28000</v>
      </c>
      <c r="K374" s="13">
        <f>IFERROR(__xludf.DUMMYFUNCTION("""COMPUTED_VALUE"""),43325.0)</f>
        <v>43325</v>
      </c>
      <c r="L374" s="6" t="str">
        <f>IFERROR(__xludf.DUMMYFUNCTION("""COMPUTED_VALUE"""),"FIP General")</f>
        <v>FIP General</v>
      </c>
      <c r="M374" s="6" t="str">
        <f>IFERROR(__xludf.DUMMYFUNCTION("""COMPUTED_VALUE"""),"Joko Nugroho")</f>
        <v>Joko Nugroho</v>
      </c>
      <c r="N374" s="6" t="str">
        <f>IFERROR(__xludf.DUMMYFUNCTION("""COMPUTED_VALUE"""),"FIP Engineering")</f>
        <v>FIP Engineering</v>
      </c>
      <c r="O374" s="6" t="str">
        <f>IFERROR(__xludf.DUMMYFUNCTION("""COMPUTED_VALUE"""),"FIP-DOM-ENG-51502-0000000-INA-000000")</f>
        <v>FIP-DOM-ENG-51502-0000000-INA-000000</v>
      </c>
      <c r="P374" s="6" t="str">
        <f>IFERROR(__xludf.DUMMYFUNCTION("""COMPUTED_VALUE"""),"PO Closed")</f>
        <v>PO Closed</v>
      </c>
      <c r="Q374" s="6" t="str">
        <f>IFERROR(__xludf.DUMMYFUNCTION("""COMPUTED_VALUE"""),"GL1807059")</f>
        <v>GL1807059</v>
      </c>
      <c r="R374" s="16">
        <f>IFERROR(__xludf.DUMMYFUNCTION("""COMPUTED_VALUE"""),43309.0)</f>
        <v>43309</v>
      </c>
      <c r="S374" s="6" t="str">
        <f>IFERROR(__xludf.DUMMYFUNCTION("""COMPUTED_VALUE"""),"-")</f>
        <v>-</v>
      </c>
      <c r="T374" s="13">
        <f>IFERROR(__xludf.DUMMYFUNCTION("""COMPUTED_VALUE"""),43314.0)</f>
        <v>43314</v>
      </c>
    </row>
    <row r="375">
      <c r="A375" s="6" t="str">
        <f>IFERROR(__xludf.DUMMYFUNCTION("""COMPUTED_VALUE"""),"181750235-22")</f>
        <v>181750235-22</v>
      </c>
      <c r="B375" s="6" t="str">
        <f>IFERROR(__xludf.DUMMYFUNCTION("""COMPUTED_VALUE"""),"181750235 - Approved")</f>
        <v>181750235 - Approved</v>
      </c>
      <c r="C375" s="6">
        <f>IFERROR(__xludf.DUMMYFUNCTION("""COMPUTED_VALUE"""),22.0)</f>
        <v>22</v>
      </c>
      <c r="D375" s="6" t="str">
        <f>IFERROR(__xludf.DUMMYFUNCTION("""COMPUTED_VALUE"""),"Q-10492-00")</f>
        <v>Q-10492-00</v>
      </c>
      <c r="E375" s="6" t="str">
        <f>IFERROR(__xludf.DUMMYFUNCTION("""COMPUTED_VALUE"""),"Amplas; ; ; lembar")</f>
        <v>Amplas; ; ; lembar</v>
      </c>
      <c r="F375" s="6">
        <f>IFERROR(__xludf.DUMMYFUNCTION("""COMPUTED_VALUE"""),5.0)</f>
        <v>5</v>
      </c>
      <c r="G375" s="6" t="str">
        <f>IFERROR(__xludf.DUMMYFUNCTION("""COMPUTED_VALUE"""),"Pieces")</f>
        <v>Pieces</v>
      </c>
      <c r="H375" s="6" t="str">
        <f>IFERROR(__xludf.DUMMYFUNCTION("""COMPUTED_VALUE"""),"IDR")</f>
        <v>IDR</v>
      </c>
      <c r="I375" s="11">
        <f>IFERROR(__xludf.DUMMYFUNCTION("""COMPUTED_VALUE"""),2000.0)</f>
        <v>2000</v>
      </c>
      <c r="J375" s="11">
        <f>IFERROR(__xludf.DUMMYFUNCTION("""COMPUTED_VALUE"""),10000.0)</f>
        <v>10000</v>
      </c>
      <c r="K375" s="13">
        <f>IFERROR(__xludf.DUMMYFUNCTION("""COMPUTED_VALUE"""),43325.0)</f>
        <v>43325</v>
      </c>
      <c r="L375" s="6" t="str">
        <f>IFERROR(__xludf.DUMMYFUNCTION("""COMPUTED_VALUE"""),"FIP General")</f>
        <v>FIP General</v>
      </c>
      <c r="M375" s="6" t="str">
        <f>IFERROR(__xludf.DUMMYFUNCTION("""COMPUTED_VALUE"""),"Joko Nugroho")</f>
        <v>Joko Nugroho</v>
      </c>
      <c r="N375" s="6" t="str">
        <f>IFERROR(__xludf.DUMMYFUNCTION("""COMPUTED_VALUE"""),"FIP Engineering")</f>
        <v>FIP Engineering</v>
      </c>
      <c r="O375" s="6" t="str">
        <f>IFERROR(__xludf.DUMMYFUNCTION("""COMPUTED_VALUE"""),"FIP-DOM-ENG-51404-0000000-INA-000000")</f>
        <v>FIP-DOM-ENG-51404-0000000-INA-000000</v>
      </c>
      <c r="P375" s="6" t="str">
        <f>IFERROR(__xludf.DUMMYFUNCTION("""COMPUTED_VALUE"""),"PO Closed")</f>
        <v>PO Closed</v>
      </c>
      <c r="Q375" s="6" t="str">
        <f>IFERROR(__xludf.DUMMYFUNCTION("""COMPUTED_VALUE"""),"GL1807059")</f>
        <v>GL1807059</v>
      </c>
      <c r="R375" s="16">
        <f>IFERROR(__xludf.DUMMYFUNCTION("""COMPUTED_VALUE"""),43309.0)</f>
        <v>43309</v>
      </c>
      <c r="S375" s="6" t="str">
        <f>IFERROR(__xludf.DUMMYFUNCTION("""COMPUTED_VALUE"""),"-")</f>
        <v>-</v>
      </c>
      <c r="T375" s="13">
        <f>IFERROR(__xludf.DUMMYFUNCTION("""COMPUTED_VALUE"""),43314.0)</f>
        <v>43314</v>
      </c>
    </row>
    <row r="376">
      <c r="A376" s="6" t="str">
        <f>IFERROR(__xludf.DUMMYFUNCTION("""COMPUTED_VALUE"""),"181750235-23")</f>
        <v>181750235-23</v>
      </c>
      <c r="B376" s="6" t="str">
        <f>IFERROR(__xludf.DUMMYFUNCTION("""COMPUTED_VALUE"""),"181750235 - Approved")</f>
        <v>181750235 - Approved</v>
      </c>
      <c r="C376" s="6">
        <f>IFERROR(__xludf.DUMMYFUNCTION("""COMPUTED_VALUE"""),23.0)</f>
        <v>23</v>
      </c>
      <c r="D376" s="6" t="str">
        <f>IFERROR(__xludf.DUMMYFUNCTION("""COMPUTED_VALUE"""),"Q-10475-00")</f>
        <v>Q-10475-00</v>
      </c>
      <c r="E376" s="6" t="str">
        <f>IFERROR(__xludf.DUMMYFUNCTION("""COMPUTED_VALUE"""),"Cat Tembok; ; ;")</f>
        <v>Cat Tembok; ; ;</v>
      </c>
      <c r="F376" s="6">
        <f>IFERROR(__xludf.DUMMYFUNCTION("""COMPUTED_VALUE"""),1.0)</f>
        <v>1</v>
      </c>
      <c r="G376" s="6" t="str">
        <f>IFERROR(__xludf.DUMMYFUNCTION("""COMPUTED_VALUE"""),"Can")</f>
        <v>Can</v>
      </c>
      <c r="H376" s="6" t="str">
        <f>IFERROR(__xludf.DUMMYFUNCTION("""COMPUTED_VALUE"""),"IDR")</f>
        <v>IDR</v>
      </c>
      <c r="I376" s="11">
        <f>IFERROR(__xludf.DUMMYFUNCTION("""COMPUTED_VALUE"""),17500.0)</f>
        <v>17500</v>
      </c>
      <c r="J376" s="11">
        <f>IFERROR(__xludf.DUMMYFUNCTION("""COMPUTED_VALUE"""),17500.0)</f>
        <v>17500</v>
      </c>
      <c r="K376" s="13">
        <f>IFERROR(__xludf.DUMMYFUNCTION("""COMPUTED_VALUE"""),43325.0)</f>
        <v>43325</v>
      </c>
      <c r="L376" s="6" t="str">
        <f>IFERROR(__xludf.DUMMYFUNCTION("""COMPUTED_VALUE"""),"FIP General")</f>
        <v>FIP General</v>
      </c>
      <c r="M376" s="6" t="str">
        <f>IFERROR(__xludf.DUMMYFUNCTION("""COMPUTED_VALUE"""),"Joko Nugroho")</f>
        <v>Joko Nugroho</v>
      </c>
      <c r="N376" s="6" t="str">
        <f>IFERROR(__xludf.DUMMYFUNCTION("""COMPUTED_VALUE"""),"FIP Engineering")</f>
        <v>FIP Engineering</v>
      </c>
      <c r="O376" s="6" t="str">
        <f>IFERROR(__xludf.DUMMYFUNCTION("""COMPUTED_VALUE"""),"FIP-DOM-ENG-51502-0000000-INA-000000")</f>
        <v>FIP-DOM-ENG-51502-0000000-INA-000000</v>
      </c>
      <c r="P376" s="6" t="str">
        <f>IFERROR(__xludf.DUMMYFUNCTION("""COMPUTED_VALUE"""),"PO Closed")</f>
        <v>PO Closed</v>
      </c>
      <c r="Q376" s="6" t="str">
        <f>IFERROR(__xludf.DUMMYFUNCTION("""COMPUTED_VALUE"""),"GL1807059")</f>
        <v>GL1807059</v>
      </c>
      <c r="R376" s="16">
        <f>IFERROR(__xludf.DUMMYFUNCTION("""COMPUTED_VALUE"""),43309.0)</f>
        <v>43309</v>
      </c>
      <c r="S376" s="6" t="str">
        <f>IFERROR(__xludf.DUMMYFUNCTION("""COMPUTED_VALUE"""),"-")</f>
        <v>-</v>
      </c>
      <c r="T376" s="13">
        <f>IFERROR(__xludf.DUMMYFUNCTION("""COMPUTED_VALUE"""),43314.0)</f>
        <v>43314</v>
      </c>
    </row>
    <row r="377">
      <c r="A377" s="6" t="str">
        <f>IFERROR(__xludf.DUMMYFUNCTION("""COMPUTED_VALUE"""),"181750235-24")</f>
        <v>181750235-24</v>
      </c>
      <c r="B377" s="6" t="str">
        <f>IFERROR(__xludf.DUMMYFUNCTION("""COMPUTED_VALUE"""),"181750235 - Approved")</f>
        <v>181750235 - Approved</v>
      </c>
      <c r="C377" s="6">
        <f>IFERROR(__xludf.DUMMYFUNCTION("""COMPUTED_VALUE"""),24.0)</f>
        <v>24</v>
      </c>
      <c r="D377" s="6" t="str">
        <f>IFERROR(__xludf.DUMMYFUNCTION("""COMPUTED_VALUE"""),"Q-10379-00")</f>
        <v>Q-10379-00</v>
      </c>
      <c r="E377" s="6" t="str">
        <f>IFERROR(__xludf.DUMMYFUNCTION("""COMPUTED_VALUE"""),"Bak Cat")</f>
        <v>Bak Cat</v>
      </c>
      <c r="F377" s="6">
        <f>IFERROR(__xludf.DUMMYFUNCTION("""COMPUTED_VALUE"""),2.0)</f>
        <v>2</v>
      </c>
      <c r="G377" s="6" t="str">
        <f>IFERROR(__xludf.DUMMYFUNCTION("""COMPUTED_VALUE"""),"Pieces")</f>
        <v>Pieces</v>
      </c>
      <c r="H377" s="6" t="str">
        <f>IFERROR(__xludf.DUMMYFUNCTION("""COMPUTED_VALUE"""),"IDR")</f>
        <v>IDR</v>
      </c>
      <c r="I377" s="11">
        <f>IFERROR(__xludf.DUMMYFUNCTION("""COMPUTED_VALUE"""),5000.0)</f>
        <v>5000</v>
      </c>
      <c r="J377" s="11">
        <f>IFERROR(__xludf.DUMMYFUNCTION("""COMPUTED_VALUE"""),10000.0)</f>
        <v>10000</v>
      </c>
      <c r="K377" s="13">
        <f>IFERROR(__xludf.DUMMYFUNCTION("""COMPUTED_VALUE"""),43325.0)</f>
        <v>43325</v>
      </c>
      <c r="L377" s="6" t="str">
        <f>IFERROR(__xludf.DUMMYFUNCTION("""COMPUTED_VALUE"""),"FIP General")</f>
        <v>FIP General</v>
      </c>
      <c r="M377" s="6" t="str">
        <f>IFERROR(__xludf.DUMMYFUNCTION("""COMPUTED_VALUE"""),"Joko Nugroho")</f>
        <v>Joko Nugroho</v>
      </c>
      <c r="N377" s="6" t="str">
        <f>IFERROR(__xludf.DUMMYFUNCTION("""COMPUTED_VALUE"""),"FIP Engineering")</f>
        <v>FIP Engineering</v>
      </c>
      <c r="O377" s="6" t="str">
        <f>IFERROR(__xludf.DUMMYFUNCTION("""COMPUTED_VALUE"""),"FIP-DOM-ENG-51502-0000000-INA-000000")</f>
        <v>FIP-DOM-ENG-51502-0000000-INA-000000</v>
      </c>
      <c r="P377" s="6" t="str">
        <f>IFERROR(__xludf.DUMMYFUNCTION("""COMPUTED_VALUE"""),"PO Closed")</f>
        <v>PO Closed</v>
      </c>
      <c r="Q377" s="6" t="str">
        <f>IFERROR(__xludf.DUMMYFUNCTION("""COMPUTED_VALUE"""),"GL1807059")</f>
        <v>GL1807059</v>
      </c>
      <c r="R377" s="16">
        <f>IFERROR(__xludf.DUMMYFUNCTION("""COMPUTED_VALUE"""),43309.0)</f>
        <v>43309</v>
      </c>
      <c r="S377" s="6" t="str">
        <f>IFERROR(__xludf.DUMMYFUNCTION("""COMPUTED_VALUE"""),"-")</f>
        <v>-</v>
      </c>
      <c r="T377" s="13">
        <f>IFERROR(__xludf.DUMMYFUNCTION("""COMPUTED_VALUE"""),43314.0)</f>
        <v>43314</v>
      </c>
    </row>
    <row r="378">
      <c r="A378" s="6" t="str">
        <f>IFERROR(__xludf.DUMMYFUNCTION("""COMPUTED_VALUE"""),"181750235-24")</f>
        <v>181750235-24</v>
      </c>
      <c r="B378" s="6" t="str">
        <f>IFERROR(__xludf.DUMMYFUNCTION("""COMPUTED_VALUE"""),"181750235 - Approved")</f>
        <v>181750235 - Approved</v>
      </c>
      <c r="C378" s="6">
        <f>IFERROR(__xludf.DUMMYFUNCTION("""COMPUTED_VALUE"""),24.0)</f>
        <v>24</v>
      </c>
      <c r="D378" s="6" t="str">
        <f>IFERROR(__xludf.DUMMYFUNCTION("""COMPUTED_VALUE"""),"P-17000-00")</f>
        <v>P-17000-00</v>
      </c>
      <c r="E378" s="6" t="str">
        <f>IFERROR(__xludf.DUMMYFUNCTION("""COMPUTED_VALUE"""),"Dynabolt M8; ; ;")</f>
        <v>Dynabolt M8; ; ;</v>
      </c>
      <c r="F378" s="6">
        <f>IFERROR(__xludf.DUMMYFUNCTION("""COMPUTED_VALUE"""),10.0)</f>
        <v>10</v>
      </c>
      <c r="G378" s="6" t="str">
        <f>IFERROR(__xludf.DUMMYFUNCTION("""COMPUTED_VALUE"""),"Pieces")</f>
        <v>Pieces</v>
      </c>
      <c r="H378" s="6" t="str">
        <f>IFERROR(__xludf.DUMMYFUNCTION("""COMPUTED_VALUE"""),"IDR")</f>
        <v>IDR</v>
      </c>
      <c r="I378" s="11">
        <f>IFERROR(__xludf.DUMMYFUNCTION("""COMPUTED_VALUE"""),1000.0)</f>
        <v>1000</v>
      </c>
      <c r="J378" s="11">
        <f>IFERROR(__xludf.DUMMYFUNCTION("""COMPUTED_VALUE"""),10000.0)</f>
        <v>10000</v>
      </c>
      <c r="K378" s="13">
        <f>IFERROR(__xludf.DUMMYFUNCTION("""COMPUTED_VALUE"""),43325.0)</f>
        <v>43325</v>
      </c>
      <c r="L378" s="6" t="str">
        <f>IFERROR(__xludf.DUMMYFUNCTION("""COMPUTED_VALUE"""),"FIP General")</f>
        <v>FIP General</v>
      </c>
      <c r="M378" s="6" t="str">
        <f>IFERROR(__xludf.DUMMYFUNCTION("""COMPUTED_VALUE"""),"Joko Nugroho")</f>
        <v>Joko Nugroho</v>
      </c>
      <c r="N378" s="6" t="str">
        <f>IFERROR(__xludf.DUMMYFUNCTION("""COMPUTED_VALUE"""),"FIP Engineering")</f>
        <v>FIP Engineering</v>
      </c>
      <c r="O378" s="6" t="str">
        <f>IFERROR(__xludf.DUMMYFUNCTION("""COMPUTED_VALUE"""),"FIP-DOM-ENG-51404-0000000-INA-000000")</f>
        <v>FIP-DOM-ENG-51404-0000000-INA-000000</v>
      </c>
      <c r="P378" s="6" t="str">
        <f>IFERROR(__xludf.DUMMYFUNCTION("""COMPUTED_VALUE"""),"PO Closed")</f>
        <v>PO Closed</v>
      </c>
      <c r="Q378" s="6" t="str">
        <f>IFERROR(__xludf.DUMMYFUNCTION("""COMPUTED_VALUE"""),"GL1807059")</f>
        <v>GL1807059</v>
      </c>
      <c r="R378" s="16">
        <f>IFERROR(__xludf.DUMMYFUNCTION("""COMPUTED_VALUE"""),43309.0)</f>
        <v>43309</v>
      </c>
      <c r="S378" s="6" t="str">
        <f>IFERROR(__xludf.DUMMYFUNCTION("""COMPUTED_VALUE"""),"-")</f>
        <v>-</v>
      </c>
      <c r="T378" s="50">
        <f>IFERROR(__xludf.DUMMYFUNCTION("""COMPUTED_VALUE"""),43314.0)</f>
        <v>43314</v>
      </c>
    </row>
    <row r="379">
      <c r="A379" s="6" t="str">
        <f>IFERROR(__xludf.DUMMYFUNCTION("""COMPUTED_VALUE"""),"181750235-25")</f>
        <v>181750235-25</v>
      </c>
      <c r="B379" s="6" t="str">
        <f>IFERROR(__xludf.DUMMYFUNCTION("""COMPUTED_VALUE"""),"181750235 - Approved")</f>
        <v>181750235 - Approved</v>
      </c>
      <c r="C379" s="6">
        <f>IFERROR(__xludf.DUMMYFUNCTION("""COMPUTED_VALUE"""),25.0)</f>
        <v>25</v>
      </c>
      <c r="D379" s="6" t="str">
        <f>IFERROR(__xludf.DUMMYFUNCTION("""COMPUTED_VALUE"""),"P-17061-00")</f>
        <v>P-17061-00</v>
      </c>
      <c r="E379" s="6" t="str">
        <f>IFERROR(__xludf.DUMMYFUNCTION("""COMPUTED_VALUE"""),"Baut V Sink 4 x 10 mm; ; ;")</f>
        <v>Baut V Sink 4 x 10 mm; ; ;</v>
      </c>
      <c r="F379" s="6">
        <f>IFERROR(__xludf.DUMMYFUNCTION("""COMPUTED_VALUE"""),3.0)</f>
        <v>3</v>
      </c>
      <c r="G379" s="6" t="str">
        <f>IFERROR(__xludf.DUMMYFUNCTION("""COMPUTED_VALUE"""),"Pieces")</f>
        <v>Pieces</v>
      </c>
      <c r="H379" s="6" t="str">
        <f>IFERROR(__xludf.DUMMYFUNCTION("""COMPUTED_VALUE"""),"IDR")</f>
        <v>IDR</v>
      </c>
      <c r="I379" s="11">
        <f>IFERROR(__xludf.DUMMYFUNCTION("""COMPUTED_VALUE"""),666.7)</f>
        <v>666.7</v>
      </c>
      <c r="J379" s="11">
        <f>IFERROR(__xludf.DUMMYFUNCTION("""COMPUTED_VALUE"""),2000.1)</f>
        <v>2000.1</v>
      </c>
      <c r="K379" s="13">
        <f>IFERROR(__xludf.DUMMYFUNCTION("""COMPUTED_VALUE"""),43325.0)</f>
        <v>43325</v>
      </c>
      <c r="L379" s="6" t="str">
        <f>IFERROR(__xludf.DUMMYFUNCTION("""COMPUTED_VALUE"""),"FIP General")</f>
        <v>FIP General</v>
      </c>
      <c r="M379" s="6" t="str">
        <f>IFERROR(__xludf.DUMMYFUNCTION("""COMPUTED_VALUE"""),"Joko Nugroho")</f>
        <v>Joko Nugroho</v>
      </c>
      <c r="N379" s="6" t="str">
        <f>IFERROR(__xludf.DUMMYFUNCTION("""COMPUTED_VALUE"""),"FIP Engineering")</f>
        <v>FIP Engineering</v>
      </c>
      <c r="O379" s="6" t="str">
        <f>IFERROR(__xludf.DUMMYFUNCTION("""COMPUTED_VALUE"""),"FIP-DOM-ENG-51404-0000000-INA-000000")</f>
        <v>FIP-DOM-ENG-51404-0000000-INA-000000</v>
      </c>
      <c r="P379" s="6" t="str">
        <f>IFERROR(__xludf.DUMMYFUNCTION("""COMPUTED_VALUE"""),"PO Closed")</f>
        <v>PO Closed</v>
      </c>
      <c r="Q379" s="6" t="str">
        <f>IFERROR(__xludf.DUMMYFUNCTION("""COMPUTED_VALUE"""),"GL1807059")</f>
        <v>GL1807059</v>
      </c>
      <c r="R379" s="16">
        <f>IFERROR(__xludf.DUMMYFUNCTION("""COMPUTED_VALUE"""),43309.0)</f>
        <v>43309</v>
      </c>
      <c r="S379" s="6" t="str">
        <f>IFERROR(__xludf.DUMMYFUNCTION("""COMPUTED_VALUE"""),"-")</f>
        <v>-</v>
      </c>
      <c r="T379" s="50">
        <f>IFERROR(__xludf.DUMMYFUNCTION("""COMPUTED_VALUE"""),43314.0)</f>
        <v>43314</v>
      </c>
    </row>
    <row r="380">
      <c r="A380" s="6" t="str">
        <f>IFERROR(__xludf.DUMMYFUNCTION("""COMPUTED_VALUE"""),"181750235-26")</f>
        <v>181750235-26</v>
      </c>
      <c r="B380" s="6" t="str">
        <f>IFERROR(__xludf.DUMMYFUNCTION("""COMPUTED_VALUE"""),"181750235 - Approved")</f>
        <v>181750235 - Approved</v>
      </c>
      <c r="C380" s="6">
        <f>IFERROR(__xludf.DUMMYFUNCTION("""COMPUTED_VALUE"""),26.0)</f>
        <v>26</v>
      </c>
      <c r="D380" s="6" t="str">
        <f>IFERROR(__xludf.DUMMYFUNCTION("""COMPUTED_VALUE"""),"P-17060-00")</f>
        <v>P-17060-00</v>
      </c>
      <c r="E380" s="6" t="str">
        <f>IFERROR(__xludf.DUMMYFUNCTION("""COMPUTED_VALUE"""),"Baut V Sink 5 x 10 mm; ; ;")</f>
        <v>Baut V Sink 5 x 10 mm; ; ;</v>
      </c>
      <c r="F380" s="6">
        <f>IFERROR(__xludf.DUMMYFUNCTION("""COMPUTED_VALUE"""),3.0)</f>
        <v>3</v>
      </c>
      <c r="G380" s="6" t="str">
        <f>IFERROR(__xludf.DUMMYFUNCTION("""COMPUTED_VALUE"""),"Pieces")</f>
        <v>Pieces</v>
      </c>
      <c r="H380" s="6" t="str">
        <f>IFERROR(__xludf.DUMMYFUNCTION("""COMPUTED_VALUE"""),"IDR")</f>
        <v>IDR</v>
      </c>
      <c r="I380" s="11">
        <f>IFERROR(__xludf.DUMMYFUNCTION("""COMPUTED_VALUE"""),666.7)</f>
        <v>666.7</v>
      </c>
      <c r="J380" s="11">
        <f>IFERROR(__xludf.DUMMYFUNCTION("""COMPUTED_VALUE"""),2000.1)</f>
        <v>2000.1</v>
      </c>
      <c r="K380" s="13">
        <f>IFERROR(__xludf.DUMMYFUNCTION("""COMPUTED_VALUE"""),43325.0)</f>
        <v>43325</v>
      </c>
      <c r="L380" s="6" t="str">
        <f>IFERROR(__xludf.DUMMYFUNCTION("""COMPUTED_VALUE"""),"FIP General")</f>
        <v>FIP General</v>
      </c>
      <c r="M380" s="6" t="str">
        <f>IFERROR(__xludf.DUMMYFUNCTION("""COMPUTED_VALUE"""),"Joko Nugroho")</f>
        <v>Joko Nugroho</v>
      </c>
      <c r="N380" s="6" t="str">
        <f>IFERROR(__xludf.DUMMYFUNCTION("""COMPUTED_VALUE"""),"FIP Engineering")</f>
        <v>FIP Engineering</v>
      </c>
      <c r="O380" s="6" t="str">
        <f>IFERROR(__xludf.DUMMYFUNCTION("""COMPUTED_VALUE"""),"FIP-DOM-ENG-51404-0000000-INA-000000")</f>
        <v>FIP-DOM-ENG-51404-0000000-INA-000000</v>
      </c>
      <c r="P380" s="6" t="str">
        <f>IFERROR(__xludf.DUMMYFUNCTION("""COMPUTED_VALUE"""),"PO Closed")</f>
        <v>PO Closed</v>
      </c>
      <c r="Q380" s="6" t="str">
        <f>IFERROR(__xludf.DUMMYFUNCTION("""COMPUTED_VALUE"""),"GL1807059")</f>
        <v>GL1807059</v>
      </c>
      <c r="R380" s="16">
        <f>IFERROR(__xludf.DUMMYFUNCTION("""COMPUTED_VALUE"""),43309.0)</f>
        <v>43309</v>
      </c>
      <c r="S380" s="6" t="str">
        <f>IFERROR(__xludf.DUMMYFUNCTION("""COMPUTED_VALUE"""),"-")</f>
        <v>-</v>
      </c>
      <c r="T380" s="13">
        <f>IFERROR(__xludf.DUMMYFUNCTION("""COMPUTED_VALUE"""),43314.0)</f>
        <v>43314</v>
      </c>
    </row>
    <row r="381">
      <c r="A381" s="6" t="str">
        <f>IFERROR(__xludf.DUMMYFUNCTION("""COMPUTED_VALUE"""),"181750235-27")</f>
        <v>181750235-27</v>
      </c>
      <c r="B381" s="6" t="str">
        <f>IFERROR(__xludf.DUMMYFUNCTION("""COMPUTED_VALUE"""),"181750235 - Approved")</f>
        <v>181750235 - Approved</v>
      </c>
      <c r="C381" s="6">
        <f>IFERROR(__xludf.DUMMYFUNCTION("""COMPUTED_VALUE"""),27.0)</f>
        <v>27</v>
      </c>
      <c r="D381" s="6" t="str">
        <f>IFERROR(__xludf.DUMMYFUNCTION("""COMPUTED_VALUE"""),"P-11163-00")</f>
        <v>P-11163-00</v>
      </c>
      <c r="E381" s="6" t="str">
        <f>IFERROR(__xludf.DUMMYFUNCTION("""COMPUTED_VALUE"""),"Pneumatic Fitting")</f>
        <v>Pneumatic Fitting</v>
      </c>
      <c r="F381" s="6">
        <f>IFERROR(__xludf.DUMMYFUNCTION("""COMPUTED_VALUE"""),2.0)</f>
        <v>2</v>
      </c>
      <c r="G381" s="6" t="str">
        <f>IFERROR(__xludf.DUMMYFUNCTION("""COMPUTED_VALUE"""),"Pieces")</f>
        <v>Pieces</v>
      </c>
      <c r="H381" s="6" t="str">
        <f>IFERROR(__xludf.DUMMYFUNCTION("""COMPUTED_VALUE"""),"IDR")</f>
        <v>IDR</v>
      </c>
      <c r="I381" s="11">
        <f>IFERROR(__xludf.DUMMYFUNCTION("""COMPUTED_VALUE"""),10000.0)</f>
        <v>10000</v>
      </c>
      <c r="J381" s="11">
        <f>IFERROR(__xludf.DUMMYFUNCTION("""COMPUTED_VALUE"""),20000.0)</f>
        <v>20000</v>
      </c>
      <c r="K381" s="13">
        <f>IFERROR(__xludf.DUMMYFUNCTION("""COMPUTED_VALUE"""),43325.0)</f>
        <v>43325</v>
      </c>
      <c r="L381" s="6" t="str">
        <f>IFERROR(__xludf.DUMMYFUNCTION("""COMPUTED_VALUE"""),"FIP General")</f>
        <v>FIP General</v>
      </c>
      <c r="M381" s="6" t="str">
        <f>IFERROR(__xludf.DUMMYFUNCTION("""COMPUTED_VALUE"""),"Joko Nugroho")</f>
        <v>Joko Nugroho</v>
      </c>
      <c r="N381" s="6" t="str">
        <f>IFERROR(__xludf.DUMMYFUNCTION("""COMPUTED_VALUE"""),"FIP Engineering")</f>
        <v>FIP Engineering</v>
      </c>
      <c r="O381" s="6" t="str">
        <f>IFERROR(__xludf.DUMMYFUNCTION("""COMPUTED_VALUE"""),"FIP-DOM-ENG-51404-0000000-INA-000000")</f>
        <v>FIP-DOM-ENG-51404-0000000-INA-000000</v>
      </c>
      <c r="P381" s="6" t="str">
        <f>IFERROR(__xludf.DUMMYFUNCTION("""COMPUTED_VALUE"""),"PO Closed")</f>
        <v>PO Closed</v>
      </c>
      <c r="Q381" s="6" t="str">
        <f>IFERROR(__xludf.DUMMYFUNCTION("""COMPUTED_VALUE"""),"GL1807059")</f>
        <v>GL1807059</v>
      </c>
      <c r="R381" s="16">
        <f>IFERROR(__xludf.DUMMYFUNCTION("""COMPUTED_VALUE"""),43309.0)</f>
        <v>43309</v>
      </c>
      <c r="S381" s="6" t="str">
        <f>IFERROR(__xludf.DUMMYFUNCTION("""COMPUTED_VALUE"""),"-")</f>
        <v>-</v>
      </c>
      <c r="T381" s="13">
        <f>IFERROR(__xludf.DUMMYFUNCTION("""COMPUTED_VALUE"""),43314.0)</f>
        <v>43314</v>
      </c>
    </row>
    <row r="382">
      <c r="A382" s="6" t="str">
        <f>IFERROR(__xludf.DUMMYFUNCTION("""COMPUTED_VALUE"""),"181750235-28")</f>
        <v>181750235-28</v>
      </c>
      <c r="B382" s="6" t="str">
        <f>IFERROR(__xludf.DUMMYFUNCTION("""COMPUTED_VALUE"""),"181750235 - Approved")</f>
        <v>181750235 - Approved</v>
      </c>
      <c r="C382" s="6">
        <f>IFERROR(__xludf.DUMMYFUNCTION("""COMPUTED_VALUE"""),28.0)</f>
        <v>28</v>
      </c>
      <c r="D382" s="6" t="str">
        <f>IFERROR(__xludf.DUMMYFUNCTION("""COMPUTED_VALUE"""),"P-10488-00")</f>
        <v>P-10488-00</v>
      </c>
      <c r="E382" s="6" t="str">
        <f>IFERROR(__xludf.DUMMYFUNCTION("""COMPUTED_VALUE"""),"Baut SS M 6")</f>
        <v>Baut SS M 6</v>
      </c>
      <c r="F382" s="6">
        <f>IFERROR(__xludf.DUMMYFUNCTION("""COMPUTED_VALUE"""),10.0)</f>
        <v>10</v>
      </c>
      <c r="G382" s="6" t="str">
        <f>IFERROR(__xludf.DUMMYFUNCTION("""COMPUTED_VALUE"""),"Pieces")</f>
        <v>Pieces</v>
      </c>
      <c r="H382" s="6" t="str">
        <f>IFERROR(__xludf.DUMMYFUNCTION("""COMPUTED_VALUE"""),"IDR")</f>
        <v>IDR</v>
      </c>
      <c r="I382" s="11">
        <f>IFERROR(__xludf.DUMMYFUNCTION("""COMPUTED_VALUE"""),2500.0)</f>
        <v>2500</v>
      </c>
      <c r="J382" s="11">
        <f>IFERROR(__xludf.DUMMYFUNCTION("""COMPUTED_VALUE"""),25000.0)</f>
        <v>25000</v>
      </c>
      <c r="K382" s="13">
        <f>IFERROR(__xludf.DUMMYFUNCTION("""COMPUTED_VALUE"""),43325.0)</f>
        <v>43325</v>
      </c>
      <c r="L382" s="6" t="str">
        <f>IFERROR(__xludf.DUMMYFUNCTION("""COMPUTED_VALUE"""),"FIP General")</f>
        <v>FIP General</v>
      </c>
      <c r="M382" s="6" t="str">
        <f>IFERROR(__xludf.DUMMYFUNCTION("""COMPUTED_VALUE"""),"Joko Nugroho")</f>
        <v>Joko Nugroho</v>
      </c>
      <c r="N382" s="6" t="str">
        <f>IFERROR(__xludf.DUMMYFUNCTION("""COMPUTED_VALUE"""),"FIP Engineering")</f>
        <v>FIP Engineering</v>
      </c>
      <c r="O382" s="6" t="str">
        <f>IFERROR(__xludf.DUMMYFUNCTION("""COMPUTED_VALUE"""),"FIP-DOM-ENG-51404-0000000-INA-000000")</f>
        <v>FIP-DOM-ENG-51404-0000000-INA-000000</v>
      </c>
      <c r="P382" s="6" t="str">
        <f>IFERROR(__xludf.DUMMYFUNCTION("""COMPUTED_VALUE"""),"PO Closed")</f>
        <v>PO Closed</v>
      </c>
      <c r="Q382" s="6" t="str">
        <f>IFERROR(__xludf.DUMMYFUNCTION("""COMPUTED_VALUE"""),"GL1807059")</f>
        <v>GL1807059</v>
      </c>
      <c r="R382" s="16">
        <f>IFERROR(__xludf.DUMMYFUNCTION("""COMPUTED_VALUE"""),43309.0)</f>
        <v>43309</v>
      </c>
      <c r="S382" s="6" t="str">
        <f>IFERROR(__xludf.DUMMYFUNCTION("""COMPUTED_VALUE"""),"-")</f>
        <v>-</v>
      </c>
      <c r="T382" s="13">
        <f>IFERROR(__xludf.DUMMYFUNCTION("""COMPUTED_VALUE"""),43314.0)</f>
        <v>43314</v>
      </c>
    </row>
    <row r="383">
      <c r="A383" s="6" t="str">
        <f>IFERROR(__xludf.DUMMYFUNCTION("""COMPUTED_VALUE"""),"181750235-29")</f>
        <v>181750235-29</v>
      </c>
      <c r="B383" s="6" t="str">
        <f>IFERROR(__xludf.DUMMYFUNCTION("""COMPUTED_VALUE"""),"181750235 - Approved")</f>
        <v>181750235 - Approved</v>
      </c>
      <c r="C383" s="6">
        <f>IFERROR(__xludf.DUMMYFUNCTION("""COMPUTED_VALUE"""),29.0)</f>
        <v>29</v>
      </c>
      <c r="D383" s="6" t="str">
        <f>IFERROR(__xludf.DUMMYFUNCTION("""COMPUTED_VALUE"""),"P-10489-00")</f>
        <v>P-10489-00</v>
      </c>
      <c r="E383" s="6" t="str">
        <f>IFERROR(__xludf.DUMMYFUNCTION("""COMPUTED_VALUE"""),"Baut SS M 8")</f>
        <v>Baut SS M 8</v>
      </c>
      <c r="F383" s="6">
        <f>IFERROR(__xludf.DUMMYFUNCTION("""COMPUTED_VALUE"""),5.0)</f>
        <v>5</v>
      </c>
      <c r="G383" s="6" t="str">
        <f>IFERROR(__xludf.DUMMYFUNCTION("""COMPUTED_VALUE"""),"Pieces")</f>
        <v>Pieces</v>
      </c>
      <c r="H383" s="6" t="str">
        <f>IFERROR(__xludf.DUMMYFUNCTION("""COMPUTED_VALUE"""),"IDR")</f>
        <v>IDR</v>
      </c>
      <c r="I383" s="11">
        <f>IFERROR(__xludf.DUMMYFUNCTION("""COMPUTED_VALUE"""),3500.0)</f>
        <v>3500</v>
      </c>
      <c r="J383" s="11">
        <f>IFERROR(__xludf.DUMMYFUNCTION("""COMPUTED_VALUE"""),17500.0)</f>
        <v>17500</v>
      </c>
      <c r="K383" s="13">
        <f>IFERROR(__xludf.DUMMYFUNCTION("""COMPUTED_VALUE"""),43325.0)</f>
        <v>43325</v>
      </c>
      <c r="L383" s="6" t="str">
        <f>IFERROR(__xludf.DUMMYFUNCTION("""COMPUTED_VALUE"""),"FIP General")</f>
        <v>FIP General</v>
      </c>
      <c r="M383" s="6" t="str">
        <f>IFERROR(__xludf.DUMMYFUNCTION("""COMPUTED_VALUE"""),"Joko Nugroho")</f>
        <v>Joko Nugroho</v>
      </c>
      <c r="N383" s="6" t="str">
        <f>IFERROR(__xludf.DUMMYFUNCTION("""COMPUTED_VALUE"""),"FIP Engineering")</f>
        <v>FIP Engineering</v>
      </c>
      <c r="O383" s="6" t="str">
        <f>IFERROR(__xludf.DUMMYFUNCTION("""COMPUTED_VALUE"""),"FIP-DOM-ENG-51404-0000000-INA-000000")</f>
        <v>FIP-DOM-ENG-51404-0000000-INA-000000</v>
      </c>
      <c r="P383" s="6" t="str">
        <f>IFERROR(__xludf.DUMMYFUNCTION("""COMPUTED_VALUE"""),"PO Closed")</f>
        <v>PO Closed</v>
      </c>
      <c r="Q383" s="6" t="str">
        <f>IFERROR(__xludf.DUMMYFUNCTION("""COMPUTED_VALUE"""),"GL1807059")</f>
        <v>GL1807059</v>
      </c>
      <c r="R383" s="16">
        <f>IFERROR(__xludf.DUMMYFUNCTION("""COMPUTED_VALUE"""),43309.0)</f>
        <v>43309</v>
      </c>
      <c r="S383" s="6" t="str">
        <f>IFERROR(__xludf.DUMMYFUNCTION("""COMPUTED_VALUE"""),"-")</f>
        <v>-</v>
      </c>
      <c r="T383" s="13">
        <f>IFERROR(__xludf.DUMMYFUNCTION("""COMPUTED_VALUE"""),43314.0)</f>
        <v>43314</v>
      </c>
    </row>
    <row r="384">
      <c r="A384" s="6" t="str">
        <f>IFERROR(__xludf.DUMMYFUNCTION("""COMPUTED_VALUE"""),"181750235-30")</f>
        <v>181750235-30</v>
      </c>
      <c r="B384" s="6" t="str">
        <f>IFERROR(__xludf.DUMMYFUNCTION("""COMPUTED_VALUE"""),"181750235 - Approved")</f>
        <v>181750235 - Approved</v>
      </c>
      <c r="C384" s="6">
        <f>IFERROR(__xludf.DUMMYFUNCTION("""COMPUTED_VALUE"""),30.0)</f>
        <v>30</v>
      </c>
      <c r="D384" s="6" t="str">
        <f>IFERROR(__xludf.DUMMYFUNCTION("""COMPUTED_VALUE"""),"P-11002-00")</f>
        <v>P-11002-00</v>
      </c>
      <c r="E384" s="6" t="str">
        <f>IFERROR(__xludf.DUMMYFUNCTION("""COMPUTED_VALUE"""),"Mur SS 6 mm")</f>
        <v>Mur SS 6 mm</v>
      </c>
      <c r="F384" s="6">
        <f>IFERROR(__xludf.DUMMYFUNCTION("""COMPUTED_VALUE"""),10.0)</f>
        <v>10</v>
      </c>
      <c r="G384" s="6" t="str">
        <f>IFERROR(__xludf.DUMMYFUNCTION("""COMPUTED_VALUE"""),"Pieces")</f>
        <v>Pieces</v>
      </c>
      <c r="H384" s="6" t="str">
        <f>IFERROR(__xludf.DUMMYFUNCTION("""COMPUTED_VALUE"""),"IDR")</f>
        <v>IDR</v>
      </c>
      <c r="I384" s="11">
        <f>IFERROR(__xludf.DUMMYFUNCTION("""COMPUTED_VALUE"""),300.0)</f>
        <v>300</v>
      </c>
      <c r="J384" s="11">
        <f>IFERROR(__xludf.DUMMYFUNCTION("""COMPUTED_VALUE"""),3000.0)</f>
        <v>3000</v>
      </c>
      <c r="K384" s="13">
        <f>IFERROR(__xludf.DUMMYFUNCTION("""COMPUTED_VALUE"""),43325.0)</f>
        <v>43325</v>
      </c>
      <c r="L384" s="6" t="str">
        <f>IFERROR(__xludf.DUMMYFUNCTION("""COMPUTED_VALUE"""),"FIP General")</f>
        <v>FIP General</v>
      </c>
      <c r="M384" s="6" t="str">
        <f>IFERROR(__xludf.DUMMYFUNCTION("""COMPUTED_VALUE"""),"Joko Nugroho")</f>
        <v>Joko Nugroho</v>
      </c>
      <c r="N384" s="6" t="str">
        <f>IFERROR(__xludf.DUMMYFUNCTION("""COMPUTED_VALUE"""),"FIP Engineering")</f>
        <v>FIP Engineering</v>
      </c>
      <c r="O384" s="6" t="str">
        <f>IFERROR(__xludf.DUMMYFUNCTION("""COMPUTED_VALUE"""),"FIP-DOM-ENG-51404-0000000-INA-000000")</f>
        <v>FIP-DOM-ENG-51404-0000000-INA-000000</v>
      </c>
      <c r="P384" s="6" t="str">
        <f>IFERROR(__xludf.DUMMYFUNCTION("""COMPUTED_VALUE"""),"PO Closed")</f>
        <v>PO Closed</v>
      </c>
      <c r="Q384" s="6" t="str">
        <f>IFERROR(__xludf.DUMMYFUNCTION("""COMPUTED_VALUE"""),"GL1807059")</f>
        <v>GL1807059</v>
      </c>
      <c r="R384" s="16">
        <f>IFERROR(__xludf.DUMMYFUNCTION("""COMPUTED_VALUE"""),43309.0)</f>
        <v>43309</v>
      </c>
      <c r="S384" s="6" t="str">
        <f>IFERROR(__xludf.DUMMYFUNCTION("""COMPUTED_VALUE"""),"-")</f>
        <v>-</v>
      </c>
      <c r="T384" s="13">
        <f>IFERROR(__xludf.DUMMYFUNCTION("""COMPUTED_VALUE"""),43314.0)</f>
        <v>43314</v>
      </c>
    </row>
    <row r="385">
      <c r="A385" s="6" t="str">
        <f>IFERROR(__xludf.DUMMYFUNCTION("""COMPUTED_VALUE"""),"181750235-31")</f>
        <v>181750235-31</v>
      </c>
      <c r="B385" s="6" t="str">
        <f>IFERROR(__xludf.DUMMYFUNCTION("""COMPUTED_VALUE"""),"181750235 - Approved")</f>
        <v>181750235 - Approved</v>
      </c>
      <c r="C385" s="6">
        <f>IFERROR(__xludf.DUMMYFUNCTION("""COMPUTED_VALUE"""),31.0)</f>
        <v>31</v>
      </c>
      <c r="D385" s="6" t="str">
        <f>IFERROR(__xludf.DUMMYFUNCTION("""COMPUTED_VALUE"""),"P-11003-00")</f>
        <v>P-11003-00</v>
      </c>
      <c r="E385" s="6" t="str">
        <f>IFERROR(__xludf.DUMMYFUNCTION("""COMPUTED_VALUE"""),"Mur SS 8 mm")</f>
        <v>Mur SS 8 mm</v>
      </c>
      <c r="F385" s="6">
        <f>IFERROR(__xludf.DUMMYFUNCTION("""COMPUTED_VALUE"""),5.0)</f>
        <v>5</v>
      </c>
      <c r="G385" s="6" t="str">
        <f>IFERROR(__xludf.DUMMYFUNCTION("""COMPUTED_VALUE"""),"Pieces")</f>
        <v>Pieces</v>
      </c>
      <c r="H385" s="6" t="str">
        <f>IFERROR(__xludf.DUMMYFUNCTION("""COMPUTED_VALUE"""),"IDR")</f>
        <v>IDR</v>
      </c>
      <c r="I385" s="11">
        <f>IFERROR(__xludf.DUMMYFUNCTION("""COMPUTED_VALUE"""),400.0)</f>
        <v>400</v>
      </c>
      <c r="J385" s="11">
        <f>IFERROR(__xludf.DUMMYFUNCTION("""COMPUTED_VALUE"""),2000.0)</f>
        <v>2000</v>
      </c>
      <c r="K385" s="13">
        <f>IFERROR(__xludf.DUMMYFUNCTION("""COMPUTED_VALUE"""),43325.0)</f>
        <v>43325</v>
      </c>
      <c r="L385" s="6" t="str">
        <f>IFERROR(__xludf.DUMMYFUNCTION("""COMPUTED_VALUE"""),"FIP General")</f>
        <v>FIP General</v>
      </c>
      <c r="M385" s="6" t="str">
        <f>IFERROR(__xludf.DUMMYFUNCTION("""COMPUTED_VALUE"""),"Joko Nugroho")</f>
        <v>Joko Nugroho</v>
      </c>
      <c r="N385" s="6" t="str">
        <f>IFERROR(__xludf.DUMMYFUNCTION("""COMPUTED_VALUE"""),"FIP Engineering")</f>
        <v>FIP Engineering</v>
      </c>
      <c r="O385" s="6" t="str">
        <f>IFERROR(__xludf.DUMMYFUNCTION("""COMPUTED_VALUE"""),"FIP-DOM-ENG-51404-0000000-INA-000000")</f>
        <v>FIP-DOM-ENG-51404-0000000-INA-000000</v>
      </c>
      <c r="P385" s="6" t="str">
        <f>IFERROR(__xludf.DUMMYFUNCTION("""COMPUTED_VALUE"""),"PO Closed")</f>
        <v>PO Closed</v>
      </c>
      <c r="Q385" s="6" t="str">
        <f>IFERROR(__xludf.DUMMYFUNCTION("""COMPUTED_VALUE"""),"GL1807059")</f>
        <v>GL1807059</v>
      </c>
      <c r="R385" s="16">
        <f>IFERROR(__xludf.DUMMYFUNCTION("""COMPUTED_VALUE"""),43309.0)</f>
        <v>43309</v>
      </c>
      <c r="S385" s="6" t="str">
        <f>IFERROR(__xludf.DUMMYFUNCTION("""COMPUTED_VALUE"""),"-")</f>
        <v>-</v>
      </c>
      <c r="T385" s="13">
        <f>IFERROR(__xludf.DUMMYFUNCTION("""COMPUTED_VALUE"""),43314.0)</f>
        <v>43314</v>
      </c>
    </row>
    <row r="386">
      <c r="A386" s="6" t="str">
        <f>IFERROR(__xludf.DUMMYFUNCTION("""COMPUTED_VALUE"""),"181750252-17")</f>
        <v>181750252-17</v>
      </c>
      <c r="B386" s="6" t="str">
        <f>IFERROR(__xludf.DUMMYFUNCTION("""COMPUTED_VALUE"""),"181750252 - Approved")</f>
        <v>181750252 - Approved</v>
      </c>
      <c r="C386" s="6">
        <f>IFERROR(__xludf.DUMMYFUNCTION("""COMPUTED_VALUE"""),17.0)</f>
        <v>17</v>
      </c>
      <c r="D386" s="6" t="str">
        <f>IFERROR(__xludf.DUMMYFUNCTION("""COMPUTED_VALUE"""),"O-16188-00")</f>
        <v>O-16188-00</v>
      </c>
      <c r="E386" s="6" t="str">
        <f>IFERROR(__xludf.DUMMYFUNCTION("""COMPUTED_VALUE"""),"Assembling external washing nozzle P/N 21025; Steriline; ;")</f>
        <v>Assembling external washing nozzle P/N 21025; Steriline; ;</v>
      </c>
      <c r="F386" s="6">
        <f>IFERROR(__xludf.DUMMYFUNCTION("""COMPUTED_VALUE"""),1.0)</f>
        <v>1</v>
      </c>
      <c r="G386" s="6" t="str">
        <f>IFERROR(__xludf.DUMMYFUNCTION("""COMPUTED_VALUE"""),"Unit")</f>
        <v>Unit</v>
      </c>
      <c r="H386" s="6" t="str">
        <f>IFERROR(__xludf.DUMMYFUNCTION("""COMPUTED_VALUE"""),"EUR")</f>
        <v>EUR</v>
      </c>
      <c r="I386" s="11">
        <f>IFERROR(__xludf.DUMMYFUNCTION("""COMPUTED_VALUE"""),345.6)</f>
        <v>345.6</v>
      </c>
      <c r="J386" s="11">
        <f>IFERROR(__xludf.DUMMYFUNCTION("""COMPUTED_VALUE"""),345.6)</f>
        <v>345.6</v>
      </c>
      <c r="K386" s="13">
        <f>IFERROR(__xludf.DUMMYFUNCTION("""COMPUTED_VALUE"""),43367.0)</f>
        <v>43367</v>
      </c>
      <c r="L386" s="6" t="str">
        <f>IFERROR(__xludf.DUMMYFUNCTION("""COMPUTED_VALUE"""),"FIP Engineering")</f>
        <v>FIP Engineering</v>
      </c>
      <c r="M386" s="6" t="str">
        <f>IFERROR(__xludf.DUMMYFUNCTION("""COMPUTED_VALUE"""),"Joko Nugroho")</f>
        <v>Joko Nugroho</v>
      </c>
      <c r="N386" s="6" t="str">
        <f>IFERROR(__xludf.DUMMYFUNCTION("""COMPUTED_VALUE"""),"FIP Engineering")</f>
        <v>FIP Engineering</v>
      </c>
      <c r="O386" s="6" t="str">
        <f>IFERROR(__xludf.DUMMYFUNCTION("""COMPUTED_VALUE"""),"FIP-DOM-000-11304-OS00001-INA-000000")</f>
        <v>FIP-DOM-000-11304-OS00001-INA-000000</v>
      </c>
      <c r="P386" s="6" t="str">
        <f>IFERROR(__xludf.DUMMYFUNCTION("""COMPUTED_VALUE"""),"PO Closed")</f>
        <v>PO Closed</v>
      </c>
      <c r="Q386" s="6" t="str">
        <f>IFERROR(__xludf.DUMMYFUNCTION("""COMPUTED_VALUE"""),"GL1808021")</f>
        <v>GL1808021</v>
      </c>
      <c r="R386" s="16">
        <f>IFERROR(__xludf.DUMMYFUNCTION("""COMPUTED_VALUE"""),43311.0)</f>
        <v>43311</v>
      </c>
      <c r="S386" s="6" t="str">
        <f>IFERROR(__xludf.DUMMYFUNCTION("""COMPUTED_VALUE"""),"-")</f>
        <v>-</v>
      </c>
      <c r="T386" s="13">
        <f>IFERROR(__xludf.DUMMYFUNCTION("""COMPUTED_VALUE"""),43434.0)</f>
        <v>43434</v>
      </c>
    </row>
    <row r="387">
      <c r="A387" s="6" t="str">
        <f>IFERROR(__xludf.DUMMYFUNCTION("""COMPUTED_VALUE"""),"181750252-17")</f>
        <v>181750252-17</v>
      </c>
      <c r="B387" s="6" t="str">
        <f>IFERROR(__xludf.DUMMYFUNCTION("""COMPUTED_VALUE"""),"181750252 - Approved")</f>
        <v>181750252 - Approved</v>
      </c>
      <c r="C387" s="6">
        <f>IFERROR(__xludf.DUMMYFUNCTION("""COMPUTED_VALUE"""),17.0)</f>
        <v>17</v>
      </c>
      <c r="D387" s="6" t="str">
        <f>IFERROR(__xludf.DUMMYFUNCTION("""COMPUTED_VALUE"""),"O-16189-00")</f>
        <v>O-16189-00</v>
      </c>
      <c r="E387" s="6" t="str">
        <f>IFERROR(__xludf.DUMMYFUNCTION("""COMPUTED_VALUE"""),"Assembling exernal drying nozzle P/N. 21029; Steriline; ;")</f>
        <v>Assembling exernal drying nozzle P/N. 21029; Steriline; ;</v>
      </c>
      <c r="F387" s="6">
        <f>IFERROR(__xludf.DUMMYFUNCTION("""COMPUTED_VALUE"""),1.0)</f>
        <v>1</v>
      </c>
      <c r="G387" s="6" t="str">
        <f>IFERROR(__xludf.DUMMYFUNCTION("""COMPUTED_VALUE"""),"Unit")</f>
        <v>Unit</v>
      </c>
      <c r="H387" s="6" t="str">
        <f>IFERROR(__xludf.DUMMYFUNCTION("""COMPUTED_VALUE"""),"EUR")</f>
        <v>EUR</v>
      </c>
      <c r="I387" s="11">
        <f>IFERROR(__xludf.DUMMYFUNCTION("""COMPUTED_VALUE"""),345.6)</f>
        <v>345.6</v>
      </c>
      <c r="J387" s="11">
        <f>IFERROR(__xludf.DUMMYFUNCTION("""COMPUTED_VALUE"""),345.6)</f>
        <v>345.6</v>
      </c>
      <c r="K387" s="13">
        <f>IFERROR(__xludf.DUMMYFUNCTION("""COMPUTED_VALUE"""),43367.0)</f>
        <v>43367</v>
      </c>
      <c r="L387" s="6" t="str">
        <f>IFERROR(__xludf.DUMMYFUNCTION("""COMPUTED_VALUE"""),"FIP Engineering")</f>
        <v>FIP Engineering</v>
      </c>
      <c r="M387" s="6" t="str">
        <f>IFERROR(__xludf.DUMMYFUNCTION("""COMPUTED_VALUE"""),"Joko Nugroho")</f>
        <v>Joko Nugroho</v>
      </c>
      <c r="N387" s="6" t="str">
        <f>IFERROR(__xludf.DUMMYFUNCTION("""COMPUTED_VALUE"""),"FIP Engineering")</f>
        <v>FIP Engineering</v>
      </c>
      <c r="O387" s="6" t="str">
        <f>IFERROR(__xludf.DUMMYFUNCTION("""COMPUTED_VALUE"""),"FIP-DOM-000-11304-OS00001-INA-000000")</f>
        <v>FIP-DOM-000-11304-OS00001-INA-000000</v>
      </c>
      <c r="P387" s="6" t="str">
        <f>IFERROR(__xludf.DUMMYFUNCTION("""COMPUTED_VALUE"""),"PO Closed")</f>
        <v>PO Closed</v>
      </c>
      <c r="Q387" s="6" t="str">
        <f>IFERROR(__xludf.DUMMYFUNCTION("""COMPUTED_VALUE"""),"GL1808021")</f>
        <v>GL1808021</v>
      </c>
      <c r="R387" s="16">
        <f>IFERROR(__xludf.DUMMYFUNCTION("""COMPUTED_VALUE"""),43311.0)</f>
        <v>43311</v>
      </c>
      <c r="S387" s="6" t="str">
        <f>IFERROR(__xludf.DUMMYFUNCTION("""COMPUTED_VALUE"""),"-")</f>
        <v>-</v>
      </c>
      <c r="T387" s="13">
        <f>IFERROR(__xludf.DUMMYFUNCTION("""COMPUTED_VALUE"""),43434.0)</f>
        <v>43434</v>
      </c>
    </row>
    <row r="388">
      <c r="A388" s="6" t="str">
        <f>IFERROR(__xludf.DUMMYFUNCTION("""COMPUTED_VALUE"""),"181750235-32")</f>
        <v>181750235-32</v>
      </c>
      <c r="B388" s="6" t="str">
        <f>IFERROR(__xludf.DUMMYFUNCTION("""COMPUTED_VALUE"""),"181750235 - Approved")</f>
        <v>181750235 - Approved</v>
      </c>
      <c r="C388" s="6">
        <f>IFERROR(__xludf.DUMMYFUNCTION("""COMPUTED_VALUE"""),32.0)</f>
        <v>32</v>
      </c>
      <c r="D388" s="6" t="str">
        <f>IFERROR(__xludf.DUMMYFUNCTION("""COMPUTED_VALUE"""),"P-10435-00")</f>
        <v>P-10435-00</v>
      </c>
      <c r="E388" s="6" t="str">
        <f>IFERROR(__xludf.DUMMYFUNCTION("""COMPUTED_VALUE"""),"Baut L SS Tanam")</f>
        <v>Baut L SS Tanam</v>
      </c>
      <c r="F388" s="6">
        <f>IFERROR(__xludf.DUMMYFUNCTION("""COMPUTED_VALUE"""),10.0)</f>
        <v>10</v>
      </c>
      <c r="G388" s="6" t="str">
        <f>IFERROR(__xludf.DUMMYFUNCTION("""COMPUTED_VALUE"""),"Pieces")</f>
        <v>Pieces</v>
      </c>
      <c r="H388" s="6" t="str">
        <f>IFERROR(__xludf.DUMMYFUNCTION("""COMPUTED_VALUE"""),"IDR")</f>
        <v>IDR</v>
      </c>
      <c r="I388" s="11">
        <f>IFERROR(__xludf.DUMMYFUNCTION("""COMPUTED_VALUE"""),1300.0)</f>
        <v>1300</v>
      </c>
      <c r="J388" s="11">
        <f>IFERROR(__xludf.DUMMYFUNCTION("""COMPUTED_VALUE"""),13000.0)</f>
        <v>13000</v>
      </c>
      <c r="K388" s="13">
        <f>IFERROR(__xludf.DUMMYFUNCTION("""COMPUTED_VALUE"""),43325.0)</f>
        <v>43325</v>
      </c>
      <c r="L388" s="6" t="str">
        <f>IFERROR(__xludf.DUMMYFUNCTION("""COMPUTED_VALUE"""),"FIP General")</f>
        <v>FIP General</v>
      </c>
      <c r="M388" s="6" t="str">
        <f>IFERROR(__xludf.DUMMYFUNCTION("""COMPUTED_VALUE"""),"Joko Nugroho")</f>
        <v>Joko Nugroho</v>
      </c>
      <c r="N388" s="6" t="str">
        <f>IFERROR(__xludf.DUMMYFUNCTION("""COMPUTED_VALUE"""),"FIP Engineering")</f>
        <v>FIP Engineering</v>
      </c>
      <c r="O388" s="6" t="str">
        <f>IFERROR(__xludf.DUMMYFUNCTION("""COMPUTED_VALUE"""),"FIP-DOM-ENG-51404-0000000-INA-000000")</f>
        <v>FIP-DOM-ENG-51404-0000000-INA-000000</v>
      </c>
      <c r="P388" s="6" t="str">
        <f>IFERROR(__xludf.DUMMYFUNCTION("""COMPUTED_VALUE"""),"PO Closed")</f>
        <v>PO Closed</v>
      </c>
      <c r="Q388" s="6" t="str">
        <f>IFERROR(__xludf.DUMMYFUNCTION("""COMPUTED_VALUE"""),"GL1807059")</f>
        <v>GL1807059</v>
      </c>
      <c r="R388" s="16">
        <f>IFERROR(__xludf.DUMMYFUNCTION("""COMPUTED_VALUE"""),43311.0)</f>
        <v>43311</v>
      </c>
      <c r="S388" s="6" t="str">
        <f>IFERROR(__xludf.DUMMYFUNCTION("""COMPUTED_VALUE"""),"-")</f>
        <v>-</v>
      </c>
      <c r="T388" s="13">
        <f>IFERROR(__xludf.DUMMYFUNCTION("""COMPUTED_VALUE"""),43314.0)</f>
        <v>43314</v>
      </c>
    </row>
    <row r="389">
      <c r="A389" s="6" t="str">
        <f>IFERROR(__xludf.DUMMYFUNCTION("""COMPUTED_VALUE"""),"181750230-12")</f>
        <v>181750230-12</v>
      </c>
      <c r="B389" s="6" t="str">
        <f>IFERROR(__xludf.DUMMYFUNCTION("""COMPUTED_VALUE"""),"181750230 - Approved")</f>
        <v>181750230 - Approved</v>
      </c>
      <c r="C389" s="6">
        <f>IFERROR(__xludf.DUMMYFUNCTION("""COMPUTED_VALUE"""),12.0)</f>
        <v>12</v>
      </c>
      <c r="D389" s="6" t="str">
        <f>IFERROR(__xludf.DUMMYFUNCTION("""COMPUTED_VALUE"""),"P-16635-00")</f>
        <v>P-16635-00</v>
      </c>
      <c r="E389" s="6" t="str">
        <f>IFERROR(__xludf.DUMMYFUNCTION("""COMPUTED_VALUE"""),"Pipa SS 304 Sch 10 dia. 1 x 6000 mm")</f>
        <v>Pipa SS 304 Sch 10 dia. 1 x 6000 mm</v>
      </c>
      <c r="F389" s="6">
        <f>IFERROR(__xludf.DUMMYFUNCTION("""COMPUTED_VALUE"""),1.0)</f>
        <v>1</v>
      </c>
      <c r="G389" s="6" t="str">
        <f>IFERROR(__xludf.DUMMYFUNCTION("""COMPUTED_VALUE"""),"Pieces")</f>
        <v>Pieces</v>
      </c>
      <c r="H389" s="6" t="str">
        <f>IFERROR(__xludf.DUMMYFUNCTION("""COMPUTED_VALUE"""),"IDR")</f>
        <v>IDR</v>
      </c>
      <c r="I389" s="11">
        <f>IFERROR(__xludf.DUMMYFUNCTION("""COMPUTED_VALUE"""),720000.0)</f>
        <v>720000</v>
      </c>
      <c r="J389" s="11">
        <f>IFERROR(__xludf.DUMMYFUNCTION("""COMPUTED_VALUE"""),720000.0)</f>
        <v>720000</v>
      </c>
      <c r="K389" s="13">
        <f>IFERROR(__xludf.DUMMYFUNCTION("""COMPUTED_VALUE"""),43332.0)</f>
        <v>43332</v>
      </c>
      <c r="L389" s="6" t="str">
        <f>IFERROR(__xludf.DUMMYFUNCTION("""COMPUTED_VALUE"""),"FIP General")</f>
        <v>FIP General</v>
      </c>
      <c r="M389" s="6" t="str">
        <f>IFERROR(__xludf.DUMMYFUNCTION("""COMPUTED_VALUE"""),"Joko Nugroho")</f>
        <v>Joko Nugroho</v>
      </c>
      <c r="N389" s="6" t="str">
        <f>IFERROR(__xludf.DUMMYFUNCTION("""COMPUTED_VALUE"""),"FIP Engineering")</f>
        <v>FIP Engineering</v>
      </c>
      <c r="O389" s="6" t="str">
        <f>IFERROR(__xludf.DUMMYFUNCTION("""COMPUTED_VALUE"""),"FIP-DOM-ENG-51404-0000000-INA-000000")</f>
        <v>FIP-DOM-ENG-51404-0000000-INA-000000</v>
      </c>
      <c r="P389" s="6" t="str">
        <f>IFERROR(__xludf.DUMMYFUNCTION("""COMPUTED_VALUE"""),"PO Closed")</f>
        <v>PO Closed</v>
      </c>
      <c r="Q389" s="6" t="str">
        <f>IFERROR(__xludf.DUMMYFUNCTION("""COMPUTED_VALUE"""),"GL1808016")</f>
        <v>GL1808016</v>
      </c>
      <c r="R389" s="16">
        <f>IFERROR(__xludf.DUMMYFUNCTION("""COMPUTED_VALUE"""),43311.0)</f>
        <v>43311</v>
      </c>
      <c r="S389" s="6" t="str">
        <f>IFERROR(__xludf.DUMMYFUNCTION("""COMPUTED_VALUE"""),"-")</f>
        <v>-</v>
      </c>
      <c r="T389" s="13">
        <f>IFERROR(__xludf.DUMMYFUNCTION("""COMPUTED_VALUE"""),43328.0)</f>
        <v>43328</v>
      </c>
    </row>
    <row r="390">
      <c r="A390" s="6" t="str">
        <f>IFERROR(__xludf.DUMMYFUNCTION("""COMPUTED_VALUE"""),"181750230-12")</f>
        <v>181750230-12</v>
      </c>
      <c r="B390" s="6" t="str">
        <f>IFERROR(__xludf.DUMMYFUNCTION("""COMPUTED_VALUE"""),"181750230 - Approved")</f>
        <v>181750230 - Approved</v>
      </c>
      <c r="C390" s="6">
        <f>IFERROR(__xludf.DUMMYFUNCTION("""COMPUTED_VALUE"""),12.0)</f>
        <v>12</v>
      </c>
      <c r="D390" s="6" t="str">
        <f>IFERROR(__xludf.DUMMYFUNCTION("""COMPUTED_VALUE"""),"P-14764-00")</f>
        <v>P-14764-00</v>
      </c>
      <c r="E390" s="6" t="str">
        <f>IFERROR(__xludf.DUMMYFUNCTION("""COMPUTED_VALUE"""),"Tee PVC 4"" Rucika")</f>
        <v>Tee PVC 4" Rucika</v>
      </c>
      <c r="F390" s="6">
        <f>IFERROR(__xludf.DUMMYFUNCTION("""COMPUTED_VALUE"""),2.0)</f>
        <v>2</v>
      </c>
      <c r="G390" s="6" t="str">
        <f>IFERROR(__xludf.DUMMYFUNCTION("""COMPUTED_VALUE"""),"Pieces")</f>
        <v>Pieces</v>
      </c>
      <c r="H390" s="6" t="str">
        <f>IFERROR(__xludf.DUMMYFUNCTION("""COMPUTED_VALUE"""),"IDR")</f>
        <v>IDR</v>
      </c>
      <c r="I390" s="11">
        <f>IFERROR(__xludf.DUMMYFUNCTION("""COMPUTED_VALUE"""),45000.0)</f>
        <v>45000</v>
      </c>
      <c r="J390" s="11">
        <f>IFERROR(__xludf.DUMMYFUNCTION("""COMPUTED_VALUE"""),90000.0)</f>
        <v>90000</v>
      </c>
      <c r="K390" s="13">
        <f>IFERROR(__xludf.DUMMYFUNCTION("""COMPUTED_VALUE"""),43332.0)</f>
        <v>43332</v>
      </c>
      <c r="L390" s="6" t="str">
        <f>IFERROR(__xludf.DUMMYFUNCTION("""COMPUTED_VALUE"""),"FIP Engineering")</f>
        <v>FIP Engineering</v>
      </c>
      <c r="M390" s="6" t="str">
        <f>IFERROR(__xludf.DUMMYFUNCTION("""COMPUTED_VALUE"""),"Joko Nugroho")</f>
        <v>Joko Nugroho</v>
      </c>
      <c r="N390" s="6" t="str">
        <f>IFERROR(__xludf.DUMMYFUNCTION("""COMPUTED_VALUE"""),"FIP Engineering")</f>
        <v>FIP Engineering</v>
      </c>
      <c r="O390" s="6" t="str">
        <f>IFERROR(__xludf.DUMMYFUNCTION("""COMPUTED_VALUE"""),"FIP-DOM-000-11304-OS00001-INA-000000")</f>
        <v>FIP-DOM-000-11304-OS00001-INA-000000</v>
      </c>
      <c r="P390" s="6" t="str">
        <f>IFERROR(__xludf.DUMMYFUNCTION("""COMPUTED_VALUE"""),"PO Closed")</f>
        <v>PO Closed</v>
      </c>
      <c r="Q390" s="6" t="str">
        <f>IFERROR(__xludf.DUMMYFUNCTION("""COMPUTED_VALUE"""),"GL1808016")</f>
        <v>GL1808016</v>
      </c>
      <c r="R390" s="16">
        <f>IFERROR(__xludf.DUMMYFUNCTION("""COMPUTED_VALUE"""),43311.0)</f>
        <v>43311</v>
      </c>
      <c r="S390" s="6" t="str">
        <f>IFERROR(__xludf.DUMMYFUNCTION("""COMPUTED_VALUE"""),"-")</f>
        <v>-</v>
      </c>
      <c r="T390" s="13">
        <f>IFERROR(__xludf.DUMMYFUNCTION("""COMPUTED_VALUE"""),43328.0)</f>
        <v>43328</v>
      </c>
    </row>
    <row r="391">
      <c r="A391" s="6" t="str">
        <f>IFERROR(__xludf.DUMMYFUNCTION("""COMPUTED_VALUE"""),"181750230-12")</f>
        <v>181750230-12</v>
      </c>
      <c r="B391" s="6" t="str">
        <f>IFERROR(__xludf.DUMMYFUNCTION("""COMPUTED_VALUE"""),"181750230 - Approved")</f>
        <v>181750230 - Approved</v>
      </c>
      <c r="C391" s="6">
        <f>IFERROR(__xludf.DUMMYFUNCTION("""COMPUTED_VALUE"""),12.0)</f>
        <v>12</v>
      </c>
      <c r="D391" s="6" t="str">
        <f>IFERROR(__xludf.DUMMYFUNCTION("""COMPUTED_VALUE"""),"P-15596-00")</f>
        <v>P-15596-00</v>
      </c>
      <c r="E391" s="6" t="str">
        <f>IFERROR(__xludf.DUMMYFUNCTION("""COMPUTED_VALUE"""),"Elbow SS 304 dia. 1 Sch 10")</f>
        <v>Elbow SS 304 dia. 1 Sch 10</v>
      </c>
      <c r="F391" s="6">
        <f>IFERROR(__xludf.DUMMYFUNCTION("""COMPUTED_VALUE"""),1.0)</f>
        <v>1</v>
      </c>
      <c r="G391" s="6" t="str">
        <f>IFERROR(__xludf.DUMMYFUNCTION("""COMPUTED_VALUE"""),"Pieces")</f>
        <v>Pieces</v>
      </c>
      <c r="H391" s="6" t="str">
        <f>IFERROR(__xludf.DUMMYFUNCTION("""COMPUTED_VALUE"""),"IDR")</f>
        <v>IDR</v>
      </c>
      <c r="I391" s="11">
        <f>IFERROR(__xludf.DUMMYFUNCTION("""COMPUTED_VALUE"""),65000.0)</f>
        <v>65000</v>
      </c>
      <c r="J391" s="11">
        <f>IFERROR(__xludf.DUMMYFUNCTION("""COMPUTED_VALUE"""),65000.0)</f>
        <v>65000</v>
      </c>
      <c r="K391" s="13">
        <f>IFERROR(__xludf.DUMMYFUNCTION("""COMPUTED_VALUE"""),43332.0)</f>
        <v>43332</v>
      </c>
      <c r="L391" s="6" t="str">
        <f>IFERROR(__xludf.DUMMYFUNCTION("""COMPUTED_VALUE"""),"FIP General")</f>
        <v>FIP General</v>
      </c>
      <c r="M391" s="6" t="str">
        <f>IFERROR(__xludf.DUMMYFUNCTION("""COMPUTED_VALUE"""),"Joko Nugroho")</f>
        <v>Joko Nugroho</v>
      </c>
      <c r="N391" s="6" t="str">
        <f>IFERROR(__xludf.DUMMYFUNCTION("""COMPUTED_VALUE"""),"FIP Engineering")</f>
        <v>FIP Engineering</v>
      </c>
      <c r="O391" s="6" t="str">
        <f>IFERROR(__xludf.DUMMYFUNCTION("""COMPUTED_VALUE"""),"FIP-DOM-ENG-51404-0000000-INA-000000")</f>
        <v>FIP-DOM-ENG-51404-0000000-INA-000000</v>
      </c>
      <c r="P391" s="6" t="str">
        <f>IFERROR(__xludf.DUMMYFUNCTION("""COMPUTED_VALUE"""),"PO Closed")</f>
        <v>PO Closed</v>
      </c>
      <c r="Q391" s="6" t="str">
        <f>IFERROR(__xludf.DUMMYFUNCTION("""COMPUTED_VALUE"""),"GL1808016")</f>
        <v>GL1808016</v>
      </c>
      <c r="R391" s="16">
        <f>IFERROR(__xludf.DUMMYFUNCTION("""COMPUTED_VALUE"""),43311.0)</f>
        <v>43311</v>
      </c>
      <c r="S391" s="6" t="str">
        <f>IFERROR(__xludf.DUMMYFUNCTION("""COMPUTED_VALUE"""),"-")</f>
        <v>-</v>
      </c>
      <c r="T391" s="13">
        <f>IFERROR(__xludf.DUMMYFUNCTION("""COMPUTED_VALUE"""),43328.0)</f>
        <v>43328</v>
      </c>
    </row>
    <row r="392">
      <c r="A392" s="6" t="str">
        <f>IFERROR(__xludf.DUMMYFUNCTION("""COMPUTED_VALUE"""),"181750267-1")</f>
        <v>181750267-1</v>
      </c>
      <c r="B392" s="6" t="str">
        <f>IFERROR(__xludf.DUMMYFUNCTION("""COMPUTED_VALUE"""),"181750267 - Approved")</f>
        <v>181750267 - Approved</v>
      </c>
      <c r="C392" s="6">
        <f>IFERROR(__xludf.DUMMYFUNCTION("""COMPUTED_VALUE"""),1.0)</f>
        <v>1</v>
      </c>
      <c r="D392" s="6" t="str">
        <f>IFERROR(__xludf.DUMMYFUNCTION("""COMPUTED_VALUE"""),"P-17063-00")</f>
        <v>P-17063-00</v>
      </c>
      <c r="E392" s="6" t="str">
        <f>IFERROR(__xludf.DUMMYFUNCTION("""COMPUTED_VALUE"""),"DOSING PUMP; ; ;")</f>
        <v>DOSING PUMP; ; ;</v>
      </c>
      <c r="F392" s="6">
        <f>IFERROR(__xludf.DUMMYFUNCTION("""COMPUTED_VALUE"""),1.0)</f>
        <v>1</v>
      </c>
      <c r="G392" s="6" t="str">
        <f>IFERROR(__xludf.DUMMYFUNCTION("""COMPUTED_VALUE"""),"Unit")</f>
        <v>Unit</v>
      </c>
      <c r="H392" s="6" t="str">
        <f>IFERROR(__xludf.DUMMYFUNCTION("""COMPUTED_VALUE"""),"IDR")</f>
        <v>IDR</v>
      </c>
      <c r="I392" s="11">
        <f>IFERROR(__xludf.DUMMYFUNCTION("""COMPUTED_VALUE"""),6700000.0)</f>
        <v>6700000</v>
      </c>
      <c r="J392" s="11">
        <f>IFERROR(__xludf.DUMMYFUNCTION("""COMPUTED_VALUE"""),6700000.0)</f>
        <v>6700000</v>
      </c>
      <c r="K392" s="13">
        <f>IFERROR(__xludf.DUMMYFUNCTION("""COMPUTED_VALUE"""),43343.0)</f>
        <v>43343</v>
      </c>
      <c r="L392" s="6" t="str">
        <f>IFERROR(__xludf.DUMMYFUNCTION("""COMPUTED_VALUE"""),"FIP General")</f>
        <v>FIP General</v>
      </c>
      <c r="M392" s="6" t="str">
        <f>IFERROR(__xludf.DUMMYFUNCTION("""COMPUTED_VALUE"""),"Joko Nugroho")</f>
        <v>Joko Nugroho</v>
      </c>
      <c r="N392" s="6" t="str">
        <f>IFERROR(__xludf.DUMMYFUNCTION("""COMPUTED_VALUE"""),"FIP Engineering")</f>
        <v>FIP Engineering</v>
      </c>
      <c r="O392" s="6" t="str">
        <f>IFERROR(__xludf.DUMMYFUNCTION("""COMPUTED_VALUE"""),"FIP-DOM-ENG-51504-0000000-INA-000000")</f>
        <v>FIP-DOM-ENG-51504-0000000-INA-000000</v>
      </c>
      <c r="P392" s="6" t="str">
        <f>IFERROR(__xludf.DUMMYFUNCTION("""COMPUTED_VALUE"""),"PO Closed")</f>
        <v>PO Closed</v>
      </c>
      <c r="Q392" s="6" t="str">
        <f>IFERROR(__xludf.DUMMYFUNCTION("""COMPUTED_VALUE"""),"GL1808017")</f>
        <v>GL1808017</v>
      </c>
      <c r="R392" s="16">
        <f>IFERROR(__xludf.DUMMYFUNCTION("""COMPUTED_VALUE"""),43312.0)</f>
        <v>43312</v>
      </c>
      <c r="S392" s="6" t="str">
        <f>IFERROR(__xludf.DUMMYFUNCTION("""COMPUTED_VALUE"""),"-")</f>
        <v>-</v>
      </c>
      <c r="T392" s="13">
        <f>IFERROR(__xludf.DUMMYFUNCTION("""COMPUTED_VALUE"""),43328.0)</f>
        <v>43328</v>
      </c>
    </row>
    <row r="393">
      <c r="A393" s="6" t="str">
        <f>IFERROR(__xludf.DUMMYFUNCTION("""COMPUTED_VALUE"""),"181750259-2")</f>
        <v>181750259-2</v>
      </c>
      <c r="B393" s="6" t="str">
        <f>IFERROR(__xludf.DUMMYFUNCTION("""COMPUTED_VALUE"""),"181750259 - Approved")</f>
        <v>181750259 - Approved</v>
      </c>
      <c r="C393" s="6">
        <f>IFERROR(__xludf.DUMMYFUNCTION("""COMPUTED_VALUE"""),2.0)</f>
        <v>2</v>
      </c>
      <c r="D393" s="6" t="str">
        <f>IFERROR(__xludf.DUMMYFUNCTION("""COMPUTED_VALUE"""),"O-16187-00")</f>
        <v>O-16187-00</v>
      </c>
      <c r="E393" s="6" t="str">
        <f>IFERROR(__xludf.DUMMYFUNCTION("""COMPUTED_VALUE"""),"Timing Belt Lbr. 55mm Pjg Keliling 420mm; ; ;")</f>
        <v>Timing Belt Lbr. 55mm Pjg Keliling 420mm; ; ;</v>
      </c>
      <c r="F393" s="6">
        <f>IFERROR(__xludf.DUMMYFUNCTION("""COMPUTED_VALUE"""),3.0)</f>
        <v>3</v>
      </c>
      <c r="G393" s="6" t="str">
        <f>IFERROR(__xludf.DUMMYFUNCTION("""COMPUTED_VALUE"""),"Pieces")</f>
        <v>Pieces</v>
      </c>
      <c r="H393" s="6" t="str">
        <f>IFERROR(__xludf.DUMMYFUNCTION("""COMPUTED_VALUE"""),"IDR")</f>
        <v>IDR</v>
      </c>
      <c r="I393" s="11">
        <f>IFERROR(__xludf.DUMMYFUNCTION("""COMPUTED_VALUE"""),90000.0)</f>
        <v>90000</v>
      </c>
      <c r="J393" s="11">
        <f>IFERROR(__xludf.DUMMYFUNCTION("""COMPUTED_VALUE"""),270000.0)</f>
        <v>270000</v>
      </c>
      <c r="K393" s="13">
        <f>IFERROR(__xludf.DUMMYFUNCTION("""COMPUTED_VALUE"""),43325.0)</f>
        <v>43325</v>
      </c>
      <c r="L393" s="6" t="str">
        <f>IFERROR(__xludf.DUMMYFUNCTION("""COMPUTED_VALUE"""),"FIP General")</f>
        <v>FIP General</v>
      </c>
      <c r="M393" s="6" t="str">
        <f>IFERROR(__xludf.DUMMYFUNCTION("""COMPUTED_VALUE"""),"Joko Nugroho")</f>
        <v>Joko Nugroho</v>
      </c>
      <c r="N393" s="6" t="str">
        <f>IFERROR(__xludf.DUMMYFUNCTION("""COMPUTED_VALUE"""),"FIP Engineering")</f>
        <v>FIP Engineering</v>
      </c>
      <c r="O393" s="6" t="str">
        <f>IFERROR(__xludf.DUMMYFUNCTION("""COMPUTED_VALUE"""),"FIP-DOM-ENG-51504-0000000-INA-000000")</f>
        <v>FIP-DOM-ENG-51504-0000000-INA-000000</v>
      </c>
      <c r="P393" s="6" t="str">
        <f>IFERROR(__xludf.DUMMYFUNCTION("""COMPUTED_VALUE"""),"PO Closed")</f>
        <v>PO Closed</v>
      </c>
      <c r="Q393" s="6" t="str">
        <f>IFERROR(__xludf.DUMMYFUNCTION("""COMPUTED_VALUE"""),"GL1808022")</f>
        <v>GL1808022</v>
      </c>
      <c r="R393" s="16">
        <f>IFERROR(__xludf.DUMMYFUNCTION("""COMPUTED_VALUE"""),43312.0)</f>
        <v>43312</v>
      </c>
      <c r="S393" s="6" t="str">
        <f>IFERROR(__xludf.DUMMYFUNCTION("""COMPUTED_VALUE"""),"-")</f>
        <v>-</v>
      </c>
      <c r="T393" s="13">
        <f>IFERROR(__xludf.DUMMYFUNCTION("""COMPUTED_VALUE"""),43335.0)</f>
        <v>43335</v>
      </c>
    </row>
    <row r="394">
      <c r="A394" s="6" t="str">
        <f>IFERROR(__xludf.DUMMYFUNCTION("""COMPUTED_VALUE"""),"181750257-2")</f>
        <v>181750257-2</v>
      </c>
      <c r="B394" s="6" t="str">
        <f>IFERROR(__xludf.DUMMYFUNCTION("""COMPUTED_VALUE"""),"181750257 - Approved")</f>
        <v>181750257 - Approved</v>
      </c>
      <c r="C394" s="6">
        <f>IFERROR(__xludf.DUMMYFUNCTION("""COMPUTED_VALUE"""),2.0)</f>
        <v>2</v>
      </c>
      <c r="D394" s="6" t="str">
        <f>IFERROR(__xludf.DUMMYFUNCTION("""COMPUTED_VALUE"""),"O-54031-00")</f>
        <v>O-54031-00</v>
      </c>
      <c r="E394" s="6" t="str">
        <f>IFERROR(__xludf.DUMMYFUNCTION("""COMPUTED_VALUE"""),"Profibus Connector SIEMENS, Simatic DP 6ES7972-0BA52-0XA0; ; ;")</f>
        <v>Profibus Connector SIEMENS, Simatic DP 6ES7972-0BA52-0XA0; ; ;</v>
      </c>
      <c r="F394" s="6">
        <f>IFERROR(__xludf.DUMMYFUNCTION("""COMPUTED_VALUE"""),3.0)</f>
        <v>3</v>
      </c>
      <c r="G394" s="6" t="str">
        <f>IFERROR(__xludf.DUMMYFUNCTION("""COMPUTED_VALUE"""),"Unit")</f>
        <v>Unit</v>
      </c>
      <c r="H394" s="6" t="str">
        <f>IFERROR(__xludf.DUMMYFUNCTION("""COMPUTED_VALUE"""),"IDR")</f>
        <v>IDR</v>
      </c>
      <c r="I394" s="11">
        <f>IFERROR(__xludf.DUMMYFUNCTION("""COMPUTED_VALUE"""),700000.0)</f>
        <v>700000</v>
      </c>
      <c r="J394" s="11">
        <f>IFERROR(__xludf.DUMMYFUNCTION("""COMPUTED_VALUE"""),2100000.0)</f>
        <v>2100000</v>
      </c>
      <c r="K394" s="13">
        <f>IFERROR(__xludf.DUMMYFUNCTION("""COMPUTED_VALUE"""),43325.0)</f>
        <v>43325</v>
      </c>
      <c r="L394" s="6" t="str">
        <f>IFERROR(__xludf.DUMMYFUNCTION("""COMPUTED_VALUE"""),"FIP Engineering")</f>
        <v>FIP Engineering</v>
      </c>
      <c r="M394" s="6" t="str">
        <f>IFERROR(__xludf.DUMMYFUNCTION("""COMPUTED_VALUE"""),"Joko Nugroho")</f>
        <v>Joko Nugroho</v>
      </c>
      <c r="N394" s="6" t="str">
        <f>IFERROR(__xludf.DUMMYFUNCTION("""COMPUTED_VALUE"""),"FIP Engineering")</f>
        <v>FIP Engineering</v>
      </c>
      <c r="O394" s="6" t="str">
        <f>IFERROR(__xludf.DUMMYFUNCTION("""COMPUTED_VALUE"""),"FIP-DOM-000-11304-OS00001-INA-000000")</f>
        <v>FIP-DOM-000-11304-OS00001-INA-000000</v>
      </c>
      <c r="P394" s="6" t="str">
        <f>IFERROR(__xludf.DUMMYFUNCTION("""COMPUTED_VALUE"""),"PO Closed")</f>
        <v>PO Closed</v>
      </c>
      <c r="Q394" s="6" t="str">
        <f>IFERROR(__xludf.DUMMYFUNCTION("""COMPUTED_VALUE"""),"GL1808002")</f>
        <v>GL1808002</v>
      </c>
      <c r="R394" s="16">
        <f>IFERROR(__xludf.DUMMYFUNCTION("""COMPUTED_VALUE"""),43312.0)</f>
        <v>43312</v>
      </c>
      <c r="S394" s="6" t="str">
        <f>IFERROR(__xludf.DUMMYFUNCTION("""COMPUTED_VALUE"""),"-")</f>
        <v>-</v>
      </c>
      <c r="T394" s="13">
        <f>IFERROR(__xludf.DUMMYFUNCTION("""COMPUTED_VALUE"""),43322.0)</f>
        <v>43322</v>
      </c>
    </row>
    <row r="395">
      <c r="A395" s="6" t="str">
        <f>IFERROR(__xludf.DUMMYFUNCTION("""COMPUTED_VALUE"""),"181750257-3")</f>
        <v>181750257-3</v>
      </c>
      <c r="B395" s="6" t="str">
        <f>IFERROR(__xludf.DUMMYFUNCTION("""COMPUTED_VALUE"""),"181750257 - Approved")</f>
        <v>181750257 - Approved</v>
      </c>
      <c r="C395" s="6">
        <f>IFERROR(__xludf.DUMMYFUNCTION("""COMPUTED_VALUE"""),3.0)</f>
        <v>3</v>
      </c>
      <c r="D395" s="6" t="str">
        <f>IFERROR(__xludf.DUMMYFUNCTION("""COMPUTED_VALUE"""),"P-17062-00")</f>
        <v>P-17062-00</v>
      </c>
      <c r="E395" s="6" t="str">
        <f>IFERROR(__xludf.DUMMYFUNCTION("""COMPUTED_VALUE"""),"Element Filter for N2; P/N : NXE-90-Z; NEXUS; ;")</f>
        <v>Element Filter for N2; P/N : NXE-90-Z; NEXUS; ;</v>
      </c>
      <c r="F395" s="6">
        <f>IFERROR(__xludf.DUMMYFUNCTION("""COMPUTED_VALUE"""),1.0)</f>
        <v>1</v>
      </c>
      <c r="G395" s="6" t="str">
        <f>IFERROR(__xludf.DUMMYFUNCTION("""COMPUTED_VALUE"""),"Unit")</f>
        <v>Unit</v>
      </c>
      <c r="H395" s="6" t="str">
        <f>IFERROR(__xludf.DUMMYFUNCTION("""COMPUTED_VALUE"""),"IDR")</f>
        <v>IDR</v>
      </c>
      <c r="I395" s="11">
        <f>IFERROR(__xludf.DUMMYFUNCTION("""COMPUTED_VALUE"""),1200000.0)</f>
        <v>1200000</v>
      </c>
      <c r="J395" s="11">
        <f>IFERROR(__xludf.DUMMYFUNCTION("""COMPUTED_VALUE"""),1200000.0)</f>
        <v>1200000</v>
      </c>
      <c r="K395" s="13">
        <f>IFERROR(__xludf.DUMMYFUNCTION("""COMPUTED_VALUE"""),43336.0)</f>
        <v>43336</v>
      </c>
      <c r="L395" s="6" t="str">
        <f>IFERROR(__xludf.DUMMYFUNCTION("""COMPUTED_VALUE"""),"FIP Engineering")</f>
        <v>FIP Engineering</v>
      </c>
      <c r="M395" s="6" t="str">
        <f>IFERROR(__xludf.DUMMYFUNCTION("""COMPUTED_VALUE"""),"Joko Nugroho")</f>
        <v>Joko Nugroho</v>
      </c>
      <c r="N395" s="6" t="str">
        <f>IFERROR(__xludf.DUMMYFUNCTION("""COMPUTED_VALUE"""),"FIP Engineering")</f>
        <v>FIP Engineering</v>
      </c>
      <c r="O395" s="6" t="str">
        <f>IFERROR(__xludf.DUMMYFUNCTION("""COMPUTED_VALUE"""),"FIP-DOM-000-11304-OS00001-INA-000000")</f>
        <v>FIP-DOM-000-11304-OS00001-INA-000000</v>
      </c>
      <c r="P395" s="6" t="str">
        <f>IFERROR(__xludf.DUMMYFUNCTION("""COMPUTED_VALUE"""),"PO Closed")</f>
        <v>PO Closed</v>
      </c>
      <c r="Q395" s="6" t="str">
        <f>IFERROR(__xludf.DUMMYFUNCTION("""COMPUTED_VALUE"""),"GL1808018")</f>
        <v>GL1808018</v>
      </c>
      <c r="R395" s="16">
        <f>IFERROR(__xludf.DUMMYFUNCTION("""COMPUTED_VALUE"""),43312.0)</f>
        <v>43312</v>
      </c>
      <c r="S395" s="6" t="str">
        <f>IFERROR(__xludf.DUMMYFUNCTION("""COMPUTED_VALUE"""),"-")</f>
        <v>-</v>
      </c>
      <c r="T395" s="13">
        <f>IFERROR(__xludf.DUMMYFUNCTION("""COMPUTED_VALUE"""),43384.0)</f>
        <v>43384</v>
      </c>
    </row>
    <row r="396">
      <c r="A396" s="6" t="str">
        <f>IFERROR(__xludf.DUMMYFUNCTION("""COMPUTED_VALUE"""),"181750252-12")</f>
        <v>181750252-12</v>
      </c>
      <c r="B396" s="6" t="str">
        <f>IFERROR(__xludf.DUMMYFUNCTION("""COMPUTED_VALUE"""),"181750252 - Approved")</f>
        <v>181750252 - Approved</v>
      </c>
      <c r="C396" s="6">
        <f>IFERROR(__xludf.DUMMYFUNCTION("""COMPUTED_VALUE"""),12.0)</f>
        <v>12</v>
      </c>
      <c r="D396" s="6" t="str">
        <f>IFERROR(__xludf.DUMMYFUNCTION("""COMPUTED_VALUE"""),"O-51708-00")</f>
        <v>O-51708-00</v>
      </c>
      <c r="E396" s="6" t="str">
        <f>IFERROR(__xludf.DUMMYFUNCTION("""COMPUTED_VALUE"""),"ELECTROVALVE 1/4'' GAS FF 24V DC N.C. HIGH TEMPERATURE DP GAS AND LIQUID 0?8BAR")</f>
        <v>ELECTROVALVE 1/4'' GAS FF 24V DC N.C. HIGH TEMPERATURE DP GAS AND LIQUID 0?8BAR</v>
      </c>
      <c r="F396" s="6">
        <f>IFERROR(__xludf.DUMMYFUNCTION("""COMPUTED_VALUE"""),1.0)</f>
        <v>1</v>
      </c>
      <c r="G396" s="6" t="str">
        <f>IFERROR(__xludf.DUMMYFUNCTION("""COMPUTED_VALUE"""),"Unit")</f>
        <v>Unit</v>
      </c>
      <c r="H396" s="6" t="str">
        <f>IFERROR(__xludf.DUMMYFUNCTION("""COMPUTED_VALUE"""),"EUR")</f>
        <v>EUR</v>
      </c>
      <c r="I396" s="11">
        <f>IFERROR(__xludf.DUMMYFUNCTION("""COMPUTED_VALUE"""),160.0)</f>
        <v>160</v>
      </c>
      <c r="J396" s="11">
        <f>IFERROR(__xludf.DUMMYFUNCTION("""COMPUTED_VALUE"""),160.0)</f>
        <v>160</v>
      </c>
      <c r="K396" s="13">
        <f>IFERROR(__xludf.DUMMYFUNCTION("""COMPUTED_VALUE"""),43367.0)</f>
        <v>43367</v>
      </c>
      <c r="L396" s="6" t="str">
        <f>IFERROR(__xludf.DUMMYFUNCTION("""COMPUTED_VALUE"""),"FIP Engineering")</f>
        <v>FIP Engineering</v>
      </c>
      <c r="M396" s="6" t="str">
        <f>IFERROR(__xludf.DUMMYFUNCTION("""COMPUTED_VALUE"""),"Joko Nugroho")</f>
        <v>Joko Nugroho</v>
      </c>
      <c r="N396" s="6" t="str">
        <f>IFERROR(__xludf.DUMMYFUNCTION("""COMPUTED_VALUE"""),"FIP Engineering")</f>
        <v>FIP Engineering</v>
      </c>
      <c r="O396" s="6" t="str">
        <f>IFERROR(__xludf.DUMMYFUNCTION("""COMPUTED_VALUE"""),"FIP-DOM-000-11304-OS00001-INA-000000")</f>
        <v>FIP-DOM-000-11304-OS00001-INA-000000</v>
      </c>
      <c r="P396" s="6" t="str">
        <f>IFERROR(__xludf.DUMMYFUNCTION("""COMPUTED_VALUE"""),"PO Closed")</f>
        <v>PO Closed</v>
      </c>
      <c r="Q396" s="6" t="str">
        <f>IFERROR(__xludf.DUMMYFUNCTION("""COMPUTED_VALUE"""),"GL1808021")</f>
        <v>GL1808021</v>
      </c>
      <c r="R396" s="16">
        <f>IFERROR(__xludf.DUMMYFUNCTION("""COMPUTED_VALUE"""),43314.0)</f>
        <v>43314</v>
      </c>
      <c r="S396" s="6" t="str">
        <f>IFERROR(__xludf.DUMMYFUNCTION("""COMPUTED_VALUE"""),"-")</f>
        <v>-</v>
      </c>
      <c r="T396" s="13">
        <f>IFERROR(__xludf.DUMMYFUNCTION("""COMPUTED_VALUE"""),43434.0)</f>
        <v>43434</v>
      </c>
    </row>
    <row r="397">
      <c r="A397" s="6" t="str">
        <f>IFERROR(__xludf.DUMMYFUNCTION("""COMPUTED_VALUE"""),"181750272-1")</f>
        <v>181750272-1</v>
      </c>
      <c r="B397" s="6" t="str">
        <f>IFERROR(__xludf.DUMMYFUNCTION("""COMPUTED_VALUE"""),"181750272 - Approved")</f>
        <v>181750272 - Approved</v>
      </c>
      <c r="C397" s="6">
        <f>IFERROR(__xludf.DUMMYFUNCTION("""COMPUTED_VALUE"""),1.0)</f>
        <v>1</v>
      </c>
      <c r="D397" s="6" t="str">
        <f>IFERROR(__xludf.DUMMYFUNCTION("""COMPUTED_VALUE"""),"S-60002-00")</f>
        <v>S-60002-00</v>
      </c>
      <c r="E397" s="6" t="str">
        <f>IFERROR(__xludf.DUMMYFUNCTION("""COMPUTED_VALUE"""),"Material untuk perbaikan recorder mesin tunnel steriline; SUB 61/DISPLAY")</f>
        <v>Material untuk perbaikan recorder mesin tunnel steriline; SUB 61/DISPLAY</v>
      </c>
      <c r="F397" s="6">
        <f>IFERROR(__xludf.DUMMYFUNCTION("""COMPUTED_VALUE"""),1.0)</f>
        <v>1</v>
      </c>
      <c r="G397" s="6" t="str">
        <f>IFERROR(__xludf.DUMMYFUNCTION("""COMPUTED_VALUE"""),"Lot")</f>
        <v>Lot</v>
      </c>
      <c r="H397" s="6" t="str">
        <f>IFERROR(__xludf.DUMMYFUNCTION("""COMPUTED_VALUE"""),"IDR")</f>
        <v>IDR</v>
      </c>
      <c r="I397" s="11">
        <f>IFERROR(__xludf.DUMMYFUNCTION("""COMPUTED_VALUE"""),2.722243088E7)</f>
        <v>27222430.88</v>
      </c>
      <c r="J397" s="11">
        <f>IFERROR(__xludf.DUMMYFUNCTION("""COMPUTED_VALUE"""),2.722243088E7)</f>
        <v>27222430.88</v>
      </c>
      <c r="K397" s="13">
        <f>IFERROR(__xludf.DUMMYFUNCTION("""COMPUTED_VALUE"""),43360.0)</f>
        <v>43360</v>
      </c>
      <c r="L397" s="6" t="str">
        <f>IFERROR(__xludf.DUMMYFUNCTION("""COMPUTED_VALUE"""),"FIP General")</f>
        <v>FIP General</v>
      </c>
      <c r="M397" s="6" t="str">
        <f>IFERROR(__xludf.DUMMYFUNCTION("""COMPUTED_VALUE"""),"Joko Nugroho")</f>
        <v>Joko Nugroho</v>
      </c>
      <c r="N397" s="6" t="str">
        <f>IFERROR(__xludf.DUMMYFUNCTION("""COMPUTED_VALUE"""),"FIP Engineering")</f>
        <v>FIP Engineering</v>
      </c>
      <c r="O397" s="6" t="str">
        <f>IFERROR(__xludf.DUMMYFUNCTION("""COMPUTED_VALUE"""),"FIP-DOM-ENG-51508-0000000-INA-000000")</f>
        <v>FIP-DOM-ENG-51508-0000000-INA-000000</v>
      </c>
      <c r="P397" s="6" t="str">
        <f>IFERROR(__xludf.DUMMYFUNCTION("""COMPUTED_VALUE"""),"PO Closed")</f>
        <v>PO Closed</v>
      </c>
      <c r="Q397" s="6" t="str">
        <f>IFERROR(__xludf.DUMMYFUNCTION("""COMPUTED_VALUE"""),"GL1808024")</f>
        <v>GL1808024</v>
      </c>
      <c r="R397" s="16">
        <f>IFERROR(__xludf.DUMMYFUNCTION("""COMPUTED_VALUE"""),43315.0)</f>
        <v>43315</v>
      </c>
      <c r="S397" s="6" t="str">
        <f>IFERROR(__xludf.DUMMYFUNCTION("""COMPUTED_VALUE"""),"-")</f>
        <v>-</v>
      </c>
      <c r="T397" s="13">
        <f>IFERROR(__xludf.DUMMYFUNCTION("""COMPUTED_VALUE"""),43385.0)</f>
        <v>43385</v>
      </c>
    </row>
    <row r="398">
      <c r="A398" s="6" t="str">
        <f>IFERROR(__xludf.DUMMYFUNCTION("""COMPUTED_VALUE"""),"181750272-2")</f>
        <v>181750272-2</v>
      </c>
      <c r="B398" s="6" t="str">
        <f>IFERROR(__xludf.DUMMYFUNCTION("""COMPUTED_VALUE"""),"181750272 - Approved")</f>
        <v>181750272 - Approved</v>
      </c>
      <c r="C398" s="6">
        <f>IFERROR(__xludf.DUMMYFUNCTION("""COMPUTED_VALUE"""),2.0)</f>
        <v>2</v>
      </c>
      <c r="D398" s="6" t="str">
        <f>IFERROR(__xludf.DUMMYFUNCTION("""COMPUTED_VALUE"""),"S-60002-00")</f>
        <v>S-60002-00</v>
      </c>
      <c r="E398" s="6" t="str">
        <f>IFERROR(__xludf.DUMMYFUNCTION("""COMPUTED_VALUE"""),"Instal &amp; Setting untuk perbaikan recorder mesin tunnel steriline")</f>
        <v>Instal &amp; Setting untuk perbaikan recorder mesin tunnel steriline</v>
      </c>
      <c r="F398" s="6">
        <f>IFERROR(__xludf.DUMMYFUNCTION("""COMPUTED_VALUE"""),1.0)</f>
        <v>1</v>
      </c>
      <c r="G398" s="6" t="str">
        <f>IFERROR(__xludf.DUMMYFUNCTION("""COMPUTED_VALUE"""),"Lot")</f>
        <v>Lot</v>
      </c>
      <c r="H398" s="6" t="str">
        <f>IFERROR(__xludf.DUMMYFUNCTION("""COMPUTED_VALUE"""),"IDR")</f>
        <v>IDR</v>
      </c>
      <c r="I398" s="11">
        <f>IFERROR(__xludf.DUMMYFUNCTION("""COMPUTED_VALUE"""),3500000.0)</f>
        <v>3500000</v>
      </c>
      <c r="J398" s="11">
        <f>IFERROR(__xludf.DUMMYFUNCTION("""COMPUTED_VALUE"""),3500000.0)</f>
        <v>3500000</v>
      </c>
      <c r="K398" s="13">
        <f>IFERROR(__xludf.DUMMYFUNCTION("""COMPUTED_VALUE"""),43360.0)</f>
        <v>43360</v>
      </c>
      <c r="L398" s="6" t="str">
        <f>IFERROR(__xludf.DUMMYFUNCTION("""COMPUTED_VALUE"""),"FIP General")</f>
        <v>FIP General</v>
      </c>
      <c r="M398" s="6" t="str">
        <f>IFERROR(__xludf.DUMMYFUNCTION("""COMPUTED_VALUE"""),"Joko Nugroho")</f>
        <v>Joko Nugroho</v>
      </c>
      <c r="N398" s="6" t="str">
        <f>IFERROR(__xludf.DUMMYFUNCTION("""COMPUTED_VALUE"""),"FIP Engineering")</f>
        <v>FIP Engineering</v>
      </c>
      <c r="O398" s="6" t="str">
        <f>IFERROR(__xludf.DUMMYFUNCTION("""COMPUTED_VALUE"""),"FIP-DOM-ENG-51508-0000000-INA-000000")</f>
        <v>FIP-DOM-ENG-51508-0000000-INA-000000</v>
      </c>
      <c r="P398" s="6" t="str">
        <f>IFERROR(__xludf.DUMMYFUNCTION("""COMPUTED_VALUE"""),"PO Closed")</f>
        <v>PO Closed</v>
      </c>
      <c r="Q398" s="6" t="str">
        <f>IFERROR(__xludf.DUMMYFUNCTION("""COMPUTED_VALUE"""),"GL1808024")</f>
        <v>GL1808024</v>
      </c>
      <c r="R398" s="16">
        <f>IFERROR(__xludf.DUMMYFUNCTION("""COMPUTED_VALUE"""),43315.0)</f>
        <v>43315</v>
      </c>
      <c r="S398" s="6" t="str">
        <f>IFERROR(__xludf.DUMMYFUNCTION("""COMPUTED_VALUE"""),"-")</f>
        <v>-</v>
      </c>
      <c r="T398" s="13">
        <f>IFERROR(__xludf.DUMMYFUNCTION("""COMPUTED_VALUE"""),43385.0)</f>
        <v>43385</v>
      </c>
    </row>
    <row r="399">
      <c r="A399" s="6" t="str">
        <f>IFERROR(__xludf.DUMMYFUNCTION("""COMPUTED_VALUE"""),"181750252-13")</f>
        <v>181750252-13</v>
      </c>
      <c r="B399" s="6" t="str">
        <f>IFERROR(__xludf.DUMMYFUNCTION("""COMPUTED_VALUE"""),"181750252 - Approved")</f>
        <v>181750252 - Approved</v>
      </c>
      <c r="C399" s="6">
        <f>IFERROR(__xludf.DUMMYFUNCTION("""COMPUTED_VALUE"""),13.0)</f>
        <v>13</v>
      </c>
      <c r="D399" s="6" t="str">
        <f>IFERROR(__xludf.DUMMYFUNCTION("""COMPUTED_VALUE"""),"S-44000-00")</f>
        <v>S-44000-00</v>
      </c>
      <c r="E399" s="6" t="str">
        <f>IFERROR(__xludf.DUMMYFUNCTION("""COMPUTED_VALUE"""),"Packing dan Other Charges; ; ;")</f>
        <v>Packing dan Other Charges; ; ;</v>
      </c>
      <c r="F399" s="6">
        <f>IFERROR(__xludf.DUMMYFUNCTION("""COMPUTED_VALUE"""),1.0)</f>
        <v>1</v>
      </c>
      <c r="G399" s="6" t="str">
        <f>IFERROR(__xludf.DUMMYFUNCTION("""COMPUTED_VALUE"""),"Lot")</f>
        <v>Lot</v>
      </c>
      <c r="H399" s="6" t="str">
        <f>IFERROR(__xludf.DUMMYFUNCTION("""COMPUTED_VALUE"""),"EUR")</f>
        <v>EUR</v>
      </c>
      <c r="I399" s="11">
        <f>IFERROR(__xludf.DUMMYFUNCTION("""COMPUTED_VALUE"""),85.0)</f>
        <v>85</v>
      </c>
      <c r="J399" s="11">
        <f>IFERROR(__xludf.DUMMYFUNCTION("""COMPUTED_VALUE"""),85.0)</f>
        <v>85</v>
      </c>
      <c r="K399" s="13">
        <f>IFERROR(__xludf.DUMMYFUNCTION("""COMPUTED_VALUE"""),43367.0)</f>
        <v>43367</v>
      </c>
      <c r="L399" s="6" t="str">
        <f>IFERROR(__xludf.DUMMYFUNCTION("""COMPUTED_VALUE"""),"FIP General")</f>
        <v>FIP General</v>
      </c>
      <c r="M399" s="6" t="str">
        <f>IFERROR(__xludf.DUMMYFUNCTION("""COMPUTED_VALUE"""),"Joko Nugroho")</f>
        <v>Joko Nugroho</v>
      </c>
      <c r="N399" s="6" t="str">
        <f>IFERROR(__xludf.DUMMYFUNCTION("""COMPUTED_VALUE"""),"FIP Engineering")</f>
        <v>FIP Engineering</v>
      </c>
      <c r="O399" s="6" t="str">
        <f>IFERROR(__xludf.DUMMYFUNCTION("""COMPUTED_VALUE"""),"FIP-DOM-ENG-51504-0000000-INA-000000")</f>
        <v>FIP-DOM-ENG-51504-0000000-INA-000000</v>
      </c>
      <c r="P399" s="6" t="str">
        <f>IFERROR(__xludf.DUMMYFUNCTION("""COMPUTED_VALUE"""),"PO Closed")</f>
        <v>PO Closed</v>
      </c>
      <c r="Q399" s="6" t="str">
        <f>IFERROR(__xludf.DUMMYFUNCTION("""COMPUTED_VALUE"""),"GL1808021")</f>
        <v>GL1808021</v>
      </c>
      <c r="R399" s="16">
        <f>IFERROR(__xludf.DUMMYFUNCTION("""COMPUTED_VALUE"""),43315.0)</f>
        <v>43315</v>
      </c>
      <c r="S399" s="6" t="str">
        <f>IFERROR(__xludf.DUMMYFUNCTION("""COMPUTED_VALUE"""),"-")</f>
        <v>-</v>
      </c>
      <c r="T399" s="13">
        <f>IFERROR(__xludf.DUMMYFUNCTION("""COMPUTED_VALUE"""),43434.0)</f>
        <v>43434</v>
      </c>
    </row>
    <row r="400">
      <c r="A400" s="6" t="str">
        <f>IFERROR(__xludf.DUMMYFUNCTION("""COMPUTED_VALUE"""),"181750276-1")</f>
        <v>181750276-1</v>
      </c>
      <c r="B400" s="6" t="str">
        <f>IFERROR(__xludf.DUMMYFUNCTION("""COMPUTED_VALUE"""),"181750276 - Approved")</f>
        <v>181750276 - Approved</v>
      </c>
      <c r="C400" s="6">
        <f>IFERROR(__xludf.DUMMYFUNCTION("""COMPUTED_VALUE"""),1.0)</f>
        <v>1</v>
      </c>
      <c r="D400" s="6" t="str">
        <f>IFERROR(__xludf.DUMMYFUNCTION("""COMPUTED_VALUE"""),"S-60002-00")</f>
        <v>S-60002-00</v>
      </c>
      <c r="E400" s="6" t="str">
        <f>IFERROR(__xludf.DUMMYFUNCTION("""COMPUTED_VALUE"""),"Material untuk Perbaikan UPS; Capasitor P/N : 01502006")</f>
        <v>Material untuk Perbaikan UPS; Capasitor P/N : 01502006</v>
      </c>
      <c r="F400" s="6">
        <f>IFERROR(__xludf.DUMMYFUNCTION("""COMPUTED_VALUE"""),3.0)</f>
        <v>3</v>
      </c>
      <c r="G400" s="6" t="str">
        <f>IFERROR(__xludf.DUMMYFUNCTION("""COMPUTED_VALUE"""),"Lot")</f>
        <v>Lot</v>
      </c>
      <c r="H400" s="6" t="str">
        <f>IFERROR(__xludf.DUMMYFUNCTION("""COMPUTED_VALUE"""),"IDR")</f>
        <v>IDR</v>
      </c>
      <c r="I400" s="11">
        <f>IFERROR(__xludf.DUMMYFUNCTION("""COMPUTED_VALUE"""),648750.0)</f>
        <v>648750</v>
      </c>
      <c r="J400" s="11">
        <f>IFERROR(__xludf.DUMMYFUNCTION("""COMPUTED_VALUE"""),1946250.0)</f>
        <v>1946250</v>
      </c>
      <c r="K400" s="13">
        <f>IFERROR(__xludf.DUMMYFUNCTION("""COMPUTED_VALUE"""),43336.0)</f>
        <v>43336</v>
      </c>
      <c r="L400" s="6" t="str">
        <f>IFERROR(__xludf.DUMMYFUNCTION("""COMPUTED_VALUE"""),"FIP General")</f>
        <v>FIP General</v>
      </c>
      <c r="M400" s="6" t="str">
        <f>IFERROR(__xludf.DUMMYFUNCTION("""COMPUTED_VALUE"""),"Joko Nugroho")</f>
        <v>Joko Nugroho</v>
      </c>
      <c r="N400" s="6" t="str">
        <f>IFERROR(__xludf.DUMMYFUNCTION("""COMPUTED_VALUE"""),"FIP Engineering")</f>
        <v>FIP Engineering</v>
      </c>
      <c r="O400" s="6" t="str">
        <f>IFERROR(__xludf.DUMMYFUNCTION("""COMPUTED_VALUE"""),"FIP-DOM-ENG-51508-0000000-INA-000000")</f>
        <v>FIP-DOM-ENG-51508-0000000-INA-000000</v>
      </c>
      <c r="P400" s="6" t="str">
        <f>IFERROR(__xludf.DUMMYFUNCTION("""COMPUTED_VALUE"""),"PO Closed")</f>
        <v>PO Closed</v>
      </c>
      <c r="Q400" s="6" t="str">
        <f>IFERROR(__xludf.DUMMYFUNCTION("""COMPUTED_VALUE"""),"GL1808025")</f>
        <v>GL1808025</v>
      </c>
      <c r="R400" s="16">
        <f>IFERROR(__xludf.DUMMYFUNCTION("""COMPUTED_VALUE"""),43318.0)</f>
        <v>43318</v>
      </c>
      <c r="S400" s="6" t="str">
        <f>IFERROR(__xludf.DUMMYFUNCTION("""COMPUTED_VALUE"""),"-")</f>
        <v>-</v>
      </c>
      <c r="T400" s="13">
        <f>IFERROR(__xludf.DUMMYFUNCTION("""COMPUTED_VALUE"""),43343.0)</f>
        <v>43343</v>
      </c>
    </row>
    <row r="401">
      <c r="A401" s="6" t="str">
        <f>IFERROR(__xludf.DUMMYFUNCTION("""COMPUTED_VALUE"""),"181750276-2")</f>
        <v>181750276-2</v>
      </c>
      <c r="B401" s="6" t="str">
        <f>IFERROR(__xludf.DUMMYFUNCTION("""COMPUTED_VALUE"""),"181750276 - Approved")</f>
        <v>181750276 - Approved</v>
      </c>
      <c r="C401" s="6">
        <f>IFERROR(__xludf.DUMMYFUNCTION("""COMPUTED_VALUE"""),2.0)</f>
        <v>2</v>
      </c>
      <c r="D401" s="6" t="str">
        <f>IFERROR(__xludf.DUMMYFUNCTION("""COMPUTED_VALUE"""),"S-60002-00")</f>
        <v>S-60002-00</v>
      </c>
      <c r="E401" s="6" t="str">
        <f>IFERROR(__xludf.DUMMYFUNCTION("""COMPUTED_VALUE"""),"Material untuk Perbaikan UPS;Capasitor P/N : 01502010")</f>
        <v>Material untuk Perbaikan UPS;Capasitor P/N : 01502010</v>
      </c>
      <c r="F401" s="6">
        <f>IFERROR(__xludf.DUMMYFUNCTION("""COMPUTED_VALUE"""),2.0)</f>
        <v>2</v>
      </c>
      <c r="G401" s="6" t="str">
        <f>IFERROR(__xludf.DUMMYFUNCTION("""COMPUTED_VALUE"""),"Lot")</f>
        <v>Lot</v>
      </c>
      <c r="H401" s="6" t="str">
        <f>IFERROR(__xludf.DUMMYFUNCTION("""COMPUTED_VALUE"""),"IDR")</f>
        <v>IDR</v>
      </c>
      <c r="I401" s="11">
        <f>IFERROR(__xludf.DUMMYFUNCTION("""COMPUTED_VALUE"""),1612500.0)</f>
        <v>1612500</v>
      </c>
      <c r="J401" s="11">
        <f>IFERROR(__xludf.DUMMYFUNCTION("""COMPUTED_VALUE"""),3225000.0)</f>
        <v>3225000</v>
      </c>
      <c r="K401" s="13">
        <f>IFERROR(__xludf.DUMMYFUNCTION("""COMPUTED_VALUE"""),43336.0)</f>
        <v>43336</v>
      </c>
      <c r="L401" s="6" t="str">
        <f>IFERROR(__xludf.DUMMYFUNCTION("""COMPUTED_VALUE"""),"FIP General")</f>
        <v>FIP General</v>
      </c>
      <c r="M401" s="6" t="str">
        <f>IFERROR(__xludf.DUMMYFUNCTION("""COMPUTED_VALUE"""),"Joko Nugroho")</f>
        <v>Joko Nugroho</v>
      </c>
      <c r="N401" s="6" t="str">
        <f>IFERROR(__xludf.DUMMYFUNCTION("""COMPUTED_VALUE"""),"FIP Engineering")</f>
        <v>FIP Engineering</v>
      </c>
      <c r="O401" s="6" t="str">
        <f>IFERROR(__xludf.DUMMYFUNCTION("""COMPUTED_VALUE"""),"FIP-DOM-ENG-51508-0000000-INA-000000")</f>
        <v>FIP-DOM-ENG-51508-0000000-INA-000000</v>
      </c>
      <c r="P401" s="6" t="str">
        <f>IFERROR(__xludf.DUMMYFUNCTION("""COMPUTED_VALUE"""),"PO Closed")</f>
        <v>PO Closed</v>
      </c>
      <c r="Q401" s="6" t="str">
        <f>IFERROR(__xludf.DUMMYFUNCTION("""COMPUTED_VALUE"""),"GL1808025")</f>
        <v>GL1808025</v>
      </c>
      <c r="R401" s="16">
        <f>IFERROR(__xludf.DUMMYFUNCTION("""COMPUTED_VALUE"""),43318.0)</f>
        <v>43318</v>
      </c>
      <c r="S401" s="6" t="str">
        <f>IFERROR(__xludf.DUMMYFUNCTION("""COMPUTED_VALUE"""),"-")</f>
        <v>-</v>
      </c>
      <c r="T401" s="13">
        <f>IFERROR(__xludf.DUMMYFUNCTION("""COMPUTED_VALUE"""),43343.0)</f>
        <v>43343</v>
      </c>
    </row>
    <row r="402">
      <c r="A402" s="6" t="str">
        <f>IFERROR(__xludf.DUMMYFUNCTION("""COMPUTED_VALUE"""),"181750276-3")</f>
        <v>181750276-3</v>
      </c>
      <c r="B402" s="6" t="str">
        <f>IFERROR(__xludf.DUMMYFUNCTION("""COMPUTED_VALUE"""),"181750276 - Approved")</f>
        <v>181750276 - Approved</v>
      </c>
      <c r="C402" s="6">
        <f>IFERROR(__xludf.DUMMYFUNCTION("""COMPUTED_VALUE"""),3.0)</f>
        <v>3</v>
      </c>
      <c r="D402" s="6" t="str">
        <f>IFERROR(__xludf.DUMMYFUNCTION("""COMPUTED_VALUE"""),"S-60002-00")</f>
        <v>S-60002-00</v>
      </c>
      <c r="E402" s="6" t="str">
        <f>IFERROR(__xludf.DUMMYFUNCTION("""COMPUTED_VALUE"""),"Material untuk Perbaikan UPS; Fuse P/N: 06.02010066")</f>
        <v>Material untuk Perbaikan UPS; Fuse P/N: 06.02010066</v>
      </c>
      <c r="F402" s="6">
        <f>IFERROR(__xludf.DUMMYFUNCTION("""COMPUTED_VALUE"""),1.0)</f>
        <v>1</v>
      </c>
      <c r="G402" s="6" t="str">
        <f>IFERROR(__xludf.DUMMYFUNCTION("""COMPUTED_VALUE"""),"Lot")</f>
        <v>Lot</v>
      </c>
      <c r="H402" s="6" t="str">
        <f>IFERROR(__xludf.DUMMYFUNCTION("""COMPUTED_VALUE"""),"IDR")</f>
        <v>IDR</v>
      </c>
      <c r="I402" s="11">
        <f>IFERROR(__xludf.DUMMYFUNCTION("""COMPUTED_VALUE"""),562500.0)</f>
        <v>562500</v>
      </c>
      <c r="J402" s="11">
        <f>IFERROR(__xludf.DUMMYFUNCTION("""COMPUTED_VALUE"""),562500.0)</f>
        <v>562500</v>
      </c>
      <c r="K402" s="13">
        <f>IFERROR(__xludf.DUMMYFUNCTION("""COMPUTED_VALUE"""),43336.0)</f>
        <v>43336</v>
      </c>
      <c r="L402" s="6" t="str">
        <f>IFERROR(__xludf.DUMMYFUNCTION("""COMPUTED_VALUE"""),"FIP General")</f>
        <v>FIP General</v>
      </c>
      <c r="M402" s="6" t="str">
        <f>IFERROR(__xludf.DUMMYFUNCTION("""COMPUTED_VALUE"""),"Joko Nugroho")</f>
        <v>Joko Nugroho</v>
      </c>
      <c r="N402" s="6" t="str">
        <f>IFERROR(__xludf.DUMMYFUNCTION("""COMPUTED_VALUE"""),"FIP Engineering")</f>
        <v>FIP Engineering</v>
      </c>
      <c r="O402" s="6" t="str">
        <f>IFERROR(__xludf.DUMMYFUNCTION("""COMPUTED_VALUE"""),"FIP-DOM-ENG-51508-0000000-INA-000000")</f>
        <v>FIP-DOM-ENG-51508-0000000-INA-000000</v>
      </c>
      <c r="P402" s="6" t="str">
        <f>IFERROR(__xludf.DUMMYFUNCTION("""COMPUTED_VALUE"""),"PO Closed")</f>
        <v>PO Closed</v>
      </c>
      <c r="Q402" s="6" t="str">
        <f>IFERROR(__xludf.DUMMYFUNCTION("""COMPUTED_VALUE"""),"GL1808025")</f>
        <v>GL1808025</v>
      </c>
      <c r="R402" s="16">
        <f>IFERROR(__xludf.DUMMYFUNCTION("""COMPUTED_VALUE"""),43318.0)</f>
        <v>43318</v>
      </c>
      <c r="S402" s="6" t="str">
        <f>IFERROR(__xludf.DUMMYFUNCTION("""COMPUTED_VALUE"""),"-")</f>
        <v>-</v>
      </c>
      <c r="T402" s="13">
        <f>IFERROR(__xludf.DUMMYFUNCTION("""COMPUTED_VALUE"""),43343.0)</f>
        <v>43343</v>
      </c>
    </row>
    <row r="403">
      <c r="A403" s="6" t="str">
        <f>IFERROR(__xludf.DUMMYFUNCTION("""COMPUTED_VALUE"""),"181750276-4")</f>
        <v>181750276-4</v>
      </c>
      <c r="B403" s="6" t="str">
        <f>IFERROR(__xludf.DUMMYFUNCTION("""COMPUTED_VALUE"""),"181750276 - Approved")</f>
        <v>181750276 - Approved</v>
      </c>
      <c r="C403" s="6">
        <f>IFERROR(__xludf.DUMMYFUNCTION("""COMPUTED_VALUE"""),4.0)</f>
        <v>4</v>
      </c>
      <c r="D403" s="6" t="str">
        <f>IFERROR(__xludf.DUMMYFUNCTION("""COMPUTED_VALUE"""),"S-60002-00")</f>
        <v>S-60002-00</v>
      </c>
      <c r="E403" s="6" t="str">
        <f>IFERROR(__xludf.DUMMYFUNCTION("""COMPUTED_VALUE"""),"Service dan Transportasi untuk Perbaikan UPS")</f>
        <v>Service dan Transportasi untuk Perbaikan UPS</v>
      </c>
      <c r="F403" s="6">
        <f>IFERROR(__xludf.DUMMYFUNCTION("""COMPUTED_VALUE"""),1.0)</f>
        <v>1</v>
      </c>
      <c r="G403" s="6" t="str">
        <f>IFERROR(__xludf.DUMMYFUNCTION("""COMPUTED_VALUE"""),"Lot")</f>
        <v>Lot</v>
      </c>
      <c r="H403" s="6" t="str">
        <f>IFERROR(__xludf.DUMMYFUNCTION("""COMPUTED_VALUE"""),"IDR")</f>
        <v>IDR</v>
      </c>
      <c r="I403" s="11">
        <f>IFERROR(__xludf.DUMMYFUNCTION("""COMPUTED_VALUE"""),2500000.0)</f>
        <v>2500000</v>
      </c>
      <c r="J403" s="11">
        <f>IFERROR(__xludf.DUMMYFUNCTION("""COMPUTED_VALUE"""),2500000.0)</f>
        <v>2500000</v>
      </c>
      <c r="K403" s="13">
        <f>IFERROR(__xludf.DUMMYFUNCTION("""COMPUTED_VALUE"""),43336.0)</f>
        <v>43336</v>
      </c>
      <c r="L403" s="6" t="str">
        <f>IFERROR(__xludf.DUMMYFUNCTION("""COMPUTED_VALUE"""),"FIP General")</f>
        <v>FIP General</v>
      </c>
      <c r="M403" s="6" t="str">
        <f>IFERROR(__xludf.DUMMYFUNCTION("""COMPUTED_VALUE"""),"Joko Nugroho")</f>
        <v>Joko Nugroho</v>
      </c>
      <c r="N403" s="6" t="str">
        <f>IFERROR(__xludf.DUMMYFUNCTION("""COMPUTED_VALUE"""),"FIP Engineering")</f>
        <v>FIP Engineering</v>
      </c>
      <c r="O403" s="6" t="str">
        <f>IFERROR(__xludf.DUMMYFUNCTION("""COMPUTED_VALUE"""),"FIP-DOM-ENG-51508-0000000-INA-000000")</f>
        <v>FIP-DOM-ENG-51508-0000000-INA-000000</v>
      </c>
      <c r="P403" s="6" t="str">
        <f>IFERROR(__xludf.DUMMYFUNCTION("""COMPUTED_VALUE"""),"PO Closed")</f>
        <v>PO Closed</v>
      </c>
      <c r="Q403" s="6" t="str">
        <f>IFERROR(__xludf.DUMMYFUNCTION("""COMPUTED_VALUE"""),"GL1808025")</f>
        <v>GL1808025</v>
      </c>
      <c r="R403" s="16">
        <f>IFERROR(__xludf.DUMMYFUNCTION("""COMPUTED_VALUE"""),43318.0)</f>
        <v>43318</v>
      </c>
      <c r="S403" s="6" t="str">
        <f>IFERROR(__xludf.DUMMYFUNCTION("""COMPUTED_VALUE"""),"-")</f>
        <v>-</v>
      </c>
      <c r="T403" s="13">
        <f>IFERROR(__xludf.DUMMYFUNCTION("""COMPUTED_VALUE"""),43343.0)</f>
        <v>43343</v>
      </c>
    </row>
    <row r="404">
      <c r="A404" s="6" t="str">
        <f>IFERROR(__xludf.DUMMYFUNCTION("""COMPUTED_VALUE"""),"181750275-2")</f>
        <v>181750275-2</v>
      </c>
      <c r="B404" s="6" t="str">
        <f>IFERROR(__xludf.DUMMYFUNCTION("""COMPUTED_VALUE"""),"181750275 - Approved")</f>
        <v>181750275 - Approved</v>
      </c>
      <c r="C404" s="6">
        <f>IFERROR(__xludf.DUMMYFUNCTION("""COMPUTED_VALUE"""),2.0)</f>
        <v>2</v>
      </c>
      <c r="D404" s="6" t="str">
        <f>IFERROR(__xludf.DUMMYFUNCTION("""COMPUTED_VALUE"""),"P-51236-00")</f>
        <v>P-51236-00</v>
      </c>
      <c r="E404" s="6" t="str">
        <f>IFERROR(__xludf.DUMMYFUNCTION("""COMPUTED_VALUE"""),"Skun ( I ) pin dia 0.75 mm")</f>
        <v>Skun ( I ) pin dia 0.75 mm</v>
      </c>
      <c r="F404" s="6">
        <f>IFERROR(__xludf.DUMMYFUNCTION("""COMPUTED_VALUE"""),1.0)</f>
        <v>1</v>
      </c>
      <c r="G404" s="6" t="str">
        <f>IFERROR(__xludf.DUMMYFUNCTION("""COMPUTED_VALUE"""),"Pieces")</f>
        <v>Pieces</v>
      </c>
      <c r="H404" s="6" t="str">
        <f>IFERROR(__xludf.DUMMYFUNCTION("""COMPUTED_VALUE"""),"IDR")</f>
        <v>IDR</v>
      </c>
      <c r="I404" s="11">
        <f>IFERROR(__xludf.DUMMYFUNCTION("""COMPUTED_VALUE"""),60000.0)</f>
        <v>60000</v>
      </c>
      <c r="J404" s="11">
        <f>IFERROR(__xludf.DUMMYFUNCTION("""COMPUTED_VALUE"""),60000.0)</f>
        <v>60000</v>
      </c>
      <c r="K404" s="13">
        <f>IFERROR(__xludf.DUMMYFUNCTION("""COMPUTED_VALUE"""),43336.0)</f>
        <v>43336</v>
      </c>
      <c r="L404" s="6" t="str">
        <f>IFERROR(__xludf.DUMMYFUNCTION("""COMPUTED_VALUE"""),"FIP Engineering")</f>
        <v>FIP Engineering</v>
      </c>
      <c r="M404" s="6" t="str">
        <f>IFERROR(__xludf.DUMMYFUNCTION("""COMPUTED_VALUE"""),"Joko Nugroho")</f>
        <v>Joko Nugroho</v>
      </c>
      <c r="N404" s="6" t="str">
        <f>IFERROR(__xludf.DUMMYFUNCTION("""COMPUTED_VALUE"""),"FIP Engineering")</f>
        <v>FIP Engineering</v>
      </c>
      <c r="O404" s="6" t="str">
        <f>IFERROR(__xludf.DUMMYFUNCTION("""COMPUTED_VALUE"""),"FIP-DOM-000-11304-OS00001-INA-000000")</f>
        <v>FIP-DOM-000-11304-OS00001-INA-000000</v>
      </c>
      <c r="P404" s="6" t="str">
        <f>IFERROR(__xludf.DUMMYFUNCTION("""COMPUTED_VALUE"""),"PO Closed")</f>
        <v>PO Closed</v>
      </c>
      <c r="Q404" s="6" t="str">
        <f>IFERROR(__xludf.DUMMYFUNCTION("""COMPUTED_VALUE"""),"GL1808029")</f>
        <v>GL1808029</v>
      </c>
      <c r="R404" s="16">
        <f>IFERROR(__xludf.DUMMYFUNCTION("""COMPUTED_VALUE"""),43318.0)</f>
        <v>43318</v>
      </c>
      <c r="S404" s="6" t="str">
        <f>IFERROR(__xludf.DUMMYFUNCTION("""COMPUTED_VALUE"""),"-")</f>
        <v>-</v>
      </c>
      <c r="T404" s="13">
        <f>IFERROR(__xludf.DUMMYFUNCTION("""COMPUTED_VALUE"""),43327.0)</f>
        <v>43327</v>
      </c>
    </row>
    <row r="405">
      <c r="A405" s="6" t="str">
        <f>IFERROR(__xludf.DUMMYFUNCTION("""COMPUTED_VALUE"""),"181750273-1")</f>
        <v>181750273-1</v>
      </c>
      <c r="B405" s="6" t="str">
        <f>IFERROR(__xludf.DUMMYFUNCTION("""COMPUTED_VALUE"""),"181750273 - Approved")</f>
        <v>181750273 - Approved</v>
      </c>
      <c r="C405" s="6">
        <f>IFERROR(__xludf.DUMMYFUNCTION("""COMPUTED_VALUE"""),1.0)</f>
        <v>1</v>
      </c>
      <c r="D405" s="6" t="str">
        <f>IFERROR(__xludf.DUMMYFUNCTION("""COMPUTED_VALUE"""),"P-10387-00")</f>
        <v>P-10387-00</v>
      </c>
      <c r="E405" s="6" t="str">
        <f>IFERROR(__xludf.DUMMYFUNCTION("""COMPUTED_VALUE"""),"Ball Valve Kuningan 3/4"" KITZ")</f>
        <v>Ball Valve Kuningan 3/4" KITZ</v>
      </c>
      <c r="F405" s="6">
        <f>IFERROR(__xludf.DUMMYFUNCTION("""COMPUTED_VALUE"""),2.0)</f>
        <v>2</v>
      </c>
      <c r="G405" s="6" t="str">
        <f>IFERROR(__xludf.DUMMYFUNCTION("""COMPUTED_VALUE"""),"Pieces")</f>
        <v>Pieces</v>
      </c>
      <c r="H405" s="6" t="str">
        <f>IFERROR(__xludf.DUMMYFUNCTION("""COMPUTED_VALUE"""),"IDR")</f>
        <v>IDR</v>
      </c>
      <c r="I405" s="11">
        <f>IFERROR(__xludf.DUMMYFUNCTION("""COMPUTED_VALUE"""),320000.0)</f>
        <v>320000</v>
      </c>
      <c r="J405" s="11">
        <f>IFERROR(__xludf.DUMMYFUNCTION("""COMPUTED_VALUE"""),640000.0)</f>
        <v>640000</v>
      </c>
      <c r="K405" s="13">
        <f>IFERROR(__xludf.DUMMYFUNCTION("""COMPUTED_VALUE"""),43339.0)</f>
        <v>43339</v>
      </c>
      <c r="L405" s="6" t="str">
        <f>IFERROR(__xludf.DUMMYFUNCTION("""COMPUTED_VALUE"""),"FIP Engineering")</f>
        <v>FIP Engineering</v>
      </c>
      <c r="M405" s="6" t="str">
        <f>IFERROR(__xludf.DUMMYFUNCTION("""COMPUTED_VALUE"""),"Joko Nugroho")</f>
        <v>Joko Nugroho</v>
      </c>
      <c r="N405" s="6" t="str">
        <f>IFERROR(__xludf.DUMMYFUNCTION("""COMPUTED_VALUE"""),"FIP Engineering")</f>
        <v>FIP Engineering</v>
      </c>
      <c r="O405" s="6" t="str">
        <f>IFERROR(__xludf.DUMMYFUNCTION("""COMPUTED_VALUE"""),"FIP-DOM-000-11304-OS00001-INA-000000")</f>
        <v>FIP-DOM-000-11304-OS00001-INA-000000</v>
      </c>
      <c r="P405" s="6" t="str">
        <f>IFERROR(__xludf.DUMMYFUNCTION("""COMPUTED_VALUE"""),"PO Closed")</f>
        <v>PO Closed</v>
      </c>
      <c r="Q405" s="6" t="str">
        <f>IFERROR(__xludf.DUMMYFUNCTION("""COMPUTED_VALUE"""),"GL1808035")</f>
        <v>GL1808035</v>
      </c>
      <c r="R405" s="16">
        <f>IFERROR(__xludf.DUMMYFUNCTION("""COMPUTED_VALUE"""),43318.0)</f>
        <v>43318</v>
      </c>
      <c r="S405" s="6" t="str">
        <f>IFERROR(__xludf.DUMMYFUNCTION("""COMPUTED_VALUE"""),"-")</f>
        <v>-</v>
      </c>
      <c r="T405" s="13">
        <f>IFERROR(__xludf.DUMMYFUNCTION("""COMPUTED_VALUE"""),43339.0)</f>
        <v>43339</v>
      </c>
    </row>
    <row r="406">
      <c r="A406" s="6" t="str">
        <f>IFERROR(__xludf.DUMMYFUNCTION("""COMPUTED_VALUE"""),"181750273-11")</f>
        <v>181750273-11</v>
      </c>
      <c r="B406" s="6" t="str">
        <f>IFERROR(__xludf.DUMMYFUNCTION("""COMPUTED_VALUE"""),"181750273 - Approved")</f>
        <v>181750273 - Approved</v>
      </c>
      <c r="C406" s="6">
        <f>IFERROR(__xludf.DUMMYFUNCTION("""COMPUTED_VALUE"""),11.0)</f>
        <v>11</v>
      </c>
      <c r="D406" s="6" t="str">
        <f>IFERROR(__xludf.DUMMYFUNCTION("""COMPUTED_VALUE"""),"P-11694-00")</f>
        <v>P-11694-00</v>
      </c>
      <c r="E406" s="6" t="str">
        <f>IFERROR(__xludf.DUMMYFUNCTION("""COMPUTED_VALUE"""),"Mata Gerinda 4""")</f>
        <v>Mata Gerinda 4"</v>
      </c>
      <c r="F406" s="6">
        <f>IFERROR(__xludf.DUMMYFUNCTION("""COMPUTED_VALUE"""),1.0)</f>
        <v>1</v>
      </c>
      <c r="G406" s="6" t="str">
        <f>IFERROR(__xludf.DUMMYFUNCTION("""COMPUTED_VALUE"""),"Pieces")</f>
        <v>Pieces</v>
      </c>
      <c r="H406" s="6" t="str">
        <f>IFERROR(__xludf.DUMMYFUNCTION("""COMPUTED_VALUE"""),"IDR")</f>
        <v>IDR</v>
      </c>
      <c r="I406" s="11">
        <f>IFERROR(__xludf.DUMMYFUNCTION("""COMPUTED_VALUE"""),100000.0)</f>
        <v>100000</v>
      </c>
      <c r="J406" s="11">
        <f>IFERROR(__xludf.DUMMYFUNCTION("""COMPUTED_VALUE"""),100000.0)</f>
        <v>100000</v>
      </c>
      <c r="K406" s="13">
        <f>IFERROR(__xludf.DUMMYFUNCTION("""COMPUTED_VALUE"""),43339.0)</f>
        <v>43339</v>
      </c>
      <c r="L406" s="6" t="str">
        <f>IFERROR(__xludf.DUMMYFUNCTION("""COMPUTED_VALUE"""),"FIP General")</f>
        <v>FIP General</v>
      </c>
      <c r="M406" s="6" t="str">
        <f>IFERROR(__xludf.DUMMYFUNCTION("""COMPUTED_VALUE"""),"Joko Nugroho")</f>
        <v>Joko Nugroho</v>
      </c>
      <c r="N406" s="6" t="str">
        <f>IFERROR(__xludf.DUMMYFUNCTION("""COMPUTED_VALUE"""),"FIP Engineering")</f>
        <v>FIP Engineering</v>
      </c>
      <c r="O406" s="6" t="str">
        <f>IFERROR(__xludf.DUMMYFUNCTION("""COMPUTED_VALUE"""),"FIP-DOM-ENG-51404-0000000-INA-000000")</f>
        <v>FIP-DOM-ENG-51404-0000000-INA-000000</v>
      </c>
      <c r="P406" s="6" t="str">
        <f>IFERROR(__xludf.DUMMYFUNCTION("""COMPUTED_VALUE"""),"PO Closed")</f>
        <v>PO Closed</v>
      </c>
      <c r="Q406" s="6" t="str">
        <f>IFERROR(__xludf.DUMMYFUNCTION("""COMPUTED_VALUE"""),"GL1808035")</f>
        <v>GL1808035</v>
      </c>
      <c r="R406" s="16">
        <f>IFERROR(__xludf.DUMMYFUNCTION("""COMPUTED_VALUE"""),43318.0)</f>
        <v>43318</v>
      </c>
      <c r="S406" s="6" t="str">
        <f>IFERROR(__xludf.DUMMYFUNCTION("""COMPUTED_VALUE"""),"-")</f>
        <v>-</v>
      </c>
      <c r="T406" s="13">
        <f>IFERROR(__xludf.DUMMYFUNCTION("""COMPUTED_VALUE"""),43339.0)</f>
        <v>43339</v>
      </c>
    </row>
    <row r="407">
      <c r="A407" s="6" t="str">
        <f>IFERROR(__xludf.DUMMYFUNCTION("""COMPUTED_VALUE"""),"181750273-12")</f>
        <v>181750273-12</v>
      </c>
      <c r="B407" s="6" t="str">
        <f>IFERROR(__xludf.DUMMYFUNCTION("""COMPUTED_VALUE"""),"181750273 - Approved")</f>
        <v>181750273 - Approved</v>
      </c>
      <c r="C407" s="6">
        <f>IFERROR(__xludf.DUMMYFUNCTION("""COMPUTED_VALUE"""),12.0)</f>
        <v>12</v>
      </c>
      <c r="D407" s="6" t="str">
        <f>IFERROR(__xludf.DUMMYFUNCTION("""COMPUTED_VALUE"""),"P-11694-00")</f>
        <v>P-11694-00</v>
      </c>
      <c r="E407" s="6" t="str">
        <f>IFERROR(__xludf.DUMMYFUNCTION("""COMPUTED_VALUE"""),"Mata Gerinda 4""")</f>
        <v>Mata Gerinda 4"</v>
      </c>
      <c r="F407" s="6">
        <f>IFERROR(__xludf.DUMMYFUNCTION("""COMPUTED_VALUE"""),1.0)</f>
        <v>1</v>
      </c>
      <c r="G407" s="6" t="str">
        <f>IFERROR(__xludf.DUMMYFUNCTION("""COMPUTED_VALUE"""),"Pieces")</f>
        <v>Pieces</v>
      </c>
      <c r="H407" s="6" t="str">
        <f>IFERROR(__xludf.DUMMYFUNCTION("""COMPUTED_VALUE"""),"IDR")</f>
        <v>IDR</v>
      </c>
      <c r="I407" s="11">
        <f>IFERROR(__xludf.DUMMYFUNCTION("""COMPUTED_VALUE"""),175000.0)</f>
        <v>175000</v>
      </c>
      <c r="J407" s="11">
        <f>IFERROR(__xludf.DUMMYFUNCTION("""COMPUTED_VALUE"""),175000.0)</f>
        <v>175000</v>
      </c>
      <c r="K407" s="13">
        <f>IFERROR(__xludf.DUMMYFUNCTION("""COMPUTED_VALUE"""),43339.0)</f>
        <v>43339</v>
      </c>
      <c r="L407" s="6" t="str">
        <f>IFERROR(__xludf.DUMMYFUNCTION("""COMPUTED_VALUE"""),"FIP General")</f>
        <v>FIP General</v>
      </c>
      <c r="M407" s="6" t="str">
        <f>IFERROR(__xludf.DUMMYFUNCTION("""COMPUTED_VALUE"""),"Joko Nugroho")</f>
        <v>Joko Nugroho</v>
      </c>
      <c r="N407" s="6" t="str">
        <f>IFERROR(__xludf.DUMMYFUNCTION("""COMPUTED_VALUE"""),"FIP Engineering")</f>
        <v>FIP Engineering</v>
      </c>
      <c r="O407" s="6" t="str">
        <f>IFERROR(__xludf.DUMMYFUNCTION("""COMPUTED_VALUE"""),"FIP-DOM-ENG-51404-0000000-INA-000000")</f>
        <v>FIP-DOM-ENG-51404-0000000-INA-000000</v>
      </c>
      <c r="P407" s="6" t="str">
        <f>IFERROR(__xludf.DUMMYFUNCTION("""COMPUTED_VALUE"""),"PO Closed")</f>
        <v>PO Closed</v>
      </c>
      <c r="Q407" s="6" t="str">
        <f>IFERROR(__xludf.DUMMYFUNCTION("""COMPUTED_VALUE"""),"GL1808035")</f>
        <v>GL1808035</v>
      </c>
      <c r="R407" s="16">
        <f>IFERROR(__xludf.DUMMYFUNCTION("""COMPUTED_VALUE"""),43318.0)</f>
        <v>43318</v>
      </c>
      <c r="S407" s="6" t="str">
        <f>IFERROR(__xludf.DUMMYFUNCTION("""COMPUTED_VALUE"""),"-")</f>
        <v>-</v>
      </c>
      <c r="T407" s="13">
        <f>IFERROR(__xludf.DUMMYFUNCTION("""COMPUTED_VALUE"""),43339.0)</f>
        <v>43339</v>
      </c>
    </row>
    <row r="408">
      <c r="A408" s="6" t="str">
        <f>IFERROR(__xludf.DUMMYFUNCTION("""COMPUTED_VALUE"""),"181750282-1")</f>
        <v>181750282-1</v>
      </c>
      <c r="B408" s="6" t="str">
        <f>IFERROR(__xludf.DUMMYFUNCTION("""COMPUTED_VALUE"""),"181750282 - Approved")</f>
        <v>181750282 - Approved</v>
      </c>
      <c r="C408" s="6">
        <f>IFERROR(__xludf.DUMMYFUNCTION("""COMPUTED_VALUE"""),1.0)</f>
        <v>1</v>
      </c>
      <c r="D408" s="6" t="str">
        <f>IFERROR(__xludf.DUMMYFUNCTION("""COMPUTED_VALUE"""),"P-51718-00")</f>
        <v>P-51718-00</v>
      </c>
      <c r="E408" s="6" t="str">
        <f>IFERROR(__xludf.DUMMYFUNCTION("""COMPUTED_VALUE"""),"Lampu LED 12 VDC P. 30 cm; ; ;")</f>
        <v>Lampu LED 12 VDC P. 30 cm; ; ;</v>
      </c>
      <c r="F408" s="6">
        <f>IFERROR(__xludf.DUMMYFUNCTION("""COMPUTED_VALUE"""),3.0)</f>
        <v>3</v>
      </c>
      <c r="G408" s="6" t="str">
        <f>IFERROR(__xludf.DUMMYFUNCTION("""COMPUTED_VALUE"""),"Pieces")</f>
        <v>Pieces</v>
      </c>
      <c r="H408" s="6" t="str">
        <f>IFERROR(__xludf.DUMMYFUNCTION("""COMPUTED_VALUE"""),"IDR")</f>
        <v>IDR</v>
      </c>
      <c r="I408" s="11">
        <f>IFERROR(__xludf.DUMMYFUNCTION("""COMPUTED_VALUE"""),220000.0)</f>
        <v>220000</v>
      </c>
      <c r="J408" s="11">
        <f>IFERROR(__xludf.DUMMYFUNCTION("""COMPUTED_VALUE"""),660000.0)</f>
        <v>660000</v>
      </c>
      <c r="K408" s="13">
        <f>IFERROR(__xludf.DUMMYFUNCTION("""COMPUTED_VALUE"""),43339.0)</f>
        <v>43339</v>
      </c>
      <c r="L408" s="6" t="str">
        <f>IFERROR(__xludf.DUMMYFUNCTION("""COMPUTED_VALUE"""),"FIP General")</f>
        <v>FIP General</v>
      </c>
      <c r="M408" s="6" t="str">
        <f>IFERROR(__xludf.DUMMYFUNCTION("""COMPUTED_VALUE"""),"Joko Nugroho")</f>
        <v>Joko Nugroho</v>
      </c>
      <c r="N408" s="6" t="str">
        <f>IFERROR(__xludf.DUMMYFUNCTION("""COMPUTED_VALUE"""),"FIP Engineering")</f>
        <v>FIP Engineering</v>
      </c>
      <c r="O408" s="6" t="str">
        <f>IFERROR(__xludf.DUMMYFUNCTION("""COMPUTED_VALUE"""),"FIP-DOM-ENG-51504-0000000-INA-000000")</f>
        <v>FIP-DOM-ENG-51504-0000000-INA-000000</v>
      </c>
      <c r="P408" s="6" t="str">
        <f>IFERROR(__xludf.DUMMYFUNCTION("""COMPUTED_VALUE"""),"PO Closed")</f>
        <v>PO Closed</v>
      </c>
      <c r="Q408" s="6" t="str">
        <f>IFERROR(__xludf.DUMMYFUNCTION("""COMPUTED_VALUE"""),"GL1808022")</f>
        <v>GL1808022</v>
      </c>
      <c r="R408" s="16">
        <f>IFERROR(__xludf.DUMMYFUNCTION("""COMPUTED_VALUE"""),43319.0)</f>
        <v>43319</v>
      </c>
      <c r="S408" s="6" t="str">
        <f>IFERROR(__xludf.DUMMYFUNCTION("""COMPUTED_VALUE"""),"-")</f>
        <v>-</v>
      </c>
      <c r="T408" s="13">
        <f>IFERROR(__xludf.DUMMYFUNCTION("""COMPUTED_VALUE"""),43335.0)</f>
        <v>43335</v>
      </c>
    </row>
    <row r="409">
      <c r="A409" s="6" t="str">
        <f>IFERROR(__xludf.DUMMYFUNCTION("""COMPUTED_VALUE"""),"181750282-2")</f>
        <v>181750282-2</v>
      </c>
      <c r="B409" s="6" t="str">
        <f>IFERROR(__xludf.DUMMYFUNCTION("""COMPUTED_VALUE"""),"181750282 - Approved")</f>
        <v>181750282 - Approved</v>
      </c>
      <c r="C409" s="6">
        <f>IFERROR(__xludf.DUMMYFUNCTION("""COMPUTED_VALUE"""),2.0)</f>
        <v>2</v>
      </c>
      <c r="D409" s="6" t="str">
        <f>IFERROR(__xludf.DUMMYFUNCTION("""COMPUTED_VALUE"""),"O-51850-00")</f>
        <v>O-51850-00</v>
      </c>
      <c r="E409" s="6" t="str">
        <f>IFERROR(__xludf.DUMMYFUNCTION("""COMPUTED_VALUE"""),"Power Supply 220 VAC 12 VDC, 3 Ampere; ; ;")</f>
        <v>Power Supply 220 VAC 12 VDC, 3 Ampere; ; ;</v>
      </c>
      <c r="F409" s="6">
        <f>IFERROR(__xludf.DUMMYFUNCTION("""COMPUTED_VALUE"""),2.0)</f>
        <v>2</v>
      </c>
      <c r="G409" s="6" t="str">
        <f>IFERROR(__xludf.DUMMYFUNCTION("""COMPUTED_VALUE"""),"Pieces")</f>
        <v>Pieces</v>
      </c>
      <c r="H409" s="6" t="str">
        <f>IFERROR(__xludf.DUMMYFUNCTION("""COMPUTED_VALUE"""),"IDR")</f>
        <v>IDR</v>
      </c>
      <c r="I409" s="11">
        <f>IFERROR(__xludf.DUMMYFUNCTION("""COMPUTED_VALUE"""),125000.0)</f>
        <v>125000</v>
      </c>
      <c r="J409" s="11">
        <f>IFERROR(__xludf.DUMMYFUNCTION("""COMPUTED_VALUE"""),250000.0)</f>
        <v>250000</v>
      </c>
      <c r="K409" s="13">
        <f>IFERROR(__xludf.DUMMYFUNCTION("""COMPUTED_VALUE"""),43339.0)</f>
        <v>43339</v>
      </c>
      <c r="L409" s="6" t="str">
        <f>IFERROR(__xludf.DUMMYFUNCTION("""COMPUTED_VALUE"""),"FIP Engineering")</f>
        <v>FIP Engineering</v>
      </c>
      <c r="M409" s="6" t="str">
        <f>IFERROR(__xludf.DUMMYFUNCTION("""COMPUTED_VALUE"""),"Joko Nugroho")</f>
        <v>Joko Nugroho</v>
      </c>
      <c r="N409" s="6" t="str">
        <f>IFERROR(__xludf.DUMMYFUNCTION("""COMPUTED_VALUE"""),"FIP Engineering")</f>
        <v>FIP Engineering</v>
      </c>
      <c r="O409" s="6" t="str">
        <f>IFERROR(__xludf.DUMMYFUNCTION("""COMPUTED_VALUE"""),"FIP-DOM-000-11304-OS00001-INA-000000")</f>
        <v>FIP-DOM-000-11304-OS00001-INA-000000</v>
      </c>
      <c r="P409" s="6" t="str">
        <f>IFERROR(__xludf.DUMMYFUNCTION("""COMPUTED_VALUE"""),"PO Closed")</f>
        <v>PO Closed</v>
      </c>
      <c r="Q409" s="6" t="str">
        <f>IFERROR(__xludf.DUMMYFUNCTION("""COMPUTED_VALUE"""),"GL1808022")</f>
        <v>GL1808022</v>
      </c>
      <c r="R409" s="16">
        <f>IFERROR(__xludf.DUMMYFUNCTION("""COMPUTED_VALUE"""),43319.0)</f>
        <v>43319</v>
      </c>
      <c r="S409" s="6" t="str">
        <f>IFERROR(__xludf.DUMMYFUNCTION("""COMPUTED_VALUE"""),"-")</f>
        <v>-</v>
      </c>
      <c r="T409" s="13">
        <f>IFERROR(__xludf.DUMMYFUNCTION("""COMPUTED_VALUE"""),43335.0)</f>
        <v>43335</v>
      </c>
    </row>
    <row r="410">
      <c r="A410" s="6" t="str">
        <f>IFERROR(__xludf.DUMMYFUNCTION("""COMPUTED_VALUE"""),"181750282-3")</f>
        <v>181750282-3</v>
      </c>
      <c r="B410" s="6" t="str">
        <f>IFERROR(__xludf.DUMMYFUNCTION("""COMPUTED_VALUE"""),"181750282 - Approved")</f>
        <v>181750282 - Approved</v>
      </c>
      <c r="C410" s="6">
        <f>IFERROR(__xludf.DUMMYFUNCTION("""COMPUTED_VALUE"""),3.0)</f>
        <v>3</v>
      </c>
      <c r="D410" s="6" t="str">
        <f>IFERROR(__xludf.DUMMYFUNCTION("""COMPUTED_VALUE"""),"P-53167-00")</f>
        <v>P-53167-00</v>
      </c>
      <c r="E410" s="6" t="str">
        <f>IFERROR(__xludf.DUMMYFUNCTION("""COMPUTED_VALUE"""),"Ballast Electronic EB-C 236 TL5, 2x36W; Phillips; ;")</f>
        <v>Ballast Electronic EB-C 236 TL5, 2x36W; Phillips; ;</v>
      </c>
      <c r="F410" s="6">
        <f>IFERROR(__xludf.DUMMYFUNCTION("""COMPUTED_VALUE"""),10.0)</f>
        <v>10</v>
      </c>
      <c r="G410" s="6" t="str">
        <f>IFERROR(__xludf.DUMMYFUNCTION("""COMPUTED_VALUE"""),"Pieces")</f>
        <v>Pieces</v>
      </c>
      <c r="H410" s="6" t="str">
        <f>IFERROR(__xludf.DUMMYFUNCTION("""COMPUTED_VALUE"""),"IDR")</f>
        <v>IDR</v>
      </c>
      <c r="I410" s="11">
        <f>IFERROR(__xludf.DUMMYFUNCTION("""COMPUTED_VALUE"""),88500.0)</f>
        <v>88500</v>
      </c>
      <c r="J410" s="11">
        <f>IFERROR(__xludf.DUMMYFUNCTION("""COMPUTED_VALUE"""),885000.0)</f>
        <v>885000</v>
      </c>
      <c r="K410" s="13">
        <f>IFERROR(__xludf.DUMMYFUNCTION("""COMPUTED_VALUE"""),43339.0)</f>
        <v>43339</v>
      </c>
      <c r="L410" s="6" t="str">
        <f>IFERROR(__xludf.DUMMYFUNCTION("""COMPUTED_VALUE"""),"FIP Engineering")</f>
        <v>FIP Engineering</v>
      </c>
      <c r="M410" s="6" t="str">
        <f>IFERROR(__xludf.DUMMYFUNCTION("""COMPUTED_VALUE"""),"Joko Nugroho")</f>
        <v>Joko Nugroho</v>
      </c>
      <c r="N410" s="6" t="str">
        <f>IFERROR(__xludf.DUMMYFUNCTION("""COMPUTED_VALUE"""),"FIP Engineering")</f>
        <v>FIP Engineering</v>
      </c>
      <c r="O410" s="6" t="str">
        <f>IFERROR(__xludf.DUMMYFUNCTION("""COMPUTED_VALUE"""),"FIP-DOM-000-11304-OS00001-INA-000000")</f>
        <v>FIP-DOM-000-11304-OS00001-INA-000000</v>
      </c>
      <c r="P410" s="6" t="str">
        <f>IFERROR(__xludf.DUMMYFUNCTION("""COMPUTED_VALUE"""),"PO Closed")</f>
        <v>PO Closed</v>
      </c>
      <c r="Q410" s="6" t="str">
        <f>IFERROR(__xludf.DUMMYFUNCTION("""COMPUTED_VALUE"""),"GL1808022")</f>
        <v>GL1808022</v>
      </c>
      <c r="R410" s="16">
        <f>IFERROR(__xludf.DUMMYFUNCTION("""COMPUTED_VALUE"""),43319.0)</f>
        <v>43319</v>
      </c>
      <c r="S410" s="6" t="str">
        <f>IFERROR(__xludf.DUMMYFUNCTION("""COMPUTED_VALUE"""),"-")</f>
        <v>-</v>
      </c>
      <c r="T410" s="13">
        <f>IFERROR(__xludf.DUMMYFUNCTION("""COMPUTED_VALUE"""),43335.0)</f>
        <v>43335</v>
      </c>
    </row>
    <row r="411">
      <c r="A411" s="6" t="str">
        <f>IFERROR(__xludf.DUMMYFUNCTION("""COMPUTED_VALUE"""),"181750282-4")</f>
        <v>181750282-4</v>
      </c>
      <c r="B411" s="6" t="str">
        <f>IFERROR(__xludf.DUMMYFUNCTION("""COMPUTED_VALUE"""),"181750282 - Approved")</f>
        <v>181750282 - Approved</v>
      </c>
      <c r="C411" s="6">
        <f>IFERROR(__xludf.DUMMYFUNCTION("""COMPUTED_VALUE"""),4.0)</f>
        <v>4</v>
      </c>
      <c r="D411" s="6" t="str">
        <f>IFERROR(__xludf.DUMMYFUNCTION("""COMPUTED_VALUE"""),"P-53173-00")</f>
        <v>P-53173-00</v>
      </c>
      <c r="E411" s="6" t="str">
        <f>IFERROR(__xludf.DUMMYFUNCTION("""COMPUTED_VALUE"""),"Ballast Electronic EB-C 214 TL5, 2x14W; Phillips; ;")</f>
        <v>Ballast Electronic EB-C 214 TL5, 2x14W; Phillips; ;</v>
      </c>
      <c r="F411" s="6">
        <f>IFERROR(__xludf.DUMMYFUNCTION("""COMPUTED_VALUE"""),8.0)</f>
        <v>8</v>
      </c>
      <c r="G411" s="6" t="str">
        <f>IFERROR(__xludf.DUMMYFUNCTION("""COMPUTED_VALUE"""),"Pieces")</f>
        <v>Pieces</v>
      </c>
      <c r="H411" s="6" t="str">
        <f>IFERROR(__xludf.DUMMYFUNCTION("""COMPUTED_VALUE"""),"IDR")</f>
        <v>IDR</v>
      </c>
      <c r="I411" s="11">
        <f>IFERROR(__xludf.DUMMYFUNCTION("""COMPUTED_VALUE"""),115000.0)</f>
        <v>115000</v>
      </c>
      <c r="J411" s="11">
        <f>IFERROR(__xludf.DUMMYFUNCTION("""COMPUTED_VALUE"""),920000.0)</f>
        <v>920000</v>
      </c>
      <c r="K411" s="13">
        <f>IFERROR(__xludf.DUMMYFUNCTION("""COMPUTED_VALUE"""),43339.0)</f>
        <v>43339</v>
      </c>
      <c r="L411" s="6" t="str">
        <f>IFERROR(__xludf.DUMMYFUNCTION("""COMPUTED_VALUE"""),"FIP Engineering")</f>
        <v>FIP Engineering</v>
      </c>
      <c r="M411" s="6" t="str">
        <f>IFERROR(__xludf.DUMMYFUNCTION("""COMPUTED_VALUE"""),"Joko Nugroho")</f>
        <v>Joko Nugroho</v>
      </c>
      <c r="N411" s="6" t="str">
        <f>IFERROR(__xludf.DUMMYFUNCTION("""COMPUTED_VALUE"""),"FIP Engineering")</f>
        <v>FIP Engineering</v>
      </c>
      <c r="O411" s="6" t="str">
        <f>IFERROR(__xludf.DUMMYFUNCTION("""COMPUTED_VALUE"""),"FIP-DOM-000-11304-OS00001-INA-000000")</f>
        <v>FIP-DOM-000-11304-OS00001-INA-000000</v>
      </c>
      <c r="P411" s="6" t="str">
        <f>IFERROR(__xludf.DUMMYFUNCTION("""COMPUTED_VALUE"""),"PO Closed")</f>
        <v>PO Closed</v>
      </c>
      <c r="Q411" s="6" t="str">
        <f>IFERROR(__xludf.DUMMYFUNCTION("""COMPUTED_VALUE"""),"GL1808022")</f>
        <v>GL1808022</v>
      </c>
      <c r="R411" s="16">
        <f>IFERROR(__xludf.DUMMYFUNCTION("""COMPUTED_VALUE"""),43319.0)</f>
        <v>43319</v>
      </c>
      <c r="S411" s="6" t="str">
        <f>IFERROR(__xludf.DUMMYFUNCTION("""COMPUTED_VALUE"""),"-")</f>
        <v>-</v>
      </c>
      <c r="T411" s="13">
        <f>IFERROR(__xludf.DUMMYFUNCTION("""COMPUTED_VALUE"""),43335.0)</f>
        <v>43335</v>
      </c>
    </row>
    <row r="412">
      <c r="A412" s="6" t="str">
        <f>IFERROR(__xludf.DUMMYFUNCTION("""COMPUTED_VALUE"""),"181750280-1")</f>
        <v>181750280-1</v>
      </c>
      <c r="B412" s="6" t="str">
        <f>IFERROR(__xludf.DUMMYFUNCTION("""COMPUTED_VALUE"""),"181750280 - Approved")</f>
        <v>181750280 - Approved</v>
      </c>
      <c r="C412" s="6">
        <f>IFERROR(__xludf.DUMMYFUNCTION("""COMPUTED_VALUE"""),1.0)</f>
        <v>1</v>
      </c>
      <c r="D412" s="6" t="str">
        <f>IFERROR(__xludf.DUMMYFUNCTION("""COMPUTED_VALUE"""),"P-14453-00")</f>
        <v>P-14453-00</v>
      </c>
      <c r="E412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F412" s="6">
        <f>IFERROR(__xludf.DUMMYFUNCTION("""COMPUTED_VALUE"""),3.0)</f>
        <v>3</v>
      </c>
      <c r="G412" s="6" t="str">
        <f>IFERROR(__xludf.DUMMYFUNCTION("""COMPUTED_VALUE"""),"Pieces")</f>
        <v>Pieces</v>
      </c>
      <c r="H412" s="6" t="str">
        <f>IFERROR(__xludf.DUMMYFUNCTION("""COMPUTED_VALUE"""),"IDR")</f>
        <v>IDR</v>
      </c>
      <c r="I412" s="11">
        <f>IFERROR(__xludf.DUMMYFUNCTION("""COMPUTED_VALUE"""),740000.0)</f>
        <v>740000</v>
      </c>
      <c r="J412" s="11">
        <f>IFERROR(__xludf.DUMMYFUNCTION("""COMPUTED_VALUE"""),2220000.0)</f>
        <v>2220000</v>
      </c>
      <c r="K412" s="13">
        <f>IFERROR(__xludf.DUMMYFUNCTION("""COMPUTED_VALUE"""),43336.0)</f>
        <v>43336</v>
      </c>
      <c r="L412" s="6" t="str">
        <f>IFERROR(__xludf.DUMMYFUNCTION("""COMPUTED_VALUE"""),"FIP Engineering")</f>
        <v>FIP Engineering</v>
      </c>
      <c r="M412" s="6" t="str">
        <f>IFERROR(__xludf.DUMMYFUNCTION("""COMPUTED_VALUE"""),"Joko Nugroho")</f>
        <v>Joko Nugroho</v>
      </c>
      <c r="N412" s="6" t="str">
        <f>IFERROR(__xludf.DUMMYFUNCTION("""COMPUTED_VALUE"""),"FIP Engineering")</f>
        <v>FIP Engineering</v>
      </c>
      <c r="O412" s="6" t="str">
        <f>IFERROR(__xludf.DUMMYFUNCTION("""COMPUTED_VALUE"""),"FIP-DOM-000-11304-OS00001-INA-000000")</f>
        <v>FIP-DOM-000-11304-OS00001-INA-000000</v>
      </c>
      <c r="P412" s="6" t="str">
        <f>IFERROR(__xludf.DUMMYFUNCTION("""COMPUTED_VALUE"""),"PO Closed")</f>
        <v>PO Closed</v>
      </c>
      <c r="Q412" s="6" t="str">
        <f>IFERROR(__xludf.DUMMYFUNCTION("""COMPUTED_VALUE"""),"GL1808027")</f>
        <v>GL1808027</v>
      </c>
      <c r="R412" s="16">
        <f>IFERROR(__xludf.DUMMYFUNCTION("""COMPUTED_VALUE"""),43319.0)</f>
        <v>43319</v>
      </c>
      <c r="S412" s="6" t="str">
        <f>IFERROR(__xludf.DUMMYFUNCTION("""COMPUTED_VALUE"""),"-")</f>
        <v>-</v>
      </c>
      <c r="T412" s="13">
        <f>IFERROR(__xludf.DUMMYFUNCTION("""COMPUTED_VALUE"""),43347.0)</f>
        <v>43347</v>
      </c>
    </row>
    <row r="413">
      <c r="A413" s="6" t="str">
        <f>IFERROR(__xludf.DUMMYFUNCTION("""COMPUTED_VALUE"""),"181750280-2")</f>
        <v>181750280-2</v>
      </c>
      <c r="B413" s="6" t="str">
        <f>IFERROR(__xludf.DUMMYFUNCTION("""COMPUTED_VALUE"""),"181750280 - Approved")</f>
        <v>181750280 - Approved</v>
      </c>
      <c r="C413" s="6">
        <f>IFERROR(__xludf.DUMMYFUNCTION("""COMPUTED_VALUE"""),2.0)</f>
        <v>2</v>
      </c>
      <c r="D413" s="6" t="str">
        <f>IFERROR(__xludf.DUMMYFUNCTION("""COMPUTED_VALUE"""),"P-14454-00")</f>
        <v>P-14454-00</v>
      </c>
      <c r="E413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F413" s="6">
        <f>IFERROR(__xludf.DUMMYFUNCTION("""COMPUTED_VALUE"""),3.0)</f>
        <v>3</v>
      </c>
      <c r="G413" s="6" t="str">
        <f>IFERROR(__xludf.DUMMYFUNCTION("""COMPUTED_VALUE"""),"Pieces")</f>
        <v>Pieces</v>
      </c>
      <c r="H413" s="6" t="str">
        <f>IFERROR(__xludf.DUMMYFUNCTION("""COMPUTED_VALUE"""),"IDR")</f>
        <v>IDR</v>
      </c>
      <c r="I413" s="11">
        <f>IFERROR(__xludf.DUMMYFUNCTION("""COMPUTED_VALUE"""),560000.0)</f>
        <v>560000</v>
      </c>
      <c r="J413" s="11">
        <f>IFERROR(__xludf.DUMMYFUNCTION("""COMPUTED_VALUE"""),1680000.0)</f>
        <v>1680000</v>
      </c>
      <c r="K413" s="13">
        <f>IFERROR(__xludf.DUMMYFUNCTION("""COMPUTED_VALUE"""),43336.0)</f>
        <v>43336</v>
      </c>
      <c r="L413" s="6" t="str">
        <f>IFERROR(__xludf.DUMMYFUNCTION("""COMPUTED_VALUE"""),"FIP Engineering")</f>
        <v>FIP Engineering</v>
      </c>
      <c r="M413" s="6" t="str">
        <f>IFERROR(__xludf.DUMMYFUNCTION("""COMPUTED_VALUE"""),"Joko Nugroho")</f>
        <v>Joko Nugroho</v>
      </c>
      <c r="N413" s="6" t="str">
        <f>IFERROR(__xludf.DUMMYFUNCTION("""COMPUTED_VALUE"""),"FIP Engineering")</f>
        <v>FIP Engineering</v>
      </c>
      <c r="O413" s="6" t="str">
        <f>IFERROR(__xludf.DUMMYFUNCTION("""COMPUTED_VALUE"""),"FIP-DOM-000-11304-OS00001-INA-000000")</f>
        <v>FIP-DOM-000-11304-OS00001-INA-000000</v>
      </c>
      <c r="P413" s="6" t="str">
        <f>IFERROR(__xludf.DUMMYFUNCTION("""COMPUTED_VALUE"""),"PO Closed")</f>
        <v>PO Closed</v>
      </c>
      <c r="Q413" s="6" t="str">
        <f>IFERROR(__xludf.DUMMYFUNCTION("""COMPUTED_VALUE"""),"GL1808027")</f>
        <v>GL1808027</v>
      </c>
      <c r="R413" s="16">
        <f>IFERROR(__xludf.DUMMYFUNCTION("""COMPUTED_VALUE"""),43319.0)</f>
        <v>43319</v>
      </c>
      <c r="S413" s="6" t="str">
        <f>IFERROR(__xludf.DUMMYFUNCTION("""COMPUTED_VALUE"""),"-")</f>
        <v>-</v>
      </c>
      <c r="T413" s="13">
        <f>IFERROR(__xludf.DUMMYFUNCTION("""COMPUTED_VALUE"""),43347.0)</f>
        <v>43347</v>
      </c>
    </row>
    <row r="414">
      <c r="A414" s="6" t="str">
        <f>IFERROR(__xludf.DUMMYFUNCTION("""COMPUTED_VALUE"""),"181750280-3")</f>
        <v>181750280-3</v>
      </c>
      <c r="B414" s="6" t="str">
        <f>IFERROR(__xludf.DUMMYFUNCTION("""COMPUTED_VALUE"""),"181750280 - Approved")</f>
        <v>181750280 - Approved</v>
      </c>
      <c r="C414" s="6">
        <f>IFERROR(__xludf.DUMMYFUNCTION("""COMPUTED_VALUE"""),3.0)</f>
        <v>3</v>
      </c>
      <c r="D414" s="6" t="str">
        <f>IFERROR(__xludf.DUMMYFUNCTION("""COMPUTED_VALUE"""),"P-14456-00")</f>
        <v>P-14456-00</v>
      </c>
      <c r="E414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414" s="6">
        <f>IFERROR(__xludf.DUMMYFUNCTION("""COMPUTED_VALUE"""),5.0)</f>
        <v>5</v>
      </c>
      <c r="G414" s="6" t="str">
        <f>IFERROR(__xludf.DUMMYFUNCTION("""COMPUTED_VALUE"""),"Pieces")</f>
        <v>Pieces</v>
      </c>
      <c r="H414" s="6" t="str">
        <f>IFERROR(__xludf.DUMMYFUNCTION("""COMPUTED_VALUE"""),"IDR")</f>
        <v>IDR</v>
      </c>
      <c r="I414" s="11">
        <f>IFERROR(__xludf.DUMMYFUNCTION("""COMPUTED_VALUE"""),540000.0)</f>
        <v>540000</v>
      </c>
      <c r="J414" s="11">
        <f>IFERROR(__xludf.DUMMYFUNCTION("""COMPUTED_VALUE"""),2700000.0)</f>
        <v>2700000</v>
      </c>
      <c r="K414" s="13">
        <f>IFERROR(__xludf.DUMMYFUNCTION("""COMPUTED_VALUE"""),43336.0)</f>
        <v>43336</v>
      </c>
      <c r="L414" s="6" t="str">
        <f>IFERROR(__xludf.DUMMYFUNCTION("""COMPUTED_VALUE"""),"FIP Engineering")</f>
        <v>FIP Engineering</v>
      </c>
      <c r="M414" s="6" t="str">
        <f>IFERROR(__xludf.DUMMYFUNCTION("""COMPUTED_VALUE"""),"Joko Nugroho")</f>
        <v>Joko Nugroho</v>
      </c>
      <c r="N414" s="6" t="str">
        <f>IFERROR(__xludf.DUMMYFUNCTION("""COMPUTED_VALUE"""),"FIP Engineering")</f>
        <v>FIP Engineering</v>
      </c>
      <c r="O414" s="6" t="str">
        <f>IFERROR(__xludf.DUMMYFUNCTION("""COMPUTED_VALUE"""),"FIP-DOM-000-11304-OS00001-INA-000000")</f>
        <v>FIP-DOM-000-11304-OS00001-INA-000000</v>
      </c>
      <c r="P414" s="6" t="str">
        <f>IFERROR(__xludf.DUMMYFUNCTION("""COMPUTED_VALUE"""),"PO Closed")</f>
        <v>PO Closed</v>
      </c>
      <c r="Q414" s="6" t="str">
        <f>IFERROR(__xludf.DUMMYFUNCTION("""COMPUTED_VALUE"""),"GL1808027")</f>
        <v>GL1808027</v>
      </c>
      <c r="R414" s="16">
        <f>IFERROR(__xludf.DUMMYFUNCTION("""COMPUTED_VALUE"""),43319.0)</f>
        <v>43319</v>
      </c>
      <c r="S414" s="6" t="str">
        <f>IFERROR(__xludf.DUMMYFUNCTION("""COMPUTED_VALUE"""),"-")</f>
        <v>-</v>
      </c>
      <c r="T414" s="13">
        <f>IFERROR(__xludf.DUMMYFUNCTION("""COMPUTED_VALUE"""),43347.0)</f>
        <v>43347</v>
      </c>
    </row>
    <row r="415">
      <c r="A415" s="6" t="str">
        <f>IFERROR(__xludf.DUMMYFUNCTION("""COMPUTED_VALUE"""),"181750280-4")</f>
        <v>181750280-4</v>
      </c>
      <c r="B415" s="6" t="str">
        <f>IFERROR(__xludf.DUMMYFUNCTION("""COMPUTED_VALUE"""),"181750280 - Approved")</f>
        <v>181750280 - Approved</v>
      </c>
      <c r="C415" s="6">
        <f>IFERROR(__xludf.DUMMYFUNCTION("""COMPUTED_VALUE"""),4.0)</f>
        <v>4</v>
      </c>
      <c r="D415" s="6" t="str">
        <f>IFERROR(__xludf.DUMMYFUNCTION("""COMPUTED_VALUE"""),"P-14457-00")</f>
        <v>P-14457-00</v>
      </c>
      <c r="E415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415" s="6">
        <f>IFERROR(__xludf.DUMMYFUNCTION("""COMPUTED_VALUE"""),4.0)</f>
        <v>4</v>
      </c>
      <c r="G415" s="6" t="str">
        <f>IFERROR(__xludf.DUMMYFUNCTION("""COMPUTED_VALUE"""),"Pieces")</f>
        <v>Pieces</v>
      </c>
      <c r="H415" s="6" t="str">
        <f>IFERROR(__xludf.DUMMYFUNCTION("""COMPUTED_VALUE"""),"IDR")</f>
        <v>IDR</v>
      </c>
      <c r="I415" s="11">
        <f>IFERROR(__xludf.DUMMYFUNCTION("""COMPUTED_VALUE"""),1800000.0)</f>
        <v>1800000</v>
      </c>
      <c r="J415" s="11">
        <f>IFERROR(__xludf.DUMMYFUNCTION("""COMPUTED_VALUE"""),7200000.0)</f>
        <v>7200000</v>
      </c>
      <c r="K415" s="13">
        <f>IFERROR(__xludf.DUMMYFUNCTION("""COMPUTED_VALUE"""),43336.0)</f>
        <v>43336</v>
      </c>
      <c r="L415" s="6" t="str">
        <f>IFERROR(__xludf.DUMMYFUNCTION("""COMPUTED_VALUE"""),"FIP Engineering")</f>
        <v>FIP Engineering</v>
      </c>
      <c r="M415" s="6" t="str">
        <f>IFERROR(__xludf.DUMMYFUNCTION("""COMPUTED_VALUE"""),"Joko Nugroho")</f>
        <v>Joko Nugroho</v>
      </c>
      <c r="N415" s="6" t="str">
        <f>IFERROR(__xludf.DUMMYFUNCTION("""COMPUTED_VALUE"""),"FIP Engineering")</f>
        <v>FIP Engineering</v>
      </c>
      <c r="O415" s="6" t="str">
        <f>IFERROR(__xludf.DUMMYFUNCTION("""COMPUTED_VALUE"""),"FIP-DOM-000-11304-OS00001-INA-000000")</f>
        <v>FIP-DOM-000-11304-OS00001-INA-000000</v>
      </c>
      <c r="P415" s="6" t="str">
        <f>IFERROR(__xludf.DUMMYFUNCTION("""COMPUTED_VALUE"""),"PO Closed")</f>
        <v>PO Closed</v>
      </c>
      <c r="Q415" s="6" t="str">
        <f>IFERROR(__xludf.DUMMYFUNCTION("""COMPUTED_VALUE"""),"GL1808027")</f>
        <v>GL1808027</v>
      </c>
      <c r="R415" s="16">
        <f>IFERROR(__xludf.DUMMYFUNCTION("""COMPUTED_VALUE"""),43319.0)</f>
        <v>43319</v>
      </c>
      <c r="S415" s="6" t="str">
        <f>IFERROR(__xludf.DUMMYFUNCTION("""COMPUTED_VALUE"""),"-")</f>
        <v>-</v>
      </c>
      <c r="T415" s="13">
        <f>IFERROR(__xludf.DUMMYFUNCTION("""COMPUTED_VALUE"""),43347.0)</f>
        <v>43347</v>
      </c>
    </row>
    <row r="416">
      <c r="A416" s="6" t="str">
        <f>IFERROR(__xludf.DUMMYFUNCTION("""COMPUTED_VALUE"""),"181750280-5")</f>
        <v>181750280-5</v>
      </c>
      <c r="B416" s="6" t="str">
        <f>IFERROR(__xludf.DUMMYFUNCTION("""COMPUTED_VALUE"""),"181750280 - Approved")</f>
        <v>181750280 - Approved</v>
      </c>
      <c r="C416" s="6">
        <f>IFERROR(__xludf.DUMMYFUNCTION("""COMPUTED_VALUE"""),5.0)</f>
        <v>5</v>
      </c>
      <c r="D416" s="6" t="str">
        <f>IFERROR(__xludf.DUMMYFUNCTION("""COMPUTED_VALUE"""),"P-14458-00")</f>
        <v>P-14458-00</v>
      </c>
      <c r="E416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416" s="6">
        <f>IFERROR(__xludf.DUMMYFUNCTION("""COMPUTED_VALUE"""),4.0)</f>
        <v>4</v>
      </c>
      <c r="G416" s="6" t="str">
        <f>IFERROR(__xludf.DUMMYFUNCTION("""COMPUTED_VALUE"""),"Pieces")</f>
        <v>Pieces</v>
      </c>
      <c r="H416" s="6" t="str">
        <f>IFERROR(__xludf.DUMMYFUNCTION("""COMPUTED_VALUE"""),"IDR")</f>
        <v>IDR</v>
      </c>
      <c r="I416" s="11">
        <f>IFERROR(__xludf.DUMMYFUNCTION("""COMPUTED_VALUE"""),1200000.0)</f>
        <v>1200000</v>
      </c>
      <c r="J416" s="11">
        <f>IFERROR(__xludf.DUMMYFUNCTION("""COMPUTED_VALUE"""),4800000.0)</f>
        <v>4800000</v>
      </c>
      <c r="K416" s="13">
        <f>IFERROR(__xludf.DUMMYFUNCTION("""COMPUTED_VALUE"""),43336.0)</f>
        <v>43336</v>
      </c>
      <c r="L416" s="6" t="str">
        <f>IFERROR(__xludf.DUMMYFUNCTION("""COMPUTED_VALUE"""),"FIP Engineering")</f>
        <v>FIP Engineering</v>
      </c>
      <c r="M416" s="6" t="str">
        <f>IFERROR(__xludf.DUMMYFUNCTION("""COMPUTED_VALUE"""),"Joko Nugroho")</f>
        <v>Joko Nugroho</v>
      </c>
      <c r="N416" s="6" t="str">
        <f>IFERROR(__xludf.DUMMYFUNCTION("""COMPUTED_VALUE"""),"FIP Engineering")</f>
        <v>FIP Engineering</v>
      </c>
      <c r="O416" s="6" t="str">
        <f>IFERROR(__xludf.DUMMYFUNCTION("""COMPUTED_VALUE"""),"FIP-DOM-000-11304-OS00001-INA-000000")</f>
        <v>FIP-DOM-000-11304-OS00001-INA-000000</v>
      </c>
      <c r="P416" s="6" t="str">
        <f>IFERROR(__xludf.DUMMYFUNCTION("""COMPUTED_VALUE"""),"PO Closed")</f>
        <v>PO Closed</v>
      </c>
      <c r="Q416" s="6" t="str">
        <f>IFERROR(__xludf.DUMMYFUNCTION("""COMPUTED_VALUE"""),"GL1808027")</f>
        <v>GL1808027</v>
      </c>
      <c r="R416" s="16">
        <f>IFERROR(__xludf.DUMMYFUNCTION("""COMPUTED_VALUE"""),43319.0)</f>
        <v>43319</v>
      </c>
      <c r="S416" s="6" t="str">
        <f>IFERROR(__xludf.DUMMYFUNCTION("""COMPUTED_VALUE"""),"-")</f>
        <v>-</v>
      </c>
      <c r="T416" s="13">
        <f>IFERROR(__xludf.DUMMYFUNCTION("""COMPUTED_VALUE"""),43347.0)</f>
        <v>43347</v>
      </c>
    </row>
    <row r="417">
      <c r="A417" s="6" t="str">
        <f>IFERROR(__xludf.DUMMYFUNCTION("""COMPUTED_VALUE"""),"181750275-5")</f>
        <v>181750275-5</v>
      </c>
      <c r="B417" s="6" t="str">
        <f>IFERROR(__xludf.DUMMYFUNCTION("""COMPUTED_VALUE"""),"181750275 - Approved")</f>
        <v>181750275 - Approved</v>
      </c>
      <c r="C417" s="6">
        <f>IFERROR(__xludf.DUMMYFUNCTION("""COMPUTED_VALUE"""),5.0)</f>
        <v>5</v>
      </c>
      <c r="D417" s="6" t="str">
        <f>IFERROR(__xludf.DUMMYFUNCTION("""COMPUTED_VALUE"""),"O-51904-00")</f>
        <v>O-51904-00</v>
      </c>
      <c r="E417" s="6" t="str">
        <f>IFERROR(__xludf.DUMMYFUNCTION("""COMPUTED_VALUE"""),"Capasitor 50 mf 400 V; ; ;")</f>
        <v>Capasitor 50 mf 400 V; ; ;</v>
      </c>
      <c r="F417" s="6">
        <f>IFERROR(__xludf.DUMMYFUNCTION("""COMPUTED_VALUE"""),6.0)</f>
        <v>6</v>
      </c>
      <c r="G417" s="6" t="str">
        <f>IFERROR(__xludf.DUMMYFUNCTION("""COMPUTED_VALUE"""),"Pieces")</f>
        <v>Pieces</v>
      </c>
      <c r="H417" s="6" t="str">
        <f>IFERROR(__xludf.DUMMYFUNCTION("""COMPUTED_VALUE"""),"IDR")</f>
        <v>IDR</v>
      </c>
      <c r="I417" s="11">
        <f>IFERROR(__xludf.DUMMYFUNCTION("""COMPUTED_VALUE"""),160000.0)</f>
        <v>160000</v>
      </c>
      <c r="J417" s="11">
        <f>IFERROR(__xludf.DUMMYFUNCTION("""COMPUTED_VALUE"""),960000.0)</f>
        <v>960000</v>
      </c>
      <c r="K417" s="13">
        <f>IFERROR(__xludf.DUMMYFUNCTION("""COMPUTED_VALUE"""),43336.0)</f>
        <v>43336</v>
      </c>
      <c r="L417" s="6" t="str">
        <f>IFERROR(__xludf.DUMMYFUNCTION("""COMPUTED_VALUE"""),"FIP Engineering")</f>
        <v>FIP Engineering</v>
      </c>
      <c r="M417" s="6" t="str">
        <f>IFERROR(__xludf.DUMMYFUNCTION("""COMPUTED_VALUE"""),"Joko Nugroho")</f>
        <v>Joko Nugroho</v>
      </c>
      <c r="N417" s="6" t="str">
        <f>IFERROR(__xludf.DUMMYFUNCTION("""COMPUTED_VALUE"""),"FIP Engineering")</f>
        <v>FIP Engineering</v>
      </c>
      <c r="O417" s="6" t="str">
        <f>IFERROR(__xludf.DUMMYFUNCTION("""COMPUTED_VALUE"""),"FIP-DOM-000-11304-OS00001-INA-000000")</f>
        <v>FIP-DOM-000-11304-OS00001-INA-000000</v>
      </c>
      <c r="P417" s="6" t="str">
        <f>IFERROR(__xludf.DUMMYFUNCTION("""COMPUTED_VALUE"""),"PO Closed")</f>
        <v>PO Closed</v>
      </c>
      <c r="Q417" s="6" t="str">
        <f>IFERROR(__xludf.DUMMYFUNCTION("""COMPUTED_VALUE"""),"GL1808029")</f>
        <v>GL1808029</v>
      </c>
      <c r="R417" s="16">
        <f>IFERROR(__xludf.DUMMYFUNCTION("""COMPUTED_VALUE"""),43321.0)</f>
        <v>43321</v>
      </c>
      <c r="S417" s="6" t="str">
        <f>IFERROR(__xludf.DUMMYFUNCTION("""COMPUTED_VALUE"""),"-")</f>
        <v>-</v>
      </c>
      <c r="T417" s="13">
        <f>IFERROR(__xludf.DUMMYFUNCTION("""COMPUTED_VALUE"""),43327.0)</f>
        <v>43327</v>
      </c>
    </row>
    <row r="418">
      <c r="A418" s="6" t="str">
        <f>IFERROR(__xludf.DUMMYFUNCTION("""COMPUTED_VALUE"""),"181750275-5")</f>
        <v>181750275-5</v>
      </c>
      <c r="B418" s="6" t="str">
        <f>IFERROR(__xludf.DUMMYFUNCTION("""COMPUTED_VALUE"""),"181750275 - Approved")</f>
        <v>181750275 - Approved</v>
      </c>
      <c r="C418" s="6">
        <f>IFERROR(__xludf.DUMMYFUNCTION("""COMPUTED_VALUE"""),5.0)</f>
        <v>5</v>
      </c>
      <c r="D418" s="6" t="str">
        <f>IFERROR(__xludf.DUMMYFUNCTION("""COMPUTED_VALUE"""),"Q-10284-00")</f>
        <v>Q-10284-00</v>
      </c>
      <c r="E418" s="6" t="str">
        <f>IFERROR(__xludf.DUMMYFUNCTION("""COMPUTED_VALUE"""),"Tile Grout AM 54; ; ;")</f>
        <v>Tile Grout AM 54; ; ;</v>
      </c>
      <c r="F418" s="6">
        <f>IFERROR(__xludf.DUMMYFUNCTION("""COMPUTED_VALUE"""),1.0)</f>
        <v>1</v>
      </c>
      <c r="G418" s="6" t="str">
        <f>IFERROR(__xludf.DUMMYFUNCTION("""COMPUTED_VALUE"""),"Liter")</f>
        <v>Liter</v>
      </c>
      <c r="H418" s="6" t="str">
        <f>IFERROR(__xludf.DUMMYFUNCTION("""COMPUTED_VALUE"""),"IDR")</f>
        <v>IDR</v>
      </c>
      <c r="I418" s="11">
        <f>IFERROR(__xludf.DUMMYFUNCTION("""COMPUTED_VALUE"""),18000.0)</f>
        <v>18000</v>
      </c>
      <c r="J418" s="11">
        <f>IFERROR(__xludf.DUMMYFUNCTION("""COMPUTED_VALUE"""),18000.0)</f>
        <v>18000</v>
      </c>
      <c r="K418" s="13">
        <f>IFERROR(__xludf.DUMMYFUNCTION("""COMPUTED_VALUE"""),43336.0)</f>
        <v>43336</v>
      </c>
      <c r="L418" s="6" t="str">
        <f>IFERROR(__xludf.DUMMYFUNCTION("""COMPUTED_VALUE"""),"FIP General")</f>
        <v>FIP General</v>
      </c>
      <c r="M418" s="6" t="str">
        <f>IFERROR(__xludf.DUMMYFUNCTION("""COMPUTED_VALUE"""),"Joko Nugroho")</f>
        <v>Joko Nugroho</v>
      </c>
      <c r="N418" s="6" t="str">
        <f>IFERROR(__xludf.DUMMYFUNCTION("""COMPUTED_VALUE"""),"FIP Engineering")</f>
        <v>FIP Engineering</v>
      </c>
      <c r="O418" s="6" t="str">
        <f>IFERROR(__xludf.DUMMYFUNCTION("""COMPUTED_VALUE"""),"FIP-DOM-ENG-51502-0000000-INA-000000")</f>
        <v>FIP-DOM-ENG-51502-0000000-INA-000000</v>
      </c>
      <c r="P418" s="6" t="str">
        <f>IFERROR(__xludf.DUMMYFUNCTION("""COMPUTED_VALUE"""),"PO Closed")</f>
        <v>PO Closed</v>
      </c>
      <c r="Q418" s="6" t="str">
        <f>IFERROR(__xludf.DUMMYFUNCTION("""COMPUTED_VALUE"""),"GL1808029")</f>
        <v>GL1808029</v>
      </c>
      <c r="R418" s="16">
        <f>IFERROR(__xludf.DUMMYFUNCTION("""COMPUTED_VALUE"""),43321.0)</f>
        <v>43321</v>
      </c>
      <c r="S418" s="6" t="str">
        <f>IFERROR(__xludf.DUMMYFUNCTION("""COMPUTED_VALUE"""),"-")</f>
        <v>-</v>
      </c>
      <c r="T418" s="13">
        <f>IFERROR(__xludf.DUMMYFUNCTION("""COMPUTED_VALUE"""),43327.0)</f>
        <v>43327</v>
      </c>
    </row>
    <row r="419">
      <c r="A419" s="6" t="str">
        <f>IFERROR(__xludf.DUMMYFUNCTION("""COMPUTED_VALUE"""),"181750275-5")</f>
        <v>181750275-5</v>
      </c>
      <c r="B419" s="6" t="str">
        <f>IFERROR(__xludf.DUMMYFUNCTION("""COMPUTED_VALUE"""),"181750275 - Approved")</f>
        <v>181750275 - Approved</v>
      </c>
      <c r="C419" s="6">
        <f>IFERROR(__xludf.DUMMYFUNCTION("""COMPUTED_VALUE"""),5.0)</f>
        <v>5</v>
      </c>
      <c r="D419" s="6" t="str">
        <f>IFERROR(__xludf.DUMMYFUNCTION("""COMPUTED_VALUE"""),"P-11694-00")</f>
        <v>P-11694-00</v>
      </c>
      <c r="E419" s="6" t="str">
        <f>IFERROR(__xludf.DUMMYFUNCTION("""COMPUTED_VALUE"""),"Mata Gerinda 4""")</f>
        <v>Mata Gerinda 4"</v>
      </c>
      <c r="F419" s="6">
        <f>IFERROR(__xludf.DUMMYFUNCTION("""COMPUTED_VALUE"""),5.0)</f>
        <v>5</v>
      </c>
      <c r="G419" s="6" t="str">
        <f>IFERROR(__xludf.DUMMYFUNCTION("""COMPUTED_VALUE"""),"Pieces")</f>
        <v>Pieces</v>
      </c>
      <c r="H419" s="6" t="str">
        <f>IFERROR(__xludf.DUMMYFUNCTION("""COMPUTED_VALUE"""),"IDR")</f>
        <v>IDR</v>
      </c>
      <c r="I419" s="11">
        <f>IFERROR(__xludf.DUMMYFUNCTION("""COMPUTED_VALUE"""),5000.0)</f>
        <v>5000</v>
      </c>
      <c r="J419" s="11">
        <f>IFERROR(__xludf.DUMMYFUNCTION("""COMPUTED_VALUE"""),25000.0)</f>
        <v>25000</v>
      </c>
      <c r="K419" s="13">
        <f>IFERROR(__xludf.DUMMYFUNCTION("""COMPUTED_VALUE"""),43336.0)</f>
        <v>43336</v>
      </c>
      <c r="L419" s="6" t="str">
        <f>IFERROR(__xludf.DUMMYFUNCTION("""COMPUTED_VALUE"""),"FIP General")</f>
        <v>FIP General</v>
      </c>
      <c r="M419" s="6" t="str">
        <f>IFERROR(__xludf.DUMMYFUNCTION("""COMPUTED_VALUE"""),"Joko Nugroho")</f>
        <v>Joko Nugroho</v>
      </c>
      <c r="N419" s="6" t="str">
        <f>IFERROR(__xludf.DUMMYFUNCTION("""COMPUTED_VALUE"""),"FIP Engineering")</f>
        <v>FIP Engineering</v>
      </c>
      <c r="O419" s="6" t="str">
        <f>IFERROR(__xludf.DUMMYFUNCTION("""COMPUTED_VALUE"""),"FIP-DOM-ENG-51404-0000000-INA-000000")</f>
        <v>FIP-DOM-ENG-51404-0000000-INA-000000</v>
      </c>
      <c r="P419" s="6" t="str">
        <f>IFERROR(__xludf.DUMMYFUNCTION("""COMPUTED_VALUE"""),"PO Closed")</f>
        <v>PO Closed</v>
      </c>
      <c r="Q419" s="6" t="str">
        <f>IFERROR(__xludf.DUMMYFUNCTION("""COMPUTED_VALUE"""),"GL1808029")</f>
        <v>GL1808029</v>
      </c>
      <c r="R419" s="16">
        <f>IFERROR(__xludf.DUMMYFUNCTION("""COMPUTED_VALUE"""),43321.0)</f>
        <v>43321</v>
      </c>
      <c r="S419" s="6" t="str">
        <f>IFERROR(__xludf.DUMMYFUNCTION("""COMPUTED_VALUE"""),"-")</f>
        <v>-</v>
      </c>
      <c r="T419" s="13">
        <f>IFERROR(__xludf.DUMMYFUNCTION("""COMPUTED_VALUE"""),43327.0)</f>
        <v>43327</v>
      </c>
    </row>
    <row r="420">
      <c r="A420" s="6" t="str">
        <f>IFERROR(__xludf.DUMMYFUNCTION("""COMPUTED_VALUE"""),"181750275-5")</f>
        <v>181750275-5</v>
      </c>
      <c r="B420" s="6" t="str">
        <f>IFERROR(__xludf.DUMMYFUNCTION("""COMPUTED_VALUE"""),"181750275 - Approved")</f>
        <v>181750275 - Approved</v>
      </c>
      <c r="C420" s="6">
        <f>IFERROR(__xludf.DUMMYFUNCTION("""COMPUTED_VALUE"""),5.0)</f>
        <v>5</v>
      </c>
      <c r="D420" s="6" t="str">
        <f>IFERROR(__xludf.DUMMYFUNCTION("""COMPUTED_VALUE"""),"P-10952-00")</f>
        <v>P-10952-00</v>
      </c>
      <c r="E420" s="6" t="str">
        <f>IFERROR(__xludf.DUMMYFUNCTION("""COMPUTED_VALUE"""),"Kawat Las Dia = 3,2 X 350 mm Besi RD 260")</f>
        <v>Kawat Las Dia = 3,2 X 350 mm Besi RD 260</v>
      </c>
      <c r="F420" s="6">
        <f>IFERROR(__xludf.DUMMYFUNCTION("""COMPUTED_VALUE"""),1.0)</f>
        <v>1</v>
      </c>
      <c r="G420" s="6" t="str">
        <f>IFERROR(__xludf.DUMMYFUNCTION("""COMPUTED_VALUE"""),"Pieces")</f>
        <v>Pieces</v>
      </c>
      <c r="H420" s="6" t="str">
        <f>IFERROR(__xludf.DUMMYFUNCTION("""COMPUTED_VALUE"""),"IDR")</f>
        <v>IDR</v>
      </c>
      <c r="I420" s="11">
        <f>IFERROR(__xludf.DUMMYFUNCTION("""COMPUTED_VALUE"""),32000.0)</f>
        <v>32000</v>
      </c>
      <c r="J420" s="11">
        <f>IFERROR(__xludf.DUMMYFUNCTION("""COMPUTED_VALUE"""),32000.0)</f>
        <v>32000</v>
      </c>
      <c r="K420" s="13">
        <f>IFERROR(__xludf.DUMMYFUNCTION("""COMPUTED_VALUE"""),43336.0)</f>
        <v>43336</v>
      </c>
      <c r="L420" s="6" t="str">
        <f>IFERROR(__xludf.DUMMYFUNCTION("""COMPUTED_VALUE"""),"FIP Engineering")</f>
        <v>FIP Engineering</v>
      </c>
      <c r="M420" s="6" t="str">
        <f>IFERROR(__xludf.DUMMYFUNCTION("""COMPUTED_VALUE"""),"Joko Nugroho")</f>
        <v>Joko Nugroho</v>
      </c>
      <c r="N420" s="6" t="str">
        <f>IFERROR(__xludf.DUMMYFUNCTION("""COMPUTED_VALUE"""),"FIP Engineering")</f>
        <v>FIP Engineering</v>
      </c>
      <c r="O420" s="6" t="str">
        <f>IFERROR(__xludf.DUMMYFUNCTION("""COMPUTED_VALUE"""),"FIP-DOM-000-11304-OS00001-INA-000000")</f>
        <v>FIP-DOM-000-11304-OS00001-INA-000000</v>
      </c>
      <c r="P420" s="6" t="str">
        <f>IFERROR(__xludf.DUMMYFUNCTION("""COMPUTED_VALUE"""),"PO Closed")</f>
        <v>PO Closed</v>
      </c>
      <c r="Q420" s="6" t="str">
        <f>IFERROR(__xludf.DUMMYFUNCTION("""COMPUTED_VALUE"""),"GL1808029")</f>
        <v>GL1808029</v>
      </c>
      <c r="R420" s="16">
        <f>IFERROR(__xludf.DUMMYFUNCTION("""COMPUTED_VALUE"""),43321.0)</f>
        <v>43321</v>
      </c>
      <c r="S420" s="6" t="str">
        <f>IFERROR(__xludf.DUMMYFUNCTION("""COMPUTED_VALUE"""),"-")</f>
        <v>-</v>
      </c>
      <c r="T420" s="13">
        <f>IFERROR(__xludf.DUMMYFUNCTION("""COMPUTED_VALUE"""),43327.0)</f>
        <v>43327</v>
      </c>
    </row>
    <row r="421">
      <c r="A421" s="6" t="str">
        <f>IFERROR(__xludf.DUMMYFUNCTION("""COMPUTED_VALUE"""),"181750275-6")</f>
        <v>181750275-6</v>
      </c>
      <c r="B421" s="6" t="str">
        <f>IFERROR(__xludf.DUMMYFUNCTION("""COMPUTED_VALUE"""),"181750275 - Approved")</f>
        <v>181750275 - Approved</v>
      </c>
      <c r="C421" s="6">
        <f>IFERROR(__xludf.DUMMYFUNCTION("""COMPUTED_VALUE"""),6.0)</f>
        <v>6</v>
      </c>
      <c r="D421" s="6" t="str">
        <f>IFERROR(__xludf.DUMMYFUNCTION("""COMPUTED_VALUE"""),"P-51236-00")</f>
        <v>P-51236-00</v>
      </c>
      <c r="E421" s="6" t="str">
        <f>IFERROR(__xludf.DUMMYFUNCTION("""COMPUTED_VALUE"""),"Skun ( I ) pin dia 0.75 mm")</f>
        <v>Skun ( I ) pin dia 0.75 mm</v>
      </c>
      <c r="F421" s="6">
        <f>IFERROR(__xludf.DUMMYFUNCTION("""COMPUTED_VALUE"""),20.0)</f>
        <v>20</v>
      </c>
      <c r="G421" s="6" t="str">
        <f>IFERROR(__xludf.DUMMYFUNCTION("""COMPUTED_VALUE"""),"Pieces")</f>
        <v>Pieces</v>
      </c>
      <c r="H421" s="6" t="str">
        <f>IFERROR(__xludf.DUMMYFUNCTION("""COMPUTED_VALUE"""),"IDR")</f>
        <v>IDR</v>
      </c>
      <c r="I421" s="11">
        <f>IFERROR(__xludf.DUMMYFUNCTION("""COMPUTED_VALUE"""),1000.0)</f>
        <v>1000</v>
      </c>
      <c r="J421" s="11">
        <f>IFERROR(__xludf.DUMMYFUNCTION("""COMPUTED_VALUE"""),20000.0)</f>
        <v>20000</v>
      </c>
      <c r="K421" s="13">
        <f>IFERROR(__xludf.DUMMYFUNCTION("""COMPUTED_VALUE"""),43336.0)</f>
        <v>43336</v>
      </c>
      <c r="L421" s="6" t="str">
        <f>IFERROR(__xludf.DUMMYFUNCTION("""COMPUTED_VALUE"""),"FIP Engineering")</f>
        <v>FIP Engineering</v>
      </c>
      <c r="M421" s="6" t="str">
        <f>IFERROR(__xludf.DUMMYFUNCTION("""COMPUTED_VALUE"""),"Joko Nugroho")</f>
        <v>Joko Nugroho</v>
      </c>
      <c r="N421" s="6" t="str">
        <f>IFERROR(__xludf.DUMMYFUNCTION("""COMPUTED_VALUE"""),"FIP Engineering")</f>
        <v>FIP Engineering</v>
      </c>
      <c r="O421" s="6" t="str">
        <f>IFERROR(__xludf.DUMMYFUNCTION("""COMPUTED_VALUE"""),"FIP-DOM-000-11304-OS00001-INA-000000")</f>
        <v>FIP-DOM-000-11304-OS00001-INA-000000</v>
      </c>
      <c r="P421" s="6" t="str">
        <f>IFERROR(__xludf.DUMMYFUNCTION("""COMPUTED_VALUE"""),"PO Closed")</f>
        <v>PO Closed</v>
      </c>
      <c r="Q421" s="6" t="str">
        <f>IFERROR(__xludf.DUMMYFUNCTION("""COMPUTED_VALUE"""),"GL1808029")</f>
        <v>GL1808029</v>
      </c>
      <c r="R421" s="16">
        <f>IFERROR(__xludf.DUMMYFUNCTION("""COMPUTED_VALUE"""),43321.0)</f>
        <v>43321</v>
      </c>
      <c r="S421" s="6" t="str">
        <f>IFERROR(__xludf.DUMMYFUNCTION("""COMPUTED_VALUE"""),"-")</f>
        <v>-</v>
      </c>
      <c r="T421" s="13">
        <f>IFERROR(__xludf.DUMMYFUNCTION("""COMPUTED_VALUE"""),43327.0)</f>
        <v>43327</v>
      </c>
    </row>
    <row r="422">
      <c r="A422" s="6" t="str">
        <f>IFERROR(__xludf.DUMMYFUNCTION("""COMPUTED_VALUE"""),"181750274-10")</f>
        <v>181750274-10</v>
      </c>
      <c r="B422" s="6" t="str">
        <f>IFERROR(__xludf.DUMMYFUNCTION("""COMPUTED_VALUE"""),"181750274 - Approved")</f>
        <v>181750274 - Approved</v>
      </c>
      <c r="C422" s="6">
        <f>IFERROR(__xludf.DUMMYFUNCTION("""COMPUTED_VALUE"""),10.0)</f>
        <v>10</v>
      </c>
      <c r="D422" s="6" t="str">
        <f>IFERROR(__xludf.DUMMYFUNCTION("""COMPUTED_VALUE"""),"P-13496-00")</f>
        <v>P-13496-00</v>
      </c>
      <c r="E422" s="6" t="str">
        <f>IFERROR(__xludf.DUMMYFUNCTION("""COMPUTED_VALUE"""),"Pipe Insulation; ; ;")</f>
        <v>Pipe Insulation; ; ;</v>
      </c>
      <c r="F422" s="6">
        <f>IFERROR(__xludf.DUMMYFUNCTION("""COMPUTED_VALUE"""),2.0)</f>
        <v>2</v>
      </c>
      <c r="G422" s="6" t="str">
        <f>IFERROR(__xludf.DUMMYFUNCTION("""COMPUTED_VALUE"""),"Pieces")</f>
        <v>Pieces</v>
      </c>
      <c r="H422" s="6" t="str">
        <f>IFERROR(__xludf.DUMMYFUNCTION("""COMPUTED_VALUE"""),"IDR")</f>
        <v>IDR</v>
      </c>
      <c r="I422" s="11">
        <f>IFERROR(__xludf.DUMMYFUNCTION("""COMPUTED_VALUE"""),20000.0)</f>
        <v>20000</v>
      </c>
      <c r="J422" s="11">
        <f>IFERROR(__xludf.DUMMYFUNCTION("""COMPUTED_VALUE"""),40000.0)</f>
        <v>40000</v>
      </c>
      <c r="K422" s="13">
        <f>IFERROR(__xludf.DUMMYFUNCTION("""COMPUTED_VALUE"""),43385.0)</f>
        <v>43385</v>
      </c>
      <c r="L422" s="6" t="str">
        <f>IFERROR(__xludf.DUMMYFUNCTION("""COMPUTED_VALUE"""),"FIP General")</f>
        <v>FIP General</v>
      </c>
      <c r="M422" s="6" t="str">
        <f>IFERROR(__xludf.DUMMYFUNCTION("""COMPUTED_VALUE"""),"Joko Nugroho")</f>
        <v>Joko Nugroho</v>
      </c>
      <c r="N422" s="6" t="str">
        <f>IFERROR(__xludf.DUMMYFUNCTION("""COMPUTED_VALUE"""),"FIP Engineering")</f>
        <v>FIP Engineering</v>
      </c>
      <c r="O422" s="6" t="str">
        <f>IFERROR(__xludf.DUMMYFUNCTION("""COMPUTED_VALUE"""),"FIP-DOM-ENG-51404-0000000-INA-000000")</f>
        <v>FIP-DOM-ENG-51404-0000000-INA-000000</v>
      </c>
      <c r="P422" s="6" t="str">
        <f>IFERROR(__xludf.DUMMYFUNCTION("""COMPUTED_VALUE"""),"PO Closed")</f>
        <v>PO Closed</v>
      </c>
      <c r="Q422" s="6" t="str">
        <f>IFERROR(__xludf.DUMMYFUNCTION("""COMPUTED_VALUE"""),"GL1810013")</f>
        <v>GL1810013</v>
      </c>
      <c r="R422" s="16">
        <f>IFERROR(__xludf.DUMMYFUNCTION("""COMPUTED_VALUE"""),43321.0)</f>
        <v>43321</v>
      </c>
      <c r="S422" s="6" t="str">
        <f>IFERROR(__xludf.DUMMYFUNCTION("""COMPUTED_VALUE"""),"-")</f>
        <v>-</v>
      </c>
      <c r="T422" s="13">
        <f>IFERROR(__xludf.DUMMYFUNCTION("""COMPUTED_VALUE"""),43404.0)</f>
        <v>43404</v>
      </c>
    </row>
    <row r="423">
      <c r="A423" s="6" t="str">
        <f>IFERROR(__xludf.DUMMYFUNCTION("""COMPUTED_VALUE"""),"181750274-10")</f>
        <v>181750274-10</v>
      </c>
      <c r="B423" s="6" t="str">
        <f>IFERROR(__xludf.DUMMYFUNCTION("""COMPUTED_VALUE"""),"181750274 - Approved")</f>
        <v>181750274 - Approved</v>
      </c>
      <c r="C423" s="6">
        <f>IFERROR(__xludf.DUMMYFUNCTION("""COMPUTED_VALUE"""),10.0)</f>
        <v>10</v>
      </c>
      <c r="D423" s="6" t="str">
        <f>IFERROR(__xludf.DUMMYFUNCTION("""COMPUTED_VALUE"""),"P-13497-00")</f>
        <v>P-13497-00</v>
      </c>
      <c r="E423" s="6" t="str">
        <f>IFERROR(__xludf.DUMMYFUNCTION("""COMPUTED_VALUE"""),"Engsel Piano SS; ; ;")</f>
        <v>Engsel Piano SS; ; ;</v>
      </c>
      <c r="F423" s="6">
        <f>IFERROR(__xludf.DUMMYFUNCTION("""COMPUTED_VALUE"""),1.0)</f>
        <v>1</v>
      </c>
      <c r="G423" s="6" t="str">
        <f>IFERROR(__xludf.DUMMYFUNCTION("""COMPUTED_VALUE"""),"Pieces")</f>
        <v>Pieces</v>
      </c>
      <c r="H423" s="6" t="str">
        <f>IFERROR(__xludf.DUMMYFUNCTION("""COMPUTED_VALUE"""),"IDR")</f>
        <v>IDR</v>
      </c>
      <c r="I423" s="11">
        <f>IFERROR(__xludf.DUMMYFUNCTION("""COMPUTED_VALUE"""),175000.0)</f>
        <v>175000</v>
      </c>
      <c r="J423" s="11">
        <f>IFERROR(__xludf.DUMMYFUNCTION("""COMPUTED_VALUE"""),175000.0)</f>
        <v>175000</v>
      </c>
      <c r="K423" s="13">
        <f>IFERROR(__xludf.DUMMYFUNCTION("""COMPUTED_VALUE"""),43385.0)</f>
        <v>43385</v>
      </c>
      <c r="L423" s="6" t="str">
        <f>IFERROR(__xludf.DUMMYFUNCTION("""COMPUTED_VALUE"""),"FIP General")</f>
        <v>FIP General</v>
      </c>
      <c r="M423" s="6" t="str">
        <f>IFERROR(__xludf.DUMMYFUNCTION("""COMPUTED_VALUE"""),"Joko Nugroho")</f>
        <v>Joko Nugroho</v>
      </c>
      <c r="N423" s="6" t="str">
        <f>IFERROR(__xludf.DUMMYFUNCTION("""COMPUTED_VALUE"""),"FIP Engineering")</f>
        <v>FIP Engineering</v>
      </c>
      <c r="O423" s="6" t="str">
        <f>IFERROR(__xludf.DUMMYFUNCTION("""COMPUTED_VALUE"""),"FIP-DOM-ENG-51404-0000000-INA-000000")</f>
        <v>FIP-DOM-ENG-51404-0000000-INA-000000</v>
      </c>
      <c r="P423" s="6" t="str">
        <f>IFERROR(__xludf.DUMMYFUNCTION("""COMPUTED_VALUE"""),"PO Closed")</f>
        <v>PO Closed</v>
      </c>
      <c r="Q423" s="6" t="str">
        <f>IFERROR(__xludf.DUMMYFUNCTION("""COMPUTED_VALUE"""),"GL1810013")</f>
        <v>GL1810013</v>
      </c>
      <c r="R423" s="16">
        <f>IFERROR(__xludf.DUMMYFUNCTION("""COMPUTED_VALUE"""),43321.0)</f>
        <v>43321</v>
      </c>
      <c r="S423" s="6" t="str">
        <f>IFERROR(__xludf.DUMMYFUNCTION("""COMPUTED_VALUE"""),"-")</f>
        <v>-</v>
      </c>
      <c r="T423" s="13">
        <f>IFERROR(__xludf.DUMMYFUNCTION("""COMPUTED_VALUE"""),43404.0)</f>
        <v>43404</v>
      </c>
    </row>
    <row r="424">
      <c r="A424" s="6" t="str">
        <f>IFERROR(__xludf.DUMMYFUNCTION("""COMPUTED_VALUE"""),"181750274-10")</f>
        <v>181750274-10</v>
      </c>
      <c r="B424" s="6" t="str">
        <f>IFERROR(__xludf.DUMMYFUNCTION("""COMPUTED_VALUE"""),"181750274 - Approved")</f>
        <v>181750274 - Approved</v>
      </c>
      <c r="C424" s="6">
        <f>IFERROR(__xludf.DUMMYFUNCTION("""COMPUTED_VALUE"""),10.0)</f>
        <v>10</v>
      </c>
      <c r="D424" s="6" t="str">
        <f>IFERROR(__xludf.DUMMYFUNCTION("""COMPUTED_VALUE"""),"P-13502-00")</f>
        <v>P-13502-00</v>
      </c>
      <c r="E424" s="6" t="str">
        <f>IFERROR(__xludf.DUMMYFUNCTION("""COMPUTED_VALUE"""),"Thread pipa SUS304 3/4 inch; ; ;")</f>
        <v>Thread pipa SUS304 3/4 inch; ; ;</v>
      </c>
      <c r="F424" s="6">
        <f>IFERROR(__xludf.DUMMYFUNCTION("""COMPUTED_VALUE"""),7.0)</f>
        <v>7</v>
      </c>
      <c r="G424" s="6" t="str">
        <f>IFERROR(__xludf.DUMMYFUNCTION("""COMPUTED_VALUE"""),"Pieces")</f>
        <v>Pieces</v>
      </c>
      <c r="H424" s="6" t="str">
        <f>IFERROR(__xludf.DUMMYFUNCTION("""COMPUTED_VALUE"""),"IDR")</f>
        <v>IDR</v>
      </c>
      <c r="I424" s="11">
        <f>IFERROR(__xludf.DUMMYFUNCTION("""COMPUTED_VALUE"""),85000.0)</f>
        <v>85000</v>
      </c>
      <c r="J424" s="11">
        <f>IFERROR(__xludf.DUMMYFUNCTION("""COMPUTED_VALUE"""),595000.0)</f>
        <v>595000</v>
      </c>
      <c r="K424" s="13">
        <f>IFERROR(__xludf.DUMMYFUNCTION("""COMPUTED_VALUE"""),43385.0)</f>
        <v>43385</v>
      </c>
      <c r="L424" s="6" t="str">
        <f>IFERROR(__xludf.DUMMYFUNCTION("""COMPUTED_VALUE"""),"FIP General")</f>
        <v>FIP General</v>
      </c>
      <c r="M424" s="6" t="str">
        <f>IFERROR(__xludf.DUMMYFUNCTION("""COMPUTED_VALUE"""),"Joko Nugroho")</f>
        <v>Joko Nugroho</v>
      </c>
      <c r="N424" s="6" t="str">
        <f>IFERROR(__xludf.DUMMYFUNCTION("""COMPUTED_VALUE"""),"FIP Engineering")</f>
        <v>FIP Engineering</v>
      </c>
      <c r="O424" s="6" t="str">
        <f>IFERROR(__xludf.DUMMYFUNCTION("""COMPUTED_VALUE"""),"FIP-DOM-ENG-51404-0000000-INA-000000")</f>
        <v>FIP-DOM-ENG-51404-0000000-INA-000000</v>
      </c>
      <c r="P424" s="6" t="str">
        <f>IFERROR(__xludf.DUMMYFUNCTION("""COMPUTED_VALUE"""),"PO Closed")</f>
        <v>PO Closed</v>
      </c>
      <c r="Q424" s="6" t="str">
        <f>IFERROR(__xludf.DUMMYFUNCTION("""COMPUTED_VALUE"""),"GL1810013")</f>
        <v>GL1810013</v>
      </c>
      <c r="R424" s="16">
        <f>IFERROR(__xludf.DUMMYFUNCTION("""COMPUTED_VALUE"""),43321.0)</f>
        <v>43321</v>
      </c>
      <c r="S424" s="6" t="str">
        <f>IFERROR(__xludf.DUMMYFUNCTION("""COMPUTED_VALUE"""),"-")</f>
        <v>-</v>
      </c>
      <c r="T424" s="13">
        <f>IFERROR(__xludf.DUMMYFUNCTION("""COMPUTED_VALUE"""),43404.0)</f>
        <v>43404</v>
      </c>
    </row>
    <row r="425">
      <c r="A425" s="6" t="str">
        <f>IFERROR(__xludf.DUMMYFUNCTION("""COMPUTED_VALUE"""),"181750274-10")</f>
        <v>181750274-10</v>
      </c>
      <c r="B425" s="6" t="str">
        <f>IFERROR(__xludf.DUMMYFUNCTION("""COMPUTED_VALUE"""),"181750274 - Approved")</f>
        <v>181750274 - Approved</v>
      </c>
      <c r="C425" s="6">
        <f>IFERROR(__xludf.DUMMYFUNCTION("""COMPUTED_VALUE"""),10.0)</f>
        <v>10</v>
      </c>
      <c r="D425" s="6" t="str">
        <f>IFERROR(__xludf.DUMMYFUNCTION("""COMPUTED_VALUE"""),"P-12951-00")</f>
        <v>P-12951-00</v>
      </c>
      <c r="E425" s="6" t="str">
        <f>IFERROR(__xludf.DUMMYFUNCTION("""COMPUTED_VALUE"""),"Water mur SS 304 dia 3/4inch")</f>
        <v>Water mur SS 304 dia 3/4inch</v>
      </c>
      <c r="F425" s="6">
        <f>IFERROR(__xludf.DUMMYFUNCTION("""COMPUTED_VALUE"""),2.0)</f>
        <v>2</v>
      </c>
      <c r="G425" s="6" t="str">
        <f>IFERROR(__xludf.DUMMYFUNCTION("""COMPUTED_VALUE"""),"Pieces")</f>
        <v>Pieces</v>
      </c>
      <c r="H425" s="6" t="str">
        <f>IFERROR(__xludf.DUMMYFUNCTION("""COMPUTED_VALUE"""),"IDR")</f>
        <v>IDR</v>
      </c>
      <c r="I425" s="11">
        <f>IFERROR(__xludf.DUMMYFUNCTION("""COMPUTED_VALUE"""),85000.0)</f>
        <v>85000</v>
      </c>
      <c r="J425" s="11">
        <f>IFERROR(__xludf.DUMMYFUNCTION("""COMPUTED_VALUE"""),170000.0)</f>
        <v>170000</v>
      </c>
      <c r="K425" s="13">
        <f>IFERROR(__xludf.DUMMYFUNCTION("""COMPUTED_VALUE"""),43385.0)</f>
        <v>43385</v>
      </c>
      <c r="L425" s="6" t="str">
        <f>IFERROR(__xludf.DUMMYFUNCTION("""COMPUTED_VALUE"""),"FIP General")</f>
        <v>FIP General</v>
      </c>
      <c r="M425" s="6" t="str">
        <f>IFERROR(__xludf.DUMMYFUNCTION("""COMPUTED_VALUE"""),"Joko Nugroho")</f>
        <v>Joko Nugroho</v>
      </c>
      <c r="N425" s="6" t="str">
        <f>IFERROR(__xludf.DUMMYFUNCTION("""COMPUTED_VALUE"""),"FIP Engineering")</f>
        <v>FIP Engineering</v>
      </c>
      <c r="O425" s="6" t="str">
        <f>IFERROR(__xludf.DUMMYFUNCTION("""COMPUTED_VALUE"""),"FIP-DOM-ENG-51404-0000000-INA-000000")</f>
        <v>FIP-DOM-ENG-51404-0000000-INA-000000</v>
      </c>
      <c r="P425" s="6" t="str">
        <f>IFERROR(__xludf.DUMMYFUNCTION("""COMPUTED_VALUE"""),"PO Closed")</f>
        <v>PO Closed</v>
      </c>
      <c r="Q425" s="6" t="str">
        <f>IFERROR(__xludf.DUMMYFUNCTION("""COMPUTED_VALUE"""),"GL1810013")</f>
        <v>GL1810013</v>
      </c>
      <c r="R425" s="16">
        <f>IFERROR(__xludf.DUMMYFUNCTION("""COMPUTED_VALUE"""),43321.0)</f>
        <v>43321</v>
      </c>
      <c r="S425" s="6" t="str">
        <f>IFERROR(__xludf.DUMMYFUNCTION("""COMPUTED_VALUE"""),"-")</f>
        <v>-</v>
      </c>
      <c r="T425" s="13">
        <f>IFERROR(__xludf.DUMMYFUNCTION("""COMPUTED_VALUE"""),43404.0)</f>
        <v>43404</v>
      </c>
    </row>
    <row r="426">
      <c r="A426" s="6" t="str">
        <f>IFERROR(__xludf.DUMMYFUNCTION("""COMPUTED_VALUE"""),"181750274-10")</f>
        <v>181750274-10</v>
      </c>
      <c r="B426" s="6" t="str">
        <f>IFERROR(__xludf.DUMMYFUNCTION("""COMPUTED_VALUE"""),"181750274 - Approved")</f>
        <v>181750274 - Approved</v>
      </c>
      <c r="C426" s="6">
        <f>IFERROR(__xludf.DUMMYFUNCTION("""COMPUTED_VALUE"""),10.0)</f>
        <v>10</v>
      </c>
      <c r="D426" s="6" t="str">
        <f>IFERROR(__xludf.DUMMYFUNCTION("""COMPUTED_VALUE"""),"P-13498-00")</f>
        <v>P-13498-00</v>
      </c>
      <c r="E426" s="6" t="str">
        <f>IFERROR(__xludf.DUMMYFUNCTION("""COMPUTED_VALUE"""),"Panel Lock MS603; ; ;")</f>
        <v>Panel Lock MS603; ; ;</v>
      </c>
      <c r="F426" s="6">
        <f>IFERROR(__xludf.DUMMYFUNCTION("""COMPUTED_VALUE"""),1.0)</f>
        <v>1</v>
      </c>
      <c r="G426" s="6" t="str">
        <f>IFERROR(__xludf.DUMMYFUNCTION("""COMPUTED_VALUE"""),"Pieces")</f>
        <v>Pieces</v>
      </c>
      <c r="H426" s="6" t="str">
        <f>IFERROR(__xludf.DUMMYFUNCTION("""COMPUTED_VALUE"""),"IDR")</f>
        <v>IDR</v>
      </c>
      <c r="I426" s="11">
        <f>IFERROR(__xludf.DUMMYFUNCTION("""COMPUTED_VALUE"""),27500.0)</f>
        <v>27500</v>
      </c>
      <c r="J426" s="11">
        <f>IFERROR(__xludf.DUMMYFUNCTION("""COMPUTED_VALUE"""),27500.0)</f>
        <v>27500</v>
      </c>
      <c r="K426" s="13">
        <f>IFERROR(__xludf.DUMMYFUNCTION("""COMPUTED_VALUE"""),43385.0)</f>
        <v>43385</v>
      </c>
      <c r="L426" s="6" t="str">
        <f>IFERROR(__xludf.DUMMYFUNCTION("""COMPUTED_VALUE"""),"FIP General")</f>
        <v>FIP General</v>
      </c>
      <c r="M426" s="6" t="str">
        <f>IFERROR(__xludf.DUMMYFUNCTION("""COMPUTED_VALUE"""),"Joko Nugroho")</f>
        <v>Joko Nugroho</v>
      </c>
      <c r="N426" s="6" t="str">
        <f>IFERROR(__xludf.DUMMYFUNCTION("""COMPUTED_VALUE"""),"FIP Engineering")</f>
        <v>FIP Engineering</v>
      </c>
      <c r="O426" s="6" t="str">
        <f>IFERROR(__xludf.DUMMYFUNCTION("""COMPUTED_VALUE"""),"FIP-DOM-ENG-51404-0000000-INA-000000")</f>
        <v>FIP-DOM-ENG-51404-0000000-INA-000000</v>
      </c>
      <c r="P426" s="6" t="str">
        <f>IFERROR(__xludf.DUMMYFUNCTION("""COMPUTED_VALUE"""),"PO Closed")</f>
        <v>PO Closed</v>
      </c>
      <c r="Q426" s="6" t="str">
        <f>IFERROR(__xludf.DUMMYFUNCTION("""COMPUTED_VALUE"""),"GL1810013")</f>
        <v>GL1810013</v>
      </c>
      <c r="R426" s="16">
        <f>IFERROR(__xludf.DUMMYFUNCTION("""COMPUTED_VALUE"""),43321.0)</f>
        <v>43321</v>
      </c>
      <c r="S426" s="6" t="str">
        <f>IFERROR(__xludf.DUMMYFUNCTION("""COMPUTED_VALUE"""),"-")</f>
        <v>-</v>
      </c>
      <c r="T426" s="13">
        <f>IFERROR(__xludf.DUMMYFUNCTION("""COMPUTED_VALUE"""),43404.0)</f>
        <v>43404</v>
      </c>
    </row>
    <row r="427">
      <c r="A427" s="6" t="str">
        <f>IFERROR(__xludf.DUMMYFUNCTION("""COMPUTED_VALUE"""),"181750274-10")</f>
        <v>181750274-10</v>
      </c>
      <c r="B427" s="6" t="str">
        <f>IFERROR(__xludf.DUMMYFUNCTION("""COMPUTED_VALUE"""),"181750274 - Approved")</f>
        <v>181750274 - Approved</v>
      </c>
      <c r="C427" s="6">
        <f>IFERROR(__xludf.DUMMYFUNCTION("""COMPUTED_VALUE"""),10.0)</f>
        <v>10</v>
      </c>
      <c r="D427" s="6" t="str">
        <f>IFERROR(__xludf.DUMMYFUNCTION("""COMPUTED_VALUE"""),"S-40335-00")</f>
        <v>S-40335-00</v>
      </c>
      <c r="E427" s="6" t="str">
        <f>IFERROR(__xludf.DUMMYFUNCTION("""COMPUTED_VALUE"""),"Lem Insuflex Insulation; ; ;")</f>
        <v>Lem Insuflex Insulation; ; ;</v>
      </c>
      <c r="F427" s="6">
        <f>IFERROR(__xludf.DUMMYFUNCTION("""COMPUTED_VALUE"""),1.0)</f>
        <v>1</v>
      </c>
      <c r="G427" s="6" t="str">
        <f>IFERROR(__xludf.DUMMYFUNCTION("""COMPUTED_VALUE"""),"Can")</f>
        <v>Can</v>
      </c>
      <c r="H427" s="6" t="str">
        <f>IFERROR(__xludf.DUMMYFUNCTION("""COMPUTED_VALUE"""),"IDR")</f>
        <v>IDR</v>
      </c>
      <c r="I427" s="11">
        <f>IFERROR(__xludf.DUMMYFUNCTION("""COMPUTED_VALUE"""),190000.0)</f>
        <v>190000</v>
      </c>
      <c r="J427" s="11">
        <f>IFERROR(__xludf.DUMMYFUNCTION("""COMPUTED_VALUE"""),190000.0)</f>
        <v>190000</v>
      </c>
      <c r="K427" s="13">
        <f>IFERROR(__xludf.DUMMYFUNCTION("""COMPUTED_VALUE"""),43385.0)</f>
        <v>43385</v>
      </c>
      <c r="L427" s="6" t="str">
        <f>IFERROR(__xludf.DUMMYFUNCTION("""COMPUTED_VALUE"""),"FIP General")</f>
        <v>FIP General</v>
      </c>
      <c r="M427" s="6" t="str">
        <f>IFERROR(__xludf.DUMMYFUNCTION("""COMPUTED_VALUE"""),"Joko Nugroho")</f>
        <v>Joko Nugroho</v>
      </c>
      <c r="N427" s="6" t="str">
        <f>IFERROR(__xludf.DUMMYFUNCTION("""COMPUTED_VALUE"""),"FIP Engineering")</f>
        <v>FIP Engineering</v>
      </c>
      <c r="O427" s="6" t="str">
        <f>IFERROR(__xludf.DUMMYFUNCTION("""COMPUTED_VALUE"""),"FIP-DOM-ENG-51404-0000000-INA-000000")</f>
        <v>FIP-DOM-ENG-51404-0000000-INA-000000</v>
      </c>
      <c r="P427" s="6" t="str">
        <f>IFERROR(__xludf.DUMMYFUNCTION("""COMPUTED_VALUE"""),"PO Closed")</f>
        <v>PO Closed</v>
      </c>
      <c r="Q427" s="6" t="str">
        <f>IFERROR(__xludf.DUMMYFUNCTION("""COMPUTED_VALUE"""),"GL1810013")</f>
        <v>GL1810013</v>
      </c>
      <c r="R427" s="16">
        <f>IFERROR(__xludf.DUMMYFUNCTION("""COMPUTED_VALUE"""),43321.0)</f>
        <v>43321</v>
      </c>
      <c r="S427" s="6" t="str">
        <f>IFERROR(__xludf.DUMMYFUNCTION("""COMPUTED_VALUE"""),"-")</f>
        <v>-</v>
      </c>
      <c r="T427" s="13">
        <f>IFERROR(__xludf.DUMMYFUNCTION("""COMPUTED_VALUE"""),43404.0)</f>
        <v>43404</v>
      </c>
    </row>
    <row r="428">
      <c r="A428" s="6" t="str">
        <f>IFERROR(__xludf.DUMMYFUNCTION("""COMPUTED_VALUE"""),"181750274-10")</f>
        <v>181750274-10</v>
      </c>
      <c r="B428" s="6" t="str">
        <f>IFERROR(__xludf.DUMMYFUNCTION("""COMPUTED_VALUE"""),"181750274 - Approved")</f>
        <v>181750274 - Approved</v>
      </c>
      <c r="C428" s="6">
        <f>IFERROR(__xludf.DUMMYFUNCTION("""COMPUTED_VALUE"""),10.0)</f>
        <v>10</v>
      </c>
      <c r="D428" s="6" t="str">
        <f>IFERROR(__xludf.DUMMYFUNCTION("""COMPUTED_VALUE"""),"P-12456-00")</f>
        <v>P-12456-00</v>
      </c>
      <c r="E428" s="6" t="str">
        <f>IFERROR(__xludf.DUMMYFUNCTION("""COMPUTED_VALUE"""),"KITZ - Gate Valve dia 3/4inch")</f>
        <v>KITZ - Gate Valve dia 3/4inch</v>
      </c>
      <c r="F428" s="6">
        <f>IFERROR(__xludf.DUMMYFUNCTION("""COMPUTED_VALUE"""),3.0)</f>
        <v>3</v>
      </c>
      <c r="G428" s="6" t="str">
        <f>IFERROR(__xludf.DUMMYFUNCTION("""COMPUTED_VALUE"""),"Pieces")</f>
        <v>Pieces</v>
      </c>
      <c r="H428" s="6" t="str">
        <f>IFERROR(__xludf.DUMMYFUNCTION("""COMPUTED_VALUE"""),"IDR")</f>
        <v>IDR</v>
      </c>
      <c r="I428" s="11">
        <f>IFERROR(__xludf.DUMMYFUNCTION("""COMPUTED_VALUE"""),190000.0)</f>
        <v>190000</v>
      </c>
      <c r="J428" s="11">
        <f>IFERROR(__xludf.DUMMYFUNCTION("""COMPUTED_VALUE"""),570000.0)</f>
        <v>570000</v>
      </c>
      <c r="K428" s="13">
        <f>IFERROR(__xludf.DUMMYFUNCTION("""COMPUTED_VALUE"""),43385.0)</f>
        <v>43385</v>
      </c>
      <c r="L428" s="6" t="str">
        <f>IFERROR(__xludf.DUMMYFUNCTION("""COMPUTED_VALUE"""),"FIP General")</f>
        <v>FIP General</v>
      </c>
      <c r="M428" s="6" t="str">
        <f>IFERROR(__xludf.DUMMYFUNCTION("""COMPUTED_VALUE"""),"Joko Nugroho")</f>
        <v>Joko Nugroho</v>
      </c>
      <c r="N428" s="6" t="str">
        <f>IFERROR(__xludf.DUMMYFUNCTION("""COMPUTED_VALUE"""),"FIP Engineering")</f>
        <v>FIP Engineering</v>
      </c>
      <c r="O428" s="6" t="str">
        <f>IFERROR(__xludf.DUMMYFUNCTION("""COMPUTED_VALUE"""),"FIP-DOM-ENG-51404-0000000-INA-000000")</f>
        <v>FIP-DOM-ENG-51404-0000000-INA-000000</v>
      </c>
      <c r="P428" s="6" t="str">
        <f>IFERROR(__xludf.DUMMYFUNCTION("""COMPUTED_VALUE"""),"PO Closed")</f>
        <v>PO Closed</v>
      </c>
      <c r="Q428" s="6" t="str">
        <f>IFERROR(__xludf.DUMMYFUNCTION("""COMPUTED_VALUE"""),"GL1810013")</f>
        <v>GL1810013</v>
      </c>
      <c r="R428" s="16">
        <f>IFERROR(__xludf.DUMMYFUNCTION("""COMPUTED_VALUE"""),43321.0)</f>
        <v>43321</v>
      </c>
      <c r="S428" s="6" t="str">
        <f>IFERROR(__xludf.DUMMYFUNCTION("""COMPUTED_VALUE"""),"-")</f>
        <v>-</v>
      </c>
      <c r="T428" s="13">
        <f>IFERROR(__xludf.DUMMYFUNCTION("""COMPUTED_VALUE"""),43404.0)</f>
        <v>43404</v>
      </c>
    </row>
    <row r="429">
      <c r="A429" s="6" t="str">
        <f>IFERROR(__xludf.DUMMYFUNCTION("""COMPUTED_VALUE"""),"181750274-10")</f>
        <v>181750274-10</v>
      </c>
      <c r="B429" s="6" t="str">
        <f>IFERROR(__xludf.DUMMYFUNCTION("""COMPUTED_VALUE"""),"181750274 - Approved")</f>
        <v>181750274 - Approved</v>
      </c>
      <c r="C429" s="6">
        <f>IFERROR(__xludf.DUMMYFUNCTION("""COMPUTED_VALUE"""),10.0)</f>
        <v>10</v>
      </c>
      <c r="D429" s="6" t="str">
        <f>IFERROR(__xludf.DUMMYFUNCTION("""COMPUTED_VALUE"""),"P-13495-00")</f>
        <v>P-13495-00</v>
      </c>
      <c r="E429" s="6" t="str">
        <f>IFERROR(__xludf.DUMMYFUNCTION("""COMPUTED_VALUE"""),"Tee Conection Thread SS304 3/4 inch; ; ;")</f>
        <v>Tee Conection Thread SS304 3/4 inch; ; ;</v>
      </c>
      <c r="F429" s="6">
        <f>IFERROR(__xludf.DUMMYFUNCTION("""COMPUTED_VALUE"""),1.0)</f>
        <v>1</v>
      </c>
      <c r="G429" s="6" t="str">
        <f>IFERROR(__xludf.DUMMYFUNCTION("""COMPUTED_VALUE"""),"Pieces")</f>
        <v>Pieces</v>
      </c>
      <c r="H429" s="6" t="str">
        <f>IFERROR(__xludf.DUMMYFUNCTION("""COMPUTED_VALUE"""),"IDR")</f>
        <v>IDR</v>
      </c>
      <c r="I429" s="11">
        <f>IFERROR(__xludf.DUMMYFUNCTION("""COMPUTED_VALUE"""),45000.0)</f>
        <v>45000</v>
      </c>
      <c r="J429" s="11">
        <f>IFERROR(__xludf.DUMMYFUNCTION("""COMPUTED_VALUE"""),45000.0)</f>
        <v>45000</v>
      </c>
      <c r="K429" s="13">
        <f>IFERROR(__xludf.DUMMYFUNCTION("""COMPUTED_VALUE"""),43385.0)</f>
        <v>43385</v>
      </c>
      <c r="L429" s="6" t="str">
        <f>IFERROR(__xludf.DUMMYFUNCTION("""COMPUTED_VALUE"""),"FIP General")</f>
        <v>FIP General</v>
      </c>
      <c r="M429" s="6" t="str">
        <f>IFERROR(__xludf.DUMMYFUNCTION("""COMPUTED_VALUE"""),"Joko Nugroho")</f>
        <v>Joko Nugroho</v>
      </c>
      <c r="N429" s="6" t="str">
        <f>IFERROR(__xludf.DUMMYFUNCTION("""COMPUTED_VALUE"""),"FIP Engineering")</f>
        <v>FIP Engineering</v>
      </c>
      <c r="O429" s="6" t="str">
        <f>IFERROR(__xludf.DUMMYFUNCTION("""COMPUTED_VALUE"""),"FIP-DOM-ENG-51404-0000000-INA-000000")</f>
        <v>FIP-DOM-ENG-51404-0000000-INA-000000</v>
      </c>
      <c r="P429" s="6" t="str">
        <f>IFERROR(__xludf.DUMMYFUNCTION("""COMPUTED_VALUE"""),"PO Closed")</f>
        <v>PO Closed</v>
      </c>
      <c r="Q429" s="6" t="str">
        <f>IFERROR(__xludf.DUMMYFUNCTION("""COMPUTED_VALUE"""),"GL1810013")</f>
        <v>GL1810013</v>
      </c>
      <c r="R429" s="16">
        <f>IFERROR(__xludf.DUMMYFUNCTION("""COMPUTED_VALUE"""),43321.0)</f>
        <v>43321</v>
      </c>
      <c r="S429" s="6" t="str">
        <f>IFERROR(__xludf.DUMMYFUNCTION("""COMPUTED_VALUE"""),"-")</f>
        <v>-</v>
      </c>
      <c r="T429" s="13">
        <f>IFERROR(__xludf.DUMMYFUNCTION("""COMPUTED_VALUE"""),43404.0)</f>
        <v>43404</v>
      </c>
    </row>
    <row r="430">
      <c r="A430" s="6" t="str">
        <f>IFERROR(__xludf.DUMMYFUNCTION("""COMPUTED_VALUE"""),"181750273-13")</f>
        <v>181750273-13</v>
      </c>
      <c r="B430" s="6" t="str">
        <f>IFERROR(__xludf.DUMMYFUNCTION("""COMPUTED_VALUE"""),"181750273 - Approved")</f>
        <v>181750273 - Approved</v>
      </c>
      <c r="C430" s="6">
        <f>IFERROR(__xludf.DUMMYFUNCTION("""COMPUTED_VALUE"""),13.0)</f>
        <v>13</v>
      </c>
      <c r="D430" s="6" t="str">
        <f>IFERROR(__xludf.DUMMYFUNCTION("""COMPUTED_VALUE"""),"P-12185-00")</f>
        <v>P-12185-00</v>
      </c>
      <c r="E430" s="6" t="str">
        <f>IFERROR(__xludf.DUMMYFUNCTION("""COMPUTED_VALUE"""),"Elbow PVC AW 90 deg dia 1inch")</f>
        <v>Elbow PVC AW 90 deg dia 1inch</v>
      </c>
      <c r="F430" s="6">
        <f>IFERROR(__xludf.DUMMYFUNCTION("""COMPUTED_VALUE"""),4.0)</f>
        <v>4</v>
      </c>
      <c r="G430" s="6" t="str">
        <f>IFERROR(__xludf.DUMMYFUNCTION("""COMPUTED_VALUE"""),"Pieces")</f>
        <v>Pieces</v>
      </c>
      <c r="H430" s="6" t="str">
        <f>IFERROR(__xludf.DUMMYFUNCTION("""COMPUTED_VALUE"""),"IDR")</f>
        <v>IDR</v>
      </c>
      <c r="I430" s="11">
        <f>IFERROR(__xludf.DUMMYFUNCTION("""COMPUTED_VALUE"""),15000.0)</f>
        <v>15000</v>
      </c>
      <c r="J430" s="11">
        <f>IFERROR(__xludf.DUMMYFUNCTION("""COMPUTED_VALUE"""),60000.0)</f>
        <v>60000</v>
      </c>
      <c r="K430" s="13">
        <f>IFERROR(__xludf.DUMMYFUNCTION("""COMPUTED_VALUE"""),43339.0)</f>
        <v>43339</v>
      </c>
      <c r="L430" s="6" t="str">
        <f>IFERROR(__xludf.DUMMYFUNCTION("""COMPUTED_VALUE"""),"FIP General")</f>
        <v>FIP General</v>
      </c>
      <c r="M430" s="6" t="str">
        <f>IFERROR(__xludf.DUMMYFUNCTION("""COMPUTED_VALUE"""),"Joko Nugroho")</f>
        <v>Joko Nugroho</v>
      </c>
      <c r="N430" s="6" t="str">
        <f>IFERROR(__xludf.DUMMYFUNCTION("""COMPUTED_VALUE"""),"FIP Engineering")</f>
        <v>FIP Engineering</v>
      </c>
      <c r="O430" s="6" t="str">
        <f>IFERROR(__xludf.DUMMYFUNCTION("""COMPUTED_VALUE"""),"FIP-DOM-ENG-51404-0000000-INA-000000")</f>
        <v>FIP-DOM-ENG-51404-0000000-INA-000000</v>
      </c>
      <c r="P430" s="6" t="str">
        <f>IFERROR(__xludf.DUMMYFUNCTION("""COMPUTED_VALUE"""),"PO Closed")</f>
        <v>PO Closed</v>
      </c>
      <c r="Q430" s="6" t="str">
        <f>IFERROR(__xludf.DUMMYFUNCTION("""COMPUTED_VALUE"""),"GL1808034")</f>
        <v>GL1808034</v>
      </c>
      <c r="R430" s="16">
        <f>IFERROR(__xludf.DUMMYFUNCTION("""COMPUTED_VALUE"""),43321.0)</f>
        <v>43321</v>
      </c>
      <c r="S430" s="6" t="str">
        <f>IFERROR(__xludf.DUMMYFUNCTION("""COMPUTED_VALUE"""),"-")</f>
        <v>-</v>
      </c>
      <c r="T430" s="13">
        <f>IFERROR(__xludf.DUMMYFUNCTION("""COMPUTED_VALUE"""),43336.0)</f>
        <v>43336</v>
      </c>
    </row>
    <row r="431">
      <c r="A431" s="6" t="str">
        <f>IFERROR(__xludf.DUMMYFUNCTION("""COMPUTED_VALUE"""),"181750273-13")</f>
        <v>181750273-13</v>
      </c>
      <c r="B431" s="6" t="str">
        <f>IFERROR(__xludf.DUMMYFUNCTION("""COMPUTED_VALUE"""),"181750273 - Approved")</f>
        <v>181750273 - Approved</v>
      </c>
      <c r="C431" s="6">
        <f>IFERROR(__xludf.DUMMYFUNCTION("""COMPUTED_VALUE"""),13.0)</f>
        <v>13</v>
      </c>
      <c r="D431" s="6" t="str">
        <f>IFERROR(__xludf.DUMMYFUNCTION("""COMPUTED_VALUE"""),"P-12951-00")</f>
        <v>P-12951-00</v>
      </c>
      <c r="E431" s="6" t="str">
        <f>IFERROR(__xludf.DUMMYFUNCTION("""COMPUTED_VALUE"""),"Water mur SS 304 dia 3/4inch")</f>
        <v>Water mur SS 304 dia 3/4inch</v>
      </c>
      <c r="F431" s="6">
        <f>IFERROR(__xludf.DUMMYFUNCTION("""COMPUTED_VALUE"""),4.0)</f>
        <v>4</v>
      </c>
      <c r="G431" s="6" t="str">
        <f>IFERROR(__xludf.DUMMYFUNCTION("""COMPUTED_VALUE"""),"Pieces")</f>
        <v>Pieces</v>
      </c>
      <c r="H431" s="6" t="str">
        <f>IFERROR(__xludf.DUMMYFUNCTION("""COMPUTED_VALUE"""),"IDR")</f>
        <v>IDR</v>
      </c>
      <c r="I431" s="11">
        <f>IFERROR(__xludf.DUMMYFUNCTION("""COMPUTED_VALUE"""),55000.0)</f>
        <v>55000</v>
      </c>
      <c r="J431" s="11">
        <f>IFERROR(__xludf.DUMMYFUNCTION("""COMPUTED_VALUE"""),220000.0)</f>
        <v>220000</v>
      </c>
      <c r="K431" s="13">
        <f>IFERROR(__xludf.DUMMYFUNCTION("""COMPUTED_VALUE"""),43339.0)</f>
        <v>43339</v>
      </c>
      <c r="L431" s="6" t="str">
        <f>IFERROR(__xludf.DUMMYFUNCTION("""COMPUTED_VALUE"""),"FIP General")</f>
        <v>FIP General</v>
      </c>
      <c r="M431" s="6" t="str">
        <f>IFERROR(__xludf.DUMMYFUNCTION("""COMPUTED_VALUE"""),"Joko Nugroho")</f>
        <v>Joko Nugroho</v>
      </c>
      <c r="N431" s="6" t="str">
        <f>IFERROR(__xludf.DUMMYFUNCTION("""COMPUTED_VALUE"""),"FIP Engineering")</f>
        <v>FIP Engineering</v>
      </c>
      <c r="O431" s="6" t="str">
        <f>IFERROR(__xludf.DUMMYFUNCTION("""COMPUTED_VALUE"""),"FIP-DOM-ENG-51404-0000000-INA-000000")</f>
        <v>FIP-DOM-ENG-51404-0000000-INA-000000</v>
      </c>
      <c r="P431" s="6" t="str">
        <f>IFERROR(__xludf.DUMMYFUNCTION("""COMPUTED_VALUE"""),"PO Closed")</f>
        <v>PO Closed</v>
      </c>
      <c r="Q431" s="6" t="str">
        <f>IFERROR(__xludf.DUMMYFUNCTION("""COMPUTED_VALUE"""),"GL1808035")</f>
        <v>GL1808035</v>
      </c>
      <c r="R431" s="16">
        <f>IFERROR(__xludf.DUMMYFUNCTION("""COMPUTED_VALUE"""),43321.0)</f>
        <v>43321</v>
      </c>
      <c r="S431" s="6" t="str">
        <f>IFERROR(__xludf.DUMMYFUNCTION("""COMPUTED_VALUE"""),"-")</f>
        <v>-</v>
      </c>
      <c r="T431" s="17">
        <f>IFERROR(__xludf.DUMMYFUNCTION("""COMPUTED_VALUE"""),43339.0)</f>
        <v>43339</v>
      </c>
    </row>
    <row r="432">
      <c r="A432" s="6" t="str">
        <f>IFERROR(__xludf.DUMMYFUNCTION("""COMPUTED_VALUE"""),"181750273-13")</f>
        <v>181750273-13</v>
      </c>
      <c r="B432" s="6" t="str">
        <f>IFERROR(__xludf.DUMMYFUNCTION("""COMPUTED_VALUE"""),"181750273 - Approved")</f>
        <v>181750273 - Approved</v>
      </c>
      <c r="C432" s="6">
        <f>IFERROR(__xludf.DUMMYFUNCTION("""COMPUTED_VALUE"""),13.0)</f>
        <v>13</v>
      </c>
      <c r="D432" s="6" t="str">
        <f>IFERROR(__xludf.DUMMYFUNCTION("""COMPUTED_VALUE"""),"P-13499-00")</f>
        <v>P-13499-00</v>
      </c>
      <c r="E432" s="6" t="str">
        <f>IFERROR(__xludf.DUMMYFUNCTION("""COMPUTED_VALUE"""),"DOP Pipa PVC 4.0 inch; ; ;")</f>
        <v>DOP Pipa PVC 4.0 inch; ; ;</v>
      </c>
      <c r="F432" s="6">
        <f>IFERROR(__xludf.DUMMYFUNCTION("""COMPUTED_VALUE"""),1.0)</f>
        <v>1</v>
      </c>
      <c r="G432" s="6" t="str">
        <f>IFERROR(__xludf.DUMMYFUNCTION("""COMPUTED_VALUE"""),"Pieces")</f>
        <v>Pieces</v>
      </c>
      <c r="H432" s="6" t="str">
        <f>IFERROR(__xludf.DUMMYFUNCTION("""COMPUTED_VALUE"""),"IDR")</f>
        <v>IDR</v>
      </c>
      <c r="I432" s="11">
        <f>IFERROR(__xludf.DUMMYFUNCTION("""COMPUTED_VALUE"""),35000.0)</f>
        <v>35000</v>
      </c>
      <c r="J432" s="11">
        <f>IFERROR(__xludf.DUMMYFUNCTION("""COMPUTED_VALUE"""),35000.0)</f>
        <v>35000</v>
      </c>
      <c r="K432" s="13">
        <f>IFERROR(__xludf.DUMMYFUNCTION("""COMPUTED_VALUE"""),43339.0)</f>
        <v>43339</v>
      </c>
      <c r="L432" s="6" t="str">
        <f>IFERROR(__xludf.DUMMYFUNCTION("""COMPUTED_VALUE"""),"FIP General")</f>
        <v>FIP General</v>
      </c>
      <c r="M432" s="6" t="str">
        <f>IFERROR(__xludf.DUMMYFUNCTION("""COMPUTED_VALUE"""),"Joko Nugroho")</f>
        <v>Joko Nugroho</v>
      </c>
      <c r="N432" s="6" t="str">
        <f>IFERROR(__xludf.DUMMYFUNCTION("""COMPUTED_VALUE"""),"FIP Engineering")</f>
        <v>FIP Engineering</v>
      </c>
      <c r="O432" s="6" t="str">
        <f>IFERROR(__xludf.DUMMYFUNCTION("""COMPUTED_VALUE"""),"FIP-DOM-ENG-51404-0000000-INA-000000")</f>
        <v>FIP-DOM-ENG-51404-0000000-INA-000000</v>
      </c>
      <c r="P432" s="6" t="str">
        <f>IFERROR(__xludf.DUMMYFUNCTION("""COMPUTED_VALUE"""),"PO Closed")</f>
        <v>PO Closed</v>
      </c>
      <c r="Q432" s="6" t="str">
        <f>IFERROR(__xludf.DUMMYFUNCTION("""COMPUTED_VALUE"""),"GL1808034")</f>
        <v>GL1808034</v>
      </c>
      <c r="R432" s="16">
        <f>IFERROR(__xludf.DUMMYFUNCTION("""COMPUTED_VALUE"""),43321.0)</f>
        <v>43321</v>
      </c>
      <c r="S432" s="6" t="str">
        <f>IFERROR(__xludf.DUMMYFUNCTION("""COMPUTED_VALUE"""),"-")</f>
        <v>-</v>
      </c>
      <c r="T432" s="13">
        <f>IFERROR(__xludf.DUMMYFUNCTION("""COMPUTED_VALUE"""),43336.0)</f>
        <v>43336</v>
      </c>
    </row>
    <row r="433">
      <c r="A433" s="6" t="str">
        <f>IFERROR(__xludf.DUMMYFUNCTION("""COMPUTED_VALUE"""),"181750273-13")</f>
        <v>181750273-13</v>
      </c>
      <c r="B433" s="6" t="str">
        <f>IFERROR(__xludf.DUMMYFUNCTION("""COMPUTED_VALUE"""),"181750273 - Approved")</f>
        <v>181750273 - Approved</v>
      </c>
      <c r="C433" s="6">
        <f>IFERROR(__xludf.DUMMYFUNCTION("""COMPUTED_VALUE"""),13.0)</f>
        <v>13</v>
      </c>
      <c r="D433" s="6" t="str">
        <f>IFERROR(__xludf.DUMMYFUNCTION("""COMPUTED_VALUE"""),"P-12749-00")</f>
        <v>P-12749-00</v>
      </c>
      <c r="E433" s="6" t="str">
        <f>IFERROR(__xludf.DUMMYFUNCTION("""COMPUTED_VALUE"""),"RUCIKA - Pipa PVC AW dia 1inch")</f>
        <v>RUCIKA - Pipa PVC AW dia 1inch</v>
      </c>
      <c r="F433" s="6">
        <f>IFERROR(__xludf.DUMMYFUNCTION("""COMPUTED_VALUE"""),1.0)</f>
        <v>1</v>
      </c>
      <c r="G433" s="6" t="str">
        <f>IFERROR(__xludf.DUMMYFUNCTION("""COMPUTED_VALUE"""),"Pieces")</f>
        <v>Pieces</v>
      </c>
      <c r="H433" s="6" t="str">
        <f>IFERROR(__xludf.DUMMYFUNCTION("""COMPUTED_VALUE"""),"IDR")</f>
        <v>IDR</v>
      </c>
      <c r="I433" s="11">
        <f>IFERROR(__xludf.DUMMYFUNCTION("""COMPUTED_VALUE"""),75000.0)</f>
        <v>75000</v>
      </c>
      <c r="J433" s="11">
        <f>IFERROR(__xludf.DUMMYFUNCTION("""COMPUTED_VALUE"""),75000.0)</f>
        <v>75000</v>
      </c>
      <c r="K433" s="13">
        <f>IFERROR(__xludf.DUMMYFUNCTION("""COMPUTED_VALUE"""),43339.0)</f>
        <v>43339</v>
      </c>
      <c r="L433" s="6" t="str">
        <f>IFERROR(__xludf.DUMMYFUNCTION("""COMPUTED_VALUE"""),"FIP Engineering")</f>
        <v>FIP Engineering</v>
      </c>
      <c r="M433" s="6" t="str">
        <f>IFERROR(__xludf.DUMMYFUNCTION("""COMPUTED_VALUE"""),"Joko Nugroho")</f>
        <v>Joko Nugroho</v>
      </c>
      <c r="N433" s="6" t="str">
        <f>IFERROR(__xludf.DUMMYFUNCTION("""COMPUTED_VALUE"""),"FIP Engineering")</f>
        <v>FIP Engineering</v>
      </c>
      <c r="O433" s="6" t="str">
        <f>IFERROR(__xludf.DUMMYFUNCTION("""COMPUTED_VALUE"""),"FIP-DOM-000-11304-OS00001-INA-000000")</f>
        <v>FIP-DOM-000-11304-OS00001-INA-000000</v>
      </c>
      <c r="P433" s="6" t="str">
        <f>IFERROR(__xludf.DUMMYFUNCTION("""COMPUTED_VALUE"""),"PO Closed")</f>
        <v>PO Closed</v>
      </c>
      <c r="Q433" s="6" t="str">
        <f>IFERROR(__xludf.DUMMYFUNCTION("""COMPUTED_VALUE"""),"GL1808034")</f>
        <v>GL1808034</v>
      </c>
      <c r="R433" s="16">
        <f>IFERROR(__xludf.DUMMYFUNCTION("""COMPUTED_VALUE"""),43321.0)</f>
        <v>43321</v>
      </c>
      <c r="S433" s="6" t="str">
        <f>IFERROR(__xludf.DUMMYFUNCTION("""COMPUTED_VALUE"""),"-")</f>
        <v>-</v>
      </c>
      <c r="T433" s="13">
        <f>IFERROR(__xludf.DUMMYFUNCTION("""COMPUTED_VALUE"""),43336.0)</f>
        <v>43336</v>
      </c>
    </row>
    <row r="434">
      <c r="A434" s="6" t="str">
        <f>IFERROR(__xludf.DUMMYFUNCTION("""COMPUTED_VALUE"""),"181750273-13")</f>
        <v>181750273-13</v>
      </c>
      <c r="B434" s="6" t="str">
        <f>IFERROR(__xludf.DUMMYFUNCTION("""COMPUTED_VALUE"""),"181750273 - Approved")</f>
        <v>181750273 - Approved</v>
      </c>
      <c r="C434" s="6">
        <f>IFERROR(__xludf.DUMMYFUNCTION("""COMPUTED_VALUE"""),13.0)</f>
        <v>13</v>
      </c>
      <c r="D434" s="6" t="str">
        <f>IFERROR(__xludf.DUMMYFUNCTION("""COMPUTED_VALUE"""),"P-10892-00")</f>
        <v>P-10892-00</v>
      </c>
      <c r="E434" s="6" t="str">
        <f>IFERROR(__xludf.DUMMYFUNCTION("""COMPUTED_VALUE"""),"Fitting PVC - SDL PVC 1""")</f>
        <v>Fitting PVC - SDL PVC 1"</v>
      </c>
      <c r="F434" s="6">
        <f>IFERROR(__xludf.DUMMYFUNCTION("""COMPUTED_VALUE"""),2.0)</f>
        <v>2</v>
      </c>
      <c r="G434" s="6" t="str">
        <f>IFERROR(__xludf.DUMMYFUNCTION("""COMPUTED_VALUE"""),"Pieces")</f>
        <v>Pieces</v>
      </c>
      <c r="H434" s="6" t="str">
        <f>IFERROR(__xludf.DUMMYFUNCTION("""COMPUTED_VALUE"""),"IDR")</f>
        <v>IDR</v>
      </c>
      <c r="I434" s="11">
        <f>IFERROR(__xludf.DUMMYFUNCTION("""COMPUTED_VALUE"""),15000.0)</f>
        <v>15000</v>
      </c>
      <c r="J434" s="11">
        <f>IFERROR(__xludf.DUMMYFUNCTION("""COMPUTED_VALUE"""),30000.0)</f>
        <v>30000</v>
      </c>
      <c r="K434" s="13">
        <f>IFERROR(__xludf.DUMMYFUNCTION("""COMPUTED_VALUE"""),43339.0)</f>
        <v>43339</v>
      </c>
      <c r="L434" s="6" t="str">
        <f>IFERROR(__xludf.DUMMYFUNCTION("""COMPUTED_VALUE"""),"FIP Engineering")</f>
        <v>FIP Engineering</v>
      </c>
      <c r="M434" s="6" t="str">
        <f>IFERROR(__xludf.DUMMYFUNCTION("""COMPUTED_VALUE"""),"Joko Nugroho")</f>
        <v>Joko Nugroho</v>
      </c>
      <c r="N434" s="6" t="str">
        <f>IFERROR(__xludf.DUMMYFUNCTION("""COMPUTED_VALUE"""),"FIP Engineering")</f>
        <v>FIP Engineering</v>
      </c>
      <c r="O434" s="6" t="str">
        <f>IFERROR(__xludf.DUMMYFUNCTION("""COMPUTED_VALUE"""),"FIP-DOM-000-11304-OS00001-INA-000000")</f>
        <v>FIP-DOM-000-11304-OS00001-INA-000000</v>
      </c>
      <c r="P434" s="6" t="str">
        <f>IFERROR(__xludf.DUMMYFUNCTION("""COMPUTED_VALUE"""),"PO Closed")</f>
        <v>PO Closed</v>
      </c>
      <c r="Q434" s="6" t="str">
        <f>IFERROR(__xludf.DUMMYFUNCTION("""COMPUTED_VALUE"""),"GL1808034")</f>
        <v>GL1808034</v>
      </c>
      <c r="R434" s="16">
        <f>IFERROR(__xludf.DUMMYFUNCTION("""COMPUTED_VALUE"""),43321.0)</f>
        <v>43321</v>
      </c>
      <c r="S434" s="6" t="str">
        <f>IFERROR(__xludf.DUMMYFUNCTION("""COMPUTED_VALUE"""),"-")</f>
        <v>-</v>
      </c>
      <c r="T434" s="13">
        <f>IFERROR(__xludf.DUMMYFUNCTION("""COMPUTED_VALUE"""),43336.0)</f>
        <v>43336</v>
      </c>
    </row>
    <row r="435">
      <c r="A435" s="6" t="str">
        <f>IFERROR(__xludf.DUMMYFUNCTION("""COMPUTED_VALUE"""),"181750273-13")</f>
        <v>181750273-13</v>
      </c>
      <c r="B435" s="6" t="str">
        <f>IFERROR(__xludf.DUMMYFUNCTION("""COMPUTED_VALUE"""),"181750273 - Approved")</f>
        <v>181750273 - Approved</v>
      </c>
      <c r="C435" s="6">
        <f>IFERROR(__xludf.DUMMYFUNCTION("""COMPUTED_VALUE"""),13.0)</f>
        <v>13</v>
      </c>
      <c r="D435" s="6" t="str">
        <f>IFERROR(__xludf.DUMMYFUNCTION("""COMPUTED_VALUE"""),"P-13501-00")</f>
        <v>P-13501-00</v>
      </c>
      <c r="E435" s="6" t="str">
        <f>IFERROR(__xludf.DUMMYFUNCTION("""COMPUTED_VALUE"""),"Pipa SCH10 SUS304 3/4 inch; ; ;")</f>
        <v>Pipa SCH10 SUS304 3/4 inch; ; ;</v>
      </c>
      <c r="F435" s="6">
        <f>IFERROR(__xludf.DUMMYFUNCTION("""COMPUTED_VALUE"""),1.0)</f>
        <v>1</v>
      </c>
      <c r="G435" s="6" t="str">
        <f>IFERROR(__xludf.DUMMYFUNCTION("""COMPUTED_VALUE"""),"Pieces")</f>
        <v>Pieces</v>
      </c>
      <c r="H435" s="6" t="str">
        <f>IFERROR(__xludf.DUMMYFUNCTION("""COMPUTED_VALUE"""),"IDR")</f>
        <v>IDR</v>
      </c>
      <c r="I435" s="11">
        <f>IFERROR(__xludf.DUMMYFUNCTION("""COMPUTED_VALUE"""),440000.0)</f>
        <v>440000</v>
      </c>
      <c r="J435" s="11">
        <f>IFERROR(__xludf.DUMMYFUNCTION("""COMPUTED_VALUE"""),440000.0)</f>
        <v>440000</v>
      </c>
      <c r="K435" s="13">
        <f>IFERROR(__xludf.DUMMYFUNCTION("""COMPUTED_VALUE"""),43339.0)</f>
        <v>43339</v>
      </c>
      <c r="L435" s="6" t="str">
        <f>IFERROR(__xludf.DUMMYFUNCTION("""COMPUTED_VALUE"""),"FIP General")</f>
        <v>FIP General</v>
      </c>
      <c r="M435" s="6" t="str">
        <f>IFERROR(__xludf.DUMMYFUNCTION("""COMPUTED_VALUE"""),"Joko Nugroho")</f>
        <v>Joko Nugroho</v>
      </c>
      <c r="N435" s="6" t="str">
        <f>IFERROR(__xludf.DUMMYFUNCTION("""COMPUTED_VALUE"""),"FIP Engineering")</f>
        <v>FIP Engineering</v>
      </c>
      <c r="O435" s="6" t="str">
        <f>IFERROR(__xludf.DUMMYFUNCTION("""COMPUTED_VALUE"""),"FIP-DOM-ENG-51404-0000000-INA-000000")</f>
        <v>FIP-DOM-ENG-51404-0000000-INA-000000</v>
      </c>
      <c r="P435" s="6" t="str">
        <f>IFERROR(__xludf.DUMMYFUNCTION("""COMPUTED_VALUE"""),"PO Closed")</f>
        <v>PO Closed</v>
      </c>
      <c r="Q435" s="6" t="str">
        <f>IFERROR(__xludf.DUMMYFUNCTION("""COMPUTED_VALUE"""),"GL1808035")</f>
        <v>GL1808035</v>
      </c>
      <c r="R435" s="16">
        <f>IFERROR(__xludf.DUMMYFUNCTION("""COMPUTED_VALUE"""),43321.0)</f>
        <v>43321</v>
      </c>
      <c r="S435" s="6" t="str">
        <f>IFERROR(__xludf.DUMMYFUNCTION("""COMPUTED_VALUE"""),"-")</f>
        <v>-</v>
      </c>
      <c r="T435" s="13">
        <f>IFERROR(__xludf.DUMMYFUNCTION("""COMPUTED_VALUE"""),43339.0)</f>
        <v>43339</v>
      </c>
    </row>
    <row r="436">
      <c r="A436" s="6" t="str">
        <f>IFERROR(__xludf.DUMMYFUNCTION("""COMPUTED_VALUE"""),"181750273-13")</f>
        <v>181750273-13</v>
      </c>
      <c r="B436" s="6" t="str">
        <f>IFERROR(__xludf.DUMMYFUNCTION("""COMPUTED_VALUE"""),"181750273 - Approved")</f>
        <v>181750273 - Approved</v>
      </c>
      <c r="C436" s="6">
        <f>IFERROR(__xludf.DUMMYFUNCTION("""COMPUTED_VALUE"""),13.0)</f>
        <v>13</v>
      </c>
      <c r="D436" s="6" t="str">
        <f>IFERROR(__xludf.DUMMYFUNCTION("""COMPUTED_VALUE"""),"P-10906-00")</f>
        <v>P-10906-00</v>
      </c>
      <c r="E436" s="6" t="str">
        <f>IFERROR(__xludf.DUMMYFUNCTION("""COMPUTED_VALUE"""),"Fitting PVC - Tee PVC 1"" Rucika AW")</f>
        <v>Fitting PVC - Tee PVC 1" Rucika AW</v>
      </c>
      <c r="F436" s="6">
        <f>IFERROR(__xludf.DUMMYFUNCTION("""COMPUTED_VALUE"""),3.0)</f>
        <v>3</v>
      </c>
      <c r="G436" s="6" t="str">
        <f>IFERROR(__xludf.DUMMYFUNCTION("""COMPUTED_VALUE"""),"Pieces")</f>
        <v>Pieces</v>
      </c>
      <c r="H436" s="6" t="str">
        <f>IFERROR(__xludf.DUMMYFUNCTION("""COMPUTED_VALUE"""),"IDR")</f>
        <v>IDR</v>
      </c>
      <c r="I436" s="11">
        <f>IFERROR(__xludf.DUMMYFUNCTION("""COMPUTED_VALUE"""),7200.0)</f>
        <v>7200</v>
      </c>
      <c r="J436" s="11">
        <f>IFERROR(__xludf.DUMMYFUNCTION("""COMPUTED_VALUE"""),21600.0)</f>
        <v>21600</v>
      </c>
      <c r="K436" s="13">
        <f>IFERROR(__xludf.DUMMYFUNCTION("""COMPUTED_VALUE"""),43339.0)</f>
        <v>43339</v>
      </c>
      <c r="L436" s="6" t="str">
        <f>IFERROR(__xludf.DUMMYFUNCTION("""COMPUTED_VALUE"""),"FIP Engineering")</f>
        <v>FIP Engineering</v>
      </c>
      <c r="M436" s="6" t="str">
        <f>IFERROR(__xludf.DUMMYFUNCTION("""COMPUTED_VALUE"""),"Joko Nugroho")</f>
        <v>Joko Nugroho</v>
      </c>
      <c r="N436" s="6" t="str">
        <f>IFERROR(__xludf.DUMMYFUNCTION("""COMPUTED_VALUE"""),"FIP Engineering")</f>
        <v>FIP Engineering</v>
      </c>
      <c r="O436" s="6" t="str">
        <f>IFERROR(__xludf.DUMMYFUNCTION("""COMPUTED_VALUE"""),"FIP-DOM-000-11304-OS00001-INA-000000")</f>
        <v>FIP-DOM-000-11304-OS00001-INA-000000</v>
      </c>
      <c r="P436" s="6" t="str">
        <f>IFERROR(__xludf.DUMMYFUNCTION("""COMPUTED_VALUE"""),"PO Closed")</f>
        <v>PO Closed</v>
      </c>
      <c r="Q436" s="6" t="str">
        <f>IFERROR(__xludf.DUMMYFUNCTION("""COMPUTED_VALUE"""),"GL1808034")</f>
        <v>GL1808034</v>
      </c>
      <c r="R436" s="16">
        <f>IFERROR(__xludf.DUMMYFUNCTION("""COMPUTED_VALUE"""),43321.0)</f>
        <v>43321</v>
      </c>
      <c r="S436" s="6" t="str">
        <f>IFERROR(__xludf.DUMMYFUNCTION("""COMPUTED_VALUE"""),"-")</f>
        <v>-</v>
      </c>
      <c r="T436" s="13">
        <f>IFERROR(__xludf.DUMMYFUNCTION("""COMPUTED_VALUE"""),43336.0)</f>
        <v>43336</v>
      </c>
    </row>
    <row r="437">
      <c r="A437" s="6" t="str">
        <f>IFERROR(__xludf.DUMMYFUNCTION("""COMPUTED_VALUE"""),"181750273-13")</f>
        <v>181750273-13</v>
      </c>
      <c r="B437" s="6" t="str">
        <f>IFERROR(__xludf.DUMMYFUNCTION("""COMPUTED_VALUE"""),"181750273 - Approved")</f>
        <v>181750273 - Approved</v>
      </c>
      <c r="C437" s="6">
        <f>IFERROR(__xludf.DUMMYFUNCTION("""COMPUTED_VALUE"""),13.0)</f>
        <v>13</v>
      </c>
      <c r="D437" s="6" t="str">
        <f>IFERROR(__xludf.DUMMYFUNCTION("""COMPUTED_VALUE"""),"P-13500-00")</f>
        <v>P-13500-00</v>
      </c>
      <c r="E437" s="6" t="str">
        <f>IFERROR(__xludf.DUMMYFUNCTION("""COMPUTED_VALUE"""),"Elbow SCH10 welded SUS304 3/4 inch; ; ;")</f>
        <v>Elbow SCH10 welded SUS304 3/4 inch; ; ;</v>
      </c>
      <c r="F437" s="6">
        <f>IFERROR(__xludf.DUMMYFUNCTION("""COMPUTED_VALUE"""),4.0)</f>
        <v>4</v>
      </c>
      <c r="G437" s="6" t="str">
        <f>IFERROR(__xludf.DUMMYFUNCTION("""COMPUTED_VALUE"""),"Pieces")</f>
        <v>Pieces</v>
      </c>
      <c r="H437" s="6" t="str">
        <f>IFERROR(__xludf.DUMMYFUNCTION("""COMPUTED_VALUE"""),"IDR")</f>
        <v>IDR</v>
      </c>
      <c r="I437" s="11">
        <f>IFERROR(__xludf.DUMMYFUNCTION("""COMPUTED_VALUE"""),45000.0)</f>
        <v>45000</v>
      </c>
      <c r="J437" s="11">
        <f>IFERROR(__xludf.DUMMYFUNCTION("""COMPUTED_VALUE"""),180000.0)</f>
        <v>180000</v>
      </c>
      <c r="K437" s="13">
        <f>IFERROR(__xludf.DUMMYFUNCTION("""COMPUTED_VALUE"""),43339.0)</f>
        <v>43339</v>
      </c>
      <c r="L437" s="6" t="str">
        <f>IFERROR(__xludf.DUMMYFUNCTION("""COMPUTED_VALUE"""),"FIP General")</f>
        <v>FIP General</v>
      </c>
      <c r="M437" s="6" t="str">
        <f>IFERROR(__xludf.DUMMYFUNCTION("""COMPUTED_VALUE"""),"Joko Nugroho")</f>
        <v>Joko Nugroho</v>
      </c>
      <c r="N437" s="6" t="str">
        <f>IFERROR(__xludf.DUMMYFUNCTION("""COMPUTED_VALUE"""),"FIP Engineering")</f>
        <v>FIP Engineering</v>
      </c>
      <c r="O437" s="6" t="str">
        <f>IFERROR(__xludf.DUMMYFUNCTION("""COMPUTED_VALUE"""),"FIP-DOM-ENG-51404-0000000-INA-000000")</f>
        <v>FIP-DOM-ENG-51404-0000000-INA-000000</v>
      </c>
      <c r="P437" s="6" t="str">
        <f>IFERROR(__xludf.DUMMYFUNCTION("""COMPUTED_VALUE"""),"PO Closed")</f>
        <v>PO Closed</v>
      </c>
      <c r="Q437" s="6" t="str">
        <f>IFERROR(__xludf.DUMMYFUNCTION("""COMPUTED_VALUE"""),"GL1808035")</f>
        <v>GL1808035</v>
      </c>
      <c r="R437" s="16">
        <f>IFERROR(__xludf.DUMMYFUNCTION("""COMPUTED_VALUE"""),43321.0)</f>
        <v>43321</v>
      </c>
      <c r="S437" s="6" t="str">
        <f>IFERROR(__xludf.DUMMYFUNCTION("""COMPUTED_VALUE"""),"-")</f>
        <v>-</v>
      </c>
      <c r="T437" s="13">
        <f>IFERROR(__xludf.DUMMYFUNCTION("""COMPUTED_VALUE"""),43339.0)</f>
        <v>43339</v>
      </c>
    </row>
    <row r="438">
      <c r="A438" s="6" t="str">
        <f>IFERROR(__xludf.DUMMYFUNCTION("""COMPUTED_VALUE"""),"181750273-13")</f>
        <v>181750273-13</v>
      </c>
      <c r="B438" s="6" t="str">
        <f>IFERROR(__xludf.DUMMYFUNCTION("""COMPUTED_VALUE"""),"181750273 - Approved")</f>
        <v>181750273 - Approved</v>
      </c>
      <c r="C438" s="6">
        <f>IFERROR(__xludf.DUMMYFUNCTION("""COMPUTED_VALUE"""),13.0)</f>
        <v>13</v>
      </c>
      <c r="D438" s="6" t="str">
        <f>IFERROR(__xludf.DUMMYFUNCTION("""COMPUTED_VALUE"""),"P-13502-00")</f>
        <v>P-13502-00</v>
      </c>
      <c r="E438" s="6" t="str">
        <f>IFERROR(__xludf.DUMMYFUNCTION("""COMPUTED_VALUE"""),"Thread pipa SUS304 3/4 inch; ; ;")</f>
        <v>Thread pipa SUS304 3/4 inch; ; ;</v>
      </c>
      <c r="F438" s="6">
        <f>IFERROR(__xludf.DUMMYFUNCTION("""COMPUTED_VALUE"""),8.0)</f>
        <v>8</v>
      </c>
      <c r="G438" s="6" t="str">
        <f>IFERROR(__xludf.DUMMYFUNCTION("""COMPUTED_VALUE"""),"Pieces")</f>
        <v>Pieces</v>
      </c>
      <c r="H438" s="6" t="str">
        <f>IFERROR(__xludf.DUMMYFUNCTION("""COMPUTED_VALUE"""),"IDR")</f>
        <v>IDR</v>
      </c>
      <c r="I438" s="11">
        <f>IFERROR(__xludf.DUMMYFUNCTION("""COMPUTED_VALUE"""),30000.0)</f>
        <v>30000</v>
      </c>
      <c r="J438" s="11">
        <f>IFERROR(__xludf.DUMMYFUNCTION("""COMPUTED_VALUE"""),240000.0)</f>
        <v>240000</v>
      </c>
      <c r="K438" s="13">
        <f>IFERROR(__xludf.DUMMYFUNCTION("""COMPUTED_VALUE"""),43339.0)</f>
        <v>43339</v>
      </c>
      <c r="L438" s="6" t="str">
        <f>IFERROR(__xludf.DUMMYFUNCTION("""COMPUTED_VALUE"""),"FIP General")</f>
        <v>FIP General</v>
      </c>
      <c r="M438" s="6" t="str">
        <f>IFERROR(__xludf.DUMMYFUNCTION("""COMPUTED_VALUE"""),"Joko Nugroho")</f>
        <v>Joko Nugroho</v>
      </c>
      <c r="N438" s="6" t="str">
        <f>IFERROR(__xludf.DUMMYFUNCTION("""COMPUTED_VALUE"""),"FIP Engineering")</f>
        <v>FIP Engineering</v>
      </c>
      <c r="O438" s="6" t="str">
        <f>IFERROR(__xludf.DUMMYFUNCTION("""COMPUTED_VALUE"""),"FIP-DOM-ENG-51404-0000000-INA-000000")</f>
        <v>FIP-DOM-ENG-51404-0000000-INA-000000</v>
      </c>
      <c r="P438" s="6" t="str">
        <f>IFERROR(__xludf.DUMMYFUNCTION("""COMPUTED_VALUE"""),"PO Closed")</f>
        <v>PO Closed</v>
      </c>
      <c r="Q438" s="6" t="str">
        <f>IFERROR(__xludf.DUMMYFUNCTION("""COMPUTED_VALUE"""),"GL1808035")</f>
        <v>GL1808035</v>
      </c>
      <c r="R438" s="16">
        <f>IFERROR(__xludf.DUMMYFUNCTION("""COMPUTED_VALUE"""),43321.0)</f>
        <v>43321</v>
      </c>
      <c r="S438" s="6" t="str">
        <f>IFERROR(__xludf.DUMMYFUNCTION("""COMPUTED_VALUE"""),"-")</f>
        <v>-</v>
      </c>
      <c r="T438" s="13">
        <f>IFERROR(__xludf.DUMMYFUNCTION("""COMPUTED_VALUE"""),43339.0)</f>
        <v>43339</v>
      </c>
    </row>
    <row r="439">
      <c r="A439" s="6" t="str">
        <f>IFERROR(__xludf.DUMMYFUNCTION("""COMPUTED_VALUE"""),"181750284-2")</f>
        <v>181750284-2</v>
      </c>
      <c r="B439" s="6" t="str">
        <f>IFERROR(__xludf.DUMMYFUNCTION("""COMPUTED_VALUE"""),"181750284 - Approved")</f>
        <v>181750284 - Approved</v>
      </c>
      <c r="C439" s="6">
        <f>IFERROR(__xludf.DUMMYFUNCTION("""COMPUTED_VALUE"""),2.0)</f>
        <v>2</v>
      </c>
      <c r="D439" s="6" t="str">
        <f>IFERROR(__xludf.DUMMYFUNCTION("""COMPUTED_VALUE"""),"O-16202-00")</f>
        <v>O-16202-00</v>
      </c>
      <c r="E439" s="6" t="str">
        <f>IFERROR(__xludf.DUMMYFUNCTION("""COMPUTED_VALUE"""),"TRANSFER PUMP; ; ;")</f>
        <v>TRANSFER PUMP; ; ;</v>
      </c>
      <c r="F439" s="6">
        <f>IFERROR(__xludf.DUMMYFUNCTION("""COMPUTED_VALUE"""),1.0)</f>
        <v>1</v>
      </c>
      <c r="G439" s="6" t="str">
        <f>IFERROR(__xludf.DUMMYFUNCTION("""COMPUTED_VALUE"""),"Unit")</f>
        <v>Unit</v>
      </c>
      <c r="H439" s="6" t="str">
        <f>IFERROR(__xludf.DUMMYFUNCTION("""COMPUTED_VALUE"""),"IDR")</f>
        <v>IDR</v>
      </c>
      <c r="I439" s="11">
        <f>IFERROR(__xludf.DUMMYFUNCTION("""COMPUTED_VALUE"""),5527000.0)</f>
        <v>5527000</v>
      </c>
      <c r="J439" s="11">
        <f>IFERROR(__xludf.DUMMYFUNCTION("""COMPUTED_VALUE"""),5527000.0)</f>
        <v>5527000</v>
      </c>
      <c r="K439" s="13">
        <f>IFERROR(__xludf.DUMMYFUNCTION("""COMPUTED_VALUE"""),43336.0)</f>
        <v>43336</v>
      </c>
      <c r="L439" s="6" t="str">
        <f>IFERROR(__xludf.DUMMYFUNCTION("""COMPUTED_VALUE"""),"FIP General")</f>
        <v>FIP General</v>
      </c>
      <c r="M439" s="6" t="str">
        <f>IFERROR(__xludf.DUMMYFUNCTION("""COMPUTED_VALUE"""),"Joko Nugroho")</f>
        <v>Joko Nugroho</v>
      </c>
      <c r="N439" s="6" t="str">
        <f>IFERROR(__xludf.DUMMYFUNCTION("""COMPUTED_VALUE"""),"FIP Engineering")</f>
        <v>FIP Engineering</v>
      </c>
      <c r="O439" s="6" t="str">
        <f>IFERROR(__xludf.DUMMYFUNCTION("""COMPUTED_VALUE"""),"FIP-DOM-ENG-51504-0000000-INA-000000")</f>
        <v>FIP-DOM-ENG-51504-0000000-INA-000000</v>
      </c>
      <c r="P439" s="6" t="str">
        <f>IFERROR(__xludf.DUMMYFUNCTION("""COMPUTED_VALUE"""),"PO Closed")</f>
        <v>PO Closed</v>
      </c>
      <c r="Q439" s="6" t="str">
        <f>IFERROR(__xludf.DUMMYFUNCTION("""COMPUTED_VALUE"""),"GL1808030")</f>
        <v>GL1808030</v>
      </c>
      <c r="R439" s="16">
        <f>IFERROR(__xludf.DUMMYFUNCTION("""COMPUTED_VALUE"""),43325.0)</f>
        <v>43325</v>
      </c>
      <c r="S439" s="6" t="str">
        <f>IFERROR(__xludf.DUMMYFUNCTION("""COMPUTED_VALUE"""),"-")</f>
        <v>-</v>
      </c>
      <c r="T439" s="13">
        <f>IFERROR(__xludf.DUMMYFUNCTION("""COMPUTED_VALUE"""),43328.0)</f>
        <v>43328</v>
      </c>
    </row>
    <row r="440">
      <c r="A440" s="6" t="str">
        <f>IFERROR(__xludf.DUMMYFUNCTION("""COMPUTED_VALUE"""),"181750287-1")</f>
        <v>181750287-1</v>
      </c>
      <c r="B440" s="6" t="str">
        <f>IFERROR(__xludf.DUMMYFUNCTION("""COMPUTED_VALUE"""),"181750287 - Approved")</f>
        <v>181750287 - Approved</v>
      </c>
      <c r="C440" s="6">
        <f>IFERROR(__xludf.DUMMYFUNCTION("""COMPUTED_VALUE"""),1.0)</f>
        <v>1</v>
      </c>
      <c r="D440" s="6" t="str">
        <f>IFERROR(__xludf.DUMMYFUNCTION("""COMPUTED_VALUE"""),"S-60002-00")</f>
        <v>S-60002-00</v>
      </c>
      <c r="E440" s="6" t="str">
        <f>IFERROR(__xludf.DUMMYFUNCTION("""COMPUTED_VALUE"""),"Service HP LaserJet M203-M206")</f>
        <v>Service HP LaserJet M203-M206</v>
      </c>
      <c r="F440" s="6">
        <f>IFERROR(__xludf.DUMMYFUNCTION("""COMPUTED_VALUE"""),1.0)</f>
        <v>1</v>
      </c>
      <c r="G440" s="6" t="str">
        <f>IFERROR(__xludf.DUMMYFUNCTION("""COMPUTED_VALUE"""),"Lot")</f>
        <v>Lot</v>
      </c>
      <c r="H440" s="6" t="str">
        <f>IFERROR(__xludf.DUMMYFUNCTION("""COMPUTED_VALUE"""),"IDR")</f>
        <v>IDR</v>
      </c>
      <c r="I440" s="11">
        <f>IFERROR(__xludf.DUMMYFUNCTION("""COMPUTED_VALUE"""),80000.0)</f>
        <v>80000</v>
      </c>
      <c r="J440" s="11">
        <f>IFERROR(__xludf.DUMMYFUNCTION("""COMPUTED_VALUE"""),80000.0)</f>
        <v>80000</v>
      </c>
      <c r="K440" s="13">
        <f>IFERROR(__xludf.DUMMYFUNCTION("""COMPUTED_VALUE"""),43343.0)</f>
        <v>43343</v>
      </c>
      <c r="L440" s="6" t="str">
        <f>IFERROR(__xludf.DUMMYFUNCTION("""COMPUTED_VALUE"""),"FIP General")</f>
        <v>FIP General</v>
      </c>
      <c r="M440" s="6" t="str">
        <f>IFERROR(__xludf.DUMMYFUNCTION("""COMPUTED_VALUE"""),"Joko Nugroho")</f>
        <v>Joko Nugroho</v>
      </c>
      <c r="N440" s="6" t="str">
        <f>IFERROR(__xludf.DUMMYFUNCTION("""COMPUTED_VALUE"""),"FIP Engineering")</f>
        <v>FIP Engineering</v>
      </c>
      <c r="O440" s="6" t="str">
        <f>IFERROR(__xludf.DUMMYFUNCTION("""COMPUTED_VALUE"""),"FIP-DOM-ENG-51508-0000000-INA-000000")</f>
        <v>FIP-DOM-ENG-51508-0000000-INA-000000</v>
      </c>
      <c r="P440" s="6" t="str">
        <f>IFERROR(__xludf.DUMMYFUNCTION("""COMPUTED_VALUE"""),"PO Closed")</f>
        <v>PO Closed</v>
      </c>
      <c r="Q440" s="6" t="str">
        <f>IFERROR(__xludf.DUMMYFUNCTION("""COMPUTED_VALUE"""),"GL1808048")</f>
        <v>GL1808048</v>
      </c>
      <c r="R440" s="16">
        <f>IFERROR(__xludf.DUMMYFUNCTION("""COMPUTED_VALUE"""),43326.0)</f>
        <v>43326</v>
      </c>
      <c r="S440" s="6" t="str">
        <f>IFERROR(__xludf.DUMMYFUNCTION("""COMPUTED_VALUE"""),"-")</f>
        <v>-</v>
      </c>
      <c r="T440" s="13">
        <f>IFERROR(__xludf.DUMMYFUNCTION("""COMPUTED_VALUE"""),43357.0)</f>
        <v>43357</v>
      </c>
    </row>
    <row r="441">
      <c r="A441" s="6" t="str">
        <f>IFERROR(__xludf.DUMMYFUNCTION("""COMPUTED_VALUE"""),"181750287-2")</f>
        <v>181750287-2</v>
      </c>
      <c r="B441" s="6" t="str">
        <f>IFERROR(__xludf.DUMMYFUNCTION("""COMPUTED_VALUE"""),"181750287 - Approved")</f>
        <v>181750287 - Approved</v>
      </c>
      <c r="C441" s="6">
        <f>IFERROR(__xludf.DUMMYFUNCTION("""COMPUTED_VALUE"""),2.0)</f>
        <v>2</v>
      </c>
      <c r="D441" s="6" t="str">
        <f>IFERROR(__xludf.DUMMYFUNCTION("""COMPUTED_VALUE"""),"S-60002-00")</f>
        <v>S-60002-00</v>
      </c>
      <c r="E441" s="6" t="str">
        <f>IFERROR(__xludf.DUMMYFUNCTION("""COMPUTED_VALUE"""),"Material untuk Service HP LaserJet M203-M206; SENSOR CARIEGE")</f>
        <v>Material untuk Service HP LaserJet M203-M206; SENSOR CARIEGE</v>
      </c>
      <c r="F441" s="6">
        <f>IFERROR(__xludf.DUMMYFUNCTION("""COMPUTED_VALUE"""),1.0)</f>
        <v>1</v>
      </c>
      <c r="G441" s="6" t="str">
        <f>IFERROR(__xludf.DUMMYFUNCTION("""COMPUTED_VALUE"""),"Lot")</f>
        <v>Lot</v>
      </c>
      <c r="H441" s="6" t="str">
        <f>IFERROR(__xludf.DUMMYFUNCTION("""COMPUTED_VALUE"""),"IDR")</f>
        <v>IDR</v>
      </c>
      <c r="I441" s="11">
        <f>IFERROR(__xludf.DUMMYFUNCTION("""COMPUTED_VALUE"""),200000.0)</f>
        <v>200000</v>
      </c>
      <c r="J441" s="11">
        <f>IFERROR(__xludf.DUMMYFUNCTION("""COMPUTED_VALUE"""),200000.0)</f>
        <v>200000</v>
      </c>
      <c r="K441" s="13">
        <f>IFERROR(__xludf.DUMMYFUNCTION("""COMPUTED_VALUE"""),43343.0)</f>
        <v>43343</v>
      </c>
      <c r="L441" s="6" t="str">
        <f>IFERROR(__xludf.DUMMYFUNCTION("""COMPUTED_VALUE"""),"FIP General")</f>
        <v>FIP General</v>
      </c>
      <c r="M441" s="6" t="str">
        <f>IFERROR(__xludf.DUMMYFUNCTION("""COMPUTED_VALUE"""),"Joko Nugroho")</f>
        <v>Joko Nugroho</v>
      </c>
      <c r="N441" s="6" t="str">
        <f>IFERROR(__xludf.DUMMYFUNCTION("""COMPUTED_VALUE"""),"FIP Engineering")</f>
        <v>FIP Engineering</v>
      </c>
      <c r="O441" s="6" t="str">
        <f>IFERROR(__xludf.DUMMYFUNCTION("""COMPUTED_VALUE"""),"FIP-DOM-ENG-51508-0000000-INA-000000")</f>
        <v>FIP-DOM-ENG-51508-0000000-INA-000000</v>
      </c>
      <c r="P441" s="6" t="str">
        <f>IFERROR(__xludf.DUMMYFUNCTION("""COMPUTED_VALUE"""),"PO Closed")</f>
        <v>PO Closed</v>
      </c>
      <c r="Q441" s="6" t="str">
        <f>IFERROR(__xludf.DUMMYFUNCTION("""COMPUTED_VALUE"""),"GL1808048")</f>
        <v>GL1808048</v>
      </c>
      <c r="R441" s="16">
        <f>IFERROR(__xludf.DUMMYFUNCTION("""COMPUTED_VALUE"""),43326.0)</f>
        <v>43326</v>
      </c>
      <c r="S441" s="6" t="str">
        <f>IFERROR(__xludf.DUMMYFUNCTION("""COMPUTED_VALUE"""),"-")</f>
        <v>-</v>
      </c>
      <c r="T441" s="13">
        <f>IFERROR(__xludf.DUMMYFUNCTION("""COMPUTED_VALUE"""),43357.0)</f>
        <v>43357</v>
      </c>
    </row>
    <row r="442">
      <c r="A442" s="6" t="str">
        <f>IFERROR(__xludf.DUMMYFUNCTION("""COMPUTED_VALUE"""),"181750289-1")</f>
        <v>181750289-1</v>
      </c>
      <c r="B442" s="6" t="str">
        <f>IFERROR(__xludf.DUMMYFUNCTION("""COMPUTED_VALUE"""),"181750289 - Approved")</f>
        <v>181750289 - Approved</v>
      </c>
      <c r="C442" s="6">
        <f>IFERROR(__xludf.DUMMYFUNCTION("""COMPUTED_VALUE"""),1.0)</f>
        <v>1</v>
      </c>
      <c r="D442" s="6" t="str">
        <f>IFERROR(__xludf.DUMMYFUNCTION("""COMPUTED_VALUE"""),"S-60002-00")</f>
        <v>S-60002-00</v>
      </c>
      <c r="E442" s="6" t="str">
        <f>IFERROR(__xludf.DUMMYFUNCTION("""COMPUTED_VALUE"""),"SERVICE MOTOR SUBMERSIBLE 800 W &amp; PERGANTIAN CAPASITOR 12,5 MF")</f>
        <v>SERVICE MOTOR SUBMERSIBLE 800 W &amp; PERGANTIAN CAPASITOR 12,5 MF</v>
      </c>
      <c r="F442" s="6">
        <f>IFERROR(__xludf.DUMMYFUNCTION("""COMPUTED_VALUE"""),1.0)</f>
        <v>1</v>
      </c>
      <c r="G442" s="6" t="str">
        <f>IFERROR(__xludf.DUMMYFUNCTION("""COMPUTED_VALUE"""),"Lot")</f>
        <v>Lot</v>
      </c>
      <c r="H442" s="6" t="str">
        <f>IFERROR(__xludf.DUMMYFUNCTION("""COMPUTED_VALUE"""),"IDR")</f>
        <v>IDR</v>
      </c>
      <c r="I442" s="11">
        <f>IFERROR(__xludf.DUMMYFUNCTION("""COMPUTED_VALUE"""),200000.0)</f>
        <v>200000</v>
      </c>
      <c r="J442" s="11">
        <f>IFERROR(__xludf.DUMMYFUNCTION("""COMPUTED_VALUE"""),200000.0)</f>
        <v>200000</v>
      </c>
      <c r="K442" s="13">
        <f>IFERROR(__xludf.DUMMYFUNCTION("""COMPUTED_VALUE"""),43343.0)</f>
        <v>43343</v>
      </c>
      <c r="L442" s="6" t="str">
        <f>IFERROR(__xludf.DUMMYFUNCTION("""COMPUTED_VALUE"""),"FIP General")</f>
        <v>FIP General</v>
      </c>
      <c r="M442" s="6" t="str">
        <f>IFERROR(__xludf.DUMMYFUNCTION("""COMPUTED_VALUE"""),"Joko Nugroho")</f>
        <v>Joko Nugroho</v>
      </c>
      <c r="N442" s="6" t="str">
        <f>IFERROR(__xludf.DUMMYFUNCTION("""COMPUTED_VALUE"""),"FIP Engineering")</f>
        <v>FIP Engineering</v>
      </c>
      <c r="O442" s="6" t="str">
        <f>IFERROR(__xludf.DUMMYFUNCTION("""COMPUTED_VALUE"""),"FIP-DOM-ENG-51508-0000000-INA-000000")</f>
        <v>FIP-DOM-ENG-51508-0000000-INA-000000</v>
      </c>
      <c r="P442" s="6" t="str">
        <f>IFERROR(__xludf.DUMMYFUNCTION("""COMPUTED_VALUE"""),"PO Closed")</f>
        <v>PO Closed</v>
      </c>
      <c r="Q442" s="6" t="str">
        <f>IFERROR(__xludf.DUMMYFUNCTION("""COMPUTED_VALUE"""),"GL1809003")</f>
        <v>GL1809003</v>
      </c>
      <c r="R442" s="16">
        <f>IFERROR(__xludf.DUMMYFUNCTION("""COMPUTED_VALUE"""),43332.0)</f>
        <v>43332</v>
      </c>
      <c r="S442" s="6" t="str">
        <f>IFERROR(__xludf.DUMMYFUNCTION("""COMPUTED_VALUE"""),"-")</f>
        <v>-</v>
      </c>
      <c r="T442" s="17">
        <f>IFERROR(__xludf.DUMMYFUNCTION("""COMPUTED_VALUE"""),43354.0)</f>
        <v>43354</v>
      </c>
    </row>
    <row r="443">
      <c r="A443" s="6" t="str">
        <f>IFERROR(__xludf.DUMMYFUNCTION("""COMPUTED_VALUE"""),"181750291-1")</f>
        <v>181750291-1</v>
      </c>
      <c r="B443" s="6" t="str">
        <f>IFERROR(__xludf.DUMMYFUNCTION("""COMPUTED_VALUE"""),"181750291 - Approved")</f>
        <v>181750291 - Approved</v>
      </c>
      <c r="C443" s="6">
        <f>IFERROR(__xludf.DUMMYFUNCTION("""COMPUTED_VALUE"""),1.0)</f>
        <v>1</v>
      </c>
      <c r="D443" s="6" t="str">
        <f>IFERROR(__xludf.DUMMYFUNCTION("""COMPUTED_VALUE"""),"S-60002-00")</f>
        <v>S-60002-00</v>
      </c>
      <c r="E443" s="6" t="str">
        <f>IFERROR(__xludf.DUMMYFUNCTION("""COMPUTED_VALUE"""),"Service Alat Particle Counter 3445")</f>
        <v>Service Alat Particle Counter 3445</v>
      </c>
      <c r="F443" s="6">
        <f>IFERROR(__xludf.DUMMYFUNCTION("""COMPUTED_VALUE"""),1.0)</f>
        <v>1</v>
      </c>
      <c r="G443" s="6" t="str">
        <f>IFERROR(__xludf.DUMMYFUNCTION("""COMPUTED_VALUE"""),"Lot")</f>
        <v>Lot</v>
      </c>
      <c r="H443" s="6" t="str">
        <f>IFERROR(__xludf.DUMMYFUNCTION("""COMPUTED_VALUE"""),"IDR")</f>
        <v>IDR</v>
      </c>
      <c r="I443" s="11">
        <f>IFERROR(__xludf.DUMMYFUNCTION("""COMPUTED_VALUE"""),1000000.0)</f>
        <v>1000000</v>
      </c>
      <c r="J443" s="11">
        <f>IFERROR(__xludf.DUMMYFUNCTION("""COMPUTED_VALUE"""),1000000.0)</f>
        <v>1000000</v>
      </c>
      <c r="K443" s="13">
        <f>IFERROR(__xludf.DUMMYFUNCTION("""COMPUTED_VALUE"""),43343.0)</f>
        <v>43343</v>
      </c>
      <c r="L443" s="6" t="str">
        <f>IFERROR(__xludf.DUMMYFUNCTION("""COMPUTED_VALUE"""),"FIP General")</f>
        <v>FIP General</v>
      </c>
      <c r="M443" s="6" t="str">
        <f>IFERROR(__xludf.DUMMYFUNCTION("""COMPUTED_VALUE"""),"Joko Nugroho")</f>
        <v>Joko Nugroho</v>
      </c>
      <c r="N443" s="6" t="str">
        <f>IFERROR(__xludf.DUMMYFUNCTION("""COMPUTED_VALUE"""),"FIP Engineering")</f>
        <v>FIP Engineering</v>
      </c>
      <c r="O443" s="6" t="str">
        <f>IFERROR(__xludf.DUMMYFUNCTION("""COMPUTED_VALUE"""),"FIP-DOM-ENG-51508-0000000-INA-000000")</f>
        <v>FIP-DOM-ENG-51508-0000000-INA-000000</v>
      </c>
      <c r="P443" s="6" t="str">
        <f>IFERROR(__xludf.DUMMYFUNCTION("""COMPUTED_VALUE"""),"PO Closed")</f>
        <v>PO Closed</v>
      </c>
      <c r="Q443" s="6" t="str">
        <f>IFERROR(__xludf.DUMMYFUNCTION("""COMPUTED_VALUE"""),"GL1808049")</f>
        <v>GL1808049</v>
      </c>
      <c r="R443" s="16">
        <f>IFERROR(__xludf.DUMMYFUNCTION("""COMPUTED_VALUE"""),43333.0)</f>
        <v>43333</v>
      </c>
      <c r="S443" s="6" t="str">
        <f>IFERROR(__xludf.DUMMYFUNCTION("""COMPUTED_VALUE"""),"-")</f>
        <v>-</v>
      </c>
      <c r="T443" s="13">
        <f>IFERROR(__xludf.DUMMYFUNCTION("""COMPUTED_VALUE"""),43357.0)</f>
        <v>43357</v>
      </c>
    </row>
    <row r="444">
      <c r="A444" s="6" t="str">
        <f>IFERROR(__xludf.DUMMYFUNCTION("""COMPUTED_VALUE"""),"181750291-2")</f>
        <v>181750291-2</v>
      </c>
      <c r="B444" s="6" t="str">
        <f>IFERROR(__xludf.DUMMYFUNCTION("""COMPUTED_VALUE"""),"181750291 - Approved")</f>
        <v>181750291 - Approved</v>
      </c>
      <c r="C444" s="6">
        <f>IFERROR(__xludf.DUMMYFUNCTION("""COMPUTED_VALUE"""),2.0)</f>
        <v>2</v>
      </c>
      <c r="D444" s="6" t="str">
        <f>IFERROR(__xludf.DUMMYFUNCTION("""COMPUTED_VALUE"""),"S-60002-00")</f>
        <v>S-60002-00</v>
      </c>
      <c r="E444" s="6" t="str">
        <f>IFERROR(__xludf.DUMMYFUNCTION("""COMPUTED_VALUE"""),"Material Service Alat Particle Counter 3445; LCD Glass")</f>
        <v>Material Service Alat Particle Counter 3445; LCD Glass</v>
      </c>
      <c r="F444" s="6">
        <f>IFERROR(__xludf.DUMMYFUNCTION("""COMPUTED_VALUE"""),1.0)</f>
        <v>1</v>
      </c>
      <c r="G444" s="6" t="str">
        <f>IFERROR(__xludf.DUMMYFUNCTION("""COMPUTED_VALUE"""),"Lot")</f>
        <v>Lot</v>
      </c>
      <c r="H444" s="6" t="str">
        <f>IFERROR(__xludf.DUMMYFUNCTION("""COMPUTED_VALUE"""),"IDR")</f>
        <v>IDR</v>
      </c>
      <c r="I444" s="11">
        <f>IFERROR(__xludf.DUMMYFUNCTION("""COMPUTED_VALUE"""),4500000.0)</f>
        <v>4500000</v>
      </c>
      <c r="J444" s="11">
        <f>IFERROR(__xludf.DUMMYFUNCTION("""COMPUTED_VALUE"""),4500000.0)</f>
        <v>4500000</v>
      </c>
      <c r="K444" s="13">
        <f>IFERROR(__xludf.DUMMYFUNCTION("""COMPUTED_VALUE"""),43343.0)</f>
        <v>43343</v>
      </c>
      <c r="L444" s="6" t="str">
        <f>IFERROR(__xludf.DUMMYFUNCTION("""COMPUTED_VALUE"""),"FIP General")</f>
        <v>FIP General</v>
      </c>
      <c r="M444" s="6" t="str">
        <f>IFERROR(__xludf.DUMMYFUNCTION("""COMPUTED_VALUE"""),"Joko Nugroho")</f>
        <v>Joko Nugroho</v>
      </c>
      <c r="N444" s="6" t="str">
        <f>IFERROR(__xludf.DUMMYFUNCTION("""COMPUTED_VALUE"""),"FIP Engineering")</f>
        <v>FIP Engineering</v>
      </c>
      <c r="O444" s="6" t="str">
        <f>IFERROR(__xludf.DUMMYFUNCTION("""COMPUTED_VALUE"""),"FIP-DOM-ENG-51508-0000000-INA-000000")</f>
        <v>FIP-DOM-ENG-51508-0000000-INA-000000</v>
      </c>
      <c r="P444" s="6" t="str">
        <f>IFERROR(__xludf.DUMMYFUNCTION("""COMPUTED_VALUE"""),"PO Closed")</f>
        <v>PO Closed</v>
      </c>
      <c r="Q444" s="6" t="str">
        <f>IFERROR(__xludf.DUMMYFUNCTION("""COMPUTED_VALUE"""),"GL1808049")</f>
        <v>GL1808049</v>
      </c>
      <c r="R444" s="16">
        <f>IFERROR(__xludf.DUMMYFUNCTION("""COMPUTED_VALUE"""),43333.0)</f>
        <v>43333</v>
      </c>
      <c r="S444" s="6" t="str">
        <f>IFERROR(__xludf.DUMMYFUNCTION("""COMPUTED_VALUE"""),"-")</f>
        <v>-</v>
      </c>
      <c r="T444" s="13">
        <f>IFERROR(__xludf.DUMMYFUNCTION("""COMPUTED_VALUE"""),43357.0)</f>
        <v>43357</v>
      </c>
    </row>
    <row r="445">
      <c r="A445" s="6" t="str">
        <f>IFERROR(__xludf.DUMMYFUNCTION("""COMPUTED_VALUE"""),"181750296-1")</f>
        <v>181750296-1</v>
      </c>
      <c r="B445" s="6" t="str">
        <f>IFERROR(__xludf.DUMMYFUNCTION("""COMPUTED_VALUE"""),"181750296 - Approved")</f>
        <v>181750296 - Approved</v>
      </c>
      <c r="C445" s="6">
        <f>IFERROR(__xludf.DUMMYFUNCTION("""COMPUTED_VALUE"""),1.0)</f>
        <v>1</v>
      </c>
      <c r="D445" s="6" t="str">
        <f>IFERROR(__xludf.DUMMYFUNCTION("""COMPUTED_VALUE"""),"O-16175-00")</f>
        <v>O-16175-00</v>
      </c>
      <c r="E445" s="6" t="str">
        <f>IFERROR(__xludf.DUMMYFUNCTION("""COMPUTED_VALUE"""),"O-RING T=3,53 :OR 4725 MVQ NT70-RED+M4 39269097; Order No : 5025020; ; ;")</f>
        <v>O-RING T=3,53 :OR 4725 MVQ NT70-RED+M4 39269097; Order No : 5025020; ; ;</v>
      </c>
      <c r="F445" s="6">
        <f>IFERROR(__xludf.DUMMYFUNCTION("""COMPUTED_VALUE"""),6.0)</f>
        <v>6</v>
      </c>
      <c r="G445" s="6" t="str">
        <f>IFERROR(__xludf.DUMMYFUNCTION("""COMPUTED_VALUE"""),"Unit")</f>
        <v>Unit</v>
      </c>
      <c r="H445" s="6" t="str">
        <f>IFERROR(__xludf.DUMMYFUNCTION("""COMPUTED_VALUE"""),"EUR")</f>
        <v>EUR</v>
      </c>
      <c r="I445" s="11">
        <f>IFERROR(__xludf.DUMMYFUNCTION("""COMPUTED_VALUE"""),2.59)</f>
        <v>2.59</v>
      </c>
      <c r="J445" s="11">
        <f>IFERROR(__xludf.DUMMYFUNCTION("""COMPUTED_VALUE"""),15.54)</f>
        <v>15.54</v>
      </c>
      <c r="K445" s="13">
        <f>IFERROR(__xludf.DUMMYFUNCTION("""COMPUTED_VALUE"""),43371.0)</f>
        <v>43371</v>
      </c>
      <c r="L445" s="6" t="str">
        <f>IFERROR(__xludf.DUMMYFUNCTION("""COMPUTED_VALUE"""),"FIP Engineering")</f>
        <v>FIP Engineering</v>
      </c>
      <c r="M445" s="6" t="str">
        <f>IFERROR(__xludf.DUMMYFUNCTION("""COMPUTED_VALUE"""),"Joko Nugroho")</f>
        <v>Joko Nugroho</v>
      </c>
      <c r="N445" s="6" t="str">
        <f>IFERROR(__xludf.DUMMYFUNCTION("""COMPUTED_VALUE"""),"FIP Engineering")</f>
        <v>FIP Engineering</v>
      </c>
      <c r="O445" s="6" t="str">
        <f>IFERROR(__xludf.DUMMYFUNCTION("""COMPUTED_VALUE"""),"FIP-DOM-000-11304-OS00001-INA-000000")</f>
        <v>FIP-DOM-000-11304-OS00001-INA-000000</v>
      </c>
      <c r="P445" s="6" t="str">
        <f>IFERROR(__xludf.DUMMYFUNCTION("""COMPUTED_VALUE"""),"PO Closed")</f>
        <v>PO Closed</v>
      </c>
      <c r="Q445" s="6" t="str">
        <f>IFERROR(__xludf.DUMMYFUNCTION("""COMPUTED_VALUE"""),"GL1807058")</f>
        <v>GL1807058</v>
      </c>
      <c r="R445" s="16">
        <f>IFERROR(__xludf.DUMMYFUNCTION("""COMPUTED_VALUE"""),43336.0)</f>
        <v>43336</v>
      </c>
      <c r="S445" s="6" t="str">
        <f>IFERROR(__xludf.DUMMYFUNCTION("""COMPUTED_VALUE"""),"-")</f>
        <v>-</v>
      </c>
      <c r="T445" s="13">
        <f>IFERROR(__xludf.DUMMYFUNCTION("""COMPUTED_VALUE"""),43420.0)</f>
        <v>43420</v>
      </c>
    </row>
    <row r="446">
      <c r="A446" s="6" t="str">
        <f>IFERROR(__xludf.DUMMYFUNCTION("""COMPUTED_VALUE"""),"181750296-2")</f>
        <v>181750296-2</v>
      </c>
      <c r="B446" s="6" t="str">
        <f>IFERROR(__xludf.DUMMYFUNCTION("""COMPUTED_VALUE"""),"181750296 - Approved")</f>
        <v>181750296 - Approved</v>
      </c>
      <c r="C446" s="6">
        <f>IFERROR(__xludf.DUMMYFUNCTION("""COMPUTED_VALUE"""),2.0)</f>
        <v>2</v>
      </c>
      <c r="D446" s="6" t="str">
        <f>IFERROR(__xludf.DUMMYFUNCTION("""COMPUTED_VALUE"""),"O-16174-00")</f>
        <v>O-16174-00</v>
      </c>
      <c r="E446" s="6" t="str">
        <f>IFERROR(__xludf.DUMMYFUNCTION("""COMPUTED_VALUE"""),"O-RING T=3,53 :OR 4400 MVQ70SH +M4 40169997 ; Order No : 5025024; ; ;")</f>
        <v>O-RING T=3,53 :OR 4400 MVQ70SH +M4 40169997 ; Order No : 5025024; ; ;</v>
      </c>
      <c r="F446" s="6">
        <f>IFERROR(__xludf.DUMMYFUNCTION("""COMPUTED_VALUE"""),6.0)</f>
        <v>6</v>
      </c>
      <c r="G446" s="6" t="str">
        <f>IFERROR(__xludf.DUMMYFUNCTION("""COMPUTED_VALUE"""),"Unit")</f>
        <v>Unit</v>
      </c>
      <c r="H446" s="6" t="str">
        <f>IFERROR(__xludf.DUMMYFUNCTION("""COMPUTED_VALUE"""),"EUR")</f>
        <v>EUR</v>
      </c>
      <c r="I446" s="11">
        <f>IFERROR(__xludf.DUMMYFUNCTION("""COMPUTED_VALUE"""),4.07)</f>
        <v>4.07</v>
      </c>
      <c r="J446" s="11">
        <f>IFERROR(__xludf.DUMMYFUNCTION("""COMPUTED_VALUE"""),24.42)</f>
        <v>24.42</v>
      </c>
      <c r="K446" s="13">
        <f>IFERROR(__xludf.DUMMYFUNCTION("""COMPUTED_VALUE"""),43371.0)</f>
        <v>43371</v>
      </c>
      <c r="L446" s="6" t="str">
        <f>IFERROR(__xludf.DUMMYFUNCTION("""COMPUTED_VALUE"""),"FIP Engineering")</f>
        <v>FIP Engineering</v>
      </c>
      <c r="M446" s="6" t="str">
        <f>IFERROR(__xludf.DUMMYFUNCTION("""COMPUTED_VALUE"""),"Joko Nugroho")</f>
        <v>Joko Nugroho</v>
      </c>
      <c r="N446" s="6" t="str">
        <f>IFERROR(__xludf.DUMMYFUNCTION("""COMPUTED_VALUE"""),"FIP Engineering")</f>
        <v>FIP Engineering</v>
      </c>
      <c r="O446" s="6" t="str">
        <f>IFERROR(__xludf.DUMMYFUNCTION("""COMPUTED_VALUE"""),"FIP-DOM-000-11304-OS00001-INA-000000")</f>
        <v>FIP-DOM-000-11304-OS00001-INA-000000</v>
      </c>
      <c r="P446" s="6" t="str">
        <f>IFERROR(__xludf.DUMMYFUNCTION("""COMPUTED_VALUE"""),"PO Closed")</f>
        <v>PO Closed</v>
      </c>
      <c r="Q446" s="6" t="str">
        <f>IFERROR(__xludf.DUMMYFUNCTION("""COMPUTED_VALUE"""),"GL1807058")</f>
        <v>GL1807058</v>
      </c>
      <c r="R446" s="16">
        <f>IFERROR(__xludf.DUMMYFUNCTION("""COMPUTED_VALUE"""),43336.0)</f>
        <v>43336</v>
      </c>
      <c r="S446" s="6" t="str">
        <f>IFERROR(__xludf.DUMMYFUNCTION("""COMPUTED_VALUE"""),"-")</f>
        <v>-</v>
      </c>
      <c r="T446" s="17">
        <f>IFERROR(__xludf.DUMMYFUNCTION("""COMPUTED_VALUE"""),43420.0)</f>
        <v>43420</v>
      </c>
    </row>
    <row r="447">
      <c r="A447" s="6" t="str">
        <f>IFERROR(__xludf.DUMMYFUNCTION("""COMPUTED_VALUE"""),"181750296-3")</f>
        <v>181750296-3</v>
      </c>
      <c r="B447" s="6" t="str">
        <f>IFERROR(__xludf.DUMMYFUNCTION("""COMPUTED_VALUE"""),"181750296 - Approved")</f>
        <v>181750296 - Approved</v>
      </c>
      <c r="C447" s="6">
        <f>IFERROR(__xludf.DUMMYFUNCTION("""COMPUTED_VALUE"""),3.0)</f>
        <v>3</v>
      </c>
      <c r="D447" s="6" t="str">
        <f>IFERROR(__xludf.DUMMYFUNCTION("""COMPUTED_VALUE"""),"O-16173-00")</f>
        <v>O-16173-00</v>
      </c>
      <c r="E447" s="6" t="str">
        <f>IFERROR(__xludf.DUMMYFUNCTION("""COMPUTED_VALUE"""),"O-RING T=3,53 :OR 4275 MVQ NT80-RED 39269097; Order No : 5022383; ; ;")</f>
        <v>O-RING T=3,53 :OR 4275 MVQ NT80-RED 39269097; Order No : 5022383; ; ;</v>
      </c>
      <c r="F447" s="6">
        <f>IFERROR(__xludf.DUMMYFUNCTION("""COMPUTED_VALUE"""),12.0)</f>
        <v>12</v>
      </c>
      <c r="G447" s="6" t="str">
        <f>IFERROR(__xludf.DUMMYFUNCTION("""COMPUTED_VALUE"""),"Unit")</f>
        <v>Unit</v>
      </c>
      <c r="H447" s="6" t="str">
        <f>IFERROR(__xludf.DUMMYFUNCTION("""COMPUTED_VALUE"""),"EUR")</f>
        <v>EUR</v>
      </c>
      <c r="I447" s="11">
        <f>IFERROR(__xludf.DUMMYFUNCTION("""COMPUTED_VALUE"""),1.15)</f>
        <v>1.15</v>
      </c>
      <c r="J447" s="11">
        <f>IFERROR(__xludf.DUMMYFUNCTION("""COMPUTED_VALUE"""),13.8)</f>
        <v>13.8</v>
      </c>
      <c r="K447" s="13">
        <f>IFERROR(__xludf.DUMMYFUNCTION("""COMPUTED_VALUE"""),43371.0)</f>
        <v>43371</v>
      </c>
      <c r="L447" s="6" t="str">
        <f>IFERROR(__xludf.DUMMYFUNCTION("""COMPUTED_VALUE"""),"FIP Engineering")</f>
        <v>FIP Engineering</v>
      </c>
      <c r="M447" s="6" t="str">
        <f>IFERROR(__xludf.DUMMYFUNCTION("""COMPUTED_VALUE"""),"Joko Nugroho")</f>
        <v>Joko Nugroho</v>
      </c>
      <c r="N447" s="6" t="str">
        <f>IFERROR(__xludf.DUMMYFUNCTION("""COMPUTED_VALUE"""),"FIP Engineering")</f>
        <v>FIP Engineering</v>
      </c>
      <c r="O447" s="6" t="str">
        <f>IFERROR(__xludf.DUMMYFUNCTION("""COMPUTED_VALUE"""),"FIP-DOM-000-11304-OS00001-INA-000000")</f>
        <v>FIP-DOM-000-11304-OS00001-INA-000000</v>
      </c>
      <c r="P447" s="6" t="str">
        <f>IFERROR(__xludf.DUMMYFUNCTION("""COMPUTED_VALUE"""),"PO Closed")</f>
        <v>PO Closed</v>
      </c>
      <c r="Q447" s="6" t="str">
        <f>IFERROR(__xludf.DUMMYFUNCTION("""COMPUTED_VALUE"""),"GL1807058")</f>
        <v>GL1807058</v>
      </c>
      <c r="R447" s="16">
        <f>IFERROR(__xludf.DUMMYFUNCTION("""COMPUTED_VALUE"""),43336.0)</f>
        <v>43336</v>
      </c>
      <c r="S447" s="6" t="str">
        <f>IFERROR(__xludf.DUMMYFUNCTION("""COMPUTED_VALUE"""),"-")</f>
        <v>-</v>
      </c>
      <c r="T447" s="13">
        <f>IFERROR(__xludf.DUMMYFUNCTION("""COMPUTED_VALUE"""),43420.0)</f>
        <v>43420</v>
      </c>
    </row>
    <row r="448">
      <c r="A448" s="6" t="str">
        <f>IFERROR(__xludf.DUMMYFUNCTION("""COMPUTED_VALUE"""),"181750299-1")</f>
        <v>181750299-1</v>
      </c>
      <c r="B448" s="6" t="str">
        <f>IFERROR(__xludf.DUMMYFUNCTION("""COMPUTED_VALUE"""),"181750299 - Approved")</f>
        <v>181750299 - Approved</v>
      </c>
      <c r="C448" s="6">
        <f>IFERROR(__xludf.DUMMYFUNCTION("""COMPUTED_VALUE"""),1.0)</f>
        <v>1</v>
      </c>
      <c r="D448" s="6" t="str">
        <f>IFERROR(__xludf.DUMMYFUNCTION("""COMPUTED_VALUE"""),"R-62001-00")</f>
        <v>R-62001-00</v>
      </c>
      <c r="E448" s="6" t="str">
        <f>IFERROR(__xludf.DUMMYFUNCTION("""COMPUTED_VALUE"""),"WEARNES™ 9110L PREMIERE; Processor Intel Core i5; Chipset Intel H110; Memory 4GB DDR4; Harddisk 1TB SATA; Integrated Gigabit Ethernet 10/100/1000 Mbps; Include OS Win 10 Pro DPK; Integrated intel HD Graphics; Integrated intel HD Audio")</f>
        <v>WEARNES™ 9110L PREMIERE; Processor Intel Core i5; Chipset Intel H110; Memory 4GB DDR4; Harddisk 1TB SATA; Integrated Gigabit Ethernet 10/100/1000 Mbps; Include OS Win 10 Pro DPK; Integrated intel HD Graphics; Integrated intel HD Audio</v>
      </c>
      <c r="F448" s="6">
        <f>IFERROR(__xludf.DUMMYFUNCTION("""COMPUTED_VALUE"""),1.0)</f>
        <v>1</v>
      </c>
      <c r="G448" s="6" t="str">
        <f>IFERROR(__xludf.DUMMYFUNCTION("""COMPUTED_VALUE"""),"Unit")</f>
        <v>Unit</v>
      </c>
      <c r="H448" s="6" t="str">
        <f>IFERROR(__xludf.DUMMYFUNCTION("""COMPUTED_VALUE"""),"IDR")</f>
        <v>IDR</v>
      </c>
      <c r="I448" s="11">
        <f>IFERROR(__xludf.DUMMYFUNCTION("""COMPUTED_VALUE"""),9135000.0)</f>
        <v>9135000</v>
      </c>
      <c r="J448" s="11">
        <f>IFERROR(__xludf.DUMMYFUNCTION("""COMPUTED_VALUE"""),9135000.0)</f>
        <v>9135000</v>
      </c>
      <c r="K448" s="13">
        <f>IFERROR(__xludf.DUMMYFUNCTION("""COMPUTED_VALUE"""),43374.0)</f>
        <v>43374</v>
      </c>
      <c r="L448" s="6" t="str">
        <f>IFERROR(__xludf.DUMMYFUNCTION("""COMPUTED_VALUE"""),"FIP General")</f>
        <v>FIP General</v>
      </c>
      <c r="M448" s="6" t="str">
        <f>IFERROR(__xludf.DUMMYFUNCTION("""COMPUTED_VALUE"""),"Joko Nugroho")</f>
        <v>Joko Nugroho</v>
      </c>
      <c r="N448" s="6" t="str">
        <f>IFERROR(__xludf.DUMMYFUNCTION("""COMPUTED_VALUE"""),"FIP Engineering")</f>
        <v>FIP Engineering</v>
      </c>
      <c r="O448" s="6" t="str">
        <f>IFERROR(__xludf.DUMMYFUNCTION("""COMPUTED_VALUE"""),"FIP-DOM-ENG-13408-ITNB191-INA-000000")</f>
        <v>FIP-DOM-ENG-13408-ITNB191-INA-000000</v>
      </c>
      <c r="P448" s="6" t="str">
        <f>IFERROR(__xludf.DUMMYFUNCTION("""COMPUTED_VALUE"""),"PO Closed")</f>
        <v>PO Closed</v>
      </c>
      <c r="Q448" s="6" t="str">
        <f>IFERROR(__xludf.DUMMYFUNCTION("""COMPUTED_VALUE"""),"GL1809051")</f>
        <v>GL1809051</v>
      </c>
      <c r="R448" s="16">
        <f>IFERROR(__xludf.DUMMYFUNCTION("""COMPUTED_VALUE"""),43340.0)</f>
        <v>43340</v>
      </c>
      <c r="S448" s="6" t="str">
        <f>IFERROR(__xludf.DUMMYFUNCTION("""COMPUTED_VALUE"""),"-")</f>
        <v>-</v>
      </c>
      <c r="T448" s="13">
        <f>IFERROR(__xludf.DUMMYFUNCTION("""COMPUTED_VALUE"""),43375.0)</f>
        <v>43375</v>
      </c>
    </row>
    <row r="449">
      <c r="A449" s="6" t="str">
        <f>IFERROR(__xludf.DUMMYFUNCTION("""COMPUTED_VALUE"""),"181750297-5")</f>
        <v>181750297-5</v>
      </c>
      <c r="B449" s="6" t="str">
        <f>IFERROR(__xludf.DUMMYFUNCTION("""COMPUTED_VALUE"""),"181750297 - Approved")</f>
        <v>181750297 - Approved</v>
      </c>
      <c r="C449" s="6">
        <f>IFERROR(__xludf.DUMMYFUNCTION("""COMPUTED_VALUE"""),5.0)</f>
        <v>5</v>
      </c>
      <c r="D449" s="6" t="str">
        <f>IFERROR(__xludf.DUMMYFUNCTION("""COMPUTED_VALUE"""),"S-44000-00")</f>
        <v>S-44000-00</v>
      </c>
      <c r="E449" s="6" t="str">
        <f>IFERROR(__xludf.DUMMYFUNCTION("""COMPUTED_VALUE"""),"Packing dan Other Charges; ; ;")</f>
        <v>Packing dan Other Charges; ; ;</v>
      </c>
      <c r="F449" s="6">
        <f>IFERROR(__xludf.DUMMYFUNCTION("""COMPUTED_VALUE"""),1.0)</f>
        <v>1</v>
      </c>
      <c r="G449" s="6" t="str">
        <f>IFERROR(__xludf.DUMMYFUNCTION("""COMPUTED_VALUE"""),"Lot")</f>
        <v>Lot</v>
      </c>
      <c r="H449" s="6" t="str">
        <f>IFERROR(__xludf.DUMMYFUNCTION("""COMPUTED_VALUE"""),"IDR")</f>
        <v>IDR</v>
      </c>
      <c r="I449" s="11">
        <f>IFERROR(__xludf.DUMMYFUNCTION("""COMPUTED_VALUE"""),100000.0)</f>
        <v>100000</v>
      </c>
      <c r="J449" s="11">
        <f>IFERROR(__xludf.DUMMYFUNCTION("""COMPUTED_VALUE"""),100000.0)</f>
        <v>100000</v>
      </c>
      <c r="K449" s="13">
        <f>IFERROR(__xludf.DUMMYFUNCTION("""COMPUTED_VALUE"""),43367.0)</f>
        <v>43367</v>
      </c>
      <c r="L449" s="6" t="str">
        <f>IFERROR(__xludf.DUMMYFUNCTION("""COMPUTED_VALUE"""),"FIP General")</f>
        <v>FIP General</v>
      </c>
      <c r="M449" s="6" t="str">
        <f>IFERROR(__xludf.DUMMYFUNCTION("""COMPUTED_VALUE"""),"Joko Nugroho")</f>
        <v>Joko Nugroho</v>
      </c>
      <c r="N449" s="6" t="str">
        <f>IFERROR(__xludf.DUMMYFUNCTION("""COMPUTED_VALUE"""),"FIP Engineering")</f>
        <v>FIP Engineering</v>
      </c>
      <c r="O449" s="6" t="str">
        <f>IFERROR(__xludf.DUMMYFUNCTION("""COMPUTED_VALUE"""),"FIP-DOM-ENG-51504-0000000-INA-000000")</f>
        <v>FIP-DOM-ENG-51504-0000000-INA-000000</v>
      </c>
      <c r="P449" s="6" t="str">
        <f>IFERROR(__xludf.DUMMYFUNCTION("""COMPUTED_VALUE"""),"PO Closed")</f>
        <v>PO Closed</v>
      </c>
      <c r="Q449" s="6" t="str">
        <f>IFERROR(__xludf.DUMMYFUNCTION("""COMPUTED_VALUE"""),"GL1809026")</f>
        <v>GL1809026</v>
      </c>
      <c r="R449" s="16">
        <f>IFERROR(__xludf.DUMMYFUNCTION("""COMPUTED_VALUE"""),43340.0)</f>
        <v>43340</v>
      </c>
      <c r="S449" s="6" t="str">
        <f>IFERROR(__xludf.DUMMYFUNCTION("""COMPUTED_VALUE"""),"-")</f>
        <v>-</v>
      </c>
      <c r="T449" s="17">
        <f>IFERROR(__xludf.DUMMYFUNCTION("""COMPUTED_VALUE"""),43427.0)</f>
        <v>43427</v>
      </c>
    </row>
    <row r="450">
      <c r="A450" s="6" t="str">
        <f>IFERROR(__xludf.DUMMYFUNCTION("""COMPUTED_VALUE"""),"181750315-1")</f>
        <v>181750315-1</v>
      </c>
      <c r="B450" s="6" t="str">
        <f>IFERROR(__xludf.DUMMYFUNCTION("""COMPUTED_VALUE"""),"181750315 - Approved")</f>
        <v>181750315 - Approved</v>
      </c>
      <c r="C450" s="6">
        <f>IFERROR(__xludf.DUMMYFUNCTION("""COMPUTED_VALUE"""),1.0)</f>
        <v>1</v>
      </c>
      <c r="D450" s="6" t="str">
        <f>IFERROR(__xludf.DUMMYFUNCTION("""COMPUTED_VALUE"""),"S-60002-00")</f>
        <v>S-60002-00</v>
      </c>
      <c r="E450" s="6" t="str">
        <f>IFERROR(__xludf.DUMMYFUNCTION("""COMPUTED_VALUE"""),"Material untuk Perbaikan Central UPS 20 kVA ; Bank 1 : 32 Battery 9AH/12V, 32 x @Rp. 270.000")</f>
        <v>Material untuk Perbaikan Central UPS 20 kVA ; Bank 1 : 32 Battery 9AH/12V, 32 x @Rp. 270.000</v>
      </c>
      <c r="F450" s="6">
        <f>IFERROR(__xludf.DUMMYFUNCTION("""COMPUTED_VALUE"""),1.0)</f>
        <v>1</v>
      </c>
      <c r="G450" s="6" t="str">
        <f>IFERROR(__xludf.DUMMYFUNCTION("""COMPUTED_VALUE"""),"Lot")</f>
        <v>Lot</v>
      </c>
      <c r="H450" s="6" t="str">
        <f>IFERROR(__xludf.DUMMYFUNCTION("""COMPUTED_VALUE"""),"IDR")</f>
        <v>IDR</v>
      </c>
      <c r="I450" s="11">
        <f>IFERROR(__xludf.DUMMYFUNCTION("""COMPUTED_VALUE"""),8600000.0)</f>
        <v>8600000</v>
      </c>
      <c r="J450" s="11">
        <f>IFERROR(__xludf.DUMMYFUNCTION("""COMPUTED_VALUE"""),8600000.0)</f>
        <v>8600000</v>
      </c>
      <c r="K450" s="13">
        <f>IFERROR(__xludf.DUMMYFUNCTION("""COMPUTED_VALUE"""),43360.0)</f>
        <v>43360</v>
      </c>
      <c r="L450" s="6" t="str">
        <f>IFERROR(__xludf.DUMMYFUNCTION("""COMPUTED_VALUE"""),"FIP General")</f>
        <v>FIP General</v>
      </c>
      <c r="M450" s="6" t="str">
        <f>IFERROR(__xludf.DUMMYFUNCTION("""COMPUTED_VALUE"""),"Joko Nugroho")</f>
        <v>Joko Nugroho</v>
      </c>
      <c r="N450" s="6" t="str">
        <f>IFERROR(__xludf.DUMMYFUNCTION("""COMPUTED_VALUE"""),"FIP Engineering")</f>
        <v>FIP Engineering</v>
      </c>
      <c r="O450" s="6" t="str">
        <f>IFERROR(__xludf.DUMMYFUNCTION("""COMPUTED_VALUE"""),"FIP-DOM-ENG-51508-0000000-INA-000000")</f>
        <v>FIP-DOM-ENG-51508-0000000-INA-000000</v>
      </c>
      <c r="P450" s="6" t="str">
        <f>IFERROR(__xludf.DUMMYFUNCTION("""COMPUTED_VALUE"""),"PO Closed")</f>
        <v>PO Closed</v>
      </c>
      <c r="Q450" s="6" t="str">
        <f>IFERROR(__xludf.DUMMYFUNCTION("""COMPUTED_VALUE"""),"GL1809009")</f>
        <v>GL1809009</v>
      </c>
      <c r="R450" s="16">
        <f>IFERROR(__xludf.DUMMYFUNCTION("""COMPUTED_VALUE"""),43346.0)</f>
        <v>43346</v>
      </c>
      <c r="S450" s="6" t="str">
        <f>IFERROR(__xludf.DUMMYFUNCTION("""COMPUTED_VALUE"""),"-")</f>
        <v>-</v>
      </c>
      <c r="T450" s="17">
        <f>IFERROR(__xludf.DUMMYFUNCTION("""COMPUTED_VALUE"""),43360.0)</f>
        <v>43360</v>
      </c>
    </row>
    <row r="451">
      <c r="A451" s="6" t="str">
        <f>IFERROR(__xludf.DUMMYFUNCTION("""COMPUTED_VALUE"""),"181750315-2")</f>
        <v>181750315-2</v>
      </c>
      <c r="B451" s="6" t="str">
        <f>IFERROR(__xludf.DUMMYFUNCTION("""COMPUTED_VALUE"""),"181750315 - Approved")</f>
        <v>181750315 - Approved</v>
      </c>
      <c r="C451" s="6">
        <f>IFERROR(__xludf.DUMMYFUNCTION("""COMPUTED_VALUE"""),2.0)</f>
        <v>2</v>
      </c>
      <c r="D451" s="6" t="str">
        <f>IFERROR(__xludf.DUMMYFUNCTION("""COMPUTED_VALUE"""),"S-60002-00")</f>
        <v>S-60002-00</v>
      </c>
      <c r="E451" s="6" t="str">
        <f>IFERROR(__xludf.DUMMYFUNCTION("""COMPUTED_VALUE"""),"Material Untuk Perbaikan Central UPS 20 kVA;Bank 2 : 6 Battery 9AH/12V, 32 x @Rp. 270.000")</f>
        <v>Material Untuk Perbaikan Central UPS 20 kVA;Bank 2 : 6 Battery 9AH/12V, 32 x @Rp. 270.000</v>
      </c>
      <c r="F451" s="6">
        <f>IFERROR(__xludf.DUMMYFUNCTION("""COMPUTED_VALUE"""),1.0)</f>
        <v>1</v>
      </c>
      <c r="G451" s="6" t="str">
        <f>IFERROR(__xludf.DUMMYFUNCTION("""COMPUTED_VALUE"""),"Lot")</f>
        <v>Lot</v>
      </c>
      <c r="H451" s="6" t="str">
        <f>IFERROR(__xludf.DUMMYFUNCTION("""COMPUTED_VALUE"""),"IDR")</f>
        <v>IDR</v>
      </c>
      <c r="I451" s="11">
        <f>IFERROR(__xludf.DUMMYFUNCTION("""COMPUTED_VALUE"""),1620000.0)</f>
        <v>1620000</v>
      </c>
      <c r="J451" s="11">
        <f>IFERROR(__xludf.DUMMYFUNCTION("""COMPUTED_VALUE"""),1620000.0)</f>
        <v>1620000</v>
      </c>
      <c r="K451" s="13">
        <f>IFERROR(__xludf.DUMMYFUNCTION("""COMPUTED_VALUE"""),43360.0)</f>
        <v>43360</v>
      </c>
      <c r="L451" s="6" t="str">
        <f>IFERROR(__xludf.DUMMYFUNCTION("""COMPUTED_VALUE"""),"FIP General")</f>
        <v>FIP General</v>
      </c>
      <c r="M451" s="6" t="str">
        <f>IFERROR(__xludf.DUMMYFUNCTION("""COMPUTED_VALUE"""),"Joko Nugroho")</f>
        <v>Joko Nugroho</v>
      </c>
      <c r="N451" s="6" t="str">
        <f>IFERROR(__xludf.DUMMYFUNCTION("""COMPUTED_VALUE"""),"FIP Engineering")</f>
        <v>FIP Engineering</v>
      </c>
      <c r="O451" s="6" t="str">
        <f>IFERROR(__xludf.DUMMYFUNCTION("""COMPUTED_VALUE"""),"FIP-DOM-ENG-51508-0000000-INA-000000")</f>
        <v>FIP-DOM-ENG-51508-0000000-INA-000000</v>
      </c>
      <c r="P451" s="6" t="str">
        <f>IFERROR(__xludf.DUMMYFUNCTION("""COMPUTED_VALUE"""),"PO Closed")</f>
        <v>PO Closed</v>
      </c>
      <c r="Q451" s="6" t="str">
        <f>IFERROR(__xludf.DUMMYFUNCTION("""COMPUTED_VALUE"""),"GL1809009")</f>
        <v>GL1809009</v>
      </c>
      <c r="R451" s="16">
        <f>IFERROR(__xludf.DUMMYFUNCTION("""COMPUTED_VALUE"""),43346.0)</f>
        <v>43346</v>
      </c>
      <c r="S451" s="6" t="str">
        <f>IFERROR(__xludf.DUMMYFUNCTION("""COMPUTED_VALUE"""),"-")</f>
        <v>-</v>
      </c>
      <c r="T451" s="13">
        <f>IFERROR(__xludf.DUMMYFUNCTION("""COMPUTED_VALUE"""),43360.0)</f>
        <v>43360</v>
      </c>
    </row>
    <row r="452">
      <c r="A452" s="6" t="str">
        <f>IFERROR(__xludf.DUMMYFUNCTION("""COMPUTED_VALUE"""),"181750315-3")</f>
        <v>181750315-3</v>
      </c>
      <c r="B452" s="6" t="str">
        <f>IFERROR(__xludf.DUMMYFUNCTION("""COMPUTED_VALUE"""),"181750315 - Approved")</f>
        <v>181750315 - Approved</v>
      </c>
      <c r="C452" s="6">
        <f>IFERROR(__xludf.DUMMYFUNCTION("""COMPUTED_VALUE"""),3.0)</f>
        <v>3</v>
      </c>
      <c r="D452" s="6" t="str">
        <f>IFERROR(__xludf.DUMMYFUNCTION("""COMPUTED_VALUE"""),"S-60002-00")</f>
        <v>S-60002-00</v>
      </c>
      <c r="E452" s="6" t="str">
        <f>IFERROR(__xludf.DUMMYFUNCTION("""COMPUTED_VALUE"""),"Biaya kirim + bongkar pasang battery")</f>
        <v>Biaya kirim + bongkar pasang battery</v>
      </c>
      <c r="F452" s="6">
        <f>IFERROR(__xludf.DUMMYFUNCTION("""COMPUTED_VALUE"""),1.0)</f>
        <v>1</v>
      </c>
      <c r="G452" s="6" t="str">
        <f>IFERROR(__xludf.DUMMYFUNCTION("""COMPUTED_VALUE"""),"Lot")</f>
        <v>Lot</v>
      </c>
      <c r="H452" s="6" t="str">
        <f>IFERROR(__xludf.DUMMYFUNCTION("""COMPUTED_VALUE"""),"IDR")</f>
        <v>IDR</v>
      </c>
      <c r="I452" s="11">
        <f>IFERROR(__xludf.DUMMYFUNCTION("""COMPUTED_VALUE"""),1000000.0)</f>
        <v>1000000</v>
      </c>
      <c r="J452" s="11">
        <f>IFERROR(__xludf.DUMMYFUNCTION("""COMPUTED_VALUE"""),1000000.0)</f>
        <v>1000000</v>
      </c>
      <c r="K452" s="13">
        <f>IFERROR(__xludf.DUMMYFUNCTION("""COMPUTED_VALUE"""),43360.0)</f>
        <v>43360</v>
      </c>
      <c r="L452" s="6" t="str">
        <f>IFERROR(__xludf.DUMMYFUNCTION("""COMPUTED_VALUE"""),"FIP General")</f>
        <v>FIP General</v>
      </c>
      <c r="M452" s="6" t="str">
        <f>IFERROR(__xludf.DUMMYFUNCTION("""COMPUTED_VALUE"""),"Joko Nugroho")</f>
        <v>Joko Nugroho</v>
      </c>
      <c r="N452" s="6" t="str">
        <f>IFERROR(__xludf.DUMMYFUNCTION("""COMPUTED_VALUE"""),"FIP Engineering")</f>
        <v>FIP Engineering</v>
      </c>
      <c r="O452" s="6" t="str">
        <f>IFERROR(__xludf.DUMMYFUNCTION("""COMPUTED_VALUE"""),"FIP-DOM-ENG-51508-0000000-INA-000000")</f>
        <v>FIP-DOM-ENG-51508-0000000-INA-000000</v>
      </c>
      <c r="P452" s="6" t="str">
        <f>IFERROR(__xludf.DUMMYFUNCTION("""COMPUTED_VALUE"""),"PO Closed")</f>
        <v>PO Closed</v>
      </c>
      <c r="Q452" s="6" t="str">
        <f>IFERROR(__xludf.DUMMYFUNCTION("""COMPUTED_VALUE"""),"GL1809009")</f>
        <v>GL1809009</v>
      </c>
      <c r="R452" s="16">
        <f>IFERROR(__xludf.DUMMYFUNCTION("""COMPUTED_VALUE"""),43346.0)</f>
        <v>43346</v>
      </c>
      <c r="S452" s="6" t="str">
        <f>IFERROR(__xludf.DUMMYFUNCTION("""COMPUTED_VALUE"""),"-")</f>
        <v>-</v>
      </c>
      <c r="T452" s="13">
        <f>IFERROR(__xludf.DUMMYFUNCTION("""COMPUTED_VALUE"""),43360.0)</f>
        <v>43360</v>
      </c>
    </row>
    <row r="453">
      <c r="A453" s="6" t="str">
        <f>IFERROR(__xludf.DUMMYFUNCTION("""COMPUTED_VALUE"""),"181750315-4")</f>
        <v>181750315-4</v>
      </c>
      <c r="B453" s="6" t="str">
        <f>IFERROR(__xludf.DUMMYFUNCTION("""COMPUTED_VALUE"""),"181750315 - Approved")</f>
        <v>181750315 - Approved</v>
      </c>
      <c r="C453" s="6">
        <f>IFERROR(__xludf.DUMMYFUNCTION("""COMPUTED_VALUE"""),4.0)</f>
        <v>4</v>
      </c>
      <c r="D453" s="6" t="str">
        <f>IFERROR(__xludf.DUMMYFUNCTION("""COMPUTED_VALUE"""),"S-60002-00")</f>
        <v>S-60002-00</v>
      </c>
      <c r="E453" s="6" t="str">
        <f>IFERROR(__xludf.DUMMYFUNCTION("""COMPUTED_VALUE"""),"Biaya resert software alarm battery")</f>
        <v>Biaya resert software alarm battery</v>
      </c>
      <c r="F453" s="6">
        <f>IFERROR(__xludf.DUMMYFUNCTION("""COMPUTED_VALUE"""),1.0)</f>
        <v>1</v>
      </c>
      <c r="G453" s="6" t="str">
        <f>IFERROR(__xludf.DUMMYFUNCTION("""COMPUTED_VALUE"""),"Lot")</f>
        <v>Lot</v>
      </c>
      <c r="H453" s="6" t="str">
        <f>IFERROR(__xludf.DUMMYFUNCTION("""COMPUTED_VALUE"""),"IDR")</f>
        <v>IDR</v>
      </c>
      <c r="I453" s="11">
        <f>IFERROR(__xludf.DUMMYFUNCTION("""COMPUTED_VALUE"""),2000000.0)</f>
        <v>2000000</v>
      </c>
      <c r="J453" s="11">
        <f>IFERROR(__xludf.DUMMYFUNCTION("""COMPUTED_VALUE"""),2000000.0)</f>
        <v>2000000</v>
      </c>
      <c r="K453" s="13">
        <f>IFERROR(__xludf.DUMMYFUNCTION("""COMPUTED_VALUE"""),43360.0)</f>
        <v>43360</v>
      </c>
      <c r="L453" s="6" t="str">
        <f>IFERROR(__xludf.DUMMYFUNCTION("""COMPUTED_VALUE"""),"FIP General")</f>
        <v>FIP General</v>
      </c>
      <c r="M453" s="6" t="str">
        <f>IFERROR(__xludf.DUMMYFUNCTION("""COMPUTED_VALUE"""),"Joko Nugroho")</f>
        <v>Joko Nugroho</v>
      </c>
      <c r="N453" s="6" t="str">
        <f>IFERROR(__xludf.DUMMYFUNCTION("""COMPUTED_VALUE"""),"FIP Engineering")</f>
        <v>FIP Engineering</v>
      </c>
      <c r="O453" s="6" t="str">
        <f>IFERROR(__xludf.DUMMYFUNCTION("""COMPUTED_VALUE"""),"FIP-DOM-ENG-51508-0000000-INA-000000")</f>
        <v>FIP-DOM-ENG-51508-0000000-INA-000000</v>
      </c>
      <c r="P453" s="6" t="str">
        <f>IFERROR(__xludf.DUMMYFUNCTION("""COMPUTED_VALUE"""),"PO Closed")</f>
        <v>PO Closed</v>
      </c>
      <c r="Q453" s="6" t="str">
        <f>IFERROR(__xludf.DUMMYFUNCTION("""COMPUTED_VALUE"""),"GL1809009")</f>
        <v>GL1809009</v>
      </c>
      <c r="R453" s="16">
        <f>IFERROR(__xludf.DUMMYFUNCTION("""COMPUTED_VALUE"""),43346.0)</f>
        <v>43346</v>
      </c>
      <c r="S453" s="6" t="str">
        <f>IFERROR(__xludf.DUMMYFUNCTION("""COMPUTED_VALUE"""),"-")</f>
        <v>-</v>
      </c>
      <c r="T453" s="17">
        <f>IFERROR(__xludf.DUMMYFUNCTION("""COMPUTED_VALUE"""),43360.0)</f>
        <v>43360</v>
      </c>
    </row>
    <row r="454">
      <c r="A454" s="6" t="str">
        <f>IFERROR(__xludf.DUMMYFUNCTION("""COMPUTED_VALUE"""),"181750313-1")</f>
        <v>181750313-1</v>
      </c>
      <c r="B454" s="6" t="str">
        <f>IFERROR(__xludf.DUMMYFUNCTION("""COMPUTED_VALUE"""),"181750313 - Approved")</f>
        <v>181750313 - Approved</v>
      </c>
      <c r="C454" s="6">
        <f>IFERROR(__xludf.DUMMYFUNCTION("""COMPUTED_VALUE"""),1.0)</f>
        <v>1</v>
      </c>
      <c r="D454" s="6" t="str">
        <f>IFERROR(__xludf.DUMMYFUNCTION("""COMPUTED_VALUE"""),"P-14957-00")</f>
        <v>P-14957-00</v>
      </c>
      <c r="E454" s="6" t="str">
        <f>IFERROR(__xludf.DUMMYFUNCTION("""COMPUTED_VALUE"""),"Straight Union KQ2H08-00A; ; ;")</f>
        <v>Straight Union KQ2H08-00A; ; ;</v>
      </c>
      <c r="F454" s="6">
        <f>IFERROR(__xludf.DUMMYFUNCTION("""COMPUTED_VALUE"""),5.0)</f>
        <v>5</v>
      </c>
      <c r="G454" s="6" t="str">
        <f>IFERROR(__xludf.DUMMYFUNCTION("""COMPUTED_VALUE"""),"Pieces")</f>
        <v>Pieces</v>
      </c>
      <c r="H454" s="6" t="str">
        <f>IFERROR(__xludf.DUMMYFUNCTION("""COMPUTED_VALUE"""),"IDR")</f>
        <v>IDR</v>
      </c>
      <c r="I454" s="11">
        <f>IFERROR(__xludf.DUMMYFUNCTION("""COMPUTED_VALUE"""),31995.0)</f>
        <v>31995</v>
      </c>
      <c r="J454" s="11">
        <f>IFERROR(__xludf.DUMMYFUNCTION("""COMPUTED_VALUE"""),159975.0)</f>
        <v>159975</v>
      </c>
      <c r="K454" s="13">
        <f>IFERROR(__xludf.DUMMYFUNCTION("""COMPUTED_VALUE"""),43364.0)</f>
        <v>43364</v>
      </c>
      <c r="L454" s="6" t="str">
        <f>IFERROR(__xludf.DUMMYFUNCTION("""COMPUTED_VALUE"""),"FIP Engineering")</f>
        <v>FIP Engineering</v>
      </c>
      <c r="M454" s="6" t="str">
        <f>IFERROR(__xludf.DUMMYFUNCTION("""COMPUTED_VALUE"""),"Joko Nugroho")</f>
        <v>Joko Nugroho</v>
      </c>
      <c r="N454" s="6" t="str">
        <f>IFERROR(__xludf.DUMMYFUNCTION("""COMPUTED_VALUE"""),"FIP Engineering")</f>
        <v>FIP Engineering</v>
      </c>
      <c r="O454" s="6" t="str">
        <f>IFERROR(__xludf.DUMMYFUNCTION("""COMPUTED_VALUE"""),"FIP-DOM-000-11304-OS00001-INA-000000")</f>
        <v>FIP-DOM-000-11304-OS00001-INA-000000</v>
      </c>
      <c r="P454" s="6" t="str">
        <f>IFERROR(__xludf.DUMMYFUNCTION("""COMPUTED_VALUE"""),"PO Closed")</f>
        <v>PO Closed</v>
      </c>
      <c r="Q454" s="6" t="str">
        <f>IFERROR(__xludf.DUMMYFUNCTION("""COMPUTED_VALUE"""),"GL1809011")</f>
        <v>GL1809011</v>
      </c>
      <c r="R454" s="16">
        <f>IFERROR(__xludf.DUMMYFUNCTION("""COMPUTED_VALUE"""),43346.0)</f>
        <v>43346</v>
      </c>
      <c r="S454" s="6" t="str">
        <f>IFERROR(__xludf.DUMMYFUNCTION("""COMPUTED_VALUE"""),"-")</f>
        <v>-</v>
      </c>
      <c r="T454" s="17">
        <f>IFERROR(__xludf.DUMMYFUNCTION("""COMPUTED_VALUE"""),43356.0)</f>
        <v>43356</v>
      </c>
    </row>
    <row r="455">
      <c r="A455" s="6" t="str">
        <f>IFERROR(__xludf.DUMMYFUNCTION("""COMPUTED_VALUE"""),"181750313-2")</f>
        <v>181750313-2</v>
      </c>
      <c r="B455" s="6" t="str">
        <f>IFERROR(__xludf.DUMMYFUNCTION("""COMPUTED_VALUE"""),"181750313 - Approved")</f>
        <v>181750313 - Approved</v>
      </c>
      <c r="C455" s="6">
        <f>IFERROR(__xludf.DUMMYFUNCTION("""COMPUTED_VALUE"""),2.0)</f>
        <v>2</v>
      </c>
      <c r="D455" s="6" t="str">
        <f>IFERROR(__xludf.DUMMYFUNCTION("""COMPUTED_VALUE"""),"P-14955-00")</f>
        <v>P-14955-00</v>
      </c>
      <c r="E455" s="6" t="str">
        <f>IFERROR(__xludf.DUMMYFUNCTION("""COMPUTED_VALUE"""),"Straight Union KQ2H04-00A; ; ;")</f>
        <v>Straight Union KQ2H04-00A; ; ;</v>
      </c>
      <c r="F455" s="6">
        <f>IFERROR(__xludf.DUMMYFUNCTION("""COMPUTED_VALUE"""),4.0)</f>
        <v>4</v>
      </c>
      <c r="G455" s="6" t="str">
        <f>IFERROR(__xludf.DUMMYFUNCTION("""COMPUTED_VALUE"""),"Pieces")</f>
        <v>Pieces</v>
      </c>
      <c r="H455" s="6" t="str">
        <f>IFERROR(__xludf.DUMMYFUNCTION("""COMPUTED_VALUE"""),"IDR")</f>
        <v>IDR</v>
      </c>
      <c r="I455" s="11">
        <f>IFERROR(__xludf.DUMMYFUNCTION("""COMPUTED_VALUE"""),27405.0)</f>
        <v>27405</v>
      </c>
      <c r="J455" s="11">
        <f>IFERROR(__xludf.DUMMYFUNCTION("""COMPUTED_VALUE"""),109620.0)</f>
        <v>109620</v>
      </c>
      <c r="K455" s="13">
        <f>IFERROR(__xludf.DUMMYFUNCTION("""COMPUTED_VALUE"""),43364.0)</f>
        <v>43364</v>
      </c>
      <c r="L455" s="6" t="str">
        <f>IFERROR(__xludf.DUMMYFUNCTION("""COMPUTED_VALUE"""),"FIP Engineering")</f>
        <v>FIP Engineering</v>
      </c>
      <c r="M455" s="6" t="str">
        <f>IFERROR(__xludf.DUMMYFUNCTION("""COMPUTED_VALUE"""),"Joko Nugroho")</f>
        <v>Joko Nugroho</v>
      </c>
      <c r="N455" s="6" t="str">
        <f>IFERROR(__xludf.DUMMYFUNCTION("""COMPUTED_VALUE"""),"FIP Engineering")</f>
        <v>FIP Engineering</v>
      </c>
      <c r="O455" s="6" t="str">
        <f>IFERROR(__xludf.DUMMYFUNCTION("""COMPUTED_VALUE"""),"FIP-DOM-000-11304-OS00001-INA-000000")</f>
        <v>FIP-DOM-000-11304-OS00001-INA-000000</v>
      </c>
      <c r="P455" s="6" t="str">
        <f>IFERROR(__xludf.DUMMYFUNCTION("""COMPUTED_VALUE"""),"PO Closed")</f>
        <v>PO Closed</v>
      </c>
      <c r="Q455" s="6" t="str">
        <f>IFERROR(__xludf.DUMMYFUNCTION("""COMPUTED_VALUE"""),"GL1809011")</f>
        <v>GL1809011</v>
      </c>
      <c r="R455" s="16">
        <f>IFERROR(__xludf.DUMMYFUNCTION("""COMPUTED_VALUE"""),43346.0)</f>
        <v>43346</v>
      </c>
      <c r="S455" s="6" t="str">
        <f>IFERROR(__xludf.DUMMYFUNCTION("""COMPUTED_VALUE"""),"-")</f>
        <v>-</v>
      </c>
      <c r="T455" s="13">
        <f>IFERROR(__xludf.DUMMYFUNCTION("""COMPUTED_VALUE"""),43356.0)</f>
        <v>43356</v>
      </c>
    </row>
    <row r="456">
      <c r="A456" s="6" t="str">
        <f>IFERROR(__xludf.DUMMYFUNCTION("""COMPUTED_VALUE"""),"181750313-3")</f>
        <v>181750313-3</v>
      </c>
      <c r="B456" s="6" t="str">
        <f>IFERROR(__xludf.DUMMYFUNCTION("""COMPUTED_VALUE"""),"181750313 - Approved")</f>
        <v>181750313 - Approved</v>
      </c>
      <c r="C456" s="6">
        <f>IFERROR(__xludf.DUMMYFUNCTION("""COMPUTED_VALUE"""),3.0)</f>
        <v>3</v>
      </c>
      <c r="D456" s="6" t="str">
        <f>IFERROR(__xludf.DUMMYFUNCTION("""COMPUTED_VALUE"""),"P-51559-00")</f>
        <v>P-51559-00</v>
      </c>
      <c r="E456" s="6" t="str">
        <f>IFERROR(__xludf.DUMMYFUNCTION("""COMPUTED_VALUE"""),"Lampu T5 14watt Putih; Phillips; ;")</f>
        <v>Lampu T5 14watt Putih; Phillips; ;</v>
      </c>
      <c r="F456" s="6">
        <f>IFERROR(__xludf.DUMMYFUNCTION("""COMPUTED_VALUE"""),40.0)</f>
        <v>40</v>
      </c>
      <c r="G456" s="6" t="str">
        <f>IFERROR(__xludf.DUMMYFUNCTION("""COMPUTED_VALUE"""),"Pack")</f>
        <v>Pack</v>
      </c>
      <c r="H456" s="6" t="str">
        <f>IFERROR(__xludf.DUMMYFUNCTION("""COMPUTED_VALUE"""),"IDR")</f>
        <v>IDR</v>
      </c>
      <c r="I456" s="11">
        <f>IFERROR(__xludf.DUMMYFUNCTION("""COMPUTED_VALUE"""),29700.0)</f>
        <v>29700</v>
      </c>
      <c r="J456" s="11">
        <f>IFERROR(__xludf.DUMMYFUNCTION("""COMPUTED_VALUE"""),1188000.0)</f>
        <v>1188000</v>
      </c>
      <c r="K456" s="13">
        <f>IFERROR(__xludf.DUMMYFUNCTION("""COMPUTED_VALUE"""),43364.0)</f>
        <v>43364</v>
      </c>
      <c r="L456" s="6" t="str">
        <f>IFERROR(__xludf.DUMMYFUNCTION("""COMPUTED_VALUE"""),"FIP Engineering")</f>
        <v>FIP Engineering</v>
      </c>
      <c r="M456" s="6" t="str">
        <f>IFERROR(__xludf.DUMMYFUNCTION("""COMPUTED_VALUE"""),"Joko Nugroho")</f>
        <v>Joko Nugroho</v>
      </c>
      <c r="N456" s="6" t="str">
        <f>IFERROR(__xludf.DUMMYFUNCTION("""COMPUTED_VALUE"""),"FIP Engineering")</f>
        <v>FIP Engineering</v>
      </c>
      <c r="O456" s="6" t="str">
        <f>IFERROR(__xludf.DUMMYFUNCTION("""COMPUTED_VALUE"""),"FIP-DOM-000-11304-OS00001-INA-000000")</f>
        <v>FIP-DOM-000-11304-OS00001-INA-000000</v>
      </c>
      <c r="P456" s="6" t="str">
        <f>IFERROR(__xludf.DUMMYFUNCTION("""COMPUTED_VALUE"""),"PO Closed")</f>
        <v>PO Closed</v>
      </c>
      <c r="Q456" s="6" t="str">
        <f>IFERROR(__xludf.DUMMYFUNCTION("""COMPUTED_VALUE"""),"GL1809007")</f>
        <v>GL1809007</v>
      </c>
      <c r="R456" s="16">
        <f>IFERROR(__xludf.DUMMYFUNCTION("""COMPUTED_VALUE"""),43346.0)</f>
        <v>43346</v>
      </c>
      <c r="S456" s="6" t="str">
        <f>IFERROR(__xludf.DUMMYFUNCTION("""COMPUTED_VALUE"""),"-")</f>
        <v>-</v>
      </c>
      <c r="T456" s="17">
        <f>IFERROR(__xludf.DUMMYFUNCTION("""COMPUTED_VALUE"""),43370.0)</f>
        <v>43370</v>
      </c>
    </row>
    <row r="457">
      <c r="A457" s="6" t="str">
        <f>IFERROR(__xludf.DUMMYFUNCTION("""COMPUTED_VALUE"""),"181750313-4")</f>
        <v>181750313-4</v>
      </c>
      <c r="B457" s="6" t="str">
        <f>IFERROR(__xludf.DUMMYFUNCTION("""COMPUTED_VALUE"""),"181750313 - Approved")</f>
        <v>181750313 - Approved</v>
      </c>
      <c r="C457" s="6">
        <f>IFERROR(__xludf.DUMMYFUNCTION("""COMPUTED_VALUE"""),4.0)</f>
        <v>4</v>
      </c>
      <c r="D457" s="6" t="str">
        <f>IFERROR(__xludf.DUMMYFUNCTION("""COMPUTED_VALUE"""),"P-51560-00")</f>
        <v>P-51560-00</v>
      </c>
      <c r="E457" s="6" t="str">
        <f>IFERROR(__xludf.DUMMYFUNCTION("""COMPUTED_VALUE"""),"Lampu T5 28watt Putih; Phillips; ;")</f>
        <v>Lampu T5 28watt Putih; Phillips; ;</v>
      </c>
      <c r="F457" s="6">
        <f>IFERROR(__xludf.DUMMYFUNCTION("""COMPUTED_VALUE"""),30.0)</f>
        <v>30</v>
      </c>
      <c r="G457" s="6" t="str">
        <f>IFERROR(__xludf.DUMMYFUNCTION("""COMPUTED_VALUE"""),"Pieces")</f>
        <v>Pieces</v>
      </c>
      <c r="H457" s="6" t="str">
        <f>IFERROR(__xludf.DUMMYFUNCTION("""COMPUTED_VALUE"""),"IDR")</f>
        <v>IDR</v>
      </c>
      <c r="I457" s="11">
        <f>IFERROR(__xludf.DUMMYFUNCTION("""COMPUTED_VALUE"""),36000.0)</f>
        <v>36000</v>
      </c>
      <c r="J457" s="11">
        <f>IFERROR(__xludf.DUMMYFUNCTION("""COMPUTED_VALUE"""),1080000.0)</f>
        <v>1080000</v>
      </c>
      <c r="K457" s="13">
        <f>IFERROR(__xludf.DUMMYFUNCTION("""COMPUTED_VALUE"""),43364.0)</f>
        <v>43364</v>
      </c>
      <c r="L457" s="6" t="str">
        <f>IFERROR(__xludf.DUMMYFUNCTION("""COMPUTED_VALUE"""),"FIP Engineering")</f>
        <v>FIP Engineering</v>
      </c>
      <c r="M457" s="6" t="str">
        <f>IFERROR(__xludf.DUMMYFUNCTION("""COMPUTED_VALUE"""),"Joko Nugroho")</f>
        <v>Joko Nugroho</v>
      </c>
      <c r="N457" s="6" t="str">
        <f>IFERROR(__xludf.DUMMYFUNCTION("""COMPUTED_VALUE"""),"FIP Engineering")</f>
        <v>FIP Engineering</v>
      </c>
      <c r="O457" s="6" t="str">
        <f>IFERROR(__xludf.DUMMYFUNCTION("""COMPUTED_VALUE"""),"FIP-DOM-000-11304-OS00001-INA-000000")</f>
        <v>FIP-DOM-000-11304-OS00001-INA-000000</v>
      </c>
      <c r="P457" s="6" t="str">
        <f>IFERROR(__xludf.DUMMYFUNCTION("""COMPUTED_VALUE"""),"PO Closed")</f>
        <v>PO Closed</v>
      </c>
      <c r="Q457" s="6" t="str">
        <f>IFERROR(__xludf.DUMMYFUNCTION("""COMPUTED_VALUE"""),"GL1809007")</f>
        <v>GL1809007</v>
      </c>
      <c r="R457" s="17">
        <f>IFERROR(__xludf.DUMMYFUNCTION("""COMPUTED_VALUE"""),43346.0)</f>
        <v>43346</v>
      </c>
      <c r="S457" s="6" t="str">
        <f>IFERROR(__xludf.DUMMYFUNCTION("""COMPUTED_VALUE"""),"-")</f>
        <v>-</v>
      </c>
      <c r="T457" s="17">
        <f>IFERROR(__xludf.DUMMYFUNCTION("""COMPUTED_VALUE"""),43370.0)</f>
        <v>43370</v>
      </c>
    </row>
    <row r="458">
      <c r="A458" s="6" t="str">
        <f>IFERROR(__xludf.DUMMYFUNCTION("""COMPUTED_VALUE"""),"181750313-5")</f>
        <v>181750313-5</v>
      </c>
      <c r="B458" s="6" t="str">
        <f>IFERROR(__xludf.DUMMYFUNCTION("""COMPUTED_VALUE"""),"181750313 - Approved")</f>
        <v>181750313 - Approved</v>
      </c>
      <c r="C458" s="6">
        <f>IFERROR(__xludf.DUMMYFUNCTION("""COMPUTED_VALUE"""),5.0)</f>
        <v>5</v>
      </c>
      <c r="D458" s="6" t="str">
        <f>IFERROR(__xludf.DUMMYFUNCTION("""COMPUTED_VALUE"""),"P-14956-00")</f>
        <v>P-14956-00</v>
      </c>
      <c r="E458" s="6" t="str">
        <f>IFERROR(__xludf.DUMMYFUNCTION("""COMPUTED_VALUE"""),"Straight Union KQ2H06-00A; ; ;")</f>
        <v>Straight Union KQ2H06-00A; ; ;</v>
      </c>
      <c r="F458" s="6">
        <f>IFERROR(__xludf.DUMMYFUNCTION("""COMPUTED_VALUE"""),6.0)</f>
        <v>6</v>
      </c>
      <c r="G458" s="6" t="str">
        <f>IFERROR(__xludf.DUMMYFUNCTION("""COMPUTED_VALUE"""),"Pieces")</f>
        <v>Pieces</v>
      </c>
      <c r="H458" s="6" t="str">
        <f>IFERROR(__xludf.DUMMYFUNCTION("""COMPUTED_VALUE"""),"IDR")</f>
        <v>IDR</v>
      </c>
      <c r="I458" s="11">
        <f>IFERROR(__xludf.DUMMYFUNCTION("""COMPUTED_VALUE"""),27405.0)</f>
        <v>27405</v>
      </c>
      <c r="J458" s="11">
        <f>IFERROR(__xludf.DUMMYFUNCTION("""COMPUTED_VALUE"""),164430.0)</f>
        <v>164430</v>
      </c>
      <c r="K458" s="13">
        <f>IFERROR(__xludf.DUMMYFUNCTION("""COMPUTED_VALUE"""),43364.0)</f>
        <v>43364</v>
      </c>
      <c r="L458" s="6" t="str">
        <f>IFERROR(__xludf.DUMMYFUNCTION("""COMPUTED_VALUE"""),"FIP Engineering")</f>
        <v>FIP Engineering</v>
      </c>
      <c r="M458" s="6" t="str">
        <f>IFERROR(__xludf.DUMMYFUNCTION("""COMPUTED_VALUE"""),"Joko Nugroho")</f>
        <v>Joko Nugroho</v>
      </c>
      <c r="N458" s="6" t="str">
        <f>IFERROR(__xludf.DUMMYFUNCTION("""COMPUTED_VALUE"""),"FIP Engineering")</f>
        <v>FIP Engineering</v>
      </c>
      <c r="O458" s="6" t="str">
        <f>IFERROR(__xludf.DUMMYFUNCTION("""COMPUTED_VALUE"""),"FIP-DOM-000-11304-OS00001-INA-000000")</f>
        <v>FIP-DOM-000-11304-OS00001-INA-000000</v>
      </c>
      <c r="P458" s="6" t="str">
        <f>IFERROR(__xludf.DUMMYFUNCTION("""COMPUTED_VALUE"""),"PO Closed")</f>
        <v>PO Closed</v>
      </c>
      <c r="Q458" s="6" t="str">
        <f>IFERROR(__xludf.DUMMYFUNCTION("""COMPUTED_VALUE"""),"GL1809011")</f>
        <v>GL1809011</v>
      </c>
      <c r="R458" s="17">
        <f>IFERROR(__xludf.DUMMYFUNCTION("""COMPUTED_VALUE"""),43346.0)</f>
        <v>43346</v>
      </c>
      <c r="S458" s="6" t="str">
        <f>IFERROR(__xludf.DUMMYFUNCTION("""COMPUTED_VALUE"""),"-")</f>
        <v>-</v>
      </c>
      <c r="T458" s="17">
        <f>IFERROR(__xludf.DUMMYFUNCTION("""COMPUTED_VALUE"""),43356.0)</f>
        <v>43356</v>
      </c>
    </row>
    <row r="459">
      <c r="A459" s="6" t="str">
        <f>IFERROR(__xludf.DUMMYFUNCTION("""COMPUTED_VALUE"""),"181750313-6")</f>
        <v>181750313-6</v>
      </c>
      <c r="B459" s="6" t="str">
        <f>IFERROR(__xludf.DUMMYFUNCTION("""COMPUTED_VALUE"""),"181750313 - Approved")</f>
        <v>181750313 - Approved</v>
      </c>
      <c r="C459" s="6">
        <f>IFERROR(__xludf.DUMMYFUNCTION("""COMPUTED_VALUE"""),6.0)</f>
        <v>6</v>
      </c>
      <c r="D459" s="6" t="str">
        <f>IFERROR(__xludf.DUMMYFUNCTION("""COMPUTED_VALUE"""),"S-12006-00")</f>
        <v>S-12006-00</v>
      </c>
      <c r="E459" s="6" t="str">
        <f>IFERROR(__xludf.DUMMYFUNCTION("""COMPUTED_VALUE"""),"Majun")</f>
        <v>Majun</v>
      </c>
      <c r="F459" s="6">
        <f>IFERROR(__xludf.DUMMYFUNCTION("""COMPUTED_VALUE"""),10.0)</f>
        <v>10</v>
      </c>
      <c r="G459" s="6" t="str">
        <f>IFERROR(__xludf.DUMMYFUNCTION("""COMPUTED_VALUE"""),"Kilogram")</f>
        <v>Kilogram</v>
      </c>
      <c r="H459" s="6" t="str">
        <f>IFERROR(__xludf.DUMMYFUNCTION("""COMPUTED_VALUE"""),"IDR")</f>
        <v>IDR</v>
      </c>
      <c r="I459" s="11">
        <f>IFERROR(__xludf.DUMMYFUNCTION("""COMPUTED_VALUE"""),33000.0)</f>
        <v>33000</v>
      </c>
      <c r="J459" s="11">
        <f>IFERROR(__xludf.DUMMYFUNCTION("""COMPUTED_VALUE"""),330000.0)</f>
        <v>330000</v>
      </c>
      <c r="K459" s="13">
        <f>IFERROR(__xludf.DUMMYFUNCTION("""COMPUTED_VALUE"""),43364.0)</f>
        <v>43364</v>
      </c>
      <c r="L459" s="6" t="str">
        <f>IFERROR(__xludf.DUMMYFUNCTION("""COMPUTED_VALUE"""),"FIP General")</f>
        <v>FIP General</v>
      </c>
      <c r="M459" s="6" t="str">
        <f>IFERROR(__xludf.DUMMYFUNCTION("""COMPUTED_VALUE"""),"Joko Nugroho")</f>
        <v>Joko Nugroho</v>
      </c>
      <c r="N459" s="6" t="str">
        <f>IFERROR(__xludf.DUMMYFUNCTION("""COMPUTED_VALUE"""),"FIP Engineering")</f>
        <v>FIP Engineering</v>
      </c>
      <c r="O459" s="6" t="str">
        <f>IFERROR(__xludf.DUMMYFUNCTION("""COMPUTED_VALUE"""),"FIP-DOM-ENG-51302-0000000-INA-000000")</f>
        <v>FIP-DOM-ENG-51302-0000000-INA-000000</v>
      </c>
      <c r="P459" s="6" t="str">
        <f>IFERROR(__xludf.DUMMYFUNCTION("""COMPUTED_VALUE"""),"PO Closed")</f>
        <v>PO Closed</v>
      </c>
      <c r="Q459" s="6" t="str">
        <f>IFERROR(__xludf.DUMMYFUNCTION("""COMPUTED_VALUE"""),"GL1809300")</f>
        <v>GL1809300</v>
      </c>
      <c r="R459" s="17">
        <f>IFERROR(__xludf.DUMMYFUNCTION("""COMPUTED_VALUE"""),43346.0)</f>
        <v>43346</v>
      </c>
      <c r="S459" s="6" t="str">
        <f>IFERROR(__xludf.DUMMYFUNCTION("""COMPUTED_VALUE"""),"-")</f>
        <v>-</v>
      </c>
      <c r="T459" s="17">
        <f>IFERROR(__xludf.DUMMYFUNCTION("""COMPUTED_VALUE"""),43363.0)</f>
        <v>43363</v>
      </c>
    </row>
    <row r="460">
      <c r="A460" s="6" t="str">
        <f>IFERROR(__xludf.DUMMYFUNCTION("""COMPUTED_VALUE"""),"181750311-1")</f>
        <v>181750311-1</v>
      </c>
      <c r="B460" s="6" t="str">
        <f>IFERROR(__xludf.DUMMYFUNCTION("""COMPUTED_VALUE"""),"181750311 - Approved")</f>
        <v>181750311 - Approved</v>
      </c>
      <c r="C460" s="6">
        <f>IFERROR(__xludf.DUMMYFUNCTION("""COMPUTED_VALUE"""),1.0)</f>
        <v>1</v>
      </c>
      <c r="D460" s="6" t="str">
        <f>IFERROR(__xludf.DUMMYFUNCTION("""COMPUTED_VALUE"""),"P-14455-00")</f>
        <v>P-14455-00</v>
      </c>
      <c r="E460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460" s="6">
        <f>IFERROR(__xludf.DUMMYFUNCTION("""COMPUTED_VALUE"""),9.0)</f>
        <v>9</v>
      </c>
      <c r="G460" s="6" t="str">
        <f>IFERROR(__xludf.DUMMYFUNCTION("""COMPUTED_VALUE"""),"Pieces")</f>
        <v>Pieces</v>
      </c>
      <c r="H460" s="6" t="str">
        <f>IFERROR(__xludf.DUMMYFUNCTION("""COMPUTED_VALUE"""),"IDR")</f>
        <v>IDR</v>
      </c>
      <c r="I460" s="11">
        <f>IFERROR(__xludf.DUMMYFUNCTION("""COMPUTED_VALUE"""),1600000.0)</f>
        <v>1600000</v>
      </c>
      <c r="J460" s="11">
        <f>IFERROR(__xludf.DUMMYFUNCTION("""COMPUTED_VALUE"""),1.44E7)</f>
        <v>14400000</v>
      </c>
      <c r="K460" s="13">
        <f>IFERROR(__xludf.DUMMYFUNCTION("""COMPUTED_VALUE"""),43364.0)</f>
        <v>43364</v>
      </c>
      <c r="L460" s="6" t="str">
        <f>IFERROR(__xludf.DUMMYFUNCTION("""COMPUTED_VALUE"""),"FIP Engineering")</f>
        <v>FIP Engineering</v>
      </c>
      <c r="M460" s="6" t="str">
        <f>IFERROR(__xludf.DUMMYFUNCTION("""COMPUTED_VALUE"""),"Joko Nugroho")</f>
        <v>Joko Nugroho</v>
      </c>
      <c r="N460" s="6" t="str">
        <f>IFERROR(__xludf.DUMMYFUNCTION("""COMPUTED_VALUE"""),"FIP Engineering")</f>
        <v>FIP Engineering</v>
      </c>
      <c r="O460" s="6" t="str">
        <f>IFERROR(__xludf.DUMMYFUNCTION("""COMPUTED_VALUE"""),"FIP-DOM-000-11304-OS00001-INA-000000")</f>
        <v>FIP-DOM-000-11304-OS00001-INA-000000</v>
      </c>
      <c r="P460" s="6" t="str">
        <f>IFERROR(__xludf.DUMMYFUNCTION("""COMPUTED_VALUE"""),"PO Closed")</f>
        <v>PO Closed</v>
      </c>
      <c r="Q460" s="6" t="str">
        <f>IFERROR(__xludf.DUMMYFUNCTION("""COMPUTED_VALUE"""),"GL1809010")</f>
        <v>GL1809010</v>
      </c>
      <c r="R460" s="17">
        <f>IFERROR(__xludf.DUMMYFUNCTION("""COMPUTED_VALUE"""),43346.0)</f>
        <v>43346</v>
      </c>
      <c r="S460" s="6" t="str">
        <f>IFERROR(__xludf.DUMMYFUNCTION("""COMPUTED_VALUE"""),"-")</f>
        <v>-</v>
      </c>
      <c r="T460" s="17">
        <f>IFERROR(__xludf.DUMMYFUNCTION("""COMPUTED_VALUE"""),43363.0)</f>
        <v>43363</v>
      </c>
    </row>
    <row r="461">
      <c r="A461" s="6" t="str">
        <f>IFERROR(__xludf.DUMMYFUNCTION("""COMPUTED_VALUE"""),"181750311-2")</f>
        <v>181750311-2</v>
      </c>
      <c r="B461" s="6" t="str">
        <f>IFERROR(__xludf.DUMMYFUNCTION("""COMPUTED_VALUE"""),"181750311 - Approved")</f>
        <v>181750311 - Approved</v>
      </c>
      <c r="C461" s="6">
        <f>IFERROR(__xludf.DUMMYFUNCTION("""COMPUTED_VALUE"""),2.0)</f>
        <v>2</v>
      </c>
      <c r="D461" s="6" t="str">
        <f>IFERROR(__xludf.DUMMYFUNCTION("""COMPUTED_VALUE"""),"S-40023-00")</f>
        <v>S-40023-00</v>
      </c>
      <c r="E461" s="6" t="str">
        <f>IFERROR(__xludf.DUMMYFUNCTION("""COMPUTED_VALUE"""),"Rell Cable Ties, 200 x 7.6 mm; SIGMA; CS 200; Hitam;100 pcs/pack")</f>
        <v>Rell Cable Ties, 200 x 7.6 mm; SIGMA; CS 200; Hitam;100 pcs/pack</v>
      </c>
      <c r="F461" s="6">
        <f>IFERROR(__xludf.DUMMYFUNCTION("""COMPUTED_VALUE"""),1.0)</f>
        <v>1</v>
      </c>
      <c r="G461" s="6" t="str">
        <f>IFERROR(__xludf.DUMMYFUNCTION("""COMPUTED_VALUE"""),"Pack")</f>
        <v>Pack</v>
      </c>
      <c r="H461" s="6" t="str">
        <f>IFERROR(__xludf.DUMMYFUNCTION("""COMPUTED_VALUE"""),"IDR")</f>
        <v>IDR</v>
      </c>
      <c r="I461" s="11">
        <f>IFERROR(__xludf.DUMMYFUNCTION("""COMPUTED_VALUE"""),118500.0)</f>
        <v>118500</v>
      </c>
      <c r="J461" s="11">
        <f>IFERROR(__xludf.DUMMYFUNCTION("""COMPUTED_VALUE"""),118500.0)</f>
        <v>118500</v>
      </c>
      <c r="K461" s="13">
        <f>IFERROR(__xludf.DUMMYFUNCTION("""COMPUTED_VALUE"""),43364.0)</f>
        <v>43364</v>
      </c>
      <c r="L461" s="6" t="str">
        <f>IFERROR(__xludf.DUMMYFUNCTION("""COMPUTED_VALUE"""),"FIP General")</f>
        <v>FIP General</v>
      </c>
      <c r="M461" s="6" t="str">
        <f>IFERROR(__xludf.DUMMYFUNCTION("""COMPUTED_VALUE"""),"Joko Nugroho")</f>
        <v>Joko Nugroho</v>
      </c>
      <c r="N461" s="6" t="str">
        <f>IFERROR(__xludf.DUMMYFUNCTION("""COMPUTED_VALUE"""),"FIP Engineering")</f>
        <v>FIP Engineering</v>
      </c>
      <c r="O461" s="6" t="str">
        <f>IFERROR(__xludf.DUMMYFUNCTION("""COMPUTED_VALUE"""),"FIP-DOM-ENG-51404-0000000-INA-000000")</f>
        <v>FIP-DOM-ENG-51404-0000000-INA-000000</v>
      </c>
      <c r="P461" s="6" t="str">
        <f>IFERROR(__xludf.DUMMYFUNCTION("""COMPUTED_VALUE"""),"PO Closed")</f>
        <v>PO Closed</v>
      </c>
      <c r="Q461" s="6" t="str">
        <f>IFERROR(__xludf.DUMMYFUNCTION("""COMPUTED_VALUE"""),"GL1809017")</f>
        <v>GL1809017</v>
      </c>
      <c r="R461" s="17">
        <f>IFERROR(__xludf.DUMMYFUNCTION("""COMPUTED_VALUE"""),43346.0)</f>
        <v>43346</v>
      </c>
      <c r="S461" s="6" t="str">
        <f>IFERROR(__xludf.DUMMYFUNCTION("""COMPUTED_VALUE"""),"-")</f>
        <v>-</v>
      </c>
      <c r="T461" s="17">
        <f>IFERROR(__xludf.DUMMYFUNCTION("""COMPUTED_VALUE"""),43357.0)</f>
        <v>43357</v>
      </c>
    </row>
    <row r="462">
      <c r="A462" s="6" t="str">
        <f>IFERROR(__xludf.DUMMYFUNCTION("""COMPUTED_VALUE"""),"181750311-3")</f>
        <v>181750311-3</v>
      </c>
      <c r="B462" s="6" t="str">
        <f>IFERROR(__xludf.DUMMYFUNCTION("""COMPUTED_VALUE"""),"181750311 - Approved")</f>
        <v>181750311 - Approved</v>
      </c>
      <c r="C462" s="6">
        <f>IFERROR(__xludf.DUMMYFUNCTION("""COMPUTED_VALUE"""),3.0)</f>
        <v>3</v>
      </c>
      <c r="D462" s="6" t="str">
        <f>IFERROR(__xludf.DUMMYFUNCTION("""COMPUTED_VALUE"""),"P-11990-00")</f>
        <v>P-11990-00</v>
      </c>
      <c r="E462" s="6" t="str">
        <f>IFERROR(__xludf.DUMMYFUNCTION("""COMPUTED_VALUE"""),"Cable ties CS 100L")</f>
        <v>Cable ties CS 100L</v>
      </c>
      <c r="F462" s="6">
        <f>IFERROR(__xludf.DUMMYFUNCTION("""COMPUTED_VALUE"""),3.0)</f>
        <v>3</v>
      </c>
      <c r="G462" s="6" t="str">
        <f>IFERROR(__xludf.DUMMYFUNCTION("""COMPUTED_VALUE"""),"Pieces")</f>
        <v>Pieces</v>
      </c>
      <c r="H462" s="6" t="str">
        <f>IFERROR(__xludf.DUMMYFUNCTION("""COMPUTED_VALUE"""),"IDR")</f>
        <v>IDR</v>
      </c>
      <c r="I462" s="11">
        <f>IFERROR(__xludf.DUMMYFUNCTION("""COMPUTED_VALUE"""),6500.0)</f>
        <v>6500</v>
      </c>
      <c r="J462" s="11">
        <f>IFERROR(__xludf.DUMMYFUNCTION("""COMPUTED_VALUE"""),19500.0)</f>
        <v>19500</v>
      </c>
      <c r="K462" s="13">
        <f>IFERROR(__xludf.DUMMYFUNCTION("""COMPUTED_VALUE"""),43364.0)</f>
        <v>43364</v>
      </c>
      <c r="L462" s="6" t="str">
        <f>IFERROR(__xludf.DUMMYFUNCTION("""COMPUTED_VALUE"""),"FIP Engineering")</f>
        <v>FIP Engineering</v>
      </c>
      <c r="M462" s="6" t="str">
        <f>IFERROR(__xludf.DUMMYFUNCTION("""COMPUTED_VALUE"""),"Joko Nugroho")</f>
        <v>Joko Nugroho</v>
      </c>
      <c r="N462" s="6" t="str">
        <f>IFERROR(__xludf.DUMMYFUNCTION("""COMPUTED_VALUE"""),"FIP Engineering")</f>
        <v>FIP Engineering</v>
      </c>
      <c r="O462" s="6" t="str">
        <f>IFERROR(__xludf.DUMMYFUNCTION("""COMPUTED_VALUE"""),"FIP-DOM-000-11304-OS00001-INA-000000")</f>
        <v>FIP-DOM-000-11304-OS00001-INA-000000</v>
      </c>
      <c r="P462" s="6" t="str">
        <f>IFERROR(__xludf.DUMMYFUNCTION("""COMPUTED_VALUE"""),"PO Closed")</f>
        <v>PO Closed</v>
      </c>
      <c r="Q462" s="6" t="str">
        <f>IFERROR(__xludf.DUMMYFUNCTION("""COMPUTED_VALUE"""),"GL1809007")</f>
        <v>GL1809007</v>
      </c>
      <c r="R462" s="16">
        <f>IFERROR(__xludf.DUMMYFUNCTION("""COMPUTED_VALUE"""),43346.0)</f>
        <v>43346</v>
      </c>
      <c r="S462" s="6" t="str">
        <f>IFERROR(__xludf.DUMMYFUNCTION("""COMPUTED_VALUE"""),"-")</f>
        <v>-</v>
      </c>
      <c r="T462" s="13">
        <f>IFERROR(__xludf.DUMMYFUNCTION("""COMPUTED_VALUE"""),43370.0)</f>
        <v>43370</v>
      </c>
    </row>
    <row r="463">
      <c r="A463" s="6" t="str">
        <f>IFERROR(__xludf.DUMMYFUNCTION("""COMPUTED_VALUE"""),"181750311-4")</f>
        <v>181750311-4</v>
      </c>
      <c r="B463" s="6" t="str">
        <f>IFERROR(__xludf.DUMMYFUNCTION("""COMPUTED_VALUE"""),"181750311 - Approved")</f>
        <v>181750311 - Approved</v>
      </c>
      <c r="C463" s="6">
        <f>IFERROR(__xludf.DUMMYFUNCTION("""COMPUTED_VALUE"""),4.0)</f>
        <v>4</v>
      </c>
      <c r="D463" s="6" t="str">
        <f>IFERROR(__xludf.DUMMYFUNCTION("""COMPUTED_VALUE"""),"S-40023-00")</f>
        <v>S-40023-00</v>
      </c>
      <c r="E463" s="6" t="str">
        <f>IFERROR(__xludf.DUMMYFUNCTION("""COMPUTED_VALUE"""),"Cable Ties, 300 x 4.8 mm; SIGMA; CS 300L; Hitam;100 pcs/pack")</f>
        <v>Cable Ties, 300 x 4.8 mm; SIGMA; CS 300L; Hitam;100 pcs/pack</v>
      </c>
      <c r="F463" s="6">
        <f>IFERROR(__xludf.DUMMYFUNCTION("""COMPUTED_VALUE"""),2.0)</f>
        <v>2</v>
      </c>
      <c r="G463" s="6" t="str">
        <f>IFERROR(__xludf.DUMMYFUNCTION("""COMPUTED_VALUE"""),"Pack")</f>
        <v>Pack</v>
      </c>
      <c r="H463" s="6" t="str">
        <f>IFERROR(__xludf.DUMMYFUNCTION("""COMPUTED_VALUE"""),"IDR")</f>
        <v>IDR</v>
      </c>
      <c r="I463" s="11">
        <f>IFERROR(__xludf.DUMMYFUNCTION("""COMPUTED_VALUE"""),29500.0)</f>
        <v>29500</v>
      </c>
      <c r="J463" s="11">
        <f>IFERROR(__xludf.DUMMYFUNCTION("""COMPUTED_VALUE"""),59000.0)</f>
        <v>59000</v>
      </c>
      <c r="K463" s="13">
        <f>IFERROR(__xludf.DUMMYFUNCTION("""COMPUTED_VALUE"""),43364.0)</f>
        <v>43364</v>
      </c>
      <c r="L463" s="6" t="str">
        <f>IFERROR(__xludf.DUMMYFUNCTION("""COMPUTED_VALUE"""),"FIP General")</f>
        <v>FIP General</v>
      </c>
      <c r="M463" s="6" t="str">
        <f>IFERROR(__xludf.DUMMYFUNCTION("""COMPUTED_VALUE"""),"Joko Nugroho")</f>
        <v>Joko Nugroho</v>
      </c>
      <c r="N463" s="6" t="str">
        <f>IFERROR(__xludf.DUMMYFUNCTION("""COMPUTED_VALUE"""),"FIP Engineering")</f>
        <v>FIP Engineering</v>
      </c>
      <c r="O463" s="6" t="str">
        <f>IFERROR(__xludf.DUMMYFUNCTION("""COMPUTED_VALUE"""),"FIP-DOM-ENG-51404-0000000-INA-000000")</f>
        <v>FIP-DOM-ENG-51404-0000000-INA-000000</v>
      </c>
      <c r="P463" s="6" t="str">
        <f>IFERROR(__xludf.DUMMYFUNCTION("""COMPUTED_VALUE"""),"PO Closed")</f>
        <v>PO Closed</v>
      </c>
      <c r="Q463" s="6" t="str">
        <f>IFERROR(__xludf.DUMMYFUNCTION("""COMPUTED_VALUE"""),"GL1809017")</f>
        <v>GL1809017</v>
      </c>
      <c r="R463" s="16">
        <f>IFERROR(__xludf.DUMMYFUNCTION("""COMPUTED_VALUE"""),43346.0)</f>
        <v>43346</v>
      </c>
      <c r="S463" s="6" t="str">
        <f>IFERROR(__xludf.DUMMYFUNCTION("""COMPUTED_VALUE"""),"-")</f>
        <v>-</v>
      </c>
      <c r="T463" s="13">
        <f>IFERROR(__xludf.DUMMYFUNCTION("""COMPUTED_VALUE"""),43357.0)</f>
        <v>43357</v>
      </c>
    </row>
    <row r="464">
      <c r="A464" s="6" t="str">
        <f>IFERROR(__xludf.DUMMYFUNCTION("""COMPUTED_VALUE"""),"181750325-1")</f>
        <v>181750325-1</v>
      </c>
      <c r="B464" s="6" t="str">
        <f>IFERROR(__xludf.DUMMYFUNCTION("""COMPUTED_VALUE"""),"181750325 - Approved")</f>
        <v>181750325 - Approved</v>
      </c>
      <c r="C464" s="6">
        <f>IFERROR(__xludf.DUMMYFUNCTION("""COMPUTED_VALUE"""),1.0)</f>
        <v>1</v>
      </c>
      <c r="D464" s="6" t="str">
        <f>IFERROR(__xludf.DUMMYFUNCTION("""COMPUTED_VALUE"""),"S-62032-00")</f>
        <v>S-62032-00</v>
      </c>
      <c r="E464" s="6" t="str">
        <f>IFERROR(__xludf.DUMMYFUNCTION("""COMPUTED_VALUE"""),"Refill Argon HP; Gas Content : 1,5 M3 ; Gas Purrity : 99,995%; Filling Pressure : 150 Bar; ; ;")</f>
        <v>Refill Argon HP; Gas Content : 1,5 M3 ; Gas Purrity : 99,995%; Filling Pressure : 150 Bar; ; ;</v>
      </c>
      <c r="F464" s="6">
        <f>IFERROR(__xludf.DUMMYFUNCTION("""COMPUTED_VALUE"""),1.0)</f>
        <v>1</v>
      </c>
      <c r="G464" s="6" t="str">
        <f>IFERROR(__xludf.DUMMYFUNCTION("""COMPUTED_VALUE"""),"Tube")</f>
        <v>Tube</v>
      </c>
      <c r="H464" s="6" t="str">
        <f>IFERROR(__xludf.DUMMYFUNCTION("""COMPUTED_VALUE"""),"IDR")</f>
        <v>IDR</v>
      </c>
      <c r="I464" s="11">
        <f>IFERROR(__xludf.DUMMYFUNCTION("""COMPUTED_VALUE"""),235000.0)</f>
        <v>235000</v>
      </c>
      <c r="J464" s="11">
        <f>IFERROR(__xludf.DUMMYFUNCTION("""COMPUTED_VALUE"""),235000.0)</f>
        <v>235000</v>
      </c>
      <c r="K464" s="13">
        <f>IFERROR(__xludf.DUMMYFUNCTION("""COMPUTED_VALUE"""),43357.0)</f>
        <v>43357</v>
      </c>
      <c r="L464" s="6" t="str">
        <f>IFERROR(__xludf.DUMMYFUNCTION("""COMPUTED_VALUE"""),"FIP General")</f>
        <v>FIP General</v>
      </c>
      <c r="M464" s="6" t="str">
        <f>IFERROR(__xludf.DUMMYFUNCTION("""COMPUTED_VALUE"""),"Joko Nugroho")</f>
        <v>Joko Nugroho</v>
      </c>
      <c r="N464" s="6" t="str">
        <f>IFERROR(__xludf.DUMMYFUNCTION("""COMPUTED_VALUE"""),"FIP Engineering")</f>
        <v>FIP Engineering</v>
      </c>
      <c r="O464" s="6" t="str">
        <f>IFERROR(__xludf.DUMMYFUNCTION("""COMPUTED_VALUE"""),"FIP-DOM-ENG-51404-0000000-INA-000000")</f>
        <v>FIP-DOM-ENG-51404-0000000-INA-000000</v>
      </c>
      <c r="P464" s="6" t="str">
        <f>IFERROR(__xludf.DUMMYFUNCTION("""COMPUTED_VALUE"""),"PO Closed")</f>
        <v>PO Closed</v>
      </c>
      <c r="Q464" s="6" t="str">
        <f>IFERROR(__xludf.DUMMYFUNCTION("""COMPUTED_VALUE"""),"GL1810026")</f>
        <v>GL1810026</v>
      </c>
      <c r="R464" s="16">
        <f>IFERROR(__xludf.DUMMYFUNCTION("""COMPUTED_VALUE"""),43347.0)</f>
        <v>43347</v>
      </c>
      <c r="S464" s="6" t="str">
        <f>IFERROR(__xludf.DUMMYFUNCTION("""COMPUTED_VALUE"""),"-")</f>
        <v>-</v>
      </c>
      <c r="T464" s="13">
        <f>IFERROR(__xludf.DUMMYFUNCTION("""COMPUTED_VALUE"""),43389.0)</f>
        <v>43389</v>
      </c>
    </row>
    <row r="465">
      <c r="A465" s="6" t="str">
        <f>IFERROR(__xludf.DUMMYFUNCTION("""COMPUTED_VALUE"""),"181750325-2")</f>
        <v>181750325-2</v>
      </c>
      <c r="B465" s="6" t="str">
        <f>IFERROR(__xludf.DUMMYFUNCTION("""COMPUTED_VALUE"""),"181750325 - Approved")</f>
        <v>181750325 - Approved</v>
      </c>
      <c r="C465" s="6">
        <f>IFERROR(__xludf.DUMMYFUNCTION("""COMPUTED_VALUE"""),2.0)</f>
        <v>2</v>
      </c>
      <c r="D465" s="6" t="str">
        <f>IFERROR(__xludf.DUMMYFUNCTION("""COMPUTED_VALUE"""),"S-62036-00")</f>
        <v>S-62036-00</v>
      </c>
      <c r="E465" s="6" t="str">
        <f>IFERROR(__xludf.DUMMYFUNCTION("""COMPUTED_VALUE"""),"Refill Argon HP ARGON HP 6 m3; ; ;")</f>
        <v>Refill Argon HP ARGON HP 6 m3; ; ;</v>
      </c>
      <c r="F465" s="6">
        <f>IFERROR(__xludf.DUMMYFUNCTION("""COMPUTED_VALUE"""),1.0)</f>
        <v>1</v>
      </c>
      <c r="G465" s="6" t="str">
        <f>IFERROR(__xludf.DUMMYFUNCTION("""COMPUTED_VALUE"""),"Tube")</f>
        <v>Tube</v>
      </c>
      <c r="H465" s="6" t="str">
        <f>IFERROR(__xludf.DUMMYFUNCTION("""COMPUTED_VALUE"""),"IDR")</f>
        <v>IDR</v>
      </c>
      <c r="I465" s="11">
        <f>IFERROR(__xludf.DUMMYFUNCTION("""COMPUTED_VALUE"""),315000.0)</f>
        <v>315000</v>
      </c>
      <c r="J465" s="11">
        <f>IFERROR(__xludf.DUMMYFUNCTION("""COMPUTED_VALUE"""),315000.0)</f>
        <v>315000</v>
      </c>
      <c r="K465" s="13">
        <f>IFERROR(__xludf.DUMMYFUNCTION("""COMPUTED_VALUE"""),43357.0)</f>
        <v>43357</v>
      </c>
      <c r="L465" s="6" t="str">
        <f>IFERROR(__xludf.DUMMYFUNCTION("""COMPUTED_VALUE"""),"FIP General")</f>
        <v>FIP General</v>
      </c>
      <c r="M465" s="6" t="str">
        <f>IFERROR(__xludf.DUMMYFUNCTION("""COMPUTED_VALUE"""),"Joko Nugroho")</f>
        <v>Joko Nugroho</v>
      </c>
      <c r="N465" s="6" t="str">
        <f>IFERROR(__xludf.DUMMYFUNCTION("""COMPUTED_VALUE"""),"FIP Engineering")</f>
        <v>FIP Engineering</v>
      </c>
      <c r="O465" s="6" t="str">
        <f>IFERROR(__xludf.DUMMYFUNCTION("""COMPUTED_VALUE"""),"FIP-DOM-ENG-51404-0000000-INA-000000")</f>
        <v>FIP-DOM-ENG-51404-0000000-INA-000000</v>
      </c>
      <c r="P465" s="6" t="str">
        <f>IFERROR(__xludf.DUMMYFUNCTION("""COMPUTED_VALUE"""),"PO Closed")</f>
        <v>PO Closed</v>
      </c>
      <c r="Q465" s="6" t="str">
        <f>IFERROR(__xludf.DUMMYFUNCTION("""COMPUTED_VALUE"""),"GL1810026")</f>
        <v>GL1810026</v>
      </c>
      <c r="R465" s="16">
        <f>IFERROR(__xludf.DUMMYFUNCTION("""COMPUTED_VALUE"""),43347.0)</f>
        <v>43347</v>
      </c>
      <c r="S465" s="6" t="str">
        <f>IFERROR(__xludf.DUMMYFUNCTION("""COMPUTED_VALUE"""),"-")</f>
        <v>-</v>
      </c>
      <c r="T465" s="13">
        <f>IFERROR(__xludf.DUMMYFUNCTION("""COMPUTED_VALUE"""),43389.0)</f>
        <v>43389</v>
      </c>
    </row>
    <row r="466">
      <c r="A466" s="6" t="str">
        <f>IFERROR(__xludf.DUMMYFUNCTION("""COMPUTED_VALUE"""),"181750324-1")</f>
        <v>181750324-1</v>
      </c>
      <c r="B466" s="6" t="str">
        <f>IFERROR(__xludf.DUMMYFUNCTION("""COMPUTED_VALUE"""),"181750324 - Approved")</f>
        <v>181750324 - Approved</v>
      </c>
      <c r="C466" s="6">
        <f>IFERROR(__xludf.DUMMYFUNCTION("""COMPUTED_VALUE"""),1.0)</f>
        <v>1</v>
      </c>
      <c r="D466" s="6" t="str">
        <f>IFERROR(__xludf.DUMMYFUNCTION("""COMPUTED_VALUE"""),"O-12736-00")</f>
        <v>O-12736-00</v>
      </c>
      <c r="E466" s="6" t="str">
        <f>IFERROR(__xludf.DUMMYFUNCTION("""COMPUTED_VALUE"""),"Tubing Polyurethane TU0425 Clear; ; ;")</f>
        <v>Tubing Polyurethane TU0425 Clear; ; ;</v>
      </c>
      <c r="F466" s="6">
        <f>IFERROR(__xludf.DUMMYFUNCTION("""COMPUTED_VALUE"""),2.0)</f>
        <v>2</v>
      </c>
      <c r="G466" s="6" t="str">
        <f>IFERROR(__xludf.DUMMYFUNCTION("""COMPUTED_VALUE"""),"Roll")</f>
        <v>Roll</v>
      </c>
      <c r="H466" s="6" t="str">
        <f>IFERROR(__xludf.DUMMYFUNCTION("""COMPUTED_VALUE"""),"IDR")</f>
        <v>IDR</v>
      </c>
      <c r="I466" s="11">
        <f>IFERROR(__xludf.DUMMYFUNCTION("""COMPUTED_VALUE"""),80000.0)</f>
        <v>80000</v>
      </c>
      <c r="J466" s="11">
        <f>IFERROR(__xludf.DUMMYFUNCTION("""COMPUTED_VALUE"""),160000.0)</f>
        <v>160000</v>
      </c>
      <c r="K466" s="13">
        <f>IFERROR(__xludf.DUMMYFUNCTION("""COMPUTED_VALUE"""),43360.0)</f>
        <v>43360</v>
      </c>
      <c r="L466" s="6" t="str">
        <f>IFERROR(__xludf.DUMMYFUNCTION("""COMPUTED_VALUE"""),"FIP General")</f>
        <v>FIP General</v>
      </c>
      <c r="M466" s="6" t="str">
        <f>IFERROR(__xludf.DUMMYFUNCTION("""COMPUTED_VALUE"""),"Joko Nugroho")</f>
        <v>Joko Nugroho</v>
      </c>
      <c r="N466" s="6" t="str">
        <f>IFERROR(__xludf.DUMMYFUNCTION("""COMPUTED_VALUE"""),"FIP Engineering")</f>
        <v>FIP Engineering</v>
      </c>
      <c r="O466" s="6" t="str">
        <f>IFERROR(__xludf.DUMMYFUNCTION("""COMPUTED_VALUE"""),"FIP-DOM-ENG-51404-0000000-INA-000000")</f>
        <v>FIP-DOM-ENG-51404-0000000-INA-000000</v>
      </c>
      <c r="P466" s="6" t="str">
        <f>IFERROR(__xludf.DUMMYFUNCTION("""COMPUTED_VALUE"""),"PO Closed")</f>
        <v>PO Closed</v>
      </c>
      <c r="Q466" s="6" t="str">
        <f>IFERROR(__xludf.DUMMYFUNCTION("""COMPUTED_VALUE"""),"GL1809027")</f>
        <v>GL1809027</v>
      </c>
      <c r="R466" s="16">
        <f>IFERROR(__xludf.DUMMYFUNCTION("""COMPUTED_VALUE"""),43347.0)</f>
        <v>43347</v>
      </c>
      <c r="S466" s="6" t="str">
        <f>IFERROR(__xludf.DUMMYFUNCTION("""COMPUTED_VALUE"""),"-")</f>
        <v>-</v>
      </c>
      <c r="T466" s="13">
        <f>IFERROR(__xludf.DUMMYFUNCTION("""COMPUTED_VALUE"""),43360.0)</f>
        <v>43360</v>
      </c>
    </row>
    <row r="467">
      <c r="A467" s="6" t="str">
        <f>IFERROR(__xludf.DUMMYFUNCTION("""COMPUTED_VALUE"""),"181750324-2")</f>
        <v>181750324-2</v>
      </c>
      <c r="B467" s="6" t="str">
        <f>IFERROR(__xludf.DUMMYFUNCTION("""COMPUTED_VALUE"""),"181750324 - Approved")</f>
        <v>181750324 - Approved</v>
      </c>
      <c r="C467" s="6">
        <f>IFERROR(__xludf.DUMMYFUNCTION("""COMPUTED_VALUE"""),2.0)</f>
        <v>2</v>
      </c>
      <c r="D467" s="6" t="str">
        <f>IFERROR(__xludf.DUMMYFUNCTION("""COMPUTED_VALUE"""),"O-12735-00")</f>
        <v>O-12735-00</v>
      </c>
      <c r="E467" s="6" t="str">
        <f>IFERROR(__xludf.DUMMYFUNCTION("""COMPUTED_VALUE"""),"Tubing Polyurethane TU0604 Clear; SMC; Part No. X3; roll")</f>
        <v>Tubing Polyurethane TU0604 Clear; SMC; Part No. X3; roll</v>
      </c>
      <c r="F467" s="6">
        <f>IFERROR(__xludf.DUMMYFUNCTION("""COMPUTED_VALUE"""),2.0)</f>
        <v>2</v>
      </c>
      <c r="G467" s="6" t="str">
        <f>IFERROR(__xludf.DUMMYFUNCTION("""COMPUTED_VALUE"""),"Roll")</f>
        <v>Roll</v>
      </c>
      <c r="H467" s="6" t="str">
        <f>IFERROR(__xludf.DUMMYFUNCTION("""COMPUTED_VALUE"""),"IDR")</f>
        <v>IDR</v>
      </c>
      <c r="I467" s="11">
        <f>IFERROR(__xludf.DUMMYFUNCTION("""COMPUTED_VALUE"""),220000.0)</f>
        <v>220000</v>
      </c>
      <c r="J467" s="11">
        <f>IFERROR(__xludf.DUMMYFUNCTION("""COMPUTED_VALUE"""),440000.0)</f>
        <v>440000</v>
      </c>
      <c r="K467" s="13">
        <f>IFERROR(__xludf.DUMMYFUNCTION("""COMPUTED_VALUE"""),43360.0)</f>
        <v>43360</v>
      </c>
      <c r="L467" s="6" t="str">
        <f>IFERROR(__xludf.DUMMYFUNCTION("""COMPUTED_VALUE"""),"FIP General")</f>
        <v>FIP General</v>
      </c>
      <c r="M467" s="6" t="str">
        <f>IFERROR(__xludf.DUMMYFUNCTION("""COMPUTED_VALUE"""),"Joko Nugroho")</f>
        <v>Joko Nugroho</v>
      </c>
      <c r="N467" s="6" t="str">
        <f>IFERROR(__xludf.DUMMYFUNCTION("""COMPUTED_VALUE"""),"FIP Engineering")</f>
        <v>FIP Engineering</v>
      </c>
      <c r="O467" s="6" t="str">
        <f>IFERROR(__xludf.DUMMYFUNCTION("""COMPUTED_VALUE"""),"FIP-DOM-ENG-51404-0000000-INA-000000")</f>
        <v>FIP-DOM-ENG-51404-0000000-INA-000000</v>
      </c>
      <c r="P467" s="6" t="str">
        <f>IFERROR(__xludf.DUMMYFUNCTION("""COMPUTED_VALUE"""),"PO Closed")</f>
        <v>PO Closed</v>
      </c>
      <c r="Q467" s="6" t="str">
        <f>IFERROR(__xludf.DUMMYFUNCTION("""COMPUTED_VALUE"""),"GL1809027")</f>
        <v>GL1809027</v>
      </c>
      <c r="R467" s="16">
        <f>IFERROR(__xludf.DUMMYFUNCTION("""COMPUTED_VALUE"""),43347.0)</f>
        <v>43347</v>
      </c>
      <c r="S467" s="6" t="str">
        <f>IFERROR(__xludf.DUMMYFUNCTION("""COMPUTED_VALUE"""),"-")</f>
        <v>-</v>
      </c>
      <c r="T467" s="13">
        <f>IFERROR(__xludf.DUMMYFUNCTION("""COMPUTED_VALUE"""),43360.0)</f>
        <v>43360</v>
      </c>
    </row>
    <row r="468">
      <c r="A468" s="6" t="str">
        <f>IFERROR(__xludf.DUMMYFUNCTION("""COMPUTED_VALUE"""),"181750324-3")</f>
        <v>181750324-3</v>
      </c>
      <c r="B468" s="6" t="str">
        <f>IFERROR(__xludf.DUMMYFUNCTION("""COMPUTED_VALUE"""),"181750324 - Approved")</f>
        <v>181750324 - Approved</v>
      </c>
      <c r="C468" s="6">
        <f>IFERROR(__xludf.DUMMYFUNCTION("""COMPUTED_VALUE"""),3.0)</f>
        <v>3</v>
      </c>
      <c r="D468" s="6" t="str">
        <f>IFERROR(__xludf.DUMMYFUNCTION("""COMPUTED_VALUE"""),"O-12734-00")</f>
        <v>O-12734-00</v>
      </c>
      <c r="E468" s="6" t="str">
        <f>IFERROR(__xludf.DUMMYFUNCTION("""COMPUTED_VALUE"""),"Tubing Polyurethane TU0805 Clear; SMC; Part No. X3; roll")</f>
        <v>Tubing Polyurethane TU0805 Clear; SMC; Part No. X3; roll</v>
      </c>
      <c r="F468" s="6">
        <f>IFERROR(__xludf.DUMMYFUNCTION("""COMPUTED_VALUE"""),2.0)</f>
        <v>2</v>
      </c>
      <c r="G468" s="6" t="str">
        <f>IFERROR(__xludf.DUMMYFUNCTION("""COMPUTED_VALUE"""),"Roll")</f>
        <v>Roll</v>
      </c>
      <c r="H468" s="6" t="str">
        <f>IFERROR(__xludf.DUMMYFUNCTION("""COMPUTED_VALUE"""),"IDR")</f>
        <v>IDR</v>
      </c>
      <c r="I468" s="11">
        <f>IFERROR(__xludf.DUMMYFUNCTION("""COMPUTED_VALUE"""),400000.0)</f>
        <v>400000</v>
      </c>
      <c r="J468" s="11">
        <f>IFERROR(__xludf.DUMMYFUNCTION("""COMPUTED_VALUE"""),800000.0)</f>
        <v>800000</v>
      </c>
      <c r="K468" s="13">
        <f>IFERROR(__xludf.DUMMYFUNCTION("""COMPUTED_VALUE"""),43360.0)</f>
        <v>43360</v>
      </c>
      <c r="L468" s="6" t="str">
        <f>IFERROR(__xludf.DUMMYFUNCTION("""COMPUTED_VALUE"""),"FIP General")</f>
        <v>FIP General</v>
      </c>
      <c r="M468" s="6" t="str">
        <f>IFERROR(__xludf.DUMMYFUNCTION("""COMPUTED_VALUE"""),"Joko Nugroho")</f>
        <v>Joko Nugroho</v>
      </c>
      <c r="N468" s="6" t="str">
        <f>IFERROR(__xludf.DUMMYFUNCTION("""COMPUTED_VALUE"""),"FIP Engineering")</f>
        <v>FIP Engineering</v>
      </c>
      <c r="O468" s="6" t="str">
        <f>IFERROR(__xludf.DUMMYFUNCTION("""COMPUTED_VALUE"""),"FIP-DOM-ENG-51404-0000000-INA-000000")</f>
        <v>FIP-DOM-ENG-51404-0000000-INA-000000</v>
      </c>
      <c r="P468" s="6" t="str">
        <f>IFERROR(__xludf.DUMMYFUNCTION("""COMPUTED_VALUE"""),"PO Closed")</f>
        <v>PO Closed</v>
      </c>
      <c r="Q468" s="6" t="str">
        <f>IFERROR(__xludf.DUMMYFUNCTION("""COMPUTED_VALUE"""),"GL1809027")</f>
        <v>GL1809027</v>
      </c>
      <c r="R468" s="16">
        <f>IFERROR(__xludf.DUMMYFUNCTION("""COMPUTED_VALUE"""),43347.0)</f>
        <v>43347</v>
      </c>
      <c r="S468" s="6" t="str">
        <f>IFERROR(__xludf.DUMMYFUNCTION("""COMPUTED_VALUE"""),"-")</f>
        <v>-</v>
      </c>
      <c r="T468" s="17">
        <f>IFERROR(__xludf.DUMMYFUNCTION("""COMPUTED_VALUE"""),43360.0)</f>
        <v>43360</v>
      </c>
    </row>
    <row r="469">
      <c r="A469" s="6" t="str">
        <f>IFERROR(__xludf.DUMMYFUNCTION("""COMPUTED_VALUE"""),"181750324-4")</f>
        <v>181750324-4</v>
      </c>
      <c r="B469" s="6" t="str">
        <f>IFERROR(__xludf.DUMMYFUNCTION("""COMPUTED_VALUE"""),"181750324 - Approved")</f>
        <v>181750324 - Approved</v>
      </c>
      <c r="C469" s="6">
        <f>IFERROR(__xludf.DUMMYFUNCTION("""COMPUTED_VALUE"""),4.0)</f>
        <v>4</v>
      </c>
      <c r="D469" s="6" t="str">
        <f>IFERROR(__xludf.DUMMYFUNCTION("""COMPUTED_VALUE"""),"O-12733-00")</f>
        <v>O-12733-00</v>
      </c>
      <c r="E469" s="6" t="str">
        <f>IFERROR(__xludf.DUMMYFUNCTION("""COMPUTED_VALUE"""),"Tubing Polyurethane TU1065 Clear; SMC; Part No. X3; roll")</f>
        <v>Tubing Polyurethane TU1065 Clear; SMC; Part No. X3; roll</v>
      </c>
      <c r="F469" s="6">
        <f>IFERROR(__xludf.DUMMYFUNCTION("""COMPUTED_VALUE"""),2.0)</f>
        <v>2</v>
      </c>
      <c r="G469" s="6" t="str">
        <f>IFERROR(__xludf.DUMMYFUNCTION("""COMPUTED_VALUE"""),"Roll")</f>
        <v>Roll</v>
      </c>
      <c r="H469" s="6" t="str">
        <f>IFERROR(__xludf.DUMMYFUNCTION("""COMPUTED_VALUE"""),"IDR")</f>
        <v>IDR</v>
      </c>
      <c r="I469" s="11">
        <f>IFERROR(__xludf.DUMMYFUNCTION("""COMPUTED_VALUE"""),660000.0)</f>
        <v>660000</v>
      </c>
      <c r="J469" s="11">
        <f>IFERROR(__xludf.DUMMYFUNCTION("""COMPUTED_VALUE"""),1320000.0)</f>
        <v>1320000</v>
      </c>
      <c r="K469" s="13">
        <f>IFERROR(__xludf.DUMMYFUNCTION("""COMPUTED_VALUE"""),43360.0)</f>
        <v>43360</v>
      </c>
      <c r="L469" s="6" t="str">
        <f>IFERROR(__xludf.DUMMYFUNCTION("""COMPUTED_VALUE"""),"FIP General")</f>
        <v>FIP General</v>
      </c>
      <c r="M469" s="6" t="str">
        <f>IFERROR(__xludf.DUMMYFUNCTION("""COMPUTED_VALUE"""),"Joko Nugroho")</f>
        <v>Joko Nugroho</v>
      </c>
      <c r="N469" s="6" t="str">
        <f>IFERROR(__xludf.DUMMYFUNCTION("""COMPUTED_VALUE"""),"FIP Engineering")</f>
        <v>FIP Engineering</v>
      </c>
      <c r="O469" s="6" t="str">
        <f>IFERROR(__xludf.DUMMYFUNCTION("""COMPUTED_VALUE"""),"FIP-DOM-ENG-51404-0000000-INA-000000")</f>
        <v>FIP-DOM-ENG-51404-0000000-INA-000000</v>
      </c>
      <c r="P469" s="6" t="str">
        <f>IFERROR(__xludf.DUMMYFUNCTION("""COMPUTED_VALUE"""),"PO Closed")</f>
        <v>PO Closed</v>
      </c>
      <c r="Q469" s="6" t="str">
        <f>IFERROR(__xludf.DUMMYFUNCTION("""COMPUTED_VALUE"""),"GL1809027")</f>
        <v>GL1809027</v>
      </c>
      <c r="R469" s="16">
        <f>IFERROR(__xludf.DUMMYFUNCTION("""COMPUTED_VALUE"""),43347.0)</f>
        <v>43347</v>
      </c>
      <c r="S469" s="6" t="str">
        <f>IFERROR(__xludf.DUMMYFUNCTION("""COMPUTED_VALUE"""),"-")</f>
        <v>-</v>
      </c>
      <c r="T469" s="17">
        <f>IFERROR(__xludf.DUMMYFUNCTION("""COMPUTED_VALUE"""),43360.0)</f>
        <v>43360</v>
      </c>
    </row>
    <row r="470">
      <c r="A470" s="6" t="str">
        <f>IFERROR(__xludf.DUMMYFUNCTION("""COMPUTED_VALUE"""),"181750324-5")</f>
        <v>181750324-5</v>
      </c>
      <c r="B470" s="6" t="str">
        <f>IFERROR(__xludf.DUMMYFUNCTION("""COMPUTED_VALUE"""),"181750324 - Approved")</f>
        <v>181750324 - Approved</v>
      </c>
      <c r="C470" s="6">
        <f>IFERROR(__xludf.DUMMYFUNCTION("""COMPUTED_VALUE"""),5.0)</f>
        <v>5</v>
      </c>
      <c r="D470" s="6" t="str">
        <f>IFERROR(__xludf.DUMMYFUNCTION("""COMPUTED_VALUE"""),"O-12732-00")</f>
        <v>O-12732-00</v>
      </c>
      <c r="E470" s="6" t="str">
        <f>IFERROR(__xludf.DUMMYFUNCTION("""COMPUTED_VALUE"""),"Tubing Polyurethane TU1208 Clear; SMC; Part No. X3; roll")</f>
        <v>Tubing Polyurethane TU1208 Clear; SMC; Part No. X3; roll</v>
      </c>
      <c r="F470" s="6">
        <f>IFERROR(__xludf.DUMMYFUNCTION("""COMPUTED_VALUE"""),1.0)</f>
        <v>1</v>
      </c>
      <c r="G470" s="6" t="str">
        <f>IFERROR(__xludf.DUMMYFUNCTION("""COMPUTED_VALUE"""),"Roll")</f>
        <v>Roll</v>
      </c>
      <c r="H470" s="6" t="str">
        <f>IFERROR(__xludf.DUMMYFUNCTION("""COMPUTED_VALUE"""),"IDR")</f>
        <v>IDR</v>
      </c>
      <c r="I470" s="11">
        <f>IFERROR(__xludf.DUMMYFUNCTION("""COMPUTED_VALUE"""),1020000.0)</f>
        <v>1020000</v>
      </c>
      <c r="J470" s="11">
        <f>IFERROR(__xludf.DUMMYFUNCTION("""COMPUTED_VALUE"""),1020000.0)</f>
        <v>1020000</v>
      </c>
      <c r="K470" s="13">
        <f>IFERROR(__xludf.DUMMYFUNCTION("""COMPUTED_VALUE"""),43360.0)</f>
        <v>43360</v>
      </c>
      <c r="L470" s="6" t="str">
        <f>IFERROR(__xludf.DUMMYFUNCTION("""COMPUTED_VALUE"""),"FIP General")</f>
        <v>FIP General</v>
      </c>
      <c r="M470" s="6" t="str">
        <f>IFERROR(__xludf.DUMMYFUNCTION("""COMPUTED_VALUE"""),"Joko Nugroho")</f>
        <v>Joko Nugroho</v>
      </c>
      <c r="N470" s="6" t="str">
        <f>IFERROR(__xludf.DUMMYFUNCTION("""COMPUTED_VALUE"""),"FIP Engineering")</f>
        <v>FIP Engineering</v>
      </c>
      <c r="O470" s="6" t="str">
        <f>IFERROR(__xludf.DUMMYFUNCTION("""COMPUTED_VALUE"""),"FIP-DOM-ENG-51404-0000000-INA-000000")</f>
        <v>FIP-DOM-ENG-51404-0000000-INA-000000</v>
      </c>
      <c r="P470" s="6" t="str">
        <f>IFERROR(__xludf.DUMMYFUNCTION("""COMPUTED_VALUE"""),"PO Closed")</f>
        <v>PO Closed</v>
      </c>
      <c r="Q470" s="6" t="str">
        <f>IFERROR(__xludf.DUMMYFUNCTION("""COMPUTED_VALUE"""),"GL1809027")</f>
        <v>GL1809027</v>
      </c>
      <c r="R470" s="16">
        <f>IFERROR(__xludf.DUMMYFUNCTION("""COMPUTED_VALUE"""),43347.0)</f>
        <v>43347</v>
      </c>
      <c r="S470" s="6" t="str">
        <f>IFERROR(__xludf.DUMMYFUNCTION("""COMPUTED_VALUE"""),"-")</f>
        <v>-</v>
      </c>
      <c r="T470" s="13">
        <f>IFERROR(__xludf.DUMMYFUNCTION("""COMPUTED_VALUE"""),43360.0)</f>
        <v>43360</v>
      </c>
    </row>
    <row r="471">
      <c r="A471" s="6" t="str">
        <f>IFERROR(__xludf.DUMMYFUNCTION("""COMPUTED_VALUE"""),"181750323-1")</f>
        <v>181750323-1</v>
      </c>
      <c r="B471" s="6" t="str">
        <f>IFERROR(__xludf.DUMMYFUNCTION("""COMPUTED_VALUE"""),"181750323 - Approved")</f>
        <v>181750323 - Approved</v>
      </c>
      <c r="C471" s="6">
        <f>IFERROR(__xludf.DUMMYFUNCTION("""COMPUTED_VALUE"""),1.0)</f>
        <v>1</v>
      </c>
      <c r="D471" s="6" t="str">
        <f>IFERROR(__xludf.DUMMYFUNCTION("""COMPUTED_VALUE"""),"O-51912-00")</f>
        <v>O-51912-00</v>
      </c>
      <c r="E471" s="6" t="str">
        <f>IFERROR(__xludf.DUMMYFUNCTION("""COMPUTED_VALUE"""),"UHI RTD PT100 OHM Dia. 4,5X135mm, Duplex 2x4 wire, SS316L,PT100 Class A; ; ;")</f>
        <v>UHI RTD PT100 OHM Dia. 4,5X135mm, Duplex 2x4 wire, SS316L,PT100 Class A; ; ;</v>
      </c>
      <c r="F471" s="6">
        <f>IFERROR(__xludf.DUMMYFUNCTION("""COMPUTED_VALUE"""),2.0)</f>
        <v>2</v>
      </c>
      <c r="G471" s="6" t="str">
        <f>IFERROR(__xludf.DUMMYFUNCTION("""COMPUTED_VALUE"""),"Unit")</f>
        <v>Unit</v>
      </c>
      <c r="H471" s="6" t="str">
        <f>IFERROR(__xludf.DUMMYFUNCTION("""COMPUTED_VALUE"""),"IDR")</f>
        <v>IDR</v>
      </c>
      <c r="I471" s="11">
        <f>IFERROR(__xludf.DUMMYFUNCTION("""COMPUTED_VALUE"""),1800000.0)</f>
        <v>1800000</v>
      </c>
      <c r="J471" s="11">
        <f>IFERROR(__xludf.DUMMYFUNCTION("""COMPUTED_VALUE"""),3600000.0)</f>
        <v>3600000</v>
      </c>
      <c r="K471" s="13">
        <f>IFERROR(__xludf.DUMMYFUNCTION("""COMPUTED_VALUE"""),43360.0)</f>
        <v>43360</v>
      </c>
      <c r="L471" s="6" t="str">
        <f>IFERROR(__xludf.DUMMYFUNCTION("""COMPUTED_VALUE"""),"FIP Engineering")</f>
        <v>FIP Engineering</v>
      </c>
      <c r="M471" s="6" t="str">
        <f>IFERROR(__xludf.DUMMYFUNCTION("""COMPUTED_VALUE"""),"Joko Nugroho")</f>
        <v>Joko Nugroho</v>
      </c>
      <c r="N471" s="6" t="str">
        <f>IFERROR(__xludf.DUMMYFUNCTION("""COMPUTED_VALUE"""),"FIP Engineering")</f>
        <v>FIP Engineering</v>
      </c>
      <c r="O471" s="6" t="str">
        <f>IFERROR(__xludf.DUMMYFUNCTION("""COMPUTED_VALUE"""),"FIP-DOM-000-11304-OS00001-INA-000000")</f>
        <v>FIP-DOM-000-11304-OS00001-INA-000000</v>
      </c>
      <c r="P471" s="6" t="str">
        <f>IFERROR(__xludf.DUMMYFUNCTION("""COMPUTED_VALUE"""),"PO Closed")</f>
        <v>PO Closed</v>
      </c>
      <c r="Q471" s="6" t="str">
        <f>IFERROR(__xludf.DUMMYFUNCTION("""COMPUTED_VALUE"""),"GL1809015")</f>
        <v>GL1809015</v>
      </c>
      <c r="R471" s="16">
        <f>IFERROR(__xludf.DUMMYFUNCTION("""COMPUTED_VALUE"""),43347.0)</f>
        <v>43347</v>
      </c>
      <c r="S471" s="6" t="str">
        <f>IFERROR(__xludf.DUMMYFUNCTION("""COMPUTED_VALUE"""),"-")</f>
        <v>-</v>
      </c>
      <c r="T471" s="13">
        <f>IFERROR(__xludf.DUMMYFUNCTION("""COMPUTED_VALUE"""),43369.0)</f>
        <v>43369</v>
      </c>
    </row>
    <row r="472">
      <c r="A472" s="6" t="str">
        <f>IFERROR(__xludf.DUMMYFUNCTION("""COMPUTED_VALUE"""),"181750297-6")</f>
        <v>181750297-6</v>
      </c>
      <c r="B472" s="6" t="str">
        <f>IFERROR(__xludf.DUMMYFUNCTION("""COMPUTED_VALUE"""),"181750297 - Approved")</f>
        <v>181750297 - Approved</v>
      </c>
      <c r="C472" s="6">
        <f>IFERROR(__xludf.DUMMYFUNCTION("""COMPUTED_VALUE"""),6.0)</f>
        <v>6</v>
      </c>
      <c r="D472" s="6" t="str">
        <f>IFERROR(__xludf.DUMMYFUNCTION("""COMPUTED_VALUE"""),"P-51810-00")</f>
        <v>P-51810-00</v>
      </c>
      <c r="E472" s="6" t="str">
        <f>IFERROR(__xludf.DUMMYFUNCTION("""COMPUTED_VALUE"""),"Key switch for On/ Off Indoor sirene; ; ;")</f>
        <v>Key switch for On/ Off Indoor sirene; ; ;</v>
      </c>
      <c r="F472" s="6">
        <f>IFERROR(__xludf.DUMMYFUNCTION("""COMPUTED_VALUE"""),1.0)</f>
        <v>1</v>
      </c>
      <c r="G472" s="6" t="str">
        <f>IFERROR(__xludf.DUMMYFUNCTION("""COMPUTED_VALUE"""),"Unit")</f>
        <v>Unit</v>
      </c>
      <c r="H472" s="6" t="str">
        <f>IFERROR(__xludf.DUMMYFUNCTION("""COMPUTED_VALUE"""),"IDR")</f>
        <v>IDR</v>
      </c>
      <c r="I472" s="11">
        <f>IFERROR(__xludf.DUMMYFUNCTION("""COMPUTED_VALUE"""),455000.0)</f>
        <v>455000</v>
      </c>
      <c r="J472" s="11">
        <f>IFERROR(__xludf.DUMMYFUNCTION("""COMPUTED_VALUE"""),455000.0)</f>
        <v>455000</v>
      </c>
      <c r="K472" s="13">
        <f>IFERROR(__xludf.DUMMYFUNCTION("""COMPUTED_VALUE"""),43367.0)</f>
        <v>43367</v>
      </c>
      <c r="L472" s="6" t="str">
        <f>IFERROR(__xludf.DUMMYFUNCTION("""COMPUTED_VALUE"""),"FIP Engineering")</f>
        <v>FIP Engineering</v>
      </c>
      <c r="M472" s="6" t="str">
        <f>IFERROR(__xludf.DUMMYFUNCTION("""COMPUTED_VALUE"""),"Joko Nugroho")</f>
        <v>Joko Nugroho</v>
      </c>
      <c r="N472" s="6" t="str">
        <f>IFERROR(__xludf.DUMMYFUNCTION("""COMPUTED_VALUE"""),"FIP Engineering")</f>
        <v>FIP Engineering</v>
      </c>
      <c r="O472" s="6" t="str">
        <f>IFERROR(__xludf.DUMMYFUNCTION("""COMPUTED_VALUE"""),"FIP-DOM-000-11304-OS00001-INA-000000")</f>
        <v>FIP-DOM-000-11304-OS00001-INA-000000</v>
      </c>
      <c r="P472" s="6" t="str">
        <f>IFERROR(__xludf.DUMMYFUNCTION("""COMPUTED_VALUE"""),"PO Closed")</f>
        <v>PO Closed</v>
      </c>
      <c r="Q472" s="6" t="str">
        <f>IFERROR(__xludf.DUMMYFUNCTION("""COMPUTED_VALUE"""),"GL1809026")</f>
        <v>GL1809026</v>
      </c>
      <c r="R472" s="16">
        <f>IFERROR(__xludf.DUMMYFUNCTION("""COMPUTED_VALUE"""),43347.0)</f>
        <v>43347</v>
      </c>
      <c r="S472" s="6" t="str">
        <f>IFERROR(__xludf.DUMMYFUNCTION("""COMPUTED_VALUE"""),"-")</f>
        <v>-</v>
      </c>
      <c r="T472" s="13">
        <f>IFERROR(__xludf.DUMMYFUNCTION("""COMPUTED_VALUE"""),43427.0)</f>
        <v>43427</v>
      </c>
    </row>
    <row r="473">
      <c r="A473" s="6" t="str">
        <f>IFERROR(__xludf.DUMMYFUNCTION("""COMPUTED_VALUE"""),"181750297-6")</f>
        <v>181750297-6</v>
      </c>
      <c r="B473" s="6" t="str">
        <f>IFERROR(__xludf.DUMMYFUNCTION("""COMPUTED_VALUE"""),"181750297 - Approved")</f>
        <v>181750297 - Approved</v>
      </c>
      <c r="C473" s="6">
        <f>IFERROR(__xludf.DUMMYFUNCTION("""COMPUTED_VALUE"""),6.0)</f>
        <v>6</v>
      </c>
      <c r="D473" s="6" t="str">
        <f>IFERROR(__xludf.DUMMYFUNCTION("""COMPUTED_VALUE"""),"P-51813-00")</f>
        <v>P-51813-00</v>
      </c>
      <c r="E473" s="6" t="str">
        <f>IFERROR(__xludf.DUMMYFUNCTION("""COMPUTED_VALUE"""),"Heavy Duty Door contact; ; ;")</f>
        <v>Heavy Duty Door contact; ; ;</v>
      </c>
      <c r="F473" s="6">
        <f>IFERROR(__xludf.DUMMYFUNCTION("""COMPUTED_VALUE"""),1.0)</f>
        <v>1</v>
      </c>
      <c r="G473" s="6" t="str">
        <f>IFERROR(__xludf.DUMMYFUNCTION("""COMPUTED_VALUE"""),"Unit")</f>
        <v>Unit</v>
      </c>
      <c r="H473" s="6" t="str">
        <f>IFERROR(__xludf.DUMMYFUNCTION("""COMPUTED_VALUE"""),"IDR")</f>
        <v>IDR</v>
      </c>
      <c r="I473" s="11">
        <f>IFERROR(__xludf.DUMMYFUNCTION("""COMPUTED_VALUE"""),358000.0)</f>
        <v>358000</v>
      </c>
      <c r="J473" s="11">
        <f>IFERROR(__xludf.DUMMYFUNCTION("""COMPUTED_VALUE"""),358000.0)</f>
        <v>358000</v>
      </c>
      <c r="K473" s="13">
        <f>IFERROR(__xludf.DUMMYFUNCTION("""COMPUTED_VALUE"""),43367.0)</f>
        <v>43367</v>
      </c>
      <c r="L473" s="6" t="str">
        <f>IFERROR(__xludf.DUMMYFUNCTION("""COMPUTED_VALUE"""),"FIP Engineering")</f>
        <v>FIP Engineering</v>
      </c>
      <c r="M473" s="6" t="str">
        <f>IFERROR(__xludf.DUMMYFUNCTION("""COMPUTED_VALUE"""),"Joko Nugroho")</f>
        <v>Joko Nugroho</v>
      </c>
      <c r="N473" s="6" t="str">
        <f>IFERROR(__xludf.DUMMYFUNCTION("""COMPUTED_VALUE"""),"FIP Engineering")</f>
        <v>FIP Engineering</v>
      </c>
      <c r="O473" s="6" t="str">
        <f>IFERROR(__xludf.DUMMYFUNCTION("""COMPUTED_VALUE"""),"FIP-DOM-000-11304-OS00001-INA-000000")</f>
        <v>FIP-DOM-000-11304-OS00001-INA-000000</v>
      </c>
      <c r="P473" s="6" t="str">
        <f>IFERROR(__xludf.DUMMYFUNCTION("""COMPUTED_VALUE"""),"PO Closed")</f>
        <v>PO Closed</v>
      </c>
      <c r="Q473" s="6" t="str">
        <f>IFERROR(__xludf.DUMMYFUNCTION("""COMPUTED_VALUE"""),"GL1809026")</f>
        <v>GL1809026</v>
      </c>
      <c r="R473" s="16">
        <f>IFERROR(__xludf.DUMMYFUNCTION("""COMPUTED_VALUE"""),43347.0)</f>
        <v>43347</v>
      </c>
      <c r="S473" s="6" t="str">
        <f>IFERROR(__xludf.DUMMYFUNCTION("""COMPUTED_VALUE"""),"-")</f>
        <v>-</v>
      </c>
      <c r="T473" s="13">
        <f>IFERROR(__xludf.DUMMYFUNCTION("""COMPUTED_VALUE"""),43427.0)</f>
        <v>43427</v>
      </c>
    </row>
    <row r="474">
      <c r="A474" s="6" t="str">
        <f>IFERROR(__xludf.DUMMYFUNCTION("""COMPUTED_VALUE"""),"181750297-6")</f>
        <v>181750297-6</v>
      </c>
      <c r="B474" s="6" t="str">
        <f>IFERROR(__xludf.DUMMYFUNCTION("""COMPUTED_VALUE"""),"181750297 - Approved")</f>
        <v>181750297 - Approved</v>
      </c>
      <c r="C474" s="6">
        <f>IFERROR(__xludf.DUMMYFUNCTION("""COMPUTED_VALUE"""),6.0)</f>
        <v>6</v>
      </c>
      <c r="D474" s="6" t="str">
        <f>IFERROR(__xludf.DUMMYFUNCTION("""COMPUTED_VALUE"""),"P-51812-00")</f>
        <v>P-51812-00</v>
      </c>
      <c r="E474" s="6" t="str">
        <f>IFERROR(__xludf.DUMMYFUNCTION("""COMPUTED_VALUE"""),"Indoor Sirene; ; ;")</f>
        <v>Indoor Sirene; ; ;</v>
      </c>
      <c r="F474" s="6">
        <f>IFERROR(__xludf.DUMMYFUNCTION("""COMPUTED_VALUE"""),1.0)</f>
        <v>1</v>
      </c>
      <c r="G474" s="6" t="str">
        <f>IFERROR(__xludf.DUMMYFUNCTION("""COMPUTED_VALUE"""),"Unit")</f>
        <v>Unit</v>
      </c>
      <c r="H474" s="6" t="str">
        <f>IFERROR(__xludf.DUMMYFUNCTION("""COMPUTED_VALUE"""),"IDR")</f>
        <v>IDR</v>
      </c>
      <c r="I474" s="11">
        <f>IFERROR(__xludf.DUMMYFUNCTION("""COMPUTED_VALUE"""),480000.0)</f>
        <v>480000</v>
      </c>
      <c r="J474" s="11">
        <f>IFERROR(__xludf.DUMMYFUNCTION("""COMPUTED_VALUE"""),480000.0)</f>
        <v>480000</v>
      </c>
      <c r="K474" s="13">
        <f>IFERROR(__xludf.DUMMYFUNCTION("""COMPUTED_VALUE"""),43367.0)</f>
        <v>43367</v>
      </c>
      <c r="L474" s="6" t="str">
        <f>IFERROR(__xludf.DUMMYFUNCTION("""COMPUTED_VALUE"""),"FIP Engineering")</f>
        <v>FIP Engineering</v>
      </c>
      <c r="M474" s="6" t="str">
        <f>IFERROR(__xludf.DUMMYFUNCTION("""COMPUTED_VALUE"""),"Joko Nugroho")</f>
        <v>Joko Nugroho</v>
      </c>
      <c r="N474" s="6" t="str">
        <f>IFERROR(__xludf.DUMMYFUNCTION("""COMPUTED_VALUE"""),"FIP Engineering")</f>
        <v>FIP Engineering</v>
      </c>
      <c r="O474" s="6" t="str">
        <f>IFERROR(__xludf.DUMMYFUNCTION("""COMPUTED_VALUE"""),"FIP-DOM-000-11304-OS00001-INA-000000")</f>
        <v>FIP-DOM-000-11304-OS00001-INA-000000</v>
      </c>
      <c r="P474" s="6" t="str">
        <f>IFERROR(__xludf.DUMMYFUNCTION("""COMPUTED_VALUE"""),"PO Closed")</f>
        <v>PO Closed</v>
      </c>
      <c r="Q474" s="6" t="str">
        <f>IFERROR(__xludf.DUMMYFUNCTION("""COMPUTED_VALUE"""),"GL1809026")</f>
        <v>GL1809026</v>
      </c>
      <c r="R474" s="16">
        <f>IFERROR(__xludf.DUMMYFUNCTION("""COMPUTED_VALUE"""),43347.0)</f>
        <v>43347</v>
      </c>
      <c r="S474" s="6" t="str">
        <f>IFERROR(__xludf.DUMMYFUNCTION("""COMPUTED_VALUE"""),"-")</f>
        <v>-</v>
      </c>
      <c r="T474" s="13">
        <f>IFERROR(__xludf.DUMMYFUNCTION("""COMPUTED_VALUE"""),43427.0)</f>
        <v>43427</v>
      </c>
    </row>
    <row r="475">
      <c r="A475" s="6" t="str">
        <f>IFERROR(__xludf.DUMMYFUNCTION("""COMPUTED_VALUE"""),"181750297-6")</f>
        <v>181750297-6</v>
      </c>
      <c r="B475" s="6" t="str">
        <f>IFERROR(__xludf.DUMMYFUNCTION("""COMPUTED_VALUE"""),"181750297 - Approved")</f>
        <v>181750297 - Approved</v>
      </c>
      <c r="C475" s="6">
        <f>IFERROR(__xludf.DUMMYFUNCTION("""COMPUTED_VALUE"""),6.0)</f>
        <v>6</v>
      </c>
      <c r="D475" s="6" t="str">
        <f>IFERROR(__xludf.DUMMYFUNCTION("""COMPUTED_VALUE"""),"P-51811-00")</f>
        <v>P-51811-00</v>
      </c>
      <c r="E475" s="6" t="str">
        <f>IFERROR(__xludf.DUMMYFUNCTION("""COMPUTED_VALUE"""),"Modul emergency exit; ; ;")</f>
        <v>Modul emergency exit; ; ;</v>
      </c>
      <c r="F475" s="6">
        <f>IFERROR(__xludf.DUMMYFUNCTION("""COMPUTED_VALUE"""),2.0)</f>
        <v>2</v>
      </c>
      <c r="G475" s="6" t="str">
        <f>IFERROR(__xludf.DUMMYFUNCTION("""COMPUTED_VALUE"""),"Unit")</f>
        <v>Unit</v>
      </c>
      <c r="H475" s="6" t="str">
        <f>IFERROR(__xludf.DUMMYFUNCTION("""COMPUTED_VALUE"""),"IDR")</f>
        <v>IDR</v>
      </c>
      <c r="I475" s="11">
        <f>IFERROR(__xludf.DUMMYFUNCTION("""COMPUTED_VALUE"""),875000.0)</f>
        <v>875000</v>
      </c>
      <c r="J475" s="11">
        <f>IFERROR(__xludf.DUMMYFUNCTION("""COMPUTED_VALUE"""),1750000.0)</f>
        <v>1750000</v>
      </c>
      <c r="K475" s="13">
        <f>IFERROR(__xludf.DUMMYFUNCTION("""COMPUTED_VALUE"""),43367.0)</f>
        <v>43367</v>
      </c>
      <c r="L475" s="6" t="str">
        <f>IFERROR(__xludf.DUMMYFUNCTION("""COMPUTED_VALUE"""),"FIP Engineering")</f>
        <v>FIP Engineering</v>
      </c>
      <c r="M475" s="6" t="str">
        <f>IFERROR(__xludf.DUMMYFUNCTION("""COMPUTED_VALUE"""),"Joko Nugroho")</f>
        <v>Joko Nugroho</v>
      </c>
      <c r="N475" s="6" t="str">
        <f>IFERROR(__xludf.DUMMYFUNCTION("""COMPUTED_VALUE"""),"FIP Engineering")</f>
        <v>FIP Engineering</v>
      </c>
      <c r="O475" s="6" t="str">
        <f>IFERROR(__xludf.DUMMYFUNCTION("""COMPUTED_VALUE"""),"FIP-DOM-000-11304-OS00001-INA-000000")</f>
        <v>FIP-DOM-000-11304-OS00001-INA-000000</v>
      </c>
      <c r="P475" s="6" t="str">
        <f>IFERROR(__xludf.DUMMYFUNCTION("""COMPUTED_VALUE"""),"PO Closed")</f>
        <v>PO Closed</v>
      </c>
      <c r="Q475" s="6" t="str">
        <f>IFERROR(__xludf.DUMMYFUNCTION("""COMPUTED_VALUE"""),"GL1809026")</f>
        <v>GL1809026</v>
      </c>
      <c r="R475" s="16">
        <f>IFERROR(__xludf.DUMMYFUNCTION("""COMPUTED_VALUE"""),43347.0)</f>
        <v>43347</v>
      </c>
      <c r="S475" s="6" t="str">
        <f>IFERROR(__xludf.DUMMYFUNCTION("""COMPUTED_VALUE"""),"-")</f>
        <v>-</v>
      </c>
      <c r="T475" s="13">
        <f>IFERROR(__xludf.DUMMYFUNCTION("""COMPUTED_VALUE"""),43427.0)</f>
        <v>43427</v>
      </c>
    </row>
    <row r="476">
      <c r="A476" s="6" t="str">
        <f>IFERROR(__xludf.DUMMYFUNCTION("""COMPUTED_VALUE"""),"181750293-3")</f>
        <v>181750293-3</v>
      </c>
      <c r="B476" s="6" t="str">
        <f>IFERROR(__xludf.DUMMYFUNCTION("""COMPUTED_VALUE"""),"181750293 - Approved")</f>
        <v>181750293 - Approved</v>
      </c>
      <c r="C476" s="6">
        <f>IFERROR(__xludf.DUMMYFUNCTION("""COMPUTED_VALUE"""),3.0)</f>
        <v>3</v>
      </c>
      <c r="D476" s="6" t="str">
        <f>IFERROR(__xludf.DUMMYFUNCTION("""COMPUTED_VALUE"""),"P-13534-00")</f>
        <v>P-13534-00</v>
      </c>
      <c r="E476" s="6" t="str">
        <f>IFERROR(__xludf.DUMMYFUNCTION("""COMPUTED_VALUE"""),"Needle Valve Kuningan 1/4"" Kitz; ; ;")</f>
        <v>Needle Valve Kuningan 1/4" Kitz; ; ;</v>
      </c>
      <c r="F476" s="6">
        <f>IFERROR(__xludf.DUMMYFUNCTION("""COMPUTED_VALUE"""),1.0)</f>
        <v>1</v>
      </c>
      <c r="G476" s="6" t="str">
        <f>IFERROR(__xludf.DUMMYFUNCTION("""COMPUTED_VALUE"""),"Pieces")</f>
        <v>Pieces</v>
      </c>
      <c r="H476" s="6" t="str">
        <f>IFERROR(__xludf.DUMMYFUNCTION("""COMPUTED_VALUE"""),"IDR")</f>
        <v>IDR</v>
      </c>
      <c r="I476" s="11">
        <f>IFERROR(__xludf.DUMMYFUNCTION("""COMPUTED_VALUE"""),250000.0)</f>
        <v>250000</v>
      </c>
      <c r="J476" s="11">
        <f>IFERROR(__xludf.DUMMYFUNCTION("""COMPUTED_VALUE"""),250000.0)</f>
        <v>250000</v>
      </c>
      <c r="K476" s="13">
        <f>IFERROR(__xludf.DUMMYFUNCTION("""COMPUTED_VALUE"""),43360.0)</f>
        <v>43360</v>
      </c>
      <c r="L476" s="6" t="str">
        <f>IFERROR(__xludf.DUMMYFUNCTION("""COMPUTED_VALUE"""),"FIP Engineering")</f>
        <v>FIP Engineering</v>
      </c>
      <c r="M476" s="6" t="str">
        <f>IFERROR(__xludf.DUMMYFUNCTION("""COMPUTED_VALUE"""),"Joko Nugroho")</f>
        <v>Joko Nugroho</v>
      </c>
      <c r="N476" s="6" t="str">
        <f>IFERROR(__xludf.DUMMYFUNCTION("""COMPUTED_VALUE"""),"FIP Engineering")</f>
        <v>FIP Engineering</v>
      </c>
      <c r="O476" s="6" t="str">
        <f>IFERROR(__xludf.DUMMYFUNCTION("""COMPUTED_VALUE"""),"FIP-DOM-000-11304-OS00001-INA-000000")</f>
        <v>FIP-DOM-000-11304-OS00001-INA-000000</v>
      </c>
      <c r="P476" s="6" t="str">
        <f>IFERROR(__xludf.DUMMYFUNCTION("""COMPUTED_VALUE"""),"PO Closed")</f>
        <v>PO Closed</v>
      </c>
      <c r="Q476" s="6" t="str">
        <f>IFERROR(__xludf.DUMMYFUNCTION("""COMPUTED_VALUE"""),"GL1809023")</f>
        <v>GL1809023</v>
      </c>
      <c r="R476" s="16">
        <f>IFERROR(__xludf.DUMMYFUNCTION("""COMPUTED_VALUE"""),43347.0)</f>
        <v>43347</v>
      </c>
      <c r="S476" s="6" t="str">
        <f>IFERROR(__xludf.DUMMYFUNCTION("""COMPUTED_VALUE"""),"-")</f>
        <v>-</v>
      </c>
      <c r="T476" s="13">
        <f>IFERROR(__xludf.DUMMYFUNCTION("""COMPUTED_VALUE"""),43357.0)</f>
        <v>43357</v>
      </c>
    </row>
    <row r="477">
      <c r="A477" s="6" t="str">
        <f>IFERROR(__xludf.DUMMYFUNCTION("""COMPUTED_VALUE"""),"181750293-3")</f>
        <v>181750293-3</v>
      </c>
      <c r="B477" s="6" t="str">
        <f>IFERROR(__xludf.DUMMYFUNCTION("""COMPUTED_VALUE"""),"181750293 - Approved")</f>
        <v>181750293 - Approved</v>
      </c>
      <c r="C477" s="6">
        <f>IFERROR(__xludf.DUMMYFUNCTION("""COMPUTED_VALUE"""),3.0)</f>
        <v>3</v>
      </c>
      <c r="D477" s="6" t="str">
        <f>IFERROR(__xludf.DUMMYFUNCTION("""COMPUTED_VALUE"""),"P-13533-00")</f>
        <v>P-13533-00</v>
      </c>
      <c r="E477" s="6" t="str">
        <f>IFERROR(__xludf.DUMMYFUNCTION("""COMPUTED_VALUE"""),"Needle Valve SS304 1/4"" Kitz; ; ;")</f>
        <v>Needle Valve SS304 1/4" Kitz; ; ;</v>
      </c>
      <c r="F477" s="6">
        <f>IFERROR(__xludf.DUMMYFUNCTION("""COMPUTED_VALUE"""),4.0)</f>
        <v>4</v>
      </c>
      <c r="G477" s="6" t="str">
        <f>IFERROR(__xludf.DUMMYFUNCTION("""COMPUTED_VALUE"""),"Pieces")</f>
        <v>Pieces</v>
      </c>
      <c r="H477" s="6" t="str">
        <f>IFERROR(__xludf.DUMMYFUNCTION("""COMPUTED_VALUE"""),"IDR")</f>
        <v>IDR</v>
      </c>
      <c r="I477" s="11">
        <f>IFERROR(__xludf.DUMMYFUNCTION("""COMPUTED_VALUE"""),570000.0)</f>
        <v>570000</v>
      </c>
      <c r="J477" s="11">
        <f>IFERROR(__xludf.DUMMYFUNCTION("""COMPUTED_VALUE"""),2280000.0)</f>
        <v>2280000</v>
      </c>
      <c r="K477" s="13">
        <f>IFERROR(__xludf.DUMMYFUNCTION("""COMPUTED_VALUE"""),43360.0)</f>
        <v>43360</v>
      </c>
      <c r="L477" s="6" t="str">
        <f>IFERROR(__xludf.DUMMYFUNCTION("""COMPUTED_VALUE"""),"FIP Engineering")</f>
        <v>FIP Engineering</v>
      </c>
      <c r="M477" s="6" t="str">
        <f>IFERROR(__xludf.DUMMYFUNCTION("""COMPUTED_VALUE"""),"Joko Nugroho")</f>
        <v>Joko Nugroho</v>
      </c>
      <c r="N477" s="6" t="str">
        <f>IFERROR(__xludf.DUMMYFUNCTION("""COMPUTED_VALUE"""),"FIP Engineering")</f>
        <v>FIP Engineering</v>
      </c>
      <c r="O477" s="6" t="str">
        <f>IFERROR(__xludf.DUMMYFUNCTION("""COMPUTED_VALUE"""),"FIP-DOM-000-11304-OS00001-INA-000000")</f>
        <v>FIP-DOM-000-11304-OS00001-INA-000000</v>
      </c>
      <c r="P477" s="6" t="str">
        <f>IFERROR(__xludf.DUMMYFUNCTION("""COMPUTED_VALUE"""),"PO Closed")</f>
        <v>PO Closed</v>
      </c>
      <c r="Q477" s="6" t="str">
        <f>IFERROR(__xludf.DUMMYFUNCTION("""COMPUTED_VALUE"""),"GL1809023")</f>
        <v>GL1809023</v>
      </c>
      <c r="R477" s="16">
        <f>IFERROR(__xludf.DUMMYFUNCTION("""COMPUTED_VALUE"""),43347.0)</f>
        <v>43347</v>
      </c>
      <c r="S477" s="6" t="str">
        <f>IFERROR(__xludf.DUMMYFUNCTION("""COMPUTED_VALUE"""),"-")</f>
        <v>-</v>
      </c>
      <c r="T477" s="13">
        <f>IFERROR(__xludf.DUMMYFUNCTION("""COMPUTED_VALUE"""),43357.0)</f>
        <v>43357</v>
      </c>
    </row>
    <row r="478">
      <c r="A478" s="6" t="str">
        <f>IFERROR(__xludf.DUMMYFUNCTION("""COMPUTED_VALUE"""),"181750331-1")</f>
        <v>181750331-1</v>
      </c>
      <c r="B478" s="6" t="str">
        <f>IFERROR(__xludf.DUMMYFUNCTION("""COMPUTED_VALUE"""),"181750331 - Approved")</f>
        <v>181750331 - Approved</v>
      </c>
      <c r="C478" s="6">
        <f>IFERROR(__xludf.DUMMYFUNCTION("""COMPUTED_VALUE"""),1.0)</f>
        <v>1</v>
      </c>
      <c r="D478" s="6" t="str">
        <f>IFERROR(__xludf.DUMMYFUNCTION("""COMPUTED_VALUE"""),"S-20269-00")</f>
        <v>S-20269-00</v>
      </c>
      <c r="E478" s="6" t="str">
        <f>IFERROR(__xludf.DUMMYFUNCTION("""COMPUTED_VALUE"""),"Face Shield Mesh with Earmuff; KW1000409; ; ;")</f>
        <v>Face Shield Mesh with Earmuff; KW1000409; ; ;</v>
      </c>
      <c r="F478" s="6">
        <f>IFERROR(__xludf.DUMMYFUNCTION("""COMPUTED_VALUE"""),1.0)</f>
        <v>1</v>
      </c>
      <c r="G478" s="6" t="str">
        <f>IFERROR(__xludf.DUMMYFUNCTION("""COMPUTED_VALUE"""),"Pieces")</f>
        <v>Pieces</v>
      </c>
      <c r="H478" s="6" t="str">
        <f>IFERROR(__xludf.DUMMYFUNCTION("""COMPUTED_VALUE"""),"IDR")</f>
        <v>IDR</v>
      </c>
      <c r="I478" s="11">
        <f>IFERROR(__xludf.DUMMYFUNCTION("""COMPUTED_VALUE"""),115600.0)</f>
        <v>115600</v>
      </c>
      <c r="J478" s="11">
        <f>IFERROR(__xludf.DUMMYFUNCTION("""COMPUTED_VALUE"""),115600.0)</f>
        <v>115600</v>
      </c>
      <c r="K478" s="13">
        <f>IFERROR(__xludf.DUMMYFUNCTION("""COMPUTED_VALUE"""),43371.0)</f>
        <v>43371</v>
      </c>
      <c r="L478" s="6" t="str">
        <f>IFERROR(__xludf.DUMMYFUNCTION("""COMPUTED_VALUE"""),"FIP General")</f>
        <v>FIP General</v>
      </c>
      <c r="M478" s="6" t="str">
        <f>IFERROR(__xludf.DUMMYFUNCTION("""COMPUTED_VALUE"""),"Joko Nugroho")</f>
        <v>Joko Nugroho</v>
      </c>
      <c r="N478" s="6" t="str">
        <f>IFERROR(__xludf.DUMMYFUNCTION("""COMPUTED_VALUE"""),"FIP Engineering")</f>
        <v>FIP Engineering</v>
      </c>
      <c r="O478" s="6" t="str">
        <f>IFERROR(__xludf.DUMMYFUNCTION("""COMPUTED_VALUE"""),"FIP-DOM-ENG-51202-0000000-INA-000000")</f>
        <v>FIP-DOM-ENG-51202-0000000-INA-000000</v>
      </c>
      <c r="P478" s="6" t="str">
        <f>IFERROR(__xludf.DUMMYFUNCTION("""COMPUTED_VALUE"""),"PO Closed")</f>
        <v>PO Closed</v>
      </c>
      <c r="Q478" s="6" t="str">
        <f>IFERROR(__xludf.DUMMYFUNCTION("""COMPUTED_VALUE"""),"GL1809032")</f>
        <v>GL1809032</v>
      </c>
      <c r="R478" s="17">
        <f>IFERROR(__xludf.DUMMYFUNCTION("""COMPUTED_VALUE"""),43349.0)</f>
        <v>43349</v>
      </c>
      <c r="S478" s="6" t="str">
        <f>IFERROR(__xludf.DUMMYFUNCTION("""COMPUTED_VALUE"""),"-")</f>
        <v>-</v>
      </c>
      <c r="T478" s="17">
        <f>IFERROR(__xludf.DUMMYFUNCTION("""COMPUTED_VALUE"""),43371.0)</f>
        <v>43371</v>
      </c>
    </row>
    <row r="479">
      <c r="A479" s="6" t="str">
        <f>IFERROR(__xludf.DUMMYFUNCTION("""COMPUTED_VALUE"""),"181750331-2")</f>
        <v>181750331-2</v>
      </c>
      <c r="B479" s="6" t="str">
        <f>IFERROR(__xludf.DUMMYFUNCTION("""COMPUTED_VALUE"""),"181750331 - Approved")</f>
        <v>181750331 - Approved</v>
      </c>
      <c r="C479" s="6">
        <f>IFERROR(__xludf.DUMMYFUNCTION("""COMPUTED_VALUE"""),2.0)</f>
        <v>2</v>
      </c>
      <c r="D479" s="6" t="str">
        <f>IFERROR(__xludf.DUMMYFUNCTION("""COMPUTED_VALUE"""),"S-20268-00")</f>
        <v>S-20268-00</v>
      </c>
      <c r="E479" s="6" t="str">
        <f>IFERROR(__xludf.DUMMYFUNCTION("""COMPUTED_VALUE"""),"Face Shield Head Gear With Clear Visor; KW1000315; ; ;")</f>
        <v>Face Shield Head Gear With Clear Visor; KW1000315; ; ;</v>
      </c>
      <c r="F479" s="6">
        <f>IFERROR(__xludf.DUMMYFUNCTION("""COMPUTED_VALUE"""),1.0)</f>
        <v>1</v>
      </c>
      <c r="G479" s="6" t="str">
        <f>IFERROR(__xludf.DUMMYFUNCTION("""COMPUTED_VALUE"""),"Pieces")</f>
        <v>Pieces</v>
      </c>
      <c r="H479" s="6" t="str">
        <f>IFERROR(__xludf.DUMMYFUNCTION("""COMPUTED_VALUE"""),"IDR")</f>
        <v>IDR</v>
      </c>
      <c r="I479" s="11">
        <f>IFERROR(__xludf.DUMMYFUNCTION("""COMPUTED_VALUE"""),59670.0)</f>
        <v>59670</v>
      </c>
      <c r="J479" s="11">
        <f>IFERROR(__xludf.DUMMYFUNCTION("""COMPUTED_VALUE"""),59670.0)</f>
        <v>59670</v>
      </c>
      <c r="K479" s="13">
        <f>IFERROR(__xludf.DUMMYFUNCTION("""COMPUTED_VALUE"""),43371.0)</f>
        <v>43371</v>
      </c>
      <c r="L479" s="6" t="str">
        <f>IFERROR(__xludf.DUMMYFUNCTION("""COMPUTED_VALUE"""),"FIP General")</f>
        <v>FIP General</v>
      </c>
      <c r="M479" s="6" t="str">
        <f>IFERROR(__xludf.DUMMYFUNCTION("""COMPUTED_VALUE"""),"Joko Nugroho")</f>
        <v>Joko Nugroho</v>
      </c>
      <c r="N479" s="6" t="str">
        <f>IFERROR(__xludf.DUMMYFUNCTION("""COMPUTED_VALUE"""),"FIP Engineering")</f>
        <v>FIP Engineering</v>
      </c>
      <c r="O479" s="6" t="str">
        <f>IFERROR(__xludf.DUMMYFUNCTION("""COMPUTED_VALUE"""),"FIP-DOM-ENG-51202-0000000-INA-000000")</f>
        <v>FIP-DOM-ENG-51202-0000000-INA-000000</v>
      </c>
      <c r="P479" s="6" t="str">
        <f>IFERROR(__xludf.DUMMYFUNCTION("""COMPUTED_VALUE"""),"PO Closed")</f>
        <v>PO Closed</v>
      </c>
      <c r="Q479" s="6" t="str">
        <f>IFERROR(__xludf.DUMMYFUNCTION("""COMPUTED_VALUE"""),"GL1809032")</f>
        <v>GL1809032</v>
      </c>
      <c r="R479" s="16">
        <f>IFERROR(__xludf.DUMMYFUNCTION("""COMPUTED_VALUE"""),43349.0)</f>
        <v>43349</v>
      </c>
      <c r="S479" s="6" t="str">
        <f>IFERROR(__xludf.DUMMYFUNCTION("""COMPUTED_VALUE"""),"-")</f>
        <v>-</v>
      </c>
      <c r="T479" s="13">
        <f>IFERROR(__xludf.DUMMYFUNCTION("""COMPUTED_VALUE"""),43371.0)</f>
        <v>43371</v>
      </c>
    </row>
    <row r="480">
      <c r="A480" s="6" t="str">
        <f>IFERROR(__xludf.DUMMYFUNCTION("""COMPUTED_VALUE"""),"181750331-3")</f>
        <v>181750331-3</v>
      </c>
      <c r="B480" s="6" t="str">
        <f>IFERROR(__xludf.DUMMYFUNCTION("""COMPUTED_VALUE"""),"181750331 - Approved")</f>
        <v>181750331 - Approved</v>
      </c>
      <c r="C480" s="6">
        <f>IFERROR(__xludf.DUMMYFUNCTION("""COMPUTED_VALUE"""),3.0)</f>
        <v>3</v>
      </c>
      <c r="D480" s="6" t="str">
        <f>IFERROR(__xludf.DUMMYFUNCTION("""COMPUTED_VALUE"""),"S-20267-00")</f>
        <v>S-20267-00</v>
      </c>
      <c r="E480" s="6" t="str">
        <f>IFERROR(__xludf.DUMMYFUNCTION("""COMPUTED_VALUE"""),"Earmuff Luxury Hadband 35 dB; ; ;")</f>
        <v>Earmuff Luxury Hadband 35 dB; ; ;</v>
      </c>
      <c r="F480" s="6">
        <f>IFERROR(__xludf.DUMMYFUNCTION("""COMPUTED_VALUE"""),1.0)</f>
        <v>1</v>
      </c>
      <c r="G480" s="6" t="str">
        <f>IFERROR(__xludf.DUMMYFUNCTION("""COMPUTED_VALUE"""),"Pieces")</f>
        <v>Pieces</v>
      </c>
      <c r="H480" s="6" t="str">
        <f>IFERROR(__xludf.DUMMYFUNCTION("""COMPUTED_VALUE"""),"IDR")</f>
        <v>IDR</v>
      </c>
      <c r="I480" s="11">
        <f>IFERROR(__xludf.DUMMYFUNCTION("""COMPUTED_VALUE"""),144500.0)</f>
        <v>144500</v>
      </c>
      <c r="J480" s="11">
        <f>IFERROR(__xludf.DUMMYFUNCTION("""COMPUTED_VALUE"""),144500.0)</f>
        <v>144500</v>
      </c>
      <c r="K480" s="13">
        <f>IFERROR(__xludf.DUMMYFUNCTION("""COMPUTED_VALUE"""),43371.0)</f>
        <v>43371</v>
      </c>
      <c r="L480" s="6" t="str">
        <f>IFERROR(__xludf.DUMMYFUNCTION("""COMPUTED_VALUE"""),"FIP General")</f>
        <v>FIP General</v>
      </c>
      <c r="M480" s="6" t="str">
        <f>IFERROR(__xludf.DUMMYFUNCTION("""COMPUTED_VALUE"""),"Joko Nugroho")</f>
        <v>Joko Nugroho</v>
      </c>
      <c r="N480" s="6" t="str">
        <f>IFERROR(__xludf.DUMMYFUNCTION("""COMPUTED_VALUE"""),"FIP Engineering")</f>
        <v>FIP Engineering</v>
      </c>
      <c r="O480" s="6" t="str">
        <f>IFERROR(__xludf.DUMMYFUNCTION("""COMPUTED_VALUE"""),"FIP-DOM-ENG-51202-0000000-INA-000000")</f>
        <v>FIP-DOM-ENG-51202-0000000-INA-000000</v>
      </c>
      <c r="P480" s="6" t="str">
        <f>IFERROR(__xludf.DUMMYFUNCTION("""COMPUTED_VALUE"""),"PO Closed")</f>
        <v>PO Closed</v>
      </c>
      <c r="Q480" s="6" t="str">
        <f>IFERROR(__xludf.DUMMYFUNCTION("""COMPUTED_VALUE"""),"GL1809032")</f>
        <v>GL1809032</v>
      </c>
      <c r="R480" s="17">
        <f>IFERROR(__xludf.DUMMYFUNCTION("""COMPUTED_VALUE"""),43349.0)</f>
        <v>43349</v>
      </c>
      <c r="S480" s="6" t="str">
        <f>IFERROR(__xludf.DUMMYFUNCTION("""COMPUTED_VALUE"""),"-")</f>
        <v>-</v>
      </c>
      <c r="T480" s="17">
        <f>IFERROR(__xludf.DUMMYFUNCTION("""COMPUTED_VALUE"""),43371.0)</f>
        <v>43371</v>
      </c>
    </row>
    <row r="481">
      <c r="A481" s="6" t="str">
        <f>IFERROR(__xludf.DUMMYFUNCTION("""COMPUTED_VALUE"""),"181750331-4")</f>
        <v>181750331-4</v>
      </c>
      <c r="B481" s="6" t="str">
        <f>IFERROR(__xludf.DUMMYFUNCTION("""COMPUTED_VALUE"""),"181750331 - Approved")</f>
        <v>181750331 - Approved</v>
      </c>
      <c r="C481" s="6">
        <f>IFERROR(__xludf.DUMMYFUNCTION("""COMPUTED_VALUE"""),4.0)</f>
        <v>4</v>
      </c>
      <c r="D481" s="6" t="str">
        <f>IFERROR(__xludf.DUMMYFUNCTION("""COMPUTED_VALUE"""),"S-20266-00")</f>
        <v>S-20266-00</v>
      </c>
      <c r="E481" s="6" t="str">
        <f>IFERROR(__xludf.DUMMYFUNCTION("""COMPUTED_VALUE"""),"Glove Welding Tig Leather 12 Inc ; KW1000419; ; ;")</f>
        <v>Glove Welding Tig Leather 12 Inc ; KW1000419; ; ;</v>
      </c>
      <c r="F481" s="6">
        <f>IFERROR(__xludf.DUMMYFUNCTION("""COMPUTED_VALUE"""),1.0)</f>
        <v>1</v>
      </c>
      <c r="G481" s="6" t="str">
        <f>IFERROR(__xludf.DUMMYFUNCTION("""COMPUTED_VALUE"""),"Pieces")</f>
        <v>Pieces</v>
      </c>
      <c r="H481" s="6" t="str">
        <f>IFERROR(__xludf.DUMMYFUNCTION("""COMPUTED_VALUE"""),"IDR")</f>
        <v>IDR</v>
      </c>
      <c r="I481" s="11">
        <f>IFERROR(__xludf.DUMMYFUNCTION("""COMPUTED_VALUE"""),119000.0)</f>
        <v>119000</v>
      </c>
      <c r="J481" s="11">
        <f>IFERROR(__xludf.DUMMYFUNCTION("""COMPUTED_VALUE"""),119000.0)</f>
        <v>119000</v>
      </c>
      <c r="K481" s="13">
        <f>IFERROR(__xludf.DUMMYFUNCTION("""COMPUTED_VALUE"""),43371.0)</f>
        <v>43371</v>
      </c>
      <c r="L481" s="6" t="str">
        <f>IFERROR(__xludf.DUMMYFUNCTION("""COMPUTED_VALUE"""),"FIP General")</f>
        <v>FIP General</v>
      </c>
      <c r="M481" s="6" t="str">
        <f>IFERROR(__xludf.DUMMYFUNCTION("""COMPUTED_VALUE"""),"Joko Nugroho")</f>
        <v>Joko Nugroho</v>
      </c>
      <c r="N481" s="6" t="str">
        <f>IFERROR(__xludf.DUMMYFUNCTION("""COMPUTED_VALUE"""),"FIP Engineering")</f>
        <v>FIP Engineering</v>
      </c>
      <c r="O481" s="6" t="str">
        <f>IFERROR(__xludf.DUMMYFUNCTION("""COMPUTED_VALUE"""),"FIP-DOM-ENG-51202-0000000-INA-000000")</f>
        <v>FIP-DOM-ENG-51202-0000000-INA-000000</v>
      </c>
      <c r="P481" s="6" t="str">
        <f>IFERROR(__xludf.DUMMYFUNCTION("""COMPUTED_VALUE"""),"PO Closed")</f>
        <v>PO Closed</v>
      </c>
      <c r="Q481" s="6" t="str">
        <f>IFERROR(__xludf.DUMMYFUNCTION("""COMPUTED_VALUE"""),"GL1809032")</f>
        <v>GL1809032</v>
      </c>
      <c r="R481" s="16">
        <f>IFERROR(__xludf.DUMMYFUNCTION("""COMPUTED_VALUE"""),43349.0)</f>
        <v>43349</v>
      </c>
      <c r="S481" s="6" t="str">
        <f>IFERROR(__xludf.DUMMYFUNCTION("""COMPUTED_VALUE"""),"-")</f>
        <v>-</v>
      </c>
      <c r="T481" s="17">
        <f>IFERROR(__xludf.DUMMYFUNCTION("""COMPUTED_VALUE"""),43371.0)</f>
        <v>43371</v>
      </c>
    </row>
    <row r="482">
      <c r="A482" s="6" t="str">
        <f>IFERROR(__xludf.DUMMYFUNCTION("""COMPUTED_VALUE"""),"181750331-5")</f>
        <v>181750331-5</v>
      </c>
      <c r="B482" s="6" t="str">
        <f>IFERROR(__xludf.DUMMYFUNCTION("""COMPUTED_VALUE"""),"181750331 - Approved")</f>
        <v>181750331 - Approved</v>
      </c>
      <c r="C482" s="6">
        <f>IFERROR(__xludf.DUMMYFUNCTION("""COMPUTED_VALUE"""),5.0)</f>
        <v>5</v>
      </c>
      <c r="D482" s="6" t="str">
        <f>IFERROR(__xludf.DUMMYFUNCTION("""COMPUTED_VALUE"""),"S-20265-00")</f>
        <v>S-20265-00</v>
      </c>
      <c r="E482" s="6" t="str">
        <f>IFERROR(__xludf.DUMMYFUNCTION("""COMPUTED_VALUE"""),"Spectacle Flexible Temple clear ; KW1000539; ; ;")</f>
        <v>Spectacle Flexible Temple clear ; KW1000539; ; ;</v>
      </c>
      <c r="F482" s="6">
        <f>IFERROR(__xludf.DUMMYFUNCTION("""COMPUTED_VALUE"""),2.0)</f>
        <v>2</v>
      </c>
      <c r="G482" s="6" t="str">
        <f>IFERROR(__xludf.DUMMYFUNCTION("""COMPUTED_VALUE"""),"Pieces")</f>
        <v>Pieces</v>
      </c>
      <c r="H482" s="6" t="str">
        <f>IFERROR(__xludf.DUMMYFUNCTION("""COMPUTED_VALUE"""),"IDR")</f>
        <v>IDR</v>
      </c>
      <c r="I482" s="11">
        <f>IFERROR(__xludf.DUMMYFUNCTION("""COMPUTED_VALUE"""),32045.0)</f>
        <v>32045</v>
      </c>
      <c r="J482" s="11">
        <f>IFERROR(__xludf.DUMMYFUNCTION("""COMPUTED_VALUE"""),64090.0)</f>
        <v>64090</v>
      </c>
      <c r="K482" s="13">
        <f>IFERROR(__xludf.DUMMYFUNCTION("""COMPUTED_VALUE"""),43371.0)</f>
        <v>43371</v>
      </c>
      <c r="L482" s="6" t="str">
        <f>IFERROR(__xludf.DUMMYFUNCTION("""COMPUTED_VALUE"""),"FIP General")</f>
        <v>FIP General</v>
      </c>
      <c r="M482" s="6" t="str">
        <f>IFERROR(__xludf.DUMMYFUNCTION("""COMPUTED_VALUE"""),"Joko Nugroho")</f>
        <v>Joko Nugroho</v>
      </c>
      <c r="N482" s="6" t="str">
        <f>IFERROR(__xludf.DUMMYFUNCTION("""COMPUTED_VALUE"""),"FIP Engineering")</f>
        <v>FIP Engineering</v>
      </c>
      <c r="O482" s="6" t="str">
        <f>IFERROR(__xludf.DUMMYFUNCTION("""COMPUTED_VALUE"""),"FIP-DOM-ENG-51202-0000000-INA-000000")</f>
        <v>FIP-DOM-ENG-51202-0000000-INA-000000</v>
      </c>
      <c r="P482" s="6" t="str">
        <f>IFERROR(__xludf.DUMMYFUNCTION("""COMPUTED_VALUE"""),"PO Closed")</f>
        <v>PO Closed</v>
      </c>
      <c r="Q482" s="6" t="str">
        <f>IFERROR(__xludf.DUMMYFUNCTION("""COMPUTED_VALUE"""),"GL1809032")</f>
        <v>GL1809032</v>
      </c>
      <c r="R482" s="16">
        <f>IFERROR(__xludf.DUMMYFUNCTION("""COMPUTED_VALUE"""),43349.0)</f>
        <v>43349</v>
      </c>
      <c r="S482" s="6" t="str">
        <f>IFERROR(__xludf.DUMMYFUNCTION("""COMPUTED_VALUE"""),"-")</f>
        <v>-</v>
      </c>
      <c r="T482" s="13">
        <f>IFERROR(__xludf.DUMMYFUNCTION("""COMPUTED_VALUE"""),43371.0)</f>
        <v>43371</v>
      </c>
    </row>
    <row r="483">
      <c r="A483" s="6" t="str">
        <f>IFERROR(__xludf.DUMMYFUNCTION("""COMPUTED_VALUE"""),"181750331-6")</f>
        <v>181750331-6</v>
      </c>
      <c r="B483" s="6" t="str">
        <f>IFERROR(__xludf.DUMMYFUNCTION("""COMPUTED_VALUE"""),"181750331 - Approved")</f>
        <v>181750331 - Approved</v>
      </c>
      <c r="C483" s="6">
        <f>IFERROR(__xludf.DUMMYFUNCTION("""COMPUTED_VALUE"""),6.0)</f>
        <v>6</v>
      </c>
      <c r="D483" s="6" t="str">
        <f>IFERROR(__xludf.DUMMYFUNCTION("""COMPUTED_VALUE"""),"S-40046-00")</f>
        <v>S-40046-00</v>
      </c>
      <c r="E483" s="6" t="str">
        <f>IFERROR(__xludf.DUMMYFUNCTION("""COMPUTED_VALUE"""),"Ear Plug - Corded Reusable Earplug with case 3M 1271")</f>
        <v>Ear Plug - Corded Reusable Earplug with case 3M 1271</v>
      </c>
      <c r="F483" s="6">
        <f>IFERROR(__xludf.DUMMYFUNCTION("""COMPUTED_VALUE"""),10.0)</f>
        <v>10</v>
      </c>
      <c r="G483" s="6" t="str">
        <f>IFERROR(__xludf.DUMMYFUNCTION("""COMPUTED_VALUE"""),"Set")</f>
        <v>Set</v>
      </c>
      <c r="H483" s="6" t="str">
        <f>IFERROR(__xludf.DUMMYFUNCTION("""COMPUTED_VALUE"""),"IDR")</f>
        <v>IDR</v>
      </c>
      <c r="I483" s="11">
        <f>IFERROR(__xludf.DUMMYFUNCTION("""COMPUTED_VALUE"""),40000.0)</f>
        <v>40000</v>
      </c>
      <c r="J483" s="11">
        <f>IFERROR(__xludf.DUMMYFUNCTION("""COMPUTED_VALUE"""),400000.0)</f>
        <v>400000</v>
      </c>
      <c r="K483" s="13">
        <f>IFERROR(__xludf.DUMMYFUNCTION("""COMPUTED_VALUE"""),43371.0)</f>
        <v>43371</v>
      </c>
      <c r="L483" s="6" t="str">
        <f>IFERROR(__xludf.DUMMYFUNCTION("""COMPUTED_VALUE"""),"FIP General")</f>
        <v>FIP General</v>
      </c>
      <c r="M483" s="6" t="str">
        <f>IFERROR(__xludf.DUMMYFUNCTION("""COMPUTED_VALUE"""),"Joko Nugroho")</f>
        <v>Joko Nugroho</v>
      </c>
      <c r="N483" s="6" t="str">
        <f>IFERROR(__xludf.DUMMYFUNCTION("""COMPUTED_VALUE"""),"FIP Engineering")</f>
        <v>FIP Engineering</v>
      </c>
      <c r="O483" s="6" t="str">
        <f>IFERROR(__xludf.DUMMYFUNCTION("""COMPUTED_VALUE"""),"FIP-DOM-ENG-51202-0000000-INA-000000")</f>
        <v>FIP-DOM-ENG-51202-0000000-INA-000000</v>
      </c>
      <c r="P483" s="6" t="str">
        <f>IFERROR(__xludf.DUMMYFUNCTION("""COMPUTED_VALUE"""),"PO Closed")</f>
        <v>PO Closed</v>
      </c>
      <c r="Q483" s="6" t="str">
        <f>IFERROR(__xludf.DUMMYFUNCTION("""COMPUTED_VALUE"""),"GL1809047")</f>
        <v>GL1809047</v>
      </c>
      <c r="R483" s="17">
        <f>IFERROR(__xludf.DUMMYFUNCTION("""COMPUTED_VALUE"""),43349.0)</f>
        <v>43349</v>
      </c>
      <c r="S483" s="6" t="str">
        <f>IFERROR(__xludf.DUMMYFUNCTION("""COMPUTED_VALUE"""),"-")</f>
        <v>-</v>
      </c>
      <c r="T483" s="17">
        <f>IFERROR(__xludf.DUMMYFUNCTION("""COMPUTED_VALUE"""),43371.0)</f>
        <v>43371</v>
      </c>
    </row>
    <row r="484">
      <c r="A484" s="6" t="str">
        <f>IFERROR(__xludf.DUMMYFUNCTION("""COMPUTED_VALUE"""),"181750330-1")</f>
        <v>181750330-1</v>
      </c>
      <c r="B484" s="6" t="str">
        <f>IFERROR(__xludf.DUMMYFUNCTION("""COMPUTED_VALUE"""),"181750330 - Approved")</f>
        <v>181750330 - Approved</v>
      </c>
      <c r="C484" s="6">
        <f>IFERROR(__xludf.DUMMYFUNCTION("""COMPUTED_VALUE"""),1.0)</f>
        <v>1</v>
      </c>
      <c r="D484" s="6" t="str">
        <f>IFERROR(__xludf.DUMMYFUNCTION("""COMPUTED_VALUE"""),"S-40812-00")</f>
        <v>S-40812-00</v>
      </c>
      <c r="E484" s="6" t="str">
        <f>IFERROR(__xludf.DUMMYFUNCTION("""COMPUTED_VALUE"""),"Kabel VGA 1 Male to 2 Female; ; ;")</f>
        <v>Kabel VGA 1 Male to 2 Female; ; ;</v>
      </c>
      <c r="F484" s="6">
        <f>IFERROR(__xludf.DUMMYFUNCTION("""COMPUTED_VALUE"""),3.0)</f>
        <v>3</v>
      </c>
      <c r="G484" s="6" t="str">
        <f>IFERROR(__xludf.DUMMYFUNCTION("""COMPUTED_VALUE"""),"Pieces")</f>
        <v>Pieces</v>
      </c>
      <c r="H484" s="6" t="str">
        <f>IFERROR(__xludf.DUMMYFUNCTION("""COMPUTED_VALUE"""),"IDR")</f>
        <v>IDR</v>
      </c>
      <c r="I484" s="11">
        <f>IFERROR(__xludf.DUMMYFUNCTION("""COMPUTED_VALUE"""),65000.0)</f>
        <v>65000</v>
      </c>
      <c r="J484" s="11">
        <f>IFERROR(__xludf.DUMMYFUNCTION("""COMPUTED_VALUE"""),195000.0)</f>
        <v>195000</v>
      </c>
      <c r="K484" s="13">
        <f>IFERROR(__xludf.DUMMYFUNCTION("""COMPUTED_VALUE"""),43360.0)</f>
        <v>43360</v>
      </c>
      <c r="L484" s="6" t="str">
        <f>IFERROR(__xludf.DUMMYFUNCTION("""COMPUTED_VALUE"""),"FIP General")</f>
        <v>FIP General</v>
      </c>
      <c r="M484" s="6" t="str">
        <f>IFERROR(__xludf.DUMMYFUNCTION("""COMPUTED_VALUE"""),"Joko Nugroho")</f>
        <v>Joko Nugroho</v>
      </c>
      <c r="N484" s="6" t="str">
        <f>IFERROR(__xludf.DUMMYFUNCTION("""COMPUTED_VALUE"""),"FIP Engineering")</f>
        <v>FIP Engineering</v>
      </c>
      <c r="O484" s="6" t="str">
        <f>IFERROR(__xludf.DUMMYFUNCTION("""COMPUTED_VALUE"""),"FIP-DOM-ENG-51404-0000000-INA-000000")</f>
        <v>FIP-DOM-ENG-51404-0000000-INA-000000</v>
      </c>
      <c r="P484" s="6" t="str">
        <f>IFERROR(__xludf.DUMMYFUNCTION("""COMPUTED_VALUE"""),"PO Closed")</f>
        <v>PO Closed</v>
      </c>
      <c r="Q484" s="6" t="str">
        <f>IFERROR(__xludf.DUMMYFUNCTION("""COMPUTED_VALUE"""),"GL1809030")</f>
        <v>GL1809030</v>
      </c>
      <c r="R484" s="17">
        <f>IFERROR(__xludf.DUMMYFUNCTION("""COMPUTED_VALUE"""),43349.0)</f>
        <v>43349</v>
      </c>
      <c r="S484" s="6" t="str">
        <f>IFERROR(__xludf.DUMMYFUNCTION("""COMPUTED_VALUE"""),"-")</f>
        <v>-</v>
      </c>
      <c r="T484" s="17">
        <f>IFERROR(__xludf.DUMMYFUNCTION("""COMPUTED_VALUE"""),43360.0)</f>
        <v>43360</v>
      </c>
    </row>
    <row r="485">
      <c r="A485" s="6" t="str">
        <f>IFERROR(__xludf.DUMMYFUNCTION("""COMPUTED_VALUE"""),"181750330-2")</f>
        <v>181750330-2</v>
      </c>
      <c r="B485" s="6" t="str">
        <f>IFERROR(__xludf.DUMMYFUNCTION("""COMPUTED_VALUE"""),"181750330 - Approved")</f>
        <v>181750330 - Approved</v>
      </c>
      <c r="C485" s="6">
        <f>IFERROR(__xludf.DUMMYFUNCTION("""COMPUTED_VALUE"""),2.0)</f>
        <v>2</v>
      </c>
      <c r="D485" s="6" t="str">
        <f>IFERROR(__xludf.DUMMYFUNCTION("""COMPUTED_VALUE"""),"S-40813-00")</f>
        <v>S-40813-00</v>
      </c>
      <c r="E485" s="6" t="str">
        <f>IFERROR(__xludf.DUMMYFUNCTION("""COMPUTED_VALUE"""),"Converter VGA - Male to Female; ; ;")</f>
        <v>Converter VGA - Male to Female; ; ;</v>
      </c>
      <c r="F485" s="6">
        <f>IFERROR(__xludf.DUMMYFUNCTION("""COMPUTED_VALUE"""),4.0)</f>
        <v>4</v>
      </c>
      <c r="G485" s="6" t="str">
        <f>IFERROR(__xludf.DUMMYFUNCTION("""COMPUTED_VALUE"""),"Pieces")</f>
        <v>Pieces</v>
      </c>
      <c r="H485" s="6" t="str">
        <f>IFERROR(__xludf.DUMMYFUNCTION("""COMPUTED_VALUE"""),"IDR")</f>
        <v>IDR</v>
      </c>
      <c r="I485" s="11">
        <f>IFERROR(__xludf.DUMMYFUNCTION("""COMPUTED_VALUE"""),32500.0)</f>
        <v>32500</v>
      </c>
      <c r="J485" s="11">
        <f>IFERROR(__xludf.DUMMYFUNCTION("""COMPUTED_VALUE"""),130000.0)</f>
        <v>130000</v>
      </c>
      <c r="K485" s="13">
        <f>IFERROR(__xludf.DUMMYFUNCTION("""COMPUTED_VALUE"""),43360.0)</f>
        <v>43360</v>
      </c>
      <c r="L485" s="6" t="str">
        <f>IFERROR(__xludf.DUMMYFUNCTION("""COMPUTED_VALUE"""),"FIP General")</f>
        <v>FIP General</v>
      </c>
      <c r="M485" s="6" t="str">
        <f>IFERROR(__xludf.DUMMYFUNCTION("""COMPUTED_VALUE"""),"Joko Nugroho")</f>
        <v>Joko Nugroho</v>
      </c>
      <c r="N485" s="6" t="str">
        <f>IFERROR(__xludf.DUMMYFUNCTION("""COMPUTED_VALUE"""),"FIP Engineering")</f>
        <v>FIP Engineering</v>
      </c>
      <c r="O485" s="6" t="str">
        <f>IFERROR(__xludf.DUMMYFUNCTION("""COMPUTED_VALUE"""),"FIP-DOM-ENG-51404-0000000-INA-000000")</f>
        <v>FIP-DOM-ENG-51404-0000000-INA-000000</v>
      </c>
      <c r="P485" s="6" t="str">
        <f>IFERROR(__xludf.DUMMYFUNCTION("""COMPUTED_VALUE"""),"PO Closed")</f>
        <v>PO Closed</v>
      </c>
      <c r="Q485" s="6" t="str">
        <f>IFERROR(__xludf.DUMMYFUNCTION("""COMPUTED_VALUE"""),"GL1809030")</f>
        <v>GL1809030</v>
      </c>
      <c r="R485" s="16">
        <f>IFERROR(__xludf.DUMMYFUNCTION("""COMPUTED_VALUE"""),43349.0)</f>
        <v>43349</v>
      </c>
      <c r="S485" s="6" t="str">
        <f>IFERROR(__xludf.DUMMYFUNCTION("""COMPUTED_VALUE"""),"-")</f>
        <v>-</v>
      </c>
      <c r="T485" s="17">
        <f>IFERROR(__xludf.DUMMYFUNCTION("""COMPUTED_VALUE"""),43360.0)</f>
        <v>43360</v>
      </c>
    </row>
    <row r="486">
      <c r="A486" s="6" t="str">
        <f>IFERROR(__xludf.DUMMYFUNCTION("""COMPUTED_VALUE"""),"181750336-1")</f>
        <v>181750336-1</v>
      </c>
      <c r="B486" s="6" t="str">
        <f>IFERROR(__xludf.DUMMYFUNCTION("""COMPUTED_VALUE"""),"181750336 - Approved")</f>
        <v>181750336 - Approved</v>
      </c>
      <c r="C486" s="6">
        <f>IFERROR(__xludf.DUMMYFUNCTION("""COMPUTED_VALUE"""),1.0)</f>
        <v>1</v>
      </c>
      <c r="D486" s="6" t="str">
        <f>IFERROR(__xludf.DUMMYFUNCTION("""COMPUTED_VALUE"""),"O-51775-00")</f>
        <v>O-51775-00</v>
      </c>
      <c r="E486" s="6" t="str">
        <f>IFERROR(__xludf.DUMMYFUNCTION("""COMPUTED_VALUE"""),"WAGO 750-461 2-CHANNEL ANALOG INPUT MODULE STD PACK: 1EA; ; ;")</f>
        <v>WAGO 750-461 2-CHANNEL ANALOG INPUT MODULE STD PACK: 1EA; ; ;</v>
      </c>
      <c r="F486" s="6">
        <f>IFERROR(__xludf.DUMMYFUNCTION("""COMPUTED_VALUE"""),1.0)</f>
        <v>1</v>
      </c>
      <c r="G486" s="6" t="str">
        <f>IFERROR(__xludf.DUMMYFUNCTION("""COMPUTED_VALUE"""),"Unit")</f>
        <v>Unit</v>
      </c>
      <c r="H486" s="6" t="str">
        <f>IFERROR(__xludf.DUMMYFUNCTION("""COMPUTED_VALUE"""),"IDR")</f>
        <v>IDR</v>
      </c>
      <c r="I486" s="11">
        <f>IFERROR(__xludf.DUMMYFUNCTION("""COMPUTED_VALUE"""),4047640.0)</f>
        <v>4047640</v>
      </c>
      <c r="J486" s="11">
        <f>IFERROR(__xludf.DUMMYFUNCTION("""COMPUTED_VALUE"""),4047640.0)</f>
        <v>4047640</v>
      </c>
      <c r="K486" s="13">
        <f>IFERROR(__xludf.DUMMYFUNCTION("""COMPUTED_VALUE"""),43371.0)</f>
        <v>43371</v>
      </c>
      <c r="L486" s="6" t="str">
        <f>IFERROR(__xludf.DUMMYFUNCTION("""COMPUTED_VALUE"""),"FIP General")</f>
        <v>FIP General</v>
      </c>
      <c r="M486" s="6" t="str">
        <f>IFERROR(__xludf.DUMMYFUNCTION("""COMPUTED_VALUE"""),"Joko Nugroho")</f>
        <v>Joko Nugroho</v>
      </c>
      <c r="N486" s="6" t="str">
        <f>IFERROR(__xludf.DUMMYFUNCTION("""COMPUTED_VALUE"""),"FIP Engineering")</f>
        <v>FIP Engineering</v>
      </c>
      <c r="O486" s="6" t="str">
        <f>IFERROR(__xludf.DUMMYFUNCTION("""COMPUTED_VALUE"""),"FIP-DOM-ENG-51504-0000000-INA-000000")</f>
        <v>FIP-DOM-ENG-51504-0000000-INA-000000</v>
      </c>
      <c r="P486" s="6" t="str">
        <f>IFERROR(__xludf.DUMMYFUNCTION("""COMPUTED_VALUE"""),"PO Closed")</f>
        <v>PO Closed</v>
      </c>
      <c r="Q486" s="6" t="str">
        <f>IFERROR(__xludf.DUMMYFUNCTION("""COMPUTED_VALUE"""),"GL1809048")</f>
        <v>GL1809048</v>
      </c>
      <c r="R486" s="16">
        <f>IFERROR(__xludf.DUMMYFUNCTION("""COMPUTED_VALUE"""),43355.0)</f>
        <v>43355</v>
      </c>
      <c r="S486" s="6" t="str">
        <f>IFERROR(__xludf.DUMMYFUNCTION("""COMPUTED_VALUE"""),"-")</f>
        <v>-</v>
      </c>
      <c r="T486" s="13">
        <f>IFERROR(__xludf.DUMMYFUNCTION("""COMPUTED_VALUE"""),43445.0)</f>
        <v>43445</v>
      </c>
    </row>
    <row r="487">
      <c r="A487" s="6" t="str">
        <f>IFERROR(__xludf.DUMMYFUNCTION("""COMPUTED_VALUE"""),"181750336-2")</f>
        <v>181750336-2</v>
      </c>
      <c r="B487" s="6" t="str">
        <f>IFERROR(__xludf.DUMMYFUNCTION("""COMPUTED_VALUE"""),"181750336 - Approved")</f>
        <v>181750336 - Approved</v>
      </c>
      <c r="C487" s="6">
        <f>IFERROR(__xludf.DUMMYFUNCTION("""COMPUTED_VALUE"""),2.0)</f>
        <v>2</v>
      </c>
      <c r="D487" s="6" t="str">
        <f>IFERROR(__xludf.DUMMYFUNCTION("""COMPUTED_VALUE"""),"O-51309-00")</f>
        <v>O-51309-00</v>
      </c>
      <c r="E487" s="6" t="str">
        <f>IFERROR(__xludf.DUMMYFUNCTION("""COMPUTED_VALUE"""),"WAGO 750-333 I/O SYSTEM PROFIBUS DP/FMS-12 MBAUD-DPV1-COUPL; ; ;")</f>
        <v>WAGO 750-333 I/O SYSTEM PROFIBUS DP/FMS-12 MBAUD-DPV1-COUPL; ; ;</v>
      </c>
      <c r="F487" s="6">
        <f>IFERROR(__xludf.DUMMYFUNCTION("""COMPUTED_VALUE"""),1.0)</f>
        <v>1</v>
      </c>
      <c r="G487" s="6" t="str">
        <f>IFERROR(__xludf.DUMMYFUNCTION("""COMPUTED_VALUE"""),"Unit")</f>
        <v>Unit</v>
      </c>
      <c r="H487" s="6" t="str">
        <f>IFERROR(__xludf.DUMMYFUNCTION("""COMPUTED_VALUE"""),"IDR")</f>
        <v>IDR</v>
      </c>
      <c r="I487" s="11">
        <f>IFERROR(__xludf.DUMMYFUNCTION("""COMPUTED_VALUE"""),4883620.0)</f>
        <v>4883620</v>
      </c>
      <c r="J487" s="11">
        <f>IFERROR(__xludf.DUMMYFUNCTION("""COMPUTED_VALUE"""),4883620.0)</f>
        <v>4883620</v>
      </c>
      <c r="K487" s="13">
        <f>IFERROR(__xludf.DUMMYFUNCTION("""COMPUTED_VALUE"""),43371.0)</f>
        <v>43371</v>
      </c>
      <c r="L487" s="6" t="str">
        <f>IFERROR(__xludf.DUMMYFUNCTION("""COMPUTED_VALUE"""),"FIP Engineering")</f>
        <v>FIP Engineering</v>
      </c>
      <c r="M487" s="6" t="str">
        <f>IFERROR(__xludf.DUMMYFUNCTION("""COMPUTED_VALUE"""),"Joko Nugroho")</f>
        <v>Joko Nugroho</v>
      </c>
      <c r="N487" s="6" t="str">
        <f>IFERROR(__xludf.DUMMYFUNCTION("""COMPUTED_VALUE"""),"FIP Engineering")</f>
        <v>FIP Engineering</v>
      </c>
      <c r="O487" s="6" t="str">
        <f>IFERROR(__xludf.DUMMYFUNCTION("""COMPUTED_VALUE"""),"FIP-DOM-000-11304-OS00001-INA-000000")</f>
        <v>FIP-DOM-000-11304-OS00001-INA-000000</v>
      </c>
      <c r="P487" s="6" t="str">
        <f>IFERROR(__xludf.DUMMYFUNCTION("""COMPUTED_VALUE"""),"PO Closed")</f>
        <v>PO Closed</v>
      </c>
      <c r="Q487" s="6" t="str">
        <f>IFERROR(__xludf.DUMMYFUNCTION("""COMPUTED_VALUE"""),"GL1809048")</f>
        <v>GL1809048</v>
      </c>
      <c r="R487" s="16">
        <f>IFERROR(__xludf.DUMMYFUNCTION("""COMPUTED_VALUE"""),43355.0)</f>
        <v>43355</v>
      </c>
      <c r="S487" s="6" t="str">
        <f>IFERROR(__xludf.DUMMYFUNCTION("""COMPUTED_VALUE"""),"-")</f>
        <v>-</v>
      </c>
      <c r="T487" s="13">
        <f>IFERROR(__xludf.DUMMYFUNCTION("""COMPUTED_VALUE"""),43445.0)</f>
        <v>43445</v>
      </c>
    </row>
    <row r="488">
      <c r="A488" s="6" t="str">
        <f>IFERROR(__xludf.DUMMYFUNCTION("""COMPUTED_VALUE"""),"181750338-1")</f>
        <v>181750338-1</v>
      </c>
      <c r="B488" s="6" t="str">
        <f>IFERROR(__xludf.DUMMYFUNCTION("""COMPUTED_VALUE"""),"181750338 - Approved")</f>
        <v>181750338 - Approved</v>
      </c>
      <c r="C488" s="6">
        <f>IFERROR(__xludf.DUMMYFUNCTION("""COMPUTED_VALUE"""),1.0)</f>
        <v>1</v>
      </c>
      <c r="D488" s="6" t="str">
        <f>IFERROR(__xludf.DUMMYFUNCTION("""COMPUTED_VALUE"""),"P-15052-00")</f>
        <v>P-15052-00</v>
      </c>
      <c r="E488" s="6" t="str">
        <f>IFERROR(__xludf.DUMMYFUNCTION("""COMPUTED_VALUE"""),"Element Filter 1 micron P/N NXE-400-Z; ; ;")</f>
        <v>Element Filter 1 micron P/N NXE-400-Z; ; ;</v>
      </c>
      <c r="F488" s="6">
        <f>IFERROR(__xludf.DUMMYFUNCTION("""COMPUTED_VALUE"""),1.0)</f>
        <v>1</v>
      </c>
      <c r="G488" s="6" t="str">
        <f>IFERROR(__xludf.DUMMYFUNCTION("""COMPUTED_VALUE"""),"Pieces")</f>
        <v>Pieces</v>
      </c>
      <c r="H488" s="6" t="str">
        <f>IFERROR(__xludf.DUMMYFUNCTION("""COMPUTED_VALUE"""),"IDR")</f>
        <v>IDR</v>
      </c>
      <c r="I488" s="11">
        <f>IFERROR(__xludf.DUMMYFUNCTION("""COMPUTED_VALUE"""),2144000.0)</f>
        <v>2144000</v>
      </c>
      <c r="J488" s="11">
        <f>IFERROR(__xludf.DUMMYFUNCTION("""COMPUTED_VALUE"""),2144000.0)</f>
        <v>2144000</v>
      </c>
      <c r="K488" s="13">
        <f>IFERROR(__xludf.DUMMYFUNCTION("""COMPUTED_VALUE"""),43378.0)</f>
        <v>43378</v>
      </c>
      <c r="L488" s="6" t="str">
        <f>IFERROR(__xludf.DUMMYFUNCTION("""COMPUTED_VALUE"""),"FIP Engineering")</f>
        <v>FIP Engineering</v>
      </c>
      <c r="M488" s="6" t="str">
        <f>IFERROR(__xludf.DUMMYFUNCTION("""COMPUTED_VALUE"""),"Joko Nugroho")</f>
        <v>Joko Nugroho</v>
      </c>
      <c r="N488" s="6" t="str">
        <f>IFERROR(__xludf.DUMMYFUNCTION("""COMPUTED_VALUE"""),"FIP Engineering")</f>
        <v>FIP Engineering</v>
      </c>
      <c r="O488" s="6" t="str">
        <f>IFERROR(__xludf.DUMMYFUNCTION("""COMPUTED_VALUE"""),"FIP-DOM-000-11304-OS00001-INA-000000")</f>
        <v>FIP-DOM-000-11304-OS00001-INA-000000</v>
      </c>
      <c r="P488" s="6" t="str">
        <f>IFERROR(__xludf.DUMMYFUNCTION("""COMPUTED_VALUE"""),"PO Closed")</f>
        <v>PO Closed</v>
      </c>
      <c r="Q488" s="6" t="str">
        <f>IFERROR(__xludf.DUMMYFUNCTION("""COMPUTED_VALUE"""),"GL1809049")</f>
        <v>GL1809049</v>
      </c>
      <c r="R488" s="17">
        <f>IFERROR(__xludf.DUMMYFUNCTION("""COMPUTED_VALUE"""),43356.0)</f>
        <v>43356</v>
      </c>
      <c r="S488" s="6" t="str">
        <f>IFERROR(__xludf.DUMMYFUNCTION("""COMPUTED_VALUE"""),"-")</f>
        <v>-</v>
      </c>
      <c r="T488" s="17">
        <f>IFERROR(__xludf.DUMMYFUNCTION("""COMPUTED_VALUE"""),43392.0)</f>
        <v>43392</v>
      </c>
    </row>
    <row r="489">
      <c r="A489" s="6" t="str">
        <f>IFERROR(__xludf.DUMMYFUNCTION("""COMPUTED_VALUE"""),"181750338-2")</f>
        <v>181750338-2</v>
      </c>
      <c r="B489" s="6" t="str">
        <f>IFERROR(__xludf.DUMMYFUNCTION("""COMPUTED_VALUE"""),"181750338 - Approved")</f>
        <v>181750338 - Approved</v>
      </c>
      <c r="C489" s="6">
        <f>IFERROR(__xludf.DUMMYFUNCTION("""COMPUTED_VALUE"""),2.0)</f>
        <v>2</v>
      </c>
      <c r="D489" s="6" t="str">
        <f>IFERROR(__xludf.DUMMYFUNCTION("""COMPUTED_VALUE"""),"P-15053-00")</f>
        <v>P-15053-00</v>
      </c>
      <c r="E489" s="6" t="str">
        <f>IFERROR(__xludf.DUMMYFUNCTION("""COMPUTED_VALUE"""),"Element Filter 0.01 micron P/N NXE-400-X; ; ;")</f>
        <v>Element Filter 0.01 micron P/N NXE-400-X; ; ;</v>
      </c>
      <c r="F489" s="6">
        <f>IFERROR(__xludf.DUMMYFUNCTION("""COMPUTED_VALUE"""),1.0)</f>
        <v>1</v>
      </c>
      <c r="G489" s="6" t="str">
        <f>IFERROR(__xludf.DUMMYFUNCTION("""COMPUTED_VALUE"""),"Pieces")</f>
        <v>Pieces</v>
      </c>
      <c r="H489" s="6" t="str">
        <f>IFERROR(__xludf.DUMMYFUNCTION("""COMPUTED_VALUE"""),"IDR")</f>
        <v>IDR</v>
      </c>
      <c r="I489" s="11">
        <f>IFERROR(__xludf.DUMMYFUNCTION("""COMPUTED_VALUE"""),2144000.0)</f>
        <v>2144000</v>
      </c>
      <c r="J489" s="11">
        <f>IFERROR(__xludf.DUMMYFUNCTION("""COMPUTED_VALUE"""),2144000.0)</f>
        <v>2144000</v>
      </c>
      <c r="K489" s="13">
        <f>IFERROR(__xludf.DUMMYFUNCTION("""COMPUTED_VALUE"""),43378.0)</f>
        <v>43378</v>
      </c>
      <c r="L489" s="6" t="str">
        <f>IFERROR(__xludf.DUMMYFUNCTION("""COMPUTED_VALUE"""),"FIP Engineering")</f>
        <v>FIP Engineering</v>
      </c>
      <c r="M489" s="6" t="str">
        <f>IFERROR(__xludf.DUMMYFUNCTION("""COMPUTED_VALUE"""),"Joko Nugroho")</f>
        <v>Joko Nugroho</v>
      </c>
      <c r="N489" s="6" t="str">
        <f>IFERROR(__xludf.DUMMYFUNCTION("""COMPUTED_VALUE"""),"FIP Engineering")</f>
        <v>FIP Engineering</v>
      </c>
      <c r="O489" s="6" t="str">
        <f>IFERROR(__xludf.DUMMYFUNCTION("""COMPUTED_VALUE"""),"FIP-DOM-000-11304-OS00001-INA-000000")</f>
        <v>FIP-DOM-000-11304-OS00001-INA-000000</v>
      </c>
      <c r="P489" s="6" t="str">
        <f>IFERROR(__xludf.DUMMYFUNCTION("""COMPUTED_VALUE"""),"PO Closed")</f>
        <v>PO Closed</v>
      </c>
      <c r="Q489" s="6" t="str">
        <f>IFERROR(__xludf.DUMMYFUNCTION("""COMPUTED_VALUE"""),"GL1809049")</f>
        <v>GL1809049</v>
      </c>
      <c r="R489" s="16">
        <f>IFERROR(__xludf.DUMMYFUNCTION("""COMPUTED_VALUE"""),43356.0)</f>
        <v>43356</v>
      </c>
      <c r="S489" s="6" t="str">
        <f>IFERROR(__xludf.DUMMYFUNCTION("""COMPUTED_VALUE"""),"-")</f>
        <v>-</v>
      </c>
      <c r="T489" s="13">
        <f>IFERROR(__xludf.DUMMYFUNCTION("""COMPUTED_VALUE"""),43392.0)</f>
        <v>43392</v>
      </c>
    </row>
    <row r="490">
      <c r="A490" s="6" t="str">
        <f>IFERROR(__xludf.DUMMYFUNCTION("""COMPUTED_VALUE"""),"181750337-2")</f>
        <v>181750337-2</v>
      </c>
      <c r="B490" s="6" t="str">
        <f>IFERROR(__xludf.DUMMYFUNCTION("""COMPUTED_VALUE"""),"181750337 - Approved")</f>
        <v>181750337 - Approved</v>
      </c>
      <c r="C490" s="6">
        <f>IFERROR(__xludf.DUMMYFUNCTION("""COMPUTED_VALUE"""),2.0)</f>
        <v>2</v>
      </c>
      <c r="D490" s="6" t="str">
        <f>IFERROR(__xludf.DUMMYFUNCTION("""COMPUTED_VALUE"""),"Q-10525-00")</f>
        <v>Q-10525-00</v>
      </c>
      <c r="E490" s="6" t="str">
        <f>IFERROR(__xludf.DUMMYFUNCTION("""COMPUTED_VALUE"""),"Waterpass Magnet 9 inch; ; ;")</f>
        <v>Waterpass Magnet 9 inch; ; ;</v>
      </c>
      <c r="F490" s="6">
        <f>IFERROR(__xludf.DUMMYFUNCTION("""COMPUTED_VALUE"""),1.0)</f>
        <v>1</v>
      </c>
      <c r="G490" s="6" t="str">
        <f>IFERROR(__xludf.DUMMYFUNCTION("""COMPUTED_VALUE"""),"Pieces")</f>
        <v>Pieces</v>
      </c>
      <c r="H490" s="6" t="str">
        <f>IFERROR(__xludf.DUMMYFUNCTION("""COMPUTED_VALUE"""),"IDR")</f>
        <v>IDR</v>
      </c>
      <c r="I490" s="11">
        <f>IFERROR(__xludf.DUMMYFUNCTION("""COMPUTED_VALUE"""),18000.0)</f>
        <v>18000</v>
      </c>
      <c r="J490" s="11">
        <f>IFERROR(__xludf.DUMMYFUNCTION("""COMPUTED_VALUE"""),18000.0)</f>
        <v>18000</v>
      </c>
      <c r="K490" s="13">
        <f>IFERROR(__xludf.DUMMYFUNCTION("""COMPUTED_VALUE"""),43371.0)</f>
        <v>43371</v>
      </c>
      <c r="L490" s="6" t="str">
        <f>IFERROR(__xludf.DUMMYFUNCTION("""COMPUTED_VALUE"""),"FIP General")</f>
        <v>FIP General</v>
      </c>
      <c r="M490" s="6" t="str">
        <f>IFERROR(__xludf.DUMMYFUNCTION("""COMPUTED_VALUE"""),"Joko Nugroho")</f>
        <v>Joko Nugroho</v>
      </c>
      <c r="N490" s="6" t="str">
        <f>IFERROR(__xludf.DUMMYFUNCTION("""COMPUTED_VALUE"""),"FIP Engineering")</f>
        <v>FIP Engineering</v>
      </c>
      <c r="O490" s="6" t="str">
        <f>IFERROR(__xludf.DUMMYFUNCTION("""COMPUTED_VALUE"""),"FIP-DOM-ENG-51502-0000000-INA-000000")</f>
        <v>FIP-DOM-ENG-51502-0000000-INA-000000</v>
      </c>
      <c r="P490" s="6" t="str">
        <f>IFERROR(__xludf.DUMMYFUNCTION("""COMPUTED_VALUE"""),"PO Closed")</f>
        <v>PO Closed</v>
      </c>
      <c r="Q490" s="6" t="str">
        <f>IFERROR(__xludf.DUMMYFUNCTION("""COMPUTED_VALUE"""),"GL1809047")</f>
        <v>GL1809047</v>
      </c>
      <c r="R490" s="16">
        <f>IFERROR(__xludf.DUMMYFUNCTION("""COMPUTED_VALUE"""),43356.0)</f>
        <v>43356</v>
      </c>
      <c r="S490" s="6" t="str">
        <f>IFERROR(__xludf.DUMMYFUNCTION("""COMPUTED_VALUE"""),"-")</f>
        <v>-</v>
      </c>
      <c r="T490" s="13">
        <f>IFERROR(__xludf.DUMMYFUNCTION("""COMPUTED_VALUE"""),43371.0)</f>
        <v>43371</v>
      </c>
    </row>
    <row r="491">
      <c r="A491" s="6" t="str">
        <f>IFERROR(__xludf.DUMMYFUNCTION("""COMPUTED_VALUE"""),"181750337-3")</f>
        <v>181750337-3</v>
      </c>
      <c r="B491" s="6" t="str">
        <f>IFERROR(__xludf.DUMMYFUNCTION("""COMPUTED_VALUE"""),"181750337 - Approved")</f>
        <v>181750337 - Approved</v>
      </c>
      <c r="C491" s="6">
        <f>IFERROR(__xludf.DUMMYFUNCTION("""COMPUTED_VALUE"""),3.0)</f>
        <v>3</v>
      </c>
      <c r="D491" s="6" t="str">
        <f>IFERROR(__xludf.DUMMYFUNCTION("""COMPUTED_VALUE"""),"S-40119-00")</f>
        <v>S-40119-00</v>
      </c>
      <c r="E491" s="6" t="str">
        <f>IFERROR(__xludf.DUMMYFUNCTION("""COMPUTED_VALUE"""),"Palu")</f>
        <v>Palu</v>
      </c>
      <c r="F491" s="6">
        <f>IFERROR(__xludf.DUMMYFUNCTION("""COMPUTED_VALUE"""),1.0)</f>
        <v>1</v>
      </c>
      <c r="G491" s="6" t="str">
        <f>IFERROR(__xludf.DUMMYFUNCTION("""COMPUTED_VALUE"""),"Pieces")</f>
        <v>Pieces</v>
      </c>
      <c r="H491" s="6" t="str">
        <f>IFERROR(__xludf.DUMMYFUNCTION("""COMPUTED_VALUE"""),"IDR")</f>
        <v>IDR</v>
      </c>
      <c r="I491" s="11">
        <f>IFERROR(__xludf.DUMMYFUNCTION("""COMPUTED_VALUE"""),36000.0)</f>
        <v>36000</v>
      </c>
      <c r="J491" s="11">
        <f>IFERROR(__xludf.DUMMYFUNCTION("""COMPUTED_VALUE"""),36000.0)</f>
        <v>36000</v>
      </c>
      <c r="K491" s="13">
        <f>IFERROR(__xludf.DUMMYFUNCTION("""COMPUTED_VALUE"""),43371.0)</f>
        <v>43371</v>
      </c>
      <c r="L491" s="6" t="str">
        <f>IFERROR(__xludf.DUMMYFUNCTION("""COMPUTED_VALUE"""),"FIP General")</f>
        <v>FIP General</v>
      </c>
      <c r="M491" s="6" t="str">
        <f>IFERROR(__xludf.DUMMYFUNCTION("""COMPUTED_VALUE"""),"Joko Nugroho")</f>
        <v>Joko Nugroho</v>
      </c>
      <c r="N491" s="6" t="str">
        <f>IFERROR(__xludf.DUMMYFUNCTION("""COMPUTED_VALUE"""),"FIP Engineering")</f>
        <v>FIP Engineering</v>
      </c>
      <c r="O491" s="6" t="str">
        <f>IFERROR(__xludf.DUMMYFUNCTION("""COMPUTED_VALUE"""),"FIP-DOM-ENG-51404-0000000-INA-000000")</f>
        <v>FIP-DOM-ENG-51404-0000000-INA-000000</v>
      </c>
      <c r="P491" s="6" t="str">
        <f>IFERROR(__xludf.DUMMYFUNCTION("""COMPUTED_VALUE"""),"PO Closed")</f>
        <v>PO Closed</v>
      </c>
      <c r="Q491" s="6" t="str">
        <f>IFERROR(__xludf.DUMMYFUNCTION("""COMPUTED_VALUE"""),"GL1809047")</f>
        <v>GL1809047</v>
      </c>
      <c r="R491" s="16">
        <f>IFERROR(__xludf.DUMMYFUNCTION("""COMPUTED_VALUE"""),43356.0)</f>
        <v>43356</v>
      </c>
      <c r="S491" s="6" t="str">
        <f>IFERROR(__xludf.DUMMYFUNCTION("""COMPUTED_VALUE"""),"-")</f>
        <v>-</v>
      </c>
      <c r="T491" s="13">
        <f>IFERROR(__xludf.DUMMYFUNCTION("""COMPUTED_VALUE"""),43371.0)</f>
        <v>43371</v>
      </c>
    </row>
    <row r="492">
      <c r="A492" s="6" t="str">
        <f>IFERROR(__xludf.DUMMYFUNCTION("""COMPUTED_VALUE"""),"181750337-4")</f>
        <v>181750337-4</v>
      </c>
      <c r="B492" s="6" t="str">
        <f>IFERROR(__xludf.DUMMYFUNCTION("""COMPUTED_VALUE"""),"181750337 - Approved")</f>
        <v>181750337 - Approved</v>
      </c>
      <c r="C492" s="6">
        <f>IFERROR(__xludf.DUMMYFUNCTION("""COMPUTED_VALUE"""),4.0)</f>
        <v>4</v>
      </c>
      <c r="D492" s="6" t="str">
        <f>IFERROR(__xludf.DUMMYFUNCTION("""COMPUTED_VALUE"""),"Q-10475-00")</f>
        <v>Q-10475-00</v>
      </c>
      <c r="E492" s="6" t="str">
        <f>IFERROR(__xludf.DUMMYFUNCTION("""COMPUTED_VALUE"""),"Cat Tembok; ; ;")</f>
        <v>Cat Tembok; ; ;</v>
      </c>
      <c r="F492" s="6">
        <f>IFERROR(__xludf.DUMMYFUNCTION("""COMPUTED_VALUE"""),1.0)</f>
        <v>1</v>
      </c>
      <c r="G492" s="6" t="str">
        <f>IFERROR(__xludf.DUMMYFUNCTION("""COMPUTED_VALUE"""),"Can")</f>
        <v>Can</v>
      </c>
      <c r="H492" s="6" t="str">
        <f>IFERROR(__xludf.DUMMYFUNCTION("""COMPUTED_VALUE"""),"IDR")</f>
        <v>IDR</v>
      </c>
      <c r="I492" s="11">
        <f>IFERROR(__xludf.DUMMYFUNCTION("""COMPUTED_VALUE"""),210000.0)</f>
        <v>210000</v>
      </c>
      <c r="J492" s="11">
        <f>IFERROR(__xludf.DUMMYFUNCTION("""COMPUTED_VALUE"""),210000.0)</f>
        <v>210000</v>
      </c>
      <c r="K492" s="13">
        <f>IFERROR(__xludf.DUMMYFUNCTION("""COMPUTED_VALUE"""),43371.0)</f>
        <v>43371</v>
      </c>
      <c r="L492" s="6" t="str">
        <f>IFERROR(__xludf.DUMMYFUNCTION("""COMPUTED_VALUE"""),"FIP General")</f>
        <v>FIP General</v>
      </c>
      <c r="M492" s="6" t="str">
        <f>IFERROR(__xludf.DUMMYFUNCTION("""COMPUTED_VALUE"""),"Joko Nugroho")</f>
        <v>Joko Nugroho</v>
      </c>
      <c r="N492" s="6" t="str">
        <f>IFERROR(__xludf.DUMMYFUNCTION("""COMPUTED_VALUE"""),"FIP Engineering")</f>
        <v>FIP Engineering</v>
      </c>
      <c r="O492" s="6" t="str">
        <f>IFERROR(__xludf.DUMMYFUNCTION("""COMPUTED_VALUE"""),"FIP-DOM-ENG-51502-0000000-INA-000000")</f>
        <v>FIP-DOM-ENG-51502-0000000-INA-000000</v>
      </c>
      <c r="P492" s="6" t="str">
        <f>IFERROR(__xludf.DUMMYFUNCTION("""COMPUTED_VALUE"""),"PO Closed")</f>
        <v>PO Closed</v>
      </c>
      <c r="Q492" s="6" t="str">
        <f>IFERROR(__xludf.DUMMYFUNCTION("""COMPUTED_VALUE"""),"GL1809046")</f>
        <v>GL1809046</v>
      </c>
      <c r="R492" s="16">
        <f>IFERROR(__xludf.DUMMYFUNCTION("""COMPUTED_VALUE"""),43356.0)</f>
        <v>43356</v>
      </c>
      <c r="S492" s="6" t="str">
        <f>IFERROR(__xludf.DUMMYFUNCTION("""COMPUTED_VALUE"""),"-")</f>
        <v>-</v>
      </c>
      <c r="T492" s="13">
        <f>IFERROR(__xludf.DUMMYFUNCTION("""COMPUTED_VALUE"""),43398.0)</f>
        <v>43398</v>
      </c>
    </row>
    <row r="493">
      <c r="A493" s="6" t="str">
        <f>IFERROR(__xludf.DUMMYFUNCTION("""COMPUTED_VALUE"""),"181750337-5")</f>
        <v>181750337-5</v>
      </c>
      <c r="B493" s="6" t="str">
        <f>IFERROR(__xludf.DUMMYFUNCTION("""COMPUTED_VALUE"""),"181750337 - Approved")</f>
        <v>181750337 - Approved</v>
      </c>
      <c r="C493" s="6">
        <f>IFERROR(__xludf.DUMMYFUNCTION("""COMPUTED_VALUE"""),5.0)</f>
        <v>5</v>
      </c>
      <c r="D493" s="6" t="str">
        <f>IFERROR(__xludf.DUMMYFUNCTION("""COMPUTED_VALUE"""),"Q-10475-00")</f>
        <v>Q-10475-00</v>
      </c>
      <c r="E493" s="6" t="str">
        <f>IFERROR(__xludf.DUMMYFUNCTION("""COMPUTED_VALUE"""),"Cat Tembok; ; ;")</f>
        <v>Cat Tembok; ; ;</v>
      </c>
      <c r="F493" s="6">
        <f>IFERROR(__xludf.DUMMYFUNCTION("""COMPUTED_VALUE"""),1.0)</f>
        <v>1</v>
      </c>
      <c r="G493" s="6" t="str">
        <f>IFERROR(__xludf.DUMMYFUNCTION("""COMPUTED_VALUE"""),"Can")</f>
        <v>Can</v>
      </c>
      <c r="H493" s="6" t="str">
        <f>IFERROR(__xludf.DUMMYFUNCTION("""COMPUTED_VALUE"""),"IDR")</f>
        <v>IDR</v>
      </c>
      <c r="I493" s="11">
        <f>IFERROR(__xludf.DUMMYFUNCTION("""COMPUTED_VALUE"""),270000.0)</f>
        <v>270000</v>
      </c>
      <c r="J493" s="11">
        <f>IFERROR(__xludf.DUMMYFUNCTION("""COMPUTED_VALUE"""),270000.0)</f>
        <v>270000</v>
      </c>
      <c r="K493" s="13">
        <f>IFERROR(__xludf.DUMMYFUNCTION("""COMPUTED_VALUE"""),43371.0)</f>
        <v>43371</v>
      </c>
      <c r="L493" s="6" t="str">
        <f>IFERROR(__xludf.DUMMYFUNCTION("""COMPUTED_VALUE"""),"FIP General")</f>
        <v>FIP General</v>
      </c>
      <c r="M493" s="6" t="str">
        <f>IFERROR(__xludf.DUMMYFUNCTION("""COMPUTED_VALUE"""),"Joko Nugroho")</f>
        <v>Joko Nugroho</v>
      </c>
      <c r="N493" s="6" t="str">
        <f>IFERROR(__xludf.DUMMYFUNCTION("""COMPUTED_VALUE"""),"FIP Engineering")</f>
        <v>FIP Engineering</v>
      </c>
      <c r="O493" s="6" t="str">
        <f>IFERROR(__xludf.DUMMYFUNCTION("""COMPUTED_VALUE"""),"FIP-DOM-ENG-51502-0000000-INA-000000")</f>
        <v>FIP-DOM-ENG-51502-0000000-INA-000000</v>
      </c>
      <c r="P493" s="6" t="str">
        <f>IFERROR(__xludf.DUMMYFUNCTION("""COMPUTED_VALUE"""),"PO Closed")</f>
        <v>PO Closed</v>
      </c>
      <c r="Q493" s="6" t="str">
        <f>IFERROR(__xludf.DUMMYFUNCTION("""COMPUTED_VALUE"""),"GL1809047")</f>
        <v>GL1809047</v>
      </c>
      <c r="R493" s="16">
        <f>IFERROR(__xludf.DUMMYFUNCTION("""COMPUTED_VALUE"""),43356.0)</f>
        <v>43356</v>
      </c>
      <c r="S493" s="6" t="str">
        <f>IFERROR(__xludf.DUMMYFUNCTION("""COMPUTED_VALUE"""),"-")</f>
        <v>-</v>
      </c>
      <c r="T493" s="13">
        <f>IFERROR(__xludf.DUMMYFUNCTION("""COMPUTED_VALUE"""),43371.0)</f>
        <v>43371</v>
      </c>
    </row>
    <row r="494">
      <c r="A494" s="6" t="str">
        <f>IFERROR(__xludf.DUMMYFUNCTION("""COMPUTED_VALUE"""),"181750337-6")</f>
        <v>181750337-6</v>
      </c>
      <c r="B494" s="6" t="str">
        <f>IFERROR(__xludf.DUMMYFUNCTION("""COMPUTED_VALUE"""),"181750337 - Approved")</f>
        <v>181750337 - Approved</v>
      </c>
      <c r="C494" s="6">
        <f>IFERROR(__xludf.DUMMYFUNCTION("""COMPUTED_VALUE"""),6.0)</f>
        <v>6</v>
      </c>
      <c r="D494" s="6" t="str">
        <f>IFERROR(__xludf.DUMMYFUNCTION("""COMPUTED_VALUE"""),"Q-10475-00")</f>
        <v>Q-10475-00</v>
      </c>
      <c r="E494" s="6" t="str">
        <f>IFERROR(__xludf.DUMMYFUNCTION("""COMPUTED_VALUE"""),"Cat Tembok; ; ;")</f>
        <v>Cat Tembok; ; ;</v>
      </c>
      <c r="F494" s="6">
        <f>IFERROR(__xludf.DUMMYFUNCTION("""COMPUTED_VALUE"""),1.0)</f>
        <v>1</v>
      </c>
      <c r="G494" s="6" t="str">
        <f>IFERROR(__xludf.DUMMYFUNCTION("""COMPUTED_VALUE"""),"Can")</f>
        <v>Can</v>
      </c>
      <c r="H494" s="6" t="str">
        <f>IFERROR(__xludf.DUMMYFUNCTION("""COMPUTED_VALUE"""),"IDR")</f>
        <v>IDR</v>
      </c>
      <c r="I494" s="11">
        <f>IFERROR(__xludf.DUMMYFUNCTION("""COMPUTED_VALUE"""),270000.0)</f>
        <v>270000</v>
      </c>
      <c r="J494" s="11">
        <f>IFERROR(__xludf.DUMMYFUNCTION("""COMPUTED_VALUE"""),270000.0)</f>
        <v>270000</v>
      </c>
      <c r="K494" s="13">
        <f>IFERROR(__xludf.DUMMYFUNCTION("""COMPUTED_VALUE"""),43371.0)</f>
        <v>43371</v>
      </c>
      <c r="L494" s="6" t="str">
        <f>IFERROR(__xludf.DUMMYFUNCTION("""COMPUTED_VALUE"""),"FIP General")</f>
        <v>FIP General</v>
      </c>
      <c r="M494" s="6" t="str">
        <f>IFERROR(__xludf.DUMMYFUNCTION("""COMPUTED_VALUE"""),"Joko Nugroho")</f>
        <v>Joko Nugroho</v>
      </c>
      <c r="N494" s="6" t="str">
        <f>IFERROR(__xludf.DUMMYFUNCTION("""COMPUTED_VALUE"""),"FIP Engineering")</f>
        <v>FIP Engineering</v>
      </c>
      <c r="O494" s="6" t="str">
        <f>IFERROR(__xludf.DUMMYFUNCTION("""COMPUTED_VALUE"""),"FIP-DOM-ENG-51502-0000000-INA-000000")</f>
        <v>FIP-DOM-ENG-51502-0000000-INA-000000</v>
      </c>
      <c r="P494" s="6" t="str">
        <f>IFERROR(__xludf.DUMMYFUNCTION("""COMPUTED_VALUE"""),"PO Closed")</f>
        <v>PO Closed</v>
      </c>
      <c r="Q494" s="6" t="str">
        <f>IFERROR(__xludf.DUMMYFUNCTION("""COMPUTED_VALUE"""),"GL1809047")</f>
        <v>GL1809047</v>
      </c>
      <c r="R494" s="16">
        <f>IFERROR(__xludf.DUMMYFUNCTION("""COMPUTED_VALUE"""),43356.0)</f>
        <v>43356</v>
      </c>
      <c r="S494" s="6" t="str">
        <f>IFERROR(__xludf.DUMMYFUNCTION("""COMPUTED_VALUE"""),"-")</f>
        <v>-</v>
      </c>
      <c r="T494" s="17">
        <f>IFERROR(__xludf.DUMMYFUNCTION("""COMPUTED_VALUE"""),43371.0)</f>
        <v>43371</v>
      </c>
    </row>
    <row r="495">
      <c r="A495" s="6" t="str">
        <f>IFERROR(__xludf.DUMMYFUNCTION("""COMPUTED_VALUE"""),"181750337-7")</f>
        <v>181750337-7</v>
      </c>
      <c r="B495" s="6" t="str">
        <f>IFERROR(__xludf.DUMMYFUNCTION("""COMPUTED_VALUE"""),"181750337 - Approved")</f>
        <v>181750337 - Approved</v>
      </c>
      <c r="C495" s="6">
        <f>IFERROR(__xludf.DUMMYFUNCTION("""COMPUTED_VALUE"""),7.0)</f>
        <v>7</v>
      </c>
      <c r="D495" s="6" t="str">
        <f>IFERROR(__xludf.DUMMYFUNCTION("""COMPUTED_VALUE"""),"Q-10475-00")</f>
        <v>Q-10475-00</v>
      </c>
      <c r="E495" s="6" t="str">
        <f>IFERROR(__xludf.DUMMYFUNCTION("""COMPUTED_VALUE"""),"Cat Tembok; ; ;")</f>
        <v>Cat Tembok; ; ;</v>
      </c>
      <c r="F495" s="6">
        <f>IFERROR(__xludf.DUMMYFUNCTION("""COMPUTED_VALUE"""),1.0)</f>
        <v>1</v>
      </c>
      <c r="G495" s="6" t="str">
        <f>IFERROR(__xludf.DUMMYFUNCTION("""COMPUTED_VALUE"""),"Can")</f>
        <v>Can</v>
      </c>
      <c r="H495" s="6" t="str">
        <f>IFERROR(__xludf.DUMMYFUNCTION("""COMPUTED_VALUE"""),"IDR")</f>
        <v>IDR</v>
      </c>
      <c r="I495" s="11">
        <f>IFERROR(__xludf.DUMMYFUNCTION("""COMPUTED_VALUE"""),319500.0)</f>
        <v>319500</v>
      </c>
      <c r="J495" s="11">
        <f>IFERROR(__xludf.DUMMYFUNCTION("""COMPUTED_VALUE"""),319500.0)</f>
        <v>319500</v>
      </c>
      <c r="K495" s="13">
        <f>IFERROR(__xludf.DUMMYFUNCTION("""COMPUTED_VALUE"""),43371.0)</f>
        <v>43371</v>
      </c>
      <c r="L495" s="6" t="str">
        <f>IFERROR(__xludf.DUMMYFUNCTION("""COMPUTED_VALUE"""),"FIP General")</f>
        <v>FIP General</v>
      </c>
      <c r="M495" s="6" t="str">
        <f>IFERROR(__xludf.DUMMYFUNCTION("""COMPUTED_VALUE"""),"Joko Nugroho")</f>
        <v>Joko Nugroho</v>
      </c>
      <c r="N495" s="6" t="str">
        <f>IFERROR(__xludf.DUMMYFUNCTION("""COMPUTED_VALUE"""),"FIP Engineering")</f>
        <v>FIP Engineering</v>
      </c>
      <c r="O495" s="6" t="str">
        <f>IFERROR(__xludf.DUMMYFUNCTION("""COMPUTED_VALUE"""),"FIP-DOM-ENG-51502-0000000-INA-000000")</f>
        <v>FIP-DOM-ENG-51502-0000000-INA-000000</v>
      </c>
      <c r="P495" s="6" t="str">
        <f>IFERROR(__xludf.DUMMYFUNCTION("""COMPUTED_VALUE"""),"PO Closed")</f>
        <v>PO Closed</v>
      </c>
      <c r="Q495" s="6" t="str">
        <f>IFERROR(__xludf.DUMMYFUNCTION("""COMPUTED_VALUE"""),"GL1809047")</f>
        <v>GL1809047</v>
      </c>
      <c r="R495" s="16">
        <f>IFERROR(__xludf.DUMMYFUNCTION("""COMPUTED_VALUE"""),43356.0)</f>
        <v>43356</v>
      </c>
      <c r="S495" s="6" t="str">
        <f>IFERROR(__xludf.DUMMYFUNCTION("""COMPUTED_VALUE"""),"-")</f>
        <v>-</v>
      </c>
      <c r="T495" s="13">
        <f>IFERROR(__xludf.DUMMYFUNCTION("""COMPUTED_VALUE"""),43371.0)</f>
        <v>43371</v>
      </c>
    </row>
    <row r="496">
      <c r="A496" s="6" t="str">
        <f>IFERROR(__xludf.DUMMYFUNCTION("""COMPUTED_VALUE"""),"181750337-8")</f>
        <v>181750337-8</v>
      </c>
      <c r="B496" s="6" t="str">
        <f>IFERROR(__xludf.DUMMYFUNCTION("""COMPUTED_VALUE"""),"181750337 - Approved")</f>
        <v>181750337 - Approved</v>
      </c>
      <c r="C496" s="6">
        <f>IFERROR(__xludf.DUMMYFUNCTION("""COMPUTED_VALUE"""),8.0)</f>
        <v>8</v>
      </c>
      <c r="D496" s="6" t="str">
        <f>IFERROR(__xludf.DUMMYFUNCTION("""COMPUTED_VALUE"""),"Q-10290-00")</f>
        <v>Q-10290-00</v>
      </c>
      <c r="E496" s="6" t="str">
        <f>IFERROR(__xludf.DUMMYFUNCTION("""COMPUTED_VALUE"""),"Mata bor beton; ; ; 1pieces")</f>
        <v>Mata bor beton; ; ; 1pieces</v>
      </c>
      <c r="F496" s="6">
        <f>IFERROR(__xludf.DUMMYFUNCTION("""COMPUTED_VALUE"""),1.0)</f>
        <v>1</v>
      </c>
      <c r="G496" s="6" t="str">
        <f>IFERROR(__xludf.DUMMYFUNCTION("""COMPUTED_VALUE"""),"Pieces")</f>
        <v>Pieces</v>
      </c>
      <c r="H496" s="6" t="str">
        <f>IFERROR(__xludf.DUMMYFUNCTION("""COMPUTED_VALUE"""),"IDR")</f>
        <v>IDR</v>
      </c>
      <c r="I496" s="11">
        <f>IFERROR(__xludf.DUMMYFUNCTION("""COMPUTED_VALUE"""),75000.0)</f>
        <v>75000</v>
      </c>
      <c r="J496" s="11">
        <f>IFERROR(__xludf.DUMMYFUNCTION("""COMPUTED_VALUE"""),75000.0)</f>
        <v>75000</v>
      </c>
      <c r="K496" s="13">
        <f>IFERROR(__xludf.DUMMYFUNCTION("""COMPUTED_VALUE"""),43371.0)</f>
        <v>43371</v>
      </c>
      <c r="L496" s="6" t="str">
        <f>IFERROR(__xludf.DUMMYFUNCTION("""COMPUTED_VALUE"""),"FIP General")</f>
        <v>FIP General</v>
      </c>
      <c r="M496" s="6" t="str">
        <f>IFERROR(__xludf.DUMMYFUNCTION("""COMPUTED_VALUE"""),"Joko Nugroho")</f>
        <v>Joko Nugroho</v>
      </c>
      <c r="N496" s="6" t="str">
        <f>IFERROR(__xludf.DUMMYFUNCTION("""COMPUTED_VALUE"""),"FIP Engineering")</f>
        <v>FIP Engineering</v>
      </c>
      <c r="O496" s="6" t="str">
        <f>IFERROR(__xludf.DUMMYFUNCTION("""COMPUTED_VALUE"""),"FIP-DOM-ENG-51502-0000000-INA-000000")</f>
        <v>FIP-DOM-ENG-51502-0000000-INA-000000</v>
      </c>
      <c r="P496" s="6" t="str">
        <f>IFERROR(__xludf.DUMMYFUNCTION("""COMPUTED_VALUE"""),"PO Closed")</f>
        <v>PO Closed</v>
      </c>
      <c r="Q496" s="6" t="str">
        <f>IFERROR(__xludf.DUMMYFUNCTION("""COMPUTED_VALUE"""),"GL1809046")</f>
        <v>GL1809046</v>
      </c>
      <c r="R496" s="16">
        <f>IFERROR(__xludf.DUMMYFUNCTION("""COMPUTED_VALUE"""),43356.0)</f>
        <v>43356</v>
      </c>
      <c r="S496" s="6" t="str">
        <f>IFERROR(__xludf.DUMMYFUNCTION("""COMPUTED_VALUE"""),"-")</f>
        <v>-</v>
      </c>
      <c r="T496" s="17">
        <f>IFERROR(__xludf.DUMMYFUNCTION("""COMPUTED_VALUE"""),43398.0)</f>
        <v>43398</v>
      </c>
    </row>
    <row r="497">
      <c r="A497" s="6" t="str">
        <f>IFERROR(__xludf.DUMMYFUNCTION("""COMPUTED_VALUE"""),"181750337-10")</f>
        <v>181750337-10</v>
      </c>
      <c r="B497" s="6" t="str">
        <f>IFERROR(__xludf.DUMMYFUNCTION("""COMPUTED_VALUE"""),"181750337 - Approved")</f>
        <v>181750337 - Approved</v>
      </c>
      <c r="C497" s="6">
        <f>IFERROR(__xludf.DUMMYFUNCTION("""COMPUTED_VALUE"""),10.0)</f>
        <v>10</v>
      </c>
      <c r="D497" s="6" t="str">
        <f>IFERROR(__xludf.DUMMYFUNCTION("""COMPUTED_VALUE"""),"Q-10524-00")</f>
        <v>Q-10524-00</v>
      </c>
      <c r="E497" s="6" t="str">
        <f>IFERROR(__xludf.DUMMYFUNCTION("""COMPUTED_VALUE"""),"Dulux Wallfiller; Dulux; ;")</f>
        <v>Dulux Wallfiller; Dulux; ;</v>
      </c>
      <c r="F497" s="6">
        <f>IFERROR(__xludf.DUMMYFUNCTION("""COMPUTED_VALUE"""),3.05)</f>
        <v>3.05</v>
      </c>
      <c r="G497" s="6" t="str">
        <f>IFERROR(__xludf.DUMMYFUNCTION("""COMPUTED_VALUE"""),"Kilogram")</f>
        <v>Kilogram</v>
      </c>
      <c r="H497" s="6" t="str">
        <f>IFERROR(__xludf.DUMMYFUNCTION("""COMPUTED_VALUE"""),"IDR")</f>
        <v>IDR</v>
      </c>
      <c r="I497" s="11">
        <f>IFERROR(__xludf.DUMMYFUNCTION("""COMPUTED_VALUE"""),27857.0)</f>
        <v>27857</v>
      </c>
      <c r="J497" s="11">
        <f>IFERROR(__xludf.DUMMYFUNCTION("""COMPUTED_VALUE"""),97499.5)</f>
        <v>97499.5</v>
      </c>
      <c r="K497" s="13">
        <f>IFERROR(__xludf.DUMMYFUNCTION("""COMPUTED_VALUE"""),43371.0)</f>
        <v>43371</v>
      </c>
      <c r="L497" s="6" t="str">
        <f>IFERROR(__xludf.DUMMYFUNCTION("""COMPUTED_VALUE"""),"FIP General")</f>
        <v>FIP General</v>
      </c>
      <c r="M497" s="6" t="str">
        <f>IFERROR(__xludf.DUMMYFUNCTION("""COMPUTED_VALUE"""),"Joko Nugroho")</f>
        <v>Joko Nugroho</v>
      </c>
      <c r="N497" s="6" t="str">
        <f>IFERROR(__xludf.DUMMYFUNCTION("""COMPUTED_VALUE"""),"FIP Engineering")</f>
        <v>FIP Engineering</v>
      </c>
      <c r="O497" s="6" t="str">
        <f>IFERROR(__xludf.DUMMYFUNCTION("""COMPUTED_VALUE"""),"FIP-DOM-ENG-51502-0000000-INA-000000")</f>
        <v>FIP-DOM-ENG-51502-0000000-INA-000000</v>
      </c>
      <c r="P497" s="6" t="str">
        <f>IFERROR(__xludf.DUMMYFUNCTION("""COMPUTED_VALUE"""),"PO Closed")</f>
        <v>PO Closed</v>
      </c>
      <c r="Q497" s="6" t="str">
        <f>IFERROR(__xludf.DUMMYFUNCTION("""COMPUTED_VALUE"""),"GL1809046")</f>
        <v>GL1809046</v>
      </c>
      <c r="R497" s="16">
        <f>IFERROR(__xludf.DUMMYFUNCTION("""COMPUTED_VALUE"""),43356.0)</f>
        <v>43356</v>
      </c>
      <c r="S497" s="6" t="str">
        <f>IFERROR(__xludf.DUMMYFUNCTION("""COMPUTED_VALUE"""),"-")</f>
        <v>-</v>
      </c>
      <c r="T497" s="17">
        <f>IFERROR(__xludf.DUMMYFUNCTION("""COMPUTED_VALUE"""),43398.0)</f>
        <v>43398</v>
      </c>
    </row>
    <row r="498">
      <c r="A498" s="6" t="str">
        <f>IFERROR(__xludf.DUMMYFUNCTION("""COMPUTED_VALUE"""),"181750337-11")</f>
        <v>181750337-11</v>
      </c>
      <c r="B498" s="6" t="str">
        <f>IFERROR(__xludf.DUMMYFUNCTION("""COMPUTED_VALUE"""),"181750337 - Approved")</f>
        <v>181750337 - Approved</v>
      </c>
      <c r="C498" s="6">
        <f>IFERROR(__xludf.DUMMYFUNCTION("""COMPUTED_VALUE"""),11.0)</f>
        <v>11</v>
      </c>
      <c r="D498" s="6" t="str">
        <f>IFERROR(__xludf.DUMMYFUNCTION("""COMPUTED_VALUE"""),"Q-10523-00")</f>
        <v>Q-10523-00</v>
      </c>
      <c r="E498" s="6" t="str">
        <f>IFERROR(__xludf.DUMMYFUNCTION("""COMPUTED_VALUE"""),"Cat Nippon Paint Nippe 2000 318T; Nipon; ;")</f>
        <v>Cat Nippon Paint Nippe 2000 318T; Nipon; ;</v>
      </c>
      <c r="F498" s="6">
        <f>IFERROR(__xludf.DUMMYFUNCTION("""COMPUTED_VALUE"""),1.0)</f>
        <v>1</v>
      </c>
      <c r="G498" s="6" t="str">
        <f>IFERROR(__xludf.DUMMYFUNCTION("""COMPUTED_VALUE"""),"Kilogram")</f>
        <v>Kilogram</v>
      </c>
      <c r="H498" s="6" t="str">
        <f>IFERROR(__xludf.DUMMYFUNCTION("""COMPUTED_VALUE"""),"IDR")</f>
        <v>IDR</v>
      </c>
      <c r="I498" s="11">
        <f>IFERROR(__xludf.DUMMYFUNCTION("""COMPUTED_VALUE"""),85000.0)</f>
        <v>85000</v>
      </c>
      <c r="J498" s="11">
        <f>IFERROR(__xludf.DUMMYFUNCTION("""COMPUTED_VALUE"""),85000.0)</f>
        <v>85000</v>
      </c>
      <c r="K498" s="13">
        <f>IFERROR(__xludf.DUMMYFUNCTION("""COMPUTED_VALUE"""),43371.0)</f>
        <v>43371</v>
      </c>
      <c r="L498" s="6" t="str">
        <f>IFERROR(__xludf.DUMMYFUNCTION("""COMPUTED_VALUE"""),"FIP General")</f>
        <v>FIP General</v>
      </c>
      <c r="M498" s="6" t="str">
        <f>IFERROR(__xludf.DUMMYFUNCTION("""COMPUTED_VALUE"""),"Joko Nugroho")</f>
        <v>Joko Nugroho</v>
      </c>
      <c r="N498" s="6" t="str">
        <f>IFERROR(__xludf.DUMMYFUNCTION("""COMPUTED_VALUE"""),"FIP Engineering")</f>
        <v>FIP Engineering</v>
      </c>
      <c r="O498" s="6" t="str">
        <f>IFERROR(__xludf.DUMMYFUNCTION("""COMPUTED_VALUE"""),"FIP-DOM-ENG-51502-0000000-INA-000000")</f>
        <v>FIP-DOM-ENG-51502-0000000-INA-000000</v>
      </c>
      <c r="P498" s="6" t="str">
        <f>IFERROR(__xludf.DUMMYFUNCTION("""COMPUTED_VALUE"""),"PO Closed")</f>
        <v>PO Closed</v>
      </c>
      <c r="Q498" s="6" t="str">
        <f>IFERROR(__xludf.DUMMYFUNCTION("""COMPUTED_VALUE"""),"GL1809046")</f>
        <v>GL1809046</v>
      </c>
      <c r="R498" s="16">
        <f>IFERROR(__xludf.DUMMYFUNCTION("""COMPUTED_VALUE"""),43356.0)</f>
        <v>43356</v>
      </c>
      <c r="S498" s="6" t="str">
        <f>IFERROR(__xludf.DUMMYFUNCTION("""COMPUTED_VALUE"""),"-")</f>
        <v>-</v>
      </c>
      <c r="T498" s="13">
        <f>IFERROR(__xludf.DUMMYFUNCTION("""COMPUTED_VALUE"""),43398.0)</f>
        <v>43398</v>
      </c>
    </row>
    <row r="499">
      <c r="A499" s="6" t="str">
        <f>IFERROR(__xludf.DUMMYFUNCTION("""COMPUTED_VALUE"""),"181750337-12")</f>
        <v>181750337-12</v>
      </c>
      <c r="B499" s="6" t="str">
        <f>IFERROR(__xludf.DUMMYFUNCTION("""COMPUTED_VALUE"""),"181750337 - Approved")</f>
        <v>181750337 - Approved</v>
      </c>
      <c r="C499" s="6">
        <f>IFERROR(__xludf.DUMMYFUNCTION("""COMPUTED_VALUE"""),12.0)</f>
        <v>12</v>
      </c>
      <c r="D499" s="6" t="str">
        <f>IFERROR(__xludf.DUMMYFUNCTION("""COMPUTED_VALUE"""),"Q-60026-00")</f>
        <v>Q-60026-00</v>
      </c>
      <c r="E499" s="6" t="str">
        <f>IFERROR(__xludf.DUMMYFUNCTION("""COMPUTED_VALUE"""),"Kuas Eterna 2""")</f>
        <v>Kuas Eterna 2"</v>
      </c>
      <c r="F499" s="6">
        <f>IFERROR(__xludf.DUMMYFUNCTION("""COMPUTED_VALUE"""),10.0)</f>
        <v>10</v>
      </c>
      <c r="G499" s="6" t="str">
        <f>IFERROR(__xludf.DUMMYFUNCTION("""COMPUTED_VALUE"""),"Pieces")</f>
        <v>Pieces</v>
      </c>
      <c r="H499" s="6" t="str">
        <f>IFERROR(__xludf.DUMMYFUNCTION("""COMPUTED_VALUE"""),"IDR")</f>
        <v>IDR</v>
      </c>
      <c r="I499" s="11">
        <f>IFERROR(__xludf.DUMMYFUNCTION("""COMPUTED_VALUE"""),4050.0)</f>
        <v>4050</v>
      </c>
      <c r="J499" s="11">
        <f>IFERROR(__xludf.DUMMYFUNCTION("""COMPUTED_VALUE"""),40500.0)</f>
        <v>40500</v>
      </c>
      <c r="K499" s="13">
        <f>IFERROR(__xludf.DUMMYFUNCTION("""COMPUTED_VALUE"""),43371.0)</f>
        <v>43371</v>
      </c>
      <c r="L499" s="6" t="str">
        <f>IFERROR(__xludf.DUMMYFUNCTION("""COMPUTED_VALUE"""),"FIP General")</f>
        <v>FIP General</v>
      </c>
      <c r="M499" s="6" t="str">
        <f>IFERROR(__xludf.DUMMYFUNCTION("""COMPUTED_VALUE"""),"Joko Nugroho")</f>
        <v>Joko Nugroho</v>
      </c>
      <c r="N499" s="6" t="str">
        <f>IFERROR(__xludf.DUMMYFUNCTION("""COMPUTED_VALUE"""),"FIP Engineering")</f>
        <v>FIP Engineering</v>
      </c>
      <c r="O499" s="6" t="str">
        <f>IFERROR(__xludf.DUMMYFUNCTION("""COMPUTED_VALUE"""),"FIP-DOM-ENG-51404-0000000-INA-000000")</f>
        <v>FIP-DOM-ENG-51404-0000000-INA-000000</v>
      </c>
      <c r="P499" s="6" t="str">
        <f>IFERROR(__xludf.DUMMYFUNCTION("""COMPUTED_VALUE"""),"PO Closed")</f>
        <v>PO Closed</v>
      </c>
      <c r="Q499" s="6" t="str">
        <f>IFERROR(__xludf.DUMMYFUNCTION("""COMPUTED_VALUE"""),"GL1809047")</f>
        <v>GL1809047</v>
      </c>
      <c r="R499" s="17">
        <f>IFERROR(__xludf.DUMMYFUNCTION("""COMPUTED_VALUE"""),43356.0)</f>
        <v>43356</v>
      </c>
      <c r="S499" s="6" t="str">
        <f>IFERROR(__xludf.DUMMYFUNCTION("""COMPUTED_VALUE"""),"-")</f>
        <v>-</v>
      </c>
      <c r="T499" s="17">
        <f>IFERROR(__xludf.DUMMYFUNCTION("""COMPUTED_VALUE"""),43371.0)</f>
        <v>43371</v>
      </c>
    </row>
    <row r="500">
      <c r="A500" s="6" t="str">
        <f>IFERROR(__xludf.DUMMYFUNCTION("""COMPUTED_VALUE"""),"181750303-2")</f>
        <v>181750303-2</v>
      </c>
      <c r="B500" s="6" t="str">
        <f>IFERROR(__xludf.DUMMYFUNCTION("""COMPUTED_VALUE"""),"181750303 - Approved")</f>
        <v>181750303 - Approved</v>
      </c>
      <c r="C500" s="6">
        <f>IFERROR(__xludf.DUMMYFUNCTION("""COMPUTED_VALUE"""),2.0)</f>
        <v>2</v>
      </c>
      <c r="D500" s="6" t="str">
        <f>IFERROR(__xludf.DUMMYFUNCTION("""COMPUTED_VALUE"""),"S-20000-00")</f>
        <v>S-20000-00</v>
      </c>
      <c r="E500" s="6" t="str">
        <f>IFERROR(__xludf.DUMMYFUNCTION("""COMPUTED_VALUE"""),"37-175 ansel solvex nitrile Chemical protection gloves.size 8&amp;9")</f>
        <v>37-175 ansel solvex nitrile Chemical protection gloves.size 8&amp;9</v>
      </c>
      <c r="F500" s="6">
        <f>IFERROR(__xludf.DUMMYFUNCTION("""COMPUTED_VALUE"""),1.0)</f>
        <v>1</v>
      </c>
      <c r="G500" s="6" t="str">
        <f>IFERROR(__xludf.DUMMYFUNCTION("""COMPUTED_VALUE"""),"Pieces")</f>
        <v>Pieces</v>
      </c>
      <c r="H500" s="6" t="str">
        <f>IFERROR(__xludf.DUMMYFUNCTION("""COMPUTED_VALUE"""),"IDR")</f>
        <v>IDR</v>
      </c>
      <c r="I500" s="11">
        <f>IFERROR(__xludf.DUMMYFUNCTION("""COMPUTED_VALUE"""),22085.0)</f>
        <v>22085</v>
      </c>
      <c r="J500" s="11">
        <f>IFERROR(__xludf.DUMMYFUNCTION("""COMPUTED_VALUE"""),22085.0)</f>
        <v>22085</v>
      </c>
      <c r="K500" s="13">
        <f>IFERROR(__xludf.DUMMYFUNCTION("""COMPUTED_VALUE"""),43353.0)</f>
        <v>43353</v>
      </c>
      <c r="L500" s="6" t="str">
        <f>IFERROR(__xludf.DUMMYFUNCTION("""COMPUTED_VALUE"""),"FIP General")</f>
        <v>FIP General</v>
      </c>
      <c r="M500" s="6" t="str">
        <f>IFERROR(__xludf.DUMMYFUNCTION("""COMPUTED_VALUE"""),"Joko Nugroho")</f>
        <v>Joko Nugroho</v>
      </c>
      <c r="N500" s="6" t="str">
        <f>IFERROR(__xludf.DUMMYFUNCTION("""COMPUTED_VALUE"""),"FIP Engineering")</f>
        <v>FIP Engineering</v>
      </c>
      <c r="O500" s="6" t="str">
        <f>IFERROR(__xludf.DUMMYFUNCTION("""COMPUTED_VALUE"""),"FIP-DOM-ENG-51202-0000000-INA-000000")</f>
        <v>FIP-DOM-ENG-51202-0000000-INA-000000</v>
      </c>
      <c r="P500" s="6" t="str">
        <f>IFERROR(__xludf.DUMMYFUNCTION("""COMPUTED_VALUE"""),"PO Closed")</f>
        <v>PO Closed</v>
      </c>
      <c r="Q500" s="6" t="str">
        <f>IFERROR(__xludf.DUMMYFUNCTION("""COMPUTED_VALUE"""),"GL1809033")</f>
        <v>GL1809033</v>
      </c>
      <c r="R500" s="16">
        <f>IFERROR(__xludf.DUMMYFUNCTION("""COMPUTED_VALUE"""),43356.0)</f>
        <v>43356</v>
      </c>
      <c r="S500" s="6" t="str">
        <f>IFERROR(__xludf.DUMMYFUNCTION("""COMPUTED_VALUE"""),"-")</f>
        <v>-</v>
      </c>
      <c r="T500" s="13">
        <f>IFERROR(__xludf.DUMMYFUNCTION("""COMPUTED_VALUE"""),43371.0)</f>
        <v>43371</v>
      </c>
    </row>
    <row r="501">
      <c r="A501" s="6" t="str">
        <f>IFERROR(__xludf.DUMMYFUNCTION("""COMPUTED_VALUE"""),"181750342-1")</f>
        <v>181750342-1</v>
      </c>
      <c r="B501" s="6" t="str">
        <f>IFERROR(__xludf.DUMMYFUNCTION("""COMPUTED_VALUE"""),"181750342 - Approved")</f>
        <v>181750342 - Approved</v>
      </c>
      <c r="C501" s="6">
        <f>IFERROR(__xludf.DUMMYFUNCTION("""COMPUTED_VALUE"""),1.0)</f>
        <v>1</v>
      </c>
      <c r="D501" s="6" t="str">
        <f>IFERROR(__xludf.DUMMYFUNCTION("""COMPUTED_VALUE"""),"S-60002-00")</f>
        <v>S-60002-00</v>
      </c>
      <c r="E501" s="6" t="str">
        <f>IFERROR(__xludf.DUMMYFUNCTION("""COMPUTED_VALUE"""),"Material Untuk Perbaikan Cooling Cabinet 1000L Stability ; Freon R 404")</f>
        <v>Material Untuk Perbaikan Cooling Cabinet 1000L Stability ; Freon R 404</v>
      </c>
      <c r="F501" s="6">
        <f>IFERROR(__xludf.DUMMYFUNCTION("""COMPUTED_VALUE"""),1.0)</f>
        <v>1</v>
      </c>
      <c r="G501" s="6" t="str">
        <f>IFERROR(__xludf.DUMMYFUNCTION("""COMPUTED_VALUE"""),"Lot")</f>
        <v>Lot</v>
      </c>
      <c r="H501" s="6" t="str">
        <f>IFERROR(__xludf.DUMMYFUNCTION("""COMPUTED_VALUE"""),"IDR")</f>
        <v>IDR</v>
      </c>
      <c r="I501" s="11">
        <f>IFERROR(__xludf.DUMMYFUNCTION("""COMPUTED_VALUE"""),1200000.0)</f>
        <v>1200000</v>
      </c>
      <c r="J501" s="11">
        <f>IFERROR(__xludf.DUMMYFUNCTION("""COMPUTED_VALUE"""),1200000.0)</f>
        <v>1200000</v>
      </c>
      <c r="K501" s="13">
        <f>IFERROR(__xludf.DUMMYFUNCTION("""COMPUTED_VALUE"""),43374.0)</f>
        <v>43374</v>
      </c>
      <c r="L501" s="6" t="str">
        <f>IFERROR(__xludf.DUMMYFUNCTION("""COMPUTED_VALUE"""),"FIP General")</f>
        <v>FIP General</v>
      </c>
      <c r="M501" s="6" t="str">
        <f>IFERROR(__xludf.DUMMYFUNCTION("""COMPUTED_VALUE"""),"Joko Nugroho")</f>
        <v>Joko Nugroho</v>
      </c>
      <c r="N501" s="6" t="str">
        <f>IFERROR(__xludf.DUMMYFUNCTION("""COMPUTED_VALUE"""),"FIP Engineering")</f>
        <v>FIP Engineering</v>
      </c>
      <c r="O501" s="6" t="str">
        <f>IFERROR(__xludf.DUMMYFUNCTION("""COMPUTED_VALUE"""),"FIP-DOM-ENG-51508-0000000-INA-000000")</f>
        <v>FIP-DOM-ENG-51508-0000000-INA-000000</v>
      </c>
      <c r="P501" s="6" t="str">
        <f>IFERROR(__xludf.DUMMYFUNCTION("""COMPUTED_VALUE"""),"PO Closed")</f>
        <v>PO Closed</v>
      </c>
      <c r="Q501" s="6" t="str">
        <f>IFERROR(__xludf.DUMMYFUNCTION("""COMPUTED_VALUE"""),"GL1811069")</f>
        <v>GL1811069</v>
      </c>
      <c r="R501" s="17">
        <f>IFERROR(__xludf.DUMMYFUNCTION("""COMPUTED_VALUE"""),43360.0)</f>
        <v>43360</v>
      </c>
      <c r="S501" s="6" t="str">
        <f>IFERROR(__xludf.DUMMYFUNCTION("""COMPUTED_VALUE"""),"-")</f>
        <v>-</v>
      </c>
      <c r="T501" s="17">
        <f>IFERROR(__xludf.DUMMYFUNCTION("""COMPUTED_VALUE"""),43440.0)</f>
        <v>43440</v>
      </c>
    </row>
    <row r="502">
      <c r="A502" s="6" t="str">
        <f>IFERROR(__xludf.DUMMYFUNCTION("""COMPUTED_VALUE"""),"181750342-2")</f>
        <v>181750342-2</v>
      </c>
      <c r="B502" s="6" t="str">
        <f>IFERROR(__xludf.DUMMYFUNCTION("""COMPUTED_VALUE"""),"181750342 - Approved")</f>
        <v>181750342 - Approved</v>
      </c>
      <c r="C502" s="6">
        <f>IFERROR(__xludf.DUMMYFUNCTION("""COMPUTED_VALUE"""),2.0)</f>
        <v>2</v>
      </c>
      <c r="D502" s="6" t="str">
        <f>IFERROR(__xludf.DUMMYFUNCTION("""COMPUTED_VALUE"""),"S-60002-00")</f>
        <v>S-60002-00</v>
      </c>
      <c r="E502" s="6" t="str">
        <f>IFERROR(__xludf.DUMMYFUNCTION("""COMPUTED_VALUE"""),"Material Untuk Perbaikan Cooling Cabinet 1000L Stability ;Filter Dryer")</f>
        <v>Material Untuk Perbaikan Cooling Cabinet 1000L Stability ;Filter Dryer</v>
      </c>
      <c r="F502" s="6">
        <f>IFERROR(__xludf.DUMMYFUNCTION("""COMPUTED_VALUE"""),1.0)</f>
        <v>1</v>
      </c>
      <c r="G502" s="6" t="str">
        <f>IFERROR(__xludf.DUMMYFUNCTION("""COMPUTED_VALUE"""),"Lot")</f>
        <v>Lot</v>
      </c>
      <c r="H502" s="6" t="str">
        <f>IFERROR(__xludf.DUMMYFUNCTION("""COMPUTED_VALUE"""),"IDR")</f>
        <v>IDR</v>
      </c>
      <c r="I502" s="11">
        <f>IFERROR(__xludf.DUMMYFUNCTION("""COMPUTED_VALUE"""),350000.0)</f>
        <v>350000</v>
      </c>
      <c r="J502" s="11">
        <f>IFERROR(__xludf.DUMMYFUNCTION("""COMPUTED_VALUE"""),350000.0)</f>
        <v>350000</v>
      </c>
      <c r="K502" s="13">
        <f>IFERROR(__xludf.DUMMYFUNCTION("""COMPUTED_VALUE"""),43374.0)</f>
        <v>43374</v>
      </c>
      <c r="L502" s="6" t="str">
        <f>IFERROR(__xludf.DUMMYFUNCTION("""COMPUTED_VALUE"""),"FIP General")</f>
        <v>FIP General</v>
      </c>
      <c r="M502" s="6" t="str">
        <f>IFERROR(__xludf.DUMMYFUNCTION("""COMPUTED_VALUE"""),"Joko Nugroho")</f>
        <v>Joko Nugroho</v>
      </c>
      <c r="N502" s="6" t="str">
        <f>IFERROR(__xludf.DUMMYFUNCTION("""COMPUTED_VALUE"""),"FIP Engineering")</f>
        <v>FIP Engineering</v>
      </c>
      <c r="O502" s="6" t="str">
        <f>IFERROR(__xludf.DUMMYFUNCTION("""COMPUTED_VALUE"""),"FIP-DOM-ENG-51508-0000000-INA-000000")</f>
        <v>FIP-DOM-ENG-51508-0000000-INA-000000</v>
      </c>
      <c r="P502" s="6" t="str">
        <f>IFERROR(__xludf.DUMMYFUNCTION("""COMPUTED_VALUE"""),"PO Closed")</f>
        <v>PO Closed</v>
      </c>
      <c r="Q502" s="6" t="str">
        <f>IFERROR(__xludf.DUMMYFUNCTION("""COMPUTED_VALUE"""),"GL1811069")</f>
        <v>GL1811069</v>
      </c>
      <c r="R502" s="16">
        <f>IFERROR(__xludf.DUMMYFUNCTION("""COMPUTED_VALUE"""),43360.0)</f>
        <v>43360</v>
      </c>
      <c r="S502" s="6" t="str">
        <f>IFERROR(__xludf.DUMMYFUNCTION("""COMPUTED_VALUE"""),"-")</f>
        <v>-</v>
      </c>
      <c r="T502" s="13">
        <f>IFERROR(__xludf.DUMMYFUNCTION("""COMPUTED_VALUE"""),43440.0)</f>
        <v>43440</v>
      </c>
    </row>
    <row r="503">
      <c r="A503" s="6" t="str">
        <f>IFERROR(__xludf.DUMMYFUNCTION("""COMPUTED_VALUE"""),"181750342-3")</f>
        <v>181750342-3</v>
      </c>
      <c r="B503" s="6" t="str">
        <f>IFERROR(__xludf.DUMMYFUNCTION("""COMPUTED_VALUE"""),"181750342 - Approved")</f>
        <v>181750342 - Approved</v>
      </c>
      <c r="C503" s="6">
        <f>IFERROR(__xludf.DUMMYFUNCTION("""COMPUTED_VALUE"""),3.0)</f>
        <v>3</v>
      </c>
      <c r="D503" s="6" t="str">
        <f>IFERROR(__xludf.DUMMYFUNCTION("""COMPUTED_VALUE"""),"S-60002-00")</f>
        <v>S-60002-00</v>
      </c>
      <c r="E503" s="6" t="str">
        <f>IFERROR(__xludf.DUMMYFUNCTION("""COMPUTED_VALUE"""),"Flashing N2 &amp; Tes bocor")</f>
        <v>Flashing N2 &amp; Tes bocor</v>
      </c>
      <c r="F503" s="6">
        <f>IFERROR(__xludf.DUMMYFUNCTION("""COMPUTED_VALUE"""),1.0)</f>
        <v>1</v>
      </c>
      <c r="G503" s="6" t="str">
        <f>IFERROR(__xludf.DUMMYFUNCTION("""COMPUTED_VALUE"""),"Lot")</f>
        <v>Lot</v>
      </c>
      <c r="H503" s="6" t="str">
        <f>IFERROR(__xludf.DUMMYFUNCTION("""COMPUTED_VALUE"""),"IDR")</f>
        <v>IDR</v>
      </c>
      <c r="I503" s="11">
        <f>IFERROR(__xludf.DUMMYFUNCTION("""COMPUTED_VALUE"""),450000.0)</f>
        <v>450000</v>
      </c>
      <c r="J503" s="11">
        <f>IFERROR(__xludf.DUMMYFUNCTION("""COMPUTED_VALUE"""),450000.0)</f>
        <v>450000</v>
      </c>
      <c r="K503" s="13">
        <f>IFERROR(__xludf.DUMMYFUNCTION("""COMPUTED_VALUE"""),43374.0)</f>
        <v>43374</v>
      </c>
      <c r="L503" s="6" t="str">
        <f>IFERROR(__xludf.DUMMYFUNCTION("""COMPUTED_VALUE"""),"FIP General")</f>
        <v>FIP General</v>
      </c>
      <c r="M503" s="6" t="str">
        <f>IFERROR(__xludf.DUMMYFUNCTION("""COMPUTED_VALUE"""),"Joko Nugroho")</f>
        <v>Joko Nugroho</v>
      </c>
      <c r="N503" s="6" t="str">
        <f>IFERROR(__xludf.DUMMYFUNCTION("""COMPUTED_VALUE"""),"FIP Engineering")</f>
        <v>FIP Engineering</v>
      </c>
      <c r="O503" s="6" t="str">
        <f>IFERROR(__xludf.DUMMYFUNCTION("""COMPUTED_VALUE"""),"FIP-DOM-ENG-51508-0000000-INA-000000")</f>
        <v>FIP-DOM-ENG-51508-0000000-INA-000000</v>
      </c>
      <c r="P503" s="6" t="str">
        <f>IFERROR(__xludf.DUMMYFUNCTION("""COMPUTED_VALUE"""),"PO Closed")</f>
        <v>PO Closed</v>
      </c>
      <c r="Q503" s="6" t="str">
        <f>IFERROR(__xludf.DUMMYFUNCTION("""COMPUTED_VALUE"""),"GL1811069")</f>
        <v>GL1811069</v>
      </c>
      <c r="R503" s="16">
        <f>IFERROR(__xludf.DUMMYFUNCTION("""COMPUTED_VALUE"""),43360.0)</f>
        <v>43360</v>
      </c>
      <c r="S503" s="6" t="str">
        <f>IFERROR(__xludf.DUMMYFUNCTION("""COMPUTED_VALUE"""),"-")</f>
        <v>-</v>
      </c>
      <c r="T503" s="13">
        <f>IFERROR(__xludf.DUMMYFUNCTION("""COMPUTED_VALUE"""),43440.0)</f>
        <v>43440</v>
      </c>
    </row>
    <row r="504">
      <c r="A504" s="6" t="str">
        <f>IFERROR(__xludf.DUMMYFUNCTION("""COMPUTED_VALUE"""),"181750342-4")</f>
        <v>181750342-4</v>
      </c>
      <c r="B504" s="6" t="str">
        <f>IFERROR(__xludf.DUMMYFUNCTION("""COMPUTED_VALUE"""),"181750342 - Approved")</f>
        <v>181750342 - Approved</v>
      </c>
      <c r="C504" s="6">
        <f>IFERROR(__xludf.DUMMYFUNCTION("""COMPUTED_VALUE"""),4.0)</f>
        <v>4</v>
      </c>
      <c r="D504" s="6" t="str">
        <f>IFERROR(__xludf.DUMMYFUNCTION("""COMPUTED_VALUE"""),"S-60002-00")</f>
        <v>S-60002-00</v>
      </c>
      <c r="E504" s="6" t="str">
        <f>IFERROR(__xludf.DUMMYFUNCTION("""COMPUTED_VALUE"""),"Pengelasan dan Pemipaan")</f>
        <v>Pengelasan dan Pemipaan</v>
      </c>
      <c r="F504" s="6">
        <f>IFERROR(__xludf.DUMMYFUNCTION("""COMPUTED_VALUE"""),1.0)</f>
        <v>1</v>
      </c>
      <c r="G504" s="6" t="str">
        <f>IFERROR(__xludf.DUMMYFUNCTION("""COMPUTED_VALUE"""),"Lot")</f>
        <v>Lot</v>
      </c>
      <c r="H504" s="6" t="str">
        <f>IFERROR(__xludf.DUMMYFUNCTION("""COMPUTED_VALUE"""),"IDR")</f>
        <v>IDR</v>
      </c>
      <c r="I504" s="11">
        <f>IFERROR(__xludf.DUMMYFUNCTION("""COMPUTED_VALUE"""),650000.0)</f>
        <v>650000</v>
      </c>
      <c r="J504" s="11">
        <f>IFERROR(__xludf.DUMMYFUNCTION("""COMPUTED_VALUE"""),650000.0)</f>
        <v>650000</v>
      </c>
      <c r="K504" s="13">
        <f>IFERROR(__xludf.DUMMYFUNCTION("""COMPUTED_VALUE"""),43374.0)</f>
        <v>43374</v>
      </c>
      <c r="L504" s="6" t="str">
        <f>IFERROR(__xludf.DUMMYFUNCTION("""COMPUTED_VALUE"""),"FIP General")</f>
        <v>FIP General</v>
      </c>
      <c r="M504" s="6" t="str">
        <f>IFERROR(__xludf.DUMMYFUNCTION("""COMPUTED_VALUE"""),"Joko Nugroho")</f>
        <v>Joko Nugroho</v>
      </c>
      <c r="N504" s="6" t="str">
        <f>IFERROR(__xludf.DUMMYFUNCTION("""COMPUTED_VALUE"""),"FIP Engineering")</f>
        <v>FIP Engineering</v>
      </c>
      <c r="O504" s="6" t="str">
        <f>IFERROR(__xludf.DUMMYFUNCTION("""COMPUTED_VALUE"""),"FIP-DOM-ENG-51508-0000000-INA-000000")</f>
        <v>FIP-DOM-ENG-51508-0000000-INA-000000</v>
      </c>
      <c r="P504" s="6" t="str">
        <f>IFERROR(__xludf.DUMMYFUNCTION("""COMPUTED_VALUE"""),"PO Closed")</f>
        <v>PO Closed</v>
      </c>
      <c r="Q504" s="6" t="str">
        <f>IFERROR(__xludf.DUMMYFUNCTION("""COMPUTED_VALUE"""),"GL1811069")</f>
        <v>GL1811069</v>
      </c>
      <c r="R504" s="17">
        <f>IFERROR(__xludf.DUMMYFUNCTION("""COMPUTED_VALUE"""),43360.0)</f>
        <v>43360</v>
      </c>
      <c r="S504" s="6" t="str">
        <f>IFERROR(__xludf.DUMMYFUNCTION("""COMPUTED_VALUE"""),"-")</f>
        <v>-</v>
      </c>
      <c r="T504" s="17">
        <f>IFERROR(__xludf.DUMMYFUNCTION("""COMPUTED_VALUE"""),43440.0)</f>
        <v>43440</v>
      </c>
    </row>
    <row r="505">
      <c r="A505" s="6" t="str">
        <f>IFERROR(__xludf.DUMMYFUNCTION("""COMPUTED_VALUE"""),"181750342-5")</f>
        <v>181750342-5</v>
      </c>
      <c r="B505" s="6" t="str">
        <f>IFERROR(__xludf.DUMMYFUNCTION("""COMPUTED_VALUE"""),"181750342 - Approved")</f>
        <v>181750342 - Approved</v>
      </c>
      <c r="C505" s="6">
        <f>IFERROR(__xludf.DUMMYFUNCTION("""COMPUTED_VALUE"""),5.0)</f>
        <v>5</v>
      </c>
      <c r="D505" s="6" t="str">
        <f>IFERROR(__xludf.DUMMYFUNCTION("""COMPUTED_VALUE"""),"S-60002-00")</f>
        <v>S-60002-00</v>
      </c>
      <c r="E505" s="6" t="str">
        <f>IFERROR(__xludf.DUMMYFUNCTION("""COMPUTED_VALUE"""),"Jasa Perbaikan &amp; Transportasi")</f>
        <v>Jasa Perbaikan &amp; Transportasi</v>
      </c>
      <c r="F505" s="6">
        <f>IFERROR(__xludf.DUMMYFUNCTION("""COMPUTED_VALUE"""),1.0)</f>
        <v>1</v>
      </c>
      <c r="G505" s="6" t="str">
        <f>IFERROR(__xludf.DUMMYFUNCTION("""COMPUTED_VALUE"""),"Lot")</f>
        <v>Lot</v>
      </c>
      <c r="H505" s="6" t="str">
        <f>IFERROR(__xludf.DUMMYFUNCTION("""COMPUTED_VALUE"""),"IDR")</f>
        <v>IDR</v>
      </c>
      <c r="I505" s="11">
        <f>IFERROR(__xludf.DUMMYFUNCTION("""COMPUTED_VALUE"""),1500000.0)</f>
        <v>1500000</v>
      </c>
      <c r="J505" s="11">
        <f>IFERROR(__xludf.DUMMYFUNCTION("""COMPUTED_VALUE"""),1500000.0)</f>
        <v>1500000</v>
      </c>
      <c r="K505" s="13">
        <f>IFERROR(__xludf.DUMMYFUNCTION("""COMPUTED_VALUE"""),43374.0)</f>
        <v>43374</v>
      </c>
      <c r="L505" s="6" t="str">
        <f>IFERROR(__xludf.DUMMYFUNCTION("""COMPUTED_VALUE"""),"FIP General")</f>
        <v>FIP General</v>
      </c>
      <c r="M505" s="6" t="str">
        <f>IFERROR(__xludf.DUMMYFUNCTION("""COMPUTED_VALUE"""),"Joko Nugroho")</f>
        <v>Joko Nugroho</v>
      </c>
      <c r="N505" s="6" t="str">
        <f>IFERROR(__xludf.DUMMYFUNCTION("""COMPUTED_VALUE"""),"FIP Engineering")</f>
        <v>FIP Engineering</v>
      </c>
      <c r="O505" s="6" t="str">
        <f>IFERROR(__xludf.DUMMYFUNCTION("""COMPUTED_VALUE"""),"FIP-DOM-ENG-51508-0000000-INA-000000")</f>
        <v>FIP-DOM-ENG-51508-0000000-INA-000000</v>
      </c>
      <c r="P505" s="6" t="str">
        <f>IFERROR(__xludf.DUMMYFUNCTION("""COMPUTED_VALUE"""),"PO Closed")</f>
        <v>PO Closed</v>
      </c>
      <c r="Q505" s="6" t="str">
        <f>IFERROR(__xludf.DUMMYFUNCTION("""COMPUTED_VALUE"""),"GL1811069")</f>
        <v>GL1811069</v>
      </c>
      <c r="R505" s="17">
        <f>IFERROR(__xludf.DUMMYFUNCTION("""COMPUTED_VALUE"""),43360.0)</f>
        <v>43360</v>
      </c>
      <c r="S505" s="6" t="str">
        <f>IFERROR(__xludf.DUMMYFUNCTION("""COMPUTED_VALUE"""),"-")</f>
        <v>-</v>
      </c>
      <c r="T505" s="13">
        <f>IFERROR(__xludf.DUMMYFUNCTION("""COMPUTED_VALUE"""),43440.0)</f>
        <v>43440</v>
      </c>
    </row>
    <row r="506">
      <c r="A506" s="6" t="str">
        <f>IFERROR(__xludf.DUMMYFUNCTION("""COMPUTED_VALUE"""),"181750274-10")</f>
        <v>181750274-10</v>
      </c>
      <c r="B506" s="6" t="str">
        <f>IFERROR(__xludf.DUMMYFUNCTION("""COMPUTED_VALUE"""),"181750274 - Approved")</f>
        <v>181750274 - Approved</v>
      </c>
      <c r="C506" s="6">
        <f>IFERROR(__xludf.DUMMYFUNCTION("""COMPUTED_VALUE"""),10.0)</f>
        <v>10</v>
      </c>
      <c r="D506" s="6" t="str">
        <f>IFERROR(__xludf.DUMMYFUNCTION("""COMPUTED_VALUE"""),"P-10346-00")</f>
        <v>P-10346-00</v>
      </c>
      <c r="E506" s="6" t="str">
        <f>IFERROR(__xludf.DUMMYFUNCTION("""COMPUTED_VALUE"""),"Alat Ukur - Pressure Gauge")</f>
        <v>Alat Ukur - Pressure Gauge</v>
      </c>
      <c r="F506" s="6">
        <f>IFERROR(__xludf.DUMMYFUNCTION("""COMPUTED_VALUE"""),1.0)</f>
        <v>1</v>
      </c>
      <c r="G506" s="6" t="str">
        <f>IFERROR(__xludf.DUMMYFUNCTION("""COMPUTED_VALUE"""),"Pieces")</f>
        <v>Pieces</v>
      </c>
      <c r="H506" s="6" t="str">
        <f>IFERROR(__xludf.DUMMYFUNCTION("""COMPUTED_VALUE"""),"IDR")</f>
        <v>IDR</v>
      </c>
      <c r="I506" s="11">
        <f>IFERROR(__xludf.DUMMYFUNCTION("""COMPUTED_VALUE"""),700000.0)</f>
        <v>700000</v>
      </c>
      <c r="J506" s="11">
        <f>IFERROR(__xludf.DUMMYFUNCTION("""COMPUTED_VALUE"""),700000.0)</f>
        <v>700000</v>
      </c>
      <c r="K506" s="13">
        <f>IFERROR(__xludf.DUMMYFUNCTION("""COMPUTED_VALUE"""),43385.0)</f>
        <v>43385</v>
      </c>
      <c r="L506" s="6" t="str">
        <f>IFERROR(__xludf.DUMMYFUNCTION("""COMPUTED_VALUE"""),"FIP General")</f>
        <v>FIP General</v>
      </c>
      <c r="M506" s="6" t="str">
        <f>IFERROR(__xludf.DUMMYFUNCTION("""COMPUTED_VALUE"""),"Joko Nugroho")</f>
        <v>Joko Nugroho</v>
      </c>
      <c r="N506" s="6" t="str">
        <f>IFERROR(__xludf.DUMMYFUNCTION("""COMPUTED_VALUE"""),"FIP Engineering")</f>
        <v>FIP Engineering</v>
      </c>
      <c r="O506" s="6" t="str">
        <f>IFERROR(__xludf.DUMMYFUNCTION("""COMPUTED_VALUE"""),"FIP-DOM-ENG-51504-0000000-INA-000000")</f>
        <v>FIP-DOM-ENG-51504-0000000-INA-000000</v>
      </c>
      <c r="P506" s="6" t="str">
        <f>IFERROR(__xludf.DUMMYFUNCTION("""COMPUTED_VALUE"""),"PO Closed")</f>
        <v>PO Closed</v>
      </c>
      <c r="Q506" s="6" t="str">
        <f>IFERROR(__xludf.DUMMYFUNCTION("""COMPUTED_VALUE"""),"GL1810013")</f>
        <v>GL1810013</v>
      </c>
      <c r="R506" s="16">
        <f>IFERROR(__xludf.DUMMYFUNCTION("""COMPUTED_VALUE"""),43360.0)</f>
        <v>43360</v>
      </c>
      <c r="S506" s="6" t="str">
        <f>IFERROR(__xludf.DUMMYFUNCTION("""COMPUTED_VALUE"""),"-")</f>
        <v>-</v>
      </c>
      <c r="T506" s="13">
        <f>IFERROR(__xludf.DUMMYFUNCTION("""COMPUTED_VALUE"""),43404.0)</f>
        <v>43404</v>
      </c>
    </row>
    <row r="507">
      <c r="A507" s="6" t="str">
        <f>IFERROR(__xludf.DUMMYFUNCTION("""COMPUTED_VALUE"""),"181750347-1")</f>
        <v>181750347-1</v>
      </c>
      <c r="B507" s="6" t="str">
        <f>IFERROR(__xludf.DUMMYFUNCTION("""COMPUTED_VALUE"""),"181750347 - Approved")</f>
        <v>181750347 - Approved</v>
      </c>
      <c r="C507" s="6">
        <f>IFERROR(__xludf.DUMMYFUNCTION("""COMPUTED_VALUE"""),1.0)</f>
        <v>1</v>
      </c>
      <c r="D507" s="6" t="str">
        <f>IFERROR(__xludf.DUMMYFUNCTION("""COMPUTED_VALUE"""),"T-20135-00")</f>
        <v>T-20135-00</v>
      </c>
      <c r="E507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F507" s="6">
        <f>IFERROR(__xludf.DUMMYFUNCTION("""COMPUTED_VALUE"""),2.0)</f>
        <v>2</v>
      </c>
      <c r="G507" s="6" t="str">
        <f>IFERROR(__xludf.DUMMYFUNCTION("""COMPUTED_VALUE"""),"Pieces")</f>
        <v>Pieces</v>
      </c>
      <c r="H507" s="6" t="str">
        <f>IFERROR(__xludf.DUMMYFUNCTION("""COMPUTED_VALUE"""),"IDR")</f>
        <v>IDR</v>
      </c>
      <c r="I507" s="11">
        <f>IFERROR(__xludf.DUMMYFUNCTION("""COMPUTED_VALUE"""),3770000.0)</f>
        <v>3770000</v>
      </c>
      <c r="J507" s="11">
        <f>IFERROR(__xludf.DUMMYFUNCTION("""COMPUTED_VALUE"""),7540000.0)</f>
        <v>7540000</v>
      </c>
      <c r="K507" s="13">
        <f>IFERROR(__xludf.DUMMYFUNCTION("""COMPUTED_VALUE"""),43385.0)</f>
        <v>43385</v>
      </c>
      <c r="L507" s="6" t="str">
        <f>IFERROR(__xludf.DUMMYFUNCTION("""COMPUTED_VALUE"""),"FIP Engineering")</f>
        <v>FIP Engineering</v>
      </c>
      <c r="M507" s="6" t="str">
        <f>IFERROR(__xludf.DUMMYFUNCTION("""COMPUTED_VALUE"""),"Joko Nugroho")</f>
        <v>Joko Nugroho</v>
      </c>
      <c r="N507" s="6" t="str">
        <f>IFERROR(__xludf.DUMMYFUNCTION("""COMPUTED_VALUE"""),"FIP Engineering")</f>
        <v>FIP Engineering</v>
      </c>
      <c r="O507" s="6" t="str">
        <f>IFERROR(__xludf.DUMMYFUNCTION("""COMPUTED_VALUE"""),"FIP-DOM-000-11304-OS00001-INA-000000")</f>
        <v>FIP-DOM-000-11304-OS00001-INA-000000</v>
      </c>
      <c r="P507" s="6" t="str">
        <f>IFERROR(__xludf.DUMMYFUNCTION("""COMPUTED_VALUE"""),"PO Closed")</f>
        <v>PO Closed</v>
      </c>
      <c r="Q507" s="6" t="str">
        <f>IFERROR(__xludf.DUMMYFUNCTION("""COMPUTED_VALUE"""),"GL1901036-IM")</f>
        <v>GL1901036-IM</v>
      </c>
      <c r="R507" s="16">
        <f>IFERROR(__xludf.DUMMYFUNCTION("""COMPUTED_VALUE"""),43362.0)</f>
        <v>43362</v>
      </c>
      <c r="S507" s="6" t="str">
        <f>IFERROR(__xludf.DUMMYFUNCTION("""COMPUTED_VALUE"""),"-")</f>
        <v>-</v>
      </c>
      <c r="T507" s="17">
        <f>IFERROR(__xludf.DUMMYFUNCTION("""COMPUTED_VALUE"""),43385.0)</f>
        <v>43385</v>
      </c>
    </row>
    <row r="508">
      <c r="A508" s="6" t="str">
        <f>IFERROR(__xludf.DUMMYFUNCTION("""COMPUTED_VALUE"""),"181750344-2")</f>
        <v>181750344-2</v>
      </c>
      <c r="B508" s="6" t="str">
        <f>IFERROR(__xludf.DUMMYFUNCTION("""COMPUTED_VALUE"""),"181750344 - Approved")</f>
        <v>181750344 - Approved</v>
      </c>
      <c r="C508" s="6">
        <f>IFERROR(__xludf.DUMMYFUNCTION("""COMPUTED_VALUE"""),2.0)</f>
        <v>2</v>
      </c>
      <c r="D508" s="6" t="str">
        <f>IFERROR(__xludf.DUMMYFUNCTION("""COMPUTED_VALUE"""),"Q-10528-00")</f>
        <v>Q-10528-00</v>
      </c>
      <c r="E508" s="6" t="str">
        <f>IFERROR(__xludf.DUMMYFUNCTION("""COMPUTED_VALUE"""),"Kaca; ; ;")</f>
        <v>Kaca; ; ;</v>
      </c>
      <c r="F508" s="6">
        <f>IFERROR(__xludf.DUMMYFUNCTION("""COMPUTED_VALUE"""),1.0)</f>
        <v>1</v>
      </c>
      <c r="G508" s="6" t="str">
        <f>IFERROR(__xludf.DUMMYFUNCTION("""COMPUTED_VALUE"""),"Unit")</f>
        <v>Unit</v>
      </c>
      <c r="H508" s="6" t="str">
        <f>IFERROR(__xludf.DUMMYFUNCTION("""COMPUTED_VALUE"""),"IDR")</f>
        <v>IDR</v>
      </c>
      <c r="I508" s="11">
        <f>IFERROR(__xludf.DUMMYFUNCTION("""COMPUTED_VALUE"""),1950000.0)</f>
        <v>1950000</v>
      </c>
      <c r="J508" s="11">
        <f>IFERROR(__xludf.DUMMYFUNCTION("""COMPUTED_VALUE"""),1950000.0)</f>
        <v>1950000</v>
      </c>
      <c r="K508" s="13">
        <f>IFERROR(__xludf.DUMMYFUNCTION("""COMPUTED_VALUE"""),43378.0)</f>
        <v>43378</v>
      </c>
      <c r="L508" s="6" t="str">
        <f>IFERROR(__xludf.DUMMYFUNCTION("""COMPUTED_VALUE"""),"FIP General")</f>
        <v>FIP General</v>
      </c>
      <c r="M508" s="6" t="str">
        <f>IFERROR(__xludf.DUMMYFUNCTION("""COMPUTED_VALUE"""),"Joko Nugroho")</f>
        <v>Joko Nugroho</v>
      </c>
      <c r="N508" s="6" t="str">
        <f>IFERROR(__xludf.DUMMYFUNCTION("""COMPUTED_VALUE"""),"FIP Engineering")</f>
        <v>FIP Engineering</v>
      </c>
      <c r="O508" s="6" t="str">
        <f>IFERROR(__xludf.DUMMYFUNCTION("""COMPUTED_VALUE"""),"FIP-DOM-ENG-51502-0000000-INA-000000")</f>
        <v>FIP-DOM-ENG-51502-0000000-INA-000000</v>
      </c>
      <c r="P508" s="6" t="str">
        <f>IFERROR(__xludf.DUMMYFUNCTION("""COMPUTED_VALUE"""),"PO Closed")</f>
        <v>PO Closed</v>
      </c>
      <c r="Q508" s="6" t="str">
        <f>IFERROR(__xludf.DUMMYFUNCTION("""COMPUTED_VALUE"""),"GL1809050")</f>
        <v>GL1809050</v>
      </c>
      <c r="R508" s="16">
        <f>IFERROR(__xludf.DUMMYFUNCTION("""COMPUTED_VALUE"""),43362.0)</f>
        <v>43362</v>
      </c>
      <c r="S508" s="6" t="str">
        <f>IFERROR(__xludf.DUMMYFUNCTION("""COMPUTED_VALUE"""),"-")</f>
        <v>-</v>
      </c>
      <c r="T508" s="13">
        <f>IFERROR(__xludf.DUMMYFUNCTION("""COMPUTED_VALUE"""),43378.0)</f>
        <v>43378</v>
      </c>
    </row>
    <row r="509">
      <c r="A509" s="6" t="str">
        <f>IFERROR(__xludf.DUMMYFUNCTION("""COMPUTED_VALUE"""),"181750350-1")</f>
        <v>181750350-1</v>
      </c>
      <c r="B509" s="6" t="str">
        <f>IFERROR(__xludf.DUMMYFUNCTION("""COMPUTED_VALUE"""),"181750350 - Approved")</f>
        <v>181750350 - Approved</v>
      </c>
      <c r="C509" s="6">
        <f>IFERROR(__xludf.DUMMYFUNCTION("""COMPUTED_VALUE"""),1.0)</f>
        <v>1</v>
      </c>
      <c r="D509" s="6" t="str">
        <f>IFERROR(__xludf.DUMMYFUNCTION("""COMPUTED_VALUE"""),"Q-10528-00")</f>
        <v>Q-10528-00</v>
      </c>
      <c r="E509" s="6" t="str">
        <f>IFERROR(__xludf.DUMMYFUNCTION("""COMPUTED_VALUE"""),"Kaca; ; ;")</f>
        <v>Kaca; ; ;</v>
      </c>
      <c r="F509" s="6">
        <f>IFERROR(__xludf.DUMMYFUNCTION("""COMPUTED_VALUE"""),1.0)</f>
        <v>1</v>
      </c>
      <c r="G509" s="6" t="str">
        <f>IFERROR(__xludf.DUMMYFUNCTION("""COMPUTED_VALUE"""),"Unit")</f>
        <v>Unit</v>
      </c>
      <c r="H509" s="6" t="str">
        <f>IFERROR(__xludf.DUMMYFUNCTION("""COMPUTED_VALUE"""),"IDR")</f>
        <v>IDR</v>
      </c>
      <c r="I509" s="11">
        <f>IFERROR(__xludf.DUMMYFUNCTION("""COMPUTED_VALUE"""),320000.0)</f>
        <v>320000</v>
      </c>
      <c r="J509" s="11">
        <f>IFERROR(__xludf.DUMMYFUNCTION("""COMPUTED_VALUE"""),320000.0)</f>
        <v>320000</v>
      </c>
      <c r="K509" s="13">
        <f>IFERROR(__xludf.DUMMYFUNCTION("""COMPUTED_VALUE"""),43385.0)</f>
        <v>43385</v>
      </c>
      <c r="L509" s="6" t="str">
        <f>IFERROR(__xludf.DUMMYFUNCTION("""COMPUTED_VALUE"""),"FIP General")</f>
        <v>FIP General</v>
      </c>
      <c r="M509" s="6" t="str">
        <f>IFERROR(__xludf.DUMMYFUNCTION("""COMPUTED_VALUE"""),"Joko Nugroho")</f>
        <v>Joko Nugroho</v>
      </c>
      <c r="N509" s="6" t="str">
        <f>IFERROR(__xludf.DUMMYFUNCTION("""COMPUTED_VALUE"""),"FIP Engineering")</f>
        <v>FIP Engineering</v>
      </c>
      <c r="O509" s="6" t="str">
        <f>IFERROR(__xludf.DUMMYFUNCTION("""COMPUTED_VALUE"""),"FIP-DOM-ENG-51502-0000000-INA-000000")</f>
        <v>FIP-DOM-ENG-51502-0000000-INA-000000</v>
      </c>
      <c r="P509" s="6" t="str">
        <f>IFERROR(__xludf.DUMMYFUNCTION("""COMPUTED_VALUE"""),"PO Closed")</f>
        <v>PO Closed</v>
      </c>
      <c r="Q509" s="6" t="str">
        <f>IFERROR(__xludf.DUMMYFUNCTION("""COMPUTED_VALUE"""),"GL1810042")</f>
        <v>GL1810042</v>
      </c>
      <c r="R509" s="16">
        <f>IFERROR(__xludf.DUMMYFUNCTION("""COMPUTED_VALUE"""),43363.0)</f>
        <v>43363</v>
      </c>
      <c r="S509" s="6" t="str">
        <f>IFERROR(__xludf.DUMMYFUNCTION("""COMPUTED_VALUE"""),"-")</f>
        <v>-</v>
      </c>
      <c r="T509" s="13">
        <f>IFERROR(__xludf.DUMMYFUNCTION("""COMPUTED_VALUE"""),43398.0)</f>
        <v>43398</v>
      </c>
    </row>
    <row r="510">
      <c r="A510" s="6" t="str">
        <f>IFERROR(__xludf.DUMMYFUNCTION("""COMPUTED_VALUE"""),"181750349-1")</f>
        <v>181750349-1</v>
      </c>
      <c r="B510" s="6" t="str">
        <f>IFERROR(__xludf.DUMMYFUNCTION("""COMPUTED_VALUE"""),"181750349 - Approved")</f>
        <v>181750349 - Approved</v>
      </c>
      <c r="C510" s="6">
        <f>IFERROR(__xludf.DUMMYFUNCTION("""COMPUTED_VALUE"""),1.0)</f>
        <v>1</v>
      </c>
      <c r="D510" s="6" t="str">
        <f>IFERROR(__xludf.DUMMYFUNCTION("""COMPUTED_VALUE"""),"O-15491-00")</f>
        <v>O-15491-00</v>
      </c>
      <c r="E510" s="6" t="str">
        <f>IFERROR(__xludf.DUMMYFUNCTION("""COMPUTED_VALUE"""),"SPA 2482 Lw Brand : Optibelt / Bando Merah; Optibelt; ;")</f>
        <v>SPA 2482 Lw Brand : Optibelt / Bando Merah; Optibelt; ;</v>
      </c>
      <c r="F510" s="6">
        <f>IFERROR(__xludf.DUMMYFUNCTION("""COMPUTED_VALUE"""),4.0)</f>
        <v>4</v>
      </c>
      <c r="G510" s="6" t="str">
        <f>IFERROR(__xludf.DUMMYFUNCTION("""COMPUTED_VALUE"""),"Pieces")</f>
        <v>Pieces</v>
      </c>
      <c r="H510" s="6" t="str">
        <f>IFERROR(__xludf.DUMMYFUNCTION("""COMPUTED_VALUE"""),"IDR")</f>
        <v>IDR</v>
      </c>
      <c r="I510" s="11">
        <f>IFERROR(__xludf.DUMMYFUNCTION("""COMPUTED_VALUE"""),203400.0)</f>
        <v>203400</v>
      </c>
      <c r="J510" s="11">
        <f>IFERROR(__xludf.DUMMYFUNCTION("""COMPUTED_VALUE"""),813600.0)</f>
        <v>813600</v>
      </c>
      <c r="K510" s="13">
        <f>IFERROR(__xludf.DUMMYFUNCTION("""COMPUTED_VALUE"""),43385.0)</f>
        <v>43385</v>
      </c>
      <c r="L510" s="6" t="str">
        <f>IFERROR(__xludf.DUMMYFUNCTION("""COMPUTED_VALUE"""),"FIP Engineering")</f>
        <v>FIP Engineering</v>
      </c>
      <c r="M510" s="6" t="str">
        <f>IFERROR(__xludf.DUMMYFUNCTION("""COMPUTED_VALUE"""),"Joko Nugroho")</f>
        <v>Joko Nugroho</v>
      </c>
      <c r="N510" s="6" t="str">
        <f>IFERROR(__xludf.DUMMYFUNCTION("""COMPUTED_VALUE"""),"FIP Engineering")</f>
        <v>FIP Engineering</v>
      </c>
      <c r="O510" s="6" t="str">
        <f>IFERROR(__xludf.DUMMYFUNCTION("""COMPUTED_VALUE"""),"FIP-DOM-000-11304-OS00001-INA-000000")</f>
        <v>FIP-DOM-000-11304-OS00001-INA-000000</v>
      </c>
      <c r="P510" s="6" t="str">
        <f>IFERROR(__xludf.DUMMYFUNCTION("""COMPUTED_VALUE"""),"PO Closed")</f>
        <v>PO Closed</v>
      </c>
      <c r="Q510" s="6" t="str">
        <f>IFERROR(__xludf.DUMMYFUNCTION("""COMPUTED_VALUE"""),"GL1810010")</f>
        <v>GL1810010</v>
      </c>
      <c r="R510" s="16">
        <f>IFERROR(__xludf.DUMMYFUNCTION("""COMPUTED_VALUE"""),43363.0)</f>
        <v>43363</v>
      </c>
      <c r="S510" s="6" t="str">
        <f>IFERROR(__xludf.DUMMYFUNCTION("""COMPUTED_VALUE"""),"-")</f>
        <v>-</v>
      </c>
      <c r="T510" s="13">
        <f>IFERROR(__xludf.DUMMYFUNCTION("""COMPUTED_VALUE"""),43419.0)</f>
        <v>43419</v>
      </c>
    </row>
    <row r="511">
      <c r="A511" s="6" t="str">
        <f>IFERROR(__xludf.DUMMYFUNCTION("""COMPUTED_VALUE"""),"181750349-2")</f>
        <v>181750349-2</v>
      </c>
      <c r="B511" s="6" t="str">
        <f>IFERROR(__xludf.DUMMYFUNCTION("""COMPUTED_VALUE"""),"181750349 - Approved")</f>
        <v>181750349 - Approved</v>
      </c>
      <c r="C511" s="6">
        <f>IFERROR(__xludf.DUMMYFUNCTION("""COMPUTED_VALUE"""),2.0)</f>
        <v>2</v>
      </c>
      <c r="D511" s="6" t="str">
        <f>IFERROR(__xludf.DUMMYFUNCTION("""COMPUTED_VALUE"""),"P-15945-00")</f>
        <v>P-15945-00</v>
      </c>
      <c r="E511" s="6" t="str">
        <f>IFERROR(__xludf.DUMMYFUNCTION("""COMPUTED_VALUE"""),"WEDGE BELT OPTIBELT SPA 2082; ; ;")</f>
        <v>WEDGE BELT OPTIBELT SPA 2082; ; ;</v>
      </c>
      <c r="F511" s="6">
        <f>IFERROR(__xludf.DUMMYFUNCTION("""COMPUTED_VALUE"""),2.0)</f>
        <v>2</v>
      </c>
      <c r="G511" s="6" t="str">
        <f>IFERROR(__xludf.DUMMYFUNCTION("""COMPUTED_VALUE"""),"Unit")</f>
        <v>Unit</v>
      </c>
      <c r="H511" s="6" t="str">
        <f>IFERROR(__xludf.DUMMYFUNCTION("""COMPUTED_VALUE"""),"IDR")</f>
        <v>IDR</v>
      </c>
      <c r="I511" s="11">
        <f>IFERROR(__xludf.DUMMYFUNCTION("""COMPUTED_VALUE"""),106000.0)</f>
        <v>106000</v>
      </c>
      <c r="J511" s="11">
        <f>IFERROR(__xludf.DUMMYFUNCTION("""COMPUTED_VALUE"""),212000.0)</f>
        <v>212000</v>
      </c>
      <c r="K511" s="13">
        <f>IFERROR(__xludf.DUMMYFUNCTION("""COMPUTED_VALUE"""),43385.0)</f>
        <v>43385</v>
      </c>
      <c r="L511" s="6" t="str">
        <f>IFERROR(__xludf.DUMMYFUNCTION("""COMPUTED_VALUE"""),"FIP Engineering")</f>
        <v>FIP Engineering</v>
      </c>
      <c r="M511" s="6" t="str">
        <f>IFERROR(__xludf.DUMMYFUNCTION("""COMPUTED_VALUE"""),"Joko Nugroho")</f>
        <v>Joko Nugroho</v>
      </c>
      <c r="N511" s="6" t="str">
        <f>IFERROR(__xludf.DUMMYFUNCTION("""COMPUTED_VALUE"""),"FIP Engineering")</f>
        <v>FIP Engineering</v>
      </c>
      <c r="O511" s="6" t="str">
        <f>IFERROR(__xludf.DUMMYFUNCTION("""COMPUTED_VALUE"""),"FIP-DOM-000-11304-OS00001-INA-000000")</f>
        <v>FIP-DOM-000-11304-OS00001-INA-000000</v>
      </c>
      <c r="P511" s="6" t="str">
        <f>IFERROR(__xludf.DUMMYFUNCTION("""COMPUTED_VALUE"""),"PO Closed")</f>
        <v>PO Closed</v>
      </c>
      <c r="Q511" s="6" t="str">
        <f>IFERROR(__xludf.DUMMYFUNCTION("""COMPUTED_VALUE"""),"GL1810011")</f>
        <v>GL1810011</v>
      </c>
      <c r="R511" s="16">
        <f>IFERROR(__xludf.DUMMYFUNCTION("""COMPUTED_VALUE"""),43363.0)</f>
        <v>43363</v>
      </c>
      <c r="S511" s="6" t="str">
        <f>IFERROR(__xludf.DUMMYFUNCTION("""COMPUTED_VALUE"""),"-")</f>
        <v>-</v>
      </c>
      <c r="T511" s="13">
        <f>IFERROR(__xludf.DUMMYFUNCTION("""COMPUTED_VALUE"""),43404.0)</f>
        <v>43404</v>
      </c>
    </row>
    <row r="512">
      <c r="A512" s="6" t="str">
        <f>IFERROR(__xludf.DUMMYFUNCTION("""COMPUTED_VALUE"""),"181750349-3")</f>
        <v>181750349-3</v>
      </c>
      <c r="B512" s="6" t="str">
        <f>IFERROR(__xludf.DUMMYFUNCTION("""COMPUTED_VALUE"""),"181750349 - Approved")</f>
        <v>181750349 - Approved</v>
      </c>
      <c r="C512" s="6">
        <f>IFERROR(__xludf.DUMMYFUNCTION("""COMPUTED_VALUE"""),3.0)</f>
        <v>3</v>
      </c>
      <c r="D512" s="6" t="str">
        <f>IFERROR(__xludf.DUMMYFUNCTION("""COMPUTED_VALUE"""),"O-15490-00")</f>
        <v>O-15490-00</v>
      </c>
      <c r="E512" s="6" t="str">
        <f>IFERROR(__xludf.DUMMYFUNCTION("""COMPUTED_VALUE"""),"B63 Brand : Optibelt / Bando Merah; Optibelt; ;")</f>
        <v>B63 Brand : Optibelt / Bando Merah; Optibelt; ;</v>
      </c>
      <c r="F512" s="6">
        <f>IFERROR(__xludf.DUMMYFUNCTION("""COMPUTED_VALUE"""),2.0)</f>
        <v>2</v>
      </c>
      <c r="G512" s="6" t="str">
        <f>IFERROR(__xludf.DUMMYFUNCTION("""COMPUTED_VALUE"""),"Pieces")</f>
        <v>Pieces</v>
      </c>
      <c r="H512" s="6" t="str">
        <f>IFERROR(__xludf.DUMMYFUNCTION("""COMPUTED_VALUE"""),"IDR")</f>
        <v>IDR</v>
      </c>
      <c r="I512" s="11">
        <f>IFERROR(__xludf.DUMMYFUNCTION("""COMPUTED_VALUE"""),141800.0)</f>
        <v>141800</v>
      </c>
      <c r="J512" s="11">
        <f>IFERROR(__xludf.DUMMYFUNCTION("""COMPUTED_VALUE"""),283600.0)</f>
        <v>283600</v>
      </c>
      <c r="K512" s="13">
        <f>IFERROR(__xludf.DUMMYFUNCTION("""COMPUTED_VALUE"""),43385.0)</f>
        <v>43385</v>
      </c>
      <c r="L512" s="6" t="str">
        <f>IFERROR(__xludf.DUMMYFUNCTION("""COMPUTED_VALUE"""),"FIP Engineering")</f>
        <v>FIP Engineering</v>
      </c>
      <c r="M512" s="6" t="str">
        <f>IFERROR(__xludf.DUMMYFUNCTION("""COMPUTED_VALUE"""),"Joko Nugroho")</f>
        <v>Joko Nugroho</v>
      </c>
      <c r="N512" s="6" t="str">
        <f>IFERROR(__xludf.DUMMYFUNCTION("""COMPUTED_VALUE"""),"FIP Engineering")</f>
        <v>FIP Engineering</v>
      </c>
      <c r="O512" s="6" t="str">
        <f>IFERROR(__xludf.DUMMYFUNCTION("""COMPUTED_VALUE"""),"FIP-DOM-000-11304-OS00001-INA-000000")</f>
        <v>FIP-DOM-000-11304-OS00001-INA-000000</v>
      </c>
      <c r="P512" s="6" t="str">
        <f>IFERROR(__xludf.DUMMYFUNCTION("""COMPUTED_VALUE"""),"PO Closed")</f>
        <v>PO Closed</v>
      </c>
      <c r="Q512" s="6" t="str">
        <f>IFERROR(__xludf.DUMMYFUNCTION("""COMPUTED_VALUE"""),"GL1810010")</f>
        <v>GL1810010</v>
      </c>
      <c r="R512" s="16">
        <f>IFERROR(__xludf.DUMMYFUNCTION("""COMPUTED_VALUE"""),43363.0)</f>
        <v>43363</v>
      </c>
      <c r="S512" s="6" t="str">
        <f>IFERROR(__xludf.DUMMYFUNCTION("""COMPUTED_VALUE"""),"-")</f>
        <v>-</v>
      </c>
      <c r="T512" s="13">
        <f>IFERROR(__xludf.DUMMYFUNCTION("""COMPUTED_VALUE"""),43419.0)</f>
        <v>43419</v>
      </c>
    </row>
    <row r="513">
      <c r="A513" s="6" t="str">
        <f>IFERROR(__xludf.DUMMYFUNCTION("""COMPUTED_VALUE"""),"181750351-1")</f>
        <v>181750351-1</v>
      </c>
      <c r="B513" s="6" t="str">
        <f>IFERROR(__xludf.DUMMYFUNCTION("""COMPUTED_VALUE"""),"181750351 - Approved")</f>
        <v>181750351 - Approved</v>
      </c>
      <c r="C513" s="6">
        <f>IFERROR(__xludf.DUMMYFUNCTION("""COMPUTED_VALUE"""),1.0)</f>
        <v>1</v>
      </c>
      <c r="D513" s="6" t="str">
        <f>IFERROR(__xludf.DUMMYFUNCTION("""COMPUTED_VALUE"""),"P-17066-00")</f>
        <v>P-17066-00</v>
      </c>
      <c r="E513" s="6" t="str">
        <f>IFERROR(__xludf.DUMMYFUNCTION("""COMPUTED_VALUE"""),"Pompa Submersible; ; ;")</f>
        <v>Pompa Submersible; ; ;</v>
      </c>
      <c r="F513" s="6">
        <f>IFERROR(__xludf.DUMMYFUNCTION("""COMPUTED_VALUE"""),1.0)</f>
        <v>1</v>
      </c>
      <c r="G513" s="6" t="str">
        <f>IFERROR(__xludf.DUMMYFUNCTION("""COMPUTED_VALUE"""),"Unit")</f>
        <v>Unit</v>
      </c>
      <c r="H513" s="6" t="str">
        <f>IFERROR(__xludf.DUMMYFUNCTION("""COMPUTED_VALUE"""),"IDR")</f>
        <v>IDR</v>
      </c>
      <c r="I513" s="11">
        <f>IFERROR(__xludf.DUMMYFUNCTION("""COMPUTED_VALUE"""),5200000.0)</f>
        <v>5200000</v>
      </c>
      <c r="J513" s="11">
        <f>IFERROR(__xludf.DUMMYFUNCTION("""COMPUTED_VALUE"""),5200000.0)</f>
        <v>5200000</v>
      </c>
      <c r="K513" s="13">
        <f>IFERROR(__xludf.DUMMYFUNCTION("""COMPUTED_VALUE"""),43385.0)</f>
        <v>43385</v>
      </c>
      <c r="L513" s="6" t="str">
        <f>IFERROR(__xludf.DUMMYFUNCTION("""COMPUTED_VALUE"""),"FIP General")</f>
        <v>FIP General</v>
      </c>
      <c r="M513" s="6" t="str">
        <f>IFERROR(__xludf.DUMMYFUNCTION("""COMPUTED_VALUE"""),"Joko Nugroho")</f>
        <v>Joko Nugroho</v>
      </c>
      <c r="N513" s="6" t="str">
        <f>IFERROR(__xludf.DUMMYFUNCTION("""COMPUTED_VALUE"""),"FIP Engineering")</f>
        <v>FIP Engineering</v>
      </c>
      <c r="O513" s="6" t="str">
        <f>IFERROR(__xludf.DUMMYFUNCTION("""COMPUTED_VALUE"""),"FIP-DOM-ENG-51504-0000000-INA-000000")</f>
        <v>FIP-DOM-ENG-51504-0000000-INA-000000</v>
      </c>
      <c r="P513" s="6" t="str">
        <f>IFERROR(__xludf.DUMMYFUNCTION("""COMPUTED_VALUE"""),"PO Closed")</f>
        <v>PO Closed</v>
      </c>
      <c r="Q513" s="6" t="str">
        <f>IFERROR(__xludf.DUMMYFUNCTION("""COMPUTED_VALUE"""),"GL1810012")</f>
        <v>GL1810012</v>
      </c>
      <c r="R513" s="16">
        <f>IFERROR(__xludf.DUMMYFUNCTION("""COMPUTED_VALUE"""),43364.0)</f>
        <v>43364</v>
      </c>
      <c r="S513" s="6" t="str">
        <f>IFERROR(__xludf.DUMMYFUNCTION("""COMPUTED_VALUE"""),"-")</f>
        <v>-</v>
      </c>
      <c r="T513" s="13">
        <f>IFERROR(__xludf.DUMMYFUNCTION("""COMPUTED_VALUE"""),43391.0)</f>
        <v>43391</v>
      </c>
    </row>
    <row r="514">
      <c r="A514" s="6" t="str">
        <f>IFERROR(__xludf.DUMMYFUNCTION("""COMPUTED_VALUE"""),"181750274-11")</f>
        <v>181750274-11</v>
      </c>
      <c r="B514" s="6" t="str">
        <f>IFERROR(__xludf.DUMMYFUNCTION("""COMPUTED_VALUE"""),"181750274 - Approved")</f>
        <v>181750274 - Approved</v>
      </c>
      <c r="C514" s="6">
        <f>IFERROR(__xludf.DUMMYFUNCTION("""COMPUTED_VALUE"""),11.0)</f>
        <v>11</v>
      </c>
      <c r="D514" s="6" t="str">
        <f>IFERROR(__xludf.DUMMYFUNCTION("""COMPUTED_VALUE"""),"P-17068-00")</f>
        <v>P-17068-00</v>
      </c>
      <c r="E514" s="6" t="str">
        <f>IFERROR(__xludf.DUMMYFUNCTION("""COMPUTED_VALUE"""),"PRV 7 - Pressure Reducing Valve 1 bar BRASS 3/4"" KITZ; ; ;")</f>
        <v>PRV 7 - Pressure Reducing Valve 1 bar BRASS 3/4" KITZ; ; ;</v>
      </c>
      <c r="F514" s="6">
        <f>IFERROR(__xludf.DUMMYFUNCTION("""COMPUTED_VALUE"""),1.0)</f>
        <v>1</v>
      </c>
      <c r="G514" s="6" t="str">
        <f>IFERROR(__xludf.DUMMYFUNCTION("""COMPUTED_VALUE"""),"Pieces")</f>
        <v>Pieces</v>
      </c>
      <c r="H514" s="6" t="str">
        <f>IFERROR(__xludf.DUMMYFUNCTION("""COMPUTED_VALUE"""),"IDR")</f>
        <v>IDR</v>
      </c>
      <c r="I514" s="11">
        <f>IFERROR(__xludf.DUMMYFUNCTION("""COMPUTED_VALUE"""),1200000.0)</f>
        <v>1200000</v>
      </c>
      <c r="J514" s="11">
        <f>IFERROR(__xludf.DUMMYFUNCTION("""COMPUTED_VALUE"""),1200000.0)</f>
        <v>1200000</v>
      </c>
      <c r="K514" s="13">
        <f>IFERROR(__xludf.DUMMYFUNCTION("""COMPUTED_VALUE"""),43385.0)</f>
        <v>43385</v>
      </c>
      <c r="L514" s="6" t="str">
        <f>IFERROR(__xludf.DUMMYFUNCTION("""COMPUTED_VALUE"""),"FIP General")</f>
        <v>FIP General</v>
      </c>
      <c r="M514" s="6" t="str">
        <f>IFERROR(__xludf.DUMMYFUNCTION("""COMPUTED_VALUE"""),"Joko Nugroho")</f>
        <v>Joko Nugroho</v>
      </c>
      <c r="N514" s="6" t="str">
        <f>IFERROR(__xludf.DUMMYFUNCTION("""COMPUTED_VALUE"""),"FIP Engineering")</f>
        <v>FIP Engineering</v>
      </c>
      <c r="O514" s="6" t="str">
        <f>IFERROR(__xludf.DUMMYFUNCTION("""COMPUTED_VALUE"""),"FIP-DOM-ENG-51504-0000000-INA-000000")</f>
        <v>FIP-DOM-ENG-51504-0000000-INA-000000</v>
      </c>
      <c r="P514" s="6" t="str">
        <f>IFERROR(__xludf.DUMMYFUNCTION("""COMPUTED_VALUE"""),"PO Closed")</f>
        <v>PO Closed</v>
      </c>
      <c r="Q514" s="6" t="str">
        <f>IFERROR(__xludf.DUMMYFUNCTION("""COMPUTED_VALUE"""),"GL1810013")</f>
        <v>GL1810013</v>
      </c>
      <c r="R514" s="16">
        <f>IFERROR(__xludf.DUMMYFUNCTION("""COMPUTED_VALUE"""),43364.0)</f>
        <v>43364</v>
      </c>
      <c r="S514" s="6" t="str">
        <f>IFERROR(__xludf.DUMMYFUNCTION("""COMPUTED_VALUE"""),"-")</f>
        <v>-</v>
      </c>
      <c r="T514" s="17">
        <f>IFERROR(__xludf.DUMMYFUNCTION("""COMPUTED_VALUE"""),43404.0)</f>
        <v>43404</v>
      </c>
    </row>
    <row r="515">
      <c r="A515" s="6" t="str">
        <f>IFERROR(__xludf.DUMMYFUNCTION("""COMPUTED_VALUE"""),"181750354-1")</f>
        <v>181750354-1</v>
      </c>
      <c r="B515" s="6" t="str">
        <f>IFERROR(__xludf.DUMMYFUNCTION("""COMPUTED_VALUE"""),"181750354 - Approved")</f>
        <v>181750354 - Approved</v>
      </c>
      <c r="C515" s="6">
        <f>IFERROR(__xludf.DUMMYFUNCTION("""COMPUTED_VALUE"""),1.0)</f>
        <v>1</v>
      </c>
      <c r="D515" s="6" t="str">
        <f>IFERROR(__xludf.DUMMYFUNCTION("""COMPUTED_VALUE"""),"S-60002-00")</f>
        <v>S-60002-00</v>
      </c>
      <c r="E515" s="6" t="str">
        <f>IFERROR(__xludf.DUMMYFUNCTION("""COMPUTED_VALUE"""),"Material untuk Koneksi Sampling CA")</f>
        <v>Material untuk Koneksi Sampling CA</v>
      </c>
      <c r="F515" s="6">
        <f>IFERROR(__xludf.DUMMYFUNCTION("""COMPUTED_VALUE"""),1.0)</f>
        <v>1</v>
      </c>
      <c r="G515" s="6" t="str">
        <f>IFERROR(__xludf.DUMMYFUNCTION("""COMPUTED_VALUE"""),"Lot")</f>
        <v>Lot</v>
      </c>
      <c r="H515" s="6" t="str">
        <f>IFERROR(__xludf.DUMMYFUNCTION("""COMPUTED_VALUE"""),"IDR")</f>
        <v>IDR</v>
      </c>
      <c r="I515" s="11">
        <f>IFERROR(__xludf.DUMMYFUNCTION("""COMPUTED_VALUE"""),2450000.0)</f>
        <v>2450000</v>
      </c>
      <c r="J515" s="11">
        <f>IFERROR(__xludf.DUMMYFUNCTION("""COMPUTED_VALUE"""),2450000.0)</f>
        <v>2450000</v>
      </c>
      <c r="K515" s="13">
        <f>IFERROR(__xludf.DUMMYFUNCTION("""COMPUTED_VALUE"""),43385.0)</f>
        <v>43385</v>
      </c>
      <c r="L515" s="6" t="str">
        <f>IFERROR(__xludf.DUMMYFUNCTION("""COMPUTED_VALUE"""),"FIP General")</f>
        <v>FIP General</v>
      </c>
      <c r="M515" s="6" t="str">
        <f>IFERROR(__xludf.DUMMYFUNCTION("""COMPUTED_VALUE"""),"Joko Nugroho")</f>
        <v>Joko Nugroho</v>
      </c>
      <c r="N515" s="6" t="str">
        <f>IFERROR(__xludf.DUMMYFUNCTION("""COMPUTED_VALUE"""),"FIP Engineering")</f>
        <v>FIP Engineering</v>
      </c>
      <c r="O515" s="6" t="str">
        <f>IFERROR(__xludf.DUMMYFUNCTION("""COMPUTED_VALUE"""),"FIP-DOM-ENG-51508-0000000-INA-000000")</f>
        <v>FIP-DOM-ENG-51508-0000000-INA-000000</v>
      </c>
      <c r="P515" s="6" t="str">
        <f>IFERROR(__xludf.DUMMYFUNCTION("""COMPUTED_VALUE"""),"PO Closed")</f>
        <v>PO Closed</v>
      </c>
      <c r="Q515" s="6" t="str">
        <f>IFERROR(__xludf.DUMMYFUNCTION("""COMPUTED_VALUE"""),"GL1810035")</f>
        <v>GL1810035</v>
      </c>
      <c r="R515" s="16">
        <f>IFERROR(__xludf.DUMMYFUNCTION("""COMPUTED_VALUE"""),43367.0)</f>
        <v>43367</v>
      </c>
      <c r="S515" s="6" t="str">
        <f>IFERROR(__xludf.DUMMYFUNCTION("""COMPUTED_VALUE"""),"-")</f>
        <v>-</v>
      </c>
      <c r="T515" s="13">
        <f>IFERROR(__xludf.DUMMYFUNCTION("""COMPUTED_VALUE"""),43420.0)</f>
        <v>43420</v>
      </c>
    </row>
    <row r="516">
      <c r="A516" s="6" t="str">
        <f>IFERROR(__xludf.DUMMYFUNCTION("""COMPUTED_VALUE"""),"181750354-2")</f>
        <v>181750354-2</v>
      </c>
      <c r="B516" s="6" t="str">
        <f>IFERROR(__xludf.DUMMYFUNCTION("""COMPUTED_VALUE"""),"181750354 - Approved")</f>
        <v>181750354 - Approved</v>
      </c>
      <c r="C516" s="6">
        <f>IFERROR(__xludf.DUMMYFUNCTION("""COMPUTED_VALUE"""),2.0)</f>
        <v>2</v>
      </c>
      <c r="D516" s="6" t="str">
        <f>IFERROR(__xludf.DUMMYFUNCTION("""COMPUTED_VALUE"""),"S-60002-00")</f>
        <v>S-60002-00</v>
      </c>
      <c r="E516" s="6" t="str">
        <f>IFERROR(__xludf.DUMMYFUNCTION("""COMPUTED_VALUE"""),"Material untuk Koneksi Sampling CA; Ferrule Thread Connection")</f>
        <v>Material untuk Koneksi Sampling CA; Ferrule Thread Connection</v>
      </c>
      <c r="F516" s="6">
        <f>IFERROR(__xludf.DUMMYFUNCTION("""COMPUTED_VALUE"""),2.0)</f>
        <v>2</v>
      </c>
      <c r="G516" s="6" t="str">
        <f>IFERROR(__xludf.DUMMYFUNCTION("""COMPUTED_VALUE"""),"Lot")</f>
        <v>Lot</v>
      </c>
      <c r="H516" s="6" t="str">
        <f>IFERROR(__xludf.DUMMYFUNCTION("""COMPUTED_VALUE"""),"IDR")</f>
        <v>IDR</v>
      </c>
      <c r="I516" s="11">
        <f>IFERROR(__xludf.DUMMYFUNCTION("""COMPUTED_VALUE"""),875000.0)</f>
        <v>875000</v>
      </c>
      <c r="J516" s="11">
        <f>IFERROR(__xludf.DUMMYFUNCTION("""COMPUTED_VALUE"""),1750000.0)</f>
        <v>1750000</v>
      </c>
      <c r="K516" s="13">
        <f>IFERROR(__xludf.DUMMYFUNCTION("""COMPUTED_VALUE"""),43385.0)</f>
        <v>43385</v>
      </c>
      <c r="L516" s="6" t="str">
        <f>IFERROR(__xludf.DUMMYFUNCTION("""COMPUTED_VALUE"""),"FIP General")</f>
        <v>FIP General</v>
      </c>
      <c r="M516" s="6" t="str">
        <f>IFERROR(__xludf.DUMMYFUNCTION("""COMPUTED_VALUE"""),"Joko Nugroho")</f>
        <v>Joko Nugroho</v>
      </c>
      <c r="N516" s="6" t="str">
        <f>IFERROR(__xludf.DUMMYFUNCTION("""COMPUTED_VALUE"""),"FIP Engineering")</f>
        <v>FIP Engineering</v>
      </c>
      <c r="O516" s="6" t="str">
        <f>IFERROR(__xludf.DUMMYFUNCTION("""COMPUTED_VALUE"""),"FIP-DOM-ENG-51508-0000000-INA-000000")</f>
        <v>FIP-DOM-ENG-51508-0000000-INA-000000</v>
      </c>
      <c r="P516" s="6" t="str">
        <f>IFERROR(__xludf.DUMMYFUNCTION("""COMPUTED_VALUE"""),"PO Closed")</f>
        <v>PO Closed</v>
      </c>
      <c r="Q516" s="6" t="str">
        <f>IFERROR(__xludf.DUMMYFUNCTION("""COMPUTED_VALUE"""),"GL1810035")</f>
        <v>GL1810035</v>
      </c>
      <c r="R516" s="17">
        <f>IFERROR(__xludf.DUMMYFUNCTION("""COMPUTED_VALUE"""),43367.0)</f>
        <v>43367</v>
      </c>
      <c r="S516" s="6" t="str">
        <f>IFERROR(__xludf.DUMMYFUNCTION("""COMPUTED_VALUE"""),"-")</f>
        <v>-</v>
      </c>
      <c r="T516" s="17">
        <f>IFERROR(__xludf.DUMMYFUNCTION("""COMPUTED_VALUE"""),43420.0)</f>
        <v>43420</v>
      </c>
    </row>
    <row r="517">
      <c r="A517" s="6" t="str">
        <f>IFERROR(__xludf.DUMMYFUNCTION("""COMPUTED_VALUE"""),"181750354-3")</f>
        <v>181750354-3</v>
      </c>
      <c r="B517" s="6" t="str">
        <f>IFERROR(__xludf.DUMMYFUNCTION("""COMPUTED_VALUE"""),"181750354 - Approved")</f>
        <v>181750354 - Approved</v>
      </c>
      <c r="C517" s="6">
        <f>IFERROR(__xludf.DUMMYFUNCTION("""COMPUTED_VALUE"""),3.0)</f>
        <v>3</v>
      </c>
      <c r="D517" s="6" t="str">
        <f>IFERROR(__xludf.DUMMYFUNCTION("""COMPUTED_VALUE"""),"S-60002-00")</f>
        <v>S-60002-00</v>
      </c>
      <c r="E517" s="6" t="str">
        <f>IFERROR(__xludf.DUMMYFUNCTION("""COMPUTED_VALUE"""),"Jasa untuk Koneksi Sampling CA")</f>
        <v>Jasa untuk Koneksi Sampling CA</v>
      </c>
      <c r="F517" s="6">
        <f>IFERROR(__xludf.DUMMYFUNCTION("""COMPUTED_VALUE"""),1.0)</f>
        <v>1</v>
      </c>
      <c r="G517" s="6" t="str">
        <f>IFERROR(__xludf.DUMMYFUNCTION("""COMPUTED_VALUE"""),"Lot")</f>
        <v>Lot</v>
      </c>
      <c r="H517" s="6" t="str">
        <f>IFERROR(__xludf.DUMMYFUNCTION("""COMPUTED_VALUE"""),"IDR")</f>
        <v>IDR</v>
      </c>
      <c r="I517" s="11">
        <f>IFERROR(__xludf.DUMMYFUNCTION("""COMPUTED_VALUE"""),1800000.0)</f>
        <v>1800000</v>
      </c>
      <c r="J517" s="11">
        <f>IFERROR(__xludf.DUMMYFUNCTION("""COMPUTED_VALUE"""),1800000.0)</f>
        <v>1800000</v>
      </c>
      <c r="K517" s="13">
        <f>IFERROR(__xludf.DUMMYFUNCTION("""COMPUTED_VALUE"""),43385.0)</f>
        <v>43385</v>
      </c>
      <c r="L517" s="6" t="str">
        <f>IFERROR(__xludf.DUMMYFUNCTION("""COMPUTED_VALUE"""),"FIP General")</f>
        <v>FIP General</v>
      </c>
      <c r="M517" s="6" t="str">
        <f>IFERROR(__xludf.DUMMYFUNCTION("""COMPUTED_VALUE"""),"Joko Nugroho")</f>
        <v>Joko Nugroho</v>
      </c>
      <c r="N517" s="6" t="str">
        <f>IFERROR(__xludf.DUMMYFUNCTION("""COMPUTED_VALUE"""),"FIP Engineering")</f>
        <v>FIP Engineering</v>
      </c>
      <c r="O517" s="6" t="str">
        <f>IFERROR(__xludf.DUMMYFUNCTION("""COMPUTED_VALUE"""),"FIP-DOM-ENG-51508-0000000-INA-000000")</f>
        <v>FIP-DOM-ENG-51508-0000000-INA-000000</v>
      </c>
      <c r="P517" s="6" t="str">
        <f>IFERROR(__xludf.DUMMYFUNCTION("""COMPUTED_VALUE"""),"PO Closed")</f>
        <v>PO Closed</v>
      </c>
      <c r="Q517" s="6" t="str">
        <f>IFERROR(__xludf.DUMMYFUNCTION("""COMPUTED_VALUE"""),"GL1810035")</f>
        <v>GL1810035</v>
      </c>
      <c r="R517" s="17">
        <f>IFERROR(__xludf.DUMMYFUNCTION("""COMPUTED_VALUE"""),43367.0)</f>
        <v>43367</v>
      </c>
      <c r="S517" s="6" t="str">
        <f>IFERROR(__xludf.DUMMYFUNCTION("""COMPUTED_VALUE"""),"-")</f>
        <v>-</v>
      </c>
      <c r="T517" s="17">
        <f>IFERROR(__xludf.DUMMYFUNCTION("""COMPUTED_VALUE"""),43420.0)</f>
        <v>43420</v>
      </c>
    </row>
    <row r="518">
      <c r="A518" s="6" t="str">
        <f>IFERROR(__xludf.DUMMYFUNCTION("""COMPUTED_VALUE"""),"181750353-1")</f>
        <v>181750353-1</v>
      </c>
      <c r="B518" s="6" t="str">
        <f>IFERROR(__xludf.DUMMYFUNCTION("""COMPUTED_VALUE"""),"181750353 - Approved")</f>
        <v>181750353 - Approved</v>
      </c>
      <c r="C518" s="6">
        <f>IFERROR(__xludf.DUMMYFUNCTION("""COMPUTED_VALUE"""),1.0)</f>
        <v>1</v>
      </c>
      <c r="D518" s="6" t="str">
        <f>IFERROR(__xludf.DUMMYFUNCTION("""COMPUTED_VALUE"""),"S-60002-00")</f>
        <v>S-60002-00</v>
      </c>
      <c r="E518" s="6" t="str">
        <f>IFERROR(__xludf.DUMMYFUNCTION("""COMPUTED_VALUE"""),"Material untuk Modifikasi Jalur CA Capping")</f>
        <v>Material untuk Modifikasi Jalur CA Capping</v>
      </c>
      <c r="F518" s="6">
        <f>IFERROR(__xludf.DUMMYFUNCTION("""COMPUTED_VALUE"""),1.0)</f>
        <v>1</v>
      </c>
      <c r="G518" s="6" t="str">
        <f>IFERROR(__xludf.DUMMYFUNCTION("""COMPUTED_VALUE"""),"Lot")</f>
        <v>Lot</v>
      </c>
      <c r="H518" s="6" t="str">
        <f>IFERROR(__xludf.DUMMYFUNCTION("""COMPUTED_VALUE"""),"IDR")</f>
        <v>IDR</v>
      </c>
      <c r="I518" s="11">
        <f>IFERROR(__xludf.DUMMYFUNCTION("""COMPUTED_VALUE"""),4275000.0)</f>
        <v>4275000</v>
      </c>
      <c r="J518" s="11">
        <f>IFERROR(__xludf.DUMMYFUNCTION("""COMPUTED_VALUE"""),4275000.0)</f>
        <v>4275000</v>
      </c>
      <c r="K518" s="13">
        <f>IFERROR(__xludf.DUMMYFUNCTION("""COMPUTED_VALUE"""),43388.0)</f>
        <v>43388</v>
      </c>
      <c r="L518" s="6" t="str">
        <f>IFERROR(__xludf.DUMMYFUNCTION("""COMPUTED_VALUE"""),"FIP General")</f>
        <v>FIP General</v>
      </c>
      <c r="M518" s="6" t="str">
        <f>IFERROR(__xludf.DUMMYFUNCTION("""COMPUTED_VALUE"""),"Joko Nugroho")</f>
        <v>Joko Nugroho</v>
      </c>
      <c r="N518" s="6" t="str">
        <f>IFERROR(__xludf.DUMMYFUNCTION("""COMPUTED_VALUE"""),"FIP Engineering")</f>
        <v>FIP Engineering</v>
      </c>
      <c r="O518" s="6" t="str">
        <f>IFERROR(__xludf.DUMMYFUNCTION("""COMPUTED_VALUE"""),"FIP-DOM-ENG-51508-0000000-INA-000000")</f>
        <v>FIP-DOM-ENG-51508-0000000-INA-000000</v>
      </c>
      <c r="P518" s="6" t="str">
        <f>IFERROR(__xludf.DUMMYFUNCTION("""COMPUTED_VALUE"""),"PO Closed")</f>
        <v>PO Closed</v>
      </c>
      <c r="Q518" s="6" t="str">
        <f>IFERROR(__xludf.DUMMYFUNCTION("""COMPUTED_VALUE"""),"GL1810049")</f>
        <v>GL1810049</v>
      </c>
      <c r="R518" s="16">
        <f>IFERROR(__xludf.DUMMYFUNCTION("""COMPUTED_VALUE"""),43367.0)</f>
        <v>43367</v>
      </c>
      <c r="S518" s="6" t="str">
        <f>IFERROR(__xludf.DUMMYFUNCTION("""COMPUTED_VALUE"""),"-")</f>
        <v>-</v>
      </c>
      <c r="T518" s="13">
        <f>IFERROR(__xludf.DUMMYFUNCTION("""COMPUTED_VALUE"""),43413.0)</f>
        <v>43413</v>
      </c>
    </row>
    <row r="519">
      <c r="A519" s="6" t="str">
        <f>IFERROR(__xludf.DUMMYFUNCTION("""COMPUTED_VALUE"""),"181750353-2")</f>
        <v>181750353-2</v>
      </c>
      <c r="B519" s="6" t="str">
        <f>IFERROR(__xludf.DUMMYFUNCTION("""COMPUTED_VALUE"""),"181750353 - Approved")</f>
        <v>181750353 - Approved</v>
      </c>
      <c r="C519" s="6">
        <f>IFERROR(__xludf.DUMMYFUNCTION("""COMPUTED_VALUE"""),2.0)</f>
        <v>2</v>
      </c>
      <c r="D519" s="6" t="str">
        <f>IFERROR(__xludf.DUMMYFUNCTION("""COMPUTED_VALUE"""),"S-60002-00")</f>
        <v>S-60002-00</v>
      </c>
      <c r="E519" s="6" t="str">
        <f>IFERROR(__xludf.DUMMYFUNCTION("""COMPUTED_VALUE"""),"Jasa untuk Modifikasi Jalur CA Capping")</f>
        <v>Jasa untuk Modifikasi Jalur CA Capping</v>
      </c>
      <c r="F519" s="6">
        <f>IFERROR(__xludf.DUMMYFUNCTION("""COMPUTED_VALUE"""),1.0)</f>
        <v>1</v>
      </c>
      <c r="G519" s="6" t="str">
        <f>IFERROR(__xludf.DUMMYFUNCTION("""COMPUTED_VALUE"""),"Lot")</f>
        <v>Lot</v>
      </c>
      <c r="H519" s="6" t="str">
        <f>IFERROR(__xludf.DUMMYFUNCTION("""COMPUTED_VALUE"""),"IDR")</f>
        <v>IDR</v>
      </c>
      <c r="I519" s="11">
        <f>IFERROR(__xludf.DUMMYFUNCTION("""COMPUTED_VALUE"""),3725000.0)</f>
        <v>3725000</v>
      </c>
      <c r="J519" s="11">
        <f>IFERROR(__xludf.DUMMYFUNCTION("""COMPUTED_VALUE"""),3725000.0)</f>
        <v>3725000</v>
      </c>
      <c r="K519" s="13">
        <f>IFERROR(__xludf.DUMMYFUNCTION("""COMPUTED_VALUE"""),43388.0)</f>
        <v>43388</v>
      </c>
      <c r="L519" s="6" t="str">
        <f>IFERROR(__xludf.DUMMYFUNCTION("""COMPUTED_VALUE"""),"FIP General")</f>
        <v>FIP General</v>
      </c>
      <c r="M519" s="6" t="str">
        <f>IFERROR(__xludf.DUMMYFUNCTION("""COMPUTED_VALUE"""),"Joko Nugroho")</f>
        <v>Joko Nugroho</v>
      </c>
      <c r="N519" s="6" t="str">
        <f>IFERROR(__xludf.DUMMYFUNCTION("""COMPUTED_VALUE"""),"FIP Engineering")</f>
        <v>FIP Engineering</v>
      </c>
      <c r="O519" s="6" t="str">
        <f>IFERROR(__xludf.DUMMYFUNCTION("""COMPUTED_VALUE"""),"FIP-DOM-ENG-51508-0000000-INA-000000")</f>
        <v>FIP-DOM-ENG-51508-0000000-INA-000000</v>
      </c>
      <c r="P519" s="6" t="str">
        <f>IFERROR(__xludf.DUMMYFUNCTION("""COMPUTED_VALUE"""),"PO Closed")</f>
        <v>PO Closed</v>
      </c>
      <c r="Q519" s="6" t="str">
        <f>IFERROR(__xludf.DUMMYFUNCTION("""COMPUTED_VALUE"""),"GL1810049")</f>
        <v>GL1810049</v>
      </c>
      <c r="R519" s="17">
        <f>IFERROR(__xludf.DUMMYFUNCTION("""COMPUTED_VALUE"""),43367.0)</f>
        <v>43367</v>
      </c>
      <c r="S519" s="6" t="str">
        <f>IFERROR(__xludf.DUMMYFUNCTION("""COMPUTED_VALUE"""),"-")</f>
        <v>-</v>
      </c>
      <c r="T519" s="17">
        <f>IFERROR(__xludf.DUMMYFUNCTION("""COMPUTED_VALUE"""),43413.0)</f>
        <v>43413</v>
      </c>
    </row>
    <row r="520">
      <c r="A520" s="6" t="str">
        <f>IFERROR(__xludf.DUMMYFUNCTION("""COMPUTED_VALUE"""),"181750356-1")</f>
        <v>181750356-1</v>
      </c>
      <c r="B520" s="6" t="str">
        <f>IFERROR(__xludf.DUMMYFUNCTION("""COMPUTED_VALUE"""),"181750356 - Approved")</f>
        <v>181750356 - Approved</v>
      </c>
      <c r="C520" s="6">
        <f>IFERROR(__xludf.DUMMYFUNCTION("""COMPUTED_VALUE"""),1.0)</f>
        <v>1</v>
      </c>
      <c r="D520" s="6" t="str">
        <f>IFERROR(__xludf.DUMMYFUNCTION("""COMPUTED_VALUE"""),"P-15432-00")</f>
        <v>P-15432-00</v>
      </c>
      <c r="E520" s="6" t="str">
        <f>IFERROR(__xludf.DUMMYFUNCTION("""COMPUTED_VALUE"""),"Fitting KQ2E08-00; ; ;")</f>
        <v>Fitting KQ2E08-00; ; ;</v>
      </c>
      <c r="F520" s="6">
        <f>IFERROR(__xludf.DUMMYFUNCTION("""COMPUTED_VALUE"""),6.0)</f>
        <v>6</v>
      </c>
      <c r="G520" s="6" t="str">
        <f>IFERROR(__xludf.DUMMYFUNCTION("""COMPUTED_VALUE"""),"Pieces")</f>
        <v>Pieces</v>
      </c>
      <c r="H520" s="6" t="str">
        <f>IFERROR(__xludf.DUMMYFUNCTION("""COMPUTED_VALUE"""),"IDR")</f>
        <v>IDR</v>
      </c>
      <c r="I520" s="11">
        <f>IFERROR(__xludf.DUMMYFUNCTION("""COMPUTED_VALUE"""),56210.0)</f>
        <v>56210</v>
      </c>
      <c r="J520" s="11">
        <f>IFERROR(__xludf.DUMMYFUNCTION("""COMPUTED_VALUE"""),337260.0)</f>
        <v>337260</v>
      </c>
      <c r="K520" s="13">
        <f>IFERROR(__xludf.DUMMYFUNCTION("""COMPUTED_VALUE"""),43385.0)</f>
        <v>43385</v>
      </c>
      <c r="L520" s="6" t="str">
        <f>IFERROR(__xludf.DUMMYFUNCTION("""COMPUTED_VALUE"""),"FIP Engineering")</f>
        <v>FIP Engineering</v>
      </c>
      <c r="M520" s="6" t="str">
        <f>IFERROR(__xludf.DUMMYFUNCTION("""COMPUTED_VALUE"""),"Joko Nugroho")</f>
        <v>Joko Nugroho</v>
      </c>
      <c r="N520" s="6" t="str">
        <f>IFERROR(__xludf.DUMMYFUNCTION("""COMPUTED_VALUE"""),"FIP Engineering")</f>
        <v>FIP Engineering</v>
      </c>
      <c r="O520" s="6" t="str">
        <f>IFERROR(__xludf.DUMMYFUNCTION("""COMPUTED_VALUE"""),"FIP-DOM-000-11304-OS00001-INA-000000")</f>
        <v>FIP-DOM-000-11304-OS00001-INA-000000</v>
      </c>
      <c r="P520" s="6" t="str">
        <f>IFERROR(__xludf.DUMMYFUNCTION("""COMPUTED_VALUE"""),"PO Closed")</f>
        <v>PO Closed</v>
      </c>
      <c r="Q520" s="6" t="str">
        <f>IFERROR(__xludf.DUMMYFUNCTION("""COMPUTED_VALUE"""),"GL1810030")</f>
        <v>GL1810030</v>
      </c>
      <c r="R520" s="16">
        <f>IFERROR(__xludf.DUMMYFUNCTION("""COMPUTED_VALUE"""),43369.0)</f>
        <v>43369</v>
      </c>
      <c r="S520" s="6" t="str">
        <f>IFERROR(__xludf.DUMMYFUNCTION("""COMPUTED_VALUE"""),"-")</f>
        <v>-</v>
      </c>
      <c r="T520" s="17">
        <f>IFERROR(__xludf.DUMMYFUNCTION("""COMPUTED_VALUE"""),43398.0)</f>
        <v>43398</v>
      </c>
    </row>
    <row r="521">
      <c r="A521" s="6" t="str">
        <f>IFERROR(__xludf.DUMMYFUNCTION("""COMPUTED_VALUE"""),"181750356-2")</f>
        <v>181750356-2</v>
      </c>
      <c r="B521" s="6" t="str">
        <f>IFERROR(__xludf.DUMMYFUNCTION("""COMPUTED_VALUE"""),"181750356 - Approved")</f>
        <v>181750356 - Approved</v>
      </c>
      <c r="C521" s="6">
        <f>IFERROR(__xludf.DUMMYFUNCTION("""COMPUTED_VALUE"""),2.0)</f>
        <v>2</v>
      </c>
      <c r="D521" s="6" t="str">
        <f>IFERROR(__xludf.DUMMYFUNCTION("""COMPUTED_VALUE"""),"O-15931-00")</f>
        <v>O-15931-00</v>
      </c>
      <c r="E521" s="6" t="str">
        <f>IFERROR(__xludf.DUMMYFUNCTION("""COMPUTED_VALUE"""),"Double Tape 3M 1"" Merah; ; ;")</f>
        <v>Double Tape 3M 1" Merah; ; ;</v>
      </c>
      <c r="F521" s="6">
        <f>IFERROR(__xludf.DUMMYFUNCTION("""COMPUTED_VALUE"""),8.0)</f>
        <v>8</v>
      </c>
      <c r="G521" s="6" t="str">
        <f>IFERROR(__xludf.DUMMYFUNCTION("""COMPUTED_VALUE"""),"Pieces")</f>
        <v>Pieces</v>
      </c>
      <c r="H521" s="6" t="str">
        <f>IFERROR(__xludf.DUMMYFUNCTION("""COMPUTED_VALUE"""),"IDR")</f>
        <v>IDR</v>
      </c>
      <c r="I521" s="11">
        <f>IFERROR(__xludf.DUMMYFUNCTION("""COMPUTED_VALUE"""),112500.0)</f>
        <v>112500</v>
      </c>
      <c r="J521" s="11">
        <f>IFERROR(__xludf.DUMMYFUNCTION("""COMPUTED_VALUE"""),900000.0)</f>
        <v>900000</v>
      </c>
      <c r="K521" s="13">
        <f>IFERROR(__xludf.DUMMYFUNCTION("""COMPUTED_VALUE"""),43385.0)</f>
        <v>43385</v>
      </c>
      <c r="L521" s="6" t="str">
        <f>IFERROR(__xludf.DUMMYFUNCTION("""COMPUTED_VALUE"""),"FIP Engineering")</f>
        <v>FIP Engineering</v>
      </c>
      <c r="M521" s="6" t="str">
        <f>IFERROR(__xludf.DUMMYFUNCTION("""COMPUTED_VALUE"""),"Joko Nugroho")</f>
        <v>Joko Nugroho</v>
      </c>
      <c r="N521" s="6" t="str">
        <f>IFERROR(__xludf.DUMMYFUNCTION("""COMPUTED_VALUE"""),"FIP Engineering")</f>
        <v>FIP Engineering</v>
      </c>
      <c r="O521" s="6" t="str">
        <f>IFERROR(__xludf.DUMMYFUNCTION("""COMPUTED_VALUE"""),"FIP-DOM-000-11304-OS00001-INA-000000")</f>
        <v>FIP-DOM-000-11304-OS00001-INA-000000</v>
      </c>
      <c r="P521" s="6" t="str">
        <f>IFERROR(__xludf.DUMMYFUNCTION("""COMPUTED_VALUE"""),"PO Closed")</f>
        <v>PO Closed</v>
      </c>
      <c r="Q521" s="6" t="str">
        <f>IFERROR(__xludf.DUMMYFUNCTION("""COMPUTED_VALUE"""),"GL1810028")</f>
        <v>GL1810028</v>
      </c>
      <c r="R521" s="16">
        <f>IFERROR(__xludf.DUMMYFUNCTION("""COMPUTED_VALUE"""),43369.0)</f>
        <v>43369</v>
      </c>
      <c r="S521" s="6" t="str">
        <f>IFERROR(__xludf.DUMMYFUNCTION("""COMPUTED_VALUE"""),"-")</f>
        <v>-</v>
      </c>
      <c r="T521" s="13">
        <f>IFERROR(__xludf.DUMMYFUNCTION("""COMPUTED_VALUE"""),43402.0)</f>
        <v>43402</v>
      </c>
    </row>
    <row r="522">
      <c r="A522" s="6" t="str">
        <f>IFERROR(__xludf.DUMMYFUNCTION("""COMPUTED_VALUE"""),"181750356-3")</f>
        <v>181750356-3</v>
      </c>
      <c r="B522" s="6" t="str">
        <f>IFERROR(__xludf.DUMMYFUNCTION("""COMPUTED_VALUE"""),"181750356 - Approved")</f>
        <v>181750356 - Approved</v>
      </c>
      <c r="C522" s="6">
        <f>IFERROR(__xludf.DUMMYFUNCTION("""COMPUTED_VALUE"""),3.0)</f>
        <v>3</v>
      </c>
      <c r="D522" s="6" t="str">
        <f>IFERROR(__xludf.DUMMYFUNCTION("""COMPUTED_VALUE"""),"P-15862-00")</f>
        <v>P-15862-00</v>
      </c>
      <c r="E522" s="6" t="str">
        <f>IFERROR(__xludf.DUMMYFUNCTION("""COMPUTED_VALUE"""),"PAPER RECORD YOKOGAWA; FOLDING CHART B9565AW")</f>
        <v>PAPER RECORD YOKOGAWA; FOLDING CHART B9565AW</v>
      </c>
      <c r="F522" s="6">
        <f>IFERROR(__xludf.DUMMYFUNCTION("""COMPUTED_VALUE"""),10.0)</f>
        <v>10</v>
      </c>
      <c r="G522" s="6" t="str">
        <f>IFERROR(__xludf.DUMMYFUNCTION("""COMPUTED_VALUE"""),"Pieces")</f>
        <v>Pieces</v>
      </c>
      <c r="H522" s="6" t="str">
        <f>IFERROR(__xludf.DUMMYFUNCTION("""COMPUTED_VALUE"""),"IDR")</f>
        <v>IDR</v>
      </c>
      <c r="I522" s="11">
        <f>IFERROR(__xludf.DUMMYFUNCTION("""COMPUTED_VALUE"""),220000.0)</f>
        <v>220000</v>
      </c>
      <c r="J522" s="11">
        <f>IFERROR(__xludf.DUMMYFUNCTION("""COMPUTED_VALUE"""),2200000.0)</f>
        <v>2200000</v>
      </c>
      <c r="K522" s="13">
        <f>IFERROR(__xludf.DUMMYFUNCTION("""COMPUTED_VALUE"""),43385.0)</f>
        <v>43385</v>
      </c>
      <c r="L522" s="6" t="str">
        <f>IFERROR(__xludf.DUMMYFUNCTION("""COMPUTED_VALUE"""),"FIP Engineering")</f>
        <v>FIP Engineering</v>
      </c>
      <c r="M522" s="6" t="str">
        <f>IFERROR(__xludf.DUMMYFUNCTION("""COMPUTED_VALUE"""),"Joko Nugroho")</f>
        <v>Joko Nugroho</v>
      </c>
      <c r="N522" s="6" t="str">
        <f>IFERROR(__xludf.DUMMYFUNCTION("""COMPUTED_VALUE"""),"FIP Engineering")</f>
        <v>FIP Engineering</v>
      </c>
      <c r="O522" s="6" t="str">
        <f>IFERROR(__xludf.DUMMYFUNCTION("""COMPUTED_VALUE"""),"FIP-DOM-000-11304-OS00001-INA-000000")</f>
        <v>FIP-DOM-000-11304-OS00001-INA-000000</v>
      </c>
      <c r="P522" s="6" t="str">
        <f>IFERROR(__xludf.DUMMYFUNCTION("""COMPUTED_VALUE"""),"PO Closed")</f>
        <v>PO Closed</v>
      </c>
      <c r="Q522" s="6" t="str">
        <f>IFERROR(__xludf.DUMMYFUNCTION("""COMPUTED_VALUE"""),"GL1810029")</f>
        <v>GL1810029</v>
      </c>
      <c r="R522" s="16">
        <f>IFERROR(__xludf.DUMMYFUNCTION("""COMPUTED_VALUE"""),43369.0)</f>
        <v>43369</v>
      </c>
      <c r="S522" s="6" t="str">
        <f>IFERROR(__xludf.DUMMYFUNCTION("""COMPUTED_VALUE"""),"-")</f>
        <v>-</v>
      </c>
      <c r="T522" s="13">
        <f>IFERROR(__xludf.DUMMYFUNCTION("""COMPUTED_VALUE"""),43405.0)</f>
        <v>43405</v>
      </c>
    </row>
    <row r="523">
      <c r="A523" s="6" t="str">
        <f>IFERROR(__xludf.DUMMYFUNCTION("""COMPUTED_VALUE"""),"181750356-4")</f>
        <v>181750356-4</v>
      </c>
      <c r="B523" s="6" t="str">
        <f>IFERROR(__xludf.DUMMYFUNCTION("""COMPUTED_VALUE"""),"181750356 - Approved")</f>
        <v>181750356 - Approved</v>
      </c>
      <c r="C523" s="6">
        <f>IFERROR(__xludf.DUMMYFUNCTION("""COMPUTED_VALUE"""),4.0)</f>
        <v>4</v>
      </c>
      <c r="D523" s="6" t="str">
        <f>IFERROR(__xludf.DUMMYFUNCTION("""COMPUTED_VALUE"""),"P-15438-00")</f>
        <v>P-15438-00</v>
      </c>
      <c r="E523" s="6" t="str">
        <f>IFERROR(__xludf.DUMMYFUNCTION("""COMPUTED_VALUE"""),"CABLE SPIRAL WRAPPING, TYPE KS12, BRAND KSS; ; ;")</f>
        <v>CABLE SPIRAL WRAPPING, TYPE KS12, BRAND KSS; ; ;</v>
      </c>
      <c r="F523" s="6">
        <f>IFERROR(__xludf.DUMMYFUNCTION("""COMPUTED_VALUE"""),2.0)</f>
        <v>2</v>
      </c>
      <c r="G523" s="6" t="str">
        <f>IFERROR(__xludf.DUMMYFUNCTION("""COMPUTED_VALUE"""),"Pack")</f>
        <v>Pack</v>
      </c>
      <c r="H523" s="6" t="str">
        <f>IFERROR(__xludf.DUMMYFUNCTION("""COMPUTED_VALUE"""),"IDR")</f>
        <v>IDR</v>
      </c>
      <c r="I523" s="11">
        <f>IFERROR(__xludf.DUMMYFUNCTION("""COMPUTED_VALUE"""),23000.0)</f>
        <v>23000</v>
      </c>
      <c r="J523" s="11">
        <f>IFERROR(__xludf.DUMMYFUNCTION("""COMPUTED_VALUE"""),46000.0)</f>
        <v>46000</v>
      </c>
      <c r="K523" s="13">
        <f>IFERROR(__xludf.DUMMYFUNCTION("""COMPUTED_VALUE"""),43385.0)</f>
        <v>43385</v>
      </c>
      <c r="L523" s="6" t="str">
        <f>IFERROR(__xludf.DUMMYFUNCTION("""COMPUTED_VALUE"""),"FIP Engineering")</f>
        <v>FIP Engineering</v>
      </c>
      <c r="M523" s="6" t="str">
        <f>IFERROR(__xludf.DUMMYFUNCTION("""COMPUTED_VALUE"""),"Joko Nugroho")</f>
        <v>Joko Nugroho</v>
      </c>
      <c r="N523" s="6" t="str">
        <f>IFERROR(__xludf.DUMMYFUNCTION("""COMPUTED_VALUE"""),"FIP Engineering")</f>
        <v>FIP Engineering</v>
      </c>
      <c r="O523" s="6" t="str">
        <f>IFERROR(__xludf.DUMMYFUNCTION("""COMPUTED_VALUE"""),"FIP-DOM-000-11304-OS00001-INA-000000")</f>
        <v>FIP-DOM-000-11304-OS00001-INA-000000</v>
      </c>
      <c r="P523" s="6" t="str">
        <f>IFERROR(__xludf.DUMMYFUNCTION("""COMPUTED_VALUE"""),"PO Closed")</f>
        <v>PO Closed</v>
      </c>
      <c r="Q523" s="6" t="str">
        <f>IFERROR(__xludf.DUMMYFUNCTION("""COMPUTED_VALUE"""),"GL1810028")</f>
        <v>GL1810028</v>
      </c>
      <c r="R523" s="16">
        <f>IFERROR(__xludf.DUMMYFUNCTION("""COMPUTED_VALUE"""),43369.0)</f>
        <v>43369</v>
      </c>
      <c r="S523" s="6" t="str">
        <f>IFERROR(__xludf.DUMMYFUNCTION("""COMPUTED_VALUE"""),"-")</f>
        <v>-</v>
      </c>
      <c r="T523" s="17">
        <f>IFERROR(__xludf.DUMMYFUNCTION("""COMPUTED_VALUE"""),43402.0)</f>
        <v>43402</v>
      </c>
    </row>
    <row r="524">
      <c r="A524" s="6" t="str">
        <f>IFERROR(__xludf.DUMMYFUNCTION("""COMPUTED_VALUE"""),"181750356-5")</f>
        <v>181750356-5</v>
      </c>
      <c r="B524" s="6" t="str">
        <f>IFERROR(__xludf.DUMMYFUNCTION("""COMPUTED_VALUE"""),"181750356 - Approved")</f>
        <v>181750356 - Approved</v>
      </c>
      <c r="C524" s="6">
        <f>IFERROR(__xludf.DUMMYFUNCTION("""COMPUTED_VALUE"""),5.0)</f>
        <v>5</v>
      </c>
      <c r="D524" s="6" t="str">
        <f>IFERROR(__xludf.DUMMYFUNCTION("""COMPUTED_VALUE"""),"P-15852-00")</f>
        <v>P-15852-00</v>
      </c>
      <c r="E524" s="6" t="str">
        <f>IFERROR(__xludf.DUMMYFUNCTION("""COMPUTED_VALUE"""),"AMPLAS EAGLE 500")</f>
        <v>AMPLAS EAGLE 500</v>
      </c>
      <c r="F524" s="6">
        <f>IFERROR(__xludf.DUMMYFUNCTION("""COMPUTED_VALUE"""),10.0)</f>
        <v>10</v>
      </c>
      <c r="G524" s="6" t="str">
        <f>IFERROR(__xludf.DUMMYFUNCTION("""COMPUTED_VALUE"""),"Pieces")</f>
        <v>Pieces</v>
      </c>
      <c r="H524" s="6" t="str">
        <f>IFERROR(__xludf.DUMMYFUNCTION("""COMPUTED_VALUE"""),"IDR")</f>
        <v>IDR</v>
      </c>
      <c r="I524" s="11">
        <f>IFERROR(__xludf.DUMMYFUNCTION("""COMPUTED_VALUE"""),3300.0)</f>
        <v>3300</v>
      </c>
      <c r="J524" s="11">
        <f>IFERROR(__xludf.DUMMYFUNCTION("""COMPUTED_VALUE"""),33000.0)</f>
        <v>33000</v>
      </c>
      <c r="K524" s="13">
        <f>IFERROR(__xludf.DUMMYFUNCTION("""COMPUTED_VALUE"""),43385.0)</f>
        <v>43385</v>
      </c>
      <c r="L524" s="6" t="str">
        <f>IFERROR(__xludf.DUMMYFUNCTION("""COMPUTED_VALUE"""),"FIP Engineering")</f>
        <v>FIP Engineering</v>
      </c>
      <c r="M524" s="6" t="str">
        <f>IFERROR(__xludf.DUMMYFUNCTION("""COMPUTED_VALUE"""),"Joko Nugroho")</f>
        <v>Joko Nugroho</v>
      </c>
      <c r="N524" s="6" t="str">
        <f>IFERROR(__xludf.DUMMYFUNCTION("""COMPUTED_VALUE"""),"FIP Engineering")</f>
        <v>FIP Engineering</v>
      </c>
      <c r="O524" s="6" t="str">
        <f>IFERROR(__xludf.DUMMYFUNCTION("""COMPUTED_VALUE"""),"FIP-DOM-000-11304-OS00001-INA-000000")</f>
        <v>FIP-DOM-000-11304-OS00001-INA-000000</v>
      </c>
      <c r="P524" s="6" t="str">
        <f>IFERROR(__xludf.DUMMYFUNCTION("""COMPUTED_VALUE"""),"PO Closed")</f>
        <v>PO Closed</v>
      </c>
      <c r="Q524" s="6" t="str">
        <f>IFERROR(__xludf.DUMMYFUNCTION("""COMPUTED_VALUE"""),"GL1810028")</f>
        <v>GL1810028</v>
      </c>
      <c r="R524" s="16">
        <f>IFERROR(__xludf.DUMMYFUNCTION("""COMPUTED_VALUE"""),43369.0)</f>
        <v>43369</v>
      </c>
      <c r="S524" s="6" t="str">
        <f>IFERROR(__xludf.DUMMYFUNCTION("""COMPUTED_VALUE"""),"-")</f>
        <v>-</v>
      </c>
      <c r="T524" s="13">
        <f>IFERROR(__xludf.DUMMYFUNCTION("""COMPUTED_VALUE"""),43402.0)</f>
        <v>43402</v>
      </c>
    </row>
    <row r="525">
      <c r="A525" s="6" t="str">
        <f>IFERROR(__xludf.DUMMYFUNCTION("""COMPUTED_VALUE"""),"181750356-6")</f>
        <v>181750356-6</v>
      </c>
      <c r="B525" s="6" t="str">
        <f>IFERROR(__xludf.DUMMYFUNCTION("""COMPUTED_VALUE"""),"181750356 - Approved")</f>
        <v>181750356 - Approved</v>
      </c>
      <c r="C525" s="6">
        <f>IFERROR(__xludf.DUMMYFUNCTION("""COMPUTED_VALUE"""),6.0)</f>
        <v>6</v>
      </c>
      <c r="D525" s="6" t="str">
        <f>IFERROR(__xludf.DUMMYFUNCTION("""COMPUTED_VALUE"""),"S-40812-00")</f>
        <v>S-40812-00</v>
      </c>
      <c r="E525" s="6" t="str">
        <f>IFERROR(__xludf.DUMMYFUNCTION("""COMPUTED_VALUE"""),"Kabel VGA 1 Male to 2 Female; ; ;")</f>
        <v>Kabel VGA 1 Male to 2 Female; ; ;</v>
      </c>
      <c r="F525" s="6">
        <f>IFERROR(__xludf.DUMMYFUNCTION("""COMPUTED_VALUE"""),4.0)</f>
        <v>4</v>
      </c>
      <c r="G525" s="6" t="str">
        <f>IFERROR(__xludf.DUMMYFUNCTION("""COMPUTED_VALUE"""),"Pieces")</f>
        <v>Pieces</v>
      </c>
      <c r="H525" s="6" t="str">
        <f>IFERROR(__xludf.DUMMYFUNCTION("""COMPUTED_VALUE"""),"IDR")</f>
        <v>IDR</v>
      </c>
      <c r="I525" s="11">
        <f>IFERROR(__xludf.DUMMYFUNCTION("""COMPUTED_VALUE"""),65000.0)</f>
        <v>65000</v>
      </c>
      <c r="J525" s="11">
        <f>IFERROR(__xludf.DUMMYFUNCTION("""COMPUTED_VALUE"""),260000.0)</f>
        <v>260000</v>
      </c>
      <c r="K525" s="13">
        <f>IFERROR(__xludf.DUMMYFUNCTION("""COMPUTED_VALUE"""),43385.0)</f>
        <v>43385</v>
      </c>
      <c r="L525" s="6" t="str">
        <f>IFERROR(__xludf.DUMMYFUNCTION("""COMPUTED_VALUE"""),"FIP General")</f>
        <v>FIP General</v>
      </c>
      <c r="M525" s="6" t="str">
        <f>IFERROR(__xludf.DUMMYFUNCTION("""COMPUTED_VALUE"""),"Joko Nugroho")</f>
        <v>Joko Nugroho</v>
      </c>
      <c r="N525" s="6" t="str">
        <f>IFERROR(__xludf.DUMMYFUNCTION("""COMPUTED_VALUE"""),"FIP Engineering")</f>
        <v>FIP Engineering</v>
      </c>
      <c r="O525" s="6" t="str">
        <f>IFERROR(__xludf.DUMMYFUNCTION("""COMPUTED_VALUE"""),"FIP-DOM-ENG-51404-0000000-INA-000000")</f>
        <v>FIP-DOM-ENG-51404-0000000-INA-000000</v>
      </c>
      <c r="P525" s="6" t="str">
        <f>IFERROR(__xludf.DUMMYFUNCTION("""COMPUTED_VALUE"""),"PO Closed")</f>
        <v>PO Closed</v>
      </c>
      <c r="Q525" s="6" t="str">
        <f>IFERROR(__xludf.DUMMYFUNCTION("""COMPUTED_VALUE"""),"GL1810039")</f>
        <v>GL1810039</v>
      </c>
      <c r="R525" s="16">
        <f>IFERROR(__xludf.DUMMYFUNCTION("""COMPUTED_VALUE"""),43369.0)</f>
        <v>43369</v>
      </c>
      <c r="S525" s="6" t="str">
        <f>IFERROR(__xludf.DUMMYFUNCTION("""COMPUTED_VALUE"""),"-")</f>
        <v>-</v>
      </c>
      <c r="T525" s="17">
        <f>IFERROR(__xludf.DUMMYFUNCTION("""COMPUTED_VALUE"""),43397.0)</f>
        <v>43397</v>
      </c>
    </row>
    <row r="526">
      <c r="A526" s="6" t="str">
        <f>IFERROR(__xludf.DUMMYFUNCTION("""COMPUTED_VALUE"""),"181750356-7")</f>
        <v>181750356-7</v>
      </c>
      <c r="B526" s="6" t="str">
        <f>IFERROR(__xludf.DUMMYFUNCTION("""COMPUTED_VALUE"""),"181750356 - Approved")</f>
        <v>181750356 - Approved</v>
      </c>
      <c r="C526" s="6">
        <f>IFERROR(__xludf.DUMMYFUNCTION("""COMPUTED_VALUE"""),7.0)</f>
        <v>7</v>
      </c>
      <c r="D526" s="6" t="str">
        <f>IFERROR(__xludf.DUMMYFUNCTION("""COMPUTED_VALUE"""),"O-54014-00")</f>
        <v>O-54014-00</v>
      </c>
      <c r="E526" s="6" t="str">
        <f>IFERROR(__xludf.DUMMYFUNCTION("""COMPUTED_VALUE"""),"STEKER 1 PHASE, BROCO")</f>
        <v>STEKER 1 PHASE, BROCO</v>
      </c>
      <c r="F526" s="6">
        <f>IFERROR(__xludf.DUMMYFUNCTION("""COMPUTED_VALUE"""),5.0)</f>
        <v>5</v>
      </c>
      <c r="G526" s="6" t="str">
        <f>IFERROR(__xludf.DUMMYFUNCTION("""COMPUTED_VALUE"""),"Pieces")</f>
        <v>Pieces</v>
      </c>
      <c r="H526" s="6" t="str">
        <f>IFERROR(__xludf.DUMMYFUNCTION("""COMPUTED_VALUE"""),"IDR")</f>
        <v>IDR</v>
      </c>
      <c r="I526" s="11">
        <f>IFERROR(__xludf.DUMMYFUNCTION("""COMPUTED_VALUE"""),9000.0)</f>
        <v>9000</v>
      </c>
      <c r="J526" s="11">
        <f>IFERROR(__xludf.DUMMYFUNCTION("""COMPUTED_VALUE"""),45000.0)</f>
        <v>45000</v>
      </c>
      <c r="K526" s="13">
        <f>IFERROR(__xludf.DUMMYFUNCTION("""COMPUTED_VALUE"""),43385.0)</f>
        <v>43385</v>
      </c>
      <c r="L526" s="6" t="str">
        <f>IFERROR(__xludf.DUMMYFUNCTION("""COMPUTED_VALUE"""),"FIP Engineering")</f>
        <v>FIP Engineering</v>
      </c>
      <c r="M526" s="6" t="str">
        <f>IFERROR(__xludf.DUMMYFUNCTION("""COMPUTED_VALUE"""),"Joko Nugroho")</f>
        <v>Joko Nugroho</v>
      </c>
      <c r="N526" s="6" t="str">
        <f>IFERROR(__xludf.DUMMYFUNCTION("""COMPUTED_VALUE"""),"FIP Engineering")</f>
        <v>FIP Engineering</v>
      </c>
      <c r="O526" s="6" t="str">
        <f>IFERROR(__xludf.DUMMYFUNCTION("""COMPUTED_VALUE"""),"FIP-DOM-000-11304-OS00001-INA-000000")</f>
        <v>FIP-DOM-000-11304-OS00001-INA-000000</v>
      </c>
      <c r="P526" s="6" t="str">
        <f>IFERROR(__xludf.DUMMYFUNCTION("""COMPUTED_VALUE"""),"PO Closed")</f>
        <v>PO Closed</v>
      </c>
      <c r="Q526" s="6" t="str">
        <f>IFERROR(__xludf.DUMMYFUNCTION("""COMPUTED_VALUE"""),"GL1810028")</f>
        <v>GL1810028</v>
      </c>
      <c r="R526" s="16">
        <f>IFERROR(__xludf.DUMMYFUNCTION("""COMPUTED_VALUE"""),43369.0)</f>
        <v>43369</v>
      </c>
      <c r="S526" s="6" t="str">
        <f>IFERROR(__xludf.DUMMYFUNCTION("""COMPUTED_VALUE"""),"-")</f>
        <v>-</v>
      </c>
      <c r="T526" s="17">
        <f>IFERROR(__xludf.DUMMYFUNCTION("""COMPUTED_VALUE"""),43402.0)</f>
        <v>43402</v>
      </c>
    </row>
    <row r="527">
      <c r="A527" s="6" t="str">
        <f>IFERROR(__xludf.DUMMYFUNCTION("""COMPUTED_VALUE"""),"181750356-8")</f>
        <v>181750356-8</v>
      </c>
      <c r="B527" s="6" t="str">
        <f>IFERROR(__xludf.DUMMYFUNCTION("""COMPUTED_VALUE"""),"181750356 - Approved")</f>
        <v>181750356 - Approved</v>
      </c>
      <c r="C527" s="6">
        <f>IFERROR(__xludf.DUMMYFUNCTION("""COMPUTED_VALUE"""),8.0)</f>
        <v>8</v>
      </c>
      <c r="D527" s="6" t="str">
        <f>IFERROR(__xludf.DUMMYFUNCTION("""COMPUTED_VALUE"""),"O-54015-00")</f>
        <v>O-54015-00</v>
      </c>
      <c r="E527" s="6" t="str">
        <f>IFERROR(__xludf.DUMMYFUNCTION("""COMPUTED_VALUE"""),"STOP KONTAK LUBANG 4, BROCO")</f>
        <v>STOP KONTAK LUBANG 4, BROCO</v>
      </c>
      <c r="F527" s="6">
        <f>IFERROR(__xludf.DUMMYFUNCTION("""COMPUTED_VALUE"""),5.0)</f>
        <v>5</v>
      </c>
      <c r="G527" s="6" t="str">
        <f>IFERROR(__xludf.DUMMYFUNCTION("""COMPUTED_VALUE"""),"Unit")</f>
        <v>Unit</v>
      </c>
      <c r="H527" s="6" t="str">
        <f>IFERROR(__xludf.DUMMYFUNCTION("""COMPUTED_VALUE"""),"IDR")</f>
        <v>IDR</v>
      </c>
      <c r="I527" s="11">
        <f>IFERROR(__xludf.DUMMYFUNCTION("""COMPUTED_VALUE"""),49000.0)</f>
        <v>49000</v>
      </c>
      <c r="J527" s="11">
        <f>IFERROR(__xludf.DUMMYFUNCTION("""COMPUTED_VALUE"""),245000.0)</f>
        <v>245000</v>
      </c>
      <c r="K527" s="13">
        <f>IFERROR(__xludf.DUMMYFUNCTION("""COMPUTED_VALUE"""),43385.0)</f>
        <v>43385</v>
      </c>
      <c r="L527" s="6" t="str">
        <f>IFERROR(__xludf.DUMMYFUNCTION("""COMPUTED_VALUE"""),"FIP Engineering")</f>
        <v>FIP Engineering</v>
      </c>
      <c r="M527" s="6" t="str">
        <f>IFERROR(__xludf.DUMMYFUNCTION("""COMPUTED_VALUE"""),"Joko Nugroho")</f>
        <v>Joko Nugroho</v>
      </c>
      <c r="N527" s="6" t="str">
        <f>IFERROR(__xludf.DUMMYFUNCTION("""COMPUTED_VALUE"""),"FIP Engineering")</f>
        <v>FIP Engineering</v>
      </c>
      <c r="O527" s="6" t="str">
        <f>IFERROR(__xludf.DUMMYFUNCTION("""COMPUTED_VALUE"""),"FIP-DOM-000-11304-OS00001-INA-000000")</f>
        <v>FIP-DOM-000-11304-OS00001-INA-000000</v>
      </c>
      <c r="P527" s="6" t="str">
        <f>IFERROR(__xludf.DUMMYFUNCTION("""COMPUTED_VALUE"""),"PO Closed")</f>
        <v>PO Closed</v>
      </c>
      <c r="Q527" s="6" t="str">
        <f>IFERROR(__xludf.DUMMYFUNCTION("""COMPUTED_VALUE"""),"GL1810028")</f>
        <v>GL1810028</v>
      </c>
      <c r="R527" s="17">
        <f>IFERROR(__xludf.DUMMYFUNCTION("""COMPUTED_VALUE"""),43369.0)</f>
        <v>43369</v>
      </c>
      <c r="S527" s="6" t="str">
        <f>IFERROR(__xludf.DUMMYFUNCTION("""COMPUTED_VALUE"""),"-")</f>
        <v>-</v>
      </c>
      <c r="T527" s="17">
        <f>IFERROR(__xludf.DUMMYFUNCTION("""COMPUTED_VALUE"""),43402.0)</f>
        <v>43402</v>
      </c>
    </row>
    <row r="528">
      <c r="A528" s="6" t="str">
        <f>IFERROR(__xludf.DUMMYFUNCTION("""COMPUTED_VALUE"""),"181750356-9")</f>
        <v>181750356-9</v>
      </c>
      <c r="B528" s="6" t="str">
        <f>IFERROR(__xludf.DUMMYFUNCTION("""COMPUTED_VALUE"""),"181750356 - Approved")</f>
        <v>181750356 - Approved</v>
      </c>
      <c r="C528" s="6">
        <f>IFERROR(__xludf.DUMMYFUNCTION("""COMPUTED_VALUE"""),9.0)</f>
        <v>9</v>
      </c>
      <c r="D528" s="6" t="str">
        <f>IFERROR(__xludf.DUMMYFUNCTION("""COMPUTED_VALUE"""),"Q-10249-00")</f>
        <v>Q-10249-00</v>
      </c>
      <c r="E528" s="6" t="str">
        <f>IFERROR(__xludf.DUMMYFUNCTION("""COMPUTED_VALUE"""),"Lem Power Glue; ; ;")</f>
        <v>Lem Power Glue; ; ;</v>
      </c>
      <c r="F528" s="6">
        <f>IFERROR(__xludf.DUMMYFUNCTION("""COMPUTED_VALUE"""),5.0)</f>
        <v>5</v>
      </c>
      <c r="G528" s="6" t="str">
        <f>IFERROR(__xludf.DUMMYFUNCTION("""COMPUTED_VALUE"""),"Pieces")</f>
        <v>Pieces</v>
      </c>
      <c r="H528" s="6" t="str">
        <f>IFERROR(__xludf.DUMMYFUNCTION("""COMPUTED_VALUE"""),"IDR")</f>
        <v>IDR</v>
      </c>
      <c r="I528" s="11">
        <f>IFERROR(__xludf.DUMMYFUNCTION("""COMPUTED_VALUE"""),4050.0)</f>
        <v>4050</v>
      </c>
      <c r="J528" s="11">
        <f>IFERROR(__xludf.DUMMYFUNCTION("""COMPUTED_VALUE"""),20250.0)</f>
        <v>20250</v>
      </c>
      <c r="K528" s="13">
        <f>IFERROR(__xludf.DUMMYFUNCTION("""COMPUTED_VALUE"""),43385.0)</f>
        <v>43385</v>
      </c>
      <c r="L528" s="6" t="str">
        <f>IFERROR(__xludf.DUMMYFUNCTION("""COMPUTED_VALUE"""),"FIP Engineering")</f>
        <v>FIP Engineering</v>
      </c>
      <c r="M528" s="6" t="str">
        <f>IFERROR(__xludf.DUMMYFUNCTION("""COMPUTED_VALUE"""),"Joko Nugroho")</f>
        <v>Joko Nugroho</v>
      </c>
      <c r="N528" s="6" t="str">
        <f>IFERROR(__xludf.DUMMYFUNCTION("""COMPUTED_VALUE"""),"FIP Engineering")</f>
        <v>FIP Engineering</v>
      </c>
      <c r="O528" s="6" t="str">
        <f>IFERROR(__xludf.DUMMYFUNCTION("""COMPUTED_VALUE"""),"FIP-DOM-000-11304-OS00001-INA-000000")</f>
        <v>FIP-DOM-000-11304-OS00001-INA-000000</v>
      </c>
      <c r="P528" s="6" t="str">
        <f>IFERROR(__xludf.DUMMYFUNCTION("""COMPUTED_VALUE"""),"PO Closed")</f>
        <v>PO Closed</v>
      </c>
      <c r="Q528" s="6" t="str">
        <f>IFERROR(__xludf.DUMMYFUNCTION("""COMPUTED_VALUE"""),"GL1810028")</f>
        <v>GL1810028</v>
      </c>
      <c r="R528" s="16">
        <f>IFERROR(__xludf.DUMMYFUNCTION("""COMPUTED_VALUE"""),43369.0)</f>
        <v>43369</v>
      </c>
      <c r="S528" s="6" t="str">
        <f>IFERROR(__xludf.DUMMYFUNCTION("""COMPUTED_VALUE"""),"-")</f>
        <v>-</v>
      </c>
      <c r="T528" s="13">
        <f>IFERROR(__xludf.DUMMYFUNCTION("""COMPUTED_VALUE"""),43402.0)</f>
        <v>43402</v>
      </c>
    </row>
    <row r="529">
      <c r="A529" s="6" t="str">
        <f>IFERROR(__xludf.DUMMYFUNCTION("""COMPUTED_VALUE"""),"181750356-10")</f>
        <v>181750356-10</v>
      </c>
      <c r="B529" s="6" t="str">
        <f>IFERROR(__xludf.DUMMYFUNCTION("""COMPUTED_VALUE"""),"181750356 - Approved")</f>
        <v>181750356 - Approved</v>
      </c>
      <c r="C529" s="6">
        <f>IFERROR(__xludf.DUMMYFUNCTION("""COMPUTED_VALUE"""),10.0)</f>
        <v>10</v>
      </c>
      <c r="D529" s="6" t="str">
        <f>IFERROR(__xludf.DUMMYFUNCTION("""COMPUTED_VALUE"""),"P-53213-00")</f>
        <v>P-53213-00</v>
      </c>
      <c r="E529" s="6" t="str">
        <f>IFERROR(__xludf.DUMMYFUNCTION("""COMPUTED_VALUE"""),"Lem Pipa PVC; ; ;")</f>
        <v>Lem Pipa PVC; ; ;</v>
      </c>
      <c r="F529" s="6">
        <f>IFERROR(__xludf.DUMMYFUNCTION("""COMPUTED_VALUE"""),1.0)</f>
        <v>1</v>
      </c>
      <c r="G529" s="6" t="str">
        <f>IFERROR(__xludf.DUMMYFUNCTION("""COMPUTED_VALUE"""),"Pieces")</f>
        <v>Pieces</v>
      </c>
      <c r="H529" s="6" t="str">
        <f>IFERROR(__xludf.DUMMYFUNCTION("""COMPUTED_VALUE"""),"IDR")</f>
        <v>IDR</v>
      </c>
      <c r="I529" s="11">
        <f>IFERROR(__xludf.DUMMYFUNCTION("""COMPUTED_VALUE"""),45000.0)</f>
        <v>45000</v>
      </c>
      <c r="J529" s="11">
        <f>IFERROR(__xludf.DUMMYFUNCTION("""COMPUTED_VALUE"""),45000.0)</f>
        <v>45000</v>
      </c>
      <c r="K529" s="13">
        <f>IFERROR(__xludf.DUMMYFUNCTION("""COMPUTED_VALUE"""),43385.0)</f>
        <v>43385</v>
      </c>
      <c r="L529" s="6" t="str">
        <f>IFERROR(__xludf.DUMMYFUNCTION("""COMPUTED_VALUE"""),"FIP Engineering")</f>
        <v>FIP Engineering</v>
      </c>
      <c r="M529" s="6" t="str">
        <f>IFERROR(__xludf.DUMMYFUNCTION("""COMPUTED_VALUE"""),"Joko Nugroho")</f>
        <v>Joko Nugroho</v>
      </c>
      <c r="N529" s="6" t="str">
        <f>IFERROR(__xludf.DUMMYFUNCTION("""COMPUTED_VALUE"""),"FIP Engineering")</f>
        <v>FIP Engineering</v>
      </c>
      <c r="O529" s="6" t="str">
        <f>IFERROR(__xludf.DUMMYFUNCTION("""COMPUTED_VALUE"""),"FIP-DOM-000-11304-OS00001-INA-000000")</f>
        <v>FIP-DOM-000-11304-OS00001-INA-000000</v>
      </c>
      <c r="P529" s="6" t="str">
        <f>IFERROR(__xludf.DUMMYFUNCTION("""COMPUTED_VALUE"""),"PO Closed")</f>
        <v>PO Closed</v>
      </c>
      <c r="Q529" s="6" t="str">
        <f>IFERROR(__xludf.DUMMYFUNCTION("""COMPUTED_VALUE"""),"GL1810028")</f>
        <v>GL1810028</v>
      </c>
      <c r="R529" s="17">
        <f>IFERROR(__xludf.DUMMYFUNCTION("""COMPUTED_VALUE"""),43369.0)</f>
        <v>43369</v>
      </c>
      <c r="S529" s="6" t="str">
        <f>IFERROR(__xludf.DUMMYFUNCTION("""COMPUTED_VALUE"""),"-")</f>
        <v>-</v>
      </c>
      <c r="T529" s="17">
        <f>IFERROR(__xludf.DUMMYFUNCTION("""COMPUTED_VALUE"""),43402.0)</f>
        <v>43402</v>
      </c>
    </row>
    <row r="530">
      <c r="A530" s="6" t="str">
        <f>IFERROR(__xludf.DUMMYFUNCTION("""COMPUTED_VALUE"""),"181750355-1")</f>
        <v>181750355-1</v>
      </c>
      <c r="B530" s="6" t="str">
        <f>IFERROR(__xludf.DUMMYFUNCTION("""COMPUTED_VALUE"""),"181750355 - Approved")</f>
        <v>181750355 - Approved</v>
      </c>
      <c r="C530" s="6">
        <f>IFERROR(__xludf.DUMMYFUNCTION("""COMPUTED_VALUE"""),1.0)</f>
        <v>1</v>
      </c>
      <c r="D530" s="6" t="str">
        <f>IFERROR(__xludf.DUMMYFUNCTION("""COMPUTED_VALUE"""),"Q-10530-00")</f>
        <v>Q-10530-00</v>
      </c>
      <c r="E530" s="6" t="str">
        <f>IFERROR(__xludf.DUMMYFUNCTION("""COMPUTED_VALUE"""),"Stainless Steel Label; ; ;")</f>
        <v>Stainless Steel Label; ; ;</v>
      </c>
      <c r="F530" s="6">
        <f>IFERROR(__xludf.DUMMYFUNCTION("""COMPUTED_VALUE"""),25.0)</f>
        <v>25</v>
      </c>
      <c r="G530" s="6" t="str">
        <f>IFERROR(__xludf.DUMMYFUNCTION("""COMPUTED_VALUE"""),"Pieces")</f>
        <v>Pieces</v>
      </c>
      <c r="H530" s="6" t="str">
        <f>IFERROR(__xludf.DUMMYFUNCTION("""COMPUTED_VALUE"""),"IDR")</f>
        <v>IDR</v>
      </c>
      <c r="I530" s="11">
        <f>IFERROR(__xludf.DUMMYFUNCTION("""COMPUTED_VALUE"""),10000.0)</f>
        <v>10000</v>
      </c>
      <c r="J530" s="11">
        <f>IFERROR(__xludf.DUMMYFUNCTION("""COMPUTED_VALUE"""),250000.0)</f>
        <v>250000</v>
      </c>
      <c r="K530" s="13">
        <f>IFERROR(__xludf.DUMMYFUNCTION("""COMPUTED_VALUE"""),43385.0)</f>
        <v>43385</v>
      </c>
      <c r="L530" s="6" t="str">
        <f>IFERROR(__xludf.DUMMYFUNCTION("""COMPUTED_VALUE"""),"FIP General")</f>
        <v>FIP General</v>
      </c>
      <c r="M530" s="6" t="str">
        <f>IFERROR(__xludf.DUMMYFUNCTION("""COMPUTED_VALUE"""),"Joko Nugroho")</f>
        <v>Joko Nugroho</v>
      </c>
      <c r="N530" s="6" t="str">
        <f>IFERROR(__xludf.DUMMYFUNCTION("""COMPUTED_VALUE"""),"FIP Engineering")</f>
        <v>FIP Engineering</v>
      </c>
      <c r="O530" s="6" t="str">
        <f>IFERROR(__xludf.DUMMYFUNCTION("""COMPUTED_VALUE"""),"FIP-DOM-ENG-51502-0000000-INA-000000")</f>
        <v>FIP-DOM-ENG-51502-0000000-INA-000000</v>
      </c>
      <c r="P530" s="6" t="str">
        <f>IFERROR(__xludf.DUMMYFUNCTION("""COMPUTED_VALUE"""),"PO Closed")</f>
        <v>PO Closed</v>
      </c>
      <c r="Q530" s="6" t="str">
        <f>IFERROR(__xludf.DUMMYFUNCTION("""COMPUTED_VALUE"""),"GL1810027")</f>
        <v>GL1810027</v>
      </c>
      <c r="R530" s="16">
        <f>IFERROR(__xludf.DUMMYFUNCTION("""COMPUTED_VALUE"""),43369.0)</f>
        <v>43369</v>
      </c>
      <c r="S530" s="6" t="str">
        <f>IFERROR(__xludf.DUMMYFUNCTION("""COMPUTED_VALUE"""),"-")</f>
        <v>-</v>
      </c>
      <c r="T530" s="13">
        <f>IFERROR(__xludf.DUMMYFUNCTION("""COMPUTED_VALUE"""),43392.0)</f>
        <v>43392</v>
      </c>
    </row>
    <row r="531">
      <c r="A531" s="6" t="str">
        <f>IFERROR(__xludf.DUMMYFUNCTION("""COMPUTED_VALUE"""),"181750355-2")</f>
        <v>181750355-2</v>
      </c>
      <c r="B531" s="6" t="str">
        <f>IFERROR(__xludf.DUMMYFUNCTION("""COMPUTED_VALUE"""),"181750355 - Approved")</f>
        <v>181750355 - Approved</v>
      </c>
      <c r="C531" s="6">
        <f>IFERROR(__xludf.DUMMYFUNCTION("""COMPUTED_VALUE"""),2.0)</f>
        <v>2</v>
      </c>
      <c r="D531" s="6" t="str">
        <f>IFERROR(__xludf.DUMMYFUNCTION("""COMPUTED_VALUE"""),"Q-10530-00")</f>
        <v>Q-10530-00</v>
      </c>
      <c r="E531" s="6" t="str">
        <f>IFERROR(__xludf.DUMMYFUNCTION("""COMPUTED_VALUE"""),"Stainless Steel Label; ; ;")</f>
        <v>Stainless Steel Label; ; ;</v>
      </c>
      <c r="F531" s="6">
        <f>IFERROR(__xludf.DUMMYFUNCTION("""COMPUTED_VALUE"""),100.0)</f>
        <v>100</v>
      </c>
      <c r="G531" s="6" t="str">
        <f>IFERROR(__xludf.DUMMYFUNCTION("""COMPUTED_VALUE"""),"Pieces")</f>
        <v>Pieces</v>
      </c>
      <c r="H531" s="6" t="str">
        <f>IFERROR(__xludf.DUMMYFUNCTION("""COMPUTED_VALUE"""),"IDR")</f>
        <v>IDR</v>
      </c>
      <c r="I531" s="11">
        <f>IFERROR(__xludf.DUMMYFUNCTION("""COMPUTED_VALUE"""),6000.0)</f>
        <v>6000</v>
      </c>
      <c r="J531" s="11">
        <f>IFERROR(__xludf.DUMMYFUNCTION("""COMPUTED_VALUE"""),600000.0)</f>
        <v>600000</v>
      </c>
      <c r="K531" s="13">
        <f>IFERROR(__xludf.DUMMYFUNCTION("""COMPUTED_VALUE"""),43385.0)</f>
        <v>43385</v>
      </c>
      <c r="L531" s="6" t="str">
        <f>IFERROR(__xludf.DUMMYFUNCTION("""COMPUTED_VALUE"""),"FIP General")</f>
        <v>FIP General</v>
      </c>
      <c r="M531" s="6" t="str">
        <f>IFERROR(__xludf.DUMMYFUNCTION("""COMPUTED_VALUE"""),"Joko Nugroho")</f>
        <v>Joko Nugroho</v>
      </c>
      <c r="N531" s="6" t="str">
        <f>IFERROR(__xludf.DUMMYFUNCTION("""COMPUTED_VALUE"""),"FIP Engineering")</f>
        <v>FIP Engineering</v>
      </c>
      <c r="O531" s="6" t="str">
        <f>IFERROR(__xludf.DUMMYFUNCTION("""COMPUTED_VALUE"""),"FIP-DOM-ENG-51502-0000000-INA-000000")</f>
        <v>FIP-DOM-ENG-51502-0000000-INA-000000</v>
      </c>
      <c r="P531" s="6" t="str">
        <f>IFERROR(__xludf.DUMMYFUNCTION("""COMPUTED_VALUE"""),"PO Closed")</f>
        <v>PO Closed</v>
      </c>
      <c r="Q531" s="6" t="str">
        <f>IFERROR(__xludf.DUMMYFUNCTION("""COMPUTED_VALUE"""),"GL1810027")</f>
        <v>GL1810027</v>
      </c>
      <c r="R531" s="16">
        <f>IFERROR(__xludf.DUMMYFUNCTION("""COMPUTED_VALUE"""),43369.0)</f>
        <v>43369</v>
      </c>
      <c r="S531" s="6" t="str">
        <f>IFERROR(__xludf.DUMMYFUNCTION("""COMPUTED_VALUE"""),"-")</f>
        <v>-</v>
      </c>
      <c r="T531" s="17">
        <f>IFERROR(__xludf.DUMMYFUNCTION("""COMPUTED_VALUE"""),43392.0)</f>
        <v>43392</v>
      </c>
    </row>
    <row r="532">
      <c r="A532" s="6" t="str">
        <f>IFERROR(__xludf.DUMMYFUNCTION("""COMPUTED_VALUE"""),"181750355-3")</f>
        <v>181750355-3</v>
      </c>
      <c r="B532" s="6" t="str">
        <f>IFERROR(__xludf.DUMMYFUNCTION("""COMPUTED_VALUE"""),"181750355 - Approved")</f>
        <v>181750355 - Approved</v>
      </c>
      <c r="C532" s="6">
        <f>IFERROR(__xludf.DUMMYFUNCTION("""COMPUTED_VALUE"""),3.0)</f>
        <v>3</v>
      </c>
      <c r="D532" s="6" t="str">
        <f>IFERROR(__xludf.DUMMYFUNCTION("""COMPUTED_VALUE"""),"Q-10530-00")</f>
        <v>Q-10530-00</v>
      </c>
      <c r="E532" s="6" t="str">
        <f>IFERROR(__xludf.DUMMYFUNCTION("""COMPUTED_VALUE"""),"Stainless Steel Label; ; ;")</f>
        <v>Stainless Steel Label; ; ;</v>
      </c>
      <c r="F532" s="6">
        <f>IFERROR(__xludf.DUMMYFUNCTION("""COMPUTED_VALUE"""),1.0)</f>
        <v>1</v>
      </c>
      <c r="G532" s="6" t="str">
        <f>IFERROR(__xludf.DUMMYFUNCTION("""COMPUTED_VALUE"""),"Pieces")</f>
        <v>Pieces</v>
      </c>
      <c r="H532" s="6" t="str">
        <f>IFERROR(__xludf.DUMMYFUNCTION("""COMPUTED_VALUE"""),"IDR")</f>
        <v>IDR</v>
      </c>
      <c r="I532" s="11">
        <f>IFERROR(__xludf.DUMMYFUNCTION("""COMPUTED_VALUE"""),57000.0)</f>
        <v>57000</v>
      </c>
      <c r="J532" s="11">
        <f>IFERROR(__xludf.DUMMYFUNCTION("""COMPUTED_VALUE"""),57000.0)</f>
        <v>57000</v>
      </c>
      <c r="K532" s="13">
        <f>IFERROR(__xludf.DUMMYFUNCTION("""COMPUTED_VALUE"""),43385.0)</f>
        <v>43385</v>
      </c>
      <c r="L532" s="6" t="str">
        <f>IFERROR(__xludf.DUMMYFUNCTION("""COMPUTED_VALUE"""),"FIP General")</f>
        <v>FIP General</v>
      </c>
      <c r="M532" s="6" t="str">
        <f>IFERROR(__xludf.DUMMYFUNCTION("""COMPUTED_VALUE"""),"Joko Nugroho")</f>
        <v>Joko Nugroho</v>
      </c>
      <c r="N532" s="6" t="str">
        <f>IFERROR(__xludf.DUMMYFUNCTION("""COMPUTED_VALUE"""),"FIP Engineering")</f>
        <v>FIP Engineering</v>
      </c>
      <c r="O532" s="6" t="str">
        <f>IFERROR(__xludf.DUMMYFUNCTION("""COMPUTED_VALUE"""),"FIP-DOM-ENG-51502-0000000-INA-000000")</f>
        <v>FIP-DOM-ENG-51502-0000000-INA-000000</v>
      </c>
      <c r="P532" s="6" t="str">
        <f>IFERROR(__xludf.DUMMYFUNCTION("""COMPUTED_VALUE"""),"PO Closed")</f>
        <v>PO Closed</v>
      </c>
      <c r="Q532" s="6" t="str">
        <f>IFERROR(__xludf.DUMMYFUNCTION("""COMPUTED_VALUE"""),"GL1810027")</f>
        <v>GL1810027</v>
      </c>
      <c r="R532" s="17">
        <f>IFERROR(__xludf.DUMMYFUNCTION("""COMPUTED_VALUE"""),43369.0)</f>
        <v>43369</v>
      </c>
      <c r="S532" s="6" t="str">
        <f>IFERROR(__xludf.DUMMYFUNCTION("""COMPUTED_VALUE"""),"-")</f>
        <v>-</v>
      </c>
      <c r="T532" s="13">
        <f>IFERROR(__xludf.DUMMYFUNCTION("""COMPUTED_VALUE"""),43392.0)</f>
        <v>43392</v>
      </c>
    </row>
    <row r="533">
      <c r="A533" s="6" t="str">
        <f>IFERROR(__xludf.DUMMYFUNCTION("""COMPUTED_VALUE"""),"181750355-4")</f>
        <v>181750355-4</v>
      </c>
      <c r="B533" s="6" t="str">
        <f>IFERROR(__xludf.DUMMYFUNCTION("""COMPUTED_VALUE"""),"181750355 - Approved")</f>
        <v>181750355 - Approved</v>
      </c>
      <c r="C533" s="6">
        <f>IFERROR(__xludf.DUMMYFUNCTION("""COMPUTED_VALUE"""),4.0)</f>
        <v>4</v>
      </c>
      <c r="D533" s="6" t="str">
        <f>IFERROR(__xludf.DUMMYFUNCTION("""COMPUTED_VALUE"""),"Q-10530-00")</f>
        <v>Q-10530-00</v>
      </c>
      <c r="E533" s="6" t="str">
        <f>IFERROR(__xludf.DUMMYFUNCTION("""COMPUTED_VALUE"""),"Stainless Steel Label; ; ;")</f>
        <v>Stainless Steel Label; ; ;</v>
      </c>
      <c r="F533" s="6">
        <f>IFERROR(__xludf.DUMMYFUNCTION("""COMPUTED_VALUE"""),1.0)</f>
        <v>1</v>
      </c>
      <c r="G533" s="6" t="str">
        <f>IFERROR(__xludf.DUMMYFUNCTION("""COMPUTED_VALUE"""),"Pieces")</f>
        <v>Pieces</v>
      </c>
      <c r="H533" s="6" t="str">
        <f>IFERROR(__xludf.DUMMYFUNCTION("""COMPUTED_VALUE"""),"IDR")</f>
        <v>IDR</v>
      </c>
      <c r="I533" s="11">
        <f>IFERROR(__xludf.DUMMYFUNCTION("""COMPUTED_VALUE"""),57000.0)</f>
        <v>57000</v>
      </c>
      <c r="J533" s="11">
        <f>IFERROR(__xludf.DUMMYFUNCTION("""COMPUTED_VALUE"""),57000.0)</f>
        <v>57000</v>
      </c>
      <c r="K533" s="13">
        <f>IFERROR(__xludf.DUMMYFUNCTION("""COMPUTED_VALUE"""),43385.0)</f>
        <v>43385</v>
      </c>
      <c r="L533" s="6" t="str">
        <f>IFERROR(__xludf.DUMMYFUNCTION("""COMPUTED_VALUE"""),"FIP General")</f>
        <v>FIP General</v>
      </c>
      <c r="M533" s="6" t="str">
        <f>IFERROR(__xludf.DUMMYFUNCTION("""COMPUTED_VALUE"""),"Joko Nugroho")</f>
        <v>Joko Nugroho</v>
      </c>
      <c r="N533" s="6" t="str">
        <f>IFERROR(__xludf.DUMMYFUNCTION("""COMPUTED_VALUE"""),"FIP Engineering")</f>
        <v>FIP Engineering</v>
      </c>
      <c r="O533" s="6" t="str">
        <f>IFERROR(__xludf.DUMMYFUNCTION("""COMPUTED_VALUE"""),"FIP-DOM-ENG-51502-0000000-INA-000000")</f>
        <v>FIP-DOM-ENG-51502-0000000-INA-000000</v>
      </c>
      <c r="P533" s="6" t="str">
        <f>IFERROR(__xludf.DUMMYFUNCTION("""COMPUTED_VALUE"""),"PO Closed")</f>
        <v>PO Closed</v>
      </c>
      <c r="Q533" s="6" t="str">
        <f>IFERROR(__xludf.DUMMYFUNCTION("""COMPUTED_VALUE"""),"GL1810027")</f>
        <v>GL1810027</v>
      </c>
      <c r="R533" s="16">
        <f>IFERROR(__xludf.DUMMYFUNCTION("""COMPUTED_VALUE"""),43369.0)</f>
        <v>43369</v>
      </c>
      <c r="S533" s="6" t="str">
        <f>IFERROR(__xludf.DUMMYFUNCTION("""COMPUTED_VALUE"""),"-")</f>
        <v>-</v>
      </c>
      <c r="T533" s="13">
        <f>IFERROR(__xludf.DUMMYFUNCTION("""COMPUTED_VALUE"""),43392.0)</f>
        <v>43392</v>
      </c>
    </row>
    <row r="534">
      <c r="A534" s="6" t="str">
        <f>IFERROR(__xludf.DUMMYFUNCTION("""COMPUTED_VALUE"""),"181750355-5")</f>
        <v>181750355-5</v>
      </c>
      <c r="B534" s="6" t="str">
        <f>IFERROR(__xludf.DUMMYFUNCTION("""COMPUTED_VALUE"""),"181750355 - Approved")</f>
        <v>181750355 - Approved</v>
      </c>
      <c r="C534" s="6">
        <f>IFERROR(__xludf.DUMMYFUNCTION("""COMPUTED_VALUE"""),5.0)</f>
        <v>5</v>
      </c>
      <c r="D534" s="6" t="str">
        <f>IFERROR(__xludf.DUMMYFUNCTION("""COMPUTED_VALUE"""),"Q-10530-00")</f>
        <v>Q-10530-00</v>
      </c>
      <c r="E534" s="6" t="str">
        <f>IFERROR(__xludf.DUMMYFUNCTION("""COMPUTED_VALUE"""),"Stainless Steel Label; ; ;")</f>
        <v>Stainless Steel Label; ; ;</v>
      </c>
      <c r="F534" s="6">
        <f>IFERROR(__xludf.DUMMYFUNCTION("""COMPUTED_VALUE"""),1.0)</f>
        <v>1</v>
      </c>
      <c r="G534" s="6" t="str">
        <f>IFERROR(__xludf.DUMMYFUNCTION("""COMPUTED_VALUE"""),"Pieces")</f>
        <v>Pieces</v>
      </c>
      <c r="H534" s="6" t="str">
        <f>IFERROR(__xludf.DUMMYFUNCTION("""COMPUTED_VALUE"""),"IDR")</f>
        <v>IDR</v>
      </c>
      <c r="I534" s="11">
        <f>IFERROR(__xludf.DUMMYFUNCTION("""COMPUTED_VALUE"""),33000.0)</f>
        <v>33000</v>
      </c>
      <c r="J534" s="11">
        <f>IFERROR(__xludf.DUMMYFUNCTION("""COMPUTED_VALUE"""),33000.0)</f>
        <v>33000</v>
      </c>
      <c r="K534" s="13">
        <f>IFERROR(__xludf.DUMMYFUNCTION("""COMPUTED_VALUE"""),43385.0)</f>
        <v>43385</v>
      </c>
      <c r="L534" s="6" t="str">
        <f>IFERROR(__xludf.DUMMYFUNCTION("""COMPUTED_VALUE"""),"FIP General")</f>
        <v>FIP General</v>
      </c>
      <c r="M534" s="6" t="str">
        <f>IFERROR(__xludf.DUMMYFUNCTION("""COMPUTED_VALUE"""),"Joko Nugroho")</f>
        <v>Joko Nugroho</v>
      </c>
      <c r="N534" s="6" t="str">
        <f>IFERROR(__xludf.DUMMYFUNCTION("""COMPUTED_VALUE"""),"FIP Engineering")</f>
        <v>FIP Engineering</v>
      </c>
      <c r="O534" s="6" t="str">
        <f>IFERROR(__xludf.DUMMYFUNCTION("""COMPUTED_VALUE"""),"FIP-DOM-ENG-51502-0000000-INA-000000")</f>
        <v>FIP-DOM-ENG-51502-0000000-INA-000000</v>
      </c>
      <c r="P534" s="6" t="str">
        <f>IFERROR(__xludf.DUMMYFUNCTION("""COMPUTED_VALUE"""),"PO Closed")</f>
        <v>PO Closed</v>
      </c>
      <c r="Q534" s="6" t="str">
        <f>IFERROR(__xludf.DUMMYFUNCTION("""COMPUTED_VALUE"""),"GL1810027")</f>
        <v>GL1810027</v>
      </c>
      <c r="R534" s="16">
        <f>IFERROR(__xludf.DUMMYFUNCTION("""COMPUTED_VALUE"""),43369.0)</f>
        <v>43369</v>
      </c>
      <c r="S534" s="6" t="str">
        <f>IFERROR(__xludf.DUMMYFUNCTION("""COMPUTED_VALUE"""),"-")</f>
        <v>-</v>
      </c>
      <c r="T534" s="13">
        <f>IFERROR(__xludf.DUMMYFUNCTION("""COMPUTED_VALUE"""),43392.0)</f>
        <v>43392</v>
      </c>
    </row>
    <row r="535">
      <c r="A535" s="6" t="str">
        <f>IFERROR(__xludf.DUMMYFUNCTION("""COMPUTED_VALUE"""),"181750355-6")</f>
        <v>181750355-6</v>
      </c>
      <c r="B535" s="6" t="str">
        <f>IFERROR(__xludf.DUMMYFUNCTION("""COMPUTED_VALUE"""),"181750355 - Approved")</f>
        <v>181750355 - Approved</v>
      </c>
      <c r="C535" s="6">
        <f>IFERROR(__xludf.DUMMYFUNCTION("""COMPUTED_VALUE"""),6.0)</f>
        <v>6</v>
      </c>
      <c r="D535" s="6" t="str">
        <f>IFERROR(__xludf.DUMMYFUNCTION("""COMPUTED_VALUE"""),"Q-10530-00")</f>
        <v>Q-10530-00</v>
      </c>
      <c r="E535" s="6" t="str">
        <f>IFERROR(__xludf.DUMMYFUNCTION("""COMPUTED_VALUE"""),"Stainless Steel Label; ; ;")</f>
        <v>Stainless Steel Label; ; ;</v>
      </c>
      <c r="F535" s="6">
        <f>IFERROR(__xludf.DUMMYFUNCTION("""COMPUTED_VALUE"""),2.0)</f>
        <v>2</v>
      </c>
      <c r="G535" s="6" t="str">
        <f>IFERROR(__xludf.DUMMYFUNCTION("""COMPUTED_VALUE"""),"Pieces")</f>
        <v>Pieces</v>
      </c>
      <c r="H535" s="6" t="str">
        <f>IFERROR(__xludf.DUMMYFUNCTION("""COMPUTED_VALUE"""),"IDR")</f>
        <v>IDR</v>
      </c>
      <c r="I535" s="11">
        <f>IFERROR(__xludf.DUMMYFUNCTION("""COMPUTED_VALUE"""),33000.0)</f>
        <v>33000</v>
      </c>
      <c r="J535" s="11">
        <f>IFERROR(__xludf.DUMMYFUNCTION("""COMPUTED_VALUE"""),66000.0)</f>
        <v>66000</v>
      </c>
      <c r="K535" s="13">
        <f>IFERROR(__xludf.DUMMYFUNCTION("""COMPUTED_VALUE"""),43385.0)</f>
        <v>43385</v>
      </c>
      <c r="L535" s="6" t="str">
        <f>IFERROR(__xludf.DUMMYFUNCTION("""COMPUTED_VALUE"""),"FIP General")</f>
        <v>FIP General</v>
      </c>
      <c r="M535" s="6" t="str">
        <f>IFERROR(__xludf.DUMMYFUNCTION("""COMPUTED_VALUE"""),"Joko Nugroho")</f>
        <v>Joko Nugroho</v>
      </c>
      <c r="N535" s="6" t="str">
        <f>IFERROR(__xludf.DUMMYFUNCTION("""COMPUTED_VALUE"""),"FIP Engineering")</f>
        <v>FIP Engineering</v>
      </c>
      <c r="O535" s="6" t="str">
        <f>IFERROR(__xludf.DUMMYFUNCTION("""COMPUTED_VALUE"""),"FIP-DOM-ENG-51502-0000000-INA-000000")</f>
        <v>FIP-DOM-ENG-51502-0000000-INA-000000</v>
      </c>
      <c r="P535" s="6" t="str">
        <f>IFERROR(__xludf.DUMMYFUNCTION("""COMPUTED_VALUE"""),"PO Closed")</f>
        <v>PO Closed</v>
      </c>
      <c r="Q535" s="6" t="str">
        <f>IFERROR(__xludf.DUMMYFUNCTION("""COMPUTED_VALUE"""),"GL1810027")</f>
        <v>GL1810027</v>
      </c>
      <c r="R535" s="16">
        <f>IFERROR(__xludf.DUMMYFUNCTION("""COMPUTED_VALUE"""),43369.0)</f>
        <v>43369</v>
      </c>
      <c r="S535" s="6" t="str">
        <f>IFERROR(__xludf.DUMMYFUNCTION("""COMPUTED_VALUE"""),"-")</f>
        <v>-</v>
      </c>
      <c r="T535" s="13">
        <f>IFERROR(__xludf.DUMMYFUNCTION("""COMPUTED_VALUE"""),43392.0)</f>
        <v>43392</v>
      </c>
    </row>
    <row r="536">
      <c r="A536" s="6" t="str">
        <f>IFERROR(__xludf.DUMMYFUNCTION("""COMPUTED_VALUE"""),"181750355-7")</f>
        <v>181750355-7</v>
      </c>
      <c r="B536" s="6" t="str">
        <f>IFERROR(__xludf.DUMMYFUNCTION("""COMPUTED_VALUE"""),"181750355 - Approved")</f>
        <v>181750355 - Approved</v>
      </c>
      <c r="C536" s="6">
        <f>IFERROR(__xludf.DUMMYFUNCTION("""COMPUTED_VALUE"""),7.0)</f>
        <v>7</v>
      </c>
      <c r="D536" s="6" t="str">
        <f>IFERROR(__xludf.DUMMYFUNCTION("""COMPUTED_VALUE"""),"Q-10530-00")</f>
        <v>Q-10530-00</v>
      </c>
      <c r="E536" s="6" t="str">
        <f>IFERROR(__xludf.DUMMYFUNCTION("""COMPUTED_VALUE"""),"Stainless Steel Label; ; ;")</f>
        <v>Stainless Steel Label; ; ;</v>
      </c>
      <c r="F536" s="6">
        <f>IFERROR(__xludf.DUMMYFUNCTION("""COMPUTED_VALUE"""),1.0)</f>
        <v>1</v>
      </c>
      <c r="G536" s="6" t="str">
        <f>IFERROR(__xludf.DUMMYFUNCTION("""COMPUTED_VALUE"""),"Pieces")</f>
        <v>Pieces</v>
      </c>
      <c r="H536" s="6" t="str">
        <f>IFERROR(__xludf.DUMMYFUNCTION("""COMPUTED_VALUE"""),"IDR")</f>
        <v>IDR</v>
      </c>
      <c r="I536" s="11">
        <f>IFERROR(__xludf.DUMMYFUNCTION("""COMPUTED_VALUE"""),95000.0)</f>
        <v>95000</v>
      </c>
      <c r="J536" s="11">
        <f>IFERROR(__xludf.DUMMYFUNCTION("""COMPUTED_VALUE"""),95000.0)</f>
        <v>95000</v>
      </c>
      <c r="K536" s="13">
        <f>IFERROR(__xludf.DUMMYFUNCTION("""COMPUTED_VALUE"""),43385.0)</f>
        <v>43385</v>
      </c>
      <c r="L536" s="6" t="str">
        <f>IFERROR(__xludf.DUMMYFUNCTION("""COMPUTED_VALUE"""),"FIP General")</f>
        <v>FIP General</v>
      </c>
      <c r="M536" s="6" t="str">
        <f>IFERROR(__xludf.DUMMYFUNCTION("""COMPUTED_VALUE"""),"Joko Nugroho")</f>
        <v>Joko Nugroho</v>
      </c>
      <c r="N536" s="6" t="str">
        <f>IFERROR(__xludf.DUMMYFUNCTION("""COMPUTED_VALUE"""),"FIP Engineering")</f>
        <v>FIP Engineering</v>
      </c>
      <c r="O536" s="6" t="str">
        <f>IFERROR(__xludf.DUMMYFUNCTION("""COMPUTED_VALUE"""),"FIP-DOM-ENG-51502-0000000-INA-000000")</f>
        <v>FIP-DOM-ENG-51502-0000000-INA-000000</v>
      </c>
      <c r="P536" s="6" t="str">
        <f>IFERROR(__xludf.DUMMYFUNCTION("""COMPUTED_VALUE"""),"PO Closed")</f>
        <v>PO Closed</v>
      </c>
      <c r="Q536" s="6" t="str">
        <f>IFERROR(__xludf.DUMMYFUNCTION("""COMPUTED_VALUE"""),"GL1810027")</f>
        <v>GL1810027</v>
      </c>
      <c r="R536" s="16">
        <f>IFERROR(__xludf.DUMMYFUNCTION("""COMPUTED_VALUE"""),43369.0)</f>
        <v>43369</v>
      </c>
      <c r="S536" s="6" t="str">
        <f>IFERROR(__xludf.DUMMYFUNCTION("""COMPUTED_VALUE"""),"-")</f>
        <v>-</v>
      </c>
      <c r="T536" s="13">
        <f>IFERROR(__xludf.DUMMYFUNCTION("""COMPUTED_VALUE"""),43392.0)</f>
        <v>43392</v>
      </c>
    </row>
    <row r="537">
      <c r="A537" s="6" t="str">
        <f>IFERROR(__xludf.DUMMYFUNCTION("""COMPUTED_VALUE"""),"181750355-8")</f>
        <v>181750355-8</v>
      </c>
      <c r="B537" s="6" t="str">
        <f>IFERROR(__xludf.DUMMYFUNCTION("""COMPUTED_VALUE"""),"181750355 - Approved")</f>
        <v>181750355 - Approved</v>
      </c>
      <c r="C537" s="6">
        <f>IFERROR(__xludf.DUMMYFUNCTION("""COMPUTED_VALUE"""),8.0)</f>
        <v>8</v>
      </c>
      <c r="D537" s="6" t="str">
        <f>IFERROR(__xludf.DUMMYFUNCTION("""COMPUTED_VALUE"""),"Q-10530-00")</f>
        <v>Q-10530-00</v>
      </c>
      <c r="E537" s="6" t="str">
        <f>IFERROR(__xludf.DUMMYFUNCTION("""COMPUTED_VALUE"""),"Stainless Steel Label; ; ;")</f>
        <v>Stainless Steel Label; ; ;</v>
      </c>
      <c r="F537" s="6">
        <f>IFERROR(__xludf.DUMMYFUNCTION("""COMPUTED_VALUE"""),3.0)</f>
        <v>3</v>
      </c>
      <c r="G537" s="6" t="str">
        <f>IFERROR(__xludf.DUMMYFUNCTION("""COMPUTED_VALUE"""),"Pieces")</f>
        <v>Pieces</v>
      </c>
      <c r="H537" s="6" t="str">
        <f>IFERROR(__xludf.DUMMYFUNCTION("""COMPUTED_VALUE"""),"IDR")</f>
        <v>IDR</v>
      </c>
      <c r="I537" s="11">
        <f>IFERROR(__xludf.DUMMYFUNCTION("""COMPUTED_VALUE"""),57000.0)</f>
        <v>57000</v>
      </c>
      <c r="J537" s="11">
        <f>IFERROR(__xludf.DUMMYFUNCTION("""COMPUTED_VALUE"""),171000.0)</f>
        <v>171000</v>
      </c>
      <c r="K537" s="13">
        <f>IFERROR(__xludf.DUMMYFUNCTION("""COMPUTED_VALUE"""),43385.0)</f>
        <v>43385</v>
      </c>
      <c r="L537" s="6" t="str">
        <f>IFERROR(__xludf.DUMMYFUNCTION("""COMPUTED_VALUE"""),"FIP General")</f>
        <v>FIP General</v>
      </c>
      <c r="M537" s="6" t="str">
        <f>IFERROR(__xludf.DUMMYFUNCTION("""COMPUTED_VALUE"""),"Joko Nugroho")</f>
        <v>Joko Nugroho</v>
      </c>
      <c r="N537" s="6" t="str">
        <f>IFERROR(__xludf.DUMMYFUNCTION("""COMPUTED_VALUE"""),"FIP Engineering")</f>
        <v>FIP Engineering</v>
      </c>
      <c r="O537" s="6" t="str">
        <f>IFERROR(__xludf.DUMMYFUNCTION("""COMPUTED_VALUE"""),"FIP-DOM-ENG-51502-0000000-INA-000000")</f>
        <v>FIP-DOM-ENG-51502-0000000-INA-000000</v>
      </c>
      <c r="P537" s="6" t="str">
        <f>IFERROR(__xludf.DUMMYFUNCTION("""COMPUTED_VALUE"""),"PO Closed")</f>
        <v>PO Closed</v>
      </c>
      <c r="Q537" s="6" t="str">
        <f>IFERROR(__xludf.DUMMYFUNCTION("""COMPUTED_VALUE"""),"GL1810027")</f>
        <v>GL1810027</v>
      </c>
      <c r="R537" s="16">
        <f>IFERROR(__xludf.DUMMYFUNCTION("""COMPUTED_VALUE"""),43369.0)</f>
        <v>43369</v>
      </c>
      <c r="S537" s="6" t="str">
        <f>IFERROR(__xludf.DUMMYFUNCTION("""COMPUTED_VALUE"""),"-")</f>
        <v>-</v>
      </c>
      <c r="T537" s="17">
        <f>IFERROR(__xludf.DUMMYFUNCTION("""COMPUTED_VALUE"""),43392.0)</f>
        <v>43392</v>
      </c>
    </row>
    <row r="538">
      <c r="A538" s="6" t="str">
        <f>IFERROR(__xludf.DUMMYFUNCTION("""COMPUTED_VALUE"""),"181750355-9")</f>
        <v>181750355-9</v>
      </c>
      <c r="B538" s="6" t="str">
        <f>IFERROR(__xludf.DUMMYFUNCTION("""COMPUTED_VALUE"""),"181750355 - Approved")</f>
        <v>181750355 - Approved</v>
      </c>
      <c r="C538" s="6">
        <f>IFERROR(__xludf.DUMMYFUNCTION("""COMPUTED_VALUE"""),9.0)</f>
        <v>9</v>
      </c>
      <c r="D538" s="6" t="str">
        <f>IFERROR(__xludf.DUMMYFUNCTION("""COMPUTED_VALUE"""),"Q-10530-00")</f>
        <v>Q-10530-00</v>
      </c>
      <c r="E538" s="6" t="str">
        <f>IFERROR(__xludf.DUMMYFUNCTION("""COMPUTED_VALUE"""),"Stainless Steel Label; ; ;")</f>
        <v>Stainless Steel Label; ; ;</v>
      </c>
      <c r="F538" s="6">
        <f>IFERROR(__xludf.DUMMYFUNCTION("""COMPUTED_VALUE"""),5.0)</f>
        <v>5</v>
      </c>
      <c r="G538" s="6" t="str">
        <f>IFERROR(__xludf.DUMMYFUNCTION("""COMPUTED_VALUE"""),"Pieces")</f>
        <v>Pieces</v>
      </c>
      <c r="H538" s="6" t="str">
        <f>IFERROR(__xludf.DUMMYFUNCTION("""COMPUTED_VALUE"""),"IDR")</f>
        <v>IDR</v>
      </c>
      <c r="I538" s="11">
        <f>IFERROR(__xludf.DUMMYFUNCTION("""COMPUTED_VALUE"""),33000.0)</f>
        <v>33000</v>
      </c>
      <c r="J538" s="11">
        <f>IFERROR(__xludf.DUMMYFUNCTION("""COMPUTED_VALUE"""),165000.0)</f>
        <v>165000</v>
      </c>
      <c r="K538" s="13">
        <f>IFERROR(__xludf.DUMMYFUNCTION("""COMPUTED_VALUE"""),43385.0)</f>
        <v>43385</v>
      </c>
      <c r="L538" s="6" t="str">
        <f>IFERROR(__xludf.DUMMYFUNCTION("""COMPUTED_VALUE"""),"FIP General")</f>
        <v>FIP General</v>
      </c>
      <c r="M538" s="6" t="str">
        <f>IFERROR(__xludf.DUMMYFUNCTION("""COMPUTED_VALUE"""),"Joko Nugroho")</f>
        <v>Joko Nugroho</v>
      </c>
      <c r="N538" s="6" t="str">
        <f>IFERROR(__xludf.DUMMYFUNCTION("""COMPUTED_VALUE"""),"FIP Engineering")</f>
        <v>FIP Engineering</v>
      </c>
      <c r="O538" s="6" t="str">
        <f>IFERROR(__xludf.DUMMYFUNCTION("""COMPUTED_VALUE"""),"FIP-DOM-ENG-51502-0000000-INA-000000")</f>
        <v>FIP-DOM-ENG-51502-0000000-INA-000000</v>
      </c>
      <c r="P538" s="6" t="str">
        <f>IFERROR(__xludf.DUMMYFUNCTION("""COMPUTED_VALUE"""),"PO Closed")</f>
        <v>PO Closed</v>
      </c>
      <c r="Q538" s="6" t="str">
        <f>IFERROR(__xludf.DUMMYFUNCTION("""COMPUTED_VALUE"""),"GL1810027")</f>
        <v>GL1810027</v>
      </c>
      <c r="R538" s="16">
        <f>IFERROR(__xludf.DUMMYFUNCTION("""COMPUTED_VALUE"""),43369.0)</f>
        <v>43369</v>
      </c>
      <c r="S538" s="6" t="str">
        <f>IFERROR(__xludf.DUMMYFUNCTION("""COMPUTED_VALUE"""),"-")</f>
        <v>-</v>
      </c>
      <c r="T538" s="13">
        <f>IFERROR(__xludf.DUMMYFUNCTION("""COMPUTED_VALUE"""),43392.0)</f>
        <v>43392</v>
      </c>
    </row>
    <row r="539">
      <c r="A539" s="6" t="str">
        <f>IFERROR(__xludf.DUMMYFUNCTION("""COMPUTED_VALUE"""),"181750355-10")</f>
        <v>181750355-10</v>
      </c>
      <c r="B539" s="6" t="str">
        <f>IFERROR(__xludf.DUMMYFUNCTION("""COMPUTED_VALUE"""),"181750355 - Approved")</f>
        <v>181750355 - Approved</v>
      </c>
      <c r="C539" s="6">
        <f>IFERROR(__xludf.DUMMYFUNCTION("""COMPUTED_VALUE"""),10.0)</f>
        <v>10</v>
      </c>
      <c r="D539" s="6" t="str">
        <f>IFERROR(__xludf.DUMMYFUNCTION("""COMPUTED_VALUE"""),"Q-10530-00")</f>
        <v>Q-10530-00</v>
      </c>
      <c r="E539" s="6" t="str">
        <f>IFERROR(__xludf.DUMMYFUNCTION("""COMPUTED_VALUE"""),"Stainless Steel Label; ; ;")</f>
        <v>Stainless Steel Label; ; ;</v>
      </c>
      <c r="F539" s="6">
        <f>IFERROR(__xludf.DUMMYFUNCTION("""COMPUTED_VALUE"""),3.0)</f>
        <v>3</v>
      </c>
      <c r="G539" s="6" t="str">
        <f>IFERROR(__xludf.DUMMYFUNCTION("""COMPUTED_VALUE"""),"Pieces")</f>
        <v>Pieces</v>
      </c>
      <c r="H539" s="6" t="str">
        <f>IFERROR(__xludf.DUMMYFUNCTION("""COMPUTED_VALUE"""),"IDR")</f>
        <v>IDR</v>
      </c>
      <c r="I539" s="11">
        <f>IFERROR(__xludf.DUMMYFUNCTION("""COMPUTED_VALUE"""),57000.0)</f>
        <v>57000</v>
      </c>
      <c r="J539" s="11">
        <f>IFERROR(__xludf.DUMMYFUNCTION("""COMPUTED_VALUE"""),171000.0)</f>
        <v>171000</v>
      </c>
      <c r="K539" s="13">
        <f>IFERROR(__xludf.DUMMYFUNCTION("""COMPUTED_VALUE"""),43385.0)</f>
        <v>43385</v>
      </c>
      <c r="L539" s="6" t="str">
        <f>IFERROR(__xludf.DUMMYFUNCTION("""COMPUTED_VALUE"""),"FIP General")</f>
        <v>FIP General</v>
      </c>
      <c r="M539" s="6" t="str">
        <f>IFERROR(__xludf.DUMMYFUNCTION("""COMPUTED_VALUE"""),"Joko Nugroho")</f>
        <v>Joko Nugroho</v>
      </c>
      <c r="N539" s="6" t="str">
        <f>IFERROR(__xludf.DUMMYFUNCTION("""COMPUTED_VALUE"""),"FIP Engineering")</f>
        <v>FIP Engineering</v>
      </c>
      <c r="O539" s="6" t="str">
        <f>IFERROR(__xludf.DUMMYFUNCTION("""COMPUTED_VALUE"""),"FIP-DOM-ENG-51502-0000000-INA-000000")</f>
        <v>FIP-DOM-ENG-51502-0000000-INA-000000</v>
      </c>
      <c r="P539" s="6" t="str">
        <f>IFERROR(__xludf.DUMMYFUNCTION("""COMPUTED_VALUE"""),"PO Closed")</f>
        <v>PO Closed</v>
      </c>
      <c r="Q539" s="6" t="str">
        <f>IFERROR(__xludf.DUMMYFUNCTION("""COMPUTED_VALUE"""),"GL1810027")</f>
        <v>GL1810027</v>
      </c>
      <c r="R539" s="16">
        <f>IFERROR(__xludf.DUMMYFUNCTION("""COMPUTED_VALUE"""),43369.0)</f>
        <v>43369</v>
      </c>
      <c r="S539" s="6" t="str">
        <f>IFERROR(__xludf.DUMMYFUNCTION("""COMPUTED_VALUE"""),"-")</f>
        <v>-</v>
      </c>
      <c r="T539" s="17">
        <f>IFERROR(__xludf.DUMMYFUNCTION("""COMPUTED_VALUE"""),43392.0)</f>
        <v>43392</v>
      </c>
    </row>
    <row r="540">
      <c r="A540" s="6" t="str">
        <f>IFERROR(__xludf.DUMMYFUNCTION("""COMPUTED_VALUE"""),"181750355-11")</f>
        <v>181750355-11</v>
      </c>
      <c r="B540" s="6" t="str">
        <f>IFERROR(__xludf.DUMMYFUNCTION("""COMPUTED_VALUE"""),"181750355 - Approved")</f>
        <v>181750355 - Approved</v>
      </c>
      <c r="C540" s="6">
        <f>IFERROR(__xludf.DUMMYFUNCTION("""COMPUTED_VALUE"""),11.0)</f>
        <v>11</v>
      </c>
      <c r="D540" s="6" t="str">
        <f>IFERROR(__xludf.DUMMYFUNCTION("""COMPUTED_VALUE"""),"Q-10530-00")</f>
        <v>Q-10530-00</v>
      </c>
      <c r="E540" s="6" t="str">
        <f>IFERROR(__xludf.DUMMYFUNCTION("""COMPUTED_VALUE"""),"Stainless Steel Label; ; ;")</f>
        <v>Stainless Steel Label; ; ;</v>
      </c>
      <c r="F540" s="6">
        <f>IFERROR(__xludf.DUMMYFUNCTION("""COMPUTED_VALUE"""),2.0)</f>
        <v>2</v>
      </c>
      <c r="G540" s="6" t="str">
        <f>IFERROR(__xludf.DUMMYFUNCTION("""COMPUTED_VALUE"""),"Pieces")</f>
        <v>Pieces</v>
      </c>
      <c r="H540" s="6" t="str">
        <f>IFERROR(__xludf.DUMMYFUNCTION("""COMPUTED_VALUE"""),"IDR")</f>
        <v>IDR</v>
      </c>
      <c r="I540" s="11">
        <f>IFERROR(__xludf.DUMMYFUNCTION("""COMPUTED_VALUE"""),45000.0)</f>
        <v>45000</v>
      </c>
      <c r="J540" s="11">
        <f>IFERROR(__xludf.DUMMYFUNCTION("""COMPUTED_VALUE"""),90000.0)</f>
        <v>90000</v>
      </c>
      <c r="K540" s="13">
        <f>IFERROR(__xludf.DUMMYFUNCTION("""COMPUTED_VALUE"""),43385.0)</f>
        <v>43385</v>
      </c>
      <c r="L540" s="6" t="str">
        <f>IFERROR(__xludf.DUMMYFUNCTION("""COMPUTED_VALUE"""),"FIP General")</f>
        <v>FIP General</v>
      </c>
      <c r="M540" s="6" t="str">
        <f>IFERROR(__xludf.DUMMYFUNCTION("""COMPUTED_VALUE"""),"Joko Nugroho")</f>
        <v>Joko Nugroho</v>
      </c>
      <c r="N540" s="6" t="str">
        <f>IFERROR(__xludf.DUMMYFUNCTION("""COMPUTED_VALUE"""),"FIP Engineering")</f>
        <v>FIP Engineering</v>
      </c>
      <c r="O540" s="6" t="str">
        <f>IFERROR(__xludf.DUMMYFUNCTION("""COMPUTED_VALUE"""),"FIP-DOM-ENG-51502-0000000-INA-000000")</f>
        <v>FIP-DOM-ENG-51502-0000000-INA-000000</v>
      </c>
      <c r="P540" s="6" t="str">
        <f>IFERROR(__xludf.DUMMYFUNCTION("""COMPUTED_VALUE"""),"PO Closed")</f>
        <v>PO Closed</v>
      </c>
      <c r="Q540" s="6" t="str">
        <f>IFERROR(__xludf.DUMMYFUNCTION("""COMPUTED_VALUE"""),"GL1810027")</f>
        <v>GL1810027</v>
      </c>
      <c r="R540" s="16">
        <f>IFERROR(__xludf.DUMMYFUNCTION("""COMPUTED_VALUE"""),43369.0)</f>
        <v>43369</v>
      </c>
      <c r="S540" s="6" t="str">
        <f>IFERROR(__xludf.DUMMYFUNCTION("""COMPUTED_VALUE"""),"-")</f>
        <v>-</v>
      </c>
      <c r="T540" s="17">
        <f>IFERROR(__xludf.DUMMYFUNCTION("""COMPUTED_VALUE"""),43392.0)</f>
        <v>43392</v>
      </c>
    </row>
    <row r="541">
      <c r="A541" s="6" t="str">
        <f>IFERROR(__xludf.DUMMYFUNCTION("""COMPUTED_VALUE"""),"181750359-1")</f>
        <v>181750359-1</v>
      </c>
      <c r="B541" s="6" t="str">
        <f>IFERROR(__xludf.DUMMYFUNCTION("""COMPUTED_VALUE"""),"181750359 - Approved")</f>
        <v>181750359 - Approved</v>
      </c>
      <c r="C541" s="6">
        <f>IFERROR(__xludf.DUMMYFUNCTION("""COMPUTED_VALUE"""),1.0)</f>
        <v>1</v>
      </c>
      <c r="D541" s="6" t="str">
        <f>IFERROR(__xludf.DUMMYFUNCTION("""COMPUTED_VALUE"""),"S-10785-00")</f>
        <v>S-10785-00</v>
      </c>
      <c r="E541" s="6" t="str">
        <f>IFERROR(__xludf.DUMMYFUNCTION("""COMPUTED_VALUE"""),"Refill APAR Powder 2.5 Kg;Pressure;; ; ;")</f>
        <v>Refill APAR Powder 2.5 Kg;Pressure;; ; ;</v>
      </c>
      <c r="F541" s="6">
        <f>IFERROR(__xludf.DUMMYFUNCTION("""COMPUTED_VALUE"""),3.0)</f>
        <v>3</v>
      </c>
      <c r="G541" s="6" t="str">
        <f>IFERROR(__xludf.DUMMYFUNCTION("""COMPUTED_VALUE"""),"Tube")</f>
        <v>Tube</v>
      </c>
      <c r="H541" s="6" t="str">
        <f>IFERROR(__xludf.DUMMYFUNCTION("""COMPUTED_VALUE"""),"IDR")</f>
        <v>IDR</v>
      </c>
      <c r="I541" s="11">
        <f>IFERROR(__xludf.DUMMYFUNCTION("""COMPUTED_VALUE"""),85500.0)</f>
        <v>85500</v>
      </c>
      <c r="J541" s="11">
        <f>IFERROR(__xludf.DUMMYFUNCTION("""COMPUTED_VALUE"""),256500.0)</f>
        <v>256500</v>
      </c>
      <c r="K541" s="13">
        <f>IFERROR(__xludf.DUMMYFUNCTION("""COMPUTED_VALUE"""),43392.0)</f>
        <v>43392</v>
      </c>
      <c r="L541" s="6" t="str">
        <f>IFERROR(__xludf.DUMMYFUNCTION("""COMPUTED_VALUE"""),"FIP General")</f>
        <v>FIP General</v>
      </c>
      <c r="M541" s="6" t="str">
        <f>IFERROR(__xludf.DUMMYFUNCTION("""COMPUTED_VALUE"""),"Joko Nugroho")</f>
        <v>Joko Nugroho</v>
      </c>
      <c r="N541" s="6" t="str">
        <f>IFERROR(__xludf.DUMMYFUNCTION("""COMPUTED_VALUE"""),"FIP Engineering")</f>
        <v>FIP Engineering</v>
      </c>
      <c r="O541" s="6" t="str">
        <f>IFERROR(__xludf.DUMMYFUNCTION("""COMPUTED_VALUE"""),"FIP-DOM-ENG-51502-0000000-INA-000000")</f>
        <v>FIP-DOM-ENG-51502-0000000-INA-000000</v>
      </c>
      <c r="P541" s="6" t="str">
        <f>IFERROR(__xludf.DUMMYFUNCTION("""COMPUTED_VALUE"""),"PO Closed")</f>
        <v>PO Closed</v>
      </c>
      <c r="Q541" s="6" t="str">
        <f>IFERROR(__xludf.DUMMYFUNCTION("""COMPUTED_VALUE"""),"GL1810002")</f>
        <v>GL1810002</v>
      </c>
      <c r="R541" s="16">
        <f>IFERROR(__xludf.DUMMYFUNCTION("""COMPUTED_VALUE"""),43370.0)</f>
        <v>43370</v>
      </c>
      <c r="S541" s="6" t="str">
        <f>IFERROR(__xludf.DUMMYFUNCTION("""COMPUTED_VALUE"""),"-")</f>
        <v>-</v>
      </c>
      <c r="T541" s="13">
        <f>IFERROR(__xludf.DUMMYFUNCTION("""COMPUTED_VALUE"""),43392.0)</f>
        <v>43392</v>
      </c>
    </row>
    <row r="542">
      <c r="A542" s="6" t="str">
        <f>IFERROR(__xludf.DUMMYFUNCTION("""COMPUTED_VALUE"""),"181750364-1")</f>
        <v>181750364-1</v>
      </c>
      <c r="B542" s="6" t="str">
        <f>IFERROR(__xludf.DUMMYFUNCTION("""COMPUTED_VALUE"""),"181750364 - Approved")</f>
        <v>181750364 - Approved</v>
      </c>
      <c r="C542" s="6">
        <f>IFERROR(__xludf.DUMMYFUNCTION("""COMPUTED_VALUE"""),1.0)</f>
        <v>1</v>
      </c>
      <c r="D542" s="6" t="str">
        <f>IFERROR(__xludf.DUMMYFUNCTION("""COMPUTED_VALUE"""),"O-51920-00")</f>
        <v>O-51920-00</v>
      </c>
      <c r="E542" s="6" t="str">
        <f>IFERROR(__xludf.DUMMYFUNCTION("""COMPUTED_VALUE"""),"Temperature sensor PT100, 4 wire, class AA, Duplex, c/w 10m silicon cable Radix RAC241-D-10-PN; ; ;")</f>
        <v>Temperature sensor PT100, 4 wire, class AA, Duplex, c/w 10m silicon cable Radix RAC241-D-10-PN; ; ;</v>
      </c>
      <c r="F542" s="6">
        <f>IFERROR(__xludf.DUMMYFUNCTION("""COMPUTED_VALUE"""),3.0)</f>
        <v>3</v>
      </c>
      <c r="G542" s="6" t="str">
        <f>IFERROR(__xludf.DUMMYFUNCTION("""COMPUTED_VALUE"""),"Unit")</f>
        <v>Unit</v>
      </c>
      <c r="H542" s="6" t="str">
        <f>IFERROR(__xludf.DUMMYFUNCTION("""COMPUTED_VALUE"""),"USD")</f>
        <v>USD</v>
      </c>
      <c r="I542" s="11">
        <f>IFERROR(__xludf.DUMMYFUNCTION("""COMPUTED_VALUE"""),195.0)</f>
        <v>195</v>
      </c>
      <c r="J542" s="11">
        <f>IFERROR(__xludf.DUMMYFUNCTION("""COMPUTED_VALUE"""),585.0)</f>
        <v>585</v>
      </c>
      <c r="K542" s="13">
        <f>IFERROR(__xludf.DUMMYFUNCTION("""COMPUTED_VALUE"""),43409.0)</f>
        <v>43409</v>
      </c>
      <c r="L542" s="6" t="str">
        <f>IFERROR(__xludf.DUMMYFUNCTION("""COMPUTED_VALUE"""),"FIP Engineering")</f>
        <v>FIP Engineering</v>
      </c>
      <c r="M542" s="6" t="str">
        <f>IFERROR(__xludf.DUMMYFUNCTION("""COMPUTED_VALUE"""),"Joko Nugroho")</f>
        <v>Joko Nugroho</v>
      </c>
      <c r="N542" s="6" t="str">
        <f>IFERROR(__xludf.DUMMYFUNCTION("""COMPUTED_VALUE"""),"FIP Engineering")</f>
        <v>FIP Engineering</v>
      </c>
      <c r="O542" s="6" t="str">
        <f>IFERROR(__xludf.DUMMYFUNCTION("""COMPUTED_VALUE"""),"FIP-DOM-000-11304-OS00001-INA-000000")</f>
        <v>FIP-DOM-000-11304-OS00001-INA-000000</v>
      </c>
      <c r="P542" s="6" t="str">
        <f>IFERROR(__xludf.DUMMYFUNCTION("""COMPUTED_VALUE"""),"PO Closed")</f>
        <v>PO Closed</v>
      </c>
      <c r="Q542" s="6" t="str">
        <f>IFERROR(__xludf.DUMMYFUNCTION("""COMPUTED_VALUE"""),"GL1810031")</f>
        <v>GL1810031</v>
      </c>
      <c r="R542" s="16">
        <f>IFERROR(__xludf.DUMMYFUNCTION("""COMPUTED_VALUE"""),43374.0)</f>
        <v>43374</v>
      </c>
      <c r="S542" s="6" t="str">
        <f>IFERROR(__xludf.DUMMYFUNCTION("""COMPUTED_VALUE"""),"-")</f>
        <v>-</v>
      </c>
      <c r="T542" s="17">
        <f>IFERROR(__xludf.DUMMYFUNCTION("""COMPUTED_VALUE"""),43483.0)</f>
        <v>43483</v>
      </c>
    </row>
    <row r="543">
      <c r="A543" s="6" t="str">
        <f>IFERROR(__xludf.DUMMYFUNCTION("""COMPUTED_VALUE"""),"181750367-1")</f>
        <v>181750367-1</v>
      </c>
      <c r="B543" s="6" t="str">
        <f>IFERROR(__xludf.DUMMYFUNCTION("""COMPUTED_VALUE"""),"181750367 - Approved")</f>
        <v>181750367 - Approved</v>
      </c>
      <c r="C543" s="6">
        <f>IFERROR(__xludf.DUMMYFUNCTION("""COMPUTED_VALUE"""),1.0)</f>
        <v>1</v>
      </c>
      <c r="D543" s="6" t="str">
        <f>IFERROR(__xludf.DUMMYFUNCTION("""COMPUTED_VALUE"""),"P-15002-00")</f>
        <v>P-15002-00</v>
      </c>
      <c r="E543" s="6" t="str">
        <f>IFERROR(__xludf.DUMMYFUNCTION("""COMPUTED_VALUE"""),"Room Air Temp. &amp; RH Sensor, P/N. QFA2060D; ; ;")</f>
        <v>Room Air Temp. &amp; RH Sensor, P/N. QFA2060D; ; ;</v>
      </c>
      <c r="F543" s="6">
        <f>IFERROR(__xludf.DUMMYFUNCTION("""COMPUTED_VALUE"""),2.0)</f>
        <v>2</v>
      </c>
      <c r="G543" s="6" t="str">
        <f>IFERROR(__xludf.DUMMYFUNCTION("""COMPUTED_VALUE"""),"Unit")</f>
        <v>Unit</v>
      </c>
      <c r="H543" s="6" t="str">
        <f>IFERROR(__xludf.DUMMYFUNCTION("""COMPUTED_VALUE"""),"IDR")</f>
        <v>IDR</v>
      </c>
      <c r="I543" s="11">
        <f>IFERROR(__xludf.DUMMYFUNCTION("""COMPUTED_VALUE"""),5310000.0)</f>
        <v>5310000</v>
      </c>
      <c r="J543" s="11">
        <f>IFERROR(__xludf.DUMMYFUNCTION("""COMPUTED_VALUE"""),1.062E7)</f>
        <v>10620000</v>
      </c>
      <c r="K543" s="13">
        <f>IFERROR(__xludf.DUMMYFUNCTION("""COMPUTED_VALUE"""),43390.0)</f>
        <v>43390</v>
      </c>
      <c r="L543" s="6" t="str">
        <f>IFERROR(__xludf.DUMMYFUNCTION("""COMPUTED_VALUE"""),"FIP Engineering")</f>
        <v>FIP Engineering</v>
      </c>
      <c r="M543" s="6" t="str">
        <f>IFERROR(__xludf.DUMMYFUNCTION("""COMPUTED_VALUE"""),"Joko Nugroho")</f>
        <v>Joko Nugroho</v>
      </c>
      <c r="N543" s="6" t="str">
        <f>IFERROR(__xludf.DUMMYFUNCTION("""COMPUTED_VALUE"""),"FIP Engineering")</f>
        <v>FIP Engineering</v>
      </c>
      <c r="O543" s="6" t="str">
        <f>IFERROR(__xludf.DUMMYFUNCTION("""COMPUTED_VALUE"""),"FIP-DOM-000-11304-OS00001-INA-000000")</f>
        <v>FIP-DOM-000-11304-OS00001-INA-000000</v>
      </c>
      <c r="P543" s="6" t="str">
        <f>IFERROR(__xludf.DUMMYFUNCTION("""COMPUTED_VALUE"""),"PO Closed")</f>
        <v>PO Closed</v>
      </c>
      <c r="Q543" s="6" t="str">
        <f>IFERROR(__xludf.DUMMYFUNCTION("""COMPUTED_VALUE"""),"GL1810032")</f>
        <v>GL1810032</v>
      </c>
      <c r="R543" s="16">
        <f>IFERROR(__xludf.DUMMYFUNCTION("""COMPUTED_VALUE"""),43375.0)</f>
        <v>43375</v>
      </c>
      <c r="S543" s="6" t="str">
        <f>IFERROR(__xludf.DUMMYFUNCTION("""COMPUTED_VALUE"""),"-")</f>
        <v>-</v>
      </c>
      <c r="T543" s="13">
        <f>IFERROR(__xludf.DUMMYFUNCTION("""COMPUTED_VALUE"""),43448.0)</f>
        <v>43448</v>
      </c>
    </row>
    <row r="544">
      <c r="A544" s="6" t="str">
        <f>IFERROR(__xludf.DUMMYFUNCTION("""COMPUTED_VALUE"""),"181750375-1")</f>
        <v>181750375-1</v>
      </c>
      <c r="B544" s="6" t="str">
        <f>IFERROR(__xludf.DUMMYFUNCTION("""COMPUTED_VALUE"""),"181750375 - Approved")</f>
        <v>181750375 - Approved</v>
      </c>
      <c r="C544" s="6">
        <f>IFERROR(__xludf.DUMMYFUNCTION("""COMPUTED_VALUE"""),1.0)</f>
        <v>1</v>
      </c>
      <c r="D544" s="6" t="str">
        <f>IFERROR(__xludf.DUMMYFUNCTION("""COMPUTED_VALUE"""),"S-20016-00")</f>
        <v>S-20016-00</v>
      </c>
      <c r="E544" s="6" t="str">
        <f>IFERROR(__xludf.DUMMYFUNCTION("""COMPUTED_VALUE"""),"Sarung tangan bahan kain; ; ;")</f>
        <v>Sarung tangan bahan kain; ; ;</v>
      </c>
      <c r="F544" s="6">
        <f>IFERROR(__xludf.DUMMYFUNCTION("""COMPUTED_VALUE"""),3.0)</f>
        <v>3</v>
      </c>
      <c r="G544" s="6" t="str">
        <f>IFERROR(__xludf.DUMMYFUNCTION("""COMPUTED_VALUE"""),"Pack")</f>
        <v>Pack</v>
      </c>
      <c r="H544" s="6" t="str">
        <f>IFERROR(__xludf.DUMMYFUNCTION("""COMPUTED_VALUE"""),"IDR")</f>
        <v>IDR</v>
      </c>
      <c r="I544" s="11">
        <f>IFERROR(__xludf.DUMMYFUNCTION("""COMPUTED_VALUE"""),32000.0)</f>
        <v>32000</v>
      </c>
      <c r="J544" s="11">
        <f>IFERROR(__xludf.DUMMYFUNCTION("""COMPUTED_VALUE"""),96000.0)</f>
        <v>96000</v>
      </c>
      <c r="K544" s="13">
        <f>IFERROR(__xludf.DUMMYFUNCTION("""COMPUTED_VALUE"""),43392.0)</f>
        <v>43392</v>
      </c>
      <c r="L544" s="6" t="str">
        <f>IFERROR(__xludf.DUMMYFUNCTION("""COMPUTED_VALUE"""),"FIP General")</f>
        <v>FIP General</v>
      </c>
      <c r="M544" s="6" t="str">
        <f>IFERROR(__xludf.DUMMYFUNCTION("""COMPUTED_VALUE"""),"Hadi Sahib")</f>
        <v>Hadi Sahib</v>
      </c>
      <c r="N544" s="6" t="str">
        <f>IFERROR(__xludf.DUMMYFUNCTION("""COMPUTED_VALUE"""),"FIP Engineering")</f>
        <v>FIP Engineering</v>
      </c>
      <c r="O544" s="6" t="str">
        <f>IFERROR(__xludf.DUMMYFUNCTION("""COMPUTED_VALUE"""),"FIP-DOM-ENG-51202-0000000-INA-000000")</f>
        <v>FIP-DOM-ENG-51202-0000000-INA-000000</v>
      </c>
      <c r="P544" s="6" t="str">
        <f>IFERROR(__xludf.DUMMYFUNCTION("""COMPUTED_VALUE"""),"PO Closed")</f>
        <v>PO Closed</v>
      </c>
      <c r="Q544" s="6" t="str">
        <f>IFERROR(__xludf.DUMMYFUNCTION("""COMPUTED_VALUE"""),"GL1810007")</f>
        <v>GL1810007</v>
      </c>
      <c r="R544" s="16">
        <f>IFERROR(__xludf.DUMMYFUNCTION("""COMPUTED_VALUE"""),43376.0)</f>
        <v>43376</v>
      </c>
      <c r="S544" s="6" t="str">
        <f>IFERROR(__xludf.DUMMYFUNCTION("""COMPUTED_VALUE"""),"-")</f>
        <v>-</v>
      </c>
      <c r="T544" s="17">
        <f>IFERROR(__xludf.DUMMYFUNCTION("""COMPUTED_VALUE"""),43392.0)</f>
        <v>43392</v>
      </c>
    </row>
    <row r="545">
      <c r="A545" s="6" t="str">
        <f>IFERROR(__xludf.DUMMYFUNCTION("""COMPUTED_VALUE"""),"181750374-1")</f>
        <v>181750374-1</v>
      </c>
      <c r="B545" s="6" t="str">
        <f>IFERROR(__xludf.DUMMYFUNCTION("""COMPUTED_VALUE"""),"181750374 - Approved")</f>
        <v>181750374 - Approved</v>
      </c>
      <c r="C545" s="6">
        <f>IFERROR(__xludf.DUMMYFUNCTION("""COMPUTED_VALUE"""),1.0)</f>
        <v>1</v>
      </c>
      <c r="D545" s="6" t="str">
        <f>IFERROR(__xludf.DUMMYFUNCTION("""COMPUTED_VALUE"""),"O-51677-00")</f>
        <v>O-51677-00</v>
      </c>
      <c r="E545" s="6" t="str">
        <f>IFERROR(__xludf.DUMMYFUNCTION("""COMPUTED_VALUE"""),"Fork Sensor; brand SICK; type WFL80-60B416; Part No: 6036833 (Steriline No : 22179 ); SICK; ;")</f>
        <v>Fork Sensor; brand SICK; type WFL80-60B416; Part No: 6036833 (Steriline No : 22179 ); SICK; ;</v>
      </c>
      <c r="F545" s="6">
        <f>IFERROR(__xludf.DUMMYFUNCTION("""COMPUTED_VALUE"""),1.0)</f>
        <v>1</v>
      </c>
      <c r="G545" s="6" t="str">
        <f>IFERROR(__xludf.DUMMYFUNCTION("""COMPUTED_VALUE"""),"Unit")</f>
        <v>Unit</v>
      </c>
      <c r="H545" s="6" t="str">
        <f>IFERROR(__xludf.DUMMYFUNCTION("""COMPUTED_VALUE"""),"IDR")</f>
        <v>IDR</v>
      </c>
      <c r="I545" s="11">
        <f>IFERROR(__xludf.DUMMYFUNCTION("""COMPUTED_VALUE"""),6200000.0)</f>
        <v>6200000</v>
      </c>
      <c r="J545" s="11">
        <f>IFERROR(__xludf.DUMMYFUNCTION("""COMPUTED_VALUE"""),6200000.0)</f>
        <v>6200000</v>
      </c>
      <c r="K545" s="13">
        <f>IFERROR(__xludf.DUMMYFUNCTION("""COMPUTED_VALUE"""),43392.0)</f>
        <v>43392</v>
      </c>
      <c r="L545" s="6" t="str">
        <f>IFERROR(__xludf.DUMMYFUNCTION("""COMPUTED_VALUE"""),"FIP Engineering")</f>
        <v>FIP Engineering</v>
      </c>
      <c r="M545" s="6" t="str">
        <f>IFERROR(__xludf.DUMMYFUNCTION("""COMPUTED_VALUE"""),"Joko Nugroho")</f>
        <v>Joko Nugroho</v>
      </c>
      <c r="N545" s="6" t="str">
        <f>IFERROR(__xludf.DUMMYFUNCTION("""COMPUTED_VALUE"""),"FIP Engineering")</f>
        <v>FIP Engineering</v>
      </c>
      <c r="O545" s="6" t="str">
        <f>IFERROR(__xludf.DUMMYFUNCTION("""COMPUTED_VALUE"""),"FIP-DOM-000-11304-OS00001-INA-000000")</f>
        <v>FIP-DOM-000-11304-OS00001-INA-000000</v>
      </c>
      <c r="P545" s="6" t="str">
        <f>IFERROR(__xludf.DUMMYFUNCTION("""COMPUTED_VALUE"""),"PO Closed")</f>
        <v>PO Closed</v>
      </c>
      <c r="Q545" s="6" t="str">
        <f>IFERROR(__xludf.DUMMYFUNCTION("""COMPUTED_VALUE"""),"GL1810033")</f>
        <v>GL1810033</v>
      </c>
      <c r="R545" s="16">
        <f>IFERROR(__xludf.DUMMYFUNCTION("""COMPUTED_VALUE"""),43376.0)</f>
        <v>43376</v>
      </c>
      <c r="S545" s="6" t="str">
        <f>IFERROR(__xludf.DUMMYFUNCTION("""COMPUTED_VALUE"""),"-")</f>
        <v>-</v>
      </c>
      <c r="T545" s="13">
        <f>IFERROR(__xludf.DUMMYFUNCTION("""COMPUTED_VALUE"""),43448.0)</f>
        <v>43448</v>
      </c>
    </row>
    <row r="546">
      <c r="A546" s="6" t="str">
        <f>IFERROR(__xludf.DUMMYFUNCTION("""COMPUTED_VALUE"""),"181750377-1")</f>
        <v>181750377-1</v>
      </c>
      <c r="B546" s="6" t="str">
        <f>IFERROR(__xludf.DUMMYFUNCTION("""COMPUTED_VALUE"""),"181750377 - Approved")</f>
        <v>181750377 - Approved</v>
      </c>
      <c r="C546" s="6">
        <f>IFERROR(__xludf.DUMMYFUNCTION("""COMPUTED_VALUE"""),1.0)</f>
        <v>1</v>
      </c>
      <c r="D546" s="6" t="str">
        <f>IFERROR(__xludf.DUMMYFUNCTION("""COMPUTED_VALUE"""),"Q-10130-00")</f>
        <v>Q-10130-00</v>
      </c>
      <c r="E546" s="6" t="str">
        <f>IFERROR(__xludf.DUMMYFUNCTION("""COMPUTED_VALUE"""),"TOTO - Kran Wastafel Faucet TX 126 LE")</f>
        <v>TOTO - Kran Wastafel Faucet TX 126 LE</v>
      </c>
      <c r="F546" s="6">
        <f>IFERROR(__xludf.DUMMYFUNCTION("""COMPUTED_VALUE"""),2.0)</f>
        <v>2</v>
      </c>
      <c r="G546" s="6" t="str">
        <f>IFERROR(__xludf.DUMMYFUNCTION("""COMPUTED_VALUE"""),"Pieces")</f>
        <v>Pieces</v>
      </c>
      <c r="H546" s="6" t="str">
        <f>IFERROR(__xludf.DUMMYFUNCTION("""COMPUTED_VALUE"""),"IDR")</f>
        <v>IDR</v>
      </c>
      <c r="I546" s="11">
        <f>IFERROR(__xludf.DUMMYFUNCTION("""COMPUTED_VALUE"""),1420000.0)</f>
        <v>1420000</v>
      </c>
      <c r="J546" s="11">
        <f>IFERROR(__xludf.DUMMYFUNCTION("""COMPUTED_VALUE"""),2840000.0)</f>
        <v>2840000</v>
      </c>
      <c r="K546" s="13">
        <f>IFERROR(__xludf.DUMMYFUNCTION("""COMPUTED_VALUE"""),43427.0)</f>
        <v>43427</v>
      </c>
      <c r="L546" s="6" t="str">
        <f>IFERROR(__xludf.DUMMYFUNCTION("""COMPUTED_VALUE"""),"FIP General")</f>
        <v>FIP General</v>
      </c>
      <c r="M546" s="6" t="str">
        <f>IFERROR(__xludf.DUMMYFUNCTION("""COMPUTED_VALUE"""),"Joko Nugroho")</f>
        <v>Joko Nugroho</v>
      </c>
      <c r="N546" s="6" t="str">
        <f>IFERROR(__xludf.DUMMYFUNCTION("""COMPUTED_VALUE"""),"FIP Engineering")</f>
        <v>FIP Engineering</v>
      </c>
      <c r="O546" s="6" t="str">
        <f>IFERROR(__xludf.DUMMYFUNCTION("""COMPUTED_VALUE"""),"FIP-DOM-ENG-51502-0000000-INA-000000")</f>
        <v>FIP-DOM-ENG-51502-0000000-INA-000000</v>
      </c>
      <c r="P546" s="6" t="str">
        <f>IFERROR(__xludf.DUMMYFUNCTION("""COMPUTED_VALUE"""),"PO Closed")</f>
        <v>PO Closed</v>
      </c>
      <c r="Q546" s="6" t="str">
        <f>IFERROR(__xludf.DUMMYFUNCTION("""COMPUTED_VALUE"""),"GL1811059")</f>
        <v>GL1811059</v>
      </c>
      <c r="R546" s="16">
        <f>IFERROR(__xludf.DUMMYFUNCTION("""COMPUTED_VALUE"""),43377.0)</f>
        <v>43377</v>
      </c>
      <c r="S546" s="6" t="str">
        <f>IFERROR(__xludf.DUMMYFUNCTION("""COMPUTED_VALUE"""),"-")</f>
        <v>-</v>
      </c>
      <c r="T546" s="13">
        <f>IFERROR(__xludf.DUMMYFUNCTION("""COMPUTED_VALUE"""),43433.0)</f>
        <v>43433</v>
      </c>
    </row>
    <row r="547">
      <c r="A547" s="6" t="str">
        <f>IFERROR(__xludf.DUMMYFUNCTION("""COMPUTED_VALUE"""),"181750377-2")</f>
        <v>181750377-2</v>
      </c>
      <c r="B547" s="6" t="str">
        <f>IFERROR(__xludf.DUMMYFUNCTION("""COMPUTED_VALUE"""),"181750377 - Approved")</f>
        <v>181750377 - Approved</v>
      </c>
      <c r="C547" s="6">
        <f>IFERROR(__xludf.DUMMYFUNCTION("""COMPUTED_VALUE"""),2.0)</f>
        <v>2</v>
      </c>
      <c r="D547" s="6" t="str">
        <f>IFERROR(__xludf.DUMMYFUNCTION("""COMPUTED_VALUE"""),"Q-10509-00")</f>
        <v>Q-10509-00</v>
      </c>
      <c r="E547" s="6" t="str">
        <f>IFERROR(__xludf.DUMMYFUNCTION("""COMPUTED_VALUE"""),"Cable Ducting; ; ;")</f>
        <v>Cable Ducting; ; ;</v>
      </c>
      <c r="F547" s="6">
        <f>IFERROR(__xludf.DUMMYFUNCTION("""COMPUTED_VALUE"""),5.0)</f>
        <v>5</v>
      </c>
      <c r="G547" s="6" t="str">
        <f>IFERROR(__xludf.DUMMYFUNCTION("""COMPUTED_VALUE"""),"Pieces")</f>
        <v>Pieces</v>
      </c>
      <c r="H547" s="6" t="str">
        <f>IFERROR(__xludf.DUMMYFUNCTION("""COMPUTED_VALUE"""),"IDR")</f>
        <v>IDR</v>
      </c>
      <c r="I547" s="11">
        <f>IFERROR(__xludf.DUMMYFUNCTION("""COMPUTED_VALUE"""),45000.0)</f>
        <v>45000</v>
      </c>
      <c r="J547" s="11">
        <f>IFERROR(__xludf.DUMMYFUNCTION("""COMPUTED_VALUE"""),225000.0)</f>
        <v>225000</v>
      </c>
      <c r="K547" s="13">
        <f>IFERROR(__xludf.DUMMYFUNCTION("""COMPUTED_VALUE"""),43427.0)</f>
        <v>43427</v>
      </c>
      <c r="L547" s="6" t="str">
        <f>IFERROR(__xludf.DUMMYFUNCTION("""COMPUTED_VALUE"""),"FIP General")</f>
        <v>FIP General</v>
      </c>
      <c r="M547" s="6" t="str">
        <f>IFERROR(__xludf.DUMMYFUNCTION("""COMPUTED_VALUE"""),"Joko Nugroho")</f>
        <v>Joko Nugroho</v>
      </c>
      <c r="N547" s="6" t="str">
        <f>IFERROR(__xludf.DUMMYFUNCTION("""COMPUTED_VALUE"""),"FIP Engineering")</f>
        <v>FIP Engineering</v>
      </c>
      <c r="O547" s="6" t="str">
        <f>IFERROR(__xludf.DUMMYFUNCTION("""COMPUTED_VALUE"""),"FIP-DOM-ENG-51502-0000000-INA-000000")</f>
        <v>FIP-DOM-ENG-51502-0000000-INA-000000</v>
      </c>
      <c r="P547" s="6" t="str">
        <f>IFERROR(__xludf.DUMMYFUNCTION("""COMPUTED_VALUE"""),"PO Closed")</f>
        <v>PO Closed</v>
      </c>
      <c r="Q547" s="6" t="str">
        <f>IFERROR(__xludf.DUMMYFUNCTION("""COMPUTED_VALUE"""),"GL1811059")</f>
        <v>GL1811059</v>
      </c>
      <c r="R547" s="16">
        <f>IFERROR(__xludf.DUMMYFUNCTION("""COMPUTED_VALUE"""),43377.0)</f>
        <v>43377</v>
      </c>
      <c r="S547" s="6" t="str">
        <f>IFERROR(__xludf.DUMMYFUNCTION("""COMPUTED_VALUE"""),"-")</f>
        <v>-</v>
      </c>
      <c r="T547" s="17">
        <f>IFERROR(__xludf.DUMMYFUNCTION("""COMPUTED_VALUE"""),43433.0)</f>
        <v>43433</v>
      </c>
    </row>
    <row r="548">
      <c r="A548" s="6" t="str">
        <f>IFERROR(__xludf.DUMMYFUNCTION("""COMPUTED_VALUE"""),"181750377-3")</f>
        <v>181750377-3</v>
      </c>
      <c r="B548" s="6" t="str">
        <f>IFERROR(__xludf.DUMMYFUNCTION("""COMPUTED_VALUE"""),"181750377 - Approved")</f>
        <v>181750377 - Approved</v>
      </c>
      <c r="C548" s="6">
        <f>IFERROR(__xludf.DUMMYFUNCTION("""COMPUTED_VALUE"""),3.0)</f>
        <v>3</v>
      </c>
      <c r="D548" s="6" t="str">
        <f>IFERROR(__xludf.DUMMYFUNCTION("""COMPUTED_VALUE"""),"Q-10509-00")</f>
        <v>Q-10509-00</v>
      </c>
      <c r="E548" s="6" t="str">
        <f>IFERROR(__xludf.DUMMYFUNCTION("""COMPUTED_VALUE"""),"Cable Ducting; ; ;")</f>
        <v>Cable Ducting; ; ;</v>
      </c>
      <c r="F548" s="6">
        <f>IFERROR(__xludf.DUMMYFUNCTION("""COMPUTED_VALUE"""),5.0)</f>
        <v>5</v>
      </c>
      <c r="G548" s="6" t="str">
        <f>IFERROR(__xludf.DUMMYFUNCTION("""COMPUTED_VALUE"""),"Pieces")</f>
        <v>Pieces</v>
      </c>
      <c r="H548" s="6" t="str">
        <f>IFERROR(__xludf.DUMMYFUNCTION("""COMPUTED_VALUE"""),"IDR")</f>
        <v>IDR</v>
      </c>
      <c r="I548" s="11">
        <f>IFERROR(__xludf.DUMMYFUNCTION("""COMPUTED_VALUE"""),48000.0)</f>
        <v>48000</v>
      </c>
      <c r="J548" s="11">
        <f>IFERROR(__xludf.DUMMYFUNCTION("""COMPUTED_VALUE"""),240000.0)</f>
        <v>240000</v>
      </c>
      <c r="K548" s="13">
        <f>IFERROR(__xludf.DUMMYFUNCTION("""COMPUTED_VALUE"""),43427.0)</f>
        <v>43427</v>
      </c>
      <c r="L548" s="6" t="str">
        <f>IFERROR(__xludf.DUMMYFUNCTION("""COMPUTED_VALUE"""),"FIP General")</f>
        <v>FIP General</v>
      </c>
      <c r="M548" s="6" t="str">
        <f>IFERROR(__xludf.DUMMYFUNCTION("""COMPUTED_VALUE"""),"Joko Nugroho")</f>
        <v>Joko Nugroho</v>
      </c>
      <c r="N548" s="6" t="str">
        <f>IFERROR(__xludf.DUMMYFUNCTION("""COMPUTED_VALUE"""),"FIP Engineering")</f>
        <v>FIP Engineering</v>
      </c>
      <c r="O548" s="6" t="str">
        <f>IFERROR(__xludf.DUMMYFUNCTION("""COMPUTED_VALUE"""),"FIP-DOM-ENG-51502-0000000-INA-000000")</f>
        <v>FIP-DOM-ENG-51502-0000000-INA-000000</v>
      </c>
      <c r="P548" s="6" t="str">
        <f>IFERROR(__xludf.DUMMYFUNCTION("""COMPUTED_VALUE"""),"PO Closed")</f>
        <v>PO Closed</v>
      </c>
      <c r="Q548" s="6" t="str">
        <f>IFERROR(__xludf.DUMMYFUNCTION("""COMPUTED_VALUE"""),"GL1811059")</f>
        <v>GL1811059</v>
      </c>
      <c r="R548" s="16">
        <f>IFERROR(__xludf.DUMMYFUNCTION("""COMPUTED_VALUE"""),43377.0)</f>
        <v>43377</v>
      </c>
      <c r="S548" s="6" t="str">
        <f>IFERROR(__xludf.DUMMYFUNCTION("""COMPUTED_VALUE"""),"-")</f>
        <v>-</v>
      </c>
      <c r="T548" s="13">
        <f>IFERROR(__xludf.DUMMYFUNCTION("""COMPUTED_VALUE"""),43433.0)</f>
        <v>43433</v>
      </c>
    </row>
    <row r="549">
      <c r="A549" s="6" t="str">
        <f>IFERROR(__xludf.DUMMYFUNCTION("""COMPUTED_VALUE"""),"181750377-4")</f>
        <v>181750377-4</v>
      </c>
      <c r="B549" s="6" t="str">
        <f>IFERROR(__xludf.DUMMYFUNCTION("""COMPUTED_VALUE"""),"181750377 - Approved")</f>
        <v>181750377 - Approved</v>
      </c>
      <c r="C549" s="6">
        <f>IFERROR(__xludf.DUMMYFUNCTION("""COMPUTED_VALUE"""),4.0)</f>
        <v>4</v>
      </c>
      <c r="D549" s="6" t="str">
        <f>IFERROR(__xludf.DUMMYFUNCTION("""COMPUTED_VALUE"""),"Q-10509-00")</f>
        <v>Q-10509-00</v>
      </c>
      <c r="E549" s="6" t="str">
        <f>IFERROR(__xludf.DUMMYFUNCTION("""COMPUTED_VALUE"""),"Cable Ducting; ; ;")</f>
        <v>Cable Ducting; ; ;</v>
      </c>
      <c r="F549" s="6">
        <f>IFERROR(__xludf.DUMMYFUNCTION("""COMPUTED_VALUE"""),5.0)</f>
        <v>5</v>
      </c>
      <c r="G549" s="6" t="str">
        <f>IFERROR(__xludf.DUMMYFUNCTION("""COMPUTED_VALUE"""),"Pieces")</f>
        <v>Pieces</v>
      </c>
      <c r="H549" s="6" t="str">
        <f>IFERROR(__xludf.DUMMYFUNCTION("""COMPUTED_VALUE"""),"IDR")</f>
        <v>IDR</v>
      </c>
      <c r="I549" s="11">
        <f>IFERROR(__xludf.DUMMYFUNCTION("""COMPUTED_VALUE"""),45000.0)</f>
        <v>45000</v>
      </c>
      <c r="J549" s="11">
        <f>IFERROR(__xludf.DUMMYFUNCTION("""COMPUTED_VALUE"""),225000.0)</f>
        <v>225000</v>
      </c>
      <c r="K549" s="13">
        <f>IFERROR(__xludf.DUMMYFUNCTION("""COMPUTED_VALUE"""),43427.0)</f>
        <v>43427</v>
      </c>
      <c r="L549" s="6" t="str">
        <f>IFERROR(__xludf.DUMMYFUNCTION("""COMPUTED_VALUE"""),"FIP General")</f>
        <v>FIP General</v>
      </c>
      <c r="M549" s="6" t="str">
        <f>IFERROR(__xludf.DUMMYFUNCTION("""COMPUTED_VALUE"""),"Joko Nugroho")</f>
        <v>Joko Nugroho</v>
      </c>
      <c r="N549" s="6" t="str">
        <f>IFERROR(__xludf.DUMMYFUNCTION("""COMPUTED_VALUE"""),"FIP Engineering")</f>
        <v>FIP Engineering</v>
      </c>
      <c r="O549" s="6" t="str">
        <f>IFERROR(__xludf.DUMMYFUNCTION("""COMPUTED_VALUE"""),"FIP-DOM-ENG-51502-0000000-INA-000000")</f>
        <v>FIP-DOM-ENG-51502-0000000-INA-000000</v>
      </c>
      <c r="P549" s="6" t="str">
        <f>IFERROR(__xludf.DUMMYFUNCTION("""COMPUTED_VALUE"""),"PO Closed")</f>
        <v>PO Closed</v>
      </c>
      <c r="Q549" s="6" t="str">
        <f>IFERROR(__xludf.DUMMYFUNCTION("""COMPUTED_VALUE"""),"GL1811059")</f>
        <v>GL1811059</v>
      </c>
      <c r="R549" s="16">
        <f>IFERROR(__xludf.DUMMYFUNCTION("""COMPUTED_VALUE"""),43377.0)</f>
        <v>43377</v>
      </c>
      <c r="S549" s="6" t="str">
        <f>IFERROR(__xludf.DUMMYFUNCTION("""COMPUTED_VALUE"""),"-")</f>
        <v>-</v>
      </c>
      <c r="T549" s="13">
        <f>IFERROR(__xludf.DUMMYFUNCTION("""COMPUTED_VALUE"""),43433.0)</f>
        <v>43433</v>
      </c>
    </row>
    <row r="550">
      <c r="A550" s="6" t="str">
        <f>IFERROR(__xludf.DUMMYFUNCTION("""COMPUTED_VALUE"""),"181750376-1")</f>
        <v>181750376-1</v>
      </c>
      <c r="B550" s="6" t="str">
        <f>IFERROR(__xludf.DUMMYFUNCTION("""COMPUTED_VALUE"""),"181750376 - Approved")</f>
        <v>181750376 - Approved</v>
      </c>
      <c r="C550" s="6">
        <f>IFERROR(__xludf.DUMMYFUNCTION("""COMPUTED_VALUE"""),1.0)</f>
        <v>1</v>
      </c>
      <c r="D550" s="6" t="str">
        <f>IFERROR(__xludf.DUMMYFUNCTION("""COMPUTED_VALUE"""),"T-20123-00")</f>
        <v>T-20123-00</v>
      </c>
      <c r="E55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550" s="6">
        <f>IFERROR(__xludf.DUMMYFUNCTION("""COMPUTED_VALUE"""),1.0)</f>
        <v>1</v>
      </c>
      <c r="G550" s="6" t="str">
        <f>IFERROR(__xludf.DUMMYFUNCTION("""COMPUTED_VALUE"""),"Pieces")</f>
        <v>Pieces</v>
      </c>
      <c r="H550" s="6" t="str">
        <f>IFERROR(__xludf.DUMMYFUNCTION("""COMPUTED_VALUE"""),"IDR")</f>
        <v>IDR</v>
      </c>
      <c r="I550" s="11">
        <f>IFERROR(__xludf.DUMMYFUNCTION("""COMPUTED_VALUE"""),1.16824E7)</f>
        <v>11682400</v>
      </c>
      <c r="J550" s="11">
        <f>IFERROR(__xludf.DUMMYFUNCTION("""COMPUTED_VALUE"""),1.16824E7)</f>
        <v>11682400</v>
      </c>
      <c r="K550" s="13">
        <f>IFERROR(__xludf.DUMMYFUNCTION("""COMPUTED_VALUE"""),43392.0)</f>
        <v>43392</v>
      </c>
      <c r="L550" s="6" t="str">
        <f>IFERROR(__xludf.DUMMYFUNCTION("""COMPUTED_VALUE"""),"FIP General")</f>
        <v>FIP General</v>
      </c>
      <c r="M550" s="6" t="str">
        <f>IFERROR(__xludf.DUMMYFUNCTION("""COMPUTED_VALUE"""),"Joko Nugroho")</f>
        <v>Joko Nugroho</v>
      </c>
      <c r="N550" s="6" t="str">
        <f>IFERROR(__xludf.DUMMYFUNCTION("""COMPUTED_VALUE"""),"FIP Engineering")</f>
        <v>FIP Engineering</v>
      </c>
      <c r="O550" s="6" t="str">
        <f>IFERROR(__xludf.DUMMYFUNCTION("""COMPUTED_VALUE"""),"FIP-DOM-ENG-51505-0000000-INA-000000")</f>
        <v>FIP-DOM-ENG-51505-0000000-INA-000000</v>
      </c>
      <c r="P550" s="6" t="str">
        <f>IFERROR(__xludf.DUMMYFUNCTION("""COMPUTED_VALUE"""),"PO Closed")</f>
        <v>PO Closed</v>
      </c>
      <c r="Q550" s="6" t="str">
        <f>IFERROR(__xludf.DUMMYFUNCTION("""COMPUTED_VALUE"""),"GL1810019")</f>
        <v>GL1810019</v>
      </c>
      <c r="R550" s="16">
        <f>IFERROR(__xludf.DUMMYFUNCTION("""COMPUTED_VALUE"""),43377.0)</f>
        <v>43377</v>
      </c>
      <c r="S550" s="6" t="str">
        <f>IFERROR(__xludf.DUMMYFUNCTION("""COMPUTED_VALUE"""),"-")</f>
        <v>-</v>
      </c>
      <c r="T550" s="13">
        <f>IFERROR(__xludf.DUMMYFUNCTION("""COMPUTED_VALUE"""),43392.0)</f>
        <v>43392</v>
      </c>
    </row>
    <row r="551">
      <c r="A551" s="6" t="str">
        <f>IFERROR(__xludf.DUMMYFUNCTION("""COMPUTED_VALUE"""),"181750382-1")</f>
        <v>181750382-1</v>
      </c>
      <c r="B551" s="6" t="str">
        <f>IFERROR(__xludf.DUMMYFUNCTION("""COMPUTED_VALUE"""),"181750382 - Approved")</f>
        <v>181750382 - Approved</v>
      </c>
      <c r="C551" s="6">
        <f>IFERROR(__xludf.DUMMYFUNCTION("""COMPUTED_VALUE"""),1.0)</f>
        <v>1</v>
      </c>
      <c r="D551" s="6" t="str">
        <f>IFERROR(__xludf.DUMMYFUNCTION("""COMPUTED_VALUE"""),"S-60002-00")</f>
        <v>S-60002-00</v>
      </c>
      <c r="E551" s="6" t="str">
        <f>IFERROR(__xludf.DUMMYFUNCTION("""COMPUTED_VALUE"""),"Perbaikan mixing tank MV200; polishing sampai 0.4 Micron dan passivasi")</f>
        <v>Perbaikan mixing tank MV200; polishing sampai 0.4 Micron dan passivasi</v>
      </c>
      <c r="F551" s="6">
        <f>IFERROR(__xludf.DUMMYFUNCTION("""COMPUTED_VALUE"""),1.0)</f>
        <v>1</v>
      </c>
      <c r="G551" s="6" t="str">
        <f>IFERROR(__xludf.DUMMYFUNCTION("""COMPUTED_VALUE"""),"Lot")</f>
        <v>Lot</v>
      </c>
      <c r="H551" s="6" t="str">
        <f>IFERROR(__xludf.DUMMYFUNCTION("""COMPUTED_VALUE"""),"IDR")</f>
        <v>IDR</v>
      </c>
      <c r="I551" s="11">
        <f>IFERROR(__xludf.DUMMYFUNCTION("""COMPUTED_VALUE"""),1.5E7)</f>
        <v>15000000</v>
      </c>
      <c r="J551" s="11">
        <f>IFERROR(__xludf.DUMMYFUNCTION("""COMPUTED_VALUE"""),1.5E7)</f>
        <v>15000000</v>
      </c>
      <c r="K551" s="13">
        <f>IFERROR(__xludf.DUMMYFUNCTION("""COMPUTED_VALUE"""),43395.0)</f>
        <v>43395</v>
      </c>
      <c r="L551" s="6" t="str">
        <f>IFERROR(__xludf.DUMMYFUNCTION("""COMPUTED_VALUE"""),"FIP General")</f>
        <v>FIP General</v>
      </c>
      <c r="M551" s="6" t="str">
        <f>IFERROR(__xludf.DUMMYFUNCTION("""COMPUTED_VALUE"""),"Joko Nugroho")</f>
        <v>Joko Nugroho</v>
      </c>
      <c r="N551" s="6" t="str">
        <f>IFERROR(__xludf.DUMMYFUNCTION("""COMPUTED_VALUE"""),"FIP Engineering")</f>
        <v>FIP Engineering</v>
      </c>
      <c r="O551" s="6" t="str">
        <f>IFERROR(__xludf.DUMMYFUNCTION("""COMPUTED_VALUE"""),"FIP-DOM-ENG-51508-0000000-INA-000000")</f>
        <v>FIP-DOM-ENG-51508-0000000-INA-000000</v>
      </c>
      <c r="P551" s="6" t="str">
        <f>IFERROR(__xludf.DUMMYFUNCTION("""COMPUTED_VALUE"""),"PO Closed")</f>
        <v>PO Closed</v>
      </c>
      <c r="Q551" s="6" t="str">
        <f>IFERROR(__xludf.DUMMYFUNCTION("""COMPUTED_VALUE"""),"GL1810046")</f>
        <v>GL1810046</v>
      </c>
      <c r="R551" s="16">
        <f>IFERROR(__xludf.DUMMYFUNCTION("""COMPUTED_VALUE"""),43383.0)</f>
        <v>43383</v>
      </c>
      <c r="S551" s="6" t="str">
        <f>IFERROR(__xludf.DUMMYFUNCTION("""COMPUTED_VALUE"""),"-")</f>
        <v>-</v>
      </c>
      <c r="T551" s="13">
        <f>IFERROR(__xludf.DUMMYFUNCTION("""COMPUTED_VALUE"""),43404.0)</f>
        <v>43404</v>
      </c>
    </row>
    <row r="552">
      <c r="A552" s="6" t="str">
        <f>IFERROR(__xludf.DUMMYFUNCTION("""COMPUTED_VALUE"""),"181750388-1")</f>
        <v>181750388-1</v>
      </c>
      <c r="B552" s="6" t="str">
        <f>IFERROR(__xludf.DUMMYFUNCTION("""COMPUTED_VALUE"""),"181750388 - Approved")</f>
        <v>181750388 - Approved</v>
      </c>
      <c r="C552" s="6">
        <f>IFERROR(__xludf.DUMMYFUNCTION("""COMPUTED_VALUE"""),1.0)</f>
        <v>1</v>
      </c>
      <c r="D552" s="6" t="str">
        <f>IFERROR(__xludf.DUMMYFUNCTION("""COMPUTED_VALUE"""),"O-51911-00")</f>
        <v>O-51911-00</v>
      </c>
      <c r="E552" s="6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F552" s="6">
        <f>IFERROR(__xludf.DUMMYFUNCTION("""COMPUTED_VALUE"""),1.0)</f>
        <v>1</v>
      </c>
      <c r="G552" s="6" t="str">
        <f>IFERROR(__xludf.DUMMYFUNCTION("""COMPUTED_VALUE"""),"Unit")</f>
        <v>Unit</v>
      </c>
      <c r="H552" s="6" t="str">
        <f>IFERROR(__xludf.DUMMYFUNCTION("""COMPUTED_VALUE"""),"IDR")</f>
        <v>IDR</v>
      </c>
      <c r="I552" s="11">
        <f>IFERROR(__xludf.DUMMYFUNCTION("""COMPUTED_VALUE"""),2500000.0)</f>
        <v>2500000</v>
      </c>
      <c r="J552" s="11">
        <f>IFERROR(__xludf.DUMMYFUNCTION("""COMPUTED_VALUE"""),2500000.0)</f>
        <v>2500000</v>
      </c>
      <c r="K552" s="13">
        <f>IFERROR(__xludf.DUMMYFUNCTION("""COMPUTED_VALUE"""),43404.0)</f>
        <v>43404</v>
      </c>
      <c r="L552" s="6" t="str">
        <f>IFERROR(__xludf.DUMMYFUNCTION("""COMPUTED_VALUE"""),"FIP Engineering")</f>
        <v>FIP Engineering</v>
      </c>
      <c r="M552" s="6" t="str">
        <f>IFERROR(__xludf.DUMMYFUNCTION("""COMPUTED_VALUE"""),"Joko Nugroho")</f>
        <v>Joko Nugroho</v>
      </c>
      <c r="N552" s="6" t="str">
        <f>IFERROR(__xludf.DUMMYFUNCTION("""COMPUTED_VALUE"""),"FIP Engineering")</f>
        <v>FIP Engineering</v>
      </c>
      <c r="O552" s="6" t="str">
        <f>IFERROR(__xludf.DUMMYFUNCTION("""COMPUTED_VALUE"""),"FIP-DOM-000-11304-OS00001-INA-000000")</f>
        <v>FIP-DOM-000-11304-OS00001-INA-000000</v>
      </c>
      <c r="P552" s="6" t="str">
        <f>IFERROR(__xludf.DUMMYFUNCTION("""COMPUTED_VALUE"""),"PO Closed")</f>
        <v>PO Closed</v>
      </c>
      <c r="Q552" s="6" t="str">
        <f>IFERROR(__xludf.DUMMYFUNCTION("""COMPUTED_VALUE"""),"GL1811021")</f>
        <v>GL1811021</v>
      </c>
      <c r="R552" s="16">
        <f>IFERROR(__xludf.DUMMYFUNCTION("""COMPUTED_VALUE"""),43388.0)</f>
        <v>43388</v>
      </c>
      <c r="S552" s="6" t="str">
        <f>IFERROR(__xludf.DUMMYFUNCTION("""COMPUTED_VALUE"""),"-")</f>
        <v>-</v>
      </c>
      <c r="T552" s="17">
        <f>IFERROR(__xludf.DUMMYFUNCTION("""COMPUTED_VALUE"""),43532.0)</f>
        <v>43532</v>
      </c>
    </row>
    <row r="553">
      <c r="A553" s="6" t="str">
        <f>IFERROR(__xludf.DUMMYFUNCTION("""COMPUTED_VALUE"""),"181750388-2")</f>
        <v>181750388-2</v>
      </c>
      <c r="B553" s="6" t="str">
        <f>IFERROR(__xludf.DUMMYFUNCTION("""COMPUTED_VALUE"""),"181750388 - Approved")</f>
        <v>181750388 - Approved</v>
      </c>
      <c r="C553" s="6">
        <f>IFERROR(__xludf.DUMMYFUNCTION("""COMPUTED_VALUE"""),2.0)</f>
        <v>2</v>
      </c>
      <c r="D553" s="6" t="str">
        <f>IFERROR(__xludf.DUMMYFUNCTION("""COMPUTED_VALUE"""),"P-13552-00")</f>
        <v>P-13552-00</v>
      </c>
      <c r="E553" s="6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F553" s="6">
        <f>IFERROR(__xludf.DUMMYFUNCTION("""COMPUTED_VALUE"""),8.0)</f>
        <v>8</v>
      </c>
      <c r="G553" s="6" t="str">
        <f>IFERROR(__xludf.DUMMYFUNCTION("""COMPUTED_VALUE"""),"Unit")</f>
        <v>Unit</v>
      </c>
      <c r="H553" s="6" t="str">
        <f>IFERROR(__xludf.DUMMYFUNCTION("""COMPUTED_VALUE"""),"IDR")</f>
        <v>IDR</v>
      </c>
      <c r="I553" s="11">
        <f>IFERROR(__xludf.DUMMYFUNCTION("""COMPUTED_VALUE"""),360000.0)</f>
        <v>360000</v>
      </c>
      <c r="J553" s="11">
        <f>IFERROR(__xludf.DUMMYFUNCTION("""COMPUTED_VALUE"""),2880000.0)</f>
        <v>2880000</v>
      </c>
      <c r="K553" s="13">
        <f>IFERROR(__xludf.DUMMYFUNCTION("""COMPUTED_VALUE"""),43404.0)</f>
        <v>43404</v>
      </c>
      <c r="L553" s="6" t="str">
        <f>IFERROR(__xludf.DUMMYFUNCTION("""COMPUTED_VALUE"""),"FIP Engineering")</f>
        <v>FIP Engineering</v>
      </c>
      <c r="M553" s="6" t="str">
        <f>IFERROR(__xludf.DUMMYFUNCTION("""COMPUTED_VALUE"""),"Joko Nugroho")</f>
        <v>Joko Nugroho</v>
      </c>
      <c r="N553" s="6" t="str">
        <f>IFERROR(__xludf.DUMMYFUNCTION("""COMPUTED_VALUE"""),"FIP Engineering")</f>
        <v>FIP Engineering</v>
      </c>
      <c r="O553" s="6" t="str">
        <f>IFERROR(__xludf.DUMMYFUNCTION("""COMPUTED_VALUE"""),"FIP-DOM-000-11304-OS00001-INA-000000")</f>
        <v>FIP-DOM-000-11304-OS00001-INA-000000</v>
      </c>
      <c r="P553" s="6" t="str">
        <f>IFERROR(__xludf.DUMMYFUNCTION("""COMPUTED_VALUE"""),"PO Closed")</f>
        <v>PO Closed</v>
      </c>
      <c r="Q553" s="6" t="str">
        <f>IFERROR(__xludf.DUMMYFUNCTION("""COMPUTED_VALUE"""),"GL1811008")</f>
        <v>GL1811008</v>
      </c>
      <c r="R553" s="16">
        <f>IFERROR(__xludf.DUMMYFUNCTION("""COMPUTED_VALUE"""),43388.0)</f>
        <v>43388</v>
      </c>
      <c r="S553" s="6" t="str">
        <f>IFERROR(__xludf.DUMMYFUNCTION("""COMPUTED_VALUE"""),"-")</f>
        <v>-</v>
      </c>
      <c r="T553" s="17">
        <f>IFERROR(__xludf.DUMMYFUNCTION("""COMPUTED_VALUE"""),43432.0)</f>
        <v>43432</v>
      </c>
    </row>
    <row r="554">
      <c r="A554" s="6" t="str">
        <f>IFERROR(__xludf.DUMMYFUNCTION("""COMPUTED_VALUE"""),"181750387-1")</f>
        <v>181750387-1</v>
      </c>
      <c r="B554" s="6" t="str">
        <f>IFERROR(__xludf.DUMMYFUNCTION("""COMPUTED_VALUE"""),"181750387 - Approved")</f>
        <v>181750387 - Approved</v>
      </c>
      <c r="C554" s="6">
        <f>IFERROR(__xludf.DUMMYFUNCTION("""COMPUTED_VALUE"""),1.0)</f>
        <v>1</v>
      </c>
      <c r="D554" s="6" t="str">
        <f>IFERROR(__xludf.DUMMYFUNCTION("""COMPUTED_VALUE"""),"S-60002-00")</f>
        <v>S-60002-00</v>
      </c>
      <c r="E554" s="6" t="str">
        <f>IFERROR(__xludf.DUMMYFUNCTION("""COMPUTED_VALUE"""),"Biaya Kirim untuk repair part Room Air Temp. &amp; RH Sensor, P/N. QFA2060D ke IME")</f>
        <v>Biaya Kirim untuk repair part Room Air Temp. &amp; RH Sensor, P/N. QFA2060D ke IME</v>
      </c>
      <c r="F554" s="6">
        <f>IFERROR(__xludf.DUMMYFUNCTION("""COMPUTED_VALUE"""),1.0)</f>
        <v>1</v>
      </c>
      <c r="G554" s="6" t="str">
        <f>IFERROR(__xludf.DUMMYFUNCTION("""COMPUTED_VALUE"""),"Lot")</f>
        <v>Lot</v>
      </c>
      <c r="H554" s="6" t="str">
        <f>IFERROR(__xludf.DUMMYFUNCTION("""COMPUTED_VALUE"""),"IDR")</f>
        <v>IDR</v>
      </c>
      <c r="I554" s="11">
        <f>IFERROR(__xludf.DUMMYFUNCTION("""COMPUTED_VALUE"""),18000.0)</f>
        <v>18000</v>
      </c>
      <c r="J554" s="11">
        <f>IFERROR(__xludf.DUMMYFUNCTION("""COMPUTED_VALUE"""),18000.0)</f>
        <v>18000</v>
      </c>
      <c r="K554" s="13">
        <f>IFERROR(__xludf.DUMMYFUNCTION("""COMPUTED_VALUE"""),43404.0)</f>
        <v>43404</v>
      </c>
      <c r="L554" s="6" t="str">
        <f>IFERROR(__xludf.DUMMYFUNCTION("""COMPUTED_VALUE"""),"FIP General")</f>
        <v>FIP General</v>
      </c>
      <c r="M554" s="6" t="str">
        <f>IFERROR(__xludf.DUMMYFUNCTION("""COMPUTED_VALUE"""),"Joko Nugroho")</f>
        <v>Joko Nugroho</v>
      </c>
      <c r="N554" s="6" t="str">
        <f>IFERROR(__xludf.DUMMYFUNCTION("""COMPUTED_VALUE"""),"FIP Engineering")</f>
        <v>FIP Engineering</v>
      </c>
      <c r="O554" s="6" t="str">
        <f>IFERROR(__xludf.DUMMYFUNCTION("""COMPUTED_VALUE"""),"FIP-DOM-ENG-51508-0000000-INA-000000")</f>
        <v>FIP-DOM-ENG-51508-0000000-INA-000000</v>
      </c>
      <c r="P554" s="6" t="str">
        <f>IFERROR(__xludf.DUMMYFUNCTION("""COMPUTED_VALUE"""),"PO Closed")</f>
        <v>PO Closed</v>
      </c>
      <c r="Q554" s="6" t="str">
        <f>IFERROR(__xludf.DUMMYFUNCTION("""COMPUTED_VALUE"""),"GL1810047")</f>
        <v>GL1810047</v>
      </c>
      <c r="R554" s="16">
        <f>IFERROR(__xludf.DUMMYFUNCTION("""COMPUTED_VALUE"""),43388.0)</f>
        <v>43388</v>
      </c>
      <c r="S554" s="6" t="str">
        <f>IFERROR(__xludf.DUMMYFUNCTION("""COMPUTED_VALUE"""),"-")</f>
        <v>-</v>
      </c>
      <c r="T554" s="13">
        <f>IFERROR(__xludf.DUMMYFUNCTION("""COMPUTED_VALUE"""),43395.0)</f>
        <v>43395</v>
      </c>
    </row>
    <row r="555">
      <c r="A555" s="6" t="str">
        <f>IFERROR(__xludf.DUMMYFUNCTION("""COMPUTED_VALUE"""),"181750387-2")</f>
        <v>181750387-2</v>
      </c>
      <c r="B555" s="6" t="str">
        <f>IFERROR(__xludf.DUMMYFUNCTION("""COMPUTED_VALUE"""),"181750387 - Approved")</f>
        <v>181750387 - Approved</v>
      </c>
      <c r="C555" s="6">
        <f>IFERROR(__xludf.DUMMYFUNCTION("""COMPUTED_VALUE"""),2.0)</f>
        <v>2</v>
      </c>
      <c r="D555" s="6" t="str">
        <f>IFERROR(__xludf.DUMMYFUNCTION("""COMPUTED_VALUE"""),"Q-10470-00")</f>
        <v>Q-10470-00</v>
      </c>
      <c r="E555" s="6" t="str">
        <f>IFERROR(__xludf.DUMMYFUNCTION("""COMPUTED_VALUE"""),"Cat Epoxy; ; ;")</f>
        <v>Cat Epoxy; ; ;</v>
      </c>
      <c r="F555" s="6">
        <f>IFERROR(__xludf.DUMMYFUNCTION("""COMPUTED_VALUE"""),1.0)</f>
        <v>1</v>
      </c>
      <c r="G555" s="6" t="str">
        <f>IFERROR(__xludf.DUMMYFUNCTION("""COMPUTED_VALUE"""),"Pieces")</f>
        <v>Pieces</v>
      </c>
      <c r="H555" s="6" t="str">
        <f>IFERROR(__xludf.DUMMYFUNCTION("""COMPUTED_VALUE"""),"IDR")</f>
        <v>IDR</v>
      </c>
      <c r="I555" s="11">
        <f>IFERROR(__xludf.DUMMYFUNCTION("""COMPUTED_VALUE"""),70000.0)</f>
        <v>70000</v>
      </c>
      <c r="J555" s="11">
        <f>IFERROR(__xludf.DUMMYFUNCTION("""COMPUTED_VALUE"""),70000.0)</f>
        <v>70000</v>
      </c>
      <c r="K555" s="13">
        <f>IFERROR(__xludf.DUMMYFUNCTION("""COMPUTED_VALUE"""),43404.0)</f>
        <v>43404</v>
      </c>
      <c r="L555" s="6" t="str">
        <f>IFERROR(__xludf.DUMMYFUNCTION("""COMPUTED_VALUE"""),"FIP General")</f>
        <v>FIP General</v>
      </c>
      <c r="M555" s="6" t="str">
        <f>IFERROR(__xludf.DUMMYFUNCTION("""COMPUTED_VALUE"""),"Joko Nugroho")</f>
        <v>Joko Nugroho</v>
      </c>
      <c r="N555" s="6" t="str">
        <f>IFERROR(__xludf.DUMMYFUNCTION("""COMPUTED_VALUE"""),"FIP Engineering")</f>
        <v>FIP Engineering</v>
      </c>
      <c r="O555" s="6" t="str">
        <f>IFERROR(__xludf.DUMMYFUNCTION("""COMPUTED_VALUE"""),"FIP-DOM-ENG-51502-0000000-INA-000000")</f>
        <v>FIP-DOM-ENG-51502-0000000-INA-000000</v>
      </c>
      <c r="P555" s="6" t="str">
        <f>IFERROR(__xludf.DUMMYFUNCTION("""COMPUTED_VALUE"""),"PO Closed")</f>
        <v>PO Closed</v>
      </c>
      <c r="Q555" s="6" t="str">
        <f>IFERROR(__xludf.DUMMYFUNCTION("""COMPUTED_VALUE"""),"GL1810047")</f>
        <v>GL1810047</v>
      </c>
      <c r="R555" s="16">
        <f>IFERROR(__xludf.DUMMYFUNCTION("""COMPUTED_VALUE"""),43388.0)</f>
        <v>43388</v>
      </c>
      <c r="S555" s="6" t="str">
        <f>IFERROR(__xludf.DUMMYFUNCTION("""COMPUTED_VALUE"""),"-")</f>
        <v>-</v>
      </c>
      <c r="T555" s="13">
        <f>IFERROR(__xludf.DUMMYFUNCTION("""COMPUTED_VALUE"""),43395.0)</f>
        <v>43395</v>
      </c>
    </row>
    <row r="556">
      <c r="A556" s="6" t="str">
        <f>IFERROR(__xludf.DUMMYFUNCTION("""COMPUTED_VALUE"""),"181750387-3")</f>
        <v>181750387-3</v>
      </c>
      <c r="B556" s="6" t="str">
        <f>IFERROR(__xludf.DUMMYFUNCTION("""COMPUTED_VALUE"""),"181750387 - Approved")</f>
        <v>181750387 - Approved</v>
      </c>
      <c r="C556" s="6">
        <f>IFERROR(__xludf.DUMMYFUNCTION("""COMPUTED_VALUE"""),3.0)</f>
        <v>3</v>
      </c>
      <c r="D556" s="6" t="str">
        <f>IFERROR(__xludf.DUMMYFUNCTION("""COMPUTED_VALUE"""),"Q-10470-00")</f>
        <v>Q-10470-00</v>
      </c>
      <c r="E556" s="6" t="str">
        <f>IFERROR(__xludf.DUMMYFUNCTION("""COMPUTED_VALUE"""),"Cat Epoxy; ; ;")</f>
        <v>Cat Epoxy; ; ;</v>
      </c>
      <c r="F556" s="6">
        <f>IFERROR(__xludf.DUMMYFUNCTION("""COMPUTED_VALUE"""),1.0)</f>
        <v>1</v>
      </c>
      <c r="G556" s="6" t="str">
        <f>IFERROR(__xludf.DUMMYFUNCTION("""COMPUTED_VALUE"""),"Pieces")</f>
        <v>Pieces</v>
      </c>
      <c r="H556" s="6" t="str">
        <f>IFERROR(__xludf.DUMMYFUNCTION("""COMPUTED_VALUE"""),"IDR")</f>
        <v>IDR</v>
      </c>
      <c r="I556" s="11">
        <f>IFERROR(__xludf.DUMMYFUNCTION("""COMPUTED_VALUE"""),37000.0)</f>
        <v>37000</v>
      </c>
      <c r="J556" s="11">
        <f>IFERROR(__xludf.DUMMYFUNCTION("""COMPUTED_VALUE"""),37000.0)</f>
        <v>37000</v>
      </c>
      <c r="K556" s="13">
        <f>IFERROR(__xludf.DUMMYFUNCTION("""COMPUTED_VALUE"""),43404.0)</f>
        <v>43404</v>
      </c>
      <c r="L556" s="6" t="str">
        <f>IFERROR(__xludf.DUMMYFUNCTION("""COMPUTED_VALUE"""),"FIP General")</f>
        <v>FIP General</v>
      </c>
      <c r="M556" s="6" t="str">
        <f>IFERROR(__xludf.DUMMYFUNCTION("""COMPUTED_VALUE"""),"Joko Nugroho")</f>
        <v>Joko Nugroho</v>
      </c>
      <c r="N556" s="6" t="str">
        <f>IFERROR(__xludf.DUMMYFUNCTION("""COMPUTED_VALUE"""),"FIP Engineering")</f>
        <v>FIP Engineering</v>
      </c>
      <c r="O556" s="6" t="str">
        <f>IFERROR(__xludf.DUMMYFUNCTION("""COMPUTED_VALUE"""),"FIP-DOM-ENG-51502-0000000-INA-000000")</f>
        <v>FIP-DOM-ENG-51502-0000000-INA-000000</v>
      </c>
      <c r="P556" s="6" t="str">
        <f>IFERROR(__xludf.DUMMYFUNCTION("""COMPUTED_VALUE"""),"PO Closed")</f>
        <v>PO Closed</v>
      </c>
      <c r="Q556" s="6" t="str">
        <f>IFERROR(__xludf.DUMMYFUNCTION("""COMPUTED_VALUE"""),"GL1810047")</f>
        <v>GL1810047</v>
      </c>
      <c r="R556" s="16">
        <f>IFERROR(__xludf.DUMMYFUNCTION("""COMPUTED_VALUE"""),43388.0)</f>
        <v>43388</v>
      </c>
      <c r="S556" s="6" t="str">
        <f>IFERROR(__xludf.DUMMYFUNCTION("""COMPUTED_VALUE"""),"-")</f>
        <v>-</v>
      </c>
      <c r="T556" s="13">
        <f>IFERROR(__xludf.DUMMYFUNCTION("""COMPUTED_VALUE"""),43395.0)</f>
        <v>43395</v>
      </c>
    </row>
    <row r="557">
      <c r="A557" s="6" t="str">
        <f>IFERROR(__xludf.DUMMYFUNCTION("""COMPUTED_VALUE"""),"181750387-4")</f>
        <v>181750387-4</v>
      </c>
      <c r="B557" s="6" t="str">
        <f>IFERROR(__xludf.DUMMYFUNCTION("""COMPUTED_VALUE"""),"181750387 - Approved")</f>
        <v>181750387 - Approved</v>
      </c>
      <c r="C557" s="6">
        <f>IFERROR(__xludf.DUMMYFUNCTION("""COMPUTED_VALUE"""),4.0)</f>
        <v>4</v>
      </c>
      <c r="D557" s="6" t="str">
        <f>IFERROR(__xludf.DUMMYFUNCTION("""COMPUTED_VALUE"""),"Q-10470-00")</f>
        <v>Q-10470-00</v>
      </c>
      <c r="E557" s="6" t="str">
        <f>IFERROR(__xludf.DUMMYFUNCTION("""COMPUTED_VALUE"""),"Cat Epoxy; ; ;")</f>
        <v>Cat Epoxy; ; ;</v>
      </c>
      <c r="F557" s="6">
        <f>IFERROR(__xludf.DUMMYFUNCTION("""COMPUTED_VALUE"""),1.0)</f>
        <v>1</v>
      </c>
      <c r="G557" s="6" t="str">
        <f>IFERROR(__xludf.DUMMYFUNCTION("""COMPUTED_VALUE"""),"Pieces")</f>
        <v>Pieces</v>
      </c>
      <c r="H557" s="6" t="str">
        <f>IFERROR(__xludf.DUMMYFUNCTION("""COMPUTED_VALUE"""),"IDR")</f>
        <v>IDR</v>
      </c>
      <c r="I557" s="11">
        <f>IFERROR(__xludf.DUMMYFUNCTION("""COMPUTED_VALUE"""),70000.0)</f>
        <v>70000</v>
      </c>
      <c r="J557" s="11">
        <f>IFERROR(__xludf.DUMMYFUNCTION("""COMPUTED_VALUE"""),70000.0)</f>
        <v>70000</v>
      </c>
      <c r="K557" s="13">
        <f>IFERROR(__xludf.DUMMYFUNCTION("""COMPUTED_VALUE"""),43404.0)</f>
        <v>43404</v>
      </c>
      <c r="L557" s="6" t="str">
        <f>IFERROR(__xludf.DUMMYFUNCTION("""COMPUTED_VALUE"""),"FIP General")</f>
        <v>FIP General</v>
      </c>
      <c r="M557" s="6" t="str">
        <f>IFERROR(__xludf.DUMMYFUNCTION("""COMPUTED_VALUE"""),"Joko Nugroho")</f>
        <v>Joko Nugroho</v>
      </c>
      <c r="N557" s="6" t="str">
        <f>IFERROR(__xludf.DUMMYFUNCTION("""COMPUTED_VALUE"""),"FIP Engineering")</f>
        <v>FIP Engineering</v>
      </c>
      <c r="O557" s="6" t="str">
        <f>IFERROR(__xludf.DUMMYFUNCTION("""COMPUTED_VALUE"""),"FIP-DOM-ENG-51502-0000000-INA-000000")</f>
        <v>FIP-DOM-ENG-51502-0000000-INA-000000</v>
      </c>
      <c r="P557" s="6" t="str">
        <f>IFERROR(__xludf.DUMMYFUNCTION("""COMPUTED_VALUE"""),"PO Closed")</f>
        <v>PO Closed</v>
      </c>
      <c r="Q557" s="6" t="str">
        <f>IFERROR(__xludf.DUMMYFUNCTION("""COMPUTED_VALUE"""),"GL1810047")</f>
        <v>GL1810047</v>
      </c>
      <c r="R557" s="16">
        <f>IFERROR(__xludf.DUMMYFUNCTION("""COMPUTED_VALUE"""),43388.0)</f>
        <v>43388</v>
      </c>
      <c r="S557" s="6" t="str">
        <f>IFERROR(__xludf.DUMMYFUNCTION("""COMPUTED_VALUE"""),"-")</f>
        <v>-</v>
      </c>
      <c r="T557" s="13">
        <f>IFERROR(__xludf.DUMMYFUNCTION("""COMPUTED_VALUE"""),43395.0)</f>
        <v>43395</v>
      </c>
    </row>
    <row r="558">
      <c r="A558" s="6" t="str">
        <f>IFERROR(__xludf.DUMMYFUNCTION("""COMPUTED_VALUE"""),"181750387-5")</f>
        <v>181750387-5</v>
      </c>
      <c r="B558" s="6" t="str">
        <f>IFERROR(__xludf.DUMMYFUNCTION("""COMPUTED_VALUE"""),"181750387 - Approved")</f>
        <v>181750387 - Approved</v>
      </c>
      <c r="C558" s="6">
        <f>IFERROR(__xludf.DUMMYFUNCTION("""COMPUTED_VALUE"""),5.0)</f>
        <v>5</v>
      </c>
      <c r="D558" s="6" t="str">
        <f>IFERROR(__xludf.DUMMYFUNCTION("""COMPUTED_VALUE"""),"Q-60026-00")</f>
        <v>Q-60026-00</v>
      </c>
      <c r="E558" s="6" t="str">
        <f>IFERROR(__xludf.DUMMYFUNCTION("""COMPUTED_VALUE"""),"Kuas Eterna 2""")</f>
        <v>Kuas Eterna 2"</v>
      </c>
      <c r="F558" s="6">
        <f>IFERROR(__xludf.DUMMYFUNCTION("""COMPUTED_VALUE"""),4.0)</f>
        <v>4</v>
      </c>
      <c r="G558" s="6" t="str">
        <f>IFERROR(__xludf.DUMMYFUNCTION("""COMPUTED_VALUE"""),"Pieces")</f>
        <v>Pieces</v>
      </c>
      <c r="H558" s="6" t="str">
        <f>IFERROR(__xludf.DUMMYFUNCTION("""COMPUTED_VALUE"""),"IDR")</f>
        <v>IDR</v>
      </c>
      <c r="I558" s="11">
        <f>IFERROR(__xludf.DUMMYFUNCTION("""COMPUTED_VALUE"""),8000.0)</f>
        <v>8000</v>
      </c>
      <c r="J558" s="11">
        <f>IFERROR(__xludf.DUMMYFUNCTION("""COMPUTED_VALUE"""),32000.0)</f>
        <v>32000</v>
      </c>
      <c r="K558" s="13">
        <f>IFERROR(__xludf.DUMMYFUNCTION("""COMPUTED_VALUE"""),43404.0)</f>
        <v>43404</v>
      </c>
      <c r="L558" s="6" t="str">
        <f>IFERROR(__xludf.DUMMYFUNCTION("""COMPUTED_VALUE"""),"FIP General")</f>
        <v>FIP General</v>
      </c>
      <c r="M558" s="6" t="str">
        <f>IFERROR(__xludf.DUMMYFUNCTION("""COMPUTED_VALUE"""),"Joko Nugroho")</f>
        <v>Joko Nugroho</v>
      </c>
      <c r="N558" s="6" t="str">
        <f>IFERROR(__xludf.DUMMYFUNCTION("""COMPUTED_VALUE"""),"FIP Engineering")</f>
        <v>FIP Engineering</v>
      </c>
      <c r="O558" s="6" t="str">
        <f>IFERROR(__xludf.DUMMYFUNCTION("""COMPUTED_VALUE"""),"FIP-DOM-ENG-51404-0000000-INA-000000")</f>
        <v>FIP-DOM-ENG-51404-0000000-INA-000000</v>
      </c>
      <c r="P558" s="6" t="str">
        <f>IFERROR(__xludf.DUMMYFUNCTION("""COMPUTED_VALUE"""),"PO Closed")</f>
        <v>PO Closed</v>
      </c>
      <c r="Q558" s="6" t="str">
        <f>IFERROR(__xludf.DUMMYFUNCTION("""COMPUTED_VALUE"""),"GL1810047")</f>
        <v>GL1810047</v>
      </c>
      <c r="R558" s="16">
        <f>IFERROR(__xludf.DUMMYFUNCTION("""COMPUTED_VALUE"""),43388.0)</f>
        <v>43388</v>
      </c>
      <c r="S558" s="6" t="str">
        <f>IFERROR(__xludf.DUMMYFUNCTION("""COMPUTED_VALUE"""),"-")</f>
        <v>-</v>
      </c>
      <c r="T558" s="13">
        <f>IFERROR(__xludf.DUMMYFUNCTION("""COMPUTED_VALUE"""),43395.0)</f>
        <v>43395</v>
      </c>
    </row>
    <row r="559">
      <c r="A559" s="6" t="str">
        <f>IFERROR(__xludf.DUMMYFUNCTION("""COMPUTED_VALUE"""),"181750387-6")</f>
        <v>181750387-6</v>
      </c>
      <c r="B559" s="6" t="str">
        <f>IFERROR(__xludf.DUMMYFUNCTION("""COMPUTED_VALUE"""),"181750387 - Approved")</f>
        <v>181750387 - Approved</v>
      </c>
      <c r="C559" s="6">
        <f>IFERROR(__xludf.DUMMYFUNCTION("""COMPUTED_VALUE"""),6.0)</f>
        <v>6</v>
      </c>
      <c r="D559" s="6" t="str">
        <f>IFERROR(__xludf.DUMMYFUNCTION("""COMPUTED_VALUE"""),"P-51825-00")</f>
        <v>P-51825-00</v>
      </c>
      <c r="E559" s="6" t="str">
        <f>IFERROR(__xludf.DUMMYFUNCTION("""COMPUTED_VALUE"""),"Lampu LED 5 W; ; ;")</f>
        <v>Lampu LED 5 W; ; ;</v>
      </c>
      <c r="F559" s="6">
        <f>IFERROR(__xludf.DUMMYFUNCTION("""COMPUTED_VALUE"""),2.0)</f>
        <v>2</v>
      </c>
      <c r="G559" s="6" t="str">
        <f>IFERROR(__xludf.DUMMYFUNCTION("""COMPUTED_VALUE"""),"Pieces")</f>
        <v>Pieces</v>
      </c>
      <c r="H559" s="6" t="str">
        <f>IFERROR(__xludf.DUMMYFUNCTION("""COMPUTED_VALUE"""),"IDR")</f>
        <v>IDR</v>
      </c>
      <c r="I559" s="11">
        <f>IFERROR(__xludf.DUMMYFUNCTION("""COMPUTED_VALUE"""),65000.0)</f>
        <v>65000</v>
      </c>
      <c r="J559" s="11">
        <f>IFERROR(__xludf.DUMMYFUNCTION("""COMPUTED_VALUE"""),130000.0)</f>
        <v>130000</v>
      </c>
      <c r="K559" s="13">
        <f>IFERROR(__xludf.DUMMYFUNCTION("""COMPUTED_VALUE"""),43404.0)</f>
        <v>43404</v>
      </c>
      <c r="L559" s="6" t="str">
        <f>IFERROR(__xludf.DUMMYFUNCTION("""COMPUTED_VALUE"""),"FIP Engineering")</f>
        <v>FIP Engineering</v>
      </c>
      <c r="M559" s="6" t="str">
        <f>IFERROR(__xludf.DUMMYFUNCTION("""COMPUTED_VALUE"""),"Joko Nugroho")</f>
        <v>Joko Nugroho</v>
      </c>
      <c r="N559" s="6" t="str">
        <f>IFERROR(__xludf.DUMMYFUNCTION("""COMPUTED_VALUE"""),"FIP Engineering")</f>
        <v>FIP Engineering</v>
      </c>
      <c r="O559" s="6" t="str">
        <f>IFERROR(__xludf.DUMMYFUNCTION("""COMPUTED_VALUE"""),"FIP-DOM-000-11304-OS00001-INA-000000")</f>
        <v>FIP-DOM-000-11304-OS00001-INA-000000</v>
      </c>
      <c r="P559" s="6" t="str">
        <f>IFERROR(__xludf.DUMMYFUNCTION("""COMPUTED_VALUE"""),"PO Closed")</f>
        <v>PO Closed</v>
      </c>
      <c r="Q559" s="6" t="str">
        <f>IFERROR(__xludf.DUMMYFUNCTION("""COMPUTED_VALUE"""),"GL1810047")</f>
        <v>GL1810047</v>
      </c>
      <c r="R559" s="16">
        <f>IFERROR(__xludf.DUMMYFUNCTION("""COMPUTED_VALUE"""),43388.0)</f>
        <v>43388</v>
      </c>
      <c r="S559" s="6" t="str">
        <f>IFERROR(__xludf.DUMMYFUNCTION("""COMPUTED_VALUE"""),"-")</f>
        <v>-</v>
      </c>
      <c r="T559" s="17">
        <f>IFERROR(__xludf.DUMMYFUNCTION("""COMPUTED_VALUE"""),43395.0)</f>
        <v>43395</v>
      </c>
    </row>
    <row r="560">
      <c r="A560" s="6" t="str">
        <f>IFERROR(__xludf.DUMMYFUNCTION("""COMPUTED_VALUE"""),"181750387-7")</f>
        <v>181750387-7</v>
      </c>
      <c r="B560" s="6" t="str">
        <f>IFERROR(__xludf.DUMMYFUNCTION("""COMPUTED_VALUE"""),"181750387 - Approved")</f>
        <v>181750387 - Approved</v>
      </c>
      <c r="C560" s="6">
        <f>IFERROR(__xludf.DUMMYFUNCTION("""COMPUTED_VALUE"""),7.0)</f>
        <v>7</v>
      </c>
      <c r="D560" s="6" t="str">
        <f>IFERROR(__xludf.DUMMYFUNCTION("""COMPUTED_VALUE"""),"Q-10537-00")</f>
        <v>Q-10537-00</v>
      </c>
      <c r="E560" s="6" t="str">
        <f>IFERROR(__xludf.DUMMYFUNCTION("""COMPUTED_VALUE"""),"Gerinda Beton; ; ;")</f>
        <v>Gerinda Beton; ; ;</v>
      </c>
      <c r="F560" s="6">
        <f>IFERROR(__xludf.DUMMYFUNCTION("""COMPUTED_VALUE"""),1.0)</f>
        <v>1</v>
      </c>
      <c r="G560" s="6" t="str">
        <f>IFERROR(__xludf.DUMMYFUNCTION("""COMPUTED_VALUE"""),"Unit")</f>
        <v>Unit</v>
      </c>
      <c r="H560" s="6" t="str">
        <f>IFERROR(__xludf.DUMMYFUNCTION("""COMPUTED_VALUE"""),"IDR")</f>
        <v>IDR</v>
      </c>
      <c r="I560" s="11">
        <f>IFERROR(__xludf.DUMMYFUNCTION("""COMPUTED_VALUE"""),80000.0)</f>
        <v>80000</v>
      </c>
      <c r="J560" s="11">
        <f>IFERROR(__xludf.DUMMYFUNCTION("""COMPUTED_VALUE"""),80000.0)</f>
        <v>80000</v>
      </c>
      <c r="K560" s="13">
        <f>IFERROR(__xludf.DUMMYFUNCTION("""COMPUTED_VALUE"""),43404.0)</f>
        <v>43404</v>
      </c>
      <c r="L560" s="6" t="str">
        <f>IFERROR(__xludf.DUMMYFUNCTION("""COMPUTED_VALUE"""),"FIP General")</f>
        <v>FIP General</v>
      </c>
      <c r="M560" s="6" t="str">
        <f>IFERROR(__xludf.DUMMYFUNCTION("""COMPUTED_VALUE"""),"Joko Nugroho")</f>
        <v>Joko Nugroho</v>
      </c>
      <c r="N560" s="6" t="str">
        <f>IFERROR(__xludf.DUMMYFUNCTION("""COMPUTED_VALUE"""),"FIP Engineering")</f>
        <v>FIP Engineering</v>
      </c>
      <c r="O560" s="6" t="str">
        <f>IFERROR(__xludf.DUMMYFUNCTION("""COMPUTED_VALUE"""),"FIP-DOM-ENG-51502-0000000-INA-000000")</f>
        <v>FIP-DOM-ENG-51502-0000000-INA-000000</v>
      </c>
      <c r="P560" s="6" t="str">
        <f>IFERROR(__xludf.DUMMYFUNCTION("""COMPUTED_VALUE"""),"PO Closed")</f>
        <v>PO Closed</v>
      </c>
      <c r="Q560" s="6" t="str">
        <f>IFERROR(__xludf.DUMMYFUNCTION("""COMPUTED_VALUE"""),"GL1810047")</f>
        <v>GL1810047</v>
      </c>
      <c r="R560" s="17">
        <f>IFERROR(__xludf.DUMMYFUNCTION("""COMPUTED_VALUE"""),43388.0)</f>
        <v>43388</v>
      </c>
      <c r="S560" s="6" t="str">
        <f>IFERROR(__xludf.DUMMYFUNCTION("""COMPUTED_VALUE"""),"-")</f>
        <v>-</v>
      </c>
      <c r="T560" s="13">
        <f>IFERROR(__xludf.DUMMYFUNCTION("""COMPUTED_VALUE"""),43395.0)</f>
        <v>43395</v>
      </c>
    </row>
    <row r="561">
      <c r="A561" s="6" t="str">
        <f>IFERROR(__xludf.DUMMYFUNCTION("""COMPUTED_VALUE"""),"181750387-9")</f>
        <v>181750387-9</v>
      </c>
      <c r="B561" s="6" t="str">
        <f>IFERROR(__xludf.DUMMYFUNCTION("""COMPUTED_VALUE"""),"181750387 - Approved")</f>
        <v>181750387 - Approved</v>
      </c>
      <c r="C561" s="6">
        <f>IFERROR(__xludf.DUMMYFUNCTION("""COMPUTED_VALUE"""),9.0)</f>
        <v>9</v>
      </c>
      <c r="D561" s="6" t="str">
        <f>IFERROR(__xludf.DUMMYFUNCTION("""COMPUTED_VALUE"""),"P-17071-00")</f>
        <v>P-17071-00</v>
      </c>
      <c r="E561" s="6" t="str">
        <f>IFERROR(__xludf.DUMMYFUNCTION("""COMPUTED_VALUE"""),"Double neeple SS 304 dia 1/4inch; ; ;")</f>
        <v>Double neeple SS 304 dia 1/4inch; ; ;</v>
      </c>
      <c r="F561" s="6">
        <f>IFERROR(__xludf.DUMMYFUNCTION("""COMPUTED_VALUE"""),1.0)</f>
        <v>1</v>
      </c>
      <c r="G561" s="6" t="str">
        <f>IFERROR(__xludf.DUMMYFUNCTION("""COMPUTED_VALUE"""),"Pieces")</f>
        <v>Pieces</v>
      </c>
      <c r="H561" s="6" t="str">
        <f>IFERROR(__xludf.DUMMYFUNCTION("""COMPUTED_VALUE"""),"IDR")</f>
        <v>IDR</v>
      </c>
      <c r="I561" s="11">
        <f>IFERROR(__xludf.DUMMYFUNCTION("""COMPUTED_VALUE"""),55000.0)</f>
        <v>55000</v>
      </c>
      <c r="J561" s="11">
        <f>IFERROR(__xludf.DUMMYFUNCTION("""COMPUTED_VALUE"""),55000.0)</f>
        <v>55000</v>
      </c>
      <c r="K561" s="13">
        <f>IFERROR(__xludf.DUMMYFUNCTION("""COMPUTED_VALUE"""),43404.0)</f>
        <v>43404</v>
      </c>
      <c r="L561" s="6" t="str">
        <f>IFERROR(__xludf.DUMMYFUNCTION("""COMPUTED_VALUE"""),"FIP General")</f>
        <v>FIP General</v>
      </c>
      <c r="M561" s="6" t="str">
        <f>IFERROR(__xludf.DUMMYFUNCTION("""COMPUTED_VALUE"""),"Joko Nugroho")</f>
        <v>Joko Nugroho</v>
      </c>
      <c r="N561" s="6" t="str">
        <f>IFERROR(__xludf.DUMMYFUNCTION("""COMPUTED_VALUE"""),"FIP Engineering")</f>
        <v>FIP Engineering</v>
      </c>
      <c r="O561" s="6" t="str">
        <f>IFERROR(__xludf.DUMMYFUNCTION("""COMPUTED_VALUE"""),"FIP-DOM-ENG-51404-0000000-INA-000000")</f>
        <v>FIP-DOM-ENG-51404-0000000-INA-000000</v>
      </c>
      <c r="P561" s="6" t="str">
        <f>IFERROR(__xludf.DUMMYFUNCTION("""COMPUTED_VALUE"""),"PO Closed")</f>
        <v>PO Closed</v>
      </c>
      <c r="Q561" s="6" t="str">
        <f>IFERROR(__xludf.DUMMYFUNCTION("""COMPUTED_VALUE"""),"GL1810047")</f>
        <v>GL1810047</v>
      </c>
      <c r="R561" s="16">
        <f>IFERROR(__xludf.DUMMYFUNCTION("""COMPUTED_VALUE"""),43388.0)</f>
        <v>43388</v>
      </c>
      <c r="S561" s="6" t="str">
        <f>IFERROR(__xludf.DUMMYFUNCTION("""COMPUTED_VALUE"""),"-")</f>
        <v>-</v>
      </c>
      <c r="T561" s="13">
        <f>IFERROR(__xludf.DUMMYFUNCTION("""COMPUTED_VALUE"""),43395.0)</f>
        <v>43395</v>
      </c>
    </row>
    <row r="562">
      <c r="A562" s="6" t="str">
        <f>IFERROR(__xludf.DUMMYFUNCTION("""COMPUTED_VALUE"""),"181750387-10")</f>
        <v>181750387-10</v>
      </c>
      <c r="B562" s="6" t="str">
        <f>IFERROR(__xludf.DUMMYFUNCTION("""COMPUTED_VALUE"""),"181750387 - Approved")</f>
        <v>181750387 - Approved</v>
      </c>
      <c r="C562" s="6">
        <f>IFERROR(__xludf.DUMMYFUNCTION("""COMPUTED_VALUE"""),10.0)</f>
        <v>10</v>
      </c>
      <c r="D562" s="6" t="str">
        <f>IFERROR(__xludf.DUMMYFUNCTION("""COMPUTED_VALUE"""),"P-50797-00")</f>
        <v>P-50797-00</v>
      </c>
      <c r="E562" s="6" t="str">
        <f>IFERROR(__xludf.DUMMYFUNCTION("""COMPUTED_VALUE"""),"Bola lampu 24V 5 Watt")</f>
        <v>Bola lampu 24V 5 Watt</v>
      </c>
      <c r="F562" s="6">
        <f>IFERROR(__xludf.DUMMYFUNCTION("""COMPUTED_VALUE"""),3.0)</f>
        <v>3</v>
      </c>
      <c r="G562" s="6" t="str">
        <f>IFERROR(__xludf.DUMMYFUNCTION("""COMPUTED_VALUE"""),"Pieces")</f>
        <v>Pieces</v>
      </c>
      <c r="H562" s="6" t="str">
        <f>IFERROR(__xludf.DUMMYFUNCTION("""COMPUTED_VALUE"""),"IDR")</f>
        <v>IDR</v>
      </c>
      <c r="I562" s="11">
        <f>IFERROR(__xludf.DUMMYFUNCTION("""COMPUTED_VALUE"""),28000.0)</f>
        <v>28000</v>
      </c>
      <c r="J562" s="11">
        <f>IFERROR(__xludf.DUMMYFUNCTION("""COMPUTED_VALUE"""),84000.0)</f>
        <v>84000</v>
      </c>
      <c r="K562" s="13">
        <f>IFERROR(__xludf.DUMMYFUNCTION("""COMPUTED_VALUE"""),43404.0)</f>
        <v>43404</v>
      </c>
      <c r="L562" s="6" t="str">
        <f>IFERROR(__xludf.DUMMYFUNCTION("""COMPUTED_VALUE"""),"FIP Engineering")</f>
        <v>FIP Engineering</v>
      </c>
      <c r="M562" s="6" t="str">
        <f>IFERROR(__xludf.DUMMYFUNCTION("""COMPUTED_VALUE"""),"Joko Nugroho")</f>
        <v>Joko Nugroho</v>
      </c>
      <c r="N562" s="6" t="str">
        <f>IFERROR(__xludf.DUMMYFUNCTION("""COMPUTED_VALUE"""),"FIP Engineering")</f>
        <v>FIP Engineering</v>
      </c>
      <c r="O562" s="6" t="str">
        <f>IFERROR(__xludf.DUMMYFUNCTION("""COMPUTED_VALUE"""),"FIP-DOM-000-11304-OS00001-INA-000000")</f>
        <v>FIP-DOM-000-11304-OS00001-INA-000000</v>
      </c>
      <c r="P562" s="6" t="str">
        <f>IFERROR(__xludf.DUMMYFUNCTION("""COMPUTED_VALUE"""),"PO Closed")</f>
        <v>PO Closed</v>
      </c>
      <c r="Q562" s="6" t="str">
        <f>IFERROR(__xludf.DUMMYFUNCTION("""COMPUTED_VALUE"""),"GL1810047")</f>
        <v>GL1810047</v>
      </c>
      <c r="R562" s="16">
        <f>IFERROR(__xludf.DUMMYFUNCTION("""COMPUTED_VALUE"""),43388.0)</f>
        <v>43388</v>
      </c>
      <c r="S562" s="6" t="str">
        <f>IFERROR(__xludf.DUMMYFUNCTION("""COMPUTED_VALUE"""),"-")</f>
        <v>-</v>
      </c>
      <c r="T562" s="13">
        <f>IFERROR(__xludf.DUMMYFUNCTION("""COMPUTED_VALUE"""),43395.0)</f>
        <v>43395</v>
      </c>
    </row>
    <row r="563">
      <c r="A563" s="6" t="str">
        <f>IFERROR(__xludf.DUMMYFUNCTION("""COMPUTED_VALUE"""),"181750387-11")</f>
        <v>181750387-11</v>
      </c>
      <c r="B563" s="6" t="str">
        <f>IFERROR(__xludf.DUMMYFUNCTION("""COMPUTED_VALUE"""),"181750387 - Approved")</f>
        <v>181750387 - Approved</v>
      </c>
      <c r="C563" s="6">
        <f>IFERROR(__xludf.DUMMYFUNCTION("""COMPUTED_VALUE"""),11.0)</f>
        <v>11</v>
      </c>
      <c r="D563" s="6" t="str">
        <f>IFERROR(__xludf.DUMMYFUNCTION("""COMPUTED_VALUE"""),"P-51824-00")</f>
        <v>P-51824-00</v>
      </c>
      <c r="E563" s="6" t="str">
        <f>IFERROR(__xludf.DUMMYFUNCTION("""COMPUTED_VALUE"""),"Connector Plug; ; ;")</f>
        <v>Connector Plug; ; ;</v>
      </c>
      <c r="F563" s="6">
        <f>IFERROR(__xludf.DUMMYFUNCTION("""COMPUTED_VALUE"""),6.0)</f>
        <v>6</v>
      </c>
      <c r="G563" s="6" t="str">
        <f>IFERROR(__xludf.DUMMYFUNCTION("""COMPUTED_VALUE"""),"Pieces")</f>
        <v>Pieces</v>
      </c>
      <c r="H563" s="6" t="str">
        <f>IFERROR(__xludf.DUMMYFUNCTION("""COMPUTED_VALUE"""),"IDR")</f>
        <v>IDR</v>
      </c>
      <c r="I563" s="11">
        <f>IFERROR(__xludf.DUMMYFUNCTION("""COMPUTED_VALUE"""),11000.0)</f>
        <v>11000</v>
      </c>
      <c r="J563" s="11">
        <f>IFERROR(__xludf.DUMMYFUNCTION("""COMPUTED_VALUE"""),66000.0)</f>
        <v>66000</v>
      </c>
      <c r="K563" s="13">
        <f>IFERROR(__xludf.DUMMYFUNCTION("""COMPUTED_VALUE"""),43404.0)</f>
        <v>43404</v>
      </c>
      <c r="L563" s="6" t="str">
        <f>IFERROR(__xludf.DUMMYFUNCTION("""COMPUTED_VALUE"""),"FIP General")</f>
        <v>FIP General</v>
      </c>
      <c r="M563" s="6" t="str">
        <f>IFERROR(__xludf.DUMMYFUNCTION("""COMPUTED_VALUE"""),"Joko Nugroho")</f>
        <v>Joko Nugroho</v>
      </c>
      <c r="N563" s="6" t="str">
        <f>IFERROR(__xludf.DUMMYFUNCTION("""COMPUTED_VALUE"""),"FIP Engineering")</f>
        <v>FIP Engineering</v>
      </c>
      <c r="O563" s="6" t="str">
        <f>IFERROR(__xludf.DUMMYFUNCTION("""COMPUTED_VALUE"""),"FIP-DOM-ENG-51404-0000000-INA-000000")</f>
        <v>FIP-DOM-ENG-51404-0000000-INA-000000</v>
      </c>
      <c r="P563" s="6" t="str">
        <f>IFERROR(__xludf.DUMMYFUNCTION("""COMPUTED_VALUE"""),"PO Closed")</f>
        <v>PO Closed</v>
      </c>
      <c r="Q563" s="6" t="str">
        <f>IFERROR(__xludf.DUMMYFUNCTION("""COMPUTED_VALUE"""),"GL1810047")</f>
        <v>GL1810047</v>
      </c>
      <c r="R563" s="16">
        <f>IFERROR(__xludf.DUMMYFUNCTION("""COMPUTED_VALUE"""),43388.0)</f>
        <v>43388</v>
      </c>
      <c r="S563" s="6" t="str">
        <f>IFERROR(__xludf.DUMMYFUNCTION("""COMPUTED_VALUE"""),"-")</f>
        <v>-</v>
      </c>
      <c r="T563" s="13">
        <f>IFERROR(__xludf.DUMMYFUNCTION("""COMPUTED_VALUE"""),43395.0)</f>
        <v>43395</v>
      </c>
    </row>
    <row r="564">
      <c r="A564" s="6" t="str">
        <f>IFERROR(__xludf.DUMMYFUNCTION("""COMPUTED_VALUE"""),"181750387-12")</f>
        <v>181750387-12</v>
      </c>
      <c r="B564" s="6" t="str">
        <f>IFERROR(__xludf.DUMMYFUNCTION("""COMPUTED_VALUE"""),"181750387 - Approved")</f>
        <v>181750387 - Approved</v>
      </c>
      <c r="C564" s="6">
        <f>IFERROR(__xludf.DUMMYFUNCTION("""COMPUTED_VALUE"""),12.0)</f>
        <v>12</v>
      </c>
      <c r="D564" s="6" t="str">
        <f>IFERROR(__xludf.DUMMYFUNCTION("""COMPUTED_VALUE"""),"P-51824-00")</f>
        <v>P-51824-00</v>
      </c>
      <c r="E564" s="6" t="str">
        <f>IFERROR(__xludf.DUMMYFUNCTION("""COMPUTED_VALUE"""),"Connector Plug; ; ;")</f>
        <v>Connector Plug; ; ;</v>
      </c>
      <c r="F564" s="6">
        <f>IFERROR(__xludf.DUMMYFUNCTION("""COMPUTED_VALUE"""),3.0)</f>
        <v>3</v>
      </c>
      <c r="G564" s="6" t="str">
        <f>IFERROR(__xludf.DUMMYFUNCTION("""COMPUTED_VALUE"""),"Pieces")</f>
        <v>Pieces</v>
      </c>
      <c r="H564" s="6" t="str">
        <f>IFERROR(__xludf.DUMMYFUNCTION("""COMPUTED_VALUE"""),"IDR")</f>
        <v>IDR</v>
      </c>
      <c r="I564" s="11">
        <f>IFERROR(__xludf.DUMMYFUNCTION("""COMPUTED_VALUE"""),11000.0)</f>
        <v>11000</v>
      </c>
      <c r="J564" s="11">
        <f>IFERROR(__xludf.DUMMYFUNCTION("""COMPUTED_VALUE"""),33000.0)</f>
        <v>33000</v>
      </c>
      <c r="K564" s="13">
        <f>IFERROR(__xludf.DUMMYFUNCTION("""COMPUTED_VALUE"""),43404.0)</f>
        <v>43404</v>
      </c>
      <c r="L564" s="6" t="str">
        <f>IFERROR(__xludf.DUMMYFUNCTION("""COMPUTED_VALUE"""),"FIP General")</f>
        <v>FIP General</v>
      </c>
      <c r="M564" s="6" t="str">
        <f>IFERROR(__xludf.DUMMYFUNCTION("""COMPUTED_VALUE"""),"Joko Nugroho")</f>
        <v>Joko Nugroho</v>
      </c>
      <c r="N564" s="6" t="str">
        <f>IFERROR(__xludf.DUMMYFUNCTION("""COMPUTED_VALUE"""),"FIP Engineering")</f>
        <v>FIP Engineering</v>
      </c>
      <c r="O564" s="6" t="str">
        <f>IFERROR(__xludf.DUMMYFUNCTION("""COMPUTED_VALUE"""),"FIP-DOM-ENG-51404-0000000-INA-000000")</f>
        <v>FIP-DOM-ENG-51404-0000000-INA-000000</v>
      </c>
      <c r="P564" s="6" t="str">
        <f>IFERROR(__xludf.DUMMYFUNCTION("""COMPUTED_VALUE"""),"PO Closed")</f>
        <v>PO Closed</v>
      </c>
      <c r="Q564" s="6" t="str">
        <f>IFERROR(__xludf.DUMMYFUNCTION("""COMPUTED_VALUE"""),"GL1810047")</f>
        <v>GL1810047</v>
      </c>
      <c r="R564" s="16">
        <f>IFERROR(__xludf.DUMMYFUNCTION("""COMPUTED_VALUE"""),43388.0)</f>
        <v>43388</v>
      </c>
      <c r="S564" s="6" t="str">
        <f>IFERROR(__xludf.DUMMYFUNCTION("""COMPUTED_VALUE"""),"-")</f>
        <v>-</v>
      </c>
      <c r="T564" s="17">
        <f>IFERROR(__xludf.DUMMYFUNCTION("""COMPUTED_VALUE"""),43395.0)</f>
        <v>43395</v>
      </c>
    </row>
    <row r="565">
      <c r="A565" s="6" t="str">
        <f>IFERROR(__xludf.DUMMYFUNCTION("""COMPUTED_VALUE"""),"181750387-13")</f>
        <v>181750387-13</v>
      </c>
      <c r="B565" s="6" t="str">
        <f>IFERROR(__xludf.DUMMYFUNCTION("""COMPUTED_VALUE"""),"181750387 - Approved")</f>
        <v>181750387 - Approved</v>
      </c>
      <c r="C565" s="6">
        <f>IFERROR(__xludf.DUMMYFUNCTION("""COMPUTED_VALUE"""),13.0)</f>
        <v>13</v>
      </c>
      <c r="D565" s="6" t="str">
        <f>IFERROR(__xludf.DUMMYFUNCTION("""COMPUTED_VALUE"""),"S-60002-00")</f>
        <v>S-60002-00</v>
      </c>
      <c r="E565" s="6" t="str">
        <f>IFERROR(__xludf.DUMMYFUNCTION("""COMPUTED_VALUE"""),"Biaya Kirim Konektor Plug JNE Reguler")</f>
        <v>Biaya Kirim Konektor Plug JNE Reguler</v>
      </c>
      <c r="F565" s="6">
        <f>IFERROR(__xludf.DUMMYFUNCTION("""COMPUTED_VALUE"""),1.0)</f>
        <v>1</v>
      </c>
      <c r="G565" s="6" t="str">
        <f>IFERROR(__xludf.DUMMYFUNCTION("""COMPUTED_VALUE"""),"Lot")</f>
        <v>Lot</v>
      </c>
      <c r="H565" s="6" t="str">
        <f>IFERROR(__xludf.DUMMYFUNCTION("""COMPUTED_VALUE"""),"IDR")</f>
        <v>IDR</v>
      </c>
      <c r="I565" s="11">
        <f>IFERROR(__xludf.DUMMYFUNCTION("""COMPUTED_VALUE"""),9000.0)</f>
        <v>9000</v>
      </c>
      <c r="J565" s="11">
        <f>IFERROR(__xludf.DUMMYFUNCTION("""COMPUTED_VALUE"""),9000.0)</f>
        <v>9000</v>
      </c>
      <c r="K565" s="13">
        <f>IFERROR(__xludf.DUMMYFUNCTION("""COMPUTED_VALUE"""),43404.0)</f>
        <v>43404</v>
      </c>
      <c r="L565" s="6" t="str">
        <f>IFERROR(__xludf.DUMMYFUNCTION("""COMPUTED_VALUE"""),"FIP General")</f>
        <v>FIP General</v>
      </c>
      <c r="M565" s="6" t="str">
        <f>IFERROR(__xludf.DUMMYFUNCTION("""COMPUTED_VALUE"""),"Joko Nugroho")</f>
        <v>Joko Nugroho</v>
      </c>
      <c r="N565" s="6" t="str">
        <f>IFERROR(__xludf.DUMMYFUNCTION("""COMPUTED_VALUE"""),"FIP Engineering")</f>
        <v>FIP Engineering</v>
      </c>
      <c r="O565" s="6" t="str">
        <f>IFERROR(__xludf.DUMMYFUNCTION("""COMPUTED_VALUE"""),"FIP-DOM-ENG-51508-0000000-INA-000000")</f>
        <v>FIP-DOM-ENG-51508-0000000-INA-000000</v>
      </c>
      <c r="P565" s="6" t="str">
        <f>IFERROR(__xludf.DUMMYFUNCTION("""COMPUTED_VALUE"""),"PO Closed")</f>
        <v>PO Closed</v>
      </c>
      <c r="Q565" s="6" t="str">
        <f>IFERROR(__xludf.DUMMYFUNCTION("""COMPUTED_VALUE"""),"GL1810047")</f>
        <v>GL1810047</v>
      </c>
      <c r="R565" s="16">
        <f>IFERROR(__xludf.DUMMYFUNCTION("""COMPUTED_VALUE"""),43388.0)</f>
        <v>43388</v>
      </c>
      <c r="S565" s="6" t="str">
        <f>IFERROR(__xludf.DUMMYFUNCTION("""COMPUTED_VALUE"""),"-")</f>
        <v>-</v>
      </c>
      <c r="T565" s="13">
        <f>IFERROR(__xludf.DUMMYFUNCTION("""COMPUTED_VALUE"""),43395.0)</f>
        <v>43395</v>
      </c>
    </row>
    <row r="566">
      <c r="A566" s="6" t="str">
        <f>IFERROR(__xludf.DUMMYFUNCTION("""COMPUTED_VALUE"""),"181750387-14")</f>
        <v>181750387-14</v>
      </c>
      <c r="B566" s="6" t="str">
        <f>IFERROR(__xludf.DUMMYFUNCTION("""COMPUTED_VALUE"""),"181750387 - Approved")</f>
        <v>181750387 - Approved</v>
      </c>
      <c r="C566" s="6">
        <f>IFERROR(__xludf.DUMMYFUNCTION("""COMPUTED_VALUE"""),14.0)</f>
        <v>14</v>
      </c>
      <c r="D566" s="6" t="str">
        <f>IFERROR(__xludf.DUMMYFUNCTION("""COMPUTED_VALUE"""),"P-51825-00")</f>
        <v>P-51825-00</v>
      </c>
      <c r="E566" s="6" t="str">
        <f>IFERROR(__xludf.DUMMYFUNCTION("""COMPUTED_VALUE"""),"Lampu LED 5 W; ; ;")</f>
        <v>Lampu LED 5 W; ; ;</v>
      </c>
      <c r="F566" s="6">
        <f>IFERROR(__xludf.DUMMYFUNCTION("""COMPUTED_VALUE"""),2.0)</f>
        <v>2</v>
      </c>
      <c r="G566" s="6" t="str">
        <f>IFERROR(__xludf.DUMMYFUNCTION("""COMPUTED_VALUE"""),"Pieces")</f>
        <v>Pieces</v>
      </c>
      <c r="H566" s="6" t="str">
        <f>IFERROR(__xludf.DUMMYFUNCTION("""COMPUTED_VALUE"""),"IDR")</f>
        <v>IDR</v>
      </c>
      <c r="I566" s="11">
        <f>IFERROR(__xludf.DUMMYFUNCTION("""COMPUTED_VALUE"""),37500.0)</f>
        <v>37500</v>
      </c>
      <c r="J566" s="11">
        <f>IFERROR(__xludf.DUMMYFUNCTION("""COMPUTED_VALUE"""),75000.0)</f>
        <v>75000</v>
      </c>
      <c r="K566" s="13">
        <f>IFERROR(__xludf.DUMMYFUNCTION("""COMPUTED_VALUE"""),43404.0)</f>
        <v>43404</v>
      </c>
      <c r="L566" s="6" t="str">
        <f>IFERROR(__xludf.DUMMYFUNCTION("""COMPUTED_VALUE"""),"FIP Engineering")</f>
        <v>FIP Engineering</v>
      </c>
      <c r="M566" s="6" t="str">
        <f>IFERROR(__xludf.DUMMYFUNCTION("""COMPUTED_VALUE"""),"Joko Nugroho")</f>
        <v>Joko Nugroho</v>
      </c>
      <c r="N566" s="6" t="str">
        <f>IFERROR(__xludf.DUMMYFUNCTION("""COMPUTED_VALUE"""),"FIP Engineering")</f>
        <v>FIP Engineering</v>
      </c>
      <c r="O566" s="6" t="str">
        <f>IFERROR(__xludf.DUMMYFUNCTION("""COMPUTED_VALUE"""),"FIP-DOM-000-11304-OS00001-INA-000000")</f>
        <v>FIP-DOM-000-11304-OS00001-INA-000000</v>
      </c>
      <c r="P566" s="6" t="str">
        <f>IFERROR(__xludf.DUMMYFUNCTION("""COMPUTED_VALUE"""),"PO Closed")</f>
        <v>PO Closed</v>
      </c>
      <c r="Q566" s="6" t="str">
        <f>IFERROR(__xludf.DUMMYFUNCTION("""COMPUTED_VALUE"""),"GL1810047")</f>
        <v>GL1810047</v>
      </c>
      <c r="R566" s="16">
        <f>IFERROR(__xludf.DUMMYFUNCTION("""COMPUTED_VALUE"""),43388.0)</f>
        <v>43388</v>
      </c>
      <c r="S566" s="6" t="str">
        <f>IFERROR(__xludf.DUMMYFUNCTION("""COMPUTED_VALUE"""),"-")</f>
        <v>-</v>
      </c>
      <c r="T566" s="13">
        <f>IFERROR(__xludf.DUMMYFUNCTION("""COMPUTED_VALUE"""),43395.0)</f>
        <v>43395</v>
      </c>
    </row>
    <row r="567">
      <c r="A567" s="6" t="str">
        <f>IFERROR(__xludf.DUMMYFUNCTION("""COMPUTED_VALUE"""),"181750387-15")</f>
        <v>181750387-15</v>
      </c>
      <c r="B567" s="6" t="str">
        <f>IFERROR(__xludf.DUMMYFUNCTION("""COMPUTED_VALUE"""),"181750387 - Approved")</f>
        <v>181750387 - Approved</v>
      </c>
      <c r="C567" s="6">
        <f>IFERROR(__xludf.DUMMYFUNCTION("""COMPUTED_VALUE"""),15.0)</f>
        <v>15</v>
      </c>
      <c r="D567" s="6" t="str">
        <f>IFERROR(__xludf.DUMMYFUNCTION("""COMPUTED_VALUE"""),"S-60002-00")</f>
        <v>S-60002-00</v>
      </c>
      <c r="E567" s="6" t="str">
        <f>IFERROR(__xludf.DUMMYFUNCTION("""COMPUTED_VALUE"""),"Biaya Kirim Lampu LED Sensor Gerak Hannochs 5W JNE Reguler")</f>
        <v>Biaya Kirim Lampu LED Sensor Gerak Hannochs 5W JNE Reguler</v>
      </c>
      <c r="F567" s="6">
        <f>IFERROR(__xludf.DUMMYFUNCTION("""COMPUTED_VALUE"""),1.0)</f>
        <v>1</v>
      </c>
      <c r="G567" s="6" t="str">
        <f>IFERROR(__xludf.DUMMYFUNCTION("""COMPUTED_VALUE"""),"Lot")</f>
        <v>Lot</v>
      </c>
      <c r="H567" s="6" t="str">
        <f>IFERROR(__xludf.DUMMYFUNCTION("""COMPUTED_VALUE"""),"IDR")</f>
        <v>IDR</v>
      </c>
      <c r="I567" s="11">
        <f>IFERROR(__xludf.DUMMYFUNCTION("""COMPUTED_VALUE"""),9000.0)</f>
        <v>9000</v>
      </c>
      <c r="J567" s="11">
        <f>IFERROR(__xludf.DUMMYFUNCTION("""COMPUTED_VALUE"""),9000.0)</f>
        <v>9000</v>
      </c>
      <c r="K567" s="13">
        <f>IFERROR(__xludf.DUMMYFUNCTION("""COMPUTED_VALUE"""),43404.0)</f>
        <v>43404</v>
      </c>
      <c r="L567" s="6" t="str">
        <f>IFERROR(__xludf.DUMMYFUNCTION("""COMPUTED_VALUE"""),"FIP General")</f>
        <v>FIP General</v>
      </c>
      <c r="M567" s="6" t="str">
        <f>IFERROR(__xludf.DUMMYFUNCTION("""COMPUTED_VALUE"""),"Joko Nugroho")</f>
        <v>Joko Nugroho</v>
      </c>
      <c r="N567" s="6" t="str">
        <f>IFERROR(__xludf.DUMMYFUNCTION("""COMPUTED_VALUE"""),"FIP Engineering")</f>
        <v>FIP Engineering</v>
      </c>
      <c r="O567" s="6" t="str">
        <f>IFERROR(__xludf.DUMMYFUNCTION("""COMPUTED_VALUE"""),"FIP-DOM-ENG-51508-0000000-INA-000000")</f>
        <v>FIP-DOM-ENG-51508-0000000-INA-000000</v>
      </c>
      <c r="P567" s="6" t="str">
        <f>IFERROR(__xludf.DUMMYFUNCTION("""COMPUTED_VALUE"""),"PO Closed")</f>
        <v>PO Closed</v>
      </c>
      <c r="Q567" s="6" t="str">
        <f>IFERROR(__xludf.DUMMYFUNCTION("""COMPUTED_VALUE"""),"GL1810047")</f>
        <v>GL1810047</v>
      </c>
      <c r="R567" s="16">
        <f>IFERROR(__xludf.DUMMYFUNCTION("""COMPUTED_VALUE"""),43388.0)</f>
        <v>43388</v>
      </c>
      <c r="S567" s="6" t="str">
        <f>IFERROR(__xludf.DUMMYFUNCTION("""COMPUTED_VALUE"""),"-")</f>
        <v>-</v>
      </c>
      <c r="T567" s="13">
        <f>IFERROR(__xludf.DUMMYFUNCTION("""COMPUTED_VALUE"""),43395.0)</f>
        <v>43395</v>
      </c>
    </row>
    <row r="568">
      <c r="A568" s="6" t="str">
        <f>IFERROR(__xludf.DUMMYFUNCTION("""COMPUTED_VALUE"""),"181750395-1")</f>
        <v>181750395-1</v>
      </c>
      <c r="B568" s="6" t="str">
        <f>IFERROR(__xludf.DUMMYFUNCTION("""COMPUTED_VALUE"""),"181750395 - Approved")</f>
        <v>181750395 - Approved</v>
      </c>
      <c r="C568" s="6">
        <f>IFERROR(__xludf.DUMMYFUNCTION("""COMPUTED_VALUE"""),1.0)</f>
        <v>1</v>
      </c>
      <c r="D568" s="6" t="str">
        <f>IFERROR(__xludf.DUMMYFUNCTION("""COMPUTED_VALUE"""),"S-11401-00")</f>
        <v>S-11401-00</v>
      </c>
      <c r="E568" s="6" t="str">
        <f>IFERROR(__xludf.DUMMYFUNCTION("""COMPUTED_VALUE"""),"Lap KANEBO")</f>
        <v>Lap KANEBO</v>
      </c>
      <c r="F568" s="6">
        <f>IFERROR(__xludf.DUMMYFUNCTION("""COMPUTED_VALUE"""),4.0)</f>
        <v>4</v>
      </c>
      <c r="G568" s="6" t="str">
        <f>IFERROR(__xludf.DUMMYFUNCTION("""COMPUTED_VALUE"""),"Pieces")</f>
        <v>Pieces</v>
      </c>
      <c r="H568" s="6" t="str">
        <f>IFERROR(__xludf.DUMMYFUNCTION("""COMPUTED_VALUE"""),"IDR")</f>
        <v>IDR</v>
      </c>
      <c r="I568" s="11">
        <f>IFERROR(__xludf.DUMMYFUNCTION("""COMPUTED_VALUE"""),63000.0)</f>
        <v>63000</v>
      </c>
      <c r="J568" s="11">
        <f>IFERROR(__xludf.DUMMYFUNCTION("""COMPUTED_VALUE"""),252000.0)</f>
        <v>252000</v>
      </c>
      <c r="K568" s="13">
        <f>IFERROR(__xludf.DUMMYFUNCTION("""COMPUTED_VALUE"""),43434.0)</f>
        <v>43434</v>
      </c>
      <c r="L568" s="6" t="str">
        <f>IFERROR(__xludf.DUMMYFUNCTION("""COMPUTED_VALUE"""),"FIP General")</f>
        <v>FIP General</v>
      </c>
      <c r="M568" s="6" t="str">
        <f>IFERROR(__xludf.DUMMYFUNCTION("""COMPUTED_VALUE"""),"Putra Senjara")</f>
        <v>Putra Senjara</v>
      </c>
      <c r="N568" s="6" t="str">
        <f>IFERROR(__xludf.DUMMYFUNCTION("""COMPUTED_VALUE"""),"FIP Engineering")</f>
        <v>FIP Engineering</v>
      </c>
      <c r="O568" s="6" t="str">
        <f>IFERROR(__xludf.DUMMYFUNCTION("""COMPUTED_VALUE"""),"FIP-DOM-ENG-51302-0000000-INA-000000")</f>
        <v>FIP-DOM-ENG-51302-0000000-INA-000000</v>
      </c>
      <c r="P568" s="6" t="str">
        <f>IFERROR(__xludf.DUMMYFUNCTION("""COMPUTED_VALUE"""),"PO Closed")</f>
        <v>PO Closed</v>
      </c>
      <c r="Q568" s="6" t="str">
        <f>IFERROR(__xludf.DUMMYFUNCTION("""COMPUTED_VALUE"""),"GL1811051")</f>
        <v>GL1811051</v>
      </c>
      <c r="R568" s="16">
        <f>IFERROR(__xludf.DUMMYFUNCTION("""COMPUTED_VALUE"""),43392.0)</f>
        <v>43392</v>
      </c>
      <c r="S568" s="6" t="str">
        <f>IFERROR(__xludf.DUMMYFUNCTION("""COMPUTED_VALUE"""),"-")</f>
        <v>-</v>
      </c>
      <c r="T568" s="6" t="str">
        <f>IFERROR(__xludf.DUMMYFUNCTION("""COMPUTED_VALUE"""),"-")</f>
        <v>-</v>
      </c>
    </row>
    <row r="569">
      <c r="A569" s="6" t="str">
        <f>IFERROR(__xludf.DUMMYFUNCTION("""COMPUTED_VALUE"""),"181750395-2")</f>
        <v>181750395-2</v>
      </c>
      <c r="B569" s="6" t="str">
        <f>IFERROR(__xludf.DUMMYFUNCTION("""COMPUTED_VALUE"""),"181750395 - Approved")</f>
        <v>181750395 - Approved</v>
      </c>
      <c r="C569" s="6">
        <f>IFERROR(__xludf.DUMMYFUNCTION("""COMPUTED_VALUE"""),2.0)</f>
        <v>2</v>
      </c>
      <c r="D569" s="6" t="str">
        <f>IFERROR(__xludf.DUMMYFUNCTION("""COMPUTED_VALUE"""),"S-20003-00")</f>
        <v>S-20003-00</v>
      </c>
      <c r="E569" s="6" t="str">
        <f>IFERROR(__xludf.DUMMYFUNCTION("""COMPUTED_VALUE"""),"3M tm Half Facepiece Reusable Respirator 7502/37082(AAD); ; ;")</f>
        <v>3M tm Half Facepiece Reusable Respirator 7502/37082(AAD); ; ;</v>
      </c>
      <c r="F569" s="6">
        <f>IFERROR(__xludf.DUMMYFUNCTION("""COMPUTED_VALUE"""),3.0)</f>
        <v>3</v>
      </c>
      <c r="G569" s="6" t="str">
        <f>IFERROR(__xludf.DUMMYFUNCTION("""COMPUTED_VALUE"""),"Pieces")</f>
        <v>Pieces</v>
      </c>
      <c r="H569" s="6" t="str">
        <f>IFERROR(__xludf.DUMMYFUNCTION("""COMPUTED_VALUE"""),"IDR")</f>
        <v>IDR</v>
      </c>
      <c r="I569" s="11">
        <f>IFERROR(__xludf.DUMMYFUNCTION("""COMPUTED_VALUE"""),504000.0)</f>
        <v>504000</v>
      </c>
      <c r="J569" s="11">
        <f>IFERROR(__xludf.DUMMYFUNCTION("""COMPUTED_VALUE"""),1512000.0)</f>
        <v>1512000</v>
      </c>
      <c r="K569" s="13">
        <f>IFERROR(__xludf.DUMMYFUNCTION("""COMPUTED_VALUE"""),43434.0)</f>
        <v>43434</v>
      </c>
      <c r="L569" s="6" t="str">
        <f>IFERROR(__xludf.DUMMYFUNCTION("""COMPUTED_VALUE"""),"FIP General")</f>
        <v>FIP General</v>
      </c>
      <c r="M569" s="6" t="str">
        <f>IFERROR(__xludf.DUMMYFUNCTION("""COMPUTED_VALUE"""),"Putra Senjara")</f>
        <v>Putra Senjara</v>
      </c>
      <c r="N569" s="6" t="str">
        <f>IFERROR(__xludf.DUMMYFUNCTION("""COMPUTED_VALUE"""),"FIP Engineering")</f>
        <v>FIP Engineering</v>
      </c>
      <c r="O569" s="6" t="str">
        <f>IFERROR(__xludf.DUMMYFUNCTION("""COMPUTED_VALUE"""),"FIP-DOM-ENG-51302-0000000-INA-000000")</f>
        <v>FIP-DOM-ENG-51302-0000000-INA-000000</v>
      </c>
      <c r="P569" s="6" t="str">
        <f>IFERROR(__xludf.DUMMYFUNCTION("""COMPUTED_VALUE"""),"PO Closed")</f>
        <v>PO Closed</v>
      </c>
      <c r="Q569" s="6" t="str">
        <f>IFERROR(__xludf.DUMMYFUNCTION("""COMPUTED_VALUE"""),"GL1811052")</f>
        <v>GL1811052</v>
      </c>
      <c r="R569" s="16">
        <f>IFERROR(__xludf.DUMMYFUNCTION("""COMPUTED_VALUE"""),43392.0)</f>
        <v>43392</v>
      </c>
      <c r="S569" s="6" t="str">
        <f>IFERROR(__xludf.DUMMYFUNCTION("""COMPUTED_VALUE"""),"-")</f>
        <v>-</v>
      </c>
      <c r="T569" s="6" t="str">
        <f>IFERROR(__xludf.DUMMYFUNCTION("""COMPUTED_VALUE"""),"-")</f>
        <v>-</v>
      </c>
    </row>
    <row r="570">
      <c r="A570" s="6" t="str">
        <f>IFERROR(__xludf.DUMMYFUNCTION("""COMPUTED_VALUE"""),"181750395-3")</f>
        <v>181750395-3</v>
      </c>
      <c r="B570" s="6" t="str">
        <f>IFERROR(__xludf.DUMMYFUNCTION("""COMPUTED_VALUE"""),"181750395 - Approved")</f>
        <v>181750395 - Approved</v>
      </c>
      <c r="C570" s="6">
        <f>IFERROR(__xludf.DUMMYFUNCTION("""COMPUTED_VALUE"""),3.0)</f>
        <v>3</v>
      </c>
      <c r="D570" s="6" t="str">
        <f>IFERROR(__xludf.DUMMYFUNCTION("""COMPUTED_VALUE"""),"S-20024-00")</f>
        <v>S-20024-00</v>
      </c>
      <c r="E570" s="6" t="str">
        <f>IFERROR(__xludf.DUMMYFUNCTION("""COMPUTED_VALUE"""),"Goggles Chemical Splash CLR, 3M, 334AF, 10pcs/case")</f>
        <v>Goggles Chemical Splash CLR, 3M, 334AF, 10pcs/case</v>
      </c>
      <c r="F570" s="6">
        <f>IFERROR(__xludf.DUMMYFUNCTION("""COMPUTED_VALUE"""),4.0)</f>
        <v>4</v>
      </c>
      <c r="G570" s="6" t="str">
        <f>IFERROR(__xludf.DUMMYFUNCTION("""COMPUTED_VALUE"""),"Pieces")</f>
        <v>Pieces</v>
      </c>
      <c r="H570" s="6" t="str">
        <f>IFERROR(__xludf.DUMMYFUNCTION("""COMPUTED_VALUE"""),"IDR")</f>
        <v>IDR</v>
      </c>
      <c r="I570" s="11">
        <f>IFERROR(__xludf.DUMMYFUNCTION("""COMPUTED_VALUE"""),67500.0)</f>
        <v>67500</v>
      </c>
      <c r="J570" s="11">
        <f>IFERROR(__xludf.DUMMYFUNCTION("""COMPUTED_VALUE"""),270000.0)</f>
        <v>270000</v>
      </c>
      <c r="K570" s="13">
        <f>IFERROR(__xludf.DUMMYFUNCTION("""COMPUTED_VALUE"""),43434.0)</f>
        <v>43434</v>
      </c>
      <c r="L570" s="6" t="str">
        <f>IFERROR(__xludf.DUMMYFUNCTION("""COMPUTED_VALUE"""),"FIP General")</f>
        <v>FIP General</v>
      </c>
      <c r="M570" s="6" t="str">
        <f>IFERROR(__xludf.DUMMYFUNCTION("""COMPUTED_VALUE"""),"Putra Senjara")</f>
        <v>Putra Senjara</v>
      </c>
      <c r="N570" s="6" t="str">
        <f>IFERROR(__xludf.DUMMYFUNCTION("""COMPUTED_VALUE"""),"FIP Engineering")</f>
        <v>FIP Engineering</v>
      </c>
      <c r="O570" s="6" t="str">
        <f>IFERROR(__xludf.DUMMYFUNCTION("""COMPUTED_VALUE"""),"FIP-DOM-ENG-51202-0000000-INA-000000")</f>
        <v>FIP-DOM-ENG-51202-0000000-INA-000000</v>
      </c>
      <c r="P570" s="6" t="str">
        <f>IFERROR(__xludf.DUMMYFUNCTION("""COMPUTED_VALUE"""),"PO Closed")</f>
        <v>PO Closed</v>
      </c>
      <c r="Q570" s="6" t="str">
        <f>IFERROR(__xludf.DUMMYFUNCTION("""COMPUTED_VALUE"""),"GL1811052")</f>
        <v>GL1811052</v>
      </c>
      <c r="R570" s="16">
        <f>IFERROR(__xludf.DUMMYFUNCTION("""COMPUTED_VALUE"""),43392.0)</f>
        <v>43392</v>
      </c>
      <c r="S570" s="6" t="str">
        <f>IFERROR(__xludf.DUMMYFUNCTION("""COMPUTED_VALUE"""),"-")</f>
        <v>-</v>
      </c>
      <c r="T570" s="6" t="str">
        <f>IFERROR(__xludf.DUMMYFUNCTION("""COMPUTED_VALUE"""),"-")</f>
        <v>-</v>
      </c>
    </row>
    <row r="571">
      <c r="A571" s="6" t="str">
        <f>IFERROR(__xludf.DUMMYFUNCTION("""COMPUTED_VALUE"""),"181750395-4")</f>
        <v>181750395-4</v>
      </c>
      <c r="B571" s="6" t="str">
        <f>IFERROR(__xludf.DUMMYFUNCTION("""COMPUTED_VALUE"""),"181750395 - Approved")</f>
        <v>181750395 - Approved</v>
      </c>
      <c r="C571" s="6">
        <f>IFERROR(__xludf.DUMMYFUNCTION("""COMPUTED_VALUE"""),4.0)</f>
        <v>4</v>
      </c>
      <c r="D571" s="6" t="str">
        <f>IFERROR(__xludf.DUMMYFUNCTION("""COMPUTED_VALUE"""),"S-40226-00")</f>
        <v>S-40226-00</v>
      </c>
      <c r="E571" s="6" t="str">
        <f>IFERROR(__xludf.DUMMYFUNCTION("""COMPUTED_VALUE"""),"Tyvek 1422A Disposable Coverall White Colour; Dupont; ;")</f>
        <v>Tyvek 1422A Disposable Coverall White Colour; Dupont; ;</v>
      </c>
      <c r="F571" s="6">
        <f>IFERROR(__xludf.DUMMYFUNCTION("""COMPUTED_VALUE"""),6.0)</f>
        <v>6</v>
      </c>
      <c r="G571" s="6" t="str">
        <f>IFERROR(__xludf.DUMMYFUNCTION("""COMPUTED_VALUE"""),"Pieces")</f>
        <v>Pieces</v>
      </c>
      <c r="H571" s="6" t="str">
        <f>IFERROR(__xludf.DUMMYFUNCTION("""COMPUTED_VALUE"""),"IDR")</f>
        <v>IDR</v>
      </c>
      <c r="I571" s="11">
        <f>IFERROR(__xludf.DUMMYFUNCTION("""COMPUTED_VALUE"""),98000.0)</f>
        <v>98000</v>
      </c>
      <c r="J571" s="11">
        <f>IFERROR(__xludf.DUMMYFUNCTION("""COMPUTED_VALUE"""),588000.0)</f>
        <v>588000</v>
      </c>
      <c r="K571" s="13">
        <f>IFERROR(__xludf.DUMMYFUNCTION("""COMPUTED_VALUE"""),43434.0)</f>
        <v>43434</v>
      </c>
      <c r="L571" s="6" t="str">
        <f>IFERROR(__xludf.DUMMYFUNCTION("""COMPUTED_VALUE"""),"FIP General")</f>
        <v>FIP General</v>
      </c>
      <c r="M571" s="6" t="str">
        <f>IFERROR(__xludf.DUMMYFUNCTION("""COMPUTED_VALUE"""),"Putra Senjara")</f>
        <v>Putra Senjara</v>
      </c>
      <c r="N571" s="6" t="str">
        <f>IFERROR(__xludf.DUMMYFUNCTION("""COMPUTED_VALUE"""),"FIP Engineering")</f>
        <v>FIP Engineering</v>
      </c>
      <c r="O571" s="6" t="str">
        <f>IFERROR(__xludf.DUMMYFUNCTION("""COMPUTED_VALUE"""),"FIP-DOM-ENG-51302-0000000-INA-000000")</f>
        <v>FIP-DOM-ENG-51302-0000000-INA-000000</v>
      </c>
      <c r="P571" s="6" t="str">
        <f>IFERROR(__xludf.DUMMYFUNCTION("""COMPUTED_VALUE"""),"PO Closed")</f>
        <v>PO Closed</v>
      </c>
      <c r="Q571" s="6" t="str">
        <f>IFERROR(__xludf.DUMMYFUNCTION("""COMPUTED_VALUE"""),"GL1811053")</f>
        <v>GL1811053</v>
      </c>
      <c r="R571" s="16">
        <f>IFERROR(__xludf.DUMMYFUNCTION("""COMPUTED_VALUE"""),43392.0)</f>
        <v>43392</v>
      </c>
      <c r="S571" s="6" t="str">
        <f>IFERROR(__xludf.DUMMYFUNCTION("""COMPUTED_VALUE"""),"-")</f>
        <v>-</v>
      </c>
      <c r="T571" s="6" t="str">
        <f>IFERROR(__xludf.DUMMYFUNCTION("""COMPUTED_VALUE"""),"-")</f>
        <v>-</v>
      </c>
    </row>
    <row r="572">
      <c r="A572" s="6" t="str">
        <f>IFERROR(__xludf.DUMMYFUNCTION("""COMPUTED_VALUE"""),"181750395-5")</f>
        <v>181750395-5</v>
      </c>
      <c r="B572" s="6" t="str">
        <f>IFERROR(__xludf.DUMMYFUNCTION("""COMPUTED_VALUE"""),"181750395 - Approved")</f>
        <v>181750395 - Approved</v>
      </c>
      <c r="C572" s="6">
        <f>IFERROR(__xludf.DUMMYFUNCTION("""COMPUTED_VALUE"""),5.0)</f>
        <v>5</v>
      </c>
      <c r="D572" s="6" t="str">
        <f>IFERROR(__xludf.DUMMYFUNCTION("""COMPUTED_VALUE"""),"S-40021-00")</f>
        <v>S-40021-00</v>
      </c>
      <c r="E572" s="6" t="str">
        <f>IFERROR(__xludf.DUMMYFUNCTION("""COMPUTED_VALUE"""),"Botol semprot 500 cc")</f>
        <v>Botol semprot 500 cc</v>
      </c>
      <c r="F572" s="6">
        <f>IFERROR(__xludf.DUMMYFUNCTION("""COMPUTED_VALUE"""),15.0)</f>
        <v>15</v>
      </c>
      <c r="G572" s="6" t="str">
        <f>IFERROR(__xludf.DUMMYFUNCTION("""COMPUTED_VALUE"""),"Pieces")</f>
        <v>Pieces</v>
      </c>
      <c r="H572" s="6" t="str">
        <f>IFERROR(__xludf.DUMMYFUNCTION("""COMPUTED_VALUE"""),"IDR")</f>
        <v>IDR</v>
      </c>
      <c r="I572" s="11">
        <f>IFERROR(__xludf.DUMMYFUNCTION("""COMPUTED_VALUE"""),25000.0)</f>
        <v>25000</v>
      </c>
      <c r="J572" s="11">
        <f>IFERROR(__xludf.DUMMYFUNCTION("""COMPUTED_VALUE"""),375000.0)</f>
        <v>375000</v>
      </c>
      <c r="K572" s="13">
        <f>IFERROR(__xludf.DUMMYFUNCTION("""COMPUTED_VALUE"""),43434.0)</f>
        <v>43434</v>
      </c>
      <c r="L572" s="6" t="str">
        <f>IFERROR(__xludf.DUMMYFUNCTION("""COMPUTED_VALUE"""),"FIP General")</f>
        <v>FIP General</v>
      </c>
      <c r="M572" s="6" t="str">
        <f>IFERROR(__xludf.DUMMYFUNCTION("""COMPUTED_VALUE"""),"Putra Senjara")</f>
        <v>Putra Senjara</v>
      </c>
      <c r="N572" s="6" t="str">
        <f>IFERROR(__xludf.DUMMYFUNCTION("""COMPUTED_VALUE"""),"FIP Engineering")</f>
        <v>FIP Engineering</v>
      </c>
      <c r="O572" s="6" t="str">
        <f>IFERROR(__xludf.DUMMYFUNCTION("""COMPUTED_VALUE"""),"FIP-DOM-ENG-51302-0000000-INA-000000")</f>
        <v>FIP-DOM-ENG-51302-0000000-INA-000000</v>
      </c>
      <c r="P572" s="6" t="str">
        <f>IFERROR(__xludf.DUMMYFUNCTION("""COMPUTED_VALUE"""),"PO Closed")</f>
        <v>PO Closed</v>
      </c>
      <c r="Q572" s="6" t="str">
        <f>IFERROR(__xludf.DUMMYFUNCTION("""COMPUTED_VALUE"""),"GL1811051")</f>
        <v>GL1811051</v>
      </c>
      <c r="R572" s="16">
        <f>IFERROR(__xludf.DUMMYFUNCTION("""COMPUTED_VALUE"""),43392.0)</f>
        <v>43392</v>
      </c>
      <c r="S572" s="6" t="str">
        <f>IFERROR(__xludf.DUMMYFUNCTION("""COMPUTED_VALUE"""),"-")</f>
        <v>-</v>
      </c>
      <c r="T572" s="6" t="str">
        <f>IFERROR(__xludf.DUMMYFUNCTION("""COMPUTED_VALUE"""),"-")</f>
        <v>-</v>
      </c>
    </row>
    <row r="573">
      <c r="A573" s="6" t="str">
        <f>IFERROR(__xludf.DUMMYFUNCTION("""COMPUTED_VALUE"""),"181750396-1")</f>
        <v>181750396-1</v>
      </c>
      <c r="B573" s="6" t="str">
        <f>IFERROR(__xludf.DUMMYFUNCTION("""COMPUTED_VALUE"""),"181750396 - Approved")</f>
        <v>181750396 - Approved</v>
      </c>
      <c r="C573" s="6">
        <f>IFERROR(__xludf.DUMMYFUNCTION("""COMPUTED_VALUE"""),1.0)</f>
        <v>1</v>
      </c>
      <c r="D573" s="6" t="str">
        <f>IFERROR(__xludf.DUMMYFUNCTION("""COMPUTED_VALUE"""),"P-14906-00")</f>
        <v>P-14906-00</v>
      </c>
      <c r="E573" s="6" t="str">
        <f>IFERROR(__xludf.DUMMYFUNCTION("""COMPUTED_VALUE"""),"UV Sensor Housing Hanovia UV System; HANOVIA; p/n 270264043;")</f>
        <v>UV Sensor Housing Hanovia UV System; HANOVIA; p/n 270264043;</v>
      </c>
      <c r="F573" s="6">
        <f>IFERROR(__xludf.DUMMYFUNCTION("""COMPUTED_VALUE"""),1.0)</f>
        <v>1</v>
      </c>
      <c r="G573" s="6" t="str">
        <f>IFERROR(__xludf.DUMMYFUNCTION("""COMPUTED_VALUE"""),"Unit")</f>
        <v>Unit</v>
      </c>
      <c r="H573" s="6" t="str">
        <f>IFERROR(__xludf.DUMMYFUNCTION("""COMPUTED_VALUE"""),"IDR")</f>
        <v>IDR</v>
      </c>
      <c r="I573" s="11">
        <f>IFERROR(__xludf.DUMMYFUNCTION("""COMPUTED_VALUE"""),8526315.0)</f>
        <v>8526315</v>
      </c>
      <c r="J573" s="11">
        <f>IFERROR(__xludf.DUMMYFUNCTION("""COMPUTED_VALUE"""),8526315.0)</f>
        <v>8526315</v>
      </c>
      <c r="K573" s="13">
        <f>IFERROR(__xludf.DUMMYFUNCTION("""COMPUTED_VALUE"""),43420.0)</f>
        <v>43420</v>
      </c>
      <c r="L573" s="6" t="str">
        <f>IFERROR(__xludf.DUMMYFUNCTION("""COMPUTED_VALUE"""),"FIP Engineering")</f>
        <v>FIP Engineering</v>
      </c>
      <c r="M573" s="6" t="str">
        <f>IFERROR(__xludf.DUMMYFUNCTION("""COMPUTED_VALUE"""),"Joko Nugroho")</f>
        <v>Joko Nugroho</v>
      </c>
      <c r="N573" s="6" t="str">
        <f>IFERROR(__xludf.DUMMYFUNCTION("""COMPUTED_VALUE"""),"FIP Engineering")</f>
        <v>FIP Engineering</v>
      </c>
      <c r="O573" s="6" t="str">
        <f>IFERROR(__xludf.DUMMYFUNCTION("""COMPUTED_VALUE"""),"FIP-DOM-000-11304-OS00001-INA-000000")</f>
        <v>FIP-DOM-000-11304-OS00001-INA-000000</v>
      </c>
      <c r="P573" s="6" t="str">
        <f>IFERROR(__xludf.DUMMYFUNCTION("""COMPUTED_VALUE"""),"PO Closed")</f>
        <v>PO Closed</v>
      </c>
      <c r="Q573" s="6" t="str">
        <f>IFERROR(__xludf.DUMMYFUNCTION("""COMPUTED_VALUE"""),"GL1811016")</f>
        <v>GL1811016</v>
      </c>
      <c r="R573" s="16">
        <f>IFERROR(__xludf.DUMMYFUNCTION("""COMPUTED_VALUE"""),43395.0)</f>
        <v>43395</v>
      </c>
      <c r="S573" s="6" t="str">
        <f>IFERROR(__xludf.DUMMYFUNCTION("""COMPUTED_VALUE"""),"-")</f>
        <v>-</v>
      </c>
      <c r="T573" s="17">
        <f>IFERROR(__xludf.DUMMYFUNCTION("""COMPUTED_VALUE"""),43500.0)</f>
        <v>43500</v>
      </c>
    </row>
    <row r="574">
      <c r="A574" s="6" t="str">
        <f>IFERROR(__xludf.DUMMYFUNCTION("""COMPUTED_VALUE"""),"181750396-2")</f>
        <v>181750396-2</v>
      </c>
      <c r="B574" s="6" t="str">
        <f>IFERROR(__xludf.DUMMYFUNCTION("""COMPUTED_VALUE"""),"181750396 - Approved")</f>
        <v>181750396 - Approved</v>
      </c>
      <c r="C574" s="6">
        <f>IFERROR(__xludf.DUMMYFUNCTION("""COMPUTED_VALUE"""),2.0)</f>
        <v>2</v>
      </c>
      <c r="D574" s="6" t="str">
        <f>IFERROR(__xludf.DUMMYFUNCTION("""COMPUTED_VALUE"""),"P-53259-00")</f>
        <v>P-53259-00</v>
      </c>
      <c r="E574" s="6" t="str">
        <f>IFERROR(__xludf.DUMMYFUNCTION("""COMPUTED_VALUE"""),"UV Sensor PIN : 270264040; Hanovia; ;")</f>
        <v>UV Sensor PIN : 270264040; Hanovia; ;</v>
      </c>
      <c r="F574" s="6">
        <f>IFERROR(__xludf.DUMMYFUNCTION("""COMPUTED_VALUE"""),1.0)</f>
        <v>1</v>
      </c>
      <c r="G574" s="6" t="str">
        <f>IFERROR(__xludf.DUMMYFUNCTION("""COMPUTED_VALUE"""),"Unit")</f>
        <v>Unit</v>
      </c>
      <c r="H574" s="6" t="str">
        <f>IFERROR(__xludf.DUMMYFUNCTION("""COMPUTED_VALUE"""),"IDR")</f>
        <v>IDR</v>
      </c>
      <c r="I574" s="11">
        <f>IFERROR(__xludf.DUMMYFUNCTION("""COMPUTED_VALUE"""),1.9326315E7)</f>
        <v>19326315</v>
      </c>
      <c r="J574" s="11">
        <f>IFERROR(__xludf.DUMMYFUNCTION("""COMPUTED_VALUE"""),1.9326315E7)</f>
        <v>19326315</v>
      </c>
      <c r="K574" s="13">
        <f>IFERROR(__xludf.DUMMYFUNCTION("""COMPUTED_VALUE"""),43420.0)</f>
        <v>43420</v>
      </c>
      <c r="L574" s="6" t="str">
        <f>IFERROR(__xludf.DUMMYFUNCTION("""COMPUTED_VALUE"""),"FIP Engineering")</f>
        <v>FIP Engineering</v>
      </c>
      <c r="M574" s="6" t="str">
        <f>IFERROR(__xludf.DUMMYFUNCTION("""COMPUTED_VALUE"""),"Joko Nugroho")</f>
        <v>Joko Nugroho</v>
      </c>
      <c r="N574" s="6" t="str">
        <f>IFERROR(__xludf.DUMMYFUNCTION("""COMPUTED_VALUE"""),"FIP Engineering")</f>
        <v>FIP Engineering</v>
      </c>
      <c r="O574" s="6" t="str">
        <f>IFERROR(__xludf.DUMMYFUNCTION("""COMPUTED_VALUE"""),"FIP-DOM-000-11304-OS00001-INA-000000")</f>
        <v>FIP-DOM-000-11304-OS00001-INA-000000</v>
      </c>
      <c r="P574" s="6" t="str">
        <f>IFERROR(__xludf.DUMMYFUNCTION("""COMPUTED_VALUE"""),"PO Closed")</f>
        <v>PO Closed</v>
      </c>
      <c r="Q574" s="6" t="str">
        <f>IFERROR(__xludf.DUMMYFUNCTION("""COMPUTED_VALUE"""),"GL1811016")</f>
        <v>GL1811016</v>
      </c>
      <c r="R574" s="16">
        <f>IFERROR(__xludf.DUMMYFUNCTION("""COMPUTED_VALUE"""),43395.0)</f>
        <v>43395</v>
      </c>
      <c r="S574" s="6" t="str">
        <f>IFERROR(__xludf.DUMMYFUNCTION("""COMPUTED_VALUE"""),"-")</f>
        <v>-</v>
      </c>
      <c r="T574" s="17">
        <f>IFERROR(__xludf.DUMMYFUNCTION("""COMPUTED_VALUE"""),43500.0)</f>
        <v>43500</v>
      </c>
    </row>
    <row r="575">
      <c r="A575" s="6" t="str">
        <f>IFERROR(__xludf.DUMMYFUNCTION("""COMPUTED_VALUE"""),"181750396-3")</f>
        <v>181750396-3</v>
      </c>
      <c r="B575" s="6" t="str">
        <f>IFERROR(__xludf.DUMMYFUNCTION("""COMPUTED_VALUE"""),"181750396 - Approved")</f>
        <v>181750396 - Approved</v>
      </c>
      <c r="C575" s="6">
        <f>IFERROR(__xludf.DUMMYFUNCTION("""COMPUTED_VALUE"""),3.0)</f>
        <v>3</v>
      </c>
      <c r="D575" s="6" t="str">
        <f>IFERROR(__xludf.DUMMYFUNCTION("""COMPUTED_VALUE"""),"P-53182-00")</f>
        <v>P-53182-00</v>
      </c>
      <c r="E575" s="6" t="str">
        <f>IFERROR(__xludf.DUMMYFUNCTION("""COMPUTED_VALUE"""),"Arc tube Hanovia UV System; HANOVIA; p/n 130071 - 0320 - 01;")</f>
        <v>Arc tube Hanovia UV System; HANOVIA; p/n 130071 - 0320 - 01;</v>
      </c>
      <c r="F575" s="6">
        <f>IFERROR(__xludf.DUMMYFUNCTION("""COMPUTED_VALUE"""),2.0)</f>
        <v>2</v>
      </c>
      <c r="G575" s="6" t="str">
        <f>IFERROR(__xludf.DUMMYFUNCTION("""COMPUTED_VALUE"""),"Unit")</f>
        <v>Unit</v>
      </c>
      <c r="H575" s="6" t="str">
        <f>IFERROR(__xludf.DUMMYFUNCTION("""COMPUTED_VALUE"""),"IDR")</f>
        <v>IDR</v>
      </c>
      <c r="I575" s="11">
        <f>IFERROR(__xludf.DUMMYFUNCTION("""COMPUTED_VALUE"""),9894736.0)</f>
        <v>9894736</v>
      </c>
      <c r="J575" s="11">
        <f>IFERROR(__xludf.DUMMYFUNCTION("""COMPUTED_VALUE"""),1.9789472E7)</f>
        <v>19789472</v>
      </c>
      <c r="K575" s="13">
        <f>IFERROR(__xludf.DUMMYFUNCTION("""COMPUTED_VALUE"""),43420.0)</f>
        <v>43420</v>
      </c>
      <c r="L575" s="6" t="str">
        <f>IFERROR(__xludf.DUMMYFUNCTION("""COMPUTED_VALUE"""),"FIP Engineering")</f>
        <v>FIP Engineering</v>
      </c>
      <c r="M575" s="6" t="str">
        <f>IFERROR(__xludf.DUMMYFUNCTION("""COMPUTED_VALUE"""),"Joko Nugroho")</f>
        <v>Joko Nugroho</v>
      </c>
      <c r="N575" s="6" t="str">
        <f>IFERROR(__xludf.DUMMYFUNCTION("""COMPUTED_VALUE"""),"FIP Engineering")</f>
        <v>FIP Engineering</v>
      </c>
      <c r="O575" s="6" t="str">
        <f>IFERROR(__xludf.DUMMYFUNCTION("""COMPUTED_VALUE"""),"FIP-DOM-000-11304-OS00001-INA-000000")</f>
        <v>FIP-DOM-000-11304-OS00001-INA-000000</v>
      </c>
      <c r="P575" s="6" t="str">
        <f>IFERROR(__xludf.DUMMYFUNCTION("""COMPUTED_VALUE"""),"PO Closed")</f>
        <v>PO Closed</v>
      </c>
      <c r="Q575" s="6" t="str">
        <f>IFERROR(__xludf.DUMMYFUNCTION("""COMPUTED_VALUE"""),"GL1811016")</f>
        <v>GL1811016</v>
      </c>
      <c r="R575" s="16">
        <f>IFERROR(__xludf.DUMMYFUNCTION("""COMPUTED_VALUE"""),43395.0)</f>
        <v>43395</v>
      </c>
      <c r="S575" s="6" t="str">
        <f>IFERROR(__xludf.DUMMYFUNCTION("""COMPUTED_VALUE"""),"-")</f>
        <v>-</v>
      </c>
      <c r="T575" s="13">
        <f>IFERROR(__xludf.DUMMYFUNCTION("""COMPUTED_VALUE"""),43500.0)</f>
        <v>43500</v>
      </c>
    </row>
    <row r="576">
      <c r="A576" s="6" t="str">
        <f>IFERROR(__xludf.DUMMYFUNCTION("""COMPUTED_VALUE"""),"181750396-4")</f>
        <v>181750396-4</v>
      </c>
      <c r="B576" s="6" t="str">
        <f>IFERROR(__xludf.DUMMYFUNCTION("""COMPUTED_VALUE"""),"181750396 - Approved")</f>
        <v>181750396 - Approved</v>
      </c>
      <c r="C576" s="6">
        <f>IFERROR(__xludf.DUMMYFUNCTION("""COMPUTED_VALUE"""),4.0)</f>
        <v>4</v>
      </c>
      <c r="D576" s="6" t="str">
        <f>IFERROR(__xludf.DUMMYFUNCTION("""COMPUTED_VALUE"""),"P-14901-00")</f>
        <v>P-14901-00</v>
      </c>
      <c r="E576" s="6" t="str">
        <f>IFERROR(__xludf.DUMMYFUNCTION("""COMPUTED_VALUE"""),"Sleeve Seal Hanovia UV System; HANOVIA; p/n 600143025;")</f>
        <v>Sleeve Seal Hanovia UV System; HANOVIA; p/n 600143025;</v>
      </c>
      <c r="F576" s="6">
        <f>IFERROR(__xludf.DUMMYFUNCTION("""COMPUTED_VALUE"""),4.0)</f>
        <v>4</v>
      </c>
      <c r="G576" s="6" t="str">
        <f>IFERROR(__xludf.DUMMYFUNCTION("""COMPUTED_VALUE"""),"Unit")</f>
        <v>Unit</v>
      </c>
      <c r="H576" s="6" t="str">
        <f>IFERROR(__xludf.DUMMYFUNCTION("""COMPUTED_VALUE"""),"IDR")</f>
        <v>IDR</v>
      </c>
      <c r="I576" s="11">
        <f>IFERROR(__xludf.DUMMYFUNCTION("""COMPUTED_VALUE"""),673685.0)</f>
        <v>673685</v>
      </c>
      <c r="J576" s="11">
        <f>IFERROR(__xludf.DUMMYFUNCTION("""COMPUTED_VALUE"""),2694740.0)</f>
        <v>2694740</v>
      </c>
      <c r="K576" s="13">
        <f>IFERROR(__xludf.DUMMYFUNCTION("""COMPUTED_VALUE"""),43420.0)</f>
        <v>43420</v>
      </c>
      <c r="L576" s="6" t="str">
        <f>IFERROR(__xludf.DUMMYFUNCTION("""COMPUTED_VALUE"""),"FIP Engineering")</f>
        <v>FIP Engineering</v>
      </c>
      <c r="M576" s="6" t="str">
        <f>IFERROR(__xludf.DUMMYFUNCTION("""COMPUTED_VALUE"""),"Joko Nugroho")</f>
        <v>Joko Nugroho</v>
      </c>
      <c r="N576" s="6" t="str">
        <f>IFERROR(__xludf.DUMMYFUNCTION("""COMPUTED_VALUE"""),"FIP Engineering")</f>
        <v>FIP Engineering</v>
      </c>
      <c r="O576" s="6" t="str">
        <f>IFERROR(__xludf.DUMMYFUNCTION("""COMPUTED_VALUE"""),"FIP-DOM-000-11304-OS00001-INA-000000")</f>
        <v>FIP-DOM-000-11304-OS00001-INA-000000</v>
      </c>
      <c r="P576" s="6" t="str">
        <f>IFERROR(__xludf.DUMMYFUNCTION("""COMPUTED_VALUE"""),"PO Closed")</f>
        <v>PO Closed</v>
      </c>
      <c r="Q576" s="6" t="str">
        <f>IFERROR(__xludf.DUMMYFUNCTION("""COMPUTED_VALUE"""),"GL1811016")</f>
        <v>GL1811016</v>
      </c>
      <c r="R576" s="16">
        <f>IFERROR(__xludf.DUMMYFUNCTION("""COMPUTED_VALUE"""),43395.0)</f>
        <v>43395</v>
      </c>
      <c r="S576" s="6" t="str">
        <f>IFERROR(__xludf.DUMMYFUNCTION("""COMPUTED_VALUE"""),"-")</f>
        <v>-</v>
      </c>
      <c r="T576" s="13">
        <f>IFERROR(__xludf.DUMMYFUNCTION("""COMPUTED_VALUE"""),43500.0)</f>
        <v>43500</v>
      </c>
    </row>
    <row r="577">
      <c r="A577" s="6" t="str">
        <f>IFERROR(__xludf.DUMMYFUNCTION("""COMPUTED_VALUE"""),"181750401-1")</f>
        <v>181750401-1</v>
      </c>
      <c r="B577" s="6" t="str">
        <f>IFERROR(__xludf.DUMMYFUNCTION("""COMPUTED_VALUE"""),"181750401 - Approved")</f>
        <v>181750401 - Approved</v>
      </c>
      <c r="C577" s="6">
        <f>IFERROR(__xludf.DUMMYFUNCTION("""COMPUTED_VALUE"""),1.0)</f>
        <v>1</v>
      </c>
      <c r="D577" s="6" t="str">
        <f>IFERROR(__xludf.DUMMYFUNCTION("""COMPUTED_VALUE"""),"S-20052-00")</f>
        <v>S-20052-00</v>
      </c>
      <c r="E577" s="6" t="str">
        <f>IFERROR(__xludf.DUMMYFUNCTION("""COMPUTED_VALUE"""),"Helm Safety; ; ;")</f>
        <v>Helm Safety; ; ;</v>
      </c>
      <c r="F577" s="6">
        <f>IFERROR(__xludf.DUMMYFUNCTION("""COMPUTED_VALUE"""),6.0)</f>
        <v>6</v>
      </c>
      <c r="G577" s="6" t="str">
        <f>IFERROR(__xludf.DUMMYFUNCTION("""COMPUTED_VALUE"""),"Pieces")</f>
        <v>Pieces</v>
      </c>
      <c r="H577" s="6" t="str">
        <f>IFERROR(__xludf.DUMMYFUNCTION("""COMPUTED_VALUE"""),"IDR")</f>
        <v>IDR</v>
      </c>
      <c r="I577" s="11">
        <f>IFERROR(__xludf.DUMMYFUNCTION("""COMPUTED_VALUE"""),70000.0)</f>
        <v>70000</v>
      </c>
      <c r="J577" s="11">
        <f>IFERROR(__xludf.DUMMYFUNCTION("""COMPUTED_VALUE"""),420000.0)</f>
        <v>420000</v>
      </c>
      <c r="K577" s="13">
        <f>IFERROR(__xludf.DUMMYFUNCTION("""COMPUTED_VALUE"""),43430.0)</f>
        <v>43430</v>
      </c>
      <c r="L577" s="6" t="str">
        <f>IFERROR(__xludf.DUMMYFUNCTION("""COMPUTED_VALUE"""),"FIP General")</f>
        <v>FIP General</v>
      </c>
      <c r="M577" s="6" t="str">
        <f>IFERROR(__xludf.DUMMYFUNCTION("""COMPUTED_VALUE"""),"Joko Nugroho")</f>
        <v>Joko Nugroho</v>
      </c>
      <c r="N577" s="6" t="str">
        <f>IFERROR(__xludf.DUMMYFUNCTION("""COMPUTED_VALUE"""),"FIP Engineering")</f>
        <v>FIP Engineering</v>
      </c>
      <c r="O577" s="6" t="str">
        <f>IFERROR(__xludf.DUMMYFUNCTION("""COMPUTED_VALUE"""),"FIP-DOM-ENG-51202-0000000-INA-000000")</f>
        <v>FIP-DOM-ENG-51202-0000000-INA-000000</v>
      </c>
      <c r="P577" s="6" t="str">
        <f>IFERROR(__xludf.DUMMYFUNCTION("""COMPUTED_VALUE"""),"PO Closed")</f>
        <v>PO Closed</v>
      </c>
      <c r="Q577" s="6" t="str">
        <f>IFERROR(__xludf.DUMMYFUNCTION("""COMPUTED_VALUE"""),"GL1811030")</f>
        <v>GL1811030</v>
      </c>
      <c r="R577" s="16">
        <f>IFERROR(__xludf.DUMMYFUNCTION("""COMPUTED_VALUE"""),43398.0)</f>
        <v>43398</v>
      </c>
      <c r="S577" s="6" t="str">
        <f>IFERROR(__xludf.DUMMYFUNCTION("""COMPUTED_VALUE"""),"-")</f>
        <v>-</v>
      </c>
      <c r="T577" s="13">
        <f>IFERROR(__xludf.DUMMYFUNCTION("""COMPUTED_VALUE"""),43430.0)</f>
        <v>43430</v>
      </c>
    </row>
    <row r="578">
      <c r="A578" s="6" t="str">
        <f>IFERROR(__xludf.DUMMYFUNCTION("""COMPUTED_VALUE"""),"181750401-2")</f>
        <v>181750401-2</v>
      </c>
      <c r="B578" s="6" t="str">
        <f>IFERROR(__xludf.DUMMYFUNCTION("""COMPUTED_VALUE"""),"181750401 - Approved")</f>
        <v>181750401 - Approved</v>
      </c>
      <c r="C578" s="6">
        <f>IFERROR(__xludf.DUMMYFUNCTION("""COMPUTED_VALUE"""),2.0)</f>
        <v>2</v>
      </c>
      <c r="D578" s="6" t="str">
        <f>IFERROR(__xludf.DUMMYFUNCTION("""COMPUTED_VALUE"""),"S-12006-00")</f>
        <v>S-12006-00</v>
      </c>
      <c r="E578" s="6" t="str">
        <f>IFERROR(__xludf.DUMMYFUNCTION("""COMPUTED_VALUE"""),"Majun")</f>
        <v>Majun</v>
      </c>
      <c r="F578" s="6">
        <f>IFERROR(__xludf.DUMMYFUNCTION("""COMPUTED_VALUE"""),10.0)</f>
        <v>10</v>
      </c>
      <c r="G578" s="6" t="str">
        <f>IFERROR(__xludf.DUMMYFUNCTION("""COMPUTED_VALUE"""),"Kilogram")</f>
        <v>Kilogram</v>
      </c>
      <c r="H578" s="6" t="str">
        <f>IFERROR(__xludf.DUMMYFUNCTION("""COMPUTED_VALUE"""),"IDR")</f>
        <v>IDR</v>
      </c>
      <c r="I578" s="11">
        <f>IFERROR(__xludf.DUMMYFUNCTION("""COMPUTED_VALUE"""),33000.0)</f>
        <v>33000</v>
      </c>
      <c r="J578" s="11">
        <f>IFERROR(__xludf.DUMMYFUNCTION("""COMPUTED_VALUE"""),330000.0)</f>
        <v>330000</v>
      </c>
      <c r="K578" s="13">
        <f>IFERROR(__xludf.DUMMYFUNCTION("""COMPUTED_VALUE"""),43430.0)</f>
        <v>43430</v>
      </c>
      <c r="L578" s="6" t="str">
        <f>IFERROR(__xludf.DUMMYFUNCTION("""COMPUTED_VALUE"""),"FIP General")</f>
        <v>FIP General</v>
      </c>
      <c r="M578" s="6" t="str">
        <f>IFERROR(__xludf.DUMMYFUNCTION("""COMPUTED_VALUE"""),"Joko Nugroho")</f>
        <v>Joko Nugroho</v>
      </c>
      <c r="N578" s="6" t="str">
        <f>IFERROR(__xludf.DUMMYFUNCTION("""COMPUTED_VALUE"""),"FIP Engineering")</f>
        <v>FIP Engineering</v>
      </c>
      <c r="O578" s="6" t="str">
        <f>IFERROR(__xludf.DUMMYFUNCTION("""COMPUTED_VALUE"""),"FIP-DOM-ENG-51302-0000000-INA-000000")</f>
        <v>FIP-DOM-ENG-51302-0000000-INA-000000</v>
      </c>
      <c r="P578" s="6" t="str">
        <f>IFERROR(__xludf.DUMMYFUNCTION("""COMPUTED_VALUE"""),"PO Closed")</f>
        <v>PO Closed</v>
      </c>
      <c r="Q578" s="6" t="str">
        <f>IFERROR(__xludf.DUMMYFUNCTION("""COMPUTED_VALUE"""),"GL1811029")</f>
        <v>GL1811029</v>
      </c>
      <c r="R578" s="16">
        <f>IFERROR(__xludf.DUMMYFUNCTION("""COMPUTED_VALUE"""),43398.0)</f>
        <v>43398</v>
      </c>
      <c r="S578" s="6" t="str">
        <f>IFERROR(__xludf.DUMMYFUNCTION("""COMPUTED_VALUE"""),"-")</f>
        <v>-</v>
      </c>
      <c r="T578" s="13">
        <f>IFERROR(__xludf.DUMMYFUNCTION("""COMPUTED_VALUE"""),43427.0)</f>
        <v>43427</v>
      </c>
    </row>
    <row r="579">
      <c r="A579" s="6" t="str">
        <f>IFERROR(__xludf.DUMMYFUNCTION("""COMPUTED_VALUE"""),"181750401-3")</f>
        <v>181750401-3</v>
      </c>
      <c r="B579" s="6" t="str">
        <f>IFERROR(__xludf.DUMMYFUNCTION("""COMPUTED_VALUE"""),"181750401 - Approved")</f>
        <v>181750401 - Approved</v>
      </c>
      <c r="C579" s="6">
        <f>IFERROR(__xludf.DUMMYFUNCTION("""COMPUTED_VALUE"""),3.0)</f>
        <v>3</v>
      </c>
      <c r="D579" s="6" t="str">
        <f>IFERROR(__xludf.DUMMYFUNCTION("""COMPUTED_VALUE"""),"P-13415-00")</f>
        <v>P-13415-00</v>
      </c>
      <c r="E579" s="6" t="str">
        <f>IFERROR(__xludf.DUMMYFUNCTION("""COMPUTED_VALUE"""),"DIAGONAL CUTTER PLIER 6INC; Krisbow; Part No. KW0101358;")</f>
        <v>DIAGONAL CUTTER PLIER 6INC; Krisbow; Part No. KW0101358;</v>
      </c>
      <c r="F579" s="6">
        <f>IFERROR(__xludf.DUMMYFUNCTION("""COMPUTED_VALUE"""),2.0)</f>
        <v>2</v>
      </c>
      <c r="G579" s="6" t="str">
        <f>IFERROR(__xludf.DUMMYFUNCTION("""COMPUTED_VALUE"""),"Pieces")</f>
        <v>Pieces</v>
      </c>
      <c r="H579" s="6" t="str">
        <f>IFERROR(__xludf.DUMMYFUNCTION("""COMPUTED_VALUE"""),"IDR")</f>
        <v>IDR</v>
      </c>
      <c r="I579" s="11">
        <f>IFERROR(__xludf.DUMMYFUNCTION("""COMPUTED_VALUE"""),110500.0)</f>
        <v>110500</v>
      </c>
      <c r="J579" s="11">
        <f>IFERROR(__xludf.DUMMYFUNCTION("""COMPUTED_VALUE"""),221000.0)</f>
        <v>221000</v>
      </c>
      <c r="K579" s="13">
        <f>IFERROR(__xludf.DUMMYFUNCTION("""COMPUTED_VALUE"""),43430.0)</f>
        <v>43430</v>
      </c>
      <c r="L579" s="6" t="str">
        <f>IFERROR(__xludf.DUMMYFUNCTION("""COMPUTED_VALUE"""),"FIP General")</f>
        <v>FIP General</v>
      </c>
      <c r="M579" s="6" t="str">
        <f>IFERROR(__xludf.DUMMYFUNCTION("""COMPUTED_VALUE"""),"Joko Nugroho")</f>
        <v>Joko Nugroho</v>
      </c>
      <c r="N579" s="6" t="str">
        <f>IFERROR(__xludf.DUMMYFUNCTION("""COMPUTED_VALUE"""),"FIP Engineering")</f>
        <v>FIP Engineering</v>
      </c>
      <c r="O579" s="6" t="str">
        <f>IFERROR(__xludf.DUMMYFUNCTION("""COMPUTED_VALUE"""),"FIP-DOM-ENG-51404-0000000-INA-000000")</f>
        <v>FIP-DOM-ENG-51404-0000000-INA-000000</v>
      </c>
      <c r="P579" s="6" t="str">
        <f>IFERROR(__xludf.DUMMYFUNCTION("""COMPUTED_VALUE"""),"PO Closed")</f>
        <v>PO Closed</v>
      </c>
      <c r="Q579" s="6" t="str">
        <f>IFERROR(__xludf.DUMMYFUNCTION("""COMPUTED_VALUE"""),"GL1811062")</f>
        <v>GL1811062</v>
      </c>
      <c r="R579" s="16">
        <f>IFERROR(__xludf.DUMMYFUNCTION("""COMPUTED_VALUE"""),43398.0)</f>
        <v>43398</v>
      </c>
      <c r="S579" s="6" t="str">
        <f>IFERROR(__xludf.DUMMYFUNCTION("""COMPUTED_VALUE"""),"-")</f>
        <v>-</v>
      </c>
      <c r="T579" s="13">
        <f>IFERROR(__xludf.DUMMYFUNCTION("""COMPUTED_VALUE"""),43426.0)</f>
        <v>43426</v>
      </c>
    </row>
    <row r="580">
      <c r="A580" s="6" t="str">
        <f>IFERROR(__xludf.DUMMYFUNCTION("""COMPUTED_VALUE"""),"181750400-1")</f>
        <v>181750400-1</v>
      </c>
      <c r="B580" s="6" t="str">
        <f>IFERROR(__xludf.DUMMYFUNCTION("""COMPUTED_VALUE"""),"181750400 - Approved")</f>
        <v>181750400 - Approved</v>
      </c>
      <c r="C580" s="6">
        <f>IFERROR(__xludf.DUMMYFUNCTION("""COMPUTED_VALUE"""),1.0)</f>
        <v>1</v>
      </c>
      <c r="D580" s="6" t="str">
        <f>IFERROR(__xludf.DUMMYFUNCTION("""COMPUTED_VALUE"""),"Q-90025-00")</f>
        <v>Q-90025-00</v>
      </c>
      <c r="E580" s="6" t="str">
        <f>IFERROR(__xludf.DUMMYFUNCTION("""COMPUTED_VALUE"""),"SCHINDLER ELEVATOR - PCB SDIC; P/N: 591886; ; ;")</f>
        <v>SCHINDLER ELEVATOR - PCB SDIC; P/N: 591886; ; ;</v>
      </c>
      <c r="F580" s="6">
        <f>IFERROR(__xludf.DUMMYFUNCTION("""COMPUTED_VALUE"""),1.0)</f>
        <v>1</v>
      </c>
      <c r="G580" s="6" t="str">
        <f>IFERROR(__xludf.DUMMYFUNCTION("""COMPUTED_VALUE"""),"Unit")</f>
        <v>Unit</v>
      </c>
      <c r="H580" s="6" t="str">
        <f>IFERROR(__xludf.DUMMYFUNCTION("""COMPUTED_VALUE"""),"IDR")</f>
        <v>IDR</v>
      </c>
      <c r="I580" s="11">
        <f>IFERROR(__xludf.DUMMYFUNCTION("""COMPUTED_VALUE"""),1.85E7)</f>
        <v>18500000</v>
      </c>
      <c r="J580" s="11">
        <f>IFERROR(__xludf.DUMMYFUNCTION("""COMPUTED_VALUE"""),1.85E7)</f>
        <v>18500000</v>
      </c>
      <c r="K580" s="13">
        <f>IFERROR(__xludf.DUMMYFUNCTION("""COMPUTED_VALUE"""),43416.0)</f>
        <v>43416</v>
      </c>
      <c r="L580" s="6" t="str">
        <f>IFERROR(__xludf.DUMMYFUNCTION("""COMPUTED_VALUE"""),"FIP General")</f>
        <v>FIP General</v>
      </c>
      <c r="M580" s="6" t="str">
        <f>IFERROR(__xludf.DUMMYFUNCTION("""COMPUTED_VALUE"""),"Joko Nugroho")</f>
        <v>Joko Nugroho</v>
      </c>
      <c r="N580" s="6" t="str">
        <f>IFERROR(__xludf.DUMMYFUNCTION("""COMPUTED_VALUE"""),"FIP Engineering")</f>
        <v>FIP Engineering</v>
      </c>
      <c r="O580" s="6" t="str">
        <f>IFERROR(__xludf.DUMMYFUNCTION("""COMPUTED_VALUE"""),"FIP-DOM-ENG-51502-0000000-INA-000000")</f>
        <v>FIP-DOM-ENG-51502-0000000-INA-000000</v>
      </c>
      <c r="P580" s="6" t="str">
        <f>IFERROR(__xludf.DUMMYFUNCTION("""COMPUTED_VALUE"""),"PO Closed")</f>
        <v>PO Closed</v>
      </c>
      <c r="Q580" s="6" t="str">
        <f>IFERROR(__xludf.DUMMYFUNCTION("""COMPUTED_VALUE"""),"GL1811013")</f>
        <v>GL1811013</v>
      </c>
      <c r="R580" s="16">
        <f>IFERROR(__xludf.DUMMYFUNCTION("""COMPUTED_VALUE"""),43398.0)</f>
        <v>43398</v>
      </c>
      <c r="S580" s="6" t="str">
        <f>IFERROR(__xludf.DUMMYFUNCTION("""COMPUTED_VALUE"""),"-")</f>
        <v>-</v>
      </c>
      <c r="T580" s="17">
        <f>IFERROR(__xludf.DUMMYFUNCTION("""COMPUTED_VALUE"""),43413.0)</f>
        <v>43413</v>
      </c>
    </row>
    <row r="581">
      <c r="A581" s="6" t="str">
        <f>IFERROR(__xludf.DUMMYFUNCTION("""COMPUTED_VALUE"""),"181750400-2")</f>
        <v>181750400-2</v>
      </c>
      <c r="B581" s="6" t="str">
        <f>IFERROR(__xludf.DUMMYFUNCTION("""COMPUTED_VALUE"""),"181750400 - Approved")</f>
        <v>181750400 - Approved</v>
      </c>
      <c r="C581" s="6">
        <f>IFERROR(__xludf.DUMMYFUNCTION("""COMPUTED_VALUE"""),2.0)</f>
        <v>2</v>
      </c>
      <c r="D581" s="6" t="str">
        <f>IFERROR(__xludf.DUMMYFUNCTION("""COMPUTED_VALUE"""),"Q-90026-00")</f>
        <v>Q-90026-00</v>
      </c>
      <c r="E581" s="6" t="str">
        <f>IFERROR(__xludf.DUMMYFUNCTION("""COMPUTED_VALUE"""),"SCHINDLER ELEVATOR - Sensor PHS; Cedes, GLS 126 NT; ; ;")</f>
        <v>SCHINDLER ELEVATOR - Sensor PHS; Cedes, GLS 126 NT; ; ;</v>
      </c>
      <c r="F581" s="6">
        <f>IFERROR(__xludf.DUMMYFUNCTION("""COMPUTED_VALUE"""),1.0)</f>
        <v>1</v>
      </c>
      <c r="G581" s="6" t="str">
        <f>IFERROR(__xludf.DUMMYFUNCTION("""COMPUTED_VALUE"""),"Unit")</f>
        <v>Unit</v>
      </c>
      <c r="H581" s="6" t="str">
        <f>IFERROR(__xludf.DUMMYFUNCTION("""COMPUTED_VALUE"""),"IDR")</f>
        <v>IDR</v>
      </c>
      <c r="I581" s="11">
        <f>IFERROR(__xludf.DUMMYFUNCTION("""COMPUTED_VALUE"""),2850000.0)</f>
        <v>2850000</v>
      </c>
      <c r="J581" s="11">
        <f>IFERROR(__xludf.DUMMYFUNCTION("""COMPUTED_VALUE"""),2850000.0)</f>
        <v>2850000</v>
      </c>
      <c r="K581" s="13">
        <f>IFERROR(__xludf.DUMMYFUNCTION("""COMPUTED_VALUE"""),43416.0)</f>
        <v>43416</v>
      </c>
      <c r="L581" s="6" t="str">
        <f>IFERROR(__xludf.DUMMYFUNCTION("""COMPUTED_VALUE"""),"FIP General")</f>
        <v>FIP General</v>
      </c>
      <c r="M581" s="6" t="str">
        <f>IFERROR(__xludf.DUMMYFUNCTION("""COMPUTED_VALUE"""),"Joko Nugroho")</f>
        <v>Joko Nugroho</v>
      </c>
      <c r="N581" s="6" t="str">
        <f>IFERROR(__xludf.DUMMYFUNCTION("""COMPUTED_VALUE"""),"FIP Engineering")</f>
        <v>FIP Engineering</v>
      </c>
      <c r="O581" s="6" t="str">
        <f>IFERROR(__xludf.DUMMYFUNCTION("""COMPUTED_VALUE"""),"FIP-DOM-ENG-51502-0000000-INA-000000")</f>
        <v>FIP-DOM-ENG-51502-0000000-INA-000000</v>
      </c>
      <c r="P581" s="6" t="str">
        <f>IFERROR(__xludf.DUMMYFUNCTION("""COMPUTED_VALUE"""),"PO Closed")</f>
        <v>PO Closed</v>
      </c>
      <c r="Q581" s="6" t="str">
        <f>IFERROR(__xludf.DUMMYFUNCTION("""COMPUTED_VALUE"""),"GL1811013")</f>
        <v>GL1811013</v>
      </c>
      <c r="R581" s="16">
        <f>IFERROR(__xludf.DUMMYFUNCTION("""COMPUTED_VALUE"""),43398.0)</f>
        <v>43398</v>
      </c>
      <c r="S581" s="6" t="str">
        <f>IFERROR(__xludf.DUMMYFUNCTION("""COMPUTED_VALUE"""),"-")</f>
        <v>-</v>
      </c>
      <c r="T581" s="17">
        <f>IFERROR(__xludf.DUMMYFUNCTION("""COMPUTED_VALUE"""),43434.0)</f>
        <v>43434</v>
      </c>
    </row>
    <row r="582">
      <c r="A582" s="6" t="str">
        <f>IFERROR(__xludf.DUMMYFUNCTION("""COMPUTED_VALUE"""),"181750407-1")</f>
        <v>181750407-1</v>
      </c>
      <c r="B582" s="6" t="str">
        <f>IFERROR(__xludf.DUMMYFUNCTION("""COMPUTED_VALUE"""),"181750407 - Approved")</f>
        <v>181750407 - Approved</v>
      </c>
      <c r="C582" s="6">
        <f>IFERROR(__xludf.DUMMYFUNCTION("""COMPUTED_VALUE"""),1.0)</f>
        <v>1</v>
      </c>
      <c r="D582" s="6" t="str">
        <f>IFERROR(__xludf.DUMMYFUNCTION("""COMPUTED_VALUE"""),"P-13557-00")</f>
        <v>P-13557-00</v>
      </c>
      <c r="E582" s="6" t="str">
        <f>IFERROR(__xludf.DUMMYFUNCTION("""COMPUTED_VALUE"""),"Color Ribbon Cassette Model: B9901AX for Recorder Yokogawa Model: SR10006; ; ;")</f>
        <v>Color Ribbon Cassette Model: B9901AX for Recorder Yokogawa Model: SR10006; ; ;</v>
      </c>
      <c r="F582" s="6">
        <f>IFERROR(__xludf.DUMMYFUNCTION("""COMPUTED_VALUE"""),2.0)</f>
        <v>2</v>
      </c>
      <c r="G582" s="6" t="str">
        <f>IFERROR(__xludf.DUMMYFUNCTION("""COMPUTED_VALUE"""),"Set")</f>
        <v>Set</v>
      </c>
      <c r="H582" s="6" t="str">
        <f>IFERROR(__xludf.DUMMYFUNCTION("""COMPUTED_VALUE"""),"IDR")</f>
        <v>IDR</v>
      </c>
      <c r="I582" s="11">
        <f>IFERROR(__xludf.DUMMYFUNCTION("""COMPUTED_VALUE"""),368500.0)</f>
        <v>368500</v>
      </c>
      <c r="J582" s="11">
        <f>IFERROR(__xludf.DUMMYFUNCTION("""COMPUTED_VALUE"""),737000.0)</f>
        <v>737000</v>
      </c>
      <c r="K582" s="13">
        <f>IFERROR(__xludf.DUMMYFUNCTION("""COMPUTED_VALUE"""),43434.0)</f>
        <v>43434</v>
      </c>
      <c r="L582" s="6" t="str">
        <f>IFERROR(__xludf.DUMMYFUNCTION("""COMPUTED_VALUE"""),"FIP Engineering")</f>
        <v>FIP Engineering</v>
      </c>
      <c r="M582" s="6" t="str">
        <f>IFERROR(__xludf.DUMMYFUNCTION("""COMPUTED_VALUE"""),"Irwan Sopian")</f>
        <v>Irwan Sopian</v>
      </c>
      <c r="N582" s="6" t="str">
        <f>IFERROR(__xludf.DUMMYFUNCTION("""COMPUTED_VALUE"""),"FIP Engineering")</f>
        <v>FIP Engineering</v>
      </c>
      <c r="O582" s="6" t="str">
        <f>IFERROR(__xludf.DUMMYFUNCTION("""COMPUTED_VALUE"""),"FIP-DOM-000-11304-OS00001-INA-000000")</f>
        <v>FIP-DOM-000-11304-OS00001-INA-000000</v>
      </c>
      <c r="P582" s="6" t="str">
        <f>IFERROR(__xludf.DUMMYFUNCTION("""COMPUTED_VALUE"""),"PO Closed")</f>
        <v>PO Closed</v>
      </c>
      <c r="Q582" s="6" t="str">
        <f>IFERROR(__xludf.DUMMYFUNCTION("""COMPUTED_VALUE"""),"GL1811037")</f>
        <v>GL1811037</v>
      </c>
      <c r="R582" s="16">
        <f>IFERROR(__xludf.DUMMYFUNCTION("""COMPUTED_VALUE"""),43402.0)</f>
        <v>43402</v>
      </c>
      <c r="S582" s="6" t="str">
        <f>IFERROR(__xludf.DUMMYFUNCTION("""COMPUTED_VALUE"""),"-")</f>
        <v>-</v>
      </c>
      <c r="T582" s="13">
        <f>IFERROR(__xludf.DUMMYFUNCTION("""COMPUTED_VALUE"""),43426.0)</f>
        <v>43426</v>
      </c>
    </row>
    <row r="583">
      <c r="A583" s="6" t="str">
        <f>IFERROR(__xludf.DUMMYFUNCTION("""COMPUTED_VALUE"""),"181750407-4")</f>
        <v>181750407-4</v>
      </c>
      <c r="B583" s="6" t="str">
        <f>IFERROR(__xludf.DUMMYFUNCTION("""COMPUTED_VALUE"""),"181750407 - Approved")</f>
        <v>181750407 - Approved</v>
      </c>
      <c r="C583" s="6">
        <f>IFERROR(__xludf.DUMMYFUNCTION("""COMPUTED_VALUE"""),4.0)</f>
        <v>4</v>
      </c>
      <c r="D583" s="6" t="str">
        <f>IFERROR(__xludf.DUMMYFUNCTION("""COMPUTED_VALUE"""),"P-13575-00")</f>
        <v>P-13575-00</v>
      </c>
      <c r="E583" s="6" t="str">
        <f>IFERROR(__xludf.DUMMYFUNCTION("""COMPUTED_VALUE"""),"Plotter Pen Purple Model: B9902AR for Recorder Yokogawa Model: SR10002; ; ;")</f>
        <v>Plotter Pen Purple Model: B9902AR for Recorder Yokogawa Model: SR10002; ; ;</v>
      </c>
      <c r="F583" s="6">
        <f>IFERROR(__xludf.DUMMYFUNCTION("""COMPUTED_VALUE"""),2.0)</f>
        <v>2</v>
      </c>
      <c r="G583" s="6" t="str">
        <f>IFERROR(__xludf.DUMMYFUNCTION("""COMPUTED_VALUE"""),"Set")</f>
        <v>Set</v>
      </c>
      <c r="H583" s="6" t="str">
        <f>IFERROR(__xludf.DUMMYFUNCTION("""COMPUTED_VALUE"""),"IDR")</f>
        <v>IDR</v>
      </c>
      <c r="I583" s="11">
        <f>IFERROR(__xludf.DUMMYFUNCTION("""COMPUTED_VALUE"""),435000.0)</f>
        <v>435000</v>
      </c>
      <c r="J583" s="11">
        <f>IFERROR(__xludf.DUMMYFUNCTION("""COMPUTED_VALUE"""),870000.0)</f>
        <v>870000</v>
      </c>
      <c r="K583" s="13">
        <f>IFERROR(__xludf.DUMMYFUNCTION("""COMPUTED_VALUE"""),43434.0)</f>
        <v>43434</v>
      </c>
      <c r="L583" s="6" t="str">
        <f>IFERROR(__xludf.DUMMYFUNCTION("""COMPUTED_VALUE"""),"FIP Engineering")</f>
        <v>FIP Engineering</v>
      </c>
      <c r="M583" s="6" t="str">
        <f>IFERROR(__xludf.DUMMYFUNCTION("""COMPUTED_VALUE"""),"Irwan Sopian")</f>
        <v>Irwan Sopian</v>
      </c>
      <c r="N583" s="6" t="str">
        <f>IFERROR(__xludf.DUMMYFUNCTION("""COMPUTED_VALUE"""),"FIP Engineering")</f>
        <v>FIP Engineering</v>
      </c>
      <c r="O583" s="6" t="str">
        <f>IFERROR(__xludf.DUMMYFUNCTION("""COMPUTED_VALUE"""),"FIP-DOM-000-11304-OS00001-INA-000000")</f>
        <v>FIP-DOM-000-11304-OS00001-INA-000000</v>
      </c>
      <c r="P583" s="6" t="str">
        <f>IFERROR(__xludf.DUMMYFUNCTION("""COMPUTED_VALUE"""),"PO Closed")</f>
        <v>PO Closed</v>
      </c>
      <c r="Q583" s="6" t="str">
        <f>IFERROR(__xludf.DUMMYFUNCTION("""COMPUTED_VALUE"""),"GL1811037")</f>
        <v>GL1811037</v>
      </c>
      <c r="R583" s="16">
        <f>IFERROR(__xludf.DUMMYFUNCTION("""COMPUTED_VALUE"""),43402.0)</f>
        <v>43402</v>
      </c>
      <c r="S583" s="6" t="str">
        <f>IFERROR(__xludf.DUMMYFUNCTION("""COMPUTED_VALUE"""),"-")</f>
        <v>-</v>
      </c>
      <c r="T583" s="13">
        <f>IFERROR(__xludf.DUMMYFUNCTION("""COMPUTED_VALUE"""),43426.0)</f>
        <v>43426</v>
      </c>
    </row>
    <row r="584">
      <c r="A584" s="6" t="str">
        <f>IFERROR(__xludf.DUMMYFUNCTION("""COMPUTED_VALUE"""),"181750406-1")</f>
        <v>181750406-1</v>
      </c>
      <c r="B584" s="6" t="str">
        <f>IFERROR(__xludf.DUMMYFUNCTION("""COMPUTED_VALUE"""),"181750406 - Approved")</f>
        <v>181750406 - Approved</v>
      </c>
      <c r="C584" s="6">
        <f>IFERROR(__xludf.DUMMYFUNCTION("""COMPUTED_VALUE"""),1.0)</f>
        <v>1</v>
      </c>
      <c r="D584" s="6" t="str">
        <f>IFERROR(__xludf.DUMMYFUNCTION("""COMPUTED_VALUE"""),"O-11181-00")</f>
        <v>O-11181-00</v>
      </c>
      <c r="E584" s="6" t="str">
        <f>IFERROR(__xludf.DUMMYFUNCTION("""COMPUTED_VALUE"""),"Bearing 626-2Z")</f>
        <v>Bearing 626-2Z</v>
      </c>
      <c r="F584" s="6">
        <f>IFERROR(__xludf.DUMMYFUNCTION("""COMPUTED_VALUE"""),20.0)</f>
        <v>20</v>
      </c>
      <c r="G584" s="6" t="str">
        <f>IFERROR(__xludf.DUMMYFUNCTION("""COMPUTED_VALUE"""),"Pieces")</f>
        <v>Pieces</v>
      </c>
      <c r="H584" s="6" t="str">
        <f>IFERROR(__xludf.DUMMYFUNCTION("""COMPUTED_VALUE"""),"IDR")</f>
        <v>IDR</v>
      </c>
      <c r="I584" s="11">
        <f>IFERROR(__xludf.DUMMYFUNCTION("""COMPUTED_VALUE"""),20000.0)</f>
        <v>20000</v>
      </c>
      <c r="J584" s="11">
        <f>IFERROR(__xludf.DUMMYFUNCTION("""COMPUTED_VALUE"""),400000.0)</f>
        <v>400000</v>
      </c>
      <c r="K584" s="13">
        <f>IFERROR(__xludf.DUMMYFUNCTION("""COMPUTED_VALUE"""),43427.0)</f>
        <v>43427</v>
      </c>
      <c r="L584" s="6" t="str">
        <f>IFERROR(__xludf.DUMMYFUNCTION("""COMPUTED_VALUE"""),"FIP Engineering")</f>
        <v>FIP Engineering</v>
      </c>
      <c r="M584" s="6" t="str">
        <f>IFERROR(__xludf.DUMMYFUNCTION("""COMPUTED_VALUE"""),"Irwan Sopian")</f>
        <v>Irwan Sopian</v>
      </c>
      <c r="N584" s="6" t="str">
        <f>IFERROR(__xludf.DUMMYFUNCTION("""COMPUTED_VALUE"""),"FIP Engineering")</f>
        <v>FIP Engineering</v>
      </c>
      <c r="O584" s="6" t="str">
        <f>IFERROR(__xludf.DUMMYFUNCTION("""COMPUTED_VALUE"""),"FIP-DOM-000-11304-OS00001-INA-000000")</f>
        <v>FIP-DOM-000-11304-OS00001-INA-000000</v>
      </c>
      <c r="P584" s="6" t="str">
        <f>IFERROR(__xludf.DUMMYFUNCTION("""COMPUTED_VALUE"""),"PO Closed")</f>
        <v>PO Closed</v>
      </c>
      <c r="Q584" s="6" t="str">
        <f>IFERROR(__xludf.DUMMYFUNCTION("""COMPUTED_VALUE"""),"GL1811017")</f>
        <v>GL1811017</v>
      </c>
      <c r="R584" s="16">
        <f>IFERROR(__xludf.DUMMYFUNCTION("""COMPUTED_VALUE"""),43402.0)</f>
        <v>43402</v>
      </c>
      <c r="S584" s="6" t="str">
        <f>IFERROR(__xludf.DUMMYFUNCTION("""COMPUTED_VALUE"""),"-")</f>
        <v>-</v>
      </c>
      <c r="T584" s="13">
        <f>IFERROR(__xludf.DUMMYFUNCTION("""COMPUTED_VALUE"""),43419.0)</f>
        <v>43419</v>
      </c>
    </row>
    <row r="585">
      <c r="A585" s="6" t="str">
        <f>IFERROR(__xludf.DUMMYFUNCTION("""COMPUTED_VALUE"""),"181750414-1")</f>
        <v>181750414-1</v>
      </c>
      <c r="B585" s="6" t="str">
        <f>IFERROR(__xludf.DUMMYFUNCTION("""COMPUTED_VALUE"""),"181750414 - Approved")</f>
        <v>181750414 - Approved</v>
      </c>
      <c r="C585" s="6">
        <f>IFERROR(__xludf.DUMMYFUNCTION("""COMPUTED_VALUE"""),1.0)</f>
        <v>1</v>
      </c>
      <c r="D585" s="6" t="str">
        <f>IFERROR(__xludf.DUMMYFUNCTION("""COMPUTED_VALUE"""),"P-13564-00")</f>
        <v>P-13564-00</v>
      </c>
      <c r="E585" s="6" t="str">
        <f>IFERROR(__xludf.DUMMYFUNCTION("""COMPUTED_VALUE"""),"Pipa Ornamen SS 304 1 1/4inchx 1mm x 6mtr; ; ;")</f>
        <v>Pipa Ornamen SS 304 1 1/4inchx 1mm x 6mtr; ; ;</v>
      </c>
      <c r="F585" s="6">
        <f>IFERROR(__xludf.DUMMYFUNCTION("""COMPUTED_VALUE"""),1.0)</f>
        <v>1</v>
      </c>
      <c r="G585" s="6" t="str">
        <f>IFERROR(__xludf.DUMMYFUNCTION("""COMPUTED_VALUE"""),"Unit")</f>
        <v>Unit</v>
      </c>
      <c r="H585" s="6" t="str">
        <f>IFERROR(__xludf.DUMMYFUNCTION("""COMPUTED_VALUE"""),"IDR")</f>
        <v>IDR</v>
      </c>
      <c r="I585" s="11">
        <f>IFERROR(__xludf.DUMMYFUNCTION("""COMPUTED_VALUE"""),340000.0)</f>
        <v>340000</v>
      </c>
      <c r="J585" s="11">
        <f>IFERROR(__xludf.DUMMYFUNCTION("""COMPUTED_VALUE"""),340000.0)</f>
        <v>340000</v>
      </c>
      <c r="K585" s="13">
        <f>IFERROR(__xludf.DUMMYFUNCTION("""COMPUTED_VALUE"""),43427.0)</f>
        <v>43427</v>
      </c>
      <c r="L585" s="6" t="str">
        <f>IFERROR(__xludf.DUMMYFUNCTION("""COMPUTED_VALUE"""),"FIP Engineering")</f>
        <v>FIP Engineering</v>
      </c>
      <c r="M585" s="6" t="str">
        <f>IFERROR(__xludf.DUMMYFUNCTION("""COMPUTED_VALUE"""),"Irwan Sopian")</f>
        <v>Irwan Sopian</v>
      </c>
      <c r="N585" s="6" t="str">
        <f>IFERROR(__xludf.DUMMYFUNCTION("""COMPUTED_VALUE"""),"FIP Engineering")</f>
        <v>FIP Engineering</v>
      </c>
      <c r="O585" s="6" t="str">
        <f>IFERROR(__xludf.DUMMYFUNCTION("""COMPUTED_VALUE"""),"FIP-DOM-000-11304-OS00001-INA-000000")</f>
        <v>FIP-DOM-000-11304-OS00001-INA-000000</v>
      </c>
      <c r="P585" s="6" t="str">
        <f>IFERROR(__xludf.DUMMYFUNCTION("""COMPUTED_VALUE"""),"PO Closed")</f>
        <v>PO Closed</v>
      </c>
      <c r="Q585" s="6" t="str">
        <f>IFERROR(__xludf.DUMMYFUNCTION("""COMPUTED_VALUE"""),"GL1811061")</f>
        <v>GL1811061</v>
      </c>
      <c r="R585" s="16">
        <f>IFERROR(__xludf.DUMMYFUNCTION("""COMPUTED_VALUE"""),43403.0)</f>
        <v>43403</v>
      </c>
      <c r="S585" s="6" t="str">
        <f>IFERROR(__xludf.DUMMYFUNCTION("""COMPUTED_VALUE"""),"-")</f>
        <v>-</v>
      </c>
      <c r="T585" s="17">
        <f>IFERROR(__xludf.DUMMYFUNCTION("""COMPUTED_VALUE"""),43426.0)</f>
        <v>43426</v>
      </c>
    </row>
    <row r="586">
      <c r="A586" s="6" t="str">
        <f>IFERROR(__xludf.DUMMYFUNCTION("""COMPUTED_VALUE"""),"181750412-1")</f>
        <v>181750412-1</v>
      </c>
      <c r="B586" s="6" t="str">
        <f>IFERROR(__xludf.DUMMYFUNCTION("""COMPUTED_VALUE"""),"181750412 - Approved")</f>
        <v>181750412 - Approved</v>
      </c>
      <c r="C586" s="6">
        <f>IFERROR(__xludf.DUMMYFUNCTION("""COMPUTED_VALUE"""),1.0)</f>
        <v>1</v>
      </c>
      <c r="D586" s="6" t="str">
        <f>IFERROR(__xludf.DUMMYFUNCTION("""COMPUTED_VALUE"""),"O-16281-00")</f>
        <v>O-16281-00</v>
      </c>
      <c r="E586" s="6" t="str">
        <f>IFERROR(__xludf.DUMMYFUNCTION("""COMPUTED_VALUE"""),"Washing RAR4 - Pusher Guide; ; ;")</f>
        <v>Washing RAR4 - Pusher Guide; ; ;</v>
      </c>
      <c r="F586" s="6">
        <f>IFERROR(__xludf.DUMMYFUNCTION("""COMPUTED_VALUE"""),1.0)</f>
        <v>1</v>
      </c>
      <c r="G586" s="6" t="str">
        <f>IFERROR(__xludf.DUMMYFUNCTION("""COMPUTED_VALUE"""),"Pieces")</f>
        <v>Pieces</v>
      </c>
      <c r="H586" s="6" t="str">
        <f>IFERROR(__xludf.DUMMYFUNCTION("""COMPUTED_VALUE"""),"IDR")</f>
        <v>IDR</v>
      </c>
      <c r="I586" s="11">
        <f>IFERROR(__xludf.DUMMYFUNCTION("""COMPUTED_VALUE"""),975000.0)</f>
        <v>975000</v>
      </c>
      <c r="J586" s="11">
        <f>IFERROR(__xludf.DUMMYFUNCTION("""COMPUTED_VALUE"""),975000.0)</f>
        <v>975000</v>
      </c>
      <c r="K586" s="13">
        <f>IFERROR(__xludf.DUMMYFUNCTION("""COMPUTED_VALUE"""),43434.0)</f>
        <v>43434</v>
      </c>
      <c r="L586" s="6" t="str">
        <f>IFERROR(__xludf.DUMMYFUNCTION("""COMPUTED_VALUE"""),"FIP Engineering")</f>
        <v>FIP Engineering</v>
      </c>
      <c r="M586" s="6" t="str">
        <f>IFERROR(__xludf.DUMMYFUNCTION("""COMPUTED_VALUE"""),"Irwan Sopian")</f>
        <v>Irwan Sopian</v>
      </c>
      <c r="N586" s="6" t="str">
        <f>IFERROR(__xludf.DUMMYFUNCTION("""COMPUTED_VALUE"""),"FIP Engineering")</f>
        <v>FIP Engineering</v>
      </c>
      <c r="O586" s="6" t="str">
        <f>IFERROR(__xludf.DUMMYFUNCTION("""COMPUTED_VALUE"""),"FIP-DOM-000-11304-OS00001-INA-000000")</f>
        <v>FIP-DOM-000-11304-OS00001-INA-000000</v>
      </c>
      <c r="P586" s="6" t="str">
        <f>IFERROR(__xludf.DUMMYFUNCTION("""COMPUTED_VALUE"""),"PO Closed")</f>
        <v>PO Closed</v>
      </c>
      <c r="Q586" s="6" t="str">
        <f>IFERROR(__xludf.DUMMYFUNCTION("""COMPUTED_VALUE"""),"GL1811019")</f>
        <v>GL1811019</v>
      </c>
      <c r="R586" s="16">
        <f>IFERROR(__xludf.DUMMYFUNCTION("""COMPUTED_VALUE"""),43403.0)</f>
        <v>43403</v>
      </c>
      <c r="S586" s="6" t="str">
        <f>IFERROR(__xludf.DUMMYFUNCTION("""COMPUTED_VALUE"""),"-")</f>
        <v>-</v>
      </c>
      <c r="T586" s="13">
        <f>IFERROR(__xludf.DUMMYFUNCTION("""COMPUTED_VALUE"""),43434.0)</f>
        <v>43434</v>
      </c>
    </row>
    <row r="587">
      <c r="A587" s="6" t="str">
        <f>IFERROR(__xludf.DUMMYFUNCTION("""COMPUTED_VALUE"""),"181750412-2")</f>
        <v>181750412-2</v>
      </c>
      <c r="B587" s="6" t="str">
        <f>IFERROR(__xludf.DUMMYFUNCTION("""COMPUTED_VALUE"""),"181750412 - Approved")</f>
        <v>181750412 - Approved</v>
      </c>
      <c r="C587" s="6">
        <f>IFERROR(__xludf.DUMMYFUNCTION("""COMPUTED_VALUE"""),2.0)</f>
        <v>2</v>
      </c>
      <c r="D587" s="6" t="str">
        <f>IFERROR(__xludf.DUMMYFUNCTION("""COMPUTED_VALUE"""),"S-60002-00")</f>
        <v>S-60002-00</v>
      </c>
      <c r="E587" s="6" t="str">
        <f>IFERROR(__xludf.DUMMYFUNCTION("""COMPUTED_VALUE"""),"Repair Pusher Guide Mesin Washing")</f>
        <v>Repair Pusher Guide Mesin Washing</v>
      </c>
      <c r="F587" s="6">
        <f>IFERROR(__xludf.DUMMYFUNCTION("""COMPUTED_VALUE"""),1.0)</f>
        <v>1</v>
      </c>
      <c r="G587" s="6" t="str">
        <f>IFERROR(__xludf.DUMMYFUNCTION("""COMPUTED_VALUE"""),"Lot")</f>
        <v>Lot</v>
      </c>
      <c r="H587" s="6" t="str">
        <f>IFERROR(__xludf.DUMMYFUNCTION("""COMPUTED_VALUE"""),"IDR")</f>
        <v>IDR</v>
      </c>
      <c r="I587" s="11">
        <f>IFERROR(__xludf.DUMMYFUNCTION("""COMPUTED_VALUE"""),250000.0)</f>
        <v>250000</v>
      </c>
      <c r="J587" s="11">
        <f>IFERROR(__xludf.DUMMYFUNCTION("""COMPUTED_VALUE"""),250000.0)</f>
        <v>250000</v>
      </c>
      <c r="K587" s="13">
        <f>IFERROR(__xludf.DUMMYFUNCTION("""COMPUTED_VALUE"""),43434.0)</f>
        <v>43434</v>
      </c>
      <c r="L587" s="6" t="str">
        <f>IFERROR(__xludf.DUMMYFUNCTION("""COMPUTED_VALUE"""),"FIP General")</f>
        <v>FIP General</v>
      </c>
      <c r="M587" s="6" t="str">
        <f>IFERROR(__xludf.DUMMYFUNCTION("""COMPUTED_VALUE"""),"Irwan Sopian")</f>
        <v>Irwan Sopian</v>
      </c>
      <c r="N587" s="6" t="str">
        <f>IFERROR(__xludf.DUMMYFUNCTION("""COMPUTED_VALUE"""),"FIP Engineering")</f>
        <v>FIP Engineering</v>
      </c>
      <c r="O587" s="6" t="str">
        <f>IFERROR(__xludf.DUMMYFUNCTION("""COMPUTED_VALUE"""),"FIP-DOM-ENG-51508-0000000-INA-000000")</f>
        <v>FIP-DOM-ENG-51508-0000000-INA-000000</v>
      </c>
      <c r="P587" s="6" t="str">
        <f>IFERROR(__xludf.DUMMYFUNCTION("""COMPUTED_VALUE"""),"PO Closed")</f>
        <v>PO Closed</v>
      </c>
      <c r="Q587" s="6" t="str">
        <f>IFERROR(__xludf.DUMMYFUNCTION("""COMPUTED_VALUE"""),"GL1811019")</f>
        <v>GL1811019</v>
      </c>
      <c r="R587" s="16">
        <f>IFERROR(__xludf.DUMMYFUNCTION("""COMPUTED_VALUE"""),43403.0)</f>
        <v>43403</v>
      </c>
      <c r="S587" s="6" t="str">
        <f>IFERROR(__xludf.DUMMYFUNCTION("""COMPUTED_VALUE"""),"-")</f>
        <v>-</v>
      </c>
      <c r="T587" s="13">
        <f>IFERROR(__xludf.DUMMYFUNCTION("""COMPUTED_VALUE"""),43434.0)</f>
        <v>43434</v>
      </c>
    </row>
    <row r="588">
      <c r="A588" s="6" t="str">
        <f>IFERROR(__xludf.DUMMYFUNCTION("""COMPUTED_VALUE"""),"181750411-1")</f>
        <v>181750411-1</v>
      </c>
      <c r="B588" s="6" t="str">
        <f>IFERROR(__xludf.DUMMYFUNCTION("""COMPUTED_VALUE"""),"181750411 - Approved")</f>
        <v>181750411 - Approved</v>
      </c>
      <c r="C588" s="6">
        <f>IFERROR(__xludf.DUMMYFUNCTION("""COMPUTED_VALUE"""),1.0)</f>
        <v>1</v>
      </c>
      <c r="D588" s="6" t="str">
        <f>IFERROR(__xludf.DUMMYFUNCTION("""COMPUTED_VALUE"""),"P-13563-00")</f>
        <v>P-13563-00</v>
      </c>
      <c r="E588" s="6" t="str">
        <f>IFERROR(__xludf.DUMMYFUNCTION("""COMPUTED_VALUE"""),"Selenoid Valve 2 way, 220VAC, UW-25 UNI-D; ; ;")</f>
        <v>Selenoid Valve 2 way, 220VAC, UW-25 UNI-D; ; ;</v>
      </c>
      <c r="F588" s="6">
        <f>IFERROR(__xludf.DUMMYFUNCTION("""COMPUTED_VALUE"""),2.0)</f>
        <v>2</v>
      </c>
      <c r="G588" s="6" t="str">
        <f>IFERROR(__xludf.DUMMYFUNCTION("""COMPUTED_VALUE"""),"Pieces")</f>
        <v>Pieces</v>
      </c>
      <c r="H588" s="6" t="str">
        <f>IFERROR(__xludf.DUMMYFUNCTION("""COMPUTED_VALUE"""),"IDR")</f>
        <v>IDR</v>
      </c>
      <c r="I588" s="11">
        <f>IFERROR(__xludf.DUMMYFUNCTION("""COMPUTED_VALUE"""),1525000.0)</f>
        <v>1525000</v>
      </c>
      <c r="J588" s="11">
        <f>IFERROR(__xludf.DUMMYFUNCTION("""COMPUTED_VALUE"""),3050000.0)</f>
        <v>3050000</v>
      </c>
      <c r="K588" s="13">
        <f>IFERROR(__xludf.DUMMYFUNCTION("""COMPUTED_VALUE"""),43434.0)</f>
        <v>43434</v>
      </c>
      <c r="L588" s="6" t="str">
        <f>IFERROR(__xludf.DUMMYFUNCTION("""COMPUTED_VALUE"""),"FIP Engineering")</f>
        <v>FIP Engineering</v>
      </c>
      <c r="M588" s="6" t="str">
        <f>IFERROR(__xludf.DUMMYFUNCTION("""COMPUTED_VALUE"""),"Irwan Sopian")</f>
        <v>Irwan Sopian</v>
      </c>
      <c r="N588" s="6" t="str">
        <f>IFERROR(__xludf.DUMMYFUNCTION("""COMPUTED_VALUE"""),"FIP Engineering")</f>
        <v>FIP Engineering</v>
      </c>
      <c r="O588" s="6" t="str">
        <f>IFERROR(__xludf.DUMMYFUNCTION("""COMPUTED_VALUE"""),"FIP-DOM-000-11304-OS00001-INA-000000")</f>
        <v>FIP-DOM-000-11304-OS00001-INA-000000</v>
      </c>
      <c r="P588" s="6" t="str">
        <f>IFERROR(__xludf.DUMMYFUNCTION("""COMPUTED_VALUE"""),"PO Closed")</f>
        <v>PO Closed</v>
      </c>
      <c r="Q588" s="6" t="str">
        <f>IFERROR(__xludf.DUMMYFUNCTION("""COMPUTED_VALUE"""),"GL1811018")</f>
        <v>GL1811018</v>
      </c>
      <c r="R588" s="16">
        <f>IFERROR(__xludf.DUMMYFUNCTION("""COMPUTED_VALUE"""),43403.0)</f>
        <v>43403</v>
      </c>
      <c r="S588" s="6" t="str">
        <f>IFERROR(__xludf.DUMMYFUNCTION("""COMPUTED_VALUE"""),"-")</f>
        <v>-</v>
      </c>
      <c r="T588" s="13">
        <f>IFERROR(__xludf.DUMMYFUNCTION("""COMPUTED_VALUE"""),43419.0)</f>
        <v>43419</v>
      </c>
    </row>
    <row r="589">
      <c r="A589" s="6" t="str">
        <f>IFERROR(__xludf.DUMMYFUNCTION("""COMPUTED_VALUE"""),"181750411-2")</f>
        <v>181750411-2</v>
      </c>
      <c r="B589" s="6" t="str">
        <f>IFERROR(__xludf.DUMMYFUNCTION("""COMPUTED_VALUE"""),"181750411 - Approved")</f>
        <v>181750411 - Approved</v>
      </c>
      <c r="C589" s="6">
        <f>IFERROR(__xludf.DUMMYFUNCTION("""COMPUTED_VALUE"""),2.0)</f>
        <v>2</v>
      </c>
      <c r="D589" s="6" t="str">
        <f>IFERROR(__xludf.DUMMYFUNCTION("""COMPUTED_VALUE"""),"P-13562-00")</f>
        <v>P-13562-00</v>
      </c>
      <c r="E589" s="6" t="str">
        <f>IFERROR(__xludf.DUMMYFUNCTION("""COMPUTED_VALUE"""),"Y-Strainer Brass 1 inch; ; ;")</f>
        <v>Y-Strainer Brass 1 inch; ; ;</v>
      </c>
      <c r="F589" s="6">
        <f>IFERROR(__xludf.DUMMYFUNCTION("""COMPUTED_VALUE"""),1.0)</f>
        <v>1</v>
      </c>
      <c r="G589" s="6" t="str">
        <f>IFERROR(__xludf.DUMMYFUNCTION("""COMPUTED_VALUE"""),"Pieces")</f>
        <v>Pieces</v>
      </c>
      <c r="H589" s="6" t="str">
        <f>IFERROR(__xludf.DUMMYFUNCTION("""COMPUTED_VALUE"""),"IDR")</f>
        <v>IDR</v>
      </c>
      <c r="I589" s="11">
        <f>IFERROR(__xludf.DUMMYFUNCTION("""COMPUTED_VALUE"""),450000.0)</f>
        <v>450000</v>
      </c>
      <c r="J589" s="11">
        <f>IFERROR(__xludf.DUMMYFUNCTION("""COMPUTED_VALUE"""),450000.0)</f>
        <v>450000</v>
      </c>
      <c r="K589" s="13">
        <f>IFERROR(__xludf.DUMMYFUNCTION("""COMPUTED_VALUE"""),43434.0)</f>
        <v>43434</v>
      </c>
      <c r="L589" s="6" t="str">
        <f>IFERROR(__xludf.DUMMYFUNCTION("""COMPUTED_VALUE"""),"FIP Engineering")</f>
        <v>FIP Engineering</v>
      </c>
      <c r="M589" s="6" t="str">
        <f>IFERROR(__xludf.DUMMYFUNCTION("""COMPUTED_VALUE"""),"Irwan Sopian")</f>
        <v>Irwan Sopian</v>
      </c>
      <c r="N589" s="6" t="str">
        <f>IFERROR(__xludf.DUMMYFUNCTION("""COMPUTED_VALUE"""),"FIP Engineering")</f>
        <v>FIP Engineering</v>
      </c>
      <c r="O589" s="6" t="str">
        <f>IFERROR(__xludf.DUMMYFUNCTION("""COMPUTED_VALUE"""),"FIP-DOM-000-11304-OS00001-INA-000000")</f>
        <v>FIP-DOM-000-11304-OS00001-INA-000000</v>
      </c>
      <c r="P589" s="6" t="str">
        <f>IFERROR(__xludf.DUMMYFUNCTION("""COMPUTED_VALUE"""),"PO Closed")</f>
        <v>PO Closed</v>
      </c>
      <c r="Q589" s="6" t="str">
        <f>IFERROR(__xludf.DUMMYFUNCTION("""COMPUTED_VALUE"""),"GL1811018")</f>
        <v>GL1811018</v>
      </c>
      <c r="R589" s="16">
        <f>IFERROR(__xludf.DUMMYFUNCTION("""COMPUTED_VALUE"""),43403.0)</f>
        <v>43403</v>
      </c>
      <c r="S589" s="6" t="str">
        <f>IFERROR(__xludf.DUMMYFUNCTION("""COMPUTED_VALUE"""),"-")</f>
        <v>-</v>
      </c>
      <c r="T589" s="13">
        <f>IFERROR(__xludf.DUMMYFUNCTION("""COMPUTED_VALUE"""),43419.0)</f>
        <v>43419</v>
      </c>
    </row>
    <row r="590">
      <c r="A590" s="6" t="str">
        <f>IFERROR(__xludf.DUMMYFUNCTION("""COMPUTED_VALUE"""),"181750409-1")</f>
        <v>181750409-1</v>
      </c>
      <c r="B590" s="6" t="str">
        <f>IFERROR(__xludf.DUMMYFUNCTION("""COMPUTED_VALUE"""),"181750409 - Approved")</f>
        <v>181750409 - Approved</v>
      </c>
      <c r="C590" s="6">
        <f>IFERROR(__xludf.DUMMYFUNCTION("""COMPUTED_VALUE"""),1.0)</f>
        <v>1</v>
      </c>
      <c r="D590" s="6" t="str">
        <f>IFERROR(__xludf.DUMMYFUNCTION("""COMPUTED_VALUE"""),"P-13558-00")</f>
        <v>P-13558-00</v>
      </c>
      <c r="E590" s="6" t="str">
        <f>IFERROR(__xludf.DUMMYFUNCTION("""COMPUTED_VALUE"""),"Selenoid Valve 4V210-08 24 VDC; ; ;")</f>
        <v>Selenoid Valve 4V210-08 24 VDC; ; ;</v>
      </c>
      <c r="F590" s="6">
        <f>IFERROR(__xludf.DUMMYFUNCTION("""COMPUTED_VALUE"""),1.0)</f>
        <v>1</v>
      </c>
      <c r="G590" s="6" t="str">
        <f>IFERROR(__xludf.DUMMYFUNCTION("""COMPUTED_VALUE"""),"Pieces")</f>
        <v>Pieces</v>
      </c>
      <c r="H590" s="6" t="str">
        <f>IFERROR(__xludf.DUMMYFUNCTION("""COMPUTED_VALUE"""),"IDR")</f>
        <v>IDR</v>
      </c>
      <c r="I590" s="11">
        <f>IFERROR(__xludf.DUMMYFUNCTION("""COMPUTED_VALUE"""),120000.0)</f>
        <v>120000</v>
      </c>
      <c r="J590" s="11">
        <f>IFERROR(__xludf.DUMMYFUNCTION("""COMPUTED_VALUE"""),120000.0)</f>
        <v>120000</v>
      </c>
      <c r="K590" s="13">
        <f>IFERROR(__xludf.DUMMYFUNCTION("""COMPUTED_VALUE"""),43427.0)</f>
        <v>43427</v>
      </c>
      <c r="L590" s="6" t="str">
        <f>IFERROR(__xludf.DUMMYFUNCTION("""COMPUTED_VALUE"""),"FIP Engineering")</f>
        <v>FIP Engineering</v>
      </c>
      <c r="M590" s="6" t="str">
        <f>IFERROR(__xludf.DUMMYFUNCTION("""COMPUTED_VALUE"""),"Joko Nugroho")</f>
        <v>Joko Nugroho</v>
      </c>
      <c r="N590" s="6" t="str">
        <f>IFERROR(__xludf.DUMMYFUNCTION("""COMPUTED_VALUE"""),"FIP Engineering")</f>
        <v>FIP Engineering</v>
      </c>
      <c r="O590" s="6" t="str">
        <f>IFERROR(__xludf.DUMMYFUNCTION("""COMPUTED_VALUE"""),"FIP-DOM-000-11304-OS00001-INA-000000")</f>
        <v>FIP-DOM-000-11304-OS00001-INA-000000</v>
      </c>
      <c r="P590" s="6" t="str">
        <f>IFERROR(__xludf.DUMMYFUNCTION("""COMPUTED_VALUE"""),"PO Closed")</f>
        <v>PO Closed</v>
      </c>
      <c r="Q590" s="6" t="str">
        <f>IFERROR(__xludf.DUMMYFUNCTION("""COMPUTED_VALUE"""),"GL1811072")</f>
        <v>GL1811072</v>
      </c>
      <c r="R590" s="16">
        <f>IFERROR(__xludf.DUMMYFUNCTION("""COMPUTED_VALUE"""),43403.0)</f>
        <v>43403</v>
      </c>
      <c r="S590" s="6" t="str">
        <f>IFERROR(__xludf.DUMMYFUNCTION("""COMPUTED_VALUE"""),"-")</f>
        <v>-</v>
      </c>
      <c r="T590" s="17">
        <f>IFERROR(__xludf.DUMMYFUNCTION("""COMPUTED_VALUE"""),43427.0)</f>
        <v>43427</v>
      </c>
    </row>
    <row r="591">
      <c r="A591" s="6" t="str">
        <f>IFERROR(__xludf.DUMMYFUNCTION("""COMPUTED_VALUE"""),"181750409-2")</f>
        <v>181750409-2</v>
      </c>
      <c r="B591" s="6" t="str">
        <f>IFERROR(__xludf.DUMMYFUNCTION("""COMPUTED_VALUE"""),"181750409 - Approved")</f>
        <v>181750409 - Approved</v>
      </c>
      <c r="C591" s="6">
        <f>IFERROR(__xludf.DUMMYFUNCTION("""COMPUTED_VALUE"""),2.0)</f>
        <v>2</v>
      </c>
      <c r="D591" s="6" t="str">
        <f>IFERROR(__xludf.DUMMYFUNCTION("""COMPUTED_VALUE"""),"S-60002-00")</f>
        <v>S-60002-00</v>
      </c>
      <c r="E591" s="6" t="str">
        <f>IFERROR(__xludf.DUMMYFUNCTION("""COMPUTED_VALUE"""),"Biaya kirim dan asuransi selenoid valve 24 VDC")</f>
        <v>Biaya kirim dan asuransi selenoid valve 24 VDC</v>
      </c>
      <c r="F591" s="6">
        <f>IFERROR(__xludf.DUMMYFUNCTION("""COMPUTED_VALUE"""),1.0)</f>
        <v>1</v>
      </c>
      <c r="G591" s="6" t="str">
        <f>IFERROR(__xludf.DUMMYFUNCTION("""COMPUTED_VALUE"""),"Lot")</f>
        <v>Lot</v>
      </c>
      <c r="H591" s="6" t="str">
        <f>IFERROR(__xludf.DUMMYFUNCTION("""COMPUTED_VALUE"""),"IDR")</f>
        <v>IDR</v>
      </c>
      <c r="I591" s="11">
        <f>IFERROR(__xludf.DUMMYFUNCTION("""COMPUTED_VALUE"""),18240.0)</f>
        <v>18240</v>
      </c>
      <c r="J591" s="11">
        <f>IFERROR(__xludf.DUMMYFUNCTION("""COMPUTED_VALUE"""),18240.0)</f>
        <v>18240</v>
      </c>
      <c r="K591" s="13">
        <f>IFERROR(__xludf.DUMMYFUNCTION("""COMPUTED_VALUE"""),43427.0)</f>
        <v>43427</v>
      </c>
      <c r="L591" s="6" t="str">
        <f>IFERROR(__xludf.DUMMYFUNCTION("""COMPUTED_VALUE"""),"FIP General")</f>
        <v>FIP General</v>
      </c>
      <c r="M591" s="6" t="str">
        <f>IFERROR(__xludf.DUMMYFUNCTION("""COMPUTED_VALUE"""),"Joko Nugroho")</f>
        <v>Joko Nugroho</v>
      </c>
      <c r="N591" s="6" t="str">
        <f>IFERROR(__xludf.DUMMYFUNCTION("""COMPUTED_VALUE"""),"FIP Engineering")</f>
        <v>FIP Engineering</v>
      </c>
      <c r="O591" s="6" t="str">
        <f>IFERROR(__xludf.DUMMYFUNCTION("""COMPUTED_VALUE"""),"FIP-DOM-ENG-51508-0000000-INA-000000")</f>
        <v>FIP-DOM-ENG-51508-0000000-INA-000000</v>
      </c>
      <c r="P591" s="6" t="str">
        <f>IFERROR(__xludf.DUMMYFUNCTION("""COMPUTED_VALUE"""),"PO Closed")</f>
        <v>PO Closed</v>
      </c>
      <c r="Q591" s="6" t="str">
        <f>IFERROR(__xludf.DUMMYFUNCTION("""COMPUTED_VALUE"""),"GL1811072")</f>
        <v>GL1811072</v>
      </c>
      <c r="R591" s="16">
        <f>IFERROR(__xludf.DUMMYFUNCTION("""COMPUTED_VALUE"""),43403.0)</f>
        <v>43403</v>
      </c>
      <c r="S591" s="6" t="str">
        <f>IFERROR(__xludf.DUMMYFUNCTION("""COMPUTED_VALUE"""),"-")</f>
        <v>-</v>
      </c>
      <c r="T591" s="13">
        <f>IFERROR(__xludf.DUMMYFUNCTION("""COMPUTED_VALUE"""),43427.0)</f>
        <v>43427</v>
      </c>
    </row>
    <row r="592">
      <c r="A592" s="6" t="str">
        <f>IFERROR(__xludf.DUMMYFUNCTION("""COMPUTED_VALUE"""),"181750410-2")</f>
        <v>181750410-2</v>
      </c>
      <c r="B592" s="6" t="str">
        <f>IFERROR(__xludf.DUMMYFUNCTION("""COMPUTED_VALUE"""),"181750410 - Approved")</f>
        <v>181750410 - Approved</v>
      </c>
      <c r="C592" s="6">
        <f>IFERROR(__xludf.DUMMYFUNCTION("""COMPUTED_VALUE"""),2.0)</f>
        <v>2</v>
      </c>
      <c r="D592" s="6" t="str">
        <f>IFERROR(__xludf.DUMMYFUNCTION("""COMPUTED_VALUE"""),"Q-60104-00")</f>
        <v>Q-60104-00</v>
      </c>
      <c r="E592" s="6" t="str">
        <f>IFERROR(__xludf.DUMMYFUNCTION("""COMPUTED_VALUE"""),"Cat Hardtop XP PU Jotun; ; ;")</f>
        <v>Cat Hardtop XP PU Jotun; ; ;</v>
      </c>
      <c r="F592" s="6">
        <f>IFERROR(__xludf.DUMMYFUNCTION("""COMPUTED_VALUE"""),1.0)</f>
        <v>1</v>
      </c>
      <c r="G592" s="6" t="str">
        <f>IFERROR(__xludf.DUMMYFUNCTION("""COMPUTED_VALUE"""),"Can")</f>
        <v>Can</v>
      </c>
      <c r="H592" s="6" t="str">
        <f>IFERROR(__xludf.DUMMYFUNCTION("""COMPUTED_VALUE"""),"IDR")</f>
        <v>IDR</v>
      </c>
      <c r="I592" s="11">
        <f>IFERROR(__xludf.DUMMYFUNCTION("""COMPUTED_VALUE"""),687500.0)</f>
        <v>687500</v>
      </c>
      <c r="J592" s="11">
        <f>IFERROR(__xludf.DUMMYFUNCTION("""COMPUTED_VALUE"""),687500.0)</f>
        <v>687500</v>
      </c>
      <c r="K592" s="13">
        <f>IFERROR(__xludf.DUMMYFUNCTION("""COMPUTED_VALUE"""),43413.0)</f>
        <v>43413</v>
      </c>
      <c r="L592" s="6" t="str">
        <f>IFERROR(__xludf.DUMMYFUNCTION("""COMPUTED_VALUE"""),"FIP Engineering")</f>
        <v>FIP Engineering</v>
      </c>
      <c r="M592" s="6" t="str">
        <f>IFERROR(__xludf.DUMMYFUNCTION("""COMPUTED_VALUE"""),"Joko Nugroho")</f>
        <v>Joko Nugroho</v>
      </c>
      <c r="N592" s="6" t="str">
        <f>IFERROR(__xludf.DUMMYFUNCTION("""COMPUTED_VALUE"""),"FIP Engineering")</f>
        <v>FIP Engineering</v>
      </c>
      <c r="O592" s="6" t="str">
        <f>IFERROR(__xludf.DUMMYFUNCTION("""COMPUTED_VALUE"""),"FIP-DOM-000-11304-OS00001-INA-000000")</f>
        <v>FIP-DOM-000-11304-OS00001-INA-000000</v>
      </c>
      <c r="P592" s="6" t="str">
        <f>IFERROR(__xludf.DUMMYFUNCTION("""COMPUTED_VALUE"""),"PO Closed")</f>
        <v>PO Closed</v>
      </c>
      <c r="Q592" s="6" t="str">
        <f>IFERROR(__xludf.DUMMYFUNCTION("""COMPUTED_VALUE"""),"GL1811020")</f>
        <v>GL1811020</v>
      </c>
      <c r="R592" s="16">
        <f>IFERROR(__xludf.DUMMYFUNCTION("""COMPUTED_VALUE"""),43404.0)</f>
        <v>43404</v>
      </c>
      <c r="S592" s="6" t="str">
        <f>IFERROR(__xludf.DUMMYFUNCTION("""COMPUTED_VALUE"""),"-")</f>
        <v>-</v>
      </c>
      <c r="T592" s="13">
        <f>IFERROR(__xludf.DUMMYFUNCTION("""COMPUTED_VALUE"""),43413.0)</f>
        <v>43413</v>
      </c>
    </row>
    <row r="593">
      <c r="A593" s="6" t="str">
        <f>IFERROR(__xludf.DUMMYFUNCTION("""COMPUTED_VALUE"""),"181750416-2")</f>
        <v>181750416-2</v>
      </c>
      <c r="B593" s="6" t="str">
        <f>IFERROR(__xludf.DUMMYFUNCTION("""COMPUTED_VALUE"""),"181750416 - Approved")</f>
        <v>181750416 - Approved</v>
      </c>
      <c r="C593" s="6">
        <f>IFERROR(__xludf.DUMMYFUNCTION("""COMPUTED_VALUE"""),2.0)</f>
        <v>2</v>
      </c>
      <c r="D593" s="6" t="str">
        <f>IFERROR(__xludf.DUMMYFUNCTION("""COMPUTED_VALUE"""),"S-11102-00")</f>
        <v>S-11102-00</v>
      </c>
      <c r="E593" s="6" t="str">
        <f>IFERROR(__xludf.DUMMYFUNCTION("""COMPUTED_VALUE"""),"Bayclin")</f>
        <v>Bayclin</v>
      </c>
      <c r="F593" s="6">
        <f>IFERROR(__xludf.DUMMYFUNCTION("""COMPUTED_VALUE"""),40.0)</f>
        <v>40</v>
      </c>
      <c r="G593" s="6" t="str">
        <f>IFERROR(__xludf.DUMMYFUNCTION("""COMPUTED_VALUE"""),"Botol")</f>
        <v>Botol</v>
      </c>
      <c r="H593" s="6" t="str">
        <f>IFERROR(__xludf.DUMMYFUNCTION("""COMPUTED_VALUE"""),"IDR")</f>
        <v>IDR</v>
      </c>
      <c r="I593" s="11">
        <f>IFERROR(__xludf.DUMMYFUNCTION("""COMPUTED_VALUE"""),59500.0)</f>
        <v>59500</v>
      </c>
      <c r="J593" s="11">
        <f>IFERROR(__xludf.DUMMYFUNCTION("""COMPUTED_VALUE"""),2380000.0)</f>
        <v>2380000</v>
      </c>
      <c r="K593" s="13">
        <f>IFERROR(__xludf.DUMMYFUNCTION("""COMPUTED_VALUE"""),43433.0)</f>
        <v>43433</v>
      </c>
      <c r="L593" s="6" t="str">
        <f>IFERROR(__xludf.DUMMYFUNCTION("""COMPUTED_VALUE"""),"FIP General")</f>
        <v>FIP General</v>
      </c>
      <c r="M593" s="6" t="str">
        <f>IFERROR(__xludf.DUMMYFUNCTION("""COMPUTED_VALUE"""),"Joko Nugroho")</f>
        <v>Joko Nugroho</v>
      </c>
      <c r="N593" s="6" t="str">
        <f>IFERROR(__xludf.DUMMYFUNCTION("""COMPUTED_VALUE"""),"FIP Engineering")</f>
        <v>FIP Engineering</v>
      </c>
      <c r="O593" s="6" t="str">
        <f>IFERROR(__xludf.DUMMYFUNCTION("""COMPUTED_VALUE"""),"FIP-DOM-ENG-51302-0000000-INA-000000")</f>
        <v>FIP-DOM-ENG-51302-0000000-INA-000000</v>
      </c>
      <c r="P593" s="6" t="str">
        <f>IFERROR(__xludf.DUMMYFUNCTION("""COMPUTED_VALUE"""),"PO Closed")</f>
        <v>PO Closed</v>
      </c>
      <c r="Q593" s="6" t="str">
        <f>IFERROR(__xludf.DUMMYFUNCTION("""COMPUTED_VALUE"""),"GL1811001")</f>
        <v>GL1811001</v>
      </c>
      <c r="R593" s="16">
        <f>IFERROR(__xludf.DUMMYFUNCTION("""COMPUTED_VALUE"""),43405.0)</f>
        <v>43405</v>
      </c>
      <c r="S593" s="6" t="str">
        <f>IFERROR(__xludf.DUMMYFUNCTION("""COMPUTED_VALUE"""),"-")</f>
        <v>-</v>
      </c>
      <c r="T593" s="13">
        <f>IFERROR(__xludf.DUMMYFUNCTION("""COMPUTED_VALUE"""),43416.0)</f>
        <v>43416</v>
      </c>
    </row>
    <row r="594">
      <c r="A594" s="6" t="str">
        <f>IFERROR(__xludf.DUMMYFUNCTION("""COMPUTED_VALUE"""),"181750425-1")</f>
        <v>181750425-1</v>
      </c>
      <c r="B594" s="6" t="str">
        <f>IFERROR(__xludf.DUMMYFUNCTION("""COMPUTED_VALUE"""),"181750425 - Approved")</f>
        <v>181750425 - Approved</v>
      </c>
      <c r="C594" s="6">
        <f>IFERROR(__xludf.DUMMYFUNCTION("""COMPUTED_VALUE"""),1.0)</f>
        <v>1</v>
      </c>
      <c r="D594" s="6" t="str">
        <f>IFERROR(__xludf.DUMMYFUNCTION("""COMPUTED_VALUE"""),"T-20100-00")</f>
        <v>T-20100-00</v>
      </c>
      <c r="E594" s="6" t="str">
        <f>IFERROR(__xludf.DUMMYFUNCTION("""COMPUTED_VALUE"""),"900 UV LAMP-SIEVERS 900 TOC part; SIEVERS 900; ;")</f>
        <v>900 UV LAMP-SIEVERS 900 TOC part; SIEVERS 900; ;</v>
      </c>
      <c r="F594" s="6">
        <f>IFERROR(__xludf.DUMMYFUNCTION("""COMPUTED_VALUE"""),1.0)</f>
        <v>1</v>
      </c>
      <c r="G594" s="6" t="str">
        <f>IFERROR(__xludf.DUMMYFUNCTION("""COMPUTED_VALUE"""),"Pieces")</f>
        <v>Pieces</v>
      </c>
      <c r="H594" s="6" t="str">
        <f>IFERROR(__xludf.DUMMYFUNCTION("""COMPUTED_VALUE"""),"IDR")</f>
        <v>IDR</v>
      </c>
      <c r="I594" s="11">
        <f>IFERROR(__xludf.DUMMYFUNCTION("""COMPUTED_VALUE"""),9409120.0)</f>
        <v>9409120</v>
      </c>
      <c r="J594" s="11">
        <f>IFERROR(__xludf.DUMMYFUNCTION("""COMPUTED_VALUE"""),9409120.0)</f>
        <v>9409120</v>
      </c>
      <c r="K594" s="13">
        <f>IFERROR(__xludf.DUMMYFUNCTION("""COMPUTED_VALUE"""),43441.0)</f>
        <v>43441</v>
      </c>
      <c r="L594" s="6" t="str">
        <f>IFERROR(__xludf.DUMMYFUNCTION("""COMPUTED_VALUE"""),"FIP General")</f>
        <v>FIP General</v>
      </c>
      <c r="M594" s="6" t="str">
        <f>IFERROR(__xludf.DUMMYFUNCTION("""COMPUTED_VALUE"""),"Irwan Sopian")</f>
        <v>Irwan Sopian</v>
      </c>
      <c r="N594" s="6" t="str">
        <f>IFERROR(__xludf.DUMMYFUNCTION("""COMPUTED_VALUE"""),"FIP Engineering")</f>
        <v>FIP Engineering</v>
      </c>
      <c r="O594" s="6" t="str">
        <f>IFERROR(__xludf.DUMMYFUNCTION("""COMPUTED_VALUE"""),"FIP-DOM-ENG-51505-0000000-INA-000000")</f>
        <v>FIP-DOM-ENG-51505-0000000-INA-000000</v>
      </c>
      <c r="P594" s="6" t="str">
        <f>IFERROR(__xludf.DUMMYFUNCTION("""COMPUTED_VALUE"""),"PO Closed")</f>
        <v>PO Closed</v>
      </c>
      <c r="Q594" s="6" t="str">
        <f>IFERROR(__xludf.DUMMYFUNCTION("""COMPUTED_VALUE"""),"GL1811039")</f>
        <v>GL1811039</v>
      </c>
      <c r="R594" s="16">
        <f>IFERROR(__xludf.DUMMYFUNCTION("""COMPUTED_VALUE"""),43409.0)</f>
        <v>43409</v>
      </c>
      <c r="S594" s="6" t="str">
        <f>IFERROR(__xludf.DUMMYFUNCTION("""COMPUTED_VALUE"""),"-")</f>
        <v>-</v>
      </c>
      <c r="T594" s="13">
        <f>IFERROR(__xludf.DUMMYFUNCTION("""COMPUTED_VALUE"""),43462.0)</f>
        <v>43462</v>
      </c>
    </row>
    <row r="595">
      <c r="A595" s="6" t="str">
        <f>IFERROR(__xludf.DUMMYFUNCTION("""COMPUTED_VALUE"""),"181750428-1")</f>
        <v>181750428-1</v>
      </c>
      <c r="B595" s="6" t="str">
        <f>IFERROR(__xludf.DUMMYFUNCTION("""COMPUTED_VALUE"""),"181750428 - Approved")</f>
        <v>181750428 - Approved</v>
      </c>
      <c r="C595" s="6">
        <f>IFERROR(__xludf.DUMMYFUNCTION("""COMPUTED_VALUE"""),1.0)</f>
        <v>1</v>
      </c>
      <c r="D595" s="6" t="str">
        <f>IFERROR(__xludf.DUMMYFUNCTION("""COMPUTED_VALUE"""),"S-60002-00")</f>
        <v>S-60002-00</v>
      </c>
      <c r="E595" s="6" t="str">
        <f>IFERROR(__xludf.DUMMYFUNCTION("""COMPUTED_VALUE"""),"Instalasi Pipa CA diruang equipment washing 1")</f>
        <v>Instalasi Pipa CA diruang equipment washing 1</v>
      </c>
      <c r="F595" s="6">
        <f>IFERROR(__xludf.DUMMYFUNCTION("""COMPUTED_VALUE"""),1.0)</f>
        <v>1</v>
      </c>
      <c r="G595" s="6" t="str">
        <f>IFERROR(__xludf.DUMMYFUNCTION("""COMPUTED_VALUE"""),"Lot")</f>
        <v>Lot</v>
      </c>
      <c r="H595" s="6" t="str">
        <f>IFERROR(__xludf.DUMMYFUNCTION("""COMPUTED_VALUE"""),"IDR")</f>
        <v>IDR</v>
      </c>
      <c r="I595" s="11">
        <f>IFERROR(__xludf.DUMMYFUNCTION("""COMPUTED_VALUE"""),3553000.0)</f>
        <v>3553000</v>
      </c>
      <c r="J595" s="11">
        <f>IFERROR(__xludf.DUMMYFUNCTION("""COMPUTED_VALUE"""),3553000.0)</f>
        <v>3553000</v>
      </c>
      <c r="K595" s="13">
        <f>IFERROR(__xludf.DUMMYFUNCTION("""COMPUTED_VALUE"""),43427.0)</f>
        <v>43427</v>
      </c>
      <c r="L595" s="6" t="str">
        <f>IFERROR(__xludf.DUMMYFUNCTION("""COMPUTED_VALUE"""),"FIP General")</f>
        <v>FIP General</v>
      </c>
      <c r="M595" s="6" t="str">
        <f>IFERROR(__xludf.DUMMYFUNCTION("""COMPUTED_VALUE"""),"Joko Nugroho")</f>
        <v>Joko Nugroho</v>
      </c>
      <c r="N595" s="6" t="str">
        <f>IFERROR(__xludf.DUMMYFUNCTION("""COMPUTED_VALUE"""),"FIP Engineering")</f>
        <v>FIP Engineering</v>
      </c>
      <c r="O595" s="6" t="str">
        <f>IFERROR(__xludf.DUMMYFUNCTION("""COMPUTED_VALUE"""),"FIP-DOM-ENG-51508-0000000-INA-000000")</f>
        <v>FIP-DOM-ENG-51508-0000000-INA-000000</v>
      </c>
      <c r="P595" s="6" t="str">
        <f>IFERROR(__xludf.DUMMYFUNCTION("""COMPUTED_VALUE"""),"PO Closed")</f>
        <v>PO Closed</v>
      </c>
      <c r="Q595" s="6" t="str">
        <f>IFERROR(__xludf.DUMMYFUNCTION("""COMPUTED_VALUE"""),"GL1811064")</f>
        <v>GL1811064</v>
      </c>
      <c r="R595" s="16">
        <f>IFERROR(__xludf.DUMMYFUNCTION("""COMPUTED_VALUE"""),43410.0)</f>
        <v>43410</v>
      </c>
      <c r="S595" s="6" t="str">
        <f>IFERROR(__xludf.DUMMYFUNCTION("""COMPUTED_VALUE"""),"-")</f>
        <v>-</v>
      </c>
      <c r="T595" s="13">
        <f>IFERROR(__xludf.DUMMYFUNCTION("""COMPUTED_VALUE"""),43448.0)</f>
        <v>43448</v>
      </c>
    </row>
    <row r="596">
      <c r="A596" s="6" t="str">
        <f>IFERROR(__xludf.DUMMYFUNCTION("""COMPUTED_VALUE"""),"181750428-2")</f>
        <v>181750428-2</v>
      </c>
      <c r="B596" s="6" t="str">
        <f>IFERROR(__xludf.DUMMYFUNCTION("""COMPUTED_VALUE"""),"181750428 - Approved")</f>
        <v>181750428 - Approved</v>
      </c>
      <c r="C596" s="6">
        <f>IFERROR(__xludf.DUMMYFUNCTION("""COMPUTED_VALUE"""),2.0)</f>
        <v>2</v>
      </c>
      <c r="D596" s="6" t="str">
        <f>IFERROR(__xludf.DUMMYFUNCTION("""COMPUTED_VALUE"""),"S-60002-00")</f>
        <v>S-60002-00</v>
      </c>
      <c r="E596" s="6" t="str">
        <f>IFERROR(__xludf.DUMMYFUNCTION("""COMPUTED_VALUE"""),"Material untuk Instalasi Pipa CA diruang equipment washing 1")</f>
        <v>Material untuk Instalasi Pipa CA diruang equipment washing 1</v>
      </c>
      <c r="F596" s="6">
        <f>IFERROR(__xludf.DUMMYFUNCTION("""COMPUTED_VALUE"""),1.0)</f>
        <v>1</v>
      </c>
      <c r="G596" s="6" t="str">
        <f>IFERROR(__xludf.DUMMYFUNCTION("""COMPUTED_VALUE"""),"Lot")</f>
        <v>Lot</v>
      </c>
      <c r="H596" s="6" t="str">
        <f>IFERROR(__xludf.DUMMYFUNCTION("""COMPUTED_VALUE"""),"IDR")</f>
        <v>IDR</v>
      </c>
      <c r="I596" s="11">
        <f>IFERROR(__xludf.DUMMYFUNCTION("""COMPUTED_VALUE"""),6264500.0)</f>
        <v>6264500</v>
      </c>
      <c r="J596" s="11">
        <f>IFERROR(__xludf.DUMMYFUNCTION("""COMPUTED_VALUE"""),6264500.0)</f>
        <v>6264500</v>
      </c>
      <c r="K596" s="13">
        <f>IFERROR(__xludf.DUMMYFUNCTION("""COMPUTED_VALUE"""),43427.0)</f>
        <v>43427</v>
      </c>
      <c r="L596" s="6" t="str">
        <f>IFERROR(__xludf.DUMMYFUNCTION("""COMPUTED_VALUE"""),"FIP General")</f>
        <v>FIP General</v>
      </c>
      <c r="M596" s="6" t="str">
        <f>IFERROR(__xludf.DUMMYFUNCTION("""COMPUTED_VALUE"""),"Joko Nugroho")</f>
        <v>Joko Nugroho</v>
      </c>
      <c r="N596" s="6" t="str">
        <f>IFERROR(__xludf.DUMMYFUNCTION("""COMPUTED_VALUE"""),"FIP Engineering")</f>
        <v>FIP Engineering</v>
      </c>
      <c r="O596" s="6" t="str">
        <f>IFERROR(__xludf.DUMMYFUNCTION("""COMPUTED_VALUE"""),"FIP-DOM-ENG-51508-0000000-INA-000000")</f>
        <v>FIP-DOM-ENG-51508-0000000-INA-000000</v>
      </c>
      <c r="P596" s="6" t="str">
        <f>IFERROR(__xludf.DUMMYFUNCTION("""COMPUTED_VALUE"""),"PO Closed")</f>
        <v>PO Closed</v>
      </c>
      <c r="Q596" s="6" t="str">
        <f>IFERROR(__xludf.DUMMYFUNCTION("""COMPUTED_VALUE"""),"GL1811064")</f>
        <v>GL1811064</v>
      </c>
      <c r="R596" s="16">
        <f>IFERROR(__xludf.DUMMYFUNCTION("""COMPUTED_VALUE"""),43410.0)</f>
        <v>43410</v>
      </c>
      <c r="S596" s="6" t="str">
        <f>IFERROR(__xludf.DUMMYFUNCTION("""COMPUTED_VALUE"""),"-")</f>
        <v>-</v>
      </c>
      <c r="T596" s="13">
        <f>IFERROR(__xludf.DUMMYFUNCTION("""COMPUTED_VALUE"""),43448.0)</f>
        <v>43448</v>
      </c>
    </row>
    <row r="597">
      <c r="A597" s="6" t="str">
        <f>IFERROR(__xludf.DUMMYFUNCTION("""COMPUTED_VALUE"""),"181750427-1")</f>
        <v>181750427-1</v>
      </c>
      <c r="B597" s="6" t="str">
        <f>IFERROR(__xludf.DUMMYFUNCTION("""COMPUTED_VALUE"""),"181750427 - Approved")</f>
        <v>181750427 - Approved</v>
      </c>
      <c r="C597" s="6">
        <f>IFERROR(__xludf.DUMMYFUNCTION("""COMPUTED_VALUE"""),1.0)</f>
        <v>1</v>
      </c>
      <c r="D597" s="6" t="str">
        <f>IFERROR(__xludf.DUMMYFUNCTION("""COMPUTED_VALUE"""),"S-60002-00")</f>
        <v>S-60002-00</v>
      </c>
      <c r="E597" s="6" t="str">
        <f>IFERROR(__xludf.DUMMYFUNCTION("""COMPUTED_VALUE"""),"Modifikasi Meja Tiris di equipment washing 1")</f>
        <v>Modifikasi Meja Tiris di equipment washing 1</v>
      </c>
      <c r="F597" s="6">
        <f>IFERROR(__xludf.DUMMYFUNCTION("""COMPUTED_VALUE"""),1.0)</f>
        <v>1</v>
      </c>
      <c r="G597" s="6" t="str">
        <f>IFERROR(__xludf.DUMMYFUNCTION("""COMPUTED_VALUE"""),"Lot")</f>
        <v>Lot</v>
      </c>
      <c r="H597" s="6" t="str">
        <f>IFERROR(__xludf.DUMMYFUNCTION("""COMPUTED_VALUE"""),"IDR")</f>
        <v>IDR</v>
      </c>
      <c r="I597" s="11">
        <f>IFERROR(__xludf.DUMMYFUNCTION("""COMPUTED_VALUE"""),4394500.0)</f>
        <v>4394500</v>
      </c>
      <c r="J597" s="11">
        <f>IFERROR(__xludf.DUMMYFUNCTION("""COMPUTED_VALUE"""),4394500.0)</f>
        <v>4394500</v>
      </c>
      <c r="K597" s="13">
        <f>IFERROR(__xludf.DUMMYFUNCTION("""COMPUTED_VALUE"""),43427.0)</f>
        <v>43427</v>
      </c>
      <c r="L597" s="6" t="str">
        <f>IFERROR(__xludf.DUMMYFUNCTION("""COMPUTED_VALUE"""),"FIP General")</f>
        <v>FIP General</v>
      </c>
      <c r="M597" s="6" t="str">
        <f>IFERROR(__xludf.DUMMYFUNCTION("""COMPUTED_VALUE"""),"Joko Nugroho")</f>
        <v>Joko Nugroho</v>
      </c>
      <c r="N597" s="6" t="str">
        <f>IFERROR(__xludf.DUMMYFUNCTION("""COMPUTED_VALUE"""),"FIP Engineering")</f>
        <v>FIP Engineering</v>
      </c>
      <c r="O597" s="6" t="str">
        <f>IFERROR(__xludf.DUMMYFUNCTION("""COMPUTED_VALUE"""),"FIP-DOM-ENG-51508-0000000-INA-000000")</f>
        <v>FIP-DOM-ENG-51508-0000000-INA-000000</v>
      </c>
      <c r="P597" s="6" t="str">
        <f>IFERROR(__xludf.DUMMYFUNCTION("""COMPUTED_VALUE"""),"PO Closed")</f>
        <v>PO Closed</v>
      </c>
      <c r="Q597" s="6" t="str">
        <f>IFERROR(__xludf.DUMMYFUNCTION("""COMPUTED_VALUE"""),"GL1811064")</f>
        <v>GL1811064</v>
      </c>
      <c r="R597" s="16">
        <f>IFERROR(__xludf.DUMMYFUNCTION("""COMPUTED_VALUE"""),43410.0)</f>
        <v>43410</v>
      </c>
      <c r="S597" s="6" t="str">
        <f>IFERROR(__xludf.DUMMYFUNCTION("""COMPUTED_VALUE"""),"-")</f>
        <v>-</v>
      </c>
      <c r="T597" s="17">
        <f>IFERROR(__xludf.DUMMYFUNCTION("""COMPUTED_VALUE"""),43448.0)</f>
        <v>43448</v>
      </c>
    </row>
    <row r="598">
      <c r="A598" s="6" t="str">
        <f>IFERROR(__xludf.DUMMYFUNCTION("""COMPUTED_VALUE"""),"181750426-1")</f>
        <v>181750426-1</v>
      </c>
      <c r="B598" s="6" t="str">
        <f>IFERROR(__xludf.DUMMYFUNCTION("""COMPUTED_VALUE"""),"181750426 - Approved")</f>
        <v>181750426 - Approved</v>
      </c>
      <c r="C598" s="6">
        <f>IFERROR(__xludf.DUMMYFUNCTION("""COMPUTED_VALUE"""),1.0)</f>
        <v>1</v>
      </c>
      <c r="D598" s="6" t="str">
        <f>IFERROR(__xludf.DUMMYFUNCTION("""COMPUTED_VALUE"""),"Q-10550-00")</f>
        <v>Q-10550-00</v>
      </c>
      <c r="E598" s="6" t="str">
        <f>IFERROR(__xludf.DUMMYFUNCTION("""COMPUTED_VALUE"""),"Door Closer TS 2000V Hold Open GEZE; ; ;")</f>
        <v>Door Closer TS 2000V Hold Open GEZE; ; ;</v>
      </c>
      <c r="F598" s="6">
        <f>IFERROR(__xludf.DUMMYFUNCTION("""COMPUTED_VALUE"""),2.0)</f>
        <v>2</v>
      </c>
      <c r="G598" s="6" t="str">
        <f>IFERROR(__xludf.DUMMYFUNCTION("""COMPUTED_VALUE"""),"Pieces")</f>
        <v>Pieces</v>
      </c>
      <c r="H598" s="6" t="str">
        <f>IFERROR(__xludf.DUMMYFUNCTION("""COMPUTED_VALUE"""),"IDR")</f>
        <v>IDR</v>
      </c>
      <c r="I598" s="11">
        <f>IFERROR(__xludf.DUMMYFUNCTION("""COMPUTED_VALUE"""),2610000.0)</f>
        <v>2610000</v>
      </c>
      <c r="J598" s="11">
        <f>IFERROR(__xludf.DUMMYFUNCTION("""COMPUTED_VALUE"""),5220000.0)</f>
        <v>5220000</v>
      </c>
      <c r="K598" s="13">
        <f>IFERROR(__xludf.DUMMYFUNCTION("""COMPUTED_VALUE"""),43434.0)</f>
        <v>43434</v>
      </c>
      <c r="L598" s="6" t="str">
        <f>IFERROR(__xludf.DUMMYFUNCTION("""COMPUTED_VALUE"""),"FIP Engineering")</f>
        <v>FIP Engineering</v>
      </c>
      <c r="M598" s="6" t="str">
        <f>IFERROR(__xludf.DUMMYFUNCTION("""COMPUTED_VALUE"""),"Irwan Sopian")</f>
        <v>Irwan Sopian</v>
      </c>
      <c r="N598" s="6" t="str">
        <f>IFERROR(__xludf.DUMMYFUNCTION("""COMPUTED_VALUE"""),"FIP Engineering")</f>
        <v>FIP Engineering</v>
      </c>
      <c r="O598" s="6" t="str">
        <f>IFERROR(__xludf.DUMMYFUNCTION("""COMPUTED_VALUE"""),"FIP-DOM-000-11304-OS00001-INA-000000")</f>
        <v>FIP-DOM-000-11304-OS00001-INA-000000</v>
      </c>
      <c r="P598" s="6" t="str">
        <f>IFERROR(__xludf.DUMMYFUNCTION("""COMPUTED_VALUE"""),"PO Closed")</f>
        <v>PO Closed</v>
      </c>
      <c r="Q598" s="6" t="str">
        <f>IFERROR(__xludf.DUMMYFUNCTION("""COMPUTED_VALUE"""),"GL1811068")</f>
        <v>GL1811068</v>
      </c>
      <c r="R598" s="16">
        <f>IFERROR(__xludf.DUMMYFUNCTION("""COMPUTED_VALUE"""),43410.0)</f>
        <v>43410</v>
      </c>
      <c r="S598" s="6" t="str">
        <f>IFERROR(__xludf.DUMMYFUNCTION("""COMPUTED_VALUE"""),"-")</f>
        <v>-</v>
      </c>
      <c r="T598" s="13">
        <f>IFERROR(__xludf.DUMMYFUNCTION("""COMPUTED_VALUE"""),43434.0)</f>
        <v>43434</v>
      </c>
    </row>
    <row r="599">
      <c r="A599" s="6" t="str">
        <f>IFERROR(__xludf.DUMMYFUNCTION("""COMPUTED_VALUE"""),"181750430-1")</f>
        <v>181750430-1</v>
      </c>
      <c r="B599" s="6" t="str">
        <f>IFERROR(__xludf.DUMMYFUNCTION("""COMPUTED_VALUE"""),"181750430 - Approved")</f>
        <v>181750430 - Approved</v>
      </c>
      <c r="C599" s="6">
        <f>IFERROR(__xludf.DUMMYFUNCTION("""COMPUTED_VALUE"""),1.0)</f>
        <v>1</v>
      </c>
      <c r="D599" s="6" t="str">
        <f>IFERROR(__xludf.DUMMYFUNCTION("""COMPUTED_VALUE"""),"S-10785-00")</f>
        <v>S-10785-00</v>
      </c>
      <c r="E599" s="6" t="str">
        <f>IFERROR(__xludf.DUMMYFUNCTION("""COMPUTED_VALUE"""),"Refill APAR Powder 2.5 Kg;Pressure;; ; ;")</f>
        <v>Refill APAR Powder 2.5 Kg;Pressure;; ; ;</v>
      </c>
      <c r="F599" s="6">
        <f>IFERROR(__xludf.DUMMYFUNCTION("""COMPUTED_VALUE"""),3.0)</f>
        <v>3</v>
      </c>
      <c r="G599" s="6" t="str">
        <f>IFERROR(__xludf.DUMMYFUNCTION("""COMPUTED_VALUE"""),"Tube")</f>
        <v>Tube</v>
      </c>
      <c r="H599" s="6" t="str">
        <f>IFERROR(__xludf.DUMMYFUNCTION("""COMPUTED_VALUE"""),"IDR")</f>
        <v>IDR</v>
      </c>
      <c r="I599" s="11">
        <f>IFERROR(__xludf.DUMMYFUNCTION("""COMPUTED_VALUE"""),85500.0)</f>
        <v>85500</v>
      </c>
      <c r="J599" s="11">
        <f>IFERROR(__xludf.DUMMYFUNCTION("""COMPUTED_VALUE"""),256500.0)</f>
        <v>256500</v>
      </c>
      <c r="K599" s="13">
        <f>IFERROR(__xludf.DUMMYFUNCTION("""COMPUTED_VALUE"""),43427.0)</f>
        <v>43427</v>
      </c>
      <c r="L599" s="6" t="str">
        <f>IFERROR(__xludf.DUMMYFUNCTION("""COMPUTED_VALUE"""),"FIP General")</f>
        <v>FIP General</v>
      </c>
      <c r="M599" s="6" t="str">
        <f>IFERROR(__xludf.DUMMYFUNCTION("""COMPUTED_VALUE"""),"Joko Nugroho")</f>
        <v>Joko Nugroho</v>
      </c>
      <c r="N599" s="6" t="str">
        <f>IFERROR(__xludf.DUMMYFUNCTION("""COMPUTED_VALUE"""),"FIP Engineering")</f>
        <v>FIP Engineering</v>
      </c>
      <c r="O599" s="6" t="str">
        <f>IFERROR(__xludf.DUMMYFUNCTION("""COMPUTED_VALUE"""),"FIP-DOM-ENG-51502-0000000-INA-000000")</f>
        <v>FIP-DOM-ENG-51502-0000000-INA-000000</v>
      </c>
      <c r="P599" s="6" t="str">
        <f>IFERROR(__xludf.DUMMYFUNCTION("""COMPUTED_VALUE"""),"PO Closed")</f>
        <v>PO Closed</v>
      </c>
      <c r="Q599" s="6" t="str">
        <f>IFERROR(__xludf.DUMMYFUNCTION("""COMPUTED_VALUE"""),"GL1811031")</f>
        <v>GL1811031</v>
      </c>
      <c r="R599" s="16">
        <f>IFERROR(__xludf.DUMMYFUNCTION("""COMPUTED_VALUE"""),43411.0)</f>
        <v>43411</v>
      </c>
      <c r="S599" s="6" t="str">
        <f>IFERROR(__xludf.DUMMYFUNCTION("""COMPUTED_VALUE"""),"-")</f>
        <v>-</v>
      </c>
      <c r="T599" s="13">
        <f>IFERROR(__xludf.DUMMYFUNCTION("""COMPUTED_VALUE"""),43441.0)</f>
        <v>43441</v>
      </c>
    </row>
    <row r="600">
      <c r="A600" s="6" t="str">
        <f>IFERROR(__xludf.DUMMYFUNCTION("""COMPUTED_VALUE"""),"181750431-1")</f>
        <v>181750431-1</v>
      </c>
      <c r="B600" s="6" t="str">
        <f>IFERROR(__xludf.DUMMYFUNCTION("""COMPUTED_VALUE"""),"181750431 - Approved")</f>
        <v>181750431 - Approved</v>
      </c>
      <c r="C600" s="6">
        <f>IFERROR(__xludf.DUMMYFUNCTION("""COMPUTED_VALUE"""),1.0)</f>
        <v>1</v>
      </c>
      <c r="D600" s="6" t="str">
        <f>IFERROR(__xludf.DUMMYFUNCTION("""COMPUTED_VALUE"""),"Q-10232-00")</f>
        <v>Q-10232-00</v>
      </c>
      <c r="E600" s="6" t="str">
        <f>IFERROR(__xludf.DUMMYFUNCTION("""COMPUTED_VALUE"""),"Silicone Sealant N10 White; ; ;")</f>
        <v>Silicone Sealant N10 White; ; ;</v>
      </c>
      <c r="F600" s="6">
        <f>IFERROR(__xludf.DUMMYFUNCTION("""COMPUTED_VALUE"""),8.0)</f>
        <v>8</v>
      </c>
      <c r="G600" s="6" t="str">
        <f>IFERROR(__xludf.DUMMYFUNCTION("""COMPUTED_VALUE"""),"Pieces")</f>
        <v>Pieces</v>
      </c>
      <c r="H600" s="6" t="str">
        <f>IFERROR(__xludf.DUMMYFUNCTION("""COMPUTED_VALUE"""),"IDR")</f>
        <v>IDR</v>
      </c>
      <c r="I600" s="11">
        <f>IFERROR(__xludf.DUMMYFUNCTION("""COMPUTED_VALUE"""),45000.0)</f>
        <v>45000</v>
      </c>
      <c r="J600" s="11">
        <f>IFERROR(__xludf.DUMMYFUNCTION("""COMPUTED_VALUE"""),360000.0)</f>
        <v>360000</v>
      </c>
      <c r="K600" s="13">
        <f>IFERROR(__xludf.DUMMYFUNCTION("""COMPUTED_VALUE"""),43441.0)</f>
        <v>43441</v>
      </c>
      <c r="L600" s="6" t="str">
        <f>IFERROR(__xludf.DUMMYFUNCTION("""COMPUTED_VALUE"""),"FIP Engineering")</f>
        <v>FIP Engineering</v>
      </c>
      <c r="M600" s="6" t="str">
        <f>IFERROR(__xludf.DUMMYFUNCTION("""COMPUTED_VALUE"""),"Irwan Sopian")</f>
        <v>Irwan Sopian</v>
      </c>
      <c r="N600" s="6" t="str">
        <f>IFERROR(__xludf.DUMMYFUNCTION("""COMPUTED_VALUE"""),"FIP Engineering")</f>
        <v>FIP Engineering</v>
      </c>
      <c r="O600" s="6" t="str">
        <f>IFERROR(__xludf.DUMMYFUNCTION("""COMPUTED_VALUE"""),"FIP-DOM-000-11304-OS00001-INA-000000")</f>
        <v>FIP-DOM-000-11304-OS00001-INA-000000</v>
      </c>
      <c r="P600" s="6" t="str">
        <f>IFERROR(__xludf.DUMMYFUNCTION("""COMPUTED_VALUE"""),"PO Closed")</f>
        <v>PO Closed</v>
      </c>
      <c r="Q600" s="6" t="str">
        <f>IFERROR(__xludf.DUMMYFUNCTION("""COMPUTED_VALUE"""),"GL1811073")</f>
        <v>GL1811073</v>
      </c>
      <c r="R600" s="16">
        <f>IFERROR(__xludf.DUMMYFUNCTION("""COMPUTED_VALUE"""),43412.0)</f>
        <v>43412</v>
      </c>
      <c r="S600" s="6" t="str">
        <f>IFERROR(__xludf.DUMMYFUNCTION("""COMPUTED_VALUE"""),"-")</f>
        <v>-</v>
      </c>
      <c r="T600" s="13">
        <f>IFERROR(__xludf.DUMMYFUNCTION("""COMPUTED_VALUE"""),43440.0)</f>
        <v>43440</v>
      </c>
    </row>
    <row r="601">
      <c r="A601" s="6" t="str">
        <f>IFERROR(__xludf.DUMMYFUNCTION("""COMPUTED_VALUE"""),"181750431-2")</f>
        <v>181750431-2</v>
      </c>
      <c r="B601" s="6" t="str">
        <f>IFERROR(__xludf.DUMMYFUNCTION("""COMPUTED_VALUE"""),"181750431 - Approved")</f>
        <v>181750431 - Approved</v>
      </c>
      <c r="C601" s="6">
        <f>IFERROR(__xludf.DUMMYFUNCTION("""COMPUTED_VALUE"""),2.0)</f>
        <v>2</v>
      </c>
      <c r="D601" s="6" t="str">
        <f>IFERROR(__xludf.DUMMYFUNCTION("""COMPUTED_VALUE"""),"P-10945-00")</f>
        <v>P-10945-00</v>
      </c>
      <c r="E601" s="6" t="str">
        <f>IFERROR(__xludf.DUMMYFUNCTION("""COMPUTED_VALUE"""),"Insulation - Seal Tape onda")</f>
        <v>Insulation - Seal Tape onda</v>
      </c>
      <c r="F601" s="6">
        <f>IFERROR(__xludf.DUMMYFUNCTION("""COMPUTED_VALUE"""),10.0)</f>
        <v>10</v>
      </c>
      <c r="G601" s="6" t="str">
        <f>IFERROR(__xludf.DUMMYFUNCTION("""COMPUTED_VALUE"""),"Pieces")</f>
        <v>Pieces</v>
      </c>
      <c r="H601" s="6" t="str">
        <f>IFERROR(__xludf.DUMMYFUNCTION("""COMPUTED_VALUE"""),"IDR")</f>
        <v>IDR</v>
      </c>
      <c r="I601" s="11">
        <f>IFERROR(__xludf.DUMMYFUNCTION("""COMPUTED_VALUE"""),4000.0)</f>
        <v>4000</v>
      </c>
      <c r="J601" s="11">
        <f>IFERROR(__xludf.DUMMYFUNCTION("""COMPUTED_VALUE"""),40000.0)</f>
        <v>40000</v>
      </c>
      <c r="K601" s="13">
        <f>IFERROR(__xludf.DUMMYFUNCTION("""COMPUTED_VALUE"""),43441.0)</f>
        <v>43441</v>
      </c>
      <c r="L601" s="6" t="str">
        <f>IFERROR(__xludf.DUMMYFUNCTION("""COMPUTED_VALUE"""),"FIP Engineering")</f>
        <v>FIP Engineering</v>
      </c>
      <c r="M601" s="6" t="str">
        <f>IFERROR(__xludf.DUMMYFUNCTION("""COMPUTED_VALUE"""),"Irwan Sopian")</f>
        <v>Irwan Sopian</v>
      </c>
      <c r="N601" s="6" t="str">
        <f>IFERROR(__xludf.DUMMYFUNCTION("""COMPUTED_VALUE"""),"FIP Engineering")</f>
        <v>FIP Engineering</v>
      </c>
      <c r="O601" s="6" t="str">
        <f>IFERROR(__xludf.DUMMYFUNCTION("""COMPUTED_VALUE"""),"FIP-DOM-000-11304-OS00001-INA-000000")</f>
        <v>FIP-DOM-000-11304-OS00001-INA-000000</v>
      </c>
      <c r="P601" s="6" t="str">
        <f>IFERROR(__xludf.DUMMYFUNCTION("""COMPUTED_VALUE"""),"PO Closed")</f>
        <v>PO Closed</v>
      </c>
      <c r="Q601" s="6" t="str">
        <f>IFERROR(__xludf.DUMMYFUNCTION("""COMPUTED_VALUE"""),"GL1811073")</f>
        <v>GL1811073</v>
      </c>
      <c r="R601" s="16">
        <f>IFERROR(__xludf.DUMMYFUNCTION("""COMPUTED_VALUE"""),43412.0)</f>
        <v>43412</v>
      </c>
      <c r="S601" s="6" t="str">
        <f>IFERROR(__xludf.DUMMYFUNCTION("""COMPUTED_VALUE"""),"-")</f>
        <v>-</v>
      </c>
      <c r="T601" s="13">
        <f>IFERROR(__xludf.DUMMYFUNCTION("""COMPUTED_VALUE"""),43440.0)</f>
        <v>43440</v>
      </c>
    </row>
    <row r="602">
      <c r="A602" s="6" t="str">
        <f>IFERROR(__xludf.DUMMYFUNCTION("""COMPUTED_VALUE"""),"181750409-4")</f>
        <v>181750409-4</v>
      </c>
      <c r="B602" s="6" t="str">
        <f>IFERROR(__xludf.DUMMYFUNCTION("""COMPUTED_VALUE"""),"181750409 - Approved")</f>
        <v>181750409 - Approved</v>
      </c>
      <c r="C602" s="6">
        <f>IFERROR(__xludf.DUMMYFUNCTION("""COMPUTED_VALUE"""),4.0)</f>
        <v>4</v>
      </c>
      <c r="D602" s="6" t="str">
        <f>IFERROR(__xludf.DUMMYFUNCTION("""COMPUTED_VALUE"""),"S-60002-00")</f>
        <v>S-60002-00</v>
      </c>
      <c r="E602" s="6" t="str">
        <f>IFERROR(__xludf.DUMMYFUNCTION("""COMPUTED_VALUE"""),"Biaya Kirim dan asuransi Jam Digital ESA-677")</f>
        <v>Biaya Kirim dan asuransi Jam Digital ESA-677</v>
      </c>
      <c r="F602" s="6">
        <f>IFERROR(__xludf.DUMMYFUNCTION("""COMPUTED_VALUE"""),1.0)</f>
        <v>1</v>
      </c>
      <c r="G602" s="6" t="str">
        <f>IFERROR(__xludf.DUMMYFUNCTION("""COMPUTED_VALUE"""),"Lot")</f>
        <v>Lot</v>
      </c>
      <c r="H602" s="6" t="str">
        <f>IFERROR(__xludf.DUMMYFUNCTION("""COMPUTED_VALUE"""),"IDR")</f>
        <v>IDR</v>
      </c>
      <c r="I602" s="11">
        <f>IFERROR(__xludf.DUMMYFUNCTION("""COMPUTED_VALUE"""),20259.0)</f>
        <v>20259</v>
      </c>
      <c r="J602" s="11">
        <f>IFERROR(__xludf.DUMMYFUNCTION("""COMPUTED_VALUE"""),20259.0)</f>
        <v>20259</v>
      </c>
      <c r="K602" s="13">
        <f>IFERROR(__xludf.DUMMYFUNCTION("""COMPUTED_VALUE"""),43427.0)</f>
        <v>43427</v>
      </c>
      <c r="L602" s="6" t="str">
        <f>IFERROR(__xludf.DUMMYFUNCTION("""COMPUTED_VALUE"""),"FIP General")</f>
        <v>FIP General</v>
      </c>
      <c r="M602" s="6" t="str">
        <f>IFERROR(__xludf.DUMMYFUNCTION("""COMPUTED_VALUE"""),"Joko Nugroho")</f>
        <v>Joko Nugroho</v>
      </c>
      <c r="N602" s="6" t="str">
        <f>IFERROR(__xludf.DUMMYFUNCTION("""COMPUTED_VALUE"""),"FIP Engineering")</f>
        <v>FIP Engineering</v>
      </c>
      <c r="O602" s="6" t="str">
        <f>IFERROR(__xludf.DUMMYFUNCTION("""COMPUTED_VALUE"""),"FIP-DOM-ENG-51508-0000000-INA-000000")</f>
        <v>FIP-DOM-ENG-51508-0000000-INA-000000</v>
      </c>
      <c r="P602" s="6" t="str">
        <f>IFERROR(__xludf.DUMMYFUNCTION("""COMPUTED_VALUE"""),"PO Closed")</f>
        <v>PO Closed</v>
      </c>
      <c r="Q602" s="6" t="str">
        <f>IFERROR(__xludf.DUMMYFUNCTION("""COMPUTED_VALUE"""),"GL1811041")</f>
        <v>GL1811041</v>
      </c>
      <c r="R602" s="16">
        <f>IFERROR(__xludf.DUMMYFUNCTION("""COMPUTED_VALUE"""),43413.0)</f>
        <v>43413</v>
      </c>
      <c r="S602" s="6" t="str">
        <f>IFERROR(__xludf.DUMMYFUNCTION("""COMPUTED_VALUE"""),"-")</f>
        <v>-</v>
      </c>
      <c r="T602" s="17">
        <f>IFERROR(__xludf.DUMMYFUNCTION("""COMPUTED_VALUE"""),43434.0)</f>
        <v>43434</v>
      </c>
    </row>
    <row r="603">
      <c r="A603" s="6" t="str">
        <f>IFERROR(__xludf.DUMMYFUNCTION("""COMPUTED_VALUE"""),"181750435-1")</f>
        <v>181750435-1</v>
      </c>
      <c r="B603" s="6" t="str">
        <f>IFERROR(__xludf.DUMMYFUNCTION("""COMPUTED_VALUE"""),"181750435 - Approved")</f>
        <v>181750435 - Approved</v>
      </c>
      <c r="C603" s="6">
        <f>IFERROR(__xludf.DUMMYFUNCTION("""COMPUTED_VALUE"""),1.0)</f>
        <v>1</v>
      </c>
      <c r="D603" s="6" t="str">
        <f>IFERROR(__xludf.DUMMYFUNCTION("""COMPUTED_VALUE"""),"S-60002-00")</f>
        <v>S-60002-00</v>
      </c>
      <c r="E603" s="6" t="str">
        <f>IFERROR(__xludf.DUMMYFUNCTION("""COMPUTED_VALUE"""),"Perapihan jendela clean equipment; Pekerjaan Persiapan : Mob demob, Proteksi perlindungan properti Fonko, Pembersihan dan buang puing")</f>
        <v>Perapihan jendela clean equipment; Pekerjaan Persiapan : Mob demob, Proteksi perlindungan properti Fonko, Pembersihan dan buang puing</v>
      </c>
      <c r="F603" s="6">
        <f>IFERROR(__xludf.DUMMYFUNCTION("""COMPUTED_VALUE"""),1.0)</f>
        <v>1</v>
      </c>
      <c r="G603" s="6" t="str">
        <f>IFERROR(__xludf.DUMMYFUNCTION("""COMPUTED_VALUE"""),"Lot")</f>
        <v>Lot</v>
      </c>
      <c r="H603" s="6" t="str">
        <f>IFERROR(__xludf.DUMMYFUNCTION("""COMPUTED_VALUE"""),"IDR")</f>
        <v>IDR</v>
      </c>
      <c r="I603" s="11">
        <f>IFERROR(__xludf.DUMMYFUNCTION("""COMPUTED_VALUE"""),2800000.0)</f>
        <v>2800000</v>
      </c>
      <c r="J603" s="11">
        <f>IFERROR(__xludf.DUMMYFUNCTION("""COMPUTED_VALUE"""),2800000.0)</f>
        <v>2800000</v>
      </c>
      <c r="K603" s="13">
        <f>IFERROR(__xludf.DUMMYFUNCTION("""COMPUTED_VALUE"""),43434.0)</f>
        <v>43434</v>
      </c>
      <c r="L603" s="6" t="str">
        <f>IFERROR(__xludf.DUMMYFUNCTION("""COMPUTED_VALUE"""),"FIP General")</f>
        <v>FIP General</v>
      </c>
      <c r="M603" s="6" t="str">
        <f>IFERROR(__xludf.DUMMYFUNCTION("""COMPUTED_VALUE"""),"Joko Nugroho")</f>
        <v>Joko Nugroho</v>
      </c>
      <c r="N603" s="6" t="str">
        <f>IFERROR(__xludf.DUMMYFUNCTION("""COMPUTED_VALUE"""),"FIP Engineering")</f>
        <v>FIP Engineering</v>
      </c>
      <c r="O603" s="6" t="str">
        <f>IFERROR(__xludf.DUMMYFUNCTION("""COMPUTED_VALUE"""),"FIP-DOM-ENG-51508-0000000-INA-000000")</f>
        <v>FIP-DOM-ENG-51508-0000000-INA-000000</v>
      </c>
      <c r="P603" s="6" t="str">
        <f>IFERROR(__xludf.DUMMYFUNCTION("""COMPUTED_VALUE"""),"PO Closed")</f>
        <v>PO Closed</v>
      </c>
      <c r="Q603" s="6" t="str">
        <f>IFERROR(__xludf.DUMMYFUNCTION("""COMPUTED_VALUE"""),"GL1811070")</f>
        <v>GL1811070</v>
      </c>
      <c r="R603" s="16">
        <f>IFERROR(__xludf.DUMMYFUNCTION("""COMPUTED_VALUE"""),43416.0)</f>
        <v>43416</v>
      </c>
      <c r="S603" s="6" t="str">
        <f>IFERROR(__xludf.DUMMYFUNCTION("""COMPUTED_VALUE"""),"-")</f>
        <v>-</v>
      </c>
      <c r="T603" s="13">
        <f>IFERROR(__xludf.DUMMYFUNCTION("""COMPUTED_VALUE"""),43448.0)</f>
        <v>43448</v>
      </c>
    </row>
    <row r="604">
      <c r="A604" s="6" t="str">
        <f>IFERROR(__xludf.DUMMYFUNCTION("""COMPUTED_VALUE"""),"181750435-2")</f>
        <v>181750435-2</v>
      </c>
      <c r="B604" s="6" t="str">
        <f>IFERROR(__xludf.DUMMYFUNCTION("""COMPUTED_VALUE"""),"181750435 - Approved")</f>
        <v>181750435 - Approved</v>
      </c>
      <c r="C604" s="6">
        <f>IFERROR(__xludf.DUMMYFUNCTION("""COMPUTED_VALUE"""),2.0)</f>
        <v>2</v>
      </c>
      <c r="D604" s="6" t="str">
        <f>IFERROR(__xludf.DUMMYFUNCTION("""COMPUTED_VALUE"""),"S-60002-00")</f>
        <v>S-60002-00</v>
      </c>
      <c r="E604" s="6" t="str">
        <f>IFERROR(__xludf.DUMMYFUNCTION("""COMPUTED_VALUE"""),"Perapihan jendela clean equipment; Pekerjaan Perbaikan Dinding dan Jendela Existing; Kupas dinding; Cat dinding epoxy; Bongkar pasang jendela CPOB")</f>
        <v>Perapihan jendela clean equipment; Pekerjaan Perbaikan Dinding dan Jendela Existing; Kupas dinding; Cat dinding epoxy; Bongkar pasang jendela CPOB</v>
      </c>
      <c r="F604" s="6">
        <f>IFERROR(__xludf.DUMMYFUNCTION("""COMPUTED_VALUE"""),1.0)</f>
        <v>1</v>
      </c>
      <c r="G604" s="6" t="str">
        <f>IFERROR(__xludf.DUMMYFUNCTION("""COMPUTED_VALUE"""),"Lot")</f>
        <v>Lot</v>
      </c>
      <c r="H604" s="6" t="str">
        <f>IFERROR(__xludf.DUMMYFUNCTION("""COMPUTED_VALUE"""),"IDR")</f>
        <v>IDR</v>
      </c>
      <c r="I604" s="11">
        <f>IFERROR(__xludf.DUMMYFUNCTION("""COMPUTED_VALUE"""),6200000.0)</f>
        <v>6200000</v>
      </c>
      <c r="J604" s="11">
        <f>IFERROR(__xludf.DUMMYFUNCTION("""COMPUTED_VALUE"""),6200000.0)</f>
        <v>6200000</v>
      </c>
      <c r="K604" s="13">
        <f>IFERROR(__xludf.DUMMYFUNCTION("""COMPUTED_VALUE"""),43434.0)</f>
        <v>43434</v>
      </c>
      <c r="L604" s="6" t="str">
        <f>IFERROR(__xludf.DUMMYFUNCTION("""COMPUTED_VALUE"""),"FIP General")</f>
        <v>FIP General</v>
      </c>
      <c r="M604" s="6" t="str">
        <f>IFERROR(__xludf.DUMMYFUNCTION("""COMPUTED_VALUE"""),"Joko Nugroho")</f>
        <v>Joko Nugroho</v>
      </c>
      <c r="N604" s="6" t="str">
        <f>IFERROR(__xludf.DUMMYFUNCTION("""COMPUTED_VALUE"""),"FIP Engineering")</f>
        <v>FIP Engineering</v>
      </c>
      <c r="O604" s="6" t="str">
        <f>IFERROR(__xludf.DUMMYFUNCTION("""COMPUTED_VALUE"""),"FIP-DOM-ENG-51508-0000000-INA-000000")</f>
        <v>FIP-DOM-ENG-51508-0000000-INA-000000</v>
      </c>
      <c r="P604" s="6" t="str">
        <f>IFERROR(__xludf.DUMMYFUNCTION("""COMPUTED_VALUE"""),"PO Closed")</f>
        <v>PO Closed</v>
      </c>
      <c r="Q604" s="6" t="str">
        <f>IFERROR(__xludf.DUMMYFUNCTION("""COMPUTED_VALUE"""),"GL1811070")</f>
        <v>GL1811070</v>
      </c>
      <c r="R604" s="16">
        <f>IFERROR(__xludf.DUMMYFUNCTION("""COMPUTED_VALUE"""),43416.0)</f>
        <v>43416</v>
      </c>
      <c r="S604" s="6" t="str">
        <f>IFERROR(__xludf.DUMMYFUNCTION("""COMPUTED_VALUE"""),"-")</f>
        <v>-</v>
      </c>
      <c r="T604" s="13">
        <f>IFERROR(__xludf.DUMMYFUNCTION("""COMPUTED_VALUE"""),43448.0)</f>
        <v>43448</v>
      </c>
    </row>
    <row r="605">
      <c r="A605" s="6" t="str">
        <f>IFERROR(__xludf.DUMMYFUNCTION("""COMPUTED_VALUE"""),"181750434-1")</f>
        <v>181750434-1</v>
      </c>
      <c r="B605" s="6" t="str">
        <f>IFERROR(__xludf.DUMMYFUNCTION("""COMPUTED_VALUE"""),"181750434 - Approved")</f>
        <v>181750434 - Approved</v>
      </c>
      <c r="C605" s="6">
        <f>IFERROR(__xludf.DUMMYFUNCTION("""COMPUTED_VALUE"""),1.0)</f>
        <v>1</v>
      </c>
      <c r="D605" s="6" t="str">
        <f>IFERROR(__xludf.DUMMYFUNCTION("""COMPUTED_VALUE"""),"S-60002-00")</f>
        <v>S-60002-00</v>
      </c>
      <c r="E605" s="6" t="str">
        <f>IFERROR(__xludf.DUMMYFUNCTION("""COMPUTED_VALUE"""),"Pekerjaan Persiapan; Mob dan Demob, Peralatan perlindungan properti Fonko, Alat bantu pekerjaan")</f>
        <v>Pekerjaan Persiapan; Mob dan Demob, Peralatan perlindungan properti Fonko, Alat bantu pekerjaan</v>
      </c>
      <c r="F605" s="6">
        <f>IFERROR(__xludf.DUMMYFUNCTION("""COMPUTED_VALUE"""),1.0)</f>
        <v>1</v>
      </c>
      <c r="G605" s="6" t="str">
        <f>IFERROR(__xludf.DUMMYFUNCTION("""COMPUTED_VALUE"""),"Lot")</f>
        <v>Lot</v>
      </c>
      <c r="H605" s="6" t="str">
        <f>IFERROR(__xludf.DUMMYFUNCTION("""COMPUTED_VALUE"""),"IDR")</f>
        <v>IDR</v>
      </c>
      <c r="I605" s="11">
        <f>IFERROR(__xludf.DUMMYFUNCTION("""COMPUTED_VALUE"""),3700000.0)</f>
        <v>3700000</v>
      </c>
      <c r="J605" s="11">
        <f>IFERROR(__xludf.DUMMYFUNCTION("""COMPUTED_VALUE"""),3700000.0)</f>
        <v>3700000</v>
      </c>
      <c r="K605" s="13">
        <f>IFERROR(__xludf.DUMMYFUNCTION("""COMPUTED_VALUE"""),43434.0)</f>
        <v>43434</v>
      </c>
      <c r="L605" s="6" t="str">
        <f>IFERROR(__xludf.DUMMYFUNCTION("""COMPUTED_VALUE"""),"FIP General")</f>
        <v>FIP General</v>
      </c>
      <c r="M605" s="6" t="str">
        <f>IFERROR(__xludf.DUMMYFUNCTION("""COMPUTED_VALUE"""),"Joko Nugroho")</f>
        <v>Joko Nugroho</v>
      </c>
      <c r="N605" s="6" t="str">
        <f>IFERROR(__xludf.DUMMYFUNCTION("""COMPUTED_VALUE"""),"FIP Engineering")</f>
        <v>FIP Engineering</v>
      </c>
      <c r="O605" s="6" t="str">
        <f>IFERROR(__xludf.DUMMYFUNCTION("""COMPUTED_VALUE"""),"FIP-DOM-ENG-51508-0000000-INA-000000")</f>
        <v>FIP-DOM-ENG-51508-0000000-INA-000000</v>
      </c>
      <c r="P605" s="6" t="str">
        <f>IFERROR(__xludf.DUMMYFUNCTION("""COMPUTED_VALUE"""),"PO Closed")</f>
        <v>PO Closed</v>
      </c>
      <c r="Q605" s="6" t="str">
        <f>IFERROR(__xludf.DUMMYFUNCTION("""COMPUTED_VALUE"""),"GL1811071")</f>
        <v>GL1811071</v>
      </c>
      <c r="R605" s="16">
        <f>IFERROR(__xludf.DUMMYFUNCTION("""COMPUTED_VALUE"""),43416.0)</f>
        <v>43416</v>
      </c>
      <c r="S605" s="6" t="str">
        <f>IFERROR(__xludf.DUMMYFUNCTION("""COMPUTED_VALUE"""),"-")</f>
        <v>-</v>
      </c>
      <c r="T605" s="13">
        <f>IFERROR(__xludf.DUMMYFUNCTION("""COMPUTED_VALUE"""),43434.0)</f>
        <v>43434</v>
      </c>
    </row>
    <row r="606">
      <c r="A606" s="6" t="str">
        <f>IFERROR(__xludf.DUMMYFUNCTION("""COMPUTED_VALUE"""),"181750434-2")</f>
        <v>181750434-2</v>
      </c>
      <c r="B606" s="6" t="str">
        <f>IFERROR(__xludf.DUMMYFUNCTION("""COMPUTED_VALUE"""),"181750434 - Approved")</f>
        <v>181750434 - Approved</v>
      </c>
      <c r="C606" s="6">
        <f>IFERROR(__xludf.DUMMYFUNCTION("""COMPUTED_VALUE"""),2.0)</f>
        <v>2</v>
      </c>
      <c r="D606" s="6" t="str">
        <f>IFERROR(__xludf.DUMMYFUNCTION("""COMPUTED_VALUE"""),"S-60002-00")</f>
        <v>S-60002-00</v>
      </c>
      <c r="E606" s="6" t="str">
        <f>IFERROR(__xludf.DUMMYFUNCTION("""COMPUTED_VALUE"""),"Pekerjaan Bongkar beton dan tanah, Pekerjaan bongkar plat beton eksisting mutu K-300 ukuran 100 x 100 cm , t=20 cm dan besi dan buang puing keluar lokasi dan pembersihan pek")</f>
        <v>Pekerjaan Bongkar beton dan tanah, Pekerjaan bongkar plat beton eksisting mutu K-300 ukuran 100 x 100 cm , t=20 cm dan besi dan buang puing keluar lokasi dan pembersihan pek</v>
      </c>
      <c r="F606" s="6">
        <f>IFERROR(__xludf.DUMMYFUNCTION("""COMPUTED_VALUE"""),1.0)</f>
        <v>1</v>
      </c>
      <c r="G606" s="6" t="str">
        <f>IFERROR(__xludf.DUMMYFUNCTION("""COMPUTED_VALUE"""),"Lot")</f>
        <v>Lot</v>
      </c>
      <c r="H606" s="6" t="str">
        <f>IFERROR(__xludf.DUMMYFUNCTION("""COMPUTED_VALUE"""),"IDR")</f>
        <v>IDR</v>
      </c>
      <c r="I606" s="11">
        <f>IFERROR(__xludf.DUMMYFUNCTION("""COMPUTED_VALUE"""),3050000.0)</f>
        <v>3050000</v>
      </c>
      <c r="J606" s="11">
        <f>IFERROR(__xludf.DUMMYFUNCTION("""COMPUTED_VALUE"""),3050000.0)</f>
        <v>3050000</v>
      </c>
      <c r="K606" s="13">
        <f>IFERROR(__xludf.DUMMYFUNCTION("""COMPUTED_VALUE"""),43434.0)</f>
        <v>43434</v>
      </c>
      <c r="L606" s="6" t="str">
        <f>IFERROR(__xludf.DUMMYFUNCTION("""COMPUTED_VALUE"""),"FIP General")</f>
        <v>FIP General</v>
      </c>
      <c r="M606" s="6" t="str">
        <f>IFERROR(__xludf.DUMMYFUNCTION("""COMPUTED_VALUE"""),"Joko Nugroho")</f>
        <v>Joko Nugroho</v>
      </c>
      <c r="N606" s="6" t="str">
        <f>IFERROR(__xludf.DUMMYFUNCTION("""COMPUTED_VALUE"""),"FIP Engineering")</f>
        <v>FIP Engineering</v>
      </c>
      <c r="O606" s="6" t="str">
        <f>IFERROR(__xludf.DUMMYFUNCTION("""COMPUTED_VALUE"""),"FIP-DOM-ENG-51508-0000000-INA-000000")</f>
        <v>FIP-DOM-ENG-51508-0000000-INA-000000</v>
      </c>
      <c r="P606" s="6" t="str">
        <f>IFERROR(__xludf.DUMMYFUNCTION("""COMPUTED_VALUE"""),"PO Closed")</f>
        <v>PO Closed</v>
      </c>
      <c r="Q606" s="6" t="str">
        <f>IFERROR(__xludf.DUMMYFUNCTION("""COMPUTED_VALUE"""),"GL1811071")</f>
        <v>GL1811071</v>
      </c>
      <c r="R606" s="16">
        <f>IFERROR(__xludf.DUMMYFUNCTION("""COMPUTED_VALUE"""),43416.0)</f>
        <v>43416</v>
      </c>
      <c r="S606" s="6" t="str">
        <f>IFERROR(__xludf.DUMMYFUNCTION("""COMPUTED_VALUE"""),"-")</f>
        <v>-</v>
      </c>
      <c r="T606" s="17">
        <f>IFERROR(__xludf.DUMMYFUNCTION("""COMPUTED_VALUE"""),43434.0)</f>
        <v>43434</v>
      </c>
    </row>
    <row r="607">
      <c r="A607" s="6" t="str">
        <f>IFERROR(__xludf.DUMMYFUNCTION("""COMPUTED_VALUE"""),"181750434-3")</f>
        <v>181750434-3</v>
      </c>
      <c r="B607" s="6" t="str">
        <f>IFERROR(__xludf.DUMMYFUNCTION("""COMPUTED_VALUE"""),"181750434 - Approved")</f>
        <v>181750434 - Approved</v>
      </c>
      <c r="C607" s="6">
        <f>IFERROR(__xludf.DUMMYFUNCTION("""COMPUTED_VALUE"""),3.0)</f>
        <v>3</v>
      </c>
      <c r="D607" s="6" t="str">
        <f>IFERROR(__xludf.DUMMYFUNCTION("""COMPUTED_VALUE"""),"S-60002-00")</f>
        <v>S-60002-00</v>
      </c>
      <c r="E607" s="6" t="str">
        <f>IFERROR(__xludf.DUMMYFUNCTION("""COMPUTED_VALUE"""),"Pekerjaan beton; Lantai kerja t = 5 cm ,termasuk plastik cor; Pekerjaan beton Instan K-350 , Decon/setara , t = 20 cm")</f>
        <v>Pekerjaan beton; Lantai kerja t = 5 cm ,termasuk plastik cor; Pekerjaan beton Instan K-350 , Decon/setara , t = 20 cm</v>
      </c>
      <c r="F607" s="6">
        <f>IFERROR(__xludf.DUMMYFUNCTION("""COMPUTED_VALUE"""),1.0)</f>
        <v>1</v>
      </c>
      <c r="G607" s="6" t="str">
        <f>IFERROR(__xludf.DUMMYFUNCTION("""COMPUTED_VALUE"""),"Lot")</f>
        <v>Lot</v>
      </c>
      <c r="H607" s="6" t="str">
        <f>IFERROR(__xludf.DUMMYFUNCTION("""COMPUTED_VALUE"""),"IDR")</f>
        <v>IDR</v>
      </c>
      <c r="I607" s="11">
        <f>IFERROR(__xludf.DUMMYFUNCTION("""COMPUTED_VALUE"""),2600000.0)</f>
        <v>2600000</v>
      </c>
      <c r="J607" s="11">
        <f>IFERROR(__xludf.DUMMYFUNCTION("""COMPUTED_VALUE"""),2600000.0)</f>
        <v>2600000</v>
      </c>
      <c r="K607" s="13">
        <f>IFERROR(__xludf.DUMMYFUNCTION("""COMPUTED_VALUE"""),43434.0)</f>
        <v>43434</v>
      </c>
      <c r="L607" s="6" t="str">
        <f>IFERROR(__xludf.DUMMYFUNCTION("""COMPUTED_VALUE"""),"FIP General")</f>
        <v>FIP General</v>
      </c>
      <c r="M607" s="6" t="str">
        <f>IFERROR(__xludf.DUMMYFUNCTION("""COMPUTED_VALUE"""),"Joko Nugroho")</f>
        <v>Joko Nugroho</v>
      </c>
      <c r="N607" s="6" t="str">
        <f>IFERROR(__xludf.DUMMYFUNCTION("""COMPUTED_VALUE"""),"FIP Engineering")</f>
        <v>FIP Engineering</v>
      </c>
      <c r="O607" s="6" t="str">
        <f>IFERROR(__xludf.DUMMYFUNCTION("""COMPUTED_VALUE"""),"FIP-DOM-ENG-51508-0000000-INA-000000")</f>
        <v>FIP-DOM-ENG-51508-0000000-INA-000000</v>
      </c>
      <c r="P607" s="6" t="str">
        <f>IFERROR(__xludf.DUMMYFUNCTION("""COMPUTED_VALUE"""),"PO Closed")</f>
        <v>PO Closed</v>
      </c>
      <c r="Q607" s="6" t="str">
        <f>IFERROR(__xludf.DUMMYFUNCTION("""COMPUTED_VALUE"""),"GL1811071")</f>
        <v>GL1811071</v>
      </c>
      <c r="R607" s="16">
        <f>IFERROR(__xludf.DUMMYFUNCTION("""COMPUTED_VALUE"""),43416.0)</f>
        <v>43416</v>
      </c>
      <c r="S607" s="6" t="str">
        <f>IFERROR(__xludf.DUMMYFUNCTION("""COMPUTED_VALUE"""),"-")</f>
        <v>-</v>
      </c>
      <c r="T607" s="13">
        <f>IFERROR(__xludf.DUMMYFUNCTION("""COMPUTED_VALUE"""),43434.0)</f>
        <v>43434</v>
      </c>
    </row>
    <row r="608">
      <c r="A608" s="6" t="str">
        <f>IFERROR(__xludf.DUMMYFUNCTION("""COMPUTED_VALUE"""),"181750434-4")</f>
        <v>181750434-4</v>
      </c>
      <c r="B608" s="6" t="str">
        <f>IFERROR(__xludf.DUMMYFUNCTION("""COMPUTED_VALUE"""),"181750434 - Approved")</f>
        <v>181750434 - Approved</v>
      </c>
      <c r="C608" s="6">
        <f>IFERROR(__xludf.DUMMYFUNCTION("""COMPUTED_VALUE"""),4.0)</f>
        <v>4</v>
      </c>
      <c r="D608" s="6" t="str">
        <f>IFERROR(__xludf.DUMMYFUNCTION("""COMPUTED_VALUE"""),"S-60002-00")</f>
        <v>S-60002-00</v>
      </c>
      <c r="E608" s="6" t="str">
        <f>IFERROR(__xludf.DUMMYFUNCTION("""COMPUTED_VALUE"""),"Pekerjaan Conecting &amp; Finishing Lantai")</f>
        <v>Pekerjaan Conecting &amp; Finishing Lantai</v>
      </c>
      <c r="F608" s="6">
        <f>IFERROR(__xludf.DUMMYFUNCTION("""COMPUTED_VALUE"""),1.0)</f>
        <v>1</v>
      </c>
      <c r="G608" s="6" t="str">
        <f>IFERROR(__xludf.DUMMYFUNCTION("""COMPUTED_VALUE"""),"Lot")</f>
        <v>Lot</v>
      </c>
      <c r="H608" s="6" t="str">
        <f>IFERROR(__xludf.DUMMYFUNCTION("""COMPUTED_VALUE"""),"IDR")</f>
        <v>IDR</v>
      </c>
      <c r="I608" s="11">
        <f>IFERROR(__xludf.DUMMYFUNCTION("""COMPUTED_VALUE"""),1.915E7)</f>
        <v>19150000</v>
      </c>
      <c r="J608" s="11">
        <f>IFERROR(__xludf.DUMMYFUNCTION("""COMPUTED_VALUE"""),1.915E7)</f>
        <v>19150000</v>
      </c>
      <c r="K608" s="13">
        <f>IFERROR(__xludf.DUMMYFUNCTION("""COMPUTED_VALUE"""),43434.0)</f>
        <v>43434</v>
      </c>
      <c r="L608" s="6" t="str">
        <f>IFERROR(__xludf.DUMMYFUNCTION("""COMPUTED_VALUE"""),"FIP General")</f>
        <v>FIP General</v>
      </c>
      <c r="M608" s="6" t="str">
        <f>IFERROR(__xludf.DUMMYFUNCTION("""COMPUTED_VALUE"""),"Joko Nugroho")</f>
        <v>Joko Nugroho</v>
      </c>
      <c r="N608" s="6" t="str">
        <f>IFERROR(__xludf.DUMMYFUNCTION("""COMPUTED_VALUE"""),"FIP Engineering")</f>
        <v>FIP Engineering</v>
      </c>
      <c r="O608" s="6" t="str">
        <f>IFERROR(__xludf.DUMMYFUNCTION("""COMPUTED_VALUE"""),"FIP-DOM-ENG-51508-0000000-INA-000000")</f>
        <v>FIP-DOM-ENG-51508-0000000-INA-000000</v>
      </c>
      <c r="P608" s="6" t="str">
        <f>IFERROR(__xludf.DUMMYFUNCTION("""COMPUTED_VALUE"""),"PO Closed")</f>
        <v>PO Closed</v>
      </c>
      <c r="Q608" s="6" t="str">
        <f>IFERROR(__xludf.DUMMYFUNCTION("""COMPUTED_VALUE"""),"GL1811071")</f>
        <v>GL1811071</v>
      </c>
      <c r="R608" s="16">
        <f>IFERROR(__xludf.DUMMYFUNCTION("""COMPUTED_VALUE"""),43416.0)</f>
        <v>43416</v>
      </c>
      <c r="S608" s="6" t="str">
        <f>IFERROR(__xludf.DUMMYFUNCTION("""COMPUTED_VALUE"""),"-")</f>
        <v>-</v>
      </c>
      <c r="T608" s="13">
        <f>IFERROR(__xludf.DUMMYFUNCTION("""COMPUTED_VALUE"""),43434.0)</f>
        <v>43434</v>
      </c>
    </row>
    <row r="609">
      <c r="A609" s="6" t="str">
        <f>IFERROR(__xludf.DUMMYFUNCTION("""COMPUTED_VALUE"""),"181750432-1")</f>
        <v>181750432-1</v>
      </c>
      <c r="B609" s="6" t="str">
        <f>IFERROR(__xludf.DUMMYFUNCTION("""COMPUTED_VALUE"""),"181750432 - Approved")</f>
        <v>181750432 - Approved</v>
      </c>
      <c r="C609" s="6">
        <f>IFERROR(__xludf.DUMMYFUNCTION("""COMPUTED_VALUE"""),1.0)</f>
        <v>1</v>
      </c>
      <c r="D609" s="6" t="str">
        <f>IFERROR(__xludf.DUMMYFUNCTION("""COMPUTED_VALUE"""),"O-51945-00")</f>
        <v>O-51945-00</v>
      </c>
      <c r="E609" s="6" t="str">
        <f>IFERROR(__xludf.DUMMYFUNCTION("""COMPUTED_VALUE"""),"Photo Sensor BRP3M-MDT Autonics; ; ;")</f>
        <v>Photo Sensor BRP3M-MDT Autonics; ; ;</v>
      </c>
      <c r="F609" s="6">
        <f>IFERROR(__xludf.DUMMYFUNCTION("""COMPUTED_VALUE"""),2.0)</f>
        <v>2</v>
      </c>
      <c r="G609" s="6" t="str">
        <f>IFERROR(__xludf.DUMMYFUNCTION("""COMPUTED_VALUE"""),"Pieces")</f>
        <v>Pieces</v>
      </c>
      <c r="H609" s="6" t="str">
        <f>IFERROR(__xludf.DUMMYFUNCTION("""COMPUTED_VALUE"""),"IDR")</f>
        <v>IDR</v>
      </c>
      <c r="I609" s="11">
        <f>IFERROR(__xludf.DUMMYFUNCTION("""COMPUTED_VALUE"""),363000.0)</f>
        <v>363000</v>
      </c>
      <c r="J609" s="11">
        <f>IFERROR(__xludf.DUMMYFUNCTION("""COMPUTED_VALUE"""),726000.0)</f>
        <v>726000</v>
      </c>
      <c r="K609" s="13">
        <f>IFERROR(__xludf.DUMMYFUNCTION("""COMPUTED_VALUE"""),43434.0)</f>
        <v>43434</v>
      </c>
      <c r="L609" s="6" t="str">
        <f>IFERROR(__xludf.DUMMYFUNCTION("""COMPUTED_VALUE"""),"FIP Engineering")</f>
        <v>FIP Engineering</v>
      </c>
      <c r="M609" s="6" t="str">
        <f>IFERROR(__xludf.DUMMYFUNCTION("""COMPUTED_VALUE"""),"Irwan Sopian")</f>
        <v>Irwan Sopian</v>
      </c>
      <c r="N609" s="6" t="str">
        <f>IFERROR(__xludf.DUMMYFUNCTION("""COMPUTED_VALUE"""),"FIP Engineering")</f>
        <v>FIP Engineering</v>
      </c>
      <c r="O609" s="6" t="str">
        <f>IFERROR(__xludf.DUMMYFUNCTION("""COMPUTED_VALUE"""),"FIP-DOM-000-11304-OS00001-INA-000000")</f>
        <v>FIP-DOM-000-11304-OS00001-INA-000000</v>
      </c>
      <c r="P609" s="6" t="str">
        <f>IFERROR(__xludf.DUMMYFUNCTION("""COMPUTED_VALUE"""),"PO Closed")</f>
        <v>PO Closed</v>
      </c>
      <c r="Q609" s="6" t="str">
        <f>IFERROR(__xludf.DUMMYFUNCTION("""COMPUTED_VALUE"""),"GL1811060")</f>
        <v>GL1811060</v>
      </c>
      <c r="R609" s="16">
        <f>IFERROR(__xludf.DUMMYFUNCTION("""COMPUTED_VALUE"""),43416.0)</f>
        <v>43416</v>
      </c>
      <c r="S609" s="6" t="str">
        <f>IFERROR(__xludf.DUMMYFUNCTION("""COMPUTED_VALUE"""),"-")</f>
        <v>-</v>
      </c>
      <c r="T609" s="13">
        <f>IFERROR(__xludf.DUMMYFUNCTION("""COMPUTED_VALUE"""),43444.0)</f>
        <v>43444</v>
      </c>
    </row>
    <row r="610">
      <c r="A610" s="6" t="str">
        <f>IFERROR(__xludf.DUMMYFUNCTION("""COMPUTED_VALUE"""),"181750431-3")</f>
        <v>181750431-3</v>
      </c>
      <c r="B610" s="6" t="str">
        <f>IFERROR(__xludf.DUMMYFUNCTION("""COMPUTED_VALUE"""),"181750431 - Approved")</f>
        <v>181750431 - Approved</v>
      </c>
      <c r="C610" s="6">
        <f>IFERROR(__xludf.DUMMYFUNCTION("""COMPUTED_VALUE"""),3.0)</f>
        <v>3</v>
      </c>
      <c r="D610" s="6" t="str">
        <f>IFERROR(__xludf.DUMMYFUNCTION("""COMPUTED_VALUE"""),"Q-10234-00")</f>
        <v>Q-10234-00</v>
      </c>
      <c r="E610" s="6" t="str">
        <f>IFERROR(__xludf.DUMMYFUNCTION("""COMPUTED_VALUE"""),"Silicone Sealant N10 Grey; ; ;")</f>
        <v>Silicone Sealant N10 Grey; ; ;</v>
      </c>
      <c r="F610" s="6">
        <f>IFERROR(__xludf.DUMMYFUNCTION("""COMPUTED_VALUE"""),8.0)</f>
        <v>8</v>
      </c>
      <c r="G610" s="6" t="str">
        <f>IFERROR(__xludf.DUMMYFUNCTION("""COMPUTED_VALUE"""),"Pieces")</f>
        <v>Pieces</v>
      </c>
      <c r="H610" s="6" t="str">
        <f>IFERROR(__xludf.DUMMYFUNCTION("""COMPUTED_VALUE"""),"IDR")</f>
        <v>IDR</v>
      </c>
      <c r="I610" s="11">
        <f>IFERROR(__xludf.DUMMYFUNCTION("""COMPUTED_VALUE"""),45000.0)</f>
        <v>45000</v>
      </c>
      <c r="J610" s="11">
        <f>IFERROR(__xludf.DUMMYFUNCTION("""COMPUTED_VALUE"""),360000.0)</f>
        <v>360000</v>
      </c>
      <c r="K610" s="13">
        <f>IFERROR(__xludf.DUMMYFUNCTION("""COMPUTED_VALUE"""),43441.0)</f>
        <v>43441</v>
      </c>
      <c r="L610" s="6" t="str">
        <f>IFERROR(__xludf.DUMMYFUNCTION("""COMPUTED_VALUE"""),"FIP Engineering")</f>
        <v>FIP Engineering</v>
      </c>
      <c r="M610" s="6" t="str">
        <f>IFERROR(__xludf.DUMMYFUNCTION("""COMPUTED_VALUE"""),"Irwan Sopian")</f>
        <v>Irwan Sopian</v>
      </c>
      <c r="N610" s="6" t="str">
        <f>IFERROR(__xludf.DUMMYFUNCTION("""COMPUTED_VALUE"""),"FIP Engineering")</f>
        <v>FIP Engineering</v>
      </c>
      <c r="O610" s="6" t="str">
        <f>IFERROR(__xludf.DUMMYFUNCTION("""COMPUTED_VALUE"""),"FIP-DOM-000-11304-OS00001-INA-000000")</f>
        <v>FIP-DOM-000-11304-OS00001-INA-000000</v>
      </c>
      <c r="P610" s="6" t="str">
        <f>IFERROR(__xludf.DUMMYFUNCTION("""COMPUTED_VALUE"""),"PO Closed")</f>
        <v>PO Closed</v>
      </c>
      <c r="Q610" s="6" t="str">
        <f>IFERROR(__xludf.DUMMYFUNCTION("""COMPUTED_VALUE"""),"GL1811073")</f>
        <v>GL1811073</v>
      </c>
      <c r="R610" s="16">
        <f>IFERROR(__xludf.DUMMYFUNCTION("""COMPUTED_VALUE"""),43416.0)</f>
        <v>43416</v>
      </c>
      <c r="S610" s="6" t="str">
        <f>IFERROR(__xludf.DUMMYFUNCTION("""COMPUTED_VALUE"""),"-")</f>
        <v>-</v>
      </c>
      <c r="T610" s="17">
        <f>IFERROR(__xludf.DUMMYFUNCTION("""COMPUTED_VALUE"""),43440.0)</f>
        <v>43440</v>
      </c>
    </row>
    <row r="611">
      <c r="A611" s="6" t="str">
        <f>IFERROR(__xludf.DUMMYFUNCTION("""COMPUTED_VALUE"""),"181750431-4")</f>
        <v>181750431-4</v>
      </c>
      <c r="B611" s="6" t="str">
        <f>IFERROR(__xludf.DUMMYFUNCTION("""COMPUTED_VALUE"""),"181750431 - Approved")</f>
        <v>181750431 - Approved</v>
      </c>
      <c r="C611" s="6">
        <f>IFERROR(__xludf.DUMMYFUNCTION("""COMPUTED_VALUE"""),4.0)</f>
        <v>4</v>
      </c>
      <c r="D611" s="6" t="str">
        <f>IFERROR(__xludf.DUMMYFUNCTION("""COMPUTED_VALUE"""),"Q-10233-00")</f>
        <v>Q-10233-00</v>
      </c>
      <c r="E611" s="6" t="str">
        <f>IFERROR(__xludf.DUMMYFUNCTION("""COMPUTED_VALUE"""),"Silicone Sealant N10 Clear; ; ;")</f>
        <v>Silicone Sealant N10 Clear; ; ;</v>
      </c>
      <c r="F611" s="6">
        <f>IFERROR(__xludf.DUMMYFUNCTION("""COMPUTED_VALUE"""),8.0)</f>
        <v>8</v>
      </c>
      <c r="G611" s="6" t="str">
        <f>IFERROR(__xludf.DUMMYFUNCTION("""COMPUTED_VALUE"""),"Pieces")</f>
        <v>Pieces</v>
      </c>
      <c r="H611" s="6" t="str">
        <f>IFERROR(__xludf.DUMMYFUNCTION("""COMPUTED_VALUE"""),"IDR")</f>
        <v>IDR</v>
      </c>
      <c r="I611" s="11">
        <f>IFERROR(__xludf.DUMMYFUNCTION("""COMPUTED_VALUE"""),45000.0)</f>
        <v>45000</v>
      </c>
      <c r="J611" s="11">
        <f>IFERROR(__xludf.DUMMYFUNCTION("""COMPUTED_VALUE"""),360000.0)</f>
        <v>360000</v>
      </c>
      <c r="K611" s="13">
        <f>IFERROR(__xludf.DUMMYFUNCTION("""COMPUTED_VALUE"""),43441.0)</f>
        <v>43441</v>
      </c>
      <c r="L611" s="6" t="str">
        <f>IFERROR(__xludf.DUMMYFUNCTION("""COMPUTED_VALUE"""),"FIP Engineering")</f>
        <v>FIP Engineering</v>
      </c>
      <c r="M611" s="6" t="str">
        <f>IFERROR(__xludf.DUMMYFUNCTION("""COMPUTED_VALUE"""),"Irwan Sopian")</f>
        <v>Irwan Sopian</v>
      </c>
      <c r="N611" s="6" t="str">
        <f>IFERROR(__xludf.DUMMYFUNCTION("""COMPUTED_VALUE"""),"FIP Engineering")</f>
        <v>FIP Engineering</v>
      </c>
      <c r="O611" s="6" t="str">
        <f>IFERROR(__xludf.DUMMYFUNCTION("""COMPUTED_VALUE"""),"FIP-DOM-000-11304-OS00001-INA-000000")</f>
        <v>FIP-DOM-000-11304-OS00001-INA-000000</v>
      </c>
      <c r="P611" s="6" t="str">
        <f>IFERROR(__xludf.DUMMYFUNCTION("""COMPUTED_VALUE"""),"PO Closed")</f>
        <v>PO Closed</v>
      </c>
      <c r="Q611" s="6" t="str">
        <f>IFERROR(__xludf.DUMMYFUNCTION("""COMPUTED_VALUE"""),"GL1811073")</f>
        <v>GL1811073</v>
      </c>
      <c r="R611" s="16">
        <f>IFERROR(__xludf.DUMMYFUNCTION("""COMPUTED_VALUE"""),43416.0)</f>
        <v>43416</v>
      </c>
      <c r="S611" s="6" t="str">
        <f>IFERROR(__xludf.DUMMYFUNCTION("""COMPUTED_VALUE"""),"-")</f>
        <v>-</v>
      </c>
      <c r="T611" s="13">
        <f>IFERROR(__xludf.DUMMYFUNCTION("""COMPUTED_VALUE"""),43440.0)</f>
        <v>43440</v>
      </c>
    </row>
    <row r="612">
      <c r="A612" s="6" t="str">
        <f>IFERROR(__xludf.DUMMYFUNCTION("""COMPUTED_VALUE"""),"181750425-2")</f>
        <v>181750425-2</v>
      </c>
      <c r="B612" s="6" t="str">
        <f>IFERROR(__xludf.DUMMYFUNCTION("""COMPUTED_VALUE"""),"181750425 - Approved")</f>
        <v>181750425 - Approved</v>
      </c>
      <c r="C612" s="6">
        <f>IFERROR(__xludf.DUMMYFUNCTION("""COMPUTED_VALUE"""),2.0)</f>
        <v>2</v>
      </c>
      <c r="D612" s="6" t="str">
        <f>IFERROR(__xludf.DUMMYFUNCTION("""COMPUTED_VALUE"""),"T-20112-00")</f>
        <v>T-20112-00</v>
      </c>
      <c r="E612" s="6" t="str">
        <f>IFERROR(__xludf.DUMMYFUNCTION("""COMPUTED_VALUE"""),"900 Sample pump tubing; Sievers; P/N CATU 96200; 1 pc")</f>
        <v>900 Sample pump tubing; Sievers; P/N CATU 96200; 1 pc</v>
      </c>
      <c r="F612" s="6">
        <f>IFERROR(__xludf.DUMMYFUNCTION("""COMPUTED_VALUE"""),1.0)</f>
        <v>1</v>
      </c>
      <c r="G612" s="6" t="str">
        <f>IFERROR(__xludf.DUMMYFUNCTION("""COMPUTED_VALUE"""),"Pieces")</f>
        <v>Pieces</v>
      </c>
      <c r="H612" s="6" t="str">
        <f>IFERROR(__xludf.DUMMYFUNCTION("""COMPUTED_VALUE"""),"IDR")</f>
        <v>IDR</v>
      </c>
      <c r="I612" s="11">
        <f>IFERROR(__xludf.DUMMYFUNCTION("""COMPUTED_VALUE"""),2257668.0)</f>
        <v>2257668</v>
      </c>
      <c r="J612" s="11">
        <f>IFERROR(__xludf.DUMMYFUNCTION("""COMPUTED_VALUE"""),2257668.0)</f>
        <v>2257668</v>
      </c>
      <c r="K612" s="13">
        <f>IFERROR(__xludf.DUMMYFUNCTION("""COMPUTED_VALUE"""),43441.0)</f>
        <v>43441</v>
      </c>
      <c r="L612" s="6" t="str">
        <f>IFERROR(__xludf.DUMMYFUNCTION("""COMPUTED_VALUE"""),"FIP General")</f>
        <v>FIP General</v>
      </c>
      <c r="M612" s="6" t="str">
        <f>IFERROR(__xludf.DUMMYFUNCTION("""COMPUTED_VALUE"""),"Irwan Sopian")</f>
        <v>Irwan Sopian</v>
      </c>
      <c r="N612" s="6" t="str">
        <f>IFERROR(__xludf.DUMMYFUNCTION("""COMPUTED_VALUE"""),"FIP Engineering")</f>
        <v>FIP Engineering</v>
      </c>
      <c r="O612" s="6" t="str">
        <f>IFERROR(__xludf.DUMMYFUNCTION("""COMPUTED_VALUE"""),"FIP-DOM-ENG-51505-0000000-INA-000000")</f>
        <v>FIP-DOM-ENG-51505-0000000-INA-000000</v>
      </c>
      <c r="P612" s="6" t="str">
        <f>IFERROR(__xludf.DUMMYFUNCTION("""COMPUTED_VALUE"""),"PO Closed")</f>
        <v>PO Closed</v>
      </c>
      <c r="Q612" s="6" t="str">
        <f>IFERROR(__xludf.DUMMYFUNCTION("""COMPUTED_VALUE"""),"GL1811039")</f>
        <v>GL1811039</v>
      </c>
      <c r="R612" s="16">
        <f>IFERROR(__xludf.DUMMYFUNCTION("""COMPUTED_VALUE"""),43416.0)</f>
        <v>43416</v>
      </c>
      <c r="S612" s="6" t="str">
        <f>IFERROR(__xludf.DUMMYFUNCTION("""COMPUTED_VALUE"""),"-")</f>
        <v>-</v>
      </c>
      <c r="T612" s="13">
        <f>IFERROR(__xludf.DUMMYFUNCTION("""COMPUTED_VALUE"""),43462.0)</f>
        <v>43462</v>
      </c>
    </row>
    <row r="613">
      <c r="A613" s="6" t="str">
        <f>IFERROR(__xludf.DUMMYFUNCTION("""COMPUTED_VALUE"""),"181750407-5")</f>
        <v>181750407-5</v>
      </c>
      <c r="B613" s="6" t="str">
        <f>IFERROR(__xludf.DUMMYFUNCTION("""COMPUTED_VALUE"""),"181750407 - Approved")</f>
        <v>181750407 - Approved</v>
      </c>
      <c r="C613" s="6">
        <f>IFERROR(__xludf.DUMMYFUNCTION("""COMPUTED_VALUE"""),5.0)</f>
        <v>5</v>
      </c>
      <c r="D613" s="6" t="str">
        <f>IFERROR(__xludf.DUMMYFUNCTION("""COMPUTED_VALUE"""),"P-13576-00")</f>
        <v>P-13576-00</v>
      </c>
      <c r="E613" s="6" t="str">
        <f>IFERROR(__xludf.DUMMYFUNCTION("""COMPUTED_VALUE"""),"Pen Cartridge Green Model: B9902AN for Recorder Yokogawa Model: SR10002; ; ;")</f>
        <v>Pen Cartridge Green Model: B9902AN for Recorder Yokogawa Model: SR10002; ; ;</v>
      </c>
      <c r="F613" s="6">
        <f>IFERROR(__xludf.DUMMYFUNCTION("""COMPUTED_VALUE"""),1.0)</f>
        <v>1</v>
      </c>
      <c r="G613" s="6" t="str">
        <f>IFERROR(__xludf.DUMMYFUNCTION("""COMPUTED_VALUE"""),"Set")</f>
        <v>Set</v>
      </c>
      <c r="H613" s="6" t="str">
        <f>IFERROR(__xludf.DUMMYFUNCTION("""COMPUTED_VALUE"""),"IDR")</f>
        <v>IDR</v>
      </c>
      <c r="I613" s="11">
        <f>IFERROR(__xludf.DUMMYFUNCTION("""COMPUTED_VALUE"""),572000.0)</f>
        <v>572000</v>
      </c>
      <c r="J613" s="11">
        <f>IFERROR(__xludf.DUMMYFUNCTION("""COMPUTED_VALUE"""),572000.0)</f>
        <v>572000</v>
      </c>
      <c r="K613" s="13">
        <f>IFERROR(__xludf.DUMMYFUNCTION("""COMPUTED_VALUE"""),43434.0)</f>
        <v>43434</v>
      </c>
      <c r="L613" s="6" t="str">
        <f>IFERROR(__xludf.DUMMYFUNCTION("""COMPUTED_VALUE"""),"FIP Engineering")</f>
        <v>FIP Engineering</v>
      </c>
      <c r="M613" s="6" t="str">
        <f>IFERROR(__xludf.DUMMYFUNCTION("""COMPUTED_VALUE"""),"Irwan Sopian")</f>
        <v>Irwan Sopian</v>
      </c>
      <c r="N613" s="6" t="str">
        <f>IFERROR(__xludf.DUMMYFUNCTION("""COMPUTED_VALUE"""),"FIP Engineering")</f>
        <v>FIP Engineering</v>
      </c>
      <c r="O613" s="6" t="str">
        <f>IFERROR(__xludf.DUMMYFUNCTION("""COMPUTED_VALUE"""),"FIP-DOM-000-11304-OS00001-INA-000000")</f>
        <v>FIP-DOM-000-11304-OS00001-INA-000000</v>
      </c>
      <c r="P613" s="6" t="str">
        <f>IFERROR(__xludf.DUMMYFUNCTION("""COMPUTED_VALUE"""),"PO Closed")</f>
        <v>PO Closed</v>
      </c>
      <c r="Q613" s="6" t="str">
        <f>IFERROR(__xludf.DUMMYFUNCTION("""COMPUTED_VALUE"""),"GL1811037")</f>
        <v>GL1811037</v>
      </c>
      <c r="R613" s="17">
        <f>IFERROR(__xludf.DUMMYFUNCTION("""COMPUTED_VALUE"""),43417.0)</f>
        <v>43417</v>
      </c>
      <c r="S613" s="6" t="str">
        <f>IFERROR(__xludf.DUMMYFUNCTION("""COMPUTED_VALUE"""),"-")</f>
        <v>-</v>
      </c>
      <c r="T613" s="17">
        <f>IFERROR(__xludf.DUMMYFUNCTION("""COMPUTED_VALUE"""),43426.0)</f>
        <v>43426</v>
      </c>
    </row>
    <row r="614">
      <c r="A614" s="6" t="str">
        <f>IFERROR(__xludf.DUMMYFUNCTION("""COMPUTED_VALUE"""),"181750407-6")</f>
        <v>181750407-6</v>
      </c>
      <c r="B614" s="6" t="str">
        <f>IFERROR(__xludf.DUMMYFUNCTION("""COMPUTED_VALUE"""),"181750407 - Approved")</f>
        <v>181750407 - Approved</v>
      </c>
      <c r="C614" s="6">
        <f>IFERROR(__xludf.DUMMYFUNCTION("""COMPUTED_VALUE"""),6.0)</f>
        <v>6</v>
      </c>
      <c r="D614" s="6" t="str">
        <f>IFERROR(__xludf.DUMMYFUNCTION("""COMPUTED_VALUE"""),"P-13576-00")</f>
        <v>P-13576-00</v>
      </c>
      <c r="E614" s="6" t="str">
        <f>IFERROR(__xludf.DUMMYFUNCTION("""COMPUTED_VALUE"""),"Pen Cartridge Green Model: B9902AN for Recorder Yokogawa Model: SR10002; ; ;")</f>
        <v>Pen Cartridge Green Model: B9902AN for Recorder Yokogawa Model: SR10002; ; ;</v>
      </c>
      <c r="F614" s="6">
        <f>IFERROR(__xludf.DUMMYFUNCTION("""COMPUTED_VALUE"""),1.0)</f>
        <v>1</v>
      </c>
      <c r="G614" s="6" t="str">
        <f>IFERROR(__xludf.DUMMYFUNCTION("""COMPUTED_VALUE"""),"Set")</f>
        <v>Set</v>
      </c>
      <c r="H614" s="6" t="str">
        <f>IFERROR(__xludf.DUMMYFUNCTION("""COMPUTED_VALUE"""),"IDR")</f>
        <v>IDR</v>
      </c>
      <c r="I614" s="11">
        <f>IFERROR(__xludf.DUMMYFUNCTION("""COMPUTED_VALUE"""),572000.0)</f>
        <v>572000</v>
      </c>
      <c r="J614" s="11">
        <f>IFERROR(__xludf.DUMMYFUNCTION("""COMPUTED_VALUE"""),572000.0)</f>
        <v>572000</v>
      </c>
      <c r="K614" s="13">
        <f>IFERROR(__xludf.DUMMYFUNCTION("""COMPUTED_VALUE"""),43434.0)</f>
        <v>43434</v>
      </c>
      <c r="L614" s="6" t="str">
        <f>IFERROR(__xludf.DUMMYFUNCTION("""COMPUTED_VALUE"""),"FIP Engineering")</f>
        <v>FIP Engineering</v>
      </c>
      <c r="M614" s="6" t="str">
        <f>IFERROR(__xludf.DUMMYFUNCTION("""COMPUTED_VALUE"""),"Irwan Sopian")</f>
        <v>Irwan Sopian</v>
      </c>
      <c r="N614" s="6" t="str">
        <f>IFERROR(__xludf.DUMMYFUNCTION("""COMPUTED_VALUE"""),"FIP Engineering")</f>
        <v>FIP Engineering</v>
      </c>
      <c r="O614" s="6" t="str">
        <f>IFERROR(__xludf.DUMMYFUNCTION("""COMPUTED_VALUE"""),"FIP-DOM-000-11304-OS00001-INA-000000")</f>
        <v>FIP-DOM-000-11304-OS00001-INA-000000</v>
      </c>
      <c r="P614" s="6" t="str">
        <f>IFERROR(__xludf.DUMMYFUNCTION("""COMPUTED_VALUE"""),"PO Closed")</f>
        <v>PO Closed</v>
      </c>
      <c r="Q614" s="6" t="str">
        <f>IFERROR(__xludf.DUMMYFUNCTION("""COMPUTED_VALUE"""),"GL1811037")</f>
        <v>GL1811037</v>
      </c>
      <c r="R614" s="16">
        <f>IFERROR(__xludf.DUMMYFUNCTION("""COMPUTED_VALUE"""),43417.0)</f>
        <v>43417</v>
      </c>
      <c r="S614" s="6" t="str">
        <f>IFERROR(__xludf.DUMMYFUNCTION("""COMPUTED_VALUE"""),"-")</f>
        <v>-</v>
      </c>
      <c r="T614" s="13">
        <f>IFERROR(__xludf.DUMMYFUNCTION("""COMPUTED_VALUE"""),43475.0)</f>
        <v>43475</v>
      </c>
    </row>
    <row r="615">
      <c r="A615" s="6" t="str">
        <f>IFERROR(__xludf.DUMMYFUNCTION("""COMPUTED_VALUE"""),"181750407-7")</f>
        <v>181750407-7</v>
      </c>
      <c r="B615" s="6" t="str">
        <f>IFERROR(__xludf.DUMMYFUNCTION("""COMPUTED_VALUE"""),"181750407 - Approved")</f>
        <v>181750407 - Approved</v>
      </c>
      <c r="C615" s="6">
        <f>IFERROR(__xludf.DUMMYFUNCTION("""COMPUTED_VALUE"""),7.0)</f>
        <v>7</v>
      </c>
      <c r="D615" s="6" t="str">
        <f>IFERROR(__xludf.DUMMYFUNCTION("""COMPUTED_VALUE"""),"P-13577-00")</f>
        <v>P-13577-00</v>
      </c>
      <c r="E615" s="6" t="str">
        <f>IFERROR(__xludf.DUMMYFUNCTION("""COMPUTED_VALUE"""),"Pen Cartridge Red Model: B9902AM for Recorder Yokogawa Model: SR10002; ; ;")</f>
        <v>Pen Cartridge Red Model: B9902AM for Recorder Yokogawa Model: SR10002; ; ;</v>
      </c>
      <c r="F615" s="6">
        <f>IFERROR(__xludf.DUMMYFUNCTION("""COMPUTED_VALUE"""),1.0)</f>
        <v>1</v>
      </c>
      <c r="G615" s="6" t="str">
        <f>IFERROR(__xludf.DUMMYFUNCTION("""COMPUTED_VALUE"""),"Set")</f>
        <v>Set</v>
      </c>
      <c r="H615" s="6" t="str">
        <f>IFERROR(__xludf.DUMMYFUNCTION("""COMPUTED_VALUE"""),"IDR")</f>
        <v>IDR</v>
      </c>
      <c r="I615" s="11">
        <f>IFERROR(__xludf.DUMMYFUNCTION("""COMPUTED_VALUE"""),572000.0)</f>
        <v>572000</v>
      </c>
      <c r="J615" s="11">
        <f>IFERROR(__xludf.DUMMYFUNCTION("""COMPUTED_VALUE"""),572000.0)</f>
        <v>572000</v>
      </c>
      <c r="K615" s="13">
        <f>IFERROR(__xludf.DUMMYFUNCTION("""COMPUTED_VALUE"""),43434.0)</f>
        <v>43434</v>
      </c>
      <c r="L615" s="6" t="str">
        <f>IFERROR(__xludf.DUMMYFUNCTION("""COMPUTED_VALUE"""),"FIP Engineering")</f>
        <v>FIP Engineering</v>
      </c>
      <c r="M615" s="6" t="str">
        <f>IFERROR(__xludf.DUMMYFUNCTION("""COMPUTED_VALUE"""),"Irwan Sopian")</f>
        <v>Irwan Sopian</v>
      </c>
      <c r="N615" s="6" t="str">
        <f>IFERROR(__xludf.DUMMYFUNCTION("""COMPUTED_VALUE"""),"FIP Engineering")</f>
        <v>FIP Engineering</v>
      </c>
      <c r="O615" s="6" t="str">
        <f>IFERROR(__xludf.DUMMYFUNCTION("""COMPUTED_VALUE"""),"FIP-DOM-000-11304-OS00001-INA-000000")</f>
        <v>FIP-DOM-000-11304-OS00001-INA-000000</v>
      </c>
      <c r="P615" s="6" t="str">
        <f>IFERROR(__xludf.DUMMYFUNCTION("""COMPUTED_VALUE"""),"PO Closed")</f>
        <v>PO Closed</v>
      </c>
      <c r="Q615" s="6" t="str">
        <f>IFERROR(__xludf.DUMMYFUNCTION("""COMPUTED_VALUE"""),"GL1811037")</f>
        <v>GL1811037</v>
      </c>
      <c r="R615" s="16">
        <f>IFERROR(__xludf.DUMMYFUNCTION("""COMPUTED_VALUE"""),43417.0)</f>
        <v>43417</v>
      </c>
      <c r="S615" s="6" t="str">
        <f>IFERROR(__xludf.DUMMYFUNCTION("""COMPUTED_VALUE"""),"-")</f>
        <v>-</v>
      </c>
      <c r="T615" s="13">
        <f>IFERROR(__xludf.DUMMYFUNCTION("""COMPUTED_VALUE"""),43426.0)</f>
        <v>43426</v>
      </c>
    </row>
    <row r="616">
      <c r="A616" s="6" t="str">
        <f>IFERROR(__xludf.DUMMYFUNCTION("""COMPUTED_VALUE"""),"181750407-8")</f>
        <v>181750407-8</v>
      </c>
      <c r="B616" s="6" t="str">
        <f>IFERROR(__xludf.DUMMYFUNCTION("""COMPUTED_VALUE"""),"181750407 - Approved")</f>
        <v>181750407 - Approved</v>
      </c>
      <c r="C616" s="6">
        <f>IFERROR(__xludf.DUMMYFUNCTION("""COMPUTED_VALUE"""),8.0)</f>
        <v>8</v>
      </c>
      <c r="D616" s="6" t="str">
        <f>IFERROR(__xludf.DUMMYFUNCTION("""COMPUTED_VALUE"""),"P-13577-00")</f>
        <v>P-13577-00</v>
      </c>
      <c r="E616" s="6" t="str">
        <f>IFERROR(__xludf.DUMMYFUNCTION("""COMPUTED_VALUE"""),"Pen Cartridge Red Model: B9902AM for Recorder Yokogawa Model: SR10002; ; ;")</f>
        <v>Pen Cartridge Red Model: B9902AM for Recorder Yokogawa Model: SR10002; ; ;</v>
      </c>
      <c r="F616" s="6">
        <f>IFERROR(__xludf.DUMMYFUNCTION("""COMPUTED_VALUE"""),1.0)</f>
        <v>1</v>
      </c>
      <c r="G616" s="6" t="str">
        <f>IFERROR(__xludf.DUMMYFUNCTION("""COMPUTED_VALUE"""),"Set")</f>
        <v>Set</v>
      </c>
      <c r="H616" s="6" t="str">
        <f>IFERROR(__xludf.DUMMYFUNCTION("""COMPUTED_VALUE"""),"IDR")</f>
        <v>IDR</v>
      </c>
      <c r="I616" s="11">
        <f>IFERROR(__xludf.DUMMYFUNCTION("""COMPUTED_VALUE"""),572000.0)</f>
        <v>572000</v>
      </c>
      <c r="J616" s="11">
        <f>IFERROR(__xludf.DUMMYFUNCTION("""COMPUTED_VALUE"""),572000.0)</f>
        <v>572000</v>
      </c>
      <c r="K616" s="13">
        <f>IFERROR(__xludf.DUMMYFUNCTION("""COMPUTED_VALUE"""),43434.0)</f>
        <v>43434</v>
      </c>
      <c r="L616" s="6" t="str">
        <f>IFERROR(__xludf.DUMMYFUNCTION("""COMPUTED_VALUE"""),"FIP Engineering")</f>
        <v>FIP Engineering</v>
      </c>
      <c r="M616" s="6" t="str">
        <f>IFERROR(__xludf.DUMMYFUNCTION("""COMPUTED_VALUE"""),"Irwan Sopian")</f>
        <v>Irwan Sopian</v>
      </c>
      <c r="N616" s="6" t="str">
        <f>IFERROR(__xludf.DUMMYFUNCTION("""COMPUTED_VALUE"""),"FIP Engineering")</f>
        <v>FIP Engineering</v>
      </c>
      <c r="O616" s="6" t="str">
        <f>IFERROR(__xludf.DUMMYFUNCTION("""COMPUTED_VALUE"""),"FIP-DOM-000-11304-OS00001-INA-000000")</f>
        <v>FIP-DOM-000-11304-OS00001-INA-000000</v>
      </c>
      <c r="P616" s="6" t="str">
        <f>IFERROR(__xludf.DUMMYFUNCTION("""COMPUTED_VALUE"""),"PO Closed")</f>
        <v>PO Closed</v>
      </c>
      <c r="Q616" s="6" t="str">
        <f>IFERROR(__xludf.DUMMYFUNCTION("""COMPUTED_VALUE"""),"GL1811037")</f>
        <v>GL1811037</v>
      </c>
      <c r="R616" s="16">
        <f>IFERROR(__xludf.DUMMYFUNCTION("""COMPUTED_VALUE"""),43417.0)</f>
        <v>43417</v>
      </c>
      <c r="S616" s="6" t="str">
        <f>IFERROR(__xludf.DUMMYFUNCTION("""COMPUTED_VALUE"""),"-")</f>
        <v>-</v>
      </c>
      <c r="T616" s="13">
        <f>IFERROR(__xludf.DUMMYFUNCTION("""COMPUTED_VALUE"""),43475.0)</f>
        <v>43475</v>
      </c>
    </row>
    <row r="617">
      <c r="A617" s="6" t="str">
        <f>IFERROR(__xludf.DUMMYFUNCTION("""COMPUTED_VALUE"""),"181750441-1")</f>
        <v>181750441-1</v>
      </c>
      <c r="B617" s="6" t="str">
        <f>IFERROR(__xludf.DUMMYFUNCTION("""COMPUTED_VALUE"""),"181750441 - Approved")</f>
        <v>181750441 - Approved</v>
      </c>
      <c r="C617" s="6">
        <f>IFERROR(__xludf.DUMMYFUNCTION("""COMPUTED_VALUE"""),1.0)</f>
        <v>1</v>
      </c>
      <c r="D617" s="6" t="str">
        <f>IFERROR(__xludf.DUMMYFUNCTION("""COMPUTED_VALUE"""),"P-15436-00")</f>
        <v>P-15436-00</v>
      </c>
      <c r="E617" s="6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F617" s="6">
        <f>IFERROR(__xludf.DUMMYFUNCTION("""COMPUTED_VALUE"""),8.0)</f>
        <v>8</v>
      </c>
      <c r="G617" s="6" t="str">
        <f>IFERROR(__xludf.DUMMYFUNCTION("""COMPUTED_VALUE"""),"Unit")</f>
        <v>Unit</v>
      </c>
      <c r="H617" s="6" t="str">
        <f>IFERROR(__xludf.DUMMYFUNCTION("""COMPUTED_VALUE"""),"IDR")</f>
        <v>IDR</v>
      </c>
      <c r="I617" s="11">
        <f>IFERROR(__xludf.DUMMYFUNCTION("""COMPUTED_VALUE"""),120000.0)</f>
        <v>120000</v>
      </c>
      <c r="J617" s="11">
        <f>IFERROR(__xludf.DUMMYFUNCTION("""COMPUTED_VALUE"""),960000.0)</f>
        <v>960000</v>
      </c>
      <c r="K617" s="13">
        <f>IFERROR(__xludf.DUMMYFUNCTION("""COMPUTED_VALUE"""),43441.0)</f>
        <v>43441</v>
      </c>
      <c r="L617" s="6" t="str">
        <f>IFERROR(__xludf.DUMMYFUNCTION("""COMPUTED_VALUE"""),"FIP Engineering")</f>
        <v>FIP Engineering</v>
      </c>
      <c r="M617" s="6" t="str">
        <f>IFERROR(__xludf.DUMMYFUNCTION("""COMPUTED_VALUE"""),"Irwan Sopian")</f>
        <v>Irwan Sopian</v>
      </c>
      <c r="N617" s="6" t="str">
        <f>IFERROR(__xludf.DUMMYFUNCTION("""COMPUTED_VALUE"""),"FIP Engineering")</f>
        <v>FIP Engineering</v>
      </c>
      <c r="O617" s="6" t="str">
        <f>IFERROR(__xludf.DUMMYFUNCTION("""COMPUTED_VALUE"""),"FIP-DOM-000-11304-OS00001-INA-000000")</f>
        <v>FIP-DOM-000-11304-OS00001-INA-000000</v>
      </c>
      <c r="P617" s="6" t="str">
        <f>IFERROR(__xludf.DUMMYFUNCTION("""COMPUTED_VALUE"""),"PO Closed")</f>
        <v>PO Closed</v>
      </c>
      <c r="Q617" s="6" t="str">
        <f>IFERROR(__xludf.DUMMYFUNCTION("""COMPUTED_VALUE"""),"GL1811074")</f>
        <v>GL1811074</v>
      </c>
      <c r="R617" s="16">
        <f>IFERROR(__xludf.DUMMYFUNCTION("""COMPUTED_VALUE"""),43418.0)</f>
        <v>43418</v>
      </c>
      <c r="S617" s="6" t="str">
        <f>IFERROR(__xludf.DUMMYFUNCTION("""COMPUTED_VALUE"""),"-")</f>
        <v>-</v>
      </c>
      <c r="T617" s="13">
        <f>IFERROR(__xludf.DUMMYFUNCTION("""COMPUTED_VALUE"""),43455.0)</f>
        <v>43455</v>
      </c>
    </row>
    <row r="618">
      <c r="A618" s="6" t="str">
        <f>IFERROR(__xludf.DUMMYFUNCTION("""COMPUTED_VALUE"""),"181750441-2")</f>
        <v>181750441-2</v>
      </c>
      <c r="B618" s="6" t="str">
        <f>IFERROR(__xludf.DUMMYFUNCTION("""COMPUTED_VALUE"""),"181750441 - Approved")</f>
        <v>181750441 - Approved</v>
      </c>
      <c r="C618" s="6">
        <f>IFERROR(__xludf.DUMMYFUNCTION("""COMPUTED_VALUE"""),2.0)</f>
        <v>2</v>
      </c>
      <c r="D618" s="6" t="str">
        <f>IFERROR(__xludf.DUMMYFUNCTION("""COMPUTED_VALUE"""),"O-51813-00")</f>
        <v>O-51813-00</v>
      </c>
      <c r="E618" s="6" t="str">
        <f>IFERROR(__xludf.DUMMYFUNCTION("""COMPUTED_VALUE"""),"Digital Timer Switch Simplexa 601 Theben Germany; ; ;")</f>
        <v>Digital Timer Switch Simplexa 601 Theben Germany; ; ;</v>
      </c>
      <c r="F618" s="6">
        <f>IFERROR(__xludf.DUMMYFUNCTION("""COMPUTED_VALUE"""),2.0)</f>
        <v>2</v>
      </c>
      <c r="G618" s="6" t="str">
        <f>IFERROR(__xludf.DUMMYFUNCTION("""COMPUTED_VALUE"""),"Unit")</f>
        <v>Unit</v>
      </c>
      <c r="H618" s="6" t="str">
        <f>IFERROR(__xludf.DUMMYFUNCTION("""COMPUTED_VALUE"""),"IDR")</f>
        <v>IDR</v>
      </c>
      <c r="I618" s="11">
        <f>IFERROR(__xludf.DUMMYFUNCTION("""COMPUTED_VALUE"""),1200000.0)</f>
        <v>1200000</v>
      </c>
      <c r="J618" s="11">
        <f>IFERROR(__xludf.DUMMYFUNCTION("""COMPUTED_VALUE"""),2400000.0)</f>
        <v>2400000</v>
      </c>
      <c r="K618" s="13">
        <f>IFERROR(__xludf.DUMMYFUNCTION("""COMPUTED_VALUE"""),43441.0)</f>
        <v>43441</v>
      </c>
      <c r="L618" s="6" t="str">
        <f>IFERROR(__xludf.DUMMYFUNCTION("""COMPUTED_VALUE"""),"FIP Engineering")</f>
        <v>FIP Engineering</v>
      </c>
      <c r="M618" s="6" t="str">
        <f>IFERROR(__xludf.DUMMYFUNCTION("""COMPUTED_VALUE"""),"Irwan Sopian")</f>
        <v>Irwan Sopian</v>
      </c>
      <c r="N618" s="6" t="str">
        <f>IFERROR(__xludf.DUMMYFUNCTION("""COMPUTED_VALUE"""),"FIP Engineering")</f>
        <v>FIP Engineering</v>
      </c>
      <c r="O618" s="6" t="str">
        <f>IFERROR(__xludf.DUMMYFUNCTION("""COMPUTED_VALUE"""),"FIP-DOM-000-11304-OS00001-INA-000000")</f>
        <v>FIP-DOM-000-11304-OS00001-INA-000000</v>
      </c>
      <c r="P618" s="6" t="str">
        <f>IFERROR(__xludf.DUMMYFUNCTION("""COMPUTED_VALUE"""),"PO Closed")</f>
        <v>PO Closed</v>
      </c>
      <c r="Q618" s="6" t="str">
        <f>IFERROR(__xludf.DUMMYFUNCTION("""COMPUTED_VALUE"""),"GL1811073")</f>
        <v>GL1811073</v>
      </c>
      <c r="R618" s="16">
        <f>IFERROR(__xludf.DUMMYFUNCTION("""COMPUTED_VALUE"""),43418.0)</f>
        <v>43418</v>
      </c>
      <c r="S618" s="6" t="str">
        <f>IFERROR(__xludf.DUMMYFUNCTION("""COMPUTED_VALUE"""),"-")</f>
        <v>-</v>
      </c>
      <c r="T618" s="13">
        <f>IFERROR(__xludf.DUMMYFUNCTION("""COMPUTED_VALUE"""),43440.0)</f>
        <v>43440</v>
      </c>
    </row>
    <row r="619">
      <c r="A619" s="6" t="str">
        <f>IFERROR(__xludf.DUMMYFUNCTION("""COMPUTED_VALUE"""),"181750409-5")</f>
        <v>181750409-5</v>
      </c>
      <c r="B619" s="6" t="str">
        <f>IFERROR(__xludf.DUMMYFUNCTION("""COMPUTED_VALUE"""),"181750409 - Approved")</f>
        <v>181750409 - Approved</v>
      </c>
      <c r="C619" s="6">
        <f>IFERROR(__xludf.DUMMYFUNCTION("""COMPUTED_VALUE"""),5.0)</f>
        <v>5</v>
      </c>
      <c r="D619" s="6" t="str">
        <f>IFERROR(__xludf.DUMMYFUNCTION("""COMPUTED_VALUE"""),"S-40533-00")</f>
        <v>S-40533-00</v>
      </c>
      <c r="E619" s="6" t="str">
        <f>IFERROR(__xludf.DUMMYFUNCTION("""COMPUTED_VALUE"""),"Jam Digital;; ; ;")</f>
        <v>Jam Digital;; ; ;</v>
      </c>
      <c r="F619" s="6">
        <f>IFERROR(__xludf.DUMMYFUNCTION("""COMPUTED_VALUE"""),12.0)</f>
        <v>12</v>
      </c>
      <c r="G619" s="6" t="str">
        <f>IFERROR(__xludf.DUMMYFUNCTION("""COMPUTED_VALUE"""),"Pieces")</f>
        <v>Pieces</v>
      </c>
      <c r="H619" s="6" t="str">
        <f>IFERROR(__xludf.DUMMYFUNCTION("""COMPUTED_VALUE"""),"IDR")</f>
        <v>IDR</v>
      </c>
      <c r="I619" s="11">
        <f>IFERROR(__xludf.DUMMYFUNCTION("""COMPUTED_VALUE"""),10800.0)</f>
        <v>10800</v>
      </c>
      <c r="J619" s="11">
        <f>IFERROR(__xludf.DUMMYFUNCTION("""COMPUTED_VALUE"""),129600.0)</f>
        <v>129600</v>
      </c>
      <c r="K619" s="13">
        <f>IFERROR(__xludf.DUMMYFUNCTION("""COMPUTED_VALUE"""),43427.0)</f>
        <v>43427</v>
      </c>
      <c r="L619" s="6" t="str">
        <f>IFERROR(__xludf.DUMMYFUNCTION("""COMPUTED_VALUE"""),"FIP General")</f>
        <v>FIP General</v>
      </c>
      <c r="M619" s="6" t="str">
        <f>IFERROR(__xludf.DUMMYFUNCTION("""COMPUTED_VALUE"""),"Joko Nugroho")</f>
        <v>Joko Nugroho</v>
      </c>
      <c r="N619" s="6" t="str">
        <f>IFERROR(__xludf.DUMMYFUNCTION("""COMPUTED_VALUE"""),"FIP Engineering")</f>
        <v>FIP Engineering</v>
      </c>
      <c r="O619" s="6" t="str">
        <f>IFERROR(__xludf.DUMMYFUNCTION("""COMPUTED_VALUE"""),"FIP-DOM-ENG-51404-0000000-INA-000000")</f>
        <v>FIP-DOM-ENG-51404-0000000-INA-000000</v>
      </c>
      <c r="P619" s="6" t="str">
        <f>IFERROR(__xludf.DUMMYFUNCTION("""COMPUTED_VALUE"""),"PO Closed")</f>
        <v>PO Closed</v>
      </c>
      <c r="Q619" s="6" t="str">
        <f>IFERROR(__xludf.DUMMYFUNCTION("""COMPUTED_VALUE"""),"GL1811041")</f>
        <v>GL1811041</v>
      </c>
      <c r="R619" s="16">
        <f>IFERROR(__xludf.DUMMYFUNCTION("""COMPUTED_VALUE"""),43418.0)</f>
        <v>43418</v>
      </c>
      <c r="S619" s="6" t="str">
        <f>IFERROR(__xludf.DUMMYFUNCTION("""COMPUTED_VALUE"""),"-")</f>
        <v>-</v>
      </c>
      <c r="T619" s="13">
        <f>IFERROR(__xludf.DUMMYFUNCTION("""COMPUTED_VALUE"""),43434.0)</f>
        <v>43434</v>
      </c>
    </row>
    <row r="620">
      <c r="A620" s="6" t="str">
        <f>IFERROR(__xludf.DUMMYFUNCTION("""COMPUTED_VALUE"""),"181750451-1")</f>
        <v>181750451-1</v>
      </c>
      <c r="B620" s="6" t="str">
        <f>IFERROR(__xludf.DUMMYFUNCTION("""COMPUTED_VALUE"""),"181750451 - Approved")</f>
        <v>181750451 - Approved</v>
      </c>
      <c r="C620" s="6">
        <f>IFERROR(__xludf.DUMMYFUNCTION("""COMPUTED_VALUE"""),1.0)</f>
        <v>1</v>
      </c>
      <c r="D620" s="6" t="str">
        <f>IFERROR(__xludf.DUMMYFUNCTION("""COMPUTED_VALUE"""),"P-51559-00")</f>
        <v>P-51559-00</v>
      </c>
      <c r="E620" s="6" t="str">
        <f>IFERROR(__xludf.DUMMYFUNCTION("""COMPUTED_VALUE"""),"Lampu T5 14watt Putih; Phillips; ;")</f>
        <v>Lampu T5 14watt Putih; Phillips; ;</v>
      </c>
      <c r="F620" s="6">
        <f>IFERROR(__xludf.DUMMYFUNCTION("""COMPUTED_VALUE"""),40.0)</f>
        <v>40</v>
      </c>
      <c r="G620" s="6" t="str">
        <f>IFERROR(__xludf.DUMMYFUNCTION("""COMPUTED_VALUE"""),"Pack")</f>
        <v>Pack</v>
      </c>
      <c r="H620" s="6" t="str">
        <f>IFERROR(__xludf.DUMMYFUNCTION("""COMPUTED_VALUE"""),"IDR")</f>
        <v>IDR</v>
      </c>
      <c r="I620" s="11">
        <f>IFERROR(__xludf.DUMMYFUNCTION("""COMPUTED_VALUE"""),29700.0)</f>
        <v>29700</v>
      </c>
      <c r="J620" s="11">
        <f>IFERROR(__xludf.DUMMYFUNCTION("""COMPUTED_VALUE"""),1188000.0)</f>
        <v>1188000</v>
      </c>
      <c r="K620" s="13">
        <f>IFERROR(__xludf.DUMMYFUNCTION("""COMPUTED_VALUE"""),43448.0)</f>
        <v>43448</v>
      </c>
      <c r="L620" s="6" t="str">
        <f>IFERROR(__xludf.DUMMYFUNCTION("""COMPUTED_VALUE"""),"FIP Engineering")</f>
        <v>FIP Engineering</v>
      </c>
      <c r="M620" s="6" t="str">
        <f>IFERROR(__xludf.DUMMYFUNCTION("""COMPUTED_VALUE"""),"Irwan Sopian")</f>
        <v>Irwan Sopian</v>
      </c>
      <c r="N620" s="6" t="str">
        <f>IFERROR(__xludf.DUMMYFUNCTION("""COMPUTED_VALUE"""),"FIP Engineering")</f>
        <v>FIP Engineering</v>
      </c>
      <c r="O620" s="6" t="str">
        <f>IFERROR(__xludf.DUMMYFUNCTION("""COMPUTED_VALUE"""),"FIP-DOM-000-11304-OS00001-INA-000000")</f>
        <v>FIP-DOM-000-11304-OS00001-INA-000000</v>
      </c>
      <c r="P620" s="6" t="str">
        <f>IFERROR(__xludf.DUMMYFUNCTION("""COMPUTED_VALUE"""),"PO Closed")</f>
        <v>PO Closed</v>
      </c>
      <c r="Q620" s="6" t="str">
        <f>IFERROR(__xludf.DUMMYFUNCTION("""COMPUTED_VALUE"""),"GL1811073")</f>
        <v>GL1811073</v>
      </c>
      <c r="R620" s="16">
        <f>IFERROR(__xludf.DUMMYFUNCTION("""COMPUTED_VALUE"""),43430.0)</f>
        <v>43430</v>
      </c>
      <c r="S620" s="6" t="str">
        <f>IFERROR(__xludf.DUMMYFUNCTION("""COMPUTED_VALUE"""),"-")</f>
        <v>-</v>
      </c>
      <c r="T620" s="17">
        <f>IFERROR(__xludf.DUMMYFUNCTION("""COMPUTED_VALUE"""),43440.0)</f>
        <v>43440</v>
      </c>
    </row>
    <row r="621">
      <c r="A621" s="6" t="str">
        <f>IFERROR(__xludf.DUMMYFUNCTION("""COMPUTED_VALUE"""),"181750451-2")</f>
        <v>181750451-2</v>
      </c>
      <c r="B621" s="6" t="str">
        <f>IFERROR(__xludf.DUMMYFUNCTION("""COMPUTED_VALUE"""),"181750451 - Approved")</f>
        <v>181750451 - Approved</v>
      </c>
      <c r="C621" s="6">
        <f>IFERROR(__xludf.DUMMYFUNCTION("""COMPUTED_VALUE"""),2.0)</f>
        <v>2</v>
      </c>
      <c r="D621" s="6" t="str">
        <f>IFERROR(__xludf.DUMMYFUNCTION("""COMPUTED_VALUE"""),"Q-10249-00")</f>
        <v>Q-10249-00</v>
      </c>
      <c r="E621" s="6" t="str">
        <f>IFERROR(__xludf.DUMMYFUNCTION("""COMPUTED_VALUE"""),"Lem Power Glue; ; ;")</f>
        <v>Lem Power Glue; ; ;</v>
      </c>
      <c r="F621" s="6">
        <f>IFERROR(__xludf.DUMMYFUNCTION("""COMPUTED_VALUE"""),10.0)</f>
        <v>10</v>
      </c>
      <c r="G621" s="6" t="str">
        <f>IFERROR(__xludf.DUMMYFUNCTION("""COMPUTED_VALUE"""),"Pieces")</f>
        <v>Pieces</v>
      </c>
      <c r="H621" s="6" t="str">
        <f>IFERROR(__xludf.DUMMYFUNCTION("""COMPUTED_VALUE"""),"IDR")</f>
        <v>IDR</v>
      </c>
      <c r="I621" s="11">
        <f>IFERROR(__xludf.DUMMYFUNCTION("""COMPUTED_VALUE"""),4050.0)</f>
        <v>4050</v>
      </c>
      <c r="J621" s="11">
        <f>IFERROR(__xludf.DUMMYFUNCTION("""COMPUTED_VALUE"""),40500.0)</f>
        <v>40500</v>
      </c>
      <c r="K621" s="13">
        <f>IFERROR(__xludf.DUMMYFUNCTION("""COMPUTED_VALUE"""),43448.0)</f>
        <v>43448</v>
      </c>
      <c r="L621" s="6" t="str">
        <f>IFERROR(__xludf.DUMMYFUNCTION("""COMPUTED_VALUE"""),"FIP Engineering")</f>
        <v>FIP Engineering</v>
      </c>
      <c r="M621" s="6" t="str">
        <f>IFERROR(__xludf.DUMMYFUNCTION("""COMPUTED_VALUE"""),"Irwan Sopian")</f>
        <v>Irwan Sopian</v>
      </c>
      <c r="N621" s="6" t="str">
        <f>IFERROR(__xludf.DUMMYFUNCTION("""COMPUTED_VALUE"""),"FIP Engineering")</f>
        <v>FIP Engineering</v>
      </c>
      <c r="O621" s="6" t="str">
        <f>IFERROR(__xludf.DUMMYFUNCTION("""COMPUTED_VALUE"""),"FIP-DOM-000-11304-OS00001-INA-000000")</f>
        <v>FIP-DOM-000-11304-OS00001-INA-000000</v>
      </c>
      <c r="P621" s="6" t="str">
        <f>IFERROR(__xludf.DUMMYFUNCTION("""COMPUTED_VALUE"""),"PO Closed")</f>
        <v>PO Closed</v>
      </c>
      <c r="Q621" s="6" t="str">
        <f>IFERROR(__xludf.DUMMYFUNCTION("""COMPUTED_VALUE"""),"GL1811073")</f>
        <v>GL1811073</v>
      </c>
      <c r="R621" s="16">
        <f>IFERROR(__xludf.DUMMYFUNCTION("""COMPUTED_VALUE"""),43430.0)</f>
        <v>43430</v>
      </c>
      <c r="S621" s="6" t="str">
        <f>IFERROR(__xludf.DUMMYFUNCTION("""COMPUTED_VALUE"""),"-")</f>
        <v>-</v>
      </c>
      <c r="T621" s="13">
        <f>IFERROR(__xludf.DUMMYFUNCTION("""COMPUTED_VALUE"""),43440.0)</f>
        <v>43440</v>
      </c>
    </row>
    <row r="622">
      <c r="A622" s="6" t="str">
        <f>IFERROR(__xludf.DUMMYFUNCTION("""COMPUTED_VALUE"""),"181750471-1")</f>
        <v>181750471-1</v>
      </c>
      <c r="B622" s="6" t="str">
        <f>IFERROR(__xludf.DUMMYFUNCTION("""COMPUTED_VALUE"""),"181750471 - Approved")</f>
        <v>181750471 - Approved</v>
      </c>
      <c r="C622" s="6">
        <f>IFERROR(__xludf.DUMMYFUNCTION("""COMPUTED_VALUE"""),1.0)</f>
        <v>1</v>
      </c>
      <c r="D622" s="6" t="str">
        <f>IFERROR(__xludf.DUMMYFUNCTION("""COMPUTED_VALUE"""),"P-10763-00")</f>
        <v>P-10763-00</v>
      </c>
      <c r="E622" s="6" t="str">
        <f>IFERROR(__xludf.DUMMYFUNCTION("""COMPUTED_VALUE"""),"Ferrule 1"" SS 316L")</f>
        <v>Ferrule 1" SS 316L</v>
      </c>
      <c r="F622" s="6">
        <f>IFERROR(__xludf.DUMMYFUNCTION("""COMPUTED_VALUE"""),2.0)</f>
        <v>2</v>
      </c>
      <c r="G622" s="6" t="str">
        <f>IFERROR(__xludf.DUMMYFUNCTION("""COMPUTED_VALUE"""),"Pieces")</f>
        <v>Pieces</v>
      </c>
      <c r="H622" s="6" t="str">
        <f>IFERROR(__xludf.DUMMYFUNCTION("""COMPUTED_VALUE"""),"IDR")</f>
        <v>IDR</v>
      </c>
      <c r="I622" s="11">
        <f>IFERROR(__xludf.DUMMYFUNCTION("""COMPUTED_VALUE"""),330000.0)</f>
        <v>330000</v>
      </c>
      <c r="J622" s="11">
        <f>IFERROR(__xludf.DUMMYFUNCTION("""COMPUTED_VALUE"""),660000.0)</f>
        <v>660000</v>
      </c>
      <c r="K622" s="13">
        <f>IFERROR(__xludf.DUMMYFUNCTION("""COMPUTED_VALUE"""),43483.0)</f>
        <v>43483</v>
      </c>
      <c r="L622" s="6" t="str">
        <f>IFERROR(__xludf.DUMMYFUNCTION("""COMPUTED_VALUE"""),"FIP Engineering")</f>
        <v>FIP Engineering</v>
      </c>
      <c r="M622" s="6" t="str">
        <f>IFERROR(__xludf.DUMMYFUNCTION("""COMPUTED_VALUE"""),"Irwan Sopian")</f>
        <v>Irwan Sopian</v>
      </c>
      <c r="N622" s="6" t="str">
        <f>IFERROR(__xludf.DUMMYFUNCTION("""COMPUTED_VALUE"""),"FIP Engineering")</f>
        <v>FIP Engineering</v>
      </c>
      <c r="O622" s="6" t="str">
        <f>IFERROR(__xludf.DUMMYFUNCTION("""COMPUTED_VALUE"""),"FIP-DOM-000-11304-OS00001-INA-000000")</f>
        <v>FIP-DOM-000-11304-OS00001-INA-000000</v>
      </c>
      <c r="P622" s="6" t="str">
        <f>IFERROR(__xludf.DUMMYFUNCTION("""COMPUTED_VALUE"""),"PO Closed")</f>
        <v>PO Closed</v>
      </c>
      <c r="Q622" s="6" t="str">
        <f>IFERROR(__xludf.DUMMYFUNCTION("""COMPUTED_VALUE"""),"GL1901007")</f>
        <v>GL1901007</v>
      </c>
      <c r="R622" s="16">
        <f>IFERROR(__xludf.DUMMYFUNCTION("""COMPUTED_VALUE"""),43439.0)</f>
        <v>43439</v>
      </c>
      <c r="S622" s="6" t="str">
        <f>IFERROR(__xludf.DUMMYFUNCTION("""COMPUTED_VALUE"""),"-")</f>
        <v>-</v>
      </c>
      <c r="T622" s="17">
        <f>IFERROR(__xludf.DUMMYFUNCTION("""COMPUTED_VALUE"""),43489.0)</f>
        <v>43489</v>
      </c>
    </row>
    <row r="623">
      <c r="A623" s="6" t="str">
        <f>IFERROR(__xludf.DUMMYFUNCTION("""COMPUTED_VALUE"""),"181750471-2")</f>
        <v>181750471-2</v>
      </c>
      <c r="B623" s="6" t="str">
        <f>IFERROR(__xludf.DUMMYFUNCTION("""COMPUTED_VALUE"""),"181750471 - Approved")</f>
        <v>181750471 - Approved</v>
      </c>
      <c r="C623" s="6">
        <f>IFERROR(__xludf.DUMMYFUNCTION("""COMPUTED_VALUE"""),2.0)</f>
        <v>2</v>
      </c>
      <c r="D623" s="6" t="str">
        <f>IFERROR(__xludf.DUMMYFUNCTION("""COMPUTED_VALUE"""),"P-11841-00")</f>
        <v>P-11841-00</v>
      </c>
      <c r="E623" s="6" t="str">
        <f>IFERROR(__xludf.DUMMYFUNCTION("""COMPUTED_VALUE"""),"Ball Valve SS dia. 3/4 inch")</f>
        <v>Ball Valve SS dia. 3/4 inch</v>
      </c>
      <c r="F623" s="6">
        <f>IFERROR(__xludf.DUMMYFUNCTION("""COMPUTED_VALUE"""),1.0)</f>
        <v>1</v>
      </c>
      <c r="G623" s="6" t="str">
        <f>IFERROR(__xludf.DUMMYFUNCTION("""COMPUTED_VALUE"""),"Pieces")</f>
        <v>Pieces</v>
      </c>
      <c r="H623" s="6" t="str">
        <f>IFERROR(__xludf.DUMMYFUNCTION("""COMPUTED_VALUE"""),"IDR")</f>
        <v>IDR</v>
      </c>
      <c r="I623" s="11">
        <f>IFERROR(__xludf.DUMMYFUNCTION("""COMPUTED_VALUE"""),490000.0)</f>
        <v>490000</v>
      </c>
      <c r="J623" s="11">
        <f>IFERROR(__xludf.DUMMYFUNCTION("""COMPUTED_VALUE"""),490000.0)</f>
        <v>490000</v>
      </c>
      <c r="K623" s="13">
        <f>IFERROR(__xludf.DUMMYFUNCTION("""COMPUTED_VALUE"""),43483.0)</f>
        <v>43483</v>
      </c>
      <c r="L623" s="6" t="str">
        <f>IFERROR(__xludf.DUMMYFUNCTION("""COMPUTED_VALUE"""),"FIP Engineering")</f>
        <v>FIP Engineering</v>
      </c>
      <c r="M623" s="6" t="str">
        <f>IFERROR(__xludf.DUMMYFUNCTION("""COMPUTED_VALUE"""),"Irwan Sopian")</f>
        <v>Irwan Sopian</v>
      </c>
      <c r="N623" s="6" t="str">
        <f>IFERROR(__xludf.DUMMYFUNCTION("""COMPUTED_VALUE"""),"FIP Engineering")</f>
        <v>FIP Engineering</v>
      </c>
      <c r="O623" s="6" t="str">
        <f>IFERROR(__xludf.DUMMYFUNCTION("""COMPUTED_VALUE"""),"FIP-DOM-000-11304-OS00001-INA-000000")</f>
        <v>FIP-DOM-000-11304-OS00001-INA-000000</v>
      </c>
      <c r="P623" s="6" t="str">
        <f>IFERROR(__xludf.DUMMYFUNCTION("""COMPUTED_VALUE"""),"PO Closed")</f>
        <v>PO Closed</v>
      </c>
      <c r="Q623" s="6" t="str">
        <f>IFERROR(__xludf.DUMMYFUNCTION("""COMPUTED_VALUE"""),"GL1901007")</f>
        <v>GL1901007</v>
      </c>
      <c r="R623" s="16">
        <f>IFERROR(__xludf.DUMMYFUNCTION("""COMPUTED_VALUE"""),43439.0)</f>
        <v>43439</v>
      </c>
      <c r="S623" s="6" t="str">
        <f>IFERROR(__xludf.DUMMYFUNCTION("""COMPUTED_VALUE"""),"-")</f>
        <v>-</v>
      </c>
      <c r="T623" s="17">
        <f>IFERROR(__xludf.DUMMYFUNCTION("""COMPUTED_VALUE"""),43489.0)</f>
        <v>43489</v>
      </c>
    </row>
    <row r="624">
      <c r="A624" s="6" t="str">
        <f>IFERROR(__xludf.DUMMYFUNCTION("""COMPUTED_VALUE"""),"181750479-1")</f>
        <v>181750479-1</v>
      </c>
      <c r="B624" s="6" t="str">
        <f>IFERROR(__xludf.DUMMYFUNCTION("""COMPUTED_VALUE"""),"181750479 - Approved")</f>
        <v>181750479 - Approved</v>
      </c>
      <c r="C624" s="6">
        <f>IFERROR(__xludf.DUMMYFUNCTION("""COMPUTED_VALUE"""),1.0)</f>
        <v>1</v>
      </c>
      <c r="D624" s="6" t="str">
        <f>IFERROR(__xludf.DUMMYFUNCTION("""COMPUTED_VALUE"""),"O-14594-00")</f>
        <v>O-14594-00</v>
      </c>
      <c r="E624" s="6" t="str">
        <f>IFERROR(__xludf.DUMMYFUNCTION("""COMPUTED_VALUE"""),"Kit, membrane ozone 6510; ; ;")</f>
        <v>Kit, membrane ozone 6510; ; ;</v>
      </c>
      <c r="F624" s="6">
        <f>IFERROR(__xludf.DUMMYFUNCTION("""COMPUTED_VALUE"""),1.0)</f>
        <v>1</v>
      </c>
      <c r="G624" s="6" t="str">
        <f>IFERROR(__xludf.DUMMYFUNCTION("""COMPUTED_VALUE"""),"Unit")</f>
        <v>Unit</v>
      </c>
      <c r="H624" s="6" t="str">
        <f>IFERROR(__xludf.DUMMYFUNCTION("""COMPUTED_VALUE"""),"IDR")</f>
        <v>IDR</v>
      </c>
      <c r="I624" s="11">
        <f>IFERROR(__xludf.DUMMYFUNCTION("""COMPUTED_VALUE"""),1.032365E7)</f>
        <v>10323650</v>
      </c>
      <c r="J624" s="11">
        <f>IFERROR(__xludf.DUMMYFUNCTION("""COMPUTED_VALUE"""),1.032365E7)</f>
        <v>10323650</v>
      </c>
      <c r="K624" s="13">
        <f>IFERROR(__xludf.DUMMYFUNCTION("""COMPUTED_VALUE"""),43469.0)</f>
        <v>43469</v>
      </c>
      <c r="L624" s="6" t="str">
        <f>IFERROR(__xludf.DUMMYFUNCTION("""COMPUTED_VALUE"""),"FIP Engineering")</f>
        <v>FIP Engineering</v>
      </c>
      <c r="M624" s="6" t="str">
        <f>IFERROR(__xludf.DUMMYFUNCTION("""COMPUTED_VALUE"""),"Irwan Sopian")</f>
        <v>Irwan Sopian</v>
      </c>
      <c r="N624" s="6" t="str">
        <f>IFERROR(__xludf.DUMMYFUNCTION("""COMPUTED_VALUE"""),"FIP Engineering")</f>
        <v>FIP Engineering</v>
      </c>
      <c r="O624" s="6" t="str">
        <f>IFERROR(__xludf.DUMMYFUNCTION("""COMPUTED_VALUE"""),"FIP-DOM-000-11304-OS00001-INA-000000")</f>
        <v>FIP-DOM-000-11304-OS00001-INA-000000</v>
      </c>
      <c r="P624" s="6" t="str">
        <f>IFERROR(__xludf.DUMMYFUNCTION("""COMPUTED_VALUE"""),"PO Closed")</f>
        <v>PO Closed</v>
      </c>
      <c r="Q624" s="6" t="str">
        <f>IFERROR(__xludf.DUMMYFUNCTION("""COMPUTED_VALUE"""),"GL1812028")</f>
        <v>GL1812028</v>
      </c>
      <c r="R624" s="16">
        <f>IFERROR(__xludf.DUMMYFUNCTION("""COMPUTED_VALUE"""),43440.0)</f>
        <v>43440</v>
      </c>
      <c r="S624" s="6" t="str">
        <f>IFERROR(__xludf.DUMMYFUNCTION("""COMPUTED_VALUE"""),"-")</f>
        <v>-</v>
      </c>
      <c r="T624" s="13">
        <f>IFERROR(__xludf.DUMMYFUNCTION("""COMPUTED_VALUE"""),43531.0)</f>
        <v>43531</v>
      </c>
    </row>
    <row r="625">
      <c r="A625" s="6" t="str">
        <f>IFERROR(__xludf.DUMMYFUNCTION("""COMPUTED_VALUE"""),"181750474-1")</f>
        <v>181750474-1</v>
      </c>
      <c r="B625" s="6" t="str">
        <f>IFERROR(__xludf.DUMMYFUNCTION("""COMPUTED_VALUE"""),"181750474 - Approved")</f>
        <v>181750474 - Approved</v>
      </c>
      <c r="C625" s="6">
        <f>IFERROR(__xludf.DUMMYFUNCTION("""COMPUTED_VALUE"""),1.0)</f>
        <v>1</v>
      </c>
      <c r="D625" s="6" t="str">
        <f>IFERROR(__xludf.DUMMYFUNCTION("""COMPUTED_VALUE"""),"O-16321-00")</f>
        <v>O-16321-00</v>
      </c>
      <c r="E625" s="6" t="str">
        <f>IFERROR(__xludf.DUMMYFUNCTION("""COMPUTED_VALUE"""),"SED - 2/2 Way Diaphragm Valve Metal Aseptic p/n:207.15.7.545.51.125.SF1")</f>
        <v>SED - 2/2 Way Diaphragm Valve Metal Aseptic p/n:207.15.7.545.51.125.SF1</v>
      </c>
      <c r="F625" s="6">
        <f>IFERROR(__xludf.DUMMYFUNCTION("""COMPUTED_VALUE"""),1.0)</f>
        <v>1</v>
      </c>
      <c r="G625" s="6" t="str">
        <f>IFERROR(__xludf.DUMMYFUNCTION("""COMPUTED_VALUE"""),"Pieces")</f>
        <v>Pieces</v>
      </c>
      <c r="H625" s="6" t="str">
        <f>IFERROR(__xludf.DUMMYFUNCTION("""COMPUTED_VALUE"""),"IDR")</f>
        <v>IDR</v>
      </c>
      <c r="I625" s="11">
        <f>IFERROR(__xludf.DUMMYFUNCTION("""COMPUTED_VALUE"""),5142500.0)</f>
        <v>5142500</v>
      </c>
      <c r="J625" s="11">
        <f>IFERROR(__xludf.DUMMYFUNCTION("""COMPUTED_VALUE"""),5142500.0)</f>
        <v>5142500</v>
      </c>
      <c r="K625" s="13">
        <f>IFERROR(__xludf.DUMMYFUNCTION("""COMPUTED_VALUE"""),43585.0)</f>
        <v>43585</v>
      </c>
      <c r="L625" s="6" t="str">
        <f>IFERROR(__xludf.DUMMYFUNCTION("""COMPUTED_VALUE"""),"FIP Engineering")</f>
        <v>FIP Engineering</v>
      </c>
      <c r="M625" s="6" t="str">
        <f>IFERROR(__xludf.DUMMYFUNCTION("""COMPUTED_VALUE"""),"Irwan Sopian")</f>
        <v>Irwan Sopian</v>
      </c>
      <c r="N625" s="6" t="str">
        <f>IFERROR(__xludf.DUMMYFUNCTION("""COMPUTED_VALUE"""),"FIP Engineering")</f>
        <v>FIP Engineering</v>
      </c>
      <c r="O625" s="6" t="str">
        <f>IFERROR(__xludf.DUMMYFUNCTION("""COMPUTED_VALUE"""),"FIP-DOM-000-11304-OS00001-INA-000000")</f>
        <v>FIP-DOM-000-11304-OS00001-INA-000000</v>
      </c>
      <c r="P625" s="6" t="str">
        <f>IFERROR(__xludf.DUMMYFUNCTION("""COMPUTED_VALUE"""),"PO Closed")</f>
        <v>PO Closed</v>
      </c>
      <c r="Q625" s="6" t="str">
        <f>IFERROR(__xludf.DUMMYFUNCTION("""COMPUTED_VALUE"""),"GL1904016")</f>
        <v>GL1904016</v>
      </c>
      <c r="R625" s="16">
        <f>IFERROR(__xludf.DUMMYFUNCTION("""COMPUTED_VALUE"""),43440.0)</f>
        <v>43440</v>
      </c>
      <c r="S625" s="6" t="str">
        <f>IFERROR(__xludf.DUMMYFUNCTION("""COMPUTED_VALUE"""),"-")</f>
        <v>-</v>
      </c>
      <c r="T625" s="13">
        <f>IFERROR(__xludf.DUMMYFUNCTION("""COMPUTED_VALUE"""),43657.0)</f>
        <v>43657</v>
      </c>
    </row>
    <row r="626">
      <c r="A626" s="6" t="str">
        <f>IFERROR(__xludf.DUMMYFUNCTION("""COMPUTED_VALUE"""),"181750474-2")</f>
        <v>181750474-2</v>
      </c>
      <c r="B626" s="6" t="str">
        <f>IFERROR(__xludf.DUMMYFUNCTION("""COMPUTED_VALUE"""),"181750474 - Approved")</f>
        <v>181750474 - Approved</v>
      </c>
      <c r="C626" s="6">
        <f>IFERROR(__xludf.DUMMYFUNCTION("""COMPUTED_VALUE"""),2.0)</f>
        <v>2</v>
      </c>
      <c r="D626" s="6" t="str">
        <f>IFERROR(__xludf.DUMMYFUNCTION("""COMPUTED_VALUE"""),"O-16319-00")</f>
        <v>O-16319-00</v>
      </c>
      <c r="E626" s="6" t="str">
        <f>IFERROR(__xludf.DUMMYFUNCTION("""COMPUTED_VALUE"""),"SED - Stroke-Seal Adjuster and Manual Override p/n:024.14.025")</f>
        <v>SED - Stroke-Seal Adjuster and Manual Override p/n:024.14.025</v>
      </c>
      <c r="F626" s="6">
        <f>IFERROR(__xludf.DUMMYFUNCTION("""COMPUTED_VALUE"""),1.0)</f>
        <v>1</v>
      </c>
      <c r="G626" s="6" t="str">
        <f>IFERROR(__xludf.DUMMYFUNCTION("""COMPUTED_VALUE"""),"Pieces")</f>
        <v>Pieces</v>
      </c>
      <c r="H626" s="6" t="str">
        <f>IFERROR(__xludf.DUMMYFUNCTION("""COMPUTED_VALUE"""),"IDR")</f>
        <v>IDR</v>
      </c>
      <c r="I626" s="11">
        <f>IFERROR(__xludf.DUMMYFUNCTION("""COMPUTED_VALUE"""),1827500.0)</f>
        <v>1827500</v>
      </c>
      <c r="J626" s="11">
        <f>IFERROR(__xludf.DUMMYFUNCTION("""COMPUTED_VALUE"""),1827500.0)</f>
        <v>1827500</v>
      </c>
      <c r="K626" s="13">
        <f>IFERROR(__xludf.DUMMYFUNCTION("""COMPUTED_VALUE"""),43585.0)</f>
        <v>43585</v>
      </c>
      <c r="L626" s="6" t="str">
        <f>IFERROR(__xludf.DUMMYFUNCTION("""COMPUTED_VALUE"""),"FIP Engineering")</f>
        <v>FIP Engineering</v>
      </c>
      <c r="M626" s="6" t="str">
        <f>IFERROR(__xludf.DUMMYFUNCTION("""COMPUTED_VALUE"""),"Irwan Sopian")</f>
        <v>Irwan Sopian</v>
      </c>
      <c r="N626" s="6" t="str">
        <f>IFERROR(__xludf.DUMMYFUNCTION("""COMPUTED_VALUE"""),"FIP Engineering")</f>
        <v>FIP Engineering</v>
      </c>
      <c r="O626" s="6" t="str">
        <f>IFERROR(__xludf.DUMMYFUNCTION("""COMPUTED_VALUE"""),"FIP-DOM-000-11304-OS00001-INA-000000")</f>
        <v>FIP-DOM-000-11304-OS00001-INA-000000</v>
      </c>
      <c r="P626" s="6" t="str">
        <f>IFERROR(__xludf.DUMMYFUNCTION("""COMPUTED_VALUE"""),"PO Closed")</f>
        <v>PO Closed</v>
      </c>
      <c r="Q626" s="6" t="str">
        <f>IFERROR(__xludf.DUMMYFUNCTION("""COMPUTED_VALUE"""),"GL1904016")</f>
        <v>GL1904016</v>
      </c>
      <c r="R626" s="16">
        <f>IFERROR(__xludf.DUMMYFUNCTION("""COMPUTED_VALUE"""),43440.0)</f>
        <v>43440</v>
      </c>
      <c r="S626" s="6" t="str">
        <f>IFERROR(__xludf.DUMMYFUNCTION("""COMPUTED_VALUE"""),"-")</f>
        <v>-</v>
      </c>
      <c r="T626" s="13">
        <f>IFERROR(__xludf.DUMMYFUNCTION("""COMPUTED_VALUE"""),43657.0)</f>
        <v>43657</v>
      </c>
    </row>
    <row r="627">
      <c r="A627" s="6" t="str">
        <f>IFERROR(__xludf.DUMMYFUNCTION("""COMPUTED_VALUE"""),"181750474-3")</f>
        <v>181750474-3</v>
      </c>
      <c r="B627" s="6" t="str">
        <f>IFERROR(__xludf.DUMMYFUNCTION("""COMPUTED_VALUE"""),"181750474 - Approved")</f>
        <v>181750474 - Approved</v>
      </c>
      <c r="C627" s="6">
        <f>IFERROR(__xludf.DUMMYFUNCTION("""COMPUTED_VALUE"""),3.0)</f>
        <v>3</v>
      </c>
      <c r="D627" s="6" t="str">
        <f>IFERROR(__xludf.DUMMYFUNCTION("""COMPUTED_VALUE"""),"O-16318-00")</f>
        <v>O-16318-00</v>
      </c>
      <c r="E627" s="6" t="str">
        <f>IFERROR(__xludf.DUMMYFUNCTION("""COMPUTED_VALUE"""),"SED - Diaphragm spare MA8 EPDM/PTFE 00210.190.051.V")</f>
        <v>SED - Diaphragm spare MA8 EPDM/PTFE 00210.190.051.V</v>
      </c>
      <c r="F627" s="6">
        <f>IFERROR(__xludf.DUMMYFUNCTION("""COMPUTED_VALUE"""),1.0)</f>
        <v>1</v>
      </c>
      <c r="G627" s="6" t="str">
        <f>IFERROR(__xludf.DUMMYFUNCTION("""COMPUTED_VALUE"""),"Pieces")</f>
        <v>Pieces</v>
      </c>
      <c r="H627" s="6" t="str">
        <f>IFERROR(__xludf.DUMMYFUNCTION("""COMPUTED_VALUE"""),"IDR")</f>
        <v>IDR</v>
      </c>
      <c r="I627" s="11">
        <f>IFERROR(__xludf.DUMMYFUNCTION("""COMPUTED_VALUE"""),446250.0)</f>
        <v>446250</v>
      </c>
      <c r="J627" s="11">
        <f>IFERROR(__xludf.DUMMYFUNCTION("""COMPUTED_VALUE"""),446250.0)</f>
        <v>446250</v>
      </c>
      <c r="K627" s="13">
        <f>IFERROR(__xludf.DUMMYFUNCTION("""COMPUTED_VALUE"""),43585.0)</f>
        <v>43585</v>
      </c>
      <c r="L627" s="6" t="str">
        <f>IFERROR(__xludf.DUMMYFUNCTION("""COMPUTED_VALUE"""),"FIP Engineering")</f>
        <v>FIP Engineering</v>
      </c>
      <c r="M627" s="6" t="str">
        <f>IFERROR(__xludf.DUMMYFUNCTION("""COMPUTED_VALUE"""),"Irwan Sopian")</f>
        <v>Irwan Sopian</v>
      </c>
      <c r="N627" s="6" t="str">
        <f>IFERROR(__xludf.DUMMYFUNCTION("""COMPUTED_VALUE"""),"FIP Engineering")</f>
        <v>FIP Engineering</v>
      </c>
      <c r="O627" s="6" t="str">
        <f>IFERROR(__xludf.DUMMYFUNCTION("""COMPUTED_VALUE"""),"FIP-DOM-000-11304-OS00001-INA-000000")</f>
        <v>FIP-DOM-000-11304-OS00001-INA-000000</v>
      </c>
      <c r="P627" s="6" t="str">
        <f>IFERROR(__xludf.DUMMYFUNCTION("""COMPUTED_VALUE"""),"PO Closed")</f>
        <v>PO Closed</v>
      </c>
      <c r="Q627" s="6" t="str">
        <f>IFERROR(__xludf.DUMMYFUNCTION("""COMPUTED_VALUE"""),"GL1904016")</f>
        <v>GL1904016</v>
      </c>
      <c r="R627" s="16">
        <f>IFERROR(__xludf.DUMMYFUNCTION("""COMPUTED_VALUE"""),43440.0)</f>
        <v>43440</v>
      </c>
      <c r="S627" s="6" t="str">
        <f>IFERROR(__xludf.DUMMYFUNCTION("""COMPUTED_VALUE"""),"-")</f>
        <v>-</v>
      </c>
      <c r="T627" s="17">
        <f>IFERROR(__xludf.DUMMYFUNCTION("""COMPUTED_VALUE"""),43657.0)</f>
        <v>43657</v>
      </c>
    </row>
    <row r="628">
      <c r="A628" s="6" t="str">
        <f>IFERROR(__xludf.DUMMYFUNCTION("""COMPUTED_VALUE"""),"181750473-1")</f>
        <v>181750473-1</v>
      </c>
      <c r="B628" s="6" t="str">
        <f>IFERROR(__xludf.DUMMYFUNCTION("""COMPUTED_VALUE"""),"181750473 - Approved")</f>
        <v>181750473 - Approved</v>
      </c>
      <c r="C628" s="6">
        <f>IFERROR(__xludf.DUMMYFUNCTION("""COMPUTED_VALUE"""),1.0)</f>
        <v>1</v>
      </c>
      <c r="D628" s="6" t="str">
        <f>IFERROR(__xludf.DUMMYFUNCTION("""COMPUTED_VALUE"""),"O-51965-00")</f>
        <v>O-51965-00</v>
      </c>
      <c r="E628" s="6" t="str">
        <f>IFERROR(__xludf.DUMMYFUNCTION("""COMPUTED_VALUE"""),"IMA CLU EK2046 - Module MOXA IO Logic-E1214 p/n:6822921")</f>
        <v>IMA CLU EK2046 - Module MOXA IO Logic-E1214 p/n:6822921</v>
      </c>
      <c r="F628" s="6">
        <f>IFERROR(__xludf.DUMMYFUNCTION("""COMPUTED_VALUE"""),2.0)</f>
        <v>2</v>
      </c>
      <c r="G628" s="6" t="str">
        <f>IFERROR(__xludf.DUMMYFUNCTION("""COMPUTED_VALUE"""),"Pieces")</f>
        <v>Pieces</v>
      </c>
      <c r="H628" s="6" t="str">
        <f>IFERROR(__xludf.DUMMYFUNCTION("""COMPUTED_VALUE"""),"EUR")</f>
        <v>EUR</v>
      </c>
      <c r="I628" s="11">
        <f>IFERROR(__xludf.DUMMYFUNCTION("""COMPUTED_VALUE"""),340.94)</f>
        <v>340.94</v>
      </c>
      <c r="J628" s="11">
        <f>IFERROR(__xludf.DUMMYFUNCTION("""COMPUTED_VALUE"""),681.88)</f>
        <v>681.88</v>
      </c>
      <c r="K628" s="13">
        <f>IFERROR(__xludf.DUMMYFUNCTION("""COMPUTED_VALUE"""),43490.0)</f>
        <v>43490</v>
      </c>
      <c r="L628" s="6" t="str">
        <f>IFERROR(__xludf.DUMMYFUNCTION("""COMPUTED_VALUE"""),"FIP Engineering")</f>
        <v>FIP Engineering</v>
      </c>
      <c r="M628" s="6" t="str">
        <f>IFERROR(__xludf.DUMMYFUNCTION("""COMPUTED_VALUE"""),"Irwan Sopian")</f>
        <v>Irwan Sopian</v>
      </c>
      <c r="N628" s="6" t="str">
        <f>IFERROR(__xludf.DUMMYFUNCTION("""COMPUTED_VALUE"""),"FIP Engineering")</f>
        <v>FIP Engineering</v>
      </c>
      <c r="O628" s="6" t="str">
        <f>IFERROR(__xludf.DUMMYFUNCTION("""COMPUTED_VALUE"""),"FIP-DOM-000-11304-OS00001-INA-000000")</f>
        <v>FIP-DOM-000-11304-OS00001-INA-000000</v>
      </c>
      <c r="P628" s="6" t="str">
        <f>IFERROR(__xludf.DUMMYFUNCTION("""COMPUTED_VALUE"""),"PO Closed")</f>
        <v>PO Closed</v>
      </c>
      <c r="Q628" s="6" t="str">
        <f>IFERROR(__xludf.DUMMYFUNCTION("""COMPUTED_VALUE"""),"GL1812024")</f>
        <v>GL1812024</v>
      </c>
      <c r="R628" s="16">
        <f>IFERROR(__xludf.DUMMYFUNCTION("""COMPUTED_VALUE"""),43440.0)</f>
        <v>43440</v>
      </c>
      <c r="S628" s="6" t="str">
        <f>IFERROR(__xludf.DUMMYFUNCTION("""COMPUTED_VALUE"""),"-")</f>
        <v>-</v>
      </c>
      <c r="T628" s="13">
        <f>IFERROR(__xludf.DUMMYFUNCTION("""COMPUTED_VALUE"""),43514.0)</f>
        <v>43514</v>
      </c>
    </row>
    <row r="629">
      <c r="A629" s="6" t="str">
        <f>IFERROR(__xludf.DUMMYFUNCTION("""COMPUTED_VALUE"""),"181750472-1")</f>
        <v>181750472-1</v>
      </c>
      <c r="B629" s="6" t="str">
        <f>IFERROR(__xludf.DUMMYFUNCTION("""COMPUTED_VALUE"""),"181750472 - Approved")</f>
        <v>181750472 - Approved</v>
      </c>
      <c r="C629" s="6">
        <f>IFERROR(__xludf.DUMMYFUNCTION("""COMPUTED_VALUE"""),1.0)</f>
        <v>1</v>
      </c>
      <c r="D629" s="6" t="str">
        <f>IFERROR(__xludf.DUMMYFUNCTION("""COMPUTED_VALUE"""),"O-51946-00")</f>
        <v>O-51946-00</v>
      </c>
      <c r="E629" s="6" t="str">
        <f>IFERROR(__xludf.DUMMYFUNCTION("""COMPUTED_VALUE"""),"Pressure Sensor Autonics Model PSAN-V01CPV-RC1/8 1unit")</f>
        <v>Pressure Sensor Autonics Model PSAN-V01CPV-RC1/8 1unit</v>
      </c>
      <c r="F629" s="6">
        <f>IFERROR(__xludf.DUMMYFUNCTION("""COMPUTED_VALUE"""),1.0)</f>
        <v>1</v>
      </c>
      <c r="G629" s="6" t="str">
        <f>IFERROR(__xludf.DUMMYFUNCTION("""COMPUTED_VALUE"""),"Pieces")</f>
        <v>Pieces</v>
      </c>
      <c r="H629" s="6" t="str">
        <f>IFERROR(__xludf.DUMMYFUNCTION("""COMPUTED_VALUE"""),"IDR")</f>
        <v>IDR</v>
      </c>
      <c r="I629" s="11">
        <f>IFERROR(__xludf.DUMMYFUNCTION("""COMPUTED_VALUE"""),742000.0)</f>
        <v>742000</v>
      </c>
      <c r="J629" s="11">
        <f>IFERROR(__xludf.DUMMYFUNCTION("""COMPUTED_VALUE"""),742000.0)</f>
        <v>742000</v>
      </c>
      <c r="K629" s="13">
        <f>IFERROR(__xludf.DUMMYFUNCTION("""COMPUTED_VALUE"""),43472.0)</f>
        <v>43472</v>
      </c>
      <c r="L629" s="6" t="str">
        <f>IFERROR(__xludf.DUMMYFUNCTION("""COMPUTED_VALUE"""),"FIP Engineering")</f>
        <v>FIP Engineering</v>
      </c>
      <c r="M629" s="6" t="str">
        <f>IFERROR(__xludf.DUMMYFUNCTION("""COMPUTED_VALUE"""),"Irwan Sopian")</f>
        <v>Irwan Sopian</v>
      </c>
      <c r="N629" s="6" t="str">
        <f>IFERROR(__xludf.DUMMYFUNCTION("""COMPUTED_VALUE"""),"FIP Engineering")</f>
        <v>FIP Engineering</v>
      </c>
      <c r="O629" s="6" t="str">
        <f>IFERROR(__xludf.DUMMYFUNCTION("""COMPUTED_VALUE"""),"FIP-DOM-000-11304-OS00001-INA-000000")</f>
        <v>FIP-DOM-000-11304-OS00001-INA-000000</v>
      </c>
      <c r="P629" s="6" t="str">
        <f>IFERROR(__xludf.DUMMYFUNCTION("""COMPUTED_VALUE"""),"PO Closed")</f>
        <v>PO Closed</v>
      </c>
      <c r="Q629" s="6" t="str">
        <f>IFERROR(__xludf.DUMMYFUNCTION("""COMPUTED_VALUE"""),"GL1812017")</f>
        <v>GL1812017</v>
      </c>
      <c r="R629" s="16">
        <f>IFERROR(__xludf.DUMMYFUNCTION("""COMPUTED_VALUE"""),43440.0)</f>
        <v>43440</v>
      </c>
      <c r="S629" s="6" t="str">
        <f>IFERROR(__xludf.DUMMYFUNCTION("""COMPUTED_VALUE"""),"-")</f>
        <v>-</v>
      </c>
      <c r="T629" s="13">
        <f>IFERROR(__xludf.DUMMYFUNCTION("""COMPUTED_VALUE"""),43475.0)</f>
        <v>43475</v>
      </c>
    </row>
    <row r="630">
      <c r="A630" s="6" t="str">
        <f>IFERROR(__xludf.DUMMYFUNCTION("""COMPUTED_VALUE"""),"181750472-2")</f>
        <v>181750472-2</v>
      </c>
      <c r="B630" s="6" t="str">
        <f>IFERROR(__xludf.DUMMYFUNCTION("""COMPUTED_VALUE"""),"181750472 - Approved")</f>
        <v>181750472 - Approved</v>
      </c>
      <c r="C630" s="6">
        <f>IFERROR(__xludf.DUMMYFUNCTION("""COMPUTED_VALUE"""),2.0)</f>
        <v>2</v>
      </c>
      <c r="D630" s="6" t="str">
        <f>IFERROR(__xludf.DUMMYFUNCTION("""COMPUTED_VALUE"""),"P-51840-00")</f>
        <v>P-51840-00</v>
      </c>
      <c r="E630" s="6" t="str">
        <f>IFERROR(__xludf.DUMMYFUNCTION("""COMPUTED_VALUE"""),"Button Box 3 hole dia 22 mm")</f>
        <v>Button Box 3 hole dia 22 mm</v>
      </c>
      <c r="F630" s="6">
        <f>IFERROR(__xludf.DUMMYFUNCTION("""COMPUTED_VALUE"""),2.0)</f>
        <v>2</v>
      </c>
      <c r="G630" s="6" t="str">
        <f>IFERROR(__xludf.DUMMYFUNCTION("""COMPUTED_VALUE"""),"Pieces")</f>
        <v>Pieces</v>
      </c>
      <c r="H630" s="6" t="str">
        <f>IFERROR(__xludf.DUMMYFUNCTION("""COMPUTED_VALUE"""),"IDR")</f>
        <v>IDR</v>
      </c>
      <c r="I630" s="11">
        <f>IFERROR(__xludf.DUMMYFUNCTION("""COMPUTED_VALUE"""),30000.0)</f>
        <v>30000</v>
      </c>
      <c r="J630" s="11">
        <f>IFERROR(__xludf.DUMMYFUNCTION("""COMPUTED_VALUE"""),60000.0)</f>
        <v>60000</v>
      </c>
      <c r="K630" s="13">
        <f>IFERROR(__xludf.DUMMYFUNCTION("""COMPUTED_VALUE"""),43472.0)</f>
        <v>43472</v>
      </c>
      <c r="L630" s="6" t="str">
        <f>IFERROR(__xludf.DUMMYFUNCTION("""COMPUTED_VALUE"""),"FIP Engineering")</f>
        <v>FIP Engineering</v>
      </c>
      <c r="M630" s="6" t="str">
        <f>IFERROR(__xludf.DUMMYFUNCTION("""COMPUTED_VALUE"""),"Irwan Sopian")</f>
        <v>Irwan Sopian</v>
      </c>
      <c r="N630" s="6" t="str">
        <f>IFERROR(__xludf.DUMMYFUNCTION("""COMPUTED_VALUE"""),"FIP Engineering")</f>
        <v>FIP Engineering</v>
      </c>
      <c r="O630" s="6" t="str">
        <f>IFERROR(__xludf.DUMMYFUNCTION("""COMPUTED_VALUE"""),"FIP-DOM-000-11304-OS00001-INA-000000")</f>
        <v>FIP-DOM-000-11304-OS00001-INA-000000</v>
      </c>
      <c r="P630" s="6" t="str">
        <f>IFERROR(__xludf.DUMMYFUNCTION("""COMPUTED_VALUE"""),"PO Closed")</f>
        <v>PO Closed</v>
      </c>
      <c r="Q630" s="6" t="str">
        <f>IFERROR(__xludf.DUMMYFUNCTION("""COMPUTED_VALUE"""),"GL1812015")</f>
        <v>GL1812015</v>
      </c>
      <c r="R630" s="16">
        <f>IFERROR(__xludf.DUMMYFUNCTION("""COMPUTED_VALUE"""),43440.0)</f>
        <v>43440</v>
      </c>
      <c r="S630" s="6" t="str">
        <f>IFERROR(__xludf.DUMMYFUNCTION("""COMPUTED_VALUE"""),"-")</f>
        <v>-</v>
      </c>
      <c r="T630" s="13">
        <f>IFERROR(__xludf.DUMMYFUNCTION("""COMPUTED_VALUE"""),43454.0)</f>
        <v>43454</v>
      </c>
    </row>
    <row r="631">
      <c r="A631" s="6" t="str">
        <f>IFERROR(__xludf.DUMMYFUNCTION("""COMPUTED_VALUE"""),"181750472-3")</f>
        <v>181750472-3</v>
      </c>
      <c r="B631" s="6" t="str">
        <f>IFERROR(__xludf.DUMMYFUNCTION("""COMPUTED_VALUE"""),"181750472 - Approved")</f>
        <v>181750472 - Approved</v>
      </c>
      <c r="C631" s="6">
        <f>IFERROR(__xludf.DUMMYFUNCTION("""COMPUTED_VALUE"""),3.0)</f>
        <v>3</v>
      </c>
      <c r="D631" s="6" t="str">
        <f>IFERROR(__xludf.DUMMYFUNCTION("""COMPUTED_VALUE"""),"O-51967-00")</f>
        <v>O-51967-00</v>
      </c>
      <c r="E631" s="6" t="str">
        <f>IFERROR(__xludf.DUMMYFUNCTION("""COMPUTED_VALUE"""),"Solid State Relay 3-32 VDC - 330 VAC 25 A")</f>
        <v>Solid State Relay 3-32 VDC - 330 VAC 25 A</v>
      </c>
      <c r="F631" s="6">
        <f>IFERROR(__xludf.DUMMYFUNCTION("""COMPUTED_VALUE"""),3.0)</f>
        <v>3</v>
      </c>
      <c r="G631" s="6" t="str">
        <f>IFERROR(__xludf.DUMMYFUNCTION("""COMPUTED_VALUE"""),"Pieces")</f>
        <v>Pieces</v>
      </c>
      <c r="H631" s="6" t="str">
        <f>IFERROR(__xludf.DUMMYFUNCTION("""COMPUTED_VALUE"""),"IDR")</f>
        <v>IDR</v>
      </c>
      <c r="I631" s="11">
        <f>IFERROR(__xludf.DUMMYFUNCTION("""COMPUTED_VALUE"""),230000.0)</f>
        <v>230000</v>
      </c>
      <c r="J631" s="11">
        <f>IFERROR(__xludf.DUMMYFUNCTION("""COMPUTED_VALUE"""),690000.0)</f>
        <v>690000</v>
      </c>
      <c r="K631" s="13">
        <f>IFERROR(__xludf.DUMMYFUNCTION("""COMPUTED_VALUE"""),43472.0)</f>
        <v>43472</v>
      </c>
      <c r="L631" s="6" t="str">
        <f>IFERROR(__xludf.DUMMYFUNCTION("""COMPUTED_VALUE"""),"FIP Engineering")</f>
        <v>FIP Engineering</v>
      </c>
      <c r="M631" s="6" t="str">
        <f>IFERROR(__xludf.DUMMYFUNCTION("""COMPUTED_VALUE"""),"Irwan Sopian")</f>
        <v>Irwan Sopian</v>
      </c>
      <c r="N631" s="6" t="str">
        <f>IFERROR(__xludf.DUMMYFUNCTION("""COMPUTED_VALUE"""),"FIP Engineering")</f>
        <v>FIP Engineering</v>
      </c>
      <c r="O631" s="6" t="str">
        <f>IFERROR(__xludf.DUMMYFUNCTION("""COMPUTED_VALUE"""),"FIP-DOM-000-11304-OS00001-INA-000000")</f>
        <v>FIP-DOM-000-11304-OS00001-INA-000000</v>
      </c>
      <c r="P631" s="6" t="str">
        <f>IFERROR(__xludf.DUMMYFUNCTION("""COMPUTED_VALUE"""),"PO Closed")</f>
        <v>PO Closed</v>
      </c>
      <c r="Q631" s="6" t="str">
        <f>IFERROR(__xludf.DUMMYFUNCTION("""COMPUTED_VALUE"""),"GL1812015")</f>
        <v>GL1812015</v>
      </c>
      <c r="R631" s="16">
        <f>IFERROR(__xludf.DUMMYFUNCTION("""COMPUTED_VALUE"""),43440.0)</f>
        <v>43440</v>
      </c>
      <c r="S631" s="6" t="str">
        <f>IFERROR(__xludf.DUMMYFUNCTION("""COMPUTED_VALUE"""),"-")</f>
        <v>-</v>
      </c>
      <c r="T631" s="13">
        <f>IFERROR(__xludf.DUMMYFUNCTION("""COMPUTED_VALUE"""),43454.0)</f>
        <v>43454</v>
      </c>
    </row>
    <row r="632">
      <c r="A632" s="6" t="str">
        <f>IFERROR(__xludf.DUMMYFUNCTION("""COMPUTED_VALUE"""),"181750471-3")</f>
        <v>181750471-3</v>
      </c>
      <c r="B632" s="6" t="str">
        <f>IFERROR(__xludf.DUMMYFUNCTION("""COMPUTED_VALUE"""),"181750471 - Approved")</f>
        <v>181750471 - Approved</v>
      </c>
      <c r="C632" s="6">
        <f>IFERROR(__xludf.DUMMYFUNCTION("""COMPUTED_VALUE"""),3.0)</f>
        <v>3</v>
      </c>
      <c r="D632" s="6" t="str">
        <f>IFERROR(__xludf.DUMMYFUNCTION("""COMPUTED_VALUE"""),"P-11350-00")</f>
        <v>P-11350-00</v>
      </c>
      <c r="E632" s="6" t="str">
        <f>IFERROR(__xludf.DUMMYFUNCTION("""COMPUTED_VALUE"""),"Roda Caster Supo Dia : 4"" ( 100 x 38 mm ) Swivel Flange / Without Breake")</f>
        <v>Roda Caster Supo Dia : 4" ( 100 x 38 mm ) Swivel Flange / Without Breake</v>
      </c>
      <c r="F632" s="6">
        <f>IFERROR(__xludf.DUMMYFUNCTION("""COMPUTED_VALUE"""),1.0)</f>
        <v>1</v>
      </c>
      <c r="G632" s="6" t="str">
        <f>IFERROR(__xludf.DUMMYFUNCTION("""COMPUTED_VALUE"""),"Set")</f>
        <v>Set</v>
      </c>
      <c r="H632" s="6" t="str">
        <f>IFERROR(__xludf.DUMMYFUNCTION("""COMPUTED_VALUE"""),"IDR")</f>
        <v>IDR</v>
      </c>
      <c r="I632" s="11">
        <f>IFERROR(__xludf.DUMMYFUNCTION("""COMPUTED_VALUE"""),375000.0)</f>
        <v>375000</v>
      </c>
      <c r="J632" s="11">
        <f>IFERROR(__xludf.DUMMYFUNCTION("""COMPUTED_VALUE"""),375000.0)</f>
        <v>375000</v>
      </c>
      <c r="K632" s="13">
        <f>IFERROR(__xludf.DUMMYFUNCTION("""COMPUTED_VALUE"""),43483.0)</f>
        <v>43483</v>
      </c>
      <c r="L632" s="6" t="str">
        <f>IFERROR(__xludf.DUMMYFUNCTION("""COMPUTED_VALUE"""),"FIP Engineering")</f>
        <v>FIP Engineering</v>
      </c>
      <c r="M632" s="6" t="str">
        <f>IFERROR(__xludf.DUMMYFUNCTION("""COMPUTED_VALUE"""),"Irwan Sopian")</f>
        <v>Irwan Sopian</v>
      </c>
      <c r="N632" s="6" t="str">
        <f>IFERROR(__xludf.DUMMYFUNCTION("""COMPUTED_VALUE"""),"FIP Engineering")</f>
        <v>FIP Engineering</v>
      </c>
      <c r="O632" s="6" t="str">
        <f>IFERROR(__xludf.DUMMYFUNCTION("""COMPUTED_VALUE"""),"FIP-DOM-000-11304-OS00001-INA-000000")</f>
        <v>FIP-DOM-000-11304-OS00001-INA-000000</v>
      </c>
      <c r="P632" s="6" t="str">
        <f>IFERROR(__xludf.DUMMYFUNCTION("""COMPUTED_VALUE"""),"PO Closed")</f>
        <v>PO Closed</v>
      </c>
      <c r="Q632" s="6" t="str">
        <f>IFERROR(__xludf.DUMMYFUNCTION("""COMPUTED_VALUE"""),"GL1901007")</f>
        <v>GL1901007</v>
      </c>
      <c r="R632" s="16">
        <f>IFERROR(__xludf.DUMMYFUNCTION("""COMPUTED_VALUE"""),43440.0)</f>
        <v>43440</v>
      </c>
      <c r="S632" s="6" t="str">
        <f>IFERROR(__xludf.DUMMYFUNCTION("""COMPUTED_VALUE"""),"-")</f>
        <v>-</v>
      </c>
      <c r="T632" s="13">
        <f>IFERROR(__xludf.DUMMYFUNCTION("""COMPUTED_VALUE"""),43489.0)</f>
        <v>43489</v>
      </c>
    </row>
    <row r="633">
      <c r="A633" s="6" t="str">
        <f>IFERROR(__xludf.DUMMYFUNCTION("""COMPUTED_VALUE"""),"181750471-4")</f>
        <v>181750471-4</v>
      </c>
      <c r="B633" s="6" t="str">
        <f>IFERROR(__xludf.DUMMYFUNCTION("""COMPUTED_VALUE"""),"181750471 - Approved")</f>
        <v>181750471 - Approved</v>
      </c>
      <c r="C633" s="6">
        <f>IFERROR(__xludf.DUMMYFUNCTION("""COMPUTED_VALUE"""),4.0)</f>
        <v>4</v>
      </c>
      <c r="D633" s="6" t="str">
        <f>IFERROR(__xludf.DUMMYFUNCTION("""COMPUTED_VALUE"""),"P-13240-00")</f>
        <v>P-13240-00</v>
      </c>
      <c r="E633" s="6" t="str">
        <f>IFERROR(__xludf.DUMMYFUNCTION("""COMPUTED_VALUE"""),"Elbow SS 304 welded dia 3/4inch")</f>
        <v>Elbow SS 304 welded dia 3/4inch</v>
      </c>
      <c r="F633" s="6">
        <f>IFERROR(__xludf.DUMMYFUNCTION("""COMPUTED_VALUE"""),4.0)</f>
        <v>4</v>
      </c>
      <c r="G633" s="6" t="str">
        <f>IFERROR(__xludf.DUMMYFUNCTION("""COMPUTED_VALUE"""),"Pieces")</f>
        <v>Pieces</v>
      </c>
      <c r="H633" s="6" t="str">
        <f>IFERROR(__xludf.DUMMYFUNCTION("""COMPUTED_VALUE"""),"IDR")</f>
        <v>IDR</v>
      </c>
      <c r="I633" s="11">
        <f>IFERROR(__xludf.DUMMYFUNCTION("""COMPUTED_VALUE"""),40000.0)</f>
        <v>40000</v>
      </c>
      <c r="J633" s="11">
        <f>IFERROR(__xludf.DUMMYFUNCTION("""COMPUTED_VALUE"""),160000.0)</f>
        <v>160000</v>
      </c>
      <c r="K633" s="13">
        <f>IFERROR(__xludf.DUMMYFUNCTION("""COMPUTED_VALUE"""),43483.0)</f>
        <v>43483</v>
      </c>
      <c r="L633" s="6" t="str">
        <f>IFERROR(__xludf.DUMMYFUNCTION("""COMPUTED_VALUE"""),"FIP Engineering")</f>
        <v>FIP Engineering</v>
      </c>
      <c r="M633" s="6" t="str">
        <f>IFERROR(__xludf.DUMMYFUNCTION("""COMPUTED_VALUE"""),"Irwan Sopian")</f>
        <v>Irwan Sopian</v>
      </c>
      <c r="N633" s="6" t="str">
        <f>IFERROR(__xludf.DUMMYFUNCTION("""COMPUTED_VALUE"""),"FIP Engineering")</f>
        <v>FIP Engineering</v>
      </c>
      <c r="O633" s="6" t="str">
        <f>IFERROR(__xludf.DUMMYFUNCTION("""COMPUTED_VALUE"""),"FIP-DOM-000-11304-OS00001-INA-000000")</f>
        <v>FIP-DOM-000-11304-OS00001-INA-000000</v>
      </c>
      <c r="P633" s="6" t="str">
        <f>IFERROR(__xludf.DUMMYFUNCTION("""COMPUTED_VALUE"""),"PO Closed")</f>
        <v>PO Closed</v>
      </c>
      <c r="Q633" s="6" t="str">
        <f>IFERROR(__xludf.DUMMYFUNCTION("""COMPUTED_VALUE"""),"GL1901007")</f>
        <v>GL1901007</v>
      </c>
      <c r="R633" s="16">
        <f>IFERROR(__xludf.DUMMYFUNCTION("""COMPUTED_VALUE"""),43440.0)</f>
        <v>43440</v>
      </c>
      <c r="S633" s="6" t="str">
        <f>IFERROR(__xludf.DUMMYFUNCTION("""COMPUTED_VALUE"""),"-")</f>
        <v>-</v>
      </c>
      <c r="T633" s="13">
        <f>IFERROR(__xludf.DUMMYFUNCTION("""COMPUTED_VALUE"""),43489.0)</f>
        <v>43489</v>
      </c>
    </row>
    <row r="634">
      <c r="A634" s="6" t="str">
        <f>IFERROR(__xludf.DUMMYFUNCTION("""COMPUTED_VALUE"""),"181750471-6")</f>
        <v>181750471-6</v>
      </c>
      <c r="B634" s="6" t="str">
        <f>IFERROR(__xludf.DUMMYFUNCTION("""COMPUTED_VALUE"""),"181750471 - Approved")</f>
        <v>181750471 - Approved</v>
      </c>
      <c r="C634" s="6">
        <f>IFERROR(__xludf.DUMMYFUNCTION("""COMPUTED_VALUE"""),6.0)</f>
        <v>6</v>
      </c>
      <c r="D634" s="6" t="str">
        <f>IFERROR(__xludf.DUMMYFUNCTION("""COMPUTED_VALUE"""),"P-51027-00")</f>
        <v>P-51027-00</v>
      </c>
      <c r="E634" s="6" t="str">
        <f>IFERROR(__xludf.DUMMYFUNCTION("""COMPUTED_VALUE"""),"Isolasi Kabel SCOTCH super 33 size: 19 mmx20x0.177 mm ( vinyl electric tape ) Black 3M")</f>
        <v>Isolasi Kabel SCOTCH super 33 size: 19 mmx20x0.177 mm ( vinyl electric tape ) Black 3M</v>
      </c>
      <c r="F634" s="6">
        <f>IFERROR(__xludf.DUMMYFUNCTION("""COMPUTED_VALUE"""),5.0)</f>
        <v>5</v>
      </c>
      <c r="G634" s="6" t="str">
        <f>IFERROR(__xludf.DUMMYFUNCTION("""COMPUTED_VALUE"""),"Pieces")</f>
        <v>Pieces</v>
      </c>
      <c r="H634" s="6" t="str">
        <f>IFERROR(__xludf.DUMMYFUNCTION("""COMPUTED_VALUE"""),"IDR")</f>
        <v>IDR</v>
      </c>
      <c r="I634" s="11">
        <f>IFERROR(__xludf.DUMMYFUNCTION("""COMPUTED_VALUE"""),53000.0)</f>
        <v>53000</v>
      </c>
      <c r="J634" s="11">
        <f>IFERROR(__xludf.DUMMYFUNCTION("""COMPUTED_VALUE"""),265000.0)</f>
        <v>265000</v>
      </c>
      <c r="K634" s="13">
        <f>IFERROR(__xludf.DUMMYFUNCTION("""COMPUTED_VALUE"""),43483.0)</f>
        <v>43483</v>
      </c>
      <c r="L634" s="6" t="str">
        <f>IFERROR(__xludf.DUMMYFUNCTION("""COMPUTED_VALUE"""),"FIP Engineering")</f>
        <v>FIP Engineering</v>
      </c>
      <c r="M634" s="6" t="str">
        <f>IFERROR(__xludf.DUMMYFUNCTION("""COMPUTED_VALUE"""),"Irwan Sopian")</f>
        <v>Irwan Sopian</v>
      </c>
      <c r="N634" s="6" t="str">
        <f>IFERROR(__xludf.DUMMYFUNCTION("""COMPUTED_VALUE"""),"FIP Engineering")</f>
        <v>FIP Engineering</v>
      </c>
      <c r="O634" s="6" t="str">
        <f>IFERROR(__xludf.DUMMYFUNCTION("""COMPUTED_VALUE"""),"FIP-DOM-000-11304-OS00001-INA-000000")</f>
        <v>FIP-DOM-000-11304-OS00001-INA-000000</v>
      </c>
      <c r="P634" s="6" t="str">
        <f>IFERROR(__xludf.DUMMYFUNCTION("""COMPUTED_VALUE"""),"PO Closed")</f>
        <v>PO Closed</v>
      </c>
      <c r="Q634" s="6" t="str">
        <f>IFERROR(__xludf.DUMMYFUNCTION("""COMPUTED_VALUE"""),"GL1901007")</f>
        <v>GL1901007</v>
      </c>
      <c r="R634" s="16">
        <f>IFERROR(__xludf.DUMMYFUNCTION("""COMPUTED_VALUE"""),43440.0)</f>
        <v>43440</v>
      </c>
      <c r="S634" s="6" t="str">
        <f>IFERROR(__xludf.DUMMYFUNCTION("""COMPUTED_VALUE"""),"-")</f>
        <v>-</v>
      </c>
      <c r="T634" s="17">
        <f>IFERROR(__xludf.DUMMYFUNCTION("""COMPUTED_VALUE"""),43489.0)</f>
        <v>43489</v>
      </c>
    </row>
    <row r="635">
      <c r="A635" s="6" t="str">
        <f>IFERROR(__xludf.DUMMYFUNCTION("""COMPUTED_VALUE"""),"181750482-1")</f>
        <v>181750482-1</v>
      </c>
      <c r="B635" s="6" t="str">
        <f>IFERROR(__xludf.DUMMYFUNCTION("""COMPUTED_VALUE"""),"181750482 - Approved")</f>
        <v>181750482 - Approved</v>
      </c>
      <c r="C635" s="6">
        <f>IFERROR(__xludf.DUMMYFUNCTION("""COMPUTED_VALUE"""),1.0)</f>
        <v>1</v>
      </c>
      <c r="D635" s="6" t="str">
        <f>IFERROR(__xludf.DUMMYFUNCTION("""COMPUTED_VALUE"""),"O-51966-00")</f>
        <v>O-51966-00</v>
      </c>
      <c r="E635" s="6" t="str">
        <f>IFERROR(__xludf.DUMMYFUNCTION("""COMPUTED_VALUE"""),"Memory Card Compact Flash 16GB")</f>
        <v>Memory Card Compact Flash 16GB</v>
      </c>
      <c r="F635" s="6">
        <f>IFERROR(__xludf.DUMMYFUNCTION("""COMPUTED_VALUE"""),16.0)</f>
        <v>16</v>
      </c>
      <c r="G635" s="6" t="str">
        <f>IFERROR(__xludf.DUMMYFUNCTION("""COMPUTED_VALUE"""),"Pieces")</f>
        <v>Pieces</v>
      </c>
      <c r="H635" s="6" t="str">
        <f>IFERROR(__xludf.DUMMYFUNCTION("""COMPUTED_VALUE"""),"IDR")</f>
        <v>IDR</v>
      </c>
      <c r="I635" s="11">
        <f>IFERROR(__xludf.DUMMYFUNCTION("""COMPUTED_VALUE"""),13750.0)</f>
        <v>13750</v>
      </c>
      <c r="J635" s="11">
        <f>IFERROR(__xludf.DUMMYFUNCTION("""COMPUTED_VALUE"""),220000.0)</f>
        <v>220000</v>
      </c>
      <c r="K635" s="13">
        <f>IFERROR(__xludf.DUMMYFUNCTION("""COMPUTED_VALUE"""),43469.0)</f>
        <v>43469</v>
      </c>
      <c r="L635" s="6" t="str">
        <f>IFERROR(__xludf.DUMMYFUNCTION("""COMPUTED_VALUE"""),"FIP Engineering")</f>
        <v>FIP Engineering</v>
      </c>
      <c r="M635" s="6" t="str">
        <f>IFERROR(__xludf.DUMMYFUNCTION("""COMPUTED_VALUE"""),"Irwan Sopian")</f>
        <v>Irwan Sopian</v>
      </c>
      <c r="N635" s="6" t="str">
        <f>IFERROR(__xludf.DUMMYFUNCTION("""COMPUTED_VALUE"""),"FPP ENG CIKARANG")</f>
        <v>FPP ENG CIKARANG</v>
      </c>
      <c r="O635" s="6" t="str">
        <f>IFERROR(__xludf.DUMMYFUNCTION("""COMPUTED_VALUE"""),"FIP-DOM-000-11304-OS00001-INA-000000")</f>
        <v>FIP-DOM-000-11304-OS00001-INA-000000</v>
      </c>
      <c r="P635" s="6" t="str">
        <f>IFERROR(__xludf.DUMMYFUNCTION("""COMPUTED_VALUE"""),"PO Closed")</f>
        <v>PO Closed</v>
      </c>
      <c r="Q635" s="6" t="str">
        <f>IFERROR(__xludf.DUMMYFUNCTION("""COMPUTED_VALUE"""),"GL1812008")</f>
        <v>GL1812008</v>
      </c>
      <c r="R635" s="17">
        <f>IFERROR(__xludf.DUMMYFUNCTION("""COMPUTED_VALUE"""),43441.0)</f>
        <v>43441</v>
      </c>
      <c r="S635" s="6" t="str">
        <f>IFERROR(__xludf.DUMMYFUNCTION("""COMPUTED_VALUE"""),"-")</f>
        <v>-</v>
      </c>
      <c r="T635" s="17">
        <f>IFERROR(__xludf.DUMMYFUNCTION("""COMPUTED_VALUE"""),43448.0)</f>
        <v>43448</v>
      </c>
    </row>
    <row r="636">
      <c r="A636" s="6" t="str">
        <f>IFERROR(__xludf.DUMMYFUNCTION("""COMPUTED_VALUE"""),"181750482-2")</f>
        <v>181750482-2</v>
      </c>
      <c r="B636" s="6" t="str">
        <f>IFERROR(__xludf.DUMMYFUNCTION("""COMPUTED_VALUE"""),"181750482 - Approved")</f>
        <v>181750482 - Approved</v>
      </c>
      <c r="C636" s="6">
        <f>IFERROR(__xludf.DUMMYFUNCTION("""COMPUTED_VALUE"""),2.0)</f>
        <v>2</v>
      </c>
      <c r="D636" s="6" t="str">
        <f>IFERROR(__xludf.DUMMYFUNCTION("""COMPUTED_VALUE"""),"S-60002-00")</f>
        <v>S-60002-00</v>
      </c>
      <c r="E636" s="6" t="str">
        <f>IFERROR(__xludf.DUMMYFUNCTION("""COMPUTED_VALUE"""),"Ongkir Grab - Same Day")</f>
        <v>Ongkir Grab - Same Day</v>
      </c>
      <c r="F636" s="6">
        <f>IFERROR(__xludf.DUMMYFUNCTION("""COMPUTED_VALUE"""),1.0)</f>
        <v>1</v>
      </c>
      <c r="G636" s="6" t="str">
        <f>IFERROR(__xludf.DUMMYFUNCTION("""COMPUTED_VALUE"""),"Lot")</f>
        <v>Lot</v>
      </c>
      <c r="H636" s="6" t="str">
        <f>IFERROR(__xludf.DUMMYFUNCTION("""COMPUTED_VALUE"""),"IDR")</f>
        <v>IDR</v>
      </c>
      <c r="I636" s="11">
        <f>IFERROR(__xludf.DUMMYFUNCTION("""COMPUTED_VALUE"""),19440.0)</f>
        <v>19440</v>
      </c>
      <c r="J636" s="11">
        <f>IFERROR(__xludf.DUMMYFUNCTION("""COMPUTED_VALUE"""),19440.0)</f>
        <v>19440</v>
      </c>
      <c r="K636" s="13">
        <f>IFERROR(__xludf.DUMMYFUNCTION("""COMPUTED_VALUE"""),43469.0)</f>
        <v>43469</v>
      </c>
      <c r="L636" s="6" t="str">
        <f>IFERROR(__xludf.DUMMYFUNCTION("""COMPUTED_VALUE"""),"FIP General")</f>
        <v>FIP General</v>
      </c>
      <c r="M636" s="6" t="str">
        <f>IFERROR(__xludf.DUMMYFUNCTION("""COMPUTED_VALUE"""),"Irwan Sopian")</f>
        <v>Irwan Sopian</v>
      </c>
      <c r="N636" s="6" t="str">
        <f>IFERROR(__xludf.DUMMYFUNCTION("""COMPUTED_VALUE"""),"FPP ENG CIKARANG")</f>
        <v>FPP ENG CIKARANG</v>
      </c>
      <c r="O636" s="6" t="str">
        <f>IFERROR(__xludf.DUMMYFUNCTION("""COMPUTED_VALUE"""),"FIP-DOM-ENG-51508-0000000-INA-000000")</f>
        <v>FIP-DOM-ENG-51508-0000000-INA-000000</v>
      </c>
      <c r="P636" s="6" t="str">
        <f>IFERROR(__xludf.DUMMYFUNCTION("""COMPUTED_VALUE"""),"PO Closed")</f>
        <v>PO Closed</v>
      </c>
      <c r="Q636" s="6" t="str">
        <f>IFERROR(__xludf.DUMMYFUNCTION("""COMPUTED_VALUE"""),"GL1812008")</f>
        <v>GL1812008</v>
      </c>
      <c r="R636" s="16">
        <f>IFERROR(__xludf.DUMMYFUNCTION("""COMPUTED_VALUE"""),43441.0)</f>
        <v>43441</v>
      </c>
      <c r="S636" s="6" t="str">
        <f>IFERROR(__xludf.DUMMYFUNCTION("""COMPUTED_VALUE"""),"-")</f>
        <v>-</v>
      </c>
      <c r="T636" s="13">
        <f>IFERROR(__xludf.DUMMYFUNCTION("""COMPUTED_VALUE"""),43448.0)</f>
        <v>43448</v>
      </c>
    </row>
    <row r="637">
      <c r="A637" s="6" t="str">
        <f>IFERROR(__xludf.DUMMYFUNCTION("""COMPUTED_VALUE"""),"181750482-3")</f>
        <v>181750482-3</v>
      </c>
      <c r="B637" s="6" t="str">
        <f>IFERROR(__xludf.DUMMYFUNCTION("""COMPUTED_VALUE"""),"181750482 - Approved")</f>
        <v>181750482 - Approved</v>
      </c>
      <c r="C637" s="6">
        <f>IFERROR(__xludf.DUMMYFUNCTION("""COMPUTED_VALUE"""),3.0)</f>
        <v>3</v>
      </c>
      <c r="D637" s="6" t="str">
        <f>IFERROR(__xludf.DUMMYFUNCTION("""COMPUTED_VALUE"""),"P-51842-00")</f>
        <v>P-51842-00</v>
      </c>
      <c r="E637" s="6" t="str">
        <f>IFERROR(__xludf.DUMMYFUNCTION("""COMPUTED_VALUE"""),"Lampu Pemanas/Heating Lamp Mesin Laminating")</f>
        <v>Lampu Pemanas/Heating Lamp Mesin Laminating</v>
      </c>
      <c r="F637" s="6">
        <f>IFERROR(__xludf.DUMMYFUNCTION("""COMPUTED_VALUE"""),1.0)</f>
        <v>1</v>
      </c>
      <c r="G637" s="6" t="str">
        <f>IFERROR(__xludf.DUMMYFUNCTION("""COMPUTED_VALUE"""),"Pieces")</f>
        <v>Pieces</v>
      </c>
      <c r="H637" s="6" t="str">
        <f>IFERROR(__xludf.DUMMYFUNCTION("""COMPUTED_VALUE"""),"IDR")</f>
        <v>IDR</v>
      </c>
      <c r="I637" s="11">
        <f>IFERROR(__xludf.DUMMYFUNCTION("""COMPUTED_VALUE"""),150000.0)</f>
        <v>150000</v>
      </c>
      <c r="J637" s="11">
        <f>IFERROR(__xludf.DUMMYFUNCTION("""COMPUTED_VALUE"""),150000.0)</f>
        <v>150000</v>
      </c>
      <c r="K637" s="13">
        <f>IFERROR(__xludf.DUMMYFUNCTION("""COMPUTED_VALUE"""),43469.0)</f>
        <v>43469</v>
      </c>
      <c r="L637" s="6" t="str">
        <f>IFERROR(__xludf.DUMMYFUNCTION("""COMPUTED_VALUE"""),"FIP Engineering")</f>
        <v>FIP Engineering</v>
      </c>
      <c r="M637" s="6" t="str">
        <f>IFERROR(__xludf.DUMMYFUNCTION("""COMPUTED_VALUE"""),"Irwan Sopian")</f>
        <v>Irwan Sopian</v>
      </c>
      <c r="N637" s="6" t="str">
        <f>IFERROR(__xludf.DUMMYFUNCTION("""COMPUTED_VALUE"""),"FPP ENG CIKARANG")</f>
        <v>FPP ENG CIKARANG</v>
      </c>
      <c r="O637" s="6" t="str">
        <f>IFERROR(__xludf.DUMMYFUNCTION("""COMPUTED_VALUE"""),"FIP-DOM-000-11304-OS00001-INA-000000")</f>
        <v>FIP-DOM-000-11304-OS00001-INA-000000</v>
      </c>
      <c r="P637" s="6" t="str">
        <f>IFERROR(__xludf.DUMMYFUNCTION("""COMPUTED_VALUE"""),"PO Closed")</f>
        <v>PO Closed</v>
      </c>
      <c r="Q637" s="6" t="str">
        <f>IFERROR(__xludf.DUMMYFUNCTION("""COMPUTED_VALUE"""),"GL1812007")</f>
        <v>GL1812007</v>
      </c>
      <c r="R637" s="16">
        <f>IFERROR(__xludf.DUMMYFUNCTION("""COMPUTED_VALUE"""),43441.0)</f>
        <v>43441</v>
      </c>
      <c r="S637" s="6" t="str">
        <f>IFERROR(__xludf.DUMMYFUNCTION("""COMPUTED_VALUE"""),"-")</f>
        <v>-</v>
      </c>
      <c r="T637" s="13">
        <f>IFERROR(__xludf.DUMMYFUNCTION("""COMPUTED_VALUE"""),43448.0)</f>
        <v>43448</v>
      </c>
    </row>
    <row r="638">
      <c r="A638" s="6" t="str">
        <f>IFERROR(__xludf.DUMMYFUNCTION("""COMPUTED_VALUE"""),"181750481-1")</f>
        <v>181750481-1</v>
      </c>
      <c r="B638" s="6" t="str">
        <f>IFERROR(__xludf.DUMMYFUNCTION("""COMPUTED_VALUE"""),"181750481 - Approved")</f>
        <v>181750481 - Approved</v>
      </c>
      <c r="C638" s="6">
        <f>IFERROR(__xludf.DUMMYFUNCTION("""COMPUTED_VALUE"""),1.0)</f>
        <v>1</v>
      </c>
      <c r="D638" s="6" t="str">
        <f>IFERROR(__xludf.DUMMYFUNCTION("""COMPUTED_VALUE"""),"P-51841-00")</f>
        <v>P-51841-00</v>
      </c>
      <c r="E638" s="6" t="str">
        <f>IFERROR(__xludf.DUMMYFUNCTION("""COMPUTED_VALUE"""),"Power Supply LED Rainproof 250W/12VDC")</f>
        <v>Power Supply LED Rainproof 250W/12VDC</v>
      </c>
      <c r="F638" s="6">
        <f>IFERROR(__xludf.DUMMYFUNCTION("""COMPUTED_VALUE"""),2.0)</f>
        <v>2</v>
      </c>
      <c r="G638" s="6" t="str">
        <f>IFERROR(__xludf.DUMMYFUNCTION("""COMPUTED_VALUE"""),"Pieces")</f>
        <v>Pieces</v>
      </c>
      <c r="H638" s="6" t="str">
        <f>IFERROR(__xludf.DUMMYFUNCTION("""COMPUTED_VALUE"""),"IDR")</f>
        <v>IDR</v>
      </c>
      <c r="I638" s="11">
        <f>IFERROR(__xludf.DUMMYFUNCTION("""COMPUTED_VALUE"""),500000.0)</f>
        <v>500000</v>
      </c>
      <c r="J638" s="11">
        <f>IFERROR(__xludf.DUMMYFUNCTION("""COMPUTED_VALUE"""),1000000.0)</f>
        <v>1000000</v>
      </c>
      <c r="K638" s="13">
        <f>IFERROR(__xludf.DUMMYFUNCTION("""COMPUTED_VALUE"""),43469.0)</f>
        <v>43469</v>
      </c>
      <c r="L638" s="6" t="str">
        <f>IFERROR(__xludf.DUMMYFUNCTION("""COMPUTED_VALUE"""),"FIP Engineering")</f>
        <v>FIP Engineering</v>
      </c>
      <c r="M638" s="6" t="str">
        <f>IFERROR(__xludf.DUMMYFUNCTION("""COMPUTED_VALUE"""),"Irwan Sopian")</f>
        <v>Irwan Sopian</v>
      </c>
      <c r="N638" s="6" t="str">
        <f>IFERROR(__xludf.DUMMYFUNCTION("""COMPUTED_VALUE"""),"FIP Engineering")</f>
        <v>FIP Engineering</v>
      </c>
      <c r="O638" s="6" t="str">
        <f>IFERROR(__xludf.DUMMYFUNCTION("""COMPUTED_VALUE"""),"FIP-DOM-000-11304-OS00001-INA-000000")</f>
        <v>FIP-DOM-000-11304-OS00001-INA-000000</v>
      </c>
      <c r="P638" s="6" t="str">
        <f>IFERROR(__xludf.DUMMYFUNCTION("""COMPUTED_VALUE"""),"PO Closed")</f>
        <v>PO Closed</v>
      </c>
      <c r="Q638" s="6" t="str">
        <f>IFERROR(__xludf.DUMMYFUNCTION("""COMPUTED_VALUE"""),"GL1812026")</f>
        <v>GL1812026</v>
      </c>
      <c r="R638" s="16">
        <f>IFERROR(__xludf.DUMMYFUNCTION("""COMPUTED_VALUE"""),43441.0)</f>
        <v>43441</v>
      </c>
      <c r="S638" s="6" t="str">
        <f>IFERROR(__xludf.DUMMYFUNCTION("""COMPUTED_VALUE"""),"-")</f>
        <v>-</v>
      </c>
      <c r="T638" s="13">
        <f>IFERROR(__xludf.DUMMYFUNCTION("""COMPUTED_VALUE"""),43489.0)</f>
        <v>43489</v>
      </c>
    </row>
    <row r="639">
      <c r="A639" s="6" t="str">
        <f>IFERROR(__xludf.DUMMYFUNCTION("""COMPUTED_VALUE"""),"181750472-4")</f>
        <v>181750472-4</v>
      </c>
      <c r="B639" s="6" t="str">
        <f>IFERROR(__xludf.DUMMYFUNCTION("""COMPUTED_VALUE"""),"181750472 - Approved")</f>
        <v>181750472 - Approved</v>
      </c>
      <c r="C639" s="6">
        <f>IFERROR(__xludf.DUMMYFUNCTION("""COMPUTED_VALUE"""),4.0)</f>
        <v>4</v>
      </c>
      <c r="D639" s="6" t="str">
        <f>IFERROR(__xludf.DUMMYFUNCTION("""COMPUTED_VALUE"""),"P-51843-00")</f>
        <v>P-51843-00</v>
      </c>
      <c r="E639" s="6" t="str">
        <f>IFERROR(__xludf.DUMMYFUNCTION("""COMPUTED_VALUE"""),"Push Button /XA2EA42/240V/Merah Schneider")</f>
        <v>Push Button /XA2EA42/240V/Merah Schneider</v>
      </c>
      <c r="F639" s="6">
        <f>IFERROR(__xludf.DUMMYFUNCTION("""COMPUTED_VALUE"""),3.0)</f>
        <v>3</v>
      </c>
      <c r="G639" s="6" t="str">
        <f>IFERROR(__xludf.DUMMYFUNCTION("""COMPUTED_VALUE"""),"Pieces")</f>
        <v>Pieces</v>
      </c>
      <c r="H639" s="6" t="str">
        <f>IFERROR(__xludf.DUMMYFUNCTION("""COMPUTED_VALUE"""),"IDR")</f>
        <v>IDR</v>
      </c>
      <c r="I639" s="11">
        <f>IFERROR(__xludf.DUMMYFUNCTION("""COMPUTED_VALUE"""),35500.0)</f>
        <v>35500</v>
      </c>
      <c r="J639" s="11">
        <f>IFERROR(__xludf.DUMMYFUNCTION("""COMPUTED_VALUE"""),106500.0)</f>
        <v>106500</v>
      </c>
      <c r="K639" s="13">
        <f>IFERROR(__xludf.DUMMYFUNCTION("""COMPUTED_VALUE"""),43472.0)</f>
        <v>43472</v>
      </c>
      <c r="L639" s="6" t="str">
        <f>IFERROR(__xludf.DUMMYFUNCTION("""COMPUTED_VALUE"""),"FIP Engineering")</f>
        <v>FIP Engineering</v>
      </c>
      <c r="M639" s="6" t="str">
        <f>IFERROR(__xludf.DUMMYFUNCTION("""COMPUTED_VALUE"""),"Irwan Sopian")</f>
        <v>Irwan Sopian</v>
      </c>
      <c r="N639" s="6" t="str">
        <f>IFERROR(__xludf.DUMMYFUNCTION("""COMPUTED_VALUE"""),"FIP Engineering")</f>
        <v>FIP Engineering</v>
      </c>
      <c r="O639" s="6" t="str">
        <f>IFERROR(__xludf.DUMMYFUNCTION("""COMPUTED_VALUE"""),"FIP-DOM-000-11304-OS00001-INA-000000")</f>
        <v>FIP-DOM-000-11304-OS00001-INA-000000</v>
      </c>
      <c r="P639" s="6" t="str">
        <f>IFERROR(__xludf.DUMMYFUNCTION("""COMPUTED_VALUE"""),"PO Closed")</f>
        <v>PO Closed</v>
      </c>
      <c r="Q639" s="6" t="str">
        <f>IFERROR(__xludf.DUMMYFUNCTION("""COMPUTED_VALUE"""),"GL1812018")</f>
        <v>GL1812018</v>
      </c>
      <c r="R639" s="16">
        <f>IFERROR(__xludf.DUMMYFUNCTION("""COMPUTED_VALUE"""),43441.0)</f>
        <v>43441</v>
      </c>
      <c r="S639" s="6" t="str">
        <f>IFERROR(__xludf.DUMMYFUNCTION("""COMPUTED_VALUE"""),"-")</f>
        <v>-</v>
      </c>
      <c r="T639" s="13">
        <f>IFERROR(__xludf.DUMMYFUNCTION("""COMPUTED_VALUE"""),43475.0)</f>
        <v>43475</v>
      </c>
    </row>
    <row r="640">
      <c r="A640" s="6" t="str">
        <f>IFERROR(__xludf.DUMMYFUNCTION("""COMPUTED_VALUE"""),"181750472-5")</f>
        <v>181750472-5</v>
      </c>
      <c r="B640" s="6" t="str">
        <f>IFERROR(__xludf.DUMMYFUNCTION("""COMPUTED_VALUE"""),"181750472 - Approved")</f>
        <v>181750472 - Approved</v>
      </c>
      <c r="C640" s="6">
        <f>IFERROR(__xludf.DUMMYFUNCTION("""COMPUTED_VALUE"""),5.0)</f>
        <v>5</v>
      </c>
      <c r="D640" s="6" t="str">
        <f>IFERROR(__xludf.DUMMYFUNCTION("""COMPUTED_VALUE"""),"P-51844-00")</f>
        <v>P-51844-00</v>
      </c>
      <c r="E640" s="6" t="str">
        <f>IFERROR(__xludf.DUMMYFUNCTION("""COMPUTED_VALUE"""),"Push Button /XA2EA31/240V/Hijau Schneider")</f>
        <v>Push Button /XA2EA31/240V/Hijau Schneider</v>
      </c>
      <c r="F640" s="6">
        <f>IFERROR(__xludf.DUMMYFUNCTION("""COMPUTED_VALUE"""),3.0)</f>
        <v>3</v>
      </c>
      <c r="G640" s="6" t="str">
        <f>IFERROR(__xludf.DUMMYFUNCTION("""COMPUTED_VALUE"""),"Pieces")</f>
        <v>Pieces</v>
      </c>
      <c r="H640" s="6" t="str">
        <f>IFERROR(__xludf.DUMMYFUNCTION("""COMPUTED_VALUE"""),"IDR")</f>
        <v>IDR</v>
      </c>
      <c r="I640" s="11">
        <f>IFERROR(__xludf.DUMMYFUNCTION("""COMPUTED_VALUE"""),35500.0)</f>
        <v>35500</v>
      </c>
      <c r="J640" s="11">
        <f>IFERROR(__xludf.DUMMYFUNCTION("""COMPUTED_VALUE"""),106500.0)</f>
        <v>106500</v>
      </c>
      <c r="K640" s="13">
        <f>IFERROR(__xludf.DUMMYFUNCTION("""COMPUTED_VALUE"""),43472.0)</f>
        <v>43472</v>
      </c>
      <c r="L640" s="6" t="str">
        <f>IFERROR(__xludf.DUMMYFUNCTION("""COMPUTED_VALUE"""),"FIP Engineering")</f>
        <v>FIP Engineering</v>
      </c>
      <c r="M640" s="6" t="str">
        <f>IFERROR(__xludf.DUMMYFUNCTION("""COMPUTED_VALUE"""),"Irwan Sopian")</f>
        <v>Irwan Sopian</v>
      </c>
      <c r="N640" s="6" t="str">
        <f>IFERROR(__xludf.DUMMYFUNCTION("""COMPUTED_VALUE"""),"FIP Engineering")</f>
        <v>FIP Engineering</v>
      </c>
      <c r="O640" s="6" t="str">
        <f>IFERROR(__xludf.DUMMYFUNCTION("""COMPUTED_VALUE"""),"FIP-DOM-000-11304-OS00001-INA-000000")</f>
        <v>FIP-DOM-000-11304-OS00001-INA-000000</v>
      </c>
      <c r="P640" s="6" t="str">
        <f>IFERROR(__xludf.DUMMYFUNCTION("""COMPUTED_VALUE"""),"PO Closed")</f>
        <v>PO Closed</v>
      </c>
      <c r="Q640" s="6" t="str">
        <f>IFERROR(__xludf.DUMMYFUNCTION("""COMPUTED_VALUE"""),"GL1812018")</f>
        <v>GL1812018</v>
      </c>
      <c r="R640" s="16">
        <f>IFERROR(__xludf.DUMMYFUNCTION("""COMPUTED_VALUE"""),43441.0)</f>
        <v>43441</v>
      </c>
      <c r="S640" s="6" t="str">
        <f>IFERROR(__xludf.DUMMYFUNCTION("""COMPUTED_VALUE"""),"-")</f>
        <v>-</v>
      </c>
      <c r="T640" s="17">
        <f>IFERROR(__xludf.DUMMYFUNCTION("""COMPUTED_VALUE"""),43475.0)</f>
        <v>43475</v>
      </c>
    </row>
    <row r="641">
      <c r="A641" s="6" t="str">
        <f>IFERROR(__xludf.DUMMYFUNCTION("""COMPUTED_VALUE"""),"181750488-1")</f>
        <v>181750488-1</v>
      </c>
      <c r="B641" s="6" t="str">
        <f>IFERROR(__xludf.DUMMYFUNCTION("""COMPUTED_VALUE"""),"181750488 - Approved")</f>
        <v>181750488 - Approved</v>
      </c>
      <c r="C641" s="6">
        <f>IFERROR(__xludf.DUMMYFUNCTION("""COMPUTED_VALUE"""),1.0)</f>
        <v>1</v>
      </c>
      <c r="D641" s="6" t="str">
        <f>IFERROR(__xludf.DUMMYFUNCTION("""COMPUTED_VALUE"""),"O-51966-00")</f>
        <v>O-51966-00</v>
      </c>
      <c r="E641" s="6" t="str">
        <f>IFERROR(__xludf.DUMMYFUNCTION("""COMPUTED_VALUE"""),"Memory Card Compact Flash 16GB")</f>
        <v>Memory Card Compact Flash 16GB</v>
      </c>
      <c r="F641" s="6">
        <f>IFERROR(__xludf.DUMMYFUNCTION("""COMPUTED_VALUE"""),2.0)</f>
        <v>2</v>
      </c>
      <c r="G641" s="6" t="str">
        <f>IFERROR(__xludf.DUMMYFUNCTION("""COMPUTED_VALUE"""),"Pieces")</f>
        <v>Pieces</v>
      </c>
      <c r="H641" s="6" t="str">
        <f>IFERROR(__xludf.DUMMYFUNCTION("""COMPUTED_VALUE"""),"USD")</f>
        <v>USD</v>
      </c>
      <c r="I641" s="11">
        <f>IFERROR(__xludf.DUMMYFUNCTION("""COMPUTED_VALUE"""),75.0)</f>
        <v>75</v>
      </c>
      <c r="J641" s="11">
        <f>IFERROR(__xludf.DUMMYFUNCTION("""COMPUTED_VALUE"""),150.0)</f>
        <v>150</v>
      </c>
      <c r="K641" s="13">
        <f>IFERROR(__xludf.DUMMYFUNCTION("""COMPUTED_VALUE"""),43483.0)</f>
        <v>43483</v>
      </c>
      <c r="L641" s="6" t="str">
        <f>IFERROR(__xludf.DUMMYFUNCTION("""COMPUTED_VALUE"""),"FIP Engineering")</f>
        <v>FIP Engineering</v>
      </c>
      <c r="M641" s="6" t="str">
        <f>IFERROR(__xludf.DUMMYFUNCTION("""COMPUTED_VALUE"""),"Irwan Sopian")</f>
        <v>Irwan Sopian</v>
      </c>
      <c r="N641" s="6" t="str">
        <f>IFERROR(__xludf.DUMMYFUNCTION("""COMPUTED_VALUE"""),"FIP Engineering")</f>
        <v>FIP Engineering</v>
      </c>
      <c r="O641" s="6" t="str">
        <f>IFERROR(__xludf.DUMMYFUNCTION("""COMPUTED_VALUE"""),"FIP-DOM-000-11304-OS00001-INA-000000")</f>
        <v>FIP-DOM-000-11304-OS00001-INA-000000</v>
      </c>
      <c r="P641" s="6" t="str">
        <f>IFERROR(__xludf.DUMMYFUNCTION("""COMPUTED_VALUE"""),"PO Closed")</f>
        <v>PO Closed</v>
      </c>
      <c r="Q641" s="6" t="str">
        <f>IFERROR(__xludf.DUMMYFUNCTION("""COMPUTED_VALUE"""),"GL1812010")</f>
        <v>GL1812010</v>
      </c>
      <c r="R641" s="16">
        <f>IFERROR(__xludf.DUMMYFUNCTION("""COMPUTED_VALUE"""),43444.0)</f>
        <v>43444</v>
      </c>
      <c r="S641" s="6" t="str">
        <f>IFERROR(__xludf.DUMMYFUNCTION("""COMPUTED_VALUE"""),"-")</f>
        <v>-</v>
      </c>
      <c r="T641" s="17">
        <f>IFERROR(__xludf.DUMMYFUNCTION("""COMPUTED_VALUE"""),43524.0)</f>
        <v>43524</v>
      </c>
    </row>
    <row r="642">
      <c r="A642" s="6" t="str">
        <f>IFERROR(__xludf.DUMMYFUNCTION("""COMPUTED_VALUE"""),"181750485-1")</f>
        <v>181750485-1</v>
      </c>
      <c r="B642" s="6" t="str">
        <f>IFERROR(__xludf.DUMMYFUNCTION("""COMPUTED_VALUE"""),"181750485 - Approved")</f>
        <v>181750485 - Approved</v>
      </c>
      <c r="C642" s="6">
        <f>IFERROR(__xludf.DUMMYFUNCTION("""COMPUTED_VALUE"""),1.0)</f>
        <v>1</v>
      </c>
      <c r="D642" s="6" t="str">
        <f>IFERROR(__xludf.DUMMYFUNCTION("""COMPUTED_VALUE"""),"P-51781-00")</f>
        <v>P-51781-00</v>
      </c>
      <c r="E642" s="6" t="str">
        <f>IFERROR(__xludf.DUMMYFUNCTION("""COMPUTED_VALUE"""),"Digital Temperature Switch Type : TS2-021 Voltage : 230 VAC Brand: Dwyer")</f>
        <v>Digital Temperature Switch Type : TS2-021 Voltage : 230 VAC Brand: Dwyer</v>
      </c>
      <c r="F642" s="6">
        <f>IFERROR(__xludf.DUMMYFUNCTION("""COMPUTED_VALUE"""),2.0)</f>
        <v>2</v>
      </c>
      <c r="G642" s="6" t="str">
        <f>IFERROR(__xludf.DUMMYFUNCTION("""COMPUTED_VALUE"""),"Unit")</f>
        <v>Unit</v>
      </c>
      <c r="H642" s="6" t="str">
        <f>IFERROR(__xludf.DUMMYFUNCTION("""COMPUTED_VALUE"""),"IDR")</f>
        <v>IDR</v>
      </c>
      <c r="I642" s="11">
        <f>IFERROR(__xludf.DUMMYFUNCTION("""COMPUTED_VALUE"""),1581000.0)</f>
        <v>1581000</v>
      </c>
      <c r="J642" s="11">
        <f>IFERROR(__xludf.DUMMYFUNCTION("""COMPUTED_VALUE"""),3162000.0)</f>
        <v>3162000</v>
      </c>
      <c r="K642" s="13">
        <f>IFERROR(__xludf.DUMMYFUNCTION("""COMPUTED_VALUE"""),43476.0)</f>
        <v>43476</v>
      </c>
      <c r="L642" s="6" t="str">
        <f>IFERROR(__xludf.DUMMYFUNCTION("""COMPUTED_VALUE"""),"FIP Engineering")</f>
        <v>FIP Engineering</v>
      </c>
      <c r="M642" s="6" t="str">
        <f>IFERROR(__xludf.DUMMYFUNCTION("""COMPUTED_VALUE"""),"Irwan Sopian")</f>
        <v>Irwan Sopian</v>
      </c>
      <c r="N642" s="6" t="str">
        <f>IFERROR(__xludf.DUMMYFUNCTION("""COMPUTED_VALUE"""),"FIP Engineering")</f>
        <v>FIP Engineering</v>
      </c>
      <c r="O642" s="6" t="str">
        <f>IFERROR(__xludf.DUMMYFUNCTION("""COMPUTED_VALUE"""),"FIP-DOM-000-11304-OS00001-INA-000000")</f>
        <v>FIP-DOM-000-11304-OS00001-INA-000000</v>
      </c>
      <c r="P642" s="6" t="str">
        <f>IFERROR(__xludf.DUMMYFUNCTION("""COMPUTED_VALUE"""),"PO Closed")</f>
        <v>PO Closed</v>
      </c>
      <c r="Q642" s="6" t="str">
        <f>IFERROR(__xludf.DUMMYFUNCTION("""COMPUTED_VALUE"""),"GL1812020")</f>
        <v>GL1812020</v>
      </c>
      <c r="R642" s="16">
        <f>IFERROR(__xludf.DUMMYFUNCTION("""COMPUTED_VALUE"""),43444.0)</f>
        <v>43444</v>
      </c>
      <c r="S642" s="6" t="str">
        <f>IFERROR(__xludf.DUMMYFUNCTION("""COMPUTED_VALUE"""),"-")</f>
        <v>-</v>
      </c>
      <c r="T642" s="56">
        <f>IFERROR(__xludf.DUMMYFUNCTION("""COMPUTED_VALUE"""),43489.0)</f>
        <v>43489</v>
      </c>
    </row>
    <row r="643">
      <c r="A643" s="6" t="str">
        <f>IFERROR(__xludf.DUMMYFUNCTION("""COMPUTED_VALUE"""),"181750471-7")</f>
        <v>181750471-7</v>
      </c>
      <c r="B643" s="6" t="str">
        <f>IFERROR(__xludf.DUMMYFUNCTION("""COMPUTED_VALUE"""),"181750471 - Approved")</f>
        <v>181750471 - Approved</v>
      </c>
      <c r="C643" s="6">
        <f>IFERROR(__xludf.DUMMYFUNCTION("""COMPUTED_VALUE"""),7.0)</f>
        <v>7</v>
      </c>
      <c r="D643" s="6" t="str">
        <f>IFERROR(__xludf.DUMMYFUNCTION("""COMPUTED_VALUE"""),"P-14379-00")</f>
        <v>P-14379-00</v>
      </c>
      <c r="E643" s="6" t="str">
        <f>IFERROR(__xludf.DUMMYFUNCTION("""COMPUTED_VALUE"""),"Gasket 3/4"" /EPDM; ; ;")</f>
        <v>Gasket 3/4" /EPDM; ; ;</v>
      </c>
      <c r="F643" s="6">
        <f>IFERROR(__xludf.DUMMYFUNCTION("""COMPUTED_VALUE"""),20.0)</f>
        <v>20</v>
      </c>
      <c r="G643" s="6" t="str">
        <f>IFERROR(__xludf.DUMMYFUNCTION("""COMPUTED_VALUE"""),"Pieces")</f>
        <v>Pieces</v>
      </c>
      <c r="H643" s="6" t="str">
        <f>IFERROR(__xludf.DUMMYFUNCTION("""COMPUTED_VALUE"""),"IDR")</f>
        <v>IDR</v>
      </c>
      <c r="I643" s="11">
        <f>IFERROR(__xludf.DUMMYFUNCTION("""COMPUTED_VALUE"""),12000.0)</f>
        <v>12000</v>
      </c>
      <c r="J643" s="11">
        <f>IFERROR(__xludf.DUMMYFUNCTION("""COMPUTED_VALUE"""),240000.0)</f>
        <v>240000</v>
      </c>
      <c r="K643" s="13">
        <f>IFERROR(__xludf.DUMMYFUNCTION("""COMPUTED_VALUE"""),43483.0)</f>
        <v>43483</v>
      </c>
      <c r="L643" s="6" t="str">
        <f>IFERROR(__xludf.DUMMYFUNCTION("""COMPUTED_VALUE"""),"FIP Engineering")</f>
        <v>FIP Engineering</v>
      </c>
      <c r="M643" s="6" t="str">
        <f>IFERROR(__xludf.DUMMYFUNCTION("""COMPUTED_VALUE"""),"Irwan Sopian")</f>
        <v>Irwan Sopian</v>
      </c>
      <c r="N643" s="6" t="str">
        <f>IFERROR(__xludf.DUMMYFUNCTION("""COMPUTED_VALUE"""),"FIP Engineering")</f>
        <v>FIP Engineering</v>
      </c>
      <c r="O643" s="6" t="str">
        <f>IFERROR(__xludf.DUMMYFUNCTION("""COMPUTED_VALUE"""),"FIP-DOM-000-11304-OS00001-INA-000000")</f>
        <v>FIP-DOM-000-11304-OS00001-INA-000000</v>
      </c>
      <c r="P643" s="6" t="str">
        <f>IFERROR(__xludf.DUMMYFUNCTION("""COMPUTED_VALUE"""),"PO Closed")</f>
        <v>PO Closed</v>
      </c>
      <c r="Q643" s="6" t="str">
        <f>IFERROR(__xludf.DUMMYFUNCTION("""COMPUTED_VALUE"""),"GL1901007")</f>
        <v>GL1901007</v>
      </c>
      <c r="R643" s="16">
        <f>IFERROR(__xludf.DUMMYFUNCTION("""COMPUTED_VALUE"""),43444.0)</f>
        <v>43444</v>
      </c>
      <c r="S643" s="6" t="str">
        <f>IFERROR(__xludf.DUMMYFUNCTION("""COMPUTED_VALUE"""),"-")</f>
        <v>-</v>
      </c>
      <c r="T643" s="13">
        <f>IFERROR(__xludf.DUMMYFUNCTION("""COMPUTED_VALUE"""),43503.0)</f>
        <v>43503</v>
      </c>
    </row>
    <row r="644">
      <c r="A644" s="6" t="str">
        <f>IFERROR(__xludf.DUMMYFUNCTION("""COMPUTED_VALUE"""),"181750471-8")</f>
        <v>181750471-8</v>
      </c>
      <c r="B644" s="6" t="str">
        <f>IFERROR(__xludf.DUMMYFUNCTION("""COMPUTED_VALUE"""),"181750471 - Approved")</f>
        <v>181750471 - Approved</v>
      </c>
      <c r="C644" s="6">
        <f>IFERROR(__xludf.DUMMYFUNCTION("""COMPUTED_VALUE"""),8.0)</f>
        <v>8</v>
      </c>
      <c r="D644" s="6" t="str">
        <f>IFERROR(__xludf.DUMMYFUNCTION("""COMPUTED_VALUE"""),"O-14639-00")</f>
        <v>O-14639-00</v>
      </c>
      <c r="E644" s="6" t="str">
        <f>IFERROR(__xludf.DUMMYFUNCTION("""COMPUTED_VALUE"""),"EPDM Gasket for Ferrule dia. 1/2""; ; ;")</f>
        <v>EPDM Gasket for Ferrule dia. 1/2"; ; ;</v>
      </c>
      <c r="F644" s="6">
        <f>IFERROR(__xludf.DUMMYFUNCTION("""COMPUTED_VALUE"""),20.0)</f>
        <v>20</v>
      </c>
      <c r="G644" s="6" t="str">
        <f>IFERROR(__xludf.DUMMYFUNCTION("""COMPUTED_VALUE"""),"Pieces")</f>
        <v>Pieces</v>
      </c>
      <c r="H644" s="6" t="str">
        <f>IFERROR(__xludf.DUMMYFUNCTION("""COMPUTED_VALUE"""),"IDR")</f>
        <v>IDR</v>
      </c>
      <c r="I644" s="11">
        <f>IFERROR(__xludf.DUMMYFUNCTION("""COMPUTED_VALUE"""),12000.0)</f>
        <v>12000</v>
      </c>
      <c r="J644" s="11">
        <f>IFERROR(__xludf.DUMMYFUNCTION("""COMPUTED_VALUE"""),240000.0)</f>
        <v>240000</v>
      </c>
      <c r="K644" s="13">
        <f>IFERROR(__xludf.DUMMYFUNCTION("""COMPUTED_VALUE"""),43483.0)</f>
        <v>43483</v>
      </c>
      <c r="L644" s="6" t="str">
        <f>IFERROR(__xludf.DUMMYFUNCTION("""COMPUTED_VALUE"""),"FIP Engineering")</f>
        <v>FIP Engineering</v>
      </c>
      <c r="M644" s="6" t="str">
        <f>IFERROR(__xludf.DUMMYFUNCTION("""COMPUTED_VALUE"""),"Irwan Sopian")</f>
        <v>Irwan Sopian</v>
      </c>
      <c r="N644" s="6" t="str">
        <f>IFERROR(__xludf.DUMMYFUNCTION("""COMPUTED_VALUE"""),"FIP Engineering")</f>
        <v>FIP Engineering</v>
      </c>
      <c r="O644" s="6" t="str">
        <f>IFERROR(__xludf.DUMMYFUNCTION("""COMPUTED_VALUE"""),"FIP-DOM-000-11304-OS00001-INA-000000")</f>
        <v>FIP-DOM-000-11304-OS00001-INA-000000</v>
      </c>
      <c r="P644" s="6" t="str">
        <f>IFERROR(__xludf.DUMMYFUNCTION("""COMPUTED_VALUE"""),"PO Closed")</f>
        <v>PO Closed</v>
      </c>
      <c r="Q644" s="6" t="str">
        <f>IFERROR(__xludf.DUMMYFUNCTION("""COMPUTED_VALUE"""),"GL1901007")</f>
        <v>GL1901007</v>
      </c>
      <c r="R644" s="16">
        <f>IFERROR(__xludf.DUMMYFUNCTION("""COMPUTED_VALUE"""),43444.0)</f>
        <v>43444</v>
      </c>
      <c r="S644" s="6" t="str">
        <f>IFERROR(__xludf.DUMMYFUNCTION("""COMPUTED_VALUE"""),"-")</f>
        <v>-</v>
      </c>
      <c r="T644" s="17">
        <f>IFERROR(__xludf.DUMMYFUNCTION("""COMPUTED_VALUE"""),43503.0)</f>
        <v>43503</v>
      </c>
    </row>
    <row r="645">
      <c r="A645" s="6" t="str">
        <f>IFERROR(__xludf.DUMMYFUNCTION("""COMPUTED_VALUE"""),"181750496-1")</f>
        <v>181750496-1</v>
      </c>
      <c r="B645" s="6" t="str">
        <f>IFERROR(__xludf.DUMMYFUNCTION("""COMPUTED_VALUE"""),"181750496 - Approved")</f>
        <v>181750496 - Approved</v>
      </c>
      <c r="C645" s="6">
        <f>IFERROR(__xludf.DUMMYFUNCTION("""COMPUTED_VALUE"""),1.0)</f>
        <v>1</v>
      </c>
      <c r="D645" s="6" t="str">
        <f>IFERROR(__xludf.DUMMYFUNCTION("""COMPUTED_VALUE"""),"P-13598-00")</f>
        <v>P-13598-00</v>
      </c>
      <c r="E645" s="6" t="str">
        <f>IFERROR(__xludf.DUMMYFUNCTION("""COMPUTED_VALUE"""),"Regulator Hydrogen 96A-10M Morris")</f>
        <v>Regulator Hydrogen 96A-10M Morris</v>
      </c>
      <c r="F645" s="6">
        <f>IFERROR(__xludf.DUMMYFUNCTION("""COMPUTED_VALUE"""),1.0)</f>
        <v>1</v>
      </c>
      <c r="G645" s="6" t="str">
        <f>IFERROR(__xludf.DUMMYFUNCTION("""COMPUTED_VALUE"""),"Pieces")</f>
        <v>Pieces</v>
      </c>
      <c r="H645" s="6" t="str">
        <f>IFERROR(__xludf.DUMMYFUNCTION("""COMPUTED_VALUE"""),"IDR")</f>
        <v>IDR</v>
      </c>
      <c r="I645" s="11">
        <f>IFERROR(__xludf.DUMMYFUNCTION("""COMPUTED_VALUE"""),1600000.0)</f>
        <v>1600000</v>
      </c>
      <c r="J645" s="11">
        <f>IFERROR(__xludf.DUMMYFUNCTION("""COMPUTED_VALUE"""),1600000.0)</f>
        <v>1600000</v>
      </c>
      <c r="K645" s="13">
        <f>IFERROR(__xludf.DUMMYFUNCTION("""COMPUTED_VALUE"""),43469.0)</f>
        <v>43469</v>
      </c>
      <c r="L645" s="6" t="str">
        <f>IFERROR(__xludf.DUMMYFUNCTION("""COMPUTED_VALUE"""),"FIP Engineering")</f>
        <v>FIP Engineering</v>
      </c>
      <c r="M645" s="6" t="str">
        <f>IFERROR(__xludf.DUMMYFUNCTION("""COMPUTED_VALUE"""),"Irwan Sopian")</f>
        <v>Irwan Sopian</v>
      </c>
      <c r="N645" s="6" t="str">
        <f>IFERROR(__xludf.DUMMYFUNCTION("""COMPUTED_VALUE"""),"FIP Engineering")</f>
        <v>FIP Engineering</v>
      </c>
      <c r="O645" s="6" t="str">
        <f>IFERROR(__xludf.DUMMYFUNCTION("""COMPUTED_VALUE"""),"FIP-DOM-000-11304-OS00001-INA-000000")</f>
        <v>FIP-DOM-000-11304-OS00001-INA-000000</v>
      </c>
      <c r="P645" s="6" t="str">
        <f>IFERROR(__xludf.DUMMYFUNCTION("""COMPUTED_VALUE"""),"PO Closed")</f>
        <v>PO Closed</v>
      </c>
      <c r="Q645" s="6" t="str">
        <f>IFERROR(__xludf.DUMMYFUNCTION("""COMPUTED_VALUE"""),"GL1901007")</f>
        <v>GL1901007</v>
      </c>
      <c r="R645" s="16">
        <f>IFERROR(__xludf.DUMMYFUNCTION("""COMPUTED_VALUE"""),43446.0)</f>
        <v>43446</v>
      </c>
      <c r="S645" s="6" t="str">
        <f>IFERROR(__xludf.DUMMYFUNCTION("""COMPUTED_VALUE"""),"-")</f>
        <v>-</v>
      </c>
      <c r="T645" s="13">
        <f>IFERROR(__xludf.DUMMYFUNCTION("""COMPUTED_VALUE"""),43489.0)</f>
        <v>43489</v>
      </c>
    </row>
    <row r="646">
      <c r="A646" s="6" t="str">
        <f>IFERROR(__xludf.DUMMYFUNCTION("""COMPUTED_VALUE"""),"181750496-2")</f>
        <v>181750496-2</v>
      </c>
      <c r="B646" s="6" t="str">
        <f>IFERROR(__xludf.DUMMYFUNCTION("""COMPUTED_VALUE"""),"181750496 - Approved")</f>
        <v>181750496 - Approved</v>
      </c>
      <c r="C646" s="6">
        <f>IFERROR(__xludf.DUMMYFUNCTION("""COMPUTED_VALUE"""),2.0)</f>
        <v>2</v>
      </c>
      <c r="D646" s="6" t="str">
        <f>IFERROR(__xludf.DUMMYFUNCTION("""COMPUTED_VALUE"""),"P-13597-00")</f>
        <v>P-13597-00</v>
      </c>
      <c r="E646" s="6" t="str">
        <f>IFERROR(__xludf.DUMMYFUNCTION("""COMPUTED_VALUE"""),"Selang Gas ukuran 1/4 inch")</f>
        <v>Selang Gas ukuran 1/4 inch</v>
      </c>
      <c r="F646" s="6">
        <f>IFERROR(__xludf.DUMMYFUNCTION("""COMPUTED_VALUE"""),10.0)</f>
        <v>10</v>
      </c>
      <c r="G646" s="6" t="str">
        <f>IFERROR(__xludf.DUMMYFUNCTION("""COMPUTED_VALUE"""),"Meter")</f>
        <v>Meter</v>
      </c>
      <c r="H646" s="6" t="str">
        <f>IFERROR(__xludf.DUMMYFUNCTION("""COMPUTED_VALUE"""),"IDR")</f>
        <v>IDR</v>
      </c>
      <c r="I646" s="11">
        <f>IFERROR(__xludf.DUMMYFUNCTION("""COMPUTED_VALUE"""),68000.0)</f>
        <v>68000</v>
      </c>
      <c r="J646" s="11">
        <f>IFERROR(__xludf.DUMMYFUNCTION("""COMPUTED_VALUE"""),680000.0)</f>
        <v>680000</v>
      </c>
      <c r="K646" s="13">
        <f>IFERROR(__xludf.DUMMYFUNCTION("""COMPUTED_VALUE"""),43469.0)</f>
        <v>43469</v>
      </c>
      <c r="L646" s="6" t="str">
        <f>IFERROR(__xludf.DUMMYFUNCTION("""COMPUTED_VALUE"""),"FIP Engineering")</f>
        <v>FIP Engineering</v>
      </c>
      <c r="M646" s="6" t="str">
        <f>IFERROR(__xludf.DUMMYFUNCTION("""COMPUTED_VALUE"""),"Irwan Sopian")</f>
        <v>Irwan Sopian</v>
      </c>
      <c r="N646" s="6" t="str">
        <f>IFERROR(__xludf.DUMMYFUNCTION("""COMPUTED_VALUE"""),"FIP Engineering")</f>
        <v>FIP Engineering</v>
      </c>
      <c r="O646" s="6" t="str">
        <f>IFERROR(__xludf.DUMMYFUNCTION("""COMPUTED_VALUE"""),"FIP-DOM-000-11304-OS00001-INA-000000")</f>
        <v>FIP-DOM-000-11304-OS00001-INA-000000</v>
      </c>
      <c r="P646" s="6" t="str">
        <f>IFERROR(__xludf.DUMMYFUNCTION("""COMPUTED_VALUE"""),"PO Closed")</f>
        <v>PO Closed</v>
      </c>
      <c r="Q646" s="6" t="str">
        <f>IFERROR(__xludf.DUMMYFUNCTION("""COMPUTED_VALUE"""),"GL1901007")</f>
        <v>GL1901007</v>
      </c>
      <c r="R646" s="16">
        <f>IFERROR(__xludf.DUMMYFUNCTION("""COMPUTED_VALUE"""),43446.0)</f>
        <v>43446</v>
      </c>
      <c r="S646" s="6" t="str">
        <f>IFERROR(__xludf.DUMMYFUNCTION("""COMPUTED_VALUE"""),"-")</f>
        <v>-</v>
      </c>
      <c r="T646" s="17">
        <f>IFERROR(__xludf.DUMMYFUNCTION("""COMPUTED_VALUE"""),43489.0)</f>
        <v>43489</v>
      </c>
    </row>
    <row r="647">
      <c r="A647" s="6" t="str">
        <f>IFERROR(__xludf.DUMMYFUNCTION("""COMPUTED_VALUE"""),"181750495-1")</f>
        <v>181750495-1</v>
      </c>
      <c r="B647" s="6" t="str">
        <f>IFERROR(__xludf.DUMMYFUNCTION("""COMPUTED_VALUE"""),"181750495 - Approved")</f>
        <v>181750495 - Approved</v>
      </c>
      <c r="C647" s="6">
        <f>IFERROR(__xludf.DUMMYFUNCTION("""COMPUTED_VALUE"""),1.0)</f>
        <v>1</v>
      </c>
      <c r="D647" s="6" t="str">
        <f>IFERROR(__xludf.DUMMYFUNCTION("""COMPUTED_VALUE"""),"P-15002-00")</f>
        <v>P-15002-00</v>
      </c>
      <c r="E647" s="6" t="str">
        <f>IFERROR(__xludf.DUMMYFUNCTION("""COMPUTED_VALUE"""),"Room Air Temp. &amp; RH Sensor, P/N. QFA2060D; ; ;")</f>
        <v>Room Air Temp. &amp; RH Sensor, P/N. QFA2060D; ; ;</v>
      </c>
      <c r="F647" s="6">
        <f>IFERROR(__xludf.DUMMYFUNCTION("""COMPUTED_VALUE"""),2.0)</f>
        <v>2</v>
      </c>
      <c r="G647" s="6" t="str">
        <f>IFERROR(__xludf.DUMMYFUNCTION("""COMPUTED_VALUE"""),"Unit")</f>
        <v>Unit</v>
      </c>
      <c r="H647" s="6" t="str">
        <f>IFERROR(__xludf.DUMMYFUNCTION("""COMPUTED_VALUE"""),"IDR")</f>
        <v>IDR</v>
      </c>
      <c r="I647" s="11">
        <f>IFERROR(__xludf.DUMMYFUNCTION("""COMPUTED_VALUE"""),5310000.0)</f>
        <v>5310000</v>
      </c>
      <c r="J647" s="11">
        <f>IFERROR(__xludf.DUMMYFUNCTION("""COMPUTED_VALUE"""),1.062E7)</f>
        <v>10620000</v>
      </c>
      <c r="K647" s="13">
        <f>IFERROR(__xludf.DUMMYFUNCTION("""COMPUTED_VALUE"""),43500.0)</f>
        <v>43500</v>
      </c>
      <c r="L647" s="6" t="str">
        <f>IFERROR(__xludf.DUMMYFUNCTION("""COMPUTED_VALUE"""),"FIP Engineering")</f>
        <v>FIP Engineering</v>
      </c>
      <c r="M647" s="6" t="str">
        <f>IFERROR(__xludf.DUMMYFUNCTION("""COMPUTED_VALUE"""),"Irwan Sopian")</f>
        <v>Irwan Sopian</v>
      </c>
      <c r="N647" s="6" t="str">
        <f>IFERROR(__xludf.DUMMYFUNCTION("""COMPUTED_VALUE"""),"FIP Engineering")</f>
        <v>FIP Engineering</v>
      </c>
      <c r="O647" s="6" t="str">
        <f>IFERROR(__xludf.DUMMYFUNCTION("""COMPUTED_VALUE"""),"FIP-DOM-000-11304-OS00001-INA-000000")</f>
        <v>FIP-DOM-000-11304-OS00001-INA-000000</v>
      </c>
      <c r="P647" s="6" t="str">
        <f>IFERROR(__xludf.DUMMYFUNCTION("""COMPUTED_VALUE"""),"PO Closed")</f>
        <v>PO Closed</v>
      </c>
      <c r="Q647" s="6" t="str">
        <f>IFERROR(__xludf.DUMMYFUNCTION("""COMPUTED_VALUE"""),"GL1812019")</f>
        <v>GL1812019</v>
      </c>
      <c r="R647" s="16">
        <f>IFERROR(__xludf.DUMMYFUNCTION("""COMPUTED_VALUE"""),43446.0)</f>
        <v>43446</v>
      </c>
      <c r="S647" s="6" t="str">
        <f>IFERROR(__xludf.DUMMYFUNCTION("""COMPUTED_VALUE"""),"-")</f>
        <v>-</v>
      </c>
      <c r="T647" s="17">
        <f>IFERROR(__xludf.DUMMYFUNCTION("""COMPUTED_VALUE"""),43510.0)</f>
        <v>43510</v>
      </c>
    </row>
    <row r="648">
      <c r="A648" s="6" t="str">
        <f>IFERROR(__xludf.DUMMYFUNCTION("""COMPUTED_VALUE"""),"181750494-1")</f>
        <v>181750494-1</v>
      </c>
      <c r="B648" s="6" t="str">
        <f>IFERROR(__xludf.DUMMYFUNCTION("""COMPUTED_VALUE"""),"181750494 - Approved")</f>
        <v>181750494 - Approved</v>
      </c>
      <c r="C648" s="6">
        <f>IFERROR(__xludf.DUMMYFUNCTION("""COMPUTED_VALUE"""),1.0)</f>
        <v>1</v>
      </c>
      <c r="D648" s="6" t="str">
        <f>IFERROR(__xludf.DUMMYFUNCTION("""COMPUTED_VALUE"""),"P-11819-00")</f>
        <v>P-11819-00</v>
      </c>
      <c r="E648" s="6" t="str">
        <f>IFERROR(__xludf.DUMMYFUNCTION("""COMPUTED_VALUE"""),"Alumunium duct tape 2 inch")</f>
        <v>Alumunium duct tape 2 inch</v>
      </c>
      <c r="F648" s="6">
        <f>IFERROR(__xludf.DUMMYFUNCTION("""COMPUTED_VALUE"""),5.0)</f>
        <v>5</v>
      </c>
      <c r="G648" s="6" t="str">
        <f>IFERROR(__xludf.DUMMYFUNCTION("""COMPUTED_VALUE"""),"Pieces")</f>
        <v>Pieces</v>
      </c>
      <c r="H648" s="6" t="str">
        <f>IFERROR(__xludf.DUMMYFUNCTION("""COMPUTED_VALUE"""),"IDR")</f>
        <v>IDR</v>
      </c>
      <c r="I648" s="11">
        <f>IFERROR(__xludf.DUMMYFUNCTION("""COMPUTED_VALUE"""),55000.0)</f>
        <v>55000</v>
      </c>
      <c r="J648" s="11">
        <f>IFERROR(__xludf.DUMMYFUNCTION("""COMPUTED_VALUE"""),275000.0)</f>
        <v>275000</v>
      </c>
      <c r="K648" s="13">
        <f>IFERROR(__xludf.DUMMYFUNCTION("""COMPUTED_VALUE"""),43469.0)</f>
        <v>43469</v>
      </c>
      <c r="L648" s="6" t="str">
        <f>IFERROR(__xludf.DUMMYFUNCTION("""COMPUTED_VALUE"""),"FIP Engineering")</f>
        <v>FIP Engineering</v>
      </c>
      <c r="M648" s="6" t="str">
        <f>IFERROR(__xludf.DUMMYFUNCTION("""COMPUTED_VALUE"""),"Irwan Sopian")</f>
        <v>Irwan Sopian</v>
      </c>
      <c r="N648" s="6" t="str">
        <f>IFERROR(__xludf.DUMMYFUNCTION("""COMPUTED_VALUE"""),"FIP Engineering")</f>
        <v>FIP Engineering</v>
      </c>
      <c r="O648" s="6" t="str">
        <f>IFERROR(__xludf.DUMMYFUNCTION("""COMPUTED_VALUE"""),"FIP-DOM-000-11304-OS00001-INA-000000")</f>
        <v>FIP-DOM-000-11304-OS00001-INA-000000</v>
      </c>
      <c r="P648" s="6" t="str">
        <f>IFERROR(__xludf.DUMMYFUNCTION("""COMPUTED_VALUE"""),"PO Closed")</f>
        <v>PO Closed</v>
      </c>
      <c r="Q648" s="6" t="str">
        <f>IFERROR(__xludf.DUMMYFUNCTION("""COMPUTED_VALUE"""),"GL1901008")</f>
        <v>GL1901008</v>
      </c>
      <c r="R648" s="16">
        <f>IFERROR(__xludf.DUMMYFUNCTION("""COMPUTED_VALUE"""),43446.0)</f>
        <v>43446</v>
      </c>
      <c r="S648" s="6" t="str">
        <f>IFERROR(__xludf.DUMMYFUNCTION("""COMPUTED_VALUE"""),"-")</f>
        <v>-</v>
      </c>
      <c r="T648" s="13">
        <f>IFERROR(__xludf.DUMMYFUNCTION("""COMPUTED_VALUE"""),43483.0)</f>
        <v>43483</v>
      </c>
    </row>
    <row r="649">
      <c r="A649" s="6" t="str">
        <f>IFERROR(__xludf.DUMMYFUNCTION("""COMPUTED_VALUE"""),"181750494-2")</f>
        <v>181750494-2</v>
      </c>
      <c r="B649" s="6" t="str">
        <f>IFERROR(__xludf.DUMMYFUNCTION("""COMPUTED_VALUE"""),"181750494 - Approved")</f>
        <v>181750494 - Approved</v>
      </c>
      <c r="C649" s="6">
        <f>IFERROR(__xludf.DUMMYFUNCTION("""COMPUTED_VALUE"""),2.0)</f>
        <v>2</v>
      </c>
      <c r="D649" s="6" t="str">
        <f>IFERROR(__xludf.DUMMYFUNCTION("""COMPUTED_VALUE"""),"Q-10562-00")</f>
        <v>Q-10562-00</v>
      </c>
      <c r="E649" s="6" t="str">
        <f>IFERROR(__xludf.DUMMYFUNCTION("""COMPUTED_VALUE"""),"Proseal PAS-100 White Propan")</f>
        <v>Proseal PAS-100 White Propan</v>
      </c>
      <c r="F649" s="6">
        <f>IFERROR(__xludf.DUMMYFUNCTION("""COMPUTED_VALUE"""),5.0)</f>
        <v>5</v>
      </c>
      <c r="G649" s="6" t="str">
        <f>IFERROR(__xludf.DUMMYFUNCTION("""COMPUTED_VALUE"""),"Pieces")</f>
        <v>Pieces</v>
      </c>
      <c r="H649" s="6" t="str">
        <f>IFERROR(__xludf.DUMMYFUNCTION("""COMPUTED_VALUE"""),"IDR")</f>
        <v>IDR</v>
      </c>
      <c r="I649" s="11">
        <f>IFERROR(__xludf.DUMMYFUNCTION("""COMPUTED_VALUE"""),45000.0)</f>
        <v>45000</v>
      </c>
      <c r="J649" s="11">
        <f>IFERROR(__xludf.DUMMYFUNCTION("""COMPUTED_VALUE"""),225000.0)</f>
        <v>225000</v>
      </c>
      <c r="K649" s="13">
        <f>IFERROR(__xludf.DUMMYFUNCTION("""COMPUTED_VALUE"""),43469.0)</f>
        <v>43469</v>
      </c>
      <c r="L649" s="6" t="str">
        <f>IFERROR(__xludf.DUMMYFUNCTION("""COMPUTED_VALUE"""),"FIP Engineering")</f>
        <v>FIP Engineering</v>
      </c>
      <c r="M649" s="6" t="str">
        <f>IFERROR(__xludf.DUMMYFUNCTION("""COMPUTED_VALUE"""),"Irwan Sopian")</f>
        <v>Irwan Sopian</v>
      </c>
      <c r="N649" s="6" t="str">
        <f>IFERROR(__xludf.DUMMYFUNCTION("""COMPUTED_VALUE"""),"FIP Engineering")</f>
        <v>FIP Engineering</v>
      </c>
      <c r="O649" s="6" t="str">
        <f>IFERROR(__xludf.DUMMYFUNCTION("""COMPUTED_VALUE"""),"FIP-DOM-000-11304-OS00001-INA-000000")</f>
        <v>FIP-DOM-000-11304-OS00001-INA-000000</v>
      </c>
      <c r="P649" s="6" t="str">
        <f>IFERROR(__xludf.DUMMYFUNCTION("""COMPUTED_VALUE"""),"PO Closed")</f>
        <v>PO Closed</v>
      </c>
      <c r="Q649" s="6" t="str">
        <f>IFERROR(__xludf.DUMMYFUNCTION("""COMPUTED_VALUE"""),"GL1901022")</f>
        <v>GL1901022</v>
      </c>
      <c r="R649" s="16">
        <f>IFERROR(__xludf.DUMMYFUNCTION("""COMPUTED_VALUE"""),43446.0)</f>
        <v>43446</v>
      </c>
      <c r="S649" s="6" t="str">
        <f>IFERROR(__xludf.DUMMYFUNCTION("""COMPUTED_VALUE"""),"-")</f>
        <v>-</v>
      </c>
      <c r="T649" s="13">
        <f>IFERROR(__xludf.DUMMYFUNCTION("""COMPUTED_VALUE"""),43489.0)</f>
        <v>43489</v>
      </c>
    </row>
    <row r="650">
      <c r="A650" s="6" t="str">
        <f>IFERROR(__xludf.DUMMYFUNCTION("""COMPUTED_VALUE"""),"181750494-3")</f>
        <v>181750494-3</v>
      </c>
      <c r="B650" s="6" t="str">
        <f>IFERROR(__xludf.DUMMYFUNCTION("""COMPUTED_VALUE"""),"181750494 - Approved")</f>
        <v>181750494 - Approved</v>
      </c>
      <c r="C650" s="6">
        <f>IFERROR(__xludf.DUMMYFUNCTION("""COMPUTED_VALUE"""),3.0)</f>
        <v>3</v>
      </c>
      <c r="D650" s="6" t="str">
        <f>IFERROR(__xludf.DUMMYFUNCTION("""COMPUTED_VALUE"""),"Q-10572-00")</f>
        <v>Q-10572-00</v>
      </c>
      <c r="E650" s="6" t="str">
        <f>IFERROR(__xludf.DUMMYFUNCTION("""COMPUTED_VALUE"""),"PHILIPS - Lampu LED TL T8 120 Cm 16 Watt")</f>
        <v>PHILIPS - Lampu LED TL T8 120 Cm 16 Watt</v>
      </c>
      <c r="F650" s="6">
        <f>IFERROR(__xludf.DUMMYFUNCTION("""COMPUTED_VALUE"""),5.0)</f>
        <v>5</v>
      </c>
      <c r="G650" s="6" t="str">
        <f>IFERROR(__xludf.DUMMYFUNCTION("""COMPUTED_VALUE"""),"Pieces")</f>
        <v>Pieces</v>
      </c>
      <c r="H650" s="6" t="str">
        <f>IFERROR(__xludf.DUMMYFUNCTION("""COMPUTED_VALUE"""),"IDR")</f>
        <v>IDR</v>
      </c>
      <c r="I650" s="11">
        <f>IFERROR(__xludf.DUMMYFUNCTION("""COMPUTED_VALUE"""),75000.0)</f>
        <v>75000</v>
      </c>
      <c r="J650" s="11">
        <f>IFERROR(__xludf.DUMMYFUNCTION("""COMPUTED_VALUE"""),375000.0)</f>
        <v>375000</v>
      </c>
      <c r="K650" s="13">
        <f>IFERROR(__xludf.DUMMYFUNCTION("""COMPUTED_VALUE"""),43469.0)</f>
        <v>43469</v>
      </c>
      <c r="L650" s="6" t="str">
        <f>IFERROR(__xludf.DUMMYFUNCTION("""COMPUTED_VALUE"""),"FIP Engineering")</f>
        <v>FIP Engineering</v>
      </c>
      <c r="M650" s="6" t="str">
        <f>IFERROR(__xludf.DUMMYFUNCTION("""COMPUTED_VALUE"""),"Irwan Sopian")</f>
        <v>Irwan Sopian</v>
      </c>
      <c r="N650" s="6" t="str">
        <f>IFERROR(__xludf.DUMMYFUNCTION("""COMPUTED_VALUE"""),"FIP Engineering")</f>
        <v>FIP Engineering</v>
      </c>
      <c r="O650" s="6" t="str">
        <f>IFERROR(__xludf.DUMMYFUNCTION("""COMPUTED_VALUE"""),"FIP-DOM-000-11304-OS00001-INA-000000")</f>
        <v>FIP-DOM-000-11304-OS00001-INA-000000</v>
      </c>
      <c r="P650" s="6" t="str">
        <f>IFERROR(__xludf.DUMMYFUNCTION("""COMPUTED_VALUE"""),"PO Closed")</f>
        <v>PO Closed</v>
      </c>
      <c r="Q650" s="6" t="str">
        <f>IFERROR(__xludf.DUMMYFUNCTION("""COMPUTED_VALUE"""),"GL1901007")</f>
        <v>GL1901007</v>
      </c>
      <c r="R650" s="16">
        <f>IFERROR(__xludf.DUMMYFUNCTION("""COMPUTED_VALUE"""),43446.0)</f>
        <v>43446</v>
      </c>
      <c r="S650" s="6" t="str">
        <f>IFERROR(__xludf.DUMMYFUNCTION("""COMPUTED_VALUE"""),"-")</f>
        <v>-</v>
      </c>
      <c r="T650" s="17">
        <f>IFERROR(__xludf.DUMMYFUNCTION("""COMPUTED_VALUE"""),43489.0)</f>
        <v>43489</v>
      </c>
    </row>
    <row r="651">
      <c r="A651" s="6" t="str">
        <f>IFERROR(__xludf.DUMMYFUNCTION("""COMPUTED_VALUE"""),"181750494-4")</f>
        <v>181750494-4</v>
      </c>
      <c r="B651" s="6" t="str">
        <f>IFERROR(__xludf.DUMMYFUNCTION("""COMPUTED_VALUE"""),"181750494 - Approved")</f>
        <v>181750494 - Approved</v>
      </c>
      <c r="C651" s="6">
        <f>IFERROR(__xludf.DUMMYFUNCTION("""COMPUTED_VALUE"""),4.0)</f>
        <v>4</v>
      </c>
      <c r="D651" s="6" t="str">
        <f>IFERROR(__xludf.DUMMYFUNCTION("""COMPUTED_VALUE"""),"Q-10573-00")</f>
        <v>Q-10573-00</v>
      </c>
      <c r="E651" s="6" t="str">
        <f>IFERROR(__xludf.DUMMYFUNCTION("""COMPUTED_VALUE"""),"PHILIPS - Lampu Emergency TWS 200")</f>
        <v>PHILIPS - Lampu Emergency TWS 200</v>
      </c>
      <c r="F651" s="6">
        <f>IFERROR(__xludf.DUMMYFUNCTION("""COMPUTED_VALUE"""),5.0)</f>
        <v>5</v>
      </c>
      <c r="G651" s="6" t="str">
        <f>IFERROR(__xludf.DUMMYFUNCTION("""COMPUTED_VALUE"""),"Pieces")</f>
        <v>Pieces</v>
      </c>
      <c r="H651" s="6" t="str">
        <f>IFERROR(__xludf.DUMMYFUNCTION("""COMPUTED_VALUE"""),"IDR")</f>
        <v>IDR</v>
      </c>
      <c r="I651" s="11">
        <f>IFERROR(__xludf.DUMMYFUNCTION("""COMPUTED_VALUE"""),560000.0)</f>
        <v>560000</v>
      </c>
      <c r="J651" s="11">
        <f>IFERROR(__xludf.DUMMYFUNCTION("""COMPUTED_VALUE"""),2800000.0)</f>
        <v>2800000</v>
      </c>
      <c r="K651" s="13">
        <f>IFERROR(__xludf.DUMMYFUNCTION("""COMPUTED_VALUE"""),43469.0)</f>
        <v>43469</v>
      </c>
      <c r="L651" s="6" t="str">
        <f>IFERROR(__xludf.DUMMYFUNCTION("""COMPUTED_VALUE"""),"FIP Engineering")</f>
        <v>FIP Engineering</v>
      </c>
      <c r="M651" s="6" t="str">
        <f>IFERROR(__xludf.DUMMYFUNCTION("""COMPUTED_VALUE"""),"Irwan Sopian")</f>
        <v>Irwan Sopian</v>
      </c>
      <c r="N651" s="6" t="str">
        <f>IFERROR(__xludf.DUMMYFUNCTION("""COMPUTED_VALUE"""),"FIP Engineering")</f>
        <v>FIP Engineering</v>
      </c>
      <c r="O651" s="6" t="str">
        <f>IFERROR(__xludf.DUMMYFUNCTION("""COMPUTED_VALUE"""),"FIP-DOM-000-11304-OS00001-INA-000000")</f>
        <v>FIP-DOM-000-11304-OS00001-INA-000000</v>
      </c>
      <c r="P651" s="6" t="str">
        <f>IFERROR(__xludf.DUMMYFUNCTION("""COMPUTED_VALUE"""),"PO Closed")</f>
        <v>PO Closed</v>
      </c>
      <c r="Q651" s="6" t="str">
        <f>IFERROR(__xludf.DUMMYFUNCTION("""COMPUTED_VALUE"""),"GL1901007")</f>
        <v>GL1901007</v>
      </c>
      <c r="R651" s="16">
        <f>IFERROR(__xludf.DUMMYFUNCTION("""COMPUTED_VALUE"""),43446.0)</f>
        <v>43446</v>
      </c>
      <c r="S651" s="6" t="str">
        <f>IFERROR(__xludf.DUMMYFUNCTION("""COMPUTED_VALUE"""),"-")</f>
        <v>-</v>
      </c>
      <c r="T651" s="13">
        <f>IFERROR(__xludf.DUMMYFUNCTION("""COMPUTED_VALUE"""),43489.0)</f>
        <v>43489</v>
      </c>
    </row>
    <row r="652">
      <c r="A652" s="6" t="str">
        <f>IFERROR(__xludf.DUMMYFUNCTION("""COMPUTED_VALUE"""),"181750494-5")</f>
        <v>181750494-5</v>
      </c>
      <c r="B652" s="6" t="str">
        <f>IFERROR(__xludf.DUMMYFUNCTION("""COMPUTED_VALUE"""),"181750494 - Approved")</f>
        <v>181750494 - Approved</v>
      </c>
      <c r="C652" s="6">
        <f>IFERROR(__xludf.DUMMYFUNCTION("""COMPUTED_VALUE"""),5.0)</f>
        <v>5</v>
      </c>
      <c r="D652" s="6" t="str">
        <f>IFERROR(__xludf.DUMMYFUNCTION("""COMPUTED_VALUE"""),"Q-10571-00")</f>
        <v>Q-10571-00</v>
      </c>
      <c r="E652" s="6" t="str">
        <f>IFERROR(__xludf.DUMMYFUNCTION("""COMPUTED_VALUE"""),"PHILIPS - Kap Lampu Waterproof TCW 060 2X36 Watt")</f>
        <v>PHILIPS - Kap Lampu Waterproof TCW 060 2X36 Watt</v>
      </c>
      <c r="F652" s="6">
        <f>IFERROR(__xludf.DUMMYFUNCTION("""COMPUTED_VALUE"""),1.0)</f>
        <v>1</v>
      </c>
      <c r="G652" s="6" t="str">
        <f>IFERROR(__xludf.DUMMYFUNCTION("""COMPUTED_VALUE"""),"Pieces")</f>
        <v>Pieces</v>
      </c>
      <c r="H652" s="6" t="str">
        <f>IFERROR(__xludf.DUMMYFUNCTION("""COMPUTED_VALUE"""),"IDR")</f>
        <v>IDR</v>
      </c>
      <c r="I652" s="11">
        <f>IFERROR(__xludf.DUMMYFUNCTION("""COMPUTED_VALUE"""),575000.0)</f>
        <v>575000</v>
      </c>
      <c r="J652" s="11">
        <f>IFERROR(__xludf.DUMMYFUNCTION("""COMPUTED_VALUE"""),575000.0)</f>
        <v>575000</v>
      </c>
      <c r="K652" s="13">
        <f>IFERROR(__xludf.DUMMYFUNCTION("""COMPUTED_VALUE"""),43469.0)</f>
        <v>43469</v>
      </c>
      <c r="L652" s="6" t="str">
        <f>IFERROR(__xludf.DUMMYFUNCTION("""COMPUTED_VALUE"""),"FIP Engineering")</f>
        <v>FIP Engineering</v>
      </c>
      <c r="M652" s="6" t="str">
        <f>IFERROR(__xludf.DUMMYFUNCTION("""COMPUTED_VALUE"""),"Irwan Sopian")</f>
        <v>Irwan Sopian</v>
      </c>
      <c r="N652" s="6" t="str">
        <f>IFERROR(__xludf.DUMMYFUNCTION("""COMPUTED_VALUE"""),"FIP Engineering")</f>
        <v>FIP Engineering</v>
      </c>
      <c r="O652" s="6" t="str">
        <f>IFERROR(__xludf.DUMMYFUNCTION("""COMPUTED_VALUE"""),"FIP-DOM-000-11304-OS00001-INA-000000")</f>
        <v>FIP-DOM-000-11304-OS00001-INA-000000</v>
      </c>
      <c r="P652" s="6" t="str">
        <f>IFERROR(__xludf.DUMMYFUNCTION("""COMPUTED_VALUE"""),"PO Closed")</f>
        <v>PO Closed</v>
      </c>
      <c r="Q652" s="6" t="str">
        <f>IFERROR(__xludf.DUMMYFUNCTION("""COMPUTED_VALUE"""),"GL1901007")</f>
        <v>GL1901007</v>
      </c>
      <c r="R652" s="16">
        <f>IFERROR(__xludf.DUMMYFUNCTION("""COMPUTED_VALUE"""),43446.0)</f>
        <v>43446</v>
      </c>
      <c r="S652" s="6" t="str">
        <f>IFERROR(__xludf.DUMMYFUNCTION("""COMPUTED_VALUE"""),"-")</f>
        <v>-</v>
      </c>
      <c r="T652" s="13">
        <f>IFERROR(__xludf.DUMMYFUNCTION("""COMPUTED_VALUE"""),43489.0)</f>
        <v>43489</v>
      </c>
    </row>
    <row r="653">
      <c r="A653" s="6" t="str">
        <f>IFERROR(__xludf.DUMMYFUNCTION("""COMPUTED_VALUE"""),"181750494-6")</f>
        <v>181750494-6</v>
      </c>
      <c r="B653" s="6" t="str">
        <f>IFERROR(__xludf.DUMMYFUNCTION("""COMPUTED_VALUE"""),"181750494 - Approved")</f>
        <v>181750494 - Approved</v>
      </c>
      <c r="C653" s="6">
        <f>IFERROR(__xludf.DUMMYFUNCTION("""COMPUTED_VALUE"""),6.0)</f>
        <v>6</v>
      </c>
      <c r="D653" s="6" t="str">
        <f>IFERROR(__xludf.DUMMYFUNCTION("""COMPUTED_VALUE"""),"Q-10569-00")</f>
        <v>Q-10569-00</v>
      </c>
      <c r="E653" s="6" t="str">
        <f>IFERROR(__xludf.DUMMYFUNCTION("""COMPUTED_VALUE"""),"Lampu LED Emergency 6 Watt Hannoch Genius")</f>
        <v>Lampu LED Emergency 6 Watt Hannoch Genius</v>
      </c>
      <c r="F653" s="6">
        <f>IFERROR(__xludf.DUMMYFUNCTION("""COMPUTED_VALUE"""),2.0)</f>
        <v>2</v>
      </c>
      <c r="G653" s="6" t="str">
        <f>IFERROR(__xludf.DUMMYFUNCTION("""COMPUTED_VALUE"""),"Pieces")</f>
        <v>Pieces</v>
      </c>
      <c r="H653" s="6" t="str">
        <f>IFERROR(__xludf.DUMMYFUNCTION("""COMPUTED_VALUE"""),"IDR")</f>
        <v>IDR</v>
      </c>
      <c r="I653" s="11">
        <f>IFERROR(__xludf.DUMMYFUNCTION("""COMPUTED_VALUE"""),86500.0)</f>
        <v>86500</v>
      </c>
      <c r="J653" s="11">
        <f>IFERROR(__xludf.DUMMYFUNCTION("""COMPUTED_VALUE"""),173000.0)</f>
        <v>173000</v>
      </c>
      <c r="K653" s="13">
        <f>IFERROR(__xludf.DUMMYFUNCTION("""COMPUTED_VALUE"""),43469.0)</f>
        <v>43469</v>
      </c>
      <c r="L653" s="6" t="str">
        <f>IFERROR(__xludf.DUMMYFUNCTION("""COMPUTED_VALUE"""),"FIP Engineering")</f>
        <v>FIP Engineering</v>
      </c>
      <c r="M653" s="6" t="str">
        <f>IFERROR(__xludf.DUMMYFUNCTION("""COMPUTED_VALUE"""),"Irwan Sopian")</f>
        <v>Irwan Sopian</v>
      </c>
      <c r="N653" s="6" t="str">
        <f>IFERROR(__xludf.DUMMYFUNCTION("""COMPUTED_VALUE"""),"FIP Engineering")</f>
        <v>FIP Engineering</v>
      </c>
      <c r="O653" s="6" t="str">
        <f>IFERROR(__xludf.DUMMYFUNCTION("""COMPUTED_VALUE"""),"FIP-DOM-000-11304-OS00001-INA-000000")</f>
        <v>FIP-DOM-000-11304-OS00001-INA-000000</v>
      </c>
      <c r="P653" s="6" t="str">
        <f>IFERROR(__xludf.DUMMYFUNCTION("""COMPUTED_VALUE"""),"PO Closed")</f>
        <v>PO Closed</v>
      </c>
      <c r="Q653" s="6" t="str">
        <f>IFERROR(__xludf.DUMMYFUNCTION("""COMPUTED_VALUE"""),"GL1901007")</f>
        <v>GL1901007</v>
      </c>
      <c r="R653" s="16">
        <f>IFERROR(__xludf.DUMMYFUNCTION("""COMPUTED_VALUE"""),43446.0)</f>
        <v>43446</v>
      </c>
      <c r="S653" s="6" t="str">
        <f>IFERROR(__xludf.DUMMYFUNCTION("""COMPUTED_VALUE"""),"-")</f>
        <v>-</v>
      </c>
      <c r="T653" s="13">
        <f>IFERROR(__xludf.DUMMYFUNCTION("""COMPUTED_VALUE"""),43489.0)</f>
        <v>43489</v>
      </c>
    </row>
    <row r="654">
      <c r="A654" s="6" t="str">
        <f>IFERROR(__xludf.DUMMYFUNCTION("""COMPUTED_VALUE"""),"181750494-7")</f>
        <v>181750494-7</v>
      </c>
      <c r="B654" s="6" t="str">
        <f>IFERROR(__xludf.DUMMYFUNCTION("""COMPUTED_VALUE"""),"181750494 - Approved")</f>
        <v>181750494 - Approved</v>
      </c>
      <c r="C654" s="6">
        <f>IFERROR(__xludf.DUMMYFUNCTION("""COMPUTED_VALUE"""),7.0)</f>
        <v>7</v>
      </c>
      <c r="D654" s="6" t="str">
        <f>IFERROR(__xludf.DUMMYFUNCTION("""COMPUTED_VALUE"""),"Q-10570-00")</f>
        <v>Q-10570-00</v>
      </c>
      <c r="E654" s="6" t="str">
        <f>IFERROR(__xludf.DUMMYFUNCTION("""COMPUTED_VALUE"""),"Kap Lampu TL RM 2X18 Watt")</f>
        <v>Kap Lampu TL RM 2X18 Watt</v>
      </c>
      <c r="F654" s="6">
        <f>IFERROR(__xludf.DUMMYFUNCTION("""COMPUTED_VALUE"""),2.0)</f>
        <v>2</v>
      </c>
      <c r="G654" s="6" t="str">
        <f>IFERROR(__xludf.DUMMYFUNCTION("""COMPUTED_VALUE"""),"Pieces")</f>
        <v>Pieces</v>
      </c>
      <c r="H654" s="6" t="str">
        <f>IFERROR(__xludf.DUMMYFUNCTION("""COMPUTED_VALUE"""),"IDR")</f>
        <v>IDR</v>
      </c>
      <c r="I654" s="11">
        <f>IFERROR(__xludf.DUMMYFUNCTION("""COMPUTED_VALUE"""),350000.0)</f>
        <v>350000</v>
      </c>
      <c r="J654" s="11">
        <f>IFERROR(__xludf.DUMMYFUNCTION("""COMPUTED_VALUE"""),700000.0)</f>
        <v>700000</v>
      </c>
      <c r="K654" s="13">
        <f>IFERROR(__xludf.DUMMYFUNCTION("""COMPUTED_VALUE"""),43469.0)</f>
        <v>43469</v>
      </c>
      <c r="L654" s="6" t="str">
        <f>IFERROR(__xludf.DUMMYFUNCTION("""COMPUTED_VALUE"""),"FIP Engineering")</f>
        <v>FIP Engineering</v>
      </c>
      <c r="M654" s="6" t="str">
        <f>IFERROR(__xludf.DUMMYFUNCTION("""COMPUTED_VALUE"""),"Irwan Sopian")</f>
        <v>Irwan Sopian</v>
      </c>
      <c r="N654" s="6" t="str">
        <f>IFERROR(__xludf.DUMMYFUNCTION("""COMPUTED_VALUE"""),"FIP Engineering")</f>
        <v>FIP Engineering</v>
      </c>
      <c r="O654" s="6" t="str">
        <f>IFERROR(__xludf.DUMMYFUNCTION("""COMPUTED_VALUE"""),"FIP-DOM-000-11304-OS00001-INA-000000")</f>
        <v>FIP-DOM-000-11304-OS00001-INA-000000</v>
      </c>
      <c r="P654" s="6" t="str">
        <f>IFERROR(__xludf.DUMMYFUNCTION("""COMPUTED_VALUE"""),"PO Closed")</f>
        <v>PO Closed</v>
      </c>
      <c r="Q654" s="6" t="str">
        <f>IFERROR(__xludf.DUMMYFUNCTION("""COMPUTED_VALUE"""),"GL1901007")</f>
        <v>GL1901007</v>
      </c>
      <c r="R654" s="16">
        <f>IFERROR(__xludf.DUMMYFUNCTION("""COMPUTED_VALUE"""),43446.0)</f>
        <v>43446</v>
      </c>
      <c r="S654" s="6" t="str">
        <f>IFERROR(__xludf.DUMMYFUNCTION("""COMPUTED_VALUE"""),"-")</f>
        <v>-</v>
      </c>
      <c r="T654" s="13">
        <f>IFERROR(__xludf.DUMMYFUNCTION("""COMPUTED_VALUE"""),43518.0)</f>
        <v>43518</v>
      </c>
    </row>
    <row r="655">
      <c r="A655" s="6" t="str">
        <f>IFERROR(__xludf.DUMMYFUNCTION("""COMPUTED_VALUE"""),"181750494-8")</f>
        <v>181750494-8</v>
      </c>
      <c r="B655" s="6" t="str">
        <f>IFERROR(__xludf.DUMMYFUNCTION("""COMPUTED_VALUE"""),"181750494 - Approved")</f>
        <v>181750494 - Approved</v>
      </c>
      <c r="C655" s="6">
        <f>IFERROR(__xludf.DUMMYFUNCTION("""COMPUTED_VALUE"""),8.0)</f>
        <v>8</v>
      </c>
      <c r="D655" s="6" t="str">
        <f>IFERROR(__xludf.DUMMYFUNCTION("""COMPUTED_VALUE"""),"P-13596-00")</f>
        <v>P-13596-00</v>
      </c>
      <c r="E655" s="6" t="str">
        <f>IFERROR(__xludf.DUMMYFUNCTION("""COMPUTED_VALUE"""),"Cutting Diamond Disc for Ceramic Turbo Bosch")</f>
        <v>Cutting Diamond Disc for Ceramic Turbo Bosch</v>
      </c>
      <c r="F655" s="6">
        <f>IFERROR(__xludf.DUMMYFUNCTION("""COMPUTED_VALUE"""),2.0)</f>
        <v>2</v>
      </c>
      <c r="G655" s="6" t="str">
        <f>IFERROR(__xludf.DUMMYFUNCTION("""COMPUTED_VALUE"""),"Pieces")</f>
        <v>Pieces</v>
      </c>
      <c r="H655" s="6" t="str">
        <f>IFERROR(__xludf.DUMMYFUNCTION("""COMPUTED_VALUE"""),"IDR")</f>
        <v>IDR</v>
      </c>
      <c r="I655" s="11">
        <f>IFERROR(__xludf.DUMMYFUNCTION("""COMPUTED_VALUE"""),110000.0)</f>
        <v>110000</v>
      </c>
      <c r="J655" s="11">
        <f>IFERROR(__xludf.DUMMYFUNCTION("""COMPUTED_VALUE"""),220000.0)</f>
        <v>220000</v>
      </c>
      <c r="K655" s="13">
        <f>IFERROR(__xludf.DUMMYFUNCTION("""COMPUTED_VALUE"""),43469.0)</f>
        <v>43469</v>
      </c>
      <c r="L655" s="6" t="str">
        <f>IFERROR(__xludf.DUMMYFUNCTION("""COMPUTED_VALUE"""),"FIP Engineering")</f>
        <v>FIP Engineering</v>
      </c>
      <c r="M655" s="6" t="str">
        <f>IFERROR(__xludf.DUMMYFUNCTION("""COMPUTED_VALUE"""),"Irwan Sopian")</f>
        <v>Irwan Sopian</v>
      </c>
      <c r="N655" s="6" t="str">
        <f>IFERROR(__xludf.DUMMYFUNCTION("""COMPUTED_VALUE"""),"FIP Engineering")</f>
        <v>FIP Engineering</v>
      </c>
      <c r="O655" s="6" t="str">
        <f>IFERROR(__xludf.DUMMYFUNCTION("""COMPUTED_VALUE"""),"FIP-DOM-000-11304-OS00001-INA-000000")</f>
        <v>FIP-DOM-000-11304-OS00001-INA-000000</v>
      </c>
      <c r="P655" s="6" t="str">
        <f>IFERROR(__xludf.DUMMYFUNCTION("""COMPUTED_VALUE"""),"PO Closed")</f>
        <v>PO Closed</v>
      </c>
      <c r="Q655" s="6" t="str">
        <f>IFERROR(__xludf.DUMMYFUNCTION("""COMPUTED_VALUE"""),"GL1901007")</f>
        <v>GL1901007</v>
      </c>
      <c r="R655" s="16">
        <f>IFERROR(__xludf.DUMMYFUNCTION("""COMPUTED_VALUE"""),43446.0)</f>
        <v>43446</v>
      </c>
      <c r="S655" s="6" t="str">
        <f>IFERROR(__xludf.DUMMYFUNCTION("""COMPUTED_VALUE"""),"-")</f>
        <v>-</v>
      </c>
      <c r="T655" s="17">
        <f>IFERROR(__xludf.DUMMYFUNCTION("""COMPUTED_VALUE"""),43489.0)</f>
        <v>43489</v>
      </c>
    </row>
    <row r="656">
      <c r="A656" s="6" t="str">
        <f>IFERROR(__xludf.DUMMYFUNCTION("""COMPUTED_VALUE"""),"181750494-9")</f>
        <v>181750494-9</v>
      </c>
      <c r="B656" s="6" t="str">
        <f>IFERROR(__xludf.DUMMYFUNCTION("""COMPUTED_VALUE"""),"181750494 - Approved")</f>
        <v>181750494 - Approved</v>
      </c>
      <c r="C656" s="6">
        <f>IFERROR(__xludf.DUMMYFUNCTION("""COMPUTED_VALUE"""),9.0)</f>
        <v>9</v>
      </c>
      <c r="D656" s="6" t="str">
        <f>IFERROR(__xludf.DUMMYFUNCTION("""COMPUTED_VALUE"""),"P-13602-00")</f>
        <v>P-13602-00</v>
      </c>
      <c r="E656" s="6" t="str">
        <f>IFERROR(__xludf.DUMMYFUNCTION("""COMPUTED_VALUE"""),"Pipa Hollow SS 304 Uk. 20x 20mm")</f>
        <v>Pipa Hollow SS 304 Uk. 20x 20mm</v>
      </c>
      <c r="F656" s="6">
        <f>IFERROR(__xludf.DUMMYFUNCTION("""COMPUTED_VALUE"""),1.0)</f>
        <v>1</v>
      </c>
      <c r="G656" s="6" t="str">
        <f>IFERROR(__xludf.DUMMYFUNCTION("""COMPUTED_VALUE"""),"Pieces")</f>
        <v>Pieces</v>
      </c>
      <c r="H656" s="6" t="str">
        <f>IFERROR(__xludf.DUMMYFUNCTION("""COMPUTED_VALUE"""),"IDR")</f>
        <v>IDR</v>
      </c>
      <c r="I656" s="11">
        <f>IFERROR(__xludf.DUMMYFUNCTION("""COMPUTED_VALUE"""),550000.0)</f>
        <v>550000</v>
      </c>
      <c r="J656" s="11">
        <f>IFERROR(__xludf.DUMMYFUNCTION("""COMPUTED_VALUE"""),550000.0)</f>
        <v>550000</v>
      </c>
      <c r="K656" s="13">
        <f>IFERROR(__xludf.DUMMYFUNCTION("""COMPUTED_VALUE"""),43476.0)</f>
        <v>43476</v>
      </c>
      <c r="L656" s="6" t="str">
        <f>IFERROR(__xludf.DUMMYFUNCTION("""COMPUTED_VALUE"""),"FIP Engineering")</f>
        <v>FIP Engineering</v>
      </c>
      <c r="M656" s="6" t="str">
        <f>IFERROR(__xludf.DUMMYFUNCTION("""COMPUTED_VALUE"""),"Irwan Sopian")</f>
        <v>Irwan Sopian</v>
      </c>
      <c r="N656" s="6" t="str">
        <f>IFERROR(__xludf.DUMMYFUNCTION("""COMPUTED_VALUE"""),"FIP Engineering")</f>
        <v>FIP Engineering</v>
      </c>
      <c r="O656" s="6" t="str">
        <f>IFERROR(__xludf.DUMMYFUNCTION("""COMPUTED_VALUE"""),"FIP-DOM-000-11304-OS00001-INA-000000")</f>
        <v>FIP-DOM-000-11304-OS00001-INA-000000</v>
      </c>
      <c r="P656" s="6" t="str">
        <f>IFERROR(__xludf.DUMMYFUNCTION("""COMPUTED_VALUE"""),"PO Closed")</f>
        <v>PO Closed</v>
      </c>
      <c r="Q656" s="6" t="str">
        <f>IFERROR(__xludf.DUMMYFUNCTION("""COMPUTED_VALUE"""),"GL1901022")</f>
        <v>GL1901022</v>
      </c>
      <c r="R656" s="16">
        <f>IFERROR(__xludf.DUMMYFUNCTION("""COMPUTED_VALUE"""),43446.0)</f>
        <v>43446</v>
      </c>
      <c r="S656" s="6" t="str">
        <f>IFERROR(__xludf.DUMMYFUNCTION("""COMPUTED_VALUE"""),"-")</f>
        <v>-</v>
      </c>
      <c r="T656" s="13">
        <f>IFERROR(__xludf.DUMMYFUNCTION("""COMPUTED_VALUE"""),43489.0)</f>
        <v>43489</v>
      </c>
    </row>
    <row r="657">
      <c r="A657" s="6" t="str">
        <f>IFERROR(__xludf.DUMMYFUNCTION("""COMPUTED_VALUE"""),"181750494-10")</f>
        <v>181750494-10</v>
      </c>
      <c r="B657" s="6" t="str">
        <f>IFERROR(__xludf.DUMMYFUNCTION("""COMPUTED_VALUE"""),"181750494 - Approved")</f>
        <v>181750494 - Approved</v>
      </c>
      <c r="C657" s="6">
        <f>IFERROR(__xludf.DUMMYFUNCTION("""COMPUTED_VALUE"""),10.0)</f>
        <v>10</v>
      </c>
      <c r="D657" s="6" t="str">
        <f>IFERROR(__xludf.DUMMYFUNCTION("""COMPUTED_VALUE"""),"P-13601-00")</f>
        <v>P-13601-00</v>
      </c>
      <c r="E657" s="6" t="str">
        <f>IFERROR(__xludf.DUMMYFUNCTION("""COMPUTED_VALUE"""),"Besi Pejal SS 304 dia.6 mm")</f>
        <v>Besi Pejal SS 304 dia.6 mm</v>
      </c>
      <c r="F657" s="6">
        <f>IFERROR(__xludf.DUMMYFUNCTION("""COMPUTED_VALUE"""),1.0)</f>
        <v>1</v>
      </c>
      <c r="G657" s="6" t="str">
        <f>IFERROR(__xludf.DUMMYFUNCTION("""COMPUTED_VALUE"""),"Pieces")</f>
        <v>Pieces</v>
      </c>
      <c r="H657" s="6" t="str">
        <f>IFERROR(__xludf.DUMMYFUNCTION("""COMPUTED_VALUE"""),"IDR")</f>
        <v>IDR</v>
      </c>
      <c r="I657" s="11">
        <f>IFERROR(__xludf.DUMMYFUNCTION("""COMPUTED_VALUE"""),150000.0)</f>
        <v>150000</v>
      </c>
      <c r="J657" s="11">
        <f>IFERROR(__xludf.DUMMYFUNCTION("""COMPUTED_VALUE"""),150000.0)</f>
        <v>150000</v>
      </c>
      <c r="K657" s="13">
        <f>IFERROR(__xludf.DUMMYFUNCTION("""COMPUTED_VALUE"""),43469.0)</f>
        <v>43469</v>
      </c>
      <c r="L657" s="6" t="str">
        <f>IFERROR(__xludf.DUMMYFUNCTION("""COMPUTED_VALUE"""),"FIP Engineering")</f>
        <v>FIP Engineering</v>
      </c>
      <c r="M657" s="6" t="str">
        <f>IFERROR(__xludf.DUMMYFUNCTION("""COMPUTED_VALUE"""),"Irwan Sopian")</f>
        <v>Irwan Sopian</v>
      </c>
      <c r="N657" s="6" t="str">
        <f>IFERROR(__xludf.DUMMYFUNCTION("""COMPUTED_VALUE"""),"FIP Engineering")</f>
        <v>FIP Engineering</v>
      </c>
      <c r="O657" s="6" t="str">
        <f>IFERROR(__xludf.DUMMYFUNCTION("""COMPUTED_VALUE"""),"FIP-DOM-000-11304-OS00001-INA-000000")</f>
        <v>FIP-DOM-000-11304-OS00001-INA-000000</v>
      </c>
      <c r="P657" s="6" t="str">
        <f>IFERROR(__xludf.DUMMYFUNCTION("""COMPUTED_VALUE"""),"PO Closed")</f>
        <v>PO Closed</v>
      </c>
      <c r="Q657" s="6" t="str">
        <f>IFERROR(__xludf.DUMMYFUNCTION("""COMPUTED_VALUE"""),"GL1901022")</f>
        <v>GL1901022</v>
      </c>
      <c r="R657" s="16">
        <f>IFERROR(__xludf.DUMMYFUNCTION("""COMPUTED_VALUE"""),43446.0)</f>
        <v>43446</v>
      </c>
      <c r="S657" s="6" t="str">
        <f>IFERROR(__xludf.DUMMYFUNCTION("""COMPUTED_VALUE"""),"-")</f>
        <v>-</v>
      </c>
      <c r="T657" s="13">
        <f>IFERROR(__xludf.DUMMYFUNCTION("""COMPUTED_VALUE"""),43489.0)</f>
        <v>43489</v>
      </c>
    </row>
    <row r="658">
      <c r="A658" s="6" t="str">
        <f>IFERROR(__xludf.DUMMYFUNCTION("""COMPUTED_VALUE"""),"181750494-11")</f>
        <v>181750494-11</v>
      </c>
      <c r="B658" s="6" t="str">
        <f>IFERROR(__xludf.DUMMYFUNCTION("""COMPUTED_VALUE"""),"181750494 - Approved")</f>
        <v>181750494 - Approved</v>
      </c>
      <c r="C658" s="6">
        <f>IFERROR(__xludf.DUMMYFUNCTION("""COMPUTED_VALUE"""),11.0)</f>
        <v>11</v>
      </c>
      <c r="D658" s="6" t="str">
        <f>IFERROR(__xludf.DUMMYFUNCTION("""COMPUTED_VALUE"""),"P-13600-00")</f>
        <v>P-13600-00</v>
      </c>
      <c r="E658" s="6" t="str">
        <f>IFERROR(__xludf.DUMMYFUNCTION("""COMPUTED_VALUE"""),"Besi Pejal SS 304 dia.8 mm")</f>
        <v>Besi Pejal SS 304 dia.8 mm</v>
      </c>
      <c r="F658" s="6">
        <f>IFERROR(__xludf.DUMMYFUNCTION("""COMPUTED_VALUE"""),1.0)</f>
        <v>1</v>
      </c>
      <c r="G658" s="6" t="str">
        <f>IFERROR(__xludf.DUMMYFUNCTION("""COMPUTED_VALUE"""),"Pieces")</f>
        <v>Pieces</v>
      </c>
      <c r="H658" s="6" t="str">
        <f>IFERROR(__xludf.DUMMYFUNCTION("""COMPUTED_VALUE"""),"IDR")</f>
        <v>IDR</v>
      </c>
      <c r="I658" s="11">
        <f>IFERROR(__xludf.DUMMYFUNCTION("""COMPUTED_VALUE"""),180000.0)</f>
        <v>180000</v>
      </c>
      <c r="J658" s="11">
        <f>IFERROR(__xludf.DUMMYFUNCTION("""COMPUTED_VALUE"""),180000.0)</f>
        <v>180000</v>
      </c>
      <c r="K658" s="13">
        <f>IFERROR(__xludf.DUMMYFUNCTION("""COMPUTED_VALUE"""),43469.0)</f>
        <v>43469</v>
      </c>
      <c r="L658" s="6" t="str">
        <f>IFERROR(__xludf.DUMMYFUNCTION("""COMPUTED_VALUE"""),"FIP Engineering")</f>
        <v>FIP Engineering</v>
      </c>
      <c r="M658" s="6" t="str">
        <f>IFERROR(__xludf.DUMMYFUNCTION("""COMPUTED_VALUE"""),"Irwan Sopian")</f>
        <v>Irwan Sopian</v>
      </c>
      <c r="N658" s="6" t="str">
        <f>IFERROR(__xludf.DUMMYFUNCTION("""COMPUTED_VALUE"""),"FIP Engineering")</f>
        <v>FIP Engineering</v>
      </c>
      <c r="O658" s="6" t="str">
        <f>IFERROR(__xludf.DUMMYFUNCTION("""COMPUTED_VALUE"""),"FIP-DOM-000-11304-OS00001-INA-000000")</f>
        <v>FIP-DOM-000-11304-OS00001-INA-000000</v>
      </c>
      <c r="P658" s="6" t="str">
        <f>IFERROR(__xludf.DUMMYFUNCTION("""COMPUTED_VALUE"""),"PO Closed")</f>
        <v>PO Closed</v>
      </c>
      <c r="Q658" s="6" t="str">
        <f>IFERROR(__xludf.DUMMYFUNCTION("""COMPUTED_VALUE"""),"GL1901022")</f>
        <v>GL1901022</v>
      </c>
      <c r="R658" s="16">
        <f>IFERROR(__xludf.DUMMYFUNCTION("""COMPUTED_VALUE"""),43446.0)</f>
        <v>43446</v>
      </c>
      <c r="S658" s="6" t="str">
        <f>IFERROR(__xludf.DUMMYFUNCTION("""COMPUTED_VALUE"""),"-")</f>
        <v>-</v>
      </c>
      <c r="T658" s="13">
        <f>IFERROR(__xludf.DUMMYFUNCTION("""COMPUTED_VALUE"""),43489.0)</f>
        <v>43489</v>
      </c>
    </row>
    <row r="659">
      <c r="A659" s="6" t="str">
        <f>IFERROR(__xludf.DUMMYFUNCTION("""COMPUTED_VALUE"""),"181750494-12")</f>
        <v>181750494-12</v>
      </c>
      <c r="B659" s="6" t="str">
        <f>IFERROR(__xludf.DUMMYFUNCTION("""COMPUTED_VALUE"""),"181750494 - Approved")</f>
        <v>181750494 - Approved</v>
      </c>
      <c r="C659" s="6">
        <f>IFERROR(__xludf.DUMMYFUNCTION("""COMPUTED_VALUE"""),12.0)</f>
        <v>12</v>
      </c>
      <c r="D659" s="6" t="str">
        <f>IFERROR(__xludf.DUMMYFUNCTION("""COMPUTED_VALUE"""),"P-13599-00")</f>
        <v>P-13599-00</v>
      </c>
      <c r="E659" s="6" t="str">
        <f>IFERROR(__xludf.DUMMYFUNCTION("""COMPUTED_VALUE"""),"Besi Pejal SS 304 dia.10 mm")</f>
        <v>Besi Pejal SS 304 dia.10 mm</v>
      </c>
      <c r="F659" s="6">
        <f>IFERROR(__xludf.DUMMYFUNCTION("""COMPUTED_VALUE"""),1.0)</f>
        <v>1</v>
      </c>
      <c r="G659" s="6" t="str">
        <f>IFERROR(__xludf.DUMMYFUNCTION("""COMPUTED_VALUE"""),"Pieces")</f>
        <v>Pieces</v>
      </c>
      <c r="H659" s="6" t="str">
        <f>IFERROR(__xludf.DUMMYFUNCTION("""COMPUTED_VALUE"""),"IDR")</f>
        <v>IDR</v>
      </c>
      <c r="I659" s="11">
        <f>IFERROR(__xludf.DUMMYFUNCTION("""COMPUTED_VALUE"""),200000.0)</f>
        <v>200000</v>
      </c>
      <c r="J659" s="11">
        <f>IFERROR(__xludf.DUMMYFUNCTION("""COMPUTED_VALUE"""),200000.0)</f>
        <v>200000</v>
      </c>
      <c r="K659" s="13">
        <f>IFERROR(__xludf.DUMMYFUNCTION("""COMPUTED_VALUE"""),43469.0)</f>
        <v>43469</v>
      </c>
      <c r="L659" s="6" t="str">
        <f>IFERROR(__xludf.DUMMYFUNCTION("""COMPUTED_VALUE"""),"FIP Engineering")</f>
        <v>FIP Engineering</v>
      </c>
      <c r="M659" s="6" t="str">
        <f>IFERROR(__xludf.DUMMYFUNCTION("""COMPUTED_VALUE"""),"Irwan Sopian")</f>
        <v>Irwan Sopian</v>
      </c>
      <c r="N659" s="6" t="str">
        <f>IFERROR(__xludf.DUMMYFUNCTION("""COMPUTED_VALUE"""),"FIP Engineering")</f>
        <v>FIP Engineering</v>
      </c>
      <c r="O659" s="6" t="str">
        <f>IFERROR(__xludf.DUMMYFUNCTION("""COMPUTED_VALUE"""),"FIP-DOM-000-11304-OS00001-INA-000000")</f>
        <v>FIP-DOM-000-11304-OS00001-INA-000000</v>
      </c>
      <c r="P659" s="6" t="str">
        <f>IFERROR(__xludf.DUMMYFUNCTION("""COMPUTED_VALUE"""),"PO Closed")</f>
        <v>PO Closed</v>
      </c>
      <c r="Q659" s="6" t="str">
        <f>IFERROR(__xludf.DUMMYFUNCTION("""COMPUTED_VALUE"""),"GL1901022")</f>
        <v>GL1901022</v>
      </c>
      <c r="R659" s="16">
        <f>IFERROR(__xludf.DUMMYFUNCTION("""COMPUTED_VALUE"""),43446.0)</f>
        <v>43446</v>
      </c>
      <c r="S659" s="6" t="str">
        <f>IFERROR(__xludf.DUMMYFUNCTION("""COMPUTED_VALUE"""),"-")</f>
        <v>-</v>
      </c>
      <c r="T659" s="13">
        <f>IFERROR(__xludf.DUMMYFUNCTION("""COMPUTED_VALUE"""),43489.0)</f>
        <v>43489</v>
      </c>
    </row>
    <row r="660">
      <c r="A660" s="6" t="str">
        <f>IFERROR(__xludf.DUMMYFUNCTION("""COMPUTED_VALUE"""),"181750494-13")</f>
        <v>181750494-13</v>
      </c>
      <c r="B660" s="6" t="str">
        <f>IFERROR(__xludf.DUMMYFUNCTION("""COMPUTED_VALUE"""),"181750494 - Approved")</f>
        <v>181750494 - Approved</v>
      </c>
      <c r="C660" s="6">
        <f>IFERROR(__xludf.DUMMYFUNCTION("""COMPUTED_VALUE"""),13.0)</f>
        <v>13</v>
      </c>
      <c r="D660" s="6" t="str">
        <f>IFERROR(__xludf.DUMMYFUNCTION("""COMPUTED_VALUE"""),"Q-10128-00")</f>
        <v>Q-10128-00</v>
      </c>
      <c r="E660" s="6" t="str">
        <f>IFERROR(__xludf.DUMMYFUNCTION("""COMPUTED_VALUE"""),"Thinner Super End/Impala")</f>
        <v>Thinner Super End/Impala</v>
      </c>
      <c r="F660" s="6">
        <f>IFERROR(__xludf.DUMMYFUNCTION("""COMPUTED_VALUE"""),5.0)</f>
        <v>5</v>
      </c>
      <c r="G660" s="6" t="str">
        <f>IFERROR(__xludf.DUMMYFUNCTION("""COMPUTED_VALUE"""),"Pieces")</f>
        <v>Pieces</v>
      </c>
      <c r="H660" s="6" t="str">
        <f>IFERROR(__xludf.DUMMYFUNCTION("""COMPUTED_VALUE"""),"IDR")</f>
        <v>IDR</v>
      </c>
      <c r="I660" s="11">
        <f>IFERROR(__xludf.DUMMYFUNCTION("""COMPUTED_VALUE"""),29500.0)</f>
        <v>29500</v>
      </c>
      <c r="J660" s="11">
        <f>IFERROR(__xludf.DUMMYFUNCTION("""COMPUTED_VALUE"""),147500.0)</f>
        <v>147500</v>
      </c>
      <c r="K660" s="13">
        <f>IFERROR(__xludf.DUMMYFUNCTION("""COMPUTED_VALUE"""),43469.0)</f>
        <v>43469</v>
      </c>
      <c r="L660" s="6" t="str">
        <f>IFERROR(__xludf.DUMMYFUNCTION("""COMPUTED_VALUE"""),"FIP Engineering")</f>
        <v>FIP Engineering</v>
      </c>
      <c r="M660" s="6" t="str">
        <f>IFERROR(__xludf.DUMMYFUNCTION("""COMPUTED_VALUE"""),"Irwan Sopian")</f>
        <v>Irwan Sopian</v>
      </c>
      <c r="N660" s="6" t="str">
        <f>IFERROR(__xludf.DUMMYFUNCTION("""COMPUTED_VALUE"""),"FIP Engineering")</f>
        <v>FIP Engineering</v>
      </c>
      <c r="O660" s="6" t="str">
        <f>IFERROR(__xludf.DUMMYFUNCTION("""COMPUTED_VALUE"""),"FIP-DOM-000-11304-OS00001-INA-000000")</f>
        <v>FIP-DOM-000-11304-OS00001-INA-000000</v>
      </c>
      <c r="P660" s="6" t="str">
        <f>IFERROR(__xludf.DUMMYFUNCTION("""COMPUTED_VALUE"""),"PO Closed")</f>
        <v>PO Closed</v>
      </c>
      <c r="Q660" s="6" t="str">
        <f>IFERROR(__xludf.DUMMYFUNCTION("""COMPUTED_VALUE"""),"GL1901008")</f>
        <v>GL1901008</v>
      </c>
      <c r="R660" s="16">
        <f>IFERROR(__xludf.DUMMYFUNCTION("""COMPUTED_VALUE"""),43446.0)</f>
        <v>43446</v>
      </c>
      <c r="S660" s="6" t="str">
        <f>IFERROR(__xludf.DUMMYFUNCTION("""COMPUTED_VALUE"""),"-")</f>
        <v>-</v>
      </c>
      <c r="T660" s="13">
        <f>IFERROR(__xludf.DUMMYFUNCTION("""COMPUTED_VALUE"""),43483.0)</f>
        <v>43483</v>
      </c>
    </row>
    <row r="661">
      <c r="A661" s="6" t="str">
        <f>IFERROR(__xludf.DUMMYFUNCTION("""COMPUTED_VALUE"""),"181750493-1")</f>
        <v>181750493-1</v>
      </c>
      <c r="B661" s="6" t="str">
        <f>IFERROR(__xludf.DUMMYFUNCTION("""COMPUTED_VALUE"""),"181750493 - Approved")</f>
        <v>181750493 - Approved</v>
      </c>
      <c r="C661" s="6">
        <f>IFERROR(__xludf.DUMMYFUNCTION("""COMPUTED_VALUE"""),1.0)</f>
        <v>1</v>
      </c>
      <c r="D661" s="6" t="str">
        <f>IFERROR(__xludf.DUMMYFUNCTION("""COMPUTED_VALUE"""),"P-13603-00")</f>
        <v>P-13603-00</v>
      </c>
      <c r="E661" s="6" t="str">
        <f>IFERROR(__xludf.DUMMYFUNCTION("""COMPUTED_VALUE"""),"PW Generator Austar - RO Membranes BW30-400 DOW")</f>
        <v>PW Generator Austar - RO Membranes BW30-400 DOW</v>
      </c>
      <c r="F661" s="6">
        <f>IFERROR(__xludf.DUMMYFUNCTION("""COMPUTED_VALUE"""),4.0)</f>
        <v>4</v>
      </c>
      <c r="G661" s="6" t="str">
        <f>IFERROR(__xludf.DUMMYFUNCTION("""COMPUTED_VALUE"""),"Pieces")</f>
        <v>Pieces</v>
      </c>
      <c r="H661" s="6" t="str">
        <f>IFERROR(__xludf.DUMMYFUNCTION("""COMPUTED_VALUE"""),"IDR")</f>
        <v>IDR</v>
      </c>
      <c r="I661" s="11">
        <f>IFERROR(__xludf.DUMMYFUNCTION("""COMPUTED_VALUE"""),8750000.0)</f>
        <v>8750000</v>
      </c>
      <c r="J661" s="11">
        <f>IFERROR(__xludf.DUMMYFUNCTION("""COMPUTED_VALUE"""),3.5E7)</f>
        <v>35000000</v>
      </c>
      <c r="K661" s="13">
        <f>IFERROR(__xludf.DUMMYFUNCTION("""COMPUTED_VALUE"""),43497.0)</f>
        <v>43497</v>
      </c>
      <c r="L661" s="6" t="str">
        <f>IFERROR(__xludf.DUMMYFUNCTION("""COMPUTED_VALUE"""),"FIP Engineering")</f>
        <v>FIP Engineering</v>
      </c>
      <c r="M661" s="6" t="str">
        <f>IFERROR(__xludf.DUMMYFUNCTION("""COMPUTED_VALUE"""),"Irwan Sopian")</f>
        <v>Irwan Sopian</v>
      </c>
      <c r="N661" s="6" t="str">
        <f>IFERROR(__xludf.DUMMYFUNCTION("""COMPUTED_VALUE"""),"FIP Engineering")</f>
        <v>FIP Engineering</v>
      </c>
      <c r="O661" s="6" t="str">
        <f>IFERROR(__xludf.DUMMYFUNCTION("""COMPUTED_VALUE"""),"FIP-DOM-000-11304-OS00001-INA-000000")</f>
        <v>FIP-DOM-000-11304-OS00001-INA-000000</v>
      </c>
      <c r="P661" s="6" t="str">
        <f>IFERROR(__xludf.DUMMYFUNCTION("""COMPUTED_VALUE"""),"PO Closed")</f>
        <v>PO Closed</v>
      </c>
      <c r="Q661" s="6" t="str">
        <f>IFERROR(__xludf.DUMMYFUNCTION("""COMPUTED_VALUE"""),"GL1901003")</f>
        <v>GL1901003</v>
      </c>
      <c r="R661" s="16">
        <f>IFERROR(__xludf.DUMMYFUNCTION("""COMPUTED_VALUE"""),43446.0)</f>
        <v>43446</v>
      </c>
      <c r="S661" s="6" t="str">
        <f>IFERROR(__xludf.DUMMYFUNCTION("""COMPUTED_VALUE"""),"-")</f>
        <v>-</v>
      </c>
      <c r="T661" s="13">
        <f>IFERROR(__xludf.DUMMYFUNCTION("""COMPUTED_VALUE"""),43503.0)</f>
        <v>43503</v>
      </c>
    </row>
    <row r="662">
      <c r="A662" s="6" t="str">
        <f>IFERROR(__xludf.DUMMYFUNCTION("""COMPUTED_VALUE"""),"181750501-1")</f>
        <v>181750501-1</v>
      </c>
      <c r="B662" s="6" t="str">
        <f>IFERROR(__xludf.DUMMYFUNCTION("""COMPUTED_VALUE"""),"181750501 - Approved")</f>
        <v>181750501 - Approved</v>
      </c>
      <c r="C662" s="6">
        <f>IFERROR(__xludf.DUMMYFUNCTION("""COMPUTED_VALUE"""),1.0)</f>
        <v>1</v>
      </c>
      <c r="D662" s="6" t="str">
        <f>IFERROR(__xludf.DUMMYFUNCTION("""COMPUTED_VALUE"""),"P-15905-00")</f>
        <v>P-15905-00</v>
      </c>
      <c r="E662" s="6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F662" s="6">
        <f>IFERROR(__xludf.DUMMYFUNCTION("""COMPUTED_VALUE"""),1.0)</f>
        <v>1</v>
      </c>
      <c r="G662" s="6" t="str">
        <f>IFERROR(__xludf.DUMMYFUNCTION("""COMPUTED_VALUE"""),"Unit")</f>
        <v>Unit</v>
      </c>
      <c r="H662" s="6" t="str">
        <f>IFERROR(__xludf.DUMMYFUNCTION("""COMPUTED_VALUE"""),"IDR")</f>
        <v>IDR</v>
      </c>
      <c r="I662" s="11">
        <f>IFERROR(__xludf.DUMMYFUNCTION("""COMPUTED_VALUE"""),3575000.0)</f>
        <v>3575000</v>
      </c>
      <c r="J662" s="11">
        <f>IFERROR(__xludf.DUMMYFUNCTION("""COMPUTED_VALUE"""),3575000.0)</f>
        <v>3575000</v>
      </c>
      <c r="K662" s="13">
        <f>IFERROR(__xludf.DUMMYFUNCTION("""COMPUTED_VALUE"""),43496.0)</f>
        <v>43496</v>
      </c>
      <c r="L662" s="6" t="str">
        <f>IFERROR(__xludf.DUMMYFUNCTION("""COMPUTED_VALUE"""),"FIP Engineering")</f>
        <v>FIP Engineering</v>
      </c>
      <c r="M662" s="6" t="str">
        <f>IFERROR(__xludf.DUMMYFUNCTION("""COMPUTED_VALUE"""),"Irwan Sopian")</f>
        <v>Irwan Sopian</v>
      </c>
      <c r="N662" s="6" t="str">
        <f>IFERROR(__xludf.DUMMYFUNCTION("""COMPUTED_VALUE"""),"FIP Engineering")</f>
        <v>FIP Engineering</v>
      </c>
      <c r="O662" s="6" t="str">
        <f>IFERROR(__xludf.DUMMYFUNCTION("""COMPUTED_VALUE"""),"FIP-DOM-000-11304-OS00001-INA-000000")</f>
        <v>FIP-DOM-000-11304-OS00001-INA-000000</v>
      </c>
      <c r="P662" s="6" t="str">
        <f>IFERROR(__xludf.DUMMYFUNCTION("""COMPUTED_VALUE"""),"PO Closed")</f>
        <v>PO Closed</v>
      </c>
      <c r="Q662" s="6" t="str">
        <f>IFERROR(__xludf.DUMMYFUNCTION("""COMPUTED_VALUE"""),"GL1901010")</f>
        <v>GL1901010</v>
      </c>
      <c r="R662" s="16">
        <f>IFERROR(__xludf.DUMMYFUNCTION("""COMPUTED_VALUE"""),43451.0)</f>
        <v>43451</v>
      </c>
      <c r="S662" s="6" t="str">
        <f>IFERROR(__xludf.DUMMYFUNCTION("""COMPUTED_VALUE"""),"-")</f>
        <v>-</v>
      </c>
      <c r="T662" s="17">
        <f>IFERROR(__xludf.DUMMYFUNCTION("""COMPUTED_VALUE"""),43489.0)</f>
        <v>43489</v>
      </c>
    </row>
    <row r="663">
      <c r="A663" s="6" t="str">
        <f>IFERROR(__xludf.DUMMYFUNCTION("""COMPUTED_VALUE"""),"181750500-1")</f>
        <v>181750500-1</v>
      </c>
      <c r="B663" s="6" t="str">
        <f>IFERROR(__xludf.DUMMYFUNCTION("""COMPUTED_VALUE"""),"181750500 - Approved")</f>
        <v>181750500 - Approved</v>
      </c>
      <c r="C663" s="6">
        <f>IFERROR(__xludf.DUMMYFUNCTION("""COMPUTED_VALUE"""),1.0)</f>
        <v>1</v>
      </c>
      <c r="D663" s="6" t="str">
        <f>IFERROR(__xludf.DUMMYFUNCTION("""COMPUTED_VALUE"""),"P-10892-00")</f>
        <v>P-10892-00</v>
      </c>
      <c r="E663" s="6" t="str">
        <f>IFERROR(__xludf.DUMMYFUNCTION("""COMPUTED_VALUE"""),"Fitting PVC - SDL PVC 1""")</f>
        <v>Fitting PVC - SDL PVC 1"</v>
      </c>
      <c r="F663" s="6">
        <f>IFERROR(__xludf.DUMMYFUNCTION("""COMPUTED_VALUE"""),4.0)</f>
        <v>4</v>
      </c>
      <c r="G663" s="6" t="str">
        <f>IFERROR(__xludf.DUMMYFUNCTION("""COMPUTED_VALUE"""),"Pieces")</f>
        <v>Pieces</v>
      </c>
      <c r="H663" s="6" t="str">
        <f>IFERROR(__xludf.DUMMYFUNCTION("""COMPUTED_VALUE"""),"IDR")</f>
        <v>IDR</v>
      </c>
      <c r="I663" s="11">
        <f>IFERROR(__xludf.DUMMYFUNCTION("""COMPUTED_VALUE"""),5000.0)</f>
        <v>5000</v>
      </c>
      <c r="J663" s="11">
        <f>IFERROR(__xludf.DUMMYFUNCTION("""COMPUTED_VALUE"""),20000.0)</f>
        <v>20000</v>
      </c>
      <c r="K663" s="13">
        <f>IFERROR(__xludf.DUMMYFUNCTION("""COMPUTED_VALUE"""),43496.0)</f>
        <v>43496</v>
      </c>
      <c r="L663" s="6" t="str">
        <f>IFERROR(__xludf.DUMMYFUNCTION("""COMPUTED_VALUE"""),"FIP Engineering")</f>
        <v>FIP Engineering</v>
      </c>
      <c r="M663" s="6" t="str">
        <f>IFERROR(__xludf.DUMMYFUNCTION("""COMPUTED_VALUE"""),"Irwan Sopian")</f>
        <v>Irwan Sopian</v>
      </c>
      <c r="N663" s="6" t="str">
        <f>IFERROR(__xludf.DUMMYFUNCTION("""COMPUTED_VALUE"""),"FIP Engineering")</f>
        <v>FIP Engineering</v>
      </c>
      <c r="O663" s="6" t="str">
        <f>IFERROR(__xludf.DUMMYFUNCTION("""COMPUTED_VALUE"""),"FIP-DOM-000-11304-OS00001-INA-000000")</f>
        <v>FIP-DOM-000-11304-OS00001-INA-000000</v>
      </c>
      <c r="P663" s="6" t="str">
        <f>IFERROR(__xludf.DUMMYFUNCTION("""COMPUTED_VALUE"""),"PO Closed")</f>
        <v>PO Closed</v>
      </c>
      <c r="Q663" s="6" t="str">
        <f>IFERROR(__xludf.DUMMYFUNCTION("""COMPUTED_VALUE"""),"GL1901039")</f>
        <v>GL1901039</v>
      </c>
      <c r="R663" s="16">
        <f>IFERROR(__xludf.DUMMYFUNCTION("""COMPUTED_VALUE"""),43451.0)</f>
        <v>43451</v>
      </c>
      <c r="S663" s="6" t="str">
        <f>IFERROR(__xludf.DUMMYFUNCTION("""COMPUTED_VALUE"""),"-")</f>
        <v>-</v>
      </c>
      <c r="T663" s="13">
        <f>IFERROR(__xludf.DUMMYFUNCTION("""COMPUTED_VALUE"""),43496.0)</f>
        <v>43496</v>
      </c>
    </row>
    <row r="664">
      <c r="A664" s="6" t="str">
        <f>IFERROR(__xludf.DUMMYFUNCTION("""COMPUTED_VALUE"""),"181750500-2")</f>
        <v>181750500-2</v>
      </c>
      <c r="B664" s="6" t="str">
        <f>IFERROR(__xludf.DUMMYFUNCTION("""COMPUTED_VALUE"""),"181750500 - Approved")</f>
        <v>181750500 - Approved</v>
      </c>
      <c r="C664" s="6">
        <f>IFERROR(__xludf.DUMMYFUNCTION("""COMPUTED_VALUE"""),2.0)</f>
        <v>2</v>
      </c>
      <c r="D664" s="6" t="str">
        <f>IFERROR(__xludf.DUMMYFUNCTION("""COMPUTED_VALUE"""),"P-10945-00")</f>
        <v>P-10945-00</v>
      </c>
      <c r="E664" s="6" t="str">
        <f>IFERROR(__xludf.DUMMYFUNCTION("""COMPUTED_VALUE"""),"Insulation - Seal Tape onda")</f>
        <v>Insulation - Seal Tape onda</v>
      </c>
      <c r="F664" s="6">
        <f>IFERROR(__xludf.DUMMYFUNCTION("""COMPUTED_VALUE"""),10.0)</f>
        <v>10</v>
      </c>
      <c r="G664" s="6" t="str">
        <f>IFERROR(__xludf.DUMMYFUNCTION("""COMPUTED_VALUE"""),"Pieces")</f>
        <v>Pieces</v>
      </c>
      <c r="H664" s="6" t="str">
        <f>IFERROR(__xludf.DUMMYFUNCTION("""COMPUTED_VALUE"""),"IDR")</f>
        <v>IDR</v>
      </c>
      <c r="I664" s="11">
        <f>IFERROR(__xludf.DUMMYFUNCTION("""COMPUTED_VALUE"""),4000.0)</f>
        <v>4000</v>
      </c>
      <c r="J664" s="11">
        <f>IFERROR(__xludf.DUMMYFUNCTION("""COMPUTED_VALUE"""),40000.0)</f>
        <v>40000</v>
      </c>
      <c r="K664" s="13">
        <f>IFERROR(__xludf.DUMMYFUNCTION("""COMPUTED_VALUE"""),43496.0)</f>
        <v>43496</v>
      </c>
      <c r="L664" s="6" t="str">
        <f>IFERROR(__xludf.DUMMYFUNCTION("""COMPUTED_VALUE"""),"FIP Engineering")</f>
        <v>FIP Engineering</v>
      </c>
      <c r="M664" s="6" t="str">
        <f>IFERROR(__xludf.DUMMYFUNCTION("""COMPUTED_VALUE"""),"Irwan Sopian")</f>
        <v>Irwan Sopian</v>
      </c>
      <c r="N664" s="6" t="str">
        <f>IFERROR(__xludf.DUMMYFUNCTION("""COMPUTED_VALUE"""),"FIP Engineering")</f>
        <v>FIP Engineering</v>
      </c>
      <c r="O664" s="6" t="str">
        <f>IFERROR(__xludf.DUMMYFUNCTION("""COMPUTED_VALUE"""),"FIP-DOM-000-11304-OS00001-INA-000000")</f>
        <v>FIP-DOM-000-11304-OS00001-INA-000000</v>
      </c>
      <c r="P664" s="6" t="str">
        <f>IFERROR(__xludf.DUMMYFUNCTION("""COMPUTED_VALUE"""),"PO Closed")</f>
        <v>PO Closed</v>
      </c>
      <c r="Q664" s="6" t="str">
        <f>IFERROR(__xludf.DUMMYFUNCTION("""COMPUTED_VALUE"""),"GL1901039")</f>
        <v>GL1901039</v>
      </c>
      <c r="R664" s="16">
        <f>IFERROR(__xludf.DUMMYFUNCTION("""COMPUTED_VALUE"""),43451.0)</f>
        <v>43451</v>
      </c>
      <c r="S664" s="6" t="str">
        <f>IFERROR(__xludf.DUMMYFUNCTION("""COMPUTED_VALUE"""),"-")</f>
        <v>-</v>
      </c>
      <c r="T664" s="17">
        <f>IFERROR(__xludf.DUMMYFUNCTION("""COMPUTED_VALUE"""),43496.0)</f>
        <v>43496</v>
      </c>
    </row>
    <row r="665">
      <c r="A665" s="6" t="str">
        <f>IFERROR(__xludf.DUMMYFUNCTION("""COMPUTED_VALUE"""),"181750500-3")</f>
        <v>181750500-3</v>
      </c>
      <c r="B665" s="6" t="str">
        <f>IFERROR(__xludf.DUMMYFUNCTION("""COMPUTED_VALUE"""),"181750500 - Approved")</f>
        <v>181750500 - Approved</v>
      </c>
      <c r="C665" s="6">
        <f>IFERROR(__xludf.DUMMYFUNCTION("""COMPUTED_VALUE"""),3.0)</f>
        <v>3</v>
      </c>
      <c r="D665" s="6" t="str">
        <f>IFERROR(__xludf.DUMMYFUNCTION("""COMPUTED_VALUE"""),"P-53217-00")</f>
        <v>P-53217-00</v>
      </c>
      <c r="E665" s="6" t="str">
        <f>IFERROR(__xludf.DUMMYFUNCTION("""COMPUTED_VALUE"""),"Sealent Gun PROHEX")</f>
        <v>Sealent Gun PROHEX</v>
      </c>
      <c r="F665" s="6">
        <f>IFERROR(__xludf.DUMMYFUNCTION("""COMPUTED_VALUE"""),1.0)</f>
        <v>1</v>
      </c>
      <c r="G665" s="6" t="str">
        <f>IFERROR(__xludf.DUMMYFUNCTION("""COMPUTED_VALUE"""),"Pieces")</f>
        <v>Pieces</v>
      </c>
      <c r="H665" s="6" t="str">
        <f>IFERROR(__xludf.DUMMYFUNCTION("""COMPUTED_VALUE"""),"IDR")</f>
        <v>IDR</v>
      </c>
      <c r="I665" s="11">
        <f>IFERROR(__xludf.DUMMYFUNCTION("""COMPUTED_VALUE"""),20000.0)</f>
        <v>20000</v>
      </c>
      <c r="J665" s="11">
        <f>IFERROR(__xludf.DUMMYFUNCTION("""COMPUTED_VALUE"""),20000.0)</f>
        <v>20000</v>
      </c>
      <c r="K665" s="13">
        <f>IFERROR(__xludf.DUMMYFUNCTION("""COMPUTED_VALUE"""),43496.0)</f>
        <v>43496</v>
      </c>
      <c r="L665" s="6" t="str">
        <f>IFERROR(__xludf.DUMMYFUNCTION("""COMPUTED_VALUE"""),"FIP Engineering")</f>
        <v>FIP Engineering</v>
      </c>
      <c r="M665" s="6" t="str">
        <f>IFERROR(__xludf.DUMMYFUNCTION("""COMPUTED_VALUE"""),"Irwan Sopian")</f>
        <v>Irwan Sopian</v>
      </c>
      <c r="N665" s="6" t="str">
        <f>IFERROR(__xludf.DUMMYFUNCTION("""COMPUTED_VALUE"""),"FIP Engineering")</f>
        <v>FIP Engineering</v>
      </c>
      <c r="O665" s="6" t="str">
        <f>IFERROR(__xludf.DUMMYFUNCTION("""COMPUTED_VALUE"""),"FIP-DOM-000-11304-OS00001-INA-000000")</f>
        <v>FIP-DOM-000-11304-OS00001-INA-000000</v>
      </c>
      <c r="P665" s="6" t="str">
        <f>IFERROR(__xludf.DUMMYFUNCTION("""COMPUTED_VALUE"""),"PO Closed")</f>
        <v>PO Closed</v>
      </c>
      <c r="Q665" s="6" t="str">
        <f>IFERROR(__xludf.DUMMYFUNCTION("""COMPUTED_VALUE"""),"GL1901039")</f>
        <v>GL1901039</v>
      </c>
      <c r="R665" s="16">
        <f>IFERROR(__xludf.DUMMYFUNCTION("""COMPUTED_VALUE"""),43451.0)</f>
        <v>43451</v>
      </c>
      <c r="S665" s="6" t="str">
        <f>IFERROR(__xludf.DUMMYFUNCTION("""COMPUTED_VALUE"""),"-")</f>
        <v>-</v>
      </c>
      <c r="T665" s="13">
        <f>IFERROR(__xludf.DUMMYFUNCTION("""COMPUTED_VALUE"""),43496.0)</f>
        <v>43496</v>
      </c>
    </row>
    <row r="666">
      <c r="A666" s="6" t="str">
        <f>IFERROR(__xludf.DUMMYFUNCTION("""COMPUTED_VALUE"""),"181750500-4")</f>
        <v>181750500-4</v>
      </c>
      <c r="B666" s="6" t="str">
        <f>IFERROR(__xludf.DUMMYFUNCTION("""COMPUTED_VALUE"""),"181750500 - Approved")</f>
        <v>181750500 - Approved</v>
      </c>
      <c r="C666" s="6">
        <f>IFERROR(__xludf.DUMMYFUNCTION("""COMPUTED_VALUE"""),4.0)</f>
        <v>4</v>
      </c>
      <c r="D666" s="6" t="str">
        <f>IFERROR(__xludf.DUMMYFUNCTION("""COMPUTED_VALUE"""),"P-12433-00")</f>
        <v>P-12433-00</v>
      </c>
      <c r="E666" s="6" t="str">
        <f>IFERROR(__xludf.DUMMYFUNCTION("""COMPUTED_VALUE"""),"Isolasi AC- Sansui")</f>
        <v>Isolasi AC- Sansui</v>
      </c>
      <c r="F666" s="6">
        <f>IFERROR(__xludf.DUMMYFUNCTION("""COMPUTED_VALUE"""),3.0)</f>
        <v>3</v>
      </c>
      <c r="G666" s="6" t="str">
        <f>IFERROR(__xludf.DUMMYFUNCTION("""COMPUTED_VALUE"""),"Pieces")</f>
        <v>Pieces</v>
      </c>
      <c r="H666" s="6" t="str">
        <f>IFERROR(__xludf.DUMMYFUNCTION("""COMPUTED_VALUE"""),"IDR")</f>
        <v>IDR</v>
      </c>
      <c r="I666" s="11">
        <f>IFERROR(__xludf.DUMMYFUNCTION("""COMPUTED_VALUE"""),10000.0)</f>
        <v>10000</v>
      </c>
      <c r="J666" s="11">
        <f>IFERROR(__xludf.DUMMYFUNCTION("""COMPUTED_VALUE"""),30000.0)</f>
        <v>30000</v>
      </c>
      <c r="K666" s="13">
        <f>IFERROR(__xludf.DUMMYFUNCTION("""COMPUTED_VALUE"""),43496.0)</f>
        <v>43496</v>
      </c>
      <c r="L666" s="6" t="str">
        <f>IFERROR(__xludf.DUMMYFUNCTION("""COMPUTED_VALUE"""),"FIP Engineering")</f>
        <v>FIP Engineering</v>
      </c>
      <c r="M666" s="6" t="str">
        <f>IFERROR(__xludf.DUMMYFUNCTION("""COMPUTED_VALUE"""),"Irwan Sopian")</f>
        <v>Irwan Sopian</v>
      </c>
      <c r="N666" s="6" t="str">
        <f>IFERROR(__xludf.DUMMYFUNCTION("""COMPUTED_VALUE"""),"FIP Engineering")</f>
        <v>FIP Engineering</v>
      </c>
      <c r="O666" s="6" t="str">
        <f>IFERROR(__xludf.DUMMYFUNCTION("""COMPUTED_VALUE"""),"FIP-DOM-000-11304-OS00001-INA-000000")</f>
        <v>FIP-DOM-000-11304-OS00001-INA-000000</v>
      </c>
      <c r="P666" s="6" t="str">
        <f>IFERROR(__xludf.DUMMYFUNCTION("""COMPUTED_VALUE"""),"PO Closed")</f>
        <v>PO Closed</v>
      </c>
      <c r="Q666" s="6" t="str">
        <f>IFERROR(__xludf.DUMMYFUNCTION("""COMPUTED_VALUE"""),"GL1901039")</f>
        <v>GL1901039</v>
      </c>
      <c r="R666" s="16">
        <f>IFERROR(__xludf.DUMMYFUNCTION("""COMPUTED_VALUE"""),43451.0)</f>
        <v>43451</v>
      </c>
      <c r="S666" s="6" t="str">
        <f>IFERROR(__xludf.DUMMYFUNCTION("""COMPUTED_VALUE"""),"-")</f>
        <v>-</v>
      </c>
      <c r="T666" s="13">
        <f>IFERROR(__xludf.DUMMYFUNCTION("""COMPUTED_VALUE"""),43496.0)</f>
        <v>43496</v>
      </c>
    </row>
    <row r="667">
      <c r="A667" s="6" t="str">
        <f>IFERROR(__xludf.DUMMYFUNCTION("""COMPUTED_VALUE"""),"181750500-5")</f>
        <v>181750500-5</v>
      </c>
      <c r="B667" s="6" t="str">
        <f>IFERROR(__xludf.DUMMYFUNCTION("""COMPUTED_VALUE"""),"181750500 - Approved")</f>
        <v>181750500 - Approved</v>
      </c>
      <c r="C667" s="6">
        <f>IFERROR(__xludf.DUMMYFUNCTION("""COMPUTED_VALUE"""),5.0)</f>
        <v>5</v>
      </c>
      <c r="D667" s="6" t="str">
        <f>IFERROR(__xludf.DUMMYFUNCTION("""COMPUTED_VALUE"""),"P-12365-00")</f>
        <v>P-12365-00</v>
      </c>
      <c r="E667" s="6" t="str">
        <f>IFERROR(__xludf.DUMMYFUNCTION("""COMPUTED_VALUE"""),"Gembok sedang uk. 5 mm")</f>
        <v>Gembok sedang uk. 5 mm</v>
      </c>
      <c r="F667" s="6">
        <f>IFERROR(__xludf.DUMMYFUNCTION("""COMPUTED_VALUE"""),3.0)</f>
        <v>3</v>
      </c>
      <c r="G667" s="6" t="str">
        <f>IFERROR(__xludf.DUMMYFUNCTION("""COMPUTED_VALUE"""),"Pieces")</f>
        <v>Pieces</v>
      </c>
      <c r="H667" s="6" t="str">
        <f>IFERROR(__xludf.DUMMYFUNCTION("""COMPUTED_VALUE"""),"IDR")</f>
        <v>IDR</v>
      </c>
      <c r="I667" s="11">
        <f>IFERROR(__xludf.DUMMYFUNCTION("""COMPUTED_VALUE"""),8000.0)</f>
        <v>8000</v>
      </c>
      <c r="J667" s="11">
        <f>IFERROR(__xludf.DUMMYFUNCTION("""COMPUTED_VALUE"""),24000.0)</f>
        <v>24000</v>
      </c>
      <c r="K667" s="13">
        <f>IFERROR(__xludf.DUMMYFUNCTION("""COMPUTED_VALUE"""),43496.0)</f>
        <v>43496</v>
      </c>
      <c r="L667" s="6" t="str">
        <f>IFERROR(__xludf.DUMMYFUNCTION("""COMPUTED_VALUE"""),"FIP Engineering")</f>
        <v>FIP Engineering</v>
      </c>
      <c r="M667" s="6" t="str">
        <f>IFERROR(__xludf.DUMMYFUNCTION("""COMPUTED_VALUE"""),"Irwan Sopian")</f>
        <v>Irwan Sopian</v>
      </c>
      <c r="N667" s="6" t="str">
        <f>IFERROR(__xludf.DUMMYFUNCTION("""COMPUTED_VALUE"""),"FIP Engineering")</f>
        <v>FIP Engineering</v>
      </c>
      <c r="O667" s="6" t="str">
        <f>IFERROR(__xludf.DUMMYFUNCTION("""COMPUTED_VALUE"""),"FIP-DOM-000-11304-OS00001-INA-000000")</f>
        <v>FIP-DOM-000-11304-OS00001-INA-000000</v>
      </c>
      <c r="P667" s="6" t="str">
        <f>IFERROR(__xludf.DUMMYFUNCTION("""COMPUTED_VALUE"""),"PO Closed")</f>
        <v>PO Closed</v>
      </c>
      <c r="Q667" s="6" t="str">
        <f>IFERROR(__xludf.DUMMYFUNCTION("""COMPUTED_VALUE"""),"GL1901039")</f>
        <v>GL1901039</v>
      </c>
      <c r="R667" s="16">
        <f>IFERROR(__xludf.DUMMYFUNCTION("""COMPUTED_VALUE"""),43451.0)</f>
        <v>43451</v>
      </c>
      <c r="S667" s="6" t="str">
        <f>IFERROR(__xludf.DUMMYFUNCTION("""COMPUTED_VALUE"""),"-")</f>
        <v>-</v>
      </c>
      <c r="T667" s="17">
        <f>IFERROR(__xludf.DUMMYFUNCTION("""COMPUTED_VALUE"""),43496.0)</f>
        <v>43496</v>
      </c>
    </row>
    <row r="668">
      <c r="A668" s="6" t="str">
        <f>IFERROR(__xludf.DUMMYFUNCTION("""COMPUTED_VALUE"""),"181750471-8")</f>
        <v>181750471-8</v>
      </c>
      <c r="B668" s="6" t="str">
        <f>IFERROR(__xludf.DUMMYFUNCTION("""COMPUTED_VALUE"""),"181750471 - Approved")</f>
        <v>181750471 - Approved</v>
      </c>
      <c r="C668" s="6">
        <f>IFERROR(__xludf.DUMMYFUNCTION("""COMPUTED_VALUE"""),8.0)</f>
        <v>8</v>
      </c>
      <c r="D668" s="6" t="str">
        <f>IFERROR(__xludf.DUMMYFUNCTION("""COMPUTED_VALUE"""),"P-13498-00")</f>
        <v>P-13498-00</v>
      </c>
      <c r="E668" s="6" t="str">
        <f>IFERROR(__xludf.DUMMYFUNCTION("""COMPUTED_VALUE"""),"Panel Lock MS603")</f>
        <v>Panel Lock MS603</v>
      </c>
      <c r="F668" s="6">
        <f>IFERROR(__xludf.DUMMYFUNCTION("""COMPUTED_VALUE"""),2.0)</f>
        <v>2</v>
      </c>
      <c r="G668" s="6" t="str">
        <f>IFERROR(__xludf.DUMMYFUNCTION("""COMPUTED_VALUE"""),"Pieces")</f>
        <v>Pieces</v>
      </c>
      <c r="H668" s="6" t="str">
        <f>IFERROR(__xludf.DUMMYFUNCTION("""COMPUTED_VALUE"""),"IDR")</f>
        <v>IDR</v>
      </c>
      <c r="I668" s="11">
        <f>IFERROR(__xludf.DUMMYFUNCTION("""COMPUTED_VALUE"""),27500.0)</f>
        <v>27500</v>
      </c>
      <c r="J668" s="11">
        <f>IFERROR(__xludf.DUMMYFUNCTION("""COMPUTED_VALUE"""),55000.0)</f>
        <v>55000</v>
      </c>
      <c r="K668" s="13">
        <f>IFERROR(__xludf.DUMMYFUNCTION("""COMPUTED_VALUE"""),43483.0)</f>
        <v>43483</v>
      </c>
      <c r="L668" s="6" t="str">
        <f>IFERROR(__xludf.DUMMYFUNCTION("""COMPUTED_VALUE"""),"FIP General")</f>
        <v>FIP General</v>
      </c>
      <c r="M668" s="6" t="str">
        <f>IFERROR(__xludf.DUMMYFUNCTION("""COMPUTED_VALUE"""),"Irwan Sopian")</f>
        <v>Irwan Sopian</v>
      </c>
      <c r="N668" s="6" t="str">
        <f>IFERROR(__xludf.DUMMYFUNCTION("""COMPUTED_VALUE"""),"FIP Engineering")</f>
        <v>FIP Engineering</v>
      </c>
      <c r="O668" s="6" t="str">
        <f>IFERROR(__xludf.DUMMYFUNCTION("""COMPUTED_VALUE"""),"FIP-DOM-ENG-51404-0000000-INA-000000")</f>
        <v>FIP-DOM-ENG-51404-0000000-INA-000000</v>
      </c>
      <c r="P668" s="6" t="str">
        <f>IFERROR(__xludf.DUMMYFUNCTION("""COMPUTED_VALUE"""),"PO Closed")</f>
        <v>PO Closed</v>
      </c>
      <c r="Q668" s="6" t="str">
        <f>IFERROR(__xludf.DUMMYFUNCTION("""COMPUTED_VALUE"""),"GL1901007")</f>
        <v>GL1901007</v>
      </c>
      <c r="R668" s="17">
        <f>IFERROR(__xludf.DUMMYFUNCTION("""COMPUTED_VALUE"""),43451.0)</f>
        <v>43451</v>
      </c>
      <c r="S668" s="6" t="str">
        <f>IFERROR(__xludf.DUMMYFUNCTION("""COMPUTED_VALUE"""),"-")</f>
        <v>-</v>
      </c>
      <c r="T668" s="17">
        <f>IFERROR(__xludf.DUMMYFUNCTION("""COMPUTED_VALUE"""),43489.0)</f>
        <v>43489</v>
      </c>
    </row>
    <row r="669">
      <c r="A669" s="6" t="str">
        <f>IFERROR(__xludf.DUMMYFUNCTION("""COMPUTED_VALUE"""),"181750504-1")</f>
        <v>181750504-1</v>
      </c>
      <c r="B669" s="6" t="str">
        <f>IFERROR(__xludf.DUMMYFUNCTION("""COMPUTED_VALUE"""),"181750504 - Approved")</f>
        <v>181750504 - Approved</v>
      </c>
      <c r="C669" s="6">
        <f>IFERROR(__xludf.DUMMYFUNCTION("""COMPUTED_VALUE"""),1.0)</f>
        <v>1</v>
      </c>
      <c r="D669" s="6" t="str">
        <f>IFERROR(__xludf.DUMMYFUNCTION("""COMPUTED_VALUE"""),"P-51559-00")</f>
        <v>P-51559-00</v>
      </c>
      <c r="E669" s="6" t="str">
        <f>IFERROR(__xludf.DUMMYFUNCTION("""COMPUTED_VALUE"""),"Lampu T5 14watt Putih Phillips")</f>
        <v>Lampu T5 14watt Putih Phillips</v>
      </c>
      <c r="F669" s="6">
        <f>IFERROR(__xludf.DUMMYFUNCTION("""COMPUTED_VALUE"""),30.0)</f>
        <v>30</v>
      </c>
      <c r="G669" s="6" t="str">
        <f>IFERROR(__xludf.DUMMYFUNCTION("""COMPUTED_VALUE"""),"Pack")</f>
        <v>Pack</v>
      </c>
      <c r="H669" s="6" t="str">
        <f>IFERROR(__xludf.DUMMYFUNCTION("""COMPUTED_VALUE"""),"IDR")</f>
        <v>IDR</v>
      </c>
      <c r="I669" s="11">
        <f>IFERROR(__xludf.DUMMYFUNCTION("""COMPUTED_VALUE"""),29700.0)</f>
        <v>29700</v>
      </c>
      <c r="J669" s="11">
        <f>IFERROR(__xludf.DUMMYFUNCTION("""COMPUTED_VALUE"""),891000.0)</f>
        <v>891000</v>
      </c>
      <c r="K669" s="13">
        <f>IFERROR(__xludf.DUMMYFUNCTION("""COMPUTED_VALUE"""),43490.0)</f>
        <v>43490</v>
      </c>
      <c r="L669" s="6" t="str">
        <f>IFERROR(__xludf.DUMMYFUNCTION("""COMPUTED_VALUE"""),"FIP Engineering")</f>
        <v>FIP Engineering</v>
      </c>
      <c r="M669" s="6" t="str">
        <f>IFERROR(__xludf.DUMMYFUNCTION("""COMPUTED_VALUE"""),"Irwan Sopian")</f>
        <v>Irwan Sopian</v>
      </c>
      <c r="N669" s="6" t="str">
        <f>IFERROR(__xludf.DUMMYFUNCTION("""COMPUTED_VALUE"""),"FIP Engineering")</f>
        <v>FIP Engineering</v>
      </c>
      <c r="O669" s="6" t="str">
        <f>IFERROR(__xludf.DUMMYFUNCTION("""COMPUTED_VALUE"""),"FIP-DOM-000-11304-OS00001-INA-000000")</f>
        <v>FIP-DOM-000-11304-OS00001-INA-000000</v>
      </c>
      <c r="P669" s="6" t="str">
        <f>IFERROR(__xludf.DUMMYFUNCTION("""COMPUTED_VALUE"""),"PO Closed")</f>
        <v>PO Closed</v>
      </c>
      <c r="Q669" s="6" t="str">
        <f>IFERROR(__xludf.DUMMYFUNCTION("""COMPUTED_VALUE"""),"GL1901040")</f>
        <v>GL1901040</v>
      </c>
      <c r="R669" s="16">
        <f>IFERROR(__xludf.DUMMYFUNCTION("""COMPUTED_VALUE"""),43453.0)</f>
        <v>43453</v>
      </c>
      <c r="S669" s="6" t="str">
        <f>IFERROR(__xludf.DUMMYFUNCTION("""COMPUTED_VALUE"""),"-")</f>
        <v>-</v>
      </c>
      <c r="T669" s="13">
        <f>IFERROR(__xludf.DUMMYFUNCTION("""COMPUTED_VALUE"""),43496.0)</f>
        <v>43496</v>
      </c>
    </row>
    <row r="670">
      <c r="A670" s="6" t="str">
        <f>IFERROR(__xludf.DUMMYFUNCTION("""COMPUTED_VALUE"""),"181750504-2")</f>
        <v>181750504-2</v>
      </c>
      <c r="B670" s="6" t="str">
        <f>IFERROR(__xludf.DUMMYFUNCTION("""COMPUTED_VALUE"""),"181750504 - Approved")</f>
        <v>181750504 - Approved</v>
      </c>
      <c r="C670" s="6">
        <f>IFERROR(__xludf.DUMMYFUNCTION("""COMPUTED_VALUE"""),2.0)</f>
        <v>2</v>
      </c>
      <c r="D670" s="6" t="str">
        <f>IFERROR(__xludf.DUMMYFUNCTION("""COMPUTED_VALUE"""),"P-51560-00")</f>
        <v>P-51560-00</v>
      </c>
      <c r="E670" s="6" t="str">
        <f>IFERROR(__xludf.DUMMYFUNCTION("""COMPUTED_VALUE"""),"Lampu T5 28watt Putih Phillips")</f>
        <v>Lampu T5 28watt Putih Phillips</v>
      </c>
      <c r="F670" s="6">
        <f>IFERROR(__xludf.DUMMYFUNCTION("""COMPUTED_VALUE"""),20.0)</f>
        <v>20</v>
      </c>
      <c r="G670" s="6" t="str">
        <f>IFERROR(__xludf.DUMMYFUNCTION("""COMPUTED_VALUE"""),"Pieces")</f>
        <v>Pieces</v>
      </c>
      <c r="H670" s="6" t="str">
        <f>IFERROR(__xludf.DUMMYFUNCTION("""COMPUTED_VALUE"""),"IDR")</f>
        <v>IDR</v>
      </c>
      <c r="I670" s="11">
        <f>IFERROR(__xludf.DUMMYFUNCTION("""COMPUTED_VALUE"""),36000.0)</f>
        <v>36000</v>
      </c>
      <c r="J670" s="11">
        <f>IFERROR(__xludf.DUMMYFUNCTION("""COMPUTED_VALUE"""),720000.0)</f>
        <v>720000</v>
      </c>
      <c r="K670" s="13">
        <f>IFERROR(__xludf.DUMMYFUNCTION("""COMPUTED_VALUE"""),43490.0)</f>
        <v>43490</v>
      </c>
      <c r="L670" s="6" t="str">
        <f>IFERROR(__xludf.DUMMYFUNCTION("""COMPUTED_VALUE"""),"FIP Engineering")</f>
        <v>FIP Engineering</v>
      </c>
      <c r="M670" s="6" t="str">
        <f>IFERROR(__xludf.DUMMYFUNCTION("""COMPUTED_VALUE"""),"Irwan Sopian")</f>
        <v>Irwan Sopian</v>
      </c>
      <c r="N670" s="6" t="str">
        <f>IFERROR(__xludf.DUMMYFUNCTION("""COMPUTED_VALUE"""),"FIP Engineering")</f>
        <v>FIP Engineering</v>
      </c>
      <c r="O670" s="6" t="str">
        <f>IFERROR(__xludf.DUMMYFUNCTION("""COMPUTED_VALUE"""),"FIP-DOM-000-11304-OS00001-INA-000000")</f>
        <v>FIP-DOM-000-11304-OS00001-INA-000000</v>
      </c>
      <c r="P670" s="6" t="str">
        <f>IFERROR(__xludf.DUMMYFUNCTION("""COMPUTED_VALUE"""),"PO Closed")</f>
        <v>PO Closed</v>
      </c>
      <c r="Q670" s="6" t="str">
        <f>IFERROR(__xludf.DUMMYFUNCTION("""COMPUTED_VALUE"""),"GL1901040")</f>
        <v>GL1901040</v>
      </c>
      <c r="R670" s="16">
        <f>IFERROR(__xludf.DUMMYFUNCTION("""COMPUTED_VALUE"""),43453.0)</f>
        <v>43453</v>
      </c>
      <c r="S670" s="6" t="str">
        <f>IFERROR(__xludf.DUMMYFUNCTION("""COMPUTED_VALUE"""),"-")</f>
        <v>-</v>
      </c>
      <c r="T670" s="13">
        <f>IFERROR(__xludf.DUMMYFUNCTION("""COMPUTED_VALUE"""),43496.0)</f>
        <v>43496</v>
      </c>
    </row>
    <row r="671">
      <c r="A671" s="6" t="str">
        <f>IFERROR(__xludf.DUMMYFUNCTION("""COMPUTED_VALUE"""),"181750505-1")</f>
        <v>181750505-1</v>
      </c>
      <c r="B671" s="6" t="str">
        <f>IFERROR(__xludf.DUMMYFUNCTION("""COMPUTED_VALUE"""),"181750505 - Approved")</f>
        <v>181750505 - Approved</v>
      </c>
      <c r="C671" s="6">
        <f>IFERROR(__xludf.DUMMYFUNCTION("""COMPUTED_VALUE"""),1.0)</f>
        <v>1</v>
      </c>
      <c r="D671" s="6" t="str">
        <f>IFERROR(__xludf.DUMMYFUNCTION("""COMPUTED_VALUE"""),"Q-10272-00")</f>
        <v>Q-10272-00</v>
      </c>
      <c r="E671" s="6" t="str">
        <f>IFERROR(__xludf.DUMMYFUNCTION("""COMPUTED_VALUE"""),"Cat epoxy Polyfloor PFT 253 Propan")</f>
        <v>Cat epoxy Polyfloor PFT 253 Propan</v>
      </c>
      <c r="F671" s="6">
        <f>IFERROR(__xludf.DUMMYFUNCTION("""COMPUTED_VALUE"""),1.0)</f>
        <v>1</v>
      </c>
      <c r="G671" s="6" t="str">
        <f>IFERROR(__xludf.DUMMYFUNCTION("""COMPUTED_VALUE"""),"Pieces")</f>
        <v>Pieces</v>
      </c>
      <c r="H671" s="6" t="str">
        <f>IFERROR(__xludf.DUMMYFUNCTION("""COMPUTED_VALUE"""),"IDR")</f>
        <v>IDR</v>
      </c>
      <c r="I671" s="11">
        <f>IFERROR(__xludf.DUMMYFUNCTION("""COMPUTED_VALUE"""),860000.0)</f>
        <v>860000</v>
      </c>
      <c r="J671" s="11">
        <f>IFERROR(__xludf.DUMMYFUNCTION("""COMPUTED_VALUE"""),860000.0)</f>
        <v>860000</v>
      </c>
      <c r="K671" s="13">
        <f>IFERROR(__xludf.DUMMYFUNCTION("""COMPUTED_VALUE"""),43500.0)</f>
        <v>43500</v>
      </c>
      <c r="L671" s="6" t="str">
        <f>IFERROR(__xludf.DUMMYFUNCTION("""COMPUTED_VALUE"""),"FIP General")</f>
        <v>FIP General</v>
      </c>
      <c r="M671" s="6" t="str">
        <f>IFERROR(__xludf.DUMMYFUNCTION("""COMPUTED_VALUE"""),"Irwan Sopian")</f>
        <v>Irwan Sopian</v>
      </c>
      <c r="N671" s="6" t="str">
        <f>IFERROR(__xludf.DUMMYFUNCTION("""COMPUTED_VALUE"""),"FIP Engineering")</f>
        <v>FIP Engineering</v>
      </c>
      <c r="O671" s="6" t="str">
        <f>IFERROR(__xludf.DUMMYFUNCTION("""COMPUTED_VALUE"""),"FIP-DOM-ENG-51502-0000000-INA-000000")</f>
        <v>FIP-DOM-ENG-51502-0000000-INA-000000</v>
      </c>
      <c r="P671" s="6" t="str">
        <f>IFERROR(__xludf.DUMMYFUNCTION("""COMPUTED_VALUE"""),"PO Closed")</f>
        <v>PO Closed</v>
      </c>
      <c r="Q671" s="6" t="str">
        <f>IFERROR(__xludf.DUMMYFUNCTION("""COMPUTED_VALUE"""),"GL1901041")</f>
        <v>GL1901041</v>
      </c>
      <c r="R671" s="16">
        <f>IFERROR(__xludf.DUMMYFUNCTION("""COMPUTED_VALUE"""),43454.0)</f>
        <v>43454</v>
      </c>
      <c r="S671" s="6" t="str">
        <f>IFERROR(__xludf.DUMMYFUNCTION("""COMPUTED_VALUE"""),"-")</f>
        <v>-</v>
      </c>
      <c r="T671" s="13">
        <f>IFERROR(__xludf.DUMMYFUNCTION("""COMPUTED_VALUE"""),43525.0)</f>
        <v>43525</v>
      </c>
    </row>
    <row r="672">
      <c r="A672" s="6" t="str">
        <f>IFERROR(__xludf.DUMMYFUNCTION("""COMPUTED_VALUE"""),"181750505-2")</f>
        <v>181750505-2</v>
      </c>
      <c r="B672" s="6" t="str">
        <f>IFERROR(__xludf.DUMMYFUNCTION("""COMPUTED_VALUE"""),"181750505 - Approved")</f>
        <v>181750505 - Approved</v>
      </c>
      <c r="C672" s="6">
        <f>IFERROR(__xludf.DUMMYFUNCTION("""COMPUTED_VALUE"""),2.0)</f>
        <v>2</v>
      </c>
      <c r="D672" s="6" t="str">
        <f>IFERROR(__xludf.DUMMYFUNCTION("""COMPUTED_VALUE"""),"Q-10128-00")</f>
        <v>Q-10128-00</v>
      </c>
      <c r="E672" s="6" t="str">
        <f>IFERROR(__xludf.DUMMYFUNCTION("""COMPUTED_VALUE"""),"Thinner Super End/Impala")</f>
        <v>Thinner Super End/Impala</v>
      </c>
      <c r="F672" s="6">
        <f>IFERROR(__xludf.DUMMYFUNCTION("""COMPUTED_VALUE"""),5.0)</f>
        <v>5</v>
      </c>
      <c r="G672" s="6" t="str">
        <f>IFERROR(__xludf.DUMMYFUNCTION("""COMPUTED_VALUE"""),"Pieces")</f>
        <v>Pieces</v>
      </c>
      <c r="H672" s="6" t="str">
        <f>IFERROR(__xludf.DUMMYFUNCTION("""COMPUTED_VALUE"""),"IDR")</f>
        <v>IDR</v>
      </c>
      <c r="I672" s="11">
        <f>IFERROR(__xludf.DUMMYFUNCTION("""COMPUTED_VALUE"""),33000.0)</f>
        <v>33000</v>
      </c>
      <c r="J672" s="11">
        <f>IFERROR(__xludf.DUMMYFUNCTION("""COMPUTED_VALUE"""),165000.0)</f>
        <v>165000</v>
      </c>
      <c r="K672" s="13">
        <f>IFERROR(__xludf.DUMMYFUNCTION("""COMPUTED_VALUE"""),43500.0)</f>
        <v>43500</v>
      </c>
      <c r="L672" s="6" t="str">
        <f>IFERROR(__xludf.DUMMYFUNCTION("""COMPUTED_VALUE"""),"FIP Engineering")</f>
        <v>FIP Engineering</v>
      </c>
      <c r="M672" s="6" t="str">
        <f>IFERROR(__xludf.DUMMYFUNCTION("""COMPUTED_VALUE"""),"Irwan Sopian")</f>
        <v>Irwan Sopian</v>
      </c>
      <c r="N672" s="6" t="str">
        <f>IFERROR(__xludf.DUMMYFUNCTION("""COMPUTED_VALUE"""),"FIP Engineering")</f>
        <v>FIP Engineering</v>
      </c>
      <c r="O672" s="6" t="str">
        <f>IFERROR(__xludf.DUMMYFUNCTION("""COMPUTED_VALUE"""),"FIP-DOM-000-11304-OS00001-INA-000000")</f>
        <v>FIP-DOM-000-11304-OS00001-INA-000000</v>
      </c>
      <c r="P672" s="6" t="str">
        <f>IFERROR(__xludf.DUMMYFUNCTION("""COMPUTED_VALUE"""),"PO Closed")</f>
        <v>PO Closed</v>
      </c>
      <c r="Q672" s="6" t="str">
        <f>IFERROR(__xludf.DUMMYFUNCTION("""COMPUTED_VALUE"""),"GL1901041")</f>
        <v>GL1901041</v>
      </c>
      <c r="R672" s="16">
        <f>IFERROR(__xludf.DUMMYFUNCTION("""COMPUTED_VALUE"""),43454.0)</f>
        <v>43454</v>
      </c>
      <c r="S672" s="6" t="str">
        <f>IFERROR(__xludf.DUMMYFUNCTION("""COMPUTED_VALUE"""),"-")</f>
        <v>-</v>
      </c>
      <c r="T672" s="17">
        <f>IFERROR(__xludf.DUMMYFUNCTION("""COMPUTED_VALUE"""),43503.0)</f>
        <v>43503</v>
      </c>
    </row>
    <row r="673">
      <c r="A673" s="6" t="str">
        <f>IFERROR(__xludf.DUMMYFUNCTION("""COMPUTED_VALUE"""),"181750504-3")</f>
        <v>181750504-3</v>
      </c>
      <c r="B673" s="6" t="str">
        <f>IFERROR(__xludf.DUMMYFUNCTION("""COMPUTED_VALUE"""),"181750504 - Approved")</f>
        <v>181750504 - Approved</v>
      </c>
      <c r="C673" s="6">
        <f>IFERROR(__xludf.DUMMYFUNCTION("""COMPUTED_VALUE"""),3.0)</f>
        <v>3</v>
      </c>
      <c r="D673" s="6" t="str">
        <f>IFERROR(__xludf.DUMMYFUNCTION("""COMPUTED_VALUE"""),"P-13389-00")</f>
        <v>P-13389-00</v>
      </c>
      <c r="E673" s="6" t="str">
        <f>IFERROR(__xludf.DUMMYFUNCTION("""COMPUTED_VALUE"""),"Scotch Brite 3M")</f>
        <v>Scotch Brite 3M</v>
      </c>
      <c r="F673" s="6">
        <f>IFERROR(__xludf.DUMMYFUNCTION("""COMPUTED_VALUE"""),10.0)</f>
        <v>10</v>
      </c>
      <c r="G673" s="6" t="str">
        <f>IFERROR(__xludf.DUMMYFUNCTION("""COMPUTED_VALUE"""),"Pieces")</f>
        <v>Pieces</v>
      </c>
      <c r="H673" s="6" t="str">
        <f>IFERROR(__xludf.DUMMYFUNCTION("""COMPUTED_VALUE"""),"IDR")</f>
        <v>IDR</v>
      </c>
      <c r="I673" s="11">
        <f>IFERROR(__xludf.DUMMYFUNCTION("""COMPUTED_VALUE"""),13500.0)</f>
        <v>13500</v>
      </c>
      <c r="J673" s="11">
        <f>IFERROR(__xludf.DUMMYFUNCTION("""COMPUTED_VALUE"""),135000.0)</f>
        <v>135000</v>
      </c>
      <c r="K673" s="13">
        <f>IFERROR(__xludf.DUMMYFUNCTION("""COMPUTED_VALUE"""),43490.0)</f>
        <v>43490</v>
      </c>
      <c r="L673" s="6" t="str">
        <f>IFERROR(__xludf.DUMMYFUNCTION("""COMPUTED_VALUE"""),"FIP Engineering")</f>
        <v>FIP Engineering</v>
      </c>
      <c r="M673" s="6" t="str">
        <f>IFERROR(__xludf.DUMMYFUNCTION("""COMPUTED_VALUE"""),"Irwan Sopian")</f>
        <v>Irwan Sopian</v>
      </c>
      <c r="N673" s="6" t="str">
        <f>IFERROR(__xludf.DUMMYFUNCTION("""COMPUTED_VALUE"""),"FIP Engineering")</f>
        <v>FIP Engineering</v>
      </c>
      <c r="O673" s="6" t="str">
        <f>IFERROR(__xludf.DUMMYFUNCTION("""COMPUTED_VALUE"""),"FIP-DOM-000-11304-OS00001-INA-000000")</f>
        <v>FIP-DOM-000-11304-OS00001-INA-000000</v>
      </c>
      <c r="P673" s="6" t="str">
        <f>IFERROR(__xludf.DUMMYFUNCTION("""COMPUTED_VALUE"""),"PO Closed")</f>
        <v>PO Closed</v>
      </c>
      <c r="Q673" s="6" t="str">
        <f>IFERROR(__xludf.DUMMYFUNCTION("""COMPUTED_VALUE"""),"GL1901040")</f>
        <v>GL1901040</v>
      </c>
      <c r="R673" s="16">
        <f>IFERROR(__xludf.DUMMYFUNCTION("""COMPUTED_VALUE"""),43455.0)</f>
        <v>43455</v>
      </c>
      <c r="S673" s="6" t="str">
        <f>IFERROR(__xludf.DUMMYFUNCTION("""COMPUTED_VALUE"""),"-")</f>
        <v>-</v>
      </c>
      <c r="T673" s="17">
        <f>IFERROR(__xludf.DUMMYFUNCTION("""COMPUTED_VALUE"""),43496.0)</f>
        <v>43496</v>
      </c>
    </row>
    <row r="674">
      <c r="A674" s="6" t="str">
        <f>IFERROR(__xludf.DUMMYFUNCTION("""COMPUTED_VALUE"""),"181750504-4")</f>
        <v>181750504-4</v>
      </c>
      <c r="B674" s="6" t="str">
        <f>IFERROR(__xludf.DUMMYFUNCTION("""COMPUTED_VALUE"""),"181750504 - Approved")</f>
        <v>181750504 - Approved</v>
      </c>
      <c r="C674" s="6">
        <f>IFERROR(__xludf.DUMMYFUNCTION("""COMPUTED_VALUE"""),4.0)</f>
        <v>4</v>
      </c>
      <c r="D674" s="6" t="str">
        <f>IFERROR(__xludf.DUMMYFUNCTION("""COMPUTED_VALUE"""),"Q-10234-00")</f>
        <v>Q-10234-00</v>
      </c>
      <c r="E674" s="6" t="str">
        <f>IFERROR(__xludf.DUMMYFUNCTION("""COMPUTED_VALUE"""),"Silicone Sealant N10 Grey")</f>
        <v>Silicone Sealant N10 Grey</v>
      </c>
      <c r="F674" s="6">
        <f>IFERROR(__xludf.DUMMYFUNCTION("""COMPUTED_VALUE"""),5.0)</f>
        <v>5</v>
      </c>
      <c r="G674" s="6" t="str">
        <f>IFERROR(__xludf.DUMMYFUNCTION("""COMPUTED_VALUE"""),"Pieces")</f>
        <v>Pieces</v>
      </c>
      <c r="H674" s="6" t="str">
        <f>IFERROR(__xludf.DUMMYFUNCTION("""COMPUTED_VALUE"""),"IDR")</f>
        <v>IDR</v>
      </c>
      <c r="I674" s="11">
        <f>IFERROR(__xludf.DUMMYFUNCTION("""COMPUTED_VALUE"""),45000.0)</f>
        <v>45000</v>
      </c>
      <c r="J674" s="11">
        <f>IFERROR(__xludf.DUMMYFUNCTION("""COMPUTED_VALUE"""),225000.0)</f>
        <v>225000</v>
      </c>
      <c r="K674" s="13">
        <f>IFERROR(__xludf.DUMMYFUNCTION("""COMPUTED_VALUE"""),43490.0)</f>
        <v>43490</v>
      </c>
      <c r="L674" s="6" t="str">
        <f>IFERROR(__xludf.DUMMYFUNCTION("""COMPUTED_VALUE"""),"FIP Engineering")</f>
        <v>FIP Engineering</v>
      </c>
      <c r="M674" s="6" t="str">
        <f>IFERROR(__xludf.DUMMYFUNCTION("""COMPUTED_VALUE"""),"Irwan Sopian")</f>
        <v>Irwan Sopian</v>
      </c>
      <c r="N674" s="6" t="str">
        <f>IFERROR(__xludf.DUMMYFUNCTION("""COMPUTED_VALUE"""),"FIP Engineering")</f>
        <v>FIP Engineering</v>
      </c>
      <c r="O674" s="6" t="str">
        <f>IFERROR(__xludf.DUMMYFUNCTION("""COMPUTED_VALUE"""),"FIP-DOM-000-11304-OS00001-INA-000000")</f>
        <v>FIP-DOM-000-11304-OS00001-INA-000000</v>
      </c>
      <c r="P674" s="6" t="str">
        <f>IFERROR(__xludf.DUMMYFUNCTION("""COMPUTED_VALUE"""),"PO Closed")</f>
        <v>PO Closed</v>
      </c>
      <c r="Q674" s="6" t="str">
        <f>IFERROR(__xludf.DUMMYFUNCTION("""COMPUTED_VALUE"""),"GL1901040")</f>
        <v>GL1901040</v>
      </c>
      <c r="R674" s="16">
        <f>IFERROR(__xludf.DUMMYFUNCTION("""COMPUTED_VALUE"""),43455.0)</f>
        <v>43455</v>
      </c>
      <c r="S674" s="6" t="str">
        <f>IFERROR(__xludf.DUMMYFUNCTION("""COMPUTED_VALUE"""),"-")</f>
        <v>-</v>
      </c>
      <c r="T674" s="13">
        <f>IFERROR(__xludf.DUMMYFUNCTION("""COMPUTED_VALUE"""),43496.0)</f>
        <v>43496</v>
      </c>
    </row>
    <row r="675">
      <c r="A675" s="6" t="str">
        <f>IFERROR(__xludf.DUMMYFUNCTION("""COMPUTED_VALUE"""),"181750504-5")</f>
        <v>181750504-5</v>
      </c>
      <c r="B675" s="6" t="str">
        <f>IFERROR(__xludf.DUMMYFUNCTION("""COMPUTED_VALUE"""),"181750504 - Approved")</f>
        <v>181750504 - Approved</v>
      </c>
      <c r="C675" s="6">
        <f>IFERROR(__xludf.DUMMYFUNCTION("""COMPUTED_VALUE"""),5.0)</f>
        <v>5</v>
      </c>
      <c r="D675" s="6" t="str">
        <f>IFERROR(__xludf.DUMMYFUNCTION("""COMPUTED_VALUE"""),"Q-10232-00")</f>
        <v>Q-10232-00</v>
      </c>
      <c r="E675" s="6" t="str">
        <f>IFERROR(__xludf.DUMMYFUNCTION("""COMPUTED_VALUE"""),"Silicone Sealant N10 White")</f>
        <v>Silicone Sealant N10 White</v>
      </c>
      <c r="F675" s="6">
        <f>IFERROR(__xludf.DUMMYFUNCTION("""COMPUTED_VALUE"""),5.0)</f>
        <v>5</v>
      </c>
      <c r="G675" s="6" t="str">
        <f>IFERROR(__xludf.DUMMYFUNCTION("""COMPUTED_VALUE"""),"Pieces")</f>
        <v>Pieces</v>
      </c>
      <c r="H675" s="6" t="str">
        <f>IFERROR(__xludf.DUMMYFUNCTION("""COMPUTED_VALUE"""),"IDR")</f>
        <v>IDR</v>
      </c>
      <c r="I675" s="11">
        <f>IFERROR(__xludf.DUMMYFUNCTION("""COMPUTED_VALUE"""),45000.0)</f>
        <v>45000</v>
      </c>
      <c r="J675" s="11">
        <f>IFERROR(__xludf.DUMMYFUNCTION("""COMPUTED_VALUE"""),225000.0)</f>
        <v>225000</v>
      </c>
      <c r="K675" s="13">
        <f>IFERROR(__xludf.DUMMYFUNCTION("""COMPUTED_VALUE"""),43490.0)</f>
        <v>43490</v>
      </c>
      <c r="L675" s="6" t="str">
        <f>IFERROR(__xludf.DUMMYFUNCTION("""COMPUTED_VALUE"""),"FIP Engineering")</f>
        <v>FIP Engineering</v>
      </c>
      <c r="M675" s="6" t="str">
        <f>IFERROR(__xludf.DUMMYFUNCTION("""COMPUTED_VALUE"""),"Irwan Sopian")</f>
        <v>Irwan Sopian</v>
      </c>
      <c r="N675" s="6" t="str">
        <f>IFERROR(__xludf.DUMMYFUNCTION("""COMPUTED_VALUE"""),"FIP Engineering")</f>
        <v>FIP Engineering</v>
      </c>
      <c r="O675" s="6" t="str">
        <f>IFERROR(__xludf.DUMMYFUNCTION("""COMPUTED_VALUE"""),"FIP-DOM-000-11304-OS00001-INA-000000")</f>
        <v>FIP-DOM-000-11304-OS00001-INA-000000</v>
      </c>
      <c r="P675" s="6" t="str">
        <f>IFERROR(__xludf.DUMMYFUNCTION("""COMPUTED_VALUE"""),"PO Closed")</f>
        <v>PO Closed</v>
      </c>
      <c r="Q675" s="6" t="str">
        <f>IFERROR(__xludf.DUMMYFUNCTION("""COMPUTED_VALUE"""),"GL1901040")</f>
        <v>GL1901040</v>
      </c>
      <c r="R675" s="16">
        <f>IFERROR(__xludf.DUMMYFUNCTION("""COMPUTED_VALUE"""),43455.0)</f>
        <v>43455</v>
      </c>
      <c r="S675" s="6" t="str">
        <f>IFERROR(__xludf.DUMMYFUNCTION("""COMPUTED_VALUE"""),"-")</f>
        <v>-</v>
      </c>
      <c r="T675" s="13">
        <f>IFERROR(__xludf.DUMMYFUNCTION("""COMPUTED_VALUE"""),43496.0)</f>
        <v>43496</v>
      </c>
    </row>
    <row r="676">
      <c r="A676" s="6" t="str">
        <f>IFERROR(__xludf.DUMMYFUNCTION("""COMPUTED_VALUE"""),"181750507-1")</f>
        <v>181750507-1</v>
      </c>
      <c r="B676" s="6" t="str">
        <f>IFERROR(__xludf.DUMMYFUNCTION("""COMPUTED_VALUE"""),"181750507 - Approved")</f>
        <v>181750507 - Approved</v>
      </c>
      <c r="C676" s="6">
        <f>IFERROR(__xludf.DUMMYFUNCTION("""COMPUTED_VALUE"""),1.0)</f>
        <v>1</v>
      </c>
      <c r="D676" s="6" t="str">
        <f>IFERROR(__xludf.DUMMYFUNCTION("""COMPUTED_VALUE"""),"T-12000-00")</f>
        <v>T-12000-00</v>
      </c>
      <c r="E676" s="6" t="str">
        <f>IFERROR(__xludf.DUMMYFUNCTION("""COMPUTED_VALUE"""),"HDD Internal - 1TB SATA Seagate Barracuda 3.5 inch")</f>
        <v>HDD Internal - 1TB SATA Seagate Barracuda 3.5 inch</v>
      </c>
      <c r="F676" s="6">
        <f>IFERROR(__xludf.DUMMYFUNCTION("""COMPUTED_VALUE"""),1.0)</f>
        <v>1</v>
      </c>
      <c r="G676" s="6" t="str">
        <f>IFERROR(__xludf.DUMMYFUNCTION("""COMPUTED_VALUE"""),"Pieces")</f>
        <v>Pieces</v>
      </c>
      <c r="H676" s="6" t="str">
        <f>IFERROR(__xludf.DUMMYFUNCTION("""COMPUTED_VALUE"""),"IDR")</f>
        <v>IDR</v>
      </c>
      <c r="I676" s="11">
        <f>IFERROR(__xludf.DUMMYFUNCTION("""COMPUTED_VALUE"""),749000.0)</f>
        <v>749000</v>
      </c>
      <c r="J676" s="11">
        <f>IFERROR(__xludf.DUMMYFUNCTION("""COMPUTED_VALUE"""),749000.0)</f>
        <v>749000</v>
      </c>
      <c r="K676" s="13">
        <f>IFERROR(__xludf.DUMMYFUNCTION("""COMPUTED_VALUE"""),43490.0)</f>
        <v>43490</v>
      </c>
      <c r="L676" s="6" t="str">
        <f>IFERROR(__xludf.DUMMYFUNCTION("""COMPUTED_VALUE"""),"FIP General")</f>
        <v>FIP General</v>
      </c>
      <c r="M676" s="6" t="str">
        <f>IFERROR(__xludf.DUMMYFUNCTION("""COMPUTED_VALUE"""),"Irwan Sopian")</f>
        <v>Irwan Sopian</v>
      </c>
      <c r="N676" s="6" t="str">
        <f>IFERROR(__xludf.DUMMYFUNCTION("""COMPUTED_VALUE"""),"FIP Engineering")</f>
        <v>FIP Engineering</v>
      </c>
      <c r="O676" s="6" t="str">
        <f>IFERROR(__xludf.DUMMYFUNCTION("""COMPUTED_VALUE"""),"FIP-DOM-ENG-51505-0000000-INA-000000")</f>
        <v>FIP-DOM-ENG-51505-0000000-INA-000000</v>
      </c>
      <c r="P676" s="6" t="str">
        <f>IFERROR(__xludf.DUMMYFUNCTION("""COMPUTED_VALUE"""),"PO Closed")</f>
        <v>PO Closed</v>
      </c>
      <c r="Q676" s="6" t="str">
        <f>IFERROR(__xludf.DUMMYFUNCTION("""COMPUTED_VALUE"""),"GL1901002")</f>
        <v>GL1901002</v>
      </c>
      <c r="R676" s="16">
        <f>IFERROR(__xludf.DUMMYFUNCTION("""COMPUTED_VALUE"""),43460.0)</f>
        <v>43460</v>
      </c>
      <c r="S676" s="6" t="str">
        <f>IFERROR(__xludf.DUMMYFUNCTION("""COMPUTED_VALUE"""),"-")</f>
        <v>-</v>
      </c>
      <c r="T676" s="13">
        <f>IFERROR(__xludf.DUMMYFUNCTION("""COMPUTED_VALUE"""),43473.0)</f>
        <v>43473</v>
      </c>
    </row>
    <row r="677">
      <c r="A677" s="6" t="str">
        <f>IFERROR(__xludf.DUMMYFUNCTION("""COMPUTED_VALUE"""),"181750508-1")</f>
        <v>181750508-1</v>
      </c>
      <c r="B677" s="6" t="str">
        <f>IFERROR(__xludf.DUMMYFUNCTION("""COMPUTED_VALUE"""),"181750508 - Approved")</f>
        <v>181750508 - Approved</v>
      </c>
      <c r="C677" s="6">
        <f>IFERROR(__xludf.DUMMYFUNCTION("""COMPUTED_VALUE"""),1.0)</f>
        <v>1</v>
      </c>
      <c r="D677" s="6" t="str">
        <f>IFERROR(__xludf.DUMMYFUNCTION("""COMPUTED_VALUE"""),"P-12279-00")</f>
        <v>P-12279-00</v>
      </c>
      <c r="E677" s="6" t="str">
        <f>IFERROR(__xludf.DUMMYFUNCTION("""COMPUTED_VALUE"""),"FESTO - QS-1/8-6 Push-In fitting p/n 153002")</f>
        <v>FESTO - QS-1/8-6 Push-In fitting p/n 153002</v>
      </c>
      <c r="F677" s="6">
        <f>IFERROR(__xludf.DUMMYFUNCTION("""COMPUTED_VALUE"""),5.0)</f>
        <v>5</v>
      </c>
      <c r="G677" s="6" t="str">
        <f>IFERROR(__xludf.DUMMYFUNCTION("""COMPUTED_VALUE"""),"Pieces")</f>
        <v>Pieces</v>
      </c>
      <c r="H677" s="6" t="str">
        <f>IFERROR(__xludf.DUMMYFUNCTION("""COMPUTED_VALUE"""),"IDR")</f>
        <v>IDR</v>
      </c>
      <c r="I677" s="11">
        <f>IFERROR(__xludf.DUMMYFUNCTION("""COMPUTED_VALUE"""),25198.0)</f>
        <v>25198</v>
      </c>
      <c r="J677" s="11">
        <f>IFERROR(__xludf.DUMMYFUNCTION("""COMPUTED_VALUE"""),125990.0)</f>
        <v>125990</v>
      </c>
      <c r="K677" s="13">
        <f>IFERROR(__xludf.DUMMYFUNCTION("""COMPUTED_VALUE"""),43490.0)</f>
        <v>43490</v>
      </c>
      <c r="L677" s="6" t="str">
        <f>IFERROR(__xludf.DUMMYFUNCTION("""COMPUTED_VALUE"""),"FIP Engineering")</f>
        <v>FIP Engineering</v>
      </c>
      <c r="M677" s="6" t="str">
        <f>IFERROR(__xludf.DUMMYFUNCTION("""COMPUTED_VALUE"""),"Irwan Sopian")</f>
        <v>Irwan Sopian</v>
      </c>
      <c r="N677" s="6" t="str">
        <f>IFERROR(__xludf.DUMMYFUNCTION("""COMPUTED_VALUE"""),"FIP Engineering")</f>
        <v>FIP Engineering</v>
      </c>
      <c r="O677" s="6" t="str">
        <f>IFERROR(__xludf.DUMMYFUNCTION("""COMPUTED_VALUE"""),"FIP-DOM-000-11304-OS00001-INA-000000")</f>
        <v>FIP-DOM-000-11304-OS00001-INA-000000</v>
      </c>
      <c r="P677" s="6" t="str">
        <f>IFERROR(__xludf.DUMMYFUNCTION("""COMPUTED_VALUE"""),"PO Closed")</f>
        <v>PO Closed</v>
      </c>
      <c r="Q677" s="6" t="str">
        <f>IFERROR(__xludf.DUMMYFUNCTION("""COMPUTED_VALUE"""),"GL1901011")</f>
        <v>GL1901011</v>
      </c>
      <c r="R677" s="16">
        <f>IFERROR(__xludf.DUMMYFUNCTION("""COMPUTED_VALUE"""),43461.0)</f>
        <v>43461</v>
      </c>
      <c r="S677" s="6" t="str">
        <f>IFERROR(__xludf.DUMMYFUNCTION("""COMPUTED_VALUE"""),"-")</f>
        <v>-</v>
      </c>
      <c r="T677" s="13">
        <f>IFERROR(__xludf.DUMMYFUNCTION("""COMPUTED_VALUE"""),43482.0)</f>
        <v>43482</v>
      </c>
    </row>
    <row r="678">
      <c r="A678" s="6" t="str">
        <f>IFERROR(__xludf.DUMMYFUNCTION("""COMPUTED_VALUE"""),"181750508-2")</f>
        <v>181750508-2</v>
      </c>
      <c r="B678" s="6" t="str">
        <f>IFERROR(__xludf.DUMMYFUNCTION("""COMPUTED_VALUE"""),"181750508 - Approved")</f>
        <v>181750508 - Approved</v>
      </c>
      <c r="C678" s="6">
        <f>IFERROR(__xludf.DUMMYFUNCTION("""COMPUTED_VALUE"""),2.0)</f>
        <v>2</v>
      </c>
      <c r="D678" s="6" t="str">
        <f>IFERROR(__xludf.DUMMYFUNCTION("""COMPUTED_VALUE"""),"P-12280-00")</f>
        <v>P-12280-00</v>
      </c>
      <c r="E678" s="6" t="str">
        <f>IFERROR(__xludf.DUMMYFUNCTION("""COMPUTED_VALUE"""),"FESTO - QS-1/8-8 Push-In fitting p/n 153004")</f>
        <v>FESTO - QS-1/8-8 Push-In fitting p/n 153004</v>
      </c>
      <c r="F678" s="6">
        <f>IFERROR(__xludf.DUMMYFUNCTION("""COMPUTED_VALUE"""),5.0)</f>
        <v>5</v>
      </c>
      <c r="G678" s="6" t="str">
        <f>IFERROR(__xludf.DUMMYFUNCTION("""COMPUTED_VALUE"""),"Pieces")</f>
        <v>Pieces</v>
      </c>
      <c r="H678" s="6" t="str">
        <f>IFERROR(__xludf.DUMMYFUNCTION("""COMPUTED_VALUE"""),"IDR")</f>
        <v>IDR</v>
      </c>
      <c r="I678" s="11">
        <f>IFERROR(__xludf.DUMMYFUNCTION("""COMPUTED_VALUE"""),30798.0)</f>
        <v>30798</v>
      </c>
      <c r="J678" s="11">
        <f>IFERROR(__xludf.DUMMYFUNCTION("""COMPUTED_VALUE"""),153990.0)</f>
        <v>153990</v>
      </c>
      <c r="K678" s="13">
        <f>IFERROR(__xludf.DUMMYFUNCTION("""COMPUTED_VALUE"""),43490.0)</f>
        <v>43490</v>
      </c>
      <c r="L678" s="6" t="str">
        <f>IFERROR(__xludf.DUMMYFUNCTION("""COMPUTED_VALUE"""),"FIP Engineering")</f>
        <v>FIP Engineering</v>
      </c>
      <c r="M678" s="6" t="str">
        <f>IFERROR(__xludf.DUMMYFUNCTION("""COMPUTED_VALUE"""),"Irwan Sopian")</f>
        <v>Irwan Sopian</v>
      </c>
      <c r="N678" s="6" t="str">
        <f>IFERROR(__xludf.DUMMYFUNCTION("""COMPUTED_VALUE"""),"FIP Engineering")</f>
        <v>FIP Engineering</v>
      </c>
      <c r="O678" s="6" t="str">
        <f>IFERROR(__xludf.DUMMYFUNCTION("""COMPUTED_VALUE"""),"FIP-DOM-000-11304-OS00001-INA-000000")</f>
        <v>FIP-DOM-000-11304-OS00001-INA-000000</v>
      </c>
      <c r="P678" s="6" t="str">
        <f>IFERROR(__xludf.DUMMYFUNCTION("""COMPUTED_VALUE"""),"PO Closed")</f>
        <v>PO Closed</v>
      </c>
      <c r="Q678" s="6" t="str">
        <f>IFERROR(__xludf.DUMMYFUNCTION("""COMPUTED_VALUE"""),"GL1901011")</f>
        <v>GL1901011</v>
      </c>
      <c r="R678" s="16">
        <f>IFERROR(__xludf.DUMMYFUNCTION("""COMPUTED_VALUE"""),43461.0)</f>
        <v>43461</v>
      </c>
      <c r="S678" s="6" t="str">
        <f>IFERROR(__xludf.DUMMYFUNCTION("""COMPUTED_VALUE"""),"-")</f>
        <v>-</v>
      </c>
      <c r="T678" s="13">
        <f>IFERROR(__xludf.DUMMYFUNCTION("""COMPUTED_VALUE"""),43482.0)</f>
        <v>43482</v>
      </c>
    </row>
    <row r="679">
      <c r="A679" s="6" t="str">
        <f>IFERROR(__xludf.DUMMYFUNCTION("""COMPUTED_VALUE"""),"181750508-3")</f>
        <v>181750508-3</v>
      </c>
      <c r="B679" s="6" t="str">
        <f>IFERROR(__xludf.DUMMYFUNCTION("""COMPUTED_VALUE"""),"181750508 - Approved")</f>
        <v>181750508 - Approved</v>
      </c>
      <c r="C679" s="6">
        <f>IFERROR(__xludf.DUMMYFUNCTION("""COMPUTED_VALUE"""),3.0)</f>
        <v>3</v>
      </c>
      <c r="D679" s="6" t="str">
        <f>IFERROR(__xludf.DUMMYFUNCTION("""COMPUTED_VALUE"""),"P-12275-00")</f>
        <v>P-12275-00</v>
      </c>
      <c r="E679" s="6" t="str">
        <f>IFERROR(__xludf.DUMMYFUNCTION("""COMPUTED_VALUE"""),"FESTO - QS-1/4-6 Push-In fitting p/n 153003")</f>
        <v>FESTO - QS-1/4-6 Push-In fitting p/n 153003</v>
      </c>
      <c r="F679" s="6">
        <f>IFERROR(__xludf.DUMMYFUNCTION("""COMPUTED_VALUE"""),5.0)</f>
        <v>5</v>
      </c>
      <c r="G679" s="6" t="str">
        <f>IFERROR(__xludf.DUMMYFUNCTION("""COMPUTED_VALUE"""),"Pieces")</f>
        <v>Pieces</v>
      </c>
      <c r="H679" s="6" t="str">
        <f>IFERROR(__xludf.DUMMYFUNCTION("""COMPUTED_VALUE"""),"IDR")</f>
        <v>IDR</v>
      </c>
      <c r="I679" s="11">
        <f>IFERROR(__xludf.DUMMYFUNCTION("""COMPUTED_VALUE"""),29923.0)</f>
        <v>29923</v>
      </c>
      <c r="J679" s="11">
        <f>IFERROR(__xludf.DUMMYFUNCTION("""COMPUTED_VALUE"""),149615.0)</f>
        <v>149615</v>
      </c>
      <c r="K679" s="13">
        <f>IFERROR(__xludf.DUMMYFUNCTION("""COMPUTED_VALUE"""),43490.0)</f>
        <v>43490</v>
      </c>
      <c r="L679" s="6" t="str">
        <f>IFERROR(__xludf.DUMMYFUNCTION("""COMPUTED_VALUE"""),"FIP Engineering")</f>
        <v>FIP Engineering</v>
      </c>
      <c r="M679" s="6" t="str">
        <f>IFERROR(__xludf.DUMMYFUNCTION("""COMPUTED_VALUE"""),"Irwan Sopian")</f>
        <v>Irwan Sopian</v>
      </c>
      <c r="N679" s="6" t="str">
        <f>IFERROR(__xludf.DUMMYFUNCTION("""COMPUTED_VALUE"""),"FIP Engineering")</f>
        <v>FIP Engineering</v>
      </c>
      <c r="O679" s="6" t="str">
        <f>IFERROR(__xludf.DUMMYFUNCTION("""COMPUTED_VALUE"""),"FIP-DOM-000-11304-OS00001-INA-000000")</f>
        <v>FIP-DOM-000-11304-OS00001-INA-000000</v>
      </c>
      <c r="P679" s="6" t="str">
        <f>IFERROR(__xludf.DUMMYFUNCTION("""COMPUTED_VALUE"""),"PO Closed")</f>
        <v>PO Closed</v>
      </c>
      <c r="Q679" s="6" t="str">
        <f>IFERROR(__xludf.DUMMYFUNCTION("""COMPUTED_VALUE"""),"GL1901011")</f>
        <v>GL1901011</v>
      </c>
      <c r="R679" s="16">
        <f>IFERROR(__xludf.DUMMYFUNCTION("""COMPUTED_VALUE"""),43461.0)</f>
        <v>43461</v>
      </c>
      <c r="S679" s="6" t="str">
        <f>IFERROR(__xludf.DUMMYFUNCTION("""COMPUTED_VALUE"""),"-")</f>
        <v>-</v>
      </c>
      <c r="T679" s="13">
        <f>IFERROR(__xludf.DUMMYFUNCTION("""COMPUTED_VALUE"""),43482.0)</f>
        <v>43482</v>
      </c>
    </row>
    <row r="680">
      <c r="A680" s="6" t="str">
        <f>IFERROR(__xludf.DUMMYFUNCTION("""COMPUTED_VALUE"""),"181750508-4")</f>
        <v>181750508-4</v>
      </c>
      <c r="B680" s="6" t="str">
        <f>IFERROR(__xludf.DUMMYFUNCTION("""COMPUTED_VALUE"""),"181750508 - Approved")</f>
        <v>181750508 - Approved</v>
      </c>
      <c r="C680" s="6">
        <f>IFERROR(__xludf.DUMMYFUNCTION("""COMPUTED_VALUE"""),4.0)</f>
        <v>4</v>
      </c>
      <c r="D680" s="6" t="str">
        <f>IFERROR(__xludf.DUMMYFUNCTION("""COMPUTED_VALUE"""),"P-12276-00")</f>
        <v>P-12276-00</v>
      </c>
      <c r="E680" s="6" t="str">
        <f>IFERROR(__xludf.DUMMYFUNCTION("""COMPUTED_VALUE"""),"FESTO - QS-1/4-8 Push-In fitting p/n 153005")</f>
        <v>FESTO - QS-1/4-8 Push-In fitting p/n 153005</v>
      </c>
      <c r="F680" s="6">
        <f>IFERROR(__xludf.DUMMYFUNCTION("""COMPUTED_VALUE"""),5.0)</f>
        <v>5</v>
      </c>
      <c r="G680" s="6" t="str">
        <f>IFERROR(__xludf.DUMMYFUNCTION("""COMPUTED_VALUE"""),"Pieces")</f>
        <v>Pieces</v>
      </c>
      <c r="H680" s="6" t="str">
        <f>IFERROR(__xludf.DUMMYFUNCTION("""COMPUTED_VALUE"""),"IDR")</f>
        <v>IDR</v>
      </c>
      <c r="I680" s="11">
        <f>IFERROR(__xludf.DUMMYFUNCTION("""COMPUTED_VALUE"""),31848.0)</f>
        <v>31848</v>
      </c>
      <c r="J680" s="11">
        <f>IFERROR(__xludf.DUMMYFUNCTION("""COMPUTED_VALUE"""),159240.0)</f>
        <v>159240</v>
      </c>
      <c r="K680" s="13">
        <f>IFERROR(__xludf.DUMMYFUNCTION("""COMPUTED_VALUE"""),43490.0)</f>
        <v>43490</v>
      </c>
      <c r="L680" s="6" t="str">
        <f>IFERROR(__xludf.DUMMYFUNCTION("""COMPUTED_VALUE"""),"FIP Engineering")</f>
        <v>FIP Engineering</v>
      </c>
      <c r="M680" s="6" t="str">
        <f>IFERROR(__xludf.DUMMYFUNCTION("""COMPUTED_VALUE"""),"Irwan Sopian")</f>
        <v>Irwan Sopian</v>
      </c>
      <c r="N680" s="6" t="str">
        <f>IFERROR(__xludf.DUMMYFUNCTION("""COMPUTED_VALUE"""),"FIP Engineering")</f>
        <v>FIP Engineering</v>
      </c>
      <c r="O680" s="6" t="str">
        <f>IFERROR(__xludf.DUMMYFUNCTION("""COMPUTED_VALUE"""),"FIP-DOM-000-11304-OS00001-INA-000000")</f>
        <v>FIP-DOM-000-11304-OS00001-INA-000000</v>
      </c>
      <c r="P680" s="6" t="str">
        <f>IFERROR(__xludf.DUMMYFUNCTION("""COMPUTED_VALUE"""),"PO Closed")</f>
        <v>PO Closed</v>
      </c>
      <c r="Q680" s="6" t="str">
        <f>IFERROR(__xludf.DUMMYFUNCTION("""COMPUTED_VALUE"""),"GL1901011")</f>
        <v>GL1901011</v>
      </c>
      <c r="R680" s="16">
        <f>IFERROR(__xludf.DUMMYFUNCTION("""COMPUTED_VALUE"""),43461.0)</f>
        <v>43461</v>
      </c>
      <c r="S680" s="6" t="str">
        <f>IFERROR(__xludf.DUMMYFUNCTION("""COMPUTED_VALUE"""),"-")</f>
        <v>-</v>
      </c>
      <c r="T680" s="13">
        <f>IFERROR(__xludf.DUMMYFUNCTION("""COMPUTED_VALUE"""),43482.0)</f>
        <v>43482</v>
      </c>
    </row>
    <row r="681">
      <c r="A681" s="6" t="str">
        <f>IFERROR(__xludf.DUMMYFUNCTION("""COMPUTED_VALUE"""),"181750508-5")</f>
        <v>181750508-5</v>
      </c>
      <c r="B681" s="6" t="str">
        <f>IFERROR(__xludf.DUMMYFUNCTION("""COMPUTED_VALUE"""),"181750508 - Approved")</f>
        <v>181750508 - Approved</v>
      </c>
      <c r="C681" s="6">
        <f>IFERROR(__xludf.DUMMYFUNCTION("""COMPUTED_VALUE"""),5.0)</f>
        <v>5</v>
      </c>
      <c r="D681" s="6" t="str">
        <f>IFERROR(__xludf.DUMMYFUNCTION("""COMPUTED_VALUE"""),"P-12286-00")</f>
        <v>P-12286-00</v>
      </c>
      <c r="E681" s="6" t="str">
        <f>IFERROR(__xludf.DUMMYFUNCTION("""COMPUTED_VALUE"""),"FESTO - QS-3/8-6 Push-In fitting p/n 190645")</f>
        <v>FESTO - QS-3/8-6 Push-In fitting p/n 190645</v>
      </c>
      <c r="F681" s="6">
        <f>IFERROR(__xludf.DUMMYFUNCTION("""COMPUTED_VALUE"""),5.0)</f>
        <v>5</v>
      </c>
      <c r="G681" s="6" t="str">
        <f>IFERROR(__xludf.DUMMYFUNCTION("""COMPUTED_VALUE"""),"Pieces")</f>
        <v>Pieces</v>
      </c>
      <c r="H681" s="6" t="str">
        <f>IFERROR(__xludf.DUMMYFUNCTION("""COMPUTED_VALUE"""),"IDR")</f>
        <v>IDR</v>
      </c>
      <c r="I681" s="11">
        <f>IFERROR(__xludf.DUMMYFUNCTION("""COMPUTED_VALUE"""),33248.0)</f>
        <v>33248</v>
      </c>
      <c r="J681" s="11">
        <f>IFERROR(__xludf.DUMMYFUNCTION("""COMPUTED_VALUE"""),166240.0)</f>
        <v>166240</v>
      </c>
      <c r="K681" s="13">
        <f>IFERROR(__xludf.DUMMYFUNCTION("""COMPUTED_VALUE"""),43490.0)</f>
        <v>43490</v>
      </c>
      <c r="L681" s="6" t="str">
        <f>IFERROR(__xludf.DUMMYFUNCTION("""COMPUTED_VALUE"""),"FIP Engineering")</f>
        <v>FIP Engineering</v>
      </c>
      <c r="M681" s="6" t="str">
        <f>IFERROR(__xludf.DUMMYFUNCTION("""COMPUTED_VALUE"""),"Irwan Sopian")</f>
        <v>Irwan Sopian</v>
      </c>
      <c r="N681" s="6" t="str">
        <f>IFERROR(__xludf.DUMMYFUNCTION("""COMPUTED_VALUE"""),"FIP Engineering")</f>
        <v>FIP Engineering</v>
      </c>
      <c r="O681" s="6" t="str">
        <f>IFERROR(__xludf.DUMMYFUNCTION("""COMPUTED_VALUE"""),"FIP-DOM-000-11304-OS00001-INA-000000")</f>
        <v>FIP-DOM-000-11304-OS00001-INA-000000</v>
      </c>
      <c r="P681" s="6" t="str">
        <f>IFERROR(__xludf.DUMMYFUNCTION("""COMPUTED_VALUE"""),"PO Closed")</f>
        <v>PO Closed</v>
      </c>
      <c r="Q681" s="6" t="str">
        <f>IFERROR(__xludf.DUMMYFUNCTION("""COMPUTED_VALUE"""),"GL1901011")</f>
        <v>GL1901011</v>
      </c>
      <c r="R681" s="16">
        <f>IFERROR(__xludf.DUMMYFUNCTION("""COMPUTED_VALUE"""),43461.0)</f>
        <v>43461</v>
      </c>
      <c r="S681" s="6" t="str">
        <f>IFERROR(__xludf.DUMMYFUNCTION("""COMPUTED_VALUE"""),"-")</f>
        <v>-</v>
      </c>
      <c r="T681" s="13">
        <f>IFERROR(__xludf.DUMMYFUNCTION("""COMPUTED_VALUE"""),43482.0)</f>
        <v>43482</v>
      </c>
    </row>
    <row r="682">
      <c r="A682" s="6" t="str">
        <f>IFERROR(__xludf.DUMMYFUNCTION("""COMPUTED_VALUE"""),"181750508-6")</f>
        <v>181750508-6</v>
      </c>
      <c r="B682" s="6" t="str">
        <f>IFERROR(__xludf.DUMMYFUNCTION("""COMPUTED_VALUE"""),"181750508 - Approved")</f>
        <v>181750508 - Approved</v>
      </c>
      <c r="C682" s="6">
        <f>IFERROR(__xludf.DUMMYFUNCTION("""COMPUTED_VALUE"""),6.0)</f>
        <v>6</v>
      </c>
      <c r="D682" s="6" t="str">
        <f>IFERROR(__xludf.DUMMYFUNCTION("""COMPUTED_VALUE"""),"P-12287-00")</f>
        <v>P-12287-00</v>
      </c>
      <c r="E682" s="6" t="str">
        <f>IFERROR(__xludf.DUMMYFUNCTION("""COMPUTED_VALUE"""),"FESTO - QS-3/8-8 Push-In fitting p/n 153006")</f>
        <v>FESTO - QS-3/8-8 Push-In fitting p/n 153006</v>
      </c>
      <c r="F682" s="6">
        <f>IFERROR(__xludf.DUMMYFUNCTION("""COMPUTED_VALUE"""),5.0)</f>
        <v>5</v>
      </c>
      <c r="G682" s="6" t="str">
        <f>IFERROR(__xludf.DUMMYFUNCTION("""COMPUTED_VALUE"""),"Pieces")</f>
        <v>Pieces</v>
      </c>
      <c r="H682" s="6" t="str">
        <f>IFERROR(__xludf.DUMMYFUNCTION("""COMPUTED_VALUE"""),"IDR")</f>
        <v>IDR</v>
      </c>
      <c r="I682" s="11">
        <f>IFERROR(__xludf.DUMMYFUNCTION("""COMPUTED_VALUE"""),34298.0)</f>
        <v>34298</v>
      </c>
      <c r="J682" s="11">
        <f>IFERROR(__xludf.DUMMYFUNCTION("""COMPUTED_VALUE"""),171490.0)</f>
        <v>171490</v>
      </c>
      <c r="K682" s="13">
        <f>IFERROR(__xludf.DUMMYFUNCTION("""COMPUTED_VALUE"""),43490.0)</f>
        <v>43490</v>
      </c>
      <c r="L682" s="6" t="str">
        <f>IFERROR(__xludf.DUMMYFUNCTION("""COMPUTED_VALUE"""),"FIP Engineering")</f>
        <v>FIP Engineering</v>
      </c>
      <c r="M682" s="6" t="str">
        <f>IFERROR(__xludf.DUMMYFUNCTION("""COMPUTED_VALUE"""),"Irwan Sopian")</f>
        <v>Irwan Sopian</v>
      </c>
      <c r="N682" s="6" t="str">
        <f>IFERROR(__xludf.DUMMYFUNCTION("""COMPUTED_VALUE"""),"FIP Engineering")</f>
        <v>FIP Engineering</v>
      </c>
      <c r="O682" s="6" t="str">
        <f>IFERROR(__xludf.DUMMYFUNCTION("""COMPUTED_VALUE"""),"FIP-DOM-000-11304-OS00001-INA-000000")</f>
        <v>FIP-DOM-000-11304-OS00001-INA-000000</v>
      </c>
      <c r="P682" s="6" t="str">
        <f>IFERROR(__xludf.DUMMYFUNCTION("""COMPUTED_VALUE"""),"PO Closed")</f>
        <v>PO Closed</v>
      </c>
      <c r="Q682" s="6" t="str">
        <f>IFERROR(__xludf.DUMMYFUNCTION("""COMPUTED_VALUE"""),"GL1901011")</f>
        <v>GL1901011</v>
      </c>
      <c r="R682" s="16">
        <f>IFERROR(__xludf.DUMMYFUNCTION("""COMPUTED_VALUE"""),43461.0)</f>
        <v>43461</v>
      </c>
      <c r="S682" s="6" t="str">
        <f>IFERROR(__xludf.DUMMYFUNCTION("""COMPUTED_VALUE"""),"-")</f>
        <v>-</v>
      </c>
      <c r="T682" s="13">
        <f>IFERROR(__xludf.DUMMYFUNCTION("""COMPUTED_VALUE"""),43482.0)</f>
        <v>43482</v>
      </c>
    </row>
    <row r="683">
      <c r="A683" s="6" t="str">
        <f>IFERROR(__xludf.DUMMYFUNCTION("""COMPUTED_VALUE"""),"191750008-1")</f>
        <v>191750008-1</v>
      </c>
      <c r="B683" s="6" t="str">
        <f>IFERROR(__xludf.DUMMYFUNCTION("""COMPUTED_VALUE"""),"191750008 - Approved")</f>
        <v>191750008 - Approved</v>
      </c>
      <c r="C683" s="6">
        <f>IFERROR(__xludf.DUMMYFUNCTION("""COMPUTED_VALUE"""),1.0)</f>
        <v>1</v>
      </c>
      <c r="D683" s="6" t="str">
        <f>IFERROR(__xludf.DUMMYFUNCTION("""COMPUTED_VALUE"""),"O-16608-00")</f>
        <v>O-16608-00</v>
      </c>
      <c r="E683" s="6" t="str">
        <f>IFERROR(__xludf.DUMMYFUNCTION("""COMPUTED_VALUE"""),"Baterai Airsampler Minicapt 100 s/n MC12N014")</f>
        <v>Baterai Airsampler Minicapt 100 s/n MC12N014</v>
      </c>
      <c r="F683" s="6">
        <f>IFERROR(__xludf.DUMMYFUNCTION("""COMPUTED_VALUE"""),1.0)</f>
        <v>1</v>
      </c>
      <c r="G683" s="6" t="str">
        <f>IFERROR(__xludf.DUMMYFUNCTION("""COMPUTED_VALUE"""),"Unit")</f>
        <v>Unit</v>
      </c>
      <c r="H683" s="6" t="str">
        <f>IFERROR(__xludf.DUMMYFUNCTION("""COMPUTED_VALUE"""),"IDR")</f>
        <v>IDR</v>
      </c>
      <c r="I683" s="11">
        <f>IFERROR(__xludf.DUMMYFUNCTION("""COMPUTED_VALUE"""),6248000.0)</f>
        <v>6248000</v>
      </c>
      <c r="J683" s="11">
        <f>IFERROR(__xludf.DUMMYFUNCTION("""COMPUTED_VALUE"""),6248000.0)</f>
        <v>6248000</v>
      </c>
      <c r="K683" s="13">
        <f>IFERROR(__xludf.DUMMYFUNCTION("""COMPUTED_VALUE"""),43500.0)</f>
        <v>43500</v>
      </c>
      <c r="L683" s="6" t="str">
        <f>IFERROR(__xludf.DUMMYFUNCTION("""COMPUTED_VALUE"""),"FIP Engineering")</f>
        <v>FIP Engineering</v>
      </c>
      <c r="M683" s="6" t="str">
        <f>IFERROR(__xludf.DUMMYFUNCTION("""COMPUTED_VALUE"""),"Irwan Sopian")</f>
        <v>Irwan Sopian</v>
      </c>
      <c r="N683" s="6" t="str">
        <f>IFERROR(__xludf.DUMMYFUNCTION("""COMPUTED_VALUE"""),"FIP Engineering")</f>
        <v>FIP Engineering</v>
      </c>
      <c r="O683" s="6" t="str">
        <f>IFERROR(__xludf.DUMMYFUNCTION("""COMPUTED_VALUE"""),"FIP-DOM-000-11304-OS00001-INA-000000")</f>
        <v>FIP-DOM-000-11304-OS00001-INA-000000</v>
      </c>
      <c r="P683" s="6" t="str">
        <f>IFERROR(__xludf.DUMMYFUNCTION("""COMPUTED_VALUE"""),"PO Closed")</f>
        <v>PO Closed</v>
      </c>
      <c r="Q683" s="6" t="str">
        <f>IFERROR(__xludf.DUMMYFUNCTION("""COMPUTED_VALUE"""),"GL1901041")</f>
        <v>GL1901041</v>
      </c>
      <c r="R683" s="16">
        <f>IFERROR(__xludf.DUMMYFUNCTION("""COMPUTED_VALUE"""),43469.0)</f>
        <v>43469</v>
      </c>
      <c r="S683" s="6" t="str">
        <f>IFERROR(__xludf.DUMMYFUNCTION("""COMPUTED_VALUE"""),"-")</f>
        <v>-</v>
      </c>
      <c r="T683" s="17">
        <f>IFERROR(__xludf.DUMMYFUNCTION("""COMPUTED_VALUE"""),43503.0)</f>
        <v>43503</v>
      </c>
    </row>
    <row r="684">
      <c r="A684" s="6" t="str">
        <f>IFERROR(__xludf.DUMMYFUNCTION("""COMPUTED_VALUE"""),"191750007-1")</f>
        <v>191750007-1</v>
      </c>
      <c r="B684" s="6" t="str">
        <f>IFERROR(__xludf.DUMMYFUNCTION("""COMPUTED_VALUE"""),"191750007 - Approved")</f>
        <v>191750007 - Approved</v>
      </c>
      <c r="C684" s="6">
        <f>IFERROR(__xludf.DUMMYFUNCTION("""COMPUTED_VALUE"""),1.0)</f>
        <v>1</v>
      </c>
      <c r="D684" s="6" t="str">
        <f>IFERROR(__xludf.DUMMYFUNCTION("""COMPUTED_VALUE"""),"S-60002-00")</f>
        <v>S-60002-00</v>
      </c>
      <c r="E684" s="6" t="str">
        <f>IFERROR(__xludf.DUMMYFUNCTION("""COMPUTED_VALUE"""),"Pekerjaan Waterproofing Balkon Atap")</f>
        <v>Pekerjaan Waterproofing Balkon Atap</v>
      </c>
      <c r="F684" s="6">
        <f>IFERROR(__xludf.DUMMYFUNCTION("""COMPUTED_VALUE"""),1.0)</f>
        <v>1</v>
      </c>
      <c r="G684" s="6" t="str">
        <f>IFERROR(__xludf.DUMMYFUNCTION("""COMPUTED_VALUE"""),"Lot")</f>
        <v>Lot</v>
      </c>
      <c r="H684" s="6" t="str">
        <f>IFERROR(__xludf.DUMMYFUNCTION("""COMPUTED_VALUE"""),"IDR")</f>
        <v>IDR</v>
      </c>
      <c r="I684" s="11">
        <f>IFERROR(__xludf.DUMMYFUNCTION("""COMPUTED_VALUE"""),4800000.0)</f>
        <v>4800000</v>
      </c>
      <c r="J684" s="11">
        <f>IFERROR(__xludf.DUMMYFUNCTION("""COMPUTED_VALUE"""),4800000.0)</f>
        <v>4800000</v>
      </c>
      <c r="K684" s="13">
        <f>IFERROR(__xludf.DUMMYFUNCTION("""COMPUTED_VALUE"""),43497.0)</f>
        <v>43497</v>
      </c>
      <c r="L684" s="6" t="str">
        <f>IFERROR(__xludf.DUMMYFUNCTION("""COMPUTED_VALUE"""),"FIP General")</f>
        <v>FIP General</v>
      </c>
      <c r="M684" s="6" t="str">
        <f>IFERROR(__xludf.DUMMYFUNCTION("""COMPUTED_VALUE"""),"Irwan Sopian")</f>
        <v>Irwan Sopian</v>
      </c>
      <c r="N684" s="6" t="str">
        <f>IFERROR(__xludf.DUMMYFUNCTION("""COMPUTED_VALUE"""),"FPP ENG CIKARANG")</f>
        <v>FPP ENG CIKARANG</v>
      </c>
      <c r="O684" s="6" t="str">
        <f>IFERROR(__xludf.DUMMYFUNCTION("""COMPUTED_VALUE"""),"FIP-DOM-ENG-51508-0000000-INA-000000")</f>
        <v>FIP-DOM-ENG-51508-0000000-INA-000000</v>
      </c>
      <c r="P684" s="6" t="str">
        <f>IFERROR(__xludf.DUMMYFUNCTION("""COMPUTED_VALUE"""),"PO Closed")</f>
        <v>PO Closed</v>
      </c>
      <c r="Q684" s="6" t="str">
        <f>IFERROR(__xludf.DUMMYFUNCTION("""COMPUTED_VALUE"""),"GL1902036")</f>
        <v>GL1902036</v>
      </c>
      <c r="R684" s="16">
        <f>IFERROR(__xludf.DUMMYFUNCTION("""COMPUTED_VALUE"""),43469.0)</f>
        <v>43469</v>
      </c>
      <c r="S684" s="6" t="str">
        <f>IFERROR(__xludf.DUMMYFUNCTION("""COMPUTED_VALUE"""),"-")</f>
        <v>-</v>
      </c>
      <c r="T684" s="17">
        <f>IFERROR(__xludf.DUMMYFUNCTION("""COMPUTED_VALUE"""),43578.0)</f>
        <v>43578</v>
      </c>
    </row>
    <row r="685">
      <c r="A685" s="6" t="str">
        <f>IFERROR(__xludf.DUMMYFUNCTION("""COMPUTED_VALUE"""),"191750020-1")</f>
        <v>191750020-1</v>
      </c>
      <c r="B685" s="6" t="str">
        <f>IFERROR(__xludf.DUMMYFUNCTION("""COMPUTED_VALUE"""),"191750020 - Approved")</f>
        <v>191750020 - Approved</v>
      </c>
      <c r="C685" s="6">
        <f>IFERROR(__xludf.DUMMYFUNCTION("""COMPUTED_VALUE"""),1.0)</f>
        <v>1</v>
      </c>
      <c r="D685" s="6" t="str">
        <f>IFERROR(__xludf.DUMMYFUNCTION("""COMPUTED_VALUE"""),"P-11694-00")</f>
        <v>P-11694-00</v>
      </c>
      <c r="E685" s="6" t="str">
        <f>IFERROR(__xludf.DUMMYFUNCTION("""COMPUTED_VALUE"""),"Mata Gerinda 4""")</f>
        <v>Mata Gerinda 4"</v>
      </c>
      <c r="F685" s="6">
        <f>IFERROR(__xludf.DUMMYFUNCTION("""COMPUTED_VALUE"""),2.0)</f>
        <v>2</v>
      </c>
      <c r="G685" s="6" t="str">
        <f>IFERROR(__xludf.DUMMYFUNCTION("""COMPUTED_VALUE"""),"Pieces")</f>
        <v>Pieces</v>
      </c>
      <c r="H685" s="6" t="str">
        <f>IFERROR(__xludf.DUMMYFUNCTION("""COMPUTED_VALUE"""),"IDR")</f>
        <v>IDR</v>
      </c>
      <c r="I685" s="11">
        <f>IFERROR(__xludf.DUMMYFUNCTION("""COMPUTED_VALUE"""),100000.0)</f>
        <v>100000</v>
      </c>
      <c r="J685" s="11">
        <f>IFERROR(__xludf.DUMMYFUNCTION("""COMPUTED_VALUE"""),200000.0)</f>
        <v>200000</v>
      </c>
      <c r="K685" s="13">
        <f>IFERROR(__xludf.DUMMYFUNCTION("""COMPUTED_VALUE"""),43524.0)</f>
        <v>43524</v>
      </c>
      <c r="L685" s="6" t="str">
        <f>IFERROR(__xludf.DUMMYFUNCTION("""COMPUTED_VALUE"""),"FIP General")</f>
        <v>FIP General</v>
      </c>
      <c r="M685" s="6" t="str">
        <f>IFERROR(__xludf.DUMMYFUNCTION("""COMPUTED_VALUE"""),"Irwan Sopian")</f>
        <v>Irwan Sopian</v>
      </c>
      <c r="N685" s="6" t="str">
        <f>IFERROR(__xludf.DUMMYFUNCTION("""COMPUTED_VALUE"""),"FIP Engineering")</f>
        <v>FIP Engineering</v>
      </c>
      <c r="O685" s="6" t="str">
        <f>IFERROR(__xludf.DUMMYFUNCTION("""COMPUTED_VALUE"""),"FIP-DOM-ENG-51404-0000000-INA-000000")</f>
        <v>FIP-DOM-ENG-51404-0000000-INA-000000</v>
      </c>
      <c r="P685" s="6" t="str">
        <f>IFERROR(__xludf.DUMMYFUNCTION("""COMPUTED_VALUE"""),"PO Closed")</f>
        <v>PO Closed</v>
      </c>
      <c r="Q685" s="6" t="str">
        <f>IFERROR(__xludf.DUMMYFUNCTION("""COMPUTED_VALUE"""),"GL1902016")</f>
        <v>GL1902016</v>
      </c>
      <c r="R685" s="16">
        <f>IFERROR(__xludf.DUMMYFUNCTION("""COMPUTED_VALUE"""),43473.0)</f>
        <v>43473</v>
      </c>
      <c r="S685" s="6" t="str">
        <f>IFERROR(__xludf.DUMMYFUNCTION("""COMPUTED_VALUE"""),"-")</f>
        <v>-</v>
      </c>
      <c r="T685" s="13">
        <f>IFERROR(__xludf.DUMMYFUNCTION("""COMPUTED_VALUE"""),43518.0)</f>
        <v>43518</v>
      </c>
    </row>
    <row r="686">
      <c r="A686" s="6" t="str">
        <f>IFERROR(__xludf.DUMMYFUNCTION("""COMPUTED_VALUE"""),"191750020-2")</f>
        <v>191750020-2</v>
      </c>
      <c r="B686" s="6" t="str">
        <f>IFERROR(__xludf.DUMMYFUNCTION("""COMPUTED_VALUE"""),"191750020 - Approved")</f>
        <v>191750020 - Approved</v>
      </c>
      <c r="C686" s="6">
        <f>IFERROR(__xludf.DUMMYFUNCTION("""COMPUTED_VALUE"""),2.0)</f>
        <v>2</v>
      </c>
      <c r="D686" s="6" t="str">
        <f>IFERROR(__xludf.DUMMYFUNCTION("""COMPUTED_VALUE"""),"P-13502-00")</f>
        <v>P-13502-00</v>
      </c>
      <c r="E686" s="6" t="str">
        <f>IFERROR(__xludf.DUMMYFUNCTION("""COMPUTED_VALUE"""),"Thread pipa SUS304 3/4 inch")</f>
        <v>Thread pipa SUS304 3/4 inch</v>
      </c>
      <c r="F686" s="6">
        <f>IFERROR(__xludf.DUMMYFUNCTION("""COMPUTED_VALUE"""),2.0)</f>
        <v>2</v>
      </c>
      <c r="G686" s="6" t="str">
        <f>IFERROR(__xludf.DUMMYFUNCTION("""COMPUTED_VALUE"""),"Pieces")</f>
        <v>Pieces</v>
      </c>
      <c r="H686" s="6" t="str">
        <f>IFERROR(__xludf.DUMMYFUNCTION("""COMPUTED_VALUE"""),"IDR")</f>
        <v>IDR</v>
      </c>
      <c r="I686" s="11">
        <f>IFERROR(__xludf.DUMMYFUNCTION("""COMPUTED_VALUE"""),85000.0)</f>
        <v>85000</v>
      </c>
      <c r="J686" s="11">
        <f>IFERROR(__xludf.DUMMYFUNCTION("""COMPUTED_VALUE"""),170000.0)</f>
        <v>170000</v>
      </c>
      <c r="K686" s="13">
        <f>IFERROR(__xludf.DUMMYFUNCTION("""COMPUTED_VALUE"""),43524.0)</f>
        <v>43524</v>
      </c>
      <c r="L686" s="6" t="str">
        <f>IFERROR(__xludf.DUMMYFUNCTION("""COMPUTED_VALUE"""),"FIP General")</f>
        <v>FIP General</v>
      </c>
      <c r="M686" s="6" t="str">
        <f>IFERROR(__xludf.DUMMYFUNCTION("""COMPUTED_VALUE"""),"Irwan Sopian")</f>
        <v>Irwan Sopian</v>
      </c>
      <c r="N686" s="6" t="str">
        <f>IFERROR(__xludf.DUMMYFUNCTION("""COMPUTED_VALUE"""),"FIP Engineering")</f>
        <v>FIP Engineering</v>
      </c>
      <c r="O686" s="6" t="str">
        <f>IFERROR(__xludf.DUMMYFUNCTION("""COMPUTED_VALUE"""),"FIP-DOM-ENG-51404-0000000-INA-000000")</f>
        <v>FIP-DOM-ENG-51404-0000000-INA-000000</v>
      </c>
      <c r="P686" s="6" t="str">
        <f>IFERROR(__xludf.DUMMYFUNCTION("""COMPUTED_VALUE"""),"PO Closed")</f>
        <v>PO Closed</v>
      </c>
      <c r="Q686" s="6" t="str">
        <f>IFERROR(__xludf.DUMMYFUNCTION("""COMPUTED_VALUE"""),"GL1902016")</f>
        <v>GL1902016</v>
      </c>
      <c r="R686" s="16">
        <f>IFERROR(__xludf.DUMMYFUNCTION("""COMPUTED_VALUE"""),43473.0)</f>
        <v>43473</v>
      </c>
      <c r="S686" s="6" t="str">
        <f>IFERROR(__xludf.DUMMYFUNCTION("""COMPUTED_VALUE"""),"-")</f>
        <v>-</v>
      </c>
      <c r="T686" s="13">
        <f>IFERROR(__xludf.DUMMYFUNCTION("""COMPUTED_VALUE"""),43518.0)</f>
        <v>43518</v>
      </c>
    </row>
    <row r="687">
      <c r="A687" s="6" t="str">
        <f>IFERROR(__xludf.DUMMYFUNCTION("""COMPUTED_VALUE"""),"191750019-1")</f>
        <v>191750019-1</v>
      </c>
      <c r="B687" s="6" t="str">
        <f>IFERROR(__xludf.DUMMYFUNCTION("""COMPUTED_VALUE"""),"191750019 - Approved")</f>
        <v>191750019 - Approved</v>
      </c>
      <c r="C687" s="6">
        <f>IFERROR(__xludf.DUMMYFUNCTION("""COMPUTED_VALUE"""),1.0)</f>
        <v>1</v>
      </c>
      <c r="D687" s="6" t="str">
        <f>IFERROR(__xludf.DUMMYFUNCTION("""COMPUTED_VALUE"""),"Q-10580-00")</f>
        <v>Q-10580-00</v>
      </c>
      <c r="E687" s="6" t="str">
        <f>IFERROR(__xludf.DUMMYFUNCTION("""COMPUTED_VALUE"""),"Cat Ftalit 444 Banana Yellow 1 Kg per Can")</f>
        <v>Cat Ftalit 444 Banana Yellow 1 Kg per Can</v>
      </c>
      <c r="F687" s="6">
        <f>IFERROR(__xludf.DUMMYFUNCTION("""COMPUTED_VALUE"""),5.0)</f>
        <v>5</v>
      </c>
      <c r="G687" s="6" t="str">
        <f>IFERROR(__xludf.DUMMYFUNCTION("""COMPUTED_VALUE"""),"Kilogram")</f>
        <v>Kilogram</v>
      </c>
      <c r="H687" s="6" t="str">
        <f>IFERROR(__xludf.DUMMYFUNCTION("""COMPUTED_VALUE"""),"IDR")</f>
        <v>IDR</v>
      </c>
      <c r="I687" s="11">
        <f>IFERROR(__xludf.DUMMYFUNCTION("""COMPUTED_VALUE"""),60000.0)</f>
        <v>60000</v>
      </c>
      <c r="J687" s="11">
        <f>IFERROR(__xludf.DUMMYFUNCTION("""COMPUTED_VALUE"""),300000.0)</f>
        <v>300000</v>
      </c>
      <c r="K687" s="13">
        <f>IFERROR(__xludf.DUMMYFUNCTION("""COMPUTED_VALUE"""),43518.0)</f>
        <v>43518</v>
      </c>
      <c r="L687" s="6" t="str">
        <f>IFERROR(__xludf.DUMMYFUNCTION("""COMPUTED_VALUE"""),"FIP Engineering")</f>
        <v>FIP Engineering</v>
      </c>
      <c r="M687" s="6" t="str">
        <f>IFERROR(__xludf.DUMMYFUNCTION("""COMPUTED_VALUE"""),"Irwan Sopian")</f>
        <v>Irwan Sopian</v>
      </c>
      <c r="N687" s="6" t="str">
        <f>IFERROR(__xludf.DUMMYFUNCTION("""COMPUTED_VALUE"""),"FIP Engineering")</f>
        <v>FIP Engineering</v>
      </c>
      <c r="O687" s="6" t="str">
        <f>IFERROR(__xludf.DUMMYFUNCTION("""COMPUTED_VALUE"""),"FIP-DOM-000-11304-OS00001-INA-000000")</f>
        <v>FIP-DOM-000-11304-OS00001-INA-000000</v>
      </c>
      <c r="P687" s="6" t="str">
        <f>IFERROR(__xludf.DUMMYFUNCTION("""COMPUTED_VALUE"""),"PO Closed")</f>
        <v>PO Closed</v>
      </c>
      <c r="Q687" s="6" t="str">
        <f>IFERROR(__xludf.DUMMYFUNCTION("""COMPUTED_VALUE"""),"GL1902015")</f>
        <v>GL1902015</v>
      </c>
      <c r="R687" s="16">
        <f>IFERROR(__xludf.DUMMYFUNCTION("""COMPUTED_VALUE"""),43473.0)</f>
        <v>43473</v>
      </c>
      <c r="S687" s="6" t="str">
        <f>IFERROR(__xludf.DUMMYFUNCTION("""COMPUTED_VALUE"""),"-")</f>
        <v>-</v>
      </c>
      <c r="T687" s="13">
        <f>IFERROR(__xludf.DUMMYFUNCTION("""COMPUTED_VALUE"""),43518.0)</f>
        <v>43518</v>
      </c>
    </row>
    <row r="688">
      <c r="A688" s="6" t="str">
        <f>IFERROR(__xludf.DUMMYFUNCTION("""COMPUTED_VALUE"""),"191750019-2")</f>
        <v>191750019-2</v>
      </c>
      <c r="B688" s="6" t="str">
        <f>IFERROR(__xludf.DUMMYFUNCTION("""COMPUTED_VALUE"""),"191750019 - Approved")</f>
        <v>191750019 - Approved</v>
      </c>
      <c r="C688" s="6">
        <f>IFERROR(__xludf.DUMMYFUNCTION("""COMPUTED_VALUE"""),2.0)</f>
        <v>2</v>
      </c>
      <c r="D688" s="6" t="str">
        <f>IFERROR(__xludf.DUMMYFUNCTION("""COMPUTED_VALUE"""),"Q-10581-00")</f>
        <v>Q-10581-00</v>
      </c>
      <c r="E688" s="6" t="str">
        <f>IFERROR(__xludf.DUMMYFUNCTION("""COMPUTED_VALUE"""),"Cat Ftalit 272 Antique Grey 1 Kg per Can")</f>
        <v>Cat Ftalit 272 Antique Grey 1 Kg per Can</v>
      </c>
      <c r="F688" s="6">
        <f>IFERROR(__xludf.DUMMYFUNCTION("""COMPUTED_VALUE"""),2.0)</f>
        <v>2</v>
      </c>
      <c r="G688" s="6" t="str">
        <f>IFERROR(__xludf.DUMMYFUNCTION("""COMPUTED_VALUE"""),"Kilogram")</f>
        <v>Kilogram</v>
      </c>
      <c r="H688" s="6" t="str">
        <f>IFERROR(__xludf.DUMMYFUNCTION("""COMPUTED_VALUE"""),"IDR")</f>
        <v>IDR</v>
      </c>
      <c r="I688" s="11">
        <f>IFERROR(__xludf.DUMMYFUNCTION("""COMPUTED_VALUE"""),60000.0)</f>
        <v>60000</v>
      </c>
      <c r="J688" s="11">
        <f>IFERROR(__xludf.DUMMYFUNCTION("""COMPUTED_VALUE"""),120000.0)</f>
        <v>120000</v>
      </c>
      <c r="K688" s="13">
        <f>IFERROR(__xludf.DUMMYFUNCTION("""COMPUTED_VALUE"""),43518.0)</f>
        <v>43518</v>
      </c>
      <c r="L688" s="6" t="str">
        <f>IFERROR(__xludf.DUMMYFUNCTION("""COMPUTED_VALUE"""),"FIP Engineering")</f>
        <v>FIP Engineering</v>
      </c>
      <c r="M688" s="6" t="str">
        <f>IFERROR(__xludf.DUMMYFUNCTION("""COMPUTED_VALUE"""),"Irwan Sopian")</f>
        <v>Irwan Sopian</v>
      </c>
      <c r="N688" s="6" t="str">
        <f>IFERROR(__xludf.DUMMYFUNCTION("""COMPUTED_VALUE"""),"FIP Engineering")</f>
        <v>FIP Engineering</v>
      </c>
      <c r="O688" s="6" t="str">
        <f>IFERROR(__xludf.DUMMYFUNCTION("""COMPUTED_VALUE"""),"FIP-DOM-000-11304-OS00001-INA-000000")</f>
        <v>FIP-DOM-000-11304-OS00001-INA-000000</v>
      </c>
      <c r="P688" s="6" t="str">
        <f>IFERROR(__xludf.DUMMYFUNCTION("""COMPUTED_VALUE"""),"PO Closed")</f>
        <v>PO Closed</v>
      </c>
      <c r="Q688" s="6" t="str">
        <f>IFERROR(__xludf.DUMMYFUNCTION("""COMPUTED_VALUE"""),"GL1902015")</f>
        <v>GL1902015</v>
      </c>
      <c r="R688" s="16">
        <f>IFERROR(__xludf.DUMMYFUNCTION("""COMPUTED_VALUE"""),43473.0)</f>
        <v>43473</v>
      </c>
      <c r="S688" s="6" t="str">
        <f>IFERROR(__xludf.DUMMYFUNCTION("""COMPUTED_VALUE"""),"-")</f>
        <v>-</v>
      </c>
      <c r="T688" s="13">
        <f>IFERROR(__xludf.DUMMYFUNCTION("""COMPUTED_VALUE"""),43518.0)</f>
        <v>43518</v>
      </c>
    </row>
    <row r="689">
      <c r="A689" s="6" t="str">
        <f>IFERROR(__xludf.DUMMYFUNCTION("""COMPUTED_VALUE"""),"191750018-1")</f>
        <v>191750018-1</v>
      </c>
      <c r="B689" s="6" t="str">
        <f>IFERROR(__xludf.DUMMYFUNCTION("""COMPUTED_VALUE"""),"191750018 - Approved")</f>
        <v>191750018 - Approved</v>
      </c>
      <c r="C689" s="6">
        <f>IFERROR(__xludf.DUMMYFUNCTION("""COMPUTED_VALUE"""),1.0)</f>
        <v>1</v>
      </c>
      <c r="D689" s="6" t="str">
        <f>IFERROR(__xludf.DUMMYFUNCTION("""COMPUTED_VALUE"""),"P-51856-00")</f>
        <v>P-51856-00</v>
      </c>
      <c r="E689" s="6" t="str">
        <f>IFERROR(__xludf.DUMMYFUNCTION("""COMPUTED_VALUE"""),"Key Selector Switch S2KR-4CK2AM Autonics")</f>
        <v>Key Selector Switch S2KR-4CK2AM Autonics</v>
      </c>
      <c r="F689" s="6">
        <f>IFERROR(__xludf.DUMMYFUNCTION("""COMPUTED_VALUE"""),1.0)</f>
        <v>1</v>
      </c>
      <c r="G689" s="6" t="str">
        <f>IFERROR(__xludf.DUMMYFUNCTION("""COMPUTED_VALUE"""),"Pieces")</f>
        <v>Pieces</v>
      </c>
      <c r="H689" s="6" t="str">
        <f>IFERROR(__xludf.DUMMYFUNCTION("""COMPUTED_VALUE"""),"IDR")</f>
        <v>IDR</v>
      </c>
      <c r="I689" s="11">
        <f>IFERROR(__xludf.DUMMYFUNCTION("""COMPUTED_VALUE"""),97000.0)</f>
        <v>97000</v>
      </c>
      <c r="J689" s="11">
        <f>IFERROR(__xludf.DUMMYFUNCTION("""COMPUTED_VALUE"""),97000.0)</f>
        <v>97000</v>
      </c>
      <c r="K689" s="13">
        <f>IFERROR(__xludf.DUMMYFUNCTION("""COMPUTED_VALUE"""),43496.0)</f>
        <v>43496</v>
      </c>
      <c r="L689" s="6" t="str">
        <f>IFERROR(__xludf.DUMMYFUNCTION("""COMPUTED_VALUE"""),"FIP Engineering")</f>
        <v>FIP Engineering</v>
      </c>
      <c r="M689" s="6" t="str">
        <f>IFERROR(__xludf.DUMMYFUNCTION("""COMPUTED_VALUE"""),"Irwan Sopian")</f>
        <v>Irwan Sopian</v>
      </c>
      <c r="N689" s="6" t="str">
        <f>IFERROR(__xludf.DUMMYFUNCTION("""COMPUTED_VALUE"""),"FIP Engineering")</f>
        <v>FIP Engineering</v>
      </c>
      <c r="O689" s="6" t="str">
        <f>IFERROR(__xludf.DUMMYFUNCTION("""COMPUTED_VALUE"""),"FIP-DOM-000-11304-OS00001-INA-000000")</f>
        <v>FIP-DOM-000-11304-OS00001-INA-000000</v>
      </c>
      <c r="P689" s="6" t="str">
        <f>IFERROR(__xludf.DUMMYFUNCTION("""COMPUTED_VALUE"""),"PO Closed")</f>
        <v>PO Closed</v>
      </c>
      <c r="Q689" s="6" t="str">
        <f>IFERROR(__xludf.DUMMYFUNCTION("""COMPUTED_VALUE"""),"GL1901043")</f>
        <v>GL1901043</v>
      </c>
      <c r="R689" s="16">
        <f>IFERROR(__xludf.DUMMYFUNCTION("""COMPUTED_VALUE"""),43473.0)</f>
        <v>43473</v>
      </c>
      <c r="S689" s="6" t="str">
        <f>IFERROR(__xludf.DUMMYFUNCTION("""COMPUTED_VALUE"""),"-")</f>
        <v>-</v>
      </c>
      <c r="T689" s="13">
        <f>IFERROR(__xludf.DUMMYFUNCTION("""COMPUTED_VALUE"""),43567.0)</f>
        <v>43567</v>
      </c>
    </row>
    <row r="690">
      <c r="A690" s="6" t="str">
        <f>IFERROR(__xludf.DUMMYFUNCTION("""COMPUTED_VALUE"""),"191750018-2")</f>
        <v>191750018-2</v>
      </c>
      <c r="B690" s="6" t="str">
        <f>IFERROR(__xludf.DUMMYFUNCTION("""COMPUTED_VALUE"""),"191750018 - Approved")</f>
        <v>191750018 - Approved</v>
      </c>
      <c r="C690" s="6">
        <f>IFERROR(__xludf.DUMMYFUNCTION("""COMPUTED_VALUE"""),2.0)</f>
        <v>2</v>
      </c>
      <c r="D690" s="6" t="str">
        <f>IFERROR(__xludf.DUMMYFUNCTION("""COMPUTED_VALUE"""),"P-51855-00")</f>
        <v>P-51855-00</v>
      </c>
      <c r="E690" s="6" t="str">
        <f>IFERROR(__xludf.DUMMYFUNCTION("""COMPUTED_VALUE"""),"Switch Accessory SA-SB1 Autonics")</f>
        <v>Switch Accessory SA-SB1 Autonics</v>
      </c>
      <c r="F690" s="6">
        <f>IFERROR(__xludf.DUMMYFUNCTION("""COMPUTED_VALUE"""),1.0)</f>
        <v>1</v>
      </c>
      <c r="G690" s="6" t="str">
        <f>IFERROR(__xludf.DUMMYFUNCTION("""COMPUTED_VALUE"""),"Pieces")</f>
        <v>Pieces</v>
      </c>
      <c r="H690" s="6" t="str">
        <f>IFERROR(__xludf.DUMMYFUNCTION("""COMPUTED_VALUE"""),"IDR")</f>
        <v>IDR</v>
      </c>
      <c r="I690" s="11">
        <f>IFERROR(__xludf.DUMMYFUNCTION("""COMPUTED_VALUE"""),89000.0)</f>
        <v>89000</v>
      </c>
      <c r="J690" s="11">
        <f>IFERROR(__xludf.DUMMYFUNCTION("""COMPUTED_VALUE"""),89000.0)</f>
        <v>89000</v>
      </c>
      <c r="K690" s="13">
        <f>IFERROR(__xludf.DUMMYFUNCTION("""COMPUTED_VALUE"""),43496.0)</f>
        <v>43496</v>
      </c>
      <c r="L690" s="6" t="str">
        <f>IFERROR(__xludf.DUMMYFUNCTION("""COMPUTED_VALUE"""),"FIP Engineering")</f>
        <v>FIP Engineering</v>
      </c>
      <c r="M690" s="6" t="str">
        <f>IFERROR(__xludf.DUMMYFUNCTION("""COMPUTED_VALUE"""),"Irwan Sopian")</f>
        <v>Irwan Sopian</v>
      </c>
      <c r="N690" s="6" t="str">
        <f>IFERROR(__xludf.DUMMYFUNCTION("""COMPUTED_VALUE"""),"FIP Engineering")</f>
        <v>FIP Engineering</v>
      </c>
      <c r="O690" s="6" t="str">
        <f>IFERROR(__xludf.DUMMYFUNCTION("""COMPUTED_VALUE"""),"FIP-DOM-000-11304-OS00001-INA-000000")</f>
        <v>FIP-DOM-000-11304-OS00001-INA-000000</v>
      </c>
      <c r="P690" s="6" t="str">
        <f>IFERROR(__xludf.DUMMYFUNCTION("""COMPUTED_VALUE"""),"PO Closed")</f>
        <v>PO Closed</v>
      </c>
      <c r="Q690" s="6" t="str">
        <f>IFERROR(__xludf.DUMMYFUNCTION("""COMPUTED_VALUE"""),"GL1901043")</f>
        <v>GL1901043</v>
      </c>
      <c r="R690" s="16">
        <f>IFERROR(__xludf.DUMMYFUNCTION("""COMPUTED_VALUE"""),43473.0)</f>
        <v>43473</v>
      </c>
      <c r="S690" s="6" t="str">
        <f>IFERROR(__xludf.DUMMYFUNCTION("""COMPUTED_VALUE"""),"-")</f>
        <v>-</v>
      </c>
      <c r="T690" s="13">
        <f>IFERROR(__xludf.DUMMYFUNCTION("""COMPUTED_VALUE"""),43546.0)</f>
        <v>43546</v>
      </c>
    </row>
    <row r="691">
      <c r="A691" s="6" t="str">
        <f>IFERROR(__xludf.DUMMYFUNCTION("""COMPUTED_VALUE"""),"191750018-3")</f>
        <v>191750018-3</v>
      </c>
      <c r="B691" s="6" t="str">
        <f>IFERROR(__xludf.DUMMYFUNCTION("""COMPUTED_VALUE"""),"191750018 - Approved")</f>
        <v>191750018 - Approved</v>
      </c>
      <c r="C691" s="6">
        <f>IFERROR(__xludf.DUMMYFUNCTION("""COMPUTED_VALUE"""),3.0)</f>
        <v>3</v>
      </c>
      <c r="D691" s="6" t="str">
        <f>IFERROR(__xludf.DUMMYFUNCTION("""COMPUTED_VALUE"""),"P-51857-00")</f>
        <v>P-51857-00</v>
      </c>
      <c r="E691" s="6" t="str">
        <f>IFERROR(__xludf.DUMMYFUNCTION("""COMPUTED_VALUE"""),"Contact Block SA-CBM Autonics")</f>
        <v>Contact Block SA-CBM Autonics</v>
      </c>
      <c r="F691" s="6">
        <f>IFERROR(__xludf.DUMMYFUNCTION("""COMPUTED_VALUE"""),2.0)</f>
        <v>2</v>
      </c>
      <c r="G691" s="6" t="str">
        <f>IFERROR(__xludf.DUMMYFUNCTION("""COMPUTED_VALUE"""),"Pieces")</f>
        <v>Pieces</v>
      </c>
      <c r="H691" s="6" t="str">
        <f>IFERROR(__xludf.DUMMYFUNCTION("""COMPUTED_VALUE"""),"IDR")</f>
        <v>IDR</v>
      </c>
      <c r="I691" s="11">
        <f>IFERROR(__xludf.DUMMYFUNCTION("""COMPUTED_VALUE"""),11000.0)</f>
        <v>11000</v>
      </c>
      <c r="J691" s="11">
        <f>IFERROR(__xludf.DUMMYFUNCTION("""COMPUTED_VALUE"""),22000.0)</f>
        <v>22000</v>
      </c>
      <c r="K691" s="13">
        <f>IFERROR(__xludf.DUMMYFUNCTION("""COMPUTED_VALUE"""),43496.0)</f>
        <v>43496</v>
      </c>
      <c r="L691" s="6" t="str">
        <f>IFERROR(__xludf.DUMMYFUNCTION("""COMPUTED_VALUE"""),"FIP Engineering")</f>
        <v>FIP Engineering</v>
      </c>
      <c r="M691" s="6" t="str">
        <f>IFERROR(__xludf.DUMMYFUNCTION("""COMPUTED_VALUE"""),"Irwan Sopian")</f>
        <v>Irwan Sopian</v>
      </c>
      <c r="N691" s="6" t="str">
        <f>IFERROR(__xludf.DUMMYFUNCTION("""COMPUTED_VALUE"""),"FIP Engineering")</f>
        <v>FIP Engineering</v>
      </c>
      <c r="O691" s="6" t="str">
        <f>IFERROR(__xludf.DUMMYFUNCTION("""COMPUTED_VALUE"""),"FIP-DOM-000-11304-OS00001-INA-000000")</f>
        <v>FIP-DOM-000-11304-OS00001-INA-000000</v>
      </c>
      <c r="P691" s="6" t="str">
        <f>IFERROR(__xludf.DUMMYFUNCTION("""COMPUTED_VALUE"""),"PO Closed")</f>
        <v>PO Closed</v>
      </c>
      <c r="Q691" s="6" t="str">
        <f>IFERROR(__xludf.DUMMYFUNCTION("""COMPUTED_VALUE"""),"GL1901043")</f>
        <v>GL1901043</v>
      </c>
      <c r="R691" s="16">
        <f>IFERROR(__xludf.DUMMYFUNCTION("""COMPUTED_VALUE"""),43473.0)</f>
        <v>43473</v>
      </c>
      <c r="S691" s="6" t="str">
        <f>IFERROR(__xludf.DUMMYFUNCTION("""COMPUTED_VALUE"""),"-")</f>
        <v>-</v>
      </c>
      <c r="T691" s="17">
        <f>IFERROR(__xludf.DUMMYFUNCTION("""COMPUTED_VALUE"""),43546.0)</f>
        <v>43546</v>
      </c>
    </row>
    <row r="692">
      <c r="A692" s="6" t="str">
        <f>IFERROR(__xludf.DUMMYFUNCTION("""COMPUTED_VALUE"""),"191750027-1")</f>
        <v>191750027-1</v>
      </c>
      <c r="B692" s="6" t="str">
        <f>IFERROR(__xludf.DUMMYFUNCTION("""COMPUTED_VALUE"""),"191750027 - Approved")</f>
        <v>191750027 - Approved</v>
      </c>
      <c r="C692" s="6">
        <f>IFERROR(__xludf.DUMMYFUNCTION("""COMPUTED_VALUE"""),1.0)</f>
        <v>1</v>
      </c>
      <c r="D692" s="6" t="str">
        <f>IFERROR(__xludf.DUMMYFUNCTION("""COMPUTED_VALUE"""),"P-13632-00")</f>
        <v>P-13632-00</v>
      </c>
      <c r="E692" s="6" t="str">
        <f>IFERROR(__xludf.DUMMYFUNCTION("""COMPUTED_VALUE"""),"Pressure Gauge SS304 0-10bar dial:100mm 1/2inch")</f>
        <v>Pressure Gauge SS304 0-10bar dial:100mm 1/2inch</v>
      </c>
      <c r="F692" s="6">
        <f>IFERROR(__xludf.DUMMYFUNCTION("""COMPUTED_VALUE"""),1.0)</f>
        <v>1</v>
      </c>
      <c r="G692" s="6" t="str">
        <f>IFERROR(__xludf.DUMMYFUNCTION("""COMPUTED_VALUE"""),"Pieces")</f>
        <v>Pieces</v>
      </c>
      <c r="H692" s="6" t="str">
        <f>IFERROR(__xludf.DUMMYFUNCTION("""COMPUTED_VALUE"""),"IDR")</f>
        <v>IDR</v>
      </c>
      <c r="I692" s="11">
        <f>IFERROR(__xludf.DUMMYFUNCTION("""COMPUTED_VALUE"""),800000.0)</f>
        <v>800000</v>
      </c>
      <c r="J692" s="11">
        <f>IFERROR(__xludf.DUMMYFUNCTION("""COMPUTED_VALUE"""),800000.0)</f>
        <v>800000</v>
      </c>
      <c r="K692" s="13">
        <f>IFERROR(__xludf.DUMMYFUNCTION("""COMPUTED_VALUE"""),43500.0)</f>
        <v>43500</v>
      </c>
      <c r="L692" s="6" t="str">
        <f>IFERROR(__xludf.DUMMYFUNCTION("""COMPUTED_VALUE"""),"FIP Engineering")</f>
        <v>FIP Engineering</v>
      </c>
      <c r="M692" s="6" t="str">
        <f>IFERROR(__xludf.DUMMYFUNCTION("""COMPUTED_VALUE"""),"Irwan Sopian")</f>
        <v>Irwan Sopian</v>
      </c>
      <c r="N692" s="6" t="str">
        <f>IFERROR(__xludf.DUMMYFUNCTION("""COMPUTED_VALUE"""),"FIP Engineering")</f>
        <v>FIP Engineering</v>
      </c>
      <c r="O692" s="6" t="str">
        <f>IFERROR(__xludf.DUMMYFUNCTION("""COMPUTED_VALUE"""),"FIP-DOM-000-11304-OS00001-INA-000000")</f>
        <v>FIP-DOM-000-11304-OS00001-INA-000000</v>
      </c>
      <c r="P692" s="6" t="str">
        <f>IFERROR(__xludf.DUMMYFUNCTION("""COMPUTED_VALUE"""),"PO Closed")</f>
        <v>PO Closed</v>
      </c>
      <c r="Q692" s="6" t="str">
        <f>IFERROR(__xludf.DUMMYFUNCTION("""COMPUTED_VALUE"""),"GL1901041")</f>
        <v>GL1901041</v>
      </c>
      <c r="R692" s="16">
        <f>IFERROR(__xludf.DUMMYFUNCTION("""COMPUTED_VALUE"""),43476.0)</f>
        <v>43476</v>
      </c>
      <c r="S692" s="6" t="str">
        <f>IFERROR(__xludf.DUMMYFUNCTION("""COMPUTED_VALUE"""),"-")</f>
        <v>-</v>
      </c>
      <c r="T692" s="17">
        <f>IFERROR(__xludf.DUMMYFUNCTION("""COMPUTED_VALUE"""),43503.0)</f>
        <v>43503</v>
      </c>
    </row>
    <row r="693">
      <c r="A693" s="6" t="str">
        <f>IFERROR(__xludf.DUMMYFUNCTION("""COMPUTED_VALUE"""),"191750027-2")</f>
        <v>191750027-2</v>
      </c>
      <c r="B693" s="6" t="str">
        <f>IFERROR(__xludf.DUMMYFUNCTION("""COMPUTED_VALUE"""),"191750027 - Approved")</f>
        <v>191750027 - Approved</v>
      </c>
      <c r="C693" s="6">
        <f>IFERROR(__xludf.DUMMYFUNCTION("""COMPUTED_VALUE"""),2.0)</f>
        <v>2</v>
      </c>
      <c r="D693" s="6" t="str">
        <f>IFERROR(__xludf.DUMMYFUNCTION("""COMPUTED_VALUE"""),"P-13631-00")</f>
        <v>P-13631-00</v>
      </c>
      <c r="E693" s="6" t="str">
        <f>IFERROR(__xludf.DUMMYFUNCTION("""COMPUTED_VALUE"""),"Ferrule SS304 1inch x Drat Dalam 1/2inch")</f>
        <v>Ferrule SS304 1inch x Drat Dalam 1/2inch</v>
      </c>
      <c r="F693" s="6">
        <f>IFERROR(__xludf.DUMMYFUNCTION("""COMPUTED_VALUE"""),1.0)</f>
        <v>1</v>
      </c>
      <c r="G693" s="6" t="str">
        <f>IFERROR(__xludf.DUMMYFUNCTION("""COMPUTED_VALUE"""),"Pieces")</f>
        <v>Pieces</v>
      </c>
      <c r="H693" s="6" t="str">
        <f>IFERROR(__xludf.DUMMYFUNCTION("""COMPUTED_VALUE"""),"IDR")</f>
        <v>IDR</v>
      </c>
      <c r="I693" s="11">
        <f>IFERROR(__xludf.DUMMYFUNCTION("""COMPUTED_VALUE"""),400000.0)</f>
        <v>400000</v>
      </c>
      <c r="J693" s="11">
        <f>IFERROR(__xludf.DUMMYFUNCTION("""COMPUTED_VALUE"""),400000.0)</f>
        <v>400000</v>
      </c>
      <c r="K693" s="13">
        <f>IFERROR(__xludf.DUMMYFUNCTION("""COMPUTED_VALUE"""),43500.0)</f>
        <v>43500</v>
      </c>
      <c r="L693" s="6" t="str">
        <f>IFERROR(__xludf.DUMMYFUNCTION("""COMPUTED_VALUE"""),"FIP Engineering")</f>
        <v>FIP Engineering</v>
      </c>
      <c r="M693" s="6" t="str">
        <f>IFERROR(__xludf.DUMMYFUNCTION("""COMPUTED_VALUE"""),"Irwan Sopian")</f>
        <v>Irwan Sopian</v>
      </c>
      <c r="N693" s="6" t="str">
        <f>IFERROR(__xludf.DUMMYFUNCTION("""COMPUTED_VALUE"""),"FIP Engineering")</f>
        <v>FIP Engineering</v>
      </c>
      <c r="O693" s="6" t="str">
        <f>IFERROR(__xludf.DUMMYFUNCTION("""COMPUTED_VALUE"""),"FIP-DOM-000-11304-OS00001-INA-000000")</f>
        <v>FIP-DOM-000-11304-OS00001-INA-000000</v>
      </c>
      <c r="P693" s="6" t="str">
        <f>IFERROR(__xludf.DUMMYFUNCTION("""COMPUTED_VALUE"""),"PO Closed")</f>
        <v>PO Closed</v>
      </c>
      <c r="Q693" s="6" t="str">
        <f>IFERROR(__xludf.DUMMYFUNCTION("""COMPUTED_VALUE"""),"GL1901041")</f>
        <v>GL1901041</v>
      </c>
      <c r="R693" s="16">
        <f>IFERROR(__xludf.DUMMYFUNCTION("""COMPUTED_VALUE"""),43476.0)</f>
        <v>43476</v>
      </c>
      <c r="S693" s="6" t="str">
        <f>IFERROR(__xludf.DUMMYFUNCTION("""COMPUTED_VALUE"""),"-")</f>
        <v>-</v>
      </c>
      <c r="T693" s="13">
        <f>IFERROR(__xludf.DUMMYFUNCTION("""COMPUTED_VALUE"""),43503.0)</f>
        <v>43503</v>
      </c>
    </row>
    <row r="694">
      <c r="A694" s="6" t="str">
        <f>IFERROR(__xludf.DUMMYFUNCTION("""COMPUTED_VALUE"""),"191750027-3")</f>
        <v>191750027-3</v>
      </c>
      <c r="B694" s="6" t="str">
        <f>IFERROR(__xludf.DUMMYFUNCTION("""COMPUTED_VALUE"""),"191750027 - Approved")</f>
        <v>191750027 - Approved</v>
      </c>
      <c r="C694" s="6">
        <f>IFERROR(__xludf.DUMMYFUNCTION("""COMPUTED_VALUE"""),3.0)</f>
        <v>3</v>
      </c>
      <c r="D694" s="6" t="str">
        <f>IFERROR(__xludf.DUMMYFUNCTION("""COMPUTED_VALUE"""),"P-13595-00")</f>
        <v>P-13595-00</v>
      </c>
      <c r="E694" s="6" t="str">
        <f>IFERROR(__xludf.DUMMYFUNCTION("""COMPUTED_VALUE"""),"Ball Valve Sanitary SS316 PTFE Connection:Ferrule/Triclamp 3inch")</f>
        <v>Ball Valve Sanitary SS316 PTFE Connection:Ferrule/Triclamp 3inch</v>
      </c>
      <c r="F694" s="6">
        <f>IFERROR(__xludf.DUMMYFUNCTION("""COMPUTED_VALUE"""),1.0)</f>
        <v>1</v>
      </c>
      <c r="G694" s="6" t="str">
        <f>IFERROR(__xludf.DUMMYFUNCTION("""COMPUTED_VALUE"""),"Pieces")</f>
        <v>Pieces</v>
      </c>
      <c r="H694" s="6" t="str">
        <f>IFERROR(__xludf.DUMMYFUNCTION("""COMPUTED_VALUE"""),"IDR")</f>
        <v>IDR</v>
      </c>
      <c r="I694" s="11">
        <f>IFERROR(__xludf.DUMMYFUNCTION("""COMPUTED_VALUE"""),7105000.0)</f>
        <v>7105000</v>
      </c>
      <c r="J694" s="11">
        <f>IFERROR(__xludf.DUMMYFUNCTION("""COMPUTED_VALUE"""),7105000.0)</f>
        <v>7105000</v>
      </c>
      <c r="K694" s="13">
        <f>IFERROR(__xludf.DUMMYFUNCTION("""COMPUTED_VALUE"""),43500.0)</f>
        <v>43500</v>
      </c>
      <c r="L694" s="6" t="str">
        <f>IFERROR(__xludf.DUMMYFUNCTION("""COMPUTED_VALUE"""),"FIP Engineering")</f>
        <v>FIP Engineering</v>
      </c>
      <c r="M694" s="6" t="str">
        <f>IFERROR(__xludf.DUMMYFUNCTION("""COMPUTED_VALUE"""),"Irwan Sopian")</f>
        <v>Irwan Sopian</v>
      </c>
      <c r="N694" s="6" t="str">
        <f>IFERROR(__xludf.DUMMYFUNCTION("""COMPUTED_VALUE"""),"FIP Engineering")</f>
        <v>FIP Engineering</v>
      </c>
      <c r="O694" s="6" t="str">
        <f>IFERROR(__xludf.DUMMYFUNCTION("""COMPUTED_VALUE"""),"FIP-DOM-000-11304-OS00001-INA-000000")</f>
        <v>FIP-DOM-000-11304-OS00001-INA-000000</v>
      </c>
      <c r="P694" s="6" t="str">
        <f>IFERROR(__xludf.DUMMYFUNCTION("""COMPUTED_VALUE"""),"PO Closed")</f>
        <v>PO Closed</v>
      </c>
      <c r="Q694" s="6" t="str">
        <f>IFERROR(__xludf.DUMMYFUNCTION("""COMPUTED_VALUE"""),"GL1901044")</f>
        <v>GL1901044</v>
      </c>
      <c r="R694" s="16">
        <f>IFERROR(__xludf.DUMMYFUNCTION("""COMPUTED_VALUE"""),43476.0)</f>
        <v>43476</v>
      </c>
      <c r="S694" s="6" t="str">
        <f>IFERROR(__xludf.DUMMYFUNCTION("""COMPUTED_VALUE"""),"-")</f>
        <v>-</v>
      </c>
      <c r="T694" s="17">
        <f>IFERROR(__xludf.DUMMYFUNCTION("""COMPUTED_VALUE"""),43503.0)</f>
        <v>43503</v>
      </c>
    </row>
    <row r="695">
      <c r="A695" s="6" t="str">
        <f>IFERROR(__xludf.DUMMYFUNCTION("""COMPUTED_VALUE"""),"191750026-1")</f>
        <v>191750026-1</v>
      </c>
      <c r="B695" s="6" t="str">
        <f>IFERROR(__xludf.DUMMYFUNCTION("""COMPUTED_VALUE"""),"191750026 - Approved")</f>
        <v>191750026 - Approved</v>
      </c>
      <c r="C695" s="6">
        <f>IFERROR(__xludf.DUMMYFUNCTION("""COMPUTED_VALUE"""),1.0)</f>
        <v>1</v>
      </c>
      <c r="D695" s="6" t="str">
        <f>IFERROR(__xludf.DUMMYFUNCTION("""COMPUTED_VALUE"""),"P-51867-00")</f>
        <v>P-51867-00</v>
      </c>
      <c r="E695" s="6" t="str">
        <f>IFERROR(__xludf.DUMMYFUNCTION("""COMPUTED_VALUE"""),"Lampu Osram P-VIP 240/0.8 for Infocus IN124a")</f>
        <v>Lampu Osram P-VIP 240/0.8 for Infocus IN124a</v>
      </c>
      <c r="F695" s="6">
        <f>IFERROR(__xludf.DUMMYFUNCTION("""COMPUTED_VALUE"""),1.0)</f>
        <v>1</v>
      </c>
      <c r="G695" s="6" t="str">
        <f>IFERROR(__xludf.DUMMYFUNCTION("""COMPUTED_VALUE"""),"Pieces")</f>
        <v>Pieces</v>
      </c>
      <c r="H695" s="6" t="str">
        <f>IFERROR(__xludf.DUMMYFUNCTION("""COMPUTED_VALUE"""),"IDR")</f>
        <v>IDR</v>
      </c>
      <c r="I695" s="11">
        <f>IFERROR(__xludf.DUMMYFUNCTION("""COMPUTED_VALUE"""),2300000.0)</f>
        <v>2300000</v>
      </c>
      <c r="J695" s="11">
        <f>IFERROR(__xludf.DUMMYFUNCTION("""COMPUTED_VALUE"""),2300000.0)</f>
        <v>2300000</v>
      </c>
      <c r="K695" s="13">
        <f>IFERROR(__xludf.DUMMYFUNCTION("""COMPUTED_VALUE"""),43497.0)</f>
        <v>43497</v>
      </c>
      <c r="L695" s="6" t="str">
        <f>IFERROR(__xludf.DUMMYFUNCTION("""COMPUTED_VALUE"""),"FIP Engineering")</f>
        <v>FIP Engineering</v>
      </c>
      <c r="M695" s="6" t="str">
        <f>IFERROR(__xludf.DUMMYFUNCTION("""COMPUTED_VALUE"""),"Irwan Sopian")</f>
        <v>Irwan Sopian</v>
      </c>
      <c r="N695" s="6" t="str">
        <f>IFERROR(__xludf.DUMMYFUNCTION("""COMPUTED_VALUE"""),"FIP Engineering")</f>
        <v>FIP Engineering</v>
      </c>
      <c r="O695" s="6" t="str">
        <f>IFERROR(__xludf.DUMMYFUNCTION("""COMPUTED_VALUE"""),"FIP-DOM-000-11304-OS00001-INA-000000")</f>
        <v>FIP-DOM-000-11304-OS00001-INA-000000</v>
      </c>
      <c r="P695" s="6" t="str">
        <f>IFERROR(__xludf.DUMMYFUNCTION("""COMPUTED_VALUE"""),"PO Closed")</f>
        <v>PO Closed</v>
      </c>
      <c r="Q695" s="6" t="str">
        <f>IFERROR(__xludf.DUMMYFUNCTION("""COMPUTED_VALUE"""),"GL1901041")</f>
        <v>GL1901041</v>
      </c>
      <c r="R695" s="16">
        <f>IFERROR(__xludf.DUMMYFUNCTION("""COMPUTED_VALUE"""),43476.0)</f>
        <v>43476</v>
      </c>
      <c r="S695" s="6" t="str">
        <f>IFERROR(__xludf.DUMMYFUNCTION("""COMPUTED_VALUE"""),"-")</f>
        <v>-</v>
      </c>
      <c r="T695" s="13">
        <f>IFERROR(__xludf.DUMMYFUNCTION("""COMPUTED_VALUE"""),43514.0)</f>
        <v>43514</v>
      </c>
    </row>
    <row r="696">
      <c r="A696" s="6" t="str">
        <f>IFERROR(__xludf.DUMMYFUNCTION("""COMPUTED_VALUE"""),"181750505-3")</f>
        <v>181750505-3</v>
      </c>
      <c r="B696" s="6" t="str">
        <f>IFERROR(__xludf.DUMMYFUNCTION("""COMPUTED_VALUE"""),"181750505 - Approved")</f>
        <v>181750505 - Approved</v>
      </c>
      <c r="C696" s="6">
        <f>IFERROR(__xludf.DUMMYFUNCTION("""COMPUTED_VALUE"""),3.0)</f>
        <v>3</v>
      </c>
      <c r="D696" s="6" t="str">
        <f>IFERROR(__xludf.DUMMYFUNCTION("""COMPUTED_VALUE"""),"Q-10012-00")</f>
        <v>Q-10012-00</v>
      </c>
      <c r="E696" s="6" t="str">
        <f>IFERROR(__xludf.DUMMYFUNCTION("""COMPUTED_VALUE"""),"Multipox MX-94 White @ 20 KG")</f>
        <v>Multipox MX-94 White @ 20 KG</v>
      </c>
      <c r="F696" s="6">
        <f>IFERROR(__xludf.DUMMYFUNCTION("""COMPUTED_VALUE"""),20.0)</f>
        <v>20</v>
      </c>
      <c r="G696" s="6" t="str">
        <f>IFERROR(__xludf.DUMMYFUNCTION("""COMPUTED_VALUE"""),"Kilogram")</f>
        <v>Kilogram</v>
      </c>
      <c r="H696" s="6" t="str">
        <f>IFERROR(__xludf.DUMMYFUNCTION("""COMPUTED_VALUE"""),"IDR")</f>
        <v>IDR</v>
      </c>
      <c r="I696" s="11">
        <f>IFERROR(__xludf.DUMMYFUNCTION("""COMPUTED_VALUE"""),145000.0)</f>
        <v>145000</v>
      </c>
      <c r="J696" s="11">
        <f>IFERROR(__xludf.DUMMYFUNCTION("""COMPUTED_VALUE"""),2900000.0)</f>
        <v>2900000</v>
      </c>
      <c r="K696" s="13">
        <f>IFERROR(__xludf.DUMMYFUNCTION("""COMPUTED_VALUE"""),43500.0)</f>
        <v>43500</v>
      </c>
      <c r="L696" s="6" t="str">
        <f>IFERROR(__xludf.DUMMYFUNCTION("""COMPUTED_VALUE"""),"FIP Engineering")</f>
        <v>FIP Engineering</v>
      </c>
      <c r="M696" s="6" t="str">
        <f>IFERROR(__xludf.DUMMYFUNCTION("""COMPUTED_VALUE"""),"Irwan Sopian")</f>
        <v>Irwan Sopian</v>
      </c>
      <c r="N696" s="6" t="str">
        <f>IFERROR(__xludf.DUMMYFUNCTION("""COMPUTED_VALUE"""),"FIP Engineering")</f>
        <v>FIP Engineering</v>
      </c>
      <c r="O696" s="6" t="str">
        <f>IFERROR(__xludf.DUMMYFUNCTION("""COMPUTED_VALUE"""),"FIP-DOM-000-11304-OS00001-INA-000000")</f>
        <v>FIP-DOM-000-11304-OS00001-INA-000000</v>
      </c>
      <c r="P696" s="6" t="str">
        <f>IFERROR(__xludf.DUMMYFUNCTION("""COMPUTED_VALUE"""),"PO Closed")</f>
        <v>PO Closed</v>
      </c>
      <c r="Q696" s="6" t="str">
        <f>IFERROR(__xludf.DUMMYFUNCTION("""COMPUTED_VALUE"""),"GL1901041")</f>
        <v>GL1901041</v>
      </c>
      <c r="R696" s="16">
        <f>IFERROR(__xludf.DUMMYFUNCTION("""COMPUTED_VALUE"""),43476.0)</f>
        <v>43476</v>
      </c>
      <c r="S696" s="6" t="str">
        <f>IFERROR(__xludf.DUMMYFUNCTION("""COMPUTED_VALUE"""),"-")</f>
        <v>-</v>
      </c>
      <c r="T696" s="13">
        <f>IFERROR(__xludf.DUMMYFUNCTION("""COMPUTED_VALUE"""),43503.0)</f>
        <v>43503</v>
      </c>
    </row>
    <row r="697">
      <c r="A697" s="6" t="str">
        <f>IFERROR(__xludf.DUMMYFUNCTION("""COMPUTED_VALUE"""),"191750032-1")</f>
        <v>191750032-1</v>
      </c>
      <c r="B697" s="6" t="str">
        <f>IFERROR(__xludf.DUMMYFUNCTION("""COMPUTED_VALUE"""),"191750032 - Approved")</f>
        <v>191750032 - Approved</v>
      </c>
      <c r="C697" s="6">
        <f>IFERROR(__xludf.DUMMYFUNCTION("""COMPUTED_VALUE"""),1.0)</f>
        <v>1</v>
      </c>
      <c r="D697" s="6" t="str">
        <f>IFERROR(__xludf.DUMMYFUNCTION("""COMPUTED_VALUE"""),"T-12000-00")</f>
        <v>T-12000-00</v>
      </c>
      <c r="E697" s="6" t="str">
        <f>IFERROR(__xludf.DUMMYFUNCTION("""COMPUTED_VALUE"""),"HDD Internal - 4TB SATA Seagate SKYHAWK Surveilance 3.5 inch")</f>
        <v>HDD Internal - 4TB SATA Seagate SKYHAWK Surveilance 3.5 inch</v>
      </c>
      <c r="F697" s="6">
        <f>IFERROR(__xludf.DUMMYFUNCTION("""COMPUTED_VALUE"""),1.0)</f>
        <v>1</v>
      </c>
      <c r="G697" s="6" t="str">
        <f>IFERROR(__xludf.DUMMYFUNCTION("""COMPUTED_VALUE"""),"Pieces")</f>
        <v>Pieces</v>
      </c>
      <c r="H697" s="6" t="str">
        <f>IFERROR(__xludf.DUMMYFUNCTION("""COMPUTED_VALUE"""),"IDR")</f>
        <v>IDR</v>
      </c>
      <c r="I697" s="11">
        <f>IFERROR(__xludf.DUMMYFUNCTION("""COMPUTED_VALUE"""),2850000.0)</f>
        <v>2850000</v>
      </c>
      <c r="J697" s="11">
        <f>IFERROR(__xludf.DUMMYFUNCTION("""COMPUTED_VALUE"""),2850000.0)</f>
        <v>2850000</v>
      </c>
      <c r="K697" s="13">
        <f>IFERROR(__xludf.DUMMYFUNCTION("""COMPUTED_VALUE"""),43500.0)</f>
        <v>43500</v>
      </c>
      <c r="L697" s="6" t="str">
        <f>IFERROR(__xludf.DUMMYFUNCTION("""COMPUTED_VALUE"""),"FIP General")</f>
        <v>FIP General</v>
      </c>
      <c r="M697" s="6" t="str">
        <f>IFERROR(__xludf.DUMMYFUNCTION("""COMPUTED_VALUE"""),"Irwan Sopian")</f>
        <v>Irwan Sopian</v>
      </c>
      <c r="N697" s="6" t="str">
        <f>IFERROR(__xludf.DUMMYFUNCTION("""COMPUTED_VALUE"""),"FIP Engineering")</f>
        <v>FIP Engineering</v>
      </c>
      <c r="O697" s="6" t="str">
        <f>IFERROR(__xludf.DUMMYFUNCTION("""COMPUTED_VALUE"""),"FIP-DOM-ENG-51505-0000000-INA-000000")</f>
        <v>FIP-DOM-ENG-51505-0000000-INA-000000</v>
      </c>
      <c r="P697" s="6" t="str">
        <f>IFERROR(__xludf.DUMMYFUNCTION("""COMPUTED_VALUE"""),"PO Closed")</f>
        <v>PO Closed</v>
      </c>
      <c r="Q697" s="6" t="str">
        <f>IFERROR(__xludf.DUMMYFUNCTION("""COMPUTED_VALUE"""),"GL1901027")</f>
        <v>GL1901027</v>
      </c>
      <c r="R697" s="16">
        <f>IFERROR(__xludf.DUMMYFUNCTION("""COMPUTED_VALUE"""),43480.0)</f>
        <v>43480</v>
      </c>
      <c r="S697" s="6" t="str">
        <f>IFERROR(__xludf.DUMMYFUNCTION("""COMPUTED_VALUE"""),"-")</f>
        <v>-</v>
      </c>
      <c r="T697" s="13">
        <f>IFERROR(__xludf.DUMMYFUNCTION("""COMPUTED_VALUE"""),43490.0)</f>
        <v>43490</v>
      </c>
    </row>
    <row r="698">
      <c r="A698" s="6" t="str">
        <f>IFERROR(__xludf.DUMMYFUNCTION("""COMPUTED_VALUE"""),"181750505-4")</f>
        <v>181750505-4</v>
      </c>
      <c r="B698" s="6" t="str">
        <f>IFERROR(__xludf.DUMMYFUNCTION("""COMPUTED_VALUE"""),"181750505 - Approved")</f>
        <v>181750505 - Approved</v>
      </c>
      <c r="C698" s="6">
        <f>IFERROR(__xludf.DUMMYFUNCTION("""COMPUTED_VALUE"""),4.0)</f>
        <v>4</v>
      </c>
      <c r="D698" s="6" t="str">
        <f>IFERROR(__xludf.DUMMYFUNCTION("""COMPUTED_VALUE"""),"Q-60003-00")</f>
        <v>Q-60003-00</v>
      </c>
      <c r="E698" s="6" t="str">
        <f>IFERROR(__xludf.DUMMYFUNCTION("""COMPUTED_VALUE"""),"Plakband Kertas")</f>
        <v>Plakband Kertas</v>
      </c>
      <c r="F698" s="6">
        <f>IFERROR(__xludf.DUMMYFUNCTION("""COMPUTED_VALUE"""),20.0)</f>
        <v>20</v>
      </c>
      <c r="G698" s="6" t="str">
        <f>IFERROR(__xludf.DUMMYFUNCTION("""COMPUTED_VALUE"""),"Roll")</f>
        <v>Roll</v>
      </c>
      <c r="H698" s="6" t="str">
        <f>IFERROR(__xludf.DUMMYFUNCTION("""COMPUTED_VALUE"""),"IDR")</f>
        <v>IDR</v>
      </c>
      <c r="I698" s="11">
        <f>IFERROR(__xludf.DUMMYFUNCTION("""COMPUTED_VALUE"""),5000.0)</f>
        <v>5000</v>
      </c>
      <c r="J698" s="11">
        <f>IFERROR(__xludf.DUMMYFUNCTION("""COMPUTED_VALUE"""),100000.0)</f>
        <v>100000</v>
      </c>
      <c r="K698" s="17">
        <f>IFERROR(__xludf.DUMMYFUNCTION("""COMPUTED_VALUE"""),43500.0)</f>
        <v>43500</v>
      </c>
      <c r="L698" s="6" t="str">
        <f>IFERROR(__xludf.DUMMYFUNCTION("""COMPUTED_VALUE"""),"FIP Engineering")</f>
        <v>FIP Engineering</v>
      </c>
      <c r="M698" s="6" t="str">
        <f>IFERROR(__xludf.DUMMYFUNCTION("""COMPUTED_VALUE"""),"Irwan Sopian")</f>
        <v>Irwan Sopian</v>
      </c>
      <c r="N698" s="6" t="str">
        <f>IFERROR(__xludf.DUMMYFUNCTION("""COMPUTED_VALUE"""),"FIP Engineering")</f>
        <v>FIP Engineering</v>
      </c>
      <c r="O698" s="6" t="str">
        <f>IFERROR(__xludf.DUMMYFUNCTION("""COMPUTED_VALUE"""),"FIP-DOM-000-11304-OS00001-INA-000000")</f>
        <v>FIP-DOM-000-11304-OS00001-INA-000000</v>
      </c>
      <c r="P698" s="6" t="str">
        <f>IFERROR(__xludf.DUMMYFUNCTION("""COMPUTED_VALUE"""),"PO Closed")</f>
        <v>PO Closed</v>
      </c>
      <c r="Q698" s="6" t="str">
        <f>IFERROR(__xludf.DUMMYFUNCTION("""COMPUTED_VALUE"""),"GL1901041")</f>
        <v>GL1901041</v>
      </c>
      <c r="R698" s="16">
        <f>IFERROR(__xludf.DUMMYFUNCTION("""COMPUTED_VALUE"""),43483.0)</f>
        <v>43483</v>
      </c>
      <c r="S698" s="6" t="str">
        <f>IFERROR(__xludf.DUMMYFUNCTION("""COMPUTED_VALUE"""),"-")</f>
        <v>-</v>
      </c>
      <c r="T698" s="17">
        <f>IFERROR(__xludf.DUMMYFUNCTION("""COMPUTED_VALUE"""),43503.0)</f>
        <v>43503</v>
      </c>
    </row>
    <row r="699">
      <c r="A699" s="6" t="str">
        <f>IFERROR(__xludf.DUMMYFUNCTION("""COMPUTED_VALUE"""),"191750035-1")</f>
        <v>191750035-1</v>
      </c>
      <c r="B699" s="6" t="str">
        <f>IFERROR(__xludf.DUMMYFUNCTION("""COMPUTED_VALUE"""),"191750035 - Approved")</f>
        <v>191750035 - Approved</v>
      </c>
      <c r="C699" s="6">
        <f>IFERROR(__xludf.DUMMYFUNCTION("""COMPUTED_VALUE"""),1.0)</f>
        <v>1</v>
      </c>
      <c r="D699" s="6" t="str">
        <f>IFERROR(__xludf.DUMMYFUNCTION("""COMPUTED_VALUE"""),"O-54032-00")</f>
        <v>O-54032-00</v>
      </c>
      <c r="E699" s="6" t="str">
        <f>IFERROR(__xludf.DUMMYFUNCTION("""COMPUTED_VALUE"""),"Photoelectric Distance Sensor OGD592 IFM")</f>
        <v>Photoelectric Distance Sensor OGD592 IFM</v>
      </c>
      <c r="F699" s="6">
        <f>IFERROR(__xludf.DUMMYFUNCTION("""COMPUTED_VALUE"""),1.0)</f>
        <v>1</v>
      </c>
      <c r="G699" s="6" t="str">
        <f>IFERROR(__xludf.DUMMYFUNCTION("""COMPUTED_VALUE"""),"Pieces")</f>
        <v>Pieces</v>
      </c>
      <c r="H699" s="6" t="str">
        <f>IFERROR(__xludf.DUMMYFUNCTION("""COMPUTED_VALUE"""),"IDR")</f>
        <v>IDR</v>
      </c>
      <c r="I699" s="11">
        <f>IFERROR(__xludf.DUMMYFUNCTION("""COMPUTED_VALUE"""),5650000.0)</f>
        <v>5650000</v>
      </c>
      <c r="J699" s="11">
        <f>IFERROR(__xludf.DUMMYFUNCTION("""COMPUTED_VALUE"""),5650000.0)</f>
        <v>5650000</v>
      </c>
      <c r="K699" s="13">
        <f>IFERROR(__xludf.DUMMYFUNCTION("""COMPUTED_VALUE"""),43511.0)</f>
        <v>43511</v>
      </c>
      <c r="L699" s="6" t="str">
        <f>IFERROR(__xludf.DUMMYFUNCTION("""COMPUTED_VALUE"""),"FIP Engineering")</f>
        <v>FIP Engineering</v>
      </c>
      <c r="M699" s="6" t="str">
        <f>IFERROR(__xludf.DUMMYFUNCTION("""COMPUTED_VALUE"""),"Irwan Sopian")</f>
        <v>Irwan Sopian</v>
      </c>
      <c r="N699" s="6" t="str">
        <f>IFERROR(__xludf.DUMMYFUNCTION("""COMPUTED_VALUE"""),"FIP Engineering")</f>
        <v>FIP Engineering</v>
      </c>
      <c r="O699" s="6" t="str">
        <f>IFERROR(__xludf.DUMMYFUNCTION("""COMPUTED_VALUE"""),"FIP-DOM-000-11304-OS00001-INA-000000")</f>
        <v>FIP-DOM-000-11304-OS00001-INA-000000</v>
      </c>
      <c r="P699" s="6" t="str">
        <f>IFERROR(__xludf.DUMMYFUNCTION("""COMPUTED_VALUE"""),"PO Closed")</f>
        <v>PO Closed</v>
      </c>
      <c r="Q699" s="6" t="str">
        <f>IFERROR(__xludf.DUMMYFUNCTION("""COMPUTED_VALUE"""),"GL1901045")</f>
        <v>GL1901045</v>
      </c>
      <c r="R699" s="16">
        <f>IFERROR(__xludf.DUMMYFUNCTION("""COMPUTED_VALUE"""),43486.0)</f>
        <v>43486</v>
      </c>
      <c r="S699" s="6" t="str">
        <f>IFERROR(__xludf.DUMMYFUNCTION("""COMPUTED_VALUE"""),"-")</f>
        <v>-</v>
      </c>
      <c r="T699" s="17">
        <f>IFERROR(__xludf.DUMMYFUNCTION("""COMPUTED_VALUE"""),43612.0)</f>
        <v>43612</v>
      </c>
    </row>
    <row r="700">
      <c r="A700" s="6" t="str">
        <f>IFERROR(__xludf.DUMMYFUNCTION("""COMPUTED_VALUE"""),"191750035-2")</f>
        <v>191750035-2</v>
      </c>
      <c r="B700" s="6" t="str">
        <f>IFERROR(__xludf.DUMMYFUNCTION("""COMPUTED_VALUE"""),"191750035 - Approved")</f>
        <v>191750035 - Approved</v>
      </c>
      <c r="C700" s="6">
        <f>IFERROR(__xludf.DUMMYFUNCTION("""COMPUTED_VALUE"""),2.0)</f>
        <v>2</v>
      </c>
      <c r="D700" s="6" t="str">
        <f>IFERROR(__xludf.DUMMYFUNCTION("""COMPUTED_VALUE"""),"O-54033-00")</f>
        <v>O-54033-00</v>
      </c>
      <c r="E700" s="6" t="str">
        <f>IFERROR(__xludf.DUMMYFUNCTION("""COMPUTED_VALUE"""),"Mounting Adapter Connector 5M IFM")</f>
        <v>Mounting Adapter Connector 5M IFM</v>
      </c>
      <c r="F700" s="6">
        <f>IFERROR(__xludf.DUMMYFUNCTION("""COMPUTED_VALUE"""),1.0)</f>
        <v>1</v>
      </c>
      <c r="G700" s="6" t="str">
        <f>IFERROR(__xludf.DUMMYFUNCTION("""COMPUTED_VALUE"""),"Pieces")</f>
        <v>Pieces</v>
      </c>
      <c r="H700" s="6" t="str">
        <f>IFERROR(__xludf.DUMMYFUNCTION("""COMPUTED_VALUE"""),"IDR")</f>
        <v>IDR</v>
      </c>
      <c r="I700" s="11">
        <f>IFERROR(__xludf.DUMMYFUNCTION("""COMPUTED_VALUE"""),1950000.0)</f>
        <v>1950000</v>
      </c>
      <c r="J700" s="11">
        <f>IFERROR(__xludf.DUMMYFUNCTION("""COMPUTED_VALUE"""),1950000.0)</f>
        <v>1950000</v>
      </c>
      <c r="K700" s="13">
        <f>IFERROR(__xludf.DUMMYFUNCTION("""COMPUTED_VALUE"""),43511.0)</f>
        <v>43511</v>
      </c>
      <c r="L700" s="6" t="str">
        <f>IFERROR(__xludf.DUMMYFUNCTION("""COMPUTED_VALUE"""),"FIP Engineering")</f>
        <v>FIP Engineering</v>
      </c>
      <c r="M700" s="6" t="str">
        <f>IFERROR(__xludf.DUMMYFUNCTION("""COMPUTED_VALUE"""),"Irwan Sopian")</f>
        <v>Irwan Sopian</v>
      </c>
      <c r="N700" s="6" t="str">
        <f>IFERROR(__xludf.DUMMYFUNCTION("""COMPUTED_VALUE"""),"FIP Engineering")</f>
        <v>FIP Engineering</v>
      </c>
      <c r="O700" s="6" t="str">
        <f>IFERROR(__xludf.DUMMYFUNCTION("""COMPUTED_VALUE"""),"FIP-DOM-000-11304-OS00001-INA-000000")</f>
        <v>FIP-DOM-000-11304-OS00001-INA-000000</v>
      </c>
      <c r="P700" s="6" t="str">
        <f>IFERROR(__xludf.DUMMYFUNCTION("""COMPUTED_VALUE"""),"PO Closed")</f>
        <v>PO Closed</v>
      </c>
      <c r="Q700" s="6" t="str">
        <f>IFERROR(__xludf.DUMMYFUNCTION("""COMPUTED_VALUE"""),"GL1901045")</f>
        <v>GL1901045</v>
      </c>
      <c r="R700" s="16">
        <f>IFERROR(__xludf.DUMMYFUNCTION("""COMPUTED_VALUE"""),43486.0)</f>
        <v>43486</v>
      </c>
      <c r="S700" s="6" t="str">
        <f>IFERROR(__xludf.DUMMYFUNCTION("""COMPUTED_VALUE"""),"-")</f>
        <v>-</v>
      </c>
      <c r="T700" s="17">
        <f>IFERROR(__xludf.DUMMYFUNCTION("""COMPUTED_VALUE"""),43612.0)</f>
        <v>43612</v>
      </c>
    </row>
    <row r="701">
      <c r="A701" s="6" t="str">
        <f>IFERROR(__xludf.DUMMYFUNCTION("""COMPUTED_VALUE"""),"191750035-3")</f>
        <v>191750035-3</v>
      </c>
      <c r="B701" s="6" t="str">
        <f>IFERROR(__xludf.DUMMYFUNCTION("""COMPUTED_VALUE"""),"191750035 - Approved")</f>
        <v>191750035 - Approved</v>
      </c>
      <c r="C701" s="6">
        <f>IFERROR(__xludf.DUMMYFUNCTION("""COMPUTED_VALUE"""),3.0)</f>
        <v>3</v>
      </c>
      <c r="D701" s="6" t="str">
        <f>IFERROR(__xludf.DUMMYFUNCTION("""COMPUTED_VALUE"""),"S-60002-00")</f>
        <v>S-60002-00</v>
      </c>
      <c r="E701" s="6" t="str">
        <f>IFERROR(__xludf.DUMMYFUNCTION("""COMPUTED_VALUE"""),"Jasa Pemasangan dan Setting")</f>
        <v>Jasa Pemasangan dan Setting</v>
      </c>
      <c r="F701" s="6">
        <f>IFERROR(__xludf.DUMMYFUNCTION("""COMPUTED_VALUE"""),1.0)</f>
        <v>1</v>
      </c>
      <c r="G701" s="6" t="str">
        <f>IFERROR(__xludf.DUMMYFUNCTION("""COMPUTED_VALUE"""),"Lot")</f>
        <v>Lot</v>
      </c>
      <c r="H701" s="6" t="str">
        <f>IFERROR(__xludf.DUMMYFUNCTION("""COMPUTED_VALUE"""),"IDR")</f>
        <v>IDR</v>
      </c>
      <c r="I701" s="11">
        <f>IFERROR(__xludf.DUMMYFUNCTION("""COMPUTED_VALUE"""),2000000.0)</f>
        <v>2000000</v>
      </c>
      <c r="J701" s="11">
        <f>IFERROR(__xludf.DUMMYFUNCTION("""COMPUTED_VALUE"""),2000000.0)</f>
        <v>2000000</v>
      </c>
      <c r="K701" s="13">
        <f>IFERROR(__xludf.DUMMYFUNCTION("""COMPUTED_VALUE"""),43511.0)</f>
        <v>43511</v>
      </c>
      <c r="L701" s="6" t="str">
        <f>IFERROR(__xludf.DUMMYFUNCTION("""COMPUTED_VALUE"""),"FIP General")</f>
        <v>FIP General</v>
      </c>
      <c r="M701" s="6" t="str">
        <f>IFERROR(__xludf.DUMMYFUNCTION("""COMPUTED_VALUE"""),"Irwan Sopian")</f>
        <v>Irwan Sopian</v>
      </c>
      <c r="N701" s="6" t="str">
        <f>IFERROR(__xludf.DUMMYFUNCTION("""COMPUTED_VALUE"""),"FIP Engineering")</f>
        <v>FIP Engineering</v>
      </c>
      <c r="O701" s="6" t="str">
        <f>IFERROR(__xludf.DUMMYFUNCTION("""COMPUTED_VALUE"""),"FIP-DOM-ENG-51508-0000000-INA-000000")</f>
        <v>FIP-DOM-ENG-51508-0000000-INA-000000</v>
      </c>
      <c r="P701" s="6" t="str">
        <f>IFERROR(__xludf.DUMMYFUNCTION("""COMPUTED_VALUE"""),"PO Closed")</f>
        <v>PO Closed</v>
      </c>
      <c r="Q701" s="6" t="str">
        <f>IFERROR(__xludf.DUMMYFUNCTION("""COMPUTED_VALUE"""),"GL1901045")</f>
        <v>GL1901045</v>
      </c>
      <c r="R701" s="16">
        <f>IFERROR(__xludf.DUMMYFUNCTION("""COMPUTED_VALUE"""),43486.0)</f>
        <v>43486</v>
      </c>
      <c r="S701" s="6" t="str">
        <f>IFERROR(__xludf.DUMMYFUNCTION("""COMPUTED_VALUE"""),"-")</f>
        <v>-</v>
      </c>
      <c r="T701" s="13">
        <f>IFERROR(__xludf.DUMMYFUNCTION("""COMPUTED_VALUE"""),43612.0)</f>
        <v>43612</v>
      </c>
    </row>
    <row r="702">
      <c r="A702" s="6" t="str">
        <f>IFERROR(__xludf.DUMMYFUNCTION("""COMPUTED_VALUE"""),"191750036-1")</f>
        <v>191750036-1</v>
      </c>
      <c r="B702" s="6" t="str">
        <f>IFERROR(__xludf.DUMMYFUNCTION("""COMPUTED_VALUE"""),"191750036 - Approved")</f>
        <v>191750036 - Approved</v>
      </c>
      <c r="C702" s="6">
        <f>IFERROR(__xludf.DUMMYFUNCTION("""COMPUTED_VALUE"""),1.0)</f>
        <v>1</v>
      </c>
      <c r="D702" s="6" t="str">
        <f>IFERROR(__xludf.DUMMYFUNCTION("""COMPUTED_VALUE"""),"P-13370-00")</f>
        <v>P-13370-00</v>
      </c>
      <c r="E702" s="6" t="str">
        <f>IFERROR(__xludf.DUMMYFUNCTION("""COMPUTED_VALUE"""),"Pulser SCR Heater Contoller Regin")</f>
        <v>Pulser SCR Heater Contoller Regin</v>
      </c>
      <c r="F702" s="6">
        <f>IFERROR(__xludf.DUMMYFUNCTION("""COMPUTED_VALUE"""),2.0)</f>
        <v>2</v>
      </c>
      <c r="G702" s="6" t="str">
        <f>IFERROR(__xludf.DUMMYFUNCTION("""COMPUTED_VALUE"""),"Unit")</f>
        <v>Unit</v>
      </c>
      <c r="H702" s="6" t="str">
        <f>IFERROR(__xludf.DUMMYFUNCTION("""COMPUTED_VALUE"""),"IDR")</f>
        <v>IDR</v>
      </c>
      <c r="I702" s="11">
        <f>IFERROR(__xludf.DUMMYFUNCTION("""COMPUTED_VALUE"""),2887500.0)</f>
        <v>2887500</v>
      </c>
      <c r="J702" s="11">
        <f>IFERROR(__xludf.DUMMYFUNCTION("""COMPUTED_VALUE"""),5775000.0)</f>
        <v>5775000</v>
      </c>
      <c r="K702" s="13">
        <f>IFERROR(__xludf.DUMMYFUNCTION("""COMPUTED_VALUE"""),43524.0)</f>
        <v>43524</v>
      </c>
      <c r="L702" s="6" t="str">
        <f>IFERROR(__xludf.DUMMYFUNCTION("""COMPUTED_VALUE"""),"FIP Engineering")</f>
        <v>FIP Engineering</v>
      </c>
      <c r="M702" s="6" t="str">
        <f>IFERROR(__xludf.DUMMYFUNCTION("""COMPUTED_VALUE"""),"Irwan Sopian")</f>
        <v>Irwan Sopian</v>
      </c>
      <c r="N702" s="6" t="str">
        <f>IFERROR(__xludf.DUMMYFUNCTION("""COMPUTED_VALUE"""),"FIP Engineering")</f>
        <v>FIP Engineering</v>
      </c>
      <c r="O702" s="6" t="str">
        <f>IFERROR(__xludf.DUMMYFUNCTION("""COMPUTED_VALUE"""),"FIP-DOM-000-11304-OS00001-INA-000000")</f>
        <v>FIP-DOM-000-11304-OS00001-INA-000000</v>
      </c>
      <c r="P702" s="6" t="str">
        <f>IFERROR(__xludf.DUMMYFUNCTION("""COMPUTED_VALUE"""),"PO Closed")</f>
        <v>PO Closed</v>
      </c>
      <c r="Q702" s="6" t="str">
        <f>IFERROR(__xludf.DUMMYFUNCTION("""COMPUTED_VALUE"""),"GL1902017")</f>
        <v>GL1902017</v>
      </c>
      <c r="R702" s="16">
        <f>IFERROR(__xludf.DUMMYFUNCTION("""COMPUTED_VALUE"""),43488.0)</f>
        <v>43488</v>
      </c>
      <c r="S702" s="6" t="str">
        <f>IFERROR(__xludf.DUMMYFUNCTION("""COMPUTED_VALUE"""),"-")</f>
        <v>-</v>
      </c>
      <c r="T702" s="17">
        <f>IFERROR(__xludf.DUMMYFUNCTION("""COMPUTED_VALUE"""),43539.0)</f>
        <v>43539</v>
      </c>
    </row>
    <row r="703">
      <c r="A703" s="6" t="str">
        <f>IFERROR(__xludf.DUMMYFUNCTION("""COMPUTED_VALUE"""),"191750020-3")</f>
        <v>191750020-3</v>
      </c>
      <c r="B703" s="6" t="str">
        <f>IFERROR(__xludf.DUMMYFUNCTION("""COMPUTED_VALUE"""),"191750020 - Approved")</f>
        <v>191750020 - Approved</v>
      </c>
      <c r="C703" s="6">
        <f>IFERROR(__xludf.DUMMYFUNCTION("""COMPUTED_VALUE"""),3.0)</f>
        <v>3</v>
      </c>
      <c r="D703" s="6" t="str">
        <f>IFERROR(__xludf.DUMMYFUNCTION("""COMPUTED_VALUE"""),"P-17079-00")</f>
        <v>P-17079-00</v>
      </c>
      <c r="E703" s="6" t="str">
        <f>IFERROR(__xludf.DUMMYFUNCTION("""COMPUTED_VALUE"""),"Roda Caster Dia : 2"" Swivel Flange With Brake; ; ;")</f>
        <v>Roda Caster Dia : 2" Swivel Flange With Brake; ; ;</v>
      </c>
      <c r="F703" s="6">
        <f>IFERROR(__xludf.DUMMYFUNCTION("""COMPUTED_VALUE"""),2.0)</f>
        <v>2</v>
      </c>
      <c r="G703" s="6" t="str">
        <f>IFERROR(__xludf.DUMMYFUNCTION("""COMPUTED_VALUE"""),"Set")</f>
        <v>Set</v>
      </c>
      <c r="H703" s="6" t="str">
        <f>IFERROR(__xludf.DUMMYFUNCTION("""COMPUTED_VALUE"""),"IDR")</f>
        <v>IDR</v>
      </c>
      <c r="I703" s="11">
        <f>IFERROR(__xludf.DUMMYFUNCTION("""COMPUTED_VALUE"""),150000.0)</f>
        <v>150000</v>
      </c>
      <c r="J703" s="11">
        <f>IFERROR(__xludf.DUMMYFUNCTION("""COMPUTED_VALUE"""),300000.0)</f>
        <v>300000</v>
      </c>
      <c r="K703" s="13">
        <f>IFERROR(__xludf.DUMMYFUNCTION("""COMPUTED_VALUE"""),43524.0)</f>
        <v>43524</v>
      </c>
      <c r="L703" s="6" t="str">
        <f>IFERROR(__xludf.DUMMYFUNCTION("""COMPUTED_VALUE"""),"FIP Engineering")</f>
        <v>FIP Engineering</v>
      </c>
      <c r="M703" s="6" t="str">
        <f>IFERROR(__xludf.DUMMYFUNCTION("""COMPUTED_VALUE"""),"Irwan Sopian")</f>
        <v>Irwan Sopian</v>
      </c>
      <c r="N703" s="6" t="str">
        <f>IFERROR(__xludf.DUMMYFUNCTION("""COMPUTED_VALUE"""),"FIP Engineering")</f>
        <v>FIP Engineering</v>
      </c>
      <c r="O703" s="6" t="str">
        <f>IFERROR(__xludf.DUMMYFUNCTION("""COMPUTED_VALUE"""),"FIP-DOM-000-11304-OS00001-INA-000000")</f>
        <v>FIP-DOM-000-11304-OS00001-INA-000000</v>
      </c>
      <c r="P703" s="6" t="str">
        <f>IFERROR(__xludf.DUMMYFUNCTION("""COMPUTED_VALUE"""),"PO Closed")</f>
        <v>PO Closed</v>
      </c>
      <c r="Q703" s="6" t="str">
        <f>IFERROR(__xludf.DUMMYFUNCTION("""COMPUTED_VALUE"""),"GL1902016")</f>
        <v>GL1902016</v>
      </c>
      <c r="R703" s="16">
        <f>IFERROR(__xludf.DUMMYFUNCTION("""COMPUTED_VALUE"""),43494.0)</f>
        <v>43494</v>
      </c>
      <c r="S703" s="6" t="str">
        <f>IFERROR(__xludf.DUMMYFUNCTION("""COMPUTED_VALUE"""),"-")</f>
        <v>-</v>
      </c>
      <c r="T703" s="17">
        <f>IFERROR(__xludf.DUMMYFUNCTION("""COMPUTED_VALUE"""),43518.0)</f>
        <v>43518</v>
      </c>
    </row>
    <row r="704">
      <c r="A704" s="6" t="str">
        <f>IFERROR(__xludf.DUMMYFUNCTION("""COMPUTED_VALUE"""),"191750020-4")</f>
        <v>191750020-4</v>
      </c>
      <c r="B704" s="6" t="str">
        <f>IFERROR(__xludf.DUMMYFUNCTION("""COMPUTED_VALUE"""),"191750020 - Approved")</f>
        <v>191750020 - Approved</v>
      </c>
      <c r="C704" s="6">
        <f>IFERROR(__xludf.DUMMYFUNCTION("""COMPUTED_VALUE"""),4.0)</f>
        <v>4</v>
      </c>
      <c r="D704" s="6" t="str">
        <f>IFERROR(__xludf.DUMMYFUNCTION("""COMPUTED_VALUE"""),"Q-10509-00")</f>
        <v>Q-10509-00</v>
      </c>
      <c r="E704" s="6" t="str">
        <f>IFERROR(__xludf.DUMMYFUNCTION("""COMPUTED_VALUE"""),"Cable Ducting")</f>
        <v>Cable Ducting</v>
      </c>
      <c r="F704" s="6">
        <f>IFERROR(__xludf.DUMMYFUNCTION("""COMPUTED_VALUE"""),10.0)</f>
        <v>10</v>
      </c>
      <c r="G704" s="6" t="str">
        <f>IFERROR(__xludf.DUMMYFUNCTION("""COMPUTED_VALUE"""),"Pieces")</f>
        <v>Pieces</v>
      </c>
      <c r="H704" s="6" t="str">
        <f>IFERROR(__xludf.DUMMYFUNCTION("""COMPUTED_VALUE"""),"IDR")</f>
        <v>IDR</v>
      </c>
      <c r="I704" s="11">
        <f>IFERROR(__xludf.DUMMYFUNCTION("""COMPUTED_VALUE"""),150000.0)</f>
        <v>150000</v>
      </c>
      <c r="J704" s="11">
        <f>IFERROR(__xludf.DUMMYFUNCTION("""COMPUTED_VALUE"""),1500000.0)</f>
        <v>1500000</v>
      </c>
      <c r="K704" s="13">
        <f>IFERROR(__xludf.DUMMYFUNCTION("""COMPUTED_VALUE"""),43524.0)</f>
        <v>43524</v>
      </c>
      <c r="L704" s="6" t="str">
        <f>IFERROR(__xludf.DUMMYFUNCTION("""COMPUTED_VALUE"""),"FIP General")</f>
        <v>FIP General</v>
      </c>
      <c r="M704" s="6" t="str">
        <f>IFERROR(__xludf.DUMMYFUNCTION("""COMPUTED_VALUE"""),"Irwan Sopian")</f>
        <v>Irwan Sopian</v>
      </c>
      <c r="N704" s="6" t="str">
        <f>IFERROR(__xludf.DUMMYFUNCTION("""COMPUTED_VALUE"""),"FIP Engineering")</f>
        <v>FIP Engineering</v>
      </c>
      <c r="O704" s="6" t="str">
        <f>IFERROR(__xludf.DUMMYFUNCTION("""COMPUTED_VALUE"""),"FIP-DOM-ENG-51502-0000000-INA-000000")</f>
        <v>FIP-DOM-ENG-51502-0000000-INA-000000</v>
      </c>
      <c r="P704" s="6" t="str">
        <f>IFERROR(__xludf.DUMMYFUNCTION("""COMPUTED_VALUE"""),"PO Closed")</f>
        <v>PO Closed</v>
      </c>
      <c r="Q704" s="6" t="str">
        <f>IFERROR(__xludf.DUMMYFUNCTION("""COMPUTED_VALUE"""),"GL1902016")</f>
        <v>GL1902016</v>
      </c>
      <c r="R704" s="16">
        <f>IFERROR(__xludf.DUMMYFUNCTION("""COMPUTED_VALUE"""),43494.0)</f>
        <v>43494</v>
      </c>
      <c r="S704" s="6" t="str">
        <f>IFERROR(__xludf.DUMMYFUNCTION("""COMPUTED_VALUE"""),"-")</f>
        <v>-</v>
      </c>
      <c r="T704" s="17">
        <f>IFERROR(__xludf.DUMMYFUNCTION("""COMPUTED_VALUE"""),43518.0)</f>
        <v>43518</v>
      </c>
    </row>
    <row r="705">
      <c r="A705" s="6" t="str">
        <f>IFERROR(__xludf.DUMMYFUNCTION("""COMPUTED_VALUE"""),"191750019-3")</f>
        <v>191750019-3</v>
      </c>
      <c r="B705" s="6" t="str">
        <f>IFERROR(__xludf.DUMMYFUNCTION("""COMPUTED_VALUE"""),"191750019 - Approved")</f>
        <v>191750019 - Approved</v>
      </c>
      <c r="C705" s="6">
        <f>IFERROR(__xludf.DUMMYFUNCTION("""COMPUTED_VALUE"""),3.0)</f>
        <v>3</v>
      </c>
      <c r="D705" s="6" t="str">
        <f>IFERROR(__xludf.DUMMYFUNCTION("""COMPUTED_VALUE"""),"Q-10271-00")</f>
        <v>Q-10271-00</v>
      </c>
      <c r="E705" s="6" t="str">
        <f>IFERROR(__xludf.DUMMYFUNCTION("""COMPUTED_VALUE"""),"Kuas 3 inch")</f>
        <v>Kuas 3 inch</v>
      </c>
      <c r="F705" s="6">
        <f>IFERROR(__xludf.DUMMYFUNCTION("""COMPUTED_VALUE"""),5.0)</f>
        <v>5</v>
      </c>
      <c r="G705" s="6" t="str">
        <f>IFERROR(__xludf.DUMMYFUNCTION("""COMPUTED_VALUE"""),"Pieces")</f>
        <v>Pieces</v>
      </c>
      <c r="H705" s="6" t="str">
        <f>IFERROR(__xludf.DUMMYFUNCTION("""COMPUTED_VALUE"""),"IDR")</f>
        <v>IDR</v>
      </c>
      <c r="I705" s="11">
        <f>IFERROR(__xludf.DUMMYFUNCTION("""COMPUTED_VALUE"""),9500.0)</f>
        <v>9500</v>
      </c>
      <c r="J705" s="11">
        <f>IFERROR(__xludf.DUMMYFUNCTION("""COMPUTED_VALUE"""),47500.0)</f>
        <v>47500</v>
      </c>
      <c r="K705" s="13">
        <f>IFERROR(__xludf.DUMMYFUNCTION("""COMPUTED_VALUE"""),43518.0)</f>
        <v>43518</v>
      </c>
      <c r="L705" s="6" t="str">
        <f>IFERROR(__xludf.DUMMYFUNCTION("""COMPUTED_VALUE"""),"FIP General")</f>
        <v>FIP General</v>
      </c>
      <c r="M705" s="6" t="str">
        <f>IFERROR(__xludf.DUMMYFUNCTION("""COMPUTED_VALUE"""),"Irwan Sopian")</f>
        <v>Irwan Sopian</v>
      </c>
      <c r="N705" s="6" t="str">
        <f>IFERROR(__xludf.DUMMYFUNCTION("""COMPUTED_VALUE"""),"FIP Engineering")</f>
        <v>FIP Engineering</v>
      </c>
      <c r="O705" s="6" t="str">
        <f>IFERROR(__xludf.DUMMYFUNCTION("""COMPUTED_VALUE"""),"FIP-DOM-ENG-51502-0000000-INA-000000")</f>
        <v>FIP-DOM-ENG-51502-0000000-INA-000000</v>
      </c>
      <c r="P705" s="6" t="str">
        <f>IFERROR(__xludf.DUMMYFUNCTION("""COMPUTED_VALUE"""),"PO Closed")</f>
        <v>PO Closed</v>
      </c>
      <c r="Q705" s="6" t="str">
        <f>IFERROR(__xludf.DUMMYFUNCTION("""COMPUTED_VALUE"""),"GL1902016")</f>
        <v>GL1902016</v>
      </c>
      <c r="R705" s="16">
        <f>IFERROR(__xludf.DUMMYFUNCTION("""COMPUTED_VALUE"""),43494.0)</f>
        <v>43494</v>
      </c>
      <c r="S705" s="6" t="str">
        <f>IFERROR(__xludf.DUMMYFUNCTION("""COMPUTED_VALUE"""),"-")</f>
        <v>-</v>
      </c>
      <c r="T705" s="17">
        <f>IFERROR(__xludf.DUMMYFUNCTION("""COMPUTED_VALUE"""),43518.0)</f>
        <v>43518</v>
      </c>
    </row>
    <row r="706">
      <c r="A706" s="6" t="str">
        <f>IFERROR(__xludf.DUMMYFUNCTION("""COMPUTED_VALUE"""),"191750019-4")</f>
        <v>191750019-4</v>
      </c>
      <c r="B706" s="6" t="str">
        <f>IFERROR(__xludf.DUMMYFUNCTION("""COMPUTED_VALUE"""),"191750019 - Approved")</f>
        <v>191750019 - Approved</v>
      </c>
      <c r="C706" s="6">
        <f>IFERROR(__xludf.DUMMYFUNCTION("""COMPUTED_VALUE"""),4.0)</f>
        <v>4</v>
      </c>
      <c r="D706" s="6" t="str">
        <f>IFERROR(__xludf.DUMMYFUNCTION("""COMPUTED_VALUE"""),"Q-10153-00")</f>
        <v>Q-10153-00</v>
      </c>
      <c r="E706" s="6" t="str">
        <f>IFERROR(__xludf.DUMMYFUNCTION("""COMPUTED_VALUE"""),"Roller cat 110mm")</f>
        <v>Roller cat 110mm</v>
      </c>
      <c r="F706" s="6">
        <f>IFERROR(__xludf.DUMMYFUNCTION("""COMPUTED_VALUE"""),10.0)</f>
        <v>10</v>
      </c>
      <c r="G706" s="6" t="str">
        <f>IFERROR(__xludf.DUMMYFUNCTION("""COMPUTED_VALUE"""),"Pieces")</f>
        <v>Pieces</v>
      </c>
      <c r="H706" s="6" t="str">
        <f>IFERROR(__xludf.DUMMYFUNCTION("""COMPUTED_VALUE"""),"IDR")</f>
        <v>IDR</v>
      </c>
      <c r="I706" s="11">
        <f>IFERROR(__xludf.DUMMYFUNCTION("""COMPUTED_VALUE"""),10000.0)</f>
        <v>10000</v>
      </c>
      <c r="J706" s="11">
        <f>IFERROR(__xludf.DUMMYFUNCTION("""COMPUTED_VALUE"""),100000.0)</f>
        <v>100000</v>
      </c>
      <c r="K706" s="13">
        <f>IFERROR(__xludf.DUMMYFUNCTION("""COMPUTED_VALUE"""),43518.0)</f>
        <v>43518</v>
      </c>
      <c r="L706" s="6" t="str">
        <f>IFERROR(__xludf.DUMMYFUNCTION("""COMPUTED_VALUE"""),"FIP Engineering")</f>
        <v>FIP Engineering</v>
      </c>
      <c r="M706" s="6" t="str">
        <f>IFERROR(__xludf.DUMMYFUNCTION("""COMPUTED_VALUE"""),"Irwan Sopian")</f>
        <v>Irwan Sopian</v>
      </c>
      <c r="N706" s="6" t="str">
        <f>IFERROR(__xludf.DUMMYFUNCTION("""COMPUTED_VALUE"""),"FIP Engineering")</f>
        <v>FIP Engineering</v>
      </c>
      <c r="O706" s="6" t="str">
        <f>IFERROR(__xludf.DUMMYFUNCTION("""COMPUTED_VALUE"""),"FIP-DOM-000-11304-OS00001-INA-000000")</f>
        <v>FIP-DOM-000-11304-OS00001-INA-000000</v>
      </c>
      <c r="P706" s="6" t="str">
        <f>IFERROR(__xludf.DUMMYFUNCTION("""COMPUTED_VALUE"""),"PO Closed")</f>
        <v>PO Closed</v>
      </c>
      <c r="Q706" s="6" t="str">
        <f>IFERROR(__xludf.DUMMYFUNCTION("""COMPUTED_VALUE"""),"GL1902015")</f>
        <v>GL1902015</v>
      </c>
      <c r="R706" s="16">
        <f>IFERROR(__xludf.DUMMYFUNCTION("""COMPUTED_VALUE"""),43494.0)</f>
        <v>43494</v>
      </c>
      <c r="S706" s="6" t="str">
        <f>IFERROR(__xludf.DUMMYFUNCTION("""COMPUTED_VALUE"""),"-")</f>
        <v>-</v>
      </c>
      <c r="T706" s="13">
        <f>IFERROR(__xludf.DUMMYFUNCTION("""COMPUTED_VALUE"""),43518.0)</f>
        <v>43518</v>
      </c>
    </row>
    <row r="707">
      <c r="A707" s="6" t="str">
        <f>IFERROR(__xludf.DUMMYFUNCTION("""COMPUTED_VALUE"""),"191750019-5")</f>
        <v>191750019-5</v>
      </c>
      <c r="B707" s="6" t="str">
        <f>IFERROR(__xludf.DUMMYFUNCTION("""COMPUTED_VALUE"""),"191750019 - Approved")</f>
        <v>191750019 - Approved</v>
      </c>
      <c r="C707" s="6">
        <f>IFERROR(__xludf.DUMMYFUNCTION("""COMPUTED_VALUE"""),5.0)</f>
        <v>5</v>
      </c>
      <c r="D707" s="6" t="str">
        <f>IFERROR(__xludf.DUMMYFUNCTION("""COMPUTED_VALUE"""),"P-50506-00")</f>
        <v>P-50506-00</v>
      </c>
      <c r="E707" s="6" t="str">
        <f>IFERROR(__xludf.DUMMYFUNCTION("""COMPUTED_VALUE"""),"Saklar Tunggal / 250 V / Clipsal")</f>
        <v>Saklar Tunggal / 250 V / Clipsal</v>
      </c>
      <c r="F707" s="6">
        <f>IFERROR(__xludf.DUMMYFUNCTION("""COMPUTED_VALUE"""),3.0)</f>
        <v>3</v>
      </c>
      <c r="G707" s="6" t="str">
        <f>IFERROR(__xludf.DUMMYFUNCTION("""COMPUTED_VALUE"""),"Pieces")</f>
        <v>Pieces</v>
      </c>
      <c r="H707" s="6" t="str">
        <f>IFERROR(__xludf.DUMMYFUNCTION("""COMPUTED_VALUE"""),"IDR")</f>
        <v>IDR</v>
      </c>
      <c r="I707" s="11">
        <f>IFERROR(__xludf.DUMMYFUNCTION("""COMPUTED_VALUE"""),23000.0)</f>
        <v>23000</v>
      </c>
      <c r="J707" s="11">
        <f>IFERROR(__xludf.DUMMYFUNCTION("""COMPUTED_VALUE"""),69000.0)</f>
        <v>69000</v>
      </c>
      <c r="K707" s="13">
        <f>IFERROR(__xludf.DUMMYFUNCTION("""COMPUTED_VALUE"""),43518.0)</f>
        <v>43518</v>
      </c>
      <c r="L707" s="6" t="str">
        <f>IFERROR(__xludf.DUMMYFUNCTION("""COMPUTED_VALUE"""),"FIP Engineering")</f>
        <v>FIP Engineering</v>
      </c>
      <c r="M707" s="6" t="str">
        <f>IFERROR(__xludf.DUMMYFUNCTION("""COMPUTED_VALUE"""),"Irwan Sopian")</f>
        <v>Irwan Sopian</v>
      </c>
      <c r="N707" s="6" t="str">
        <f>IFERROR(__xludf.DUMMYFUNCTION("""COMPUTED_VALUE"""),"FIP Engineering")</f>
        <v>FIP Engineering</v>
      </c>
      <c r="O707" s="6" t="str">
        <f>IFERROR(__xludf.DUMMYFUNCTION("""COMPUTED_VALUE"""),"FIP-DOM-000-11304-OS00001-INA-000000")</f>
        <v>FIP-DOM-000-11304-OS00001-INA-000000</v>
      </c>
      <c r="P707" s="6" t="str">
        <f>IFERROR(__xludf.DUMMYFUNCTION("""COMPUTED_VALUE"""),"PO Closed")</f>
        <v>PO Closed</v>
      </c>
      <c r="Q707" s="6" t="str">
        <f>IFERROR(__xludf.DUMMYFUNCTION("""COMPUTED_VALUE"""),"GL1902015")</f>
        <v>GL1902015</v>
      </c>
      <c r="R707" s="16">
        <f>IFERROR(__xludf.DUMMYFUNCTION("""COMPUTED_VALUE"""),43494.0)</f>
        <v>43494</v>
      </c>
      <c r="S707" s="6" t="str">
        <f>IFERROR(__xludf.DUMMYFUNCTION("""COMPUTED_VALUE"""),"-")</f>
        <v>-</v>
      </c>
      <c r="T707" s="17">
        <f>IFERROR(__xludf.DUMMYFUNCTION("""COMPUTED_VALUE"""),43518.0)</f>
        <v>43518</v>
      </c>
    </row>
    <row r="708">
      <c r="A708" s="6" t="str">
        <f>IFERROR(__xludf.DUMMYFUNCTION("""COMPUTED_VALUE"""),"191750019-6")</f>
        <v>191750019-6</v>
      </c>
      <c r="B708" s="6" t="str">
        <f>IFERROR(__xludf.DUMMYFUNCTION("""COMPUTED_VALUE"""),"191750019 - Approved")</f>
        <v>191750019 - Approved</v>
      </c>
      <c r="C708" s="6">
        <f>IFERROR(__xludf.DUMMYFUNCTION("""COMPUTED_VALUE"""),6.0)</f>
        <v>6</v>
      </c>
      <c r="D708" s="6" t="str">
        <f>IFERROR(__xludf.DUMMYFUNCTION("""COMPUTED_VALUE"""),"P-50505-00")</f>
        <v>P-50505-00</v>
      </c>
      <c r="E708" s="6" t="str">
        <f>IFERROR(__xludf.DUMMYFUNCTION("""COMPUTED_VALUE"""),"Saklar Seri / 250 V / Clipsal")</f>
        <v>Saklar Seri / 250 V / Clipsal</v>
      </c>
      <c r="F708" s="6">
        <f>IFERROR(__xludf.DUMMYFUNCTION("""COMPUTED_VALUE"""),3.0)</f>
        <v>3</v>
      </c>
      <c r="G708" s="6" t="str">
        <f>IFERROR(__xludf.DUMMYFUNCTION("""COMPUTED_VALUE"""),"Pieces")</f>
        <v>Pieces</v>
      </c>
      <c r="H708" s="6" t="str">
        <f>IFERROR(__xludf.DUMMYFUNCTION("""COMPUTED_VALUE"""),"IDR")</f>
        <v>IDR</v>
      </c>
      <c r="I708" s="11">
        <f>IFERROR(__xludf.DUMMYFUNCTION("""COMPUTED_VALUE"""),30000.0)</f>
        <v>30000</v>
      </c>
      <c r="J708" s="11">
        <f>IFERROR(__xludf.DUMMYFUNCTION("""COMPUTED_VALUE"""),90000.0)</f>
        <v>90000</v>
      </c>
      <c r="K708" s="13">
        <f>IFERROR(__xludf.DUMMYFUNCTION("""COMPUTED_VALUE"""),43518.0)</f>
        <v>43518</v>
      </c>
      <c r="L708" s="6" t="str">
        <f>IFERROR(__xludf.DUMMYFUNCTION("""COMPUTED_VALUE"""),"FIP Engineering")</f>
        <v>FIP Engineering</v>
      </c>
      <c r="M708" s="6" t="str">
        <f>IFERROR(__xludf.DUMMYFUNCTION("""COMPUTED_VALUE"""),"Irwan Sopian")</f>
        <v>Irwan Sopian</v>
      </c>
      <c r="N708" s="6" t="str">
        <f>IFERROR(__xludf.DUMMYFUNCTION("""COMPUTED_VALUE"""),"FIP Engineering")</f>
        <v>FIP Engineering</v>
      </c>
      <c r="O708" s="6" t="str">
        <f>IFERROR(__xludf.DUMMYFUNCTION("""COMPUTED_VALUE"""),"FIP-DOM-000-11304-OS00001-INA-000000")</f>
        <v>FIP-DOM-000-11304-OS00001-INA-000000</v>
      </c>
      <c r="P708" s="6" t="str">
        <f>IFERROR(__xludf.DUMMYFUNCTION("""COMPUTED_VALUE"""),"PO Closed")</f>
        <v>PO Closed</v>
      </c>
      <c r="Q708" s="6" t="str">
        <f>IFERROR(__xludf.DUMMYFUNCTION("""COMPUTED_VALUE"""),"GL1902015")</f>
        <v>GL1902015</v>
      </c>
      <c r="R708" s="16">
        <f>IFERROR(__xludf.DUMMYFUNCTION("""COMPUTED_VALUE"""),43494.0)</f>
        <v>43494</v>
      </c>
      <c r="S708" s="6" t="str">
        <f>IFERROR(__xludf.DUMMYFUNCTION("""COMPUTED_VALUE"""),"-")</f>
        <v>-</v>
      </c>
      <c r="T708" s="13">
        <f>IFERROR(__xludf.DUMMYFUNCTION("""COMPUTED_VALUE"""),43518.0)</f>
        <v>43518</v>
      </c>
    </row>
    <row r="709">
      <c r="A709" s="6" t="str">
        <f>IFERROR(__xludf.DUMMYFUNCTION("""COMPUTED_VALUE"""),"191750019-7")</f>
        <v>191750019-7</v>
      </c>
      <c r="B709" s="6" t="str">
        <f>IFERROR(__xludf.DUMMYFUNCTION("""COMPUTED_VALUE"""),"191750019 - Approved")</f>
        <v>191750019 - Approved</v>
      </c>
      <c r="C709" s="6">
        <f>IFERROR(__xludf.DUMMYFUNCTION("""COMPUTED_VALUE"""),7.0)</f>
        <v>7</v>
      </c>
      <c r="D709" s="6" t="str">
        <f>IFERROR(__xludf.DUMMYFUNCTION("""COMPUTED_VALUE"""),"Q-60006-00")</f>
        <v>Q-60006-00</v>
      </c>
      <c r="E709" s="6" t="str">
        <f>IFERROR(__xludf.DUMMYFUNCTION("""COMPUTED_VALUE"""),"Dempul kayu sanpolac @ 1kg")</f>
        <v>Dempul kayu sanpolac @ 1kg</v>
      </c>
      <c r="F709" s="6">
        <f>IFERROR(__xludf.DUMMYFUNCTION("""COMPUTED_VALUE"""),4.0)</f>
        <v>4</v>
      </c>
      <c r="G709" s="6" t="str">
        <f>IFERROR(__xludf.DUMMYFUNCTION("""COMPUTED_VALUE"""),"Kilogram")</f>
        <v>Kilogram</v>
      </c>
      <c r="H709" s="6" t="str">
        <f>IFERROR(__xludf.DUMMYFUNCTION("""COMPUTED_VALUE"""),"IDR")</f>
        <v>IDR</v>
      </c>
      <c r="I709" s="11">
        <f>IFERROR(__xludf.DUMMYFUNCTION("""COMPUTED_VALUE"""),45000.0)</f>
        <v>45000</v>
      </c>
      <c r="J709" s="11">
        <f>IFERROR(__xludf.DUMMYFUNCTION("""COMPUTED_VALUE"""),180000.0)</f>
        <v>180000</v>
      </c>
      <c r="K709" s="13">
        <f>IFERROR(__xludf.DUMMYFUNCTION("""COMPUTED_VALUE"""),43518.0)</f>
        <v>43518</v>
      </c>
      <c r="L709" s="6" t="str">
        <f>IFERROR(__xludf.DUMMYFUNCTION("""COMPUTED_VALUE"""),"FIP Engineering")</f>
        <v>FIP Engineering</v>
      </c>
      <c r="M709" s="6" t="str">
        <f>IFERROR(__xludf.DUMMYFUNCTION("""COMPUTED_VALUE"""),"Irwan Sopian")</f>
        <v>Irwan Sopian</v>
      </c>
      <c r="N709" s="6" t="str">
        <f>IFERROR(__xludf.DUMMYFUNCTION("""COMPUTED_VALUE"""),"FIP Engineering")</f>
        <v>FIP Engineering</v>
      </c>
      <c r="O709" s="6" t="str">
        <f>IFERROR(__xludf.DUMMYFUNCTION("""COMPUTED_VALUE"""),"FIP-DOM-000-11304-OS00001-INA-000000")</f>
        <v>FIP-DOM-000-11304-OS00001-INA-000000</v>
      </c>
      <c r="P709" s="6" t="str">
        <f>IFERROR(__xludf.DUMMYFUNCTION("""COMPUTED_VALUE"""),"PO Closed")</f>
        <v>PO Closed</v>
      </c>
      <c r="Q709" s="6" t="str">
        <f>IFERROR(__xludf.DUMMYFUNCTION("""COMPUTED_VALUE"""),"GL1902015")</f>
        <v>GL1902015</v>
      </c>
      <c r="R709" s="16">
        <f>IFERROR(__xludf.DUMMYFUNCTION("""COMPUTED_VALUE"""),43494.0)</f>
        <v>43494</v>
      </c>
      <c r="S709" s="6" t="str">
        <f>IFERROR(__xludf.DUMMYFUNCTION("""COMPUTED_VALUE"""),"-")</f>
        <v>-</v>
      </c>
      <c r="T709" s="17">
        <f>IFERROR(__xludf.DUMMYFUNCTION("""COMPUTED_VALUE"""),43518.0)</f>
        <v>43518</v>
      </c>
    </row>
    <row r="710">
      <c r="A710" s="6" t="str">
        <f>IFERROR(__xludf.DUMMYFUNCTION("""COMPUTED_VALUE"""),"191750019-8")</f>
        <v>191750019-8</v>
      </c>
      <c r="B710" s="6" t="str">
        <f>IFERROR(__xludf.DUMMYFUNCTION("""COMPUTED_VALUE"""),"191750019 - Approved")</f>
        <v>191750019 - Approved</v>
      </c>
      <c r="C710" s="6">
        <f>IFERROR(__xludf.DUMMYFUNCTION("""COMPUTED_VALUE"""),8.0)</f>
        <v>8</v>
      </c>
      <c r="D710" s="6" t="str">
        <f>IFERROR(__xludf.DUMMYFUNCTION("""COMPUTED_VALUE"""),"Q-60104-00")</f>
        <v>Q-60104-00</v>
      </c>
      <c r="E710" s="6" t="str">
        <f>IFERROR(__xludf.DUMMYFUNCTION("""COMPUTED_VALUE"""),"Cat Hardtop XP PU Jotun")</f>
        <v>Cat Hardtop XP PU Jotun</v>
      </c>
      <c r="F710" s="6">
        <f>IFERROR(__xludf.DUMMYFUNCTION("""COMPUTED_VALUE"""),1.0)</f>
        <v>1</v>
      </c>
      <c r="G710" s="6" t="str">
        <f>IFERROR(__xludf.DUMMYFUNCTION("""COMPUTED_VALUE"""),"Can")</f>
        <v>Can</v>
      </c>
      <c r="H710" s="6" t="str">
        <f>IFERROR(__xludf.DUMMYFUNCTION("""COMPUTED_VALUE"""),"IDR")</f>
        <v>IDR</v>
      </c>
      <c r="I710" s="11">
        <f>IFERROR(__xludf.DUMMYFUNCTION("""COMPUTED_VALUE"""),835000.0)</f>
        <v>835000</v>
      </c>
      <c r="J710" s="11">
        <f>IFERROR(__xludf.DUMMYFUNCTION("""COMPUTED_VALUE"""),835000.0)</f>
        <v>835000</v>
      </c>
      <c r="K710" s="13">
        <f>IFERROR(__xludf.DUMMYFUNCTION("""COMPUTED_VALUE"""),43518.0)</f>
        <v>43518</v>
      </c>
      <c r="L710" s="6" t="str">
        <f>IFERROR(__xludf.DUMMYFUNCTION("""COMPUTED_VALUE"""),"FIP Engineering")</f>
        <v>FIP Engineering</v>
      </c>
      <c r="M710" s="6" t="str">
        <f>IFERROR(__xludf.DUMMYFUNCTION("""COMPUTED_VALUE"""),"Irwan Sopian")</f>
        <v>Irwan Sopian</v>
      </c>
      <c r="N710" s="6" t="str">
        <f>IFERROR(__xludf.DUMMYFUNCTION("""COMPUTED_VALUE"""),"FIP Engineering")</f>
        <v>FIP Engineering</v>
      </c>
      <c r="O710" s="6" t="str">
        <f>IFERROR(__xludf.DUMMYFUNCTION("""COMPUTED_VALUE"""),"FIP-DOM-000-11304-OS00001-INA-000000")</f>
        <v>FIP-DOM-000-11304-OS00001-INA-000000</v>
      </c>
      <c r="P710" s="6" t="str">
        <f>IFERROR(__xludf.DUMMYFUNCTION("""COMPUTED_VALUE"""),"PO Closed")</f>
        <v>PO Closed</v>
      </c>
      <c r="Q710" s="6" t="str">
        <f>IFERROR(__xludf.DUMMYFUNCTION("""COMPUTED_VALUE"""),"GL1902015")</f>
        <v>GL1902015</v>
      </c>
      <c r="R710" s="16">
        <f>IFERROR(__xludf.DUMMYFUNCTION("""COMPUTED_VALUE"""),43494.0)</f>
        <v>43494</v>
      </c>
      <c r="S710" s="6" t="str">
        <f>IFERROR(__xludf.DUMMYFUNCTION("""COMPUTED_VALUE"""),"-")</f>
        <v>-</v>
      </c>
      <c r="T710" s="13">
        <f>IFERROR(__xludf.DUMMYFUNCTION("""COMPUTED_VALUE"""),43518.0)</f>
        <v>43518</v>
      </c>
    </row>
    <row r="711">
      <c r="A711" s="6" t="str">
        <f>IFERROR(__xludf.DUMMYFUNCTION("""COMPUTED_VALUE"""),"191750038-1")</f>
        <v>191750038-1</v>
      </c>
      <c r="B711" s="6" t="str">
        <f>IFERROR(__xludf.DUMMYFUNCTION("""COMPUTED_VALUE"""),"191750038 - Approved")</f>
        <v>191750038 - Approved</v>
      </c>
      <c r="C711" s="6">
        <f>IFERROR(__xludf.DUMMYFUNCTION("""COMPUTED_VALUE"""),1.0)</f>
        <v>1</v>
      </c>
      <c r="D711" s="6" t="str">
        <f>IFERROR(__xludf.DUMMYFUNCTION("""COMPUTED_VALUE"""),"O-54036-00")</f>
        <v>O-54036-00</v>
      </c>
      <c r="E711" s="6" t="str">
        <f>IFERROR(__xludf.DUMMYFUNCTION("""COMPUTED_VALUE"""),"UHI catridge heater dia.12x100mm, 220V-300W; ; ;")</f>
        <v>UHI catridge heater dia.12x100mm, 220V-300W; ; ;</v>
      </c>
      <c r="F711" s="6">
        <f>IFERROR(__xludf.DUMMYFUNCTION("""COMPUTED_VALUE"""),2.0)</f>
        <v>2</v>
      </c>
      <c r="G711" s="6" t="str">
        <f>IFERROR(__xludf.DUMMYFUNCTION("""COMPUTED_VALUE"""),"Pieces")</f>
        <v>Pieces</v>
      </c>
      <c r="H711" s="6" t="str">
        <f>IFERROR(__xludf.DUMMYFUNCTION("""COMPUTED_VALUE"""),"IDR")</f>
        <v>IDR</v>
      </c>
      <c r="I711" s="11">
        <f>IFERROR(__xludf.DUMMYFUNCTION("""COMPUTED_VALUE"""),220000.0)</f>
        <v>220000</v>
      </c>
      <c r="J711" s="11">
        <f>IFERROR(__xludf.DUMMYFUNCTION("""COMPUTED_VALUE"""),440000.0)</f>
        <v>440000</v>
      </c>
      <c r="K711" s="13">
        <f>IFERROR(__xludf.DUMMYFUNCTION("""COMPUTED_VALUE"""),43524.0)</f>
        <v>43524</v>
      </c>
      <c r="L711" s="6" t="str">
        <f>IFERROR(__xludf.DUMMYFUNCTION("""COMPUTED_VALUE"""),"FIP Engineering")</f>
        <v>FIP Engineering</v>
      </c>
      <c r="M711" s="6" t="str">
        <f>IFERROR(__xludf.DUMMYFUNCTION("""COMPUTED_VALUE"""),"Irwan Sopian")</f>
        <v>Irwan Sopian</v>
      </c>
      <c r="N711" s="6" t="str">
        <f>IFERROR(__xludf.DUMMYFUNCTION("""COMPUTED_VALUE"""),"FIP Engineering")</f>
        <v>FIP Engineering</v>
      </c>
      <c r="O711" s="6" t="str">
        <f>IFERROR(__xludf.DUMMYFUNCTION("""COMPUTED_VALUE"""),"FIP-DOM-000-11304-OS00001-INA-000000")</f>
        <v>FIP-DOM-000-11304-OS00001-INA-000000</v>
      </c>
      <c r="P711" s="6" t="str">
        <f>IFERROR(__xludf.DUMMYFUNCTION("""COMPUTED_VALUE"""),"PO Closed")</f>
        <v>PO Closed</v>
      </c>
      <c r="Q711" s="6" t="str">
        <f>IFERROR(__xludf.DUMMYFUNCTION("""COMPUTED_VALUE"""),"GL1902011")</f>
        <v>GL1902011</v>
      </c>
      <c r="R711" s="16">
        <f>IFERROR(__xludf.DUMMYFUNCTION("""COMPUTED_VALUE"""),43495.0)</f>
        <v>43495</v>
      </c>
      <c r="S711" s="6" t="str">
        <f>IFERROR(__xludf.DUMMYFUNCTION("""COMPUTED_VALUE"""),"-")</f>
        <v>-</v>
      </c>
      <c r="T711" s="13">
        <f>IFERROR(__xludf.DUMMYFUNCTION("""COMPUTED_VALUE"""),43528.0)</f>
        <v>43528</v>
      </c>
    </row>
    <row r="712">
      <c r="A712" s="6" t="str">
        <f>IFERROR(__xludf.DUMMYFUNCTION("""COMPUTED_VALUE"""),"191750020-5")</f>
        <v>191750020-5</v>
      </c>
      <c r="B712" s="6" t="str">
        <f>IFERROR(__xludf.DUMMYFUNCTION("""COMPUTED_VALUE"""),"191750020 - Approved")</f>
        <v>191750020 - Approved</v>
      </c>
      <c r="C712" s="6">
        <f>IFERROR(__xludf.DUMMYFUNCTION("""COMPUTED_VALUE"""),5.0)</f>
        <v>5</v>
      </c>
      <c r="D712" s="6" t="str">
        <f>IFERROR(__xludf.DUMMYFUNCTION("""COMPUTED_VALUE"""),"P-51866-00")</f>
        <v>P-51866-00</v>
      </c>
      <c r="E712" s="6" t="str">
        <f>IFERROR(__xludf.DUMMYFUNCTION("""COMPUTED_VALUE"""),"Adaptor 220 VAC - 12 VAC 3 A")</f>
        <v>Adaptor 220 VAC - 12 VAC 3 A</v>
      </c>
      <c r="F712" s="6">
        <f>IFERROR(__xludf.DUMMYFUNCTION("""COMPUTED_VALUE"""),1.0)</f>
        <v>1</v>
      </c>
      <c r="G712" s="6" t="str">
        <f>IFERROR(__xludf.DUMMYFUNCTION("""COMPUTED_VALUE"""),"Pieces")</f>
        <v>Pieces</v>
      </c>
      <c r="H712" s="6" t="str">
        <f>IFERROR(__xludf.DUMMYFUNCTION("""COMPUTED_VALUE"""),"IDR")</f>
        <v>IDR</v>
      </c>
      <c r="I712" s="11">
        <f>IFERROR(__xludf.DUMMYFUNCTION("""COMPUTED_VALUE"""),175000.0)</f>
        <v>175000</v>
      </c>
      <c r="J712" s="11">
        <f>IFERROR(__xludf.DUMMYFUNCTION("""COMPUTED_VALUE"""),175000.0)</f>
        <v>175000</v>
      </c>
      <c r="K712" s="13">
        <f>IFERROR(__xludf.DUMMYFUNCTION("""COMPUTED_VALUE"""),43524.0)</f>
        <v>43524</v>
      </c>
      <c r="L712" s="6" t="str">
        <f>IFERROR(__xludf.DUMMYFUNCTION("""COMPUTED_VALUE"""),"FIP Engineering")</f>
        <v>FIP Engineering</v>
      </c>
      <c r="M712" s="6" t="str">
        <f>IFERROR(__xludf.DUMMYFUNCTION("""COMPUTED_VALUE"""),"Irwan Sopian")</f>
        <v>Irwan Sopian</v>
      </c>
      <c r="N712" s="6" t="str">
        <f>IFERROR(__xludf.DUMMYFUNCTION("""COMPUTED_VALUE"""),"FIP Engineering")</f>
        <v>FIP Engineering</v>
      </c>
      <c r="O712" s="6" t="str">
        <f>IFERROR(__xludf.DUMMYFUNCTION("""COMPUTED_VALUE"""),"FIP-DOM-000-11304-OS00001-INA-000000")</f>
        <v>FIP-DOM-000-11304-OS00001-INA-000000</v>
      </c>
      <c r="P712" s="6" t="str">
        <f>IFERROR(__xludf.DUMMYFUNCTION("""COMPUTED_VALUE"""),"PO Closed")</f>
        <v>PO Closed</v>
      </c>
      <c r="Q712" s="6" t="str">
        <f>IFERROR(__xludf.DUMMYFUNCTION("""COMPUTED_VALUE"""),"GL1902016")</f>
        <v>GL1902016</v>
      </c>
      <c r="R712" s="16">
        <f>IFERROR(__xludf.DUMMYFUNCTION("""COMPUTED_VALUE"""),43495.0)</f>
        <v>43495</v>
      </c>
      <c r="S712" s="6" t="str">
        <f>IFERROR(__xludf.DUMMYFUNCTION("""COMPUTED_VALUE"""),"-")</f>
        <v>-</v>
      </c>
      <c r="T712" s="13">
        <f>IFERROR(__xludf.DUMMYFUNCTION("""COMPUTED_VALUE"""),43518.0)</f>
        <v>43518</v>
      </c>
    </row>
    <row r="713">
      <c r="A713" s="6" t="str">
        <f>IFERROR(__xludf.DUMMYFUNCTION("""COMPUTED_VALUE"""),"191750046-1")</f>
        <v>191750046-1</v>
      </c>
      <c r="B713" s="6" t="str">
        <f>IFERROR(__xludf.DUMMYFUNCTION("""COMPUTED_VALUE"""),"191750046 - Approved")</f>
        <v>191750046 - Approved</v>
      </c>
      <c r="C713" s="6">
        <f>IFERROR(__xludf.DUMMYFUNCTION("""COMPUTED_VALUE"""),1.0)</f>
        <v>1</v>
      </c>
      <c r="D713" s="6" t="str">
        <f>IFERROR(__xludf.DUMMYFUNCTION("""COMPUTED_VALUE"""),"Q-60026-00")</f>
        <v>Q-60026-00</v>
      </c>
      <c r="E713" s="6" t="str">
        <f>IFERROR(__xludf.DUMMYFUNCTION("""COMPUTED_VALUE"""),"Kuas Eterna 2""")</f>
        <v>Kuas Eterna 2"</v>
      </c>
      <c r="F713" s="6">
        <f>IFERROR(__xludf.DUMMYFUNCTION("""COMPUTED_VALUE"""),5.0)</f>
        <v>5</v>
      </c>
      <c r="G713" s="6" t="str">
        <f>IFERROR(__xludf.DUMMYFUNCTION("""COMPUTED_VALUE"""),"Pieces")</f>
        <v>Pieces</v>
      </c>
      <c r="H713" s="6" t="str">
        <f>IFERROR(__xludf.DUMMYFUNCTION("""COMPUTED_VALUE"""),"IDR")</f>
        <v>IDR</v>
      </c>
      <c r="I713" s="11">
        <f>IFERROR(__xludf.DUMMYFUNCTION("""COMPUTED_VALUE"""),5000.0)</f>
        <v>5000</v>
      </c>
      <c r="J713" s="11">
        <f>IFERROR(__xludf.DUMMYFUNCTION("""COMPUTED_VALUE"""),25000.0)</f>
        <v>25000</v>
      </c>
      <c r="K713" s="13">
        <f>IFERROR(__xludf.DUMMYFUNCTION("""COMPUTED_VALUE"""),43546.0)</f>
        <v>43546</v>
      </c>
      <c r="L713" s="6" t="str">
        <f>IFERROR(__xludf.DUMMYFUNCTION("""COMPUTED_VALUE"""),"FIP General")</f>
        <v>FIP General</v>
      </c>
      <c r="M713" s="6" t="str">
        <f>IFERROR(__xludf.DUMMYFUNCTION("""COMPUTED_VALUE"""),"Irwan Sopian")</f>
        <v>Irwan Sopian</v>
      </c>
      <c r="N713" s="6" t="str">
        <f>IFERROR(__xludf.DUMMYFUNCTION("""COMPUTED_VALUE"""),"FIP Engineering")</f>
        <v>FIP Engineering</v>
      </c>
      <c r="O713" s="6" t="str">
        <f>IFERROR(__xludf.DUMMYFUNCTION("""COMPUTED_VALUE"""),"FIP-DOM-ENG-51404-0000000-INA-000000")</f>
        <v>FIP-DOM-ENG-51404-0000000-INA-000000</v>
      </c>
      <c r="P713" s="6" t="str">
        <f>IFERROR(__xludf.DUMMYFUNCTION("""COMPUTED_VALUE"""),"PO Closed")</f>
        <v>PO Closed</v>
      </c>
      <c r="Q713" s="6" t="str">
        <f>IFERROR(__xludf.DUMMYFUNCTION("""COMPUTED_VALUE"""),"GL1902039")</f>
        <v>GL1902039</v>
      </c>
      <c r="R713" s="16">
        <f>IFERROR(__xludf.DUMMYFUNCTION("""COMPUTED_VALUE"""),43502.0)</f>
        <v>43502</v>
      </c>
      <c r="S713" s="6" t="str">
        <f>IFERROR(__xludf.DUMMYFUNCTION("""COMPUTED_VALUE"""),"-")</f>
        <v>-</v>
      </c>
      <c r="T713" s="13">
        <f>IFERROR(__xludf.DUMMYFUNCTION("""COMPUTED_VALUE"""),43521.0)</f>
        <v>43521</v>
      </c>
    </row>
    <row r="714">
      <c r="A714" s="6" t="str">
        <f>IFERROR(__xludf.DUMMYFUNCTION("""COMPUTED_VALUE"""),"191750046-2")</f>
        <v>191750046-2</v>
      </c>
      <c r="B714" s="6" t="str">
        <f>IFERROR(__xludf.DUMMYFUNCTION("""COMPUTED_VALUE"""),"191750046 - Approved")</f>
        <v>191750046 - Approved</v>
      </c>
      <c r="C714" s="6">
        <f>IFERROR(__xludf.DUMMYFUNCTION("""COMPUTED_VALUE"""),2.0)</f>
        <v>2</v>
      </c>
      <c r="D714" s="6" t="str">
        <f>IFERROR(__xludf.DUMMYFUNCTION("""COMPUTED_VALUE"""),"Q-10128-00")</f>
        <v>Q-10128-00</v>
      </c>
      <c r="E714" s="6" t="str">
        <f>IFERROR(__xludf.DUMMYFUNCTION("""COMPUTED_VALUE"""),"Thinner Super End/Impala")</f>
        <v>Thinner Super End/Impala</v>
      </c>
      <c r="F714" s="6">
        <f>IFERROR(__xludf.DUMMYFUNCTION("""COMPUTED_VALUE"""),1.0)</f>
        <v>1</v>
      </c>
      <c r="G714" s="6" t="str">
        <f>IFERROR(__xludf.DUMMYFUNCTION("""COMPUTED_VALUE"""),"Pieces")</f>
        <v>Pieces</v>
      </c>
      <c r="H714" s="6" t="str">
        <f>IFERROR(__xludf.DUMMYFUNCTION("""COMPUTED_VALUE"""),"IDR")</f>
        <v>IDR</v>
      </c>
      <c r="I714" s="11">
        <f>IFERROR(__xludf.DUMMYFUNCTION("""COMPUTED_VALUE"""),30000.0)</f>
        <v>30000</v>
      </c>
      <c r="J714" s="11">
        <f>IFERROR(__xludf.DUMMYFUNCTION("""COMPUTED_VALUE"""),30000.0)</f>
        <v>30000</v>
      </c>
      <c r="K714" s="13">
        <f>IFERROR(__xludf.DUMMYFUNCTION("""COMPUTED_VALUE"""),43546.0)</f>
        <v>43546</v>
      </c>
      <c r="L714" s="6" t="str">
        <f>IFERROR(__xludf.DUMMYFUNCTION("""COMPUTED_VALUE"""),"FIP Engineering")</f>
        <v>FIP Engineering</v>
      </c>
      <c r="M714" s="6" t="str">
        <f>IFERROR(__xludf.DUMMYFUNCTION("""COMPUTED_VALUE"""),"Irwan Sopian")</f>
        <v>Irwan Sopian</v>
      </c>
      <c r="N714" s="6" t="str">
        <f>IFERROR(__xludf.DUMMYFUNCTION("""COMPUTED_VALUE"""),"FIP Engineering")</f>
        <v>FIP Engineering</v>
      </c>
      <c r="O714" s="6" t="str">
        <f>IFERROR(__xludf.DUMMYFUNCTION("""COMPUTED_VALUE"""),"FIP-DOM-000-11304-OS00001-INA-000000")</f>
        <v>FIP-DOM-000-11304-OS00001-INA-000000</v>
      </c>
      <c r="P714" s="6" t="str">
        <f>IFERROR(__xludf.DUMMYFUNCTION("""COMPUTED_VALUE"""),"PO Closed")</f>
        <v>PO Closed</v>
      </c>
      <c r="Q714" s="6" t="str">
        <f>IFERROR(__xludf.DUMMYFUNCTION("""COMPUTED_VALUE"""),"GL1902039")</f>
        <v>GL1902039</v>
      </c>
      <c r="R714" s="16">
        <f>IFERROR(__xludf.DUMMYFUNCTION("""COMPUTED_VALUE"""),43502.0)</f>
        <v>43502</v>
      </c>
      <c r="S714" s="6" t="str">
        <f>IFERROR(__xludf.DUMMYFUNCTION("""COMPUTED_VALUE"""),"-")</f>
        <v>-</v>
      </c>
      <c r="T714" s="17">
        <f>IFERROR(__xludf.DUMMYFUNCTION("""COMPUTED_VALUE"""),43521.0)</f>
        <v>43521</v>
      </c>
    </row>
    <row r="715">
      <c r="A715" s="6" t="str">
        <f>IFERROR(__xludf.DUMMYFUNCTION("""COMPUTED_VALUE"""),"191750051-1")</f>
        <v>191750051-1</v>
      </c>
      <c r="B715" s="6" t="str">
        <f>IFERROR(__xludf.DUMMYFUNCTION("""COMPUTED_VALUE"""),"191750051 - Approved")</f>
        <v>191750051 - Approved</v>
      </c>
      <c r="C715" s="6">
        <f>IFERROR(__xludf.DUMMYFUNCTION("""COMPUTED_VALUE"""),1.0)</f>
        <v>1</v>
      </c>
      <c r="D715" s="6" t="str">
        <f>IFERROR(__xludf.DUMMYFUNCTION("""COMPUTED_VALUE"""),"P-15351-00")</f>
        <v>P-15351-00</v>
      </c>
      <c r="E715" s="6" t="str">
        <f>IFERROR(__xludf.DUMMYFUNCTION("""COMPUTED_VALUE"""),"FESTO - Plastic tubing PUN-10x1,5-BL (Blue) p/n 159668; ; ;")</f>
        <v>FESTO - Plastic tubing PUN-10x1,5-BL (Blue) p/n 159668; ; ;</v>
      </c>
      <c r="F715" s="6">
        <f>IFERROR(__xludf.DUMMYFUNCTION("""COMPUTED_VALUE"""),100.0)</f>
        <v>100</v>
      </c>
      <c r="G715" s="6" t="str">
        <f>IFERROR(__xludf.DUMMYFUNCTION("""COMPUTED_VALUE"""),"Pieces")</f>
        <v>Pieces</v>
      </c>
      <c r="H715" s="6" t="str">
        <f>IFERROR(__xludf.DUMMYFUNCTION("""COMPUTED_VALUE"""),"IDR")</f>
        <v>IDR</v>
      </c>
      <c r="I715" s="11">
        <f>IFERROR(__xludf.DUMMYFUNCTION("""COMPUTED_VALUE"""),34823.0)</f>
        <v>34823</v>
      </c>
      <c r="J715" s="11">
        <f>IFERROR(__xludf.DUMMYFUNCTION("""COMPUTED_VALUE"""),3482300.0)</f>
        <v>3482300</v>
      </c>
      <c r="K715" s="13">
        <f>IFERROR(__xludf.DUMMYFUNCTION("""COMPUTED_VALUE"""),43532.0)</f>
        <v>43532</v>
      </c>
      <c r="L715" s="6" t="str">
        <f>IFERROR(__xludf.DUMMYFUNCTION("""COMPUTED_VALUE"""),"FIP Engineering")</f>
        <v>FIP Engineering</v>
      </c>
      <c r="M715" s="6" t="str">
        <f>IFERROR(__xludf.DUMMYFUNCTION("""COMPUTED_VALUE"""),"Irwan Sopian")</f>
        <v>Irwan Sopian</v>
      </c>
      <c r="N715" s="6" t="str">
        <f>IFERROR(__xludf.DUMMYFUNCTION("""COMPUTED_VALUE"""),"FIP Engineering")</f>
        <v>FIP Engineering</v>
      </c>
      <c r="O715" s="6" t="str">
        <f>IFERROR(__xludf.DUMMYFUNCTION("""COMPUTED_VALUE"""),"FIP-DOM-000-11304-OS00001-INA-000000")</f>
        <v>FIP-DOM-000-11304-OS00001-INA-000000</v>
      </c>
      <c r="P715" s="6" t="str">
        <f>IFERROR(__xludf.DUMMYFUNCTION("""COMPUTED_VALUE"""),"PO Closed")</f>
        <v>PO Closed</v>
      </c>
      <c r="Q715" s="6" t="str">
        <f>IFERROR(__xludf.DUMMYFUNCTION("""COMPUTED_VALUE"""),"GL1902034")</f>
        <v>GL1902034</v>
      </c>
      <c r="R715" s="16">
        <f>IFERROR(__xludf.DUMMYFUNCTION("""COMPUTED_VALUE"""),43503.0)</f>
        <v>43503</v>
      </c>
      <c r="S715" s="6" t="str">
        <f>IFERROR(__xludf.DUMMYFUNCTION("""COMPUTED_VALUE"""),"-")</f>
        <v>-</v>
      </c>
      <c r="T715" s="13">
        <f>IFERROR(__xludf.DUMMYFUNCTION("""COMPUTED_VALUE"""),43524.0)</f>
        <v>43524</v>
      </c>
    </row>
    <row r="716">
      <c r="A716" s="6" t="str">
        <f>IFERROR(__xludf.DUMMYFUNCTION("""COMPUTED_VALUE"""),"191750050-1")</f>
        <v>191750050-1</v>
      </c>
      <c r="B716" s="6" t="str">
        <f>IFERROR(__xludf.DUMMYFUNCTION("""COMPUTED_VALUE"""),"191750050 - Approved")</f>
        <v>191750050 - Approved</v>
      </c>
      <c r="C716" s="6">
        <f>IFERROR(__xludf.DUMMYFUNCTION("""COMPUTED_VALUE"""),1.0)</f>
        <v>1</v>
      </c>
      <c r="D716" s="6" t="str">
        <f>IFERROR(__xludf.DUMMYFUNCTION("""COMPUTED_VALUE"""),"P-51742-00")</f>
        <v>P-51742-00</v>
      </c>
      <c r="E716" s="6" t="str">
        <f>IFERROR(__xludf.DUMMYFUNCTION("""COMPUTED_VALUE"""),"G24 - E27 Converter Fitting Lampu PLC Bohlam Extension")</f>
        <v>G24 - E27 Converter Fitting Lampu PLC Bohlam Extension</v>
      </c>
      <c r="F716" s="6">
        <f>IFERROR(__xludf.DUMMYFUNCTION("""COMPUTED_VALUE"""),2.0)</f>
        <v>2</v>
      </c>
      <c r="G716" s="6" t="str">
        <f>IFERROR(__xludf.DUMMYFUNCTION("""COMPUTED_VALUE"""),"Pieces")</f>
        <v>Pieces</v>
      </c>
      <c r="H716" s="6" t="str">
        <f>IFERROR(__xludf.DUMMYFUNCTION("""COMPUTED_VALUE"""),"IDR")</f>
        <v>IDR</v>
      </c>
      <c r="I716" s="11">
        <f>IFERROR(__xludf.DUMMYFUNCTION("""COMPUTED_VALUE"""),25000.0)</f>
        <v>25000</v>
      </c>
      <c r="J716" s="11">
        <f>IFERROR(__xludf.DUMMYFUNCTION("""COMPUTED_VALUE"""),50000.0)</f>
        <v>50000</v>
      </c>
      <c r="K716" s="13">
        <f>IFERROR(__xludf.DUMMYFUNCTION("""COMPUTED_VALUE"""),43532.0)</f>
        <v>43532</v>
      </c>
      <c r="L716" s="6" t="str">
        <f>IFERROR(__xludf.DUMMYFUNCTION("""COMPUTED_VALUE"""),"FIP Engineering")</f>
        <v>FIP Engineering</v>
      </c>
      <c r="M716" s="6" t="str">
        <f>IFERROR(__xludf.DUMMYFUNCTION("""COMPUTED_VALUE"""),"Irwan Sopian")</f>
        <v>Irwan Sopian</v>
      </c>
      <c r="N716" s="6" t="str">
        <f>IFERROR(__xludf.DUMMYFUNCTION("""COMPUTED_VALUE"""),"FIP Engineering")</f>
        <v>FIP Engineering</v>
      </c>
      <c r="O716" s="6" t="str">
        <f>IFERROR(__xludf.DUMMYFUNCTION("""COMPUTED_VALUE"""),"FIP-DOM-000-11304-OS00001-INA-000000")</f>
        <v>FIP-DOM-000-11304-OS00001-INA-000000</v>
      </c>
      <c r="P716" s="6" t="str">
        <f>IFERROR(__xludf.DUMMYFUNCTION("""COMPUTED_VALUE"""),"PO Closed")</f>
        <v>PO Closed</v>
      </c>
      <c r="Q716" s="6" t="str">
        <f>IFERROR(__xludf.DUMMYFUNCTION("""COMPUTED_VALUE"""),"GL1903017")</f>
        <v>GL1903017</v>
      </c>
      <c r="R716" s="16">
        <f>IFERROR(__xludf.DUMMYFUNCTION("""COMPUTED_VALUE"""),43503.0)</f>
        <v>43503</v>
      </c>
      <c r="S716" s="6" t="str">
        <f>IFERROR(__xludf.DUMMYFUNCTION("""COMPUTED_VALUE"""),"-")</f>
        <v>-</v>
      </c>
      <c r="T716" s="13">
        <f>IFERROR(__xludf.DUMMYFUNCTION("""COMPUTED_VALUE"""),43557.0)</f>
        <v>43557</v>
      </c>
    </row>
    <row r="717">
      <c r="A717" s="6" t="str">
        <f>IFERROR(__xludf.DUMMYFUNCTION("""COMPUTED_VALUE"""),"191750050-2")</f>
        <v>191750050-2</v>
      </c>
      <c r="B717" s="6" t="str">
        <f>IFERROR(__xludf.DUMMYFUNCTION("""COMPUTED_VALUE"""),"191750050 - Approved")</f>
        <v>191750050 - Approved</v>
      </c>
      <c r="C717" s="6">
        <f>IFERROR(__xludf.DUMMYFUNCTION("""COMPUTED_VALUE"""),2.0)</f>
        <v>2</v>
      </c>
      <c r="D717" s="6" t="str">
        <f>IFERROR(__xludf.DUMMYFUNCTION("""COMPUTED_VALUE"""),"Q-10549-00")</f>
        <v>Q-10549-00</v>
      </c>
      <c r="E717" s="6" t="str">
        <f>IFERROR(__xludf.DUMMYFUNCTION("""COMPUTED_VALUE"""),"TOTO - Piston Flush Valve Closet Type T150NL / TV150NSJ")</f>
        <v>TOTO - Piston Flush Valve Closet Type T150NL / TV150NSJ</v>
      </c>
      <c r="F717" s="6">
        <f>IFERROR(__xludf.DUMMYFUNCTION("""COMPUTED_VALUE"""),2.0)</f>
        <v>2</v>
      </c>
      <c r="G717" s="6" t="str">
        <f>IFERROR(__xludf.DUMMYFUNCTION("""COMPUTED_VALUE"""),"Pieces")</f>
        <v>Pieces</v>
      </c>
      <c r="H717" s="6" t="str">
        <f>IFERROR(__xludf.DUMMYFUNCTION("""COMPUTED_VALUE"""),"IDR")</f>
        <v>IDR</v>
      </c>
      <c r="I717" s="11">
        <f>IFERROR(__xludf.DUMMYFUNCTION("""COMPUTED_VALUE"""),395000.0)</f>
        <v>395000</v>
      </c>
      <c r="J717" s="11">
        <f>IFERROR(__xludf.DUMMYFUNCTION("""COMPUTED_VALUE"""),790000.0)</f>
        <v>790000</v>
      </c>
      <c r="K717" s="13">
        <f>IFERROR(__xludf.DUMMYFUNCTION("""COMPUTED_VALUE"""),43532.0)</f>
        <v>43532</v>
      </c>
      <c r="L717" s="6" t="str">
        <f>IFERROR(__xludf.DUMMYFUNCTION("""COMPUTED_VALUE"""),"FIP Engineering")</f>
        <v>FIP Engineering</v>
      </c>
      <c r="M717" s="6" t="str">
        <f>IFERROR(__xludf.DUMMYFUNCTION("""COMPUTED_VALUE"""),"Irwan Sopian")</f>
        <v>Irwan Sopian</v>
      </c>
      <c r="N717" s="6" t="str">
        <f>IFERROR(__xludf.DUMMYFUNCTION("""COMPUTED_VALUE"""),"FIP Engineering")</f>
        <v>FIP Engineering</v>
      </c>
      <c r="O717" s="6" t="str">
        <f>IFERROR(__xludf.DUMMYFUNCTION("""COMPUTED_VALUE"""),"FIP-DOM-000-11304-OS00001-INA-000000")</f>
        <v>FIP-DOM-000-11304-OS00001-INA-000000</v>
      </c>
      <c r="P717" s="6" t="str">
        <f>IFERROR(__xludf.DUMMYFUNCTION("""COMPUTED_VALUE"""),"PO Closed")</f>
        <v>PO Closed</v>
      </c>
      <c r="Q717" s="6" t="str">
        <f>IFERROR(__xludf.DUMMYFUNCTION("""COMPUTED_VALUE"""),"GL1902040")</f>
        <v>GL1902040</v>
      </c>
      <c r="R717" s="16">
        <f>IFERROR(__xludf.DUMMYFUNCTION("""COMPUTED_VALUE"""),43503.0)</f>
        <v>43503</v>
      </c>
      <c r="S717" s="6" t="str">
        <f>IFERROR(__xludf.DUMMYFUNCTION("""COMPUTED_VALUE"""),"-")</f>
        <v>-</v>
      </c>
      <c r="T717" s="13">
        <f>IFERROR(__xludf.DUMMYFUNCTION("""COMPUTED_VALUE"""),43525.0)</f>
        <v>43525</v>
      </c>
    </row>
    <row r="718">
      <c r="A718" s="6" t="str">
        <f>IFERROR(__xludf.DUMMYFUNCTION("""COMPUTED_VALUE"""),"191750050-3")</f>
        <v>191750050-3</v>
      </c>
      <c r="B718" s="6" t="str">
        <f>IFERROR(__xludf.DUMMYFUNCTION("""COMPUTED_VALUE"""),"191750050 - Approved")</f>
        <v>191750050 - Approved</v>
      </c>
      <c r="C718" s="6">
        <f>IFERROR(__xludf.DUMMYFUNCTION("""COMPUTED_VALUE"""),3.0)</f>
        <v>3</v>
      </c>
      <c r="D718" s="6" t="str">
        <f>IFERROR(__xludf.DUMMYFUNCTION("""COMPUTED_VALUE"""),"P-10859-00")</f>
        <v>P-10859-00</v>
      </c>
      <c r="E718" s="6" t="str">
        <f>IFERROR(__xludf.DUMMYFUNCTION("""COMPUTED_VALUE"""),"Fitting PVC - Elbow PVC 1/2"" Rucika AW")</f>
        <v>Fitting PVC - Elbow PVC 1/2" Rucika AW</v>
      </c>
      <c r="F718" s="6">
        <f>IFERROR(__xludf.DUMMYFUNCTION("""COMPUTED_VALUE"""),35.0)</f>
        <v>35</v>
      </c>
      <c r="G718" s="6" t="str">
        <f>IFERROR(__xludf.DUMMYFUNCTION("""COMPUTED_VALUE"""),"Pieces")</f>
        <v>Pieces</v>
      </c>
      <c r="H718" s="6" t="str">
        <f>IFERROR(__xludf.DUMMYFUNCTION("""COMPUTED_VALUE"""),"IDR")</f>
        <v>IDR</v>
      </c>
      <c r="I718" s="11">
        <f>IFERROR(__xludf.DUMMYFUNCTION("""COMPUTED_VALUE"""),4000.0)</f>
        <v>4000</v>
      </c>
      <c r="J718" s="11">
        <f>IFERROR(__xludf.DUMMYFUNCTION("""COMPUTED_VALUE"""),140000.0)</f>
        <v>140000</v>
      </c>
      <c r="K718" s="13">
        <f>IFERROR(__xludf.DUMMYFUNCTION("""COMPUTED_VALUE"""),43532.0)</f>
        <v>43532</v>
      </c>
      <c r="L718" s="6" t="str">
        <f>IFERROR(__xludf.DUMMYFUNCTION("""COMPUTED_VALUE"""),"FIP Engineering")</f>
        <v>FIP Engineering</v>
      </c>
      <c r="M718" s="6" t="str">
        <f>IFERROR(__xludf.DUMMYFUNCTION("""COMPUTED_VALUE"""),"Irwan Sopian")</f>
        <v>Irwan Sopian</v>
      </c>
      <c r="N718" s="6" t="str">
        <f>IFERROR(__xludf.DUMMYFUNCTION("""COMPUTED_VALUE"""),"FIP Engineering")</f>
        <v>FIP Engineering</v>
      </c>
      <c r="O718" s="6" t="str">
        <f>IFERROR(__xludf.DUMMYFUNCTION("""COMPUTED_VALUE"""),"FIP-DOM-000-11304-OS00001-INA-000000")</f>
        <v>FIP-DOM-000-11304-OS00001-INA-000000</v>
      </c>
      <c r="P718" s="6" t="str">
        <f>IFERROR(__xludf.DUMMYFUNCTION("""COMPUTED_VALUE"""),"PO Closed")</f>
        <v>PO Closed</v>
      </c>
      <c r="Q718" s="6" t="str">
        <f>IFERROR(__xludf.DUMMYFUNCTION("""COMPUTED_VALUE"""),"GL1902038")</f>
        <v>GL1902038</v>
      </c>
      <c r="R718" s="16">
        <f>IFERROR(__xludf.DUMMYFUNCTION("""COMPUTED_VALUE"""),43504.0)</f>
        <v>43504</v>
      </c>
      <c r="S718" s="6" t="str">
        <f>IFERROR(__xludf.DUMMYFUNCTION("""COMPUTED_VALUE"""),"-")</f>
        <v>-</v>
      </c>
      <c r="T718" s="13">
        <f>IFERROR(__xludf.DUMMYFUNCTION("""COMPUTED_VALUE"""),43532.0)</f>
        <v>43532</v>
      </c>
    </row>
    <row r="719">
      <c r="A719" s="6" t="str">
        <f>IFERROR(__xludf.DUMMYFUNCTION("""COMPUTED_VALUE"""),"191750050-4")</f>
        <v>191750050-4</v>
      </c>
      <c r="B719" s="6" t="str">
        <f>IFERROR(__xludf.DUMMYFUNCTION("""COMPUTED_VALUE"""),"191750050 - Approved")</f>
        <v>191750050 - Approved</v>
      </c>
      <c r="C719" s="6">
        <f>IFERROR(__xludf.DUMMYFUNCTION("""COMPUTED_VALUE"""),4.0)</f>
        <v>4</v>
      </c>
      <c r="D719" s="6" t="str">
        <f>IFERROR(__xludf.DUMMYFUNCTION("""COMPUTED_VALUE"""),"P-12883-00")</f>
        <v>P-12883-00</v>
      </c>
      <c r="E719" s="6" t="str">
        <f>IFERROR(__xludf.DUMMYFUNCTION("""COMPUTED_VALUE"""),"Tee PVC AW dia 1/2inch X 1/2inch")</f>
        <v>Tee PVC AW dia 1/2inch X 1/2inch</v>
      </c>
      <c r="F719" s="6">
        <f>IFERROR(__xludf.DUMMYFUNCTION("""COMPUTED_VALUE"""),5.0)</f>
        <v>5</v>
      </c>
      <c r="G719" s="6" t="str">
        <f>IFERROR(__xludf.DUMMYFUNCTION("""COMPUTED_VALUE"""),"Pieces")</f>
        <v>Pieces</v>
      </c>
      <c r="H719" s="6" t="str">
        <f>IFERROR(__xludf.DUMMYFUNCTION("""COMPUTED_VALUE"""),"IDR")</f>
        <v>IDR</v>
      </c>
      <c r="I719" s="11">
        <f>IFERROR(__xludf.DUMMYFUNCTION("""COMPUTED_VALUE"""),4000.0)</f>
        <v>4000</v>
      </c>
      <c r="J719" s="11">
        <f>IFERROR(__xludf.DUMMYFUNCTION("""COMPUTED_VALUE"""),20000.0)</f>
        <v>20000</v>
      </c>
      <c r="K719" s="13">
        <f>IFERROR(__xludf.DUMMYFUNCTION("""COMPUTED_VALUE"""),43532.0)</f>
        <v>43532</v>
      </c>
      <c r="L719" s="6" t="str">
        <f>IFERROR(__xludf.DUMMYFUNCTION("""COMPUTED_VALUE"""),"FIP Engineering")</f>
        <v>FIP Engineering</v>
      </c>
      <c r="M719" s="6" t="str">
        <f>IFERROR(__xludf.DUMMYFUNCTION("""COMPUTED_VALUE"""),"Irwan Sopian")</f>
        <v>Irwan Sopian</v>
      </c>
      <c r="N719" s="6" t="str">
        <f>IFERROR(__xludf.DUMMYFUNCTION("""COMPUTED_VALUE"""),"FIP Engineering")</f>
        <v>FIP Engineering</v>
      </c>
      <c r="O719" s="6" t="str">
        <f>IFERROR(__xludf.DUMMYFUNCTION("""COMPUTED_VALUE"""),"FIP-DOM-000-11304-OS00001-INA-000000")</f>
        <v>FIP-DOM-000-11304-OS00001-INA-000000</v>
      </c>
      <c r="P719" s="6" t="str">
        <f>IFERROR(__xludf.DUMMYFUNCTION("""COMPUTED_VALUE"""),"PO Closed")</f>
        <v>PO Closed</v>
      </c>
      <c r="Q719" s="6" t="str">
        <f>IFERROR(__xludf.DUMMYFUNCTION("""COMPUTED_VALUE"""),"GL1902038")</f>
        <v>GL1902038</v>
      </c>
      <c r="R719" s="16">
        <f>IFERROR(__xludf.DUMMYFUNCTION("""COMPUTED_VALUE"""),43504.0)</f>
        <v>43504</v>
      </c>
      <c r="S719" s="6" t="str">
        <f>IFERROR(__xludf.DUMMYFUNCTION("""COMPUTED_VALUE"""),"-")</f>
        <v>-</v>
      </c>
      <c r="T719" s="13">
        <f>IFERROR(__xludf.DUMMYFUNCTION("""COMPUTED_VALUE"""),43532.0)</f>
        <v>43532</v>
      </c>
    </row>
    <row r="720">
      <c r="A720" s="6" t="str">
        <f>IFERROR(__xludf.DUMMYFUNCTION("""COMPUTED_VALUE"""),"191750046-3")</f>
        <v>191750046-3</v>
      </c>
      <c r="B720" s="6" t="str">
        <f>IFERROR(__xludf.DUMMYFUNCTION("""COMPUTED_VALUE"""),"191750046 - Approved")</f>
        <v>191750046 - Approved</v>
      </c>
      <c r="C720" s="6">
        <f>IFERROR(__xludf.DUMMYFUNCTION("""COMPUTED_VALUE"""),3.0)</f>
        <v>3</v>
      </c>
      <c r="D720" s="6" t="str">
        <f>IFERROR(__xludf.DUMMYFUNCTION("""COMPUTED_VALUE"""),"P-12883-00")</f>
        <v>P-12883-00</v>
      </c>
      <c r="E720" s="6" t="str">
        <f>IFERROR(__xludf.DUMMYFUNCTION("""COMPUTED_VALUE"""),"Tee PVC AW dia 1/2inch X 1/2inch")</f>
        <v>Tee PVC AW dia 1/2inch X 1/2inch</v>
      </c>
      <c r="F720" s="6">
        <f>IFERROR(__xludf.DUMMYFUNCTION("""COMPUTED_VALUE"""),1.0)</f>
        <v>1</v>
      </c>
      <c r="G720" s="6" t="str">
        <f>IFERROR(__xludf.DUMMYFUNCTION("""COMPUTED_VALUE"""),"Pieces")</f>
        <v>Pieces</v>
      </c>
      <c r="H720" s="6" t="str">
        <f>IFERROR(__xludf.DUMMYFUNCTION("""COMPUTED_VALUE"""),"IDR")</f>
        <v>IDR</v>
      </c>
      <c r="I720" s="11">
        <f>IFERROR(__xludf.DUMMYFUNCTION("""COMPUTED_VALUE"""),3000.0)</f>
        <v>3000</v>
      </c>
      <c r="J720" s="11">
        <f>IFERROR(__xludf.DUMMYFUNCTION("""COMPUTED_VALUE"""),3000.0)</f>
        <v>3000</v>
      </c>
      <c r="K720" s="13">
        <f>IFERROR(__xludf.DUMMYFUNCTION("""COMPUTED_VALUE"""),43546.0)</f>
        <v>43546</v>
      </c>
      <c r="L720" s="6" t="str">
        <f>IFERROR(__xludf.DUMMYFUNCTION("""COMPUTED_VALUE"""),"FIP Engineering")</f>
        <v>FIP Engineering</v>
      </c>
      <c r="M720" s="6" t="str">
        <f>IFERROR(__xludf.DUMMYFUNCTION("""COMPUTED_VALUE"""),"Irwan Sopian")</f>
        <v>Irwan Sopian</v>
      </c>
      <c r="N720" s="6" t="str">
        <f>IFERROR(__xludf.DUMMYFUNCTION("""COMPUTED_VALUE"""),"FIP Engineering")</f>
        <v>FIP Engineering</v>
      </c>
      <c r="O720" s="6" t="str">
        <f>IFERROR(__xludf.DUMMYFUNCTION("""COMPUTED_VALUE"""),"FIP-DOM-000-11304-OS00001-INA-000000")</f>
        <v>FIP-DOM-000-11304-OS00001-INA-000000</v>
      </c>
      <c r="P720" s="6" t="str">
        <f>IFERROR(__xludf.DUMMYFUNCTION("""COMPUTED_VALUE"""),"PO Closed")</f>
        <v>PO Closed</v>
      </c>
      <c r="Q720" s="6" t="str">
        <f>IFERROR(__xludf.DUMMYFUNCTION("""COMPUTED_VALUE"""),"GL1902039")</f>
        <v>GL1902039</v>
      </c>
      <c r="R720" s="16">
        <f>IFERROR(__xludf.DUMMYFUNCTION("""COMPUTED_VALUE"""),43504.0)</f>
        <v>43504</v>
      </c>
      <c r="S720" s="6" t="str">
        <f>IFERROR(__xludf.DUMMYFUNCTION("""COMPUTED_VALUE"""),"-")</f>
        <v>-</v>
      </c>
      <c r="T720" s="17">
        <f>IFERROR(__xludf.DUMMYFUNCTION("""COMPUTED_VALUE"""),43521.0)</f>
        <v>43521</v>
      </c>
    </row>
    <row r="721">
      <c r="A721" s="6" t="str">
        <f>IFERROR(__xludf.DUMMYFUNCTION("""COMPUTED_VALUE"""),"191750046-4")</f>
        <v>191750046-4</v>
      </c>
      <c r="B721" s="6" t="str">
        <f>IFERROR(__xludf.DUMMYFUNCTION("""COMPUTED_VALUE"""),"191750046 - Approved")</f>
        <v>191750046 - Approved</v>
      </c>
      <c r="C721" s="6">
        <f>IFERROR(__xludf.DUMMYFUNCTION("""COMPUTED_VALUE"""),4.0)</f>
        <v>4</v>
      </c>
      <c r="D721" s="6" t="str">
        <f>IFERROR(__xludf.DUMMYFUNCTION("""COMPUTED_VALUE"""),"P-14959-00")</f>
        <v>P-14959-00</v>
      </c>
      <c r="E721" s="6" t="str">
        <f>IFERROR(__xludf.DUMMYFUNCTION("""COMPUTED_VALUE"""),"PVC - Dop 1/2 inch")</f>
        <v>PVC - Dop 1/2 inch</v>
      </c>
      <c r="F721" s="6">
        <f>IFERROR(__xludf.DUMMYFUNCTION("""COMPUTED_VALUE"""),1.0)</f>
        <v>1</v>
      </c>
      <c r="G721" s="6" t="str">
        <f>IFERROR(__xludf.DUMMYFUNCTION("""COMPUTED_VALUE"""),"Pieces")</f>
        <v>Pieces</v>
      </c>
      <c r="H721" s="6" t="str">
        <f>IFERROR(__xludf.DUMMYFUNCTION("""COMPUTED_VALUE"""),"IDR")</f>
        <v>IDR</v>
      </c>
      <c r="I721" s="11">
        <f>IFERROR(__xludf.DUMMYFUNCTION("""COMPUTED_VALUE"""),3000.0)</f>
        <v>3000</v>
      </c>
      <c r="J721" s="11">
        <f>IFERROR(__xludf.DUMMYFUNCTION("""COMPUTED_VALUE"""),3000.0)</f>
        <v>3000</v>
      </c>
      <c r="K721" s="13">
        <f>IFERROR(__xludf.DUMMYFUNCTION("""COMPUTED_VALUE"""),43546.0)</f>
        <v>43546</v>
      </c>
      <c r="L721" s="6" t="str">
        <f>IFERROR(__xludf.DUMMYFUNCTION("""COMPUTED_VALUE"""),"FIP General")</f>
        <v>FIP General</v>
      </c>
      <c r="M721" s="6" t="str">
        <f>IFERROR(__xludf.DUMMYFUNCTION("""COMPUTED_VALUE"""),"Irwan Sopian")</f>
        <v>Irwan Sopian</v>
      </c>
      <c r="N721" s="6" t="str">
        <f>IFERROR(__xludf.DUMMYFUNCTION("""COMPUTED_VALUE"""),"FIP Engineering")</f>
        <v>FIP Engineering</v>
      </c>
      <c r="O721" s="6" t="str">
        <f>IFERROR(__xludf.DUMMYFUNCTION("""COMPUTED_VALUE"""),"FIP-DOM-ENG-51404-0000000-INA-000000")</f>
        <v>FIP-DOM-ENG-51404-0000000-INA-000000</v>
      </c>
      <c r="P721" s="6" t="str">
        <f>IFERROR(__xludf.DUMMYFUNCTION("""COMPUTED_VALUE"""),"PO Closed")</f>
        <v>PO Closed</v>
      </c>
      <c r="Q721" s="6" t="str">
        <f>IFERROR(__xludf.DUMMYFUNCTION("""COMPUTED_VALUE"""),"GL1902039")</f>
        <v>GL1902039</v>
      </c>
      <c r="R721" s="16">
        <f>IFERROR(__xludf.DUMMYFUNCTION("""COMPUTED_VALUE"""),43504.0)</f>
        <v>43504</v>
      </c>
      <c r="S721" s="6" t="str">
        <f>IFERROR(__xludf.DUMMYFUNCTION("""COMPUTED_VALUE"""),"-")</f>
        <v>-</v>
      </c>
      <c r="T721" s="17">
        <f>IFERROR(__xludf.DUMMYFUNCTION("""COMPUTED_VALUE"""),43521.0)</f>
        <v>43521</v>
      </c>
    </row>
    <row r="722">
      <c r="A722" s="6" t="str">
        <f>IFERROR(__xludf.DUMMYFUNCTION("""COMPUTED_VALUE"""),"191750046-5")</f>
        <v>191750046-5</v>
      </c>
      <c r="B722" s="6" t="str">
        <f>IFERROR(__xludf.DUMMYFUNCTION("""COMPUTED_VALUE"""),"191750046 - Approved")</f>
        <v>191750046 - Approved</v>
      </c>
      <c r="C722" s="6">
        <f>IFERROR(__xludf.DUMMYFUNCTION("""COMPUTED_VALUE"""),5.0)</f>
        <v>5</v>
      </c>
      <c r="D722" s="6" t="str">
        <f>IFERROR(__xludf.DUMMYFUNCTION("""COMPUTED_VALUE"""),"Q-60067-00")</f>
        <v>Q-60067-00</v>
      </c>
      <c r="E722" s="6" t="str">
        <f>IFERROR(__xludf.DUMMYFUNCTION("""COMPUTED_VALUE"""),"Cat Pilox 124 - Silver")</f>
        <v>Cat Pilox 124 - Silver</v>
      </c>
      <c r="F722" s="6">
        <f>IFERROR(__xludf.DUMMYFUNCTION("""COMPUTED_VALUE"""),3.0)</f>
        <v>3</v>
      </c>
      <c r="G722" s="6" t="str">
        <f>IFERROR(__xludf.DUMMYFUNCTION("""COMPUTED_VALUE"""),"Can")</f>
        <v>Can</v>
      </c>
      <c r="H722" s="6" t="str">
        <f>IFERROR(__xludf.DUMMYFUNCTION("""COMPUTED_VALUE"""),"IDR")</f>
        <v>IDR</v>
      </c>
      <c r="I722" s="11">
        <f>IFERROR(__xludf.DUMMYFUNCTION("""COMPUTED_VALUE"""),35000.0)</f>
        <v>35000</v>
      </c>
      <c r="J722" s="11">
        <f>IFERROR(__xludf.DUMMYFUNCTION("""COMPUTED_VALUE"""),105000.0)</f>
        <v>105000</v>
      </c>
      <c r="K722" s="13">
        <f>IFERROR(__xludf.DUMMYFUNCTION("""COMPUTED_VALUE"""),43546.0)</f>
        <v>43546</v>
      </c>
      <c r="L722" s="6" t="str">
        <f>IFERROR(__xludf.DUMMYFUNCTION("""COMPUTED_VALUE"""),"FIP Engineering")</f>
        <v>FIP Engineering</v>
      </c>
      <c r="M722" s="6" t="str">
        <f>IFERROR(__xludf.DUMMYFUNCTION("""COMPUTED_VALUE"""),"Irwan Sopian")</f>
        <v>Irwan Sopian</v>
      </c>
      <c r="N722" s="6" t="str">
        <f>IFERROR(__xludf.DUMMYFUNCTION("""COMPUTED_VALUE"""),"FIP Engineering")</f>
        <v>FIP Engineering</v>
      </c>
      <c r="O722" s="6" t="str">
        <f>IFERROR(__xludf.DUMMYFUNCTION("""COMPUTED_VALUE"""),"FIP-DOM-000-11304-OS00001-INA-000000")</f>
        <v>FIP-DOM-000-11304-OS00001-INA-000000</v>
      </c>
      <c r="P722" s="6" t="str">
        <f>IFERROR(__xludf.DUMMYFUNCTION("""COMPUTED_VALUE"""),"PO Closed")</f>
        <v>PO Closed</v>
      </c>
      <c r="Q722" s="6" t="str">
        <f>IFERROR(__xludf.DUMMYFUNCTION("""COMPUTED_VALUE"""),"GL1902039")</f>
        <v>GL1902039</v>
      </c>
      <c r="R722" s="16">
        <f>IFERROR(__xludf.DUMMYFUNCTION("""COMPUTED_VALUE"""),43504.0)</f>
        <v>43504</v>
      </c>
      <c r="S722" s="6" t="str">
        <f>IFERROR(__xludf.DUMMYFUNCTION("""COMPUTED_VALUE"""),"-")</f>
        <v>-</v>
      </c>
      <c r="T722" s="13">
        <f>IFERROR(__xludf.DUMMYFUNCTION("""COMPUTED_VALUE"""),43521.0)</f>
        <v>43521</v>
      </c>
    </row>
    <row r="723">
      <c r="A723" s="6" t="str">
        <f>IFERROR(__xludf.DUMMYFUNCTION("""COMPUTED_VALUE"""),"191750046-6")</f>
        <v>191750046-6</v>
      </c>
      <c r="B723" s="6" t="str">
        <f>IFERROR(__xludf.DUMMYFUNCTION("""COMPUTED_VALUE"""),"191750046 - Approved")</f>
        <v>191750046 - Approved</v>
      </c>
      <c r="C723" s="6">
        <f>IFERROR(__xludf.DUMMYFUNCTION("""COMPUTED_VALUE"""),6.0)</f>
        <v>6</v>
      </c>
      <c r="D723" s="6" t="str">
        <f>IFERROR(__xludf.DUMMYFUNCTION("""COMPUTED_VALUE"""),"P-12811-00")</f>
        <v>P-12811-00</v>
      </c>
      <c r="E723" s="6" t="str">
        <f>IFERROR(__xludf.DUMMYFUNCTION("""COMPUTED_VALUE"""),"Sock Drat luar PVC AW dia 1/2inch")</f>
        <v>Sock Drat luar PVC AW dia 1/2inch</v>
      </c>
      <c r="F723" s="6">
        <f>IFERROR(__xludf.DUMMYFUNCTION("""COMPUTED_VALUE"""),3.0)</f>
        <v>3</v>
      </c>
      <c r="G723" s="6" t="str">
        <f>IFERROR(__xludf.DUMMYFUNCTION("""COMPUTED_VALUE"""),"Pieces")</f>
        <v>Pieces</v>
      </c>
      <c r="H723" s="6" t="str">
        <f>IFERROR(__xludf.DUMMYFUNCTION("""COMPUTED_VALUE"""),"IDR")</f>
        <v>IDR</v>
      </c>
      <c r="I723" s="11">
        <f>IFERROR(__xludf.DUMMYFUNCTION("""COMPUTED_VALUE"""),3000.0)</f>
        <v>3000</v>
      </c>
      <c r="J723" s="11">
        <f>IFERROR(__xludf.DUMMYFUNCTION("""COMPUTED_VALUE"""),9000.0)</f>
        <v>9000</v>
      </c>
      <c r="K723" s="13">
        <f>IFERROR(__xludf.DUMMYFUNCTION("""COMPUTED_VALUE"""),43518.0)</f>
        <v>43518</v>
      </c>
      <c r="L723" s="6" t="str">
        <f>IFERROR(__xludf.DUMMYFUNCTION("""COMPUTED_VALUE"""),"FIP Engineering")</f>
        <v>FIP Engineering</v>
      </c>
      <c r="M723" s="6" t="str">
        <f>IFERROR(__xludf.DUMMYFUNCTION("""COMPUTED_VALUE"""),"Irwan Sopian")</f>
        <v>Irwan Sopian</v>
      </c>
      <c r="N723" s="6" t="str">
        <f>IFERROR(__xludf.DUMMYFUNCTION("""COMPUTED_VALUE"""),"FIP Engineering")</f>
        <v>FIP Engineering</v>
      </c>
      <c r="O723" s="6" t="str">
        <f>IFERROR(__xludf.DUMMYFUNCTION("""COMPUTED_VALUE"""),"FIP-DOM-000-11304-OS00001-INA-000000")</f>
        <v>FIP-DOM-000-11304-OS00001-INA-000000</v>
      </c>
      <c r="P723" s="6" t="str">
        <f>IFERROR(__xludf.DUMMYFUNCTION("""COMPUTED_VALUE"""),"PO Closed")</f>
        <v>PO Closed</v>
      </c>
      <c r="Q723" s="6" t="str">
        <f>IFERROR(__xludf.DUMMYFUNCTION("""COMPUTED_VALUE"""),"GL1902039")</f>
        <v>GL1902039</v>
      </c>
      <c r="R723" s="16">
        <f>IFERROR(__xludf.DUMMYFUNCTION("""COMPUTED_VALUE"""),43504.0)</f>
        <v>43504</v>
      </c>
      <c r="S723" s="6" t="str">
        <f>IFERROR(__xludf.DUMMYFUNCTION("""COMPUTED_VALUE"""),"-")</f>
        <v>-</v>
      </c>
      <c r="T723" s="17">
        <f>IFERROR(__xludf.DUMMYFUNCTION("""COMPUTED_VALUE"""),43521.0)</f>
        <v>43521</v>
      </c>
    </row>
    <row r="724">
      <c r="A724" s="6" t="str">
        <f>IFERROR(__xludf.DUMMYFUNCTION("""COMPUTED_VALUE"""),"191750046-7")</f>
        <v>191750046-7</v>
      </c>
      <c r="B724" s="6" t="str">
        <f>IFERROR(__xludf.DUMMYFUNCTION("""COMPUTED_VALUE"""),"191750046 - Approved")</f>
        <v>191750046 - Approved</v>
      </c>
      <c r="C724" s="6">
        <f>IFERROR(__xludf.DUMMYFUNCTION("""COMPUTED_VALUE"""),7.0)</f>
        <v>7</v>
      </c>
      <c r="D724" s="6" t="str">
        <f>IFERROR(__xludf.DUMMYFUNCTION("""COMPUTED_VALUE"""),"P-10885-00")</f>
        <v>P-10885-00</v>
      </c>
      <c r="E724" s="6" t="str">
        <f>IFERROR(__xludf.DUMMYFUNCTION("""COMPUTED_VALUE"""),"Fitting PVC - SDD PVC 1/2""")</f>
        <v>Fitting PVC - SDD PVC 1/2"</v>
      </c>
      <c r="F724" s="6">
        <f>IFERROR(__xludf.DUMMYFUNCTION("""COMPUTED_VALUE"""),3.0)</f>
        <v>3</v>
      </c>
      <c r="G724" s="6" t="str">
        <f>IFERROR(__xludf.DUMMYFUNCTION("""COMPUTED_VALUE"""),"Pieces")</f>
        <v>Pieces</v>
      </c>
      <c r="H724" s="6" t="str">
        <f>IFERROR(__xludf.DUMMYFUNCTION("""COMPUTED_VALUE"""),"IDR")</f>
        <v>IDR</v>
      </c>
      <c r="I724" s="11">
        <f>IFERROR(__xludf.DUMMYFUNCTION("""COMPUTED_VALUE"""),3000.0)</f>
        <v>3000</v>
      </c>
      <c r="J724" s="11">
        <f>IFERROR(__xludf.DUMMYFUNCTION("""COMPUTED_VALUE"""),9000.0)</f>
        <v>9000</v>
      </c>
      <c r="K724" s="13">
        <f>IFERROR(__xludf.DUMMYFUNCTION("""COMPUTED_VALUE"""),43518.0)</f>
        <v>43518</v>
      </c>
      <c r="L724" s="6" t="str">
        <f>IFERROR(__xludf.DUMMYFUNCTION("""COMPUTED_VALUE"""),"FIP Engineering")</f>
        <v>FIP Engineering</v>
      </c>
      <c r="M724" s="6" t="str">
        <f>IFERROR(__xludf.DUMMYFUNCTION("""COMPUTED_VALUE"""),"Irwan Sopian")</f>
        <v>Irwan Sopian</v>
      </c>
      <c r="N724" s="6" t="str">
        <f>IFERROR(__xludf.DUMMYFUNCTION("""COMPUTED_VALUE"""),"FIP Engineering")</f>
        <v>FIP Engineering</v>
      </c>
      <c r="O724" s="6" t="str">
        <f>IFERROR(__xludf.DUMMYFUNCTION("""COMPUTED_VALUE"""),"FIP-DOM-000-11304-OS00001-INA-000000")</f>
        <v>FIP-DOM-000-11304-OS00001-INA-000000</v>
      </c>
      <c r="P724" s="6" t="str">
        <f>IFERROR(__xludf.DUMMYFUNCTION("""COMPUTED_VALUE"""),"PO Closed")</f>
        <v>PO Closed</v>
      </c>
      <c r="Q724" s="6" t="str">
        <f>IFERROR(__xludf.DUMMYFUNCTION("""COMPUTED_VALUE"""),"GL1902039")</f>
        <v>GL1902039</v>
      </c>
      <c r="R724" s="16">
        <f>IFERROR(__xludf.DUMMYFUNCTION("""COMPUTED_VALUE"""),43504.0)</f>
        <v>43504</v>
      </c>
      <c r="S724" s="6" t="str">
        <f>IFERROR(__xludf.DUMMYFUNCTION("""COMPUTED_VALUE"""),"-")</f>
        <v>-</v>
      </c>
      <c r="T724" s="13">
        <f>IFERROR(__xludf.DUMMYFUNCTION("""COMPUTED_VALUE"""),43521.0)</f>
        <v>43521</v>
      </c>
    </row>
    <row r="725">
      <c r="A725" s="6" t="str">
        <f>IFERROR(__xludf.DUMMYFUNCTION("""COMPUTED_VALUE"""),"191750060-1")</f>
        <v>191750060-1</v>
      </c>
      <c r="B725" s="6" t="str">
        <f>IFERROR(__xludf.DUMMYFUNCTION("""COMPUTED_VALUE"""),"191750060 - Approved")</f>
        <v>191750060 - Approved</v>
      </c>
      <c r="C725" s="6">
        <f>IFERROR(__xludf.DUMMYFUNCTION("""COMPUTED_VALUE"""),1.0)</f>
        <v>1</v>
      </c>
      <c r="D725" s="6" t="str">
        <f>IFERROR(__xludf.DUMMYFUNCTION("""COMPUTED_VALUE"""),"T-20123-00")</f>
        <v>T-20123-00</v>
      </c>
      <c r="E725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725" s="6">
        <f>IFERROR(__xludf.DUMMYFUNCTION("""COMPUTED_VALUE"""),2.0)</f>
        <v>2</v>
      </c>
      <c r="G725" s="6" t="str">
        <f>IFERROR(__xludf.DUMMYFUNCTION("""COMPUTED_VALUE"""),"Pieces")</f>
        <v>Pieces</v>
      </c>
      <c r="H725" s="6" t="str">
        <f>IFERROR(__xludf.DUMMYFUNCTION("""COMPUTED_VALUE"""),"IDR")</f>
        <v>IDR</v>
      </c>
      <c r="I725" s="11">
        <f>IFERROR(__xludf.DUMMYFUNCTION("""COMPUTED_VALUE"""),1.16824E7)</f>
        <v>11682400</v>
      </c>
      <c r="J725" s="11">
        <f>IFERROR(__xludf.DUMMYFUNCTION("""COMPUTED_VALUE"""),2.33648E7)</f>
        <v>23364800</v>
      </c>
      <c r="K725" s="13">
        <f>IFERROR(__xludf.DUMMYFUNCTION("""COMPUTED_VALUE"""),43539.0)</f>
        <v>43539</v>
      </c>
      <c r="L725" s="6" t="str">
        <f>IFERROR(__xludf.DUMMYFUNCTION("""COMPUTED_VALUE"""),"FIP General")</f>
        <v>FIP General</v>
      </c>
      <c r="M725" s="6" t="str">
        <f>IFERROR(__xludf.DUMMYFUNCTION("""COMPUTED_VALUE"""),"Irwan Sopian")</f>
        <v>Irwan Sopian</v>
      </c>
      <c r="N725" s="6" t="str">
        <f>IFERROR(__xludf.DUMMYFUNCTION("""COMPUTED_VALUE"""),"FIP Engineering")</f>
        <v>FIP Engineering</v>
      </c>
      <c r="O725" s="6" t="str">
        <f>IFERROR(__xludf.DUMMYFUNCTION("""COMPUTED_VALUE"""),"FIP-DOM-ENG-51505-0000000-INA-000000")</f>
        <v>FIP-DOM-ENG-51505-0000000-INA-000000</v>
      </c>
      <c r="P725" s="6" t="str">
        <f>IFERROR(__xludf.DUMMYFUNCTION("""COMPUTED_VALUE"""),"PO Closed")</f>
        <v>PO Closed</v>
      </c>
      <c r="Q725" s="6" t="str">
        <f>IFERROR(__xludf.DUMMYFUNCTION("""COMPUTED_VALUE"""),"GL1902052")</f>
        <v>GL1902052</v>
      </c>
      <c r="R725" s="16">
        <f>IFERROR(__xludf.DUMMYFUNCTION("""COMPUTED_VALUE"""),43507.0)</f>
        <v>43507</v>
      </c>
      <c r="S725" s="6" t="str">
        <f>IFERROR(__xludf.DUMMYFUNCTION("""COMPUTED_VALUE"""),"-")</f>
        <v>-</v>
      </c>
      <c r="T725" s="13">
        <f>IFERROR(__xludf.DUMMYFUNCTION("""COMPUTED_VALUE"""),43553.0)</f>
        <v>43553</v>
      </c>
    </row>
    <row r="726">
      <c r="A726" s="6" t="str">
        <f>IFERROR(__xludf.DUMMYFUNCTION("""COMPUTED_VALUE"""),"191750059-1")</f>
        <v>191750059-1</v>
      </c>
      <c r="B726" s="6" t="str">
        <f>IFERROR(__xludf.DUMMYFUNCTION("""COMPUTED_VALUE"""),"191750059 - Approved")</f>
        <v>191750059 - Approved</v>
      </c>
      <c r="C726" s="6">
        <f>IFERROR(__xludf.DUMMYFUNCTION("""COMPUTED_VALUE"""),1.0)</f>
        <v>1</v>
      </c>
      <c r="D726" s="6" t="str">
        <f>IFERROR(__xludf.DUMMYFUNCTION("""COMPUTED_VALUE"""),"Q-20010-00")</f>
        <v>Q-20010-00</v>
      </c>
      <c r="E726" s="6" t="str">
        <f>IFERROR(__xludf.DUMMYFUNCTION("""COMPUTED_VALUE"""),"Keramik Granito Warna Ivory")</f>
        <v>Keramik Granito Warna Ivory</v>
      </c>
      <c r="F726" s="6">
        <f>IFERROR(__xludf.DUMMYFUNCTION("""COMPUTED_VALUE"""),5.0)</f>
        <v>5</v>
      </c>
      <c r="G726" s="6" t="str">
        <f>IFERROR(__xludf.DUMMYFUNCTION("""COMPUTED_VALUE"""),"Box")</f>
        <v>Box</v>
      </c>
      <c r="H726" s="6" t="str">
        <f>IFERROR(__xludf.DUMMYFUNCTION("""COMPUTED_VALUE"""),"IDR")</f>
        <v>IDR</v>
      </c>
      <c r="I726" s="11">
        <f>IFERROR(__xludf.DUMMYFUNCTION("""COMPUTED_VALUE"""),315000.0)</f>
        <v>315000</v>
      </c>
      <c r="J726" s="11">
        <f>IFERROR(__xludf.DUMMYFUNCTION("""COMPUTED_VALUE"""),1575000.0)</f>
        <v>1575000</v>
      </c>
      <c r="K726" s="13">
        <f>IFERROR(__xludf.DUMMYFUNCTION("""COMPUTED_VALUE"""),43539.0)</f>
        <v>43539</v>
      </c>
      <c r="L726" s="6" t="str">
        <f>IFERROR(__xludf.DUMMYFUNCTION("""COMPUTED_VALUE"""),"FIP General")</f>
        <v>FIP General</v>
      </c>
      <c r="M726" s="6" t="str">
        <f>IFERROR(__xludf.DUMMYFUNCTION("""COMPUTED_VALUE"""),"Irwan Sopian")</f>
        <v>Irwan Sopian</v>
      </c>
      <c r="N726" s="6" t="str">
        <f>IFERROR(__xludf.DUMMYFUNCTION("""COMPUTED_VALUE"""),"FIP Engineering")</f>
        <v>FIP Engineering</v>
      </c>
      <c r="O726" s="6" t="str">
        <f>IFERROR(__xludf.DUMMYFUNCTION("""COMPUTED_VALUE"""),"FIP-DOM-ENG-51502-0000000-INA-000000")</f>
        <v>FIP-DOM-ENG-51502-0000000-INA-000000</v>
      </c>
      <c r="P726" s="6" t="str">
        <f>IFERROR(__xludf.DUMMYFUNCTION("""COMPUTED_VALUE"""),"PO Closed")</f>
        <v>PO Closed</v>
      </c>
      <c r="Q726" s="6" t="str">
        <f>IFERROR(__xludf.DUMMYFUNCTION("""COMPUTED_VALUE"""),"GL1902040")</f>
        <v>GL1902040</v>
      </c>
      <c r="R726" s="16">
        <f>IFERROR(__xludf.DUMMYFUNCTION("""COMPUTED_VALUE"""),43507.0)</f>
        <v>43507</v>
      </c>
      <c r="S726" s="6" t="str">
        <f>IFERROR(__xludf.DUMMYFUNCTION("""COMPUTED_VALUE"""),"-")</f>
        <v>-</v>
      </c>
      <c r="T726" s="17">
        <f>IFERROR(__xludf.DUMMYFUNCTION("""COMPUTED_VALUE"""),43525.0)</f>
        <v>43525</v>
      </c>
    </row>
    <row r="727">
      <c r="A727" s="6" t="str">
        <f>IFERROR(__xludf.DUMMYFUNCTION("""COMPUTED_VALUE"""),"191750057-1")</f>
        <v>191750057-1</v>
      </c>
      <c r="B727" s="6" t="str">
        <f>IFERROR(__xludf.DUMMYFUNCTION("""COMPUTED_VALUE"""),"191750057 - Approved")</f>
        <v>191750057 - Approved</v>
      </c>
      <c r="C727" s="6">
        <f>IFERROR(__xludf.DUMMYFUNCTION("""COMPUTED_VALUE"""),1.0)</f>
        <v>1</v>
      </c>
      <c r="D727" s="6" t="str">
        <f>IFERROR(__xludf.DUMMYFUNCTION("""COMPUTED_VALUE"""),"P-13641-00")</f>
        <v>P-13641-00</v>
      </c>
      <c r="E727" s="6" t="str">
        <f>IFERROR(__xludf.DUMMYFUNCTION("""COMPUTED_VALUE"""),"Filter SO 5 micron 30 inch O-ring 222 Bayonet")</f>
        <v>Filter SO 5 micron 30 inch O-ring 222 Bayonet</v>
      </c>
      <c r="F727" s="6">
        <f>IFERROR(__xludf.DUMMYFUNCTION("""COMPUTED_VALUE"""),5.0)</f>
        <v>5</v>
      </c>
      <c r="G727" s="6" t="str">
        <f>IFERROR(__xludf.DUMMYFUNCTION("""COMPUTED_VALUE"""),"Pieces")</f>
        <v>Pieces</v>
      </c>
      <c r="H727" s="6" t="str">
        <f>IFERROR(__xludf.DUMMYFUNCTION("""COMPUTED_VALUE"""),"IDR")</f>
        <v>IDR</v>
      </c>
      <c r="I727" s="11">
        <f>IFERROR(__xludf.DUMMYFUNCTION("""COMPUTED_VALUE"""),1890000.0)</f>
        <v>1890000</v>
      </c>
      <c r="J727" s="11">
        <f>IFERROR(__xludf.DUMMYFUNCTION("""COMPUTED_VALUE"""),9450000.0)</f>
        <v>9450000</v>
      </c>
      <c r="K727" s="13">
        <f>IFERROR(__xludf.DUMMYFUNCTION("""COMPUTED_VALUE"""),43546.0)</f>
        <v>43546</v>
      </c>
      <c r="L727" s="6" t="str">
        <f>IFERROR(__xludf.DUMMYFUNCTION("""COMPUTED_VALUE"""),"FIP Engineering")</f>
        <v>FIP Engineering</v>
      </c>
      <c r="M727" s="6" t="str">
        <f>IFERROR(__xludf.DUMMYFUNCTION("""COMPUTED_VALUE"""),"Irwan Sopian")</f>
        <v>Irwan Sopian</v>
      </c>
      <c r="N727" s="6" t="str">
        <f>IFERROR(__xludf.DUMMYFUNCTION("""COMPUTED_VALUE"""),"FIP Engineering")</f>
        <v>FIP Engineering</v>
      </c>
      <c r="O727" s="6" t="str">
        <f>IFERROR(__xludf.DUMMYFUNCTION("""COMPUTED_VALUE"""),"FIP-DOM-000-11304-OS00001-INA-000000")</f>
        <v>FIP-DOM-000-11304-OS00001-INA-000000</v>
      </c>
      <c r="P727" s="6" t="str">
        <f>IFERROR(__xludf.DUMMYFUNCTION("""COMPUTED_VALUE"""),"PO Closed")</f>
        <v>PO Closed</v>
      </c>
      <c r="Q727" s="6" t="str">
        <f>IFERROR(__xludf.DUMMYFUNCTION("""COMPUTED_VALUE"""),"GL1902042")</f>
        <v>GL1902042</v>
      </c>
      <c r="R727" s="16">
        <f>IFERROR(__xludf.DUMMYFUNCTION("""COMPUTED_VALUE"""),43507.0)</f>
        <v>43507</v>
      </c>
      <c r="S727" s="6" t="str">
        <f>IFERROR(__xludf.DUMMYFUNCTION("""COMPUTED_VALUE"""),"-")</f>
        <v>-</v>
      </c>
      <c r="T727" s="13">
        <f>IFERROR(__xludf.DUMMYFUNCTION("""COMPUTED_VALUE"""),43560.0)</f>
        <v>43560</v>
      </c>
    </row>
    <row r="728">
      <c r="A728" s="6" t="str">
        <f>IFERROR(__xludf.DUMMYFUNCTION("""COMPUTED_VALUE"""),"191750056-1")</f>
        <v>191750056-1</v>
      </c>
      <c r="B728" s="6" t="str">
        <f>IFERROR(__xludf.DUMMYFUNCTION("""COMPUTED_VALUE"""),"191750056 - Approved")</f>
        <v>191750056 - Approved</v>
      </c>
      <c r="C728" s="6">
        <f>IFERROR(__xludf.DUMMYFUNCTION("""COMPUTED_VALUE"""),1.0)</f>
        <v>1</v>
      </c>
      <c r="D728" s="6" t="str">
        <f>IFERROR(__xludf.DUMMYFUNCTION("""COMPUTED_VALUE"""),"O-16659-00")</f>
        <v>O-16659-00</v>
      </c>
      <c r="E728" s="6" t="str">
        <f>IFERROR(__xludf.DUMMYFUNCTION("""COMPUTED_VALUE"""),"Oring Silicone Merah OD: 352 mm T: 3.3 mm")</f>
        <v>Oring Silicone Merah OD: 352 mm T: 3.3 mm</v>
      </c>
      <c r="F728" s="6">
        <f>IFERROR(__xludf.DUMMYFUNCTION("""COMPUTED_VALUE"""),2.0)</f>
        <v>2</v>
      </c>
      <c r="G728" s="6" t="str">
        <f>IFERROR(__xludf.DUMMYFUNCTION("""COMPUTED_VALUE"""),"Pieces")</f>
        <v>Pieces</v>
      </c>
      <c r="H728" s="6" t="str">
        <f>IFERROR(__xludf.DUMMYFUNCTION("""COMPUTED_VALUE"""),"IDR")</f>
        <v>IDR</v>
      </c>
      <c r="I728" s="11">
        <f>IFERROR(__xludf.DUMMYFUNCTION("""COMPUTED_VALUE"""),275000.0)</f>
        <v>275000</v>
      </c>
      <c r="J728" s="11">
        <f>IFERROR(__xludf.DUMMYFUNCTION("""COMPUTED_VALUE"""),550000.0)</f>
        <v>550000</v>
      </c>
      <c r="K728" s="13">
        <f>IFERROR(__xludf.DUMMYFUNCTION("""COMPUTED_VALUE"""),43539.0)</f>
        <v>43539</v>
      </c>
      <c r="L728" s="6" t="str">
        <f>IFERROR(__xludf.DUMMYFUNCTION("""COMPUTED_VALUE"""),"FIP Engineering")</f>
        <v>FIP Engineering</v>
      </c>
      <c r="M728" s="6" t="str">
        <f>IFERROR(__xludf.DUMMYFUNCTION("""COMPUTED_VALUE"""),"Irwan Sopian")</f>
        <v>Irwan Sopian</v>
      </c>
      <c r="N728" s="6" t="str">
        <f>IFERROR(__xludf.DUMMYFUNCTION("""COMPUTED_VALUE"""),"FIP Engineering")</f>
        <v>FIP Engineering</v>
      </c>
      <c r="O728" s="6" t="str">
        <f>IFERROR(__xludf.DUMMYFUNCTION("""COMPUTED_VALUE"""),"FIP-DOM-000-11304-OS00001-INA-000000")</f>
        <v>FIP-DOM-000-11304-OS00001-INA-000000</v>
      </c>
      <c r="P728" s="6" t="str">
        <f>IFERROR(__xludf.DUMMYFUNCTION("""COMPUTED_VALUE"""),"PO Closed")</f>
        <v>PO Closed</v>
      </c>
      <c r="Q728" s="6" t="str">
        <f>IFERROR(__xludf.DUMMYFUNCTION("""COMPUTED_VALUE"""),"GL1902041")</f>
        <v>GL1902041</v>
      </c>
      <c r="R728" s="16">
        <f>IFERROR(__xludf.DUMMYFUNCTION("""COMPUTED_VALUE"""),43507.0)</f>
        <v>43507</v>
      </c>
      <c r="S728" s="6" t="str">
        <f>IFERROR(__xludf.DUMMYFUNCTION("""COMPUTED_VALUE"""),"-")</f>
        <v>-</v>
      </c>
      <c r="T728" s="13">
        <f>IFERROR(__xludf.DUMMYFUNCTION("""COMPUTED_VALUE"""),43530.0)</f>
        <v>43530</v>
      </c>
    </row>
    <row r="729">
      <c r="A729" s="6" t="str">
        <f>IFERROR(__xludf.DUMMYFUNCTION("""COMPUTED_VALUE"""),"191750056-2")</f>
        <v>191750056-2</v>
      </c>
      <c r="B729" s="6" t="str">
        <f>IFERROR(__xludf.DUMMYFUNCTION("""COMPUTED_VALUE"""),"191750056 - Approved")</f>
        <v>191750056 - Approved</v>
      </c>
      <c r="C729" s="6">
        <f>IFERROR(__xludf.DUMMYFUNCTION("""COMPUTED_VALUE"""),2.0)</f>
        <v>2</v>
      </c>
      <c r="D729" s="6" t="str">
        <f>IFERROR(__xludf.DUMMYFUNCTION("""COMPUTED_VALUE"""),"O-16646-00")</f>
        <v>O-16646-00</v>
      </c>
      <c r="E729" s="6" t="str">
        <f>IFERROR(__xludf.DUMMYFUNCTION("""COMPUTED_VALUE"""),"Oring NBR OD: 162 mm T: 6.7 mm")</f>
        <v>Oring NBR OD: 162 mm T: 6.7 mm</v>
      </c>
      <c r="F729" s="6">
        <f>IFERROR(__xludf.DUMMYFUNCTION("""COMPUTED_VALUE"""),2.0)</f>
        <v>2</v>
      </c>
      <c r="G729" s="6" t="str">
        <f>IFERROR(__xludf.DUMMYFUNCTION("""COMPUTED_VALUE"""),"Pieces")</f>
        <v>Pieces</v>
      </c>
      <c r="H729" s="6" t="str">
        <f>IFERROR(__xludf.DUMMYFUNCTION("""COMPUTED_VALUE"""),"IDR")</f>
        <v>IDR</v>
      </c>
      <c r="I729" s="11">
        <f>IFERROR(__xludf.DUMMYFUNCTION("""COMPUTED_VALUE"""),250000.0)</f>
        <v>250000</v>
      </c>
      <c r="J729" s="11">
        <f>IFERROR(__xludf.DUMMYFUNCTION("""COMPUTED_VALUE"""),500000.0)</f>
        <v>500000</v>
      </c>
      <c r="K729" s="13">
        <f>IFERROR(__xludf.DUMMYFUNCTION("""COMPUTED_VALUE"""),43539.0)</f>
        <v>43539</v>
      </c>
      <c r="L729" s="6" t="str">
        <f>IFERROR(__xludf.DUMMYFUNCTION("""COMPUTED_VALUE"""),"FIP Engineering")</f>
        <v>FIP Engineering</v>
      </c>
      <c r="M729" s="6" t="str">
        <f>IFERROR(__xludf.DUMMYFUNCTION("""COMPUTED_VALUE"""),"Irwan Sopian")</f>
        <v>Irwan Sopian</v>
      </c>
      <c r="N729" s="6" t="str">
        <f>IFERROR(__xludf.DUMMYFUNCTION("""COMPUTED_VALUE"""),"FIP Engineering")</f>
        <v>FIP Engineering</v>
      </c>
      <c r="O729" s="6" t="str">
        <f>IFERROR(__xludf.DUMMYFUNCTION("""COMPUTED_VALUE"""),"FIP-DOM-000-11304-OS00001-INA-000000")</f>
        <v>FIP-DOM-000-11304-OS00001-INA-000000</v>
      </c>
      <c r="P729" s="6" t="str">
        <f>IFERROR(__xludf.DUMMYFUNCTION("""COMPUTED_VALUE"""),"PO Closed")</f>
        <v>PO Closed</v>
      </c>
      <c r="Q729" s="6" t="str">
        <f>IFERROR(__xludf.DUMMYFUNCTION("""COMPUTED_VALUE"""),"GL1902041")</f>
        <v>GL1902041</v>
      </c>
      <c r="R729" s="16">
        <f>IFERROR(__xludf.DUMMYFUNCTION("""COMPUTED_VALUE"""),43507.0)</f>
        <v>43507</v>
      </c>
      <c r="S729" s="6" t="str">
        <f>IFERROR(__xludf.DUMMYFUNCTION("""COMPUTED_VALUE"""),"-")</f>
        <v>-</v>
      </c>
      <c r="T729" s="17">
        <f>IFERROR(__xludf.DUMMYFUNCTION("""COMPUTED_VALUE"""),43530.0)</f>
        <v>43530</v>
      </c>
    </row>
    <row r="730">
      <c r="A730" s="6" t="str">
        <f>IFERROR(__xludf.DUMMYFUNCTION("""COMPUTED_VALUE"""),"191750056-3")</f>
        <v>191750056-3</v>
      </c>
      <c r="B730" s="6" t="str">
        <f>IFERROR(__xludf.DUMMYFUNCTION("""COMPUTED_VALUE"""),"191750056 - Approved")</f>
        <v>191750056 - Approved</v>
      </c>
      <c r="C730" s="6">
        <f>IFERROR(__xludf.DUMMYFUNCTION("""COMPUTED_VALUE"""),3.0)</f>
        <v>3</v>
      </c>
      <c r="D730" s="6" t="str">
        <f>IFERROR(__xludf.DUMMYFUNCTION("""COMPUTED_VALUE"""),"O-16647-00")</f>
        <v>O-16647-00</v>
      </c>
      <c r="E730" s="6" t="str">
        <f>IFERROR(__xludf.DUMMYFUNCTION("""COMPUTED_VALUE"""),"Washing RAR4 - Oring Silicone Merah 23x18x2.5 mm")</f>
        <v>Washing RAR4 - Oring Silicone Merah 23x18x2.5 mm</v>
      </c>
      <c r="F730" s="6">
        <f>IFERROR(__xludf.DUMMYFUNCTION("""COMPUTED_VALUE"""),20.0)</f>
        <v>20</v>
      </c>
      <c r="G730" s="6" t="str">
        <f>IFERROR(__xludf.DUMMYFUNCTION("""COMPUTED_VALUE"""),"Pieces")</f>
        <v>Pieces</v>
      </c>
      <c r="H730" s="6" t="str">
        <f>IFERROR(__xludf.DUMMYFUNCTION("""COMPUTED_VALUE"""),"IDR")</f>
        <v>IDR</v>
      </c>
      <c r="I730" s="11">
        <f>IFERROR(__xludf.DUMMYFUNCTION("""COMPUTED_VALUE"""),35000.0)</f>
        <v>35000</v>
      </c>
      <c r="J730" s="11">
        <f>IFERROR(__xludf.DUMMYFUNCTION("""COMPUTED_VALUE"""),700000.0)</f>
        <v>700000</v>
      </c>
      <c r="K730" s="13">
        <f>IFERROR(__xludf.DUMMYFUNCTION("""COMPUTED_VALUE"""),43539.0)</f>
        <v>43539</v>
      </c>
      <c r="L730" s="6" t="str">
        <f>IFERROR(__xludf.DUMMYFUNCTION("""COMPUTED_VALUE"""),"FIP Engineering")</f>
        <v>FIP Engineering</v>
      </c>
      <c r="M730" s="6" t="str">
        <f>IFERROR(__xludf.DUMMYFUNCTION("""COMPUTED_VALUE"""),"Irwan Sopian")</f>
        <v>Irwan Sopian</v>
      </c>
      <c r="N730" s="6" t="str">
        <f>IFERROR(__xludf.DUMMYFUNCTION("""COMPUTED_VALUE"""),"FIP Engineering")</f>
        <v>FIP Engineering</v>
      </c>
      <c r="O730" s="6" t="str">
        <f>IFERROR(__xludf.DUMMYFUNCTION("""COMPUTED_VALUE"""),"FIP-DOM-000-11304-OS00001-INA-000000")</f>
        <v>FIP-DOM-000-11304-OS00001-INA-000000</v>
      </c>
      <c r="P730" s="6" t="str">
        <f>IFERROR(__xludf.DUMMYFUNCTION("""COMPUTED_VALUE"""),"PO Closed")</f>
        <v>PO Closed</v>
      </c>
      <c r="Q730" s="6" t="str">
        <f>IFERROR(__xludf.DUMMYFUNCTION("""COMPUTED_VALUE"""),"GL1902041")</f>
        <v>GL1902041</v>
      </c>
      <c r="R730" s="16">
        <f>IFERROR(__xludf.DUMMYFUNCTION("""COMPUTED_VALUE"""),43507.0)</f>
        <v>43507</v>
      </c>
      <c r="S730" s="6" t="str">
        <f>IFERROR(__xludf.DUMMYFUNCTION("""COMPUTED_VALUE"""),"-")</f>
        <v>-</v>
      </c>
      <c r="T730" s="13">
        <f>IFERROR(__xludf.DUMMYFUNCTION("""COMPUTED_VALUE"""),43530.0)</f>
        <v>43530</v>
      </c>
    </row>
    <row r="731">
      <c r="A731" s="6" t="str">
        <f>IFERROR(__xludf.DUMMYFUNCTION("""COMPUTED_VALUE"""),"191750056-4")</f>
        <v>191750056-4</v>
      </c>
      <c r="B731" s="6" t="str">
        <f>IFERROR(__xludf.DUMMYFUNCTION("""COMPUTED_VALUE"""),"191750056 - Approved")</f>
        <v>191750056 - Approved</v>
      </c>
      <c r="C731" s="6">
        <f>IFERROR(__xludf.DUMMYFUNCTION("""COMPUTED_VALUE"""),4.0)</f>
        <v>4</v>
      </c>
      <c r="D731" s="6" t="str">
        <f>IFERROR(__xludf.DUMMYFUNCTION("""COMPUTED_VALUE"""),"O-16658-00")</f>
        <v>O-16658-00</v>
      </c>
      <c r="E731" s="6" t="str">
        <f>IFERROR(__xludf.DUMMYFUNCTION("""COMPUTED_VALUE"""),"FESTO - Cylinder Compact ADNGF-16-15-P-A p/n: 554214")</f>
        <v>FESTO - Cylinder Compact ADNGF-16-15-P-A p/n: 554214</v>
      </c>
      <c r="F731" s="6">
        <f>IFERROR(__xludf.DUMMYFUNCTION("""COMPUTED_VALUE"""),1.0)</f>
        <v>1</v>
      </c>
      <c r="G731" s="6" t="str">
        <f>IFERROR(__xludf.DUMMYFUNCTION("""COMPUTED_VALUE"""),"Pieces")</f>
        <v>Pieces</v>
      </c>
      <c r="H731" s="6" t="str">
        <f>IFERROR(__xludf.DUMMYFUNCTION("""COMPUTED_VALUE"""),"IDR")</f>
        <v>IDR</v>
      </c>
      <c r="I731" s="11">
        <f>IFERROR(__xludf.DUMMYFUNCTION("""COMPUTED_VALUE"""),1085000.0)</f>
        <v>1085000</v>
      </c>
      <c r="J731" s="11">
        <f>IFERROR(__xludf.DUMMYFUNCTION("""COMPUTED_VALUE"""),1085000.0)</f>
        <v>1085000</v>
      </c>
      <c r="K731" s="13">
        <f>IFERROR(__xludf.DUMMYFUNCTION("""COMPUTED_VALUE"""),43539.0)</f>
        <v>43539</v>
      </c>
      <c r="L731" s="6" t="str">
        <f>IFERROR(__xludf.DUMMYFUNCTION("""COMPUTED_VALUE"""),"FIP Engineering")</f>
        <v>FIP Engineering</v>
      </c>
      <c r="M731" s="6" t="str">
        <f>IFERROR(__xludf.DUMMYFUNCTION("""COMPUTED_VALUE"""),"Irwan Sopian")</f>
        <v>Irwan Sopian</v>
      </c>
      <c r="N731" s="6" t="str">
        <f>IFERROR(__xludf.DUMMYFUNCTION("""COMPUTED_VALUE"""),"FIP Engineering")</f>
        <v>FIP Engineering</v>
      </c>
      <c r="O731" s="6" t="str">
        <f>IFERROR(__xludf.DUMMYFUNCTION("""COMPUTED_VALUE"""),"FIP-DOM-000-11304-OS00001-INA-000000")</f>
        <v>FIP-DOM-000-11304-OS00001-INA-000000</v>
      </c>
      <c r="P731" s="6" t="str">
        <f>IFERROR(__xludf.DUMMYFUNCTION("""COMPUTED_VALUE"""),"PO Closed")</f>
        <v>PO Closed</v>
      </c>
      <c r="Q731" s="6" t="str">
        <f>IFERROR(__xludf.DUMMYFUNCTION("""COMPUTED_VALUE"""),"GL1902035")</f>
        <v>GL1902035</v>
      </c>
      <c r="R731" s="16">
        <f>IFERROR(__xludf.DUMMYFUNCTION("""COMPUTED_VALUE"""),43507.0)</f>
        <v>43507</v>
      </c>
      <c r="S731" s="6" t="str">
        <f>IFERROR(__xludf.DUMMYFUNCTION("""COMPUTED_VALUE"""),"-")</f>
        <v>-</v>
      </c>
      <c r="T731" s="13">
        <f>IFERROR(__xludf.DUMMYFUNCTION("""COMPUTED_VALUE"""),43542.0)</f>
        <v>43542</v>
      </c>
    </row>
    <row r="732">
      <c r="A732" s="6" t="str">
        <f>IFERROR(__xludf.DUMMYFUNCTION("""COMPUTED_VALUE"""),"191750056-5")</f>
        <v>191750056-5</v>
      </c>
      <c r="B732" s="6" t="str">
        <f>IFERROR(__xludf.DUMMYFUNCTION("""COMPUTED_VALUE"""),"191750056 - Approved")</f>
        <v>191750056 - Approved</v>
      </c>
      <c r="C732" s="6">
        <f>IFERROR(__xludf.DUMMYFUNCTION("""COMPUTED_VALUE"""),5.0)</f>
        <v>5</v>
      </c>
      <c r="D732" s="6" t="str">
        <f>IFERROR(__xludf.DUMMYFUNCTION("""COMPUTED_VALUE"""),"O-52200-00")</f>
        <v>O-52200-00</v>
      </c>
      <c r="E732" s="6" t="str">
        <f>IFERROR(__xludf.DUMMYFUNCTION("""COMPUTED_VALUE"""),"FESTO - Proximity Sensor SME-8M-DS-24V-K-0,3-M8D p/n: 543861; ; ;")</f>
        <v>FESTO - Proximity Sensor SME-8M-DS-24V-K-0,3-M8D p/n: 543861; ; ;</v>
      </c>
      <c r="F732" s="6">
        <f>IFERROR(__xludf.DUMMYFUNCTION("""COMPUTED_VALUE"""),1.0)</f>
        <v>1</v>
      </c>
      <c r="G732" s="6" t="str">
        <f>IFERROR(__xludf.DUMMYFUNCTION("""COMPUTED_VALUE"""),"Pieces")</f>
        <v>Pieces</v>
      </c>
      <c r="H732" s="6" t="str">
        <f>IFERROR(__xludf.DUMMYFUNCTION("""COMPUTED_VALUE"""),"IDR")</f>
        <v>IDR</v>
      </c>
      <c r="I732" s="11">
        <f>IFERROR(__xludf.DUMMYFUNCTION("""COMPUTED_VALUE"""),350000.0)</f>
        <v>350000</v>
      </c>
      <c r="J732" s="11">
        <f>IFERROR(__xludf.DUMMYFUNCTION("""COMPUTED_VALUE"""),350000.0)</f>
        <v>350000</v>
      </c>
      <c r="K732" s="13">
        <f>IFERROR(__xludf.DUMMYFUNCTION("""COMPUTED_VALUE"""),43539.0)</f>
        <v>43539</v>
      </c>
      <c r="L732" s="6" t="str">
        <f>IFERROR(__xludf.DUMMYFUNCTION("""COMPUTED_VALUE"""),"FIP Engineering")</f>
        <v>FIP Engineering</v>
      </c>
      <c r="M732" s="6" t="str">
        <f>IFERROR(__xludf.DUMMYFUNCTION("""COMPUTED_VALUE"""),"Irwan Sopian")</f>
        <v>Irwan Sopian</v>
      </c>
      <c r="N732" s="6" t="str">
        <f>IFERROR(__xludf.DUMMYFUNCTION("""COMPUTED_VALUE"""),"FIP Engineering")</f>
        <v>FIP Engineering</v>
      </c>
      <c r="O732" s="6" t="str">
        <f>IFERROR(__xludf.DUMMYFUNCTION("""COMPUTED_VALUE"""),"FIP-DOM-000-11304-OS00001-INA-000000")</f>
        <v>FIP-DOM-000-11304-OS00001-INA-000000</v>
      </c>
      <c r="P732" s="6" t="str">
        <f>IFERROR(__xludf.DUMMYFUNCTION("""COMPUTED_VALUE"""),"PO Closed")</f>
        <v>PO Closed</v>
      </c>
      <c r="Q732" s="6" t="str">
        <f>IFERROR(__xludf.DUMMYFUNCTION("""COMPUTED_VALUE"""),"GL1902035")</f>
        <v>GL1902035</v>
      </c>
      <c r="R732" s="16">
        <f>IFERROR(__xludf.DUMMYFUNCTION("""COMPUTED_VALUE"""),43507.0)</f>
        <v>43507</v>
      </c>
      <c r="S732" s="6" t="str">
        <f>IFERROR(__xludf.DUMMYFUNCTION("""COMPUTED_VALUE"""),"-")</f>
        <v>-</v>
      </c>
      <c r="T732" s="13">
        <f>IFERROR(__xludf.DUMMYFUNCTION("""COMPUTED_VALUE"""),43525.0)</f>
        <v>43525</v>
      </c>
    </row>
    <row r="733">
      <c r="A733" s="6" t="str">
        <f>IFERROR(__xludf.DUMMYFUNCTION("""COMPUTED_VALUE"""),"191750061-2")</f>
        <v>191750061-2</v>
      </c>
      <c r="B733" s="6" t="str">
        <f>IFERROR(__xludf.DUMMYFUNCTION("""COMPUTED_VALUE"""),"191750061 - Approved")</f>
        <v>191750061 - Approved</v>
      </c>
      <c r="C733" s="6">
        <f>IFERROR(__xludf.DUMMYFUNCTION("""COMPUTED_VALUE"""),2.0)</f>
        <v>2</v>
      </c>
      <c r="D733" s="6" t="str">
        <f>IFERROR(__xludf.DUMMYFUNCTION("""COMPUTED_VALUE"""),"Q-10153-00")</f>
        <v>Q-10153-00</v>
      </c>
      <c r="E733" s="6" t="str">
        <f>IFERROR(__xludf.DUMMYFUNCTION("""COMPUTED_VALUE"""),"Roller cat 110mm")</f>
        <v>Roller cat 110mm</v>
      </c>
      <c r="F733" s="6">
        <f>IFERROR(__xludf.DUMMYFUNCTION("""COMPUTED_VALUE"""),5.0)</f>
        <v>5</v>
      </c>
      <c r="G733" s="6" t="str">
        <f>IFERROR(__xludf.DUMMYFUNCTION("""COMPUTED_VALUE"""),"Pieces")</f>
        <v>Pieces</v>
      </c>
      <c r="H733" s="6" t="str">
        <f>IFERROR(__xludf.DUMMYFUNCTION("""COMPUTED_VALUE"""),"IDR")</f>
        <v>IDR</v>
      </c>
      <c r="I733" s="11">
        <f>IFERROR(__xludf.DUMMYFUNCTION("""COMPUTED_VALUE"""),3000.0)</f>
        <v>3000</v>
      </c>
      <c r="J733" s="11">
        <f>IFERROR(__xludf.DUMMYFUNCTION("""COMPUTED_VALUE"""),15000.0)</f>
        <v>15000</v>
      </c>
      <c r="K733" s="13">
        <f>IFERROR(__xludf.DUMMYFUNCTION("""COMPUTED_VALUE"""),43553.0)</f>
        <v>43553</v>
      </c>
      <c r="L733" s="6" t="str">
        <f>IFERROR(__xludf.DUMMYFUNCTION("""COMPUTED_VALUE"""),"FIP Engineering")</f>
        <v>FIP Engineering</v>
      </c>
      <c r="M733" s="6" t="str">
        <f>IFERROR(__xludf.DUMMYFUNCTION("""COMPUTED_VALUE"""),"Irwan Sopian")</f>
        <v>Irwan Sopian</v>
      </c>
      <c r="N733" s="6" t="str">
        <f>IFERROR(__xludf.DUMMYFUNCTION("""COMPUTED_VALUE"""),"FIP Engineering")</f>
        <v>FIP Engineering</v>
      </c>
      <c r="O733" s="6" t="str">
        <f>IFERROR(__xludf.DUMMYFUNCTION("""COMPUTED_VALUE"""),"FIP-DOM-000-11304-OS00001-INA-000000")</f>
        <v>FIP-DOM-000-11304-OS00001-INA-000000</v>
      </c>
      <c r="P733" s="6" t="str">
        <f>IFERROR(__xludf.DUMMYFUNCTION("""COMPUTED_VALUE"""),"PO Closed")</f>
        <v>PO Closed</v>
      </c>
      <c r="Q733" s="6" t="str">
        <f>IFERROR(__xludf.DUMMYFUNCTION("""COMPUTED_VALUE"""),"GL1902044")</f>
        <v>GL1902044</v>
      </c>
      <c r="R733" s="16">
        <f>IFERROR(__xludf.DUMMYFUNCTION("""COMPUTED_VALUE"""),43508.0)</f>
        <v>43508</v>
      </c>
      <c r="S733" s="6" t="str">
        <f>IFERROR(__xludf.DUMMYFUNCTION("""COMPUTED_VALUE"""),"-")</f>
        <v>-</v>
      </c>
      <c r="T733" s="13">
        <f>IFERROR(__xludf.DUMMYFUNCTION("""COMPUTED_VALUE"""),43532.0)</f>
        <v>43532</v>
      </c>
    </row>
    <row r="734">
      <c r="A734" s="6" t="str">
        <f>IFERROR(__xludf.DUMMYFUNCTION("""COMPUTED_VALUE"""),"191750061-3")</f>
        <v>191750061-3</v>
      </c>
      <c r="B734" s="6" t="str">
        <f>IFERROR(__xludf.DUMMYFUNCTION("""COMPUTED_VALUE"""),"191750061 - Approved")</f>
        <v>191750061 - Approved</v>
      </c>
      <c r="C734" s="6">
        <f>IFERROR(__xludf.DUMMYFUNCTION("""COMPUTED_VALUE"""),3.0)</f>
        <v>3</v>
      </c>
      <c r="D734" s="6" t="str">
        <f>IFERROR(__xludf.DUMMYFUNCTION("""COMPUTED_VALUE"""),"P-12029-00")</f>
        <v>P-12029-00</v>
      </c>
      <c r="E734" s="6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F734" s="6">
        <f>IFERROR(__xludf.DUMMYFUNCTION("""COMPUTED_VALUE"""),1.0)</f>
        <v>1</v>
      </c>
      <c r="G734" s="6" t="str">
        <f>IFERROR(__xludf.DUMMYFUNCTION("""COMPUTED_VALUE"""),"Pieces")</f>
        <v>Pieces</v>
      </c>
      <c r="H734" s="6" t="str">
        <f>IFERROR(__xludf.DUMMYFUNCTION("""COMPUTED_VALUE"""),"IDR")</f>
        <v>IDR</v>
      </c>
      <c r="I734" s="11">
        <f>IFERROR(__xludf.DUMMYFUNCTION("""COMPUTED_VALUE"""),165000.0)</f>
        <v>165000</v>
      </c>
      <c r="J734" s="11">
        <f>IFERROR(__xludf.DUMMYFUNCTION("""COMPUTED_VALUE"""),165000.0)</f>
        <v>165000</v>
      </c>
      <c r="K734" s="13">
        <f>IFERROR(__xludf.DUMMYFUNCTION("""COMPUTED_VALUE"""),43553.0)</f>
        <v>43553</v>
      </c>
      <c r="L734" s="6" t="str">
        <f>IFERROR(__xludf.DUMMYFUNCTION("""COMPUTED_VALUE"""),"FIP Engineering")</f>
        <v>FIP Engineering</v>
      </c>
      <c r="M734" s="6" t="str">
        <f>IFERROR(__xludf.DUMMYFUNCTION("""COMPUTED_VALUE"""),"Irwan Sopian")</f>
        <v>Irwan Sopian</v>
      </c>
      <c r="N734" s="6" t="str">
        <f>IFERROR(__xludf.DUMMYFUNCTION("""COMPUTED_VALUE"""),"FIP Engineering")</f>
        <v>FIP Engineering</v>
      </c>
      <c r="O734" s="6" t="str">
        <f>IFERROR(__xludf.DUMMYFUNCTION("""COMPUTED_VALUE"""),"FIP-DOM-000-11304-OS00001-INA-000000")</f>
        <v>FIP-DOM-000-11304-OS00001-INA-000000</v>
      </c>
      <c r="P734" s="6" t="str">
        <f>IFERROR(__xludf.DUMMYFUNCTION("""COMPUTED_VALUE"""),"PO Closed")</f>
        <v>PO Closed</v>
      </c>
      <c r="Q734" s="6" t="str">
        <f>IFERROR(__xludf.DUMMYFUNCTION("""COMPUTED_VALUE"""),"GL1902044")</f>
        <v>GL1902044</v>
      </c>
      <c r="R734" s="16">
        <f>IFERROR(__xludf.DUMMYFUNCTION("""COMPUTED_VALUE"""),43508.0)</f>
        <v>43508</v>
      </c>
      <c r="S734" s="6" t="str">
        <f>IFERROR(__xludf.DUMMYFUNCTION("""COMPUTED_VALUE"""),"-")</f>
        <v>-</v>
      </c>
      <c r="T734" s="13">
        <f>IFERROR(__xludf.DUMMYFUNCTION("""COMPUTED_VALUE"""),43532.0)</f>
        <v>43532</v>
      </c>
    </row>
    <row r="735">
      <c r="A735" s="6" t="str">
        <f>IFERROR(__xludf.DUMMYFUNCTION("""COMPUTED_VALUE"""),"191750061-4")</f>
        <v>191750061-4</v>
      </c>
      <c r="B735" s="6" t="str">
        <f>IFERROR(__xludf.DUMMYFUNCTION("""COMPUTED_VALUE"""),"191750061 - Approved")</f>
        <v>191750061 - Approved</v>
      </c>
      <c r="C735" s="6">
        <f>IFERROR(__xludf.DUMMYFUNCTION("""COMPUTED_VALUE"""),4.0)</f>
        <v>4</v>
      </c>
      <c r="D735" s="6" t="str">
        <f>IFERROR(__xludf.DUMMYFUNCTION("""COMPUTED_VALUE"""),"Q-10236-00")</f>
        <v>Q-10236-00</v>
      </c>
      <c r="E735" s="6" t="str">
        <f>IFERROR(__xludf.DUMMYFUNCTION("""COMPUTED_VALUE"""),"Door Closer Dekson 302 NHO")</f>
        <v>Door Closer Dekson 302 NHO</v>
      </c>
      <c r="F735" s="6">
        <f>IFERROR(__xludf.DUMMYFUNCTION("""COMPUTED_VALUE"""),3.0)</f>
        <v>3</v>
      </c>
      <c r="G735" s="6" t="str">
        <f>IFERROR(__xludf.DUMMYFUNCTION("""COMPUTED_VALUE"""),"Pieces")</f>
        <v>Pieces</v>
      </c>
      <c r="H735" s="6" t="str">
        <f>IFERROR(__xludf.DUMMYFUNCTION("""COMPUTED_VALUE"""),"IDR")</f>
        <v>IDR</v>
      </c>
      <c r="I735" s="11">
        <f>IFERROR(__xludf.DUMMYFUNCTION("""COMPUTED_VALUE"""),310000.0)</f>
        <v>310000</v>
      </c>
      <c r="J735" s="11">
        <f>IFERROR(__xludf.DUMMYFUNCTION("""COMPUTED_VALUE"""),930000.0)</f>
        <v>930000</v>
      </c>
      <c r="K735" s="13">
        <f>IFERROR(__xludf.DUMMYFUNCTION("""COMPUTED_VALUE"""),43553.0)</f>
        <v>43553</v>
      </c>
      <c r="L735" s="6" t="str">
        <f>IFERROR(__xludf.DUMMYFUNCTION("""COMPUTED_VALUE"""),"FIP General")</f>
        <v>FIP General</v>
      </c>
      <c r="M735" s="6" t="str">
        <f>IFERROR(__xludf.DUMMYFUNCTION("""COMPUTED_VALUE"""),"Irwan Sopian")</f>
        <v>Irwan Sopian</v>
      </c>
      <c r="N735" s="6" t="str">
        <f>IFERROR(__xludf.DUMMYFUNCTION("""COMPUTED_VALUE"""),"FIP Engineering")</f>
        <v>FIP Engineering</v>
      </c>
      <c r="O735" s="6" t="str">
        <f>IFERROR(__xludf.DUMMYFUNCTION("""COMPUTED_VALUE"""),"FIP-DOM-ENG-51502-0000000-INA-000000")</f>
        <v>FIP-DOM-ENG-51502-0000000-INA-000000</v>
      </c>
      <c r="P735" s="6" t="str">
        <f>IFERROR(__xludf.DUMMYFUNCTION("""COMPUTED_VALUE"""),"PO Closed")</f>
        <v>PO Closed</v>
      </c>
      <c r="Q735" s="6" t="str">
        <f>IFERROR(__xludf.DUMMYFUNCTION("""COMPUTED_VALUE"""),"GL1902044")</f>
        <v>GL1902044</v>
      </c>
      <c r="R735" s="16">
        <f>IFERROR(__xludf.DUMMYFUNCTION("""COMPUTED_VALUE"""),43508.0)</f>
        <v>43508</v>
      </c>
      <c r="S735" s="6" t="str">
        <f>IFERROR(__xludf.DUMMYFUNCTION("""COMPUTED_VALUE"""),"-")</f>
        <v>-</v>
      </c>
      <c r="T735" s="13">
        <f>IFERROR(__xludf.DUMMYFUNCTION("""COMPUTED_VALUE"""),43532.0)</f>
        <v>43532</v>
      </c>
    </row>
    <row r="736">
      <c r="A736" s="6" t="str">
        <f>IFERROR(__xludf.DUMMYFUNCTION("""COMPUTED_VALUE"""),"191750061-5")</f>
        <v>191750061-5</v>
      </c>
      <c r="B736" s="6" t="str">
        <f>IFERROR(__xludf.DUMMYFUNCTION("""COMPUTED_VALUE"""),"191750061 - Approved")</f>
        <v>191750061 - Approved</v>
      </c>
      <c r="C736" s="6">
        <f>IFERROR(__xludf.DUMMYFUNCTION("""COMPUTED_VALUE"""),5.0)</f>
        <v>5</v>
      </c>
      <c r="D736" s="6" t="str">
        <f>IFERROR(__xludf.DUMMYFUNCTION("""COMPUTED_VALUE"""),"P-51298-00")</f>
        <v>P-51298-00</v>
      </c>
      <c r="E736" s="6" t="str">
        <f>IFERROR(__xludf.DUMMYFUNCTION("""COMPUTED_VALUE"""),"Terminal plastik dia 4 mm")</f>
        <v>Terminal plastik dia 4 mm</v>
      </c>
      <c r="F736" s="6">
        <f>IFERROR(__xludf.DUMMYFUNCTION("""COMPUTED_VALUE"""),10.0)</f>
        <v>10</v>
      </c>
      <c r="G736" s="6" t="str">
        <f>IFERROR(__xludf.DUMMYFUNCTION("""COMPUTED_VALUE"""),"Pieces")</f>
        <v>Pieces</v>
      </c>
      <c r="H736" s="6" t="str">
        <f>IFERROR(__xludf.DUMMYFUNCTION("""COMPUTED_VALUE"""),"IDR")</f>
        <v>IDR</v>
      </c>
      <c r="I736" s="11">
        <f>IFERROR(__xludf.DUMMYFUNCTION("""COMPUTED_VALUE"""),7500.0)</f>
        <v>7500</v>
      </c>
      <c r="J736" s="11">
        <f>IFERROR(__xludf.DUMMYFUNCTION("""COMPUTED_VALUE"""),75000.0)</f>
        <v>75000</v>
      </c>
      <c r="K736" s="13">
        <f>IFERROR(__xludf.DUMMYFUNCTION("""COMPUTED_VALUE"""),43553.0)</f>
        <v>43553</v>
      </c>
      <c r="L736" s="6" t="str">
        <f>IFERROR(__xludf.DUMMYFUNCTION("""COMPUTED_VALUE"""),"FIP Engineering")</f>
        <v>FIP Engineering</v>
      </c>
      <c r="M736" s="6" t="str">
        <f>IFERROR(__xludf.DUMMYFUNCTION("""COMPUTED_VALUE"""),"Irwan Sopian")</f>
        <v>Irwan Sopian</v>
      </c>
      <c r="N736" s="6" t="str">
        <f>IFERROR(__xludf.DUMMYFUNCTION("""COMPUTED_VALUE"""),"FIP Engineering")</f>
        <v>FIP Engineering</v>
      </c>
      <c r="O736" s="6" t="str">
        <f>IFERROR(__xludf.DUMMYFUNCTION("""COMPUTED_VALUE"""),"FIP-DOM-000-11304-OS00001-INA-000000")</f>
        <v>FIP-DOM-000-11304-OS00001-INA-000000</v>
      </c>
      <c r="P736" s="6" t="str">
        <f>IFERROR(__xludf.DUMMYFUNCTION("""COMPUTED_VALUE"""),"PO Closed")</f>
        <v>PO Closed</v>
      </c>
      <c r="Q736" s="6" t="str">
        <f>IFERROR(__xludf.DUMMYFUNCTION("""COMPUTED_VALUE"""),"GL1902044")</f>
        <v>GL1902044</v>
      </c>
      <c r="R736" s="16">
        <f>IFERROR(__xludf.DUMMYFUNCTION("""COMPUTED_VALUE"""),43508.0)</f>
        <v>43508</v>
      </c>
      <c r="S736" s="6" t="str">
        <f>IFERROR(__xludf.DUMMYFUNCTION("""COMPUTED_VALUE"""),"-")</f>
        <v>-</v>
      </c>
      <c r="T736" s="13">
        <f>IFERROR(__xludf.DUMMYFUNCTION("""COMPUTED_VALUE"""),43532.0)</f>
        <v>43532</v>
      </c>
    </row>
    <row r="737">
      <c r="A737" s="6" t="str">
        <f>IFERROR(__xludf.DUMMYFUNCTION("""COMPUTED_VALUE"""),"191750061-6")</f>
        <v>191750061-6</v>
      </c>
      <c r="B737" s="6" t="str">
        <f>IFERROR(__xludf.DUMMYFUNCTION("""COMPUTED_VALUE"""),"191750061 - Approved")</f>
        <v>191750061 - Approved</v>
      </c>
      <c r="C737" s="6">
        <f>IFERROR(__xludf.DUMMYFUNCTION("""COMPUTED_VALUE"""),6.0)</f>
        <v>6</v>
      </c>
      <c r="D737" s="6" t="str">
        <f>IFERROR(__xludf.DUMMYFUNCTION("""COMPUTED_VALUE"""),"P-51299-00")</f>
        <v>P-51299-00</v>
      </c>
      <c r="E737" s="6" t="str">
        <f>IFERROR(__xludf.DUMMYFUNCTION("""COMPUTED_VALUE"""),"Terminal plastik dia 6 mm")</f>
        <v>Terminal plastik dia 6 mm</v>
      </c>
      <c r="F737" s="6">
        <f>IFERROR(__xludf.DUMMYFUNCTION("""COMPUTED_VALUE"""),10.0)</f>
        <v>10</v>
      </c>
      <c r="G737" s="6" t="str">
        <f>IFERROR(__xludf.DUMMYFUNCTION("""COMPUTED_VALUE"""),"Pieces")</f>
        <v>Pieces</v>
      </c>
      <c r="H737" s="6" t="str">
        <f>IFERROR(__xludf.DUMMYFUNCTION("""COMPUTED_VALUE"""),"IDR")</f>
        <v>IDR</v>
      </c>
      <c r="I737" s="11">
        <f>IFERROR(__xludf.DUMMYFUNCTION("""COMPUTED_VALUE"""),8500.0)</f>
        <v>8500</v>
      </c>
      <c r="J737" s="11">
        <f>IFERROR(__xludf.DUMMYFUNCTION("""COMPUTED_VALUE"""),85000.0)</f>
        <v>85000</v>
      </c>
      <c r="K737" s="13">
        <f>IFERROR(__xludf.DUMMYFUNCTION("""COMPUTED_VALUE"""),43553.0)</f>
        <v>43553</v>
      </c>
      <c r="L737" s="6" t="str">
        <f>IFERROR(__xludf.DUMMYFUNCTION("""COMPUTED_VALUE"""),"FIP Engineering")</f>
        <v>FIP Engineering</v>
      </c>
      <c r="M737" s="6" t="str">
        <f>IFERROR(__xludf.DUMMYFUNCTION("""COMPUTED_VALUE"""),"Irwan Sopian")</f>
        <v>Irwan Sopian</v>
      </c>
      <c r="N737" s="6" t="str">
        <f>IFERROR(__xludf.DUMMYFUNCTION("""COMPUTED_VALUE"""),"FIP Engineering")</f>
        <v>FIP Engineering</v>
      </c>
      <c r="O737" s="6" t="str">
        <f>IFERROR(__xludf.DUMMYFUNCTION("""COMPUTED_VALUE"""),"FIP-DOM-000-11304-OS00001-INA-000000")</f>
        <v>FIP-DOM-000-11304-OS00001-INA-000000</v>
      </c>
      <c r="P737" s="6" t="str">
        <f>IFERROR(__xludf.DUMMYFUNCTION("""COMPUTED_VALUE"""),"PO Closed")</f>
        <v>PO Closed</v>
      </c>
      <c r="Q737" s="6" t="str">
        <f>IFERROR(__xludf.DUMMYFUNCTION("""COMPUTED_VALUE"""),"GL1902044")</f>
        <v>GL1902044</v>
      </c>
      <c r="R737" s="16">
        <f>IFERROR(__xludf.DUMMYFUNCTION("""COMPUTED_VALUE"""),43508.0)</f>
        <v>43508</v>
      </c>
      <c r="S737" s="6" t="str">
        <f>IFERROR(__xludf.DUMMYFUNCTION("""COMPUTED_VALUE"""),"-")</f>
        <v>-</v>
      </c>
      <c r="T737" s="13">
        <f>IFERROR(__xludf.DUMMYFUNCTION("""COMPUTED_VALUE"""),43532.0)</f>
        <v>43532</v>
      </c>
    </row>
    <row r="738">
      <c r="A738" s="6" t="str">
        <f>IFERROR(__xludf.DUMMYFUNCTION("""COMPUTED_VALUE"""),"191750061-7")</f>
        <v>191750061-7</v>
      </c>
      <c r="B738" s="6" t="str">
        <f>IFERROR(__xludf.DUMMYFUNCTION("""COMPUTED_VALUE"""),"191750061 - Approved")</f>
        <v>191750061 - Approved</v>
      </c>
      <c r="C738" s="6">
        <f>IFERROR(__xludf.DUMMYFUNCTION("""COMPUTED_VALUE"""),7.0)</f>
        <v>7</v>
      </c>
      <c r="D738" s="6" t="str">
        <f>IFERROR(__xludf.DUMMYFUNCTION("""COMPUTED_VALUE"""),"Q-10234-00")</f>
        <v>Q-10234-00</v>
      </c>
      <c r="E738" s="6" t="str">
        <f>IFERROR(__xludf.DUMMYFUNCTION("""COMPUTED_VALUE"""),"Silicone Sealant N10 Grey")</f>
        <v>Silicone Sealant N10 Grey</v>
      </c>
      <c r="F738" s="6">
        <f>IFERROR(__xludf.DUMMYFUNCTION("""COMPUTED_VALUE"""),6.0)</f>
        <v>6</v>
      </c>
      <c r="G738" s="6" t="str">
        <f>IFERROR(__xludf.DUMMYFUNCTION("""COMPUTED_VALUE"""),"Pieces")</f>
        <v>Pieces</v>
      </c>
      <c r="H738" s="6" t="str">
        <f>IFERROR(__xludf.DUMMYFUNCTION("""COMPUTED_VALUE"""),"IDR")</f>
        <v>IDR</v>
      </c>
      <c r="I738" s="11">
        <f>IFERROR(__xludf.DUMMYFUNCTION("""COMPUTED_VALUE"""),45000.0)</f>
        <v>45000</v>
      </c>
      <c r="J738" s="11">
        <f>IFERROR(__xludf.DUMMYFUNCTION("""COMPUTED_VALUE"""),270000.0)</f>
        <v>270000</v>
      </c>
      <c r="K738" s="13">
        <f>IFERROR(__xludf.DUMMYFUNCTION("""COMPUTED_VALUE"""),43553.0)</f>
        <v>43553</v>
      </c>
      <c r="L738" s="6" t="str">
        <f>IFERROR(__xludf.DUMMYFUNCTION("""COMPUTED_VALUE"""),"FIP Engineering")</f>
        <v>FIP Engineering</v>
      </c>
      <c r="M738" s="6" t="str">
        <f>IFERROR(__xludf.DUMMYFUNCTION("""COMPUTED_VALUE"""),"Irwan Sopian")</f>
        <v>Irwan Sopian</v>
      </c>
      <c r="N738" s="6" t="str">
        <f>IFERROR(__xludf.DUMMYFUNCTION("""COMPUTED_VALUE"""),"FIP Engineering")</f>
        <v>FIP Engineering</v>
      </c>
      <c r="O738" s="6" t="str">
        <f>IFERROR(__xludf.DUMMYFUNCTION("""COMPUTED_VALUE"""),"FIP-DOM-000-11304-OS00001-INA-000000")</f>
        <v>FIP-DOM-000-11304-OS00001-INA-000000</v>
      </c>
      <c r="P738" s="6" t="str">
        <f>IFERROR(__xludf.DUMMYFUNCTION("""COMPUTED_VALUE"""),"PO Closed")</f>
        <v>PO Closed</v>
      </c>
      <c r="Q738" s="6" t="str">
        <f>IFERROR(__xludf.DUMMYFUNCTION("""COMPUTED_VALUE"""),"GL1902044")</f>
        <v>GL1902044</v>
      </c>
      <c r="R738" s="16">
        <f>IFERROR(__xludf.DUMMYFUNCTION("""COMPUTED_VALUE"""),43508.0)</f>
        <v>43508</v>
      </c>
      <c r="S738" s="6" t="str">
        <f>IFERROR(__xludf.DUMMYFUNCTION("""COMPUTED_VALUE"""),"-")</f>
        <v>-</v>
      </c>
      <c r="T738" s="17">
        <f>IFERROR(__xludf.DUMMYFUNCTION("""COMPUTED_VALUE"""),43532.0)</f>
        <v>43532</v>
      </c>
    </row>
    <row r="739">
      <c r="A739" s="6" t="str">
        <f>IFERROR(__xludf.DUMMYFUNCTION("""COMPUTED_VALUE"""),"191750046-8")</f>
        <v>191750046-8</v>
      </c>
      <c r="B739" s="6" t="str">
        <f>IFERROR(__xludf.DUMMYFUNCTION("""COMPUTED_VALUE"""),"191750046 - Approved")</f>
        <v>191750046 - Approved</v>
      </c>
      <c r="C739" s="6">
        <f>IFERROR(__xludf.DUMMYFUNCTION("""COMPUTED_VALUE"""),8.0)</f>
        <v>8</v>
      </c>
      <c r="D739" s="6" t="str">
        <f>IFERROR(__xludf.DUMMYFUNCTION("""COMPUTED_VALUE"""),"Q-60036-00")</f>
        <v>Q-60036-00</v>
      </c>
      <c r="E739" s="6" t="str">
        <f>IFERROR(__xludf.DUMMYFUNCTION("""COMPUTED_VALUE"""),"Cat F-Talit KF-611 / Hellay Grey / 115-611 @ 1 KG")</f>
        <v>Cat F-Talit KF-611 / Hellay Grey / 115-611 @ 1 KG</v>
      </c>
      <c r="F739" s="6">
        <f>IFERROR(__xludf.DUMMYFUNCTION("""COMPUTED_VALUE"""),2.0)</f>
        <v>2</v>
      </c>
      <c r="G739" s="6" t="str">
        <f>IFERROR(__xludf.DUMMYFUNCTION("""COMPUTED_VALUE"""),"Can")</f>
        <v>Can</v>
      </c>
      <c r="H739" s="6" t="str">
        <f>IFERROR(__xludf.DUMMYFUNCTION("""COMPUTED_VALUE"""),"IDR")</f>
        <v>IDR</v>
      </c>
      <c r="I739" s="11">
        <f>IFERROR(__xludf.DUMMYFUNCTION("""COMPUTED_VALUE"""),58500.0)</f>
        <v>58500</v>
      </c>
      <c r="J739" s="11">
        <f>IFERROR(__xludf.DUMMYFUNCTION("""COMPUTED_VALUE"""),117000.0)</f>
        <v>117000</v>
      </c>
      <c r="K739" s="13">
        <f>IFERROR(__xludf.DUMMYFUNCTION("""COMPUTED_VALUE"""),43518.0)</f>
        <v>43518</v>
      </c>
      <c r="L739" s="6" t="str">
        <f>IFERROR(__xludf.DUMMYFUNCTION("""COMPUTED_VALUE"""),"FIP Engineering")</f>
        <v>FIP Engineering</v>
      </c>
      <c r="M739" s="6" t="str">
        <f>IFERROR(__xludf.DUMMYFUNCTION("""COMPUTED_VALUE"""),"Irwan Sopian")</f>
        <v>Irwan Sopian</v>
      </c>
      <c r="N739" s="6" t="str">
        <f>IFERROR(__xludf.DUMMYFUNCTION("""COMPUTED_VALUE"""),"FIP Engineering")</f>
        <v>FIP Engineering</v>
      </c>
      <c r="O739" s="6" t="str">
        <f>IFERROR(__xludf.DUMMYFUNCTION("""COMPUTED_VALUE"""),"FIP-DOM-000-11304-OS00001-INA-000000")</f>
        <v>FIP-DOM-000-11304-OS00001-INA-000000</v>
      </c>
      <c r="P739" s="6" t="str">
        <f>IFERROR(__xludf.DUMMYFUNCTION("""COMPUTED_VALUE"""),"PO Closed")</f>
        <v>PO Closed</v>
      </c>
      <c r="Q739" s="6" t="str">
        <f>IFERROR(__xludf.DUMMYFUNCTION("""COMPUTED_VALUE"""),"GL1902039")</f>
        <v>GL1902039</v>
      </c>
      <c r="R739" s="16">
        <f>IFERROR(__xludf.DUMMYFUNCTION("""COMPUTED_VALUE"""),43508.0)</f>
        <v>43508</v>
      </c>
      <c r="S739" s="6" t="str">
        <f>IFERROR(__xludf.DUMMYFUNCTION("""COMPUTED_VALUE"""),"-")</f>
        <v>-</v>
      </c>
      <c r="T739" s="13">
        <f>IFERROR(__xludf.DUMMYFUNCTION("""COMPUTED_VALUE"""),43521.0)</f>
        <v>43521</v>
      </c>
    </row>
    <row r="740">
      <c r="A740" s="6" t="str">
        <f>IFERROR(__xludf.DUMMYFUNCTION("""COMPUTED_VALUE"""),"191750065-1")</f>
        <v>191750065-1</v>
      </c>
      <c r="B740" s="6" t="str">
        <f>IFERROR(__xludf.DUMMYFUNCTION("""COMPUTED_VALUE"""),"191750065 - Approved")</f>
        <v>191750065 - Approved</v>
      </c>
      <c r="C740" s="6">
        <f>IFERROR(__xludf.DUMMYFUNCTION("""COMPUTED_VALUE"""),1.0)</f>
        <v>1</v>
      </c>
      <c r="D740" s="6" t="str">
        <f>IFERROR(__xludf.DUMMYFUNCTION("""COMPUTED_VALUE"""),"S-60002-00")</f>
        <v>S-60002-00</v>
      </c>
      <c r="E740" s="6" t="str">
        <f>IFERROR(__xludf.DUMMYFUNCTION("""COMPUTED_VALUE"""),"Service Mesin Gerinda Tangan Bosch")</f>
        <v>Service Mesin Gerinda Tangan Bosch</v>
      </c>
      <c r="F740" s="6">
        <f>IFERROR(__xludf.DUMMYFUNCTION("""COMPUTED_VALUE"""),1.0)</f>
        <v>1</v>
      </c>
      <c r="G740" s="6" t="str">
        <f>IFERROR(__xludf.DUMMYFUNCTION("""COMPUTED_VALUE"""),"Lot")</f>
        <v>Lot</v>
      </c>
      <c r="H740" s="6" t="str">
        <f>IFERROR(__xludf.DUMMYFUNCTION("""COMPUTED_VALUE"""),"IDR")</f>
        <v>IDR</v>
      </c>
      <c r="I740" s="11">
        <f>IFERROR(__xludf.DUMMYFUNCTION("""COMPUTED_VALUE"""),225000.0)</f>
        <v>225000</v>
      </c>
      <c r="J740" s="11">
        <f>IFERROR(__xludf.DUMMYFUNCTION("""COMPUTED_VALUE"""),225000.0)</f>
        <v>225000</v>
      </c>
      <c r="K740" s="13">
        <f>IFERROR(__xludf.DUMMYFUNCTION("""COMPUTED_VALUE"""),43525.0)</f>
        <v>43525</v>
      </c>
      <c r="L740" s="6" t="str">
        <f>IFERROR(__xludf.DUMMYFUNCTION("""COMPUTED_VALUE"""),"FIP General")</f>
        <v>FIP General</v>
      </c>
      <c r="M740" s="6" t="str">
        <f>IFERROR(__xludf.DUMMYFUNCTION("""COMPUTED_VALUE"""),"Irwan Sopian")</f>
        <v>Irwan Sopian</v>
      </c>
      <c r="N740" s="6" t="str">
        <f>IFERROR(__xludf.DUMMYFUNCTION("""COMPUTED_VALUE"""),"FIP Engineering")</f>
        <v>FIP Engineering</v>
      </c>
      <c r="O740" s="6" t="str">
        <f>IFERROR(__xludf.DUMMYFUNCTION("""COMPUTED_VALUE"""),"FIP-DOM-ENG-51508-0000000-INA-000000")</f>
        <v>FIP-DOM-ENG-51508-0000000-INA-000000</v>
      </c>
      <c r="P740" s="6" t="str">
        <f>IFERROR(__xludf.DUMMYFUNCTION("""COMPUTED_VALUE"""),"PO Closed")</f>
        <v>PO Closed</v>
      </c>
      <c r="Q740" s="6" t="str">
        <f>IFERROR(__xludf.DUMMYFUNCTION("""COMPUTED_VALUE"""),"GL1902045")</f>
        <v>GL1902045</v>
      </c>
      <c r="R740" s="16">
        <f>IFERROR(__xludf.DUMMYFUNCTION("""COMPUTED_VALUE"""),43510.0)</f>
        <v>43510</v>
      </c>
      <c r="S740" s="6" t="str">
        <f>IFERROR(__xludf.DUMMYFUNCTION("""COMPUTED_VALUE"""),"-")</f>
        <v>-</v>
      </c>
      <c r="T740" s="17">
        <f>IFERROR(__xludf.DUMMYFUNCTION("""COMPUTED_VALUE"""),43532.0)</f>
        <v>43532</v>
      </c>
    </row>
    <row r="741">
      <c r="A741" s="6" t="str">
        <f>IFERROR(__xludf.DUMMYFUNCTION("""COMPUTED_VALUE"""),"191750065-2")</f>
        <v>191750065-2</v>
      </c>
      <c r="B741" s="6" t="str">
        <f>IFERROR(__xludf.DUMMYFUNCTION("""COMPUTED_VALUE"""),"191750065 - Approved")</f>
        <v>191750065 - Approved</v>
      </c>
      <c r="C741" s="6">
        <f>IFERROR(__xludf.DUMMYFUNCTION("""COMPUTED_VALUE"""),2.0)</f>
        <v>2</v>
      </c>
      <c r="D741" s="6" t="str">
        <f>IFERROR(__xludf.DUMMYFUNCTION("""COMPUTED_VALUE"""),"S-60002-00")</f>
        <v>S-60002-00</v>
      </c>
      <c r="E741" s="6" t="str">
        <f>IFERROR(__xludf.DUMMYFUNCTION("""COMPUTED_VALUE"""),"Service Mesin Bor Tangan Bosch")</f>
        <v>Service Mesin Bor Tangan Bosch</v>
      </c>
      <c r="F741" s="6">
        <f>IFERROR(__xludf.DUMMYFUNCTION("""COMPUTED_VALUE"""),1.0)</f>
        <v>1</v>
      </c>
      <c r="G741" s="6" t="str">
        <f>IFERROR(__xludf.DUMMYFUNCTION("""COMPUTED_VALUE"""),"Lot")</f>
        <v>Lot</v>
      </c>
      <c r="H741" s="6" t="str">
        <f>IFERROR(__xludf.DUMMYFUNCTION("""COMPUTED_VALUE"""),"IDR")</f>
        <v>IDR</v>
      </c>
      <c r="I741" s="11">
        <f>IFERROR(__xludf.DUMMYFUNCTION("""COMPUTED_VALUE"""),225000.0)</f>
        <v>225000</v>
      </c>
      <c r="J741" s="11">
        <f>IFERROR(__xludf.DUMMYFUNCTION("""COMPUTED_VALUE"""),225000.0)</f>
        <v>225000</v>
      </c>
      <c r="K741" s="13">
        <f>IFERROR(__xludf.DUMMYFUNCTION("""COMPUTED_VALUE"""),43525.0)</f>
        <v>43525</v>
      </c>
      <c r="L741" s="6" t="str">
        <f>IFERROR(__xludf.DUMMYFUNCTION("""COMPUTED_VALUE"""),"FIP General")</f>
        <v>FIP General</v>
      </c>
      <c r="M741" s="6" t="str">
        <f>IFERROR(__xludf.DUMMYFUNCTION("""COMPUTED_VALUE"""),"Irwan Sopian")</f>
        <v>Irwan Sopian</v>
      </c>
      <c r="N741" s="6" t="str">
        <f>IFERROR(__xludf.DUMMYFUNCTION("""COMPUTED_VALUE"""),"FIP Engineering")</f>
        <v>FIP Engineering</v>
      </c>
      <c r="O741" s="6" t="str">
        <f>IFERROR(__xludf.DUMMYFUNCTION("""COMPUTED_VALUE"""),"FIP-DOM-ENG-51508-0000000-INA-000000")</f>
        <v>FIP-DOM-ENG-51508-0000000-INA-000000</v>
      </c>
      <c r="P741" s="6" t="str">
        <f>IFERROR(__xludf.DUMMYFUNCTION("""COMPUTED_VALUE"""),"PO Closed")</f>
        <v>PO Closed</v>
      </c>
      <c r="Q741" s="6" t="str">
        <f>IFERROR(__xludf.DUMMYFUNCTION("""COMPUTED_VALUE"""),"GL1902045")</f>
        <v>GL1902045</v>
      </c>
      <c r="R741" s="16">
        <f>IFERROR(__xludf.DUMMYFUNCTION("""COMPUTED_VALUE"""),43510.0)</f>
        <v>43510</v>
      </c>
      <c r="S741" s="6" t="str">
        <f>IFERROR(__xludf.DUMMYFUNCTION("""COMPUTED_VALUE"""),"-")</f>
        <v>-</v>
      </c>
      <c r="T741" s="13">
        <f>IFERROR(__xludf.DUMMYFUNCTION("""COMPUTED_VALUE"""),43532.0)</f>
        <v>43532</v>
      </c>
    </row>
    <row r="742">
      <c r="A742" s="6" t="str">
        <f>IFERROR(__xludf.DUMMYFUNCTION("""COMPUTED_VALUE"""),"191750071-1")</f>
        <v>191750071-1</v>
      </c>
      <c r="B742" s="6" t="str">
        <f>IFERROR(__xludf.DUMMYFUNCTION("""COMPUTED_VALUE"""),"191750071 - Approved")</f>
        <v>191750071 - Approved</v>
      </c>
      <c r="C742" s="6">
        <f>IFERROR(__xludf.DUMMYFUNCTION("""COMPUTED_VALUE"""),1.0)</f>
        <v>1</v>
      </c>
      <c r="D742" s="6" t="str">
        <f>IFERROR(__xludf.DUMMYFUNCTION("""COMPUTED_VALUE"""),"S-60002-00")</f>
        <v>S-60002-00</v>
      </c>
      <c r="E742" s="6" t="str">
        <f>IFERROR(__xludf.DUMMYFUNCTION("""COMPUTED_VALUE"""),"Service Restart &amp; Backup Software Comunication Steriline")</f>
        <v>Service Restart &amp; Backup Software Comunication Steriline</v>
      </c>
      <c r="F742" s="6">
        <f>IFERROR(__xludf.DUMMYFUNCTION("""COMPUTED_VALUE"""),1.0)</f>
        <v>1</v>
      </c>
      <c r="G742" s="6" t="str">
        <f>IFERROR(__xludf.DUMMYFUNCTION("""COMPUTED_VALUE"""),"Lot")</f>
        <v>Lot</v>
      </c>
      <c r="H742" s="6" t="str">
        <f>IFERROR(__xludf.DUMMYFUNCTION("""COMPUTED_VALUE"""),"IDR")</f>
        <v>IDR</v>
      </c>
      <c r="I742" s="11">
        <f>IFERROR(__xludf.DUMMYFUNCTION("""COMPUTED_VALUE"""),3362000.0)</f>
        <v>3362000</v>
      </c>
      <c r="J742" s="11">
        <f>IFERROR(__xludf.DUMMYFUNCTION("""COMPUTED_VALUE"""),3362000.0)</f>
        <v>3362000</v>
      </c>
      <c r="K742" s="13">
        <f>IFERROR(__xludf.DUMMYFUNCTION("""COMPUTED_VALUE"""),43539.0)</f>
        <v>43539</v>
      </c>
      <c r="L742" s="6" t="str">
        <f>IFERROR(__xludf.DUMMYFUNCTION("""COMPUTED_VALUE"""),"FIP General")</f>
        <v>FIP General</v>
      </c>
      <c r="M742" s="6" t="str">
        <f>IFERROR(__xludf.DUMMYFUNCTION("""COMPUTED_VALUE"""),"Irwan Sopian")</f>
        <v>Irwan Sopian</v>
      </c>
      <c r="N742" s="6" t="str">
        <f>IFERROR(__xludf.DUMMYFUNCTION("""COMPUTED_VALUE"""),"FIP Engineering")</f>
        <v>FIP Engineering</v>
      </c>
      <c r="O742" s="6" t="str">
        <f>IFERROR(__xludf.DUMMYFUNCTION("""COMPUTED_VALUE"""),"FIP-DOM-ENG-51508-0000000-INA-000000")</f>
        <v>FIP-DOM-ENG-51508-0000000-INA-000000</v>
      </c>
      <c r="P742" s="6" t="str">
        <f>IFERROR(__xludf.DUMMYFUNCTION("""COMPUTED_VALUE"""),"PO Closed")</f>
        <v>PO Closed</v>
      </c>
      <c r="Q742" s="6" t="str">
        <f>IFERROR(__xludf.DUMMYFUNCTION("""COMPUTED_VALUE"""),"GL1902047")</f>
        <v>GL1902047</v>
      </c>
      <c r="R742" s="16">
        <f>IFERROR(__xludf.DUMMYFUNCTION("""COMPUTED_VALUE"""),43516.0)</f>
        <v>43516</v>
      </c>
      <c r="S742" s="6" t="str">
        <f>IFERROR(__xludf.DUMMYFUNCTION("""COMPUTED_VALUE"""),"-")</f>
        <v>-</v>
      </c>
      <c r="T742" s="13">
        <f>IFERROR(__xludf.DUMMYFUNCTION("""COMPUTED_VALUE"""),43535.0)</f>
        <v>43535</v>
      </c>
    </row>
    <row r="743">
      <c r="A743" s="6" t="str">
        <f>IFERROR(__xludf.DUMMYFUNCTION("""COMPUTED_VALUE"""),"191750073-1")</f>
        <v>191750073-1</v>
      </c>
      <c r="B743" s="6" t="str">
        <f>IFERROR(__xludf.DUMMYFUNCTION("""COMPUTED_VALUE"""),"191750073 - Approved")</f>
        <v>191750073 - Approved</v>
      </c>
      <c r="C743" s="6">
        <f>IFERROR(__xludf.DUMMYFUNCTION("""COMPUTED_VALUE"""),1.0)</f>
        <v>1</v>
      </c>
      <c r="D743" s="6" t="str">
        <f>IFERROR(__xludf.DUMMYFUNCTION("""COMPUTED_VALUE"""),"S-41612-00")</f>
        <v>S-41612-00</v>
      </c>
      <c r="E743" s="6" t="str">
        <f>IFERROR(__xludf.DUMMYFUNCTION("""COMPUTED_VALUE"""),"Perbaikan Lampu Logo Fonko SignAge")</f>
        <v>Perbaikan Lampu Logo Fonko SignAge</v>
      </c>
      <c r="F743" s="6">
        <f>IFERROR(__xludf.DUMMYFUNCTION("""COMPUTED_VALUE"""),1.0)</f>
        <v>1</v>
      </c>
      <c r="G743" s="6" t="str">
        <f>IFERROR(__xludf.DUMMYFUNCTION("""COMPUTED_VALUE"""),"Pieces")</f>
        <v>Pieces</v>
      </c>
      <c r="H743" s="6" t="str">
        <f>IFERROR(__xludf.DUMMYFUNCTION("""COMPUTED_VALUE"""),"IDR")</f>
        <v>IDR</v>
      </c>
      <c r="I743" s="11">
        <f>IFERROR(__xludf.DUMMYFUNCTION("""COMPUTED_VALUE"""),3850000.0)</f>
        <v>3850000</v>
      </c>
      <c r="J743" s="11">
        <f>IFERROR(__xludf.DUMMYFUNCTION("""COMPUTED_VALUE"""),3850000.0)</f>
        <v>3850000</v>
      </c>
      <c r="K743" s="13">
        <f>IFERROR(__xludf.DUMMYFUNCTION("""COMPUTED_VALUE"""),43546.0)</f>
        <v>43546</v>
      </c>
      <c r="L743" s="6" t="str">
        <f>IFERROR(__xludf.DUMMYFUNCTION("""COMPUTED_VALUE"""),"FIP General")</f>
        <v>FIP General</v>
      </c>
      <c r="M743" s="6" t="str">
        <f>IFERROR(__xludf.DUMMYFUNCTION("""COMPUTED_VALUE"""),"Irwan Sopian")</f>
        <v>Irwan Sopian</v>
      </c>
      <c r="N743" s="6" t="str">
        <f>IFERROR(__xludf.DUMMYFUNCTION("""COMPUTED_VALUE"""),"FIP Engineering")</f>
        <v>FIP Engineering</v>
      </c>
      <c r="O743" s="6" t="str">
        <f>IFERROR(__xludf.DUMMYFUNCTION("""COMPUTED_VALUE"""),"FIP-DOM-ENG-51404-0000000-INA-000000")</f>
        <v>FIP-DOM-ENG-51404-0000000-INA-000000</v>
      </c>
      <c r="P743" s="6" t="str">
        <f>IFERROR(__xludf.DUMMYFUNCTION("""COMPUTED_VALUE"""),"PO Closed")</f>
        <v>PO Closed</v>
      </c>
      <c r="Q743" s="6" t="str">
        <f>IFERROR(__xludf.DUMMYFUNCTION("""COMPUTED_VALUE"""),"GL1903033")</f>
        <v>GL1903033</v>
      </c>
      <c r="R743" s="16">
        <f>IFERROR(__xludf.DUMMYFUNCTION("""COMPUTED_VALUE"""),43521.0)</f>
        <v>43521</v>
      </c>
      <c r="S743" s="6" t="str">
        <f>IFERROR(__xludf.DUMMYFUNCTION("""COMPUTED_VALUE"""),"-")</f>
        <v>-</v>
      </c>
      <c r="T743" s="17">
        <f>IFERROR(__xludf.DUMMYFUNCTION("""COMPUTED_VALUE"""),43553.0)</f>
        <v>43553</v>
      </c>
    </row>
    <row r="744">
      <c r="A744" s="6" t="str">
        <f>IFERROR(__xludf.DUMMYFUNCTION("""COMPUTED_VALUE"""),"191750072-1")</f>
        <v>191750072-1</v>
      </c>
      <c r="B744" s="6" t="str">
        <f>IFERROR(__xludf.DUMMYFUNCTION("""COMPUTED_VALUE"""),"191750072 - Approved")</f>
        <v>191750072 - Approved</v>
      </c>
      <c r="C744" s="6">
        <f>IFERROR(__xludf.DUMMYFUNCTION("""COMPUTED_VALUE"""),1.0)</f>
        <v>1</v>
      </c>
      <c r="D744" s="6" t="str">
        <f>IFERROR(__xludf.DUMMYFUNCTION("""COMPUTED_VALUE"""),"O-16706-00")</f>
        <v>O-16706-00</v>
      </c>
      <c r="E744" s="6" t="str">
        <f>IFERROR(__xludf.DUMMYFUNCTION("""COMPUTED_VALUE"""),"Capping VCM200 - Coupling for Encoder NBK MST 32")</f>
        <v>Capping VCM200 - Coupling for Encoder NBK MST 32</v>
      </c>
      <c r="F744" s="6">
        <f>IFERROR(__xludf.DUMMYFUNCTION("""COMPUTED_VALUE"""),2.0)</f>
        <v>2</v>
      </c>
      <c r="G744" s="6" t="str">
        <f>IFERROR(__xludf.DUMMYFUNCTION("""COMPUTED_VALUE"""),"Pieces")</f>
        <v>Pieces</v>
      </c>
      <c r="H744" s="6" t="str">
        <f>IFERROR(__xludf.DUMMYFUNCTION("""COMPUTED_VALUE"""),"IDR")</f>
        <v>IDR</v>
      </c>
      <c r="I744" s="11">
        <f>IFERROR(__xludf.DUMMYFUNCTION("""COMPUTED_VALUE"""),1350000.0)</f>
        <v>1350000</v>
      </c>
      <c r="J744" s="11">
        <f>IFERROR(__xludf.DUMMYFUNCTION("""COMPUTED_VALUE"""),2700000.0)</f>
        <v>2700000</v>
      </c>
      <c r="K744" s="13">
        <f>IFERROR(__xludf.DUMMYFUNCTION("""COMPUTED_VALUE"""),43549.0)</f>
        <v>43549</v>
      </c>
      <c r="L744" s="6" t="str">
        <f>IFERROR(__xludf.DUMMYFUNCTION("""COMPUTED_VALUE"""),"FIP Engineering")</f>
        <v>FIP Engineering</v>
      </c>
      <c r="M744" s="6" t="str">
        <f>IFERROR(__xludf.DUMMYFUNCTION("""COMPUTED_VALUE"""),"Irwan Sopian")</f>
        <v>Irwan Sopian</v>
      </c>
      <c r="N744" s="6" t="str">
        <f>IFERROR(__xludf.DUMMYFUNCTION("""COMPUTED_VALUE"""),"FIP Engineering")</f>
        <v>FIP Engineering</v>
      </c>
      <c r="O744" s="6" t="str">
        <f>IFERROR(__xludf.DUMMYFUNCTION("""COMPUTED_VALUE"""),"FIP-DOM-000-11304-OS00001-INA-000000")</f>
        <v>FIP-DOM-000-11304-OS00001-INA-000000</v>
      </c>
      <c r="P744" s="6" t="str">
        <f>IFERROR(__xludf.DUMMYFUNCTION("""COMPUTED_VALUE"""),"PO Closed")</f>
        <v>PO Closed</v>
      </c>
      <c r="Q744" s="6" t="str">
        <f>IFERROR(__xludf.DUMMYFUNCTION("""COMPUTED_VALUE"""),"GL1903330")</f>
        <v>GL1903330</v>
      </c>
      <c r="R744" s="16">
        <f>IFERROR(__xludf.DUMMYFUNCTION("""COMPUTED_VALUE"""),43521.0)</f>
        <v>43521</v>
      </c>
      <c r="S744" s="6" t="str">
        <f>IFERROR(__xludf.DUMMYFUNCTION("""COMPUTED_VALUE"""),"-")</f>
        <v>-</v>
      </c>
      <c r="T744" s="17">
        <f>IFERROR(__xludf.DUMMYFUNCTION("""COMPUTED_VALUE"""),43546.0)</f>
        <v>43546</v>
      </c>
    </row>
    <row r="745">
      <c r="A745" s="6" t="str">
        <f>IFERROR(__xludf.DUMMYFUNCTION("""COMPUTED_VALUE"""),"191750076-1")</f>
        <v>191750076-1</v>
      </c>
      <c r="B745" s="6" t="str">
        <f>IFERROR(__xludf.DUMMYFUNCTION("""COMPUTED_VALUE"""),"191750076 - Approved")</f>
        <v>191750076 - Approved</v>
      </c>
      <c r="C745" s="6">
        <f>IFERROR(__xludf.DUMMYFUNCTION("""COMPUTED_VALUE"""),1.0)</f>
        <v>1</v>
      </c>
      <c r="D745" s="6" t="str">
        <f>IFERROR(__xludf.DUMMYFUNCTION("""COMPUTED_VALUE"""),"S-60002-00")</f>
        <v>S-60002-00</v>
      </c>
      <c r="E745" s="6" t="str">
        <f>IFERROR(__xludf.DUMMYFUNCTION("""COMPUTED_VALUE"""),"Repair Motor Pompa Kyowa 220 V, 2.5 Amp, 1 Phase, 250 Watt")</f>
        <v>Repair Motor Pompa Kyowa 220 V, 2.5 Amp, 1 Phase, 250 Watt</v>
      </c>
      <c r="F745" s="6">
        <f>IFERROR(__xludf.DUMMYFUNCTION("""COMPUTED_VALUE"""),1.0)</f>
        <v>1</v>
      </c>
      <c r="G745" s="6" t="str">
        <f>IFERROR(__xludf.DUMMYFUNCTION("""COMPUTED_VALUE"""),"Lot")</f>
        <v>Lot</v>
      </c>
      <c r="H745" s="6" t="str">
        <f>IFERROR(__xludf.DUMMYFUNCTION("""COMPUTED_VALUE"""),"IDR")</f>
        <v>IDR</v>
      </c>
      <c r="I745" s="11">
        <f>IFERROR(__xludf.DUMMYFUNCTION("""COMPUTED_VALUE"""),500000.0)</f>
        <v>500000</v>
      </c>
      <c r="J745" s="11">
        <f>IFERROR(__xludf.DUMMYFUNCTION("""COMPUTED_VALUE"""),500000.0)</f>
        <v>500000</v>
      </c>
      <c r="K745" s="13">
        <f>IFERROR(__xludf.DUMMYFUNCTION("""COMPUTED_VALUE"""),43546.0)</f>
        <v>43546</v>
      </c>
      <c r="L745" s="6" t="str">
        <f>IFERROR(__xludf.DUMMYFUNCTION("""COMPUTED_VALUE"""),"FIP General")</f>
        <v>FIP General</v>
      </c>
      <c r="M745" s="6" t="str">
        <f>IFERROR(__xludf.DUMMYFUNCTION("""COMPUTED_VALUE"""),"Irwan Sopian")</f>
        <v>Irwan Sopian</v>
      </c>
      <c r="N745" s="6" t="str">
        <f>IFERROR(__xludf.DUMMYFUNCTION("""COMPUTED_VALUE"""),"FIP Engineering")</f>
        <v>FIP Engineering</v>
      </c>
      <c r="O745" s="6" t="str">
        <f>IFERROR(__xludf.DUMMYFUNCTION("""COMPUTED_VALUE"""),"FIP-DOM-ENG-51508-0000000-INA-000000")</f>
        <v>FIP-DOM-ENG-51508-0000000-INA-000000</v>
      </c>
      <c r="P745" s="6" t="str">
        <f>IFERROR(__xludf.DUMMYFUNCTION("""COMPUTED_VALUE"""),"PO Closed")</f>
        <v>PO Closed</v>
      </c>
      <c r="Q745" s="6" t="str">
        <f>IFERROR(__xludf.DUMMYFUNCTION("""COMPUTED_VALUE"""),"GL1903018")</f>
        <v>GL1903018</v>
      </c>
      <c r="R745" s="16">
        <f>IFERROR(__xludf.DUMMYFUNCTION("""COMPUTED_VALUE"""),43523.0)</f>
        <v>43523</v>
      </c>
      <c r="S745" s="6" t="str">
        <f>IFERROR(__xludf.DUMMYFUNCTION("""COMPUTED_VALUE"""),"-")</f>
        <v>-</v>
      </c>
      <c r="T745" s="17">
        <f>IFERROR(__xludf.DUMMYFUNCTION("""COMPUTED_VALUE"""),43544.0)</f>
        <v>43544</v>
      </c>
    </row>
    <row r="746">
      <c r="A746" s="6" t="str">
        <f>IFERROR(__xludf.DUMMYFUNCTION("""COMPUTED_VALUE"""),"191750078-1")</f>
        <v>191750078-1</v>
      </c>
      <c r="B746" s="6" t="str">
        <f>IFERROR(__xludf.DUMMYFUNCTION("""COMPUTED_VALUE"""),"191750078 - Approved")</f>
        <v>191750078 - Approved</v>
      </c>
      <c r="C746" s="6">
        <f>IFERROR(__xludf.DUMMYFUNCTION("""COMPUTED_VALUE"""),1.0)</f>
        <v>1</v>
      </c>
      <c r="D746" s="6" t="str">
        <f>IFERROR(__xludf.DUMMYFUNCTION("""COMPUTED_VALUE"""),"S-60002-00")</f>
        <v>S-60002-00</v>
      </c>
      <c r="E746" s="6" t="str">
        <f>IFERROR(__xludf.DUMMYFUNCTION("""COMPUTED_VALUE"""),"Perbaikan Roll O Pack")</f>
        <v>Perbaikan Roll O Pack</v>
      </c>
      <c r="F746" s="6">
        <f>IFERROR(__xludf.DUMMYFUNCTION("""COMPUTED_VALUE"""),1.0)</f>
        <v>1</v>
      </c>
      <c r="G746" s="6" t="str">
        <f>IFERROR(__xludf.DUMMYFUNCTION("""COMPUTED_VALUE"""),"Lot")</f>
        <v>Lot</v>
      </c>
      <c r="H746" s="6" t="str">
        <f>IFERROR(__xludf.DUMMYFUNCTION("""COMPUTED_VALUE"""),"IDR")</f>
        <v>IDR</v>
      </c>
      <c r="I746" s="11">
        <f>IFERROR(__xludf.DUMMYFUNCTION("""COMPUTED_VALUE"""),2000000.0)</f>
        <v>2000000</v>
      </c>
      <c r="J746" s="11">
        <f>IFERROR(__xludf.DUMMYFUNCTION("""COMPUTED_VALUE"""),2000000.0)</f>
        <v>2000000</v>
      </c>
      <c r="K746" s="13">
        <f>IFERROR(__xludf.DUMMYFUNCTION("""COMPUTED_VALUE"""),43539.0)</f>
        <v>43539</v>
      </c>
      <c r="L746" s="6" t="str">
        <f>IFERROR(__xludf.DUMMYFUNCTION("""COMPUTED_VALUE"""),"FIP General")</f>
        <v>FIP General</v>
      </c>
      <c r="M746" s="6" t="str">
        <f>IFERROR(__xludf.DUMMYFUNCTION("""COMPUTED_VALUE"""),"Irwan Sopian")</f>
        <v>Irwan Sopian</v>
      </c>
      <c r="N746" s="6" t="str">
        <f>IFERROR(__xludf.DUMMYFUNCTION("""COMPUTED_VALUE"""),"FIP Engineering")</f>
        <v>FIP Engineering</v>
      </c>
      <c r="O746" s="6" t="str">
        <f>IFERROR(__xludf.DUMMYFUNCTION("""COMPUTED_VALUE"""),"FIP-DOM-ENG-51508-0000000-INA-000000")</f>
        <v>FIP-DOM-ENG-51508-0000000-INA-000000</v>
      </c>
      <c r="P746" s="6" t="str">
        <f>IFERROR(__xludf.DUMMYFUNCTION("""COMPUTED_VALUE"""),"PO Closed")</f>
        <v>PO Closed</v>
      </c>
      <c r="Q746" s="6" t="str">
        <f>IFERROR(__xludf.DUMMYFUNCTION("""COMPUTED_VALUE"""),"GL1903015")</f>
        <v>GL1903015</v>
      </c>
      <c r="R746" s="16">
        <f>IFERROR(__xludf.DUMMYFUNCTION("""COMPUTED_VALUE"""),43524.0)</f>
        <v>43524</v>
      </c>
      <c r="S746" s="6" t="str">
        <f>IFERROR(__xludf.DUMMYFUNCTION("""COMPUTED_VALUE"""),"-")</f>
        <v>-</v>
      </c>
      <c r="T746" s="17">
        <f>IFERROR(__xludf.DUMMYFUNCTION("""COMPUTED_VALUE"""),43546.0)</f>
        <v>43546</v>
      </c>
    </row>
    <row r="747">
      <c r="A747" s="6" t="str">
        <f>IFERROR(__xludf.DUMMYFUNCTION("""COMPUTED_VALUE"""),"191750088-1")</f>
        <v>191750088-1</v>
      </c>
      <c r="B747" s="6" t="str">
        <f>IFERROR(__xludf.DUMMYFUNCTION("""COMPUTED_VALUE"""),"191750088 - Approved")</f>
        <v>191750088 - Approved</v>
      </c>
      <c r="C747" s="6">
        <f>IFERROR(__xludf.DUMMYFUNCTION("""COMPUTED_VALUE"""),1.0)</f>
        <v>1</v>
      </c>
      <c r="D747" s="6" t="str">
        <f>IFERROR(__xludf.DUMMYFUNCTION("""COMPUTED_VALUE"""),"Q-10475-00")</f>
        <v>Q-10475-00</v>
      </c>
      <c r="E747" s="6" t="str">
        <f>IFERROR(__xludf.DUMMYFUNCTION("""COMPUTED_VALUE"""),"Cat Tembok")</f>
        <v>Cat Tembok</v>
      </c>
      <c r="F747" s="6">
        <f>IFERROR(__xludf.DUMMYFUNCTION("""COMPUTED_VALUE"""),5.0)</f>
        <v>5</v>
      </c>
      <c r="G747" s="6" t="str">
        <f>IFERROR(__xludf.DUMMYFUNCTION("""COMPUTED_VALUE"""),"Can")</f>
        <v>Can</v>
      </c>
      <c r="H747" s="6" t="str">
        <f>IFERROR(__xludf.DUMMYFUNCTION("""COMPUTED_VALUE"""),"IDR")</f>
        <v>IDR</v>
      </c>
      <c r="I747" s="11">
        <f>IFERROR(__xludf.DUMMYFUNCTION("""COMPUTED_VALUE"""),263000.0)</f>
        <v>263000</v>
      </c>
      <c r="J747" s="11">
        <f>IFERROR(__xludf.DUMMYFUNCTION("""COMPUTED_VALUE"""),1315000.0)</f>
        <v>1315000</v>
      </c>
      <c r="K747" s="13">
        <f>IFERROR(__xludf.DUMMYFUNCTION("""COMPUTED_VALUE"""),43553.0)</f>
        <v>43553</v>
      </c>
      <c r="L747" s="6" t="str">
        <f>IFERROR(__xludf.DUMMYFUNCTION("""COMPUTED_VALUE"""),"FIP General")</f>
        <v>FIP General</v>
      </c>
      <c r="M747" s="6" t="str">
        <f>IFERROR(__xludf.DUMMYFUNCTION("""COMPUTED_VALUE"""),"Irwan Sopian")</f>
        <v>Irwan Sopian</v>
      </c>
      <c r="N747" s="6" t="str">
        <f>IFERROR(__xludf.DUMMYFUNCTION("""COMPUTED_VALUE"""),"FIP Engineering")</f>
        <v>FIP Engineering</v>
      </c>
      <c r="O747" s="6" t="str">
        <f>IFERROR(__xludf.DUMMYFUNCTION("""COMPUTED_VALUE"""),"FIP-DOM-ENG-51502-0000000-INA-000000")</f>
        <v>FIP-DOM-ENG-51502-0000000-INA-000000</v>
      </c>
      <c r="P747" s="6" t="str">
        <f>IFERROR(__xludf.DUMMYFUNCTION("""COMPUTED_VALUE"""),"PO Closed")</f>
        <v>PO Closed</v>
      </c>
      <c r="Q747" s="6" t="str">
        <f>IFERROR(__xludf.DUMMYFUNCTION("""COMPUTED_VALUE"""),"GL1903017")</f>
        <v>GL1903017</v>
      </c>
      <c r="R747" s="16">
        <f>IFERROR(__xludf.DUMMYFUNCTION("""COMPUTED_VALUE"""),43528.0)</f>
        <v>43528</v>
      </c>
      <c r="S747" s="6" t="str">
        <f>IFERROR(__xludf.DUMMYFUNCTION("""COMPUTED_VALUE"""),"-")</f>
        <v>-</v>
      </c>
      <c r="T747" s="13">
        <f>IFERROR(__xludf.DUMMYFUNCTION("""COMPUTED_VALUE"""),43546.0)</f>
        <v>43546</v>
      </c>
    </row>
    <row r="748">
      <c r="A748" s="6" t="str">
        <f>IFERROR(__xludf.DUMMYFUNCTION("""COMPUTED_VALUE"""),"191750088-2")</f>
        <v>191750088-2</v>
      </c>
      <c r="B748" s="6" t="str">
        <f>IFERROR(__xludf.DUMMYFUNCTION("""COMPUTED_VALUE"""),"191750088 - Approved")</f>
        <v>191750088 - Approved</v>
      </c>
      <c r="C748" s="6">
        <f>IFERROR(__xludf.DUMMYFUNCTION("""COMPUTED_VALUE"""),2.0)</f>
        <v>2</v>
      </c>
      <c r="D748" s="6" t="str">
        <f>IFERROR(__xludf.DUMMYFUNCTION("""COMPUTED_VALUE"""),"Q-10481-00")</f>
        <v>Q-10481-00</v>
      </c>
      <c r="E748" s="6" t="str">
        <f>IFERROR(__xludf.DUMMYFUNCTION("""COMPUTED_VALUE"""),"Handle SS pc")</f>
        <v>Handle SS pc</v>
      </c>
      <c r="F748" s="6">
        <f>IFERROR(__xludf.DUMMYFUNCTION("""COMPUTED_VALUE"""),1.0)</f>
        <v>1</v>
      </c>
      <c r="G748" s="6" t="str">
        <f>IFERROR(__xludf.DUMMYFUNCTION("""COMPUTED_VALUE"""),"Pieces")</f>
        <v>Pieces</v>
      </c>
      <c r="H748" s="6" t="str">
        <f>IFERROR(__xludf.DUMMYFUNCTION("""COMPUTED_VALUE"""),"IDR")</f>
        <v>IDR</v>
      </c>
      <c r="I748" s="11">
        <f>IFERROR(__xludf.DUMMYFUNCTION("""COMPUTED_VALUE"""),335000.0)</f>
        <v>335000</v>
      </c>
      <c r="J748" s="11">
        <f>IFERROR(__xludf.DUMMYFUNCTION("""COMPUTED_VALUE"""),335000.0)</f>
        <v>335000</v>
      </c>
      <c r="K748" s="13">
        <f>IFERROR(__xludf.DUMMYFUNCTION("""COMPUTED_VALUE"""),43553.0)</f>
        <v>43553</v>
      </c>
      <c r="L748" s="6" t="str">
        <f>IFERROR(__xludf.DUMMYFUNCTION("""COMPUTED_VALUE"""),"FIP Engineering")</f>
        <v>FIP Engineering</v>
      </c>
      <c r="M748" s="6" t="str">
        <f>IFERROR(__xludf.DUMMYFUNCTION("""COMPUTED_VALUE"""),"Irwan Sopian")</f>
        <v>Irwan Sopian</v>
      </c>
      <c r="N748" s="6" t="str">
        <f>IFERROR(__xludf.DUMMYFUNCTION("""COMPUTED_VALUE"""),"FIP Engineering")</f>
        <v>FIP Engineering</v>
      </c>
      <c r="O748" s="6" t="str">
        <f>IFERROR(__xludf.DUMMYFUNCTION("""COMPUTED_VALUE"""),"FIP-DOM-000-11304-OS00001-INA-000000")</f>
        <v>FIP-DOM-000-11304-OS00001-INA-000000</v>
      </c>
      <c r="P748" s="6" t="str">
        <f>IFERROR(__xludf.DUMMYFUNCTION("""COMPUTED_VALUE"""),"PO Closed")</f>
        <v>PO Closed</v>
      </c>
      <c r="Q748" s="6" t="str">
        <f>IFERROR(__xludf.DUMMYFUNCTION("""COMPUTED_VALUE"""),"GL1903017")</f>
        <v>GL1903017</v>
      </c>
      <c r="R748" s="16">
        <f>IFERROR(__xludf.DUMMYFUNCTION("""COMPUTED_VALUE"""),43528.0)</f>
        <v>43528</v>
      </c>
      <c r="S748" s="6" t="str">
        <f>IFERROR(__xludf.DUMMYFUNCTION("""COMPUTED_VALUE"""),"-")</f>
        <v>-</v>
      </c>
      <c r="T748" s="13">
        <f>IFERROR(__xludf.DUMMYFUNCTION("""COMPUTED_VALUE"""),43557.0)</f>
        <v>43557</v>
      </c>
    </row>
    <row r="749">
      <c r="A749" s="6" t="str">
        <f>IFERROR(__xludf.DUMMYFUNCTION("""COMPUTED_VALUE"""),"191750087-1")</f>
        <v>191750087-1</v>
      </c>
      <c r="B749" s="6" t="str">
        <f>IFERROR(__xludf.DUMMYFUNCTION("""COMPUTED_VALUE"""),"191750087 - Approved")</f>
        <v>191750087 - Approved</v>
      </c>
      <c r="C749" s="6">
        <f>IFERROR(__xludf.DUMMYFUNCTION("""COMPUTED_VALUE"""),1.0)</f>
        <v>1</v>
      </c>
      <c r="D749" s="6" t="str">
        <f>IFERROR(__xludf.DUMMYFUNCTION("""COMPUTED_VALUE"""),"S-60002-00")</f>
        <v>S-60002-00</v>
      </c>
      <c r="E749" s="6" t="str">
        <f>IFERROR(__xludf.DUMMYFUNCTION("""COMPUTED_VALUE"""),"Service Charge Particle Counter Airnet II 510")</f>
        <v>Service Charge Particle Counter Airnet II 510</v>
      </c>
      <c r="F749" s="6">
        <f>IFERROR(__xludf.DUMMYFUNCTION("""COMPUTED_VALUE"""),1.0)</f>
        <v>1</v>
      </c>
      <c r="G749" s="6" t="str">
        <f>IFERROR(__xludf.DUMMYFUNCTION("""COMPUTED_VALUE"""),"Lot")</f>
        <v>Lot</v>
      </c>
      <c r="H749" s="6" t="str">
        <f>IFERROR(__xludf.DUMMYFUNCTION("""COMPUTED_VALUE"""),"IDR")</f>
        <v>IDR</v>
      </c>
      <c r="I749" s="11">
        <f>IFERROR(__xludf.DUMMYFUNCTION("""COMPUTED_VALUE"""),1500000.0)</f>
        <v>1500000</v>
      </c>
      <c r="J749" s="11">
        <f>IFERROR(__xludf.DUMMYFUNCTION("""COMPUTED_VALUE"""),1500000.0)</f>
        <v>1500000</v>
      </c>
      <c r="K749" s="13">
        <f>IFERROR(__xludf.DUMMYFUNCTION("""COMPUTED_VALUE"""),43553.0)</f>
        <v>43553</v>
      </c>
      <c r="L749" s="6" t="str">
        <f>IFERROR(__xludf.DUMMYFUNCTION("""COMPUTED_VALUE"""),"FIP General")</f>
        <v>FIP General</v>
      </c>
      <c r="M749" s="6" t="str">
        <f>IFERROR(__xludf.DUMMYFUNCTION("""COMPUTED_VALUE"""),"Irwan Sopian")</f>
        <v>Irwan Sopian</v>
      </c>
      <c r="N749" s="6" t="str">
        <f>IFERROR(__xludf.DUMMYFUNCTION("""COMPUTED_VALUE"""),"FIP Engineering")</f>
        <v>FIP Engineering</v>
      </c>
      <c r="O749" s="6" t="str">
        <f>IFERROR(__xludf.DUMMYFUNCTION("""COMPUTED_VALUE"""),"FIP-DOM-ENG-51508-0000000-INA-000000")</f>
        <v>FIP-DOM-ENG-51508-0000000-INA-000000</v>
      </c>
      <c r="P749" s="6" t="str">
        <f>IFERROR(__xludf.DUMMYFUNCTION("""COMPUTED_VALUE"""),"PO Closed")</f>
        <v>PO Closed</v>
      </c>
      <c r="Q749" s="6" t="str">
        <f>IFERROR(__xludf.DUMMYFUNCTION("""COMPUTED_VALUE"""),"GL1903032")</f>
        <v>GL1903032</v>
      </c>
      <c r="R749" s="16">
        <f>IFERROR(__xludf.DUMMYFUNCTION("""COMPUTED_VALUE"""),43528.0)</f>
        <v>43528</v>
      </c>
      <c r="S749" s="6" t="str">
        <f>IFERROR(__xludf.DUMMYFUNCTION("""COMPUTED_VALUE"""),"-")</f>
        <v>-</v>
      </c>
      <c r="T749" s="17">
        <f>IFERROR(__xludf.DUMMYFUNCTION("""COMPUTED_VALUE"""),43565.0)</f>
        <v>43565</v>
      </c>
    </row>
    <row r="750">
      <c r="A750" s="6" t="str">
        <f>IFERROR(__xludf.DUMMYFUNCTION("""COMPUTED_VALUE"""),"191750086-1")</f>
        <v>191750086-1</v>
      </c>
      <c r="B750" s="6" t="str">
        <f>IFERROR(__xludf.DUMMYFUNCTION("""COMPUTED_VALUE"""),"191750086 - Approved")</f>
        <v>191750086 - Approved</v>
      </c>
      <c r="C750" s="6">
        <f>IFERROR(__xludf.DUMMYFUNCTION("""COMPUTED_VALUE"""),1.0)</f>
        <v>1</v>
      </c>
      <c r="D750" s="6" t="str">
        <f>IFERROR(__xludf.DUMMYFUNCTION("""COMPUTED_VALUE"""),"P-11817-00")</f>
        <v>P-11817-00</v>
      </c>
      <c r="E750" s="6" t="str">
        <f>IFERROR(__xludf.DUMMYFUNCTION("""COMPUTED_VALUE"""),"Acrylic tebal 3 mm ukr : 1220 x 2440 mm")</f>
        <v>Acrylic tebal 3 mm ukr : 1220 x 2440 mm</v>
      </c>
      <c r="F750" s="6">
        <f>IFERROR(__xludf.DUMMYFUNCTION("""COMPUTED_VALUE"""),1.0)</f>
        <v>1</v>
      </c>
      <c r="G750" s="6" t="str">
        <f>IFERROR(__xludf.DUMMYFUNCTION("""COMPUTED_VALUE"""),"Pieces")</f>
        <v>Pieces</v>
      </c>
      <c r="H750" s="6" t="str">
        <f>IFERROR(__xludf.DUMMYFUNCTION("""COMPUTED_VALUE"""),"IDR")</f>
        <v>IDR</v>
      </c>
      <c r="I750" s="11">
        <f>IFERROR(__xludf.DUMMYFUNCTION("""COMPUTED_VALUE"""),843000.0)</f>
        <v>843000</v>
      </c>
      <c r="J750" s="11">
        <f>IFERROR(__xludf.DUMMYFUNCTION("""COMPUTED_VALUE"""),843000.0)</f>
        <v>843000</v>
      </c>
      <c r="K750" s="13">
        <f>IFERROR(__xludf.DUMMYFUNCTION("""COMPUTED_VALUE"""),43553.0)</f>
        <v>43553</v>
      </c>
      <c r="L750" s="6" t="str">
        <f>IFERROR(__xludf.DUMMYFUNCTION("""COMPUTED_VALUE"""),"FIP Engineering")</f>
        <v>FIP Engineering</v>
      </c>
      <c r="M750" s="6" t="str">
        <f>IFERROR(__xludf.DUMMYFUNCTION("""COMPUTED_VALUE"""),"Irwan Sopian")</f>
        <v>Irwan Sopian</v>
      </c>
      <c r="N750" s="6" t="str">
        <f>IFERROR(__xludf.DUMMYFUNCTION("""COMPUTED_VALUE"""),"FIP Engineering")</f>
        <v>FIP Engineering</v>
      </c>
      <c r="O750" s="6" t="str">
        <f>IFERROR(__xludf.DUMMYFUNCTION("""COMPUTED_VALUE"""),"FIP-DOM-000-11304-OS00001-INA-000000")</f>
        <v>FIP-DOM-000-11304-OS00001-INA-000000</v>
      </c>
      <c r="P750" s="6" t="str">
        <f>IFERROR(__xludf.DUMMYFUNCTION("""COMPUTED_VALUE"""),"PO Closed")</f>
        <v>PO Closed</v>
      </c>
      <c r="Q750" s="6" t="str">
        <f>IFERROR(__xludf.DUMMYFUNCTION("""COMPUTED_VALUE"""),"GL1903017")</f>
        <v>GL1903017</v>
      </c>
      <c r="R750" s="16">
        <f>IFERROR(__xludf.DUMMYFUNCTION("""COMPUTED_VALUE"""),43528.0)</f>
        <v>43528</v>
      </c>
      <c r="S750" s="6" t="str">
        <f>IFERROR(__xludf.DUMMYFUNCTION("""COMPUTED_VALUE"""),"-")</f>
        <v>-</v>
      </c>
      <c r="T750" s="13">
        <f>IFERROR(__xludf.DUMMYFUNCTION("""COMPUTED_VALUE"""),43546.0)</f>
        <v>43546</v>
      </c>
    </row>
    <row r="751">
      <c r="A751" s="6" t="str">
        <f>IFERROR(__xludf.DUMMYFUNCTION("""COMPUTED_VALUE"""),"191750086-2")</f>
        <v>191750086-2</v>
      </c>
      <c r="B751" s="6" t="str">
        <f>IFERROR(__xludf.DUMMYFUNCTION("""COMPUTED_VALUE"""),"191750086 - Approved")</f>
        <v>191750086 - Approved</v>
      </c>
      <c r="C751" s="6">
        <f>IFERROR(__xludf.DUMMYFUNCTION("""COMPUTED_VALUE"""),2.0)</f>
        <v>2</v>
      </c>
      <c r="D751" s="6" t="str">
        <f>IFERROR(__xludf.DUMMYFUNCTION("""COMPUTED_VALUE"""),"S-60002-00")</f>
        <v>S-60002-00</v>
      </c>
      <c r="E751" s="6" t="str">
        <f>IFERROR(__xludf.DUMMYFUNCTION("""COMPUTED_VALUE"""),"Jasa Potong Acrylic menjadi 62 pcs ukuran 5x80 cm")</f>
        <v>Jasa Potong Acrylic menjadi 62 pcs ukuran 5x80 cm</v>
      </c>
      <c r="F751" s="6">
        <f>IFERROR(__xludf.DUMMYFUNCTION("""COMPUTED_VALUE"""),1.0)</f>
        <v>1</v>
      </c>
      <c r="G751" s="6" t="str">
        <f>IFERROR(__xludf.DUMMYFUNCTION("""COMPUTED_VALUE"""),"Lot")</f>
        <v>Lot</v>
      </c>
      <c r="H751" s="6" t="str">
        <f>IFERROR(__xludf.DUMMYFUNCTION("""COMPUTED_VALUE"""),"IDR")</f>
        <v>IDR</v>
      </c>
      <c r="I751" s="11">
        <f>IFERROR(__xludf.DUMMYFUNCTION("""COMPUTED_VALUE"""),400000.0)</f>
        <v>400000</v>
      </c>
      <c r="J751" s="11">
        <f>IFERROR(__xludf.DUMMYFUNCTION("""COMPUTED_VALUE"""),400000.0)</f>
        <v>400000</v>
      </c>
      <c r="K751" s="13">
        <f>IFERROR(__xludf.DUMMYFUNCTION("""COMPUTED_VALUE"""),43553.0)</f>
        <v>43553</v>
      </c>
      <c r="L751" s="6" t="str">
        <f>IFERROR(__xludf.DUMMYFUNCTION("""COMPUTED_VALUE"""),"FIP General")</f>
        <v>FIP General</v>
      </c>
      <c r="M751" s="6" t="str">
        <f>IFERROR(__xludf.DUMMYFUNCTION("""COMPUTED_VALUE"""),"Irwan Sopian")</f>
        <v>Irwan Sopian</v>
      </c>
      <c r="N751" s="6" t="str">
        <f>IFERROR(__xludf.DUMMYFUNCTION("""COMPUTED_VALUE"""),"FIP Engineering")</f>
        <v>FIP Engineering</v>
      </c>
      <c r="O751" s="6" t="str">
        <f>IFERROR(__xludf.DUMMYFUNCTION("""COMPUTED_VALUE"""),"FIP-DOM-ENG-51508-0000000-INA-000000")</f>
        <v>FIP-DOM-ENG-51508-0000000-INA-000000</v>
      </c>
      <c r="P751" s="6" t="str">
        <f>IFERROR(__xludf.DUMMYFUNCTION("""COMPUTED_VALUE"""),"PO Closed")</f>
        <v>PO Closed</v>
      </c>
      <c r="Q751" s="6" t="str">
        <f>IFERROR(__xludf.DUMMYFUNCTION("""COMPUTED_VALUE"""),"GL1903017")</f>
        <v>GL1903017</v>
      </c>
      <c r="R751" s="16">
        <f>IFERROR(__xludf.DUMMYFUNCTION("""COMPUTED_VALUE"""),43528.0)</f>
        <v>43528</v>
      </c>
      <c r="S751" s="6" t="str">
        <f>IFERROR(__xludf.DUMMYFUNCTION("""COMPUTED_VALUE"""),"-")</f>
        <v>-</v>
      </c>
      <c r="T751" s="13">
        <f>IFERROR(__xludf.DUMMYFUNCTION("""COMPUTED_VALUE"""),43546.0)</f>
        <v>43546</v>
      </c>
    </row>
    <row r="752">
      <c r="A752" s="6" t="str">
        <f>IFERROR(__xludf.DUMMYFUNCTION("""COMPUTED_VALUE"""),"191750095-1")</f>
        <v>191750095-1</v>
      </c>
      <c r="B752" s="6" t="str">
        <f>IFERROR(__xludf.DUMMYFUNCTION("""COMPUTED_VALUE"""),"191750095 - Approved")</f>
        <v>191750095 - Approved</v>
      </c>
      <c r="C752" s="6">
        <f>IFERROR(__xludf.DUMMYFUNCTION("""COMPUTED_VALUE"""),1.0)</f>
        <v>1</v>
      </c>
      <c r="D752" s="6" t="str">
        <f>IFERROR(__xludf.DUMMYFUNCTION("""COMPUTED_VALUE"""),"P-51559-00")</f>
        <v>P-51559-00</v>
      </c>
      <c r="E752" s="6" t="str">
        <f>IFERROR(__xludf.DUMMYFUNCTION("""COMPUTED_VALUE"""),"Lampu T5 14watt Putih Phillips")</f>
        <v>Lampu T5 14watt Putih Phillips</v>
      </c>
      <c r="F752" s="6">
        <f>IFERROR(__xludf.DUMMYFUNCTION("""COMPUTED_VALUE"""),40.0)</f>
        <v>40</v>
      </c>
      <c r="G752" s="6" t="str">
        <f>IFERROR(__xludf.DUMMYFUNCTION("""COMPUTED_VALUE"""),"Pack")</f>
        <v>Pack</v>
      </c>
      <c r="H752" s="6" t="str">
        <f>IFERROR(__xludf.DUMMYFUNCTION("""COMPUTED_VALUE"""),"IDR")</f>
        <v>IDR</v>
      </c>
      <c r="I752" s="11">
        <f>IFERROR(__xludf.DUMMYFUNCTION("""COMPUTED_VALUE"""),29700.0)</f>
        <v>29700</v>
      </c>
      <c r="J752" s="11">
        <f>IFERROR(__xludf.DUMMYFUNCTION("""COMPUTED_VALUE"""),1188000.0)</f>
        <v>1188000</v>
      </c>
      <c r="K752" s="13">
        <f>IFERROR(__xludf.DUMMYFUNCTION("""COMPUTED_VALUE"""),43560.0)</f>
        <v>43560</v>
      </c>
      <c r="L752" s="6" t="str">
        <f>IFERROR(__xludf.DUMMYFUNCTION("""COMPUTED_VALUE"""),"FIP Engineering")</f>
        <v>FIP Engineering</v>
      </c>
      <c r="M752" s="6" t="str">
        <f>IFERROR(__xludf.DUMMYFUNCTION("""COMPUTED_VALUE"""),"Irwan Sopian")</f>
        <v>Irwan Sopian</v>
      </c>
      <c r="N752" s="6" t="str">
        <f>IFERROR(__xludf.DUMMYFUNCTION("""COMPUTED_VALUE"""),"FIP Engineering")</f>
        <v>FIP Engineering</v>
      </c>
      <c r="O752" s="6" t="str">
        <f>IFERROR(__xludf.DUMMYFUNCTION("""COMPUTED_VALUE"""),"FIP-DOM-000-11304-OS00001-INA-000000")</f>
        <v>FIP-DOM-000-11304-OS00001-INA-000000</v>
      </c>
      <c r="P752" s="6" t="str">
        <f>IFERROR(__xludf.DUMMYFUNCTION("""COMPUTED_VALUE"""),"PO Closed")</f>
        <v>PO Closed</v>
      </c>
      <c r="Q752" s="6" t="str">
        <f>IFERROR(__xludf.DUMMYFUNCTION("""COMPUTED_VALUE"""),"GL1903330")</f>
        <v>GL1903330</v>
      </c>
      <c r="R752" s="16">
        <f>IFERROR(__xludf.DUMMYFUNCTION("""COMPUTED_VALUE"""),43530.0)</f>
        <v>43530</v>
      </c>
      <c r="S752" s="6" t="str">
        <f>IFERROR(__xludf.DUMMYFUNCTION("""COMPUTED_VALUE"""),"-")</f>
        <v>-</v>
      </c>
      <c r="T752" s="13">
        <f>IFERROR(__xludf.DUMMYFUNCTION("""COMPUTED_VALUE"""),43564.0)</f>
        <v>43564</v>
      </c>
    </row>
    <row r="753">
      <c r="A753" s="6" t="str">
        <f>IFERROR(__xludf.DUMMYFUNCTION("""COMPUTED_VALUE"""),"191750095-2")</f>
        <v>191750095-2</v>
      </c>
      <c r="B753" s="6" t="str">
        <f>IFERROR(__xludf.DUMMYFUNCTION("""COMPUTED_VALUE"""),"191750095 - Approved")</f>
        <v>191750095 - Approved</v>
      </c>
      <c r="C753" s="6">
        <f>IFERROR(__xludf.DUMMYFUNCTION("""COMPUTED_VALUE"""),2.0)</f>
        <v>2</v>
      </c>
      <c r="D753" s="6" t="str">
        <f>IFERROR(__xludf.DUMMYFUNCTION("""COMPUTED_VALUE"""),"O-54014-00")</f>
        <v>O-54014-00</v>
      </c>
      <c r="E753" s="6" t="str">
        <f>IFERROR(__xludf.DUMMYFUNCTION("""COMPUTED_VALUE"""),"STEKER 1 PHASE, BROCO")</f>
        <v>STEKER 1 PHASE, BROCO</v>
      </c>
      <c r="F753" s="6">
        <f>IFERROR(__xludf.DUMMYFUNCTION("""COMPUTED_VALUE"""),5.0)</f>
        <v>5</v>
      </c>
      <c r="G753" s="6" t="str">
        <f>IFERROR(__xludf.DUMMYFUNCTION("""COMPUTED_VALUE"""),"Pieces")</f>
        <v>Pieces</v>
      </c>
      <c r="H753" s="6" t="str">
        <f>IFERROR(__xludf.DUMMYFUNCTION("""COMPUTED_VALUE"""),"IDR")</f>
        <v>IDR</v>
      </c>
      <c r="I753" s="11">
        <f>IFERROR(__xludf.DUMMYFUNCTION("""COMPUTED_VALUE"""),9000.0)</f>
        <v>9000</v>
      </c>
      <c r="J753" s="11">
        <f>IFERROR(__xludf.DUMMYFUNCTION("""COMPUTED_VALUE"""),45000.0)</f>
        <v>45000</v>
      </c>
      <c r="K753" s="13">
        <f>IFERROR(__xludf.DUMMYFUNCTION("""COMPUTED_VALUE"""),43560.0)</f>
        <v>43560</v>
      </c>
      <c r="L753" s="6" t="str">
        <f>IFERROR(__xludf.DUMMYFUNCTION("""COMPUTED_VALUE"""),"FIP Engineering")</f>
        <v>FIP Engineering</v>
      </c>
      <c r="M753" s="6" t="str">
        <f>IFERROR(__xludf.DUMMYFUNCTION("""COMPUTED_VALUE"""),"Irwan Sopian")</f>
        <v>Irwan Sopian</v>
      </c>
      <c r="N753" s="6" t="str">
        <f>IFERROR(__xludf.DUMMYFUNCTION("""COMPUTED_VALUE"""),"FIP Engineering")</f>
        <v>FIP Engineering</v>
      </c>
      <c r="O753" s="6" t="str">
        <f>IFERROR(__xludf.DUMMYFUNCTION("""COMPUTED_VALUE"""),"FIP-DOM-000-11304-OS00001-INA-000000")</f>
        <v>FIP-DOM-000-11304-OS00001-INA-000000</v>
      </c>
      <c r="P753" s="6" t="str">
        <f>IFERROR(__xludf.DUMMYFUNCTION("""COMPUTED_VALUE"""),"PO Closed")</f>
        <v>PO Closed</v>
      </c>
      <c r="Q753" s="6" t="str">
        <f>IFERROR(__xludf.DUMMYFUNCTION("""COMPUTED_VALUE"""),"GL1903330")</f>
        <v>GL1903330</v>
      </c>
      <c r="R753" s="16">
        <f>IFERROR(__xludf.DUMMYFUNCTION("""COMPUTED_VALUE"""),43530.0)</f>
        <v>43530</v>
      </c>
      <c r="S753" s="6" t="str">
        <f>IFERROR(__xludf.DUMMYFUNCTION("""COMPUTED_VALUE"""),"-")</f>
        <v>-</v>
      </c>
      <c r="T753" s="17">
        <f>IFERROR(__xludf.DUMMYFUNCTION("""COMPUTED_VALUE"""),43546.0)</f>
        <v>43546</v>
      </c>
    </row>
    <row r="754">
      <c r="A754" s="6" t="str">
        <f>IFERROR(__xludf.DUMMYFUNCTION("""COMPUTED_VALUE"""),"191750095-3")</f>
        <v>191750095-3</v>
      </c>
      <c r="B754" s="6" t="str">
        <f>IFERROR(__xludf.DUMMYFUNCTION("""COMPUTED_VALUE"""),"191750095 - Approved")</f>
        <v>191750095 - Approved</v>
      </c>
      <c r="C754" s="6">
        <f>IFERROR(__xludf.DUMMYFUNCTION("""COMPUTED_VALUE"""),3.0)</f>
        <v>3</v>
      </c>
      <c r="D754" s="6" t="str">
        <f>IFERROR(__xludf.DUMMYFUNCTION("""COMPUTED_VALUE"""),"Q-10492-00")</f>
        <v>Q-10492-00</v>
      </c>
      <c r="E754" s="6" t="str">
        <f>IFERROR(__xludf.DUMMYFUNCTION("""COMPUTED_VALUE"""),"Amplas lembar")</f>
        <v>Amplas lembar</v>
      </c>
      <c r="F754" s="6">
        <f>IFERROR(__xludf.DUMMYFUNCTION("""COMPUTED_VALUE"""),10.0)</f>
        <v>10</v>
      </c>
      <c r="G754" s="6" t="str">
        <f>IFERROR(__xludf.DUMMYFUNCTION("""COMPUTED_VALUE"""),"Pieces")</f>
        <v>Pieces</v>
      </c>
      <c r="H754" s="6" t="str">
        <f>IFERROR(__xludf.DUMMYFUNCTION("""COMPUTED_VALUE"""),"IDR")</f>
        <v>IDR</v>
      </c>
      <c r="I754" s="11">
        <f>IFERROR(__xludf.DUMMYFUNCTION("""COMPUTED_VALUE"""),5000.0)</f>
        <v>5000</v>
      </c>
      <c r="J754" s="11">
        <f>IFERROR(__xludf.DUMMYFUNCTION("""COMPUTED_VALUE"""),50000.0)</f>
        <v>50000</v>
      </c>
      <c r="K754" s="13">
        <f>IFERROR(__xludf.DUMMYFUNCTION("""COMPUTED_VALUE"""),43560.0)</f>
        <v>43560</v>
      </c>
      <c r="L754" s="6" t="str">
        <f>IFERROR(__xludf.DUMMYFUNCTION("""COMPUTED_VALUE"""),"FIP General")</f>
        <v>FIP General</v>
      </c>
      <c r="M754" s="6" t="str">
        <f>IFERROR(__xludf.DUMMYFUNCTION("""COMPUTED_VALUE"""),"Irwan Sopian")</f>
        <v>Irwan Sopian</v>
      </c>
      <c r="N754" s="6" t="str">
        <f>IFERROR(__xludf.DUMMYFUNCTION("""COMPUTED_VALUE"""),"FIP Engineering")</f>
        <v>FIP Engineering</v>
      </c>
      <c r="O754" s="6" t="str">
        <f>IFERROR(__xludf.DUMMYFUNCTION("""COMPUTED_VALUE"""),"FIP-DOM-ENG-51404-0000000-INA-000000")</f>
        <v>FIP-DOM-ENG-51404-0000000-INA-000000</v>
      </c>
      <c r="P754" s="6" t="str">
        <f>IFERROR(__xludf.DUMMYFUNCTION("""COMPUTED_VALUE"""),"PO Closed")</f>
        <v>PO Closed</v>
      </c>
      <c r="Q754" s="6" t="str">
        <f>IFERROR(__xludf.DUMMYFUNCTION("""COMPUTED_VALUE"""),"GL1903330")</f>
        <v>GL1903330</v>
      </c>
      <c r="R754" s="16">
        <f>IFERROR(__xludf.DUMMYFUNCTION("""COMPUTED_VALUE"""),43530.0)</f>
        <v>43530</v>
      </c>
      <c r="S754" s="6" t="str">
        <f>IFERROR(__xludf.DUMMYFUNCTION("""COMPUTED_VALUE"""),"-")</f>
        <v>-</v>
      </c>
      <c r="T754" s="17">
        <f>IFERROR(__xludf.DUMMYFUNCTION("""COMPUTED_VALUE"""),43546.0)</f>
        <v>43546</v>
      </c>
    </row>
    <row r="755">
      <c r="A755" s="6" t="str">
        <f>IFERROR(__xludf.DUMMYFUNCTION("""COMPUTED_VALUE"""),"191750095-4")</f>
        <v>191750095-4</v>
      </c>
      <c r="B755" s="6" t="str">
        <f>IFERROR(__xludf.DUMMYFUNCTION("""COMPUTED_VALUE"""),"191750095 - Approved")</f>
        <v>191750095 - Approved</v>
      </c>
      <c r="C755" s="6">
        <f>IFERROR(__xludf.DUMMYFUNCTION("""COMPUTED_VALUE"""),4.0)</f>
        <v>4</v>
      </c>
      <c r="D755" s="6" t="str">
        <f>IFERROR(__xludf.DUMMYFUNCTION("""COMPUTED_VALUE"""),"Q-10492-00")</f>
        <v>Q-10492-00</v>
      </c>
      <c r="E755" s="6" t="str">
        <f>IFERROR(__xludf.DUMMYFUNCTION("""COMPUTED_VALUE"""),"Amplas lembar")</f>
        <v>Amplas lembar</v>
      </c>
      <c r="F755" s="6">
        <f>IFERROR(__xludf.DUMMYFUNCTION("""COMPUTED_VALUE"""),10.0)</f>
        <v>10</v>
      </c>
      <c r="G755" s="6" t="str">
        <f>IFERROR(__xludf.DUMMYFUNCTION("""COMPUTED_VALUE"""),"Pieces")</f>
        <v>Pieces</v>
      </c>
      <c r="H755" s="6" t="str">
        <f>IFERROR(__xludf.DUMMYFUNCTION("""COMPUTED_VALUE"""),"IDR")</f>
        <v>IDR</v>
      </c>
      <c r="I755" s="11">
        <f>IFERROR(__xludf.DUMMYFUNCTION("""COMPUTED_VALUE"""),5000.0)</f>
        <v>5000</v>
      </c>
      <c r="J755" s="11">
        <f>IFERROR(__xludf.DUMMYFUNCTION("""COMPUTED_VALUE"""),50000.0)</f>
        <v>50000</v>
      </c>
      <c r="K755" s="13">
        <f>IFERROR(__xludf.DUMMYFUNCTION("""COMPUTED_VALUE"""),43560.0)</f>
        <v>43560</v>
      </c>
      <c r="L755" s="6" t="str">
        <f>IFERROR(__xludf.DUMMYFUNCTION("""COMPUTED_VALUE"""),"FIP General")</f>
        <v>FIP General</v>
      </c>
      <c r="M755" s="6" t="str">
        <f>IFERROR(__xludf.DUMMYFUNCTION("""COMPUTED_VALUE"""),"Irwan Sopian")</f>
        <v>Irwan Sopian</v>
      </c>
      <c r="N755" s="6" t="str">
        <f>IFERROR(__xludf.DUMMYFUNCTION("""COMPUTED_VALUE"""),"FIP Engineering")</f>
        <v>FIP Engineering</v>
      </c>
      <c r="O755" s="6" t="str">
        <f>IFERROR(__xludf.DUMMYFUNCTION("""COMPUTED_VALUE"""),"FIP-DOM-ENG-51404-0000000-INA-000000")</f>
        <v>FIP-DOM-ENG-51404-0000000-INA-000000</v>
      </c>
      <c r="P755" s="6" t="str">
        <f>IFERROR(__xludf.DUMMYFUNCTION("""COMPUTED_VALUE"""),"PO Closed")</f>
        <v>PO Closed</v>
      </c>
      <c r="Q755" s="6" t="str">
        <f>IFERROR(__xludf.DUMMYFUNCTION("""COMPUTED_VALUE"""),"GL1903330")</f>
        <v>GL1903330</v>
      </c>
      <c r="R755" s="16">
        <f>IFERROR(__xludf.DUMMYFUNCTION("""COMPUTED_VALUE"""),43530.0)</f>
        <v>43530</v>
      </c>
      <c r="S755" s="6" t="str">
        <f>IFERROR(__xludf.DUMMYFUNCTION("""COMPUTED_VALUE"""),"-")</f>
        <v>-</v>
      </c>
      <c r="T755" s="13">
        <f>IFERROR(__xludf.DUMMYFUNCTION("""COMPUTED_VALUE"""),43546.0)</f>
        <v>43546</v>
      </c>
    </row>
    <row r="756">
      <c r="A756" s="6" t="str">
        <f>IFERROR(__xludf.DUMMYFUNCTION("""COMPUTED_VALUE"""),"191750095-5")</f>
        <v>191750095-5</v>
      </c>
      <c r="B756" s="6" t="str">
        <f>IFERROR(__xludf.DUMMYFUNCTION("""COMPUTED_VALUE"""),"191750095 - Approved")</f>
        <v>191750095 - Approved</v>
      </c>
      <c r="C756" s="6">
        <f>IFERROR(__xludf.DUMMYFUNCTION("""COMPUTED_VALUE"""),5.0)</f>
        <v>5</v>
      </c>
      <c r="D756" s="6" t="str">
        <f>IFERROR(__xludf.DUMMYFUNCTION("""COMPUTED_VALUE"""),"Q-10492-00")</f>
        <v>Q-10492-00</v>
      </c>
      <c r="E756" s="6" t="str">
        <f>IFERROR(__xludf.DUMMYFUNCTION("""COMPUTED_VALUE"""),"Amplas lembar")</f>
        <v>Amplas lembar</v>
      </c>
      <c r="F756" s="6">
        <f>IFERROR(__xludf.DUMMYFUNCTION("""COMPUTED_VALUE"""),10.0)</f>
        <v>10</v>
      </c>
      <c r="G756" s="6" t="str">
        <f>IFERROR(__xludf.DUMMYFUNCTION("""COMPUTED_VALUE"""),"Pieces")</f>
        <v>Pieces</v>
      </c>
      <c r="H756" s="6" t="str">
        <f>IFERROR(__xludf.DUMMYFUNCTION("""COMPUTED_VALUE"""),"IDR")</f>
        <v>IDR</v>
      </c>
      <c r="I756" s="11">
        <f>IFERROR(__xludf.DUMMYFUNCTION("""COMPUTED_VALUE"""),5000.0)</f>
        <v>5000</v>
      </c>
      <c r="J756" s="11">
        <f>IFERROR(__xludf.DUMMYFUNCTION("""COMPUTED_VALUE"""),50000.0)</f>
        <v>50000</v>
      </c>
      <c r="K756" s="13">
        <f>IFERROR(__xludf.DUMMYFUNCTION("""COMPUTED_VALUE"""),43560.0)</f>
        <v>43560</v>
      </c>
      <c r="L756" s="6" t="str">
        <f>IFERROR(__xludf.DUMMYFUNCTION("""COMPUTED_VALUE"""),"FIP General")</f>
        <v>FIP General</v>
      </c>
      <c r="M756" s="6" t="str">
        <f>IFERROR(__xludf.DUMMYFUNCTION("""COMPUTED_VALUE"""),"Irwan Sopian")</f>
        <v>Irwan Sopian</v>
      </c>
      <c r="N756" s="6" t="str">
        <f>IFERROR(__xludf.DUMMYFUNCTION("""COMPUTED_VALUE"""),"FIP Engineering")</f>
        <v>FIP Engineering</v>
      </c>
      <c r="O756" s="6" t="str">
        <f>IFERROR(__xludf.DUMMYFUNCTION("""COMPUTED_VALUE"""),"FIP-DOM-ENG-51404-0000000-INA-000000")</f>
        <v>FIP-DOM-ENG-51404-0000000-INA-000000</v>
      </c>
      <c r="P756" s="6" t="str">
        <f>IFERROR(__xludf.DUMMYFUNCTION("""COMPUTED_VALUE"""),"PO Closed")</f>
        <v>PO Closed</v>
      </c>
      <c r="Q756" s="6" t="str">
        <f>IFERROR(__xludf.DUMMYFUNCTION("""COMPUTED_VALUE"""),"GL1903330")</f>
        <v>GL1903330</v>
      </c>
      <c r="R756" s="16">
        <f>IFERROR(__xludf.DUMMYFUNCTION("""COMPUTED_VALUE"""),43530.0)</f>
        <v>43530</v>
      </c>
      <c r="S756" s="6" t="str">
        <f>IFERROR(__xludf.DUMMYFUNCTION("""COMPUTED_VALUE"""),"-")</f>
        <v>-</v>
      </c>
      <c r="T756" s="13">
        <f>IFERROR(__xludf.DUMMYFUNCTION("""COMPUTED_VALUE"""),43546.0)</f>
        <v>43546</v>
      </c>
    </row>
    <row r="757">
      <c r="A757" s="6" t="str">
        <f>IFERROR(__xludf.DUMMYFUNCTION("""COMPUTED_VALUE"""),"191750095-6")</f>
        <v>191750095-6</v>
      </c>
      <c r="B757" s="6" t="str">
        <f>IFERROR(__xludf.DUMMYFUNCTION("""COMPUTED_VALUE"""),"191750095 - Approved")</f>
        <v>191750095 - Approved</v>
      </c>
      <c r="C757" s="6">
        <f>IFERROR(__xludf.DUMMYFUNCTION("""COMPUTED_VALUE"""),6.0)</f>
        <v>6</v>
      </c>
      <c r="D757" s="6" t="str">
        <f>IFERROR(__xludf.DUMMYFUNCTION("""COMPUTED_VALUE"""),"Q-10492-00")</f>
        <v>Q-10492-00</v>
      </c>
      <c r="E757" s="6" t="str">
        <f>IFERROR(__xludf.DUMMYFUNCTION("""COMPUTED_VALUE"""),"Amplas lembar")</f>
        <v>Amplas lembar</v>
      </c>
      <c r="F757" s="6">
        <f>IFERROR(__xludf.DUMMYFUNCTION("""COMPUTED_VALUE"""),10.0)</f>
        <v>10</v>
      </c>
      <c r="G757" s="6" t="str">
        <f>IFERROR(__xludf.DUMMYFUNCTION("""COMPUTED_VALUE"""),"Pieces")</f>
        <v>Pieces</v>
      </c>
      <c r="H757" s="6" t="str">
        <f>IFERROR(__xludf.DUMMYFUNCTION("""COMPUTED_VALUE"""),"IDR")</f>
        <v>IDR</v>
      </c>
      <c r="I757" s="11">
        <f>IFERROR(__xludf.DUMMYFUNCTION("""COMPUTED_VALUE"""),5000.0)</f>
        <v>5000</v>
      </c>
      <c r="J757" s="11">
        <f>IFERROR(__xludf.DUMMYFUNCTION("""COMPUTED_VALUE"""),50000.0)</f>
        <v>50000</v>
      </c>
      <c r="K757" s="13">
        <f>IFERROR(__xludf.DUMMYFUNCTION("""COMPUTED_VALUE"""),43560.0)</f>
        <v>43560</v>
      </c>
      <c r="L757" s="6" t="str">
        <f>IFERROR(__xludf.DUMMYFUNCTION("""COMPUTED_VALUE"""),"FIP General")</f>
        <v>FIP General</v>
      </c>
      <c r="M757" s="6" t="str">
        <f>IFERROR(__xludf.DUMMYFUNCTION("""COMPUTED_VALUE"""),"Irwan Sopian")</f>
        <v>Irwan Sopian</v>
      </c>
      <c r="N757" s="6" t="str">
        <f>IFERROR(__xludf.DUMMYFUNCTION("""COMPUTED_VALUE"""),"FIP Engineering")</f>
        <v>FIP Engineering</v>
      </c>
      <c r="O757" s="6" t="str">
        <f>IFERROR(__xludf.DUMMYFUNCTION("""COMPUTED_VALUE"""),"FIP-DOM-ENG-51404-0000000-INA-000000")</f>
        <v>FIP-DOM-ENG-51404-0000000-INA-000000</v>
      </c>
      <c r="P757" s="6" t="str">
        <f>IFERROR(__xludf.DUMMYFUNCTION("""COMPUTED_VALUE"""),"PO Closed")</f>
        <v>PO Closed</v>
      </c>
      <c r="Q757" s="6" t="str">
        <f>IFERROR(__xludf.DUMMYFUNCTION("""COMPUTED_VALUE"""),"GL1903330")</f>
        <v>GL1903330</v>
      </c>
      <c r="R757" s="16">
        <f>IFERROR(__xludf.DUMMYFUNCTION("""COMPUTED_VALUE"""),43530.0)</f>
        <v>43530</v>
      </c>
      <c r="S757" s="6" t="str">
        <f>IFERROR(__xludf.DUMMYFUNCTION("""COMPUTED_VALUE"""),"-")</f>
        <v>-</v>
      </c>
      <c r="T757" s="13">
        <f>IFERROR(__xludf.DUMMYFUNCTION("""COMPUTED_VALUE"""),43546.0)</f>
        <v>43546</v>
      </c>
    </row>
    <row r="758">
      <c r="A758" s="6" t="str">
        <f>IFERROR(__xludf.DUMMYFUNCTION("""COMPUTED_VALUE"""),"191750095-7")</f>
        <v>191750095-7</v>
      </c>
      <c r="B758" s="6" t="str">
        <f>IFERROR(__xludf.DUMMYFUNCTION("""COMPUTED_VALUE"""),"191750095 - Approved")</f>
        <v>191750095 - Approved</v>
      </c>
      <c r="C758" s="6">
        <f>IFERROR(__xludf.DUMMYFUNCTION("""COMPUTED_VALUE"""),7.0)</f>
        <v>7</v>
      </c>
      <c r="D758" s="6" t="str">
        <f>IFERROR(__xludf.DUMMYFUNCTION("""COMPUTED_VALUE"""),"P-13418-00")</f>
        <v>P-13418-00</v>
      </c>
      <c r="E758" s="6" t="str">
        <f>IFERROR(__xludf.DUMMYFUNCTION("""COMPUTED_VALUE"""),"Non-Woven abrasive Size : 6 ""x 2"" 7; ; ;")</f>
        <v>Non-Woven abrasive Size : 6 "x 2" 7; ; ;</v>
      </c>
      <c r="F758" s="6">
        <f>IFERROR(__xludf.DUMMYFUNCTION("""COMPUTED_VALUE"""),5.0)</f>
        <v>5</v>
      </c>
      <c r="G758" s="6" t="str">
        <f>IFERROR(__xludf.DUMMYFUNCTION("""COMPUTED_VALUE"""),"Pieces")</f>
        <v>Pieces</v>
      </c>
      <c r="H758" s="6" t="str">
        <f>IFERROR(__xludf.DUMMYFUNCTION("""COMPUTED_VALUE"""),"IDR")</f>
        <v>IDR</v>
      </c>
      <c r="I758" s="11">
        <f>IFERROR(__xludf.DUMMYFUNCTION("""COMPUTED_VALUE"""),70000.0)</f>
        <v>70000</v>
      </c>
      <c r="J758" s="11">
        <f>IFERROR(__xludf.DUMMYFUNCTION("""COMPUTED_VALUE"""),350000.0)</f>
        <v>350000</v>
      </c>
      <c r="K758" s="13">
        <f>IFERROR(__xludf.DUMMYFUNCTION("""COMPUTED_VALUE"""),43560.0)</f>
        <v>43560</v>
      </c>
      <c r="L758" s="6" t="str">
        <f>IFERROR(__xludf.DUMMYFUNCTION("""COMPUTED_VALUE"""),"FIP General")</f>
        <v>FIP General</v>
      </c>
      <c r="M758" s="6" t="str">
        <f>IFERROR(__xludf.DUMMYFUNCTION("""COMPUTED_VALUE"""),"Irwan Sopian")</f>
        <v>Irwan Sopian</v>
      </c>
      <c r="N758" s="6" t="str">
        <f>IFERROR(__xludf.DUMMYFUNCTION("""COMPUTED_VALUE"""),"FIP Engineering")</f>
        <v>FIP Engineering</v>
      </c>
      <c r="O758" s="6" t="str">
        <f>IFERROR(__xludf.DUMMYFUNCTION("""COMPUTED_VALUE"""),"FIP-DOM-ENG-51404-0000000-INA-000000")</f>
        <v>FIP-DOM-ENG-51404-0000000-INA-000000</v>
      </c>
      <c r="P758" s="6" t="str">
        <f>IFERROR(__xludf.DUMMYFUNCTION("""COMPUTED_VALUE"""),"PO Closed")</f>
        <v>PO Closed</v>
      </c>
      <c r="Q758" s="6" t="str">
        <f>IFERROR(__xludf.DUMMYFUNCTION("""COMPUTED_VALUE"""),"GL1903330")</f>
        <v>GL1903330</v>
      </c>
      <c r="R758" s="16">
        <f>IFERROR(__xludf.DUMMYFUNCTION("""COMPUTED_VALUE"""),43530.0)</f>
        <v>43530</v>
      </c>
      <c r="S758" s="6" t="str">
        <f>IFERROR(__xludf.DUMMYFUNCTION("""COMPUTED_VALUE"""),"-")</f>
        <v>-</v>
      </c>
      <c r="T758" s="13">
        <f>IFERROR(__xludf.DUMMYFUNCTION("""COMPUTED_VALUE"""),43546.0)</f>
        <v>43546</v>
      </c>
    </row>
    <row r="759">
      <c r="A759" s="6" t="str">
        <f>IFERROR(__xludf.DUMMYFUNCTION("""COMPUTED_VALUE"""),"191750095-8")</f>
        <v>191750095-8</v>
      </c>
      <c r="B759" s="6" t="str">
        <f>IFERROR(__xludf.DUMMYFUNCTION("""COMPUTED_VALUE"""),"191750095 - Approved")</f>
        <v>191750095 - Approved</v>
      </c>
      <c r="C759" s="6">
        <f>IFERROR(__xludf.DUMMYFUNCTION("""COMPUTED_VALUE"""),8.0)</f>
        <v>8</v>
      </c>
      <c r="D759" s="6" t="str">
        <f>IFERROR(__xludf.DUMMYFUNCTION("""COMPUTED_VALUE"""),"Q-50000-00")</f>
        <v>Q-50000-00</v>
      </c>
      <c r="E759" s="6" t="str">
        <f>IFERROR(__xludf.DUMMYFUNCTION("""COMPUTED_VALUE"""),"Engsel Pintu SS")</f>
        <v>Engsel Pintu SS</v>
      </c>
      <c r="F759" s="6">
        <f>IFERROR(__xludf.DUMMYFUNCTION("""COMPUTED_VALUE"""),3.0)</f>
        <v>3</v>
      </c>
      <c r="G759" s="6" t="str">
        <f>IFERROR(__xludf.DUMMYFUNCTION("""COMPUTED_VALUE"""),"Pieces")</f>
        <v>Pieces</v>
      </c>
      <c r="H759" s="6" t="str">
        <f>IFERROR(__xludf.DUMMYFUNCTION("""COMPUTED_VALUE"""),"IDR")</f>
        <v>IDR</v>
      </c>
      <c r="I759" s="11">
        <f>IFERROR(__xludf.DUMMYFUNCTION("""COMPUTED_VALUE"""),95000.0)</f>
        <v>95000</v>
      </c>
      <c r="J759" s="11">
        <f>IFERROR(__xludf.DUMMYFUNCTION("""COMPUTED_VALUE"""),285000.0)</f>
        <v>285000</v>
      </c>
      <c r="K759" s="13">
        <f>IFERROR(__xludf.DUMMYFUNCTION("""COMPUTED_VALUE"""),43553.0)</f>
        <v>43553</v>
      </c>
      <c r="L759" s="6" t="str">
        <f>IFERROR(__xludf.DUMMYFUNCTION("""COMPUTED_VALUE"""),"FIP General")</f>
        <v>FIP General</v>
      </c>
      <c r="M759" s="6" t="str">
        <f>IFERROR(__xludf.DUMMYFUNCTION("""COMPUTED_VALUE"""),"Irwan Sopian")</f>
        <v>Irwan Sopian</v>
      </c>
      <c r="N759" s="6" t="str">
        <f>IFERROR(__xludf.DUMMYFUNCTION("""COMPUTED_VALUE"""),"FIP Engineering")</f>
        <v>FIP Engineering</v>
      </c>
      <c r="O759" s="6" t="str">
        <f>IFERROR(__xludf.DUMMYFUNCTION("""COMPUTED_VALUE"""),"FIP-DOM-ENG-51404-0000000-INA-000000")</f>
        <v>FIP-DOM-ENG-51404-0000000-INA-000000</v>
      </c>
      <c r="P759" s="6" t="str">
        <f>IFERROR(__xludf.DUMMYFUNCTION("""COMPUTED_VALUE"""),"PO Closed")</f>
        <v>PO Closed</v>
      </c>
      <c r="Q759" s="6" t="str">
        <f>IFERROR(__xludf.DUMMYFUNCTION("""COMPUTED_VALUE"""),"GL1903017")</f>
        <v>GL1903017</v>
      </c>
      <c r="R759" s="16">
        <f>IFERROR(__xludf.DUMMYFUNCTION("""COMPUTED_VALUE"""),43530.0)</f>
        <v>43530</v>
      </c>
      <c r="S759" s="6" t="str">
        <f>IFERROR(__xludf.DUMMYFUNCTION("""COMPUTED_VALUE"""),"-")</f>
        <v>-</v>
      </c>
      <c r="T759" s="17">
        <f>IFERROR(__xludf.DUMMYFUNCTION("""COMPUTED_VALUE"""),43546.0)</f>
        <v>43546</v>
      </c>
    </row>
    <row r="760">
      <c r="A760" s="6" t="str">
        <f>IFERROR(__xludf.DUMMYFUNCTION("""COMPUTED_VALUE"""),"191750091-1")</f>
        <v>191750091-1</v>
      </c>
      <c r="B760" s="6" t="str">
        <f>IFERROR(__xludf.DUMMYFUNCTION("""COMPUTED_VALUE"""),"191750091 - Approved")</f>
        <v>191750091 - Approved</v>
      </c>
      <c r="C760" s="6">
        <f>IFERROR(__xludf.DUMMYFUNCTION("""COMPUTED_VALUE"""),1.0)</f>
        <v>1</v>
      </c>
      <c r="D760" s="6" t="str">
        <f>IFERROR(__xludf.DUMMYFUNCTION("""COMPUTED_VALUE"""),"R-20002-00")</f>
        <v>R-20002-00</v>
      </c>
      <c r="E760" s="6" t="str">
        <f>IFERROR(__xludf.DUMMYFUNCTION("""COMPUTED_VALUE"""),"Pemasangan Speaker Untuk Paging emergency area AHU, Dry Lab dan Micro Lab")</f>
        <v>Pemasangan Speaker Untuk Paging emergency area AHU, Dry Lab dan Micro Lab</v>
      </c>
      <c r="F760" s="6">
        <f>IFERROR(__xludf.DUMMYFUNCTION("""COMPUTED_VALUE"""),1.0)</f>
        <v>1</v>
      </c>
      <c r="G760" s="6" t="str">
        <f>IFERROR(__xludf.DUMMYFUNCTION("""COMPUTED_VALUE"""),"Lot")</f>
        <v>Lot</v>
      </c>
      <c r="H760" s="6" t="str">
        <f>IFERROR(__xludf.DUMMYFUNCTION("""COMPUTED_VALUE"""),"IDR")</f>
        <v>IDR</v>
      </c>
      <c r="I760" s="11">
        <f>IFERROR(__xludf.DUMMYFUNCTION("""COMPUTED_VALUE"""),8000000.0)</f>
        <v>8000000</v>
      </c>
      <c r="J760" s="11">
        <f>IFERROR(__xludf.DUMMYFUNCTION("""COMPUTED_VALUE"""),8000000.0)</f>
        <v>8000000</v>
      </c>
      <c r="K760" s="13">
        <f>IFERROR(__xludf.DUMMYFUNCTION("""COMPUTED_VALUE"""),43623.0)</f>
        <v>43623</v>
      </c>
      <c r="L760" s="6" t="str">
        <f>IFERROR(__xludf.DUMMYFUNCTION("""COMPUTED_VALUE"""),"FIP General")</f>
        <v>FIP General</v>
      </c>
      <c r="M760" s="6" t="str">
        <f>IFERROR(__xludf.DUMMYFUNCTION("""COMPUTED_VALUE"""),"Ronald Effendi")</f>
        <v>Ronald Effendi</v>
      </c>
      <c r="N760" s="6" t="str">
        <f>IFERROR(__xludf.DUMMYFUNCTION("""COMPUTED_VALUE"""),"FIP Engineering")</f>
        <v>FIP Engineering</v>
      </c>
      <c r="O760" s="6" t="str">
        <f>IFERROR(__xludf.DUMMYFUNCTION("""COMPUTED_VALUE"""),"FIP-DOM-ENG-13405-EQNB191-INA-000000")</f>
        <v>FIP-DOM-ENG-13405-EQNB191-INA-000000</v>
      </c>
      <c r="P760" s="6" t="str">
        <f>IFERROR(__xludf.DUMMYFUNCTION("""COMPUTED_VALUE"""),"PO Closed")</f>
        <v>PO Closed</v>
      </c>
      <c r="Q760" s="6" t="str">
        <f>IFERROR(__xludf.DUMMYFUNCTION("""COMPUTED_VALUE"""),"GL1908050")</f>
        <v>GL1908050</v>
      </c>
      <c r="R760" s="16">
        <f>IFERROR(__xludf.DUMMYFUNCTION("""COMPUTED_VALUE"""),43530.0)</f>
        <v>43530</v>
      </c>
      <c r="S760" s="6" t="str">
        <f>IFERROR(__xludf.DUMMYFUNCTION("""COMPUTED_VALUE"""),"-")</f>
        <v>-</v>
      </c>
      <c r="T760" s="6" t="str">
        <f>IFERROR(__xludf.DUMMYFUNCTION("""COMPUTED_VALUE"""),"-")</f>
        <v>-</v>
      </c>
    </row>
    <row r="761">
      <c r="A761" s="6" t="str">
        <f>IFERROR(__xludf.DUMMYFUNCTION("""COMPUTED_VALUE"""),"191750088-3")</f>
        <v>191750088-3</v>
      </c>
      <c r="B761" s="6" t="str">
        <f>IFERROR(__xludf.DUMMYFUNCTION("""COMPUTED_VALUE"""),"191750088 - Approved")</f>
        <v>191750088 - Approved</v>
      </c>
      <c r="C761" s="6">
        <f>IFERROR(__xludf.DUMMYFUNCTION("""COMPUTED_VALUE"""),3.0)</f>
        <v>3</v>
      </c>
      <c r="D761" s="6" t="str">
        <f>IFERROR(__xludf.DUMMYFUNCTION("""COMPUTED_VALUE"""),"P-13648-00")</f>
        <v>P-13648-00</v>
      </c>
      <c r="E761" s="6" t="str">
        <f>IFERROR(__xludf.DUMMYFUNCTION("""COMPUTED_VALUE"""),"Quick Coupler SM PM 20 Drat 1/4 inch")</f>
        <v>Quick Coupler SM PM 20 Drat 1/4 inch</v>
      </c>
      <c r="F761" s="6">
        <f>IFERROR(__xludf.DUMMYFUNCTION("""COMPUTED_VALUE"""),2.0)</f>
        <v>2</v>
      </c>
      <c r="G761" s="6" t="str">
        <f>IFERROR(__xludf.DUMMYFUNCTION("""COMPUTED_VALUE"""),"Pieces")</f>
        <v>Pieces</v>
      </c>
      <c r="H761" s="6" t="str">
        <f>IFERROR(__xludf.DUMMYFUNCTION("""COMPUTED_VALUE"""),"IDR")</f>
        <v>IDR</v>
      </c>
      <c r="I761" s="11">
        <f>IFERROR(__xludf.DUMMYFUNCTION("""COMPUTED_VALUE"""),60000.0)</f>
        <v>60000</v>
      </c>
      <c r="J761" s="11">
        <f>IFERROR(__xludf.DUMMYFUNCTION("""COMPUTED_VALUE"""),120000.0)</f>
        <v>120000</v>
      </c>
      <c r="K761" s="13">
        <f>IFERROR(__xludf.DUMMYFUNCTION("""COMPUTED_VALUE"""),43553.0)</f>
        <v>43553</v>
      </c>
      <c r="L761" s="6" t="str">
        <f>IFERROR(__xludf.DUMMYFUNCTION("""COMPUTED_VALUE"""),"FIP Engineering")</f>
        <v>FIP Engineering</v>
      </c>
      <c r="M761" s="6" t="str">
        <f>IFERROR(__xludf.DUMMYFUNCTION("""COMPUTED_VALUE"""),"Irwan Sopian")</f>
        <v>Irwan Sopian</v>
      </c>
      <c r="N761" s="6" t="str">
        <f>IFERROR(__xludf.DUMMYFUNCTION("""COMPUTED_VALUE"""),"FIP Engineering")</f>
        <v>FIP Engineering</v>
      </c>
      <c r="O761" s="6" t="str">
        <f>IFERROR(__xludf.DUMMYFUNCTION("""COMPUTED_VALUE"""),"FIP-DOM-000-11304-OS00001-INA-000000")</f>
        <v>FIP-DOM-000-11304-OS00001-INA-000000</v>
      </c>
      <c r="P761" s="6" t="str">
        <f>IFERROR(__xludf.DUMMYFUNCTION("""COMPUTED_VALUE"""),"PO Closed")</f>
        <v>PO Closed</v>
      </c>
      <c r="Q761" s="6" t="str">
        <f>IFERROR(__xludf.DUMMYFUNCTION("""COMPUTED_VALUE"""),"GL1903017")</f>
        <v>GL1903017</v>
      </c>
      <c r="R761" s="16">
        <f>IFERROR(__xludf.DUMMYFUNCTION("""COMPUTED_VALUE"""),43530.0)</f>
        <v>43530</v>
      </c>
      <c r="S761" s="6" t="str">
        <f>IFERROR(__xludf.DUMMYFUNCTION("""COMPUTED_VALUE"""),"-")</f>
        <v>-</v>
      </c>
      <c r="T761" s="13">
        <f>IFERROR(__xludf.DUMMYFUNCTION("""COMPUTED_VALUE"""),43546.0)</f>
        <v>43546</v>
      </c>
    </row>
    <row r="762">
      <c r="A762" s="6" t="str">
        <f>IFERROR(__xludf.DUMMYFUNCTION("""COMPUTED_VALUE"""),"191750097-1")</f>
        <v>191750097-1</v>
      </c>
      <c r="B762" s="6" t="str">
        <f>IFERROR(__xludf.DUMMYFUNCTION("""COMPUTED_VALUE"""),"191750097 - Approved")</f>
        <v>191750097 - Approved</v>
      </c>
      <c r="C762" s="6">
        <f>IFERROR(__xludf.DUMMYFUNCTION("""COMPUTED_VALUE"""),1.0)</f>
        <v>1</v>
      </c>
      <c r="D762" s="6" t="str">
        <f>IFERROR(__xludf.DUMMYFUNCTION("""COMPUTED_VALUE"""),"S-60002-00")</f>
        <v>S-60002-00</v>
      </c>
      <c r="E762" s="6" t="str">
        <f>IFERROR(__xludf.DUMMYFUNCTION("""COMPUTED_VALUE"""),"Service Charge untuk Konfigurasi dan Pemasangan 2 unit 8-port ""Smart Man")</f>
        <v>Service Charge untuk Konfigurasi dan Pemasangan 2 unit 8-port "Smart Man</v>
      </c>
      <c r="F762" s="6">
        <f>IFERROR(__xludf.DUMMYFUNCTION("""COMPUTED_VALUE"""),1.0)</f>
        <v>1</v>
      </c>
      <c r="G762" s="6" t="str">
        <f>IFERROR(__xludf.DUMMYFUNCTION("""COMPUTED_VALUE"""),"Lot")</f>
        <v>Lot</v>
      </c>
      <c r="H762" s="6" t="str">
        <f>IFERROR(__xludf.DUMMYFUNCTION("""COMPUTED_VALUE"""),"IDR")</f>
        <v>IDR</v>
      </c>
      <c r="I762" s="11">
        <f>IFERROR(__xludf.DUMMYFUNCTION("""COMPUTED_VALUE"""),4324000.0)</f>
        <v>4324000</v>
      </c>
      <c r="J762" s="11">
        <f>IFERROR(__xludf.DUMMYFUNCTION("""COMPUTED_VALUE"""),4324000.0)</f>
        <v>4324000</v>
      </c>
      <c r="K762" s="13">
        <f>IFERROR(__xludf.DUMMYFUNCTION("""COMPUTED_VALUE"""),43553.0)</f>
        <v>43553</v>
      </c>
      <c r="L762" s="6" t="str">
        <f>IFERROR(__xludf.DUMMYFUNCTION("""COMPUTED_VALUE"""),"FIP General")</f>
        <v>FIP General</v>
      </c>
      <c r="M762" s="6" t="str">
        <f>IFERROR(__xludf.DUMMYFUNCTION("""COMPUTED_VALUE"""),"Irwan Sopian")</f>
        <v>Irwan Sopian</v>
      </c>
      <c r="N762" s="6" t="str">
        <f>IFERROR(__xludf.DUMMYFUNCTION("""COMPUTED_VALUE"""),"FIP Engineering")</f>
        <v>FIP Engineering</v>
      </c>
      <c r="O762" s="6" t="str">
        <f>IFERROR(__xludf.DUMMYFUNCTION("""COMPUTED_VALUE"""),"FIP-DOM-ENG-51508-0000000-INA-000000")</f>
        <v>FIP-DOM-ENG-51508-0000000-INA-000000</v>
      </c>
      <c r="P762" s="6" t="str">
        <f>IFERROR(__xludf.DUMMYFUNCTION("""COMPUTED_VALUE"""),"PO Closed")</f>
        <v>PO Closed</v>
      </c>
      <c r="Q762" s="6" t="str">
        <f>IFERROR(__xludf.DUMMYFUNCTION("""COMPUTED_VALUE"""),"GL1903020")</f>
        <v>GL1903020</v>
      </c>
      <c r="R762" s="16">
        <f>IFERROR(__xludf.DUMMYFUNCTION("""COMPUTED_VALUE"""),43532.0)</f>
        <v>43532</v>
      </c>
      <c r="S762" s="6" t="str">
        <f>IFERROR(__xludf.DUMMYFUNCTION("""COMPUTED_VALUE"""),"-")</f>
        <v>-</v>
      </c>
      <c r="T762" s="13">
        <f>IFERROR(__xludf.DUMMYFUNCTION("""COMPUTED_VALUE"""),43553.0)</f>
        <v>43553</v>
      </c>
    </row>
    <row r="763">
      <c r="A763" s="6" t="str">
        <f>IFERROR(__xludf.DUMMYFUNCTION("""COMPUTED_VALUE"""),"191750100-1")</f>
        <v>191750100-1</v>
      </c>
      <c r="B763" s="6" t="str">
        <f>IFERROR(__xludf.DUMMYFUNCTION("""COMPUTED_VALUE"""),"191750100 - Approved")</f>
        <v>191750100 - Approved</v>
      </c>
      <c r="C763" s="6">
        <f>IFERROR(__xludf.DUMMYFUNCTION("""COMPUTED_VALUE"""),1.0)</f>
        <v>1</v>
      </c>
      <c r="D763" s="6" t="str">
        <f>IFERROR(__xludf.DUMMYFUNCTION("""COMPUTED_VALUE"""),"O-16725-00")</f>
        <v>O-16725-00</v>
      </c>
      <c r="E763" s="6" t="str">
        <f>IFERROR(__xludf.DUMMYFUNCTION("""COMPUTED_VALUE"""),"3 Way Ball Valve SS304 3/4 inch c/w Pneumatic Actuator Selenoid 24 VDC")</f>
        <v>3 Way Ball Valve SS304 3/4 inch c/w Pneumatic Actuator Selenoid 24 VDC</v>
      </c>
      <c r="F763" s="6">
        <f>IFERROR(__xludf.DUMMYFUNCTION("""COMPUTED_VALUE"""),1.0)</f>
        <v>1</v>
      </c>
      <c r="G763" s="6" t="str">
        <f>IFERROR(__xludf.DUMMYFUNCTION("""COMPUTED_VALUE"""),"Unit")</f>
        <v>Unit</v>
      </c>
      <c r="H763" s="6" t="str">
        <f>IFERROR(__xludf.DUMMYFUNCTION("""COMPUTED_VALUE"""),"IDR")</f>
        <v>IDR</v>
      </c>
      <c r="I763" s="11">
        <f>IFERROR(__xludf.DUMMYFUNCTION("""COMPUTED_VALUE"""),2300000.0)</f>
        <v>2300000</v>
      </c>
      <c r="J763" s="11">
        <f>IFERROR(__xludf.DUMMYFUNCTION("""COMPUTED_VALUE"""),2300000.0)</f>
        <v>2300000</v>
      </c>
      <c r="K763" s="13">
        <f>IFERROR(__xludf.DUMMYFUNCTION("""COMPUTED_VALUE"""),43574.0)</f>
        <v>43574</v>
      </c>
      <c r="L763" s="6" t="str">
        <f>IFERROR(__xludf.DUMMYFUNCTION("""COMPUTED_VALUE"""),"FIP Engineering")</f>
        <v>FIP Engineering</v>
      </c>
      <c r="M763" s="6" t="str">
        <f>IFERROR(__xludf.DUMMYFUNCTION("""COMPUTED_VALUE"""),"Irwan Sopian")</f>
        <v>Irwan Sopian</v>
      </c>
      <c r="N763" s="6" t="str">
        <f>IFERROR(__xludf.DUMMYFUNCTION("""COMPUTED_VALUE"""),"FIP Engineering")</f>
        <v>FIP Engineering</v>
      </c>
      <c r="O763" s="6" t="str">
        <f>IFERROR(__xludf.DUMMYFUNCTION("""COMPUTED_VALUE"""),"FIP-DOM-000-11304-OS00001-INA-000000")</f>
        <v>FIP-DOM-000-11304-OS00001-INA-000000</v>
      </c>
      <c r="P763" s="6" t="str">
        <f>IFERROR(__xludf.DUMMYFUNCTION("""COMPUTED_VALUE"""),"PO Closed")</f>
        <v>PO Closed</v>
      </c>
      <c r="Q763" s="6" t="str">
        <f>IFERROR(__xludf.DUMMYFUNCTION("""COMPUTED_VALUE"""),"GL1903029")</f>
        <v>GL1903029</v>
      </c>
      <c r="R763" s="16">
        <f>IFERROR(__xludf.DUMMYFUNCTION("""COMPUTED_VALUE"""),43535.0)</f>
        <v>43535</v>
      </c>
      <c r="S763" s="6" t="str">
        <f>IFERROR(__xludf.DUMMYFUNCTION("""COMPUTED_VALUE"""),"-")</f>
        <v>-</v>
      </c>
      <c r="T763" s="13">
        <f>IFERROR(__xludf.DUMMYFUNCTION("""COMPUTED_VALUE"""),43549.0)</f>
        <v>43549</v>
      </c>
    </row>
    <row r="764">
      <c r="A764" s="6" t="str">
        <f>IFERROR(__xludf.DUMMYFUNCTION("""COMPUTED_VALUE"""),"191750099-1")</f>
        <v>191750099-1</v>
      </c>
      <c r="B764" s="6" t="str">
        <f>IFERROR(__xludf.DUMMYFUNCTION("""COMPUTED_VALUE"""),"191750099 - Approved")</f>
        <v>191750099 - Approved</v>
      </c>
      <c r="C764" s="6">
        <f>IFERROR(__xludf.DUMMYFUNCTION("""COMPUTED_VALUE"""),1.0)</f>
        <v>1</v>
      </c>
      <c r="D764" s="6" t="str">
        <f>IFERROR(__xludf.DUMMYFUNCTION("""COMPUTED_VALUE"""),"P-12143-00")</f>
        <v>P-12143-00</v>
      </c>
      <c r="E764" s="6" t="str">
        <f>IFERROR(__xludf.DUMMYFUNCTION("""COMPUTED_VALUE"""),"Double nepple Kuningan 1/2inch")</f>
        <v>Double nepple Kuningan 1/2inch</v>
      </c>
      <c r="F764" s="6">
        <f>IFERROR(__xludf.DUMMYFUNCTION("""COMPUTED_VALUE"""),4.0)</f>
        <v>4</v>
      </c>
      <c r="G764" s="6" t="str">
        <f>IFERROR(__xludf.DUMMYFUNCTION("""COMPUTED_VALUE"""),"Pieces")</f>
        <v>Pieces</v>
      </c>
      <c r="H764" s="6" t="str">
        <f>IFERROR(__xludf.DUMMYFUNCTION("""COMPUTED_VALUE"""),"IDR")</f>
        <v>IDR</v>
      </c>
      <c r="I764" s="11">
        <f>IFERROR(__xludf.DUMMYFUNCTION("""COMPUTED_VALUE"""),20000.0)</f>
        <v>20000</v>
      </c>
      <c r="J764" s="11">
        <f>IFERROR(__xludf.DUMMYFUNCTION("""COMPUTED_VALUE"""),80000.0)</f>
        <v>80000</v>
      </c>
      <c r="K764" s="13">
        <f>IFERROR(__xludf.DUMMYFUNCTION("""COMPUTED_VALUE"""),43574.0)</f>
        <v>43574</v>
      </c>
      <c r="L764" s="6" t="str">
        <f>IFERROR(__xludf.DUMMYFUNCTION("""COMPUTED_VALUE"""),"FIP Engineering")</f>
        <v>FIP Engineering</v>
      </c>
      <c r="M764" s="6" t="str">
        <f>IFERROR(__xludf.DUMMYFUNCTION("""COMPUTED_VALUE"""),"Irwan Sopian")</f>
        <v>Irwan Sopian</v>
      </c>
      <c r="N764" s="6" t="str">
        <f>IFERROR(__xludf.DUMMYFUNCTION("""COMPUTED_VALUE"""),"FIP Engineering")</f>
        <v>FIP Engineering</v>
      </c>
      <c r="O764" s="6" t="str">
        <f>IFERROR(__xludf.DUMMYFUNCTION("""COMPUTED_VALUE"""),"FIP-DOM-000-11304-OS00001-INA-000000")</f>
        <v>FIP-DOM-000-11304-OS00001-INA-000000</v>
      </c>
      <c r="P764" s="6" t="str">
        <f>IFERROR(__xludf.DUMMYFUNCTION("""COMPUTED_VALUE"""),"PO Closed")</f>
        <v>PO Closed</v>
      </c>
      <c r="Q764" s="6" t="str">
        <f>IFERROR(__xludf.DUMMYFUNCTION("""COMPUTED_VALUE"""),"GL1903334")</f>
        <v>GL1903334</v>
      </c>
      <c r="R764" s="16">
        <f>IFERROR(__xludf.DUMMYFUNCTION("""COMPUTED_VALUE"""),43535.0)</f>
        <v>43535</v>
      </c>
      <c r="S764" s="6" t="str">
        <f>IFERROR(__xludf.DUMMYFUNCTION("""COMPUTED_VALUE"""),"-")</f>
        <v>-</v>
      </c>
      <c r="T764" s="13">
        <f>IFERROR(__xludf.DUMMYFUNCTION("""COMPUTED_VALUE"""),43564.0)</f>
        <v>43564</v>
      </c>
    </row>
    <row r="765">
      <c r="A765" s="6" t="str">
        <f>IFERROR(__xludf.DUMMYFUNCTION("""COMPUTED_VALUE"""),"191750099-2")</f>
        <v>191750099-2</v>
      </c>
      <c r="B765" s="6" t="str">
        <f>IFERROR(__xludf.DUMMYFUNCTION("""COMPUTED_VALUE"""),"191750099 - Approved")</f>
        <v>191750099 - Approved</v>
      </c>
      <c r="C765" s="6">
        <f>IFERROR(__xludf.DUMMYFUNCTION("""COMPUTED_VALUE"""),2.0)</f>
        <v>2</v>
      </c>
      <c r="D765" s="6" t="str">
        <f>IFERROR(__xludf.DUMMYFUNCTION("""COMPUTED_VALUE"""),"Q-10486-00")</f>
        <v>Q-10486-00</v>
      </c>
      <c r="E765" s="6" t="str">
        <f>IFERROR(__xludf.DUMMYFUNCTION("""COMPUTED_VALUE"""),"Neple selang Kuningan 1/2 inch x 1/2 inch")</f>
        <v>Neple selang Kuningan 1/2 inch x 1/2 inch</v>
      </c>
      <c r="F765" s="6">
        <f>IFERROR(__xludf.DUMMYFUNCTION("""COMPUTED_VALUE"""),4.0)</f>
        <v>4</v>
      </c>
      <c r="G765" s="6" t="str">
        <f>IFERROR(__xludf.DUMMYFUNCTION("""COMPUTED_VALUE"""),"Pieces")</f>
        <v>Pieces</v>
      </c>
      <c r="H765" s="6" t="str">
        <f>IFERROR(__xludf.DUMMYFUNCTION("""COMPUTED_VALUE"""),"IDR")</f>
        <v>IDR</v>
      </c>
      <c r="I765" s="11">
        <f>IFERROR(__xludf.DUMMYFUNCTION("""COMPUTED_VALUE"""),15000.0)</f>
        <v>15000</v>
      </c>
      <c r="J765" s="11">
        <f>IFERROR(__xludf.DUMMYFUNCTION("""COMPUTED_VALUE"""),60000.0)</f>
        <v>60000</v>
      </c>
      <c r="K765" s="17">
        <f>IFERROR(__xludf.DUMMYFUNCTION("""COMPUTED_VALUE"""),43574.0)</f>
        <v>43574</v>
      </c>
      <c r="L765" s="6" t="str">
        <f>IFERROR(__xludf.DUMMYFUNCTION("""COMPUTED_VALUE"""),"FIP General")</f>
        <v>FIP General</v>
      </c>
      <c r="M765" s="6" t="str">
        <f>IFERROR(__xludf.DUMMYFUNCTION("""COMPUTED_VALUE"""),"Irwan Sopian")</f>
        <v>Irwan Sopian</v>
      </c>
      <c r="N765" s="6" t="str">
        <f>IFERROR(__xludf.DUMMYFUNCTION("""COMPUTED_VALUE"""),"FIP Engineering")</f>
        <v>FIP Engineering</v>
      </c>
      <c r="O765" s="6" t="str">
        <f>IFERROR(__xludf.DUMMYFUNCTION("""COMPUTED_VALUE"""),"FIP-DOM-ENG-51502-0000000-INA-000000")</f>
        <v>FIP-DOM-ENG-51502-0000000-INA-000000</v>
      </c>
      <c r="P765" s="6" t="str">
        <f>IFERROR(__xludf.DUMMYFUNCTION("""COMPUTED_VALUE"""),"PO Closed")</f>
        <v>PO Closed</v>
      </c>
      <c r="Q765" s="6" t="str">
        <f>IFERROR(__xludf.DUMMYFUNCTION("""COMPUTED_VALUE"""),"GL1903334")</f>
        <v>GL1903334</v>
      </c>
      <c r="R765" s="16">
        <f>IFERROR(__xludf.DUMMYFUNCTION("""COMPUTED_VALUE"""),43535.0)</f>
        <v>43535</v>
      </c>
      <c r="S765" s="6" t="str">
        <f>IFERROR(__xludf.DUMMYFUNCTION("""COMPUTED_VALUE"""),"-")</f>
        <v>-</v>
      </c>
      <c r="T765" s="13">
        <f>IFERROR(__xludf.DUMMYFUNCTION("""COMPUTED_VALUE"""),43584.0)</f>
        <v>43584</v>
      </c>
    </row>
    <row r="766">
      <c r="A766" s="6" t="str">
        <f>IFERROR(__xludf.DUMMYFUNCTION("""COMPUTED_VALUE"""),"191750099-3")</f>
        <v>191750099-3</v>
      </c>
      <c r="B766" s="6" t="str">
        <f>IFERROR(__xludf.DUMMYFUNCTION("""COMPUTED_VALUE"""),"191750099 - Approved")</f>
        <v>191750099 - Approved</v>
      </c>
      <c r="C766" s="6">
        <f>IFERROR(__xludf.DUMMYFUNCTION("""COMPUTED_VALUE"""),3.0)</f>
        <v>3</v>
      </c>
      <c r="D766" s="6" t="str">
        <f>IFERROR(__xludf.DUMMYFUNCTION("""COMPUTED_VALUE"""),"P-13647-00")</f>
        <v>P-13647-00</v>
      </c>
      <c r="E766" s="6" t="str">
        <f>IFERROR(__xludf.DUMMYFUNCTION("""COMPUTED_VALUE"""),"Elbow Drat Luar dan Drat Dalam uk. 1/2 inch")</f>
        <v>Elbow Drat Luar dan Drat Dalam uk. 1/2 inch</v>
      </c>
      <c r="F766" s="6">
        <f>IFERROR(__xludf.DUMMYFUNCTION("""COMPUTED_VALUE"""),4.0)</f>
        <v>4</v>
      </c>
      <c r="G766" s="6" t="str">
        <f>IFERROR(__xludf.DUMMYFUNCTION("""COMPUTED_VALUE"""),"Pieces")</f>
        <v>Pieces</v>
      </c>
      <c r="H766" s="6" t="str">
        <f>IFERROR(__xludf.DUMMYFUNCTION("""COMPUTED_VALUE"""),"IDR")</f>
        <v>IDR</v>
      </c>
      <c r="I766" s="11">
        <f>IFERROR(__xludf.DUMMYFUNCTION("""COMPUTED_VALUE"""),45000.0)</f>
        <v>45000</v>
      </c>
      <c r="J766" s="11">
        <f>IFERROR(__xludf.DUMMYFUNCTION("""COMPUTED_VALUE"""),180000.0)</f>
        <v>180000</v>
      </c>
      <c r="K766" s="13">
        <f>IFERROR(__xludf.DUMMYFUNCTION("""COMPUTED_VALUE"""),43574.0)</f>
        <v>43574</v>
      </c>
      <c r="L766" s="6" t="str">
        <f>IFERROR(__xludf.DUMMYFUNCTION("""COMPUTED_VALUE"""),"FIP Engineering")</f>
        <v>FIP Engineering</v>
      </c>
      <c r="M766" s="6" t="str">
        <f>IFERROR(__xludf.DUMMYFUNCTION("""COMPUTED_VALUE"""),"Irwan Sopian")</f>
        <v>Irwan Sopian</v>
      </c>
      <c r="N766" s="6" t="str">
        <f>IFERROR(__xludf.DUMMYFUNCTION("""COMPUTED_VALUE"""),"FIP Engineering")</f>
        <v>FIP Engineering</v>
      </c>
      <c r="O766" s="6" t="str">
        <f>IFERROR(__xludf.DUMMYFUNCTION("""COMPUTED_VALUE"""),"FIP-DOM-000-11304-OS00001-INA-000000")</f>
        <v>FIP-DOM-000-11304-OS00001-INA-000000</v>
      </c>
      <c r="P766" s="6" t="str">
        <f>IFERROR(__xludf.DUMMYFUNCTION("""COMPUTED_VALUE"""),"PO Closed")</f>
        <v>PO Closed</v>
      </c>
      <c r="Q766" s="6" t="str">
        <f>IFERROR(__xludf.DUMMYFUNCTION("""COMPUTED_VALUE"""),"GL1903334")</f>
        <v>GL1903334</v>
      </c>
      <c r="R766" s="16">
        <f>IFERROR(__xludf.DUMMYFUNCTION("""COMPUTED_VALUE"""),43535.0)</f>
        <v>43535</v>
      </c>
      <c r="S766" s="6" t="str">
        <f>IFERROR(__xludf.DUMMYFUNCTION("""COMPUTED_VALUE"""),"-")</f>
        <v>-</v>
      </c>
      <c r="T766" s="13">
        <f>IFERROR(__xludf.DUMMYFUNCTION("""COMPUTED_VALUE"""),43564.0)</f>
        <v>43564</v>
      </c>
    </row>
    <row r="767">
      <c r="A767" s="6" t="str">
        <f>IFERROR(__xludf.DUMMYFUNCTION("""COMPUTED_VALUE"""),"191750099-4")</f>
        <v>191750099-4</v>
      </c>
      <c r="B767" s="6" t="str">
        <f>IFERROR(__xludf.DUMMYFUNCTION("""COMPUTED_VALUE"""),"191750099 - Approved")</f>
        <v>191750099 - Approved</v>
      </c>
      <c r="C767" s="6">
        <f>IFERROR(__xludf.DUMMYFUNCTION("""COMPUTED_VALUE"""),4.0)</f>
        <v>4</v>
      </c>
      <c r="D767" s="6" t="str">
        <f>IFERROR(__xludf.DUMMYFUNCTION("""COMPUTED_VALUE"""),"P-14407-00")</f>
        <v>P-14407-00</v>
      </c>
      <c r="E767" s="6" t="str">
        <f>IFERROR(__xludf.DUMMYFUNCTION("""COMPUTED_VALUE"""),"Gate Valve 1/2 inch")</f>
        <v>Gate Valve 1/2 inch</v>
      </c>
      <c r="F767" s="6">
        <f>IFERROR(__xludf.DUMMYFUNCTION("""COMPUTED_VALUE"""),4.0)</f>
        <v>4</v>
      </c>
      <c r="G767" s="6" t="str">
        <f>IFERROR(__xludf.DUMMYFUNCTION("""COMPUTED_VALUE"""),"Pieces")</f>
        <v>Pieces</v>
      </c>
      <c r="H767" s="6" t="str">
        <f>IFERROR(__xludf.DUMMYFUNCTION("""COMPUTED_VALUE"""),"IDR")</f>
        <v>IDR</v>
      </c>
      <c r="I767" s="11">
        <f>IFERROR(__xludf.DUMMYFUNCTION("""COMPUTED_VALUE"""),165000.0)</f>
        <v>165000</v>
      </c>
      <c r="J767" s="11">
        <f>IFERROR(__xludf.DUMMYFUNCTION("""COMPUTED_VALUE"""),660000.0)</f>
        <v>660000</v>
      </c>
      <c r="K767" s="13">
        <f>IFERROR(__xludf.DUMMYFUNCTION("""COMPUTED_VALUE"""),43574.0)</f>
        <v>43574</v>
      </c>
      <c r="L767" s="6" t="str">
        <f>IFERROR(__xludf.DUMMYFUNCTION("""COMPUTED_VALUE"""),"FIP Engineering")</f>
        <v>FIP Engineering</v>
      </c>
      <c r="M767" s="6" t="str">
        <f>IFERROR(__xludf.DUMMYFUNCTION("""COMPUTED_VALUE"""),"Irwan Sopian")</f>
        <v>Irwan Sopian</v>
      </c>
      <c r="N767" s="6" t="str">
        <f>IFERROR(__xludf.DUMMYFUNCTION("""COMPUTED_VALUE"""),"FIP Engineering")</f>
        <v>FIP Engineering</v>
      </c>
      <c r="O767" s="6" t="str">
        <f>IFERROR(__xludf.DUMMYFUNCTION("""COMPUTED_VALUE"""),"FIP-DOM-000-11304-OS00001-INA-000000")</f>
        <v>FIP-DOM-000-11304-OS00001-INA-000000</v>
      </c>
      <c r="P767" s="6" t="str">
        <f>IFERROR(__xludf.DUMMYFUNCTION("""COMPUTED_VALUE"""),"PO Closed")</f>
        <v>PO Closed</v>
      </c>
      <c r="Q767" s="6" t="str">
        <f>IFERROR(__xludf.DUMMYFUNCTION("""COMPUTED_VALUE"""),"GL1903334")</f>
        <v>GL1903334</v>
      </c>
      <c r="R767" s="16">
        <f>IFERROR(__xludf.DUMMYFUNCTION("""COMPUTED_VALUE"""),43535.0)</f>
        <v>43535</v>
      </c>
      <c r="S767" s="6" t="str">
        <f>IFERROR(__xludf.DUMMYFUNCTION("""COMPUTED_VALUE"""),"-")</f>
        <v>-</v>
      </c>
      <c r="T767" s="17">
        <f>IFERROR(__xludf.DUMMYFUNCTION("""COMPUTED_VALUE"""),43564.0)</f>
        <v>43564</v>
      </c>
    </row>
    <row r="768">
      <c r="A768" s="6" t="str">
        <f>IFERROR(__xludf.DUMMYFUNCTION("""COMPUTED_VALUE"""),"191750099-5")</f>
        <v>191750099-5</v>
      </c>
      <c r="B768" s="6" t="str">
        <f>IFERROR(__xludf.DUMMYFUNCTION("""COMPUTED_VALUE"""),"191750099 - Approved")</f>
        <v>191750099 - Approved</v>
      </c>
      <c r="C768" s="6">
        <f>IFERROR(__xludf.DUMMYFUNCTION("""COMPUTED_VALUE"""),5.0)</f>
        <v>5</v>
      </c>
      <c r="D768" s="6" t="str">
        <f>IFERROR(__xludf.DUMMYFUNCTION("""COMPUTED_VALUE"""),"P-13646-00")</f>
        <v>P-13646-00</v>
      </c>
      <c r="E768" s="6" t="str">
        <f>IFERROR(__xludf.DUMMYFUNCTION("""COMPUTED_VALUE"""),"Selang Air 1/2 inch")</f>
        <v>Selang Air 1/2 inch</v>
      </c>
      <c r="F768" s="6">
        <f>IFERROR(__xludf.DUMMYFUNCTION("""COMPUTED_VALUE"""),10.0)</f>
        <v>10</v>
      </c>
      <c r="G768" s="6" t="str">
        <f>IFERROR(__xludf.DUMMYFUNCTION("""COMPUTED_VALUE"""),"Pieces")</f>
        <v>Pieces</v>
      </c>
      <c r="H768" s="6" t="str">
        <f>IFERROR(__xludf.DUMMYFUNCTION("""COMPUTED_VALUE"""),"IDR")</f>
        <v>IDR</v>
      </c>
      <c r="I768" s="11">
        <f>IFERROR(__xludf.DUMMYFUNCTION("""COMPUTED_VALUE"""),12000.0)</f>
        <v>12000</v>
      </c>
      <c r="J768" s="11">
        <f>IFERROR(__xludf.DUMMYFUNCTION("""COMPUTED_VALUE"""),120000.0)</f>
        <v>120000</v>
      </c>
      <c r="K768" s="13">
        <f>IFERROR(__xludf.DUMMYFUNCTION("""COMPUTED_VALUE"""),43574.0)</f>
        <v>43574</v>
      </c>
      <c r="L768" s="6" t="str">
        <f>IFERROR(__xludf.DUMMYFUNCTION("""COMPUTED_VALUE"""),"FIP Engineering")</f>
        <v>FIP Engineering</v>
      </c>
      <c r="M768" s="6" t="str">
        <f>IFERROR(__xludf.DUMMYFUNCTION("""COMPUTED_VALUE"""),"Irwan Sopian")</f>
        <v>Irwan Sopian</v>
      </c>
      <c r="N768" s="6" t="str">
        <f>IFERROR(__xludf.DUMMYFUNCTION("""COMPUTED_VALUE"""),"FIP Engineering")</f>
        <v>FIP Engineering</v>
      </c>
      <c r="O768" s="6" t="str">
        <f>IFERROR(__xludf.DUMMYFUNCTION("""COMPUTED_VALUE"""),"FIP-DOM-000-11304-OS00001-INA-000000")</f>
        <v>FIP-DOM-000-11304-OS00001-INA-000000</v>
      </c>
      <c r="P768" s="6" t="str">
        <f>IFERROR(__xludf.DUMMYFUNCTION("""COMPUTED_VALUE"""),"PO Closed")</f>
        <v>PO Closed</v>
      </c>
      <c r="Q768" s="6" t="str">
        <f>IFERROR(__xludf.DUMMYFUNCTION("""COMPUTED_VALUE"""),"GL1903334")</f>
        <v>GL1903334</v>
      </c>
      <c r="R768" s="16">
        <f>IFERROR(__xludf.DUMMYFUNCTION("""COMPUTED_VALUE"""),43535.0)</f>
        <v>43535</v>
      </c>
      <c r="S768" s="6" t="str">
        <f>IFERROR(__xludf.DUMMYFUNCTION("""COMPUTED_VALUE"""),"-")</f>
        <v>-</v>
      </c>
      <c r="T768" s="13">
        <f>IFERROR(__xludf.DUMMYFUNCTION("""COMPUTED_VALUE"""),43564.0)</f>
        <v>43564</v>
      </c>
    </row>
    <row r="769">
      <c r="A769" s="6" t="str">
        <f>IFERROR(__xludf.DUMMYFUNCTION("""COMPUTED_VALUE"""),"191750099-6")</f>
        <v>191750099-6</v>
      </c>
      <c r="B769" s="6" t="str">
        <f>IFERROR(__xludf.DUMMYFUNCTION("""COMPUTED_VALUE"""),"191750099 - Approved")</f>
        <v>191750099 - Approved</v>
      </c>
      <c r="C769" s="6">
        <f>IFERROR(__xludf.DUMMYFUNCTION("""COMPUTED_VALUE"""),6.0)</f>
        <v>6</v>
      </c>
      <c r="D769" s="6" t="str">
        <f>IFERROR(__xludf.DUMMYFUNCTION("""COMPUTED_VALUE"""),"P-12083-00")</f>
        <v>P-12083-00</v>
      </c>
      <c r="E769" s="6" t="str">
        <f>IFERROR(__xludf.DUMMYFUNCTION("""COMPUTED_VALUE"""),"Clamp selang SS dia 1/2inch ex TRIDON")</f>
        <v>Clamp selang SS dia 1/2inch ex TRIDON</v>
      </c>
      <c r="F769" s="6">
        <f>IFERROR(__xludf.DUMMYFUNCTION("""COMPUTED_VALUE"""),10.0)</f>
        <v>10</v>
      </c>
      <c r="G769" s="6" t="str">
        <f>IFERROR(__xludf.DUMMYFUNCTION("""COMPUTED_VALUE"""),"Pieces")</f>
        <v>Pieces</v>
      </c>
      <c r="H769" s="6" t="str">
        <f>IFERROR(__xludf.DUMMYFUNCTION("""COMPUTED_VALUE"""),"IDR")</f>
        <v>IDR</v>
      </c>
      <c r="I769" s="11">
        <f>IFERROR(__xludf.DUMMYFUNCTION("""COMPUTED_VALUE"""),3000.0)</f>
        <v>3000</v>
      </c>
      <c r="J769" s="11">
        <f>IFERROR(__xludf.DUMMYFUNCTION("""COMPUTED_VALUE"""),30000.0)</f>
        <v>30000</v>
      </c>
      <c r="K769" s="13">
        <f>IFERROR(__xludf.DUMMYFUNCTION("""COMPUTED_VALUE"""),43574.0)</f>
        <v>43574</v>
      </c>
      <c r="L769" s="6" t="str">
        <f>IFERROR(__xludf.DUMMYFUNCTION("""COMPUTED_VALUE"""),"FIP Engineering")</f>
        <v>FIP Engineering</v>
      </c>
      <c r="M769" s="6" t="str">
        <f>IFERROR(__xludf.DUMMYFUNCTION("""COMPUTED_VALUE"""),"Irwan Sopian")</f>
        <v>Irwan Sopian</v>
      </c>
      <c r="N769" s="6" t="str">
        <f>IFERROR(__xludf.DUMMYFUNCTION("""COMPUTED_VALUE"""),"FIP Engineering")</f>
        <v>FIP Engineering</v>
      </c>
      <c r="O769" s="6" t="str">
        <f>IFERROR(__xludf.DUMMYFUNCTION("""COMPUTED_VALUE"""),"FIP-DOM-000-11304-OS00001-INA-000000")</f>
        <v>FIP-DOM-000-11304-OS00001-INA-000000</v>
      </c>
      <c r="P769" s="6" t="str">
        <f>IFERROR(__xludf.DUMMYFUNCTION("""COMPUTED_VALUE"""),"PO Closed")</f>
        <v>PO Closed</v>
      </c>
      <c r="Q769" s="6" t="str">
        <f>IFERROR(__xludf.DUMMYFUNCTION("""COMPUTED_VALUE"""),"GL1903044")</f>
        <v>GL1903044</v>
      </c>
      <c r="R769" s="16">
        <f>IFERROR(__xludf.DUMMYFUNCTION("""COMPUTED_VALUE"""),43535.0)</f>
        <v>43535</v>
      </c>
      <c r="S769" s="6" t="str">
        <f>IFERROR(__xludf.DUMMYFUNCTION("""COMPUTED_VALUE"""),"-")</f>
        <v>-</v>
      </c>
      <c r="T769" s="13">
        <f>IFERROR(__xludf.DUMMYFUNCTION("""COMPUTED_VALUE"""),43560.0)</f>
        <v>43560</v>
      </c>
    </row>
    <row r="770">
      <c r="A770" s="6" t="str">
        <f>IFERROR(__xludf.DUMMYFUNCTION("""COMPUTED_VALUE"""),"191750104-1")</f>
        <v>191750104-1</v>
      </c>
      <c r="B770" s="6" t="str">
        <f>IFERROR(__xludf.DUMMYFUNCTION("""COMPUTED_VALUE"""),"191750104 - Approved")</f>
        <v>191750104 - Approved</v>
      </c>
      <c r="C770" s="6">
        <f>IFERROR(__xludf.DUMMYFUNCTION("""COMPUTED_VALUE"""),1.0)</f>
        <v>1</v>
      </c>
      <c r="D770" s="6" t="str">
        <f>IFERROR(__xludf.DUMMYFUNCTION("""COMPUTED_VALUE"""),"S-60002-00")</f>
        <v>S-60002-00</v>
      </c>
      <c r="E770" s="6" t="str">
        <f>IFERROR(__xludf.DUMMYFUNCTION("""COMPUTED_VALUE"""),"REPAIR UPS RIELLO SEP 3000 (3 KVA)")</f>
        <v>REPAIR UPS RIELLO SEP 3000 (3 KVA)</v>
      </c>
      <c r="F770" s="6">
        <f>IFERROR(__xludf.DUMMYFUNCTION("""COMPUTED_VALUE"""),1.0)</f>
        <v>1</v>
      </c>
      <c r="G770" s="6" t="str">
        <f>IFERROR(__xludf.DUMMYFUNCTION("""COMPUTED_VALUE"""),"Lot")</f>
        <v>Lot</v>
      </c>
      <c r="H770" s="6" t="str">
        <f>IFERROR(__xludf.DUMMYFUNCTION("""COMPUTED_VALUE"""),"IDR")</f>
        <v>IDR</v>
      </c>
      <c r="I770" s="11">
        <f>IFERROR(__xludf.DUMMYFUNCTION("""COMPUTED_VALUE"""),3300000.0)</f>
        <v>3300000</v>
      </c>
      <c r="J770" s="11">
        <f>IFERROR(__xludf.DUMMYFUNCTION("""COMPUTED_VALUE"""),3300000.0)</f>
        <v>3300000</v>
      </c>
      <c r="K770" s="13">
        <f>IFERROR(__xludf.DUMMYFUNCTION("""COMPUTED_VALUE"""),43570.0)</f>
        <v>43570</v>
      </c>
      <c r="L770" s="6" t="str">
        <f>IFERROR(__xludf.DUMMYFUNCTION("""COMPUTED_VALUE"""),"FIP General")</f>
        <v>FIP General</v>
      </c>
      <c r="M770" s="6" t="str">
        <f>IFERROR(__xludf.DUMMYFUNCTION("""COMPUTED_VALUE"""),"Irwan Sopian")</f>
        <v>Irwan Sopian</v>
      </c>
      <c r="N770" s="6" t="str">
        <f>IFERROR(__xludf.DUMMYFUNCTION("""COMPUTED_VALUE"""),"FIP Engineering")</f>
        <v>FIP Engineering</v>
      </c>
      <c r="O770" s="6" t="str">
        <f>IFERROR(__xludf.DUMMYFUNCTION("""COMPUTED_VALUE"""),"FIP-DOM-ENG-51508-0000000-INA-000000")</f>
        <v>FIP-DOM-ENG-51508-0000000-INA-000000</v>
      </c>
      <c r="P770" s="6" t="str">
        <f>IFERROR(__xludf.DUMMYFUNCTION("""COMPUTED_VALUE"""),"PO Closed")</f>
        <v>PO Closed</v>
      </c>
      <c r="Q770" s="6" t="str">
        <f>IFERROR(__xludf.DUMMYFUNCTION("""COMPUTED_VALUE"""),"GL1903028")</f>
        <v>GL1903028</v>
      </c>
      <c r="R770" s="16">
        <f>IFERROR(__xludf.DUMMYFUNCTION("""COMPUTED_VALUE"""),43537.0)</f>
        <v>43537</v>
      </c>
      <c r="S770" s="6" t="str">
        <f>IFERROR(__xludf.DUMMYFUNCTION("""COMPUTED_VALUE"""),"-")</f>
        <v>-</v>
      </c>
      <c r="T770" s="13">
        <f>IFERROR(__xludf.DUMMYFUNCTION("""COMPUTED_VALUE"""),43564.0)</f>
        <v>43564</v>
      </c>
    </row>
    <row r="771">
      <c r="A771" s="6" t="str">
        <f>IFERROR(__xludf.DUMMYFUNCTION("""COMPUTED_VALUE"""),"191750103-1")</f>
        <v>191750103-1</v>
      </c>
      <c r="B771" s="6" t="str">
        <f>IFERROR(__xludf.DUMMYFUNCTION("""COMPUTED_VALUE"""),"191750103 - Approved")</f>
        <v>191750103 - Approved</v>
      </c>
      <c r="C771" s="6">
        <f>IFERROR(__xludf.DUMMYFUNCTION("""COMPUTED_VALUE"""),1.0)</f>
        <v>1</v>
      </c>
      <c r="D771" s="6" t="str">
        <f>IFERROR(__xludf.DUMMYFUNCTION("""COMPUTED_VALUE"""),"P-17073-00")</f>
        <v>P-17073-00</v>
      </c>
      <c r="E771" s="6" t="str">
        <f>IFERROR(__xludf.DUMMYFUNCTION("""COMPUTED_VALUE"""),"Ferrule 3/4"" SS 316L; ; ;")</f>
        <v>Ferrule 3/4" SS 316L; ; ;</v>
      </c>
      <c r="F771" s="6">
        <f>IFERROR(__xludf.DUMMYFUNCTION("""COMPUTED_VALUE"""),10.0)</f>
        <v>10</v>
      </c>
      <c r="G771" s="6" t="str">
        <f>IFERROR(__xludf.DUMMYFUNCTION("""COMPUTED_VALUE"""),"Pieces")</f>
        <v>Pieces</v>
      </c>
      <c r="H771" s="6" t="str">
        <f>IFERROR(__xludf.DUMMYFUNCTION("""COMPUTED_VALUE"""),"IDR")</f>
        <v>IDR</v>
      </c>
      <c r="I771" s="11">
        <f>IFERROR(__xludf.DUMMYFUNCTION("""COMPUTED_VALUE"""),180000.0)</f>
        <v>180000</v>
      </c>
      <c r="J771" s="11">
        <f>IFERROR(__xludf.DUMMYFUNCTION("""COMPUTED_VALUE"""),1800000.0)</f>
        <v>1800000</v>
      </c>
      <c r="K771" s="13">
        <f>IFERROR(__xludf.DUMMYFUNCTION("""COMPUTED_VALUE"""),43560.0)</f>
        <v>43560</v>
      </c>
      <c r="L771" s="6" t="str">
        <f>IFERROR(__xludf.DUMMYFUNCTION("""COMPUTED_VALUE"""),"FIP Engineering")</f>
        <v>FIP Engineering</v>
      </c>
      <c r="M771" s="6" t="str">
        <f>IFERROR(__xludf.DUMMYFUNCTION("""COMPUTED_VALUE"""),"Irwan Sopian")</f>
        <v>Irwan Sopian</v>
      </c>
      <c r="N771" s="6" t="str">
        <f>IFERROR(__xludf.DUMMYFUNCTION("""COMPUTED_VALUE"""),"FIP Engineering")</f>
        <v>FIP Engineering</v>
      </c>
      <c r="O771" s="6" t="str">
        <f>IFERROR(__xludf.DUMMYFUNCTION("""COMPUTED_VALUE"""),"FIP-DOM-000-11304-OS00001-INA-000000")</f>
        <v>FIP-DOM-000-11304-OS00001-INA-000000</v>
      </c>
      <c r="P771" s="6" t="str">
        <f>IFERROR(__xludf.DUMMYFUNCTION("""COMPUTED_VALUE"""),"PO Closed")</f>
        <v>PO Closed</v>
      </c>
      <c r="Q771" s="6" t="str">
        <f>IFERROR(__xludf.DUMMYFUNCTION("""COMPUTED_VALUE"""),"GL1904002")</f>
        <v>GL1904002</v>
      </c>
      <c r="R771" s="16">
        <f>IFERROR(__xludf.DUMMYFUNCTION("""COMPUTED_VALUE"""),43537.0)</f>
        <v>43537</v>
      </c>
      <c r="S771" s="6" t="str">
        <f>IFERROR(__xludf.DUMMYFUNCTION("""COMPUTED_VALUE"""),"-")</f>
        <v>-</v>
      </c>
      <c r="T771" s="13">
        <f>IFERROR(__xludf.DUMMYFUNCTION("""COMPUTED_VALUE"""),43560.0)</f>
        <v>43560</v>
      </c>
    </row>
    <row r="772">
      <c r="A772" s="6" t="str">
        <f>IFERROR(__xludf.DUMMYFUNCTION("""COMPUTED_VALUE"""),"191750103-2")</f>
        <v>191750103-2</v>
      </c>
      <c r="B772" s="6" t="str">
        <f>IFERROR(__xludf.DUMMYFUNCTION("""COMPUTED_VALUE"""),"191750103 - Approved")</f>
        <v>191750103 - Approved</v>
      </c>
      <c r="C772" s="6">
        <f>IFERROR(__xludf.DUMMYFUNCTION("""COMPUTED_VALUE"""),2.0)</f>
        <v>2</v>
      </c>
      <c r="D772" s="6" t="str">
        <f>IFERROR(__xludf.DUMMYFUNCTION("""COMPUTED_VALUE"""),"P-12140-00")</f>
        <v>P-12140-00</v>
      </c>
      <c r="E772" s="6" t="str">
        <f>IFERROR(__xludf.DUMMYFUNCTION("""COMPUTED_VALUE"""),"Double neeple SS 304 dia 1/2inch")</f>
        <v>Double neeple SS 304 dia 1/2inch</v>
      </c>
      <c r="F772" s="6">
        <f>IFERROR(__xludf.DUMMYFUNCTION("""COMPUTED_VALUE"""),8.0)</f>
        <v>8</v>
      </c>
      <c r="G772" s="6" t="str">
        <f>IFERROR(__xludf.DUMMYFUNCTION("""COMPUTED_VALUE"""),"Pieces")</f>
        <v>Pieces</v>
      </c>
      <c r="H772" s="6" t="str">
        <f>IFERROR(__xludf.DUMMYFUNCTION("""COMPUTED_VALUE"""),"IDR")</f>
        <v>IDR</v>
      </c>
      <c r="I772" s="11">
        <f>IFERROR(__xludf.DUMMYFUNCTION("""COMPUTED_VALUE"""),13500.0)</f>
        <v>13500</v>
      </c>
      <c r="J772" s="11">
        <f>IFERROR(__xludf.DUMMYFUNCTION("""COMPUTED_VALUE"""),108000.0)</f>
        <v>108000</v>
      </c>
      <c r="K772" s="13">
        <f>IFERROR(__xludf.DUMMYFUNCTION("""COMPUTED_VALUE"""),43560.0)</f>
        <v>43560</v>
      </c>
      <c r="L772" s="6" t="str">
        <f>IFERROR(__xludf.DUMMYFUNCTION("""COMPUTED_VALUE"""),"FIP Engineering")</f>
        <v>FIP Engineering</v>
      </c>
      <c r="M772" s="6" t="str">
        <f>IFERROR(__xludf.DUMMYFUNCTION("""COMPUTED_VALUE"""),"Irwan Sopian")</f>
        <v>Irwan Sopian</v>
      </c>
      <c r="N772" s="6" t="str">
        <f>IFERROR(__xludf.DUMMYFUNCTION("""COMPUTED_VALUE"""),"FIP Engineering")</f>
        <v>FIP Engineering</v>
      </c>
      <c r="O772" s="6" t="str">
        <f>IFERROR(__xludf.DUMMYFUNCTION("""COMPUTED_VALUE"""),"FIP-DOM-000-11304-OS00001-INA-000000")</f>
        <v>FIP-DOM-000-11304-OS00001-INA-000000</v>
      </c>
      <c r="P772" s="6" t="str">
        <f>IFERROR(__xludf.DUMMYFUNCTION("""COMPUTED_VALUE"""),"PO Closed")</f>
        <v>PO Closed</v>
      </c>
      <c r="Q772" s="6" t="str">
        <f>IFERROR(__xludf.DUMMYFUNCTION("""COMPUTED_VALUE"""),"GL1903334")</f>
        <v>GL1903334</v>
      </c>
      <c r="R772" s="16">
        <f>IFERROR(__xludf.DUMMYFUNCTION("""COMPUTED_VALUE"""),43537.0)</f>
        <v>43537</v>
      </c>
      <c r="S772" s="6" t="str">
        <f>IFERROR(__xludf.DUMMYFUNCTION("""COMPUTED_VALUE"""),"-")</f>
        <v>-</v>
      </c>
      <c r="T772" s="13">
        <f>IFERROR(__xludf.DUMMYFUNCTION("""COMPUTED_VALUE"""),43564.0)</f>
        <v>43564</v>
      </c>
    </row>
    <row r="773">
      <c r="A773" s="6" t="str">
        <f>IFERROR(__xludf.DUMMYFUNCTION("""COMPUTED_VALUE"""),"191750103-3")</f>
        <v>191750103-3</v>
      </c>
      <c r="B773" s="6" t="str">
        <f>IFERROR(__xludf.DUMMYFUNCTION("""COMPUTED_VALUE"""),"191750103 - Approved")</f>
        <v>191750103 - Approved</v>
      </c>
      <c r="C773" s="6">
        <f>IFERROR(__xludf.DUMMYFUNCTION("""COMPUTED_VALUE"""),3.0)</f>
        <v>3</v>
      </c>
      <c r="D773" s="6" t="str">
        <f>IFERROR(__xludf.DUMMYFUNCTION("""COMPUTED_VALUE"""),"P-16992-00")</f>
        <v>P-16992-00</v>
      </c>
      <c r="E773" s="6" t="str">
        <f>IFERROR(__xludf.DUMMYFUNCTION("""COMPUTED_VALUE"""),"Elbow SS304 SCH 10x1/2 inch")</f>
        <v>Elbow SS304 SCH 10x1/2 inch</v>
      </c>
      <c r="F773" s="6">
        <f>IFERROR(__xludf.DUMMYFUNCTION("""COMPUTED_VALUE"""),8.0)</f>
        <v>8</v>
      </c>
      <c r="G773" s="6" t="str">
        <f>IFERROR(__xludf.DUMMYFUNCTION("""COMPUTED_VALUE"""),"Pieces")</f>
        <v>Pieces</v>
      </c>
      <c r="H773" s="6" t="str">
        <f>IFERROR(__xludf.DUMMYFUNCTION("""COMPUTED_VALUE"""),"IDR")</f>
        <v>IDR</v>
      </c>
      <c r="I773" s="11">
        <f>IFERROR(__xludf.DUMMYFUNCTION("""COMPUTED_VALUE"""),26100.0)</f>
        <v>26100</v>
      </c>
      <c r="J773" s="11">
        <f>IFERROR(__xludf.DUMMYFUNCTION("""COMPUTED_VALUE"""),208800.0)</f>
        <v>208800</v>
      </c>
      <c r="K773" s="13">
        <f>IFERROR(__xludf.DUMMYFUNCTION("""COMPUTED_VALUE"""),43560.0)</f>
        <v>43560</v>
      </c>
      <c r="L773" s="6" t="str">
        <f>IFERROR(__xludf.DUMMYFUNCTION("""COMPUTED_VALUE"""),"FIP General")</f>
        <v>FIP General</v>
      </c>
      <c r="M773" s="6" t="str">
        <f>IFERROR(__xludf.DUMMYFUNCTION("""COMPUTED_VALUE"""),"Irwan Sopian")</f>
        <v>Irwan Sopian</v>
      </c>
      <c r="N773" s="6" t="str">
        <f>IFERROR(__xludf.DUMMYFUNCTION("""COMPUTED_VALUE"""),"FIP Engineering")</f>
        <v>FIP Engineering</v>
      </c>
      <c r="O773" s="6" t="str">
        <f>IFERROR(__xludf.DUMMYFUNCTION("""COMPUTED_VALUE"""),"FIP-DOM-ENG-51502-0000000-INA-000000")</f>
        <v>FIP-DOM-ENG-51502-0000000-INA-000000</v>
      </c>
      <c r="P773" s="6" t="str">
        <f>IFERROR(__xludf.DUMMYFUNCTION("""COMPUTED_VALUE"""),"PO Closed")</f>
        <v>PO Closed</v>
      </c>
      <c r="Q773" s="6" t="str">
        <f>IFERROR(__xludf.DUMMYFUNCTION("""COMPUTED_VALUE"""),"GL1903334")</f>
        <v>GL1903334</v>
      </c>
      <c r="R773" s="16">
        <f>IFERROR(__xludf.DUMMYFUNCTION("""COMPUTED_VALUE"""),43537.0)</f>
        <v>43537</v>
      </c>
      <c r="S773" s="6" t="str">
        <f>IFERROR(__xludf.DUMMYFUNCTION("""COMPUTED_VALUE"""),"-")</f>
        <v>-</v>
      </c>
      <c r="T773" s="13">
        <f>IFERROR(__xludf.DUMMYFUNCTION("""COMPUTED_VALUE"""),43594.0)</f>
        <v>43594</v>
      </c>
    </row>
    <row r="774">
      <c r="A774" s="6" t="str">
        <f>IFERROR(__xludf.DUMMYFUNCTION("""COMPUTED_VALUE"""),"191750103-4")</f>
        <v>191750103-4</v>
      </c>
      <c r="B774" s="6" t="str">
        <f>IFERROR(__xludf.DUMMYFUNCTION("""COMPUTED_VALUE"""),"191750103 - Approved")</f>
        <v>191750103 - Approved</v>
      </c>
      <c r="C774" s="6">
        <f>IFERROR(__xludf.DUMMYFUNCTION("""COMPUTED_VALUE"""),4.0)</f>
        <v>4</v>
      </c>
      <c r="D774" s="6" t="str">
        <f>IFERROR(__xludf.DUMMYFUNCTION("""COMPUTED_VALUE"""),"P-13251-00")</f>
        <v>P-13251-00</v>
      </c>
      <c r="E774" s="6" t="str">
        <f>IFERROR(__xludf.DUMMYFUNCTION("""COMPUTED_VALUE"""),"Tee SS 304 welded dia 1/2inch")</f>
        <v>Tee SS 304 welded dia 1/2inch</v>
      </c>
      <c r="F774" s="6">
        <f>IFERROR(__xludf.DUMMYFUNCTION("""COMPUTED_VALUE"""),4.0)</f>
        <v>4</v>
      </c>
      <c r="G774" s="6" t="str">
        <f>IFERROR(__xludf.DUMMYFUNCTION("""COMPUTED_VALUE"""),"Pieces")</f>
        <v>Pieces</v>
      </c>
      <c r="H774" s="6" t="str">
        <f>IFERROR(__xludf.DUMMYFUNCTION("""COMPUTED_VALUE"""),"IDR")</f>
        <v>IDR</v>
      </c>
      <c r="I774" s="11">
        <f>IFERROR(__xludf.DUMMYFUNCTION("""COMPUTED_VALUE"""),59400.0)</f>
        <v>59400</v>
      </c>
      <c r="J774" s="11">
        <f>IFERROR(__xludf.DUMMYFUNCTION("""COMPUTED_VALUE"""),237600.0)</f>
        <v>237600</v>
      </c>
      <c r="K774" s="13">
        <f>IFERROR(__xludf.DUMMYFUNCTION("""COMPUTED_VALUE"""),43560.0)</f>
        <v>43560</v>
      </c>
      <c r="L774" s="6" t="str">
        <f>IFERROR(__xludf.DUMMYFUNCTION("""COMPUTED_VALUE"""),"FIP Engineering")</f>
        <v>FIP Engineering</v>
      </c>
      <c r="M774" s="6" t="str">
        <f>IFERROR(__xludf.DUMMYFUNCTION("""COMPUTED_VALUE"""),"Irwan Sopian")</f>
        <v>Irwan Sopian</v>
      </c>
      <c r="N774" s="6" t="str">
        <f>IFERROR(__xludf.DUMMYFUNCTION("""COMPUTED_VALUE"""),"FIP Engineering")</f>
        <v>FIP Engineering</v>
      </c>
      <c r="O774" s="6" t="str">
        <f>IFERROR(__xludf.DUMMYFUNCTION("""COMPUTED_VALUE"""),"FIP-DOM-000-11304-OS00001-INA-000000")</f>
        <v>FIP-DOM-000-11304-OS00001-INA-000000</v>
      </c>
      <c r="P774" s="6" t="str">
        <f>IFERROR(__xludf.DUMMYFUNCTION("""COMPUTED_VALUE"""),"PO Closed")</f>
        <v>PO Closed</v>
      </c>
      <c r="Q774" s="6" t="str">
        <f>IFERROR(__xludf.DUMMYFUNCTION("""COMPUTED_VALUE"""),"GL1903334")</f>
        <v>GL1903334</v>
      </c>
      <c r="R774" s="16">
        <f>IFERROR(__xludf.DUMMYFUNCTION("""COMPUTED_VALUE"""),43537.0)</f>
        <v>43537</v>
      </c>
      <c r="S774" s="6" t="str">
        <f>IFERROR(__xludf.DUMMYFUNCTION("""COMPUTED_VALUE"""),"-")</f>
        <v>-</v>
      </c>
      <c r="T774" s="13">
        <f>IFERROR(__xludf.DUMMYFUNCTION("""COMPUTED_VALUE"""),43564.0)</f>
        <v>43564</v>
      </c>
    </row>
    <row r="775">
      <c r="A775" s="6" t="str">
        <f>IFERROR(__xludf.DUMMYFUNCTION("""COMPUTED_VALUE"""),"191750103-5")</f>
        <v>191750103-5</v>
      </c>
      <c r="B775" s="6" t="str">
        <f>IFERROR(__xludf.DUMMYFUNCTION("""COMPUTED_VALUE"""),"191750103 - Approved")</f>
        <v>191750103 - Approved</v>
      </c>
      <c r="C775" s="6">
        <f>IFERROR(__xludf.DUMMYFUNCTION("""COMPUTED_VALUE"""),5.0)</f>
        <v>5</v>
      </c>
      <c r="D775" s="6" t="str">
        <f>IFERROR(__xludf.DUMMYFUNCTION("""COMPUTED_VALUE"""),"P-17051-00")</f>
        <v>P-17051-00</v>
      </c>
      <c r="E775" s="6" t="str">
        <f>IFERROR(__xludf.DUMMYFUNCTION("""COMPUTED_VALUE"""),"Threading Pipe SS304 1/2""; ; ;")</f>
        <v>Threading Pipe SS304 1/2"; ; ;</v>
      </c>
      <c r="F775" s="6">
        <f>IFERROR(__xludf.DUMMYFUNCTION("""COMPUTED_VALUE"""),4.0)</f>
        <v>4</v>
      </c>
      <c r="G775" s="6" t="str">
        <f>IFERROR(__xludf.DUMMYFUNCTION("""COMPUTED_VALUE"""),"Pieces")</f>
        <v>Pieces</v>
      </c>
      <c r="H775" s="6" t="str">
        <f>IFERROR(__xludf.DUMMYFUNCTION("""COMPUTED_VALUE"""),"IDR")</f>
        <v>IDR</v>
      </c>
      <c r="I775" s="11">
        <f>IFERROR(__xludf.DUMMYFUNCTION("""COMPUTED_VALUE"""),17000.0)</f>
        <v>17000</v>
      </c>
      <c r="J775" s="11">
        <f>IFERROR(__xludf.DUMMYFUNCTION("""COMPUTED_VALUE"""),68000.0)</f>
        <v>68000</v>
      </c>
      <c r="K775" s="13">
        <f>IFERROR(__xludf.DUMMYFUNCTION("""COMPUTED_VALUE"""),43560.0)</f>
        <v>43560</v>
      </c>
      <c r="L775" s="6" t="str">
        <f>IFERROR(__xludf.DUMMYFUNCTION("""COMPUTED_VALUE"""),"FIP General")</f>
        <v>FIP General</v>
      </c>
      <c r="M775" s="6" t="str">
        <f>IFERROR(__xludf.DUMMYFUNCTION("""COMPUTED_VALUE"""),"Irwan Sopian")</f>
        <v>Irwan Sopian</v>
      </c>
      <c r="N775" s="6" t="str">
        <f>IFERROR(__xludf.DUMMYFUNCTION("""COMPUTED_VALUE"""),"FIP Engineering")</f>
        <v>FIP Engineering</v>
      </c>
      <c r="O775" s="6" t="str">
        <f>IFERROR(__xludf.DUMMYFUNCTION("""COMPUTED_VALUE"""),"FIP-DOM-ENG-51404-0000000-INA-000000")</f>
        <v>FIP-DOM-ENG-51404-0000000-INA-000000</v>
      </c>
      <c r="P775" s="6" t="str">
        <f>IFERROR(__xludf.DUMMYFUNCTION("""COMPUTED_VALUE"""),"PO Closed")</f>
        <v>PO Closed</v>
      </c>
      <c r="Q775" s="6" t="str">
        <f>IFERROR(__xludf.DUMMYFUNCTION("""COMPUTED_VALUE"""),"GL1903334")</f>
        <v>GL1903334</v>
      </c>
      <c r="R775" s="16">
        <f>IFERROR(__xludf.DUMMYFUNCTION("""COMPUTED_VALUE"""),43537.0)</f>
        <v>43537</v>
      </c>
      <c r="S775" s="6" t="str">
        <f>IFERROR(__xludf.DUMMYFUNCTION("""COMPUTED_VALUE"""),"-")</f>
        <v>-</v>
      </c>
      <c r="T775" s="13">
        <f>IFERROR(__xludf.DUMMYFUNCTION("""COMPUTED_VALUE"""),43584.0)</f>
        <v>43584</v>
      </c>
    </row>
    <row r="776">
      <c r="A776" s="6" t="str">
        <f>IFERROR(__xludf.DUMMYFUNCTION("""COMPUTED_VALUE"""),"191750107-1")</f>
        <v>191750107-1</v>
      </c>
      <c r="B776" s="6" t="str">
        <f>IFERROR(__xludf.DUMMYFUNCTION("""COMPUTED_VALUE"""),"191750107 - Approved")</f>
        <v>191750107 - Approved</v>
      </c>
      <c r="C776" s="6">
        <f>IFERROR(__xludf.DUMMYFUNCTION("""COMPUTED_VALUE"""),1.0)</f>
        <v>1</v>
      </c>
      <c r="D776" s="6" t="str">
        <f>IFERROR(__xludf.DUMMYFUNCTION("""COMPUTED_VALUE"""),"O-52213-00")</f>
        <v>O-52213-00</v>
      </c>
      <c r="E776" s="6" t="str">
        <f>IFERROR(__xludf.DUMMYFUNCTION("""COMPUTED_VALUE"""),"Speed Controller GUA-C-90-A 220-240VAC CGM GUA SERIES")</f>
        <v>Speed Controller GUA-C-90-A 220-240VAC CGM GUA SERIES</v>
      </c>
      <c r="F776" s="6">
        <f>IFERROR(__xludf.DUMMYFUNCTION("""COMPUTED_VALUE"""),1.0)</f>
        <v>1</v>
      </c>
      <c r="G776" s="6" t="str">
        <f>IFERROR(__xludf.DUMMYFUNCTION("""COMPUTED_VALUE"""),"Pieces")</f>
        <v>Pieces</v>
      </c>
      <c r="H776" s="6" t="str">
        <f>IFERROR(__xludf.DUMMYFUNCTION("""COMPUTED_VALUE"""),"IDR")</f>
        <v>IDR</v>
      </c>
      <c r="I776" s="11">
        <f>IFERROR(__xludf.DUMMYFUNCTION("""COMPUTED_VALUE"""),2000000.0)</f>
        <v>2000000</v>
      </c>
      <c r="J776" s="11">
        <f>IFERROR(__xludf.DUMMYFUNCTION("""COMPUTED_VALUE"""),2000000.0)</f>
        <v>2000000</v>
      </c>
      <c r="K776" s="13">
        <f>IFERROR(__xludf.DUMMYFUNCTION("""COMPUTED_VALUE"""),43567.0)</f>
        <v>43567</v>
      </c>
      <c r="L776" s="6" t="str">
        <f>IFERROR(__xludf.DUMMYFUNCTION("""COMPUTED_VALUE"""),"FIP Engineering")</f>
        <v>FIP Engineering</v>
      </c>
      <c r="M776" s="6" t="str">
        <f>IFERROR(__xludf.DUMMYFUNCTION("""COMPUTED_VALUE"""),"Irwan Sopian")</f>
        <v>Irwan Sopian</v>
      </c>
      <c r="N776" s="6" t="str">
        <f>IFERROR(__xludf.DUMMYFUNCTION("""COMPUTED_VALUE"""),"FIP Engineering")</f>
        <v>FIP Engineering</v>
      </c>
      <c r="O776" s="6" t="str">
        <f>IFERROR(__xludf.DUMMYFUNCTION("""COMPUTED_VALUE"""),"FIP-DOM-000-11304-OS00001-INA-000000")</f>
        <v>FIP-DOM-000-11304-OS00001-INA-000000</v>
      </c>
      <c r="P776" s="6" t="str">
        <f>IFERROR(__xludf.DUMMYFUNCTION("""COMPUTED_VALUE"""),"PO Closed")</f>
        <v>PO Closed</v>
      </c>
      <c r="Q776" s="6" t="str">
        <f>IFERROR(__xludf.DUMMYFUNCTION("""COMPUTED_VALUE"""),"GL1904002")</f>
        <v>GL1904002</v>
      </c>
      <c r="R776" s="16">
        <f>IFERROR(__xludf.DUMMYFUNCTION("""COMPUTED_VALUE"""),43538.0)</f>
        <v>43538</v>
      </c>
      <c r="S776" s="6" t="str">
        <f>IFERROR(__xludf.DUMMYFUNCTION("""COMPUTED_VALUE"""),"-")</f>
        <v>-</v>
      </c>
      <c r="T776" s="13">
        <f>IFERROR(__xludf.DUMMYFUNCTION("""COMPUTED_VALUE"""),43564.0)</f>
        <v>43564</v>
      </c>
    </row>
    <row r="777">
      <c r="A777" s="6" t="str">
        <f>IFERROR(__xludf.DUMMYFUNCTION("""COMPUTED_VALUE"""),"191750106-1")</f>
        <v>191750106-1</v>
      </c>
      <c r="B777" s="6" t="str">
        <f>IFERROR(__xludf.DUMMYFUNCTION("""COMPUTED_VALUE"""),"191750106 - Approved")</f>
        <v>191750106 - Approved</v>
      </c>
      <c r="C777" s="6">
        <f>IFERROR(__xludf.DUMMYFUNCTION("""COMPUTED_VALUE"""),1.0)</f>
        <v>1</v>
      </c>
      <c r="D777" s="6" t="str">
        <f>IFERROR(__xludf.DUMMYFUNCTION("""COMPUTED_VALUE"""),"Q-60036-00")</f>
        <v>Q-60036-00</v>
      </c>
      <c r="E777" s="6" t="str">
        <f>IFERROR(__xludf.DUMMYFUNCTION("""COMPUTED_VALUE"""),"Cat F-Talit KF-611 / Hellay Grey / 115-611 @ 1 KG")</f>
        <v>Cat F-Talit KF-611 / Hellay Grey / 115-611 @ 1 KG</v>
      </c>
      <c r="F777" s="6">
        <f>IFERROR(__xludf.DUMMYFUNCTION("""COMPUTED_VALUE"""),8.0)</f>
        <v>8</v>
      </c>
      <c r="G777" s="6" t="str">
        <f>IFERROR(__xludf.DUMMYFUNCTION("""COMPUTED_VALUE"""),"Can")</f>
        <v>Can</v>
      </c>
      <c r="H777" s="6" t="str">
        <f>IFERROR(__xludf.DUMMYFUNCTION("""COMPUTED_VALUE"""),"IDR")</f>
        <v>IDR</v>
      </c>
      <c r="I777" s="11">
        <f>IFERROR(__xludf.DUMMYFUNCTION("""COMPUTED_VALUE"""),60000.0)</f>
        <v>60000</v>
      </c>
      <c r="J777" s="11">
        <f>IFERROR(__xludf.DUMMYFUNCTION("""COMPUTED_VALUE"""),480000.0)</f>
        <v>480000</v>
      </c>
      <c r="K777" s="13">
        <f>IFERROR(__xludf.DUMMYFUNCTION("""COMPUTED_VALUE"""),43567.0)</f>
        <v>43567</v>
      </c>
      <c r="L777" s="6" t="str">
        <f>IFERROR(__xludf.DUMMYFUNCTION("""COMPUTED_VALUE"""),"FIP Engineering")</f>
        <v>FIP Engineering</v>
      </c>
      <c r="M777" s="6" t="str">
        <f>IFERROR(__xludf.DUMMYFUNCTION("""COMPUTED_VALUE"""),"Irwan Sopian")</f>
        <v>Irwan Sopian</v>
      </c>
      <c r="N777" s="6" t="str">
        <f>IFERROR(__xludf.DUMMYFUNCTION("""COMPUTED_VALUE"""),"FIP Engineering")</f>
        <v>FIP Engineering</v>
      </c>
      <c r="O777" s="6" t="str">
        <f>IFERROR(__xludf.DUMMYFUNCTION("""COMPUTED_VALUE"""),"FIP-DOM-000-11304-OS00001-INA-000000")</f>
        <v>FIP-DOM-000-11304-OS00001-INA-000000</v>
      </c>
      <c r="P777" s="6" t="str">
        <f>IFERROR(__xludf.DUMMYFUNCTION("""COMPUTED_VALUE"""),"PO Closed")</f>
        <v>PO Closed</v>
      </c>
      <c r="Q777" s="6" t="str">
        <f>IFERROR(__xludf.DUMMYFUNCTION("""COMPUTED_VALUE"""),"GL1903334")</f>
        <v>GL1903334</v>
      </c>
      <c r="R777" s="16">
        <f>IFERROR(__xludf.DUMMYFUNCTION("""COMPUTED_VALUE"""),43538.0)</f>
        <v>43538</v>
      </c>
      <c r="S777" s="6" t="str">
        <f>IFERROR(__xludf.DUMMYFUNCTION("""COMPUTED_VALUE"""),"-")</f>
        <v>-</v>
      </c>
      <c r="T777" s="17">
        <f>IFERROR(__xludf.DUMMYFUNCTION("""COMPUTED_VALUE"""),43564.0)</f>
        <v>43564</v>
      </c>
    </row>
    <row r="778">
      <c r="A778" s="6" t="str">
        <f>IFERROR(__xludf.DUMMYFUNCTION("""COMPUTED_VALUE"""),"191750106-2")</f>
        <v>191750106-2</v>
      </c>
      <c r="B778" s="6" t="str">
        <f>IFERROR(__xludf.DUMMYFUNCTION("""COMPUTED_VALUE"""),"191750106 - Approved")</f>
        <v>191750106 - Approved</v>
      </c>
      <c r="C778" s="6">
        <f>IFERROR(__xludf.DUMMYFUNCTION("""COMPUTED_VALUE"""),2.0)</f>
        <v>2</v>
      </c>
      <c r="D778" s="6" t="str">
        <f>IFERROR(__xludf.DUMMYFUNCTION("""COMPUTED_VALUE"""),"Q-10588-00")</f>
        <v>Q-10588-00</v>
      </c>
      <c r="E778" s="6" t="str">
        <f>IFERROR(__xludf.DUMMYFUNCTION("""COMPUTED_VALUE"""),"Sika Boom @750 ml")</f>
        <v>Sika Boom @750 ml</v>
      </c>
      <c r="F778" s="6">
        <f>IFERROR(__xludf.DUMMYFUNCTION("""COMPUTED_VALUE"""),2.0)</f>
        <v>2</v>
      </c>
      <c r="G778" s="6" t="str">
        <f>IFERROR(__xludf.DUMMYFUNCTION("""COMPUTED_VALUE"""),"Pieces")</f>
        <v>Pieces</v>
      </c>
      <c r="H778" s="6" t="str">
        <f>IFERROR(__xludf.DUMMYFUNCTION("""COMPUTED_VALUE"""),"IDR")</f>
        <v>IDR</v>
      </c>
      <c r="I778" s="11">
        <f>IFERROR(__xludf.DUMMYFUNCTION("""COMPUTED_VALUE"""),150000.0)</f>
        <v>150000</v>
      </c>
      <c r="J778" s="11">
        <f>IFERROR(__xludf.DUMMYFUNCTION("""COMPUTED_VALUE"""),300000.0)</f>
        <v>300000</v>
      </c>
      <c r="K778" s="13">
        <f>IFERROR(__xludf.DUMMYFUNCTION("""COMPUTED_VALUE"""),43567.0)</f>
        <v>43567</v>
      </c>
      <c r="L778" s="6" t="str">
        <f>IFERROR(__xludf.DUMMYFUNCTION("""COMPUTED_VALUE"""),"FIP Engineering")</f>
        <v>FIP Engineering</v>
      </c>
      <c r="M778" s="6" t="str">
        <f>IFERROR(__xludf.DUMMYFUNCTION("""COMPUTED_VALUE"""),"Irwan Sopian")</f>
        <v>Irwan Sopian</v>
      </c>
      <c r="N778" s="6" t="str">
        <f>IFERROR(__xludf.DUMMYFUNCTION("""COMPUTED_VALUE"""),"FIP Engineering")</f>
        <v>FIP Engineering</v>
      </c>
      <c r="O778" s="6" t="str">
        <f>IFERROR(__xludf.DUMMYFUNCTION("""COMPUTED_VALUE"""),"FIP-DOM-000-11304-OS00001-INA-000000")</f>
        <v>FIP-DOM-000-11304-OS00001-INA-000000</v>
      </c>
      <c r="P778" s="6" t="str">
        <f>IFERROR(__xludf.DUMMYFUNCTION("""COMPUTED_VALUE"""),"PO Closed")</f>
        <v>PO Closed</v>
      </c>
      <c r="Q778" s="6" t="str">
        <f>IFERROR(__xludf.DUMMYFUNCTION("""COMPUTED_VALUE"""),"GL1903334")</f>
        <v>GL1903334</v>
      </c>
      <c r="R778" s="16">
        <f>IFERROR(__xludf.DUMMYFUNCTION("""COMPUTED_VALUE"""),43538.0)</f>
        <v>43538</v>
      </c>
      <c r="S778" s="6" t="str">
        <f>IFERROR(__xludf.DUMMYFUNCTION("""COMPUTED_VALUE"""),"-")</f>
        <v>-</v>
      </c>
      <c r="T778" s="13">
        <f>IFERROR(__xludf.DUMMYFUNCTION("""COMPUTED_VALUE"""),43564.0)</f>
        <v>43564</v>
      </c>
    </row>
    <row r="779">
      <c r="A779" s="6" t="str">
        <f>IFERROR(__xludf.DUMMYFUNCTION("""COMPUTED_VALUE"""),"191750106-3")</f>
        <v>191750106-3</v>
      </c>
      <c r="B779" s="6" t="str">
        <f>IFERROR(__xludf.DUMMYFUNCTION("""COMPUTED_VALUE"""),"191750106 - Approved")</f>
        <v>191750106 - Approved</v>
      </c>
      <c r="C779" s="6">
        <f>IFERROR(__xludf.DUMMYFUNCTION("""COMPUTED_VALUE"""),3.0)</f>
        <v>3</v>
      </c>
      <c r="D779" s="6" t="str">
        <f>IFERROR(__xludf.DUMMYFUNCTION("""COMPUTED_VALUE"""),"P-13581-00")</f>
        <v>P-13581-00</v>
      </c>
      <c r="E779" s="6" t="str">
        <f>IFERROR(__xludf.DUMMYFUNCTION("""COMPUTED_VALUE"""),"Mata Bor HSS-R")</f>
        <v>Mata Bor HSS-R</v>
      </c>
      <c r="F779" s="6">
        <f>IFERROR(__xludf.DUMMYFUNCTION("""COMPUTED_VALUE"""),1.0)</f>
        <v>1</v>
      </c>
      <c r="G779" s="6" t="str">
        <f>IFERROR(__xludf.DUMMYFUNCTION("""COMPUTED_VALUE"""),"Pieces")</f>
        <v>Pieces</v>
      </c>
      <c r="H779" s="6" t="str">
        <f>IFERROR(__xludf.DUMMYFUNCTION("""COMPUTED_VALUE"""),"IDR")</f>
        <v>IDR</v>
      </c>
      <c r="I779" s="11">
        <f>IFERROR(__xludf.DUMMYFUNCTION("""COMPUTED_VALUE"""),420000.0)</f>
        <v>420000</v>
      </c>
      <c r="J779" s="11">
        <f>IFERROR(__xludf.DUMMYFUNCTION("""COMPUTED_VALUE"""),420000.0)</f>
        <v>420000</v>
      </c>
      <c r="K779" s="13">
        <f>IFERROR(__xludf.DUMMYFUNCTION("""COMPUTED_VALUE"""),43567.0)</f>
        <v>43567</v>
      </c>
      <c r="L779" s="6" t="str">
        <f>IFERROR(__xludf.DUMMYFUNCTION("""COMPUTED_VALUE"""),"FIP General")</f>
        <v>FIP General</v>
      </c>
      <c r="M779" s="6" t="str">
        <f>IFERROR(__xludf.DUMMYFUNCTION("""COMPUTED_VALUE"""),"Irwan Sopian")</f>
        <v>Irwan Sopian</v>
      </c>
      <c r="N779" s="6" t="str">
        <f>IFERROR(__xludf.DUMMYFUNCTION("""COMPUTED_VALUE"""),"FIP Engineering")</f>
        <v>FIP Engineering</v>
      </c>
      <c r="O779" s="6" t="str">
        <f>IFERROR(__xludf.DUMMYFUNCTION("""COMPUTED_VALUE"""),"FIP-DOM-ENG-51404-0000000-INA-000000")</f>
        <v>FIP-DOM-ENG-51404-0000000-INA-000000</v>
      </c>
      <c r="P779" s="6" t="str">
        <f>IFERROR(__xludf.DUMMYFUNCTION("""COMPUTED_VALUE"""),"PO Closed")</f>
        <v>PO Closed</v>
      </c>
      <c r="Q779" s="6" t="str">
        <f>IFERROR(__xludf.DUMMYFUNCTION("""COMPUTED_VALUE"""),"GL1903334")</f>
        <v>GL1903334</v>
      </c>
      <c r="R779" s="16">
        <f>IFERROR(__xludf.DUMMYFUNCTION("""COMPUTED_VALUE"""),43538.0)</f>
        <v>43538</v>
      </c>
      <c r="S779" s="6" t="str">
        <f>IFERROR(__xludf.DUMMYFUNCTION("""COMPUTED_VALUE"""),"-")</f>
        <v>-</v>
      </c>
      <c r="T779" s="13">
        <f>IFERROR(__xludf.DUMMYFUNCTION("""COMPUTED_VALUE"""),43584.0)</f>
        <v>43584</v>
      </c>
    </row>
    <row r="780">
      <c r="A780" s="6" t="str">
        <f>IFERROR(__xludf.DUMMYFUNCTION("""COMPUTED_VALUE"""),"191750106-4")</f>
        <v>191750106-4</v>
      </c>
      <c r="B780" s="6" t="str">
        <f>IFERROR(__xludf.DUMMYFUNCTION("""COMPUTED_VALUE"""),"191750106 - Approved")</f>
        <v>191750106 - Approved</v>
      </c>
      <c r="C780" s="6">
        <f>IFERROR(__xludf.DUMMYFUNCTION("""COMPUTED_VALUE"""),4.0)</f>
        <v>4</v>
      </c>
      <c r="D780" s="6" t="str">
        <f>IFERROR(__xludf.DUMMYFUNCTION("""COMPUTED_VALUE"""),"P-13649-00")</f>
        <v>P-13649-00</v>
      </c>
      <c r="E780" s="6" t="str">
        <f>IFERROR(__xludf.DUMMYFUNCTION("""COMPUTED_VALUE"""),"Tee SS 304 welded dia 3/4 inch")</f>
        <v>Tee SS 304 welded dia 3/4 inch</v>
      </c>
      <c r="F780" s="6">
        <f>IFERROR(__xludf.DUMMYFUNCTION("""COMPUTED_VALUE"""),2.0)</f>
        <v>2</v>
      </c>
      <c r="G780" s="6" t="str">
        <f>IFERROR(__xludf.DUMMYFUNCTION("""COMPUTED_VALUE"""),"Pieces")</f>
        <v>Pieces</v>
      </c>
      <c r="H780" s="6" t="str">
        <f>IFERROR(__xludf.DUMMYFUNCTION("""COMPUTED_VALUE"""),"IDR")</f>
        <v>IDR</v>
      </c>
      <c r="I780" s="11">
        <f>IFERROR(__xludf.DUMMYFUNCTION("""COMPUTED_VALUE"""),98000.0)</f>
        <v>98000</v>
      </c>
      <c r="J780" s="11">
        <f>IFERROR(__xludf.DUMMYFUNCTION("""COMPUTED_VALUE"""),196000.0)</f>
        <v>196000</v>
      </c>
      <c r="K780" s="13">
        <f>IFERROR(__xludf.DUMMYFUNCTION("""COMPUTED_VALUE"""),43567.0)</f>
        <v>43567</v>
      </c>
      <c r="L780" s="6" t="str">
        <f>IFERROR(__xludf.DUMMYFUNCTION("""COMPUTED_VALUE"""),"FIP Engineering")</f>
        <v>FIP Engineering</v>
      </c>
      <c r="M780" s="6" t="str">
        <f>IFERROR(__xludf.DUMMYFUNCTION("""COMPUTED_VALUE"""),"Irwan Sopian")</f>
        <v>Irwan Sopian</v>
      </c>
      <c r="N780" s="6" t="str">
        <f>IFERROR(__xludf.DUMMYFUNCTION("""COMPUTED_VALUE"""),"FIP Engineering")</f>
        <v>FIP Engineering</v>
      </c>
      <c r="O780" s="6" t="str">
        <f>IFERROR(__xludf.DUMMYFUNCTION("""COMPUTED_VALUE"""),"FIP-DOM-000-11304-OS00001-INA-000000")</f>
        <v>FIP-DOM-000-11304-OS00001-INA-000000</v>
      </c>
      <c r="P780" s="6" t="str">
        <f>IFERROR(__xludf.DUMMYFUNCTION("""COMPUTED_VALUE"""),"PO Closed")</f>
        <v>PO Closed</v>
      </c>
      <c r="Q780" s="6" t="str">
        <f>IFERROR(__xludf.DUMMYFUNCTION("""COMPUTED_VALUE"""),"GL1903334")</f>
        <v>GL1903334</v>
      </c>
      <c r="R780" s="16">
        <f>IFERROR(__xludf.DUMMYFUNCTION("""COMPUTED_VALUE"""),43538.0)</f>
        <v>43538</v>
      </c>
      <c r="S780" s="6" t="str">
        <f>IFERROR(__xludf.DUMMYFUNCTION("""COMPUTED_VALUE"""),"-")</f>
        <v>-</v>
      </c>
      <c r="T780" s="13">
        <f>IFERROR(__xludf.DUMMYFUNCTION("""COMPUTED_VALUE"""),43564.0)</f>
        <v>43564</v>
      </c>
    </row>
    <row r="781">
      <c r="A781" s="6" t="str">
        <f>IFERROR(__xludf.DUMMYFUNCTION("""COMPUTED_VALUE"""),"191750106-5")</f>
        <v>191750106-5</v>
      </c>
      <c r="B781" s="6" t="str">
        <f>IFERROR(__xludf.DUMMYFUNCTION("""COMPUTED_VALUE"""),"191750106 - Approved")</f>
        <v>191750106 - Approved</v>
      </c>
      <c r="C781" s="6">
        <f>IFERROR(__xludf.DUMMYFUNCTION("""COMPUTED_VALUE"""),5.0)</f>
        <v>5</v>
      </c>
      <c r="D781" s="6" t="str">
        <f>IFERROR(__xludf.DUMMYFUNCTION("""COMPUTED_VALUE"""),"P-51560-00")</f>
        <v>P-51560-00</v>
      </c>
      <c r="E781" s="6" t="str">
        <f>IFERROR(__xludf.DUMMYFUNCTION("""COMPUTED_VALUE"""),"Lampu T5 28watt Putih Phillips")</f>
        <v>Lampu T5 28watt Putih Phillips</v>
      </c>
      <c r="F781" s="6">
        <f>IFERROR(__xludf.DUMMYFUNCTION("""COMPUTED_VALUE"""),20.0)</f>
        <v>20</v>
      </c>
      <c r="G781" s="6" t="str">
        <f>IFERROR(__xludf.DUMMYFUNCTION("""COMPUTED_VALUE"""),"Pieces")</f>
        <v>Pieces</v>
      </c>
      <c r="H781" s="6" t="str">
        <f>IFERROR(__xludf.DUMMYFUNCTION("""COMPUTED_VALUE"""),"IDR")</f>
        <v>IDR</v>
      </c>
      <c r="I781" s="11">
        <f>IFERROR(__xludf.DUMMYFUNCTION("""COMPUTED_VALUE"""),36000.0)</f>
        <v>36000</v>
      </c>
      <c r="J781" s="11">
        <f>IFERROR(__xludf.DUMMYFUNCTION("""COMPUTED_VALUE"""),720000.0)</f>
        <v>720000</v>
      </c>
      <c r="K781" s="13">
        <f>IFERROR(__xludf.DUMMYFUNCTION("""COMPUTED_VALUE"""),43567.0)</f>
        <v>43567</v>
      </c>
      <c r="L781" s="6" t="str">
        <f>IFERROR(__xludf.DUMMYFUNCTION("""COMPUTED_VALUE"""),"FIP Engineering")</f>
        <v>FIP Engineering</v>
      </c>
      <c r="M781" s="6" t="str">
        <f>IFERROR(__xludf.DUMMYFUNCTION("""COMPUTED_VALUE"""),"Irwan Sopian")</f>
        <v>Irwan Sopian</v>
      </c>
      <c r="N781" s="6" t="str">
        <f>IFERROR(__xludf.DUMMYFUNCTION("""COMPUTED_VALUE"""),"FIP Engineering")</f>
        <v>FIP Engineering</v>
      </c>
      <c r="O781" s="6" t="str">
        <f>IFERROR(__xludf.DUMMYFUNCTION("""COMPUTED_VALUE"""),"FIP-DOM-000-11304-OS00001-INA-000000")</f>
        <v>FIP-DOM-000-11304-OS00001-INA-000000</v>
      </c>
      <c r="P781" s="6" t="str">
        <f>IFERROR(__xludf.DUMMYFUNCTION("""COMPUTED_VALUE"""),"PO Closed")</f>
        <v>PO Closed</v>
      </c>
      <c r="Q781" s="6" t="str">
        <f>IFERROR(__xludf.DUMMYFUNCTION("""COMPUTED_VALUE"""),"GL1903334")</f>
        <v>GL1903334</v>
      </c>
      <c r="R781" s="16">
        <f>IFERROR(__xludf.DUMMYFUNCTION("""COMPUTED_VALUE"""),43538.0)</f>
        <v>43538</v>
      </c>
      <c r="S781" s="6" t="str">
        <f>IFERROR(__xludf.DUMMYFUNCTION("""COMPUTED_VALUE"""),"-")</f>
        <v>-</v>
      </c>
      <c r="T781" s="13">
        <f>IFERROR(__xludf.DUMMYFUNCTION("""COMPUTED_VALUE"""),43564.0)</f>
        <v>43564</v>
      </c>
    </row>
    <row r="782">
      <c r="A782" s="6" t="str">
        <f>IFERROR(__xludf.DUMMYFUNCTION("""COMPUTED_VALUE"""),"191750106-6")</f>
        <v>191750106-6</v>
      </c>
      <c r="B782" s="6" t="str">
        <f>IFERROR(__xludf.DUMMYFUNCTION("""COMPUTED_VALUE"""),"191750106 - Approved")</f>
        <v>191750106 - Approved</v>
      </c>
      <c r="C782" s="6">
        <f>IFERROR(__xludf.DUMMYFUNCTION("""COMPUTED_VALUE"""),6.0)</f>
        <v>6</v>
      </c>
      <c r="D782" s="6" t="str">
        <f>IFERROR(__xludf.DUMMYFUNCTION("""COMPUTED_VALUE"""),"O-15931-00")</f>
        <v>O-15931-00</v>
      </c>
      <c r="E782" s="6" t="str">
        <f>IFERROR(__xludf.DUMMYFUNCTION("""COMPUTED_VALUE"""),"Double Tape 3M 1"" Merah; ; ;")</f>
        <v>Double Tape 3M 1" Merah; ; ;</v>
      </c>
      <c r="F782" s="6">
        <f>IFERROR(__xludf.DUMMYFUNCTION("""COMPUTED_VALUE"""),5.0)</f>
        <v>5</v>
      </c>
      <c r="G782" s="6" t="str">
        <f>IFERROR(__xludf.DUMMYFUNCTION("""COMPUTED_VALUE"""),"Pieces")</f>
        <v>Pieces</v>
      </c>
      <c r="H782" s="6" t="str">
        <f>IFERROR(__xludf.DUMMYFUNCTION("""COMPUTED_VALUE"""),"IDR")</f>
        <v>IDR</v>
      </c>
      <c r="I782" s="11">
        <f>IFERROR(__xludf.DUMMYFUNCTION("""COMPUTED_VALUE"""),112500.0)</f>
        <v>112500</v>
      </c>
      <c r="J782" s="11">
        <f>IFERROR(__xludf.DUMMYFUNCTION("""COMPUTED_VALUE"""),562500.0)</f>
        <v>562500</v>
      </c>
      <c r="K782" s="13">
        <f>IFERROR(__xludf.DUMMYFUNCTION("""COMPUTED_VALUE"""),43567.0)</f>
        <v>43567</v>
      </c>
      <c r="L782" s="6" t="str">
        <f>IFERROR(__xludf.DUMMYFUNCTION("""COMPUTED_VALUE"""),"FIP Engineering")</f>
        <v>FIP Engineering</v>
      </c>
      <c r="M782" s="6" t="str">
        <f>IFERROR(__xludf.DUMMYFUNCTION("""COMPUTED_VALUE"""),"Irwan Sopian")</f>
        <v>Irwan Sopian</v>
      </c>
      <c r="N782" s="6" t="str">
        <f>IFERROR(__xludf.DUMMYFUNCTION("""COMPUTED_VALUE"""),"FIP Engineering")</f>
        <v>FIP Engineering</v>
      </c>
      <c r="O782" s="6" t="str">
        <f>IFERROR(__xludf.DUMMYFUNCTION("""COMPUTED_VALUE"""),"FIP-DOM-000-11304-OS00001-INA-000000")</f>
        <v>FIP-DOM-000-11304-OS00001-INA-000000</v>
      </c>
      <c r="P782" s="6" t="str">
        <f>IFERROR(__xludf.DUMMYFUNCTION("""COMPUTED_VALUE"""),"PO Closed")</f>
        <v>PO Closed</v>
      </c>
      <c r="Q782" s="6" t="str">
        <f>IFERROR(__xludf.DUMMYFUNCTION("""COMPUTED_VALUE"""),"GL1903334")</f>
        <v>GL1903334</v>
      </c>
      <c r="R782" s="16">
        <f>IFERROR(__xludf.DUMMYFUNCTION("""COMPUTED_VALUE"""),43538.0)</f>
        <v>43538</v>
      </c>
      <c r="S782" s="6" t="str">
        <f>IFERROR(__xludf.DUMMYFUNCTION("""COMPUTED_VALUE"""),"-")</f>
        <v>-</v>
      </c>
      <c r="T782" s="13">
        <f>IFERROR(__xludf.DUMMYFUNCTION("""COMPUTED_VALUE"""),43564.0)</f>
        <v>43564</v>
      </c>
    </row>
    <row r="783">
      <c r="A783" s="6" t="str">
        <f>IFERROR(__xludf.DUMMYFUNCTION("""COMPUTED_VALUE"""),"191750106-7")</f>
        <v>191750106-7</v>
      </c>
      <c r="B783" s="6" t="str">
        <f>IFERROR(__xludf.DUMMYFUNCTION("""COMPUTED_VALUE"""),"191750106 - Approved")</f>
        <v>191750106 - Approved</v>
      </c>
      <c r="C783" s="6">
        <f>IFERROR(__xludf.DUMMYFUNCTION("""COMPUTED_VALUE"""),7.0)</f>
        <v>7</v>
      </c>
      <c r="D783" s="6" t="str">
        <f>IFERROR(__xludf.DUMMYFUNCTION("""COMPUTED_VALUE"""),"P-11350-00")</f>
        <v>P-11350-00</v>
      </c>
      <c r="E783" s="6" t="str">
        <f>IFERROR(__xludf.DUMMYFUNCTION("""COMPUTED_VALUE"""),"Roda Caster Supo Dia : 4"" ( 100 x 38 mm ) Swivel Flange / Without Breake")</f>
        <v>Roda Caster Supo Dia : 4" ( 100 x 38 mm ) Swivel Flange / Without Breake</v>
      </c>
      <c r="F783" s="6">
        <f>IFERROR(__xludf.DUMMYFUNCTION("""COMPUTED_VALUE"""),1.0)</f>
        <v>1</v>
      </c>
      <c r="G783" s="6" t="str">
        <f>IFERROR(__xludf.DUMMYFUNCTION("""COMPUTED_VALUE"""),"Pieces")</f>
        <v>Pieces</v>
      </c>
      <c r="H783" s="6" t="str">
        <f>IFERROR(__xludf.DUMMYFUNCTION("""COMPUTED_VALUE"""),"IDR")</f>
        <v>IDR</v>
      </c>
      <c r="I783" s="11">
        <f>IFERROR(__xludf.DUMMYFUNCTION("""COMPUTED_VALUE"""),375000.0)</f>
        <v>375000</v>
      </c>
      <c r="J783" s="11">
        <f>IFERROR(__xludf.DUMMYFUNCTION("""COMPUTED_VALUE"""),375000.0)</f>
        <v>375000</v>
      </c>
      <c r="K783" s="13">
        <f>IFERROR(__xludf.DUMMYFUNCTION("""COMPUTED_VALUE"""),43567.0)</f>
        <v>43567</v>
      </c>
      <c r="L783" s="6" t="str">
        <f>IFERROR(__xludf.DUMMYFUNCTION("""COMPUTED_VALUE"""),"FIP Engineering")</f>
        <v>FIP Engineering</v>
      </c>
      <c r="M783" s="6" t="str">
        <f>IFERROR(__xludf.DUMMYFUNCTION("""COMPUTED_VALUE"""),"Irwan Sopian")</f>
        <v>Irwan Sopian</v>
      </c>
      <c r="N783" s="6" t="str">
        <f>IFERROR(__xludf.DUMMYFUNCTION("""COMPUTED_VALUE"""),"FIP Engineering")</f>
        <v>FIP Engineering</v>
      </c>
      <c r="O783" s="6" t="str">
        <f>IFERROR(__xludf.DUMMYFUNCTION("""COMPUTED_VALUE"""),"FIP-DOM-000-11304-OS00001-INA-000000")</f>
        <v>FIP-DOM-000-11304-OS00001-INA-000000</v>
      </c>
      <c r="P783" s="6" t="str">
        <f>IFERROR(__xludf.DUMMYFUNCTION("""COMPUTED_VALUE"""),"PO Closed")</f>
        <v>PO Closed</v>
      </c>
      <c r="Q783" s="6" t="str">
        <f>IFERROR(__xludf.DUMMYFUNCTION("""COMPUTED_VALUE"""),"GL1903334")</f>
        <v>GL1903334</v>
      </c>
      <c r="R783" s="16">
        <f>IFERROR(__xludf.DUMMYFUNCTION("""COMPUTED_VALUE"""),43538.0)</f>
        <v>43538</v>
      </c>
      <c r="S783" s="6" t="str">
        <f>IFERROR(__xludf.DUMMYFUNCTION("""COMPUTED_VALUE"""),"-")</f>
        <v>-</v>
      </c>
      <c r="T783" s="13">
        <f>IFERROR(__xludf.DUMMYFUNCTION("""COMPUTED_VALUE"""),43564.0)</f>
        <v>43564</v>
      </c>
    </row>
    <row r="784">
      <c r="A784" s="6" t="str">
        <f>IFERROR(__xludf.DUMMYFUNCTION("""COMPUTED_VALUE"""),"191750106-8")</f>
        <v>191750106-8</v>
      </c>
      <c r="B784" s="6" t="str">
        <f>IFERROR(__xludf.DUMMYFUNCTION("""COMPUTED_VALUE"""),"191750106 - Approved")</f>
        <v>191750106 - Approved</v>
      </c>
      <c r="C784" s="6">
        <f>IFERROR(__xludf.DUMMYFUNCTION("""COMPUTED_VALUE"""),8.0)</f>
        <v>8</v>
      </c>
      <c r="D784" s="6" t="str">
        <f>IFERROR(__xludf.DUMMYFUNCTION("""COMPUTED_VALUE"""),"O-51698-00")</f>
        <v>O-51698-00</v>
      </c>
      <c r="E784" s="6" t="str">
        <f>IFERROR(__xludf.DUMMYFUNCTION("""COMPUTED_VALUE"""),"OMRON - Relay MY4Z 24VDC")</f>
        <v>OMRON - Relay MY4Z 24VDC</v>
      </c>
      <c r="F784" s="6">
        <f>IFERROR(__xludf.DUMMYFUNCTION("""COMPUTED_VALUE"""),5.0)</f>
        <v>5</v>
      </c>
      <c r="G784" s="6" t="str">
        <f>IFERROR(__xludf.DUMMYFUNCTION("""COMPUTED_VALUE"""),"Pieces")</f>
        <v>Pieces</v>
      </c>
      <c r="H784" s="6" t="str">
        <f>IFERROR(__xludf.DUMMYFUNCTION("""COMPUTED_VALUE"""),"IDR")</f>
        <v>IDR</v>
      </c>
      <c r="I784" s="11">
        <f>IFERROR(__xludf.DUMMYFUNCTION("""COMPUTED_VALUE"""),75000.0)</f>
        <v>75000</v>
      </c>
      <c r="J784" s="11">
        <f>IFERROR(__xludf.DUMMYFUNCTION("""COMPUTED_VALUE"""),375000.0)</f>
        <v>375000</v>
      </c>
      <c r="K784" s="13">
        <f>IFERROR(__xludf.DUMMYFUNCTION("""COMPUTED_VALUE"""),43567.0)</f>
        <v>43567</v>
      </c>
      <c r="L784" s="6" t="str">
        <f>IFERROR(__xludf.DUMMYFUNCTION("""COMPUTED_VALUE"""),"FIP Engineering")</f>
        <v>FIP Engineering</v>
      </c>
      <c r="M784" s="6" t="str">
        <f>IFERROR(__xludf.DUMMYFUNCTION("""COMPUTED_VALUE"""),"Irwan Sopian")</f>
        <v>Irwan Sopian</v>
      </c>
      <c r="N784" s="6" t="str">
        <f>IFERROR(__xludf.DUMMYFUNCTION("""COMPUTED_VALUE"""),"FIP Engineering")</f>
        <v>FIP Engineering</v>
      </c>
      <c r="O784" s="6" t="str">
        <f>IFERROR(__xludf.DUMMYFUNCTION("""COMPUTED_VALUE"""),"FIP-DOM-000-11304-OS00001-INA-000000")</f>
        <v>FIP-DOM-000-11304-OS00001-INA-000000</v>
      </c>
      <c r="P784" s="6" t="str">
        <f>IFERROR(__xludf.DUMMYFUNCTION("""COMPUTED_VALUE"""),"PO Closed")</f>
        <v>PO Closed</v>
      </c>
      <c r="Q784" s="6" t="str">
        <f>IFERROR(__xludf.DUMMYFUNCTION("""COMPUTED_VALUE"""),"GL1903334")</f>
        <v>GL1903334</v>
      </c>
      <c r="R784" s="16">
        <f>IFERROR(__xludf.DUMMYFUNCTION("""COMPUTED_VALUE"""),43538.0)</f>
        <v>43538</v>
      </c>
      <c r="S784" s="6" t="str">
        <f>IFERROR(__xludf.DUMMYFUNCTION("""COMPUTED_VALUE"""),"-")</f>
        <v>-</v>
      </c>
      <c r="T784" s="17">
        <f>IFERROR(__xludf.DUMMYFUNCTION("""COMPUTED_VALUE"""),43564.0)</f>
        <v>43564</v>
      </c>
    </row>
    <row r="785">
      <c r="A785" s="6" t="str">
        <f>IFERROR(__xludf.DUMMYFUNCTION("""COMPUTED_VALUE"""),"191750110-1")</f>
        <v>191750110-1</v>
      </c>
      <c r="B785" s="6" t="str">
        <f>IFERROR(__xludf.DUMMYFUNCTION("""COMPUTED_VALUE"""),"191750110 - Approved")</f>
        <v>191750110 - Approved</v>
      </c>
      <c r="C785" s="6">
        <f>IFERROR(__xludf.DUMMYFUNCTION("""COMPUTED_VALUE"""),1.0)</f>
        <v>1</v>
      </c>
      <c r="D785" s="6" t="str">
        <f>IFERROR(__xludf.DUMMYFUNCTION("""COMPUTED_VALUE"""),"P-12263-00")</f>
        <v>P-12263-00</v>
      </c>
      <c r="E785" s="6" t="str">
        <f>IFERROR(__xludf.DUMMYFUNCTION("""COMPUTED_VALUE"""),"FESTO - Push In Connector QS-8 p/n 153033")</f>
        <v>FESTO - Push In Connector QS-8 p/n 153033</v>
      </c>
      <c r="F785" s="6">
        <f>IFERROR(__xludf.DUMMYFUNCTION("""COMPUTED_VALUE"""),5.0)</f>
        <v>5</v>
      </c>
      <c r="G785" s="6" t="str">
        <f>IFERROR(__xludf.DUMMYFUNCTION("""COMPUTED_VALUE"""),"Pieces")</f>
        <v>Pieces</v>
      </c>
      <c r="H785" s="6" t="str">
        <f>IFERROR(__xludf.DUMMYFUNCTION("""COMPUTED_VALUE"""),"IDR")</f>
        <v>IDR</v>
      </c>
      <c r="I785" s="11">
        <f>IFERROR(__xludf.DUMMYFUNCTION("""COMPUTED_VALUE"""),48647.0)</f>
        <v>48647</v>
      </c>
      <c r="J785" s="11">
        <f>IFERROR(__xludf.DUMMYFUNCTION("""COMPUTED_VALUE"""),243235.0)</f>
        <v>243235</v>
      </c>
      <c r="K785" s="13">
        <f>IFERROR(__xludf.DUMMYFUNCTION("""COMPUTED_VALUE"""),43573.0)</f>
        <v>43573</v>
      </c>
      <c r="L785" s="6" t="str">
        <f>IFERROR(__xludf.DUMMYFUNCTION("""COMPUTED_VALUE"""),"FIP Engineering")</f>
        <v>FIP Engineering</v>
      </c>
      <c r="M785" s="6" t="str">
        <f>IFERROR(__xludf.DUMMYFUNCTION("""COMPUTED_VALUE"""),"Irwan Sopian")</f>
        <v>Irwan Sopian</v>
      </c>
      <c r="N785" s="6" t="str">
        <f>IFERROR(__xludf.DUMMYFUNCTION("""COMPUTED_VALUE"""),"FIP Engineering")</f>
        <v>FIP Engineering</v>
      </c>
      <c r="O785" s="6" t="str">
        <f>IFERROR(__xludf.DUMMYFUNCTION("""COMPUTED_VALUE"""),"FIP-DOM-000-11304-OS00001-INA-000000")</f>
        <v>FIP-DOM-000-11304-OS00001-INA-000000</v>
      </c>
      <c r="P785" s="6" t="str">
        <f>IFERROR(__xludf.DUMMYFUNCTION("""COMPUTED_VALUE"""),"PO Closed")</f>
        <v>PO Closed</v>
      </c>
      <c r="Q785" s="6" t="str">
        <f>IFERROR(__xludf.DUMMYFUNCTION("""COMPUTED_VALUE"""),"GL1904015")</f>
        <v>GL1904015</v>
      </c>
      <c r="R785" s="16">
        <f>IFERROR(__xludf.DUMMYFUNCTION("""COMPUTED_VALUE"""),43540.0)</f>
        <v>43540</v>
      </c>
      <c r="S785" s="6" t="str">
        <f>IFERROR(__xludf.DUMMYFUNCTION("""COMPUTED_VALUE"""),"-")</f>
        <v>-</v>
      </c>
      <c r="T785" s="13">
        <f>IFERROR(__xludf.DUMMYFUNCTION("""COMPUTED_VALUE"""),43573.0)</f>
        <v>43573</v>
      </c>
    </row>
    <row r="786">
      <c r="A786" s="6" t="str">
        <f>IFERROR(__xludf.DUMMYFUNCTION("""COMPUTED_VALUE"""),"191750110-2")</f>
        <v>191750110-2</v>
      </c>
      <c r="B786" s="6" t="str">
        <f>IFERROR(__xludf.DUMMYFUNCTION("""COMPUTED_VALUE"""),"191750110 - Approved")</f>
        <v>191750110 - Approved</v>
      </c>
      <c r="C786" s="6">
        <f>IFERROR(__xludf.DUMMYFUNCTION("""COMPUTED_VALUE"""),2.0)</f>
        <v>2</v>
      </c>
      <c r="D786" s="6" t="str">
        <f>IFERROR(__xludf.DUMMYFUNCTION("""COMPUTED_VALUE"""),"P-12258-00")</f>
        <v>P-12258-00</v>
      </c>
      <c r="E786" s="6" t="str">
        <f>IFERROR(__xludf.DUMMYFUNCTION("""COMPUTED_VALUE"""),"FESTO - Push In Connector QS-10-10")</f>
        <v>FESTO - Push In Connector QS-10-10</v>
      </c>
      <c r="F786" s="6">
        <f>IFERROR(__xludf.DUMMYFUNCTION("""COMPUTED_VALUE"""),5.0)</f>
        <v>5</v>
      </c>
      <c r="G786" s="6" t="str">
        <f>IFERROR(__xludf.DUMMYFUNCTION("""COMPUTED_VALUE"""),"Pieces")</f>
        <v>Pieces</v>
      </c>
      <c r="H786" s="6" t="str">
        <f>IFERROR(__xludf.DUMMYFUNCTION("""COMPUTED_VALUE"""),"IDR")</f>
        <v>IDR</v>
      </c>
      <c r="I786" s="11">
        <f>IFERROR(__xludf.DUMMYFUNCTION("""COMPUTED_VALUE"""),64221.0)</f>
        <v>64221</v>
      </c>
      <c r="J786" s="11">
        <f>IFERROR(__xludf.DUMMYFUNCTION("""COMPUTED_VALUE"""),321105.0)</f>
        <v>321105</v>
      </c>
      <c r="K786" s="13">
        <f>IFERROR(__xludf.DUMMYFUNCTION("""COMPUTED_VALUE"""),43573.0)</f>
        <v>43573</v>
      </c>
      <c r="L786" s="6" t="str">
        <f>IFERROR(__xludf.DUMMYFUNCTION("""COMPUTED_VALUE"""),"FIP Engineering")</f>
        <v>FIP Engineering</v>
      </c>
      <c r="M786" s="6" t="str">
        <f>IFERROR(__xludf.DUMMYFUNCTION("""COMPUTED_VALUE"""),"Irwan Sopian")</f>
        <v>Irwan Sopian</v>
      </c>
      <c r="N786" s="6" t="str">
        <f>IFERROR(__xludf.DUMMYFUNCTION("""COMPUTED_VALUE"""),"FIP Engineering")</f>
        <v>FIP Engineering</v>
      </c>
      <c r="O786" s="6" t="str">
        <f>IFERROR(__xludf.DUMMYFUNCTION("""COMPUTED_VALUE"""),"FIP-DOM-000-11304-OS00001-INA-000000")</f>
        <v>FIP-DOM-000-11304-OS00001-INA-000000</v>
      </c>
      <c r="P786" s="6" t="str">
        <f>IFERROR(__xludf.DUMMYFUNCTION("""COMPUTED_VALUE"""),"PO Closed")</f>
        <v>PO Closed</v>
      </c>
      <c r="Q786" s="6" t="str">
        <f>IFERROR(__xludf.DUMMYFUNCTION("""COMPUTED_VALUE"""),"GL1904015")</f>
        <v>GL1904015</v>
      </c>
      <c r="R786" s="16">
        <f>IFERROR(__xludf.DUMMYFUNCTION("""COMPUTED_VALUE"""),43540.0)</f>
        <v>43540</v>
      </c>
      <c r="S786" s="6" t="str">
        <f>IFERROR(__xludf.DUMMYFUNCTION("""COMPUTED_VALUE"""),"-")</f>
        <v>-</v>
      </c>
      <c r="T786" s="17">
        <f>IFERROR(__xludf.DUMMYFUNCTION("""COMPUTED_VALUE"""),43573.0)</f>
        <v>43573</v>
      </c>
    </row>
    <row r="787">
      <c r="A787" s="6" t="str">
        <f>IFERROR(__xludf.DUMMYFUNCTION("""COMPUTED_VALUE"""),"191750110-3")</f>
        <v>191750110-3</v>
      </c>
      <c r="B787" s="6" t="str">
        <f>IFERROR(__xludf.DUMMYFUNCTION("""COMPUTED_VALUE"""),"191750110 - Approved")</f>
        <v>191750110 - Approved</v>
      </c>
      <c r="C787" s="6">
        <f>IFERROR(__xludf.DUMMYFUNCTION("""COMPUTED_VALUE"""),3.0)</f>
        <v>3</v>
      </c>
      <c r="D787" s="6" t="str">
        <f>IFERROR(__xludf.DUMMYFUNCTION("""COMPUTED_VALUE"""),"P-14245-00")</f>
        <v>P-14245-00</v>
      </c>
      <c r="E787" s="6" t="str">
        <f>IFERROR(__xludf.DUMMYFUNCTION("""COMPUTED_VALUE"""),"Manual valve HE-2-QS-8 FESTO")</f>
        <v>Manual valve HE-2-QS-8 FESTO</v>
      </c>
      <c r="F787" s="6">
        <f>IFERROR(__xludf.DUMMYFUNCTION("""COMPUTED_VALUE"""),3.0)</f>
        <v>3</v>
      </c>
      <c r="G787" s="6" t="str">
        <f>IFERROR(__xludf.DUMMYFUNCTION("""COMPUTED_VALUE"""),"Pieces")</f>
        <v>Pieces</v>
      </c>
      <c r="H787" s="6" t="str">
        <f>IFERROR(__xludf.DUMMYFUNCTION("""COMPUTED_VALUE"""),"IDR")</f>
        <v>IDR</v>
      </c>
      <c r="I787" s="11">
        <f>IFERROR(__xludf.DUMMYFUNCTION("""COMPUTED_VALUE"""),249020.0)</f>
        <v>249020</v>
      </c>
      <c r="J787" s="11">
        <f>IFERROR(__xludf.DUMMYFUNCTION("""COMPUTED_VALUE"""),747060.0)</f>
        <v>747060</v>
      </c>
      <c r="K787" s="13">
        <f>IFERROR(__xludf.DUMMYFUNCTION("""COMPUTED_VALUE"""),43573.0)</f>
        <v>43573</v>
      </c>
      <c r="L787" s="6" t="str">
        <f>IFERROR(__xludf.DUMMYFUNCTION("""COMPUTED_VALUE"""),"FIP Engineering")</f>
        <v>FIP Engineering</v>
      </c>
      <c r="M787" s="6" t="str">
        <f>IFERROR(__xludf.DUMMYFUNCTION("""COMPUTED_VALUE"""),"Irwan Sopian")</f>
        <v>Irwan Sopian</v>
      </c>
      <c r="N787" s="6" t="str">
        <f>IFERROR(__xludf.DUMMYFUNCTION("""COMPUTED_VALUE"""),"FIP Engineering")</f>
        <v>FIP Engineering</v>
      </c>
      <c r="O787" s="6" t="str">
        <f>IFERROR(__xludf.DUMMYFUNCTION("""COMPUTED_VALUE"""),"FIP-DOM-000-11304-OS00001-INA-000000")</f>
        <v>FIP-DOM-000-11304-OS00001-INA-000000</v>
      </c>
      <c r="P787" s="6" t="str">
        <f>IFERROR(__xludf.DUMMYFUNCTION("""COMPUTED_VALUE"""),"PO Closed")</f>
        <v>PO Closed</v>
      </c>
      <c r="Q787" s="6" t="str">
        <f>IFERROR(__xludf.DUMMYFUNCTION("""COMPUTED_VALUE"""),"GL1904015")</f>
        <v>GL1904015</v>
      </c>
      <c r="R787" s="16">
        <f>IFERROR(__xludf.DUMMYFUNCTION("""COMPUTED_VALUE"""),43540.0)</f>
        <v>43540</v>
      </c>
      <c r="S787" s="6" t="str">
        <f>IFERROR(__xludf.DUMMYFUNCTION("""COMPUTED_VALUE"""),"-")</f>
        <v>-</v>
      </c>
      <c r="T787" s="17">
        <f>IFERROR(__xludf.DUMMYFUNCTION("""COMPUTED_VALUE"""),43573.0)</f>
        <v>43573</v>
      </c>
    </row>
    <row r="788">
      <c r="A788" s="6" t="str">
        <f>IFERROR(__xludf.DUMMYFUNCTION("""COMPUTED_VALUE"""),"191750110-4")</f>
        <v>191750110-4</v>
      </c>
      <c r="B788" s="6" t="str">
        <f>IFERROR(__xludf.DUMMYFUNCTION("""COMPUTED_VALUE"""),"191750110 - Approved")</f>
        <v>191750110 - Approved</v>
      </c>
      <c r="C788" s="6">
        <f>IFERROR(__xludf.DUMMYFUNCTION("""COMPUTED_VALUE"""),4.0)</f>
        <v>4</v>
      </c>
      <c r="D788" s="6" t="str">
        <f>IFERROR(__xludf.DUMMYFUNCTION("""COMPUTED_VALUE"""),"P-13650-00")</f>
        <v>P-13650-00</v>
      </c>
      <c r="E788" s="6" t="str">
        <f>IFERROR(__xludf.DUMMYFUNCTION("""COMPUTED_VALUE"""),"Manual Valve HE-2-QS-6 FESTO")</f>
        <v>Manual Valve HE-2-QS-6 FESTO</v>
      </c>
      <c r="F788" s="6">
        <f>IFERROR(__xludf.DUMMYFUNCTION("""COMPUTED_VALUE"""),3.0)</f>
        <v>3</v>
      </c>
      <c r="G788" s="6" t="str">
        <f>IFERROR(__xludf.DUMMYFUNCTION("""COMPUTED_VALUE"""),"Pieces")</f>
        <v>Pieces</v>
      </c>
      <c r="H788" s="6" t="str">
        <f>IFERROR(__xludf.DUMMYFUNCTION("""COMPUTED_VALUE"""),"IDR")</f>
        <v>IDR</v>
      </c>
      <c r="I788" s="11">
        <f>IFERROR(__xludf.DUMMYFUNCTION("""COMPUTED_VALUE"""),229566.0)</f>
        <v>229566</v>
      </c>
      <c r="J788" s="11">
        <f>IFERROR(__xludf.DUMMYFUNCTION("""COMPUTED_VALUE"""),688698.0)</f>
        <v>688698</v>
      </c>
      <c r="K788" s="13">
        <f>IFERROR(__xludf.DUMMYFUNCTION("""COMPUTED_VALUE"""),43573.0)</f>
        <v>43573</v>
      </c>
      <c r="L788" s="6" t="str">
        <f>IFERROR(__xludf.DUMMYFUNCTION("""COMPUTED_VALUE"""),"FIP Engineering")</f>
        <v>FIP Engineering</v>
      </c>
      <c r="M788" s="6" t="str">
        <f>IFERROR(__xludf.DUMMYFUNCTION("""COMPUTED_VALUE"""),"Irwan Sopian")</f>
        <v>Irwan Sopian</v>
      </c>
      <c r="N788" s="6" t="str">
        <f>IFERROR(__xludf.DUMMYFUNCTION("""COMPUTED_VALUE"""),"FIP Engineering")</f>
        <v>FIP Engineering</v>
      </c>
      <c r="O788" s="6" t="str">
        <f>IFERROR(__xludf.DUMMYFUNCTION("""COMPUTED_VALUE"""),"FIP-DOM-000-11304-OS00001-INA-000000")</f>
        <v>FIP-DOM-000-11304-OS00001-INA-000000</v>
      </c>
      <c r="P788" s="6" t="str">
        <f>IFERROR(__xludf.DUMMYFUNCTION("""COMPUTED_VALUE"""),"PO Closed")</f>
        <v>PO Closed</v>
      </c>
      <c r="Q788" s="6" t="str">
        <f>IFERROR(__xludf.DUMMYFUNCTION("""COMPUTED_VALUE"""),"GL1904015")</f>
        <v>GL1904015</v>
      </c>
      <c r="R788" s="16">
        <f>IFERROR(__xludf.DUMMYFUNCTION("""COMPUTED_VALUE"""),43540.0)</f>
        <v>43540</v>
      </c>
      <c r="S788" s="6" t="str">
        <f>IFERROR(__xludf.DUMMYFUNCTION("""COMPUTED_VALUE"""),"-")</f>
        <v>-</v>
      </c>
      <c r="T788" s="13">
        <f>IFERROR(__xludf.DUMMYFUNCTION("""COMPUTED_VALUE"""),43573.0)</f>
        <v>43573</v>
      </c>
    </row>
    <row r="789">
      <c r="A789" s="6" t="str">
        <f>IFERROR(__xludf.DUMMYFUNCTION("""COMPUTED_VALUE"""),"191750110-5")</f>
        <v>191750110-5</v>
      </c>
      <c r="B789" s="6" t="str">
        <f>IFERROR(__xludf.DUMMYFUNCTION("""COMPUTED_VALUE"""),"191750110 - Approved")</f>
        <v>191750110 - Approved</v>
      </c>
      <c r="C789" s="6">
        <f>IFERROR(__xludf.DUMMYFUNCTION("""COMPUTED_VALUE"""),5.0)</f>
        <v>5</v>
      </c>
      <c r="D789" s="6" t="str">
        <f>IFERROR(__xludf.DUMMYFUNCTION("""COMPUTED_VALUE"""),"P-51880-00")</f>
        <v>P-51880-00</v>
      </c>
      <c r="E789" s="6" t="str">
        <f>IFERROR(__xludf.DUMMYFUNCTION("""COMPUTED_VALUE"""),"Battery 2500mAH 1.2V")</f>
        <v>Battery 2500mAH 1.2V</v>
      </c>
      <c r="F789" s="6">
        <f>IFERROR(__xludf.DUMMYFUNCTION("""COMPUTED_VALUE"""),5.0)</f>
        <v>5</v>
      </c>
      <c r="G789" s="6" t="str">
        <f>IFERROR(__xludf.DUMMYFUNCTION("""COMPUTED_VALUE"""),"Set")</f>
        <v>Set</v>
      </c>
      <c r="H789" s="6" t="str">
        <f>IFERROR(__xludf.DUMMYFUNCTION("""COMPUTED_VALUE"""),"IDR")</f>
        <v>IDR</v>
      </c>
      <c r="I789" s="11">
        <f>IFERROR(__xludf.DUMMYFUNCTION("""COMPUTED_VALUE"""),650000.0)</f>
        <v>650000</v>
      </c>
      <c r="J789" s="11">
        <f>IFERROR(__xludf.DUMMYFUNCTION("""COMPUTED_VALUE"""),3250000.0)</f>
        <v>3250000</v>
      </c>
      <c r="K789" s="13">
        <f>IFERROR(__xludf.DUMMYFUNCTION("""COMPUTED_VALUE"""),43573.0)</f>
        <v>43573</v>
      </c>
      <c r="L789" s="6" t="str">
        <f>IFERROR(__xludf.DUMMYFUNCTION("""COMPUTED_VALUE"""),"FIP Engineering")</f>
        <v>FIP Engineering</v>
      </c>
      <c r="M789" s="6" t="str">
        <f>IFERROR(__xludf.DUMMYFUNCTION("""COMPUTED_VALUE"""),"Irwan Sopian")</f>
        <v>Irwan Sopian</v>
      </c>
      <c r="N789" s="6" t="str">
        <f>IFERROR(__xludf.DUMMYFUNCTION("""COMPUTED_VALUE"""),"FIP Engineering")</f>
        <v>FIP Engineering</v>
      </c>
      <c r="O789" s="6" t="str">
        <f>IFERROR(__xludf.DUMMYFUNCTION("""COMPUTED_VALUE"""),"FIP-DOM-000-11304-OS00001-INA-000000")</f>
        <v>FIP-DOM-000-11304-OS00001-INA-000000</v>
      </c>
      <c r="P789" s="6" t="str">
        <f>IFERROR(__xludf.DUMMYFUNCTION("""COMPUTED_VALUE"""),"PO Closed")</f>
        <v>PO Closed</v>
      </c>
      <c r="Q789" s="6" t="str">
        <f>IFERROR(__xludf.DUMMYFUNCTION("""COMPUTED_VALUE"""),"GL1904013")</f>
        <v>GL1904013</v>
      </c>
      <c r="R789" s="16">
        <f>IFERROR(__xludf.DUMMYFUNCTION("""COMPUTED_VALUE"""),43540.0)</f>
        <v>43540</v>
      </c>
      <c r="S789" s="6" t="str">
        <f>IFERROR(__xludf.DUMMYFUNCTION("""COMPUTED_VALUE"""),"-")</f>
        <v>-</v>
      </c>
      <c r="T789" s="13">
        <f>IFERROR(__xludf.DUMMYFUNCTION("""COMPUTED_VALUE"""),43567.0)</f>
        <v>43567</v>
      </c>
    </row>
    <row r="790">
      <c r="A790" s="6" t="str">
        <f>IFERROR(__xludf.DUMMYFUNCTION("""COMPUTED_VALUE"""),"191750109-1")</f>
        <v>191750109-1</v>
      </c>
      <c r="B790" s="6" t="str">
        <f>IFERROR(__xludf.DUMMYFUNCTION("""COMPUTED_VALUE"""),"191750109 - Approved")</f>
        <v>191750109 - Approved</v>
      </c>
      <c r="C790" s="6">
        <f>IFERROR(__xludf.DUMMYFUNCTION("""COMPUTED_VALUE"""),1.0)</f>
        <v>1</v>
      </c>
      <c r="D790" s="6" t="str">
        <f>IFERROR(__xludf.DUMMYFUNCTION("""COMPUTED_VALUE"""),"O-52211-00")</f>
        <v>O-52211-00</v>
      </c>
      <c r="E790" s="6" t="str">
        <f>IFERROR(__xludf.DUMMYFUNCTION("""COMPUTED_VALUE"""),"Autoclave Fedegari FVA2/A1 NB2963AT - Valve Actuator 1/2 inch p/n: GM200563")</f>
        <v>Autoclave Fedegari FVA2/A1 NB2963AT - Valve Actuator 1/2 inch p/n: GM200563</v>
      </c>
      <c r="F790" s="6">
        <f>IFERROR(__xludf.DUMMYFUNCTION("""COMPUTED_VALUE"""),1.0)</f>
        <v>1</v>
      </c>
      <c r="G790" s="6" t="str">
        <f>IFERROR(__xludf.DUMMYFUNCTION("""COMPUTED_VALUE"""),"Pieces")</f>
        <v>Pieces</v>
      </c>
      <c r="H790" s="6" t="str">
        <f>IFERROR(__xludf.DUMMYFUNCTION("""COMPUTED_VALUE"""),"EUR")</f>
        <v>EUR</v>
      </c>
      <c r="I790" s="11">
        <f>IFERROR(__xludf.DUMMYFUNCTION("""COMPUTED_VALUE"""),372.08)</f>
        <v>372.08</v>
      </c>
      <c r="J790" s="11">
        <f>IFERROR(__xludf.DUMMYFUNCTION("""COMPUTED_VALUE"""),372.08)</f>
        <v>372.08</v>
      </c>
      <c r="K790" s="13">
        <f>IFERROR(__xludf.DUMMYFUNCTION("""COMPUTED_VALUE"""),43585.0)</f>
        <v>43585</v>
      </c>
      <c r="L790" s="6" t="str">
        <f>IFERROR(__xludf.DUMMYFUNCTION("""COMPUTED_VALUE"""),"FIP Engineering")</f>
        <v>FIP Engineering</v>
      </c>
      <c r="M790" s="6" t="str">
        <f>IFERROR(__xludf.DUMMYFUNCTION("""COMPUTED_VALUE"""),"Irwan Sopian")</f>
        <v>Irwan Sopian</v>
      </c>
      <c r="N790" s="6" t="str">
        <f>IFERROR(__xludf.DUMMYFUNCTION("""COMPUTED_VALUE"""),"FIP Engineering")</f>
        <v>FIP Engineering</v>
      </c>
      <c r="O790" s="6" t="str">
        <f>IFERROR(__xludf.DUMMYFUNCTION("""COMPUTED_VALUE"""),"FIP-DOM-000-11304-OS00001-INA-000000")</f>
        <v>FIP-DOM-000-11304-OS00001-INA-000000</v>
      </c>
      <c r="P790" s="6" t="str">
        <f>IFERROR(__xludf.DUMMYFUNCTION("""COMPUTED_VALUE"""),"PO Closed")</f>
        <v>PO Closed</v>
      </c>
      <c r="Q790" s="6" t="str">
        <f>IFERROR(__xludf.DUMMYFUNCTION("""COMPUTED_VALUE"""),"GL1904014")</f>
        <v>GL1904014</v>
      </c>
      <c r="R790" s="16">
        <f>IFERROR(__xludf.DUMMYFUNCTION("""COMPUTED_VALUE"""),43540.0)</f>
        <v>43540</v>
      </c>
      <c r="S790" s="6" t="str">
        <f>IFERROR(__xludf.DUMMYFUNCTION("""COMPUTED_VALUE"""),"-")</f>
        <v>-</v>
      </c>
      <c r="T790" s="13">
        <f>IFERROR(__xludf.DUMMYFUNCTION("""COMPUTED_VALUE"""),43630.0)</f>
        <v>43630</v>
      </c>
    </row>
    <row r="791">
      <c r="A791" s="6" t="str">
        <f>IFERROR(__xludf.DUMMYFUNCTION("""COMPUTED_VALUE"""),"191750109-5")</f>
        <v>191750109-5</v>
      </c>
      <c r="B791" s="6" t="str">
        <f>IFERROR(__xludf.DUMMYFUNCTION("""COMPUTED_VALUE"""),"191750109 - Approved")</f>
        <v>191750109 - Approved</v>
      </c>
      <c r="C791" s="6">
        <f>IFERROR(__xludf.DUMMYFUNCTION("""COMPUTED_VALUE"""),5.0)</f>
        <v>5</v>
      </c>
      <c r="D791" s="6" t="str">
        <f>IFERROR(__xludf.DUMMYFUNCTION("""COMPUTED_VALUE"""),"O-52209-00")</f>
        <v>O-52209-00</v>
      </c>
      <c r="E791" s="6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F791" s="6">
        <f>IFERROR(__xludf.DUMMYFUNCTION("""COMPUTED_VALUE"""),1.0)</f>
        <v>1</v>
      </c>
      <c r="G791" s="6" t="str">
        <f>IFERROR(__xludf.DUMMYFUNCTION("""COMPUTED_VALUE"""),"Pieces")</f>
        <v>Pieces</v>
      </c>
      <c r="H791" s="6" t="str">
        <f>IFERROR(__xludf.DUMMYFUNCTION("""COMPUTED_VALUE"""),"EUR")</f>
        <v>EUR</v>
      </c>
      <c r="I791" s="11">
        <f>IFERROR(__xludf.DUMMYFUNCTION("""COMPUTED_VALUE"""),78.95)</f>
        <v>78.95</v>
      </c>
      <c r="J791" s="11">
        <f>IFERROR(__xludf.DUMMYFUNCTION("""COMPUTED_VALUE"""),78.95)</f>
        <v>78.95</v>
      </c>
      <c r="K791" s="13">
        <f>IFERROR(__xludf.DUMMYFUNCTION("""COMPUTED_VALUE"""),43585.0)</f>
        <v>43585</v>
      </c>
      <c r="L791" s="6" t="str">
        <f>IFERROR(__xludf.DUMMYFUNCTION("""COMPUTED_VALUE"""),"FIP Engineering")</f>
        <v>FIP Engineering</v>
      </c>
      <c r="M791" s="6" t="str">
        <f>IFERROR(__xludf.DUMMYFUNCTION("""COMPUTED_VALUE"""),"Irwan Sopian")</f>
        <v>Irwan Sopian</v>
      </c>
      <c r="N791" s="6" t="str">
        <f>IFERROR(__xludf.DUMMYFUNCTION("""COMPUTED_VALUE"""),"FIP Engineering")</f>
        <v>FIP Engineering</v>
      </c>
      <c r="O791" s="6" t="str">
        <f>IFERROR(__xludf.DUMMYFUNCTION("""COMPUTED_VALUE"""),"FIP-DOM-000-11304-OS00001-INA-000000")</f>
        <v>FIP-DOM-000-11304-OS00001-INA-000000</v>
      </c>
      <c r="P791" s="6" t="str">
        <f>IFERROR(__xludf.DUMMYFUNCTION("""COMPUTED_VALUE"""),"PO Closed")</f>
        <v>PO Closed</v>
      </c>
      <c r="Q791" s="6" t="str">
        <f>IFERROR(__xludf.DUMMYFUNCTION("""COMPUTED_VALUE"""),"GL1904014")</f>
        <v>GL1904014</v>
      </c>
      <c r="R791" s="16">
        <f>IFERROR(__xludf.DUMMYFUNCTION("""COMPUTED_VALUE"""),43540.0)</f>
        <v>43540</v>
      </c>
      <c r="S791" s="6" t="str">
        <f>IFERROR(__xludf.DUMMYFUNCTION("""COMPUTED_VALUE"""),"-")</f>
        <v>-</v>
      </c>
      <c r="T791" s="13">
        <f>IFERROR(__xludf.DUMMYFUNCTION("""COMPUTED_VALUE"""),43630.0)</f>
        <v>43630</v>
      </c>
    </row>
    <row r="792">
      <c r="A792" s="6" t="str">
        <f>IFERROR(__xludf.DUMMYFUNCTION("""COMPUTED_VALUE"""),"191750109-7")</f>
        <v>191750109-7</v>
      </c>
      <c r="B792" s="6" t="str">
        <f>IFERROR(__xludf.DUMMYFUNCTION("""COMPUTED_VALUE"""),"191750109 - Approved")</f>
        <v>191750109 - Approved</v>
      </c>
      <c r="C792" s="6">
        <f>IFERROR(__xludf.DUMMYFUNCTION("""COMPUTED_VALUE"""),7.0)</f>
        <v>7</v>
      </c>
      <c r="D792" s="6" t="str">
        <f>IFERROR(__xludf.DUMMYFUNCTION("""COMPUTED_VALUE"""),"O-16732-00")</f>
        <v>O-16732-00</v>
      </c>
      <c r="E792" s="6" t="str">
        <f>IFERROR(__xludf.DUMMYFUNCTION("""COMPUTED_VALUE"""),"Autoclave Fedegari FVA2/A1 NB2963AT - KIT Ricambi Valv. DN10 ON-OFF p/n: KS000025")</f>
        <v>Autoclave Fedegari FVA2/A1 NB2963AT - KIT Ricambi Valv. DN10 ON-OFF p/n: KS000025</v>
      </c>
      <c r="F792" s="6">
        <f>IFERROR(__xludf.DUMMYFUNCTION("""COMPUTED_VALUE"""),10.0)</f>
        <v>10</v>
      </c>
      <c r="G792" s="6" t="str">
        <f>IFERROR(__xludf.DUMMYFUNCTION("""COMPUTED_VALUE"""),"Pieces")</f>
        <v>Pieces</v>
      </c>
      <c r="H792" s="6" t="str">
        <f>IFERROR(__xludf.DUMMYFUNCTION("""COMPUTED_VALUE"""),"EUR")</f>
        <v>EUR</v>
      </c>
      <c r="I792" s="11">
        <f>IFERROR(__xludf.DUMMYFUNCTION("""COMPUTED_VALUE"""),7.31)</f>
        <v>7.31</v>
      </c>
      <c r="J792" s="11">
        <f>IFERROR(__xludf.DUMMYFUNCTION("""COMPUTED_VALUE"""),73.1)</f>
        <v>73.1</v>
      </c>
      <c r="K792" s="17">
        <f>IFERROR(__xludf.DUMMYFUNCTION("""COMPUTED_VALUE"""),43585.0)</f>
        <v>43585</v>
      </c>
      <c r="L792" s="6" t="str">
        <f>IFERROR(__xludf.DUMMYFUNCTION("""COMPUTED_VALUE"""),"FIP Engineering")</f>
        <v>FIP Engineering</v>
      </c>
      <c r="M792" s="6" t="str">
        <f>IFERROR(__xludf.DUMMYFUNCTION("""COMPUTED_VALUE"""),"Irwan Sopian")</f>
        <v>Irwan Sopian</v>
      </c>
      <c r="N792" s="6" t="str">
        <f>IFERROR(__xludf.DUMMYFUNCTION("""COMPUTED_VALUE"""),"FIP Engineering")</f>
        <v>FIP Engineering</v>
      </c>
      <c r="O792" s="6" t="str">
        <f>IFERROR(__xludf.DUMMYFUNCTION("""COMPUTED_VALUE"""),"FIP-DOM-000-11304-OS00001-INA-000000")</f>
        <v>FIP-DOM-000-11304-OS00001-INA-000000</v>
      </c>
      <c r="P792" s="6" t="str">
        <f>IFERROR(__xludf.DUMMYFUNCTION("""COMPUTED_VALUE"""),"PO Closed")</f>
        <v>PO Closed</v>
      </c>
      <c r="Q792" s="6" t="str">
        <f>IFERROR(__xludf.DUMMYFUNCTION("""COMPUTED_VALUE"""),"GL1904014")</f>
        <v>GL1904014</v>
      </c>
      <c r="R792" s="16">
        <f>IFERROR(__xludf.DUMMYFUNCTION("""COMPUTED_VALUE"""),43540.0)</f>
        <v>43540</v>
      </c>
      <c r="S792" s="6" t="str">
        <f>IFERROR(__xludf.DUMMYFUNCTION("""COMPUTED_VALUE"""),"-")</f>
        <v>-</v>
      </c>
      <c r="T792" s="13">
        <f>IFERROR(__xludf.DUMMYFUNCTION("""COMPUTED_VALUE"""),43630.0)</f>
        <v>43630</v>
      </c>
    </row>
    <row r="793">
      <c r="A793" s="6" t="str">
        <f>IFERROR(__xludf.DUMMYFUNCTION("""COMPUTED_VALUE"""),"191750109-8")</f>
        <v>191750109-8</v>
      </c>
      <c r="B793" s="6" t="str">
        <f>IFERROR(__xludf.DUMMYFUNCTION("""COMPUTED_VALUE"""),"191750109 - Approved")</f>
        <v>191750109 - Approved</v>
      </c>
      <c r="C793" s="6">
        <f>IFERROR(__xludf.DUMMYFUNCTION("""COMPUTED_VALUE"""),8.0)</f>
        <v>8</v>
      </c>
      <c r="D793" s="6" t="str">
        <f>IFERROR(__xludf.DUMMYFUNCTION("""COMPUTED_VALUE"""),"O-16731-00")</f>
        <v>O-16731-00</v>
      </c>
      <c r="E793" s="6" t="str">
        <f>IFERROR(__xludf.DUMMYFUNCTION("""COMPUTED_VALUE"""),"Autoclave Fedegari FVA2/A1 NB2963AT - KIT Ricambi Valv. DN10 ON-OFF p/n: KK000301")</f>
        <v>Autoclave Fedegari FVA2/A1 NB2963AT - KIT Ricambi Valv. DN10 ON-OFF p/n: KK000301</v>
      </c>
      <c r="F793" s="6">
        <f>IFERROR(__xludf.DUMMYFUNCTION("""COMPUTED_VALUE"""),5.0)</f>
        <v>5</v>
      </c>
      <c r="G793" s="6" t="str">
        <f>IFERROR(__xludf.DUMMYFUNCTION("""COMPUTED_VALUE"""),"Pieces")</f>
        <v>Pieces</v>
      </c>
      <c r="H793" s="6" t="str">
        <f>IFERROR(__xludf.DUMMYFUNCTION("""COMPUTED_VALUE"""),"EUR")</f>
        <v>EUR</v>
      </c>
      <c r="I793" s="11">
        <f>IFERROR(__xludf.DUMMYFUNCTION("""COMPUTED_VALUE"""),34.36)</f>
        <v>34.36</v>
      </c>
      <c r="J793" s="11">
        <f>IFERROR(__xludf.DUMMYFUNCTION("""COMPUTED_VALUE"""),171.8)</f>
        <v>171.8</v>
      </c>
      <c r="K793" s="13">
        <f>IFERROR(__xludf.DUMMYFUNCTION("""COMPUTED_VALUE"""),43585.0)</f>
        <v>43585</v>
      </c>
      <c r="L793" s="6" t="str">
        <f>IFERROR(__xludf.DUMMYFUNCTION("""COMPUTED_VALUE"""),"FIP Engineering")</f>
        <v>FIP Engineering</v>
      </c>
      <c r="M793" s="6" t="str">
        <f>IFERROR(__xludf.DUMMYFUNCTION("""COMPUTED_VALUE"""),"Irwan Sopian")</f>
        <v>Irwan Sopian</v>
      </c>
      <c r="N793" s="6" t="str">
        <f>IFERROR(__xludf.DUMMYFUNCTION("""COMPUTED_VALUE"""),"FIP Engineering")</f>
        <v>FIP Engineering</v>
      </c>
      <c r="O793" s="6" t="str">
        <f>IFERROR(__xludf.DUMMYFUNCTION("""COMPUTED_VALUE"""),"FIP-DOM-000-11304-OS00001-INA-000000")</f>
        <v>FIP-DOM-000-11304-OS00001-INA-000000</v>
      </c>
      <c r="P793" s="6" t="str">
        <f>IFERROR(__xludf.DUMMYFUNCTION("""COMPUTED_VALUE"""),"PO Closed")</f>
        <v>PO Closed</v>
      </c>
      <c r="Q793" s="6" t="str">
        <f>IFERROR(__xludf.DUMMYFUNCTION("""COMPUTED_VALUE"""),"GL1904014")</f>
        <v>GL1904014</v>
      </c>
      <c r="R793" s="16">
        <f>IFERROR(__xludf.DUMMYFUNCTION("""COMPUTED_VALUE"""),43540.0)</f>
        <v>43540</v>
      </c>
      <c r="S793" s="6" t="str">
        <f>IFERROR(__xludf.DUMMYFUNCTION("""COMPUTED_VALUE"""),"-")</f>
        <v>-</v>
      </c>
      <c r="T793" s="13">
        <f>IFERROR(__xludf.DUMMYFUNCTION("""COMPUTED_VALUE"""),43630.0)</f>
        <v>43630</v>
      </c>
    </row>
    <row r="794">
      <c r="A794" s="6" t="str">
        <f>IFERROR(__xludf.DUMMYFUNCTION("""COMPUTED_VALUE"""),"191750121-1")</f>
        <v>191750121-1</v>
      </c>
      <c r="B794" s="6" t="str">
        <f>IFERROR(__xludf.DUMMYFUNCTION("""COMPUTED_VALUE"""),"191750121 - Approved")</f>
        <v>191750121 - Approved</v>
      </c>
      <c r="C794" s="6">
        <f>IFERROR(__xludf.DUMMYFUNCTION("""COMPUTED_VALUE"""),1.0)</f>
        <v>1</v>
      </c>
      <c r="D794" s="6" t="str">
        <f>IFERROR(__xludf.DUMMYFUNCTION("""COMPUTED_VALUE"""),"T-20218-00")</f>
        <v>T-20218-00</v>
      </c>
      <c r="E794" s="6" t="str">
        <f>IFERROR(__xludf.DUMMYFUNCTION("""COMPUTED_VALUE"""),"Plunger Seal wash 2690, Waters, Part No. WAT271018, PKG (2 )")</f>
        <v>Plunger Seal wash 2690, Waters, Part No. WAT271018, PKG (2 )</v>
      </c>
      <c r="F794" s="6">
        <f>IFERROR(__xludf.DUMMYFUNCTION("""COMPUTED_VALUE"""),2.0)</f>
        <v>2</v>
      </c>
      <c r="G794" s="6" t="str">
        <f>IFERROR(__xludf.DUMMYFUNCTION("""COMPUTED_VALUE"""),"Pieces")</f>
        <v>Pieces</v>
      </c>
      <c r="H794" s="6" t="str">
        <f>IFERROR(__xludf.DUMMYFUNCTION("""COMPUTED_VALUE"""),"IDR")</f>
        <v>IDR</v>
      </c>
      <c r="I794" s="11">
        <f>IFERROR(__xludf.DUMMYFUNCTION("""COMPUTED_VALUE"""),1686060.0)</f>
        <v>1686060</v>
      </c>
      <c r="J794" s="11">
        <f>IFERROR(__xludf.DUMMYFUNCTION("""COMPUTED_VALUE"""),3372120.0)</f>
        <v>3372120</v>
      </c>
      <c r="K794" s="13">
        <f>IFERROR(__xludf.DUMMYFUNCTION("""COMPUTED_VALUE"""),43585.0)</f>
        <v>43585</v>
      </c>
      <c r="L794" s="6" t="str">
        <f>IFERROR(__xludf.DUMMYFUNCTION("""COMPUTED_VALUE"""),"FIP General")</f>
        <v>FIP General</v>
      </c>
      <c r="M794" s="6" t="str">
        <f>IFERROR(__xludf.DUMMYFUNCTION("""COMPUTED_VALUE"""),"Irwan Sopian")</f>
        <v>Irwan Sopian</v>
      </c>
      <c r="N794" s="6" t="str">
        <f>IFERROR(__xludf.DUMMYFUNCTION("""COMPUTED_VALUE"""),"FIP Engineering")</f>
        <v>FIP Engineering</v>
      </c>
      <c r="O794" s="6" t="str">
        <f>IFERROR(__xludf.DUMMYFUNCTION("""COMPUTED_VALUE"""),"FIP-DOM-ENG-51505-0000000-INA-000000")</f>
        <v>FIP-DOM-ENG-51505-0000000-INA-000000</v>
      </c>
      <c r="P794" s="6" t="str">
        <f>IFERROR(__xludf.DUMMYFUNCTION("""COMPUTED_VALUE"""),"PO Closed")</f>
        <v>PO Closed</v>
      </c>
      <c r="Q794" s="6" t="str">
        <f>IFERROR(__xludf.DUMMYFUNCTION("""COMPUTED_VALUE"""),"GL1904030")</f>
        <v>GL1904030</v>
      </c>
      <c r="R794" s="16">
        <f>IFERROR(__xludf.DUMMYFUNCTION("""COMPUTED_VALUE"""),43543.0)</f>
        <v>43543</v>
      </c>
      <c r="S794" s="6" t="str">
        <f>IFERROR(__xludf.DUMMYFUNCTION("""COMPUTED_VALUE"""),"-")</f>
        <v>-</v>
      </c>
      <c r="T794" s="13">
        <f>IFERROR(__xludf.DUMMYFUNCTION("""COMPUTED_VALUE"""),43584.0)</f>
        <v>43584</v>
      </c>
    </row>
    <row r="795">
      <c r="A795" s="6" t="str">
        <f>IFERROR(__xludf.DUMMYFUNCTION("""COMPUTED_VALUE"""),"191750121-2")</f>
        <v>191750121-2</v>
      </c>
      <c r="B795" s="6" t="str">
        <f>IFERROR(__xludf.DUMMYFUNCTION("""COMPUTED_VALUE"""),"191750121 - Approved")</f>
        <v>191750121 - Approved</v>
      </c>
      <c r="C795" s="6">
        <f>IFERROR(__xludf.DUMMYFUNCTION("""COMPUTED_VALUE"""),2.0)</f>
        <v>2</v>
      </c>
      <c r="D795" s="6" t="str">
        <f>IFERROR(__xludf.DUMMYFUNCTION("""COMPUTED_VALUE"""),"T-20212-00")</f>
        <v>T-20212-00</v>
      </c>
      <c r="E795" s="6" t="str">
        <f>IFERROR(__xludf.DUMMYFUNCTION("""COMPUTED_VALUE"""),"SEAL PLUNGER 2690, Waters, Part No. WAT270938, PKG (2)")</f>
        <v>SEAL PLUNGER 2690, Waters, Part No. WAT270938, PKG (2)</v>
      </c>
      <c r="F795" s="6">
        <f>IFERROR(__xludf.DUMMYFUNCTION("""COMPUTED_VALUE"""),2.0)</f>
        <v>2</v>
      </c>
      <c r="G795" s="6" t="str">
        <f>IFERROR(__xludf.DUMMYFUNCTION("""COMPUTED_VALUE"""),"Pieces")</f>
        <v>Pieces</v>
      </c>
      <c r="H795" s="6" t="str">
        <f>IFERROR(__xludf.DUMMYFUNCTION("""COMPUTED_VALUE"""),"IDR")</f>
        <v>IDR</v>
      </c>
      <c r="I795" s="11">
        <f>IFERROR(__xludf.DUMMYFUNCTION("""COMPUTED_VALUE"""),2349000.0)</f>
        <v>2349000</v>
      </c>
      <c r="J795" s="11">
        <f>IFERROR(__xludf.DUMMYFUNCTION("""COMPUTED_VALUE"""),4698000.0)</f>
        <v>4698000</v>
      </c>
      <c r="K795" s="13">
        <f>IFERROR(__xludf.DUMMYFUNCTION("""COMPUTED_VALUE"""),43585.0)</f>
        <v>43585</v>
      </c>
      <c r="L795" s="6" t="str">
        <f>IFERROR(__xludf.DUMMYFUNCTION("""COMPUTED_VALUE"""),"FIP General")</f>
        <v>FIP General</v>
      </c>
      <c r="M795" s="6" t="str">
        <f>IFERROR(__xludf.DUMMYFUNCTION("""COMPUTED_VALUE"""),"Irwan Sopian")</f>
        <v>Irwan Sopian</v>
      </c>
      <c r="N795" s="6" t="str">
        <f>IFERROR(__xludf.DUMMYFUNCTION("""COMPUTED_VALUE"""),"FIP Engineering")</f>
        <v>FIP Engineering</v>
      </c>
      <c r="O795" s="6" t="str">
        <f>IFERROR(__xludf.DUMMYFUNCTION("""COMPUTED_VALUE"""),"FIP-DOM-ENG-51505-0000000-INA-000000")</f>
        <v>FIP-DOM-ENG-51505-0000000-INA-000000</v>
      </c>
      <c r="P795" s="6" t="str">
        <f>IFERROR(__xludf.DUMMYFUNCTION("""COMPUTED_VALUE"""),"PO Closed")</f>
        <v>PO Closed</v>
      </c>
      <c r="Q795" s="6" t="str">
        <f>IFERROR(__xludf.DUMMYFUNCTION("""COMPUTED_VALUE"""),"GL1904030")</f>
        <v>GL1904030</v>
      </c>
      <c r="R795" s="16">
        <f>IFERROR(__xludf.DUMMYFUNCTION("""COMPUTED_VALUE"""),43543.0)</f>
        <v>43543</v>
      </c>
      <c r="S795" s="6" t="str">
        <f>IFERROR(__xludf.DUMMYFUNCTION("""COMPUTED_VALUE"""),"-")</f>
        <v>-</v>
      </c>
      <c r="T795" s="13">
        <f>IFERROR(__xludf.DUMMYFUNCTION("""COMPUTED_VALUE"""),43584.0)</f>
        <v>43584</v>
      </c>
    </row>
    <row r="796">
      <c r="A796" s="6" t="str">
        <f>IFERROR(__xludf.DUMMYFUNCTION("""COMPUTED_VALUE"""),"191750119-1")</f>
        <v>191750119-1</v>
      </c>
      <c r="B796" s="6" t="str">
        <f>IFERROR(__xludf.DUMMYFUNCTION("""COMPUTED_VALUE"""),"191750119 - Approved")</f>
        <v>191750119 - Approved</v>
      </c>
      <c r="C796" s="6">
        <f>IFERROR(__xludf.DUMMYFUNCTION("""COMPUTED_VALUE"""),1.0)</f>
        <v>1</v>
      </c>
      <c r="D796" s="6" t="str">
        <f>IFERROR(__xludf.DUMMYFUNCTION("""COMPUTED_VALUE"""),"P-53362-00")</f>
        <v>P-53362-00</v>
      </c>
      <c r="E796" s="6" t="str">
        <f>IFERROR(__xludf.DUMMYFUNCTION("""COMPUTED_VALUE"""),"Contactor Schneider LC1D09M7 Coil 220 VAC")</f>
        <v>Contactor Schneider LC1D09M7 Coil 220 VAC</v>
      </c>
      <c r="F796" s="6">
        <f>IFERROR(__xludf.DUMMYFUNCTION("""COMPUTED_VALUE"""),3.0)</f>
        <v>3</v>
      </c>
      <c r="G796" s="6" t="str">
        <f>IFERROR(__xludf.DUMMYFUNCTION("""COMPUTED_VALUE"""),"Pieces")</f>
        <v>Pieces</v>
      </c>
      <c r="H796" s="6" t="str">
        <f>IFERROR(__xludf.DUMMYFUNCTION("""COMPUTED_VALUE"""),"IDR")</f>
        <v>IDR</v>
      </c>
      <c r="I796" s="11">
        <f>IFERROR(__xludf.DUMMYFUNCTION("""COMPUTED_VALUE"""),249545.0)</f>
        <v>249545</v>
      </c>
      <c r="J796" s="11">
        <f>IFERROR(__xludf.DUMMYFUNCTION("""COMPUTED_VALUE"""),748635.0)</f>
        <v>748635</v>
      </c>
      <c r="K796" s="13">
        <f>IFERROR(__xludf.DUMMYFUNCTION("""COMPUTED_VALUE"""),43560.0)</f>
        <v>43560</v>
      </c>
      <c r="L796" s="6" t="str">
        <f>IFERROR(__xludf.DUMMYFUNCTION("""COMPUTED_VALUE"""),"FIP Engineering")</f>
        <v>FIP Engineering</v>
      </c>
      <c r="M796" s="6" t="str">
        <f>IFERROR(__xludf.DUMMYFUNCTION("""COMPUTED_VALUE"""),"Irwan Sopian")</f>
        <v>Irwan Sopian</v>
      </c>
      <c r="N796" s="6" t="str">
        <f>IFERROR(__xludf.DUMMYFUNCTION("""COMPUTED_VALUE"""),"FIP Engineering")</f>
        <v>FIP Engineering</v>
      </c>
      <c r="O796" s="6" t="str">
        <f>IFERROR(__xludf.DUMMYFUNCTION("""COMPUTED_VALUE"""),"FIP-DOM-000-11304-OS00001-INA-000000")</f>
        <v>FIP-DOM-000-11304-OS00001-INA-000000</v>
      </c>
      <c r="P796" s="6" t="str">
        <f>IFERROR(__xludf.DUMMYFUNCTION("""COMPUTED_VALUE"""),"PO Closed")</f>
        <v>PO Closed</v>
      </c>
      <c r="Q796" s="6" t="str">
        <f>IFERROR(__xludf.DUMMYFUNCTION("""COMPUTED_VALUE"""),"GL1903334")</f>
        <v>GL1903334</v>
      </c>
      <c r="R796" s="16">
        <f>IFERROR(__xludf.DUMMYFUNCTION("""COMPUTED_VALUE"""),43543.0)</f>
        <v>43543</v>
      </c>
      <c r="S796" s="6" t="str">
        <f>IFERROR(__xludf.DUMMYFUNCTION("""COMPUTED_VALUE"""),"-")</f>
        <v>-</v>
      </c>
      <c r="T796" s="13">
        <f>IFERROR(__xludf.DUMMYFUNCTION("""COMPUTED_VALUE"""),43564.0)</f>
        <v>43564</v>
      </c>
    </row>
    <row r="797">
      <c r="A797" s="6" t="str">
        <f>IFERROR(__xludf.DUMMYFUNCTION("""COMPUTED_VALUE"""),"191750118-1")</f>
        <v>191750118-1</v>
      </c>
      <c r="B797" s="6" t="str">
        <f>IFERROR(__xludf.DUMMYFUNCTION("""COMPUTED_VALUE"""),"191750118 - Approved")</f>
        <v>191750118 - Approved</v>
      </c>
      <c r="C797" s="6">
        <f>IFERROR(__xludf.DUMMYFUNCTION("""COMPUTED_VALUE"""),1.0)</f>
        <v>1</v>
      </c>
      <c r="D797" s="6" t="str">
        <f>IFERROR(__xludf.DUMMYFUNCTION("""COMPUTED_VALUE"""),"P-14458-00")</f>
        <v>P-14458-00</v>
      </c>
      <c r="E797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797" s="6">
        <f>IFERROR(__xludf.DUMMYFUNCTION("""COMPUTED_VALUE"""),4.0)</f>
        <v>4</v>
      </c>
      <c r="G797" s="6" t="str">
        <f>IFERROR(__xludf.DUMMYFUNCTION("""COMPUTED_VALUE"""),"Pieces")</f>
        <v>Pieces</v>
      </c>
      <c r="H797" s="6" t="str">
        <f>IFERROR(__xludf.DUMMYFUNCTION("""COMPUTED_VALUE"""),"IDR")</f>
        <v>IDR</v>
      </c>
      <c r="I797" s="11">
        <f>IFERROR(__xludf.DUMMYFUNCTION("""COMPUTED_VALUE"""),1200000.0)</f>
        <v>1200000</v>
      </c>
      <c r="J797" s="11">
        <f>IFERROR(__xludf.DUMMYFUNCTION("""COMPUTED_VALUE"""),4800000.0)</f>
        <v>4800000</v>
      </c>
      <c r="K797" s="13">
        <f>IFERROR(__xludf.DUMMYFUNCTION("""COMPUTED_VALUE"""),43574.0)</f>
        <v>43574</v>
      </c>
      <c r="L797" s="6" t="str">
        <f>IFERROR(__xludf.DUMMYFUNCTION("""COMPUTED_VALUE"""),"FIP Engineering")</f>
        <v>FIP Engineering</v>
      </c>
      <c r="M797" s="6" t="str">
        <f>IFERROR(__xludf.DUMMYFUNCTION("""COMPUTED_VALUE"""),"Irwan Sopian")</f>
        <v>Irwan Sopian</v>
      </c>
      <c r="N797" s="6" t="str">
        <f>IFERROR(__xludf.DUMMYFUNCTION("""COMPUTED_VALUE"""),"FIP Engineering")</f>
        <v>FIP Engineering</v>
      </c>
      <c r="O797" s="6" t="str">
        <f>IFERROR(__xludf.DUMMYFUNCTION("""COMPUTED_VALUE"""),"FIP-DOM-000-11304-OS00001-INA-000000")</f>
        <v>FIP-DOM-000-11304-OS00001-INA-000000</v>
      </c>
      <c r="P797" s="6" t="str">
        <f>IFERROR(__xludf.DUMMYFUNCTION("""COMPUTED_VALUE"""),"PO Closed")</f>
        <v>PO Closed</v>
      </c>
      <c r="Q797" s="6" t="str">
        <f>IFERROR(__xludf.DUMMYFUNCTION("""COMPUTED_VALUE"""),"GL1903036")</f>
        <v>GL1903036</v>
      </c>
      <c r="R797" s="16">
        <f>IFERROR(__xludf.DUMMYFUNCTION("""COMPUTED_VALUE"""),43543.0)</f>
        <v>43543</v>
      </c>
      <c r="S797" s="6" t="str">
        <f>IFERROR(__xludf.DUMMYFUNCTION("""COMPUTED_VALUE"""),"-")</f>
        <v>-</v>
      </c>
      <c r="T797" s="17">
        <f>IFERROR(__xludf.DUMMYFUNCTION("""COMPUTED_VALUE"""),43570.0)</f>
        <v>43570</v>
      </c>
    </row>
    <row r="798">
      <c r="A798" s="6" t="str">
        <f>IFERROR(__xludf.DUMMYFUNCTION("""COMPUTED_VALUE"""),"191750121-3")</f>
        <v>191750121-3</v>
      </c>
      <c r="B798" s="6" t="str">
        <f>IFERROR(__xludf.DUMMYFUNCTION("""COMPUTED_VALUE"""),"191750121 - Approved")</f>
        <v>191750121 - Approved</v>
      </c>
      <c r="C798" s="6">
        <f>IFERROR(__xludf.DUMMYFUNCTION("""COMPUTED_VALUE"""),3.0)</f>
        <v>3</v>
      </c>
      <c r="D798" s="6" t="str">
        <f>IFERROR(__xludf.DUMMYFUNCTION("""COMPUTED_VALUE"""),"T-20118-00")</f>
        <v>T-20118-00</v>
      </c>
      <c r="E798" s="6" t="str">
        <f>IFERROR(__xludf.DUMMYFUNCTION("""COMPUTED_VALUE"""),"FILTER INSERT ASSY Waters P/N WAT088084 1 pc")</f>
        <v>FILTER INSERT ASSY Waters P/N WAT088084 1 pc</v>
      </c>
      <c r="F798" s="6">
        <f>IFERROR(__xludf.DUMMYFUNCTION("""COMPUTED_VALUE"""),2.0)</f>
        <v>2</v>
      </c>
      <c r="G798" s="6" t="str">
        <f>IFERROR(__xludf.DUMMYFUNCTION("""COMPUTED_VALUE"""),"Pieces")</f>
        <v>Pieces</v>
      </c>
      <c r="H798" s="6" t="str">
        <f>IFERROR(__xludf.DUMMYFUNCTION("""COMPUTED_VALUE"""),"IDR")</f>
        <v>IDR</v>
      </c>
      <c r="I798" s="11">
        <f>IFERROR(__xludf.DUMMYFUNCTION("""COMPUTED_VALUE"""),435000.0)</f>
        <v>435000</v>
      </c>
      <c r="J798" s="11">
        <f>IFERROR(__xludf.DUMMYFUNCTION("""COMPUTED_VALUE"""),870000.0)</f>
        <v>870000</v>
      </c>
      <c r="K798" s="13">
        <f>IFERROR(__xludf.DUMMYFUNCTION("""COMPUTED_VALUE"""),43585.0)</f>
        <v>43585</v>
      </c>
      <c r="L798" s="6" t="str">
        <f>IFERROR(__xludf.DUMMYFUNCTION("""COMPUTED_VALUE"""),"FIP General")</f>
        <v>FIP General</v>
      </c>
      <c r="M798" s="6" t="str">
        <f>IFERROR(__xludf.DUMMYFUNCTION("""COMPUTED_VALUE"""),"Irwan Sopian")</f>
        <v>Irwan Sopian</v>
      </c>
      <c r="N798" s="6" t="str">
        <f>IFERROR(__xludf.DUMMYFUNCTION("""COMPUTED_VALUE"""),"FIP Engineering")</f>
        <v>FIP Engineering</v>
      </c>
      <c r="O798" s="6" t="str">
        <f>IFERROR(__xludf.DUMMYFUNCTION("""COMPUTED_VALUE"""),"FIP-DOM-ENG-51505-0000000-INA-000000")</f>
        <v>FIP-DOM-ENG-51505-0000000-INA-000000</v>
      </c>
      <c r="P798" s="6" t="str">
        <f>IFERROR(__xludf.DUMMYFUNCTION("""COMPUTED_VALUE"""),"PO Closed")</f>
        <v>PO Closed</v>
      </c>
      <c r="Q798" s="6" t="str">
        <f>IFERROR(__xludf.DUMMYFUNCTION("""COMPUTED_VALUE"""),"GL1904030")</f>
        <v>GL1904030</v>
      </c>
      <c r="R798" s="16">
        <f>IFERROR(__xludf.DUMMYFUNCTION("""COMPUTED_VALUE"""),43549.0)</f>
        <v>43549</v>
      </c>
      <c r="S798" s="6" t="str">
        <f>IFERROR(__xludf.DUMMYFUNCTION("""COMPUTED_VALUE"""),"-")</f>
        <v>-</v>
      </c>
      <c r="T798" s="13">
        <f>IFERROR(__xludf.DUMMYFUNCTION("""COMPUTED_VALUE"""),43584.0)</f>
        <v>43584</v>
      </c>
    </row>
    <row r="799">
      <c r="A799" s="6" t="str">
        <f>IFERROR(__xludf.DUMMYFUNCTION("""COMPUTED_VALUE"""),"191750132-1")</f>
        <v>191750132-1</v>
      </c>
      <c r="B799" s="6" t="str">
        <f>IFERROR(__xludf.DUMMYFUNCTION("""COMPUTED_VALUE"""),"191750132 - Approved")</f>
        <v>191750132 - Approved</v>
      </c>
      <c r="C799" s="6">
        <f>IFERROR(__xludf.DUMMYFUNCTION("""COMPUTED_VALUE"""),1.0)</f>
        <v>1</v>
      </c>
      <c r="D799" s="6" t="str">
        <f>IFERROR(__xludf.DUMMYFUNCTION("""COMPUTED_VALUE"""),"O-15019-00")</f>
        <v>O-15019-00</v>
      </c>
      <c r="E799" s="6" t="str">
        <f>IFERROR(__xludf.DUMMYFUNCTION("""COMPUTED_VALUE"""),"Bearing 6004 H SS")</f>
        <v>Bearing 6004 H SS</v>
      </c>
      <c r="F799" s="6">
        <f>IFERROR(__xludf.DUMMYFUNCTION("""COMPUTED_VALUE"""),5.0)</f>
        <v>5</v>
      </c>
      <c r="G799" s="6" t="str">
        <f>IFERROR(__xludf.DUMMYFUNCTION("""COMPUTED_VALUE"""),"Pieces")</f>
        <v>Pieces</v>
      </c>
      <c r="H799" s="6" t="str">
        <f>IFERROR(__xludf.DUMMYFUNCTION("""COMPUTED_VALUE"""),"IDR")</f>
        <v>IDR</v>
      </c>
      <c r="I799" s="11">
        <f>IFERROR(__xludf.DUMMYFUNCTION("""COMPUTED_VALUE"""),89000.0)</f>
        <v>89000</v>
      </c>
      <c r="J799" s="11">
        <f>IFERROR(__xludf.DUMMYFUNCTION("""COMPUTED_VALUE"""),445000.0)</f>
        <v>445000</v>
      </c>
      <c r="K799" s="13">
        <f>IFERROR(__xludf.DUMMYFUNCTION("""COMPUTED_VALUE"""),43585.0)</f>
        <v>43585</v>
      </c>
      <c r="L799" s="6" t="str">
        <f>IFERROR(__xludf.DUMMYFUNCTION("""COMPUTED_VALUE"""),"FIP Engineering")</f>
        <v>FIP Engineering</v>
      </c>
      <c r="M799" s="6" t="str">
        <f>IFERROR(__xludf.DUMMYFUNCTION("""COMPUTED_VALUE"""),"Irwan Sopian")</f>
        <v>Irwan Sopian</v>
      </c>
      <c r="N799" s="6" t="str">
        <f>IFERROR(__xludf.DUMMYFUNCTION("""COMPUTED_VALUE"""),"FIP Engineering")</f>
        <v>FIP Engineering</v>
      </c>
      <c r="O799" s="6" t="str">
        <f>IFERROR(__xludf.DUMMYFUNCTION("""COMPUTED_VALUE"""),"FIP-DOM-000-11304-OS00001-INA-000000")</f>
        <v>FIP-DOM-000-11304-OS00001-INA-000000</v>
      </c>
      <c r="P799" s="6" t="str">
        <f>IFERROR(__xludf.DUMMYFUNCTION("""COMPUTED_VALUE"""),"PO Closed")</f>
        <v>PO Closed</v>
      </c>
      <c r="Q799" s="6" t="str">
        <f>IFERROR(__xludf.DUMMYFUNCTION("""COMPUTED_VALUE"""),"GL1904040")</f>
        <v>GL1904040</v>
      </c>
      <c r="R799" s="16">
        <f>IFERROR(__xludf.DUMMYFUNCTION("""COMPUTED_VALUE"""),43552.0)</f>
        <v>43552</v>
      </c>
      <c r="S799" s="6" t="str">
        <f>IFERROR(__xludf.DUMMYFUNCTION("""COMPUTED_VALUE"""),"-")</f>
        <v>-</v>
      </c>
      <c r="T799" s="13">
        <f>IFERROR(__xludf.DUMMYFUNCTION("""COMPUTED_VALUE"""),43599.0)</f>
        <v>43599</v>
      </c>
    </row>
    <row r="800">
      <c r="A800" s="6" t="str">
        <f>IFERROR(__xludf.DUMMYFUNCTION("""COMPUTED_VALUE"""),"191750132-2")</f>
        <v>191750132-2</v>
      </c>
      <c r="B800" s="6" t="str">
        <f>IFERROR(__xludf.DUMMYFUNCTION("""COMPUTED_VALUE"""),"191750132 - Approved")</f>
        <v>191750132 - Approved</v>
      </c>
      <c r="C800" s="6">
        <f>IFERROR(__xludf.DUMMYFUNCTION("""COMPUTED_VALUE"""),2.0)</f>
        <v>2</v>
      </c>
      <c r="D800" s="6" t="str">
        <f>IFERROR(__xludf.DUMMYFUNCTION("""COMPUTED_VALUE"""),"P-10598-00")</f>
        <v>P-10598-00</v>
      </c>
      <c r="E800" s="6" t="str">
        <f>IFERROR(__xludf.DUMMYFUNCTION("""COMPUTED_VALUE"""),"Bearing 61805 2RS1 SKF")</f>
        <v>Bearing 61805 2RS1 SKF</v>
      </c>
      <c r="F800" s="6">
        <f>IFERROR(__xludf.DUMMYFUNCTION("""COMPUTED_VALUE"""),5.0)</f>
        <v>5</v>
      </c>
      <c r="G800" s="6" t="str">
        <f>IFERROR(__xludf.DUMMYFUNCTION("""COMPUTED_VALUE"""),"Pieces")</f>
        <v>Pieces</v>
      </c>
      <c r="H800" s="6" t="str">
        <f>IFERROR(__xludf.DUMMYFUNCTION("""COMPUTED_VALUE"""),"IDR")</f>
        <v>IDR</v>
      </c>
      <c r="I800" s="11">
        <f>IFERROR(__xludf.DUMMYFUNCTION("""COMPUTED_VALUE"""),59000.0)</f>
        <v>59000</v>
      </c>
      <c r="J800" s="11">
        <f>IFERROR(__xludf.DUMMYFUNCTION("""COMPUTED_VALUE"""),295000.0)</f>
        <v>295000</v>
      </c>
      <c r="K800" s="13">
        <f>IFERROR(__xludf.DUMMYFUNCTION("""COMPUTED_VALUE"""),43585.0)</f>
        <v>43585</v>
      </c>
      <c r="L800" s="6" t="str">
        <f>IFERROR(__xludf.DUMMYFUNCTION("""COMPUTED_VALUE"""),"FIP Engineering")</f>
        <v>FIP Engineering</v>
      </c>
      <c r="M800" s="6" t="str">
        <f>IFERROR(__xludf.DUMMYFUNCTION("""COMPUTED_VALUE"""),"Irwan Sopian")</f>
        <v>Irwan Sopian</v>
      </c>
      <c r="N800" s="6" t="str">
        <f>IFERROR(__xludf.DUMMYFUNCTION("""COMPUTED_VALUE"""),"FIP Engineering")</f>
        <v>FIP Engineering</v>
      </c>
      <c r="O800" s="6" t="str">
        <f>IFERROR(__xludf.DUMMYFUNCTION("""COMPUTED_VALUE"""),"FIP-DOM-000-11304-OS00001-INA-000000")</f>
        <v>FIP-DOM-000-11304-OS00001-INA-000000</v>
      </c>
      <c r="P800" s="6" t="str">
        <f>IFERROR(__xludf.DUMMYFUNCTION("""COMPUTED_VALUE"""),"PO Closed")</f>
        <v>PO Closed</v>
      </c>
      <c r="Q800" s="6" t="str">
        <f>IFERROR(__xludf.DUMMYFUNCTION("""COMPUTED_VALUE"""),"GL1904040")</f>
        <v>GL1904040</v>
      </c>
      <c r="R800" s="16">
        <f>IFERROR(__xludf.DUMMYFUNCTION("""COMPUTED_VALUE"""),43552.0)</f>
        <v>43552</v>
      </c>
      <c r="S800" s="6" t="str">
        <f>IFERROR(__xludf.DUMMYFUNCTION("""COMPUTED_VALUE"""),"-")</f>
        <v>-</v>
      </c>
      <c r="T800" s="13">
        <f>IFERROR(__xludf.DUMMYFUNCTION("""COMPUTED_VALUE"""),43599.0)</f>
        <v>43599</v>
      </c>
    </row>
    <row r="801">
      <c r="A801" s="6" t="str">
        <f>IFERROR(__xludf.DUMMYFUNCTION("""COMPUTED_VALUE"""),"191750131-1")</f>
        <v>191750131-1</v>
      </c>
      <c r="B801" s="6" t="str">
        <f>IFERROR(__xludf.DUMMYFUNCTION("""COMPUTED_VALUE"""),"191750131 - Approved")</f>
        <v>191750131 - Approved</v>
      </c>
      <c r="C801" s="6">
        <f>IFERROR(__xludf.DUMMYFUNCTION("""COMPUTED_VALUE"""),1.0)</f>
        <v>1</v>
      </c>
      <c r="D801" s="6" t="str">
        <f>IFERROR(__xludf.DUMMYFUNCTION("""COMPUTED_VALUE"""),"P-51893-00")</f>
        <v>P-51893-00</v>
      </c>
      <c r="E801" s="6" t="str">
        <f>IFERROR(__xludf.DUMMYFUNCTION("""COMPUTED_VALUE"""),"Power Supply TXS1.12F4 24VDC Siemens")</f>
        <v>Power Supply TXS1.12F4 24VDC Siemens</v>
      </c>
      <c r="F801" s="6">
        <f>IFERROR(__xludf.DUMMYFUNCTION("""COMPUTED_VALUE"""),1.0)</f>
        <v>1</v>
      </c>
      <c r="G801" s="6" t="str">
        <f>IFERROR(__xludf.DUMMYFUNCTION("""COMPUTED_VALUE"""),"Pieces")</f>
        <v>Pieces</v>
      </c>
      <c r="H801" s="6" t="str">
        <f>IFERROR(__xludf.DUMMYFUNCTION("""COMPUTED_VALUE"""),"IDR")</f>
        <v>IDR</v>
      </c>
      <c r="I801" s="11">
        <f>IFERROR(__xludf.DUMMYFUNCTION("""COMPUTED_VALUE"""),6500000.0)</f>
        <v>6500000</v>
      </c>
      <c r="J801" s="11">
        <f>IFERROR(__xludf.DUMMYFUNCTION("""COMPUTED_VALUE"""),6500000.0)</f>
        <v>6500000</v>
      </c>
      <c r="K801" s="13">
        <f>IFERROR(__xludf.DUMMYFUNCTION("""COMPUTED_VALUE"""),43585.0)</f>
        <v>43585</v>
      </c>
      <c r="L801" s="6" t="str">
        <f>IFERROR(__xludf.DUMMYFUNCTION("""COMPUTED_VALUE"""),"FIP Engineering")</f>
        <v>FIP Engineering</v>
      </c>
      <c r="M801" s="6" t="str">
        <f>IFERROR(__xludf.DUMMYFUNCTION("""COMPUTED_VALUE"""),"Irwan Sopian")</f>
        <v>Irwan Sopian</v>
      </c>
      <c r="N801" s="6" t="str">
        <f>IFERROR(__xludf.DUMMYFUNCTION("""COMPUTED_VALUE"""),"FIP Engineering")</f>
        <v>FIP Engineering</v>
      </c>
      <c r="O801" s="6" t="str">
        <f>IFERROR(__xludf.DUMMYFUNCTION("""COMPUTED_VALUE"""),"FIP-DOM-000-11304-OS00001-INA-000000")</f>
        <v>FIP-DOM-000-11304-OS00001-INA-000000</v>
      </c>
      <c r="P801" s="6" t="str">
        <f>IFERROR(__xludf.DUMMYFUNCTION("""COMPUTED_VALUE"""),"PO Closed")</f>
        <v>PO Closed</v>
      </c>
      <c r="Q801" s="6" t="str">
        <f>IFERROR(__xludf.DUMMYFUNCTION("""COMPUTED_VALUE"""),"GL1904042")</f>
        <v>GL1904042</v>
      </c>
      <c r="R801" s="16">
        <f>IFERROR(__xludf.DUMMYFUNCTION("""COMPUTED_VALUE"""),43552.0)</f>
        <v>43552</v>
      </c>
      <c r="S801" s="6" t="str">
        <f>IFERROR(__xludf.DUMMYFUNCTION("""COMPUTED_VALUE"""),"-")</f>
        <v>-</v>
      </c>
      <c r="T801" s="13">
        <f>IFERROR(__xludf.DUMMYFUNCTION("""COMPUTED_VALUE"""),43685.0)</f>
        <v>43685</v>
      </c>
    </row>
    <row r="802">
      <c r="A802" s="6" t="str">
        <f>IFERROR(__xludf.DUMMYFUNCTION("""COMPUTED_VALUE"""),"191750131-2")</f>
        <v>191750131-2</v>
      </c>
      <c r="B802" s="6" t="str">
        <f>IFERROR(__xludf.DUMMYFUNCTION("""COMPUTED_VALUE"""),"191750131 - Approved")</f>
        <v>191750131 - Approved</v>
      </c>
      <c r="C802" s="6">
        <f>IFERROR(__xludf.DUMMYFUNCTION("""COMPUTED_VALUE"""),2.0)</f>
        <v>2</v>
      </c>
      <c r="D802" s="6" t="str">
        <f>IFERROR(__xludf.DUMMYFUNCTION("""COMPUTED_VALUE"""),"P-51889-00")</f>
        <v>P-51889-00</v>
      </c>
      <c r="E802" s="6" t="str">
        <f>IFERROR(__xludf.DUMMYFUNCTION("""COMPUTED_VALUE"""),"Autonics - Power Supply SPA-050-24VDC")</f>
        <v>Autonics - Power Supply SPA-050-24VDC</v>
      </c>
      <c r="F802" s="6">
        <f>IFERROR(__xludf.DUMMYFUNCTION("""COMPUTED_VALUE"""),1.0)</f>
        <v>1</v>
      </c>
      <c r="G802" s="6" t="str">
        <f>IFERROR(__xludf.DUMMYFUNCTION("""COMPUTED_VALUE"""),"Pieces")</f>
        <v>Pieces</v>
      </c>
      <c r="H802" s="6" t="str">
        <f>IFERROR(__xludf.DUMMYFUNCTION("""COMPUTED_VALUE"""),"IDR")</f>
        <v>IDR</v>
      </c>
      <c r="I802" s="11">
        <f>IFERROR(__xludf.DUMMYFUNCTION("""COMPUTED_VALUE"""),481000.0)</f>
        <v>481000</v>
      </c>
      <c r="J802" s="11">
        <f>IFERROR(__xludf.DUMMYFUNCTION("""COMPUTED_VALUE"""),481000.0)</f>
        <v>481000</v>
      </c>
      <c r="K802" s="13">
        <f>IFERROR(__xludf.DUMMYFUNCTION("""COMPUTED_VALUE"""),43585.0)</f>
        <v>43585</v>
      </c>
      <c r="L802" s="6" t="str">
        <f>IFERROR(__xludf.DUMMYFUNCTION("""COMPUTED_VALUE"""),"FIP Engineering")</f>
        <v>FIP Engineering</v>
      </c>
      <c r="M802" s="6" t="str">
        <f>IFERROR(__xludf.DUMMYFUNCTION("""COMPUTED_VALUE"""),"Irwan Sopian")</f>
        <v>Irwan Sopian</v>
      </c>
      <c r="N802" s="6" t="str">
        <f>IFERROR(__xludf.DUMMYFUNCTION("""COMPUTED_VALUE"""),"FIP Engineering")</f>
        <v>FIP Engineering</v>
      </c>
      <c r="O802" s="6" t="str">
        <f>IFERROR(__xludf.DUMMYFUNCTION("""COMPUTED_VALUE"""),"FIP-DOM-000-11304-OS00001-INA-000000")</f>
        <v>FIP-DOM-000-11304-OS00001-INA-000000</v>
      </c>
      <c r="P802" s="6" t="str">
        <f>IFERROR(__xludf.DUMMYFUNCTION("""COMPUTED_VALUE"""),"PO Closed")</f>
        <v>PO Closed</v>
      </c>
      <c r="Q802" s="6" t="str">
        <f>IFERROR(__xludf.DUMMYFUNCTION("""COMPUTED_VALUE"""),"GL1904039")</f>
        <v>GL1904039</v>
      </c>
      <c r="R802" s="16">
        <f>IFERROR(__xludf.DUMMYFUNCTION("""COMPUTED_VALUE"""),43552.0)</f>
        <v>43552</v>
      </c>
      <c r="S802" s="6" t="str">
        <f>IFERROR(__xludf.DUMMYFUNCTION("""COMPUTED_VALUE"""),"-")</f>
        <v>-</v>
      </c>
      <c r="T802" s="13">
        <f>IFERROR(__xludf.DUMMYFUNCTION("""COMPUTED_VALUE"""),43599.0)</f>
        <v>43599</v>
      </c>
    </row>
    <row r="803">
      <c r="A803" s="6" t="str">
        <f>IFERROR(__xludf.DUMMYFUNCTION("""COMPUTED_VALUE"""),"191750130-1")</f>
        <v>191750130-1</v>
      </c>
      <c r="B803" s="6" t="str">
        <f>IFERROR(__xludf.DUMMYFUNCTION("""COMPUTED_VALUE"""),"191750130 - Approved")</f>
        <v>191750130 - Approved</v>
      </c>
      <c r="C803" s="6">
        <f>IFERROR(__xludf.DUMMYFUNCTION("""COMPUTED_VALUE"""),1.0)</f>
        <v>1</v>
      </c>
      <c r="D803" s="6" t="str">
        <f>IFERROR(__xludf.DUMMYFUNCTION("""COMPUTED_VALUE"""),"P-14378-00")</f>
        <v>P-14378-00</v>
      </c>
      <c r="E803" s="6" t="str">
        <f>IFERROR(__xludf.DUMMYFUNCTION("""COMPUTED_VALUE"""),"Sanitary Butterfly Valve SS316 1"" Ferrule; ; ;")</f>
        <v>Sanitary Butterfly Valve SS316 1" Ferrule; ; ;</v>
      </c>
      <c r="F803" s="6">
        <f>IFERROR(__xludf.DUMMYFUNCTION("""COMPUTED_VALUE"""),1.0)</f>
        <v>1</v>
      </c>
      <c r="G803" s="6" t="str">
        <f>IFERROR(__xludf.DUMMYFUNCTION("""COMPUTED_VALUE"""),"Unit")</f>
        <v>Unit</v>
      </c>
      <c r="H803" s="6" t="str">
        <f>IFERROR(__xludf.DUMMYFUNCTION("""COMPUTED_VALUE"""),"IDR")</f>
        <v>IDR</v>
      </c>
      <c r="I803" s="11">
        <f>IFERROR(__xludf.DUMMYFUNCTION("""COMPUTED_VALUE"""),765000.0)</f>
        <v>765000</v>
      </c>
      <c r="J803" s="11">
        <f>IFERROR(__xludf.DUMMYFUNCTION("""COMPUTED_VALUE"""),765000.0)</f>
        <v>765000</v>
      </c>
      <c r="K803" s="13">
        <f>IFERROR(__xludf.DUMMYFUNCTION("""COMPUTED_VALUE"""),43585.0)</f>
        <v>43585</v>
      </c>
      <c r="L803" s="6" t="str">
        <f>IFERROR(__xludf.DUMMYFUNCTION("""COMPUTED_VALUE"""),"FIP General")</f>
        <v>FIP General</v>
      </c>
      <c r="M803" s="6" t="str">
        <f>IFERROR(__xludf.DUMMYFUNCTION("""COMPUTED_VALUE"""),"Irwan Sopian")</f>
        <v>Irwan Sopian</v>
      </c>
      <c r="N803" s="6" t="str">
        <f>IFERROR(__xludf.DUMMYFUNCTION("""COMPUTED_VALUE"""),"FIP Engineering")</f>
        <v>FIP Engineering</v>
      </c>
      <c r="O803" s="6" t="str">
        <f>IFERROR(__xludf.DUMMYFUNCTION("""COMPUTED_VALUE"""),"FIP-DOM-ENG-51504-0000000-INA-000000")</f>
        <v>FIP-DOM-ENG-51504-0000000-INA-000000</v>
      </c>
      <c r="P803" s="6" t="str">
        <f>IFERROR(__xludf.DUMMYFUNCTION("""COMPUTED_VALUE"""),"PO Closed")</f>
        <v>PO Closed</v>
      </c>
      <c r="Q803" s="6" t="str">
        <f>IFERROR(__xludf.DUMMYFUNCTION("""COMPUTED_VALUE"""),"GL1904017")</f>
        <v>GL1904017</v>
      </c>
      <c r="R803" s="16">
        <f>IFERROR(__xludf.DUMMYFUNCTION("""COMPUTED_VALUE"""),43552.0)</f>
        <v>43552</v>
      </c>
      <c r="S803" s="6" t="str">
        <f>IFERROR(__xludf.DUMMYFUNCTION("""COMPUTED_VALUE"""),"-")</f>
        <v>-</v>
      </c>
      <c r="T803" s="13">
        <f>IFERROR(__xludf.DUMMYFUNCTION("""COMPUTED_VALUE"""),43594.0)</f>
        <v>43594</v>
      </c>
    </row>
    <row r="804">
      <c r="A804" s="6" t="str">
        <f>IFERROR(__xludf.DUMMYFUNCTION("""COMPUTED_VALUE"""),"191750136-1")</f>
        <v>191750136-1</v>
      </c>
      <c r="B804" s="6" t="str">
        <f>IFERROR(__xludf.DUMMYFUNCTION("""COMPUTED_VALUE"""),"191750136 - Approved")</f>
        <v>191750136 - Approved</v>
      </c>
      <c r="C804" s="6">
        <f>IFERROR(__xludf.DUMMYFUNCTION("""COMPUTED_VALUE"""),1.0)</f>
        <v>1</v>
      </c>
      <c r="D804" s="6" t="str">
        <f>IFERROR(__xludf.DUMMYFUNCTION("""COMPUTED_VALUE"""),"P-13713-00")</f>
        <v>P-13713-00</v>
      </c>
      <c r="E804" s="6" t="str">
        <f>IFERROR(__xludf.DUMMYFUNCTION("""COMPUTED_VALUE"""),"Autoclave Fedegari FVA2/A1 NB2963AT - Oring Viton 71 x 60 x 5.5 mm")</f>
        <v>Autoclave Fedegari FVA2/A1 NB2963AT - Oring Viton 71 x 60 x 5.5 mm</v>
      </c>
      <c r="F804" s="6">
        <f>IFERROR(__xludf.DUMMYFUNCTION("""COMPUTED_VALUE"""),5.0)</f>
        <v>5</v>
      </c>
      <c r="G804" s="6" t="str">
        <f>IFERROR(__xludf.DUMMYFUNCTION("""COMPUTED_VALUE"""),"Pieces")</f>
        <v>Pieces</v>
      </c>
      <c r="H804" s="6" t="str">
        <f>IFERROR(__xludf.DUMMYFUNCTION("""COMPUTED_VALUE"""),"IDR")</f>
        <v>IDR</v>
      </c>
      <c r="I804" s="11">
        <f>IFERROR(__xludf.DUMMYFUNCTION("""COMPUTED_VALUE"""),135000.0)</f>
        <v>135000</v>
      </c>
      <c r="J804" s="11">
        <f>IFERROR(__xludf.DUMMYFUNCTION("""COMPUTED_VALUE"""),675000.0)</f>
        <v>675000</v>
      </c>
      <c r="K804" s="13">
        <f>IFERROR(__xludf.DUMMYFUNCTION("""COMPUTED_VALUE"""),43585.0)</f>
        <v>43585</v>
      </c>
      <c r="L804" s="6" t="str">
        <f>IFERROR(__xludf.DUMMYFUNCTION("""COMPUTED_VALUE"""),"FIP Engineering")</f>
        <v>FIP Engineering</v>
      </c>
      <c r="M804" s="6" t="str">
        <f>IFERROR(__xludf.DUMMYFUNCTION("""COMPUTED_VALUE"""),"Irwan Sopian")</f>
        <v>Irwan Sopian</v>
      </c>
      <c r="N804" s="6" t="str">
        <f>IFERROR(__xludf.DUMMYFUNCTION("""COMPUTED_VALUE"""),"FIP Engineering")</f>
        <v>FIP Engineering</v>
      </c>
      <c r="O804" s="6" t="str">
        <f>IFERROR(__xludf.DUMMYFUNCTION("""COMPUTED_VALUE"""),"FIP-DOM-000-11304-OS00001-INA-000000")</f>
        <v>FIP-DOM-000-11304-OS00001-INA-000000</v>
      </c>
      <c r="P804" s="6" t="str">
        <f>IFERROR(__xludf.DUMMYFUNCTION("""COMPUTED_VALUE"""),"PO Closed")</f>
        <v>PO Closed</v>
      </c>
      <c r="Q804" s="6" t="str">
        <f>IFERROR(__xludf.DUMMYFUNCTION("""COMPUTED_VALUE"""),"GL1904029")</f>
        <v>GL1904029</v>
      </c>
      <c r="R804" s="16">
        <f>IFERROR(__xludf.DUMMYFUNCTION("""COMPUTED_VALUE"""),43556.0)</f>
        <v>43556</v>
      </c>
      <c r="S804" s="6" t="str">
        <f>IFERROR(__xludf.DUMMYFUNCTION("""COMPUTED_VALUE"""),"-")</f>
        <v>-</v>
      </c>
      <c r="T804" s="13">
        <f>IFERROR(__xludf.DUMMYFUNCTION("""COMPUTED_VALUE"""),43580.0)</f>
        <v>43580</v>
      </c>
    </row>
    <row r="805">
      <c r="A805" s="6" t="str">
        <f>IFERROR(__xludf.DUMMYFUNCTION("""COMPUTED_VALUE"""),"191750136-2")</f>
        <v>191750136-2</v>
      </c>
      <c r="B805" s="6" t="str">
        <f>IFERROR(__xludf.DUMMYFUNCTION("""COMPUTED_VALUE"""),"191750136 - Approved")</f>
        <v>191750136 - Approved</v>
      </c>
      <c r="C805" s="6">
        <f>IFERROR(__xludf.DUMMYFUNCTION("""COMPUTED_VALUE"""),2.0)</f>
        <v>2</v>
      </c>
      <c r="D805" s="6" t="str">
        <f>IFERROR(__xludf.DUMMYFUNCTION("""COMPUTED_VALUE"""),"P-13714-00")</f>
        <v>P-13714-00</v>
      </c>
      <c r="E805" s="6" t="str">
        <f>IFERROR(__xludf.DUMMYFUNCTION("""COMPUTED_VALUE"""),"Autoclave Fedegari FVA2/A1 NB2963AT - Oring Viton 29 x 22 x 3.5 mm")</f>
        <v>Autoclave Fedegari FVA2/A1 NB2963AT - Oring Viton 29 x 22 x 3.5 mm</v>
      </c>
      <c r="F805" s="6">
        <f>IFERROR(__xludf.DUMMYFUNCTION("""COMPUTED_VALUE"""),10.0)</f>
        <v>10</v>
      </c>
      <c r="G805" s="6" t="str">
        <f>IFERROR(__xludf.DUMMYFUNCTION("""COMPUTED_VALUE"""),"Pieces")</f>
        <v>Pieces</v>
      </c>
      <c r="H805" s="6" t="str">
        <f>IFERROR(__xludf.DUMMYFUNCTION("""COMPUTED_VALUE"""),"IDR")</f>
        <v>IDR</v>
      </c>
      <c r="I805" s="11">
        <f>IFERROR(__xludf.DUMMYFUNCTION("""COMPUTED_VALUE"""),50000.0)</f>
        <v>50000</v>
      </c>
      <c r="J805" s="11">
        <f>IFERROR(__xludf.DUMMYFUNCTION("""COMPUTED_VALUE"""),500000.0)</f>
        <v>500000</v>
      </c>
      <c r="K805" s="13">
        <f>IFERROR(__xludf.DUMMYFUNCTION("""COMPUTED_VALUE"""),43585.0)</f>
        <v>43585</v>
      </c>
      <c r="L805" s="6" t="str">
        <f>IFERROR(__xludf.DUMMYFUNCTION("""COMPUTED_VALUE"""),"FIP Engineering")</f>
        <v>FIP Engineering</v>
      </c>
      <c r="M805" s="6" t="str">
        <f>IFERROR(__xludf.DUMMYFUNCTION("""COMPUTED_VALUE"""),"Irwan Sopian")</f>
        <v>Irwan Sopian</v>
      </c>
      <c r="N805" s="6" t="str">
        <f>IFERROR(__xludf.DUMMYFUNCTION("""COMPUTED_VALUE"""),"FIP Engineering")</f>
        <v>FIP Engineering</v>
      </c>
      <c r="O805" s="6" t="str">
        <f>IFERROR(__xludf.DUMMYFUNCTION("""COMPUTED_VALUE"""),"FIP-DOM-000-11304-OS00001-INA-000000")</f>
        <v>FIP-DOM-000-11304-OS00001-INA-000000</v>
      </c>
      <c r="P805" s="6" t="str">
        <f>IFERROR(__xludf.DUMMYFUNCTION("""COMPUTED_VALUE"""),"PO Closed")</f>
        <v>PO Closed</v>
      </c>
      <c r="Q805" s="6" t="str">
        <f>IFERROR(__xludf.DUMMYFUNCTION("""COMPUTED_VALUE"""),"GL1904029")</f>
        <v>GL1904029</v>
      </c>
      <c r="R805" s="16">
        <f>IFERROR(__xludf.DUMMYFUNCTION("""COMPUTED_VALUE"""),43556.0)</f>
        <v>43556</v>
      </c>
      <c r="S805" s="6" t="str">
        <f>IFERROR(__xludf.DUMMYFUNCTION("""COMPUTED_VALUE"""),"-")</f>
        <v>-</v>
      </c>
      <c r="T805" s="13">
        <f>IFERROR(__xludf.DUMMYFUNCTION("""COMPUTED_VALUE"""),43580.0)</f>
        <v>43580</v>
      </c>
    </row>
    <row r="806">
      <c r="A806" s="6" t="str">
        <f>IFERROR(__xludf.DUMMYFUNCTION("""COMPUTED_VALUE"""),"191750136-3")</f>
        <v>191750136-3</v>
      </c>
      <c r="B806" s="6" t="str">
        <f>IFERROR(__xludf.DUMMYFUNCTION("""COMPUTED_VALUE"""),"191750136 - Approved")</f>
        <v>191750136 - Approved</v>
      </c>
      <c r="C806" s="6">
        <f>IFERROR(__xludf.DUMMYFUNCTION("""COMPUTED_VALUE"""),3.0)</f>
        <v>3</v>
      </c>
      <c r="D806" s="6" t="str">
        <f>IFERROR(__xludf.DUMMYFUNCTION("""COMPUTED_VALUE"""),"P-13715-00")</f>
        <v>P-13715-00</v>
      </c>
      <c r="E806" s="6" t="str">
        <f>IFERROR(__xludf.DUMMYFUNCTION("""COMPUTED_VALUE"""),"Autoclave Fedegari FVA2/A1 NB2963AT - Oring Viton 19 x 14 x 2.5 mm")</f>
        <v>Autoclave Fedegari FVA2/A1 NB2963AT - Oring Viton 19 x 14 x 2.5 mm</v>
      </c>
      <c r="F806" s="6">
        <f>IFERROR(__xludf.DUMMYFUNCTION("""COMPUTED_VALUE"""),10.0)</f>
        <v>10</v>
      </c>
      <c r="G806" s="6" t="str">
        <f>IFERROR(__xludf.DUMMYFUNCTION("""COMPUTED_VALUE"""),"Pieces")</f>
        <v>Pieces</v>
      </c>
      <c r="H806" s="6" t="str">
        <f>IFERROR(__xludf.DUMMYFUNCTION("""COMPUTED_VALUE"""),"IDR")</f>
        <v>IDR</v>
      </c>
      <c r="I806" s="11">
        <f>IFERROR(__xludf.DUMMYFUNCTION("""COMPUTED_VALUE"""),25000.0)</f>
        <v>25000</v>
      </c>
      <c r="J806" s="11">
        <f>IFERROR(__xludf.DUMMYFUNCTION("""COMPUTED_VALUE"""),250000.0)</f>
        <v>250000</v>
      </c>
      <c r="K806" s="13">
        <f>IFERROR(__xludf.DUMMYFUNCTION("""COMPUTED_VALUE"""),43585.0)</f>
        <v>43585</v>
      </c>
      <c r="L806" s="6" t="str">
        <f>IFERROR(__xludf.DUMMYFUNCTION("""COMPUTED_VALUE"""),"FIP Engineering")</f>
        <v>FIP Engineering</v>
      </c>
      <c r="M806" s="6" t="str">
        <f>IFERROR(__xludf.DUMMYFUNCTION("""COMPUTED_VALUE"""),"Irwan Sopian")</f>
        <v>Irwan Sopian</v>
      </c>
      <c r="N806" s="6" t="str">
        <f>IFERROR(__xludf.DUMMYFUNCTION("""COMPUTED_VALUE"""),"FIP Engineering")</f>
        <v>FIP Engineering</v>
      </c>
      <c r="O806" s="6" t="str">
        <f>IFERROR(__xludf.DUMMYFUNCTION("""COMPUTED_VALUE"""),"FIP-DOM-000-11304-OS00001-INA-000000")</f>
        <v>FIP-DOM-000-11304-OS00001-INA-000000</v>
      </c>
      <c r="P806" s="6" t="str">
        <f>IFERROR(__xludf.DUMMYFUNCTION("""COMPUTED_VALUE"""),"PO Closed")</f>
        <v>PO Closed</v>
      </c>
      <c r="Q806" s="6" t="str">
        <f>IFERROR(__xludf.DUMMYFUNCTION("""COMPUTED_VALUE"""),"GL1904029")</f>
        <v>GL1904029</v>
      </c>
      <c r="R806" s="16">
        <f>IFERROR(__xludf.DUMMYFUNCTION("""COMPUTED_VALUE"""),43556.0)</f>
        <v>43556</v>
      </c>
      <c r="S806" s="6" t="str">
        <f>IFERROR(__xludf.DUMMYFUNCTION("""COMPUTED_VALUE"""),"-")</f>
        <v>-</v>
      </c>
      <c r="T806" s="13">
        <f>IFERROR(__xludf.DUMMYFUNCTION("""COMPUTED_VALUE"""),43580.0)</f>
        <v>43580</v>
      </c>
    </row>
    <row r="807">
      <c r="A807" s="6" t="str">
        <f>IFERROR(__xludf.DUMMYFUNCTION("""COMPUTED_VALUE"""),"191750139-1")</f>
        <v>191750139-1</v>
      </c>
      <c r="B807" s="6" t="str">
        <f>IFERROR(__xludf.DUMMYFUNCTION("""COMPUTED_VALUE"""),"191750139 - Approved")</f>
        <v>191750139 - Approved</v>
      </c>
      <c r="C807" s="6">
        <f>IFERROR(__xludf.DUMMYFUNCTION("""COMPUTED_VALUE"""),1.0)</f>
        <v>1</v>
      </c>
      <c r="D807" s="6" t="str">
        <f>IFERROR(__xludf.DUMMYFUNCTION("""COMPUTED_VALUE"""),"P-14424-00")</f>
        <v>P-14424-00</v>
      </c>
      <c r="E807" s="6" t="str">
        <f>IFERROR(__xludf.DUMMYFUNCTION("""COMPUTED_VALUE"""),"Garam Kutreat RGN-9800F 25Kg/zak")</f>
        <v>Garam Kutreat RGN-9800F 25Kg/zak</v>
      </c>
      <c r="F807" s="6">
        <f>IFERROR(__xludf.DUMMYFUNCTION("""COMPUTED_VALUE"""),2.0)</f>
        <v>2</v>
      </c>
      <c r="G807" s="6" t="str">
        <f>IFERROR(__xludf.DUMMYFUNCTION("""COMPUTED_VALUE"""),"Kilogram")</f>
        <v>Kilogram</v>
      </c>
      <c r="H807" s="6" t="str">
        <f>IFERROR(__xludf.DUMMYFUNCTION("""COMPUTED_VALUE"""),"IDR")</f>
        <v>IDR</v>
      </c>
      <c r="I807" s="11">
        <f>IFERROR(__xludf.DUMMYFUNCTION("""COMPUTED_VALUE"""),237500.0)</f>
        <v>237500</v>
      </c>
      <c r="J807" s="11">
        <f>IFERROR(__xludf.DUMMYFUNCTION("""COMPUTED_VALUE"""),475000.0)</f>
        <v>475000</v>
      </c>
      <c r="K807" s="13">
        <f>IFERROR(__xludf.DUMMYFUNCTION("""COMPUTED_VALUE"""),43619.0)</f>
        <v>43619</v>
      </c>
      <c r="L807" s="6" t="str">
        <f>IFERROR(__xludf.DUMMYFUNCTION("""COMPUTED_VALUE"""),"FIP Engineering")</f>
        <v>FIP Engineering</v>
      </c>
      <c r="M807" s="6" t="str">
        <f>IFERROR(__xludf.DUMMYFUNCTION("""COMPUTED_VALUE"""),"Irwan Sopian")</f>
        <v>Irwan Sopian</v>
      </c>
      <c r="N807" s="6" t="str">
        <f>IFERROR(__xludf.DUMMYFUNCTION("""COMPUTED_VALUE"""),"FIP Engineering")</f>
        <v>FIP Engineering</v>
      </c>
      <c r="O807" s="6" t="str">
        <f>IFERROR(__xludf.DUMMYFUNCTION("""COMPUTED_VALUE"""),"FIP-DOM-000-11304-OS00001-INA-000000")</f>
        <v>FIP-DOM-000-11304-OS00001-INA-000000</v>
      </c>
      <c r="P807" s="6" t="str">
        <f>IFERROR(__xludf.DUMMYFUNCTION("""COMPUTED_VALUE"""),"PO Closed")</f>
        <v>PO Closed</v>
      </c>
      <c r="Q807" s="6" t="str">
        <f>IFERROR(__xludf.DUMMYFUNCTION("""COMPUTED_VALUE"""),"GL1906010")</f>
        <v>GL1906010</v>
      </c>
      <c r="R807" s="16">
        <f>IFERROR(__xludf.DUMMYFUNCTION("""COMPUTED_VALUE"""),43557.0)</f>
        <v>43557</v>
      </c>
      <c r="S807" s="6" t="str">
        <f>IFERROR(__xludf.DUMMYFUNCTION("""COMPUTED_VALUE"""),"-")</f>
        <v>-</v>
      </c>
      <c r="T807" s="17">
        <f>IFERROR(__xludf.DUMMYFUNCTION("""COMPUTED_VALUE"""),43633.0)</f>
        <v>43633</v>
      </c>
    </row>
    <row r="808">
      <c r="A808" s="6" t="str">
        <f>IFERROR(__xludf.DUMMYFUNCTION("""COMPUTED_VALUE"""),"191750137-1")</f>
        <v>191750137-1</v>
      </c>
      <c r="B808" s="6" t="str">
        <f>IFERROR(__xludf.DUMMYFUNCTION("""COMPUTED_VALUE"""),"191750137 - Approved")</f>
        <v>191750137 - Approved</v>
      </c>
      <c r="C808" s="6">
        <f>IFERROR(__xludf.DUMMYFUNCTION("""COMPUTED_VALUE"""),1.0)</f>
        <v>1</v>
      </c>
      <c r="D808" s="6" t="str">
        <f>IFERROR(__xludf.DUMMYFUNCTION("""COMPUTED_VALUE"""),"P-17073-00")</f>
        <v>P-17073-00</v>
      </c>
      <c r="E808" s="6" t="str">
        <f>IFERROR(__xludf.DUMMYFUNCTION("""COMPUTED_VALUE"""),"Ferrule 3/4"" SS 316L; ; ;")</f>
        <v>Ferrule 3/4" SS 316L; ; ;</v>
      </c>
      <c r="F808" s="6">
        <f>IFERROR(__xludf.DUMMYFUNCTION("""COMPUTED_VALUE"""),1.0)</f>
        <v>1</v>
      </c>
      <c r="G808" s="6" t="str">
        <f>IFERROR(__xludf.DUMMYFUNCTION("""COMPUTED_VALUE"""),"Pieces")</f>
        <v>Pieces</v>
      </c>
      <c r="H808" s="6" t="str">
        <f>IFERROR(__xludf.DUMMYFUNCTION("""COMPUTED_VALUE"""),"IDR")</f>
        <v>IDR</v>
      </c>
      <c r="I808" s="11">
        <f>IFERROR(__xludf.DUMMYFUNCTION("""COMPUTED_VALUE"""),245000.0)</f>
        <v>245000</v>
      </c>
      <c r="J808" s="11">
        <f>IFERROR(__xludf.DUMMYFUNCTION("""COMPUTED_VALUE"""),245000.0)</f>
        <v>245000</v>
      </c>
      <c r="K808" s="13">
        <f>IFERROR(__xludf.DUMMYFUNCTION("""COMPUTED_VALUE"""),43585.0)</f>
        <v>43585</v>
      </c>
      <c r="L808" s="6" t="str">
        <f>IFERROR(__xludf.DUMMYFUNCTION("""COMPUTED_VALUE"""),"FIP Engineering")</f>
        <v>FIP Engineering</v>
      </c>
      <c r="M808" s="6" t="str">
        <f>IFERROR(__xludf.DUMMYFUNCTION("""COMPUTED_VALUE"""),"Irwan Sopian")</f>
        <v>Irwan Sopian</v>
      </c>
      <c r="N808" s="6" t="str">
        <f>IFERROR(__xludf.DUMMYFUNCTION("""COMPUTED_VALUE"""),"FIP Engineering")</f>
        <v>FIP Engineering</v>
      </c>
      <c r="O808" s="6" t="str">
        <f>IFERROR(__xludf.DUMMYFUNCTION("""COMPUTED_VALUE"""),"FIP-DOM-000-11304-OS00001-INA-000000")</f>
        <v>FIP-DOM-000-11304-OS00001-INA-000000</v>
      </c>
      <c r="P808" s="6" t="str">
        <f>IFERROR(__xludf.DUMMYFUNCTION("""COMPUTED_VALUE"""),"PO Closed")</f>
        <v>PO Closed</v>
      </c>
      <c r="Q808" s="6" t="str">
        <f>IFERROR(__xludf.DUMMYFUNCTION("""COMPUTED_VALUE"""),"GL1905300")</f>
        <v>GL1905300</v>
      </c>
      <c r="R808" s="16">
        <f>IFERROR(__xludf.DUMMYFUNCTION("""COMPUTED_VALUE"""),43557.0)</f>
        <v>43557</v>
      </c>
      <c r="S808" s="6" t="str">
        <f>IFERROR(__xludf.DUMMYFUNCTION("""COMPUTED_VALUE"""),"-")</f>
        <v>-</v>
      </c>
      <c r="T808" s="13">
        <f>IFERROR(__xludf.DUMMYFUNCTION("""COMPUTED_VALUE"""),43595.0)</f>
        <v>43595</v>
      </c>
    </row>
    <row r="809">
      <c r="A809" s="6" t="str">
        <f>IFERROR(__xludf.DUMMYFUNCTION("""COMPUTED_VALUE"""),"191750137-2")</f>
        <v>191750137-2</v>
      </c>
      <c r="B809" s="6" t="str">
        <f>IFERROR(__xludf.DUMMYFUNCTION("""COMPUTED_VALUE"""),"191750137 - Approved")</f>
        <v>191750137 - Approved</v>
      </c>
      <c r="C809" s="6">
        <f>IFERROR(__xludf.DUMMYFUNCTION("""COMPUTED_VALUE"""),2.0)</f>
        <v>2</v>
      </c>
      <c r="D809" s="6" t="str">
        <f>IFERROR(__xludf.DUMMYFUNCTION("""COMPUTED_VALUE"""),"P-10763-00")</f>
        <v>P-10763-00</v>
      </c>
      <c r="E809" s="6" t="str">
        <f>IFERROR(__xludf.DUMMYFUNCTION("""COMPUTED_VALUE"""),"Ferrule 1"" SS 316L")</f>
        <v>Ferrule 1" SS 316L</v>
      </c>
      <c r="F809" s="6">
        <f>IFERROR(__xludf.DUMMYFUNCTION("""COMPUTED_VALUE"""),3.0)</f>
        <v>3</v>
      </c>
      <c r="G809" s="6" t="str">
        <f>IFERROR(__xludf.DUMMYFUNCTION("""COMPUTED_VALUE"""),"Pieces")</f>
        <v>Pieces</v>
      </c>
      <c r="H809" s="6" t="str">
        <f>IFERROR(__xludf.DUMMYFUNCTION("""COMPUTED_VALUE"""),"IDR")</f>
        <v>IDR</v>
      </c>
      <c r="I809" s="11">
        <f>IFERROR(__xludf.DUMMYFUNCTION("""COMPUTED_VALUE"""),210000.0)</f>
        <v>210000</v>
      </c>
      <c r="J809" s="11">
        <f>IFERROR(__xludf.DUMMYFUNCTION("""COMPUTED_VALUE"""),630000.0)</f>
        <v>630000</v>
      </c>
      <c r="K809" s="13">
        <f>IFERROR(__xludf.DUMMYFUNCTION("""COMPUTED_VALUE"""),43585.0)</f>
        <v>43585</v>
      </c>
      <c r="L809" s="6" t="str">
        <f>IFERROR(__xludf.DUMMYFUNCTION("""COMPUTED_VALUE"""),"FIP Engineering")</f>
        <v>FIP Engineering</v>
      </c>
      <c r="M809" s="6" t="str">
        <f>IFERROR(__xludf.DUMMYFUNCTION("""COMPUTED_VALUE"""),"Irwan Sopian")</f>
        <v>Irwan Sopian</v>
      </c>
      <c r="N809" s="6" t="str">
        <f>IFERROR(__xludf.DUMMYFUNCTION("""COMPUTED_VALUE"""),"FIP Engineering")</f>
        <v>FIP Engineering</v>
      </c>
      <c r="O809" s="6" t="str">
        <f>IFERROR(__xludf.DUMMYFUNCTION("""COMPUTED_VALUE"""),"FIP-DOM-000-11304-OS00001-INA-000000")</f>
        <v>FIP-DOM-000-11304-OS00001-INA-000000</v>
      </c>
      <c r="P809" s="6" t="str">
        <f>IFERROR(__xludf.DUMMYFUNCTION("""COMPUTED_VALUE"""),"PO Closed")</f>
        <v>PO Closed</v>
      </c>
      <c r="Q809" s="6" t="str">
        <f>IFERROR(__xludf.DUMMYFUNCTION("""COMPUTED_VALUE"""),"GL1905300")</f>
        <v>GL1905300</v>
      </c>
      <c r="R809" s="16">
        <f>IFERROR(__xludf.DUMMYFUNCTION("""COMPUTED_VALUE"""),43557.0)</f>
        <v>43557</v>
      </c>
      <c r="S809" s="6" t="str">
        <f>IFERROR(__xludf.DUMMYFUNCTION("""COMPUTED_VALUE"""),"-")</f>
        <v>-</v>
      </c>
      <c r="T809" s="13">
        <f>IFERROR(__xludf.DUMMYFUNCTION("""COMPUTED_VALUE"""),43595.0)</f>
        <v>43595</v>
      </c>
    </row>
    <row r="810">
      <c r="A810" s="6" t="str">
        <f>IFERROR(__xludf.DUMMYFUNCTION("""COMPUTED_VALUE"""),"191750137-3")</f>
        <v>191750137-3</v>
      </c>
      <c r="B810" s="6" t="str">
        <f>IFERROR(__xludf.DUMMYFUNCTION("""COMPUTED_VALUE"""),"191750137 - Approved")</f>
        <v>191750137 - Approved</v>
      </c>
      <c r="C810" s="6">
        <f>IFERROR(__xludf.DUMMYFUNCTION("""COMPUTED_VALUE"""),3.0)</f>
        <v>3</v>
      </c>
      <c r="D810" s="6" t="str">
        <f>IFERROR(__xludf.DUMMYFUNCTION("""COMPUTED_VALUE"""),"P-12889-00")</f>
        <v>P-12889-00</v>
      </c>
      <c r="E810" s="6" t="str">
        <f>IFERROR(__xludf.DUMMYFUNCTION("""COMPUTED_VALUE"""),"Tee SS 316L 1inch x 1inch")</f>
        <v>Tee SS 316L 1inch x 1inch</v>
      </c>
      <c r="F810" s="6">
        <f>IFERROR(__xludf.DUMMYFUNCTION("""COMPUTED_VALUE"""),1.0)</f>
        <v>1</v>
      </c>
      <c r="G810" s="6" t="str">
        <f>IFERROR(__xludf.DUMMYFUNCTION("""COMPUTED_VALUE"""),"Pieces")</f>
        <v>Pieces</v>
      </c>
      <c r="H810" s="6" t="str">
        <f>IFERROR(__xludf.DUMMYFUNCTION("""COMPUTED_VALUE"""),"IDR")</f>
        <v>IDR</v>
      </c>
      <c r="I810" s="11">
        <f>IFERROR(__xludf.DUMMYFUNCTION("""COMPUTED_VALUE"""),110000.0)</f>
        <v>110000</v>
      </c>
      <c r="J810" s="11">
        <f>IFERROR(__xludf.DUMMYFUNCTION("""COMPUTED_VALUE"""),110000.0)</f>
        <v>110000</v>
      </c>
      <c r="K810" s="13">
        <f>IFERROR(__xludf.DUMMYFUNCTION("""COMPUTED_VALUE"""),43585.0)</f>
        <v>43585</v>
      </c>
      <c r="L810" s="6" t="str">
        <f>IFERROR(__xludf.DUMMYFUNCTION("""COMPUTED_VALUE"""),"FIP Engineering")</f>
        <v>FIP Engineering</v>
      </c>
      <c r="M810" s="6" t="str">
        <f>IFERROR(__xludf.DUMMYFUNCTION("""COMPUTED_VALUE"""),"Irwan Sopian")</f>
        <v>Irwan Sopian</v>
      </c>
      <c r="N810" s="6" t="str">
        <f>IFERROR(__xludf.DUMMYFUNCTION("""COMPUTED_VALUE"""),"FIP Engineering")</f>
        <v>FIP Engineering</v>
      </c>
      <c r="O810" s="6" t="str">
        <f>IFERROR(__xludf.DUMMYFUNCTION("""COMPUTED_VALUE"""),"FIP-DOM-000-11304-OS00001-INA-000000")</f>
        <v>FIP-DOM-000-11304-OS00001-INA-000000</v>
      </c>
      <c r="P810" s="6" t="str">
        <f>IFERROR(__xludf.DUMMYFUNCTION("""COMPUTED_VALUE"""),"PO Closed")</f>
        <v>PO Closed</v>
      </c>
      <c r="Q810" s="6" t="str">
        <f>IFERROR(__xludf.DUMMYFUNCTION("""COMPUTED_VALUE"""),"GL1905300")</f>
        <v>GL1905300</v>
      </c>
      <c r="R810" s="16">
        <f>IFERROR(__xludf.DUMMYFUNCTION("""COMPUTED_VALUE"""),43557.0)</f>
        <v>43557</v>
      </c>
      <c r="S810" s="6" t="str">
        <f>IFERROR(__xludf.DUMMYFUNCTION("""COMPUTED_VALUE"""),"-")</f>
        <v>-</v>
      </c>
      <c r="T810" s="13">
        <f>IFERROR(__xludf.DUMMYFUNCTION("""COMPUTED_VALUE"""),43595.0)</f>
        <v>43595</v>
      </c>
    </row>
    <row r="811">
      <c r="A811" s="6" t="str">
        <f>IFERROR(__xludf.DUMMYFUNCTION("""COMPUTED_VALUE"""),"191750137-4")</f>
        <v>191750137-4</v>
      </c>
      <c r="B811" s="6" t="str">
        <f>IFERROR(__xludf.DUMMYFUNCTION("""COMPUTED_VALUE"""),"191750137 - Approved")</f>
        <v>191750137 - Approved</v>
      </c>
      <c r="C811" s="6">
        <f>IFERROR(__xludf.DUMMYFUNCTION("""COMPUTED_VALUE"""),4.0)</f>
        <v>4</v>
      </c>
      <c r="D811" s="6" t="str">
        <f>IFERROR(__xludf.DUMMYFUNCTION("""COMPUTED_VALUE"""),"P-13033-00")</f>
        <v>P-13033-00</v>
      </c>
      <c r="E811" s="6" t="str">
        <f>IFERROR(__xludf.DUMMYFUNCTION("""COMPUTED_VALUE"""),"Elbow long sanitary ss 316 dia. 1 Inch")</f>
        <v>Elbow long sanitary ss 316 dia. 1 Inch</v>
      </c>
      <c r="F811" s="6">
        <f>IFERROR(__xludf.DUMMYFUNCTION("""COMPUTED_VALUE"""),2.0)</f>
        <v>2</v>
      </c>
      <c r="G811" s="6" t="str">
        <f>IFERROR(__xludf.DUMMYFUNCTION("""COMPUTED_VALUE"""),"Pieces")</f>
        <v>Pieces</v>
      </c>
      <c r="H811" s="6" t="str">
        <f>IFERROR(__xludf.DUMMYFUNCTION("""COMPUTED_VALUE"""),"IDR")</f>
        <v>IDR</v>
      </c>
      <c r="I811" s="11">
        <f>IFERROR(__xludf.DUMMYFUNCTION("""COMPUTED_VALUE"""),85000.0)</f>
        <v>85000</v>
      </c>
      <c r="J811" s="11">
        <f>IFERROR(__xludf.DUMMYFUNCTION("""COMPUTED_VALUE"""),170000.0)</f>
        <v>170000</v>
      </c>
      <c r="K811" s="13">
        <f>IFERROR(__xludf.DUMMYFUNCTION("""COMPUTED_VALUE"""),43585.0)</f>
        <v>43585</v>
      </c>
      <c r="L811" s="6" t="str">
        <f>IFERROR(__xludf.DUMMYFUNCTION("""COMPUTED_VALUE"""),"FIP Engineering")</f>
        <v>FIP Engineering</v>
      </c>
      <c r="M811" s="6" t="str">
        <f>IFERROR(__xludf.DUMMYFUNCTION("""COMPUTED_VALUE"""),"Irwan Sopian")</f>
        <v>Irwan Sopian</v>
      </c>
      <c r="N811" s="6" t="str">
        <f>IFERROR(__xludf.DUMMYFUNCTION("""COMPUTED_VALUE"""),"FIP Engineering")</f>
        <v>FIP Engineering</v>
      </c>
      <c r="O811" s="6" t="str">
        <f>IFERROR(__xludf.DUMMYFUNCTION("""COMPUTED_VALUE"""),"FIP-DOM-000-11304-OS00001-INA-000000")</f>
        <v>FIP-DOM-000-11304-OS00001-INA-000000</v>
      </c>
      <c r="P811" s="6" t="str">
        <f>IFERROR(__xludf.DUMMYFUNCTION("""COMPUTED_VALUE"""),"PO Closed")</f>
        <v>PO Closed</v>
      </c>
      <c r="Q811" s="6" t="str">
        <f>IFERROR(__xludf.DUMMYFUNCTION("""COMPUTED_VALUE"""),"GL1905300")</f>
        <v>GL1905300</v>
      </c>
      <c r="R811" s="16">
        <f>IFERROR(__xludf.DUMMYFUNCTION("""COMPUTED_VALUE"""),43557.0)</f>
        <v>43557</v>
      </c>
      <c r="S811" s="6" t="str">
        <f>IFERROR(__xludf.DUMMYFUNCTION("""COMPUTED_VALUE"""),"-")</f>
        <v>-</v>
      </c>
      <c r="T811" s="13">
        <f>IFERROR(__xludf.DUMMYFUNCTION("""COMPUTED_VALUE"""),43595.0)</f>
        <v>43595</v>
      </c>
    </row>
    <row r="812">
      <c r="A812" s="6" t="str">
        <f>IFERROR(__xludf.DUMMYFUNCTION("""COMPUTED_VALUE"""),"191750137-5")</f>
        <v>191750137-5</v>
      </c>
      <c r="B812" s="6" t="str">
        <f>IFERROR(__xludf.DUMMYFUNCTION("""COMPUTED_VALUE"""),"191750137 - Approved")</f>
        <v>191750137 - Approved</v>
      </c>
      <c r="C812" s="6">
        <f>IFERROR(__xludf.DUMMYFUNCTION("""COMPUTED_VALUE"""),5.0)</f>
        <v>5</v>
      </c>
      <c r="D812" s="6" t="str">
        <f>IFERROR(__xludf.DUMMYFUNCTION("""COMPUTED_VALUE"""),"P-15017-00")</f>
        <v>P-15017-00</v>
      </c>
      <c r="E812" s="6" t="str">
        <f>IFERROR(__xludf.DUMMYFUNCTION("""COMPUTED_VALUE"""),"Selang Spiral Compressor dia.8 mm Include Coopler")</f>
        <v>Selang Spiral Compressor dia.8 mm Include Coopler</v>
      </c>
      <c r="F812" s="6">
        <f>IFERROR(__xludf.DUMMYFUNCTION("""COMPUTED_VALUE"""),1.0)</f>
        <v>1</v>
      </c>
      <c r="G812" s="6" t="str">
        <f>IFERROR(__xludf.DUMMYFUNCTION("""COMPUTED_VALUE"""),"Pieces")</f>
        <v>Pieces</v>
      </c>
      <c r="H812" s="6" t="str">
        <f>IFERROR(__xludf.DUMMYFUNCTION("""COMPUTED_VALUE"""),"IDR")</f>
        <v>IDR</v>
      </c>
      <c r="I812" s="11">
        <f>IFERROR(__xludf.DUMMYFUNCTION("""COMPUTED_VALUE"""),100000.0)</f>
        <v>100000</v>
      </c>
      <c r="J812" s="11">
        <f>IFERROR(__xludf.DUMMYFUNCTION("""COMPUTED_VALUE"""),100000.0)</f>
        <v>100000</v>
      </c>
      <c r="K812" s="13">
        <f>IFERROR(__xludf.DUMMYFUNCTION("""COMPUTED_VALUE"""),43585.0)</f>
        <v>43585</v>
      </c>
      <c r="L812" s="6" t="str">
        <f>IFERROR(__xludf.DUMMYFUNCTION("""COMPUTED_VALUE"""),"FIP Engineering")</f>
        <v>FIP Engineering</v>
      </c>
      <c r="M812" s="6" t="str">
        <f>IFERROR(__xludf.DUMMYFUNCTION("""COMPUTED_VALUE"""),"Irwan Sopian")</f>
        <v>Irwan Sopian</v>
      </c>
      <c r="N812" s="6" t="str">
        <f>IFERROR(__xludf.DUMMYFUNCTION("""COMPUTED_VALUE"""),"FIP Engineering")</f>
        <v>FIP Engineering</v>
      </c>
      <c r="O812" s="6" t="str">
        <f>IFERROR(__xludf.DUMMYFUNCTION("""COMPUTED_VALUE"""),"FIP-DOM-000-11304-OS00001-INA-000000")</f>
        <v>FIP-DOM-000-11304-OS00001-INA-000000</v>
      </c>
      <c r="P812" s="6" t="str">
        <f>IFERROR(__xludf.DUMMYFUNCTION("""COMPUTED_VALUE"""),"PO Closed")</f>
        <v>PO Closed</v>
      </c>
      <c r="Q812" s="6" t="str">
        <f>IFERROR(__xludf.DUMMYFUNCTION("""COMPUTED_VALUE"""),"GL1905300")</f>
        <v>GL1905300</v>
      </c>
      <c r="R812" s="16">
        <f>IFERROR(__xludf.DUMMYFUNCTION("""COMPUTED_VALUE"""),43557.0)</f>
        <v>43557</v>
      </c>
      <c r="S812" s="6" t="str">
        <f>IFERROR(__xludf.DUMMYFUNCTION("""COMPUTED_VALUE"""),"-")</f>
        <v>-</v>
      </c>
      <c r="T812" s="17">
        <f>IFERROR(__xludf.DUMMYFUNCTION("""COMPUTED_VALUE"""),43595.0)</f>
        <v>43595</v>
      </c>
    </row>
    <row r="813">
      <c r="A813" s="6" t="str">
        <f>IFERROR(__xludf.DUMMYFUNCTION("""COMPUTED_VALUE"""),"191750141-1")</f>
        <v>191750141-1</v>
      </c>
      <c r="B813" s="6" t="str">
        <f>IFERROR(__xludf.DUMMYFUNCTION("""COMPUTED_VALUE"""),"191750141 - Approved")</f>
        <v>191750141 - Approved</v>
      </c>
      <c r="C813" s="6">
        <f>IFERROR(__xludf.DUMMYFUNCTION("""COMPUTED_VALUE"""),1.0)</f>
        <v>1</v>
      </c>
      <c r="D813" s="6" t="str">
        <f>IFERROR(__xludf.DUMMYFUNCTION("""COMPUTED_VALUE"""),"P-51895-00")</f>
        <v>P-51895-00</v>
      </c>
      <c r="E813" s="6" t="str">
        <f>IFERROR(__xludf.DUMMYFUNCTION("""COMPUTED_VALUE"""),"Pressure Switch 0-10 bar 1/4 inch Out: 4...20 mA In: 24(7...33) VDC")</f>
        <v>Pressure Switch 0-10 bar 1/4 inch Out: 4...20 mA In: 24(7...33) VDC</v>
      </c>
      <c r="F813" s="6">
        <f>IFERROR(__xludf.DUMMYFUNCTION("""COMPUTED_VALUE"""),1.0)</f>
        <v>1</v>
      </c>
      <c r="G813" s="6" t="str">
        <f>IFERROR(__xludf.DUMMYFUNCTION("""COMPUTED_VALUE"""),"Pieces")</f>
        <v>Pieces</v>
      </c>
      <c r="H813" s="6" t="str">
        <f>IFERROR(__xludf.DUMMYFUNCTION("""COMPUTED_VALUE"""),"IDR")</f>
        <v>IDR</v>
      </c>
      <c r="I813" s="11">
        <f>IFERROR(__xludf.DUMMYFUNCTION("""COMPUTED_VALUE"""),4275000.0)</f>
        <v>4275000</v>
      </c>
      <c r="J813" s="11">
        <f>IFERROR(__xludf.DUMMYFUNCTION("""COMPUTED_VALUE"""),4275000.0)</f>
        <v>4275000</v>
      </c>
      <c r="K813" s="13">
        <f>IFERROR(__xludf.DUMMYFUNCTION("""COMPUTED_VALUE"""),43585.0)</f>
        <v>43585</v>
      </c>
      <c r="L813" s="6" t="str">
        <f>IFERROR(__xludf.DUMMYFUNCTION("""COMPUTED_VALUE"""),"FIP Engineering")</f>
        <v>FIP Engineering</v>
      </c>
      <c r="M813" s="6" t="str">
        <f>IFERROR(__xludf.DUMMYFUNCTION("""COMPUTED_VALUE"""),"Irwan Sopian")</f>
        <v>Irwan Sopian</v>
      </c>
      <c r="N813" s="6" t="str">
        <f>IFERROR(__xludf.DUMMYFUNCTION("""COMPUTED_VALUE"""),"FIP Engineering")</f>
        <v>FIP Engineering</v>
      </c>
      <c r="O813" s="6" t="str">
        <f>IFERROR(__xludf.DUMMYFUNCTION("""COMPUTED_VALUE"""),"FIP-DOM-000-11304-OS00001-INA-000000")</f>
        <v>FIP-DOM-000-11304-OS00001-INA-000000</v>
      </c>
      <c r="P813" s="6" t="str">
        <f>IFERROR(__xludf.DUMMYFUNCTION("""COMPUTED_VALUE"""),"PO Closed")</f>
        <v>PO Closed</v>
      </c>
      <c r="Q813" s="6" t="str">
        <f>IFERROR(__xludf.DUMMYFUNCTION("""COMPUTED_VALUE"""),"GL1904041")</f>
        <v>GL1904041</v>
      </c>
      <c r="R813" s="16">
        <f>IFERROR(__xludf.DUMMYFUNCTION("""COMPUTED_VALUE"""),43559.0)</f>
        <v>43559</v>
      </c>
      <c r="S813" s="6" t="str">
        <f>IFERROR(__xludf.DUMMYFUNCTION("""COMPUTED_VALUE"""),"-")</f>
        <v>-</v>
      </c>
      <c r="T813" s="13">
        <f>IFERROR(__xludf.DUMMYFUNCTION("""COMPUTED_VALUE"""),43605.0)</f>
        <v>43605</v>
      </c>
    </row>
    <row r="814">
      <c r="A814" s="6" t="str">
        <f>IFERROR(__xludf.DUMMYFUNCTION("""COMPUTED_VALUE"""),"191750145-1")</f>
        <v>191750145-1</v>
      </c>
      <c r="B814" s="6" t="str">
        <f>IFERROR(__xludf.DUMMYFUNCTION("""COMPUTED_VALUE"""),"191750145 - Approved")</f>
        <v>191750145 - Approved</v>
      </c>
      <c r="C814" s="6">
        <f>IFERROR(__xludf.DUMMYFUNCTION("""COMPUTED_VALUE"""),1.0)</f>
        <v>1</v>
      </c>
      <c r="D814" s="6" t="str">
        <f>IFERROR(__xludf.DUMMYFUNCTION("""COMPUTED_VALUE"""),"T-21028-00")</f>
        <v>T-21028-00</v>
      </c>
      <c r="E814" s="6" t="str">
        <f>IFERROR(__xludf.DUMMYFUNCTION("""COMPUTED_VALUE"""),"Gas Clean hydrocarbon purifier Agilent Part No. CP17972 1/pk")</f>
        <v>Gas Clean hydrocarbon purifier Agilent Part No. CP17972 1/pk</v>
      </c>
      <c r="F814" s="6">
        <f>IFERROR(__xludf.DUMMYFUNCTION("""COMPUTED_VALUE"""),2.0)</f>
        <v>2</v>
      </c>
      <c r="G814" s="6" t="str">
        <f>IFERROR(__xludf.DUMMYFUNCTION("""COMPUTED_VALUE"""),"Pieces")</f>
        <v>Pieces</v>
      </c>
      <c r="H814" s="6" t="str">
        <f>IFERROR(__xludf.DUMMYFUNCTION("""COMPUTED_VALUE"""),"IDR")</f>
        <v>IDR</v>
      </c>
      <c r="I814" s="11">
        <f>IFERROR(__xludf.DUMMYFUNCTION("""COMPUTED_VALUE"""),4592250.0)</f>
        <v>4592250</v>
      </c>
      <c r="J814" s="11">
        <f>IFERROR(__xludf.DUMMYFUNCTION("""COMPUTED_VALUE"""),9184500.0)</f>
        <v>9184500</v>
      </c>
      <c r="K814" s="13">
        <f>IFERROR(__xludf.DUMMYFUNCTION("""COMPUTED_VALUE"""),43586.0)</f>
        <v>43586</v>
      </c>
      <c r="L814" s="6" t="str">
        <f>IFERROR(__xludf.DUMMYFUNCTION("""COMPUTED_VALUE"""),"FIP General")</f>
        <v>FIP General</v>
      </c>
      <c r="M814" s="6" t="str">
        <f>IFERROR(__xludf.DUMMYFUNCTION("""COMPUTED_VALUE"""),"Irwan Sopian")</f>
        <v>Irwan Sopian</v>
      </c>
      <c r="N814" s="6" t="str">
        <f>IFERROR(__xludf.DUMMYFUNCTION("""COMPUTED_VALUE"""),"FIP Engineering")</f>
        <v>FIP Engineering</v>
      </c>
      <c r="O814" s="6" t="str">
        <f>IFERROR(__xludf.DUMMYFUNCTION("""COMPUTED_VALUE"""),"FIP-DOM-ENG-51505-0000000-INA-000000")</f>
        <v>FIP-DOM-ENG-51505-0000000-INA-000000</v>
      </c>
      <c r="P814" s="6" t="str">
        <f>IFERROR(__xludf.DUMMYFUNCTION("""COMPUTED_VALUE"""),"PO Closed")</f>
        <v>PO Closed</v>
      </c>
      <c r="Q814" s="6" t="str">
        <f>IFERROR(__xludf.DUMMYFUNCTION("""COMPUTED_VALUE"""),"GL1904033")</f>
        <v>GL1904033</v>
      </c>
      <c r="R814" s="16">
        <f>IFERROR(__xludf.DUMMYFUNCTION("""COMPUTED_VALUE"""),43561.0)</f>
        <v>43561</v>
      </c>
      <c r="S814" s="6" t="str">
        <f>IFERROR(__xludf.DUMMYFUNCTION("""COMPUTED_VALUE"""),"-")</f>
        <v>-</v>
      </c>
      <c r="T814" s="13">
        <f>IFERROR(__xludf.DUMMYFUNCTION("""COMPUTED_VALUE"""),43602.0)</f>
        <v>43602</v>
      </c>
    </row>
    <row r="815">
      <c r="A815" s="6" t="str">
        <f>IFERROR(__xludf.DUMMYFUNCTION("""COMPUTED_VALUE"""),"191750145-2")</f>
        <v>191750145-2</v>
      </c>
      <c r="B815" s="6" t="str">
        <f>IFERROR(__xludf.DUMMYFUNCTION("""COMPUTED_VALUE"""),"191750145 - Approved")</f>
        <v>191750145 - Approved</v>
      </c>
      <c r="C815" s="6">
        <f>IFERROR(__xludf.DUMMYFUNCTION("""COMPUTED_VALUE"""),2.0)</f>
        <v>2</v>
      </c>
      <c r="D815" s="6" t="str">
        <f>IFERROR(__xludf.DUMMYFUNCTION("""COMPUTED_VALUE"""),"T-21029-00")</f>
        <v>T-21029-00</v>
      </c>
      <c r="E815" s="6" t="str">
        <f>IFERROR(__xludf.DUMMYFUNCTION("""COMPUTED_VALUE"""),"Gas Clean moisture purifier Agilent Part No. CP17971 1/pk")</f>
        <v>Gas Clean moisture purifier Agilent Part No. CP17971 1/pk</v>
      </c>
      <c r="F815" s="6">
        <f>IFERROR(__xludf.DUMMYFUNCTION("""COMPUTED_VALUE"""),1.0)</f>
        <v>1</v>
      </c>
      <c r="G815" s="6" t="str">
        <f>IFERROR(__xludf.DUMMYFUNCTION("""COMPUTED_VALUE"""),"Pieces")</f>
        <v>Pieces</v>
      </c>
      <c r="H815" s="6" t="str">
        <f>IFERROR(__xludf.DUMMYFUNCTION("""COMPUTED_VALUE"""),"IDR")</f>
        <v>IDR</v>
      </c>
      <c r="I815" s="11">
        <f>IFERROR(__xludf.DUMMYFUNCTION("""COMPUTED_VALUE"""),3983875.0)</f>
        <v>3983875</v>
      </c>
      <c r="J815" s="11">
        <f>IFERROR(__xludf.DUMMYFUNCTION("""COMPUTED_VALUE"""),3983875.0)</f>
        <v>3983875</v>
      </c>
      <c r="K815" s="13">
        <f>IFERROR(__xludf.DUMMYFUNCTION("""COMPUTED_VALUE"""),43586.0)</f>
        <v>43586</v>
      </c>
      <c r="L815" s="6" t="str">
        <f>IFERROR(__xludf.DUMMYFUNCTION("""COMPUTED_VALUE"""),"FIP General")</f>
        <v>FIP General</v>
      </c>
      <c r="M815" s="6" t="str">
        <f>IFERROR(__xludf.DUMMYFUNCTION("""COMPUTED_VALUE"""),"Irwan Sopian")</f>
        <v>Irwan Sopian</v>
      </c>
      <c r="N815" s="6" t="str">
        <f>IFERROR(__xludf.DUMMYFUNCTION("""COMPUTED_VALUE"""),"FIP Engineering")</f>
        <v>FIP Engineering</v>
      </c>
      <c r="O815" s="6" t="str">
        <f>IFERROR(__xludf.DUMMYFUNCTION("""COMPUTED_VALUE"""),"FIP-DOM-ENG-51505-0000000-INA-000000")</f>
        <v>FIP-DOM-ENG-51505-0000000-INA-000000</v>
      </c>
      <c r="P815" s="6" t="str">
        <f>IFERROR(__xludf.DUMMYFUNCTION("""COMPUTED_VALUE"""),"PO Closed")</f>
        <v>PO Closed</v>
      </c>
      <c r="Q815" s="6" t="str">
        <f>IFERROR(__xludf.DUMMYFUNCTION("""COMPUTED_VALUE"""),"GL1904033")</f>
        <v>GL1904033</v>
      </c>
      <c r="R815" s="16">
        <f>IFERROR(__xludf.DUMMYFUNCTION("""COMPUTED_VALUE"""),43561.0)</f>
        <v>43561</v>
      </c>
      <c r="S815" s="6" t="str">
        <f>IFERROR(__xludf.DUMMYFUNCTION("""COMPUTED_VALUE"""),"-")</f>
        <v>-</v>
      </c>
      <c r="T815" s="17">
        <f>IFERROR(__xludf.DUMMYFUNCTION("""COMPUTED_VALUE"""),43602.0)</f>
        <v>43602</v>
      </c>
    </row>
    <row r="816">
      <c r="A816" s="6" t="str">
        <f>IFERROR(__xludf.DUMMYFUNCTION("""COMPUTED_VALUE"""),"191750145-3")</f>
        <v>191750145-3</v>
      </c>
      <c r="B816" s="6" t="str">
        <f>IFERROR(__xludf.DUMMYFUNCTION("""COMPUTED_VALUE"""),"191750145 - Approved")</f>
        <v>191750145 - Approved</v>
      </c>
      <c r="C816" s="6">
        <f>IFERROR(__xludf.DUMMYFUNCTION("""COMPUTED_VALUE"""),3.0)</f>
        <v>3</v>
      </c>
      <c r="D816" s="6" t="str">
        <f>IFERROR(__xludf.DUMMYFUNCTION("""COMPUTED_VALUE"""),"T-21030-00")</f>
        <v>T-21030-00</v>
      </c>
      <c r="E816" s="6" t="str">
        <f>IFERROR(__xludf.DUMMYFUNCTION("""COMPUTED_VALUE"""),"Gas Clean oxygen purifier Agilent Part No. CP17970 1/pk")</f>
        <v>Gas Clean oxygen purifier Agilent Part No. CP17970 1/pk</v>
      </c>
      <c r="F816" s="6">
        <f>IFERROR(__xludf.DUMMYFUNCTION("""COMPUTED_VALUE"""),1.0)</f>
        <v>1</v>
      </c>
      <c r="G816" s="6" t="str">
        <f>IFERROR(__xludf.DUMMYFUNCTION("""COMPUTED_VALUE"""),"Pieces")</f>
        <v>Pieces</v>
      </c>
      <c r="H816" s="6" t="str">
        <f>IFERROR(__xludf.DUMMYFUNCTION("""COMPUTED_VALUE"""),"IDR")</f>
        <v>IDR</v>
      </c>
      <c r="I816" s="11">
        <f>IFERROR(__xludf.DUMMYFUNCTION("""COMPUTED_VALUE"""),4023125.0)</f>
        <v>4023125</v>
      </c>
      <c r="J816" s="11">
        <f>IFERROR(__xludf.DUMMYFUNCTION("""COMPUTED_VALUE"""),4023125.0)</f>
        <v>4023125</v>
      </c>
      <c r="K816" s="13">
        <f>IFERROR(__xludf.DUMMYFUNCTION("""COMPUTED_VALUE"""),43586.0)</f>
        <v>43586</v>
      </c>
      <c r="L816" s="6" t="str">
        <f>IFERROR(__xludf.DUMMYFUNCTION("""COMPUTED_VALUE"""),"FIP General")</f>
        <v>FIP General</v>
      </c>
      <c r="M816" s="6" t="str">
        <f>IFERROR(__xludf.DUMMYFUNCTION("""COMPUTED_VALUE"""),"Irwan Sopian")</f>
        <v>Irwan Sopian</v>
      </c>
      <c r="N816" s="6" t="str">
        <f>IFERROR(__xludf.DUMMYFUNCTION("""COMPUTED_VALUE"""),"FIP Engineering")</f>
        <v>FIP Engineering</v>
      </c>
      <c r="O816" s="6" t="str">
        <f>IFERROR(__xludf.DUMMYFUNCTION("""COMPUTED_VALUE"""),"FIP-DOM-ENG-51505-0000000-INA-000000")</f>
        <v>FIP-DOM-ENG-51505-0000000-INA-000000</v>
      </c>
      <c r="P816" s="6" t="str">
        <f>IFERROR(__xludf.DUMMYFUNCTION("""COMPUTED_VALUE"""),"PO Closed")</f>
        <v>PO Closed</v>
      </c>
      <c r="Q816" s="6" t="str">
        <f>IFERROR(__xludf.DUMMYFUNCTION("""COMPUTED_VALUE"""),"GL1904033")</f>
        <v>GL1904033</v>
      </c>
      <c r="R816" s="16">
        <f>IFERROR(__xludf.DUMMYFUNCTION("""COMPUTED_VALUE"""),43561.0)</f>
        <v>43561</v>
      </c>
      <c r="S816" s="6" t="str">
        <f>IFERROR(__xludf.DUMMYFUNCTION("""COMPUTED_VALUE"""),"-")</f>
        <v>-</v>
      </c>
      <c r="T816" s="13">
        <f>IFERROR(__xludf.DUMMYFUNCTION("""COMPUTED_VALUE"""),43602.0)</f>
        <v>43602</v>
      </c>
    </row>
    <row r="817">
      <c r="A817" s="6" t="str">
        <f>IFERROR(__xludf.DUMMYFUNCTION("""COMPUTED_VALUE"""),"191750137-6")</f>
        <v>191750137-6</v>
      </c>
      <c r="B817" s="6" t="str">
        <f>IFERROR(__xludf.DUMMYFUNCTION("""COMPUTED_VALUE"""),"191750137 - Approved")</f>
        <v>191750137 - Approved</v>
      </c>
      <c r="C817" s="6">
        <f>IFERROR(__xludf.DUMMYFUNCTION("""COMPUTED_VALUE"""),6.0)</f>
        <v>6</v>
      </c>
      <c r="D817" s="6" t="str">
        <f>IFERROR(__xludf.DUMMYFUNCTION("""COMPUTED_VALUE"""),"P-13724-00")</f>
        <v>P-13724-00</v>
      </c>
      <c r="E817" s="6" t="str">
        <f>IFERROR(__xludf.DUMMYFUNCTION("""COMPUTED_VALUE"""),"Socket Threaded Female SS316 1/2 inch")</f>
        <v>Socket Threaded Female SS316 1/2 inch</v>
      </c>
      <c r="F817" s="6">
        <f>IFERROR(__xludf.DUMMYFUNCTION("""COMPUTED_VALUE"""),1.0)</f>
        <v>1</v>
      </c>
      <c r="G817" s="6" t="str">
        <f>IFERROR(__xludf.DUMMYFUNCTION("""COMPUTED_VALUE"""),"Pieces")</f>
        <v>Pieces</v>
      </c>
      <c r="H817" s="6" t="str">
        <f>IFERROR(__xludf.DUMMYFUNCTION("""COMPUTED_VALUE"""),"IDR")</f>
        <v>IDR</v>
      </c>
      <c r="I817" s="11">
        <f>IFERROR(__xludf.DUMMYFUNCTION("""COMPUTED_VALUE"""),40000.0)</f>
        <v>40000</v>
      </c>
      <c r="J817" s="11">
        <f>IFERROR(__xludf.DUMMYFUNCTION("""COMPUTED_VALUE"""),40000.0)</f>
        <v>40000</v>
      </c>
      <c r="K817" s="13">
        <f>IFERROR(__xludf.DUMMYFUNCTION("""COMPUTED_VALUE"""),43585.0)</f>
        <v>43585</v>
      </c>
      <c r="L817" s="6" t="str">
        <f>IFERROR(__xludf.DUMMYFUNCTION("""COMPUTED_VALUE"""),"FIP Engineering")</f>
        <v>FIP Engineering</v>
      </c>
      <c r="M817" s="6" t="str">
        <f>IFERROR(__xludf.DUMMYFUNCTION("""COMPUTED_VALUE"""),"Irwan Sopian")</f>
        <v>Irwan Sopian</v>
      </c>
      <c r="N817" s="6" t="str">
        <f>IFERROR(__xludf.DUMMYFUNCTION("""COMPUTED_VALUE"""),"FIP Engineering")</f>
        <v>FIP Engineering</v>
      </c>
      <c r="O817" s="6" t="str">
        <f>IFERROR(__xludf.DUMMYFUNCTION("""COMPUTED_VALUE"""),"FIP-DOM-000-11304-OS00001-INA-000000")</f>
        <v>FIP-DOM-000-11304-OS00001-INA-000000</v>
      </c>
      <c r="P817" s="6" t="str">
        <f>IFERROR(__xludf.DUMMYFUNCTION("""COMPUTED_VALUE"""),"PO Closed")</f>
        <v>PO Closed</v>
      </c>
      <c r="Q817" s="6" t="str">
        <f>IFERROR(__xludf.DUMMYFUNCTION("""COMPUTED_VALUE"""),"GL1905300")</f>
        <v>GL1905300</v>
      </c>
      <c r="R817" s="16">
        <f>IFERROR(__xludf.DUMMYFUNCTION("""COMPUTED_VALUE"""),43561.0)</f>
        <v>43561</v>
      </c>
      <c r="S817" s="6" t="str">
        <f>IFERROR(__xludf.DUMMYFUNCTION("""COMPUTED_VALUE"""),"-")</f>
        <v>-</v>
      </c>
      <c r="T817" s="17">
        <f>IFERROR(__xludf.DUMMYFUNCTION("""COMPUTED_VALUE"""),43595.0)</f>
        <v>43595</v>
      </c>
    </row>
    <row r="818">
      <c r="A818" s="6" t="str">
        <f>IFERROR(__xludf.DUMMYFUNCTION("""COMPUTED_VALUE"""),"191750137-7")</f>
        <v>191750137-7</v>
      </c>
      <c r="B818" s="6" t="str">
        <f>IFERROR(__xludf.DUMMYFUNCTION("""COMPUTED_VALUE"""),"191750137 - Approved")</f>
        <v>191750137 - Approved</v>
      </c>
      <c r="C818" s="6">
        <f>IFERROR(__xludf.DUMMYFUNCTION("""COMPUTED_VALUE"""),7.0)</f>
        <v>7</v>
      </c>
      <c r="D818" s="6" t="str">
        <f>IFERROR(__xludf.DUMMYFUNCTION("""COMPUTED_VALUE"""),"P-13725-00")</f>
        <v>P-13725-00</v>
      </c>
      <c r="E818" s="6" t="str">
        <f>IFERROR(__xludf.DUMMYFUNCTION("""COMPUTED_VALUE"""),"Quick Coupler 1/2 inch Male")</f>
        <v>Quick Coupler 1/2 inch Male</v>
      </c>
      <c r="F818" s="6">
        <f>IFERROR(__xludf.DUMMYFUNCTION("""COMPUTED_VALUE"""),1.0)</f>
        <v>1</v>
      </c>
      <c r="G818" s="6" t="str">
        <f>IFERROR(__xludf.DUMMYFUNCTION("""COMPUTED_VALUE"""),"Pieces")</f>
        <v>Pieces</v>
      </c>
      <c r="H818" s="6" t="str">
        <f>IFERROR(__xludf.DUMMYFUNCTION("""COMPUTED_VALUE"""),"IDR")</f>
        <v>IDR</v>
      </c>
      <c r="I818" s="11">
        <f>IFERROR(__xludf.DUMMYFUNCTION("""COMPUTED_VALUE"""),40000.0)</f>
        <v>40000</v>
      </c>
      <c r="J818" s="11">
        <f>IFERROR(__xludf.DUMMYFUNCTION("""COMPUTED_VALUE"""),40000.0)</f>
        <v>40000</v>
      </c>
      <c r="K818" s="13">
        <f>IFERROR(__xludf.DUMMYFUNCTION("""COMPUTED_VALUE"""),43585.0)</f>
        <v>43585</v>
      </c>
      <c r="L818" s="6" t="str">
        <f>IFERROR(__xludf.DUMMYFUNCTION("""COMPUTED_VALUE"""),"FIP Engineering")</f>
        <v>FIP Engineering</v>
      </c>
      <c r="M818" s="6" t="str">
        <f>IFERROR(__xludf.DUMMYFUNCTION("""COMPUTED_VALUE"""),"Irwan Sopian")</f>
        <v>Irwan Sopian</v>
      </c>
      <c r="N818" s="6" t="str">
        <f>IFERROR(__xludf.DUMMYFUNCTION("""COMPUTED_VALUE"""),"FIP Engineering")</f>
        <v>FIP Engineering</v>
      </c>
      <c r="O818" s="6" t="str">
        <f>IFERROR(__xludf.DUMMYFUNCTION("""COMPUTED_VALUE"""),"FIP-DOM-000-11304-OS00001-INA-000000")</f>
        <v>FIP-DOM-000-11304-OS00001-INA-000000</v>
      </c>
      <c r="P818" s="6" t="str">
        <f>IFERROR(__xludf.DUMMYFUNCTION("""COMPUTED_VALUE"""),"PO Closed")</f>
        <v>PO Closed</v>
      </c>
      <c r="Q818" s="6" t="str">
        <f>IFERROR(__xludf.DUMMYFUNCTION("""COMPUTED_VALUE"""),"GL1905300")</f>
        <v>GL1905300</v>
      </c>
      <c r="R818" s="16">
        <f>IFERROR(__xludf.DUMMYFUNCTION("""COMPUTED_VALUE"""),43561.0)</f>
        <v>43561</v>
      </c>
      <c r="S818" s="6" t="str">
        <f>IFERROR(__xludf.DUMMYFUNCTION("""COMPUTED_VALUE"""),"-")</f>
        <v>-</v>
      </c>
      <c r="T818" s="13">
        <f>IFERROR(__xludf.DUMMYFUNCTION("""COMPUTED_VALUE"""),43595.0)</f>
        <v>43595</v>
      </c>
    </row>
    <row r="819">
      <c r="A819" s="6" t="str">
        <f>IFERROR(__xludf.DUMMYFUNCTION("""COMPUTED_VALUE"""),"191750137-8")</f>
        <v>191750137-8</v>
      </c>
      <c r="B819" s="6" t="str">
        <f>IFERROR(__xludf.DUMMYFUNCTION("""COMPUTED_VALUE"""),"191750137 - Approved")</f>
        <v>191750137 - Approved</v>
      </c>
      <c r="C819" s="6">
        <f>IFERROR(__xludf.DUMMYFUNCTION("""COMPUTED_VALUE"""),8.0)</f>
        <v>8</v>
      </c>
      <c r="D819" s="6" t="str">
        <f>IFERROR(__xludf.DUMMYFUNCTION("""COMPUTED_VALUE"""),"P-13726-00")</f>
        <v>P-13726-00</v>
      </c>
      <c r="E819" s="6" t="str">
        <f>IFERROR(__xludf.DUMMYFUNCTION("""COMPUTED_VALUE"""),"Quick Coupler 1/2 inch Female")</f>
        <v>Quick Coupler 1/2 inch Female</v>
      </c>
      <c r="F819" s="6">
        <f>IFERROR(__xludf.DUMMYFUNCTION("""COMPUTED_VALUE"""),1.0)</f>
        <v>1</v>
      </c>
      <c r="G819" s="6" t="str">
        <f>IFERROR(__xludf.DUMMYFUNCTION("""COMPUTED_VALUE"""),"Pieces")</f>
        <v>Pieces</v>
      </c>
      <c r="H819" s="6" t="str">
        <f>IFERROR(__xludf.DUMMYFUNCTION("""COMPUTED_VALUE"""),"IDR")</f>
        <v>IDR</v>
      </c>
      <c r="I819" s="11">
        <f>IFERROR(__xludf.DUMMYFUNCTION("""COMPUTED_VALUE"""),40000.0)</f>
        <v>40000</v>
      </c>
      <c r="J819" s="11">
        <f>IFERROR(__xludf.DUMMYFUNCTION("""COMPUTED_VALUE"""),40000.0)</f>
        <v>40000</v>
      </c>
      <c r="K819" s="13">
        <f>IFERROR(__xludf.DUMMYFUNCTION("""COMPUTED_VALUE"""),43585.0)</f>
        <v>43585</v>
      </c>
      <c r="L819" s="6" t="str">
        <f>IFERROR(__xludf.DUMMYFUNCTION("""COMPUTED_VALUE"""),"FIP Engineering")</f>
        <v>FIP Engineering</v>
      </c>
      <c r="M819" s="6" t="str">
        <f>IFERROR(__xludf.DUMMYFUNCTION("""COMPUTED_VALUE"""),"Irwan Sopian")</f>
        <v>Irwan Sopian</v>
      </c>
      <c r="N819" s="6" t="str">
        <f>IFERROR(__xludf.DUMMYFUNCTION("""COMPUTED_VALUE"""),"FIP Engineering")</f>
        <v>FIP Engineering</v>
      </c>
      <c r="O819" s="6" t="str">
        <f>IFERROR(__xludf.DUMMYFUNCTION("""COMPUTED_VALUE"""),"FIP-DOM-000-11304-OS00001-INA-000000")</f>
        <v>FIP-DOM-000-11304-OS00001-INA-000000</v>
      </c>
      <c r="P819" s="6" t="str">
        <f>IFERROR(__xludf.DUMMYFUNCTION("""COMPUTED_VALUE"""),"PO Closed")</f>
        <v>PO Closed</v>
      </c>
      <c r="Q819" s="6" t="str">
        <f>IFERROR(__xludf.DUMMYFUNCTION("""COMPUTED_VALUE"""),"GL1905300")</f>
        <v>GL1905300</v>
      </c>
      <c r="R819" s="16">
        <f>IFERROR(__xludf.DUMMYFUNCTION("""COMPUTED_VALUE"""),43561.0)</f>
        <v>43561</v>
      </c>
      <c r="S819" s="6" t="str">
        <f>IFERROR(__xludf.DUMMYFUNCTION("""COMPUTED_VALUE"""),"-")</f>
        <v>-</v>
      </c>
      <c r="T819" s="13">
        <f>IFERROR(__xludf.DUMMYFUNCTION("""COMPUTED_VALUE"""),43595.0)</f>
        <v>43595</v>
      </c>
    </row>
    <row r="820">
      <c r="A820" s="6" t="str">
        <f>IFERROR(__xludf.DUMMYFUNCTION("""COMPUTED_VALUE"""),"191750157-1")</f>
        <v>191750157-1</v>
      </c>
      <c r="B820" s="6" t="str">
        <f>IFERROR(__xludf.DUMMYFUNCTION("""COMPUTED_VALUE"""),"191750157 - Approved")</f>
        <v>191750157 - Approved</v>
      </c>
      <c r="C820" s="6">
        <f>IFERROR(__xludf.DUMMYFUNCTION("""COMPUTED_VALUE"""),1.0)</f>
        <v>1</v>
      </c>
      <c r="D820" s="6" t="str">
        <f>IFERROR(__xludf.DUMMYFUNCTION("""COMPUTED_VALUE"""),"P-51708-00")</f>
        <v>P-51708-00</v>
      </c>
      <c r="E820" s="6" t="str">
        <f>IFERROR(__xludf.DUMMYFUNCTION("""COMPUTED_VALUE"""),"Regulator Angin AER2000")</f>
        <v>Regulator Angin AER2000</v>
      </c>
      <c r="F820" s="6">
        <f>IFERROR(__xludf.DUMMYFUNCTION("""COMPUTED_VALUE"""),2.0)</f>
        <v>2</v>
      </c>
      <c r="G820" s="6" t="str">
        <f>IFERROR(__xludf.DUMMYFUNCTION("""COMPUTED_VALUE"""),"Pieces")</f>
        <v>Pieces</v>
      </c>
      <c r="H820" s="6" t="str">
        <f>IFERROR(__xludf.DUMMYFUNCTION("""COMPUTED_VALUE"""),"IDR")</f>
        <v>IDR</v>
      </c>
      <c r="I820" s="11">
        <f>IFERROR(__xludf.DUMMYFUNCTION("""COMPUTED_VALUE"""),120000.0)</f>
        <v>120000</v>
      </c>
      <c r="J820" s="11">
        <f>IFERROR(__xludf.DUMMYFUNCTION("""COMPUTED_VALUE"""),240000.0)</f>
        <v>240000</v>
      </c>
      <c r="K820" s="13">
        <f>IFERROR(__xludf.DUMMYFUNCTION("""COMPUTED_VALUE"""),43591.0)</f>
        <v>43591</v>
      </c>
      <c r="L820" s="6" t="str">
        <f>IFERROR(__xludf.DUMMYFUNCTION("""COMPUTED_VALUE"""),"FIP Engineering")</f>
        <v>FIP Engineering</v>
      </c>
      <c r="M820" s="6" t="str">
        <f>IFERROR(__xludf.DUMMYFUNCTION("""COMPUTED_VALUE"""),"Irwan Sopian")</f>
        <v>Irwan Sopian</v>
      </c>
      <c r="N820" s="6" t="str">
        <f>IFERROR(__xludf.DUMMYFUNCTION("""COMPUTED_VALUE"""),"FIP Engineering")</f>
        <v>FIP Engineering</v>
      </c>
      <c r="O820" s="6" t="str">
        <f>IFERROR(__xludf.DUMMYFUNCTION("""COMPUTED_VALUE"""),"FIP-DOM-000-11304-OS00001-INA-000000")</f>
        <v>FIP-DOM-000-11304-OS00001-INA-000000</v>
      </c>
      <c r="P820" s="6" t="str">
        <f>IFERROR(__xludf.DUMMYFUNCTION("""COMPUTED_VALUE"""),"PO Closed")</f>
        <v>PO Closed</v>
      </c>
      <c r="Q820" s="6" t="str">
        <f>IFERROR(__xludf.DUMMYFUNCTION("""COMPUTED_VALUE"""),"GL1905300")</f>
        <v>GL1905300</v>
      </c>
      <c r="R820" s="16">
        <f>IFERROR(__xludf.DUMMYFUNCTION("""COMPUTED_VALUE"""),43565.0)</f>
        <v>43565</v>
      </c>
      <c r="S820" s="6" t="str">
        <f>IFERROR(__xludf.DUMMYFUNCTION("""COMPUTED_VALUE"""),"-")</f>
        <v>-</v>
      </c>
      <c r="T820" s="13">
        <f>IFERROR(__xludf.DUMMYFUNCTION("""COMPUTED_VALUE"""),43595.0)</f>
        <v>43595</v>
      </c>
    </row>
    <row r="821">
      <c r="A821" s="6" t="str">
        <f>IFERROR(__xludf.DUMMYFUNCTION("""COMPUTED_VALUE"""),"191750157-2")</f>
        <v>191750157-2</v>
      </c>
      <c r="B821" s="6" t="str">
        <f>IFERROR(__xludf.DUMMYFUNCTION("""COMPUTED_VALUE"""),"191750157 - Approved")</f>
        <v>191750157 - Approved</v>
      </c>
      <c r="C821" s="6">
        <f>IFERROR(__xludf.DUMMYFUNCTION("""COMPUTED_VALUE"""),2.0)</f>
        <v>2</v>
      </c>
      <c r="D821" s="6" t="str">
        <f>IFERROR(__xludf.DUMMYFUNCTION("""COMPUTED_VALUE"""),"O-13505-00")</f>
        <v>O-13505-00</v>
      </c>
      <c r="E821" s="6" t="str">
        <f>IFERROR(__xludf.DUMMYFUNCTION("""COMPUTED_VALUE"""),"Pneumatic Fitting - QST 10")</f>
        <v>Pneumatic Fitting - QST 10</v>
      </c>
      <c r="F821" s="6">
        <f>IFERROR(__xludf.DUMMYFUNCTION("""COMPUTED_VALUE"""),3.0)</f>
        <v>3</v>
      </c>
      <c r="G821" s="6" t="str">
        <f>IFERROR(__xludf.DUMMYFUNCTION("""COMPUTED_VALUE"""),"Pieces")</f>
        <v>Pieces</v>
      </c>
      <c r="H821" s="6" t="str">
        <f>IFERROR(__xludf.DUMMYFUNCTION("""COMPUTED_VALUE"""),"IDR")</f>
        <v>IDR</v>
      </c>
      <c r="I821" s="11">
        <f>IFERROR(__xludf.DUMMYFUNCTION("""COMPUTED_VALUE"""),103944.0)</f>
        <v>103944</v>
      </c>
      <c r="J821" s="11">
        <f>IFERROR(__xludf.DUMMYFUNCTION("""COMPUTED_VALUE"""),311832.0)</f>
        <v>311832</v>
      </c>
      <c r="K821" s="13">
        <f>IFERROR(__xludf.DUMMYFUNCTION("""COMPUTED_VALUE"""),43591.0)</f>
        <v>43591</v>
      </c>
      <c r="L821" s="6" t="str">
        <f>IFERROR(__xludf.DUMMYFUNCTION("""COMPUTED_VALUE"""),"FIP Engineering")</f>
        <v>FIP Engineering</v>
      </c>
      <c r="M821" s="6" t="str">
        <f>IFERROR(__xludf.DUMMYFUNCTION("""COMPUTED_VALUE"""),"Irwan Sopian")</f>
        <v>Irwan Sopian</v>
      </c>
      <c r="N821" s="6" t="str">
        <f>IFERROR(__xludf.DUMMYFUNCTION("""COMPUTED_VALUE"""),"FIP Engineering")</f>
        <v>FIP Engineering</v>
      </c>
      <c r="O821" s="6" t="str">
        <f>IFERROR(__xludf.DUMMYFUNCTION("""COMPUTED_VALUE"""),"FIP-DOM-000-11304-OS00001-INA-000000")</f>
        <v>FIP-DOM-000-11304-OS00001-INA-000000</v>
      </c>
      <c r="P821" s="6" t="str">
        <f>IFERROR(__xludf.DUMMYFUNCTION("""COMPUTED_VALUE"""),"PO Closed")</f>
        <v>PO Closed</v>
      </c>
      <c r="Q821" s="6" t="str">
        <f>IFERROR(__xludf.DUMMYFUNCTION("""COMPUTED_VALUE"""),"GL1904044")</f>
        <v>GL1904044</v>
      </c>
      <c r="R821" s="17">
        <f>IFERROR(__xludf.DUMMYFUNCTION("""COMPUTED_VALUE"""),43565.0)</f>
        <v>43565</v>
      </c>
      <c r="S821" s="6" t="str">
        <f>IFERROR(__xludf.DUMMYFUNCTION("""COMPUTED_VALUE"""),"-")</f>
        <v>-</v>
      </c>
      <c r="T821" s="17">
        <f>IFERROR(__xludf.DUMMYFUNCTION("""COMPUTED_VALUE"""),43599.0)</f>
        <v>43599</v>
      </c>
    </row>
    <row r="822">
      <c r="A822" s="6" t="str">
        <f>IFERROR(__xludf.DUMMYFUNCTION("""COMPUTED_VALUE"""),"191750157-3")</f>
        <v>191750157-3</v>
      </c>
      <c r="B822" s="6" t="str">
        <f>IFERROR(__xludf.DUMMYFUNCTION("""COMPUTED_VALUE"""),"191750157 - Approved")</f>
        <v>191750157 - Approved</v>
      </c>
      <c r="C822" s="6">
        <f>IFERROR(__xludf.DUMMYFUNCTION("""COMPUTED_VALUE"""),3.0)</f>
        <v>3</v>
      </c>
      <c r="D822" s="6" t="str">
        <f>IFERROR(__xludf.DUMMYFUNCTION("""COMPUTED_VALUE"""),"P-12275-00")</f>
        <v>P-12275-00</v>
      </c>
      <c r="E822" s="6" t="str">
        <f>IFERROR(__xludf.DUMMYFUNCTION("""COMPUTED_VALUE"""),"FESTO - QS-1/4-6 Push-In fitting p/n 153003")</f>
        <v>FESTO - QS-1/4-6 Push-In fitting p/n 153003</v>
      </c>
      <c r="F822" s="6">
        <f>IFERROR(__xludf.DUMMYFUNCTION("""COMPUTED_VALUE"""),3.0)</f>
        <v>3</v>
      </c>
      <c r="G822" s="6" t="str">
        <f>IFERROR(__xludf.DUMMYFUNCTION("""COMPUTED_VALUE"""),"Pieces")</f>
        <v>Pieces</v>
      </c>
      <c r="H822" s="6" t="str">
        <f>IFERROR(__xludf.DUMMYFUNCTION("""COMPUTED_VALUE"""),"IDR")</f>
        <v>IDR</v>
      </c>
      <c r="I822" s="11">
        <f>IFERROR(__xludf.DUMMYFUNCTION("""COMPUTED_VALUE"""),29923.0)</f>
        <v>29923</v>
      </c>
      <c r="J822" s="11">
        <f>IFERROR(__xludf.DUMMYFUNCTION("""COMPUTED_VALUE"""),89769.0)</f>
        <v>89769</v>
      </c>
      <c r="K822" s="13">
        <f>IFERROR(__xludf.DUMMYFUNCTION("""COMPUTED_VALUE"""),43591.0)</f>
        <v>43591</v>
      </c>
      <c r="L822" s="6" t="str">
        <f>IFERROR(__xludf.DUMMYFUNCTION("""COMPUTED_VALUE"""),"FIP Engineering")</f>
        <v>FIP Engineering</v>
      </c>
      <c r="M822" s="6" t="str">
        <f>IFERROR(__xludf.DUMMYFUNCTION("""COMPUTED_VALUE"""),"Irwan Sopian")</f>
        <v>Irwan Sopian</v>
      </c>
      <c r="N822" s="6" t="str">
        <f>IFERROR(__xludf.DUMMYFUNCTION("""COMPUTED_VALUE"""),"FIP Engineering")</f>
        <v>FIP Engineering</v>
      </c>
      <c r="O822" s="6" t="str">
        <f>IFERROR(__xludf.DUMMYFUNCTION("""COMPUTED_VALUE"""),"FIP-DOM-000-11304-OS00001-INA-000000")</f>
        <v>FIP-DOM-000-11304-OS00001-INA-000000</v>
      </c>
      <c r="P822" s="6" t="str">
        <f>IFERROR(__xludf.DUMMYFUNCTION("""COMPUTED_VALUE"""),"PO Closed")</f>
        <v>PO Closed</v>
      </c>
      <c r="Q822" s="6" t="str">
        <f>IFERROR(__xludf.DUMMYFUNCTION("""COMPUTED_VALUE"""),"GL1904044")</f>
        <v>GL1904044</v>
      </c>
      <c r="R822" s="17">
        <f>IFERROR(__xludf.DUMMYFUNCTION("""COMPUTED_VALUE"""),43565.0)</f>
        <v>43565</v>
      </c>
      <c r="S822" s="6" t="str">
        <f>IFERROR(__xludf.DUMMYFUNCTION("""COMPUTED_VALUE"""),"-")</f>
        <v>-</v>
      </c>
      <c r="T822" s="17">
        <f>IFERROR(__xludf.DUMMYFUNCTION("""COMPUTED_VALUE"""),43599.0)</f>
        <v>43599</v>
      </c>
    </row>
    <row r="823">
      <c r="A823" s="6" t="str">
        <f>IFERROR(__xludf.DUMMYFUNCTION("""COMPUTED_VALUE"""),"191750157-4")</f>
        <v>191750157-4</v>
      </c>
      <c r="B823" s="6" t="str">
        <f>IFERROR(__xludf.DUMMYFUNCTION("""COMPUTED_VALUE"""),"191750157 - Approved")</f>
        <v>191750157 - Approved</v>
      </c>
      <c r="C823" s="6">
        <f>IFERROR(__xludf.DUMMYFUNCTION("""COMPUTED_VALUE"""),4.0)</f>
        <v>4</v>
      </c>
      <c r="D823" s="6" t="str">
        <f>IFERROR(__xludf.DUMMYFUNCTION("""COMPUTED_VALUE"""),"P-11167-00")</f>
        <v>P-11167-00</v>
      </c>
      <c r="E823" s="6" t="str">
        <f>IFERROR(__xludf.DUMMYFUNCTION("""COMPUTED_VALUE"""),"Pneumatic Fitting - QS 1/4-10 / PN : 153007 / Festo")</f>
        <v>Pneumatic Fitting - QS 1/4-10 / PN : 153007 / Festo</v>
      </c>
      <c r="F823" s="6">
        <f>IFERROR(__xludf.DUMMYFUNCTION("""COMPUTED_VALUE"""),3.0)</f>
        <v>3</v>
      </c>
      <c r="G823" s="6" t="str">
        <f>IFERROR(__xludf.DUMMYFUNCTION("""COMPUTED_VALUE"""),"Pieces")</f>
        <v>Pieces</v>
      </c>
      <c r="H823" s="6" t="str">
        <f>IFERROR(__xludf.DUMMYFUNCTION("""COMPUTED_VALUE"""),"IDR")</f>
        <v>IDR</v>
      </c>
      <c r="I823" s="11">
        <f>IFERROR(__xludf.DUMMYFUNCTION("""COMPUTED_VALUE"""),38848.0)</f>
        <v>38848</v>
      </c>
      <c r="J823" s="11">
        <f>IFERROR(__xludf.DUMMYFUNCTION("""COMPUTED_VALUE"""),116544.0)</f>
        <v>116544</v>
      </c>
      <c r="K823" s="13">
        <f>IFERROR(__xludf.DUMMYFUNCTION("""COMPUTED_VALUE"""),43591.0)</f>
        <v>43591</v>
      </c>
      <c r="L823" s="6" t="str">
        <f>IFERROR(__xludf.DUMMYFUNCTION("""COMPUTED_VALUE"""),"FIP Engineering")</f>
        <v>FIP Engineering</v>
      </c>
      <c r="M823" s="6" t="str">
        <f>IFERROR(__xludf.DUMMYFUNCTION("""COMPUTED_VALUE"""),"Irwan Sopian")</f>
        <v>Irwan Sopian</v>
      </c>
      <c r="N823" s="6" t="str">
        <f>IFERROR(__xludf.DUMMYFUNCTION("""COMPUTED_VALUE"""),"FIP Engineering")</f>
        <v>FIP Engineering</v>
      </c>
      <c r="O823" s="6" t="str">
        <f>IFERROR(__xludf.DUMMYFUNCTION("""COMPUTED_VALUE"""),"FIP-DOM-000-11304-OS00001-INA-000000")</f>
        <v>FIP-DOM-000-11304-OS00001-INA-000000</v>
      </c>
      <c r="P823" s="6" t="str">
        <f>IFERROR(__xludf.DUMMYFUNCTION("""COMPUTED_VALUE"""),"PO Closed")</f>
        <v>PO Closed</v>
      </c>
      <c r="Q823" s="6" t="str">
        <f>IFERROR(__xludf.DUMMYFUNCTION("""COMPUTED_VALUE"""),"GL1904044")</f>
        <v>GL1904044</v>
      </c>
      <c r="R823" s="17">
        <f>IFERROR(__xludf.DUMMYFUNCTION("""COMPUTED_VALUE"""),43565.0)</f>
        <v>43565</v>
      </c>
      <c r="S823" s="6" t="str">
        <f>IFERROR(__xludf.DUMMYFUNCTION("""COMPUTED_VALUE"""),"-")</f>
        <v>-</v>
      </c>
      <c r="T823" s="17">
        <f>IFERROR(__xludf.DUMMYFUNCTION("""COMPUTED_VALUE"""),43599.0)</f>
        <v>43599</v>
      </c>
    </row>
    <row r="824">
      <c r="A824" s="6" t="str">
        <f>IFERROR(__xludf.DUMMYFUNCTION("""COMPUTED_VALUE"""),"191750156-1")</f>
        <v>191750156-1</v>
      </c>
      <c r="B824" s="6" t="str">
        <f>IFERROR(__xludf.DUMMYFUNCTION("""COMPUTED_VALUE"""),"191750156 - Approved")</f>
        <v>191750156 - Approved</v>
      </c>
      <c r="C824" s="6">
        <f>IFERROR(__xludf.DUMMYFUNCTION("""COMPUTED_VALUE"""),1.0)</f>
        <v>1</v>
      </c>
      <c r="D824" s="6" t="str">
        <f>IFERROR(__xludf.DUMMYFUNCTION("""COMPUTED_VALUE"""),"P-51574-00")</f>
        <v>P-51574-00</v>
      </c>
      <c r="E824" s="6" t="str">
        <f>IFERROR(__xludf.DUMMYFUNCTION("""COMPUTED_VALUE"""),"Motorized Valve 2 Way, DFCM-220X/4.6 3/4 inch 220V 50 HZ REGIN; ; ;")</f>
        <v>Motorized Valve 2 Way, DFCM-220X/4.6 3/4 inch 220V 50 HZ REGIN; ; ;</v>
      </c>
      <c r="F824" s="6">
        <f>IFERROR(__xludf.DUMMYFUNCTION("""COMPUTED_VALUE"""),2.0)</f>
        <v>2</v>
      </c>
      <c r="G824" s="6" t="str">
        <f>IFERROR(__xludf.DUMMYFUNCTION("""COMPUTED_VALUE"""),"Unit")</f>
        <v>Unit</v>
      </c>
      <c r="H824" s="6" t="str">
        <f>IFERROR(__xludf.DUMMYFUNCTION("""COMPUTED_VALUE"""),"IDR")</f>
        <v>IDR</v>
      </c>
      <c r="I824" s="11">
        <f>IFERROR(__xludf.DUMMYFUNCTION("""COMPUTED_VALUE"""),810000.0)</f>
        <v>810000</v>
      </c>
      <c r="J824" s="11">
        <f>IFERROR(__xludf.DUMMYFUNCTION("""COMPUTED_VALUE"""),1620000.0)</f>
        <v>1620000</v>
      </c>
      <c r="K824" s="13">
        <f>IFERROR(__xludf.DUMMYFUNCTION("""COMPUTED_VALUE"""),43588.0)</f>
        <v>43588</v>
      </c>
      <c r="L824" s="6" t="str">
        <f>IFERROR(__xludf.DUMMYFUNCTION("""COMPUTED_VALUE"""),"FIP Engineering")</f>
        <v>FIP Engineering</v>
      </c>
      <c r="M824" s="6" t="str">
        <f>IFERROR(__xludf.DUMMYFUNCTION("""COMPUTED_VALUE"""),"Irwan Sopian")</f>
        <v>Irwan Sopian</v>
      </c>
      <c r="N824" s="6" t="str">
        <f>IFERROR(__xludf.DUMMYFUNCTION("""COMPUTED_VALUE"""),"FIP Engineering")</f>
        <v>FIP Engineering</v>
      </c>
      <c r="O824" s="6" t="str">
        <f>IFERROR(__xludf.DUMMYFUNCTION("""COMPUTED_VALUE"""),"FIP-DOM-000-11304-OS00001-INA-000000")</f>
        <v>FIP-DOM-000-11304-OS00001-INA-000000</v>
      </c>
      <c r="P824" s="6" t="str">
        <f>IFERROR(__xludf.DUMMYFUNCTION("""COMPUTED_VALUE"""),"PO Closed")</f>
        <v>PO Closed</v>
      </c>
      <c r="Q824" s="6" t="str">
        <f>IFERROR(__xludf.DUMMYFUNCTION("""COMPUTED_VALUE"""),"GL1905023")</f>
        <v>GL1905023</v>
      </c>
      <c r="R824" s="17">
        <f>IFERROR(__xludf.DUMMYFUNCTION("""COMPUTED_VALUE"""),43565.0)</f>
        <v>43565</v>
      </c>
      <c r="S824" s="6" t="str">
        <f>IFERROR(__xludf.DUMMYFUNCTION("""COMPUTED_VALUE"""),"-")</f>
        <v>-</v>
      </c>
      <c r="T824" s="17">
        <f>IFERROR(__xludf.DUMMYFUNCTION("""COMPUTED_VALUE"""),43602.0)</f>
        <v>43602</v>
      </c>
    </row>
    <row r="825">
      <c r="A825" s="6" t="str">
        <f>IFERROR(__xludf.DUMMYFUNCTION("""COMPUTED_VALUE"""),"191750155-1")</f>
        <v>191750155-1</v>
      </c>
      <c r="B825" s="6" t="str">
        <f>IFERROR(__xludf.DUMMYFUNCTION("""COMPUTED_VALUE"""),"191750155 - Approved")</f>
        <v>191750155 - Approved</v>
      </c>
      <c r="C825" s="6">
        <f>IFERROR(__xludf.DUMMYFUNCTION("""COMPUTED_VALUE"""),1.0)</f>
        <v>1</v>
      </c>
      <c r="D825" s="6" t="str">
        <f>IFERROR(__xludf.DUMMYFUNCTION("""COMPUTED_VALUE"""),"O-16772-00")</f>
        <v>O-16772-00</v>
      </c>
      <c r="E825" s="6" t="str">
        <f>IFERROR(__xludf.DUMMYFUNCTION("""COMPUTED_VALUE"""),"Oring Silicone Merah 40.5 x 37.5 x 1.5 mm")</f>
        <v>Oring Silicone Merah 40.5 x 37.5 x 1.5 mm</v>
      </c>
      <c r="F825" s="6">
        <f>IFERROR(__xludf.DUMMYFUNCTION("""COMPUTED_VALUE"""),5.0)</f>
        <v>5</v>
      </c>
      <c r="G825" s="6" t="str">
        <f>IFERROR(__xludf.DUMMYFUNCTION("""COMPUTED_VALUE"""),"Pieces")</f>
        <v>Pieces</v>
      </c>
      <c r="H825" s="6" t="str">
        <f>IFERROR(__xludf.DUMMYFUNCTION("""COMPUTED_VALUE"""),"IDR")</f>
        <v>IDR</v>
      </c>
      <c r="I825" s="11">
        <f>IFERROR(__xludf.DUMMYFUNCTION("""COMPUTED_VALUE"""),60000.0)</f>
        <v>60000</v>
      </c>
      <c r="J825" s="11">
        <f>IFERROR(__xludf.DUMMYFUNCTION("""COMPUTED_VALUE"""),300000.0)</f>
        <v>300000</v>
      </c>
      <c r="K825" s="13">
        <f>IFERROR(__xludf.DUMMYFUNCTION("""COMPUTED_VALUE"""),43586.0)</f>
        <v>43586</v>
      </c>
      <c r="L825" s="6" t="str">
        <f>IFERROR(__xludf.DUMMYFUNCTION("""COMPUTED_VALUE"""),"FIP Engineering")</f>
        <v>FIP Engineering</v>
      </c>
      <c r="M825" s="6" t="str">
        <f>IFERROR(__xludf.DUMMYFUNCTION("""COMPUTED_VALUE"""),"Irwan Sopian")</f>
        <v>Irwan Sopian</v>
      </c>
      <c r="N825" s="6" t="str">
        <f>IFERROR(__xludf.DUMMYFUNCTION("""COMPUTED_VALUE"""),"FIP Engineering")</f>
        <v>FIP Engineering</v>
      </c>
      <c r="O825" s="6" t="str">
        <f>IFERROR(__xludf.DUMMYFUNCTION("""COMPUTED_VALUE"""),"FIP-DOM-000-11304-OS00001-INA-000000")</f>
        <v>FIP-DOM-000-11304-OS00001-INA-000000</v>
      </c>
      <c r="P825" s="6" t="str">
        <f>IFERROR(__xludf.DUMMYFUNCTION("""COMPUTED_VALUE"""),"PO Closed")</f>
        <v>PO Closed</v>
      </c>
      <c r="Q825" s="6" t="str">
        <f>IFERROR(__xludf.DUMMYFUNCTION("""COMPUTED_VALUE"""),"GL1904043")</f>
        <v>GL1904043</v>
      </c>
      <c r="R825" s="16">
        <f>IFERROR(__xludf.DUMMYFUNCTION("""COMPUTED_VALUE"""),43565.0)</f>
        <v>43565</v>
      </c>
      <c r="S825" s="6" t="str">
        <f>IFERROR(__xludf.DUMMYFUNCTION("""COMPUTED_VALUE"""),"-")</f>
        <v>-</v>
      </c>
      <c r="T825" s="17">
        <f>IFERROR(__xludf.DUMMYFUNCTION("""COMPUTED_VALUE"""),43599.0)</f>
        <v>43599</v>
      </c>
    </row>
    <row r="826">
      <c r="A826" s="6" t="str">
        <f>IFERROR(__xludf.DUMMYFUNCTION("""COMPUTED_VALUE"""),"191750155-2")</f>
        <v>191750155-2</v>
      </c>
      <c r="B826" s="6" t="str">
        <f>IFERROR(__xludf.DUMMYFUNCTION("""COMPUTED_VALUE"""),"191750155 - Approved")</f>
        <v>191750155 - Approved</v>
      </c>
      <c r="C826" s="6">
        <f>IFERROR(__xludf.DUMMYFUNCTION("""COMPUTED_VALUE"""),2.0)</f>
        <v>2</v>
      </c>
      <c r="D826" s="6" t="str">
        <f>IFERROR(__xludf.DUMMYFUNCTION("""COMPUTED_VALUE"""),"O-16771-00")</f>
        <v>O-16771-00</v>
      </c>
      <c r="E826" s="6" t="str">
        <f>IFERROR(__xludf.DUMMYFUNCTION("""COMPUTED_VALUE"""),"Oring Silicone Merah 19 x 15.5 x 1.75 mm")</f>
        <v>Oring Silicone Merah 19 x 15.5 x 1.75 mm</v>
      </c>
      <c r="F826" s="6">
        <f>IFERROR(__xludf.DUMMYFUNCTION("""COMPUTED_VALUE"""),5.0)</f>
        <v>5</v>
      </c>
      <c r="G826" s="6" t="str">
        <f>IFERROR(__xludf.DUMMYFUNCTION("""COMPUTED_VALUE"""),"Pieces")</f>
        <v>Pieces</v>
      </c>
      <c r="H826" s="6" t="str">
        <f>IFERROR(__xludf.DUMMYFUNCTION("""COMPUTED_VALUE"""),"IDR")</f>
        <v>IDR</v>
      </c>
      <c r="I826" s="11">
        <f>IFERROR(__xludf.DUMMYFUNCTION("""COMPUTED_VALUE"""),30000.0)</f>
        <v>30000</v>
      </c>
      <c r="J826" s="11">
        <f>IFERROR(__xludf.DUMMYFUNCTION("""COMPUTED_VALUE"""),150000.0)</f>
        <v>150000</v>
      </c>
      <c r="K826" s="13">
        <f>IFERROR(__xludf.DUMMYFUNCTION("""COMPUTED_VALUE"""),43586.0)</f>
        <v>43586</v>
      </c>
      <c r="L826" s="6" t="str">
        <f>IFERROR(__xludf.DUMMYFUNCTION("""COMPUTED_VALUE"""),"FIP Engineering")</f>
        <v>FIP Engineering</v>
      </c>
      <c r="M826" s="6" t="str">
        <f>IFERROR(__xludf.DUMMYFUNCTION("""COMPUTED_VALUE"""),"Irwan Sopian")</f>
        <v>Irwan Sopian</v>
      </c>
      <c r="N826" s="6" t="str">
        <f>IFERROR(__xludf.DUMMYFUNCTION("""COMPUTED_VALUE"""),"FIP Engineering")</f>
        <v>FIP Engineering</v>
      </c>
      <c r="O826" s="6" t="str">
        <f>IFERROR(__xludf.DUMMYFUNCTION("""COMPUTED_VALUE"""),"FIP-DOM-000-11304-OS00001-INA-000000")</f>
        <v>FIP-DOM-000-11304-OS00001-INA-000000</v>
      </c>
      <c r="P826" s="6" t="str">
        <f>IFERROR(__xludf.DUMMYFUNCTION("""COMPUTED_VALUE"""),"PO Closed")</f>
        <v>PO Closed</v>
      </c>
      <c r="Q826" s="6" t="str">
        <f>IFERROR(__xludf.DUMMYFUNCTION("""COMPUTED_VALUE"""),"GL1904043")</f>
        <v>GL1904043</v>
      </c>
      <c r="R826" s="16">
        <f>IFERROR(__xludf.DUMMYFUNCTION("""COMPUTED_VALUE"""),43565.0)</f>
        <v>43565</v>
      </c>
      <c r="S826" s="6" t="str">
        <f>IFERROR(__xludf.DUMMYFUNCTION("""COMPUTED_VALUE"""),"-")</f>
        <v>-</v>
      </c>
      <c r="T826" s="13">
        <f>IFERROR(__xludf.DUMMYFUNCTION("""COMPUTED_VALUE"""),43599.0)</f>
        <v>43599</v>
      </c>
    </row>
    <row r="827">
      <c r="A827" s="6" t="str">
        <f>IFERROR(__xludf.DUMMYFUNCTION("""COMPUTED_VALUE"""),"191750155-3")</f>
        <v>191750155-3</v>
      </c>
      <c r="B827" s="6" t="str">
        <f>IFERROR(__xludf.DUMMYFUNCTION("""COMPUTED_VALUE"""),"191750155 - Approved")</f>
        <v>191750155 - Approved</v>
      </c>
      <c r="C827" s="6">
        <f>IFERROR(__xludf.DUMMYFUNCTION("""COMPUTED_VALUE"""),3.0)</f>
        <v>3</v>
      </c>
      <c r="D827" s="6" t="str">
        <f>IFERROR(__xludf.DUMMYFUNCTION("""COMPUTED_VALUE"""),"O-16770-00")</f>
        <v>O-16770-00</v>
      </c>
      <c r="E827" s="6" t="str">
        <f>IFERROR(__xludf.DUMMYFUNCTION("""COMPUTED_VALUE"""),"Oring Silicone Merah 30.3 x 27.2 x 1.75 mm")</f>
        <v>Oring Silicone Merah 30.3 x 27.2 x 1.75 mm</v>
      </c>
      <c r="F827" s="6">
        <f>IFERROR(__xludf.DUMMYFUNCTION("""COMPUTED_VALUE"""),5.0)</f>
        <v>5</v>
      </c>
      <c r="G827" s="6" t="str">
        <f>IFERROR(__xludf.DUMMYFUNCTION("""COMPUTED_VALUE"""),"Pieces")</f>
        <v>Pieces</v>
      </c>
      <c r="H827" s="6" t="str">
        <f>IFERROR(__xludf.DUMMYFUNCTION("""COMPUTED_VALUE"""),"IDR")</f>
        <v>IDR</v>
      </c>
      <c r="I827" s="11">
        <f>IFERROR(__xludf.DUMMYFUNCTION("""COMPUTED_VALUE"""),45000.0)</f>
        <v>45000</v>
      </c>
      <c r="J827" s="11">
        <f>IFERROR(__xludf.DUMMYFUNCTION("""COMPUTED_VALUE"""),225000.0)</f>
        <v>225000</v>
      </c>
      <c r="K827" s="13">
        <f>IFERROR(__xludf.DUMMYFUNCTION("""COMPUTED_VALUE"""),43586.0)</f>
        <v>43586</v>
      </c>
      <c r="L827" s="6" t="str">
        <f>IFERROR(__xludf.DUMMYFUNCTION("""COMPUTED_VALUE"""),"FIP Engineering")</f>
        <v>FIP Engineering</v>
      </c>
      <c r="M827" s="6" t="str">
        <f>IFERROR(__xludf.DUMMYFUNCTION("""COMPUTED_VALUE"""),"Irwan Sopian")</f>
        <v>Irwan Sopian</v>
      </c>
      <c r="N827" s="6" t="str">
        <f>IFERROR(__xludf.DUMMYFUNCTION("""COMPUTED_VALUE"""),"FIP Engineering")</f>
        <v>FIP Engineering</v>
      </c>
      <c r="O827" s="6" t="str">
        <f>IFERROR(__xludf.DUMMYFUNCTION("""COMPUTED_VALUE"""),"FIP-DOM-000-11304-OS00001-INA-000000")</f>
        <v>FIP-DOM-000-11304-OS00001-INA-000000</v>
      </c>
      <c r="P827" s="6" t="str">
        <f>IFERROR(__xludf.DUMMYFUNCTION("""COMPUTED_VALUE"""),"PO Closed")</f>
        <v>PO Closed</v>
      </c>
      <c r="Q827" s="6" t="str">
        <f>IFERROR(__xludf.DUMMYFUNCTION("""COMPUTED_VALUE"""),"GL1904043")</f>
        <v>GL1904043</v>
      </c>
      <c r="R827" s="16">
        <f>IFERROR(__xludf.DUMMYFUNCTION("""COMPUTED_VALUE"""),43565.0)</f>
        <v>43565</v>
      </c>
      <c r="S827" s="6" t="str">
        <f>IFERROR(__xludf.DUMMYFUNCTION("""COMPUTED_VALUE"""),"-")</f>
        <v>-</v>
      </c>
      <c r="T827" s="17">
        <f>IFERROR(__xludf.DUMMYFUNCTION("""COMPUTED_VALUE"""),43599.0)</f>
        <v>43599</v>
      </c>
    </row>
    <row r="828">
      <c r="A828" s="6" t="str">
        <f>IFERROR(__xludf.DUMMYFUNCTION("""COMPUTED_VALUE"""),"191750154-1")</f>
        <v>191750154-1</v>
      </c>
      <c r="B828" s="6" t="str">
        <f>IFERROR(__xludf.DUMMYFUNCTION("""COMPUTED_VALUE"""),"191750154 - Approved")</f>
        <v>191750154 - Approved</v>
      </c>
      <c r="C828" s="6">
        <f>IFERROR(__xludf.DUMMYFUNCTION("""COMPUTED_VALUE"""),1.0)</f>
        <v>1</v>
      </c>
      <c r="D828" s="6" t="str">
        <f>IFERROR(__xludf.DUMMYFUNCTION("""COMPUTED_VALUE"""),"O-52224-00")</f>
        <v>O-52224-00</v>
      </c>
      <c r="E828" s="6" t="str">
        <f>IFERROR(__xludf.DUMMYFUNCTION("""COMPUTED_VALUE"""),"Tunnel ST1L - Fuse Keramik 22x58 40A 200kA")</f>
        <v>Tunnel ST1L - Fuse Keramik 22x58 40A 200kA</v>
      </c>
      <c r="F828" s="6">
        <f>IFERROR(__xludf.DUMMYFUNCTION("""COMPUTED_VALUE"""),4.0)</f>
        <v>4</v>
      </c>
      <c r="G828" s="6" t="str">
        <f>IFERROR(__xludf.DUMMYFUNCTION("""COMPUTED_VALUE"""),"Pieces")</f>
        <v>Pieces</v>
      </c>
      <c r="H828" s="6" t="str">
        <f>IFERROR(__xludf.DUMMYFUNCTION("""COMPUTED_VALUE"""),"IDR")</f>
        <v>IDR</v>
      </c>
      <c r="I828" s="11">
        <f>IFERROR(__xludf.DUMMYFUNCTION("""COMPUTED_VALUE"""),750000.0)</f>
        <v>750000</v>
      </c>
      <c r="J828" s="11">
        <f>IFERROR(__xludf.DUMMYFUNCTION("""COMPUTED_VALUE"""),3000000.0)</f>
        <v>3000000</v>
      </c>
      <c r="K828" s="13">
        <f>IFERROR(__xludf.DUMMYFUNCTION("""COMPUTED_VALUE"""),43585.0)</f>
        <v>43585</v>
      </c>
      <c r="L828" s="6" t="str">
        <f>IFERROR(__xludf.DUMMYFUNCTION("""COMPUTED_VALUE"""),"FIP Engineering")</f>
        <v>FIP Engineering</v>
      </c>
      <c r="M828" s="6" t="str">
        <f>IFERROR(__xludf.DUMMYFUNCTION("""COMPUTED_VALUE"""),"Irwan Sopian")</f>
        <v>Irwan Sopian</v>
      </c>
      <c r="N828" s="6" t="str">
        <f>IFERROR(__xludf.DUMMYFUNCTION("""COMPUTED_VALUE"""),"FIP Engineering")</f>
        <v>FIP Engineering</v>
      </c>
      <c r="O828" s="6" t="str">
        <f>IFERROR(__xludf.DUMMYFUNCTION("""COMPUTED_VALUE"""),"FIP-DOM-000-11304-OS00001-INA-000000")</f>
        <v>FIP-DOM-000-11304-OS00001-INA-000000</v>
      </c>
      <c r="P828" s="6" t="str">
        <f>IFERROR(__xludf.DUMMYFUNCTION("""COMPUTED_VALUE"""),"PO Closed")</f>
        <v>PO Closed</v>
      </c>
      <c r="Q828" s="6" t="str">
        <f>IFERROR(__xludf.DUMMYFUNCTION("""COMPUTED_VALUE"""),"GL1905300")</f>
        <v>GL1905300</v>
      </c>
      <c r="R828" s="16">
        <f>IFERROR(__xludf.DUMMYFUNCTION("""COMPUTED_VALUE"""),43565.0)</f>
        <v>43565</v>
      </c>
      <c r="S828" s="6" t="str">
        <f>IFERROR(__xludf.DUMMYFUNCTION("""COMPUTED_VALUE"""),"-")</f>
        <v>-</v>
      </c>
      <c r="T828" s="13">
        <f>IFERROR(__xludf.DUMMYFUNCTION("""COMPUTED_VALUE"""),43595.0)</f>
        <v>43595</v>
      </c>
    </row>
    <row r="829">
      <c r="A829" s="6" t="str">
        <f>IFERROR(__xludf.DUMMYFUNCTION("""COMPUTED_VALUE"""),"191750159-1")</f>
        <v>191750159-1</v>
      </c>
      <c r="B829" s="6" t="str">
        <f>IFERROR(__xludf.DUMMYFUNCTION("""COMPUTED_VALUE"""),"191750159 - Approved")</f>
        <v>191750159 - Approved</v>
      </c>
      <c r="C829" s="6">
        <f>IFERROR(__xludf.DUMMYFUNCTION("""COMPUTED_VALUE"""),1.0)</f>
        <v>1</v>
      </c>
      <c r="D829" s="6" t="str">
        <f>IFERROR(__xludf.DUMMYFUNCTION("""COMPUTED_VALUE"""),"T-20055-00")</f>
        <v>T-20055-00</v>
      </c>
      <c r="E829" s="6" t="str">
        <f>IFERROR(__xludf.DUMMYFUNCTION("""COMPUTED_VALUE"""),"PerformancePlus Check Valve Cartridge Waters p/n 700002399")</f>
        <v>PerformancePlus Check Valve Cartridge Waters p/n 700002399</v>
      </c>
      <c r="F829" s="6">
        <f>IFERROR(__xludf.DUMMYFUNCTION("""COMPUTED_VALUE"""),1.0)</f>
        <v>1</v>
      </c>
      <c r="G829" s="6" t="str">
        <f>IFERROR(__xludf.DUMMYFUNCTION("""COMPUTED_VALUE"""),"Pieces")</f>
        <v>Pieces</v>
      </c>
      <c r="H829" s="6" t="str">
        <f>IFERROR(__xludf.DUMMYFUNCTION("""COMPUTED_VALUE"""),"IDR")</f>
        <v>IDR</v>
      </c>
      <c r="I829" s="11">
        <f>IFERROR(__xludf.DUMMYFUNCTION("""COMPUTED_VALUE"""),5655000.0)</f>
        <v>5655000</v>
      </c>
      <c r="J829" s="11">
        <f>IFERROR(__xludf.DUMMYFUNCTION("""COMPUTED_VALUE"""),5655000.0)</f>
        <v>5655000</v>
      </c>
      <c r="K829" s="13">
        <f>IFERROR(__xludf.DUMMYFUNCTION("""COMPUTED_VALUE"""),43588.0)</f>
        <v>43588</v>
      </c>
      <c r="L829" s="6" t="str">
        <f>IFERROR(__xludf.DUMMYFUNCTION("""COMPUTED_VALUE"""),"FIP General")</f>
        <v>FIP General</v>
      </c>
      <c r="M829" s="6" t="str">
        <f>IFERROR(__xludf.DUMMYFUNCTION("""COMPUTED_VALUE"""),"Irwan Sopian")</f>
        <v>Irwan Sopian</v>
      </c>
      <c r="N829" s="6" t="str">
        <f>IFERROR(__xludf.DUMMYFUNCTION("""COMPUTED_VALUE"""),"FIP Engineering")</f>
        <v>FIP Engineering</v>
      </c>
      <c r="O829" s="6" t="str">
        <f>IFERROR(__xludf.DUMMYFUNCTION("""COMPUTED_VALUE"""),"FIP-DOM-ENG-51505-0000000-INA-000000")</f>
        <v>FIP-DOM-ENG-51505-0000000-INA-000000</v>
      </c>
      <c r="P829" s="6" t="str">
        <f>IFERROR(__xludf.DUMMYFUNCTION("""COMPUTED_VALUE"""),"PO Closed")</f>
        <v>PO Closed</v>
      </c>
      <c r="Q829" s="6" t="str">
        <f>IFERROR(__xludf.DUMMYFUNCTION("""COMPUTED_VALUE"""),"GL1904032")</f>
        <v>GL1904032</v>
      </c>
      <c r="R829" s="16">
        <f>IFERROR(__xludf.DUMMYFUNCTION("""COMPUTED_VALUE"""),43567.0)</f>
        <v>43567</v>
      </c>
      <c r="S829" s="6" t="str">
        <f>IFERROR(__xludf.DUMMYFUNCTION("""COMPUTED_VALUE"""),"-")</f>
        <v>-</v>
      </c>
      <c r="T829" s="17">
        <f>IFERROR(__xludf.DUMMYFUNCTION("""COMPUTED_VALUE"""),43593.0)</f>
        <v>43593</v>
      </c>
    </row>
    <row r="830">
      <c r="A830" s="6" t="str">
        <f>IFERROR(__xludf.DUMMYFUNCTION("""COMPUTED_VALUE"""),"191750160-1")</f>
        <v>191750160-1</v>
      </c>
      <c r="B830" s="6" t="str">
        <f>IFERROR(__xludf.DUMMYFUNCTION("""COMPUTED_VALUE"""),"191750160 - Approved")</f>
        <v>191750160 - Approved</v>
      </c>
      <c r="C830" s="6">
        <f>IFERROR(__xludf.DUMMYFUNCTION("""COMPUTED_VALUE"""),1.0)</f>
        <v>1</v>
      </c>
      <c r="D830" s="6" t="str">
        <f>IFERROR(__xludf.DUMMYFUNCTION("""COMPUTED_VALUE"""),"S-60002-00")</f>
        <v>S-60002-00</v>
      </c>
      <c r="E830" s="6" t="str">
        <f>IFERROR(__xludf.DUMMYFUNCTION("""COMPUTED_VALUE"""),"Perbaikan/Renovasi Rumah WWTP")</f>
        <v>Perbaikan/Renovasi Rumah WWTP</v>
      </c>
      <c r="F830" s="6">
        <f>IFERROR(__xludf.DUMMYFUNCTION("""COMPUTED_VALUE"""),1.0)</f>
        <v>1</v>
      </c>
      <c r="G830" s="6" t="str">
        <f>IFERROR(__xludf.DUMMYFUNCTION("""COMPUTED_VALUE"""),"Lot")</f>
        <v>Lot</v>
      </c>
      <c r="H830" s="6" t="str">
        <f>IFERROR(__xludf.DUMMYFUNCTION("""COMPUTED_VALUE"""),"IDR")</f>
        <v>IDR</v>
      </c>
      <c r="I830" s="11">
        <f>IFERROR(__xludf.DUMMYFUNCTION("""COMPUTED_VALUE"""),5.0E7)</f>
        <v>50000000</v>
      </c>
      <c r="J830" s="11">
        <f>IFERROR(__xludf.DUMMYFUNCTION("""COMPUTED_VALUE"""),5.0E7)</f>
        <v>50000000</v>
      </c>
      <c r="K830" s="13">
        <f>IFERROR(__xludf.DUMMYFUNCTION("""COMPUTED_VALUE"""),43595.0)</f>
        <v>43595</v>
      </c>
      <c r="L830" s="6" t="str">
        <f>IFERROR(__xludf.DUMMYFUNCTION("""COMPUTED_VALUE"""),"FIP General")</f>
        <v>FIP General</v>
      </c>
      <c r="M830" s="6" t="str">
        <f>IFERROR(__xludf.DUMMYFUNCTION("""COMPUTED_VALUE"""),"Irwan Sopian")</f>
        <v>Irwan Sopian</v>
      </c>
      <c r="N830" s="6" t="str">
        <f>IFERROR(__xludf.DUMMYFUNCTION("""COMPUTED_VALUE"""),"FIP Engineering")</f>
        <v>FIP Engineering</v>
      </c>
      <c r="O830" s="6" t="str">
        <f>IFERROR(__xludf.DUMMYFUNCTION("""COMPUTED_VALUE"""),"FIP-DOM-ENG-51508-0000000-INA-000000")</f>
        <v>FIP-DOM-ENG-51508-0000000-INA-000000</v>
      </c>
      <c r="P830" s="6" t="str">
        <f>IFERROR(__xludf.DUMMYFUNCTION("""COMPUTED_VALUE"""),"PO Closed")</f>
        <v>PO Closed</v>
      </c>
      <c r="Q830" s="6" t="str">
        <f>IFERROR(__xludf.DUMMYFUNCTION("""COMPUTED_VALUE"""),"GL1904045")</f>
        <v>GL1904045</v>
      </c>
      <c r="R830" s="17">
        <f>IFERROR(__xludf.DUMMYFUNCTION("""COMPUTED_VALUE"""),43571.0)</f>
        <v>43571</v>
      </c>
      <c r="S830" s="6" t="str">
        <f>IFERROR(__xludf.DUMMYFUNCTION("""COMPUTED_VALUE"""),"-")</f>
        <v>-</v>
      </c>
      <c r="T830" s="13">
        <f>IFERROR(__xludf.DUMMYFUNCTION("""COMPUTED_VALUE"""),43686.0)</f>
        <v>43686</v>
      </c>
    </row>
    <row r="831">
      <c r="A831" s="6" t="str">
        <f>IFERROR(__xludf.DUMMYFUNCTION("""COMPUTED_VALUE"""),"191750162-1")</f>
        <v>191750162-1</v>
      </c>
      <c r="B831" s="6" t="str">
        <f>IFERROR(__xludf.DUMMYFUNCTION("""COMPUTED_VALUE"""),"191750162 - Approved")</f>
        <v>191750162 - Approved</v>
      </c>
      <c r="C831" s="6">
        <f>IFERROR(__xludf.DUMMYFUNCTION("""COMPUTED_VALUE"""),1.0)</f>
        <v>1</v>
      </c>
      <c r="D831" s="6" t="str">
        <f>IFERROR(__xludf.DUMMYFUNCTION("""COMPUTED_VALUE"""),"P-13710-00")</f>
        <v>P-13710-00</v>
      </c>
      <c r="E831" s="6" t="str">
        <f>IFERROR(__xludf.DUMMYFUNCTION("""COMPUTED_VALUE"""),"Baut SS countersunk M6x1.0x20 mm Ring Baut")</f>
        <v>Baut SS countersunk M6x1.0x20 mm Ring Baut</v>
      </c>
      <c r="F831" s="6">
        <f>IFERROR(__xludf.DUMMYFUNCTION("""COMPUTED_VALUE"""),20.0)</f>
        <v>20</v>
      </c>
      <c r="G831" s="6" t="str">
        <f>IFERROR(__xludf.DUMMYFUNCTION("""COMPUTED_VALUE"""),"Pieces")</f>
        <v>Pieces</v>
      </c>
      <c r="H831" s="6" t="str">
        <f>IFERROR(__xludf.DUMMYFUNCTION("""COMPUTED_VALUE"""),"IDR")</f>
        <v>IDR</v>
      </c>
      <c r="I831" s="11">
        <f>IFERROR(__xludf.DUMMYFUNCTION("""COMPUTED_VALUE"""),3000.0)</f>
        <v>3000</v>
      </c>
      <c r="J831" s="11">
        <f>IFERROR(__xludf.DUMMYFUNCTION("""COMPUTED_VALUE"""),60000.0)</f>
        <v>60000</v>
      </c>
      <c r="K831" s="13">
        <f>IFERROR(__xludf.DUMMYFUNCTION("""COMPUTED_VALUE"""),43602.0)</f>
        <v>43602</v>
      </c>
      <c r="L831" s="6" t="str">
        <f>IFERROR(__xludf.DUMMYFUNCTION("""COMPUTED_VALUE"""),"FIP Engineering")</f>
        <v>FIP Engineering</v>
      </c>
      <c r="M831" s="6" t="str">
        <f>IFERROR(__xludf.DUMMYFUNCTION("""COMPUTED_VALUE"""),"Irwan Sopian")</f>
        <v>Irwan Sopian</v>
      </c>
      <c r="N831" s="6" t="str">
        <f>IFERROR(__xludf.DUMMYFUNCTION("""COMPUTED_VALUE"""),"FIP Engineering")</f>
        <v>FIP Engineering</v>
      </c>
      <c r="O831" s="6" t="str">
        <f>IFERROR(__xludf.DUMMYFUNCTION("""COMPUTED_VALUE"""),"FIP-DOM-000-11304-OS00001-INA-000000")</f>
        <v>FIP-DOM-000-11304-OS00001-INA-000000</v>
      </c>
      <c r="P831" s="6" t="str">
        <f>IFERROR(__xludf.DUMMYFUNCTION("""COMPUTED_VALUE"""),"PO Closed")</f>
        <v>PO Closed</v>
      </c>
      <c r="Q831" s="6" t="str">
        <f>IFERROR(__xludf.DUMMYFUNCTION("""COMPUTED_VALUE"""),"GL1905300")</f>
        <v>GL1905300</v>
      </c>
      <c r="R831" s="17">
        <f>IFERROR(__xludf.DUMMYFUNCTION("""COMPUTED_VALUE"""),43578.0)</f>
        <v>43578</v>
      </c>
      <c r="S831" s="6" t="str">
        <f>IFERROR(__xludf.DUMMYFUNCTION("""COMPUTED_VALUE"""),"-")</f>
        <v>-</v>
      </c>
      <c r="T831" s="17">
        <f>IFERROR(__xludf.DUMMYFUNCTION("""COMPUTED_VALUE"""),43595.0)</f>
        <v>43595</v>
      </c>
    </row>
    <row r="832">
      <c r="A832" s="6" t="str">
        <f>IFERROR(__xludf.DUMMYFUNCTION("""COMPUTED_VALUE"""),"191750162-2")</f>
        <v>191750162-2</v>
      </c>
      <c r="B832" s="6" t="str">
        <f>IFERROR(__xludf.DUMMYFUNCTION("""COMPUTED_VALUE"""),"191750162 - Approved")</f>
        <v>191750162 - Approved</v>
      </c>
      <c r="C832" s="6">
        <f>IFERROR(__xludf.DUMMYFUNCTION("""COMPUTED_VALUE"""),2.0)</f>
        <v>2</v>
      </c>
      <c r="D832" s="6" t="str">
        <f>IFERROR(__xludf.DUMMYFUNCTION("""COMPUTED_VALUE"""),"P-51891-00")</f>
        <v>P-51891-00</v>
      </c>
      <c r="E832" s="6" t="str">
        <f>IFERROR(__xludf.DUMMYFUNCTION("""COMPUTED_VALUE"""),"Exhaust Fan Panel 240VAC")</f>
        <v>Exhaust Fan Panel 240VAC</v>
      </c>
      <c r="F832" s="6">
        <f>IFERROR(__xludf.DUMMYFUNCTION("""COMPUTED_VALUE"""),1.0)</f>
        <v>1</v>
      </c>
      <c r="G832" s="6" t="str">
        <f>IFERROR(__xludf.DUMMYFUNCTION("""COMPUTED_VALUE"""),"Pieces")</f>
        <v>Pieces</v>
      </c>
      <c r="H832" s="6" t="str">
        <f>IFERROR(__xludf.DUMMYFUNCTION("""COMPUTED_VALUE"""),"IDR")</f>
        <v>IDR</v>
      </c>
      <c r="I832" s="11">
        <f>IFERROR(__xludf.DUMMYFUNCTION("""COMPUTED_VALUE"""),600000.0)</f>
        <v>600000</v>
      </c>
      <c r="J832" s="11">
        <f>IFERROR(__xludf.DUMMYFUNCTION("""COMPUTED_VALUE"""),600000.0)</f>
        <v>600000</v>
      </c>
      <c r="K832" s="13">
        <f>IFERROR(__xludf.DUMMYFUNCTION("""COMPUTED_VALUE"""),43602.0)</f>
        <v>43602</v>
      </c>
      <c r="L832" s="6" t="str">
        <f>IFERROR(__xludf.DUMMYFUNCTION("""COMPUTED_VALUE"""),"FIP Engineering")</f>
        <v>FIP Engineering</v>
      </c>
      <c r="M832" s="6" t="str">
        <f>IFERROR(__xludf.DUMMYFUNCTION("""COMPUTED_VALUE"""),"Irwan Sopian")</f>
        <v>Irwan Sopian</v>
      </c>
      <c r="N832" s="6" t="str">
        <f>IFERROR(__xludf.DUMMYFUNCTION("""COMPUTED_VALUE"""),"FIP Engineering")</f>
        <v>FIP Engineering</v>
      </c>
      <c r="O832" s="6" t="str">
        <f>IFERROR(__xludf.DUMMYFUNCTION("""COMPUTED_VALUE"""),"FIP-DOM-000-11304-OS00001-INA-000000")</f>
        <v>FIP-DOM-000-11304-OS00001-INA-000000</v>
      </c>
      <c r="P832" s="6" t="str">
        <f>IFERROR(__xludf.DUMMYFUNCTION("""COMPUTED_VALUE"""),"PO Closed")</f>
        <v>PO Closed</v>
      </c>
      <c r="Q832" s="6" t="str">
        <f>IFERROR(__xludf.DUMMYFUNCTION("""COMPUTED_VALUE"""),"GL1905300")</f>
        <v>GL1905300</v>
      </c>
      <c r="R832" s="17">
        <f>IFERROR(__xludf.DUMMYFUNCTION("""COMPUTED_VALUE"""),43578.0)</f>
        <v>43578</v>
      </c>
      <c r="S832" s="6" t="str">
        <f>IFERROR(__xludf.DUMMYFUNCTION("""COMPUTED_VALUE"""),"-")</f>
        <v>-</v>
      </c>
      <c r="T832" s="17">
        <f>IFERROR(__xludf.DUMMYFUNCTION("""COMPUTED_VALUE"""),43595.0)</f>
        <v>43595</v>
      </c>
    </row>
    <row r="833">
      <c r="A833" s="6" t="str">
        <f>IFERROR(__xludf.DUMMYFUNCTION("""COMPUTED_VALUE"""),"191750162-3")</f>
        <v>191750162-3</v>
      </c>
      <c r="B833" s="6" t="str">
        <f>IFERROR(__xludf.DUMMYFUNCTION("""COMPUTED_VALUE"""),"191750162 - Approved")</f>
        <v>191750162 - Approved</v>
      </c>
      <c r="C833" s="6">
        <f>IFERROR(__xludf.DUMMYFUNCTION("""COMPUTED_VALUE"""),3.0)</f>
        <v>3</v>
      </c>
      <c r="D833" s="6" t="str">
        <f>IFERROR(__xludf.DUMMYFUNCTION("""COMPUTED_VALUE"""),"P-51894-00")</f>
        <v>P-51894-00</v>
      </c>
      <c r="E833" s="6" t="str">
        <f>IFERROR(__xludf.DUMMYFUNCTION("""COMPUTED_VALUE"""),"Philips - Lampu TLD 18W/840 Bright Boost Cool White")</f>
        <v>Philips - Lampu TLD 18W/840 Bright Boost Cool White</v>
      </c>
      <c r="F833" s="6">
        <f>IFERROR(__xludf.DUMMYFUNCTION("""COMPUTED_VALUE"""),10.0)</f>
        <v>10</v>
      </c>
      <c r="G833" s="6" t="str">
        <f>IFERROR(__xludf.DUMMYFUNCTION("""COMPUTED_VALUE"""),"Pieces")</f>
        <v>Pieces</v>
      </c>
      <c r="H833" s="6" t="str">
        <f>IFERROR(__xludf.DUMMYFUNCTION("""COMPUTED_VALUE"""),"IDR")</f>
        <v>IDR</v>
      </c>
      <c r="I833" s="11">
        <f>IFERROR(__xludf.DUMMYFUNCTION("""COMPUTED_VALUE"""),27500.0)</f>
        <v>27500</v>
      </c>
      <c r="J833" s="11">
        <f>IFERROR(__xludf.DUMMYFUNCTION("""COMPUTED_VALUE"""),275000.0)</f>
        <v>275000</v>
      </c>
      <c r="K833" s="13">
        <f>IFERROR(__xludf.DUMMYFUNCTION("""COMPUTED_VALUE"""),43602.0)</f>
        <v>43602</v>
      </c>
      <c r="L833" s="6" t="str">
        <f>IFERROR(__xludf.DUMMYFUNCTION("""COMPUTED_VALUE"""),"FIP Engineering")</f>
        <v>FIP Engineering</v>
      </c>
      <c r="M833" s="6" t="str">
        <f>IFERROR(__xludf.DUMMYFUNCTION("""COMPUTED_VALUE"""),"Irwan Sopian")</f>
        <v>Irwan Sopian</v>
      </c>
      <c r="N833" s="6" t="str">
        <f>IFERROR(__xludf.DUMMYFUNCTION("""COMPUTED_VALUE"""),"FIP Engineering")</f>
        <v>FIP Engineering</v>
      </c>
      <c r="O833" s="6" t="str">
        <f>IFERROR(__xludf.DUMMYFUNCTION("""COMPUTED_VALUE"""),"FIP-DOM-000-11304-OS00001-INA-000000")</f>
        <v>FIP-DOM-000-11304-OS00001-INA-000000</v>
      </c>
      <c r="P833" s="6" t="str">
        <f>IFERROR(__xludf.DUMMYFUNCTION("""COMPUTED_VALUE"""),"PO Closed")</f>
        <v>PO Closed</v>
      </c>
      <c r="Q833" s="6" t="str">
        <f>IFERROR(__xludf.DUMMYFUNCTION("""COMPUTED_VALUE"""),"GL1905300")</f>
        <v>GL1905300</v>
      </c>
      <c r="R833" s="17">
        <f>IFERROR(__xludf.DUMMYFUNCTION("""COMPUTED_VALUE"""),43578.0)</f>
        <v>43578</v>
      </c>
      <c r="S833" s="6" t="str">
        <f>IFERROR(__xludf.DUMMYFUNCTION("""COMPUTED_VALUE"""),"-")</f>
        <v>-</v>
      </c>
      <c r="T833" s="17">
        <f>IFERROR(__xludf.DUMMYFUNCTION("""COMPUTED_VALUE"""),43595.0)</f>
        <v>43595</v>
      </c>
    </row>
    <row r="834">
      <c r="A834" s="6" t="str">
        <f>IFERROR(__xludf.DUMMYFUNCTION("""COMPUTED_VALUE"""),"191750162-4")</f>
        <v>191750162-4</v>
      </c>
      <c r="B834" s="6" t="str">
        <f>IFERROR(__xludf.DUMMYFUNCTION("""COMPUTED_VALUE"""),"191750162 - Approved")</f>
        <v>191750162 - Approved</v>
      </c>
      <c r="C834" s="6">
        <f>IFERROR(__xludf.DUMMYFUNCTION("""COMPUTED_VALUE"""),4.0)</f>
        <v>4</v>
      </c>
      <c r="D834" s="6" t="str">
        <f>IFERROR(__xludf.DUMMYFUNCTION("""COMPUTED_VALUE"""),"P-51896-00")</f>
        <v>P-51896-00</v>
      </c>
      <c r="E834" s="6" t="str">
        <f>IFERROR(__xludf.DUMMYFUNCTION("""COMPUTED_VALUE"""),"Switch Lamp Hijau 220 VAC")</f>
        <v>Switch Lamp Hijau 220 VAC</v>
      </c>
      <c r="F834" s="6">
        <f>IFERROR(__xludf.DUMMYFUNCTION("""COMPUTED_VALUE"""),4.0)</f>
        <v>4</v>
      </c>
      <c r="G834" s="6" t="str">
        <f>IFERROR(__xludf.DUMMYFUNCTION("""COMPUTED_VALUE"""),"Pieces")</f>
        <v>Pieces</v>
      </c>
      <c r="H834" s="6" t="str">
        <f>IFERROR(__xludf.DUMMYFUNCTION("""COMPUTED_VALUE"""),"IDR")</f>
        <v>IDR</v>
      </c>
      <c r="I834" s="11">
        <f>IFERROR(__xludf.DUMMYFUNCTION("""COMPUTED_VALUE"""),20000.0)</f>
        <v>20000</v>
      </c>
      <c r="J834" s="11">
        <f>IFERROR(__xludf.DUMMYFUNCTION("""COMPUTED_VALUE"""),80000.0)</f>
        <v>80000</v>
      </c>
      <c r="K834" s="13">
        <f>IFERROR(__xludf.DUMMYFUNCTION("""COMPUTED_VALUE"""),43602.0)</f>
        <v>43602</v>
      </c>
      <c r="L834" s="6" t="str">
        <f>IFERROR(__xludf.DUMMYFUNCTION("""COMPUTED_VALUE"""),"FIP Engineering")</f>
        <v>FIP Engineering</v>
      </c>
      <c r="M834" s="6" t="str">
        <f>IFERROR(__xludf.DUMMYFUNCTION("""COMPUTED_VALUE"""),"Irwan Sopian")</f>
        <v>Irwan Sopian</v>
      </c>
      <c r="N834" s="6" t="str">
        <f>IFERROR(__xludf.DUMMYFUNCTION("""COMPUTED_VALUE"""),"FIP Engineering")</f>
        <v>FIP Engineering</v>
      </c>
      <c r="O834" s="6" t="str">
        <f>IFERROR(__xludf.DUMMYFUNCTION("""COMPUTED_VALUE"""),"FIP-DOM-000-11304-OS00001-INA-000000")</f>
        <v>FIP-DOM-000-11304-OS00001-INA-000000</v>
      </c>
      <c r="P834" s="6" t="str">
        <f>IFERROR(__xludf.DUMMYFUNCTION("""COMPUTED_VALUE"""),"PO Closed")</f>
        <v>PO Closed</v>
      </c>
      <c r="Q834" s="6" t="str">
        <f>IFERROR(__xludf.DUMMYFUNCTION("""COMPUTED_VALUE"""),"GL1905300")</f>
        <v>GL1905300</v>
      </c>
      <c r="R834" s="17">
        <f>IFERROR(__xludf.DUMMYFUNCTION("""COMPUTED_VALUE"""),43578.0)</f>
        <v>43578</v>
      </c>
      <c r="S834" s="6" t="str">
        <f>IFERROR(__xludf.DUMMYFUNCTION("""COMPUTED_VALUE"""),"-")</f>
        <v>-</v>
      </c>
      <c r="T834" s="17">
        <f>IFERROR(__xludf.DUMMYFUNCTION("""COMPUTED_VALUE"""),43595.0)</f>
        <v>43595</v>
      </c>
    </row>
    <row r="835">
      <c r="A835" s="6" t="str">
        <f>IFERROR(__xludf.DUMMYFUNCTION("""COMPUTED_VALUE"""),"191750162-5")</f>
        <v>191750162-5</v>
      </c>
      <c r="B835" s="6" t="str">
        <f>IFERROR(__xludf.DUMMYFUNCTION("""COMPUTED_VALUE"""),"191750162 - Approved")</f>
        <v>191750162 - Approved</v>
      </c>
      <c r="C835" s="6">
        <f>IFERROR(__xludf.DUMMYFUNCTION("""COMPUTED_VALUE"""),5.0)</f>
        <v>5</v>
      </c>
      <c r="D835" s="6" t="str">
        <f>IFERROR(__xludf.DUMMYFUNCTION("""COMPUTED_VALUE"""),"P-13630-00")</f>
        <v>P-13630-00</v>
      </c>
      <c r="E835" s="6" t="str">
        <f>IFERROR(__xludf.DUMMYFUNCTION("""COMPUTED_VALUE"""),"Reducer Bushing Kuningan 1/8inch Female x 1/4 Male")</f>
        <v>Reducer Bushing Kuningan 1/8inch Female x 1/4 Male</v>
      </c>
      <c r="F835" s="6">
        <f>IFERROR(__xludf.DUMMYFUNCTION("""COMPUTED_VALUE"""),2.0)</f>
        <v>2</v>
      </c>
      <c r="G835" s="6" t="str">
        <f>IFERROR(__xludf.DUMMYFUNCTION("""COMPUTED_VALUE"""),"Pieces")</f>
        <v>Pieces</v>
      </c>
      <c r="H835" s="6" t="str">
        <f>IFERROR(__xludf.DUMMYFUNCTION("""COMPUTED_VALUE"""),"IDR")</f>
        <v>IDR</v>
      </c>
      <c r="I835" s="11">
        <f>IFERROR(__xludf.DUMMYFUNCTION("""COMPUTED_VALUE"""),15000.0)</f>
        <v>15000</v>
      </c>
      <c r="J835" s="11">
        <f>IFERROR(__xludf.DUMMYFUNCTION("""COMPUTED_VALUE"""),30000.0)</f>
        <v>30000</v>
      </c>
      <c r="K835" s="13">
        <f>IFERROR(__xludf.DUMMYFUNCTION("""COMPUTED_VALUE"""),43602.0)</f>
        <v>43602</v>
      </c>
      <c r="L835" s="6" t="str">
        <f>IFERROR(__xludf.DUMMYFUNCTION("""COMPUTED_VALUE"""),"FIP Engineering")</f>
        <v>FIP Engineering</v>
      </c>
      <c r="M835" s="6" t="str">
        <f>IFERROR(__xludf.DUMMYFUNCTION("""COMPUTED_VALUE"""),"Irwan Sopian")</f>
        <v>Irwan Sopian</v>
      </c>
      <c r="N835" s="6" t="str">
        <f>IFERROR(__xludf.DUMMYFUNCTION("""COMPUTED_VALUE"""),"FIP Engineering")</f>
        <v>FIP Engineering</v>
      </c>
      <c r="O835" s="6" t="str">
        <f>IFERROR(__xludf.DUMMYFUNCTION("""COMPUTED_VALUE"""),"FIP-DOM-000-11304-OS00001-INA-000000")</f>
        <v>FIP-DOM-000-11304-OS00001-INA-000000</v>
      </c>
      <c r="P835" s="6" t="str">
        <f>IFERROR(__xludf.DUMMYFUNCTION("""COMPUTED_VALUE"""),"PO Closed")</f>
        <v>PO Closed</v>
      </c>
      <c r="Q835" s="6" t="str">
        <f>IFERROR(__xludf.DUMMYFUNCTION("""COMPUTED_VALUE"""),"GL1905300")</f>
        <v>GL1905300</v>
      </c>
      <c r="R835" s="17">
        <f>IFERROR(__xludf.DUMMYFUNCTION("""COMPUTED_VALUE"""),43578.0)</f>
        <v>43578</v>
      </c>
      <c r="S835" s="6" t="str">
        <f>IFERROR(__xludf.DUMMYFUNCTION("""COMPUTED_VALUE"""),"-")</f>
        <v>-</v>
      </c>
      <c r="T835" s="17">
        <f>IFERROR(__xludf.DUMMYFUNCTION("""COMPUTED_VALUE"""),43595.0)</f>
        <v>43595</v>
      </c>
    </row>
    <row r="836">
      <c r="A836" s="6" t="str">
        <f>IFERROR(__xludf.DUMMYFUNCTION("""COMPUTED_VALUE"""),"191750162-6")</f>
        <v>191750162-6</v>
      </c>
      <c r="B836" s="6" t="str">
        <f>IFERROR(__xludf.DUMMYFUNCTION("""COMPUTED_VALUE"""),"191750162 - Approved")</f>
        <v>191750162 - Approved</v>
      </c>
      <c r="C836" s="6">
        <f>IFERROR(__xludf.DUMMYFUNCTION("""COMPUTED_VALUE"""),6.0)</f>
        <v>6</v>
      </c>
      <c r="D836" s="6" t="str">
        <f>IFERROR(__xludf.DUMMYFUNCTION("""COMPUTED_VALUE"""),"P-53102-00")</f>
        <v>P-53102-00</v>
      </c>
      <c r="E836" s="6" t="str">
        <f>IFERROR(__xludf.DUMMYFUNCTION("""COMPUTED_VALUE"""),"Lampu PLC 13watt/E27 Putih Phillips")</f>
        <v>Lampu PLC 13watt/E27 Putih Phillips</v>
      </c>
      <c r="F836" s="6">
        <f>IFERROR(__xludf.DUMMYFUNCTION("""COMPUTED_VALUE"""),10.0)</f>
        <v>10</v>
      </c>
      <c r="G836" s="6" t="str">
        <f>IFERROR(__xludf.DUMMYFUNCTION("""COMPUTED_VALUE"""),"Pieces")</f>
        <v>Pieces</v>
      </c>
      <c r="H836" s="6" t="str">
        <f>IFERROR(__xludf.DUMMYFUNCTION("""COMPUTED_VALUE"""),"IDR")</f>
        <v>IDR</v>
      </c>
      <c r="I836" s="11">
        <f>IFERROR(__xludf.DUMMYFUNCTION("""COMPUTED_VALUE"""),27000.0)</f>
        <v>27000</v>
      </c>
      <c r="J836" s="11">
        <f>IFERROR(__xludf.DUMMYFUNCTION("""COMPUTED_VALUE"""),270000.0)</f>
        <v>270000</v>
      </c>
      <c r="K836" s="13">
        <f>IFERROR(__xludf.DUMMYFUNCTION("""COMPUTED_VALUE"""),43602.0)</f>
        <v>43602</v>
      </c>
      <c r="L836" s="6" t="str">
        <f>IFERROR(__xludf.DUMMYFUNCTION("""COMPUTED_VALUE"""),"FIP Engineering")</f>
        <v>FIP Engineering</v>
      </c>
      <c r="M836" s="6" t="str">
        <f>IFERROR(__xludf.DUMMYFUNCTION("""COMPUTED_VALUE"""),"Irwan Sopian")</f>
        <v>Irwan Sopian</v>
      </c>
      <c r="N836" s="6" t="str">
        <f>IFERROR(__xludf.DUMMYFUNCTION("""COMPUTED_VALUE"""),"FIP Engineering")</f>
        <v>FIP Engineering</v>
      </c>
      <c r="O836" s="6" t="str">
        <f>IFERROR(__xludf.DUMMYFUNCTION("""COMPUTED_VALUE"""),"FIP-DOM-000-11304-OS00001-INA-000000")</f>
        <v>FIP-DOM-000-11304-OS00001-INA-000000</v>
      </c>
      <c r="P836" s="6" t="str">
        <f>IFERROR(__xludf.DUMMYFUNCTION("""COMPUTED_VALUE"""),"PO Closed")</f>
        <v>PO Closed</v>
      </c>
      <c r="Q836" s="6" t="str">
        <f>IFERROR(__xludf.DUMMYFUNCTION("""COMPUTED_VALUE"""),"GL1905300")</f>
        <v>GL1905300</v>
      </c>
      <c r="R836" s="17">
        <f>IFERROR(__xludf.DUMMYFUNCTION("""COMPUTED_VALUE"""),43578.0)</f>
        <v>43578</v>
      </c>
      <c r="S836" s="6" t="str">
        <f>IFERROR(__xludf.DUMMYFUNCTION("""COMPUTED_VALUE"""),"-")</f>
        <v>-</v>
      </c>
      <c r="T836" s="17">
        <f>IFERROR(__xludf.DUMMYFUNCTION("""COMPUTED_VALUE"""),43595.0)</f>
        <v>43595</v>
      </c>
    </row>
    <row r="837">
      <c r="A837" s="6" t="str">
        <f>IFERROR(__xludf.DUMMYFUNCTION("""COMPUTED_VALUE"""),"191750162-7")</f>
        <v>191750162-7</v>
      </c>
      <c r="B837" s="6" t="str">
        <f>IFERROR(__xludf.DUMMYFUNCTION("""COMPUTED_VALUE"""),"191750162 - Approved")</f>
        <v>191750162 - Approved</v>
      </c>
      <c r="C837" s="6">
        <f>IFERROR(__xludf.DUMMYFUNCTION("""COMPUTED_VALUE"""),7.0)</f>
        <v>7</v>
      </c>
      <c r="D837" s="6" t="str">
        <f>IFERROR(__xludf.DUMMYFUNCTION("""COMPUTED_VALUE"""),"P-50797-00")</f>
        <v>P-50797-00</v>
      </c>
      <c r="E837" s="6" t="str">
        <f>IFERROR(__xludf.DUMMYFUNCTION("""COMPUTED_VALUE"""),"Bola lampu 24V 5 Watt")</f>
        <v>Bola lampu 24V 5 Watt</v>
      </c>
      <c r="F837" s="6">
        <f>IFERROR(__xludf.DUMMYFUNCTION("""COMPUTED_VALUE"""),5.0)</f>
        <v>5</v>
      </c>
      <c r="G837" s="6" t="str">
        <f>IFERROR(__xludf.DUMMYFUNCTION("""COMPUTED_VALUE"""),"Pieces")</f>
        <v>Pieces</v>
      </c>
      <c r="H837" s="6" t="str">
        <f>IFERROR(__xludf.DUMMYFUNCTION("""COMPUTED_VALUE"""),"IDR")</f>
        <v>IDR</v>
      </c>
      <c r="I837" s="11">
        <f>IFERROR(__xludf.DUMMYFUNCTION("""COMPUTED_VALUE"""),23000.0)</f>
        <v>23000</v>
      </c>
      <c r="J837" s="11">
        <f>IFERROR(__xludf.DUMMYFUNCTION("""COMPUTED_VALUE"""),115000.0)</f>
        <v>115000</v>
      </c>
      <c r="K837" s="13">
        <f>IFERROR(__xludf.DUMMYFUNCTION("""COMPUTED_VALUE"""),43602.0)</f>
        <v>43602</v>
      </c>
      <c r="L837" s="6" t="str">
        <f>IFERROR(__xludf.DUMMYFUNCTION("""COMPUTED_VALUE"""),"FIP Engineering")</f>
        <v>FIP Engineering</v>
      </c>
      <c r="M837" s="6" t="str">
        <f>IFERROR(__xludf.DUMMYFUNCTION("""COMPUTED_VALUE"""),"Irwan Sopian")</f>
        <v>Irwan Sopian</v>
      </c>
      <c r="N837" s="6" t="str">
        <f>IFERROR(__xludf.DUMMYFUNCTION("""COMPUTED_VALUE"""),"FIP Engineering")</f>
        <v>FIP Engineering</v>
      </c>
      <c r="O837" s="6" t="str">
        <f>IFERROR(__xludf.DUMMYFUNCTION("""COMPUTED_VALUE"""),"FIP-DOM-000-11304-OS00001-INA-000000")</f>
        <v>FIP-DOM-000-11304-OS00001-INA-000000</v>
      </c>
      <c r="P837" s="6" t="str">
        <f>IFERROR(__xludf.DUMMYFUNCTION("""COMPUTED_VALUE"""),"PO Closed")</f>
        <v>PO Closed</v>
      </c>
      <c r="Q837" s="6" t="str">
        <f>IFERROR(__xludf.DUMMYFUNCTION("""COMPUTED_VALUE"""),"GL1905300")</f>
        <v>GL1905300</v>
      </c>
      <c r="R837" s="17">
        <f>IFERROR(__xludf.DUMMYFUNCTION("""COMPUTED_VALUE"""),43578.0)</f>
        <v>43578</v>
      </c>
      <c r="S837" s="6" t="str">
        <f>IFERROR(__xludf.DUMMYFUNCTION("""COMPUTED_VALUE"""),"-")</f>
        <v>-</v>
      </c>
      <c r="T837" s="17">
        <f>IFERROR(__xludf.DUMMYFUNCTION("""COMPUTED_VALUE"""),43595.0)</f>
        <v>43595</v>
      </c>
    </row>
    <row r="838">
      <c r="A838" s="6" t="str">
        <f>IFERROR(__xludf.DUMMYFUNCTION("""COMPUTED_VALUE"""),"191750161-1")</f>
        <v>191750161-1</v>
      </c>
      <c r="B838" s="6" t="str">
        <f>IFERROR(__xludf.DUMMYFUNCTION("""COMPUTED_VALUE"""),"191750161 - Approved")</f>
        <v>191750161 - Approved</v>
      </c>
      <c r="C838" s="6">
        <f>IFERROR(__xludf.DUMMYFUNCTION("""COMPUTED_VALUE"""),1.0)</f>
        <v>1</v>
      </c>
      <c r="D838" s="6" t="str">
        <f>IFERROR(__xludf.DUMMYFUNCTION("""COMPUTED_VALUE"""),"S-41612-00")</f>
        <v>S-41612-00</v>
      </c>
      <c r="E838" s="6" t="str">
        <f>IFERROR(__xludf.DUMMYFUNCTION("""COMPUTED_VALUE"""),"Signage FONKO (3 huruf yang mati N,K dan O)")</f>
        <v>Signage FONKO (3 huruf yang mati N,K dan O)</v>
      </c>
      <c r="F838" s="6">
        <f>IFERROR(__xludf.DUMMYFUNCTION("""COMPUTED_VALUE"""),1.0)</f>
        <v>1</v>
      </c>
      <c r="G838" s="6" t="str">
        <f>IFERROR(__xludf.DUMMYFUNCTION("""COMPUTED_VALUE"""),"Pieces")</f>
        <v>Pieces</v>
      </c>
      <c r="H838" s="6" t="str">
        <f>IFERROR(__xludf.DUMMYFUNCTION("""COMPUTED_VALUE"""),"IDR")</f>
        <v>IDR</v>
      </c>
      <c r="I838" s="11">
        <f>IFERROR(__xludf.DUMMYFUNCTION("""COMPUTED_VALUE"""),4350000.0)</f>
        <v>4350000</v>
      </c>
      <c r="J838" s="11">
        <f>IFERROR(__xludf.DUMMYFUNCTION("""COMPUTED_VALUE"""),4350000.0)</f>
        <v>4350000</v>
      </c>
      <c r="K838" s="13">
        <f>IFERROR(__xludf.DUMMYFUNCTION("""COMPUTED_VALUE"""),43609.0)</f>
        <v>43609</v>
      </c>
      <c r="L838" s="6" t="str">
        <f>IFERROR(__xludf.DUMMYFUNCTION("""COMPUTED_VALUE"""),"FIP General")</f>
        <v>FIP General</v>
      </c>
      <c r="M838" s="6" t="str">
        <f>IFERROR(__xludf.DUMMYFUNCTION("""COMPUTED_VALUE"""),"Irwan Sopian")</f>
        <v>Irwan Sopian</v>
      </c>
      <c r="N838" s="6" t="str">
        <f>IFERROR(__xludf.DUMMYFUNCTION("""COMPUTED_VALUE"""),"FIP Engineering")</f>
        <v>FIP Engineering</v>
      </c>
      <c r="O838" s="6" t="str">
        <f>IFERROR(__xludf.DUMMYFUNCTION("""COMPUTED_VALUE"""),"FIP-DOM-ENG-51404-0000000-INA-000000")</f>
        <v>FIP-DOM-ENG-51404-0000000-INA-000000</v>
      </c>
      <c r="P838" s="6" t="str">
        <f>IFERROR(__xludf.DUMMYFUNCTION("""COMPUTED_VALUE"""),"PO Closed")</f>
        <v>PO Closed</v>
      </c>
      <c r="Q838" s="6" t="str">
        <f>IFERROR(__xludf.DUMMYFUNCTION("""COMPUTED_VALUE"""),"GL1905006")</f>
        <v>GL1905006</v>
      </c>
      <c r="R838" s="17">
        <f>IFERROR(__xludf.DUMMYFUNCTION("""COMPUTED_VALUE"""),43578.0)</f>
        <v>43578</v>
      </c>
      <c r="S838" s="6" t="str">
        <f>IFERROR(__xludf.DUMMYFUNCTION("""COMPUTED_VALUE"""),"-")</f>
        <v>-</v>
      </c>
      <c r="T838" s="17">
        <f>IFERROR(__xludf.DUMMYFUNCTION("""COMPUTED_VALUE"""),43607.0)</f>
        <v>43607</v>
      </c>
    </row>
    <row r="839">
      <c r="A839" s="6" t="str">
        <f>IFERROR(__xludf.DUMMYFUNCTION("""COMPUTED_VALUE"""),"191750167-1")</f>
        <v>191750167-1</v>
      </c>
      <c r="B839" s="6" t="str">
        <f>IFERROR(__xludf.DUMMYFUNCTION("""COMPUTED_VALUE"""),"191750167 - Approved")</f>
        <v>191750167 - Approved</v>
      </c>
      <c r="C839" s="6">
        <f>IFERROR(__xludf.DUMMYFUNCTION("""COMPUTED_VALUE"""),1.0)</f>
        <v>1</v>
      </c>
      <c r="D839" s="6" t="str">
        <f>IFERROR(__xludf.DUMMYFUNCTION("""COMPUTED_VALUE"""),"O-16798-00")</f>
        <v>O-16798-00</v>
      </c>
      <c r="E839" s="6" t="str">
        <f>IFERROR(__xludf.DUMMYFUNCTION("""COMPUTED_VALUE"""),"SMC - Tubing Anti Static TAU1065B-20")</f>
        <v>SMC - Tubing Anti Static TAU1065B-20</v>
      </c>
      <c r="F839" s="6">
        <f>IFERROR(__xludf.DUMMYFUNCTION("""COMPUTED_VALUE"""),20.0)</f>
        <v>20</v>
      </c>
      <c r="G839" s="6" t="str">
        <f>IFERROR(__xludf.DUMMYFUNCTION("""COMPUTED_VALUE"""),"Meter")</f>
        <v>Meter</v>
      </c>
      <c r="H839" s="6" t="str">
        <f>IFERROR(__xludf.DUMMYFUNCTION("""COMPUTED_VALUE"""),"IDR")</f>
        <v>IDR</v>
      </c>
      <c r="I839" s="11">
        <f>IFERROR(__xludf.DUMMYFUNCTION("""COMPUTED_VALUE"""),111000.0)</f>
        <v>111000</v>
      </c>
      <c r="J839" s="11">
        <f>IFERROR(__xludf.DUMMYFUNCTION("""COMPUTED_VALUE"""),2220000.0)</f>
        <v>2220000</v>
      </c>
      <c r="K839" s="13">
        <f>IFERROR(__xludf.DUMMYFUNCTION("""COMPUTED_VALUE"""),43609.0)</f>
        <v>43609</v>
      </c>
      <c r="L839" s="6" t="str">
        <f>IFERROR(__xludf.DUMMYFUNCTION("""COMPUTED_VALUE"""),"FIP Engineering")</f>
        <v>FIP Engineering</v>
      </c>
      <c r="M839" s="6" t="str">
        <f>IFERROR(__xludf.DUMMYFUNCTION("""COMPUTED_VALUE"""),"Irwan Sopian")</f>
        <v>Irwan Sopian</v>
      </c>
      <c r="N839" s="6" t="str">
        <f>IFERROR(__xludf.DUMMYFUNCTION("""COMPUTED_VALUE"""),"FIP Engineering")</f>
        <v>FIP Engineering</v>
      </c>
      <c r="O839" s="6" t="str">
        <f>IFERROR(__xludf.DUMMYFUNCTION("""COMPUTED_VALUE"""),"FIP-DOM-000-11304-OS00001-INA-000000")</f>
        <v>FIP-DOM-000-11304-OS00001-INA-000000</v>
      </c>
      <c r="P839" s="6" t="str">
        <f>IFERROR(__xludf.DUMMYFUNCTION("""COMPUTED_VALUE"""),"PO Closed")</f>
        <v>PO Closed</v>
      </c>
      <c r="Q839" s="6" t="str">
        <f>IFERROR(__xludf.DUMMYFUNCTION("""COMPUTED_VALUE"""),"GL1904046")</f>
        <v>GL1904046</v>
      </c>
      <c r="R839" s="17">
        <f>IFERROR(__xludf.DUMMYFUNCTION("""COMPUTED_VALUE"""),43580.0)</f>
        <v>43580</v>
      </c>
      <c r="S839" s="6" t="str">
        <f>IFERROR(__xludf.DUMMYFUNCTION("""COMPUTED_VALUE"""),"-")</f>
        <v>-</v>
      </c>
      <c r="T839" s="17">
        <f>IFERROR(__xludf.DUMMYFUNCTION("""COMPUTED_VALUE"""),43657.0)</f>
        <v>43657</v>
      </c>
    </row>
    <row r="840">
      <c r="A840" s="6" t="str">
        <f>IFERROR(__xludf.DUMMYFUNCTION("""COMPUTED_VALUE"""),"191750167-2")</f>
        <v>191750167-2</v>
      </c>
      <c r="B840" s="6" t="str">
        <f>IFERROR(__xludf.DUMMYFUNCTION("""COMPUTED_VALUE"""),"191750167 - Approved")</f>
        <v>191750167 - Approved</v>
      </c>
      <c r="C840" s="6">
        <f>IFERROR(__xludf.DUMMYFUNCTION("""COMPUTED_VALUE"""),2.0)</f>
        <v>2</v>
      </c>
      <c r="D840" s="6" t="str">
        <f>IFERROR(__xludf.DUMMYFUNCTION("""COMPUTED_VALUE"""),"O-16793-00")</f>
        <v>O-16793-00</v>
      </c>
      <c r="E840" s="6" t="str">
        <f>IFERROR(__xludf.DUMMYFUNCTION("""COMPUTED_VALUE"""),"Capping VCM200 - Gear Material Pom Hitam")</f>
        <v>Capping VCM200 - Gear Material Pom Hitam</v>
      </c>
      <c r="F840" s="6">
        <f>IFERROR(__xludf.DUMMYFUNCTION("""COMPUTED_VALUE"""),1.0)</f>
        <v>1</v>
      </c>
      <c r="G840" s="6" t="str">
        <f>IFERROR(__xludf.DUMMYFUNCTION("""COMPUTED_VALUE"""),"Pieces")</f>
        <v>Pieces</v>
      </c>
      <c r="H840" s="6" t="str">
        <f>IFERROR(__xludf.DUMMYFUNCTION("""COMPUTED_VALUE"""),"IDR")</f>
        <v>IDR</v>
      </c>
      <c r="I840" s="11">
        <f>IFERROR(__xludf.DUMMYFUNCTION("""COMPUTED_VALUE"""),1700000.0)</f>
        <v>1700000</v>
      </c>
      <c r="J840" s="11">
        <f>IFERROR(__xludf.DUMMYFUNCTION("""COMPUTED_VALUE"""),1700000.0)</f>
        <v>1700000</v>
      </c>
      <c r="K840" s="13">
        <f>IFERROR(__xludf.DUMMYFUNCTION("""COMPUTED_VALUE"""),43609.0)</f>
        <v>43609</v>
      </c>
      <c r="L840" s="6" t="str">
        <f>IFERROR(__xludf.DUMMYFUNCTION("""COMPUTED_VALUE"""),"FIP Engineering")</f>
        <v>FIP Engineering</v>
      </c>
      <c r="M840" s="6" t="str">
        <f>IFERROR(__xludf.DUMMYFUNCTION("""COMPUTED_VALUE"""),"Irwan Sopian")</f>
        <v>Irwan Sopian</v>
      </c>
      <c r="N840" s="6" t="str">
        <f>IFERROR(__xludf.DUMMYFUNCTION("""COMPUTED_VALUE"""),"FIP Engineering")</f>
        <v>FIP Engineering</v>
      </c>
      <c r="O840" s="6" t="str">
        <f>IFERROR(__xludf.DUMMYFUNCTION("""COMPUTED_VALUE"""),"FIP-DOM-000-11304-OS00001-INA-000000")</f>
        <v>FIP-DOM-000-11304-OS00001-INA-000000</v>
      </c>
      <c r="P840" s="6" t="str">
        <f>IFERROR(__xludf.DUMMYFUNCTION("""COMPUTED_VALUE"""),"PO Closed")</f>
        <v>PO Closed</v>
      </c>
      <c r="Q840" s="6" t="str">
        <f>IFERROR(__xludf.DUMMYFUNCTION("""COMPUTED_VALUE"""),"GL1905005")</f>
        <v>GL1905005</v>
      </c>
      <c r="R840" s="17">
        <f>IFERROR(__xludf.DUMMYFUNCTION("""COMPUTED_VALUE"""),43580.0)</f>
        <v>43580</v>
      </c>
      <c r="S840" s="6" t="str">
        <f>IFERROR(__xludf.DUMMYFUNCTION("""COMPUTED_VALUE"""),"-")</f>
        <v>-</v>
      </c>
      <c r="T840" s="17">
        <f>IFERROR(__xludf.DUMMYFUNCTION("""COMPUTED_VALUE"""),43605.0)</f>
        <v>43605</v>
      </c>
    </row>
    <row r="841">
      <c r="A841" s="6" t="str">
        <f>IFERROR(__xludf.DUMMYFUNCTION("""COMPUTED_VALUE"""),"191750170-1")</f>
        <v>191750170-1</v>
      </c>
      <c r="B841" s="6" t="str">
        <f>IFERROR(__xludf.DUMMYFUNCTION("""COMPUTED_VALUE"""),"191750170 - Approved")</f>
        <v>191750170 - Approved</v>
      </c>
      <c r="C841" s="6">
        <f>IFERROR(__xludf.DUMMYFUNCTION("""COMPUTED_VALUE"""),1.0)</f>
        <v>1</v>
      </c>
      <c r="D841" s="6" t="str">
        <f>IFERROR(__xludf.DUMMYFUNCTION("""COMPUTED_VALUE"""),"Q-10128-00")</f>
        <v>Q-10128-00</v>
      </c>
      <c r="E841" s="6" t="str">
        <f>IFERROR(__xludf.DUMMYFUNCTION("""COMPUTED_VALUE"""),"Thinner Super End/Impala")</f>
        <v>Thinner Super End/Impala</v>
      </c>
      <c r="F841" s="6">
        <f>IFERROR(__xludf.DUMMYFUNCTION("""COMPUTED_VALUE"""),5.0)</f>
        <v>5</v>
      </c>
      <c r="G841" s="6" t="str">
        <f>IFERROR(__xludf.DUMMYFUNCTION("""COMPUTED_VALUE"""),"Pieces")</f>
        <v>Pieces</v>
      </c>
      <c r="H841" s="6" t="str">
        <f>IFERROR(__xludf.DUMMYFUNCTION("""COMPUTED_VALUE"""),"IDR")</f>
        <v>IDR</v>
      </c>
      <c r="I841" s="11">
        <f>IFERROR(__xludf.DUMMYFUNCTION("""COMPUTED_VALUE"""),29500.0)</f>
        <v>29500</v>
      </c>
      <c r="J841" s="11">
        <f>IFERROR(__xludf.DUMMYFUNCTION("""COMPUTED_VALUE"""),147500.0)</f>
        <v>147500</v>
      </c>
      <c r="K841" s="13">
        <f>IFERROR(__xludf.DUMMYFUNCTION("""COMPUTED_VALUE"""),43609.0)</f>
        <v>43609</v>
      </c>
      <c r="L841" s="6" t="str">
        <f>IFERROR(__xludf.DUMMYFUNCTION("""COMPUTED_VALUE"""),"FIP Engineering")</f>
        <v>FIP Engineering</v>
      </c>
      <c r="M841" s="6" t="str">
        <f>IFERROR(__xludf.DUMMYFUNCTION("""COMPUTED_VALUE"""),"Irwan Sopian")</f>
        <v>Irwan Sopian</v>
      </c>
      <c r="N841" s="6" t="str">
        <f>IFERROR(__xludf.DUMMYFUNCTION("""COMPUTED_VALUE"""),"FIP Engineering")</f>
        <v>FIP Engineering</v>
      </c>
      <c r="O841" s="6" t="str">
        <f>IFERROR(__xludf.DUMMYFUNCTION("""COMPUTED_VALUE"""),"FIP-DOM-000-11304-OS00001-INA-000000")</f>
        <v>FIP-DOM-000-11304-OS00001-INA-000000</v>
      </c>
      <c r="P841" s="6" t="str">
        <f>IFERROR(__xludf.DUMMYFUNCTION("""COMPUTED_VALUE"""),"PO Closed")</f>
        <v>PO Closed</v>
      </c>
      <c r="Q841" s="6" t="str">
        <f>IFERROR(__xludf.DUMMYFUNCTION("""COMPUTED_VALUE"""),"GL1905301")</f>
        <v>GL1905301</v>
      </c>
      <c r="R841" s="17">
        <f>IFERROR(__xludf.DUMMYFUNCTION("""COMPUTED_VALUE"""),43581.0)</f>
        <v>43581</v>
      </c>
      <c r="S841" s="6" t="str">
        <f>IFERROR(__xludf.DUMMYFUNCTION("""COMPUTED_VALUE"""),"-")</f>
        <v>-</v>
      </c>
      <c r="T841" s="50">
        <f>IFERROR(__xludf.DUMMYFUNCTION("""COMPUTED_VALUE"""),43609.0)</f>
        <v>43609</v>
      </c>
    </row>
    <row r="842">
      <c r="A842" s="6" t="str">
        <f>IFERROR(__xludf.DUMMYFUNCTION("""COMPUTED_VALUE"""),"191750170-2")</f>
        <v>191750170-2</v>
      </c>
      <c r="B842" s="6" t="str">
        <f>IFERROR(__xludf.DUMMYFUNCTION("""COMPUTED_VALUE"""),"191750170 - Approved")</f>
        <v>191750170 - Approved</v>
      </c>
      <c r="C842" s="6">
        <f>IFERROR(__xludf.DUMMYFUNCTION("""COMPUTED_VALUE"""),2.0)</f>
        <v>2</v>
      </c>
      <c r="D842" s="6" t="str">
        <f>IFERROR(__xludf.DUMMYFUNCTION("""COMPUTED_VALUE"""),"Q-60026-00")</f>
        <v>Q-60026-00</v>
      </c>
      <c r="E842" s="6" t="str">
        <f>IFERROR(__xludf.DUMMYFUNCTION("""COMPUTED_VALUE"""),"Kuas Eterna 2""")</f>
        <v>Kuas Eterna 2"</v>
      </c>
      <c r="F842" s="6">
        <f>IFERROR(__xludf.DUMMYFUNCTION("""COMPUTED_VALUE"""),10.0)</f>
        <v>10</v>
      </c>
      <c r="G842" s="6" t="str">
        <f>IFERROR(__xludf.DUMMYFUNCTION("""COMPUTED_VALUE"""),"Pieces")</f>
        <v>Pieces</v>
      </c>
      <c r="H842" s="6" t="str">
        <f>IFERROR(__xludf.DUMMYFUNCTION("""COMPUTED_VALUE"""),"IDR")</f>
        <v>IDR</v>
      </c>
      <c r="I842" s="6">
        <f>IFERROR(__xludf.DUMMYFUNCTION("""COMPUTED_VALUE"""),4050.0)</f>
        <v>4050</v>
      </c>
      <c r="J842" s="6">
        <f>IFERROR(__xludf.DUMMYFUNCTION("""COMPUTED_VALUE"""),40500.0)</f>
        <v>40500</v>
      </c>
      <c r="K842" s="57">
        <f>IFERROR(__xludf.DUMMYFUNCTION("""COMPUTED_VALUE"""),43609.0)</f>
        <v>43609</v>
      </c>
      <c r="L842" s="6" t="str">
        <f>IFERROR(__xludf.DUMMYFUNCTION("""COMPUTED_VALUE"""),"FIP General")</f>
        <v>FIP General</v>
      </c>
      <c r="M842" s="6" t="str">
        <f>IFERROR(__xludf.DUMMYFUNCTION("""COMPUTED_VALUE"""),"Irwan Sopian")</f>
        <v>Irwan Sopian</v>
      </c>
      <c r="N842" s="6" t="str">
        <f>IFERROR(__xludf.DUMMYFUNCTION("""COMPUTED_VALUE"""),"FIP Engineering")</f>
        <v>FIP Engineering</v>
      </c>
      <c r="O842" s="6" t="str">
        <f>IFERROR(__xludf.DUMMYFUNCTION("""COMPUTED_VALUE"""),"FIP-DOM-ENG-51404-0000000-INA-000000")</f>
        <v>FIP-DOM-ENG-51404-0000000-INA-000000</v>
      </c>
      <c r="P842" s="6" t="str">
        <f>IFERROR(__xludf.DUMMYFUNCTION("""COMPUTED_VALUE"""),"PO Closed")</f>
        <v>PO Closed</v>
      </c>
      <c r="Q842" s="6" t="str">
        <f>IFERROR(__xludf.DUMMYFUNCTION("""COMPUTED_VALUE"""),"GL1905301")</f>
        <v>GL1905301</v>
      </c>
      <c r="R842" s="57">
        <f>IFERROR(__xludf.DUMMYFUNCTION("""COMPUTED_VALUE"""),43581.0)</f>
        <v>43581</v>
      </c>
      <c r="S842" s="6" t="str">
        <f>IFERROR(__xludf.DUMMYFUNCTION("""COMPUTED_VALUE"""),"-")</f>
        <v>-</v>
      </c>
      <c r="T842" s="57">
        <f>IFERROR(__xludf.DUMMYFUNCTION("""COMPUTED_VALUE"""),43609.0)</f>
        <v>43609</v>
      </c>
    </row>
    <row r="843">
      <c r="A843" s="6" t="str">
        <f>IFERROR(__xludf.DUMMYFUNCTION("""COMPUTED_VALUE"""),"191750170-3")</f>
        <v>191750170-3</v>
      </c>
      <c r="B843" s="6" t="str">
        <f>IFERROR(__xludf.DUMMYFUNCTION("""COMPUTED_VALUE"""),"191750170 - Approved")</f>
        <v>191750170 - Approved</v>
      </c>
      <c r="C843" s="6">
        <f>IFERROR(__xludf.DUMMYFUNCTION("""COMPUTED_VALUE"""),3.0)</f>
        <v>3</v>
      </c>
      <c r="D843" s="6" t="str">
        <f>IFERROR(__xludf.DUMMYFUNCTION("""COMPUTED_VALUE"""),"P-12883-00")</f>
        <v>P-12883-00</v>
      </c>
      <c r="E843" s="6" t="str">
        <f>IFERROR(__xludf.DUMMYFUNCTION("""COMPUTED_VALUE"""),"Tee PVC AW dia 1/2inch X 1/2inch")</f>
        <v>Tee PVC AW dia 1/2inch X 1/2inch</v>
      </c>
      <c r="F843" s="6">
        <f>IFERROR(__xludf.DUMMYFUNCTION("""COMPUTED_VALUE"""),10.0)</f>
        <v>10</v>
      </c>
      <c r="G843" s="6" t="str">
        <f>IFERROR(__xludf.DUMMYFUNCTION("""COMPUTED_VALUE"""),"Pieces")</f>
        <v>Pieces</v>
      </c>
      <c r="H843" s="6" t="str">
        <f>IFERROR(__xludf.DUMMYFUNCTION("""COMPUTED_VALUE"""),"IDR")</f>
        <v>IDR</v>
      </c>
      <c r="I843" s="6">
        <f>IFERROR(__xludf.DUMMYFUNCTION("""COMPUTED_VALUE"""),3150.0)</f>
        <v>3150</v>
      </c>
      <c r="J843" s="6">
        <f>IFERROR(__xludf.DUMMYFUNCTION("""COMPUTED_VALUE"""),31500.0)</f>
        <v>31500</v>
      </c>
      <c r="K843" s="57">
        <f>IFERROR(__xludf.DUMMYFUNCTION("""COMPUTED_VALUE"""),43609.0)</f>
        <v>43609</v>
      </c>
      <c r="L843" s="6" t="str">
        <f>IFERROR(__xludf.DUMMYFUNCTION("""COMPUTED_VALUE"""),"FIP Engineering")</f>
        <v>FIP Engineering</v>
      </c>
      <c r="M843" s="6" t="str">
        <f>IFERROR(__xludf.DUMMYFUNCTION("""COMPUTED_VALUE"""),"Irwan Sopian")</f>
        <v>Irwan Sopian</v>
      </c>
      <c r="N843" s="6" t="str">
        <f>IFERROR(__xludf.DUMMYFUNCTION("""COMPUTED_VALUE"""),"FIP Engineering")</f>
        <v>FIP Engineering</v>
      </c>
      <c r="O843" s="6" t="str">
        <f>IFERROR(__xludf.DUMMYFUNCTION("""COMPUTED_VALUE"""),"FIP-DOM-000-11304-OS00001-INA-000000")</f>
        <v>FIP-DOM-000-11304-OS00001-INA-000000</v>
      </c>
      <c r="P843" s="6" t="str">
        <f>IFERROR(__xludf.DUMMYFUNCTION("""COMPUTED_VALUE"""),"PO Closed")</f>
        <v>PO Closed</v>
      </c>
      <c r="Q843" s="6" t="str">
        <f>IFERROR(__xludf.DUMMYFUNCTION("""COMPUTED_VALUE"""),"GL1905300")</f>
        <v>GL1905300</v>
      </c>
      <c r="R843" s="57">
        <f>IFERROR(__xludf.DUMMYFUNCTION("""COMPUTED_VALUE"""),43581.0)</f>
        <v>43581</v>
      </c>
      <c r="S843" s="6" t="str">
        <f>IFERROR(__xludf.DUMMYFUNCTION("""COMPUTED_VALUE"""),"-")</f>
        <v>-</v>
      </c>
      <c r="T843" s="57">
        <f>IFERROR(__xludf.DUMMYFUNCTION("""COMPUTED_VALUE"""),43595.0)</f>
        <v>43595</v>
      </c>
    </row>
    <row r="844">
      <c r="A844" s="6" t="str">
        <f>IFERROR(__xludf.DUMMYFUNCTION("""COMPUTED_VALUE"""),"191750170-4")</f>
        <v>191750170-4</v>
      </c>
      <c r="B844" s="6" t="str">
        <f>IFERROR(__xludf.DUMMYFUNCTION("""COMPUTED_VALUE"""),"191750170 - Approved")</f>
        <v>191750170 - Approved</v>
      </c>
      <c r="C844" s="6">
        <f>IFERROR(__xludf.DUMMYFUNCTION("""COMPUTED_VALUE"""),4.0)</f>
        <v>4</v>
      </c>
      <c r="D844" s="6" t="str">
        <f>IFERROR(__xludf.DUMMYFUNCTION("""COMPUTED_VALUE"""),"Q-10154-00")</f>
        <v>Q-10154-00</v>
      </c>
      <c r="E844" s="6" t="str">
        <f>IFERROR(__xludf.DUMMYFUNCTION("""COMPUTED_VALUE"""),"Roller cat 230mm")</f>
        <v>Roller cat 230mm</v>
      </c>
      <c r="F844" s="6">
        <f>IFERROR(__xludf.DUMMYFUNCTION("""COMPUTED_VALUE"""),10.0)</f>
        <v>10</v>
      </c>
      <c r="G844" s="6" t="str">
        <f>IFERROR(__xludf.DUMMYFUNCTION("""COMPUTED_VALUE"""),"Pieces")</f>
        <v>Pieces</v>
      </c>
      <c r="H844" s="6" t="str">
        <f>IFERROR(__xludf.DUMMYFUNCTION("""COMPUTED_VALUE"""),"IDR")</f>
        <v>IDR</v>
      </c>
      <c r="I844" s="6">
        <f>IFERROR(__xludf.DUMMYFUNCTION("""COMPUTED_VALUE"""),35000.0)</f>
        <v>35000</v>
      </c>
      <c r="J844" s="6">
        <f>IFERROR(__xludf.DUMMYFUNCTION("""COMPUTED_VALUE"""),350000.0)</f>
        <v>350000</v>
      </c>
      <c r="K844" s="57">
        <f>IFERROR(__xludf.DUMMYFUNCTION("""COMPUTED_VALUE"""),43605.0)</f>
        <v>43605</v>
      </c>
      <c r="L844" s="6" t="str">
        <f>IFERROR(__xludf.DUMMYFUNCTION("""COMPUTED_VALUE"""),"FIP Engineering")</f>
        <v>FIP Engineering</v>
      </c>
      <c r="M844" s="6" t="str">
        <f>IFERROR(__xludf.DUMMYFUNCTION("""COMPUTED_VALUE"""),"Irwan Sopian")</f>
        <v>Irwan Sopian</v>
      </c>
      <c r="N844" s="6" t="str">
        <f>IFERROR(__xludf.DUMMYFUNCTION("""COMPUTED_VALUE"""),"FIP Engineering")</f>
        <v>FIP Engineering</v>
      </c>
      <c r="O844" s="6" t="str">
        <f>IFERROR(__xludf.DUMMYFUNCTION("""COMPUTED_VALUE"""),"FIP-DOM-000-11304-OS00001-INA-000000")</f>
        <v>FIP-DOM-000-11304-OS00001-INA-000000</v>
      </c>
      <c r="P844" s="6" t="str">
        <f>IFERROR(__xludf.DUMMYFUNCTION("""COMPUTED_VALUE"""),"PO Closed")</f>
        <v>PO Closed</v>
      </c>
      <c r="Q844" s="6" t="str">
        <f>IFERROR(__xludf.DUMMYFUNCTION("""COMPUTED_VALUE"""),"GL1905300")</f>
        <v>GL1905300</v>
      </c>
      <c r="R844" s="57">
        <f>IFERROR(__xludf.DUMMYFUNCTION("""COMPUTED_VALUE"""),43581.0)</f>
        <v>43581</v>
      </c>
      <c r="S844" s="6" t="str">
        <f>IFERROR(__xludf.DUMMYFUNCTION("""COMPUTED_VALUE"""),"-")</f>
        <v>-</v>
      </c>
      <c r="T844" s="57">
        <f>IFERROR(__xludf.DUMMYFUNCTION("""COMPUTED_VALUE"""),43595.0)</f>
        <v>43595</v>
      </c>
    </row>
    <row r="845">
      <c r="A845" s="6" t="str">
        <f>IFERROR(__xludf.DUMMYFUNCTION("""COMPUTED_VALUE"""),"191750170-5")</f>
        <v>191750170-5</v>
      </c>
      <c r="B845" s="6" t="str">
        <f>IFERROR(__xludf.DUMMYFUNCTION("""COMPUTED_VALUE"""),"191750170 - Approved")</f>
        <v>191750170 - Approved</v>
      </c>
      <c r="C845" s="6">
        <f>IFERROR(__xludf.DUMMYFUNCTION("""COMPUTED_VALUE"""),5.0)</f>
        <v>5</v>
      </c>
      <c r="D845" s="6" t="str">
        <f>IFERROR(__xludf.DUMMYFUNCTION("""COMPUTED_VALUE"""),"P-14379-00")</f>
        <v>P-14379-00</v>
      </c>
      <c r="E845" s="6" t="str">
        <f>IFERROR(__xludf.DUMMYFUNCTION("""COMPUTED_VALUE"""),"Gasket 3/4"" /EPDM; ; ;")</f>
        <v>Gasket 3/4" /EPDM; ; ;</v>
      </c>
      <c r="F845" s="6">
        <f>IFERROR(__xludf.DUMMYFUNCTION("""COMPUTED_VALUE"""),10.0)</f>
        <v>10</v>
      </c>
      <c r="G845" s="6" t="str">
        <f>IFERROR(__xludf.DUMMYFUNCTION("""COMPUTED_VALUE"""),"Pieces")</f>
        <v>Pieces</v>
      </c>
      <c r="H845" s="6" t="str">
        <f>IFERROR(__xludf.DUMMYFUNCTION("""COMPUTED_VALUE"""),"IDR")</f>
        <v>IDR</v>
      </c>
      <c r="I845" s="6">
        <f>IFERROR(__xludf.DUMMYFUNCTION("""COMPUTED_VALUE"""),12000.0)</f>
        <v>12000</v>
      </c>
      <c r="J845" s="6">
        <f>IFERROR(__xludf.DUMMYFUNCTION("""COMPUTED_VALUE"""),120000.0)</f>
        <v>120000</v>
      </c>
      <c r="K845" s="57">
        <f>IFERROR(__xludf.DUMMYFUNCTION("""COMPUTED_VALUE"""),43609.0)</f>
        <v>43609</v>
      </c>
      <c r="L845" s="6" t="str">
        <f>IFERROR(__xludf.DUMMYFUNCTION("""COMPUTED_VALUE"""),"FIP Engineering")</f>
        <v>FIP Engineering</v>
      </c>
      <c r="M845" s="6" t="str">
        <f>IFERROR(__xludf.DUMMYFUNCTION("""COMPUTED_VALUE"""),"Irwan Sopian")</f>
        <v>Irwan Sopian</v>
      </c>
      <c r="N845" s="6" t="str">
        <f>IFERROR(__xludf.DUMMYFUNCTION("""COMPUTED_VALUE"""),"FIP Engineering")</f>
        <v>FIP Engineering</v>
      </c>
      <c r="O845" s="6" t="str">
        <f>IFERROR(__xludf.DUMMYFUNCTION("""COMPUTED_VALUE"""),"FIP-DOM-000-11304-OS00001-INA-000000")</f>
        <v>FIP-DOM-000-11304-OS00001-INA-000000</v>
      </c>
      <c r="P845" s="6" t="str">
        <f>IFERROR(__xludf.DUMMYFUNCTION("""COMPUTED_VALUE"""),"PO Closed")</f>
        <v>PO Closed</v>
      </c>
      <c r="Q845" s="6" t="str">
        <f>IFERROR(__xludf.DUMMYFUNCTION("""COMPUTED_VALUE"""),"GL1905300")</f>
        <v>GL1905300</v>
      </c>
      <c r="R845" s="57">
        <f>IFERROR(__xludf.DUMMYFUNCTION("""COMPUTED_VALUE"""),43584.0)</f>
        <v>43584</v>
      </c>
      <c r="S845" s="6" t="str">
        <f>IFERROR(__xludf.DUMMYFUNCTION("""COMPUTED_VALUE"""),"-")</f>
        <v>-</v>
      </c>
      <c r="T845" s="57">
        <f>IFERROR(__xludf.DUMMYFUNCTION("""COMPUTED_VALUE"""),43595.0)</f>
        <v>43595</v>
      </c>
    </row>
    <row r="846">
      <c r="A846" s="6" t="str">
        <f>IFERROR(__xludf.DUMMYFUNCTION("""COMPUTED_VALUE"""),"191750170-6")</f>
        <v>191750170-6</v>
      </c>
      <c r="B846" s="6" t="str">
        <f>IFERROR(__xludf.DUMMYFUNCTION("""COMPUTED_VALUE"""),"191750170 - Approved")</f>
        <v>191750170 - Approved</v>
      </c>
      <c r="C846" s="6">
        <f>IFERROR(__xludf.DUMMYFUNCTION("""COMPUTED_VALUE"""),6.0)</f>
        <v>6</v>
      </c>
      <c r="D846" s="6" t="str">
        <f>IFERROR(__xludf.DUMMYFUNCTION("""COMPUTED_VALUE"""),"O-14639-00")</f>
        <v>O-14639-00</v>
      </c>
      <c r="E846" s="6" t="str">
        <f>IFERROR(__xludf.DUMMYFUNCTION("""COMPUTED_VALUE"""),"EPDM Gasket for Ferrule dia. 1/2""; ; ;")</f>
        <v>EPDM Gasket for Ferrule dia. 1/2"; ; ;</v>
      </c>
      <c r="F846" s="6">
        <f>IFERROR(__xludf.DUMMYFUNCTION("""COMPUTED_VALUE"""),10.0)</f>
        <v>10</v>
      </c>
      <c r="G846" s="6" t="str">
        <f>IFERROR(__xludf.DUMMYFUNCTION("""COMPUTED_VALUE"""),"Pieces")</f>
        <v>Pieces</v>
      </c>
      <c r="H846" s="6" t="str">
        <f>IFERROR(__xludf.DUMMYFUNCTION("""COMPUTED_VALUE"""),"IDR")</f>
        <v>IDR</v>
      </c>
      <c r="I846" s="6">
        <f>IFERROR(__xludf.DUMMYFUNCTION("""COMPUTED_VALUE"""),12000.0)</f>
        <v>12000</v>
      </c>
      <c r="J846" s="6">
        <f>IFERROR(__xludf.DUMMYFUNCTION("""COMPUTED_VALUE"""),120000.0)</f>
        <v>120000</v>
      </c>
      <c r="K846" s="57">
        <f>IFERROR(__xludf.DUMMYFUNCTION("""COMPUTED_VALUE"""),43605.0)</f>
        <v>43605</v>
      </c>
      <c r="L846" s="6" t="str">
        <f>IFERROR(__xludf.DUMMYFUNCTION("""COMPUTED_VALUE"""),"FIP Engineering")</f>
        <v>FIP Engineering</v>
      </c>
      <c r="M846" s="6" t="str">
        <f>IFERROR(__xludf.DUMMYFUNCTION("""COMPUTED_VALUE"""),"Irwan Sopian")</f>
        <v>Irwan Sopian</v>
      </c>
      <c r="N846" s="6" t="str">
        <f>IFERROR(__xludf.DUMMYFUNCTION("""COMPUTED_VALUE"""),"FIP Engineering")</f>
        <v>FIP Engineering</v>
      </c>
      <c r="O846" s="6" t="str">
        <f>IFERROR(__xludf.DUMMYFUNCTION("""COMPUTED_VALUE"""),"FIP-DOM-000-11304-OS00001-INA-000000")</f>
        <v>FIP-DOM-000-11304-OS00001-INA-000000</v>
      </c>
      <c r="P846" s="6" t="str">
        <f>IFERROR(__xludf.DUMMYFUNCTION("""COMPUTED_VALUE"""),"PO Closed")</f>
        <v>PO Closed</v>
      </c>
      <c r="Q846" s="6" t="str">
        <f>IFERROR(__xludf.DUMMYFUNCTION("""COMPUTED_VALUE"""),"GL1905301")</f>
        <v>GL1905301</v>
      </c>
      <c r="R846" s="57">
        <f>IFERROR(__xludf.DUMMYFUNCTION("""COMPUTED_VALUE"""),43584.0)</f>
        <v>43584</v>
      </c>
      <c r="S846" s="6" t="str">
        <f>IFERROR(__xludf.DUMMYFUNCTION("""COMPUTED_VALUE"""),"-")</f>
        <v>-</v>
      </c>
      <c r="T846" s="57">
        <f>IFERROR(__xludf.DUMMYFUNCTION("""COMPUTED_VALUE"""),43605.0)</f>
        <v>43605</v>
      </c>
    </row>
    <row r="847">
      <c r="A847" s="6" t="str">
        <f>IFERROR(__xludf.DUMMYFUNCTION("""COMPUTED_VALUE"""),"191750177-1")</f>
        <v>191750177-1</v>
      </c>
      <c r="B847" s="6" t="str">
        <f>IFERROR(__xludf.DUMMYFUNCTION("""COMPUTED_VALUE"""),"191750177 - Approved")</f>
        <v>191750177 - Approved</v>
      </c>
      <c r="C847" s="6">
        <f>IFERROR(__xludf.DUMMYFUNCTION("""COMPUTED_VALUE"""),1.0)</f>
        <v>1</v>
      </c>
      <c r="D847" s="6" t="str">
        <f>IFERROR(__xludf.DUMMYFUNCTION("""COMPUTED_VALUE"""),"S-60002-00")</f>
        <v>S-60002-00</v>
      </c>
      <c r="E847" s="6" t="str">
        <f>IFERROR(__xludf.DUMMYFUNCTION("""COMPUTED_VALUE"""),"Repair of Kaye Validator 2000")</f>
        <v>Repair of Kaye Validator 2000</v>
      </c>
      <c r="F847" s="6">
        <f>IFERROR(__xludf.DUMMYFUNCTION("""COMPUTED_VALUE"""),1.0)</f>
        <v>1</v>
      </c>
      <c r="G847" s="6" t="str">
        <f>IFERROR(__xludf.DUMMYFUNCTION("""COMPUTED_VALUE"""),"Lot")</f>
        <v>Lot</v>
      </c>
      <c r="H847" s="6" t="str">
        <f>IFERROR(__xludf.DUMMYFUNCTION("""COMPUTED_VALUE"""),"IDR")</f>
        <v>IDR</v>
      </c>
      <c r="I847" s="6">
        <f>IFERROR(__xludf.DUMMYFUNCTION("""COMPUTED_VALUE"""),3000000.0)</f>
        <v>3000000</v>
      </c>
      <c r="J847" s="6">
        <f>IFERROR(__xludf.DUMMYFUNCTION("""COMPUTED_VALUE"""),3000000.0)</f>
        <v>3000000</v>
      </c>
      <c r="K847" s="57">
        <f>IFERROR(__xludf.DUMMYFUNCTION("""COMPUTED_VALUE"""),43605.0)</f>
        <v>43605</v>
      </c>
      <c r="L847" s="6" t="str">
        <f>IFERROR(__xludf.DUMMYFUNCTION("""COMPUTED_VALUE"""),"FIP General")</f>
        <v>FIP General</v>
      </c>
      <c r="M847" s="6" t="str">
        <f>IFERROR(__xludf.DUMMYFUNCTION("""COMPUTED_VALUE"""),"Irwan Sopian")</f>
        <v>Irwan Sopian</v>
      </c>
      <c r="N847" s="6" t="str">
        <f>IFERROR(__xludf.DUMMYFUNCTION("""COMPUTED_VALUE"""),"FIP Engineering")</f>
        <v>FIP Engineering</v>
      </c>
      <c r="O847" s="6" t="str">
        <f>IFERROR(__xludf.DUMMYFUNCTION("""COMPUTED_VALUE"""),"FIP-DOM-ENG-51508-0000000-INA-000000")</f>
        <v>FIP-DOM-ENG-51508-0000000-INA-000000</v>
      </c>
      <c r="P847" s="6" t="str">
        <f>IFERROR(__xludf.DUMMYFUNCTION("""COMPUTED_VALUE"""),"PO Closed")</f>
        <v>PO Closed</v>
      </c>
      <c r="Q847" s="6" t="str">
        <f>IFERROR(__xludf.DUMMYFUNCTION("""COMPUTED_VALUE"""),"GL1905009")</f>
        <v>GL1905009</v>
      </c>
      <c r="R847" s="57">
        <f>IFERROR(__xludf.DUMMYFUNCTION("""COMPUTED_VALUE"""),43585.0)</f>
        <v>43585</v>
      </c>
      <c r="S847" s="6" t="str">
        <f>IFERROR(__xludf.DUMMYFUNCTION("""COMPUTED_VALUE"""),"-")</f>
        <v>-</v>
      </c>
      <c r="T847" s="57">
        <f>IFERROR(__xludf.DUMMYFUNCTION("""COMPUTED_VALUE"""),43630.0)</f>
        <v>43630</v>
      </c>
    </row>
    <row r="848">
      <c r="A848" s="6" t="str">
        <f>IFERROR(__xludf.DUMMYFUNCTION("""COMPUTED_VALUE"""),"191750175-1")</f>
        <v>191750175-1</v>
      </c>
      <c r="B848" s="6" t="str">
        <f>IFERROR(__xludf.DUMMYFUNCTION("""COMPUTED_VALUE"""),"191750175 - Approved")</f>
        <v>191750175 - Approved</v>
      </c>
      <c r="C848" s="6">
        <f>IFERROR(__xludf.DUMMYFUNCTION("""COMPUTED_VALUE"""),1.0)</f>
        <v>1</v>
      </c>
      <c r="D848" s="6" t="str">
        <f>IFERROR(__xludf.DUMMYFUNCTION("""COMPUTED_VALUE"""),"P-13735-00")</f>
        <v>P-13735-00</v>
      </c>
      <c r="E848" s="6" t="str">
        <f>IFERROR(__xludf.DUMMYFUNCTION("""COMPUTED_VALUE"""),"Cable Duct Round Putih 35 x 10 mm")</f>
        <v>Cable Duct Round Putih 35 x 10 mm</v>
      </c>
      <c r="F848" s="6">
        <f>IFERROR(__xludf.DUMMYFUNCTION("""COMPUTED_VALUE"""),5.0)</f>
        <v>5</v>
      </c>
      <c r="G848" s="6" t="str">
        <f>IFERROR(__xludf.DUMMYFUNCTION("""COMPUTED_VALUE"""),"Pieces")</f>
        <v>Pieces</v>
      </c>
      <c r="H848" s="6" t="str">
        <f>IFERROR(__xludf.DUMMYFUNCTION("""COMPUTED_VALUE"""),"IDR")</f>
        <v>IDR</v>
      </c>
      <c r="I848" s="6">
        <f>IFERROR(__xludf.DUMMYFUNCTION("""COMPUTED_VALUE"""),85000.0)</f>
        <v>85000</v>
      </c>
      <c r="J848" s="6">
        <f>IFERROR(__xludf.DUMMYFUNCTION("""COMPUTED_VALUE"""),425000.0)</f>
        <v>425000</v>
      </c>
      <c r="K848" s="57">
        <f>IFERROR(__xludf.DUMMYFUNCTION("""COMPUTED_VALUE"""),43609.0)</f>
        <v>43609</v>
      </c>
      <c r="L848" s="6" t="str">
        <f>IFERROR(__xludf.DUMMYFUNCTION("""COMPUTED_VALUE"""),"FIP Engineering")</f>
        <v>FIP Engineering</v>
      </c>
      <c r="M848" s="6" t="str">
        <f>IFERROR(__xludf.DUMMYFUNCTION("""COMPUTED_VALUE"""),"Irwan Sopian")</f>
        <v>Irwan Sopian</v>
      </c>
      <c r="N848" s="6" t="str">
        <f>IFERROR(__xludf.DUMMYFUNCTION("""COMPUTED_VALUE"""),"FIP Engineering")</f>
        <v>FIP Engineering</v>
      </c>
      <c r="O848" s="6" t="str">
        <f>IFERROR(__xludf.DUMMYFUNCTION("""COMPUTED_VALUE"""),"FIP-DOM-000-11304-OS00001-INA-000000")</f>
        <v>FIP-DOM-000-11304-OS00001-INA-000000</v>
      </c>
      <c r="P848" s="6" t="str">
        <f>IFERROR(__xludf.DUMMYFUNCTION("""COMPUTED_VALUE"""),"PO Closed")</f>
        <v>PO Closed</v>
      </c>
      <c r="Q848" s="6" t="str">
        <f>IFERROR(__xludf.DUMMYFUNCTION("""COMPUTED_VALUE"""),"GL1905306")</f>
        <v>GL1905306</v>
      </c>
      <c r="R848" s="57">
        <f>IFERROR(__xludf.DUMMYFUNCTION("""COMPUTED_VALUE"""),43585.0)</f>
        <v>43585</v>
      </c>
      <c r="S848" s="6" t="str">
        <f>IFERROR(__xludf.DUMMYFUNCTION("""COMPUTED_VALUE"""),"-")</f>
        <v>-</v>
      </c>
      <c r="T848" s="57">
        <f>IFERROR(__xludf.DUMMYFUNCTION("""COMPUTED_VALUE"""),43633.0)</f>
        <v>43633</v>
      </c>
    </row>
    <row r="849">
      <c r="A849" s="6" t="str">
        <f>IFERROR(__xludf.DUMMYFUNCTION("""COMPUTED_VALUE"""),"191750170-7")</f>
        <v>191750170-7</v>
      </c>
      <c r="B849" s="6" t="str">
        <f>IFERROR(__xludf.DUMMYFUNCTION("""COMPUTED_VALUE"""),"191750170 - Approved")</f>
        <v>191750170 - Approved</v>
      </c>
      <c r="C849" s="6">
        <f>IFERROR(__xludf.DUMMYFUNCTION("""COMPUTED_VALUE"""),7.0)</f>
        <v>7</v>
      </c>
      <c r="D849" s="6" t="str">
        <f>IFERROR(__xludf.DUMMYFUNCTION("""COMPUTED_VALUE"""),"P-13389-00")</f>
        <v>P-13389-00</v>
      </c>
      <c r="E849" s="6" t="str">
        <f>IFERROR(__xludf.DUMMYFUNCTION("""COMPUTED_VALUE"""),"Scotch Brite 3M")</f>
        <v>Scotch Brite 3M</v>
      </c>
      <c r="F849" s="6">
        <f>IFERROR(__xludf.DUMMYFUNCTION("""COMPUTED_VALUE"""),10.0)</f>
        <v>10</v>
      </c>
      <c r="G849" s="6" t="str">
        <f>IFERROR(__xludf.DUMMYFUNCTION("""COMPUTED_VALUE"""),"Pieces")</f>
        <v>Pieces</v>
      </c>
      <c r="H849" s="6" t="str">
        <f>IFERROR(__xludf.DUMMYFUNCTION("""COMPUTED_VALUE"""),"IDR")</f>
        <v>IDR</v>
      </c>
      <c r="I849" s="6">
        <f>IFERROR(__xludf.DUMMYFUNCTION("""COMPUTED_VALUE"""),13500.0)</f>
        <v>13500</v>
      </c>
      <c r="J849" s="6">
        <f>IFERROR(__xludf.DUMMYFUNCTION("""COMPUTED_VALUE"""),135000.0)</f>
        <v>135000</v>
      </c>
      <c r="K849" s="57">
        <f>IFERROR(__xludf.DUMMYFUNCTION("""COMPUTED_VALUE"""),43605.0)</f>
        <v>43605</v>
      </c>
      <c r="L849" s="6" t="str">
        <f>IFERROR(__xludf.DUMMYFUNCTION("""COMPUTED_VALUE"""),"FIP Engineering")</f>
        <v>FIP Engineering</v>
      </c>
      <c r="M849" s="6" t="str">
        <f>IFERROR(__xludf.DUMMYFUNCTION("""COMPUTED_VALUE"""),"Irwan Sopian")</f>
        <v>Irwan Sopian</v>
      </c>
      <c r="N849" s="6" t="str">
        <f>IFERROR(__xludf.DUMMYFUNCTION("""COMPUTED_VALUE"""),"FIP Engineering")</f>
        <v>FIP Engineering</v>
      </c>
      <c r="O849" s="6" t="str">
        <f>IFERROR(__xludf.DUMMYFUNCTION("""COMPUTED_VALUE"""),"FIP-DOM-000-11304-OS00001-INA-000000")</f>
        <v>FIP-DOM-000-11304-OS00001-INA-000000</v>
      </c>
      <c r="P849" s="6" t="str">
        <f>IFERROR(__xludf.DUMMYFUNCTION("""COMPUTED_VALUE"""),"PO Closed")</f>
        <v>PO Closed</v>
      </c>
      <c r="Q849" s="6" t="str">
        <f>IFERROR(__xludf.DUMMYFUNCTION("""COMPUTED_VALUE"""),"GL1905301")</f>
        <v>GL1905301</v>
      </c>
      <c r="R849" s="57">
        <f>IFERROR(__xludf.DUMMYFUNCTION("""COMPUTED_VALUE"""),43585.0)</f>
        <v>43585</v>
      </c>
      <c r="S849" s="6" t="str">
        <f>IFERROR(__xludf.DUMMYFUNCTION("""COMPUTED_VALUE"""),"-")</f>
        <v>-</v>
      </c>
      <c r="T849" s="57">
        <f>IFERROR(__xludf.DUMMYFUNCTION("""COMPUTED_VALUE"""),43605.0)</f>
        <v>43605</v>
      </c>
    </row>
    <row r="850">
      <c r="A850" s="6" t="str">
        <f>IFERROR(__xludf.DUMMYFUNCTION("""COMPUTED_VALUE"""),"191750175-2")</f>
        <v>191750175-2</v>
      </c>
      <c r="B850" s="6" t="str">
        <f>IFERROR(__xludf.DUMMYFUNCTION("""COMPUTED_VALUE"""),"191750175 - Approved")</f>
        <v>191750175 - Approved</v>
      </c>
      <c r="C850" s="6">
        <f>IFERROR(__xludf.DUMMYFUNCTION("""COMPUTED_VALUE"""),2.0)</f>
        <v>2</v>
      </c>
      <c r="D850" s="6" t="str">
        <f>IFERROR(__xludf.DUMMYFUNCTION("""COMPUTED_VALUE"""),"P-51903-00")</f>
        <v>P-51903-00</v>
      </c>
      <c r="E850" s="6" t="str">
        <f>IFERROR(__xludf.DUMMYFUNCTION("""COMPUTED_VALUE"""),"UHI Band Heater dia.100x250 mm 220V-1000W")</f>
        <v>UHI Band Heater dia.100x250 mm 220V-1000W</v>
      </c>
      <c r="F850" s="6">
        <f>IFERROR(__xludf.DUMMYFUNCTION("""COMPUTED_VALUE"""),1.0)</f>
        <v>1</v>
      </c>
      <c r="G850" s="6" t="str">
        <f>IFERROR(__xludf.DUMMYFUNCTION("""COMPUTED_VALUE"""),"Pieces")</f>
        <v>Pieces</v>
      </c>
      <c r="H850" s="6" t="str">
        <f>IFERROR(__xludf.DUMMYFUNCTION("""COMPUTED_VALUE"""),"IDR")</f>
        <v>IDR</v>
      </c>
      <c r="I850" s="6">
        <f>IFERROR(__xludf.DUMMYFUNCTION("""COMPUTED_VALUE"""),750000.0)</f>
        <v>750000</v>
      </c>
      <c r="J850" s="6">
        <f>IFERROR(__xludf.DUMMYFUNCTION("""COMPUTED_VALUE"""),750000.0)</f>
        <v>750000</v>
      </c>
      <c r="K850" s="57">
        <f>IFERROR(__xludf.DUMMYFUNCTION("""COMPUTED_VALUE"""),43615.0)</f>
        <v>43615</v>
      </c>
      <c r="L850" s="6" t="str">
        <f>IFERROR(__xludf.DUMMYFUNCTION("""COMPUTED_VALUE"""),"FIP Engineering")</f>
        <v>FIP Engineering</v>
      </c>
      <c r="M850" s="6" t="str">
        <f>IFERROR(__xludf.DUMMYFUNCTION("""COMPUTED_VALUE"""),"Irwan Sopian")</f>
        <v>Irwan Sopian</v>
      </c>
      <c r="N850" s="6" t="str">
        <f>IFERROR(__xludf.DUMMYFUNCTION("""COMPUTED_VALUE"""),"FIP Engineering")</f>
        <v>FIP Engineering</v>
      </c>
      <c r="O850" s="6" t="str">
        <f>IFERROR(__xludf.DUMMYFUNCTION("""COMPUTED_VALUE"""),"FIP-DOM-000-11304-OS00001-INA-000000")</f>
        <v>FIP-DOM-000-11304-OS00001-INA-000000</v>
      </c>
      <c r="P850" s="6" t="str">
        <f>IFERROR(__xludf.DUMMYFUNCTION("""COMPUTED_VALUE"""),"PO Closed")</f>
        <v>PO Closed</v>
      </c>
      <c r="Q850" s="6" t="str">
        <f>IFERROR(__xludf.DUMMYFUNCTION("""COMPUTED_VALUE"""),"GL1905024")</f>
        <v>GL1905024</v>
      </c>
      <c r="R850" s="57">
        <f>IFERROR(__xludf.DUMMYFUNCTION("""COMPUTED_VALUE"""),43591.0)</f>
        <v>43591</v>
      </c>
      <c r="S850" s="6" t="str">
        <f>IFERROR(__xludf.DUMMYFUNCTION("""COMPUTED_VALUE"""),"-")</f>
        <v>-</v>
      </c>
      <c r="T850" s="57">
        <f>IFERROR(__xludf.DUMMYFUNCTION("""COMPUTED_VALUE"""),43612.0)</f>
        <v>43612</v>
      </c>
    </row>
    <row r="851">
      <c r="A851" s="6" t="str">
        <f>IFERROR(__xludf.DUMMYFUNCTION("""COMPUTED_VALUE"""),"191750193-1")</f>
        <v>191750193-1</v>
      </c>
      <c r="B851" s="6" t="str">
        <f>IFERROR(__xludf.DUMMYFUNCTION("""COMPUTED_VALUE"""),"191750193 - Approved")</f>
        <v>191750193 - Approved</v>
      </c>
      <c r="C851" s="6">
        <f>IFERROR(__xludf.DUMMYFUNCTION("""COMPUTED_VALUE"""),1.0)</f>
        <v>1</v>
      </c>
      <c r="D851" s="6" t="str">
        <f>IFERROR(__xludf.DUMMYFUNCTION("""COMPUTED_VALUE"""),"P-13732-00")</f>
        <v>P-13732-00</v>
      </c>
      <c r="E851" s="6" t="str">
        <f>IFERROR(__xludf.DUMMYFUNCTION("""COMPUTED_VALUE"""),"Pressure Reducing Valve Flange End PN16 DN40")</f>
        <v>Pressure Reducing Valve Flange End PN16 DN40</v>
      </c>
      <c r="F851" s="6">
        <f>IFERROR(__xludf.DUMMYFUNCTION("""COMPUTED_VALUE"""),1.0)</f>
        <v>1</v>
      </c>
      <c r="G851" s="6" t="str">
        <f>IFERROR(__xludf.DUMMYFUNCTION("""COMPUTED_VALUE"""),"Unit")</f>
        <v>Unit</v>
      </c>
      <c r="H851" s="6" t="str">
        <f>IFERROR(__xludf.DUMMYFUNCTION("""COMPUTED_VALUE"""),"IDR")</f>
        <v>IDR</v>
      </c>
      <c r="I851" s="6">
        <f>IFERROR(__xludf.DUMMYFUNCTION("""COMPUTED_VALUE"""),1.785E7)</f>
        <v>17850000</v>
      </c>
      <c r="J851" s="6">
        <f>IFERROR(__xludf.DUMMYFUNCTION("""COMPUTED_VALUE"""),1.785E7)</f>
        <v>17850000</v>
      </c>
      <c r="K851" s="57">
        <f>IFERROR(__xludf.DUMMYFUNCTION("""COMPUTED_VALUE"""),43677.0)</f>
        <v>43677</v>
      </c>
      <c r="L851" s="6" t="str">
        <f>IFERROR(__xludf.DUMMYFUNCTION("""COMPUTED_VALUE"""),"FIP Engineering")</f>
        <v>FIP Engineering</v>
      </c>
      <c r="M851" s="6" t="str">
        <f>IFERROR(__xludf.DUMMYFUNCTION("""COMPUTED_VALUE"""),"Irwan Sopian")</f>
        <v>Irwan Sopian</v>
      </c>
      <c r="N851" s="6" t="str">
        <f>IFERROR(__xludf.DUMMYFUNCTION("""COMPUTED_VALUE"""),"FIP Engineering")</f>
        <v>FIP Engineering</v>
      </c>
      <c r="O851" s="6" t="str">
        <f>IFERROR(__xludf.DUMMYFUNCTION("""COMPUTED_VALUE"""),"FIP-DOM-000-11304-OS00001-INA-000000")</f>
        <v>FIP-DOM-000-11304-OS00001-INA-000000</v>
      </c>
      <c r="P851" s="6" t="str">
        <f>IFERROR(__xludf.DUMMYFUNCTION("""COMPUTED_VALUE"""),"PO Closed")</f>
        <v>PO Closed</v>
      </c>
      <c r="Q851" s="6" t="str">
        <f>IFERROR(__xludf.DUMMYFUNCTION("""COMPUTED_VALUE"""),"GL1907051")</f>
        <v>GL1907051</v>
      </c>
      <c r="R851" s="57">
        <f>IFERROR(__xludf.DUMMYFUNCTION("""COMPUTED_VALUE"""),43592.0)</f>
        <v>43592</v>
      </c>
      <c r="S851" s="6" t="str">
        <f>IFERROR(__xludf.DUMMYFUNCTION("""COMPUTED_VALUE"""),"-")</f>
        <v>-</v>
      </c>
      <c r="T851" s="57">
        <f>IFERROR(__xludf.DUMMYFUNCTION("""COMPUTED_VALUE"""),43753.0)</f>
        <v>43753</v>
      </c>
    </row>
    <row r="852">
      <c r="A852" s="6" t="str">
        <f>IFERROR(__xludf.DUMMYFUNCTION("""COMPUTED_VALUE"""),"191750193-2")</f>
        <v>191750193-2</v>
      </c>
      <c r="B852" s="6" t="str">
        <f>IFERROR(__xludf.DUMMYFUNCTION("""COMPUTED_VALUE"""),"191750193 - Approved")</f>
        <v>191750193 - Approved</v>
      </c>
      <c r="C852" s="6">
        <f>IFERROR(__xludf.DUMMYFUNCTION("""COMPUTED_VALUE"""),2.0)</f>
        <v>2</v>
      </c>
      <c r="D852" s="6" t="str">
        <f>IFERROR(__xludf.DUMMYFUNCTION("""COMPUTED_VALUE"""),"P-13709-00")</f>
        <v>P-13709-00</v>
      </c>
      <c r="E852" s="6" t="str">
        <f>IFERROR(__xludf.DUMMYFUNCTION("""COMPUTED_VALUE"""),"Gasket Flange DN25")</f>
        <v>Gasket Flange DN25</v>
      </c>
      <c r="F852" s="6">
        <f>IFERROR(__xludf.DUMMYFUNCTION("""COMPUTED_VALUE"""),2.0)</f>
        <v>2</v>
      </c>
      <c r="G852" s="6" t="str">
        <f>IFERROR(__xludf.DUMMYFUNCTION("""COMPUTED_VALUE"""),"Pieces")</f>
        <v>Pieces</v>
      </c>
      <c r="H852" s="6" t="str">
        <f>IFERROR(__xludf.DUMMYFUNCTION("""COMPUTED_VALUE"""),"IDR")</f>
        <v>IDR</v>
      </c>
      <c r="I852" s="6">
        <f>IFERROR(__xludf.DUMMYFUNCTION("""COMPUTED_VALUE"""),35000.0)</f>
        <v>35000</v>
      </c>
      <c r="J852" s="6">
        <f>IFERROR(__xludf.DUMMYFUNCTION("""COMPUTED_VALUE"""),70000.0)</f>
        <v>70000</v>
      </c>
      <c r="K852" s="57">
        <f>IFERROR(__xludf.DUMMYFUNCTION("""COMPUTED_VALUE"""),43677.0)</f>
        <v>43677</v>
      </c>
      <c r="L852" s="6" t="str">
        <f>IFERROR(__xludf.DUMMYFUNCTION("""COMPUTED_VALUE"""),"FIP Engineering")</f>
        <v>FIP Engineering</v>
      </c>
      <c r="M852" s="6" t="str">
        <f>IFERROR(__xludf.DUMMYFUNCTION("""COMPUTED_VALUE"""),"Irwan Sopian")</f>
        <v>Irwan Sopian</v>
      </c>
      <c r="N852" s="6" t="str">
        <f>IFERROR(__xludf.DUMMYFUNCTION("""COMPUTED_VALUE"""),"FIP Engineering")</f>
        <v>FIP Engineering</v>
      </c>
      <c r="O852" s="6" t="str">
        <f>IFERROR(__xludf.DUMMYFUNCTION("""COMPUTED_VALUE"""),"FIP-DOM-000-11304-OS00001-INA-000000")</f>
        <v>FIP-DOM-000-11304-OS00001-INA-000000</v>
      </c>
      <c r="P852" s="6" t="str">
        <f>IFERROR(__xludf.DUMMYFUNCTION("""COMPUTED_VALUE"""),"PO Closed")</f>
        <v>PO Closed</v>
      </c>
      <c r="Q852" s="6" t="str">
        <f>IFERROR(__xludf.DUMMYFUNCTION("""COMPUTED_VALUE"""),"GL1907051")</f>
        <v>GL1907051</v>
      </c>
      <c r="R852" s="57">
        <f>IFERROR(__xludf.DUMMYFUNCTION("""COMPUTED_VALUE"""),43592.0)</f>
        <v>43592</v>
      </c>
      <c r="S852" s="6" t="str">
        <f>IFERROR(__xludf.DUMMYFUNCTION("""COMPUTED_VALUE"""),"-")</f>
        <v>-</v>
      </c>
      <c r="T852" s="57">
        <f>IFERROR(__xludf.DUMMYFUNCTION("""COMPUTED_VALUE"""),43753.0)</f>
        <v>43753</v>
      </c>
    </row>
    <row r="853">
      <c r="A853" s="6" t="str">
        <f>IFERROR(__xludf.DUMMYFUNCTION("""COMPUTED_VALUE"""),"191750193-3")</f>
        <v>191750193-3</v>
      </c>
      <c r="B853" s="6" t="str">
        <f>IFERROR(__xludf.DUMMYFUNCTION("""COMPUTED_VALUE"""),"191750193 - Approved")</f>
        <v>191750193 - Approved</v>
      </c>
      <c r="C853" s="6">
        <f>IFERROR(__xludf.DUMMYFUNCTION("""COMPUTED_VALUE"""),3.0)</f>
        <v>3</v>
      </c>
      <c r="D853" s="6" t="str">
        <f>IFERROR(__xludf.DUMMYFUNCTION("""COMPUTED_VALUE"""),"P-13707-00")</f>
        <v>P-13707-00</v>
      </c>
      <c r="E853" s="6" t="str">
        <f>IFERROR(__xludf.DUMMYFUNCTION("""COMPUTED_VALUE"""),"Gasket Flange DN50")</f>
        <v>Gasket Flange DN50</v>
      </c>
      <c r="F853" s="6">
        <f>IFERROR(__xludf.DUMMYFUNCTION("""COMPUTED_VALUE"""),2.0)</f>
        <v>2</v>
      </c>
      <c r="G853" s="6" t="str">
        <f>IFERROR(__xludf.DUMMYFUNCTION("""COMPUTED_VALUE"""),"Pieces")</f>
        <v>Pieces</v>
      </c>
      <c r="H853" s="6" t="str">
        <f>IFERROR(__xludf.DUMMYFUNCTION("""COMPUTED_VALUE"""),"IDR")</f>
        <v>IDR</v>
      </c>
      <c r="I853" s="6">
        <f>IFERROR(__xludf.DUMMYFUNCTION("""COMPUTED_VALUE"""),65000.0)</f>
        <v>65000</v>
      </c>
      <c r="J853" s="6">
        <f>IFERROR(__xludf.DUMMYFUNCTION("""COMPUTED_VALUE"""),130000.0)</f>
        <v>130000</v>
      </c>
      <c r="K853" s="57">
        <f>IFERROR(__xludf.DUMMYFUNCTION("""COMPUTED_VALUE"""),43677.0)</f>
        <v>43677</v>
      </c>
      <c r="L853" s="6" t="str">
        <f>IFERROR(__xludf.DUMMYFUNCTION("""COMPUTED_VALUE"""),"FIP Engineering")</f>
        <v>FIP Engineering</v>
      </c>
      <c r="M853" s="6" t="str">
        <f>IFERROR(__xludf.DUMMYFUNCTION("""COMPUTED_VALUE"""),"Irwan Sopian")</f>
        <v>Irwan Sopian</v>
      </c>
      <c r="N853" s="6" t="str">
        <f>IFERROR(__xludf.DUMMYFUNCTION("""COMPUTED_VALUE"""),"FIP Engineering")</f>
        <v>FIP Engineering</v>
      </c>
      <c r="O853" s="6" t="str">
        <f>IFERROR(__xludf.DUMMYFUNCTION("""COMPUTED_VALUE"""),"FIP-DOM-000-11304-OS00001-INA-000000")</f>
        <v>FIP-DOM-000-11304-OS00001-INA-000000</v>
      </c>
      <c r="P853" s="6" t="str">
        <f>IFERROR(__xludf.DUMMYFUNCTION("""COMPUTED_VALUE"""),"PO Closed")</f>
        <v>PO Closed</v>
      </c>
      <c r="Q853" s="6" t="str">
        <f>IFERROR(__xludf.DUMMYFUNCTION("""COMPUTED_VALUE"""),"GL1907051")</f>
        <v>GL1907051</v>
      </c>
      <c r="R853" s="57">
        <f>IFERROR(__xludf.DUMMYFUNCTION("""COMPUTED_VALUE"""),43592.0)</f>
        <v>43592</v>
      </c>
      <c r="S853" s="6" t="str">
        <f>IFERROR(__xludf.DUMMYFUNCTION("""COMPUTED_VALUE"""),"-")</f>
        <v>-</v>
      </c>
      <c r="T853" s="57">
        <f>IFERROR(__xludf.DUMMYFUNCTION("""COMPUTED_VALUE"""),43753.0)</f>
        <v>43753</v>
      </c>
    </row>
    <row r="854">
      <c r="A854" s="6" t="str">
        <f>IFERROR(__xludf.DUMMYFUNCTION("""COMPUTED_VALUE"""),"191750193-4")</f>
        <v>191750193-4</v>
      </c>
      <c r="B854" s="6" t="str">
        <f>IFERROR(__xludf.DUMMYFUNCTION("""COMPUTED_VALUE"""),"191750193 - Approved")</f>
        <v>191750193 - Approved</v>
      </c>
      <c r="C854" s="6">
        <f>IFERROR(__xludf.DUMMYFUNCTION("""COMPUTED_VALUE"""),4.0)</f>
        <v>4</v>
      </c>
      <c r="D854" s="6" t="str">
        <f>IFERROR(__xludf.DUMMYFUNCTION("""COMPUTED_VALUE"""),"P-13708-00")</f>
        <v>P-13708-00</v>
      </c>
      <c r="E854" s="6" t="str">
        <f>IFERROR(__xludf.DUMMYFUNCTION("""COMPUTED_VALUE"""),"Gasket Flange DN40")</f>
        <v>Gasket Flange DN40</v>
      </c>
      <c r="F854" s="6">
        <f>IFERROR(__xludf.DUMMYFUNCTION("""COMPUTED_VALUE"""),2.0)</f>
        <v>2</v>
      </c>
      <c r="G854" s="6" t="str">
        <f>IFERROR(__xludf.DUMMYFUNCTION("""COMPUTED_VALUE"""),"Pieces")</f>
        <v>Pieces</v>
      </c>
      <c r="H854" s="6" t="str">
        <f>IFERROR(__xludf.DUMMYFUNCTION("""COMPUTED_VALUE"""),"IDR")</f>
        <v>IDR</v>
      </c>
      <c r="I854" s="6">
        <f>IFERROR(__xludf.DUMMYFUNCTION("""COMPUTED_VALUE"""),45000.0)</f>
        <v>45000</v>
      </c>
      <c r="J854" s="6">
        <f>IFERROR(__xludf.DUMMYFUNCTION("""COMPUTED_VALUE"""),90000.0)</f>
        <v>90000</v>
      </c>
      <c r="K854" s="57">
        <f>IFERROR(__xludf.DUMMYFUNCTION("""COMPUTED_VALUE"""),43677.0)</f>
        <v>43677</v>
      </c>
      <c r="L854" s="6" t="str">
        <f>IFERROR(__xludf.DUMMYFUNCTION("""COMPUTED_VALUE"""),"FIP Engineering")</f>
        <v>FIP Engineering</v>
      </c>
      <c r="M854" s="6" t="str">
        <f>IFERROR(__xludf.DUMMYFUNCTION("""COMPUTED_VALUE"""),"Irwan Sopian")</f>
        <v>Irwan Sopian</v>
      </c>
      <c r="N854" s="6" t="str">
        <f>IFERROR(__xludf.DUMMYFUNCTION("""COMPUTED_VALUE"""),"FIP Engineering")</f>
        <v>FIP Engineering</v>
      </c>
      <c r="O854" s="6" t="str">
        <f>IFERROR(__xludf.DUMMYFUNCTION("""COMPUTED_VALUE"""),"FIP-DOM-000-11304-OS00001-INA-000000")</f>
        <v>FIP-DOM-000-11304-OS00001-INA-000000</v>
      </c>
      <c r="P854" s="6" t="str">
        <f>IFERROR(__xludf.DUMMYFUNCTION("""COMPUTED_VALUE"""),"PO Closed")</f>
        <v>PO Closed</v>
      </c>
      <c r="Q854" s="6" t="str">
        <f>IFERROR(__xludf.DUMMYFUNCTION("""COMPUTED_VALUE"""),"GL1907051")</f>
        <v>GL1907051</v>
      </c>
      <c r="R854" s="57">
        <f>IFERROR(__xludf.DUMMYFUNCTION("""COMPUTED_VALUE"""),43592.0)</f>
        <v>43592</v>
      </c>
      <c r="S854" s="6" t="str">
        <f>IFERROR(__xludf.DUMMYFUNCTION("""COMPUTED_VALUE"""),"-")</f>
        <v>-</v>
      </c>
      <c r="T854" s="57">
        <f>IFERROR(__xludf.DUMMYFUNCTION("""COMPUTED_VALUE"""),43753.0)</f>
        <v>43753</v>
      </c>
    </row>
    <row r="855">
      <c r="A855" s="6" t="str">
        <f>IFERROR(__xludf.DUMMYFUNCTION("""COMPUTED_VALUE"""),"191750193-5")</f>
        <v>191750193-5</v>
      </c>
      <c r="B855" s="6" t="str">
        <f>IFERROR(__xludf.DUMMYFUNCTION("""COMPUTED_VALUE"""),"191750193 - Approved")</f>
        <v>191750193 - Approved</v>
      </c>
      <c r="C855" s="6">
        <f>IFERROR(__xludf.DUMMYFUNCTION("""COMPUTED_VALUE"""),5.0)</f>
        <v>5</v>
      </c>
      <c r="D855" s="6" t="str">
        <f>IFERROR(__xludf.DUMMYFUNCTION("""COMPUTED_VALUE"""),"P-13706-00")</f>
        <v>P-13706-00</v>
      </c>
      <c r="E855" s="6" t="str">
        <f>IFERROR(__xludf.DUMMYFUNCTION("""COMPUTED_VALUE"""),"Gasket Flange DN65")</f>
        <v>Gasket Flange DN65</v>
      </c>
      <c r="F855" s="6">
        <f>IFERROR(__xludf.DUMMYFUNCTION("""COMPUTED_VALUE"""),2.0)</f>
        <v>2</v>
      </c>
      <c r="G855" s="6" t="str">
        <f>IFERROR(__xludf.DUMMYFUNCTION("""COMPUTED_VALUE"""),"Pieces")</f>
        <v>Pieces</v>
      </c>
      <c r="H855" s="6" t="str">
        <f>IFERROR(__xludf.DUMMYFUNCTION("""COMPUTED_VALUE"""),"IDR")</f>
        <v>IDR</v>
      </c>
      <c r="I855" s="6">
        <f>IFERROR(__xludf.DUMMYFUNCTION("""COMPUTED_VALUE"""),75000.0)</f>
        <v>75000</v>
      </c>
      <c r="J855" s="6">
        <f>IFERROR(__xludf.DUMMYFUNCTION("""COMPUTED_VALUE"""),150000.0)</f>
        <v>150000</v>
      </c>
      <c r="K855" s="57">
        <f>IFERROR(__xludf.DUMMYFUNCTION("""COMPUTED_VALUE"""),43677.0)</f>
        <v>43677</v>
      </c>
      <c r="L855" s="6" t="str">
        <f>IFERROR(__xludf.DUMMYFUNCTION("""COMPUTED_VALUE"""),"FIP Engineering")</f>
        <v>FIP Engineering</v>
      </c>
      <c r="M855" s="6" t="str">
        <f>IFERROR(__xludf.DUMMYFUNCTION("""COMPUTED_VALUE"""),"Irwan Sopian")</f>
        <v>Irwan Sopian</v>
      </c>
      <c r="N855" s="6" t="str">
        <f>IFERROR(__xludf.DUMMYFUNCTION("""COMPUTED_VALUE"""),"FIP Engineering")</f>
        <v>FIP Engineering</v>
      </c>
      <c r="O855" s="6" t="str">
        <f>IFERROR(__xludf.DUMMYFUNCTION("""COMPUTED_VALUE"""),"FIP-DOM-000-11304-OS00001-INA-000000")</f>
        <v>FIP-DOM-000-11304-OS00001-INA-000000</v>
      </c>
      <c r="P855" s="6" t="str">
        <f>IFERROR(__xludf.DUMMYFUNCTION("""COMPUTED_VALUE"""),"PO Closed")</f>
        <v>PO Closed</v>
      </c>
      <c r="Q855" s="6" t="str">
        <f>IFERROR(__xludf.DUMMYFUNCTION("""COMPUTED_VALUE"""),"GL1907051")</f>
        <v>GL1907051</v>
      </c>
      <c r="R855" s="57">
        <f>IFERROR(__xludf.DUMMYFUNCTION("""COMPUTED_VALUE"""),43592.0)</f>
        <v>43592</v>
      </c>
      <c r="S855" s="6" t="str">
        <f>IFERROR(__xludf.DUMMYFUNCTION("""COMPUTED_VALUE"""),"-")</f>
        <v>-</v>
      </c>
      <c r="T855" s="57">
        <f>IFERROR(__xludf.DUMMYFUNCTION("""COMPUTED_VALUE"""),43753.0)</f>
        <v>43753</v>
      </c>
    </row>
    <row r="856">
      <c r="A856" s="6" t="str">
        <f>IFERROR(__xludf.DUMMYFUNCTION("""COMPUTED_VALUE"""),"191750198-1")</f>
        <v>191750198-1</v>
      </c>
      <c r="B856" s="6" t="str">
        <f>IFERROR(__xludf.DUMMYFUNCTION("""COMPUTED_VALUE"""),"191750198 - Approved")</f>
        <v>191750198 - Approved</v>
      </c>
      <c r="C856" s="6">
        <f>IFERROR(__xludf.DUMMYFUNCTION("""COMPUTED_VALUE"""),1.0)</f>
        <v>1</v>
      </c>
      <c r="D856" s="6" t="str">
        <f>IFERROR(__xludf.DUMMYFUNCTION("""COMPUTED_VALUE"""),"O-52229-00")</f>
        <v>O-52229-00</v>
      </c>
      <c r="E856" s="6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F856" s="6">
        <f>IFERROR(__xludf.DUMMYFUNCTION("""COMPUTED_VALUE"""),1.0)</f>
        <v>1</v>
      </c>
      <c r="G856" s="6" t="str">
        <f>IFERROR(__xludf.DUMMYFUNCTION("""COMPUTED_VALUE"""),"Pieces")</f>
        <v>Pieces</v>
      </c>
      <c r="H856" s="6" t="str">
        <f>IFERROR(__xludf.DUMMYFUNCTION("""COMPUTED_VALUE"""),"IDR")</f>
        <v>IDR</v>
      </c>
      <c r="I856" s="6">
        <f>IFERROR(__xludf.DUMMYFUNCTION("""COMPUTED_VALUE"""),4400000.0)</f>
        <v>4400000</v>
      </c>
      <c r="J856" s="6">
        <f>IFERROR(__xludf.DUMMYFUNCTION("""COMPUTED_VALUE"""),4400000.0)</f>
        <v>4400000</v>
      </c>
      <c r="K856" s="57">
        <f>IFERROR(__xludf.DUMMYFUNCTION("""COMPUTED_VALUE"""),43623.0)</f>
        <v>43623</v>
      </c>
      <c r="L856" s="6" t="str">
        <f>IFERROR(__xludf.DUMMYFUNCTION("""COMPUTED_VALUE"""),"FIP Engineering")</f>
        <v>FIP Engineering</v>
      </c>
      <c r="M856" s="6" t="str">
        <f>IFERROR(__xludf.DUMMYFUNCTION("""COMPUTED_VALUE"""),"Irwan Sopian")</f>
        <v>Irwan Sopian</v>
      </c>
      <c r="N856" s="6" t="str">
        <f>IFERROR(__xludf.DUMMYFUNCTION("""COMPUTED_VALUE"""),"FIP Engineering")</f>
        <v>FIP Engineering</v>
      </c>
      <c r="O856" s="6" t="str">
        <f>IFERROR(__xludf.DUMMYFUNCTION("""COMPUTED_VALUE"""),"FIP-DOM-000-11304-OS00001-INA-000000")</f>
        <v>FIP-DOM-000-11304-OS00001-INA-000000</v>
      </c>
      <c r="P856" s="6" t="str">
        <f>IFERROR(__xludf.DUMMYFUNCTION("""COMPUTED_VALUE"""),"PO Closed")</f>
        <v>PO Closed</v>
      </c>
      <c r="Q856" s="6" t="str">
        <f>IFERROR(__xludf.DUMMYFUNCTION("""COMPUTED_VALUE"""),"GL1905039")</f>
        <v>GL1905039</v>
      </c>
      <c r="R856" s="57">
        <f>IFERROR(__xludf.DUMMYFUNCTION("""COMPUTED_VALUE"""),43598.0)</f>
        <v>43598</v>
      </c>
      <c r="S856" s="6" t="str">
        <f>IFERROR(__xludf.DUMMYFUNCTION("""COMPUTED_VALUE"""),"-")</f>
        <v>-</v>
      </c>
      <c r="T856" s="57">
        <f>IFERROR(__xludf.DUMMYFUNCTION("""COMPUTED_VALUE"""),43630.0)</f>
        <v>43630</v>
      </c>
    </row>
    <row r="857">
      <c r="A857" s="6" t="str">
        <f>IFERROR(__xludf.DUMMYFUNCTION("""COMPUTED_VALUE"""),"191750200-1")</f>
        <v>191750200-1</v>
      </c>
      <c r="B857" s="6" t="str">
        <f>IFERROR(__xludf.DUMMYFUNCTION("""COMPUTED_VALUE"""),"191750200 - Approved")</f>
        <v>191750200 - Approved</v>
      </c>
      <c r="C857" s="6">
        <f>IFERROR(__xludf.DUMMYFUNCTION("""COMPUTED_VALUE"""),1.0)</f>
        <v>1</v>
      </c>
      <c r="D857" s="6" t="str">
        <f>IFERROR(__xludf.DUMMYFUNCTION("""COMPUTED_VALUE"""),"Q-60063-00")</f>
        <v>Q-60063-00</v>
      </c>
      <c r="E857" s="6" t="str">
        <f>IFERROR(__xludf.DUMMYFUNCTION("""COMPUTED_VALUE"""),"Cat Pilox 102 - White")</f>
        <v>Cat Pilox 102 - White</v>
      </c>
      <c r="F857" s="6">
        <f>IFERROR(__xludf.DUMMYFUNCTION("""COMPUTED_VALUE"""),2.0)</f>
        <v>2</v>
      </c>
      <c r="G857" s="6" t="str">
        <f>IFERROR(__xludf.DUMMYFUNCTION("""COMPUTED_VALUE"""),"Can")</f>
        <v>Can</v>
      </c>
      <c r="H857" s="6" t="str">
        <f>IFERROR(__xludf.DUMMYFUNCTION("""COMPUTED_VALUE"""),"IDR")</f>
        <v>IDR</v>
      </c>
      <c r="I857" s="6">
        <f>IFERROR(__xludf.DUMMYFUNCTION("""COMPUTED_VALUE"""),33000.0)</f>
        <v>33000</v>
      </c>
      <c r="J857" s="6">
        <f>IFERROR(__xludf.DUMMYFUNCTION("""COMPUTED_VALUE"""),66000.0)</f>
        <v>66000</v>
      </c>
      <c r="K857" s="57">
        <f>IFERROR(__xludf.DUMMYFUNCTION("""COMPUTED_VALUE"""),43623.0)</f>
        <v>43623</v>
      </c>
      <c r="L857" s="6" t="str">
        <f>IFERROR(__xludf.DUMMYFUNCTION("""COMPUTED_VALUE"""),"FIP Engineering")</f>
        <v>FIP Engineering</v>
      </c>
      <c r="M857" s="6" t="str">
        <f>IFERROR(__xludf.DUMMYFUNCTION("""COMPUTED_VALUE"""),"Irwan Sopian")</f>
        <v>Irwan Sopian</v>
      </c>
      <c r="N857" s="6" t="str">
        <f>IFERROR(__xludf.DUMMYFUNCTION("""COMPUTED_VALUE"""),"FIP Engineering")</f>
        <v>FIP Engineering</v>
      </c>
      <c r="O857" s="6" t="str">
        <f>IFERROR(__xludf.DUMMYFUNCTION("""COMPUTED_VALUE"""),"FIP-DOM-000-11304-OS00001-INA-000000")</f>
        <v>FIP-DOM-000-11304-OS00001-INA-000000</v>
      </c>
      <c r="P857" s="6" t="str">
        <f>IFERROR(__xludf.DUMMYFUNCTION("""COMPUTED_VALUE"""),"PO Closed")</f>
        <v>PO Closed</v>
      </c>
      <c r="Q857" s="6" t="str">
        <f>IFERROR(__xludf.DUMMYFUNCTION("""COMPUTED_VALUE"""),"GL1905306")</f>
        <v>GL1905306</v>
      </c>
      <c r="R857" s="57">
        <f>IFERROR(__xludf.DUMMYFUNCTION("""COMPUTED_VALUE"""),43599.0)</f>
        <v>43599</v>
      </c>
      <c r="S857" s="6" t="str">
        <f>IFERROR(__xludf.DUMMYFUNCTION("""COMPUTED_VALUE"""),"-")</f>
        <v>-</v>
      </c>
      <c r="T857" s="57">
        <f>IFERROR(__xludf.DUMMYFUNCTION("""COMPUTED_VALUE"""),43633.0)</f>
        <v>43633</v>
      </c>
    </row>
    <row r="858">
      <c r="A858" s="6" t="str">
        <f>IFERROR(__xludf.DUMMYFUNCTION("""COMPUTED_VALUE"""),"191750200-2")</f>
        <v>191750200-2</v>
      </c>
      <c r="B858" s="6" t="str">
        <f>IFERROR(__xludf.DUMMYFUNCTION("""COMPUTED_VALUE"""),"191750200 - Approved")</f>
        <v>191750200 - Approved</v>
      </c>
      <c r="C858" s="6">
        <f>IFERROR(__xludf.DUMMYFUNCTION("""COMPUTED_VALUE"""),2.0)</f>
        <v>2</v>
      </c>
      <c r="D858" s="6" t="str">
        <f>IFERROR(__xludf.DUMMYFUNCTION("""COMPUTED_VALUE"""),"Q-60061-00")</f>
        <v>Q-60061-00</v>
      </c>
      <c r="E858" s="6" t="str">
        <f>IFERROR(__xludf.DUMMYFUNCTION("""COMPUTED_VALUE"""),"Cat Pilox 109 - Black")</f>
        <v>Cat Pilox 109 - Black</v>
      </c>
      <c r="F858" s="6">
        <f>IFERROR(__xludf.DUMMYFUNCTION("""COMPUTED_VALUE"""),2.0)</f>
        <v>2</v>
      </c>
      <c r="G858" s="6" t="str">
        <f>IFERROR(__xludf.DUMMYFUNCTION("""COMPUTED_VALUE"""),"Can")</f>
        <v>Can</v>
      </c>
      <c r="H858" s="6" t="str">
        <f>IFERROR(__xludf.DUMMYFUNCTION("""COMPUTED_VALUE"""),"IDR")</f>
        <v>IDR</v>
      </c>
      <c r="I858" s="6">
        <f>IFERROR(__xludf.DUMMYFUNCTION("""COMPUTED_VALUE"""),33000.0)</f>
        <v>33000</v>
      </c>
      <c r="J858" s="6">
        <f>IFERROR(__xludf.DUMMYFUNCTION("""COMPUTED_VALUE"""),66000.0)</f>
        <v>66000</v>
      </c>
      <c r="K858" s="57">
        <f>IFERROR(__xludf.DUMMYFUNCTION("""COMPUTED_VALUE"""),43623.0)</f>
        <v>43623</v>
      </c>
      <c r="L858" s="6" t="str">
        <f>IFERROR(__xludf.DUMMYFUNCTION("""COMPUTED_VALUE"""),"FIP Engineering")</f>
        <v>FIP Engineering</v>
      </c>
      <c r="M858" s="6" t="str">
        <f>IFERROR(__xludf.DUMMYFUNCTION("""COMPUTED_VALUE"""),"Irwan Sopian")</f>
        <v>Irwan Sopian</v>
      </c>
      <c r="N858" s="6" t="str">
        <f>IFERROR(__xludf.DUMMYFUNCTION("""COMPUTED_VALUE"""),"FIP Engineering")</f>
        <v>FIP Engineering</v>
      </c>
      <c r="O858" s="6" t="str">
        <f>IFERROR(__xludf.DUMMYFUNCTION("""COMPUTED_VALUE"""),"FIP-DOM-000-11304-OS00001-INA-000000")</f>
        <v>FIP-DOM-000-11304-OS00001-INA-000000</v>
      </c>
      <c r="P858" s="6" t="str">
        <f>IFERROR(__xludf.DUMMYFUNCTION("""COMPUTED_VALUE"""),"PO Closed")</f>
        <v>PO Closed</v>
      </c>
      <c r="Q858" s="6" t="str">
        <f>IFERROR(__xludf.DUMMYFUNCTION("""COMPUTED_VALUE"""),"GL1905306")</f>
        <v>GL1905306</v>
      </c>
      <c r="R858" s="57">
        <f>IFERROR(__xludf.DUMMYFUNCTION("""COMPUTED_VALUE"""),43599.0)</f>
        <v>43599</v>
      </c>
      <c r="S858" s="6" t="str">
        <f>IFERROR(__xludf.DUMMYFUNCTION("""COMPUTED_VALUE"""),"-")</f>
        <v>-</v>
      </c>
      <c r="T858" s="57">
        <f>IFERROR(__xludf.DUMMYFUNCTION("""COMPUTED_VALUE"""),43633.0)</f>
        <v>43633</v>
      </c>
    </row>
    <row r="859">
      <c r="A859" s="6" t="str">
        <f>IFERROR(__xludf.DUMMYFUNCTION("""COMPUTED_VALUE"""),"191750200-3")</f>
        <v>191750200-3</v>
      </c>
      <c r="B859" s="6" t="str">
        <f>IFERROR(__xludf.DUMMYFUNCTION("""COMPUTED_VALUE"""),"191750200 - Approved")</f>
        <v>191750200 - Approved</v>
      </c>
      <c r="C859" s="6">
        <f>IFERROR(__xludf.DUMMYFUNCTION("""COMPUTED_VALUE"""),3.0)</f>
        <v>3</v>
      </c>
      <c r="D859" s="6" t="str">
        <f>IFERROR(__xludf.DUMMYFUNCTION("""COMPUTED_VALUE"""),"P-11967-00")</f>
        <v>P-11967-00</v>
      </c>
      <c r="E859" s="6" t="str">
        <f>IFERROR(__xludf.DUMMYFUNCTION("""COMPUTED_VALUE"""),"Belt dressing GL-1033 GLOBAL")</f>
        <v>Belt dressing GL-1033 GLOBAL</v>
      </c>
      <c r="F859" s="6">
        <f>IFERROR(__xludf.DUMMYFUNCTION("""COMPUTED_VALUE"""),2.0)</f>
        <v>2</v>
      </c>
      <c r="G859" s="6" t="str">
        <f>IFERROR(__xludf.DUMMYFUNCTION("""COMPUTED_VALUE"""),"Pieces")</f>
        <v>Pieces</v>
      </c>
      <c r="H859" s="6" t="str">
        <f>IFERROR(__xludf.DUMMYFUNCTION("""COMPUTED_VALUE"""),"IDR")</f>
        <v>IDR</v>
      </c>
      <c r="I859" s="6">
        <f>IFERROR(__xludf.DUMMYFUNCTION("""COMPUTED_VALUE"""),110000.0)</f>
        <v>110000</v>
      </c>
      <c r="J859" s="6">
        <f>IFERROR(__xludf.DUMMYFUNCTION("""COMPUTED_VALUE"""),220000.0)</f>
        <v>220000</v>
      </c>
      <c r="K859" s="57">
        <f>IFERROR(__xludf.DUMMYFUNCTION("""COMPUTED_VALUE"""),43623.0)</f>
        <v>43623</v>
      </c>
      <c r="L859" s="6" t="str">
        <f>IFERROR(__xludf.DUMMYFUNCTION("""COMPUTED_VALUE"""),"FIP Engineering")</f>
        <v>FIP Engineering</v>
      </c>
      <c r="M859" s="6" t="str">
        <f>IFERROR(__xludf.DUMMYFUNCTION("""COMPUTED_VALUE"""),"Irwan Sopian")</f>
        <v>Irwan Sopian</v>
      </c>
      <c r="N859" s="6" t="str">
        <f>IFERROR(__xludf.DUMMYFUNCTION("""COMPUTED_VALUE"""),"FIP Engineering")</f>
        <v>FIP Engineering</v>
      </c>
      <c r="O859" s="6" t="str">
        <f>IFERROR(__xludf.DUMMYFUNCTION("""COMPUTED_VALUE"""),"FIP-DOM-000-11304-OS00001-INA-000000")</f>
        <v>FIP-DOM-000-11304-OS00001-INA-000000</v>
      </c>
      <c r="P859" s="6" t="str">
        <f>IFERROR(__xludf.DUMMYFUNCTION("""COMPUTED_VALUE"""),"PO Closed")</f>
        <v>PO Closed</v>
      </c>
      <c r="Q859" s="6" t="str">
        <f>IFERROR(__xludf.DUMMYFUNCTION("""COMPUTED_VALUE"""),"GL1905306")</f>
        <v>GL1905306</v>
      </c>
      <c r="R859" s="57">
        <f>IFERROR(__xludf.DUMMYFUNCTION("""COMPUTED_VALUE"""),43599.0)</f>
        <v>43599</v>
      </c>
      <c r="S859" s="6" t="str">
        <f>IFERROR(__xludf.DUMMYFUNCTION("""COMPUTED_VALUE"""),"-")</f>
        <v>-</v>
      </c>
      <c r="T859" s="57">
        <f>IFERROR(__xludf.DUMMYFUNCTION("""COMPUTED_VALUE"""),43633.0)</f>
        <v>43633</v>
      </c>
    </row>
    <row r="860">
      <c r="A860" s="6" t="str">
        <f>IFERROR(__xludf.DUMMYFUNCTION("""COMPUTED_VALUE"""),"191750200-4")</f>
        <v>191750200-4</v>
      </c>
      <c r="B860" s="6" t="str">
        <f>IFERROR(__xludf.DUMMYFUNCTION("""COMPUTED_VALUE"""),"191750200 - Approved")</f>
        <v>191750200 - Approved</v>
      </c>
      <c r="C860" s="6">
        <f>IFERROR(__xludf.DUMMYFUNCTION("""COMPUTED_VALUE"""),4.0)</f>
        <v>4</v>
      </c>
      <c r="D860" s="6" t="str">
        <f>IFERROR(__xludf.DUMMYFUNCTION("""COMPUTED_VALUE"""),"P-10945-00")</f>
        <v>P-10945-00</v>
      </c>
      <c r="E860" s="6" t="str">
        <f>IFERROR(__xludf.DUMMYFUNCTION("""COMPUTED_VALUE"""),"Insulation - Seal Tape onda")</f>
        <v>Insulation - Seal Tape onda</v>
      </c>
      <c r="F860" s="6">
        <f>IFERROR(__xludf.DUMMYFUNCTION("""COMPUTED_VALUE"""),20.0)</f>
        <v>20</v>
      </c>
      <c r="G860" s="6" t="str">
        <f>IFERROR(__xludf.DUMMYFUNCTION("""COMPUTED_VALUE"""),"Pieces")</f>
        <v>Pieces</v>
      </c>
      <c r="H860" s="6" t="str">
        <f>IFERROR(__xludf.DUMMYFUNCTION("""COMPUTED_VALUE"""),"IDR")</f>
        <v>IDR</v>
      </c>
      <c r="I860" s="6">
        <f>IFERROR(__xludf.DUMMYFUNCTION("""COMPUTED_VALUE"""),4000.0)</f>
        <v>4000</v>
      </c>
      <c r="J860" s="6">
        <f>IFERROR(__xludf.DUMMYFUNCTION("""COMPUTED_VALUE"""),80000.0)</f>
        <v>80000</v>
      </c>
      <c r="K860" s="57">
        <f>IFERROR(__xludf.DUMMYFUNCTION("""COMPUTED_VALUE"""),43623.0)</f>
        <v>43623</v>
      </c>
      <c r="L860" s="6" t="str">
        <f>IFERROR(__xludf.DUMMYFUNCTION("""COMPUTED_VALUE"""),"FIP Engineering")</f>
        <v>FIP Engineering</v>
      </c>
      <c r="M860" s="6" t="str">
        <f>IFERROR(__xludf.DUMMYFUNCTION("""COMPUTED_VALUE"""),"Irwan Sopian")</f>
        <v>Irwan Sopian</v>
      </c>
      <c r="N860" s="6" t="str">
        <f>IFERROR(__xludf.DUMMYFUNCTION("""COMPUTED_VALUE"""),"FIP Engineering")</f>
        <v>FIP Engineering</v>
      </c>
      <c r="O860" s="6" t="str">
        <f>IFERROR(__xludf.DUMMYFUNCTION("""COMPUTED_VALUE"""),"FIP-DOM-000-11304-OS00001-INA-000000")</f>
        <v>FIP-DOM-000-11304-OS00001-INA-000000</v>
      </c>
      <c r="P860" s="6" t="str">
        <f>IFERROR(__xludf.DUMMYFUNCTION("""COMPUTED_VALUE"""),"PO Closed")</f>
        <v>PO Closed</v>
      </c>
      <c r="Q860" s="6" t="str">
        <f>IFERROR(__xludf.DUMMYFUNCTION("""COMPUTED_VALUE"""),"GL1905306")</f>
        <v>GL1905306</v>
      </c>
      <c r="R860" s="57">
        <f>IFERROR(__xludf.DUMMYFUNCTION("""COMPUTED_VALUE"""),43599.0)</f>
        <v>43599</v>
      </c>
      <c r="S860" s="6" t="str">
        <f>IFERROR(__xludf.DUMMYFUNCTION("""COMPUTED_VALUE"""),"-")</f>
        <v>-</v>
      </c>
      <c r="T860" s="57">
        <f>IFERROR(__xludf.DUMMYFUNCTION("""COMPUTED_VALUE"""),43633.0)</f>
        <v>43633</v>
      </c>
    </row>
    <row r="861">
      <c r="A861" s="6" t="str">
        <f>IFERROR(__xludf.DUMMYFUNCTION("""COMPUTED_VALUE"""),"191750200-5")</f>
        <v>191750200-5</v>
      </c>
      <c r="B861" s="6" t="str">
        <f>IFERROR(__xludf.DUMMYFUNCTION("""COMPUTED_VALUE"""),"191750200 - Approved")</f>
        <v>191750200 - Approved</v>
      </c>
      <c r="C861" s="6">
        <f>IFERROR(__xludf.DUMMYFUNCTION("""COMPUTED_VALUE"""),5.0)</f>
        <v>5</v>
      </c>
      <c r="D861" s="6" t="str">
        <f>IFERROR(__xludf.DUMMYFUNCTION("""COMPUTED_VALUE"""),"P-51908-00")</f>
        <v>P-51908-00</v>
      </c>
      <c r="E861" s="6" t="str">
        <f>IFERROR(__xludf.DUMMYFUNCTION("""COMPUTED_VALUE"""),"Control Switch Model: S2SR-S4W2A Autonics")</f>
        <v>Control Switch Model: S2SR-S4W2A Autonics</v>
      </c>
      <c r="F861" s="6">
        <f>IFERROR(__xludf.DUMMYFUNCTION("""COMPUTED_VALUE"""),2.0)</f>
        <v>2</v>
      </c>
      <c r="G861" s="6" t="str">
        <f>IFERROR(__xludf.DUMMYFUNCTION("""COMPUTED_VALUE"""),"Pieces")</f>
        <v>Pieces</v>
      </c>
      <c r="H861" s="6" t="str">
        <f>IFERROR(__xludf.DUMMYFUNCTION("""COMPUTED_VALUE"""),"IDR")</f>
        <v>IDR</v>
      </c>
      <c r="I861" s="6">
        <f>IFERROR(__xludf.DUMMYFUNCTION("""COMPUTED_VALUE"""),37000.0)</f>
        <v>37000</v>
      </c>
      <c r="J861" s="6">
        <f>IFERROR(__xludf.DUMMYFUNCTION("""COMPUTED_VALUE"""),74000.0)</f>
        <v>74000</v>
      </c>
      <c r="K861" s="57">
        <f>IFERROR(__xludf.DUMMYFUNCTION("""COMPUTED_VALUE"""),43623.0)</f>
        <v>43623</v>
      </c>
      <c r="L861" s="6" t="str">
        <f>IFERROR(__xludf.DUMMYFUNCTION("""COMPUTED_VALUE"""),"FIP Engineering")</f>
        <v>FIP Engineering</v>
      </c>
      <c r="M861" s="6" t="str">
        <f>IFERROR(__xludf.DUMMYFUNCTION("""COMPUTED_VALUE"""),"Irwan Sopian")</f>
        <v>Irwan Sopian</v>
      </c>
      <c r="N861" s="6" t="str">
        <f>IFERROR(__xludf.DUMMYFUNCTION("""COMPUTED_VALUE"""),"FIP Engineering")</f>
        <v>FIP Engineering</v>
      </c>
      <c r="O861" s="6" t="str">
        <f>IFERROR(__xludf.DUMMYFUNCTION("""COMPUTED_VALUE"""),"FIP-DOM-000-11304-OS00001-INA-000000")</f>
        <v>FIP-DOM-000-11304-OS00001-INA-000000</v>
      </c>
      <c r="P861" s="6" t="str">
        <f>IFERROR(__xludf.DUMMYFUNCTION("""COMPUTED_VALUE"""),"PO Closed")</f>
        <v>PO Closed</v>
      </c>
      <c r="Q861" s="6" t="str">
        <f>IFERROR(__xludf.DUMMYFUNCTION("""COMPUTED_VALUE"""),"GL1905040")</f>
        <v>GL1905040</v>
      </c>
      <c r="R861" s="57">
        <f>IFERROR(__xludf.DUMMYFUNCTION("""COMPUTED_VALUE"""),43599.0)</f>
        <v>43599</v>
      </c>
      <c r="S861" s="6" t="str">
        <f>IFERROR(__xludf.DUMMYFUNCTION("""COMPUTED_VALUE"""),"-")</f>
        <v>-</v>
      </c>
      <c r="T861" s="57">
        <f>IFERROR(__xludf.DUMMYFUNCTION("""COMPUTED_VALUE"""),43633.0)</f>
        <v>43633</v>
      </c>
    </row>
    <row r="862">
      <c r="A862" s="6" t="str">
        <f>IFERROR(__xludf.DUMMYFUNCTION("""COMPUTED_VALUE"""),"191750200-6")</f>
        <v>191750200-6</v>
      </c>
      <c r="B862" s="6" t="str">
        <f>IFERROR(__xludf.DUMMYFUNCTION("""COMPUTED_VALUE"""),"191750200 - Approved")</f>
        <v>191750200 - Approved</v>
      </c>
      <c r="C862" s="6">
        <f>IFERROR(__xludf.DUMMYFUNCTION("""COMPUTED_VALUE"""),6.0)</f>
        <v>6</v>
      </c>
      <c r="D862" s="6" t="str">
        <f>IFERROR(__xludf.DUMMYFUNCTION("""COMPUTED_VALUE"""),"P-51855-00")</f>
        <v>P-51855-00</v>
      </c>
      <c r="E862" s="6" t="str">
        <f>IFERROR(__xludf.DUMMYFUNCTION("""COMPUTED_VALUE"""),"Switch Accessory SA-SB1 Autonics")</f>
        <v>Switch Accessory SA-SB1 Autonics</v>
      </c>
      <c r="F862" s="6">
        <f>IFERROR(__xludf.DUMMYFUNCTION("""COMPUTED_VALUE"""),2.0)</f>
        <v>2</v>
      </c>
      <c r="G862" s="6" t="str">
        <f>IFERROR(__xludf.DUMMYFUNCTION("""COMPUTED_VALUE"""),"Pieces")</f>
        <v>Pieces</v>
      </c>
      <c r="H862" s="6" t="str">
        <f>IFERROR(__xludf.DUMMYFUNCTION("""COMPUTED_VALUE"""),"IDR")</f>
        <v>IDR</v>
      </c>
      <c r="I862" s="6">
        <f>IFERROR(__xludf.DUMMYFUNCTION("""COMPUTED_VALUE"""),89000.0)</f>
        <v>89000</v>
      </c>
      <c r="J862" s="6">
        <f>IFERROR(__xludf.DUMMYFUNCTION("""COMPUTED_VALUE"""),178000.0)</f>
        <v>178000</v>
      </c>
      <c r="K862" s="57">
        <f>IFERROR(__xludf.DUMMYFUNCTION("""COMPUTED_VALUE"""),43623.0)</f>
        <v>43623</v>
      </c>
      <c r="L862" s="6" t="str">
        <f>IFERROR(__xludf.DUMMYFUNCTION("""COMPUTED_VALUE"""),"FIP Engineering")</f>
        <v>FIP Engineering</v>
      </c>
      <c r="M862" s="6" t="str">
        <f>IFERROR(__xludf.DUMMYFUNCTION("""COMPUTED_VALUE"""),"Irwan Sopian")</f>
        <v>Irwan Sopian</v>
      </c>
      <c r="N862" s="6" t="str">
        <f>IFERROR(__xludf.DUMMYFUNCTION("""COMPUTED_VALUE"""),"FIP Engineering")</f>
        <v>FIP Engineering</v>
      </c>
      <c r="O862" s="6" t="str">
        <f>IFERROR(__xludf.DUMMYFUNCTION("""COMPUTED_VALUE"""),"FIP-DOM-000-11304-OS00001-INA-000000")</f>
        <v>FIP-DOM-000-11304-OS00001-INA-000000</v>
      </c>
      <c r="P862" s="6" t="str">
        <f>IFERROR(__xludf.DUMMYFUNCTION("""COMPUTED_VALUE"""),"PO Closed")</f>
        <v>PO Closed</v>
      </c>
      <c r="Q862" s="6" t="str">
        <f>IFERROR(__xludf.DUMMYFUNCTION("""COMPUTED_VALUE"""),"GL1905040")</f>
        <v>GL1905040</v>
      </c>
      <c r="R862" s="57">
        <f>IFERROR(__xludf.DUMMYFUNCTION("""COMPUTED_VALUE"""),43599.0)</f>
        <v>43599</v>
      </c>
      <c r="S862" s="6" t="str">
        <f>IFERROR(__xludf.DUMMYFUNCTION("""COMPUTED_VALUE"""),"-")</f>
        <v>-</v>
      </c>
      <c r="T862" s="57">
        <f>IFERROR(__xludf.DUMMYFUNCTION("""COMPUTED_VALUE"""),43633.0)</f>
        <v>43633</v>
      </c>
    </row>
    <row r="863">
      <c r="A863" s="6" t="str">
        <f>IFERROR(__xludf.DUMMYFUNCTION("""COMPUTED_VALUE"""),"191750200-7")</f>
        <v>191750200-7</v>
      </c>
      <c r="B863" s="6" t="str">
        <f>IFERROR(__xludf.DUMMYFUNCTION("""COMPUTED_VALUE"""),"191750200 - Approved")</f>
        <v>191750200 - Approved</v>
      </c>
      <c r="C863" s="6">
        <f>IFERROR(__xludf.DUMMYFUNCTION("""COMPUTED_VALUE"""),7.0)</f>
        <v>7</v>
      </c>
      <c r="D863" s="6" t="str">
        <f>IFERROR(__xludf.DUMMYFUNCTION("""COMPUTED_VALUE"""),"P-11991-00")</f>
        <v>P-11991-00</v>
      </c>
      <c r="E863" s="6" t="str">
        <f>IFERROR(__xludf.DUMMYFUNCTION("""COMPUTED_VALUE"""),"Cable ties CS 200L")</f>
        <v>Cable ties CS 200L</v>
      </c>
      <c r="F863" s="6">
        <f>IFERROR(__xludf.DUMMYFUNCTION("""COMPUTED_VALUE"""),2.0)</f>
        <v>2</v>
      </c>
      <c r="G863" s="6" t="str">
        <f>IFERROR(__xludf.DUMMYFUNCTION("""COMPUTED_VALUE"""),"Pieces")</f>
        <v>Pieces</v>
      </c>
      <c r="H863" s="6" t="str">
        <f>IFERROR(__xludf.DUMMYFUNCTION("""COMPUTED_VALUE"""),"IDR")</f>
        <v>IDR</v>
      </c>
      <c r="I863" s="6">
        <f>IFERROR(__xludf.DUMMYFUNCTION("""COMPUTED_VALUE"""),25000.0)</f>
        <v>25000</v>
      </c>
      <c r="J863" s="6">
        <f>IFERROR(__xludf.DUMMYFUNCTION("""COMPUTED_VALUE"""),50000.0)</f>
        <v>50000</v>
      </c>
      <c r="K863" s="57">
        <f>IFERROR(__xludf.DUMMYFUNCTION("""COMPUTED_VALUE"""),43623.0)</f>
        <v>43623</v>
      </c>
      <c r="L863" s="6" t="str">
        <f>IFERROR(__xludf.DUMMYFUNCTION("""COMPUTED_VALUE"""),"FIP Engineering")</f>
        <v>FIP Engineering</v>
      </c>
      <c r="M863" s="6" t="str">
        <f>IFERROR(__xludf.DUMMYFUNCTION("""COMPUTED_VALUE"""),"Irwan Sopian")</f>
        <v>Irwan Sopian</v>
      </c>
      <c r="N863" s="6" t="str">
        <f>IFERROR(__xludf.DUMMYFUNCTION("""COMPUTED_VALUE"""),"FIP Engineering")</f>
        <v>FIP Engineering</v>
      </c>
      <c r="O863" s="6" t="str">
        <f>IFERROR(__xludf.DUMMYFUNCTION("""COMPUTED_VALUE"""),"FIP-DOM-000-11304-OS00001-INA-000000")</f>
        <v>FIP-DOM-000-11304-OS00001-INA-000000</v>
      </c>
      <c r="P863" s="6" t="str">
        <f>IFERROR(__xludf.DUMMYFUNCTION("""COMPUTED_VALUE"""),"PO Closed")</f>
        <v>PO Closed</v>
      </c>
      <c r="Q863" s="6" t="str">
        <f>IFERROR(__xludf.DUMMYFUNCTION("""COMPUTED_VALUE"""),"GL1905306")</f>
        <v>GL1905306</v>
      </c>
      <c r="R863" s="57">
        <f>IFERROR(__xludf.DUMMYFUNCTION("""COMPUTED_VALUE"""),43599.0)</f>
        <v>43599</v>
      </c>
      <c r="S863" s="6" t="str">
        <f>IFERROR(__xludf.DUMMYFUNCTION("""COMPUTED_VALUE"""),"-")</f>
        <v>-</v>
      </c>
      <c r="T863" s="57">
        <f>IFERROR(__xludf.DUMMYFUNCTION("""COMPUTED_VALUE"""),43633.0)</f>
        <v>43633</v>
      </c>
    </row>
    <row r="864">
      <c r="A864" s="6" t="str">
        <f>IFERROR(__xludf.DUMMYFUNCTION("""COMPUTED_VALUE"""),"191750199-1")</f>
        <v>191750199-1</v>
      </c>
      <c r="B864" s="6" t="str">
        <f>IFERROR(__xludf.DUMMYFUNCTION("""COMPUTED_VALUE"""),"191750199 - Approved")</f>
        <v>191750199 - Approved</v>
      </c>
      <c r="C864" s="6">
        <f>IFERROR(__xludf.DUMMYFUNCTION("""COMPUTED_VALUE"""),1.0)</f>
        <v>1</v>
      </c>
      <c r="D864" s="6" t="str">
        <f>IFERROR(__xludf.DUMMYFUNCTION("""COMPUTED_VALUE"""),"T-20123-00")</f>
        <v>T-20123-00</v>
      </c>
      <c r="E864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864" s="6">
        <f>IFERROR(__xludf.DUMMYFUNCTION("""COMPUTED_VALUE"""),1.0)</f>
        <v>1</v>
      </c>
      <c r="G864" s="6" t="str">
        <f>IFERROR(__xludf.DUMMYFUNCTION("""COMPUTED_VALUE"""),"Pieces")</f>
        <v>Pieces</v>
      </c>
      <c r="H864" s="6" t="str">
        <f>IFERROR(__xludf.DUMMYFUNCTION("""COMPUTED_VALUE"""),"IDR")</f>
        <v>IDR</v>
      </c>
      <c r="I864" s="6">
        <f>IFERROR(__xludf.DUMMYFUNCTION("""COMPUTED_VALUE"""),1.0364367E7)</f>
        <v>10364367</v>
      </c>
      <c r="J864" s="6">
        <f>IFERROR(__xludf.DUMMYFUNCTION("""COMPUTED_VALUE"""),1.0364367E7)</f>
        <v>10364367</v>
      </c>
      <c r="K864" s="57">
        <f>IFERROR(__xludf.DUMMYFUNCTION("""COMPUTED_VALUE"""),43623.0)</f>
        <v>43623</v>
      </c>
      <c r="L864" s="6" t="str">
        <f>IFERROR(__xludf.DUMMYFUNCTION("""COMPUTED_VALUE"""),"FIP General")</f>
        <v>FIP General</v>
      </c>
      <c r="M864" s="6" t="str">
        <f>IFERROR(__xludf.DUMMYFUNCTION("""COMPUTED_VALUE"""),"Irwan Sopian")</f>
        <v>Irwan Sopian</v>
      </c>
      <c r="N864" s="6" t="str">
        <f>IFERROR(__xludf.DUMMYFUNCTION("""COMPUTED_VALUE"""),"FIP Engineering")</f>
        <v>FIP Engineering</v>
      </c>
      <c r="O864" s="6" t="str">
        <f>IFERROR(__xludf.DUMMYFUNCTION("""COMPUTED_VALUE"""),"FIP-DOM-ENG-51505-0000000-INA-000000")</f>
        <v>FIP-DOM-ENG-51505-0000000-INA-000000</v>
      </c>
      <c r="P864" s="6" t="str">
        <f>IFERROR(__xludf.DUMMYFUNCTION("""COMPUTED_VALUE"""),"PO Closed")</f>
        <v>PO Closed</v>
      </c>
      <c r="Q864" s="6" t="str">
        <f>IFERROR(__xludf.DUMMYFUNCTION("""COMPUTED_VALUE"""),"GL1905037")</f>
        <v>GL1905037</v>
      </c>
      <c r="R864" s="57">
        <f>IFERROR(__xludf.DUMMYFUNCTION("""COMPUTED_VALUE"""),43599.0)</f>
        <v>43599</v>
      </c>
      <c r="S864" s="6" t="str">
        <f>IFERROR(__xludf.DUMMYFUNCTION("""COMPUTED_VALUE"""),"-")</f>
        <v>-</v>
      </c>
      <c r="T864" s="57">
        <f>IFERROR(__xludf.DUMMYFUNCTION("""COMPUTED_VALUE"""),43612.0)</f>
        <v>43612</v>
      </c>
    </row>
    <row r="865">
      <c r="A865" s="6" t="str">
        <f>IFERROR(__xludf.DUMMYFUNCTION("""COMPUTED_VALUE"""),"191750202-1")</f>
        <v>191750202-1</v>
      </c>
      <c r="B865" s="6" t="str">
        <f>IFERROR(__xludf.DUMMYFUNCTION("""COMPUTED_VALUE"""),"191750202 - Approved")</f>
        <v>191750202 - Approved</v>
      </c>
      <c r="C865" s="6">
        <f>IFERROR(__xludf.DUMMYFUNCTION("""COMPUTED_VALUE"""),1.0)</f>
        <v>1</v>
      </c>
      <c r="D865" s="6" t="str">
        <f>IFERROR(__xludf.DUMMYFUNCTION("""COMPUTED_VALUE"""),"P-51912-00")</f>
        <v>P-51912-00</v>
      </c>
      <c r="E865" s="6" t="str">
        <f>IFERROR(__xludf.DUMMYFUNCTION("""COMPUTED_VALUE"""),"Compressor CAJ4492Y")</f>
        <v>Compressor CAJ4492Y</v>
      </c>
      <c r="F865" s="6">
        <f>IFERROR(__xludf.DUMMYFUNCTION("""COMPUTED_VALUE"""),2.0)</f>
        <v>2</v>
      </c>
      <c r="G865" s="6" t="str">
        <f>IFERROR(__xludf.DUMMYFUNCTION("""COMPUTED_VALUE"""),"Unit")</f>
        <v>Unit</v>
      </c>
      <c r="H865" s="6" t="str">
        <f>IFERROR(__xludf.DUMMYFUNCTION("""COMPUTED_VALUE"""),"IDR")</f>
        <v>IDR</v>
      </c>
      <c r="I865" s="6">
        <f>IFERROR(__xludf.DUMMYFUNCTION("""COMPUTED_VALUE"""),1.06875E7)</f>
        <v>10687500</v>
      </c>
      <c r="J865" s="6">
        <f>IFERROR(__xludf.DUMMYFUNCTION("""COMPUTED_VALUE"""),2.1375E7)</f>
        <v>21375000</v>
      </c>
      <c r="K865" s="57">
        <f>IFERROR(__xludf.DUMMYFUNCTION("""COMPUTED_VALUE"""),43626.0)</f>
        <v>43626</v>
      </c>
      <c r="L865" s="6" t="str">
        <f>IFERROR(__xludf.DUMMYFUNCTION("""COMPUTED_VALUE"""),"FIP Engineering")</f>
        <v>FIP Engineering</v>
      </c>
      <c r="M865" s="6" t="str">
        <f>IFERROR(__xludf.DUMMYFUNCTION("""COMPUTED_VALUE"""),"Irwan Sopian")</f>
        <v>Irwan Sopian</v>
      </c>
      <c r="N865" s="6" t="str">
        <f>IFERROR(__xludf.DUMMYFUNCTION("""COMPUTED_VALUE"""),"FIP Engineering")</f>
        <v>FIP Engineering</v>
      </c>
      <c r="O865" s="6" t="str">
        <f>IFERROR(__xludf.DUMMYFUNCTION("""COMPUTED_VALUE"""),"FIP-DOM-000-11304-OS00001-INA-000000")</f>
        <v>FIP-DOM-000-11304-OS00001-INA-000000</v>
      </c>
      <c r="P865" s="6" t="str">
        <f>IFERROR(__xludf.DUMMYFUNCTION("""COMPUTED_VALUE"""),"PO Closed")</f>
        <v>PO Closed</v>
      </c>
      <c r="Q865" s="6" t="str">
        <f>IFERROR(__xludf.DUMMYFUNCTION("""COMPUTED_VALUE"""),"GL1905041")</f>
        <v>GL1905041</v>
      </c>
      <c r="R865" s="57">
        <f>IFERROR(__xludf.DUMMYFUNCTION("""COMPUTED_VALUE"""),43600.0)</f>
        <v>43600</v>
      </c>
      <c r="S865" s="6" t="str">
        <f>IFERROR(__xludf.DUMMYFUNCTION("""COMPUTED_VALUE"""),"-")</f>
        <v>-</v>
      </c>
      <c r="T865" s="57">
        <f>IFERROR(__xludf.DUMMYFUNCTION("""COMPUTED_VALUE"""),43661.0)</f>
        <v>43661</v>
      </c>
    </row>
    <row r="866">
      <c r="A866" s="6" t="str">
        <f>IFERROR(__xludf.DUMMYFUNCTION("""COMPUTED_VALUE"""),"191750202-2")</f>
        <v>191750202-2</v>
      </c>
      <c r="B866" s="6" t="str">
        <f>IFERROR(__xludf.DUMMYFUNCTION("""COMPUTED_VALUE"""),"191750202 - Approved")</f>
        <v>191750202 - Approved</v>
      </c>
      <c r="C866" s="6">
        <f>IFERROR(__xludf.DUMMYFUNCTION("""COMPUTED_VALUE"""),2.0)</f>
        <v>2</v>
      </c>
      <c r="D866" s="6" t="str">
        <f>IFERROR(__xludf.DUMMYFUNCTION("""COMPUTED_VALUE"""),"P-13745-00")</f>
        <v>P-13745-00</v>
      </c>
      <c r="E866" s="6" t="str">
        <f>IFERROR(__xludf.DUMMYFUNCTION("""COMPUTED_VALUE"""),"Filter Core Drier - D48")</f>
        <v>Filter Core Drier - D48</v>
      </c>
      <c r="F866" s="6">
        <f>IFERROR(__xludf.DUMMYFUNCTION("""COMPUTED_VALUE"""),2.0)</f>
        <v>2</v>
      </c>
      <c r="G866" s="6" t="str">
        <f>IFERROR(__xludf.DUMMYFUNCTION("""COMPUTED_VALUE"""),"Pieces")</f>
        <v>Pieces</v>
      </c>
      <c r="H866" s="6" t="str">
        <f>IFERROR(__xludf.DUMMYFUNCTION("""COMPUTED_VALUE"""),"IDR")</f>
        <v>IDR</v>
      </c>
      <c r="I866" s="6">
        <f>IFERROR(__xludf.DUMMYFUNCTION("""COMPUTED_VALUE"""),334875.0)</f>
        <v>334875</v>
      </c>
      <c r="J866" s="6">
        <f>IFERROR(__xludf.DUMMYFUNCTION("""COMPUTED_VALUE"""),669750.0)</f>
        <v>669750</v>
      </c>
      <c r="K866" s="57">
        <f>IFERROR(__xludf.DUMMYFUNCTION("""COMPUTED_VALUE"""),43626.0)</f>
        <v>43626</v>
      </c>
      <c r="L866" s="6" t="str">
        <f>IFERROR(__xludf.DUMMYFUNCTION("""COMPUTED_VALUE"""),"FIP Engineering")</f>
        <v>FIP Engineering</v>
      </c>
      <c r="M866" s="6" t="str">
        <f>IFERROR(__xludf.DUMMYFUNCTION("""COMPUTED_VALUE"""),"Irwan Sopian")</f>
        <v>Irwan Sopian</v>
      </c>
      <c r="N866" s="6" t="str">
        <f>IFERROR(__xludf.DUMMYFUNCTION("""COMPUTED_VALUE"""),"FIP Engineering")</f>
        <v>FIP Engineering</v>
      </c>
      <c r="O866" s="6" t="str">
        <f>IFERROR(__xludf.DUMMYFUNCTION("""COMPUTED_VALUE"""),"FIP-DOM-000-11304-OS00001-INA-000000")</f>
        <v>FIP-DOM-000-11304-OS00001-INA-000000</v>
      </c>
      <c r="P866" s="6" t="str">
        <f>IFERROR(__xludf.DUMMYFUNCTION("""COMPUTED_VALUE"""),"PO Closed")</f>
        <v>PO Closed</v>
      </c>
      <c r="Q866" s="6" t="str">
        <f>IFERROR(__xludf.DUMMYFUNCTION("""COMPUTED_VALUE"""),"GL1905041")</f>
        <v>GL1905041</v>
      </c>
      <c r="R866" s="57">
        <f>IFERROR(__xludf.DUMMYFUNCTION("""COMPUTED_VALUE"""),43600.0)</f>
        <v>43600</v>
      </c>
      <c r="S866" s="6" t="str">
        <f>IFERROR(__xludf.DUMMYFUNCTION("""COMPUTED_VALUE"""),"-")</f>
        <v>-</v>
      </c>
      <c r="T866" s="57">
        <f>IFERROR(__xludf.DUMMYFUNCTION("""COMPUTED_VALUE"""),43661.0)</f>
        <v>43661</v>
      </c>
    </row>
    <row r="867">
      <c r="A867" s="6" t="str">
        <f>IFERROR(__xludf.DUMMYFUNCTION("""COMPUTED_VALUE"""),"191750202-3")</f>
        <v>191750202-3</v>
      </c>
      <c r="B867" s="6" t="str">
        <f>IFERROR(__xludf.DUMMYFUNCTION("""COMPUTED_VALUE"""),"191750202 - Approved")</f>
        <v>191750202 - Approved</v>
      </c>
      <c r="C867" s="6">
        <f>IFERROR(__xludf.DUMMYFUNCTION("""COMPUTED_VALUE"""),3.0)</f>
        <v>3</v>
      </c>
      <c r="D867" s="6" t="str">
        <f>IFERROR(__xludf.DUMMYFUNCTION("""COMPUTED_VALUE"""),"P-15903-00")</f>
        <v>P-15903-00</v>
      </c>
      <c r="E867" s="6" t="str">
        <f>IFERROR(__xludf.DUMMYFUNCTION("""COMPUTED_VALUE"""),"Freon Refrigerant Dupon Suva R507")</f>
        <v>Freon Refrigerant Dupon Suva R507</v>
      </c>
      <c r="F867" s="6">
        <f>IFERROR(__xludf.DUMMYFUNCTION("""COMPUTED_VALUE"""),1.0)</f>
        <v>1</v>
      </c>
      <c r="G867" s="6" t="str">
        <f>IFERROR(__xludf.DUMMYFUNCTION("""COMPUTED_VALUE"""),"Unit")</f>
        <v>Unit</v>
      </c>
      <c r="H867" s="6" t="str">
        <f>IFERROR(__xludf.DUMMYFUNCTION("""COMPUTED_VALUE"""),"IDR")</f>
        <v>IDR</v>
      </c>
      <c r="I867" s="6">
        <f>IFERROR(__xludf.DUMMYFUNCTION("""COMPUTED_VALUE"""),1900000.0)</f>
        <v>1900000</v>
      </c>
      <c r="J867" s="6">
        <f>IFERROR(__xludf.DUMMYFUNCTION("""COMPUTED_VALUE"""),1900000.0)</f>
        <v>1900000</v>
      </c>
      <c r="K867" s="57">
        <f>IFERROR(__xludf.DUMMYFUNCTION("""COMPUTED_VALUE"""),43626.0)</f>
        <v>43626</v>
      </c>
      <c r="L867" s="6" t="str">
        <f>IFERROR(__xludf.DUMMYFUNCTION("""COMPUTED_VALUE"""),"FIP General")</f>
        <v>FIP General</v>
      </c>
      <c r="M867" s="6" t="str">
        <f>IFERROR(__xludf.DUMMYFUNCTION("""COMPUTED_VALUE"""),"Irwan Sopian")</f>
        <v>Irwan Sopian</v>
      </c>
      <c r="N867" s="6" t="str">
        <f>IFERROR(__xludf.DUMMYFUNCTION("""COMPUTED_VALUE"""),"FIP Engineering")</f>
        <v>FIP Engineering</v>
      </c>
      <c r="O867" s="6" t="str">
        <f>IFERROR(__xludf.DUMMYFUNCTION("""COMPUTED_VALUE"""),"FIP-DOM-ENG-51504-0000000-INA-000000")</f>
        <v>FIP-DOM-ENG-51504-0000000-INA-000000</v>
      </c>
      <c r="P867" s="6" t="str">
        <f>IFERROR(__xludf.DUMMYFUNCTION("""COMPUTED_VALUE"""),"PO Closed")</f>
        <v>PO Closed</v>
      </c>
      <c r="Q867" s="6" t="str">
        <f>IFERROR(__xludf.DUMMYFUNCTION("""COMPUTED_VALUE"""),"GL1905041")</f>
        <v>GL1905041</v>
      </c>
      <c r="R867" s="57">
        <f>IFERROR(__xludf.DUMMYFUNCTION("""COMPUTED_VALUE"""),43600.0)</f>
        <v>43600</v>
      </c>
      <c r="S867" s="6" t="str">
        <f>IFERROR(__xludf.DUMMYFUNCTION("""COMPUTED_VALUE"""),"-")</f>
        <v>-</v>
      </c>
      <c r="T867" s="57">
        <f>IFERROR(__xludf.DUMMYFUNCTION("""COMPUTED_VALUE"""),43661.0)</f>
        <v>43661</v>
      </c>
    </row>
    <row r="868">
      <c r="A868" s="6" t="str">
        <f>IFERROR(__xludf.DUMMYFUNCTION("""COMPUTED_VALUE"""),"191750202-4")</f>
        <v>191750202-4</v>
      </c>
      <c r="B868" s="6" t="str">
        <f>IFERROR(__xludf.DUMMYFUNCTION("""COMPUTED_VALUE"""),"191750202 - Approved")</f>
        <v>191750202 - Approved</v>
      </c>
      <c r="C868" s="6">
        <f>IFERROR(__xludf.DUMMYFUNCTION("""COMPUTED_VALUE"""),4.0)</f>
        <v>4</v>
      </c>
      <c r="D868" s="6" t="str">
        <f>IFERROR(__xludf.DUMMYFUNCTION("""COMPUTED_VALUE"""),"S-60002-00")</f>
        <v>S-60002-00</v>
      </c>
      <c r="E868" s="6" t="str">
        <f>IFERROR(__xludf.DUMMYFUNCTION("""COMPUTED_VALUE"""),"Jasa Pasang Compressor")</f>
        <v>Jasa Pasang Compressor</v>
      </c>
      <c r="F868" s="6">
        <f>IFERROR(__xludf.DUMMYFUNCTION("""COMPUTED_VALUE"""),1.0)</f>
        <v>1</v>
      </c>
      <c r="G868" s="6" t="str">
        <f>IFERROR(__xludf.DUMMYFUNCTION("""COMPUTED_VALUE"""),"Lot")</f>
        <v>Lot</v>
      </c>
      <c r="H868" s="6" t="str">
        <f>IFERROR(__xludf.DUMMYFUNCTION("""COMPUTED_VALUE"""),"IDR")</f>
        <v>IDR</v>
      </c>
      <c r="I868" s="6">
        <f>IFERROR(__xludf.DUMMYFUNCTION("""COMPUTED_VALUE"""),3800000.0)</f>
        <v>3800000</v>
      </c>
      <c r="J868" s="6">
        <f>IFERROR(__xludf.DUMMYFUNCTION("""COMPUTED_VALUE"""),3800000.0)</f>
        <v>3800000</v>
      </c>
      <c r="K868" s="57">
        <f>IFERROR(__xludf.DUMMYFUNCTION("""COMPUTED_VALUE"""),43626.0)</f>
        <v>43626</v>
      </c>
      <c r="L868" s="6" t="str">
        <f>IFERROR(__xludf.DUMMYFUNCTION("""COMPUTED_VALUE"""),"FIP General")</f>
        <v>FIP General</v>
      </c>
      <c r="M868" s="6" t="str">
        <f>IFERROR(__xludf.DUMMYFUNCTION("""COMPUTED_VALUE"""),"Irwan Sopian")</f>
        <v>Irwan Sopian</v>
      </c>
      <c r="N868" s="6" t="str">
        <f>IFERROR(__xludf.DUMMYFUNCTION("""COMPUTED_VALUE"""),"FIP Engineering")</f>
        <v>FIP Engineering</v>
      </c>
      <c r="O868" s="6" t="str">
        <f>IFERROR(__xludf.DUMMYFUNCTION("""COMPUTED_VALUE"""),"FIP-DOM-ENG-51508-0000000-INA-000000")</f>
        <v>FIP-DOM-ENG-51508-0000000-INA-000000</v>
      </c>
      <c r="P868" s="6" t="str">
        <f>IFERROR(__xludf.DUMMYFUNCTION("""COMPUTED_VALUE"""),"PO Closed")</f>
        <v>PO Closed</v>
      </c>
      <c r="Q868" s="6" t="str">
        <f>IFERROR(__xludf.DUMMYFUNCTION("""COMPUTED_VALUE"""),"GL1905041")</f>
        <v>GL1905041</v>
      </c>
      <c r="R868" s="57">
        <f>IFERROR(__xludf.DUMMYFUNCTION("""COMPUTED_VALUE"""),43600.0)</f>
        <v>43600</v>
      </c>
      <c r="S868" s="6" t="str">
        <f>IFERROR(__xludf.DUMMYFUNCTION("""COMPUTED_VALUE"""),"-")</f>
        <v>-</v>
      </c>
      <c r="T868" s="57">
        <f>IFERROR(__xludf.DUMMYFUNCTION("""COMPUTED_VALUE"""),43661.0)</f>
        <v>43661</v>
      </c>
    </row>
    <row r="869">
      <c r="A869" s="6" t="str">
        <f>IFERROR(__xludf.DUMMYFUNCTION("""COMPUTED_VALUE"""),"191750209-1")</f>
        <v>191750209-1</v>
      </c>
      <c r="B869" s="6" t="str">
        <f>IFERROR(__xludf.DUMMYFUNCTION("""COMPUTED_VALUE"""),"191750209 - Approved")</f>
        <v>191750209 - Approved</v>
      </c>
      <c r="C869" s="6">
        <f>IFERROR(__xludf.DUMMYFUNCTION("""COMPUTED_VALUE"""),1.0)</f>
        <v>1</v>
      </c>
      <c r="D869" s="6" t="str">
        <f>IFERROR(__xludf.DUMMYFUNCTION("""COMPUTED_VALUE"""),"O-52225-00")</f>
        <v>O-52225-00</v>
      </c>
      <c r="E869" s="6" t="str">
        <f>IFERROR(__xludf.DUMMYFUNCTION("""COMPUTED_VALUE"""),"Tunnel ST1L - Fuse Keramik 25A")</f>
        <v>Tunnel ST1L - Fuse Keramik 25A</v>
      </c>
      <c r="F869" s="6">
        <f>IFERROR(__xludf.DUMMYFUNCTION("""COMPUTED_VALUE"""),3.0)</f>
        <v>3</v>
      </c>
      <c r="G869" s="6" t="str">
        <f>IFERROR(__xludf.DUMMYFUNCTION("""COMPUTED_VALUE"""),"Pieces")</f>
        <v>Pieces</v>
      </c>
      <c r="H869" s="6" t="str">
        <f>IFERROR(__xludf.DUMMYFUNCTION("""COMPUTED_VALUE"""),"IDR")</f>
        <v>IDR</v>
      </c>
      <c r="I869" s="6">
        <f>IFERROR(__xludf.DUMMYFUNCTION("""COMPUTED_VALUE"""),650000.0)</f>
        <v>650000</v>
      </c>
      <c r="J869" s="6">
        <f>IFERROR(__xludf.DUMMYFUNCTION("""COMPUTED_VALUE"""),1950000.0)</f>
        <v>1950000</v>
      </c>
      <c r="K869" s="57">
        <f>IFERROR(__xludf.DUMMYFUNCTION("""COMPUTED_VALUE"""),43637.0)</f>
        <v>43637</v>
      </c>
      <c r="L869" s="6" t="str">
        <f>IFERROR(__xludf.DUMMYFUNCTION("""COMPUTED_VALUE"""),"FIP Engineering")</f>
        <v>FIP Engineering</v>
      </c>
      <c r="M869" s="6" t="str">
        <f>IFERROR(__xludf.DUMMYFUNCTION("""COMPUTED_VALUE"""),"Irwan Sopian")</f>
        <v>Irwan Sopian</v>
      </c>
      <c r="N869" s="6" t="str">
        <f>IFERROR(__xludf.DUMMYFUNCTION("""COMPUTED_VALUE"""),"FIP Engineering")</f>
        <v>FIP Engineering</v>
      </c>
      <c r="O869" s="6" t="str">
        <f>IFERROR(__xludf.DUMMYFUNCTION("""COMPUTED_VALUE"""),"FIP-DOM-000-11304-OS00001-INA-000000")</f>
        <v>FIP-DOM-000-11304-OS00001-INA-000000</v>
      </c>
      <c r="P869" s="6" t="str">
        <f>IFERROR(__xludf.DUMMYFUNCTION("""COMPUTED_VALUE"""),"PO Closed")</f>
        <v>PO Closed</v>
      </c>
      <c r="Q869" s="6" t="str">
        <f>IFERROR(__xludf.DUMMYFUNCTION("""COMPUTED_VALUE"""),"GL1905306")</f>
        <v>GL1905306</v>
      </c>
      <c r="R869" s="57">
        <f>IFERROR(__xludf.DUMMYFUNCTION("""COMPUTED_VALUE"""),43601.0)</f>
        <v>43601</v>
      </c>
      <c r="S869" s="6" t="str">
        <f>IFERROR(__xludf.DUMMYFUNCTION("""COMPUTED_VALUE"""),"-")</f>
        <v>-</v>
      </c>
      <c r="T869" s="57">
        <f>IFERROR(__xludf.DUMMYFUNCTION("""COMPUTED_VALUE"""),43633.0)</f>
        <v>43633</v>
      </c>
    </row>
    <row r="870">
      <c r="A870" s="6" t="str">
        <f>IFERROR(__xludf.DUMMYFUNCTION("""COMPUTED_VALUE"""),"191750207-1")</f>
        <v>191750207-1</v>
      </c>
      <c r="B870" s="6" t="str">
        <f>IFERROR(__xludf.DUMMYFUNCTION("""COMPUTED_VALUE"""),"191750207 - Approved")</f>
        <v>191750207 - Approved</v>
      </c>
      <c r="C870" s="6">
        <f>IFERROR(__xludf.DUMMYFUNCTION("""COMPUTED_VALUE"""),1.0)</f>
        <v>1</v>
      </c>
      <c r="D870" s="6" t="str">
        <f>IFERROR(__xludf.DUMMYFUNCTION("""COMPUTED_VALUE"""),"P-14928-00")</f>
        <v>P-14928-00</v>
      </c>
      <c r="E870" s="6" t="str">
        <f>IFERROR(__xludf.DUMMYFUNCTION("""COMPUTED_VALUE"""),"Watermur 2"" SS 304; ; ;")</f>
        <v>Watermur 2" SS 304; ; ;</v>
      </c>
      <c r="F870" s="6">
        <f>IFERROR(__xludf.DUMMYFUNCTION("""COMPUTED_VALUE"""),2.0)</f>
        <v>2</v>
      </c>
      <c r="G870" s="6" t="str">
        <f>IFERROR(__xludf.DUMMYFUNCTION("""COMPUTED_VALUE"""),"Unit")</f>
        <v>Unit</v>
      </c>
      <c r="H870" s="6" t="str">
        <f>IFERROR(__xludf.DUMMYFUNCTION("""COMPUTED_VALUE"""),"IDR")</f>
        <v>IDR</v>
      </c>
      <c r="I870" s="6">
        <f>IFERROR(__xludf.DUMMYFUNCTION("""COMPUTED_VALUE"""),200000.0)</f>
        <v>200000</v>
      </c>
      <c r="J870" s="6">
        <f>IFERROR(__xludf.DUMMYFUNCTION("""COMPUTED_VALUE"""),400000.0)</f>
        <v>400000</v>
      </c>
      <c r="K870" s="57">
        <f>IFERROR(__xludf.DUMMYFUNCTION("""COMPUTED_VALUE"""),43637.0)</f>
        <v>43637</v>
      </c>
      <c r="L870" s="6" t="str">
        <f>IFERROR(__xludf.DUMMYFUNCTION("""COMPUTED_VALUE"""),"FIP Engineering")</f>
        <v>FIP Engineering</v>
      </c>
      <c r="M870" s="6" t="str">
        <f>IFERROR(__xludf.DUMMYFUNCTION("""COMPUTED_VALUE"""),"Irwan Sopian")</f>
        <v>Irwan Sopian</v>
      </c>
      <c r="N870" s="6" t="str">
        <f>IFERROR(__xludf.DUMMYFUNCTION("""COMPUTED_VALUE"""),"FIP Engineering")</f>
        <v>FIP Engineering</v>
      </c>
      <c r="O870" s="6" t="str">
        <f>IFERROR(__xludf.DUMMYFUNCTION("""COMPUTED_VALUE"""),"FIP-DOM-000-11304-OS00001-INA-000000")</f>
        <v>FIP-DOM-000-11304-OS00001-INA-000000</v>
      </c>
      <c r="P870" s="6" t="str">
        <f>IFERROR(__xludf.DUMMYFUNCTION("""COMPUTED_VALUE"""),"PO Closed")</f>
        <v>PO Closed</v>
      </c>
      <c r="Q870" s="6" t="str">
        <f>IFERROR(__xludf.DUMMYFUNCTION("""COMPUTED_VALUE"""),"GL1905306")</f>
        <v>GL1905306</v>
      </c>
      <c r="R870" s="57">
        <f>IFERROR(__xludf.DUMMYFUNCTION("""COMPUTED_VALUE"""),43601.0)</f>
        <v>43601</v>
      </c>
      <c r="S870" s="6" t="str">
        <f>IFERROR(__xludf.DUMMYFUNCTION("""COMPUTED_VALUE"""),"-")</f>
        <v>-</v>
      </c>
      <c r="T870" s="57">
        <f>IFERROR(__xludf.DUMMYFUNCTION("""COMPUTED_VALUE"""),43633.0)</f>
        <v>43633</v>
      </c>
    </row>
    <row r="871">
      <c r="A871" s="6" t="str">
        <f>IFERROR(__xludf.DUMMYFUNCTION("""COMPUTED_VALUE"""),"191750207-2")</f>
        <v>191750207-2</v>
      </c>
      <c r="B871" s="6" t="str">
        <f>IFERROR(__xludf.DUMMYFUNCTION("""COMPUTED_VALUE"""),"191750207 - Approved")</f>
        <v>191750207 - Approved</v>
      </c>
      <c r="C871" s="6">
        <f>IFERROR(__xludf.DUMMYFUNCTION("""COMPUTED_VALUE"""),2.0)</f>
        <v>2</v>
      </c>
      <c r="D871" s="6" t="str">
        <f>IFERROR(__xludf.DUMMYFUNCTION("""COMPUTED_VALUE"""),"P-13383-00")</f>
        <v>P-13383-00</v>
      </c>
      <c r="E871" s="6" t="str">
        <f>IFERROR(__xludf.DUMMYFUNCTION("""COMPUTED_VALUE"""),"Silicone Sealant High Temp Red")</f>
        <v>Silicone Sealant High Temp Red</v>
      </c>
      <c r="F871" s="6">
        <f>IFERROR(__xludf.DUMMYFUNCTION("""COMPUTED_VALUE"""),5.0)</f>
        <v>5</v>
      </c>
      <c r="G871" s="6" t="str">
        <f>IFERROR(__xludf.DUMMYFUNCTION("""COMPUTED_VALUE"""),"Pieces")</f>
        <v>Pieces</v>
      </c>
      <c r="H871" s="6" t="str">
        <f>IFERROR(__xludf.DUMMYFUNCTION("""COMPUTED_VALUE"""),"IDR")</f>
        <v>IDR</v>
      </c>
      <c r="I871" s="6">
        <f>IFERROR(__xludf.DUMMYFUNCTION("""COMPUTED_VALUE"""),29000.0)</f>
        <v>29000</v>
      </c>
      <c r="J871" s="6">
        <f>IFERROR(__xludf.DUMMYFUNCTION("""COMPUTED_VALUE"""),145000.0)</f>
        <v>145000</v>
      </c>
      <c r="K871" s="57">
        <f>IFERROR(__xludf.DUMMYFUNCTION("""COMPUTED_VALUE"""),43637.0)</f>
        <v>43637</v>
      </c>
      <c r="L871" s="6" t="str">
        <f>IFERROR(__xludf.DUMMYFUNCTION("""COMPUTED_VALUE"""),"FIP Engineering")</f>
        <v>FIP Engineering</v>
      </c>
      <c r="M871" s="6" t="str">
        <f>IFERROR(__xludf.DUMMYFUNCTION("""COMPUTED_VALUE"""),"Irwan Sopian")</f>
        <v>Irwan Sopian</v>
      </c>
      <c r="N871" s="6" t="str">
        <f>IFERROR(__xludf.DUMMYFUNCTION("""COMPUTED_VALUE"""),"FIP Engineering")</f>
        <v>FIP Engineering</v>
      </c>
      <c r="O871" s="6" t="str">
        <f>IFERROR(__xludf.DUMMYFUNCTION("""COMPUTED_VALUE"""),"FIP-DOM-000-11304-OS00001-INA-000000")</f>
        <v>FIP-DOM-000-11304-OS00001-INA-000000</v>
      </c>
      <c r="P871" s="6" t="str">
        <f>IFERROR(__xludf.DUMMYFUNCTION("""COMPUTED_VALUE"""),"PO Closed")</f>
        <v>PO Closed</v>
      </c>
      <c r="Q871" s="6" t="str">
        <f>IFERROR(__xludf.DUMMYFUNCTION("""COMPUTED_VALUE"""),"GL1905306")</f>
        <v>GL1905306</v>
      </c>
      <c r="R871" s="57">
        <f>IFERROR(__xludf.DUMMYFUNCTION("""COMPUTED_VALUE"""),43601.0)</f>
        <v>43601</v>
      </c>
      <c r="S871" s="6" t="str">
        <f>IFERROR(__xludf.DUMMYFUNCTION("""COMPUTED_VALUE"""),"-")</f>
        <v>-</v>
      </c>
      <c r="T871" s="57">
        <f>IFERROR(__xludf.DUMMYFUNCTION("""COMPUTED_VALUE"""),43633.0)</f>
        <v>43633</v>
      </c>
    </row>
    <row r="872">
      <c r="A872" s="6" t="str">
        <f>IFERROR(__xludf.DUMMYFUNCTION("""COMPUTED_VALUE"""),"191750207-3")</f>
        <v>191750207-3</v>
      </c>
      <c r="B872" s="6" t="str">
        <f>IFERROR(__xludf.DUMMYFUNCTION("""COMPUTED_VALUE"""),"191750207 - Approved")</f>
        <v>191750207 - Approved</v>
      </c>
      <c r="C872" s="6">
        <f>IFERROR(__xludf.DUMMYFUNCTION("""COMPUTED_VALUE"""),3.0)</f>
        <v>3</v>
      </c>
      <c r="D872" s="6" t="str">
        <f>IFERROR(__xludf.DUMMYFUNCTION("""COMPUTED_VALUE"""),"O-54014-00")</f>
        <v>O-54014-00</v>
      </c>
      <c r="E872" s="6" t="str">
        <f>IFERROR(__xludf.DUMMYFUNCTION("""COMPUTED_VALUE"""),"STEKER 1 PHASE, BROCO")</f>
        <v>STEKER 1 PHASE, BROCO</v>
      </c>
      <c r="F872" s="6">
        <f>IFERROR(__xludf.DUMMYFUNCTION("""COMPUTED_VALUE"""),5.0)</f>
        <v>5</v>
      </c>
      <c r="G872" s="6" t="str">
        <f>IFERROR(__xludf.DUMMYFUNCTION("""COMPUTED_VALUE"""),"Pieces")</f>
        <v>Pieces</v>
      </c>
      <c r="H872" s="6" t="str">
        <f>IFERROR(__xludf.DUMMYFUNCTION("""COMPUTED_VALUE"""),"IDR")</f>
        <v>IDR</v>
      </c>
      <c r="I872" s="6">
        <f>IFERROR(__xludf.DUMMYFUNCTION("""COMPUTED_VALUE"""),12000.0)</f>
        <v>12000</v>
      </c>
      <c r="J872" s="6">
        <f>IFERROR(__xludf.DUMMYFUNCTION("""COMPUTED_VALUE"""),60000.0)</f>
        <v>60000</v>
      </c>
      <c r="K872" s="57">
        <f>IFERROR(__xludf.DUMMYFUNCTION("""COMPUTED_VALUE"""),43637.0)</f>
        <v>43637</v>
      </c>
      <c r="L872" s="6" t="str">
        <f>IFERROR(__xludf.DUMMYFUNCTION("""COMPUTED_VALUE"""),"FIP Engineering")</f>
        <v>FIP Engineering</v>
      </c>
      <c r="M872" s="6" t="str">
        <f>IFERROR(__xludf.DUMMYFUNCTION("""COMPUTED_VALUE"""),"Irwan Sopian")</f>
        <v>Irwan Sopian</v>
      </c>
      <c r="N872" s="6" t="str">
        <f>IFERROR(__xludf.DUMMYFUNCTION("""COMPUTED_VALUE"""),"FIP Engineering")</f>
        <v>FIP Engineering</v>
      </c>
      <c r="O872" s="6" t="str">
        <f>IFERROR(__xludf.DUMMYFUNCTION("""COMPUTED_VALUE"""),"FIP-DOM-000-11304-OS00001-INA-000000")</f>
        <v>FIP-DOM-000-11304-OS00001-INA-000000</v>
      </c>
      <c r="P872" s="6" t="str">
        <f>IFERROR(__xludf.DUMMYFUNCTION("""COMPUTED_VALUE"""),"PO Closed")</f>
        <v>PO Closed</v>
      </c>
      <c r="Q872" s="6" t="str">
        <f>IFERROR(__xludf.DUMMYFUNCTION("""COMPUTED_VALUE"""),"GL1905306")</f>
        <v>GL1905306</v>
      </c>
      <c r="R872" s="57">
        <f>IFERROR(__xludf.DUMMYFUNCTION("""COMPUTED_VALUE"""),43601.0)</f>
        <v>43601</v>
      </c>
      <c r="S872" s="6" t="str">
        <f>IFERROR(__xludf.DUMMYFUNCTION("""COMPUTED_VALUE"""),"-")</f>
        <v>-</v>
      </c>
      <c r="T872" s="57">
        <f>IFERROR(__xludf.DUMMYFUNCTION("""COMPUTED_VALUE"""),43633.0)</f>
        <v>43633</v>
      </c>
    </row>
    <row r="873">
      <c r="A873" s="6" t="str">
        <f>IFERROR(__xludf.DUMMYFUNCTION("""COMPUTED_VALUE"""),"191750207-4")</f>
        <v>191750207-4</v>
      </c>
      <c r="B873" s="6" t="str">
        <f>IFERROR(__xludf.DUMMYFUNCTION("""COMPUTED_VALUE"""),"191750207 - Approved")</f>
        <v>191750207 - Approved</v>
      </c>
      <c r="C873" s="6">
        <f>IFERROR(__xludf.DUMMYFUNCTION("""COMPUTED_VALUE"""),4.0)</f>
        <v>4</v>
      </c>
      <c r="D873" s="6" t="str">
        <f>IFERROR(__xludf.DUMMYFUNCTION("""COMPUTED_VALUE"""),"P-51559-00")</f>
        <v>P-51559-00</v>
      </c>
      <c r="E873" s="6" t="str">
        <f>IFERROR(__xludf.DUMMYFUNCTION("""COMPUTED_VALUE"""),"Lampu T5 14watt Putih Phillips")</f>
        <v>Lampu T5 14watt Putih Phillips</v>
      </c>
      <c r="F873" s="6">
        <f>IFERROR(__xludf.DUMMYFUNCTION("""COMPUTED_VALUE"""),40.0)</f>
        <v>40</v>
      </c>
      <c r="G873" s="6" t="str">
        <f>IFERROR(__xludf.DUMMYFUNCTION("""COMPUTED_VALUE"""),"Pack")</f>
        <v>Pack</v>
      </c>
      <c r="H873" s="6" t="str">
        <f>IFERROR(__xludf.DUMMYFUNCTION("""COMPUTED_VALUE"""),"IDR")</f>
        <v>IDR</v>
      </c>
      <c r="I873" s="6">
        <f>IFERROR(__xludf.DUMMYFUNCTION("""COMPUTED_VALUE"""),29700.0)</f>
        <v>29700</v>
      </c>
      <c r="J873" s="6">
        <f>IFERROR(__xludf.DUMMYFUNCTION("""COMPUTED_VALUE"""),1188000.0)</f>
        <v>1188000</v>
      </c>
      <c r="K873" s="57">
        <f>IFERROR(__xludf.DUMMYFUNCTION("""COMPUTED_VALUE"""),43637.0)</f>
        <v>43637</v>
      </c>
      <c r="L873" s="6" t="str">
        <f>IFERROR(__xludf.DUMMYFUNCTION("""COMPUTED_VALUE"""),"FIP Engineering")</f>
        <v>FIP Engineering</v>
      </c>
      <c r="M873" s="6" t="str">
        <f>IFERROR(__xludf.DUMMYFUNCTION("""COMPUTED_VALUE"""),"Irwan Sopian")</f>
        <v>Irwan Sopian</v>
      </c>
      <c r="N873" s="6" t="str">
        <f>IFERROR(__xludf.DUMMYFUNCTION("""COMPUTED_VALUE"""),"FIP Engineering")</f>
        <v>FIP Engineering</v>
      </c>
      <c r="O873" s="6" t="str">
        <f>IFERROR(__xludf.DUMMYFUNCTION("""COMPUTED_VALUE"""),"FIP-DOM-000-11304-OS00001-INA-000000")</f>
        <v>FIP-DOM-000-11304-OS00001-INA-000000</v>
      </c>
      <c r="P873" s="6" t="str">
        <f>IFERROR(__xludf.DUMMYFUNCTION("""COMPUTED_VALUE"""),"PO Closed")</f>
        <v>PO Closed</v>
      </c>
      <c r="Q873" s="6" t="str">
        <f>IFERROR(__xludf.DUMMYFUNCTION("""COMPUTED_VALUE"""),"GL1905306")</f>
        <v>GL1905306</v>
      </c>
      <c r="R873" s="57">
        <f>IFERROR(__xludf.DUMMYFUNCTION("""COMPUTED_VALUE"""),43601.0)</f>
        <v>43601</v>
      </c>
      <c r="S873" s="6" t="str">
        <f>IFERROR(__xludf.DUMMYFUNCTION("""COMPUTED_VALUE"""),"-")</f>
        <v>-</v>
      </c>
      <c r="T873" s="57">
        <f>IFERROR(__xludf.DUMMYFUNCTION("""COMPUTED_VALUE"""),43633.0)</f>
        <v>43633</v>
      </c>
    </row>
    <row r="874">
      <c r="A874" s="6" t="str">
        <f>IFERROR(__xludf.DUMMYFUNCTION("""COMPUTED_VALUE"""),"191750207-5")</f>
        <v>191750207-5</v>
      </c>
      <c r="B874" s="6" t="str">
        <f>IFERROR(__xludf.DUMMYFUNCTION("""COMPUTED_VALUE"""),"191750207 - Approved")</f>
        <v>191750207 - Approved</v>
      </c>
      <c r="C874" s="6">
        <f>IFERROR(__xludf.DUMMYFUNCTION("""COMPUTED_VALUE"""),5.0)</f>
        <v>5</v>
      </c>
      <c r="D874" s="6" t="str">
        <f>IFERROR(__xludf.DUMMYFUNCTION("""COMPUTED_VALUE"""),"P-51560-00")</f>
        <v>P-51560-00</v>
      </c>
      <c r="E874" s="6" t="str">
        <f>IFERROR(__xludf.DUMMYFUNCTION("""COMPUTED_VALUE"""),"Lampu T5 28watt Putih Phillips")</f>
        <v>Lampu T5 28watt Putih Phillips</v>
      </c>
      <c r="F874" s="6">
        <f>IFERROR(__xludf.DUMMYFUNCTION("""COMPUTED_VALUE"""),30.0)</f>
        <v>30</v>
      </c>
      <c r="G874" s="6" t="str">
        <f>IFERROR(__xludf.DUMMYFUNCTION("""COMPUTED_VALUE"""),"Pieces")</f>
        <v>Pieces</v>
      </c>
      <c r="H874" s="6" t="str">
        <f>IFERROR(__xludf.DUMMYFUNCTION("""COMPUTED_VALUE"""),"IDR")</f>
        <v>IDR</v>
      </c>
      <c r="I874" s="6">
        <f>IFERROR(__xludf.DUMMYFUNCTION("""COMPUTED_VALUE"""),36000.0)</f>
        <v>36000</v>
      </c>
      <c r="J874" s="6">
        <f>IFERROR(__xludf.DUMMYFUNCTION("""COMPUTED_VALUE"""),1080000.0)</f>
        <v>1080000</v>
      </c>
      <c r="K874" s="57">
        <f>IFERROR(__xludf.DUMMYFUNCTION("""COMPUTED_VALUE"""),43637.0)</f>
        <v>43637</v>
      </c>
      <c r="L874" s="6" t="str">
        <f>IFERROR(__xludf.DUMMYFUNCTION("""COMPUTED_VALUE"""),"FIP Engineering")</f>
        <v>FIP Engineering</v>
      </c>
      <c r="M874" s="6" t="str">
        <f>IFERROR(__xludf.DUMMYFUNCTION("""COMPUTED_VALUE"""),"Irwan Sopian")</f>
        <v>Irwan Sopian</v>
      </c>
      <c r="N874" s="6" t="str">
        <f>IFERROR(__xludf.DUMMYFUNCTION("""COMPUTED_VALUE"""),"FIP Engineering")</f>
        <v>FIP Engineering</v>
      </c>
      <c r="O874" s="6" t="str">
        <f>IFERROR(__xludf.DUMMYFUNCTION("""COMPUTED_VALUE"""),"FIP-DOM-000-11304-OS00001-INA-000000")</f>
        <v>FIP-DOM-000-11304-OS00001-INA-000000</v>
      </c>
      <c r="P874" s="6" t="str">
        <f>IFERROR(__xludf.DUMMYFUNCTION("""COMPUTED_VALUE"""),"PO Closed")</f>
        <v>PO Closed</v>
      </c>
      <c r="Q874" s="6" t="str">
        <f>IFERROR(__xludf.DUMMYFUNCTION("""COMPUTED_VALUE"""),"GL1905306")</f>
        <v>GL1905306</v>
      </c>
      <c r="R874" s="57">
        <f>IFERROR(__xludf.DUMMYFUNCTION("""COMPUTED_VALUE"""),43601.0)</f>
        <v>43601</v>
      </c>
      <c r="S874" s="6" t="str">
        <f>IFERROR(__xludf.DUMMYFUNCTION("""COMPUTED_VALUE"""),"-")</f>
        <v>-</v>
      </c>
      <c r="T874" s="57">
        <f>IFERROR(__xludf.DUMMYFUNCTION("""COMPUTED_VALUE"""),43633.0)</f>
        <v>43633</v>
      </c>
    </row>
    <row r="875">
      <c r="A875" s="6" t="str">
        <f>IFERROR(__xludf.DUMMYFUNCTION("""COMPUTED_VALUE"""),"191750210-1")</f>
        <v>191750210-1</v>
      </c>
      <c r="B875" s="6" t="str">
        <f>IFERROR(__xludf.DUMMYFUNCTION("""COMPUTED_VALUE"""),"191750210 - Approved")</f>
        <v>191750210 - Approved</v>
      </c>
      <c r="C875" s="6">
        <f>IFERROR(__xludf.DUMMYFUNCTION("""COMPUTED_VALUE"""),1.0)</f>
        <v>1</v>
      </c>
      <c r="D875" s="6" t="str">
        <f>IFERROR(__xludf.DUMMYFUNCTION("""COMPUTED_VALUE"""),"P-51918-00")</f>
        <v>P-51918-00</v>
      </c>
      <c r="E875" s="6" t="str">
        <f>IFERROR(__xludf.DUMMYFUNCTION("""COMPUTED_VALUE"""),"Inverter VLT Drive Danfoss-Type FC-302 7.5 Kw, 3x380-480 V 50/60Hz; ; ;")</f>
        <v>Inverter VLT Drive Danfoss-Type FC-302 7.5 Kw, 3x380-480 V 50/60Hz; ; ;</v>
      </c>
      <c r="F875" s="6">
        <f>IFERROR(__xludf.DUMMYFUNCTION("""COMPUTED_VALUE"""),1.0)</f>
        <v>1</v>
      </c>
      <c r="G875" s="6" t="str">
        <f>IFERROR(__xludf.DUMMYFUNCTION("""COMPUTED_VALUE"""),"Unit")</f>
        <v>Unit</v>
      </c>
      <c r="H875" s="6" t="str">
        <f>IFERROR(__xludf.DUMMYFUNCTION("""COMPUTED_VALUE"""),"IDR")</f>
        <v>IDR</v>
      </c>
      <c r="I875" s="6">
        <f>IFERROR(__xludf.DUMMYFUNCTION("""COMPUTED_VALUE"""),1.7E7)</f>
        <v>17000000</v>
      </c>
      <c r="J875" s="6">
        <f>IFERROR(__xludf.DUMMYFUNCTION("""COMPUTED_VALUE"""),1.7E7)</f>
        <v>17000000</v>
      </c>
      <c r="K875" s="57">
        <f>IFERROR(__xludf.DUMMYFUNCTION("""COMPUTED_VALUE"""),43637.0)</f>
        <v>43637</v>
      </c>
      <c r="L875" s="6" t="str">
        <f>IFERROR(__xludf.DUMMYFUNCTION("""COMPUTED_VALUE"""),"FIP Engineering")</f>
        <v>FIP Engineering</v>
      </c>
      <c r="M875" s="6" t="str">
        <f>IFERROR(__xludf.DUMMYFUNCTION("""COMPUTED_VALUE"""),"Irwan Sopian")</f>
        <v>Irwan Sopian</v>
      </c>
      <c r="N875" s="6" t="str">
        <f>IFERROR(__xludf.DUMMYFUNCTION("""COMPUTED_VALUE"""),"FIP Engineering")</f>
        <v>FIP Engineering</v>
      </c>
      <c r="O875" s="6" t="str">
        <f>IFERROR(__xludf.DUMMYFUNCTION("""COMPUTED_VALUE"""),"FIP-DOM-000-11304-OS00001-INA-000000")</f>
        <v>FIP-DOM-000-11304-OS00001-INA-000000</v>
      </c>
      <c r="P875" s="6" t="str">
        <f>IFERROR(__xludf.DUMMYFUNCTION("""COMPUTED_VALUE"""),"PO Closed")</f>
        <v>PO Closed</v>
      </c>
      <c r="Q875" s="6" t="str">
        <f>IFERROR(__xludf.DUMMYFUNCTION("""COMPUTED_VALUE"""),"GL1905039")</f>
        <v>GL1905039</v>
      </c>
      <c r="R875" s="57">
        <f>IFERROR(__xludf.DUMMYFUNCTION("""COMPUTED_VALUE"""),43602.0)</f>
        <v>43602</v>
      </c>
      <c r="S875" s="6" t="str">
        <f>IFERROR(__xludf.DUMMYFUNCTION("""COMPUTED_VALUE"""),"-")</f>
        <v>-</v>
      </c>
      <c r="T875" s="57">
        <f>IFERROR(__xludf.DUMMYFUNCTION("""COMPUTED_VALUE"""),43630.0)</f>
        <v>43630</v>
      </c>
    </row>
    <row r="876">
      <c r="A876" s="6" t="str">
        <f>IFERROR(__xludf.DUMMYFUNCTION("""COMPUTED_VALUE"""),"191750212-1")</f>
        <v>191750212-1</v>
      </c>
      <c r="B876" s="6" t="str">
        <f>IFERROR(__xludf.DUMMYFUNCTION("""COMPUTED_VALUE"""),"191750212 - Approved")</f>
        <v>191750212 - Approved</v>
      </c>
      <c r="C876" s="6">
        <f>IFERROR(__xludf.DUMMYFUNCTION("""COMPUTED_VALUE"""),1.0)</f>
        <v>1</v>
      </c>
      <c r="D876" s="6" t="str">
        <f>IFERROR(__xludf.DUMMYFUNCTION("""COMPUTED_VALUE"""),"O-52199-00")</f>
        <v>O-52199-00</v>
      </c>
      <c r="E876" s="6" t="str">
        <f>IFERROR(__xludf.DUMMYFUNCTION("""COMPUTED_VALUE"""),"AC Semiconductor Controller RSC-AAM60 Carlo Gavazzi")</f>
        <v>AC Semiconductor Controller RSC-AAM60 Carlo Gavazzi</v>
      </c>
      <c r="F876" s="6">
        <f>IFERROR(__xludf.DUMMYFUNCTION("""COMPUTED_VALUE"""),2.0)</f>
        <v>2</v>
      </c>
      <c r="G876" s="6" t="str">
        <f>IFERROR(__xludf.DUMMYFUNCTION("""COMPUTED_VALUE"""),"Pieces")</f>
        <v>Pieces</v>
      </c>
      <c r="H876" s="6" t="str">
        <f>IFERROR(__xludf.DUMMYFUNCTION("""COMPUTED_VALUE"""),"IDR")</f>
        <v>IDR</v>
      </c>
      <c r="I876" s="6">
        <f>IFERROR(__xludf.DUMMYFUNCTION("""COMPUTED_VALUE"""),2500000.0)</f>
        <v>2500000</v>
      </c>
      <c r="J876" s="6">
        <f>IFERROR(__xludf.DUMMYFUNCTION("""COMPUTED_VALUE"""),5000000.0)</f>
        <v>5000000</v>
      </c>
      <c r="K876" s="57">
        <f>IFERROR(__xludf.DUMMYFUNCTION("""COMPUTED_VALUE"""),43644.0)</f>
        <v>43644</v>
      </c>
      <c r="L876" s="6" t="str">
        <f>IFERROR(__xludf.DUMMYFUNCTION("""COMPUTED_VALUE"""),"FIP Engineering")</f>
        <v>FIP Engineering</v>
      </c>
      <c r="M876" s="6" t="str">
        <f>IFERROR(__xludf.DUMMYFUNCTION("""COMPUTED_VALUE"""),"Irwan Sopian")</f>
        <v>Irwan Sopian</v>
      </c>
      <c r="N876" s="6" t="str">
        <f>IFERROR(__xludf.DUMMYFUNCTION("""COMPUTED_VALUE"""),"FIP Engineering")</f>
        <v>FIP Engineering</v>
      </c>
      <c r="O876" s="6" t="str">
        <f>IFERROR(__xludf.DUMMYFUNCTION("""COMPUTED_VALUE"""),"FIP-DOM-000-11304-OS00001-INA-000000")</f>
        <v>FIP-DOM-000-11304-OS00001-INA-000000</v>
      </c>
      <c r="P876" s="6" t="str">
        <f>IFERROR(__xludf.DUMMYFUNCTION("""COMPUTED_VALUE"""),"PO Closed")</f>
        <v>PO Closed</v>
      </c>
      <c r="Q876" s="6" t="str">
        <f>IFERROR(__xludf.DUMMYFUNCTION("""COMPUTED_VALUE"""),"GL1907005")</f>
        <v>GL1907005</v>
      </c>
      <c r="R876" s="57">
        <f>IFERROR(__xludf.DUMMYFUNCTION("""COMPUTED_VALUE"""),43605.0)</f>
        <v>43605</v>
      </c>
      <c r="S876" s="6" t="str">
        <f>IFERROR(__xludf.DUMMYFUNCTION("""COMPUTED_VALUE"""),"-")</f>
        <v>-</v>
      </c>
      <c r="T876" s="57">
        <f>IFERROR(__xludf.DUMMYFUNCTION("""COMPUTED_VALUE"""),43685.0)</f>
        <v>43685</v>
      </c>
    </row>
    <row r="877">
      <c r="A877" s="6" t="str">
        <f>IFERROR(__xludf.DUMMYFUNCTION("""COMPUTED_VALUE"""),"191750213-1")</f>
        <v>191750213-1</v>
      </c>
      <c r="B877" s="6" t="str">
        <f>IFERROR(__xludf.DUMMYFUNCTION("""COMPUTED_VALUE"""),"191750213 - Approved")</f>
        <v>191750213 - Approved</v>
      </c>
      <c r="C877" s="6">
        <f>IFERROR(__xludf.DUMMYFUNCTION("""COMPUTED_VALUE"""),1.0)</f>
        <v>1</v>
      </c>
      <c r="D877" s="6" t="str">
        <f>IFERROR(__xludf.DUMMYFUNCTION("""COMPUTED_VALUE"""),"O-50994-00")</f>
        <v>O-50994-00</v>
      </c>
      <c r="E877" s="6" t="str">
        <f>IFERROR(__xludf.DUMMYFUNCTION("""COMPUTED_VALUE"""),"Battery kering 12V 7,2AH; ; ;")</f>
        <v>Battery kering 12V 7,2AH; ; ;</v>
      </c>
      <c r="F877" s="6">
        <f>IFERROR(__xludf.DUMMYFUNCTION("""COMPUTED_VALUE"""),2.0)</f>
        <v>2</v>
      </c>
      <c r="G877" s="6" t="str">
        <f>IFERROR(__xludf.DUMMYFUNCTION("""COMPUTED_VALUE"""),"Pieces")</f>
        <v>Pieces</v>
      </c>
      <c r="H877" s="6" t="str">
        <f>IFERROR(__xludf.DUMMYFUNCTION("""COMPUTED_VALUE"""),"IDR")</f>
        <v>IDR</v>
      </c>
      <c r="I877" s="6">
        <f>IFERROR(__xludf.DUMMYFUNCTION("""COMPUTED_VALUE"""),390000.0)</f>
        <v>390000</v>
      </c>
      <c r="J877" s="6">
        <f>IFERROR(__xludf.DUMMYFUNCTION("""COMPUTED_VALUE"""),780000.0)</f>
        <v>780000</v>
      </c>
      <c r="K877" s="57">
        <f>IFERROR(__xludf.DUMMYFUNCTION("""COMPUTED_VALUE"""),43637.0)</f>
        <v>43637</v>
      </c>
      <c r="L877" s="6" t="str">
        <f>IFERROR(__xludf.DUMMYFUNCTION("""COMPUTED_VALUE"""),"FIP Engineering")</f>
        <v>FIP Engineering</v>
      </c>
      <c r="M877" s="6" t="str">
        <f>IFERROR(__xludf.DUMMYFUNCTION("""COMPUTED_VALUE"""),"Irwan Sopian")</f>
        <v>Irwan Sopian</v>
      </c>
      <c r="N877" s="6" t="str">
        <f>IFERROR(__xludf.DUMMYFUNCTION("""COMPUTED_VALUE"""),"FIP Engineering")</f>
        <v>FIP Engineering</v>
      </c>
      <c r="O877" s="6" t="str">
        <f>IFERROR(__xludf.DUMMYFUNCTION("""COMPUTED_VALUE"""),"FIP-DOM-000-11304-OS00001-INA-000000")</f>
        <v>FIP-DOM-000-11304-OS00001-INA-000000</v>
      </c>
      <c r="P877" s="6" t="str">
        <f>IFERROR(__xludf.DUMMYFUNCTION("""COMPUTED_VALUE"""),"PO Closed")</f>
        <v>PO Closed</v>
      </c>
      <c r="Q877" s="6" t="str">
        <f>IFERROR(__xludf.DUMMYFUNCTION("""COMPUTED_VALUE"""),"GL1905306")</f>
        <v>GL1905306</v>
      </c>
      <c r="R877" s="57">
        <f>IFERROR(__xludf.DUMMYFUNCTION("""COMPUTED_VALUE"""),43606.0)</f>
        <v>43606</v>
      </c>
      <c r="S877" s="6" t="str">
        <f>IFERROR(__xludf.DUMMYFUNCTION("""COMPUTED_VALUE"""),"-")</f>
        <v>-</v>
      </c>
      <c r="T877" s="57">
        <f>IFERROR(__xludf.DUMMYFUNCTION("""COMPUTED_VALUE"""),43633.0)</f>
        <v>43633</v>
      </c>
    </row>
    <row r="878">
      <c r="A878" s="6" t="str">
        <f>IFERROR(__xludf.DUMMYFUNCTION("""COMPUTED_VALUE"""),"191750213-2")</f>
        <v>191750213-2</v>
      </c>
      <c r="B878" s="6" t="str">
        <f>IFERROR(__xludf.DUMMYFUNCTION("""COMPUTED_VALUE"""),"191750213 - Approved")</f>
        <v>191750213 - Approved</v>
      </c>
      <c r="C878" s="6">
        <f>IFERROR(__xludf.DUMMYFUNCTION("""COMPUTED_VALUE"""),2.0)</f>
        <v>2</v>
      </c>
      <c r="D878" s="6" t="str">
        <f>IFERROR(__xludf.DUMMYFUNCTION("""COMPUTED_VALUE"""),"P-14980-00")</f>
        <v>P-14980-00</v>
      </c>
      <c r="E878" s="6" t="str">
        <f>IFERROR(__xludf.DUMMYFUNCTION("""COMPUTED_VALUE"""),"Seal Ferrule Teflon 3/4 inch")</f>
        <v>Seal Ferrule Teflon 3/4 inch</v>
      </c>
      <c r="F878" s="6">
        <f>IFERROR(__xludf.DUMMYFUNCTION("""COMPUTED_VALUE"""),10.0)</f>
        <v>10</v>
      </c>
      <c r="G878" s="6" t="str">
        <f>IFERROR(__xludf.DUMMYFUNCTION("""COMPUTED_VALUE"""),"Pieces")</f>
        <v>Pieces</v>
      </c>
      <c r="H878" s="6" t="str">
        <f>IFERROR(__xludf.DUMMYFUNCTION("""COMPUTED_VALUE"""),"IDR")</f>
        <v>IDR</v>
      </c>
      <c r="I878" s="6">
        <f>IFERROR(__xludf.DUMMYFUNCTION("""COMPUTED_VALUE"""),53000.0)</f>
        <v>53000</v>
      </c>
      <c r="J878" s="6">
        <f>IFERROR(__xludf.DUMMYFUNCTION("""COMPUTED_VALUE"""),530000.0)</f>
        <v>530000</v>
      </c>
      <c r="K878" s="57">
        <f>IFERROR(__xludf.DUMMYFUNCTION("""COMPUTED_VALUE"""),43637.0)</f>
        <v>43637</v>
      </c>
      <c r="L878" s="6" t="str">
        <f>IFERROR(__xludf.DUMMYFUNCTION("""COMPUTED_VALUE"""),"FIP Engineering")</f>
        <v>FIP Engineering</v>
      </c>
      <c r="M878" s="6" t="str">
        <f>IFERROR(__xludf.DUMMYFUNCTION("""COMPUTED_VALUE"""),"Irwan Sopian")</f>
        <v>Irwan Sopian</v>
      </c>
      <c r="N878" s="6" t="str">
        <f>IFERROR(__xludf.DUMMYFUNCTION("""COMPUTED_VALUE"""),"FIP Engineering")</f>
        <v>FIP Engineering</v>
      </c>
      <c r="O878" s="6" t="str">
        <f>IFERROR(__xludf.DUMMYFUNCTION("""COMPUTED_VALUE"""),"FIP-DOM-000-11304-OS00001-INA-000000")</f>
        <v>FIP-DOM-000-11304-OS00001-INA-000000</v>
      </c>
      <c r="P878" s="6" t="str">
        <f>IFERROR(__xludf.DUMMYFUNCTION("""COMPUTED_VALUE"""),"PO Closed")</f>
        <v>PO Closed</v>
      </c>
      <c r="Q878" s="6" t="str">
        <f>IFERROR(__xludf.DUMMYFUNCTION("""COMPUTED_VALUE"""),"GL1905306")</f>
        <v>GL1905306</v>
      </c>
      <c r="R878" s="57">
        <f>IFERROR(__xludf.DUMMYFUNCTION("""COMPUTED_VALUE"""),43606.0)</f>
        <v>43606</v>
      </c>
      <c r="S878" s="6" t="str">
        <f>IFERROR(__xludf.DUMMYFUNCTION("""COMPUTED_VALUE"""),"-")</f>
        <v>-</v>
      </c>
      <c r="T878" s="57">
        <f>IFERROR(__xludf.DUMMYFUNCTION("""COMPUTED_VALUE"""),43633.0)</f>
        <v>43633</v>
      </c>
    </row>
    <row r="879">
      <c r="A879" s="6" t="str">
        <f>IFERROR(__xludf.DUMMYFUNCTION("""COMPUTED_VALUE"""),"191750139-2")</f>
        <v>191750139-2</v>
      </c>
      <c r="B879" s="6" t="str">
        <f>IFERROR(__xludf.DUMMYFUNCTION("""COMPUTED_VALUE"""),"191750139 - Approved")</f>
        <v>191750139 - Approved</v>
      </c>
      <c r="C879" s="6">
        <f>IFERROR(__xludf.DUMMYFUNCTION("""COMPUTED_VALUE"""),2.0)</f>
        <v>2</v>
      </c>
      <c r="D879" s="6" t="str">
        <f>IFERROR(__xludf.DUMMYFUNCTION("""COMPUTED_VALUE"""),"P-14424-00")</f>
        <v>P-14424-00</v>
      </c>
      <c r="E879" s="6" t="str">
        <f>IFERROR(__xludf.DUMMYFUNCTION("""COMPUTED_VALUE"""),"Garam Kutreat RGN-9800F 25Kg/zak")</f>
        <v>Garam Kutreat RGN-9800F 25Kg/zak</v>
      </c>
      <c r="F879" s="6">
        <f>IFERROR(__xludf.DUMMYFUNCTION("""COMPUTED_VALUE"""),2.0)</f>
        <v>2</v>
      </c>
      <c r="G879" s="6" t="str">
        <f>IFERROR(__xludf.DUMMYFUNCTION("""COMPUTED_VALUE"""),"Kilogram")</f>
        <v>Kilogram</v>
      </c>
      <c r="H879" s="6" t="str">
        <f>IFERROR(__xludf.DUMMYFUNCTION("""COMPUTED_VALUE"""),"IDR")</f>
        <v>IDR</v>
      </c>
      <c r="I879" s="6">
        <f>IFERROR(__xludf.DUMMYFUNCTION("""COMPUTED_VALUE"""),237500.0)</f>
        <v>237500</v>
      </c>
      <c r="J879" s="6">
        <f>IFERROR(__xludf.DUMMYFUNCTION("""COMPUTED_VALUE"""),475000.0)</f>
        <v>475000</v>
      </c>
      <c r="K879" s="57">
        <f>IFERROR(__xludf.DUMMYFUNCTION("""COMPUTED_VALUE"""),43647.0)</f>
        <v>43647</v>
      </c>
      <c r="L879" s="6" t="str">
        <f>IFERROR(__xludf.DUMMYFUNCTION("""COMPUTED_VALUE"""),"FIP Engineering")</f>
        <v>FIP Engineering</v>
      </c>
      <c r="M879" s="6" t="str">
        <f>IFERROR(__xludf.DUMMYFUNCTION("""COMPUTED_VALUE"""),"Irwan Sopian")</f>
        <v>Irwan Sopian</v>
      </c>
      <c r="N879" s="6" t="str">
        <f>IFERROR(__xludf.DUMMYFUNCTION("""COMPUTED_VALUE"""),"FIP Engineering")</f>
        <v>FIP Engineering</v>
      </c>
      <c r="O879" s="6" t="str">
        <f>IFERROR(__xludf.DUMMYFUNCTION("""COMPUTED_VALUE"""),"FIP-DOM-000-11304-OS00001-INA-000000")</f>
        <v>FIP-DOM-000-11304-OS00001-INA-000000</v>
      </c>
      <c r="P879" s="6" t="str">
        <f>IFERROR(__xludf.DUMMYFUNCTION("""COMPUTED_VALUE"""),"PO Closed")</f>
        <v>PO Closed</v>
      </c>
      <c r="Q879" s="6" t="str">
        <f>IFERROR(__xludf.DUMMYFUNCTION("""COMPUTED_VALUE"""),"GL1907001")</f>
        <v>GL1907001</v>
      </c>
      <c r="R879" s="57">
        <f>IFERROR(__xludf.DUMMYFUNCTION("""COMPUTED_VALUE"""),43606.0)</f>
        <v>43606</v>
      </c>
      <c r="S879" s="6" t="str">
        <f>IFERROR(__xludf.DUMMYFUNCTION("""COMPUTED_VALUE"""),"-")</f>
        <v>-</v>
      </c>
      <c r="T879" s="57">
        <f>IFERROR(__xludf.DUMMYFUNCTION("""COMPUTED_VALUE"""),43649.0)</f>
        <v>43649</v>
      </c>
    </row>
    <row r="880">
      <c r="A880" s="6" t="str">
        <f>IFERROR(__xludf.DUMMYFUNCTION("""COMPUTED_VALUE"""),"191750139-3")</f>
        <v>191750139-3</v>
      </c>
      <c r="B880" s="6" t="str">
        <f>IFERROR(__xludf.DUMMYFUNCTION("""COMPUTED_VALUE"""),"191750139 - Approved")</f>
        <v>191750139 - Approved</v>
      </c>
      <c r="C880" s="6">
        <f>IFERROR(__xludf.DUMMYFUNCTION("""COMPUTED_VALUE"""),3.0)</f>
        <v>3</v>
      </c>
      <c r="D880" s="6" t="str">
        <f>IFERROR(__xludf.DUMMYFUNCTION("""COMPUTED_VALUE"""),"P-14424-00")</f>
        <v>P-14424-00</v>
      </c>
      <c r="E880" s="6" t="str">
        <f>IFERROR(__xludf.DUMMYFUNCTION("""COMPUTED_VALUE"""),"Garam Kutreat RGN-9800F 25Kg/zak")</f>
        <v>Garam Kutreat RGN-9800F 25Kg/zak</v>
      </c>
      <c r="F880" s="6">
        <f>IFERROR(__xludf.DUMMYFUNCTION("""COMPUTED_VALUE"""),2.0)</f>
        <v>2</v>
      </c>
      <c r="G880" s="6" t="str">
        <f>IFERROR(__xludf.DUMMYFUNCTION("""COMPUTED_VALUE"""),"Kilogram")</f>
        <v>Kilogram</v>
      </c>
      <c r="H880" s="6" t="str">
        <f>IFERROR(__xludf.DUMMYFUNCTION("""COMPUTED_VALUE"""),"IDR")</f>
        <v>IDR</v>
      </c>
      <c r="I880" s="6">
        <f>IFERROR(__xludf.DUMMYFUNCTION("""COMPUTED_VALUE"""),237500.0)</f>
        <v>237500</v>
      </c>
      <c r="J880" s="6">
        <f>IFERROR(__xludf.DUMMYFUNCTION("""COMPUTED_VALUE"""),475000.0)</f>
        <v>475000</v>
      </c>
      <c r="K880" s="57">
        <f>IFERROR(__xludf.DUMMYFUNCTION("""COMPUTED_VALUE"""),43678.0)</f>
        <v>43678</v>
      </c>
      <c r="L880" s="6" t="str">
        <f>IFERROR(__xludf.DUMMYFUNCTION("""COMPUTED_VALUE"""),"FIP Engineering")</f>
        <v>FIP Engineering</v>
      </c>
      <c r="M880" s="6" t="str">
        <f>IFERROR(__xludf.DUMMYFUNCTION("""COMPUTED_VALUE"""),"Irwan Sopian")</f>
        <v>Irwan Sopian</v>
      </c>
      <c r="N880" s="6" t="str">
        <f>IFERROR(__xludf.DUMMYFUNCTION("""COMPUTED_VALUE"""),"FIP Engineering")</f>
        <v>FIP Engineering</v>
      </c>
      <c r="O880" s="6" t="str">
        <f>IFERROR(__xludf.DUMMYFUNCTION("""COMPUTED_VALUE"""),"FIP-DOM-000-11304-OS00001-INA-000000")</f>
        <v>FIP-DOM-000-11304-OS00001-INA-000000</v>
      </c>
      <c r="P880" s="6" t="str">
        <f>IFERROR(__xludf.DUMMYFUNCTION("""COMPUTED_VALUE"""),"PO Closed")</f>
        <v>PO Closed</v>
      </c>
      <c r="Q880" s="6" t="str">
        <f>IFERROR(__xludf.DUMMYFUNCTION("""COMPUTED_VALUE"""),"GL1907068")</f>
        <v>GL1907068</v>
      </c>
      <c r="R880" s="57">
        <f>IFERROR(__xludf.DUMMYFUNCTION("""COMPUTED_VALUE"""),43606.0)</f>
        <v>43606</v>
      </c>
      <c r="S880" s="6" t="str">
        <f>IFERROR(__xludf.DUMMYFUNCTION("""COMPUTED_VALUE"""),"-")</f>
        <v>-</v>
      </c>
      <c r="T880" s="57">
        <f>IFERROR(__xludf.DUMMYFUNCTION("""COMPUTED_VALUE"""),43678.0)</f>
        <v>43678</v>
      </c>
    </row>
    <row r="881">
      <c r="A881" s="6" t="str">
        <f>IFERROR(__xludf.DUMMYFUNCTION("""COMPUTED_VALUE"""),"191750139-4")</f>
        <v>191750139-4</v>
      </c>
      <c r="B881" s="6" t="str">
        <f>IFERROR(__xludf.DUMMYFUNCTION("""COMPUTED_VALUE"""),"191750139 - Approved")</f>
        <v>191750139 - Approved</v>
      </c>
      <c r="C881" s="6">
        <f>IFERROR(__xludf.DUMMYFUNCTION("""COMPUTED_VALUE"""),4.0)</f>
        <v>4</v>
      </c>
      <c r="D881" s="6" t="str">
        <f>IFERROR(__xludf.DUMMYFUNCTION("""COMPUTED_VALUE"""),"P-14424-00")</f>
        <v>P-14424-00</v>
      </c>
      <c r="E881" s="6" t="str">
        <f>IFERROR(__xludf.DUMMYFUNCTION("""COMPUTED_VALUE"""),"Garam Kutreat RGN-9800F 25Kg/zak")</f>
        <v>Garam Kutreat RGN-9800F 25Kg/zak</v>
      </c>
      <c r="F881" s="6">
        <f>IFERROR(__xludf.DUMMYFUNCTION("""COMPUTED_VALUE"""),2.0)</f>
        <v>2</v>
      </c>
      <c r="G881" s="6" t="str">
        <f>IFERROR(__xludf.DUMMYFUNCTION("""COMPUTED_VALUE"""),"Kilogram")</f>
        <v>Kilogram</v>
      </c>
      <c r="H881" s="6" t="str">
        <f>IFERROR(__xludf.DUMMYFUNCTION("""COMPUTED_VALUE"""),"IDR")</f>
        <v>IDR</v>
      </c>
      <c r="I881" s="6">
        <f>IFERROR(__xludf.DUMMYFUNCTION("""COMPUTED_VALUE"""),237500.0)</f>
        <v>237500</v>
      </c>
      <c r="J881" s="6">
        <f>IFERROR(__xludf.DUMMYFUNCTION("""COMPUTED_VALUE"""),475000.0)</f>
        <v>475000</v>
      </c>
      <c r="K881" s="57">
        <f>IFERROR(__xludf.DUMMYFUNCTION("""COMPUTED_VALUE"""),43710.0)</f>
        <v>43710</v>
      </c>
      <c r="L881" s="6" t="str">
        <f>IFERROR(__xludf.DUMMYFUNCTION("""COMPUTED_VALUE"""),"FIP Engineering")</f>
        <v>FIP Engineering</v>
      </c>
      <c r="M881" s="6" t="str">
        <f>IFERROR(__xludf.DUMMYFUNCTION("""COMPUTED_VALUE"""),"Irwan Sopian")</f>
        <v>Irwan Sopian</v>
      </c>
      <c r="N881" s="6" t="str">
        <f>IFERROR(__xludf.DUMMYFUNCTION("""COMPUTED_VALUE"""),"FIP Engineering")</f>
        <v>FIP Engineering</v>
      </c>
      <c r="O881" s="6" t="str">
        <f>IFERROR(__xludf.DUMMYFUNCTION("""COMPUTED_VALUE"""),"FIP-DOM-000-11304-OS00001-INA-000000")</f>
        <v>FIP-DOM-000-11304-OS00001-INA-000000</v>
      </c>
      <c r="P881" s="6" t="str">
        <f>IFERROR(__xludf.DUMMYFUNCTION("""COMPUTED_VALUE"""),"PO Closed")</f>
        <v>PO Closed</v>
      </c>
      <c r="Q881" s="6" t="str">
        <f>IFERROR(__xludf.DUMMYFUNCTION("""COMPUTED_VALUE"""),"GL1909020")</f>
        <v>GL1909020</v>
      </c>
      <c r="R881" s="57">
        <f>IFERROR(__xludf.DUMMYFUNCTION("""COMPUTED_VALUE"""),43606.0)</f>
        <v>43606</v>
      </c>
      <c r="S881" s="6" t="str">
        <f>IFERROR(__xludf.DUMMYFUNCTION("""COMPUTED_VALUE"""),"-")</f>
        <v>-</v>
      </c>
      <c r="T881" s="6" t="str">
        <f>IFERROR(__xludf.DUMMYFUNCTION("""COMPUTED_VALUE"""),"-")</f>
        <v>-</v>
      </c>
    </row>
    <row r="882">
      <c r="A882" s="6" t="str">
        <f>IFERROR(__xludf.DUMMYFUNCTION("""COMPUTED_VALUE"""),"191750139-5")</f>
        <v>191750139-5</v>
      </c>
      <c r="B882" s="6" t="str">
        <f>IFERROR(__xludf.DUMMYFUNCTION("""COMPUTED_VALUE"""),"191750139 - Approved")</f>
        <v>191750139 - Approved</v>
      </c>
      <c r="C882" s="6">
        <f>IFERROR(__xludf.DUMMYFUNCTION("""COMPUTED_VALUE"""),5.0)</f>
        <v>5</v>
      </c>
      <c r="D882" s="6" t="str">
        <f>IFERROR(__xludf.DUMMYFUNCTION("""COMPUTED_VALUE"""),"P-14424-00")</f>
        <v>P-14424-00</v>
      </c>
      <c r="E882" s="6" t="str">
        <f>IFERROR(__xludf.DUMMYFUNCTION("""COMPUTED_VALUE"""),"Garam Kutreat RGN-9800F 25Kg/zak")</f>
        <v>Garam Kutreat RGN-9800F 25Kg/zak</v>
      </c>
      <c r="F882" s="6">
        <f>IFERROR(__xludf.DUMMYFUNCTION("""COMPUTED_VALUE"""),2.0)</f>
        <v>2</v>
      </c>
      <c r="G882" s="6" t="str">
        <f>IFERROR(__xludf.DUMMYFUNCTION("""COMPUTED_VALUE"""),"Kilogram")</f>
        <v>Kilogram</v>
      </c>
      <c r="H882" s="6" t="str">
        <f>IFERROR(__xludf.DUMMYFUNCTION("""COMPUTED_VALUE"""),"IDR")</f>
        <v>IDR</v>
      </c>
      <c r="I882" s="6">
        <f>IFERROR(__xludf.DUMMYFUNCTION("""COMPUTED_VALUE"""),237500.0)</f>
        <v>237500</v>
      </c>
      <c r="J882" s="6">
        <f>IFERROR(__xludf.DUMMYFUNCTION("""COMPUTED_VALUE"""),475000.0)</f>
        <v>475000</v>
      </c>
      <c r="K882" s="57">
        <f>IFERROR(__xludf.DUMMYFUNCTION("""COMPUTED_VALUE"""),43739.0)</f>
        <v>43739</v>
      </c>
      <c r="L882" s="6" t="str">
        <f>IFERROR(__xludf.DUMMYFUNCTION("""COMPUTED_VALUE"""),"FIP Engineering")</f>
        <v>FIP Engineering</v>
      </c>
      <c r="M882" s="6" t="str">
        <f>IFERROR(__xludf.DUMMYFUNCTION("""COMPUTED_VALUE"""),"Irwan Sopian")</f>
        <v>Irwan Sopian</v>
      </c>
      <c r="N882" s="6" t="str">
        <f>IFERROR(__xludf.DUMMYFUNCTION("""COMPUTED_VALUE"""),"FIP Engineering")</f>
        <v>FIP Engineering</v>
      </c>
      <c r="O882" s="6" t="str">
        <f>IFERROR(__xludf.DUMMYFUNCTION("""COMPUTED_VALUE"""),"FIP-DOM-000-11304-OS00001-INA-000000")</f>
        <v>FIP-DOM-000-11304-OS00001-INA-000000</v>
      </c>
      <c r="P882" s="6" t="str">
        <f>IFERROR(__xludf.DUMMYFUNCTION("""COMPUTED_VALUE"""),"PO Closed")</f>
        <v>PO Closed</v>
      </c>
      <c r="Q882" s="6" t="str">
        <f>IFERROR(__xludf.DUMMYFUNCTION("""COMPUTED_VALUE"""),"GL1909020")</f>
        <v>GL1909020</v>
      </c>
      <c r="R882" s="57">
        <f>IFERROR(__xludf.DUMMYFUNCTION("""COMPUTED_VALUE"""),43606.0)</f>
        <v>43606</v>
      </c>
      <c r="S882" s="6" t="str">
        <f>IFERROR(__xludf.DUMMYFUNCTION("""COMPUTED_VALUE"""),"-")</f>
        <v>-</v>
      </c>
      <c r="T882" s="6" t="str">
        <f>IFERROR(__xludf.DUMMYFUNCTION("""COMPUTED_VALUE"""),"-")</f>
        <v>-</v>
      </c>
    </row>
    <row r="883">
      <c r="A883" s="6" t="str">
        <f>IFERROR(__xludf.DUMMYFUNCTION("""COMPUTED_VALUE"""),"191750139-6")</f>
        <v>191750139-6</v>
      </c>
      <c r="B883" s="6" t="str">
        <f>IFERROR(__xludf.DUMMYFUNCTION("""COMPUTED_VALUE"""),"191750139 - Approved")</f>
        <v>191750139 - Approved</v>
      </c>
      <c r="C883" s="6">
        <f>IFERROR(__xludf.DUMMYFUNCTION("""COMPUTED_VALUE"""),6.0)</f>
        <v>6</v>
      </c>
      <c r="D883" s="6" t="str">
        <f>IFERROR(__xludf.DUMMYFUNCTION("""COMPUTED_VALUE"""),"P-14424-00")</f>
        <v>P-14424-00</v>
      </c>
      <c r="E883" s="6" t="str">
        <f>IFERROR(__xludf.DUMMYFUNCTION("""COMPUTED_VALUE"""),"Garam Kutreat RGN-9800F 25Kg/zak")</f>
        <v>Garam Kutreat RGN-9800F 25Kg/zak</v>
      </c>
      <c r="F883" s="6">
        <f>IFERROR(__xludf.DUMMYFUNCTION("""COMPUTED_VALUE"""),2.0)</f>
        <v>2</v>
      </c>
      <c r="G883" s="6" t="str">
        <f>IFERROR(__xludf.DUMMYFUNCTION("""COMPUTED_VALUE"""),"Kilogram")</f>
        <v>Kilogram</v>
      </c>
      <c r="H883" s="6" t="str">
        <f>IFERROR(__xludf.DUMMYFUNCTION("""COMPUTED_VALUE"""),"IDR")</f>
        <v>IDR</v>
      </c>
      <c r="I883" s="6">
        <f>IFERROR(__xludf.DUMMYFUNCTION("""COMPUTED_VALUE"""),237500.0)</f>
        <v>237500</v>
      </c>
      <c r="J883" s="6">
        <f>IFERROR(__xludf.DUMMYFUNCTION("""COMPUTED_VALUE"""),475000.0)</f>
        <v>475000</v>
      </c>
      <c r="K883" s="57">
        <f>IFERROR(__xludf.DUMMYFUNCTION("""COMPUTED_VALUE"""),43770.0)</f>
        <v>43770</v>
      </c>
      <c r="L883" s="6" t="str">
        <f>IFERROR(__xludf.DUMMYFUNCTION("""COMPUTED_VALUE"""),"FIP Engineering")</f>
        <v>FIP Engineering</v>
      </c>
      <c r="M883" s="6" t="str">
        <f>IFERROR(__xludf.DUMMYFUNCTION("""COMPUTED_VALUE"""),"Irwan Sopian")</f>
        <v>Irwan Sopian</v>
      </c>
      <c r="N883" s="6" t="str">
        <f>IFERROR(__xludf.DUMMYFUNCTION("""COMPUTED_VALUE"""),"FIP Engineering")</f>
        <v>FIP Engineering</v>
      </c>
      <c r="O883" s="6" t="str">
        <f>IFERROR(__xludf.DUMMYFUNCTION("""COMPUTED_VALUE"""),"FIP-DOM-000-11304-OS00001-INA-000000")</f>
        <v>FIP-DOM-000-11304-OS00001-INA-000000</v>
      </c>
      <c r="P883" s="6" t="str">
        <f>IFERROR(__xludf.DUMMYFUNCTION("""COMPUTED_VALUE"""),"PO Closed")</f>
        <v>PO Closed</v>
      </c>
      <c r="Q883" s="6" t="str">
        <f>IFERROR(__xludf.DUMMYFUNCTION("""COMPUTED_VALUE"""),"GL1909020")</f>
        <v>GL1909020</v>
      </c>
      <c r="R883" s="57">
        <f>IFERROR(__xludf.DUMMYFUNCTION("""COMPUTED_VALUE"""),43606.0)</f>
        <v>43606</v>
      </c>
      <c r="S883" s="6" t="str">
        <f>IFERROR(__xludf.DUMMYFUNCTION("""COMPUTED_VALUE"""),"-")</f>
        <v>-</v>
      </c>
      <c r="T883" s="6" t="str">
        <f>IFERROR(__xludf.DUMMYFUNCTION("""COMPUTED_VALUE"""),"-")</f>
        <v>-</v>
      </c>
    </row>
    <row r="884">
      <c r="A884" s="6" t="str">
        <f>IFERROR(__xludf.DUMMYFUNCTION("""COMPUTED_VALUE"""),"191750139-7")</f>
        <v>191750139-7</v>
      </c>
      <c r="B884" s="6" t="str">
        <f>IFERROR(__xludf.DUMMYFUNCTION("""COMPUTED_VALUE"""),"191750139 - Approved")</f>
        <v>191750139 - Approved</v>
      </c>
      <c r="C884" s="6">
        <f>IFERROR(__xludf.DUMMYFUNCTION("""COMPUTED_VALUE"""),7.0)</f>
        <v>7</v>
      </c>
      <c r="D884" s="6" t="str">
        <f>IFERROR(__xludf.DUMMYFUNCTION("""COMPUTED_VALUE"""),"P-14424-00")</f>
        <v>P-14424-00</v>
      </c>
      <c r="E884" s="6" t="str">
        <f>IFERROR(__xludf.DUMMYFUNCTION("""COMPUTED_VALUE"""),"Garam Kutreat RGN-9800F 25Kg/zak")</f>
        <v>Garam Kutreat RGN-9800F 25Kg/zak</v>
      </c>
      <c r="F884" s="6">
        <f>IFERROR(__xludf.DUMMYFUNCTION("""COMPUTED_VALUE"""),2.0)</f>
        <v>2</v>
      </c>
      <c r="G884" s="6" t="str">
        <f>IFERROR(__xludf.DUMMYFUNCTION("""COMPUTED_VALUE"""),"Kilogram")</f>
        <v>Kilogram</v>
      </c>
      <c r="H884" s="6" t="str">
        <f>IFERROR(__xludf.DUMMYFUNCTION("""COMPUTED_VALUE"""),"IDR")</f>
        <v>IDR</v>
      </c>
      <c r="I884" s="6">
        <f>IFERROR(__xludf.DUMMYFUNCTION("""COMPUTED_VALUE"""),237500.0)</f>
        <v>237500</v>
      </c>
      <c r="J884" s="6">
        <f>IFERROR(__xludf.DUMMYFUNCTION("""COMPUTED_VALUE"""),475000.0)</f>
        <v>475000</v>
      </c>
      <c r="K884" s="57">
        <f>IFERROR(__xludf.DUMMYFUNCTION("""COMPUTED_VALUE"""),43801.0)</f>
        <v>43801</v>
      </c>
      <c r="L884" s="6" t="str">
        <f>IFERROR(__xludf.DUMMYFUNCTION("""COMPUTED_VALUE"""),"FIP Engineering")</f>
        <v>FIP Engineering</v>
      </c>
      <c r="M884" s="6" t="str">
        <f>IFERROR(__xludf.DUMMYFUNCTION("""COMPUTED_VALUE"""),"Irwan Sopian")</f>
        <v>Irwan Sopian</v>
      </c>
      <c r="N884" s="6" t="str">
        <f>IFERROR(__xludf.DUMMYFUNCTION("""COMPUTED_VALUE"""),"FIP Engineering")</f>
        <v>FIP Engineering</v>
      </c>
      <c r="O884" s="6" t="str">
        <f>IFERROR(__xludf.DUMMYFUNCTION("""COMPUTED_VALUE"""),"FIP-DOM-000-11304-OS00001-INA-000000")</f>
        <v>FIP-DOM-000-11304-OS00001-INA-000000</v>
      </c>
      <c r="P884" s="6" t="str">
        <f>IFERROR(__xludf.DUMMYFUNCTION("""COMPUTED_VALUE"""),"PO Closed")</f>
        <v>PO Closed</v>
      </c>
      <c r="Q884" s="6" t="str">
        <f>IFERROR(__xludf.DUMMYFUNCTION("""COMPUTED_VALUE"""),"GL1909020")</f>
        <v>GL1909020</v>
      </c>
      <c r="R884" s="57">
        <f>IFERROR(__xludf.DUMMYFUNCTION("""COMPUTED_VALUE"""),43606.0)</f>
        <v>43606</v>
      </c>
      <c r="S884" s="6" t="str">
        <f>IFERROR(__xludf.DUMMYFUNCTION("""COMPUTED_VALUE"""),"-")</f>
        <v>-</v>
      </c>
      <c r="T884" s="6" t="str">
        <f>IFERROR(__xludf.DUMMYFUNCTION("""COMPUTED_VALUE"""),"-")</f>
        <v>-</v>
      </c>
    </row>
    <row r="885">
      <c r="A885" s="6" t="str">
        <f>IFERROR(__xludf.DUMMYFUNCTION("""COMPUTED_VALUE"""),"191750216-1")</f>
        <v>191750216-1</v>
      </c>
      <c r="B885" s="6" t="str">
        <f>IFERROR(__xludf.DUMMYFUNCTION("""COMPUTED_VALUE"""),"191750216 - Approved")</f>
        <v>191750216 - Approved</v>
      </c>
      <c r="C885" s="6">
        <f>IFERROR(__xludf.DUMMYFUNCTION("""COMPUTED_VALUE"""),1.0)</f>
        <v>1</v>
      </c>
      <c r="D885" s="6" t="str">
        <f>IFERROR(__xludf.DUMMYFUNCTION("""COMPUTED_VALUE"""),"P-11694-00")</f>
        <v>P-11694-00</v>
      </c>
      <c r="E885" s="6" t="str">
        <f>IFERROR(__xludf.DUMMYFUNCTION("""COMPUTED_VALUE"""),"Mata Gerinda 4""")</f>
        <v>Mata Gerinda 4"</v>
      </c>
      <c r="F885" s="6">
        <f>IFERROR(__xludf.DUMMYFUNCTION("""COMPUTED_VALUE"""),2.0)</f>
        <v>2</v>
      </c>
      <c r="G885" s="6" t="str">
        <f>IFERROR(__xludf.DUMMYFUNCTION("""COMPUTED_VALUE"""),"Pieces")</f>
        <v>Pieces</v>
      </c>
      <c r="H885" s="6" t="str">
        <f>IFERROR(__xludf.DUMMYFUNCTION("""COMPUTED_VALUE"""),"IDR")</f>
        <v>IDR</v>
      </c>
      <c r="I885" s="6">
        <f>IFERROR(__xludf.DUMMYFUNCTION("""COMPUTED_VALUE"""),100000.0)</f>
        <v>100000</v>
      </c>
      <c r="J885" s="6">
        <f>IFERROR(__xludf.DUMMYFUNCTION("""COMPUTED_VALUE"""),200000.0)</f>
        <v>200000</v>
      </c>
      <c r="K885" s="57">
        <f>IFERROR(__xludf.DUMMYFUNCTION("""COMPUTED_VALUE"""),43637.0)</f>
        <v>43637</v>
      </c>
      <c r="L885" s="6" t="str">
        <f>IFERROR(__xludf.DUMMYFUNCTION("""COMPUTED_VALUE"""),"FIP General")</f>
        <v>FIP General</v>
      </c>
      <c r="M885" s="6" t="str">
        <f>IFERROR(__xludf.DUMMYFUNCTION("""COMPUTED_VALUE"""),"Irwan Sopian")</f>
        <v>Irwan Sopian</v>
      </c>
      <c r="N885" s="6" t="str">
        <f>IFERROR(__xludf.DUMMYFUNCTION("""COMPUTED_VALUE"""),"FIP Engineering")</f>
        <v>FIP Engineering</v>
      </c>
      <c r="O885" s="6" t="str">
        <f>IFERROR(__xludf.DUMMYFUNCTION("""COMPUTED_VALUE"""),"FIP-DOM-ENG-51404-0000000-INA-000000")</f>
        <v>FIP-DOM-ENG-51404-0000000-INA-000000</v>
      </c>
      <c r="P885" s="6" t="str">
        <f>IFERROR(__xludf.DUMMYFUNCTION("""COMPUTED_VALUE"""),"PO Closed")</f>
        <v>PO Closed</v>
      </c>
      <c r="Q885" s="6" t="str">
        <f>IFERROR(__xludf.DUMMYFUNCTION("""COMPUTED_VALUE"""),"GL1907008")</f>
        <v>GL1907008</v>
      </c>
      <c r="R885" s="57">
        <f>IFERROR(__xludf.DUMMYFUNCTION("""COMPUTED_VALUE"""),43607.0)</f>
        <v>43607</v>
      </c>
      <c r="S885" s="6" t="str">
        <f>IFERROR(__xludf.DUMMYFUNCTION("""COMPUTED_VALUE"""),"-")</f>
        <v>-</v>
      </c>
      <c r="T885" s="57">
        <f>IFERROR(__xludf.DUMMYFUNCTION("""COMPUTED_VALUE"""),43671.0)</f>
        <v>43671</v>
      </c>
    </row>
    <row r="886">
      <c r="A886" s="6" t="str">
        <f>IFERROR(__xludf.DUMMYFUNCTION("""COMPUTED_VALUE"""),"191750215-1")</f>
        <v>191750215-1</v>
      </c>
      <c r="B886" s="6" t="str">
        <f>IFERROR(__xludf.DUMMYFUNCTION("""COMPUTED_VALUE"""),"191750215 - Approved")</f>
        <v>191750215 - Approved</v>
      </c>
      <c r="C886" s="6">
        <f>IFERROR(__xludf.DUMMYFUNCTION("""COMPUTED_VALUE"""),1.0)</f>
        <v>1</v>
      </c>
      <c r="D886" s="6" t="str">
        <f>IFERROR(__xludf.DUMMYFUNCTION("""COMPUTED_VALUE"""),"O-14616-00")</f>
        <v>O-14616-00</v>
      </c>
      <c r="E886" s="6" t="str">
        <f>IFERROR(__xludf.DUMMYFUNCTION("""COMPUTED_VALUE"""),"Black arm system for Rotating pincer pneumatic cylinder c/n 33661")</f>
        <v>Black arm system for Rotating pincer pneumatic cylinder c/n 33661</v>
      </c>
      <c r="F886" s="6">
        <f>IFERROR(__xludf.DUMMYFUNCTION("""COMPUTED_VALUE"""),1.0)</f>
        <v>1</v>
      </c>
      <c r="G886" s="6" t="str">
        <f>IFERROR(__xludf.DUMMYFUNCTION("""COMPUTED_VALUE"""),"Unit")</f>
        <v>Unit</v>
      </c>
      <c r="H886" s="6" t="str">
        <f>IFERROR(__xludf.DUMMYFUNCTION("""COMPUTED_VALUE"""),"IDR")</f>
        <v>IDR</v>
      </c>
      <c r="I886" s="6">
        <f>IFERROR(__xludf.DUMMYFUNCTION("""COMPUTED_VALUE"""),4686000.0)</f>
        <v>4686000</v>
      </c>
      <c r="J886" s="6">
        <f>IFERROR(__xludf.DUMMYFUNCTION("""COMPUTED_VALUE"""),4686000.0)</f>
        <v>4686000</v>
      </c>
      <c r="K886" s="57">
        <f>IFERROR(__xludf.DUMMYFUNCTION("""COMPUTED_VALUE"""),43651.0)</f>
        <v>43651</v>
      </c>
      <c r="L886" s="6" t="str">
        <f>IFERROR(__xludf.DUMMYFUNCTION("""COMPUTED_VALUE"""),"FIP Engineering")</f>
        <v>FIP Engineering</v>
      </c>
      <c r="M886" s="6" t="str">
        <f>IFERROR(__xludf.DUMMYFUNCTION("""COMPUTED_VALUE"""),"Irwan Sopian")</f>
        <v>Irwan Sopian</v>
      </c>
      <c r="N886" s="6" t="str">
        <f>IFERROR(__xludf.DUMMYFUNCTION("""COMPUTED_VALUE"""),"FIP Engineering")</f>
        <v>FIP Engineering</v>
      </c>
      <c r="O886" s="6" t="str">
        <f>IFERROR(__xludf.DUMMYFUNCTION("""COMPUTED_VALUE"""),"FIP-DOM-000-11304-OS00001-INA-000000")</f>
        <v>FIP-DOM-000-11304-OS00001-INA-000000</v>
      </c>
      <c r="P886" s="6" t="str">
        <f>IFERROR(__xludf.DUMMYFUNCTION("""COMPUTED_VALUE"""),"PO Closed")</f>
        <v>PO Closed</v>
      </c>
      <c r="Q886" s="6" t="str">
        <f>IFERROR(__xludf.DUMMYFUNCTION("""COMPUTED_VALUE"""),"GL1907012")</f>
        <v>GL1907012</v>
      </c>
      <c r="R886" s="57">
        <f>IFERROR(__xludf.DUMMYFUNCTION("""COMPUTED_VALUE"""),43607.0)</f>
        <v>43607</v>
      </c>
      <c r="S886" s="6" t="str">
        <f>IFERROR(__xludf.DUMMYFUNCTION("""COMPUTED_VALUE"""),"-")</f>
        <v>-</v>
      </c>
      <c r="T886" s="57">
        <f>IFERROR(__xludf.DUMMYFUNCTION("""COMPUTED_VALUE"""),43692.0)</f>
        <v>43692</v>
      </c>
    </row>
    <row r="887">
      <c r="A887" s="6" t="str">
        <f>IFERROR(__xludf.DUMMYFUNCTION("""COMPUTED_VALUE"""),"191750214-1")</f>
        <v>191750214-1</v>
      </c>
      <c r="B887" s="6" t="str">
        <f>IFERROR(__xludf.DUMMYFUNCTION("""COMPUTED_VALUE"""),"191750214 - Approved")</f>
        <v>191750214 - Approved</v>
      </c>
      <c r="C887" s="6">
        <f>IFERROR(__xludf.DUMMYFUNCTION("""COMPUTED_VALUE"""),1.0)</f>
        <v>1</v>
      </c>
      <c r="D887" s="6" t="str">
        <f>IFERROR(__xludf.DUMMYFUNCTION("""COMPUTED_VALUE"""),"P-12185-00")</f>
        <v>P-12185-00</v>
      </c>
      <c r="E887" s="6" t="str">
        <f>IFERROR(__xludf.DUMMYFUNCTION("""COMPUTED_VALUE"""),"Elbow PVC AW 90 deg dia 1inch")</f>
        <v>Elbow PVC AW 90 deg dia 1inch</v>
      </c>
      <c r="F887" s="6">
        <f>IFERROR(__xludf.DUMMYFUNCTION("""COMPUTED_VALUE"""),5.0)</f>
        <v>5</v>
      </c>
      <c r="G887" s="6" t="str">
        <f>IFERROR(__xludf.DUMMYFUNCTION("""COMPUTED_VALUE"""),"Pieces")</f>
        <v>Pieces</v>
      </c>
      <c r="H887" s="6" t="str">
        <f>IFERROR(__xludf.DUMMYFUNCTION("""COMPUTED_VALUE"""),"IDR")</f>
        <v>IDR</v>
      </c>
      <c r="I887" s="6">
        <f>IFERROR(__xludf.DUMMYFUNCTION("""COMPUTED_VALUE"""),5000.0)</f>
        <v>5000</v>
      </c>
      <c r="J887" s="6">
        <f>IFERROR(__xludf.DUMMYFUNCTION("""COMPUTED_VALUE"""),25000.0)</f>
        <v>25000</v>
      </c>
      <c r="K887" s="57">
        <f>IFERROR(__xludf.DUMMYFUNCTION("""COMPUTED_VALUE"""),43637.0)</f>
        <v>43637</v>
      </c>
      <c r="L887" s="6" t="str">
        <f>IFERROR(__xludf.DUMMYFUNCTION("""COMPUTED_VALUE"""),"FIP General")</f>
        <v>FIP General</v>
      </c>
      <c r="M887" s="6" t="str">
        <f>IFERROR(__xludf.DUMMYFUNCTION("""COMPUTED_VALUE"""),"Irwan Sopian")</f>
        <v>Irwan Sopian</v>
      </c>
      <c r="N887" s="6" t="str">
        <f>IFERROR(__xludf.DUMMYFUNCTION("""COMPUTED_VALUE"""),"FIP Engineering")</f>
        <v>FIP Engineering</v>
      </c>
      <c r="O887" s="6" t="str">
        <f>IFERROR(__xludf.DUMMYFUNCTION("""COMPUTED_VALUE"""),"FIP-DOM-ENG-51404-0000000-INA-000000")</f>
        <v>FIP-DOM-ENG-51404-0000000-INA-000000</v>
      </c>
      <c r="P887" s="6" t="str">
        <f>IFERROR(__xludf.DUMMYFUNCTION("""COMPUTED_VALUE"""),"PO Closed")</f>
        <v>PO Closed</v>
      </c>
      <c r="Q887" s="6" t="str">
        <f>IFERROR(__xludf.DUMMYFUNCTION("""COMPUTED_VALUE"""),"GL1905043")</f>
        <v>GL1905043</v>
      </c>
      <c r="R887" s="57">
        <f>IFERROR(__xludf.DUMMYFUNCTION("""COMPUTED_VALUE"""),43607.0)</f>
        <v>43607</v>
      </c>
      <c r="S887" s="6" t="str">
        <f>IFERROR(__xludf.DUMMYFUNCTION("""COMPUTED_VALUE"""),"-")</f>
        <v>-</v>
      </c>
      <c r="T887" s="57">
        <f>IFERROR(__xludf.DUMMYFUNCTION("""COMPUTED_VALUE"""),43630.0)</f>
        <v>43630</v>
      </c>
    </row>
    <row r="888">
      <c r="A888" s="6" t="str">
        <f>IFERROR(__xludf.DUMMYFUNCTION("""COMPUTED_VALUE"""),"191750214-2")</f>
        <v>191750214-2</v>
      </c>
      <c r="B888" s="6" t="str">
        <f>IFERROR(__xludf.DUMMYFUNCTION("""COMPUTED_VALUE"""),"191750214 - Approved")</f>
        <v>191750214 - Approved</v>
      </c>
      <c r="C888" s="6">
        <f>IFERROR(__xludf.DUMMYFUNCTION("""COMPUTED_VALUE"""),2.0)</f>
        <v>2</v>
      </c>
      <c r="D888" s="6" t="str">
        <f>IFERROR(__xludf.DUMMYFUNCTION("""COMPUTED_VALUE"""),"P-13387-00")</f>
        <v>P-13387-00</v>
      </c>
      <c r="E888" s="6" t="str">
        <f>IFERROR(__xludf.DUMMYFUNCTION("""COMPUTED_VALUE"""),"Watermur Pvc 1"" Polos Rucika; ; ;")</f>
        <v>Watermur Pvc 1" Polos Rucika; ; ;</v>
      </c>
      <c r="F888" s="6">
        <f>IFERROR(__xludf.DUMMYFUNCTION("""COMPUTED_VALUE"""),2.0)</f>
        <v>2</v>
      </c>
      <c r="G888" s="6" t="str">
        <f>IFERROR(__xludf.DUMMYFUNCTION("""COMPUTED_VALUE"""),"Pieces")</f>
        <v>Pieces</v>
      </c>
      <c r="H888" s="6" t="str">
        <f>IFERROR(__xludf.DUMMYFUNCTION("""COMPUTED_VALUE"""),"IDR")</f>
        <v>IDR</v>
      </c>
      <c r="I888" s="6">
        <f>IFERROR(__xludf.DUMMYFUNCTION("""COMPUTED_VALUE"""),20000.0)</f>
        <v>20000</v>
      </c>
      <c r="J888" s="6">
        <f>IFERROR(__xludf.DUMMYFUNCTION("""COMPUTED_VALUE"""),40000.0)</f>
        <v>40000</v>
      </c>
      <c r="K888" s="57">
        <f>IFERROR(__xludf.DUMMYFUNCTION("""COMPUTED_VALUE"""),43637.0)</f>
        <v>43637</v>
      </c>
      <c r="L888" s="6" t="str">
        <f>IFERROR(__xludf.DUMMYFUNCTION("""COMPUTED_VALUE"""),"FIP Engineering")</f>
        <v>FIP Engineering</v>
      </c>
      <c r="M888" s="6" t="str">
        <f>IFERROR(__xludf.DUMMYFUNCTION("""COMPUTED_VALUE"""),"Irwan Sopian")</f>
        <v>Irwan Sopian</v>
      </c>
      <c r="N888" s="6" t="str">
        <f>IFERROR(__xludf.DUMMYFUNCTION("""COMPUTED_VALUE"""),"FIP Engineering")</f>
        <v>FIP Engineering</v>
      </c>
      <c r="O888" s="6" t="str">
        <f>IFERROR(__xludf.DUMMYFUNCTION("""COMPUTED_VALUE"""),"FIP-DOM-000-11304-OS00001-INA-000000")</f>
        <v>FIP-DOM-000-11304-OS00001-INA-000000</v>
      </c>
      <c r="P888" s="6" t="str">
        <f>IFERROR(__xludf.DUMMYFUNCTION("""COMPUTED_VALUE"""),"PO Closed")</f>
        <v>PO Closed</v>
      </c>
      <c r="Q888" s="6" t="str">
        <f>IFERROR(__xludf.DUMMYFUNCTION("""COMPUTED_VALUE"""),"GL1905043")</f>
        <v>GL1905043</v>
      </c>
      <c r="R888" s="57">
        <f>IFERROR(__xludf.DUMMYFUNCTION("""COMPUTED_VALUE"""),43607.0)</f>
        <v>43607</v>
      </c>
      <c r="S888" s="6" t="str">
        <f>IFERROR(__xludf.DUMMYFUNCTION("""COMPUTED_VALUE"""),"-")</f>
        <v>-</v>
      </c>
      <c r="T888" s="57">
        <f>IFERROR(__xludf.DUMMYFUNCTION("""COMPUTED_VALUE"""),43616.0)</f>
        <v>43616</v>
      </c>
    </row>
    <row r="889">
      <c r="A889" s="6" t="str">
        <f>IFERROR(__xludf.DUMMYFUNCTION("""COMPUTED_VALUE"""),"191750216-2")</f>
        <v>191750216-2</v>
      </c>
      <c r="B889" s="6" t="str">
        <f>IFERROR(__xludf.DUMMYFUNCTION("""COMPUTED_VALUE"""),"191750216 - Approved")</f>
        <v>191750216 - Approved</v>
      </c>
      <c r="C889" s="6">
        <f>IFERROR(__xludf.DUMMYFUNCTION("""COMPUTED_VALUE"""),2.0)</f>
        <v>2</v>
      </c>
      <c r="D889" s="6" t="str">
        <f>IFERROR(__xludf.DUMMYFUNCTION("""COMPUTED_VALUE"""),"P-13755-00")</f>
        <v>P-13755-00</v>
      </c>
      <c r="E889" s="6" t="str">
        <f>IFERROR(__xludf.DUMMYFUNCTION("""COMPUTED_VALUE"""),"Selenoid Valve 2 Way Brass, 24VDC, 1/4 inch; ; ;")</f>
        <v>Selenoid Valve 2 Way Brass, 24VDC, 1/4 inch; ; ;</v>
      </c>
      <c r="F889" s="6">
        <f>IFERROR(__xludf.DUMMYFUNCTION("""COMPUTED_VALUE"""),2.0)</f>
        <v>2</v>
      </c>
      <c r="G889" s="6" t="str">
        <f>IFERROR(__xludf.DUMMYFUNCTION("""COMPUTED_VALUE"""),"Pieces")</f>
        <v>Pieces</v>
      </c>
      <c r="H889" s="6" t="str">
        <f>IFERROR(__xludf.DUMMYFUNCTION("""COMPUTED_VALUE"""),"IDR")</f>
        <v>IDR</v>
      </c>
      <c r="I889" s="6">
        <f>IFERROR(__xludf.DUMMYFUNCTION("""COMPUTED_VALUE"""),1008000.0)</f>
        <v>1008000</v>
      </c>
      <c r="J889" s="6">
        <f>IFERROR(__xludf.DUMMYFUNCTION("""COMPUTED_VALUE"""),2016000.0)</f>
        <v>2016000</v>
      </c>
      <c r="K889" s="57">
        <f>IFERROR(__xludf.DUMMYFUNCTION("""COMPUTED_VALUE"""),43637.0)</f>
        <v>43637</v>
      </c>
      <c r="L889" s="6" t="str">
        <f>IFERROR(__xludf.DUMMYFUNCTION("""COMPUTED_VALUE"""),"FIP Engineering")</f>
        <v>FIP Engineering</v>
      </c>
      <c r="M889" s="6" t="str">
        <f>IFERROR(__xludf.DUMMYFUNCTION("""COMPUTED_VALUE"""),"Irwan Sopian")</f>
        <v>Irwan Sopian</v>
      </c>
      <c r="N889" s="6" t="str">
        <f>IFERROR(__xludf.DUMMYFUNCTION("""COMPUTED_VALUE"""),"FIP Engineering")</f>
        <v>FIP Engineering</v>
      </c>
      <c r="O889" s="6" t="str">
        <f>IFERROR(__xludf.DUMMYFUNCTION("""COMPUTED_VALUE"""),"FIP-DOM-000-11304-OS00001-INA-000000")</f>
        <v>FIP-DOM-000-11304-OS00001-INA-000000</v>
      </c>
      <c r="P889" s="6" t="str">
        <f>IFERROR(__xludf.DUMMYFUNCTION("""COMPUTED_VALUE"""),"PO Closed")</f>
        <v>PO Closed</v>
      </c>
      <c r="Q889" s="6" t="str">
        <f>IFERROR(__xludf.DUMMYFUNCTION("""COMPUTED_VALUE"""),"GL1907009")</f>
        <v>GL1907009</v>
      </c>
      <c r="R889" s="57">
        <f>IFERROR(__xludf.DUMMYFUNCTION("""COMPUTED_VALUE"""),43608.0)</f>
        <v>43608</v>
      </c>
      <c r="S889" s="6" t="str">
        <f>IFERROR(__xludf.DUMMYFUNCTION("""COMPUTED_VALUE"""),"-")</f>
        <v>-</v>
      </c>
      <c r="T889" s="57">
        <f>IFERROR(__xludf.DUMMYFUNCTION("""COMPUTED_VALUE"""),43669.0)</f>
        <v>43669</v>
      </c>
    </row>
    <row r="890">
      <c r="A890" s="6" t="str">
        <f>IFERROR(__xludf.DUMMYFUNCTION("""COMPUTED_VALUE"""),"191750216-3")</f>
        <v>191750216-3</v>
      </c>
      <c r="B890" s="6" t="str">
        <f>IFERROR(__xludf.DUMMYFUNCTION("""COMPUTED_VALUE"""),"191750216 - Approved")</f>
        <v>191750216 - Approved</v>
      </c>
      <c r="C890" s="6">
        <f>IFERROR(__xludf.DUMMYFUNCTION("""COMPUTED_VALUE"""),3.0)</f>
        <v>3</v>
      </c>
      <c r="D890" s="6" t="str">
        <f>IFERROR(__xludf.DUMMYFUNCTION("""COMPUTED_VALUE"""),"P-51920-00")</f>
        <v>P-51920-00</v>
      </c>
      <c r="E890" s="6" t="str">
        <f>IFERROR(__xludf.DUMMYFUNCTION("""COMPUTED_VALUE"""),"Lampu LED 6.5W Putih 12 Vac 2700K Philips")</f>
        <v>Lampu LED 6.5W Putih 12 Vac 2700K Philips</v>
      </c>
      <c r="F890" s="6">
        <f>IFERROR(__xludf.DUMMYFUNCTION("""COMPUTED_VALUE"""),1.0)</f>
        <v>1</v>
      </c>
      <c r="G890" s="6" t="str">
        <f>IFERROR(__xludf.DUMMYFUNCTION("""COMPUTED_VALUE"""),"Pieces")</f>
        <v>Pieces</v>
      </c>
      <c r="H890" s="6" t="str">
        <f>IFERROR(__xludf.DUMMYFUNCTION("""COMPUTED_VALUE"""),"IDR")</f>
        <v>IDR</v>
      </c>
      <c r="I890" s="6">
        <f>IFERROR(__xludf.DUMMYFUNCTION("""COMPUTED_VALUE"""),300000.0)</f>
        <v>300000</v>
      </c>
      <c r="J890" s="6">
        <f>IFERROR(__xludf.DUMMYFUNCTION("""COMPUTED_VALUE"""),300000.0)</f>
        <v>300000</v>
      </c>
      <c r="K890" s="57">
        <f>IFERROR(__xludf.DUMMYFUNCTION("""COMPUTED_VALUE"""),43637.0)</f>
        <v>43637</v>
      </c>
      <c r="L890" s="6" t="str">
        <f>IFERROR(__xludf.DUMMYFUNCTION("""COMPUTED_VALUE"""),"FIP Engineering")</f>
        <v>FIP Engineering</v>
      </c>
      <c r="M890" s="6" t="str">
        <f>IFERROR(__xludf.DUMMYFUNCTION("""COMPUTED_VALUE"""),"Irwan Sopian")</f>
        <v>Irwan Sopian</v>
      </c>
      <c r="N890" s="6" t="str">
        <f>IFERROR(__xludf.DUMMYFUNCTION("""COMPUTED_VALUE"""),"FIP Engineering")</f>
        <v>FIP Engineering</v>
      </c>
      <c r="O890" s="6" t="str">
        <f>IFERROR(__xludf.DUMMYFUNCTION("""COMPUTED_VALUE"""),"FIP-DOM-000-11304-OS00001-INA-000000")</f>
        <v>FIP-DOM-000-11304-OS00001-INA-000000</v>
      </c>
      <c r="P890" s="6" t="str">
        <f>IFERROR(__xludf.DUMMYFUNCTION("""COMPUTED_VALUE"""),"PO Closed")</f>
        <v>PO Closed</v>
      </c>
      <c r="Q890" s="6" t="str">
        <f>IFERROR(__xludf.DUMMYFUNCTION("""COMPUTED_VALUE"""),"GL1907008")</f>
        <v>GL1907008</v>
      </c>
      <c r="R890" s="57">
        <f>IFERROR(__xludf.DUMMYFUNCTION("""COMPUTED_VALUE"""),43608.0)</f>
        <v>43608</v>
      </c>
      <c r="S890" s="6" t="str">
        <f>IFERROR(__xludf.DUMMYFUNCTION("""COMPUTED_VALUE"""),"-")</f>
        <v>-</v>
      </c>
      <c r="T890" s="57">
        <f>IFERROR(__xludf.DUMMYFUNCTION("""COMPUTED_VALUE"""),43671.0)</f>
        <v>43671</v>
      </c>
    </row>
    <row r="891">
      <c r="A891" s="6" t="str">
        <f>IFERROR(__xludf.DUMMYFUNCTION("""COMPUTED_VALUE"""),"191750212-2")</f>
        <v>191750212-2</v>
      </c>
      <c r="B891" s="6" t="str">
        <f>IFERROR(__xludf.DUMMYFUNCTION("""COMPUTED_VALUE"""),"191750212 - Approved")</f>
        <v>191750212 - Approved</v>
      </c>
      <c r="C891" s="6">
        <f>IFERROR(__xludf.DUMMYFUNCTION("""COMPUTED_VALUE"""),2.0)</f>
        <v>2</v>
      </c>
      <c r="D891" s="6" t="str">
        <f>IFERROR(__xludf.DUMMYFUNCTION("""COMPUTED_VALUE"""),"P-51921-00")</f>
        <v>P-51921-00</v>
      </c>
      <c r="E891" s="6" t="str">
        <f>IFERROR(__xludf.DUMMYFUNCTION("""COMPUTED_VALUE"""),"SSR RSO4890 Carlo Gavazzi")</f>
        <v>SSR RSO4890 Carlo Gavazzi</v>
      </c>
      <c r="F891" s="6">
        <f>IFERROR(__xludf.DUMMYFUNCTION("""COMPUTED_VALUE"""),1.0)</f>
        <v>1</v>
      </c>
      <c r="G891" s="6" t="str">
        <f>IFERROR(__xludf.DUMMYFUNCTION("""COMPUTED_VALUE"""),"Pieces")</f>
        <v>Pieces</v>
      </c>
      <c r="H891" s="6" t="str">
        <f>IFERROR(__xludf.DUMMYFUNCTION("""COMPUTED_VALUE"""),"IDR")</f>
        <v>IDR</v>
      </c>
      <c r="I891" s="6">
        <f>IFERROR(__xludf.DUMMYFUNCTION("""COMPUTED_VALUE"""),3000000.0)</f>
        <v>3000000</v>
      </c>
      <c r="J891" s="6">
        <f>IFERROR(__xludf.DUMMYFUNCTION("""COMPUTED_VALUE"""),3000000.0)</f>
        <v>3000000</v>
      </c>
      <c r="K891" s="57">
        <f>IFERROR(__xludf.DUMMYFUNCTION("""COMPUTED_VALUE"""),43644.0)</f>
        <v>43644</v>
      </c>
      <c r="L891" s="6" t="str">
        <f>IFERROR(__xludf.DUMMYFUNCTION("""COMPUTED_VALUE"""),"FIP Engineering")</f>
        <v>FIP Engineering</v>
      </c>
      <c r="M891" s="6" t="str">
        <f>IFERROR(__xludf.DUMMYFUNCTION("""COMPUTED_VALUE"""),"Irwan Sopian")</f>
        <v>Irwan Sopian</v>
      </c>
      <c r="N891" s="6" t="str">
        <f>IFERROR(__xludf.DUMMYFUNCTION("""COMPUTED_VALUE"""),"FIP Engineering")</f>
        <v>FIP Engineering</v>
      </c>
      <c r="O891" s="6" t="str">
        <f>IFERROR(__xludf.DUMMYFUNCTION("""COMPUTED_VALUE"""),"FIP-DOM-000-11304-OS00001-INA-000000")</f>
        <v>FIP-DOM-000-11304-OS00001-INA-000000</v>
      </c>
      <c r="P891" s="6" t="str">
        <f>IFERROR(__xludf.DUMMYFUNCTION("""COMPUTED_VALUE"""),"PO Closed")</f>
        <v>PO Closed</v>
      </c>
      <c r="Q891" s="6" t="str">
        <f>IFERROR(__xludf.DUMMYFUNCTION("""COMPUTED_VALUE"""),"GL1907005")</f>
        <v>GL1907005</v>
      </c>
      <c r="R891" s="57">
        <f>IFERROR(__xludf.DUMMYFUNCTION("""COMPUTED_VALUE"""),43608.0)</f>
        <v>43608</v>
      </c>
      <c r="S891" s="6" t="str">
        <f>IFERROR(__xludf.DUMMYFUNCTION("""COMPUTED_VALUE"""),"-")</f>
        <v>-</v>
      </c>
      <c r="T891" s="57">
        <f>IFERROR(__xludf.DUMMYFUNCTION("""COMPUTED_VALUE"""),43685.0)</f>
        <v>43685</v>
      </c>
    </row>
    <row r="892">
      <c r="A892" s="6" t="str">
        <f>IFERROR(__xludf.DUMMYFUNCTION("""COMPUTED_VALUE"""),"191750221-1")</f>
        <v>191750221-1</v>
      </c>
      <c r="B892" s="6" t="str">
        <f>IFERROR(__xludf.DUMMYFUNCTION("""COMPUTED_VALUE"""),"191750221 - Approved")</f>
        <v>191750221 - Approved</v>
      </c>
      <c r="C892" s="6">
        <f>IFERROR(__xludf.DUMMYFUNCTION("""COMPUTED_VALUE"""),1.0)</f>
        <v>1</v>
      </c>
      <c r="D892" s="6" t="str">
        <f>IFERROR(__xludf.DUMMYFUNCTION("""COMPUTED_VALUE"""),"S-60002-00")</f>
        <v>S-60002-00</v>
      </c>
      <c r="E892" s="6" t="str">
        <f>IFERROR(__xludf.DUMMYFUNCTION("""COMPUTED_VALUE"""),"U/ Jasa Pekerjaan Roughness Test Mixing MV200")</f>
        <v>U/ Jasa Pekerjaan Roughness Test Mixing MV200</v>
      </c>
      <c r="F892" s="6">
        <f>IFERROR(__xludf.DUMMYFUNCTION("""COMPUTED_VALUE"""),1.0)</f>
        <v>1</v>
      </c>
      <c r="G892" s="6" t="str">
        <f>IFERROR(__xludf.DUMMYFUNCTION("""COMPUTED_VALUE"""),"Lot")</f>
        <v>Lot</v>
      </c>
      <c r="H892" s="6" t="str">
        <f>IFERROR(__xludf.DUMMYFUNCTION("""COMPUTED_VALUE"""),"IDR")</f>
        <v>IDR</v>
      </c>
      <c r="I892" s="6">
        <f>IFERROR(__xludf.DUMMYFUNCTION("""COMPUTED_VALUE"""),1500000.0)</f>
        <v>1500000</v>
      </c>
      <c r="J892" s="6">
        <f>IFERROR(__xludf.DUMMYFUNCTION("""COMPUTED_VALUE"""),1500000.0)</f>
        <v>1500000</v>
      </c>
      <c r="K892" s="57">
        <f>IFERROR(__xludf.DUMMYFUNCTION("""COMPUTED_VALUE"""),43637.0)</f>
        <v>43637</v>
      </c>
      <c r="L892" s="6" t="str">
        <f>IFERROR(__xludf.DUMMYFUNCTION("""COMPUTED_VALUE"""),"FIP General")</f>
        <v>FIP General</v>
      </c>
      <c r="M892" s="6" t="str">
        <f>IFERROR(__xludf.DUMMYFUNCTION("""COMPUTED_VALUE"""),"Irwan Sopian")</f>
        <v>Irwan Sopian</v>
      </c>
      <c r="N892" s="6" t="str">
        <f>IFERROR(__xludf.DUMMYFUNCTION("""COMPUTED_VALUE"""),"FIP Engineering")</f>
        <v>FIP Engineering</v>
      </c>
      <c r="O892" s="6" t="str">
        <f>IFERROR(__xludf.DUMMYFUNCTION("""COMPUTED_VALUE"""),"FIP-DOM-ENG-51508-0000000-INA-000000")</f>
        <v>FIP-DOM-ENG-51508-0000000-INA-000000</v>
      </c>
      <c r="P892" s="6" t="str">
        <f>IFERROR(__xludf.DUMMYFUNCTION("""COMPUTED_VALUE"""),"PO Closed")</f>
        <v>PO Closed</v>
      </c>
      <c r="Q892" s="6" t="str">
        <f>IFERROR(__xludf.DUMMYFUNCTION("""COMPUTED_VALUE"""),"GL1905046")</f>
        <v>GL1905046</v>
      </c>
      <c r="R892" s="57">
        <f>IFERROR(__xludf.DUMMYFUNCTION("""COMPUTED_VALUE"""),43609.0)</f>
        <v>43609</v>
      </c>
      <c r="S892" s="6" t="str">
        <f>IFERROR(__xludf.DUMMYFUNCTION("""COMPUTED_VALUE"""),"-")</f>
        <v>-</v>
      </c>
      <c r="T892" s="57">
        <f>IFERROR(__xludf.DUMMYFUNCTION("""COMPUTED_VALUE"""),43679.0)</f>
        <v>43679</v>
      </c>
    </row>
    <row r="893">
      <c r="A893" s="6" t="str">
        <f>IFERROR(__xludf.DUMMYFUNCTION("""COMPUTED_VALUE"""),"191750220-1")</f>
        <v>191750220-1</v>
      </c>
      <c r="B893" s="6" t="str">
        <f>IFERROR(__xludf.DUMMYFUNCTION("""COMPUTED_VALUE"""),"191750220 - Approved")</f>
        <v>191750220 - Approved</v>
      </c>
      <c r="C893" s="6">
        <f>IFERROR(__xludf.DUMMYFUNCTION("""COMPUTED_VALUE"""),1.0)</f>
        <v>1</v>
      </c>
      <c r="D893" s="6" t="str">
        <f>IFERROR(__xludf.DUMMYFUNCTION("""COMPUTED_VALUE"""),"S-60002-00")</f>
        <v>S-60002-00</v>
      </c>
      <c r="E893" s="6" t="str">
        <f>IFERROR(__xludf.DUMMYFUNCTION("""COMPUTED_VALUE"""),"Perbaikan dan Pengecatan List Beton Yang Rusak")</f>
        <v>Perbaikan dan Pengecatan List Beton Yang Rusak</v>
      </c>
      <c r="F893" s="6">
        <f>IFERROR(__xludf.DUMMYFUNCTION("""COMPUTED_VALUE"""),1.0)</f>
        <v>1</v>
      </c>
      <c r="G893" s="6" t="str">
        <f>IFERROR(__xludf.DUMMYFUNCTION("""COMPUTED_VALUE"""),"Lot")</f>
        <v>Lot</v>
      </c>
      <c r="H893" s="6" t="str">
        <f>IFERROR(__xludf.DUMMYFUNCTION("""COMPUTED_VALUE"""),"IDR")</f>
        <v>IDR</v>
      </c>
      <c r="I893" s="6">
        <f>IFERROR(__xludf.DUMMYFUNCTION("""COMPUTED_VALUE"""),4500000.0)</f>
        <v>4500000</v>
      </c>
      <c r="J893" s="6">
        <f>IFERROR(__xludf.DUMMYFUNCTION("""COMPUTED_VALUE"""),4500000.0)</f>
        <v>4500000</v>
      </c>
      <c r="K893" s="57">
        <f>IFERROR(__xludf.DUMMYFUNCTION("""COMPUTED_VALUE"""),43644.0)</f>
        <v>43644</v>
      </c>
      <c r="L893" s="6" t="str">
        <f>IFERROR(__xludf.DUMMYFUNCTION("""COMPUTED_VALUE"""),"FIP General")</f>
        <v>FIP General</v>
      </c>
      <c r="M893" s="6" t="str">
        <f>IFERROR(__xludf.DUMMYFUNCTION("""COMPUTED_VALUE"""),"Irwan Sopian")</f>
        <v>Irwan Sopian</v>
      </c>
      <c r="N893" s="6" t="str">
        <f>IFERROR(__xludf.DUMMYFUNCTION("""COMPUTED_VALUE"""),"FIP Engineering")</f>
        <v>FIP Engineering</v>
      </c>
      <c r="O893" s="6" t="str">
        <f>IFERROR(__xludf.DUMMYFUNCTION("""COMPUTED_VALUE"""),"FIP-DOM-ENG-51508-0000000-INA-000000")</f>
        <v>FIP-DOM-ENG-51508-0000000-INA-000000</v>
      </c>
      <c r="P893" s="6" t="str">
        <f>IFERROR(__xludf.DUMMYFUNCTION("""COMPUTED_VALUE"""),"PO Closed")</f>
        <v>PO Closed</v>
      </c>
      <c r="Q893" s="6" t="str">
        <f>IFERROR(__xludf.DUMMYFUNCTION("""COMPUTED_VALUE"""),"GL1905044")</f>
        <v>GL1905044</v>
      </c>
      <c r="R893" s="57">
        <f>IFERROR(__xludf.DUMMYFUNCTION("""COMPUTED_VALUE"""),43609.0)</f>
        <v>43609</v>
      </c>
      <c r="S893" s="6" t="str">
        <f>IFERROR(__xludf.DUMMYFUNCTION("""COMPUTED_VALUE"""),"-")</f>
        <v>-</v>
      </c>
      <c r="T893" s="57">
        <f>IFERROR(__xludf.DUMMYFUNCTION("""COMPUTED_VALUE"""),43679.0)</f>
        <v>43679</v>
      </c>
    </row>
    <row r="894">
      <c r="A894" s="6" t="str">
        <f>IFERROR(__xludf.DUMMYFUNCTION("""COMPUTED_VALUE"""),"191750220-2")</f>
        <v>191750220-2</v>
      </c>
      <c r="B894" s="6" t="str">
        <f>IFERROR(__xludf.DUMMYFUNCTION("""COMPUTED_VALUE"""),"191750220 - Approved")</f>
        <v>191750220 - Approved</v>
      </c>
      <c r="C894" s="6">
        <f>IFERROR(__xludf.DUMMYFUNCTION("""COMPUTED_VALUE"""),2.0)</f>
        <v>2</v>
      </c>
      <c r="D894" s="6" t="str">
        <f>IFERROR(__xludf.DUMMYFUNCTION("""COMPUTED_VALUE"""),"S-60002-00")</f>
        <v>S-60002-00</v>
      </c>
      <c r="E894" s="6" t="str">
        <f>IFERROR(__xludf.DUMMYFUNCTION("""COMPUTED_VALUE"""),"Perbaikan atap WWTP")</f>
        <v>Perbaikan atap WWTP</v>
      </c>
      <c r="F894" s="6">
        <f>IFERROR(__xludf.DUMMYFUNCTION("""COMPUTED_VALUE"""),1.0)</f>
        <v>1</v>
      </c>
      <c r="G894" s="6" t="str">
        <f>IFERROR(__xludf.DUMMYFUNCTION("""COMPUTED_VALUE"""),"Lot")</f>
        <v>Lot</v>
      </c>
      <c r="H894" s="6" t="str">
        <f>IFERROR(__xludf.DUMMYFUNCTION("""COMPUTED_VALUE"""),"IDR")</f>
        <v>IDR</v>
      </c>
      <c r="I894" s="6">
        <f>IFERROR(__xludf.DUMMYFUNCTION("""COMPUTED_VALUE"""),2500000.0)</f>
        <v>2500000</v>
      </c>
      <c r="J894" s="6">
        <f>IFERROR(__xludf.DUMMYFUNCTION("""COMPUTED_VALUE"""),2500000.0)</f>
        <v>2500000</v>
      </c>
      <c r="K894" s="57">
        <f>IFERROR(__xludf.DUMMYFUNCTION("""COMPUTED_VALUE"""),43644.0)</f>
        <v>43644</v>
      </c>
      <c r="L894" s="6" t="str">
        <f>IFERROR(__xludf.DUMMYFUNCTION("""COMPUTED_VALUE"""),"FIP General")</f>
        <v>FIP General</v>
      </c>
      <c r="M894" s="6" t="str">
        <f>IFERROR(__xludf.DUMMYFUNCTION("""COMPUTED_VALUE"""),"Irwan Sopian")</f>
        <v>Irwan Sopian</v>
      </c>
      <c r="N894" s="6" t="str">
        <f>IFERROR(__xludf.DUMMYFUNCTION("""COMPUTED_VALUE"""),"FIP Engineering")</f>
        <v>FIP Engineering</v>
      </c>
      <c r="O894" s="6" t="str">
        <f>IFERROR(__xludf.DUMMYFUNCTION("""COMPUTED_VALUE"""),"FIP-DOM-ENG-51508-0000000-INA-000000")</f>
        <v>FIP-DOM-ENG-51508-0000000-INA-000000</v>
      </c>
      <c r="P894" s="6" t="str">
        <f>IFERROR(__xludf.DUMMYFUNCTION("""COMPUTED_VALUE"""),"PO Closed")</f>
        <v>PO Closed</v>
      </c>
      <c r="Q894" s="6" t="str">
        <f>IFERROR(__xludf.DUMMYFUNCTION("""COMPUTED_VALUE"""),"GL1905044")</f>
        <v>GL1905044</v>
      </c>
      <c r="R894" s="57">
        <f>IFERROR(__xludf.DUMMYFUNCTION("""COMPUTED_VALUE"""),43609.0)</f>
        <v>43609</v>
      </c>
      <c r="S894" s="6" t="str">
        <f>IFERROR(__xludf.DUMMYFUNCTION("""COMPUTED_VALUE"""),"-")</f>
        <v>-</v>
      </c>
      <c r="T894" s="57">
        <f>IFERROR(__xludf.DUMMYFUNCTION("""COMPUTED_VALUE"""),43679.0)</f>
        <v>43679</v>
      </c>
    </row>
    <row r="895">
      <c r="A895" s="6" t="str">
        <f>IFERROR(__xludf.DUMMYFUNCTION("""COMPUTED_VALUE"""),"191750216-4")</f>
        <v>191750216-4</v>
      </c>
      <c r="B895" s="6" t="str">
        <f>IFERROR(__xludf.DUMMYFUNCTION("""COMPUTED_VALUE"""),"191750216 - Approved")</f>
        <v>191750216 - Approved</v>
      </c>
      <c r="C895" s="6">
        <f>IFERROR(__xludf.DUMMYFUNCTION("""COMPUTED_VALUE"""),4.0)</f>
        <v>4</v>
      </c>
      <c r="D895" s="6" t="str">
        <f>IFERROR(__xludf.DUMMYFUNCTION("""COMPUTED_VALUE"""),"P-51891-00")</f>
        <v>P-51891-00</v>
      </c>
      <c r="E895" s="6" t="str">
        <f>IFERROR(__xludf.DUMMYFUNCTION("""COMPUTED_VALUE"""),"Exhaust Fan Panel 240VAC")</f>
        <v>Exhaust Fan Panel 240VAC</v>
      </c>
      <c r="F895" s="6">
        <f>IFERROR(__xludf.DUMMYFUNCTION("""COMPUTED_VALUE"""),2.0)</f>
        <v>2</v>
      </c>
      <c r="G895" s="6" t="str">
        <f>IFERROR(__xludf.DUMMYFUNCTION("""COMPUTED_VALUE"""),"Pieces")</f>
        <v>Pieces</v>
      </c>
      <c r="H895" s="6" t="str">
        <f>IFERROR(__xludf.DUMMYFUNCTION("""COMPUTED_VALUE"""),"IDR")</f>
        <v>IDR</v>
      </c>
      <c r="I895" s="6">
        <f>IFERROR(__xludf.DUMMYFUNCTION("""COMPUTED_VALUE"""),150000.0)</f>
        <v>150000</v>
      </c>
      <c r="J895" s="6">
        <f>IFERROR(__xludf.DUMMYFUNCTION("""COMPUTED_VALUE"""),300000.0)</f>
        <v>300000</v>
      </c>
      <c r="K895" s="57">
        <f>IFERROR(__xludf.DUMMYFUNCTION("""COMPUTED_VALUE"""),43637.0)</f>
        <v>43637</v>
      </c>
      <c r="L895" s="6" t="str">
        <f>IFERROR(__xludf.DUMMYFUNCTION("""COMPUTED_VALUE"""),"FIP Engineering")</f>
        <v>FIP Engineering</v>
      </c>
      <c r="M895" s="6" t="str">
        <f>IFERROR(__xludf.DUMMYFUNCTION("""COMPUTED_VALUE"""),"Irwan Sopian")</f>
        <v>Irwan Sopian</v>
      </c>
      <c r="N895" s="6" t="str">
        <f>IFERROR(__xludf.DUMMYFUNCTION("""COMPUTED_VALUE"""),"FIP Engineering")</f>
        <v>FIP Engineering</v>
      </c>
      <c r="O895" s="6" t="str">
        <f>IFERROR(__xludf.DUMMYFUNCTION("""COMPUTED_VALUE"""),"FIP-DOM-000-11304-OS00001-INA-000000")</f>
        <v>FIP-DOM-000-11304-OS00001-INA-000000</v>
      </c>
      <c r="P895" s="6" t="str">
        <f>IFERROR(__xludf.DUMMYFUNCTION("""COMPUTED_VALUE"""),"PO Closed")</f>
        <v>PO Closed</v>
      </c>
      <c r="Q895" s="6" t="str">
        <f>IFERROR(__xludf.DUMMYFUNCTION("""COMPUTED_VALUE"""),"GL1907008")</f>
        <v>GL1907008</v>
      </c>
      <c r="R895" s="57">
        <f>IFERROR(__xludf.DUMMYFUNCTION("""COMPUTED_VALUE"""),43609.0)</f>
        <v>43609</v>
      </c>
      <c r="S895" s="6" t="str">
        <f>IFERROR(__xludf.DUMMYFUNCTION("""COMPUTED_VALUE"""),"-")</f>
        <v>-</v>
      </c>
      <c r="T895" s="57">
        <f>IFERROR(__xludf.DUMMYFUNCTION("""COMPUTED_VALUE"""),43671.0)</f>
        <v>43671</v>
      </c>
    </row>
    <row r="896">
      <c r="A896" s="6" t="str">
        <f>IFERROR(__xludf.DUMMYFUNCTION("""COMPUTED_VALUE"""),"191750224-1")</f>
        <v>191750224-1</v>
      </c>
      <c r="B896" s="6" t="str">
        <f>IFERROR(__xludf.DUMMYFUNCTION("""COMPUTED_VALUE"""),"191750224 - Approved")</f>
        <v>191750224 - Approved</v>
      </c>
      <c r="C896" s="6">
        <f>IFERROR(__xludf.DUMMYFUNCTION("""COMPUTED_VALUE"""),1.0)</f>
        <v>1</v>
      </c>
      <c r="D896" s="6" t="str">
        <f>IFERROR(__xludf.DUMMYFUNCTION("""COMPUTED_VALUE"""),"T-10000-00")</f>
        <v>T-10000-00</v>
      </c>
      <c r="E896" s="6" t="str">
        <f>IFERROR(__xludf.DUMMYFUNCTION("""COMPUTED_VALUE"""),"Motherboard Lenovo IS6XM Rev1.0")</f>
        <v>Motherboard Lenovo IS6XM Rev1.0</v>
      </c>
      <c r="F896" s="6">
        <f>IFERROR(__xludf.DUMMYFUNCTION("""COMPUTED_VALUE"""),1.0)</f>
        <v>1</v>
      </c>
      <c r="G896" s="6" t="str">
        <f>IFERROR(__xludf.DUMMYFUNCTION("""COMPUTED_VALUE"""),"Unit")</f>
        <v>Unit</v>
      </c>
      <c r="H896" s="6" t="str">
        <f>IFERROR(__xludf.DUMMYFUNCTION("""COMPUTED_VALUE"""),"IDR")</f>
        <v>IDR</v>
      </c>
      <c r="I896" s="6">
        <f>IFERROR(__xludf.DUMMYFUNCTION("""COMPUTED_VALUE"""),757389.0)</f>
        <v>757389</v>
      </c>
      <c r="J896" s="6">
        <f>IFERROR(__xludf.DUMMYFUNCTION("""COMPUTED_VALUE"""),757389.0)</f>
        <v>757389</v>
      </c>
      <c r="K896" s="57">
        <f>IFERROR(__xludf.DUMMYFUNCTION("""COMPUTED_VALUE"""),43630.0)</f>
        <v>43630</v>
      </c>
      <c r="L896" s="6" t="str">
        <f>IFERROR(__xludf.DUMMYFUNCTION("""COMPUTED_VALUE"""),"FIP General")</f>
        <v>FIP General</v>
      </c>
      <c r="M896" s="6" t="str">
        <f>IFERROR(__xludf.DUMMYFUNCTION("""COMPUTED_VALUE"""),"Irwan Sopian")</f>
        <v>Irwan Sopian</v>
      </c>
      <c r="N896" s="6" t="str">
        <f>IFERROR(__xludf.DUMMYFUNCTION("""COMPUTED_VALUE"""),"FIP Engineering")</f>
        <v>FIP Engineering</v>
      </c>
      <c r="O896" s="6" t="str">
        <f>IFERROR(__xludf.DUMMYFUNCTION("""COMPUTED_VALUE"""),"FIP-DOM-ENG-51505-0000000-INA-000000")</f>
        <v>FIP-DOM-ENG-51505-0000000-INA-000000</v>
      </c>
      <c r="P896" s="6" t="str">
        <f>IFERROR(__xludf.DUMMYFUNCTION("""COMPUTED_VALUE"""),"PO Closed")</f>
        <v>PO Closed</v>
      </c>
      <c r="Q896" s="6" t="str">
        <f>IFERROR(__xludf.DUMMYFUNCTION("""COMPUTED_VALUE"""),"GL1906006")</f>
        <v>GL1906006</v>
      </c>
      <c r="R896" s="57">
        <f>IFERROR(__xludf.DUMMYFUNCTION("""COMPUTED_VALUE"""),43613.0)</f>
        <v>43613</v>
      </c>
      <c r="S896" s="6" t="str">
        <f>IFERROR(__xludf.DUMMYFUNCTION("""COMPUTED_VALUE"""),"-")</f>
        <v>-</v>
      </c>
      <c r="T896" s="57">
        <f>IFERROR(__xludf.DUMMYFUNCTION("""COMPUTED_VALUE"""),43630.0)</f>
        <v>43630</v>
      </c>
    </row>
    <row r="897">
      <c r="A897" s="6" t="str">
        <f>IFERROR(__xludf.DUMMYFUNCTION("""COMPUTED_VALUE"""),"191750224-2")</f>
        <v>191750224-2</v>
      </c>
      <c r="B897" s="6" t="str">
        <f>IFERROR(__xludf.DUMMYFUNCTION("""COMPUTED_VALUE"""),"191750224 - Approved")</f>
        <v>191750224 - Approved</v>
      </c>
      <c r="C897" s="6">
        <f>IFERROR(__xludf.DUMMYFUNCTION("""COMPUTED_VALUE"""),2.0)</f>
        <v>2</v>
      </c>
      <c r="D897" s="6" t="str">
        <f>IFERROR(__xludf.DUMMYFUNCTION("""COMPUTED_VALUE"""),"T-10000-00")</f>
        <v>T-10000-00</v>
      </c>
      <c r="E897" s="6" t="str">
        <f>IFERROR(__xludf.DUMMYFUNCTION("""COMPUTED_VALUE"""),"TP-Link UH400 4 port USB HUB 3.0 super speed 5 Gbps port")</f>
        <v>TP-Link UH400 4 port USB HUB 3.0 super speed 5 Gbps port</v>
      </c>
      <c r="F897" s="6">
        <f>IFERROR(__xludf.DUMMYFUNCTION("""COMPUTED_VALUE"""),1.0)</f>
        <v>1</v>
      </c>
      <c r="G897" s="6" t="str">
        <f>IFERROR(__xludf.DUMMYFUNCTION("""COMPUTED_VALUE"""),"Unit")</f>
        <v>Unit</v>
      </c>
      <c r="H897" s="6" t="str">
        <f>IFERROR(__xludf.DUMMYFUNCTION("""COMPUTED_VALUE"""),"IDR")</f>
        <v>IDR</v>
      </c>
      <c r="I897" s="6">
        <f>IFERROR(__xludf.DUMMYFUNCTION("""COMPUTED_VALUE"""),283000.0)</f>
        <v>283000</v>
      </c>
      <c r="J897" s="6">
        <f>IFERROR(__xludf.DUMMYFUNCTION("""COMPUTED_VALUE"""),283000.0)</f>
        <v>283000</v>
      </c>
      <c r="K897" s="57">
        <f>IFERROR(__xludf.DUMMYFUNCTION("""COMPUTED_VALUE"""),43630.0)</f>
        <v>43630</v>
      </c>
      <c r="L897" s="6" t="str">
        <f>IFERROR(__xludf.DUMMYFUNCTION("""COMPUTED_VALUE"""),"FIP General")</f>
        <v>FIP General</v>
      </c>
      <c r="M897" s="6" t="str">
        <f>IFERROR(__xludf.DUMMYFUNCTION("""COMPUTED_VALUE"""),"Irwan Sopian")</f>
        <v>Irwan Sopian</v>
      </c>
      <c r="N897" s="6" t="str">
        <f>IFERROR(__xludf.DUMMYFUNCTION("""COMPUTED_VALUE"""),"FIP Engineering")</f>
        <v>FIP Engineering</v>
      </c>
      <c r="O897" s="6" t="str">
        <f>IFERROR(__xludf.DUMMYFUNCTION("""COMPUTED_VALUE"""),"FIP-DOM-ENG-51505-0000000-INA-000000")</f>
        <v>FIP-DOM-ENG-51505-0000000-INA-000000</v>
      </c>
      <c r="P897" s="6" t="str">
        <f>IFERROR(__xludf.DUMMYFUNCTION("""COMPUTED_VALUE"""),"PO Closed")</f>
        <v>PO Closed</v>
      </c>
      <c r="Q897" s="6" t="str">
        <f>IFERROR(__xludf.DUMMYFUNCTION("""COMPUTED_VALUE"""),"GL1906005")</f>
        <v>GL1906005</v>
      </c>
      <c r="R897" s="57">
        <f>IFERROR(__xludf.DUMMYFUNCTION("""COMPUTED_VALUE"""),43613.0)</f>
        <v>43613</v>
      </c>
      <c r="S897" s="6" t="str">
        <f>IFERROR(__xludf.DUMMYFUNCTION("""COMPUTED_VALUE"""),"-")</f>
        <v>-</v>
      </c>
      <c r="T897" s="57">
        <f>IFERROR(__xludf.DUMMYFUNCTION("""COMPUTED_VALUE"""),43637.0)</f>
        <v>43637</v>
      </c>
    </row>
    <row r="898">
      <c r="A898" s="6" t="str">
        <f>IFERROR(__xludf.DUMMYFUNCTION("""COMPUTED_VALUE"""),"191750236-1")</f>
        <v>191750236-1</v>
      </c>
      <c r="B898" s="6" t="str">
        <f>IFERROR(__xludf.DUMMYFUNCTION("""COMPUTED_VALUE"""),"191750236 - Approved")</f>
        <v>191750236 - Approved</v>
      </c>
      <c r="C898" s="6">
        <f>IFERROR(__xludf.DUMMYFUNCTION("""COMPUTED_VALUE"""),1.0)</f>
        <v>1</v>
      </c>
      <c r="D898" s="6" t="str">
        <f>IFERROR(__xludf.DUMMYFUNCTION("""COMPUTED_VALUE"""),"P-13754-00")</f>
        <v>P-13754-00</v>
      </c>
      <c r="E898" s="6" t="str">
        <f>IFERROR(__xludf.DUMMYFUNCTION("""COMPUTED_VALUE"""),"Electronic Valve Actuator SQS65 Siemens")</f>
        <v>Electronic Valve Actuator SQS65 Siemens</v>
      </c>
      <c r="F898" s="6">
        <f>IFERROR(__xludf.DUMMYFUNCTION("""COMPUTED_VALUE"""),1.0)</f>
        <v>1</v>
      </c>
      <c r="G898" s="6" t="str">
        <f>IFERROR(__xludf.DUMMYFUNCTION("""COMPUTED_VALUE"""),"Unit")</f>
        <v>Unit</v>
      </c>
      <c r="H898" s="6" t="str">
        <f>IFERROR(__xludf.DUMMYFUNCTION("""COMPUTED_VALUE"""),"IDR")</f>
        <v>IDR</v>
      </c>
      <c r="I898" s="6">
        <f>IFERROR(__xludf.DUMMYFUNCTION("""COMPUTED_VALUE"""),4150000.0)</f>
        <v>4150000</v>
      </c>
      <c r="J898" s="6">
        <f>IFERROR(__xludf.DUMMYFUNCTION("""COMPUTED_VALUE"""),4150000.0)</f>
        <v>4150000</v>
      </c>
      <c r="K898" s="57">
        <f>IFERROR(__xludf.DUMMYFUNCTION("""COMPUTED_VALUE"""),43665.0)</f>
        <v>43665</v>
      </c>
      <c r="L898" s="6" t="str">
        <f>IFERROR(__xludf.DUMMYFUNCTION("""COMPUTED_VALUE"""),"FIP Engineering")</f>
        <v>FIP Engineering</v>
      </c>
      <c r="M898" s="6" t="str">
        <f>IFERROR(__xludf.DUMMYFUNCTION("""COMPUTED_VALUE"""),"Irwan Sopian")</f>
        <v>Irwan Sopian</v>
      </c>
      <c r="N898" s="6" t="str">
        <f>IFERROR(__xludf.DUMMYFUNCTION("""COMPUTED_VALUE"""),"FIP Engineering")</f>
        <v>FIP Engineering</v>
      </c>
      <c r="O898" s="6" t="str">
        <f>IFERROR(__xludf.DUMMYFUNCTION("""COMPUTED_VALUE"""),"FIP-DOM-000-11304-OS00001-INA-000000")</f>
        <v>FIP-DOM-000-11304-OS00001-INA-000000</v>
      </c>
      <c r="P898" s="6" t="str">
        <f>IFERROR(__xludf.DUMMYFUNCTION("""COMPUTED_VALUE"""),"PO Closed")</f>
        <v>PO Closed</v>
      </c>
      <c r="Q898" s="6" t="str">
        <f>IFERROR(__xludf.DUMMYFUNCTION("""COMPUTED_VALUE"""),"GL1907062")</f>
        <v>GL1907062</v>
      </c>
      <c r="R898" s="57">
        <f>IFERROR(__xludf.DUMMYFUNCTION("""COMPUTED_VALUE"""),43629.0)</f>
        <v>43629</v>
      </c>
      <c r="S898" s="6" t="str">
        <f>IFERROR(__xludf.DUMMYFUNCTION("""COMPUTED_VALUE"""),"-")</f>
        <v>-</v>
      </c>
      <c r="T898" s="57">
        <f>IFERROR(__xludf.DUMMYFUNCTION("""COMPUTED_VALUE"""),43759.0)</f>
        <v>43759</v>
      </c>
    </row>
    <row r="899">
      <c r="A899" s="6" t="str">
        <f>IFERROR(__xludf.DUMMYFUNCTION("""COMPUTED_VALUE"""),"191750236-2")</f>
        <v>191750236-2</v>
      </c>
      <c r="B899" s="6" t="str">
        <f>IFERROR(__xludf.DUMMYFUNCTION("""COMPUTED_VALUE"""),"191750236 - Approved")</f>
        <v>191750236 - Approved</v>
      </c>
      <c r="C899" s="6">
        <f>IFERROR(__xludf.DUMMYFUNCTION("""COMPUTED_VALUE"""),2.0)</f>
        <v>2</v>
      </c>
      <c r="D899" s="6" t="str">
        <f>IFERROR(__xludf.DUMMYFUNCTION("""COMPUTED_VALUE"""),"P-13773-00")</f>
        <v>P-13773-00</v>
      </c>
      <c r="E899" s="6" t="str">
        <f>IFERROR(__xludf.DUMMYFUNCTION("""COMPUTED_VALUE"""),"Valve PN16 DN25 for Actuator SQS65 Siemens")</f>
        <v>Valve PN16 DN25 for Actuator SQS65 Siemens</v>
      </c>
      <c r="F899" s="6">
        <f>IFERROR(__xludf.DUMMYFUNCTION("""COMPUTED_VALUE"""),1.0)</f>
        <v>1</v>
      </c>
      <c r="G899" s="6" t="str">
        <f>IFERROR(__xludf.DUMMYFUNCTION("""COMPUTED_VALUE"""),"Pieces")</f>
        <v>Pieces</v>
      </c>
      <c r="H899" s="6" t="str">
        <f>IFERROR(__xludf.DUMMYFUNCTION("""COMPUTED_VALUE"""),"IDR")</f>
        <v>IDR</v>
      </c>
      <c r="I899" s="6">
        <f>IFERROR(__xludf.DUMMYFUNCTION("""COMPUTED_VALUE"""),3865000.0)</f>
        <v>3865000</v>
      </c>
      <c r="J899" s="6">
        <f>IFERROR(__xludf.DUMMYFUNCTION("""COMPUTED_VALUE"""),3865000.0)</f>
        <v>3865000</v>
      </c>
      <c r="K899" s="57">
        <f>IFERROR(__xludf.DUMMYFUNCTION("""COMPUTED_VALUE"""),43665.0)</f>
        <v>43665</v>
      </c>
      <c r="L899" s="6" t="str">
        <f>IFERROR(__xludf.DUMMYFUNCTION("""COMPUTED_VALUE"""),"FIP Engineering")</f>
        <v>FIP Engineering</v>
      </c>
      <c r="M899" s="6" t="str">
        <f>IFERROR(__xludf.DUMMYFUNCTION("""COMPUTED_VALUE"""),"Irwan Sopian")</f>
        <v>Irwan Sopian</v>
      </c>
      <c r="N899" s="6" t="str">
        <f>IFERROR(__xludf.DUMMYFUNCTION("""COMPUTED_VALUE"""),"FIP Engineering")</f>
        <v>FIP Engineering</v>
      </c>
      <c r="O899" s="6" t="str">
        <f>IFERROR(__xludf.DUMMYFUNCTION("""COMPUTED_VALUE"""),"FIP-DOM-000-11304-OS00001-INA-000000")</f>
        <v>FIP-DOM-000-11304-OS00001-INA-000000</v>
      </c>
      <c r="P899" s="6" t="str">
        <f>IFERROR(__xludf.DUMMYFUNCTION("""COMPUTED_VALUE"""),"PO Closed")</f>
        <v>PO Closed</v>
      </c>
      <c r="Q899" s="6" t="str">
        <f>IFERROR(__xludf.DUMMYFUNCTION("""COMPUTED_VALUE"""),"GL1907062")</f>
        <v>GL1907062</v>
      </c>
      <c r="R899" s="57">
        <f>IFERROR(__xludf.DUMMYFUNCTION("""COMPUTED_VALUE"""),43629.0)</f>
        <v>43629</v>
      </c>
      <c r="S899" s="6" t="str">
        <f>IFERROR(__xludf.DUMMYFUNCTION("""COMPUTED_VALUE"""),"-")</f>
        <v>-</v>
      </c>
      <c r="T899" s="57">
        <f>IFERROR(__xludf.DUMMYFUNCTION("""COMPUTED_VALUE"""),43759.0)</f>
        <v>43759</v>
      </c>
    </row>
    <row r="900">
      <c r="A900" s="6" t="str">
        <f>IFERROR(__xludf.DUMMYFUNCTION("""COMPUTED_VALUE"""),"191750235-1")</f>
        <v>191750235-1</v>
      </c>
      <c r="B900" s="6" t="str">
        <f>IFERROR(__xludf.DUMMYFUNCTION("""COMPUTED_VALUE"""),"191750235 - Approved")</f>
        <v>191750235 - Approved</v>
      </c>
      <c r="C900" s="6">
        <f>IFERROR(__xludf.DUMMYFUNCTION("""COMPUTED_VALUE"""),1.0)</f>
        <v>1</v>
      </c>
      <c r="D900" s="6" t="str">
        <f>IFERROR(__xludf.DUMMYFUNCTION("""COMPUTED_VALUE"""),"P-14899-00")</f>
        <v>P-14899-00</v>
      </c>
      <c r="E900" s="6" t="str">
        <f>IFERROR(__xludf.DUMMYFUNCTION("""COMPUTED_VALUE"""),"Electrode Set Ozone Generator Ozonia MKIV")</f>
        <v>Electrode Set Ozone Generator Ozonia MKIV</v>
      </c>
      <c r="F900" s="6">
        <f>IFERROR(__xludf.DUMMYFUNCTION("""COMPUTED_VALUE"""),1.0)</f>
        <v>1</v>
      </c>
      <c r="G900" s="6" t="str">
        <f>IFERROR(__xludf.DUMMYFUNCTION("""COMPUTED_VALUE"""),"Unit")</f>
        <v>Unit</v>
      </c>
      <c r="H900" s="6" t="str">
        <f>IFERROR(__xludf.DUMMYFUNCTION("""COMPUTED_VALUE"""),"IDR")</f>
        <v>IDR</v>
      </c>
      <c r="I900" s="6">
        <f>IFERROR(__xludf.DUMMYFUNCTION("""COMPUTED_VALUE"""),4.228E7)</f>
        <v>42280000</v>
      </c>
      <c r="J900" s="6">
        <f>IFERROR(__xludf.DUMMYFUNCTION("""COMPUTED_VALUE"""),4.228E7)</f>
        <v>42280000</v>
      </c>
      <c r="K900" s="57">
        <f>IFERROR(__xludf.DUMMYFUNCTION("""COMPUTED_VALUE"""),43651.0)</f>
        <v>43651</v>
      </c>
      <c r="L900" s="6" t="str">
        <f>IFERROR(__xludf.DUMMYFUNCTION("""COMPUTED_VALUE"""),"FIP Engineering")</f>
        <v>FIP Engineering</v>
      </c>
      <c r="M900" s="6" t="str">
        <f>IFERROR(__xludf.DUMMYFUNCTION("""COMPUTED_VALUE"""),"Irwan Sopian")</f>
        <v>Irwan Sopian</v>
      </c>
      <c r="N900" s="6" t="str">
        <f>IFERROR(__xludf.DUMMYFUNCTION("""COMPUTED_VALUE"""),"FIP Engineering")</f>
        <v>FIP Engineering</v>
      </c>
      <c r="O900" s="6" t="str">
        <f>IFERROR(__xludf.DUMMYFUNCTION("""COMPUTED_VALUE"""),"FIP-DOM-000-11304-OS00001-INA-000000")</f>
        <v>FIP-DOM-000-11304-OS00001-INA-000000</v>
      </c>
      <c r="P900" s="6" t="str">
        <f>IFERROR(__xludf.DUMMYFUNCTION("""COMPUTED_VALUE"""),"PO Closed")</f>
        <v>PO Closed</v>
      </c>
      <c r="Q900" s="6" t="str">
        <f>IFERROR(__xludf.DUMMYFUNCTION("""COMPUTED_VALUE"""),"GL1907010")</f>
        <v>GL1907010</v>
      </c>
      <c r="R900" s="57">
        <f>IFERROR(__xludf.DUMMYFUNCTION("""COMPUTED_VALUE"""),43629.0)</f>
        <v>43629</v>
      </c>
      <c r="S900" s="6" t="str">
        <f>IFERROR(__xludf.DUMMYFUNCTION("""COMPUTED_VALUE"""),"-")</f>
        <v>-</v>
      </c>
      <c r="T900" s="57">
        <f>IFERROR(__xludf.DUMMYFUNCTION("""COMPUTED_VALUE"""),43658.0)</f>
        <v>43658</v>
      </c>
    </row>
    <row r="901">
      <c r="A901" s="6" t="str">
        <f>IFERROR(__xludf.DUMMYFUNCTION("""COMPUTED_VALUE"""),"191750233-1")</f>
        <v>191750233-1</v>
      </c>
      <c r="B901" s="6" t="str">
        <f>IFERROR(__xludf.DUMMYFUNCTION("""COMPUTED_VALUE"""),"191750233 - Approved")</f>
        <v>191750233 - Approved</v>
      </c>
      <c r="C901" s="6">
        <f>IFERROR(__xludf.DUMMYFUNCTION("""COMPUTED_VALUE"""),1.0)</f>
        <v>1</v>
      </c>
      <c r="D901" s="6" t="str">
        <f>IFERROR(__xludf.DUMMYFUNCTION("""COMPUTED_VALUE"""),"S-41661-00")</f>
        <v>S-41661-00</v>
      </c>
      <c r="E901" s="6" t="str">
        <f>IFERROR(__xludf.DUMMYFUNCTION("""COMPUTED_VALUE"""),"Alat Pemotong Kaca")</f>
        <v>Alat Pemotong Kaca</v>
      </c>
      <c r="F901" s="6">
        <f>IFERROR(__xludf.DUMMYFUNCTION("""COMPUTED_VALUE"""),1.0)</f>
        <v>1</v>
      </c>
      <c r="G901" s="6" t="str">
        <f>IFERROR(__xludf.DUMMYFUNCTION("""COMPUTED_VALUE"""),"Pieces")</f>
        <v>Pieces</v>
      </c>
      <c r="H901" s="6" t="str">
        <f>IFERROR(__xludf.DUMMYFUNCTION("""COMPUTED_VALUE"""),"IDR")</f>
        <v>IDR</v>
      </c>
      <c r="I901" s="6">
        <f>IFERROR(__xludf.DUMMYFUNCTION("""COMPUTED_VALUE"""),30000.0)</f>
        <v>30000</v>
      </c>
      <c r="J901" s="6">
        <f>IFERROR(__xludf.DUMMYFUNCTION("""COMPUTED_VALUE"""),30000.0)</f>
        <v>30000</v>
      </c>
      <c r="K901" s="57">
        <f>IFERROR(__xludf.DUMMYFUNCTION("""COMPUTED_VALUE"""),43658.0)</f>
        <v>43658</v>
      </c>
      <c r="L901" s="6" t="str">
        <f>IFERROR(__xludf.DUMMYFUNCTION("""COMPUTED_VALUE"""),"FIP General")</f>
        <v>FIP General</v>
      </c>
      <c r="M901" s="6" t="str">
        <f>IFERROR(__xludf.DUMMYFUNCTION("""COMPUTED_VALUE"""),"Irwan Sopian")</f>
        <v>Irwan Sopian</v>
      </c>
      <c r="N901" s="6" t="str">
        <f>IFERROR(__xludf.DUMMYFUNCTION("""COMPUTED_VALUE"""),"FIP Engineering")</f>
        <v>FIP Engineering</v>
      </c>
      <c r="O901" s="6" t="str">
        <f>IFERROR(__xludf.DUMMYFUNCTION("""COMPUTED_VALUE"""),"FIP-DOM-ENG-51502-0000000-INA-000000")</f>
        <v>FIP-DOM-ENG-51502-0000000-INA-000000</v>
      </c>
      <c r="P901" s="6" t="str">
        <f>IFERROR(__xludf.DUMMYFUNCTION("""COMPUTED_VALUE"""),"PO Closed")</f>
        <v>PO Closed</v>
      </c>
      <c r="Q901" s="6" t="str">
        <f>IFERROR(__xludf.DUMMYFUNCTION("""COMPUTED_VALUE"""),"GL1907043")</f>
        <v>GL1907043</v>
      </c>
      <c r="R901" s="57">
        <f>IFERROR(__xludf.DUMMYFUNCTION("""COMPUTED_VALUE"""),43629.0)</f>
        <v>43629</v>
      </c>
      <c r="S901" s="6" t="str">
        <f>IFERROR(__xludf.DUMMYFUNCTION("""COMPUTED_VALUE"""),"-")</f>
        <v>-</v>
      </c>
      <c r="T901" s="57">
        <f>IFERROR(__xludf.DUMMYFUNCTION("""COMPUTED_VALUE"""),43663.0)</f>
        <v>43663</v>
      </c>
    </row>
    <row r="902">
      <c r="A902" s="6" t="str">
        <f>IFERROR(__xludf.DUMMYFUNCTION("""COMPUTED_VALUE"""),"191750233-2")</f>
        <v>191750233-2</v>
      </c>
      <c r="B902" s="6" t="str">
        <f>IFERROR(__xludf.DUMMYFUNCTION("""COMPUTED_VALUE"""),"191750233 - Approved")</f>
        <v>191750233 - Approved</v>
      </c>
      <c r="C902" s="6">
        <f>IFERROR(__xludf.DUMMYFUNCTION("""COMPUTED_VALUE"""),2.0)</f>
        <v>2</v>
      </c>
      <c r="D902" s="6" t="str">
        <f>IFERROR(__xludf.DUMMYFUNCTION("""COMPUTED_VALUE"""),"S-40114-00")</f>
        <v>S-40114-00</v>
      </c>
      <c r="E902" s="6" t="str">
        <f>IFERROR(__xludf.DUMMYFUNCTION("""COMPUTED_VALUE"""),"Obeng")</f>
        <v>Obeng</v>
      </c>
      <c r="F902" s="6">
        <f>IFERROR(__xludf.DUMMYFUNCTION("""COMPUTED_VALUE"""),1.0)</f>
        <v>1</v>
      </c>
      <c r="G902" s="6" t="str">
        <f>IFERROR(__xludf.DUMMYFUNCTION("""COMPUTED_VALUE"""),"Pieces")</f>
        <v>Pieces</v>
      </c>
      <c r="H902" s="6" t="str">
        <f>IFERROR(__xludf.DUMMYFUNCTION("""COMPUTED_VALUE"""),"IDR")</f>
        <v>IDR</v>
      </c>
      <c r="I902" s="6">
        <f>IFERROR(__xludf.DUMMYFUNCTION("""COMPUTED_VALUE"""),30000.0)</f>
        <v>30000</v>
      </c>
      <c r="J902" s="6">
        <f>IFERROR(__xludf.DUMMYFUNCTION("""COMPUTED_VALUE"""),30000.0)</f>
        <v>30000</v>
      </c>
      <c r="K902" s="57">
        <f>IFERROR(__xludf.DUMMYFUNCTION("""COMPUTED_VALUE"""),43658.0)</f>
        <v>43658</v>
      </c>
      <c r="L902" s="6" t="str">
        <f>IFERROR(__xludf.DUMMYFUNCTION("""COMPUTED_VALUE"""),"FIP General")</f>
        <v>FIP General</v>
      </c>
      <c r="M902" s="6" t="str">
        <f>IFERROR(__xludf.DUMMYFUNCTION("""COMPUTED_VALUE"""),"Irwan Sopian")</f>
        <v>Irwan Sopian</v>
      </c>
      <c r="N902" s="6" t="str">
        <f>IFERROR(__xludf.DUMMYFUNCTION("""COMPUTED_VALUE"""),"FIP Engineering")</f>
        <v>FIP Engineering</v>
      </c>
      <c r="O902" s="6" t="str">
        <f>IFERROR(__xludf.DUMMYFUNCTION("""COMPUTED_VALUE"""),"FIP-DOM-ENG-51404-0000000-INA-000000")</f>
        <v>FIP-DOM-ENG-51404-0000000-INA-000000</v>
      </c>
      <c r="P902" s="6" t="str">
        <f>IFERROR(__xludf.DUMMYFUNCTION("""COMPUTED_VALUE"""),"PO Closed")</f>
        <v>PO Closed</v>
      </c>
      <c r="Q902" s="6" t="str">
        <f>IFERROR(__xludf.DUMMYFUNCTION("""COMPUTED_VALUE"""),"GL1907043")</f>
        <v>GL1907043</v>
      </c>
      <c r="R902" s="57">
        <f>IFERROR(__xludf.DUMMYFUNCTION("""COMPUTED_VALUE"""),43629.0)</f>
        <v>43629</v>
      </c>
      <c r="S902" s="6" t="str">
        <f>IFERROR(__xludf.DUMMYFUNCTION("""COMPUTED_VALUE"""),"-")</f>
        <v>-</v>
      </c>
      <c r="T902" s="57">
        <f>IFERROR(__xludf.DUMMYFUNCTION("""COMPUTED_VALUE"""),43663.0)</f>
        <v>43663</v>
      </c>
    </row>
    <row r="903">
      <c r="A903" s="6" t="str">
        <f>IFERROR(__xludf.DUMMYFUNCTION("""COMPUTED_VALUE"""),"191750239-1")</f>
        <v>191750239-1</v>
      </c>
      <c r="B903" s="6" t="str">
        <f>IFERROR(__xludf.DUMMYFUNCTION("""COMPUTED_VALUE"""),"191750239 - Approved")</f>
        <v>191750239 - Approved</v>
      </c>
      <c r="C903" s="6">
        <f>IFERROR(__xludf.DUMMYFUNCTION("""COMPUTED_VALUE"""),1.0)</f>
        <v>1</v>
      </c>
      <c r="D903" s="6" t="str">
        <f>IFERROR(__xludf.DUMMYFUNCTION("""COMPUTED_VALUE"""),"O-54109-00")</f>
        <v>O-54109-00</v>
      </c>
      <c r="E903" s="6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F903" s="6">
        <f>IFERROR(__xludf.DUMMYFUNCTION("""COMPUTED_VALUE"""),1.0)</f>
        <v>1</v>
      </c>
      <c r="G903" s="6" t="str">
        <f>IFERROR(__xludf.DUMMYFUNCTION("""COMPUTED_VALUE"""),"Pieces")</f>
        <v>Pieces</v>
      </c>
      <c r="H903" s="6" t="str">
        <f>IFERROR(__xludf.DUMMYFUNCTION("""COMPUTED_VALUE"""),"EUR")</f>
        <v>EUR</v>
      </c>
      <c r="I903" s="6">
        <f>IFERROR(__xludf.DUMMYFUNCTION("""COMPUTED_VALUE"""),9000.0)</f>
        <v>9000</v>
      </c>
      <c r="J903" s="6">
        <f>IFERROR(__xludf.DUMMYFUNCTION("""COMPUTED_VALUE"""),9000.0)</f>
        <v>9000</v>
      </c>
      <c r="K903" s="57">
        <f>IFERROR(__xludf.DUMMYFUNCTION("""COMPUTED_VALUE"""),43678.0)</f>
        <v>43678</v>
      </c>
      <c r="L903" s="6" t="str">
        <f>IFERROR(__xludf.DUMMYFUNCTION("""COMPUTED_VALUE"""),"FIP Engineering")</f>
        <v>FIP Engineering</v>
      </c>
      <c r="M903" s="6" t="str">
        <f>IFERROR(__xludf.DUMMYFUNCTION("""COMPUTED_VALUE"""),"Irwan Sopian")</f>
        <v>Irwan Sopian</v>
      </c>
      <c r="N903" s="6" t="str">
        <f>IFERROR(__xludf.DUMMYFUNCTION("""COMPUTED_VALUE"""),"FIP Engineering")</f>
        <v>FIP Engineering</v>
      </c>
      <c r="O903" s="6" t="str">
        <f>IFERROR(__xludf.DUMMYFUNCTION("""COMPUTED_VALUE"""),"FIP-DOM-000-11304-OS00001-INA-000000")</f>
        <v>FIP-DOM-000-11304-OS00001-INA-000000</v>
      </c>
      <c r="P903" s="6" t="str">
        <f>IFERROR(__xludf.DUMMYFUNCTION("""COMPUTED_VALUE"""),"PO Closed")</f>
        <v>PO Closed</v>
      </c>
      <c r="Q903" s="6" t="str">
        <f>IFERROR(__xludf.DUMMYFUNCTION("""COMPUTED_VALUE"""),"GL1907058")</f>
        <v>GL1907058</v>
      </c>
      <c r="R903" s="57">
        <f>IFERROR(__xludf.DUMMYFUNCTION("""COMPUTED_VALUE"""),43630.0)</f>
        <v>43630</v>
      </c>
      <c r="S903" s="6" t="str">
        <f>IFERROR(__xludf.DUMMYFUNCTION("""COMPUTED_VALUE"""),"-")</f>
        <v>-</v>
      </c>
      <c r="T903" s="57">
        <f>IFERROR(__xludf.DUMMYFUNCTION("""COMPUTED_VALUE"""),43738.0)</f>
        <v>43738</v>
      </c>
    </row>
    <row r="904">
      <c r="A904" s="6" t="str">
        <f>IFERROR(__xludf.DUMMYFUNCTION("""COMPUTED_VALUE"""),"191750238-1")</f>
        <v>191750238-1</v>
      </c>
      <c r="B904" s="6" t="str">
        <f>IFERROR(__xludf.DUMMYFUNCTION("""COMPUTED_VALUE"""),"191750238 - Approved")</f>
        <v>191750238 - Approved</v>
      </c>
      <c r="C904" s="6">
        <f>IFERROR(__xludf.DUMMYFUNCTION("""COMPUTED_VALUE"""),1.0)</f>
        <v>1</v>
      </c>
      <c r="D904" s="6" t="str">
        <f>IFERROR(__xludf.DUMMYFUNCTION("""COMPUTED_VALUE"""),"Q-10305-00")</f>
        <v>Q-10305-00</v>
      </c>
      <c r="E904" s="6" t="str">
        <f>IFERROR(__xludf.DUMMYFUNCTION("""COMPUTED_VALUE"""),"Raven Door Seal (balon) RP48 Brown/White 50mtr x 2")</f>
        <v>Raven Door Seal (balon) RP48 Brown/White 50mtr x 2</v>
      </c>
      <c r="F904" s="6">
        <f>IFERROR(__xludf.DUMMYFUNCTION("""COMPUTED_VALUE"""),1.0)</f>
        <v>1</v>
      </c>
      <c r="G904" s="6" t="str">
        <f>IFERROR(__xludf.DUMMYFUNCTION("""COMPUTED_VALUE"""),"Roll")</f>
        <v>Roll</v>
      </c>
      <c r="H904" s="6" t="str">
        <f>IFERROR(__xludf.DUMMYFUNCTION("""COMPUTED_VALUE"""),"IDR")</f>
        <v>IDR</v>
      </c>
      <c r="I904" s="6">
        <f>IFERROR(__xludf.DUMMYFUNCTION("""COMPUTED_VALUE"""),1111275.0)</f>
        <v>1111275</v>
      </c>
      <c r="J904" s="6">
        <f>IFERROR(__xludf.DUMMYFUNCTION("""COMPUTED_VALUE"""),1111275.0)</f>
        <v>1111275</v>
      </c>
      <c r="K904" s="57">
        <f>IFERROR(__xludf.DUMMYFUNCTION("""COMPUTED_VALUE"""),43665.0)</f>
        <v>43665</v>
      </c>
      <c r="L904" s="6" t="str">
        <f>IFERROR(__xludf.DUMMYFUNCTION("""COMPUTED_VALUE"""),"FIP General")</f>
        <v>FIP General</v>
      </c>
      <c r="M904" s="6" t="str">
        <f>IFERROR(__xludf.DUMMYFUNCTION("""COMPUTED_VALUE"""),"Irwan Sopian")</f>
        <v>Irwan Sopian</v>
      </c>
      <c r="N904" s="6" t="str">
        <f>IFERROR(__xludf.DUMMYFUNCTION("""COMPUTED_VALUE"""),"FIP Engineering")</f>
        <v>FIP Engineering</v>
      </c>
      <c r="O904" s="6" t="str">
        <f>IFERROR(__xludf.DUMMYFUNCTION("""COMPUTED_VALUE"""),"FIP-DOM-ENG-51502-0000000-INA-000000")</f>
        <v>FIP-DOM-ENG-51502-0000000-INA-000000</v>
      </c>
      <c r="P904" s="6" t="str">
        <f>IFERROR(__xludf.DUMMYFUNCTION("""COMPUTED_VALUE"""),"PO Closed")</f>
        <v>PO Closed</v>
      </c>
      <c r="Q904" s="6" t="str">
        <f>IFERROR(__xludf.DUMMYFUNCTION("""COMPUTED_VALUE"""),"GL1907013")</f>
        <v>GL1907013</v>
      </c>
      <c r="R904" s="57">
        <f>IFERROR(__xludf.DUMMYFUNCTION("""COMPUTED_VALUE"""),43630.0)</f>
        <v>43630</v>
      </c>
      <c r="S904" s="6" t="str">
        <f>IFERROR(__xludf.DUMMYFUNCTION("""COMPUTED_VALUE"""),"-")</f>
        <v>-</v>
      </c>
      <c r="T904" s="57">
        <f>IFERROR(__xludf.DUMMYFUNCTION("""COMPUTED_VALUE"""),43696.0)</f>
        <v>43696</v>
      </c>
    </row>
    <row r="905">
      <c r="A905" s="6" t="str">
        <f>IFERROR(__xludf.DUMMYFUNCTION("""COMPUTED_VALUE"""),"191750237-1")</f>
        <v>191750237-1</v>
      </c>
      <c r="B905" s="6" t="str">
        <f>IFERROR(__xludf.DUMMYFUNCTION("""COMPUTED_VALUE"""),"191750237 - Approved")</f>
        <v>191750237 - Approved</v>
      </c>
      <c r="C905" s="6">
        <f>IFERROR(__xludf.DUMMYFUNCTION("""COMPUTED_VALUE"""),1.0)</f>
        <v>1</v>
      </c>
      <c r="D905" s="6" t="str">
        <f>IFERROR(__xludf.DUMMYFUNCTION("""COMPUTED_VALUE"""),"O-52234-00")</f>
        <v>O-52234-00</v>
      </c>
      <c r="E905" s="6" t="str">
        <f>IFERROR(__xludf.DUMMYFUNCTION("""COMPUTED_VALUE"""),"Sensor Amplifier OBF502 IFM")</f>
        <v>Sensor Amplifier OBF502 IFM</v>
      </c>
      <c r="F905" s="6">
        <f>IFERROR(__xludf.DUMMYFUNCTION("""COMPUTED_VALUE"""),1.0)</f>
        <v>1</v>
      </c>
      <c r="G905" s="6" t="str">
        <f>IFERROR(__xludf.DUMMYFUNCTION("""COMPUTED_VALUE"""),"Pieces")</f>
        <v>Pieces</v>
      </c>
      <c r="H905" s="6" t="str">
        <f>IFERROR(__xludf.DUMMYFUNCTION("""COMPUTED_VALUE"""),"IDR")</f>
        <v>IDR</v>
      </c>
      <c r="I905" s="6">
        <f>IFERROR(__xludf.DUMMYFUNCTION("""COMPUTED_VALUE"""),2750000.0)</f>
        <v>2750000</v>
      </c>
      <c r="J905" s="6">
        <f>IFERROR(__xludf.DUMMYFUNCTION("""COMPUTED_VALUE"""),2750000.0)</f>
        <v>2750000</v>
      </c>
      <c r="K905" s="57">
        <f>IFERROR(__xludf.DUMMYFUNCTION("""COMPUTED_VALUE"""),43665.0)</f>
        <v>43665</v>
      </c>
      <c r="L905" s="6" t="str">
        <f>IFERROR(__xludf.DUMMYFUNCTION("""COMPUTED_VALUE"""),"FIP Engineering")</f>
        <v>FIP Engineering</v>
      </c>
      <c r="M905" s="6" t="str">
        <f>IFERROR(__xludf.DUMMYFUNCTION("""COMPUTED_VALUE"""),"Irwan Sopian")</f>
        <v>Irwan Sopian</v>
      </c>
      <c r="N905" s="6" t="str">
        <f>IFERROR(__xludf.DUMMYFUNCTION("""COMPUTED_VALUE"""),"FIP Engineering")</f>
        <v>FIP Engineering</v>
      </c>
      <c r="O905" s="6" t="str">
        <f>IFERROR(__xludf.DUMMYFUNCTION("""COMPUTED_VALUE"""),"FIP-DOM-000-11304-OS00001-INA-000000")</f>
        <v>FIP-DOM-000-11304-OS00001-INA-000000</v>
      </c>
      <c r="P905" s="6" t="str">
        <f>IFERROR(__xludf.DUMMYFUNCTION("""COMPUTED_VALUE"""),"PO Closed")</f>
        <v>PO Closed</v>
      </c>
      <c r="Q905" s="6" t="str">
        <f>IFERROR(__xludf.DUMMYFUNCTION("""COMPUTED_VALUE"""),"GL1907011")</f>
        <v>GL1907011</v>
      </c>
      <c r="R905" s="57">
        <f>IFERROR(__xludf.DUMMYFUNCTION("""COMPUTED_VALUE"""),43630.0)</f>
        <v>43630</v>
      </c>
      <c r="S905" s="6" t="str">
        <f>IFERROR(__xludf.DUMMYFUNCTION("""COMPUTED_VALUE"""),"-")</f>
        <v>-</v>
      </c>
      <c r="T905" s="57">
        <f>IFERROR(__xludf.DUMMYFUNCTION("""COMPUTED_VALUE"""),43665.0)</f>
        <v>43665</v>
      </c>
    </row>
    <row r="906">
      <c r="A906" s="6" t="str">
        <f>IFERROR(__xludf.DUMMYFUNCTION("""COMPUTED_VALUE"""),"191750237-2")</f>
        <v>191750237-2</v>
      </c>
      <c r="B906" s="6" t="str">
        <f>IFERROR(__xludf.DUMMYFUNCTION("""COMPUTED_VALUE"""),"191750237 - Approved")</f>
        <v>191750237 - Approved</v>
      </c>
      <c r="C906" s="6">
        <f>IFERROR(__xludf.DUMMYFUNCTION("""COMPUTED_VALUE"""),2.0)</f>
        <v>2</v>
      </c>
      <c r="D906" s="6" t="str">
        <f>IFERROR(__xludf.DUMMYFUNCTION("""COMPUTED_VALUE"""),"S-60002-00")</f>
        <v>S-60002-00</v>
      </c>
      <c r="E906" s="6" t="str">
        <f>IFERROR(__xludf.DUMMYFUNCTION("""COMPUTED_VALUE"""),"PEMASANGAN DAN PROGRAMMING PLC")</f>
        <v>PEMASANGAN DAN PROGRAMMING PLC</v>
      </c>
      <c r="F906" s="6">
        <f>IFERROR(__xludf.DUMMYFUNCTION("""COMPUTED_VALUE"""),1.0)</f>
        <v>1</v>
      </c>
      <c r="G906" s="6" t="str">
        <f>IFERROR(__xludf.DUMMYFUNCTION("""COMPUTED_VALUE"""),"Lot")</f>
        <v>Lot</v>
      </c>
      <c r="H906" s="6" t="str">
        <f>IFERROR(__xludf.DUMMYFUNCTION("""COMPUTED_VALUE"""),"IDR")</f>
        <v>IDR</v>
      </c>
      <c r="I906" s="6">
        <f>IFERROR(__xludf.DUMMYFUNCTION("""COMPUTED_VALUE"""),1500000.0)</f>
        <v>1500000</v>
      </c>
      <c r="J906" s="6">
        <f>IFERROR(__xludf.DUMMYFUNCTION("""COMPUTED_VALUE"""),1500000.0)</f>
        <v>1500000</v>
      </c>
      <c r="K906" s="57">
        <f>IFERROR(__xludf.DUMMYFUNCTION("""COMPUTED_VALUE"""),43665.0)</f>
        <v>43665</v>
      </c>
      <c r="L906" s="6" t="str">
        <f>IFERROR(__xludf.DUMMYFUNCTION("""COMPUTED_VALUE"""),"FIP General")</f>
        <v>FIP General</v>
      </c>
      <c r="M906" s="6" t="str">
        <f>IFERROR(__xludf.DUMMYFUNCTION("""COMPUTED_VALUE"""),"Irwan Sopian")</f>
        <v>Irwan Sopian</v>
      </c>
      <c r="N906" s="6" t="str">
        <f>IFERROR(__xludf.DUMMYFUNCTION("""COMPUTED_VALUE"""),"FIP Engineering")</f>
        <v>FIP Engineering</v>
      </c>
      <c r="O906" s="6" t="str">
        <f>IFERROR(__xludf.DUMMYFUNCTION("""COMPUTED_VALUE"""),"FIP-DOM-ENG-51508-0000000-INA-000000")</f>
        <v>FIP-DOM-ENG-51508-0000000-INA-000000</v>
      </c>
      <c r="P906" s="6" t="str">
        <f>IFERROR(__xludf.DUMMYFUNCTION("""COMPUTED_VALUE"""),"PO Closed")</f>
        <v>PO Closed</v>
      </c>
      <c r="Q906" s="6" t="str">
        <f>IFERROR(__xludf.DUMMYFUNCTION("""COMPUTED_VALUE"""),"GL1907011")</f>
        <v>GL1907011</v>
      </c>
      <c r="R906" s="57">
        <f>IFERROR(__xludf.DUMMYFUNCTION("""COMPUTED_VALUE"""),43630.0)</f>
        <v>43630</v>
      </c>
      <c r="S906" s="6" t="str">
        <f>IFERROR(__xludf.DUMMYFUNCTION("""COMPUTED_VALUE"""),"-")</f>
        <v>-</v>
      </c>
      <c r="T906" s="57">
        <f>IFERROR(__xludf.DUMMYFUNCTION("""COMPUTED_VALUE"""),43665.0)</f>
        <v>43665</v>
      </c>
    </row>
    <row r="907">
      <c r="A907" s="6" t="str">
        <f>IFERROR(__xludf.DUMMYFUNCTION("""COMPUTED_VALUE"""),"191750244-1")</f>
        <v>191750244-1</v>
      </c>
      <c r="B907" s="6" t="str">
        <f>IFERROR(__xludf.DUMMYFUNCTION("""COMPUTED_VALUE"""),"191750244 - Approved")</f>
        <v>191750244 - Approved</v>
      </c>
      <c r="C907" s="6">
        <f>IFERROR(__xludf.DUMMYFUNCTION("""COMPUTED_VALUE"""),1.0)</f>
        <v>1</v>
      </c>
      <c r="D907" s="6" t="str">
        <f>IFERROR(__xludf.DUMMYFUNCTION("""COMPUTED_VALUE"""),"O-51742-00")</f>
        <v>O-51742-00</v>
      </c>
      <c r="E907" s="6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F907" s="6">
        <f>IFERROR(__xludf.DUMMYFUNCTION("""COMPUTED_VALUE"""),1.0)</f>
        <v>1</v>
      </c>
      <c r="G907" s="6" t="str">
        <f>IFERROR(__xludf.DUMMYFUNCTION("""COMPUTED_VALUE"""),"Unit")</f>
        <v>Unit</v>
      </c>
      <c r="H907" s="6" t="str">
        <f>IFERROR(__xludf.DUMMYFUNCTION("""COMPUTED_VALUE"""),"IDR")</f>
        <v>IDR</v>
      </c>
      <c r="I907" s="6">
        <f>IFERROR(__xludf.DUMMYFUNCTION("""COMPUTED_VALUE"""),5600000.0)</f>
        <v>5600000</v>
      </c>
      <c r="J907" s="6">
        <f>IFERROR(__xludf.DUMMYFUNCTION("""COMPUTED_VALUE"""),5600000.0)</f>
        <v>5600000</v>
      </c>
      <c r="K907" s="57">
        <f>IFERROR(__xludf.DUMMYFUNCTION("""COMPUTED_VALUE"""),43672.0)</f>
        <v>43672</v>
      </c>
      <c r="L907" s="6" t="str">
        <f>IFERROR(__xludf.DUMMYFUNCTION("""COMPUTED_VALUE"""),"FIP Engineering")</f>
        <v>FIP Engineering</v>
      </c>
      <c r="M907" s="6" t="str">
        <f>IFERROR(__xludf.DUMMYFUNCTION("""COMPUTED_VALUE"""),"Irwan Sopian")</f>
        <v>Irwan Sopian</v>
      </c>
      <c r="N907" s="6" t="str">
        <f>IFERROR(__xludf.DUMMYFUNCTION("""COMPUTED_VALUE"""),"FIP Engineering")</f>
        <v>FIP Engineering</v>
      </c>
      <c r="O907" s="6" t="str">
        <f>IFERROR(__xludf.DUMMYFUNCTION("""COMPUTED_VALUE"""),"FIP-DOM-000-11304-OS00001-INA-000000")</f>
        <v>FIP-DOM-000-11304-OS00001-INA-000000</v>
      </c>
      <c r="P907" s="6" t="str">
        <f>IFERROR(__xludf.DUMMYFUNCTION("""COMPUTED_VALUE"""),"PO Closed")</f>
        <v>PO Closed</v>
      </c>
      <c r="Q907" s="6" t="str">
        <f>IFERROR(__xludf.DUMMYFUNCTION("""COMPUTED_VALUE"""),"GL1907015")</f>
        <v>GL1907015</v>
      </c>
      <c r="R907" s="57">
        <f>IFERROR(__xludf.DUMMYFUNCTION("""COMPUTED_VALUE"""),43635.0)</f>
        <v>43635</v>
      </c>
      <c r="S907" s="6" t="str">
        <f>IFERROR(__xludf.DUMMYFUNCTION("""COMPUTED_VALUE"""),"-")</f>
        <v>-</v>
      </c>
      <c r="T907" s="57">
        <f>IFERROR(__xludf.DUMMYFUNCTION("""COMPUTED_VALUE"""),43717.0)</f>
        <v>43717</v>
      </c>
    </row>
    <row r="908">
      <c r="A908" s="6" t="str">
        <f>IFERROR(__xludf.DUMMYFUNCTION("""COMPUTED_VALUE"""),"191750238-2")</f>
        <v>191750238-2</v>
      </c>
      <c r="B908" s="6" t="str">
        <f>IFERROR(__xludf.DUMMYFUNCTION("""COMPUTED_VALUE"""),"191750238 - Approved")</f>
        <v>191750238 - Approved</v>
      </c>
      <c r="C908" s="6">
        <f>IFERROR(__xludf.DUMMYFUNCTION("""COMPUTED_VALUE"""),2.0)</f>
        <v>2</v>
      </c>
      <c r="D908" s="6" t="str">
        <f>IFERROR(__xludf.DUMMYFUNCTION("""COMPUTED_VALUE"""),"P-51889-00")</f>
        <v>P-51889-00</v>
      </c>
      <c r="E908" s="6" t="str">
        <f>IFERROR(__xludf.DUMMYFUNCTION("""COMPUTED_VALUE"""),"Autonics - Power Supply SPA-050-24VDC")</f>
        <v>Autonics - Power Supply SPA-050-24VDC</v>
      </c>
      <c r="F908" s="6">
        <f>IFERROR(__xludf.DUMMYFUNCTION("""COMPUTED_VALUE"""),2.0)</f>
        <v>2</v>
      </c>
      <c r="G908" s="6" t="str">
        <f>IFERROR(__xludf.DUMMYFUNCTION("""COMPUTED_VALUE"""),"Pieces")</f>
        <v>Pieces</v>
      </c>
      <c r="H908" s="6" t="str">
        <f>IFERROR(__xludf.DUMMYFUNCTION("""COMPUTED_VALUE"""),"IDR")</f>
        <v>IDR</v>
      </c>
      <c r="I908" s="6">
        <f>IFERROR(__xludf.DUMMYFUNCTION("""COMPUTED_VALUE"""),481000.0)</f>
        <v>481000</v>
      </c>
      <c r="J908" s="6">
        <f>IFERROR(__xludf.DUMMYFUNCTION("""COMPUTED_VALUE"""),962000.0)</f>
        <v>962000</v>
      </c>
      <c r="K908" s="57">
        <f>IFERROR(__xludf.DUMMYFUNCTION("""COMPUTED_VALUE"""),43651.0)</f>
        <v>43651</v>
      </c>
      <c r="L908" s="6" t="str">
        <f>IFERROR(__xludf.DUMMYFUNCTION("""COMPUTED_VALUE"""),"FIP Engineering")</f>
        <v>FIP Engineering</v>
      </c>
      <c r="M908" s="6" t="str">
        <f>IFERROR(__xludf.DUMMYFUNCTION("""COMPUTED_VALUE"""),"Irwan Sopian")</f>
        <v>Irwan Sopian</v>
      </c>
      <c r="N908" s="6" t="str">
        <f>IFERROR(__xludf.DUMMYFUNCTION("""COMPUTED_VALUE"""),"FIP Engineering")</f>
        <v>FIP Engineering</v>
      </c>
      <c r="O908" s="6" t="str">
        <f>IFERROR(__xludf.DUMMYFUNCTION("""COMPUTED_VALUE"""),"FIP-DOM-000-11304-OS00001-INA-000000")</f>
        <v>FIP-DOM-000-11304-OS00001-INA-000000</v>
      </c>
      <c r="P908" s="6" t="str">
        <f>IFERROR(__xludf.DUMMYFUNCTION("""COMPUTED_VALUE"""),"PO Closed")</f>
        <v>PO Closed</v>
      </c>
      <c r="Q908" s="6" t="str">
        <f>IFERROR(__xludf.DUMMYFUNCTION("""COMPUTED_VALUE"""),"GL1907014")</f>
        <v>GL1907014</v>
      </c>
      <c r="R908" s="57">
        <f>IFERROR(__xludf.DUMMYFUNCTION("""COMPUTED_VALUE"""),43635.0)</f>
        <v>43635</v>
      </c>
      <c r="S908" s="6" t="str">
        <f>IFERROR(__xludf.DUMMYFUNCTION("""COMPUTED_VALUE"""),"-")</f>
        <v>-</v>
      </c>
      <c r="T908" s="57">
        <f>IFERROR(__xludf.DUMMYFUNCTION("""COMPUTED_VALUE"""),43679.0)</f>
        <v>43679</v>
      </c>
    </row>
    <row r="909">
      <c r="A909" s="6" t="str">
        <f>IFERROR(__xludf.DUMMYFUNCTION("""COMPUTED_VALUE"""),"191750233-3")</f>
        <v>191750233-3</v>
      </c>
      <c r="B909" s="6" t="str">
        <f>IFERROR(__xludf.DUMMYFUNCTION("""COMPUTED_VALUE"""),"191750233 - Approved")</f>
        <v>191750233 - Approved</v>
      </c>
      <c r="C909" s="6">
        <f>IFERROR(__xludf.DUMMYFUNCTION("""COMPUTED_VALUE"""),3.0)</f>
        <v>3</v>
      </c>
      <c r="D909" s="6" t="str">
        <f>IFERROR(__xludf.DUMMYFUNCTION("""COMPUTED_VALUE"""),"P-12157-00")</f>
        <v>P-12157-00</v>
      </c>
      <c r="E909" s="6" t="str">
        <f>IFERROR(__xludf.DUMMYFUNCTION("""COMPUTED_VALUE"""),"Dynabolt m 6 x 30 mm")</f>
        <v>Dynabolt m 6 x 30 mm</v>
      </c>
      <c r="F909" s="6">
        <f>IFERROR(__xludf.DUMMYFUNCTION("""COMPUTED_VALUE"""),5.0)</f>
        <v>5</v>
      </c>
      <c r="G909" s="6" t="str">
        <f>IFERROR(__xludf.DUMMYFUNCTION("""COMPUTED_VALUE"""),"Pieces")</f>
        <v>Pieces</v>
      </c>
      <c r="H909" s="6" t="str">
        <f>IFERROR(__xludf.DUMMYFUNCTION("""COMPUTED_VALUE"""),"IDR")</f>
        <v>IDR</v>
      </c>
      <c r="I909" s="6">
        <f>IFERROR(__xludf.DUMMYFUNCTION("""COMPUTED_VALUE"""),2000.0)</f>
        <v>2000</v>
      </c>
      <c r="J909" s="6">
        <f>IFERROR(__xludf.DUMMYFUNCTION("""COMPUTED_VALUE"""),10000.0)</f>
        <v>10000</v>
      </c>
      <c r="K909" s="57">
        <f>IFERROR(__xludf.DUMMYFUNCTION("""COMPUTED_VALUE"""),43658.0)</f>
        <v>43658</v>
      </c>
      <c r="L909" s="6" t="str">
        <f>IFERROR(__xludf.DUMMYFUNCTION("""COMPUTED_VALUE"""),"FIP Engineering")</f>
        <v>FIP Engineering</v>
      </c>
      <c r="M909" s="6" t="str">
        <f>IFERROR(__xludf.DUMMYFUNCTION("""COMPUTED_VALUE"""),"Irwan Sopian")</f>
        <v>Irwan Sopian</v>
      </c>
      <c r="N909" s="6" t="str">
        <f>IFERROR(__xludf.DUMMYFUNCTION("""COMPUTED_VALUE"""),"FIP Engineering")</f>
        <v>FIP Engineering</v>
      </c>
      <c r="O909" s="6" t="str">
        <f>IFERROR(__xludf.DUMMYFUNCTION("""COMPUTED_VALUE"""),"FIP-DOM-000-11304-OS00001-INA-000000")</f>
        <v>FIP-DOM-000-11304-OS00001-INA-000000</v>
      </c>
      <c r="P909" s="6" t="str">
        <f>IFERROR(__xludf.DUMMYFUNCTION("""COMPUTED_VALUE"""),"PO Closed")</f>
        <v>PO Closed</v>
      </c>
      <c r="Q909" s="6" t="str">
        <f>IFERROR(__xludf.DUMMYFUNCTION("""COMPUTED_VALUE"""),"GL1907043")</f>
        <v>GL1907043</v>
      </c>
      <c r="R909" s="57">
        <f>IFERROR(__xludf.DUMMYFUNCTION("""COMPUTED_VALUE"""),43636.0)</f>
        <v>43636</v>
      </c>
      <c r="S909" s="6" t="str">
        <f>IFERROR(__xludf.DUMMYFUNCTION("""COMPUTED_VALUE"""),"-")</f>
        <v>-</v>
      </c>
      <c r="T909" s="57">
        <f>IFERROR(__xludf.DUMMYFUNCTION("""COMPUTED_VALUE"""),43663.0)</f>
        <v>43663</v>
      </c>
    </row>
    <row r="910">
      <c r="A910" s="6" t="str">
        <f>IFERROR(__xludf.DUMMYFUNCTION("""COMPUTED_VALUE"""),"191750233-4")</f>
        <v>191750233-4</v>
      </c>
      <c r="B910" s="6" t="str">
        <f>IFERROR(__xludf.DUMMYFUNCTION("""COMPUTED_VALUE"""),"191750233 - Approved")</f>
        <v>191750233 - Approved</v>
      </c>
      <c r="C910" s="6">
        <f>IFERROR(__xludf.DUMMYFUNCTION("""COMPUTED_VALUE"""),4.0)</f>
        <v>4</v>
      </c>
      <c r="D910" s="6" t="str">
        <f>IFERROR(__xludf.DUMMYFUNCTION("""COMPUTED_VALUE"""),"T-80681-00")</f>
        <v>T-80681-00</v>
      </c>
      <c r="E910" s="6" t="str">
        <f>IFERROR(__xludf.DUMMYFUNCTION("""COMPUTED_VALUE"""),"Battery Kancing Energizer CR2032 3V Lithium")</f>
        <v>Battery Kancing Energizer CR2032 3V Lithium</v>
      </c>
      <c r="F910" s="6">
        <f>IFERROR(__xludf.DUMMYFUNCTION("""COMPUTED_VALUE"""),2.0)</f>
        <v>2</v>
      </c>
      <c r="G910" s="6" t="str">
        <f>IFERROR(__xludf.DUMMYFUNCTION("""COMPUTED_VALUE"""),"Pack")</f>
        <v>Pack</v>
      </c>
      <c r="H910" s="6" t="str">
        <f>IFERROR(__xludf.DUMMYFUNCTION("""COMPUTED_VALUE"""),"IDR")</f>
        <v>IDR</v>
      </c>
      <c r="I910" s="6">
        <f>IFERROR(__xludf.DUMMYFUNCTION("""COMPUTED_VALUE"""),19800.0)</f>
        <v>19800</v>
      </c>
      <c r="J910" s="6">
        <f>IFERROR(__xludf.DUMMYFUNCTION("""COMPUTED_VALUE"""),39600.0)</f>
        <v>39600</v>
      </c>
      <c r="K910" s="57">
        <f>IFERROR(__xludf.DUMMYFUNCTION("""COMPUTED_VALUE"""),43658.0)</f>
        <v>43658</v>
      </c>
      <c r="L910" s="6" t="str">
        <f>IFERROR(__xludf.DUMMYFUNCTION("""COMPUTED_VALUE"""),"FIP General")</f>
        <v>FIP General</v>
      </c>
      <c r="M910" s="6" t="str">
        <f>IFERROR(__xludf.DUMMYFUNCTION("""COMPUTED_VALUE"""),"Irwan Sopian")</f>
        <v>Irwan Sopian</v>
      </c>
      <c r="N910" s="6" t="str">
        <f>IFERROR(__xludf.DUMMYFUNCTION("""COMPUTED_VALUE"""),"FIP Engineering")</f>
        <v>FIP Engineering</v>
      </c>
      <c r="O910" s="6" t="str">
        <f>IFERROR(__xludf.DUMMYFUNCTION("""COMPUTED_VALUE"""),"FIP-DOM-ENG-51404-0000000-INA-000000")</f>
        <v>FIP-DOM-ENG-51404-0000000-INA-000000</v>
      </c>
      <c r="P910" s="6" t="str">
        <f>IFERROR(__xludf.DUMMYFUNCTION("""COMPUTED_VALUE"""),"PO Closed")</f>
        <v>PO Closed</v>
      </c>
      <c r="Q910" s="6" t="str">
        <f>IFERROR(__xludf.DUMMYFUNCTION("""COMPUTED_VALUE"""),"GL1907043")</f>
        <v>GL1907043</v>
      </c>
      <c r="R910" s="57">
        <f>IFERROR(__xludf.DUMMYFUNCTION("""COMPUTED_VALUE"""),43636.0)</f>
        <v>43636</v>
      </c>
      <c r="S910" s="6" t="str">
        <f>IFERROR(__xludf.DUMMYFUNCTION("""COMPUTED_VALUE"""),"-")</f>
        <v>-</v>
      </c>
      <c r="T910" s="57">
        <f>IFERROR(__xludf.DUMMYFUNCTION("""COMPUTED_VALUE"""),43663.0)</f>
        <v>43663</v>
      </c>
    </row>
    <row r="911">
      <c r="A911" s="6" t="str">
        <f>IFERROR(__xludf.DUMMYFUNCTION("""COMPUTED_VALUE"""),"191750247-1")</f>
        <v>191750247-1</v>
      </c>
      <c r="B911" s="6" t="str">
        <f>IFERROR(__xludf.DUMMYFUNCTION("""COMPUTED_VALUE"""),"191750247 - Approved")</f>
        <v>191750247 - Approved</v>
      </c>
      <c r="C911" s="6">
        <f>IFERROR(__xludf.DUMMYFUNCTION("""COMPUTED_VALUE"""),1.0)</f>
        <v>1</v>
      </c>
      <c r="D911" s="6" t="str">
        <f>IFERROR(__xludf.DUMMYFUNCTION("""COMPUTED_VALUE"""),"S-60002-00")</f>
        <v>S-60002-00</v>
      </c>
      <c r="E911" s="6" t="str">
        <f>IFERROR(__xludf.DUMMYFUNCTION("""COMPUTED_VALUE"""),"Remoter installation Lyofast Software")</f>
        <v>Remoter installation Lyofast Software</v>
      </c>
      <c r="F911" s="6">
        <f>IFERROR(__xludf.DUMMYFUNCTION("""COMPUTED_VALUE"""),1.0)</f>
        <v>1</v>
      </c>
      <c r="G911" s="6" t="str">
        <f>IFERROR(__xludf.DUMMYFUNCTION("""COMPUTED_VALUE"""),"Lot")</f>
        <v>Lot</v>
      </c>
      <c r="H911" s="6" t="str">
        <f>IFERROR(__xludf.DUMMYFUNCTION("""COMPUTED_VALUE"""),"USD")</f>
        <v>USD</v>
      </c>
      <c r="I911" s="6">
        <f>IFERROR(__xludf.DUMMYFUNCTION("""COMPUTED_VALUE"""),4290.0)</f>
        <v>4290</v>
      </c>
      <c r="J911" s="6">
        <f>IFERROR(__xludf.DUMMYFUNCTION("""COMPUTED_VALUE"""),4290.0)</f>
        <v>4290</v>
      </c>
      <c r="K911" s="57">
        <f>IFERROR(__xludf.DUMMYFUNCTION("""COMPUTED_VALUE"""),43672.0)</f>
        <v>43672</v>
      </c>
      <c r="L911" s="6" t="str">
        <f>IFERROR(__xludf.DUMMYFUNCTION("""COMPUTED_VALUE"""),"FIP General")</f>
        <v>FIP General</v>
      </c>
      <c r="M911" s="6" t="str">
        <f>IFERROR(__xludf.DUMMYFUNCTION("""COMPUTED_VALUE"""),"Irwan Sopian")</f>
        <v>Irwan Sopian</v>
      </c>
      <c r="N911" s="6" t="str">
        <f>IFERROR(__xludf.DUMMYFUNCTION("""COMPUTED_VALUE"""),"FIP Engineering")</f>
        <v>FIP Engineering</v>
      </c>
      <c r="O911" s="6" t="str">
        <f>IFERROR(__xludf.DUMMYFUNCTION("""COMPUTED_VALUE"""),"FIP-DOM-ENG-51508-0000000-INA-000000")</f>
        <v>FIP-DOM-ENG-51508-0000000-INA-000000</v>
      </c>
      <c r="P911" s="6" t="str">
        <f>IFERROR(__xludf.DUMMYFUNCTION("""COMPUTED_VALUE"""),"PO Closed")</f>
        <v>PO Closed</v>
      </c>
      <c r="Q911" s="6" t="str">
        <f>IFERROR(__xludf.DUMMYFUNCTION("""COMPUTED_VALUE"""),"GL1907054")</f>
        <v>GL1907054</v>
      </c>
      <c r="R911" s="57">
        <f>IFERROR(__xludf.DUMMYFUNCTION("""COMPUTED_VALUE"""),43637.0)</f>
        <v>43637</v>
      </c>
      <c r="S911" s="6" t="str">
        <f>IFERROR(__xludf.DUMMYFUNCTION("""COMPUTED_VALUE"""),"-")</f>
        <v>-</v>
      </c>
      <c r="T911" s="57">
        <f>IFERROR(__xludf.DUMMYFUNCTION("""COMPUTED_VALUE"""),43685.0)</f>
        <v>43685</v>
      </c>
    </row>
    <row r="912">
      <c r="A912" s="6" t="str">
        <f>IFERROR(__xludf.DUMMYFUNCTION("""COMPUTED_VALUE"""),"191750252-1")</f>
        <v>191750252-1</v>
      </c>
      <c r="B912" s="6" t="str">
        <f>IFERROR(__xludf.DUMMYFUNCTION("""COMPUTED_VALUE"""),"191750252 - Approved")</f>
        <v>191750252 - Approved</v>
      </c>
      <c r="C912" s="6">
        <f>IFERROR(__xludf.DUMMYFUNCTION("""COMPUTED_VALUE"""),1.0)</f>
        <v>1</v>
      </c>
      <c r="D912" s="6" t="str">
        <f>IFERROR(__xludf.DUMMYFUNCTION("""COMPUTED_VALUE"""),"O-15619-00")</f>
        <v>O-15619-00</v>
      </c>
      <c r="E912" s="6" t="str">
        <f>IFERROR(__xludf.DUMMYFUNCTION("""COMPUTED_VALUE"""),"HIGH PRECISION OPTICAL FIBER 10MM WIDTH FU-12 VIALS MAXIMUM LOAD AT OUTFEED SENSOR")</f>
        <v>HIGH PRECISION OPTICAL FIBER 10MM WIDTH FU-12 VIALS MAXIMUM LOAD AT OUTFEED SENSOR</v>
      </c>
      <c r="F912" s="6">
        <f>IFERROR(__xludf.DUMMYFUNCTION("""COMPUTED_VALUE"""),1.0)</f>
        <v>1</v>
      </c>
      <c r="G912" s="6" t="str">
        <f>IFERROR(__xludf.DUMMYFUNCTION("""COMPUTED_VALUE"""),"Unit")</f>
        <v>Unit</v>
      </c>
      <c r="H912" s="6" t="str">
        <f>IFERROR(__xludf.DUMMYFUNCTION("""COMPUTED_VALUE"""),"IDR")</f>
        <v>IDR</v>
      </c>
      <c r="I912" s="6">
        <f>IFERROR(__xludf.DUMMYFUNCTION("""COMPUTED_VALUE"""),2161000.0)</f>
        <v>2161000</v>
      </c>
      <c r="J912" s="6">
        <f>IFERROR(__xludf.DUMMYFUNCTION("""COMPUTED_VALUE"""),2161000.0)</f>
        <v>2161000</v>
      </c>
      <c r="K912" s="57">
        <f>IFERROR(__xludf.DUMMYFUNCTION("""COMPUTED_VALUE"""),43677.0)</f>
        <v>43677</v>
      </c>
      <c r="L912" s="6" t="str">
        <f>IFERROR(__xludf.DUMMYFUNCTION("""COMPUTED_VALUE"""),"FIP Engineering")</f>
        <v>FIP Engineering</v>
      </c>
      <c r="M912" s="6" t="str">
        <f>IFERROR(__xludf.DUMMYFUNCTION("""COMPUTED_VALUE"""),"Irwan Sopian")</f>
        <v>Irwan Sopian</v>
      </c>
      <c r="N912" s="6" t="str">
        <f>IFERROR(__xludf.DUMMYFUNCTION("""COMPUTED_VALUE"""),"FIP Engineering")</f>
        <v>FIP Engineering</v>
      </c>
      <c r="O912" s="6" t="str">
        <f>IFERROR(__xludf.DUMMYFUNCTION("""COMPUTED_VALUE"""),"FIP-DOM-000-11304-OS00001-INA-000000")</f>
        <v>FIP-DOM-000-11304-OS00001-INA-000000</v>
      </c>
      <c r="P912" s="6" t="str">
        <f>IFERROR(__xludf.DUMMYFUNCTION("""COMPUTED_VALUE"""),"PO Closed")</f>
        <v>PO Closed</v>
      </c>
      <c r="Q912" s="6" t="str">
        <f>IFERROR(__xludf.DUMMYFUNCTION("""COMPUTED_VALUE"""),"GL1907046")</f>
        <v>GL1907046</v>
      </c>
      <c r="R912" s="57">
        <f>IFERROR(__xludf.DUMMYFUNCTION("""COMPUTED_VALUE"""),43647.0)</f>
        <v>43647</v>
      </c>
      <c r="S912" s="6" t="str">
        <f>IFERROR(__xludf.DUMMYFUNCTION("""COMPUTED_VALUE"""),"-")</f>
        <v>-</v>
      </c>
      <c r="T912" s="57">
        <f>IFERROR(__xludf.DUMMYFUNCTION("""COMPUTED_VALUE"""),43672.0)</f>
        <v>43672</v>
      </c>
    </row>
    <row r="913">
      <c r="A913" s="6" t="str">
        <f>IFERROR(__xludf.DUMMYFUNCTION("""COMPUTED_VALUE"""),"191750258-1")</f>
        <v>191750258-1</v>
      </c>
      <c r="B913" s="6" t="str">
        <f>IFERROR(__xludf.DUMMYFUNCTION("""COMPUTED_VALUE"""),"191750258 - Approved")</f>
        <v>191750258 - Approved</v>
      </c>
      <c r="C913" s="6">
        <f>IFERROR(__xludf.DUMMYFUNCTION("""COMPUTED_VALUE"""),1.0)</f>
        <v>1</v>
      </c>
      <c r="D913" s="6" t="str">
        <f>IFERROR(__xludf.DUMMYFUNCTION("""COMPUTED_VALUE"""),"O-52240-00")</f>
        <v>O-52240-00</v>
      </c>
      <c r="E913" s="6" t="str">
        <f>IFERROR(__xludf.DUMMYFUNCTION("""COMPUTED_VALUE"""),"WAGO 750-623 Supply Modul Input 5-15 V")</f>
        <v>WAGO 750-623 Supply Modul Input 5-15 V</v>
      </c>
      <c r="F913" s="6">
        <f>IFERROR(__xludf.DUMMYFUNCTION("""COMPUTED_VALUE"""),1.0)</f>
        <v>1</v>
      </c>
      <c r="G913" s="6" t="str">
        <f>IFERROR(__xludf.DUMMYFUNCTION("""COMPUTED_VALUE"""),"Pieces")</f>
        <v>Pieces</v>
      </c>
      <c r="H913" s="6" t="str">
        <f>IFERROR(__xludf.DUMMYFUNCTION("""COMPUTED_VALUE"""),"IDR")</f>
        <v>IDR</v>
      </c>
      <c r="I913" s="6">
        <f>IFERROR(__xludf.DUMMYFUNCTION("""COMPUTED_VALUE"""),1663040.0)</f>
        <v>1663040</v>
      </c>
      <c r="J913" s="6">
        <f>IFERROR(__xludf.DUMMYFUNCTION("""COMPUTED_VALUE"""),1663040.0)</f>
        <v>1663040</v>
      </c>
      <c r="K913" s="57">
        <f>IFERROR(__xludf.DUMMYFUNCTION("""COMPUTED_VALUE"""),43679.0)</f>
        <v>43679</v>
      </c>
      <c r="L913" s="6" t="str">
        <f>IFERROR(__xludf.DUMMYFUNCTION("""COMPUTED_VALUE"""),"FIP Engineering")</f>
        <v>FIP Engineering</v>
      </c>
      <c r="M913" s="6" t="str">
        <f>IFERROR(__xludf.DUMMYFUNCTION("""COMPUTED_VALUE"""),"Irwan Sopian")</f>
        <v>Irwan Sopian</v>
      </c>
      <c r="N913" s="6" t="str">
        <f>IFERROR(__xludf.DUMMYFUNCTION("""COMPUTED_VALUE"""),"FIP Engineering")</f>
        <v>FIP Engineering</v>
      </c>
      <c r="O913" s="6" t="str">
        <f>IFERROR(__xludf.DUMMYFUNCTION("""COMPUTED_VALUE"""),"FIP-DOM-000-11304-OS00001-INA-000000")</f>
        <v>FIP-DOM-000-11304-OS00001-INA-000000</v>
      </c>
      <c r="P913" s="6" t="str">
        <f>IFERROR(__xludf.DUMMYFUNCTION("""COMPUTED_VALUE"""),"PO Closed")</f>
        <v>PO Closed</v>
      </c>
      <c r="Q913" s="6" t="str">
        <f>IFERROR(__xludf.DUMMYFUNCTION("""COMPUTED_VALUE"""),"GL1907045")</f>
        <v>GL1907045</v>
      </c>
      <c r="R913" s="57">
        <f>IFERROR(__xludf.DUMMYFUNCTION("""COMPUTED_VALUE"""),43648.0)</f>
        <v>43648</v>
      </c>
      <c r="S913" s="6" t="str">
        <f>IFERROR(__xludf.DUMMYFUNCTION("""COMPUTED_VALUE"""),"-")</f>
        <v>-</v>
      </c>
      <c r="T913" s="57">
        <f>IFERROR(__xludf.DUMMYFUNCTION("""COMPUTED_VALUE"""),43686.0)</f>
        <v>43686</v>
      </c>
    </row>
    <row r="914">
      <c r="A914" s="6" t="str">
        <f>IFERROR(__xludf.DUMMYFUNCTION("""COMPUTED_VALUE"""),"191750258-2")</f>
        <v>191750258-2</v>
      </c>
      <c r="B914" s="6" t="str">
        <f>IFERROR(__xludf.DUMMYFUNCTION("""COMPUTED_VALUE"""),"191750258 - Approved")</f>
        <v>191750258 - Approved</v>
      </c>
      <c r="C914" s="6">
        <f>IFERROR(__xludf.DUMMYFUNCTION("""COMPUTED_VALUE"""),2.0)</f>
        <v>2</v>
      </c>
      <c r="D914" s="6" t="str">
        <f>IFERROR(__xludf.DUMMYFUNCTION("""COMPUTED_VALUE"""),"O-52241-00")</f>
        <v>O-52241-00</v>
      </c>
      <c r="E914" s="6" t="str">
        <f>IFERROR(__xludf.DUMMYFUNCTION("""COMPUTED_VALUE"""),"Tunnel ST1L - Potensio 10K")</f>
        <v>Tunnel ST1L - Potensio 10K</v>
      </c>
      <c r="F914" s="6">
        <f>IFERROR(__xludf.DUMMYFUNCTION("""COMPUTED_VALUE"""),1.0)</f>
        <v>1</v>
      </c>
      <c r="G914" s="6" t="str">
        <f>IFERROR(__xludf.DUMMYFUNCTION("""COMPUTED_VALUE"""),"Pieces")</f>
        <v>Pieces</v>
      </c>
      <c r="H914" s="6" t="str">
        <f>IFERROR(__xludf.DUMMYFUNCTION("""COMPUTED_VALUE"""),"IDR")</f>
        <v>IDR</v>
      </c>
      <c r="I914" s="6">
        <f>IFERROR(__xludf.DUMMYFUNCTION("""COMPUTED_VALUE"""),430000.0)</f>
        <v>430000</v>
      </c>
      <c r="J914" s="6">
        <f>IFERROR(__xludf.DUMMYFUNCTION("""COMPUTED_VALUE"""),430000.0)</f>
        <v>430000</v>
      </c>
      <c r="K914" s="57">
        <f>IFERROR(__xludf.DUMMYFUNCTION("""COMPUTED_VALUE"""),43679.0)</f>
        <v>43679</v>
      </c>
      <c r="L914" s="6" t="str">
        <f>IFERROR(__xludf.DUMMYFUNCTION("""COMPUTED_VALUE"""),"FIP Engineering")</f>
        <v>FIP Engineering</v>
      </c>
      <c r="M914" s="6" t="str">
        <f>IFERROR(__xludf.DUMMYFUNCTION("""COMPUTED_VALUE"""),"Irwan Sopian")</f>
        <v>Irwan Sopian</v>
      </c>
      <c r="N914" s="6" t="str">
        <f>IFERROR(__xludf.DUMMYFUNCTION("""COMPUTED_VALUE"""),"FIP Engineering")</f>
        <v>FIP Engineering</v>
      </c>
      <c r="O914" s="6" t="str">
        <f>IFERROR(__xludf.DUMMYFUNCTION("""COMPUTED_VALUE"""),"FIP-DOM-000-11304-OS00001-INA-000000")</f>
        <v>FIP-DOM-000-11304-OS00001-INA-000000</v>
      </c>
      <c r="P914" s="6" t="str">
        <f>IFERROR(__xludf.DUMMYFUNCTION("""COMPUTED_VALUE"""),"PO Closed")</f>
        <v>PO Closed</v>
      </c>
      <c r="Q914" s="6" t="str">
        <f>IFERROR(__xludf.DUMMYFUNCTION("""COMPUTED_VALUE"""),"GL1907047")</f>
        <v>GL1907047</v>
      </c>
      <c r="R914" s="57">
        <f>IFERROR(__xludf.DUMMYFUNCTION("""COMPUTED_VALUE"""),43648.0)</f>
        <v>43648</v>
      </c>
      <c r="S914" s="6" t="str">
        <f>IFERROR(__xludf.DUMMYFUNCTION("""COMPUTED_VALUE"""),"-")</f>
        <v>-</v>
      </c>
      <c r="T914" s="57">
        <f>IFERROR(__xludf.DUMMYFUNCTION("""COMPUTED_VALUE"""),43682.0)</f>
        <v>43682</v>
      </c>
    </row>
    <row r="915">
      <c r="A915" s="6" t="str">
        <f>IFERROR(__xludf.DUMMYFUNCTION("""COMPUTED_VALUE"""),"191750257-1")</f>
        <v>191750257-1</v>
      </c>
      <c r="B915" s="6" t="str">
        <f>IFERROR(__xludf.DUMMYFUNCTION("""COMPUTED_VALUE"""),"191750257 - Approved")</f>
        <v>191750257 - Approved</v>
      </c>
      <c r="C915" s="6">
        <f>IFERROR(__xludf.DUMMYFUNCTION("""COMPUTED_VALUE"""),1.0)</f>
        <v>1</v>
      </c>
      <c r="D915" s="6" t="str">
        <f>IFERROR(__xludf.DUMMYFUNCTION("""COMPUTED_VALUE"""),"O-16757-00")</f>
        <v>O-16757-00</v>
      </c>
      <c r="E915" s="6" t="str">
        <f>IFERROR(__xludf.DUMMYFUNCTION("""COMPUTED_VALUE"""),"Capping VCM200 - Coupling CPJ30-BL-10-10")</f>
        <v>Capping VCM200 - Coupling CPJ30-BL-10-10</v>
      </c>
      <c r="F915" s="6">
        <f>IFERROR(__xludf.DUMMYFUNCTION("""COMPUTED_VALUE"""),1.0)</f>
        <v>1</v>
      </c>
      <c r="G915" s="6" t="str">
        <f>IFERROR(__xludf.DUMMYFUNCTION("""COMPUTED_VALUE"""),"Pieces")</f>
        <v>Pieces</v>
      </c>
      <c r="H915" s="6" t="str">
        <f>IFERROR(__xludf.DUMMYFUNCTION("""COMPUTED_VALUE"""),"IDR")</f>
        <v>IDR</v>
      </c>
      <c r="I915" s="6">
        <f>IFERROR(__xludf.DUMMYFUNCTION("""COMPUTED_VALUE"""),402511.0)</f>
        <v>402511</v>
      </c>
      <c r="J915" s="6">
        <f>IFERROR(__xludf.DUMMYFUNCTION("""COMPUTED_VALUE"""),402511.0)</f>
        <v>402511</v>
      </c>
      <c r="K915" s="57">
        <f>IFERROR(__xludf.DUMMYFUNCTION("""COMPUTED_VALUE"""),43679.0)</f>
        <v>43679</v>
      </c>
      <c r="L915" s="6" t="str">
        <f>IFERROR(__xludf.DUMMYFUNCTION("""COMPUTED_VALUE"""),"FIP Engineering")</f>
        <v>FIP Engineering</v>
      </c>
      <c r="M915" s="6" t="str">
        <f>IFERROR(__xludf.DUMMYFUNCTION("""COMPUTED_VALUE"""),"Irwan Sopian")</f>
        <v>Irwan Sopian</v>
      </c>
      <c r="N915" s="6" t="str">
        <f>IFERROR(__xludf.DUMMYFUNCTION("""COMPUTED_VALUE"""),"FIP Engineering")</f>
        <v>FIP Engineering</v>
      </c>
      <c r="O915" s="6" t="str">
        <f>IFERROR(__xludf.DUMMYFUNCTION("""COMPUTED_VALUE"""),"FIP-DOM-000-11304-OS00001-INA-000000")</f>
        <v>FIP-DOM-000-11304-OS00001-INA-000000</v>
      </c>
      <c r="P915" s="6" t="str">
        <f>IFERROR(__xludf.DUMMYFUNCTION("""COMPUTED_VALUE"""),"PO Closed")</f>
        <v>PO Closed</v>
      </c>
      <c r="Q915" s="6" t="str">
        <f>IFERROR(__xludf.DUMMYFUNCTION("""COMPUTED_VALUE"""),"GL1907055")</f>
        <v>GL1907055</v>
      </c>
      <c r="R915" s="57">
        <f>IFERROR(__xludf.DUMMYFUNCTION("""COMPUTED_VALUE"""),43648.0)</f>
        <v>43648</v>
      </c>
      <c r="S915" s="6" t="str">
        <f>IFERROR(__xludf.DUMMYFUNCTION("""COMPUTED_VALUE"""),"-")</f>
        <v>-</v>
      </c>
      <c r="T915" s="57">
        <f>IFERROR(__xludf.DUMMYFUNCTION("""COMPUTED_VALUE"""),43684.0)</f>
        <v>43684</v>
      </c>
    </row>
    <row r="916">
      <c r="A916" s="6" t="str">
        <f>IFERROR(__xludf.DUMMYFUNCTION("""COMPUTED_VALUE"""),"191750257-2")</f>
        <v>191750257-2</v>
      </c>
      <c r="B916" s="6" t="str">
        <f>IFERROR(__xludf.DUMMYFUNCTION("""COMPUTED_VALUE"""),"191750257 - Approved")</f>
        <v>191750257 - Approved</v>
      </c>
      <c r="C916" s="6">
        <f>IFERROR(__xludf.DUMMYFUNCTION("""COMPUTED_VALUE"""),2.0)</f>
        <v>2</v>
      </c>
      <c r="D916" s="6" t="str">
        <f>IFERROR(__xludf.DUMMYFUNCTION("""COMPUTED_VALUE"""),"O-16756-00")</f>
        <v>O-16756-00</v>
      </c>
      <c r="E916" s="6" t="str">
        <f>IFERROR(__xludf.DUMMYFUNCTION("""COMPUTED_VALUE"""),"Washing RAR4 - Tamper Resistant Screw IBNP5-10")</f>
        <v>Washing RAR4 - Tamper Resistant Screw IBNP5-10</v>
      </c>
      <c r="F916" s="6">
        <f>IFERROR(__xludf.DUMMYFUNCTION("""COMPUTED_VALUE"""),20.0)</f>
        <v>20</v>
      </c>
      <c r="G916" s="6" t="str">
        <f>IFERROR(__xludf.DUMMYFUNCTION("""COMPUTED_VALUE"""),"Pieces")</f>
        <v>Pieces</v>
      </c>
      <c r="H916" s="6" t="str">
        <f>IFERROR(__xludf.DUMMYFUNCTION("""COMPUTED_VALUE"""),"IDR")</f>
        <v>IDR</v>
      </c>
      <c r="I916" s="6">
        <f>IFERROR(__xludf.DUMMYFUNCTION("""COMPUTED_VALUE"""),11838.0)</f>
        <v>11838</v>
      </c>
      <c r="J916" s="6">
        <f>IFERROR(__xludf.DUMMYFUNCTION("""COMPUTED_VALUE"""),236760.0)</f>
        <v>236760</v>
      </c>
      <c r="K916" s="57">
        <f>IFERROR(__xludf.DUMMYFUNCTION("""COMPUTED_VALUE"""),43679.0)</f>
        <v>43679</v>
      </c>
      <c r="L916" s="6" t="str">
        <f>IFERROR(__xludf.DUMMYFUNCTION("""COMPUTED_VALUE"""),"FIP Engineering")</f>
        <v>FIP Engineering</v>
      </c>
      <c r="M916" s="6" t="str">
        <f>IFERROR(__xludf.DUMMYFUNCTION("""COMPUTED_VALUE"""),"Irwan Sopian")</f>
        <v>Irwan Sopian</v>
      </c>
      <c r="N916" s="6" t="str">
        <f>IFERROR(__xludf.DUMMYFUNCTION("""COMPUTED_VALUE"""),"FIP Engineering")</f>
        <v>FIP Engineering</v>
      </c>
      <c r="O916" s="6" t="str">
        <f>IFERROR(__xludf.DUMMYFUNCTION("""COMPUTED_VALUE"""),"FIP-DOM-000-11304-OS00001-INA-000000")</f>
        <v>FIP-DOM-000-11304-OS00001-INA-000000</v>
      </c>
      <c r="P916" s="6" t="str">
        <f>IFERROR(__xludf.DUMMYFUNCTION("""COMPUTED_VALUE"""),"PO Closed")</f>
        <v>PO Closed</v>
      </c>
      <c r="Q916" s="6" t="str">
        <f>IFERROR(__xludf.DUMMYFUNCTION("""COMPUTED_VALUE"""),"GL1907055")</f>
        <v>GL1907055</v>
      </c>
      <c r="R916" s="57">
        <f>IFERROR(__xludf.DUMMYFUNCTION("""COMPUTED_VALUE"""),43648.0)</f>
        <v>43648</v>
      </c>
      <c r="S916" s="6" t="str">
        <f>IFERROR(__xludf.DUMMYFUNCTION("""COMPUTED_VALUE"""),"-")</f>
        <v>-</v>
      </c>
      <c r="T916" s="57">
        <f>IFERROR(__xludf.DUMMYFUNCTION("""COMPUTED_VALUE"""),43684.0)</f>
        <v>43684</v>
      </c>
    </row>
    <row r="917">
      <c r="A917" s="6" t="str">
        <f>IFERROR(__xludf.DUMMYFUNCTION("""COMPUTED_VALUE"""),"191750255-1")</f>
        <v>191750255-1</v>
      </c>
      <c r="B917" s="6" t="str">
        <f>IFERROR(__xludf.DUMMYFUNCTION("""COMPUTED_VALUE"""),"191750255 - Approved")</f>
        <v>191750255 - Approved</v>
      </c>
      <c r="C917" s="6">
        <f>IFERROR(__xludf.DUMMYFUNCTION("""COMPUTED_VALUE"""),1.0)</f>
        <v>1</v>
      </c>
      <c r="D917" s="6" t="str">
        <f>IFERROR(__xludf.DUMMYFUNCTION("""COMPUTED_VALUE"""),"P-51928-00")</f>
        <v>P-51928-00</v>
      </c>
      <c r="E917" s="6" t="str">
        <f>IFERROR(__xludf.DUMMYFUNCTION("""COMPUTED_VALUE"""),"Battery Lithium 3V CR2477N")</f>
        <v>Battery Lithium 3V CR2477N</v>
      </c>
      <c r="F917" s="6">
        <f>IFERROR(__xludf.DUMMYFUNCTION("""COMPUTED_VALUE"""),2.0)</f>
        <v>2</v>
      </c>
      <c r="G917" s="6" t="str">
        <f>IFERROR(__xludf.DUMMYFUNCTION("""COMPUTED_VALUE"""),"Pieces")</f>
        <v>Pieces</v>
      </c>
      <c r="H917" s="6" t="str">
        <f>IFERROR(__xludf.DUMMYFUNCTION("""COMPUTED_VALUE"""),"IDR")</f>
        <v>IDR</v>
      </c>
      <c r="I917" s="6">
        <f>IFERROR(__xludf.DUMMYFUNCTION("""COMPUTED_VALUE"""),170000.0)</f>
        <v>170000</v>
      </c>
      <c r="J917" s="6">
        <f>IFERROR(__xludf.DUMMYFUNCTION("""COMPUTED_VALUE"""),340000.0)</f>
        <v>340000</v>
      </c>
      <c r="K917" s="57">
        <f>IFERROR(__xludf.DUMMYFUNCTION("""COMPUTED_VALUE"""),43677.0)</f>
        <v>43677</v>
      </c>
      <c r="L917" s="6" t="str">
        <f>IFERROR(__xludf.DUMMYFUNCTION("""COMPUTED_VALUE"""),"FIP Engineering")</f>
        <v>FIP Engineering</v>
      </c>
      <c r="M917" s="6" t="str">
        <f>IFERROR(__xludf.DUMMYFUNCTION("""COMPUTED_VALUE"""),"Irwan Sopian")</f>
        <v>Irwan Sopian</v>
      </c>
      <c r="N917" s="6" t="str">
        <f>IFERROR(__xludf.DUMMYFUNCTION("""COMPUTED_VALUE"""),"FIP Engineering")</f>
        <v>FIP Engineering</v>
      </c>
      <c r="O917" s="6" t="str">
        <f>IFERROR(__xludf.DUMMYFUNCTION("""COMPUTED_VALUE"""),"FIP-DOM-000-11304-OS00001-INA-000000")</f>
        <v>FIP-DOM-000-11304-OS00001-INA-000000</v>
      </c>
      <c r="P917" s="6" t="str">
        <f>IFERROR(__xludf.DUMMYFUNCTION("""COMPUTED_VALUE"""),"PO Closed")</f>
        <v>PO Closed</v>
      </c>
      <c r="Q917" s="6" t="str">
        <f>IFERROR(__xludf.DUMMYFUNCTION("""COMPUTED_VALUE"""),"GL1907047")</f>
        <v>GL1907047</v>
      </c>
      <c r="R917" s="57">
        <f>IFERROR(__xludf.DUMMYFUNCTION("""COMPUTED_VALUE"""),43648.0)</f>
        <v>43648</v>
      </c>
      <c r="S917" s="6" t="str">
        <f>IFERROR(__xludf.DUMMYFUNCTION("""COMPUTED_VALUE"""),"-")</f>
        <v>-</v>
      </c>
      <c r="T917" s="57">
        <f>IFERROR(__xludf.DUMMYFUNCTION("""COMPUTED_VALUE"""),43682.0)</f>
        <v>43682</v>
      </c>
    </row>
    <row r="918">
      <c r="A918" s="6" t="str">
        <f>IFERROR(__xludf.DUMMYFUNCTION("""COMPUTED_VALUE"""),"191750255-2")</f>
        <v>191750255-2</v>
      </c>
      <c r="B918" s="6" t="str">
        <f>IFERROR(__xludf.DUMMYFUNCTION("""COMPUTED_VALUE"""),"191750255 - Approved")</f>
        <v>191750255 - Approved</v>
      </c>
      <c r="C918" s="6">
        <f>IFERROR(__xludf.DUMMYFUNCTION("""COMPUTED_VALUE"""),2.0)</f>
        <v>2</v>
      </c>
      <c r="D918" s="6" t="str">
        <f>IFERROR(__xludf.DUMMYFUNCTION("""COMPUTED_VALUE"""),"P-51930-00")</f>
        <v>P-51930-00</v>
      </c>
      <c r="E918" s="6" t="str">
        <f>IFERROR(__xludf.DUMMYFUNCTION("""COMPUTED_VALUE"""),"Accu (Battery kering) 12V - 7Ah")</f>
        <v>Accu (Battery kering) 12V - 7Ah</v>
      </c>
      <c r="F918" s="6">
        <f>IFERROR(__xludf.DUMMYFUNCTION("""COMPUTED_VALUE"""),2.0)</f>
        <v>2</v>
      </c>
      <c r="G918" s="6" t="str">
        <f>IFERROR(__xludf.DUMMYFUNCTION("""COMPUTED_VALUE"""),"Pieces")</f>
        <v>Pieces</v>
      </c>
      <c r="H918" s="6" t="str">
        <f>IFERROR(__xludf.DUMMYFUNCTION("""COMPUTED_VALUE"""),"IDR")</f>
        <v>IDR</v>
      </c>
      <c r="I918" s="6">
        <f>IFERROR(__xludf.DUMMYFUNCTION("""COMPUTED_VALUE"""),225000.0)</f>
        <v>225000</v>
      </c>
      <c r="J918" s="6">
        <f>IFERROR(__xludf.DUMMYFUNCTION("""COMPUTED_VALUE"""),450000.0)</f>
        <v>450000</v>
      </c>
      <c r="K918" s="57">
        <f>IFERROR(__xludf.DUMMYFUNCTION("""COMPUTED_VALUE"""),43677.0)</f>
        <v>43677</v>
      </c>
      <c r="L918" s="6" t="str">
        <f>IFERROR(__xludf.DUMMYFUNCTION("""COMPUTED_VALUE"""),"FIP Engineering")</f>
        <v>FIP Engineering</v>
      </c>
      <c r="M918" s="6" t="str">
        <f>IFERROR(__xludf.DUMMYFUNCTION("""COMPUTED_VALUE"""),"Irwan Sopian")</f>
        <v>Irwan Sopian</v>
      </c>
      <c r="N918" s="6" t="str">
        <f>IFERROR(__xludf.DUMMYFUNCTION("""COMPUTED_VALUE"""),"FIP Engineering")</f>
        <v>FIP Engineering</v>
      </c>
      <c r="O918" s="6" t="str">
        <f>IFERROR(__xludf.DUMMYFUNCTION("""COMPUTED_VALUE"""),"FIP-DOM-000-11304-OS00001-INA-000000")</f>
        <v>FIP-DOM-000-11304-OS00001-INA-000000</v>
      </c>
      <c r="P918" s="6" t="str">
        <f>IFERROR(__xludf.DUMMYFUNCTION("""COMPUTED_VALUE"""),"PO Closed")</f>
        <v>PO Closed</v>
      </c>
      <c r="Q918" s="6" t="str">
        <f>IFERROR(__xludf.DUMMYFUNCTION("""COMPUTED_VALUE"""),"GL1907047")</f>
        <v>GL1907047</v>
      </c>
      <c r="R918" s="57">
        <f>IFERROR(__xludf.DUMMYFUNCTION("""COMPUTED_VALUE"""),43648.0)</f>
        <v>43648</v>
      </c>
      <c r="S918" s="6" t="str">
        <f>IFERROR(__xludf.DUMMYFUNCTION("""COMPUTED_VALUE"""),"-")</f>
        <v>-</v>
      </c>
      <c r="T918" s="57">
        <f>IFERROR(__xludf.DUMMYFUNCTION("""COMPUTED_VALUE"""),43682.0)</f>
        <v>43682</v>
      </c>
    </row>
    <row r="919">
      <c r="A919" s="6" t="str">
        <f>IFERROR(__xludf.DUMMYFUNCTION("""COMPUTED_VALUE"""),"191750255-3")</f>
        <v>191750255-3</v>
      </c>
      <c r="B919" s="6" t="str">
        <f>IFERROR(__xludf.DUMMYFUNCTION("""COMPUTED_VALUE"""),"191750255 - Approved")</f>
        <v>191750255 - Approved</v>
      </c>
      <c r="C919" s="6">
        <f>IFERROR(__xludf.DUMMYFUNCTION("""COMPUTED_VALUE"""),3.0)</f>
        <v>3</v>
      </c>
      <c r="D919" s="6" t="str">
        <f>IFERROR(__xludf.DUMMYFUNCTION("""COMPUTED_VALUE"""),"P-51929-00")</f>
        <v>P-51929-00</v>
      </c>
      <c r="E919" s="6" t="str">
        <f>IFERROR(__xludf.DUMMYFUNCTION("""COMPUTED_VALUE"""),"Lampu TL5 14W/865 Philips")</f>
        <v>Lampu TL5 14W/865 Philips</v>
      </c>
      <c r="F919" s="6">
        <f>IFERROR(__xludf.DUMMYFUNCTION("""COMPUTED_VALUE"""),2.0)</f>
        <v>2</v>
      </c>
      <c r="G919" s="6" t="str">
        <f>IFERROR(__xludf.DUMMYFUNCTION("""COMPUTED_VALUE"""),"Pieces")</f>
        <v>Pieces</v>
      </c>
      <c r="H919" s="6" t="str">
        <f>IFERROR(__xludf.DUMMYFUNCTION("""COMPUTED_VALUE"""),"IDR")</f>
        <v>IDR</v>
      </c>
      <c r="I919" s="6">
        <f>IFERROR(__xludf.DUMMYFUNCTION("""COMPUTED_VALUE"""),115000.0)</f>
        <v>115000</v>
      </c>
      <c r="J919" s="6">
        <f>IFERROR(__xludf.DUMMYFUNCTION("""COMPUTED_VALUE"""),230000.0)</f>
        <v>230000</v>
      </c>
      <c r="K919" s="57">
        <f>IFERROR(__xludf.DUMMYFUNCTION("""COMPUTED_VALUE"""),43677.0)</f>
        <v>43677</v>
      </c>
      <c r="L919" s="6" t="str">
        <f>IFERROR(__xludf.DUMMYFUNCTION("""COMPUTED_VALUE"""),"FIP Engineering")</f>
        <v>FIP Engineering</v>
      </c>
      <c r="M919" s="6" t="str">
        <f>IFERROR(__xludf.DUMMYFUNCTION("""COMPUTED_VALUE"""),"Irwan Sopian")</f>
        <v>Irwan Sopian</v>
      </c>
      <c r="N919" s="6" t="str">
        <f>IFERROR(__xludf.DUMMYFUNCTION("""COMPUTED_VALUE"""),"FIP Engineering")</f>
        <v>FIP Engineering</v>
      </c>
      <c r="O919" s="6" t="str">
        <f>IFERROR(__xludf.DUMMYFUNCTION("""COMPUTED_VALUE"""),"FIP-DOM-000-11304-OS00001-INA-000000")</f>
        <v>FIP-DOM-000-11304-OS00001-INA-000000</v>
      </c>
      <c r="P919" s="6" t="str">
        <f>IFERROR(__xludf.DUMMYFUNCTION("""COMPUTED_VALUE"""),"PO Closed")</f>
        <v>PO Closed</v>
      </c>
      <c r="Q919" s="6" t="str">
        <f>IFERROR(__xludf.DUMMYFUNCTION("""COMPUTED_VALUE"""),"GL1907047")</f>
        <v>GL1907047</v>
      </c>
      <c r="R919" s="57">
        <f>IFERROR(__xludf.DUMMYFUNCTION("""COMPUTED_VALUE"""),43648.0)</f>
        <v>43648</v>
      </c>
      <c r="S919" s="6" t="str">
        <f>IFERROR(__xludf.DUMMYFUNCTION("""COMPUTED_VALUE"""),"-")</f>
        <v>-</v>
      </c>
      <c r="T919" s="57">
        <f>IFERROR(__xludf.DUMMYFUNCTION("""COMPUTED_VALUE"""),43682.0)</f>
        <v>43682</v>
      </c>
    </row>
    <row r="920">
      <c r="A920" s="6" t="str">
        <f>IFERROR(__xludf.DUMMYFUNCTION("""COMPUTED_VALUE"""),"191750253-1")</f>
        <v>191750253-1</v>
      </c>
      <c r="B920" s="6" t="str">
        <f>IFERROR(__xludf.DUMMYFUNCTION("""COMPUTED_VALUE"""),"191750253 - Approved")</f>
        <v>191750253 - Approved</v>
      </c>
      <c r="C920" s="6">
        <f>IFERROR(__xludf.DUMMYFUNCTION("""COMPUTED_VALUE"""),1.0)</f>
        <v>1</v>
      </c>
      <c r="D920" s="6" t="str">
        <f>IFERROR(__xludf.DUMMYFUNCTION("""COMPUTED_VALUE"""),"P-51895-00")</f>
        <v>P-51895-00</v>
      </c>
      <c r="E920" s="6" t="str">
        <f>IFERROR(__xludf.DUMMYFUNCTION("""COMPUTED_VALUE"""),"Pressure Switch 0-10 bar 1/4 inch Out: 4...20 mA In: 24(7...33) VDC")</f>
        <v>Pressure Switch 0-10 bar 1/4 inch Out: 4...20 mA In: 24(7...33) VDC</v>
      </c>
      <c r="F920" s="6">
        <f>IFERROR(__xludf.DUMMYFUNCTION("""COMPUTED_VALUE"""),2.0)</f>
        <v>2</v>
      </c>
      <c r="G920" s="6" t="str">
        <f>IFERROR(__xludf.DUMMYFUNCTION("""COMPUTED_VALUE"""),"Pieces")</f>
        <v>Pieces</v>
      </c>
      <c r="H920" s="6" t="str">
        <f>IFERROR(__xludf.DUMMYFUNCTION("""COMPUTED_VALUE"""),"IDR")</f>
        <v>IDR</v>
      </c>
      <c r="I920" s="6">
        <f>IFERROR(__xludf.DUMMYFUNCTION("""COMPUTED_VALUE"""),4275000.0)</f>
        <v>4275000</v>
      </c>
      <c r="J920" s="6">
        <f>IFERROR(__xludf.DUMMYFUNCTION("""COMPUTED_VALUE"""),8550000.0)</f>
        <v>8550000</v>
      </c>
      <c r="K920" s="57">
        <f>IFERROR(__xludf.DUMMYFUNCTION("""COMPUTED_VALUE"""),43679.0)</f>
        <v>43679</v>
      </c>
      <c r="L920" s="6" t="str">
        <f>IFERROR(__xludf.DUMMYFUNCTION("""COMPUTED_VALUE"""),"FIP Engineering")</f>
        <v>FIP Engineering</v>
      </c>
      <c r="M920" s="6" t="str">
        <f>IFERROR(__xludf.DUMMYFUNCTION("""COMPUTED_VALUE"""),"Irwan Sopian")</f>
        <v>Irwan Sopian</v>
      </c>
      <c r="N920" s="6" t="str">
        <f>IFERROR(__xludf.DUMMYFUNCTION("""COMPUTED_VALUE"""),"FIP Engineering")</f>
        <v>FIP Engineering</v>
      </c>
      <c r="O920" s="6" t="str">
        <f>IFERROR(__xludf.DUMMYFUNCTION("""COMPUTED_VALUE"""),"FIP-DOM-000-11304-OS00001-INA-000000")</f>
        <v>FIP-DOM-000-11304-OS00001-INA-000000</v>
      </c>
      <c r="P920" s="6" t="str">
        <f>IFERROR(__xludf.DUMMYFUNCTION("""COMPUTED_VALUE"""),"PO Closed")</f>
        <v>PO Closed</v>
      </c>
      <c r="Q920" s="6" t="str">
        <f>IFERROR(__xludf.DUMMYFUNCTION("""COMPUTED_VALUE"""),"GL1907044")</f>
        <v>GL1907044</v>
      </c>
      <c r="R920" s="57">
        <f>IFERROR(__xludf.DUMMYFUNCTION("""COMPUTED_VALUE"""),43648.0)</f>
        <v>43648</v>
      </c>
      <c r="S920" s="6" t="str">
        <f>IFERROR(__xludf.DUMMYFUNCTION("""COMPUTED_VALUE"""),"-")</f>
        <v>-</v>
      </c>
      <c r="T920" s="57">
        <f>IFERROR(__xludf.DUMMYFUNCTION("""COMPUTED_VALUE"""),43692.0)</f>
        <v>43692</v>
      </c>
    </row>
    <row r="921">
      <c r="A921" s="6" t="str">
        <f>IFERROR(__xludf.DUMMYFUNCTION("""COMPUTED_VALUE"""),"191750271-1")</f>
        <v>191750271-1</v>
      </c>
      <c r="B921" s="6" t="str">
        <f>IFERROR(__xludf.DUMMYFUNCTION("""COMPUTED_VALUE"""),"191750271 - Approved")</f>
        <v>191750271 - Approved</v>
      </c>
      <c r="C921" s="6">
        <f>IFERROR(__xludf.DUMMYFUNCTION("""COMPUTED_VALUE"""),1.0)</f>
        <v>1</v>
      </c>
      <c r="D921" s="6" t="str">
        <f>IFERROR(__xludf.DUMMYFUNCTION("""COMPUTED_VALUE"""),"P-13388-00")</f>
        <v>P-13388-00</v>
      </c>
      <c r="E921" s="6" t="str">
        <f>IFERROR(__xludf.DUMMYFUNCTION("""COMPUTED_VALUE"""),"Ball Valve Kitz 1/2""; ; ;")</f>
        <v>Ball Valve Kitz 1/2"; ; ;</v>
      </c>
      <c r="F921" s="6">
        <f>IFERROR(__xludf.DUMMYFUNCTION("""COMPUTED_VALUE"""),1.0)</f>
        <v>1</v>
      </c>
      <c r="G921" s="6" t="str">
        <f>IFERROR(__xludf.DUMMYFUNCTION("""COMPUTED_VALUE"""),"Pieces")</f>
        <v>Pieces</v>
      </c>
      <c r="H921" s="6" t="str">
        <f>IFERROR(__xludf.DUMMYFUNCTION("""COMPUTED_VALUE"""),"IDR")</f>
        <v>IDR</v>
      </c>
      <c r="I921" s="6">
        <f>IFERROR(__xludf.DUMMYFUNCTION("""COMPUTED_VALUE"""),20000.0)</f>
        <v>20000</v>
      </c>
      <c r="J921" s="6">
        <f>IFERROR(__xludf.DUMMYFUNCTION("""COMPUTED_VALUE"""),20000.0)</f>
        <v>20000</v>
      </c>
      <c r="K921" s="57">
        <f>IFERROR(__xludf.DUMMYFUNCTION("""COMPUTED_VALUE"""),43677.0)</f>
        <v>43677</v>
      </c>
      <c r="L921" s="6" t="str">
        <f>IFERROR(__xludf.DUMMYFUNCTION("""COMPUTED_VALUE"""),"FIP Engineering")</f>
        <v>FIP Engineering</v>
      </c>
      <c r="M921" s="6" t="str">
        <f>IFERROR(__xludf.DUMMYFUNCTION("""COMPUTED_VALUE"""),"Irwan Sopian")</f>
        <v>Irwan Sopian</v>
      </c>
      <c r="N921" s="6" t="str">
        <f>IFERROR(__xludf.DUMMYFUNCTION("""COMPUTED_VALUE"""),"FIP Engineering")</f>
        <v>FIP Engineering</v>
      </c>
      <c r="O921" s="6" t="str">
        <f>IFERROR(__xludf.DUMMYFUNCTION("""COMPUTED_VALUE"""),"FIP-DOM-000-11304-OS00001-INA-000000")</f>
        <v>FIP-DOM-000-11304-OS00001-INA-000000</v>
      </c>
      <c r="P921" s="6" t="str">
        <f>IFERROR(__xludf.DUMMYFUNCTION("""COMPUTED_VALUE"""),"PO Closed")</f>
        <v>PO Closed</v>
      </c>
      <c r="Q921" s="6" t="str">
        <f>IFERROR(__xludf.DUMMYFUNCTION("""COMPUTED_VALUE"""),"GL1907066")</f>
        <v>GL1907066</v>
      </c>
      <c r="R921" s="57">
        <f>IFERROR(__xludf.DUMMYFUNCTION("""COMPUTED_VALUE"""),43652.0)</f>
        <v>43652</v>
      </c>
      <c r="S921" s="6" t="str">
        <f>IFERROR(__xludf.DUMMYFUNCTION("""COMPUTED_VALUE"""),"-")</f>
        <v>-</v>
      </c>
      <c r="T921" s="57">
        <f>IFERROR(__xludf.DUMMYFUNCTION("""COMPUTED_VALUE"""),43677.0)</f>
        <v>43677</v>
      </c>
    </row>
    <row r="922">
      <c r="A922" s="6" t="str">
        <f>IFERROR(__xludf.DUMMYFUNCTION("""COMPUTED_VALUE"""),"191750271-2")</f>
        <v>191750271-2</v>
      </c>
      <c r="B922" s="6" t="str">
        <f>IFERROR(__xludf.DUMMYFUNCTION("""COMPUTED_VALUE"""),"191750271 - Approved")</f>
        <v>191750271 - Approved</v>
      </c>
      <c r="C922" s="6">
        <f>IFERROR(__xludf.DUMMYFUNCTION("""COMPUTED_VALUE"""),2.0)</f>
        <v>2</v>
      </c>
      <c r="D922" s="6" t="str">
        <f>IFERROR(__xludf.DUMMYFUNCTION("""COMPUTED_VALUE"""),"P-12818-00")</f>
        <v>P-12818-00</v>
      </c>
      <c r="E922" s="6" t="str">
        <f>IFERROR(__xludf.DUMMYFUNCTION("""COMPUTED_VALUE"""),"Sock PVC AW dia 1inch")</f>
        <v>Sock PVC AW dia 1inch</v>
      </c>
      <c r="F922" s="6">
        <f>IFERROR(__xludf.DUMMYFUNCTION("""COMPUTED_VALUE"""),3.0)</f>
        <v>3</v>
      </c>
      <c r="G922" s="6" t="str">
        <f>IFERROR(__xludf.DUMMYFUNCTION("""COMPUTED_VALUE"""),"Pieces")</f>
        <v>Pieces</v>
      </c>
      <c r="H922" s="6" t="str">
        <f>IFERROR(__xludf.DUMMYFUNCTION("""COMPUTED_VALUE"""),"IDR")</f>
        <v>IDR</v>
      </c>
      <c r="I922" s="6">
        <f>IFERROR(__xludf.DUMMYFUNCTION("""COMPUTED_VALUE"""),4000.0)</f>
        <v>4000</v>
      </c>
      <c r="J922" s="6">
        <f>IFERROR(__xludf.DUMMYFUNCTION("""COMPUTED_VALUE"""),12000.0)</f>
        <v>12000</v>
      </c>
      <c r="K922" s="57">
        <f>IFERROR(__xludf.DUMMYFUNCTION("""COMPUTED_VALUE"""),43677.0)</f>
        <v>43677</v>
      </c>
      <c r="L922" s="6" t="str">
        <f>IFERROR(__xludf.DUMMYFUNCTION("""COMPUTED_VALUE"""),"FIP Engineering")</f>
        <v>FIP Engineering</v>
      </c>
      <c r="M922" s="6" t="str">
        <f>IFERROR(__xludf.DUMMYFUNCTION("""COMPUTED_VALUE"""),"Irwan Sopian")</f>
        <v>Irwan Sopian</v>
      </c>
      <c r="N922" s="6" t="str">
        <f>IFERROR(__xludf.DUMMYFUNCTION("""COMPUTED_VALUE"""),"FIP Engineering")</f>
        <v>FIP Engineering</v>
      </c>
      <c r="O922" s="6" t="str">
        <f>IFERROR(__xludf.DUMMYFUNCTION("""COMPUTED_VALUE"""),"FIP-DOM-000-11304-OS00001-INA-000000")</f>
        <v>FIP-DOM-000-11304-OS00001-INA-000000</v>
      </c>
      <c r="P922" s="6" t="str">
        <f>IFERROR(__xludf.DUMMYFUNCTION("""COMPUTED_VALUE"""),"PO Closed")</f>
        <v>PO Closed</v>
      </c>
      <c r="Q922" s="6" t="str">
        <f>IFERROR(__xludf.DUMMYFUNCTION("""COMPUTED_VALUE"""),"GL1907066")</f>
        <v>GL1907066</v>
      </c>
      <c r="R922" s="57">
        <f>IFERROR(__xludf.DUMMYFUNCTION("""COMPUTED_VALUE"""),43652.0)</f>
        <v>43652</v>
      </c>
      <c r="S922" s="6" t="str">
        <f>IFERROR(__xludf.DUMMYFUNCTION("""COMPUTED_VALUE"""),"-")</f>
        <v>-</v>
      </c>
      <c r="T922" s="57">
        <f>IFERROR(__xludf.DUMMYFUNCTION("""COMPUTED_VALUE"""),43677.0)</f>
        <v>43677</v>
      </c>
    </row>
    <row r="923">
      <c r="A923" s="6" t="str">
        <f>IFERROR(__xludf.DUMMYFUNCTION("""COMPUTED_VALUE"""),"191750271-3")</f>
        <v>191750271-3</v>
      </c>
      <c r="B923" s="6" t="str">
        <f>IFERROR(__xludf.DUMMYFUNCTION("""COMPUTED_VALUE"""),"191750271 - Approved")</f>
        <v>191750271 - Approved</v>
      </c>
      <c r="C923" s="6">
        <f>IFERROR(__xludf.DUMMYFUNCTION("""COMPUTED_VALUE"""),3.0)</f>
        <v>3</v>
      </c>
      <c r="D923" s="6" t="str">
        <f>IFERROR(__xludf.DUMMYFUNCTION("""COMPUTED_VALUE"""),"P-12185-00")</f>
        <v>P-12185-00</v>
      </c>
      <c r="E923" s="6" t="str">
        <f>IFERROR(__xludf.DUMMYFUNCTION("""COMPUTED_VALUE"""),"Elbow PVC AW 90 deg dia 1inch")</f>
        <v>Elbow PVC AW 90 deg dia 1inch</v>
      </c>
      <c r="F923" s="6">
        <f>IFERROR(__xludf.DUMMYFUNCTION("""COMPUTED_VALUE"""),8.0)</f>
        <v>8</v>
      </c>
      <c r="G923" s="6" t="str">
        <f>IFERROR(__xludf.DUMMYFUNCTION("""COMPUTED_VALUE"""),"Pieces")</f>
        <v>Pieces</v>
      </c>
      <c r="H923" s="6" t="str">
        <f>IFERROR(__xludf.DUMMYFUNCTION("""COMPUTED_VALUE"""),"IDR")</f>
        <v>IDR</v>
      </c>
      <c r="I923" s="6">
        <f>IFERROR(__xludf.DUMMYFUNCTION("""COMPUTED_VALUE"""),5000.0)</f>
        <v>5000</v>
      </c>
      <c r="J923" s="6">
        <f>IFERROR(__xludf.DUMMYFUNCTION("""COMPUTED_VALUE"""),40000.0)</f>
        <v>40000</v>
      </c>
      <c r="K923" s="57">
        <f>IFERROR(__xludf.DUMMYFUNCTION("""COMPUTED_VALUE"""),43677.0)</f>
        <v>43677</v>
      </c>
      <c r="L923" s="6" t="str">
        <f>IFERROR(__xludf.DUMMYFUNCTION("""COMPUTED_VALUE"""),"FIP Engineering")</f>
        <v>FIP Engineering</v>
      </c>
      <c r="M923" s="6" t="str">
        <f>IFERROR(__xludf.DUMMYFUNCTION("""COMPUTED_VALUE"""),"Irwan Sopian")</f>
        <v>Irwan Sopian</v>
      </c>
      <c r="N923" s="6" t="str">
        <f>IFERROR(__xludf.DUMMYFUNCTION("""COMPUTED_VALUE"""),"FIP Engineering")</f>
        <v>FIP Engineering</v>
      </c>
      <c r="O923" s="6" t="str">
        <f>IFERROR(__xludf.DUMMYFUNCTION("""COMPUTED_VALUE"""),"FIP-DOM-000-11304-OS00001-INA-000000")</f>
        <v>FIP-DOM-000-11304-OS00001-INA-000000</v>
      </c>
      <c r="P923" s="6" t="str">
        <f>IFERROR(__xludf.DUMMYFUNCTION("""COMPUTED_VALUE"""),"PO Closed")</f>
        <v>PO Closed</v>
      </c>
      <c r="Q923" s="6" t="str">
        <f>IFERROR(__xludf.DUMMYFUNCTION("""COMPUTED_VALUE"""),"GL1907066")</f>
        <v>GL1907066</v>
      </c>
      <c r="R923" s="57">
        <f>IFERROR(__xludf.DUMMYFUNCTION("""COMPUTED_VALUE"""),43652.0)</f>
        <v>43652</v>
      </c>
      <c r="S923" s="6" t="str">
        <f>IFERROR(__xludf.DUMMYFUNCTION("""COMPUTED_VALUE"""),"-")</f>
        <v>-</v>
      </c>
      <c r="T923" s="57">
        <f>IFERROR(__xludf.DUMMYFUNCTION("""COMPUTED_VALUE"""),43677.0)</f>
        <v>43677</v>
      </c>
    </row>
    <row r="924">
      <c r="A924" s="6" t="str">
        <f>IFERROR(__xludf.DUMMYFUNCTION("""COMPUTED_VALUE"""),"191750271-4")</f>
        <v>191750271-4</v>
      </c>
      <c r="B924" s="6" t="str">
        <f>IFERROR(__xludf.DUMMYFUNCTION("""COMPUTED_VALUE"""),"191750271 - Approved")</f>
        <v>191750271 - Approved</v>
      </c>
      <c r="C924" s="6">
        <f>IFERROR(__xludf.DUMMYFUNCTION("""COMPUTED_VALUE"""),4.0)</f>
        <v>4</v>
      </c>
      <c r="D924" s="6" t="str">
        <f>IFERROR(__xludf.DUMMYFUNCTION("""COMPUTED_VALUE"""),"P-12818-00")</f>
        <v>P-12818-00</v>
      </c>
      <c r="E924" s="6" t="str">
        <f>IFERROR(__xludf.DUMMYFUNCTION("""COMPUTED_VALUE"""),"Sock PVC AW dia 1inch")</f>
        <v>Sock PVC AW dia 1inch</v>
      </c>
      <c r="F924" s="6">
        <f>IFERROR(__xludf.DUMMYFUNCTION("""COMPUTED_VALUE"""),3.0)</f>
        <v>3</v>
      </c>
      <c r="G924" s="6" t="str">
        <f>IFERROR(__xludf.DUMMYFUNCTION("""COMPUTED_VALUE"""),"Pieces")</f>
        <v>Pieces</v>
      </c>
      <c r="H924" s="6" t="str">
        <f>IFERROR(__xludf.DUMMYFUNCTION("""COMPUTED_VALUE"""),"IDR")</f>
        <v>IDR</v>
      </c>
      <c r="I924" s="6">
        <f>IFERROR(__xludf.DUMMYFUNCTION("""COMPUTED_VALUE"""),4000.0)</f>
        <v>4000</v>
      </c>
      <c r="J924" s="6">
        <f>IFERROR(__xludf.DUMMYFUNCTION("""COMPUTED_VALUE"""),12000.0)</f>
        <v>12000</v>
      </c>
      <c r="K924" s="57">
        <f>IFERROR(__xludf.DUMMYFUNCTION("""COMPUTED_VALUE"""),43677.0)</f>
        <v>43677</v>
      </c>
      <c r="L924" s="6" t="str">
        <f>IFERROR(__xludf.DUMMYFUNCTION("""COMPUTED_VALUE"""),"FIP Engineering")</f>
        <v>FIP Engineering</v>
      </c>
      <c r="M924" s="6" t="str">
        <f>IFERROR(__xludf.DUMMYFUNCTION("""COMPUTED_VALUE"""),"Irwan Sopian")</f>
        <v>Irwan Sopian</v>
      </c>
      <c r="N924" s="6" t="str">
        <f>IFERROR(__xludf.DUMMYFUNCTION("""COMPUTED_VALUE"""),"FIP Engineering")</f>
        <v>FIP Engineering</v>
      </c>
      <c r="O924" s="6" t="str">
        <f>IFERROR(__xludf.DUMMYFUNCTION("""COMPUTED_VALUE"""),"FIP-DOM-000-11304-OS00001-INA-000000")</f>
        <v>FIP-DOM-000-11304-OS00001-INA-000000</v>
      </c>
      <c r="P924" s="6" t="str">
        <f>IFERROR(__xludf.DUMMYFUNCTION("""COMPUTED_VALUE"""),"PO Closed")</f>
        <v>PO Closed</v>
      </c>
      <c r="Q924" s="6" t="str">
        <f>IFERROR(__xludf.DUMMYFUNCTION("""COMPUTED_VALUE"""),"GL1907066")</f>
        <v>GL1907066</v>
      </c>
      <c r="R924" s="57">
        <f>IFERROR(__xludf.DUMMYFUNCTION("""COMPUTED_VALUE"""),43652.0)</f>
        <v>43652</v>
      </c>
      <c r="S924" s="6" t="str">
        <f>IFERROR(__xludf.DUMMYFUNCTION("""COMPUTED_VALUE"""),"-")</f>
        <v>-</v>
      </c>
      <c r="T924" s="57">
        <f>IFERROR(__xludf.DUMMYFUNCTION("""COMPUTED_VALUE"""),43677.0)</f>
        <v>43677</v>
      </c>
    </row>
    <row r="925">
      <c r="A925" s="6" t="str">
        <f>IFERROR(__xludf.DUMMYFUNCTION("""COMPUTED_VALUE"""),"191750271-5")</f>
        <v>191750271-5</v>
      </c>
      <c r="B925" s="6" t="str">
        <f>IFERROR(__xludf.DUMMYFUNCTION("""COMPUTED_VALUE"""),"191750271 - Approved")</f>
        <v>191750271 - Approved</v>
      </c>
      <c r="C925" s="6">
        <f>IFERROR(__xludf.DUMMYFUNCTION("""COMPUTED_VALUE"""),5.0)</f>
        <v>5</v>
      </c>
      <c r="D925" s="6" t="str">
        <f>IFERROR(__xludf.DUMMYFUNCTION("""COMPUTED_VALUE"""),"P-10904-00")</f>
        <v>P-10904-00</v>
      </c>
      <c r="E925" s="6" t="str">
        <f>IFERROR(__xludf.DUMMYFUNCTION("""COMPUTED_VALUE"""),"Fitting PVC - Tee PVC 1 1/4""")</f>
        <v>Fitting PVC - Tee PVC 1 1/4"</v>
      </c>
      <c r="F925" s="6">
        <f>IFERROR(__xludf.DUMMYFUNCTION("""COMPUTED_VALUE"""),2.0)</f>
        <v>2</v>
      </c>
      <c r="G925" s="6" t="str">
        <f>IFERROR(__xludf.DUMMYFUNCTION("""COMPUTED_VALUE"""),"Pieces")</f>
        <v>Pieces</v>
      </c>
      <c r="H925" s="6" t="str">
        <f>IFERROR(__xludf.DUMMYFUNCTION("""COMPUTED_VALUE"""),"IDR")</f>
        <v>IDR</v>
      </c>
      <c r="I925" s="6">
        <f>IFERROR(__xludf.DUMMYFUNCTION("""COMPUTED_VALUE"""),10000.0)</f>
        <v>10000</v>
      </c>
      <c r="J925" s="6">
        <f>IFERROR(__xludf.DUMMYFUNCTION("""COMPUTED_VALUE"""),20000.0)</f>
        <v>20000</v>
      </c>
      <c r="K925" s="57">
        <f>IFERROR(__xludf.DUMMYFUNCTION("""COMPUTED_VALUE"""),43677.0)</f>
        <v>43677</v>
      </c>
      <c r="L925" s="6" t="str">
        <f>IFERROR(__xludf.DUMMYFUNCTION("""COMPUTED_VALUE"""),"FIP Engineering")</f>
        <v>FIP Engineering</v>
      </c>
      <c r="M925" s="6" t="str">
        <f>IFERROR(__xludf.DUMMYFUNCTION("""COMPUTED_VALUE"""),"Irwan Sopian")</f>
        <v>Irwan Sopian</v>
      </c>
      <c r="N925" s="6" t="str">
        <f>IFERROR(__xludf.DUMMYFUNCTION("""COMPUTED_VALUE"""),"FIP Engineering")</f>
        <v>FIP Engineering</v>
      </c>
      <c r="O925" s="6" t="str">
        <f>IFERROR(__xludf.DUMMYFUNCTION("""COMPUTED_VALUE"""),"FIP-DOM-000-11304-OS00001-INA-000000")</f>
        <v>FIP-DOM-000-11304-OS00001-INA-000000</v>
      </c>
      <c r="P925" s="6" t="str">
        <f>IFERROR(__xludf.DUMMYFUNCTION("""COMPUTED_VALUE"""),"PO Closed")</f>
        <v>PO Closed</v>
      </c>
      <c r="Q925" s="6" t="str">
        <f>IFERROR(__xludf.DUMMYFUNCTION("""COMPUTED_VALUE"""),"GL1907066")</f>
        <v>GL1907066</v>
      </c>
      <c r="R925" s="57">
        <f>IFERROR(__xludf.DUMMYFUNCTION("""COMPUTED_VALUE"""),43652.0)</f>
        <v>43652</v>
      </c>
      <c r="S925" s="6" t="str">
        <f>IFERROR(__xludf.DUMMYFUNCTION("""COMPUTED_VALUE"""),"-")</f>
        <v>-</v>
      </c>
      <c r="T925" s="57">
        <f>IFERROR(__xludf.DUMMYFUNCTION("""COMPUTED_VALUE"""),43677.0)</f>
        <v>43677</v>
      </c>
    </row>
    <row r="926">
      <c r="A926" s="6" t="str">
        <f>IFERROR(__xludf.DUMMYFUNCTION("""COMPUTED_VALUE"""),"191750271-6")</f>
        <v>191750271-6</v>
      </c>
      <c r="B926" s="6" t="str">
        <f>IFERROR(__xludf.DUMMYFUNCTION("""COMPUTED_VALUE"""),"191750271 - Approved")</f>
        <v>191750271 - Approved</v>
      </c>
      <c r="C926" s="6">
        <f>IFERROR(__xludf.DUMMYFUNCTION("""COMPUTED_VALUE"""),6.0)</f>
        <v>6</v>
      </c>
      <c r="D926" s="6" t="str">
        <f>IFERROR(__xludf.DUMMYFUNCTION("""COMPUTED_VALUE"""),"P-12817-00")</f>
        <v>P-12817-00</v>
      </c>
      <c r="E926" s="6" t="str">
        <f>IFERROR(__xludf.DUMMYFUNCTION("""COMPUTED_VALUE"""),"Sock PVC AW dia 1 1/4inch")</f>
        <v>Sock PVC AW dia 1 1/4inch</v>
      </c>
      <c r="F926" s="6">
        <f>IFERROR(__xludf.DUMMYFUNCTION("""COMPUTED_VALUE"""),1.0)</f>
        <v>1</v>
      </c>
      <c r="G926" s="6" t="str">
        <f>IFERROR(__xludf.DUMMYFUNCTION("""COMPUTED_VALUE"""),"Pieces")</f>
        <v>Pieces</v>
      </c>
      <c r="H926" s="6" t="str">
        <f>IFERROR(__xludf.DUMMYFUNCTION("""COMPUTED_VALUE"""),"IDR")</f>
        <v>IDR</v>
      </c>
      <c r="I926" s="6">
        <f>IFERROR(__xludf.DUMMYFUNCTION("""COMPUTED_VALUE"""),6000.0)</f>
        <v>6000</v>
      </c>
      <c r="J926" s="6">
        <f>IFERROR(__xludf.DUMMYFUNCTION("""COMPUTED_VALUE"""),6000.0)</f>
        <v>6000</v>
      </c>
      <c r="K926" s="57">
        <f>IFERROR(__xludf.DUMMYFUNCTION("""COMPUTED_VALUE"""),43677.0)</f>
        <v>43677</v>
      </c>
      <c r="L926" s="6" t="str">
        <f>IFERROR(__xludf.DUMMYFUNCTION("""COMPUTED_VALUE"""),"FIP Engineering")</f>
        <v>FIP Engineering</v>
      </c>
      <c r="M926" s="6" t="str">
        <f>IFERROR(__xludf.DUMMYFUNCTION("""COMPUTED_VALUE"""),"Irwan Sopian")</f>
        <v>Irwan Sopian</v>
      </c>
      <c r="N926" s="6" t="str">
        <f>IFERROR(__xludf.DUMMYFUNCTION("""COMPUTED_VALUE"""),"FIP Engineering")</f>
        <v>FIP Engineering</v>
      </c>
      <c r="O926" s="6" t="str">
        <f>IFERROR(__xludf.DUMMYFUNCTION("""COMPUTED_VALUE"""),"FIP-DOM-000-11304-OS00001-INA-000000")</f>
        <v>FIP-DOM-000-11304-OS00001-INA-000000</v>
      </c>
      <c r="P926" s="6" t="str">
        <f>IFERROR(__xludf.DUMMYFUNCTION("""COMPUTED_VALUE"""),"PO Closed")</f>
        <v>PO Closed</v>
      </c>
      <c r="Q926" s="6" t="str">
        <f>IFERROR(__xludf.DUMMYFUNCTION("""COMPUTED_VALUE"""),"GL1907066")</f>
        <v>GL1907066</v>
      </c>
      <c r="R926" s="57">
        <f>IFERROR(__xludf.DUMMYFUNCTION("""COMPUTED_VALUE"""),43652.0)</f>
        <v>43652</v>
      </c>
      <c r="S926" s="6" t="str">
        <f>IFERROR(__xludf.DUMMYFUNCTION("""COMPUTED_VALUE"""),"-")</f>
        <v>-</v>
      </c>
      <c r="T926" s="57">
        <f>IFERROR(__xludf.DUMMYFUNCTION("""COMPUTED_VALUE"""),43677.0)</f>
        <v>43677</v>
      </c>
    </row>
    <row r="927">
      <c r="A927" s="6" t="str">
        <f>IFERROR(__xludf.DUMMYFUNCTION("""COMPUTED_VALUE"""),"191750271-7")</f>
        <v>191750271-7</v>
      </c>
      <c r="B927" s="6" t="str">
        <f>IFERROR(__xludf.DUMMYFUNCTION("""COMPUTED_VALUE"""),"191750271 - Approved")</f>
        <v>191750271 - Approved</v>
      </c>
      <c r="C927" s="6">
        <f>IFERROR(__xludf.DUMMYFUNCTION("""COMPUTED_VALUE"""),7.0)</f>
        <v>7</v>
      </c>
      <c r="D927" s="6" t="str">
        <f>IFERROR(__xludf.DUMMYFUNCTION("""COMPUTED_VALUE"""),"T-80681-00")</f>
        <v>T-80681-00</v>
      </c>
      <c r="E927" s="6" t="str">
        <f>IFERROR(__xludf.DUMMYFUNCTION("""COMPUTED_VALUE"""),"Battery Kancing Energizer CR2032 3V Lithium")</f>
        <v>Battery Kancing Energizer CR2032 3V Lithium</v>
      </c>
      <c r="F927" s="6">
        <f>IFERROR(__xludf.DUMMYFUNCTION("""COMPUTED_VALUE"""),1.0)</f>
        <v>1</v>
      </c>
      <c r="G927" s="6" t="str">
        <f>IFERROR(__xludf.DUMMYFUNCTION("""COMPUTED_VALUE"""),"Pack")</f>
        <v>Pack</v>
      </c>
      <c r="H927" s="6" t="str">
        <f>IFERROR(__xludf.DUMMYFUNCTION("""COMPUTED_VALUE"""),"IDR")</f>
        <v>IDR</v>
      </c>
      <c r="I927" s="6">
        <f>IFERROR(__xludf.DUMMYFUNCTION("""COMPUTED_VALUE"""),18500.0)</f>
        <v>18500</v>
      </c>
      <c r="J927" s="6">
        <f>IFERROR(__xludf.DUMMYFUNCTION("""COMPUTED_VALUE"""),18500.0)</f>
        <v>18500</v>
      </c>
      <c r="K927" s="57">
        <f>IFERROR(__xludf.DUMMYFUNCTION("""COMPUTED_VALUE"""),43677.0)</f>
        <v>43677</v>
      </c>
      <c r="L927" s="6" t="str">
        <f>IFERROR(__xludf.DUMMYFUNCTION("""COMPUTED_VALUE"""),"FIP General")</f>
        <v>FIP General</v>
      </c>
      <c r="M927" s="6" t="str">
        <f>IFERROR(__xludf.DUMMYFUNCTION("""COMPUTED_VALUE"""),"Irwan Sopian")</f>
        <v>Irwan Sopian</v>
      </c>
      <c r="N927" s="6" t="str">
        <f>IFERROR(__xludf.DUMMYFUNCTION("""COMPUTED_VALUE"""),"FIP Engineering")</f>
        <v>FIP Engineering</v>
      </c>
      <c r="O927" s="6" t="str">
        <f>IFERROR(__xludf.DUMMYFUNCTION("""COMPUTED_VALUE"""),"FIP-DOM-ENG-51404-0000000-INA-000000")</f>
        <v>FIP-DOM-ENG-51404-0000000-INA-000000</v>
      </c>
      <c r="P927" s="6" t="str">
        <f>IFERROR(__xludf.DUMMYFUNCTION("""COMPUTED_VALUE"""),"PO Closed")</f>
        <v>PO Closed</v>
      </c>
      <c r="Q927" s="6" t="str">
        <f>IFERROR(__xludf.DUMMYFUNCTION("""COMPUTED_VALUE"""),"GL1907066")</f>
        <v>GL1907066</v>
      </c>
      <c r="R927" s="57">
        <f>IFERROR(__xludf.DUMMYFUNCTION("""COMPUTED_VALUE"""),43652.0)</f>
        <v>43652</v>
      </c>
      <c r="S927" s="6" t="str">
        <f>IFERROR(__xludf.DUMMYFUNCTION("""COMPUTED_VALUE"""),"-")</f>
        <v>-</v>
      </c>
      <c r="T927" s="57">
        <f>IFERROR(__xludf.DUMMYFUNCTION("""COMPUTED_VALUE"""),43677.0)</f>
        <v>43677</v>
      </c>
    </row>
    <row r="928">
      <c r="A928" s="6" t="str">
        <f>IFERROR(__xludf.DUMMYFUNCTION("""COMPUTED_VALUE"""),"191750271-9")</f>
        <v>191750271-9</v>
      </c>
      <c r="B928" s="6" t="str">
        <f>IFERROR(__xludf.DUMMYFUNCTION("""COMPUTED_VALUE"""),"191750271 - Approved")</f>
        <v>191750271 - Approved</v>
      </c>
      <c r="C928" s="6">
        <f>IFERROR(__xludf.DUMMYFUNCTION("""COMPUTED_VALUE"""),9.0)</f>
        <v>9</v>
      </c>
      <c r="D928" s="6" t="str">
        <f>IFERROR(__xludf.DUMMYFUNCTION("""COMPUTED_VALUE"""),"P-50182-00")</f>
        <v>P-50182-00</v>
      </c>
      <c r="E928" s="6" t="str">
        <f>IFERROR(__xludf.DUMMYFUNCTION("""COMPUTED_VALUE"""),"Socket")</f>
        <v>Socket</v>
      </c>
      <c r="F928" s="6">
        <f>IFERROR(__xludf.DUMMYFUNCTION("""COMPUTED_VALUE"""),1.0)</f>
        <v>1</v>
      </c>
      <c r="G928" s="6" t="str">
        <f>IFERROR(__xludf.DUMMYFUNCTION("""COMPUTED_VALUE"""),"Pieces")</f>
        <v>Pieces</v>
      </c>
      <c r="H928" s="6" t="str">
        <f>IFERROR(__xludf.DUMMYFUNCTION("""COMPUTED_VALUE"""),"IDR")</f>
        <v>IDR</v>
      </c>
      <c r="I928" s="6">
        <f>IFERROR(__xludf.DUMMYFUNCTION("""COMPUTED_VALUE"""),10500.0)</f>
        <v>10500</v>
      </c>
      <c r="J928" s="6">
        <f>IFERROR(__xludf.DUMMYFUNCTION("""COMPUTED_VALUE"""),10500.0)</f>
        <v>10500</v>
      </c>
      <c r="K928" s="57">
        <f>IFERROR(__xludf.DUMMYFUNCTION("""COMPUTED_VALUE"""),43677.0)</f>
        <v>43677</v>
      </c>
      <c r="L928" s="6" t="str">
        <f>IFERROR(__xludf.DUMMYFUNCTION("""COMPUTED_VALUE"""),"FIP Engineering")</f>
        <v>FIP Engineering</v>
      </c>
      <c r="M928" s="6" t="str">
        <f>IFERROR(__xludf.DUMMYFUNCTION("""COMPUTED_VALUE"""),"Irwan Sopian")</f>
        <v>Irwan Sopian</v>
      </c>
      <c r="N928" s="6" t="str">
        <f>IFERROR(__xludf.DUMMYFUNCTION("""COMPUTED_VALUE"""),"FIP Engineering")</f>
        <v>FIP Engineering</v>
      </c>
      <c r="O928" s="6" t="str">
        <f>IFERROR(__xludf.DUMMYFUNCTION("""COMPUTED_VALUE"""),"FIP-DOM-000-11304-OS00001-INA-000000")</f>
        <v>FIP-DOM-000-11304-OS00001-INA-000000</v>
      </c>
      <c r="P928" s="6" t="str">
        <f>IFERROR(__xludf.DUMMYFUNCTION("""COMPUTED_VALUE"""),"PO Closed")</f>
        <v>PO Closed</v>
      </c>
      <c r="Q928" s="6" t="str">
        <f>IFERROR(__xludf.DUMMYFUNCTION("""COMPUTED_VALUE"""),"GL1907066")</f>
        <v>GL1907066</v>
      </c>
      <c r="R928" s="57">
        <f>IFERROR(__xludf.DUMMYFUNCTION("""COMPUTED_VALUE"""),43652.0)</f>
        <v>43652</v>
      </c>
      <c r="S928" s="6" t="str">
        <f>IFERROR(__xludf.DUMMYFUNCTION("""COMPUTED_VALUE"""),"-")</f>
        <v>-</v>
      </c>
      <c r="T928" s="57">
        <f>IFERROR(__xludf.DUMMYFUNCTION("""COMPUTED_VALUE"""),43677.0)</f>
        <v>43677</v>
      </c>
    </row>
    <row r="929">
      <c r="A929" s="6" t="str">
        <f>IFERROR(__xludf.DUMMYFUNCTION("""COMPUTED_VALUE"""),"191750271-10")</f>
        <v>191750271-10</v>
      </c>
      <c r="B929" s="6" t="str">
        <f>IFERROR(__xludf.DUMMYFUNCTION("""COMPUTED_VALUE"""),"191750271 - Approved")</f>
        <v>191750271 - Approved</v>
      </c>
      <c r="C929" s="6">
        <f>IFERROR(__xludf.DUMMYFUNCTION("""COMPUTED_VALUE"""),10.0)</f>
        <v>10</v>
      </c>
      <c r="D929" s="6" t="str">
        <f>IFERROR(__xludf.DUMMYFUNCTION("""COMPUTED_VALUE"""),"P-52000-00")</f>
        <v>P-52000-00</v>
      </c>
      <c r="E929" s="6" t="str">
        <f>IFERROR(__xludf.DUMMYFUNCTION("""COMPUTED_VALUE"""),"Mata Solder")</f>
        <v>Mata Solder</v>
      </c>
      <c r="F929" s="6">
        <f>IFERROR(__xludf.DUMMYFUNCTION("""COMPUTED_VALUE"""),1.0)</f>
        <v>1</v>
      </c>
      <c r="G929" s="6" t="str">
        <f>IFERROR(__xludf.DUMMYFUNCTION("""COMPUTED_VALUE"""),"Pieces")</f>
        <v>Pieces</v>
      </c>
      <c r="H929" s="6" t="str">
        <f>IFERROR(__xludf.DUMMYFUNCTION("""COMPUTED_VALUE"""),"IDR")</f>
        <v>IDR</v>
      </c>
      <c r="I929" s="6">
        <f>IFERROR(__xludf.DUMMYFUNCTION("""COMPUTED_VALUE"""),10000.0)</f>
        <v>10000</v>
      </c>
      <c r="J929" s="6">
        <f>IFERROR(__xludf.DUMMYFUNCTION("""COMPUTED_VALUE"""),10000.0)</f>
        <v>10000</v>
      </c>
      <c r="K929" s="57">
        <f>IFERROR(__xludf.DUMMYFUNCTION("""COMPUTED_VALUE"""),43677.0)</f>
        <v>43677</v>
      </c>
      <c r="L929" s="6" t="str">
        <f>IFERROR(__xludf.DUMMYFUNCTION("""COMPUTED_VALUE"""),"FIP Engineering")</f>
        <v>FIP Engineering</v>
      </c>
      <c r="M929" s="6" t="str">
        <f>IFERROR(__xludf.DUMMYFUNCTION("""COMPUTED_VALUE"""),"Irwan Sopian")</f>
        <v>Irwan Sopian</v>
      </c>
      <c r="N929" s="6" t="str">
        <f>IFERROR(__xludf.DUMMYFUNCTION("""COMPUTED_VALUE"""),"FIP Engineering")</f>
        <v>FIP Engineering</v>
      </c>
      <c r="O929" s="6" t="str">
        <f>IFERROR(__xludf.DUMMYFUNCTION("""COMPUTED_VALUE"""),"FIP-DOM-000-11304-OS00001-INA-000000")</f>
        <v>FIP-DOM-000-11304-OS00001-INA-000000</v>
      </c>
      <c r="P929" s="6" t="str">
        <f>IFERROR(__xludf.DUMMYFUNCTION("""COMPUTED_VALUE"""),"PO Closed")</f>
        <v>PO Closed</v>
      </c>
      <c r="Q929" s="6" t="str">
        <f>IFERROR(__xludf.DUMMYFUNCTION("""COMPUTED_VALUE"""),"GL1907066")</f>
        <v>GL1907066</v>
      </c>
      <c r="R929" s="57">
        <f>IFERROR(__xludf.DUMMYFUNCTION("""COMPUTED_VALUE"""),43652.0)</f>
        <v>43652</v>
      </c>
      <c r="S929" s="6" t="str">
        <f>IFERROR(__xludf.DUMMYFUNCTION("""COMPUTED_VALUE"""),"-")</f>
        <v>-</v>
      </c>
      <c r="T929" s="57">
        <f>IFERROR(__xludf.DUMMYFUNCTION("""COMPUTED_VALUE"""),43677.0)</f>
        <v>43677</v>
      </c>
    </row>
    <row r="930">
      <c r="A930" s="6" t="str">
        <f>IFERROR(__xludf.DUMMYFUNCTION("""COMPUTED_VALUE"""),"191750271-11")</f>
        <v>191750271-11</v>
      </c>
      <c r="B930" s="6" t="str">
        <f>IFERROR(__xludf.DUMMYFUNCTION("""COMPUTED_VALUE"""),"191750271 - Approved")</f>
        <v>191750271 - Approved</v>
      </c>
      <c r="C930" s="6">
        <f>IFERROR(__xludf.DUMMYFUNCTION("""COMPUTED_VALUE"""),11.0)</f>
        <v>11</v>
      </c>
      <c r="D930" s="6" t="str">
        <f>IFERROR(__xludf.DUMMYFUNCTION("""COMPUTED_VALUE"""),"P-10945-00")</f>
        <v>P-10945-00</v>
      </c>
      <c r="E930" s="6" t="str">
        <f>IFERROR(__xludf.DUMMYFUNCTION("""COMPUTED_VALUE"""),"Insulation - Seal Tape onda")</f>
        <v>Insulation - Seal Tape onda</v>
      </c>
      <c r="F930" s="6">
        <f>IFERROR(__xludf.DUMMYFUNCTION("""COMPUTED_VALUE"""),3.0)</f>
        <v>3</v>
      </c>
      <c r="G930" s="6" t="str">
        <f>IFERROR(__xludf.DUMMYFUNCTION("""COMPUTED_VALUE"""),"Pieces")</f>
        <v>Pieces</v>
      </c>
      <c r="H930" s="6" t="str">
        <f>IFERROR(__xludf.DUMMYFUNCTION("""COMPUTED_VALUE"""),"IDR")</f>
        <v>IDR</v>
      </c>
      <c r="I930" s="6">
        <f>IFERROR(__xludf.DUMMYFUNCTION("""COMPUTED_VALUE"""),3000.0)</f>
        <v>3000</v>
      </c>
      <c r="J930" s="6">
        <f>IFERROR(__xludf.DUMMYFUNCTION("""COMPUTED_VALUE"""),9000.0)</f>
        <v>9000</v>
      </c>
      <c r="K930" s="57">
        <f>IFERROR(__xludf.DUMMYFUNCTION("""COMPUTED_VALUE"""),43677.0)</f>
        <v>43677</v>
      </c>
      <c r="L930" s="6" t="str">
        <f>IFERROR(__xludf.DUMMYFUNCTION("""COMPUTED_VALUE"""),"FIP Engineering")</f>
        <v>FIP Engineering</v>
      </c>
      <c r="M930" s="6" t="str">
        <f>IFERROR(__xludf.DUMMYFUNCTION("""COMPUTED_VALUE"""),"Irwan Sopian")</f>
        <v>Irwan Sopian</v>
      </c>
      <c r="N930" s="6" t="str">
        <f>IFERROR(__xludf.DUMMYFUNCTION("""COMPUTED_VALUE"""),"FIP Engineering")</f>
        <v>FIP Engineering</v>
      </c>
      <c r="O930" s="6" t="str">
        <f>IFERROR(__xludf.DUMMYFUNCTION("""COMPUTED_VALUE"""),"FIP-DOM-000-11304-OS00001-INA-000000")</f>
        <v>FIP-DOM-000-11304-OS00001-INA-000000</v>
      </c>
      <c r="P930" s="6" t="str">
        <f>IFERROR(__xludf.DUMMYFUNCTION("""COMPUTED_VALUE"""),"PO Closed")</f>
        <v>PO Closed</v>
      </c>
      <c r="Q930" s="6" t="str">
        <f>IFERROR(__xludf.DUMMYFUNCTION("""COMPUTED_VALUE"""),"GL1907066")</f>
        <v>GL1907066</v>
      </c>
      <c r="R930" s="57">
        <f>IFERROR(__xludf.DUMMYFUNCTION("""COMPUTED_VALUE"""),43652.0)</f>
        <v>43652</v>
      </c>
      <c r="S930" s="6" t="str">
        <f>IFERROR(__xludf.DUMMYFUNCTION("""COMPUTED_VALUE"""),"-")</f>
        <v>-</v>
      </c>
      <c r="T930" s="57">
        <f>IFERROR(__xludf.DUMMYFUNCTION("""COMPUTED_VALUE"""),43677.0)</f>
        <v>43677</v>
      </c>
    </row>
    <row r="931">
      <c r="A931" s="6" t="str">
        <f>IFERROR(__xludf.DUMMYFUNCTION("""COMPUTED_VALUE"""),"191750271-12")</f>
        <v>191750271-12</v>
      </c>
      <c r="B931" s="6" t="str">
        <f>IFERROR(__xludf.DUMMYFUNCTION("""COMPUTED_VALUE"""),"191750271 - Approved")</f>
        <v>191750271 - Approved</v>
      </c>
      <c r="C931" s="6">
        <f>IFERROR(__xludf.DUMMYFUNCTION("""COMPUTED_VALUE"""),12.0)</f>
        <v>12</v>
      </c>
      <c r="D931" s="6" t="str">
        <f>IFERROR(__xludf.DUMMYFUNCTION("""COMPUTED_VALUE"""),"P-12818-00")</f>
        <v>P-12818-00</v>
      </c>
      <c r="E931" s="6" t="str">
        <f>IFERROR(__xludf.DUMMYFUNCTION("""COMPUTED_VALUE"""),"Sock PVC AW dia 1inch")</f>
        <v>Sock PVC AW dia 1inch</v>
      </c>
      <c r="F931" s="6">
        <f>IFERROR(__xludf.DUMMYFUNCTION("""COMPUTED_VALUE"""),3.0)</f>
        <v>3</v>
      </c>
      <c r="G931" s="6" t="str">
        <f>IFERROR(__xludf.DUMMYFUNCTION("""COMPUTED_VALUE"""),"Pieces")</f>
        <v>Pieces</v>
      </c>
      <c r="H931" s="6" t="str">
        <f>IFERROR(__xludf.DUMMYFUNCTION("""COMPUTED_VALUE"""),"IDR")</f>
        <v>IDR</v>
      </c>
      <c r="I931" s="6">
        <f>IFERROR(__xludf.DUMMYFUNCTION("""COMPUTED_VALUE"""),4000.0)</f>
        <v>4000</v>
      </c>
      <c r="J931" s="6">
        <f>IFERROR(__xludf.DUMMYFUNCTION("""COMPUTED_VALUE"""),12000.0)</f>
        <v>12000</v>
      </c>
      <c r="K931" s="57">
        <f>IFERROR(__xludf.DUMMYFUNCTION("""COMPUTED_VALUE"""),43677.0)</f>
        <v>43677</v>
      </c>
      <c r="L931" s="6" t="str">
        <f>IFERROR(__xludf.DUMMYFUNCTION("""COMPUTED_VALUE"""),"FIP Engineering")</f>
        <v>FIP Engineering</v>
      </c>
      <c r="M931" s="6" t="str">
        <f>IFERROR(__xludf.DUMMYFUNCTION("""COMPUTED_VALUE"""),"Irwan Sopian")</f>
        <v>Irwan Sopian</v>
      </c>
      <c r="N931" s="6" t="str">
        <f>IFERROR(__xludf.DUMMYFUNCTION("""COMPUTED_VALUE"""),"FIP Engineering")</f>
        <v>FIP Engineering</v>
      </c>
      <c r="O931" s="6" t="str">
        <f>IFERROR(__xludf.DUMMYFUNCTION("""COMPUTED_VALUE"""),"FIP-DOM-000-11304-OS00001-INA-000000")</f>
        <v>FIP-DOM-000-11304-OS00001-INA-000000</v>
      </c>
      <c r="P931" s="6" t="str">
        <f>IFERROR(__xludf.DUMMYFUNCTION("""COMPUTED_VALUE"""),"PO Closed")</f>
        <v>PO Closed</v>
      </c>
      <c r="Q931" s="6" t="str">
        <f>IFERROR(__xludf.DUMMYFUNCTION("""COMPUTED_VALUE"""),"GL1907066")</f>
        <v>GL1907066</v>
      </c>
      <c r="R931" s="57">
        <f>IFERROR(__xludf.DUMMYFUNCTION("""COMPUTED_VALUE"""),43652.0)</f>
        <v>43652</v>
      </c>
      <c r="S931" s="6" t="str">
        <f>IFERROR(__xludf.DUMMYFUNCTION("""COMPUTED_VALUE"""),"-")</f>
        <v>-</v>
      </c>
      <c r="T931" s="57">
        <f>IFERROR(__xludf.DUMMYFUNCTION("""COMPUTED_VALUE"""),43677.0)</f>
        <v>43677</v>
      </c>
    </row>
    <row r="932">
      <c r="A932" s="6" t="str">
        <f>IFERROR(__xludf.DUMMYFUNCTION("""COMPUTED_VALUE"""),"191750271-13")</f>
        <v>191750271-13</v>
      </c>
      <c r="B932" s="6" t="str">
        <f>IFERROR(__xludf.DUMMYFUNCTION("""COMPUTED_VALUE"""),"191750271 - Approved")</f>
        <v>191750271 - Approved</v>
      </c>
      <c r="C932" s="6">
        <f>IFERROR(__xludf.DUMMYFUNCTION("""COMPUTED_VALUE"""),13.0)</f>
        <v>13</v>
      </c>
      <c r="D932" s="6" t="str">
        <f>IFERROR(__xludf.DUMMYFUNCTION("""COMPUTED_VALUE"""),"P-12811-00")</f>
        <v>P-12811-00</v>
      </c>
      <c r="E932" s="6" t="str">
        <f>IFERROR(__xludf.DUMMYFUNCTION("""COMPUTED_VALUE"""),"Sock Drat luar PVC AW dia 1/2inch")</f>
        <v>Sock Drat luar PVC AW dia 1/2inch</v>
      </c>
      <c r="F932" s="6">
        <f>IFERROR(__xludf.DUMMYFUNCTION("""COMPUTED_VALUE"""),2.0)</f>
        <v>2</v>
      </c>
      <c r="G932" s="6" t="str">
        <f>IFERROR(__xludf.DUMMYFUNCTION("""COMPUTED_VALUE"""),"Pieces")</f>
        <v>Pieces</v>
      </c>
      <c r="H932" s="6" t="str">
        <f>IFERROR(__xludf.DUMMYFUNCTION("""COMPUTED_VALUE"""),"IDR")</f>
        <v>IDR</v>
      </c>
      <c r="I932" s="6">
        <f>IFERROR(__xludf.DUMMYFUNCTION("""COMPUTED_VALUE"""),6000.0)</f>
        <v>6000</v>
      </c>
      <c r="J932" s="6">
        <f>IFERROR(__xludf.DUMMYFUNCTION("""COMPUTED_VALUE"""),12000.0)</f>
        <v>12000</v>
      </c>
      <c r="K932" s="57">
        <f>IFERROR(__xludf.DUMMYFUNCTION("""COMPUTED_VALUE"""),43677.0)</f>
        <v>43677</v>
      </c>
      <c r="L932" s="6" t="str">
        <f>IFERROR(__xludf.DUMMYFUNCTION("""COMPUTED_VALUE"""),"FIP Engineering")</f>
        <v>FIP Engineering</v>
      </c>
      <c r="M932" s="6" t="str">
        <f>IFERROR(__xludf.DUMMYFUNCTION("""COMPUTED_VALUE"""),"Irwan Sopian")</f>
        <v>Irwan Sopian</v>
      </c>
      <c r="N932" s="6" t="str">
        <f>IFERROR(__xludf.DUMMYFUNCTION("""COMPUTED_VALUE"""),"FIP Engineering")</f>
        <v>FIP Engineering</v>
      </c>
      <c r="O932" s="6" t="str">
        <f>IFERROR(__xludf.DUMMYFUNCTION("""COMPUTED_VALUE"""),"FIP-DOM-000-11304-OS00001-INA-000000")</f>
        <v>FIP-DOM-000-11304-OS00001-INA-000000</v>
      </c>
      <c r="P932" s="6" t="str">
        <f>IFERROR(__xludf.DUMMYFUNCTION("""COMPUTED_VALUE"""),"PO Closed")</f>
        <v>PO Closed</v>
      </c>
      <c r="Q932" s="6" t="str">
        <f>IFERROR(__xludf.DUMMYFUNCTION("""COMPUTED_VALUE"""),"GL1907066")</f>
        <v>GL1907066</v>
      </c>
      <c r="R932" s="57">
        <f>IFERROR(__xludf.DUMMYFUNCTION("""COMPUTED_VALUE"""),43652.0)</f>
        <v>43652</v>
      </c>
      <c r="S932" s="6" t="str">
        <f>IFERROR(__xludf.DUMMYFUNCTION("""COMPUTED_VALUE"""),"-")</f>
        <v>-</v>
      </c>
      <c r="T932" s="57">
        <f>IFERROR(__xludf.DUMMYFUNCTION("""COMPUTED_VALUE"""),43677.0)</f>
        <v>43677</v>
      </c>
    </row>
    <row r="933">
      <c r="A933" s="6" t="str">
        <f>IFERROR(__xludf.DUMMYFUNCTION("""COMPUTED_VALUE"""),"191750275-2")</f>
        <v>191750275-2</v>
      </c>
      <c r="B933" s="6" t="str">
        <f>IFERROR(__xludf.DUMMYFUNCTION("""COMPUTED_VALUE"""),"191750275 - Approved")</f>
        <v>191750275 - Approved</v>
      </c>
      <c r="C933" s="6">
        <f>IFERROR(__xludf.DUMMYFUNCTION("""COMPUTED_VALUE"""),2.0)</f>
        <v>2</v>
      </c>
      <c r="D933" s="6" t="str">
        <f>IFERROR(__xludf.DUMMYFUNCTION("""COMPUTED_VALUE"""),"O-52240-00")</f>
        <v>O-52240-00</v>
      </c>
      <c r="E933" s="6" t="str">
        <f>IFERROR(__xludf.DUMMYFUNCTION("""COMPUTED_VALUE"""),"WAGO 750-623 Supply Modul Input 5-15 V")</f>
        <v>WAGO 750-623 Supply Modul Input 5-15 V</v>
      </c>
      <c r="F933" s="6">
        <f>IFERROR(__xludf.DUMMYFUNCTION("""COMPUTED_VALUE"""),1.0)</f>
        <v>1</v>
      </c>
      <c r="G933" s="6" t="str">
        <f>IFERROR(__xludf.DUMMYFUNCTION("""COMPUTED_VALUE"""),"Pieces")</f>
        <v>Pieces</v>
      </c>
      <c r="H933" s="6" t="str">
        <f>IFERROR(__xludf.DUMMYFUNCTION("""COMPUTED_VALUE"""),"EUR")</f>
        <v>EUR</v>
      </c>
      <c r="I933" s="6">
        <f>IFERROR(__xludf.DUMMYFUNCTION("""COMPUTED_VALUE"""),198.4)</f>
        <v>198.4</v>
      </c>
      <c r="J933" s="6">
        <f>IFERROR(__xludf.DUMMYFUNCTION("""COMPUTED_VALUE"""),198.4)</f>
        <v>198.4</v>
      </c>
      <c r="K933" s="57">
        <f>IFERROR(__xludf.DUMMYFUNCTION("""COMPUTED_VALUE"""),43707.0)</f>
        <v>43707</v>
      </c>
      <c r="L933" s="6" t="str">
        <f>IFERROR(__xludf.DUMMYFUNCTION("""COMPUTED_VALUE"""),"FIP Engineering")</f>
        <v>FIP Engineering</v>
      </c>
      <c r="M933" s="6" t="str">
        <f>IFERROR(__xludf.DUMMYFUNCTION("""COMPUTED_VALUE"""),"Irwan Sopian")</f>
        <v>Irwan Sopian</v>
      </c>
      <c r="N933" s="6" t="str">
        <f>IFERROR(__xludf.DUMMYFUNCTION("""COMPUTED_VALUE"""),"FIP Engineering")</f>
        <v>FIP Engineering</v>
      </c>
      <c r="O933" s="6" t="str">
        <f>IFERROR(__xludf.DUMMYFUNCTION("""COMPUTED_VALUE"""),"FIP-DOM-000-11304-OS00001-INA-000000")</f>
        <v>FIP-DOM-000-11304-OS00001-INA-000000</v>
      </c>
      <c r="P933" s="6" t="str">
        <f>IFERROR(__xludf.DUMMYFUNCTION("""COMPUTED_VALUE"""),"PO Closed")</f>
        <v>PO Closed</v>
      </c>
      <c r="Q933" s="6" t="str">
        <f>IFERROR(__xludf.DUMMYFUNCTION("""COMPUTED_VALUE"""),"GL1907064")</f>
        <v>GL1907064</v>
      </c>
      <c r="R933" s="57">
        <f>IFERROR(__xludf.DUMMYFUNCTION("""COMPUTED_VALUE"""),43654.0)</f>
        <v>43654</v>
      </c>
      <c r="S933" s="6" t="str">
        <f>IFERROR(__xludf.DUMMYFUNCTION("""COMPUTED_VALUE"""),"-")</f>
        <v>-</v>
      </c>
      <c r="T933" s="57">
        <f>IFERROR(__xludf.DUMMYFUNCTION("""COMPUTED_VALUE"""),43721.0)</f>
        <v>43721</v>
      </c>
    </row>
    <row r="934">
      <c r="A934" s="6" t="str">
        <f>IFERROR(__xludf.DUMMYFUNCTION("""COMPUTED_VALUE"""),"191750274-1")</f>
        <v>191750274-1</v>
      </c>
      <c r="B934" s="6" t="str">
        <f>IFERROR(__xludf.DUMMYFUNCTION("""COMPUTED_VALUE"""),"191750274 - Approved")</f>
        <v>191750274 - Approved</v>
      </c>
      <c r="C934" s="6">
        <f>IFERROR(__xludf.DUMMYFUNCTION("""COMPUTED_VALUE"""),1.0)</f>
        <v>1</v>
      </c>
      <c r="D934" s="6" t="str">
        <f>IFERROR(__xludf.DUMMYFUNCTION("""COMPUTED_VALUE"""),"O-16885-00")</f>
        <v>O-16885-00</v>
      </c>
      <c r="E934" s="6" t="str">
        <f>IFERROR(__xludf.DUMMYFUNCTION("""COMPUTED_VALUE"""),"Clamp Hose Alumunium Ferrule 1 inch EN14425-3")</f>
        <v>Clamp Hose Alumunium Ferrule 1 inch EN14425-3</v>
      </c>
      <c r="F934" s="6">
        <f>IFERROR(__xludf.DUMMYFUNCTION("""COMPUTED_VALUE"""),4.0)</f>
        <v>4</v>
      </c>
      <c r="G934" s="6" t="str">
        <f>IFERROR(__xludf.DUMMYFUNCTION("""COMPUTED_VALUE"""),"Pieces")</f>
        <v>Pieces</v>
      </c>
      <c r="H934" s="6" t="str">
        <f>IFERROR(__xludf.DUMMYFUNCTION("""COMPUTED_VALUE"""),"IDR")</f>
        <v>IDR</v>
      </c>
      <c r="I934" s="6">
        <f>IFERROR(__xludf.DUMMYFUNCTION("""COMPUTED_VALUE"""),220000.0)</f>
        <v>220000</v>
      </c>
      <c r="J934" s="6">
        <f>IFERROR(__xludf.DUMMYFUNCTION("""COMPUTED_VALUE"""),880000.0)</f>
        <v>880000</v>
      </c>
      <c r="K934" s="57">
        <f>IFERROR(__xludf.DUMMYFUNCTION("""COMPUTED_VALUE"""),43678.0)</f>
        <v>43678</v>
      </c>
      <c r="L934" s="6" t="str">
        <f>IFERROR(__xludf.DUMMYFUNCTION("""COMPUTED_VALUE"""),"FIP Engineering")</f>
        <v>FIP Engineering</v>
      </c>
      <c r="M934" s="6" t="str">
        <f>IFERROR(__xludf.DUMMYFUNCTION("""COMPUTED_VALUE"""),"Irwan Sopian")</f>
        <v>Irwan Sopian</v>
      </c>
      <c r="N934" s="6" t="str">
        <f>IFERROR(__xludf.DUMMYFUNCTION("""COMPUTED_VALUE"""),"FIP Engineering")</f>
        <v>FIP Engineering</v>
      </c>
      <c r="O934" s="6" t="str">
        <f>IFERROR(__xludf.DUMMYFUNCTION("""COMPUTED_VALUE"""),"FIP-DOM-000-11304-OS00001-INA-000000")</f>
        <v>FIP-DOM-000-11304-OS00001-INA-000000</v>
      </c>
      <c r="P934" s="6" t="str">
        <f>IFERROR(__xludf.DUMMYFUNCTION("""COMPUTED_VALUE"""),"PO Closed")</f>
        <v>PO Closed</v>
      </c>
      <c r="Q934" s="6" t="str">
        <f>IFERROR(__xludf.DUMMYFUNCTION("""COMPUTED_VALUE"""),"GL1907061")</f>
        <v>GL1907061</v>
      </c>
      <c r="R934" s="57">
        <f>IFERROR(__xludf.DUMMYFUNCTION("""COMPUTED_VALUE"""),43654.0)</f>
        <v>43654</v>
      </c>
      <c r="S934" s="6" t="str">
        <f>IFERROR(__xludf.DUMMYFUNCTION("""COMPUTED_VALUE"""),"-")</f>
        <v>-</v>
      </c>
      <c r="T934" s="57">
        <f>IFERROR(__xludf.DUMMYFUNCTION("""COMPUTED_VALUE"""),43677.0)</f>
        <v>43677</v>
      </c>
    </row>
    <row r="935">
      <c r="A935" s="6" t="str">
        <f>IFERROR(__xludf.DUMMYFUNCTION("""COMPUTED_VALUE"""),"191750274-2")</f>
        <v>191750274-2</v>
      </c>
      <c r="B935" s="6" t="str">
        <f>IFERROR(__xludf.DUMMYFUNCTION("""COMPUTED_VALUE"""),"191750274 - Approved")</f>
        <v>191750274 - Approved</v>
      </c>
      <c r="C935" s="6">
        <f>IFERROR(__xludf.DUMMYFUNCTION("""COMPUTED_VALUE"""),2.0)</f>
        <v>2</v>
      </c>
      <c r="D935" s="6" t="str">
        <f>IFERROR(__xludf.DUMMYFUNCTION("""COMPUTED_VALUE"""),"O-16886-00")</f>
        <v>O-16886-00</v>
      </c>
      <c r="E935" s="6" t="str">
        <f>IFERROR(__xludf.DUMMYFUNCTION("""COMPUTED_VALUE"""),"Clamp Hose Alumunium Ferrule 3/4 inch EN14420-3")</f>
        <v>Clamp Hose Alumunium Ferrule 3/4 inch EN14420-3</v>
      </c>
      <c r="F935" s="6">
        <f>IFERROR(__xludf.DUMMYFUNCTION("""COMPUTED_VALUE"""),2.0)</f>
        <v>2</v>
      </c>
      <c r="G935" s="6" t="str">
        <f>IFERROR(__xludf.DUMMYFUNCTION("""COMPUTED_VALUE"""),"Pieces")</f>
        <v>Pieces</v>
      </c>
      <c r="H935" s="6" t="str">
        <f>IFERROR(__xludf.DUMMYFUNCTION("""COMPUTED_VALUE"""),"IDR")</f>
        <v>IDR</v>
      </c>
      <c r="I935" s="6">
        <f>IFERROR(__xludf.DUMMYFUNCTION("""COMPUTED_VALUE"""),200000.0)</f>
        <v>200000</v>
      </c>
      <c r="J935" s="6">
        <f>IFERROR(__xludf.DUMMYFUNCTION("""COMPUTED_VALUE"""),400000.0)</f>
        <v>400000</v>
      </c>
      <c r="K935" s="57">
        <f>IFERROR(__xludf.DUMMYFUNCTION("""COMPUTED_VALUE"""),43678.0)</f>
        <v>43678</v>
      </c>
      <c r="L935" s="6" t="str">
        <f>IFERROR(__xludf.DUMMYFUNCTION("""COMPUTED_VALUE"""),"FIP Engineering")</f>
        <v>FIP Engineering</v>
      </c>
      <c r="M935" s="6" t="str">
        <f>IFERROR(__xludf.DUMMYFUNCTION("""COMPUTED_VALUE"""),"Irwan Sopian")</f>
        <v>Irwan Sopian</v>
      </c>
      <c r="N935" s="6" t="str">
        <f>IFERROR(__xludf.DUMMYFUNCTION("""COMPUTED_VALUE"""),"FIP Engineering")</f>
        <v>FIP Engineering</v>
      </c>
      <c r="O935" s="6" t="str">
        <f>IFERROR(__xludf.DUMMYFUNCTION("""COMPUTED_VALUE"""),"FIP-DOM-000-11304-OS00001-INA-000000")</f>
        <v>FIP-DOM-000-11304-OS00001-INA-000000</v>
      </c>
      <c r="P935" s="6" t="str">
        <f>IFERROR(__xludf.DUMMYFUNCTION("""COMPUTED_VALUE"""),"PO Closed")</f>
        <v>PO Closed</v>
      </c>
      <c r="Q935" s="6" t="str">
        <f>IFERROR(__xludf.DUMMYFUNCTION("""COMPUTED_VALUE"""),"GL1907061")</f>
        <v>GL1907061</v>
      </c>
      <c r="R935" s="57">
        <f>IFERROR(__xludf.DUMMYFUNCTION("""COMPUTED_VALUE"""),43654.0)</f>
        <v>43654</v>
      </c>
      <c r="S935" s="6" t="str">
        <f>IFERROR(__xludf.DUMMYFUNCTION("""COMPUTED_VALUE"""),"-")</f>
        <v>-</v>
      </c>
      <c r="T935" s="57">
        <f>IFERROR(__xludf.DUMMYFUNCTION("""COMPUTED_VALUE"""),43677.0)</f>
        <v>43677</v>
      </c>
    </row>
    <row r="936">
      <c r="A936" s="6" t="str">
        <f>IFERROR(__xludf.DUMMYFUNCTION("""COMPUTED_VALUE"""),"191750274-3")</f>
        <v>191750274-3</v>
      </c>
      <c r="B936" s="6" t="str">
        <f>IFERROR(__xludf.DUMMYFUNCTION("""COMPUTED_VALUE"""),"191750274 - Approved")</f>
        <v>191750274 - Approved</v>
      </c>
      <c r="C936" s="6">
        <f>IFERROR(__xludf.DUMMYFUNCTION("""COMPUTED_VALUE"""),3.0)</f>
        <v>3</v>
      </c>
      <c r="D936" s="6" t="str">
        <f>IFERROR(__xludf.DUMMYFUNCTION("""COMPUTED_VALUE"""),"P-13037-00")</f>
        <v>P-13037-00</v>
      </c>
      <c r="E936" s="6" t="str">
        <f>IFERROR(__xludf.DUMMYFUNCTION("""COMPUTED_VALUE"""),"Ferrule to hose 1 inchi")</f>
        <v>Ferrule to hose 1 inchi</v>
      </c>
      <c r="F936" s="6">
        <f>IFERROR(__xludf.DUMMYFUNCTION("""COMPUTED_VALUE"""),4.0)</f>
        <v>4</v>
      </c>
      <c r="G936" s="6" t="str">
        <f>IFERROR(__xludf.DUMMYFUNCTION("""COMPUTED_VALUE"""),"Pieces")</f>
        <v>Pieces</v>
      </c>
      <c r="H936" s="6" t="str">
        <f>IFERROR(__xludf.DUMMYFUNCTION("""COMPUTED_VALUE"""),"IDR")</f>
        <v>IDR</v>
      </c>
      <c r="I936" s="6">
        <f>IFERROR(__xludf.DUMMYFUNCTION("""COMPUTED_VALUE"""),350000.0)</f>
        <v>350000</v>
      </c>
      <c r="J936" s="6">
        <f>IFERROR(__xludf.DUMMYFUNCTION("""COMPUTED_VALUE"""),1400000.0)</f>
        <v>1400000</v>
      </c>
      <c r="K936" s="57">
        <f>IFERROR(__xludf.DUMMYFUNCTION("""COMPUTED_VALUE"""),43678.0)</f>
        <v>43678</v>
      </c>
      <c r="L936" s="6" t="str">
        <f>IFERROR(__xludf.DUMMYFUNCTION("""COMPUTED_VALUE"""),"FIP Engineering")</f>
        <v>FIP Engineering</v>
      </c>
      <c r="M936" s="6" t="str">
        <f>IFERROR(__xludf.DUMMYFUNCTION("""COMPUTED_VALUE"""),"Irwan Sopian")</f>
        <v>Irwan Sopian</v>
      </c>
      <c r="N936" s="6" t="str">
        <f>IFERROR(__xludf.DUMMYFUNCTION("""COMPUTED_VALUE"""),"FIP Engineering")</f>
        <v>FIP Engineering</v>
      </c>
      <c r="O936" s="6" t="str">
        <f>IFERROR(__xludf.DUMMYFUNCTION("""COMPUTED_VALUE"""),"FIP-DOM-000-11304-OS00001-INA-000000")</f>
        <v>FIP-DOM-000-11304-OS00001-INA-000000</v>
      </c>
      <c r="P936" s="6" t="str">
        <f>IFERROR(__xludf.DUMMYFUNCTION("""COMPUTED_VALUE"""),"PO Closed")</f>
        <v>PO Closed</v>
      </c>
      <c r="Q936" s="6" t="str">
        <f>IFERROR(__xludf.DUMMYFUNCTION("""COMPUTED_VALUE"""),"GL1907061")</f>
        <v>GL1907061</v>
      </c>
      <c r="R936" s="57">
        <f>IFERROR(__xludf.DUMMYFUNCTION("""COMPUTED_VALUE"""),43654.0)</f>
        <v>43654</v>
      </c>
      <c r="S936" s="6" t="str">
        <f>IFERROR(__xludf.DUMMYFUNCTION("""COMPUTED_VALUE"""),"-")</f>
        <v>-</v>
      </c>
      <c r="T936" s="57">
        <f>IFERROR(__xludf.DUMMYFUNCTION("""COMPUTED_VALUE"""),43677.0)</f>
        <v>43677</v>
      </c>
    </row>
    <row r="937">
      <c r="A937" s="6" t="str">
        <f>IFERROR(__xludf.DUMMYFUNCTION("""COMPUTED_VALUE"""),"191750274-4")</f>
        <v>191750274-4</v>
      </c>
      <c r="B937" s="6" t="str">
        <f>IFERROR(__xludf.DUMMYFUNCTION("""COMPUTED_VALUE"""),"191750274 - Approved")</f>
        <v>191750274 - Approved</v>
      </c>
      <c r="C937" s="6">
        <f>IFERROR(__xludf.DUMMYFUNCTION("""COMPUTED_VALUE"""),4.0)</f>
        <v>4</v>
      </c>
      <c r="D937" s="6" t="str">
        <f>IFERROR(__xludf.DUMMYFUNCTION("""COMPUTED_VALUE"""),"P-14992-00")</f>
        <v>P-14992-00</v>
      </c>
      <c r="E937" s="6" t="str">
        <f>IFERROR(__xludf.DUMMYFUNCTION("""COMPUTED_VALUE"""),"Ferrule to Hose 3/4 inch")</f>
        <v>Ferrule to Hose 3/4 inch</v>
      </c>
      <c r="F937" s="6">
        <f>IFERROR(__xludf.DUMMYFUNCTION("""COMPUTED_VALUE"""),2.0)</f>
        <v>2</v>
      </c>
      <c r="G937" s="6" t="str">
        <f>IFERROR(__xludf.DUMMYFUNCTION("""COMPUTED_VALUE"""),"Pieces")</f>
        <v>Pieces</v>
      </c>
      <c r="H937" s="6" t="str">
        <f>IFERROR(__xludf.DUMMYFUNCTION("""COMPUTED_VALUE"""),"IDR")</f>
        <v>IDR</v>
      </c>
      <c r="I937" s="6">
        <f>IFERROR(__xludf.DUMMYFUNCTION("""COMPUTED_VALUE"""),225000.0)</f>
        <v>225000</v>
      </c>
      <c r="J937" s="6">
        <f>IFERROR(__xludf.DUMMYFUNCTION("""COMPUTED_VALUE"""),450000.0)</f>
        <v>450000</v>
      </c>
      <c r="K937" s="57">
        <f>IFERROR(__xludf.DUMMYFUNCTION("""COMPUTED_VALUE"""),43678.0)</f>
        <v>43678</v>
      </c>
      <c r="L937" s="6" t="str">
        <f>IFERROR(__xludf.DUMMYFUNCTION("""COMPUTED_VALUE"""),"FIP Engineering")</f>
        <v>FIP Engineering</v>
      </c>
      <c r="M937" s="6" t="str">
        <f>IFERROR(__xludf.DUMMYFUNCTION("""COMPUTED_VALUE"""),"Irwan Sopian")</f>
        <v>Irwan Sopian</v>
      </c>
      <c r="N937" s="6" t="str">
        <f>IFERROR(__xludf.DUMMYFUNCTION("""COMPUTED_VALUE"""),"FIP Engineering")</f>
        <v>FIP Engineering</v>
      </c>
      <c r="O937" s="6" t="str">
        <f>IFERROR(__xludf.DUMMYFUNCTION("""COMPUTED_VALUE"""),"FIP-DOM-000-11304-OS00001-INA-000000")</f>
        <v>FIP-DOM-000-11304-OS00001-INA-000000</v>
      </c>
      <c r="P937" s="6" t="str">
        <f>IFERROR(__xludf.DUMMYFUNCTION("""COMPUTED_VALUE"""),"PO Closed")</f>
        <v>PO Closed</v>
      </c>
      <c r="Q937" s="6" t="str">
        <f>IFERROR(__xludf.DUMMYFUNCTION("""COMPUTED_VALUE"""),"GL1907061")</f>
        <v>GL1907061</v>
      </c>
      <c r="R937" s="57">
        <f>IFERROR(__xludf.DUMMYFUNCTION("""COMPUTED_VALUE"""),43654.0)</f>
        <v>43654</v>
      </c>
      <c r="S937" s="6" t="str">
        <f>IFERROR(__xludf.DUMMYFUNCTION("""COMPUTED_VALUE"""),"-")</f>
        <v>-</v>
      </c>
      <c r="T937" s="57">
        <f>IFERROR(__xludf.DUMMYFUNCTION("""COMPUTED_VALUE"""),43677.0)</f>
        <v>43677</v>
      </c>
    </row>
    <row r="938">
      <c r="A938" s="6" t="str">
        <f>IFERROR(__xludf.DUMMYFUNCTION("""COMPUTED_VALUE"""),"191750272-1")</f>
        <v>191750272-1</v>
      </c>
      <c r="B938" s="6" t="str">
        <f>IFERROR(__xludf.DUMMYFUNCTION("""COMPUTED_VALUE"""),"191750272 - Approved")</f>
        <v>191750272 - Approved</v>
      </c>
      <c r="C938" s="6">
        <f>IFERROR(__xludf.DUMMYFUNCTION("""COMPUTED_VALUE"""),1.0)</f>
        <v>1</v>
      </c>
      <c r="D938" s="6" t="str">
        <f>IFERROR(__xludf.DUMMYFUNCTION("""COMPUTED_VALUE"""),"T-20002-00")</f>
        <v>T-20002-00</v>
      </c>
      <c r="E938" s="6" t="str">
        <f>IFERROR(__xludf.DUMMYFUNCTION("""COMPUTED_VALUE"""),"Engineer Fee for Service GC 7890B")</f>
        <v>Engineer Fee for Service GC 7890B</v>
      </c>
      <c r="F938" s="6">
        <f>IFERROR(__xludf.DUMMYFUNCTION("""COMPUTED_VALUE"""),1.0)</f>
        <v>1</v>
      </c>
      <c r="G938" s="6" t="str">
        <f>IFERROR(__xludf.DUMMYFUNCTION("""COMPUTED_VALUE"""),"Pieces")</f>
        <v>Pieces</v>
      </c>
      <c r="H938" s="6" t="str">
        <f>IFERROR(__xludf.DUMMYFUNCTION("""COMPUTED_VALUE"""),"IDR")</f>
        <v>IDR</v>
      </c>
      <c r="I938" s="6">
        <f>IFERROR(__xludf.DUMMYFUNCTION("""COMPUTED_VALUE"""),900000.0)</f>
        <v>900000</v>
      </c>
      <c r="J938" s="6">
        <f>IFERROR(__xludf.DUMMYFUNCTION("""COMPUTED_VALUE"""),900000.0)</f>
        <v>900000</v>
      </c>
      <c r="K938" s="57">
        <f>IFERROR(__xludf.DUMMYFUNCTION("""COMPUTED_VALUE"""),43677.0)</f>
        <v>43677</v>
      </c>
      <c r="L938" s="6" t="str">
        <f>IFERROR(__xludf.DUMMYFUNCTION("""COMPUTED_VALUE"""),"FIP General")</f>
        <v>FIP General</v>
      </c>
      <c r="M938" s="6" t="str">
        <f>IFERROR(__xludf.DUMMYFUNCTION("""COMPUTED_VALUE"""),"Irwan Sopian")</f>
        <v>Irwan Sopian</v>
      </c>
      <c r="N938" s="6" t="str">
        <f>IFERROR(__xludf.DUMMYFUNCTION("""COMPUTED_VALUE"""),"FIP Engineering")</f>
        <v>FIP Engineering</v>
      </c>
      <c r="O938" s="6" t="str">
        <f>IFERROR(__xludf.DUMMYFUNCTION("""COMPUTED_VALUE"""),"FIP-DOM-ENG-51505-0000000-INA-000000")</f>
        <v>FIP-DOM-ENG-51505-0000000-INA-000000</v>
      </c>
      <c r="P938" s="6" t="str">
        <f>IFERROR(__xludf.DUMMYFUNCTION("""COMPUTED_VALUE"""),"PO Closed")</f>
        <v>PO Closed</v>
      </c>
      <c r="Q938" s="6" t="str">
        <f>IFERROR(__xludf.DUMMYFUNCTION("""COMPUTED_VALUE"""),"GL1907059")</f>
        <v>GL1907059</v>
      </c>
      <c r="R938" s="57">
        <f>IFERROR(__xludf.DUMMYFUNCTION("""COMPUTED_VALUE"""),43654.0)</f>
        <v>43654</v>
      </c>
      <c r="S938" s="6" t="str">
        <f>IFERROR(__xludf.DUMMYFUNCTION("""COMPUTED_VALUE"""),"-")</f>
        <v>-</v>
      </c>
      <c r="T938" s="57">
        <f>IFERROR(__xludf.DUMMYFUNCTION("""COMPUTED_VALUE"""),43677.0)</f>
        <v>43677</v>
      </c>
    </row>
    <row r="939">
      <c r="A939" s="6" t="str">
        <f>IFERROR(__xludf.DUMMYFUNCTION("""COMPUTED_VALUE"""),"191750278-1")</f>
        <v>191750278-1</v>
      </c>
      <c r="B939" s="6" t="str">
        <f>IFERROR(__xludf.DUMMYFUNCTION("""COMPUTED_VALUE"""),"191750278 - Approved")</f>
        <v>191750278 - Approved</v>
      </c>
      <c r="C939" s="6">
        <f>IFERROR(__xludf.DUMMYFUNCTION("""COMPUTED_VALUE"""),1.0)</f>
        <v>1</v>
      </c>
      <c r="D939" s="6" t="str">
        <f>IFERROR(__xludf.DUMMYFUNCTION("""COMPUTED_VALUE"""),"P-13760-00")</f>
        <v>P-13760-00</v>
      </c>
      <c r="E939" s="6" t="str">
        <f>IFERROR(__xludf.DUMMYFUNCTION("""COMPUTED_VALUE"""),"V-trap PVC uk. 4 inch")</f>
        <v>V-trap PVC uk. 4 inch</v>
      </c>
      <c r="F939" s="6">
        <f>IFERROR(__xludf.DUMMYFUNCTION("""COMPUTED_VALUE"""),1.0)</f>
        <v>1</v>
      </c>
      <c r="G939" s="6" t="str">
        <f>IFERROR(__xludf.DUMMYFUNCTION("""COMPUTED_VALUE"""),"Pieces")</f>
        <v>Pieces</v>
      </c>
      <c r="H939" s="6" t="str">
        <f>IFERROR(__xludf.DUMMYFUNCTION("""COMPUTED_VALUE"""),"IDR")</f>
        <v>IDR</v>
      </c>
      <c r="I939" s="6">
        <f>IFERROR(__xludf.DUMMYFUNCTION("""COMPUTED_VALUE"""),235000.0)</f>
        <v>235000</v>
      </c>
      <c r="J939" s="6">
        <f>IFERROR(__xludf.DUMMYFUNCTION("""COMPUTED_VALUE"""),235000.0)</f>
        <v>235000</v>
      </c>
      <c r="K939" s="57">
        <f>IFERROR(__xludf.DUMMYFUNCTION("""COMPUTED_VALUE"""),43686.0)</f>
        <v>43686</v>
      </c>
      <c r="L939" s="6" t="str">
        <f>IFERROR(__xludf.DUMMYFUNCTION("""COMPUTED_VALUE"""),"FIP Engineering")</f>
        <v>FIP Engineering</v>
      </c>
      <c r="M939" s="6" t="str">
        <f>IFERROR(__xludf.DUMMYFUNCTION("""COMPUTED_VALUE"""),"Irwan Sopian")</f>
        <v>Irwan Sopian</v>
      </c>
      <c r="N939" s="6" t="str">
        <f>IFERROR(__xludf.DUMMYFUNCTION("""COMPUTED_VALUE"""),"FIP Engineering")</f>
        <v>FIP Engineering</v>
      </c>
      <c r="O939" s="6" t="str">
        <f>IFERROR(__xludf.DUMMYFUNCTION("""COMPUTED_VALUE"""),"FIP-DOM-000-11304-OS00001-INA-000000")</f>
        <v>FIP-DOM-000-11304-OS00001-INA-000000</v>
      </c>
      <c r="P939" s="6" t="str">
        <f>IFERROR(__xludf.DUMMYFUNCTION("""COMPUTED_VALUE"""),"PO Closed")</f>
        <v>PO Closed</v>
      </c>
      <c r="Q939" s="6" t="str">
        <f>IFERROR(__xludf.DUMMYFUNCTION("""COMPUTED_VALUE"""),"GL1907049")</f>
        <v>GL1907049</v>
      </c>
      <c r="R939" s="57">
        <f>IFERROR(__xludf.DUMMYFUNCTION("""COMPUTED_VALUE"""),43655.0)</f>
        <v>43655</v>
      </c>
      <c r="S939" s="6" t="str">
        <f>IFERROR(__xludf.DUMMYFUNCTION("""COMPUTED_VALUE"""),"-")</f>
        <v>-</v>
      </c>
      <c r="T939" s="57">
        <f>IFERROR(__xludf.DUMMYFUNCTION("""COMPUTED_VALUE"""),43693.0)</f>
        <v>43693</v>
      </c>
    </row>
    <row r="940">
      <c r="A940" s="6" t="str">
        <f>IFERROR(__xludf.DUMMYFUNCTION("""COMPUTED_VALUE"""),"191750277-1")</f>
        <v>191750277-1</v>
      </c>
      <c r="B940" s="6" t="str">
        <f>IFERROR(__xludf.DUMMYFUNCTION("""COMPUTED_VALUE"""),"191750277 - Approved")</f>
        <v>191750277 - Approved</v>
      </c>
      <c r="C940" s="6">
        <f>IFERROR(__xludf.DUMMYFUNCTION("""COMPUTED_VALUE"""),1.0)</f>
        <v>1</v>
      </c>
      <c r="D940" s="6" t="str">
        <f>IFERROR(__xludf.DUMMYFUNCTION("""COMPUTED_VALUE"""),"O-16826-00")</f>
        <v>O-16826-00</v>
      </c>
      <c r="E940" s="6" t="str">
        <f>IFERROR(__xludf.DUMMYFUNCTION("""COMPUTED_VALUE"""),"DEMISTER, part number 402; ; ;")</f>
        <v>DEMISTER, part number 402; ; ;</v>
      </c>
      <c r="F940" s="6">
        <f>IFERROR(__xludf.DUMMYFUNCTION("""COMPUTED_VALUE"""),1.0)</f>
        <v>1</v>
      </c>
      <c r="G940" s="6" t="str">
        <f>IFERROR(__xludf.DUMMYFUNCTION("""COMPUTED_VALUE"""),"Unit")</f>
        <v>Unit</v>
      </c>
      <c r="H940" s="6" t="str">
        <f>IFERROR(__xludf.DUMMYFUNCTION("""COMPUTED_VALUE"""),"IDR")</f>
        <v>IDR</v>
      </c>
      <c r="I940" s="6">
        <f>IFERROR(__xludf.DUMMYFUNCTION("""COMPUTED_VALUE"""),2.47755E7)</f>
        <v>24775500</v>
      </c>
      <c r="J940" s="6">
        <f>IFERROR(__xludf.DUMMYFUNCTION("""COMPUTED_VALUE"""),2.47755E7)</f>
        <v>24775500</v>
      </c>
      <c r="K940" s="57">
        <f>IFERROR(__xludf.DUMMYFUNCTION("""COMPUTED_VALUE"""),43707.0)</f>
        <v>43707</v>
      </c>
      <c r="L940" s="6" t="str">
        <f>IFERROR(__xludf.DUMMYFUNCTION("""COMPUTED_VALUE"""),"FIP Engineering")</f>
        <v>FIP Engineering</v>
      </c>
      <c r="M940" s="6" t="str">
        <f>IFERROR(__xludf.DUMMYFUNCTION("""COMPUTED_VALUE"""),"Irwan Sopian")</f>
        <v>Irwan Sopian</v>
      </c>
      <c r="N940" s="6" t="str">
        <f>IFERROR(__xludf.DUMMYFUNCTION("""COMPUTED_VALUE"""),"FIP Engineering")</f>
        <v>FIP Engineering</v>
      </c>
      <c r="O940" s="6" t="str">
        <f>IFERROR(__xludf.DUMMYFUNCTION("""COMPUTED_VALUE"""),"FIP-DOM-000-11304-OS00001-INA-000000")</f>
        <v>FIP-DOM-000-11304-OS00001-INA-000000</v>
      </c>
      <c r="P940" s="6" t="str">
        <f>IFERROR(__xludf.DUMMYFUNCTION("""COMPUTED_VALUE"""),"PO Closed")</f>
        <v>PO Closed</v>
      </c>
      <c r="Q940" s="6" t="str">
        <f>IFERROR(__xludf.DUMMYFUNCTION("""COMPUTED_VALUE"""),"GL1907063")</f>
        <v>GL1907063</v>
      </c>
      <c r="R940" s="57">
        <f>IFERROR(__xludf.DUMMYFUNCTION("""COMPUTED_VALUE"""),43655.0)</f>
        <v>43655</v>
      </c>
      <c r="S940" s="6" t="str">
        <f>IFERROR(__xludf.DUMMYFUNCTION("""COMPUTED_VALUE"""),"-")</f>
        <v>-</v>
      </c>
      <c r="T940" s="57">
        <f>IFERROR(__xludf.DUMMYFUNCTION("""COMPUTED_VALUE"""),43769.0)</f>
        <v>43769</v>
      </c>
    </row>
    <row r="941">
      <c r="A941" s="6" t="str">
        <f>IFERROR(__xludf.DUMMYFUNCTION("""COMPUTED_VALUE"""),"191750277-2")</f>
        <v>191750277-2</v>
      </c>
      <c r="B941" s="6" t="str">
        <f>IFERROR(__xludf.DUMMYFUNCTION("""COMPUTED_VALUE"""),"191750277 - Approved")</f>
        <v>191750277 - Approved</v>
      </c>
      <c r="C941" s="6">
        <f>IFERROR(__xludf.DUMMYFUNCTION("""COMPUTED_VALUE"""),2.0)</f>
        <v>2</v>
      </c>
      <c r="D941" s="6" t="str">
        <f>IFERROR(__xludf.DUMMYFUNCTION("""COMPUTED_VALUE"""),"O-16827-00")</f>
        <v>O-16827-00</v>
      </c>
      <c r="E941" s="6" t="str">
        <f>IFERROR(__xludf.DUMMYFUNCTION("""COMPUTED_VALUE"""),"Gasket Oil Separator Part No. 401")</f>
        <v>Gasket Oil Separator Part No. 401</v>
      </c>
      <c r="F941" s="6">
        <f>IFERROR(__xludf.DUMMYFUNCTION("""COMPUTED_VALUE"""),1.0)</f>
        <v>1</v>
      </c>
      <c r="G941" s="6" t="str">
        <f>IFERROR(__xludf.DUMMYFUNCTION("""COMPUTED_VALUE"""),"Pieces")</f>
        <v>Pieces</v>
      </c>
      <c r="H941" s="6" t="str">
        <f>IFERROR(__xludf.DUMMYFUNCTION("""COMPUTED_VALUE"""),"IDR")</f>
        <v>IDR</v>
      </c>
      <c r="I941" s="6">
        <f>IFERROR(__xludf.DUMMYFUNCTION("""COMPUTED_VALUE"""),3925000.0)</f>
        <v>3925000</v>
      </c>
      <c r="J941" s="6">
        <f>IFERROR(__xludf.DUMMYFUNCTION("""COMPUTED_VALUE"""),3925000.0)</f>
        <v>3925000</v>
      </c>
      <c r="K941" s="57">
        <f>IFERROR(__xludf.DUMMYFUNCTION("""COMPUTED_VALUE"""),43707.0)</f>
        <v>43707</v>
      </c>
      <c r="L941" s="6" t="str">
        <f>IFERROR(__xludf.DUMMYFUNCTION("""COMPUTED_VALUE"""),"FIP Engineering")</f>
        <v>FIP Engineering</v>
      </c>
      <c r="M941" s="6" t="str">
        <f>IFERROR(__xludf.DUMMYFUNCTION("""COMPUTED_VALUE"""),"Irwan Sopian")</f>
        <v>Irwan Sopian</v>
      </c>
      <c r="N941" s="6" t="str">
        <f>IFERROR(__xludf.DUMMYFUNCTION("""COMPUTED_VALUE"""),"FIP Engineering")</f>
        <v>FIP Engineering</v>
      </c>
      <c r="O941" s="6" t="str">
        <f>IFERROR(__xludf.DUMMYFUNCTION("""COMPUTED_VALUE"""),"FIP-DOM-000-11304-OS00001-INA-000000")</f>
        <v>FIP-DOM-000-11304-OS00001-INA-000000</v>
      </c>
      <c r="P941" s="6" t="str">
        <f>IFERROR(__xludf.DUMMYFUNCTION("""COMPUTED_VALUE"""),"PO Closed")</f>
        <v>PO Closed</v>
      </c>
      <c r="Q941" s="6" t="str">
        <f>IFERROR(__xludf.DUMMYFUNCTION("""COMPUTED_VALUE"""),"GL1907063")</f>
        <v>GL1907063</v>
      </c>
      <c r="R941" s="57">
        <f>IFERROR(__xludf.DUMMYFUNCTION("""COMPUTED_VALUE"""),43655.0)</f>
        <v>43655</v>
      </c>
      <c r="S941" s="6" t="str">
        <f>IFERROR(__xludf.DUMMYFUNCTION("""COMPUTED_VALUE"""),"-")</f>
        <v>-</v>
      </c>
      <c r="T941" s="57">
        <f>IFERROR(__xludf.DUMMYFUNCTION("""COMPUTED_VALUE"""),43769.0)</f>
        <v>43769</v>
      </c>
    </row>
    <row r="942">
      <c r="A942" s="6" t="str">
        <f>IFERROR(__xludf.DUMMYFUNCTION("""COMPUTED_VALUE"""),"191750277-3")</f>
        <v>191750277-3</v>
      </c>
      <c r="B942" s="6" t="str">
        <f>IFERROR(__xludf.DUMMYFUNCTION("""COMPUTED_VALUE"""),"191750277 - Approved")</f>
        <v>191750277 - Approved</v>
      </c>
      <c r="C942" s="6">
        <f>IFERROR(__xludf.DUMMYFUNCTION("""COMPUTED_VALUE"""),3.0)</f>
        <v>3</v>
      </c>
      <c r="D942" s="6" t="str">
        <f>IFERROR(__xludf.DUMMYFUNCTION("""COMPUTED_VALUE"""),"P-15903-00")</f>
        <v>P-15903-00</v>
      </c>
      <c r="E942" s="6" t="str">
        <f>IFERROR(__xludf.DUMMYFUNCTION("""COMPUTED_VALUE"""),"Freon Refrigerant Dupon Suva R507")</f>
        <v>Freon Refrigerant Dupon Suva R507</v>
      </c>
      <c r="F942" s="6">
        <f>IFERROR(__xludf.DUMMYFUNCTION("""COMPUTED_VALUE"""),3.0)</f>
        <v>3</v>
      </c>
      <c r="G942" s="6" t="str">
        <f>IFERROR(__xludf.DUMMYFUNCTION("""COMPUTED_VALUE"""),"Unit")</f>
        <v>Unit</v>
      </c>
      <c r="H942" s="6" t="str">
        <f>IFERROR(__xludf.DUMMYFUNCTION("""COMPUTED_VALUE"""),"IDR")</f>
        <v>IDR</v>
      </c>
      <c r="I942" s="6">
        <f>IFERROR(__xludf.DUMMYFUNCTION("""COMPUTED_VALUE"""),3750000.0)</f>
        <v>3750000</v>
      </c>
      <c r="J942" s="6">
        <f>IFERROR(__xludf.DUMMYFUNCTION("""COMPUTED_VALUE"""),1.125E7)</f>
        <v>11250000</v>
      </c>
      <c r="K942" s="57">
        <f>IFERROR(__xludf.DUMMYFUNCTION("""COMPUTED_VALUE"""),43707.0)</f>
        <v>43707</v>
      </c>
      <c r="L942" s="6" t="str">
        <f>IFERROR(__xludf.DUMMYFUNCTION("""COMPUTED_VALUE"""),"FIP General")</f>
        <v>FIP General</v>
      </c>
      <c r="M942" s="6" t="str">
        <f>IFERROR(__xludf.DUMMYFUNCTION("""COMPUTED_VALUE"""),"Irwan Sopian")</f>
        <v>Irwan Sopian</v>
      </c>
      <c r="N942" s="6" t="str">
        <f>IFERROR(__xludf.DUMMYFUNCTION("""COMPUTED_VALUE"""),"FIP Engineering")</f>
        <v>FIP Engineering</v>
      </c>
      <c r="O942" s="6" t="str">
        <f>IFERROR(__xludf.DUMMYFUNCTION("""COMPUTED_VALUE"""),"FIP-DOM-ENG-51504-0000000-INA-000000")</f>
        <v>FIP-DOM-ENG-51504-0000000-INA-000000</v>
      </c>
      <c r="P942" s="6" t="str">
        <f>IFERROR(__xludf.DUMMYFUNCTION("""COMPUTED_VALUE"""),"PO Closed")</f>
        <v>PO Closed</v>
      </c>
      <c r="Q942" s="6" t="str">
        <f>IFERROR(__xludf.DUMMYFUNCTION("""COMPUTED_VALUE"""),"GL1907063")</f>
        <v>GL1907063</v>
      </c>
      <c r="R942" s="57">
        <f>IFERROR(__xludf.DUMMYFUNCTION("""COMPUTED_VALUE"""),43655.0)</f>
        <v>43655</v>
      </c>
      <c r="S942" s="6" t="str">
        <f>IFERROR(__xludf.DUMMYFUNCTION("""COMPUTED_VALUE"""),"-")</f>
        <v>-</v>
      </c>
      <c r="T942" s="57">
        <f>IFERROR(__xludf.DUMMYFUNCTION("""COMPUTED_VALUE"""),43769.0)</f>
        <v>43769</v>
      </c>
    </row>
    <row r="943">
      <c r="A943" s="6" t="str">
        <f>IFERROR(__xludf.DUMMYFUNCTION("""COMPUTED_VALUE"""),"191750277-4")</f>
        <v>191750277-4</v>
      </c>
      <c r="B943" s="6" t="str">
        <f>IFERROR(__xludf.DUMMYFUNCTION("""COMPUTED_VALUE"""),"191750277 - Approved")</f>
        <v>191750277 - Approved</v>
      </c>
      <c r="C943" s="6">
        <f>IFERROR(__xludf.DUMMYFUNCTION("""COMPUTED_VALUE"""),4.0)</f>
        <v>4</v>
      </c>
      <c r="D943" s="6" t="str">
        <f>IFERROR(__xludf.DUMMYFUNCTION("""COMPUTED_VALUE"""),"P-13745-00")</f>
        <v>P-13745-00</v>
      </c>
      <c r="E943" s="6" t="str">
        <f>IFERROR(__xludf.DUMMYFUNCTION("""COMPUTED_VALUE"""),"Filter Core Drier - D48")</f>
        <v>Filter Core Drier - D48</v>
      </c>
      <c r="F943" s="6">
        <f>IFERROR(__xludf.DUMMYFUNCTION("""COMPUTED_VALUE"""),1.0)</f>
        <v>1</v>
      </c>
      <c r="G943" s="6" t="str">
        <f>IFERROR(__xludf.DUMMYFUNCTION("""COMPUTED_VALUE"""),"Pieces")</f>
        <v>Pieces</v>
      </c>
      <c r="H943" s="6" t="str">
        <f>IFERROR(__xludf.DUMMYFUNCTION("""COMPUTED_VALUE"""),"IDR")</f>
        <v>IDR</v>
      </c>
      <c r="I943" s="6">
        <f>IFERROR(__xludf.DUMMYFUNCTION("""COMPUTED_VALUE"""),525000.0)</f>
        <v>525000</v>
      </c>
      <c r="J943" s="6">
        <f>IFERROR(__xludf.DUMMYFUNCTION("""COMPUTED_VALUE"""),525000.0)</f>
        <v>525000</v>
      </c>
      <c r="K943" s="57">
        <f>IFERROR(__xludf.DUMMYFUNCTION("""COMPUTED_VALUE"""),43707.0)</f>
        <v>43707</v>
      </c>
      <c r="L943" s="6" t="str">
        <f>IFERROR(__xludf.DUMMYFUNCTION("""COMPUTED_VALUE"""),"FIP Engineering")</f>
        <v>FIP Engineering</v>
      </c>
      <c r="M943" s="6" t="str">
        <f>IFERROR(__xludf.DUMMYFUNCTION("""COMPUTED_VALUE"""),"Irwan Sopian")</f>
        <v>Irwan Sopian</v>
      </c>
      <c r="N943" s="6" t="str">
        <f>IFERROR(__xludf.DUMMYFUNCTION("""COMPUTED_VALUE"""),"FIP Engineering")</f>
        <v>FIP Engineering</v>
      </c>
      <c r="O943" s="6" t="str">
        <f>IFERROR(__xludf.DUMMYFUNCTION("""COMPUTED_VALUE"""),"FIP-DOM-000-11304-OS00001-INA-000000")</f>
        <v>FIP-DOM-000-11304-OS00001-INA-000000</v>
      </c>
      <c r="P943" s="6" t="str">
        <f>IFERROR(__xludf.DUMMYFUNCTION("""COMPUTED_VALUE"""),"PO Closed")</f>
        <v>PO Closed</v>
      </c>
      <c r="Q943" s="6" t="str">
        <f>IFERROR(__xludf.DUMMYFUNCTION("""COMPUTED_VALUE"""),"GL1907063")</f>
        <v>GL1907063</v>
      </c>
      <c r="R943" s="57">
        <f>IFERROR(__xludf.DUMMYFUNCTION("""COMPUTED_VALUE"""),43655.0)</f>
        <v>43655</v>
      </c>
      <c r="S943" s="6" t="str">
        <f>IFERROR(__xludf.DUMMYFUNCTION("""COMPUTED_VALUE"""),"-")</f>
        <v>-</v>
      </c>
      <c r="T943" s="57">
        <f>IFERROR(__xludf.DUMMYFUNCTION("""COMPUTED_VALUE"""),43769.0)</f>
        <v>43769</v>
      </c>
    </row>
    <row r="944">
      <c r="A944" s="6" t="str">
        <f>IFERROR(__xludf.DUMMYFUNCTION("""COMPUTED_VALUE"""),"191750277-5")</f>
        <v>191750277-5</v>
      </c>
      <c r="B944" s="6" t="str">
        <f>IFERROR(__xludf.DUMMYFUNCTION("""COMPUTED_VALUE"""),"191750277 - Approved")</f>
        <v>191750277 - Approved</v>
      </c>
      <c r="C944" s="6">
        <f>IFERROR(__xludf.DUMMYFUNCTION("""COMPUTED_VALUE"""),5.0)</f>
        <v>5</v>
      </c>
      <c r="D944" s="6" t="str">
        <f>IFERROR(__xludf.DUMMYFUNCTION("""COMPUTED_VALUE"""),"S-60002-00")</f>
        <v>S-60002-00</v>
      </c>
      <c r="E944" s="6" t="str">
        <f>IFERROR(__xludf.DUMMYFUNCTION("""COMPUTED_VALUE"""),"Pasang,Flushing dan Test Comisioning")</f>
        <v>Pasang,Flushing dan Test Comisioning</v>
      </c>
      <c r="F944" s="6">
        <f>IFERROR(__xludf.DUMMYFUNCTION("""COMPUTED_VALUE"""),1.0)</f>
        <v>1</v>
      </c>
      <c r="G944" s="6" t="str">
        <f>IFERROR(__xludf.DUMMYFUNCTION("""COMPUTED_VALUE"""),"Lot")</f>
        <v>Lot</v>
      </c>
      <c r="H944" s="6" t="str">
        <f>IFERROR(__xludf.DUMMYFUNCTION("""COMPUTED_VALUE"""),"IDR")</f>
        <v>IDR</v>
      </c>
      <c r="I944" s="6">
        <f>IFERROR(__xludf.DUMMYFUNCTION("""COMPUTED_VALUE"""),8000000.0)</f>
        <v>8000000</v>
      </c>
      <c r="J944" s="6">
        <f>IFERROR(__xludf.DUMMYFUNCTION("""COMPUTED_VALUE"""),8000000.0)</f>
        <v>8000000</v>
      </c>
      <c r="K944" s="57">
        <f>IFERROR(__xludf.DUMMYFUNCTION("""COMPUTED_VALUE"""),43707.0)</f>
        <v>43707</v>
      </c>
      <c r="L944" s="6" t="str">
        <f>IFERROR(__xludf.DUMMYFUNCTION("""COMPUTED_VALUE"""),"FIP General")</f>
        <v>FIP General</v>
      </c>
      <c r="M944" s="6" t="str">
        <f>IFERROR(__xludf.DUMMYFUNCTION("""COMPUTED_VALUE"""),"Irwan Sopian")</f>
        <v>Irwan Sopian</v>
      </c>
      <c r="N944" s="6" t="str">
        <f>IFERROR(__xludf.DUMMYFUNCTION("""COMPUTED_VALUE"""),"FIP Engineering")</f>
        <v>FIP Engineering</v>
      </c>
      <c r="O944" s="6" t="str">
        <f>IFERROR(__xludf.DUMMYFUNCTION("""COMPUTED_VALUE"""),"FIP-DOM-ENG-51508-0000000-INA-000000")</f>
        <v>FIP-DOM-ENG-51508-0000000-INA-000000</v>
      </c>
      <c r="P944" s="6" t="str">
        <f>IFERROR(__xludf.DUMMYFUNCTION("""COMPUTED_VALUE"""),"PO Closed")</f>
        <v>PO Closed</v>
      </c>
      <c r="Q944" s="6" t="str">
        <f>IFERROR(__xludf.DUMMYFUNCTION("""COMPUTED_VALUE"""),"GL1907063")</f>
        <v>GL1907063</v>
      </c>
      <c r="R944" s="57">
        <f>IFERROR(__xludf.DUMMYFUNCTION("""COMPUTED_VALUE"""),43655.0)</f>
        <v>43655</v>
      </c>
      <c r="S944" s="6" t="str">
        <f>IFERROR(__xludf.DUMMYFUNCTION("""COMPUTED_VALUE"""),"-")</f>
        <v>-</v>
      </c>
      <c r="T944" s="57">
        <f>IFERROR(__xludf.DUMMYFUNCTION("""COMPUTED_VALUE"""),43769.0)</f>
        <v>43769</v>
      </c>
    </row>
    <row r="945">
      <c r="A945" s="6" t="str">
        <f>IFERROR(__xludf.DUMMYFUNCTION("""COMPUTED_VALUE"""),"191750280-1")</f>
        <v>191750280-1</v>
      </c>
      <c r="B945" s="6" t="str">
        <f>IFERROR(__xludf.DUMMYFUNCTION("""COMPUTED_VALUE"""),"191750280 - Approved")</f>
        <v>191750280 - Approved</v>
      </c>
      <c r="C945" s="6">
        <f>IFERROR(__xludf.DUMMYFUNCTION("""COMPUTED_VALUE"""),1.0)</f>
        <v>1</v>
      </c>
      <c r="D945" s="6" t="str">
        <f>IFERROR(__xludf.DUMMYFUNCTION("""COMPUTED_VALUE"""),"T-20139-00")</f>
        <v>T-20139-00</v>
      </c>
      <c r="E945" s="6" t="str">
        <f>IFERROR(__xludf.DUMMYFUNCTION("""COMPUTED_VALUE"""),"Pump, Vacuum, Degasser; Waters; PN : 700001352; 1 pc")</f>
        <v>Pump, Vacuum, Degasser; Waters; PN : 700001352; 1 pc</v>
      </c>
      <c r="F945" s="6">
        <f>IFERROR(__xludf.DUMMYFUNCTION("""COMPUTED_VALUE"""),1.0)</f>
        <v>1</v>
      </c>
      <c r="G945" s="6" t="str">
        <f>IFERROR(__xludf.DUMMYFUNCTION("""COMPUTED_VALUE"""),"Pieces")</f>
        <v>Pieces</v>
      </c>
      <c r="H945" s="6" t="str">
        <f>IFERROR(__xludf.DUMMYFUNCTION("""COMPUTED_VALUE"""),"IDR")</f>
        <v>IDR</v>
      </c>
      <c r="I945" s="6">
        <f>IFERROR(__xludf.DUMMYFUNCTION("""COMPUTED_VALUE"""),1.27745E7)</f>
        <v>12774500</v>
      </c>
      <c r="J945" s="6">
        <f>IFERROR(__xludf.DUMMYFUNCTION("""COMPUTED_VALUE"""),1.27745E7)</f>
        <v>12774500</v>
      </c>
      <c r="K945" s="57">
        <f>IFERROR(__xludf.DUMMYFUNCTION("""COMPUTED_VALUE"""),43693.0)</f>
        <v>43693</v>
      </c>
      <c r="L945" s="6" t="str">
        <f>IFERROR(__xludf.DUMMYFUNCTION("""COMPUTED_VALUE"""),"FIP General")</f>
        <v>FIP General</v>
      </c>
      <c r="M945" s="6" t="str">
        <f>IFERROR(__xludf.DUMMYFUNCTION("""COMPUTED_VALUE"""),"Irwan Sopian")</f>
        <v>Irwan Sopian</v>
      </c>
      <c r="N945" s="6" t="str">
        <f>IFERROR(__xludf.DUMMYFUNCTION("""COMPUTED_VALUE"""),"FIP Engineering")</f>
        <v>FIP Engineering</v>
      </c>
      <c r="O945" s="6" t="str">
        <f>IFERROR(__xludf.DUMMYFUNCTION("""COMPUTED_VALUE"""),"FIP-DOM-ENG-51505-0000000-INA-000000")</f>
        <v>FIP-DOM-ENG-51505-0000000-INA-000000</v>
      </c>
      <c r="P945" s="6" t="str">
        <f>IFERROR(__xludf.DUMMYFUNCTION("""COMPUTED_VALUE"""),"PO Closed")</f>
        <v>PO Closed</v>
      </c>
      <c r="Q945" s="6" t="str">
        <f>IFERROR(__xludf.DUMMYFUNCTION("""COMPUTED_VALUE"""),"GL1907075")</f>
        <v>GL1907075</v>
      </c>
      <c r="R945" s="57">
        <f>IFERROR(__xludf.DUMMYFUNCTION("""COMPUTED_VALUE"""),43656.0)</f>
        <v>43656</v>
      </c>
      <c r="S945" s="6" t="str">
        <f>IFERROR(__xludf.DUMMYFUNCTION("""COMPUTED_VALUE"""),"-")</f>
        <v>-</v>
      </c>
      <c r="T945" s="57">
        <f>IFERROR(__xludf.DUMMYFUNCTION("""COMPUTED_VALUE"""),43693.0)</f>
        <v>43693</v>
      </c>
    </row>
    <row r="946">
      <c r="A946" s="6" t="str">
        <f>IFERROR(__xludf.DUMMYFUNCTION("""COMPUTED_VALUE"""),"191750280-2")</f>
        <v>191750280-2</v>
      </c>
      <c r="B946" s="6" t="str">
        <f>IFERROR(__xludf.DUMMYFUNCTION("""COMPUTED_VALUE"""),"191750280 - Approved")</f>
        <v>191750280 - Approved</v>
      </c>
      <c r="C946" s="6">
        <f>IFERROR(__xludf.DUMMYFUNCTION("""COMPUTED_VALUE"""),2.0)</f>
        <v>2</v>
      </c>
      <c r="D946" s="6" t="str">
        <f>IFERROR(__xludf.DUMMYFUNCTION("""COMPUTED_VALUE"""),"T-20123-00")</f>
        <v>T-20123-00</v>
      </c>
      <c r="E946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946" s="6">
        <f>IFERROR(__xludf.DUMMYFUNCTION("""COMPUTED_VALUE"""),2.0)</f>
        <v>2</v>
      </c>
      <c r="G946" s="6" t="str">
        <f>IFERROR(__xludf.DUMMYFUNCTION("""COMPUTED_VALUE"""),"Pieces")</f>
        <v>Pieces</v>
      </c>
      <c r="H946" s="6" t="str">
        <f>IFERROR(__xludf.DUMMYFUNCTION("""COMPUTED_VALUE"""),"IDR")</f>
        <v>IDR</v>
      </c>
      <c r="I946" s="6">
        <f>IFERROR(__xludf.DUMMYFUNCTION("""COMPUTED_VALUE"""),1.0728198E7)</f>
        <v>10728198</v>
      </c>
      <c r="J946" s="6">
        <f>IFERROR(__xludf.DUMMYFUNCTION("""COMPUTED_VALUE"""),2.1456396E7)</f>
        <v>21456396</v>
      </c>
      <c r="K946" s="57">
        <f>IFERROR(__xludf.DUMMYFUNCTION("""COMPUTED_VALUE"""),43693.0)</f>
        <v>43693</v>
      </c>
      <c r="L946" s="6" t="str">
        <f>IFERROR(__xludf.DUMMYFUNCTION("""COMPUTED_VALUE"""),"FIP General")</f>
        <v>FIP General</v>
      </c>
      <c r="M946" s="6" t="str">
        <f>IFERROR(__xludf.DUMMYFUNCTION("""COMPUTED_VALUE"""),"Irwan Sopian")</f>
        <v>Irwan Sopian</v>
      </c>
      <c r="N946" s="6" t="str">
        <f>IFERROR(__xludf.DUMMYFUNCTION("""COMPUTED_VALUE"""),"FIP Engineering")</f>
        <v>FIP Engineering</v>
      </c>
      <c r="O946" s="6" t="str">
        <f>IFERROR(__xludf.DUMMYFUNCTION("""COMPUTED_VALUE"""),"FIP-DOM-ENG-51505-0000000-INA-000000")</f>
        <v>FIP-DOM-ENG-51505-0000000-INA-000000</v>
      </c>
      <c r="P946" s="6" t="str">
        <f>IFERROR(__xludf.DUMMYFUNCTION("""COMPUTED_VALUE"""),"PO Closed")</f>
        <v>PO Closed</v>
      </c>
      <c r="Q946" s="6" t="str">
        <f>IFERROR(__xludf.DUMMYFUNCTION("""COMPUTED_VALUE"""),"GL1907076")</f>
        <v>GL1907076</v>
      </c>
      <c r="R946" s="57">
        <f>IFERROR(__xludf.DUMMYFUNCTION("""COMPUTED_VALUE"""),43656.0)</f>
        <v>43656</v>
      </c>
      <c r="S946" s="6" t="str">
        <f>IFERROR(__xludf.DUMMYFUNCTION("""COMPUTED_VALUE"""),"-")</f>
        <v>-</v>
      </c>
      <c r="T946" s="57">
        <f>IFERROR(__xludf.DUMMYFUNCTION("""COMPUTED_VALUE"""),43693.0)</f>
        <v>43693</v>
      </c>
    </row>
    <row r="947">
      <c r="A947" s="6" t="str">
        <f>IFERROR(__xludf.DUMMYFUNCTION("""COMPUTED_VALUE"""),"191750278-2")</f>
        <v>191750278-2</v>
      </c>
      <c r="B947" s="6" t="str">
        <f>IFERROR(__xludf.DUMMYFUNCTION("""COMPUTED_VALUE"""),"191750278 - Approved")</f>
        <v>191750278 - Approved</v>
      </c>
      <c r="C947" s="6">
        <f>IFERROR(__xludf.DUMMYFUNCTION("""COMPUTED_VALUE"""),2.0)</f>
        <v>2</v>
      </c>
      <c r="D947" s="6" t="str">
        <f>IFERROR(__xludf.DUMMYFUNCTION("""COMPUTED_VALUE"""),"O-15462-00")</f>
        <v>O-15462-00</v>
      </c>
      <c r="E947" s="6" t="str">
        <f>IFERROR(__xludf.DUMMYFUNCTION("""COMPUTED_VALUE"""),"Dry Fog Stainless Steel FLOAT 47049-23S")</f>
        <v>Dry Fog Stainless Steel FLOAT 47049-23S</v>
      </c>
      <c r="F947" s="6">
        <f>IFERROR(__xludf.DUMMYFUNCTION("""COMPUTED_VALUE"""),1.0)</f>
        <v>1</v>
      </c>
      <c r="G947" s="6" t="str">
        <f>IFERROR(__xludf.DUMMYFUNCTION("""COMPUTED_VALUE"""),"Pieces")</f>
        <v>Pieces</v>
      </c>
      <c r="H947" s="6" t="str">
        <f>IFERROR(__xludf.DUMMYFUNCTION("""COMPUTED_VALUE"""),"IDR")</f>
        <v>IDR</v>
      </c>
      <c r="I947" s="6">
        <f>IFERROR(__xludf.DUMMYFUNCTION("""COMPUTED_VALUE"""),2325000.0)</f>
        <v>2325000</v>
      </c>
      <c r="J947" s="6">
        <f>IFERROR(__xludf.DUMMYFUNCTION("""COMPUTED_VALUE"""),2325000.0)</f>
        <v>2325000</v>
      </c>
      <c r="K947" s="57">
        <f>IFERROR(__xludf.DUMMYFUNCTION("""COMPUTED_VALUE"""),43677.0)</f>
        <v>43677</v>
      </c>
      <c r="L947" s="6" t="str">
        <f>IFERROR(__xludf.DUMMYFUNCTION("""COMPUTED_VALUE"""),"FIP Engineering")</f>
        <v>FIP Engineering</v>
      </c>
      <c r="M947" s="6" t="str">
        <f>IFERROR(__xludf.DUMMYFUNCTION("""COMPUTED_VALUE"""),"Irwan Sopian")</f>
        <v>Irwan Sopian</v>
      </c>
      <c r="N947" s="6" t="str">
        <f>IFERROR(__xludf.DUMMYFUNCTION("""COMPUTED_VALUE"""),"FIP Engineering")</f>
        <v>FIP Engineering</v>
      </c>
      <c r="O947" s="6" t="str">
        <f>IFERROR(__xludf.DUMMYFUNCTION("""COMPUTED_VALUE"""),"FIP-DOM-000-11304-OS00001-INA-000000")</f>
        <v>FIP-DOM-000-11304-OS00001-INA-000000</v>
      </c>
      <c r="P947" s="6" t="str">
        <f>IFERROR(__xludf.DUMMYFUNCTION("""COMPUTED_VALUE"""),"PO Closed")</f>
        <v>PO Closed</v>
      </c>
      <c r="Q947" s="6" t="str">
        <f>IFERROR(__xludf.DUMMYFUNCTION("""COMPUTED_VALUE"""),"GL1907048")</f>
        <v>GL1907048</v>
      </c>
      <c r="R947" s="57">
        <f>IFERROR(__xludf.DUMMYFUNCTION("""COMPUTED_VALUE"""),43656.0)</f>
        <v>43656</v>
      </c>
      <c r="S947" s="6" t="str">
        <f>IFERROR(__xludf.DUMMYFUNCTION("""COMPUTED_VALUE"""),"-")</f>
        <v>-</v>
      </c>
      <c r="T947" s="57">
        <f>IFERROR(__xludf.DUMMYFUNCTION("""COMPUTED_VALUE"""),43665.0)</f>
        <v>43665</v>
      </c>
    </row>
    <row r="948">
      <c r="A948" s="6" t="str">
        <f>IFERROR(__xludf.DUMMYFUNCTION("""COMPUTED_VALUE"""),"191750286-1")</f>
        <v>191750286-1</v>
      </c>
      <c r="B948" s="6" t="str">
        <f>IFERROR(__xludf.DUMMYFUNCTION("""COMPUTED_VALUE"""),"191750286 - Approved")</f>
        <v>191750286 - Approved</v>
      </c>
      <c r="C948" s="6">
        <f>IFERROR(__xludf.DUMMYFUNCTION("""COMPUTED_VALUE"""),1.0)</f>
        <v>1</v>
      </c>
      <c r="D948" s="6" t="str">
        <f>IFERROR(__xludf.DUMMYFUNCTION("""COMPUTED_VALUE"""),"T-20287-00")</f>
        <v>T-20287-00</v>
      </c>
      <c r="E948" s="6" t="str">
        <f>IFERROR(__xludf.DUMMYFUNCTION("""COMPUTED_VALUE"""),"Bleed/Temp Opt. Non-Stick 11 mm Septa Reorder Agilent Part No. 5183-4757 50/pk")</f>
        <v>Bleed/Temp Opt. Non-Stick 11 mm Septa Reorder Agilent Part No. 5183-4757 50/pk</v>
      </c>
      <c r="F948" s="6">
        <f>IFERROR(__xludf.DUMMYFUNCTION("""COMPUTED_VALUE"""),1.0)</f>
        <v>1</v>
      </c>
      <c r="G948" s="6" t="str">
        <f>IFERROR(__xludf.DUMMYFUNCTION("""COMPUTED_VALUE"""),"Pack")</f>
        <v>Pack</v>
      </c>
      <c r="H948" s="6" t="str">
        <f>IFERROR(__xludf.DUMMYFUNCTION("""COMPUTED_VALUE"""),"IDR")</f>
        <v>IDR</v>
      </c>
      <c r="I948" s="6">
        <f>IFERROR(__xludf.DUMMYFUNCTION("""COMPUTED_VALUE"""),1717974.07)</f>
        <v>1717974.07</v>
      </c>
      <c r="J948" s="6">
        <f>IFERROR(__xludf.DUMMYFUNCTION("""COMPUTED_VALUE"""),1717974.07)</f>
        <v>1717974.07</v>
      </c>
      <c r="K948" s="57">
        <f>IFERROR(__xludf.DUMMYFUNCTION("""COMPUTED_VALUE"""),43707.0)</f>
        <v>43707</v>
      </c>
      <c r="L948" s="6" t="str">
        <f>IFERROR(__xludf.DUMMYFUNCTION("""COMPUTED_VALUE"""),"FIP General")</f>
        <v>FIP General</v>
      </c>
      <c r="M948" s="6" t="str">
        <f>IFERROR(__xludf.DUMMYFUNCTION("""COMPUTED_VALUE"""),"Irwan Sopian")</f>
        <v>Irwan Sopian</v>
      </c>
      <c r="N948" s="6" t="str">
        <f>IFERROR(__xludf.DUMMYFUNCTION("""COMPUTED_VALUE"""),"FIP Engineering")</f>
        <v>FIP Engineering</v>
      </c>
      <c r="O948" s="6" t="str">
        <f>IFERROR(__xludf.DUMMYFUNCTION("""COMPUTED_VALUE"""),"FIP-DOM-ENG-51404-0000000-INA-000000")</f>
        <v>FIP-DOM-ENG-51404-0000000-INA-000000</v>
      </c>
      <c r="P948" s="6" t="str">
        <f>IFERROR(__xludf.DUMMYFUNCTION("""COMPUTED_VALUE"""),"PO Closed")</f>
        <v>PO Closed</v>
      </c>
      <c r="Q948" s="6" t="str">
        <f>IFERROR(__xludf.DUMMYFUNCTION("""COMPUTED_VALUE"""),"GL1907077")</f>
        <v>GL1907077</v>
      </c>
      <c r="R948" s="57">
        <f>IFERROR(__xludf.DUMMYFUNCTION("""COMPUTED_VALUE"""),43661.0)</f>
        <v>43661</v>
      </c>
      <c r="S948" s="6" t="str">
        <f>IFERROR(__xludf.DUMMYFUNCTION("""COMPUTED_VALUE"""),"-")</f>
        <v>-</v>
      </c>
      <c r="T948" s="57">
        <f>IFERROR(__xludf.DUMMYFUNCTION("""COMPUTED_VALUE"""),43691.0)</f>
        <v>43691</v>
      </c>
    </row>
    <row r="949">
      <c r="A949" s="6" t="str">
        <f>IFERROR(__xludf.DUMMYFUNCTION("""COMPUTED_VALUE"""),"191750286-2")</f>
        <v>191750286-2</v>
      </c>
      <c r="B949" s="6" t="str">
        <f>IFERROR(__xludf.DUMMYFUNCTION("""COMPUTED_VALUE"""),"191750286 - Approved")</f>
        <v>191750286 - Approved</v>
      </c>
      <c r="C949" s="6">
        <f>IFERROR(__xludf.DUMMYFUNCTION("""COMPUTED_VALUE"""),2.0)</f>
        <v>2</v>
      </c>
      <c r="D949" s="6" t="str">
        <f>IFERROR(__xludf.DUMMYFUNCTION("""COMPUTED_VALUE"""),"T-20289-00")</f>
        <v>T-20289-00</v>
      </c>
      <c r="E949" s="6" t="str">
        <f>IFERROR(__xludf.DUMMYFUNCTION("""COMPUTED_VALUE"""),"Ferrule, 1.0 mm graphite 0.53 Col; Agilent; Part No. 5080-8773; 10/pk")</f>
        <v>Ferrule, 1.0 mm graphite 0.53 Col; Agilent; Part No. 5080-8773; 10/pk</v>
      </c>
      <c r="F949" s="6">
        <f>IFERROR(__xludf.DUMMYFUNCTION("""COMPUTED_VALUE"""),1.0)</f>
        <v>1</v>
      </c>
      <c r="G949" s="6" t="str">
        <f>IFERROR(__xludf.DUMMYFUNCTION("""COMPUTED_VALUE"""),"Pack")</f>
        <v>Pack</v>
      </c>
      <c r="H949" s="6" t="str">
        <f>IFERROR(__xludf.DUMMYFUNCTION("""COMPUTED_VALUE"""),"IDR")</f>
        <v>IDR</v>
      </c>
      <c r="I949" s="6">
        <f>IFERROR(__xludf.DUMMYFUNCTION("""COMPUTED_VALUE"""),906518.0)</f>
        <v>906518</v>
      </c>
      <c r="J949" s="6">
        <f>IFERROR(__xludf.DUMMYFUNCTION("""COMPUTED_VALUE"""),906518.0)</f>
        <v>906518</v>
      </c>
      <c r="K949" s="57">
        <f>IFERROR(__xludf.DUMMYFUNCTION("""COMPUTED_VALUE"""),43707.0)</f>
        <v>43707</v>
      </c>
      <c r="L949" s="6" t="str">
        <f>IFERROR(__xludf.DUMMYFUNCTION("""COMPUTED_VALUE"""),"FIP General")</f>
        <v>FIP General</v>
      </c>
      <c r="M949" s="6" t="str">
        <f>IFERROR(__xludf.DUMMYFUNCTION("""COMPUTED_VALUE"""),"Irwan Sopian")</f>
        <v>Irwan Sopian</v>
      </c>
      <c r="N949" s="6" t="str">
        <f>IFERROR(__xludf.DUMMYFUNCTION("""COMPUTED_VALUE"""),"FIP Engineering")</f>
        <v>FIP Engineering</v>
      </c>
      <c r="O949" s="6" t="str">
        <f>IFERROR(__xludf.DUMMYFUNCTION("""COMPUTED_VALUE"""),"FIP-DOM-ENG-51404-0000000-INA-000000")</f>
        <v>FIP-DOM-ENG-51404-0000000-INA-000000</v>
      </c>
      <c r="P949" s="6" t="str">
        <f>IFERROR(__xludf.DUMMYFUNCTION("""COMPUTED_VALUE"""),"PO Closed")</f>
        <v>PO Closed</v>
      </c>
      <c r="Q949" s="6" t="str">
        <f>IFERROR(__xludf.DUMMYFUNCTION("""COMPUTED_VALUE"""),"GL1907077")</f>
        <v>GL1907077</v>
      </c>
      <c r="R949" s="57">
        <f>IFERROR(__xludf.DUMMYFUNCTION("""COMPUTED_VALUE"""),43661.0)</f>
        <v>43661</v>
      </c>
      <c r="S949" s="6" t="str">
        <f>IFERROR(__xludf.DUMMYFUNCTION("""COMPUTED_VALUE"""),"-")</f>
        <v>-</v>
      </c>
      <c r="T949" s="57">
        <f>IFERROR(__xludf.DUMMYFUNCTION("""COMPUTED_VALUE"""),43691.0)</f>
        <v>43691</v>
      </c>
    </row>
    <row r="950">
      <c r="A950" s="6" t="str">
        <f>IFERROR(__xludf.DUMMYFUNCTION("""COMPUTED_VALUE"""),"191750285-1")</f>
        <v>191750285-1</v>
      </c>
      <c r="B950" s="6" t="str">
        <f>IFERROR(__xludf.DUMMYFUNCTION("""COMPUTED_VALUE"""),"191750285 - Approved")</f>
        <v>191750285 - Approved</v>
      </c>
      <c r="C950" s="6">
        <f>IFERROR(__xludf.DUMMYFUNCTION("""COMPUTED_VALUE"""),1.0)</f>
        <v>1</v>
      </c>
      <c r="D950" s="6" t="str">
        <f>IFERROR(__xludf.DUMMYFUNCTION("""COMPUTED_VALUE"""),"P-10729-00")</f>
        <v>P-10729-00</v>
      </c>
      <c r="E950" s="6" t="str">
        <f>IFERROR(__xludf.DUMMYFUNCTION("""COMPUTED_VALUE"""),"Cleaner - Contact cleaner WD 40, 382 gr")</f>
        <v>Cleaner - Contact cleaner WD 40, 382 gr</v>
      </c>
      <c r="F950" s="6">
        <f>IFERROR(__xludf.DUMMYFUNCTION("""COMPUTED_VALUE"""),4.0)</f>
        <v>4</v>
      </c>
      <c r="G950" s="6" t="str">
        <f>IFERROR(__xludf.DUMMYFUNCTION("""COMPUTED_VALUE"""),"Pieces")</f>
        <v>Pieces</v>
      </c>
      <c r="H950" s="6" t="str">
        <f>IFERROR(__xludf.DUMMYFUNCTION("""COMPUTED_VALUE"""),"IDR")</f>
        <v>IDR</v>
      </c>
      <c r="I950" s="6">
        <f>IFERROR(__xludf.DUMMYFUNCTION("""COMPUTED_VALUE"""),72000.0)</f>
        <v>72000</v>
      </c>
      <c r="J950" s="6">
        <f>IFERROR(__xludf.DUMMYFUNCTION("""COMPUTED_VALUE"""),288000.0)</f>
        <v>288000</v>
      </c>
      <c r="K950" s="57">
        <f>IFERROR(__xludf.DUMMYFUNCTION("""COMPUTED_VALUE"""),43693.0)</f>
        <v>43693</v>
      </c>
      <c r="L950" s="6" t="str">
        <f>IFERROR(__xludf.DUMMYFUNCTION("""COMPUTED_VALUE"""),"FIP Engineering")</f>
        <v>FIP Engineering</v>
      </c>
      <c r="M950" s="6" t="str">
        <f>IFERROR(__xludf.DUMMYFUNCTION("""COMPUTED_VALUE"""),"Irwan Sopian")</f>
        <v>Irwan Sopian</v>
      </c>
      <c r="N950" s="6" t="str">
        <f>IFERROR(__xludf.DUMMYFUNCTION("""COMPUTED_VALUE"""),"FIP Engineering")</f>
        <v>FIP Engineering</v>
      </c>
      <c r="O950" s="6" t="str">
        <f>IFERROR(__xludf.DUMMYFUNCTION("""COMPUTED_VALUE"""),"FIP-DOM-000-11304-OS00001-INA-000000")</f>
        <v>FIP-DOM-000-11304-OS00001-INA-000000</v>
      </c>
      <c r="P950" s="6" t="str">
        <f>IFERROR(__xludf.DUMMYFUNCTION("""COMPUTED_VALUE"""),"PO Closed")</f>
        <v>PO Closed</v>
      </c>
      <c r="Q950" s="6" t="str">
        <f>IFERROR(__xludf.DUMMYFUNCTION("""COMPUTED_VALUE"""),"GL1908049")</f>
        <v>GL1908049</v>
      </c>
      <c r="R950" s="57">
        <f>IFERROR(__xludf.DUMMYFUNCTION("""COMPUTED_VALUE"""),43661.0)</f>
        <v>43661</v>
      </c>
      <c r="S950" s="6" t="str">
        <f>IFERROR(__xludf.DUMMYFUNCTION("""COMPUTED_VALUE"""),"-")</f>
        <v>-</v>
      </c>
      <c r="T950" s="6" t="str">
        <f>IFERROR(__xludf.DUMMYFUNCTION("""COMPUTED_VALUE"""),"-")</f>
        <v>-</v>
      </c>
    </row>
    <row r="951">
      <c r="A951" s="6" t="str">
        <f>IFERROR(__xludf.DUMMYFUNCTION("""COMPUTED_VALUE"""),"191750285-2")</f>
        <v>191750285-2</v>
      </c>
      <c r="B951" s="6" t="str">
        <f>IFERROR(__xludf.DUMMYFUNCTION("""COMPUTED_VALUE"""),"191750285 - Approved")</f>
        <v>191750285 - Approved</v>
      </c>
      <c r="C951" s="6">
        <f>IFERROR(__xludf.DUMMYFUNCTION("""COMPUTED_VALUE"""),2.0)</f>
        <v>2</v>
      </c>
      <c r="D951" s="6" t="str">
        <f>IFERROR(__xludf.DUMMYFUNCTION("""COMPUTED_VALUE"""),"O-15931-00")</f>
        <v>O-15931-00</v>
      </c>
      <c r="E951" s="6" t="str">
        <f>IFERROR(__xludf.DUMMYFUNCTION("""COMPUTED_VALUE"""),"Double Tape 3M 1"" Merah; ; ;")</f>
        <v>Double Tape 3M 1" Merah; ; ;</v>
      </c>
      <c r="F951" s="6">
        <f>IFERROR(__xludf.DUMMYFUNCTION("""COMPUTED_VALUE"""),5.0)</f>
        <v>5</v>
      </c>
      <c r="G951" s="6" t="str">
        <f>IFERROR(__xludf.DUMMYFUNCTION("""COMPUTED_VALUE"""),"Pieces")</f>
        <v>Pieces</v>
      </c>
      <c r="H951" s="6" t="str">
        <f>IFERROR(__xludf.DUMMYFUNCTION("""COMPUTED_VALUE"""),"IDR")</f>
        <v>IDR</v>
      </c>
      <c r="I951" s="6">
        <f>IFERROR(__xludf.DUMMYFUNCTION("""COMPUTED_VALUE"""),112500.0)</f>
        <v>112500</v>
      </c>
      <c r="J951" s="6">
        <f>IFERROR(__xludf.DUMMYFUNCTION("""COMPUTED_VALUE"""),562500.0)</f>
        <v>562500</v>
      </c>
      <c r="K951" s="57">
        <f>IFERROR(__xludf.DUMMYFUNCTION("""COMPUTED_VALUE"""),43693.0)</f>
        <v>43693</v>
      </c>
      <c r="L951" s="6" t="str">
        <f>IFERROR(__xludf.DUMMYFUNCTION("""COMPUTED_VALUE"""),"FIP Engineering")</f>
        <v>FIP Engineering</v>
      </c>
      <c r="M951" s="6" t="str">
        <f>IFERROR(__xludf.DUMMYFUNCTION("""COMPUTED_VALUE"""),"Irwan Sopian")</f>
        <v>Irwan Sopian</v>
      </c>
      <c r="N951" s="6" t="str">
        <f>IFERROR(__xludf.DUMMYFUNCTION("""COMPUTED_VALUE"""),"FIP Engineering")</f>
        <v>FIP Engineering</v>
      </c>
      <c r="O951" s="6" t="str">
        <f>IFERROR(__xludf.DUMMYFUNCTION("""COMPUTED_VALUE"""),"FIP-DOM-000-11304-OS00001-INA-000000")</f>
        <v>FIP-DOM-000-11304-OS00001-INA-000000</v>
      </c>
      <c r="P951" s="6" t="str">
        <f>IFERROR(__xludf.DUMMYFUNCTION("""COMPUTED_VALUE"""),"PO Closed")</f>
        <v>PO Closed</v>
      </c>
      <c r="Q951" s="6" t="str">
        <f>IFERROR(__xludf.DUMMYFUNCTION("""COMPUTED_VALUE"""),"GL1908049")</f>
        <v>GL1908049</v>
      </c>
      <c r="R951" s="57">
        <f>IFERROR(__xludf.DUMMYFUNCTION("""COMPUTED_VALUE"""),43661.0)</f>
        <v>43661</v>
      </c>
      <c r="S951" s="6" t="str">
        <f>IFERROR(__xludf.DUMMYFUNCTION("""COMPUTED_VALUE"""),"-")</f>
        <v>-</v>
      </c>
      <c r="T951" s="6" t="str">
        <f>IFERROR(__xludf.DUMMYFUNCTION("""COMPUTED_VALUE"""),"-")</f>
        <v>-</v>
      </c>
    </row>
    <row r="952">
      <c r="A952" s="6" t="str">
        <f>IFERROR(__xludf.DUMMYFUNCTION("""COMPUTED_VALUE"""),"191750285-3")</f>
        <v>191750285-3</v>
      </c>
      <c r="B952" s="6" t="str">
        <f>IFERROR(__xludf.DUMMYFUNCTION("""COMPUTED_VALUE"""),"191750285 - Approved")</f>
        <v>191750285 - Approved</v>
      </c>
      <c r="C952" s="6">
        <f>IFERROR(__xludf.DUMMYFUNCTION("""COMPUTED_VALUE"""),3.0)</f>
        <v>3</v>
      </c>
      <c r="D952" s="6" t="str">
        <f>IFERROR(__xludf.DUMMYFUNCTION("""COMPUTED_VALUE"""),"P-51891-00")</f>
        <v>P-51891-00</v>
      </c>
      <c r="E952" s="6" t="str">
        <f>IFERROR(__xludf.DUMMYFUNCTION("""COMPUTED_VALUE"""),"Exhaust Fan Panel 240VAC")</f>
        <v>Exhaust Fan Panel 240VAC</v>
      </c>
      <c r="F952" s="6">
        <f>IFERROR(__xludf.DUMMYFUNCTION("""COMPUTED_VALUE"""),4.0)</f>
        <v>4</v>
      </c>
      <c r="G952" s="6" t="str">
        <f>IFERROR(__xludf.DUMMYFUNCTION("""COMPUTED_VALUE"""),"Pieces")</f>
        <v>Pieces</v>
      </c>
      <c r="H952" s="6" t="str">
        <f>IFERROR(__xludf.DUMMYFUNCTION("""COMPUTED_VALUE"""),"IDR")</f>
        <v>IDR</v>
      </c>
      <c r="I952" s="6">
        <f>IFERROR(__xludf.DUMMYFUNCTION("""COMPUTED_VALUE"""),150000.0)</f>
        <v>150000</v>
      </c>
      <c r="J952" s="6">
        <f>IFERROR(__xludf.DUMMYFUNCTION("""COMPUTED_VALUE"""),600000.0)</f>
        <v>600000</v>
      </c>
      <c r="K952" s="57">
        <f>IFERROR(__xludf.DUMMYFUNCTION("""COMPUTED_VALUE"""),43693.0)</f>
        <v>43693</v>
      </c>
      <c r="L952" s="6" t="str">
        <f>IFERROR(__xludf.DUMMYFUNCTION("""COMPUTED_VALUE"""),"FIP Engineering")</f>
        <v>FIP Engineering</v>
      </c>
      <c r="M952" s="6" t="str">
        <f>IFERROR(__xludf.DUMMYFUNCTION("""COMPUTED_VALUE"""),"Irwan Sopian")</f>
        <v>Irwan Sopian</v>
      </c>
      <c r="N952" s="6" t="str">
        <f>IFERROR(__xludf.DUMMYFUNCTION("""COMPUTED_VALUE"""),"FIP Engineering")</f>
        <v>FIP Engineering</v>
      </c>
      <c r="O952" s="6" t="str">
        <f>IFERROR(__xludf.DUMMYFUNCTION("""COMPUTED_VALUE"""),"FIP-DOM-000-11304-OS00001-INA-000000")</f>
        <v>FIP-DOM-000-11304-OS00001-INA-000000</v>
      </c>
      <c r="P952" s="6" t="str">
        <f>IFERROR(__xludf.DUMMYFUNCTION("""COMPUTED_VALUE"""),"PO Closed")</f>
        <v>PO Closed</v>
      </c>
      <c r="Q952" s="6" t="str">
        <f>IFERROR(__xludf.DUMMYFUNCTION("""COMPUTED_VALUE"""),"GL1908049")</f>
        <v>GL1908049</v>
      </c>
      <c r="R952" s="57">
        <f>IFERROR(__xludf.DUMMYFUNCTION("""COMPUTED_VALUE"""),43661.0)</f>
        <v>43661</v>
      </c>
      <c r="S952" s="6" t="str">
        <f>IFERROR(__xludf.DUMMYFUNCTION("""COMPUTED_VALUE"""),"-")</f>
        <v>-</v>
      </c>
      <c r="T952" s="6" t="str">
        <f>IFERROR(__xludf.DUMMYFUNCTION("""COMPUTED_VALUE"""),"-")</f>
        <v>-</v>
      </c>
    </row>
    <row r="953">
      <c r="A953" s="6" t="str">
        <f>IFERROR(__xludf.DUMMYFUNCTION("""COMPUTED_VALUE"""),"191750285-4")</f>
        <v>191750285-4</v>
      </c>
      <c r="B953" s="6" t="str">
        <f>IFERROR(__xludf.DUMMYFUNCTION("""COMPUTED_VALUE"""),"191750285 - Approved")</f>
        <v>191750285 - Approved</v>
      </c>
      <c r="C953" s="6">
        <f>IFERROR(__xludf.DUMMYFUNCTION("""COMPUTED_VALUE"""),4.0)</f>
        <v>4</v>
      </c>
      <c r="D953" s="6" t="str">
        <f>IFERROR(__xludf.DUMMYFUNCTION("""COMPUTED_VALUE"""),"P-14245-00")</f>
        <v>P-14245-00</v>
      </c>
      <c r="E953" s="6" t="str">
        <f>IFERROR(__xludf.DUMMYFUNCTION("""COMPUTED_VALUE"""),"Manual valve HE-2-QS-8 FESTO")</f>
        <v>Manual valve HE-2-QS-8 FESTO</v>
      </c>
      <c r="F953" s="6">
        <f>IFERROR(__xludf.DUMMYFUNCTION("""COMPUTED_VALUE"""),3.0)</f>
        <v>3</v>
      </c>
      <c r="G953" s="6" t="str">
        <f>IFERROR(__xludf.DUMMYFUNCTION("""COMPUTED_VALUE"""),"Pieces")</f>
        <v>Pieces</v>
      </c>
      <c r="H953" s="6" t="str">
        <f>IFERROR(__xludf.DUMMYFUNCTION("""COMPUTED_VALUE"""),"IDR")</f>
        <v>IDR</v>
      </c>
      <c r="I953" s="6">
        <f>IFERROR(__xludf.DUMMYFUNCTION("""COMPUTED_VALUE"""),249020.0)</f>
        <v>249020</v>
      </c>
      <c r="J953" s="6">
        <f>IFERROR(__xludf.DUMMYFUNCTION("""COMPUTED_VALUE"""),747060.0)</f>
        <v>747060</v>
      </c>
      <c r="K953" s="57">
        <f>IFERROR(__xludf.DUMMYFUNCTION("""COMPUTED_VALUE"""),43693.0)</f>
        <v>43693</v>
      </c>
      <c r="L953" s="6" t="str">
        <f>IFERROR(__xludf.DUMMYFUNCTION("""COMPUTED_VALUE"""),"FIP Engineering")</f>
        <v>FIP Engineering</v>
      </c>
      <c r="M953" s="6" t="str">
        <f>IFERROR(__xludf.DUMMYFUNCTION("""COMPUTED_VALUE"""),"Irwan Sopian")</f>
        <v>Irwan Sopian</v>
      </c>
      <c r="N953" s="6" t="str">
        <f>IFERROR(__xludf.DUMMYFUNCTION("""COMPUTED_VALUE"""),"FIP Engineering")</f>
        <v>FIP Engineering</v>
      </c>
      <c r="O953" s="6" t="str">
        <f>IFERROR(__xludf.DUMMYFUNCTION("""COMPUTED_VALUE"""),"FIP-DOM-000-11304-OS00001-INA-000000")</f>
        <v>FIP-DOM-000-11304-OS00001-INA-000000</v>
      </c>
      <c r="P953" s="6" t="str">
        <f>IFERROR(__xludf.DUMMYFUNCTION("""COMPUTED_VALUE"""),"PO Closed")</f>
        <v>PO Closed</v>
      </c>
      <c r="Q953" s="6" t="str">
        <f>IFERROR(__xludf.DUMMYFUNCTION("""COMPUTED_VALUE"""),"GL1908053")</f>
        <v>GL1908053</v>
      </c>
      <c r="R953" s="57">
        <f>IFERROR(__xludf.DUMMYFUNCTION("""COMPUTED_VALUE"""),43661.0)</f>
        <v>43661</v>
      </c>
      <c r="S953" s="6" t="str">
        <f>IFERROR(__xludf.DUMMYFUNCTION("""COMPUTED_VALUE"""),"-")</f>
        <v>-</v>
      </c>
      <c r="T953" s="6" t="str">
        <f>IFERROR(__xludf.DUMMYFUNCTION("""COMPUTED_VALUE"""),"-")</f>
        <v>-</v>
      </c>
    </row>
    <row r="954">
      <c r="A954" s="6" t="str">
        <f>IFERROR(__xludf.DUMMYFUNCTION("""COMPUTED_VALUE"""),"191750293-1")</f>
        <v>191750293-1</v>
      </c>
      <c r="B954" s="6" t="str">
        <f>IFERROR(__xludf.DUMMYFUNCTION("""COMPUTED_VALUE"""),"191750293 - Approved")</f>
        <v>191750293 - Approved</v>
      </c>
      <c r="C954" s="6">
        <f>IFERROR(__xludf.DUMMYFUNCTION("""COMPUTED_VALUE"""),1.0)</f>
        <v>1</v>
      </c>
      <c r="D954" s="6" t="str">
        <f>IFERROR(__xludf.DUMMYFUNCTION("""COMPUTED_VALUE"""),"S-60002-00")</f>
        <v>S-60002-00</v>
      </c>
      <c r="E954" s="6" t="str">
        <f>IFERROR(__xludf.DUMMYFUNCTION("""COMPUTED_VALUE"""),"Repair Needle CA mesin Capping")</f>
        <v>Repair Needle CA mesin Capping</v>
      </c>
      <c r="F954" s="6">
        <f>IFERROR(__xludf.DUMMYFUNCTION("""COMPUTED_VALUE"""),2.0)</f>
        <v>2</v>
      </c>
      <c r="G954" s="6" t="str">
        <f>IFERROR(__xludf.DUMMYFUNCTION("""COMPUTED_VALUE"""),"Lot")</f>
        <v>Lot</v>
      </c>
      <c r="H954" s="6" t="str">
        <f>IFERROR(__xludf.DUMMYFUNCTION("""COMPUTED_VALUE"""),"IDR")</f>
        <v>IDR</v>
      </c>
      <c r="I954" s="6">
        <f>IFERROR(__xludf.DUMMYFUNCTION("""COMPUTED_VALUE"""),750000.0)</f>
        <v>750000</v>
      </c>
      <c r="J954" s="6">
        <f>IFERROR(__xludf.DUMMYFUNCTION("""COMPUTED_VALUE"""),1500000.0)</f>
        <v>1500000</v>
      </c>
      <c r="K954" s="57">
        <f>IFERROR(__xludf.DUMMYFUNCTION("""COMPUTED_VALUE"""),43700.0)</f>
        <v>43700</v>
      </c>
      <c r="L954" s="6" t="str">
        <f>IFERROR(__xludf.DUMMYFUNCTION("""COMPUTED_VALUE"""),"FIP General")</f>
        <v>FIP General</v>
      </c>
      <c r="M954" s="6" t="str">
        <f>IFERROR(__xludf.DUMMYFUNCTION("""COMPUTED_VALUE"""),"Irwan Sopian")</f>
        <v>Irwan Sopian</v>
      </c>
      <c r="N954" s="6" t="str">
        <f>IFERROR(__xludf.DUMMYFUNCTION("""COMPUTED_VALUE"""),"FIP Engineering")</f>
        <v>FIP Engineering</v>
      </c>
      <c r="O954" s="6" t="str">
        <f>IFERROR(__xludf.DUMMYFUNCTION("""COMPUTED_VALUE"""),"FIP-DOM-ENG-51508-0000000-INA-000000")</f>
        <v>FIP-DOM-ENG-51508-0000000-INA-000000</v>
      </c>
      <c r="P954" s="6" t="str">
        <f>IFERROR(__xludf.DUMMYFUNCTION("""COMPUTED_VALUE"""),"PO Closed")</f>
        <v>PO Closed</v>
      </c>
      <c r="Q954" s="6" t="str">
        <f>IFERROR(__xludf.DUMMYFUNCTION("""COMPUTED_VALUE"""),"GL1908015")</f>
        <v>GL1908015</v>
      </c>
      <c r="R954" s="57">
        <f>IFERROR(__xludf.DUMMYFUNCTION("""COMPUTED_VALUE"""),43664.0)</f>
        <v>43664</v>
      </c>
      <c r="S954" s="6" t="str">
        <f>IFERROR(__xludf.DUMMYFUNCTION("""COMPUTED_VALUE"""),"-")</f>
        <v>-</v>
      </c>
      <c r="T954" s="57">
        <f>IFERROR(__xludf.DUMMYFUNCTION("""COMPUTED_VALUE"""),43700.0)</f>
        <v>43700</v>
      </c>
    </row>
    <row r="955">
      <c r="A955" s="6" t="str">
        <f>IFERROR(__xludf.DUMMYFUNCTION("""COMPUTED_VALUE"""),"191750286-3")</f>
        <v>191750286-3</v>
      </c>
      <c r="B955" s="6" t="str">
        <f>IFERROR(__xludf.DUMMYFUNCTION("""COMPUTED_VALUE"""),"191750286 - Approved")</f>
        <v>191750286 - Approved</v>
      </c>
      <c r="C955" s="6">
        <f>IFERROR(__xludf.DUMMYFUNCTION("""COMPUTED_VALUE"""),3.0)</f>
        <v>3</v>
      </c>
      <c r="D955" s="6" t="str">
        <f>IFERROR(__xludf.DUMMYFUNCTION("""COMPUTED_VALUE"""),"T-20449-00")</f>
        <v>T-20449-00</v>
      </c>
      <c r="E955" s="6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F955" s="6">
        <f>IFERROR(__xludf.DUMMYFUNCTION("""COMPUTED_VALUE"""),1.0)</f>
        <v>1</v>
      </c>
      <c r="G955" s="6" t="str">
        <f>IFERROR(__xludf.DUMMYFUNCTION("""COMPUTED_VALUE"""),"Pack")</f>
        <v>Pack</v>
      </c>
      <c r="H955" s="6" t="str">
        <f>IFERROR(__xludf.DUMMYFUNCTION("""COMPUTED_VALUE"""),"IDR")</f>
        <v>IDR</v>
      </c>
      <c r="I955" s="6">
        <f>IFERROR(__xludf.DUMMYFUNCTION("""COMPUTED_VALUE"""),3650250.0)</f>
        <v>3650250</v>
      </c>
      <c r="J955" s="6">
        <f>IFERROR(__xludf.DUMMYFUNCTION("""COMPUTED_VALUE"""),3650250.0)</f>
        <v>3650250</v>
      </c>
      <c r="K955" s="57">
        <f>IFERROR(__xludf.DUMMYFUNCTION("""COMPUTED_VALUE"""),43707.0)</f>
        <v>43707</v>
      </c>
      <c r="L955" s="6" t="str">
        <f>IFERROR(__xludf.DUMMYFUNCTION("""COMPUTED_VALUE"""),"FIP General")</f>
        <v>FIP General</v>
      </c>
      <c r="M955" s="6" t="str">
        <f>IFERROR(__xludf.DUMMYFUNCTION("""COMPUTED_VALUE"""),"Irwan Sopian")</f>
        <v>Irwan Sopian</v>
      </c>
      <c r="N955" s="6" t="str">
        <f>IFERROR(__xludf.DUMMYFUNCTION("""COMPUTED_VALUE"""),"FIP Engineering")</f>
        <v>FIP Engineering</v>
      </c>
      <c r="O955" s="6" t="str">
        <f>IFERROR(__xludf.DUMMYFUNCTION("""COMPUTED_VALUE"""),"FIP-DOM-ENG-51505-0000000-INA-000000")</f>
        <v>FIP-DOM-ENG-51505-0000000-INA-000000</v>
      </c>
      <c r="P955" s="6" t="str">
        <f>IFERROR(__xludf.DUMMYFUNCTION("""COMPUTED_VALUE"""),"PO Closed")</f>
        <v>PO Closed</v>
      </c>
      <c r="Q955" s="6" t="str">
        <f>IFERROR(__xludf.DUMMYFUNCTION("""COMPUTED_VALUE"""),"GL1907077")</f>
        <v>GL1907077</v>
      </c>
      <c r="R955" s="57">
        <f>IFERROR(__xludf.DUMMYFUNCTION("""COMPUTED_VALUE"""),43664.0)</f>
        <v>43664</v>
      </c>
      <c r="S955" s="6" t="str">
        <f>IFERROR(__xludf.DUMMYFUNCTION("""COMPUTED_VALUE"""),"-")</f>
        <v>-</v>
      </c>
      <c r="T955" s="57">
        <f>IFERROR(__xludf.DUMMYFUNCTION("""COMPUTED_VALUE"""),43691.0)</f>
        <v>43691</v>
      </c>
    </row>
    <row r="956">
      <c r="A956" s="6" t="str">
        <f>IFERROR(__xludf.DUMMYFUNCTION("""COMPUTED_VALUE"""),"191750286-4")</f>
        <v>191750286-4</v>
      </c>
      <c r="B956" s="6" t="str">
        <f>IFERROR(__xludf.DUMMYFUNCTION("""COMPUTED_VALUE"""),"191750286 - Approved")</f>
        <v>191750286 - Approved</v>
      </c>
      <c r="C956" s="6">
        <f>IFERROR(__xludf.DUMMYFUNCTION("""COMPUTED_VALUE"""),4.0)</f>
        <v>4</v>
      </c>
      <c r="D956" s="6" t="str">
        <f>IFERROR(__xludf.DUMMYFUNCTION("""COMPUTED_VALUE"""),"T-20055-00")</f>
        <v>T-20055-00</v>
      </c>
      <c r="E956" s="6" t="str">
        <f>IFERROR(__xludf.DUMMYFUNCTION("""COMPUTED_VALUE"""),"PerformancePlus Check Valve Cartridge Waters p/n 700002399")</f>
        <v>PerformancePlus Check Valve Cartridge Waters p/n 700002399</v>
      </c>
      <c r="F956" s="6">
        <f>IFERROR(__xludf.DUMMYFUNCTION("""COMPUTED_VALUE"""),1.0)</f>
        <v>1</v>
      </c>
      <c r="G956" s="6" t="str">
        <f>IFERROR(__xludf.DUMMYFUNCTION("""COMPUTED_VALUE"""),"Pieces")</f>
        <v>Pieces</v>
      </c>
      <c r="H956" s="6" t="str">
        <f>IFERROR(__xludf.DUMMYFUNCTION("""COMPUTED_VALUE"""),"IDR")</f>
        <v>IDR</v>
      </c>
      <c r="I956" s="6">
        <f>IFERROR(__xludf.DUMMYFUNCTION("""COMPUTED_VALUE"""),5655000.0)</f>
        <v>5655000</v>
      </c>
      <c r="J956" s="6">
        <f>IFERROR(__xludf.DUMMYFUNCTION("""COMPUTED_VALUE"""),5655000.0)</f>
        <v>5655000</v>
      </c>
      <c r="K956" s="57">
        <f>IFERROR(__xludf.DUMMYFUNCTION("""COMPUTED_VALUE"""),43707.0)</f>
        <v>43707</v>
      </c>
      <c r="L956" s="6" t="str">
        <f>IFERROR(__xludf.DUMMYFUNCTION("""COMPUTED_VALUE"""),"FIP General")</f>
        <v>FIP General</v>
      </c>
      <c r="M956" s="6" t="str">
        <f>IFERROR(__xludf.DUMMYFUNCTION("""COMPUTED_VALUE"""),"Irwan Sopian")</f>
        <v>Irwan Sopian</v>
      </c>
      <c r="N956" s="6" t="str">
        <f>IFERROR(__xludf.DUMMYFUNCTION("""COMPUTED_VALUE"""),"FIP Engineering")</f>
        <v>FIP Engineering</v>
      </c>
      <c r="O956" s="6" t="str">
        <f>IFERROR(__xludf.DUMMYFUNCTION("""COMPUTED_VALUE"""),"FIP-DOM-ENG-51505-0000000-INA-000000")</f>
        <v>FIP-DOM-ENG-51505-0000000-INA-000000</v>
      </c>
      <c r="P956" s="6" t="str">
        <f>IFERROR(__xludf.DUMMYFUNCTION("""COMPUTED_VALUE"""),"PO Closed")</f>
        <v>PO Closed</v>
      </c>
      <c r="Q956" s="6" t="str">
        <f>IFERROR(__xludf.DUMMYFUNCTION("""COMPUTED_VALUE"""),"GL1907074")</f>
        <v>GL1907074</v>
      </c>
      <c r="R956" s="57">
        <f>IFERROR(__xludf.DUMMYFUNCTION("""COMPUTED_VALUE"""),43664.0)</f>
        <v>43664</v>
      </c>
      <c r="S956" s="6" t="str">
        <f>IFERROR(__xludf.DUMMYFUNCTION("""COMPUTED_VALUE"""),"-")</f>
        <v>-</v>
      </c>
      <c r="T956" s="57">
        <f>IFERROR(__xludf.DUMMYFUNCTION("""COMPUTED_VALUE"""),43691.0)</f>
        <v>43691</v>
      </c>
    </row>
    <row r="957">
      <c r="A957" s="6" t="str">
        <f>IFERROR(__xludf.DUMMYFUNCTION("""COMPUTED_VALUE"""),"191750298-1")</f>
        <v>191750298-1</v>
      </c>
      <c r="B957" s="6" t="str">
        <f>IFERROR(__xludf.DUMMYFUNCTION("""COMPUTED_VALUE"""),"191750298 - Approved")</f>
        <v>191750298 - Approved</v>
      </c>
      <c r="C957" s="6">
        <f>IFERROR(__xludf.DUMMYFUNCTION("""COMPUTED_VALUE"""),1.0)</f>
        <v>1</v>
      </c>
      <c r="D957" s="6" t="str">
        <f>IFERROR(__xludf.DUMMYFUNCTION("""COMPUTED_VALUE"""),"R-20002-00")</f>
        <v>R-20002-00</v>
      </c>
      <c r="E957" s="6" t="str">
        <f>IFERROR(__xludf.DUMMYFUNCTION("""COMPUTED_VALUE"""),"Electric Heater Wot water")</f>
        <v>Electric Heater Wot water</v>
      </c>
      <c r="F957" s="6">
        <f>IFERROR(__xludf.DUMMYFUNCTION("""COMPUTED_VALUE"""),1.0)</f>
        <v>1</v>
      </c>
      <c r="G957" s="6" t="str">
        <f>IFERROR(__xludf.DUMMYFUNCTION("""COMPUTED_VALUE"""),"Unit")</f>
        <v>Unit</v>
      </c>
      <c r="H957" s="6" t="str">
        <f>IFERROR(__xludf.DUMMYFUNCTION("""COMPUTED_VALUE"""),"IDR")</f>
        <v>IDR</v>
      </c>
      <c r="I957" s="6">
        <f>IFERROR(__xludf.DUMMYFUNCTION("""COMPUTED_VALUE"""),5.3145E7)</f>
        <v>53145000</v>
      </c>
      <c r="J957" s="6">
        <f>IFERROR(__xludf.DUMMYFUNCTION("""COMPUTED_VALUE"""),5.3145E7)</f>
        <v>53145000</v>
      </c>
      <c r="K957" s="57">
        <f>IFERROR(__xludf.DUMMYFUNCTION("""COMPUTED_VALUE"""),43707.0)</f>
        <v>43707</v>
      </c>
      <c r="L957" s="6" t="str">
        <f>IFERROR(__xludf.DUMMYFUNCTION("""COMPUTED_VALUE"""),"FIP General")</f>
        <v>FIP General</v>
      </c>
      <c r="M957" s="6" t="str">
        <f>IFERROR(__xludf.DUMMYFUNCTION("""COMPUTED_VALUE"""),"Ronald Effendi")</f>
        <v>Ronald Effendi</v>
      </c>
      <c r="N957" s="6" t="str">
        <f>IFERROR(__xludf.DUMMYFUNCTION("""COMPUTED_VALUE"""),"FIP Engineering")</f>
        <v>FIP Engineering</v>
      </c>
      <c r="O957" s="6" t="str">
        <f>IFERROR(__xludf.DUMMYFUNCTION("""COMPUTED_VALUE"""),"FIP-DOM-ENG-13405-EQNB193-INA-000000")</f>
        <v>FIP-DOM-ENG-13405-EQNB193-INA-000000</v>
      </c>
      <c r="P957" s="6" t="str">
        <f>IFERROR(__xludf.DUMMYFUNCTION("""COMPUTED_VALUE"""),"PO Closed")</f>
        <v>PO Closed</v>
      </c>
      <c r="Q957" s="6" t="str">
        <f>IFERROR(__xludf.DUMMYFUNCTION("""COMPUTED_VALUE"""),"GL1908048")</f>
        <v>GL1908048</v>
      </c>
      <c r="R957" s="57">
        <f>IFERROR(__xludf.DUMMYFUNCTION("""COMPUTED_VALUE"""),43668.0)</f>
        <v>43668</v>
      </c>
      <c r="S957" s="6" t="str">
        <f>IFERROR(__xludf.DUMMYFUNCTION("""COMPUTED_VALUE"""),"-")</f>
        <v>-</v>
      </c>
      <c r="T957" s="6" t="str">
        <f>IFERROR(__xludf.DUMMYFUNCTION("""COMPUTED_VALUE"""),"-")</f>
        <v>-</v>
      </c>
    </row>
    <row r="958">
      <c r="A958" s="6" t="str">
        <f>IFERROR(__xludf.DUMMYFUNCTION("""COMPUTED_VALUE"""),"191750296-1")</f>
        <v>191750296-1</v>
      </c>
      <c r="B958" s="6" t="str">
        <f>IFERROR(__xludf.DUMMYFUNCTION("""COMPUTED_VALUE"""),"191750296 - Approved")</f>
        <v>191750296 - Approved</v>
      </c>
      <c r="C958" s="6">
        <f>IFERROR(__xludf.DUMMYFUNCTION("""COMPUTED_VALUE"""),1.0)</f>
        <v>1</v>
      </c>
      <c r="D958" s="6" t="str">
        <f>IFERROR(__xludf.DUMMYFUNCTION("""COMPUTED_VALUE"""),"T-20002-00")</f>
        <v>T-20002-00</v>
      </c>
      <c r="E958" s="6" t="str">
        <f>IFERROR(__xludf.DUMMYFUNCTION("""COMPUTED_VALUE"""),"Service HPLC 2 Alliance e2695")</f>
        <v>Service HPLC 2 Alliance e2695</v>
      </c>
      <c r="F958" s="6">
        <f>IFERROR(__xludf.DUMMYFUNCTION("""COMPUTED_VALUE"""),1.0)</f>
        <v>1</v>
      </c>
      <c r="G958" s="6" t="str">
        <f>IFERROR(__xludf.DUMMYFUNCTION("""COMPUTED_VALUE"""),"Pieces")</f>
        <v>Pieces</v>
      </c>
      <c r="H958" s="6" t="str">
        <f>IFERROR(__xludf.DUMMYFUNCTION("""COMPUTED_VALUE"""),"IDR")</f>
        <v>IDR</v>
      </c>
      <c r="I958" s="6">
        <f>IFERROR(__xludf.DUMMYFUNCTION("""COMPUTED_VALUE"""),1550000.0)</f>
        <v>1550000</v>
      </c>
      <c r="J958" s="6">
        <f>IFERROR(__xludf.DUMMYFUNCTION("""COMPUTED_VALUE"""),1550000.0)</f>
        <v>1550000</v>
      </c>
      <c r="K958" s="57">
        <f>IFERROR(__xludf.DUMMYFUNCTION("""COMPUTED_VALUE"""),43700.0)</f>
        <v>43700</v>
      </c>
      <c r="L958" s="6" t="str">
        <f>IFERROR(__xludf.DUMMYFUNCTION("""COMPUTED_VALUE"""),"FIP General")</f>
        <v>FIP General</v>
      </c>
      <c r="M958" s="6" t="str">
        <f>IFERROR(__xludf.DUMMYFUNCTION("""COMPUTED_VALUE"""),"Irwan Sopian")</f>
        <v>Irwan Sopian</v>
      </c>
      <c r="N958" s="6" t="str">
        <f>IFERROR(__xludf.DUMMYFUNCTION("""COMPUTED_VALUE"""),"FIP Engineering")</f>
        <v>FIP Engineering</v>
      </c>
      <c r="O958" s="6" t="str">
        <f>IFERROR(__xludf.DUMMYFUNCTION("""COMPUTED_VALUE"""),"FIP-DOM-ENG-51505-0000000-INA-000000")</f>
        <v>FIP-DOM-ENG-51505-0000000-INA-000000</v>
      </c>
      <c r="P958" s="6" t="str">
        <f>IFERROR(__xludf.DUMMYFUNCTION("""COMPUTED_VALUE"""),"PO Closed")</f>
        <v>PO Closed</v>
      </c>
      <c r="Q958" s="6" t="str">
        <f>IFERROR(__xludf.DUMMYFUNCTION("""COMPUTED_VALUE"""),"GL1907073")</f>
        <v>GL1907073</v>
      </c>
      <c r="R958" s="57">
        <f>IFERROR(__xludf.DUMMYFUNCTION("""COMPUTED_VALUE"""),43668.0)</f>
        <v>43668</v>
      </c>
      <c r="S958" s="6" t="str">
        <f>IFERROR(__xludf.DUMMYFUNCTION("""COMPUTED_VALUE"""),"-")</f>
        <v>-</v>
      </c>
      <c r="T958" s="57">
        <f>IFERROR(__xludf.DUMMYFUNCTION("""COMPUTED_VALUE"""),43700.0)</f>
        <v>43700</v>
      </c>
    </row>
    <row r="959">
      <c r="A959" s="6" t="str">
        <f>IFERROR(__xludf.DUMMYFUNCTION("""COMPUTED_VALUE"""),"191750295-1")</f>
        <v>191750295-1</v>
      </c>
      <c r="B959" s="6" t="str">
        <f>IFERROR(__xludf.DUMMYFUNCTION("""COMPUTED_VALUE"""),"191750295 - Approved")</f>
        <v>191750295 - Approved</v>
      </c>
      <c r="C959" s="6">
        <f>IFERROR(__xludf.DUMMYFUNCTION("""COMPUTED_VALUE"""),1.0)</f>
        <v>1</v>
      </c>
      <c r="D959" s="6" t="str">
        <f>IFERROR(__xludf.DUMMYFUNCTION("""COMPUTED_VALUE"""),"T-20002-00")</f>
        <v>T-20002-00</v>
      </c>
      <c r="E959" s="6" t="str">
        <f>IFERROR(__xludf.DUMMYFUNCTION("""COMPUTED_VALUE"""),"Service Agilent HPLC 3 Alliance e2695")</f>
        <v>Service Agilent HPLC 3 Alliance e2695</v>
      </c>
      <c r="F959" s="6">
        <f>IFERROR(__xludf.DUMMYFUNCTION("""COMPUTED_VALUE"""),1.0)</f>
        <v>1</v>
      </c>
      <c r="G959" s="6" t="str">
        <f>IFERROR(__xludf.DUMMYFUNCTION("""COMPUTED_VALUE"""),"Pieces")</f>
        <v>Pieces</v>
      </c>
      <c r="H959" s="6" t="str">
        <f>IFERROR(__xludf.DUMMYFUNCTION("""COMPUTED_VALUE"""),"IDR")</f>
        <v>IDR</v>
      </c>
      <c r="I959" s="6">
        <f>IFERROR(__xludf.DUMMYFUNCTION("""COMPUTED_VALUE"""),1550000.0)</f>
        <v>1550000</v>
      </c>
      <c r="J959" s="6">
        <f>IFERROR(__xludf.DUMMYFUNCTION("""COMPUTED_VALUE"""),1550000.0)</f>
        <v>1550000</v>
      </c>
      <c r="K959" s="57">
        <f>IFERROR(__xludf.DUMMYFUNCTION("""COMPUTED_VALUE"""),43700.0)</f>
        <v>43700</v>
      </c>
      <c r="L959" s="6" t="str">
        <f>IFERROR(__xludf.DUMMYFUNCTION("""COMPUTED_VALUE"""),"FIP General")</f>
        <v>FIP General</v>
      </c>
      <c r="M959" s="6" t="str">
        <f>IFERROR(__xludf.DUMMYFUNCTION("""COMPUTED_VALUE"""),"Irwan Sopian")</f>
        <v>Irwan Sopian</v>
      </c>
      <c r="N959" s="6" t="str">
        <f>IFERROR(__xludf.DUMMYFUNCTION("""COMPUTED_VALUE"""),"FIP Engineering")</f>
        <v>FIP Engineering</v>
      </c>
      <c r="O959" s="6" t="str">
        <f>IFERROR(__xludf.DUMMYFUNCTION("""COMPUTED_VALUE"""),"FIP-DOM-ENG-51505-0000000-INA-000000")</f>
        <v>FIP-DOM-ENG-51505-0000000-INA-000000</v>
      </c>
      <c r="P959" s="6" t="str">
        <f>IFERROR(__xludf.DUMMYFUNCTION("""COMPUTED_VALUE"""),"PO Closed")</f>
        <v>PO Closed</v>
      </c>
      <c r="Q959" s="6" t="str">
        <f>IFERROR(__xludf.DUMMYFUNCTION("""COMPUTED_VALUE"""),"GL1907073")</f>
        <v>GL1907073</v>
      </c>
      <c r="R959" s="57">
        <f>IFERROR(__xludf.DUMMYFUNCTION("""COMPUTED_VALUE"""),43668.0)</f>
        <v>43668</v>
      </c>
      <c r="S959" s="6" t="str">
        <f>IFERROR(__xludf.DUMMYFUNCTION("""COMPUTED_VALUE"""),"-")</f>
        <v>-</v>
      </c>
      <c r="T959" s="57">
        <f>IFERROR(__xludf.DUMMYFUNCTION("""COMPUTED_VALUE"""),43700.0)</f>
        <v>43700</v>
      </c>
    </row>
    <row r="960">
      <c r="A960" s="6" t="str">
        <f>IFERROR(__xludf.DUMMYFUNCTION("""COMPUTED_VALUE"""),"191750293-2")</f>
        <v>191750293-2</v>
      </c>
      <c r="B960" s="6" t="str">
        <f>IFERROR(__xludf.DUMMYFUNCTION("""COMPUTED_VALUE"""),"191750293 - Approved")</f>
        <v>191750293 - Approved</v>
      </c>
      <c r="C960" s="6">
        <f>IFERROR(__xludf.DUMMYFUNCTION("""COMPUTED_VALUE"""),2.0)</f>
        <v>2</v>
      </c>
      <c r="D960" s="6" t="str">
        <f>IFERROR(__xludf.DUMMYFUNCTION("""COMPUTED_VALUE"""),"S-60002-00")</f>
        <v>S-60002-00</v>
      </c>
      <c r="E960" s="6" t="str">
        <f>IFERROR(__xludf.DUMMYFUNCTION("""COMPUTED_VALUE"""),"Service Pompa DAB Evoplus 80/180 mesin cRABS")</f>
        <v>Service Pompa DAB Evoplus 80/180 mesin cRABS</v>
      </c>
      <c r="F960" s="6">
        <f>IFERROR(__xludf.DUMMYFUNCTION("""COMPUTED_VALUE"""),1.0)</f>
        <v>1</v>
      </c>
      <c r="G960" s="6" t="str">
        <f>IFERROR(__xludf.DUMMYFUNCTION("""COMPUTED_VALUE"""),"Lot")</f>
        <v>Lot</v>
      </c>
      <c r="H960" s="6" t="str">
        <f>IFERROR(__xludf.DUMMYFUNCTION("""COMPUTED_VALUE"""),"IDR")</f>
        <v>IDR</v>
      </c>
      <c r="I960" s="6">
        <f>IFERROR(__xludf.DUMMYFUNCTION("""COMPUTED_VALUE"""),3100000.0)</f>
        <v>3100000</v>
      </c>
      <c r="J960" s="6">
        <f>IFERROR(__xludf.DUMMYFUNCTION("""COMPUTED_VALUE"""),3100000.0)</f>
        <v>3100000</v>
      </c>
      <c r="K960" s="57">
        <f>IFERROR(__xludf.DUMMYFUNCTION("""COMPUTED_VALUE"""),43700.0)</f>
        <v>43700</v>
      </c>
      <c r="L960" s="6" t="str">
        <f>IFERROR(__xludf.DUMMYFUNCTION("""COMPUTED_VALUE"""),"FIP General")</f>
        <v>FIP General</v>
      </c>
      <c r="M960" s="6" t="str">
        <f>IFERROR(__xludf.DUMMYFUNCTION("""COMPUTED_VALUE"""),"Irwan Sopian")</f>
        <v>Irwan Sopian</v>
      </c>
      <c r="N960" s="6" t="str">
        <f>IFERROR(__xludf.DUMMYFUNCTION("""COMPUTED_VALUE"""),"FIP Engineering")</f>
        <v>FIP Engineering</v>
      </c>
      <c r="O960" s="6" t="str">
        <f>IFERROR(__xludf.DUMMYFUNCTION("""COMPUTED_VALUE"""),"FIP-DOM-ENG-51508-0000000-INA-000000")</f>
        <v>FIP-DOM-ENG-51508-0000000-INA-000000</v>
      </c>
      <c r="P960" s="6" t="str">
        <f>IFERROR(__xludf.DUMMYFUNCTION("""COMPUTED_VALUE"""),"PO Closed")</f>
        <v>PO Closed</v>
      </c>
      <c r="Q960" s="6" t="str">
        <f>IFERROR(__xludf.DUMMYFUNCTION("""COMPUTED_VALUE"""),"GL1908016")</f>
        <v>GL1908016</v>
      </c>
      <c r="R960" s="57">
        <f>IFERROR(__xludf.DUMMYFUNCTION("""COMPUTED_VALUE"""),43668.0)</f>
        <v>43668</v>
      </c>
      <c r="S960" s="6" t="str">
        <f>IFERROR(__xludf.DUMMYFUNCTION("""COMPUTED_VALUE"""),"-")</f>
        <v>-</v>
      </c>
      <c r="T960" s="57">
        <f>IFERROR(__xludf.DUMMYFUNCTION("""COMPUTED_VALUE"""),43707.0)</f>
        <v>43707</v>
      </c>
    </row>
    <row r="961">
      <c r="A961" s="6" t="str">
        <f>IFERROR(__xludf.DUMMYFUNCTION("""COMPUTED_VALUE"""),"191750298-2")</f>
        <v>191750298-2</v>
      </c>
      <c r="B961" s="6" t="str">
        <f>IFERROR(__xludf.DUMMYFUNCTION("""COMPUTED_VALUE"""),"191750298 - Approved")</f>
        <v>191750298 - Approved</v>
      </c>
      <c r="C961" s="6">
        <f>IFERROR(__xludf.DUMMYFUNCTION("""COMPUTED_VALUE"""),2.0)</f>
        <v>2</v>
      </c>
      <c r="D961" s="6" t="str">
        <f>IFERROR(__xludf.DUMMYFUNCTION("""COMPUTED_VALUE"""),"R-20002-00")</f>
        <v>R-20002-00</v>
      </c>
      <c r="E961" s="6" t="str">
        <f>IFERROR(__xludf.DUMMYFUNCTION("""COMPUTED_VALUE"""),"Manhole SS-304 Dia-620mm")</f>
        <v>Manhole SS-304 Dia-620mm</v>
      </c>
      <c r="F961" s="6">
        <f>IFERROR(__xludf.DUMMYFUNCTION("""COMPUTED_VALUE"""),1.0)</f>
        <v>1</v>
      </c>
      <c r="G961" s="6" t="str">
        <f>IFERROR(__xludf.DUMMYFUNCTION("""COMPUTED_VALUE"""),"Unit")</f>
        <v>Unit</v>
      </c>
      <c r="H961" s="6" t="str">
        <f>IFERROR(__xludf.DUMMYFUNCTION("""COMPUTED_VALUE"""),"IDR")</f>
        <v>IDR</v>
      </c>
      <c r="I961" s="6">
        <f>IFERROR(__xludf.DUMMYFUNCTION("""COMPUTED_VALUE"""),3950000.0)</f>
        <v>3950000</v>
      </c>
      <c r="J961" s="6">
        <f>IFERROR(__xludf.DUMMYFUNCTION("""COMPUTED_VALUE"""),3950000.0)</f>
        <v>3950000</v>
      </c>
      <c r="K961" s="57">
        <f>IFERROR(__xludf.DUMMYFUNCTION("""COMPUTED_VALUE"""),43707.0)</f>
        <v>43707</v>
      </c>
      <c r="L961" s="6" t="str">
        <f>IFERROR(__xludf.DUMMYFUNCTION("""COMPUTED_VALUE"""),"FIP General")</f>
        <v>FIP General</v>
      </c>
      <c r="M961" s="6" t="str">
        <f>IFERROR(__xludf.DUMMYFUNCTION("""COMPUTED_VALUE"""),"Ronald Effendi")</f>
        <v>Ronald Effendi</v>
      </c>
      <c r="N961" s="6" t="str">
        <f>IFERROR(__xludf.DUMMYFUNCTION("""COMPUTED_VALUE"""),"FIP Engineering")</f>
        <v>FIP Engineering</v>
      </c>
      <c r="O961" s="6" t="str">
        <f>IFERROR(__xludf.DUMMYFUNCTION("""COMPUTED_VALUE"""),"FIP-DOM-ENG-13405-EQNB194-INA-000000")</f>
        <v>FIP-DOM-ENG-13405-EQNB194-INA-000000</v>
      </c>
      <c r="P961" s="6" t="str">
        <f>IFERROR(__xludf.DUMMYFUNCTION("""COMPUTED_VALUE"""),"PO Closed")</f>
        <v>PO Closed</v>
      </c>
      <c r="Q961" s="6" t="str">
        <f>IFERROR(__xludf.DUMMYFUNCTION("""COMPUTED_VALUE"""),"GL1908047")</f>
        <v>GL1908047</v>
      </c>
      <c r="R961" s="57">
        <f>IFERROR(__xludf.DUMMYFUNCTION("""COMPUTED_VALUE"""),43669.0)</f>
        <v>43669</v>
      </c>
      <c r="S961" s="6" t="str">
        <f>IFERROR(__xludf.DUMMYFUNCTION("""COMPUTED_VALUE"""),"-")</f>
        <v>-</v>
      </c>
      <c r="T961" s="6" t="str">
        <f>IFERROR(__xludf.DUMMYFUNCTION("""COMPUTED_VALUE"""),"-")</f>
        <v>-</v>
      </c>
    </row>
    <row r="962">
      <c r="A962" s="6" t="str">
        <f>IFERROR(__xludf.DUMMYFUNCTION("""COMPUTED_VALUE"""),"191750300-1")</f>
        <v>191750300-1</v>
      </c>
      <c r="B962" s="6" t="str">
        <f>IFERROR(__xludf.DUMMYFUNCTION("""COMPUTED_VALUE"""),"191750300 - Approved")</f>
        <v>191750300 - Approved</v>
      </c>
      <c r="C962" s="6">
        <f>IFERROR(__xludf.DUMMYFUNCTION("""COMPUTED_VALUE"""),1.0)</f>
        <v>1</v>
      </c>
      <c r="D962" s="6" t="str">
        <f>IFERROR(__xludf.DUMMYFUNCTION("""COMPUTED_VALUE"""),"O-11149-00")</f>
        <v>O-11149-00</v>
      </c>
      <c r="E962" s="6" t="str">
        <f>IFERROR(__xludf.DUMMYFUNCTION("""COMPUTED_VALUE"""),"Bearing 6202 ZZ")</f>
        <v>Bearing 6202 ZZ</v>
      </c>
      <c r="F962" s="6">
        <f>IFERROR(__xludf.DUMMYFUNCTION("""COMPUTED_VALUE"""),5.0)</f>
        <v>5</v>
      </c>
      <c r="G962" s="6" t="str">
        <f>IFERROR(__xludf.DUMMYFUNCTION("""COMPUTED_VALUE"""),"Pieces")</f>
        <v>Pieces</v>
      </c>
      <c r="H962" s="6" t="str">
        <f>IFERROR(__xludf.DUMMYFUNCTION("""COMPUTED_VALUE"""),"IDR")</f>
        <v>IDR</v>
      </c>
      <c r="I962" s="6">
        <f>IFERROR(__xludf.DUMMYFUNCTION("""COMPUTED_VALUE"""),25000.0)</f>
        <v>25000</v>
      </c>
      <c r="J962" s="6">
        <f>IFERROR(__xludf.DUMMYFUNCTION("""COMPUTED_VALUE"""),125000.0)</f>
        <v>125000</v>
      </c>
      <c r="K962" s="57">
        <f>IFERROR(__xludf.DUMMYFUNCTION("""COMPUTED_VALUE"""),43700.0)</f>
        <v>43700</v>
      </c>
      <c r="L962" s="6" t="str">
        <f>IFERROR(__xludf.DUMMYFUNCTION("""COMPUTED_VALUE"""),"FIP Engineering")</f>
        <v>FIP Engineering</v>
      </c>
      <c r="M962" s="6" t="str">
        <f>IFERROR(__xludf.DUMMYFUNCTION("""COMPUTED_VALUE"""),"Irwan Sopian")</f>
        <v>Irwan Sopian</v>
      </c>
      <c r="N962" s="6" t="str">
        <f>IFERROR(__xludf.DUMMYFUNCTION("""COMPUTED_VALUE"""),"FIP Engineering")</f>
        <v>FIP Engineering</v>
      </c>
      <c r="O962" s="6" t="str">
        <f>IFERROR(__xludf.DUMMYFUNCTION("""COMPUTED_VALUE"""),"FIP-DOM-000-11304-OS00001-INA-000000")</f>
        <v>FIP-DOM-000-11304-OS00001-INA-000000</v>
      </c>
      <c r="P962" s="6" t="str">
        <f>IFERROR(__xludf.DUMMYFUNCTION("""COMPUTED_VALUE"""),"PO Closed")</f>
        <v>PO Closed</v>
      </c>
      <c r="Q962" s="6" t="str">
        <f>IFERROR(__xludf.DUMMYFUNCTION("""COMPUTED_VALUE"""),"GL1907067")</f>
        <v>GL1907067</v>
      </c>
      <c r="R962" s="57">
        <f>IFERROR(__xludf.DUMMYFUNCTION("""COMPUTED_VALUE"""),43671.0)</f>
        <v>43671</v>
      </c>
      <c r="S962" s="6" t="str">
        <f>IFERROR(__xludf.DUMMYFUNCTION("""COMPUTED_VALUE"""),"-")</f>
        <v>-</v>
      </c>
      <c r="T962" s="57">
        <f>IFERROR(__xludf.DUMMYFUNCTION("""COMPUTED_VALUE"""),43682.0)</f>
        <v>43682</v>
      </c>
    </row>
    <row r="963">
      <c r="A963" s="6" t="str">
        <f>IFERROR(__xludf.DUMMYFUNCTION("""COMPUTED_VALUE"""),"191750300-2")</f>
        <v>191750300-2</v>
      </c>
      <c r="B963" s="6" t="str">
        <f>IFERROR(__xludf.DUMMYFUNCTION("""COMPUTED_VALUE"""),"191750300 - Approved")</f>
        <v>191750300 - Approved</v>
      </c>
      <c r="C963" s="6">
        <f>IFERROR(__xludf.DUMMYFUNCTION("""COMPUTED_VALUE"""),2.0)</f>
        <v>2</v>
      </c>
      <c r="D963" s="6" t="str">
        <f>IFERROR(__xludf.DUMMYFUNCTION("""COMPUTED_VALUE"""),"O-11145-00")</f>
        <v>O-11145-00</v>
      </c>
      <c r="E963" s="6" t="str">
        <f>IFERROR(__xludf.DUMMYFUNCTION("""COMPUTED_VALUE"""),"Bearing 6201 2Z")</f>
        <v>Bearing 6201 2Z</v>
      </c>
      <c r="F963" s="6">
        <f>IFERROR(__xludf.DUMMYFUNCTION("""COMPUTED_VALUE"""),5.0)</f>
        <v>5</v>
      </c>
      <c r="G963" s="6" t="str">
        <f>IFERROR(__xludf.DUMMYFUNCTION("""COMPUTED_VALUE"""),"Pieces")</f>
        <v>Pieces</v>
      </c>
      <c r="H963" s="6" t="str">
        <f>IFERROR(__xludf.DUMMYFUNCTION("""COMPUTED_VALUE"""),"IDR")</f>
        <v>IDR</v>
      </c>
      <c r="I963" s="6">
        <f>IFERROR(__xludf.DUMMYFUNCTION("""COMPUTED_VALUE"""),23500.0)</f>
        <v>23500</v>
      </c>
      <c r="J963" s="6">
        <f>IFERROR(__xludf.DUMMYFUNCTION("""COMPUTED_VALUE"""),117500.0)</f>
        <v>117500</v>
      </c>
      <c r="K963" s="57">
        <f>IFERROR(__xludf.DUMMYFUNCTION("""COMPUTED_VALUE"""),43700.0)</f>
        <v>43700</v>
      </c>
      <c r="L963" s="6" t="str">
        <f>IFERROR(__xludf.DUMMYFUNCTION("""COMPUTED_VALUE"""),"FIP Engineering")</f>
        <v>FIP Engineering</v>
      </c>
      <c r="M963" s="6" t="str">
        <f>IFERROR(__xludf.DUMMYFUNCTION("""COMPUTED_VALUE"""),"Irwan Sopian")</f>
        <v>Irwan Sopian</v>
      </c>
      <c r="N963" s="6" t="str">
        <f>IFERROR(__xludf.DUMMYFUNCTION("""COMPUTED_VALUE"""),"FIP Engineering")</f>
        <v>FIP Engineering</v>
      </c>
      <c r="O963" s="6" t="str">
        <f>IFERROR(__xludf.DUMMYFUNCTION("""COMPUTED_VALUE"""),"FIP-DOM-000-11304-OS00001-INA-000000")</f>
        <v>FIP-DOM-000-11304-OS00001-INA-000000</v>
      </c>
      <c r="P963" s="6" t="str">
        <f>IFERROR(__xludf.DUMMYFUNCTION("""COMPUTED_VALUE"""),"PO Closed")</f>
        <v>PO Closed</v>
      </c>
      <c r="Q963" s="6" t="str">
        <f>IFERROR(__xludf.DUMMYFUNCTION("""COMPUTED_VALUE"""),"GL1907067")</f>
        <v>GL1907067</v>
      </c>
      <c r="R963" s="57">
        <f>IFERROR(__xludf.DUMMYFUNCTION("""COMPUTED_VALUE"""),43671.0)</f>
        <v>43671</v>
      </c>
      <c r="S963" s="6" t="str">
        <f>IFERROR(__xludf.DUMMYFUNCTION("""COMPUTED_VALUE"""),"-")</f>
        <v>-</v>
      </c>
      <c r="T963" s="57">
        <f>IFERROR(__xludf.DUMMYFUNCTION("""COMPUTED_VALUE"""),43682.0)</f>
        <v>43682</v>
      </c>
    </row>
    <row r="964">
      <c r="A964" s="6" t="str">
        <f>IFERROR(__xludf.DUMMYFUNCTION("""COMPUTED_VALUE"""),"191750304-1")</f>
        <v>191750304-1</v>
      </c>
      <c r="B964" s="6" t="str">
        <f>IFERROR(__xludf.DUMMYFUNCTION("""COMPUTED_VALUE"""),"191750304 - Approved")</f>
        <v>191750304 - Approved</v>
      </c>
      <c r="C964" s="6">
        <f>IFERROR(__xludf.DUMMYFUNCTION("""COMPUTED_VALUE"""),1.0)</f>
        <v>1</v>
      </c>
      <c r="D964" s="6" t="str">
        <f>IFERROR(__xludf.DUMMYFUNCTION("""COMPUTED_VALUE"""),"T-20457-00")</f>
        <v>T-20457-00</v>
      </c>
      <c r="E964" s="6" t="str">
        <f>IFERROR(__xludf.DUMMYFUNCTION("""COMPUTED_VALUE"""),"Piston Rod TI p/n: 51107594 Mettler Toldeo")</f>
        <v>Piston Rod TI p/n: 51107594 Mettler Toldeo</v>
      </c>
      <c r="F964" s="6">
        <f>IFERROR(__xludf.DUMMYFUNCTION("""COMPUTED_VALUE"""),1.0)</f>
        <v>1</v>
      </c>
      <c r="G964" s="6" t="str">
        <f>IFERROR(__xludf.DUMMYFUNCTION("""COMPUTED_VALUE"""),"Pieces")</f>
        <v>Pieces</v>
      </c>
      <c r="H964" s="6" t="str">
        <f>IFERROR(__xludf.DUMMYFUNCTION("""COMPUTED_VALUE"""),"IDR")</f>
        <v>IDR</v>
      </c>
      <c r="I964" s="6">
        <f>IFERROR(__xludf.DUMMYFUNCTION("""COMPUTED_VALUE"""),5419750.0)</f>
        <v>5419750</v>
      </c>
      <c r="J964" s="6">
        <f>IFERROR(__xludf.DUMMYFUNCTION("""COMPUTED_VALUE"""),5419750.0)</f>
        <v>5419750</v>
      </c>
      <c r="K964" s="57">
        <f>IFERROR(__xludf.DUMMYFUNCTION("""COMPUTED_VALUE"""),43707.0)</f>
        <v>43707</v>
      </c>
      <c r="L964" s="6" t="str">
        <f>IFERROR(__xludf.DUMMYFUNCTION("""COMPUTED_VALUE"""),"FIP General")</f>
        <v>FIP General</v>
      </c>
      <c r="M964" s="6" t="str">
        <f>IFERROR(__xludf.DUMMYFUNCTION("""COMPUTED_VALUE"""),"Irwan Sopian")</f>
        <v>Irwan Sopian</v>
      </c>
      <c r="N964" s="6" t="str">
        <f>IFERROR(__xludf.DUMMYFUNCTION("""COMPUTED_VALUE"""),"FIP Engineering")</f>
        <v>FIP Engineering</v>
      </c>
      <c r="O964" s="6" t="str">
        <f>IFERROR(__xludf.DUMMYFUNCTION("""COMPUTED_VALUE"""),"FIP-DOM-ENG-51505-0000000-INA-000000")</f>
        <v>FIP-DOM-ENG-51505-0000000-INA-000000</v>
      </c>
      <c r="P964" s="6" t="str">
        <f>IFERROR(__xludf.DUMMYFUNCTION("""COMPUTED_VALUE"""),"PO Closed")</f>
        <v>PO Closed</v>
      </c>
      <c r="Q964" s="6" t="str">
        <f>IFERROR(__xludf.DUMMYFUNCTION("""COMPUTED_VALUE"""),"GL1907078")</f>
        <v>GL1907078</v>
      </c>
      <c r="R964" s="57">
        <f>IFERROR(__xludf.DUMMYFUNCTION("""COMPUTED_VALUE"""),43672.0)</f>
        <v>43672</v>
      </c>
      <c r="S964" s="6" t="str">
        <f>IFERROR(__xludf.DUMMYFUNCTION("""COMPUTED_VALUE"""),"-")</f>
        <v>-</v>
      </c>
      <c r="T964" s="57">
        <f>IFERROR(__xludf.DUMMYFUNCTION("""COMPUTED_VALUE"""),43693.0)</f>
        <v>43693</v>
      </c>
    </row>
    <row r="965">
      <c r="A965" s="6" t="str">
        <f>IFERROR(__xludf.DUMMYFUNCTION("""COMPUTED_VALUE"""),"191750304-2")</f>
        <v>191750304-2</v>
      </c>
      <c r="B965" s="6" t="str">
        <f>IFERROR(__xludf.DUMMYFUNCTION("""COMPUTED_VALUE"""),"191750304 - Approved")</f>
        <v>191750304 - Approved</v>
      </c>
      <c r="C965" s="6">
        <f>IFERROR(__xludf.DUMMYFUNCTION("""COMPUTED_VALUE"""),2.0)</f>
        <v>2</v>
      </c>
      <c r="D965" s="6" t="str">
        <f>IFERROR(__xludf.DUMMYFUNCTION("""COMPUTED_VALUE"""),"T-20002-00")</f>
        <v>T-20002-00</v>
      </c>
      <c r="E965" s="6" t="str">
        <f>IFERROR(__xludf.DUMMYFUNCTION("""COMPUTED_VALUE"""),"Service Labour Rate (1/2) day")</f>
        <v>Service Labour Rate (1/2) day</v>
      </c>
      <c r="F965" s="6">
        <f>IFERROR(__xludf.DUMMYFUNCTION("""COMPUTED_VALUE"""),1.0)</f>
        <v>1</v>
      </c>
      <c r="G965" s="6" t="str">
        <f>IFERROR(__xludf.DUMMYFUNCTION("""COMPUTED_VALUE"""),"Pieces")</f>
        <v>Pieces</v>
      </c>
      <c r="H965" s="6" t="str">
        <f>IFERROR(__xludf.DUMMYFUNCTION("""COMPUTED_VALUE"""),"IDR")</f>
        <v>IDR</v>
      </c>
      <c r="I965" s="6">
        <f>IFERROR(__xludf.DUMMYFUNCTION("""COMPUTED_VALUE"""),4000000.0)</f>
        <v>4000000</v>
      </c>
      <c r="J965" s="6">
        <f>IFERROR(__xludf.DUMMYFUNCTION("""COMPUTED_VALUE"""),4000000.0)</f>
        <v>4000000</v>
      </c>
      <c r="K965" s="57">
        <f>IFERROR(__xludf.DUMMYFUNCTION("""COMPUTED_VALUE"""),43707.0)</f>
        <v>43707</v>
      </c>
      <c r="L965" s="6" t="str">
        <f>IFERROR(__xludf.DUMMYFUNCTION("""COMPUTED_VALUE"""),"FIP General")</f>
        <v>FIP General</v>
      </c>
      <c r="M965" s="6" t="str">
        <f>IFERROR(__xludf.DUMMYFUNCTION("""COMPUTED_VALUE"""),"Irwan Sopian")</f>
        <v>Irwan Sopian</v>
      </c>
      <c r="N965" s="6" t="str">
        <f>IFERROR(__xludf.DUMMYFUNCTION("""COMPUTED_VALUE"""),"FIP Engineering")</f>
        <v>FIP Engineering</v>
      </c>
      <c r="O965" s="6" t="str">
        <f>IFERROR(__xludf.DUMMYFUNCTION("""COMPUTED_VALUE"""),"FIP-DOM-ENG-51505-0000000-INA-000000")</f>
        <v>FIP-DOM-ENG-51505-0000000-INA-000000</v>
      </c>
      <c r="P965" s="6" t="str">
        <f>IFERROR(__xludf.DUMMYFUNCTION("""COMPUTED_VALUE"""),"PO Closed")</f>
        <v>PO Closed</v>
      </c>
      <c r="Q965" s="6" t="str">
        <f>IFERROR(__xludf.DUMMYFUNCTION("""COMPUTED_VALUE"""),"GL1907078")</f>
        <v>GL1907078</v>
      </c>
      <c r="R965" s="57">
        <f>IFERROR(__xludf.DUMMYFUNCTION("""COMPUTED_VALUE"""),43672.0)</f>
        <v>43672</v>
      </c>
      <c r="S965" s="6" t="str">
        <f>IFERROR(__xludf.DUMMYFUNCTION("""COMPUTED_VALUE"""),"-")</f>
        <v>-</v>
      </c>
      <c r="T965" s="57">
        <f>IFERROR(__xludf.DUMMYFUNCTION("""COMPUTED_VALUE"""),43693.0)</f>
        <v>43693</v>
      </c>
    </row>
    <row r="966">
      <c r="A966" s="6" t="str">
        <f>IFERROR(__xludf.DUMMYFUNCTION("""COMPUTED_VALUE"""),"191750302-1")</f>
        <v>191750302-1</v>
      </c>
      <c r="B966" s="6" t="str">
        <f>IFERROR(__xludf.DUMMYFUNCTION("""COMPUTED_VALUE"""),"191750302 - Approved")</f>
        <v>191750302 - Approved</v>
      </c>
      <c r="C966" s="6">
        <f>IFERROR(__xludf.DUMMYFUNCTION("""COMPUTED_VALUE"""),1.0)</f>
        <v>1</v>
      </c>
      <c r="D966" s="6" t="str">
        <f>IFERROR(__xludf.DUMMYFUNCTION("""COMPUTED_VALUE"""),"Q-10282-00")</f>
        <v>Q-10282-00</v>
      </c>
      <c r="E966" s="6" t="str">
        <f>IFERROR(__xludf.DUMMYFUNCTION("""COMPUTED_VALUE"""),"Semen MU Perekat Bata Ringan Mortar Utama 1zak")</f>
        <v>Semen MU Perekat Bata Ringan Mortar Utama 1zak</v>
      </c>
      <c r="F966" s="6">
        <f>IFERROR(__xludf.DUMMYFUNCTION("""COMPUTED_VALUE"""),1.0)</f>
        <v>1</v>
      </c>
      <c r="G966" s="6" t="str">
        <f>IFERROR(__xludf.DUMMYFUNCTION("""COMPUTED_VALUE"""),"Pack")</f>
        <v>Pack</v>
      </c>
      <c r="H966" s="6" t="str">
        <f>IFERROR(__xludf.DUMMYFUNCTION("""COMPUTED_VALUE"""),"IDR")</f>
        <v>IDR</v>
      </c>
      <c r="I966" s="6">
        <f>IFERROR(__xludf.DUMMYFUNCTION("""COMPUTED_VALUE"""),250000.0)</f>
        <v>250000</v>
      </c>
      <c r="J966" s="6">
        <f>IFERROR(__xludf.DUMMYFUNCTION("""COMPUTED_VALUE"""),250000.0)</f>
        <v>250000</v>
      </c>
      <c r="K966" s="57">
        <f>IFERROR(__xludf.DUMMYFUNCTION("""COMPUTED_VALUE"""),43700.0)</f>
        <v>43700</v>
      </c>
      <c r="L966" s="6" t="str">
        <f>IFERROR(__xludf.DUMMYFUNCTION("""COMPUTED_VALUE"""),"FIP Engineering")</f>
        <v>FIP Engineering</v>
      </c>
      <c r="M966" s="6" t="str">
        <f>IFERROR(__xludf.DUMMYFUNCTION("""COMPUTED_VALUE"""),"Irwan Sopian")</f>
        <v>Irwan Sopian</v>
      </c>
      <c r="N966" s="6" t="str">
        <f>IFERROR(__xludf.DUMMYFUNCTION("""COMPUTED_VALUE"""),"FIP Engineering")</f>
        <v>FIP Engineering</v>
      </c>
      <c r="O966" s="6" t="str">
        <f>IFERROR(__xludf.DUMMYFUNCTION("""COMPUTED_VALUE"""),"FIP-DOM-000-11304-OS00001-INA-000000")</f>
        <v>FIP-DOM-000-11304-OS00001-INA-000000</v>
      </c>
      <c r="P966" s="6" t="str">
        <f>IFERROR(__xludf.DUMMYFUNCTION("""COMPUTED_VALUE"""),"PO Closed")</f>
        <v>PO Closed</v>
      </c>
      <c r="Q966" s="6" t="str">
        <f>IFERROR(__xludf.DUMMYFUNCTION("""COMPUTED_VALUE"""),"GL1908059")</f>
        <v>GL1908059</v>
      </c>
      <c r="R966" s="57">
        <f>IFERROR(__xludf.DUMMYFUNCTION("""COMPUTED_VALUE"""),43672.0)</f>
        <v>43672</v>
      </c>
      <c r="S966" s="6" t="str">
        <f>IFERROR(__xludf.DUMMYFUNCTION("""COMPUTED_VALUE"""),"-")</f>
        <v>-</v>
      </c>
      <c r="T966" s="6" t="str">
        <f>IFERROR(__xludf.DUMMYFUNCTION("""COMPUTED_VALUE"""),"-")</f>
        <v>-</v>
      </c>
    </row>
    <row r="967">
      <c r="A967" s="6" t="str">
        <f>IFERROR(__xludf.DUMMYFUNCTION("""COMPUTED_VALUE"""),"191750302-2")</f>
        <v>191750302-2</v>
      </c>
      <c r="B967" s="6" t="str">
        <f>IFERROR(__xludf.DUMMYFUNCTION("""COMPUTED_VALUE"""),"191750302 - Approved")</f>
        <v>191750302 - Approved</v>
      </c>
      <c r="C967" s="6">
        <f>IFERROR(__xludf.DUMMYFUNCTION("""COMPUTED_VALUE"""),2.0)</f>
        <v>2</v>
      </c>
      <c r="D967" s="6" t="str">
        <f>IFERROR(__xludf.DUMMYFUNCTION("""COMPUTED_VALUE"""),"Q-10518-00")</f>
        <v>Q-10518-00</v>
      </c>
      <c r="E967" s="6" t="str">
        <f>IFERROR(__xludf.DUMMYFUNCTION("""COMPUTED_VALUE"""),"Dempul")</f>
        <v>Dempul</v>
      </c>
      <c r="F967" s="6">
        <f>IFERROR(__xludf.DUMMYFUNCTION("""COMPUTED_VALUE"""),1.0)</f>
        <v>1</v>
      </c>
      <c r="G967" s="6" t="str">
        <f>IFERROR(__xludf.DUMMYFUNCTION("""COMPUTED_VALUE"""),"Kilogram")</f>
        <v>Kilogram</v>
      </c>
      <c r="H967" s="6" t="str">
        <f>IFERROR(__xludf.DUMMYFUNCTION("""COMPUTED_VALUE"""),"IDR")</f>
        <v>IDR</v>
      </c>
      <c r="I967" s="6">
        <f>IFERROR(__xludf.DUMMYFUNCTION("""COMPUTED_VALUE"""),65000.0)</f>
        <v>65000</v>
      </c>
      <c r="J967" s="6">
        <f>IFERROR(__xludf.DUMMYFUNCTION("""COMPUTED_VALUE"""),65000.0)</f>
        <v>65000</v>
      </c>
      <c r="K967" s="57">
        <f>IFERROR(__xludf.DUMMYFUNCTION("""COMPUTED_VALUE"""),43700.0)</f>
        <v>43700</v>
      </c>
      <c r="L967" s="6" t="str">
        <f>IFERROR(__xludf.DUMMYFUNCTION("""COMPUTED_VALUE"""),"FIP General")</f>
        <v>FIP General</v>
      </c>
      <c r="M967" s="6" t="str">
        <f>IFERROR(__xludf.DUMMYFUNCTION("""COMPUTED_VALUE"""),"Irwan Sopian")</f>
        <v>Irwan Sopian</v>
      </c>
      <c r="N967" s="6" t="str">
        <f>IFERROR(__xludf.DUMMYFUNCTION("""COMPUTED_VALUE"""),"FIP Engineering")</f>
        <v>FIP Engineering</v>
      </c>
      <c r="O967" s="6" t="str">
        <f>IFERROR(__xludf.DUMMYFUNCTION("""COMPUTED_VALUE"""),"FIP-DOM-ENG-51502-0000000-INA-000000")</f>
        <v>FIP-DOM-ENG-51502-0000000-INA-000000</v>
      </c>
      <c r="P967" s="6" t="str">
        <f>IFERROR(__xludf.DUMMYFUNCTION("""COMPUTED_VALUE"""),"PO Closed")</f>
        <v>PO Closed</v>
      </c>
      <c r="Q967" s="6" t="str">
        <f>IFERROR(__xludf.DUMMYFUNCTION("""COMPUTED_VALUE"""),"GL1908059")</f>
        <v>GL1908059</v>
      </c>
      <c r="R967" s="57">
        <f>IFERROR(__xludf.DUMMYFUNCTION("""COMPUTED_VALUE"""),43672.0)</f>
        <v>43672</v>
      </c>
      <c r="S967" s="6" t="str">
        <f>IFERROR(__xludf.DUMMYFUNCTION("""COMPUTED_VALUE"""),"-")</f>
        <v>-</v>
      </c>
      <c r="T967" s="6" t="str">
        <f>IFERROR(__xludf.DUMMYFUNCTION("""COMPUTED_VALUE"""),"-")</f>
        <v>-</v>
      </c>
    </row>
    <row r="968">
      <c r="A968" s="6" t="str">
        <f>IFERROR(__xludf.DUMMYFUNCTION("""COMPUTED_VALUE"""),"191750302-3")</f>
        <v>191750302-3</v>
      </c>
      <c r="B968" s="6" t="str">
        <f>IFERROR(__xludf.DUMMYFUNCTION("""COMPUTED_VALUE"""),"191750302 - Approved")</f>
        <v>191750302 - Approved</v>
      </c>
      <c r="C968" s="6">
        <f>IFERROR(__xludf.DUMMYFUNCTION("""COMPUTED_VALUE"""),3.0)</f>
        <v>3</v>
      </c>
      <c r="D968" s="6" t="str">
        <f>IFERROR(__xludf.DUMMYFUNCTION("""COMPUTED_VALUE"""),"Q-60003-00")</f>
        <v>Q-60003-00</v>
      </c>
      <c r="E968" s="6" t="str">
        <f>IFERROR(__xludf.DUMMYFUNCTION("""COMPUTED_VALUE"""),"Plakband Kertas")</f>
        <v>Plakband Kertas</v>
      </c>
      <c r="F968" s="6">
        <f>IFERROR(__xludf.DUMMYFUNCTION("""COMPUTED_VALUE"""),20.0)</f>
        <v>20</v>
      </c>
      <c r="G968" s="6" t="str">
        <f>IFERROR(__xludf.DUMMYFUNCTION("""COMPUTED_VALUE"""),"Roll")</f>
        <v>Roll</v>
      </c>
      <c r="H968" s="6" t="str">
        <f>IFERROR(__xludf.DUMMYFUNCTION("""COMPUTED_VALUE"""),"IDR")</f>
        <v>IDR</v>
      </c>
      <c r="I968" s="6">
        <f>IFERROR(__xludf.DUMMYFUNCTION("""COMPUTED_VALUE"""),6000.0)</f>
        <v>6000</v>
      </c>
      <c r="J968" s="6">
        <f>IFERROR(__xludf.DUMMYFUNCTION("""COMPUTED_VALUE"""),120000.0)</f>
        <v>120000</v>
      </c>
      <c r="K968" s="57">
        <f>IFERROR(__xludf.DUMMYFUNCTION("""COMPUTED_VALUE"""),43700.0)</f>
        <v>43700</v>
      </c>
      <c r="L968" s="6" t="str">
        <f>IFERROR(__xludf.DUMMYFUNCTION("""COMPUTED_VALUE"""),"FIP Engineering")</f>
        <v>FIP Engineering</v>
      </c>
      <c r="M968" s="6" t="str">
        <f>IFERROR(__xludf.DUMMYFUNCTION("""COMPUTED_VALUE"""),"Irwan Sopian")</f>
        <v>Irwan Sopian</v>
      </c>
      <c r="N968" s="6" t="str">
        <f>IFERROR(__xludf.DUMMYFUNCTION("""COMPUTED_VALUE"""),"FIP Engineering")</f>
        <v>FIP Engineering</v>
      </c>
      <c r="O968" s="6" t="str">
        <f>IFERROR(__xludf.DUMMYFUNCTION("""COMPUTED_VALUE"""),"FIP-DOM-000-11304-OS00001-INA-000000")</f>
        <v>FIP-DOM-000-11304-OS00001-INA-000000</v>
      </c>
      <c r="P968" s="6" t="str">
        <f>IFERROR(__xludf.DUMMYFUNCTION("""COMPUTED_VALUE"""),"PO Closed")</f>
        <v>PO Closed</v>
      </c>
      <c r="Q968" s="6" t="str">
        <f>IFERROR(__xludf.DUMMYFUNCTION("""COMPUTED_VALUE"""),"GL1908060")</f>
        <v>GL1908060</v>
      </c>
      <c r="R968" s="57">
        <f>IFERROR(__xludf.DUMMYFUNCTION("""COMPUTED_VALUE"""),43672.0)</f>
        <v>43672</v>
      </c>
      <c r="S968" s="6" t="str">
        <f>IFERROR(__xludf.DUMMYFUNCTION("""COMPUTED_VALUE"""),"-")</f>
        <v>-</v>
      </c>
      <c r="T968" s="6" t="str">
        <f>IFERROR(__xludf.DUMMYFUNCTION("""COMPUTED_VALUE"""),"-")</f>
        <v>-</v>
      </c>
    </row>
    <row r="969">
      <c r="A969" s="6" t="str">
        <f>IFERROR(__xludf.DUMMYFUNCTION("""COMPUTED_VALUE"""),"191750302-4")</f>
        <v>191750302-4</v>
      </c>
      <c r="B969" s="6" t="str">
        <f>IFERROR(__xludf.DUMMYFUNCTION("""COMPUTED_VALUE"""),"191750302 - Approved")</f>
        <v>191750302 - Approved</v>
      </c>
      <c r="C969" s="6">
        <f>IFERROR(__xludf.DUMMYFUNCTION("""COMPUTED_VALUE"""),4.0)</f>
        <v>4</v>
      </c>
      <c r="D969" s="6" t="str">
        <f>IFERROR(__xludf.DUMMYFUNCTION("""COMPUTED_VALUE"""),"Q-10153-00")</f>
        <v>Q-10153-00</v>
      </c>
      <c r="E969" s="6" t="str">
        <f>IFERROR(__xludf.DUMMYFUNCTION("""COMPUTED_VALUE"""),"Roller cat 110mm")</f>
        <v>Roller cat 110mm</v>
      </c>
      <c r="F969" s="6">
        <f>IFERROR(__xludf.DUMMYFUNCTION("""COMPUTED_VALUE"""),10.0)</f>
        <v>10</v>
      </c>
      <c r="G969" s="6" t="str">
        <f>IFERROR(__xludf.DUMMYFUNCTION("""COMPUTED_VALUE"""),"Pieces")</f>
        <v>Pieces</v>
      </c>
      <c r="H969" s="6" t="str">
        <f>IFERROR(__xludf.DUMMYFUNCTION("""COMPUTED_VALUE"""),"IDR")</f>
        <v>IDR</v>
      </c>
      <c r="I969" s="6">
        <f>IFERROR(__xludf.DUMMYFUNCTION("""COMPUTED_VALUE"""),10000.0)</f>
        <v>10000</v>
      </c>
      <c r="J969" s="6">
        <f>IFERROR(__xludf.DUMMYFUNCTION("""COMPUTED_VALUE"""),100000.0)</f>
        <v>100000</v>
      </c>
      <c r="K969" s="57">
        <f>IFERROR(__xludf.DUMMYFUNCTION("""COMPUTED_VALUE"""),43700.0)</f>
        <v>43700</v>
      </c>
      <c r="L969" s="6" t="str">
        <f>IFERROR(__xludf.DUMMYFUNCTION("""COMPUTED_VALUE"""),"FIP Engineering")</f>
        <v>FIP Engineering</v>
      </c>
      <c r="M969" s="6" t="str">
        <f>IFERROR(__xludf.DUMMYFUNCTION("""COMPUTED_VALUE"""),"Irwan Sopian")</f>
        <v>Irwan Sopian</v>
      </c>
      <c r="N969" s="6" t="str">
        <f>IFERROR(__xludf.DUMMYFUNCTION("""COMPUTED_VALUE"""),"FIP Engineering")</f>
        <v>FIP Engineering</v>
      </c>
      <c r="O969" s="6" t="str">
        <f>IFERROR(__xludf.DUMMYFUNCTION("""COMPUTED_VALUE"""),"FIP-DOM-000-11304-OS00001-INA-000000")</f>
        <v>FIP-DOM-000-11304-OS00001-INA-000000</v>
      </c>
      <c r="P969" s="6" t="str">
        <f>IFERROR(__xludf.DUMMYFUNCTION("""COMPUTED_VALUE"""),"PO Closed")</f>
        <v>PO Closed</v>
      </c>
      <c r="Q969" s="6" t="str">
        <f>IFERROR(__xludf.DUMMYFUNCTION("""COMPUTED_VALUE"""),"GL1908051")</f>
        <v>GL1908051</v>
      </c>
      <c r="R969" s="57">
        <f>IFERROR(__xludf.DUMMYFUNCTION("""COMPUTED_VALUE"""),43672.0)</f>
        <v>43672</v>
      </c>
      <c r="S969" s="6" t="str">
        <f>IFERROR(__xludf.DUMMYFUNCTION("""COMPUTED_VALUE"""),"-")</f>
        <v>-</v>
      </c>
      <c r="T969" s="6" t="str">
        <f>IFERROR(__xludf.DUMMYFUNCTION("""COMPUTED_VALUE"""),"-")</f>
        <v>-</v>
      </c>
    </row>
    <row r="970">
      <c r="A970" s="6" t="str">
        <f>IFERROR(__xludf.DUMMYFUNCTION("""COMPUTED_VALUE"""),"191750302-5")</f>
        <v>191750302-5</v>
      </c>
      <c r="B970" s="6" t="str">
        <f>IFERROR(__xludf.DUMMYFUNCTION("""COMPUTED_VALUE"""),"191750302 - Approved")</f>
        <v>191750302 - Approved</v>
      </c>
      <c r="C970" s="6">
        <f>IFERROR(__xludf.DUMMYFUNCTION("""COMPUTED_VALUE"""),5.0)</f>
        <v>5</v>
      </c>
      <c r="D970" s="6" t="str">
        <f>IFERROR(__xludf.DUMMYFUNCTION("""COMPUTED_VALUE"""),"P-51902-00")</f>
        <v>P-51902-00</v>
      </c>
      <c r="E970" s="6" t="str">
        <f>IFERROR(__xludf.DUMMYFUNCTION("""COMPUTED_VALUE"""),"Saklar AC 13A 3 kaki")</f>
        <v>Saklar AC 13A 3 kaki</v>
      </c>
      <c r="F970" s="6">
        <f>IFERROR(__xludf.DUMMYFUNCTION("""COMPUTED_VALUE"""),1.0)</f>
        <v>1</v>
      </c>
      <c r="G970" s="6" t="str">
        <f>IFERROR(__xludf.DUMMYFUNCTION("""COMPUTED_VALUE"""),"Pieces")</f>
        <v>Pieces</v>
      </c>
      <c r="H970" s="6" t="str">
        <f>IFERROR(__xludf.DUMMYFUNCTION("""COMPUTED_VALUE"""),"IDR")</f>
        <v>IDR</v>
      </c>
      <c r="I970" s="6">
        <f>IFERROR(__xludf.DUMMYFUNCTION("""COMPUTED_VALUE"""),85000.0)</f>
        <v>85000</v>
      </c>
      <c r="J970" s="6">
        <f>IFERROR(__xludf.DUMMYFUNCTION("""COMPUTED_VALUE"""),85000.0)</f>
        <v>85000</v>
      </c>
      <c r="K970" s="57">
        <f>IFERROR(__xludf.DUMMYFUNCTION("""COMPUTED_VALUE"""),43700.0)</f>
        <v>43700</v>
      </c>
      <c r="L970" s="6" t="str">
        <f>IFERROR(__xludf.DUMMYFUNCTION("""COMPUTED_VALUE"""),"FIP Engineering")</f>
        <v>FIP Engineering</v>
      </c>
      <c r="M970" s="6" t="str">
        <f>IFERROR(__xludf.DUMMYFUNCTION("""COMPUTED_VALUE"""),"Irwan Sopian")</f>
        <v>Irwan Sopian</v>
      </c>
      <c r="N970" s="6" t="str">
        <f>IFERROR(__xludf.DUMMYFUNCTION("""COMPUTED_VALUE"""),"FIP Engineering")</f>
        <v>FIP Engineering</v>
      </c>
      <c r="O970" s="6" t="str">
        <f>IFERROR(__xludf.DUMMYFUNCTION("""COMPUTED_VALUE"""),"FIP-DOM-000-11304-OS00001-INA-000000")</f>
        <v>FIP-DOM-000-11304-OS00001-INA-000000</v>
      </c>
      <c r="P970" s="6" t="str">
        <f>IFERROR(__xludf.DUMMYFUNCTION("""COMPUTED_VALUE"""),"PO Closed")</f>
        <v>PO Closed</v>
      </c>
      <c r="Q970" s="6" t="str">
        <f>IFERROR(__xludf.DUMMYFUNCTION("""COMPUTED_VALUE"""),"GL1908051")</f>
        <v>GL1908051</v>
      </c>
      <c r="R970" s="57">
        <f>IFERROR(__xludf.DUMMYFUNCTION("""COMPUTED_VALUE"""),43672.0)</f>
        <v>43672</v>
      </c>
      <c r="S970" s="6" t="str">
        <f>IFERROR(__xludf.DUMMYFUNCTION("""COMPUTED_VALUE"""),"-")</f>
        <v>-</v>
      </c>
      <c r="T970" s="6" t="str">
        <f>IFERROR(__xludf.DUMMYFUNCTION("""COMPUTED_VALUE"""),"-")</f>
        <v>-</v>
      </c>
    </row>
    <row r="971">
      <c r="A971" s="6" t="str">
        <f>IFERROR(__xludf.DUMMYFUNCTION("""COMPUTED_VALUE"""),"191750306-1")</f>
        <v>191750306-1</v>
      </c>
      <c r="B971" s="6" t="str">
        <f>IFERROR(__xludf.DUMMYFUNCTION("""COMPUTED_VALUE"""),"191750306 - Approved")</f>
        <v>191750306 - Approved</v>
      </c>
      <c r="C971" s="6">
        <f>IFERROR(__xludf.DUMMYFUNCTION("""COMPUTED_VALUE"""),1.0)</f>
        <v>1</v>
      </c>
      <c r="D971" s="6" t="str">
        <f>IFERROR(__xludf.DUMMYFUNCTION("""COMPUTED_VALUE"""),"O-52207-00")</f>
        <v>O-52207-00</v>
      </c>
      <c r="E971" s="6" t="str">
        <f>IFERROR(__xludf.DUMMYFUNCTION("""COMPUTED_VALUE"""),"Filling VFM100 - Laser Photoelectric Sensor Head LV-S62 Keyence")</f>
        <v>Filling VFM100 - Laser Photoelectric Sensor Head LV-S62 Keyence</v>
      </c>
      <c r="F971" s="6">
        <f>IFERROR(__xludf.DUMMYFUNCTION("""COMPUTED_VALUE"""),1.0)</f>
        <v>1</v>
      </c>
      <c r="G971" s="6" t="str">
        <f>IFERROR(__xludf.DUMMYFUNCTION("""COMPUTED_VALUE"""),"Pieces")</f>
        <v>Pieces</v>
      </c>
      <c r="H971" s="6" t="str">
        <f>IFERROR(__xludf.DUMMYFUNCTION("""COMPUTED_VALUE"""),"IDR")</f>
        <v>IDR</v>
      </c>
      <c r="I971" s="6">
        <f>IFERROR(__xludf.DUMMYFUNCTION("""COMPUTED_VALUE"""),3533000.0)</f>
        <v>3533000</v>
      </c>
      <c r="J971" s="6">
        <f>IFERROR(__xludf.DUMMYFUNCTION("""COMPUTED_VALUE"""),3533000.0)</f>
        <v>3533000</v>
      </c>
      <c r="K971" s="57">
        <f>IFERROR(__xludf.DUMMYFUNCTION("""COMPUTED_VALUE"""),43707.0)</f>
        <v>43707</v>
      </c>
      <c r="L971" s="6" t="str">
        <f>IFERROR(__xludf.DUMMYFUNCTION("""COMPUTED_VALUE"""),"FIP Engineering")</f>
        <v>FIP Engineering</v>
      </c>
      <c r="M971" s="6" t="str">
        <f>IFERROR(__xludf.DUMMYFUNCTION("""COMPUTED_VALUE"""),"Irwan Sopian")</f>
        <v>Irwan Sopian</v>
      </c>
      <c r="N971" s="6" t="str">
        <f>IFERROR(__xludf.DUMMYFUNCTION("""COMPUTED_VALUE"""),"FIP Engineering")</f>
        <v>FIP Engineering</v>
      </c>
      <c r="O971" s="6" t="str">
        <f>IFERROR(__xludf.DUMMYFUNCTION("""COMPUTED_VALUE"""),"FIP-DOM-000-11304-OS00001-INA-000000")</f>
        <v>FIP-DOM-000-11304-OS00001-INA-000000</v>
      </c>
      <c r="P971" s="6" t="str">
        <f>IFERROR(__xludf.DUMMYFUNCTION("""COMPUTED_VALUE"""),"PO Closed")</f>
        <v>PO Closed</v>
      </c>
      <c r="Q971" s="6" t="str">
        <f>IFERROR(__xludf.DUMMYFUNCTION("""COMPUTED_VALUE"""),"GL1908055")</f>
        <v>GL1908055</v>
      </c>
      <c r="R971" s="57">
        <f>IFERROR(__xludf.DUMMYFUNCTION("""COMPUTED_VALUE"""),43675.0)</f>
        <v>43675</v>
      </c>
      <c r="S971" s="6" t="str">
        <f>IFERROR(__xludf.DUMMYFUNCTION("""COMPUTED_VALUE"""),"-")</f>
        <v>-</v>
      </c>
      <c r="T971" s="6" t="str">
        <f>IFERROR(__xludf.DUMMYFUNCTION("""COMPUTED_VALUE"""),"-")</f>
        <v>-</v>
      </c>
    </row>
    <row r="972">
      <c r="A972" s="6" t="str">
        <f>IFERROR(__xludf.DUMMYFUNCTION("""COMPUTED_VALUE"""),"191750306-2")</f>
        <v>191750306-2</v>
      </c>
      <c r="B972" s="6" t="str">
        <f>IFERROR(__xludf.DUMMYFUNCTION("""COMPUTED_VALUE"""),"191750306 - Approved")</f>
        <v>191750306 - Approved</v>
      </c>
      <c r="C972" s="6">
        <f>IFERROR(__xludf.DUMMYFUNCTION("""COMPUTED_VALUE"""),2.0)</f>
        <v>2</v>
      </c>
      <c r="D972" s="6" t="str">
        <f>IFERROR(__xludf.DUMMYFUNCTION("""COMPUTED_VALUE"""),"O-52208-00")</f>
        <v>O-52208-00</v>
      </c>
      <c r="E972" s="6" t="str">
        <f>IFERROR(__xludf.DUMMYFUNCTION("""COMPUTED_VALUE"""),"Filling VFM100 - Laser Photoelectric Sensor (Amplifier) LV-N11CP Keyence")</f>
        <v>Filling VFM100 - Laser Photoelectric Sensor (Amplifier) LV-N11CP Keyence</v>
      </c>
      <c r="F972" s="6">
        <f>IFERROR(__xludf.DUMMYFUNCTION("""COMPUTED_VALUE"""),1.0)</f>
        <v>1</v>
      </c>
      <c r="G972" s="6" t="str">
        <f>IFERROR(__xludf.DUMMYFUNCTION("""COMPUTED_VALUE"""),"Pieces")</f>
        <v>Pieces</v>
      </c>
      <c r="H972" s="6" t="str">
        <f>IFERROR(__xludf.DUMMYFUNCTION("""COMPUTED_VALUE"""),"IDR")</f>
        <v>IDR</v>
      </c>
      <c r="I972" s="6">
        <f>IFERROR(__xludf.DUMMYFUNCTION("""COMPUTED_VALUE"""),4400000.0)</f>
        <v>4400000</v>
      </c>
      <c r="J972" s="6">
        <f>IFERROR(__xludf.DUMMYFUNCTION("""COMPUTED_VALUE"""),4400000.0)</f>
        <v>4400000</v>
      </c>
      <c r="K972" s="57">
        <f>IFERROR(__xludf.DUMMYFUNCTION("""COMPUTED_VALUE"""),43707.0)</f>
        <v>43707</v>
      </c>
      <c r="L972" s="6" t="str">
        <f>IFERROR(__xludf.DUMMYFUNCTION("""COMPUTED_VALUE"""),"FIP Engineering")</f>
        <v>FIP Engineering</v>
      </c>
      <c r="M972" s="6" t="str">
        <f>IFERROR(__xludf.DUMMYFUNCTION("""COMPUTED_VALUE"""),"Irwan Sopian")</f>
        <v>Irwan Sopian</v>
      </c>
      <c r="N972" s="6" t="str">
        <f>IFERROR(__xludf.DUMMYFUNCTION("""COMPUTED_VALUE"""),"FIP Engineering")</f>
        <v>FIP Engineering</v>
      </c>
      <c r="O972" s="6" t="str">
        <f>IFERROR(__xludf.DUMMYFUNCTION("""COMPUTED_VALUE"""),"FIP-DOM-000-11304-OS00001-INA-000000")</f>
        <v>FIP-DOM-000-11304-OS00001-INA-000000</v>
      </c>
      <c r="P972" s="6" t="str">
        <f>IFERROR(__xludf.DUMMYFUNCTION("""COMPUTED_VALUE"""),"PO Closed")</f>
        <v>PO Closed</v>
      </c>
      <c r="Q972" s="6" t="str">
        <f>IFERROR(__xludf.DUMMYFUNCTION("""COMPUTED_VALUE"""),"GL1908055")</f>
        <v>GL1908055</v>
      </c>
      <c r="R972" s="57">
        <f>IFERROR(__xludf.DUMMYFUNCTION("""COMPUTED_VALUE"""),43675.0)</f>
        <v>43675</v>
      </c>
      <c r="S972" s="6" t="str">
        <f>IFERROR(__xludf.DUMMYFUNCTION("""COMPUTED_VALUE"""),"-")</f>
        <v>-</v>
      </c>
      <c r="T972" s="6" t="str">
        <f>IFERROR(__xludf.DUMMYFUNCTION("""COMPUTED_VALUE"""),"-")</f>
        <v>-</v>
      </c>
    </row>
    <row r="973">
      <c r="A973" s="6" t="str">
        <f>IFERROR(__xludf.DUMMYFUNCTION("""COMPUTED_VALUE"""),"191750315-1")</f>
        <v>191750315-1</v>
      </c>
      <c r="B973" s="6" t="str">
        <f>IFERROR(__xludf.DUMMYFUNCTION("""COMPUTED_VALUE"""),"191750315 - Approved")</f>
        <v>191750315 - Approved</v>
      </c>
      <c r="C973" s="6">
        <f>IFERROR(__xludf.DUMMYFUNCTION("""COMPUTED_VALUE"""),1.0)</f>
        <v>1</v>
      </c>
      <c r="D973" s="6" t="str">
        <f>IFERROR(__xludf.DUMMYFUNCTION("""COMPUTED_VALUE"""),"O-16961-00")</f>
        <v>O-16961-00</v>
      </c>
      <c r="E973" s="6" t="str">
        <f>IFERROR(__xludf.DUMMYFUNCTION("""COMPUTED_VALUE"""),"FESTO - CRQS-1/8-6 p/n 162862")</f>
        <v>FESTO - CRQS-1/8-6 p/n 162862</v>
      </c>
      <c r="F973" s="6">
        <f>IFERROR(__xludf.DUMMYFUNCTION("""COMPUTED_VALUE"""),2.0)</f>
        <v>2</v>
      </c>
      <c r="G973" s="6" t="str">
        <f>IFERROR(__xludf.DUMMYFUNCTION("""COMPUTED_VALUE"""),"Pieces")</f>
        <v>Pieces</v>
      </c>
      <c r="H973" s="6" t="str">
        <f>IFERROR(__xludf.DUMMYFUNCTION("""COMPUTED_VALUE"""),"IDR")</f>
        <v>IDR</v>
      </c>
      <c r="I973" s="6">
        <f>IFERROR(__xludf.DUMMYFUNCTION("""COMPUTED_VALUE"""),317760.0)</f>
        <v>317760</v>
      </c>
      <c r="J973" s="6">
        <f>IFERROR(__xludf.DUMMYFUNCTION("""COMPUTED_VALUE"""),635520.0)</f>
        <v>635520</v>
      </c>
      <c r="K973" s="57">
        <f>IFERROR(__xludf.DUMMYFUNCTION("""COMPUTED_VALUE"""),43714.0)</f>
        <v>43714</v>
      </c>
      <c r="L973" s="6" t="str">
        <f>IFERROR(__xludf.DUMMYFUNCTION("""COMPUTED_VALUE"""),"FIP Engineering")</f>
        <v>FIP Engineering</v>
      </c>
      <c r="M973" s="6" t="str">
        <f>IFERROR(__xludf.DUMMYFUNCTION("""COMPUTED_VALUE"""),"Irwan Sopian")</f>
        <v>Irwan Sopian</v>
      </c>
      <c r="N973" s="6" t="str">
        <f>IFERROR(__xludf.DUMMYFUNCTION("""COMPUTED_VALUE"""),"FIP Engineering")</f>
        <v>FIP Engineering</v>
      </c>
      <c r="O973" s="6" t="str">
        <f>IFERROR(__xludf.DUMMYFUNCTION("""COMPUTED_VALUE"""),"FIP-DOM-000-11304-OS00001-INA-000000")</f>
        <v>FIP-DOM-000-11304-OS00001-INA-000000</v>
      </c>
      <c r="P973" s="6" t="str">
        <f>IFERROR(__xludf.DUMMYFUNCTION("""COMPUTED_VALUE"""),"PO Closed")</f>
        <v>PO Closed</v>
      </c>
      <c r="Q973" s="6" t="str">
        <f>IFERROR(__xludf.DUMMYFUNCTION("""COMPUTED_VALUE"""),"GL1908053")</f>
        <v>GL1908053</v>
      </c>
      <c r="R973" s="57">
        <f>IFERROR(__xludf.DUMMYFUNCTION("""COMPUTED_VALUE"""),43678.0)</f>
        <v>43678</v>
      </c>
      <c r="S973" s="6" t="str">
        <f>IFERROR(__xludf.DUMMYFUNCTION("""COMPUTED_VALUE"""),"-")</f>
        <v>-</v>
      </c>
      <c r="T973" s="6" t="str">
        <f>IFERROR(__xludf.DUMMYFUNCTION("""COMPUTED_VALUE"""),"-")</f>
        <v>-</v>
      </c>
    </row>
    <row r="974">
      <c r="A974" s="6" t="str">
        <f>IFERROR(__xludf.DUMMYFUNCTION("""COMPUTED_VALUE"""),"191750315-2")</f>
        <v>191750315-2</v>
      </c>
      <c r="B974" s="6" t="str">
        <f>IFERROR(__xludf.DUMMYFUNCTION("""COMPUTED_VALUE"""),"191750315 - Approved")</f>
        <v>191750315 - Approved</v>
      </c>
      <c r="C974" s="6">
        <f>IFERROR(__xludf.DUMMYFUNCTION("""COMPUTED_VALUE"""),2.0)</f>
        <v>2</v>
      </c>
      <c r="D974" s="6" t="str">
        <f>IFERROR(__xludf.DUMMYFUNCTION("""COMPUTED_VALUE"""),"P-51889-00")</f>
        <v>P-51889-00</v>
      </c>
      <c r="E974" s="6" t="str">
        <f>IFERROR(__xludf.DUMMYFUNCTION("""COMPUTED_VALUE"""),"Autonics - Power Supply SPA-050-24VDC")</f>
        <v>Autonics - Power Supply SPA-050-24VDC</v>
      </c>
      <c r="F974" s="6">
        <f>IFERROR(__xludf.DUMMYFUNCTION("""COMPUTED_VALUE"""),2.0)</f>
        <v>2</v>
      </c>
      <c r="G974" s="6" t="str">
        <f>IFERROR(__xludf.DUMMYFUNCTION("""COMPUTED_VALUE"""),"Pieces")</f>
        <v>Pieces</v>
      </c>
      <c r="H974" s="6" t="str">
        <f>IFERROR(__xludf.DUMMYFUNCTION("""COMPUTED_VALUE"""),"IDR")</f>
        <v>IDR</v>
      </c>
      <c r="I974" s="6">
        <f>IFERROR(__xludf.DUMMYFUNCTION("""COMPUTED_VALUE"""),508000.0)</f>
        <v>508000</v>
      </c>
      <c r="J974" s="6">
        <f>IFERROR(__xludf.DUMMYFUNCTION("""COMPUTED_VALUE"""),1016000.0)</f>
        <v>1016000</v>
      </c>
      <c r="K974" s="57">
        <f>IFERROR(__xludf.DUMMYFUNCTION("""COMPUTED_VALUE"""),43714.0)</f>
        <v>43714</v>
      </c>
      <c r="L974" s="6" t="str">
        <f>IFERROR(__xludf.DUMMYFUNCTION("""COMPUTED_VALUE"""),"FIP Engineering")</f>
        <v>FIP Engineering</v>
      </c>
      <c r="M974" s="6" t="str">
        <f>IFERROR(__xludf.DUMMYFUNCTION("""COMPUTED_VALUE"""),"Irwan Sopian")</f>
        <v>Irwan Sopian</v>
      </c>
      <c r="N974" s="6" t="str">
        <f>IFERROR(__xludf.DUMMYFUNCTION("""COMPUTED_VALUE"""),"FIP Engineering")</f>
        <v>FIP Engineering</v>
      </c>
      <c r="O974" s="6" t="str">
        <f>IFERROR(__xludf.DUMMYFUNCTION("""COMPUTED_VALUE"""),"FIP-DOM-000-11304-OS00001-INA-000000")</f>
        <v>FIP-DOM-000-11304-OS00001-INA-000000</v>
      </c>
      <c r="P974" s="6" t="str">
        <f>IFERROR(__xludf.DUMMYFUNCTION("""COMPUTED_VALUE"""),"PO Closed")</f>
        <v>PO Closed</v>
      </c>
      <c r="Q974" s="6" t="str">
        <f>IFERROR(__xludf.DUMMYFUNCTION("""COMPUTED_VALUE"""),"GL1908054")</f>
        <v>GL1908054</v>
      </c>
      <c r="R974" s="57">
        <f>IFERROR(__xludf.DUMMYFUNCTION("""COMPUTED_VALUE"""),43678.0)</f>
        <v>43678</v>
      </c>
      <c r="S974" s="6" t="str">
        <f>IFERROR(__xludf.DUMMYFUNCTION("""COMPUTED_VALUE"""),"-")</f>
        <v>-</v>
      </c>
      <c r="T974" s="6" t="str">
        <f>IFERROR(__xludf.DUMMYFUNCTION("""COMPUTED_VALUE"""),"-")</f>
        <v>-</v>
      </c>
    </row>
    <row r="975">
      <c r="A975" s="6" t="str">
        <f>IFERROR(__xludf.DUMMYFUNCTION("""COMPUTED_VALUE"""),"191750314-1")</f>
        <v>191750314-1</v>
      </c>
      <c r="B975" s="6" t="str">
        <f>IFERROR(__xludf.DUMMYFUNCTION("""COMPUTED_VALUE"""),"191750314 - Approved")</f>
        <v>191750314 - Approved</v>
      </c>
      <c r="C975" s="6">
        <f>IFERROR(__xludf.DUMMYFUNCTION("""COMPUTED_VALUE"""),1.0)</f>
        <v>1</v>
      </c>
      <c r="D975" s="6" t="str">
        <f>IFERROR(__xludf.DUMMYFUNCTION("""COMPUTED_VALUE"""),"O-51677-00")</f>
        <v>O-51677-00</v>
      </c>
      <c r="E975" s="6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F975" s="6">
        <f>IFERROR(__xludf.DUMMYFUNCTION("""COMPUTED_VALUE"""),1.0)</f>
        <v>1</v>
      </c>
      <c r="G975" s="6" t="str">
        <f>IFERROR(__xludf.DUMMYFUNCTION("""COMPUTED_VALUE"""),"Unit")</f>
        <v>Unit</v>
      </c>
      <c r="H975" s="6" t="str">
        <f>IFERROR(__xludf.DUMMYFUNCTION("""COMPUTED_VALUE"""),"IDR")</f>
        <v>IDR</v>
      </c>
      <c r="I975" s="6">
        <f>IFERROR(__xludf.DUMMYFUNCTION("""COMPUTED_VALUE"""),6200000.0)</f>
        <v>6200000</v>
      </c>
      <c r="J975" s="6">
        <f>IFERROR(__xludf.DUMMYFUNCTION("""COMPUTED_VALUE"""),6200000.0)</f>
        <v>6200000</v>
      </c>
      <c r="K975" s="57">
        <f>IFERROR(__xludf.DUMMYFUNCTION("""COMPUTED_VALUE"""),43735.0)</f>
        <v>43735</v>
      </c>
      <c r="L975" s="6" t="str">
        <f>IFERROR(__xludf.DUMMYFUNCTION("""COMPUTED_VALUE"""),"FIP Engineering")</f>
        <v>FIP Engineering</v>
      </c>
      <c r="M975" s="6" t="str">
        <f>IFERROR(__xludf.DUMMYFUNCTION("""COMPUTED_VALUE"""),"Irwan Sopian")</f>
        <v>Irwan Sopian</v>
      </c>
      <c r="N975" s="6" t="str">
        <f>IFERROR(__xludf.DUMMYFUNCTION("""COMPUTED_VALUE"""),"FIP Engineering")</f>
        <v>FIP Engineering</v>
      </c>
      <c r="O975" s="6" t="str">
        <f>IFERROR(__xludf.DUMMYFUNCTION("""COMPUTED_VALUE"""),"FIP-DOM-000-11304-OS00001-INA-000000")</f>
        <v>FIP-DOM-000-11304-OS00001-INA-000000</v>
      </c>
      <c r="P975" s="6" t="str">
        <f>IFERROR(__xludf.DUMMYFUNCTION("""COMPUTED_VALUE"""),"PO Closed")</f>
        <v>PO Closed</v>
      </c>
      <c r="Q975" s="6" t="str">
        <f>IFERROR(__xludf.DUMMYFUNCTION("""COMPUTED_VALUE"""),"GL1908017")</f>
        <v>GL1908017</v>
      </c>
      <c r="R975" s="57">
        <f>IFERROR(__xludf.DUMMYFUNCTION("""COMPUTED_VALUE"""),43678.0)</f>
        <v>43678</v>
      </c>
      <c r="S975" s="6" t="str">
        <f>IFERROR(__xludf.DUMMYFUNCTION("""COMPUTED_VALUE"""),"-")</f>
        <v>-</v>
      </c>
      <c r="T975" s="57">
        <f>IFERROR(__xludf.DUMMYFUNCTION("""COMPUTED_VALUE"""),43749.0)</f>
        <v>43749</v>
      </c>
    </row>
    <row r="976">
      <c r="A976" s="6" t="str">
        <f>IFERROR(__xludf.DUMMYFUNCTION("""COMPUTED_VALUE"""),"191750321-1")</f>
        <v>191750321-1</v>
      </c>
      <c r="B976" s="6" t="str">
        <f>IFERROR(__xludf.DUMMYFUNCTION("""COMPUTED_VALUE"""),"191750321 - Approved")</f>
        <v>191750321 - Approved</v>
      </c>
      <c r="C976" s="6">
        <f>IFERROR(__xludf.DUMMYFUNCTION("""COMPUTED_VALUE"""),1.0)</f>
        <v>1</v>
      </c>
      <c r="D976" s="6" t="str">
        <f>IFERROR(__xludf.DUMMYFUNCTION("""COMPUTED_VALUE"""),"P-53102-00")</f>
        <v>P-53102-00</v>
      </c>
      <c r="E976" s="6" t="str">
        <f>IFERROR(__xludf.DUMMYFUNCTION("""COMPUTED_VALUE"""),"Lampu PLC 13watt/E27 Putih Phillips")</f>
        <v>Lampu PLC 13watt/E27 Putih Phillips</v>
      </c>
      <c r="F976" s="6">
        <f>IFERROR(__xludf.DUMMYFUNCTION("""COMPUTED_VALUE"""),10.0)</f>
        <v>10</v>
      </c>
      <c r="G976" s="6" t="str">
        <f>IFERROR(__xludf.DUMMYFUNCTION("""COMPUTED_VALUE"""),"Pieces")</f>
        <v>Pieces</v>
      </c>
      <c r="H976" s="6" t="str">
        <f>IFERROR(__xludf.DUMMYFUNCTION("""COMPUTED_VALUE"""),"IDR")</f>
        <v>IDR</v>
      </c>
      <c r="I976" s="6">
        <f>IFERROR(__xludf.DUMMYFUNCTION("""COMPUTED_VALUE"""),27000.0)</f>
        <v>27000</v>
      </c>
      <c r="J976" s="6">
        <f>IFERROR(__xludf.DUMMYFUNCTION("""COMPUTED_VALUE"""),270000.0)</f>
        <v>270000</v>
      </c>
      <c r="K976" s="57">
        <f>IFERROR(__xludf.DUMMYFUNCTION("""COMPUTED_VALUE"""),43707.0)</f>
        <v>43707</v>
      </c>
      <c r="L976" s="6" t="str">
        <f>IFERROR(__xludf.DUMMYFUNCTION("""COMPUTED_VALUE"""),"FIP Engineering")</f>
        <v>FIP Engineering</v>
      </c>
      <c r="M976" s="6" t="str">
        <f>IFERROR(__xludf.DUMMYFUNCTION("""COMPUTED_VALUE"""),"Irwan Sopian")</f>
        <v>Irwan Sopian</v>
      </c>
      <c r="N976" s="6" t="str">
        <f>IFERROR(__xludf.DUMMYFUNCTION("""COMPUTED_VALUE"""),"FIP Engineering")</f>
        <v>FIP Engineering</v>
      </c>
      <c r="O976" s="6" t="str">
        <f>IFERROR(__xludf.DUMMYFUNCTION("""COMPUTED_VALUE"""),"FIP-DOM-000-11304-OS00001-INA-000000")</f>
        <v>FIP-DOM-000-11304-OS00001-INA-000000</v>
      </c>
      <c r="P976" s="6" t="str">
        <f>IFERROR(__xludf.DUMMYFUNCTION("""COMPUTED_VALUE"""),"PO Closed")</f>
        <v>PO Closed</v>
      </c>
      <c r="Q976" s="6" t="str">
        <f>IFERROR(__xludf.DUMMYFUNCTION("""COMPUTED_VALUE"""),"GL1908049")</f>
        <v>GL1908049</v>
      </c>
      <c r="R976" s="57">
        <f>IFERROR(__xludf.DUMMYFUNCTION("""COMPUTED_VALUE"""),43679.0)</f>
        <v>43679</v>
      </c>
      <c r="S976" s="6" t="str">
        <f>IFERROR(__xludf.DUMMYFUNCTION("""COMPUTED_VALUE"""),"-")</f>
        <v>-</v>
      </c>
      <c r="T976" s="6" t="str">
        <f>IFERROR(__xludf.DUMMYFUNCTION("""COMPUTED_VALUE"""),"-")</f>
        <v>-</v>
      </c>
    </row>
    <row r="977">
      <c r="A977" s="6" t="str">
        <f>IFERROR(__xludf.DUMMYFUNCTION("""COMPUTED_VALUE"""),"191750321-2")</f>
        <v>191750321-2</v>
      </c>
      <c r="B977" s="6" t="str">
        <f>IFERROR(__xludf.DUMMYFUNCTION("""COMPUTED_VALUE"""),"191750321 - Approved")</f>
        <v>191750321 - Approved</v>
      </c>
      <c r="C977" s="6">
        <f>IFERROR(__xludf.DUMMYFUNCTION("""COMPUTED_VALUE"""),2.0)</f>
        <v>2</v>
      </c>
      <c r="D977" s="6" t="str">
        <f>IFERROR(__xludf.DUMMYFUNCTION("""COMPUTED_VALUE"""),"P-51559-00")</f>
        <v>P-51559-00</v>
      </c>
      <c r="E977" s="6" t="str">
        <f>IFERROR(__xludf.DUMMYFUNCTION("""COMPUTED_VALUE"""),"Lampu T5 14watt Putih Phillips")</f>
        <v>Lampu T5 14watt Putih Phillips</v>
      </c>
      <c r="F977" s="6">
        <f>IFERROR(__xludf.DUMMYFUNCTION("""COMPUTED_VALUE"""),40.0)</f>
        <v>40</v>
      </c>
      <c r="G977" s="6" t="str">
        <f>IFERROR(__xludf.DUMMYFUNCTION("""COMPUTED_VALUE"""),"Pack")</f>
        <v>Pack</v>
      </c>
      <c r="H977" s="6" t="str">
        <f>IFERROR(__xludf.DUMMYFUNCTION("""COMPUTED_VALUE"""),"IDR")</f>
        <v>IDR</v>
      </c>
      <c r="I977" s="6">
        <f>IFERROR(__xludf.DUMMYFUNCTION("""COMPUTED_VALUE"""),29700.0)</f>
        <v>29700</v>
      </c>
      <c r="J977" s="6">
        <f>IFERROR(__xludf.DUMMYFUNCTION("""COMPUTED_VALUE"""),1188000.0)</f>
        <v>1188000</v>
      </c>
      <c r="K977" s="57">
        <f>IFERROR(__xludf.DUMMYFUNCTION("""COMPUTED_VALUE"""),43707.0)</f>
        <v>43707</v>
      </c>
      <c r="L977" s="6" t="str">
        <f>IFERROR(__xludf.DUMMYFUNCTION("""COMPUTED_VALUE"""),"FIP Engineering")</f>
        <v>FIP Engineering</v>
      </c>
      <c r="M977" s="6" t="str">
        <f>IFERROR(__xludf.DUMMYFUNCTION("""COMPUTED_VALUE"""),"Irwan Sopian")</f>
        <v>Irwan Sopian</v>
      </c>
      <c r="N977" s="6" t="str">
        <f>IFERROR(__xludf.DUMMYFUNCTION("""COMPUTED_VALUE"""),"FIP Engineering")</f>
        <v>FIP Engineering</v>
      </c>
      <c r="O977" s="6" t="str">
        <f>IFERROR(__xludf.DUMMYFUNCTION("""COMPUTED_VALUE"""),"FIP-DOM-000-11304-OS00001-INA-000000")</f>
        <v>FIP-DOM-000-11304-OS00001-INA-000000</v>
      </c>
      <c r="P977" s="6" t="str">
        <f>IFERROR(__xludf.DUMMYFUNCTION("""COMPUTED_VALUE"""),"PO Closed")</f>
        <v>PO Closed</v>
      </c>
      <c r="Q977" s="6" t="str">
        <f>IFERROR(__xludf.DUMMYFUNCTION("""COMPUTED_VALUE"""),"GL1908049")</f>
        <v>GL1908049</v>
      </c>
      <c r="R977" s="57">
        <f>IFERROR(__xludf.DUMMYFUNCTION("""COMPUTED_VALUE"""),43680.0)</f>
        <v>43680</v>
      </c>
      <c r="S977" s="6" t="str">
        <f>IFERROR(__xludf.DUMMYFUNCTION("""COMPUTED_VALUE"""),"-")</f>
        <v>-</v>
      </c>
      <c r="T977" s="6" t="str">
        <f>IFERROR(__xludf.DUMMYFUNCTION("""COMPUTED_VALUE"""),"-")</f>
        <v>-</v>
      </c>
    </row>
    <row r="978">
      <c r="A978" s="6" t="str">
        <f>IFERROR(__xludf.DUMMYFUNCTION("""COMPUTED_VALUE"""),"191750321-3")</f>
        <v>191750321-3</v>
      </c>
      <c r="B978" s="6" t="str">
        <f>IFERROR(__xludf.DUMMYFUNCTION("""COMPUTED_VALUE"""),"191750321 - Approved")</f>
        <v>191750321 - Approved</v>
      </c>
      <c r="C978" s="6">
        <f>IFERROR(__xludf.DUMMYFUNCTION("""COMPUTED_VALUE"""),3.0)</f>
        <v>3</v>
      </c>
      <c r="D978" s="6" t="str">
        <f>IFERROR(__xludf.DUMMYFUNCTION("""COMPUTED_VALUE"""),"P-51560-00")</f>
        <v>P-51560-00</v>
      </c>
      <c r="E978" s="6" t="str">
        <f>IFERROR(__xludf.DUMMYFUNCTION("""COMPUTED_VALUE"""),"Lampu T5 28watt Putih Phillips")</f>
        <v>Lampu T5 28watt Putih Phillips</v>
      </c>
      <c r="F978" s="6">
        <f>IFERROR(__xludf.DUMMYFUNCTION("""COMPUTED_VALUE"""),40.0)</f>
        <v>40</v>
      </c>
      <c r="G978" s="6" t="str">
        <f>IFERROR(__xludf.DUMMYFUNCTION("""COMPUTED_VALUE"""),"Pieces")</f>
        <v>Pieces</v>
      </c>
      <c r="H978" s="6" t="str">
        <f>IFERROR(__xludf.DUMMYFUNCTION("""COMPUTED_VALUE"""),"IDR")</f>
        <v>IDR</v>
      </c>
      <c r="I978" s="6">
        <f>IFERROR(__xludf.DUMMYFUNCTION("""COMPUTED_VALUE"""),36000.0)</f>
        <v>36000</v>
      </c>
      <c r="J978" s="6">
        <f>IFERROR(__xludf.DUMMYFUNCTION("""COMPUTED_VALUE"""),1440000.0)</f>
        <v>1440000</v>
      </c>
      <c r="K978" s="57">
        <f>IFERROR(__xludf.DUMMYFUNCTION("""COMPUTED_VALUE"""),43707.0)</f>
        <v>43707</v>
      </c>
      <c r="L978" s="6" t="str">
        <f>IFERROR(__xludf.DUMMYFUNCTION("""COMPUTED_VALUE"""),"FIP Engineering")</f>
        <v>FIP Engineering</v>
      </c>
      <c r="M978" s="6" t="str">
        <f>IFERROR(__xludf.DUMMYFUNCTION("""COMPUTED_VALUE"""),"Irwan Sopian")</f>
        <v>Irwan Sopian</v>
      </c>
      <c r="N978" s="6" t="str">
        <f>IFERROR(__xludf.DUMMYFUNCTION("""COMPUTED_VALUE"""),"FIP Engineering")</f>
        <v>FIP Engineering</v>
      </c>
      <c r="O978" s="6" t="str">
        <f>IFERROR(__xludf.DUMMYFUNCTION("""COMPUTED_VALUE"""),"FIP-DOM-000-11304-OS00001-INA-000000")</f>
        <v>FIP-DOM-000-11304-OS00001-INA-000000</v>
      </c>
      <c r="P978" s="6" t="str">
        <f>IFERROR(__xludf.DUMMYFUNCTION("""COMPUTED_VALUE"""),"PO Closed")</f>
        <v>PO Closed</v>
      </c>
      <c r="Q978" s="6" t="str">
        <f>IFERROR(__xludf.DUMMYFUNCTION("""COMPUTED_VALUE"""),"GL1908049")</f>
        <v>GL1908049</v>
      </c>
      <c r="R978" s="57">
        <f>IFERROR(__xludf.DUMMYFUNCTION("""COMPUTED_VALUE"""),43680.0)</f>
        <v>43680</v>
      </c>
      <c r="S978" s="6" t="str">
        <f>IFERROR(__xludf.DUMMYFUNCTION("""COMPUTED_VALUE"""),"-")</f>
        <v>-</v>
      </c>
      <c r="T978" s="6" t="str">
        <f>IFERROR(__xludf.DUMMYFUNCTION("""COMPUTED_VALUE"""),"-")</f>
        <v>-</v>
      </c>
    </row>
    <row r="979">
      <c r="A979" s="6" t="str">
        <f>IFERROR(__xludf.DUMMYFUNCTION("""COMPUTED_VALUE"""),"201750003-1")</f>
        <v>201750003-1</v>
      </c>
      <c r="B979" s="6" t="str">
        <f>IFERROR(__xludf.DUMMYFUNCTION("""COMPUTED_VALUE"""),"201750003 - Approved")</f>
        <v>201750003 - Approved</v>
      </c>
      <c r="C979" s="6">
        <f>IFERROR(__xludf.DUMMYFUNCTION("""COMPUTED_VALUE"""),1.0)</f>
        <v>1</v>
      </c>
      <c r="D979" s="6" t="str">
        <f>IFERROR(__xludf.DUMMYFUNCTION("""COMPUTED_VALUE"""),"P-14456-00")</f>
        <v>P-14456-00</v>
      </c>
      <c r="E979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979" s="6">
        <f>IFERROR(__xludf.DUMMYFUNCTION("""COMPUTED_VALUE"""),6.0)</f>
        <v>6</v>
      </c>
      <c r="G979" s="6" t="str">
        <f>IFERROR(__xludf.DUMMYFUNCTION("""COMPUTED_VALUE"""),"Pieces")</f>
        <v>Pieces</v>
      </c>
      <c r="H979" s="6" t="str">
        <f>IFERROR(__xludf.DUMMYFUNCTION("""COMPUTED_VALUE"""),"IDR")</f>
        <v>IDR</v>
      </c>
      <c r="I979" s="6">
        <f>IFERROR(__xludf.DUMMYFUNCTION("""COMPUTED_VALUE"""),540000.0)</f>
        <v>540000</v>
      </c>
      <c r="J979" s="6">
        <f>IFERROR(__xludf.DUMMYFUNCTION("""COMPUTED_VALUE"""),3240000.0)</f>
        <v>3240000</v>
      </c>
      <c r="K979" s="57">
        <f>IFERROR(__xludf.DUMMYFUNCTION("""COMPUTED_VALUE"""),43868.0)</f>
        <v>43868</v>
      </c>
      <c r="L979" s="6" t="str">
        <f>IFERROR(__xludf.DUMMYFUNCTION("""COMPUTED_VALUE"""),"FIP Engineering")</f>
        <v>FIP Engineering</v>
      </c>
      <c r="M979" s="6" t="str">
        <f>IFERROR(__xludf.DUMMYFUNCTION("""COMPUTED_VALUE"""),"Irwan Sopian")</f>
        <v>Irwan Sopian</v>
      </c>
      <c r="N979" s="6" t="str">
        <f>IFERROR(__xludf.DUMMYFUNCTION("""COMPUTED_VALUE"""),"FIP Engineering")</f>
        <v>FIP Engineering</v>
      </c>
      <c r="O979" s="6" t="str">
        <f>IFERROR(__xludf.DUMMYFUNCTION("""COMPUTED_VALUE"""),"FIP-DOM-000-11304-OS00001-INA-000000")</f>
        <v>FIP-DOM-000-11304-OS00001-INA-000000</v>
      </c>
      <c r="P979" s="6" t="str">
        <f>IFERROR(__xludf.DUMMYFUNCTION("""COMPUTED_VALUE"""),"PO Closed")</f>
        <v>PO Closed</v>
      </c>
      <c r="Q979" s="6" t="str">
        <f>IFERROR(__xludf.DUMMYFUNCTION("""COMPUTED_VALUE"""),"GL2001031")</f>
        <v>GL2001031</v>
      </c>
      <c r="R979" s="57">
        <f>IFERROR(__xludf.DUMMYFUNCTION("""COMPUTED_VALUE"""),43833.0)</f>
        <v>43833</v>
      </c>
      <c r="S979" s="6" t="str">
        <f>IFERROR(__xludf.DUMMYFUNCTION("""COMPUTED_VALUE"""),"-")</f>
        <v>-</v>
      </c>
      <c r="T979" s="57">
        <f>IFERROR(__xludf.DUMMYFUNCTION("""COMPUTED_VALUE"""),43861.0)</f>
        <v>43861</v>
      </c>
    </row>
    <row r="980">
      <c r="A980" s="6" t="str">
        <f>IFERROR(__xludf.DUMMYFUNCTION("""COMPUTED_VALUE"""),"201750003-2")</f>
        <v>201750003-2</v>
      </c>
      <c r="B980" s="6" t="str">
        <f>IFERROR(__xludf.DUMMYFUNCTION("""COMPUTED_VALUE"""),"201750003 - Approved")</f>
        <v>201750003 - Approved</v>
      </c>
      <c r="C980" s="6">
        <f>IFERROR(__xludf.DUMMYFUNCTION("""COMPUTED_VALUE"""),2.0)</f>
        <v>2</v>
      </c>
      <c r="D980" s="6" t="str">
        <f>IFERROR(__xludf.DUMMYFUNCTION("""COMPUTED_VALUE"""),"P-14455-00")</f>
        <v>P-14455-00</v>
      </c>
      <c r="E980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980" s="6">
        <f>IFERROR(__xludf.DUMMYFUNCTION("""COMPUTED_VALUE"""),10.0)</f>
        <v>10</v>
      </c>
      <c r="G980" s="6" t="str">
        <f>IFERROR(__xludf.DUMMYFUNCTION("""COMPUTED_VALUE"""),"Pieces")</f>
        <v>Pieces</v>
      </c>
      <c r="H980" s="6" t="str">
        <f>IFERROR(__xludf.DUMMYFUNCTION("""COMPUTED_VALUE"""),"IDR")</f>
        <v>IDR</v>
      </c>
      <c r="I980" s="6">
        <f>IFERROR(__xludf.DUMMYFUNCTION("""COMPUTED_VALUE"""),1600000.0)</f>
        <v>1600000</v>
      </c>
      <c r="J980" s="6">
        <f>IFERROR(__xludf.DUMMYFUNCTION("""COMPUTED_VALUE"""),1.6E7)</f>
        <v>16000000</v>
      </c>
      <c r="K980" s="57">
        <f>IFERROR(__xludf.DUMMYFUNCTION("""COMPUTED_VALUE"""),43868.0)</f>
        <v>43868</v>
      </c>
      <c r="L980" s="6" t="str">
        <f>IFERROR(__xludf.DUMMYFUNCTION("""COMPUTED_VALUE"""),"FIP Engineering")</f>
        <v>FIP Engineering</v>
      </c>
      <c r="M980" s="6" t="str">
        <f>IFERROR(__xludf.DUMMYFUNCTION("""COMPUTED_VALUE"""),"Irwan Sopian")</f>
        <v>Irwan Sopian</v>
      </c>
      <c r="N980" s="6" t="str">
        <f>IFERROR(__xludf.DUMMYFUNCTION("""COMPUTED_VALUE"""),"FIP Engineering")</f>
        <v>FIP Engineering</v>
      </c>
      <c r="O980" s="6" t="str">
        <f>IFERROR(__xludf.DUMMYFUNCTION("""COMPUTED_VALUE"""),"FIP-DOM-000-11304-OS00001-INA-000000")</f>
        <v>FIP-DOM-000-11304-OS00001-INA-000000</v>
      </c>
      <c r="P980" s="6" t="str">
        <f>IFERROR(__xludf.DUMMYFUNCTION("""COMPUTED_VALUE"""),"PO Closed")</f>
        <v>PO Closed</v>
      </c>
      <c r="Q980" s="6" t="str">
        <f>IFERROR(__xludf.DUMMYFUNCTION("""COMPUTED_VALUE"""),"GL2001031")</f>
        <v>GL2001031</v>
      </c>
      <c r="R980" s="57">
        <f>IFERROR(__xludf.DUMMYFUNCTION("""COMPUTED_VALUE"""),43833.0)</f>
        <v>43833</v>
      </c>
      <c r="S980" s="6" t="str">
        <f>IFERROR(__xludf.DUMMYFUNCTION("""COMPUTED_VALUE"""),"-")</f>
        <v>-</v>
      </c>
      <c r="T980" s="57">
        <f>IFERROR(__xludf.DUMMYFUNCTION("""COMPUTED_VALUE"""),43861.0)</f>
        <v>43861</v>
      </c>
    </row>
    <row r="981">
      <c r="A981" s="6" t="str">
        <f>IFERROR(__xludf.DUMMYFUNCTION("""COMPUTED_VALUE"""),"201750011-1")</f>
        <v>201750011-1</v>
      </c>
      <c r="B981" s="6" t="str">
        <f>IFERROR(__xludf.DUMMYFUNCTION("""COMPUTED_VALUE"""),"201750011 - Approved")</f>
        <v>201750011 - Approved</v>
      </c>
      <c r="C981" s="6">
        <f>IFERROR(__xludf.DUMMYFUNCTION("""COMPUTED_VALUE"""),1.0)</f>
        <v>1</v>
      </c>
      <c r="D981" s="6" t="str">
        <f>IFERROR(__xludf.DUMMYFUNCTION("""COMPUTED_VALUE"""),"O-16958-00")</f>
        <v>O-16958-00</v>
      </c>
      <c r="E981" s="6" t="str">
        <f>IFERROR(__xludf.DUMMYFUNCTION("""COMPUTED_VALUE"""),"Marchesini MA155 - Kit Filter Saturn Melter 100 Mesh P/n: 1028305")</f>
        <v>Marchesini MA155 - Kit Filter Saturn Melter 100 Mesh P/n: 1028305</v>
      </c>
      <c r="F981" s="6">
        <f>IFERROR(__xludf.DUMMYFUNCTION("""COMPUTED_VALUE"""),1.0)</f>
        <v>1</v>
      </c>
      <c r="G981" s="6" t="str">
        <f>IFERROR(__xludf.DUMMYFUNCTION("""COMPUTED_VALUE"""),"Pieces")</f>
        <v>Pieces</v>
      </c>
      <c r="H981" s="6" t="str">
        <f>IFERROR(__xludf.DUMMYFUNCTION("""COMPUTED_VALUE"""),"IDR")</f>
        <v>IDR</v>
      </c>
      <c r="I981" s="6">
        <f>IFERROR(__xludf.DUMMYFUNCTION("""COMPUTED_VALUE"""),1518400.0)</f>
        <v>1518400</v>
      </c>
      <c r="J981" s="6">
        <f>IFERROR(__xludf.DUMMYFUNCTION("""COMPUTED_VALUE"""),1518400.0)</f>
        <v>1518400</v>
      </c>
      <c r="K981" s="57">
        <f>IFERROR(__xludf.DUMMYFUNCTION("""COMPUTED_VALUE"""),43868.0)</f>
        <v>43868</v>
      </c>
      <c r="L981" s="6" t="str">
        <f>IFERROR(__xludf.DUMMYFUNCTION("""COMPUTED_VALUE"""),"FIP Engineering")</f>
        <v>FIP Engineering</v>
      </c>
      <c r="M981" s="6" t="str">
        <f>IFERROR(__xludf.DUMMYFUNCTION("""COMPUTED_VALUE"""),"Irwan Sopian")</f>
        <v>Irwan Sopian</v>
      </c>
      <c r="N981" s="6" t="str">
        <f>IFERROR(__xludf.DUMMYFUNCTION("""COMPUTED_VALUE"""),"FIP Engineering")</f>
        <v>FIP Engineering</v>
      </c>
      <c r="O981" s="6" t="str">
        <f>IFERROR(__xludf.DUMMYFUNCTION("""COMPUTED_VALUE"""),"FIP-DOM-000-11304-OS00001-INA-000000")</f>
        <v>FIP-DOM-000-11304-OS00001-INA-000000</v>
      </c>
      <c r="P981" s="6" t="str">
        <f>IFERROR(__xludf.DUMMYFUNCTION("""COMPUTED_VALUE"""),"PO Closed")</f>
        <v>PO Closed</v>
      </c>
      <c r="Q981" s="6" t="str">
        <f>IFERROR(__xludf.DUMMYFUNCTION("""COMPUTED_VALUE"""),"GL2001030")</f>
        <v>GL2001030</v>
      </c>
      <c r="R981" s="57">
        <f>IFERROR(__xludf.DUMMYFUNCTION("""COMPUTED_VALUE"""),43837.0)</f>
        <v>43837</v>
      </c>
      <c r="S981" s="6" t="str">
        <f>IFERROR(__xludf.DUMMYFUNCTION("""COMPUTED_VALUE"""),"-")</f>
        <v>-</v>
      </c>
      <c r="T981" s="57">
        <f>IFERROR(__xludf.DUMMYFUNCTION("""COMPUTED_VALUE"""),43868.0)</f>
        <v>43868</v>
      </c>
    </row>
    <row r="982">
      <c r="A982" s="6" t="str">
        <f>IFERROR(__xludf.DUMMYFUNCTION("""COMPUTED_VALUE"""),"201750011-2")</f>
        <v>201750011-2</v>
      </c>
      <c r="B982" s="6" t="str">
        <f>IFERROR(__xludf.DUMMYFUNCTION("""COMPUTED_VALUE"""),"201750011 - Approved")</f>
        <v>201750011 - Approved</v>
      </c>
      <c r="C982" s="6">
        <f>IFERROR(__xludf.DUMMYFUNCTION("""COMPUTED_VALUE"""),2.0)</f>
        <v>2</v>
      </c>
      <c r="D982" s="6" t="str">
        <f>IFERROR(__xludf.DUMMYFUNCTION("""COMPUTED_VALUE"""),"O-16959-00")</f>
        <v>O-16959-00</v>
      </c>
      <c r="E982" s="6" t="str">
        <f>IFERROR(__xludf.DUMMYFUNCTION("""COMPUTED_VALUE"""),"Marchesini MA155 - Kit Filter 200 Mesh Saturn M14 P/n: 1045520")</f>
        <v>Marchesini MA155 - Kit Filter 200 Mesh Saturn M14 P/n: 1045520</v>
      </c>
      <c r="F982" s="6">
        <f>IFERROR(__xludf.DUMMYFUNCTION("""COMPUTED_VALUE"""),1.0)</f>
        <v>1</v>
      </c>
      <c r="G982" s="6" t="str">
        <f>IFERROR(__xludf.DUMMYFUNCTION("""COMPUTED_VALUE"""),"Pieces")</f>
        <v>Pieces</v>
      </c>
      <c r="H982" s="6" t="str">
        <f>IFERROR(__xludf.DUMMYFUNCTION("""COMPUTED_VALUE"""),"IDR")</f>
        <v>IDR</v>
      </c>
      <c r="I982" s="6">
        <f>IFERROR(__xludf.DUMMYFUNCTION("""COMPUTED_VALUE"""),1445400.0)</f>
        <v>1445400</v>
      </c>
      <c r="J982" s="6">
        <f>IFERROR(__xludf.DUMMYFUNCTION("""COMPUTED_VALUE"""),1445400.0)</f>
        <v>1445400</v>
      </c>
      <c r="K982" s="57">
        <f>IFERROR(__xludf.DUMMYFUNCTION("""COMPUTED_VALUE"""),43868.0)</f>
        <v>43868</v>
      </c>
      <c r="L982" s="6" t="str">
        <f>IFERROR(__xludf.DUMMYFUNCTION("""COMPUTED_VALUE"""),"FIP Engineering")</f>
        <v>FIP Engineering</v>
      </c>
      <c r="M982" s="6" t="str">
        <f>IFERROR(__xludf.DUMMYFUNCTION("""COMPUTED_VALUE"""),"Irwan Sopian")</f>
        <v>Irwan Sopian</v>
      </c>
      <c r="N982" s="6" t="str">
        <f>IFERROR(__xludf.DUMMYFUNCTION("""COMPUTED_VALUE"""),"FIP Engineering")</f>
        <v>FIP Engineering</v>
      </c>
      <c r="O982" s="6" t="str">
        <f>IFERROR(__xludf.DUMMYFUNCTION("""COMPUTED_VALUE"""),"FIP-DOM-000-11304-OS00001-INA-000000")</f>
        <v>FIP-DOM-000-11304-OS00001-INA-000000</v>
      </c>
      <c r="P982" s="6" t="str">
        <f>IFERROR(__xludf.DUMMYFUNCTION("""COMPUTED_VALUE"""),"PO Closed")</f>
        <v>PO Closed</v>
      </c>
      <c r="Q982" s="6" t="str">
        <f>IFERROR(__xludf.DUMMYFUNCTION("""COMPUTED_VALUE"""),"GL2001030")</f>
        <v>GL2001030</v>
      </c>
      <c r="R982" s="57">
        <f>IFERROR(__xludf.DUMMYFUNCTION("""COMPUTED_VALUE"""),43837.0)</f>
        <v>43837</v>
      </c>
      <c r="S982" s="6" t="str">
        <f>IFERROR(__xludf.DUMMYFUNCTION("""COMPUTED_VALUE"""),"-")</f>
        <v>-</v>
      </c>
      <c r="T982" s="57">
        <f>IFERROR(__xludf.DUMMYFUNCTION("""COMPUTED_VALUE"""),43868.0)</f>
        <v>43868</v>
      </c>
    </row>
    <row r="983">
      <c r="A983" s="6" t="str">
        <f>IFERROR(__xludf.DUMMYFUNCTION("""COMPUTED_VALUE"""),"201750015-1")</f>
        <v>201750015-1</v>
      </c>
      <c r="B983" s="6" t="str">
        <f>IFERROR(__xludf.DUMMYFUNCTION("""COMPUTED_VALUE"""),"201750015 - Approved")</f>
        <v>201750015 - Approved</v>
      </c>
      <c r="C983" s="6">
        <f>IFERROR(__xludf.DUMMYFUNCTION("""COMPUTED_VALUE"""),1.0)</f>
        <v>1</v>
      </c>
      <c r="D983" s="6" t="str">
        <f>IFERROR(__xludf.DUMMYFUNCTION("""COMPUTED_VALUE"""),"T-20127-00")</f>
        <v>T-20127-00</v>
      </c>
      <c r="E983" s="6" t="str">
        <f>IFERROR(__xludf.DUMMYFUNCTION("""COMPUTED_VALUE"""),"High Pressure Motorized Valve Rebuild Kit Waters P/N : WAT045424")</f>
        <v>High Pressure Motorized Valve Rebuild Kit Waters P/N : WAT045424</v>
      </c>
      <c r="F983" s="6">
        <f>IFERROR(__xludf.DUMMYFUNCTION("""COMPUTED_VALUE"""),1.0)</f>
        <v>1</v>
      </c>
      <c r="G983" s="6" t="str">
        <f>IFERROR(__xludf.DUMMYFUNCTION("""COMPUTED_VALUE"""),"Pieces")</f>
        <v>Pieces</v>
      </c>
      <c r="H983" s="6" t="str">
        <f>IFERROR(__xludf.DUMMYFUNCTION("""COMPUTED_VALUE"""),"IDR")</f>
        <v>IDR</v>
      </c>
      <c r="I983" s="6">
        <f>IFERROR(__xludf.DUMMYFUNCTION("""COMPUTED_VALUE"""),4045500.0)</f>
        <v>4045500</v>
      </c>
      <c r="J983" s="6">
        <f>IFERROR(__xludf.DUMMYFUNCTION("""COMPUTED_VALUE"""),4045500.0)</f>
        <v>4045500</v>
      </c>
      <c r="K983" s="57">
        <f>IFERROR(__xludf.DUMMYFUNCTION("""COMPUTED_VALUE"""),43868.0)</f>
        <v>43868</v>
      </c>
      <c r="L983" s="6" t="str">
        <f>IFERROR(__xludf.DUMMYFUNCTION("""COMPUTED_VALUE"""),"FIP General")</f>
        <v>FIP General</v>
      </c>
      <c r="M983" s="6" t="str">
        <f>IFERROR(__xludf.DUMMYFUNCTION("""COMPUTED_VALUE"""),"Irwan Sopian")</f>
        <v>Irwan Sopian</v>
      </c>
      <c r="N983" s="6" t="str">
        <f>IFERROR(__xludf.DUMMYFUNCTION("""COMPUTED_VALUE"""),"FIP Engineering")</f>
        <v>FIP Engineering</v>
      </c>
      <c r="O983" s="6" t="str">
        <f>IFERROR(__xludf.DUMMYFUNCTION("""COMPUTED_VALUE"""),"FIP-DOM-ENG-51505-0000000-INA-000000")</f>
        <v>FIP-DOM-ENG-51505-0000000-INA-000000</v>
      </c>
      <c r="P983" s="6" t="str">
        <f>IFERROR(__xludf.DUMMYFUNCTION("""COMPUTED_VALUE"""),"PO Closed")</f>
        <v>PO Closed</v>
      </c>
      <c r="Q983" s="6" t="str">
        <f>IFERROR(__xludf.DUMMYFUNCTION("""COMPUTED_VALUE"""),"GL2001018")</f>
        <v>GL2001018</v>
      </c>
      <c r="R983" s="57">
        <f>IFERROR(__xludf.DUMMYFUNCTION("""COMPUTED_VALUE"""),43838.0)</f>
        <v>43838</v>
      </c>
      <c r="S983" s="6" t="str">
        <f>IFERROR(__xludf.DUMMYFUNCTION("""COMPUTED_VALUE"""),"-")</f>
        <v>-</v>
      </c>
      <c r="T983" s="57">
        <f>IFERROR(__xludf.DUMMYFUNCTION("""COMPUTED_VALUE"""),43868.0)</f>
        <v>43868</v>
      </c>
    </row>
    <row r="984">
      <c r="A984" s="6" t="str">
        <f>IFERROR(__xludf.DUMMYFUNCTION("""COMPUTED_VALUE"""),"201750015-2")</f>
        <v>201750015-2</v>
      </c>
      <c r="B984" s="6" t="str">
        <f>IFERROR(__xludf.DUMMYFUNCTION("""COMPUTED_VALUE"""),"201750015 - Approved")</f>
        <v>201750015 - Approved</v>
      </c>
      <c r="C984" s="6">
        <f>IFERROR(__xludf.DUMMYFUNCTION("""COMPUTED_VALUE"""),2.0)</f>
        <v>2</v>
      </c>
      <c r="D984" s="6" t="str">
        <f>IFERROR(__xludf.DUMMYFUNCTION("""COMPUTED_VALUE"""),"T-20540-00")</f>
        <v>T-20540-00</v>
      </c>
      <c r="E984" s="6" t="str">
        <f>IFERROR(__xludf.DUMMYFUNCTION("""COMPUTED_VALUE"""),"Kit,Housing,HPMV,Molded p/n: 700010588; Waters; ;")</f>
        <v>Kit,Housing,HPMV,Molded p/n: 700010588; Waters; ;</v>
      </c>
      <c r="F984" s="6">
        <f>IFERROR(__xludf.DUMMYFUNCTION("""COMPUTED_VALUE"""),1.0)</f>
        <v>1</v>
      </c>
      <c r="G984" s="6" t="str">
        <f>IFERROR(__xludf.DUMMYFUNCTION("""COMPUTED_VALUE"""),"Pieces")</f>
        <v>Pieces</v>
      </c>
      <c r="H984" s="6" t="str">
        <f>IFERROR(__xludf.DUMMYFUNCTION("""COMPUTED_VALUE"""),"IDR")</f>
        <v>IDR</v>
      </c>
      <c r="I984" s="6">
        <f>IFERROR(__xludf.DUMMYFUNCTION("""COMPUTED_VALUE"""),1174500.0)</f>
        <v>1174500</v>
      </c>
      <c r="J984" s="6">
        <f>IFERROR(__xludf.DUMMYFUNCTION("""COMPUTED_VALUE"""),1174500.0)</f>
        <v>1174500</v>
      </c>
      <c r="K984" s="57">
        <f>IFERROR(__xludf.DUMMYFUNCTION("""COMPUTED_VALUE"""),43868.0)</f>
        <v>43868</v>
      </c>
      <c r="L984" s="6" t="str">
        <f>IFERROR(__xludf.DUMMYFUNCTION("""COMPUTED_VALUE"""),"FIP General")</f>
        <v>FIP General</v>
      </c>
      <c r="M984" s="6" t="str">
        <f>IFERROR(__xludf.DUMMYFUNCTION("""COMPUTED_VALUE"""),"Irwan Sopian")</f>
        <v>Irwan Sopian</v>
      </c>
      <c r="N984" s="6" t="str">
        <f>IFERROR(__xludf.DUMMYFUNCTION("""COMPUTED_VALUE"""),"FIP Engineering")</f>
        <v>FIP Engineering</v>
      </c>
      <c r="O984" s="6" t="str">
        <f>IFERROR(__xludf.DUMMYFUNCTION("""COMPUTED_VALUE"""),"FIP-DOM-ENG-51505-0000000-INA-000000")</f>
        <v>FIP-DOM-ENG-51505-0000000-INA-000000</v>
      </c>
      <c r="P984" s="6" t="str">
        <f>IFERROR(__xludf.DUMMYFUNCTION("""COMPUTED_VALUE"""),"PO Closed")</f>
        <v>PO Closed</v>
      </c>
      <c r="Q984" s="6" t="str">
        <f>IFERROR(__xludf.DUMMYFUNCTION("""COMPUTED_VALUE"""),"GL2001018")</f>
        <v>GL2001018</v>
      </c>
      <c r="R984" s="57">
        <f>IFERROR(__xludf.DUMMYFUNCTION("""COMPUTED_VALUE"""),43838.0)</f>
        <v>43838</v>
      </c>
      <c r="S984" s="6" t="str">
        <f>IFERROR(__xludf.DUMMYFUNCTION("""COMPUTED_VALUE"""),"-")</f>
        <v>-</v>
      </c>
      <c r="T984" s="57">
        <f>IFERROR(__xludf.DUMMYFUNCTION("""COMPUTED_VALUE"""),43868.0)</f>
        <v>43868</v>
      </c>
    </row>
    <row r="985">
      <c r="A985" s="6" t="str">
        <f>IFERROR(__xludf.DUMMYFUNCTION("""COMPUTED_VALUE"""),"201750015-3")</f>
        <v>201750015-3</v>
      </c>
      <c r="B985" s="6" t="str">
        <f>IFERROR(__xludf.DUMMYFUNCTION("""COMPUTED_VALUE"""),"201750015 - Approved")</f>
        <v>201750015 - Approved</v>
      </c>
      <c r="C985" s="6">
        <f>IFERROR(__xludf.DUMMYFUNCTION("""COMPUTED_VALUE"""),3.0)</f>
        <v>3</v>
      </c>
      <c r="D985" s="6" t="str">
        <f>IFERROR(__xludf.DUMMYFUNCTION("""COMPUTED_VALUE"""),"T-20002-00")</f>
        <v>T-20002-00</v>
      </c>
      <c r="E985" s="6" t="str">
        <f>IFERROR(__xludf.DUMMYFUNCTION("""COMPUTED_VALUE"""),"Jasa Service dan Pemasangan Sparepart")</f>
        <v>Jasa Service dan Pemasangan Sparepart</v>
      </c>
      <c r="F985" s="6">
        <f>IFERROR(__xludf.DUMMYFUNCTION("""COMPUTED_VALUE"""),1.0)</f>
        <v>1</v>
      </c>
      <c r="G985" s="6" t="str">
        <f>IFERROR(__xludf.DUMMYFUNCTION("""COMPUTED_VALUE"""),"Pieces")</f>
        <v>Pieces</v>
      </c>
      <c r="H985" s="6" t="str">
        <f>IFERROR(__xludf.DUMMYFUNCTION("""COMPUTED_VALUE"""),"IDR")</f>
        <v>IDR</v>
      </c>
      <c r="I985" s="6">
        <f>IFERROR(__xludf.DUMMYFUNCTION("""COMPUTED_VALUE"""),1000000.0)</f>
        <v>1000000</v>
      </c>
      <c r="J985" s="6">
        <f>IFERROR(__xludf.DUMMYFUNCTION("""COMPUTED_VALUE"""),1000000.0)</f>
        <v>1000000</v>
      </c>
      <c r="K985" s="57">
        <f>IFERROR(__xludf.DUMMYFUNCTION("""COMPUTED_VALUE"""),43868.0)</f>
        <v>43868</v>
      </c>
      <c r="L985" s="6" t="str">
        <f>IFERROR(__xludf.DUMMYFUNCTION("""COMPUTED_VALUE"""),"FIP General")</f>
        <v>FIP General</v>
      </c>
      <c r="M985" s="6" t="str">
        <f>IFERROR(__xludf.DUMMYFUNCTION("""COMPUTED_VALUE"""),"Irwan Sopian")</f>
        <v>Irwan Sopian</v>
      </c>
      <c r="N985" s="6" t="str">
        <f>IFERROR(__xludf.DUMMYFUNCTION("""COMPUTED_VALUE"""),"FIP Engineering")</f>
        <v>FIP Engineering</v>
      </c>
      <c r="O985" s="6" t="str">
        <f>IFERROR(__xludf.DUMMYFUNCTION("""COMPUTED_VALUE"""),"FIP-DOM-ENG-51505-0000000-INA-000000")</f>
        <v>FIP-DOM-ENG-51505-0000000-INA-000000</v>
      </c>
      <c r="P985" s="6" t="str">
        <f>IFERROR(__xludf.DUMMYFUNCTION("""COMPUTED_VALUE"""),"PO Closed")</f>
        <v>PO Closed</v>
      </c>
      <c r="Q985" s="6" t="str">
        <f>IFERROR(__xludf.DUMMYFUNCTION("""COMPUTED_VALUE"""),"GL2001018")</f>
        <v>GL2001018</v>
      </c>
      <c r="R985" s="57">
        <f>IFERROR(__xludf.DUMMYFUNCTION("""COMPUTED_VALUE"""),43838.0)</f>
        <v>43838</v>
      </c>
      <c r="S985" s="6" t="str">
        <f>IFERROR(__xludf.DUMMYFUNCTION("""COMPUTED_VALUE"""),"-")</f>
        <v>-</v>
      </c>
      <c r="T985" s="57">
        <f>IFERROR(__xludf.DUMMYFUNCTION("""COMPUTED_VALUE"""),43868.0)</f>
        <v>43868</v>
      </c>
    </row>
    <row r="986">
      <c r="A986" s="6" t="str">
        <f>IFERROR(__xludf.DUMMYFUNCTION("""COMPUTED_VALUE"""),"201750014-1")</f>
        <v>201750014-1</v>
      </c>
      <c r="B986" s="6" t="str">
        <f>IFERROR(__xludf.DUMMYFUNCTION("""COMPUTED_VALUE"""),"201750014 - Approved")</f>
        <v>201750014 - Approved</v>
      </c>
      <c r="C986" s="6">
        <f>IFERROR(__xludf.DUMMYFUNCTION("""COMPUTED_VALUE"""),1.0)</f>
        <v>1</v>
      </c>
      <c r="D986" s="6" t="str">
        <f>IFERROR(__xludf.DUMMYFUNCTION("""COMPUTED_VALUE"""),"O-17242-00")</f>
        <v>O-17242-00</v>
      </c>
      <c r="E986" s="6" t="str">
        <f>IFERROR(__xludf.DUMMYFUNCTION("""COMPUTED_VALUE"""),"Belt HTD 720-5M-95mm + Lapisan Blue Sponge 6mm")</f>
        <v>Belt HTD 720-5M-95mm + Lapisan Blue Sponge 6mm</v>
      </c>
      <c r="F986" s="6">
        <f>IFERROR(__xludf.DUMMYFUNCTION("""COMPUTED_VALUE"""),2.0)</f>
        <v>2</v>
      </c>
      <c r="G986" s="6" t="str">
        <f>IFERROR(__xludf.DUMMYFUNCTION("""COMPUTED_VALUE"""),"Pieces")</f>
        <v>Pieces</v>
      </c>
      <c r="H986" s="6" t="str">
        <f>IFERROR(__xludf.DUMMYFUNCTION("""COMPUTED_VALUE"""),"IDR")</f>
        <v>IDR</v>
      </c>
      <c r="I986" s="6">
        <f>IFERROR(__xludf.DUMMYFUNCTION("""COMPUTED_VALUE"""),2105000.0)</f>
        <v>2105000</v>
      </c>
      <c r="J986" s="6">
        <f>IFERROR(__xludf.DUMMYFUNCTION("""COMPUTED_VALUE"""),4210000.0)</f>
        <v>4210000</v>
      </c>
      <c r="K986" s="57">
        <f>IFERROR(__xludf.DUMMYFUNCTION("""COMPUTED_VALUE"""),43868.0)</f>
        <v>43868</v>
      </c>
      <c r="L986" s="6" t="str">
        <f>IFERROR(__xludf.DUMMYFUNCTION("""COMPUTED_VALUE"""),"FIP Engineering")</f>
        <v>FIP Engineering</v>
      </c>
      <c r="M986" s="6" t="str">
        <f>IFERROR(__xludf.DUMMYFUNCTION("""COMPUTED_VALUE"""),"Irwan Sopian")</f>
        <v>Irwan Sopian</v>
      </c>
      <c r="N986" s="6" t="str">
        <f>IFERROR(__xludf.DUMMYFUNCTION("""COMPUTED_VALUE"""),"FIP Engineering")</f>
        <v>FIP Engineering</v>
      </c>
      <c r="O986" s="6" t="str">
        <f>IFERROR(__xludf.DUMMYFUNCTION("""COMPUTED_VALUE"""),"FIP-DOM-000-11304-OS00001-INA-000000")</f>
        <v>FIP-DOM-000-11304-OS00001-INA-000000</v>
      </c>
      <c r="P986" s="6" t="str">
        <f>IFERROR(__xludf.DUMMYFUNCTION("""COMPUTED_VALUE"""),"PO Closed")</f>
        <v>PO Closed</v>
      </c>
      <c r="Q986" s="6" t="str">
        <f>IFERROR(__xludf.DUMMYFUNCTION("""COMPUTED_VALUE"""),"GL2001036")</f>
        <v>GL2001036</v>
      </c>
      <c r="R986" s="57">
        <f>IFERROR(__xludf.DUMMYFUNCTION("""COMPUTED_VALUE"""),43838.0)</f>
        <v>43838</v>
      </c>
      <c r="S986" s="6" t="str">
        <f>IFERROR(__xludf.DUMMYFUNCTION("""COMPUTED_VALUE"""),"-")</f>
        <v>-</v>
      </c>
      <c r="T986" s="57">
        <f>IFERROR(__xludf.DUMMYFUNCTION("""COMPUTED_VALUE"""),43871.0)</f>
        <v>43871</v>
      </c>
    </row>
    <row r="987">
      <c r="A987" s="6" t="str">
        <f>IFERROR(__xludf.DUMMYFUNCTION("""COMPUTED_VALUE"""),"201750013-1")</f>
        <v>201750013-1</v>
      </c>
      <c r="B987" s="6" t="str">
        <f>IFERROR(__xludf.DUMMYFUNCTION("""COMPUTED_VALUE"""),"201750013 - Approved")</f>
        <v>201750013 - Approved</v>
      </c>
      <c r="C987" s="6">
        <f>IFERROR(__xludf.DUMMYFUNCTION("""COMPUTED_VALUE"""),1.0)</f>
        <v>1</v>
      </c>
      <c r="D987" s="6" t="str">
        <f>IFERROR(__xludf.DUMMYFUNCTION("""COMPUTED_VALUE"""),"Q-10234-00")</f>
        <v>Q-10234-00</v>
      </c>
      <c r="E987" s="6" t="str">
        <f>IFERROR(__xludf.DUMMYFUNCTION("""COMPUTED_VALUE"""),"Silicone Sealant N10 Grey")</f>
        <v>Silicone Sealant N10 Grey</v>
      </c>
      <c r="F987" s="6">
        <f>IFERROR(__xludf.DUMMYFUNCTION("""COMPUTED_VALUE"""),8.0)</f>
        <v>8</v>
      </c>
      <c r="G987" s="6" t="str">
        <f>IFERROR(__xludf.DUMMYFUNCTION("""COMPUTED_VALUE"""),"Pieces")</f>
        <v>Pieces</v>
      </c>
      <c r="H987" s="6" t="str">
        <f>IFERROR(__xludf.DUMMYFUNCTION("""COMPUTED_VALUE"""),"IDR")</f>
        <v>IDR</v>
      </c>
      <c r="I987" s="6">
        <f>IFERROR(__xludf.DUMMYFUNCTION("""COMPUTED_VALUE"""),44100.0)</f>
        <v>44100</v>
      </c>
      <c r="J987" s="6">
        <f>IFERROR(__xludf.DUMMYFUNCTION("""COMPUTED_VALUE"""),352800.0)</f>
        <v>352800</v>
      </c>
      <c r="K987" s="57">
        <f>IFERROR(__xludf.DUMMYFUNCTION("""COMPUTED_VALUE"""),43861.0)</f>
        <v>43861</v>
      </c>
      <c r="L987" s="6" t="str">
        <f>IFERROR(__xludf.DUMMYFUNCTION("""COMPUTED_VALUE"""),"FIP Engineering")</f>
        <v>FIP Engineering</v>
      </c>
      <c r="M987" s="6" t="str">
        <f>IFERROR(__xludf.DUMMYFUNCTION("""COMPUTED_VALUE"""),"Irwan Sopian")</f>
        <v>Irwan Sopian</v>
      </c>
      <c r="N987" s="6" t="str">
        <f>IFERROR(__xludf.DUMMYFUNCTION("""COMPUTED_VALUE"""),"FIP Engineering")</f>
        <v>FIP Engineering</v>
      </c>
      <c r="O987" s="6" t="str">
        <f>IFERROR(__xludf.DUMMYFUNCTION("""COMPUTED_VALUE"""),"FIP-DOM-000-11304-OS00001-INA-000000")</f>
        <v>FIP-DOM-000-11304-OS00001-INA-000000</v>
      </c>
      <c r="P987" s="6" t="str">
        <f>IFERROR(__xludf.DUMMYFUNCTION("""COMPUTED_VALUE"""),"PO Closed")</f>
        <v>PO Closed</v>
      </c>
      <c r="Q987" s="6" t="str">
        <f>IFERROR(__xludf.DUMMYFUNCTION("""COMPUTED_VALUE"""),"GL2001038")</f>
        <v>GL2001038</v>
      </c>
      <c r="R987" s="57">
        <f>IFERROR(__xludf.DUMMYFUNCTION("""COMPUTED_VALUE"""),43838.0)</f>
        <v>43838</v>
      </c>
      <c r="S987" s="6" t="str">
        <f>IFERROR(__xludf.DUMMYFUNCTION("""COMPUTED_VALUE"""),"-")</f>
        <v>-</v>
      </c>
      <c r="T987" s="57">
        <f>IFERROR(__xludf.DUMMYFUNCTION("""COMPUTED_VALUE"""),43865.0)</f>
        <v>43865</v>
      </c>
    </row>
    <row r="988">
      <c r="A988" s="6" t="str">
        <f>IFERROR(__xludf.DUMMYFUNCTION("""COMPUTED_VALUE"""),"201750013-2")</f>
        <v>201750013-2</v>
      </c>
      <c r="B988" s="6" t="str">
        <f>IFERROR(__xludf.DUMMYFUNCTION("""COMPUTED_VALUE"""),"201750013 - Approved")</f>
        <v>201750013 - Approved</v>
      </c>
      <c r="C988" s="6">
        <f>IFERROR(__xludf.DUMMYFUNCTION("""COMPUTED_VALUE"""),2.0)</f>
        <v>2</v>
      </c>
      <c r="D988" s="6" t="str">
        <f>IFERROR(__xludf.DUMMYFUNCTION("""COMPUTED_VALUE"""),"Q-10232-00")</f>
        <v>Q-10232-00</v>
      </c>
      <c r="E988" s="6" t="str">
        <f>IFERROR(__xludf.DUMMYFUNCTION("""COMPUTED_VALUE"""),"Silicone Sealant N10 White")</f>
        <v>Silicone Sealant N10 White</v>
      </c>
      <c r="F988" s="6">
        <f>IFERROR(__xludf.DUMMYFUNCTION("""COMPUTED_VALUE"""),8.0)</f>
        <v>8</v>
      </c>
      <c r="G988" s="6" t="str">
        <f>IFERROR(__xludf.DUMMYFUNCTION("""COMPUTED_VALUE"""),"Pieces")</f>
        <v>Pieces</v>
      </c>
      <c r="H988" s="6" t="str">
        <f>IFERROR(__xludf.DUMMYFUNCTION("""COMPUTED_VALUE"""),"IDR")</f>
        <v>IDR</v>
      </c>
      <c r="I988" s="6">
        <f>IFERROR(__xludf.DUMMYFUNCTION("""COMPUTED_VALUE"""),44100.0)</f>
        <v>44100</v>
      </c>
      <c r="J988" s="6">
        <f>IFERROR(__xludf.DUMMYFUNCTION("""COMPUTED_VALUE"""),352800.0)</f>
        <v>352800</v>
      </c>
      <c r="K988" s="57">
        <f>IFERROR(__xludf.DUMMYFUNCTION("""COMPUTED_VALUE"""),43861.0)</f>
        <v>43861</v>
      </c>
      <c r="L988" s="6" t="str">
        <f>IFERROR(__xludf.DUMMYFUNCTION("""COMPUTED_VALUE"""),"FIP Engineering")</f>
        <v>FIP Engineering</v>
      </c>
      <c r="M988" s="6" t="str">
        <f>IFERROR(__xludf.DUMMYFUNCTION("""COMPUTED_VALUE"""),"Irwan Sopian")</f>
        <v>Irwan Sopian</v>
      </c>
      <c r="N988" s="6" t="str">
        <f>IFERROR(__xludf.DUMMYFUNCTION("""COMPUTED_VALUE"""),"FIP Engineering")</f>
        <v>FIP Engineering</v>
      </c>
      <c r="O988" s="6" t="str">
        <f>IFERROR(__xludf.DUMMYFUNCTION("""COMPUTED_VALUE"""),"FIP-DOM-000-11304-OS00001-INA-000000")</f>
        <v>FIP-DOM-000-11304-OS00001-INA-000000</v>
      </c>
      <c r="P988" s="6" t="str">
        <f>IFERROR(__xludf.DUMMYFUNCTION("""COMPUTED_VALUE"""),"PO Closed")</f>
        <v>PO Closed</v>
      </c>
      <c r="Q988" s="6" t="str">
        <f>IFERROR(__xludf.DUMMYFUNCTION("""COMPUTED_VALUE"""),"GL2001038")</f>
        <v>GL2001038</v>
      </c>
      <c r="R988" s="57">
        <f>IFERROR(__xludf.DUMMYFUNCTION("""COMPUTED_VALUE"""),43838.0)</f>
        <v>43838</v>
      </c>
      <c r="S988" s="6" t="str">
        <f>IFERROR(__xludf.DUMMYFUNCTION("""COMPUTED_VALUE"""),"-")</f>
        <v>-</v>
      </c>
      <c r="T988" s="57">
        <f>IFERROR(__xludf.DUMMYFUNCTION("""COMPUTED_VALUE"""),43865.0)</f>
        <v>43865</v>
      </c>
    </row>
    <row r="989">
      <c r="A989" s="6" t="str">
        <f>IFERROR(__xludf.DUMMYFUNCTION("""COMPUTED_VALUE"""),"201750013-3")</f>
        <v>201750013-3</v>
      </c>
      <c r="B989" s="6" t="str">
        <f>IFERROR(__xludf.DUMMYFUNCTION("""COMPUTED_VALUE"""),"201750013 - Approved")</f>
        <v>201750013 - Approved</v>
      </c>
      <c r="C989" s="6">
        <f>IFERROR(__xludf.DUMMYFUNCTION("""COMPUTED_VALUE"""),3.0)</f>
        <v>3</v>
      </c>
      <c r="D989" s="6" t="str">
        <f>IFERROR(__xludf.DUMMYFUNCTION("""COMPUTED_VALUE"""),"Q-10233-00")</f>
        <v>Q-10233-00</v>
      </c>
      <c r="E989" s="6" t="str">
        <f>IFERROR(__xludf.DUMMYFUNCTION("""COMPUTED_VALUE"""),"Silicone Sealant N10 Clear")</f>
        <v>Silicone Sealant N10 Clear</v>
      </c>
      <c r="F989" s="6">
        <f>IFERROR(__xludf.DUMMYFUNCTION("""COMPUTED_VALUE"""),4.0)</f>
        <v>4</v>
      </c>
      <c r="G989" s="6" t="str">
        <f>IFERROR(__xludf.DUMMYFUNCTION("""COMPUTED_VALUE"""),"Pieces")</f>
        <v>Pieces</v>
      </c>
      <c r="H989" s="6" t="str">
        <f>IFERROR(__xludf.DUMMYFUNCTION("""COMPUTED_VALUE"""),"IDR")</f>
        <v>IDR</v>
      </c>
      <c r="I989" s="6">
        <f>IFERROR(__xludf.DUMMYFUNCTION("""COMPUTED_VALUE"""),44100.0)</f>
        <v>44100</v>
      </c>
      <c r="J989" s="6">
        <f>IFERROR(__xludf.DUMMYFUNCTION("""COMPUTED_VALUE"""),176400.0)</f>
        <v>176400</v>
      </c>
      <c r="K989" s="57">
        <f>IFERROR(__xludf.DUMMYFUNCTION("""COMPUTED_VALUE"""),43861.0)</f>
        <v>43861</v>
      </c>
      <c r="L989" s="6" t="str">
        <f>IFERROR(__xludf.DUMMYFUNCTION("""COMPUTED_VALUE"""),"FIP Engineering")</f>
        <v>FIP Engineering</v>
      </c>
      <c r="M989" s="6" t="str">
        <f>IFERROR(__xludf.DUMMYFUNCTION("""COMPUTED_VALUE"""),"Irwan Sopian")</f>
        <v>Irwan Sopian</v>
      </c>
      <c r="N989" s="6" t="str">
        <f>IFERROR(__xludf.DUMMYFUNCTION("""COMPUTED_VALUE"""),"FIP Engineering")</f>
        <v>FIP Engineering</v>
      </c>
      <c r="O989" s="6" t="str">
        <f>IFERROR(__xludf.DUMMYFUNCTION("""COMPUTED_VALUE"""),"FIP-DOM-000-11304-OS00001-INA-000000")</f>
        <v>FIP-DOM-000-11304-OS00001-INA-000000</v>
      </c>
      <c r="P989" s="6" t="str">
        <f>IFERROR(__xludf.DUMMYFUNCTION("""COMPUTED_VALUE"""),"PO Closed")</f>
        <v>PO Closed</v>
      </c>
      <c r="Q989" s="6" t="str">
        <f>IFERROR(__xludf.DUMMYFUNCTION("""COMPUTED_VALUE"""),"GL2001038")</f>
        <v>GL2001038</v>
      </c>
      <c r="R989" s="57">
        <f>IFERROR(__xludf.DUMMYFUNCTION("""COMPUTED_VALUE"""),43838.0)</f>
        <v>43838</v>
      </c>
      <c r="S989" s="6" t="str">
        <f>IFERROR(__xludf.DUMMYFUNCTION("""COMPUTED_VALUE"""),"-")</f>
        <v>-</v>
      </c>
      <c r="T989" s="57">
        <f>IFERROR(__xludf.DUMMYFUNCTION("""COMPUTED_VALUE"""),43865.0)</f>
        <v>43865</v>
      </c>
    </row>
    <row r="990">
      <c r="A990" s="6" t="str">
        <f>IFERROR(__xludf.DUMMYFUNCTION("""COMPUTED_VALUE"""),"201750013-4")</f>
        <v>201750013-4</v>
      </c>
      <c r="B990" s="6" t="str">
        <f>IFERROR(__xludf.DUMMYFUNCTION("""COMPUTED_VALUE"""),"201750013 - Approved")</f>
        <v>201750013 - Approved</v>
      </c>
      <c r="C990" s="6">
        <f>IFERROR(__xludf.DUMMYFUNCTION("""COMPUTED_VALUE"""),4.0)</f>
        <v>4</v>
      </c>
      <c r="D990" s="6" t="str">
        <f>IFERROR(__xludf.DUMMYFUNCTION("""COMPUTED_VALUE"""),"Q-10817-00")</f>
        <v>Q-10817-00</v>
      </c>
      <c r="E990" s="6" t="str">
        <f>IFERROR(__xludf.DUMMYFUNCTION("""COMPUTED_VALUE"""),"Door Closer Type: TS77 Hold Open DORMA")</f>
        <v>Door Closer Type: TS77 Hold Open DORMA</v>
      </c>
      <c r="F990" s="6">
        <f>IFERROR(__xludf.DUMMYFUNCTION("""COMPUTED_VALUE"""),2.0)</f>
        <v>2</v>
      </c>
      <c r="G990" s="6" t="str">
        <f>IFERROR(__xludf.DUMMYFUNCTION("""COMPUTED_VALUE"""),"Pieces")</f>
        <v>Pieces</v>
      </c>
      <c r="H990" s="6" t="str">
        <f>IFERROR(__xludf.DUMMYFUNCTION("""COMPUTED_VALUE"""),"IDR")</f>
        <v>IDR</v>
      </c>
      <c r="I990" s="6">
        <f>IFERROR(__xludf.DUMMYFUNCTION("""COMPUTED_VALUE"""),600000.0)</f>
        <v>600000</v>
      </c>
      <c r="J990" s="6">
        <f>IFERROR(__xludf.DUMMYFUNCTION("""COMPUTED_VALUE"""),1200000.0)</f>
        <v>1200000</v>
      </c>
      <c r="K990" s="57">
        <f>IFERROR(__xludf.DUMMYFUNCTION("""COMPUTED_VALUE"""),43861.0)</f>
        <v>43861</v>
      </c>
      <c r="L990" s="6" t="str">
        <f>IFERROR(__xludf.DUMMYFUNCTION("""COMPUTED_VALUE"""),"FIP Engineering")</f>
        <v>FIP Engineering</v>
      </c>
      <c r="M990" s="6" t="str">
        <f>IFERROR(__xludf.DUMMYFUNCTION("""COMPUTED_VALUE"""),"Irwan Sopian")</f>
        <v>Irwan Sopian</v>
      </c>
      <c r="N990" s="6" t="str">
        <f>IFERROR(__xludf.DUMMYFUNCTION("""COMPUTED_VALUE"""),"FIP Engineering")</f>
        <v>FIP Engineering</v>
      </c>
      <c r="O990" s="6" t="str">
        <f>IFERROR(__xludf.DUMMYFUNCTION("""COMPUTED_VALUE"""),"FIP-DOM-000-11304-OS00001-INA-000000")</f>
        <v>FIP-DOM-000-11304-OS00001-INA-000000</v>
      </c>
      <c r="P990" s="6" t="str">
        <f>IFERROR(__xludf.DUMMYFUNCTION("""COMPUTED_VALUE"""),"PO Closed")</f>
        <v>PO Closed</v>
      </c>
      <c r="Q990" s="6" t="str">
        <f>IFERROR(__xludf.DUMMYFUNCTION("""COMPUTED_VALUE"""),"GL2001038")</f>
        <v>GL2001038</v>
      </c>
      <c r="R990" s="57">
        <f>IFERROR(__xludf.DUMMYFUNCTION("""COMPUTED_VALUE"""),43838.0)</f>
        <v>43838</v>
      </c>
      <c r="S990" s="6" t="str">
        <f>IFERROR(__xludf.DUMMYFUNCTION("""COMPUTED_VALUE"""),"-")</f>
        <v>-</v>
      </c>
      <c r="T990" s="57">
        <f>IFERROR(__xludf.DUMMYFUNCTION("""COMPUTED_VALUE"""),43865.0)</f>
        <v>43865</v>
      </c>
    </row>
    <row r="991">
      <c r="A991" s="6" t="str">
        <f>IFERROR(__xludf.DUMMYFUNCTION("""COMPUTED_VALUE"""),"201750013-5")</f>
        <v>201750013-5</v>
      </c>
      <c r="B991" s="6" t="str">
        <f>IFERROR(__xludf.DUMMYFUNCTION("""COMPUTED_VALUE"""),"201750013 - Approved")</f>
        <v>201750013 - Approved</v>
      </c>
      <c r="C991" s="6">
        <f>IFERROR(__xludf.DUMMYFUNCTION("""COMPUTED_VALUE"""),5.0)</f>
        <v>5</v>
      </c>
      <c r="D991" s="6" t="str">
        <f>IFERROR(__xludf.DUMMYFUNCTION("""COMPUTED_VALUE"""),"P-51027-00")</f>
        <v>P-51027-00</v>
      </c>
      <c r="E991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991" s="6">
        <f>IFERROR(__xludf.DUMMYFUNCTION("""COMPUTED_VALUE"""),5.0)</f>
        <v>5</v>
      </c>
      <c r="G991" s="6" t="str">
        <f>IFERROR(__xludf.DUMMYFUNCTION("""COMPUTED_VALUE"""),"Pieces")</f>
        <v>Pieces</v>
      </c>
      <c r="H991" s="6" t="str">
        <f>IFERROR(__xludf.DUMMYFUNCTION("""COMPUTED_VALUE"""),"IDR")</f>
        <v>IDR</v>
      </c>
      <c r="I991" s="6">
        <f>IFERROR(__xludf.DUMMYFUNCTION("""COMPUTED_VALUE"""),53000.0)</f>
        <v>53000</v>
      </c>
      <c r="J991" s="6">
        <f>IFERROR(__xludf.DUMMYFUNCTION("""COMPUTED_VALUE"""),265000.0)</f>
        <v>265000</v>
      </c>
      <c r="K991" s="57">
        <f>IFERROR(__xludf.DUMMYFUNCTION("""COMPUTED_VALUE"""),43861.0)</f>
        <v>43861</v>
      </c>
      <c r="L991" s="6" t="str">
        <f>IFERROR(__xludf.DUMMYFUNCTION("""COMPUTED_VALUE"""),"FIP Engineering")</f>
        <v>FIP Engineering</v>
      </c>
      <c r="M991" s="6" t="str">
        <f>IFERROR(__xludf.DUMMYFUNCTION("""COMPUTED_VALUE"""),"Irwan Sopian")</f>
        <v>Irwan Sopian</v>
      </c>
      <c r="N991" s="6" t="str">
        <f>IFERROR(__xludf.DUMMYFUNCTION("""COMPUTED_VALUE"""),"FIP Engineering")</f>
        <v>FIP Engineering</v>
      </c>
      <c r="O991" s="6" t="str">
        <f>IFERROR(__xludf.DUMMYFUNCTION("""COMPUTED_VALUE"""),"FIP-DOM-000-11304-OS00001-INA-000000")</f>
        <v>FIP-DOM-000-11304-OS00001-INA-000000</v>
      </c>
      <c r="P991" s="6" t="str">
        <f>IFERROR(__xludf.DUMMYFUNCTION("""COMPUTED_VALUE"""),"PO Closed")</f>
        <v>PO Closed</v>
      </c>
      <c r="Q991" s="6" t="str">
        <f>IFERROR(__xludf.DUMMYFUNCTION("""COMPUTED_VALUE"""),"GL2001038")</f>
        <v>GL2001038</v>
      </c>
      <c r="R991" s="57">
        <f>IFERROR(__xludf.DUMMYFUNCTION("""COMPUTED_VALUE"""),43838.0)</f>
        <v>43838</v>
      </c>
      <c r="S991" s="6" t="str">
        <f>IFERROR(__xludf.DUMMYFUNCTION("""COMPUTED_VALUE"""),"-")</f>
        <v>-</v>
      </c>
      <c r="T991" s="57">
        <f>IFERROR(__xludf.DUMMYFUNCTION("""COMPUTED_VALUE"""),43865.0)</f>
        <v>43865</v>
      </c>
    </row>
    <row r="992">
      <c r="A992" s="6" t="str">
        <f>IFERROR(__xludf.DUMMYFUNCTION("""COMPUTED_VALUE"""),"201750013-6")</f>
        <v>201750013-6</v>
      </c>
      <c r="B992" s="6" t="str">
        <f>IFERROR(__xludf.DUMMYFUNCTION("""COMPUTED_VALUE"""),"201750013 - Approved")</f>
        <v>201750013 - Approved</v>
      </c>
      <c r="C992" s="6">
        <f>IFERROR(__xludf.DUMMYFUNCTION("""COMPUTED_VALUE"""),6.0)</f>
        <v>6</v>
      </c>
      <c r="D992" s="6" t="str">
        <f>IFERROR(__xludf.DUMMYFUNCTION("""COMPUTED_VALUE"""),"P-53102-00")</f>
        <v>P-53102-00</v>
      </c>
      <c r="E992" s="6" t="str">
        <f>IFERROR(__xludf.DUMMYFUNCTION("""COMPUTED_VALUE"""),"Lampu PLC 13watt/E27 Putih Phillips")</f>
        <v>Lampu PLC 13watt/E27 Putih Phillips</v>
      </c>
      <c r="F992" s="6">
        <f>IFERROR(__xludf.DUMMYFUNCTION("""COMPUTED_VALUE"""),10.0)</f>
        <v>10</v>
      </c>
      <c r="G992" s="6" t="str">
        <f>IFERROR(__xludf.DUMMYFUNCTION("""COMPUTED_VALUE"""),"Pieces")</f>
        <v>Pieces</v>
      </c>
      <c r="H992" s="6" t="str">
        <f>IFERROR(__xludf.DUMMYFUNCTION("""COMPUTED_VALUE"""),"IDR")</f>
        <v>IDR</v>
      </c>
      <c r="I992" s="6">
        <f>IFERROR(__xludf.DUMMYFUNCTION("""COMPUTED_VALUE"""),27000.0)</f>
        <v>27000</v>
      </c>
      <c r="J992" s="6">
        <f>IFERROR(__xludf.DUMMYFUNCTION("""COMPUTED_VALUE"""),270000.0)</f>
        <v>270000</v>
      </c>
      <c r="K992" s="57">
        <f>IFERROR(__xludf.DUMMYFUNCTION("""COMPUTED_VALUE"""),43861.0)</f>
        <v>43861</v>
      </c>
      <c r="L992" s="6" t="str">
        <f>IFERROR(__xludf.DUMMYFUNCTION("""COMPUTED_VALUE"""),"FIP Engineering")</f>
        <v>FIP Engineering</v>
      </c>
      <c r="M992" s="6" t="str">
        <f>IFERROR(__xludf.DUMMYFUNCTION("""COMPUTED_VALUE"""),"Irwan Sopian")</f>
        <v>Irwan Sopian</v>
      </c>
      <c r="N992" s="6" t="str">
        <f>IFERROR(__xludf.DUMMYFUNCTION("""COMPUTED_VALUE"""),"FIP Engineering")</f>
        <v>FIP Engineering</v>
      </c>
      <c r="O992" s="6" t="str">
        <f>IFERROR(__xludf.DUMMYFUNCTION("""COMPUTED_VALUE"""),"FIP-DOM-000-11304-OS00001-INA-000000")</f>
        <v>FIP-DOM-000-11304-OS00001-INA-000000</v>
      </c>
      <c r="P992" s="6" t="str">
        <f>IFERROR(__xludf.DUMMYFUNCTION("""COMPUTED_VALUE"""),"PO Closed")</f>
        <v>PO Closed</v>
      </c>
      <c r="Q992" s="6" t="str">
        <f>IFERROR(__xludf.DUMMYFUNCTION("""COMPUTED_VALUE"""),"GL2001038")</f>
        <v>GL2001038</v>
      </c>
      <c r="R992" s="57">
        <f>IFERROR(__xludf.DUMMYFUNCTION("""COMPUTED_VALUE"""),43838.0)</f>
        <v>43838</v>
      </c>
      <c r="S992" s="6" t="str">
        <f>IFERROR(__xludf.DUMMYFUNCTION("""COMPUTED_VALUE"""),"-")</f>
        <v>-</v>
      </c>
      <c r="T992" s="57">
        <f>IFERROR(__xludf.DUMMYFUNCTION("""COMPUTED_VALUE"""),43865.0)</f>
        <v>43865</v>
      </c>
    </row>
    <row r="993">
      <c r="A993" s="6" t="str">
        <f>IFERROR(__xludf.DUMMYFUNCTION("""COMPUTED_VALUE"""),"201750013-7")</f>
        <v>201750013-7</v>
      </c>
      <c r="B993" s="6" t="str">
        <f>IFERROR(__xludf.DUMMYFUNCTION("""COMPUTED_VALUE"""),"201750013 - Approved")</f>
        <v>201750013 - Approved</v>
      </c>
      <c r="C993" s="6">
        <f>IFERROR(__xludf.DUMMYFUNCTION("""COMPUTED_VALUE"""),7.0)</f>
        <v>7</v>
      </c>
      <c r="D993" s="6" t="str">
        <f>IFERROR(__xludf.DUMMYFUNCTION("""COMPUTED_VALUE"""),"O-15931-00")</f>
        <v>O-15931-00</v>
      </c>
      <c r="E993" s="6" t="str">
        <f>IFERROR(__xludf.DUMMYFUNCTION("""COMPUTED_VALUE"""),"Double Tape 3M 1"" Merah; ; ;")</f>
        <v>Double Tape 3M 1" Merah; ; ;</v>
      </c>
      <c r="F993" s="6">
        <f>IFERROR(__xludf.DUMMYFUNCTION("""COMPUTED_VALUE"""),5.0)</f>
        <v>5</v>
      </c>
      <c r="G993" s="6" t="str">
        <f>IFERROR(__xludf.DUMMYFUNCTION("""COMPUTED_VALUE"""),"Pieces")</f>
        <v>Pieces</v>
      </c>
      <c r="H993" s="6" t="str">
        <f>IFERROR(__xludf.DUMMYFUNCTION("""COMPUTED_VALUE"""),"IDR")</f>
        <v>IDR</v>
      </c>
      <c r="I993" s="6">
        <f>IFERROR(__xludf.DUMMYFUNCTION("""COMPUTED_VALUE"""),112500.0)</f>
        <v>112500</v>
      </c>
      <c r="J993" s="6">
        <f>IFERROR(__xludf.DUMMYFUNCTION("""COMPUTED_VALUE"""),562500.0)</f>
        <v>562500</v>
      </c>
      <c r="K993" s="57">
        <f>IFERROR(__xludf.DUMMYFUNCTION("""COMPUTED_VALUE"""),43861.0)</f>
        <v>43861</v>
      </c>
      <c r="L993" s="6" t="str">
        <f>IFERROR(__xludf.DUMMYFUNCTION("""COMPUTED_VALUE"""),"FIP Engineering")</f>
        <v>FIP Engineering</v>
      </c>
      <c r="M993" s="6" t="str">
        <f>IFERROR(__xludf.DUMMYFUNCTION("""COMPUTED_VALUE"""),"Irwan Sopian")</f>
        <v>Irwan Sopian</v>
      </c>
      <c r="N993" s="6" t="str">
        <f>IFERROR(__xludf.DUMMYFUNCTION("""COMPUTED_VALUE"""),"FIP Engineering")</f>
        <v>FIP Engineering</v>
      </c>
      <c r="O993" s="6" t="str">
        <f>IFERROR(__xludf.DUMMYFUNCTION("""COMPUTED_VALUE"""),"FIP-DOM-000-11304-OS00001-INA-000000")</f>
        <v>FIP-DOM-000-11304-OS00001-INA-000000</v>
      </c>
      <c r="P993" s="6" t="str">
        <f>IFERROR(__xludf.DUMMYFUNCTION("""COMPUTED_VALUE"""),"PO Closed")</f>
        <v>PO Closed</v>
      </c>
      <c r="Q993" s="6" t="str">
        <f>IFERROR(__xludf.DUMMYFUNCTION("""COMPUTED_VALUE"""),"GL2001038")</f>
        <v>GL2001038</v>
      </c>
      <c r="R993" s="57">
        <f>IFERROR(__xludf.DUMMYFUNCTION("""COMPUTED_VALUE"""),43838.0)</f>
        <v>43838</v>
      </c>
      <c r="S993" s="6" t="str">
        <f>IFERROR(__xludf.DUMMYFUNCTION("""COMPUTED_VALUE"""),"-")</f>
        <v>-</v>
      </c>
      <c r="T993" s="57">
        <f>IFERROR(__xludf.DUMMYFUNCTION("""COMPUTED_VALUE"""),43865.0)</f>
        <v>43865</v>
      </c>
    </row>
    <row r="994">
      <c r="A994" s="6" t="str">
        <f>IFERROR(__xludf.DUMMYFUNCTION("""COMPUTED_VALUE"""),"201750018-1")</f>
        <v>201750018-1</v>
      </c>
      <c r="B994" s="6" t="str">
        <f>IFERROR(__xludf.DUMMYFUNCTION("""COMPUTED_VALUE"""),"201750018 - Approved")</f>
        <v>201750018 - Approved</v>
      </c>
      <c r="C994" s="6">
        <f>IFERROR(__xludf.DUMMYFUNCTION("""COMPUTED_VALUE"""),1.0)</f>
        <v>1</v>
      </c>
      <c r="D994" s="6" t="str">
        <f>IFERROR(__xludf.DUMMYFUNCTION("""COMPUTED_VALUE"""),"T-20123-00")</f>
        <v>T-20123-00</v>
      </c>
      <c r="E994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994" s="6">
        <f>IFERROR(__xludf.DUMMYFUNCTION("""COMPUTED_VALUE"""),2.0)</f>
        <v>2</v>
      </c>
      <c r="G994" s="6" t="str">
        <f>IFERROR(__xludf.DUMMYFUNCTION("""COMPUTED_VALUE"""),"Pieces")</f>
        <v>Pieces</v>
      </c>
      <c r="H994" s="6" t="str">
        <f>IFERROR(__xludf.DUMMYFUNCTION("""COMPUTED_VALUE"""),"IDR")</f>
        <v>IDR</v>
      </c>
      <c r="I994" s="6">
        <f>IFERROR(__xludf.DUMMYFUNCTION("""COMPUTED_VALUE"""),1.0728198E7)</f>
        <v>10728198</v>
      </c>
      <c r="J994" s="6">
        <f>IFERROR(__xludf.DUMMYFUNCTION("""COMPUTED_VALUE"""),2.1456396E7)</f>
        <v>21456396</v>
      </c>
      <c r="K994" s="57">
        <f>IFERROR(__xludf.DUMMYFUNCTION("""COMPUTED_VALUE"""),43875.0)</f>
        <v>43875</v>
      </c>
      <c r="L994" s="6" t="str">
        <f>IFERROR(__xludf.DUMMYFUNCTION("""COMPUTED_VALUE"""),"FIP General")</f>
        <v>FIP General</v>
      </c>
      <c r="M994" s="6" t="str">
        <f>IFERROR(__xludf.DUMMYFUNCTION("""COMPUTED_VALUE"""),"Irwan Sopian")</f>
        <v>Irwan Sopian</v>
      </c>
      <c r="N994" s="6" t="str">
        <f>IFERROR(__xludf.DUMMYFUNCTION("""COMPUTED_VALUE"""),"FIP Engineering")</f>
        <v>FIP Engineering</v>
      </c>
      <c r="O994" s="6" t="str">
        <f>IFERROR(__xludf.DUMMYFUNCTION("""COMPUTED_VALUE"""),"FIP-DOM-ENG-51505-0000000-INA-000000")</f>
        <v>FIP-DOM-ENG-51505-0000000-INA-000000</v>
      </c>
      <c r="P994" s="6" t="str">
        <f>IFERROR(__xludf.DUMMYFUNCTION("""COMPUTED_VALUE"""),"PO Closed")</f>
        <v>PO Closed</v>
      </c>
      <c r="Q994" s="6" t="str">
        <f>IFERROR(__xludf.DUMMYFUNCTION("""COMPUTED_VALUE"""),"GL2001023")</f>
        <v>GL2001023</v>
      </c>
      <c r="R994" s="57">
        <f>IFERROR(__xludf.DUMMYFUNCTION("""COMPUTED_VALUE"""),43839.0)</f>
        <v>43839</v>
      </c>
      <c r="S994" s="6" t="str">
        <f>IFERROR(__xludf.DUMMYFUNCTION("""COMPUTED_VALUE"""),"-")</f>
        <v>-</v>
      </c>
      <c r="T994" s="57">
        <f>IFERROR(__xludf.DUMMYFUNCTION("""COMPUTED_VALUE"""),43861.0)</f>
        <v>43861</v>
      </c>
    </row>
    <row r="995">
      <c r="A995" s="6" t="str">
        <f>IFERROR(__xludf.DUMMYFUNCTION("""COMPUTED_VALUE"""),"201750016-1")</f>
        <v>201750016-1</v>
      </c>
      <c r="B995" s="6" t="str">
        <f>IFERROR(__xludf.DUMMYFUNCTION("""COMPUTED_VALUE"""),"201750016 - Approved")</f>
        <v>201750016 - Approved</v>
      </c>
      <c r="C995" s="6">
        <f>IFERROR(__xludf.DUMMYFUNCTION("""COMPUTED_VALUE"""),1.0)</f>
        <v>1</v>
      </c>
      <c r="D995" s="6" t="str">
        <f>IFERROR(__xludf.DUMMYFUNCTION("""COMPUTED_VALUE"""),"P-54094-00")</f>
        <v>P-54094-00</v>
      </c>
      <c r="E995" s="6" t="str">
        <f>IFERROR(__xludf.DUMMYFUNCTION("""COMPUTED_VALUE"""),"Hepa Filter - H14 ( 99.999% ) size: 610x610x70 mm Hencolin")</f>
        <v>Hepa Filter - H14 ( 99.999% ) size: 610x610x70 mm Hencolin</v>
      </c>
      <c r="F995" s="6">
        <f>IFERROR(__xludf.DUMMYFUNCTION("""COMPUTED_VALUE"""),2.0)</f>
        <v>2</v>
      </c>
      <c r="G995" s="6" t="str">
        <f>IFERROR(__xludf.DUMMYFUNCTION("""COMPUTED_VALUE"""),"Pieces")</f>
        <v>Pieces</v>
      </c>
      <c r="H995" s="6" t="str">
        <f>IFERROR(__xludf.DUMMYFUNCTION("""COMPUTED_VALUE"""),"IDR")</f>
        <v>IDR</v>
      </c>
      <c r="I995" s="6">
        <f>IFERROR(__xludf.DUMMYFUNCTION("""COMPUTED_VALUE"""),1585000.0)</f>
        <v>1585000</v>
      </c>
      <c r="J995" s="6">
        <f>IFERROR(__xludf.DUMMYFUNCTION("""COMPUTED_VALUE"""),3170000.0)</f>
        <v>3170000</v>
      </c>
      <c r="K995" s="57">
        <f>IFERROR(__xludf.DUMMYFUNCTION("""COMPUTED_VALUE"""),43868.0)</f>
        <v>43868</v>
      </c>
      <c r="L995" s="6" t="str">
        <f>IFERROR(__xludf.DUMMYFUNCTION("""COMPUTED_VALUE"""),"FIP Engineering")</f>
        <v>FIP Engineering</v>
      </c>
      <c r="M995" s="6" t="str">
        <f>IFERROR(__xludf.DUMMYFUNCTION("""COMPUTED_VALUE"""),"Irwan Sopian")</f>
        <v>Irwan Sopian</v>
      </c>
      <c r="N995" s="6" t="str">
        <f>IFERROR(__xludf.DUMMYFUNCTION("""COMPUTED_VALUE"""),"FIP Engineering")</f>
        <v>FIP Engineering</v>
      </c>
      <c r="O995" s="6" t="str">
        <f>IFERROR(__xludf.DUMMYFUNCTION("""COMPUTED_VALUE"""),"FIP-DOM-000-11304-OS00001-INA-000000")</f>
        <v>FIP-DOM-000-11304-OS00001-INA-000000</v>
      </c>
      <c r="P995" s="6" t="str">
        <f>IFERROR(__xludf.DUMMYFUNCTION("""COMPUTED_VALUE"""),"PO Closed")</f>
        <v>PO Closed</v>
      </c>
      <c r="Q995" s="6" t="str">
        <f>IFERROR(__xludf.DUMMYFUNCTION("""COMPUTED_VALUE"""),"GL2001033")</f>
        <v>GL2001033</v>
      </c>
      <c r="R995" s="57">
        <f>IFERROR(__xludf.DUMMYFUNCTION("""COMPUTED_VALUE"""),43839.0)</f>
        <v>43839</v>
      </c>
      <c r="S995" s="6" t="str">
        <f>IFERROR(__xludf.DUMMYFUNCTION("""COMPUTED_VALUE"""),"-")</f>
        <v>-</v>
      </c>
      <c r="T995" s="57">
        <f>IFERROR(__xludf.DUMMYFUNCTION("""COMPUTED_VALUE"""),43868.0)</f>
        <v>43868</v>
      </c>
    </row>
    <row r="996">
      <c r="A996" s="6" t="str">
        <f>IFERROR(__xludf.DUMMYFUNCTION("""COMPUTED_VALUE"""),"201750013-8")</f>
        <v>201750013-8</v>
      </c>
      <c r="B996" s="6" t="str">
        <f>IFERROR(__xludf.DUMMYFUNCTION("""COMPUTED_VALUE"""),"201750013 - Approved")</f>
        <v>201750013 - Approved</v>
      </c>
      <c r="C996" s="6">
        <f>IFERROR(__xludf.DUMMYFUNCTION("""COMPUTED_VALUE"""),8.0)</f>
        <v>8</v>
      </c>
      <c r="D996" s="6" t="str">
        <f>IFERROR(__xludf.DUMMYFUNCTION("""COMPUTED_VALUE"""),"Q-10552-00")</f>
        <v>Q-10552-00</v>
      </c>
      <c r="E996" s="6" t="str">
        <f>IFERROR(__xludf.DUMMYFUNCTION("""COMPUTED_VALUE"""),"Stiker Kaca Sandblast")</f>
        <v>Stiker Kaca Sandblast</v>
      </c>
      <c r="F996" s="6">
        <f>IFERROR(__xludf.DUMMYFUNCTION("""COMPUTED_VALUE"""),5.0)</f>
        <v>5</v>
      </c>
      <c r="G996" s="6" t="str">
        <f>IFERROR(__xludf.DUMMYFUNCTION("""COMPUTED_VALUE"""),"Meter")</f>
        <v>Meter</v>
      </c>
      <c r="H996" s="6" t="str">
        <f>IFERROR(__xludf.DUMMYFUNCTION("""COMPUTED_VALUE"""),"IDR")</f>
        <v>IDR</v>
      </c>
      <c r="I996" s="6">
        <f>IFERROR(__xludf.DUMMYFUNCTION("""COMPUTED_VALUE"""),85000.0)</f>
        <v>85000</v>
      </c>
      <c r="J996" s="6">
        <f>IFERROR(__xludf.DUMMYFUNCTION("""COMPUTED_VALUE"""),425000.0)</f>
        <v>425000</v>
      </c>
      <c r="K996" s="57">
        <f>IFERROR(__xludf.DUMMYFUNCTION("""COMPUTED_VALUE"""),43861.0)</f>
        <v>43861</v>
      </c>
      <c r="L996" s="6" t="str">
        <f>IFERROR(__xludf.DUMMYFUNCTION("""COMPUTED_VALUE"""),"FIP General")</f>
        <v>FIP General</v>
      </c>
      <c r="M996" s="6" t="str">
        <f>IFERROR(__xludf.DUMMYFUNCTION("""COMPUTED_VALUE"""),"Irwan Sopian")</f>
        <v>Irwan Sopian</v>
      </c>
      <c r="N996" s="6" t="str">
        <f>IFERROR(__xludf.DUMMYFUNCTION("""COMPUTED_VALUE"""),"FIP Engineering")</f>
        <v>FIP Engineering</v>
      </c>
      <c r="O996" s="6" t="str">
        <f>IFERROR(__xludf.DUMMYFUNCTION("""COMPUTED_VALUE"""),"FIP-DOM-ENG-51502-0000000-INA-000000")</f>
        <v>FIP-DOM-ENG-51502-0000000-INA-000000</v>
      </c>
      <c r="P996" s="6" t="str">
        <f>IFERROR(__xludf.DUMMYFUNCTION("""COMPUTED_VALUE"""),"PO Closed")</f>
        <v>PO Closed</v>
      </c>
      <c r="Q996" s="6" t="str">
        <f>IFERROR(__xludf.DUMMYFUNCTION("""COMPUTED_VALUE"""),"GL2001038")</f>
        <v>GL2001038</v>
      </c>
      <c r="R996" s="57">
        <f>IFERROR(__xludf.DUMMYFUNCTION("""COMPUTED_VALUE"""),43839.0)</f>
        <v>43839</v>
      </c>
      <c r="S996" s="6" t="str">
        <f>IFERROR(__xludf.DUMMYFUNCTION("""COMPUTED_VALUE"""),"-")</f>
        <v>-</v>
      </c>
      <c r="T996" s="57">
        <f>IFERROR(__xludf.DUMMYFUNCTION("""COMPUTED_VALUE"""),43865.0)</f>
        <v>43865</v>
      </c>
    </row>
    <row r="997">
      <c r="A997" s="6" t="str">
        <f>IFERROR(__xludf.DUMMYFUNCTION("""COMPUTED_VALUE"""),"201750013-9")</f>
        <v>201750013-9</v>
      </c>
      <c r="B997" s="6" t="str">
        <f>IFERROR(__xludf.DUMMYFUNCTION("""COMPUTED_VALUE"""),"201750013 - Approved")</f>
        <v>201750013 - Approved</v>
      </c>
      <c r="C997" s="6">
        <f>IFERROR(__xludf.DUMMYFUNCTION("""COMPUTED_VALUE"""),9.0)</f>
        <v>9</v>
      </c>
      <c r="D997" s="6" t="str">
        <f>IFERROR(__xludf.DUMMYFUNCTION("""COMPUTED_VALUE"""),"P-14877-00")</f>
        <v>P-14877-00</v>
      </c>
      <c r="E997" s="6" t="str">
        <f>IFERROR(__xludf.DUMMYFUNCTION("""COMPUTED_VALUE"""),"Kabel NYYHY 3x2,5mm; ; ;")</f>
        <v>Kabel NYYHY 3x2,5mm; ; ;</v>
      </c>
      <c r="F997" s="6">
        <f>IFERROR(__xludf.DUMMYFUNCTION("""COMPUTED_VALUE"""),50.0)</f>
        <v>50</v>
      </c>
      <c r="G997" s="6" t="str">
        <f>IFERROR(__xludf.DUMMYFUNCTION("""COMPUTED_VALUE"""),"Meter")</f>
        <v>Meter</v>
      </c>
      <c r="H997" s="6" t="str">
        <f>IFERROR(__xludf.DUMMYFUNCTION("""COMPUTED_VALUE"""),"IDR")</f>
        <v>IDR</v>
      </c>
      <c r="I997" s="6">
        <f>IFERROR(__xludf.DUMMYFUNCTION("""COMPUTED_VALUE"""),18000.0)</f>
        <v>18000</v>
      </c>
      <c r="J997" s="6">
        <f>IFERROR(__xludf.DUMMYFUNCTION("""COMPUTED_VALUE"""),900000.0)</f>
        <v>900000</v>
      </c>
      <c r="K997" s="57">
        <f>IFERROR(__xludf.DUMMYFUNCTION("""COMPUTED_VALUE"""),43861.0)</f>
        <v>43861</v>
      </c>
      <c r="L997" s="6" t="str">
        <f>IFERROR(__xludf.DUMMYFUNCTION("""COMPUTED_VALUE"""),"FIP General")</f>
        <v>FIP General</v>
      </c>
      <c r="M997" s="6" t="str">
        <f>IFERROR(__xludf.DUMMYFUNCTION("""COMPUTED_VALUE"""),"Irwan Sopian")</f>
        <v>Irwan Sopian</v>
      </c>
      <c r="N997" s="6" t="str">
        <f>IFERROR(__xludf.DUMMYFUNCTION("""COMPUTED_VALUE"""),"FIP Engineering")</f>
        <v>FIP Engineering</v>
      </c>
      <c r="O997" s="6" t="str">
        <f>IFERROR(__xludf.DUMMYFUNCTION("""COMPUTED_VALUE"""),"FIP-DOM-ENG-51504-0000000-INA-000000")</f>
        <v>FIP-DOM-ENG-51504-0000000-INA-000000</v>
      </c>
      <c r="P997" s="6" t="str">
        <f>IFERROR(__xludf.DUMMYFUNCTION("""COMPUTED_VALUE"""),"PO Closed")</f>
        <v>PO Closed</v>
      </c>
      <c r="Q997" s="6" t="str">
        <f>IFERROR(__xludf.DUMMYFUNCTION("""COMPUTED_VALUE"""),"GL2001038")</f>
        <v>GL2001038</v>
      </c>
      <c r="R997" s="57">
        <f>IFERROR(__xludf.DUMMYFUNCTION("""COMPUTED_VALUE"""),43839.0)</f>
        <v>43839</v>
      </c>
      <c r="S997" s="6" t="str">
        <f>IFERROR(__xludf.DUMMYFUNCTION("""COMPUTED_VALUE"""),"-")</f>
        <v>-</v>
      </c>
      <c r="T997" s="57">
        <f>IFERROR(__xludf.DUMMYFUNCTION("""COMPUTED_VALUE"""),43865.0)</f>
        <v>43865</v>
      </c>
    </row>
    <row r="998">
      <c r="A998" s="6" t="str">
        <f>IFERROR(__xludf.DUMMYFUNCTION("""COMPUTED_VALUE"""),"201750013-10")</f>
        <v>201750013-10</v>
      </c>
      <c r="B998" s="6" t="str">
        <f>IFERROR(__xludf.DUMMYFUNCTION("""COMPUTED_VALUE"""),"201750013 - Approved")</f>
        <v>201750013 - Approved</v>
      </c>
      <c r="C998" s="6">
        <f>IFERROR(__xludf.DUMMYFUNCTION("""COMPUTED_VALUE"""),10.0)</f>
        <v>10</v>
      </c>
      <c r="D998" s="6" t="str">
        <f>IFERROR(__xludf.DUMMYFUNCTION("""COMPUTED_VALUE"""),"P-16970-00")</f>
        <v>P-16970-00</v>
      </c>
      <c r="E998" s="6" t="str">
        <f>IFERROR(__xludf.DUMMYFUNCTION("""COMPUTED_VALUE"""),"Terminal viking uk. 2,5 mm; ; ;")</f>
        <v>Terminal viking uk. 2,5 mm; ; ;</v>
      </c>
      <c r="F998" s="6">
        <f>IFERROR(__xludf.DUMMYFUNCTION("""COMPUTED_VALUE"""),12.0)</f>
        <v>12</v>
      </c>
      <c r="G998" s="6" t="str">
        <f>IFERROR(__xludf.DUMMYFUNCTION("""COMPUTED_VALUE"""),"Pieces")</f>
        <v>Pieces</v>
      </c>
      <c r="H998" s="6" t="str">
        <f>IFERROR(__xludf.DUMMYFUNCTION("""COMPUTED_VALUE"""),"IDR")</f>
        <v>IDR</v>
      </c>
      <c r="I998" s="6">
        <f>IFERROR(__xludf.DUMMYFUNCTION("""COMPUTED_VALUE"""),6500.0)</f>
        <v>6500</v>
      </c>
      <c r="J998" s="6">
        <f>IFERROR(__xludf.DUMMYFUNCTION("""COMPUTED_VALUE"""),78000.0)</f>
        <v>78000</v>
      </c>
      <c r="K998" s="57">
        <f>IFERROR(__xludf.DUMMYFUNCTION("""COMPUTED_VALUE"""),43861.0)</f>
        <v>43861</v>
      </c>
      <c r="L998" s="6" t="str">
        <f>IFERROR(__xludf.DUMMYFUNCTION("""COMPUTED_VALUE"""),"FIP General")</f>
        <v>FIP General</v>
      </c>
      <c r="M998" s="6" t="str">
        <f>IFERROR(__xludf.DUMMYFUNCTION("""COMPUTED_VALUE"""),"Irwan Sopian")</f>
        <v>Irwan Sopian</v>
      </c>
      <c r="N998" s="6" t="str">
        <f>IFERROR(__xludf.DUMMYFUNCTION("""COMPUTED_VALUE"""),"FIP Engineering")</f>
        <v>FIP Engineering</v>
      </c>
      <c r="O998" s="6" t="str">
        <f>IFERROR(__xludf.DUMMYFUNCTION("""COMPUTED_VALUE"""),"FIP-DOM-ENG-51404-0000000-INA-000000")</f>
        <v>FIP-DOM-ENG-51404-0000000-INA-000000</v>
      </c>
      <c r="P998" s="6" t="str">
        <f>IFERROR(__xludf.DUMMYFUNCTION("""COMPUTED_VALUE"""),"PO Closed")</f>
        <v>PO Closed</v>
      </c>
      <c r="Q998" s="6" t="str">
        <f>IFERROR(__xludf.DUMMYFUNCTION("""COMPUTED_VALUE"""),"GL2001038")</f>
        <v>GL2001038</v>
      </c>
      <c r="R998" s="57">
        <f>IFERROR(__xludf.DUMMYFUNCTION("""COMPUTED_VALUE"""),43839.0)</f>
        <v>43839</v>
      </c>
      <c r="S998" s="6" t="str">
        <f>IFERROR(__xludf.DUMMYFUNCTION("""COMPUTED_VALUE"""),"-")</f>
        <v>-</v>
      </c>
      <c r="T998" s="57">
        <f>IFERROR(__xludf.DUMMYFUNCTION("""COMPUTED_VALUE"""),43865.0)</f>
        <v>43865</v>
      </c>
    </row>
    <row r="999">
      <c r="A999" s="6" t="str">
        <f>IFERROR(__xludf.DUMMYFUNCTION("""COMPUTED_VALUE"""),"201750013-11")</f>
        <v>201750013-11</v>
      </c>
      <c r="B999" s="6" t="str">
        <f>IFERROR(__xludf.DUMMYFUNCTION("""COMPUTED_VALUE"""),"201750013 - Approved")</f>
        <v>201750013 - Approved</v>
      </c>
      <c r="C999" s="6">
        <f>IFERROR(__xludf.DUMMYFUNCTION("""COMPUTED_VALUE"""),11.0)</f>
        <v>11</v>
      </c>
      <c r="D999" s="6" t="str">
        <f>IFERROR(__xludf.DUMMYFUNCTION("""COMPUTED_VALUE"""),"P-51786-00")</f>
        <v>P-51786-00</v>
      </c>
      <c r="E999" s="6" t="str">
        <f>IFERROR(__xludf.DUMMYFUNCTION("""COMPUTED_VALUE"""),"Jumper Terminal viking uk. 2,5 mm; ; ;")</f>
        <v>Jumper Terminal viking uk. 2,5 mm; ; ;</v>
      </c>
      <c r="F999" s="6">
        <f>IFERROR(__xludf.DUMMYFUNCTION("""COMPUTED_VALUE"""),4.0)</f>
        <v>4</v>
      </c>
      <c r="G999" s="6" t="str">
        <f>IFERROR(__xludf.DUMMYFUNCTION("""COMPUTED_VALUE"""),"Pieces")</f>
        <v>Pieces</v>
      </c>
      <c r="H999" s="6" t="str">
        <f>IFERROR(__xludf.DUMMYFUNCTION("""COMPUTED_VALUE"""),"IDR")</f>
        <v>IDR</v>
      </c>
      <c r="I999" s="6">
        <f>IFERROR(__xludf.DUMMYFUNCTION("""COMPUTED_VALUE"""),27500.0)</f>
        <v>27500</v>
      </c>
      <c r="J999" s="6">
        <f>IFERROR(__xludf.DUMMYFUNCTION("""COMPUTED_VALUE"""),110000.0)</f>
        <v>110000</v>
      </c>
      <c r="K999" s="57">
        <f>IFERROR(__xludf.DUMMYFUNCTION("""COMPUTED_VALUE"""),43861.0)</f>
        <v>43861</v>
      </c>
      <c r="L999" s="6" t="str">
        <f>IFERROR(__xludf.DUMMYFUNCTION("""COMPUTED_VALUE"""),"FIP General")</f>
        <v>FIP General</v>
      </c>
      <c r="M999" s="6" t="str">
        <f>IFERROR(__xludf.DUMMYFUNCTION("""COMPUTED_VALUE"""),"Irwan Sopian")</f>
        <v>Irwan Sopian</v>
      </c>
      <c r="N999" s="6" t="str">
        <f>IFERROR(__xludf.DUMMYFUNCTION("""COMPUTED_VALUE"""),"FIP Engineering")</f>
        <v>FIP Engineering</v>
      </c>
      <c r="O999" s="6" t="str">
        <f>IFERROR(__xludf.DUMMYFUNCTION("""COMPUTED_VALUE"""),"FIP-DOM-ENG-51404-0000000-INA-000000")</f>
        <v>FIP-DOM-ENG-51404-0000000-INA-000000</v>
      </c>
      <c r="P999" s="6" t="str">
        <f>IFERROR(__xludf.DUMMYFUNCTION("""COMPUTED_VALUE"""),"PO Closed")</f>
        <v>PO Closed</v>
      </c>
      <c r="Q999" s="6" t="str">
        <f>IFERROR(__xludf.DUMMYFUNCTION("""COMPUTED_VALUE"""),"GL2001038")</f>
        <v>GL2001038</v>
      </c>
      <c r="R999" s="57">
        <f>IFERROR(__xludf.DUMMYFUNCTION("""COMPUTED_VALUE"""),43839.0)</f>
        <v>43839</v>
      </c>
      <c r="S999" s="6" t="str">
        <f>IFERROR(__xludf.DUMMYFUNCTION("""COMPUTED_VALUE"""),"-")</f>
        <v>-</v>
      </c>
      <c r="T999" s="57">
        <f>IFERROR(__xludf.DUMMYFUNCTION("""COMPUTED_VALUE"""),43865.0)</f>
        <v>43865</v>
      </c>
    </row>
    <row r="1000">
      <c r="A1000" s="6" t="str">
        <f>IFERROR(__xludf.DUMMYFUNCTION("""COMPUTED_VALUE"""),"201750020-1")</f>
        <v>201750020-1</v>
      </c>
      <c r="B1000" s="6" t="str">
        <f>IFERROR(__xludf.DUMMYFUNCTION("""COMPUTED_VALUE"""),"201750020 - Approved")</f>
        <v>201750020 - Approved</v>
      </c>
      <c r="C1000" s="6">
        <f>IFERROR(__xludf.DUMMYFUNCTION("""COMPUTED_VALUE"""),1.0)</f>
        <v>1</v>
      </c>
      <c r="D1000" s="6" t="str">
        <f>IFERROR(__xludf.DUMMYFUNCTION("""COMPUTED_VALUE"""),"O-12734-00")</f>
        <v>O-12734-00</v>
      </c>
      <c r="E1000" s="6" t="str">
        <f>IFERROR(__xludf.DUMMYFUNCTION("""COMPUTED_VALUE"""),"Tubing Polyurethane TU0805 Clear SMC Part No. X3 roll")</f>
        <v>Tubing Polyurethane TU0805 Clear SMC Part No. X3 roll</v>
      </c>
      <c r="F1000" s="6">
        <f>IFERROR(__xludf.DUMMYFUNCTION("""COMPUTED_VALUE"""),2.0)</f>
        <v>2</v>
      </c>
      <c r="G1000" s="6" t="str">
        <f>IFERROR(__xludf.DUMMYFUNCTION("""COMPUTED_VALUE"""),"Roll")</f>
        <v>Roll</v>
      </c>
      <c r="H1000" s="6" t="str">
        <f>IFERROR(__xludf.DUMMYFUNCTION("""COMPUTED_VALUE"""),"IDR")</f>
        <v>IDR</v>
      </c>
      <c r="I1000" s="6">
        <f>IFERROR(__xludf.DUMMYFUNCTION("""COMPUTED_VALUE"""),440000.0)</f>
        <v>440000</v>
      </c>
      <c r="J1000" s="6">
        <f>IFERROR(__xludf.DUMMYFUNCTION("""COMPUTED_VALUE"""),880000.0)</f>
        <v>880000</v>
      </c>
      <c r="K1000" s="57">
        <f>IFERROR(__xludf.DUMMYFUNCTION("""COMPUTED_VALUE"""),43868.0)</f>
        <v>43868</v>
      </c>
      <c r="L1000" s="6" t="str">
        <f>IFERROR(__xludf.DUMMYFUNCTION("""COMPUTED_VALUE"""),"FIP General")</f>
        <v>FIP General</v>
      </c>
      <c r="M1000" s="6" t="str">
        <f>IFERROR(__xludf.DUMMYFUNCTION("""COMPUTED_VALUE"""),"Irwan Sopian")</f>
        <v>Irwan Sopian</v>
      </c>
      <c r="N1000" s="6" t="str">
        <f>IFERROR(__xludf.DUMMYFUNCTION("""COMPUTED_VALUE"""),"FIP Engineering")</f>
        <v>FIP Engineering</v>
      </c>
      <c r="O1000" s="6" t="str">
        <f>IFERROR(__xludf.DUMMYFUNCTION("""COMPUTED_VALUE"""),"FIP-DOM-ENG-51404-0000000-INA-000000")</f>
        <v>FIP-DOM-ENG-51404-0000000-INA-000000</v>
      </c>
      <c r="P1000" s="6" t="str">
        <f>IFERROR(__xludf.DUMMYFUNCTION("""COMPUTED_VALUE"""),"PO Closed")</f>
        <v>PO Closed</v>
      </c>
      <c r="Q1000" s="6" t="str">
        <f>IFERROR(__xludf.DUMMYFUNCTION("""COMPUTED_VALUE"""),"GL2001037")</f>
        <v>GL2001037</v>
      </c>
      <c r="R1000" s="57">
        <f>IFERROR(__xludf.DUMMYFUNCTION("""COMPUTED_VALUE"""),43840.0)</f>
        <v>43840</v>
      </c>
      <c r="S1000" s="6" t="str">
        <f>IFERROR(__xludf.DUMMYFUNCTION("""COMPUTED_VALUE"""),"-")</f>
        <v>-</v>
      </c>
      <c r="T1000" s="57">
        <f>IFERROR(__xludf.DUMMYFUNCTION("""COMPUTED_VALUE"""),43868.0)</f>
        <v>43868</v>
      </c>
    </row>
    <row r="1001">
      <c r="A1001" s="6" t="str">
        <f>IFERROR(__xludf.DUMMYFUNCTION("""COMPUTED_VALUE"""),"201750020-2")</f>
        <v>201750020-2</v>
      </c>
      <c r="B1001" s="6" t="str">
        <f>IFERROR(__xludf.DUMMYFUNCTION("""COMPUTED_VALUE"""),"201750020 - Approved")</f>
        <v>201750020 - Approved</v>
      </c>
      <c r="C1001" s="6">
        <f>IFERROR(__xludf.DUMMYFUNCTION("""COMPUTED_VALUE"""),2.0)</f>
        <v>2</v>
      </c>
      <c r="D1001" s="6" t="str">
        <f>IFERROR(__xludf.DUMMYFUNCTION("""COMPUTED_VALUE"""),"O-12733-00")</f>
        <v>O-12733-00</v>
      </c>
      <c r="E1001" s="6" t="str">
        <f>IFERROR(__xludf.DUMMYFUNCTION("""COMPUTED_VALUE"""),"Tubing Polyurethane TU1065 Clear SMC Part No. X3 roll")</f>
        <v>Tubing Polyurethane TU1065 Clear SMC Part No. X3 roll</v>
      </c>
      <c r="F1001" s="6">
        <f>IFERROR(__xludf.DUMMYFUNCTION("""COMPUTED_VALUE"""),2.0)</f>
        <v>2</v>
      </c>
      <c r="G1001" s="6" t="str">
        <f>IFERROR(__xludf.DUMMYFUNCTION("""COMPUTED_VALUE"""),"Roll")</f>
        <v>Roll</v>
      </c>
      <c r="H1001" s="6" t="str">
        <f>IFERROR(__xludf.DUMMYFUNCTION("""COMPUTED_VALUE"""),"IDR")</f>
        <v>IDR</v>
      </c>
      <c r="I1001" s="6">
        <f>IFERROR(__xludf.DUMMYFUNCTION("""COMPUTED_VALUE"""),660000.0)</f>
        <v>660000</v>
      </c>
      <c r="J1001" s="6">
        <f>IFERROR(__xludf.DUMMYFUNCTION("""COMPUTED_VALUE"""),1320000.0)</f>
        <v>1320000</v>
      </c>
      <c r="K1001" s="57">
        <f>IFERROR(__xludf.DUMMYFUNCTION("""COMPUTED_VALUE"""),43868.0)</f>
        <v>43868</v>
      </c>
      <c r="L1001" s="6" t="str">
        <f>IFERROR(__xludf.DUMMYFUNCTION("""COMPUTED_VALUE"""),"FIP General")</f>
        <v>FIP General</v>
      </c>
      <c r="M1001" s="6" t="str">
        <f>IFERROR(__xludf.DUMMYFUNCTION("""COMPUTED_VALUE"""),"Irwan Sopian")</f>
        <v>Irwan Sopian</v>
      </c>
      <c r="N1001" s="6" t="str">
        <f>IFERROR(__xludf.DUMMYFUNCTION("""COMPUTED_VALUE"""),"FIP Engineering")</f>
        <v>FIP Engineering</v>
      </c>
      <c r="O1001" s="6" t="str">
        <f>IFERROR(__xludf.DUMMYFUNCTION("""COMPUTED_VALUE"""),"FIP-DOM-ENG-51404-0000000-INA-000000")</f>
        <v>FIP-DOM-ENG-51404-0000000-INA-000000</v>
      </c>
      <c r="P1001" s="6" t="str">
        <f>IFERROR(__xludf.DUMMYFUNCTION("""COMPUTED_VALUE"""),"PO Closed")</f>
        <v>PO Closed</v>
      </c>
      <c r="Q1001" s="6" t="str">
        <f>IFERROR(__xludf.DUMMYFUNCTION("""COMPUTED_VALUE"""),"GL2001037")</f>
        <v>GL2001037</v>
      </c>
      <c r="R1001" s="57">
        <f>IFERROR(__xludf.DUMMYFUNCTION("""COMPUTED_VALUE"""),43840.0)</f>
        <v>43840</v>
      </c>
      <c r="S1001" s="6" t="str">
        <f>IFERROR(__xludf.DUMMYFUNCTION("""COMPUTED_VALUE"""),"-")</f>
        <v>-</v>
      </c>
      <c r="T1001" s="57">
        <f>IFERROR(__xludf.DUMMYFUNCTION("""COMPUTED_VALUE"""),43868.0)</f>
        <v>43868</v>
      </c>
    </row>
    <row r="1002">
      <c r="A1002" s="6" t="str">
        <f>IFERROR(__xludf.DUMMYFUNCTION("""COMPUTED_VALUE"""),"201750023-1")</f>
        <v>201750023-1</v>
      </c>
      <c r="B1002" s="6" t="str">
        <f>IFERROR(__xludf.DUMMYFUNCTION("""COMPUTED_VALUE"""),"201750023 - Approved")</f>
        <v>201750023 - Approved</v>
      </c>
      <c r="C1002" s="6">
        <f>IFERROR(__xludf.DUMMYFUNCTION("""COMPUTED_VALUE"""),1.0)</f>
        <v>1</v>
      </c>
      <c r="D1002" s="6" t="str">
        <f>IFERROR(__xludf.DUMMYFUNCTION("""COMPUTED_VALUE"""),"S-60002-00")</f>
        <v>S-60002-00</v>
      </c>
      <c r="E1002" s="6" t="str">
        <f>IFERROR(__xludf.DUMMYFUNCTION("""COMPUTED_VALUE"""),"Tray Perforated, Modifikasi Tray Existing dan Siku Penyangga &amp; pen scrup")</f>
        <v>Tray Perforated, Modifikasi Tray Existing dan Siku Penyangga &amp; pen scrup</v>
      </c>
      <c r="F1002" s="6">
        <f>IFERROR(__xludf.DUMMYFUNCTION("""COMPUTED_VALUE"""),1.0)</f>
        <v>1</v>
      </c>
      <c r="G1002" s="6" t="str">
        <f>IFERROR(__xludf.DUMMYFUNCTION("""COMPUTED_VALUE"""),"Lot")</f>
        <v>Lot</v>
      </c>
      <c r="H1002" s="6" t="str">
        <f>IFERROR(__xludf.DUMMYFUNCTION("""COMPUTED_VALUE"""),"IDR")</f>
        <v>IDR</v>
      </c>
      <c r="I1002" s="6">
        <f>IFERROR(__xludf.DUMMYFUNCTION("""COMPUTED_VALUE"""),5508000.0)</f>
        <v>5508000</v>
      </c>
      <c r="J1002" s="6">
        <f>IFERROR(__xludf.DUMMYFUNCTION("""COMPUTED_VALUE"""),5508000.0)</f>
        <v>5508000</v>
      </c>
      <c r="K1002" s="57">
        <f>IFERROR(__xludf.DUMMYFUNCTION("""COMPUTED_VALUE"""),43861.0)</f>
        <v>43861</v>
      </c>
      <c r="L1002" s="6" t="str">
        <f>IFERROR(__xludf.DUMMYFUNCTION("""COMPUTED_VALUE"""),"FIP General")</f>
        <v>FIP General</v>
      </c>
      <c r="M1002" s="6" t="str">
        <f>IFERROR(__xludf.DUMMYFUNCTION("""COMPUTED_VALUE"""),"Irwan Sopian")</f>
        <v>Irwan Sopian</v>
      </c>
      <c r="N1002" s="6" t="str">
        <f>IFERROR(__xludf.DUMMYFUNCTION("""COMPUTED_VALUE"""),"FIP Engineering")</f>
        <v>FIP Engineering</v>
      </c>
      <c r="O1002" s="6" t="str">
        <f>IFERROR(__xludf.DUMMYFUNCTION("""COMPUTED_VALUE"""),"FIP-DOM-ENG-51508-0000000-INA-000000")</f>
        <v>FIP-DOM-ENG-51508-0000000-INA-000000</v>
      </c>
      <c r="P1002" s="6" t="str">
        <f>IFERROR(__xludf.DUMMYFUNCTION("""COMPUTED_VALUE"""),"PO Closed")</f>
        <v>PO Closed</v>
      </c>
      <c r="Q1002" s="6" t="str">
        <f>IFERROR(__xludf.DUMMYFUNCTION("""COMPUTED_VALUE"""),"GL2001017")</f>
        <v>GL2001017</v>
      </c>
      <c r="R1002" s="57">
        <f>IFERROR(__xludf.DUMMYFUNCTION("""COMPUTED_VALUE"""),43845.0)</f>
        <v>43845</v>
      </c>
      <c r="S1002" s="6" t="str">
        <f>IFERROR(__xludf.DUMMYFUNCTION("""COMPUTED_VALUE"""),"-")</f>
        <v>-</v>
      </c>
      <c r="T1002" s="57">
        <f>IFERROR(__xludf.DUMMYFUNCTION("""COMPUTED_VALUE"""),43868.0)</f>
        <v>43868</v>
      </c>
    </row>
    <row r="1003">
      <c r="A1003" s="6" t="str">
        <f>IFERROR(__xludf.DUMMYFUNCTION("""COMPUTED_VALUE"""),"201750022-1")</f>
        <v>201750022-1</v>
      </c>
      <c r="B1003" s="6" t="str">
        <f>IFERROR(__xludf.DUMMYFUNCTION("""COMPUTED_VALUE"""),"201750022 - Approved")</f>
        <v>201750022 - Approved</v>
      </c>
      <c r="C1003" s="6">
        <f>IFERROR(__xludf.DUMMYFUNCTION("""COMPUTED_VALUE"""),1.0)</f>
        <v>1</v>
      </c>
      <c r="D1003" s="6" t="str">
        <f>IFERROR(__xludf.DUMMYFUNCTION("""COMPUTED_VALUE"""),"P-17252-00")</f>
        <v>P-17252-00</v>
      </c>
      <c r="E1003" s="6" t="str">
        <f>IFERROR(__xludf.DUMMYFUNCTION("""COMPUTED_VALUE"""),"Clamp Holder Pipa SS304 2 Inch")</f>
        <v>Clamp Holder Pipa SS304 2 Inch</v>
      </c>
      <c r="F1003" s="6">
        <f>IFERROR(__xludf.DUMMYFUNCTION("""COMPUTED_VALUE"""),2.0)</f>
        <v>2</v>
      </c>
      <c r="G1003" s="6" t="str">
        <f>IFERROR(__xludf.DUMMYFUNCTION("""COMPUTED_VALUE"""),"Pieces")</f>
        <v>Pieces</v>
      </c>
      <c r="H1003" s="6" t="str">
        <f>IFERROR(__xludf.DUMMYFUNCTION("""COMPUTED_VALUE"""),"IDR")</f>
        <v>IDR</v>
      </c>
      <c r="I1003" s="6">
        <f>IFERROR(__xludf.DUMMYFUNCTION("""COMPUTED_VALUE"""),130000.0)</f>
        <v>130000</v>
      </c>
      <c r="J1003" s="6">
        <f>IFERROR(__xludf.DUMMYFUNCTION("""COMPUTED_VALUE"""),260000.0)</f>
        <v>260000</v>
      </c>
      <c r="K1003" s="57">
        <f>IFERROR(__xludf.DUMMYFUNCTION("""COMPUTED_VALUE"""),43868.0)</f>
        <v>43868</v>
      </c>
      <c r="L1003" s="6" t="str">
        <f>IFERROR(__xludf.DUMMYFUNCTION("""COMPUTED_VALUE"""),"FIP General")</f>
        <v>FIP General</v>
      </c>
      <c r="M1003" s="6" t="str">
        <f>IFERROR(__xludf.DUMMYFUNCTION("""COMPUTED_VALUE"""),"Irwan Sopian")</f>
        <v>Irwan Sopian</v>
      </c>
      <c r="N1003" s="6" t="str">
        <f>IFERROR(__xludf.DUMMYFUNCTION("""COMPUTED_VALUE"""),"FIP Engineering")</f>
        <v>FIP Engineering</v>
      </c>
      <c r="O1003" s="6" t="str">
        <f>IFERROR(__xludf.DUMMYFUNCTION("""COMPUTED_VALUE"""),"FIP-DOM-ENG-51504-0000000-INA-000000")</f>
        <v>FIP-DOM-ENG-51504-0000000-INA-000000</v>
      </c>
      <c r="P1003" s="6" t="str">
        <f>IFERROR(__xludf.DUMMYFUNCTION("""COMPUTED_VALUE"""),"PO Closed")</f>
        <v>PO Closed</v>
      </c>
      <c r="Q1003" s="6" t="str">
        <f>IFERROR(__xludf.DUMMYFUNCTION("""COMPUTED_VALUE"""),"GL2001040")</f>
        <v>GL2001040</v>
      </c>
      <c r="R1003" s="57">
        <f>IFERROR(__xludf.DUMMYFUNCTION("""COMPUTED_VALUE"""),43845.0)</f>
        <v>43845</v>
      </c>
      <c r="S1003" s="6" t="str">
        <f>IFERROR(__xludf.DUMMYFUNCTION("""COMPUTED_VALUE"""),"-")</f>
        <v>-</v>
      </c>
      <c r="T1003" s="57">
        <f>IFERROR(__xludf.DUMMYFUNCTION("""COMPUTED_VALUE"""),43868.0)</f>
        <v>43868</v>
      </c>
    </row>
    <row r="1004">
      <c r="A1004" s="6" t="str">
        <f>IFERROR(__xludf.DUMMYFUNCTION("""COMPUTED_VALUE"""),"201750022-2")</f>
        <v>201750022-2</v>
      </c>
      <c r="B1004" s="6" t="str">
        <f>IFERROR(__xludf.DUMMYFUNCTION("""COMPUTED_VALUE"""),"201750022 - Approved")</f>
        <v>201750022 - Approved</v>
      </c>
      <c r="C1004" s="6">
        <f>IFERROR(__xludf.DUMMYFUNCTION("""COMPUTED_VALUE"""),2.0)</f>
        <v>2</v>
      </c>
      <c r="D1004" s="6" t="str">
        <f>IFERROR(__xludf.DUMMYFUNCTION("""COMPUTED_VALUE"""),"P-17253-00")</f>
        <v>P-17253-00</v>
      </c>
      <c r="E1004" s="6" t="str">
        <f>IFERROR(__xludf.DUMMYFUNCTION("""COMPUTED_VALUE"""),"Hose Yee Joint Kuningan 1/2 inch")</f>
        <v>Hose Yee Joint Kuningan 1/2 inch</v>
      </c>
      <c r="F1004" s="6">
        <f>IFERROR(__xludf.DUMMYFUNCTION("""COMPUTED_VALUE"""),1.0)</f>
        <v>1</v>
      </c>
      <c r="G1004" s="6" t="str">
        <f>IFERROR(__xludf.DUMMYFUNCTION("""COMPUTED_VALUE"""),"Pieces")</f>
        <v>Pieces</v>
      </c>
      <c r="H1004" s="6" t="str">
        <f>IFERROR(__xludf.DUMMYFUNCTION("""COMPUTED_VALUE"""),"IDR")</f>
        <v>IDR</v>
      </c>
      <c r="I1004" s="6">
        <f>IFERROR(__xludf.DUMMYFUNCTION("""COMPUTED_VALUE"""),30000.0)</f>
        <v>30000</v>
      </c>
      <c r="J1004" s="6">
        <f>IFERROR(__xludf.DUMMYFUNCTION("""COMPUTED_VALUE"""),30000.0)</f>
        <v>30000</v>
      </c>
      <c r="K1004" s="57">
        <f>IFERROR(__xludf.DUMMYFUNCTION("""COMPUTED_VALUE"""),43868.0)</f>
        <v>43868</v>
      </c>
      <c r="L1004" s="6" t="str">
        <f>IFERROR(__xludf.DUMMYFUNCTION("""COMPUTED_VALUE"""),"FIP General")</f>
        <v>FIP General</v>
      </c>
      <c r="M1004" s="6" t="str">
        <f>IFERROR(__xludf.DUMMYFUNCTION("""COMPUTED_VALUE"""),"Irwan Sopian")</f>
        <v>Irwan Sopian</v>
      </c>
      <c r="N1004" s="6" t="str">
        <f>IFERROR(__xludf.DUMMYFUNCTION("""COMPUTED_VALUE"""),"FIP Engineering")</f>
        <v>FIP Engineering</v>
      </c>
      <c r="O1004" s="6" t="str">
        <f>IFERROR(__xludf.DUMMYFUNCTION("""COMPUTED_VALUE"""),"FIP-DOM-ENG-51504-0000000-INA-000000")</f>
        <v>FIP-DOM-ENG-51504-0000000-INA-000000</v>
      </c>
      <c r="P1004" s="6" t="str">
        <f>IFERROR(__xludf.DUMMYFUNCTION("""COMPUTED_VALUE"""),"PO Closed")</f>
        <v>PO Closed</v>
      </c>
      <c r="Q1004" s="6" t="str">
        <f>IFERROR(__xludf.DUMMYFUNCTION("""COMPUTED_VALUE"""),"GL2001040")</f>
        <v>GL2001040</v>
      </c>
      <c r="R1004" s="57">
        <f>IFERROR(__xludf.DUMMYFUNCTION("""COMPUTED_VALUE"""),43845.0)</f>
        <v>43845</v>
      </c>
      <c r="S1004" s="6" t="str">
        <f>IFERROR(__xludf.DUMMYFUNCTION("""COMPUTED_VALUE"""),"-")</f>
        <v>-</v>
      </c>
      <c r="T1004" s="57">
        <f>IFERROR(__xludf.DUMMYFUNCTION("""COMPUTED_VALUE"""),43868.0)</f>
        <v>43868</v>
      </c>
    </row>
    <row r="1005">
      <c r="A1005" s="6" t="str">
        <f>IFERROR(__xludf.DUMMYFUNCTION("""COMPUTED_VALUE"""),"201750022-3")</f>
        <v>201750022-3</v>
      </c>
      <c r="B1005" s="6" t="str">
        <f>IFERROR(__xludf.DUMMYFUNCTION("""COMPUTED_VALUE"""),"201750022 - Approved")</f>
        <v>201750022 - Approved</v>
      </c>
      <c r="C1005" s="6">
        <f>IFERROR(__xludf.DUMMYFUNCTION("""COMPUTED_VALUE"""),3.0)</f>
        <v>3</v>
      </c>
      <c r="D1005" s="6" t="str">
        <f>IFERROR(__xludf.DUMMYFUNCTION("""COMPUTED_VALUE"""),"P-17255-00")</f>
        <v>P-17255-00</v>
      </c>
      <c r="E1005" s="6" t="str">
        <f>IFERROR(__xludf.DUMMYFUNCTION("""COMPUTED_VALUE"""),"Nepple Hose SS304 1/2 Inch")</f>
        <v>Nepple Hose SS304 1/2 Inch</v>
      </c>
      <c r="F1005" s="6">
        <f>IFERROR(__xludf.DUMMYFUNCTION("""COMPUTED_VALUE"""),3.0)</f>
        <v>3</v>
      </c>
      <c r="G1005" s="6" t="str">
        <f>IFERROR(__xludf.DUMMYFUNCTION("""COMPUTED_VALUE"""),"Pieces")</f>
        <v>Pieces</v>
      </c>
      <c r="H1005" s="6" t="str">
        <f>IFERROR(__xludf.DUMMYFUNCTION("""COMPUTED_VALUE"""),"IDR")</f>
        <v>IDR</v>
      </c>
      <c r="I1005" s="6">
        <f>IFERROR(__xludf.DUMMYFUNCTION("""COMPUTED_VALUE"""),25000.0)</f>
        <v>25000</v>
      </c>
      <c r="J1005" s="6">
        <f>IFERROR(__xludf.DUMMYFUNCTION("""COMPUTED_VALUE"""),75000.0)</f>
        <v>75000</v>
      </c>
      <c r="K1005" s="57">
        <f>IFERROR(__xludf.DUMMYFUNCTION("""COMPUTED_VALUE"""),43868.0)</f>
        <v>43868</v>
      </c>
      <c r="L1005" s="6" t="str">
        <f>IFERROR(__xludf.DUMMYFUNCTION("""COMPUTED_VALUE"""),"FIP General")</f>
        <v>FIP General</v>
      </c>
      <c r="M1005" s="6" t="str">
        <f>IFERROR(__xludf.DUMMYFUNCTION("""COMPUTED_VALUE"""),"Irwan Sopian")</f>
        <v>Irwan Sopian</v>
      </c>
      <c r="N1005" s="6" t="str">
        <f>IFERROR(__xludf.DUMMYFUNCTION("""COMPUTED_VALUE"""),"FIP Engineering")</f>
        <v>FIP Engineering</v>
      </c>
      <c r="O1005" s="6" t="str">
        <f>IFERROR(__xludf.DUMMYFUNCTION("""COMPUTED_VALUE"""),"FIP-DOM-ENG-51504-0000000-INA-000000")</f>
        <v>FIP-DOM-ENG-51504-0000000-INA-000000</v>
      </c>
      <c r="P1005" s="6" t="str">
        <f>IFERROR(__xludf.DUMMYFUNCTION("""COMPUTED_VALUE"""),"PO Closed")</f>
        <v>PO Closed</v>
      </c>
      <c r="Q1005" s="6" t="str">
        <f>IFERROR(__xludf.DUMMYFUNCTION("""COMPUTED_VALUE"""),"GL2001040")</f>
        <v>GL2001040</v>
      </c>
      <c r="R1005" s="57">
        <f>IFERROR(__xludf.DUMMYFUNCTION("""COMPUTED_VALUE"""),43845.0)</f>
        <v>43845</v>
      </c>
      <c r="S1005" s="6" t="str">
        <f>IFERROR(__xludf.DUMMYFUNCTION("""COMPUTED_VALUE"""),"-")</f>
        <v>-</v>
      </c>
      <c r="T1005" s="57">
        <f>IFERROR(__xludf.DUMMYFUNCTION("""COMPUTED_VALUE"""),43868.0)</f>
        <v>43868</v>
      </c>
    </row>
    <row r="1006">
      <c r="A1006" s="6" t="str">
        <f>IFERROR(__xludf.DUMMYFUNCTION("""COMPUTED_VALUE"""),"201750022-5")</f>
        <v>201750022-5</v>
      </c>
      <c r="B1006" s="6" t="str">
        <f>IFERROR(__xludf.DUMMYFUNCTION("""COMPUTED_VALUE"""),"201750022 - Approved")</f>
        <v>201750022 - Approved</v>
      </c>
      <c r="C1006" s="6">
        <f>IFERROR(__xludf.DUMMYFUNCTION("""COMPUTED_VALUE"""),5.0)</f>
        <v>5</v>
      </c>
      <c r="D1006" s="6" t="str">
        <f>IFERROR(__xludf.DUMMYFUNCTION("""COMPUTED_VALUE"""),"P-10393-00")</f>
        <v>P-10393-00</v>
      </c>
      <c r="E1006" s="6" t="str">
        <f>IFERROR(__xludf.DUMMYFUNCTION("""COMPUTED_VALUE"""),"Ball Valve SS 1/2""")</f>
        <v>Ball Valve SS 1/2"</v>
      </c>
      <c r="F1006" s="6">
        <f>IFERROR(__xludf.DUMMYFUNCTION("""COMPUTED_VALUE"""),2.0)</f>
        <v>2</v>
      </c>
      <c r="G1006" s="6" t="str">
        <f>IFERROR(__xludf.DUMMYFUNCTION("""COMPUTED_VALUE"""),"Pieces")</f>
        <v>Pieces</v>
      </c>
      <c r="H1006" s="6" t="str">
        <f>IFERROR(__xludf.DUMMYFUNCTION("""COMPUTED_VALUE"""),"IDR")</f>
        <v>IDR</v>
      </c>
      <c r="I1006" s="6">
        <f>IFERROR(__xludf.DUMMYFUNCTION("""COMPUTED_VALUE"""),210000.0)</f>
        <v>210000</v>
      </c>
      <c r="J1006" s="6">
        <f>IFERROR(__xludf.DUMMYFUNCTION("""COMPUTED_VALUE"""),420000.0)</f>
        <v>420000</v>
      </c>
      <c r="K1006" s="57">
        <f>IFERROR(__xludf.DUMMYFUNCTION("""COMPUTED_VALUE"""),43868.0)</f>
        <v>43868</v>
      </c>
      <c r="L1006" s="6" t="str">
        <f>IFERROR(__xludf.DUMMYFUNCTION("""COMPUTED_VALUE"""),"FIP Engineering")</f>
        <v>FIP Engineering</v>
      </c>
      <c r="M1006" s="6" t="str">
        <f>IFERROR(__xludf.DUMMYFUNCTION("""COMPUTED_VALUE"""),"Irwan Sopian")</f>
        <v>Irwan Sopian</v>
      </c>
      <c r="N1006" s="6" t="str">
        <f>IFERROR(__xludf.DUMMYFUNCTION("""COMPUTED_VALUE"""),"FIP Engineering")</f>
        <v>FIP Engineering</v>
      </c>
      <c r="O1006" s="6" t="str">
        <f>IFERROR(__xludf.DUMMYFUNCTION("""COMPUTED_VALUE"""),"FIP-DOM-000-11304-OS00001-INA-000000")</f>
        <v>FIP-DOM-000-11304-OS00001-INA-000000</v>
      </c>
      <c r="P1006" s="6" t="str">
        <f>IFERROR(__xludf.DUMMYFUNCTION("""COMPUTED_VALUE"""),"PO Closed")</f>
        <v>PO Closed</v>
      </c>
      <c r="Q1006" s="6" t="str">
        <f>IFERROR(__xludf.DUMMYFUNCTION("""COMPUTED_VALUE"""),"GL2001040")</f>
        <v>GL2001040</v>
      </c>
      <c r="R1006" s="57">
        <f>IFERROR(__xludf.DUMMYFUNCTION("""COMPUTED_VALUE"""),43845.0)</f>
        <v>43845</v>
      </c>
      <c r="S1006" s="6" t="str">
        <f>IFERROR(__xludf.DUMMYFUNCTION("""COMPUTED_VALUE"""),"-")</f>
        <v>-</v>
      </c>
      <c r="T1006" s="57">
        <f>IFERROR(__xludf.DUMMYFUNCTION("""COMPUTED_VALUE"""),43868.0)</f>
        <v>43868</v>
      </c>
    </row>
    <row r="1007">
      <c r="A1007" s="6" t="str">
        <f>IFERROR(__xludf.DUMMYFUNCTION("""COMPUTED_VALUE"""),"201750022-6")</f>
        <v>201750022-6</v>
      </c>
      <c r="B1007" s="6" t="str">
        <f>IFERROR(__xludf.DUMMYFUNCTION("""COMPUTED_VALUE"""),"201750022 - Approved")</f>
        <v>201750022 - Approved</v>
      </c>
      <c r="C1007" s="6">
        <f>IFERROR(__xludf.DUMMYFUNCTION("""COMPUTED_VALUE"""),6.0)</f>
        <v>6</v>
      </c>
      <c r="D1007" s="6" t="str">
        <f>IFERROR(__xludf.DUMMYFUNCTION("""COMPUTED_VALUE"""),"P-13646-00")</f>
        <v>P-13646-00</v>
      </c>
      <c r="E1007" s="6" t="str">
        <f>IFERROR(__xludf.DUMMYFUNCTION("""COMPUTED_VALUE"""),"Selang Air 1/2 inch")</f>
        <v>Selang Air 1/2 inch</v>
      </c>
      <c r="F1007" s="6">
        <f>IFERROR(__xludf.DUMMYFUNCTION("""COMPUTED_VALUE"""),10.0)</f>
        <v>10</v>
      </c>
      <c r="G1007" s="6" t="str">
        <f>IFERROR(__xludf.DUMMYFUNCTION("""COMPUTED_VALUE"""),"Pieces")</f>
        <v>Pieces</v>
      </c>
      <c r="H1007" s="6" t="str">
        <f>IFERROR(__xludf.DUMMYFUNCTION("""COMPUTED_VALUE"""),"IDR")</f>
        <v>IDR</v>
      </c>
      <c r="I1007" s="6">
        <f>IFERROR(__xludf.DUMMYFUNCTION("""COMPUTED_VALUE"""),11000.0)</f>
        <v>11000</v>
      </c>
      <c r="J1007" s="6">
        <f>IFERROR(__xludf.DUMMYFUNCTION("""COMPUTED_VALUE"""),110000.0)</f>
        <v>110000</v>
      </c>
      <c r="K1007" s="57">
        <f>IFERROR(__xludf.DUMMYFUNCTION("""COMPUTED_VALUE"""),43868.0)</f>
        <v>43868</v>
      </c>
      <c r="L1007" s="6" t="str">
        <f>IFERROR(__xludf.DUMMYFUNCTION("""COMPUTED_VALUE"""),"FIP Engineering")</f>
        <v>FIP Engineering</v>
      </c>
      <c r="M1007" s="6" t="str">
        <f>IFERROR(__xludf.DUMMYFUNCTION("""COMPUTED_VALUE"""),"Irwan Sopian")</f>
        <v>Irwan Sopian</v>
      </c>
      <c r="N1007" s="6" t="str">
        <f>IFERROR(__xludf.DUMMYFUNCTION("""COMPUTED_VALUE"""),"FIP Engineering")</f>
        <v>FIP Engineering</v>
      </c>
      <c r="O1007" s="6" t="str">
        <f>IFERROR(__xludf.DUMMYFUNCTION("""COMPUTED_VALUE"""),"FIP-DOM-000-11304-OS00001-INA-000000")</f>
        <v>FIP-DOM-000-11304-OS00001-INA-000000</v>
      </c>
      <c r="P1007" s="6" t="str">
        <f>IFERROR(__xludf.DUMMYFUNCTION("""COMPUTED_VALUE"""),"PO Closed")</f>
        <v>PO Closed</v>
      </c>
      <c r="Q1007" s="6" t="str">
        <f>IFERROR(__xludf.DUMMYFUNCTION("""COMPUTED_VALUE"""),"GL2001040")</f>
        <v>GL2001040</v>
      </c>
      <c r="R1007" s="57">
        <f>IFERROR(__xludf.DUMMYFUNCTION("""COMPUTED_VALUE"""),43845.0)</f>
        <v>43845</v>
      </c>
      <c r="S1007" s="6" t="str">
        <f>IFERROR(__xludf.DUMMYFUNCTION("""COMPUTED_VALUE"""),"-")</f>
        <v>-</v>
      </c>
      <c r="T1007" s="57">
        <f>IFERROR(__xludf.DUMMYFUNCTION("""COMPUTED_VALUE"""),43868.0)</f>
        <v>43868</v>
      </c>
    </row>
    <row r="1008">
      <c r="A1008" s="6" t="str">
        <f>IFERROR(__xludf.DUMMYFUNCTION("""COMPUTED_VALUE"""),"201750022-7")</f>
        <v>201750022-7</v>
      </c>
      <c r="B1008" s="6" t="str">
        <f>IFERROR(__xludf.DUMMYFUNCTION("""COMPUTED_VALUE"""),"201750022 - Approved")</f>
        <v>201750022 - Approved</v>
      </c>
      <c r="C1008" s="6">
        <f>IFERROR(__xludf.DUMMYFUNCTION("""COMPUTED_VALUE"""),7.0)</f>
        <v>7</v>
      </c>
      <c r="D1008" s="6" t="str">
        <f>IFERROR(__xludf.DUMMYFUNCTION("""COMPUTED_VALUE"""),"P-17051-00")</f>
        <v>P-17051-00</v>
      </c>
      <c r="E1008" s="6" t="str">
        <f>IFERROR(__xludf.DUMMYFUNCTION("""COMPUTED_VALUE"""),"Threading Pipe SS304 1/2""; ; ;")</f>
        <v>Threading Pipe SS304 1/2"; ; ;</v>
      </c>
      <c r="F1008" s="6">
        <f>IFERROR(__xludf.DUMMYFUNCTION("""COMPUTED_VALUE"""),3.0)</f>
        <v>3</v>
      </c>
      <c r="G1008" s="6" t="str">
        <f>IFERROR(__xludf.DUMMYFUNCTION("""COMPUTED_VALUE"""),"Pieces")</f>
        <v>Pieces</v>
      </c>
      <c r="H1008" s="6" t="str">
        <f>IFERROR(__xludf.DUMMYFUNCTION("""COMPUTED_VALUE"""),"IDR")</f>
        <v>IDR</v>
      </c>
      <c r="I1008" s="6">
        <f>IFERROR(__xludf.DUMMYFUNCTION("""COMPUTED_VALUE"""),30000.0)</f>
        <v>30000</v>
      </c>
      <c r="J1008" s="6">
        <f>IFERROR(__xludf.DUMMYFUNCTION("""COMPUTED_VALUE"""),90000.0)</f>
        <v>90000</v>
      </c>
      <c r="K1008" s="57">
        <f>IFERROR(__xludf.DUMMYFUNCTION("""COMPUTED_VALUE"""),43868.0)</f>
        <v>43868</v>
      </c>
      <c r="L1008" s="6" t="str">
        <f>IFERROR(__xludf.DUMMYFUNCTION("""COMPUTED_VALUE"""),"FIP General")</f>
        <v>FIP General</v>
      </c>
      <c r="M1008" s="6" t="str">
        <f>IFERROR(__xludf.DUMMYFUNCTION("""COMPUTED_VALUE"""),"Irwan Sopian")</f>
        <v>Irwan Sopian</v>
      </c>
      <c r="N1008" s="6" t="str">
        <f>IFERROR(__xludf.DUMMYFUNCTION("""COMPUTED_VALUE"""),"FIP Engineering")</f>
        <v>FIP Engineering</v>
      </c>
      <c r="O1008" s="6" t="str">
        <f>IFERROR(__xludf.DUMMYFUNCTION("""COMPUTED_VALUE"""),"FIP-DOM-ENG-51404-0000000-INA-000000")</f>
        <v>FIP-DOM-ENG-51404-0000000-INA-000000</v>
      </c>
      <c r="P1008" s="6" t="str">
        <f>IFERROR(__xludf.DUMMYFUNCTION("""COMPUTED_VALUE"""),"PO Closed")</f>
        <v>PO Closed</v>
      </c>
      <c r="Q1008" s="6" t="str">
        <f>IFERROR(__xludf.DUMMYFUNCTION("""COMPUTED_VALUE"""),"GL2001040")</f>
        <v>GL2001040</v>
      </c>
      <c r="R1008" s="57">
        <f>IFERROR(__xludf.DUMMYFUNCTION("""COMPUTED_VALUE"""),43845.0)</f>
        <v>43845</v>
      </c>
      <c r="S1008" s="6" t="str">
        <f>IFERROR(__xludf.DUMMYFUNCTION("""COMPUTED_VALUE"""),"-")</f>
        <v>-</v>
      </c>
      <c r="T1008" s="57">
        <f>IFERROR(__xludf.DUMMYFUNCTION("""COMPUTED_VALUE"""),43868.0)</f>
        <v>43868</v>
      </c>
    </row>
    <row r="1009">
      <c r="A1009" s="6" t="str">
        <f>IFERROR(__xludf.DUMMYFUNCTION("""COMPUTED_VALUE"""),"201750022-9")</f>
        <v>201750022-9</v>
      </c>
      <c r="B1009" s="6" t="str">
        <f>IFERROR(__xludf.DUMMYFUNCTION("""COMPUTED_VALUE"""),"201750022 - Approved")</f>
        <v>201750022 - Approved</v>
      </c>
      <c r="C1009" s="6">
        <f>IFERROR(__xludf.DUMMYFUNCTION("""COMPUTED_VALUE"""),9.0)</f>
        <v>9</v>
      </c>
      <c r="D1009" s="6" t="str">
        <f>IFERROR(__xludf.DUMMYFUNCTION("""COMPUTED_VALUE"""),"P-11886-00")</f>
        <v>P-11886-00</v>
      </c>
      <c r="E1009" s="6" t="str">
        <f>IFERROR(__xludf.DUMMYFUNCTION("""COMPUTED_VALUE"""),"Baut SS L countersunk M 4x0.7x10mm + Mur")</f>
        <v>Baut SS L countersunk M 4x0.7x10mm + Mur</v>
      </c>
      <c r="F1009" s="6">
        <f>IFERROR(__xludf.DUMMYFUNCTION("""COMPUTED_VALUE"""),30.0)</f>
        <v>30</v>
      </c>
      <c r="G1009" s="6" t="str">
        <f>IFERROR(__xludf.DUMMYFUNCTION("""COMPUTED_VALUE"""),"Pieces")</f>
        <v>Pieces</v>
      </c>
      <c r="H1009" s="6" t="str">
        <f>IFERROR(__xludf.DUMMYFUNCTION("""COMPUTED_VALUE"""),"IDR")</f>
        <v>IDR</v>
      </c>
      <c r="I1009" s="6">
        <f>IFERROR(__xludf.DUMMYFUNCTION("""COMPUTED_VALUE"""),1000.0)</f>
        <v>1000</v>
      </c>
      <c r="J1009" s="6">
        <f>IFERROR(__xludf.DUMMYFUNCTION("""COMPUTED_VALUE"""),30000.0)</f>
        <v>30000</v>
      </c>
      <c r="K1009" s="57">
        <f>IFERROR(__xludf.DUMMYFUNCTION("""COMPUTED_VALUE"""),43868.0)</f>
        <v>43868</v>
      </c>
      <c r="L1009" s="6" t="str">
        <f>IFERROR(__xludf.DUMMYFUNCTION("""COMPUTED_VALUE"""),"FIP Engineering")</f>
        <v>FIP Engineering</v>
      </c>
      <c r="M1009" s="6" t="str">
        <f>IFERROR(__xludf.DUMMYFUNCTION("""COMPUTED_VALUE"""),"Irwan Sopian")</f>
        <v>Irwan Sopian</v>
      </c>
      <c r="N1009" s="6" t="str">
        <f>IFERROR(__xludf.DUMMYFUNCTION("""COMPUTED_VALUE"""),"FIP Engineering")</f>
        <v>FIP Engineering</v>
      </c>
      <c r="O1009" s="6" t="str">
        <f>IFERROR(__xludf.DUMMYFUNCTION("""COMPUTED_VALUE"""),"FIP-DOM-000-11304-OS00001-INA-000000")</f>
        <v>FIP-DOM-000-11304-OS00001-INA-000000</v>
      </c>
      <c r="P1009" s="6" t="str">
        <f>IFERROR(__xludf.DUMMYFUNCTION("""COMPUTED_VALUE"""),"PO Closed")</f>
        <v>PO Closed</v>
      </c>
      <c r="Q1009" s="6" t="str">
        <f>IFERROR(__xludf.DUMMYFUNCTION("""COMPUTED_VALUE"""),"GL2001040")</f>
        <v>GL2001040</v>
      </c>
      <c r="R1009" s="57">
        <f>IFERROR(__xludf.DUMMYFUNCTION("""COMPUTED_VALUE"""),43845.0)</f>
        <v>43845</v>
      </c>
      <c r="S1009" s="6" t="str">
        <f>IFERROR(__xludf.DUMMYFUNCTION("""COMPUTED_VALUE"""),"-")</f>
        <v>-</v>
      </c>
      <c r="T1009" s="57">
        <f>IFERROR(__xludf.DUMMYFUNCTION("""COMPUTED_VALUE"""),43868.0)</f>
        <v>43868</v>
      </c>
    </row>
    <row r="1010">
      <c r="A1010" s="6" t="str">
        <f>IFERROR(__xludf.DUMMYFUNCTION("""COMPUTED_VALUE"""),"201750022-10")</f>
        <v>201750022-10</v>
      </c>
      <c r="B1010" s="6" t="str">
        <f>IFERROR(__xludf.DUMMYFUNCTION("""COMPUTED_VALUE"""),"201750022 - Approved")</f>
        <v>201750022 - Approved</v>
      </c>
      <c r="C1010" s="6">
        <f>IFERROR(__xludf.DUMMYFUNCTION("""COMPUTED_VALUE"""),10.0)</f>
        <v>10</v>
      </c>
      <c r="D1010" s="6" t="str">
        <f>IFERROR(__xludf.DUMMYFUNCTION("""COMPUTED_VALUE"""),"P-50700-00")</f>
        <v>P-50700-00</v>
      </c>
      <c r="E1010" s="6" t="str">
        <f>IFERROR(__xludf.DUMMYFUNCTION("""COMPUTED_VALUE"""),"Lampu TLD 36W/54 PHILIPS")</f>
        <v>Lampu TLD 36W/54 PHILIPS</v>
      </c>
      <c r="F1010" s="6">
        <f>IFERROR(__xludf.DUMMYFUNCTION("""COMPUTED_VALUE"""),5.0)</f>
        <v>5</v>
      </c>
      <c r="G1010" s="6" t="str">
        <f>IFERROR(__xludf.DUMMYFUNCTION("""COMPUTED_VALUE"""),"Pieces")</f>
        <v>Pieces</v>
      </c>
      <c r="H1010" s="6" t="str">
        <f>IFERROR(__xludf.DUMMYFUNCTION("""COMPUTED_VALUE"""),"IDR")</f>
        <v>IDR</v>
      </c>
      <c r="I1010" s="6">
        <f>IFERROR(__xludf.DUMMYFUNCTION("""COMPUTED_VALUE"""),19000.0)</f>
        <v>19000</v>
      </c>
      <c r="J1010" s="6">
        <f>IFERROR(__xludf.DUMMYFUNCTION("""COMPUTED_VALUE"""),95000.0)</f>
        <v>95000</v>
      </c>
      <c r="K1010" s="57">
        <f>IFERROR(__xludf.DUMMYFUNCTION("""COMPUTED_VALUE"""),43868.0)</f>
        <v>43868</v>
      </c>
      <c r="L1010" s="6" t="str">
        <f>IFERROR(__xludf.DUMMYFUNCTION("""COMPUTED_VALUE"""),"FIP Engineering")</f>
        <v>FIP Engineering</v>
      </c>
      <c r="M1010" s="6" t="str">
        <f>IFERROR(__xludf.DUMMYFUNCTION("""COMPUTED_VALUE"""),"Irwan Sopian")</f>
        <v>Irwan Sopian</v>
      </c>
      <c r="N1010" s="6" t="str">
        <f>IFERROR(__xludf.DUMMYFUNCTION("""COMPUTED_VALUE"""),"FIP Engineering")</f>
        <v>FIP Engineering</v>
      </c>
      <c r="O1010" s="6" t="str">
        <f>IFERROR(__xludf.DUMMYFUNCTION("""COMPUTED_VALUE"""),"FIP-DOM-000-11304-OS00001-INA-000000")</f>
        <v>FIP-DOM-000-11304-OS00001-INA-000000</v>
      </c>
      <c r="P1010" s="6" t="str">
        <f>IFERROR(__xludf.DUMMYFUNCTION("""COMPUTED_VALUE"""),"PO Closed")</f>
        <v>PO Closed</v>
      </c>
      <c r="Q1010" s="6" t="str">
        <f>IFERROR(__xludf.DUMMYFUNCTION("""COMPUTED_VALUE"""),"GL2001040")</f>
        <v>GL2001040</v>
      </c>
      <c r="R1010" s="57">
        <f>IFERROR(__xludf.DUMMYFUNCTION("""COMPUTED_VALUE"""),43845.0)</f>
        <v>43845</v>
      </c>
      <c r="S1010" s="6" t="str">
        <f>IFERROR(__xludf.DUMMYFUNCTION("""COMPUTED_VALUE"""),"-")</f>
        <v>-</v>
      </c>
      <c r="T1010" s="57">
        <f>IFERROR(__xludf.DUMMYFUNCTION("""COMPUTED_VALUE"""),43868.0)</f>
        <v>43868</v>
      </c>
    </row>
    <row r="1011">
      <c r="A1011" s="6" t="str">
        <f>IFERROR(__xludf.DUMMYFUNCTION("""COMPUTED_VALUE"""),"201750022-11")</f>
        <v>201750022-11</v>
      </c>
      <c r="B1011" s="6" t="str">
        <f>IFERROR(__xludf.DUMMYFUNCTION("""COMPUTED_VALUE"""),"201750022 - Approved")</f>
        <v>201750022 - Approved</v>
      </c>
      <c r="C1011" s="6">
        <f>IFERROR(__xludf.DUMMYFUNCTION("""COMPUTED_VALUE"""),11.0)</f>
        <v>11</v>
      </c>
      <c r="D1011" s="6" t="str">
        <f>IFERROR(__xludf.DUMMYFUNCTION("""COMPUTED_VALUE"""),"P-17254-00")</f>
        <v>P-17254-00</v>
      </c>
      <c r="E1011" s="6" t="str">
        <f>IFERROR(__xludf.DUMMYFUNCTION("""COMPUTED_VALUE"""),"Sock Drat dalam SS 304 1/2 Inch")</f>
        <v>Sock Drat dalam SS 304 1/2 Inch</v>
      </c>
      <c r="F1011" s="6">
        <f>IFERROR(__xludf.DUMMYFUNCTION("""COMPUTED_VALUE"""),3.0)</f>
        <v>3</v>
      </c>
      <c r="G1011" s="6" t="str">
        <f>IFERROR(__xludf.DUMMYFUNCTION("""COMPUTED_VALUE"""),"Pieces")</f>
        <v>Pieces</v>
      </c>
      <c r="H1011" s="6" t="str">
        <f>IFERROR(__xludf.DUMMYFUNCTION("""COMPUTED_VALUE"""),"IDR")</f>
        <v>IDR</v>
      </c>
      <c r="I1011" s="6">
        <f>IFERROR(__xludf.DUMMYFUNCTION("""COMPUTED_VALUE"""),25000.0)</f>
        <v>25000</v>
      </c>
      <c r="J1011" s="6">
        <f>IFERROR(__xludf.DUMMYFUNCTION("""COMPUTED_VALUE"""),75000.0)</f>
        <v>75000</v>
      </c>
      <c r="K1011" s="57">
        <f>IFERROR(__xludf.DUMMYFUNCTION("""COMPUTED_VALUE"""),43868.0)</f>
        <v>43868</v>
      </c>
      <c r="L1011" s="6" t="str">
        <f>IFERROR(__xludf.DUMMYFUNCTION("""COMPUTED_VALUE"""),"FIP General")</f>
        <v>FIP General</v>
      </c>
      <c r="M1011" s="6" t="str">
        <f>IFERROR(__xludf.DUMMYFUNCTION("""COMPUTED_VALUE"""),"Irwan Sopian")</f>
        <v>Irwan Sopian</v>
      </c>
      <c r="N1011" s="6" t="str">
        <f>IFERROR(__xludf.DUMMYFUNCTION("""COMPUTED_VALUE"""),"FIP Engineering")</f>
        <v>FIP Engineering</v>
      </c>
      <c r="O1011" s="6" t="str">
        <f>IFERROR(__xludf.DUMMYFUNCTION("""COMPUTED_VALUE"""),"FIP-DOM-ENG-51504-0000000-INA-000000")</f>
        <v>FIP-DOM-ENG-51504-0000000-INA-000000</v>
      </c>
      <c r="P1011" s="6" t="str">
        <f>IFERROR(__xludf.DUMMYFUNCTION("""COMPUTED_VALUE"""),"PO Closed")</f>
        <v>PO Closed</v>
      </c>
      <c r="Q1011" s="6" t="str">
        <f>IFERROR(__xludf.DUMMYFUNCTION("""COMPUTED_VALUE"""),"GL2001040")</f>
        <v>GL2001040</v>
      </c>
      <c r="R1011" s="57">
        <f>IFERROR(__xludf.DUMMYFUNCTION("""COMPUTED_VALUE"""),43845.0)</f>
        <v>43845</v>
      </c>
      <c r="S1011" s="6" t="str">
        <f>IFERROR(__xludf.DUMMYFUNCTION("""COMPUTED_VALUE"""),"-")</f>
        <v>-</v>
      </c>
      <c r="T1011" s="57">
        <f>IFERROR(__xludf.DUMMYFUNCTION("""COMPUTED_VALUE"""),43868.0)</f>
        <v>43868</v>
      </c>
    </row>
    <row r="1012">
      <c r="A1012" s="6" t="str">
        <f>IFERROR(__xludf.DUMMYFUNCTION("""COMPUTED_VALUE"""),"201750026-1")</f>
        <v>201750026-1</v>
      </c>
      <c r="B1012" s="6" t="str">
        <f>IFERROR(__xludf.DUMMYFUNCTION("""COMPUTED_VALUE"""),"201750026 - Approved")</f>
        <v>201750026 - Approved</v>
      </c>
      <c r="C1012" s="6">
        <f>IFERROR(__xludf.DUMMYFUNCTION("""COMPUTED_VALUE"""),1.0)</f>
        <v>1</v>
      </c>
      <c r="D1012" s="6" t="str">
        <f>IFERROR(__xludf.DUMMYFUNCTION("""COMPUTED_VALUE"""),"P-13060-00")</f>
        <v>P-13060-00</v>
      </c>
      <c r="E1012" s="6" t="str">
        <f>IFERROR(__xludf.DUMMYFUNCTION("""COMPUTED_VALUE"""),"Roda Caster Dia : 6"" Swivel Flange")</f>
        <v>Roda Caster Dia : 6" Swivel Flange</v>
      </c>
      <c r="F1012" s="6">
        <f>IFERROR(__xludf.DUMMYFUNCTION("""COMPUTED_VALUE"""),1.0)</f>
        <v>1</v>
      </c>
      <c r="G1012" s="6" t="str">
        <f>IFERROR(__xludf.DUMMYFUNCTION("""COMPUTED_VALUE"""),"Pieces")</f>
        <v>Pieces</v>
      </c>
      <c r="H1012" s="6" t="str">
        <f>IFERROR(__xludf.DUMMYFUNCTION("""COMPUTED_VALUE"""),"IDR")</f>
        <v>IDR</v>
      </c>
      <c r="I1012" s="6">
        <f>IFERROR(__xludf.DUMMYFUNCTION("""COMPUTED_VALUE"""),980000.0)</f>
        <v>980000</v>
      </c>
      <c r="J1012" s="6">
        <f>IFERROR(__xludf.DUMMYFUNCTION("""COMPUTED_VALUE"""),980000.0)</f>
        <v>980000</v>
      </c>
      <c r="K1012" s="57">
        <f>IFERROR(__xludf.DUMMYFUNCTION("""COMPUTED_VALUE"""),43882.0)</f>
        <v>43882</v>
      </c>
      <c r="L1012" s="6" t="str">
        <f>IFERROR(__xludf.DUMMYFUNCTION("""COMPUTED_VALUE"""),"FIP Engineering")</f>
        <v>FIP Engineering</v>
      </c>
      <c r="M1012" s="6" t="str">
        <f>IFERROR(__xludf.DUMMYFUNCTION("""COMPUTED_VALUE"""),"Irwan Sopian")</f>
        <v>Irwan Sopian</v>
      </c>
      <c r="N1012" s="6" t="str">
        <f>IFERROR(__xludf.DUMMYFUNCTION("""COMPUTED_VALUE"""),"FIP Engineering")</f>
        <v>FIP Engineering</v>
      </c>
      <c r="O1012" s="6" t="str">
        <f>IFERROR(__xludf.DUMMYFUNCTION("""COMPUTED_VALUE"""),"FIP-DOM-000-11304-OS00001-INA-000000")</f>
        <v>FIP-DOM-000-11304-OS00001-INA-000000</v>
      </c>
      <c r="P1012" s="6" t="str">
        <f>IFERROR(__xludf.DUMMYFUNCTION("""COMPUTED_VALUE"""),"PO Closed")</f>
        <v>PO Closed</v>
      </c>
      <c r="Q1012" s="6" t="str">
        <f>IFERROR(__xludf.DUMMYFUNCTION("""COMPUTED_VALUE"""),"GL2002033")</f>
        <v>GL2002033</v>
      </c>
      <c r="R1012" s="57">
        <f>IFERROR(__xludf.DUMMYFUNCTION("""COMPUTED_VALUE"""),43847.0)</f>
        <v>43847</v>
      </c>
      <c r="S1012" s="6" t="str">
        <f>IFERROR(__xludf.DUMMYFUNCTION("""COMPUTED_VALUE"""),"-")</f>
        <v>-</v>
      </c>
      <c r="T1012" s="57">
        <f>IFERROR(__xludf.DUMMYFUNCTION("""COMPUTED_VALUE"""),43889.0)</f>
        <v>43889</v>
      </c>
    </row>
    <row r="1013">
      <c r="A1013" s="6" t="str">
        <f>IFERROR(__xludf.DUMMYFUNCTION("""COMPUTED_VALUE"""),"201750024-1")</f>
        <v>201750024-1</v>
      </c>
      <c r="B1013" s="6" t="str">
        <f>IFERROR(__xludf.DUMMYFUNCTION("""COMPUTED_VALUE"""),"201750024 - Approved")</f>
        <v>201750024 - Approved</v>
      </c>
      <c r="C1013" s="6">
        <f>IFERROR(__xludf.DUMMYFUNCTION("""COMPUTED_VALUE"""),1.0)</f>
        <v>1</v>
      </c>
      <c r="D1013" s="6" t="str">
        <f>IFERROR(__xludf.DUMMYFUNCTION("""COMPUTED_VALUE"""),"P-15002-00")</f>
        <v>P-15002-00</v>
      </c>
      <c r="E1013" s="6" t="str">
        <f>IFERROR(__xludf.DUMMYFUNCTION("""COMPUTED_VALUE"""),"Room Air Temp. dan RH Sensor, P/N. QFA2060D; ; ;")</f>
        <v>Room Air Temp. dan RH Sensor, P/N. QFA2060D; ; ;</v>
      </c>
      <c r="F1013" s="6">
        <f>IFERROR(__xludf.DUMMYFUNCTION("""COMPUTED_VALUE"""),2.0)</f>
        <v>2</v>
      </c>
      <c r="G1013" s="6" t="str">
        <f>IFERROR(__xludf.DUMMYFUNCTION("""COMPUTED_VALUE"""),"Unit")</f>
        <v>Unit</v>
      </c>
      <c r="H1013" s="6" t="str">
        <f>IFERROR(__xludf.DUMMYFUNCTION("""COMPUTED_VALUE"""),"IDR")</f>
        <v>IDR</v>
      </c>
      <c r="I1013" s="6">
        <f>IFERROR(__xludf.DUMMYFUNCTION("""COMPUTED_VALUE"""),5310000.0)</f>
        <v>5310000</v>
      </c>
      <c r="J1013" s="6">
        <f>IFERROR(__xludf.DUMMYFUNCTION("""COMPUTED_VALUE"""),1.062E7)</f>
        <v>10620000</v>
      </c>
      <c r="K1013" s="57">
        <f>IFERROR(__xludf.DUMMYFUNCTION("""COMPUTED_VALUE"""),43882.0)</f>
        <v>43882</v>
      </c>
      <c r="L1013" s="6" t="str">
        <f>IFERROR(__xludf.DUMMYFUNCTION("""COMPUTED_VALUE"""),"FIP Engineering")</f>
        <v>FIP Engineering</v>
      </c>
      <c r="M1013" s="6" t="str">
        <f>IFERROR(__xludf.DUMMYFUNCTION("""COMPUTED_VALUE"""),"Irwan Sopian")</f>
        <v>Irwan Sopian</v>
      </c>
      <c r="N1013" s="6" t="str">
        <f>IFERROR(__xludf.DUMMYFUNCTION("""COMPUTED_VALUE"""),"FIP Engineering")</f>
        <v>FIP Engineering</v>
      </c>
      <c r="O1013" s="6" t="str">
        <f>IFERROR(__xludf.DUMMYFUNCTION("""COMPUTED_VALUE"""),"FIP-DOM-000-11304-OS00001-INA-000000")</f>
        <v>FIP-DOM-000-11304-OS00001-INA-000000</v>
      </c>
      <c r="P1013" s="6" t="str">
        <f>IFERROR(__xludf.DUMMYFUNCTION("""COMPUTED_VALUE"""),"PO Closed")</f>
        <v>PO Closed</v>
      </c>
      <c r="Q1013" s="6" t="str">
        <f>IFERROR(__xludf.DUMMYFUNCTION("""COMPUTED_VALUE"""),"GL2001039")</f>
        <v>GL2001039</v>
      </c>
      <c r="R1013" s="57">
        <f>IFERROR(__xludf.DUMMYFUNCTION("""COMPUTED_VALUE"""),43847.0)</f>
        <v>43847</v>
      </c>
      <c r="S1013" s="6" t="str">
        <f>IFERROR(__xludf.DUMMYFUNCTION("""COMPUTED_VALUE"""),"-")</f>
        <v>-</v>
      </c>
      <c r="T1013" s="57">
        <f>IFERROR(__xludf.DUMMYFUNCTION("""COMPUTED_VALUE"""),43882.0)</f>
        <v>43882</v>
      </c>
    </row>
    <row r="1014">
      <c r="A1014" s="6" t="str">
        <f>IFERROR(__xludf.DUMMYFUNCTION("""COMPUTED_VALUE"""),"201750027-1")</f>
        <v>201750027-1</v>
      </c>
      <c r="B1014" s="6" t="str">
        <f>IFERROR(__xludf.DUMMYFUNCTION("""COMPUTED_VALUE"""),"201750027 - Approved")</f>
        <v>201750027 - Approved</v>
      </c>
      <c r="C1014" s="6">
        <f>IFERROR(__xludf.DUMMYFUNCTION("""COMPUTED_VALUE"""),1.0)</f>
        <v>1</v>
      </c>
      <c r="D1014" s="6" t="str">
        <f>IFERROR(__xludf.DUMMYFUNCTION("""COMPUTED_VALUE"""),"T-20002-00")</f>
        <v>T-20002-00</v>
      </c>
      <c r="E1014" s="6" t="str">
        <f>IFERROR(__xludf.DUMMYFUNCTION("""COMPUTED_VALUE"""),"Perbaikan HPLC 3 Alliance (M16SM4150A)")</f>
        <v>Perbaikan HPLC 3 Alliance (M16SM4150A)</v>
      </c>
      <c r="F1014" s="6">
        <f>IFERROR(__xludf.DUMMYFUNCTION("""COMPUTED_VALUE"""),1.0)</f>
        <v>1</v>
      </c>
      <c r="G1014" s="6" t="str">
        <f>IFERROR(__xludf.DUMMYFUNCTION("""COMPUTED_VALUE"""),"Pieces")</f>
        <v>Pieces</v>
      </c>
      <c r="H1014" s="6" t="str">
        <f>IFERROR(__xludf.DUMMYFUNCTION("""COMPUTED_VALUE"""),"IDR")</f>
        <v>IDR</v>
      </c>
      <c r="I1014" s="6">
        <f>IFERROR(__xludf.DUMMYFUNCTION("""COMPUTED_VALUE"""),1000000.0)</f>
        <v>1000000</v>
      </c>
      <c r="J1014" s="6">
        <f>IFERROR(__xludf.DUMMYFUNCTION("""COMPUTED_VALUE"""),1000000.0)</f>
        <v>1000000</v>
      </c>
      <c r="K1014" s="57">
        <f>IFERROR(__xludf.DUMMYFUNCTION("""COMPUTED_VALUE"""),43868.0)</f>
        <v>43868</v>
      </c>
      <c r="L1014" s="6" t="str">
        <f>IFERROR(__xludf.DUMMYFUNCTION("""COMPUTED_VALUE"""),"FIP General")</f>
        <v>FIP General</v>
      </c>
      <c r="M1014" s="6" t="str">
        <f>IFERROR(__xludf.DUMMYFUNCTION("""COMPUTED_VALUE"""),"Irwan Sopian")</f>
        <v>Irwan Sopian</v>
      </c>
      <c r="N1014" s="6" t="str">
        <f>IFERROR(__xludf.DUMMYFUNCTION("""COMPUTED_VALUE"""),"FIP Engineering")</f>
        <v>FIP Engineering</v>
      </c>
      <c r="O1014" s="6" t="str">
        <f>IFERROR(__xludf.DUMMYFUNCTION("""COMPUTED_VALUE"""),"FIP-DOM-ENG-51505-0000000-INA-000000")</f>
        <v>FIP-DOM-ENG-51505-0000000-INA-000000</v>
      </c>
      <c r="P1014" s="6" t="str">
        <f>IFERROR(__xludf.DUMMYFUNCTION("""COMPUTED_VALUE"""),"PO Closed")</f>
        <v>PO Closed</v>
      </c>
      <c r="Q1014" s="6" t="str">
        <f>IFERROR(__xludf.DUMMYFUNCTION("""COMPUTED_VALUE"""),"GL2001032")</f>
        <v>GL2001032</v>
      </c>
      <c r="R1014" s="57">
        <f>IFERROR(__xludf.DUMMYFUNCTION("""COMPUTED_VALUE"""),43848.0)</f>
        <v>43848</v>
      </c>
      <c r="S1014" s="6" t="str">
        <f>IFERROR(__xludf.DUMMYFUNCTION("""COMPUTED_VALUE"""),"-")</f>
        <v>-</v>
      </c>
      <c r="T1014" s="57">
        <f>IFERROR(__xludf.DUMMYFUNCTION("""COMPUTED_VALUE"""),43861.0)</f>
        <v>43861</v>
      </c>
    </row>
    <row r="1015">
      <c r="A1015" s="6" t="str">
        <f>IFERROR(__xludf.DUMMYFUNCTION("""COMPUTED_VALUE"""),"201750031-1")</f>
        <v>201750031-1</v>
      </c>
      <c r="B1015" s="6" t="str">
        <f>IFERROR(__xludf.DUMMYFUNCTION("""COMPUTED_VALUE"""),"201750031 - Approved")</f>
        <v>201750031 - Approved</v>
      </c>
      <c r="C1015" s="6">
        <f>IFERROR(__xludf.DUMMYFUNCTION("""COMPUTED_VALUE"""),1.0)</f>
        <v>1</v>
      </c>
      <c r="D1015" s="6" t="str">
        <f>IFERROR(__xludf.DUMMYFUNCTION("""COMPUTED_VALUE"""),"O-52271-00")</f>
        <v>O-52271-00</v>
      </c>
      <c r="E1015" s="6" t="str">
        <f>IFERROR(__xludf.DUMMYFUNCTION("""COMPUTED_VALUE"""),"Freeze Dryer MBE1207 - Flow Switch SMC Part No. IFW550-N04-00")</f>
        <v>Freeze Dryer MBE1207 - Flow Switch SMC Part No. IFW550-N04-00</v>
      </c>
      <c r="F1015" s="6">
        <f>IFERROR(__xludf.DUMMYFUNCTION("""COMPUTED_VALUE"""),2.0)</f>
        <v>2</v>
      </c>
      <c r="G1015" s="6" t="str">
        <f>IFERROR(__xludf.DUMMYFUNCTION("""COMPUTED_VALUE"""),"Pieces")</f>
        <v>Pieces</v>
      </c>
      <c r="H1015" s="6" t="str">
        <f>IFERROR(__xludf.DUMMYFUNCTION("""COMPUTED_VALUE"""),"IDR")</f>
        <v>IDR</v>
      </c>
      <c r="I1015" s="6">
        <f>IFERROR(__xludf.DUMMYFUNCTION("""COMPUTED_VALUE"""),1898000.0)</f>
        <v>1898000</v>
      </c>
      <c r="J1015" s="6">
        <f>IFERROR(__xludf.DUMMYFUNCTION("""COMPUTED_VALUE"""),3796000.0)</f>
        <v>3796000</v>
      </c>
      <c r="K1015" s="57">
        <f>IFERROR(__xludf.DUMMYFUNCTION("""COMPUTED_VALUE"""),43882.0)</f>
        <v>43882</v>
      </c>
      <c r="L1015" s="6" t="str">
        <f>IFERROR(__xludf.DUMMYFUNCTION("""COMPUTED_VALUE"""),"FIP Engineering")</f>
        <v>FIP Engineering</v>
      </c>
      <c r="M1015" s="6" t="str">
        <f>IFERROR(__xludf.DUMMYFUNCTION("""COMPUTED_VALUE"""),"Irwan Sopian")</f>
        <v>Irwan Sopian</v>
      </c>
      <c r="N1015" s="6" t="str">
        <f>IFERROR(__xludf.DUMMYFUNCTION("""COMPUTED_VALUE"""),"FIP Engineering")</f>
        <v>FIP Engineering</v>
      </c>
      <c r="O1015" s="6" t="str">
        <f>IFERROR(__xludf.DUMMYFUNCTION("""COMPUTED_VALUE"""),"FIP-DOM-000-11304-OS00001-INA-000000")</f>
        <v>FIP-DOM-000-11304-OS00001-INA-000000</v>
      </c>
      <c r="P1015" s="6" t="str">
        <f>IFERROR(__xludf.DUMMYFUNCTION("""COMPUTED_VALUE"""),"PO Closed")</f>
        <v>PO Closed</v>
      </c>
      <c r="Q1015" s="6" t="str">
        <f>IFERROR(__xludf.DUMMYFUNCTION("""COMPUTED_VALUE"""),"GL2002020")</f>
        <v>GL2002020</v>
      </c>
      <c r="R1015" s="57">
        <f>IFERROR(__xludf.DUMMYFUNCTION("""COMPUTED_VALUE"""),43852.0)</f>
        <v>43852</v>
      </c>
      <c r="S1015" s="6" t="str">
        <f>IFERROR(__xludf.DUMMYFUNCTION("""COMPUTED_VALUE"""),"-")</f>
        <v>-</v>
      </c>
      <c r="T1015" s="57">
        <f>IFERROR(__xludf.DUMMYFUNCTION("""COMPUTED_VALUE"""),43882.0)</f>
        <v>43882</v>
      </c>
    </row>
    <row r="1016">
      <c r="A1016" s="6" t="str">
        <f>IFERROR(__xludf.DUMMYFUNCTION("""COMPUTED_VALUE"""),"201750033-1")</f>
        <v>201750033-1</v>
      </c>
      <c r="B1016" s="6" t="str">
        <f>IFERROR(__xludf.DUMMYFUNCTION("""COMPUTED_VALUE"""),"201750033 - Approved")</f>
        <v>201750033 - Approved</v>
      </c>
      <c r="C1016" s="6">
        <f>IFERROR(__xludf.DUMMYFUNCTION("""COMPUTED_VALUE"""),1.0)</f>
        <v>1</v>
      </c>
      <c r="D1016" s="6" t="str">
        <f>IFERROR(__xludf.DUMMYFUNCTION("""COMPUTED_VALUE"""),"P-17260-00")</f>
        <v>P-17260-00</v>
      </c>
      <c r="E1016" s="6" t="str">
        <f>IFERROR(__xludf.DUMMYFUNCTION("""COMPUTED_VALUE"""),"Oil seal G.14x20x3 mm")</f>
        <v>Oil seal G.14x20x3 mm</v>
      </c>
      <c r="F1016" s="6">
        <f>IFERROR(__xludf.DUMMYFUNCTION("""COMPUTED_VALUE"""),5.0)</f>
        <v>5</v>
      </c>
      <c r="G1016" s="6" t="str">
        <f>IFERROR(__xludf.DUMMYFUNCTION("""COMPUTED_VALUE"""),"Pieces")</f>
        <v>Pieces</v>
      </c>
      <c r="H1016" s="6" t="str">
        <f>IFERROR(__xludf.DUMMYFUNCTION("""COMPUTED_VALUE"""),"IDR")</f>
        <v>IDR</v>
      </c>
      <c r="I1016" s="6">
        <f>IFERROR(__xludf.DUMMYFUNCTION("""COMPUTED_VALUE"""),25000.0)</f>
        <v>25000</v>
      </c>
      <c r="J1016" s="6">
        <f>IFERROR(__xludf.DUMMYFUNCTION("""COMPUTED_VALUE"""),125000.0)</f>
        <v>125000</v>
      </c>
      <c r="K1016" s="57">
        <f>IFERROR(__xludf.DUMMYFUNCTION("""COMPUTED_VALUE"""),43875.0)</f>
        <v>43875</v>
      </c>
      <c r="L1016" s="6" t="str">
        <f>IFERROR(__xludf.DUMMYFUNCTION("""COMPUTED_VALUE"""),"FIP Engineering")</f>
        <v>FIP Engineering</v>
      </c>
      <c r="M1016" s="6" t="str">
        <f>IFERROR(__xludf.DUMMYFUNCTION("""COMPUTED_VALUE"""),"Irwan Sopian")</f>
        <v>Irwan Sopian</v>
      </c>
      <c r="N1016" s="6" t="str">
        <f>IFERROR(__xludf.DUMMYFUNCTION("""COMPUTED_VALUE"""),"FIP Engineering")</f>
        <v>FIP Engineering</v>
      </c>
      <c r="O1016" s="6" t="str">
        <f>IFERROR(__xludf.DUMMYFUNCTION("""COMPUTED_VALUE"""),"FIP-DOM-000-11304-OS00001-INA-000000")</f>
        <v>FIP-DOM-000-11304-OS00001-INA-000000</v>
      </c>
      <c r="P1016" s="6" t="str">
        <f>IFERROR(__xludf.DUMMYFUNCTION("""COMPUTED_VALUE"""),"PO Closed")</f>
        <v>PO Closed</v>
      </c>
      <c r="Q1016" s="6" t="str">
        <f>IFERROR(__xludf.DUMMYFUNCTION("""COMPUTED_VALUE"""),"GL2002017")</f>
        <v>GL2002017</v>
      </c>
      <c r="R1016" s="57">
        <f>IFERROR(__xludf.DUMMYFUNCTION("""COMPUTED_VALUE"""),43854.0)</f>
        <v>43854</v>
      </c>
      <c r="S1016" s="6" t="str">
        <f>IFERROR(__xludf.DUMMYFUNCTION("""COMPUTED_VALUE"""),"-")</f>
        <v>-</v>
      </c>
      <c r="T1016" s="57">
        <f>IFERROR(__xludf.DUMMYFUNCTION("""COMPUTED_VALUE"""),43882.0)</f>
        <v>43882</v>
      </c>
    </row>
    <row r="1017">
      <c r="A1017" s="6" t="str">
        <f>IFERROR(__xludf.DUMMYFUNCTION("""COMPUTED_VALUE"""),"201750033-2")</f>
        <v>201750033-2</v>
      </c>
      <c r="B1017" s="6" t="str">
        <f>IFERROR(__xludf.DUMMYFUNCTION("""COMPUTED_VALUE"""),"201750033 - Approved")</f>
        <v>201750033 - Approved</v>
      </c>
      <c r="C1017" s="6">
        <f>IFERROR(__xludf.DUMMYFUNCTION("""COMPUTED_VALUE"""),2.0)</f>
        <v>2</v>
      </c>
      <c r="D1017" s="6" t="str">
        <f>IFERROR(__xludf.DUMMYFUNCTION("""COMPUTED_VALUE"""),"P-17273-00")</f>
        <v>P-17273-00</v>
      </c>
      <c r="E1017" s="6" t="str">
        <f>IFERROR(__xludf.DUMMYFUNCTION("""COMPUTED_VALUE"""),"Oring Epdm 9x5x2 mm")</f>
        <v>Oring Epdm 9x5x2 mm</v>
      </c>
      <c r="F1017" s="6">
        <f>IFERROR(__xludf.DUMMYFUNCTION("""COMPUTED_VALUE"""),20.0)</f>
        <v>20</v>
      </c>
      <c r="G1017" s="6" t="str">
        <f>IFERROR(__xludf.DUMMYFUNCTION("""COMPUTED_VALUE"""),"Pieces")</f>
        <v>Pieces</v>
      </c>
      <c r="H1017" s="6" t="str">
        <f>IFERROR(__xludf.DUMMYFUNCTION("""COMPUTED_VALUE"""),"IDR")</f>
        <v>IDR</v>
      </c>
      <c r="I1017" s="6">
        <f>IFERROR(__xludf.DUMMYFUNCTION("""COMPUTED_VALUE"""),25000.0)</f>
        <v>25000</v>
      </c>
      <c r="J1017" s="6">
        <f>IFERROR(__xludf.DUMMYFUNCTION("""COMPUTED_VALUE"""),500000.0)</f>
        <v>500000</v>
      </c>
      <c r="K1017" s="57">
        <f>IFERROR(__xludf.DUMMYFUNCTION("""COMPUTED_VALUE"""),43875.0)</f>
        <v>43875</v>
      </c>
      <c r="L1017" s="6" t="str">
        <f>IFERROR(__xludf.DUMMYFUNCTION("""COMPUTED_VALUE"""),"FIP Engineering")</f>
        <v>FIP Engineering</v>
      </c>
      <c r="M1017" s="6" t="str">
        <f>IFERROR(__xludf.DUMMYFUNCTION("""COMPUTED_VALUE"""),"Irwan Sopian")</f>
        <v>Irwan Sopian</v>
      </c>
      <c r="N1017" s="6" t="str">
        <f>IFERROR(__xludf.DUMMYFUNCTION("""COMPUTED_VALUE"""),"FIP Engineering")</f>
        <v>FIP Engineering</v>
      </c>
      <c r="O1017" s="6" t="str">
        <f>IFERROR(__xludf.DUMMYFUNCTION("""COMPUTED_VALUE"""),"FIP-DOM-000-11304-OS00001-INA-000000")</f>
        <v>FIP-DOM-000-11304-OS00001-INA-000000</v>
      </c>
      <c r="P1017" s="6" t="str">
        <f>IFERROR(__xludf.DUMMYFUNCTION("""COMPUTED_VALUE"""),"PO Closed")</f>
        <v>PO Closed</v>
      </c>
      <c r="Q1017" s="6" t="str">
        <f>IFERROR(__xludf.DUMMYFUNCTION("""COMPUTED_VALUE"""),"GL2002017")</f>
        <v>GL2002017</v>
      </c>
      <c r="R1017" s="57">
        <f>IFERROR(__xludf.DUMMYFUNCTION("""COMPUTED_VALUE"""),43854.0)</f>
        <v>43854</v>
      </c>
      <c r="S1017" s="6" t="str">
        <f>IFERROR(__xludf.DUMMYFUNCTION("""COMPUTED_VALUE"""),"-")</f>
        <v>-</v>
      </c>
      <c r="T1017" s="57">
        <f>IFERROR(__xludf.DUMMYFUNCTION("""COMPUTED_VALUE"""),43882.0)</f>
        <v>43882</v>
      </c>
    </row>
    <row r="1018">
      <c r="A1018" s="6" t="str">
        <f>IFERROR(__xludf.DUMMYFUNCTION("""COMPUTED_VALUE"""),"201750033-3")</f>
        <v>201750033-3</v>
      </c>
      <c r="B1018" s="6" t="str">
        <f>IFERROR(__xludf.DUMMYFUNCTION("""COMPUTED_VALUE"""),"201750033 - Approved")</f>
        <v>201750033 - Approved</v>
      </c>
      <c r="C1018" s="6">
        <f>IFERROR(__xludf.DUMMYFUNCTION("""COMPUTED_VALUE"""),3.0)</f>
        <v>3</v>
      </c>
      <c r="D1018" s="6" t="str">
        <f>IFERROR(__xludf.DUMMYFUNCTION("""COMPUTED_VALUE"""),"P-17272-00")</f>
        <v>P-17272-00</v>
      </c>
      <c r="E1018" s="6" t="str">
        <f>IFERROR(__xludf.DUMMYFUNCTION("""COMPUTED_VALUE"""),"Oring Epdm 9x4x2,5 mm; ; ;")</f>
        <v>Oring Epdm 9x4x2,5 mm; ; ;</v>
      </c>
      <c r="F1018" s="6">
        <f>IFERROR(__xludf.DUMMYFUNCTION("""COMPUTED_VALUE"""),20.0)</f>
        <v>20</v>
      </c>
      <c r="G1018" s="6" t="str">
        <f>IFERROR(__xludf.DUMMYFUNCTION("""COMPUTED_VALUE"""),"Pieces")</f>
        <v>Pieces</v>
      </c>
      <c r="H1018" s="6" t="str">
        <f>IFERROR(__xludf.DUMMYFUNCTION("""COMPUTED_VALUE"""),"IDR")</f>
        <v>IDR</v>
      </c>
      <c r="I1018" s="6">
        <f>IFERROR(__xludf.DUMMYFUNCTION("""COMPUTED_VALUE"""),27500.0)</f>
        <v>27500</v>
      </c>
      <c r="J1018" s="6">
        <f>IFERROR(__xludf.DUMMYFUNCTION("""COMPUTED_VALUE"""),550000.0)</f>
        <v>550000</v>
      </c>
      <c r="K1018" s="57">
        <f>IFERROR(__xludf.DUMMYFUNCTION("""COMPUTED_VALUE"""),43875.0)</f>
        <v>43875</v>
      </c>
      <c r="L1018" s="6" t="str">
        <f>IFERROR(__xludf.DUMMYFUNCTION("""COMPUTED_VALUE"""),"FIP Engineering")</f>
        <v>FIP Engineering</v>
      </c>
      <c r="M1018" s="6" t="str">
        <f>IFERROR(__xludf.DUMMYFUNCTION("""COMPUTED_VALUE"""),"Irwan Sopian")</f>
        <v>Irwan Sopian</v>
      </c>
      <c r="N1018" s="6" t="str">
        <f>IFERROR(__xludf.DUMMYFUNCTION("""COMPUTED_VALUE"""),"FIP Engineering")</f>
        <v>FIP Engineering</v>
      </c>
      <c r="O1018" s="6" t="str">
        <f>IFERROR(__xludf.DUMMYFUNCTION("""COMPUTED_VALUE"""),"FIP-DOM-000-11304-OS00001-INA-000000")</f>
        <v>FIP-DOM-000-11304-OS00001-INA-000000</v>
      </c>
      <c r="P1018" s="6" t="str">
        <f>IFERROR(__xludf.DUMMYFUNCTION("""COMPUTED_VALUE"""),"PO Closed")</f>
        <v>PO Closed</v>
      </c>
      <c r="Q1018" s="6" t="str">
        <f>IFERROR(__xludf.DUMMYFUNCTION("""COMPUTED_VALUE"""),"GL2002017")</f>
        <v>GL2002017</v>
      </c>
      <c r="R1018" s="57">
        <f>IFERROR(__xludf.DUMMYFUNCTION("""COMPUTED_VALUE"""),43854.0)</f>
        <v>43854</v>
      </c>
      <c r="S1018" s="6" t="str">
        <f>IFERROR(__xludf.DUMMYFUNCTION("""COMPUTED_VALUE"""),"-")</f>
        <v>-</v>
      </c>
      <c r="T1018" s="57">
        <f>IFERROR(__xludf.DUMMYFUNCTION("""COMPUTED_VALUE"""),43882.0)</f>
        <v>43882</v>
      </c>
    </row>
    <row r="1019">
      <c r="A1019" s="6" t="str">
        <f>IFERROR(__xludf.DUMMYFUNCTION("""COMPUTED_VALUE"""),"201750033-4")</f>
        <v>201750033-4</v>
      </c>
      <c r="B1019" s="6" t="str">
        <f>IFERROR(__xludf.DUMMYFUNCTION("""COMPUTED_VALUE"""),"201750033 - Approved")</f>
        <v>201750033 - Approved</v>
      </c>
      <c r="C1019" s="6">
        <f>IFERROR(__xludf.DUMMYFUNCTION("""COMPUTED_VALUE"""),4.0)</f>
        <v>4</v>
      </c>
      <c r="D1019" s="6" t="str">
        <f>IFERROR(__xludf.DUMMYFUNCTION("""COMPUTED_VALUE"""),"O-17209-00")</f>
        <v>O-17209-00</v>
      </c>
      <c r="E1019" s="6" t="str">
        <f>IFERROR(__xludf.DUMMYFUNCTION("""COMPUTED_VALUE"""),"Oring Silicone Merah 20 x 15.5 x 2 mm")</f>
        <v>Oring Silicone Merah 20 x 15.5 x 2 mm</v>
      </c>
      <c r="F1019" s="6">
        <f>IFERROR(__xludf.DUMMYFUNCTION("""COMPUTED_VALUE"""),10.0)</f>
        <v>10</v>
      </c>
      <c r="G1019" s="6" t="str">
        <f>IFERROR(__xludf.DUMMYFUNCTION("""COMPUTED_VALUE"""),"Pieces")</f>
        <v>Pieces</v>
      </c>
      <c r="H1019" s="6" t="str">
        <f>IFERROR(__xludf.DUMMYFUNCTION("""COMPUTED_VALUE"""),"IDR")</f>
        <v>IDR</v>
      </c>
      <c r="I1019" s="6">
        <f>IFERROR(__xludf.DUMMYFUNCTION("""COMPUTED_VALUE"""),22500.0)</f>
        <v>22500</v>
      </c>
      <c r="J1019" s="6">
        <f>IFERROR(__xludf.DUMMYFUNCTION("""COMPUTED_VALUE"""),225000.0)</f>
        <v>225000</v>
      </c>
      <c r="K1019" s="57">
        <f>IFERROR(__xludf.DUMMYFUNCTION("""COMPUTED_VALUE"""),43875.0)</f>
        <v>43875</v>
      </c>
      <c r="L1019" s="6" t="str">
        <f>IFERROR(__xludf.DUMMYFUNCTION("""COMPUTED_VALUE"""),"FIP Engineering")</f>
        <v>FIP Engineering</v>
      </c>
      <c r="M1019" s="6" t="str">
        <f>IFERROR(__xludf.DUMMYFUNCTION("""COMPUTED_VALUE"""),"Irwan Sopian")</f>
        <v>Irwan Sopian</v>
      </c>
      <c r="N1019" s="6" t="str">
        <f>IFERROR(__xludf.DUMMYFUNCTION("""COMPUTED_VALUE"""),"FIP Engineering")</f>
        <v>FIP Engineering</v>
      </c>
      <c r="O1019" s="6" t="str">
        <f>IFERROR(__xludf.DUMMYFUNCTION("""COMPUTED_VALUE"""),"FIP-DOM-000-11304-OS00001-INA-000000")</f>
        <v>FIP-DOM-000-11304-OS00001-INA-000000</v>
      </c>
      <c r="P1019" s="6" t="str">
        <f>IFERROR(__xludf.DUMMYFUNCTION("""COMPUTED_VALUE"""),"PO Closed")</f>
        <v>PO Closed</v>
      </c>
      <c r="Q1019" s="6" t="str">
        <f>IFERROR(__xludf.DUMMYFUNCTION("""COMPUTED_VALUE"""),"GL2002017")</f>
        <v>GL2002017</v>
      </c>
      <c r="R1019" s="57">
        <f>IFERROR(__xludf.DUMMYFUNCTION("""COMPUTED_VALUE"""),43854.0)</f>
        <v>43854</v>
      </c>
      <c r="S1019" s="6" t="str">
        <f>IFERROR(__xludf.DUMMYFUNCTION("""COMPUTED_VALUE"""),"-")</f>
        <v>-</v>
      </c>
      <c r="T1019" s="57">
        <f>IFERROR(__xludf.DUMMYFUNCTION("""COMPUTED_VALUE"""),43882.0)</f>
        <v>43882</v>
      </c>
    </row>
    <row r="1020">
      <c r="A1020" s="6" t="str">
        <f>IFERROR(__xludf.DUMMYFUNCTION("""COMPUTED_VALUE"""),"201750026-2")</f>
        <v>201750026-2</v>
      </c>
      <c r="B1020" s="6" t="str">
        <f>IFERROR(__xludf.DUMMYFUNCTION("""COMPUTED_VALUE"""),"201750026 - Approved")</f>
        <v>201750026 - Approved</v>
      </c>
      <c r="C1020" s="6">
        <f>IFERROR(__xludf.DUMMYFUNCTION("""COMPUTED_VALUE"""),2.0)</f>
        <v>2</v>
      </c>
      <c r="D1020" s="6" t="str">
        <f>IFERROR(__xludf.DUMMYFUNCTION("""COMPUTED_VALUE"""),"P-11350-00")</f>
        <v>P-11350-00</v>
      </c>
      <c r="E1020" s="6" t="str">
        <f>IFERROR(__xludf.DUMMYFUNCTION("""COMPUTED_VALUE"""),"Roda Caster Supo Dia : 4"" ( 100 x 38 mm ) Swivel Flange / Without Breake")</f>
        <v>Roda Caster Supo Dia : 4" ( 100 x 38 mm ) Swivel Flange / Without Breake</v>
      </c>
      <c r="F1020" s="6">
        <f>IFERROR(__xludf.DUMMYFUNCTION("""COMPUTED_VALUE"""),1.0)</f>
        <v>1</v>
      </c>
      <c r="G1020" s="6" t="str">
        <f>IFERROR(__xludf.DUMMYFUNCTION("""COMPUTED_VALUE"""),"Pieces")</f>
        <v>Pieces</v>
      </c>
      <c r="H1020" s="6" t="str">
        <f>IFERROR(__xludf.DUMMYFUNCTION("""COMPUTED_VALUE"""),"IDR")</f>
        <v>IDR</v>
      </c>
      <c r="I1020" s="6">
        <f>IFERROR(__xludf.DUMMYFUNCTION("""COMPUTED_VALUE"""),200000.0)</f>
        <v>200000</v>
      </c>
      <c r="J1020" s="6">
        <f>IFERROR(__xludf.DUMMYFUNCTION("""COMPUTED_VALUE"""),200000.0)</f>
        <v>200000</v>
      </c>
      <c r="K1020" s="57">
        <f>IFERROR(__xludf.DUMMYFUNCTION("""COMPUTED_VALUE"""),43882.0)</f>
        <v>43882</v>
      </c>
      <c r="L1020" s="6" t="str">
        <f>IFERROR(__xludf.DUMMYFUNCTION("""COMPUTED_VALUE"""),"FIP Engineering")</f>
        <v>FIP Engineering</v>
      </c>
      <c r="M1020" s="6" t="str">
        <f>IFERROR(__xludf.DUMMYFUNCTION("""COMPUTED_VALUE"""),"Irwan Sopian")</f>
        <v>Irwan Sopian</v>
      </c>
      <c r="N1020" s="6" t="str">
        <f>IFERROR(__xludf.DUMMYFUNCTION("""COMPUTED_VALUE"""),"FIP Engineering")</f>
        <v>FIP Engineering</v>
      </c>
      <c r="O1020" s="6" t="str">
        <f>IFERROR(__xludf.DUMMYFUNCTION("""COMPUTED_VALUE"""),"FIP-DOM-000-11304-OS00001-INA-000000")</f>
        <v>FIP-DOM-000-11304-OS00001-INA-000000</v>
      </c>
      <c r="P1020" s="6" t="str">
        <f>IFERROR(__xludf.DUMMYFUNCTION("""COMPUTED_VALUE"""),"PO Closed")</f>
        <v>PO Closed</v>
      </c>
      <c r="Q1020" s="6" t="str">
        <f>IFERROR(__xludf.DUMMYFUNCTION("""COMPUTED_VALUE"""),"GL2002033")</f>
        <v>GL2002033</v>
      </c>
      <c r="R1020" s="57">
        <f>IFERROR(__xludf.DUMMYFUNCTION("""COMPUTED_VALUE"""),43854.0)</f>
        <v>43854</v>
      </c>
      <c r="S1020" s="6" t="str">
        <f>IFERROR(__xludf.DUMMYFUNCTION("""COMPUTED_VALUE"""),"-")</f>
        <v>-</v>
      </c>
      <c r="T1020" s="57">
        <f>IFERROR(__xludf.DUMMYFUNCTION("""COMPUTED_VALUE"""),43889.0)</f>
        <v>43889</v>
      </c>
    </row>
    <row r="1021">
      <c r="A1021" s="6" t="str">
        <f>IFERROR(__xludf.DUMMYFUNCTION("""COMPUTED_VALUE"""),"201750034-1")</f>
        <v>201750034-1</v>
      </c>
      <c r="B1021" s="6" t="str">
        <f>IFERROR(__xludf.DUMMYFUNCTION("""COMPUTED_VALUE"""),"201750034 - Approved")</f>
        <v>201750034 - Approved</v>
      </c>
      <c r="C1021" s="6">
        <f>IFERROR(__xludf.DUMMYFUNCTION("""COMPUTED_VALUE"""),1.0)</f>
        <v>1</v>
      </c>
      <c r="D1021" s="6" t="str">
        <f>IFERROR(__xludf.DUMMYFUNCTION("""COMPUTED_VALUE"""),"O-14594-00")</f>
        <v>O-14594-00</v>
      </c>
      <c r="E1021" s="6" t="str">
        <f>IFERROR(__xludf.DUMMYFUNCTION("""COMPUTED_VALUE"""),"Kit, membrane ozone 6510; ; ;")</f>
        <v>Kit, membrane ozone 6510; ; ;</v>
      </c>
      <c r="F1021" s="6">
        <f>IFERROR(__xludf.DUMMYFUNCTION("""COMPUTED_VALUE"""),1.0)</f>
        <v>1</v>
      </c>
      <c r="G1021" s="6" t="str">
        <f>IFERROR(__xludf.DUMMYFUNCTION("""COMPUTED_VALUE"""),"Unit")</f>
        <v>Unit</v>
      </c>
      <c r="H1021" s="6" t="str">
        <f>IFERROR(__xludf.DUMMYFUNCTION("""COMPUTED_VALUE"""),"IDR")</f>
        <v>IDR</v>
      </c>
      <c r="I1021" s="6">
        <f>IFERROR(__xludf.DUMMYFUNCTION("""COMPUTED_VALUE"""),1.032365E7)</f>
        <v>10323650</v>
      </c>
      <c r="J1021" s="6">
        <f>IFERROR(__xludf.DUMMYFUNCTION("""COMPUTED_VALUE"""),1.032365E7)</f>
        <v>10323650</v>
      </c>
      <c r="K1021" s="57">
        <f>IFERROR(__xludf.DUMMYFUNCTION("""COMPUTED_VALUE"""),43882.0)</f>
        <v>43882</v>
      </c>
      <c r="L1021" s="6" t="str">
        <f>IFERROR(__xludf.DUMMYFUNCTION("""COMPUTED_VALUE"""),"FIP Engineering")</f>
        <v>FIP Engineering</v>
      </c>
      <c r="M1021" s="6" t="str">
        <f>IFERROR(__xludf.DUMMYFUNCTION("""COMPUTED_VALUE"""),"Irwan Sopian")</f>
        <v>Irwan Sopian</v>
      </c>
      <c r="N1021" s="6" t="str">
        <f>IFERROR(__xludf.DUMMYFUNCTION("""COMPUTED_VALUE"""),"FIP Engineering")</f>
        <v>FIP Engineering</v>
      </c>
      <c r="O1021" s="6" t="str">
        <f>IFERROR(__xludf.DUMMYFUNCTION("""COMPUTED_VALUE"""),"FIP-DOM-000-11304-OS00001-INA-000000")</f>
        <v>FIP-DOM-000-11304-OS00001-INA-000000</v>
      </c>
      <c r="P1021" s="6" t="str">
        <f>IFERROR(__xludf.DUMMYFUNCTION("""COMPUTED_VALUE"""),"PO Closed")</f>
        <v>PO Closed</v>
      </c>
      <c r="Q1021" s="6" t="str">
        <f>IFERROR(__xludf.DUMMYFUNCTION("""COMPUTED_VALUE"""),"GL2002022")</f>
        <v>GL2002022</v>
      </c>
      <c r="R1021" s="57">
        <f>IFERROR(__xludf.DUMMYFUNCTION("""COMPUTED_VALUE"""),43857.0)</f>
        <v>43857</v>
      </c>
      <c r="S1021" s="6" t="str">
        <f>IFERROR(__xludf.DUMMYFUNCTION("""COMPUTED_VALUE"""),"-")</f>
        <v>-</v>
      </c>
      <c r="T1021" s="57">
        <f>IFERROR(__xludf.DUMMYFUNCTION("""COMPUTED_VALUE"""),43931.0)</f>
        <v>43931</v>
      </c>
    </row>
    <row r="1022">
      <c r="A1022" s="6" t="str">
        <f>IFERROR(__xludf.DUMMYFUNCTION("""COMPUTED_VALUE"""),"201750034-2")</f>
        <v>201750034-2</v>
      </c>
      <c r="B1022" s="6" t="str">
        <f>IFERROR(__xludf.DUMMYFUNCTION("""COMPUTED_VALUE"""),"201750034 - Approved")</f>
        <v>201750034 - Approved</v>
      </c>
      <c r="C1022" s="6">
        <f>IFERROR(__xludf.DUMMYFUNCTION("""COMPUTED_VALUE"""),2.0)</f>
        <v>2</v>
      </c>
      <c r="D1022" s="6" t="str">
        <f>IFERROR(__xludf.DUMMYFUNCTION("""COMPUTED_VALUE"""),"P-15905-00")</f>
        <v>P-15905-00</v>
      </c>
      <c r="E1022" s="6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F1022" s="6">
        <f>IFERROR(__xludf.DUMMYFUNCTION("""COMPUTED_VALUE"""),1.0)</f>
        <v>1</v>
      </c>
      <c r="G1022" s="6" t="str">
        <f>IFERROR(__xludf.DUMMYFUNCTION("""COMPUTED_VALUE"""),"Unit")</f>
        <v>Unit</v>
      </c>
      <c r="H1022" s="6" t="str">
        <f>IFERROR(__xludf.DUMMYFUNCTION("""COMPUTED_VALUE"""),"IDR")</f>
        <v>IDR</v>
      </c>
      <c r="I1022" s="6">
        <f>IFERROR(__xludf.DUMMYFUNCTION("""COMPUTED_VALUE"""),3575000.0)</f>
        <v>3575000</v>
      </c>
      <c r="J1022" s="6">
        <f>IFERROR(__xludf.DUMMYFUNCTION("""COMPUTED_VALUE"""),3575000.0)</f>
        <v>3575000</v>
      </c>
      <c r="K1022" s="57">
        <f>IFERROR(__xludf.DUMMYFUNCTION("""COMPUTED_VALUE"""),43882.0)</f>
        <v>43882</v>
      </c>
      <c r="L1022" s="6" t="str">
        <f>IFERROR(__xludf.DUMMYFUNCTION("""COMPUTED_VALUE"""),"FIP Engineering")</f>
        <v>FIP Engineering</v>
      </c>
      <c r="M1022" s="6" t="str">
        <f>IFERROR(__xludf.DUMMYFUNCTION("""COMPUTED_VALUE"""),"Irwan Sopian")</f>
        <v>Irwan Sopian</v>
      </c>
      <c r="N1022" s="6" t="str">
        <f>IFERROR(__xludf.DUMMYFUNCTION("""COMPUTED_VALUE"""),"FIP Engineering")</f>
        <v>FIP Engineering</v>
      </c>
      <c r="O1022" s="6" t="str">
        <f>IFERROR(__xludf.DUMMYFUNCTION("""COMPUTED_VALUE"""),"FIP-DOM-000-11304-OS00001-INA-000000")</f>
        <v>FIP-DOM-000-11304-OS00001-INA-000000</v>
      </c>
      <c r="P1022" s="6" t="str">
        <f>IFERROR(__xludf.DUMMYFUNCTION("""COMPUTED_VALUE"""),"PO Closed")</f>
        <v>PO Closed</v>
      </c>
      <c r="Q1022" s="6" t="str">
        <f>IFERROR(__xludf.DUMMYFUNCTION("""COMPUTED_VALUE"""),"GL2002032")</f>
        <v>GL2002032</v>
      </c>
      <c r="R1022" s="57">
        <f>IFERROR(__xludf.DUMMYFUNCTION("""COMPUTED_VALUE"""),43857.0)</f>
        <v>43857</v>
      </c>
      <c r="S1022" s="6" t="str">
        <f>IFERROR(__xludf.DUMMYFUNCTION("""COMPUTED_VALUE"""),"-")</f>
        <v>-</v>
      </c>
      <c r="T1022" s="57">
        <f>IFERROR(__xludf.DUMMYFUNCTION("""COMPUTED_VALUE"""),43889.0)</f>
        <v>43889</v>
      </c>
    </row>
    <row r="1023">
      <c r="A1023" s="6" t="str">
        <f>IFERROR(__xludf.DUMMYFUNCTION("""COMPUTED_VALUE"""),"201750035-1")</f>
        <v>201750035-1</v>
      </c>
      <c r="B1023" s="6" t="str">
        <f>IFERROR(__xludf.DUMMYFUNCTION("""COMPUTED_VALUE"""),"201750035 - Approved")</f>
        <v>201750035 - Approved</v>
      </c>
      <c r="C1023" s="6">
        <f>IFERROR(__xludf.DUMMYFUNCTION("""COMPUTED_VALUE"""),1.0)</f>
        <v>1</v>
      </c>
      <c r="D1023" s="6" t="str">
        <f>IFERROR(__xludf.DUMMYFUNCTION("""COMPUTED_VALUE"""),"O-52317-00")</f>
        <v>O-52317-00</v>
      </c>
      <c r="E1023" s="6" t="str">
        <f>IFERROR(__xludf.DUMMYFUNCTION("""COMPUTED_VALUE"""),"Safety Relay F3SP-U3P-TGR Omron")</f>
        <v>Safety Relay F3SP-U3P-TGR Omron</v>
      </c>
      <c r="F1023" s="6">
        <f>IFERROR(__xludf.DUMMYFUNCTION("""COMPUTED_VALUE"""),1.0)</f>
        <v>1</v>
      </c>
      <c r="G1023" s="6" t="str">
        <f>IFERROR(__xludf.DUMMYFUNCTION("""COMPUTED_VALUE"""),"Pieces")</f>
        <v>Pieces</v>
      </c>
      <c r="H1023" s="6" t="str">
        <f>IFERROR(__xludf.DUMMYFUNCTION("""COMPUTED_VALUE"""),"IDR")</f>
        <v>IDR</v>
      </c>
      <c r="I1023" s="6">
        <f>IFERROR(__xludf.DUMMYFUNCTION("""COMPUTED_VALUE"""),3933000.0)</f>
        <v>3933000</v>
      </c>
      <c r="J1023" s="6">
        <f>IFERROR(__xludf.DUMMYFUNCTION("""COMPUTED_VALUE"""),3933000.0)</f>
        <v>3933000</v>
      </c>
      <c r="K1023" s="57">
        <f>IFERROR(__xludf.DUMMYFUNCTION("""COMPUTED_VALUE"""),43889.0)</f>
        <v>43889</v>
      </c>
      <c r="L1023" s="6" t="str">
        <f>IFERROR(__xludf.DUMMYFUNCTION("""COMPUTED_VALUE"""),"FIP Engineering")</f>
        <v>FIP Engineering</v>
      </c>
      <c r="M1023" s="6" t="str">
        <f>IFERROR(__xludf.DUMMYFUNCTION("""COMPUTED_VALUE"""),"Irwan Sopian")</f>
        <v>Irwan Sopian</v>
      </c>
      <c r="N1023" s="6" t="str">
        <f>IFERROR(__xludf.DUMMYFUNCTION("""COMPUTED_VALUE"""),"FIP Engineering")</f>
        <v>FIP Engineering</v>
      </c>
      <c r="O1023" s="6" t="str">
        <f>IFERROR(__xludf.DUMMYFUNCTION("""COMPUTED_VALUE"""),"FIP-DOM-000-11304-OS00001-INA-000000")</f>
        <v>FIP-DOM-000-11304-OS00001-INA-000000</v>
      </c>
      <c r="P1023" s="6" t="str">
        <f>IFERROR(__xludf.DUMMYFUNCTION("""COMPUTED_VALUE"""),"PO Closed")</f>
        <v>PO Closed</v>
      </c>
      <c r="Q1023" s="6" t="str">
        <f>IFERROR(__xludf.DUMMYFUNCTION("""COMPUTED_VALUE"""),"GL2002038")</f>
        <v>GL2002038</v>
      </c>
      <c r="R1023" s="57">
        <f>IFERROR(__xludf.DUMMYFUNCTION("""COMPUTED_VALUE"""),43858.0)</f>
        <v>43858</v>
      </c>
      <c r="S1023" s="6" t="str">
        <f>IFERROR(__xludf.DUMMYFUNCTION("""COMPUTED_VALUE"""),"-")</f>
        <v>-</v>
      </c>
      <c r="T1023" s="57">
        <f>IFERROR(__xludf.DUMMYFUNCTION("""COMPUTED_VALUE"""),43980.0)</f>
        <v>43980</v>
      </c>
    </row>
    <row r="1024">
      <c r="A1024" s="6" t="str">
        <f>IFERROR(__xludf.DUMMYFUNCTION("""COMPUTED_VALUE"""),"201750026-3")</f>
        <v>201750026-3</v>
      </c>
      <c r="B1024" s="6" t="str">
        <f>IFERROR(__xludf.DUMMYFUNCTION("""COMPUTED_VALUE"""),"201750026 - Approved")</f>
        <v>201750026 - Approved</v>
      </c>
      <c r="C1024" s="6">
        <f>IFERROR(__xludf.DUMMYFUNCTION("""COMPUTED_VALUE"""),3.0)</f>
        <v>3</v>
      </c>
      <c r="D1024" s="6" t="str">
        <f>IFERROR(__xludf.DUMMYFUNCTION("""COMPUTED_VALUE"""),"P-13383-00")</f>
        <v>P-13383-00</v>
      </c>
      <c r="E1024" s="6" t="str">
        <f>IFERROR(__xludf.DUMMYFUNCTION("""COMPUTED_VALUE"""),"Silicone Sealant High Temp Red")</f>
        <v>Silicone Sealant High Temp Red</v>
      </c>
      <c r="F1024" s="6">
        <f>IFERROR(__xludf.DUMMYFUNCTION("""COMPUTED_VALUE"""),5.0)</f>
        <v>5</v>
      </c>
      <c r="G1024" s="6" t="str">
        <f>IFERROR(__xludf.DUMMYFUNCTION("""COMPUTED_VALUE"""),"Pieces")</f>
        <v>Pieces</v>
      </c>
      <c r="H1024" s="6" t="str">
        <f>IFERROR(__xludf.DUMMYFUNCTION("""COMPUTED_VALUE"""),"IDR")</f>
        <v>IDR</v>
      </c>
      <c r="I1024" s="6">
        <f>IFERROR(__xludf.DUMMYFUNCTION("""COMPUTED_VALUE"""),26000.0)</f>
        <v>26000</v>
      </c>
      <c r="J1024" s="6">
        <f>IFERROR(__xludf.DUMMYFUNCTION("""COMPUTED_VALUE"""),130000.0)</f>
        <v>130000</v>
      </c>
      <c r="K1024" s="57">
        <f>IFERROR(__xludf.DUMMYFUNCTION("""COMPUTED_VALUE"""),43882.0)</f>
        <v>43882</v>
      </c>
      <c r="L1024" s="6" t="str">
        <f>IFERROR(__xludf.DUMMYFUNCTION("""COMPUTED_VALUE"""),"FIP Engineering")</f>
        <v>FIP Engineering</v>
      </c>
      <c r="M1024" s="6" t="str">
        <f>IFERROR(__xludf.DUMMYFUNCTION("""COMPUTED_VALUE"""),"Irwan Sopian")</f>
        <v>Irwan Sopian</v>
      </c>
      <c r="N1024" s="6" t="str">
        <f>IFERROR(__xludf.DUMMYFUNCTION("""COMPUTED_VALUE"""),"FIP Engineering")</f>
        <v>FIP Engineering</v>
      </c>
      <c r="O1024" s="6" t="str">
        <f>IFERROR(__xludf.DUMMYFUNCTION("""COMPUTED_VALUE"""),"FIP-DOM-000-11304-OS00001-INA-000000")</f>
        <v>FIP-DOM-000-11304-OS00001-INA-000000</v>
      </c>
      <c r="P1024" s="6" t="str">
        <f>IFERROR(__xludf.DUMMYFUNCTION("""COMPUTED_VALUE"""),"PO Closed")</f>
        <v>PO Closed</v>
      </c>
      <c r="Q1024" s="6" t="str">
        <f>IFERROR(__xludf.DUMMYFUNCTION("""COMPUTED_VALUE"""),"GL2002033")</f>
        <v>GL2002033</v>
      </c>
      <c r="R1024" s="57">
        <f>IFERROR(__xludf.DUMMYFUNCTION("""COMPUTED_VALUE"""),43859.0)</f>
        <v>43859</v>
      </c>
      <c r="S1024" s="6" t="str">
        <f>IFERROR(__xludf.DUMMYFUNCTION("""COMPUTED_VALUE"""),"-")</f>
        <v>-</v>
      </c>
      <c r="T1024" s="57">
        <f>IFERROR(__xludf.DUMMYFUNCTION("""COMPUTED_VALUE"""),43889.0)</f>
        <v>43889</v>
      </c>
    </row>
    <row r="1025">
      <c r="A1025" s="6" t="str">
        <f>IFERROR(__xludf.DUMMYFUNCTION("""COMPUTED_VALUE"""),"201750026-4")</f>
        <v>201750026-4</v>
      </c>
      <c r="B1025" s="6" t="str">
        <f>IFERROR(__xludf.DUMMYFUNCTION("""COMPUTED_VALUE"""),"201750026 - Approved")</f>
        <v>201750026 - Approved</v>
      </c>
      <c r="C1025" s="6">
        <f>IFERROR(__xludf.DUMMYFUNCTION("""COMPUTED_VALUE"""),4.0)</f>
        <v>4</v>
      </c>
      <c r="D1025" s="6" t="str">
        <f>IFERROR(__xludf.DUMMYFUNCTION("""COMPUTED_VALUE"""),"P-51741-00")</f>
        <v>P-51741-00</v>
      </c>
      <c r="E1025" s="6" t="str">
        <f>IFERROR(__xludf.DUMMYFUNCTION("""COMPUTED_VALUE"""),"Lampu Phillips PHP LED 710 7w E27 White 220-240v")</f>
        <v>Lampu Phillips PHP LED 710 7w E27 White 220-240v</v>
      </c>
      <c r="F1025" s="6">
        <f>IFERROR(__xludf.DUMMYFUNCTION("""COMPUTED_VALUE"""),10.0)</f>
        <v>10</v>
      </c>
      <c r="G1025" s="6" t="str">
        <f>IFERROR(__xludf.DUMMYFUNCTION("""COMPUTED_VALUE"""),"Pieces")</f>
        <v>Pieces</v>
      </c>
      <c r="H1025" s="6" t="str">
        <f>IFERROR(__xludf.DUMMYFUNCTION("""COMPUTED_VALUE"""),"IDR")</f>
        <v>IDR</v>
      </c>
      <c r="I1025" s="6">
        <f>IFERROR(__xludf.DUMMYFUNCTION("""COMPUTED_VALUE"""),31000.0)</f>
        <v>31000</v>
      </c>
      <c r="J1025" s="6">
        <f>IFERROR(__xludf.DUMMYFUNCTION("""COMPUTED_VALUE"""),310000.0)</f>
        <v>310000</v>
      </c>
      <c r="K1025" s="57">
        <f>IFERROR(__xludf.DUMMYFUNCTION("""COMPUTED_VALUE"""),43882.0)</f>
        <v>43882</v>
      </c>
      <c r="L1025" s="6" t="str">
        <f>IFERROR(__xludf.DUMMYFUNCTION("""COMPUTED_VALUE"""),"FIP Engineering")</f>
        <v>FIP Engineering</v>
      </c>
      <c r="M1025" s="6" t="str">
        <f>IFERROR(__xludf.DUMMYFUNCTION("""COMPUTED_VALUE"""),"Irwan Sopian")</f>
        <v>Irwan Sopian</v>
      </c>
      <c r="N1025" s="6" t="str">
        <f>IFERROR(__xludf.DUMMYFUNCTION("""COMPUTED_VALUE"""),"FIP Engineering")</f>
        <v>FIP Engineering</v>
      </c>
      <c r="O1025" s="6" t="str">
        <f>IFERROR(__xludf.DUMMYFUNCTION("""COMPUTED_VALUE"""),"FIP-DOM-000-11304-OS00001-INA-000000")</f>
        <v>FIP-DOM-000-11304-OS00001-INA-000000</v>
      </c>
      <c r="P1025" s="6" t="str">
        <f>IFERROR(__xludf.DUMMYFUNCTION("""COMPUTED_VALUE"""),"PO Closed")</f>
        <v>PO Closed</v>
      </c>
      <c r="Q1025" s="6" t="str">
        <f>IFERROR(__xludf.DUMMYFUNCTION("""COMPUTED_VALUE"""),"GL2002033")</f>
        <v>GL2002033</v>
      </c>
      <c r="R1025" s="57">
        <f>IFERROR(__xludf.DUMMYFUNCTION("""COMPUTED_VALUE"""),43859.0)</f>
        <v>43859</v>
      </c>
      <c r="S1025" s="6" t="str">
        <f>IFERROR(__xludf.DUMMYFUNCTION("""COMPUTED_VALUE"""),"-")</f>
        <v>-</v>
      </c>
      <c r="T1025" s="57">
        <f>IFERROR(__xludf.DUMMYFUNCTION("""COMPUTED_VALUE"""),43889.0)</f>
        <v>43889</v>
      </c>
    </row>
    <row r="1026">
      <c r="A1026" s="6" t="str">
        <f>IFERROR(__xludf.DUMMYFUNCTION("""COMPUTED_VALUE"""),"201750026-5")</f>
        <v>201750026-5</v>
      </c>
      <c r="B1026" s="6" t="str">
        <f>IFERROR(__xludf.DUMMYFUNCTION("""COMPUTED_VALUE"""),"201750026 - Approved")</f>
        <v>201750026 - Approved</v>
      </c>
      <c r="C1026" s="6">
        <f>IFERROR(__xludf.DUMMYFUNCTION("""COMPUTED_VALUE"""),5.0)</f>
        <v>5</v>
      </c>
      <c r="D1026" s="6" t="str">
        <f>IFERROR(__xludf.DUMMYFUNCTION("""COMPUTED_VALUE"""),"Q-60003-00")</f>
        <v>Q-60003-00</v>
      </c>
      <c r="E1026" s="6" t="str">
        <f>IFERROR(__xludf.DUMMYFUNCTION("""COMPUTED_VALUE"""),"Plakband Kertas")</f>
        <v>Plakband Kertas</v>
      </c>
      <c r="F1026" s="6">
        <f>IFERROR(__xludf.DUMMYFUNCTION("""COMPUTED_VALUE"""),10.0)</f>
        <v>10</v>
      </c>
      <c r="G1026" s="6" t="str">
        <f>IFERROR(__xludf.DUMMYFUNCTION("""COMPUTED_VALUE"""),"Roll")</f>
        <v>Roll</v>
      </c>
      <c r="H1026" s="6" t="str">
        <f>IFERROR(__xludf.DUMMYFUNCTION("""COMPUTED_VALUE"""),"IDR")</f>
        <v>IDR</v>
      </c>
      <c r="I1026" s="6">
        <f>IFERROR(__xludf.DUMMYFUNCTION("""COMPUTED_VALUE"""),6000.0)</f>
        <v>6000</v>
      </c>
      <c r="J1026" s="6">
        <f>IFERROR(__xludf.DUMMYFUNCTION("""COMPUTED_VALUE"""),60000.0)</f>
        <v>60000</v>
      </c>
      <c r="K1026" s="57">
        <f>IFERROR(__xludf.DUMMYFUNCTION("""COMPUTED_VALUE"""),43882.0)</f>
        <v>43882</v>
      </c>
      <c r="L1026" s="6" t="str">
        <f>IFERROR(__xludf.DUMMYFUNCTION("""COMPUTED_VALUE"""),"FIP Engineering")</f>
        <v>FIP Engineering</v>
      </c>
      <c r="M1026" s="6" t="str">
        <f>IFERROR(__xludf.DUMMYFUNCTION("""COMPUTED_VALUE"""),"Irwan Sopian")</f>
        <v>Irwan Sopian</v>
      </c>
      <c r="N1026" s="6" t="str">
        <f>IFERROR(__xludf.DUMMYFUNCTION("""COMPUTED_VALUE"""),"FIP Engineering")</f>
        <v>FIP Engineering</v>
      </c>
      <c r="O1026" s="6" t="str">
        <f>IFERROR(__xludf.DUMMYFUNCTION("""COMPUTED_VALUE"""),"FIP-DOM-000-11304-OS00001-INA-000000")</f>
        <v>FIP-DOM-000-11304-OS00001-INA-000000</v>
      </c>
      <c r="P1026" s="6" t="str">
        <f>IFERROR(__xludf.DUMMYFUNCTION("""COMPUTED_VALUE"""),"PO Closed")</f>
        <v>PO Closed</v>
      </c>
      <c r="Q1026" s="6" t="str">
        <f>IFERROR(__xludf.DUMMYFUNCTION("""COMPUTED_VALUE"""),"GL2002033")</f>
        <v>GL2002033</v>
      </c>
      <c r="R1026" s="57">
        <f>IFERROR(__xludf.DUMMYFUNCTION("""COMPUTED_VALUE"""),43859.0)</f>
        <v>43859</v>
      </c>
      <c r="S1026" s="6" t="str">
        <f>IFERROR(__xludf.DUMMYFUNCTION("""COMPUTED_VALUE"""),"-")</f>
        <v>-</v>
      </c>
      <c r="T1026" s="57">
        <f>IFERROR(__xludf.DUMMYFUNCTION("""COMPUTED_VALUE"""),43889.0)</f>
        <v>43889</v>
      </c>
    </row>
    <row r="1027">
      <c r="A1027" s="6" t="str">
        <f>IFERROR(__xludf.DUMMYFUNCTION("""COMPUTED_VALUE"""),"201750026-6")</f>
        <v>201750026-6</v>
      </c>
      <c r="B1027" s="6" t="str">
        <f>IFERROR(__xludf.DUMMYFUNCTION("""COMPUTED_VALUE"""),"201750026 - Approved")</f>
        <v>201750026 - Approved</v>
      </c>
      <c r="C1027" s="6">
        <f>IFERROR(__xludf.DUMMYFUNCTION("""COMPUTED_VALUE"""),6.0)</f>
        <v>6</v>
      </c>
      <c r="D1027" s="6" t="str">
        <f>IFERROR(__xludf.DUMMYFUNCTION("""COMPUTED_VALUE"""),"P-53104-00")</f>
        <v>P-53104-00</v>
      </c>
      <c r="E1027" s="6" t="str">
        <f>IFERROR(__xludf.DUMMYFUNCTION("""COMPUTED_VALUE"""),"Fitting Keramik Lampu Mercury SON-T 70W PHILIPS")</f>
        <v>Fitting Keramik Lampu Mercury SON-T 70W PHILIPS</v>
      </c>
      <c r="F1027" s="6">
        <f>IFERROR(__xludf.DUMMYFUNCTION("""COMPUTED_VALUE"""),5.0)</f>
        <v>5</v>
      </c>
      <c r="G1027" s="6" t="str">
        <f>IFERROR(__xludf.DUMMYFUNCTION("""COMPUTED_VALUE"""),"Pieces")</f>
        <v>Pieces</v>
      </c>
      <c r="H1027" s="6" t="str">
        <f>IFERROR(__xludf.DUMMYFUNCTION("""COMPUTED_VALUE"""),"IDR")</f>
        <v>IDR</v>
      </c>
      <c r="I1027" s="6">
        <f>IFERROR(__xludf.DUMMYFUNCTION("""COMPUTED_VALUE"""),25000.0)</f>
        <v>25000</v>
      </c>
      <c r="J1027" s="6">
        <f>IFERROR(__xludf.DUMMYFUNCTION("""COMPUTED_VALUE"""),125000.0)</f>
        <v>125000</v>
      </c>
      <c r="K1027" s="57">
        <f>IFERROR(__xludf.DUMMYFUNCTION("""COMPUTED_VALUE"""),43889.0)</f>
        <v>43889</v>
      </c>
      <c r="L1027" s="6" t="str">
        <f>IFERROR(__xludf.DUMMYFUNCTION("""COMPUTED_VALUE"""),"FIP Engineering")</f>
        <v>FIP Engineering</v>
      </c>
      <c r="M1027" s="6" t="str">
        <f>IFERROR(__xludf.DUMMYFUNCTION("""COMPUTED_VALUE"""),"Irwan Sopian")</f>
        <v>Irwan Sopian</v>
      </c>
      <c r="N1027" s="6" t="str">
        <f>IFERROR(__xludf.DUMMYFUNCTION("""COMPUTED_VALUE"""),"FIP Engineering")</f>
        <v>FIP Engineering</v>
      </c>
      <c r="O1027" s="6" t="str">
        <f>IFERROR(__xludf.DUMMYFUNCTION("""COMPUTED_VALUE"""),"FIP-DOM-000-11304-OS00001-INA-000000")</f>
        <v>FIP-DOM-000-11304-OS00001-INA-000000</v>
      </c>
      <c r="P1027" s="6" t="str">
        <f>IFERROR(__xludf.DUMMYFUNCTION("""COMPUTED_VALUE"""),"PO Closed")</f>
        <v>PO Closed</v>
      </c>
      <c r="Q1027" s="6" t="str">
        <f>IFERROR(__xludf.DUMMYFUNCTION("""COMPUTED_VALUE"""),"GL2002033")</f>
        <v>GL2002033</v>
      </c>
      <c r="R1027" s="57">
        <f>IFERROR(__xludf.DUMMYFUNCTION("""COMPUTED_VALUE"""),43859.0)</f>
        <v>43859</v>
      </c>
      <c r="S1027" s="6" t="str">
        <f>IFERROR(__xludf.DUMMYFUNCTION("""COMPUTED_VALUE"""),"-")</f>
        <v>-</v>
      </c>
      <c r="T1027" s="57">
        <f>IFERROR(__xludf.DUMMYFUNCTION("""COMPUTED_VALUE"""),43889.0)</f>
        <v>43889</v>
      </c>
    </row>
    <row r="1028">
      <c r="A1028" s="6" t="str">
        <f>IFERROR(__xludf.DUMMYFUNCTION("""COMPUTED_VALUE"""),"201750026-7")</f>
        <v>201750026-7</v>
      </c>
      <c r="B1028" s="6" t="str">
        <f>IFERROR(__xludf.DUMMYFUNCTION("""COMPUTED_VALUE"""),"201750026 - Approved")</f>
        <v>201750026 - Approved</v>
      </c>
      <c r="C1028" s="6">
        <f>IFERROR(__xludf.DUMMYFUNCTION("""COMPUTED_VALUE"""),7.0)</f>
        <v>7</v>
      </c>
      <c r="D1028" s="6" t="str">
        <f>IFERROR(__xludf.DUMMYFUNCTION("""COMPUTED_VALUE"""),"O-17243-00")</f>
        <v>O-17243-00</v>
      </c>
      <c r="E1028" s="6" t="str">
        <f>IFERROR(__xludf.DUMMYFUNCTION("""COMPUTED_VALUE"""),"Selang Flexible Vaccum 40 mm")</f>
        <v>Selang Flexible Vaccum 40 mm</v>
      </c>
      <c r="F1028" s="6">
        <f>IFERROR(__xludf.DUMMYFUNCTION("""COMPUTED_VALUE"""),1.0)</f>
        <v>1</v>
      </c>
      <c r="G1028" s="6" t="str">
        <f>IFERROR(__xludf.DUMMYFUNCTION("""COMPUTED_VALUE"""),"Meter")</f>
        <v>Meter</v>
      </c>
      <c r="H1028" s="6" t="str">
        <f>IFERROR(__xludf.DUMMYFUNCTION("""COMPUTED_VALUE"""),"IDR")</f>
        <v>IDR</v>
      </c>
      <c r="I1028" s="6">
        <f>IFERROR(__xludf.DUMMYFUNCTION("""COMPUTED_VALUE"""),220000.0)</f>
        <v>220000</v>
      </c>
      <c r="J1028" s="6">
        <f>IFERROR(__xludf.DUMMYFUNCTION("""COMPUTED_VALUE"""),220000.0)</f>
        <v>220000</v>
      </c>
      <c r="K1028" s="57">
        <f>IFERROR(__xludf.DUMMYFUNCTION("""COMPUTED_VALUE"""),43882.0)</f>
        <v>43882</v>
      </c>
      <c r="L1028" s="6" t="str">
        <f>IFERROR(__xludf.DUMMYFUNCTION("""COMPUTED_VALUE"""),"FIP Engineering")</f>
        <v>FIP Engineering</v>
      </c>
      <c r="M1028" s="6" t="str">
        <f>IFERROR(__xludf.DUMMYFUNCTION("""COMPUTED_VALUE"""),"Irwan Sopian")</f>
        <v>Irwan Sopian</v>
      </c>
      <c r="N1028" s="6" t="str">
        <f>IFERROR(__xludf.DUMMYFUNCTION("""COMPUTED_VALUE"""),"FIP Engineering")</f>
        <v>FIP Engineering</v>
      </c>
      <c r="O1028" s="6" t="str">
        <f>IFERROR(__xludf.DUMMYFUNCTION("""COMPUTED_VALUE"""),"FIP-DOM-000-11304-OS00001-INA-000000")</f>
        <v>FIP-DOM-000-11304-OS00001-INA-000000</v>
      </c>
      <c r="P1028" s="6" t="str">
        <f>IFERROR(__xludf.DUMMYFUNCTION("""COMPUTED_VALUE"""),"PO Closed")</f>
        <v>PO Closed</v>
      </c>
      <c r="Q1028" s="6" t="str">
        <f>IFERROR(__xludf.DUMMYFUNCTION("""COMPUTED_VALUE"""),"GL2002033")</f>
        <v>GL2002033</v>
      </c>
      <c r="R1028" s="57">
        <f>IFERROR(__xludf.DUMMYFUNCTION("""COMPUTED_VALUE"""),43859.0)</f>
        <v>43859</v>
      </c>
      <c r="S1028" s="6" t="str">
        <f>IFERROR(__xludf.DUMMYFUNCTION("""COMPUTED_VALUE"""),"-")</f>
        <v>-</v>
      </c>
      <c r="T1028" s="57">
        <f>IFERROR(__xludf.DUMMYFUNCTION("""COMPUTED_VALUE"""),43889.0)</f>
        <v>43889</v>
      </c>
    </row>
    <row r="1029">
      <c r="A1029" s="6" t="str">
        <f>IFERROR(__xludf.DUMMYFUNCTION("""COMPUTED_VALUE"""),"201750026-8")</f>
        <v>201750026-8</v>
      </c>
      <c r="B1029" s="6" t="str">
        <f>IFERROR(__xludf.DUMMYFUNCTION("""COMPUTED_VALUE"""),"201750026 - Approved")</f>
        <v>201750026 - Approved</v>
      </c>
      <c r="C1029" s="6">
        <f>IFERROR(__xludf.DUMMYFUNCTION("""COMPUTED_VALUE"""),8.0)</f>
        <v>8</v>
      </c>
      <c r="D1029" s="6" t="str">
        <f>IFERROR(__xludf.DUMMYFUNCTION("""COMPUTED_VALUE"""),"P-16992-00")</f>
        <v>P-16992-00</v>
      </c>
      <c r="E1029" s="6" t="str">
        <f>IFERROR(__xludf.DUMMYFUNCTION("""COMPUTED_VALUE"""),"Elbow SS304 SCH 10x1/2 inch")</f>
        <v>Elbow SS304 SCH 10x1/2 inch</v>
      </c>
      <c r="F1029" s="6">
        <f>IFERROR(__xludf.DUMMYFUNCTION("""COMPUTED_VALUE"""),4.0)</f>
        <v>4</v>
      </c>
      <c r="G1029" s="6" t="str">
        <f>IFERROR(__xludf.DUMMYFUNCTION("""COMPUTED_VALUE"""),"Pieces")</f>
        <v>Pieces</v>
      </c>
      <c r="H1029" s="6" t="str">
        <f>IFERROR(__xludf.DUMMYFUNCTION("""COMPUTED_VALUE"""),"IDR")</f>
        <v>IDR</v>
      </c>
      <c r="I1029" s="6">
        <f>IFERROR(__xludf.DUMMYFUNCTION("""COMPUTED_VALUE"""),45000.0)</f>
        <v>45000</v>
      </c>
      <c r="J1029" s="6">
        <f>IFERROR(__xludf.DUMMYFUNCTION("""COMPUTED_VALUE"""),180000.0)</f>
        <v>180000</v>
      </c>
      <c r="K1029" s="57">
        <f>IFERROR(__xludf.DUMMYFUNCTION("""COMPUTED_VALUE"""),43882.0)</f>
        <v>43882</v>
      </c>
      <c r="L1029" s="6" t="str">
        <f>IFERROR(__xludf.DUMMYFUNCTION("""COMPUTED_VALUE"""),"FIP General")</f>
        <v>FIP General</v>
      </c>
      <c r="M1029" s="6" t="str">
        <f>IFERROR(__xludf.DUMMYFUNCTION("""COMPUTED_VALUE"""),"Irwan Sopian")</f>
        <v>Irwan Sopian</v>
      </c>
      <c r="N1029" s="6" t="str">
        <f>IFERROR(__xludf.DUMMYFUNCTION("""COMPUTED_VALUE"""),"FIP Engineering")</f>
        <v>FIP Engineering</v>
      </c>
      <c r="O1029" s="6" t="str">
        <f>IFERROR(__xludf.DUMMYFUNCTION("""COMPUTED_VALUE"""),"FIP-DOM-ENG-51502-0000000-INA-000000")</f>
        <v>FIP-DOM-ENG-51502-0000000-INA-000000</v>
      </c>
      <c r="P1029" s="6" t="str">
        <f>IFERROR(__xludf.DUMMYFUNCTION("""COMPUTED_VALUE"""),"PO Closed")</f>
        <v>PO Closed</v>
      </c>
      <c r="Q1029" s="6" t="str">
        <f>IFERROR(__xludf.DUMMYFUNCTION("""COMPUTED_VALUE"""),"GL2002033")</f>
        <v>GL2002033</v>
      </c>
      <c r="R1029" s="57">
        <f>IFERROR(__xludf.DUMMYFUNCTION("""COMPUTED_VALUE"""),43859.0)</f>
        <v>43859</v>
      </c>
      <c r="S1029" s="6" t="str">
        <f>IFERROR(__xludf.DUMMYFUNCTION("""COMPUTED_VALUE"""),"-")</f>
        <v>-</v>
      </c>
      <c r="T1029" s="57">
        <f>IFERROR(__xludf.DUMMYFUNCTION("""COMPUTED_VALUE"""),43889.0)</f>
        <v>43889</v>
      </c>
    </row>
    <row r="1030">
      <c r="A1030" s="6" t="str">
        <f>IFERROR(__xludf.DUMMYFUNCTION("""COMPUTED_VALUE"""),"201750026-9")</f>
        <v>201750026-9</v>
      </c>
      <c r="B1030" s="6" t="str">
        <f>IFERROR(__xludf.DUMMYFUNCTION("""COMPUTED_VALUE"""),"201750026 - Approved")</f>
        <v>201750026 - Approved</v>
      </c>
      <c r="C1030" s="6">
        <f>IFERROR(__xludf.DUMMYFUNCTION("""COMPUTED_VALUE"""),9.0)</f>
        <v>9</v>
      </c>
      <c r="D1030" s="6" t="str">
        <f>IFERROR(__xludf.DUMMYFUNCTION("""COMPUTED_VALUE"""),"P-12455-00")</f>
        <v>P-12455-00</v>
      </c>
      <c r="E1030" s="6" t="str">
        <f>IFERROR(__xludf.DUMMYFUNCTION("""COMPUTED_VALUE"""),"KITZ - Gate Valve dia 1inch")</f>
        <v>KITZ - Gate Valve dia 1inch</v>
      </c>
      <c r="F1030" s="6">
        <f>IFERROR(__xludf.DUMMYFUNCTION("""COMPUTED_VALUE"""),2.0)</f>
        <v>2</v>
      </c>
      <c r="G1030" s="6" t="str">
        <f>IFERROR(__xludf.DUMMYFUNCTION("""COMPUTED_VALUE"""),"Pieces")</f>
        <v>Pieces</v>
      </c>
      <c r="H1030" s="6" t="str">
        <f>IFERROR(__xludf.DUMMYFUNCTION("""COMPUTED_VALUE"""),"IDR")</f>
        <v>IDR</v>
      </c>
      <c r="I1030" s="6">
        <f>IFERROR(__xludf.DUMMYFUNCTION("""COMPUTED_VALUE"""),200000.0)</f>
        <v>200000</v>
      </c>
      <c r="J1030" s="6">
        <f>IFERROR(__xludf.DUMMYFUNCTION("""COMPUTED_VALUE"""),400000.0)</f>
        <v>400000</v>
      </c>
      <c r="K1030" s="57">
        <f>IFERROR(__xludf.DUMMYFUNCTION("""COMPUTED_VALUE"""),43882.0)</f>
        <v>43882</v>
      </c>
      <c r="L1030" s="6" t="str">
        <f>IFERROR(__xludf.DUMMYFUNCTION("""COMPUTED_VALUE"""),"FIP Engineering")</f>
        <v>FIP Engineering</v>
      </c>
      <c r="M1030" s="6" t="str">
        <f>IFERROR(__xludf.DUMMYFUNCTION("""COMPUTED_VALUE"""),"Irwan Sopian")</f>
        <v>Irwan Sopian</v>
      </c>
      <c r="N1030" s="6" t="str">
        <f>IFERROR(__xludf.DUMMYFUNCTION("""COMPUTED_VALUE"""),"FIP Engineering")</f>
        <v>FIP Engineering</v>
      </c>
      <c r="O1030" s="6" t="str">
        <f>IFERROR(__xludf.DUMMYFUNCTION("""COMPUTED_VALUE"""),"FIP-DOM-000-11304-OS00001-INA-000000")</f>
        <v>FIP-DOM-000-11304-OS00001-INA-000000</v>
      </c>
      <c r="P1030" s="6" t="str">
        <f>IFERROR(__xludf.DUMMYFUNCTION("""COMPUTED_VALUE"""),"PO Closed")</f>
        <v>PO Closed</v>
      </c>
      <c r="Q1030" s="6" t="str">
        <f>IFERROR(__xludf.DUMMYFUNCTION("""COMPUTED_VALUE"""),"GL2002033")</f>
        <v>GL2002033</v>
      </c>
      <c r="R1030" s="57">
        <f>IFERROR(__xludf.DUMMYFUNCTION("""COMPUTED_VALUE"""),43859.0)</f>
        <v>43859</v>
      </c>
      <c r="S1030" s="6" t="str">
        <f>IFERROR(__xludf.DUMMYFUNCTION("""COMPUTED_VALUE"""),"-")</f>
        <v>-</v>
      </c>
      <c r="T1030" s="57">
        <f>IFERROR(__xludf.DUMMYFUNCTION("""COMPUTED_VALUE"""),43889.0)</f>
        <v>43889</v>
      </c>
    </row>
    <row r="1031">
      <c r="A1031" s="6" t="str">
        <f>IFERROR(__xludf.DUMMYFUNCTION("""COMPUTED_VALUE"""),"201750043-1")</f>
        <v>201750043-1</v>
      </c>
      <c r="B1031" s="6" t="str">
        <f>IFERROR(__xludf.DUMMYFUNCTION("""COMPUTED_VALUE"""),"201750043 - Approved")</f>
        <v>201750043 - Approved</v>
      </c>
      <c r="C1031" s="6">
        <f>IFERROR(__xludf.DUMMYFUNCTION("""COMPUTED_VALUE"""),1.0)</f>
        <v>1</v>
      </c>
      <c r="D1031" s="6" t="str">
        <f>IFERROR(__xludf.DUMMYFUNCTION("""COMPUTED_VALUE"""),"O-52313-00")</f>
        <v>O-52313-00</v>
      </c>
      <c r="E1031" s="6" t="str">
        <f>IFERROR(__xludf.DUMMYFUNCTION("""COMPUTED_VALUE"""),"Selenoid Valve VZWD-L-M22C-M-G14-10-V-1P4-50 Festo P/n: 1491828")</f>
        <v>Selenoid Valve VZWD-L-M22C-M-G14-10-V-1P4-50 Festo P/n: 1491828</v>
      </c>
      <c r="F1031" s="6">
        <f>IFERROR(__xludf.DUMMYFUNCTION("""COMPUTED_VALUE"""),1.0)</f>
        <v>1</v>
      </c>
      <c r="G1031" s="6" t="str">
        <f>IFERROR(__xludf.DUMMYFUNCTION("""COMPUTED_VALUE"""),"Pieces")</f>
        <v>Pieces</v>
      </c>
      <c r="H1031" s="6" t="str">
        <f>IFERROR(__xludf.DUMMYFUNCTION("""COMPUTED_VALUE"""),"IDR")</f>
        <v>IDR</v>
      </c>
      <c r="I1031" s="6">
        <f>IFERROR(__xludf.DUMMYFUNCTION("""COMPUTED_VALUE"""),745574.0)</f>
        <v>745574</v>
      </c>
      <c r="J1031" s="6">
        <f>IFERROR(__xludf.DUMMYFUNCTION("""COMPUTED_VALUE"""),745574.0)</f>
        <v>745574</v>
      </c>
      <c r="K1031" s="57">
        <f>IFERROR(__xludf.DUMMYFUNCTION("""COMPUTED_VALUE"""),43896.0)</f>
        <v>43896</v>
      </c>
      <c r="L1031" s="6" t="str">
        <f>IFERROR(__xludf.DUMMYFUNCTION("""COMPUTED_VALUE"""),"FIP Engineering")</f>
        <v>FIP Engineering</v>
      </c>
      <c r="M1031" s="6" t="str">
        <f>IFERROR(__xludf.DUMMYFUNCTION("""COMPUTED_VALUE"""),"Irwan Sopian")</f>
        <v>Irwan Sopian</v>
      </c>
      <c r="N1031" s="6" t="str">
        <f>IFERROR(__xludf.DUMMYFUNCTION("""COMPUTED_VALUE"""),"FIP Engineering")</f>
        <v>FIP Engineering</v>
      </c>
      <c r="O1031" s="6" t="str">
        <f>IFERROR(__xludf.DUMMYFUNCTION("""COMPUTED_VALUE"""),"FIP-DOM-000-11304-OS00001-INA-000000")</f>
        <v>FIP-DOM-000-11304-OS00001-INA-000000</v>
      </c>
      <c r="P1031" s="6" t="str">
        <f>IFERROR(__xludf.DUMMYFUNCTION("""COMPUTED_VALUE"""),"PO Closed")</f>
        <v>PO Closed</v>
      </c>
      <c r="Q1031" s="6" t="str">
        <f>IFERROR(__xludf.DUMMYFUNCTION("""COMPUTED_VALUE"""),"GL2002019")</f>
        <v>GL2002019</v>
      </c>
      <c r="R1031" s="57">
        <f>IFERROR(__xludf.DUMMYFUNCTION("""COMPUTED_VALUE"""),43865.0)</f>
        <v>43865</v>
      </c>
      <c r="S1031" s="6" t="str">
        <f>IFERROR(__xludf.DUMMYFUNCTION("""COMPUTED_VALUE"""),"-")</f>
        <v>-</v>
      </c>
      <c r="T1031" s="57">
        <f>IFERROR(__xludf.DUMMYFUNCTION("""COMPUTED_VALUE"""),43896.0)</f>
        <v>43896</v>
      </c>
    </row>
    <row r="1032">
      <c r="A1032" s="6" t="str">
        <f>IFERROR(__xludf.DUMMYFUNCTION("""COMPUTED_VALUE"""),"201750043-2")</f>
        <v>201750043-2</v>
      </c>
      <c r="B1032" s="6" t="str">
        <f>IFERROR(__xludf.DUMMYFUNCTION("""COMPUTED_VALUE"""),"201750043 - Approved")</f>
        <v>201750043 - Approved</v>
      </c>
      <c r="C1032" s="6">
        <f>IFERROR(__xludf.DUMMYFUNCTION("""COMPUTED_VALUE"""),2.0)</f>
        <v>2</v>
      </c>
      <c r="D1032" s="6" t="str">
        <f>IFERROR(__xludf.DUMMYFUNCTION("""COMPUTED_VALUE"""),"O-17279-00")</f>
        <v>O-17279-00</v>
      </c>
      <c r="E1032" s="6" t="str">
        <f>IFERROR(__xludf.DUMMYFUNCTION("""COMPUTED_VALUE"""),"Compact Cylinder ADVULQ-20-110-P-A Festo P/n: 156102")</f>
        <v>Compact Cylinder ADVULQ-20-110-P-A Festo P/n: 156102</v>
      </c>
      <c r="F1032" s="6">
        <f>IFERROR(__xludf.DUMMYFUNCTION("""COMPUTED_VALUE"""),1.0)</f>
        <v>1</v>
      </c>
      <c r="G1032" s="6" t="str">
        <f>IFERROR(__xludf.DUMMYFUNCTION("""COMPUTED_VALUE"""),"Pieces")</f>
        <v>Pieces</v>
      </c>
      <c r="H1032" s="6" t="str">
        <f>IFERROR(__xludf.DUMMYFUNCTION("""COMPUTED_VALUE"""),"IDR")</f>
        <v>IDR</v>
      </c>
      <c r="I1032" s="6">
        <f>IFERROR(__xludf.DUMMYFUNCTION("""COMPUTED_VALUE"""),1965452.0)</f>
        <v>1965452</v>
      </c>
      <c r="J1032" s="6">
        <f>IFERROR(__xludf.DUMMYFUNCTION("""COMPUTED_VALUE"""),1965452.0)</f>
        <v>1965452</v>
      </c>
      <c r="K1032" s="57">
        <f>IFERROR(__xludf.DUMMYFUNCTION("""COMPUTED_VALUE"""),43896.0)</f>
        <v>43896</v>
      </c>
      <c r="L1032" s="6" t="str">
        <f>IFERROR(__xludf.DUMMYFUNCTION("""COMPUTED_VALUE"""),"FIP Engineering")</f>
        <v>FIP Engineering</v>
      </c>
      <c r="M1032" s="6" t="str">
        <f>IFERROR(__xludf.DUMMYFUNCTION("""COMPUTED_VALUE"""),"Irwan Sopian")</f>
        <v>Irwan Sopian</v>
      </c>
      <c r="N1032" s="6" t="str">
        <f>IFERROR(__xludf.DUMMYFUNCTION("""COMPUTED_VALUE"""),"FIP Engineering")</f>
        <v>FIP Engineering</v>
      </c>
      <c r="O1032" s="6" t="str">
        <f>IFERROR(__xludf.DUMMYFUNCTION("""COMPUTED_VALUE"""),"FIP-DOM-000-11304-OS00001-INA-000000")</f>
        <v>FIP-DOM-000-11304-OS00001-INA-000000</v>
      </c>
      <c r="P1032" s="6" t="str">
        <f>IFERROR(__xludf.DUMMYFUNCTION("""COMPUTED_VALUE"""),"PO Closed")</f>
        <v>PO Closed</v>
      </c>
      <c r="Q1032" s="6" t="str">
        <f>IFERROR(__xludf.DUMMYFUNCTION("""COMPUTED_VALUE"""),"GL2002019")</f>
        <v>GL2002019</v>
      </c>
      <c r="R1032" s="57">
        <f>IFERROR(__xludf.DUMMYFUNCTION("""COMPUTED_VALUE"""),43865.0)</f>
        <v>43865</v>
      </c>
      <c r="S1032" s="6" t="str">
        <f>IFERROR(__xludf.DUMMYFUNCTION("""COMPUTED_VALUE"""),"-")</f>
        <v>-</v>
      </c>
      <c r="T1032" s="57">
        <f>IFERROR(__xludf.DUMMYFUNCTION("""COMPUTED_VALUE"""),43896.0)</f>
        <v>43896</v>
      </c>
    </row>
    <row r="1033">
      <c r="A1033" s="6" t="str">
        <f>IFERROR(__xludf.DUMMYFUNCTION("""COMPUTED_VALUE"""),"201750043-3")</f>
        <v>201750043-3</v>
      </c>
      <c r="B1033" s="6" t="str">
        <f>IFERROR(__xludf.DUMMYFUNCTION("""COMPUTED_VALUE"""),"201750043 - Approved")</f>
        <v>201750043 - Approved</v>
      </c>
      <c r="C1033" s="6">
        <f>IFERROR(__xludf.DUMMYFUNCTION("""COMPUTED_VALUE"""),3.0)</f>
        <v>3</v>
      </c>
      <c r="D1033" s="6" t="str">
        <f>IFERROR(__xludf.DUMMYFUNCTION("""COMPUTED_VALUE"""),"O-52314-00")</f>
        <v>O-52314-00</v>
      </c>
      <c r="E1033" s="6" t="str">
        <f>IFERROR(__xludf.DUMMYFUNCTION("""COMPUTED_VALUE"""),"Selenoid Valve VSNC-FC-M52-MD-G14-F8-1B2 Festo P/n: 577295")</f>
        <v>Selenoid Valve VSNC-FC-M52-MD-G14-F8-1B2 Festo P/n: 577295</v>
      </c>
      <c r="F1033" s="6">
        <f>IFERROR(__xludf.DUMMYFUNCTION("""COMPUTED_VALUE"""),1.0)</f>
        <v>1</v>
      </c>
      <c r="G1033" s="6" t="str">
        <f>IFERROR(__xludf.DUMMYFUNCTION("""COMPUTED_VALUE"""),"Pieces")</f>
        <v>Pieces</v>
      </c>
      <c r="H1033" s="6" t="str">
        <f>IFERROR(__xludf.DUMMYFUNCTION("""COMPUTED_VALUE"""),"IDR")</f>
        <v>IDR</v>
      </c>
      <c r="I1033" s="6">
        <f>IFERROR(__xludf.DUMMYFUNCTION("""COMPUTED_VALUE"""),1138487.0)</f>
        <v>1138487</v>
      </c>
      <c r="J1033" s="6">
        <f>IFERROR(__xludf.DUMMYFUNCTION("""COMPUTED_VALUE"""),1138487.0)</f>
        <v>1138487</v>
      </c>
      <c r="K1033" s="57">
        <f>IFERROR(__xludf.DUMMYFUNCTION("""COMPUTED_VALUE"""),43896.0)</f>
        <v>43896</v>
      </c>
      <c r="L1033" s="6" t="str">
        <f>IFERROR(__xludf.DUMMYFUNCTION("""COMPUTED_VALUE"""),"FIP Engineering")</f>
        <v>FIP Engineering</v>
      </c>
      <c r="M1033" s="6" t="str">
        <f>IFERROR(__xludf.DUMMYFUNCTION("""COMPUTED_VALUE"""),"Irwan Sopian")</f>
        <v>Irwan Sopian</v>
      </c>
      <c r="N1033" s="6" t="str">
        <f>IFERROR(__xludf.DUMMYFUNCTION("""COMPUTED_VALUE"""),"FIP Engineering")</f>
        <v>FIP Engineering</v>
      </c>
      <c r="O1033" s="6" t="str">
        <f>IFERROR(__xludf.DUMMYFUNCTION("""COMPUTED_VALUE"""),"FIP-DOM-000-11304-OS00001-INA-000000")</f>
        <v>FIP-DOM-000-11304-OS00001-INA-000000</v>
      </c>
      <c r="P1033" s="6" t="str">
        <f>IFERROR(__xludf.DUMMYFUNCTION("""COMPUTED_VALUE"""),"PO Closed")</f>
        <v>PO Closed</v>
      </c>
      <c r="Q1033" s="6" t="str">
        <f>IFERROR(__xludf.DUMMYFUNCTION("""COMPUTED_VALUE"""),"GL2002019")</f>
        <v>GL2002019</v>
      </c>
      <c r="R1033" s="57">
        <f>IFERROR(__xludf.DUMMYFUNCTION("""COMPUTED_VALUE"""),43865.0)</f>
        <v>43865</v>
      </c>
      <c r="S1033" s="6" t="str">
        <f>IFERROR(__xludf.DUMMYFUNCTION("""COMPUTED_VALUE"""),"-")</f>
        <v>-</v>
      </c>
      <c r="T1033" s="57">
        <f>IFERROR(__xludf.DUMMYFUNCTION("""COMPUTED_VALUE"""),43896.0)</f>
        <v>43896</v>
      </c>
    </row>
    <row r="1034">
      <c r="A1034" s="6" t="str">
        <f>IFERROR(__xludf.DUMMYFUNCTION("""COMPUTED_VALUE"""),"201750053-1")</f>
        <v>201750053-1</v>
      </c>
      <c r="B1034" s="6" t="str">
        <f>IFERROR(__xludf.DUMMYFUNCTION("""COMPUTED_VALUE"""),"201750053 - Approved")</f>
        <v>201750053 - Approved</v>
      </c>
      <c r="C1034" s="6">
        <f>IFERROR(__xludf.DUMMYFUNCTION("""COMPUTED_VALUE"""),1.0)</f>
        <v>1</v>
      </c>
      <c r="D1034" s="6" t="str">
        <f>IFERROR(__xludf.DUMMYFUNCTION("""COMPUTED_VALUE"""),"T-20447-00")</f>
        <v>T-20447-00</v>
      </c>
      <c r="E1034" s="6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F1034" s="6">
        <f>IFERROR(__xludf.DUMMYFUNCTION("""COMPUTED_VALUE"""),1.0)</f>
        <v>1</v>
      </c>
      <c r="G1034" s="6" t="str">
        <f>IFERROR(__xludf.DUMMYFUNCTION("""COMPUTED_VALUE"""),"Pack")</f>
        <v>Pack</v>
      </c>
      <c r="H1034" s="6" t="str">
        <f>IFERROR(__xludf.DUMMYFUNCTION("""COMPUTED_VALUE"""),"IDR")</f>
        <v>IDR</v>
      </c>
      <c r="I1034" s="6">
        <f>IFERROR(__xludf.DUMMYFUNCTION("""COMPUTED_VALUE"""),831874.0)</f>
        <v>831874</v>
      </c>
      <c r="J1034" s="6">
        <f>IFERROR(__xludf.DUMMYFUNCTION("""COMPUTED_VALUE"""),831874.0)</f>
        <v>831874</v>
      </c>
      <c r="K1034" s="57">
        <f>IFERROR(__xludf.DUMMYFUNCTION("""COMPUTED_VALUE"""),43889.0)</f>
        <v>43889</v>
      </c>
      <c r="L1034" s="6" t="str">
        <f>IFERROR(__xludf.DUMMYFUNCTION("""COMPUTED_VALUE"""),"FIP General")</f>
        <v>FIP General</v>
      </c>
      <c r="M1034" s="6" t="str">
        <f>IFERROR(__xludf.DUMMYFUNCTION("""COMPUTED_VALUE"""),"Irwan Sopian")</f>
        <v>Irwan Sopian</v>
      </c>
      <c r="N1034" s="6" t="str">
        <f>IFERROR(__xludf.DUMMYFUNCTION("""COMPUTED_VALUE"""),"FIP Engineering")</f>
        <v>FIP Engineering</v>
      </c>
      <c r="O1034" s="6" t="str">
        <f>IFERROR(__xludf.DUMMYFUNCTION("""COMPUTED_VALUE"""),"FIP-DOM-ENG-51505-0000000-INA-000000")</f>
        <v>FIP-DOM-ENG-51505-0000000-INA-000000</v>
      </c>
      <c r="P1034" s="6" t="str">
        <f>IFERROR(__xludf.DUMMYFUNCTION("""COMPUTED_VALUE"""),"PO Closed")</f>
        <v>PO Closed</v>
      </c>
      <c r="Q1034" s="6" t="str">
        <f>IFERROR(__xludf.DUMMYFUNCTION("""COMPUTED_VALUE"""),"GL2001006")</f>
        <v>GL2001006</v>
      </c>
      <c r="R1034" s="57">
        <f>IFERROR(__xludf.DUMMYFUNCTION("""COMPUTED_VALUE"""),43866.0)</f>
        <v>43866</v>
      </c>
      <c r="S1034" s="6" t="str">
        <f>IFERROR(__xludf.DUMMYFUNCTION("""COMPUTED_VALUE"""),"-")</f>
        <v>-</v>
      </c>
      <c r="T1034" s="57">
        <f>IFERROR(__xludf.DUMMYFUNCTION("""COMPUTED_VALUE"""),43903.0)</f>
        <v>43903</v>
      </c>
    </row>
    <row r="1035">
      <c r="A1035" s="6" t="str">
        <f>IFERROR(__xludf.DUMMYFUNCTION("""COMPUTED_VALUE"""),"201750053-2")</f>
        <v>201750053-2</v>
      </c>
      <c r="B1035" s="6" t="str">
        <f>IFERROR(__xludf.DUMMYFUNCTION("""COMPUTED_VALUE"""),"201750053 - Approved")</f>
        <v>201750053 - Approved</v>
      </c>
      <c r="C1035" s="6">
        <f>IFERROR(__xludf.DUMMYFUNCTION("""COMPUTED_VALUE"""),2.0)</f>
        <v>2</v>
      </c>
      <c r="D1035" s="6" t="str">
        <f>IFERROR(__xludf.DUMMYFUNCTION("""COMPUTED_VALUE"""),"T-21034-00")</f>
        <v>T-21034-00</v>
      </c>
      <c r="E1035" s="6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F1035" s="6">
        <f>IFERROR(__xludf.DUMMYFUNCTION("""COMPUTED_VALUE"""),1.0)</f>
        <v>1</v>
      </c>
      <c r="G1035" s="6" t="str">
        <f>IFERROR(__xludf.DUMMYFUNCTION("""COMPUTED_VALUE"""),"Pieces")</f>
        <v>Pieces</v>
      </c>
      <c r="H1035" s="6" t="str">
        <f>IFERROR(__xludf.DUMMYFUNCTION("""COMPUTED_VALUE"""),"IDR")</f>
        <v>IDR</v>
      </c>
      <c r="I1035" s="6">
        <f>IFERROR(__xludf.DUMMYFUNCTION("""COMPUTED_VALUE"""),3049725.0)</f>
        <v>3049725</v>
      </c>
      <c r="J1035" s="6">
        <f>IFERROR(__xludf.DUMMYFUNCTION("""COMPUTED_VALUE"""),3049725.0)</f>
        <v>3049725</v>
      </c>
      <c r="K1035" s="57">
        <f>IFERROR(__xludf.DUMMYFUNCTION("""COMPUTED_VALUE"""),43889.0)</f>
        <v>43889</v>
      </c>
      <c r="L1035" s="6" t="str">
        <f>IFERROR(__xludf.DUMMYFUNCTION("""COMPUTED_VALUE"""),"FIP General")</f>
        <v>FIP General</v>
      </c>
      <c r="M1035" s="6" t="str">
        <f>IFERROR(__xludf.DUMMYFUNCTION("""COMPUTED_VALUE"""),"Irwan Sopian")</f>
        <v>Irwan Sopian</v>
      </c>
      <c r="N1035" s="6" t="str">
        <f>IFERROR(__xludf.DUMMYFUNCTION("""COMPUTED_VALUE"""),"FIP Engineering")</f>
        <v>FIP Engineering</v>
      </c>
      <c r="O1035" s="6" t="str">
        <f>IFERROR(__xludf.DUMMYFUNCTION("""COMPUTED_VALUE"""),"FIP-DOM-ENG-51505-0000000-INA-000000")</f>
        <v>FIP-DOM-ENG-51505-0000000-INA-000000</v>
      </c>
      <c r="P1035" s="6" t="str">
        <f>IFERROR(__xludf.DUMMYFUNCTION("""COMPUTED_VALUE"""),"PO Closed")</f>
        <v>PO Closed</v>
      </c>
      <c r="Q1035" s="6" t="str">
        <f>IFERROR(__xludf.DUMMYFUNCTION("""COMPUTED_VALUE"""),"GL2001006")</f>
        <v>GL2001006</v>
      </c>
      <c r="R1035" s="57">
        <f>IFERROR(__xludf.DUMMYFUNCTION("""COMPUTED_VALUE"""),43867.0)</f>
        <v>43867</v>
      </c>
      <c r="S1035" s="6" t="str">
        <f>IFERROR(__xludf.DUMMYFUNCTION("""COMPUTED_VALUE"""),"-")</f>
        <v>-</v>
      </c>
      <c r="T1035" s="57">
        <f>IFERROR(__xludf.DUMMYFUNCTION("""COMPUTED_VALUE"""),43903.0)</f>
        <v>43903</v>
      </c>
    </row>
    <row r="1036">
      <c r="A1036" s="6" t="str">
        <f>IFERROR(__xludf.DUMMYFUNCTION("""COMPUTED_VALUE"""),"201750058-1")</f>
        <v>201750058-1</v>
      </c>
      <c r="B1036" s="6" t="str">
        <f>IFERROR(__xludf.DUMMYFUNCTION("""COMPUTED_VALUE"""),"201750058 - Approved")</f>
        <v>201750058 - Approved</v>
      </c>
      <c r="C1036" s="6">
        <f>IFERROR(__xludf.DUMMYFUNCTION("""COMPUTED_VALUE"""),1.0)</f>
        <v>1</v>
      </c>
      <c r="D1036" s="6" t="str">
        <f>IFERROR(__xludf.DUMMYFUNCTION("""COMPUTED_VALUE"""),"O-16033-00")</f>
        <v>O-16033-00</v>
      </c>
      <c r="E1036" s="6" t="str">
        <f>IFERROR(__xludf.DUMMYFUNCTION("""COMPUTED_VALUE"""),"Isolator Gloves E10330 Y 7 E4 4156 Material : CSM Shape : E10 Size : 7 Thickness (mm) : 4/1")</f>
        <v>Isolator Gloves E10330 Y 7 E4 4156 Material : CSM Shape : E10 Size : 7 Thickness (mm) : 4/1</v>
      </c>
      <c r="F1036" s="6">
        <f>IFERROR(__xludf.DUMMYFUNCTION("""COMPUTED_VALUE"""),60.0)</f>
        <v>60</v>
      </c>
      <c r="G1036" s="6" t="str">
        <f>IFERROR(__xludf.DUMMYFUNCTION("""COMPUTED_VALUE"""),"Unit")</f>
        <v>Unit</v>
      </c>
      <c r="H1036" s="6" t="str">
        <f>IFERROR(__xludf.DUMMYFUNCTION("""COMPUTED_VALUE"""),"EUR")</f>
        <v>EUR</v>
      </c>
      <c r="I1036" s="6">
        <f>IFERROR(__xludf.DUMMYFUNCTION("""COMPUTED_VALUE"""),39.19)</f>
        <v>39.19</v>
      </c>
      <c r="J1036" s="6">
        <f>IFERROR(__xludf.DUMMYFUNCTION("""COMPUTED_VALUE"""),2351.4)</f>
        <v>2351.4</v>
      </c>
      <c r="K1036" s="57">
        <f>IFERROR(__xludf.DUMMYFUNCTION("""COMPUTED_VALUE"""),43924.0)</f>
        <v>43924</v>
      </c>
      <c r="L1036" s="6" t="str">
        <f>IFERROR(__xludf.DUMMYFUNCTION("""COMPUTED_VALUE"""),"FIP Engineering")</f>
        <v>FIP Engineering</v>
      </c>
      <c r="M1036" s="6" t="str">
        <f>IFERROR(__xludf.DUMMYFUNCTION("""COMPUTED_VALUE"""),"Irwan Sopian")</f>
        <v>Irwan Sopian</v>
      </c>
      <c r="N1036" s="6" t="str">
        <f>IFERROR(__xludf.DUMMYFUNCTION("""COMPUTED_VALUE"""),"FIP Engineering")</f>
        <v>FIP Engineering</v>
      </c>
      <c r="O1036" s="6" t="str">
        <f>IFERROR(__xludf.DUMMYFUNCTION("""COMPUTED_VALUE"""),"FIP-DOM-000-11304-OS00001-INA-000000")</f>
        <v>FIP-DOM-000-11304-OS00001-INA-000000</v>
      </c>
      <c r="P1036" s="6" t="str">
        <f>IFERROR(__xludf.DUMMYFUNCTION("""COMPUTED_VALUE"""),"PO Closed")</f>
        <v>PO Closed</v>
      </c>
      <c r="Q1036" s="6" t="str">
        <f>IFERROR(__xludf.DUMMYFUNCTION("""COMPUTED_VALUE"""),"GL2002026")</f>
        <v>GL2002026</v>
      </c>
      <c r="R1036" s="57">
        <f>IFERROR(__xludf.DUMMYFUNCTION("""COMPUTED_VALUE"""),43871.0)</f>
        <v>43871</v>
      </c>
      <c r="S1036" s="6" t="str">
        <f>IFERROR(__xludf.DUMMYFUNCTION("""COMPUTED_VALUE"""),"-")</f>
        <v>-</v>
      </c>
      <c r="T1036" s="57">
        <f>IFERROR(__xludf.DUMMYFUNCTION("""COMPUTED_VALUE"""),44226.0)</f>
        <v>44226</v>
      </c>
    </row>
    <row r="1037">
      <c r="A1037" s="6" t="str">
        <f>IFERROR(__xludf.DUMMYFUNCTION("""COMPUTED_VALUE"""),"201750058-2")</f>
        <v>201750058-2</v>
      </c>
      <c r="B1037" s="6" t="str">
        <f>IFERROR(__xludf.DUMMYFUNCTION("""COMPUTED_VALUE"""),"201750058 - Approved")</f>
        <v>201750058 - Approved</v>
      </c>
      <c r="C1037" s="6">
        <f>IFERROR(__xludf.DUMMYFUNCTION("""COMPUTED_VALUE"""),2.0)</f>
        <v>2</v>
      </c>
      <c r="D1037" s="6" t="str">
        <f>IFERROR(__xludf.DUMMYFUNCTION("""COMPUTED_VALUE"""),"O-16032-00")</f>
        <v>O-16032-00</v>
      </c>
      <c r="E1037" s="6" t="str">
        <f>IFERROR(__xludf.DUMMYFUNCTION("""COMPUTED_VALUE"""),"Sleeves M200/90 Y 550 E4 Bt5/5 BJ1643Material : CSM Shape : 200/90 Thickness (mm) : 4/10 Leng")</f>
        <v>Sleeves M200/90 Y 550 E4 Bt5/5 BJ1643Material : CSM Shape : 200/90 Thickness (mm) : 4/10 Leng</v>
      </c>
      <c r="F1037" s="6">
        <f>IFERROR(__xludf.DUMMYFUNCTION("""COMPUTED_VALUE"""),40.0)</f>
        <v>40</v>
      </c>
      <c r="G1037" s="6" t="str">
        <f>IFERROR(__xludf.DUMMYFUNCTION("""COMPUTED_VALUE"""),"Unit")</f>
        <v>Unit</v>
      </c>
      <c r="H1037" s="6" t="str">
        <f>IFERROR(__xludf.DUMMYFUNCTION("""COMPUTED_VALUE"""),"EUR")</f>
        <v>EUR</v>
      </c>
      <c r="I1037" s="6">
        <f>IFERROR(__xludf.DUMMYFUNCTION("""COMPUTED_VALUE"""),96.71)</f>
        <v>96.71</v>
      </c>
      <c r="J1037" s="6">
        <f>IFERROR(__xludf.DUMMYFUNCTION("""COMPUTED_VALUE"""),3868.4)</f>
        <v>3868.4</v>
      </c>
      <c r="K1037" s="57">
        <f>IFERROR(__xludf.DUMMYFUNCTION("""COMPUTED_VALUE"""),43924.0)</f>
        <v>43924</v>
      </c>
      <c r="L1037" s="6" t="str">
        <f>IFERROR(__xludf.DUMMYFUNCTION("""COMPUTED_VALUE"""),"FIP Engineering")</f>
        <v>FIP Engineering</v>
      </c>
      <c r="M1037" s="6" t="str">
        <f>IFERROR(__xludf.DUMMYFUNCTION("""COMPUTED_VALUE"""),"Irwan Sopian")</f>
        <v>Irwan Sopian</v>
      </c>
      <c r="N1037" s="6" t="str">
        <f>IFERROR(__xludf.DUMMYFUNCTION("""COMPUTED_VALUE"""),"FIP Engineering")</f>
        <v>FIP Engineering</v>
      </c>
      <c r="O1037" s="6" t="str">
        <f>IFERROR(__xludf.DUMMYFUNCTION("""COMPUTED_VALUE"""),"FIP-DOM-000-11304-OS00001-INA-000000")</f>
        <v>FIP-DOM-000-11304-OS00001-INA-000000</v>
      </c>
      <c r="P1037" s="6" t="str">
        <f>IFERROR(__xludf.DUMMYFUNCTION("""COMPUTED_VALUE"""),"PO Closed")</f>
        <v>PO Closed</v>
      </c>
      <c r="Q1037" s="6" t="str">
        <f>IFERROR(__xludf.DUMMYFUNCTION("""COMPUTED_VALUE"""),"GL2002026")</f>
        <v>GL2002026</v>
      </c>
      <c r="R1037" s="57">
        <f>IFERROR(__xludf.DUMMYFUNCTION("""COMPUTED_VALUE"""),43871.0)</f>
        <v>43871</v>
      </c>
      <c r="S1037" s="6" t="str">
        <f>IFERROR(__xludf.DUMMYFUNCTION("""COMPUTED_VALUE"""),"-")</f>
        <v>-</v>
      </c>
      <c r="T1037" s="57">
        <f>IFERROR(__xludf.DUMMYFUNCTION("""COMPUTED_VALUE"""),44042.0)</f>
        <v>44042</v>
      </c>
    </row>
    <row r="1038">
      <c r="A1038" s="6" t="str">
        <f>IFERROR(__xludf.DUMMYFUNCTION("""COMPUTED_VALUE"""),"201750058-3")</f>
        <v>201750058-3</v>
      </c>
      <c r="B1038" s="6" t="str">
        <f>IFERROR(__xludf.DUMMYFUNCTION("""COMPUTED_VALUE"""),"201750058 - Approved")</f>
        <v>201750058 - Approved</v>
      </c>
      <c r="C1038" s="6">
        <f>IFERROR(__xludf.DUMMYFUNCTION("""COMPUTED_VALUE"""),3.0)</f>
        <v>3</v>
      </c>
      <c r="D1038" s="6" t="str">
        <f>IFERROR(__xludf.DUMMYFUNCTION("""COMPUTED_VALUE"""),"T-20135-00")</f>
        <v>T-20135-00</v>
      </c>
      <c r="E1038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F1038" s="6">
        <f>IFERROR(__xludf.DUMMYFUNCTION("""COMPUTED_VALUE"""),30.0)</f>
        <v>30</v>
      </c>
      <c r="G1038" s="6" t="str">
        <f>IFERROR(__xludf.DUMMYFUNCTION("""COMPUTED_VALUE"""),"Pieces")</f>
        <v>Pieces</v>
      </c>
      <c r="H1038" s="6" t="str">
        <f>IFERROR(__xludf.DUMMYFUNCTION("""COMPUTED_VALUE"""),"EUR")</f>
        <v>EUR</v>
      </c>
      <c r="I1038" s="6">
        <f>IFERROR(__xludf.DUMMYFUNCTION("""COMPUTED_VALUE"""),61.8)</f>
        <v>61.8</v>
      </c>
      <c r="J1038" s="6">
        <f>IFERROR(__xludf.DUMMYFUNCTION("""COMPUTED_VALUE"""),1854.0)</f>
        <v>1854</v>
      </c>
      <c r="K1038" s="57">
        <f>IFERROR(__xludf.DUMMYFUNCTION("""COMPUTED_VALUE"""),43924.0)</f>
        <v>43924</v>
      </c>
      <c r="L1038" s="6" t="str">
        <f>IFERROR(__xludf.DUMMYFUNCTION("""COMPUTED_VALUE"""),"FIP Engineering")</f>
        <v>FIP Engineering</v>
      </c>
      <c r="M1038" s="6" t="str">
        <f>IFERROR(__xludf.DUMMYFUNCTION("""COMPUTED_VALUE"""),"Irwan Sopian")</f>
        <v>Irwan Sopian</v>
      </c>
      <c r="N1038" s="6" t="str">
        <f>IFERROR(__xludf.DUMMYFUNCTION("""COMPUTED_VALUE"""),"FIP Engineering")</f>
        <v>FIP Engineering</v>
      </c>
      <c r="O1038" s="6" t="str">
        <f>IFERROR(__xludf.DUMMYFUNCTION("""COMPUTED_VALUE"""),"FIP-DOM-000-11304-OS00001-INA-000000")</f>
        <v>FIP-DOM-000-11304-OS00001-INA-000000</v>
      </c>
      <c r="P1038" s="6" t="str">
        <f>IFERROR(__xludf.DUMMYFUNCTION("""COMPUTED_VALUE"""),"PO Closed")</f>
        <v>PO Closed</v>
      </c>
      <c r="Q1038" s="6" t="str">
        <f>IFERROR(__xludf.DUMMYFUNCTION("""COMPUTED_VALUE"""),"GL2002026")</f>
        <v>GL2002026</v>
      </c>
      <c r="R1038" s="57">
        <f>IFERROR(__xludf.DUMMYFUNCTION("""COMPUTED_VALUE"""),43871.0)</f>
        <v>43871</v>
      </c>
      <c r="S1038" s="6" t="str">
        <f>IFERROR(__xludf.DUMMYFUNCTION("""COMPUTED_VALUE"""),"-")</f>
        <v>-</v>
      </c>
      <c r="T1038" s="57">
        <f>IFERROR(__xludf.DUMMYFUNCTION("""COMPUTED_VALUE"""),44039.0)</f>
        <v>44039</v>
      </c>
    </row>
    <row r="1039">
      <c r="A1039" s="6" t="str">
        <f>IFERROR(__xludf.DUMMYFUNCTION("""COMPUTED_VALUE"""),"201750058-4")</f>
        <v>201750058-4</v>
      </c>
      <c r="B1039" s="6" t="str">
        <f>IFERROR(__xludf.DUMMYFUNCTION("""COMPUTED_VALUE"""),"201750058 - Approved")</f>
        <v>201750058 - Approved</v>
      </c>
      <c r="C1039" s="6">
        <f>IFERROR(__xludf.DUMMYFUNCTION("""COMPUTED_VALUE"""),4.0)</f>
        <v>4</v>
      </c>
      <c r="D1039" s="6" t="str">
        <f>IFERROR(__xludf.DUMMYFUNCTION("""COMPUTED_VALUE"""),"O-16030-00")</f>
        <v>O-16030-00</v>
      </c>
      <c r="E1039" s="6" t="str">
        <f>IFERROR(__xludf.DUMMYFUNCTION("""COMPUTED_VALUE"""),"1292 Item Type : Dry box 97800 Y 8.5 E4 5 Material : CSM Shape : 97 Size : 8.5")</f>
        <v>1292 Item Type : Dry box 97800 Y 8.5 E4 5 Material : CSM Shape : 97 Size : 8.5</v>
      </c>
      <c r="F1039" s="6">
        <f>IFERROR(__xludf.DUMMYFUNCTION("""COMPUTED_VALUE"""),10.0)</f>
        <v>10</v>
      </c>
      <c r="G1039" s="6" t="str">
        <f>IFERROR(__xludf.DUMMYFUNCTION("""COMPUTED_VALUE"""),"Unit")</f>
        <v>Unit</v>
      </c>
      <c r="H1039" s="6" t="str">
        <f>IFERROR(__xludf.DUMMYFUNCTION("""COMPUTED_VALUE"""),"EUR")</f>
        <v>EUR</v>
      </c>
      <c r="I1039" s="6">
        <f>IFERROR(__xludf.DUMMYFUNCTION("""COMPUTED_VALUE"""),123.63)</f>
        <v>123.63</v>
      </c>
      <c r="J1039" s="6">
        <f>IFERROR(__xludf.DUMMYFUNCTION("""COMPUTED_VALUE"""),1236.3)</f>
        <v>1236.3</v>
      </c>
      <c r="K1039" s="57">
        <f>IFERROR(__xludf.DUMMYFUNCTION("""COMPUTED_VALUE"""),43924.0)</f>
        <v>43924</v>
      </c>
      <c r="L1039" s="6" t="str">
        <f>IFERROR(__xludf.DUMMYFUNCTION("""COMPUTED_VALUE"""),"FIP Engineering")</f>
        <v>FIP Engineering</v>
      </c>
      <c r="M1039" s="6" t="str">
        <f>IFERROR(__xludf.DUMMYFUNCTION("""COMPUTED_VALUE"""),"Irwan Sopian")</f>
        <v>Irwan Sopian</v>
      </c>
      <c r="N1039" s="6" t="str">
        <f>IFERROR(__xludf.DUMMYFUNCTION("""COMPUTED_VALUE"""),"FIP Engineering")</f>
        <v>FIP Engineering</v>
      </c>
      <c r="O1039" s="6" t="str">
        <f>IFERROR(__xludf.DUMMYFUNCTION("""COMPUTED_VALUE"""),"FIP-DOM-000-11304-OS00001-INA-000000")</f>
        <v>FIP-DOM-000-11304-OS00001-INA-000000</v>
      </c>
      <c r="P1039" s="6" t="str">
        <f>IFERROR(__xludf.DUMMYFUNCTION("""COMPUTED_VALUE"""),"PO Closed")</f>
        <v>PO Closed</v>
      </c>
      <c r="Q1039" s="6" t="str">
        <f>IFERROR(__xludf.DUMMYFUNCTION("""COMPUTED_VALUE"""),"GL2002026")</f>
        <v>GL2002026</v>
      </c>
      <c r="R1039" s="57">
        <f>IFERROR(__xludf.DUMMYFUNCTION("""COMPUTED_VALUE"""),43871.0)</f>
        <v>43871</v>
      </c>
      <c r="S1039" s="6" t="str">
        <f>IFERROR(__xludf.DUMMYFUNCTION("""COMPUTED_VALUE"""),"-")</f>
        <v>-</v>
      </c>
      <c r="T1039" s="57">
        <f>IFERROR(__xludf.DUMMYFUNCTION("""COMPUTED_VALUE"""),44195.0)</f>
        <v>44195</v>
      </c>
    </row>
    <row r="1040">
      <c r="A1040" s="6" t="str">
        <f>IFERROR(__xludf.DUMMYFUNCTION("""COMPUTED_VALUE"""),"201750056-1")</f>
        <v>201750056-1</v>
      </c>
      <c r="B1040" s="6" t="str">
        <f>IFERROR(__xludf.DUMMYFUNCTION("""COMPUTED_VALUE"""),"201750056 - Approved")</f>
        <v>201750056 - Approved</v>
      </c>
      <c r="C1040" s="6">
        <f>IFERROR(__xludf.DUMMYFUNCTION("""COMPUTED_VALUE"""),1.0)</f>
        <v>1</v>
      </c>
      <c r="D1040" s="6" t="str">
        <f>IFERROR(__xludf.DUMMYFUNCTION("""COMPUTED_VALUE"""),"O-16033-00")</f>
        <v>O-16033-00</v>
      </c>
      <c r="E1040" s="6" t="str">
        <f>IFERROR(__xludf.DUMMYFUNCTION("""COMPUTED_VALUE"""),"Isolator Gloves E10330 Y 7 E4 4156 Material : CSM Shape : E10 Size : 7 Thickness (mm) : 4/1")</f>
        <v>Isolator Gloves E10330 Y 7 E4 4156 Material : CSM Shape : E10 Size : 7 Thickness (mm) : 4/1</v>
      </c>
      <c r="F1040" s="6">
        <f>IFERROR(__xludf.DUMMYFUNCTION("""COMPUTED_VALUE"""),10.0)</f>
        <v>10</v>
      </c>
      <c r="G1040" s="6" t="str">
        <f>IFERROR(__xludf.DUMMYFUNCTION("""COMPUTED_VALUE"""),"Unit")</f>
        <v>Unit</v>
      </c>
      <c r="H1040" s="6" t="str">
        <f>IFERROR(__xludf.DUMMYFUNCTION("""COMPUTED_VALUE"""),"EUR")</f>
        <v>EUR</v>
      </c>
      <c r="I1040" s="6">
        <f>IFERROR(__xludf.DUMMYFUNCTION("""COMPUTED_VALUE"""),156.16)</f>
        <v>156.16</v>
      </c>
      <c r="J1040" s="6">
        <f>IFERROR(__xludf.DUMMYFUNCTION("""COMPUTED_VALUE"""),1561.6)</f>
        <v>1561.6</v>
      </c>
      <c r="K1040" s="57">
        <f>IFERROR(__xludf.DUMMYFUNCTION("""COMPUTED_VALUE"""),43896.0)</f>
        <v>43896</v>
      </c>
      <c r="L1040" s="6" t="str">
        <f>IFERROR(__xludf.DUMMYFUNCTION("""COMPUTED_VALUE"""),"FIP Engineering")</f>
        <v>FIP Engineering</v>
      </c>
      <c r="M1040" s="6" t="str">
        <f>IFERROR(__xludf.DUMMYFUNCTION("""COMPUTED_VALUE"""),"Irwan Sopian")</f>
        <v>Irwan Sopian</v>
      </c>
      <c r="N1040" s="6" t="str">
        <f>IFERROR(__xludf.DUMMYFUNCTION("""COMPUTED_VALUE"""),"FIP Engineering")</f>
        <v>FIP Engineering</v>
      </c>
      <c r="O1040" s="6" t="str">
        <f>IFERROR(__xludf.DUMMYFUNCTION("""COMPUTED_VALUE"""),"FIP-DOM-000-11304-OS00001-INA-000000")</f>
        <v>FIP-DOM-000-11304-OS00001-INA-000000</v>
      </c>
      <c r="P1040" s="6" t="str">
        <f>IFERROR(__xludf.DUMMYFUNCTION("""COMPUTED_VALUE"""),"PO Closed")</f>
        <v>PO Closed</v>
      </c>
      <c r="Q1040" s="6" t="str">
        <f>IFERROR(__xludf.DUMMYFUNCTION("""COMPUTED_VALUE"""),"GL2002018")</f>
        <v>GL2002018</v>
      </c>
      <c r="R1040" s="57">
        <f>IFERROR(__xludf.DUMMYFUNCTION("""COMPUTED_VALUE"""),43871.0)</f>
        <v>43871</v>
      </c>
      <c r="S1040" s="6" t="str">
        <f>IFERROR(__xludf.DUMMYFUNCTION("""COMPUTED_VALUE"""),"-")</f>
        <v>-</v>
      </c>
      <c r="T1040" s="57">
        <f>IFERROR(__xludf.DUMMYFUNCTION("""COMPUTED_VALUE"""),43938.0)</f>
        <v>43938</v>
      </c>
    </row>
    <row r="1041">
      <c r="A1041" s="6" t="str">
        <f>IFERROR(__xludf.DUMMYFUNCTION("""COMPUTED_VALUE"""),"201750056-2")</f>
        <v>201750056-2</v>
      </c>
      <c r="B1041" s="6" t="str">
        <f>IFERROR(__xludf.DUMMYFUNCTION("""COMPUTED_VALUE"""),"201750056 - Approved")</f>
        <v>201750056 - Approved</v>
      </c>
      <c r="C1041" s="6">
        <f>IFERROR(__xludf.DUMMYFUNCTION("""COMPUTED_VALUE"""),2.0)</f>
        <v>2</v>
      </c>
      <c r="D1041" s="6" t="str">
        <f>IFERROR(__xludf.DUMMYFUNCTION("""COMPUTED_VALUE"""),"O-16032-00")</f>
        <v>O-16032-00</v>
      </c>
      <c r="E1041" s="6" t="str">
        <f>IFERROR(__xludf.DUMMYFUNCTION("""COMPUTED_VALUE"""),"Sleeves M200/90 Y 550 E4 Bt5/5 BJ1643Material : CSM Shape : 200/90 Thickness (mm) : 4/10 Leng")</f>
        <v>Sleeves M200/90 Y 550 E4 Bt5/5 BJ1643Material : CSM Shape : 200/90 Thickness (mm) : 4/10 Leng</v>
      </c>
      <c r="F1041" s="6">
        <f>IFERROR(__xludf.DUMMYFUNCTION("""COMPUTED_VALUE"""),5.0)</f>
        <v>5</v>
      </c>
      <c r="G1041" s="6" t="str">
        <f>IFERROR(__xludf.DUMMYFUNCTION("""COMPUTED_VALUE"""),"Unit")</f>
        <v>Unit</v>
      </c>
      <c r="H1041" s="6" t="str">
        <f>IFERROR(__xludf.DUMMYFUNCTION("""COMPUTED_VALUE"""),"EUR")</f>
        <v>EUR</v>
      </c>
      <c r="I1041" s="6">
        <f>IFERROR(__xludf.DUMMYFUNCTION("""COMPUTED_VALUE"""),322.56)</f>
        <v>322.56</v>
      </c>
      <c r="J1041" s="6">
        <f>IFERROR(__xludf.DUMMYFUNCTION("""COMPUTED_VALUE"""),1612.8)</f>
        <v>1612.8</v>
      </c>
      <c r="K1041" s="57">
        <f>IFERROR(__xludf.DUMMYFUNCTION("""COMPUTED_VALUE"""),43896.0)</f>
        <v>43896</v>
      </c>
      <c r="L1041" s="6" t="str">
        <f>IFERROR(__xludf.DUMMYFUNCTION("""COMPUTED_VALUE"""),"FIP Engineering")</f>
        <v>FIP Engineering</v>
      </c>
      <c r="M1041" s="6" t="str">
        <f>IFERROR(__xludf.DUMMYFUNCTION("""COMPUTED_VALUE"""),"Irwan Sopian")</f>
        <v>Irwan Sopian</v>
      </c>
      <c r="N1041" s="6" t="str">
        <f>IFERROR(__xludf.DUMMYFUNCTION("""COMPUTED_VALUE"""),"FIP Engineering")</f>
        <v>FIP Engineering</v>
      </c>
      <c r="O1041" s="6" t="str">
        <f>IFERROR(__xludf.DUMMYFUNCTION("""COMPUTED_VALUE"""),"FIP-DOM-000-11304-OS00001-INA-000000")</f>
        <v>FIP-DOM-000-11304-OS00001-INA-000000</v>
      </c>
      <c r="P1041" s="6" t="str">
        <f>IFERROR(__xludf.DUMMYFUNCTION("""COMPUTED_VALUE"""),"PO Closed")</f>
        <v>PO Closed</v>
      </c>
      <c r="Q1041" s="6" t="str">
        <f>IFERROR(__xludf.DUMMYFUNCTION("""COMPUTED_VALUE"""),"GL2002018")</f>
        <v>GL2002018</v>
      </c>
      <c r="R1041" s="57">
        <f>IFERROR(__xludf.DUMMYFUNCTION("""COMPUTED_VALUE"""),43871.0)</f>
        <v>43871</v>
      </c>
      <c r="S1041" s="6" t="str">
        <f>IFERROR(__xludf.DUMMYFUNCTION("""COMPUTED_VALUE"""),"-")</f>
        <v>-</v>
      </c>
      <c r="T1041" s="57">
        <f>IFERROR(__xludf.DUMMYFUNCTION("""COMPUTED_VALUE"""),43938.0)</f>
        <v>43938</v>
      </c>
    </row>
    <row r="1042">
      <c r="A1042" s="6" t="str">
        <f>IFERROR(__xludf.DUMMYFUNCTION("""COMPUTED_VALUE"""),"201750056-3")</f>
        <v>201750056-3</v>
      </c>
      <c r="B1042" s="6" t="str">
        <f>IFERROR(__xludf.DUMMYFUNCTION("""COMPUTED_VALUE"""),"201750056 - Approved")</f>
        <v>201750056 - Approved</v>
      </c>
      <c r="C1042" s="6">
        <f>IFERROR(__xludf.DUMMYFUNCTION("""COMPUTED_VALUE"""),3.0)</f>
        <v>3</v>
      </c>
      <c r="D1042" s="6" t="str">
        <f>IFERROR(__xludf.DUMMYFUNCTION("""COMPUTED_VALUE"""),"S-44000-00")</f>
        <v>S-44000-00</v>
      </c>
      <c r="E1042" s="6" t="str">
        <f>IFERROR(__xludf.DUMMYFUNCTION("""COMPUTED_VALUE"""),"Packing dan Other Charges")</f>
        <v>Packing dan Other Charges</v>
      </c>
      <c r="F1042" s="6">
        <f>IFERROR(__xludf.DUMMYFUNCTION("""COMPUTED_VALUE"""),75.0)</f>
        <v>75</v>
      </c>
      <c r="G1042" s="6" t="str">
        <f>IFERROR(__xludf.DUMMYFUNCTION("""COMPUTED_VALUE"""),"Lot")</f>
        <v>Lot</v>
      </c>
      <c r="H1042" s="6" t="str">
        <f>IFERROR(__xludf.DUMMYFUNCTION("""COMPUTED_VALUE"""),"EUR")</f>
        <v>EUR</v>
      </c>
      <c r="I1042" s="6">
        <f>IFERROR(__xludf.DUMMYFUNCTION("""COMPUTED_VALUE"""),1.0)</f>
        <v>1</v>
      </c>
      <c r="J1042" s="6">
        <f>IFERROR(__xludf.DUMMYFUNCTION("""COMPUTED_VALUE"""),75.0)</f>
        <v>75</v>
      </c>
      <c r="K1042" s="57">
        <f>IFERROR(__xludf.DUMMYFUNCTION("""COMPUTED_VALUE"""),43896.0)</f>
        <v>43896</v>
      </c>
      <c r="L1042" s="6" t="str">
        <f>IFERROR(__xludf.DUMMYFUNCTION("""COMPUTED_VALUE"""),"FIP General")</f>
        <v>FIP General</v>
      </c>
      <c r="M1042" s="6" t="str">
        <f>IFERROR(__xludf.DUMMYFUNCTION("""COMPUTED_VALUE"""),"Irwan Sopian")</f>
        <v>Irwan Sopian</v>
      </c>
      <c r="N1042" s="6" t="str">
        <f>IFERROR(__xludf.DUMMYFUNCTION("""COMPUTED_VALUE"""),"FIP Engineering")</f>
        <v>FIP Engineering</v>
      </c>
      <c r="O1042" s="6" t="str">
        <f>IFERROR(__xludf.DUMMYFUNCTION("""COMPUTED_VALUE"""),"FIP-DOM-ENG-51504-0000000-INA-000000")</f>
        <v>FIP-DOM-ENG-51504-0000000-INA-000000</v>
      </c>
      <c r="P1042" s="6" t="str">
        <f>IFERROR(__xludf.DUMMYFUNCTION("""COMPUTED_VALUE"""),"PO Closed")</f>
        <v>PO Closed</v>
      </c>
      <c r="Q1042" s="6" t="str">
        <f>IFERROR(__xludf.DUMMYFUNCTION("""COMPUTED_VALUE"""),"GL2002018")</f>
        <v>GL2002018</v>
      </c>
      <c r="R1042" s="57">
        <f>IFERROR(__xludf.DUMMYFUNCTION("""COMPUTED_VALUE"""),43871.0)</f>
        <v>43871</v>
      </c>
      <c r="S1042" s="6" t="str">
        <f>IFERROR(__xludf.DUMMYFUNCTION("""COMPUTED_VALUE"""),"-")</f>
        <v>-</v>
      </c>
      <c r="T1042" s="57">
        <f>IFERROR(__xludf.DUMMYFUNCTION("""COMPUTED_VALUE"""),43938.0)</f>
        <v>43938</v>
      </c>
    </row>
    <row r="1043">
      <c r="A1043" s="6" t="str">
        <f>IFERROR(__xludf.DUMMYFUNCTION("""COMPUTED_VALUE"""),"201750060-1")</f>
        <v>201750060-1</v>
      </c>
      <c r="B1043" s="6" t="str">
        <f>IFERROR(__xludf.DUMMYFUNCTION("""COMPUTED_VALUE"""),"201750060 - Approved")</f>
        <v>201750060 - Approved</v>
      </c>
      <c r="C1043" s="6">
        <f>IFERROR(__xludf.DUMMYFUNCTION("""COMPUTED_VALUE"""),1.0)</f>
        <v>1</v>
      </c>
      <c r="D1043" s="6" t="str">
        <f>IFERROR(__xludf.DUMMYFUNCTION("""COMPUTED_VALUE"""),"S-60002-00")</f>
        <v>S-60002-00</v>
      </c>
      <c r="E1043" s="6" t="str">
        <f>IFERROR(__xludf.DUMMYFUNCTION("""COMPUTED_VALUE"""),"Perbaikan Chamber 1000L (Pengelasan,Vacum dan Test Commisioning)")</f>
        <v>Perbaikan Chamber 1000L (Pengelasan,Vacum dan Test Commisioning)</v>
      </c>
      <c r="F1043" s="6">
        <f>IFERROR(__xludf.DUMMYFUNCTION("""COMPUTED_VALUE"""),1.0)</f>
        <v>1</v>
      </c>
      <c r="G1043" s="6" t="str">
        <f>IFERROR(__xludf.DUMMYFUNCTION("""COMPUTED_VALUE"""),"Lot")</f>
        <v>Lot</v>
      </c>
      <c r="H1043" s="6" t="str">
        <f>IFERROR(__xludf.DUMMYFUNCTION("""COMPUTED_VALUE"""),"IDR")</f>
        <v>IDR</v>
      </c>
      <c r="I1043" s="6">
        <f>IFERROR(__xludf.DUMMYFUNCTION("""COMPUTED_VALUE"""),1000000.0)</f>
        <v>1000000</v>
      </c>
      <c r="J1043" s="6">
        <f>IFERROR(__xludf.DUMMYFUNCTION("""COMPUTED_VALUE"""),1000000.0)</f>
        <v>1000000</v>
      </c>
      <c r="K1043" s="57">
        <f>IFERROR(__xludf.DUMMYFUNCTION("""COMPUTED_VALUE"""),43889.0)</f>
        <v>43889</v>
      </c>
      <c r="L1043" s="6" t="str">
        <f>IFERROR(__xludf.DUMMYFUNCTION("""COMPUTED_VALUE"""),"FIP General")</f>
        <v>FIP General</v>
      </c>
      <c r="M1043" s="6" t="str">
        <f>IFERROR(__xludf.DUMMYFUNCTION("""COMPUTED_VALUE"""),"Irwan Sopian")</f>
        <v>Irwan Sopian</v>
      </c>
      <c r="N1043" s="6" t="str">
        <f>IFERROR(__xludf.DUMMYFUNCTION("""COMPUTED_VALUE"""),"FIP Engineering")</f>
        <v>FIP Engineering</v>
      </c>
      <c r="O1043" s="6" t="str">
        <f>IFERROR(__xludf.DUMMYFUNCTION("""COMPUTED_VALUE"""),"FIP-DOM-ENG-51508-0000000-INA-000000")</f>
        <v>FIP-DOM-ENG-51508-0000000-INA-000000</v>
      </c>
      <c r="P1043" s="6" t="str">
        <f>IFERROR(__xludf.DUMMYFUNCTION("""COMPUTED_VALUE"""),"PO Closed")</f>
        <v>PO Closed</v>
      </c>
      <c r="Q1043" s="6" t="str">
        <f>IFERROR(__xludf.DUMMYFUNCTION("""COMPUTED_VALUE"""),"GL2002043")</f>
        <v>GL2002043</v>
      </c>
      <c r="R1043" s="57">
        <f>IFERROR(__xludf.DUMMYFUNCTION("""COMPUTED_VALUE"""),43872.0)</f>
        <v>43872</v>
      </c>
      <c r="S1043" s="6" t="str">
        <f>IFERROR(__xludf.DUMMYFUNCTION("""COMPUTED_VALUE"""),"-")</f>
        <v>-</v>
      </c>
      <c r="T1043" s="57">
        <f>IFERROR(__xludf.DUMMYFUNCTION("""COMPUTED_VALUE"""),43910.0)</f>
        <v>43910</v>
      </c>
    </row>
    <row r="1044">
      <c r="A1044" s="6" t="str">
        <f>IFERROR(__xludf.DUMMYFUNCTION("""COMPUTED_VALUE"""),"201750064-1")</f>
        <v>201750064-1</v>
      </c>
      <c r="B1044" s="6" t="str">
        <f>IFERROR(__xludf.DUMMYFUNCTION("""COMPUTED_VALUE"""),"201750064 - Approved")</f>
        <v>201750064 - Approved</v>
      </c>
      <c r="C1044" s="6">
        <f>IFERROR(__xludf.DUMMYFUNCTION("""COMPUTED_VALUE"""),1.0)</f>
        <v>1</v>
      </c>
      <c r="D1044" s="6" t="str">
        <f>IFERROR(__xludf.DUMMYFUNCTION("""COMPUTED_VALUE"""),"O-17073-00")</f>
        <v>O-17073-00</v>
      </c>
      <c r="E1044" s="6" t="str">
        <f>IFERROR(__xludf.DUMMYFUNCTION("""COMPUTED_VALUE"""),"Capping VCM200 - Plate P/n: 307790")</f>
        <v>Capping VCM200 - Plate P/n: 307790</v>
      </c>
      <c r="F1044" s="6">
        <f>IFERROR(__xludf.DUMMYFUNCTION("""COMPUTED_VALUE"""),10.0)</f>
        <v>10</v>
      </c>
      <c r="G1044" s="6" t="str">
        <f>IFERROR(__xludf.DUMMYFUNCTION("""COMPUTED_VALUE"""),"Pieces")</f>
        <v>Pieces</v>
      </c>
      <c r="H1044" s="6" t="str">
        <f>IFERROR(__xludf.DUMMYFUNCTION("""COMPUTED_VALUE"""),"IDR")</f>
        <v>IDR</v>
      </c>
      <c r="I1044" s="6">
        <f>IFERROR(__xludf.DUMMYFUNCTION("""COMPUTED_VALUE"""),535000.0)</f>
        <v>535000</v>
      </c>
      <c r="J1044" s="6">
        <f>IFERROR(__xludf.DUMMYFUNCTION("""COMPUTED_VALUE"""),5350000.0)</f>
        <v>5350000</v>
      </c>
      <c r="K1044" s="57">
        <f>IFERROR(__xludf.DUMMYFUNCTION("""COMPUTED_VALUE"""),43903.0)</f>
        <v>43903</v>
      </c>
      <c r="L1044" s="6" t="str">
        <f>IFERROR(__xludf.DUMMYFUNCTION("""COMPUTED_VALUE"""),"FIP Engineering")</f>
        <v>FIP Engineering</v>
      </c>
      <c r="M1044" s="6" t="str">
        <f>IFERROR(__xludf.DUMMYFUNCTION("""COMPUTED_VALUE"""),"Irwan Sopian")</f>
        <v>Irwan Sopian</v>
      </c>
      <c r="N1044" s="6" t="str">
        <f>IFERROR(__xludf.DUMMYFUNCTION("""COMPUTED_VALUE"""),"FIP Engineering")</f>
        <v>FIP Engineering</v>
      </c>
      <c r="O1044" s="6" t="str">
        <f>IFERROR(__xludf.DUMMYFUNCTION("""COMPUTED_VALUE"""),"FIP-DOM-000-11304-OS00001-INA-000000")</f>
        <v>FIP-DOM-000-11304-OS00001-INA-000000</v>
      </c>
      <c r="P1044" s="6" t="str">
        <f>IFERROR(__xludf.DUMMYFUNCTION("""COMPUTED_VALUE"""),"PO Closed")</f>
        <v>PO Closed</v>
      </c>
      <c r="Q1044" s="6" t="str">
        <f>IFERROR(__xludf.DUMMYFUNCTION("""COMPUTED_VALUE"""),"GL2002035")</f>
        <v>GL2002035</v>
      </c>
      <c r="R1044" s="57">
        <f>IFERROR(__xludf.DUMMYFUNCTION("""COMPUTED_VALUE"""),43874.0)</f>
        <v>43874</v>
      </c>
      <c r="S1044" s="6" t="str">
        <f>IFERROR(__xludf.DUMMYFUNCTION("""COMPUTED_VALUE"""),"-")</f>
        <v>-</v>
      </c>
      <c r="T1044" s="57">
        <f>IFERROR(__xludf.DUMMYFUNCTION("""COMPUTED_VALUE"""),43903.0)</f>
        <v>43903</v>
      </c>
    </row>
    <row r="1045">
      <c r="A1045" s="6" t="str">
        <f>IFERROR(__xludf.DUMMYFUNCTION("""COMPUTED_VALUE"""),"201750064-2")</f>
        <v>201750064-2</v>
      </c>
      <c r="B1045" s="6" t="str">
        <f>IFERROR(__xludf.DUMMYFUNCTION("""COMPUTED_VALUE"""),"201750064 - Approved")</f>
        <v>201750064 - Approved</v>
      </c>
      <c r="C1045" s="6">
        <f>IFERROR(__xludf.DUMMYFUNCTION("""COMPUTED_VALUE"""),2.0)</f>
        <v>2</v>
      </c>
      <c r="D1045" s="6" t="str">
        <f>IFERROR(__xludf.DUMMYFUNCTION("""COMPUTED_VALUE"""),"O-17071-00")</f>
        <v>O-17071-00</v>
      </c>
      <c r="E1045" s="6" t="str">
        <f>IFERROR(__xludf.DUMMYFUNCTION("""COMPUTED_VALUE"""),"Washing RAR4 - Pincers Jaws for Vial 6mL")</f>
        <v>Washing RAR4 - Pincers Jaws for Vial 6mL</v>
      </c>
      <c r="F1045" s="6">
        <f>IFERROR(__xludf.DUMMYFUNCTION("""COMPUTED_VALUE"""),10.0)</f>
        <v>10</v>
      </c>
      <c r="G1045" s="6" t="str">
        <f>IFERROR(__xludf.DUMMYFUNCTION("""COMPUTED_VALUE"""),"Pieces")</f>
        <v>Pieces</v>
      </c>
      <c r="H1045" s="6" t="str">
        <f>IFERROR(__xludf.DUMMYFUNCTION("""COMPUTED_VALUE"""),"IDR")</f>
        <v>IDR</v>
      </c>
      <c r="I1045" s="6">
        <f>IFERROR(__xludf.DUMMYFUNCTION("""COMPUTED_VALUE"""),159000.0)</f>
        <v>159000</v>
      </c>
      <c r="J1045" s="6">
        <f>IFERROR(__xludf.DUMMYFUNCTION("""COMPUTED_VALUE"""),1590000.0)</f>
        <v>1590000</v>
      </c>
      <c r="K1045" s="57">
        <f>IFERROR(__xludf.DUMMYFUNCTION("""COMPUTED_VALUE"""),43903.0)</f>
        <v>43903</v>
      </c>
      <c r="L1045" s="6" t="str">
        <f>IFERROR(__xludf.DUMMYFUNCTION("""COMPUTED_VALUE"""),"FIP Engineering")</f>
        <v>FIP Engineering</v>
      </c>
      <c r="M1045" s="6" t="str">
        <f>IFERROR(__xludf.DUMMYFUNCTION("""COMPUTED_VALUE"""),"Irwan Sopian")</f>
        <v>Irwan Sopian</v>
      </c>
      <c r="N1045" s="6" t="str">
        <f>IFERROR(__xludf.DUMMYFUNCTION("""COMPUTED_VALUE"""),"FIP Engineering")</f>
        <v>FIP Engineering</v>
      </c>
      <c r="O1045" s="6" t="str">
        <f>IFERROR(__xludf.DUMMYFUNCTION("""COMPUTED_VALUE"""),"FIP-DOM-000-11304-OS00001-INA-000000")</f>
        <v>FIP-DOM-000-11304-OS00001-INA-000000</v>
      </c>
      <c r="P1045" s="6" t="str">
        <f>IFERROR(__xludf.DUMMYFUNCTION("""COMPUTED_VALUE"""),"PO Closed")</f>
        <v>PO Closed</v>
      </c>
      <c r="Q1045" s="6" t="str">
        <f>IFERROR(__xludf.DUMMYFUNCTION("""COMPUTED_VALUE"""),"GL2002035")</f>
        <v>GL2002035</v>
      </c>
      <c r="R1045" s="57">
        <f>IFERROR(__xludf.DUMMYFUNCTION("""COMPUTED_VALUE"""),43874.0)</f>
        <v>43874</v>
      </c>
      <c r="S1045" s="6" t="str">
        <f>IFERROR(__xludf.DUMMYFUNCTION("""COMPUTED_VALUE"""),"-")</f>
        <v>-</v>
      </c>
      <c r="T1045" s="57">
        <f>IFERROR(__xludf.DUMMYFUNCTION("""COMPUTED_VALUE"""),43903.0)</f>
        <v>43903</v>
      </c>
    </row>
    <row r="1046">
      <c r="A1046" s="6" t="str">
        <f>IFERROR(__xludf.DUMMYFUNCTION("""COMPUTED_VALUE"""),"201750064-3")</f>
        <v>201750064-3</v>
      </c>
      <c r="B1046" s="6" t="str">
        <f>IFERROR(__xludf.DUMMYFUNCTION("""COMPUTED_VALUE"""),"201750064 - Approved")</f>
        <v>201750064 - Approved</v>
      </c>
      <c r="C1046" s="6">
        <f>IFERROR(__xludf.DUMMYFUNCTION("""COMPUTED_VALUE"""),3.0)</f>
        <v>3</v>
      </c>
      <c r="D1046" s="6" t="str">
        <f>IFERROR(__xludf.DUMMYFUNCTION("""COMPUTED_VALUE"""),"O-17068-00")</f>
        <v>O-17068-00</v>
      </c>
      <c r="E1046" s="6" t="str">
        <f>IFERROR(__xludf.DUMMYFUNCTION("""COMPUTED_VALUE"""),"Washing RAR4 - Pincers Jaws 4 Positions 10R Vial Neck d=15.5")</f>
        <v>Washing RAR4 - Pincers Jaws 4 Positions 10R Vial Neck d=15.5</v>
      </c>
      <c r="F1046" s="6">
        <f>IFERROR(__xludf.DUMMYFUNCTION("""COMPUTED_VALUE"""),10.0)</f>
        <v>10</v>
      </c>
      <c r="G1046" s="6" t="str">
        <f>IFERROR(__xludf.DUMMYFUNCTION("""COMPUTED_VALUE"""),"Pieces")</f>
        <v>Pieces</v>
      </c>
      <c r="H1046" s="6" t="str">
        <f>IFERROR(__xludf.DUMMYFUNCTION("""COMPUTED_VALUE"""),"IDR")</f>
        <v>IDR</v>
      </c>
      <c r="I1046" s="6">
        <f>IFERROR(__xludf.DUMMYFUNCTION("""COMPUTED_VALUE"""),175000.0)</f>
        <v>175000</v>
      </c>
      <c r="J1046" s="6">
        <f>IFERROR(__xludf.DUMMYFUNCTION("""COMPUTED_VALUE"""),1750000.0)</f>
        <v>1750000</v>
      </c>
      <c r="K1046" s="57">
        <f>IFERROR(__xludf.DUMMYFUNCTION("""COMPUTED_VALUE"""),43903.0)</f>
        <v>43903</v>
      </c>
      <c r="L1046" s="6" t="str">
        <f>IFERROR(__xludf.DUMMYFUNCTION("""COMPUTED_VALUE"""),"FIP Engineering")</f>
        <v>FIP Engineering</v>
      </c>
      <c r="M1046" s="6" t="str">
        <f>IFERROR(__xludf.DUMMYFUNCTION("""COMPUTED_VALUE"""),"Irwan Sopian")</f>
        <v>Irwan Sopian</v>
      </c>
      <c r="N1046" s="6" t="str">
        <f>IFERROR(__xludf.DUMMYFUNCTION("""COMPUTED_VALUE"""),"FIP Engineering")</f>
        <v>FIP Engineering</v>
      </c>
      <c r="O1046" s="6" t="str">
        <f>IFERROR(__xludf.DUMMYFUNCTION("""COMPUTED_VALUE"""),"FIP-DOM-000-11304-OS00001-INA-000000")</f>
        <v>FIP-DOM-000-11304-OS00001-INA-000000</v>
      </c>
      <c r="P1046" s="6" t="str">
        <f>IFERROR(__xludf.DUMMYFUNCTION("""COMPUTED_VALUE"""),"PO Closed")</f>
        <v>PO Closed</v>
      </c>
      <c r="Q1046" s="6" t="str">
        <f>IFERROR(__xludf.DUMMYFUNCTION("""COMPUTED_VALUE"""),"GL2002035")</f>
        <v>GL2002035</v>
      </c>
      <c r="R1046" s="57">
        <f>IFERROR(__xludf.DUMMYFUNCTION("""COMPUTED_VALUE"""),43874.0)</f>
        <v>43874</v>
      </c>
      <c r="S1046" s="6" t="str">
        <f>IFERROR(__xludf.DUMMYFUNCTION("""COMPUTED_VALUE"""),"-")</f>
        <v>-</v>
      </c>
      <c r="T1046" s="57">
        <f>IFERROR(__xludf.DUMMYFUNCTION("""COMPUTED_VALUE"""),43903.0)</f>
        <v>43903</v>
      </c>
    </row>
    <row r="1047">
      <c r="A1047" s="6" t="str">
        <f>IFERROR(__xludf.DUMMYFUNCTION("""COMPUTED_VALUE"""),"201750064-4")</f>
        <v>201750064-4</v>
      </c>
      <c r="B1047" s="6" t="str">
        <f>IFERROR(__xludf.DUMMYFUNCTION("""COMPUTED_VALUE"""),"201750064 - Approved")</f>
        <v>201750064 - Approved</v>
      </c>
      <c r="C1047" s="6">
        <f>IFERROR(__xludf.DUMMYFUNCTION("""COMPUTED_VALUE"""),4.0)</f>
        <v>4</v>
      </c>
      <c r="D1047" s="6" t="str">
        <f>IFERROR(__xludf.DUMMYFUNCTION("""COMPUTED_VALUE"""),"O-17069-00")</f>
        <v>O-17069-00</v>
      </c>
      <c r="E1047" s="6" t="str">
        <f>IFERROR(__xludf.DUMMYFUNCTION("""COMPUTED_VALUE"""),"Washing RAR4 - Pincers Jaws for Vial 20mL &amp; 25mL")</f>
        <v>Washing RAR4 - Pincers Jaws for Vial 20mL &amp; 25mL</v>
      </c>
      <c r="F1047" s="6">
        <f>IFERROR(__xludf.DUMMYFUNCTION("""COMPUTED_VALUE"""),10.0)</f>
        <v>10</v>
      </c>
      <c r="G1047" s="6" t="str">
        <f>IFERROR(__xludf.DUMMYFUNCTION("""COMPUTED_VALUE"""),"Pieces")</f>
        <v>Pieces</v>
      </c>
      <c r="H1047" s="6" t="str">
        <f>IFERROR(__xludf.DUMMYFUNCTION("""COMPUTED_VALUE"""),"IDR")</f>
        <v>IDR</v>
      </c>
      <c r="I1047" s="6">
        <f>IFERROR(__xludf.DUMMYFUNCTION("""COMPUTED_VALUE"""),185000.0)</f>
        <v>185000</v>
      </c>
      <c r="J1047" s="6">
        <f>IFERROR(__xludf.DUMMYFUNCTION("""COMPUTED_VALUE"""),1850000.0)</f>
        <v>1850000</v>
      </c>
      <c r="K1047" s="57">
        <f>IFERROR(__xludf.DUMMYFUNCTION("""COMPUTED_VALUE"""),43903.0)</f>
        <v>43903</v>
      </c>
      <c r="L1047" s="6" t="str">
        <f>IFERROR(__xludf.DUMMYFUNCTION("""COMPUTED_VALUE"""),"FIP Engineering")</f>
        <v>FIP Engineering</v>
      </c>
      <c r="M1047" s="6" t="str">
        <f>IFERROR(__xludf.DUMMYFUNCTION("""COMPUTED_VALUE"""),"Irwan Sopian")</f>
        <v>Irwan Sopian</v>
      </c>
      <c r="N1047" s="6" t="str">
        <f>IFERROR(__xludf.DUMMYFUNCTION("""COMPUTED_VALUE"""),"FIP Engineering")</f>
        <v>FIP Engineering</v>
      </c>
      <c r="O1047" s="6" t="str">
        <f>IFERROR(__xludf.DUMMYFUNCTION("""COMPUTED_VALUE"""),"FIP-DOM-000-11304-OS00001-INA-000000")</f>
        <v>FIP-DOM-000-11304-OS00001-INA-000000</v>
      </c>
      <c r="P1047" s="6" t="str">
        <f>IFERROR(__xludf.DUMMYFUNCTION("""COMPUTED_VALUE"""),"PO Closed")</f>
        <v>PO Closed</v>
      </c>
      <c r="Q1047" s="6" t="str">
        <f>IFERROR(__xludf.DUMMYFUNCTION("""COMPUTED_VALUE"""),"GL2002035")</f>
        <v>GL2002035</v>
      </c>
      <c r="R1047" s="57">
        <f>IFERROR(__xludf.DUMMYFUNCTION("""COMPUTED_VALUE"""),43874.0)</f>
        <v>43874</v>
      </c>
      <c r="S1047" s="6" t="str">
        <f>IFERROR(__xludf.DUMMYFUNCTION("""COMPUTED_VALUE"""),"-")</f>
        <v>-</v>
      </c>
      <c r="T1047" s="57">
        <f>IFERROR(__xludf.DUMMYFUNCTION("""COMPUTED_VALUE"""),43903.0)</f>
        <v>43903</v>
      </c>
    </row>
    <row r="1048">
      <c r="A1048" s="6" t="str">
        <f>IFERROR(__xludf.DUMMYFUNCTION("""COMPUTED_VALUE"""),"201750064-5")</f>
        <v>201750064-5</v>
      </c>
      <c r="B1048" s="6" t="str">
        <f>IFERROR(__xludf.DUMMYFUNCTION("""COMPUTED_VALUE"""),"201750064 - Approved")</f>
        <v>201750064 - Approved</v>
      </c>
      <c r="C1048" s="6">
        <f>IFERROR(__xludf.DUMMYFUNCTION("""COMPUTED_VALUE"""),5.0)</f>
        <v>5</v>
      </c>
      <c r="D1048" s="6" t="str">
        <f>IFERROR(__xludf.DUMMYFUNCTION("""COMPUTED_VALUE"""),"O-17070-00")</f>
        <v>O-17070-00</v>
      </c>
      <c r="E1048" s="6" t="str">
        <f>IFERROR(__xludf.DUMMYFUNCTION("""COMPUTED_VALUE"""),"Washing RAR4 - Pincers Jaws for Vial 50mL")</f>
        <v>Washing RAR4 - Pincers Jaws for Vial 50mL</v>
      </c>
      <c r="F1048" s="6">
        <f>IFERROR(__xludf.DUMMYFUNCTION("""COMPUTED_VALUE"""),10.0)</f>
        <v>10</v>
      </c>
      <c r="G1048" s="6" t="str">
        <f>IFERROR(__xludf.DUMMYFUNCTION("""COMPUTED_VALUE"""),"Pieces")</f>
        <v>Pieces</v>
      </c>
      <c r="H1048" s="6" t="str">
        <f>IFERROR(__xludf.DUMMYFUNCTION("""COMPUTED_VALUE"""),"IDR")</f>
        <v>IDR</v>
      </c>
      <c r="I1048" s="6">
        <f>IFERROR(__xludf.DUMMYFUNCTION("""COMPUTED_VALUE"""),215000.0)</f>
        <v>215000</v>
      </c>
      <c r="J1048" s="6">
        <f>IFERROR(__xludf.DUMMYFUNCTION("""COMPUTED_VALUE"""),2150000.0)</f>
        <v>2150000</v>
      </c>
      <c r="K1048" s="57">
        <f>IFERROR(__xludf.DUMMYFUNCTION("""COMPUTED_VALUE"""),43903.0)</f>
        <v>43903</v>
      </c>
      <c r="L1048" s="6" t="str">
        <f>IFERROR(__xludf.DUMMYFUNCTION("""COMPUTED_VALUE"""),"FIP Engineering")</f>
        <v>FIP Engineering</v>
      </c>
      <c r="M1048" s="6" t="str">
        <f>IFERROR(__xludf.DUMMYFUNCTION("""COMPUTED_VALUE"""),"Irwan Sopian")</f>
        <v>Irwan Sopian</v>
      </c>
      <c r="N1048" s="6" t="str">
        <f>IFERROR(__xludf.DUMMYFUNCTION("""COMPUTED_VALUE"""),"FIP Engineering")</f>
        <v>FIP Engineering</v>
      </c>
      <c r="O1048" s="6" t="str">
        <f>IFERROR(__xludf.DUMMYFUNCTION("""COMPUTED_VALUE"""),"FIP-DOM-000-11304-OS00001-INA-000000")</f>
        <v>FIP-DOM-000-11304-OS00001-INA-000000</v>
      </c>
      <c r="P1048" s="6" t="str">
        <f>IFERROR(__xludf.DUMMYFUNCTION("""COMPUTED_VALUE"""),"PO Closed")</f>
        <v>PO Closed</v>
      </c>
      <c r="Q1048" s="6" t="str">
        <f>IFERROR(__xludf.DUMMYFUNCTION("""COMPUTED_VALUE"""),"GL2002035")</f>
        <v>GL2002035</v>
      </c>
      <c r="R1048" s="57">
        <f>IFERROR(__xludf.DUMMYFUNCTION("""COMPUTED_VALUE"""),43874.0)</f>
        <v>43874</v>
      </c>
      <c r="S1048" s="6" t="str">
        <f>IFERROR(__xludf.DUMMYFUNCTION("""COMPUTED_VALUE"""),"-")</f>
        <v>-</v>
      </c>
      <c r="T1048" s="57">
        <f>IFERROR(__xludf.DUMMYFUNCTION("""COMPUTED_VALUE"""),43903.0)</f>
        <v>43903</v>
      </c>
    </row>
    <row r="1049">
      <c r="A1049" s="6" t="str">
        <f>IFERROR(__xludf.DUMMYFUNCTION("""COMPUTED_VALUE"""),"201750063-2")</f>
        <v>201750063-2</v>
      </c>
      <c r="B1049" s="6" t="str">
        <f>IFERROR(__xludf.DUMMYFUNCTION("""COMPUTED_VALUE"""),"201750063 - Approved")</f>
        <v>201750063 - Approved</v>
      </c>
      <c r="C1049" s="6">
        <f>IFERROR(__xludf.DUMMYFUNCTION("""COMPUTED_VALUE"""),2.0)</f>
        <v>2</v>
      </c>
      <c r="D1049" s="6" t="str">
        <f>IFERROR(__xludf.DUMMYFUNCTION("""COMPUTED_VALUE"""),"O-17313-00")</f>
        <v>O-17313-00</v>
      </c>
      <c r="E1049" s="6" t="str">
        <f>IFERROR(__xludf.DUMMYFUNCTION("""COMPUTED_VALUE"""),"Breathing Circuit Filter BB50T PALL")</f>
        <v>Breathing Circuit Filter BB50T PALL</v>
      </c>
      <c r="F1049" s="6">
        <f>IFERROR(__xludf.DUMMYFUNCTION("""COMPUTED_VALUE"""),50.0)</f>
        <v>50</v>
      </c>
      <c r="G1049" s="6" t="str">
        <f>IFERROR(__xludf.DUMMYFUNCTION("""COMPUTED_VALUE"""),"Pieces")</f>
        <v>Pieces</v>
      </c>
      <c r="H1049" s="6" t="str">
        <f>IFERROR(__xludf.DUMMYFUNCTION("""COMPUTED_VALUE"""),"IDR")</f>
        <v>IDR</v>
      </c>
      <c r="I1049" s="6">
        <f>IFERROR(__xludf.DUMMYFUNCTION("""COMPUTED_VALUE"""),125000.0)</f>
        <v>125000</v>
      </c>
      <c r="J1049" s="6">
        <f>IFERROR(__xludf.DUMMYFUNCTION("""COMPUTED_VALUE"""),6250000.0)</f>
        <v>6250000</v>
      </c>
      <c r="K1049" s="57">
        <f>IFERROR(__xludf.DUMMYFUNCTION("""COMPUTED_VALUE"""),43910.0)</f>
        <v>43910</v>
      </c>
      <c r="L1049" s="6" t="str">
        <f>IFERROR(__xludf.DUMMYFUNCTION("""COMPUTED_VALUE"""),"FIP Engineering")</f>
        <v>FIP Engineering</v>
      </c>
      <c r="M1049" s="6" t="str">
        <f>IFERROR(__xludf.DUMMYFUNCTION("""COMPUTED_VALUE"""),"Irwan Sopian")</f>
        <v>Irwan Sopian</v>
      </c>
      <c r="N1049" s="6" t="str">
        <f>IFERROR(__xludf.DUMMYFUNCTION("""COMPUTED_VALUE"""),"FIP Engineering")</f>
        <v>FIP Engineering</v>
      </c>
      <c r="O1049" s="6" t="str">
        <f>IFERROR(__xludf.DUMMYFUNCTION("""COMPUTED_VALUE"""),"FIP-DOM-000-11304-OS00001-INA-000000")</f>
        <v>FIP-DOM-000-11304-OS00001-INA-000000</v>
      </c>
      <c r="P1049" s="6" t="str">
        <f>IFERROR(__xludf.DUMMYFUNCTION("""COMPUTED_VALUE"""),"PO Closed")</f>
        <v>PO Closed</v>
      </c>
      <c r="Q1049" s="6" t="str">
        <f>IFERROR(__xludf.DUMMYFUNCTION("""COMPUTED_VALUE"""),"GL2002036")</f>
        <v>GL2002036</v>
      </c>
      <c r="R1049" s="57">
        <f>IFERROR(__xludf.DUMMYFUNCTION("""COMPUTED_VALUE"""),43874.0)</f>
        <v>43874</v>
      </c>
      <c r="S1049" s="6" t="str">
        <f>IFERROR(__xludf.DUMMYFUNCTION("""COMPUTED_VALUE"""),"-")</f>
        <v>-</v>
      </c>
      <c r="T1049" s="57">
        <f>IFERROR(__xludf.DUMMYFUNCTION("""COMPUTED_VALUE"""),44015.0)</f>
        <v>44015</v>
      </c>
    </row>
    <row r="1050">
      <c r="A1050" s="6" t="str">
        <f>IFERROR(__xludf.DUMMYFUNCTION("""COMPUTED_VALUE"""),"201750062-1")</f>
        <v>201750062-1</v>
      </c>
      <c r="B1050" s="6" t="str">
        <f>IFERROR(__xludf.DUMMYFUNCTION("""COMPUTED_VALUE"""),"201750062 - Approved")</f>
        <v>201750062 - Approved</v>
      </c>
      <c r="C1050" s="6">
        <f>IFERROR(__xludf.DUMMYFUNCTION("""COMPUTED_VALUE"""),1.0)</f>
        <v>1</v>
      </c>
      <c r="D1050" s="6" t="str">
        <f>IFERROR(__xludf.DUMMYFUNCTION("""COMPUTED_VALUE"""),"S-62036-00")</f>
        <v>S-62036-00</v>
      </c>
      <c r="E1050" s="6" t="str">
        <f>IFERROR(__xludf.DUMMYFUNCTION("""COMPUTED_VALUE"""),"Refill Argon HP ARGON HP 6 m3")</f>
        <v>Refill Argon HP ARGON HP 6 m3</v>
      </c>
      <c r="F1050" s="6">
        <f>IFERROR(__xludf.DUMMYFUNCTION("""COMPUTED_VALUE"""),1.0)</f>
        <v>1</v>
      </c>
      <c r="G1050" s="6" t="str">
        <f>IFERROR(__xludf.DUMMYFUNCTION("""COMPUTED_VALUE"""),"Tube")</f>
        <v>Tube</v>
      </c>
      <c r="H1050" s="6" t="str">
        <f>IFERROR(__xludf.DUMMYFUNCTION("""COMPUTED_VALUE"""),"IDR")</f>
        <v>IDR</v>
      </c>
      <c r="I1050" s="6">
        <f>IFERROR(__xludf.DUMMYFUNCTION("""COMPUTED_VALUE"""),250000.0)</f>
        <v>250000</v>
      </c>
      <c r="J1050" s="6">
        <f>IFERROR(__xludf.DUMMYFUNCTION("""COMPUTED_VALUE"""),250000.0)</f>
        <v>250000</v>
      </c>
      <c r="K1050" s="57">
        <f>IFERROR(__xludf.DUMMYFUNCTION("""COMPUTED_VALUE"""),43888.0)</f>
        <v>43888</v>
      </c>
      <c r="L1050" s="6" t="str">
        <f>IFERROR(__xludf.DUMMYFUNCTION("""COMPUTED_VALUE"""),"FIP General")</f>
        <v>FIP General</v>
      </c>
      <c r="M1050" s="6" t="str">
        <f>IFERROR(__xludf.DUMMYFUNCTION("""COMPUTED_VALUE"""),"Joko Nugroho")</f>
        <v>Joko Nugroho</v>
      </c>
      <c r="N1050" s="6" t="str">
        <f>IFERROR(__xludf.DUMMYFUNCTION("""COMPUTED_VALUE"""),"FIP Engineering")</f>
        <v>FIP Engineering</v>
      </c>
      <c r="O1050" s="6" t="str">
        <f>IFERROR(__xludf.DUMMYFUNCTION("""COMPUTED_VALUE"""),"FIP-DOM-ENG-51404-0000000-INA-000000")</f>
        <v>FIP-DOM-ENG-51404-0000000-INA-000000</v>
      </c>
      <c r="P1050" s="6" t="str">
        <f>IFERROR(__xludf.DUMMYFUNCTION("""COMPUTED_VALUE"""),"PO Closed")</f>
        <v>PO Closed</v>
      </c>
      <c r="Q1050" s="6" t="str">
        <f>IFERROR(__xludf.DUMMYFUNCTION("""COMPUTED_VALUE"""),"GL2004022")</f>
        <v>GL2004022</v>
      </c>
      <c r="R1050" s="57">
        <f>IFERROR(__xludf.DUMMYFUNCTION("""COMPUTED_VALUE"""),43874.0)</f>
        <v>43874</v>
      </c>
      <c r="S1050" s="6" t="str">
        <f>IFERROR(__xludf.DUMMYFUNCTION("""COMPUTED_VALUE"""),"-")</f>
        <v>-</v>
      </c>
      <c r="T1050" s="57">
        <f>IFERROR(__xludf.DUMMYFUNCTION("""COMPUTED_VALUE"""),43934.0)</f>
        <v>43934</v>
      </c>
    </row>
    <row r="1051">
      <c r="A1051" s="6" t="str">
        <f>IFERROR(__xludf.DUMMYFUNCTION("""COMPUTED_VALUE"""),"201750065-1")</f>
        <v>201750065-1</v>
      </c>
      <c r="B1051" s="6" t="str">
        <f>IFERROR(__xludf.DUMMYFUNCTION("""COMPUTED_VALUE"""),"201750065 - Approved")</f>
        <v>201750065 - Approved</v>
      </c>
      <c r="C1051" s="6">
        <f>IFERROR(__xludf.DUMMYFUNCTION("""COMPUTED_VALUE"""),1.0)</f>
        <v>1</v>
      </c>
      <c r="D1051" s="6" t="str">
        <f>IFERROR(__xludf.DUMMYFUNCTION("""COMPUTED_VALUE"""),"S-60002-00")</f>
        <v>S-60002-00</v>
      </c>
      <c r="E1051" s="6" t="str">
        <f>IFERROR(__xludf.DUMMYFUNCTION("""COMPUTED_VALUE"""),"Repair Motor Mixer WWTP")</f>
        <v>Repair Motor Mixer WWTP</v>
      </c>
      <c r="F1051" s="6">
        <f>IFERROR(__xludf.DUMMYFUNCTION("""COMPUTED_VALUE"""),1.0)</f>
        <v>1</v>
      </c>
      <c r="G1051" s="6" t="str">
        <f>IFERROR(__xludf.DUMMYFUNCTION("""COMPUTED_VALUE"""),"Lot")</f>
        <v>Lot</v>
      </c>
      <c r="H1051" s="6" t="str">
        <f>IFERROR(__xludf.DUMMYFUNCTION("""COMPUTED_VALUE"""),"IDR")</f>
        <v>IDR</v>
      </c>
      <c r="I1051" s="6">
        <f>IFERROR(__xludf.DUMMYFUNCTION("""COMPUTED_VALUE"""),990000.0)</f>
        <v>990000</v>
      </c>
      <c r="J1051" s="6">
        <f>IFERROR(__xludf.DUMMYFUNCTION("""COMPUTED_VALUE"""),990000.0)</f>
        <v>990000</v>
      </c>
      <c r="K1051" s="57">
        <f>IFERROR(__xludf.DUMMYFUNCTION("""COMPUTED_VALUE"""),43889.0)</f>
        <v>43889</v>
      </c>
      <c r="L1051" s="6" t="str">
        <f>IFERROR(__xludf.DUMMYFUNCTION("""COMPUTED_VALUE"""),"FIP General")</f>
        <v>FIP General</v>
      </c>
      <c r="M1051" s="6" t="str">
        <f>IFERROR(__xludf.DUMMYFUNCTION("""COMPUTED_VALUE"""),"Irwan Sopian")</f>
        <v>Irwan Sopian</v>
      </c>
      <c r="N1051" s="6" t="str">
        <f>IFERROR(__xludf.DUMMYFUNCTION("""COMPUTED_VALUE"""),"FIP Engineering")</f>
        <v>FIP Engineering</v>
      </c>
      <c r="O1051" s="6" t="str">
        <f>IFERROR(__xludf.DUMMYFUNCTION("""COMPUTED_VALUE"""),"FIP-DOM-ENG-51508-0000000-INA-000000")</f>
        <v>FIP-DOM-ENG-51508-0000000-INA-000000</v>
      </c>
      <c r="P1051" s="6" t="str">
        <f>IFERROR(__xludf.DUMMYFUNCTION("""COMPUTED_VALUE"""),"PO Closed")</f>
        <v>PO Closed</v>
      </c>
      <c r="Q1051" s="6" t="str">
        <f>IFERROR(__xludf.DUMMYFUNCTION("""COMPUTED_VALUE"""),"GL2002040")</f>
        <v>GL2002040</v>
      </c>
      <c r="R1051" s="57">
        <f>IFERROR(__xludf.DUMMYFUNCTION("""COMPUTED_VALUE"""),43875.0)</f>
        <v>43875</v>
      </c>
      <c r="S1051" s="6" t="str">
        <f>IFERROR(__xludf.DUMMYFUNCTION("""COMPUTED_VALUE"""),"-")</f>
        <v>-</v>
      </c>
      <c r="T1051" s="57">
        <f>IFERROR(__xludf.DUMMYFUNCTION("""COMPUTED_VALUE"""),43893.0)</f>
        <v>43893</v>
      </c>
    </row>
    <row r="1052">
      <c r="A1052" s="6" t="str">
        <f>IFERROR(__xludf.DUMMYFUNCTION("""COMPUTED_VALUE"""),"201750065-2")</f>
        <v>201750065-2</v>
      </c>
      <c r="B1052" s="6" t="str">
        <f>IFERROR(__xludf.DUMMYFUNCTION("""COMPUTED_VALUE"""),"201750065 - Approved")</f>
        <v>201750065 - Approved</v>
      </c>
      <c r="C1052" s="6">
        <f>IFERROR(__xludf.DUMMYFUNCTION("""COMPUTED_VALUE"""),2.0)</f>
        <v>2</v>
      </c>
      <c r="D1052" s="6" t="str">
        <f>IFERROR(__xludf.DUMMYFUNCTION("""COMPUTED_VALUE"""),"S-60002-00")</f>
        <v>S-60002-00</v>
      </c>
      <c r="E1052" s="6" t="str">
        <f>IFERROR(__xludf.DUMMYFUNCTION("""COMPUTED_VALUE"""),"Repair Gerinda Tangan")</f>
        <v>Repair Gerinda Tangan</v>
      </c>
      <c r="F1052" s="6">
        <f>IFERROR(__xludf.DUMMYFUNCTION("""COMPUTED_VALUE"""),1.0)</f>
        <v>1</v>
      </c>
      <c r="G1052" s="6" t="str">
        <f>IFERROR(__xludf.DUMMYFUNCTION("""COMPUTED_VALUE"""),"Lot")</f>
        <v>Lot</v>
      </c>
      <c r="H1052" s="6" t="str">
        <f>IFERROR(__xludf.DUMMYFUNCTION("""COMPUTED_VALUE"""),"IDR")</f>
        <v>IDR</v>
      </c>
      <c r="I1052" s="6">
        <f>IFERROR(__xludf.DUMMYFUNCTION("""COMPUTED_VALUE"""),400000.0)</f>
        <v>400000</v>
      </c>
      <c r="J1052" s="6">
        <f>IFERROR(__xludf.DUMMYFUNCTION("""COMPUTED_VALUE"""),400000.0)</f>
        <v>400000</v>
      </c>
      <c r="K1052" s="57">
        <f>IFERROR(__xludf.DUMMYFUNCTION("""COMPUTED_VALUE"""),43889.0)</f>
        <v>43889</v>
      </c>
      <c r="L1052" s="6" t="str">
        <f>IFERROR(__xludf.DUMMYFUNCTION("""COMPUTED_VALUE"""),"FIP General")</f>
        <v>FIP General</v>
      </c>
      <c r="M1052" s="6" t="str">
        <f>IFERROR(__xludf.DUMMYFUNCTION("""COMPUTED_VALUE"""),"Irwan Sopian")</f>
        <v>Irwan Sopian</v>
      </c>
      <c r="N1052" s="6" t="str">
        <f>IFERROR(__xludf.DUMMYFUNCTION("""COMPUTED_VALUE"""),"FIP Engineering")</f>
        <v>FIP Engineering</v>
      </c>
      <c r="O1052" s="6" t="str">
        <f>IFERROR(__xludf.DUMMYFUNCTION("""COMPUTED_VALUE"""),"FIP-DOM-ENG-51508-0000000-INA-000000")</f>
        <v>FIP-DOM-ENG-51508-0000000-INA-000000</v>
      </c>
      <c r="P1052" s="6" t="str">
        <f>IFERROR(__xludf.DUMMYFUNCTION("""COMPUTED_VALUE"""),"PO Closed")</f>
        <v>PO Closed</v>
      </c>
      <c r="Q1052" s="6" t="str">
        <f>IFERROR(__xludf.DUMMYFUNCTION("""COMPUTED_VALUE"""),"GL2002040")</f>
        <v>GL2002040</v>
      </c>
      <c r="R1052" s="57">
        <f>IFERROR(__xludf.DUMMYFUNCTION("""COMPUTED_VALUE"""),43875.0)</f>
        <v>43875</v>
      </c>
      <c r="S1052" s="6" t="str">
        <f>IFERROR(__xludf.DUMMYFUNCTION("""COMPUTED_VALUE"""),"-")</f>
        <v>-</v>
      </c>
      <c r="T1052" s="57">
        <f>IFERROR(__xludf.DUMMYFUNCTION("""COMPUTED_VALUE"""),43893.0)</f>
        <v>43893</v>
      </c>
    </row>
    <row r="1053">
      <c r="A1053" s="6" t="str">
        <f>IFERROR(__xludf.DUMMYFUNCTION("""COMPUTED_VALUE"""),"201750067-1")</f>
        <v>201750067-1</v>
      </c>
      <c r="B1053" s="6" t="str">
        <f>IFERROR(__xludf.DUMMYFUNCTION("""COMPUTED_VALUE"""),"201750067 - Approved")</f>
        <v>201750067 - Approved</v>
      </c>
      <c r="C1053" s="6">
        <f>IFERROR(__xludf.DUMMYFUNCTION("""COMPUTED_VALUE"""),1.0)</f>
        <v>1</v>
      </c>
      <c r="D1053" s="6" t="str">
        <f>IFERROR(__xludf.DUMMYFUNCTION("""COMPUTED_VALUE"""),"O-15544-00")</f>
        <v>O-15544-00</v>
      </c>
      <c r="E1053" s="6" t="str">
        <f>IFERROR(__xludf.DUMMYFUNCTION("""COMPUTED_VALUE"""),"BECKER VACUUM - Medical Bacterial Filter FM70 Conn: 1/2 inch")</f>
        <v>BECKER VACUUM - Medical Bacterial Filter FM70 Conn: 1/2 inch</v>
      </c>
      <c r="F1053" s="6">
        <f>IFERROR(__xludf.DUMMYFUNCTION("""COMPUTED_VALUE"""),1.0)</f>
        <v>1</v>
      </c>
      <c r="G1053" s="6" t="str">
        <f>IFERROR(__xludf.DUMMYFUNCTION("""COMPUTED_VALUE"""),"Pieces")</f>
        <v>Pieces</v>
      </c>
      <c r="H1053" s="6" t="str">
        <f>IFERROR(__xludf.DUMMYFUNCTION("""COMPUTED_VALUE"""),"IDR")</f>
        <v>IDR</v>
      </c>
      <c r="I1053" s="6">
        <f>IFERROR(__xludf.DUMMYFUNCTION("""COMPUTED_VALUE"""),7507500.0)</f>
        <v>7507500</v>
      </c>
      <c r="J1053" s="6">
        <f>IFERROR(__xludf.DUMMYFUNCTION("""COMPUTED_VALUE"""),7507500.0)</f>
        <v>7507500</v>
      </c>
      <c r="K1053" s="57">
        <f>IFERROR(__xludf.DUMMYFUNCTION("""COMPUTED_VALUE"""),43917.0)</f>
        <v>43917</v>
      </c>
      <c r="L1053" s="6" t="str">
        <f>IFERROR(__xludf.DUMMYFUNCTION("""COMPUTED_VALUE"""),"FIP Engineering")</f>
        <v>FIP Engineering</v>
      </c>
      <c r="M1053" s="6" t="str">
        <f>IFERROR(__xludf.DUMMYFUNCTION("""COMPUTED_VALUE"""),"Irwan Sopian")</f>
        <v>Irwan Sopian</v>
      </c>
      <c r="N1053" s="6" t="str">
        <f>IFERROR(__xludf.DUMMYFUNCTION("""COMPUTED_VALUE"""),"FIP Engineering")</f>
        <v>FIP Engineering</v>
      </c>
      <c r="O1053" s="6" t="str">
        <f>IFERROR(__xludf.DUMMYFUNCTION("""COMPUTED_VALUE"""),"FIP-DOM-000-11304-OS00001-INA-000000")</f>
        <v>FIP-DOM-000-11304-OS00001-INA-000000</v>
      </c>
      <c r="P1053" s="6" t="str">
        <f>IFERROR(__xludf.DUMMYFUNCTION("""COMPUTED_VALUE"""),"PO Closed")</f>
        <v>PO Closed</v>
      </c>
      <c r="Q1053" s="6" t="str">
        <f>IFERROR(__xludf.DUMMYFUNCTION("""COMPUTED_VALUE"""),"GL2003018")</f>
        <v>GL2003018</v>
      </c>
      <c r="R1053" s="57">
        <f>IFERROR(__xludf.DUMMYFUNCTION("""COMPUTED_VALUE"""),43880.0)</f>
        <v>43880</v>
      </c>
      <c r="S1053" s="6" t="str">
        <f>IFERROR(__xludf.DUMMYFUNCTION("""COMPUTED_VALUE"""),"-")</f>
        <v>-</v>
      </c>
      <c r="T1053" s="57">
        <f>IFERROR(__xludf.DUMMYFUNCTION("""COMPUTED_VALUE"""),43917.0)</f>
        <v>43917</v>
      </c>
    </row>
    <row r="1054">
      <c r="A1054" s="6" t="str">
        <f>IFERROR(__xludf.DUMMYFUNCTION("""COMPUTED_VALUE"""),"201750066-1")</f>
        <v>201750066-1</v>
      </c>
      <c r="B1054" s="6" t="str">
        <f>IFERROR(__xludf.DUMMYFUNCTION("""COMPUTED_VALUE"""),"201750066 - Approved")</f>
        <v>201750066 - Approved</v>
      </c>
      <c r="C1054" s="6">
        <f>IFERROR(__xludf.DUMMYFUNCTION("""COMPUTED_VALUE"""),1.0)</f>
        <v>1</v>
      </c>
      <c r="D1054" s="6" t="str">
        <f>IFERROR(__xludf.DUMMYFUNCTION("""COMPUTED_VALUE"""),"P-13641-00")</f>
        <v>P-13641-00</v>
      </c>
      <c r="E1054" s="6" t="str">
        <f>IFERROR(__xludf.DUMMYFUNCTION("""COMPUTED_VALUE"""),"Filter SO 5 micron 30 inch O-ring 222 Bayonet")</f>
        <v>Filter SO 5 micron 30 inch O-ring 222 Bayonet</v>
      </c>
      <c r="F1054" s="6">
        <f>IFERROR(__xludf.DUMMYFUNCTION("""COMPUTED_VALUE"""),5.0)</f>
        <v>5</v>
      </c>
      <c r="G1054" s="6" t="str">
        <f>IFERROR(__xludf.DUMMYFUNCTION("""COMPUTED_VALUE"""),"Pieces")</f>
        <v>Pieces</v>
      </c>
      <c r="H1054" s="6" t="str">
        <f>IFERROR(__xludf.DUMMYFUNCTION("""COMPUTED_VALUE"""),"IDR")</f>
        <v>IDR</v>
      </c>
      <c r="I1054" s="6">
        <f>IFERROR(__xludf.DUMMYFUNCTION("""COMPUTED_VALUE"""),1890000.0)</f>
        <v>1890000</v>
      </c>
      <c r="J1054" s="6">
        <f>IFERROR(__xludf.DUMMYFUNCTION("""COMPUTED_VALUE"""),9450000.0)</f>
        <v>9450000</v>
      </c>
      <c r="K1054" s="57">
        <f>IFERROR(__xludf.DUMMYFUNCTION("""COMPUTED_VALUE"""),43917.0)</f>
        <v>43917</v>
      </c>
      <c r="L1054" s="6" t="str">
        <f>IFERROR(__xludf.DUMMYFUNCTION("""COMPUTED_VALUE"""),"FIP Engineering")</f>
        <v>FIP Engineering</v>
      </c>
      <c r="M1054" s="6" t="str">
        <f>IFERROR(__xludf.DUMMYFUNCTION("""COMPUTED_VALUE"""),"Irwan Sopian")</f>
        <v>Irwan Sopian</v>
      </c>
      <c r="N1054" s="6" t="str">
        <f>IFERROR(__xludf.DUMMYFUNCTION("""COMPUTED_VALUE"""),"FIP Engineering")</f>
        <v>FIP Engineering</v>
      </c>
      <c r="O1054" s="6" t="str">
        <f>IFERROR(__xludf.DUMMYFUNCTION("""COMPUTED_VALUE"""),"FIP-DOM-000-11304-OS00001-INA-000000")</f>
        <v>FIP-DOM-000-11304-OS00001-INA-000000</v>
      </c>
      <c r="P1054" s="6" t="str">
        <f>IFERROR(__xludf.DUMMYFUNCTION("""COMPUTED_VALUE"""),"PO Closed")</f>
        <v>PO Closed</v>
      </c>
      <c r="Q1054" s="6" t="str">
        <f>IFERROR(__xludf.DUMMYFUNCTION("""COMPUTED_VALUE"""),"GL2002039")</f>
        <v>GL2002039</v>
      </c>
      <c r="R1054" s="57">
        <f>IFERROR(__xludf.DUMMYFUNCTION("""COMPUTED_VALUE"""),43880.0)</f>
        <v>43880</v>
      </c>
      <c r="S1054" s="6" t="str">
        <f>IFERROR(__xludf.DUMMYFUNCTION("""COMPUTED_VALUE"""),"-")</f>
        <v>-</v>
      </c>
      <c r="T1054" s="57">
        <f>IFERROR(__xludf.DUMMYFUNCTION("""COMPUTED_VALUE"""),43930.0)</f>
        <v>43930</v>
      </c>
    </row>
    <row r="1055">
      <c r="A1055" s="6" t="str">
        <f>IFERROR(__xludf.DUMMYFUNCTION("""COMPUTED_VALUE"""),"201750073-2")</f>
        <v>201750073-2</v>
      </c>
      <c r="B1055" s="6" t="str">
        <f>IFERROR(__xludf.DUMMYFUNCTION("""COMPUTED_VALUE"""),"201750073 - Approved")</f>
        <v>201750073 - Approved</v>
      </c>
      <c r="C1055" s="6">
        <f>IFERROR(__xludf.DUMMYFUNCTION("""COMPUTED_VALUE"""),2.0)</f>
        <v>2</v>
      </c>
      <c r="D1055" s="6" t="str">
        <f>IFERROR(__xludf.DUMMYFUNCTION("""COMPUTED_VALUE"""),"P-17323-00")</f>
        <v>P-17323-00</v>
      </c>
      <c r="E1055" s="6" t="str">
        <f>IFERROR(__xludf.DUMMYFUNCTION("""COMPUTED_VALUE"""),"Plate Gasket 3233014146 Alfa Laval")</f>
        <v>Plate Gasket 3233014146 Alfa Laval</v>
      </c>
      <c r="F1055" s="6">
        <f>IFERROR(__xludf.DUMMYFUNCTION("""COMPUTED_VALUE"""),36.0)</f>
        <v>36</v>
      </c>
      <c r="G1055" s="6" t="str">
        <f>IFERROR(__xludf.DUMMYFUNCTION("""COMPUTED_VALUE"""),"Pieces")</f>
        <v>Pieces</v>
      </c>
      <c r="H1055" s="6" t="str">
        <f>IFERROR(__xludf.DUMMYFUNCTION("""COMPUTED_VALUE"""),"IDR")</f>
        <v>IDR</v>
      </c>
      <c r="I1055" s="6">
        <f>IFERROR(__xludf.DUMMYFUNCTION("""COMPUTED_VALUE"""),584000.0)</f>
        <v>584000</v>
      </c>
      <c r="J1055" s="6">
        <f>IFERROR(__xludf.DUMMYFUNCTION("""COMPUTED_VALUE"""),2.1024E7)</f>
        <v>21024000</v>
      </c>
      <c r="K1055" s="57">
        <f>IFERROR(__xludf.DUMMYFUNCTION("""COMPUTED_VALUE"""),43917.0)</f>
        <v>43917</v>
      </c>
      <c r="L1055" s="6" t="str">
        <f>IFERROR(__xludf.DUMMYFUNCTION("""COMPUTED_VALUE"""),"FIP General")</f>
        <v>FIP General</v>
      </c>
      <c r="M1055" s="6" t="str">
        <f>IFERROR(__xludf.DUMMYFUNCTION("""COMPUTED_VALUE"""),"Irwan Sopian")</f>
        <v>Irwan Sopian</v>
      </c>
      <c r="N1055" s="6" t="str">
        <f>IFERROR(__xludf.DUMMYFUNCTION("""COMPUTED_VALUE"""),"FIP Engineering")</f>
        <v>FIP Engineering</v>
      </c>
      <c r="O1055" s="6" t="str">
        <f>IFERROR(__xludf.DUMMYFUNCTION("""COMPUTED_VALUE"""),"FIP-DOM-ENG-51504-0000000-INA-000000")</f>
        <v>FIP-DOM-ENG-51504-0000000-INA-000000</v>
      </c>
      <c r="P1055" s="6" t="str">
        <f>IFERROR(__xludf.DUMMYFUNCTION("""COMPUTED_VALUE"""),"PO Closed")</f>
        <v>PO Closed</v>
      </c>
      <c r="Q1055" s="6" t="str">
        <f>IFERROR(__xludf.DUMMYFUNCTION("""COMPUTED_VALUE"""),"GL2003056")</f>
        <v>GL2003056</v>
      </c>
      <c r="R1055" s="57">
        <f>IFERROR(__xludf.DUMMYFUNCTION("""COMPUTED_VALUE"""),43886.0)</f>
        <v>43886</v>
      </c>
      <c r="S1055" s="6" t="str">
        <f>IFERROR(__xludf.DUMMYFUNCTION("""COMPUTED_VALUE"""),"-")</f>
        <v>-</v>
      </c>
      <c r="T1055" s="57">
        <f>IFERROR(__xludf.DUMMYFUNCTION("""COMPUTED_VALUE"""),44075.0)</f>
        <v>44075</v>
      </c>
    </row>
    <row r="1056">
      <c r="A1056" s="6" t="str">
        <f>IFERROR(__xludf.DUMMYFUNCTION("""COMPUTED_VALUE"""),"201750072-1")</f>
        <v>201750072-1</v>
      </c>
      <c r="B1056" s="6" t="str">
        <f>IFERROR(__xludf.DUMMYFUNCTION("""COMPUTED_VALUE"""),"201750072 - Approved")</f>
        <v>201750072 - Approved</v>
      </c>
      <c r="C1056" s="6">
        <f>IFERROR(__xludf.DUMMYFUNCTION("""COMPUTED_VALUE"""),1.0)</f>
        <v>1</v>
      </c>
      <c r="D1056" s="6" t="str">
        <f>IFERROR(__xludf.DUMMYFUNCTION("""COMPUTED_VALUE"""),"P-10564-00")</f>
        <v>P-10564-00</v>
      </c>
      <c r="E1056" s="6" t="str">
        <f>IFERROR(__xludf.DUMMYFUNCTION("""COMPUTED_VALUE"""),"Bearing 6000 2RS H SKF")</f>
        <v>Bearing 6000 2RS H SKF</v>
      </c>
      <c r="F1056" s="6">
        <f>IFERROR(__xludf.DUMMYFUNCTION("""COMPUTED_VALUE"""),20.0)</f>
        <v>20</v>
      </c>
      <c r="G1056" s="6" t="str">
        <f>IFERROR(__xludf.DUMMYFUNCTION("""COMPUTED_VALUE"""),"Pieces")</f>
        <v>Pieces</v>
      </c>
      <c r="H1056" s="6" t="str">
        <f>IFERROR(__xludf.DUMMYFUNCTION("""COMPUTED_VALUE"""),"IDR")</f>
        <v>IDR</v>
      </c>
      <c r="I1056" s="6">
        <f>IFERROR(__xludf.DUMMYFUNCTION("""COMPUTED_VALUE"""),30000.0)</f>
        <v>30000</v>
      </c>
      <c r="J1056" s="6">
        <f>IFERROR(__xludf.DUMMYFUNCTION("""COMPUTED_VALUE"""),600000.0)</f>
        <v>600000</v>
      </c>
      <c r="K1056" s="57">
        <f>IFERROR(__xludf.DUMMYFUNCTION("""COMPUTED_VALUE"""),43910.0)</f>
        <v>43910</v>
      </c>
      <c r="L1056" s="6" t="str">
        <f>IFERROR(__xludf.DUMMYFUNCTION("""COMPUTED_VALUE"""),"FIP Engineering")</f>
        <v>FIP Engineering</v>
      </c>
      <c r="M1056" s="6" t="str">
        <f>IFERROR(__xludf.DUMMYFUNCTION("""COMPUTED_VALUE"""),"Irwan Sopian")</f>
        <v>Irwan Sopian</v>
      </c>
      <c r="N1056" s="6" t="str">
        <f>IFERROR(__xludf.DUMMYFUNCTION("""COMPUTED_VALUE"""),"FIP Engineering")</f>
        <v>FIP Engineering</v>
      </c>
      <c r="O1056" s="6" t="str">
        <f>IFERROR(__xludf.DUMMYFUNCTION("""COMPUTED_VALUE"""),"FIP-DOM-000-11304-OS00001-INA-000000")</f>
        <v>FIP-DOM-000-11304-OS00001-INA-000000</v>
      </c>
      <c r="P1056" s="6" t="str">
        <f>IFERROR(__xludf.DUMMYFUNCTION("""COMPUTED_VALUE"""),"PO Closed")</f>
        <v>PO Closed</v>
      </c>
      <c r="Q1056" s="6" t="str">
        <f>IFERROR(__xludf.DUMMYFUNCTION("""COMPUTED_VALUE"""),"GL2003015")</f>
        <v>GL2003015</v>
      </c>
      <c r="R1056" s="57">
        <f>IFERROR(__xludf.DUMMYFUNCTION("""COMPUTED_VALUE"""),43886.0)</f>
        <v>43886</v>
      </c>
      <c r="S1056" s="6" t="str">
        <f>IFERROR(__xludf.DUMMYFUNCTION("""COMPUTED_VALUE"""),"-")</f>
        <v>-</v>
      </c>
      <c r="T1056" s="57">
        <f>IFERROR(__xludf.DUMMYFUNCTION("""COMPUTED_VALUE"""),43910.0)</f>
        <v>43910</v>
      </c>
    </row>
    <row r="1057">
      <c r="A1057" s="6" t="str">
        <f>IFERROR(__xludf.DUMMYFUNCTION("""COMPUTED_VALUE"""),"201750072-2")</f>
        <v>201750072-2</v>
      </c>
      <c r="B1057" s="6" t="str">
        <f>IFERROR(__xludf.DUMMYFUNCTION("""COMPUTED_VALUE"""),"201750072 - Approved")</f>
        <v>201750072 - Approved</v>
      </c>
      <c r="C1057" s="6">
        <f>IFERROR(__xludf.DUMMYFUNCTION("""COMPUTED_VALUE"""),2.0)</f>
        <v>2</v>
      </c>
      <c r="D1057" s="6" t="str">
        <f>IFERROR(__xludf.DUMMYFUNCTION("""COMPUTED_VALUE"""),"P-13389-00")</f>
        <v>P-13389-00</v>
      </c>
      <c r="E1057" s="6" t="str">
        <f>IFERROR(__xludf.DUMMYFUNCTION("""COMPUTED_VALUE"""),"Scotch Brite 3M")</f>
        <v>Scotch Brite 3M</v>
      </c>
      <c r="F1057" s="6">
        <f>IFERROR(__xludf.DUMMYFUNCTION("""COMPUTED_VALUE"""),10.0)</f>
        <v>10</v>
      </c>
      <c r="G1057" s="6" t="str">
        <f>IFERROR(__xludf.DUMMYFUNCTION("""COMPUTED_VALUE"""),"Pieces")</f>
        <v>Pieces</v>
      </c>
      <c r="H1057" s="6" t="str">
        <f>IFERROR(__xludf.DUMMYFUNCTION("""COMPUTED_VALUE"""),"IDR")</f>
        <v>IDR</v>
      </c>
      <c r="I1057" s="6">
        <f>IFERROR(__xludf.DUMMYFUNCTION("""COMPUTED_VALUE"""),13500.0)</f>
        <v>13500</v>
      </c>
      <c r="J1057" s="6">
        <f>IFERROR(__xludf.DUMMYFUNCTION("""COMPUTED_VALUE"""),135000.0)</f>
        <v>135000</v>
      </c>
      <c r="K1057" s="57">
        <f>IFERROR(__xludf.DUMMYFUNCTION("""COMPUTED_VALUE"""),43910.0)</f>
        <v>43910</v>
      </c>
      <c r="L1057" s="6" t="str">
        <f>IFERROR(__xludf.DUMMYFUNCTION("""COMPUTED_VALUE"""),"FIP Engineering")</f>
        <v>FIP Engineering</v>
      </c>
      <c r="M1057" s="6" t="str">
        <f>IFERROR(__xludf.DUMMYFUNCTION("""COMPUTED_VALUE"""),"Irwan Sopian")</f>
        <v>Irwan Sopian</v>
      </c>
      <c r="N1057" s="6" t="str">
        <f>IFERROR(__xludf.DUMMYFUNCTION("""COMPUTED_VALUE"""),"FIP Engineering")</f>
        <v>FIP Engineering</v>
      </c>
      <c r="O1057" s="6" t="str">
        <f>IFERROR(__xludf.DUMMYFUNCTION("""COMPUTED_VALUE"""),"FIP-DOM-000-11304-OS00001-INA-000000")</f>
        <v>FIP-DOM-000-11304-OS00001-INA-000000</v>
      </c>
      <c r="P1057" s="6" t="str">
        <f>IFERROR(__xludf.DUMMYFUNCTION("""COMPUTED_VALUE"""),"PO Closed")</f>
        <v>PO Closed</v>
      </c>
      <c r="Q1057" s="6" t="str">
        <f>IFERROR(__xludf.DUMMYFUNCTION("""COMPUTED_VALUE"""),"GL2003016")</f>
        <v>GL2003016</v>
      </c>
      <c r="R1057" s="57">
        <f>IFERROR(__xludf.DUMMYFUNCTION("""COMPUTED_VALUE"""),43888.0)</f>
        <v>43888</v>
      </c>
      <c r="S1057" s="6" t="str">
        <f>IFERROR(__xludf.DUMMYFUNCTION("""COMPUTED_VALUE"""),"-")</f>
        <v>-</v>
      </c>
      <c r="T1057" s="57">
        <f>IFERROR(__xludf.DUMMYFUNCTION("""COMPUTED_VALUE"""),43910.0)</f>
        <v>43910</v>
      </c>
    </row>
    <row r="1058">
      <c r="A1058" s="6" t="str">
        <f>IFERROR(__xludf.DUMMYFUNCTION("""COMPUTED_VALUE"""),"201750072-3")</f>
        <v>201750072-3</v>
      </c>
      <c r="B1058" s="6" t="str">
        <f>IFERROR(__xludf.DUMMYFUNCTION("""COMPUTED_VALUE"""),"201750072 - Approved")</f>
        <v>201750072 - Approved</v>
      </c>
      <c r="C1058" s="6">
        <f>IFERROR(__xludf.DUMMYFUNCTION("""COMPUTED_VALUE"""),3.0)</f>
        <v>3</v>
      </c>
      <c r="D1058" s="6" t="str">
        <f>IFERROR(__xludf.DUMMYFUNCTION("""COMPUTED_VALUE"""),"P-10945-00")</f>
        <v>P-10945-00</v>
      </c>
      <c r="E1058" s="6" t="str">
        <f>IFERROR(__xludf.DUMMYFUNCTION("""COMPUTED_VALUE"""),"Insulation - Seal Tape onda")</f>
        <v>Insulation - Seal Tape onda</v>
      </c>
      <c r="F1058" s="6">
        <f>IFERROR(__xludf.DUMMYFUNCTION("""COMPUTED_VALUE"""),10.0)</f>
        <v>10</v>
      </c>
      <c r="G1058" s="6" t="str">
        <f>IFERROR(__xludf.DUMMYFUNCTION("""COMPUTED_VALUE"""),"Pieces")</f>
        <v>Pieces</v>
      </c>
      <c r="H1058" s="6" t="str">
        <f>IFERROR(__xludf.DUMMYFUNCTION("""COMPUTED_VALUE"""),"IDR")</f>
        <v>IDR</v>
      </c>
      <c r="I1058" s="6">
        <f>IFERROR(__xludf.DUMMYFUNCTION("""COMPUTED_VALUE"""),4000.0)</f>
        <v>4000</v>
      </c>
      <c r="J1058" s="6">
        <f>IFERROR(__xludf.DUMMYFUNCTION("""COMPUTED_VALUE"""),40000.0)</f>
        <v>40000</v>
      </c>
      <c r="K1058" s="57">
        <f>IFERROR(__xludf.DUMMYFUNCTION("""COMPUTED_VALUE"""),43910.0)</f>
        <v>43910</v>
      </c>
      <c r="L1058" s="6" t="str">
        <f>IFERROR(__xludf.DUMMYFUNCTION("""COMPUTED_VALUE"""),"FIP Engineering")</f>
        <v>FIP Engineering</v>
      </c>
      <c r="M1058" s="6" t="str">
        <f>IFERROR(__xludf.DUMMYFUNCTION("""COMPUTED_VALUE"""),"Irwan Sopian")</f>
        <v>Irwan Sopian</v>
      </c>
      <c r="N1058" s="6" t="str">
        <f>IFERROR(__xludf.DUMMYFUNCTION("""COMPUTED_VALUE"""),"FIP Engineering")</f>
        <v>FIP Engineering</v>
      </c>
      <c r="O1058" s="6" t="str">
        <f>IFERROR(__xludf.DUMMYFUNCTION("""COMPUTED_VALUE"""),"FIP-DOM-000-11304-OS00001-INA-000000")</f>
        <v>FIP-DOM-000-11304-OS00001-INA-000000</v>
      </c>
      <c r="P1058" s="6" t="str">
        <f>IFERROR(__xludf.DUMMYFUNCTION("""COMPUTED_VALUE"""),"PO Closed")</f>
        <v>PO Closed</v>
      </c>
      <c r="Q1058" s="6" t="str">
        <f>IFERROR(__xludf.DUMMYFUNCTION("""COMPUTED_VALUE"""),"GL2003016")</f>
        <v>GL2003016</v>
      </c>
      <c r="R1058" s="57">
        <f>IFERROR(__xludf.DUMMYFUNCTION("""COMPUTED_VALUE"""),43888.0)</f>
        <v>43888</v>
      </c>
      <c r="S1058" s="6" t="str">
        <f>IFERROR(__xludf.DUMMYFUNCTION("""COMPUTED_VALUE"""),"-")</f>
        <v>-</v>
      </c>
      <c r="T1058" s="57">
        <f>IFERROR(__xludf.DUMMYFUNCTION("""COMPUTED_VALUE"""),43910.0)</f>
        <v>43910</v>
      </c>
    </row>
    <row r="1059">
      <c r="A1059" s="6" t="str">
        <f>IFERROR(__xludf.DUMMYFUNCTION("""COMPUTED_VALUE"""),"201750072-4")</f>
        <v>201750072-4</v>
      </c>
      <c r="B1059" s="6" t="str">
        <f>IFERROR(__xludf.DUMMYFUNCTION("""COMPUTED_VALUE"""),"201750072 - Approved")</f>
        <v>201750072 - Approved</v>
      </c>
      <c r="C1059" s="6">
        <f>IFERROR(__xludf.DUMMYFUNCTION("""COMPUTED_VALUE"""),4.0)</f>
        <v>4</v>
      </c>
      <c r="D1059" s="6" t="str">
        <f>IFERROR(__xludf.DUMMYFUNCTION("""COMPUTED_VALUE"""),"O-11149-00")</f>
        <v>O-11149-00</v>
      </c>
      <c r="E1059" s="6" t="str">
        <f>IFERROR(__xludf.DUMMYFUNCTION("""COMPUTED_VALUE"""),"Bearing 6202 ZZ")</f>
        <v>Bearing 6202 ZZ</v>
      </c>
      <c r="F1059" s="6">
        <f>IFERROR(__xludf.DUMMYFUNCTION("""COMPUTED_VALUE"""),5.0)</f>
        <v>5</v>
      </c>
      <c r="G1059" s="6" t="str">
        <f>IFERROR(__xludf.DUMMYFUNCTION("""COMPUTED_VALUE"""),"Pieces")</f>
        <v>Pieces</v>
      </c>
      <c r="H1059" s="6" t="str">
        <f>IFERROR(__xludf.DUMMYFUNCTION("""COMPUTED_VALUE"""),"IDR")</f>
        <v>IDR</v>
      </c>
      <c r="I1059" s="6">
        <f>IFERROR(__xludf.DUMMYFUNCTION("""COMPUTED_VALUE"""),25000.0)</f>
        <v>25000</v>
      </c>
      <c r="J1059" s="6">
        <f>IFERROR(__xludf.DUMMYFUNCTION("""COMPUTED_VALUE"""),125000.0)</f>
        <v>125000</v>
      </c>
      <c r="K1059" s="57">
        <f>IFERROR(__xludf.DUMMYFUNCTION("""COMPUTED_VALUE"""),43910.0)</f>
        <v>43910</v>
      </c>
      <c r="L1059" s="6" t="str">
        <f>IFERROR(__xludf.DUMMYFUNCTION("""COMPUTED_VALUE"""),"FIP Engineering")</f>
        <v>FIP Engineering</v>
      </c>
      <c r="M1059" s="6" t="str">
        <f>IFERROR(__xludf.DUMMYFUNCTION("""COMPUTED_VALUE"""),"Irwan Sopian")</f>
        <v>Irwan Sopian</v>
      </c>
      <c r="N1059" s="6" t="str">
        <f>IFERROR(__xludf.DUMMYFUNCTION("""COMPUTED_VALUE"""),"FIP Engineering")</f>
        <v>FIP Engineering</v>
      </c>
      <c r="O1059" s="6" t="str">
        <f>IFERROR(__xludf.DUMMYFUNCTION("""COMPUTED_VALUE"""),"FIP-DOM-000-11304-OS00001-INA-000000")</f>
        <v>FIP-DOM-000-11304-OS00001-INA-000000</v>
      </c>
      <c r="P1059" s="6" t="str">
        <f>IFERROR(__xludf.DUMMYFUNCTION("""COMPUTED_VALUE"""),"PO Closed")</f>
        <v>PO Closed</v>
      </c>
      <c r="Q1059" s="6" t="str">
        <f>IFERROR(__xludf.DUMMYFUNCTION("""COMPUTED_VALUE"""),"GL2003015")</f>
        <v>GL2003015</v>
      </c>
      <c r="R1059" s="57">
        <f>IFERROR(__xludf.DUMMYFUNCTION("""COMPUTED_VALUE"""),43888.0)</f>
        <v>43888</v>
      </c>
      <c r="S1059" s="6" t="str">
        <f>IFERROR(__xludf.DUMMYFUNCTION("""COMPUTED_VALUE"""),"-")</f>
        <v>-</v>
      </c>
      <c r="T1059" s="57">
        <f>IFERROR(__xludf.DUMMYFUNCTION("""COMPUTED_VALUE"""),43910.0)</f>
        <v>43910</v>
      </c>
    </row>
    <row r="1060">
      <c r="A1060" s="6" t="str">
        <f>IFERROR(__xludf.DUMMYFUNCTION("""COMPUTED_VALUE"""),"201750072-5")</f>
        <v>201750072-5</v>
      </c>
      <c r="B1060" s="6" t="str">
        <f>IFERROR(__xludf.DUMMYFUNCTION("""COMPUTED_VALUE"""),"201750072 - Approved")</f>
        <v>201750072 - Approved</v>
      </c>
      <c r="C1060" s="6">
        <f>IFERROR(__xludf.DUMMYFUNCTION("""COMPUTED_VALUE"""),5.0)</f>
        <v>5</v>
      </c>
      <c r="D1060" s="6" t="str">
        <f>IFERROR(__xludf.DUMMYFUNCTION("""COMPUTED_VALUE"""),"O-11145-00")</f>
        <v>O-11145-00</v>
      </c>
      <c r="E1060" s="6" t="str">
        <f>IFERROR(__xludf.DUMMYFUNCTION("""COMPUTED_VALUE"""),"Bearing 6201 2Z")</f>
        <v>Bearing 6201 2Z</v>
      </c>
      <c r="F1060" s="6">
        <f>IFERROR(__xludf.DUMMYFUNCTION("""COMPUTED_VALUE"""),5.0)</f>
        <v>5</v>
      </c>
      <c r="G1060" s="6" t="str">
        <f>IFERROR(__xludf.DUMMYFUNCTION("""COMPUTED_VALUE"""),"Pieces")</f>
        <v>Pieces</v>
      </c>
      <c r="H1060" s="6" t="str">
        <f>IFERROR(__xludf.DUMMYFUNCTION("""COMPUTED_VALUE"""),"IDR")</f>
        <v>IDR</v>
      </c>
      <c r="I1060" s="6">
        <f>IFERROR(__xludf.DUMMYFUNCTION("""COMPUTED_VALUE"""),23500.0)</f>
        <v>23500</v>
      </c>
      <c r="J1060" s="6">
        <f>IFERROR(__xludf.DUMMYFUNCTION("""COMPUTED_VALUE"""),117500.0)</f>
        <v>117500</v>
      </c>
      <c r="K1060" s="57">
        <f>IFERROR(__xludf.DUMMYFUNCTION("""COMPUTED_VALUE"""),43910.0)</f>
        <v>43910</v>
      </c>
      <c r="L1060" s="6" t="str">
        <f>IFERROR(__xludf.DUMMYFUNCTION("""COMPUTED_VALUE"""),"FIP Engineering")</f>
        <v>FIP Engineering</v>
      </c>
      <c r="M1060" s="6" t="str">
        <f>IFERROR(__xludf.DUMMYFUNCTION("""COMPUTED_VALUE"""),"Irwan Sopian")</f>
        <v>Irwan Sopian</v>
      </c>
      <c r="N1060" s="6" t="str">
        <f>IFERROR(__xludf.DUMMYFUNCTION("""COMPUTED_VALUE"""),"FIP Engineering")</f>
        <v>FIP Engineering</v>
      </c>
      <c r="O1060" s="6" t="str">
        <f>IFERROR(__xludf.DUMMYFUNCTION("""COMPUTED_VALUE"""),"FIP-DOM-000-11304-OS00001-INA-000000")</f>
        <v>FIP-DOM-000-11304-OS00001-INA-000000</v>
      </c>
      <c r="P1060" s="6" t="str">
        <f>IFERROR(__xludf.DUMMYFUNCTION("""COMPUTED_VALUE"""),"PO Closed")</f>
        <v>PO Closed</v>
      </c>
      <c r="Q1060" s="6" t="str">
        <f>IFERROR(__xludf.DUMMYFUNCTION("""COMPUTED_VALUE"""),"GL2003015")</f>
        <v>GL2003015</v>
      </c>
      <c r="R1060" s="57">
        <f>IFERROR(__xludf.DUMMYFUNCTION("""COMPUTED_VALUE"""),43888.0)</f>
        <v>43888</v>
      </c>
      <c r="S1060" s="6" t="str">
        <f>IFERROR(__xludf.DUMMYFUNCTION("""COMPUTED_VALUE"""),"-")</f>
        <v>-</v>
      </c>
      <c r="T1060" s="57">
        <f>IFERROR(__xludf.DUMMYFUNCTION("""COMPUTED_VALUE"""),43910.0)</f>
        <v>43910</v>
      </c>
    </row>
    <row r="1061">
      <c r="A1061" s="6" t="str">
        <f>IFERROR(__xludf.DUMMYFUNCTION("""COMPUTED_VALUE"""),"201750079-1")</f>
        <v>201750079-1</v>
      </c>
      <c r="B1061" s="6" t="str">
        <f>IFERROR(__xludf.DUMMYFUNCTION("""COMPUTED_VALUE"""),"201750079 - Approved")</f>
        <v>201750079 - Approved</v>
      </c>
      <c r="C1061" s="6">
        <f>IFERROR(__xludf.DUMMYFUNCTION("""COMPUTED_VALUE"""),1.0)</f>
        <v>1</v>
      </c>
      <c r="D1061" s="6" t="str">
        <f>IFERROR(__xludf.DUMMYFUNCTION("""COMPUTED_VALUE"""),"O-52326-00")</f>
        <v>O-52326-00</v>
      </c>
      <c r="E1061" s="6" t="str">
        <f>IFERROR(__xludf.DUMMYFUNCTION("""COMPUTED_VALUE"""),"Marchesini MA155 - Power Supply cV5_DC A5E30947477-H3 Siemens")</f>
        <v>Marchesini MA155 - Power Supply cV5_DC A5E30947477-H3 Siemens</v>
      </c>
      <c r="F1061" s="6">
        <f>IFERROR(__xludf.DUMMYFUNCTION("""COMPUTED_VALUE"""),2.0)</f>
        <v>2</v>
      </c>
      <c r="G1061" s="6" t="str">
        <f>IFERROR(__xludf.DUMMYFUNCTION("""COMPUTED_VALUE"""),"Pieces")</f>
        <v>Pieces</v>
      </c>
      <c r="H1061" s="6" t="str">
        <f>IFERROR(__xludf.DUMMYFUNCTION("""COMPUTED_VALUE"""),"IDR")</f>
        <v>IDR</v>
      </c>
      <c r="I1061" s="6">
        <f>IFERROR(__xludf.DUMMYFUNCTION("""COMPUTED_VALUE"""),6858000.0)</f>
        <v>6858000</v>
      </c>
      <c r="J1061" s="6">
        <f>IFERROR(__xludf.DUMMYFUNCTION("""COMPUTED_VALUE"""),1.3716E7)</f>
        <v>13716000</v>
      </c>
      <c r="K1061" s="57">
        <f>IFERROR(__xludf.DUMMYFUNCTION("""COMPUTED_VALUE"""),43921.0)</f>
        <v>43921</v>
      </c>
      <c r="L1061" s="6" t="str">
        <f>IFERROR(__xludf.DUMMYFUNCTION("""COMPUTED_VALUE"""),"FIP Engineering")</f>
        <v>FIP Engineering</v>
      </c>
      <c r="M1061" s="6" t="str">
        <f>IFERROR(__xludf.DUMMYFUNCTION("""COMPUTED_VALUE"""),"Irwan Sopian")</f>
        <v>Irwan Sopian</v>
      </c>
      <c r="N1061" s="6" t="str">
        <f>IFERROR(__xludf.DUMMYFUNCTION("""COMPUTED_VALUE"""),"FIP Engineering")</f>
        <v>FIP Engineering</v>
      </c>
      <c r="O1061" s="6" t="str">
        <f>IFERROR(__xludf.DUMMYFUNCTION("""COMPUTED_VALUE"""),"FIP-DOM-000-11304-OS00001-INA-000000")</f>
        <v>FIP-DOM-000-11304-OS00001-INA-000000</v>
      </c>
      <c r="P1061" s="6" t="str">
        <f>IFERROR(__xludf.DUMMYFUNCTION("""COMPUTED_VALUE"""),"PO Closed")</f>
        <v>PO Closed</v>
      </c>
      <c r="Q1061" s="6" t="str">
        <f>IFERROR(__xludf.DUMMYFUNCTION("""COMPUTED_VALUE"""),"GL2003014")</f>
        <v>GL2003014</v>
      </c>
      <c r="R1061" s="57">
        <f>IFERROR(__xludf.DUMMYFUNCTION("""COMPUTED_VALUE"""),43889.0)</f>
        <v>43889</v>
      </c>
      <c r="S1061" s="6" t="str">
        <f>IFERROR(__xludf.DUMMYFUNCTION("""COMPUTED_VALUE"""),"-")</f>
        <v>-</v>
      </c>
      <c r="T1061" s="57">
        <f>IFERROR(__xludf.DUMMYFUNCTION("""COMPUTED_VALUE"""),43990.0)</f>
        <v>43990</v>
      </c>
    </row>
    <row r="1062">
      <c r="A1062" s="6" t="str">
        <f>IFERROR(__xludf.DUMMYFUNCTION("""COMPUTED_VALUE"""),"201750078-1")</f>
        <v>201750078-1</v>
      </c>
      <c r="B1062" s="6" t="str">
        <f>IFERROR(__xludf.DUMMYFUNCTION("""COMPUTED_VALUE"""),"201750078 - Approved")</f>
        <v>201750078 - Approved</v>
      </c>
      <c r="C1062" s="6">
        <f>IFERROR(__xludf.DUMMYFUNCTION("""COMPUTED_VALUE"""),1.0)</f>
        <v>1</v>
      </c>
      <c r="D1062" s="6" t="str">
        <f>IFERROR(__xludf.DUMMYFUNCTION("""COMPUTED_VALUE"""),"S-60002-00")</f>
        <v>S-60002-00</v>
      </c>
      <c r="E1062" s="6" t="str">
        <f>IFERROR(__xludf.DUMMYFUNCTION("""COMPUTED_VALUE"""),"Penggantian walpaper Ruang Ellion LT3")</f>
        <v>Penggantian walpaper Ruang Ellion LT3</v>
      </c>
      <c r="F1062" s="6">
        <f>IFERROR(__xludf.DUMMYFUNCTION("""COMPUTED_VALUE"""),1.0)</f>
        <v>1</v>
      </c>
      <c r="G1062" s="6" t="str">
        <f>IFERROR(__xludf.DUMMYFUNCTION("""COMPUTED_VALUE"""),"Lot")</f>
        <v>Lot</v>
      </c>
      <c r="H1062" s="6" t="str">
        <f>IFERROR(__xludf.DUMMYFUNCTION("""COMPUTED_VALUE"""),"IDR")</f>
        <v>IDR</v>
      </c>
      <c r="I1062" s="6">
        <f>IFERROR(__xludf.DUMMYFUNCTION("""COMPUTED_VALUE"""),1.175625E7)</f>
        <v>11756250</v>
      </c>
      <c r="J1062" s="6">
        <f>IFERROR(__xludf.DUMMYFUNCTION("""COMPUTED_VALUE"""),1.175625E7)</f>
        <v>11756250</v>
      </c>
      <c r="K1062" s="57">
        <f>IFERROR(__xludf.DUMMYFUNCTION("""COMPUTED_VALUE"""),43903.0)</f>
        <v>43903</v>
      </c>
      <c r="L1062" s="6" t="str">
        <f>IFERROR(__xludf.DUMMYFUNCTION("""COMPUTED_VALUE"""),"FIP General")</f>
        <v>FIP General</v>
      </c>
      <c r="M1062" s="6" t="str">
        <f>IFERROR(__xludf.DUMMYFUNCTION("""COMPUTED_VALUE"""),"Irwan Sopian")</f>
        <v>Irwan Sopian</v>
      </c>
      <c r="N1062" s="6" t="str">
        <f>IFERROR(__xludf.DUMMYFUNCTION("""COMPUTED_VALUE"""),"FIP Engineering")</f>
        <v>FIP Engineering</v>
      </c>
      <c r="O1062" s="6" t="str">
        <f>IFERROR(__xludf.DUMMYFUNCTION("""COMPUTED_VALUE"""),"FIP-DOM-ENG-51508-0000000-INA-000000")</f>
        <v>FIP-DOM-ENG-51508-0000000-INA-000000</v>
      </c>
      <c r="P1062" s="6" t="str">
        <f>IFERROR(__xludf.DUMMYFUNCTION("""COMPUTED_VALUE"""),"PO Closed")</f>
        <v>PO Closed</v>
      </c>
      <c r="Q1062" s="6" t="str">
        <f>IFERROR(__xludf.DUMMYFUNCTION("""COMPUTED_VALUE"""),"GL2003013")</f>
        <v>GL2003013</v>
      </c>
      <c r="R1062" s="57">
        <f>IFERROR(__xludf.DUMMYFUNCTION("""COMPUTED_VALUE"""),43889.0)</f>
        <v>43889</v>
      </c>
      <c r="S1062" s="6" t="str">
        <f>IFERROR(__xludf.DUMMYFUNCTION("""COMPUTED_VALUE"""),"-")</f>
        <v>-</v>
      </c>
      <c r="T1062" s="57">
        <f>IFERROR(__xludf.DUMMYFUNCTION("""COMPUTED_VALUE"""),43900.0)</f>
        <v>43900</v>
      </c>
    </row>
    <row r="1063">
      <c r="A1063" s="6" t="str">
        <f>IFERROR(__xludf.DUMMYFUNCTION("""COMPUTED_VALUE"""),"201750083-1")</f>
        <v>201750083-1</v>
      </c>
      <c r="B1063" s="6" t="str">
        <f>IFERROR(__xludf.DUMMYFUNCTION("""COMPUTED_VALUE"""),"201750083 - Approved")</f>
        <v>201750083 - Approved</v>
      </c>
      <c r="C1063" s="6">
        <f>IFERROR(__xludf.DUMMYFUNCTION("""COMPUTED_VALUE"""),1.0)</f>
        <v>1</v>
      </c>
      <c r="D1063" s="6" t="str">
        <f>IFERROR(__xludf.DUMMYFUNCTION("""COMPUTED_VALUE"""),"O-52318-00")</f>
        <v>O-52318-00</v>
      </c>
      <c r="E1063" s="6" t="str">
        <f>IFERROR(__xludf.DUMMYFUNCTION("""COMPUTED_VALUE"""),"Kabel pelangi 10 pin + socket")</f>
        <v>Kabel pelangi 10 pin + socket</v>
      </c>
      <c r="F1063" s="6">
        <f>IFERROR(__xludf.DUMMYFUNCTION("""COMPUTED_VALUE"""),1.0)</f>
        <v>1</v>
      </c>
      <c r="G1063" s="6" t="str">
        <f>IFERROR(__xludf.DUMMYFUNCTION("""COMPUTED_VALUE"""),"Pieces")</f>
        <v>Pieces</v>
      </c>
      <c r="H1063" s="6" t="str">
        <f>IFERROR(__xludf.DUMMYFUNCTION("""COMPUTED_VALUE"""),"IDR")</f>
        <v>IDR</v>
      </c>
      <c r="I1063" s="6">
        <f>IFERROR(__xludf.DUMMYFUNCTION("""COMPUTED_VALUE"""),250000.0)</f>
        <v>250000</v>
      </c>
      <c r="J1063" s="6">
        <f>IFERROR(__xludf.DUMMYFUNCTION("""COMPUTED_VALUE"""),250000.0)</f>
        <v>250000</v>
      </c>
      <c r="K1063" s="57">
        <f>IFERROR(__xludf.DUMMYFUNCTION("""COMPUTED_VALUE"""),43917.0)</f>
        <v>43917</v>
      </c>
      <c r="L1063" s="6" t="str">
        <f>IFERROR(__xludf.DUMMYFUNCTION("""COMPUTED_VALUE"""),"FIP Engineering")</f>
        <v>FIP Engineering</v>
      </c>
      <c r="M1063" s="6" t="str">
        <f>IFERROR(__xludf.DUMMYFUNCTION("""COMPUTED_VALUE"""),"Irwan Sopian")</f>
        <v>Irwan Sopian</v>
      </c>
      <c r="N1063" s="6" t="str">
        <f>IFERROR(__xludf.DUMMYFUNCTION("""COMPUTED_VALUE"""),"FIP Engineering")</f>
        <v>FIP Engineering</v>
      </c>
      <c r="O1063" s="6" t="str">
        <f>IFERROR(__xludf.DUMMYFUNCTION("""COMPUTED_VALUE"""),"FIP-DOM-000-11304-OS00001-INA-000000")</f>
        <v>FIP-DOM-000-11304-OS00001-INA-000000</v>
      </c>
      <c r="P1063" s="6" t="str">
        <f>IFERROR(__xludf.DUMMYFUNCTION("""COMPUTED_VALUE"""),"PO Closed")</f>
        <v>PO Closed</v>
      </c>
      <c r="Q1063" s="6" t="str">
        <f>IFERROR(__xludf.DUMMYFUNCTION("""COMPUTED_VALUE"""),"GL2003045")</f>
        <v>GL2003045</v>
      </c>
      <c r="R1063" s="57">
        <f>IFERROR(__xludf.DUMMYFUNCTION("""COMPUTED_VALUE"""),43892.0)</f>
        <v>43892</v>
      </c>
      <c r="S1063" s="6" t="str">
        <f>IFERROR(__xludf.DUMMYFUNCTION("""COMPUTED_VALUE"""),"-")</f>
        <v>-</v>
      </c>
      <c r="T1063" s="57">
        <f>IFERROR(__xludf.DUMMYFUNCTION("""COMPUTED_VALUE"""),43924.0)</f>
        <v>43924</v>
      </c>
    </row>
    <row r="1064">
      <c r="A1064" s="6" t="str">
        <f>IFERROR(__xludf.DUMMYFUNCTION("""COMPUTED_VALUE"""),"201750083-2")</f>
        <v>201750083-2</v>
      </c>
      <c r="B1064" s="6" t="str">
        <f>IFERROR(__xludf.DUMMYFUNCTION("""COMPUTED_VALUE"""),"201750083 - Approved")</f>
        <v>201750083 - Approved</v>
      </c>
      <c r="C1064" s="6">
        <f>IFERROR(__xludf.DUMMYFUNCTION("""COMPUTED_VALUE"""),2.0)</f>
        <v>2</v>
      </c>
      <c r="D1064" s="6" t="str">
        <f>IFERROR(__xludf.DUMMYFUNCTION("""COMPUTED_VALUE"""),"P-51311-00")</f>
        <v>P-51311-00</v>
      </c>
      <c r="E1064" s="6" t="str">
        <f>IFERROR(__xludf.DUMMYFUNCTION("""COMPUTED_VALUE"""),"Travo 5A Out : 12,18,24,32 VAC")</f>
        <v>Travo 5A Out : 12,18,24,32 VAC</v>
      </c>
      <c r="F1064" s="6">
        <f>IFERROR(__xludf.DUMMYFUNCTION("""COMPUTED_VALUE"""),2.0)</f>
        <v>2</v>
      </c>
      <c r="G1064" s="6" t="str">
        <f>IFERROR(__xludf.DUMMYFUNCTION("""COMPUTED_VALUE"""),"Pieces")</f>
        <v>Pieces</v>
      </c>
      <c r="H1064" s="6" t="str">
        <f>IFERROR(__xludf.DUMMYFUNCTION("""COMPUTED_VALUE"""),"IDR")</f>
        <v>IDR</v>
      </c>
      <c r="I1064" s="6">
        <f>IFERROR(__xludf.DUMMYFUNCTION("""COMPUTED_VALUE"""),225000.0)</f>
        <v>225000</v>
      </c>
      <c r="J1064" s="6">
        <f>IFERROR(__xludf.DUMMYFUNCTION("""COMPUTED_VALUE"""),450000.0)</f>
        <v>450000</v>
      </c>
      <c r="K1064" s="57">
        <f>IFERROR(__xludf.DUMMYFUNCTION("""COMPUTED_VALUE"""),43917.0)</f>
        <v>43917</v>
      </c>
      <c r="L1064" s="6" t="str">
        <f>IFERROR(__xludf.DUMMYFUNCTION("""COMPUTED_VALUE"""),"FIP Engineering")</f>
        <v>FIP Engineering</v>
      </c>
      <c r="M1064" s="6" t="str">
        <f>IFERROR(__xludf.DUMMYFUNCTION("""COMPUTED_VALUE"""),"Irwan Sopian")</f>
        <v>Irwan Sopian</v>
      </c>
      <c r="N1064" s="6" t="str">
        <f>IFERROR(__xludf.DUMMYFUNCTION("""COMPUTED_VALUE"""),"FIP Engineering")</f>
        <v>FIP Engineering</v>
      </c>
      <c r="O1064" s="6" t="str">
        <f>IFERROR(__xludf.DUMMYFUNCTION("""COMPUTED_VALUE"""),"FIP-DOM-000-11304-OS00001-INA-000000")</f>
        <v>FIP-DOM-000-11304-OS00001-INA-000000</v>
      </c>
      <c r="P1064" s="6" t="str">
        <f>IFERROR(__xludf.DUMMYFUNCTION("""COMPUTED_VALUE"""),"PO Closed")</f>
        <v>PO Closed</v>
      </c>
      <c r="Q1064" s="6" t="str">
        <f>IFERROR(__xludf.DUMMYFUNCTION("""COMPUTED_VALUE"""),"GL2003045")</f>
        <v>GL2003045</v>
      </c>
      <c r="R1064" s="57">
        <f>IFERROR(__xludf.DUMMYFUNCTION("""COMPUTED_VALUE"""),43892.0)</f>
        <v>43892</v>
      </c>
      <c r="S1064" s="6" t="str">
        <f>IFERROR(__xludf.DUMMYFUNCTION("""COMPUTED_VALUE"""),"-")</f>
        <v>-</v>
      </c>
      <c r="T1064" s="57">
        <f>IFERROR(__xludf.DUMMYFUNCTION("""COMPUTED_VALUE"""),43924.0)</f>
        <v>43924</v>
      </c>
    </row>
    <row r="1065">
      <c r="A1065" s="6" t="str">
        <f>IFERROR(__xludf.DUMMYFUNCTION("""COMPUTED_VALUE"""),"201750091-1")</f>
        <v>201750091-1</v>
      </c>
      <c r="B1065" s="6" t="str">
        <f>IFERROR(__xludf.DUMMYFUNCTION("""COMPUTED_VALUE"""),"201750091 - Approved")</f>
        <v>201750091 - Approved</v>
      </c>
      <c r="C1065" s="6">
        <f>IFERROR(__xludf.DUMMYFUNCTION("""COMPUTED_VALUE"""),1.0)</f>
        <v>1</v>
      </c>
      <c r="D1065" s="6" t="str">
        <f>IFERROR(__xludf.DUMMYFUNCTION("""COMPUTED_VALUE"""),"P-53173-00")</f>
        <v>P-53173-00</v>
      </c>
      <c r="E1065" s="6" t="str">
        <f>IFERROR(__xludf.DUMMYFUNCTION("""COMPUTED_VALUE"""),"Ballast Electronic EB-C 214 TL5, 2x14W; Phillips; ;")</f>
        <v>Ballast Electronic EB-C 214 TL5, 2x14W; Phillips; ;</v>
      </c>
      <c r="F1065" s="6">
        <f>IFERROR(__xludf.DUMMYFUNCTION("""COMPUTED_VALUE"""),10.0)</f>
        <v>10</v>
      </c>
      <c r="G1065" s="6" t="str">
        <f>IFERROR(__xludf.DUMMYFUNCTION("""COMPUTED_VALUE"""),"Pieces")</f>
        <v>Pieces</v>
      </c>
      <c r="H1065" s="6" t="str">
        <f>IFERROR(__xludf.DUMMYFUNCTION("""COMPUTED_VALUE"""),"IDR")</f>
        <v>IDR</v>
      </c>
      <c r="I1065" s="6">
        <f>IFERROR(__xludf.DUMMYFUNCTION("""COMPUTED_VALUE"""),115000.0)</f>
        <v>115000</v>
      </c>
      <c r="J1065" s="6">
        <f>IFERROR(__xludf.DUMMYFUNCTION("""COMPUTED_VALUE"""),1150000.0)</f>
        <v>1150000</v>
      </c>
      <c r="K1065" s="57">
        <f>IFERROR(__xludf.DUMMYFUNCTION("""COMPUTED_VALUE"""),43917.0)</f>
        <v>43917</v>
      </c>
      <c r="L1065" s="6" t="str">
        <f>IFERROR(__xludf.DUMMYFUNCTION("""COMPUTED_VALUE"""),"FIP Engineering")</f>
        <v>FIP Engineering</v>
      </c>
      <c r="M1065" s="6" t="str">
        <f>IFERROR(__xludf.DUMMYFUNCTION("""COMPUTED_VALUE"""),"Irwan Sopian")</f>
        <v>Irwan Sopian</v>
      </c>
      <c r="N1065" s="6" t="str">
        <f>IFERROR(__xludf.DUMMYFUNCTION("""COMPUTED_VALUE"""),"FIP Engineering")</f>
        <v>FIP Engineering</v>
      </c>
      <c r="O1065" s="6" t="str">
        <f>IFERROR(__xludf.DUMMYFUNCTION("""COMPUTED_VALUE"""),"FIP-DOM-000-11304-OS00001-INA-000000")</f>
        <v>FIP-DOM-000-11304-OS00001-INA-000000</v>
      </c>
      <c r="P1065" s="6" t="str">
        <f>IFERROR(__xludf.DUMMYFUNCTION("""COMPUTED_VALUE"""),"PO Closed")</f>
        <v>PO Closed</v>
      </c>
      <c r="Q1065" s="6" t="str">
        <f>IFERROR(__xludf.DUMMYFUNCTION("""COMPUTED_VALUE"""),"GL2003046")</f>
        <v>GL2003046</v>
      </c>
      <c r="R1065" s="57">
        <f>IFERROR(__xludf.DUMMYFUNCTION("""COMPUTED_VALUE"""),43893.0)</f>
        <v>43893</v>
      </c>
      <c r="S1065" s="6" t="str">
        <f>IFERROR(__xludf.DUMMYFUNCTION("""COMPUTED_VALUE"""),"-")</f>
        <v>-</v>
      </c>
      <c r="T1065" s="57">
        <f>IFERROR(__xludf.DUMMYFUNCTION("""COMPUTED_VALUE"""),43924.0)</f>
        <v>43924</v>
      </c>
    </row>
    <row r="1066">
      <c r="A1066" s="6" t="str">
        <f>IFERROR(__xludf.DUMMYFUNCTION("""COMPUTED_VALUE"""),"201750091-2")</f>
        <v>201750091-2</v>
      </c>
      <c r="B1066" s="6" t="str">
        <f>IFERROR(__xludf.DUMMYFUNCTION("""COMPUTED_VALUE"""),"201750091 - Approved")</f>
        <v>201750091 - Approved</v>
      </c>
      <c r="C1066" s="6">
        <f>IFERROR(__xludf.DUMMYFUNCTION("""COMPUTED_VALUE"""),2.0)</f>
        <v>2</v>
      </c>
      <c r="D1066" s="6" t="str">
        <f>IFERROR(__xludf.DUMMYFUNCTION("""COMPUTED_VALUE"""),"P-53169-00")</f>
        <v>P-53169-00</v>
      </c>
      <c r="E1066" s="6" t="str">
        <f>IFERROR(__xludf.DUMMYFUNCTION("""COMPUTED_VALUE"""),"Ballast Electronic EB-C 228 TL5, 2x28W; Phillips; ;")</f>
        <v>Ballast Electronic EB-C 228 TL5, 2x28W; Phillips; ;</v>
      </c>
      <c r="F1066" s="6">
        <f>IFERROR(__xludf.DUMMYFUNCTION("""COMPUTED_VALUE"""),10.0)</f>
        <v>10</v>
      </c>
      <c r="G1066" s="6" t="str">
        <f>IFERROR(__xludf.DUMMYFUNCTION("""COMPUTED_VALUE"""),"Pieces")</f>
        <v>Pieces</v>
      </c>
      <c r="H1066" s="6" t="str">
        <f>IFERROR(__xludf.DUMMYFUNCTION("""COMPUTED_VALUE"""),"IDR")</f>
        <v>IDR</v>
      </c>
      <c r="I1066" s="6">
        <f>IFERROR(__xludf.DUMMYFUNCTION("""COMPUTED_VALUE"""),115000.0)</f>
        <v>115000</v>
      </c>
      <c r="J1066" s="6">
        <f>IFERROR(__xludf.DUMMYFUNCTION("""COMPUTED_VALUE"""),1150000.0)</f>
        <v>1150000</v>
      </c>
      <c r="K1066" s="57">
        <f>IFERROR(__xludf.DUMMYFUNCTION("""COMPUTED_VALUE"""),43917.0)</f>
        <v>43917</v>
      </c>
      <c r="L1066" s="6" t="str">
        <f>IFERROR(__xludf.DUMMYFUNCTION("""COMPUTED_VALUE"""),"FIP Engineering")</f>
        <v>FIP Engineering</v>
      </c>
      <c r="M1066" s="6" t="str">
        <f>IFERROR(__xludf.DUMMYFUNCTION("""COMPUTED_VALUE"""),"Irwan Sopian")</f>
        <v>Irwan Sopian</v>
      </c>
      <c r="N1066" s="6" t="str">
        <f>IFERROR(__xludf.DUMMYFUNCTION("""COMPUTED_VALUE"""),"FIP Engineering")</f>
        <v>FIP Engineering</v>
      </c>
      <c r="O1066" s="6" t="str">
        <f>IFERROR(__xludf.DUMMYFUNCTION("""COMPUTED_VALUE"""),"FIP-DOM-000-11304-OS00001-INA-000000")</f>
        <v>FIP-DOM-000-11304-OS00001-INA-000000</v>
      </c>
      <c r="P1066" s="6" t="str">
        <f>IFERROR(__xludf.DUMMYFUNCTION("""COMPUTED_VALUE"""),"PO Closed")</f>
        <v>PO Closed</v>
      </c>
      <c r="Q1066" s="6" t="str">
        <f>IFERROR(__xludf.DUMMYFUNCTION("""COMPUTED_VALUE"""),"GL2003046")</f>
        <v>GL2003046</v>
      </c>
      <c r="R1066" s="57">
        <f>IFERROR(__xludf.DUMMYFUNCTION("""COMPUTED_VALUE"""),43893.0)</f>
        <v>43893</v>
      </c>
      <c r="S1066" s="6" t="str">
        <f>IFERROR(__xludf.DUMMYFUNCTION("""COMPUTED_VALUE"""),"-")</f>
        <v>-</v>
      </c>
      <c r="T1066" s="57">
        <f>IFERROR(__xludf.DUMMYFUNCTION("""COMPUTED_VALUE"""),43924.0)</f>
        <v>43924</v>
      </c>
    </row>
    <row r="1067">
      <c r="A1067" s="6" t="str">
        <f>IFERROR(__xludf.DUMMYFUNCTION("""COMPUTED_VALUE"""),"201750091-3")</f>
        <v>201750091-3</v>
      </c>
      <c r="B1067" s="6" t="str">
        <f>IFERROR(__xludf.DUMMYFUNCTION("""COMPUTED_VALUE"""),"201750091 - Approved")</f>
        <v>201750091 - Approved</v>
      </c>
      <c r="C1067" s="6">
        <f>IFERROR(__xludf.DUMMYFUNCTION("""COMPUTED_VALUE"""),3.0)</f>
        <v>3</v>
      </c>
      <c r="D1067" s="6" t="str">
        <f>IFERROR(__xludf.DUMMYFUNCTION("""COMPUTED_VALUE"""),"Q-10128-00")</f>
        <v>Q-10128-00</v>
      </c>
      <c r="E1067" s="6" t="str">
        <f>IFERROR(__xludf.DUMMYFUNCTION("""COMPUTED_VALUE"""),"Thinner Super End/Impala")</f>
        <v>Thinner Super End/Impala</v>
      </c>
      <c r="F1067" s="6">
        <f>IFERROR(__xludf.DUMMYFUNCTION("""COMPUTED_VALUE"""),5.0)</f>
        <v>5</v>
      </c>
      <c r="G1067" s="6" t="str">
        <f>IFERROR(__xludf.DUMMYFUNCTION("""COMPUTED_VALUE"""),"Pieces")</f>
        <v>Pieces</v>
      </c>
      <c r="H1067" s="6" t="str">
        <f>IFERROR(__xludf.DUMMYFUNCTION("""COMPUTED_VALUE"""),"IDR")</f>
        <v>IDR</v>
      </c>
      <c r="I1067" s="6">
        <f>IFERROR(__xludf.DUMMYFUNCTION("""COMPUTED_VALUE"""),29500.0)</f>
        <v>29500</v>
      </c>
      <c r="J1067" s="6">
        <f>IFERROR(__xludf.DUMMYFUNCTION("""COMPUTED_VALUE"""),147500.0)</f>
        <v>147500</v>
      </c>
      <c r="K1067" s="57">
        <f>IFERROR(__xludf.DUMMYFUNCTION("""COMPUTED_VALUE"""),43917.0)</f>
        <v>43917</v>
      </c>
      <c r="L1067" s="6" t="str">
        <f>IFERROR(__xludf.DUMMYFUNCTION("""COMPUTED_VALUE"""),"FIP Engineering")</f>
        <v>FIP Engineering</v>
      </c>
      <c r="M1067" s="6" t="str">
        <f>IFERROR(__xludf.DUMMYFUNCTION("""COMPUTED_VALUE"""),"Irwan Sopian")</f>
        <v>Irwan Sopian</v>
      </c>
      <c r="N1067" s="6" t="str">
        <f>IFERROR(__xludf.DUMMYFUNCTION("""COMPUTED_VALUE"""),"FIP Engineering")</f>
        <v>FIP Engineering</v>
      </c>
      <c r="O1067" s="6" t="str">
        <f>IFERROR(__xludf.DUMMYFUNCTION("""COMPUTED_VALUE"""),"FIP-DOM-000-11304-OS00001-INA-000000")</f>
        <v>FIP-DOM-000-11304-OS00001-INA-000000</v>
      </c>
      <c r="P1067" s="6" t="str">
        <f>IFERROR(__xludf.DUMMYFUNCTION("""COMPUTED_VALUE"""),"PO Closed")</f>
        <v>PO Closed</v>
      </c>
      <c r="Q1067" s="6" t="str">
        <f>IFERROR(__xludf.DUMMYFUNCTION("""COMPUTED_VALUE"""),"GL2003046")</f>
        <v>GL2003046</v>
      </c>
      <c r="R1067" s="57">
        <f>IFERROR(__xludf.DUMMYFUNCTION("""COMPUTED_VALUE"""),43893.0)</f>
        <v>43893</v>
      </c>
      <c r="S1067" s="6" t="str">
        <f>IFERROR(__xludf.DUMMYFUNCTION("""COMPUTED_VALUE"""),"-")</f>
        <v>-</v>
      </c>
      <c r="T1067" s="57">
        <f>IFERROR(__xludf.DUMMYFUNCTION("""COMPUTED_VALUE"""),43924.0)</f>
        <v>43924</v>
      </c>
    </row>
    <row r="1068">
      <c r="A1068" s="6" t="str">
        <f>IFERROR(__xludf.DUMMYFUNCTION("""COMPUTED_VALUE"""),"201750091-4")</f>
        <v>201750091-4</v>
      </c>
      <c r="B1068" s="6" t="str">
        <f>IFERROR(__xludf.DUMMYFUNCTION("""COMPUTED_VALUE"""),"201750091 - Approved")</f>
        <v>201750091 - Approved</v>
      </c>
      <c r="C1068" s="6">
        <f>IFERROR(__xludf.DUMMYFUNCTION("""COMPUTED_VALUE"""),4.0)</f>
        <v>4</v>
      </c>
      <c r="D1068" s="6" t="str">
        <f>IFERROR(__xludf.DUMMYFUNCTION("""COMPUTED_VALUE"""),"Q-60026-00")</f>
        <v>Q-60026-00</v>
      </c>
      <c r="E1068" s="6" t="str">
        <f>IFERROR(__xludf.DUMMYFUNCTION("""COMPUTED_VALUE"""),"Kuas Eterna 2""")</f>
        <v>Kuas Eterna 2"</v>
      </c>
      <c r="F1068" s="6">
        <f>IFERROR(__xludf.DUMMYFUNCTION("""COMPUTED_VALUE"""),10.0)</f>
        <v>10</v>
      </c>
      <c r="G1068" s="6" t="str">
        <f>IFERROR(__xludf.DUMMYFUNCTION("""COMPUTED_VALUE"""),"Pieces")</f>
        <v>Pieces</v>
      </c>
      <c r="H1068" s="6" t="str">
        <f>IFERROR(__xludf.DUMMYFUNCTION("""COMPUTED_VALUE"""),"IDR")</f>
        <v>IDR</v>
      </c>
      <c r="I1068" s="6">
        <f>IFERROR(__xludf.DUMMYFUNCTION("""COMPUTED_VALUE"""),4050.0)</f>
        <v>4050</v>
      </c>
      <c r="J1068" s="6">
        <f>IFERROR(__xludf.DUMMYFUNCTION("""COMPUTED_VALUE"""),40500.0)</f>
        <v>40500</v>
      </c>
      <c r="K1068" s="57">
        <f>IFERROR(__xludf.DUMMYFUNCTION("""COMPUTED_VALUE"""),43917.0)</f>
        <v>43917</v>
      </c>
      <c r="L1068" s="6" t="str">
        <f>IFERROR(__xludf.DUMMYFUNCTION("""COMPUTED_VALUE"""),"FIP General")</f>
        <v>FIP General</v>
      </c>
      <c r="M1068" s="6" t="str">
        <f>IFERROR(__xludf.DUMMYFUNCTION("""COMPUTED_VALUE"""),"Irwan Sopian")</f>
        <v>Irwan Sopian</v>
      </c>
      <c r="N1068" s="6" t="str">
        <f>IFERROR(__xludf.DUMMYFUNCTION("""COMPUTED_VALUE"""),"FIP Engineering")</f>
        <v>FIP Engineering</v>
      </c>
      <c r="O1068" s="6" t="str">
        <f>IFERROR(__xludf.DUMMYFUNCTION("""COMPUTED_VALUE"""),"FIP-DOM-ENG-51404-0000000-INA-000000")</f>
        <v>FIP-DOM-ENG-51404-0000000-INA-000000</v>
      </c>
      <c r="P1068" s="6" t="str">
        <f>IFERROR(__xludf.DUMMYFUNCTION("""COMPUTED_VALUE"""),"PO Closed")</f>
        <v>PO Closed</v>
      </c>
      <c r="Q1068" s="6" t="str">
        <f>IFERROR(__xludf.DUMMYFUNCTION("""COMPUTED_VALUE"""),"GL2003046")</f>
        <v>GL2003046</v>
      </c>
      <c r="R1068" s="57">
        <f>IFERROR(__xludf.DUMMYFUNCTION("""COMPUTED_VALUE"""),43893.0)</f>
        <v>43893</v>
      </c>
      <c r="S1068" s="6" t="str">
        <f>IFERROR(__xludf.DUMMYFUNCTION("""COMPUTED_VALUE"""),"-")</f>
        <v>-</v>
      </c>
      <c r="T1068" s="57">
        <f>IFERROR(__xludf.DUMMYFUNCTION("""COMPUTED_VALUE"""),43924.0)</f>
        <v>43924</v>
      </c>
    </row>
    <row r="1069">
      <c r="A1069" s="6" t="str">
        <f>IFERROR(__xludf.DUMMYFUNCTION("""COMPUTED_VALUE"""),"201750091-5")</f>
        <v>201750091-5</v>
      </c>
      <c r="B1069" s="6" t="str">
        <f>IFERROR(__xludf.DUMMYFUNCTION("""COMPUTED_VALUE"""),"201750091 - Approved")</f>
        <v>201750091 - Approved</v>
      </c>
      <c r="C1069" s="6">
        <f>IFERROR(__xludf.DUMMYFUNCTION("""COMPUTED_VALUE"""),5.0)</f>
        <v>5</v>
      </c>
      <c r="D1069" s="6" t="str">
        <f>IFERROR(__xludf.DUMMYFUNCTION("""COMPUTED_VALUE"""),"Q-10153-00")</f>
        <v>Q-10153-00</v>
      </c>
      <c r="E1069" s="6" t="str">
        <f>IFERROR(__xludf.DUMMYFUNCTION("""COMPUTED_VALUE"""),"Roller cat 110mm")</f>
        <v>Roller cat 110mm</v>
      </c>
      <c r="F1069" s="6">
        <f>IFERROR(__xludf.DUMMYFUNCTION("""COMPUTED_VALUE"""),10.0)</f>
        <v>10</v>
      </c>
      <c r="G1069" s="6" t="str">
        <f>IFERROR(__xludf.DUMMYFUNCTION("""COMPUTED_VALUE"""),"Pieces")</f>
        <v>Pieces</v>
      </c>
      <c r="H1069" s="6" t="str">
        <f>IFERROR(__xludf.DUMMYFUNCTION("""COMPUTED_VALUE"""),"IDR")</f>
        <v>IDR</v>
      </c>
      <c r="I1069" s="6">
        <f>IFERROR(__xludf.DUMMYFUNCTION("""COMPUTED_VALUE"""),3000.0)</f>
        <v>3000</v>
      </c>
      <c r="J1069" s="6">
        <f>IFERROR(__xludf.DUMMYFUNCTION("""COMPUTED_VALUE"""),30000.0)</f>
        <v>30000</v>
      </c>
      <c r="K1069" s="57">
        <f>IFERROR(__xludf.DUMMYFUNCTION("""COMPUTED_VALUE"""),43917.0)</f>
        <v>43917</v>
      </c>
      <c r="L1069" s="6" t="str">
        <f>IFERROR(__xludf.DUMMYFUNCTION("""COMPUTED_VALUE"""),"FIP Engineering")</f>
        <v>FIP Engineering</v>
      </c>
      <c r="M1069" s="6" t="str">
        <f>IFERROR(__xludf.DUMMYFUNCTION("""COMPUTED_VALUE"""),"Irwan Sopian")</f>
        <v>Irwan Sopian</v>
      </c>
      <c r="N1069" s="6" t="str">
        <f>IFERROR(__xludf.DUMMYFUNCTION("""COMPUTED_VALUE"""),"FIP Engineering")</f>
        <v>FIP Engineering</v>
      </c>
      <c r="O1069" s="6" t="str">
        <f>IFERROR(__xludf.DUMMYFUNCTION("""COMPUTED_VALUE"""),"FIP-DOM-000-11304-OS00001-INA-000000")</f>
        <v>FIP-DOM-000-11304-OS00001-INA-000000</v>
      </c>
      <c r="P1069" s="6" t="str">
        <f>IFERROR(__xludf.DUMMYFUNCTION("""COMPUTED_VALUE"""),"PO Closed")</f>
        <v>PO Closed</v>
      </c>
      <c r="Q1069" s="6" t="str">
        <f>IFERROR(__xludf.DUMMYFUNCTION("""COMPUTED_VALUE"""),"GL2003046")</f>
        <v>GL2003046</v>
      </c>
      <c r="R1069" s="57">
        <f>IFERROR(__xludf.DUMMYFUNCTION("""COMPUTED_VALUE"""),43893.0)</f>
        <v>43893</v>
      </c>
      <c r="S1069" s="6" t="str">
        <f>IFERROR(__xludf.DUMMYFUNCTION("""COMPUTED_VALUE"""),"-")</f>
        <v>-</v>
      </c>
      <c r="T1069" s="57">
        <f>IFERROR(__xludf.DUMMYFUNCTION("""COMPUTED_VALUE"""),43924.0)</f>
        <v>43924</v>
      </c>
    </row>
    <row r="1070">
      <c r="A1070" s="6" t="str">
        <f>IFERROR(__xludf.DUMMYFUNCTION("""COMPUTED_VALUE"""),"201750083-3")</f>
        <v>201750083-3</v>
      </c>
      <c r="B1070" s="6" t="str">
        <f>IFERROR(__xludf.DUMMYFUNCTION("""COMPUTED_VALUE"""),"201750083 - Approved")</f>
        <v>201750083 - Approved</v>
      </c>
      <c r="C1070" s="6">
        <f>IFERROR(__xludf.DUMMYFUNCTION("""COMPUTED_VALUE"""),3.0)</f>
        <v>3</v>
      </c>
      <c r="D1070" s="6" t="str">
        <f>IFERROR(__xludf.DUMMYFUNCTION("""COMPUTED_VALUE"""),"O-51687-00")</f>
        <v>O-51687-00</v>
      </c>
      <c r="E1070" s="6" t="str">
        <f>IFERROR(__xludf.DUMMYFUNCTION("""COMPUTED_VALUE"""),"Relay OMRON G2A-432A-N DC + socket Omron")</f>
        <v>Relay OMRON G2A-432A-N DC + socket Omron</v>
      </c>
      <c r="F1070" s="6">
        <f>IFERROR(__xludf.DUMMYFUNCTION("""COMPUTED_VALUE"""),2.0)</f>
        <v>2</v>
      </c>
      <c r="G1070" s="6" t="str">
        <f>IFERROR(__xludf.DUMMYFUNCTION("""COMPUTED_VALUE"""),"Set")</f>
        <v>Set</v>
      </c>
      <c r="H1070" s="6" t="str">
        <f>IFERROR(__xludf.DUMMYFUNCTION("""COMPUTED_VALUE"""),"IDR")</f>
        <v>IDR</v>
      </c>
      <c r="I1070" s="6">
        <f>IFERROR(__xludf.DUMMYFUNCTION("""COMPUTED_VALUE"""),360000.0)</f>
        <v>360000</v>
      </c>
      <c r="J1070" s="6">
        <f>IFERROR(__xludf.DUMMYFUNCTION("""COMPUTED_VALUE"""),720000.0)</f>
        <v>720000</v>
      </c>
      <c r="K1070" s="57">
        <f>IFERROR(__xludf.DUMMYFUNCTION("""COMPUTED_VALUE"""),43917.0)</f>
        <v>43917</v>
      </c>
      <c r="L1070" s="6" t="str">
        <f>IFERROR(__xludf.DUMMYFUNCTION("""COMPUTED_VALUE"""),"FIP Engineering")</f>
        <v>FIP Engineering</v>
      </c>
      <c r="M1070" s="6" t="str">
        <f>IFERROR(__xludf.DUMMYFUNCTION("""COMPUTED_VALUE"""),"Irwan Sopian")</f>
        <v>Irwan Sopian</v>
      </c>
      <c r="N1070" s="6" t="str">
        <f>IFERROR(__xludf.DUMMYFUNCTION("""COMPUTED_VALUE"""),"FIP Engineering")</f>
        <v>FIP Engineering</v>
      </c>
      <c r="O1070" s="6" t="str">
        <f>IFERROR(__xludf.DUMMYFUNCTION("""COMPUTED_VALUE"""),"FIP-DOM-000-11304-OS00001-INA-000000")</f>
        <v>FIP-DOM-000-11304-OS00001-INA-000000</v>
      </c>
      <c r="P1070" s="6" t="str">
        <f>IFERROR(__xludf.DUMMYFUNCTION("""COMPUTED_VALUE"""),"PO Closed")</f>
        <v>PO Closed</v>
      </c>
      <c r="Q1070" s="6" t="str">
        <f>IFERROR(__xludf.DUMMYFUNCTION("""COMPUTED_VALUE"""),"GL2003045")</f>
        <v>GL2003045</v>
      </c>
      <c r="R1070" s="57">
        <f>IFERROR(__xludf.DUMMYFUNCTION("""COMPUTED_VALUE"""),43893.0)</f>
        <v>43893</v>
      </c>
      <c r="S1070" s="6" t="str">
        <f>IFERROR(__xludf.DUMMYFUNCTION("""COMPUTED_VALUE"""),"-")</f>
        <v>-</v>
      </c>
      <c r="T1070" s="57">
        <f>IFERROR(__xludf.DUMMYFUNCTION("""COMPUTED_VALUE"""),43924.0)</f>
        <v>43924</v>
      </c>
    </row>
    <row r="1071">
      <c r="A1071" s="6" t="str">
        <f>IFERROR(__xludf.DUMMYFUNCTION("""COMPUTED_VALUE"""),"201750095-1")</f>
        <v>201750095-1</v>
      </c>
      <c r="B1071" s="6" t="str">
        <f>IFERROR(__xludf.DUMMYFUNCTION("""COMPUTED_VALUE"""),"201750095 - Approved")</f>
        <v>201750095 - Approved</v>
      </c>
      <c r="C1071" s="6">
        <f>IFERROR(__xludf.DUMMYFUNCTION("""COMPUTED_VALUE"""),1.0)</f>
        <v>1</v>
      </c>
      <c r="D1071" s="6" t="str">
        <f>IFERROR(__xludf.DUMMYFUNCTION("""COMPUTED_VALUE"""),"P-50424-00")</f>
        <v>P-50424-00</v>
      </c>
      <c r="E1071" s="6" t="str">
        <f>IFERROR(__xludf.DUMMYFUNCTION("""COMPUTED_VALUE"""),"Photo Sensor WF2 - 40B410 Sensick")</f>
        <v>Photo Sensor WF2 - 40B410 Sensick</v>
      </c>
      <c r="F1071" s="6">
        <f>IFERROR(__xludf.DUMMYFUNCTION("""COMPUTED_VALUE"""),1.0)</f>
        <v>1</v>
      </c>
      <c r="G1071" s="6" t="str">
        <f>IFERROR(__xludf.DUMMYFUNCTION("""COMPUTED_VALUE"""),"Pieces")</f>
        <v>Pieces</v>
      </c>
      <c r="H1071" s="6" t="str">
        <f>IFERROR(__xludf.DUMMYFUNCTION("""COMPUTED_VALUE"""),"IDR")</f>
        <v>IDR</v>
      </c>
      <c r="I1071" s="6">
        <f>IFERROR(__xludf.DUMMYFUNCTION("""COMPUTED_VALUE"""),2340000.0)</f>
        <v>2340000</v>
      </c>
      <c r="J1071" s="6">
        <f>IFERROR(__xludf.DUMMYFUNCTION("""COMPUTED_VALUE"""),2340000.0)</f>
        <v>2340000</v>
      </c>
      <c r="K1071" s="57">
        <f>IFERROR(__xludf.DUMMYFUNCTION("""COMPUTED_VALUE"""),43921.0)</f>
        <v>43921</v>
      </c>
      <c r="L1071" s="6" t="str">
        <f>IFERROR(__xludf.DUMMYFUNCTION("""COMPUTED_VALUE"""),"FIP Engineering")</f>
        <v>FIP Engineering</v>
      </c>
      <c r="M1071" s="6" t="str">
        <f>IFERROR(__xludf.DUMMYFUNCTION("""COMPUTED_VALUE"""),"Irwan Sopian")</f>
        <v>Irwan Sopian</v>
      </c>
      <c r="N1071" s="6" t="str">
        <f>IFERROR(__xludf.DUMMYFUNCTION("""COMPUTED_VALUE"""),"FIP Engineering")</f>
        <v>FIP Engineering</v>
      </c>
      <c r="O1071" s="6" t="str">
        <f>IFERROR(__xludf.DUMMYFUNCTION("""COMPUTED_VALUE"""),"FIP-DOM-000-11304-OS00001-INA-000000")</f>
        <v>FIP-DOM-000-11304-OS00001-INA-000000</v>
      </c>
      <c r="P1071" s="6" t="str">
        <f>IFERROR(__xludf.DUMMYFUNCTION("""COMPUTED_VALUE"""),"PO Closed")</f>
        <v>PO Closed</v>
      </c>
      <c r="Q1071" s="6" t="str">
        <f>IFERROR(__xludf.DUMMYFUNCTION("""COMPUTED_VALUE"""),"GL2003036")</f>
        <v>GL2003036</v>
      </c>
      <c r="R1071" s="57">
        <f>IFERROR(__xludf.DUMMYFUNCTION("""COMPUTED_VALUE"""),43894.0)</f>
        <v>43894</v>
      </c>
      <c r="S1071" s="6" t="str">
        <f>IFERROR(__xludf.DUMMYFUNCTION("""COMPUTED_VALUE"""),"-")</f>
        <v>-</v>
      </c>
      <c r="T1071" s="57">
        <f>IFERROR(__xludf.DUMMYFUNCTION("""COMPUTED_VALUE"""),43903.0)</f>
        <v>43903</v>
      </c>
    </row>
    <row r="1072">
      <c r="A1072" s="6" t="str">
        <f>IFERROR(__xludf.DUMMYFUNCTION("""COMPUTED_VALUE"""),"201750091-6")</f>
        <v>201750091-6</v>
      </c>
      <c r="B1072" s="6" t="str">
        <f>IFERROR(__xludf.DUMMYFUNCTION("""COMPUTED_VALUE"""),"201750091 - Approved")</f>
        <v>201750091 - Approved</v>
      </c>
      <c r="C1072" s="6">
        <f>IFERROR(__xludf.DUMMYFUNCTION("""COMPUTED_VALUE"""),6.0)</f>
        <v>6</v>
      </c>
      <c r="D1072" s="6" t="str">
        <f>IFERROR(__xludf.DUMMYFUNCTION("""COMPUTED_VALUE"""),"P-12418-00")</f>
        <v>P-12418-00</v>
      </c>
      <c r="E1072" s="6" t="str">
        <f>IFERROR(__xludf.DUMMYFUNCTION("""COMPUTED_VALUE"""),"Hole saw u/ stainless stell dia 20 mm ex UNIKA")</f>
        <v>Hole saw u/ stainless stell dia 20 mm ex UNIKA</v>
      </c>
      <c r="F1072" s="6">
        <f>IFERROR(__xludf.DUMMYFUNCTION("""COMPUTED_VALUE"""),1.0)</f>
        <v>1</v>
      </c>
      <c r="G1072" s="6" t="str">
        <f>IFERROR(__xludf.DUMMYFUNCTION("""COMPUTED_VALUE"""),"Pieces")</f>
        <v>Pieces</v>
      </c>
      <c r="H1072" s="6" t="str">
        <f>IFERROR(__xludf.DUMMYFUNCTION("""COMPUTED_VALUE"""),"IDR")</f>
        <v>IDR</v>
      </c>
      <c r="I1072" s="6">
        <f>IFERROR(__xludf.DUMMYFUNCTION("""COMPUTED_VALUE"""),180000.0)</f>
        <v>180000</v>
      </c>
      <c r="J1072" s="6">
        <f>IFERROR(__xludf.DUMMYFUNCTION("""COMPUTED_VALUE"""),180000.0)</f>
        <v>180000</v>
      </c>
      <c r="K1072" s="57">
        <f>IFERROR(__xludf.DUMMYFUNCTION("""COMPUTED_VALUE"""),43917.0)</f>
        <v>43917</v>
      </c>
      <c r="L1072" s="6" t="str">
        <f>IFERROR(__xludf.DUMMYFUNCTION("""COMPUTED_VALUE"""),"FIP General")</f>
        <v>FIP General</v>
      </c>
      <c r="M1072" s="6" t="str">
        <f>IFERROR(__xludf.DUMMYFUNCTION("""COMPUTED_VALUE"""),"Irwan Sopian")</f>
        <v>Irwan Sopian</v>
      </c>
      <c r="N1072" s="6" t="str">
        <f>IFERROR(__xludf.DUMMYFUNCTION("""COMPUTED_VALUE"""),"FIP Engineering")</f>
        <v>FIP Engineering</v>
      </c>
      <c r="O1072" s="6" t="str">
        <f>IFERROR(__xludf.DUMMYFUNCTION("""COMPUTED_VALUE"""),"FIP-DOM-ENG-51504-0000000-INA-000000")</f>
        <v>FIP-DOM-ENG-51504-0000000-INA-000000</v>
      </c>
      <c r="P1072" s="6" t="str">
        <f>IFERROR(__xludf.DUMMYFUNCTION("""COMPUTED_VALUE"""),"PO Closed")</f>
        <v>PO Closed</v>
      </c>
      <c r="Q1072" s="6" t="str">
        <f>IFERROR(__xludf.DUMMYFUNCTION("""COMPUTED_VALUE"""),"GL2003046")</f>
        <v>GL2003046</v>
      </c>
      <c r="R1072" s="57">
        <f>IFERROR(__xludf.DUMMYFUNCTION("""COMPUTED_VALUE"""),43895.0)</f>
        <v>43895</v>
      </c>
      <c r="S1072" s="6" t="str">
        <f>IFERROR(__xludf.DUMMYFUNCTION("""COMPUTED_VALUE"""),"-")</f>
        <v>-</v>
      </c>
      <c r="T1072" s="57">
        <f>IFERROR(__xludf.DUMMYFUNCTION("""COMPUTED_VALUE"""),43924.0)</f>
        <v>43924</v>
      </c>
    </row>
    <row r="1073">
      <c r="A1073" s="6" t="str">
        <f>IFERROR(__xludf.DUMMYFUNCTION("""COMPUTED_VALUE"""),"201750091-7")</f>
        <v>201750091-7</v>
      </c>
      <c r="B1073" s="6" t="str">
        <f>IFERROR(__xludf.DUMMYFUNCTION("""COMPUTED_VALUE"""),"201750091 - Approved")</f>
        <v>201750091 - Approved</v>
      </c>
      <c r="C1073" s="6">
        <f>IFERROR(__xludf.DUMMYFUNCTION("""COMPUTED_VALUE"""),7.0)</f>
        <v>7</v>
      </c>
      <c r="D1073" s="6" t="str">
        <f>IFERROR(__xludf.DUMMYFUNCTION("""COMPUTED_VALUE"""),"P-10763-00")</f>
        <v>P-10763-00</v>
      </c>
      <c r="E1073" s="6" t="str">
        <f>IFERROR(__xludf.DUMMYFUNCTION("""COMPUTED_VALUE"""),"Ferrule 1"" SS 316L")</f>
        <v>Ferrule 1" SS 316L</v>
      </c>
      <c r="F1073" s="6">
        <f>IFERROR(__xludf.DUMMYFUNCTION("""COMPUTED_VALUE"""),1.0)</f>
        <v>1</v>
      </c>
      <c r="G1073" s="6" t="str">
        <f>IFERROR(__xludf.DUMMYFUNCTION("""COMPUTED_VALUE"""),"Pieces")</f>
        <v>Pieces</v>
      </c>
      <c r="H1073" s="6" t="str">
        <f>IFERROR(__xludf.DUMMYFUNCTION("""COMPUTED_VALUE"""),"IDR")</f>
        <v>IDR</v>
      </c>
      <c r="I1073" s="6">
        <f>IFERROR(__xludf.DUMMYFUNCTION("""COMPUTED_VALUE"""),230000.0)</f>
        <v>230000</v>
      </c>
      <c r="J1073" s="6">
        <f>IFERROR(__xludf.DUMMYFUNCTION("""COMPUTED_VALUE"""),230000.0)</f>
        <v>230000</v>
      </c>
      <c r="K1073" s="57">
        <f>IFERROR(__xludf.DUMMYFUNCTION("""COMPUTED_VALUE"""),43917.0)</f>
        <v>43917</v>
      </c>
      <c r="L1073" s="6" t="str">
        <f>IFERROR(__xludf.DUMMYFUNCTION("""COMPUTED_VALUE"""),"FIP Engineering")</f>
        <v>FIP Engineering</v>
      </c>
      <c r="M1073" s="6" t="str">
        <f>IFERROR(__xludf.DUMMYFUNCTION("""COMPUTED_VALUE"""),"Irwan Sopian")</f>
        <v>Irwan Sopian</v>
      </c>
      <c r="N1073" s="6" t="str">
        <f>IFERROR(__xludf.DUMMYFUNCTION("""COMPUTED_VALUE"""),"FIP Engineering")</f>
        <v>FIP Engineering</v>
      </c>
      <c r="O1073" s="6" t="str">
        <f>IFERROR(__xludf.DUMMYFUNCTION("""COMPUTED_VALUE"""),"FIP-DOM-000-11304-OS00001-INA-000000")</f>
        <v>FIP-DOM-000-11304-OS00001-INA-000000</v>
      </c>
      <c r="P1073" s="6" t="str">
        <f>IFERROR(__xludf.DUMMYFUNCTION("""COMPUTED_VALUE"""),"PO Closed")</f>
        <v>PO Closed</v>
      </c>
      <c r="Q1073" s="6" t="str">
        <f>IFERROR(__xludf.DUMMYFUNCTION("""COMPUTED_VALUE"""),"GL2003046")</f>
        <v>GL2003046</v>
      </c>
      <c r="R1073" s="57">
        <f>IFERROR(__xludf.DUMMYFUNCTION("""COMPUTED_VALUE"""),43895.0)</f>
        <v>43895</v>
      </c>
      <c r="S1073" s="6" t="str">
        <f>IFERROR(__xludf.DUMMYFUNCTION("""COMPUTED_VALUE"""),"-")</f>
        <v>-</v>
      </c>
      <c r="T1073" s="57">
        <f>IFERROR(__xludf.DUMMYFUNCTION("""COMPUTED_VALUE"""),43924.0)</f>
        <v>43924</v>
      </c>
    </row>
    <row r="1074">
      <c r="A1074" s="6" t="str">
        <f>IFERROR(__xludf.DUMMYFUNCTION("""COMPUTED_VALUE"""),"201750091-8")</f>
        <v>201750091-8</v>
      </c>
      <c r="B1074" s="6" t="str">
        <f>IFERROR(__xludf.DUMMYFUNCTION("""COMPUTED_VALUE"""),"201750091 - Approved")</f>
        <v>201750091 - Approved</v>
      </c>
      <c r="C1074" s="6">
        <f>IFERROR(__xludf.DUMMYFUNCTION("""COMPUTED_VALUE"""),8.0)</f>
        <v>8</v>
      </c>
      <c r="D1074" s="6" t="str">
        <f>IFERROR(__xludf.DUMMYFUNCTION("""COMPUTED_VALUE"""),"P-13725-00")</f>
        <v>P-13725-00</v>
      </c>
      <c r="E1074" s="6" t="str">
        <f>IFERROR(__xludf.DUMMYFUNCTION("""COMPUTED_VALUE"""),"Quick Coupler 1/2 inch Male")</f>
        <v>Quick Coupler 1/2 inch Male</v>
      </c>
      <c r="F1074" s="6">
        <f>IFERROR(__xludf.DUMMYFUNCTION("""COMPUTED_VALUE"""),2.0)</f>
        <v>2</v>
      </c>
      <c r="G1074" s="6" t="str">
        <f>IFERROR(__xludf.DUMMYFUNCTION("""COMPUTED_VALUE"""),"Pieces")</f>
        <v>Pieces</v>
      </c>
      <c r="H1074" s="6" t="str">
        <f>IFERROR(__xludf.DUMMYFUNCTION("""COMPUTED_VALUE"""),"IDR")</f>
        <v>IDR</v>
      </c>
      <c r="I1074" s="6">
        <f>IFERROR(__xludf.DUMMYFUNCTION("""COMPUTED_VALUE"""),100000.0)</f>
        <v>100000</v>
      </c>
      <c r="J1074" s="6">
        <f>IFERROR(__xludf.DUMMYFUNCTION("""COMPUTED_VALUE"""),200000.0)</f>
        <v>200000</v>
      </c>
      <c r="K1074" s="57">
        <f>IFERROR(__xludf.DUMMYFUNCTION("""COMPUTED_VALUE"""),43917.0)</f>
        <v>43917</v>
      </c>
      <c r="L1074" s="6" t="str">
        <f>IFERROR(__xludf.DUMMYFUNCTION("""COMPUTED_VALUE"""),"FIP Engineering")</f>
        <v>FIP Engineering</v>
      </c>
      <c r="M1074" s="6" t="str">
        <f>IFERROR(__xludf.DUMMYFUNCTION("""COMPUTED_VALUE"""),"Irwan Sopian")</f>
        <v>Irwan Sopian</v>
      </c>
      <c r="N1074" s="6" t="str">
        <f>IFERROR(__xludf.DUMMYFUNCTION("""COMPUTED_VALUE"""),"FIP Engineering")</f>
        <v>FIP Engineering</v>
      </c>
      <c r="O1074" s="6" t="str">
        <f>IFERROR(__xludf.DUMMYFUNCTION("""COMPUTED_VALUE"""),"FIP-DOM-000-11304-OS00001-INA-000000")</f>
        <v>FIP-DOM-000-11304-OS00001-INA-000000</v>
      </c>
      <c r="P1074" s="6" t="str">
        <f>IFERROR(__xludf.DUMMYFUNCTION("""COMPUTED_VALUE"""),"PO Closed")</f>
        <v>PO Closed</v>
      </c>
      <c r="Q1074" s="6" t="str">
        <f>IFERROR(__xludf.DUMMYFUNCTION("""COMPUTED_VALUE"""),"GL2003046")</f>
        <v>GL2003046</v>
      </c>
      <c r="R1074" s="57">
        <f>IFERROR(__xludf.DUMMYFUNCTION("""COMPUTED_VALUE"""),43895.0)</f>
        <v>43895</v>
      </c>
      <c r="S1074" s="6" t="str">
        <f>IFERROR(__xludf.DUMMYFUNCTION("""COMPUTED_VALUE"""),"-")</f>
        <v>-</v>
      </c>
      <c r="T1074" s="57">
        <f>IFERROR(__xludf.DUMMYFUNCTION("""COMPUTED_VALUE"""),43924.0)</f>
        <v>43924</v>
      </c>
    </row>
    <row r="1075">
      <c r="A1075" s="6" t="str">
        <f>IFERROR(__xludf.DUMMYFUNCTION("""COMPUTED_VALUE"""),"201750104-1")</f>
        <v>201750104-1</v>
      </c>
      <c r="B1075" s="6" t="str">
        <f>IFERROR(__xludf.DUMMYFUNCTION("""COMPUTED_VALUE"""),"201750104 - Approved")</f>
        <v>201750104 - Approved</v>
      </c>
      <c r="C1075" s="6">
        <f>IFERROR(__xludf.DUMMYFUNCTION("""COMPUTED_VALUE"""),1.0)</f>
        <v>1</v>
      </c>
      <c r="D1075" s="6" t="str">
        <f>IFERROR(__xludf.DUMMYFUNCTION("""COMPUTED_VALUE"""),"Q-10410-00")</f>
        <v>Q-10410-00</v>
      </c>
      <c r="E1075" s="6" t="str">
        <f>IFERROR(__xludf.DUMMYFUNCTION("""COMPUTED_VALUE"""),"Roll Epoxy dia. 9")</f>
        <v>Roll Epoxy dia. 9</v>
      </c>
      <c r="F1075" s="6">
        <f>IFERROR(__xludf.DUMMYFUNCTION("""COMPUTED_VALUE"""),1.0)</f>
        <v>1</v>
      </c>
      <c r="G1075" s="6" t="str">
        <f>IFERROR(__xludf.DUMMYFUNCTION("""COMPUTED_VALUE"""),"Pieces")</f>
        <v>Pieces</v>
      </c>
      <c r="H1075" s="6" t="str">
        <f>IFERROR(__xludf.DUMMYFUNCTION("""COMPUTED_VALUE"""),"IDR")</f>
        <v>IDR</v>
      </c>
      <c r="I1075" s="6">
        <f>IFERROR(__xludf.DUMMYFUNCTION("""COMPUTED_VALUE"""),375000.0)</f>
        <v>375000</v>
      </c>
      <c r="J1075" s="6">
        <f>IFERROR(__xludf.DUMMYFUNCTION("""COMPUTED_VALUE"""),375000.0)</f>
        <v>375000</v>
      </c>
      <c r="K1075" s="57">
        <f>IFERROR(__xludf.DUMMYFUNCTION("""COMPUTED_VALUE"""),43931.0)</f>
        <v>43931</v>
      </c>
      <c r="L1075" s="6" t="str">
        <f>IFERROR(__xludf.DUMMYFUNCTION("""COMPUTED_VALUE"""),"FIP General")</f>
        <v>FIP General</v>
      </c>
      <c r="M1075" s="6" t="str">
        <f>IFERROR(__xludf.DUMMYFUNCTION("""COMPUTED_VALUE"""),"Irwan Sopian")</f>
        <v>Irwan Sopian</v>
      </c>
      <c r="N1075" s="6" t="str">
        <f>IFERROR(__xludf.DUMMYFUNCTION("""COMPUTED_VALUE"""),"FIP Engineering")</f>
        <v>FIP Engineering</v>
      </c>
      <c r="O1075" s="6" t="str">
        <f>IFERROR(__xludf.DUMMYFUNCTION("""COMPUTED_VALUE"""),"FIP-DOM-ENG-51502-0000000-INA-000000")</f>
        <v>FIP-DOM-ENG-51502-0000000-INA-000000</v>
      </c>
      <c r="P1075" s="6" t="str">
        <f>IFERROR(__xludf.DUMMYFUNCTION("""COMPUTED_VALUE"""),"PO Closed")</f>
        <v>PO Closed</v>
      </c>
      <c r="Q1075" s="6" t="str">
        <f>IFERROR(__xludf.DUMMYFUNCTION("""COMPUTED_VALUE"""),"GL2004023")</f>
        <v>GL2004023</v>
      </c>
      <c r="R1075" s="57">
        <f>IFERROR(__xludf.DUMMYFUNCTION("""COMPUTED_VALUE"""),43899.0)</f>
        <v>43899</v>
      </c>
      <c r="S1075" s="6" t="str">
        <f>IFERROR(__xludf.DUMMYFUNCTION("""COMPUTED_VALUE"""),"-")</f>
        <v>-</v>
      </c>
      <c r="T1075" s="57">
        <f>IFERROR(__xludf.DUMMYFUNCTION("""COMPUTED_VALUE"""),43958.0)</f>
        <v>43958</v>
      </c>
    </row>
    <row r="1076">
      <c r="A1076" s="6" t="str">
        <f>IFERROR(__xludf.DUMMYFUNCTION("""COMPUTED_VALUE"""),"201750105-1")</f>
        <v>201750105-1</v>
      </c>
      <c r="B1076" s="6" t="str">
        <f>IFERROR(__xludf.DUMMYFUNCTION("""COMPUTED_VALUE"""),"201750105 - Approved")</f>
        <v>201750105 - Approved</v>
      </c>
      <c r="C1076" s="6">
        <f>IFERROR(__xludf.DUMMYFUNCTION("""COMPUTED_VALUE"""),1.0)</f>
        <v>1</v>
      </c>
      <c r="D1076" s="6" t="str">
        <f>IFERROR(__xludf.DUMMYFUNCTION("""COMPUTED_VALUE"""),"P-51770-00")</f>
        <v>P-51770-00</v>
      </c>
      <c r="E1076" s="6" t="str">
        <f>IFERROR(__xludf.DUMMYFUNCTION("""COMPUTED_VALUE"""),"Digital Thermostat Type RCF230D/L20V REGIN pc")</f>
        <v>Digital Thermostat Type RCF230D/L20V REGIN pc</v>
      </c>
      <c r="F1076" s="6">
        <f>IFERROR(__xludf.DUMMYFUNCTION("""COMPUTED_VALUE"""),2.0)</f>
        <v>2</v>
      </c>
      <c r="G1076" s="6" t="str">
        <f>IFERROR(__xludf.DUMMYFUNCTION("""COMPUTED_VALUE"""),"Pieces")</f>
        <v>Pieces</v>
      </c>
      <c r="H1076" s="6" t="str">
        <f>IFERROR(__xludf.DUMMYFUNCTION("""COMPUTED_VALUE"""),"IDR")</f>
        <v>IDR</v>
      </c>
      <c r="I1076" s="6">
        <f>IFERROR(__xludf.DUMMYFUNCTION("""COMPUTED_VALUE"""),1080000.0)</f>
        <v>1080000</v>
      </c>
      <c r="J1076" s="6">
        <f>IFERROR(__xludf.DUMMYFUNCTION("""COMPUTED_VALUE"""),2160000.0)</f>
        <v>2160000</v>
      </c>
      <c r="K1076" s="57">
        <f>IFERROR(__xludf.DUMMYFUNCTION("""COMPUTED_VALUE"""),43921.0)</f>
        <v>43921</v>
      </c>
      <c r="L1076" s="6" t="str">
        <f>IFERROR(__xludf.DUMMYFUNCTION("""COMPUTED_VALUE"""),"FIP Engineering")</f>
        <v>FIP Engineering</v>
      </c>
      <c r="M1076" s="6" t="str">
        <f>IFERROR(__xludf.DUMMYFUNCTION("""COMPUTED_VALUE"""),"Irwan Sopian")</f>
        <v>Irwan Sopian</v>
      </c>
      <c r="N1076" s="6" t="str">
        <f>IFERROR(__xludf.DUMMYFUNCTION("""COMPUTED_VALUE"""),"FIP Engineering")</f>
        <v>FIP Engineering</v>
      </c>
      <c r="O1076" s="6" t="str">
        <f>IFERROR(__xludf.DUMMYFUNCTION("""COMPUTED_VALUE"""),"FIP-DOM-000-11304-OS00001-INA-000000")</f>
        <v>FIP-DOM-000-11304-OS00001-INA-000000</v>
      </c>
      <c r="P1076" s="6" t="str">
        <f>IFERROR(__xludf.DUMMYFUNCTION("""COMPUTED_VALUE"""),"PO Closed")</f>
        <v>PO Closed</v>
      </c>
      <c r="Q1076" s="6" t="str">
        <f>IFERROR(__xludf.DUMMYFUNCTION("""COMPUTED_VALUE"""),"GL2003055")</f>
        <v>GL2003055</v>
      </c>
      <c r="R1076" s="57">
        <f>IFERROR(__xludf.DUMMYFUNCTION("""COMPUTED_VALUE"""),43900.0)</f>
        <v>43900</v>
      </c>
      <c r="S1076" s="6" t="str">
        <f>IFERROR(__xludf.DUMMYFUNCTION("""COMPUTED_VALUE"""),"-")</f>
        <v>-</v>
      </c>
      <c r="T1076" s="57">
        <f>IFERROR(__xludf.DUMMYFUNCTION("""COMPUTED_VALUE"""),43977.0)</f>
        <v>43977</v>
      </c>
    </row>
    <row r="1077">
      <c r="A1077" s="6" t="str">
        <f>IFERROR(__xludf.DUMMYFUNCTION("""COMPUTED_VALUE"""),"201750105-2")</f>
        <v>201750105-2</v>
      </c>
      <c r="B1077" s="6" t="str">
        <f>IFERROR(__xludf.DUMMYFUNCTION("""COMPUTED_VALUE"""),"201750105 - Approved")</f>
        <v>201750105 - Approved</v>
      </c>
      <c r="C1077" s="6">
        <f>IFERROR(__xludf.DUMMYFUNCTION("""COMPUTED_VALUE"""),2.0)</f>
        <v>2</v>
      </c>
      <c r="D1077" s="6" t="str">
        <f>IFERROR(__xludf.DUMMYFUNCTION("""COMPUTED_VALUE"""),"O-14360-00")</f>
        <v>O-14360-00</v>
      </c>
      <c r="E1077" s="6" t="str">
        <f>IFERROR(__xludf.DUMMYFUNCTION("""COMPUTED_VALUE"""),"Membran Valve EPDM PTFE DN 40 p/n: 600 40M5E-221 Gemu")</f>
        <v>Membran Valve EPDM PTFE DN 40 p/n: 600 40M5E-221 Gemu</v>
      </c>
      <c r="F1077" s="6">
        <f>IFERROR(__xludf.DUMMYFUNCTION("""COMPUTED_VALUE"""),2.0)</f>
        <v>2</v>
      </c>
      <c r="G1077" s="6" t="str">
        <f>IFERROR(__xludf.DUMMYFUNCTION("""COMPUTED_VALUE"""),"Pieces")</f>
        <v>Pieces</v>
      </c>
      <c r="H1077" s="6" t="str">
        <f>IFERROR(__xludf.DUMMYFUNCTION("""COMPUTED_VALUE"""),"IDR")</f>
        <v>IDR</v>
      </c>
      <c r="I1077" s="6">
        <f>IFERROR(__xludf.DUMMYFUNCTION("""COMPUTED_VALUE"""),4500000.0)</f>
        <v>4500000</v>
      </c>
      <c r="J1077" s="6">
        <f>IFERROR(__xludf.DUMMYFUNCTION("""COMPUTED_VALUE"""),9000000.0)</f>
        <v>9000000</v>
      </c>
      <c r="K1077" s="57">
        <f>IFERROR(__xludf.DUMMYFUNCTION("""COMPUTED_VALUE"""),43921.0)</f>
        <v>43921</v>
      </c>
      <c r="L1077" s="6" t="str">
        <f>IFERROR(__xludf.DUMMYFUNCTION("""COMPUTED_VALUE"""),"FIP Engineering")</f>
        <v>FIP Engineering</v>
      </c>
      <c r="M1077" s="6" t="str">
        <f>IFERROR(__xludf.DUMMYFUNCTION("""COMPUTED_VALUE"""),"Irwan Sopian")</f>
        <v>Irwan Sopian</v>
      </c>
      <c r="N1077" s="6" t="str">
        <f>IFERROR(__xludf.DUMMYFUNCTION("""COMPUTED_VALUE"""),"FIP Engineering")</f>
        <v>FIP Engineering</v>
      </c>
      <c r="O1077" s="6" t="str">
        <f>IFERROR(__xludf.DUMMYFUNCTION("""COMPUTED_VALUE"""),"FIP-DOM-000-11304-OS00001-INA-000000")</f>
        <v>FIP-DOM-000-11304-OS00001-INA-000000</v>
      </c>
      <c r="P1077" s="6" t="str">
        <f>IFERROR(__xludf.DUMMYFUNCTION("""COMPUTED_VALUE"""),"PO Closed")</f>
        <v>PO Closed</v>
      </c>
      <c r="Q1077" s="6" t="str">
        <f>IFERROR(__xludf.DUMMYFUNCTION("""COMPUTED_VALUE"""),"GL2003054")</f>
        <v>GL2003054</v>
      </c>
      <c r="R1077" s="57">
        <f>IFERROR(__xludf.DUMMYFUNCTION("""COMPUTED_VALUE"""),43900.0)</f>
        <v>43900</v>
      </c>
      <c r="S1077" s="6" t="str">
        <f>IFERROR(__xludf.DUMMYFUNCTION("""COMPUTED_VALUE"""),"-")</f>
        <v>-</v>
      </c>
      <c r="T1077" s="57">
        <f>IFERROR(__xludf.DUMMYFUNCTION("""COMPUTED_VALUE"""),43973.0)</f>
        <v>43973</v>
      </c>
    </row>
    <row r="1078">
      <c r="A1078" s="6" t="str">
        <f>IFERROR(__xludf.DUMMYFUNCTION("""COMPUTED_VALUE"""),"201750112-1")</f>
        <v>201750112-1</v>
      </c>
      <c r="B1078" s="6" t="str">
        <f>IFERROR(__xludf.DUMMYFUNCTION("""COMPUTED_VALUE"""),"201750112 - Approved")</f>
        <v>201750112 - Approved</v>
      </c>
      <c r="C1078" s="6">
        <f>IFERROR(__xludf.DUMMYFUNCTION("""COMPUTED_VALUE"""),1.0)</f>
        <v>1</v>
      </c>
      <c r="D1078" s="6" t="str">
        <f>IFERROR(__xludf.DUMMYFUNCTION("""COMPUTED_VALUE"""),"P-17347-00")</f>
        <v>P-17347-00</v>
      </c>
      <c r="E1078" s="6" t="str">
        <f>IFERROR(__xludf.DUMMYFUNCTION("""COMPUTED_VALUE"""),"Pre Filter G4 2m x 20m x 2mm")</f>
        <v>Pre Filter G4 2m x 20m x 2mm</v>
      </c>
      <c r="F1078" s="6">
        <f>IFERROR(__xludf.DUMMYFUNCTION("""COMPUTED_VALUE"""),1.0)</f>
        <v>1</v>
      </c>
      <c r="G1078" s="6" t="str">
        <f>IFERROR(__xludf.DUMMYFUNCTION("""COMPUTED_VALUE"""),"Pieces")</f>
        <v>Pieces</v>
      </c>
      <c r="H1078" s="6" t="str">
        <f>IFERROR(__xludf.DUMMYFUNCTION("""COMPUTED_VALUE"""),"IDR")</f>
        <v>IDR</v>
      </c>
      <c r="I1078" s="6">
        <f>IFERROR(__xludf.DUMMYFUNCTION("""COMPUTED_VALUE"""),2145000.0)</f>
        <v>2145000</v>
      </c>
      <c r="J1078" s="6">
        <f>IFERROR(__xludf.DUMMYFUNCTION("""COMPUTED_VALUE"""),2145000.0)</f>
        <v>2145000</v>
      </c>
      <c r="K1078" s="57">
        <f>IFERROR(__xludf.DUMMYFUNCTION("""COMPUTED_VALUE"""),43938.0)</f>
        <v>43938</v>
      </c>
      <c r="L1078" s="6" t="str">
        <f>IFERROR(__xludf.DUMMYFUNCTION("""COMPUTED_VALUE"""),"FIP Engineering")</f>
        <v>FIP Engineering</v>
      </c>
      <c r="M1078" s="6" t="str">
        <f>IFERROR(__xludf.DUMMYFUNCTION("""COMPUTED_VALUE"""),"Irwan Sopian")</f>
        <v>Irwan Sopian</v>
      </c>
      <c r="N1078" s="6" t="str">
        <f>IFERROR(__xludf.DUMMYFUNCTION("""COMPUTED_VALUE"""),"FIP Engineering")</f>
        <v>FIP Engineering</v>
      </c>
      <c r="O1078" s="6" t="str">
        <f>IFERROR(__xludf.DUMMYFUNCTION("""COMPUTED_VALUE"""),"FIP-DOM-000-11304-OS00001-INA-000000")</f>
        <v>FIP-DOM-000-11304-OS00001-INA-000000</v>
      </c>
      <c r="P1078" s="6" t="str">
        <f>IFERROR(__xludf.DUMMYFUNCTION("""COMPUTED_VALUE"""),"PO Closed")</f>
        <v>PO Closed</v>
      </c>
      <c r="Q1078" s="6" t="str">
        <f>IFERROR(__xludf.DUMMYFUNCTION("""COMPUTED_VALUE"""),"GL2004003")</f>
        <v>GL2004003</v>
      </c>
      <c r="R1078" s="57">
        <f>IFERROR(__xludf.DUMMYFUNCTION("""COMPUTED_VALUE"""),43907.0)</f>
        <v>43907</v>
      </c>
      <c r="S1078" s="6" t="str">
        <f>IFERROR(__xludf.DUMMYFUNCTION("""COMPUTED_VALUE"""),"-")</f>
        <v>-</v>
      </c>
      <c r="T1078" s="57">
        <f>IFERROR(__xludf.DUMMYFUNCTION("""COMPUTED_VALUE"""),43973.0)</f>
        <v>43973</v>
      </c>
    </row>
    <row r="1079">
      <c r="A1079" s="6" t="str">
        <f>IFERROR(__xludf.DUMMYFUNCTION("""COMPUTED_VALUE"""),"201750111-1")</f>
        <v>201750111-1</v>
      </c>
      <c r="B1079" s="6" t="str">
        <f>IFERROR(__xludf.DUMMYFUNCTION("""COMPUTED_VALUE"""),"201750111 - Approved")</f>
        <v>201750111 - Approved</v>
      </c>
      <c r="C1079" s="6">
        <f>IFERROR(__xludf.DUMMYFUNCTION("""COMPUTED_VALUE"""),1.0)</f>
        <v>1</v>
      </c>
      <c r="D1079" s="6" t="str">
        <f>IFERROR(__xludf.DUMMYFUNCTION("""COMPUTED_VALUE"""),"P-17361-00")</f>
        <v>P-17361-00</v>
      </c>
      <c r="E1079" s="6" t="str">
        <f>IFERROR(__xludf.DUMMYFUNCTION("""COMPUTED_VALUE"""),"Oring EPDM 15x9x3 mm")</f>
        <v>Oring EPDM 15x9x3 mm</v>
      </c>
      <c r="F1079" s="6">
        <f>IFERROR(__xludf.DUMMYFUNCTION("""COMPUTED_VALUE"""),10.0)</f>
        <v>10</v>
      </c>
      <c r="G1079" s="6" t="str">
        <f>IFERROR(__xludf.DUMMYFUNCTION("""COMPUTED_VALUE"""),"Pieces")</f>
        <v>Pieces</v>
      </c>
      <c r="H1079" s="6" t="str">
        <f>IFERROR(__xludf.DUMMYFUNCTION("""COMPUTED_VALUE"""),"IDR")</f>
        <v>IDR</v>
      </c>
      <c r="I1079" s="6">
        <f>IFERROR(__xludf.DUMMYFUNCTION("""COMPUTED_VALUE"""),25000.0)</f>
        <v>25000</v>
      </c>
      <c r="J1079" s="6">
        <f>IFERROR(__xludf.DUMMYFUNCTION("""COMPUTED_VALUE"""),250000.0)</f>
        <v>250000</v>
      </c>
      <c r="K1079" s="57">
        <f>IFERROR(__xludf.DUMMYFUNCTION("""COMPUTED_VALUE"""),43924.0)</f>
        <v>43924</v>
      </c>
      <c r="L1079" s="6" t="str">
        <f>IFERROR(__xludf.DUMMYFUNCTION("""COMPUTED_VALUE"""),"FIP Engineering")</f>
        <v>FIP Engineering</v>
      </c>
      <c r="M1079" s="6" t="str">
        <f>IFERROR(__xludf.DUMMYFUNCTION("""COMPUTED_VALUE"""),"Irwan Sopian")</f>
        <v>Irwan Sopian</v>
      </c>
      <c r="N1079" s="6" t="str">
        <f>IFERROR(__xludf.DUMMYFUNCTION("""COMPUTED_VALUE"""),"FIP Engineering")</f>
        <v>FIP Engineering</v>
      </c>
      <c r="O1079" s="6" t="str">
        <f>IFERROR(__xludf.DUMMYFUNCTION("""COMPUTED_VALUE"""),"FIP-DOM-000-11304-OS00001-INA-000000")</f>
        <v>FIP-DOM-000-11304-OS00001-INA-000000</v>
      </c>
      <c r="P1079" s="6" t="str">
        <f>IFERROR(__xludf.DUMMYFUNCTION("""COMPUTED_VALUE"""),"PO Closed")</f>
        <v>PO Closed</v>
      </c>
      <c r="Q1079" s="6" t="str">
        <f>IFERROR(__xludf.DUMMYFUNCTION("""COMPUTED_VALUE"""),"GL2004006")</f>
        <v>GL2004006</v>
      </c>
      <c r="R1079" s="57">
        <f>IFERROR(__xludf.DUMMYFUNCTION("""COMPUTED_VALUE"""),43907.0)</f>
        <v>43907</v>
      </c>
      <c r="S1079" s="6" t="str">
        <f>IFERROR(__xludf.DUMMYFUNCTION("""COMPUTED_VALUE"""),"-")</f>
        <v>-</v>
      </c>
      <c r="T1079" s="57">
        <f>IFERROR(__xludf.DUMMYFUNCTION("""COMPUTED_VALUE"""),43945.0)</f>
        <v>43945</v>
      </c>
    </row>
    <row r="1080">
      <c r="A1080" s="6" t="str">
        <f>IFERROR(__xludf.DUMMYFUNCTION("""COMPUTED_VALUE"""),"201750111-2")</f>
        <v>201750111-2</v>
      </c>
      <c r="B1080" s="6" t="str">
        <f>IFERROR(__xludf.DUMMYFUNCTION("""COMPUTED_VALUE"""),"201750111 - Approved")</f>
        <v>201750111 - Approved</v>
      </c>
      <c r="C1080" s="6">
        <f>IFERROR(__xludf.DUMMYFUNCTION("""COMPUTED_VALUE"""),2.0)</f>
        <v>2</v>
      </c>
      <c r="D1080" s="6" t="str">
        <f>IFERROR(__xludf.DUMMYFUNCTION("""COMPUTED_VALUE"""),"P-17359-00")</f>
        <v>P-17359-00</v>
      </c>
      <c r="E1080" s="6" t="str">
        <f>IFERROR(__xludf.DUMMYFUNCTION("""COMPUTED_VALUE"""),"Oring EPDM 29x22x3.5 mm")</f>
        <v>Oring EPDM 29x22x3.5 mm</v>
      </c>
      <c r="F1080" s="6">
        <f>IFERROR(__xludf.DUMMYFUNCTION("""COMPUTED_VALUE"""),10.0)</f>
        <v>10</v>
      </c>
      <c r="G1080" s="6" t="str">
        <f>IFERROR(__xludf.DUMMYFUNCTION("""COMPUTED_VALUE"""),"Pieces")</f>
        <v>Pieces</v>
      </c>
      <c r="H1080" s="6" t="str">
        <f>IFERROR(__xludf.DUMMYFUNCTION("""COMPUTED_VALUE"""),"IDR")</f>
        <v>IDR</v>
      </c>
      <c r="I1080" s="6">
        <f>IFERROR(__xludf.DUMMYFUNCTION("""COMPUTED_VALUE"""),30000.0)</f>
        <v>30000</v>
      </c>
      <c r="J1080" s="6">
        <f>IFERROR(__xludf.DUMMYFUNCTION("""COMPUTED_VALUE"""),300000.0)</f>
        <v>300000</v>
      </c>
      <c r="K1080" s="57">
        <f>IFERROR(__xludf.DUMMYFUNCTION("""COMPUTED_VALUE"""),43924.0)</f>
        <v>43924</v>
      </c>
      <c r="L1080" s="6" t="str">
        <f>IFERROR(__xludf.DUMMYFUNCTION("""COMPUTED_VALUE"""),"FIP Engineering")</f>
        <v>FIP Engineering</v>
      </c>
      <c r="M1080" s="6" t="str">
        <f>IFERROR(__xludf.DUMMYFUNCTION("""COMPUTED_VALUE"""),"Irwan Sopian")</f>
        <v>Irwan Sopian</v>
      </c>
      <c r="N1080" s="6" t="str">
        <f>IFERROR(__xludf.DUMMYFUNCTION("""COMPUTED_VALUE"""),"FIP Engineering")</f>
        <v>FIP Engineering</v>
      </c>
      <c r="O1080" s="6" t="str">
        <f>IFERROR(__xludf.DUMMYFUNCTION("""COMPUTED_VALUE"""),"FIP-DOM-000-11304-OS00001-INA-000000")</f>
        <v>FIP-DOM-000-11304-OS00001-INA-000000</v>
      </c>
      <c r="P1080" s="6" t="str">
        <f>IFERROR(__xludf.DUMMYFUNCTION("""COMPUTED_VALUE"""),"PO Closed")</f>
        <v>PO Closed</v>
      </c>
      <c r="Q1080" s="6" t="str">
        <f>IFERROR(__xludf.DUMMYFUNCTION("""COMPUTED_VALUE"""),"GL2004006")</f>
        <v>GL2004006</v>
      </c>
      <c r="R1080" s="57">
        <f>IFERROR(__xludf.DUMMYFUNCTION("""COMPUTED_VALUE"""),43907.0)</f>
        <v>43907</v>
      </c>
      <c r="S1080" s="6" t="str">
        <f>IFERROR(__xludf.DUMMYFUNCTION("""COMPUTED_VALUE"""),"-")</f>
        <v>-</v>
      </c>
      <c r="T1080" s="57">
        <f>IFERROR(__xludf.DUMMYFUNCTION("""COMPUTED_VALUE"""),43945.0)</f>
        <v>43945</v>
      </c>
    </row>
    <row r="1081">
      <c r="A1081" s="6" t="str">
        <f>IFERROR(__xludf.DUMMYFUNCTION("""COMPUTED_VALUE"""),"201750111-3")</f>
        <v>201750111-3</v>
      </c>
      <c r="B1081" s="6" t="str">
        <f>IFERROR(__xludf.DUMMYFUNCTION("""COMPUTED_VALUE"""),"201750111 - Approved")</f>
        <v>201750111 - Approved</v>
      </c>
      <c r="C1081" s="6">
        <f>IFERROR(__xludf.DUMMYFUNCTION("""COMPUTED_VALUE"""),3.0)</f>
        <v>3</v>
      </c>
      <c r="D1081" s="6" t="str">
        <f>IFERROR(__xludf.DUMMYFUNCTION("""COMPUTED_VALUE"""),"P-17360-00")</f>
        <v>P-17360-00</v>
      </c>
      <c r="E1081" s="6" t="str">
        <f>IFERROR(__xludf.DUMMYFUNCTION("""COMPUTED_VALUE"""),"Oring EPDM 22.5x15.5x3.5 mm")</f>
        <v>Oring EPDM 22.5x15.5x3.5 mm</v>
      </c>
      <c r="F1081" s="6">
        <f>IFERROR(__xludf.DUMMYFUNCTION("""COMPUTED_VALUE"""),10.0)</f>
        <v>10</v>
      </c>
      <c r="G1081" s="6" t="str">
        <f>IFERROR(__xludf.DUMMYFUNCTION("""COMPUTED_VALUE"""),"Pieces")</f>
        <v>Pieces</v>
      </c>
      <c r="H1081" s="6" t="str">
        <f>IFERROR(__xludf.DUMMYFUNCTION("""COMPUTED_VALUE"""),"IDR")</f>
        <v>IDR</v>
      </c>
      <c r="I1081" s="6">
        <f>IFERROR(__xludf.DUMMYFUNCTION("""COMPUTED_VALUE"""),27500.0)</f>
        <v>27500</v>
      </c>
      <c r="J1081" s="6">
        <f>IFERROR(__xludf.DUMMYFUNCTION("""COMPUTED_VALUE"""),275000.0)</f>
        <v>275000</v>
      </c>
      <c r="K1081" s="57">
        <f>IFERROR(__xludf.DUMMYFUNCTION("""COMPUTED_VALUE"""),43924.0)</f>
        <v>43924</v>
      </c>
      <c r="L1081" s="6" t="str">
        <f>IFERROR(__xludf.DUMMYFUNCTION("""COMPUTED_VALUE"""),"FIP Engineering")</f>
        <v>FIP Engineering</v>
      </c>
      <c r="M1081" s="6" t="str">
        <f>IFERROR(__xludf.DUMMYFUNCTION("""COMPUTED_VALUE"""),"Irwan Sopian")</f>
        <v>Irwan Sopian</v>
      </c>
      <c r="N1081" s="6" t="str">
        <f>IFERROR(__xludf.DUMMYFUNCTION("""COMPUTED_VALUE"""),"FIP Engineering")</f>
        <v>FIP Engineering</v>
      </c>
      <c r="O1081" s="6" t="str">
        <f>IFERROR(__xludf.DUMMYFUNCTION("""COMPUTED_VALUE"""),"FIP-DOM-000-11304-OS00001-INA-000000")</f>
        <v>FIP-DOM-000-11304-OS00001-INA-000000</v>
      </c>
      <c r="P1081" s="6" t="str">
        <f>IFERROR(__xludf.DUMMYFUNCTION("""COMPUTED_VALUE"""),"PO Closed")</f>
        <v>PO Closed</v>
      </c>
      <c r="Q1081" s="6" t="str">
        <f>IFERROR(__xludf.DUMMYFUNCTION("""COMPUTED_VALUE"""),"GL2004006")</f>
        <v>GL2004006</v>
      </c>
      <c r="R1081" s="57">
        <f>IFERROR(__xludf.DUMMYFUNCTION("""COMPUTED_VALUE"""),43907.0)</f>
        <v>43907</v>
      </c>
      <c r="S1081" s="6" t="str">
        <f>IFERROR(__xludf.DUMMYFUNCTION("""COMPUTED_VALUE"""),"-")</f>
        <v>-</v>
      </c>
      <c r="T1081" s="57">
        <f>IFERROR(__xludf.DUMMYFUNCTION("""COMPUTED_VALUE"""),43945.0)</f>
        <v>43945</v>
      </c>
    </row>
    <row r="1082">
      <c r="A1082" s="6" t="str">
        <f>IFERROR(__xludf.DUMMYFUNCTION("""COMPUTED_VALUE"""),"201750111-4")</f>
        <v>201750111-4</v>
      </c>
      <c r="B1082" s="6" t="str">
        <f>IFERROR(__xludf.DUMMYFUNCTION("""COMPUTED_VALUE"""),"201750111 - Approved")</f>
        <v>201750111 - Approved</v>
      </c>
      <c r="C1082" s="6">
        <f>IFERROR(__xludf.DUMMYFUNCTION("""COMPUTED_VALUE"""),4.0)</f>
        <v>4</v>
      </c>
      <c r="D1082" s="6" t="str">
        <f>IFERROR(__xludf.DUMMYFUNCTION("""COMPUTED_VALUE"""),"P-17358-00")</f>
        <v>P-17358-00</v>
      </c>
      <c r="E1082" s="6" t="str">
        <f>IFERROR(__xludf.DUMMYFUNCTION("""COMPUTED_VALUE"""),"Oring EPDM 41.5x35x3.5 mm")</f>
        <v>Oring EPDM 41.5x35x3.5 mm</v>
      </c>
      <c r="F1082" s="6">
        <f>IFERROR(__xludf.DUMMYFUNCTION("""COMPUTED_VALUE"""),10.0)</f>
        <v>10</v>
      </c>
      <c r="G1082" s="6" t="str">
        <f>IFERROR(__xludf.DUMMYFUNCTION("""COMPUTED_VALUE"""),"Pieces")</f>
        <v>Pieces</v>
      </c>
      <c r="H1082" s="6" t="str">
        <f>IFERROR(__xludf.DUMMYFUNCTION("""COMPUTED_VALUE"""),"IDR")</f>
        <v>IDR</v>
      </c>
      <c r="I1082" s="6">
        <f>IFERROR(__xludf.DUMMYFUNCTION("""COMPUTED_VALUE"""),32500.0)</f>
        <v>32500</v>
      </c>
      <c r="J1082" s="6">
        <f>IFERROR(__xludf.DUMMYFUNCTION("""COMPUTED_VALUE"""),325000.0)</f>
        <v>325000</v>
      </c>
      <c r="K1082" s="57">
        <f>IFERROR(__xludf.DUMMYFUNCTION("""COMPUTED_VALUE"""),43924.0)</f>
        <v>43924</v>
      </c>
      <c r="L1082" s="6" t="str">
        <f>IFERROR(__xludf.DUMMYFUNCTION("""COMPUTED_VALUE"""),"FIP Engineering")</f>
        <v>FIP Engineering</v>
      </c>
      <c r="M1082" s="6" t="str">
        <f>IFERROR(__xludf.DUMMYFUNCTION("""COMPUTED_VALUE"""),"Irwan Sopian")</f>
        <v>Irwan Sopian</v>
      </c>
      <c r="N1082" s="6" t="str">
        <f>IFERROR(__xludf.DUMMYFUNCTION("""COMPUTED_VALUE"""),"FIP Engineering")</f>
        <v>FIP Engineering</v>
      </c>
      <c r="O1082" s="6" t="str">
        <f>IFERROR(__xludf.DUMMYFUNCTION("""COMPUTED_VALUE"""),"FIP-DOM-000-11304-OS00001-INA-000000")</f>
        <v>FIP-DOM-000-11304-OS00001-INA-000000</v>
      </c>
      <c r="P1082" s="6" t="str">
        <f>IFERROR(__xludf.DUMMYFUNCTION("""COMPUTED_VALUE"""),"PO Closed")</f>
        <v>PO Closed</v>
      </c>
      <c r="Q1082" s="6" t="str">
        <f>IFERROR(__xludf.DUMMYFUNCTION("""COMPUTED_VALUE"""),"GL2004006")</f>
        <v>GL2004006</v>
      </c>
      <c r="R1082" s="57">
        <f>IFERROR(__xludf.DUMMYFUNCTION("""COMPUTED_VALUE"""),43907.0)</f>
        <v>43907</v>
      </c>
      <c r="S1082" s="6" t="str">
        <f>IFERROR(__xludf.DUMMYFUNCTION("""COMPUTED_VALUE"""),"-")</f>
        <v>-</v>
      </c>
      <c r="T1082" s="57">
        <f>IFERROR(__xludf.DUMMYFUNCTION("""COMPUTED_VALUE"""),43945.0)</f>
        <v>43945</v>
      </c>
    </row>
    <row r="1083">
      <c r="A1083" s="6" t="str">
        <f>IFERROR(__xludf.DUMMYFUNCTION("""COMPUTED_VALUE"""),"201750108-1")</f>
        <v>201750108-1</v>
      </c>
      <c r="B1083" s="6" t="str">
        <f>IFERROR(__xludf.DUMMYFUNCTION("""COMPUTED_VALUE"""),"201750108 - Approved")</f>
        <v>201750108 - Approved</v>
      </c>
      <c r="C1083" s="6">
        <f>IFERROR(__xludf.DUMMYFUNCTION("""COMPUTED_VALUE"""),1.0)</f>
        <v>1</v>
      </c>
      <c r="D1083" s="6" t="str">
        <f>IFERROR(__xludf.DUMMYFUNCTION("""COMPUTED_VALUE"""),"P-54158-00")</f>
        <v>P-54158-00</v>
      </c>
      <c r="E1083" s="6" t="str">
        <f>IFERROR(__xludf.DUMMYFUNCTION("""COMPUTED_VALUE"""),"Float Level Switch VSS-2FJ-S3-L900-FS40S-0 Flange 2 inch WINGEL")</f>
        <v>Float Level Switch VSS-2FJ-S3-L900-FS40S-0 Flange 2 inch WINGEL</v>
      </c>
      <c r="F1083" s="6">
        <f>IFERROR(__xludf.DUMMYFUNCTION("""COMPUTED_VALUE"""),1.0)</f>
        <v>1</v>
      </c>
      <c r="G1083" s="6" t="str">
        <f>IFERROR(__xludf.DUMMYFUNCTION("""COMPUTED_VALUE"""),"Unit")</f>
        <v>Unit</v>
      </c>
      <c r="H1083" s="6" t="str">
        <f>IFERROR(__xludf.DUMMYFUNCTION("""COMPUTED_VALUE"""),"IDR")</f>
        <v>IDR</v>
      </c>
      <c r="I1083" s="6">
        <f>IFERROR(__xludf.DUMMYFUNCTION("""COMPUTED_VALUE"""),5325000.0)</f>
        <v>5325000</v>
      </c>
      <c r="J1083" s="6">
        <f>IFERROR(__xludf.DUMMYFUNCTION("""COMPUTED_VALUE"""),5325000.0)</f>
        <v>5325000</v>
      </c>
      <c r="K1083" s="57">
        <f>IFERROR(__xludf.DUMMYFUNCTION("""COMPUTED_VALUE"""),43938.0)</f>
        <v>43938</v>
      </c>
      <c r="L1083" s="6" t="str">
        <f>IFERROR(__xludf.DUMMYFUNCTION("""COMPUTED_VALUE"""),"FIP General")</f>
        <v>FIP General</v>
      </c>
      <c r="M1083" s="6" t="str">
        <f>IFERROR(__xludf.DUMMYFUNCTION("""COMPUTED_VALUE"""),"Irwan Sopian")</f>
        <v>Irwan Sopian</v>
      </c>
      <c r="N1083" s="6" t="str">
        <f>IFERROR(__xludf.DUMMYFUNCTION("""COMPUTED_VALUE"""),"FIP Engineering")</f>
        <v>FIP Engineering</v>
      </c>
      <c r="O1083" s="6" t="str">
        <f>IFERROR(__xludf.DUMMYFUNCTION("""COMPUTED_VALUE"""),"FIP-DOM-ENG-51504-0000000-INA-000000")</f>
        <v>FIP-DOM-ENG-51504-0000000-INA-000000</v>
      </c>
      <c r="P1083" s="6" t="str">
        <f>IFERROR(__xludf.DUMMYFUNCTION("""COMPUTED_VALUE"""),"PO Closed")</f>
        <v>PO Closed</v>
      </c>
      <c r="Q1083" s="6" t="str">
        <f>IFERROR(__xludf.DUMMYFUNCTION("""COMPUTED_VALUE"""),"GL2004004")</f>
        <v>GL2004004</v>
      </c>
      <c r="R1083" s="57">
        <f>IFERROR(__xludf.DUMMYFUNCTION("""COMPUTED_VALUE"""),43907.0)</f>
        <v>43907</v>
      </c>
      <c r="S1083" s="6" t="str">
        <f>IFERROR(__xludf.DUMMYFUNCTION("""COMPUTED_VALUE"""),"-")</f>
        <v>-</v>
      </c>
      <c r="T1083" s="57">
        <f>IFERROR(__xludf.DUMMYFUNCTION("""COMPUTED_VALUE"""),43931.0)</f>
        <v>43931</v>
      </c>
    </row>
    <row r="1084">
      <c r="A1084" s="6" t="str">
        <f>IFERROR(__xludf.DUMMYFUNCTION("""COMPUTED_VALUE"""),"201750108-2")</f>
        <v>201750108-2</v>
      </c>
      <c r="B1084" s="6" t="str">
        <f>IFERROR(__xludf.DUMMYFUNCTION("""COMPUTED_VALUE"""),"201750108 - Approved")</f>
        <v>201750108 - Approved</v>
      </c>
      <c r="C1084" s="6">
        <f>IFERROR(__xludf.DUMMYFUNCTION("""COMPUTED_VALUE"""),2.0)</f>
        <v>2</v>
      </c>
      <c r="D1084" s="6" t="str">
        <f>IFERROR(__xludf.DUMMYFUNCTION("""COMPUTED_VALUE"""),"P-54159-00")</f>
        <v>P-54159-00</v>
      </c>
      <c r="E1084" s="6" t="str">
        <f>IFERROR(__xludf.DUMMYFUNCTION("""COMPUTED_VALUE"""),"Digital Controller CU-3 WINGEL")</f>
        <v>Digital Controller CU-3 WINGEL</v>
      </c>
      <c r="F1084" s="6">
        <f>IFERROR(__xludf.DUMMYFUNCTION("""COMPUTED_VALUE"""),1.0)</f>
        <v>1</v>
      </c>
      <c r="G1084" s="6" t="str">
        <f>IFERROR(__xludf.DUMMYFUNCTION("""COMPUTED_VALUE"""),"Unit")</f>
        <v>Unit</v>
      </c>
      <c r="H1084" s="6" t="str">
        <f>IFERROR(__xludf.DUMMYFUNCTION("""COMPUTED_VALUE"""),"IDR")</f>
        <v>IDR</v>
      </c>
      <c r="I1084" s="6">
        <f>IFERROR(__xludf.DUMMYFUNCTION("""COMPUTED_VALUE"""),1540000.0)</f>
        <v>1540000</v>
      </c>
      <c r="J1084" s="6">
        <f>IFERROR(__xludf.DUMMYFUNCTION("""COMPUTED_VALUE"""),1540000.0)</f>
        <v>1540000</v>
      </c>
      <c r="K1084" s="57">
        <f>IFERROR(__xludf.DUMMYFUNCTION("""COMPUTED_VALUE"""),43938.0)</f>
        <v>43938</v>
      </c>
      <c r="L1084" s="6" t="str">
        <f>IFERROR(__xludf.DUMMYFUNCTION("""COMPUTED_VALUE"""),"FIP General")</f>
        <v>FIP General</v>
      </c>
      <c r="M1084" s="6" t="str">
        <f>IFERROR(__xludf.DUMMYFUNCTION("""COMPUTED_VALUE"""),"Irwan Sopian")</f>
        <v>Irwan Sopian</v>
      </c>
      <c r="N1084" s="6" t="str">
        <f>IFERROR(__xludf.DUMMYFUNCTION("""COMPUTED_VALUE"""),"FIP Engineering")</f>
        <v>FIP Engineering</v>
      </c>
      <c r="O1084" s="6" t="str">
        <f>IFERROR(__xludf.DUMMYFUNCTION("""COMPUTED_VALUE"""),"FIP-DOM-ENG-51504-0000000-INA-000000")</f>
        <v>FIP-DOM-ENG-51504-0000000-INA-000000</v>
      </c>
      <c r="P1084" s="6" t="str">
        <f>IFERROR(__xludf.DUMMYFUNCTION("""COMPUTED_VALUE"""),"PO Closed")</f>
        <v>PO Closed</v>
      </c>
      <c r="Q1084" s="6" t="str">
        <f>IFERROR(__xludf.DUMMYFUNCTION("""COMPUTED_VALUE"""),"GL2004004")</f>
        <v>GL2004004</v>
      </c>
      <c r="R1084" s="57">
        <f>IFERROR(__xludf.DUMMYFUNCTION("""COMPUTED_VALUE"""),43907.0)</f>
        <v>43907</v>
      </c>
      <c r="S1084" s="6" t="str">
        <f>IFERROR(__xludf.DUMMYFUNCTION("""COMPUTED_VALUE"""),"-")</f>
        <v>-</v>
      </c>
      <c r="T1084" s="57">
        <f>IFERROR(__xludf.DUMMYFUNCTION("""COMPUTED_VALUE"""),43931.0)</f>
        <v>43931</v>
      </c>
    </row>
    <row r="1085">
      <c r="A1085" s="6" t="str">
        <f>IFERROR(__xludf.DUMMYFUNCTION("""COMPUTED_VALUE"""),"201750104-2")</f>
        <v>201750104-2</v>
      </c>
      <c r="B1085" s="6" t="str">
        <f>IFERROR(__xludf.DUMMYFUNCTION("""COMPUTED_VALUE"""),"201750104 - Approved")</f>
        <v>201750104 - Approved</v>
      </c>
      <c r="C1085" s="6">
        <f>IFERROR(__xludf.DUMMYFUNCTION("""COMPUTED_VALUE"""),2.0)</f>
        <v>2</v>
      </c>
      <c r="D1085" s="6" t="str">
        <f>IFERROR(__xludf.DUMMYFUNCTION("""COMPUTED_VALUE"""),"Q-10621-00")</f>
        <v>Q-10621-00</v>
      </c>
      <c r="E1085" s="6" t="str">
        <f>IFERROR(__xludf.DUMMYFUNCTION("""COMPUTED_VALUE"""),"Kap Downlight 5inch Osiwa")</f>
        <v>Kap Downlight 5inch Osiwa</v>
      </c>
      <c r="F1085" s="6">
        <f>IFERROR(__xludf.DUMMYFUNCTION("""COMPUTED_VALUE"""),1.0)</f>
        <v>1</v>
      </c>
      <c r="G1085" s="6" t="str">
        <f>IFERROR(__xludf.DUMMYFUNCTION("""COMPUTED_VALUE"""),"Pieces")</f>
        <v>Pieces</v>
      </c>
      <c r="H1085" s="6" t="str">
        <f>IFERROR(__xludf.DUMMYFUNCTION("""COMPUTED_VALUE"""),"IDR")</f>
        <v>IDR</v>
      </c>
      <c r="I1085" s="6">
        <f>IFERROR(__xludf.DUMMYFUNCTION("""COMPUTED_VALUE"""),75000.0)</f>
        <v>75000</v>
      </c>
      <c r="J1085" s="6">
        <f>IFERROR(__xludf.DUMMYFUNCTION("""COMPUTED_VALUE"""),75000.0)</f>
        <v>75000</v>
      </c>
      <c r="K1085" s="57">
        <f>IFERROR(__xludf.DUMMYFUNCTION("""COMPUTED_VALUE"""),43931.0)</f>
        <v>43931</v>
      </c>
      <c r="L1085" s="6" t="str">
        <f>IFERROR(__xludf.DUMMYFUNCTION("""COMPUTED_VALUE"""),"FIP General")</f>
        <v>FIP General</v>
      </c>
      <c r="M1085" s="6" t="str">
        <f>IFERROR(__xludf.DUMMYFUNCTION("""COMPUTED_VALUE"""),"Irwan Sopian")</f>
        <v>Irwan Sopian</v>
      </c>
      <c r="N1085" s="6" t="str">
        <f>IFERROR(__xludf.DUMMYFUNCTION("""COMPUTED_VALUE"""),"FIP Engineering")</f>
        <v>FIP Engineering</v>
      </c>
      <c r="O1085" s="6" t="str">
        <f>IFERROR(__xludf.DUMMYFUNCTION("""COMPUTED_VALUE"""),"FIP-DOM-ENG-51502-0000000-INA-000000")</f>
        <v>FIP-DOM-ENG-51502-0000000-INA-000000</v>
      </c>
      <c r="P1085" s="6" t="str">
        <f>IFERROR(__xludf.DUMMYFUNCTION("""COMPUTED_VALUE"""),"PO Closed")</f>
        <v>PO Closed</v>
      </c>
      <c r="Q1085" s="6" t="str">
        <f>IFERROR(__xludf.DUMMYFUNCTION("""COMPUTED_VALUE"""),"GL2004023")</f>
        <v>GL2004023</v>
      </c>
      <c r="R1085" s="57">
        <f>IFERROR(__xludf.DUMMYFUNCTION("""COMPUTED_VALUE"""),43907.0)</f>
        <v>43907</v>
      </c>
      <c r="S1085" s="6" t="str">
        <f>IFERROR(__xludf.DUMMYFUNCTION("""COMPUTED_VALUE"""),"-")</f>
        <v>-</v>
      </c>
      <c r="T1085" s="57">
        <f>IFERROR(__xludf.DUMMYFUNCTION("""COMPUTED_VALUE"""),43958.0)</f>
        <v>43958</v>
      </c>
    </row>
    <row r="1086">
      <c r="A1086" s="6" t="str">
        <f>IFERROR(__xludf.DUMMYFUNCTION("""COMPUTED_VALUE"""),"201750104-3")</f>
        <v>201750104-3</v>
      </c>
      <c r="B1086" s="6" t="str">
        <f>IFERROR(__xludf.DUMMYFUNCTION("""COMPUTED_VALUE"""),"201750104 - Approved")</f>
        <v>201750104 - Approved</v>
      </c>
      <c r="C1086" s="6">
        <f>IFERROR(__xludf.DUMMYFUNCTION("""COMPUTED_VALUE"""),3.0)</f>
        <v>3</v>
      </c>
      <c r="D1086" s="6" t="str">
        <f>IFERROR(__xludf.DUMMYFUNCTION("""COMPUTED_VALUE"""),"P-12801-00")</f>
        <v>P-12801-00</v>
      </c>
      <c r="E1086" s="6" t="str">
        <f>IFERROR(__xludf.DUMMYFUNCTION("""COMPUTED_VALUE"""),"Sock Drat dalam PVC AW dia 1 1/2inch")</f>
        <v>Sock Drat dalam PVC AW dia 1 1/2inch</v>
      </c>
      <c r="F1086" s="6">
        <f>IFERROR(__xludf.DUMMYFUNCTION("""COMPUTED_VALUE"""),4.0)</f>
        <v>4</v>
      </c>
      <c r="G1086" s="6" t="str">
        <f>IFERROR(__xludf.DUMMYFUNCTION("""COMPUTED_VALUE"""),"Pieces")</f>
        <v>Pieces</v>
      </c>
      <c r="H1086" s="6" t="str">
        <f>IFERROR(__xludf.DUMMYFUNCTION("""COMPUTED_VALUE"""),"IDR")</f>
        <v>IDR</v>
      </c>
      <c r="I1086" s="6">
        <f>IFERROR(__xludf.DUMMYFUNCTION("""COMPUTED_VALUE"""),12000.0)</f>
        <v>12000</v>
      </c>
      <c r="J1086" s="6">
        <f>IFERROR(__xludf.DUMMYFUNCTION("""COMPUTED_VALUE"""),48000.0)</f>
        <v>48000</v>
      </c>
      <c r="K1086" s="57">
        <f>IFERROR(__xludf.DUMMYFUNCTION("""COMPUTED_VALUE"""),43931.0)</f>
        <v>43931</v>
      </c>
      <c r="L1086" s="6" t="str">
        <f>IFERROR(__xludf.DUMMYFUNCTION("""COMPUTED_VALUE"""),"FIP Engineering")</f>
        <v>FIP Engineering</v>
      </c>
      <c r="M1086" s="6" t="str">
        <f>IFERROR(__xludf.DUMMYFUNCTION("""COMPUTED_VALUE"""),"Irwan Sopian")</f>
        <v>Irwan Sopian</v>
      </c>
      <c r="N1086" s="6" t="str">
        <f>IFERROR(__xludf.DUMMYFUNCTION("""COMPUTED_VALUE"""),"FIP Engineering")</f>
        <v>FIP Engineering</v>
      </c>
      <c r="O1086" s="6" t="str">
        <f>IFERROR(__xludf.DUMMYFUNCTION("""COMPUTED_VALUE"""),"FIP-DOM-000-11304-OS00001-INA-000000")</f>
        <v>FIP-DOM-000-11304-OS00001-INA-000000</v>
      </c>
      <c r="P1086" s="6" t="str">
        <f>IFERROR(__xludf.DUMMYFUNCTION("""COMPUTED_VALUE"""),"PO Closed")</f>
        <v>PO Closed</v>
      </c>
      <c r="Q1086" s="6" t="str">
        <f>IFERROR(__xludf.DUMMYFUNCTION("""COMPUTED_VALUE"""),"GL2004023")</f>
        <v>GL2004023</v>
      </c>
      <c r="R1086" s="57">
        <f>IFERROR(__xludf.DUMMYFUNCTION("""COMPUTED_VALUE"""),43907.0)</f>
        <v>43907</v>
      </c>
      <c r="S1086" s="6" t="str">
        <f>IFERROR(__xludf.DUMMYFUNCTION("""COMPUTED_VALUE"""),"-")</f>
        <v>-</v>
      </c>
      <c r="T1086" s="57">
        <f>IFERROR(__xludf.DUMMYFUNCTION("""COMPUTED_VALUE"""),43952.0)</f>
        <v>43952</v>
      </c>
    </row>
    <row r="1087">
      <c r="A1087" s="6" t="str">
        <f>IFERROR(__xludf.DUMMYFUNCTION("""COMPUTED_VALUE"""),"201750104-4")</f>
        <v>201750104-4</v>
      </c>
      <c r="B1087" s="6" t="str">
        <f>IFERROR(__xludf.DUMMYFUNCTION("""COMPUTED_VALUE"""),"201750104 - Approved")</f>
        <v>201750104 - Approved</v>
      </c>
      <c r="C1087" s="6">
        <f>IFERROR(__xludf.DUMMYFUNCTION("""COMPUTED_VALUE"""),4.0)</f>
        <v>4</v>
      </c>
      <c r="D1087" s="6" t="str">
        <f>IFERROR(__xludf.DUMMYFUNCTION("""COMPUTED_VALUE"""),"P-12808-00")</f>
        <v>P-12808-00</v>
      </c>
      <c r="E1087" s="6" t="str">
        <f>IFERROR(__xludf.DUMMYFUNCTION("""COMPUTED_VALUE"""),"Sock Drat luar PVC AW dia 1 1/2inch")</f>
        <v>Sock Drat luar PVC AW dia 1 1/2inch</v>
      </c>
      <c r="F1087" s="6">
        <f>IFERROR(__xludf.DUMMYFUNCTION("""COMPUTED_VALUE"""),4.0)</f>
        <v>4</v>
      </c>
      <c r="G1087" s="6" t="str">
        <f>IFERROR(__xludf.DUMMYFUNCTION("""COMPUTED_VALUE"""),"Pieces")</f>
        <v>Pieces</v>
      </c>
      <c r="H1087" s="6" t="str">
        <f>IFERROR(__xludf.DUMMYFUNCTION("""COMPUTED_VALUE"""),"IDR")</f>
        <v>IDR</v>
      </c>
      <c r="I1087" s="6">
        <f>IFERROR(__xludf.DUMMYFUNCTION("""COMPUTED_VALUE"""),13000.0)</f>
        <v>13000</v>
      </c>
      <c r="J1087" s="6">
        <f>IFERROR(__xludf.DUMMYFUNCTION("""COMPUTED_VALUE"""),52000.0)</f>
        <v>52000</v>
      </c>
      <c r="K1087" s="57">
        <f>IFERROR(__xludf.DUMMYFUNCTION("""COMPUTED_VALUE"""),43931.0)</f>
        <v>43931</v>
      </c>
      <c r="L1087" s="6" t="str">
        <f>IFERROR(__xludf.DUMMYFUNCTION("""COMPUTED_VALUE"""),"FIP Engineering")</f>
        <v>FIP Engineering</v>
      </c>
      <c r="M1087" s="6" t="str">
        <f>IFERROR(__xludf.DUMMYFUNCTION("""COMPUTED_VALUE"""),"Irwan Sopian")</f>
        <v>Irwan Sopian</v>
      </c>
      <c r="N1087" s="6" t="str">
        <f>IFERROR(__xludf.DUMMYFUNCTION("""COMPUTED_VALUE"""),"FIP Engineering")</f>
        <v>FIP Engineering</v>
      </c>
      <c r="O1087" s="6" t="str">
        <f>IFERROR(__xludf.DUMMYFUNCTION("""COMPUTED_VALUE"""),"FIP-DOM-000-11304-OS00001-INA-000000")</f>
        <v>FIP-DOM-000-11304-OS00001-INA-000000</v>
      </c>
      <c r="P1087" s="6" t="str">
        <f>IFERROR(__xludf.DUMMYFUNCTION("""COMPUTED_VALUE"""),"PO Closed")</f>
        <v>PO Closed</v>
      </c>
      <c r="Q1087" s="6" t="str">
        <f>IFERROR(__xludf.DUMMYFUNCTION("""COMPUTED_VALUE"""),"GL2004023")</f>
        <v>GL2004023</v>
      </c>
      <c r="R1087" s="57">
        <f>IFERROR(__xludf.DUMMYFUNCTION("""COMPUTED_VALUE"""),43907.0)</f>
        <v>43907</v>
      </c>
      <c r="S1087" s="6" t="str">
        <f>IFERROR(__xludf.DUMMYFUNCTION("""COMPUTED_VALUE"""),"-")</f>
        <v>-</v>
      </c>
      <c r="T1087" s="57">
        <f>IFERROR(__xludf.DUMMYFUNCTION("""COMPUTED_VALUE"""),43952.0)</f>
        <v>43952</v>
      </c>
    </row>
    <row r="1088">
      <c r="A1088" s="6" t="str">
        <f>IFERROR(__xludf.DUMMYFUNCTION("""COMPUTED_VALUE"""),"201750104-5")</f>
        <v>201750104-5</v>
      </c>
      <c r="B1088" s="6" t="str">
        <f>IFERROR(__xludf.DUMMYFUNCTION("""COMPUTED_VALUE"""),"201750104 - Approved")</f>
        <v>201750104 - Approved</v>
      </c>
      <c r="C1088" s="6">
        <f>IFERROR(__xludf.DUMMYFUNCTION("""COMPUTED_VALUE"""),5.0)</f>
        <v>5</v>
      </c>
      <c r="D1088" s="6" t="str">
        <f>IFERROR(__xludf.DUMMYFUNCTION("""COMPUTED_VALUE"""),"P-10868-00")</f>
        <v>P-10868-00</v>
      </c>
      <c r="E1088" s="6" t="str">
        <f>IFERROR(__xludf.DUMMYFUNCTION("""COMPUTED_VALUE"""),"Fitting PVC - Elbow PVC 4"" Rucika AW")</f>
        <v>Fitting PVC - Elbow PVC 4" Rucika AW</v>
      </c>
      <c r="F1088" s="6">
        <f>IFERROR(__xludf.DUMMYFUNCTION("""COMPUTED_VALUE"""),2.0)</f>
        <v>2</v>
      </c>
      <c r="G1088" s="6" t="str">
        <f>IFERROR(__xludf.DUMMYFUNCTION("""COMPUTED_VALUE"""),"Pieces")</f>
        <v>Pieces</v>
      </c>
      <c r="H1088" s="6" t="str">
        <f>IFERROR(__xludf.DUMMYFUNCTION("""COMPUTED_VALUE"""),"IDR")</f>
        <v>IDR</v>
      </c>
      <c r="I1088" s="6">
        <f>IFERROR(__xludf.DUMMYFUNCTION("""COMPUTED_VALUE"""),75000.0)</f>
        <v>75000</v>
      </c>
      <c r="J1088" s="6">
        <f>IFERROR(__xludf.DUMMYFUNCTION("""COMPUTED_VALUE"""),150000.0)</f>
        <v>150000</v>
      </c>
      <c r="K1088" s="57">
        <f>IFERROR(__xludf.DUMMYFUNCTION("""COMPUTED_VALUE"""),43931.0)</f>
        <v>43931</v>
      </c>
      <c r="L1088" s="6" t="str">
        <f>IFERROR(__xludf.DUMMYFUNCTION("""COMPUTED_VALUE"""),"FIP Engineering")</f>
        <v>FIP Engineering</v>
      </c>
      <c r="M1088" s="6" t="str">
        <f>IFERROR(__xludf.DUMMYFUNCTION("""COMPUTED_VALUE"""),"Irwan Sopian")</f>
        <v>Irwan Sopian</v>
      </c>
      <c r="N1088" s="6" t="str">
        <f>IFERROR(__xludf.DUMMYFUNCTION("""COMPUTED_VALUE"""),"FIP Engineering")</f>
        <v>FIP Engineering</v>
      </c>
      <c r="O1088" s="6" t="str">
        <f>IFERROR(__xludf.DUMMYFUNCTION("""COMPUTED_VALUE"""),"FIP-DOM-000-11304-OS00001-INA-000000")</f>
        <v>FIP-DOM-000-11304-OS00001-INA-000000</v>
      </c>
      <c r="P1088" s="6" t="str">
        <f>IFERROR(__xludf.DUMMYFUNCTION("""COMPUTED_VALUE"""),"PO Closed")</f>
        <v>PO Closed</v>
      </c>
      <c r="Q1088" s="6" t="str">
        <f>IFERROR(__xludf.DUMMYFUNCTION("""COMPUTED_VALUE"""),"GL2004023")</f>
        <v>GL2004023</v>
      </c>
      <c r="R1088" s="57">
        <f>IFERROR(__xludf.DUMMYFUNCTION("""COMPUTED_VALUE"""),43907.0)</f>
        <v>43907</v>
      </c>
      <c r="S1088" s="6" t="str">
        <f>IFERROR(__xludf.DUMMYFUNCTION("""COMPUTED_VALUE"""),"-")</f>
        <v>-</v>
      </c>
      <c r="T1088" s="57">
        <f>IFERROR(__xludf.DUMMYFUNCTION("""COMPUTED_VALUE"""),43952.0)</f>
        <v>43952</v>
      </c>
    </row>
    <row r="1089">
      <c r="A1089" s="6" t="str">
        <f>IFERROR(__xludf.DUMMYFUNCTION("""COMPUTED_VALUE"""),"201750114-1")</f>
        <v>201750114-1</v>
      </c>
      <c r="B1089" s="6" t="str">
        <f>IFERROR(__xludf.DUMMYFUNCTION("""COMPUTED_VALUE"""),"201750114 - Approved")</f>
        <v>201750114 - Approved</v>
      </c>
      <c r="C1089" s="6">
        <f>IFERROR(__xludf.DUMMYFUNCTION("""COMPUTED_VALUE"""),1.0)</f>
        <v>1</v>
      </c>
      <c r="D1089" s="6" t="str">
        <f>IFERROR(__xludf.DUMMYFUNCTION("""COMPUTED_VALUE"""),"P-14528-00")</f>
        <v>P-14528-00</v>
      </c>
      <c r="E1089" s="6" t="str">
        <f>IFERROR(__xludf.DUMMYFUNCTION("""COMPUTED_VALUE"""),"Pressure Gauge 2,5 inch 0-10 Bar, Sanitary Diaphragm Seal; ; ;")</f>
        <v>Pressure Gauge 2,5 inch 0-10 Bar, Sanitary Diaphragm Seal; ; ;</v>
      </c>
      <c r="F1089" s="6">
        <f>IFERROR(__xludf.DUMMYFUNCTION("""COMPUTED_VALUE"""),1.0)</f>
        <v>1</v>
      </c>
      <c r="G1089" s="6" t="str">
        <f>IFERROR(__xludf.DUMMYFUNCTION("""COMPUTED_VALUE"""),"Pieces")</f>
        <v>Pieces</v>
      </c>
      <c r="H1089" s="6" t="str">
        <f>IFERROR(__xludf.DUMMYFUNCTION("""COMPUTED_VALUE"""),"IDR")</f>
        <v>IDR</v>
      </c>
      <c r="I1089" s="6">
        <f>IFERROR(__xludf.DUMMYFUNCTION("""COMPUTED_VALUE"""),4000000.0)</f>
        <v>4000000</v>
      </c>
      <c r="J1089" s="6">
        <f>IFERROR(__xludf.DUMMYFUNCTION("""COMPUTED_VALUE"""),4000000.0)</f>
        <v>4000000</v>
      </c>
      <c r="K1089" s="57">
        <f>IFERROR(__xludf.DUMMYFUNCTION("""COMPUTED_VALUE"""),43938.0)</f>
        <v>43938</v>
      </c>
      <c r="L1089" s="6" t="str">
        <f>IFERROR(__xludf.DUMMYFUNCTION("""COMPUTED_VALUE"""),"FIP Engineering")</f>
        <v>FIP Engineering</v>
      </c>
      <c r="M1089" s="6" t="str">
        <f>IFERROR(__xludf.DUMMYFUNCTION("""COMPUTED_VALUE"""),"Irwan Sopian")</f>
        <v>Irwan Sopian</v>
      </c>
      <c r="N1089" s="6" t="str">
        <f>IFERROR(__xludf.DUMMYFUNCTION("""COMPUTED_VALUE"""),"FIP Engineering")</f>
        <v>FIP Engineering</v>
      </c>
      <c r="O1089" s="6" t="str">
        <f>IFERROR(__xludf.DUMMYFUNCTION("""COMPUTED_VALUE"""),"FIP-DOM-000-11304-OS00001-INA-000000")</f>
        <v>FIP-DOM-000-11304-OS00001-INA-000000</v>
      </c>
      <c r="P1089" s="6" t="str">
        <f>IFERROR(__xludf.DUMMYFUNCTION("""COMPUTED_VALUE"""),"PO Closed")</f>
        <v>PO Closed</v>
      </c>
      <c r="Q1089" s="6" t="str">
        <f>IFERROR(__xludf.DUMMYFUNCTION("""COMPUTED_VALUE"""),"GL2004005")</f>
        <v>GL2004005</v>
      </c>
      <c r="R1089" s="57">
        <f>IFERROR(__xludf.DUMMYFUNCTION("""COMPUTED_VALUE"""),43908.0)</f>
        <v>43908</v>
      </c>
      <c r="S1089" s="6" t="str">
        <f>IFERROR(__xludf.DUMMYFUNCTION("""COMPUTED_VALUE"""),"-")</f>
        <v>-</v>
      </c>
      <c r="T1089" s="57">
        <f>IFERROR(__xludf.DUMMYFUNCTION("""COMPUTED_VALUE"""),43945.0)</f>
        <v>43945</v>
      </c>
    </row>
    <row r="1090">
      <c r="A1090" s="6" t="str">
        <f>IFERROR(__xludf.DUMMYFUNCTION("""COMPUTED_VALUE"""),"201750113-1")</f>
        <v>201750113-1</v>
      </c>
      <c r="B1090" s="6" t="str">
        <f>IFERROR(__xludf.DUMMYFUNCTION("""COMPUTED_VALUE"""),"201750113 - Approved")</f>
        <v>201750113 - Approved</v>
      </c>
      <c r="C1090" s="6">
        <f>IFERROR(__xludf.DUMMYFUNCTION("""COMPUTED_VALUE"""),1.0)</f>
        <v>1</v>
      </c>
      <c r="D1090" s="6" t="str">
        <f>IFERROR(__xludf.DUMMYFUNCTION("""COMPUTED_VALUE"""),"T-20123-00")</f>
        <v>T-20123-00</v>
      </c>
      <c r="E1090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090" s="6">
        <f>IFERROR(__xludf.DUMMYFUNCTION("""COMPUTED_VALUE"""),1.0)</f>
        <v>1</v>
      </c>
      <c r="G1090" s="6" t="str">
        <f>IFERROR(__xludf.DUMMYFUNCTION("""COMPUTED_VALUE"""),"Pieces")</f>
        <v>Pieces</v>
      </c>
      <c r="H1090" s="6" t="str">
        <f>IFERROR(__xludf.DUMMYFUNCTION("""COMPUTED_VALUE"""),"IDR")</f>
        <v>IDR</v>
      </c>
      <c r="I1090" s="6">
        <f>IFERROR(__xludf.DUMMYFUNCTION("""COMPUTED_VALUE"""),1.1165E7)</f>
        <v>11165000</v>
      </c>
      <c r="J1090" s="6">
        <f>IFERROR(__xludf.DUMMYFUNCTION("""COMPUTED_VALUE"""),1.1165E7)</f>
        <v>11165000</v>
      </c>
      <c r="K1090" s="57">
        <f>IFERROR(__xludf.DUMMYFUNCTION("""COMPUTED_VALUE"""),43931.0)</f>
        <v>43931</v>
      </c>
      <c r="L1090" s="6" t="str">
        <f>IFERROR(__xludf.DUMMYFUNCTION("""COMPUTED_VALUE"""),"FIP General")</f>
        <v>FIP General</v>
      </c>
      <c r="M1090" s="6" t="str">
        <f>IFERROR(__xludf.DUMMYFUNCTION("""COMPUTED_VALUE"""),"Irwan Sopian")</f>
        <v>Irwan Sopian</v>
      </c>
      <c r="N1090" s="6" t="str">
        <f>IFERROR(__xludf.DUMMYFUNCTION("""COMPUTED_VALUE"""),"FIP Engineering")</f>
        <v>FIP Engineering</v>
      </c>
      <c r="O1090" s="6" t="str">
        <f>IFERROR(__xludf.DUMMYFUNCTION("""COMPUTED_VALUE"""),"FIP-DOM-ENG-51505-0000000-INA-000000")</f>
        <v>FIP-DOM-ENG-51505-0000000-INA-000000</v>
      </c>
      <c r="P1090" s="6" t="str">
        <f>IFERROR(__xludf.DUMMYFUNCTION("""COMPUTED_VALUE"""),"PO Closed")</f>
        <v>PO Closed</v>
      </c>
      <c r="Q1090" s="6" t="str">
        <f>IFERROR(__xludf.DUMMYFUNCTION("""COMPUTED_VALUE"""),"GL2003101")</f>
        <v>GL2003101</v>
      </c>
      <c r="R1090" s="57">
        <f>IFERROR(__xludf.DUMMYFUNCTION("""COMPUTED_VALUE"""),43908.0)</f>
        <v>43908</v>
      </c>
      <c r="S1090" s="6" t="str">
        <f>IFERROR(__xludf.DUMMYFUNCTION("""COMPUTED_VALUE"""),"-")</f>
        <v>-</v>
      </c>
      <c r="T1090" s="57">
        <f>IFERROR(__xludf.DUMMYFUNCTION("""COMPUTED_VALUE"""),43938.0)</f>
        <v>43938</v>
      </c>
    </row>
    <row r="1091">
      <c r="A1091" s="6" t="str">
        <f>IFERROR(__xludf.DUMMYFUNCTION("""COMPUTED_VALUE"""),"201750113-2")</f>
        <v>201750113-2</v>
      </c>
      <c r="B1091" s="6" t="str">
        <f>IFERROR(__xludf.DUMMYFUNCTION("""COMPUTED_VALUE"""),"201750113 - Approved")</f>
        <v>201750113 - Approved</v>
      </c>
      <c r="C1091" s="6">
        <f>IFERROR(__xludf.DUMMYFUNCTION("""COMPUTED_VALUE"""),2.0)</f>
        <v>2</v>
      </c>
      <c r="D1091" s="6" t="str">
        <f>IFERROR(__xludf.DUMMYFUNCTION("""COMPUTED_VALUE"""),"T-20136-00")</f>
        <v>T-20136-00</v>
      </c>
      <c r="E1091" s="6" t="str">
        <f>IFERROR(__xludf.DUMMYFUNCTION("""COMPUTED_VALUE"""),"2690 SEAL PACK REBUILD PKG Waters c/n WAT271019")</f>
        <v>2690 SEAL PACK REBUILD PKG Waters c/n WAT271019</v>
      </c>
      <c r="F1091" s="6">
        <f>IFERROR(__xludf.DUMMYFUNCTION("""COMPUTED_VALUE"""),1.0)</f>
        <v>1</v>
      </c>
      <c r="G1091" s="6" t="str">
        <f>IFERROR(__xludf.DUMMYFUNCTION("""COMPUTED_VALUE"""),"Pieces")</f>
        <v>Pieces</v>
      </c>
      <c r="H1091" s="6" t="str">
        <f>IFERROR(__xludf.DUMMYFUNCTION("""COMPUTED_VALUE"""),"IDR")</f>
        <v>IDR</v>
      </c>
      <c r="I1091" s="6">
        <f>IFERROR(__xludf.DUMMYFUNCTION("""COMPUTED_VALUE"""),4915500.0)</f>
        <v>4915500</v>
      </c>
      <c r="J1091" s="6">
        <f>IFERROR(__xludf.DUMMYFUNCTION("""COMPUTED_VALUE"""),4915500.0)</f>
        <v>4915500</v>
      </c>
      <c r="K1091" s="57">
        <f>IFERROR(__xludf.DUMMYFUNCTION("""COMPUTED_VALUE"""),43931.0)</f>
        <v>43931</v>
      </c>
      <c r="L1091" s="6" t="str">
        <f>IFERROR(__xludf.DUMMYFUNCTION("""COMPUTED_VALUE"""),"FIP General")</f>
        <v>FIP General</v>
      </c>
      <c r="M1091" s="6" t="str">
        <f>IFERROR(__xludf.DUMMYFUNCTION("""COMPUTED_VALUE"""),"Irwan Sopian")</f>
        <v>Irwan Sopian</v>
      </c>
      <c r="N1091" s="6" t="str">
        <f>IFERROR(__xludf.DUMMYFUNCTION("""COMPUTED_VALUE"""),"FIP Engineering")</f>
        <v>FIP Engineering</v>
      </c>
      <c r="O1091" s="6" t="str">
        <f>IFERROR(__xludf.DUMMYFUNCTION("""COMPUTED_VALUE"""),"FIP-DOM-ENG-51505-0000000-INA-000000")</f>
        <v>FIP-DOM-ENG-51505-0000000-INA-000000</v>
      </c>
      <c r="P1091" s="6" t="str">
        <f>IFERROR(__xludf.DUMMYFUNCTION("""COMPUTED_VALUE"""),"PO Closed")</f>
        <v>PO Closed</v>
      </c>
      <c r="Q1091" s="6" t="str">
        <f>IFERROR(__xludf.DUMMYFUNCTION("""COMPUTED_VALUE"""),"GL2003101")</f>
        <v>GL2003101</v>
      </c>
      <c r="R1091" s="57">
        <f>IFERROR(__xludf.DUMMYFUNCTION("""COMPUTED_VALUE"""),43908.0)</f>
        <v>43908</v>
      </c>
      <c r="S1091" s="6" t="str">
        <f>IFERROR(__xludf.DUMMYFUNCTION("""COMPUTED_VALUE"""),"-")</f>
        <v>-</v>
      </c>
      <c r="T1091" s="57">
        <f>IFERROR(__xludf.DUMMYFUNCTION("""COMPUTED_VALUE"""),43949.0)</f>
        <v>43949</v>
      </c>
    </row>
    <row r="1092">
      <c r="A1092" s="6" t="str">
        <f>IFERROR(__xludf.DUMMYFUNCTION("""COMPUTED_VALUE"""),"201750113-3")</f>
        <v>201750113-3</v>
      </c>
      <c r="B1092" s="6" t="str">
        <f>IFERROR(__xludf.DUMMYFUNCTION("""COMPUTED_VALUE"""),"201750113 - Approved")</f>
        <v>201750113 - Approved</v>
      </c>
      <c r="C1092" s="6">
        <f>IFERROR(__xludf.DUMMYFUNCTION("""COMPUTED_VALUE"""),3.0)</f>
        <v>3</v>
      </c>
      <c r="D1092" s="6" t="str">
        <f>IFERROR(__xludf.DUMMYFUNCTION("""COMPUTED_VALUE"""),"T-20055-00")</f>
        <v>T-20055-00</v>
      </c>
      <c r="E1092" s="6" t="str">
        <f>IFERROR(__xludf.DUMMYFUNCTION("""COMPUTED_VALUE"""),"PerformancePlus Check Valve Cartridge Waters p/n 700002399")</f>
        <v>PerformancePlus Check Valve Cartridge Waters p/n 700002399</v>
      </c>
      <c r="F1092" s="6">
        <f>IFERROR(__xludf.DUMMYFUNCTION("""COMPUTED_VALUE"""),1.0)</f>
        <v>1</v>
      </c>
      <c r="G1092" s="6" t="str">
        <f>IFERROR(__xludf.DUMMYFUNCTION("""COMPUTED_VALUE"""),"Pieces")</f>
        <v>Pieces</v>
      </c>
      <c r="H1092" s="6" t="str">
        <f>IFERROR(__xludf.DUMMYFUNCTION("""COMPUTED_VALUE"""),"IDR")</f>
        <v>IDR</v>
      </c>
      <c r="I1092" s="6">
        <f>IFERROR(__xludf.DUMMYFUNCTION("""COMPUTED_VALUE"""),5814500.0)</f>
        <v>5814500</v>
      </c>
      <c r="J1092" s="6">
        <f>IFERROR(__xludf.DUMMYFUNCTION("""COMPUTED_VALUE"""),5814500.0)</f>
        <v>5814500</v>
      </c>
      <c r="K1092" s="57">
        <f>IFERROR(__xludf.DUMMYFUNCTION("""COMPUTED_VALUE"""),43931.0)</f>
        <v>43931</v>
      </c>
      <c r="L1092" s="6" t="str">
        <f>IFERROR(__xludf.DUMMYFUNCTION("""COMPUTED_VALUE"""),"FIP General")</f>
        <v>FIP General</v>
      </c>
      <c r="M1092" s="6" t="str">
        <f>IFERROR(__xludf.DUMMYFUNCTION("""COMPUTED_VALUE"""),"Irwan Sopian")</f>
        <v>Irwan Sopian</v>
      </c>
      <c r="N1092" s="6" t="str">
        <f>IFERROR(__xludf.DUMMYFUNCTION("""COMPUTED_VALUE"""),"FIP Engineering")</f>
        <v>FIP Engineering</v>
      </c>
      <c r="O1092" s="6" t="str">
        <f>IFERROR(__xludf.DUMMYFUNCTION("""COMPUTED_VALUE"""),"FIP-DOM-ENG-51505-0000000-INA-000000")</f>
        <v>FIP-DOM-ENG-51505-0000000-INA-000000</v>
      </c>
      <c r="P1092" s="6" t="str">
        <f>IFERROR(__xludf.DUMMYFUNCTION("""COMPUTED_VALUE"""),"PO Closed")</f>
        <v>PO Closed</v>
      </c>
      <c r="Q1092" s="6" t="str">
        <f>IFERROR(__xludf.DUMMYFUNCTION("""COMPUTED_VALUE"""),"GL2003101")</f>
        <v>GL2003101</v>
      </c>
      <c r="R1092" s="57">
        <f>IFERROR(__xludf.DUMMYFUNCTION("""COMPUTED_VALUE"""),43908.0)</f>
        <v>43908</v>
      </c>
      <c r="S1092" s="6" t="str">
        <f>IFERROR(__xludf.DUMMYFUNCTION("""COMPUTED_VALUE"""),"-")</f>
        <v>-</v>
      </c>
      <c r="T1092" s="57">
        <f>IFERROR(__xludf.DUMMYFUNCTION("""COMPUTED_VALUE"""),43938.0)</f>
        <v>43938</v>
      </c>
    </row>
    <row r="1093">
      <c r="A1093" s="6" t="str">
        <f>IFERROR(__xludf.DUMMYFUNCTION("""COMPUTED_VALUE"""),"201750122-1")</f>
        <v>201750122-1</v>
      </c>
      <c r="B1093" s="6" t="str">
        <f>IFERROR(__xludf.DUMMYFUNCTION("""COMPUTED_VALUE"""),"201750122 - Approved")</f>
        <v>201750122 - Approved</v>
      </c>
      <c r="C1093" s="6">
        <f>IFERROR(__xludf.DUMMYFUNCTION("""COMPUTED_VALUE"""),1.0)</f>
        <v>1</v>
      </c>
      <c r="D1093" s="6" t="str">
        <f>IFERROR(__xludf.DUMMYFUNCTION("""COMPUTED_VALUE"""),"P-51781-00")</f>
        <v>P-51781-00</v>
      </c>
      <c r="E1093" s="6" t="str">
        <f>IFERROR(__xludf.DUMMYFUNCTION("""COMPUTED_VALUE"""),"Digital Temperature Switch Type : TS2-021 Voltage : 230 VAC Brand: Dwyer")</f>
        <v>Digital Temperature Switch Type : TS2-021 Voltage : 230 VAC Brand: Dwyer</v>
      </c>
      <c r="F1093" s="6">
        <f>IFERROR(__xludf.DUMMYFUNCTION("""COMPUTED_VALUE"""),2.0)</f>
        <v>2</v>
      </c>
      <c r="G1093" s="6" t="str">
        <f>IFERROR(__xludf.DUMMYFUNCTION("""COMPUTED_VALUE"""),"Unit")</f>
        <v>Unit</v>
      </c>
      <c r="H1093" s="6" t="str">
        <f>IFERROR(__xludf.DUMMYFUNCTION("""COMPUTED_VALUE"""),"IDR")</f>
        <v>IDR</v>
      </c>
      <c r="I1093" s="6">
        <f>IFERROR(__xludf.DUMMYFUNCTION("""COMPUTED_VALUE"""),1581000.0)</f>
        <v>1581000</v>
      </c>
      <c r="J1093" s="6">
        <f>IFERROR(__xludf.DUMMYFUNCTION("""COMPUTED_VALUE"""),3162000.0)</f>
        <v>3162000</v>
      </c>
      <c r="K1093" s="57">
        <f>IFERROR(__xludf.DUMMYFUNCTION("""COMPUTED_VALUE"""),43938.0)</f>
        <v>43938</v>
      </c>
      <c r="L1093" s="6" t="str">
        <f>IFERROR(__xludf.DUMMYFUNCTION("""COMPUTED_VALUE"""),"FIP Engineering")</f>
        <v>FIP Engineering</v>
      </c>
      <c r="M1093" s="6" t="str">
        <f>IFERROR(__xludf.DUMMYFUNCTION("""COMPUTED_VALUE"""),"Irwan Sopian")</f>
        <v>Irwan Sopian</v>
      </c>
      <c r="N1093" s="6" t="str">
        <f>IFERROR(__xludf.DUMMYFUNCTION("""COMPUTED_VALUE"""),"FIP Engineering")</f>
        <v>FIP Engineering</v>
      </c>
      <c r="O1093" s="6" t="str">
        <f>IFERROR(__xludf.DUMMYFUNCTION("""COMPUTED_VALUE"""),"FIP-DOM-000-11304-OS00001-INA-000000")</f>
        <v>FIP-DOM-000-11304-OS00001-INA-000000</v>
      </c>
      <c r="P1093" s="6" t="str">
        <f>IFERROR(__xludf.DUMMYFUNCTION("""COMPUTED_VALUE"""),"PO Closed")</f>
        <v>PO Closed</v>
      </c>
      <c r="Q1093" s="6" t="str">
        <f>IFERROR(__xludf.DUMMYFUNCTION("""COMPUTED_VALUE"""),"GL2004043")</f>
        <v>GL2004043</v>
      </c>
      <c r="R1093" s="57">
        <f>IFERROR(__xludf.DUMMYFUNCTION("""COMPUTED_VALUE"""),43916.0)</f>
        <v>43916</v>
      </c>
      <c r="S1093" s="6" t="str">
        <f>IFERROR(__xludf.DUMMYFUNCTION("""COMPUTED_VALUE"""),"-")</f>
        <v>-</v>
      </c>
      <c r="T1093" s="57">
        <f>IFERROR(__xludf.DUMMYFUNCTION("""COMPUTED_VALUE"""),43987.0)</f>
        <v>43987</v>
      </c>
    </row>
    <row r="1094">
      <c r="A1094" s="6" t="str">
        <f>IFERROR(__xludf.DUMMYFUNCTION("""COMPUTED_VALUE"""),"201750104-6")</f>
        <v>201750104-6</v>
      </c>
      <c r="B1094" s="6" t="str">
        <f>IFERROR(__xludf.DUMMYFUNCTION("""COMPUTED_VALUE"""),"201750104 - Approved")</f>
        <v>201750104 - Approved</v>
      </c>
      <c r="C1094" s="6">
        <f>IFERROR(__xludf.DUMMYFUNCTION("""COMPUTED_VALUE"""),6.0)</f>
        <v>6</v>
      </c>
      <c r="D1094" s="6" t="str">
        <f>IFERROR(__xludf.DUMMYFUNCTION("""COMPUTED_VALUE"""),"P-51865-00")</f>
        <v>P-51865-00</v>
      </c>
      <c r="E1094" s="6" t="str">
        <f>IFERROR(__xludf.DUMMYFUNCTION("""COMPUTED_VALUE"""),"Lampu LED Floodlight 50 watt")</f>
        <v>Lampu LED Floodlight 50 watt</v>
      </c>
      <c r="F1094" s="6">
        <f>IFERROR(__xludf.DUMMYFUNCTION("""COMPUTED_VALUE"""),1.0)</f>
        <v>1</v>
      </c>
      <c r="G1094" s="6" t="str">
        <f>IFERROR(__xludf.DUMMYFUNCTION("""COMPUTED_VALUE"""),"Pieces")</f>
        <v>Pieces</v>
      </c>
      <c r="H1094" s="6" t="str">
        <f>IFERROR(__xludf.DUMMYFUNCTION("""COMPUTED_VALUE"""),"IDR")</f>
        <v>IDR</v>
      </c>
      <c r="I1094" s="6">
        <f>IFERROR(__xludf.DUMMYFUNCTION("""COMPUTED_VALUE"""),250000.0)</f>
        <v>250000</v>
      </c>
      <c r="J1094" s="6">
        <f>IFERROR(__xludf.DUMMYFUNCTION("""COMPUTED_VALUE"""),250000.0)</f>
        <v>250000</v>
      </c>
      <c r="K1094" s="57">
        <f>IFERROR(__xludf.DUMMYFUNCTION("""COMPUTED_VALUE"""),43931.0)</f>
        <v>43931</v>
      </c>
      <c r="L1094" s="6" t="str">
        <f>IFERROR(__xludf.DUMMYFUNCTION("""COMPUTED_VALUE"""),"FIP Engineering")</f>
        <v>FIP Engineering</v>
      </c>
      <c r="M1094" s="6" t="str">
        <f>IFERROR(__xludf.DUMMYFUNCTION("""COMPUTED_VALUE"""),"Irwan Sopian")</f>
        <v>Irwan Sopian</v>
      </c>
      <c r="N1094" s="6" t="str">
        <f>IFERROR(__xludf.DUMMYFUNCTION("""COMPUTED_VALUE"""),"FIP Engineering")</f>
        <v>FIP Engineering</v>
      </c>
      <c r="O1094" s="6" t="str">
        <f>IFERROR(__xludf.DUMMYFUNCTION("""COMPUTED_VALUE"""),"FIP-DOM-000-11304-OS00001-INA-000000")</f>
        <v>FIP-DOM-000-11304-OS00001-INA-000000</v>
      </c>
      <c r="P1094" s="6" t="str">
        <f>IFERROR(__xludf.DUMMYFUNCTION("""COMPUTED_VALUE"""),"PO Closed")</f>
        <v>PO Closed</v>
      </c>
      <c r="Q1094" s="6" t="str">
        <f>IFERROR(__xludf.DUMMYFUNCTION("""COMPUTED_VALUE"""),"GL2004023")</f>
        <v>GL2004023</v>
      </c>
      <c r="R1094" s="57">
        <f>IFERROR(__xludf.DUMMYFUNCTION("""COMPUTED_VALUE"""),43916.0)</f>
        <v>43916</v>
      </c>
      <c r="S1094" s="6" t="str">
        <f>IFERROR(__xludf.DUMMYFUNCTION("""COMPUTED_VALUE"""),"-")</f>
        <v>-</v>
      </c>
      <c r="T1094" s="57">
        <f>IFERROR(__xludf.DUMMYFUNCTION("""COMPUTED_VALUE"""),43952.0)</f>
        <v>43952</v>
      </c>
    </row>
    <row r="1095">
      <c r="A1095" s="6" t="str">
        <f>IFERROR(__xludf.DUMMYFUNCTION("""COMPUTED_VALUE"""),"201750104-7")</f>
        <v>201750104-7</v>
      </c>
      <c r="B1095" s="6" t="str">
        <f>IFERROR(__xludf.DUMMYFUNCTION("""COMPUTED_VALUE"""),"201750104 - Approved")</f>
        <v>201750104 - Approved</v>
      </c>
      <c r="C1095" s="6">
        <f>IFERROR(__xludf.DUMMYFUNCTION("""COMPUTED_VALUE"""),7.0)</f>
        <v>7</v>
      </c>
      <c r="D1095" s="6" t="str">
        <f>IFERROR(__xludf.DUMMYFUNCTION("""COMPUTED_VALUE"""),"P-12930-00")</f>
        <v>P-12930-00</v>
      </c>
      <c r="E1095" s="6" t="str">
        <f>IFERROR(__xludf.DUMMYFUNCTION("""COMPUTED_VALUE"""),"V-trap PVC uk. 2inch")</f>
        <v>V-trap PVC uk. 2inch</v>
      </c>
      <c r="F1095" s="6">
        <f>IFERROR(__xludf.DUMMYFUNCTION("""COMPUTED_VALUE"""),2.0)</f>
        <v>2</v>
      </c>
      <c r="G1095" s="6" t="str">
        <f>IFERROR(__xludf.DUMMYFUNCTION("""COMPUTED_VALUE"""),"Pieces")</f>
        <v>Pieces</v>
      </c>
      <c r="H1095" s="6" t="str">
        <f>IFERROR(__xludf.DUMMYFUNCTION("""COMPUTED_VALUE"""),"IDR")</f>
        <v>IDR</v>
      </c>
      <c r="I1095" s="6">
        <f>IFERROR(__xludf.DUMMYFUNCTION("""COMPUTED_VALUE"""),25000.0)</f>
        <v>25000</v>
      </c>
      <c r="J1095" s="6">
        <f>IFERROR(__xludf.DUMMYFUNCTION("""COMPUTED_VALUE"""),50000.0)</f>
        <v>50000</v>
      </c>
      <c r="K1095" s="57">
        <f>IFERROR(__xludf.DUMMYFUNCTION("""COMPUTED_VALUE"""),43931.0)</f>
        <v>43931</v>
      </c>
      <c r="L1095" s="6" t="str">
        <f>IFERROR(__xludf.DUMMYFUNCTION("""COMPUTED_VALUE"""),"FIP Engineering")</f>
        <v>FIP Engineering</v>
      </c>
      <c r="M1095" s="6" t="str">
        <f>IFERROR(__xludf.DUMMYFUNCTION("""COMPUTED_VALUE"""),"Irwan Sopian")</f>
        <v>Irwan Sopian</v>
      </c>
      <c r="N1095" s="6" t="str">
        <f>IFERROR(__xludf.DUMMYFUNCTION("""COMPUTED_VALUE"""),"FIP Engineering")</f>
        <v>FIP Engineering</v>
      </c>
      <c r="O1095" s="6" t="str">
        <f>IFERROR(__xludf.DUMMYFUNCTION("""COMPUTED_VALUE"""),"FIP-DOM-000-11304-OS00001-INA-000000")</f>
        <v>FIP-DOM-000-11304-OS00001-INA-000000</v>
      </c>
      <c r="P1095" s="6" t="str">
        <f>IFERROR(__xludf.DUMMYFUNCTION("""COMPUTED_VALUE"""),"PO Closed")</f>
        <v>PO Closed</v>
      </c>
      <c r="Q1095" s="6" t="str">
        <f>IFERROR(__xludf.DUMMYFUNCTION("""COMPUTED_VALUE"""),"GL2004023")</f>
        <v>GL2004023</v>
      </c>
      <c r="R1095" s="57">
        <f>IFERROR(__xludf.DUMMYFUNCTION("""COMPUTED_VALUE"""),43916.0)</f>
        <v>43916</v>
      </c>
      <c r="S1095" s="6" t="str">
        <f>IFERROR(__xludf.DUMMYFUNCTION("""COMPUTED_VALUE"""),"-")</f>
        <v>-</v>
      </c>
      <c r="T1095" s="57">
        <f>IFERROR(__xludf.DUMMYFUNCTION("""COMPUTED_VALUE"""),43952.0)</f>
        <v>43952</v>
      </c>
    </row>
    <row r="1096">
      <c r="A1096" s="6" t="str">
        <f>IFERROR(__xludf.DUMMYFUNCTION("""COMPUTED_VALUE"""),"201750104-8")</f>
        <v>201750104-8</v>
      </c>
      <c r="B1096" s="6" t="str">
        <f>IFERROR(__xludf.DUMMYFUNCTION("""COMPUTED_VALUE"""),"201750104 - Approved")</f>
        <v>201750104 - Approved</v>
      </c>
      <c r="C1096" s="6">
        <f>IFERROR(__xludf.DUMMYFUNCTION("""COMPUTED_VALUE"""),8.0)</f>
        <v>8</v>
      </c>
      <c r="D1096" s="6" t="str">
        <f>IFERROR(__xludf.DUMMYFUNCTION("""COMPUTED_VALUE"""),"P-12721-00")</f>
        <v>P-12721-00</v>
      </c>
      <c r="E1096" s="6" t="str">
        <f>IFERROR(__xludf.DUMMYFUNCTION("""COMPUTED_VALUE"""),"Reducer PVC AW dia 2inch x 1 1/2inch")</f>
        <v>Reducer PVC AW dia 2inch x 1 1/2inch</v>
      </c>
      <c r="F1096" s="6">
        <f>IFERROR(__xludf.DUMMYFUNCTION("""COMPUTED_VALUE"""),2.0)</f>
        <v>2</v>
      </c>
      <c r="G1096" s="6" t="str">
        <f>IFERROR(__xludf.DUMMYFUNCTION("""COMPUTED_VALUE"""),"Pieces")</f>
        <v>Pieces</v>
      </c>
      <c r="H1096" s="6" t="str">
        <f>IFERROR(__xludf.DUMMYFUNCTION("""COMPUTED_VALUE"""),"IDR")</f>
        <v>IDR</v>
      </c>
      <c r="I1096" s="6">
        <f>IFERROR(__xludf.DUMMYFUNCTION("""COMPUTED_VALUE"""),15500.0)</f>
        <v>15500</v>
      </c>
      <c r="J1096" s="6">
        <f>IFERROR(__xludf.DUMMYFUNCTION("""COMPUTED_VALUE"""),31000.0)</f>
        <v>31000</v>
      </c>
      <c r="K1096" s="57">
        <f>IFERROR(__xludf.DUMMYFUNCTION("""COMPUTED_VALUE"""),43931.0)</f>
        <v>43931</v>
      </c>
      <c r="L1096" s="6" t="str">
        <f>IFERROR(__xludf.DUMMYFUNCTION("""COMPUTED_VALUE"""),"FIP Engineering")</f>
        <v>FIP Engineering</v>
      </c>
      <c r="M1096" s="6" t="str">
        <f>IFERROR(__xludf.DUMMYFUNCTION("""COMPUTED_VALUE"""),"Irwan Sopian")</f>
        <v>Irwan Sopian</v>
      </c>
      <c r="N1096" s="6" t="str">
        <f>IFERROR(__xludf.DUMMYFUNCTION("""COMPUTED_VALUE"""),"FIP Engineering")</f>
        <v>FIP Engineering</v>
      </c>
      <c r="O1096" s="6" t="str">
        <f>IFERROR(__xludf.DUMMYFUNCTION("""COMPUTED_VALUE"""),"FIP-DOM-000-11304-OS00001-INA-000000")</f>
        <v>FIP-DOM-000-11304-OS00001-INA-000000</v>
      </c>
      <c r="P1096" s="6" t="str">
        <f>IFERROR(__xludf.DUMMYFUNCTION("""COMPUTED_VALUE"""),"PO Closed")</f>
        <v>PO Closed</v>
      </c>
      <c r="Q1096" s="6" t="str">
        <f>IFERROR(__xludf.DUMMYFUNCTION("""COMPUTED_VALUE"""),"GL2004023")</f>
        <v>GL2004023</v>
      </c>
      <c r="R1096" s="57">
        <f>IFERROR(__xludf.DUMMYFUNCTION("""COMPUTED_VALUE"""),43916.0)</f>
        <v>43916</v>
      </c>
      <c r="S1096" s="6" t="str">
        <f>IFERROR(__xludf.DUMMYFUNCTION("""COMPUTED_VALUE"""),"-")</f>
        <v>-</v>
      </c>
      <c r="T1096" s="57">
        <f>IFERROR(__xludf.DUMMYFUNCTION("""COMPUTED_VALUE"""),43952.0)</f>
        <v>43952</v>
      </c>
    </row>
    <row r="1097">
      <c r="A1097" s="6" t="str">
        <f>IFERROR(__xludf.DUMMYFUNCTION("""COMPUTED_VALUE"""),"201750126-1")</f>
        <v>201750126-1</v>
      </c>
      <c r="B1097" s="6" t="str">
        <f>IFERROR(__xludf.DUMMYFUNCTION("""COMPUTED_VALUE"""),"201750126 - Approved")</f>
        <v>201750126 - Approved</v>
      </c>
      <c r="C1097" s="6">
        <f>IFERROR(__xludf.DUMMYFUNCTION("""COMPUTED_VALUE"""),1.0)</f>
        <v>1</v>
      </c>
      <c r="D1097" s="6" t="str">
        <f>IFERROR(__xludf.DUMMYFUNCTION("""COMPUTED_VALUE"""),"Q-11000-00")</f>
        <v>Q-11000-00</v>
      </c>
      <c r="E1097" s="6" t="str">
        <f>IFERROR(__xludf.DUMMYFUNCTION("""COMPUTED_VALUE"""),"Pasang Dudukan Screen Proyektor Lt3")</f>
        <v>Pasang Dudukan Screen Proyektor Lt3</v>
      </c>
      <c r="F1097" s="6">
        <f>IFERROR(__xludf.DUMMYFUNCTION("""COMPUTED_VALUE"""),1.0)</f>
        <v>1</v>
      </c>
      <c r="G1097" s="6" t="str">
        <f>IFERROR(__xludf.DUMMYFUNCTION("""COMPUTED_VALUE"""),"Lot")</f>
        <v>Lot</v>
      </c>
      <c r="H1097" s="6" t="str">
        <f>IFERROR(__xludf.DUMMYFUNCTION("""COMPUTED_VALUE"""),"IDR")</f>
        <v>IDR</v>
      </c>
      <c r="I1097" s="6">
        <f>IFERROR(__xludf.DUMMYFUNCTION("""COMPUTED_VALUE"""),2437500.0)</f>
        <v>2437500</v>
      </c>
      <c r="J1097" s="6">
        <f>IFERROR(__xludf.DUMMYFUNCTION("""COMPUTED_VALUE"""),2437500.0)</f>
        <v>2437500</v>
      </c>
      <c r="K1097" s="57">
        <f>IFERROR(__xludf.DUMMYFUNCTION("""COMPUTED_VALUE"""),43938.0)</f>
        <v>43938</v>
      </c>
      <c r="L1097" s="6" t="str">
        <f>IFERROR(__xludf.DUMMYFUNCTION("""COMPUTED_VALUE"""),"FIP General")</f>
        <v>FIP General</v>
      </c>
      <c r="M1097" s="6" t="str">
        <f>IFERROR(__xludf.DUMMYFUNCTION("""COMPUTED_VALUE"""),"Irwan Sopian")</f>
        <v>Irwan Sopian</v>
      </c>
      <c r="N1097" s="6" t="str">
        <f>IFERROR(__xludf.DUMMYFUNCTION("""COMPUTED_VALUE"""),"FIP Engineering")</f>
        <v>FIP Engineering</v>
      </c>
      <c r="O1097" s="6" t="str">
        <f>IFERROR(__xludf.DUMMYFUNCTION("""COMPUTED_VALUE"""),"FIP-DOM-ENG-51502-0000000-INA-000000")</f>
        <v>FIP-DOM-ENG-51502-0000000-INA-000000</v>
      </c>
      <c r="P1097" s="6" t="str">
        <f>IFERROR(__xludf.DUMMYFUNCTION("""COMPUTED_VALUE"""),"PO Closed")</f>
        <v>PO Closed</v>
      </c>
      <c r="Q1097" s="6" t="str">
        <f>IFERROR(__xludf.DUMMYFUNCTION("""COMPUTED_VALUE"""),"GL2004010")</f>
        <v>GL2004010</v>
      </c>
      <c r="R1097" s="57">
        <f>IFERROR(__xludf.DUMMYFUNCTION("""COMPUTED_VALUE"""),43917.0)</f>
        <v>43917</v>
      </c>
      <c r="S1097" s="6" t="str">
        <f>IFERROR(__xludf.DUMMYFUNCTION("""COMPUTED_VALUE"""),"-")</f>
        <v>-</v>
      </c>
      <c r="T1097" s="57">
        <f>IFERROR(__xludf.DUMMYFUNCTION("""COMPUTED_VALUE"""),43958.0)</f>
        <v>43958</v>
      </c>
    </row>
    <row r="1098">
      <c r="A1098" s="6" t="str">
        <f>IFERROR(__xludf.DUMMYFUNCTION("""COMPUTED_VALUE"""),"201750126-2")</f>
        <v>201750126-2</v>
      </c>
      <c r="B1098" s="6" t="str">
        <f>IFERROR(__xludf.DUMMYFUNCTION("""COMPUTED_VALUE"""),"201750126 - Approved")</f>
        <v>201750126 - Approved</v>
      </c>
      <c r="C1098" s="6">
        <f>IFERROR(__xludf.DUMMYFUNCTION("""COMPUTED_VALUE"""),2.0)</f>
        <v>2</v>
      </c>
      <c r="D1098" s="6" t="str">
        <f>IFERROR(__xludf.DUMMYFUNCTION("""COMPUTED_VALUE"""),"Q-11000-00")</f>
        <v>Q-11000-00</v>
      </c>
      <c r="E1098" s="6" t="str">
        <f>IFERROR(__xludf.DUMMYFUNCTION("""COMPUTED_VALUE"""),"Penggantian Kaca RAW S&amp;D 2")</f>
        <v>Penggantian Kaca RAW S&amp;D 2</v>
      </c>
      <c r="F1098" s="6">
        <f>IFERROR(__xludf.DUMMYFUNCTION("""COMPUTED_VALUE"""),1.0)</f>
        <v>1</v>
      </c>
      <c r="G1098" s="6" t="str">
        <f>IFERROR(__xludf.DUMMYFUNCTION("""COMPUTED_VALUE"""),"Lot")</f>
        <v>Lot</v>
      </c>
      <c r="H1098" s="6" t="str">
        <f>IFERROR(__xludf.DUMMYFUNCTION("""COMPUTED_VALUE"""),"IDR")</f>
        <v>IDR</v>
      </c>
      <c r="I1098" s="6">
        <f>IFERROR(__xludf.DUMMYFUNCTION("""COMPUTED_VALUE"""),3750000.0)</f>
        <v>3750000</v>
      </c>
      <c r="J1098" s="6">
        <f>IFERROR(__xludf.DUMMYFUNCTION("""COMPUTED_VALUE"""),3750000.0)</f>
        <v>3750000</v>
      </c>
      <c r="K1098" s="57">
        <f>IFERROR(__xludf.DUMMYFUNCTION("""COMPUTED_VALUE"""),43938.0)</f>
        <v>43938</v>
      </c>
      <c r="L1098" s="6" t="str">
        <f>IFERROR(__xludf.DUMMYFUNCTION("""COMPUTED_VALUE"""),"FIP General")</f>
        <v>FIP General</v>
      </c>
      <c r="M1098" s="6" t="str">
        <f>IFERROR(__xludf.DUMMYFUNCTION("""COMPUTED_VALUE"""),"Irwan Sopian")</f>
        <v>Irwan Sopian</v>
      </c>
      <c r="N1098" s="6" t="str">
        <f>IFERROR(__xludf.DUMMYFUNCTION("""COMPUTED_VALUE"""),"FIP Engineering")</f>
        <v>FIP Engineering</v>
      </c>
      <c r="O1098" s="6" t="str">
        <f>IFERROR(__xludf.DUMMYFUNCTION("""COMPUTED_VALUE"""),"FIP-DOM-ENG-51502-0000000-INA-000000")</f>
        <v>FIP-DOM-ENG-51502-0000000-INA-000000</v>
      </c>
      <c r="P1098" s="6" t="str">
        <f>IFERROR(__xludf.DUMMYFUNCTION("""COMPUTED_VALUE"""),"PO Closed")</f>
        <v>PO Closed</v>
      </c>
      <c r="Q1098" s="6" t="str">
        <f>IFERROR(__xludf.DUMMYFUNCTION("""COMPUTED_VALUE"""),"GL2004010")</f>
        <v>GL2004010</v>
      </c>
      <c r="R1098" s="57">
        <f>IFERROR(__xludf.DUMMYFUNCTION("""COMPUTED_VALUE"""),43917.0)</f>
        <v>43917</v>
      </c>
      <c r="S1098" s="6" t="str">
        <f>IFERROR(__xludf.DUMMYFUNCTION("""COMPUTED_VALUE"""),"-")</f>
        <v>-</v>
      </c>
      <c r="T1098" s="57">
        <f>IFERROR(__xludf.DUMMYFUNCTION("""COMPUTED_VALUE"""),43958.0)</f>
        <v>43958</v>
      </c>
    </row>
    <row r="1099">
      <c r="A1099" s="6" t="str">
        <f>IFERROR(__xludf.DUMMYFUNCTION("""COMPUTED_VALUE"""),"201750130-1")</f>
        <v>201750130-1</v>
      </c>
      <c r="B1099" s="6" t="str">
        <f>IFERROR(__xludf.DUMMYFUNCTION("""COMPUTED_VALUE"""),"201750130 - Approved")</f>
        <v>201750130 - Approved</v>
      </c>
      <c r="C1099" s="6">
        <f>IFERROR(__xludf.DUMMYFUNCTION("""COMPUTED_VALUE"""),1.0)</f>
        <v>1</v>
      </c>
      <c r="D1099" s="6" t="str">
        <f>IFERROR(__xludf.DUMMYFUNCTION("""COMPUTED_VALUE"""),"P-14424-00")</f>
        <v>P-14424-00</v>
      </c>
      <c r="E1099" s="6" t="str">
        <f>IFERROR(__xludf.DUMMYFUNCTION("""COMPUTED_VALUE"""),"Garam Kutreat RGN-9800F 25Kg/zak")</f>
        <v>Garam Kutreat RGN-9800F 25Kg/zak</v>
      </c>
      <c r="F1099" s="6">
        <f>IFERROR(__xludf.DUMMYFUNCTION("""COMPUTED_VALUE"""),300.0)</f>
        <v>300</v>
      </c>
      <c r="G1099" s="6" t="str">
        <f>IFERROR(__xludf.DUMMYFUNCTION("""COMPUTED_VALUE"""),"Kilogram")</f>
        <v>Kilogram</v>
      </c>
      <c r="H1099" s="6" t="str">
        <f>IFERROR(__xludf.DUMMYFUNCTION("""COMPUTED_VALUE"""),"IDR")</f>
        <v>IDR</v>
      </c>
      <c r="I1099" s="6">
        <f>IFERROR(__xludf.DUMMYFUNCTION("""COMPUTED_VALUE"""),9500.0)</f>
        <v>9500</v>
      </c>
      <c r="J1099" s="6">
        <f>IFERROR(__xludf.DUMMYFUNCTION("""COMPUTED_VALUE"""),2850000.0)</f>
        <v>2850000</v>
      </c>
      <c r="K1099" s="57">
        <f>IFERROR(__xludf.DUMMYFUNCTION("""COMPUTED_VALUE"""),43945.0)</f>
        <v>43945</v>
      </c>
      <c r="L1099" s="6" t="str">
        <f>IFERROR(__xludf.DUMMYFUNCTION("""COMPUTED_VALUE"""),"FIP Engineering")</f>
        <v>FIP Engineering</v>
      </c>
      <c r="M1099" s="6" t="str">
        <f>IFERROR(__xludf.DUMMYFUNCTION("""COMPUTED_VALUE"""),"Irwan Sopian")</f>
        <v>Irwan Sopian</v>
      </c>
      <c r="N1099" s="6" t="str">
        <f>IFERROR(__xludf.DUMMYFUNCTION("""COMPUTED_VALUE"""),"FIP Engineering")</f>
        <v>FIP Engineering</v>
      </c>
      <c r="O1099" s="6" t="str">
        <f>IFERROR(__xludf.DUMMYFUNCTION("""COMPUTED_VALUE"""),"FIP-DOM-000-11304-OS00001-INA-000000")</f>
        <v>FIP-DOM-000-11304-OS00001-INA-000000</v>
      </c>
      <c r="P1099" s="6" t="str">
        <f>IFERROR(__xludf.DUMMYFUNCTION("""COMPUTED_VALUE"""),"PO Closed")</f>
        <v>PO Closed</v>
      </c>
      <c r="Q1099" s="6" t="str">
        <f>IFERROR(__xludf.DUMMYFUNCTION("""COMPUTED_VALUE"""),"GL2004041")</f>
        <v>GL2004041</v>
      </c>
      <c r="R1099" s="57">
        <f>IFERROR(__xludf.DUMMYFUNCTION("""COMPUTED_VALUE"""),43920.0)</f>
        <v>43920</v>
      </c>
      <c r="S1099" s="6" t="str">
        <f>IFERROR(__xludf.DUMMYFUNCTION("""COMPUTED_VALUE"""),"-")</f>
        <v>-</v>
      </c>
      <c r="T1099" s="57">
        <f>IFERROR(__xludf.DUMMYFUNCTION("""COMPUTED_VALUE"""),43952.0)</f>
        <v>43952</v>
      </c>
    </row>
    <row r="1100">
      <c r="A1100" s="6" t="str">
        <f>IFERROR(__xludf.DUMMYFUNCTION("""COMPUTED_VALUE"""),"201750128-1")</f>
        <v>201750128-1</v>
      </c>
      <c r="B1100" s="6" t="str">
        <f>IFERROR(__xludf.DUMMYFUNCTION("""COMPUTED_VALUE"""),"201750128 - Approved")</f>
        <v>201750128 - Approved</v>
      </c>
      <c r="C1100" s="6">
        <f>IFERROR(__xludf.DUMMYFUNCTION("""COMPUTED_VALUE"""),1.0)</f>
        <v>1</v>
      </c>
      <c r="D1100" s="6" t="str">
        <f>IFERROR(__xludf.DUMMYFUNCTION("""COMPUTED_VALUE"""),"P-17368-00")</f>
        <v>P-17368-00</v>
      </c>
      <c r="E1100" s="6" t="str">
        <f>IFERROR(__xludf.DUMMYFUNCTION("""COMPUTED_VALUE"""),"Gate valve 2 inch Flange JIS 10K")</f>
        <v>Gate valve 2 inch Flange JIS 10K</v>
      </c>
      <c r="F1100" s="6">
        <f>IFERROR(__xludf.DUMMYFUNCTION("""COMPUTED_VALUE"""),2.0)</f>
        <v>2</v>
      </c>
      <c r="G1100" s="6" t="str">
        <f>IFERROR(__xludf.DUMMYFUNCTION("""COMPUTED_VALUE"""),"Pieces")</f>
        <v>Pieces</v>
      </c>
      <c r="H1100" s="6" t="str">
        <f>IFERROR(__xludf.DUMMYFUNCTION("""COMPUTED_VALUE"""),"IDR")</f>
        <v>IDR</v>
      </c>
      <c r="I1100" s="6">
        <f>IFERROR(__xludf.DUMMYFUNCTION("""COMPUTED_VALUE"""),3200000.0)</f>
        <v>3200000</v>
      </c>
      <c r="J1100" s="6">
        <f>IFERROR(__xludf.DUMMYFUNCTION("""COMPUTED_VALUE"""),6400000.0)</f>
        <v>6400000</v>
      </c>
      <c r="K1100" s="57">
        <f>IFERROR(__xludf.DUMMYFUNCTION("""COMPUTED_VALUE"""),43945.0)</f>
        <v>43945</v>
      </c>
      <c r="L1100" s="6" t="str">
        <f>IFERROR(__xludf.DUMMYFUNCTION("""COMPUTED_VALUE"""),"FIP Engineering")</f>
        <v>FIP Engineering</v>
      </c>
      <c r="M1100" s="6" t="str">
        <f>IFERROR(__xludf.DUMMYFUNCTION("""COMPUTED_VALUE"""),"Irwan Sopian")</f>
        <v>Irwan Sopian</v>
      </c>
      <c r="N1100" s="6" t="str">
        <f>IFERROR(__xludf.DUMMYFUNCTION("""COMPUTED_VALUE"""),"FIP Engineering")</f>
        <v>FIP Engineering</v>
      </c>
      <c r="O1100" s="6" t="str">
        <f>IFERROR(__xludf.DUMMYFUNCTION("""COMPUTED_VALUE"""),"FIP-DOM-000-11304-OS00001-INA-000000")</f>
        <v>FIP-DOM-000-11304-OS00001-INA-000000</v>
      </c>
      <c r="P1100" s="6" t="str">
        <f>IFERROR(__xludf.DUMMYFUNCTION("""COMPUTED_VALUE"""),"PO Closed")</f>
        <v>PO Closed</v>
      </c>
      <c r="Q1100" s="6" t="str">
        <f>IFERROR(__xludf.DUMMYFUNCTION("""COMPUTED_VALUE"""),"GL2004007")</f>
        <v>GL2004007</v>
      </c>
      <c r="R1100" s="57">
        <f>IFERROR(__xludf.DUMMYFUNCTION("""COMPUTED_VALUE"""),43920.0)</f>
        <v>43920</v>
      </c>
      <c r="S1100" s="6" t="str">
        <f>IFERROR(__xludf.DUMMYFUNCTION("""COMPUTED_VALUE"""),"-")</f>
        <v>-</v>
      </c>
      <c r="T1100" s="57">
        <f>IFERROR(__xludf.DUMMYFUNCTION("""COMPUTED_VALUE"""),43945.0)</f>
        <v>43945</v>
      </c>
    </row>
    <row r="1101">
      <c r="A1101" s="6" t="str">
        <f>IFERROR(__xludf.DUMMYFUNCTION("""COMPUTED_VALUE"""),"201750134-1")</f>
        <v>201750134-1</v>
      </c>
      <c r="B1101" s="6" t="str">
        <f>IFERROR(__xludf.DUMMYFUNCTION("""COMPUTED_VALUE"""),"201750134 - Approved")</f>
        <v>201750134 - Approved</v>
      </c>
      <c r="C1101" s="6">
        <f>IFERROR(__xludf.DUMMYFUNCTION("""COMPUTED_VALUE"""),1.0)</f>
        <v>1</v>
      </c>
      <c r="D1101" s="6" t="str">
        <f>IFERROR(__xludf.DUMMYFUNCTION("""COMPUTED_VALUE"""),"Q-11000-00")</f>
        <v>Q-11000-00</v>
      </c>
      <c r="E1101" s="6" t="str">
        <f>IFERROR(__xludf.DUMMYFUNCTION("""COMPUTED_VALUE"""),"Jasa Perbaikan Gedung area Werehouse")</f>
        <v>Jasa Perbaikan Gedung area Werehouse</v>
      </c>
      <c r="F1101" s="6">
        <f>IFERROR(__xludf.DUMMYFUNCTION("""COMPUTED_VALUE"""),1.0)</f>
        <v>1</v>
      </c>
      <c r="G1101" s="6" t="str">
        <f>IFERROR(__xludf.DUMMYFUNCTION("""COMPUTED_VALUE"""),"Lot")</f>
        <v>Lot</v>
      </c>
      <c r="H1101" s="6" t="str">
        <f>IFERROR(__xludf.DUMMYFUNCTION("""COMPUTED_VALUE"""),"IDR")</f>
        <v>IDR</v>
      </c>
      <c r="I1101" s="6">
        <f>IFERROR(__xludf.DUMMYFUNCTION("""COMPUTED_VALUE"""),1.08E7)</f>
        <v>10800000</v>
      </c>
      <c r="J1101" s="6">
        <f>IFERROR(__xludf.DUMMYFUNCTION("""COMPUTED_VALUE"""),1.08E7)</f>
        <v>10800000</v>
      </c>
      <c r="K1101" s="57">
        <f>IFERROR(__xludf.DUMMYFUNCTION("""COMPUTED_VALUE"""),43963.0)</f>
        <v>43963</v>
      </c>
      <c r="L1101" s="6" t="str">
        <f>IFERROR(__xludf.DUMMYFUNCTION("""COMPUTED_VALUE"""),"FIP General")</f>
        <v>FIP General</v>
      </c>
      <c r="M1101" s="6" t="str">
        <f>IFERROR(__xludf.DUMMYFUNCTION("""COMPUTED_VALUE"""),"Irwan Sopian")</f>
        <v>Irwan Sopian</v>
      </c>
      <c r="N1101" s="6" t="str">
        <f>IFERROR(__xludf.DUMMYFUNCTION("""COMPUTED_VALUE"""),"FIP Engineering")</f>
        <v>FIP Engineering</v>
      </c>
      <c r="O1101" s="6" t="str">
        <f>IFERROR(__xludf.DUMMYFUNCTION("""COMPUTED_VALUE"""),"FIP-DOM-ENG-51502-0000000-INA-000000")</f>
        <v>FIP-DOM-ENG-51502-0000000-INA-000000</v>
      </c>
      <c r="P1101" s="6" t="str">
        <f>IFERROR(__xludf.DUMMYFUNCTION("""COMPUTED_VALUE"""),"PO Closed")</f>
        <v>PO Closed</v>
      </c>
      <c r="Q1101" s="6" t="str">
        <f>IFERROR(__xludf.DUMMYFUNCTION("""COMPUTED_VALUE"""),"GL2004051")</f>
        <v>GL2004051</v>
      </c>
      <c r="R1101" s="57">
        <f>IFERROR(__xludf.DUMMYFUNCTION("""COMPUTED_VALUE"""),43921.0)</f>
        <v>43921</v>
      </c>
      <c r="S1101" s="6" t="str">
        <f>IFERROR(__xludf.DUMMYFUNCTION("""COMPUTED_VALUE"""),"-")</f>
        <v>-</v>
      </c>
      <c r="T1101" s="57">
        <f>IFERROR(__xludf.DUMMYFUNCTION("""COMPUTED_VALUE"""),43973.0)</f>
        <v>43973</v>
      </c>
    </row>
    <row r="1102">
      <c r="A1102" s="6" t="str">
        <f>IFERROR(__xludf.DUMMYFUNCTION("""COMPUTED_VALUE"""),"201750134-2")</f>
        <v>201750134-2</v>
      </c>
      <c r="B1102" s="6" t="str">
        <f>IFERROR(__xludf.DUMMYFUNCTION("""COMPUTED_VALUE"""),"201750134 - Approved")</f>
        <v>201750134 - Approved</v>
      </c>
      <c r="C1102" s="6">
        <f>IFERROR(__xludf.DUMMYFUNCTION("""COMPUTED_VALUE"""),2.0)</f>
        <v>2</v>
      </c>
      <c r="D1102" s="6" t="str">
        <f>IFERROR(__xludf.DUMMYFUNCTION("""COMPUTED_VALUE"""),"Q-11000-00")</f>
        <v>Q-11000-00</v>
      </c>
      <c r="E1102" s="6" t="str">
        <f>IFERROR(__xludf.DUMMYFUNCTION("""COMPUTED_VALUE"""),"Perbaikan Lampu Logo Fonko SignAge")</f>
        <v>Perbaikan Lampu Logo Fonko SignAge</v>
      </c>
      <c r="F1102" s="6">
        <f>IFERROR(__xludf.DUMMYFUNCTION("""COMPUTED_VALUE"""),1.0)</f>
        <v>1</v>
      </c>
      <c r="G1102" s="6" t="str">
        <f>IFERROR(__xludf.DUMMYFUNCTION("""COMPUTED_VALUE"""),"Lot")</f>
        <v>Lot</v>
      </c>
      <c r="H1102" s="6" t="str">
        <f>IFERROR(__xludf.DUMMYFUNCTION("""COMPUTED_VALUE"""),"IDR")</f>
        <v>IDR</v>
      </c>
      <c r="I1102" s="6">
        <f>IFERROR(__xludf.DUMMYFUNCTION("""COMPUTED_VALUE"""),1837500.0)</f>
        <v>1837500</v>
      </c>
      <c r="J1102" s="6">
        <f>IFERROR(__xludf.DUMMYFUNCTION("""COMPUTED_VALUE"""),1837500.0)</f>
        <v>1837500</v>
      </c>
      <c r="K1102" s="57">
        <f>IFERROR(__xludf.DUMMYFUNCTION("""COMPUTED_VALUE"""),43963.0)</f>
        <v>43963</v>
      </c>
      <c r="L1102" s="6" t="str">
        <f>IFERROR(__xludf.DUMMYFUNCTION("""COMPUTED_VALUE"""),"FIP General")</f>
        <v>FIP General</v>
      </c>
      <c r="M1102" s="6" t="str">
        <f>IFERROR(__xludf.DUMMYFUNCTION("""COMPUTED_VALUE"""),"Irwan Sopian")</f>
        <v>Irwan Sopian</v>
      </c>
      <c r="N1102" s="6" t="str">
        <f>IFERROR(__xludf.DUMMYFUNCTION("""COMPUTED_VALUE"""),"FIP Engineering")</f>
        <v>FIP Engineering</v>
      </c>
      <c r="O1102" s="6" t="str">
        <f>IFERROR(__xludf.DUMMYFUNCTION("""COMPUTED_VALUE"""),"FIP-DOM-ENG-51502-0000000-INA-000000")</f>
        <v>FIP-DOM-ENG-51502-0000000-INA-000000</v>
      </c>
      <c r="P1102" s="6" t="str">
        <f>IFERROR(__xludf.DUMMYFUNCTION("""COMPUTED_VALUE"""),"PO Closed")</f>
        <v>PO Closed</v>
      </c>
      <c r="Q1102" s="6" t="str">
        <f>IFERROR(__xludf.DUMMYFUNCTION("""COMPUTED_VALUE"""),"GL2004051")</f>
        <v>GL2004051</v>
      </c>
      <c r="R1102" s="57">
        <f>IFERROR(__xludf.DUMMYFUNCTION("""COMPUTED_VALUE"""),43921.0)</f>
        <v>43921</v>
      </c>
      <c r="S1102" s="6" t="str">
        <f>IFERROR(__xludf.DUMMYFUNCTION("""COMPUTED_VALUE"""),"-")</f>
        <v>-</v>
      </c>
      <c r="T1102" s="57">
        <f>IFERROR(__xludf.DUMMYFUNCTION("""COMPUTED_VALUE"""),43973.0)</f>
        <v>43973</v>
      </c>
    </row>
    <row r="1103">
      <c r="A1103" s="6" t="str">
        <f>IFERROR(__xludf.DUMMYFUNCTION("""COMPUTED_VALUE"""),"201750133-1")</f>
        <v>201750133-1</v>
      </c>
      <c r="B1103" s="6" t="str">
        <f>IFERROR(__xludf.DUMMYFUNCTION("""COMPUTED_VALUE"""),"201750133 - Approved")</f>
        <v>201750133 - Approved</v>
      </c>
      <c r="C1103" s="6">
        <f>IFERROR(__xludf.DUMMYFUNCTION("""COMPUTED_VALUE"""),1.0)</f>
        <v>1</v>
      </c>
      <c r="D1103" s="6" t="str">
        <f>IFERROR(__xludf.DUMMYFUNCTION("""COMPUTED_VALUE"""),"P-51559-00")</f>
        <v>P-51559-00</v>
      </c>
      <c r="E1103" s="6" t="str">
        <f>IFERROR(__xludf.DUMMYFUNCTION("""COMPUTED_VALUE"""),"Lampu T5 14watt Putih Phillips")</f>
        <v>Lampu T5 14watt Putih Phillips</v>
      </c>
      <c r="F1103" s="6">
        <f>IFERROR(__xludf.DUMMYFUNCTION("""COMPUTED_VALUE"""),40.0)</f>
        <v>40</v>
      </c>
      <c r="G1103" s="6" t="str">
        <f>IFERROR(__xludf.DUMMYFUNCTION("""COMPUTED_VALUE"""),"Pack")</f>
        <v>Pack</v>
      </c>
      <c r="H1103" s="6" t="str">
        <f>IFERROR(__xludf.DUMMYFUNCTION("""COMPUTED_VALUE"""),"IDR")</f>
        <v>IDR</v>
      </c>
      <c r="I1103" s="6">
        <f>IFERROR(__xludf.DUMMYFUNCTION("""COMPUTED_VALUE"""),29700.0)</f>
        <v>29700</v>
      </c>
      <c r="J1103" s="6">
        <f>IFERROR(__xludf.DUMMYFUNCTION("""COMPUTED_VALUE"""),1188000.0)</f>
        <v>1188000</v>
      </c>
      <c r="K1103" s="57">
        <f>IFERROR(__xludf.DUMMYFUNCTION("""COMPUTED_VALUE"""),43945.0)</f>
        <v>43945</v>
      </c>
      <c r="L1103" s="6" t="str">
        <f>IFERROR(__xludf.DUMMYFUNCTION("""COMPUTED_VALUE"""),"FIP Engineering")</f>
        <v>FIP Engineering</v>
      </c>
      <c r="M1103" s="6" t="str">
        <f>IFERROR(__xludf.DUMMYFUNCTION("""COMPUTED_VALUE"""),"Irwan Sopian")</f>
        <v>Irwan Sopian</v>
      </c>
      <c r="N1103" s="6" t="str">
        <f>IFERROR(__xludf.DUMMYFUNCTION("""COMPUTED_VALUE"""),"FIP Engineering")</f>
        <v>FIP Engineering</v>
      </c>
      <c r="O1103" s="6" t="str">
        <f>IFERROR(__xludf.DUMMYFUNCTION("""COMPUTED_VALUE"""),"FIP-DOM-000-11304-OS00001-INA-000000")</f>
        <v>FIP-DOM-000-11304-OS00001-INA-000000</v>
      </c>
      <c r="P1103" s="6" t="str">
        <f>IFERROR(__xludf.DUMMYFUNCTION("""COMPUTED_VALUE"""),"PO Closed")</f>
        <v>PO Closed</v>
      </c>
      <c r="Q1103" s="6" t="str">
        <f>IFERROR(__xludf.DUMMYFUNCTION("""COMPUTED_VALUE"""),"GL2004024")</f>
        <v>GL2004024</v>
      </c>
      <c r="R1103" s="57">
        <f>IFERROR(__xludf.DUMMYFUNCTION("""COMPUTED_VALUE"""),43921.0)</f>
        <v>43921</v>
      </c>
      <c r="S1103" s="6" t="str">
        <f>IFERROR(__xludf.DUMMYFUNCTION("""COMPUTED_VALUE"""),"-")</f>
        <v>-</v>
      </c>
      <c r="T1103" s="57">
        <f>IFERROR(__xludf.DUMMYFUNCTION("""COMPUTED_VALUE"""),43952.0)</f>
        <v>43952</v>
      </c>
    </row>
    <row r="1104">
      <c r="A1104" s="6" t="str">
        <f>IFERROR(__xludf.DUMMYFUNCTION("""COMPUTED_VALUE"""),"201750133-2")</f>
        <v>201750133-2</v>
      </c>
      <c r="B1104" s="6" t="str">
        <f>IFERROR(__xludf.DUMMYFUNCTION("""COMPUTED_VALUE"""),"201750133 - Approved")</f>
        <v>201750133 - Approved</v>
      </c>
      <c r="C1104" s="6">
        <f>IFERROR(__xludf.DUMMYFUNCTION("""COMPUTED_VALUE"""),2.0)</f>
        <v>2</v>
      </c>
      <c r="D1104" s="6" t="str">
        <f>IFERROR(__xludf.DUMMYFUNCTION("""COMPUTED_VALUE"""),"P-51560-00")</f>
        <v>P-51560-00</v>
      </c>
      <c r="E1104" s="6" t="str">
        <f>IFERROR(__xludf.DUMMYFUNCTION("""COMPUTED_VALUE"""),"Lampu T5 28watt Putih Phillips")</f>
        <v>Lampu T5 28watt Putih Phillips</v>
      </c>
      <c r="F1104" s="6">
        <f>IFERROR(__xludf.DUMMYFUNCTION("""COMPUTED_VALUE"""),40.0)</f>
        <v>40</v>
      </c>
      <c r="G1104" s="6" t="str">
        <f>IFERROR(__xludf.DUMMYFUNCTION("""COMPUTED_VALUE"""),"Pieces")</f>
        <v>Pieces</v>
      </c>
      <c r="H1104" s="6" t="str">
        <f>IFERROR(__xludf.DUMMYFUNCTION("""COMPUTED_VALUE"""),"IDR")</f>
        <v>IDR</v>
      </c>
      <c r="I1104" s="6">
        <f>IFERROR(__xludf.DUMMYFUNCTION("""COMPUTED_VALUE"""),36000.0)</f>
        <v>36000</v>
      </c>
      <c r="J1104" s="6">
        <f>IFERROR(__xludf.DUMMYFUNCTION("""COMPUTED_VALUE"""),1440000.0)</f>
        <v>1440000</v>
      </c>
      <c r="K1104" s="57">
        <f>IFERROR(__xludf.DUMMYFUNCTION("""COMPUTED_VALUE"""),43945.0)</f>
        <v>43945</v>
      </c>
      <c r="L1104" s="6" t="str">
        <f>IFERROR(__xludf.DUMMYFUNCTION("""COMPUTED_VALUE"""),"FIP Engineering")</f>
        <v>FIP Engineering</v>
      </c>
      <c r="M1104" s="6" t="str">
        <f>IFERROR(__xludf.DUMMYFUNCTION("""COMPUTED_VALUE"""),"Irwan Sopian")</f>
        <v>Irwan Sopian</v>
      </c>
      <c r="N1104" s="6" t="str">
        <f>IFERROR(__xludf.DUMMYFUNCTION("""COMPUTED_VALUE"""),"FIP Engineering")</f>
        <v>FIP Engineering</v>
      </c>
      <c r="O1104" s="6" t="str">
        <f>IFERROR(__xludf.DUMMYFUNCTION("""COMPUTED_VALUE"""),"FIP-DOM-000-11304-OS00001-INA-000000")</f>
        <v>FIP-DOM-000-11304-OS00001-INA-000000</v>
      </c>
      <c r="P1104" s="6" t="str">
        <f>IFERROR(__xludf.DUMMYFUNCTION("""COMPUTED_VALUE"""),"PO Closed")</f>
        <v>PO Closed</v>
      </c>
      <c r="Q1104" s="6" t="str">
        <f>IFERROR(__xludf.DUMMYFUNCTION("""COMPUTED_VALUE"""),"GL2004024")</f>
        <v>GL2004024</v>
      </c>
      <c r="R1104" s="57">
        <f>IFERROR(__xludf.DUMMYFUNCTION("""COMPUTED_VALUE"""),43921.0)</f>
        <v>43921</v>
      </c>
      <c r="S1104" s="6" t="str">
        <f>IFERROR(__xludf.DUMMYFUNCTION("""COMPUTED_VALUE"""),"-")</f>
        <v>-</v>
      </c>
      <c r="T1104" s="57">
        <f>IFERROR(__xludf.DUMMYFUNCTION("""COMPUTED_VALUE"""),43952.0)</f>
        <v>43952</v>
      </c>
    </row>
    <row r="1105">
      <c r="A1105" s="6" t="str">
        <f>IFERROR(__xludf.DUMMYFUNCTION("""COMPUTED_VALUE"""),"201750133-3")</f>
        <v>201750133-3</v>
      </c>
      <c r="B1105" s="6" t="str">
        <f>IFERROR(__xludf.DUMMYFUNCTION("""COMPUTED_VALUE"""),"201750133 - Approved")</f>
        <v>201750133 - Approved</v>
      </c>
      <c r="C1105" s="6">
        <f>IFERROR(__xludf.DUMMYFUNCTION("""COMPUTED_VALUE"""),3.0)</f>
        <v>3</v>
      </c>
      <c r="D1105" s="6" t="str">
        <f>IFERROR(__xludf.DUMMYFUNCTION("""COMPUTED_VALUE"""),"Q-10249-00")</f>
        <v>Q-10249-00</v>
      </c>
      <c r="E1105" s="6" t="str">
        <f>IFERROR(__xludf.DUMMYFUNCTION("""COMPUTED_VALUE"""),"Lem Power Glue")</f>
        <v>Lem Power Glue</v>
      </c>
      <c r="F1105" s="6">
        <f>IFERROR(__xludf.DUMMYFUNCTION("""COMPUTED_VALUE"""),10.0)</f>
        <v>10</v>
      </c>
      <c r="G1105" s="6" t="str">
        <f>IFERROR(__xludf.DUMMYFUNCTION("""COMPUTED_VALUE"""),"Pieces")</f>
        <v>Pieces</v>
      </c>
      <c r="H1105" s="6" t="str">
        <f>IFERROR(__xludf.DUMMYFUNCTION("""COMPUTED_VALUE"""),"IDR")</f>
        <v>IDR</v>
      </c>
      <c r="I1105" s="6">
        <f>IFERROR(__xludf.DUMMYFUNCTION("""COMPUTED_VALUE"""),4050.0)</f>
        <v>4050</v>
      </c>
      <c r="J1105" s="6">
        <f>IFERROR(__xludf.DUMMYFUNCTION("""COMPUTED_VALUE"""),40500.0)</f>
        <v>40500</v>
      </c>
      <c r="K1105" s="57">
        <f>IFERROR(__xludf.DUMMYFUNCTION("""COMPUTED_VALUE"""),43945.0)</f>
        <v>43945</v>
      </c>
      <c r="L1105" s="6" t="str">
        <f>IFERROR(__xludf.DUMMYFUNCTION("""COMPUTED_VALUE"""),"FIP Engineering")</f>
        <v>FIP Engineering</v>
      </c>
      <c r="M1105" s="6" t="str">
        <f>IFERROR(__xludf.DUMMYFUNCTION("""COMPUTED_VALUE"""),"Irwan Sopian")</f>
        <v>Irwan Sopian</v>
      </c>
      <c r="N1105" s="6" t="str">
        <f>IFERROR(__xludf.DUMMYFUNCTION("""COMPUTED_VALUE"""),"FIP Engineering")</f>
        <v>FIP Engineering</v>
      </c>
      <c r="O1105" s="6" t="str">
        <f>IFERROR(__xludf.DUMMYFUNCTION("""COMPUTED_VALUE"""),"FIP-DOM-000-11304-OS00001-INA-000000")</f>
        <v>FIP-DOM-000-11304-OS00001-INA-000000</v>
      </c>
      <c r="P1105" s="6" t="str">
        <f>IFERROR(__xludf.DUMMYFUNCTION("""COMPUTED_VALUE"""),"PO Closed")</f>
        <v>PO Closed</v>
      </c>
      <c r="Q1105" s="6" t="str">
        <f>IFERROR(__xludf.DUMMYFUNCTION("""COMPUTED_VALUE"""),"GL2004024")</f>
        <v>GL2004024</v>
      </c>
      <c r="R1105" s="57">
        <f>IFERROR(__xludf.DUMMYFUNCTION("""COMPUTED_VALUE"""),43921.0)</f>
        <v>43921</v>
      </c>
      <c r="S1105" s="6" t="str">
        <f>IFERROR(__xludf.DUMMYFUNCTION("""COMPUTED_VALUE"""),"-")</f>
        <v>-</v>
      </c>
      <c r="T1105" s="57">
        <f>IFERROR(__xludf.DUMMYFUNCTION("""COMPUTED_VALUE"""),43952.0)</f>
        <v>43952</v>
      </c>
    </row>
    <row r="1106">
      <c r="A1106" s="6" t="str">
        <f>IFERROR(__xludf.DUMMYFUNCTION("""COMPUTED_VALUE"""),"201750133-4")</f>
        <v>201750133-4</v>
      </c>
      <c r="B1106" s="6" t="str">
        <f>IFERROR(__xludf.DUMMYFUNCTION("""COMPUTED_VALUE"""),"201750133 - Approved")</f>
        <v>201750133 - Approved</v>
      </c>
      <c r="C1106" s="6">
        <f>IFERROR(__xludf.DUMMYFUNCTION("""COMPUTED_VALUE"""),4.0)</f>
        <v>4</v>
      </c>
      <c r="D1106" s="6" t="str">
        <f>IFERROR(__xludf.DUMMYFUNCTION("""COMPUTED_VALUE"""),"P-11694-00")</f>
        <v>P-11694-00</v>
      </c>
      <c r="E1106" s="6" t="str">
        <f>IFERROR(__xludf.DUMMYFUNCTION("""COMPUTED_VALUE"""),"Mata Gerinda 4""")</f>
        <v>Mata Gerinda 4"</v>
      </c>
      <c r="F1106" s="6">
        <f>IFERROR(__xludf.DUMMYFUNCTION("""COMPUTED_VALUE"""),2.0)</f>
        <v>2</v>
      </c>
      <c r="G1106" s="6" t="str">
        <f>IFERROR(__xludf.DUMMYFUNCTION("""COMPUTED_VALUE"""),"Pieces")</f>
        <v>Pieces</v>
      </c>
      <c r="H1106" s="6" t="str">
        <f>IFERROR(__xludf.DUMMYFUNCTION("""COMPUTED_VALUE"""),"IDR")</f>
        <v>IDR</v>
      </c>
      <c r="I1106" s="6">
        <f>IFERROR(__xludf.DUMMYFUNCTION("""COMPUTED_VALUE"""),100000.0)</f>
        <v>100000</v>
      </c>
      <c r="J1106" s="6">
        <f>IFERROR(__xludf.DUMMYFUNCTION("""COMPUTED_VALUE"""),200000.0)</f>
        <v>200000</v>
      </c>
      <c r="K1106" s="57">
        <f>IFERROR(__xludf.DUMMYFUNCTION("""COMPUTED_VALUE"""),43945.0)</f>
        <v>43945</v>
      </c>
      <c r="L1106" s="6" t="str">
        <f>IFERROR(__xludf.DUMMYFUNCTION("""COMPUTED_VALUE"""),"FIP General")</f>
        <v>FIP General</v>
      </c>
      <c r="M1106" s="6" t="str">
        <f>IFERROR(__xludf.DUMMYFUNCTION("""COMPUTED_VALUE"""),"Irwan Sopian")</f>
        <v>Irwan Sopian</v>
      </c>
      <c r="N1106" s="6" t="str">
        <f>IFERROR(__xludf.DUMMYFUNCTION("""COMPUTED_VALUE"""),"FIP Engineering")</f>
        <v>FIP Engineering</v>
      </c>
      <c r="O1106" s="6" t="str">
        <f>IFERROR(__xludf.DUMMYFUNCTION("""COMPUTED_VALUE"""),"FIP-DOM-ENG-51404-0000000-INA-000000")</f>
        <v>FIP-DOM-ENG-51404-0000000-INA-000000</v>
      </c>
      <c r="P1106" s="6" t="str">
        <f>IFERROR(__xludf.DUMMYFUNCTION("""COMPUTED_VALUE"""),"PO Closed")</f>
        <v>PO Closed</v>
      </c>
      <c r="Q1106" s="6" t="str">
        <f>IFERROR(__xludf.DUMMYFUNCTION("""COMPUTED_VALUE"""),"GL2004024")</f>
        <v>GL2004024</v>
      </c>
      <c r="R1106" s="57">
        <f>IFERROR(__xludf.DUMMYFUNCTION("""COMPUTED_VALUE"""),43921.0)</f>
        <v>43921</v>
      </c>
      <c r="S1106" s="6" t="str">
        <f>IFERROR(__xludf.DUMMYFUNCTION("""COMPUTED_VALUE"""),"-")</f>
        <v>-</v>
      </c>
      <c r="T1106" s="57">
        <f>IFERROR(__xludf.DUMMYFUNCTION("""COMPUTED_VALUE"""),43958.0)</f>
        <v>43958</v>
      </c>
    </row>
    <row r="1107">
      <c r="A1107" s="6" t="str">
        <f>IFERROR(__xludf.DUMMYFUNCTION("""COMPUTED_VALUE"""),"201750133-5")</f>
        <v>201750133-5</v>
      </c>
      <c r="B1107" s="6" t="str">
        <f>IFERROR(__xludf.DUMMYFUNCTION("""COMPUTED_VALUE"""),"201750133 - Approved")</f>
        <v>201750133 - Approved</v>
      </c>
      <c r="C1107" s="6">
        <f>IFERROR(__xludf.DUMMYFUNCTION("""COMPUTED_VALUE"""),5.0)</f>
        <v>5</v>
      </c>
      <c r="D1107" s="6" t="str">
        <f>IFERROR(__xludf.DUMMYFUNCTION("""COMPUTED_VALUE"""),"Q-10305-00")</f>
        <v>Q-10305-00</v>
      </c>
      <c r="E1107" s="6" t="str">
        <f>IFERROR(__xludf.DUMMYFUNCTION("""COMPUTED_VALUE"""),"Raven Door Seal (balon) RP48 Brown/White 50mtr x 2")</f>
        <v>Raven Door Seal (balon) RP48 Brown/White 50mtr x 2</v>
      </c>
      <c r="F1107" s="6">
        <f>IFERROR(__xludf.DUMMYFUNCTION("""COMPUTED_VALUE"""),1.0)</f>
        <v>1</v>
      </c>
      <c r="G1107" s="6" t="str">
        <f>IFERROR(__xludf.DUMMYFUNCTION("""COMPUTED_VALUE"""),"Roll")</f>
        <v>Roll</v>
      </c>
      <c r="H1107" s="6" t="str">
        <f>IFERROR(__xludf.DUMMYFUNCTION("""COMPUTED_VALUE"""),"IDR")</f>
        <v>IDR</v>
      </c>
      <c r="I1107" s="6">
        <f>IFERROR(__xludf.DUMMYFUNCTION("""COMPUTED_VALUE"""),1111275.0)</f>
        <v>1111275</v>
      </c>
      <c r="J1107" s="6">
        <f>IFERROR(__xludf.DUMMYFUNCTION("""COMPUTED_VALUE"""),1111275.0)</f>
        <v>1111275</v>
      </c>
      <c r="K1107" s="57">
        <f>IFERROR(__xludf.DUMMYFUNCTION("""COMPUTED_VALUE"""),43945.0)</f>
        <v>43945</v>
      </c>
      <c r="L1107" s="6" t="str">
        <f>IFERROR(__xludf.DUMMYFUNCTION("""COMPUTED_VALUE"""),"FIP General")</f>
        <v>FIP General</v>
      </c>
      <c r="M1107" s="6" t="str">
        <f>IFERROR(__xludf.DUMMYFUNCTION("""COMPUTED_VALUE"""),"Irwan Sopian")</f>
        <v>Irwan Sopian</v>
      </c>
      <c r="N1107" s="6" t="str">
        <f>IFERROR(__xludf.DUMMYFUNCTION("""COMPUTED_VALUE"""),"FIP Engineering")</f>
        <v>FIP Engineering</v>
      </c>
      <c r="O1107" s="6" t="str">
        <f>IFERROR(__xludf.DUMMYFUNCTION("""COMPUTED_VALUE"""),"FIP-DOM-ENG-51502-0000000-INA-000000")</f>
        <v>FIP-DOM-ENG-51502-0000000-INA-000000</v>
      </c>
      <c r="P1107" s="6" t="str">
        <f>IFERROR(__xludf.DUMMYFUNCTION("""COMPUTED_VALUE"""),"PO Closed")</f>
        <v>PO Closed</v>
      </c>
      <c r="Q1107" s="6" t="str">
        <f>IFERROR(__xludf.DUMMYFUNCTION("""COMPUTED_VALUE"""),"GL2004025")</f>
        <v>GL2004025</v>
      </c>
      <c r="R1107" s="57">
        <f>IFERROR(__xludf.DUMMYFUNCTION("""COMPUTED_VALUE"""),43921.0)</f>
        <v>43921</v>
      </c>
      <c r="S1107" s="6" t="str">
        <f>IFERROR(__xludf.DUMMYFUNCTION("""COMPUTED_VALUE"""),"-")</f>
        <v>-</v>
      </c>
      <c r="T1107" s="57">
        <f>IFERROR(__xludf.DUMMYFUNCTION("""COMPUTED_VALUE"""),43973.0)</f>
        <v>43973</v>
      </c>
    </row>
    <row r="1108">
      <c r="A1108" s="6" t="str">
        <f>IFERROR(__xludf.DUMMYFUNCTION("""COMPUTED_VALUE"""),"201750141-1")</f>
        <v>201750141-1</v>
      </c>
      <c r="B1108" s="6" t="str">
        <f>IFERROR(__xludf.DUMMYFUNCTION("""COMPUTED_VALUE"""),"201750141 - Approved")</f>
        <v>201750141 - Approved</v>
      </c>
      <c r="C1108" s="6">
        <f>IFERROR(__xludf.DUMMYFUNCTION("""COMPUTED_VALUE"""),1.0)</f>
        <v>1</v>
      </c>
      <c r="D1108" s="6" t="str">
        <f>IFERROR(__xludf.DUMMYFUNCTION("""COMPUTED_VALUE"""),"Q-10234-00")</f>
        <v>Q-10234-00</v>
      </c>
      <c r="E1108" s="6" t="str">
        <f>IFERROR(__xludf.DUMMYFUNCTION("""COMPUTED_VALUE"""),"Silicone Sealant N10 Grey")</f>
        <v>Silicone Sealant N10 Grey</v>
      </c>
      <c r="F1108" s="6">
        <f>IFERROR(__xludf.DUMMYFUNCTION("""COMPUTED_VALUE"""),20.0)</f>
        <v>20</v>
      </c>
      <c r="G1108" s="6" t="str">
        <f>IFERROR(__xludf.DUMMYFUNCTION("""COMPUTED_VALUE"""),"Pieces")</f>
        <v>Pieces</v>
      </c>
      <c r="H1108" s="6" t="str">
        <f>IFERROR(__xludf.DUMMYFUNCTION("""COMPUTED_VALUE"""),"IDR")</f>
        <v>IDR</v>
      </c>
      <c r="I1108" s="6">
        <f>IFERROR(__xludf.DUMMYFUNCTION("""COMPUTED_VALUE"""),44100.0)</f>
        <v>44100</v>
      </c>
      <c r="J1108" s="6">
        <f>IFERROR(__xludf.DUMMYFUNCTION("""COMPUTED_VALUE"""),882000.0)</f>
        <v>882000</v>
      </c>
      <c r="K1108" s="57">
        <f>IFERROR(__xludf.DUMMYFUNCTION("""COMPUTED_VALUE"""),43945.0)</f>
        <v>43945</v>
      </c>
      <c r="L1108" s="6" t="str">
        <f>IFERROR(__xludf.DUMMYFUNCTION("""COMPUTED_VALUE"""),"FIP Engineering")</f>
        <v>FIP Engineering</v>
      </c>
      <c r="M1108" s="6" t="str">
        <f>IFERROR(__xludf.DUMMYFUNCTION("""COMPUTED_VALUE"""),"Irwan Sopian")</f>
        <v>Irwan Sopian</v>
      </c>
      <c r="N1108" s="6" t="str">
        <f>IFERROR(__xludf.DUMMYFUNCTION("""COMPUTED_VALUE"""),"FIP Engineering")</f>
        <v>FIP Engineering</v>
      </c>
      <c r="O1108" s="6" t="str">
        <f>IFERROR(__xludf.DUMMYFUNCTION("""COMPUTED_VALUE"""),"FIP-DOM-000-11304-OS00001-INA-000000")</f>
        <v>FIP-DOM-000-11304-OS00001-INA-000000</v>
      </c>
      <c r="P1108" s="6" t="str">
        <f>IFERROR(__xludf.DUMMYFUNCTION("""COMPUTED_VALUE"""),"PO Closed")</f>
        <v>PO Closed</v>
      </c>
      <c r="Q1108" s="6" t="str">
        <f>IFERROR(__xludf.DUMMYFUNCTION("""COMPUTED_VALUE"""),"GL2004032")</f>
        <v>GL2004032</v>
      </c>
      <c r="R1108" s="57">
        <f>IFERROR(__xludf.DUMMYFUNCTION("""COMPUTED_VALUE"""),43923.0)</f>
        <v>43923</v>
      </c>
      <c r="S1108" s="6" t="str">
        <f>IFERROR(__xludf.DUMMYFUNCTION("""COMPUTED_VALUE"""),"-")</f>
        <v>-</v>
      </c>
      <c r="T1108" s="57">
        <f>IFERROR(__xludf.DUMMYFUNCTION("""COMPUTED_VALUE"""),43959.0)</f>
        <v>43959</v>
      </c>
    </row>
    <row r="1109">
      <c r="A1109" s="6" t="str">
        <f>IFERROR(__xludf.DUMMYFUNCTION("""COMPUTED_VALUE"""),"201750141-2")</f>
        <v>201750141-2</v>
      </c>
      <c r="B1109" s="6" t="str">
        <f>IFERROR(__xludf.DUMMYFUNCTION("""COMPUTED_VALUE"""),"201750141 - Approved")</f>
        <v>201750141 - Approved</v>
      </c>
      <c r="C1109" s="6">
        <f>IFERROR(__xludf.DUMMYFUNCTION("""COMPUTED_VALUE"""),2.0)</f>
        <v>2</v>
      </c>
      <c r="D1109" s="6" t="str">
        <f>IFERROR(__xludf.DUMMYFUNCTION("""COMPUTED_VALUE"""),"Q-10233-00")</f>
        <v>Q-10233-00</v>
      </c>
      <c r="E1109" s="6" t="str">
        <f>IFERROR(__xludf.DUMMYFUNCTION("""COMPUTED_VALUE"""),"Silicone Sealant N10 Clear")</f>
        <v>Silicone Sealant N10 Clear</v>
      </c>
      <c r="F1109" s="6">
        <f>IFERROR(__xludf.DUMMYFUNCTION("""COMPUTED_VALUE"""),5.0)</f>
        <v>5</v>
      </c>
      <c r="G1109" s="6" t="str">
        <f>IFERROR(__xludf.DUMMYFUNCTION("""COMPUTED_VALUE"""),"Pieces")</f>
        <v>Pieces</v>
      </c>
      <c r="H1109" s="6" t="str">
        <f>IFERROR(__xludf.DUMMYFUNCTION("""COMPUTED_VALUE"""),"IDR")</f>
        <v>IDR</v>
      </c>
      <c r="I1109" s="6">
        <f>IFERROR(__xludf.DUMMYFUNCTION("""COMPUTED_VALUE"""),44100.0)</f>
        <v>44100</v>
      </c>
      <c r="J1109" s="6">
        <f>IFERROR(__xludf.DUMMYFUNCTION("""COMPUTED_VALUE"""),220500.0)</f>
        <v>220500</v>
      </c>
      <c r="K1109" s="57">
        <f>IFERROR(__xludf.DUMMYFUNCTION("""COMPUTED_VALUE"""),43945.0)</f>
        <v>43945</v>
      </c>
      <c r="L1109" s="6" t="str">
        <f>IFERROR(__xludf.DUMMYFUNCTION("""COMPUTED_VALUE"""),"FIP Engineering")</f>
        <v>FIP Engineering</v>
      </c>
      <c r="M1109" s="6" t="str">
        <f>IFERROR(__xludf.DUMMYFUNCTION("""COMPUTED_VALUE"""),"Irwan Sopian")</f>
        <v>Irwan Sopian</v>
      </c>
      <c r="N1109" s="6" t="str">
        <f>IFERROR(__xludf.DUMMYFUNCTION("""COMPUTED_VALUE"""),"FIP Engineering")</f>
        <v>FIP Engineering</v>
      </c>
      <c r="O1109" s="6" t="str">
        <f>IFERROR(__xludf.DUMMYFUNCTION("""COMPUTED_VALUE"""),"FIP-DOM-000-11304-OS00001-INA-000000")</f>
        <v>FIP-DOM-000-11304-OS00001-INA-000000</v>
      </c>
      <c r="P1109" s="6" t="str">
        <f>IFERROR(__xludf.DUMMYFUNCTION("""COMPUTED_VALUE"""),"PO Closed")</f>
        <v>PO Closed</v>
      </c>
      <c r="Q1109" s="6" t="str">
        <f>IFERROR(__xludf.DUMMYFUNCTION("""COMPUTED_VALUE"""),"GL2004032")</f>
        <v>GL2004032</v>
      </c>
      <c r="R1109" s="57">
        <f>IFERROR(__xludf.DUMMYFUNCTION("""COMPUTED_VALUE"""),43923.0)</f>
        <v>43923</v>
      </c>
      <c r="S1109" s="6" t="str">
        <f>IFERROR(__xludf.DUMMYFUNCTION("""COMPUTED_VALUE"""),"-")</f>
        <v>-</v>
      </c>
      <c r="T1109" s="57">
        <f>IFERROR(__xludf.DUMMYFUNCTION("""COMPUTED_VALUE"""),43959.0)</f>
        <v>43959</v>
      </c>
    </row>
    <row r="1110">
      <c r="A1110" s="6" t="str">
        <f>IFERROR(__xludf.DUMMYFUNCTION("""COMPUTED_VALUE"""),"201750141-3")</f>
        <v>201750141-3</v>
      </c>
      <c r="B1110" s="6" t="str">
        <f>IFERROR(__xludf.DUMMYFUNCTION("""COMPUTED_VALUE"""),"201750141 - Approved")</f>
        <v>201750141 - Approved</v>
      </c>
      <c r="C1110" s="6">
        <f>IFERROR(__xludf.DUMMYFUNCTION("""COMPUTED_VALUE"""),3.0)</f>
        <v>3</v>
      </c>
      <c r="D1110" s="6" t="str">
        <f>IFERROR(__xludf.DUMMYFUNCTION("""COMPUTED_VALUE"""),"Q-10232-00")</f>
        <v>Q-10232-00</v>
      </c>
      <c r="E1110" s="6" t="str">
        <f>IFERROR(__xludf.DUMMYFUNCTION("""COMPUTED_VALUE"""),"Silicone Sealant N10 White")</f>
        <v>Silicone Sealant N10 White</v>
      </c>
      <c r="F1110" s="6">
        <f>IFERROR(__xludf.DUMMYFUNCTION("""COMPUTED_VALUE"""),7.0)</f>
        <v>7</v>
      </c>
      <c r="G1110" s="6" t="str">
        <f>IFERROR(__xludf.DUMMYFUNCTION("""COMPUTED_VALUE"""),"Pieces")</f>
        <v>Pieces</v>
      </c>
      <c r="H1110" s="6" t="str">
        <f>IFERROR(__xludf.DUMMYFUNCTION("""COMPUTED_VALUE"""),"IDR")</f>
        <v>IDR</v>
      </c>
      <c r="I1110" s="6">
        <f>IFERROR(__xludf.DUMMYFUNCTION("""COMPUTED_VALUE"""),44100.0)</f>
        <v>44100</v>
      </c>
      <c r="J1110" s="6">
        <f>IFERROR(__xludf.DUMMYFUNCTION("""COMPUTED_VALUE"""),308700.0)</f>
        <v>308700</v>
      </c>
      <c r="K1110" s="57">
        <f>IFERROR(__xludf.DUMMYFUNCTION("""COMPUTED_VALUE"""),43945.0)</f>
        <v>43945</v>
      </c>
      <c r="L1110" s="6" t="str">
        <f>IFERROR(__xludf.DUMMYFUNCTION("""COMPUTED_VALUE"""),"FIP Engineering")</f>
        <v>FIP Engineering</v>
      </c>
      <c r="M1110" s="6" t="str">
        <f>IFERROR(__xludf.DUMMYFUNCTION("""COMPUTED_VALUE"""),"Irwan Sopian")</f>
        <v>Irwan Sopian</v>
      </c>
      <c r="N1110" s="6" t="str">
        <f>IFERROR(__xludf.DUMMYFUNCTION("""COMPUTED_VALUE"""),"FIP Engineering")</f>
        <v>FIP Engineering</v>
      </c>
      <c r="O1110" s="6" t="str">
        <f>IFERROR(__xludf.DUMMYFUNCTION("""COMPUTED_VALUE"""),"FIP-DOM-000-11304-OS00001-INA-000000")</f>
        <v>FIP-DOM-000-11304-OS00001-INA-000000</v>
      </c>
      <c r="P1110" s="6" t="str">
        <f>IFERROR(__xludf.DUMMYFUNCTION("""COMPUTED_VALUE"""),"PO Closed")</f>
        <v>PO Closed</v>
      </c>
      <c r="Q1110" s="6" t="str">
        <f>IFERROR(__xludf.DUMMYFUNCTION("""COMPUTED_VALUE"""),"GL2004032")</f>
        <v>GL2004032</v>
      </c>
      <c r="R1110" s="57">
        <f>IFERROR(__xludf.DUMMYFUNCTION("""COMPUTED_VALUE"""),43923.0)</f>
        <v>43923</v>
      </c>
      <c r="S1110" s="6" t="str">
        <f>IFERROR(__xludf.DUMMYFUNCTION("""COMPUTED_VALUE"""),"-")</f>
        <v>-</v>
      </c>
      <c r="T1110" s="57">
        <f>IFERROR(__xludf.DUMMYFUNCTION("""COMPUTED_VALUE"""),43959.0)</f>
        <v>43959</v>
      </c>
    </row>
    <row r="1111">
      <c r="A1111" s="6" t="str">
        <f>IFERROR(__xludf.DUMMYFUNCTION("""COMPUTED_VALUE"""),"201750138-1")</f>
        <v>201750138-1</v>
      </c>
      <c r="B1111" s="6" t="str">
        <f>IFERROR(__xludf.DUMMYFUNCTION("""COMPUTED_VALUE"""),"201750138 - Approved")</f>
        <v>201750138 - Approved</v>
      </c>
      <c r="C1111" s="6">
        <f>IFERROR(__xludf.DUMMYFUNCTION("""COMPUTED_VALUE"""),1.0)</f>
        <v>1</v>
      </c>
      <c r="D1111" s="6" t="str">
        <f>IFERROR(__xludf.DUMMYFUNCTION("""COMPUTED_VALUE"""),"S-60002-00")</f>
        <v>S-60002-00</v>
      </c>
      <c r="E1111" s="6" t="str">
        <f>IFERROR(__xludf.DUMMYFUNCTION("""COMPUTED_VALUE"""),"Jasa Perbaikan kebocoran pada koneksi ulir flaring N2 Generator dan pipa CA")</f>
        <v>Jasa Perbaikan kebocoran pada koneksi ulir flaring N2 Generator dan pipa CA</v>
      </c>
      <c r="F1111" s="6">
        <f>IFERROR(__xludf.DUMMYFUNCTION("""COMPUTED_VALUE"""),1.0)</f>
        <v>1</v>
      </c>
      <c r="G1111" s="6" t="str">
        <f>IFERROR(__xludf.DUMMYFUNCTION("""COMPUTED_VALUE"""),"Lot")</f>
        <v>Lot</v>
      </c>
      <c r="H1111" s="6" t="str">
        <f>IFERROR(__xludf.DUMMYFUNCTION("""COMPUTED_VALUE"""),"IDR")</f>
        <v>IDR</v>
      </c>
      <c r="I1111" s="6">
        <f>IFERROR(__xludf.DUMMYFUNCTION("""COMPUTED_VALUE"""),7420000.0)</f>
        <v>7420000</v>
      </c>
      <c r="J1111" s="6">
        <f>IFERROR(__xludf.DUMMYFUNCTION("""COMPUTED_VALUE"""),7420000.0)</f>
        <v>7420000</v>
      </c>
      <c r="K1111" s="57">
        <f>IFERROR(__xludf.DUMMYFUNCTION("""COMPUTED_VALUE"""),43966.0)</f>
        <v>43966</v>
      </c>
      <c r="L1111" s="6" t="str">
        <f>IFERROR(__xludf.DUMMYFUNCTION("""COMPUTED_VALUE"""),"FIP General")</f>
        <v>FIP General</v>
      </c>
      <c r="M1111" s="6" t="str">
        <f>IFERROR(__xludf.DUMMYFUNCTION("""COMPUTED_VALUE"""),"Irwan Sopian")</f>
        <v>Irwan Sopian</v>
      </c>
      <c r="N1111" s="6" t="str">
        <f>IFERROR(__xludf.DUMMYFUNCTION("""COMPUTED_VALUE"""),"FIP Engineering")</f>
        <v>FIP Engineering</v>
      </c>
      <c r="O1111" s="6" t="str">
        <f>IFERROR(__xludf.DUMMYFUNCTION("""COMPUTED_VALUE"""),"FIP-DOM-ENG-51508-0000000-INA-000000")</f>
        <v>FIP-DOM-ENG-51508-0000000-INA-000000</v>
      </c>
      <c r="P1111" s="6" t="str">
        <f>IFERROR(__xludf.DUMMYFUNCTION("""COMPUTED_VALUE"""),"PO Closed")</f>
        <v>PO Closed</v>
      </c>
      <c r="Q1111" s="6" t="str">
        <f>IFERROR(__xludf.DUMMYFUNCTION("""COMPUTED_VALUE"""),"GL2006001")</f>
        <v>GL2006001</v>
      </c>
      <c r="R1111" s="57">
        <f>IFERROR(__xludf.DUMMYFUNCTION("""COMPUTED_VALUE"""),43923.0)</f>
        <v>43923</v>
      </c>
      <c r="S1111" s="6" t="str">
        <f>IFERROR(__xludf.DUMMYFUNCTION("""COMPUTED_VALUE"""),"-")</f>
        <v>-</v>
      </c>
      <c r="T1111" s="57">
        <f>IFERROR(__xludf.DUMMYFUNCTION("""COMPUTED_VALUE"""),44052.0)</f>
        <v>44052</v>
      </c>
    </row>
    <row r="1112">
      <c r="A1112" s="6" t="str">
        <f>IFERROR(__xludf.DUMMYFUNCTION("""COMPUTED_VALUE"""),"201750144-1")</f>
        <v>201750144-1</v>
      </c>
      <c r="B1112" s="6" t="str">
        <f>IFERROR(__xludf.DUMMYFUNCTION("""COMPUTED_VALUE"""),"201750144 - Approved")</f>
        <v>201750144 - Approved</v>
      </c>
      <c r="C1112" s="6">
        <f>IFERROR(__xludf.DUMMYFUNCTION("""COMPUTED_VALUE"""),1.0)</f>
        <v>1</v>
      </c>
      <c r="D1112" s="6" t="str">
        <f>IFERROR(__xludf.DUMMYFUNCTION("""COMPUTED_VALUE"""),"P-60000-00")</f>
        <v>P-60000-00</v>
      </c>
      <c r="E1112" s="6" t="str">
        <f>IFERROR(__xludf.DUMMYFUNCTION("""COMPUTED_VALUE"""),"Jasa Perbaikan dan Perawatan Mesin Utility (Khusus Jasa/Service) Lot")</f>
        <v>Jasa Perbaikan dan Perawatan Mesin Utility (Khusus Jasa/Service) Lot</v>
      </c>
      <c r="F1112" s="6">
        <f>IFERROR(__xludf.DUMMYFUNCTION("""COMPUTED_VALUE"""),1.0)</f>
        <v>1</v>
      </c>
      <c r="G1112" s="6" t="str">
        <f>IFERROR(__xludf.DUMMYFUNCTION("""COMPUTED_VALUE"""),"Lot")</f>
        <v>Lot</v>
      </c>
      <c r="H1112" s="6" t="str">
        <f>IFERROR(__xludf.DUMMYFUNCTION("""COMPUTED_VALUE"""),"IDR")</f>
        <v>IDR</v>
      </c>
      <c r="I1112" s="6">
        <f>IFERROR(__xludf.DUMMYFUNCTION("""COMPUTED_VALUE"""),1500000.0)</f>
        <v>1500000</v>
      </c>
      <c r="J1112" s="6">
        <f>IFERROR(__xludf.DUMMYFUNCTION("""COMPUTED_VALUE"""),1500000.0)</f>
        <v>1500000</v>
      </c>
      <c r="K1112" s="57">
        <f>IFERROR(__xludf.DUMMYFUNCTION("""COMPUTED_VALUE"""),43951.0)</f>
        <v>43951</v>
      </c>
      <c r="L1112" s="6" t="str">
        <f>IFERROR(__xludf.DUMMYFUNCTION("""COMPUTED_VALUE"""),"FIP General")</f>
        <v>FIP General</v>
      </c>
      <c r="M1112" s="6" t="str">
        <f>IFERROR(__xludf.DUMMYFUNCTION("""COMPUTED_VALUE"""),"Irwan Sopian")</f>
        <v>Irwan Sopian</v>
      </c>
      <c r="N1112" s="6" t="str">
        <f>IFERROR(__xludf.DUMMYFUNCTION("""COMPUTED_VALUE"""),"FIP Engineering")</f>
        <v>FIP Engineering</v>
      </c>
      <c r="O1112" s="6" t="str">
        <f>IFERROR(__xludf.DUMMYFUNCTION("""COMPUTED_VALUE"""),"FIP-DOM-ENG-51504-0000000-INA-000000")</f>
        <v>FIP-DOM-ENG-51504-0000000-INA-000000</v>
      </c>
      <c r="P1112" s="6" t="str">
        <f>IFERROR(__xludf.DUMMYFUNCTION("""COMPUTED_VALUE"""),"PO Closed")</f>
        <v>PO Closed</v>
      </c>
      <c r="Q1112" s="6" t="str">
        <f>IFERROR(__xludf.DUMMYFUNCTION("""COMPUTED_VALUE"""),"GL2004046")</f>
        <v>GL2004046</v>
      </c>
      <c r="R1112" s="57">
        <f>IFERROR(__xludf.DUMMYFUNCTION("""COMPUTED_VALUE"""),43924.0)</f>
        <v>43924</v>
      </c>
      <c r="S1112" s="6" t="str">
        <f>IFERROR(__xludf.DUMMYFUNCTION("""COMPUTED_VALUE"""),"-")</f>
        <v>-</v>
      </c>
      <c r="T1112" s="57">
        <f>IFERROR(__xludf.DUMMYFUNCTION("""COMPUTED_VALUE"""),43951.0)</f>
        <v>43951</v>
      </c>
    </row>
    <row r="1113">
      <c r="A1113" s="6" t="str">
        <f>IFERROR(__xludf.DUMMYFUNCTION("""COMPUTED_VALUE"""),"201750143-1")</f>
        <v>201750143-1</v>
      </c>
      <c r="B1113" s="6" t="str">
        <f>IFERROR(__xludf.DUMMYFUNCTION("""COMPUTED_VALUE"""),"201750143 - Approved")</f>
        <v>201750143 - Approved</v>
      </c>
      <c r="C1113" s="6">
        <f>IFERROR(__xludf.DUMMYFUNCTION("""COMPUTED_VALUE"""),1.0)</f>
        <v>1</v>
      </c>
      <c r="D1113" s="6" t="str">
        <f>IFERROR(__xludf.DUMMYFUNCTION("""COMPUTED_VALUE"""),"S-62032-00")</f>
        <v>S-62032-00</v>
      </c>
      <c r="E1113" s="6" t="str">
        <f>IFERROR(__xludf.DUMMYFUNCTION("""COMPUTED_VALUE"""),"Refill Argon HP; Gas Content : 1,5 M3 ; Gas Purrity : 99,995%; Filling Pressure : 150 Bar; ; ;")</f>
        <v>Refill Argon HP; Gas Content : 1,5 M3 ; Gas Purrity : 99,995%; Filling Pressure : 150 Bar; ; ;</v>
      </c>
      <c r="F1113" s="6">
        <f>IFERROR(__xludf.DUMMYFUNCTION("""COMPUTED_VALUE"""),1.0)</f>
        <v>1</v>
      </c>
      <c r="G1113" s="6" t="str">
        <f>IFERROR(__xludf.DUMMYFUNCTION("""COMPUTED_VALUE"""),"Tube")</f>
        <v>Tube</v>
      </c>
      <c r="H1113" s="6" t="str">
        <f>IFERROR(__xludf.DUMMYFUNCTION("""COMPUTED_VALUE"""),"IDR")</f>
        <v>IDR</v>
      </c>
      <c r="I1113" s="6">
        <f>IFERROR(__xludf.DUMMYFUNCTION("""COMPUTED_VALUE"""),150000.0)</f>
        <v>150000</v>
      </c>
      <c r="J1113" s="6">
        <f>IFERROR(__xludf.DUMMYFUNCTION("""COMPUTED_VALUE"""),150000.0)</f>
        <v>150000</v>
      </c>
      <c r="K1113" s="57">
        <f>IFERROR(__xludf.DUMMYFUNCTION("""COMPUTED_VALUE"""),43934.0)</f>
        <v>43934</v>
      </c>
      <c r="L1113" s="6" t="str">
        <f>IFERROR(__xludf.DUMMYFUNCTION("""COMPUTED_VALUE"""),"FIP General")</f>
        <v>FIP General</v>
      </c>
      <c r="M1113" s="6" t="str">
        <f>IFERROR(__xludf.DUMMYFUNCTION("""COMPUTED_VALUE"""),"Joko Nugroho")</f>
        <v>Joko Nugroho</v>
      </c>
      <c r="N1113" s="6" t="str">
        <f>IFERROR(__xludf.DUMMYFUNCTION("""COMPUTED_VALUE"""),"FIP Engineering")</f>
        <v>FIP Engineering</v>
      </c>
      <c r="O1113" s="6" t="str">
        <f>IFERROR(__xludf.DUMMYFUNCTION("""COMPUTED_VALUE"""),"FIP-DOM-ENG-51404-0000000-INA-000000")</f>
        <v>FIP-DOM-ENG-51404-0000000-INA-000000</v>
      </c>
      <c r="P1113" s="6" t="str">
        <f>IFERROR(__xludf.DUMMYFUNCTION("""COMPUTED_VALUE"""),"PO Closed")</f>
        <v>PO Closed</v>
      </c>
      <c r="Q1113" s="6" t="str">
        <f>IFERROR(__xludf.DUMMYFUNCTION("""COMPUTED_VALUE"""),"GL2005011")</f>
        <v>GL2005011</v>
      </c>
      <c r="R1113" s="57">
        <f>IFERROR(__xludf.DUMMYFUNCTION("""COMPUTED_VALUE"""),43924.0)</f>
        <v>43924</v>
      </c>
      <c r="S1113" s="6" t="str">
        <f>IFERROR(__xludf.DUMMYFUNCTION("""COMPUTED_VALUE"""),"-")</f>
        <v>-</v>
      </c>
      <c r="T1113" s="57">
        <f>IFERROR(__xludf.DUMMYFUNCTION("""COMPUTED_VALUE"""),43990.0)</f>
        <v>43990</v>
      </c>
    </row>
    <row r="1114">
      <c r="A1114" s="6" t="str">
        <f>IFERROR(__xludf.DUMMYFUNCTION("""COMPUTED_VALUE"""),"201750145-1")</f>
        <v>201750145-1</v>
      </c>
      <c r="B1114" s="6" t="str">
        <f>IFERROR(__xludf.DUMMYFUNCTION("""COMPUTED_VALUE"""),"201750145 - Approved")</f>
        <v>201750145 - Approved</v>
      </c>
      <c r="C1114" s="6">
        <f>IFERROR(__xludf.DUMMYFUNCTION("""COMPUTED_VALUE"""),1.0)</f>
        <v>1</v>
      </c>
      <c r="D1114" s="6" t="str">
        <f>IFERROR(__xludf.DUMMYFUNCTION("""COMPUTED_VALUE"""),"P-53260-00")</f>
        <v>P-53260-00</v>
      </c>
      <c r="E1114" s="6" t="str">
        <f>IFERROR(__xludf.DUMMYFUNCTION("""COMPUTED_VALUE"""),"Ballast P/N : 270104006 Hanovia")</f>
        <v>Ballast P/N : 270104006 Hanovia</v>
      </c>
      <c r="F1114" s="6">
        <f>IFERROR(__xludf.DUMMYFUNCTION("""COMPUTED_VALUE"""),1.0)</f>
        <v>1</v>
      </c>
      <c r="G1114" s="6" t="str">
        <f>IFERROR(__xludf.DUMMYFUNCTION("""COMPUTED_VALUE"""),"Pieces")</f>
        <v>Pieces</v>
      </c>
      <c r="H1114" s="6" t="str">
        <f>IFERROR(__xludf.DUMMYFUNCTION("""COMPUTED_VALUE"""),"IDR")</f>
        <v>IDR</v>
      </c>
      <c r="I1114" s="6">
        <f>IFERROR(__xludf.DUMMYFUNCTION("""COMPUTED_VALUE"""),3.08224E7)</f>
        <v>30822400</v>
      </c>
      <c r="J1114" s="6">
        <f>IFERROR(__xludf.DUMMYFUNCTION("""COMPUTED_VALUE"""),3.08224E7)</f>
        <v>30822400</v>
      </c>
      <c r="K1114" s="57">
        <f>IFERROR(__xludf.DUMMYFUNCTION("""COMPUTED_VALUE"""),43973.0)</f>
        <v>43973</v>
      </c>
      <c r="L1114" s="6" t="str">
        <f>IFERROR(__xludf.DUMMYFUNCTION("""COMPUTED_VALUE"""),"FIP General")</f>
        <v>FIP General</v>
      </c>
      <c r="M1114" s="6" t="str">
        <f>IFERROR(__xludf.DUMMYFUNCTION("""COMPUTED_VALUE"""),"Irwan Sopian")</f>
        <v>Irwan Sopian</v>
      </c>
      <c r="N1114" s="6" t="str">
        <f>IFERROR(__xludf.DUMMYFUNCTION("""COMPUTED_VALUE"""),"FIP Engineering")</f>
        <v>FIP Engineering</v>
      </c>
      <c r="O1114" s="6" t="str">
        <f>IFERROR(__xludf.DUMMYFUNCTION("""COMPUTED_VALUE"""),"FIP-DOM-ENG-51504-0000000-INA-000000")</f>
        <v>FIP-DOM-ENG-51504-0000000-INA-000000</v>
      </c>
      <c r="P1114" s="6" t="str">
        <f>IFERROR(__xludf.DUMMYFUNCTION("""COMPUTED_VALUE"""),"PO Closed")</f>
        <v>PO Closed</v>
      </c>
      <c r="Q1114" s="6" t="str">
        <f>IFERROR(__xludf.DUMMYFUNCTION("""COMPUTED_VALUE"""),"GL2004044")</f>
        <v>GL2004044</v>
      </c>
      <c r="R1114" s="57">
        <f>IFERROR(__xludf.DUMMYFUNCTION("""COMPUTED_VALUE"""),43925.0)</f>
        <v>43925</v>
      </c>
      <c r="S1114" s="6" t="str">
        <f>IFERROR(__xludf.DUMMYFUNCTION("""COMPUTED_VALUE"""),"-")</f>
        <v>-</v>
      </c>
      <c r="T1114" s="57">
        <f>IFERROR(__xludf.DUMMYFUNCTION("""COMPUTED_VALUE"""),44032.0)</f>
        <v>44032</v>
      </c>
    </row>
    <row r="1115">
      <c r="A1115" s="6" t="str">
        <f>IFERROR(__xludf.DUMMYFUNCTION("""COMPUTED_VALUE"""),"201750147-1")</f>
        <v>201750147-1</v>
      </c>
      <c r="B1115" s="6" t="str">
        <f>IFERROR(__xludf.DUMMYFUNCTION("""COMPUTED_VALUE"""),"201750147 - Approved")</f>
        <v>201750147 - Approved</v>
      </c>
      <c r="C1115" s="6">
        <f>IFERROR(__xludf.DUMMYFUNCTION("""COMPUTED_VALUE"""),1.0)</f>
        <v>1</v>
      </c>
      <c r="D1115" s="6" t="str">
        <f>IFERROR(__xludf.DUMMYFUNCTION("""COMPUTED_VALUE"""),"P-51912-00")</f>
        <v>P-51912-00</v>
      </c>
      <c r="E1115" s="6" t="str">
        <f>IFERROR(__xludf.DUMMYFUNCTION("""COMPUTED_VALUE"""),"Compressor CAJ4492Y")</f>
        <v>Compressor CAJ4492Y</v>
      </c>
      <c r="F1115" s="6">
        <f>IFERROR(__xludf.DUMMYFUNCTION("""COMPUTED_VALUE"""),1.0)</f>
        <v>1</v>
      </c>
      <c r="G1115" s="6" t="str">
        <f>IFERROR(__xludf.DUMMYFUNCTION("""COMPUTED_VALUE"""),"Unit")</f>
        <v>Unit</v>
      </c>
      <c r="H1115" s="6" t="str">
        <f>IFERROR(__xludf.DUMMYFUNCTION("""COMPUTED_VALUE"""),"IDR")</f>
        <v>IDR</v>
      </c>
      <c r="I1115" s="6">
        <f>IFERROR(__xludf.DUMMYFUNCTION("""COMPUTED_VALUE"""),3750000.0)</f>
        <v>3750000</v>
      </c>
      <c r="J1115" s="6">
        <f>IFERROR(__xludf.DUMMYFUNCTION("""COMPUTED_VALUE"""),3750000.0)</f>
        <v>3750000</v>
      </c>
      <c r="K1115" s="57">
        <f>IFERROR(__xludf.DUMMYFUNCTION("""COMPUTED_VALUE"""),43951.0)</f>
        <v>43951</v>
      </c>
      <c r="L1115" s="6" t="str">
        <f>IFERROR(__xludf.DUMMYFUNCTION("""COMPUTED_VALUE"""),"FIP Engineering")</f>
        <v>FIP Engineering</v>
      </c>
      <c r="M1115" s="6" t="str">
        <f>IFERROR(__xludf.DUMMYFUNCTION("""COMPUTED_VALUE"""),"Irwan Sopian")</f>
        <v>Irwan Sopian</v>
      </c>
      <c r="N1115" s="6" t="str">
        <f>IFERROR(__xludf.DUMMYFUNCTION("""COMPUTED_VALUE"""),"FIP Engineering")</f>
        <v>FIP Engineering</v>
      </c>
      <c r="O1115" s="6" t="str">
        <f>IFERROR(__xludf.DUMMYFUNCTION("""COMPUTED_VALUE"""),"FIP-DOM-000-11304-OS00001-INA-000000")</f>
        <v>FIP-DOM-000-11304-OS00001-INA-000000</v>
      </c>
      <c r="P1115" s="6" t="str">
        <f>IFERROR(__xludf.DUMMYFUNCTION("""COMPUTED_VALUE"""),"PO Closed")</f>
        <v>PO Closed</v>
      </c>
      <c r="Q1115" s="6" t="str">
        <f>IFERROR(__xludf.DUMMYFUNCTION("""COMPUTED_VALUE"""),"GL2005006")</f>
        <v>GL2005006</v>
      </c>
      <c r="R1115" s="57">
        <f>IFERROR(__xludf.DUMMYFUNCTION("""COMPUTED_VALUE"""),43927.0)</f>
        <v>43927</v>
      </c>
      <c r="S1115" s="6" t="str">
        <f>IFERROR(__xludf.DUMMYFUNCTION("""COMPUTED_VALUE"""),"-")</f>
        <v>-</v>
      </c>
      <c r="T1115" s="57">
        <f>IFERROR(__xludf.DUMMYFUNCTION("""COMPUTED_VALUE"""),43980.0)</f>
        <v>43980</v>
      </c>
    </row>
    <row r="1116">
      <c r="A1116" s="6" t="str">
        <f>IFERROR(__xludf.DUMMYFUNCTION("""COMPUTED_VALUE"""),"201750147-2")</f>
        <v>201750147-2</v>
      </c>
      <c r="B1116" s="6" t="str">
        <f>IFERROR(__xludf.DUMMYFUNCTION("""COMPUTED_VALUE"""),"201750147 - Approved")</f>
        <v>201750147 - Approved</v>
      </c>
      <c r="C1116" s="6">
        <f>IFERROR(__xludf.DUMMYFUNCTION("""COMPUTED_VALUE"""),2.0)</f>
        <v>2</v>
      </c>
      <c r="D1116" s="6" t="str">
        <f>IFERROR(__xludf.DUMMYFUNCTION("""COMPUTED_VALUE"""),"P-13745-00")</f>
        <v>P-13745-00</v>
      </c>
      <c r="E1116" s="6" t="str">
        <f>IFERROR(__xludf.DUMMYFUNCTION("""COMPUTED_VALUE"""),"Filter Core Drier - D48")</f>
        <v>Filter Core Drier - D48</v>
      </c>
      <c r="F1116" s="6">
        <f>IFERROR(__xludf.DUMMYFUNCTION("""COMPUTED_VALUE"""),1.0)</f>
        <v>1</v>
      </c>
      <c r="G1116" s="6" t="str">
        <f>IFERROR(__xludf.DUMMYFUNCTION("""COMPUTED_VALUE"""),"Pieces")</f>
        <v>Pieces</v>
      </c>
      <c r="H1116" s="6" t="str">
        <f>IFERROR(__xludf.DUMMYFUNCTION("""COMPUTED_VALUE"""),"IDR")</f>
        <v>IDR</v>
      </c>
      <c r="I1116" s="6">
        <f>IFERROR(__xludf.DUMMYFUNCTION("""COMPUTED_VALUE"""),250000.0)</f>
        <v>250000</v>
      </c>
      <c r="J1116" s="6">
        <f>IFERROR(__xludf.DUMMYFUNCTION("""COMPUTED_VALUE"""),250000.0)</f>
        <v>250000</v>
      </c>
      <c r="K1116" s="57">
        <f>IFERROR(__xludf.DUMMYFUNCTION("""COMPUTED_VALUE"""),43951.0)</f>
        <v>43951</v>
      </c>
      <c r="L1116" s="6" t="str">
        <f>IFERROR(__xludf.DUMMYFUNCTION("""COMPUTED_VALUE"""),"FIP Engineering")</f>
        <v>FIP Engineering</v>
      </c>
      <c r="M1116" s="6" t="str">
        <f>IFERROR(__xludf.DUMMYFUNCTION("""COMPUTED_VALUE"""),"Irwan Sopian")</f>
        <v>Irwan Sopian</v>
      </c>
      <c r="N1116" s="6" t="str">
        <f>IFERROR(__xludf.DUMMYFUNCTION("""COMPUTED_VALUE"""),"FIP Engineering")</f>
        <v>FIP Engineering</v>
      </c>
      <c r="O1116" s="6" t="str">
        <f>IFERROR(__xludf.DUMMYFUNCTION("""COMPUTED_VALUE"""),"FIP-DOM-000-11304-OS00001-INA-000000")</f>
        <v>FIP-DOM-000-11304-OS00001-INA-000000</v>
      </c>
      <c r="P1116" s="6" t="str">
        <f>IFERROR(__xludf.DUMMYFUNCTION("""COMPUTED_VALUE"""),"PO Closed")</f>
        <v>PO Closed</v>
      </c>
      <c r="Q1116" s="6" t="str">
        <f>IFERROR(__xludf.DUMMYFUNCTION("""COMPUTED_VALUE"""),"GL2005006")</f>
        <v>GL2005006</v>
      </c>
      <c r="R1116" s="57">
        <f>IFERROR(__xludf.DUMMYFUNCTION("""COMPUTED_VALUE"""),43927.0)</f>
        <v>43927</v>
      </c>
      <c r="S1116" s="6" t="str">
        <f>IFERROR(__xludf.DUMMYFUNCTION("""COMPUTED_VALUE"""),"-")</f>
        <v>-</v>
      </c>
      <c r="T1116" s="57">
        <f>IFERROR(__xludf.DUMMYFUNCTION("""COMPUTED_VALUE"""),43980.0)</f>
        <v>43980</v>
      </c>
    </row>
    <row r="1117">
      <c r="A1117" s="6" t="str">
        <f>IFERROR(__xludf.DUMMYFUNCTION("""COMPUTED_VALUE"""),"201750147-3")</f>
        <v>201750147-3</v>
      </c>
      <c r="B1117" s="6" t="str">
        <f>IFERROR(__xludf.DUMMYFUNCTION("""COMPUTED_VALUE"""),"201750147 - Approved")</f>
        <v>201750147 - Approved</v>
      </c>
      <c r="C1117" s="6">
        <f>IFERROR(__xludf.DUMMYFUNCTION("""COMPUTED_VALUE"""),3.0)</f>
        <v>3</v>
      </c>
      <c r="D1117" s="6" t="str">
        <f>IFERROR(__xludf.DUMMYFUNCTION("""COMPUTED_VALUE"""),"P-60000-00")</f>
        <v>P-60000-00</v>
      </c>
      <c r="E1117" s="6" t="str">
        <f>IFERROR(__xludf.DUMMYFUNCTION("""COMPUTED_VALUE"""),"Jasa Intalasi Compressor dan Freon")</f>
        <v>Jasa Intalasi Compressor dan Freon</v>
      </c>
      <c r="F1117" s="6">
        <f>IFERROR(__xludf.DUMMYFUNCTION("""COMPUTED_VALUE"""),1.0)</f>
        <v>1</v>
      </c>
      <c r="G1117" s="6" t="str">
        <f>IFERROR(__xludf.DUMMYFUNCTION("""COMPUTED_VALUE"""),"Lot")</f>
        <v>Lot</v>
      </c>
      <c r="H1117" s="6" t="str">
        <f>IFERROR(__xludf.DUMMYFUNCTION("""COMPUTED_VALUE"""),"IDR")</f>
        <v>IDR</v>
      </c>
      <c r="I1117" s="6">
        <f>IFERROR(__xludf.DUMMYFUNCTION("""COMPUTED_VALUE"""),1250000.0)</f>
        <v>1250000</v>
      </c>
      <c r="J1117" s="6">
        <f>IFERROR(__xludf.DUMMYFUNCTION("""COMPUTED_VALUE"""),1250000.0)</f>
        <v>1250000</v>
      </c>
      <c r="K1117" s="57">
        <f>IFERROR(__xludf.DUMMYFUNCTION("""COMPUTED_VALUE"""),43951.0)</f>
        <v>43951</v>
      </c>
      <c r="L1117" s="6" t="str">
        <f>IFERROR(__xludf.DUMMYFUNCTION("""COMPUTED_VALUE"""),"FIP General")</f>
        <v>FIP General</v>
      </c>
      <c r="M1117" s="6" t="str">
        <f>IFERROR(__xludf.DUMMYFUNCTION("""COMPUTED_VALUE"""),"Irwan Sopian")</f>
        <v>Irwan Sopian</v>
      </c>
      <c r="N1117" s="6" t="str">
        <f>IFERROR(__xludf.DUMMYFUNCTION("""COMPUTED_VALUE"""),"FIP Engineering")</f>
        <v>FIP Engineering</v>
      </c>
      <c r="O1117" s="6" t="str">
        <f>IFERROR(__xludf.DUMMYFUNCTION("""COMPUTED_VALUE"""),"FIP-DOM-ENG-51504-0000000-INA-000000")</f>
        <v>FIP-DOM-ENG-51504-0000000-INA-000000</v>
      </c>
      <c r="P1117" s="6" t="str">
        <f>IFERROR(__xludf.DUMMYFUNCTION("""COMPUTED_VALUE"""),"PO Closed")</f>
        <v>PO Closed</v>
      </c>
      <c r="Q1117" s="6" t="str">
        <f>IFERROR(__xludf.DUMMYFUNCTION("""COMPUTED_VALUE"""),"GL2005006")</f>
        <v>GL2005006</v>
      </c>
      <c r="R1117" s="57">
        <f>IFERROR(__xludf.DUMMYFUNCTION("""COMPUTED_VALUE"""),43927.0)</f>
        <v>43927</v>
      </c>
      <c r="S1117" s="6" t="str">
        <f>IFERROR(__xludf.DUMMYFUNCTION("""COMPUTED_VALUE"""),"-")</f>
        <v>-</v>
      </c>
      <c r="T1117" s="57">
        <f>IFERROR(__xludf.DUMMYFUNCTION("""COMPUTED_VALUE"""),43973.0)</f>
        <v>43973</v>
      </c>
    </row>
    <row r="1118">
      <c r="A1118" s="6" t="str">
        <f>IFERROR(__xludf.DUMMYFUNCTION("""COMPUTED_VALUE"""),"201750151-1")</f>
        <v>201750151-1</v>
      </c>
      <c r="B1118" s="6" t="str">
        <f>IFERROR(__xludf.DUMMYFUNCTION("""COMPUTED_VALUE"""),"201750151 - Approved")</f>
        <v>201750151 - Approved</v>
      </c>
      <c r="C1118" s="6">
        <f>IFERROR(__xludf.DUMMYFUNCTION("""COMPUTED_VALUE"""),1.0)</f>
        <v>1</v>
      </c>
      <c r="D1118" s="6" t="str">
        <f>IFERROR(__xludf.DUMMYFUNCTION("""COMPUTED_VALUE"""),"O-16960-00")</f>
        <v>O-16960-00</v>
      </c>
      <c r="E1118" s="6" t="str">
        <f>IFERROR(__xludf.DUMMYFUNCTION("""COMPUTED_VALUE"""),"Marchesini MA155 - Green HMP Liquid 5 liter P/n: 90090104")</f>
        <v>Marchesini MA155 - Green HMP Liquid 5 liter P/n: 90090104</v>
      </c>
      <c r="F1118" s="6">
        <f>IFERROR(__xludf.DUMMYFUNCTION("""COMPUTED_VALUE"""),1.0)</f>
        <v>1</v>
      </c>
      <c r="G1118" s="6" t="str">
        <f>IFERROR(__xludf.DUMMYFUNCTION("""COMPUTED_VALUE"""),"Pieces")</f>
        <v>Pieces</v>
      </c>
      <c r="H1118" s="6" t="str">
        <f>IFERROR(__xludf.DUMMYFUNCTION("""COMPUTED_VALUE"""),"IDR")</f>
        <v>IDR</v>
      </c>
      <c r="I1118" s="6">
        <f>IFERROR(__xludf.DUMMYFUNCTION("""COMPUTED_VALUE"""),2100000.0)</f>
        <v>2100000</v>
      </c>
      <c r="J1118" s="6">
        <f>IFERROR(__xludf.DUMMYFUNCTION("""COMPUTED_VALUE"""),2100000.0)</f>
        <v>2100000</v>
      </c>
      <c r="K1118" s="57">
        <f>IFERROR(__xludf.DUMMYFUNCTION("""COMPUTED_VALUE"""),43951.0)</f>
        <v>43951</v>
      </c>
      <c r="L1118" s="6" t="str">
        <f>IFERROR(__xludf.DUMMYFUNCTION("""COMPUTED_VALUE"""),"FIP Engineering")</f>
        <v>FIP Engineering</v>
      </c>
      <c r="M1118" s="6" t="str">
        <f>IFERROR(__xludf.DUMMYFUNCTION("""COMPUTED_VALUE"""),"Irwan Sopian")</f>
        <v>Irwan Sopian</v>
      </c>
      <c r="N1118" s="6" t="str">
        <f>IFERROR(__xludf.DUMMYFUNCTION("""COMPUTED_VALUE"""),"FIP Engineering")</f>
        <v>FIP Engineering</v>
      </c>
      <c r="O1118" s="6" t="str">
        <f>IFERROR(__xludf.DUMMYFUNCTION("""COMPUTED_VALUE"""),"FIP-DOM-000-11304-OS00001-INA-000000")</f>
        <v>FIP-DOM-000-11304-OS00001-INA-000000</v>
      </c>
      <c r="P1118" s="6" t="str">
        <f>IFERROR(__xludf.DUMMYFUNCTION("""COMPUTED_VALUE"""),"PO Closed")</f>
        <v>PO Closed</v>
      </c>
      <c r="Q1118" s="6" t="str">
        <f>IFERROR(__xludf.DUMMYFUNCTION("""COMPUTED_VALUE"""),"GL2004042")</f>
        <v>GL2004042</v>
      </c>
      <c r="R1118" s="57">
        <f>IFERROR(__xludf.DUMMYFUNCTION("""COMPUTED_VALUE"""),43928.0)</f>
        <v>43928</v>
      </c>
      <c r="S1118" s="6" t="str">
        <f>IFERROR(__xludf.DUMMYFUNCTION("""COMPUTED_VALUE"""),"-")</f>
        <v>-</v>
      </c>
      <c r="T1118" s="57">
        <f>IFERROR(__xludf.DUMMYFUNCTION("""COMPUTED_VALUE"""),43951.0)</f>
        <v>43951</v>
      </c>
    </row>
    <row r="1119">
      <c r="A1119" s="6" t="str">
        <f>IFERROR(__xludf.DUMMYFUNCTION("""COMPUTED_VALUE"""),"201750154-1")</f>
        <v>201750154-1</v>
      </c>
      <c r="B1119" s="6" t="str">
        <f>IFERROR(__xludf.DUMMYFUNCTION("""COMPUTED_VALUE"""),"201750154 - Approved")</f>
        <v>201750154 - Approved</v>
      </c>
      <c r="C1119" s="6">
        <f>IFERROR(__xludf.DUMMYFUNCTION("""COMPUTED_VALUE"""),1.0)</f>
        <v>1</v>
      </c>
      <c r="D1119" s="6" t="str">
        <f>IFERROR(__xludf.DUMMYFUNCTION("""COMPUTED_VALUE"""),"Q-11000-00")</f>
        <v>Q-11000-00</v>
      </c>
      <c r="E1119" s="6" t="str">
        <f>IFERROR(__xludf.DUMMYFUNCTION("""COMPUTED_VALUE"""),"Perbaikan dan Perapihan Sealant area Area Building dan Mesin area B, C dan D")</f>
        <v>Perbaikan dan Perapihan Sealant area Area Building dan Mesin area B, C dan D</v>
      </c>
      <c r="F1119" s="6">
        <f>IFERROR(__xludf.DUMMYFUNCTION("""COMPUTED_VALUE"""),1.0)</f>
        <v>1</v>
      </c>
      <c r="G1119" s="6" t="str">
        <f>IFERROR(__xludf.DUMMYFUNCTION("""COMPUTED_VALUE"""),"Lot")</f>
        <v>Lot</v>
      </c>
      <c r="H1119" s="6" t="str">
        <f>IFERROR(__xludf.DUMMYFUNCTION("""COMPUTED_VALUE"""),"IDR")</f>
        <v>IDR</v>
      </c>
      <c r="I1119" s="6">
        <f>IFERROR(__xludf.DUMMYFUNCTION("""COMPUTED_VALUE"""),3790500.0)</f>
        <v>3790500</v>
      </c>
      <c r="J1119" s="6">
        <f>IFERROR(__xludf.DUMMYFUNCTION("""COMPUTED_VALUE"""),3790500.0)</f>
        <v>3790500</v>
      </c>
      <c r="K1119" s="57">
        <f>IFERROR(__xludf.DUMMYFUNCTION("""COMPUTED_VALUE"""),43945.0)</f>
        <v>43945</v>
      </c>
      <c r="L1119" s="6" t="str">
        <f>IFERROR(__xludf.DUMMYFUNCTION("""COMPUTED_VALUE"""),"FIP General")</f>
        <v>FIP General</v>
      </c>
      <c r="M1119" s="6" t="str">
        <f>IFERROR(__xludf.DUMMYFUNCTION("""COMPUTED_VALUE"""),"Irwan Sopian")</f>
        <v>Irwan Sopian</v>
      </c>
      <c r="N1119" s="6" t="str">
        <f>IFERROR(__xludf.DUMMYFUNCTION("""COMPUTED_VALUE"""),"FIP Engineering")</f>
        <v>FIP Engineering</v>
      </c>
      <c r="O1119" s="6" t="str">
        <f>IFERROR(__xludf.DUMMYFUNCTION("""COMPUTED_VALUE"""),"FIP-DOM-ENG-51502-0000000-INA-000000")</f>
        <v>FIP-DOM-ENG-51502-0000000-INA-000000</v>
      </c>
      <c r="P1119" s="6" t="str">
        <f>IFERROR(__xludf.DUMMYFUNCTION("""COMPUTED_VALUE"""),"PO Closed")</f>
        <v>PO Closed</v>
      </c>
      <c r="Q1119" s="6" t="str">
        <f>IFERROR(__xludf.DUMMYFUNCTION("""COMPUTED_VALUE"""),"GL2004048")</f>
        <v>GL2004048</v>
      </c>
      <c r="R1119" s="57">
        <f>IFERROR(__xludf.DUMMYFUNCTION("""COMPUTED_VALUE"""),43929.0)</f>
        <v>43929</v>
      </c>
      <c r="S1119" s="6" t="str">
        <f>IFERROR(__xludf.DUMMYFUNCTION("""COMPUTED_VALUE"""),"-")</f>
        <v>-</v>
      </c>
      <c r="T1119" s="57">
        <f>IFERROR(__xludf.DUMMYFUNCTION("""COMPUTED_VALUE"""),43958.0)</f>
        <v>43958</v>
      </c>
    </row>
    <row r="1120">
      <c r="A1120" s="6" t="str">
        <f>IFERROR(__xludf.DUMMYFUNCTION("""COMPUTED_VALUE"""),"201750160-1")</f>
        <v>201750160-1</v>
      </c>
      <c r="B1120" s="6" t="str">
        <f>IFERROR(__xludf.DUMMYFUNCTION("""COMPUTED_VALUE"""),"201750160 - Approved")</f>
        <v>201750160 - Approved</v>
      </c>
      <c r="C1120" s="6">
        <f>IFERROR(__xludf.DUMMYFUNCTION("""COMPUTED_VALUE"""),1.0)</f>
        <v>1</v>
      </c>
      <c r="D1120" s="6" t="str">
        <f>IFERROR(__xludf.DUMMYFUNCTION("""COMPUTED_VALUE"""),"Q-10805-00")</f>
        <v>Q-10805-00</v>
      </c>
      <c r="E1120" s="6" t="str">
        <f>IFERROR(__xludf.DUMMYFUNCTION("""COMPUTED_VALUE"""),"Multipox MX-98 White @ 20 KG PROPAN PAIL")</f>
        <v>Multipox MX-98 White @ 20 KG PROPAN PAIL</v>
      </c>
      <c r="F1120" s="6">
        <f>IFERROR(__xludf.DUMMYFUNCTION("""COMPUTED_VALUE"""),1.0)</f>
        <v>1</v>
      </c>
      <c r="G1120" s="6" t="str">
        <f>IFERROR(__xludf.DUMMYFUNCTION("""COMPUTED_VALUE"""),"Pail")</f>
        <v>Pail</v>
      </c>
      <c r="H1120" s="6" t="str">
        <f>IFERROR(__xludf.DUMMYFUNCTION("""COMPUTED_VALUE"""),"IDR")</f>
        <v>IDR</v>
      </c>
      <c r="I1120" s="6">
        <f>IFERROR(__xludf.DUMMYFUNCTION("""COMPUTED_VALUE"""),2912500.0)</f>
        <v>2912500</v>
      </c>
      <c r="J1120" s="6">
        <f>IFERROR(__xludf.DUMMYFUNCTION("""COMPUTED_VALUE"""),2912500.0)</f>
        <v>2912500</v>
      </c>
      <c r="K1120" s="57">
        <f>IFERROR(__xludf.DUMMYFUNCTION("""COMPUTED_VALUE"""),43951.0)</f>
        <v>43951</v>
      </c>
      <c r="L1120" s="6" t="str">
        <f>IFERROR(__xludf.DUMMYFUNCTION("""COMPUTED_VALUE"""),"FIP Engineering")</f>
        <v>FIP Engineering</v>
      </c>
      <c r="M1120" s="6" t="str">
        <f>IFERROR(__xludf.DUMMYFUNCTION("""COMPUTED_VALUE"""),"Irwan Sopian")</f>
        <v>Irwan Sopian</v>
      </c>
      <c r="N1120" s="6" t="str">
        <f>IFERROR(__xludf.DUMMYFUNCTION("""COMPUTED_VALUE"""),"FIP Engineering")</f>
        <v>FIP Engineering</v>
      </c>
      <c r="O1120" s="6" t="str">
        <f>IFERROR(__xludf.DUMMYFUNCTION("""COMPUTED_VALUE"""),"FIP-DOM-000-11304-OS00001-INA-000000")</f>
        <v>FIP-DOM-000-11304-OS00001-INA-000000</v>
      </c>
      <c r="P1120" s="6" t="str">
        <f>IFERROR(__xludf.DUMMYFUNCTION("""COMPUTED_VALUE"""),"PO Closed")</f>
        <v>PO Closed</v>
      </c>
      <c r="Q1120" s="6" t="str">
        <f>IFERROR(__xludf.DUMMYFUNCTION("""COMPUTED_VALUE"""),"GL2004047")</f>
        <v>GL2004047</v>
      </c>
      <c r="R1120" s="57">
        <f>IFERROR(__xludf.DUMMYFUNCTION("""COMPUTED_VALUE"""),43930.0)</f>
        <v>43930</v>
      </c>
      <c r="S1120" s="6" t="str">
        <f>IFERROR(__xludf.DUMMYFUNCTION("""COMPUTED_VALUE"""),"-")</f>
        <v>-</v>
      </c>
      <c r="T1120" s="57">
        <f>IFERROR(__xludf.DUMMYFUNCTION("""COMPUTED_VALUE"""),43944.0)</f>
        <v>43944</v>
      </c>
    </row>
    <row r="1121">
      <c r="A1121" s="6" t="str">
        <f>IFERROR(__xludf.DUMMYFUNCTION("""COMPUTED_VALUE"""),"201750160-2")</f>
        <v>201750160-2</v>
      </c>
      <c r="B1121" s="6" t="str">
        <f>IFERROR(__xludf.DUMMYFUNCTION("""COMPUTED_VALUE"""),"201750160 - Approved")</f>
        <v>201750160 - Approved</v>
      </c>
      <c r="C1121" s="6">
        <f>IFERROR(__xludf.DUMMYFUNCTION("""COMPUTED_VALUE"""),2.0)</f>
        <v>2</v>
      </c>
      <c r="D1121" s="6" t="str">
        <f>IFERROR(__xludf.DUMMYFUNCTION("""COMPUTED_VALUE"""),"Q-10128-00")</f>
        <v>Q-10128-00</v>
      </c>
      <c r="E1121" s="6" t="str">
        <f>IFERROR(__xludf.DUMMYFUNCTION("""COMPUTED_VALUE"""),"Thinner Super End/Impala")</f>
        <v>Thinner Super End/Impala</v>
      </c>
      <c r="F1121" s="6">
        <f>IFERROR(__xludf.DUMMYFUNCTION("""COMPUTED_VALUE"""),10.0)</f>
        <v>10</v>
      </c>
      <c r="G1121" s="6" t="str">
        <f>IFERROR(__xludf.DUMMYFUNCTION("""COMPUTED_VALUE"""),"Pieces")</f>
        <v>Pieces</v>
      </c>
      <c r="H1121" s="6" t="str">
        <f>IFERROR(__xludf.DUMMYFUNCTION("""COMPUTED_VALUE"""),"IDR")</f>
        <v>IDR</v>
      </c>
      <c r="I1121" s="6">
        <f>IFERROR(__xludf.DUMMYFUNCTION("""COMPUTED_VALUE"""),44375.0)</f>
        <v>44375</v>
      </c>
      <c r="J1121" s="6">
        <f>IFERROR(__xludf.DUMMYFUNCTION("""COMPUTED_VALUE"""),443750.0)</f>
        <v>443750</v>
      </c>
      <c r="K1121" s="57">
        <f>IFERROR(__xludf.DUMMYFUNCTION("""COMPUTED_VALUE"""),43951.0)</f>
        <v>43951</v>
      </c>
      <c r="L1121" s="6" t="str">
        <f>IFERROR(__xludf.DUMMYFUNCTION("""COMPUTED_VALUE"""),"FIP Engineering")</f>
        <v>FIP Engineering</v>
      </c>
      <c r="M1121" s="6" t="str">
        <f>IFERROR(__xludf.DUMMYFUNCTION("""COMPUTED_VALUE"""),"Irwan Sopian")</f>
        <v>Irwan Sopian</v>
      </c>
      <c r="N1121" s="6" t="str">
        <f>IFERROR(__xludf.DUMMYFUNCTION("""COMPUTED_VALUE"""),"FIP Engineering")</f>
        <v>FIP Engineering</v>
      </c>
      <c r="O1121" s="6" t="str">
        <f>IFERROR(__xludf.DUMMYFUNCTION("""COMPUTED_VALUE"""),"FIP-DOM-000-11304-OS00001-INA-000000")</f>
        <v>FIP-DOM-000-11304-OS00001-INA-000000</v>
      </c>
      <c r="P1121" s="6" t="str">
        <f>IFERROR(__xludf.DUMMYFUNCTION("""COMPUTED_VALUE"""),"PO Closed")</f>
        <v>PO Closed</v>
      </c>
      <c r="Q1121" s="6" t="str">
        <f>IFERROR(__xludf.DUMMYFUNCTION("""COMPUTED_VALUE"""),"GL2004047")</f>
        <v>GL2004047</v>
      </c>
      <c r="R1121" s="57">
        <f>IFERROR(__xludf.DUMMYFUNCTION("""COMPUTED_VALUE"""),43930.0)</f>
        <v>43930</v>
      </c>
      <c r="S1121" s="6" t="str">
        <f>IFERROR(__xludf.DUMMYFUNCTION("""COMPUTED_VALUE"""),"-")</f>
        <v>-</v>
      </c>
      <c r="T1121" s="57">
        <f>IFERROR(__xludf.DUMMYFUNCTION("""COMPUTED_VALUE"""),43944.0)</f>
        <v>43944</v>
      </c>
    </row>
    <row r="1122">
      <c r="A1122" s="6" t="str">
        <f>IFERROR(__xludf.DUMMYFUNCTION("""COMPUTED_VALUE"""),"201750160-3")</f>
        <v>201750160-3</v>
      </c>
      <c r="B1122" s="6" t="str">
        <f>IFERROR(__xludf.DUMMYFUNCTION("""COMPUTED_VALUE"""),"201750160 - Approved")</f>
        <v>201750160 - Approved</v>
      </c>
      <c r="C1122" s="6">
        <f>IFERROR(__xludf.DUMMYFUNCTION("""COMPUTED_VALUE"""),3.0)</f>
        <v>3</v>
      </c>
      <c r="D1122" s="6" t="str">
        <f>IFERROR(__xludf.DUMMYFUNCTION("""COMPUTED_VALUE"""),"Q-10154-00")</f>
        <v>Q-10154-00</v>
      </c>
      <c r="E1122" s="6" t="str">
        <f>IFERROR(__xludf.DUMMYFUNCTION("""COMPUTED_VALUE"""),"Roller cat 230mm")</f>
        <v>Roller cat 230mm</v>
      </c>
      <c r="F1122" s="6">
        <f>IFERROR(__xludf.DUMMYFUNCTION("""COMPUTED_VALUE"""),4.0)</f>
        <v>4</v>
      </c>
      <c r="G1122" s="6" t="str">
        <f>IFERROR(__xludf.DUMMYFUNCTION("""COMPUTED_VALUE"""),"Pieces")</f>
        <v>Pieces</v>
      </c>
      <c r="H1122" s="6" t="str">
        <f>IFERROR(__xludf.DUMMYFUNCTION("""COMPUTED_VALUE"""),"IDR")</f>
        <v>IDR</v>
      </c>
      <c r="I1122" s="6">
        <f>IFERROR(__xludf.DUMMYFUNCTION("""COMPUTED_VALUE"""),39375.0)</f>
        <v>39375</v>
      </c>
      <c r="J1122" s="6">
        <f>IFERROR(__xludf.DUMMYFUNCTION("""COMPUTED_VALUE"""),157500.0)</f>
        <v>157500</v>
      </c>
      <c r="K1122" s="57">
        <f>IFERROR(__xludf.DUMMYFUNCTION("""COMPUTED_VALUE"""),43951.0)</f>
        <v>43951</v>
      </c>
      <c r="L1122" s="6" t="str">
        <f>IFERROR(__xludf.DUMMYFUNCTION("""COMPUTED_VALUE"""),"FIP Engineering")</f>
        <v>FIP Engineering</v>
      </c>
      <c r="M1122" s="6" t="str">
        <f>IFERROR(__xludf.DUMMYFUNCTION("""COMPUTED_VALUE"""),"Irwan Sopian")</f>
        <v>Irwan Sopian</v>
      </c>
      <c r="N1122" s="6" t="str">
        <f>IFERROR(__xludf.DUMMYFUNCTION("""COMPUTED_VALUE"""),"FIP Engineering")</f>
        <v>FIP Engineering</v>
      </c>
      <c r="O1122" s="6" t="str">
        <f>IFERROR(__xludf.DUMMYFUNCTION("""COMPUTED_VALUE"""),"FIP-DOM-000-11304-OS00001-INA-000000")</f>
        <v>FIP-DOM-000-11304-OS00001-INA-000000</v>
      </c>
      <c r="P1122" s="6" t="str">
        <f>IFERROR(__xludf.DUMMYFUNCTION("""COMPUTED_VALUE"""),"PO Closed")</f>
        <v>PO Closed</v>
      </c>
      <c r="Q1122" s="6" t="str">
        <f>IFERROR(__xludf.DUMMYFUNCTION("""COMPUTED_VALUE"""),"GL2004047")</f>
        <v>GL2004047</v>
      </c>
      <c r="R1122" s="57">
        <f>IFERROR(__xludf.DUMMYFUNCTION("""COMPUTED_VALUE"""),43930.0)</f>
        <v>43930</v>
      </c>
      <c r="S1122" s="6" t="str">
        <f>IFERROR(__xludf.DUMMYFUNCTION("""COMPUTED_VALUE"""),"-")</f>
        <v>-</v>
      </c>
      <c r="T1122" s="57">
        <f>IFERROR(__xludf.DUMMYFUNCTION("""COMPUTED_VALUE"""),43944.0)</f>
        <v>43944</v>
      </c>
    </row>
    <row r="1123">
      <c r="A1123" s="6" t="str">
        <f>IFERROR(__xludf.DUMMYFUNCTION("""COMPUTED_VALUE"""),"201750160-4")</f>
        <v>201750160-4</v>
      </c>
      <c r="B1123" s="6" t="str">
        <f>IFERROR(__xludf.DUMMYFUNCTION("""COMPUTED_VALUE"""),"201750160 - Approved")</f>
        <v>201750160 - Approved</v>
      </c>
      <c r="C1123" s="6">
        <f>IFERROR(__xludf.DUMMYFUNCTION("""COMPUTED_VALUE"""),4.0)</f>
        <v>4</v>
      </c>
      <c r="D1123" s="6" t="str">
        <f>IFERROR(__xludf.DUMMYFUNCTION("""COMPUTED_VALUE"""),"Q-60003-00")</f>
        <v>Q-60003-00</v>
      </c>
      <c r="E1123" s="6" t="str">
        <f>IFERROR(__xludf.DUMMYFUNCTION("""COMPUTED_VALUE"""),"Plakband Kertas")</f>
        <v>Plakband Kertas</v>
      </c>
      <c r="F1123" s="6">
        <f>IFERROR(__xludf.DUMMYFUNCTION("""COMPUTED_VALUE"""),30.0)</f>
        <v>30</v>
      </c>
      <c r="G1123" s="6" t="str">
        <f>IFERROR(__xludf.DUMMYFUNCTION("""COMPUTED_VALUE"""),"Roll")</f>
        <v>Roll</v>
      </c>
      <c r="H1123" s="6" t="str">
        <f>IFERROR(__xludf.DUMMYFUNCTION("""COMPUTED_VALUE"""),"IDR")</f>
        <v>IDR</v>
      </c>
      <c r="I1123" s="6">
        <f>IFERROR(__xludf.DUMMYFUNCTION("""COMPUTED_VALUE"""),12500.0)</f>
        <v>12500</v>
      </c>
      <c r="J1123" s="6">
        <f>IFERROR(__xludf.DUMMYFUNCTION("""COMPUTED_VALUE"""),375000.0)</f>
        <v>375000</v>
      </c>
      <c r="K1123" s="57">
        <f>IFERROR(__xludf.DUMMYFUNCTION("""COMPUTED_VALUE"""),43951.0)</f>
        <v>43951</v>
      </c>
      <c r="L1123" s="6" t="str">
        <f>IFERROR(__xludf.DUMMYFUNCTION("""COMPUTED_VALUE"""),"FIP Engineering")</f>
        <v>FIP Engineering</v>
      </c>
      <c r="M1123" s="6" t="str">
        <f>IFERROR(__xludf.DUMMYFUNCTION("""COMPUTED_VALUE"""),"Irwan Sopian")</f>
        <v>Irwan Sopian</v>
      </c>
      <c r="N1123" s="6" t="str">
        <f>IFERROR(__xludf.DUMMYFUNCTION("""COMPUTED_VALUE"""),"FIP Engineering")</f>
        <v>FIP Engineering</v>
      </c>
      <c r="O1123" s="6" t="str">
        <f>IFERROR(__xludf.DUMMYFUNCTION("""COMPUTED_VALUE"""),"FIP-DOM-000-11304-OS00001-INA-000000")</f>
        <v>FIP-DOM-000-11304-OS00001-INA-000000</v>
      </c>
      <c r="P1123" s="6" t="str">
        <f>IFERROR(__xludf.DUMMYFUNCTION("""COMPUTED_VALUE"""),"PO Closed")</f>
        <v>PO Closed</v>
      </c>
      <c r="Q1123" s="6" t="str">
        <f>IFERROR(__xludf.DUMMYFUNCTION("""COMPUTED_VALUE"""),"GL2004047")</f>
        <v>GL2004047</v>
      </c>
      <c r="R1123" s="57">
        <f>IFERROR(__xludf.DUMMYFUNCTION("""COMPUTED_VALUE"""),43930.0)</f>
        <v>43930</v>
      </c>
      <c r="S1123" s="6" t="str">
        <f>IFERROR(__xludf.DUMMYFUNCTION("""COMPUTED_VALUE"""),"-")</f>
        <v>-</v>
      </c>
      <c r="T1123" s="57">
        <f>IFERROR(__xludf.DUMMYFUNCTION("""COMPUTED_VALUE"""),43944.0)</f>
        <v>43944</v>
      </c>
    </row>
    <row r="1124">
      <c r="A1124" s="6" t="str">
        <f>IFERROR(__xludf.DUMMYFUNCTION("""COMPUTED_VALUE"""),"201750164-1")</f>
        <v>201750164-1</v>
      </c>
      <c r="B1124" s="6" t="str">
        <f>IFERROR(__xludf.DUMMYFUNCTION("""COMPUTED_VALUE"""),"201750164 - Approved")</f>
        <v>201750164 - Approved</v>
      </c>
      <c r="C1124" s="6">
        <f>IFERROR(__xludf.DUMMYFUNCTION("""COMPUTED_VALUE"""),1.0)</f>
        <v>1</v>
      </c>
      <c r="D1124" s="6" t="str">
        <f>IFERROR(__xludf.DUMMYFUNCTION("""COMPUTED_VALUE"""),"P-12994-00")</f>
        <v>P-12994-00</v>
      </c>
      <c r="E1124" s="6" t="str">
        <f>IFERROR(__xludf.DUMMYFUNCTION("""COMPUTED_VALUE"""),"Nippon Tape - ASF-110FR")</f>
        <v>Nippon Tape - ASF-110FR</v>
      </c>
      <c r="F1124" s="6">
        <f>IFERROR(__xludf.DUMMYFUNCTION("""COMPUTED_VALUE"""),2.0)</f>
        <v>2</v>
      </c>
      <c r="G1124" s="6" t="str">
        <f>IFERROR(__xludf.DUMMYFUNCTION("""COMPUTED_VALUE"""),"Pieces")</f>
        <v>Pieces</v>
      </c>
      <c r="H1124" s="6" t="str">
        <f>IFERROR(__xludf.DUMMYFUNCTION("""COMPUTED_VALUE"""),"IDR")</f>
        <v>IDR</v>
      </c>
      <c r="I1124" s="6">
        <f>IFERROR(__xludf.DUMMYFUNCTION("""COMPUTED_VALUE"""),925000.0)</f>
        <v>925000</v>
      </c>
      <c r="J1124" s="6">
        <f>IFERROR(__xludf.DUMMYFUNCTION("""COMPUTED_VALUE"""),1850000.0)</f>
        <v>1850000</v>
      </c>
      <c r="K1124" s="57">
        <f>IFERROR(__xludf.DUMMYFUNCTION("""COMPUTED_VALUE"""),43951.0)</f>
        <v>43951</v>
      </c>
      <c r="L1124" s="6" t="str">
        <f>IFERROR(__xludf.DUMMYFUNCTION("""COMPUTED_VALUE"""),"FIP Engineering")</f>
        <v>FIP Engineering</v>
      </c>
      <c r="M1124" s="6" t="str">
        <f>IFERROR(__xludf.DUMMYFUNCTION("""COMPUTED_VALUE"""),"Irwan Sopian")</f>
        <v>Irwan Sopian</v>
      </c>
      <c r="N1124" s="6" t="str">
        <f>IFERROR(__xludf.DUMMYFUNCTION("""COMPUTED_VALUE"""),"FIP Engineering")</f>
        <v>FIP Engineering</v>
      </c>
      <c r="O1124" s="6" t="str">
        <f>IFERROR(__xludf.DUMMYFUNCTION("""COMPUTED_VALUE"""),"FIP-DOM-000-11304-OS00001-INA-000000")</f>
        <v>FIP-DOM-000-11304-OS00001-INA-000000</v>
      </c>
      <c r="P1124" s="6" t="str">
        <f>IFERROR(__xludf.DUMMYFUNCTION("""COMPUTED_VALUE"""),"PO Closed")</f>
        <v>PO Closed</v>
      </c>
      <c r="Q1124" s="6" t="str">
        <f>IFERROR(__xludf.DUMMYFUNCTION("""COMPUTED_VALUE"""),"GL2005005")</f>
        <v>GL2005005</v>
      </c>
      <c r="R1124" s="57">
        <f>IFERROR(__xludf.DUMMYFUNCTION("""COMPUTED_VALUE"""),43934.0)</f>
        <v>43934</v>
      </c>
      <c r="S1124" s="6" t="str">
        <f>IFERROR(__xludf.DUMMYFUNCTION("""COMPUTED_VALUE"""),"-")</f>
        <v>-</v>
      </c>
      <c r="T1124" s="57">
        <f>IFERROR(__xludf.DUMMYFUNCTION("""COMPUTED_VALUE"""),43980.0)</f>
        <v>43980</v>
      </c>
    </row>
    <row r="1125">
      <c r="A1125" s="6" t="str">
        <f>IFERROR(__xludf.DUMMYFUNCTION("""COMPUTED_VALUE"""),"201750164-2")</f>
        <v>201750164-2</v>
      </c>
      <c r="B1125" s="6" t="str">
        <f>IFERROR(__xludf.DUMMYFUNCTION("""COMPUTED_VALUE"""),"201750164 - Approved")</f>
        <v>201750164 - Approved</v>
      </c>
      <c r="C1125" s="6">
        <f>IFERROR(__xludf.DUMMYFUNCTION("""COMPUTED_VALUE"""),2.0)</f>
        <v>2</v>
      </c>
      <c r="D1125" s="6" t="str">
        <f>IFERROR(__xludf.DUMMYFUNCTION("""COMPUTED_VALUE"""),"P-15938-00")</f>
        <v>P-15938-00</v>
      </c>
      <c r="E1125" s="6" t="str">
        <f>IFERROR(__xludf.DUMMYFUNCTION("""COMPUTED_VALUE"""),"Water Hardness Test Kit")</f>
        <v>Water Hardness Test Kit</v>
      </c>
      <c r="F1125" s="6">
        <f>IFERROR(__xludf.DUMMYFUNCTION("""COMPUTED_VALUE"""),1.0)</f>
        <v>1</v>
      </c>
      <c r="G1125" s="6" t="str">
        <f>IFERROR(__xludf.DUMMYFUNCTION("""COMPUTED_VALUE"""),"Box")</f>
        <v>Box</v>
      </c>
      <c r="H1125" s="6" t="str">
        <f>IFERROR(__xludf.DUMMYFUNCTION("""COMPUTED_VALUE"""),"IDR")</f>
        <v>IDR</v>
      </c>
      <c r="I1125" s="6">
        <f>IFERROR(__xludf.DUMMYFUNCTION("""COMPUTED_VALUE"""),330000.0)</f>
        <v>330000</v>
      </c>
      <c r="J1125" s="6">
        <f>IFERROR(__xludf.DUMMYFUNCTION("""COMPUTED_VALUE"""),330000.0)</f>
        <v>330000</v>
      </c>
      <c r="K1125" s="57">
        <f>IFERROR(__xludf.DUMMYFUNCTION("""COMPUTED_VALUE"""),43951.0)</f>
        <v>43951</v>
      </c>
      <c r="L1125" s="6" t="str">
        <f>IFERROR(__xludf.DUMMYFUNCTION("""COMPUTED_VALUE"""),"FIP General")</f>
        <v>FIP General</v>
      </c>
      <c r="M1125" s="6" t="str">
        <f>IFERROR(__xludf.DUMMYFUNCTION("""COMPUTED_VALUE"""),"Irwan Sopian")</f>
        <v>Irwan Sopian</v>
      </c>
      <c r="N1125" s="6" t="str">
        <f>IFERROR(__xludf.DUMMYFUNCTION("""COMPUTED_VALUE"""),"FIP Engineering")</f>
        <v>FIP Engineering</v>
      </c>
      <c r="O1125" s="6" t="str">
        <f>IFERROR(__xludf.DUMMYFUNCTION("""COMPUTED_VALUE"""),"FIP-DOM-ENG-51504-0000000-INA-000000")</f>
        <v>FIP-DOM-ENG-51504-0000000-INA-000000</v>
      </c>
      <c r="P1125" s="6" t="str">
        <f>IFERROR(__xludf.DUMMYFUNCTION("""COMPUTED_VALUE"""),"PO Closed")</f>
        <v>PO Closed</v>
      </c>
      <c r="Q1125" s="6" t="str">
        <f>IFERROR(__xludf.DUMMYFUNCTION("""COMPUTED_VALUE"""),"GL2005005")</f>
        <v>GL2005005</v>
      </c>
      <c r="R1125" s="57">
        <f>IFERROR(__xludf.DUMMYFUNCTION("""COMPUTED_VALUE"""),43934.0)</f>
        <v>43934</v>
      </c>
      <c r="S1125" s="6" t="str">
        <f>IFERROR(__xludf.DUMMYFUNCTION("""COMPUTED_VALUE"""),"-")</f>
        <v>-</v>
      </c>
      <c r="T1125" s="57">
        <f>IFERROR(__xludf.DUMMYFUNCTION("""COMPUTED_VALUE"""),43973.0)</f>
        <v>43973</v>
      </c>
    </row>
    <row r="1126">
      <c r="A1126" s="6" t="str">
        <f>IFERROR(__xludf.DUMMYFUNCTION("""COMPUTED_VALUE"""),"201750164-3")</f>
        <v>201750164-3</v>
      </c>
      <c r="B1126" s="6" t="str">
        <f>IFERROR(__xludf.DUMMYFUNCTION("""COMPUTED_VALUE"""),"201750164 - Approved")</f>
        <v>201750164 - Approved</v>
      </c>
      <c r="C1126" s="6">
        <f>IFERROR(__xludf.DUMMYFUNCTION("""COMPUTED_VALUE"""),3.0)</f>
        <v>3</v>
      </c>
      <c r="D1126" s="6" t="str">
        <f>IFERROR(__xludf.DUMMYFUNCTION("""COMPUTED_VALUE"""),"P-17389-00")</f>
        <v>P-17389-00</v>
      </c>
      <c r="E1126" s="6" t="str">
        <f>IFERROR(__xludf.DUMMYFUNCTION("""COMPUTED_VALUE"""),"Kawat las SS316 dia 3.2")</f>
        <v>Kawat las SS316 dia 3.2</v>
      </c>
      <c r="F1126" s="6">
        <f>IFERROR(__xludf.DUMMYFUNCTION("""COMPUTED_VALUE"""),100.0)</f>
        <v>100</v>
      </c>
      <c r="G1126" s="6" t="str">
        <f>IFERROR(__xludf.DUMMYFUNCTION("""COMPUTED_VALUE"""),"Pieces")</f>
        <v>Pieces</v>
      </c>
      <c r="H1126" s="6" t="str">
        <f>IFERROR(__xludf.DUMMYFUNCTION("""COMPUTED_VALUE"""),"IDR")</f>
        <v>IDR</v>
      </c>
      <c r="I1126" s="6">
        <f>IFERROR(__xludf.DUMMYFUNCTION("""COMPUTED_VALUE"""),20000.0)</f>
        <v>20000</v>
      </c>
      <c r="J1126" s="6">
        <f>IFERROR(__xludf.DUMMYFUNCTION("""COMPUTED_VALUE"""),2000000.0)</f>
        <v>2000000</v>
      </c>
      <c r="K1126" s="57">
        <f>IFERROR(__xludf.DUMMYFUNCTION("""COMPUTED_VALUE"""),43951.0)</f>
        <v>43951</v>
      </c>
      <c r="L1126" s="6" t="str">
        <f>IFERROR(__xludf.DUMMYFUNCTION("""COMPUTED_VALUE"""),"FIP Engineering")</f>
        <v>FIP Engineering</v>
      </c>
      <c r="M1126" s="6" t="str">
        <f>IFERROR(__xludf.DUMMYFUNCTION("""COMPUTED_VALUE"""),"Irwan Sopian")</f>
        <v>Irwan Sopian</v>
      </c>
      <c r="N1126" s="6" t="str">
        <f>IFERROR(__xludf.DUMMYFUNCTION("""COMPUTED_VALUE"""),"FIP Engineering")</f>
        <v>FIP Engineering</v>
      </c>
      <c r="O1126" s="6" t="str">
        <f>IFERROR(__xludf.DUMMYFUNCTION("""COMPUTED_VALUE"""),"FIP-DOM-000-11304-OS00001-INA-000000")</f>
        <v>FIP-DOM-000-11304-OS00001-INA-000000</v>
      </c>
      <c r="P1126" s="6" t="str">
        <f>IFERROR(__xludf.DUMMYFUNCTION("""COMPUTED_VALUE"""),"PO Closed")</f>
        <v>PO Closed</v>
      </c>
      <c r="Q1126" s="6" t="str">
        <f>IFERROR(__xludf.DUMMYFUNCTION("""COMPUTED_VALUE"""),"GL2005005")</f>
        <v>GL2005005</v>
      </c>
      <c r="R1126" s="57">
        <f>IFERROR(__xludf.DUMMYFUNCTION("""COMPUTED_VALUE"""),43934.0)</f>
        <v>43934</v>
      </c>
      <c r="S1126" s="6" t="str">
        <f>IFERROR(__xludf.DUMMYFUNCTION("""COMPUTED_VALUE"""),"-")</f>
        <v>-</v>
      </c>
      <c r="T1126" s="57">
        <f>IFERROR(__xludf.DUMMYFUNCTION("""COMPUTED_VALUE"""),43980.0)</f>
        <v>43980</v>
      </c>
    </row>
    <row r="1127">
      <c r="A1127" s="6" t="str">
        <f>IFERROR(__xludf.DUMMYFUNCTION("""COMPUTED_VALUE"""),"201750163-1")</f>
        <v>201750163-1</v>
      </c>
      <c r="B1127" s="6" t="str">
        <f>IFERROR(__xludf.DUMMYFUNCTION("""COMPUTED_VALUE"""),"201750163 - Approved")</f>
        <v>201750163 - Approved</v>
      </c>
      <c r="C1127" s="6">
        <f>IFERROR(__xludf.DUMMYFUNCTION("""COMPUTED_VALUE"""),1.0)</f>
        <v>1</v>
      </c>
      <c r="D1127" s="6" t="str">
        <f>IFERROR(__xludf.DUMMYFUNCTION("""COMPUTED_VALUE"""),"P-17388-00")</f>
        <v>P-17388-00</v>
      </c>
      <c r="E1127" s="6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F1127" s="6">
        <f>IFERROR(__xludf.DUMMYFUNCTION("""COMPUTED_VALUE"""),1.0)</f>
        <v>1</v>
      </c>
      <c r="G1127" s="6" t="str">
        <f>IFERROR(__xludf.DUMMYFUNCTION("""COMPUTED_VALUE"""),"Pieces")</f>
        <v>Pieces</v>
      </c>
      <c r="H1127" s="6" t="str">
        <f>IFERROR(__xludf.DUMMYFUNCTION("""COMPUTED_VALUE"""),"IDR")</f>
        <v>IDR</v>
      </c>
      <c r="I1127" s="6">
        <f>IFERROR(__xludf.DUMMYFUNCTION("""COMPUTED_VALUE"""),5200000.0)</f>
        <v>5200000</v>
      </c>
      <c r="J1127" s="6">
        <f>IFERROR(__xludf.DUMMYFUNCTION("""COMPUTED_VALUE"""),5200000.0)</f>
        <v>5200000</v>
      </c>
      <c r="K1127" s="57">
        <f>IFERROR(__xludf.DUMMYFUNCTION("""COMPUTED_VALUE"""),43959.0)</f>
        <v>43959</v>
      </c>
      <c r="L1127" s="6" t="str">
        <f>IFERROR(__xludf.DUMMYFUNCTION("""COMPUTED_VALUE"""),"FIP Engineering")</f>
        <v>FIP Engineering</v>
      </c>
      <c r="M1127" s="6" t="str">
        <f>IFERROR(__xludf.DUMMYFUNCTION("""COMPUTED_VALUE"""),"Irwan Sopian")</f>
        <v>Irwan Sopian</v>
      </c>
      <c r="N1127" s="6" t="str">
        <f>IFERROR(__xludf.DUMMYFUNCTION("""COMPUTED_VALUE"""),"FIP Engineering")</f>
        <v>FIP Engineering</v>
      </c>
      <c r="O1127" s="6" t="str">
        <f>IFERROR(__xludf.DUMMYFUNCTION("""COMPUTED_VALUE"""),"FIP-DOM-000-11304-OS00001-INA-000000")</f>
        <v>FIP-DOM-000-11304-OS00001-INA-000000</v>
      </c>
      <c r="P1127" s="6" t="str">
        <f>IFERROR(__xludf.DUMMYFUNCTION("""COMPUTED_VALUE"""),"PO Closed")</f>
        <v>PO Closed</v>
      </c>
      <c r="Q1127" s="6" t="str">
        <f>IFERROR(__xludf.DUMMYFUNCTION("""COMPUTED_VALUE"""),"GL2004045")</f>
        <v>GL2004045</v>
      </c>
      <c r="R1127" s="57">
        <f>IFERROR(__xludf.DUMMYFUNCTION("""COMPUTED_VALUE"""),43934.0)</f>
        <v>43934</v>
      </c>
      <c r="S1127" s="6" t="str">
        <f>IFERROR(__xludf.DUMMYFUNCTION("""COMPUTED_VALUE"""),"-")</f>
        <v>-</v>
      </c>
      <c r="T1127" s="57">
        <f>IFERROR(__xludf.DUMMYFUNCTION("""COMPUTED_VALUE"""),43959.0)</f>
        <v>43959</v>
      </c>
    </row>
    <row r="1128">
      <c r="A1128" s="6" t="str">
        <f>IFERROR(__xludf.DUMMYFUNCTION("""COMPUTED_VALUE"""),"201750168-1")</f>
        <v>201750168-1</v>
      </c>
      <c r="B1128" s="6" t="str">
        <f>IFERROR(__xludf.DUMMYFUNCTION("""COMPUTED_VALUE"""),"201750168 - Approved")</f>
        <v>201750168 - Approved</v>
      </c>
      <c r="C1128" s="6">
        <f>IFERROR(__xludf.DUMMYFUNCTION("""COMPUTED_VALUE"""),1.0)</f>
        <v>1</v>
      </c>
      <c r="D1128" s="6" t="str">
        <f>IFERROR(__xludf.DUMMYFUNCTION("""COMPUTED_VALUE"""),"P-17390-00")</f>
        <v>P-17390-00</v>
      </c>
      <c r="E1128" s="6" t="str">
        <f>IFERROR(__xludf.DUMMYFUNCTION("""COMPUTED_VALUE"""),"PALL - AB1PFR7PVH4, 0.2 um; ; ;")</f>
        <v>PALL - AB1PFR7PVH4, 0.2 um; ; ;</v>
      </c>
      <c r="F1128" s="6">
        <f>IFERROR(__xludf.DUMMYFUNCTION("""COMPUTED_VALUE"""),1.0)</f>
        <v>1</v>
      </c>
      <c r="G1128" s="6" t="str">
        <f>IFERROR(__xludf.DUMMYFUNCTION("""COMPUTED_VALUE"""),"Pieces")</f>
        <v>Pieces</v>
      </c>
      <c r="H1128" s="6" t="str">
        <f>IFERROR(__xludf.DUMMYFUNCTION("""COMPUTED_VALUE"""),"IDR")</f>
        <v>IDR</v>
      </c>
      <c r="I1128" s="6">
        <f>IFERROR(__xludf.DUMMYFUNCTION("""COMPUTED_VALUE"""),5780000.0)</f>
        <v>5780000</v>
      </c>
      <c r="J1128" s="6">
        <f>IFERROR(__xludf.DUMMYFUNCTION("""COMPUTED_VALUE"""),5780000.0)</f>
        <v>5780000</v>
      </c>
      <c r="K1128" s="57">
        <f>IFERROR(__xludf.DUMMYFUNCTION("""COMPUTED_VALUE"""),43973.0)</f>
        <v>43973</v>
      </c>
      <c r="L1128" s="6" t="str">
        <f>IFERROR(__xludf.DUMMYFUNCTION("""COMPUTED_VALUE"""),"FIP Engineering")</f>
        <v>FIP Engineering</v>
      </c>
      <c r="M1128" s="6" t="str">
        <f>IFERROR(__xludf.DUMMYFUNCTION("""COMPUTED_VALUE"""),"Irwan Sopian")</f>
        <v>Irwan Sopian</v>
      </c>
      <c r="N1128" s="6" t="str">
        <f>IFERROR(__xludf.DUMMYFUNCTION("""COMPUTED_VALUE"""),"FIP Engineering")</f>
        <v>FIP Engineering</v>
      </c>
      <c r="O1128" s="6" t="str">
        <f>IFERROR(__xludf.DUMMYFUNCTION("""COMPUTED_VALUE"""),"FIP-DOM-000-11304-OS00001-INA-000000")</f>
        <v>FIP-DOM-000-11304-OS00001-INA-000000</v>
      </c>
      <c r="P1128" s="6" t="str">
        <f>IFERROR(__xludf.DUMMYFUNCTION("""COMPUTED_VALUE"""),"PO Closed")</f>
        <v>PO Closed</v>
      </c>
      <c r="Q1128" s="6" t="str">
        <f>IFERROR(__xludf.DUMMYFUNCTION("""COMPUTED_VALUE"""),"GL2005003")</f>
        <v>GL2005003</v>
      </c>
      <c r="R1128" s="57">
        <f>IFERROR(__xludf.DUMMYFUNCTION("""COMPUTED_VALUE"""),43935.0)</f>
        <v>43935</v>
      </c>
      <c r="S1128" s="6" t="str">
        <f>IFERROR(__xludf.DUMMYFUNCTION("""COMPUTED_VALUE"""),"-")</f>
        <v>-</v>
      </c>
      <c r="T1128" s="57">
        <f>IFERROR(__xludf.DUMMYFUNCTION("""COMPUTED_VALUE"""),44022.0)</f>
        <v>44022</v>
      </c>
    </row>
    <row r="1129">
      <c r="A1129" s="6" t="str">
        <f>IFERROR(__xludf.DUMMYFUNCTION("""COMPUTED_VALUE"""),"201750168-2")</f>
        <v>201750168-2</v>
      </c>
      <c r="B1129" s="6" t="str">
        <f>IFERROR(__xludf.DUMMYFUNCTION("""COMPUTED_VALUE"""),"201750168 - Approved")</f>
        <v>201750168 - Approved</v>
      </c>
      <c r="C1129" s="6">
        <f>IFERROR(__xludf.DUMMYFUNCTION("""COMPUTED_VALUE"""),2.0)</f>
        <v>2</v>
      </c>
      <c r="D1129" s="6" t="str">
        <f>IFERROR(__xludf.DUMMYFUNCTION("""COMPUTED_VALUE"""),"O-12868-00")</f>
        <v>O-12868-00</v>
      </c>
      <c r="E1129" s="6" t="str">
        <f>IFERROR(__xludf.DUMMYFUNCTION("""COMPUTED_VALUE"""),"PALL - AB05 PFR2 PVH4, 0.2 um")</f>
        <v>PALL - AB05 PFR2 PVH4, 0.2 um</v>
      </c>
      <c r="F1129" s="6">
        <f>IFERROR(__xludf.DUMMYFUNCTION("""COMPUTED_VALUE"""),1.0)</f>
        <v>1</v>
      </c>
      <c r="G1129" s="6" t="str">
        <f>IFERROR(__xludf.DUMMYFUNCTION("""COMPUTED_VALUE"""),"Pieces")</f>
        <v>Pieces</v>
      </c>
      <c r="H1129" s="6" t="str">
        <f>IFERROR(__xludf.DUMMYFUNCTION("""COMPUTED_VALUE"""),"IDR")</f>
        <v>IDR</v>
      </c>
      <c r="I1129" s="6">
        <f>IFERROR(__xludf.DUMMYFUNCTION("""COMPUTED_VALUE"""),3850000.0)</f>
        <v>3850000</v>
      </c>
      <c r="J1129" s="6">
        <f>IFERROR(__xludf.DUMMYFUNCTION("""COMPUTED_VALUE"""),3850000.0)</f>
        <v>3850000</v>
      </c>
      <c r="K1129" s="57">
        <f>IFERROR(__xludf.DUMMYFUNCTION("""COMPUTED_VALUE"""),43973.0)</f>
        <v>43973</v>
      </c>
      <c r="L1129" s="6" t="str">
        <f>IFERROR(__xludf.DUMMYFUNCTION("""COMPUTED_VALUE"""),"FIP Engineering")</f>
        <v>FIP Engineering</v>
      </c>
      <c r="M1129" s="6" t="str">
        <f>IFERROR(__xludf.DUMMYFUNCTION("""COMPUTED_VALUE"""),"Irwan Sopian")</f>
        <v>Irwan Sopian</v>
      </c>
      <c r="N1129" s="6" t="str">
        <f>IFERROR(__xludf.DUMMYFUNCTION("""COMPUTED_VALUE"""),"FIP Engineering")</f>
        <v>FIP Engineering</v>
      </c>
      <c r="O1129" s="6" t="str">
        <f>IFERROR(__xludf.DUMMYFUNCTION("""COMPUTED_VALUE"""),"FIP-DOM-000-11304-OS00001-INA-000000")</f>
        <v>FIP-DOM-000-11304-OS00001-INA-000000</v>
      </c>
      <c r="P1129" s="6" t="str">
        <f>IFERROR(__xludf.DUMMYFUNCTION("""COMPUTED_VALUE"""),"PO Closed")</f>
        <v>PO Closed</v>
      </c>
      <c r="Q1129" s="6" t="str">
        <f>IFERROR(__xludf.DUMMYFUNCTION("""COMPUTED_VALUE"""),"GL2005003")</f>
        <v>GL2005003</v>
      </c>
      <c r="R1129" s="57">
        <f>IFERROR(__xludf.DUMMYFUNCTION("""COMPUTED_VALUE"""),43935.0)</f>
        <v>43935</v>
      </c>
      <c r="S1129" s="6" t="str">
        <f>IFERROR(__xludf.DUMMYFUNCTION("""COMPUTED_VALUE"""),"-")</f>
        <v>-</v>
      </c>
      <c r="T1129" s="57">
        <f>IFERROR(__xludf.DUMMYFUNCTION("""COMPUTED_VALUE"""),44022.0)</f>
        <v>44022</v>
      </c>
    </row>
    <row r="1130">
      <c r="A1130" s="6" t="str">
        <f>IFERROR(__xludf.DUMMYFUNCTION("""COMPUTED_VALUE"""),"201750167-1")</f>
        <v>201750167-1</v>
      </c>
      <c r="B1130" s="6" t="str">
        <f>IFERROR(__xludf.DUMMYFUNCTION("""COMPUTED_VALUE"""),"201750167 - Approved")</f>
        <v>201750167 - Approved</v>
      </c>
      <c r="C1130" s="6">
        <f>IFERROR(__xludf.DUMMYFUNCTION("""COMPUTED_VALUE"""),1.0)</f>
        <v>1</v>
      </c>
      <c r="D1130" s="6" t="str">
        <f>IFERROR(__xludf.DUMMYFUNCTION("""COMPUTED_VALUE"""),"P-17387-00")</f>
        <v>P-17387-00</v>
      </c>
      <c r="E1130" s="6" t="str">
        <f>IFERROR(__xludf.DUMMYFUNCTION("""COMPUTED_VALUE"""),"Timming Belt 300L 025 Optibelt")</f>
        <v>Timming Belt 300L 025 Optibelt</v>
      </c>
      <c r="F1130" s="6">
        <f>IFERROR(__xludf.DUMMYFUNCTION("""COMPUTED_VALUE"""),4.0)</f>
        <v>4</v>
      </c>
      <c r="G1130" s="6" t="str">
        <f>IFERROR(__xludf.DUMMYFUNCTION("""COMPUTED_VALUE"""),"Pieces")</f>
        <v>Pieces</v>
      </c>
      <c r="H1130" s="6" t="str">
        <f>IFERROR(__xludf.DUMMYFUNCTION("""COMPUTED_VALUE"""),"IDR")</f>
        <v>IDR</v>
      </c>
      <c r="I1130" s="6">
        <f>IFERROR(__xludf.DUMMYFUNCTION("""COMPUTED_VALUE"""),25000.0)</f>
        <v>25000</v>
      </c>
      <c r="J1130" s="6">
        <f>IFERROR(__xludf.DUMMYFUNCTION("""COMPUTED_VALUE"""),100000.0)</f>
        <v>100000</v>
      </c>
      <c r="K1130" s="57">
        <f>IFERROR(__xludf.DUMMYFUNCTION("""COMPUTED_VALUE"""),43951.0)</f>
        <v>43951</v>
      </c>
      <c r="L1130" s="6" t="str">
        <f>IFERROR(__xludf.DUMMYFUNCTION("""COMPUTED_VALUE"""),"FIP Engineering")</f>
        <v>FIP Engineering</v>
      </c>
      <c r="M1130" s="6" t="str">
        <f>IFERROR(__xludf.DUMMYFUNCTION("""COMPUTED_VALUE"""),"Irwan Sopian")</f>
        <v>Irwan Sopian</v>
      </c>
      <c r="N1130" s="6" t="str">
        <f>IFERROR(__xludf.DUMMYFUNCTION("""COMPUTED_VALUE"""),"FIP Engineering")</f>
        <v>FIP Engineering</v>
      </c>
      <c r="O1130" s="6" t="str">
        <f>IFERROR(__xludf.DUMMYFUNCTION("""COMPUTED_VALUE"""),"FIP-DOM-000-11304-OS00001-INA-000000")</f>
        <v>FIP-DOM-000-11304-OS00001-INA-000000</v>
      </c>
      <c r="P1130" s="6" t="str">
        <f>IFERROR(__xludf.DUMMYFUNCTION("""COMPUTED_VALUE"""),"PO Closed")</f>
        <v>PO Closed</v>
      </c>
      <c r="Q1130" s="6" t="str">
        <f>IFERROR(__xludf.DUMMYFUNCTION("""COMPUTED_VALUE"""),"GL2005004")</f>
        <v>GL2005004</v>
      </c>
      <c r="R1130" s="57">
        <f>IFERROR(__xludf.DUMMYFUNCTION("""COMPUTED_VALUE"""),43935.0)</f>
        <v>43935</v>
      </c>
      <c r="S1130" s="6" t="str">
        <f>IFERROR(__xludf.DUMMYFUNCTION("""COMPUTED_VALUE"""),"-")</f>
        <v>-</v>
      </c>
      <c r="T1130" s="57">
        <f>IFERROR(__xludf.DUMMYFUNCTION("""COMPUTED_VALUE"""),43973.0)</f>
        <v>43973</v>
      </c>
    </row>
    <row r="1131">
      <c r="A1131" s="6" t="str">
        <f>IFERROR(__xludf.DUMMYFUNCTION("""COMPUTED_VALUE"""),"201750167-2")</f>
        <v>201750167-2</v>
      </c>
      <c r="B1131" s="6" t="str">
        <f>IFERROR(__xludf.DUMMYFUNCTION("""COMPUTED_VALUE"""),"201750167 - Approved")</f>
        <v>201750167 - Approved</v>
      </c>
      <c r="C1131" s="6">
        <f>IFERROR(__xludf.DUMMYFUNCTION("""COMPUTED_VALUE"""),2.0)</f>
        <v>2</v>
      </c>
      <c r="D1131" s="6" t="str">
        <f>IFERROR(__xludf.DUMMYFUNCTION("""COMPUTED_VALUE"""),"O-13617-00")</f>
        <v>O-13617-00</v>
      </c>
      <c r="E1131" s="6" t="str">
        <f>IFERROR(__xludf.DUMMYFUNCTION("""COMPUTED_VALUE"""),"MARCHESINI MA 255 - Flat Belt 728x40x1 mm")</f>
        <v>MARCHESINI MA 255 - Flat Belt 728x40x1 mm</v>
      </c>
      <c r="F1131" s="6">
        <f>IFERROR(__xludf.DUMMYFUNCTION("""COMPUTED_VALUE"""),2.0)</f>
        <v>2</v>
      </c>
      <c r="G1131" s="6" t="str">
        <f>IFERROR(__xludf.DUMMYFUNCTION("""COMPUTED_VALUE"""),"Pieces")</f>
        <v>Pieces</v>
      </c>
      <c r="H1131" s="6" t="str">
        <f>IFERROR(__xludf.DUMMYFUNCTION("""COMPUTED_VALUE"""),"IDR")</f>
        <v>IDR</v>
      </c>
      <c r="I1131" s="6">
        <f>IFERROR(__xludf.DUMMYFUNCTION("""COMPUTED_VALUE"""),252000.0)</f>
        <v>252000</v>
      </c>
      <c r="J1131" s="6">
        <f>IFERROR(__xludf.DUMMYFUNCTION("""COMPUTED_VALUE"""),504000.0)</f>
        <v>504000</v>
      </c>
      <c r="K1131" s="57">
        <f>IFERROR(__xludf.DUMMYFUNCTION("""COMPUTED_VALUE"""),43951.0)</f>
        <v>43951</v>
      </c>
      <c r="L1131" s="6" t="str">
        <f>IFERROR(__xludf.DUMMYFUNCTION("""COMPUTED_VALUE"""),"FIP Engineering")</f>
        <v>FIP Engineering</v>
      </c>
      <c r="M1131" s="6" t="str">
        <f>IFERROR(__xludf.DUMMYFUNCTION("""COMPUTED_VALUE"""),"Irwan Sopian")</f>
        <v>Irwan Sopian</v>
      </c>
      <c r="N1131" s="6" t="str">
        <f>IFERROR(__xludf.DUMMYFUNCTION("""COMPUTED_VALUE"""),"FIP Engineering")</f>
        <v>FIP Engineering</v>
      </c>
      <c r="O1131" s="6" t="str">
        <f>IFERROR(__xludf.DUMMYFUNCTION("""COMPUTED_VALUE"""),"FIP-DOM-000-11304-OS00001-INA-000000")</f>
        <v>FIP-DOM-000-11304-OS00001-INA-000000</v>
      </c>
      <c r="P1131" s="6" t="str">
        <f>IFERROR(__xludf.DUMMYFUNCTION("""COMPUTED_VALUE"""),"PO Closed")</f>
        <v>PO Closed</v>
      </c>
      <c r="Q1131" s="6" t="str">
        <f>IFERROR(__xludf.DUMMYFUNCTION("""COMPUTED_VALUE"""),"GL2005002")</f>
        <v>GL2005002</v>
      </c>
      <c r="R1131" s="57">
        <f>IFERROR(__xludf.DUMMYFUNCTION("""COMPUTED_VALUE"""),43935.0)</f>
        <v>43935</v>
      </c>
      <c r="S1131" s="6" t="str">
        <f>IFERROR(__xludf.DUMMYFUNCTION("""COMPUTED_VALUE"""),"-")</f>
        <v>-</v>
      </c>
      <c r="T1131" s="57">
        <f>IFERROR(__xludf.DUMMYFUNCTION("""COMPUTED_VALUE"""),43980.0)</f>
        <v>43980</v>
      </c>
    </row>
    <row r="1132">
      <c r="A1132" s="6" t="str">
        <f>IFERROR(__xludf.DUMMYFUNCTION("""COMPUTED_VALUE"""),"201750169-1")</f>
        <v>201750169-1</v>
      </c>
      <c r="B1132" s="6" t="str">
        <f>IFERROR(__xludf.DUMMYFUNCTION("""COMPUTED_VALUE"""),"201750169 - Approved")</f>
        <v>201750169 - Approved</v>
      </c>
      <c r="C1132" s="6">
        <f>IFERROR(__xludf.DUMMYFUNCTION("""COMPUTED_VALUE"""),1.0)</f>
        <v>1</v>
      </c>
      <c r="D1132" s="6" t="str">
        <f>IFERROR(__xludf.DUMMYFUNCTION("""COMPUTED_VALUE"""),"P-11817-00")</f>
        <v>P-11817-00</v>
      </c>
      <c r="E1132" s="6" t="str">
        <f>IFERROR(__xludf.DUMMYFUNCTION("""COMPUTED_VALUE"""),"Acrylic tebal 3 mm ukr : 1220 x 2440 mm")</f>
        <v>Acrylic tebal 3 mm ukr : 1220 x 2440 mm</v>
      </c>
      <c r="F1132" s="6">
        <f>IFERROR(__xludf.DUMMYFUNCTION("""COMPUTED_VALUE"""),1.0)</f>
        <v>1</v>
      </c>
      <c r="G1132" s="6" t="str">
        <f>IFERROR(__xludf.DUMMYFUNCTION("""COMPUTED_VALUE"""),"Pieces")</f>
        <v>Pieces</v>
      </c>
      <c r="H1132" s="6" t="str">
        <f>IFERROR(__xludf.DUMMYFUNCTION("""COMPUTED_VALUE"""),"IDR")</f>
        <v>IDR</v>
      </c>
      <c r="I1132" s="6">
        <f>IFERROR(__xludf.DUMMYFUNCTION("""COMPUTED_VALUE"""),843000.0)</f>
        <v>843000</v>
      </c>
      <c r="J1132" s="6">
        <f>IFERROR(__xludf.DUMMYFUNCTION("""COMPUTED_VALUE"""),843000.0)</f>
        <v>843000</v>
      </c>
      <c r="K1132" s="57">
        <f>IFERROR(__xludf.DUMMYFUNCTION("""COMPUTED_VALUE"""),44007.0)</f>
        <v>44007</v>
      </c>
      <c r="L1132" s="6" t="str">
        <f>IFERROR(__xludf.DUMMYFUNCTION("""COMPUTED_VALUE"""),"FIP Engineering")</f>
        <v>FIP Engineering</v>
      </c>
      <c r="M1132" s="6" t="str">
        <f>IFERROR(__xludf.DUMMYFUNCTION("""COMPUTED_VALUE"""),"Irwan Sopian")</f>
        <v>Irwan Sopian</v>
      </c>
      <c r="N1132" s="6" t="str">
        <f>IFERROR(__xludf.DUMMYFUNCTION("""COMPUTED_VALUE"""),"FIP Engineering")</f>
        <v>FIP Engineering</v>
      </c>
      <c r="O1132" s="6" t="str">
        <f>IFERROR(__xludf.DUMMYFUNCTION("""COMPUTED_VALUE"""),"FIP-DOM-000-11304-OS00001-INA-000000")</f>
        <v>FIP-DOM-000-11304-OS00001-INA-000000</v>
      </c>
      <c r="P1132" s="6" t="str">
        <f>IFERROR(__xludf.DUMMYFUNCTION("""COMPUTED_VALUE"""),"PO Closed")</f>
        <v>PO Closed</v>
      </c>
      <c r="Q1132" s="6" t="str">
        <f>IFERROR(__xludf.DUMMYFUNCTION("""COMPUTED_VALUE"""),"GL2006016")</f>
        <v>GL2006016</v>
      </c>
      <c r="R1132" s="57">
        <f>IFERROR(__xludf.DUMMYFUNCTION("""COMPUTED_VALUE"""),43936.0)</f>
        <v>43936</v>
      </c>
      <c r="S1132" s="6" t="str">
        <f>IFERROR(__xludf.DUMMYFUNCTION("""COMPUTED_VALUE"""),"-")</f>
        <v>-</v>
      </c>
      <c r="T1132" s="57">
        <f>IFERROR(__xludf.DUMMYFUNCTION("""COMPUTED_VALUE"""),44007.0)</f>
        <v>44007</v>
      </c>
    </row>
    <row r="1133">
      <c r="A1133" s="6" t="str">
        <f>IFERROR(__xludf.DUMMYFUNCTION("""COMPUTED_VALUE"""),"201750169-2")</f>
        <v>201750169-2</v>
      </c>
      <c r="B1133" s="6" t="str">
        <f>IFERROR(__xludf.DUMMYFUNCTION("""COMPUTED_VALUE"""),"201750169 - Approved")</f>
        <v>201750169 - Approved</v>
      </c>
      <c r="C1133" s="6">
        <f>IFERROR(__xludf.DUMMYFUNCTION("""COMPUTED_VALUE"""),2.0)</f>
        <v>2</v>
      </c>
      <c r="D1133" s="6" t="str">
        <f>IFERROR(__xludf.DUMMYFUNCTION("""COMPUTED_VALUE"""),"P-54174-00")</f>
        <v>P-54174-00</v>
      </c>
      <c r="E1133" s="6" t="str">
        <f>IFERROR(__xludf.DUMMYFUNCTION("""COMPUTED_VALUE"""),"Switch Hub SF95D-16 Cisco")</f>
        <v>Switch Hub SF95D-16 Cisco</v>
      </c>
      <c r="F1133" s="6">
        <f>IFERROR(__xludf.DUMMYFUNCTION("""COMPUTED_VALUE"""),1.0)</f>
        <v>1</v>
      </c>
      <c r="G1133" s="6" t="str">
        <f>IFERROR(__xludf.DUMMYFUNCTION("""COMPUTED_VALUE"""),"Pieces")</f>
        <v>Pieces</v>
      </c>
      <c r="H1133" s="6" t="str">
        <f>IFERROR(__xludf.DUMMYFUNCTION("""COMPUTED_VALUE"""),"IDR")</f>
        <v>IDR</v>
      </c>
      <c r="I1133" s="6">
        <f>IFERROR(__xludf.DUMMYFUNCTION("""COMPUTED_VALUE"""),3500000.0)</f>
        <v>3500000</v>
      </c>
      <c r="J1133" s="6">
        <f>IFERROR(__xludf.DUMMYFUNCTION("""COMPUTED_VALUE"""),3500000.0)</f>
        <v>3500000</v>
      </c>
      <c r="K1133" s="57">
        <f>IFERROR(__xludf.DUMMYFUNCTION("""COMPUTED_VALUE"""),44007.0)</f>
        <v>44007</v>
      </c>
      <c r="L1133" s="6" t="str">
        <f>IFERROR(__xludf.DUMMYFUNCTION("""COMPUTED_VALUE"""),"FIP Engineering")</f>
        <v>FIP Engineering</v>
      </c>
      <c r="M1133" s="6" t="str">
        <f>IFERROR(__xludf.DUMMYFUNCTION("""COMPUTED_VALUE"""),"Irwan Sopian")</f>
        <v>Irwan Sopian</v>
      </c>
      <c r="N1133" s="6" t="str">
        <f>IFERROR(__xludf.DUMMYFUNCTION("""COMPUTED_VALUE"""),"FIP Engineering")</f>
        <v>FIP Engineering</v>
      </c>
      <c r="O1133" s="6" t="str">
        <f>IFERROR(__xludf.DUMMYFUNCTION("""COMPUTED_VALUE"""),"FIP-DOM-000-11304-OS00001-INA-000000")</f>
        <v>FIP-DOM-000-11304-OS00001-INA-000000</v>
      </c>
      <c r="P1133" s="6" t="str">
        <f>IFERROR(__xludf.DUMMYFUNCTION("""COMPUTED_VALUE"""),"PO Closed")</f>
        <v>PO Closed</v>
      </c>
      <c r="Q1133" s="6" t="str">
        <f>IFERROR(__xludf.DUMMYFUNCTION("""COMPUTED_VALUE"""),"GL2006017")</f>
        <v>GL2006017</v>
      </c>
      <c r="R1133" s="57">
        <f>IFERROR(__xludf.DUMMYFUNCTION("""COMPUTED_VALUE"""),43936.0)</f>
        <v>43936</v>
      </c>
      <c r="S1133" s="6" t="str">
        <f>IFERROR(__xludf.DUMMYFUNCTION("""COMPUTED_VALUE"""),"-")</f>
        <v>-</v>
      </c>
      <c r="T1133" s="57">
        <f>IFERROR(__xludf.DUMMYFUNCTION("""COMPUTED_VALUE"""),44008.0)</f>
        <v>44008</v>
      </c>
    </row>
    <row r="1134">
      <c r="A1134" s="6" t="str">
        <f>IFERROR(__xludf.DUMMYFUNCTION("""COMPUTED_VALUE"""),"201750169-3")</f>
        <v>201750169-3</v>
      </c>
      <c r="B1134" s="6" t="str">
        <f>IFERROR(__xludf.DUMMYFUNCTION("""COMPUTED_VALUE"""),"201750169 - Approved")</f>
        <v>201750169 - Approved</v>
      </c>
      <c r="C1134" s="6">
        <f>IFERROR(__xludf.DUMMYFUNCTION("""COMPUTED_VALUE"""),3.0)</f>
        <v>3</v>
      </c>
      <c r="D1134" s="6" t="str">
        <f>IFERROR(__xludf.DUMMYFUNCTION("""COMPUTED_VALUE"""),"P-12223-00")</f>
        <v>P-12223-00</v>
      </c>
      <c r="E1134" s="6" t="str">
        <f>IFERROR(__xludf.DUMMYFUNCTION("""COMPUTED_VALUE"""),"FESTO - Blanking plug QSC-6H p/n 153268")</f>
        <v>FESTO - Blanking plug QSC-6H p/n 153268</v>
      </c>
      <c r="F1134" s="6">
        <f>IFERROR(__xludf.DUMMYFUNCTION("""COMPUTED_VALUE"""),20.0)</f>
        <v>20</v>
      </c>
      <c r="G1134" s="6" t="str">
        <f>IFERROR(__xludf.DUMMYFUNCTION("""COMPUTED_VALUE"""),"Pieces")</f>
        <v>Pieces</v>
      </c>
      <c r="H1134" s="6" t="str">
        <f>IFERROR(__xludf.DUMMYFUNCTION("""COMPUTED_VALUE"""),"IDR")</f>
        <v>IDR</v>
      </c>
      <c r="I1134" s="6">
        <f>IFERROR(__xludf.DUMMYFUNCTION("""COMPUTED_VALUE"""),15574.0)</f>
        <v>15574</v>
      </c>
      <c r="J1134" s="6">
        <f>IFERROR(__xludf.DUMMYFUNCTION("""COMPUTED_VALUE"""),311480.0)</f>
        <v>311480</v>
      </c>
      <c r="K1134" s="57">
        <f>IFERROR(__xludf.DUMMYFUNCTION("""COMPUTED_VALUE"""),44007.0)</f>
        <v>44007</v>
      </c>
      <c r="L1134" s="6" t="str">
        <f>IFERROR(__xludf.DUMMYFUNCTION("""COMPUTED_VALUE"""),"FIP Engineering")</f>
        <v>FIP Engineering</v>
      </c>
      <c r="M1134" s="6" t="str">
        <f>IFERROR(__xludf.DUMMYFUNCTION("""COMPUTED_VALUE"""),"Irwan Sopian")</f>
        <v>Irwan Sopian</v>
      </c>
      <c r="N1134" s="6" t="str">
        <f>IFERROR(__xludf.DUMMYFUNCTION("""COMPUTED_VALUE"""),"FIP Engineering")</f>
        <v>FIP Engineering</v>
      </c>
      <c r="O1134" s="6" t="str">
        <f>IFERROR(__xludf.DUMMYFUNCTION("""COMPUTED_VALUE"""),"FIP-DOM-000-11304-OS00001-INA-000000")</f>
        <v>FIP-DOM-000-11304-OS00001-INA-000000</v>
      </c>
      <c r="P1134" s="6" t="str">
        <f>IFERROR(__xludf.DUMMYFUNCTION("""COMPUTED_VALUE"""),"PO Closed")</f>
        <v>PO Closed</v>
      </c>
      <c r="Q1134" s="6" t="str">
        <f>IFERROR(__xludf.DUMMYFUNCTION("""COMPUTED_VALUE"""),"GL2006018")</f>
        <v>GL2006018</v>
      </c>
      <c r="R1134" s="57">
        <f>IFERROR(__xludf.DUMMYFUNCTION("""COMPUTED_VALUE"""),43936.0)</f>
        <v>43936</v>
      </c>
      <c r="S1134" s="6" t="str">
        <f>IFERROR(__xludf.DUMMYFUNCTION("""COMPUTED_VALUE"""),"-")</f>
        <v>-</v>
      </c>
      <c r="T1134" s="57">
        <f>IFERROR(__xludf.DUMMYFUNCTION("""COMPUTED_VALUE"""),44008.0)</f>
        <v>44008</v>
      </c>
    </row>
    <row r="1135">
      <c r="A1135" s="6" t="str">
        <f>IFERROR(__xludf.DUMMYFUNCTION("""COMPUTED_VALUE"""),"201750169-4")</f>
        <v>201750169-4</v>
      </c>
      <c r="B1135" s="6" t="str">
        <f>IFERROR(__xludf.DUMMYFUNCTION("""COMPUTED_VALUE"""),"201750169 - Approved")</f>
        <v>201750169 - Approved</v>
      </c>
      <c r="C1135" s="6">
        <f>IFERROR(__xludf.DUMMYFUNCTION("""COMPUTED_VALUE"""),4.0)</f>
        <v>4</v>
      </c>
      <c r="D1135" s="6" t="str">
        <f>IFERROR(__xludf.DUMMYFUNCTION("""COMPUTED_VALUE"""),"P-15433-00")</f>
        <v>P-15433-00</v>
      </c>
      <c r="E1135" s="6" t="str">
        <f>IFERROR(__xludf.DUMMYFUNCTION("""COMPUTED_VALUE"""),"Fitting KQ2E06-00A")</f>
        <v>Fitting KQ2E06-00A</v>
      </c>
      <c r="F1135" s="6">
        <f>IFERROR(__xludf.DUMMYFUNCTION("""COMPUTED_VALUE"""),15.0)</f>
        <v>15</v>
      </c>
      <c r="G1135" s="6" t="str">
        <f>IFERROR(__xludf.DUMMYFUNCTION("""COMPUTED_VALUE"""),"Pieces")</f>
        <v>Pieces</v>
      </c>
      <c r="H1135" s="6" t="str">
        <f>IFERROR(__xludf.DUMMYFUNCTION("""COMPUTED_VALUE"""),"IDR")</f>
        <v>IDR</v>
      </c>
      <c r="I1135" s="6">
        <f>IFERROR(__xludf.DUMMYFUNCTION("""COMPUTED_VALUE"""),53830.0)</f>
        <v>53830</v>
      </c>
      <c r="J1135" s="6">
        <f>IFERROR(__xludf.DUMMYFUNCTION("""COMPUTED_VALUE"""),807450.0)</f>
        <v>807450</v>
      </c>
      <c r="K1135" s="57">
        <f>IFERROR(__xludf.DUMMYFUNCTION("""COMPUTED_VALUE"""),44007.0)</f>
        <v>44007</v>
      </c>
      <c r="L1135" s="6" t="str">
        <f>IFERROR(__xludf.DUMMYFUNCTION("""COMPUTED_VALUE"""),"FIP Engineering")</f>
        <v>FIP Engineering</v>
      </c>
      <c r="M1135" s="6" t="str">
        <f>IFERROR(__xludf.DUMMYFUNCTION("""COMPUTED_VALUE"""),"Irwan Sopian")</f>
        <v>Irwan Sopian</v>
      </c>
      <c r="N1135" s="6" t="str">
        <f>IFERROR(__xludf.DUMMYFUNCTION("""COMPUTED_VALUE"""),"FIP Engineering")</f>
        <v>FIP Engineering</v>
      </c>
      <c r="O1135" s="6" t="str">
        <f>IFERROR(__xludf.DUMMYFUNCTION("""COMPUTED_VALUE"""),"FIP-DOM-000-11304-OS00001-INA-000000")</f>
        <v>FIP-DOM-000-11304-OS00001-INA-000000</v>
      </c>
      <c r="P1135" s="6" t="str">
        <f>IFERROR(__xludf.DUMMYFUNCTION("""COMPUTED_VALUE"""),"PO Closed")</f>
        <v>PO Closed</v>
      </c>
      <c r="Q1135" s="6" t="str">
        <f>IFERROR(__xludf.DUMMYFUNCTION("""COMPUTED_VALUE"""),"GL2008025")</f>
        <v>GL2008025</v>
      </c>
      <c r="R1135" s="57">
        <f>IFERROR(__xludf.DUMMYFUNCTION("""COMPUTED_VALUE"""),43936.0)</f>
        <v>43936</v>
      </c>
      <c r="S1135" s="6" t="str">
        <f>IFERROR(__xludf.DUMMYFUNCTION("""COMPUTED_VALUE"""),"-")</f>
        <v>-</v>
      </c>
      <c r="T1135" s="57">
        <f>IFERROR(__xludf.DUMMYFUNCTION("""COMPUTED_VALUE"""),44092.0)</f>
        <v>44092</v>
      </c>
    </row>
    <row r="1136">
      <c r="A1136" s="6" t="str">
        <f>IFERROR(__xludf.DUMMYFUNCTION("""COMPUTED_VALUE"""),"201750169-5")</f>
        <v>201750169-5</v>
      </c>
      <c r="B1136" s="6" t="str">
        <f>IFERROR(__xludf.DUMMYFUNCTION("""COMPUTED_VALUE"""),"201750169 - Approved")</f>
        <v>201750169 - Approved</v>
      </c>
      <c r="C1136" s="6">
        <f>IFERROR(__xludf.DUMMYFUNCTION("""COMPUTED_VALUE"""),5.0)</f>
        <v>5</v>
      </c>
      <c r="D1136" s="6" t="str">
        <f>IFERROR(__xludf.DUMMYFUNCTION("""COMPUTED_VALUE"""),"P-11871-00")</f>
        <v>P-11871-00</v>
      </c>
      <c r="E1136" s="6" t="str">
        <f>IFERROR(__xludf.DUMMYFUNCTION("""COMPUTED_VALUE"""),"Baut SS countersunk M5x0.8x20 mm")</f>
        <v>Baut SS countersunk M5x0.8x20 mm</v>
      </c>
      <c r="F1136" s="6">
        <f>IFERROR(__xludf.DUMMYFUNCTION("""COMPUTED_VALUE"""),20.0)</f>
        <v>20</v>
      </c>
      <c r="G1136" s="6" t="str">
        <f>IFERROR(__xludf.DUMMYFUNCTION("""COMPUTED_VALUE"""),"Pieces")</f>
        <v>Pieces</v>
      </c>
      <c r="H1136" s="6" t="str">
        <f>IFERROR(__xludf.DUMMYFUNCTION("""COMPUTED_VALUE"""),"IDR")</f>
        <v>IDR</v>
      </c>
      <c r="I1136" s="6">
        <f>IFERROR(__xludf.DUMMYFUNCTION("""COMPUTED_VALUE"""),2500.0)</f>
        <v>2500</v>
      </c>
      <c r="J1136" s="6">
        <f>IFERROR(__xludf.DUMMYFUNCTION("""COMPUTED_VALUE"""),50000.0)</f>
        <v>50000</v>
      </c>
      <c r="K1136" s="57">
        <f>IFERROR(__xludf.DUMMYFUNCTION("""COMPUTED_VALUE"""),44007.0)</f>
        <v>44007</v>
      </c>
      <c r="L1136" s="6" t="str">
        <f>IFERROR(__xludf.DUMMYFUNCTION("""COMPUTED_VALUE"""),"FIP Engineering")</f>
        <v>FIP Engineering</v>
      </c>
      <c r="M1136" s="6" t="str">
        <f>IFERROR(__xludf.DUMMYFUNCTION("""COMPUTED_VALUE"""),"Irwan Sopian")</f>
        <v>Irwan Sopian</v>
      </c>
      <c r="N1136" s="6" t="str">
        <f>IFERROR(__xludf.DUMMYFUNCTION("""COMPUTED_VALUE"""),"FIP Engineering")</f>
        <v>FIP Engineering</v>
      </c>
      <c r="O1136" s="6" t="str">
        <f>IFERROR(__xludf.DUMMYFUNCTION("""COMPUTED_VALUE"""),"FIP-DOM-000-11304-OS00001-INA-000000")</f>
        <v>FIP-DOM-000-11304-OS00001-INA-000000</v>
      </c>
      <c r="P1136" s="6" t="str">
        <f>IFERROR(__xludf.DUMMYFUNCTION("""COMPUTED_VALUE"""),"PO Closed")</f>
        <v>PO Closed</v>
      </c>
      <c r="Q1136" s="6" t="str">
        <f>IFERROR(__xludf.DUMMYFUNCTION("""COMPUTED_VALUE"""),"GL2006017")</f>
        <v>GL2006017</v>
      </c>
      <c r="R1136" s="57">
        <f>IFERROR(__xludf.DUMMYFUNCTION("""COMPUTED_VALUE"""),43936.0)</f>
        <v>43936</v>
      </c>
      <c r="S1136" s="6" t="str">
        <f>IFERROR(__xludf.DUMMYFUNCTION("""COMPUTED_VALUE"""),"-")</f>
        <v>-</v>
      </c>
      <c r="T1136" s="57">
        <f>IFERROR(__xludf.DUMMYFUNCTION("""COMPUTED_VALUE"""),44008.0)</f>
        <v>44008</v>
      </c>
    </row>
    <row r="1137">
      <c r="A1137" s="6" t="str">
        <f>IFERROR(__xludf.DUMMYFUNCTION("""COMPUTED_VALUE"""),"201750172-1")</f>
        <v>201750172-1</v>
      </c>
      <c r="B1137" s="6" t="str">
        <f>IFERROR(__xludf.DUMMYFUNCTION("""COMPUTED_VALUE"""),"201750172 - Approved")</f>
        <v>201750172 - Approved</v>
      </c>
      <c r="C1137" s="6">
        <f>IFERROR(__xludf.DUMMYFUNCTION("""COMPUTED_VALUE"""),1.0)</f>
        <v>1</v>
      </c>
      <c r="D1137" s="6" t="str">
        <f>IFERROR(__xludf.DUMMYFUNCTION("""COMPUTED_VALUE"""),"P-14457-00")</f>
        <v>P-14457-00</v>
      </c>
      <c r="E1137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1137" s="6">
        <f>IFERROR(__xludf.DUMMYFUNCTION("""COMPUTED_VALUE"""),6.0)</f>
        <v>6</v>
      </c>
      <c r="G1137" s="6" t="str">
        <f>IFERROR(__xludf.DUMMYFUNCTION("""COMPUTED_VALUE"""),"Pieces")</f>
        <v>Pieces</v>
      </c>
      <c r="H1137" s="6" t="str">
        <f>IFERROR(__xludf.DUMMYFUNCTION("""COMPUTED_VALUE"""),"IDR")</f>
        <v>IDR</v>
      </c>
      <c r="I1137" s="6">
        <f>IFERROR(__xludf.DUMMYFUNCTION("""COMPUTED_VALUE"""),1800000.0)</f>
        <v>1800000</v>
      </c>
      <c r="J1137" s="6">
        <f>IFERROR(__xludf.DUMMYFUNCTION("""COMPUTED_VALUE"""),1.08E7)</f>
        <v>10800000</v>
      </c>
      <c r="K1137" s="57">
        <f>IFERROR(__xludf.DUMMYFUNCTION("""COMPUTED_VALUE"""),43966.0)</f>
        <v>43966</v>
      </c>
      <c r="L1137" s="6" t="str">
        <f>IFERROR(__xludf.DUMMYFUNCTION("""COMPUTED_VALUE"""),"FIP Engineering")</f>
        <v>FIP Engineering</v>
      </c>
      <c r="M1137" s="6" t="str">
        <f>IFERROR(__xludf.DUMMYFUNCTION("""COMPUTED_VALUE"""),"Irwan Sopian")</f>
        <v>Irwan Sopian</v>
      </c>
      <c r="N1137" s="6" t="str">
        <f>IFERROR(__xludf.DUMMYFUNCTION("""COMPUTED_VALUE"""),"FIP Engineering")</f>
        <v>FIP Engineering</v>
      </c>
      <c r="O1137" s="6" t="str">
        <f>IFERROR(__xludf.DUMMYFUNCTION("""COMPUTED_VALUE"""),"FIP-DOM-000-11304-OS00001-INA-000000")</f>
        <v>FIP-DOM-000-11304-OS00001-INA-000000</v>
      </c>
      <c r="P1137" s="6" t="str">
        <f>IFERROR(__xludf.DUMMYFUNCTION("""COMPUTED_VALUE"""),"PO Closed")</f>
        <v>PO Closed</v>
      </c>
      <c r="Q1137" s="6" t="str">
        <f>IFERROR(__xludf.DUMMYFUNCTION("""COMPUTED_VALUE"""),"GL2005010")</f>
        <v>GL2005010</v>
      </c>
      <c r="R1137" s="57">
        <f>IFERROR(__xludf.DUMMYFUNCTION("""COMPUTED_VALUE"""),43939.0)</f>
        <v>43939</v>
      </c>
      <c r="S1137" s="6" t="str">
        <f>IFERROR(__xludf.DUMMYFUNCTION("""COMPUTED_VALUE"""),"-")</f>
        <v>-</v>
      </c>
      <c r="T1137" s="57">
        <f>IFERROR(__xludf.DUMMYFUNCTION("""COMPUTED_VALUE"""),43986.0)</f>
        <v>43986</v>
      </c>
    </row>
    <row r="1138">
      <c r="A1138" s="6" t="str">
        <f>IFERROR(__xludf.DUMMYFUNCTION("""COMPUTED_VALUE"""),"201750172-2")</f>
        <v>201750172-2</v>
      </c>
      <c r="B1138" s="6" t="str">
        <f>IFERROR(__xludf.DUMMYFUNCTION("""COMPUTED_VALUE"""),"201750172 - Approved")</f>
        <v>201750172 - Approved</v>
      </c>
      <c r="C1138" s="6">
        <f>IFERROR(__xludf.DUMMYFUNCTION("""COMPUTED_VALUE"""),2.0)</f>
        <v>2</v>
      </c>
      <c r="D1138" s="6" t="str">
        <f>IFERROR(__xludf.DUMMYFUNCTION("""COMPUTED_VALUE"""),"P-14458-00")</f>
        <v>P-14458-00</v>
      </c>
      <c r="E1138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1138" s="6">
        <f>IFERROR(__xludf.DUMMYFUNCTION("""COMPUTED_VALUE"""),5.0)</f>
        <v>5</v>
      </c>
      <c r="G1138" s="6" t="str">
        <f>IFERROR(__xludf.DUMMYFUNCTION("""COMPUTED_VALUE"""),"Pieces")</f>
        <v>Pieces</v>
      </c>
      <c r="H1138" s="6" t="str">
        <f>IFERROR(__xludf.DUMMYFUNCTION("""COMPUTED_VALUE"""),"IDR")</f>
        <v>IDR</v>
      </c>
      <c r="I1138" s="6">
        <f>IFERROR(__xludf.DUMMYFUNCTION("""COMPUTED_VALUE"""),1200000.0)</f>
        <v>1200000</v>
      </c>
      <c r="J1138" s="6">
        <f>IFERROR(__xludf.DUMMYFUNCTION("""COMPUTED_VALUE"""),6000000.0)</f>
        <v>6000000</v>
      </c>
      <c r="K1138" s="57">
        <f>IFERROR(__xludf.DUMMYFUNCTION("""COMPUTED_VALUE"""),43966.0)</f>
        <v>43966</v>
      </c>
      <c r="L1138" s="6" t="str">
        <f>IFERROR(__xludf.DUMMYFUNCTION("""COMPUTED_VALUE"""),"FIP Engineering")</f>
        <v>FIP Engineering</v>
      </c>
      <c r="M1138" s="6" t="str">
        <f>IFERROR(__xludf.DUMMYFUNCTION("""COMPUTED_VALUE"""),"Irwan Sopian")</f>
        <v>Irwan Sopian</v>
      </c>
      <c r="N1138" s="6" t="str">
        <f>IFERROR(__xludf.DUMMYFUNCTION("""COMPUTED_VALUE"""),"FIP Engineering")</f>
        <v>FIP Engineering</v>
      </c>
      <c r="O1138" s="6" t="str">
        <f>IFERROR(__xludf.DUMMYFUNCTION("""COMPUTED_VALUE"""),"FIP-DOM-000-11304-OS00001-INA-000000")</f>
        <v>FIP-DOM-000-11304-OS00001-INA-000000</v>
      </c>
      <c r="P1138" s="6" t="str">
        <f>IFERROR(__xludf.DUMMYFUNCTION("""COMPUTED_VALUE"""),"PO Closed")</f>
        <v>PO Closed</v>
      </c>
      <c r="Q1138" s="6" t="str">
        <f>IFERROR(__xludf.DUMMYFUNCTION("""COMPUTED_VALUE"""),"GL2005010")</f>
        <v>GL2005010</v>
      </c>
      <c r="R1138" s="57">
        <f>IFERROR(__xludf.DUMMYFUNCTION("""COMPUTED_VALUE"""),43939.0)</f>
        <v>43939</v>
      </c>
      <c r="S1138" s="6" t="str">
        <f>IFERROR(__xludf.DUMMYFUNCTION("""COMPUTED_VALUE"""),"-")</f>
        <v>-</v>
      </c>
      <c r="T1138" s="57">
        <f>IFERROR(__xludf.DUMMYFUNCTION("""COMPUTED_VALUE"""),43986.0)</f>
        <v>43986</v>
      </c>
    </row>
    <row r="1139">
      <c r="A1139" s="6" t="str">
        <f>IFERROR(__xludf.DUMMYFUNCTION("""COMPUTED_VALUE"""),"201750174-1")</f>
        <v>201750174-1</v>
      </c>
      <c r="B1139" s="6" t="str">
        <f>IFERROR(__xludf.DUMMYFUNCTION("""COMPUTED_VALUE"""),"201750174 - Approved")</f>
        <v>201750174 - Approved</v>
      </c>
      <c r="C1139" s="6">
        <f>IFERROR(__xludf.DUMMYFUNCTION("""COMPUTED_VALUE"""),1.0)</f>
        <v>1</v>
      </c>
      <c r="D1139" s="6" t="str">
        <f>IFERROR(__xludf.DUMMYFUNCTION("""COMPUTED_VALUE"""),"O-17420-00")</f>
        <v>O-17420-00</v>
      </c>
      <c r="E1139" s="6" t="str">
        <f>IFERROR(__xludf.DUMMYFUNCTION("""COMPUTED_VALUE"""),"Diaphragm Silicone Platinum Cured NA25/26 NovaSeptic")</f>
        <v>Diaphragm Silicone Platinum Cured NA25/26 NovaSeptic</v>
      </c>
      <c r="F1139" s="6">
        <f>IFERROR(__xludf.DUMMYFUNCTION("""COMPUTED_VALUE"""),1.0)</f>
        <v>1</v>
      </c>
      <c r="G1139" s="6" t="str">
        <f>IFERROR(__xludf.DUMMYFUNCTION("""COMPUTED_VALUE"""),"Pieces")</f>
        <v>Pieces</v>
      </c>
      <c r="H1139" s="6" t="str">
        <f>IFERROR(__xludf.DUMMYFUNCTION("""COMPUTED_VALUE"""),"IDR")</f>
        <v>IDR</v>
      </c>
      <c r="I1139" s="6">
        <f>IFERROR(__xludf.DUMMYFUNCTION("""COMPUTED_VALUE"""),1851000.0)</f>
        <v>1851000</v>
      </c>
      <c r="J1139" s="6">
        <f>IFERROR(__xludf.DUMMYFUNCTION("""COMPUTED_VALUE"""),1851000.0)</f>
        <v>1851000</v>
      </c>
      <c r="K1139" s="57">
        <f>IFERROR(__xludf.DUMMYFUNCTION("""COMPUTED_VALUE"""),43973.0)</f>
        <v>43973</v>
      </c>
      <c r="L1139" s="6" t="str">
        <f>IFERROR(__xludf.DUMMYFUNCTION("""COMPUTED_VALUE"""),"FIP Engineering")</f>
        <v>FIP Engineering</v>
      </c>
      <c r="M1139" s="6" t="str">
        <f>IFERROR(__xludf.DUMMYFUNCTION("""COMPUTED_VALUE"""),"Irwan Sopian")</f>
        <v>Irwan Sopian</v>
      </c>
      <c r="N1139" s="6" t="str">
        <f>IFERROR(__xludf.DUMMYFUNCTION("""COMPUTED_VALUE"""),"FIP Engineering")</f>
        <v>FIP Engineering</v>
      </c>
      <c r="O1139" s="6" t="str">
        <f>IFERROR(__xludf.DUMMYFUNCTION("""COMPUTED_VALUE"""),"FIP-DOM-000-11304-OS00001-INA-000000")</f>
        <v>FIP-DOM-000-11304-OS00001-INA-000000</v>
      </c>
      <c r="P1139" s="6" t="str">
        <f>IFERROR(__xludf.DUMMYFUNCTION("""COMPUTED_VALUE"""),"PO Closed")</f>
        <v>PO Closed</v>
      </c>
      <c r="Q1139" s="6" t="str">
        <f>IFERROR(__xludf.DUMMYFUNCTION("""COMPUTED_VALUE"""),"GL2005027")</f>
        <v>GL2005027</v>
      </c>
      <c r="R1139" s="57">
        <f>IFERROR(__xludf.DUMMYFUNCTION("""COMPUTED_VALUE"""),43943.0)</f>
        <v>43943</v>
      </c>
      <c r="S1139" s="6" t="str">
        <f>IFERROR(__xludf.DUMMYFUNCTION("""COMPUTED_VALUE"""),"-")</f>
        <v>-</v>
      </c>
      <c r="T1139" s="57">
        <f>IFERROR(__xludf.DUMMYFUNCTION("""COMPUTED_VALUE"""),44043.0)</f>
        <v>44043</v>
      </c>
    </row>
    <row r="1140">
      <c r="A1140" s="6" t="str">
        <f>IFERROR(__xludf.DUMMYFUNCTION("""COMPUTED_VALUE"""),"201750181-1")</f>
        <v>201750181-1</v>
      </c>
      <c r="B1140" s="6" t="str">
        <f>IFERROR(__xludf.DUMMYFUNCTION("""COMPUTED_VALUE"""),"201750181 - Approved")</f>
        <v>201750181 - Approved</v>
      </c>
      <c r="C1140" s="6">
        <f>IFERROR(__xludf.DUMMYFUNCTION("""COMPUTED_VALUE"""),1.0)</f>
        <v>1</v>
      </c>
      <c r="D1140" s="6" t="str">
        <f>IFERROR(__xludf.DUMMYFUNCTION("""COMPUTED_VALUE"""),"R-20002-00")</f>
        <v>R-20002-00</v>
      </c>
      <c r="E1140" s="6" t="str">
        <f>IFERROR(__xludf.DUMMYFUNCTION("""COMPUTED_VALUE"""),"Hand Dryer TYC 322 W TOTO")</f>
        <v>Hand Dryer TYC 322 W TOTO</v>
      </c>
      <c r="F1140" s="6">
        <f>IFERROR(__xludf.DUMMYFUNCTION("""COMPUTED_VALUE"""),1.0)</f>
        <v>1</v>
      </c>
      <c r="G1140" s="6" t="str">
        <f>IFERROR(__xludf.DUMMYFUNCTION("""COMPUTED_VALUE"""),"Unit")</f>
        <v>Unit</v>
      </c>
      <c r="H1140" s="6" t="str">
        <f>IFERROR(__xludf.DUMMYFUNCTION("""COMPUTED_VALUE"""),"IDR")</f>
        <v>IDR</v>
      </c>
      <c r="I1140" s="6">
        <f>IFERROR(__xludf.DUMMYFUNCTION("""COMPUTED_VALUE"""),4810000.0)</f>
        <v>4810000</v>
      </c>
      <c r="J1140" s="6">
        <f>IFERROR(__xludf.DUMMYFUNCTION("""COMPUTED_VALUE"""),4810000.0)</f>
        <v>4810000</v>
      </c>
      <c r="K1140" s="57">
        <f>IFERROR(__xludf.DUMMYFUNCTION("""COMPUTED_VALUE"""),43966.0)</f>
        <v>43966</v>
      </c>
      <c r="L1140" s="6" t="str">
        <f>IFERROR(__xludf.DUMMYFUNCTION("""COMPUTED_VALUE"""),"FIP General")</f>
        <v>FIP General</v>
      </c>
      <c r="M1140" s="6" t="str">
        <f>IFERROR(__xludf.DUMMYFUNCTION("""COMPUTED_VALUE"""),"Ronald Effendi")</f>
        <v>Ronald Effendi</v>
      </c>
      <c r="N1140" s="6" t="str">
        <f>IFERROR(__xludf.DUMMYFUNCTION("""COMPUTED_VALUE"""),"FIP Engineering")</f>
        <v>FIP Engineering</v>
      </c>
      <c r="O1140" s="6" t="str">
        <f>IFERROR(__xludf.DUMMYFUNCTION("""COMPUTED_VALUE"""),"FIP-DOM-ENG-13405-EQNB203-INA-000000")</f>
        <v>FIP-DOM-ENG-13405-EQNB203-INA-000000</v>
      </c>
      <c r="P1140" s="6" t="str">
        <f>IFERROR(__xludf.DUMMYFUNCTION("""COMPUTED_VALUE"""),"PO Closed")</f>
        <v>PO Closed</v>
      </c>
      <c r="Q1140" s="6" t="str">
        <f>IFERROR(__xludf.DUMMYFUNCTION("""COMPUTED_VALUE"""),"GL2005023")</f>
        <v>GL2005023</v>
      </c>
      <c r="R1140" s="57">
        <f>IFERROR(__xludf.DUMMYFUNCTION("""COMPUTED_VALUE"""),43945.0)</f>
        <v>43945</v>
      </c>
      <c r="S1140" s="6" t="str">
        <f>IFERROR(__xludf.DUMMYFUNCTION("""COMPUTED_VALUE"""),"-")</f>
        <v>-</v>
      </c>
      <c r="T1140" s="57">
        <f>IFERROR(__xludf.DUMMYFUNCTION("""COMPUTED_VALUE"""),43976.0)</f>
        <v>43976</v>
      </c>
    </row>
    <row r="1141">
      <c r="A1141" s="6" t="str">
        <f>IFERROR(__xludf.DUMMYFUNCTION("""COMPUTED_VALUE"""),"201750181-2")</f>
        <v>201750181-2</v>
      </c>
      <c r="B1141" s="6" t="str">
        <f>IFERROR(__xludf.DUMMYFUNCTION("""COMPUTED_VALUE"""),"201750181 - Approved")</f>
        <v>201750181 - Approved</v>
      </c>
      <c r="C1141" s="6">
        <f>IFERROR(__xludf.DUMMYFUNCTION("""COMPUTED_VALUE"""),2.0)</f>
        <v>2</v>
      </c>
      <c r="D1141" s="6" t="str">
        <f>IFERROR(__xludf.DUMMYFUNCTION("""COMPUTED_VALUE"""),"R-20002-00")</f>
        <v>R-20002-00</v>
      </c>
      <c r="E1141" s="6" t="str">
        <f>IFERROR(__xludf.DUMMYFUNCTION("""COMPUTED_VALUE"""),"Pekerjaan Pasang Wastafel baru diarea Gowning LT.3 dan Bongkar partisi area kantin")</f>
        <v>Pekerjaan Pasang Wastafel baru diarea Gowning LT.3 dan Bongkar partisi area kantin</v>
      </c>
      <c r="F1141" s="6">
        <f>IFERROR(__xludf.DUMMYFUNCTION("""COMPUTED_VALUE"""),1.0)</f>
        <v>1</v>
      </c>
      <c r="G1141" s="6" t="str">
        <f>IFERROR(__xludf.DUMMYFUNCTION("""COMPUTED_VALUE"""),"Unit")</f>
        <v>Unit</v>
      </c>
      <c r="H1141" s="6" t="str">
        <f>IFERROR(__xludf.DUMMYFUNCTION("""COMPUTED_VALUE"""),"IDR")</f>
        <v>IDR</v>
      </c>
      <c r="I1141" s="6">
        <f>IFERROR(__xludf.DUMMYFUNCTION("""COMPUTED_VALUE"""),7500000.0)</f>
        <v>7500000</v>
      </c>
      <c r="J1141" s="6">
        <f>IFERROR(__xludf.DUMMYFUNCTION("""COMPUTED_VALUE"""),7500000.0)</f>
        <v>7500000</v>
      </c>
      <c r="K1141" s="57">
        <f>IFERROR(__xludf.DUMMYFUNCTION("""COMPUTED_VALUE"""),43966.0)</f>
        <v>43966</v>
      </c>
      <c r="L1141" s="6" t="str">
        <f>IFERROR(__xludf.DUMMYFUNCTION("""COMPUTED_VALUE"""),"FIP General")</f>
        <v>FIP General</v>
      </c>
      <c r="M1141" s="6" t="str">
        <f>IFERROR(__xludf.DUMMYFUNCTION("""COMPUTED_VALUE"""),"Ronald Effendi")</f>
        <v>Ronald Effendi</v>
      </c>
      <c r="N1141" s="6" t="str">
        <f>IFERROR(__xludf.DUMMYFUNCTION("""COMPUTED_VALUE"""),"FIP Engineering")</f>
        <v>FIP Engineering</v>
      </c>
      <c r="O1141" s="6" t="str">
        <f>IFERROR(__xludf.DUMMYFUNCTION("""COMPUTED_VALUE"""),"FIP-DOM-ENG-13405-EQNB204-INA-000000")</f>
        <v>FIP-DOM-ENG-13405-EQNB204-INA-000000</v>
      </c>
      <c r="P1141" s="6" t="str">
        <f>IFERROR(__xludf.DUMMYFUNCTION("""COMPUTED_VALUE"""),"PO Closed")</f>
        <v>PO Closed</v>
      </c>
      <c r="Q1141" s="6" t="str">
        <f>IFERROR(__xludf.DUMMYFUNCTION("""COMPUTED_VALUE"""),"GL2005012")</f>
        <v>GL2005012</v>
      </c>
      <c r="R1141" s="57">
        <f>IFERROR(__xludf.DUMMYFUNCTION("""COMPUTED_VALUE"""),43945.0)</f>
        <v>43945</v>
      </c>
      <c r="S1141" s="6" t="str">
        <f>IFERROR(__xludf.DUMMYFUNCTION("""COMPUTED_VALUE"""),"-")</f>
        <v>-</v>
      </c>
      <c r="T1141" s="57">
        <f>IFERROR(__xludf.DUMMYFUNCTION("""COMPUTED_VALUE"""),43973.0)</f>
        <v>43973</v>
      </c>
    </row>
    <row r="1142">
      <c r="A1142" s="6" t="str">
        <f>IFERROR(__xludf.DUMMYFUNCTION("""COMPUTED_VALUE"""),"201750184-1")</f>
        <v>201750184-1</v>
      </c>
      <c r="B1142" s="6" t="str">
        <f>IFERROR(__xludf.DUMMYFUNCTION("""COMPUTED_VALUE"""),"201750184 - Approved")</f>
        <v>201750184 - Approved</v>
      </c>
      <c r="C1142" s="6">
        <f>IFERROR(__xludf.DUMMYFUNCTION("""COMPUTED_VALUE"""),1.0)</f>
        <v>1</v>
      </c>
      <c r="D1142" s="6" t="str">
        <f>IFERROR(__xludf.DUMMYFUNCTION("""COMPUTED_VALUE"""),"O-52355-00")</f>
        <v>O-52355-00</v>
      </c>
      <c r="E1142" s="6" t="str">
        <f>IFERROR(__xludf.DUMMYFUNCTION("""COMPUTED_VALUE"""),"Solenoid Valve type 55B-24-PE-611JB MAC")</f>
        <v>Solenoid Valve type 55B-24-PE-611JB MAC</v>
      </c>
      <c r="F1142" s="6">
        <f>IFERROR(__xludf.DUMMYFUNCTION("""COMPUTED_VALUE"""),1.0)</f>
        <v>1</v>
      </c>
      <c r="G1142" s="6" t="str">
        <f>IFERROR(__xludf.DUMMYFUNCTION("""COMPUTED_VALUE"""),"Unit")</f>
        <v>Unit</v>
      </c>
      <c r="H1142" s="6" t="str">
        <f>IFERROR(__xludf.DUMMYFUNCTION("""COMPUTED_VALUE"""),"IDR")</f>
        <v>IDR</v>
      </c>
      <c r="I1142" s="6">
        <f>IFERROR(__xludf.DUMMYFUNCTION("""COMPUTED_VALUE"""),1670000.0)</f>
        <v>1670000</v>
      </c>
      <c r="J1142" s="6">
        <f>IFERROR(__xludf.DUMMYFUNCTION("""COMPUTED_VALUE"""),1670000.0)</f>
        <v>1670000</v>
      </c>
      <c r="K1142" s="57">
        <f>IFERROR(__xludf.DUMMYFUNCTION("""COMPUTED_VALUE"""),43980.0)</f>
        <v>43980</v>
      </c>
      <c r="L1142" s="6" t="str">
        <f>IFERROR(__xludf.DUMMYFUNCTION("""COMPUTED_VALUE"""),"FIP Engineering")</f>
        <v>FIP Engineering</v>
      </c>
      <c r="M1142" s="6" t="str">
        <f>IFERROR(__xludf.DUMMYFUNCTION("""COMPUTED_VALUE"""),"Irwan Sopian")</f>
        <v>Irwan Sopian</v>
      </c>
      <c r="N1142" s="6" t="str">
        <f>IFERROR(__xludf.DUMMYFUNCTION("""COMPUTED_VALUE"""),"FIP Engineering")</f>
        <v>FIP Engineering</v>
      </c>
      <c r="O1142" s="6" t="str">
        <f>IFERROR(__xludf.DUMMYFUNCTION("""COMPUTED_VALUE"""),"FIP-DOM-000-11304-OS00001-INA-000000")</f>
        <v>FIP-DOM-000-11304-OS00001-INA-000000</v>
      </c>
      <c r="P1142" s="6" t="str">
        <f>IFERROR(__xludf.DUMMYFUNCTION("""COMPUTED_VALUE"""),"PO Closed")</f>
        <v>PO Closed</v>
      </c>
      <c r="Q1142" s="6" t="str">
        <f>IFERROR(__xludf.DUMMYFUNCTION("""COMPUTED_VALUE"""),"GL2005026")</f>
        <v>GL2005026</v>
      </c>
      <c r="R1142" s="57">
        <f>IFERROR(__xludf.DUMMYFUNCTION("""COMPUTED_VALUE"""),43949.0)</f>
        <v>43949</v>
      </c>
      <c r="S1142" s="6" t="str">
        <f>IFERROR(__xludf.DUMMYFUNCTION("""COMPUTED_VALUE"""),"-")</f>
        <v>-</v>
      </c>
      <c r="T1142" s="57">
        <f>IFERROR(__xludf.DUMMYFUNCTION("""COMPUTED_VALUE"""),44008.0)</f>
        <v>44008</v>
      </c>
    </row>
    <row r="1143">
      <c r="A1143" s="6" t="str">
        <f>IFERROR(__xludf.DUMMYFUNCTION("""COMPUTED_VALUE"""),"201750183-1")</f>
        <v>201750183-1</v>
      </c>
      <c r="B1143" s="6" t="str">
        <f>IFERROR(__xludf.DUMMYFUNCTION("""COMPUTED_VALUE"""),"201750183 - Approved")</f>
        <v>201750183 - Approved</v>
      </c>
      <c r="C1143" s="6">
        <f>IFERROR(__xludf.DUMMYFUNCTION("""COMPUTED_VALUE"""),1.0)</f>
        <v>1</v>
      </c>
      <c r="D1143" s="6" t="str">
        <f>IFERROR(__xludf.DUMMYFUNCTION("""COMPUTED_VALUE"""),"O-60001-00")</f>
        <v>O-60001-00</v>
      </c>
      <c r="E1143" s="6" t="str">
        <f>IFERROR(__xludf.DUMMYFUNCTION("""COMPUTED_VALUE"""),"Service Minicapt 100L")</f>
        <v>Service Minicapt 100L</v>
      </c>
      <c r="F1143" s="6">
        <f>IFERROR(__xludf.DUMMYFUNCTION("""COMPUTED_VALUE"""),1.0)</f>
        <v>1</v>
      </c>
      <c r="G1143" s="6" t="str">
        <f>IFERROR(__xludf.DUMMYFUNCTION("""COMPUTED_VALUE"""),"Lot")</f>
        <v>Lot</v>
      </c>
      <c r="H1143" s="6" t="str">
        <f>IFERROR(__xludf.DUMMYFUNCTION("""COMPUTED_VALUE"""),"IDR")</f>
        <v>IDR</v>
      </c>
      <c r="I1143" s="6">
        <f>IFERROR(__xludf.DUMMYFUNCTION("""COMPUTED_VALUE"""),3000000.0)</f>
        <v>3000000</v>
      </c>
      <c r="J1143" s="6">
        <f>IFERROR(__xludf.DUMMYFUNCTION("""COMPUTED_VALUE"""),3000000.0)</f>
        <v>3000000</v>
      </c>
      <c r="K1143" s="57">
        <f>IFERROR(__xludf.DUMMYFUNCTION("""COMPUTED_VALUE"""),43973.0)</f>
        <v>43973</v>
      </c>
      <c r="L1143" s="6" t="str">
        <f>IFERROR(__xludf.DUMMYFUNCTION("""COMPUTED_VALUE"""),"FIP General")</f>
        <v>FIP General</v>
      </c>
      <c r="M1143" s="6" t="str">
        <f>IFERROR(__xludf.DUMMYFUNCTION("""COMPUTED_VALUE"""),"Irwan Sopian")</f>
        <v>Irwan Sopian</v>
      </c>
      <c r="N1143" s="6" t="str">
        <f>IFERROR(__xludf.DUMMYFUNCTION("""COMPUTED_VALUE"""),"FIP Engineering")</f>
        <v>FIP Engineering</v>
      </c>
      <c r="O1143" s="6" t="str">
        <f>IFERROR(__xludf.DUMMYFUNCTION("""COMPUTED_VALUE"""),"FIP-DOM-ENG-51504-0000000-INA-000000")</f>
        <v>FIP-DOM-ENG-51504-0000000-INA-000000</v>
      </c>
      <c r="P1143" s="6" t="str">
        <f>IFERROR(__xludf.DUMMYFUNCTION("""COMPUTED_VALUE"""),"PO Closed")</f>
        <v>PO Closed</v>
      </c>
      <c r="Q1143" s="6" t="str">
        <f>IFERROR(__xludf.DUMMYFUNCTION("""COMPUTED_VALUE"""),"GL2005001")</f>
        <v>GL2005001</v>
      </c>
      <c r="R1143" s="57">
        <f>IFERROR(__xludf.DUMMYFUNCTION("""COMPUTED_VALUE"""),43949.0)</f>
        <v>43949</v>
      </c>
      <c r="S1143" s="6" t="str">
        <f>IFERROR(__xludf.DUMMYFUNCTION("""COMPUTED_VALUE"""),"-")</f>
        <v>-</v>
      </c>
      <c r="T1143" s="57">
        <f>IFERROR(__xludf.DUMMYFUNCTION("""COMPUTED_VALUE"""),43973.0)</f>
        <v>43973</v>
      </c>
    </row>
    <row r="1144">
      <c r="A1144" s="6" t="str">
        <f>IFERROR(__xludf.DUMMYFUNCTION("""COMPUTED_VALUE"""),"201750181-3")</f>
        <v>201750181-3</v>
      </c>
      <c r="B1144" s="6" t="str">
        <f>IFERROR(__xludf.DUMMYFUNCTION("""COMPUTED_VALUE"""),"201750181 - Approved")</f>
        <v>201750181 - Approved</v>
      </c>
      <c r="C1144" s="6">
        <f>IFERROR(__xludf.DUMMYFUNCTION("""COMPUTED_VALUE"""),3.0)</f>
        <v>3</v>
      </c>
      <c r="D1144" s="6" t="str">
        <f>IFERROR(__xludf.DUMMYFUNCTION("""COMPUTED_VALUE"""),"R-20002-00")</f>
        <v>R-20002-00</v>
      </c>
      <c r="E1144" s="6" t="str">
        <f>IFERROR(__xludf.DUMMYFUNCTION("""COMPUTED_VALUE"""),"Wastafel LW 236 CJ TOTO + Accesories")</f>
        <v>Wastafel LW 236 CJ TOTO + Accesories</v>
      </c>
      <c r="F1144" s="6">
        <f>IFERROR(__xludf.DUMMYFUNCTION("""COMPUTED_VALUE"""),1.0)</f>
        <v>1</v>
      </c>
      <c r="G1144" s="6" t="str">
        <f>IFERROR(__xludf.DUMMYFUNCTION("""COMPUTED_VALUE"""),"Unit")</f>
        <v>Unit</v>
      </c>
      <c r="H1144" s="6" t="str">
        <f>IFERROR(__xludf.DUMMYFUNCTION("""COMPUTED_VALUE"""),"IDR")</f>
        <v>IDR</v>
      </c>
      <c r="I1144" s="6">
        <f>IFERROR(__xludf.DUMMYFUNCTION("""COMPUTED_VALUE"""),1540000.0)</f>
        <v>1540000</v>
      </c>
      <c r="J1144" s="6">
        <f>IFERROR(__xludf.DUMMYFUNCTION("""COMPUTED_VALUE"""),1540000.0)</f>
        <v>1540000</v>
      </c>
      <c r="K1144" s="57">
        <f>IFERROR(__xludf.DUMMYFUNCTION("""COMPUTED_VALUE"""),43966.0)</f>
        <v>43966</v>
      </c>
      <c r="L1144" s="6" t="str">
        <f>IFERROR(__xludf.DUMMYFUNCTION("""COMPUTED_VALUE"""),"FIP General")</f>
        <v>FIP General</v>
      </c>
      <c r="M1144" s="6" t="str">
        <f>IFERROR(__xludf.DUMMYFUNCTION("""COMPUTED_VALUE"""),"Ronald Effendi")</f>
        <v>Ronald Effendi</v>
      </c>
      <c r="N1144" s="6" t="str">
        <f>IFERROR(__xludf.DUMMYFUNCTION("""COMPUTED_VALUE"""),"FIP Engineering")</f>
        <v>FIP Engineering</v>
      </c>
      <c r="O1144" s="6" t="str">
        <f>IFERROR(__xludf.DUMMYFUNCTION("""COMPUTED_VALUE"""),"FIP-DOM-ENG-13405-EQNB204-INA-000000")</f>
        <v>FIP-DOM-ENG-13405-EQNB204-INA-000000</v>
      </c>
      <c r="P1144" s="6" t="str">
        <f>IFERROR(__xludf.DUMMYFUNCTION("""COMPUTED_VALUE"""),"PO Closed")</f>
        <v>PO Closed</v>
      </c>
      <c r="Q1144" s="6" t="str">
        <f>IFERROR(__xludf.DUMMYFUNCTION("""COMPUTED_VALUE"""),"GL2005023")</f>
        <v>GL2005023</v>
      </c>
      <c r="R1144" s="57">
        <f>IFERROR(__xludf.DUMMYFUNCTION("""COMPUTED_VALUE"""),43949.0)</f>
        <v>43949</v>
      </c>
      <c r="S1144" s="6" t="str">
        <f>IFERROR(__xludf.DUMMYFUNCTION("""COMPUTED_VALUE"""),"-")</f>
        <v>-</v>
      </c>
      <c r="T1144" s="57">
        <f>IFERROR(__xludf.DUMMYFUNCTION("""COMPUTED_VALUE"""),43976.0)</f>
        <v>43976</v>
      </c>
    </row>
    <row r="1145">
      <c r="A1145" s="6" t="str">
        <f>IFERROR(__xludf.DUMMYFUNCTION("""COMPUTED_VALUE"""),"201750181-4")</f>
        <v>201750181-4</v>
      </c>
      <c r="B1145" s="6" t="str">
        <f>IFERROR(__xludf.DUMMYFUNCTION("""COMPUTED_VALUE"""),"201750181 - Approved")</f>
        <v>201750181 - Approved</v>
      </c>
      <c r="C1145" s="6">
        <f>IFERROR(__xludf.DUMMYFUNCTION("""COMPUTED_VALUE"""),4.0)</f>
        <v>4</v>
      </c>
      <c r="D1145" s="6" t="str">
        <f>IFERROR(__xludf.DUMMYFUNCTION("""COMPUTED_VALUE"""),"R-20002-00")</f>
        <v>R-20002-00</v>
      </c>
      <c r="E1145" s="6" t="str">
        <f>IFERROR(__xludf.DUMMYFUNCTION("""COMPUTED_VALUE"""),"Hand Soap ZYQ-138 380ML")</f>
        <v>Hand Soap ZYQ-138 380ML</v>
      </c>
      <c r="F1145" s="6">
        <f>IFERROR(__xludf.DUMMYFUNCTION("""COMPUTED_VALUE"""),1.0)</f>
        <v>1</v>
      </c>
      <c r="G1145" s="6" t="str">
        <f>IFERROR(__xludf.DUMMYFUNCTION("""COMPUTED_VALUE"""),"Unit")</f>
        <v>Unit</v>
      </c>
      <c r="H1145" s="6" t="str">
        <f>IFERROR(__xludf.DUMMYFUNCTION("""COMPUTED_VALUE"""),"IDR")</f>
        <v>IDR</v>
      </c>
      <c r="I1145" s="6">
        <f>IFERROR(__xludf.DUMMYFUNCTION("""COMPUTED_VALUE"""),110000.0)</f>
        <v>110000</v>
      </c>
      <c r="J1145" s="6">
        <f>IFERROR(__xludf.DUMMYFUNCTION("""COMPUTED_VALUE"""),110000.0)</f>
        <v>110000</v>
      </c>
      <c r="K1145" s="57">
        <f>IFERROR(__xludf.DUMMYFUNCTION("""COMPUTED_VALUE"""),43966.0)</f>
        <v>43966</v>
      </c>
      <c r="L1145" s="6" t="str">
        <f>IFERROR(__xludf.DUMMYFUNCTION("""COMPUTED_VALUE"""),"FIP General")</f>
        <v>FIP General</v>
      </c>
      <c r="M1145" s="6" t="str">
        <f>IFERROR(__xludf.DUMMYFUNCTION("""COMPUTED_VALUE"""),"Ronald Effendi")</f>
        <v>Ronald Effendi</v>
      </c>
      <c r="N1145" s="6" t="str">
        <f>IFERROR(__xludf.DUMMYFUNCTION("""COMPUTED_VALUE"""),"FIP Engineering")</f>
        <v>FIP Engineering</v>
      </c>
      <c r="O1145" s="6" t="str">
        <f>IFERROR(__xludf.DUMMYFUNCTION("""COMPUTED_VALUE"""),"FIP-DOM-ENG-13405-EQNB204-INA-000000")</f>
        <v>FIP-DOM-ENG-13405-EQNB204-INA-000000</v>
      </c>
      <c r="P1145" s="6" t="str">
        <f>IFERROR(__xludf.DUMMYFUNCTION("""COMPUTED_VALUE"""),"PO Closed")</f>
        <v>PO Closed</v>
      </c>
      <c r="Q1145" s="6" t="str">
        <f>IFERROR(__xludf.DUMMYFUNCTION("""COMPUTED_VALUE"""),"GL2005023")</f>
        <v>GL2005023</v>
      </c>
      <c r="R1145" s="57">
        <f>IFERROR(__xludf.DUMMYFUNCTION("""COMPUTED_VALUE"""),43949.0)</f>
        <v>43949</v>
      </c>
      <c r="S1145" s="6" t="str">
        <f>IFERROR(__xludf.DUMMYFUNCTION("""COMPUTED_VALUE"""),"-")</f>
        <v>-</v>
      </c>
      <c r="T1145" s="57">
        <f>IFERROR(__xludf.DUMMYFUNCTION("""COMPUTED_VALUE"""),43976.0)</f>
        <v>43976</v>
      </c>
    </row>
    <row r="1146">
      <c r="A1146" s="6" t="str">
        <f>IFERROR(__xludf.DUMMYFUNCTION("""COMPUTED_VALUE"""),"201750195-1")</f>
        <v>201750195-1</v>
      </c>
      <c r="B1146" s="6" t="str">
        <f>IFERROR(__xludf.DUMMYFUNCTION("""COMPUTED_VALUE"""),"201750195 - Approved")</f>
        <v>201750195 - Approved</v>
      </c>
      <c r="C1146" s="6">
        <f>IFERROR(__xludf.DUMMYFUNCTION("""COMPUTED_VALUE"""),1.0)</f>
        <v>1</v>
      </c>
      <c r="D1146" s="6" t="str">
        <f>IFERROR(__xludf.DUMMYFUNCTION("""COMPUTED_VALUE"""),"P-51883-00")</f>
        <v>P-51883-00</v>
      </c>
      <c r="E1146" s="6" t="str">
        <f>IFERROR(__xludf.DUMMYFUNCTION("""COMPUTED_VALUE"""),"Lampu LED Floodlight 100 watt")</f>
        <v>Lampu LED Floodlight 100 watt</v>
      </c>
      <c r="F1146" s="6">
        <f>IFERROR(__xludf.DUMMYFUNCTION("""COMPUTED_VALUE"""),3.0)</f>
        <v>3</v>
      </c>
      <c r="G1146" s="6" t="str">
        <f>IFERROR(__xludf.DUMMYFUNCTION("""COMPUTED_VALUE"""),"Pieces")</f>
        <v>Pieces</v>
      </c>
      <c r="H1146" s="6" t="str">
        <f>IFERROR(__xludf.DUMMYFUNCTION("""COMPUTED_VALUE"""),"IDR")</f>
        <v>IDR</v>
      </c>
      <c r="I1146" s="6">
        <f>IFERROR(__xludf.DUMMYFUNCTION("""COMPUTED_VALUE"""),400000.0)</f>
        <v>400000</v>
      </c>
      <c r="J1146" s="6">
        <f>IFERROR(__xludf.DUMMYFUNCTION("""COMPUTED_VALUE"""),1200000.0)</f>
        <v>1200000</v>
      </c>
      <c r="K1146" s="57">
        <f>IFERROR(__xludf.DUMMYFUNCTION("""COMPUTED_VALUE"""),43982.0)</f>
        <v>43982</v>
      </c>
      <c r="L1146" s="6" t="str">
        <f>IFERROR(__xludf.DUMMYFUNCTION("""COMPUTED_VALUE"""),"FIP Engineering")</f>
        <v>FIP Engineering</v>
      </c>
      <c r="M1146" s="6" t="str">
        <f>IFERROR(__xludf.DUMMYFUNCTION("""COMPUTED_VALUE"""),"Irwan Sopian")</f>
        <v>Irwan Sopian</v>
      </c>
      <c r="N1146" s="6" t="str">
        <f>IFERROR(__xludf.DUMMYFUNCTION("""COMPUTED_VALUE"""),"FIP Engineering")</f>
        <v>FIP Engineering</v>
      </c>
      <c r="O1146" s="6" t="str">
        <f>IFERROR(__xludf.DUMMYFUNCTION("""COMPUTED_VALUE"""),"FIP-DOM-000-11304-OS00001-INA-000000")</f>
        <v>FIP-DOM-000-11304-OS00001-INA-000000</v>
      </c>
      <c r="P1146" s="6" t="str">
        <f>IFERROR(__xludf.DUMMYFUNCTION("""COMPUTED_VALUE"""),"PO Closed")</f>
        <v>PO Closed</v>
      </c>
      <c r="Q1146" s="6" t="str">
        <f>IFERROR(__xludf.DUMMYFUNCTION("""COMPUTED_VALUE"""),"GL2005024")</f>
        <v>GL2005024</v>
      </c>
      <c r="R1146" s="57">
        <f>IFERROR(__xludf.DUMMYFUNCTION("""COMPUTED_VALUE"""),43957.0)</f>
        <v>43957</v>
      </c>
      <c r="S1146" s="6" t="str">
        <f>IFERROR(__xludf.DUMMYFUNCTION("""COMPUTED_VALUE"""),"-")</f>
        <v>-</v>
      </c>
      <c r="T1146" s="57">
        <f>IFERROR(__xludf.DUMMYFUNCTION("""COMPUTED_VALUE"""),43990.0)</f>
        <v>43990</v>
      </c>
    </row>
    <row r="1147">
      <c r="A1147" s="6" t="str">
        <f>IFERROR(__xludf.DUMMYFUNCTION("""COMPUTED_VALUE"""),"201750195-2")</f>
        <v>201750195-2</v>
      </c>
      <c r="B1147" s="6" t="str">
        <f>IFERROR(__xludf.DUMMYFUNCTION("""COMPUTED_VALUE"""),"201750195 - Approved")</f>
        <v>201750195 - Approved</v>
      </c>
      <c r="C1147" s="6">
        <f>IFERROR(__xludf.DUMMYFUNCTION("""COMPUTED_VALUE"""),2.0)</f>
        <v>2</v>
      </c>
      <c r="D1147" s="6" t="str">
        <f>IFERROR(__xludf.DUMMYFUNCTION("""COMPUTED_VALUE"""),"Q-10817-00")</f>
        <v>Q-10817-00</v>
      </c>
      <c r="E1147" s="6" t="str">
        <f>IFERROR(__xludf.DUMMYFUNCTION("""COMPUTED_VALUE"""),"Door Closer Type: TS77 Hold Open DORMA")</f>
        <v>Door Closer Type: TS77 Hold Open DORMA</v>
      </c>
      <c r="F1147" s="6">
        <f>IFERROR(__xludf.DUMMYFUNCTION("""COMPUTED_VALUE"""),2.0)</f>
        <v>2</v>
      </c>
      <c r="G1147" s="6" t="str">
        <f>IFERROR(__xludf.DUMMYFUNCTION("""COMPUTED_VALUE"""),"Pieces")</f>
        <v>Pieces</v>
      </c>
      <c r="H1147" s="6" t="str">
        <f>IFERROR(__xludf.DUMMYFUNCTION("""COMPUTED_VALUE"""),"IDR")</f>
        <v>IDR</v>
      </c>
      <c r="I1147" s="6">
        <f>IFERROR(__xludf.DUMMYFUNCTION("""COMPUTED_VALUE"""),600000.0)</f>
        <v>600000</v>
      </c>
      <c r="J1147" s="6">
        <f>IFERROR(__xludf.DUMMYFUNCTION("""COMPUTED_VALUE"""),1200000.0)</f>
        <v>1200000</v>
      </c>
      <c r="K1147" s="57">
        <f>IFERROR(__xludf.DUMMYFUNCTION("""COMPUTED_VALUE"""),43982.0)</f>
        <v>43982</v>
      </c>
      <c r="L1147" s="6" t="str">
        <f>IFERROR(__xludf.DUMMYFUNCTION("""COMPUTED_VALUE"""),"FIP Engineering")</f>
        <v>FIP Engineering</v>
      </c>
      <c r="M1147" s="6" t="str">
        <f>IFERROR(__xludf.DUMMYFUNCTION("""COMPUTED_VALUE"""),"Irwan Sopian")</f>
        <v>Irwan Sopian</v>
      </c>
      <c r="N1147" s="6" t="str">
        <f>IFERROR(__xludf.DUMMYFUNCTION("""COMPUTED_VALUE"""),"FIP Engineering")</f>
        <v>FIP Engineering</v>
      </c>
      <c r="O1147" s="6" t="str">
        <f>IFERROR(__xludf.DUMMYFUNCTION("""COMPUTED_VALUE"""),"FIP-DOM-000-11304-OS00001-INA-000000")</f>
        <v>FIP-DOM-000-11304-OS00001-INA-000000</v>
      </c>
      <c r="P1147" s="6" t="str">
        <f>IFERROR(__xludf.DUMMYFUNCTION("""COMPUTED_VALUE"""),"PO Closed")</f>
        <v>PO Closed</v>
      </c>
      <c r="Q1147" s="6" t="str">
        <f>IFERROR(__xludf.DUMMYFUNCTION("""COMPUTED_VALUE"""),"GL2005024")</f>
        <v>GL2005024</v>
      </c>
      <c r="R1147" s="57">
        <f>IFERROR(__xludf.DUMMYFUNCTION("""COMPUTED_VALUE"""),43957.0)</f>
        <v>43957</v>
      </c>
      <c r="S1147" s="6" t="str">
        <f>IFERROR(__xludf.DUMMYFUNCTION("""COMPUTED_VALUE"""),"-")</f>
        <v>-</v>
      </c>
      <c r="T1147" s="57">
        <f>IFERROR(__xludf.DUMMYFUNCTION("""COMPUTED_VALUE"""),43990.0)</f>
        <v>43990</v>
      </c>
    </row>
    <row r="1148">
      <c r="A1148" s="6" t="str">
        <f>IFERROR(__xludf.DUMMYFUNCTION("""COMPUTED_VALUE"""),"201750195-3")</f>
        <v>201750195-3</v>
      </c>
      <c r="B1148" s="6" t="str">
        <f>IFERROR(__xludf.DUMMYFUNCTION("""COMPUTED_VALUE"""),"201750195 - Approved")</f>
        <v>201750195 - Approved</v>
      </c>
      <c r="C1148" s="6">
        <f>IFERROR(__xludf.DUMMYFUNCTION("""COMPUTED_VALUE"""),3.0)</f>
        <v>3</v>
      </c>
      <c r="D1148" s="6" t="str">
        <f>IFERROR(__xludf.DUMMYFUNCTION("""COMPUTED_VALUE"""),"P-14980-00")</f>
        <v>P-14980-00</v>
      </c>
      <c r="E1148" s="6" t="str">
        <f>IFERROR(__xludf.DUMMYFUNCTION("""COMPUTED_VALUE"""),"Seal Ferrule Teflon 3/4 inch")</f>
        <v>Seal Ferrule Teflon 3/4 inch</v>
      </c>
      <c r="F1148" s="6">
        <f>IFERROR(__xludf.DUMMYFUNCTION("""COMPUTED_VALUE"""),10.0)</f>
        <v>10</v>
      </c>
      <c r="G1148" s="6" t="str">
        <f>IFERROR(__xludf.DUMMYFUNCTION("""COMPUTED_VALUE"""),"Pieces")</f>
        <v>Pieces</v>
      </c>
      <c r="H1148" s="6" t="str">
        <f>IFERROR(__xludf.DUMMYFUNCTION("""COMPUTED_VALUE"""),"IDR")</f>
        <v>IDR</v>
      </c>
      <c r="I1148" s="6">
        <f>IFERROR(__xludf.DUMMYFUNCTION("""COMPUTED_VALUE"""),53000.0)</f>
        <v>53000</v>
      </c>
      <c r="J1148" s="6">
        <f>IFERROR(__xludf.DUMMYFUNCTION("""COMPUTED_VALUE"""),530000.0)</f>
        <v>530000</v>
      </c>
      <c r="K1148" s="57">
        <f>IFERROR(__xludf.DUMMYFUNCTION("""COMPUTED_VALUE"""),43982.0)</f>
        <v>43982</v>
      </c>
      <c r="L1148" s="6" t="str">
        <f>IFERROR(__xludf.DUMMYFUNCTION("""COMPUTED_VALUE"""),"FIP Engineering")</f>
        <v>FIP Engineering</v>
      </c>
      <c r="M1148" s="6" t="str">
        <f>IFERROR(__xludf.DUMMYFUNCTION("""COMPUTED_VALUE"""),"Irwan Sopian")</f>
        <v>Irwan Sopian</v>
      </c>
      <c r="N1148" s="6" t="str">
        <f>IFERROR(__xludf.DUMMYFUNCTION("""COMPUTED_VALUE"""),"FIP Engineering")</f>
        <v>FIP Engineering</v>
      </c>
      <c r="O1148" s="6" t="str">
        <f>IFERROR(__xludf.DUMMYFUNCTION("""COMPUTED_VALUE"""),"FIP-DOM-000-11304-OS00001-INA-000000")</f>
        <v>FIP-DOM-000-11304-OS00001-INA-000000</v>
      </c>
      <c r="P1148" s="6" t="str">
        <f>IFERROR(__xludf.DUMMYFUNCTION("""COMPUTED_VALUE"""),"PO Closed")</f>
        <v>PO Closed</v>
      </c>
      <c r="Q1148" s="6" t="str">
        <f>IFERROR(__xludf.DUMMYFUNCTION("""COMPUTED_VALUE"""),"GL2005024")</f>
        <v>GL2005024</v>
      </c>
      <c r="R1148" s="57">
        <f>IFERROR(__xludf.DUMMYFUNCTION("""COMPUTED_VALUE"""),43957.0)</f>
        <v>43957</v>
      </c>
      <c r="S1148" s="6" t="str">
        <f>IFERROR(__xludf.DUMMYFUNCTION("""COMPUTED_VALUE"""),"-")</f>
        <v>-</v>
      </c>
      <c r="T1148" s="57">
        <f>IFERROR(__xludf.DUMMYFUNCTION("""COMPUTED_VALUE"""),43990.0)</f>
        <v>43990</v>
      </c>
    </row>
    <row r="1149">
      <c r="A1149" s="6" t="str">
        <f>IFERROR(__xludf.DUMMYFUNCTION("""COMPUTED_VALUE"""),"201750195-4")</f>
        <v>201750195-4</v>
      </c>
      <c r="B1149" s="6" t="str">
        <f>IFERROR(__xludf.DUMMYFUNCTION("""COMPUTED_VALUE"""),"201750195 - Approved")</f>
        <v>201750195 - Approved</v>
      </c>
      <c r="C1149" s="6">
        <f>IFERROR(__xludf.DUMMYFUNCTION("""COMPUTED_VALUE"""),4.0)</f>
        <v>4</v>
      </c>
      <c r="D1149" s="6" t="str">
        <f>IFERROR(__xludf.DUMMYFUNCTION("""COMPUTED_VALUE"""),"P-13389-00")</f>
        <v>P-13389-00</v>
      </c>
      <c r="E1149" s="6" t="str">
        <f>IFERROR(__xludf.DUMMYFUNCTION("""COMPUTED_VALUE"""),"Scotch Brite 3M")</f>
        <v>Scotch Brite 3M</v>
      </c>
      <c r="F1149" s="6">
        <f>IFERROR(__xludf.DUMMYFUNCTION("""COMPUTED_VALUE"""),10.0)</f>
        <v>10</v>
      </c>
      <c r="G1149" s="6" t="str">
        <f>IFERROR(__xludf.DUMMYFUNCTION("""COMPUTED_VALUE"""),"Pieces")</f>
        <v>Pieces</v>
      </c>
      <c r="H1149" s="6" t="str">
        <f>IFERROR(__xludf.DUMMYFUNCTION("""COMPUTED_VALUE"""),"IDR")</f>
        <v>IDR</v>
      </c>
      <c r="I1149" s="6">
        <f>IFERROR(__xludf.DUMMYFUNCTION("""COMPUTED_VALUE"""),13500.0)</f>
        <v>13500</v>
      </c>
      <c r="J1149" s="6">
        <f>IFERROR(__xludf.DUMMYFUNCTION("""COMPUTED_VALUE"""),135000.0)</f>
        <v>135000</v>
      </c>
      <c r="K1149" s="57">
        <f>IFERROR(__xludf.DUMMYFUNCTION("""COMPUTED_VALUE"""),43982.0)</f>
        <v>43982</v>
      </c>
      <c r="L1149" s="6" t="str">
        <f>IFERROR(__xludf.DUMMYFUNCTION("""COMPUTED_VALUE"""),"FIP Engineering")</f>
        <v>FIP Engineering</v>
      </c>
      <c r="M1149" s="6" t="str">
        <f>IFERROR(__xludf.DUMMYFUNCTION("""COMPUTED_VALUE"""),"Irwan Sopian")</f>
        <v>Irwan Sopian</v>
      </c>
      <c r="N1149" s="6" t="str">
        <f>IFERROR(__xludf.DUMMYFUNCTION("""COMPUTED_VALUE"""),"FIP Engineering")</f>
        <v>FIP Engineering</v>
      </c>
      <c r="O1149" s="6" t="str">
        <f>IFERROR(__xludf.DUMMYFUNCTION("""COMPUTED_VALUE"""),"FIP-DOM-000-11304-OS00001-INA-000000")</f>
        <v>FIP-DOM-000-11304-OS00001-INA-000000</v>
      </c>
      <c r="P1149" s="6" t="str">
        <f>IFERROR(__xludf.DUMMYFUNCTION("""COMPUTED_VALUE"""),"PO Closed")</f>
        <v>PO Closed</v>
      </c>
      <c r="Q1149" s="6" t="str">
        <f>IFERROR(__xludf.DUMMYFUNCTION("""COMPUTED_VALUE"""),"GL2005024")</f>
        <v>GL2005024</v>
      </c>
      <c r="R1149" s="57">
        <f>IFERROR(__xludf.DUMMYFUNCTION("""COMPUTED_VALUE"""),43957.0)</f>
        <v>43957</v>
      </c>
      <c r="S1149" s="6" t="str">
        <f>IFERROR(__xludf.DUMMYFUNCTION("""COMPUTED_VALUE"""),"-")</f>
        <v>-</v>
      </c>
      <c r="T1149" s="57">
        <f>IFERROR(__xludf.DUMMYFUNCTION("""COMPUTED_VALUE"""),43990.0)</f>
        <v>43990</v>
      </c>
    </row>
    <row r="1150">
      <c r="A1150" s="6" t="str">
        <f>IFERROR(__xludf.DUMMYFUNCTION("""COMPUTED_VALUE"""),"201750195-5")</f>
        <v>201750195-5</v>
      </c>
      <c r="B1150" s="6" t="str">
        <f>IFERROR(__xludf.DUMMYFUNCTION("""COMPUTED_VALUE"""),"201750195 - Approved")</f>
        <v>201750195 - Approved</v>
      </c>
      <c r="C1150" s="6">
        <f>IFERROR(__xludf.DUMMYFUNCTION("""COMPUTED_VALUE"""),5.0)</f>
        <v>5</v>
      </c>
      <c r="D1150" s="6" t="str">
        <f>IFERROR(__xludf.DUMMYFUNCTION("""COMPUTED_VALUE"""),"P-50325-00")</f>
        <v>P-50325-00</v>
      </c>
      <c r="E1150" s="6" t="str">
        <f>IFERROR(__xludf.DUMMYFUNCTION("""COMPUTED_VALUE"""),"Limit Switch Z - 15GQ 22 - B 15 A / 125 / 250 VAC Highly")</f>
        <v>Limit Switch Z - 15GQ 22 - B 15 A / 125 / 250 VAC Highly</v>
      </c>
      <c r="F1150" s="6">
        <f>IFERROR(__xludf.DUMMYFUNCTION("""COMPUTED_VALUE"""),3.0)</f>
        <v>3</v>
      </c>
      <c r="G1150" s="6" t="str">
        <f>IFERROR(__xludf.DUMMYFUNCTION("""COMPUTED_VALUE"""),"Pieces")</f>
        <v>Pieces</v>
      </c>
      <c r="H1150" s="6" t="str">
        <f>IFERROR(__xludf.DUMMYFUNCTION("""COMPUTED_VALUE"""),"IDR")</f>
        <v>IDR</v>
      </c>
      <c r="I1150" s="6">
        <f>IFERROR(__xludf.DUMMYFUNCTION("""COMPUTED_VALUE"""),85000.0)</f>
        <v>85000</v>
      </c>
      <c r="J1150" s="6">
        <f>IFERROR(__xludf.DUMMYFUNCTION("""COMPUTED_VALUE"""),255000.0)</f>
        <v>255000</v>
      </c>
      <c r="K1150" s="57">
        <f>IFERROR(__xludf.DUMMYFUNCTION("""COMPUTED_VALUE"""),43982.0)</f>
        <v>43982</v>
      </c>
      <c r="L1150" s="6" t="str">
        <f>IFERROR(__xludf.DUMMYFUNCTION("""COMPUTED_VALUE"""),"FIP Engineering")</f>
        <v>FIP Engineering</v>
      </c>
      <c r="M1150" s="6" t="str">
        <f>IFERROR(__xludf.DUMMYFUNCTION("""COMPUTED_VALUE"""),"Irwan Sopian")</f>
        <v>Irwan Sopian</v>
      </c>
      <c r="N1150" s="6" t="str">
        <f>IFERROR(__xludf.DUMMYFUNCTION("""COMPUTED_VALUE"""),"FIP Engineering")</f>
        <v>FIP Engineering</v>
      </c>
      <c r="O1150" s="6" t="str">
        <f>IFERROR(__xludf.DUMMYFUNCTION("""COMPUTED_VALUE"""),"FIP-DOM-000-11304-OS00001-INA-000000")</f>
        <v>FIP-DOM-000-11304-OS00001-INA-000000</v>
      </c>
      <c r="P1150" s="6" t="str">
        <f>IFERROR(__xludf.DUMMYFUNCTION("""COMPUTED_VALUE"""),"PO Closed")</f>
        <v>PO Closed</v>
      </c>
      <c r="Q1150" s="6" t="str">
        <f>IFERROR(__xludf.DUMMYFUNCTION("""COMPUTED_VALUE"""),"GL2005024")</f>
        <v>GL2005024</v>
      </c>
      <c r="R1150" s="57">
        <f>IFERROR(__xludf.DUMMYFUNCTION("""COMPUTED_VALUE"""),43957.0)</f>
        <v>43957</v>
      </c>
      <c r="S1150" s="6" t="str">
        <f>IFERROR(__xludf.DUMMYFUNCTION("""COMPUTED_VALUE"""),"-")</f>
        <v>-</v>
      </c>
      <c r="T1150" s="57">
        <f>IFERROR(__xludf.DUMMYFUNCTION("""COMPUTED_VALUE"""),43990.0)</f>
        <v>43990</v>
      </c>
    </row>
    <row r="1151">
      <c r="A1151" s="6" t="str">
        <f>IFERROR(__xludf.DUMMYFUNCTION("""COMPUTED_VALUE"""),"201750195-6")</f>
        <v>201750195-6</v>
      </c>
      <c r="B1151" s="6" t="str">
        <f>IFERROR(__xludf.DUMMYFUNCTION("""COMPUTED_VALUE"""),"201750195 - Approved")</f>
        <v>201750195 - Approved</v>
      </c>
      <c r="C1151" s="6">
        <f>IFERROR(__xludf.DUMMYFUNCTION("""COMPUTED_VALUE"""),6.0)</f>
        <v>6</v>
      </c>
      <c r="D1151" s="6" t="str">
        <f>IFERROR(__xludf.DUMMYFUNCTION("""COMPUTED_VALUE"""),"P-50506-00")</f>
        <v>P-50506-00</v>
      </c>
      <c r="E1151" s="6" t="str">
        <f>IFERROR(__xludf.DUMMYFUNCTION("""COMPUTED_VALUE"""),"Saklar Tunggal / 250 V / Clipsal")</f>
        <v>Saklar Tunggal / 250 V / Clipsal</v>
      </c>
      <c r="F1151" s="6">
        <f>IFERROR(__xludf.DUMMYFUNCTION("""COMPUTED_VALUE"""),4.0)</f>
        <v>4</v>
      </c>
      <c r="G1151" s="6" t="str">
        <f>IFERROR(__xludf.DUMMYFUNCTION("""COMPUTED_VALUE"""),"Pieces")</f>
        <v>Pieces</v>
      </c>
      <c r="H1151" s="6" t="str">
        <f>IFERROR(__xludf.DUMMYFUNCTION("""COMPUTED_VALUE"""),"IDR")</f>
        <v>IDR</v>
      </c>
      <c r="I1151" s="6">
        <f>IFERROR(__xludf.DUMMYFUNCTION("""COMPUTED_VALUE"""),23000.0)</f>
        <v>23000</v>
      </c>
      <c r="J1151" s="6">
        <f>IFERROR(__xludf.DUMMYFUNCTION("""COMPUTED_VALUE"""),92000.0)</f>
        <v>92000</v>
      </c>
      <c r="K1151" s="57">
        <f>IFERROR(__xludf.DUMMYFUNCTION("""COMPUTED_VALUE"""),43982.0)</f>
        <v>43982</v>
      </c>
      <c r="L1151" s="6" t="str">
        <f>IFERROR(__xludf.DUMMYFUNCTION("""COMPUTED_VALUE"""),"FIP Engineering")</f>
        <v>FIP Engineering</v>
      </c>
      <c r="M1151" s="6" t="str">
        <f>IFERROR(__xludf.DUMMYFUNCTION("""COMPUTED_VALUE"""),"Irwan Sopian")</f>
        <v>Irwan Sopian</v>
      </c>
      <c r="N1151" s="6" t="str">
        <f>IFERROR(__xludf.DUMMYFUNCTION("""COMPUTED_VALUE"""),"FIP Engineering")</f>
        <v>FIP Engineering</v>
      </c>
      <c r="O1151" s="6" t="str">
        <f>IFERROR(__xludf.DUMMYFUNCTION("""COMPUTED_VALUE"""),"FIP-DOM-000-11304-OS00001-INA-000000")</f>
        <v>FIP-DOM-000-11304-OS00001-INA-000000</v>
      </c>
      <c r="P1151" s="6" t="str">
        <f>IFERROR(__xludf.DUMMYFUNCTION("""COMPUTED_VALUE"""),"PO Closed")</f>
        <v>PO Closed</v>
      </c>
      <c r="Q1151" s="6" t="str">
        <f>IFERROR(__xludf.DUMMYFUNCTION("""COMPUTED_VALUE"""),"GL2005024")</f>
        <v>GL2005024</v>
      </c>
      <c r="R1151" s="57">
        <f>IFERROR(__xludf.DUMMYFUNCTION("""COMPUTED_VALUE"""),43957.0)</f>
        <v>43957</v>
      </c>
      <c r="S1151" s="6" t="str">
        <f>IFERROR(__xludf.DUMMYFUNCTION("""COMPUTED_VALUE"""),"-")</f>
        <v>-</v>
      </c>
      <c r="T1151" s="57">
        <f>IFERROR(__xludf.DUMMYFUNCTION("""COMPUTED_VALUE"""),43990.0)</f>
        <v>43990</v>
      </c>
    </row>
    <row r="1152">
      <c r="A1152" s="6" t="str">
        <f>IFERROR(__xludf.DUMMYFUNCTION("""COMPUTED_VALUE"""),"201750195-7")</f>
        <v>201750195-7</v>
      </c>
      <c r="B1152" s="6" t="str">
        <f>IFERROR(__xludf.DUMMYFUNCTION("""COMPUTED_VALUE"""),"201750195 - Approved")</f>
        <v>201750195 - Approved</v>
      </c>
      <c r="C1152" s="6">
        <f>IFERROR(__xludf.DUMMYFUNCTION("""COMPUTED_VALUE"""),7.0)</f>
        <v>7</v>
      </c>
      <c r="D1152" s="6" t="str">
        <f>IFERROR(__xludf.DUMMYFUNCTION("""COMPUTED_VALUE"""),"P-50505-00")</f>
        <v>P-50505-00</v>
      </c>
      <c r="E1152" s="6" t="str">
        <f>IFERROR(__xludf.DUMMYFUNCTION("""COMPUTED_VALUE"""),"Saklar Seri / 250 V / Clipsal")</f>
        <v>Saklar Seri / 250 V / Clipsal</v>
      </c>
      <c r="F1152" s="6">
        <f>IFERROR(__xludf.DUMMYFUNCTION("""COMPUTED_VALUE"""),4.0)</f>
        <v>4</v>
      </c>
      <c r="G1152" s="6" t="str">
        <f>IFERROR(__xludf.DUMMYFUNCTION("""COMPUTED_VALUE"""),"Pieces")</f>
        <v>Pieces</v>
      </c>
      <c r="H1152" s="6" t="str">
        <f>IFERROR(__xludf.DUMMYFUNCTION("""COMPUTED_VALUE"""),"IDR")</f>
        <v>IDR</v>
      </c>
      <c r="I1152" s="6">
        <f>IFERROR(__xludf.DUMMYFUNCTION("""COMPUTED_VALUE"""),30000.0)</f>
        <v>30000</v>
      </c>
      <c r="J1152" s="6">
        <f>IFERROR(__xludf.DUMMYFUNCTION("""COMPUTED_VALUE"""),120000.0)</f>
        <v>120000</v>
      </c>
      <c r="K1152" s="57">
        <f>IFERROR(__xludf.DUMMYFUNCTION("""COMPUTED_VALUE"""),43982.0)</f>
        <v>43982</v>
      </c>
      <c r="L1152" s="6" t="str">
        <f>IFERROR(__xludf.DUMMYFUNCTION("""COMPUTED_VALUE"""),"FIP Engineering")</f>
        <v>FIP Engineering</v>
      </c>
      <c r="M1152" s="6" t="str">
        <f>IFERROR(__xludf.DUMMYFUNCTION("""COMPUTED_VALUE"""),"Irwan Sopian")</f>
        <v>Irwan Sopian</v>
      </c>
      <c r="N1152" s="6" t="str">
        <f>IFERROR(__xludf.DUMMYFUNCTION("""COMPUTED_VALUE"""),"FIP Engineering")</f>
        <v>FIP Engineering</v>
      </c>
      <c r="O1152" s="6" t="str">
        <f>IFERROR(__xludf.DUMMYFUNCTION("""COMPUTED_VALUE"""),"FIP-DOM-000-11304-OS00001-INA-000000")</f>
        <v>FIP-DOM-000-11304-OS00001-INA-000000</v>
      </c>
      <c r="P1152" s="6" t="str">
        <f>IFERROR(__xludf.DUMMYFUNCTION("""COMPUTED_VALUE"""),"PO Closed")</f>
        <v>PO Closed</v>
      </c>
      <c r="Q1152" s="6" t="str">
        <f>IFERROR(__xludf.DUMMYFUNCTION("""COMPUTED_VALUE"""),"GL2005024")</f>
        <v>GL2005024</v>
      </c>
      <c r="R1152" s="57">
        <f>IFERROR(__xludf.DUMMYFUNCTION("""COMPUTED_VALUE"""),43957.0)</f>
        <v>43957</v>
      </c>
      <c r="S1152" s="6" t="str">
        <f>IFERROR(__xludf.DUMMYFUNCTION("""COMPUTED_VALUE"""),"-")</f>
        <v>-</v>
      </c>
      <c r="T1152" s="57">
        <f>IFERROR(__xludf.DUMMYFUNCTION("""COMPUTED_VALUE"""),43990.0)</f>
        <v>43990</v>
      </c>
    </row>
    <row r="1153">
      <c r="A1153" s="6" t="str">
        <f>IFERROR(__xludf.DUMMYFUNCTION("""COMPUTED_VALUE"""),"201750207-1")</f>
        <v>201750207-1</v>
      </c>
      <c r="B1153" s="6" t="str">
        <f>IFERROR(__xludf.DUMMYFUNCTION("""COMPUTED_VALUE"""),"201750207 - Approved")</f>
        <v>201750207 - Approved</v>
      </c>
      <c r="C1153" s="6">
        <f>IFERROR(__xludf.DUMMYFUNCTION("""COMPUTED_VALUE"""),1.0)</f>
        <v>1</v>
      </c>
      <c r="D1153" s="6" t="str">
        <f>IFERROR(__xludf.DUMMYFUNCTION("""COMPUTED_VALUE"""),"P-12811-00")</f>
        <v>P-12811-00</v>
      </c>
      <c r="E1153" s="6" t="str">
        <f>IFERROR(__xludf.DUMMYFUNCTION("""COMPUTED_VALUE"""),"Sock Drat luar PVC AW dia 1/2inch")</f>
        <v>Sock Drat luar PVC AW dia 1/2inch</v>
      </c>
      <c r="F1153" s="6">
        <f>IFERROR(__xludf.DUMMYFUNCTION("""COMPUTED_VALUE"""),4.0)</f>
        <v>4</v>
      </c>
      <c r="G1153" s="6" t="str">
        <f>IFERROR(__xludf.DUMMYFUNCTION("""COMPUTED_VALUE"""),"Pieces")</f>
        <v>Pieces</v>
      </c>
      <c r="H1153" s="6" t="str">
        <f>IFERROR(__xludf.DUMMYFUNCTION("""COMPUTED_VALUE"""),"IDR")</f>
        <v>IDR</v>
      </c>
      <c r="I1153" s="6">
        <f>IFERROR(__xludf.DUMMYFUNCTION("""COMPUTED_VALUE"""),3000.0)</f>
        <v>3000</v>
      </c>
      <c r="J1153" s="6">
        <f>IFERROR(__xludf.DUMMYFUNCTION("""COMPUTED_VALUE"""),12000.0)</f>
        <v>12000</v>
      </c>
      <c r="K1153" s="57">
        <f>IFERROR(__xludf.DUMMYFUNCTION("""COMPUTED_VALUE"""),43982.0)</f>
        <v>43982</v>
      </c>
      <c r="L1153" s="6" t="str">
        <f>IFERROR(__xludf.DUMMYFUNCTION("""COMPUTED_VALUE"""),"FIP Engineering")</f>
        <v>FIP Engineering</v>
      </c>
      <c r="M1153" s="6" t="str">
        <f>IFERROR(__xludf.DUMMYFUNCTION("""COMPUTED_VALUE"""),"Irwan Sopian")</f>
        <v>Irwan Sopian</v>
      </c>
      <c r="N1153" s="6" t="str">
        <f>IFERROR(__xludf.DUMMYFUNCTION("""COMPUTED_VALUE"""),"FIP Engineering")</f>
        <v>FIP Engineering</v>
      </c>
      <c r="O1153" s="6" t="str">
        <f>IFERROR(__xludf.DUMMYFUNCTION("""COMPUTED_VALUE"""),"FIP-DOM-000-11304-OS00001-INA-000000")</f>
        <v>FIP-DOM-000-11304-OS00001-INA-000000</v>
      </c>
      <c r="P1153" s="6" t="str">
        <f>IFERROR(__xludf.DUMMYFUNCTION("""COMPUTED_VALUE"""),"PO Closed")</f>
        <v>PO Closed</v>
      </c>
      <c r="Q1153" s="6" t="str">
        <f>IFERROR(__xludf.DUMMYFUNCTION("""COMPUTED_VALUE"""),"GL2005030")</f>
        <v>GL2005030</v>
      </c>
      <c r="R1153" s="57">
        <f>IFERROR(__xludf.DUMMYFUNCTION("""COMPUTED_VALUE"""),43963.0)</f>
        <v>43963</v>
      </c>
      <c r="S1153" s="6" t="str">
        <f>IFERROR(__xludf.DUMMYFUNCTION("""COMPUTED_VALUE"""),"-")</f>
        <v>-</v>
      </c>
      <c r="T1153" s="57">
        <f>IFERROR(__xludf.DUMMYFUNCTION("""COMPUTED_VALUE"""),43987.0)</f>
        <v>43987</v>
      </c>
    </row>
    <row r="1154">
      <c r="A1154" s="6" t="str">
        <f>IFERROR(__xludf.DUMMYFUNCTION("""COMPUTED_VALUE"""),"201750207-2")</f>
        <v>201750207-2</v>
      </c>
      <c r="B1154" s="6" t="str">
        <f>IFERROR(__xludf.DUMMYFUNCTION("""COMPUTED_VALUE"""),"201750207 - Approved")</f>
        <v>201750207 - Approved</v>
      </c>
      <c r="C1154" s="6">
        <f>IFERROR(__xludf.DUMMYFUNCTION("""COMPUTED_VALUE"""),2.0)</f>
        <v>2</v>
      </c>
      <c r="D1154" s="6" t="str">
        <f>IFERROR(__xludf.DUMMYFUNCTION("""COMPUTED_VALUE"""),"P-10859-00")</f>
        <v>P-10859-00</v>
      </c>
      <c r="E1154" s="6" t="str">
        <f>IFERROR(__xludf.DUMMYFUNCTION("""COMPUTED_VALUE"""),"Fitting PVC - Elbow PVC 1/2"" Rucika AW")</f>
        <v>Fitting PVC - Elbow PVC 1/2" Rucika AW</v>
      </c>
      <c r="F1154" s="6">
        <f>IFERROR(__xludf.DUMMYFUNCTION("""COMPUTED_VALUE"""),5.0)</f>
        <v>5</v>
      </c>
      <c r="G1154" s="6" t="str">
        <f>IFERROR(__xludf.DUMMYFUNCTION("""COMPUTED_VALUE"""),"Pieces")</f>
        <v>Pieces</v>
      </c>
      <c r="H1154" s="6" t="str">
        <f>IFERROR(__xludf.DUMMYFUNCTION("""COMPUTED_VALUE"""),"IDR")</f>
        <v>IDR</v>
      </c>
      <c r="I1154" s="6">
        <f>IFERROR(__xludf.DUMMYFUNCTION("""COMPUTED_VALUE"""),3000.0)</f>
        <v>3000</v>
      </c>
      <c r="J1154" s="6">
        <f>IFERROR(__xludf.DUMMYFUNCTION("""COMPUTED_VALUE"""),15000.0)</f>
        <v>15000</v>
      </c>
      <c r="K1154" s="57">
        <f>IFERROR(__xludf.DUMMYFUNCTION("""COMPUTED_VALUE"""),43982.0)</f>
        <v>43982</v>
      </c>
      <c r="L1154" s="6" t="str">
        <f>IFERROR(__xludf.DUMMYFUNCTION("""COMPUTED_VALUE"""),"FIP Engineering")</f>
        <v>FIP Engineering</v>
      </c>
      <c r="M1154" s="6" t="str">
        <f>IFERROR(__xludf.DUMMYFUNCTION("""COMPUTED_VALUE"""),"Irwan Sopian")</f>
        <v>Irwan Sopian</v>
      </c>
      <c r="N1154" s="6" t="str">
        <f>IFERROR(__xludf.DUMMYFUNCTION("""COMPUTED_VALUE"""),"FIP Engineering")</f>
        <v>FIP Engineering</v>
      </c>
      <c r="O1154" s="6" t="str">
        <f>IFERROR(__xludf.DUMMYFUNCTION("""COMPUTED_VALUE"""),"FIP-DOM-000-11304-OS00001-INA-000000")</f>
        <v>FIP-DOM-000-11304-OS00001-INA-000000</v>
      </c>
      <c r="P1154" s="6" t="str">
        <f>IFERROR(__xludf.DUMMYFUNCTION("""COMPUTED_VALUE"""),"PO Closed")</f>
        <v>PO Closed</v>
      </c>
      <c r="Q1154" s="6" t="str">
        <f>IFERROR(__xludf.DUMMYFUNCTION("""COMPUTED_VALUE"""),"GL2005030")</f>
        <v>GL2005030</v>
      </c>
      <c r="R1154" s="57">
        <f>IFERROR(__xludf.DUMMYFUNCTION("""COMPUTED_VALUE"""),43963.0)</f>
        <v>43963</v>
      </c>
      <c r="S1154" s="6" t="str">
        <f>IFERROR(__xludf.DUMMYFUNCTION("""COMPUTED_VALUE"""),"-")</f>
        <v>-</v>
      </c>
      <c r="T1154" s="57">
        <f>IFERROR(__xludf.DUMMYFUNCTION("""COMPUTED_VALUE"""),43987.0)</f>
        <v>43987</v>
      </c>
    </row>
    <row r="1155">
      <c r="A1155" s="6" t="str">
        <f>IFERROR(__xludf.DUMMYFUNCTION("""COMPUTED_VALUE"""),"201750207-3")</f>
        <v>201750207-3</v>
      </c>
      <c r="B1155" s="6" t="str">
        <f>IFERROR(__xludf.DUMMYFUNCTION("""COMPUTED_VALUE"""),"201750207 - Approved")</f>
        <v>201750207 - Approved</v>
      </c>
      <c r="C1155" s="6">
        <f>IFERROR(__xludf.DUMMYFUNCTION("""COMPUTED_VALUE"""),3.0)</f>
        <v>3</v>
      </c>
      <c r="D1155" s="6" t="str">
        <f>IFERROR(__xludf.DUMMYFUNCTION("""COMPUTED_VALUE"""),"P-12750-00")</f>
        <v>P-12750-00</v>
      </c>
      <c r="E1155" s="6" t="str">
        <f>IFERROR(__xludf.DUMMYFUNCTION("""COMPUTED_VALUE"""),"RUCIKA - Pipa PVC aw dia 1/2inch")</f>
        <v>RUCIKA - Pipa PVC aw dia 1/2inch</v>
      </c>
      <c r="F1155" s="6">
        <f>IFERROR(__xludf.DUMMYFUNCTION("""COMPUTED_VALUE"""),2.0)</f>
        <v>2</v>
      </c>
      <c r="G1155" s="6" t="str">
        <f>IFERROR(__xludf.DUMMYFUNCTION("""COMPUTED_VALUE"""),"Pieces")</f>
        <v>Pieces</v>
      </c>
      <c r="H1155" s="6" t="str">
        <f>IFERROR(__xludf.DUMMYFUNCTION("""COMPUTED_VALUE"""),"IDR")</f>
        <v>IDR</v>
      </c>
      <c r="I1155" s="6">
        <f>IFERROR(__xludf.DUMMYFUNCTION("""COMPUTED_VALUE"""),43000.0)</f>
        <v>43000</v>
      </c>
      <c r="J1155" s="6">
        <f>IFERROR(__xludf.DUMMYFUNCTION("""COMPUTED_VALUE"""),86000.0)</f>
        <v>86000</v>
      </c>
      <c r="K1155" s="57">
        <f>IFERROR(__xludf.DUMMYFUNCTION("""COMPUTED_VALUE"""),43982.0)</f>
        <v>43982</v>
      </c>
      <c r="L1155" s="6" t="str">
        <f>IFERROR(__xludf.DUMMYFUNCTION("""COMPUTED_VALUE"""),"FIP Engineering")</f>
        <v>FIP Engineering</v>
      </c>
      <c r="M1155" s="6" t="str">
        <f>IFERROR(__xludf.DUMMYFUNCTION("""COMPUTED_VALUE"""),"Irwan Sopian")</f>
        <v>Irwan Sopian</v>
      </c>
      <c r="N1155" s="6" t="str">
        <f>IFERROR(__xludf.DUMMYFUNCTION("""COMPUTED_VALUE"""),"FIP Engineering")</f>
        <v>FIP Engineering</v>
      </c>
      <c r="O1155" s="6" t="str">
        <f>IFERROR(__xludf.DUMMYFUNCTION("""COMPUTED_VALUE"""),"FIP-DOM-000-11304-OS00001-INA-000000")</f>
        <v>FIP-DOM-000-11304-OS00001-INA-000000</v>
      </c>
      <c r="P1155" s="6" t="str">
        <f>IFERROR(__xludf.DUMMYFUNCTION("""COMPUTED_VALUE"""),"PO Closed")</f>
        <v>PO Closed</v>
      </c>
      <c r="Q1155" s="6" t="str">
        <f>IFERROR(__xludf.DUMMYFUNCTION("""COMPUTED_VALUE"""),"GL2005030")</f>
        <v>GL2005030</v>
      </c>
      <c r="R1155" s="57">
        <f>IFERROR(__xludf.DUMMYFUNCTION("""COMPUTED_VALUE"""),43963.0)</f>
        <v>43963</v>
      </c>
      <c r="S1155" s="6" t="str">
        <f>IFERROR(__xludf.DUMMYFUNCTION("""COMPUTED_VALUE"""),"-")</f>
        <v>-</v>
      </c>
      <c r="T1155" s="57">
        <f>IFERROR(__xludf.DUMMYFUNCTION("""COMPUTED_VALUE"""),43987.0)</f>
        <v>43987</v>
      </c>
    </row>
    <row r="1156">
      <c r="A1156" s="6" t="str">
        <f>IFERROR(__xludf.DUMMYFUNCTION("""COMPUTED_VALUE"""),"201750207-4")</f>
        <v>201750207-4</v>
      </c>
      <c r="B1156" s="6" t="str">
        <f>IFERROR(__xludf.DUMMYFUNCTION("""COMPUTED_VALUE"""),"201750207 - Approved")</f>
        <v>201750207 - Approved</v>
      </c>
      <c r="C1156" s="6">
        <f>IFERROR(__xludf.DUMMYFUNCTION("""COMPUTED_VALUE"""),4.0)</f>
        <v>4</v>
      </c>
      <c r="D1156" s="6" t="str">
        <f>IFERROR(__xludf.DUMMYFUNCTION("""COMPUTED_VALUE"""),"P-12819-00")</f>
        <v>P-12819-00</v>
      </c>
      <c r="E1156" s="6" t="str">
        <f>IFERROR(__xludf.DUMMYFUNCTION("""COMPUTED_VALUE"""),"Sock PVC AW dia 1/2inch")</f>
        <v>Sock PVC AW dia 1/2inch</v>
      </c>
      <c r="F1156" s="6">
        <f>IFERROR(__xludf.DUMMYFUNCTION("""COMPUTED_VALUE"""),8.0)</f>
        <v>8</v>
      </c>
      <c r="G1156" s="6" t="str">
        <f>IFERROR(__xludf.DUMMYFUNCTION("""COMPUTED_VALUE"""),"Pieces")</f>
        <v>Pieces</v>
      </c>
      <c r="H1156" s="6" t="str">
        <f>IFERROR(__xludf.DUMMYFUNCTION("""COMPUTED_VALUE"""),"IDR")</f>
        <v>IDR</v>
      </c>
      <c r="I1156" s="6">
        <f>IFERROR(__xludf.DUMMYFUNCTION("""COMPUTED_VALUE"""),3000.0)</f>
        <v>3000</v>
      </c>
      <c r="J1156" s="6">
        <f>IFERROR(__xludf.DUMMYFUNCTION("""COMPUTED_VALUE"""),24000.0)</f>
        <v>24000</v>
      </c>
      <c r="K1156" s="57">
        <f>IFERROR(__xludf.DUMMYFUNCTION("""COMPUTED_VALUE"""),43982.0)</f>
        <v>43982</v>
      </c>
      <c r="L1156" s="6" t="str">
        <f>IFERROR(__xludf.DUMMYFUNCTION("""COMPUTED_VALUE"""),"FIP Engineering")</f>
        <v>FIP Engineering</v>
      </c>
      <c r="M1156" s="6" t="str">
        <f>IFERROR(__xludf.DUMMYFUNCTION("""COMPUTED_VALUE"""),"Irwan Sopian")</f>
        <v>Irwan Sopian</v>
      </c>
      <c r="N1156" s="6" t="str">
        <f>IFERROR(__xludf.DUMMYFUNCTION("""COMPUTED_VALUE"""),"FIP Engineering")</f>
        <v>FIP Engineering</v>
      </c>
      <c r="O1156" s="6" t="str">
        <f>IFERROR(__xludf.DUMMYFUNCTION("""COMPUTED_VALUE"""),"FIP-DOM-000-11304-OS00001-INA-000000")</f>
        <v>FIP-DOM-000-11304-OS00001-INA-000000</v>
      </c>
      <c r="P1156" s="6" t="str">
        <f>IFERROR(__xludf.DUMMYFUNCTION("""COMPUTED_VALUE"""),"PO Closed")</f>
        <v>PO Closed</v>
      </c>
      <c r="Q1156" s="6" t="str">
        <f>IFERROR(__xludf.DUMMYFUNCTION("""COMPUTED_VALUE"""),"GL2005030")</f>
        <v>GL2005030</v>
      </c>
      <c r="R1156" s="57">
        <f>IFERROR(__xludf.DUMMYFUNCTION("""COMPUTED_VALUE"""),43963.0)</f>
        <v>43963</v>
      </c>
      <c r="S1156" s="6" t="str">
        <f>IFERROR(__xludf.DUMMYFUNCTION("""COMPUTED_VALUE"""),"-")</f>
        <v>-</v>
      </c>
      <c r="T1156" s="57">
        <f>IFERROR(__xludf.DUMMYFUNCTION("""COMPUTED_VALUE"""),43987.0)</f>
        <v>43987</v>
      </c>
    </row>
    <row r="1157">
      <c r="A1157" s="6" t="str">
        <f>IFERROR(__xludf.DUMMYFUNCTION("""COMPUTED_VALUE"""),"201750207-5")</f>
        <v>201750207-5</v>
      </c>
      <c r="B1157" s="6" t="str">
        <f>IFERROR(__xludf.DUMMYFUNCTION("""COMPUTED_VALUE"""),"201750207 - Approved")</f>
        <v>201750207 - Approved</v>
      </c>
      <c r="C1157" s="6">
        <f>IFERROR(__xludf.DUMMYFUNCTION("""COMPUTED_VALUE"""),5.0)</f>
        <v>5</v>
      </c>
      <c r="D1157" s="6" t="str">
        <f>IFERROR(__xludf.DUMMYFUNCTION("""COMPUTED_VALUE"""),"P-12470-00")</f>
        <v>P-12470-00</v>
      </c>
      <c r="E1157" s="6" t="str">
        <f>IFERROR(__xludf.DUMMYFUNCTION("""COMPUTED_VALUE"""),"Lem PVC Isarplas 300 gr/kaleng")</f>
        <v>Lem PVC Isarplas 300 gr/kaleng</v>
      </c>
      <c r="F1157" s="6">
        <f>IFERROR(__xludf.DUMMYFUNCTION("""COMPUTED_VALUE"""),1.0)</f>
        <v>1</v>
      </c>
      <c r="G1157" s="6" t="str">
        <f>IFERROR(__xludf.DUMMYFUNCTION("""COMPUTED_VALUE"""),"Pieces")</f>
        <v>Pieces</v>
      </c>
      <c r="H1157" s="6" t="str">
        <f>IFERROR(__xludf.DUMMYFUNCTION("""COMPUTED_VALUE"""),"IDR")</f>
        <v>IDR</v>
      </c>
      <c r="I1157" s="6">
        <f>IFERROR(__xludf.DUMMYFUNCTION("""COMPUTED_VALUE"""),45000.0)</f>
        <v>45000</v>
      </c>
      <c r="J1157" s="6">
        <f>IFERROR(__xludf.DUMMYFUNCTION("""COMPUTED_VALUE"""),45000.0)</f>
        <v>45000</v>
      </c>
      <c r="K1157" s="57">
        <f>IFERROR(__xludf.DUMMYFUNCTION("""COMPUTED_VALUE"""),43982.0)</f>
        <v>43982</v>
      </c>
      <c r="L1157" s="6" t="str">
        <f>IFERROR(__xludf.DUMMYFUNCTION("""COMPUTED_VALUE"""),"FIP Engineering")</f>
        <v>FIP Engineering</v>
      </c>
      <c r="M1157" s="6" t="str">
        <f>IFERROR(__xludf.DUMMYFUNCTION("""COMPUTED_VALUE"""),"Irwan Sopian")</f>
        <v>Irwan Sopian</v>
      </c>
      <c r="N1157" s="6" t="str">
        <f>IFERROR(__xludf.DUMMYFUNCTION("""COMPUTED_VALUE"""),"FIP Engineering")</f>
        <v>FIP Engineering</v>
      </c>
      <c r="O1157" s="6" t="str">
        <f>IFERROR(__xludf.DUMMYFUNCTION("""COMPUTED_VALUE"""),"FIP-DOM-000-11304-OS00001-INA-000000")</f>
        <v>FIP-DOM-000-11304-OS00001-INA-000000</v>
      </c>
      <c r="P1157" s="6" t="str">
        <f>IFERROR(__xludf.DUMMYFUNCTION("""COMPUTED_VALUE"""),"PO Closed")</f>
        <v>PO Closed</v>
      </c>
      <c r="Q1157" s="6" t="str">
        <f>IFERROR(__xludf.DUMMYFUNCTION("""COMPUTED_VALUE"""),"GL2005030")</f>
        <v>GL2005030</v>
      </c>
      <c r="R1157" s="57">
        <f>IFERROR(__xludf.DUMMYFUNCTION("""COMPUTED_VALUE"""),43963.0)</f>
        <v>43963</v>
      </c>
      <c r="S1157" s="6" t="str">
        <f>IFERROR(__xludf.DUMMYFUNCTION("""COMPUTED_VALUE"""),"-")</f>
        <v>-</v>
      </c>
      <c r="T1157" s="57">
        <f>IFERROR(__xludf.DUMMYFUNCTION("""COMPUTED_VALUE"""),43987.0)</f>
        <v>43987</v>
      </c>
    </row>
    <row r="1158">
      <c r="A1158" s="6" t="str">
        <f>IFERROR(__xludf.DUMMYFUNCTION("""COMPUTED_VALUE"""),"201750207-6")</f>
        <v>201750207-6</v>
      </c>
      <c r="B1158" s="6" t="str">
        <f>IFERROR(__xludf.DUMMYFUNCTION("""COMPUTED_VALUE"""),"201750207 - Approved")</f>
        <v>201750207 - Approved</v>
      </c>
      <c r="C1158" s="6">
        <f>IFERROR(__xludf.DUMMYFUNCTION("""COMPUTED_VALUE"""),6.0)</f>
        <v>6</v>
      </c>
      <c r="D1158" s="6" t="str">
        <f>IFERROR(__xludf.DUMMYFUNCTION("""COMPUTED_VALUE"""),"P-52000-00")</f>
        <v>P-52000-00</v>
      </c>
      <c r="E1158" s="6" t="str">
        <f>IFERROR(__xludf.DUMMYFUNCTION("""COMPUTED_VALUE"""),"Mata Solder")</f>
        <v>Mata Solder</v>
      </c>
      <c r="F1158" s="6">
        <f>IFERROR(__xludf.DUMMYFUNCTION("""COMPUTED_VALUE"""),2.0)</f>
        <v>2</v>
      </c>
      <c r="G1158" s="6" t="str">
        <f>IFERROR(__xludf.DUMMYFUNCTION("""COMPUTED_VALUE"""),"Pieces")</f>
        <v>Pieces</v>
      </c>
      <c r="H1158" s="6" t="str">
        <f>IFERROR(__xludf.DUMMYFUNCTION("""COMPUTED_VALUE"""),"IDR")</f>
        <v>IDR</v>
      </c>
      <c r="I1158" s="6">
        <f>IFERROR(__xludf.DUMMYFUNCTION("""COMPUTED_VALUE"""),22500.0)</f>
        <v>22500</v>
      </c>
      <c r="J1158" s="6">
        <f>IFERROR(__xludf.DUMMYFUNCTION("""COMPUTED_VALUE"""),45000.0)</f>
        <v>45000</v>
      </c>
      <c r="K1158" s="57">
        <f>IFERROR(__xludf.DUMMYFUNCTION("""COMPUTED_VALUE"""),43982.0)</f>
        <v>43982</v>
      </c>
      <c r="L1158" s="6" t="str">
        <f>IFERROR(__xludf.DUMMYFUNCTION("""COMPUTED_VALUE"""),"FIP Engineering")</f>
        <v>FIP Engineering</v>
      </c>
      <c r="M1158" s="6" t="str">
        <f>IFERROR(__xludf.DUMMYFUNCTION("""COMPUTED_VALUE"""),"Irwan Sopian")</f>
        <v>Irwan Sopian</v>
      </c>
      <c r="N1158" s="6" t="str">
        <f>IFERROR(__xludf.DUMMYFUNCTION("""COMPUTED_VALUE"""),"FIP Engineering")</f>
        <v>FIP Engineering</v>
      </c>
      <c r="O1158" s="6" t="str">
        <f>IFERROR(__xludf.DUMMYFUNCTION("""COMPUTED_VALUE"""),"FIP-DOM-000-11304-OS00001-INA-000000")</f>
        <v>FIP-DOM-000-11304-OS00001-INA-000000</v>
      </c>
      <c r="P1158" s="6" t="str">
        <f>IFERROR(__xludf.DUMMYFUNCTION("""COMPUTED_VALUE"""),"PO Closed")</f>
        <v>PO Closed</v>
      </c>
      <c r="Q1158" s="6" t="str">
        <f>IFERROR(__xludf.DUMMYFUNCTION("""COMPUTED_VALUE"""),"GL2005030")</f>
        <v>GL2005030</v>
      </c>
      <c r="R1158" s="57">
        <f>IFERROR(__xludf.DUMMYFUNCTION("""COMPUTED_VALUE"""),43963.0)</f>
        <v>43963</v>
      </c>
      <c r="S1158" s="6" t="str">
        <f>IFERROR(__xludf.DUMMYFUNCTION("""COMPUTED_VALUE"""),"-")</f>
        <v>-</v>
      </c>
      <c r="T1158" s="57">
        <f>IFERROR(__xludf.DUMMYFUNCTION("""COMPUTED_VALUE"""),43987.0)</f>
        <v>43987</v>
      </c>
    </row>
    <row r="1159">
      <c r="A1159" s="6" t="str">
        <f>IFERROR(__xludf.DUMMYFUNCTION("""COMPUTED_VALUE"""),"201750206-2")</f>
        <v>201750206-2</v>
      </c>
      <c r="B1159" s="6" t="str">
        <f>IFERROR(__xludf.DUMMYFUNCTION("""COMPUTED_VALUE"""),"201750206 - Approved")</f>
        <v>201750206 - Approved</v>
      </c>
      <c r="C1159" s="6">
        <f>IFERROR(__xludf.DUMMYFUNCTION("""COMPUTED_VALUE"""),2.0)</f>
        <v>2</v>
      </c>
      <c r="D1159" s="6" t="str">
        <f>IFERROR(__xludf.DUMMYFUNCTION("""COMPUTED_VALUE"""),"Q-11000-00")</f>
        <v>Q-11000-00</v>
      </c>
      <c r="E1159" s="6" t="str">
        <f>IFERROR(__xludf.DUMMYFUNCTION("""COMPUTED_VALUE"""),"Perbaikan Lampu Warehouse 2 pc yang mati")</f>
        <v>Perbaikan Lampu Warehouse 2 pc yang mati</v>
      </c>
      <c r="F1159" s="6">
        <f>IFERROR(__xludf.DUMMYFUNCTION("""COMPUTED_VALUE"""),1.0)</f>
        <v>1</v>
      </c>
      <c r="G1159" s="6" t="str">
        <f>IFERROR(__xludf.DUMMYFUNCTION("""COMPUTED_VALUE"""),"Lot")</f>
        <v>Lot</v>
      </c>
      <c r="H1159" s="6" t="str">
        <f>IFERROR(__xludf.DUMMYFUNCTION("""COMPUTED_VALUE"""),"IDR")</f>
        <v>IDR</v>
      </c>
      <c r="I1159" s="6">
        <f>IFERROR(__xludf.DUMMYFUNCTION("""COMPUTED_VALUE"""),2134650.0)</f>
        <v>2134650</v>
      </c>
      <c r="J1159" s="6">
        <f>IFERROR(__xludf.DUMMYFUNCTION("""COMPUTED_VALUE"""),2134650.0)</f>
        <v>2134650</v>
      </c>
      <c r="K1159" s="57">
        <f>IFERROR(__xludf.DUMMYFUNCTION("""COMPUTED_VALUE"""),44012.0)</f>
        <v>44012</v>
      </c>
      <c r="L1159" s="6" t="str">
        <f>IFERROR(__xludf.DUMMYFUNCTION("""COMPUTED_VALUE"""),"FIP General")</f>
        <v>FIP General</v>
      </c>
      <c r="M1159" s="6" t="str">
        <f>IFERROR(__xludf.DUMMYFUNCTION("""COMPUTED_VALUE"""),"Irwan Sopian")</f>
        <v>Irwan Sopian</v>
      </c>
      <c r="N1159" s="6" t="str">
        <f>IFERROR(__xludf.DUMMYFUNCTION("""COMPUTED_VALUE"""),"FIP Engineering")</f>
        <v>FIP Engineering</v>
      </c>
      <c r="O1159" s="6" t="str">
        <f>IFERROR(__xludf.DUMMYFUNCTION("""COMPUTED_VALUE"""),"FIP-DOM-ENG-51502-0000000-INA-000000")</f>
        <v>FIP-DOM-ENG-51502-0000000-INA-000000</v>
      </c>
      <c r="P1159" s="6" t="str">
        <f>IFERROR(__xludf.DUMMYFUNCTION("""COMPUTED_VALUE"""),"PO Closed")</f>
        <v>PO Closed</v>
      </c>
      <c r="Q1159" s="6" t="str">
        <f>IFERROR(__xludf.DUMMYFUNCTION("""COMPUTED_VALUE"""),"GL2006051")</f>
        <v>GL2006051</v>
      </c>
      <c r="R1159" s="57">
        <f>IFERROR(__xludf.DUMMYFUNCTION("""COMPUTED_VALUE"""),43963.0)</f>
        <v>43963</v>
      </c>
      <c r="S1159" s="6" t="str">
        <f>IFERROR(__xludf.DUMMYFUNCTION("""COMPUTED_VALUE"""),"-")</f>
        <v>-</v>
      </c>
      <c r="T1159" s="57">
        <f>IFERROR(__xludf.DUMMYFUNCTION("""COMPUTED_VALUE"""),44025.0)</f>
        <v>44025</v>
      </c>
    </row>
    <row r="1160">
      <c r="A1160" s="6" t="str">
        <f>IFERROR(__xludf.DUMMYFUNCTION("""COMPUTED_VALUE"""),"201750206-3")</f>
        <v>201750206-3</v>
      </c>
      <c r="B1160" s="6" t="str">
        <f>IFERROR(__xludf.DUMMYFUNCTION("""COMPUTED_VALUE"""),"201750206 - Approved")</f>
        <v>201750206 - Approved</v>
      </c>
      <c r="C1160" s="6">
        <f>IFERROR(__xludf.DUMMYFUNCTION("""COMPUTED_VALUE"""),3.0)</f>
        <v>3</v>
      </c>
      <c r="D1160" s="6" t="str">
        <f>IFERROR(__xludf.DUMMYFUNCTION("""COMPUTED_VALUE"""),"Q-11000-00")</f>
        <v>Q-11000-00</v>
      </c>
      <c r="E1160" s="6" t="str">
        <f>IFERROR(__xludf.DUMMYFUNCTION("""COMPUTED_VALUE"""),"Perbaikan mesh protector burung yang sudah rapuh area Warehouse dan AHU Lt4")</f>
        <v>Perbaikan mesh protector burung yang sudah rapuh area Warehouse dan AHU Lt4</v>
      </c>
      <c r="F1160" s="6">
        <f>IFERROR(__xludf.DUMMYFUNCTION("""COMPUTED_VALUE"""),1.0)</f>
        <v>1</v>
      </c>
      <c r="G1160" s="6" t="str">
        <f>IFERROR(__xludf.DUMMYFUNCTION("""COMPUTED_VALUE"""),"Lot")</f>
        <v>Lot</v>
      </c>
      <c r="H1160" s="6" t="str">
        <f>IFERROR(__xludf.DUMMYFUNCTION("""COMPUTED_VALUE"""),"IDR")</f>
        <v>IDR</v>
      </c>
      <c r="I1160" s="6">
        <f>IFERROR(__xludf.DUMMYFUNCTION("""COMPUTED_VALUE"""),4785000.0)</f>
        <v>4785000</v>
      </c>
      <c r="J1160" s="6">
        <f>IFERROR(__xludf.DUMMYFUNCTION("""COMPUTED_VALUE"""),4785000.0)</f>
        <v>4785000</v>
      </c>
      <c r="K1160" s="57">
        <f>IFERROR(__xludf.DUMMYFUNCTION("""COMPUTED_VALUE"""),44012.0)</f>
        <v>44012</v>
      </c>
      <c r="L1160" s="6" t="str">
        <f>IFERROR(__xludf.DUMMYFUNCTION("""COMPUTED_VALUE"""),"FIP General")</f>
        <v>FIP General</v>
      </c>
      <c r="M1160" s="6" t="str">
        <f>IFERROR(__xludf.DUMMYFUNCTION("""COMPUTED_VALUE"""),"Irwan Sopian")</f>
        <v>Irwan Sopian</v>
      </c>
      <c r="N1160" s="6" t="str">
        <f>IFERROR(__xludf.DUMMYFUNCTION("""COMPUTED_VALUE"""),"FIP Engineering")</f>
        <v>FIP Engineering</v>
      </c>
      <c r="O1160" s="6" t="str">
        <f>IFERROR(__xludf.DUMMYFUNCTION("""COMPUTED_VALUE"""),"FIP-DOM-ENG-51502-0000000-INA-000000")</f>
        <v>FIP-DOM-ENG-51502-0000000-INA-000000</v>
      </c>
      <c r="P1160" s="6" t="str">
        <f>IFERROR(__xludf.DUMMYFUNCTION("""COMPUTED_VALUE"""),"PO Closed")</f>
        <v>PO Closed</v>
      </c>
      <c r="Q1160" s="6" t="str">
        <f>IFERROR(__xludf.DUMMYFUNCTION("""COMPUTED_VALUE"""),"GL2006050")</f>
        <v>GL2006050</v>
      </c>
      <c r="R1160" s="57">
        <f>IFERROR(__xludf.DUMMYFUNCTION("""COMPUTED_VALUE"""),43963.0)</f>
        <v>43963</v>
      </c>
      <c r="S1160" s="6" t="str">
        <f>IFERROR(__xludf.DUMMYFUNCTION("""COMPUTED_VALUE"""),"-")</f>
        <v>-</v>
      </c>
      <c r="T1160" s="57">
        <f>IFERROR(__xludf.DUMMYFUNCTION("""COMPUTED_VALUE"""),44025.0)</f>
        <v>44025</v>
      </c>
    </row>
    <row r="1161">
      <c r="A1161" s="6" t="str">
        <f>IFERROR(__xludf.DUMMYFUNCTION("""COMPUTED_VALUE"""),"201750209-1")</f>
        <v>201750209-1</v>
      </c>
      <c r="B1161" s="6" t="str">
        <f>IFERROR(__xludf.DUMMYFUNCTION("""COMPUTED_VALUE"""),"201750209 - Approved")</f>
        <v>201750209 - Approved</v>
      </c>
      <c r="C1161" s="6">
        <f>IFERROR(__xludf.DUMMYFUNCTION("""COMPUTED_VALUE"""),1.0)</f>
        <v>1</v>
      </c>
      <c r="D1161" s="6" t="str">
        <f>IFERROR(__xludf.DUMMYFUNCTION("""COMPUTED_VALUE"""),"O-16949-00")</f>
        <v>O-16949-00</v>
      </c>
      <c r="E1161" s="6" t="str">
        <f>IFERROR(__xludf.DUMMYFUNCTION("""COMPUTED_VALUE"""),"Hepa Filter - H14 ( 99.999% ) size: 457x305x150")</f>
        <v>Hepa Filter - H14 ( 99.999% ) size: 457x305x150</v>
      </c>
      <c r="F1161" s="6">
        <f>IFERROR(__xludf.DUMMYFUNCTION("""COMPUTED_VALUE"""),1.0)</f>
        <v>1</v>
      </c>
      <c r="G1161" s="6" t="str">
        <f>IFERROR(__xludf.DUMMYFUNCTION("""COMPUTED_VALUE"""),"Pieces")</f>
        <v>Pieces</v>
      </c>
      <c r="H1161" s="6" t="str">
        <f>IFERROR(__xludf.DUMMYFUNCTION("""COMPUTED_VALUE"""),"IDR")</f>
        <v>IDR</v>
      </c>
      <c r="I1161" s="6">
        <f>IFERROR(__xludf.DUMMYFUNCTION("""COMPUTED_VALUE"""),1408000.0)</f>
        <v>1408000</v>
      </c>
      <c r="J1161" s="6">
        <f>IFERROR(__xludf.DUMMYFUNCTION("""COMPUTED_VALUE"""),1408000.0)</f>
        <v>1408000</v>
      </c>
      <c r="K1161" s="57">
        <f>IFERROR(__xludf.DUMMYFUNCTION("""COMPUTED_VALUE"""),43987.0)</f>
        <v>43987</v>
      </c>
      <c r="L1161" s="6" t="str">
        <f>IFERROR(__xludf.DUMMYFUNCTION("""COMPUTED_VALUE"""),"FIP Engineering")</f>
        <v>FIP Engineering</v>
      </c>
      <c r="M1161" s="6" t="str">
        <f>IFERROR(__xludf.DUMMYFUNCTION("""COMPUTED_VALUE"""),"Irwan Sopian")</f>
        <v>Irwan Sopian</v>
      </c>
      <c r="N1161" s="6" t="str">
        <f>IFERROR(__xludf.DUMMYFUNCTION("""COMPUTED_VALUE"""),"FIP Engineering")</f>
        <v>FIP Engineering</v>
      </c>
      <c r="O1161" s="6" t="str">
        <f>IFERROR(__xludf.DUMMYFUNCTION("""COMPUTED_VALUE"""),"FIP-DOM-000-11304-OS00001-INA-000000")</f>
        <v>FIP-DOM-000-11304-OS00001-INA-000000</v>
      </c>
      <c r="P1161" s="6" t="str">
        <f>IFERROR(__xludf.DUMMYFUNCTION("""COMPUTED_VALUE"""),"PO Closed")</f>
        <v>PO Closed</v>
      </c>
      <c r="Q1161" s="6" t="str">
        <f>IFERROR(__xludf.DUMMYFUNCTION("""COMPUTED_VALUE"""),"GL2005029")</f>
        <v>GL2005029</v>
      </c>
      <c r="R1161" s="57">
        <f>IFERROR(__xludf.DUMMYFUNCTION("""COMPUTED_VALUE"""),43964.0)</f>
        <v>43964</v>
      </c>
      <c r="S1161" s="6" t="str">
        <f>IFERROR(__xludf.DUMMYFUNCTION("""COMPUTED_VALUE"""),"-")</f>
        <v>-</v>
      </c>
      <c r="T1161" s="57">
        <f>IFERROR(__xludf.DUMMYFUNCTION("""COMPUTED_VALUE"""),44001.0)</f>
        <v>44001</v>
      </c>
    </row>
    <row r="1162">
      <c r="A1162" s="6" t="str">
        <f>IFERROR(__xludf.DUMMYFUNCTION("""COMPUTED_VALUE"""),"201750208-1")</f>
        <v>201750208-1</v>
      </c>
      <c r="B1162" s="6" t="str">
        <f>IFERROR(__xludf.DUMMYFUNCTION("""COMPUTED_VALUE"""),"201750208 - Approved")</f>
        <v>201750208 - Approved</v>
      </c>
      <c r="C1162" s="6">
        <f>IFERROR(__xludf.DUMMYFUNCTION("""COMPUTED_VALUE"""),1.0)</f>
        <v>1</v>
      </c>
      <c r="D1162" s="6" t="str">
        <f>IFERROR(__xludf.DUMMYFUNCTION("""COMPUTED_VALUE"""),"O-51000-00")</f>
        <v>O-51000-00</v>
      </c>
      <c r="E1162" s="6" t="str">
        <f>IFERROR(__xludf.DUMMYFUNCTION("""COMPUTED_VALUE"""),"Colamark - Print Head for Part TTO Domino p/n EPP001359 SP")</f>
        <v>Colamark - Print Head for Part TTO Domino p/n EPP001359 SP</v>
      </c>
      <c r="F1162" s="6">
        <f>IFERROR(__xludf.DUMMYFUNCTION("""COMPUTED_VALUE"""),1.0)</f>
        <v>1</v>
      </c>
      <c r="G1162" s="6" t="str">
        <f>IFERROR(__xludf.DUMMYFUNCTION("""COMPUTED_VALUE"""),"Pieces")</f>
        <v>Pieces</v>
      </c>
      <c r="H1162" s="6" t="str">
        <f>IFERROR(__xludf.DUMMYFUNCTION("""COMPUTED_VALUE"""),"IDR")</f>
        <v>IDR</v>
      </c>
      <c r="I1162" s="6">
        <f>IFERROR(__xludf.DUMMYFUNCTION("""COMPUTED_VALUE"""),1.12E7)</f>
        <v>11200000</v>
      </c>
      <c r="J1162" s="6">
        <f>IFERROR(__xludf.DUMMYFUNCTION("""COMPUTED_VALUE"""),1.12E7)</f>
        <v>11200000</v>
      </c>
      <c r="K1162" s="57">
        <f>IFERROR(__xludf.DUMMYFUNCTION("""COMPUTED_VALUE"""),43982.0)</f>
        <v>43982</v>
      </c>
      <c r="L1162" s="6" t="str">
        <f>IFERROR(__xludf.DUMMYFUNCTION("""COMPUTED_VALUE"""),"FIP General")</f>
        <v>FIP General</v>
      </c>
      <c r="M1162" s="6" t="str">
        <f>IFERROR(__xludf.DUMMYFUNCTION("""COMPUTED_VALUE"""),"Irwan Sopian")</f>
        <v>Irwan Sopian</v>
      </c>
      <c r="N1162" s="6" t="str">
        <f>IFERROR(__xludf.DUMMYFUNCTION("""COMPUTED_VALUE"""),"FIP Engineering")</f>
        <v>FIP Engineering</v>
      </c>
      <c r="O1162" s="6" t="str">
        <f>IFERROR(__xludf.DUMMYFUNCTION("""COMPUTED_VALUE"""),"FIP-DOM-ENG-51504-0000000-INA-000000")</f>
        <v>FIP-DOM-ENG-51504-0000000-INA-000000</v>
      </c>
      <c r="P1162" s="6" t="str">
        <f>IFERROR(__xludf.DUMMYFUNCTION("""COMPUTED_VALUE"""),"PO Closed")</f>
        <v>PO Closed</v>
      </c>
      <c r="Q1162" s="6" t="str">
        <f>IFERROR(__xludf.DUMMYFUNCTION("""COMPUTED_VALUE"""),"GL2005021")</f>
        <v>GL2005021</v>
      </c>
      <c r="R1162" s="57">
        <f>IFERROR(__xludf.DUMMYFUNCTION("""COMPUTED_VALUE"""),43964.0)</f>
        <v>43964</v>
      </c>
      <c r="S1162" s="6" t="str">
        <f>IFERROR(__xludf.DUMMYFUNCTION("""COMPUTED_VALUE"""),"-")</f>
        <v>-</v>
      </c>
      <c r="T1162" s="57">
        <f>IFERROR(__xludf.DUMMYFUNCTION("""COMPUTED_VALUE"""),43982.0)</f>
        <v>43982</v>
      </c>
    </row>
    <row r="1163">
      <c r="A1163" s="6" t="str">
        <f>IFERROR(__xludf.DUMMYFUNCTION("""COMPUTED_VALUE"""),"201750207-7")</f>
        <v>201750207-7</v>
      </c>
      <c r="B1163" s="6" t="str">
        <f>IFERROR(__xludf.DUMMYFUNCTION("""COMPUTED_VALUE"""),"201750207 - Approved")</f>
        <v>201750207 - Approved</v>
      </c>
      <c r="C1163" s="6">
        <f>IFERROR(__xludf.DUMMYFUNCTION("""COMPUTED_VALUE"""),7.0)</f>
        <v>7</v>
      </c>
      <c r="D1163" s="6" t="str">
        <f>IFERROR(__xludf.DUMMYFUNCTION("""COMPUTED_VALUE"""),"O-51157-00")</f>
        <v>O-51157-00</v>
      </c>
      <c r="E1163" s="6" t="str">
        <f>IFERROR(__xludf.DUMMYFUNCTION("""COMPUTED_VALUE"""),"Fuse Keramik 6A 10x38")</f>
        <v>Fuse Keramik 6A 10x38</v>
      </c>
      <c r="F1163" s="6">
        <f>IFERROR(__xludf.DUMMYFUNCTION("""COMPUTED_VALUE"""),5.0)</f>
        <v>5</v>
      </c>
      <c r="G1163" s="6" t="str">
        <f>IFERROR(__xludf.DUMMYFUNCTION("""COMPUTED_VALUE"""),"Pieces")</f>
        <v>Pieces</v>
      </c>
      <c r="H1163" s="6" t="str">
        <f>IFERROR(__xludf.DUMMYFUNCTION("""COMPUTED_VALUE"""),"IDR")</f>
        <v>IDR</v>
      </c>
      <c r="I1163" s="6">
        <f>IFERROR(__xludf.DUMMYFUNCTION("""COMPUTED_VALUE"""),10000.0)</f>
        <v>10000</v>
      </c>
      <c r="J1163" s="6">
        <f>IFERROR(__xludf.DUMMYFUNCTION("""COMPUTED_VALUE"""),50000.0)</f>
        <v>50000</v>
      </c>
      <c r="K1163" s="57">
        <f>IFERROR(__xludf.DUMMYFUNCTION("""COMPUTED_VALUE"""),43982.0)</f>
        <v>43982</v>
      </c>
      <c r="L1163" s="6" t="str">
        <f>IFERROR(__xludf.DUMMYFUNCTION("""COMPUTED_VALUE"""),"FIP Engineering")</f>
        <v>FIP Engineering</v>
      </c>
      <c r="M1163" s="6" t="str">
        <f>IFERROR(__xludf.DUMMYFUNCTION("""COMPUTED_VALUE"""),"Irwan Sopian")</f>
        <v>Irwan Sopian</v>
      </c>
      <c r="N1163" s="6" t="str">
        <f>IFERROR(__xludf.DUMMYFUNCTION("""COMPUTED_VALUE"""),"FIP Engineering")</f>
        <v>FIP Engineering</v>
      </c>
      <c r="O1163" s="6" t="str">
        <f>IFERROR(__xludf.DUMMYFUNCTION("""COMPUTED_VALUE"""),"FIP-DOM-000-11304-OS00001-INA-000000")</f>
        <v>FIP-DOM-000-11304-OS00001-INA-000000</v>
      </c>
      <c r="P1163" s="6" t="str">
        <f>IFERROR(__xludf.DUMMYFUNCTION("""COMPUTED_VALUE"""),"PO Closed")</f>
        <v>PO Closed</v>
      </c>
      <c r="Q1163" s="6" t="str">
        <f>IFERROR(__xludf.DUMMYFUNCTION("""COMPUTED_VALUE"""),"GL2005030")</f>
        <v>GL2005030</v>
      </c>
      <c r="R1163" s="57">
        <f>IFERROR(__xludf.DUMMYFUNCTION("""COMPUTED_VALUE"""),43964.0)</f>
        <v>43964</v>
      </c>
      <c r="S1163" s="6" t="str">
        <f>IFERROR(__xludf.DUMMYFUNCTION("""COMPUTED_VALUE"""),"-")</f>
        <v>-</v>
      </c>
      <c r="T1163" s="57">
        <f>IFERROR(__xludf.DUMMYFUNCTION("""COMPUTED_VALUE"""),43987.0)</f>
        <v>43987</v>
      </c>
    </row>
    <row r="1164">
      <c r="A1164" s="6" t="str">
        <f>IFERROR(__xludf.DUMMYFUNCTION("""COMPUTED_VALUE"""),"201750207-8")</f>
        <v>201750207-8</v>
      </c>
      <c r="B1164" s="6" t="str">
        <f>IFERROR(__xludf.DUMMYFUNCTION("""COMPUTED_VALUE"""),"201750207 - Approved")</f>
        <v>201750207 - Approved</v>
      </c>
      <c r="C1164" s="6">
        <f>IFERROR(__xludf.DUMMYFUNCTION("""COMPUTED_VALUE"""),8.0)</f>
        <v>8</v>
      </c>
      <c r="D1164" s="6" t="str">
        <f>IFERROR(__xludf.DUMMYFUNCTION("""COMPUTED_VALUE"""),"P-14976-00")</f>
        <v>P-14976-00</v>
      </c>
      <c r="E1164" s="6" t="str">
        <f>IFERROR(__xludf.DUMMYFUNCTION("""COMPUTED_VALUE"""),"Ball Valve PVC 1/2""; ; ;")</f>
        <v>Ball Valve PVC 1/2"; ; ;</v>
      </c>
      <c r="F1164" s="6">
        <f>IFERROR(__xludf.DUMMYFUNCTION("""COMPUTED_VALUE"""),1.0)</f>
        <v>1</v>
      </c>
      <c r="G1164" s="6" t="str">
        <f>IFERROR(__xludf.DUMMYFUNCTION("""COMPUTED_VALUE"""),"Pieces")</f>
        <v>Pieces</v>
      </c>
      <c r="H1164" s="6" t="str">
        <f>IFERROR(__xludf.DUMMYFUNCTION("""COMPUTED_VALUE"""),"IDR")</f>
        <v>IDR</v>
      </c>
      <c r="I1164" s="6">
        <f>IFERROR(__xludf.DUMMYFUNCTION("""COMPUTED_VALUE"""),23000.0)</f>
        <v>23000</v>
      </c>
      <c r="J1164" s="6">
        <f>IFERROR(__xludf.DUMMYFUNCTION("""COMPUTED_VALUE"""),23000.0)</f>
        <v>23000</v>
      </c>
      <c r="K1164" s="57">
        <f>IFERROR(__xludf.DUMMYFUNCTION("""COMPUTED_VALUE"""),43982.0)</f>
        <v>43982</v>
      </c>
      <c r="L1164" s="6" t="str">
        <f>IFERROR(__xludf.DUMMYFUNCTION("""COMPUTED_VALUE"""),"FIP Engineering")</f>
        <v>FIP Engineering</v>
      </c>
      <c r="M1164" s="6" t="str">
        <f>IFERROR(__xludf.DUMMYFUNCTION("""COMPUTED_VALUE"""),"Irwan Sopian")</f>
        <v>Irwan Sopian</v>
      </c>
      <c r="N1164" s="6" t="str">
        <f>IFERROR(__xludf.DUMMYFUNCTION("""COMPUTED_VALUE"""),"FIP Engineering")</f>
        <v>FIP Engineering</v>
      </c>
      <c r="O1164" s="6" t="str">
        <f>IFERROR(__xludf.DUMMYFUNCTION("""COMPUTED_VALUE"""),"FIP-DOM-000-11304-OS00001-INA-000000")</f>
        <v>FIP-DOM-000-11304-OS00001-INA-000000</v>
      </c>
      <c r="P1164" s="6" t="str">
        <f>IFERROR(__xludf.DUMMYFUNCTION("""COMPUTED_VALUE"""),"PO Closed")</f>
        <v>PO Closed</v>
      </c>
      <c r="Q1164" s="6" t="str">
        <f>IFERROR(__xludf.DUMMYFUNCTION("""COMPUTED_VALUE"""),"GL2005030")</f>
        <v>GL2005030</v>
      </c>
      <c r="R1164" s="57">
        <f>IFERROR(__xludf.DUMMYFUNCTION("""COMPUTED_VALUE"""),43964.0)</f>
        <v>43964</v>
      </c>
      <c r="S1164" s="6" t="str">
        <f>IFERROR(__xludf.DUMMYFUNCTION("""COMPUTED_VALUE"""),"-")</f>
        <v>-</v>
      </c>
      <c r="T1164" s="57">
        <f>IFERROR(__xludf.DUMMYFUNCTION("""COMPUTED_VALUE"""),43987.0)</f>
        <v>43987</v>
      </c>
    </row>
    <row r="1165">
      <c r="A1165" s="6" t="str">
        <f>IFERROR(__xludf.DUMMYFUNCTION("""COMPUTED_VALUE"""),"201750210-1")</f>
        <v>201750210-1</v>
      </c>
      <c r="B1165" s="6" t="str">
        <f>IFERROR(__xludf.DUMMYFUNCTION("""COMPUTED_VALUE"""),"201750210 - Approved")</f>
        <v>201750210 - Approved</v>
      </c>
      <c r="C1165" s="6">
        <f>IFERROR(__xludf.DUMMYFUNCTION("""COMPUTED_VALUE"""),1.0)</f>
        <v>1</v>
      </c>
      <c r="D1165" s="6" t="str">
        <f>IFERROR(__xludf.DUMMYFUNCTION("""COMPUTED_VALUE"""),"O-60001-00")</f>
        <v>O-60001-00</v>
      </c>
      <c r="E1165" s="6" t="str">
        <f>IFERROR(__xludf.DUMMYFUNCTION("""COMPUTED_VALUE"""),"Pembuatan body hooper Mixing 60")</f>
        <v>Pembuatan body hooper Mixing 60</v>
      </c>
      <c r="F1165" s="6">
        <f>IFERROR(__xludf.DUMMYFUNCTION("""COMPUTED_VALUE"""),1.0)</f>
        <v>1</v>
      </c>
      <c r="G1165" s="6" t="str">
        <f>IFERROR(__xludf.DUMMYFUNCTION("""COMPUTED_VALUE"""),"Lot")</f>
        <v>Lot</v>
      </c>
      <c r="H1165" s="6" t="str">
        <f>IFERROR(__xludf.DUMMYFUNCTION("""COMPUTED_VALUE"""),"IDR")</f>
        <v>IDR</v>
      </c>
      <c r="I1165" s="6">
        <f>IFERROR(__xludf.DUMMYFUNCTION("""COMPUTED_VALUE"""),3900000.0)</f>
        <v>3900000</v>
      </c>
      <c r="J1165" s="6">
        <f>IFERROR(__xludf.DUMMYFUNCTION("""COMPUTED_VALUE"""),3900000.0)</f>
        <v>3900000</v>
      </c>
      <c r="K1165" s="57">
        <f>IFERROR(__xludf.DUMMYFUNCTION("""COMPUTED_VALUE"""),44012.0)</f>
        <v>44012</v>
      </c>
      <c r="L1165" s="6" t="str">
        <f>IFERROR(__xludf.DUMMYFUNCTION("""COMPUTED_VALUE"""),"FIP General")</f>
        <v>FIP General</v>
      </c>
      <c r="M1165" s="6" t="str">
        <f>IFERROR(__xludf.DUMMYFUNCTION("""COMPUTED_VALUE"""),"Irwan Sopian")</f>
        <v>Irwan Sopian</v>
      </c>
      <c r="N1165" s="6" t="str">
        <f>IFERROR(__xludf.DUMMYFUNCTION("""COMPUTED_VALUE"""),"FIP Engineering")</f>
        <v>FIP Engineering</v>
      </c>
      <c r="O1165" s="6" t="str">
        <f>IFERROR(__xludf.DUMMYFUNCTION("""COMPUTED_VALUE"""),"FIP-DOM-ENG-51504-0000000-INA-000000")</f>
        <v>FIP-DOM-ENG-51504-0000000-INA-000000</v>
      </c>
      <c r="P1165" s="6" t="str">
        <f>IFERROR(__xludf.DUMMYFUNCTION("""COMPUTED_VALUE"""),"PO Closed")</f>
        <v>PO Closed</v>
      </c>
      <c r="Q1165" s="6" t="str">
        <f>IFERROR(__xludf.DUMMYFUNCTION("""COMPUTED_VALUE"""),"GL2006013")</f>
        <v>GL2006013</v>
      </c>
      <c r="R1165" s="57">
        <f>IFERROR(__xludf.DUMMYFUNCTION("""COMPUTED_VALUE"""),43965.0)</f>
        <v>43965</v>
      </c>
      <c r="S1165" s="6" t="str">
        <f>IFERROR(__xludf.DUMMYFUNCTION("""COMPUTED_VALUE"""),"-")</f>
        <v>-</v>
      </c>
      <c r="T1165" s="57">
        <f>IFERROR(__xludf.DUMMYFUNCTION("""COMPUTED_VALUE"""),44052.0)</f>
        <v>44052</v>
      </c>
    </row>
    <row r="1166">
      <c r="A1166" s="6" t="str">
        <f>IFERROR(__xludf.DUMMYFUNCTION("""COMPUTED_VALUE"""),"201750217-1")</f>
        <v>201750217-1</v>
      </c>
      <c r="B1166" s="6" t="str">
        <f>IFERROR(__xludf.DUMMYFUNCTION("""COMPUTED_VALUE"""),"201750217 - Approved")</f>
        <v>201750217 - Approved</v>
      </c>
      <c r="C1166" s="6">
        <f>IFERROR(__xludf.DUMMYFUNCTION("""COMPUTED_VALUE"""),1.0)</f>
        <v>1</v>
      </c>
      <c r="D1166" s="6" t="str">
        <f>IFERROR(__xludf.DUMMYFUNCTION("""COMPUTED_VALUE"""),"Q-11000-00")</f>
        <v>Q-11000-00</v>
      </c>
      <c r="E1166" s="6" t="str">
        <f>IFERROR(__xludf.DUMMYFUNCTION("""COMPUTED_VALUE"""),"Repair Kebocoran Area Warehouse")</f>
        <v>Repair Kebocoran Area Warehouse</v>
      </c>
      <c r="F1166" s="6">
        <f>IFERROR(__xludf.DUMMYFUNCTION("""COMPUTED_VALUE"""),1.0)</f>
        <v>1</v>
      </c>
      <c r="G1166" s="6" t="str">
        <f>IFERROR(__xludf.DUMMYFUNCTION("""COMPUTED_VALUE"""),"Lot")</f>
        <v>Lot</v>
      </c>
      <c r="H1166" s="6" t="str">
        <f>IFERROR(__xludf.DUMMYFUNCTION("""COMPUTED_VALUE"""),"IDR")</f>
        <v>IDR</v>
      </c>
      <c r="I1166" s="6">
        <f>IFERROR(__xludf.DUMMYFUNCTION("""COMPUTED_VALUE"""),6717750.0)</f>
        <v>6717750</v>
      </c>
      <c r="J1166" s="6">
        <f>IFERROR(__xludf.DUMMYFUNCTION("""COMPUTED_VALUE"""),6717750.0)</f>
        <v>6717750</v>
      </c>
      <c r="K1166" s="57">
        <f>IFERROR(__xludf.DUMMYFUNCTION("""COMPUTED_VALUE"""),44001.0)</f>
        <v>44001</v>
      </c>
      <c r="L1166" s="6" t="str">
        <f>IFERROR(__xludf.DUMMYFUNCTION("""COMPUTED_VALUE"""),"FIP General")</f>
        <v>FIP General</v>
      </c>
      <c r="M1166" s="6" t="str">
        <f>IFERROR(__xludf.DUMMYFUNCTION("""COMPUTED_VALUE"""),"Irwan Sopian")</f>
        <v>Irwan Sopian</v>
      </c>
      <c r="N1166" s="6" t="str">
        <f>IFERROR(__xludf.DUMMYFUNCTION("""COMPUTED_VALUE"""),"FIP Engineering")</f>
        <v>FIP Engineering</v>
      </c>
      <c r="O1166" s="6" t="str">
        <f>IFERROR(__xludf.DUMMYFUNCTION("""COMPUTED_VALUE"""),"FIP-DOM-ENG-51502-0000000-INA-000000")</f>
        <v>FIP-DOM-ENG-51502-0000000-INA-000000</v>
      </c>
      <c r="P1166" s="6" t="str">
        <f>IFERROR(__xludf.DUMMYFUNCTION("""COMPUTED_VALUE"""),"PO Closed")</f>
        <v>PO Closed</v>
      </c>
      <c r="Q1166" s="6" t="str">
        <f>IFERROR(__xludf.DUMMYFUNCTION("""COMPUTED_VALUE"""),"GL2006021")</f>
        <v>GL2006021</v>
      </c>
      <c r="R1166" s="57">
        <f>IFERROR(__xludf.DUMMYFUNCTION("""COMPUTED_VALUE"""),43978.0)</f>
        <v>43978</v>
      </c>
      <c r="S1166" s="6" t="str">
        <f>IFERROR(__xludf.DUMMYFUNCTION("""COMPUTED_VALUE"""),"-")</f>
        <v>-</v>
      </c>
      <c r="T1166" s="57">
        <f>IFERROR(__xludf.DUMMYFUNCTION("""COMPUTED_VALUE"""),44008.0)</f>
        <v>44008</v>
      </c>
    </row>
    <row r="1167">
      <c r="A1167" s="6" t="str">
        <f>IFERROR(__xludf.DUMMYFUNCTION("""COMPUTED_VALUE"""),"201750221-1")</f>
        <v>201750221-1</v>
      </c>
      <c r="B1167" s="6" t="str">
        <f>IFERROR(__xludf.DUMMYFUNCTION("""COMPUTED_VALUE"""),"201750221 - Approved")</f>
        <v>201750221 - Approved</v>
      </c>
      <c r="C1167" s="6">
        <f>IFERROR(__xludf.DUMMYFUNCTION("""COMPUTED_VALUE"""),1.0)</f>
        <v>1</v>
      </c>
      <c r="D1167" s="6" t="str">
        <f>IFERROR(__xludf.DUMMYFUNCTION("""COMPUTED_VALUE"""),"P-11968-00")</f>
        <v>P-11968-00</v>
      </c>
      <c r="E1167" s="6" t="str">
        <f>IFERROR(__xludf.DUMMYFUNCTION("""COMPUTED_VALUE"""),"Berusynt FGH Spray H1 - Bechem")</f>
        <v>Berusynt FGH Spray H1 - Bechem</v>
      </c>
      <c r="F1167" s="6">
        <f>IFERROR(__xludf.DUMMYFUNCTION("""COMPUTED_VALUE"""),2.0)</f>
        <v>2</v>
      </c>
      <c r="G1167" s="6" t="str">
        <f>IFERROR(__xludf.DUMMYFUNCTION("""COMPUTED_VALUE"""),"Pieces")</f>
        <v>Pieces</v>
      </c>
      <c r="H1167" s="6" t="str">
        <f>IFERROR(__xludf.DUMMYFUNCTION("""COMPUTED_VALUE"""),"IDR")</f>
        <v>IDR</v>
      </c>
      <c r="I1167" s="6">
        <f>IFERROR(__xludf.DUMMYFUNCTION("""COMPUTED_VALUE"""),481000.0)</f>
        <v>481000</v>
      </c>
      <c r="J1167" s="6">
        <f>IFERROR(__xludf.DUMMYFUNCTION("""COMPUTED_VALUE"""),962000.0)</f>
        <v>962000</v>
      </c>
      <c r="K1167" s="57">
        <f>IFERROR(__xludf.DUMMYFUNCTION("""COMPUTED_VALUE"""),44008.0)</f>
        <v>44008</v>
      </c>
      <c r="L1167" s="6" t="str">
        <f>IFERROR(__xludf.DUMMYFUNCTION("""COMPUTED_VALUE"""),"FIP Engineering")</f>
        <v>FIP Engineering</v>
      </c>
      <c r="M1167" s="6" t="str">
        <f>IFERROR(__xludf.DUMMYFUNCTION("""COMPUTED_VALUE"""),"Irwan Sopian")</f>
        <v>Irwan Sopian</v>
      </c>
      <c r="N1167" s="6" t="str">
        <f>IFERROR(__xludf.DUMMYFUNCTION("""COMPUTED_VALUE"""),"FIP Engineering")</f>
        <v>FIP Engineering</v>
      </c>
      <c r="O1167" s="6" t="str">
        <f>IFERROR(__xludf.DUMMYFUNCTION("""COMPUTED_VALUE"""),"FIP-DOM-000-11304-OS00001-INA-000000")</f>
        <v>FIP-DOM-000-11304-OS00001-INA-000000</v>
      </c>
      <c r="P1167" s="6" t="str">
        <f>IFERROR(__xludf.DUMMYFUNCTION("""COMPUTED_VALUE"""),"PO Closed")</f>
        <v>PO Closed</v>
      </c>
      <c r="Q1167" s="6" t="str">
        <f>IFERROR(__xludf.DUMMYFUNCTION("""COMPUTED_VALUE"""),"GL2006020")</f>
        <v>GL2006020</v>
      </c>
      <c r="R1167" s="57">
        <f>IFERROR(__xludf.DUMMYFUNCTION("""COMPUTED_VALUE"""),43980.0)</f>
        <v>43980</v>
      </c>
      <c r="S1167" s="6" t="str">
        <f>IFERROR(__xludf.DUMMYFUNCTION("""COMPUTED_VALUE"""),"-")</f>
        <v>-</v>
      </c>
      <c r="T1167" s="57">
        <f>IFERROR(__xludf.DUMMYFUNCTION("""COMPUTED_VALUE"""),44008.0)</f>
        <v>44008</v>
      </c>
    </row>
    <row r="1168">
      <c r="A1168" s="6" t="str">
        <f>IFERROR(__xludf.DUMMYFUNCTION("""COMPUTED_VALUE"""),"201750220-1")</f>
        <v>201750220-1</v>
      </c>
      <c r="B1168" s="6" t="str">
        <f>IFERROR(__xludf.DUMMYFUNCTION("""COMPUTED_VALUE"""),"201750220 - Approved")</f>
        <v>201750220 - Approved</v>
      </c>
      <c r="C1168" s="6">
        <f>IFERROR(__xludf.DUMMYFUNCTION("""COMPUTED_VALUE"""),1.0)</f>
        <v>1</v>
      </c>
      <c r="D1168" s="6" t="str">
        <f>IFERROR(__xludf.DUMMYFUNCTION("""COMPUTED_VALUE"""),"P-10729-00")</f>
        <v>P-10729-00</v>
      </c>
      <c r="E1168" s="6" t="str">
        <f>IFERROR(__xludf.DUMMYFUNCTION("""COMPUTED_VALUE"""),"Cleaner - Contact cleaner WD 40, 382 gr")</f>
        <v>Cleaner - Contact cleaner WD 40, 382 gr</v>
      </c>
      <c r="F1168" s="6">
        <f>IFERROR(__xludf.DUMMYFUNCTION("""COMPUTED_VALUE"""),4.0)</f>
        <v>4</v>
      </c>
      <c r="G1168" s="6" t="str">
        <f>IFERROR(__xludf.DUMMYFUNCTION("""COMPUTED_VALUE"""),"Pieces")</f>
        <v>Pieces</v>
      </c>
      <c r="H1168" s="6" t="str">
        <f>IFERROR(__xludf.DUMMYFUNCTION("""COMPUTED_VALUE"""),"IDR")</f>
        <v>IDR</v>
      </c>
      <c r="I1168" s="6">
        <f>IFERROR(__xludf.DUMMYFUNCTION("""COMPUTED_VALUE"""),72000.0)</f>
        <v>72000</v>
      </c>
      <c r="J1168" s="6">
        <f>IFERROR(__xludf.DUMMYFUNCTION("""COMPUTED_VALUE"""),288000.0)</f>
        <v>288000</v>
      </c>
      <c r="K1168" s="57">
        <f>IFERROR(__xludf.DUMMYFUNCTION("""COMPUTED_VALUE"""),44008.0)</f>
        <v>44008</v>
      </c>
      <c r="L1168" s="6" t="str">
        <f>IFERROR(__xludf.DUMMYFUNCTION("""COMPUTED_VALUE"""),"FIP Engineering")</f>
        <v>FIP Engineering</v>
      </c>
      <c r="M1168" s="6" t="str">
        <f>IFERROR(__xludf.DUMMYFUNCTION("""COMPUTED_VALUE"""),"Irwan Sopian")</f>
        <v>Irwan Sopian</v>
      </c>
      <c r="N1168" s="6" t="str">
        <f>IFERROR(__xludf.DUMMYFUNCTION("""COMPUTED_VALUE"""),"FIP Engineering")</f>
        <v>FIP Engineering</v>
      </c>
      <c r="O1168" s="6" t="str">
        <f>IFERROR(__xludf.DUMMYFUNCTION("""COMPUTED_VALUE"""),"FIP-DOM-000-11304-OS00001-INA-000000")</f>
        <v>FIP-DOM-000-11304-OS00001-INA-000000</v>
      </c>
      <c r="P1168" s="6" t="str">
        <f>IFERROR(__xludf.DUMMYFUNCTION("""COMPUTED_VALUE"""),"PO Closed")</f>
        <v>PO Closed</v>
      </c>
      <c r="Q1168" s="6" t="str">
        <f>IFERROR(__xludf.DUMMYFUNCTION("""COMPUTED_VALUE"""),"GL2006014")</f>
        <v>GL2006014</v>
      </c>
      <c r="R1168" s="57">
        <f>IFERROR(__xludf.DUMMYFUNCTION("""COMPUTED_VALUE"""),43980.0)</f>
        <v>43980</v>
      </c>
      <c r="S1168" s="6" t="str">
        <f>IFERROR(__xludf.DUMMYFUNCTION("""COMPUTED_VALUE"""),"-")</f>
        <v>-</v>
      </c>
      <c r="T1168" s="57">
        <f>IFERROR(__xludf.DUMMYFUNCTION("""COMPUTED_VALUE"""),44008.0)</f>
        <v>44008</v>
      </c>
    </row>
    <row r="1169">
      <c r="A1169" s="6" t="str">
        <f>IFERROR(__xludf.DUMMYFUNCTION("""COMPUTED_VALUE"""),"201750220-2")</f>
        <v>201750220-2</v>
      </c>
      <c r="B1169" s="6" t="str">
        <f>IFERROR(__xludf.DUMMYFUNCTION("""COMPUTED_VALUE"""),"201750220 - Approved")</f>
        <v>201750220 - Approved</v>
      </c>
      <c r="C1169" s="6">
        <f>IFERROR(__xludf.DUMMYFUNCTION("""COMPUTED_VALUE"""),2.0)</f>
        <v>2</v>
      </c>
      <c r="D1169" s="6" t="str">
        <f>IFERROR(__xludf.DUMMYFUNCTION("""COMPUTED_VALUE"""),"P-10726-00")</f>
        <v>P-10726-00</v>
      </c>
      <c r="E1169" s="6" t="str">
        <f>IFERROR(__xludf.DUMMYFUNCTION("""COMPUTED_VALUE"""),"Cleaner - Contact Cleaner CRC CO 2016 500 ml")</f>
        <v>Cleaner - Contact Cleaner CRC CO 2016 500 ml</v>
      </c>
      <c r="F1169" s="6">
        <f>IFERROR(__xludf.DUMMYFUNCTION("""COMPUTED_VALUE"""),4.0)</f>
        <v>4</v>
      </c>
      <c r="G1169" s="6" t="str">
        <f>IFERROR(__xludf.DUMMYFUNCTION("""COMPUTED_VALUE"""),"Pieces")</f>
        <v>Pieces</v>
      </c>
      <c r="H1169" s="6" t="str">
        <f>IFERROR(__xludf.DUMMYFUNCTION("""COMPUTED_VALUE"""),"IDR")</f>
        <v>IDR</v>
      </c>
      <c r="I1169" s="6">
        <f>IFERROR(__xludf.DUMMYFUNCTION("""COMPUTED_VALUE"""),150000.0)</f>
        <v>150000</v>
      </c>
      <c r="J1169" s="6">
        <f>IFERROR(__xludf.DUMMYFUNCTION("""COMPUTED_VALUE"""),600000.0)</f>
        <v>600000</v>
      </c>
      <c r="K1169" s="57">
        <f>IFERROR(__xludf.DUMMYFUNCTION("""COMPUTED_VALUE"""),44008.0)</f>
        <v>44008</v>
      </c>
      <c r="L1169" s="6" t="str">
        <f>IFERROR(__xludf.DUMMYFUNCTION("""COMPUTED_VALUE"""),"FIP Engineering")</f>
        <v>FIP Engineering</v>
      </c>
      <c r="M1169" s="6" t="str">
        <f>IFERROR(__xludf.DUMMYFUNCTION("""COMPUTED_VALUE"""),"Irwan Sopian")</f>
        <v>Irwan Sopian</v>
      </c>
      <c r="N1169" s="6" t="str">
        <f>IFERROR(__xludf.DUMMYFUNCTION("""COMPUTED_VALUE"""),"FIP Engineering")</f>
        <v>FIP Engineering</v>
      </c>
      <c r="O1169" s="6" t="str">
        <f>IFERROR(__xludf.DUMMYFUNCTION("""COMPUTED_VALUE"""),"FIP-DOM-000-11304-OS00001-INA-000000")</f>
        <v>FIP-DOM-000-11304-OS00001-INA-000000</v>
      </c>
      <c r="P1169" s="6" t="str">
        <f>IFERROR(__xludf.DUMMYFUNCTION("""COMPUTED_VALUE"""),"PO Closed")</f>
        <v>PO Closed</v>
      </c>
      <c r="Q1169" s="6" t="str">
        <f>IFERROR(__xludf.DUMMYFUNCTION("""COMPUTED_VALUE"""),"GL2006014")</f>
        <v>GL2006014</v>
      </c>
      <c r="R1169" s="57">
        <f>IFERROR(__xludf.DUMMYFUNCTION("""COMPUTED_VALUE"""),43980.0)</f>
        <v>43980</v>
      </c>
      <c r="S1169" s="6" t="str">
        <f>IFERROR(__xludf.DUMMYFUNCTION("""COMPUTED_VALUE"""),"-")</f>
        <v>-</v>
      </c>
      <c r="T1169" s="57">
        <f>IFERROR(__xludf.DUMMYFUNCTION("""COMPUTED_VALUE"""),44008.0)</f>
        <v>44008</v>
      </c>
    </row>
    <row r="1170">
      <c r="A1170" s="6" t="str">
        <f>IFERROR(__xludf.DUMMYFUNCTION("""COMPUTED_VALUE"""),"201750220-3")</f>
        <v>201750220-3</v>
      </c>
      <c r="B1170" s="6" t="str">
        <f>IFERROR(__xludf.DUMMYFUNCTION("""COMPUTED_VALUE"""),"201750220 - Approved")</f>
        <v>201750220 - Approved</v>
      </c>
      <c r="C1170" s="6">
        <f>IFERROR(__xludf.DUMMYFUNCTION("""COMPUTED_VALUE"""),3.0)</f>
        <v>3</v>
      </c>
      <c r="D1170" s="6" t="str">
        <f>IFERROR(__xludf.DUMMYFUNCTION("""COMPUTED_VALUE"""),"P-11967-00")</f>
        <v>P-11967-00</v>
      </c>
      <c r="E1170" s="6" t="str">
        <f>IFERROR(__xludf.DUMMYFUNCTION("""COMPUTED_VALUE"""),"Belt dressing GL-1033 GLOBAL")</f>
        <v>Belt dressing GL-1033 GLOBAL</v>
      </c>
      <c r="F1170" s="6">
        <f>IFERROR(__xludf.DUMMYFUNCTION("""COMPUTED_VALUE"""),2.0)</f>
        <v>2</v>
      </c>
      <c r="G1170" s="6" t="str">
        <f>IFERROR(__xludf.DUMMYFUNCTION("""COMPUTED_VALUE"""),"Pieces")</f>
        <v>Pieces</v>
      </c>
      <c r="H1170" s="6" t="str">
        <f>IFERROR(__xludf.DUMMYFUNCTION("""COMPUTED_VALUE"""),"IDR")</f>
        <v>IDR</v>
      </c>
      <c r="I1170" s="6">
        <f>IFERROR(__xludf.DUMMYFUNCTION("""COMPUTED_VALUE"""),110000.0)</f>
        <v>110000</v>
      </c>
      <c r="J1170" s="6">
        <f>IFERROR(__xludf.DUMMYFUNCTION("""COMPUTED_VALUE"""),220000.0)</f>
        <v>220000</v>
      </c>
      <c r="K1170" s="57">
        <f>IFERROR(__xludf.DUMMYFUNCTION("""COMPUTED_VALUE"""),44008.0)</f>
        <v>44008</v>
      </c>
      <c r="L1170" s="6" t="str">
        <f>IFERROR(__xludf.DUMMYFUNCTION("""COMPUTED_VALUE"""),"FIP Engineering")</f>
        <v>FIP Engineering</v>
      </c>
      <c r="M1170" s="6" t="str">
        <f>IFERROR(__xludf.DUMMYFUNCTION("""COMPUTED_VALUE"""),"Irwan Sopian")</f>
        <v>Irwan Sopian</v>
      </c>
      <c r="N1170" s="6" t="str">
        <f>IFERROR(__xludf.DUMMYFUNCTION("""COMPUTED_VALUE"""),"FIP Engineering")</f>
        <v>FIP Engineering</v>
      </c>
      <c r="O1170" s="6" t="str">
        <f>IFERROR(__xludf.DUMMYFUNCTION("""COMPUTED_VALUE"""),"FIP-DOM-000-11304-OS00001-INA-000000")</f>
        <v>FIP-DOM-000-11304-OS00001-INA-000000</v>
      </c>
      <c r="P1170" s="6" t="str">
        <f>IFERROR(__xludf.DUMMYFUNCTION("""COMPUTED_VALUE"""),"PO Closed")</f>
        <v>PO Closed</v>
      </c>
      <c r="Q1170" s="6" t="str">
        <f>IFERROR(__xludf.DUMMYFUNCTION("""COMPUTED_VALUE"""),"GL2006014")</f>
        <v>GL2006014</v>
      </c>
      <c r="R1170" s="57">
        <f>IFERROR(__xludf.DUMMYFUNCTION("""COMPUTED_VALUE"""),43980.0)</f>
        <v>43980</v>
      </c>
      <c r="S1170" s="6" t="str">
        <f>IFERROR(__xludf.DUMMYFUNCTION("""COMPUTED_VALUE"""),"-")</f>
        <v>-</v>
      </c>
      <c r="T1170" s="57">
        <f>IFERROR(__xludf.DUMMYFUNCTION("""COMPUTED_VALUE"""),44008.0)</f>
        <v>44008</v>
      </c>
    </row>
    <row r="1171">
      <c r="A1171" s="6" t="str">
        <f>IFERROR(__xludf.DUMMYFUNCTION("""COMPUTED_VALUE"""),"201750220-4")</f>
        <v>201750220-4</v>
      </c>
      <c r="B1171" s="6" t="str">
        <f>IFERROR(__xludf.DUMMYFUNCTION("""COMPUTED_VALUE"""),"201750220 - Approved")</f>
        <v>201750220 - Approved</v>
      </c>
      <c r="C1171" s="6">
        <f>IFERROR(__xludf.DUMMYFUNCTION("""COMPUTED_VALUE"""),4.0)</f>
        <v>4</v>
      </c>
      <c r="D1171" s="6" t="str">
        <f>IFERROR(__xludf.DUMMYFUNCTION("""COMPUTED_VALUE"""),"P-51310-00")</f>
        <v>P-51310-00</v>
      </c>
      <c r="E1171" s="6" t="str">
        <f>IFERROR(__xludf.DUMMYFUNCTION("""COMPUTED_VALUE"""),"Travo 3A 220V-24V")</f>
        <v>Travo 3A 220V-24V</v>
      </c>
      <c r="F1171" s="6">
        <f>IFERROR(__xludf.DUMMYFUNCTION("""COMPUTED_VALUE"""),2.0)</f>
        <v>2</v>
      </c>
      <c r="G1171" s="6" t="str">
        <f>IFERROR(__xludf.DUMMYFUNCTION("""COMPUTED_VALUE"""),"Pieces")</f>
        <v>Pieces</v>
      </c>
      <c r="H1171" s="6" t="str">
        <f>IFERROR(__xludf.DUMMYFUNCTION("""COMPUTED_VALUE"""),"IDR")</f>
        <v>IDR</v>
      </c>
      <c r="I1171" s="6">
        <f>IFERROR(__xludf.DUMMYFUNCTION("""COMPUTED_VALUE"""),300000.0)</f>
        <v>300000</v>
      </c>
      <c r="J1171" s="6">
        <f>IFERROR(__xludf.DUMMYFUNCTION("""COMPUTED_VALUE"""),600000.0)</f>
        <v>600000</v>
      </c>
      <c r="K1171" s="57">
        <f>IFERROR(__xludf.DUMMYFUNCTION("""COMPUTED_VALUE"""),44008.0)</f>
        <v>44008</v>
      </c>
      <c r="L1171" s="6" t="str">
        <f>IFERROR(__xludf.DUMMYFUNCTION("""COMPUTED_VALUE"""),"FIP Engineering")</f>
        <v>FIP Engineering</v>
      </c>
      <c r="M1171" s="6" t="str">
        <f>IFERROR(__xludf.DUMMYFUNCTION("""COMPUTED_VALUE"""),"Irwan Sopian")</f>
        <v>Irwan Sopian</v>
      </c>
      <c r="N1171" s="6" t="str">
        <f>IFERROR(__xludf.DUMMYFUNCTION("""COMPUTED_VALUE"""),"FIP Engineering")</f>
        <v>FIP Engineering</v>
      </c>
      <c r="O1171" s="6" t="str">
        <f>IFERROR(__xludf.DUMMYFUNCTION("""COMPUTED_VALUE"""),"FIP-DOM-000-11304-OS00001-INA-000000")</f>
        <v>FIP-DOM-000-11304-OS00001-INA-000000</v>
      </c>
      <c r="P1171" s="6" t="str">
        <f>IFERROR(__xludf.DUMMYFUNCTION("""COMPUTED_VALUE"""),"PO Closed")</f>
        <v>PO Closed</v>
      </c>
      <c r="Q1171" s="6" t="str">
        <f>IFERROR(__xludf.DUMMYFUNCTION("""COMPUTED_VALUE"""),"GL2006014")</f>
        <v>GL2006014</v>
      </c>
      <c r="R1171" s="57">
        <f>IFERROR(__xludf.DUMMYFUNCTION("""COMPUTED_VALUE"""),43980.0)</f>
        <v>43980</v>
      </c>
      <c r="S1171" s="6" t="str">
        <f>IFERROR(__xludf.DUMMYFUNCTION("""COMPUTED_VALUE"""),"-")</f>
        <v>-</v>
      </c>
      <c r="T1171" s="57">
        <f>IFERROR(__xludf.DUMMYFUNCTION("""COMPUTED_VALUE"""),44008.0)</f>
        <v>44008</v>
      </c>
    </row>
    <row r="1172">
      <c r="A1172" s="6" t="str">
        <f>IFERROR(__xludf.DUMMYFUNCTION("""COMPUTED_VALUE"""),"201750220-5")</f>
        <v>201750220-5</v>
      </c>
      <c r="B1172" s="6" t="str">
        <f>IFERROR(__xludf.DUMMYFUNCTION("""COMPUTED_VALUE"""),"201750220 - Approved")</f>
        <v>201750220 - Approved</v>
      </c>
      <c r="C1172" s="6">
        <f>IFERROR(__xludf.DUMMYFUNCTION("""COMPUTED_VALUE"""),5.0)</f>
        <v>5</v>
      </c>
      <c r="D1172" s="6" t="str">
        <f>IFERROR(__xludf.DUMMYFUNCTION("""COMPUTED_VALUE"""),"P-50325-00")</f>
        <v>P-50325-00</v>
      </c>
      <c r="E1172" s="6" t="str">
        <f>IFERROR(__xludf.DUMMYFUNCTION("""COMPUTED_VALUE"""),"Limit Switch Z - 15GQ 22 - B 15 A / 125 / 250 VAC Highly")</f>
        <v>Limit Switch Z - 15GQ 22 - B 15 A / 125 / 250 VAC Highly</v>
      </c>
      <c r="F1172" s="6">
        <f>IFERROR(__xludf.DUMMYFUNCTION("""COMPUTED_VALUE"""),2.0)</f>
        <v>2</v>
      </c>
      <c r="G1172" s="6" t="str">
        <f>IFERROR(__xludf.DUMMYFUNCTION("""COMPUTED_VALUE"""),"Pieces")</f>
        <v>Pieces</v>
      </c>
      <c r="H1172" s="6" t="str">
        <f>IFERROR(__xludf.DUMMYFUNCTION("""COMPUTED_VALUE"""),"IDR")</f>
        <v>IDR</v>
      </c>
      <c r="I1172" s="6">
        <f>IFERROR(__xludf.DUMMYFUNCTION("""COMPUTED_VALUE"""),190000.0)</f>
        <v>190000</v>
      </c>
      <c r="J1172" s="6">
        <f>IFERROR(__xludf.DUMMYFUNCTION("""COMPUTED_VALUE"""),380000.0)</f>
        <v>380000</v>
      </c>
      <c r="K1172" s="57">
        <f>IFERROR(__xludf.DUMMYFUNCTION("""COMPUTED_VALUE"""),44008.0)</f>
        <v>44008</v>
      </c>
      <c r="L1172" s="6" t="str">
        <f>IFERROR(__xludf.DUMMYFUNCTION("""COMPUTED_VALUE"""),"FIP Engineering")</f>
        <v>FIP Engineering</v>
      </c>
      <c r="M1172" s="6" t="str">
        <f>IFERROR(__xludf.DUMMYFUNCTION("""COMPUTED_VALUE"""),"Irwan Sopian")</f>
        <v>Irwan Sopian</v>
      </c>
      <c r="N1172" s="6" t="str">
        <f>IFERROR(__xludf.DUMMYFUNCTION("""COMPUTED_VALUE"""),"FIP Engineering")</f>
        <v>FIP Engineering</v>
      </c>
      <c r="O1172" s="6" t="str">
        <f>IFERROR(__xludf.DUMMYFUNCTION("""COMPUTED_VALUE"""),"FIP-DOM-000-11304-OS00001-INA-000000")</f>
        <v>FIP-DOM-000-11304-OS00001-INA-000000</v>
      </c>
      <c r="P1172" s="6" t="str">
        <f>IFERROR(__xludf.DUMMYFUNCTION("""COMPUTED_VALUE"""),"PO Closed")</f>
        <v>PO Closed</v>
      </c>
      <c r="Q1172" s="6" t="str">
        <f>IFERROR(__xludf.DUMMYFUNCTION("""COMPUTED_VALUE"""),"GL2006014")</f>
        <v>GL2006014</v>
      </c>
      <c r="R1172" s="57">
        <f>IFERROR(__xludf.DUMMYFUNCTION("""COMPUTED_VALUE"""),43980.0)</f>
        <v>43980</v>
      </c>
      <c r="S1172" s="6" t="str">
        <f>IFERROR(__xludf.DUMMYFUNCTION("""COMPUTED_VALUE"""),"-")</f>
        <v>-</v>
      </c>
      <c r="T1172" s="57">
        <f>IFERROR(__xludf.DUMMYFUNCTION("""COMPUTED_VALUE"""),44008.0)</f>
        <v>44008</v>
      </c>
    </row>
    <row r="1173">
      <c r="A1173" s="6" t="str">
        <f>IFERROR(__xludf.DUMMYFUNCTION("""COMPUTED_VALUE"""),"201750219-1")</f>
        <v>201750219-1</v>
      </c>
      <c r="B1173" s="6" t="str">
        <f>IFERROR(__xludf.DUMMYFUNCTION("""COMPUTED_VALUE"""),"201750219 - Approved")</f>
        <v>201750219 - Approved</v>
      </c>
      <c r="C1173" s="6">
        <f>IFERROR(__xludf.DUMMYFUNCTION("""COMPUTED_VALUE"""),1.0)</f>
        <v>1</v>
      </c>
      <c r="D1173" s="6" t="str">
        <f>IFERROR(__xludf.DUMMYFUNCTION("""COMPUTED_VALUE"""),"P-60000-00")</f>
        <v>P-60000-00</v>
      </c>
      <c r="E1173" s="6" t="str">
        <f>IFERROR(__xludf.DUMMYFUNCTION("""COMPUTED_VALUE"""),"Perbaikan Chamber Cooling Cabinet 600L Retained Sample")</f>
        <v>Perbaikan Chamber Cooling Cabinet 600L Retained Sample</v>
      </c>
      <c r="F1173" s="6">
        <f>IFERROR(__xludf.DUMMYFUNCTION("""COMPUTED_VALUE"""),1.0)</f>
        <v>1</v>
      </c>
      <c r="G1173" s="6" t="str">
        <f>IFERROR(__xludf.DUMMYFUNCTION("""COMPUTED_VALUE"""),"Lot")</f>
        <v>Lot</v>
      </c>
      <c r="H1173" s="6" t="str">
        <f>IFERROR(__xludf.DUMMYFUNCTION("""COMPUTED_VALUE"""),"IDR")</f>
        <v>IDR</v>
      </c>
      <c r="I1173" s="6">
        <f>IFERROR(__xludf.DUMMYFUNCTION("""COMPUTED_VALUE"""),1500000.0)</f>
        <v>1500000</v>
      </c>
      <c r="J1173" s="6">
        <f>IFERROR(__xludf.DUMMYFUNCTION("""COMPUTED_VALUE"""),1500000.0)</f>
        <v>1500000</v>
      </c>
      <c r="K1173" s="57">
        <f>IFERROR(__xludf.DUMMYFUNCTION("""COMPUTED_VALUE"""),44008.0)</f>
        <v>44008</v>
      </c>
      <c r="L1173" s="6" t="str">
        <f>IFERROR(__xludf.DUMMYFUNCTION("""COMPUTED_VALUE"""),"FIP General")</f>
        <v>FIP General</v>
      </c>
      <c r="M1173" s="6" t="str">
        <f>IFERROR(__xludf.DUMMYFUNCTION("""COMPUTED_VALUE"""),"Irwan Sopian")</f>
        <v>Irwan Sopian</v>
      </c>
      <c r="N1173" s="6" t="str">
        <f>IFERROR(__xludf.DUMMYFUNCTION("""COMPUTED_VALUE"""),"FIP Engineering")</f>
        <v>FIP Engineering</v>
      </c>
      <c r="O1173" s="6" t="str">
        <f>IFERROR(__xludf.DUMMYFUNCTION("""COMPUTED_VALUE"""),"FIP-DOM-ENG-51504-0000000-INA-000000")</f>
        <v>FIP-DOM-ENG-51504-0000000-INA-000000</v>
      </c>
      <c r="P1173" s="6" t="str">
        <f>IFERROR(__xludf.DUMMYFUNCTION("""COMPUTED_VALUE"""),"PO Closed")</f>
        <v>PO Closed</v>
      </c>
      <c r="Q1173" s="6" t="str">
        <f>IFERROR(__xludf.DUMMYFUNCTION("""COMPUTED_VALUE"""),"GL2006023")</f>
        <v>GL2006023</v>
      </c>
      <c r="R1173" s="57">
        <f>IFERROR(__xludf.DUMMYFUNCTION("""COMPUTED_VALUE"""),43980.0)</f>
        <v>43980</v>
      </c>
      <c r="S1173" s="6" t="str">
        <f>IFERROR(__xludf.DUMMYFUNCTION("""COMPUTED_VALUE"""),"-")</f>
        <v>-</v>
      </c>
      <c r="T1173" s="57">
        <f>IFERROR(__xludf.DUMMYFUNCTION("""COMPUTED_VALUE"""),44011.0)</f>
        <v>44011</v>
      </c>
    </row>
    <row r="1174">
      <c r="A1174" s="6" t="str">
        <f>IFERROR(__xludf.DUMMYFUNCTION("""COMPUTED_VALUE"""),"201750218-1")</f>
        <v>201750218-1</v>
      </c>
      <c r="B1174" s="6" t="str">
        <f>IFERROR(__xludf.DUMMYFUNCTION("""COMPUTED_VALUE"""),"201750218 - Approved")</f>
        <v>201750218 - Approved</v>
      </c>
      <c r="C1174" s="6">
        <f>IFERROR(__xludf.DUMMYFUNCTION("""COMPUTED_VALUE"""),1.0)</f>
        <v>1</v>
      </c>
      <c r="D1174" s="6" t="str">
        <f>IFERROR(__xludf.DUMMYFUNCTION("""COMPUTED_VALUE"""),"T-20123-00")</f>
        <v>T-20123-00</v>
      </c>
      <c r="E1174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174" s="6">
        <f>IFERROR(__xludf.DUMMYFUNCTION("""COMPUTED_VALUE"""),2.0)</f>
        <v>2</v>
      </c>
      <c r="G1174" s="6" t="str">
        <f>IFERROR(__xludf.DUMMYFUNCTION("""COMPUTED_VALUE"""),"Pieces")</f>
        <v>Pieces</v>
      </c>
      <c r="H1174" s="6" t="str">
        <f>IFERROR(__xludf.DUMMYFUNCTION("""COMPUTED_VALUE"""),"IDR")</f>
        <v>IDR</v>
      </c>
      <c r="I1174" s="6">
        <f>IFERROR(__xludf.DUMMYFUNCTION("""COMPUTED_VALUE"""),1.0728198E7)</f>
        <v>10728198</v>
      </c>
      <c r="J1174" s="6">
        <f>IFERROR(__xludf.DUMMYFUNCTION("""COMPUTED_VALUE"""),2.1456396E7)</f>
        <v>21456396</v>
      </c>
      <c r="K1174" s="57">
        <f>IFERROR(__xludf.DUMMYFUNCTION("""COMPUTED_VALUE"""),44012.0)</f>
        <v>44012</v>
      </c>
      <c r="L1174" s="6" t="str">
        <f>IFERROR(__xludf.DUMMYFUNCTION("""COMPUTED_VALUE"""),"FIP General")</f>
        <v>FIP General</v>
      </c>
      <c r="M1174" s="6" t="str">
        <f>IFERROR(__xludf.DUMMYFUNCTION("""COMPUTED_VALUE"""),"Irwan Sopian")</f>
        <v>Irwan Sopian</v>
      </c>
      <c r="N1174" s="6" t="str">
        <f>IFERROR(__xludf.DUMMYFUNCTION("""COMPUTED_VALUE"""),"FIP Engineering")</f>
        <v>FIP Engineering</v>
      </c>
      <c r="O1174" s="6" t="str">
        <f>IFERROR(__xludf.DUMMYFUNCTION("""COMPUTED_VALUE"""),"FIP-DOM-ENG-51505-0000000-INA-000000")</f>
        <v>FIP-DOM-ENG-51505-0000000-INA-000000</v>
      </c>
      <c r="P1174" s="6" t="str">
        <f>IFERROR(__xludf.DUMMYFUNCTION("""COMPUTED_VALUE"""),"PO Closed")</f>
        <v>PO Closed</v>
      </c>
      <c r="Q1174" s="6" t="str">
        <f>IFERROR(__xludf.DUMMYFUNCTION("""COMPUTED_VALUE"""),"GL2006048")</f>
        <v>GL2006048</v>
      </c>
      <c r="R1174" s="57">
        <f>IFERROR(__xludf.DUMMYFUNCTION("""COMPUTED_VALUE"""),43980.0)</f>
        <v>43980</v>
      </c>
      <c r="S1174" s="6" t="str">
        <f>IFERROR(__xludf.DUMMYFUNCTION("""COMPUTED_VALUE"""),"-")</f>
        <v>-</v>
      </c>
      <c r="T1174" s="57">
        <f>IFERROR(__xludf.DUMMYFUNCTION("""COMPUTED_VALUE"""),44025.0)</f>
        <v>44025</v>
      </c>
    </row>
    <row r="1175">
      <c r="A1175" s="6" t="str">
        <f>IFERROR(__xludf.DUMMYFUNCTION("""COMPUTED_VALUE"""),"201750229-1")</f>
        <v>201750229-1</v>
      </c>
      <c r="B1175" s="6" t="str">
        <f>IFERROR(__xludf.DUMMYFUNCTION("""COMPUTED_VALUE"""),"201750229 - Approved")</f>
        <v>201750229 - Approved</v>
      </c>
      <c r="C1175" s="6">
        <f>IFERROR(__xludf.DUMMYFUNCTION("""COMPUTED_VALUE"""),1.0)</f>
        <v>1</v>
      </c>
      <c r="D1175" s="6" t="str">
        <f>IFERROR(__xludf.DUMMYFUNCTION("""COMPUTED_VALUE"""),"O-51742-00")</f>
        <v>O-51742-00</v>
      </c>
      <c r="E1175" s="6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F1175" s="6">
        <f>IFERROR(__xludf.DUMMYFUNCTION("""COMPUTED_VALUE"""),1.0)</f>
        <v>1</v>
      </c>
      <c r="G1175" s="6" t="str">
        <f>IFERROR(__xludf.DUMMYFUNCTION("""COMPUTED_VALUE"""),"Unit")</f>
        <v>Unit</v>
      </c>
      <c r="H1175" s="6" t="str">
        <f>IFERROR(__xludf.DUMMYFUNCTION("""COMPUTED_VALUE"""),"IDR")</f>
        <v>IDR</v>
      </c>
      <c r="I1175" s="6">
        <f>IFERROR(__xludf.DUMMYFUNCTION("""COMPUTED_VALUE"""),5750000.0)</f>
        <v>5750000</v>
      </c>
      <c r="J1175" s="6">
        <f>IFERROR(__xludf.DUMMYFUNCTION("""COMPUTED_VALUE"""),5750000.0)</f>
        <v>5750000</v>
      </c>
      <c r="K1175" s="57">
        <f>IFERROR(__xludf.DUMMYFUNCTION("""COMPUTED_VALUE"""),44029.0)</f>
        <v>44029</v>
      </c>
      <c r="L1175" s="6" t="str">
        <f>IFERROR(__xludf.DUMMYFUNCTION("""COMPUTED_VALUE"""),"FIP Engineering")</f>
        <v>FIP Engineering</v>
      </c>
      <c r="M1175" s="6" t="str">
        <f>IFERROR(__xludf.DUMMYFUNCTION("""COMPUTED_VALUE"""),"Irwan Sopian")</f>
        <v>Irwan Sopian</v>
      </c>
      <c r="N1175" s="6" t="str">
        <f>IFERROR(__xludf.DUMMYFUNCTION("""COMPUTED_VALUE"""),"FIP Engineering")</f>
        <v>FIP Engineering</v>
      </c>
      <c r="O1175" s="6" t="str">
        <f>IFERROR(__xludf.DUMMYFUNCTION("""COMPUTED_VALUE"""),"FIP-DOM-000-11304-OS00001-INA-000000")</f>
        <v>FIP-DOM-000-11304-OS00001-INA-000000</v>
      </c>
      <c r="P1175" s="6" t="str">
        <f>IFERROR(__xludf.DUMMYFUNCTION("""COMPUTED_VALUE"""),"PO Closed")</f>
        <v>PO Closed</v>
      </c>
      <c r="Q1175" s="6" t="str">
        <f>IFERROR(__xludf.DUMMYFUNCTION("""COMPUTED_VALUE"""),"GL2006035")</f>
        <v>GL2006035</v>
      </c>
      <c r="R1175" s="57">
        <f>IFERROR(__xludf.DUMMYFUNCTION("""COMPUTED_VALUE"""),43986.0)</f>
        <v>43986</v>
      </c>
      <c r="S1175" s="6" t="str">
        <f>IFERROR(__xludf.DUMMYFUNCTION("""COMPUTED_VALUE"""),"-")</f>
        <v>-</v>
      </c>
      <c r="T1175" s="57">
        <f>IFERROR(__xludf.DUMMYFUNCTION("""COMPUTED_VALUE"""),44073.0)</f>
        <v>44073</v>
      </c>
    </row>
    <row r="1176">
      <c r="A1176" s="6" t="str">
        <f>IFERROR(__xludf.DUMMYFUNCTION("""COMPUTED_VALUE"""),"201750227-1")</f>
        <v>201750227-1</v>
      </c>
      <c r="B1176" s="6" t="str">
        <f>IFERROR(__xludf.DUMMYFUNCTION("""COMPUTED_VALUE"""),"201750227 - Approved")</f>
        <v>201750227 - Approved</v>
      </c>
      <c r="C1176" s="6">
        <f>IFERROR(__xludf.DUMMYFUNCTION("""COMPUTED_VALUE"""),1.0)</f>
        <v>1</v>
      </c>
      <c r="D1176" s="6" t="str">
        <f>IFERROR(__xludf.DUMMYFUNCTION("""COMPUTED_VALUE"""),"O-16033-00")</f>
        <v>O-16033-00</v>
      </c>
      <c r="E1176" s="6" t="str">
        <f>IFERROR(__xludf.DUMMYFUNCTION("""COMPUTED_VALUE"""),"Isolator Gloves E10330 Y 7 E4 4156 Material : CSM Shape : E10 Size : 7 Thickness (mm) : 4/1")</f>
        <v>Isolator Gloves E10330 Y 7 E4 4156 Material : CSM Shape : E10 Size : 7 Thickness (mm) : 4/1</v>
      </c>
      <c r="F1176" s="6">
        <f>IFERROR(__xludf.DUMMYFUNCTION("""COMPUTED_VALUE"""),12.0)</f>
        <v>12</v>
      </c>
      <c r="G1176" s="6" t="str">
        <f>IFERROR(__xludf.DUMMYFUNCTION("""COMPUTED_VALUE"""),"Unit")</f>
        <v>Unit</v>
      </c>
      <c r="H1176" s="6" t="str">
        <f>IFERROR(__xludf.DUMMYFUNCTION("""COMPUTED_VALUE"""),"EUR")</f>
        <v>EUR</v>
      </c>
      <c r="I1176" s="6">
        <f>IFERROR(__xludf.DUMMYFUNCTION("""COMPUTED_VALUE"""),78.08)</f>
        <v>78.08</v>
      </c>
      <c r="J1176" s="6">
        <f>IFERROR(__xludf.DUMMYFUNCTION("""COMPUTED_VALUE"""),936.96)</f>
        <v>936.96</v>
      </c>
      <c r="K1176" s="57">
        <f>IFERROR(__xludf.DUMMYFUNCTION("""COMPUTED_VALUE"""),44022.0)</f>
        <v>44022</v>
      </c>
      <c r="L1176" s="6" t="str">
        <f>IFERROR(__xludf.DUMMYFUNCTION("""COMPUTED_VALUE"""),"FIP Engineering")</f>
        <v>FIP Engineering</v>
      </c>
      <c r="M1176" s="6" t="str">
        <f>IFERROR(__xludf.DUMMYFUNCTION("""COMPUTED_VALUE"""),"Irwan Sopian")</f>
        <v>Irwan Sopian</v>
      </c>
      <c r="N1176" s="6" t="str">
        <f>IFERROR(__xludf.DUMMYFUNCTION("""COMPUTED_VALUE"""),"FIP Engineering")</f>
        <v>FIP Engineering</v>
      </c>
      <c r="O1176" s="6" t="str">
        <f>IFERROR(__xludf.DUMMYFUNCTION("""COMPUTED_VALUE"""),"FIP-DOM-000-11304-OS00001-INA-000000")</f>
        <v>FIP-DOM-000-11304-OS00001-INA-000000</v>
      </c>
      <c r="P1176" s="6" t="str">
        <f>IFERROR(__xludf.DUMMYFUNCTION("""COMPUTED_VALUE"""),"PO Closed")</f>
        <v>PO Closed</v>
      </c>
      <c r="Q1176" s="6" t="str">
        <f>IFERROR(__xludf.DUMMYFUNCTION("""COMPUTED_VALUE"""),"GL2006043")</f>
        <v>GL2006043</v>
      </c>
      <c r="R1176" s="57">
        <f>IFERROR(__xludf.DUMMYFUNCTION("""COMPUTED_VALUE"""),43986.0)</f>
        <v>43986</v>
      </c>
      <c r="S1176" s="6" t="str">
        <f>IFERROR(__xludf.DUMMYFUNCTION("""COMPUTED_VALUE"""),"-")</f>
        <v>-</v>
      </c>
      <c r="T1176" s="57">
        <f>IFERROR(__xludf.DUMMYFUNCTION("""COMPUTED_VALUE"""),44063.0)</f>
        <v>44063</v>
      </c>
    </row>
    <row r="1177">
      <c r="A1177" s="6" t="str">
        <f>IFERROR(__xludf.DUMMYFUNCTION("""COMPUTED_VALUE"""),"201750227-2")</f>
        <v>201750227-2</v>
      </c>
      <c r="B1177" s="6" t="str">
        <f>IFERROR(__xludf.DUMMYFUNCTION("""COMPUTED_VALUE"""),"201750227 - Approved")</f>
        <v>201750227 - Approved</v>
      </c>
      <c r="C1177" s="6">
        <f>IFERROR(__xludf.DUMMYFUNCTION("""COMPUTED_VALUE"""),2.0)</f>
        <v>2</v>
      </c>
      <c r="D1177" s="6" t="str">
        <f>IFERROR(__xludf.DUMMYFUNCTION("""COMPUTED_VALUE"""),"S-44000-00")</f>
        <v>S-44000-00</v>
      </c>
      <c r="E1177" s="6" t="str">
        <f>IFERROR(__xludf.DUMMYFUNCTION("""COMPUTED_VALUE"""),"Packing")</f>
        <v>Packing</v>
      </c>
      <c r="F1177" s="6">
        <f>IFERROR(__xludf.DUMMYFUNCTION("""COMPUTED_VALUE"""),1.0)</f>
        <v>1</v>
      </c>
      <c r="G1177" s="6" t="str">
        <f>IFERROR(__xludf.DUMMYFUNCTION("""COMPUTED_VALUE"""),"Lot")</f>
        <v>Lot</v>
      </c>
      <c r="H1177" s="6" t="str">
        <f>IFERROR(__xludf.DUMMYFUNCTION("""COMPUTED_VALUE"""),"EUR")</f>
        <v>EUR</v>
      </c>
      <c r="I1177" s="6">
        <f>IFERROR(__xludf.DUMMYFUNCTION("""COMPUTED_VALUE"""),55.0)</f>
        <v>55</v>
      </c>
      <c r="J1177" s="6">
        <f>IFERROR(__xludf.DUMMYFUNCTION("""COMPUTED_VALUE"""),55.0)</f>
        <v>55</v>
      </c>
      <c r="K1177" s="57">
        <f>IFERROR(__xludf.DUMMYFUNCTION("""COMPUTED_VALUE"""),44022.0)</f>
        <v>44022</v>
      </c>
      <c r="L1177" s="6" t="str">
        <f>IFERROR(__xludf.DUMMYFUNCTION("""COMPUTED_VALUE"""),"FIP General")</f>
        <v>FIP General</v>
      </c>
      <c r="M1177" s="6" t="str">
        <f>IFERROR(__xludf.DUMMYFUNCTION("""COMPUTED_VALUE"""),"Irwan Sopian")</f>
        <v>Irwan Sopian</v>
      </c>
      <c r="N1177" s="6" t="str">
        <f>IFERROR(__xludf.DUMMYFUNCTION("""COMPUTED_VALUE"""),"FIP Engineering")</f>
        <v>FIP Engineering</v>
      </c>
      <c r="O1177" s="6" t="str">
        <f>IFERROR(__xludf.DUMMYFUNCTION("""COMPUTED_VALUE"""),"FIP-DOM-ENG-51504-0000000-INA-000000")</f>
        <v>FIP-DOM-ENG-51504-0000000-INA-000000</v>
      </c>
      <c r="P1177" s="6" t="str">
        <f>IFERROR(__xludf.DUMMYFUNCTION("""COMPUTED_VALUE"""),"PO Closed")</f>
        <v>PO Closed</v>
      </c>
      <c r="Q1177" s="6" t="str">
        <f>IFERROR(__xludf.DUMMYFUNCTION("""COMPUTED_VALUE"""),"GL2006043")</f>
        <v>GL2006043</v>
      </c>
      <c r="R1177" s="57">
        <f>IFERROR(__xludf.DUMMYFUNCTION("""COMPUTED_VALUE"""),43986.0)</f>
        <v>43986</v>
      </c>
      <c r="S1177" s="6" t="str">
        <f>IFERROR(__xludf.DUMMYFUNCTION("""COMPUTED_VALUE"""),"-")</f>
        <v>-</v>
      </c>
      <c r="T1177" s="57">
        <f>IFERROR(__xludf.DUMMYFUNCTION("""COMPUTED_VALUE"""),44063.0)</f>
        <v>44063</v>
      </c>
    </row>
    <row r="1178">
      <c r="A1178" s="6" t="str">
        <f>IFERROR(__xludf.DUMMYFUNCTION("""COMPUTED_VALUE"""),"201750227-3")</f>
        <v>201750227-3</v>
      </c>
      <c r="B1178" s="6" t="str">
        <f>IFERROR(__xludf.DUMMYFUNCTION("""COMPUTED_VALUE"""),"201750227 - Approved")</f>
        <v>201750227 - Approved</v>
      </c>
      <c r="C1178" s="6">
        <f>IFERROR(__xludf.DUMMYFUNCTION("""COMPUTED_VALUE"""),3.0)</f>
        <v>3</v>
      </c>
      <c r="D1178" s="6" t="str">
        <f>IFERROR(__xludf.DUMMYFUNCTION("""COMPUTED_VALUE"""),"S-44000-00")</f>
        <v>S-44000-00</v>
      </c>
      <c r="E1178" s="6" t="str">
        <f>IFERROR(__xludf.DUMMYFUNCTION("""COMPUTED_VALUE"""),"Delivery")</f>
        <v>Delivery</v>
      </c>
      <c r="F1178" s="6">
        <f>IFERROR(__xludf.DUMMYFUNCTION("""COMPUTED_VALUE"""),1.0)</f>
        <v>1</v>
      </c>
      <c r="G1178" s="6" t="str">
        <f>IFERROR(__xludf.DUMMYFUNCTION("""COMPUTED_VALUE"""),"Lot")</f>
        <v>Lot</v>
      </c>
      <c r="H1178" s="6" t="str">
        <f>IFERROR(__xludf.DUMMYFUNCTION("""COMPUTED_VALUE"""),"EUR")</f>
        <v>EUR</v>
      </c>
      <c r="I1178" s="6">
        <f>IFERROR(__xludf.DUMMYFUNCTION("""COMPUTED_VALUE"""),355.0)</f>
        <v>355</v>
      </c>
      <c r="J1178" s="6">
        <f>IFERROR(__xludf.DUMMYFUNCTION("""COMPUTED_VALUE"""),355.0)</f>
        <v>355</v>
      </c>
      <c r="K1178" s="57">
        <f>IFERROR(__xludf.DUMMYFUNCTION("""COMPUTED_VALUE"""),44022.0)</f>
        <v>44022</v>
      </c>
      <c r="L1178" s="6" t="str">
        <f>IFERROR(__xludf.DUMMYFUNCTION("""COMPUTED_VALUE"""),"FIP General")</f>
        <v>FIP General</v>
      </c>
      <c r="M1178" s="6" t="str">
        <f>IFERROR(__xludf.DUMMYFUNCTION("""COMPUTED_VALUE"""),"Irwan Sopian")</f>
        <v>Irwan Sopian</v>
      </c>
      <c r="N1178" s="6" t="str">
        <f>IFERROR(__xludf.DUMMYFUNCTION("""COMPUTED_VALUE"""),"FIP Engineering")</f>
        <v>FIP Engineering</v>
      </c>
      <c r="O1178" s="6" t="str">
        <f>IFERROR(__xludf.DUMMYFUNCTION("""COMPUTED_VALUE"""),"FIP-DOM-ENG-51504-0000000-INA-000000")</f>
        <v>FIP-DOM-ENG-51504-0000000-INA-000000</v>
      </c>
      <c r="P1178" s="6" t="str">
        <f>IFERROR(__xludf.DUMMYFUNCTION("""COMPUTED_VALUE"""),"PO Closed")</f>
        <v>PO Closed</v>
      </c>
      <c r="Q1178" s="6" t="str">
        <f>IFERROR(__xludf.DUMMYFUNCTION("""COMPUTED_VALUE"""),"GL2006043")</f>
        <v>GL2006043</v>
      </c>
      <c r="R1178" s="57">
        <f>IFERROR(__xludf.DUMMYFUNCTION("""COMPUTED_VALUE"""),43986.0)</f>
        <v>43986</v>
      </c>
      <c r="S1178" s="6" t="str">
        <f>IFERROR(__xludf.DUMMYFUNCTION("""COMPUTED_VALUE"""),"-")</f>
        <v>-</v>
      </c>
      <c r="T1178" s="57">
        <f>IFERROR(__xludf.DUMMYFUNCTION("""COMPUTED_VALUE"""),44063.0)</f>
        <v>44063</v>
      </c>
    </row>
    <row r="1179">
      <c r="A1179" s="6" t="str">
        <f>IFERROR(__xludf.DUMMYFUNCTION("""COMPUTED_VALUE"""),"201750226-1")</f>
        <v>201750226-1</v>
      </c>
      <c r="B1179" s="6" t="str">
        <f>IFERROR(__xludf.DUMMYFUNCTION("""COMPUTED_VALUE"""),"201750226 - Approved")</f>
        <v>201750226 - Approved</v>
      </c>
      <c r="C1179" s="6">
        <f>IFERROR(__xludf.DUMMYFUNCTION("""COMPUTED_VALUE"""),1.0)</f>
        <v>1</v>
      </c>
      <c r="D1179" s="6" t="str">
        <f>IFERROR(__xludf.DUMMYFUNCTION("""COMPUTED_VALUE"""),"P-60000-00")</f>
        <v>P-60000-00</v>
      </c>
      <c r="E1179" s="6" t="str">
        <f>IFERROR(__xludf.DUMMYFUNCTION("""COMPUTED_VALUE"""),"Repair Blower Exhaust Kantin")</f>
        <v>Repair Blower Exhaust Kantin</v>
      </c>
      <c r="F1179" s="6">
        <f>IFERROR(__xludf.DUMMYFUNCTION("""COMPUTED_VALUE"""),1.0)</f>
        <v>1</v>
      </c>
      <c r="G1179" s="6" t="str">
        <f>IFERROR(__xludf.DUMMYFUNCTION("""COMPUTED_VALUE"""),"Lot")</f>
        <v>Lot</v>
      </c>
      <c r="H1179" s="6" t="str">
        <f>IFERROR(__xludf.DUMMYFUNCTION("""COMPUTED_VALUE"""),"IDR")</f>
        <v>IDR</v>
      </c>
      <c r="I1179" s="6">
        <f>IFERROR(__xludf.DUMMYFUNCTION("""COMPUTED_VALUE"""),700000.0)</f>
        <v>700000</v>
      </c>
      <c r="J1179" s="6">
        <f>IFERROR(__xludf.DUMMYFUNCTION("""COMPUTED_VALUE"""),700000.0)</f>
        <v>700000</v>
      </c>
      <c r="K1179" s="57">
        <f>IFERROR(__xludf.DUMMYFUNCTION("""COMPUTED_VALUE"""),44012.0)</f>
        <v>44012</v>
      </c>
      <c r="L1179" s="6" t="str">
        <f>IFERROR(__xludf.DUMMYFUNCTION("""COMPUTED_VALUE"""),"FIP General")</f>
        <v>FIP General</v>
      </c>
      <c r="M1179" s="6" t="str">
        <f>IFERROR(__xludf.DUMMYFUNCTION("""COMPUTED_VALUE"""),"Irwan Sopian")</f>
        <v>Irwan Sopian</v>
      </c>
      <c r="N1179" s="6" t="str">
        <f>IFERROR(__xludf.DUMMYFUNCTION("""COMPUTED_VALUE"""),"FIP Engineering")</f>
        <v>FIP Engineering</v>
      </c>
      <c r="O1179" s="6" t="str">
        <f>IFERROR(__xludf.DUMMYFUNCTION("""COMPUTED_VALUE"""),"FIP-DOM-ENG-51504-0000000-INA-000000")</f>
        <v>FIP-DOM-ENG-51504-0000000-INA-000000</v>
      </c>
      <c r="P1179" s="6" t="str">
        <f>IFERROR(__xludf.DUMMYFUNCTION("""COMPUTED_VALUE"""),"PO Closed")</f>
        <v>PO Closed</v>
      </c>
      <c r="Q1179" s="6" t="str">
        <f>IFERROR(__xludf.DUMMYFUNCTION("""COMPUTED_VALUE"""),"GL2006040")</f>
        <v>GL2006040</v>
      </c>
      <c r="R1179" s="57">
        <f>IFERROR(__xludf.DUMMYFUNCTION("""COMPUTED_VALUE"""),43986.0)</f>
        <v>43986</v>
      </c>
      <c r="S1179" s="6" t="str">
        <f>IFERROR(__xludf.DUMMYFUNCTION("""COMPUTED_VALUE"""),"-")</f>
        <v>-</v>
      </c>
      <c r="T1179" s="57">
        <f>IFERROR(__xludf.DUMMYFUNCTION("""COMPUTED_VALUE"""),44017.0)</f>
        <v>44017</v>
      </c>
    </row>
    <row r="1180">
      <c r="A1180" s="6" t="str">
        <f>IFERROR(__xludf.DUMMYFUNCTION("""COMPUTED_VALUE"""),"201750225-1")</f>
        <v>201750225-1</v>
      </c>
      <c r="B1180" s="6" t="str">
        <f>IFERROR(__xludf.DUMMYFUNCTION("""COMPUTED_VALUE"""),"201750225 - Approved")</f>
        <v>201750225 - Approved</v>
      </c>
      <c r="C1180" s="6">
        <f>IFERROR(__xludf.DUMMYFUNCTION("""COMPUTED_VALUE"""),1.0)</f>
        <v>1</v>
      </c>
      <c r="D1180" s="6" t="str">
        <f>IFERROR(__xludf.DUMMYFUNCTION("""COMPUTED_VALUE"""),"P-10017-00")</f>
        <v>P-10017-00</v>
      </c>
      <c r="E1180" s="6" t="str">
        <f>IFERROR(__xludf.DUMMYFUNCTION("""COMPUTED_VALUE"""),"Pre Filter G4 size : 24X24X2")</f>
        <v>Pre Filter G4 size : 24X24X2</v>
      </c>
      <c r="F1180" s="6">
        <f>IFERROR(__xludf.DUMMYFUNCTION("""COMPUTED_VALUE"""),30.0)</f>
        <v>30</v>
      </c>
      <c r="G1180" s="6" t="str">
        <f>IFERROR(__xludf.DUMMYFUNCTION("""COMPUTED_VALUE"""),"Unit")</f>
        <v>Unit</v>
      </c>
      <c r="H1180" s="6" t="str">
        <f>IFERROR(__xludf.DUMMYFUNCTION("""COMPUTED_VALUE"""),"IDR")</f>
        <v>IDR</v>
      </c>
      <c r="I1180" s="6">
        <f>IFERROR(__xludf.DUMMYFUNCTION("""COMPUTED_VALUE"""),120000.0)</f>
        <v>120000</v>
      </c>
      <c r="J1180" s="6">
        <f>IFERROR(__xludf.DUMMYFUNCTION("""COMPUTED_VALUE"""),3600000.0)</f>
        <v>3600000</v>
      </c>
      <c r="K1180" s="57">
        <f>IFERROR(__xludf.DUMMYFUNCTION("""COMPUTED_VALUE"""),44012.0)</f>
        <v>44012</v>
      </c>
      <c r="L1180" s="6" t="str">
        <f>IFERROR(__xludf.DUMMYFUNCTION("""COMPUTED_VALUE"""),"FIP Engineering")</f>
        <v>FIP Engineering</v>
      </c>
      <c r="M1180" s="6" t="str">
        <f>IFERROR(__xludf.DUMMYFUNCTION("""COMPUTED_VALUE"""),"Irwan Sopian")</f>
        <v>Irwan Sopian</v>
      </c>
      <c r="N1180" s="6" t="str">
        <f>IFERROR(__xludf.DUMMYFUNCTION("""COMPUTED_VALUE"""),"FIP Engineering")</f>
        <v>FIP Engineering</v>
      </c>
      <c r="O1180" s="6" t="str">
        <f>IFERROR(__xludf.DUMMYFUNCTION("""COMPUTED_VALUE"""),"FIP-DOM-000-11304-OS00001-INA-000000")</f>
        <v>FIP-DOM-000-11304-OS00001-INA-000000</v>
      </c>
      <c r="P1180" s="6" t="str">
        <f>IFERROR(__xludf.DUMMYFUNCTION("""COMPUTED_VALUE"""),"PO Closed")</f>
        <v>PO Closed</v>
      </c>
      <c r="Q1180" s="6" t="str">
        <f>IFERROR(__xludf.DUMMYFUNCTION("""COMPUTED_VALUE"""),"GL2006038")</f>
        <v>GL2006038</v>
      </c>
      <c r="R1180" s="57">
        <f>IFERROR(__xludf.DUMMYFUNCTION("""COMPUTED_VALUE"""),43986.0)</f>
        <v>43986</v>
      </c>
      <c r="S1180" s="6" t="str">
        <f>IFERROR(__xludf.DUMMYFUNCTION("""COMPUTED_VALUE"""),"-")</f>
        <v>-</v>
      </c>
      <c r="T1180" s="57">
        <f>IFERROR(__xludf.DUMMYFUNCTION("""COMPUTED_VALUE"""),44022.0)</f>
        <v>44022</v>
      </c>
    </row>
    <row r="1181">
      <c r="A1181" s="6" t="str">
        <f>IFERROR(__xludf.DUMMYFUNCTION("""COMPUTED_VALUE"""),"201750225-2")</f>
        <v>201750225-2</v>
      </c>
      <c r="B1181" s="6" t="str">
        <f>IFERROR(__xludf.DUMMYFUNCTION("""COMPUTED_VALUE"""),"201750225 - Approved")</f>
        <v>201750225 - Approved</v>
      </c>
      <c r="C1181" s="6">
        <f>IFERROR(__xludf.DUMMYFUNCTION("""COMPUTED_VALUE"""),2.0)</f>
        <v>2</v>
      </c>
      <c r="D1181" s="6" t="str">
        <f>IFERROR(__xludf.DUMMYFUNCTION("""COMPUTED_VALUE"""),"P-10019-00")</f>
        <v>P-10019-00</v>
      </c>
      <c r="E1181" s="6" t="str">
        <f>IFERROR(__xludf.DUMMYFUNCTION("""COMPUTED_VALUE"""),"Pre Filter G4 size : 12X24X2")</f>
        <v>Pre Filter G4 size : 12X24X2</v>
      </c>
      <c r="F1181" s="6">
        <f>IFERROR(__xludf.DUMMYFUNCTION("""COMPUTED_VALUE"""),10.0)</f>
        <v>10</v>
      </c>
      <c r="G1181" s="6" t="str">
        <f>IFERROR(__xludf.DUMMYFUNCTION("""COMPUTED_VALUE"""),"Unit")</f>
        <v>Unit</v>
      </c>
      <c r="H1181" s="6" t="str">
        <f>IFERROR(__xludf.DUMMYFUNCTION("""COMPUTED_VALUE"""),"IDR")</f>
        <v>IDR</v>
      </c>
      <c r="I1181" s="6">
        <f>IFERROR(__xludf.DUMMYFUNCTION("""COMPUTED_VALUE"""),80000.0)</f>
        <v>80000</v>
      </c>
      <c r="J1181" s="6">
        <f>IFERROR(__xludf.DUMMYFUNCTION("""COMPUTED_VALUE"""),800000.0)</f>
        <v>800000</v>
      </c>
      <c r="K1181" s="57">
        <f>IFERROR(__xludf.DUMMYFUNCTION("""COMPUTED_VALUE"""),44012.0)</f>
        <v>44012</v>
      </c>
      <c r="L1181" s="6" t="str">
        <f>IFERROR(__xludf.DUMMYFUNCTION("""COMPUTED_VALUE"""),"FIP Engineering")</f>
        <v>FIP Engineering</v>
      </c>
      <c r="M1181" s="6" t="str">
        <f>IFERROR(__xludf.DUMMYFUNCTION("""COMPUTED_VALUE"""),"Irwan Sopian")</f>
        <v>Irwan Sopian</v>
      </c>
      <c r="N1181" s="6" t="str">
        <f>IFERROR(__xludf.DUMMYFUNCTION("""COMPUTED_VALUE"""),"FIP Engineering")</f>
        <v>FIP Engineering</v>
      </c>
      <c r="O1181" s="6" t="str">
        <f>IFERROR(__xludf.DUMMYFUNCTION("""COMPUTED_VALUE"""),"FIP-DOM-000-11304-OS00001-INA-000000")</f>
        <v>FIP-DOM-000-11304-OS00001-INA-000000</v>
      </c>
      <c r="P1181" s="6" t="str">
        <f>IFERROR(__xludf.DUMMYFUNCTION("""COMPUTED_VALUE"""),"PO Closed")</f>
        <v>PO Closed</v>
      </c>
      <c r="Q1181" s="6" t="str">
        <f>IFERROR(__xludf.DUMMYFUNCTION("""COMPUTED_VALUE"""),"GL2006038")</f>
        <v>GL2006038</v>
      </c>
      <c r="R1181" s="57">
        <f>IFERROR(__xludf.DUMMYFUNCTION("""COMPUTED_VALUE"""),43986.0)</f>
        <v>43986</v>
      </c>
      <c r="S1181" s="6" t="str">
        <f>IFERROR(__xludf.DUMMYFUNCTION("""COMPUTED_VALUE"""),"-")</f>
        <v>-</v>
      </c>
      <c r="T1181" s="57">
        <f>IFERROR(__xludf.DUMMYFUNCTION("""COMPUTED_VALUE"""),44022.0)</f>
        <v>44022</v>
      </c>
    </row>
    <row r="1182">
      <c r="A1182" s="6" t="str">
        <f>IFERROR(__xludf.DUMMYFUNCTION("""COMPUTED_VALUE"""),"201750244-1")</f>
        <v>201750244-1</v>
      </c>
      <c r="B1182" s="6" t="str">
        <f>IFERROR(__xludf.DUMMYFUNCTION("""COMPUTED_VALUE"""),"201750244 - Approved")</f>
        <v>201750244 - Approved</v>
      </c>
      <c r="C1182" s="6">
        <f>IFERROR(__xludf.DUMMYFUNCTION("""COMPUTED_VALUE"""),1.0)</f>
        <v>1</v>
      </c>
      <c r="D1182" s="6" t="str">
        <f>IFERROR(__xludf.DUMMYFUNCTION("""COMPUTED_VALUE"""),"P-15351-00")</f>
        <v>P-15351-00</v>
      </c>
      <c r="E1182" s="6" t="str">
        <f>IFERROR(__xludf.DUMMYFUNCTION("""COMPUTED_VALUE"""),"FESTO - Plastic tubing PUN-10x1,5-BL (Blue) p/n 159668; ; ;")</f>
        <v>FESTO - Plastic tubing PUN-10x1,5-BL (Blue) p/n 159668; ; ;</v>
      </c>
      <c r="F1182" s="6">
        <f>IFERROR(__xludf.DUMMYFUNCTION("""COMPUTED_VALUE"""),50.0)</f>
        <v>50</v>
      </c>
      <c r="G1182" s="6" t="str">
        <f>IFERROR(__xludf.DUMMYFUNCTION("""COMPUTED_VALUE"""),"Pieces")</f>
        <v>Pieces</v>
      </c>
      <c r="H1182" s="6" t="str">
        <f>IFERROR(__xludf.DUMMYFUNCTION("""COMPUTED_VALUE"""),"IDR")</f>
        <v>IDR</v>
      </c>
      <c r="I1182" s="6">
        <f>IFERROR(__xludf.DUMMYFUNCTION("""COMPUTED_VALUE"""),34823.0)</f>
        <v>34823</v>
      </c>
      <c r="J1182" s="6">
        <f>IFERROR(__xludf.DUMMYFUNCTION("""COMPUTED_VALUE"""),1741150.0)</f>
        <v>1741150</v>
      </c>
      <c r="K1182" s="57">
        <f>IFERROR(__xludf.DUMMYFUNCTION("""COMPUTED_VALUE"""),44015.0)</f>
        <v>44015</v>
      </c>
      <c r="L1182" s="6" t="str">
        <f>IFERROR(__xludf.DUMMYFUNCTION("""COMPUTED_VALUE"""),"FIP Engineering")</f>
        <v>FIP Engineering</v>
      </c>
      <c r="M1182" s="6" t="str">
        <f>IFERROR(__xludf.DUMMYFUNCTION("""COMPUTED_VALUE"""),"Irwan Sopian")</f>
        <v>Irwan Sopian</v>
      </c>
      <c r="N1182" s="6" t="str">
        <f>IFERROR(__xludf.DUMMYFUNCTION("""COMPUTED_VALUE"""),"FIP Engineering")</f>
        <v>FIP Engineering</v>
      </c>
      <c r="O1182" s="6" t="str">
        <f>IFERROR(__xludf.DUMMYFUNCTION("""COMPUTED_VALUE"""),"FIP-DOM-000-11304-OS00001-INA-000000")</f>
        <v>FIP-DOM-000-11304-OS00001-INA-000000</v>
      </c>
      <c r="P1182" s="6" t="str">
        <f>IFERROR(__xludf.DUMMYFUNCTION("""COMPUTED_VALUE"""),"PO Closed")</f>
        <v>PO Closed</v>
      </c>
      <c r="Q1182" s="6" t="str">
        <f>IFERROR(__xludf.DUMMYFUNCTION("""COMPUTED_VALUE"""),"GL2006036")</f>
        <v>GL2006036</v>
      </c>
      <c r="R1182" s="57">
        <f>IFERROR(__xludf.DUMMYFUNCTION("""COMPUTED_VALUE"""),43992.0)</f>
        <v>43992</v>
      </c>
      <c r="S1182" s="6" t="str">
        <f>IFERROR(__xludf.DUMMYFUNCTION("""COMPUTED_VALUE"""),"-")</f>
        <v>-</v>
      </c>
      <c r="T1182" s="57">
        <f>IFERROR(__xludf.DUMMYFUNCTION("""COMPUTED_VALUE"""),44015.0)</f>
        <v>44015</v>
      </c>
    </row>
    <row r="1183">
      <c r="A1183" s="6" t="str">
        <f>IFERROR(__xludf.DUMMYFUNCTION("""COMPUTED_VALUE"""),"201750244-2")</f>
        <v>201750244-2</v>
      </c>
      <c r="B1183" s="6" t="str">
        <f>IFERROR(__xludf.DUMMYFUNCTION("""COMPUTED_VALUE"""),"201750244 - Approved")</f>
        <v>201750244 - Approved</v>
      </c>
      <c r="C1183" s="6">
        <f>IFERROR(__xludf.DUMMYFUNCTION("""COMPUTED_VALUE"""),2.0)</f>
        <v>2</v>
      </c>
      <c r="D1183" s="6" t="str">
        <f>IFERROR(__xludf.DUMMYFUNCTION("""COMPUTED_VALUE"""),"P-12258-00")</f>
        <v>P-12258-00</v>
      </c>
      <c r="E1183" s="6" t="str">
        <f>IFERROR(__xludf.DUMMYFUNCTION("""COMPUTED_VALUE"""),"FESTO - Push In Connector QS-10-10")</f>
        <v>FESTO - Push In Connector QS-10-10</v>
      </c>
      <c r="F1183" s="6">
        <f>IFERROR(__xludf.DUMMYFUNCTION("""COMPUTED_VALUE"""),12.0)</f>
        <v>12</v>
      </c>
      <c r="G1183" s="6" t="str">
        <f>IFERROR(__xludf.DUMMYFUNCTION("""COMPUTED_VALUE"""),"Pieces")</f>
        <v>Pieces</v>
      </c>
      <c r="H1183" s="6" t="str">
        <f>IFERROR(__xludf.DUMMYFUNCTION("""COMPUTED_VALUE"""),"IDR")</f>
        <v>IDR</v>
      </c>
      <c r="I1183" s="6">
        <f>IFERROR(__xludf.DUMMYFUNCTION("""COMPUTED_VALUE"""),64221.0)</f>
        <v>64221</v>
      </c>
      <c r="J1183" s="6">
        <f>IFERROR(__xludf.DUMMYFUNCTION("""COMPUTED_VALUE"""),770652.0)</f>
        <v>770652</v>
      </c>
      <c r="K1183" s="57">
        <f>IFERROR(__xludf.DUMMYFUNCTION("""COMPUTED_VALUE"""),44015.0)</f>
        <v>44015</v>
      </c>
      <c r="L1183" s="6" t="str">
        <f>IFERROR(__xludf.DUMMYFUNCTION("""COMPUTED_VALUE"""),"FIP Engineering")</f>
        <v>FIP Engineering</v>
      </c>
      <c r="M1183" s="6" t="str">
        <f>IFERROR(__xludf.DUMMYFUNCTION("""COMPUTED_VALUE"""),"Irwan Sopian")</f>
        <v>Irwan Sopian</v>
      </c>
      <c r="N1183" s="6" t="str">
        <f>IFERROR(__xludf.DUMMYFUNCTION("""COMPUTED_VALUE"""),"FIP Engineering")</f>
        <v>FIP Engineering</v>
      </c>
      <c r="O1183" s="6" t="str">
        <f>IFERROR(__xludf.DUMMYFUNCTION("""COMPUTED_VALUE"""),"FIP-DOM-000-11304-OS00001-INA-000000")</f>
        <v>FIP-DOM-000-11304-OS00001-INA-000000</v>
      </c>
      <c r="P1183" s="6" t="str">
        <f>IFERROR(__xludf.DUMMYFUNCTION("""COMPUTED_VALUE"""),"PO Closed")</f>
        <v>PO Closed</v>
      </c>
      <c r="Q1183" s="6" t="str">
        <f>IFERROR(__xludf.DUMMYFUNCTION("""COMPUTED_VALUE"""),"GL2006041")</f>
        <v>GL2006041</v>
      </c>
      <c r="R1183" s="57">
        <f>IFERROR(__xludf.DUMMYFUNCTION("""COMPUTED_VALUE"""),43992.0)</f>
        <v>43992</v>
      </c>
      <c r="S1183" s="6" t="str">
        <f>IFERROR(__xludf.DUMMYFUNCTION("""COMPUTED_VALUE"""),"-")</f>
        <v>-</v>
      </c>
      <c r="T1183" s="57">
        <f>IFERROR(__xludf.DUMMYFUNCTION("""COMPUTED_VALUE"""),44015.0)</f>
        <v>44015</v>
      </c>
    </row>
    <row r="1184">
      <c r="A1184" s="6" t="str">
        <f>IFERROR(__xludf.DUMMYFUNCTION("""COMPUTED_VALUE"""),"201750244-3")</f>
        <v>201750244-3</v>
      </c>
      <c r="B1184" s="6" t="str">
        <f>IFERROR(__xludf.DUMMYFUNCTION("""COMPUTED_VALUE"""),"201750244 - Approved")</f>
        <v>201750244 - Approved</v>
      </c>
      <c r="C1184" s="6">
        <f>IFERROR(__xludf.DUMMYFUNCTION("""COMPUTED_VALUE"""),3.0)</f>
        <v>3</v>
      </c>
      <c r="D1184" s="6" t="str">
        <f>IFERROR(__xludf.DUMMYFUNCTION("""COMPUTED_VALUE"""),"O-54013-00")</f>
        <v>O-54013-00</v>
      </c>
      <c r="E1184" s="6" t="str">
        <f>IFERROR(__xludf.DUMMYFUNCTION("""COMPUTED_VALUE"""),"SOCKET RJ 45")</f>
        <v>SOCKET RJ 45</v>
      </c>
      <c r="F1184" s="6">
        <f>IFERROR(__xludf.DUMMYFUNCTION("""COMPUTED_VALUE"""),20.0)</f>
        <v>20</v>
      </c>
      <c r="G1184" s="6" t="str">
        <f>IFERROR(__xludf.DUMMYFUNCTION("""COMPUTED_VALUE"""),"Pieces")</f>
        <v>Pieces</v>
      </c>
      <c r="H1184" s="6" t="str">
        <f>IFERROR(__xludf.DUMMYFUNCTION("""COMPUTED_VALUE"""),"IDR")</f>
        <v>IDR</v>
      </c>
      <c r="I1184" s="6">
        <f>IFERROR(__xludf.DUMMYFUNCTION("""COMPUTED_VALUE"""),1500.0)</f>
        <v>1500</v>
      </c>
      <c r="J1184" s="6">
        <f>IFERROR(__xludf.DUMMYFUNCTION("""COMPUTED_VALUE"""),30000.0)</f>
        <v>30000</v>
      </c>
      <c r="K1184" s="57">
        <f>IFERROR(__xludf.DUMMYFUNCTION("""COMPUTED_VALUE"""),44015.0)</f>
        <v>44015</v>
      </c>
      <c r="L1184" s="6" t="str">
        <f>IFERROR(__xludf.DUMMYFUNCTION("""COMPUTED_VALUE"""),"FIP Engineering")</f>
        <v>FIP Engineering</v>
      </c>
      <c r="M1184" s="6" t="str">
        <f>IFERROR(__xludf.DUMMYFUNCTION("""COMPUTED_VALUE"""),"Irwan Sopian")</f>
        <v>Irwan Sopian</v>
      </c>
      <c r="N1184" s="6" t="str">
        <f>IFERROR(__xludf.DUMMYFUNCTION("""COMPUTED_VALUE"""),"FIP Engineering")</f>
        <v>FIP Engineering</v>
      </c>
      <c r="O1184" s="6" t="str">
        <f>IFERROR(__xludf.DUMMYFUNCTION("""COMPUTED_VALUE"""),"FIP-DOM-000-11304-OS00001-INA-000000")</f>
        <v>FIP-DOM-000-11304-OS00001-INA-000000</v>
      </c>
      <c r="P1184" s="6" t="str">
        <f>IFERROR(__xludf.DUMMYFUNCTION("""COMPUTED_VALUE"""),"PO Closed")</f>
        <v>PO Closed</v>
      </c>
      <c r="Q1184" s="6" t="str">
        <f>IFERROR(__xludf.DUMMYFUNCTION("""COMPUTED_VALUE"""),"GL2006036")</f>
        <v>GL2006036</v>
      </c>
      <c r="R1184" s="57">
        <f>IFERROR(__xludf.DUMMYFUNCTION("""COMPUTED_VALUE"""),43992.0)</f>
        <v>43992</v>
      </c>
      <c r="S1184" s="6" t="str">
        <f>IFERROR(__xludf.DUMMYFUNCTION("""COMPUTED_VALUE"""),"-")</f>
        <v>-</v>
      </c>
      <c r="T1184" s="57">
        <f>IFERROR(__xludf.DUMMYFUNCTION("""COMPUTED_VALUE"""),44015.0)</f>
        <v>44015</v>
      </c>
    </row>
    <row r="1185">
      <c r="A1185" s="6" t="str">
        <f>IFERROR(__xludf.DUMMYFUNCTION("""COMPUTED_VALUE"""),"201750242-1")</f>
        <v>201750242-1</v>
      </c>
      <c r="B1185" s="6" t="str">
        <f>IFERROR(__xludf.DUMMYFUNCTION("""COMPUTED_VALUE"""),"201750242 - Approved")</f>
        <v>201750242 - Approved</v>
      </c>
      <c r="C1185" s="6">
        <f>IFERROR(__xludf.DUMMYFUNCTION("""COMPUTED_VALUE"""),1.0)</f>
        <v>1</v>
      </c>
      <c r="D1185" s="6" t="str">
        <f>IFERROR(__xludf.DUMMYFUNCTION("""COMPUTED_VALUE"""),"Q-10623-00")</f>
        <v>Q-10623-00</v>
      </c>
      <c r="E1185" s="6" t="str">
        <f>IFERROR(__xludf.DUMMYFUNCTION("""COMPUTED_VALUE"""),"Engsel Spring SS304 4x3x3ml Dekson")</f>
        <v>Engsel Spring SS304 4x3x3ml Dekson</v>
      </c>
      <c r="F1185" s="6">
        <f>IFERROR(__xludf.DUMMYFUNCTION("""COMPUTED_VALUE"""),2.0)</f>
        <v>2</v>
      </c>
      <c r="G1185" s="6" t="str">
        <f>IFERROR(__xludf.DUMMYFUNCTION("""COMPUTED_VALUE"""),"Pieces")</f>
        <v>Pieces</v>
      </c>
      <c r="H1185" s="6" t="str">
        <f>IFERROR(__xludf.DUMMYFUNCTION("""COMPUTED_VALUE"""),"IDR")</f>
        <v>IDR</v>
      </c>
      <c r="I1185" s="6">
        <f>IFERROR(__xludf.DUMMYFUNCTION("""COMPUTED_VALUE"""),325000.0)</f>
        <v>325000</v>
      </c>
      <c r="J1185" s="6">
        <f>IFERROR(__xludf.DUMMYFUNCTION("""COMPUTED_VALUE"""),650000.0)</f>
        <v>650000</v>
      </c>
      <c r="K1185" s="57">
        <f>IFERROR(__xludf.DUMMYFUNCTION("""COMPUTED_VALUE"""),44022.0)</f>
        <v>44022</v>
      </c>
      <c r="L1185" s="6" t="str">
        <f>IFERROR(__xludf.DUMMYFUNCTION("""COMPUTED_VALUE"""),"FIP Engineering")</f>
        <v>FIP Engineering</v>
      </c>
      <c r="M1185" s="6" t="str">
        <f>IFERROR(__xludf.DUMMYFUNCTION("""COMPUTED_VALUE"""),"Irwan Sopian")</f>
        <v>Irwan Sopian</v>
      </c>
      <c r="N1185" s="6" t="str">
        <f>IFERROR(__xludf.DUMMYFUNCTION("""COMPUTED_VALUE"""),"FIP Engineering")</f>
        <v>FIP Engineering</v>
      </c>
      <c r="O1185" s="6" t="str">
        <f>IFERROR(__xludf.DUMMYFUNCTION("""COMPUTED_VALUE"""),"FIP-DOM-000-11304-OS00001-INA-000000")</f>
        <v>FIP-DOM-000-11304-OS00001-INA-000000</v>
      </c>
      <c r="P1185" s="6" t="str">
        <f>IFERROR(__xludf.DUMMYFUNCTION("""COMPUTED_VALUE"""),"PO Closed")</f>
        <v>PO Closed</v>
      </c>
      <c r="Q1185" s="6" t="str">
        <f>IFERROR(__xludf.DUMMYFUNCTION("""COMPUTED_VALUE"""),"GL2007002")</f>
        <v>GL2007002</v>
      </c>
      <c r="R1185" s="57">
        <f>IFERROR(__xludf.DUMMYFUNCTION("""COMPUTED_VALUE"""),43992.0)</f>
        <v>43992</v>
      </c>
      <c r="S1185" s="6" t="str">
        <f>IFERROR(__xludf.DUMMYFUNCTION("""COMPUTED_VALUE"""),"-")</f>
        <v>-</v>
      </c>
      <c r="T1185" s="57">
        <f>IFERROR(__xludf.DUMMYFUNCTION("""COMPUTED_VALUE"""),44022.0)</f>
        <v>44022</v>
      </c>
    </row>
    <row r="1186">
      <c r="A1186" s="6" t="str">
        <f>IFERROR(__xludf.DUMMYFUNCTION("""COMPUTED_VALUE"""),"201750242-2")</f>
        <v>201750242-2</v>
      </c>
      <c r="B1186" s="6" t="str">
        <f>IFERROR(__xludf.DUMMYFUNCTION("""COMPUTED_VALUE"""),"201750242 - Approved")</f>
        <v>201750242 - Approved</v>
      </c>
      <c r="C1186" s="6">
        <f>IFERROR(__xludf.DUMMYFUNCTION("""COMPUTED_VALUE"""),2.0)</f>
        <v>2</v>
      </c>
      <c r="D1186" s="6" t="str">
        <f>IFERROR(__xludf.DUMMYFUNCTION("""COMPUTED_VALUE"""),"Q-60067-00")</f>
        <v>Q-60067-00</v>
      </c>
      <c r="E1186" s="6" t="str">
        <f>IFERROR(__xludf.DUMMYFUNCTION("""COMPUTED_VALUE"""),"Cat Pilox 124 - Silver")</f>
        <v>Cat Pilox 124 - Silver</v>
      </c>
      <c r="F1186" s="6">
        <f>IFERROR(__xludf.DUMMYFUNCTION("""COMPUTED_VALUE"""),6.0)</f>
        <v>6</v>
      </c>
      <c r="G1186" s="6" t="str">
        <f>IFERROR(__xludf.DUMMYFUNCTION("""COMPUTED_VALUE"""),"Can")</f>
        <v>Can</v>
      </c>
      <c r="H1186" s="6" t="str">
        <f>IFERROR(__xludf.DUMMYFUNCTION("""COMPUTED_VALUE"""),"IDR")</f>
        <v>IDR</v>
      </c>
      <c r="I1186" s="6">
        <f>IFERROR(__xludf.DUMMYFUNCTION("""COMPUTED_VALUE"""),33000.0)</f>
        <v>33000</v>
      </c>
      <c r="J1186" s="6">
        <f>IFERROR(__xludf.DUMMYFUNCTION("""COMPUTED_VALUE"""),198000.0)</f>
        <v>198000</v>
      </c>
      <c r="K1186" s="57">
        <f>IFERROR(__xludf.DUMMYFUNCTION("""COMPUTED_VALUE"""),44022.0)</f>
        <v>44022</v>
      </c>
      <c r="L1186" s="6" t="str">
        <f>IFERROR(__xludf.DUMMYFUNCTION("""COMPUTED_VALUE"""),"FIP Engineering")</f>
        <v>FIP Engineering</v>
      </c>
      <c r="M1186" s="6" t="str">
        <f>IFERROR(__xludf.DUMMYFUNCTION("""COMPUTED_VALUE"""),"Irwan Sopian")</f>
        <v>Irwan Sopian</v>
      </c>
      <c r="N1186" s="6" t="str">
        <f>IFERROR(__xludf.DUMMYFUNCTION("""COMPUTED_VALUE"""),"FIP Engineering")</f>
        <v>FIP Engineering</v>
      </c>
      <c r="O1186" s="6" t="str">
        <f>IFERROR(__xludf.DUMMYFUNCTION("""COMPUTED_VALUE"""),"FIP-DOM-000-11304-OS00001-INA-000000")</f>
        <v>FIP-DOM-000-11304-OS00001-INA-000000</v>
      </c>
      <c r="P1186" s="6" t="str">
        <f>IFERROR(__xludf.DUMMYFUNCTION("""COMPUTED_VALUE"""),"PO Closed")</f>
        <v>PO Closed</v>
      </c>
      <c r="Q1186" s="6" t="str">
        <f>IFERROR(__xludf.DUMMYFUNCTION("""COMPUTED_VALUE"""),"GL2007002")</f>
        <v>GL2007002</v>
      </c>
      <c r="R1186" s="57">
        <f>IFERROR(__xludf.DUMMYFUNCTION("""COMPUTED_VALUE"""),43992.0)</f>
        <v>43992</v>
      </c>
      <c r="S1186" s="6" t="str">
        <f>IFERROR(__xludf.DUMMYFUNCTION("""COMPUTED_VALUE"""),"-")</f>
        <v>-</v>
      </c>
      <c r="T1186" s="57">
        <f>IFERROR(__xludf.DUMMYFUNCTION("""COMPUTED_VALUE"""),44022.0)</f>
        <v>44022</v>
      </c>
    </row>
    <row r="1187">
      <c r="A1187" s="6" t="str">
        <f>IFERROR(__xludf.DUMMYFUNCTION("""COMPUTED_VALUE"""),"201750242-3")</f>
        <v>201750242-3</v>
      </c>
      <c r="B1187" s="6" t="str">
        <f>IFERROR(__xludf.DUMMYFUNCTION("""COMPUTED_VALUE"""),"201750242 - Approved")</f>
        <v>201750242 - Approved</v>
      </c>
      <c r="C1187" s="6">
        <f>IFERROR(__xludf.DUMMYFUNCTION("""COMPUTED_VALUE"""),3.0)</f>
        <v>3</v>
      </c>
      <c r="D1187" s="6" t="str">
        <f>IFERROR(__xludf.DUMMYFUNCTION("""COMPUTED_VALUE"""),"Q-10475-00")</f>
        <v>Q-10475-00</v>
      </c>
      <c r="E1187" s="6" t="str">
        <f>IFERROR(__xludf.DUMMYFUNCTION("""COMPUTED_VALUE"""),"Cat Tembok")</f>
        <v>Cat Tembok</v>
      </c>
      <c r="F1187" s="6">
        <f>IFERROR(__xludf.DUMMYFUNCTION("""COMPUTED_VALUE"""),3.0)</f>
        <v>3</v>
      </c>
      <c r="G1187" s="6" t="str">
        <f>IFERROR(__xludf.DUMMYFUNCTION("""COMPUTED_VALUE"""),"Can")</f>
        <v>Can</v>
      </c>
      <c r="H1187" s="6" t="str">
        <f>IFERROR(__xludf.DUMMYFUNCTION("""COMPUTED_VALUE"""),"IDR")</f>
        <v>IDR</v>
      </c>
      <c r="I1187" s="6">
        <f>IFERROR(__xludf.DUMMYFUNCTION("""COMPUTED_VALUE"""),277500.0)</f>
        <v>277500</v>
      </c>
      <c r="J1187" s="6">
        <f>IFERROR(__xludf.DUMMYFUNCTION("""COMPUTED_VALUE"""),832500.0)</f>
        <v>832500</v>
      </c>
      <c r="K1187" s="57">
        <f>IFERROR(__xludf.DUMMYFUNCTION("""COMPUTED_VALUE"""),44022.0)</f>
        <v>44022</v>
      </c>
      <c r="L1187" s="6" t="str">
        <f>IFERROR(__xludf.DUMMYFUNCTION("""COMPUTED_VALUE"""),"FIP General")</f>
        <v>FIP General</v>
      </c>
      <c r="M1187" s="6" t="str">
        <f>IFERROR(__xludf.DUMMYFUNCTION("""COMPUTED_VALUE"""),"Irwan Sopian")</f>
        <v>Irwan Sopian</v>
      </c>
      <c r="N1187" s="6" t="str">
        <f>IFERROR(__xludf.DUMMYFUNCTION("""COMPUTED_VALUE"""),"FIP Engineering")</f>
        <v>FIP Engineering</v>
      </c>
      <c r="O1187" s="6" t="str">
        <f>IFERROR(__xludf.DUMMYFUNCTION("""COMPUTED_VALUE"""),"FIP-DOM-ENG-51502-0000000-INA-000000")</f>
        <v>FIP-DOM-ENG-51502-0000000-INA-000000</v>
      </c>
      <c r="P1187" s="6" t="str">
        <f>IFERROR(__xludf.DUMMYFUNCTION("""COMPUTED_VALUE"""),"PO Closed")</f>
        <v>PO Closed</v>
      </c>
      <c r="Q1187" s="6" t="str">
        <f>IFERROR(__xludf.DUMMYFUNCTION("""COMPUTED_VALUE"""),"GL2007005")</f>
        <v>GL2007005</v>
      </c>
      <c r="R1187" s="57">
        <f>IFERROR(__xludf.DUMMYFUNCTION("""COMPUTED_VALUE"""),43992.0)</f>
        <v>43992</v>
      </c>
      <c r="S1187" s="6" t="str">
        <f>IFERROR(__xludf.DUMMYFUNCTION("""COMPUTED_VALUE"""),"-")</f>
        <v>-</v>
      </c>
      <c r="T1187" s="57">
        <f>IFERROR(__xludf.DUMMYFUNCTION("""COMPUTED_VALUE"""),44024.0)</f>
        <v>44024</v>
      </c>
    </row>
    <row r="1188">
      <c r="A1188" s="6" t="str">
        <f>IFERROR(__xludf.DUMMYFUNCTION("""COMPUTED_VALUE"""),"201750242-4")</f>
        <v>201750242-4</v>
      </c>
      <c r="B1188" s="6" t="str">
        <f>IFERROR(__xludf.DUMMYFUNCTION("""COMPUTED_VALUE"""),"201750242 - Approved")</f>
        <v>201750242 - Approved</v>
      </c>
      <c r="C1188" s="6">
        <f>IFERROR(__xludf.DUMMYFUNCTION("""COMPUTED_VALUE"""),4.0)</f>
        <v>4</v>
      </c>
      <c r="D1188" s="6" t="str">
        <f>IFERROR(__xludf.DUMMYFUNCTION("""COMPUTED_VALUE"""),"P-52110-00")</f>
        <v>P-52110-00</v>
      </c>
      <c r="E1188" s="6" t="str">
        <f>IFERROR(__xludf.DUMMYFUNCTION("""COMPUTED_VALUE"""),"CAPACITOR 5 uF, 500 V, 50/60 Hz; ; ;")</f>
        <v>CAPACITOR 5 uF, 500 V, 50/60 Hz; ; ;</v>
      </c>
      <c r="F1188" s="6">
        <f>IFERROR(__xludf.DUMMYFUNCTION("""COMPUTED_VALUE"""),10.0)</f>
        <v>10</v>
      </c>
      <c r="G1188" s="6" t="str">
        <f>IFERROR(__xludf.DUMMYFUNCTION("""COMPUTED_VALUE"""),"Pieces")</f>
        <v>Pieces</v>
      </c>
      <c r="H1188" s="6" t="str">
        <f>IFERROR(__xludf.DUMMYFUNCTION("""COMPUTED_VALUE"""),"IDR")</f>
        <v>IDR</v>
      </c>
      <c r="I1188" s="6">
        <f>IFERROR(__xludf.DUMMYFUNCTION("""COMPUTED_VALUE"""),20000.0)</f>
        <v>20000</v>
      </c>
      <c r="J1188" s="6">
        <f>IFERROR(__xludf.DUMMYFUNCTION("""COMPUTED_VALUE"""),200000.0)</f>
        <v>200000</v>
      </c>
      <c r="K1188" s="57">
        <f>IFERROR(__xludf.DUMMYFUNCTION("""COMPUTED_VALUE"""),44022.0)</f>
        <v>44022</v>
      </c>
      <c r="L1188" s="6" t="str">
        <f>IFERROR(__xludf.DUMMYFUNCTION("""COMPUTED_VALUE"""),"FIP Engineering")</f>
        <v>FIP Engineering</v>
      </c>
      <c r="M1188" s="6" t="str">
        <f>IFERROR(__xludf.DUMMYFUNCTION("""COMPUTED_VALUE"""),"Irwan Sopian")</f>
        <v>Irwan Sopian</v>
      </c>
      <c r="N1188" s="6" t="str">
        <f>IFERROR(__xludf.DUMMYFUNCTION("""COMPUTED_VALUE"""),"FIP Engineering")</f>
        <v>FIP Engineering</v>
      </c>
      <c r="O1188" s="6" t="str">
        <f>IFERROR(__xludf.DUMMYFUNCTION("""COMPUTED_VALUE"""),"FIP-DOM-000-11304-OS00001-INA-000000")</f>
        <v>FIP-DOM-000-11304-OS00001-INA-000000</v>
      </c>
      <c r="P1188" s="6" t="str">
        <f>IFERROR(__xludf.DUMMYFUNCTION("""COMPUTED_VALUE"""),"PO Closed")</f>
        <v>PO Closed</v>
      </c>
      <c r="Q1188" s="6" t="str">
        <f>IFERROR(__xludf.DUMMYFUNCTION("""COMPUTED_VALUE"""),"GL2007004")</f>
        <v>GL2007004</v>
      </c>
      <c r="R1188" s="57">
        <f>IFERROR(__xludf.DUMMYFUNCTION("""COMPUTED_VALUE"""),43992.0)</f>
        <v>43992</v>
      </c>
      <c r="S1188" s="6" t="str">
        <f>IFERROR(__xludf.DUMMYFUNCTION("""COMPUTED_VALUE"""),"-")</f>
        <v>-</v>
      </c>
      <c r="T1188" s="57">
        <f>IFERROR(__xludf.DUMMYFUNCTION("""COMPUTED_VALUE"""),44030.0)</f>
        <v>44030</v>
      </c>
    </row>
    <row r="1189">
      <c r="A1189" s="6" t="str">
        <f>IFERROR(__xludf.DUMMYFUNCTION("""COMPUTED_VALUE"""),"201750242-5")</f>
        <v>201750242-5</v>
      </c>
      <c r="B1189" s="6" t="str">
        <f>IFERROR(__xludf.DUMMYFUNCTION("""COMPUTED_VALUE"""),"201750242 - Approved")</f>
        <v>201750242 - Approved</v>
      </c>
      <c r="C1189" s="6">
        <f>IFERROR(__xludf.DUMMYFUNCTION("""COMPUTED_VALUE"""),5.0)</f>
        <v>5</v>
      </c>
      <c r="D1189" s="6" t="str">
        <f>IFERROR(__xludf.DUMMYFUNCTION("""COMPUTED_VALUE"""),"O-15931-00")</f>
        <v>O-15931-00</v>
      </c>
      <c r="E1189" s="6" t="str">
        <f>IFERROR(__xludf.DUMMYFUNCTION("""COMPUTED_VALUE"""),"Double Tape 3M 1"" Merah; ; ;")</f>
        <v>Double Tape 3M 1" Merah; ; ;</v>
      </c>
      <c r="F1189" s="6">
        <f>IFERROR(__xludf.DUMMYFUNCTION("""COMPUTED_VALUE"""),5.0)</f>
        <v>5</v>
      </c>
      <c r="G1189" s="6" t="str">
        <f>IFERROR(__xludf.DUMMYFUNCTION("""COMPUTED_VALUE"""),"Pieces")</f>
        <v>Pieces</v>
      </c>
      <c r="H1189" s="6" t="str">
        <f>IFERROR(__xludf.DUMMYFUNCTION("""COMPUTED_VALUE"""),"IDR")</f>
        <v>IDR</v>
      </c>
      <c r="I1189" s="6">
        <f>IFERROR(__xludf.DUMMYFUNCTION("""COMPUTED_VALUE"""),112500.0)</f>
        <v>112500</v>
      </c>
      <c r="J1189" s="6">
        <f>IFERROR(__xludf.DUMMYFUNCTION("""COMPUTED_VALUE"""),562500.0)</f>
        <v>562500</v>
      </c>
      <c r="K1189" s="57">
        <f>IFERROR(__xludf.DUMMYFUNCTION("""COMPUTED_VALUE"""),44022.0)</f>
        <v>44022</v>
      </c>
      <c r="L1189" s="6" t="str">
        <f>IFERROR(__xludf.DUMMYFUNCTION("""COMPUTED_VALUE"""),"FIP Engineering")</f>
        <v>FIP Engineering</v>
      </c>
      <c r="M1189" s="6" t="str">
        <f>IFERROR(__xludf.DUMMYFUNCTION("""COMPUTED_VALUE"""),"Irwan Sopian")</f>
        <v>Irwan Sopian</v>
      </c>
      <c r="N1189" s="6" t="str">
        <f>IFERROR(__xludf.DUMMYFUNCTION("""COMPUTED_VALUE"""),"FIP Engineering")</f>
        <v>FIP Engineering</v>
      </c>
      <c r="O1189" s="6" t="str">
        <f>IFERROR(__xludf.DUMMYFUNCTION("""COMPUTED_VALUE"""),"FIP-DOM-000-11304-OS00001-INA-000000")</f>
        <v>FIP-DOM-000-11304-OS00001-INA-000000</v>
      </c>
      <c r="P1189" s="6" t="str">
        <f>IFERROR(__xludf.DUMMYFUNCTION("""COMPUTED_VALUE"""),"PO Closed")</f>
        <v>PO Closed</v>
      </c>
      <c r="Q1189" s="6" t="str">
        <f>IFERROR(__xludf.DUMMYFUNCTION("""COMPUTED_VALUE"""),"GL2007004")</f>
        <v>GL2007004</v>
      </c>
      <c r="R1189" s="57">
        <f>IFERROR(__xludf.DUMMYFUNCTION("""COMPUTED_VALUE"""),43992.0)</f>
        <v>43992</v>
      </c>
      <c r="S1189" s="6" t="str">
        <f>IFERROR(__xludf.DUMMYFUNCTION("""COMPUTED_VALUE"""),"-")</f>
        <v>-</v>
      </c>
      <c r="T1189" s="57">
        <f>IFERROR(__xludf.DUMMYFUNCTION("""COMPUTED_VALUE"""),44030.0)</f>
        <v>44030</v>
      </c>
    </row>
    <row r="1190">
      <c r="A1190" s="6" t="str">
        <f>IFERROR(__xludf.DUMMYFUNCTION("""COMPUTED_VALUE"""),"201750242-6")</f>
        <v>201750242-6</v>
      </c>
      <c r="B1190" s="6" t="str">
        <f>IFERROR(__xludf.DUMMYFUNCTION("""COMPUTED_VALUE"""),"201750242 - Approved")</f>
        <v>201750242 - Approved</v>
      </c>
      <c r="C1190" s="6">
        <f>IFERROR(__xludf.DUMMYFUNCTION("""COMPUTED_VALUE"""),6.0)</f>
        <v>6</v>
      </c>
      <c r="D1190" s="6" t="str">
        <f>IFERROR(__xludf.DUMMYFUNCTION("""COMPUTED_VALUE"""),"P-53102-00")</f>
        <v>P-53102-00</v>
      </c>
      <c r="E1190" s="6" t="str">
        <f>IFERROR(__xludf.DUMMYFUNCTION("""COMPUTED_VALUE"""),"Lampu PLC 13watt/E27 Putih Phillips")</f>
        <v>Lampu PLC 13watt/E27 Putih Phillips</v>
      </c>
      <c r="F1190" s="6">
        <f>IFERROR(__xludf.DUMMYFUNCTION("""COMPUTED_VALUE"""),15.0)</f>
        <v>15</v>
      </c>
      <c r="G1190" s="6" t="str">
        <f>IFERROR(__xludf.DUMMYFUNCTION("""COMPUTED_VALUE"""),"Pieces")</f>
        <v>Pieces</v>
      </c>
      <c r="H1190" s="6" t="str">
        <f>IFERROR(__xludf.DUMMYFUNCTION("""COMPUTED_VALUE"""),"IDR")</f>
        <v>IDR</v>
      </c>
      <c r="I1190" s="6">
        <f>IFERROR(__xludf.DUMMYFUNCTION("""COMPUTED_VALUE"""),27000.0)</f>
        <v>27000</v>
      </c>
      <c r="J1190" s="6">
        <f>IFERROR(__xludf.DUMMYFUNCTION("""COMPUTED_VALUE"""),405000.0)</f>
        <v>405000</v>
      </c>
      <c r="K1190" s="57">
        <f>IFERROR(__xludf.DUMMYFUNCTION("""COMPUTED_VALUE"""),44022.0)</f>
        <v>44022</v>
      </c>
      <c r="L1190" s="6" t="str">
        <f>IFERROR(__xludf.DUMMYFUNCTION("""COMPUTED_VALUE"""),"FIP Engineering")</f>
        <v>FIP Engineering</v>
      </c>
      <c r="M1190" s="6" t="str">
        <f>IFERROR(__xludf.DUMMYFUNCTION("""COMPUTED_VALUE"""),"Irwan Sopian")</f>
        <v>Irwan Sopian</v>
      </c>
      <c r="N1190" s="6" t="str">
        <f>IFERROR(__xludf.DUMMYFUNCTION("""COMPUTED_VALUE"""),"FIP Engineering")</f>
        <v>FIP Engineering</v>
      </c>
      <c r="O1190" s="6" t="str">
        <f>IFERROR(__xludf.DUMMYFUNCTION("""COMPUTED_VALUE"""),"FIP-DOM-000-11304-OS00001-INA-000000")</f>
        <v>FIP-DOM-000-11304-OS00001-INA-000000</v>
      </c>
      <c r="P1190" s="6" t="str">
        <f>IFERROR(__xludf.DUMMYFUNCTION("""COMPUTED_VALUE"""),"PO Closed")</f>
        <v>PO Closed</v>
      </c>
      <c r="Q1190" s="6" t="str">
        <f>IFERROR(__xludf.DUMMYFUNCTION("""COMPUTED_VALUE"""),"GL2007004")</f>
        <v>GL2007004</v>
      </c>
      <c r="R1190" s="57">
        <f>IFERROR(__xludf.DUMMYFUNCTION("""COMPUTED_VALUE"""),43992.0)</f>
        <v>43992</v>
      </c>
      <c r="S1190" s="6" t="str">
        <f>IFERROR(__xludf.DUMMYFUNCTION("""COMPUTED_VALUE"""),"-")</f>
        <v>-</v>
      </c>
      <c r="T1190" s="57">
        <f>IFERROR(__xludf.DUMMYFUNCTION("""COMPUTED_VALUE"""),44030.0)</f>
        <v>44030</v>
      </c>
    </row>
    <row r="1191">
      <c r="A1191" s="6" t="str">
        <f>IFERROR(__xludf.DUMMYFUNCTION("""COMPUTED_VALUE"""),"201750251-1")</f>
        <v>201750251-1</v>
      </c>
      <c r="B1191" s="6" t="str">
        <f>IFERROR(__xludf.DUMMYFUNCTION("""COMPUTED_VALUE"""),"201750251 - Approved")</f>
        <v>201750251 - Approved</v>
      </c>
      <c r="C1191" s="6">
        <f>IFERROR(__xludf.DUMMYFUNCTION("""COMPUTED_VALUE"""),1.0)</f>
        <v>1</v>
      </c>
      <c r="D1191" s="6" t="str">
        <f>IFERROR(__xludf.DUMMYFUNCTION("""COMPUTED_VALUE"""),"P-12983-00")</f>
        <v>P-12983-00</v>
      </c>
      <c r="E1191" s="6" t="str">
        <f>IFERROR(__xludf.DUMMYFUNCTION("""COMPUTED_VALUE"""),"Helicoil dia. M6x6mm")</f>
        <v>Helicoil dia. M6x6mm</v>
      </c>
      <c r="F1191" s="6">
        <f>IFERROR(__xludf.DUMMYFUNCTION("""COMPUTED_VALUE"""),10.0)</f>
        <v>10</v>
      </c>
      <c r="G1191" s="6" t="str">
        <f>IFERROR(__xludf.DUMMYFUNCTION("""COMPUTED_VALUE"""),"Pieces")</f>
        <v>Pieces</v>
      </c>
      <c r="H1191" s="6" t="str">
        <f>IFERROR(__xludf.DUMMYFUNCTION("""COMPUTED_VALUE"""),"IDR")</f>
        <v>IDR</v>
      </c>
      <c r="I1191" s="6">
        <f>IFERROR(__xludf.DUMMYFUNCTION("""COMPUTED_VALUE"""),18600.0)</f>
        <v>18600</v>
      </c>
      <c r="J1191" s="6">
        <f>IFERROR(__xludf.DUMMYFUNCTION("""COMPUTED_VALUE"""),186000.0)</f>
        <v>186000</v>
      </c>
      <c r="K1191" s="57">
        <f>IFERROR(__xludf.DUMMYFUNCTION("""COMPUTED_VALUE"""),44022.0)</f>
        <v>44022</v>
      </c>
      <c r="L1191" s="6" t="str">
        <f>IFERROR(__xludf.DUMMYFUNCTION("""COMPUTED_VALUE"""),"FIP Engineering")</f>
        <v>FIP Engineering</v>
      </c>
      <c r="M1191" s="6" t="str">
        <f>IFERROR(__xludf.DUMMYFUNCTION("""COMPUTED_VALUE"""),"Irwan Sopian")</f>
        <v>Irwan Sopian</v>
      </c>
      <c r="N1191" s="6" t="str">
        <f>IFERROR(__xludf.DUMMYFUNCTION("""COMPUTED_VALUE"""),"FIP Engineering")</f>
        <v>FIP Engineering</v>
      </c>
      <c r="O1191" s="6" t="str">
        <f>IFERROR(__xludf.DUMMYFUNCTION("""COMPUTED_VALUE"""),"FIP-DOM-000-11304-OS00001-INA-000000")</f>
        <v>FIP-DOM-000-11304-OS00001-INA-000000</v>
      </c>
      <c r="P1191" s="6" t="str">
        <f>IFERROR(__xludf.DUMMYFUNCTION("""COMPUTED_VALUE"""),"PO Closed")</f>
        <v>PO Closed</v>
      </c>
      <c r="Q1191" s="6" t="str">
        <f>IFERROR(__xludf.DUMMYFUNCTION("""COMPUTED_VALUE"""),"GL2007016")</f>
        <v>GL2007016</v>
      </c>
      <c r="R1191" s="57">
        <f>IFERROR(__xludf.DUMMYFUNCTION("""COMPUTED_VALUE"""),43994.0)</f>
        <v>43994</v>
      </c>
      <c r="S1191" s="6" t="str">
        <f>IFERROR(__xludf.DUMMYFUNCTION("""COMPUTED_VALUE"""),"-")</f>
        <v>-</v>
      </c>
      <c r="T1191" s="57">
        <f>IFERROR(__xludf.DUMMYFUNCTION("""COMPUTED_VALUE"""),44039.0)</f>
        <v>44039</v>
      </c>
    </row>
    <row r="1192">
      <c r="A1192" s="6" t="str">
        <f>IFERROR(__xludf.DUMMYFUNCTION("""COMPUTED_VALUE"""),"201750251-2")</f>
        <v>201750251-2</v>
      </c>
      <c r="B1192" s="6" t="str">
        <f>IFERROR(__xludf.DUMMYFUNCTION("""COMPUTED_VALUE"""),"201750251 - Approved")</f>
        <v>201750251 - Approved</v>
      </c>
      <c r="C1192" s="6">
        <f>IFERROR(__xludf.DUMMYFUNCTION("""COMPUTED_VALUE"""),2.0)</f>
        <v>2</v>
      </c>
      <c r="D1192" s="6" t="str">
        <f>IFERROR(__xludf.DUMMYFUNCTION("""COMPUTED_VALUE"""),"P-15880-00")</f>
        <v>P-15880-00</v>
      </c>
      <c r="E1192" s="6" t="str">
        <f>IFERROR(__xludf.DUMMYFUNCTION("""COMPUTED_VALUE"""),"Keramik Argon No. 5")</f>
        <v>Keramik Argon No. 5</v>
      </c>
      <c r="F1192" s="6">
        <f>IFERROR(__xludf.DUMMYFUNCTION("""COMPUTED_VALUE"""),5.0)</f>
        <v>5</v>
      </c>
      <c r="G1192" s="6" t="str">
        <f>IFERROR(__xludf.DUMMYFUNCTION("""COMPUTED_VALUE"""),"Pieces")</f>
        <v>Pieces</v>
      </c>
      <c r="H1192" s="6" t="str">
        <f>IFERROR(__xludf.DUMMYFUNCTION("""COMPUTED_VALUE"""),"IDR")</f>
        <v>IDR</v>
      </c>
      <c r="I1192" s="6">
        <f>IFERROR(__xludf.DUMMYFUNCTION("""COMPUTED_VALUE"""),15000.0)</f>
        <v>15000</v>
      </c>
      <c r="J1192" s="6">
        <f>IFERROR(__xludf.DUMMYFUNCTION("""COMPUTED_VALUE"""),75000.0)</f>
        <v>75000</v>
      </c>
      <c r="K1192" s="57">
        <f>IFERROR(__xludf.DUMMYFUNCTION("""COMPUTED_VALUE"""),44022.0)</f>
        <v>44022</v>
      </c>
      <c r="L1192" s="6" t="str">
        <f>IFERROR(__xludf.DUMMYFUNCTION("""COMPUTED_VALUE"""),"FIP General")</f>
        <v>FIP General</v>
      </c>
      <c r="M1192" s="6" t="str">
        <f>IFERROR(__xludf.DUMMYFUNCTION("""COMPUTED_VALUE"""),"Irwan Sopian")</f>
        <v>Irwan Sopian</v>
      </c>
      <c r="N1192" s="6" t="str">
        <f>IFERROR(__xludf.DUMMYFUNCTION("""COMPUTED_VALUE"""),"FIP Engineering")</f>
        <v>FIP Engineering</v>
      </c>
      <c r="O1192" s="6" t="str">
        <f>IFERROR(__xludf.DUMMYFUNCTION("""COMPUTED_VALUE"""),"FIP-DOM-ENG-51404-0000000-INA-000000")</f>
        <v>FIP-DOM-ENG-51404-0000000-INA-000000</v>
      </c>
      <c r="P1192" s="6" t="str">
        <f>IFERROR(__xludf.DUMMYFUNCTION("""COMPUTED_VALUE"""),"PO Closed")</f>
        <v>PO Closed</v>
      </c>
      <c r="Q1192" s="6" t="str">
        <f>IFERROR(__xludf.DUMMYFUNCTION("""COMPUTED_VALUE"""),"GL2007016")</f>
        <v>GL2007016</v>
      </c>
      <c r="R1192" s="57">
        <f>IFERROR(__xludf.DUMMYFUNCTION("""COMPUTED_VALUE"""),43994.0)</f>
        <v>43994</v>
      </c>
      <c r="S1192" s="6" t="str">
        <f>IFERROR(__xludf.DUMMYFUNCTION("""COMPUTED_VALUE"""),"-")</f>
        <v>-</v>
      </c>
      <c r="T1192" s="57">
        <f>IFERROR(__xludf.DUMMYFUNCTION("""COMPUTED_VALUE"""),44039.0)</f>
        <v>44039</v>
      </c>
    </row>
    <row r="1193">
      <c r="A1193" s="6" t="str">
        <f>IFERROR(__xludf.DUMMYFUNCTION("""COMPUTED_VALUE"""),"201750251-3")</f>
        <v>201750251-3</v>
      </c>
      <c r="B1193" s="6" t="str">
        <f>IFERROR(__xludf.DUMMYFUNCTION("""COMPUTED_VALUE"""),"201750251 - Approved")</f>
        <v>201750251 - Approved</v>
      </c>
      <c r="C1193" s="6">
        <f>IFERROR(__xludf.DUMMYFUNCTION("""COMPUTED_VALUE"""),3.0)</f>
        <v>3</v>
      </c>
      <c r="D1193" s="6" t="str">
        <f>IFERROR(__xludf.DUMMYFUNCTION("""COMPUTED_VALUE"""),"P-13423-00")</f>
        <v>P-13423-00</v>
      </c>
      <c r="E1193" s="6" t="str">
        <f>IFERROR(__xludf.DUMMYFUNCTION("""COMPUTED_VALUE"""),"Tig Torch Short Back Cap WP9/20 Size : Short")</f>
        <v>Tig Torch Short Back Cap WP9/20 Size : Short</v>
      </c>
      <c r="F1193" s="6">
        <f>IFERROR(__xludf.DUMMYFUNCTION("""COMPUTED_VALUE"""),4.0)</f>
        <v>4</v>
      </c>
      <c r="G1193" s="6" t="str">
        <f>IFERROR(__xludf.DUMMYFUNCTION("""COMPUTED_VALUE"""),"Pieces")</f>
        <v>Pieces</v>
      </c>
      <c r="H1193" s="6" t="str">
        <f>IFERROR(__xludf.DUMMYFUNCTION("""COMPUTED_VALUE"""),"IDR")</f>
        <v>IDR</v>
      </c>
      <c r="I1193" s="6">
        <f>IFERROR(__xludf.DUMMYFUNCTION("""COMPUTED_VALUE"""),30000.0)</f>
        <v>30000</v>
      </c>
      <c r="J1193" s="6">
        <f>IFERROR(__xludf.DUMMYFUNCTION("""COMPUTED_VALUE"""),120000.0)</f>
        <v>120000</v>
      </c>
      <c r="K1193" s="57">
        <f>IFERROR(__xludf.DUMMYFUNCTION("""COMPUTED_VALUE"""),44022.0)</f>
        <v>44022</v>
      </c>
      <c r="L1193" s="6" t="str">
        <f>IFERROR(__xludf.DUMMYFUNCTION("""COMPUTED_VALUE"""),"FIP General")</f>
        <v>FIP General</v>
      </c>
      <c r="M1193" s="6" t="str">
        <f>IFERROR(__xludf.DUMMYFUNCTION("""COMPUTED_VALUE"""),"Irwan Sopian")</f>
        <v>Irwan Sopian</v>
      </c>
      <c r="N1193" s="6" t="str">
        <f>IFERROR(__xludf.DUMMYFUNCTION("""COMPUTED_VALUE"""),"FIP Engineering")</f>
        <v>FIP Engineering</v>
      </c>
      <c r="O1193" s="6" t="str">
        <f>IFERROR(__xludf.DUMMYFUNCTION("""COMPUTED_VALUE"""),"FIP-DOM-ENG-51404-0000000-INA-000000")</f>
        <v>FIP-DOM-ENG-51404-0000000-INA-000000</v>
      </c>
      <c r="P1193" s="6" t="str">
        <f>IFERROR(__xludf.DUMMYFUNCTION("""COMPUTED_VALUE"""),"PO Closed")</f>
        <v>PO Closed</v>
      </c>
      <c r="Q1193" s="6" t="str">
        <f>IFERROR(__xludf.DUMMYFUNCTION("""COMPUTED_VALUE"""),"GL2007016")</f>
        <v>GL2007016</v>
      </c>
      <c r="R1193" s="57">
        <f>IFERROR(__xludf.DUMMYFUNCTION("""COMPUTED_VALUE"""),43994.0)</f>
        <v>43994</v>
      </c>
      <c r="S1193" s="6" t="str">
        <f>IFERROR(__xludf.DUMMYFUNCTION("""COMPUTED_VALUE"""),"-")</f>
        <v>-</v>
      </c>
      <c r="T1193" s="57">
        <f>IFERROR(__xludf.DUMMYFUNCTION("""COMPUTED_VALUE"""),44039.0)</f>
        <v>44039</v>
      </c>
    </row>
    <row r="1194">
      <c r="A1194" s="6" t="str">
        <f>IFERROR(__xludf.DUMMYFUNCTION("""COMPUTED_VALUE"""),"201750251-4")</f>
        <v>201750251-4</v>
      </c>
      <c r="B1194" s="6" t="str">
        <f>IFERROR(__xludf.DUMMYFUNCTION("""COMPUTED_VALUE"""),"201750251 - Approved")</f>
        <v>201750251 - Approved</v>
      </c>
      <c r="C1194" s="6">
        <f>IFERROR(__xludf.DUMMYFUNCTION("""COMPUTED_VALUE"""),4.0)</f>
        <v>4</v>
      </c>
      <c r="D1194" s="6" t="str">
        <f>IFERROR(__xludf.DUMMYFUNCTION("""COMPUTED_VALUE"""),"P-13422-00")</f>
        <v>P-13422-00</v>
      </c>
      <c r="E1194" s="6" t="str">
        <f>IFERROR(__xludf.DUMMYFUNCTION("""COMPUTED_VALUE"""),"Tig Torch Medium Back Cap WP 9/20 Size : Medium")</f>
        <v>Tig Torch Medium Back Cap WP 9/20 Size : Medium</v>
      </c>
      <c r="F1194" s="6">
        <f>IFERROR(__xludf.DUMMYFUNCTION("""COMPUTED_VALUE"""),4.0)</f>
        <v>4</v>
      </c>
      <c r="G1194" s="6" t="str">
        <f>IFERROR(__xludf.DUMMYFUNCTION("""COMPUTED_VALUE"""),"Pieces")</f>
        <v>Pieces</v>
      </c>
      <c r="H1194" s="6" t="str">
        <f>IFERROR(__xludf.DUMMYFUNCTION("""COMPUTED_VALUE"""),"IDR")</f>
        <v>IDR</v>
      </c>
      <c r="I1194" s="6">
        <f>IFERROR(__xludf.DUMMYFUNCTION("""COMPUTED_VALUE"""),33000.0)</f>
        <v>33000</v>
      </c>
      <c r="J1194" s="6">
        <f>IFERROR(__xludf.DUMMYFUNCTION("""COMPUTED_VALUE"""),132000.0)</f>
        <v>132000</v>
      </c>
      <c r="K1194" s="57">
        <f>IFERROR(__xludf.DUMMYFUNCTION("""COMPUTED_VALUE"""),44022.0)</f>
        <v>44022</v>
      </c>
      <c r="L1194" s="6" t="str">
        <f>IFERROR(__xludf.DUMMYFUNCTION("""COMPUTED_VALUE"""),"FIP General")</f>
        <v>FIP General</v>
      </c>
      <c r="M1194" s="6" t="str">
        <f>IFERROR(__xludf.DUMMYFUNCTION("""COMPUTED_VALUE"""),"Irwan Sopian")</f>
        <v>Irwan Sopian</v>
      </c>
      <c r="N1194" s="6" t="str">
        <f>IFERROR(__xludf.DUMMYFUNCTION("""COMPUTED_VALUE"""),"FIP Engineering")</f>
        <v>FIP Engineering</v>
      </c>
      <c r="O1194" s="6" t="str">
        <f>IFERROR(__xludf.DUMMYFUNCTION("""COMPUTED_VALUE"""),"FIP-DOM-ENG-51404-0000000-INA-000000")</f>
        <v>FIP-DOM-ENG-51404-0000000-INA-000000</v>
      </c>
      <c r="P1194" s="6" t="str">
        <f>IFERROR(__xludf.DUMMYFUNCTION("""COMPUTED_VALUE"""),"PO Closed")</f>
        <v>PO Closed</v>
      </c>
      <c r="Q1194" s="6" t="str">
        <f>IFERROR(__xludf.DUMMYFUNCTION("""COMPUTED_VALUE"""),"GL2007016")</f>
        <v>GL2007016</v>
      </c>
      <c r="R1194" s="57">
        <f>IFERROR(__xludf.DUMMYFUNCTION("""COMPUTED_VALUE"""),43994.0)</f>
        <v>43994</v>
      </c>
      <c r="S1194" s="6" t="str">
        <f>IFERROR(__xludf.DUMMYFUNCTION("""COMPUTED_VALUE"""),"-")</f>
        <v>-</v>
      </c>
      <c r="T1194" s="57">
        <f>IFERROR(__xludf.DUMMYFUNCTION("""COMPUTED_VALUE"""),44039.0)</f>
        <v>44039</v>
      </c>
    </row>
    <row r="1195">
      <c r="A1195" s="6" t="str">
        <f>IFERROR(__xludf.DUMMYFUNCTION("""COMPUTED_VALUE"""),"201750251-5")</f>
        <v>201750251-5</v>
      </c>
      <c r="B1195" s="6" t="str">
        <f>IFERROR(__xludf.DUMMYFUNCTION("""COMPUTED_VALUE"""),"201750251 - Approved")</f>
        <v>201750251 - Approved</v>
      </c>
      <c r="C1195" s="6">
        <f>IFERROR(__xludf.DUMMYFUNCTION("""COMPUTED_VALUE"""),5.0)</f>
        <v>5</v>
      </c>
      <c r="D1195" s="6" t="str">
        <f>IFERROR(__xludf.DUMMYFUNCTION("""COMPUTED_VALUE"""),"P-12920-00")</f>
        <v>P-12920-00</v>
      </c>
      <c r="E1195" s="6" t="str">
        <f>IFERROR(__xludf.DUMMYFUNCTION("""COMPUTED_VALUE"""),"Tungsten Electrodes dia 1.6 mm")</f>
        <v>Tungsten Electrodes dia 1.6 mm</v>
      </c>
      <c r="F1195" s="6">
        <f>IFERROR(__xludf.DUMMYFUNCTION("""COMPUTED_VALUE"""),1.0)</f>
        <v>1</v>
      </c>
      <c r="G1195" s="6" t="str">
        <f>IFERROR(__xludf.DUMMYFUNCTION("""COMPUTED_VALUE"""),"Pieces")</f>
        <v>Pieces</v>
      </c>
      <c r="H1195" s="6" t="str">
        <f>IFERROR(__xludf.DUMMYFUNCTION("""COMPUTED_VALUE"""),"IDR")</f>
        <v>IDR</v>
      </c>
      <c r="I1195" s="6">
        <f>IFERROR(__xludf.DUMMYFUNCTION("""COMPUTED_VALUE"""),175000.0)</f>
        <v>175000</v>
      </c>
      <c r="J1195" s="6">
        <f>IFERROR(__xludf.DUMMYFUNCTION("""COMPUTED_VALUE"""),175000.0)</f>
        <v>175000</v>
      </c>
      <c r="K1195" s="57">
        <f>IFERROR(__xludf.DUMMYFUNCTION("""COMPUTED_VALUE"""),44022.0)</f>
        <v>44022</v>
      </c>
      <c r="L1195" s="6" t="str">
        <f>IFERROR(__xludf.DUMMYFUNCTION("""COMPUTED_VALUE"""),"FIP Engineering")</f>
        <v>FIP Engineering</v>
      </c>
      <c r="M1195" s="6" t="str">
        <f>IFERROR(__xludf.DUMMYFUNCTION("""COMPUTED_VALUE"""),"Irwan Sopian")</f>
        <v>Irwan Sopian</v>
      </c>
      <c r="N1195" s="6" t="str">
        <f>IFERROR(__xludf.DUMMYFUNCTION("""COMPUTED_VALUE"""),"FIP Engineering")</f>
        <v>FIP Engineering</v>
      </c>
      <c r="O1195" s="6" t="str">
        <f>IFERROR(__xludf.DUMMYFUNCTION("""COMPUTED_VALUE"""),"FIP-DOM-000-11304-OS00001-INA-000000")</f>
        <v>FIP-DOM-000-11304-OS00001-INA-000000</v>
      </c>
      <c r="P1195" s="6" t="str">
        <f>IFERROR(__xludf.DUMMYFUNCTION("""COMPUTED_VALUE"""),"PO Closed")</f>
        <v>PO Closed</v>
      </c>
      <c r="Q1195" s="6" t="str">
        <f>IFERROR(__xludf.DUMMYFUNCTION("""COMPUTED_VALUE"""),"GL2007016")</f>
        <v>GL2007016</v>
      </c>
      <c r="R1195" s="57">
        <f>IFERROR(__xludf.DUMMYFUNCTION("""COMPUTED_VALUE"""),43994.0)</f>
        <v>43994</v>
      </c>
      <c r="S1195" s="6" t="str">
        <f>IFERROR(__xludf.DUMMYFUNCTION("""COMPUTED_VALUE"""),"-")</f>
        <v>-</v>
      </c>
      <c r="T1195" s="57">
        <f>IFERROR(__xludf.DUMMYFUNCTION("""COMPUTED_VALUE"""),44039.0)</f>
        <v>44039</v>
      </c>
    </row>
    <row r="1196">
      <c r="A1196" s="6" t="str">
        <f>IFERROR(__xludf.DUMMYFUNCTION("""COMPUTED_VALUE"""),"201750251-6")</f>
        <v>201750251-6</v>
      </c>
      <c r="B1196" s="6" t="str">
        <f>IFERROR(__xludf.DUMMYFUNCTION("""COMPUTED_VALUE"""),"201750251 - Approved")</f>
        <v>201750251 - Approved</v>
      </c>
      <c r="C1196" s="6">
        <f>IFERROR(__xludf.DUMMYFUNCTION("""COMPUTED_VALUE"""),6.0)</f>
        <v>6</v>
      </c>
      <c r="D1196" s="6" t="str">
        <f>IFERROR(__xludf.DUMMYFUNCTION("""COMPUTED_VALUE"""),"P-12984-00")</f>
        <v>P-12984-00</v>
      </c>
      <c r="E1196" s="6" t="str">
        <f>IFERROR(__xludf.DUMMYFUNCTION("""COMPUTED_VALUE"""),"Helicoil dia. M8x5mm")</f>
        <v>Helicoil dia. M8x5mm</v>
      </c>
      <c r="F1196" s="6">
        <f>IFERROR(__xludf.DUMMYFUNCTION("""COMPUTED_VALUE"""),10.0)</f>
        <v>10</v>
      </c>
      <c r="G1196" s="6" t="str">
        <f>IFERROR(__xludf.DUMMYFUNCTION("""COMPUTED_VALUE"""),"Pieces")</f>
        <v>Pieces</v>
      </c>
      <c r="H1196" s="6" t="str">
        <f>IFERROR(__xludf.DUMMYFUNCTION("""COMPUTED_VALUE"""),"IDR")</f>
        <v>IDR</v>
      </c>
      <c r="I1196" s="6">
        <f>IFERROR(__xludf.DUMMYFUNCTION("""COMPUTED_VALUE"""),23500.0)</f>
        <v>23500</v>
      </c>
      <c r="J1196" s="6">
        <f>IFERROR(__xludf.DUMMYFUNCTION("""COMPUTED_VALUE"""),235000.0)</f>
        <v>235000</v>
      </c>
      <c r="K1196" s="57">
        <f>IFERROR(__xludf.DUMMYFUNCTION("""COMPUTED_VALUE"""),44022.0)</f>
        <v>44022</v>
      </c>
      <c r="L1196" s="6" t="str">
        <f>IFERROR(__xludf.DUMMYFUNCTION("""COMPUTED_VALUE"""),"FIP General")</f>
        <v>FIP General</v>
      </c>
      <c r="M1196" s="6" t="str">
        <f>IFERROR(__xludf.DUMMYFUNCTION("""COMPUTED_VALUE"""),"Irwan Sopian")</f>
        <v>Irwan Sopian</v>
      </c>
      <c r="N1196" s="6" t="str">
        <f>IFERROR(__xludf.DUMMYFUNCTION("""COMPUTED_VALUE"""),"FIP Engineering")</f>
        <v>FIP Engineering</v>
      </c>
      <c r="O1196" s="6" t="str">
        <f>IFERROR(__xludf.DUMMYFUNCTION("""COMPUTED_VALUE"""),"FIP-DOM-ENG-51504-0000000-INA-000000")</f>
        <v>FIP-DOM-ENG-51504-0000000-INA-000000</v>
      </c>
      <c r="P1196" s="6" t="str">
        <f>IFERROR(__xludf.DUMMYFUNCTION("""COMPUTED_VALUE"""),"PO Closed")</f>
        <v>PO Closed</v>
      </c>
      <c r="Q1196" s="6" t="str">
        <f>IFERROR(__xludf.DUMMYFUNCTION("""COMPUTED_VALUE"""),"GL2007016")</f>
        <v>GL2007016</v>
      </c>
      <c r="R1196" s="57">
        <f>IFERROR(__xludf.DUMMYFUNCTION("""COMPUTED_VALUE"""),43994.0)</f>
        <v>43994</v>
      </c>
      <c r="S1196" s="6" t="str">
        <f>IFERROR(__xludf.DUMMYFUNCTION("""COMPUTED_VALUE"""),"-")</f>
        <v>-</v>
      </c>
      <c r="T1196" s="57">
        <f>IFERROR(__xludf.DUMMYFUNCTION("""COMPUTED_VALUE"""),44039.0)</f>
        <v>44039</v>
      </c>
    </row>
    <row r="1197">
      <c r="A1197" s="6" t="str">
        <f>IFERROR(__xludf.DUMMYFUNCTION("""COMPUTED_VALUE"""),"201750251-7")</f>
        <v>201750251-7</v>
      </c>
      <c r="B1197" s="6" t="str">
        <f>IFERROR(__xludf.DUMMYFUNCTION("""COMPUTED_VALUE"""),"201750251 - Approved")</f>
        <v>201750251 - Approved</v>
      </c>
      <c r="C1197" s="6">
        <f>IFERROR(__xludf.DUMMYFUNCTION("""COMPUTED_VALUE"""),7.0)</f>
        <v>7</v>
      </c>
      <c r="D1197" s="6" t="str">
        <f>IFERROR(__xludf.DUMMYFUNCTION("""COMPUTED_VALUE"""),"P-13445-00")</f>
        <v>P-13445-00</v>
      </c>
      <c r="E1197" s="6" t="str">
        <f>IFERROR(__xludf.DUMMYFUNCTION("""COMPUTED_VALUE"""),"Plat Stainless Steel 304")</f>
        <v>Plat Stainless Steel 304</v>
      </c>
      <c r="F1197" s="6">
        <f>IFERROR(__xludf.DUMMYFUNCTION("""COMPUTED_VALUE"""),1.0)</f>
        <v>1</v>
      </c>
      <c r="G1197" s="6" t="str">
        <f>IFERROR(__xludf.DUMMYFUNCTION("""COMPUTED_VALUE"""),"Meter")</f>
        <v>Meter</v>
      </c>
      <c r="H1197" s="6" t="str">
        <f>IFERROR(__xludf.DUMMYFUNCTION("""COMPUTED_VALUE"""),"IDR")</f>
        <v>IDR</v>
      </c>
      <c r="I1197" s="6">
        <f>IFERROR(__xludf.DUMMYFUNCTION("""COMPUTED_VALUE"""),1950000.0)</f>
        <v>1950000</v>
      </c>
      <c r="J1197" s="6">
        <f>IFERROR(__xludf.DUMMYFUNCTION("""COMPUTED_VALUE"""),1950000.0)</f>
        <v>1950000</v>
      </c>
      <c r="K1197" s="57">
        <f>IFERROR(__xludf.DUMMYFUNCTION("""COMPUTED_VALUE"""),44022.0)</f>
        <v>44022</v>
      </c>
      <c r="L1197" s="6" t="str">
        <f>IFERROR(__xludf.DUMMYFUNCTION("""COMPUTED_VALUE"""),"FIP Engineering")</f>
        <v>FIP Engineering</v>
      </c>
      <c r="M1197" s="6" t="str">
        <f>IFERROR(__xludf.DUMMYFUNCTION("""COMPUTED_VALUE"""),"Irwan Sopian")</f>
        <v>Irwan Sopian</v>
      </c>
      <c r="N1197" s="6" t="str">
        <f>IFERROR(__xludf.DUMMYFUNCTION("""COMPUTED_VALUE"""),"FIP Engineering")</f>
        <v>FIP Engineering</v>
      </c>
      <c r="O1197" s="6" t="str">
        <f>IFERROR(__xludf.DUMMYFUNCTION("""COMPUTED_VALUE"""),"FIP-DOM-000-11304-OS00001-INA-000000")</f>
        <v>FIP-DOM-000-11304-OS00001-INA-000000</v>
      </c>
      <c r="P1197" s="6" t="str">
        <f>IFERROR(__xludf.DUMMYFUNCTION("""COMPUTED_VALUE"""),"PO Closed")</f>
        <v>PO Closed</v>
      </c>
      <c r="Q1197" s="6" t="str">
        <f>IFERROR(__xludf.DUMMYFUNCTION("""COMPUTED_VALUE"""),"GL2007016")</f>
        <v>GL2007016</v>
      </c>
      <c r="R1197" s="57">
        <f>IFERROR(__xludf.DUMMYFUNCTION("""COMPUTED_VALUE"""),43994.0)</f>
        <v>43994</v>
      </c>
      <c r="S1197" s="6" t="str">
        <f>IFERROR(__xludf.DUMMYFUNCTION("""COMPUTED_VALUE"""),"-")</f>
        <v>-</v>
      </c>
      <c r="T1197" s="57">
        <f>IFERROR(__xludf.DUMMYFUNCTION("""COMPUTED_VALUE"""),44055.0)</f>
        <v>44055</v>
      </c>
    </row>
    <row r="1198">
      <c r="A1198" s="6" t="str">
        <f>IFERROR(__xludf.DUMMYFUNCTION("""COMPUTED_VALUE"""),"201750250-1")</f>
        <v>201750250-1</v>
      </c>
      <c r="B1198" s="6" t="str">
        <f>IFERROR(__xludf.DUMMYFUNCTION("""COMPUTED_VALUE"""),"201750250 - Approved")</f>
        <v>201750250 - Approved</v>
      </c>
      <c r="C1198" s="6">
        <f>IFERROR(__xludf.DUMMYFUNCTION("""COMPUTED_VALUE"""),1.0)</f>
        <v>1</v>
      </c>
      <c r="D1198" s="6" t="str">
        <f>IFERROR(__xludf.DUMMYFUNCTION("""COMPUTED_VALUE"""),"P-17452-00")</f>
        <v>P-17452-00</v>
      </c>
      <c r="E1198" s="6" t="str">
        <f>IFERROR(__xludf.DUMMYFUNCTION("""COMPUTED_VALUE"""),"Ac Reflector Acrilik 1/2 - 1 PK")</f>
        <v>Ac Reflector Acrilik 1/2 - 1 PK</v>
      </c>
      <c r="F1198" s="6">
        <f>IFERROR(__xludf.DUMMYFUNCTION("""COMPUTED_VALUE"""),2.0)</f>
        <v>2</v>
      </c>
      <c r="G1198" s="6" t="str">
        <f>IFERROR(__xludf.DUMMYFUNCTION("""COMPUTED_VALUE"""),"Pieces")</f>
        <v>Pieces</v>
      </c>
      <c r="H1198" s="6" t="str">
        <f>IFERROR(__xludf.DUMMYFUNCTION("""COMPUTED_VALUE"""),"IDR")</f>
        <v>IDR</v>
      </c>
      <c r="I1198" s="6">
        <f>IFERROR(__xludf.DUMMYFUNCTION("""COMPUTED_VALUE"""),215000.0)</f>
        <v>215000</v>
      </c>
      <c r="J1198" s="6">
        <f>IFERROR(__xludf.DUMMYFUNCTION("""COMPUTED_VALUE"""),430000.0)</f>
        <v>430000</v>
      </c>
      <c r="K1198" s="57">
        <f>IFERROR(__xludf.DUMMYFUNCTION("""COMPUTED_VALUE"""),44022.0)</f>
        <v>44022</v>
      </c>
      <c r="L1198" s="6" t="str">
        <f>IFERROR(__xludf.DUMMYFUNCTION("""COMPUTED_VALUE"""),"FIP General")</f>
        <v>FIP General</v>
      </c>
      <c r="M1198" s="6" t="str">
        <f>IFERROR(__xludf.DUMMYFUNCTION("""COMPUTED_VALUE"""),"Irwan Sopian")</f>
        <v>Irwan Sopian</v>
      </c>
      <c r="N1198" s="6" t="str">
        <f>IFERROR(__xludf.DUMMYFUNCTION("""COMPUTED_VALUE"""),"FIP Engineering")</f>
        <v>FIP Engineering</v>
      </c>
      <c r="O1198" s="6" t="str">
        <f>IFERROR(__xludf.DUMMYFUNCTION("""COMPUTED_VALUE"""),"FIP-DOM-ENG-51504-0000000-INA-000000")</f>
        <v>FIP-DOM-ENG-51504-0000000-INA-000000</v>
      </c>
      <c r="P1198" s="6" t="str">
        <f>IFERROR(__xludf.DUMMYFUNCTION("""COMPUTED_VALUE"""),"PO Closed")</f>
        <v>PO Closed</v>
      </c>
      <c r="Q1198" s="6" t="str">
        <f>IFERROR(__xludf.DUMMYFUNCTION("""COMPUTED_VALUE"""),"GL2006044")</f>
        <v>GL2006044</v>
      </c>
      <c r="R1198" s="57">
        <f>IFERROR(__xludf.DUMMYFUNCTION("""COMPUTED_VALUE"""),43994.0)</f>
        <v>43994</v>
      </c>
      <c r="S1198" s="6" t="str">
        <f>IFERROR(__xludf.DUMMYFUNCTION("""COMPUTED_VALUE"""),"-")</f>
        <v>-</v>
      </c>
      <c r="T1198" s="57">
        <f>IFERROR(__xludf.DUMMYFUNCTION("""COMPUTED_VALUE"""),44018.0)</f>
        <v>44018</v>
      </c>
    </row>
    <row r="1199">
      <c r="A1199" s="6" t="str">
        <f>IFERROR(__xludf.DUMMYFUNCTION("""COMPUTED_VALUE"""),"201750250-2")</f>
        <v>201750250-2</v>
      </c>
      <c r="B1199" s="6" t="str">
        <f>IFERROR(__xludf.DUMMYFUNCTION("""COMPUTED_VALUE"""),"201750250 - Approved")</f>
        <v>201750250 - Approved</v>
      </c>
      <c r="C1199" s="6">
        <f>IFERROR(__xludf.DUMMYFUNCTION("""COMPUTED_VALUE"""),2.0)</f>
        <v>2</v>
      </c>
      <c r="D1199" s="6" t="str">
        <f>IFERROR(__xludf.DUMMYFUNCTION("""COMPUTED_VALUE"""),"P-52359-00")</f>
        <v>P-52359-00</v>
      </c>
      <c r="E1199" s="6" t="str">
        <f>IFERROR(__xludf.DUMMYFUNCTION("""COMPUTED_VALUE"""),"PH Controller Industrial ORP Meter Monitor Digital")</f>
        <v>PH Controller Industrial ORP Meter Monitor Digital</v>
      </c>
      <c r="F1199" s="6">
        <f>IFERROR(__xludf.DUMMYFUNCTION("""COMPUTED_VALUE"""),1.0)</f>
        <v>1</v>
      </c>
      <c r="G1199" s="6" t="str">
        <f>IFERROR(__xludf.DUMMYFUNCTION("""COMPUTED_VALUE"""),"Pieces")</f>
        <v>Pieces</v>
      </c>
      <c r="H1199" s="6" t="str">
        <f>IFERROR(__xludf.DUMMYFUNCTION("""COMPUTED_VALUE"""),"IDR")</f>
        <v>IDR</v>
      </c>
      <c r="I1199" s="6">
        <f>IFERROR(__xludf.DUMMYFUNCTION("""COMPUTED_VALUE"""),2225000.0)</f>
        <v>2225000</v>
      </c>
      <c r="J1199" s="6">
        <f>IFERROR(__xludf.DUMMYFUNCTION("""COMPUTED_VALUE"""),2225000.0)</f>
        <v>2225000</v>
      </c>
      <c r="K1199" s="57">
        <f>IFERROR(__xludf.DUMMYFUNCTION("""COMPUTED_VALUE"""),44022.0)</f>
        <v>44022</v>
      </c>
      <c r="L1199" s="6" t="str">
        <f>IFERROR(__xludf.DUMMYFUNCTION("""COMPUTED_VALUE"""),"FIP General")</f>
        <v>FIP General</v>
      </c>
      <c r="M1199" s="6" t="str">
        <f>IFERROR(__xludf.DUMMYFUNCTION("""COMPUTED_VALUE"""),"Irwan Sopian")</f>
        <v>Irwan Sopian</v>
      </c>
      <c r="N1199" s="6" t="str">
        <f>IFERROR(__xludf.DUMMYFUNCTION("""COMPUTED_VALUE"""),"FIP Engineering")</f>
        <v>FIP Engineering</v>
      </c>
      <c r="O1199" s="6" t="str">
        <f>IFERROR(__xludf.DUMMYFUNCTION("""COMPUTED_VALUE"""),"FIP-DOM-ENG-51504-0000000-INA-000000")</f>
        <v>FIP-DOM-ENG-51504-0000000-INA-000000</v>
      </c>
      <c r="P1199" s="6" t="str">
        <f>IFERROR(__xludf.DUMMYFUNCTION("""COMPUTED_VALUE"""),"PO Closed")</f>
        <v>PO Closed</v>
      </c>
      <c r="Q1199" s="6" t="str">
        <f>IFERROR(__xludf.DUMMYFUNCTION("""COMPUTED_VALUE"""),"GL2006044")</f>
        <v>GL2006044</v>
      </c>
      <c r="R1199" s="57">
        <f>IFERROR(__xludf.DUMMYFUNCTION("""COMPUTED_VALUE"""),43994.0)</f>
        <v>43994</v>
      </c>
      <c r="S1199" s="6" t="str">
        <f>IFERROR(__xludf.DUMMYFUNCTION("""COMPUTED_VALUE"""),"-")</f>
        <v>-</v>
      </c>
      <c r="T1199" s="57">
        <f>IFERROR(__xludf.DUMMYFUNCTION("""COMPUTED_VALUE"""),44018.0)</f>
        <v>44018</v>
      </c>
    </row>
    <row r="1200">
      <c r="A1200" s="6" t="str">
        <f>IFERROR(__xludf.DUMMYFUNCTION("""COMPUTED_VALUE"""),"201750249-1")</f>
        <v>201750249-1</v>
      </c>
      <c r="B1200" s="6" t="str">
        <f>IFERROR(__xludf.DUMMYFUNCTION("""COMPUTED_VALUE"""),"201750249 - Approved")</f>
        <v>201750249 - Approved</v>
      </c>
      <c r="C1200" s="6">
        <f>IFERROR(__xludf.DUMMYFUNCTION("""COMPUTED_VALUE"""),1.0)</f>
        <v>1</v>
      </c>
      <c r="D1200" s="6" t="str">
        <f>IFERROR(__xludf.DUMMYFUNCTION("""COMPUTED_VALUE"""),"P-17449-00")</f>
        <v>P-17449-00</v>
      </c>
      <c r="E1200" s="6" t="str">
        <f>IFERROR(__xludf.DUMMYFUNCTION("""COMPUTED_VALUE"""),"Box Panel SS304 20 x 20 x 15 cm")</f>
        <v>Box Panel SS304 20 x 20 x 15 cm</v>
      </c>
      <c r="F1200" s="6">
        <f>IFERROR(__xludf.DUMMYFUNCTION("""COMPUTED_VALUE"""),4.0)</f>
        <v>4</v>
      </c>
      <c r="G1200" s="6" t="str">
        <f>IFERROR(__xludf.DUMMYFUNCTION("""COMPUTED_VALUE"""),"Pieces")</f>
        <v>Pieces</v>
      </c>
      <c r="H1200" s="6" t="str">
        <f>IFERROR(__xludf.DUMMYFUNCTION("""COMPUTED_VALUE"""),"IDR")</f>
        <v>IDR</v>
      </c>
      <c r="I1200" s="6">
        <f>IFERROR(__xludf.DUMMYFUNCTION("""COMPUTED_VALUE"""),800000.0)</f>
        <v>800000</v>
      </c>
      <c r="J1200" s="6">
        <f>IFERROR(__xludf.DUMMYFUNCTION("""COMPUTED_VALUE"""),3200000.0)</f>
        <v>3200000</v>
      </c>
      <c r="K1200" s="57">
        <f>IFERROR(__xludf.DUMMYFUNCTION("""COMPUTED_VALUE"""),44015.0)</f>
        <v>44015</v>
      </c>
      <c r="L1200" s="6" t="str">
        <f>IFERROR(__xludf.DUMMYFUNCTION("""COMPUTED_VALUE"""),"FIP General")</f>
        <v>FIP General</v>
      </c>
      <c r="M1200" s="6" t="str">
        <f>IFERROR(__xludf.DUMMYFUNCTION("""COMPUTED_VALUE"""),"Irwan Sopian")</f>
        <v>Irwan Sopian</v>
      </c>
      <c r="N1200" s="6" t="str">
        <f>IFERROR(__xludf.DUMMYFUNCTION("""COMPUTED_VALUE"""),"FIP Engineering")</f>
        <v>FIP Engineering</v>
      </c>
      <c r="O1200" s="6" t="str">
        <f>IFERROR(__xludf.DUMMYFUNCTION("""COMPUTED_VALUE"""),"FIP-DOM-ENG-51504-0000000-INA-000000")</f>
        <v>FIP-DOM-ENG-51504-0000000-INA-000000</v>
      </c>
      <c r="P1200" s="6" t="str">
        <f>IFERROR(__xludf.DUMMYFUNCTION("""COMPUTED_VALUE"""),"PO Closed")</f>
        <v>PO Closed</v>
      </c>
      <c r="Q1200" s="6" t="str">
        <f>IFERROR(__xludf.DUMMYFUNCTION("""COMPUTED_VALUE"""),"GL2006053")</f>
        <v>GL2006053</v>
      </c>
      <c r="R1200" s="57">
        <f>IFERROR(__xludf.DUMMYFUNCTION("""COMPUTED_VALUE"""),43994.0)</f>
        <v>43994</v>
      </c>
      <c r="S1200" s="6" t="str">
        <f>IFERROR(__xludf.DUMMYFUNCTION("""COMPUTED_VALUE"""),"-")</f>
        <v>-</v>
      </c>
      <c r="T1200" s="57">
        <f>IFERROR(__xludf.DUMMYFUNCTION("""COMPUTED_VALUE"""),44029.0)</f>
        <v>44029</v>
      </c>
    </row>
    <row r="1201">
      <c r="A1201" s="6" t="str">
        <f>IFERROR(__xludf.DUMMYFUNCTION("""COMPUTED_VALUE"""),"201750249-2")</f>
        <v>201750249-2</v>
      </c>
      <c r="B1201" s="6" t="str">
        <f>IFERROR(__xludf.DUMMYFUNCTION("""COMPUTED_VALUE"""),"201750249 - Approved")</f>
        <v>201750249 - Approved</v>
      </c>
      <c r="C1201" s="6">
        <f>IFERROR(__xludf.DUMMYFUNCTION("""COMPUTED_VALUE"""),2.0)</f>
        <v>2</v>
      </c>
      <c r="D1201" s="6" t="str">
        <f>IFERROR(__xludf.DUMMYFUNCTION("""COMPUTED_VALUE"""),"P-14977-00")</f>
        <v>P-14977-00</v>
      </c>
      <c r="E1201" s="6" t="str">
        <f>IFERROR(__xludf.DUMMYFUNCTION("""COMPUTED_VALUE"""),"Pipa Sanitary 1"" SS 316; ; ;")</f>
        <v>Pipa Sanitary 1" SS 316; ; ;</v>
      </c>
      <c r="F1201" s="6">
        <f>IFERROR(__xludf.DUMMYFUNCTION("""COMPUTED_VALUE"""),1.0)</f>
        <v>1</v>
      </c>
      <c r="G1201" s="6" t="str">
        <f>IFERROR(__xludf.DUMMYFUNCTION("""COMPUTED_VALUE"""),"Meter")</f>
        <v>Meter</v>
      </c>
      <c r="H1201" s="6" t="str">
        <f>IFERROR(__xludf.DUMMYFUNCTION("""COMPUTED_VALUE"""),"IDR")</f>
        <v>IDR</v>
      </c>
      <c r="I1201" s="6">
        <f>IFERROR(__xludf.DUMMYFUNCTION("""COMPUTED_VALUE"""),1975000.0)</f>
        <v>1975000</v>
      </c>
      <c r="J1201" s="6">
        <f>IFERROR(__xludf.DUMMYFUNCTION("""COMPUTED_VALUE"""),1975000.0)</f>
        <v>1975000</v>
      </c>
      <c r="K1201" s="57">
        <f>IFERROR(__xludf.DUMMYFUNCTION("""COMPUTED_VALUE"""),44015.0)</f>
        <v>44015</v>
      </c>
      <c r="L1201" s="6" t="str">
        <f>IFERROR(__xludf.DUMMYFUNCTION("""COMPUTED_VALUE"""),"FIP General")</f>
        <v>FIP General</v>
      </c>
      <c r="M1201" s="6" t="str">
        <f>IFERROR(__xludf.DUMMYFUNCTION("""COMPUTED_VALUE"""),"Irwan Sopian")</f>
        <v>Irwan Sopian</v>
      </c>
      <c r="N1201" s="6" t="str">
        <f>IFERROR(__xludf.DUMMYFUNCTION("""COMPUTED_VALUE"""),"FIP Engineering")</f>
        <v>FIP Engineering</v>
      </c>
      <c r="O1201" s="6" t="str">
        <f>IFERROR(__xludf.DUMMYFUNCTION("""COMPUTED_VALUE"""),"FIP-DOM-ENG-51504-0000000-INA-000000")</f>
        <v>FIP-DOM-ENG-51504-0000000-INA-000000</v>
      </c>
      <c r="P1201" s="6" t="str">
        <f>IFERROR(__xludf.DUMMYFUNCTION("""COMPUTED_VALUE"""),"PO Closed")</f>
        <v>PO Closed</v>
      </c>
      <c r="Q1201" s="6" t="str">
        <f>IFERROR(__xludf.DUMMYFUNCTION("""COMPUTED_VALUE"""),"GL2006053")</f>
        <v>GL2006053</v>
      </c>
      <c r="R1201" s="57">
        <f>IFERROR(__xludf.DUMMYFUNCTION("""COMPUTED_VALUE"""),43994.0)</f>
        <v>43994</v>
      </c>
      <c r="S1201" s="6" t="str">
        <f>IFERROR(__xludf.DUMMYFUNCTION("""COMPUTED_VALUE"""),"-")</f>
        <v>-</v>
      </c>
      <c r="T1201" s="57">
        <f>IFERROR(__xludf.DUMMYFUNCTION("""COMPUTED_VALUE"""),44029.0)</f>
        <v>44029</v>
      </c>
    </row>
    <row r="1202">
      <c r="A1202" s="6" t="str">
        <f>IFERROR(__xludf.DUMMYFUNCTION("""COMPUTED_VALUE"""),"201750249-3")</f>
        <v>201750249-3</v>
      </c>
      <c r="B1202" s="6" t="str">
        <f>IFERROR(__xludf.DUMMYFUNCTION("""COMPUTED_VALUE"""),"201750249 - Approved")</f>
        <v>201750249 - Approved</v>
      </c>
      <c r="C1202" s="6">
        <f>IFERROR(__xludf.DUMMYFUNCTION("""COMPUTED_VALUE"""),3.0)</f>
        <v>3</v>
      </c>
      <c r="D1202" s="6" t="str">
        <f>IFERROR(__xludf.DUMMYFUNCTION("""COMPUTED_VALUE"""),"P-12418-00")</f>
        <v>P-12418-00</v>
      </c>
      <c r="E1202" s="6" t="str">
        <f>IFERROR(__xludf.DUMMYFUNCTION("""COMPUTED_VALUE"""),"Hole saw u/ stainless stell dia 20 mm ex UNIKA")</f>
        <v>Hole saw u/ stainless stell dia 20 mm ex UNIKA</v>
      </c>
      <c r="F1202" s="6">
        <f>IFERROR(__xludf.DUMMYFUNCTION("""COMPUTED_VALUE"""),1.0)</f>
        <v>1</v>
      </c>
      <c r="G1202" s="6" t="str">
        <f>IFERROR(__xludf.DUMMYFUNCTION("""COMPUTED_VALUE"""),"Pieces")</f>
        <v>Pieces</v>
      </c>
      <c r="H1202" s="6" t="str">
        <f>IFERROR(__xludf.DUMMYFUNCTION("""COMPUTED_VALUE"""),"IDR")</f>
        <v>IDR</v>
      </c>
      <c r="I1202" s="6">
        <f>IFERROR(__xludf.DUMMYFUNCTION("""COMPUTED_VALUE"""),135000.0)</f>
        <v>135000</v>
      </c>
      <c r="J1202" s="6">
        <f>IFERROR(__xludf.DUMMYFUNCTION("""COMPUTED_VALUE"""),135000.0)</f>
        <v>135000</v>
      </c>
      <c r="K1202" s="57">
        <f>IFERROR(__xludf.DUMMYFUNCTION("""COMPUTED_VALUE"""),44015.0)</f>
        <v>44015</v>
      </c>
      <c r="L1202" s="6" t="str">
        <f>IFERROR(__xludf.DUMMYFUNCTION("""COMPUTED_VALUE"""),"FIP General")</f>
        <v>FIP General</v>
      </c>
      <c r="M1202" s="6" t="str">
        <f>IFERROR(__xludf.DUMMYFUNCTION("""COMPUTED_VALUE"""),"Irwan Sopian")</f>
        <v>Irwan Sopian</v>
      </c>
      <c r="N1202" s="6" t="str">
        <f>IFERROR(__xludf.DUMMYFUNCTION("""COMPUTED_VALUE"""),"FIP Engineering")</f>
        <v>FIP Engineering</v>
      </c>
      <c r="O1202" s="6" t="str">
        <f>IFERROR(__xludf.DUMMYFUNCTION("""COMPUTED_VALUE"""),"FIP-DOM-ENG-51504-0000000-INA-000000")</f>
        <v>FIP-DOM-ENG-51504-0000000-INA-000000</v>
      </c>
      <c r="P1202" s="6" t="str">
        <f>IFERROR(__xludf.DUMMYFUNCTION("""COMPUTED_VALUE"""),"PO Closed")</f>
        <v>PO Closed</v>
      </c>
      <c r="Q1202" s="6" t="str">
        <f>IFERROR(__xludf.DUMMYFUNCTION("""COMPUTED_VALUE"""),"GL2006053")</f>
        <v>GL2006053</v>
      </c>
      <c r="R1202" s="57">
        <f>IFERROR(__xludf.DUMMYFUNCTION("""COMPUTED_VALUE"""),43994.0)</f>
        <v>43994</v>
      </c>
      <c r="S1202" s="6" t="str">
        <f>IFERROR(__xludf.DUMMYFUNCTION("""COMPUTED_VALUE"""),"-")</f>
        <v>-</v>
      </c>
      <c r="T1202" s="57">
        <f>IFERROR(__xludf.DUMMYFUNCTION("""COMPUTED_VALUE"""),44029.0)</f>
        <v>44029</v>
      </c>
    </row>
    <row r="1203">
      <c r="A1203" s="6" t="str">
        <f>IFERROR(__xludf.DUMMYFUNCTION("""COMPUTED_VALUE"""),"201750249-4")</f>
        <v>201750249-4</v>
      </c>
      <c r="B1203" s="6" t="str">
        <f>IFERROR(__xludf.DUMMYFUNCTION("""COMPUTED_VALUE"""),"201750249 - Approved")</f>
        <v>201750249 - Approved</v>
      </c>
      <c r="C1203" s="6">
        <f>IFERROR(__xludf.DUMMYFUNCTION("""COMPUTED_VALUE"""),4.0)</f>
        <v>4</v>
      </c>
      <c r="D1203" s="6" t="str">
        <f>IFERROR(__xludf.DUMMYFUNCTION("""COMPUTED_VALUE"""),"P-10763-00")</f>
        <v>P-10763-00</v>
      </c>
      <c r="E1203" s="6" t="str">
        <f>IFERROR(__xludf.DUMMYFUNCTION("""COMPUTED_VALUE"""),"Ferrule 1"" SS 316L")</f>
        <v>Ferrule 1" SS 316L</v>
      </c>
      <c r="F1203" s="6">
        <f>IFERROR(__xludf.DUMMYFUNCTION("""COMPUTED_VALUE"""),4.0)</f>
        <v>4</v>
      </c>
      <c r="G1203" s="6" t="str">
        <f>IFERROR(__xludf.DUMMYFUNCTION("""COMPUTED_VALUE"""),"Pieces")</f>
        <v>Pieces</v>
      </c>
      <c r="H1203" s="6" t="str">
        <f>IFERROR(__xludf.DUMMYFUNCTION("""COMPUTED_VALUE"""),"IDR")</f>
        <v>IDR</v>
      </c>
      <c r="I1203" s="6">
        <f>IFERROR(__xludf.DUMMYFUNCTION("""COMPUTED_VALUE"""),345000.0)</f>
        <v>345000</v>
      </c>
      <c r="J1203" s="6">
        <f>IFERROR(__xludf.DUMMYFUNCTION("""COMPUTED_VALUE"""),1380000.0)</f>
        <v>1380000</v>
      </c>
      <c r="K1203" s="57">
        <f>IFERROR(__xludf.DUMMYFUNCTION("""COMPUTED_VALUE"""),44015.0)</f>
        <v>44015</v>
      </c>
      <c r="L1203" s="6" t="str">
        <f>IFERROR(__xludf.DUMMYFUNCTION("""COMPUTED_VALUE"""),"FIP Engineering")</f>
        <v>FIP Engineering</v>
      </c>
      <c r="M1203" s="6" t="str">
        <f>IFERROR(__xludf.DUMMYFUNCTION("""COMPUTED_VALUE"""),"Irwan Sopian")</f>
        <v>Irwan Sopian</v>
      </c>
      <c r="N1203" s="6" t="str">
        <f>IFERROR(__xludf.DUMMYFUNCTION("""COMPUTED_VALUE"""),"FIP Engineering")</f>
        <v>FIP Engineering</v>
      </c>
      <c r="O1203" s="6" t="str">
        <f>IFERROR(__xludf.DUMMYFUNCTION("""COMPUTED_VALUE"""),"FIP-DOM-000-11304-OS00001-INA-000000")</f>
        <v>FIP-DOM-000-11304-OS00001-INA-000000</v>
      </c>
      <c r="P1203" s="6" t="str">
        <f>IFERROR(__xludf.DUMMYFUNCTION("""COMPUTED_VALUE"""),"PO Closed")</f>
        <v>PO Closed</v>
      </c>
      <c r="Q1203" s="6" t="str">
        <f>IFERROR(__xludf.DUMMYFUNCTION("""COMPUTED_VALUE"""),"GL2006053")</f>
        <v>GL2006053</v>
      </c>
      <c r="R1203" s="57">
        <f>IFERROR(__xludf.DUMMYFUNCTION("""COMPUTED_VALUE"""),43994.0)</f>
        <v>43994</v>
      </c>
      <c r="S1203" s="6" t="str">
        <f>IFERROR(__xludf.DUMMYFUNCTION("""COMPUTED_VALUE"""),"-")</f>
        <v>-</v>
      </c>
      <c r="T1203" s="57">
        <f>IFERROR(__xludf.DUMMYFUNCTION("""COMPUTED_VALUE"""),44029.0)</f>
        <v>44029</v>
      </c>
    </row>
    <row r="1204">
      <c r="A1204" s="6" t="str">
        <f>IFERROR(__xludf.DUMMYFUNCTION("""COMPUTED_VALUE"""),"201750249-5")</f>
        <v>201750249-5</v>
      </c>
      <c r="B1204" s="6" t="str">
        <f>IFERROR(__xludf.DUMMYFUNCTION("""COMPUTED_VALUE"""),"201750249 - Approved")</f>
        <v>201750249 - Approved</v>
      </c>
      <c r="C1204" s="6">
        <f>IFERROR(__xludf.DUMMYFUNCTION("""COMPUTED_VALUE"""),5.0)</f>
        <v>5</v>
      </c>
      <c r="D1204" s="6" t="str">
        <f>IFERROR(__xludf.DUMMYFUNCTION("""COMPUTED_VALUE"""),"P-50263-00")</f>
        <v>P-50263-00</v>
      </c>
      <c r="E1204" s="6" t="str">
        <f>IFERROR(__xludf.DUMMYFUNCTION("""COMPUTED_VALUE"""),"Gland Cable")</f>
        <v>Gland Cable</v>
      </c>
      <c r="F1204" s="6">
        <f>IFERROR(__xludf.DUMMYFUNCTION("""COMPUTED_VALUE"""),8.0)</f>
        <v>8</v>
      </c>
      <c r="G1204" s="6" t="str">
        <f>IFERROR(__xludf.DUMMYFUNCTION("""COMPUTED_VALUE"""),"Pieces")</f>
        <v>Pieces</v>
      </c>
      <c r="H1204" s="6" t="str">
        <f>IFERROR(__xludf.DUMMYFUNCTION("""COMPUTED_VALUE"""),"IDR")</f>
        <v>IDR</v>
      </c>
      <c r="I1204" s="6">
        <f>IFERROR(__xludf.DUMMYFUNCTION("""COMPUTED_VALUE"""),10000.0)</f>
        <v>10000</v>
      </c>
      <c r="J1204" s="6">
        <f>IFERROR(__xludf.DUMMYFUNCTION("""COMPUTED_VALUE"""),80000.0)</f>
        <v>80000</v>
      </c>
      <c r="K1204" s="57">
        <f>IFERROR(__xludf.DUMMYFUNCTION("""COMPUTED_VALUE"""),44015.0)</f>
        <v>44015</v>
      </c>
      <c r="L1204" s="6" t="str">
        <f>IFERROR(__xludf.DUMMYFUNCTION("""COMPUTED_VALUE"""),"FIP Engineering")</f>
        <v>FIP Engineering</v>
      </c>
      <c r="M1204" s="6" t="str">
        <f>IFERROR(__xludf.DUMMYFUNCTION("""COMPUTED_VALUE"""),"Irwan Sopian")</f>
        <v>Irwan Sopian</v>
      </c>
      <c r="N1204" s="6" t="str">
        <f>IFERROR(__xludf.DUMMYFUNCTION("""COMPUTED_VALUE"""),"FIP Engineering")</f>
        <v>FIP Engineering</v>
      </c>
      <c r="O1204" s="6" t="str">
        <f>IFERROR(__xludf.DUMMYFUNCTION("""COMPUTED_VALUE"""),"FIP-DOM-000-11304-OS00001-INA-000000")</f>
        <v>FIP-DOM-000-11304-OS00001-INA-000000</v>
      </c>
      <c r="P1204" s="6" t="str">
        <f>IFERROR(__xludf.DUMMYFUNCTION("""COMPUTED_VALUE"""),"PO Closed")</f>
        <v>PO Closed</v>
      </c>
      <c r="Q1204" s="6" t="str">
        <f>IFERROR(__xludf.DUMMYFUNCTION("""COMPUTED_VALUE"""),"GL2006053")</f>
        <v>GL2006053</v>
      </c>
      <c r="R1204" s="57">
        <f>IFERROR(__xludf.DUMMYFUNCTION("""COMPUTED_VALUE"""),43994.0)</f>
        <v>43994</v>
      </c>
      <c r="S1204" s="6" t="str">
        <f>IFERROR(__xludf.DUMMYFUNCTION("""COMPUTED_VALUE"""),"-")</f>
        <v>-</v>
      </c>
      <c r="T1204" s="57">
        <f>IFERROR(__xludf.DUMMYFUNCTION("""COMPUTED_VALUE"""),44029.0)</f>
        <v>44029</v>
      </c>
    </row>
    <row r="1205">
      <c r="A1205" s="6" t="str">
        <f>IFERROR(__xludf.DUMMYFUNCTION("""COMPUTED_VALUE"""),"201750249-6")</f>
        <v>201750249-6</v>
      </c>
      <c r="B1205" s="6" t="str">
        <f>IFERROR(__xludf.DUMMYFUNCTION("""COMPUTED_VALUE"""),"201750249 - Approved")</f>
        <v>201750249 - Approved</v>
      </c>
      <c r="C1205" s="6">
        <f>IFERROR(__xludf.DUMMYFUNCTION("""COMPUTED_VALUE"""),6.0)</f>
        <v>6</v>
      </c>
      <c r="D1205" s="6" t="str">
        <f>IFERROR(__xludf.DUMMYFUNCTION("""COMPUTED_VALUE"""),"P-12195-00")</f>
        <v>P-12195-00</v>
      </c>
      <c r="E1205" s="6" t="str">
        <f>IFERROR(__xludf.DUMMYFUNCTION("""COMPUTED_VALUE"""),"Elbow SS 316 L dia 1inch")</f>
        <v>Elbow SS 316 L dia 1inch</v>
      </c>
      <c r="F1205" s="6">
        <f>IFERROR(__xludf.DUMMYFUNCTION("""COMPUTED_VALUE"""),4.0)</f>
        <v>4</v>
      </c>
      <c r="G1205" s="6" t="str">
        <f>IFERROR(__xludf.DUMMYFUNCTION("""COMPUTED_VALUE"""),"Pieces")</f>
        <v>Pieces</v>
      </c>
      <c r="H1205" s="6" t="str">
        <f>IFERROR(__xludf.DUMMYFUNCTION("""COMPUTED_VALUE"""),"IDR")</f>
        <v>IDR</v>
      </c>
      <c r="I1205" s="6">
        <f>IFERROR(__xludf.DUMMYFUNCTION("""COMPUTED_VALUE"""),155000.0)</f>
        <v>155000</v>
      </c>
      <c r="J1205" s="6">
        <f>IFERROR(__xludf.DUMMYFUNCTION("""COMPUTED_VALUE"""),620000.0)</f>
        <v>620000</v>
      </c>
      <c r="K1205" s="57">
        <f>IFERROR(__xludf.DUMMYFUNCTION("""COMPUTED_VALUE"""),44015.0)</f>
        <v>44015</v>
      </c>
      <c r="L1205" s="6" t="str">
        <f>IFERROR(__xludf.DUMMYFUNCTION("""COMPUTED_VALUE"""),"FIP Engineering")</f>
        <v>FIP Engineering</v>
      </c>
      <c r="M1205" s="6" t="str">
        <f>IFERROR(__xludf.DUMMYFUNCTION("""COMPUTED_VALUE"""),"Irwan Sopian")</f>
        <v>Irwan Sopian</v>
      </c>
      <c r="N1205" s="6" t="str">
        <f>IFERROR(__xludf.DUMMYFUNCTION("""COMPUTED_VALUE"""),"FIP Engineering")</f>
        <v>FIP Engineering</v>
      </c>
      <c r="O1205" s="6" t="str">
        <f>IFERROR(__xludf.DUMMYFUNCTION("""COMPUTED_VALUE"""),"FIP-DOM-000-11304-OS00001-INA-000000")</f>
        <v>FIP-DOM-000-11304-OS00001-INA-000000</v>
      </c>
      <c r="P1205" s="6" t="str">
        <f>IFERROR(__xludf.DUMMYFUNCTION("""COMPUTED_VALUE"""),"PO Closed")</f>
        <v>PO Closed</v>
      </c>
      <c r="Q1205" s="6" t="str">
        <f>IFERROR(__xludf.DUMMYFUNCTION("""COMPUTED_VALUE"""),"GL2006053")</f>
        <v>GL2006053</v>
      </c>
      <c r="R1205" s="57">
        <f>IFERROR(__xludf.DUMMYFUNCTION("""COMPUTED_VALUE"""),43994.0)</f>
        <v>43994</v>
      </c>
      <c r="S1205" s="6" t="str">
        <f>IFERROR(__xludf.DUMMYFUNCTION("""COMPUTED_VALUE"""),"-")</f>
        <v>-</v>
      </c>
      <c r="T1205" s="57">
        <f>IFERROR(__xludf.DUMMYFUNCTION("""COMPUTED_VALUE"""),44029.0)</f>
        <v>44029</v>
      </c>
    </row>
    <row r="1206">
      <c r="A1206" s="6" t="str">
        <f>IFERROR(__xludf.DUMMYFUNCTION("""COMPUTED_VALUE"""),"201750253-1")</f>
        <v>201750253-1</v>
      </c>
      <c r="B1206" s="6" t="str">
        <f>IFERROR(__xludf.DUMMYFUNCTION("""COMPUTED_VALUE"""),"201750253 - Approved")</f>
        <v>201750253 - Approved</v>
      </c>
      <c r="C1206" s="6">
        <f>IFERROR(__xludf.DUMMYFUNCTION("""COMPUTED_VALUE"""),1.0)</f>
        <v>1</v>
      </c>
      <c r="D1206" s="6" t="str">
        <f>IFERROR(__xludf.DUMMYFUNCTION("""COMPUTED_VALUE"""),"O-14616-00")</f>
        <v>O-14616-00</v>
      </c>
      <c r="E1206" s="6" t="str">
        <f>IFERROR(__xludf.DUMMYFUNCTION("""COMPUTED_VALUE"""),"Black arm system for Rotating pincer pneumatic cylinder c/n 33661")</f>
        <v>Black arm system for Rotating pincer pneumatic cylinder c/n 33661</v>
      </c>
      <c r="F1206" s="6">
        <f>IFERROR(__xludf.DUMMYFUNCTION("""COMPUTED_VALUE"""),1.0)</f>
        <v>1</v>
      </c>
      <c r="G1206" s="6" t="str">
        <f>IFERROR(__xludf.DUMMYFUNCTION("""COMPUTED_VALUE"""),"Unit")</f>
        <v>Unit</v>
      </c>
      <c r="H1206" s="6" t="str">
        <f>IFERROR(__xludf.DUMMYFUNCTION("""COMPUTED_VALUE"""),"IDR")</f>
        <v>IDR</v>
      </c>
      <c r="I1206" s="6">
        <f>IFERROR(__xludf.DUMMYFUNCTION("""COMPUTED_VALUE"""),4686000.0)</f>
        <v>4686000</v>
      </c>
      <c r="J1206" s="6">
        <f>IFERROR(__xludf.DUMMYFUNCTION("""COMPUTED_VALUE"""),4686000.0)</f>
        <v>4686000</v>
      </c>
      <c r="K1206" s="57">
        <f>IFERROR(__xludf.DUMMYFUNCTION("""COMPUTED_VALUE"""),44029.0)</f>
        <v>44029</v>
      </c>
      <c r="L1206" s="6" t="str">
        <f>IFERROR(__xludf.DUMMYFUNCTION("""COMPUTED_VALUE"""),"FIP Engineering")</f>
        <v>FIP Engineering</v>
      </c>
      <c r="M1206" s="6" t="str">
        <f>IFERROR(__xludf.DUMMYFUNCTION("""COMPUTED_VALUE"""),"Irwan Sopian")</f>
        <v>Irwan Sopian</v>
      </c>
      <c r="N1206" s="6" t="str">
        <f>IFERROR(__xludf.DUMMYFUNCTION("""COMPUTED_VALUE"""),"FIP Engineering")</f>
        <v>FIP Engineering</v>
      </c>
      <c r="O1206" s="6" t="str">
        <f>IFERROR(__xludf.DUMMYFUNCTION("""COMPUTED_VALUE"""),"FIP-DOM-000-11304-OS00001-INA-000000")</f>
        <v>FIP-DOM-000-11304-OS00001-INA-000000</v>
      </c>
      <c r="P1206" s="6" t="str">
        <f>IFERROR(__xludf.DUMMYFUNCTION("""COMPUTED_VALUE"""),"PO Closed")</f>
        <v>PO Closed</v>
      </c>
      <c r="Q1206" s="6" t="str">
        <f>IFERROR(__xludf.DUMMYFUNCTION("""COMPUTED_VALUE"""),"GL2007015")</f>
        <v>GL2007015</v>
      </c>
      <c r="R1206" s="57">
        <f>IFERROR(__xludf.DUMMYFUNCTION("""COMPUTED_VALUE"""),43998.0)</f>
        <v>43998</v>
      </c>
      <c r="S1206" s="6" t="str">
        <f>IFERROR(__xludf.DUMMYFUNCTION("""COMPUTED_VALUE"""),"-")</f>
        <v>-</v>
      </c>
      <c r="T1206" s="57">
        <f>IFERROR(__xludf.DUMMYFUNCTION("""COMPUTED_VALUE"""),44089.0)</f>
        <v>44089</v>
      </c>
    </row>
    <row r="1207">
      <c r="A1207" s="6" t="str">
        <f>IFERROR(__xludf.DUMMYFUNCTION("""COMPUTED_VALUE"""),"201750256-1")</f>
        <v>201750256-1</v>
      </c>
      <c r="B1207" s="6" t="str">
        <f>IFERROR(__xludf.DUMMYFUNCTION("""COMPUTED_VALUE"""),"201750256 - Approved")</f>
        <v>201750256 - Approved</v>
      </c>
      <c r="C1207" s="6">
        <f>IFERROR(__xludf.DUMMYFUNCTION("""COMPUTED_VALUE"""),1.0)</f>
        <v>1</v>
      </c>
      <c r="D1207" s="6" t="str">
        <f>IFERROR(__xludf.DUMMYFUNCTION("""COMPUTED_VALUE"""),"Q-10528-00")</f>
        <v>Q-10528-00</v>
      </c>
      <c r="E1207" s="6" t="str">
        <f>IFERROR(__xludf.DUMMYFUNCTION("""COMPUTED_VALUE"""),"Kaca; KACA CERMIN 5 x 350 x 1000mm BEVEL 15mm, LUBANG 4 SKRUP TUTUP STAINLESS")</f>
        <v>Kaca; KACA CERMIN 5 x 350 x 1000mm BEVEL 15mm, LUBANG 4 SKRUP TUTUP STAINLESS</v>
      </c>
      <c r="F1207" s="6">
        <f>IFERROR(__xludf.DUMMYFUNCTION("""COMPUTED_VALUE"""),1.0)</f>
        <v>1</v>
      </c>
      <c r="G1207" s="6" t="str">
        <f>IFERROR(__xludf.DUMMYFUNCTION("""COMPUTED_VALUE"""),"Unit")</f>
        <v>Unit</v>
      </c>
      <c r="H1207" s="6" t="str">
        <f>IFERROR(__xludf.DUMMYFUNCTION("""COMPUTED_VALUE"""),"IDR")</f>
        <v>IDR</v>
      </c>
      <c r="I1207" s="6">
        <f>IFERROR(__xludf.DUMMYFUNCTION("""COMPUTED_VALUE"""),490000.0)</f>
        <v>490000</v>
      </c>
      <c r="J1207" s="6">
        <f>IFERROR(__xludf.DUMMYFUNCTION("""COMPUTED_VALUE"""),490000.0)</f>
        <v>490000</v>
      </c>
      <c r="K1207" s="57">
        <f>IFERROR(__xludf.DUMMYFUNCTION("""COMPUTED_VALUE"""),44036.0)</f>
        <v>44036</v>
      </c>
      <c r="L1207" s="6" t="str">
        <f>IFERROR(__xludf.DUMMYFUNCTION("""COMPUTED_VALUE"""),"FIP General")</f>
        <v>FIP General</v>
      </c>
      <c r="M1207" s="6" t="str">
        <f>IFERROR(__xludf.DUMMYFUNCTION("""COMPUTED_VALUE"""),"Irwan Sopian")</f>
        <v>Irwan Sopian</v>
      </c>
      <c r="N1207" s="6" t="str">
        <f>IFERROR(__xludf.DUMMYFUNCTION("""COMPUTED_VALUE"""),"FIP Engineering")</f>
        <v>FIP Engineering</v>
      </c>
      <c r="O1207" s="6" t="str">
        <f>IFERROR(__xludf.DUMMYFUNCTION("""COMPUTED_VALUE"""),"FIP-DOM-ENG-51502-0000000-INA-000000")</f>
        <v>FIP-DOM-ENG-51502-0000000-INA-000000</v>
      </c>
      <c r="P1207" s="6" t="str">
        <f>IFERROR(__xludf.DUMMYFUNCTION("""COMPUTED_VALUE"""),"PO Closed")</f>
        <v>PO Closed</v>
      </c>
      <c r="Q1207" s="6" t="str">
        <f>IFERROR(__xludf.DUMMYFUNCTION("""COMPUTED_VALUE"""),"GL2007003")</f>
        <v>GL2007003</v>
      </c>
      <c r="R1207" s="57">
        <f>IFERROR(__xludf.DUMMYFUNCTION("""COMPUTED_VALUE"""),44001.0)</f>
        <v>44001</v>
      </c>
      <c r="S1207" s="6" t="str">
        <f>IFERROR(__xludf.DUMMYFUNCTION("""COMPUTED_VALUE"""),"-")</f>
        <v>-</v>
      </c>
      <c r="T1207" s="57">
        <f>IFERROR(__xludf.DUMMYFUNCTION("""COMPUTED_VALUE"""),44048.0)</f>
        <v>44048</v>
      </c>
    </row>
    <row r="1208">
      <c r="A1208" s="6" t="str">
        <f>IFERROR(__xludf.DUMMYFUNCTION("""COMPUTED_VALUE"""),"201750253-2")</f>
        <v>201750253-2</v>
      </c>
      <c r="B1208" s="6" t="str">
        <f>IFERROR(__xludf.DUMMYFUNCTION("""COMPUTED_VALUE"""),"201750253 - Approved")</f>
        <v>201750253 - Approved</v>
      </c>
      <c r="C1208" s="6">
        <f>IFERROR(__xludf.DUMMYFUNCTION("""COMPUTED_VALUE"""),2.0)</f>
        <v>2</v>
      </c>
      <c r="D1208" s="6" t="str">
        <f>IFERROR(__xludf.DUMMYFUNCTION("""COMPUTED_VALUE"""),"O-52355-00")</f>
        <v>O-52355-00</v>
      </c>
      <c r="E1208" s="6" t="str">
        <f>IFERROR(__xludf.DUMMYFUNCTION("""COMPUTED_VALUE"""),"Solenoid Valve type 55B-24-PE-611JB MAC")</f>
        <v>Solenoid Valve type 55B-24-PE-611JB MAC</v>
      </c>
      <c r="F1208" s="6">
        <f>IFERROR(__xludf.DUMMYFUNCTION("""COMPUTED_VALUE"""),1.0)</f>
        <v>1</v>
      </c>
      <c r="G1208" s="6" t="str">
        <f>IFERROR(__xludf.DUMMYFUNCTION("""COMPUTED_VALUE"""),"Unit")</f>
        <v>Unit</v>
      </c>
      <c r="H1208" s="6" t="str">
        <f>IFERROR(__xludf.DUMMYFUNCTION("""COMPUTED_VALUE"""),"IDR")</f>
        <v>IDR</v>
      </c>
      <c r="I1208" s="6">
        <f>IFERROR(__xludf.DUMMYFUNCTION("""COMPUTED_VALUE"""),1670000.0)</f>
        <v>1670000</v>
      </c>
      <c r="J1208" s="6">
        <f>IFERROR(__xludf.DUMMYFUNCTION("""COMPUTED_VALUE"""),1670000.0)</f>
        <v>1670000</v>
      </c>
      <c r="K1208" s="57">
        <f>IFERROR(__xludf.DUMMYFUNCTION("""COMPUTED_VALUE"""),44029.0)</f>
        <v>44029</v>
      </c>
      <c r="L1208" s="6" t="str">
        <f>IFERROR(__xludf.DUMMYFUNCTION("""COMPUTED_VALUE"""),"FIP Engineering")</f>
        <v>FIP Engineering</v>
      </c>
      <c r="M1208" s="6" t="str">
        <f>IFERROR(__xludf.DUMMYFUNCTION("""COMPUTED_VALUE"""),"Irwan Sopian")</f>
        <v>Irwan Sopian</v>
      </c>
      <c r="N1208" s="6" t="str">
        <f>IFERROR(__xludf.DUMMYFUNCTION("""COMPUTED_VALUE"""),"FIP Engineering")</f>
        <v>FIP Engineering</v>
      </c>
      <c r="O1208" s="6" t="str">
        <f>IFERROR(__xludf.DUMMYFUNCTION("""COMPUTED_VALUE"""),"FIP-DOM-000-11304-OS00001-INA-000000")</f>
        <v>FIP-DOM-000-11304-OS00001-INA-000000</v>
      </c>
      <c r="P1208" s="6" t="str">
        <f>IFERROR(__xludf.DUMMYFUNCTION("""COMPUTED_VALUE"""),"PO Closed")</f>
        <v>PO Closed</v>
      </c>
      <c r="Q1208" s="6" t="str">
        <f>IFERROR(__xludf.DUMMYFUNCTION("""COMPUTED_VALUE"""),"GL2007017")</f>
        <v>GL2007017</v>
      </c>
      <c r="R1208" s="57">
        <f>IFERROR(__xludf.DUMMYFUNCTION("""COMPUTED_VALUE"""),44001.0)</f>
        <v>44001</v>
      </c>
      <c r="S1208" s="6" t="str">
        <f>IFERROR(__xludf.DUMMYFUNCTION("""COMPUTED_VALUE"""),"-")</f>
        <v>-</v>
      </c>
      <c r="T1208" s="57">
        <f>IFERROR(__xludf.DUMMYFUNCTION("""COMPUTED_VALUE"""),44102.0)</f>
        <v>44102</v>
      </c>
    </row>
    <row r="1209">
      <c r="A1209" s="6" t="str">
        <f>IFERROR(__xludf.DUMMYFUNCTION("""COMPUTED_VALUE"""),"201750258-1")</f>
        <v>201750258-1</v>
      </c>
      <c r="B1209" s="6" t="str">
        <f>IFERROR(__xludf.DUMMYFUNCTION("""COMPUTED_VALUE"""),"201750258 - Approved")</f>
        <v>201750258 - Approved</v>
      </c>
      <c r="C1209" s="6">
        <f>IFERROR(__xludf.DUMMYFUNCTION("""COMPUTED_VALUE"""),1.0)</f>
        <v>1</v>
      </c>
      <c r="D1209" s="6" t="str">
        <f>IFERROR(__xludf.DUMMYFUNCTION("""COMPUTED_VALUE"""),"P-60000-00")</f>
        <v>P-60000-00</v>
      </c>
      <c r="E1209" s="6" t="str">
        <f>IFERROR(__xludf.DUMMYFUNCTION("""COMPUTED_VALUE"""),"Repair PHE Hot Wate r(Instalasi bypass PHE) Alvalaval")</f>
        <v>Repair PHE Hot Wate r(Instalasi bypass PHE) Alvalaval</v>
      </c>
      <c r="F1209" s="6">
        <f>IFERROR(__xludf.DUMMYFUNCTION("""COMPUTED_VALUE"""),1.0)</f>
        <v>1</v>
      </c>
      <c r="G1209" s="6" t="str">
        <f>IFERROR(__xludf.DUMMYFUNCTION("""COMPUTED_VALUE"""),"Lot")</f>
        <v>Lot</v>
      </c>
      <c r="H1209" s="6" t="str">
        <f>IFERROR(__xludf.DUMMYFUNCTION("""COMPUTED_VALUE"""),"IDR")</f>
        <v>IDR</v>
      </c>
      <c r="I1209" s="6">
        <f>IFERROR(__xludf.DUMMYFUNCTION("""COMPUTED_VALUE"""),4.899E7)</f>
        <v>48990000</v>
      </c>
      <c r="J1209" s="6">
        <f>IFERROR(__xludf.DUMMYFUNCTION("""COMPUTED_VALUE"""),4.899E7)</f>
        <v>48990000</v>
      </c>
      <c r="K1209" s="57">
        <f>IFERROR(__xludf.DUMMYFUNCTION("""COMPUTED_VALUE"""),44043.0)</f>
        <v>44043</v>
      </c>
      <c r="L1209" s="6" t="str">
        <f>IFERROR(__xludf.DUMMYFUNCTION("""COMPUTED_VALUE"""),"FIP General")</f>
        <v>FIP General</v>
      </c>
      <c r="M1209" s="6" t="str">
        <f>IFERROR(__xludf.DUMMYFUNCTION("""COMPUTED_VALUE"""),"Irwan Sopian")</f>
        <v>Irwan Sopian</v>
      </c>
      <c r="N1209" s="6" t="str">
        <f>IFERROR(__xludf.DUMMYFUNCTION("""COMPUTED_VALUE"""),"FIP Engineering")</f>
        <v>FIP Engineering</v>
      </c>
      <c r="O1209" s="6" t="str">
        <f>IFERROR(__xludf.DUMMYFUNCTION("""COMPUTED_VALUE"""),"FIP-DOM-ENG-51504-0000000-INA-000000")</f>
        <v>FIP-DOM-ENG-51504-0000000-INA-000000</v>
      </c>
      <c r="P1209" s="6" t="str">
        <f>IFERROR(__xludf.DUMMYFUNCTION("""COMPUTED_VALUE"""),"PO Closed")</f>
        <v>PO Closed</v>
      </c>
      <c r="Q1209" s="6" t="str">
        <f>IFERROR(__xludf.DUMMYFUNCTION("""COMPUTED_VALUE"""),"GL2007039")</f>
        <v>GL2007039</v>
      </c>
      <c r="R1209" s="57">
        <f>IFERROR(__xludf.DUMMYFUNCTION("""COMPUTED_VALUE"""),44005.0)</f>
        <v>44005</v>
      </c>
      <c r="S1209" s="6" t="str">
        <f>IFERROR(__xludf.DUMMYFUNCTION("""COMPUTED_VALUE"""),"-")</f>
        <v>-</v>
      </c>
      <c r="T1209" s="57">
        <f>IFERROR(__xludf.DUMMYFUNCTION("""COMPUTED_VALUE"""),44064.0)</f>
        <v>44064</v>
      </c>
    </row>
    <row r="1210">
      <c r="A1210" s="6" t="str">
        <f>IFERROR(__xludf.DUMMYFUNCTION("""COMPUTED_VALUE"""),"201750263-2")</f>
        <v>201750263-2</v>
      </c>
      <c r="B1210" s="6" t="str">
        <f>IFERROR(__xludf.DUMMYFUNCTION("""COMPUTED_VALUE"""),"201750263 - Approved")</f>
        <v>201750263 - Approved</v>
      </c>
      <c r="C1210" s="6">
        <f>IFERROR(__xludf.DUMMYFUNCTION("""COMPUTED_VALUE"""),2.0)</f>
        <v>2</v>
      </c>
      <c r="D1210" s="6" t="str">
        <f>IFERROR(__xludf.DUMMYFUNCTION("""COMPUTED_VALUE"""),"O-16647-00")</f>
        <v>O-16647-00</v>
      </c>
      <c r="E1210" s="6" t="str">
        <f>IFERROR(__xludf.DUMMYFUNCTION("""COMPUTED_VALUE"""),"Washing RAR4 - Oring Silicone Merah 23x18x2.5 mm")</f>
        <v>Washing RAR4 - Oring Silicone Merah 23x18x2.5 mm</v>
      </c>
      <c r="F1210" s="6">
        <f>IFERROR(__xludf.DUMMYFUNCTION("""COMPUTED_VALUE"""),20.0)</f>
        <v>20</v>
      </c>
      <c r="G1210" s="6" t="str">
        <f>IFERROR(__xludf.DUMMYFUNCTION("""COMPUTED_VALUE"""),"Pieces")</f>
        <v>Pieces</v>
      </c>
      <c r="H1210" s="6" t="str">
        <f>IFERROR(__xludf.DUMMYFUNCTION("""COMPUTED_VALUE"""),"IDR")</f>
        <v>IDR</v>
      </c>
      <c r="I1210" s="6">
        <f>IFERROR(__xludf.DUMMYFUNCTION("""COMPUTED_VALUE"""),35000.0)</f>
        <v>35000</v>
      </c>
      <c r="J1210" s="6">
        <f>IFERROR(__xludf.DUMMYFUNCTION("""COMPUTED_VALUE"""),700000.0)</f>
        <v>700000</v>
      </c>
      <c r="K1210" s="57">
        <f>IFERROR(__xludf.DUMMYFUNCTION("""COMPUTED_VALUE"""),44036.0)</f>
        <v>44036</v>
      </c>
      <c r="L1210" s="6" t="str">
        <f>IFERROR(__xludf.DUMMYFUNCTION("""COMPUTED_VALUE"""),"FIP Engineering")</f>
        <v>FIP Engineering</v>
      </c>
      <c r="M1210" s="6" t="str">
        <f>IFERROR(__xludf.DUMMYFUNCTION("""COMPUTED_VALUE"""),"Irwan Sopian")</f>
        <v>Irwan Sopian</v>
      </c>
      <c r="N1210" s="6" t="str">
        <f>IFERROR(__xludf.DUMMYFUNCTION("""COMPUTED_VALUE"""),"FIP Engineering")</f>
        <v>FIP Engineering</v>
      </c>
      <c r="O1210" s="6" t="str">
        <f>IFERROR(__xludf.DUMMYFUNCTION("""COMPUTED_VALUE"""),"FIP-DOM-000-11304-OS00001-INA-000000")</f>
        <v>FIP-DOM-000-11304-OS00001-INA-000000</v>
      </c>
      <c r="P1210" s="6" t="str">
        <f>IFERROR(__xludf.DUMMYFUNCTION("""COMPUTED_VALUE"""),"PO Closed")</f>
        <v>PO Closed</v>
      </c>
      <c r="Q1210" s="6" t="str">
        <f>IFERROR(__xludf.DUMMYFUNCTION("""COMPUTED_VALUE"""),"GL2006049")</f>
        <v>GL2006049</v>
      </c>
      <c r="R1210" s="57">
        <f>IFERROR(__xludf.DUMMYFUNCTION("""COMPUTED_VALUE"""),44012.0)</f>
        <v>44012</v>
      </c>
      <c r="S1210" s="6" t="str">
        <f>IFERROR(__xludf.DUMMYFUNCTION("""COMPUTED_VALUE"""),"-")</f>
        <v>-</v>
      </c>
      <c r="T1210" s="57">
        <f>IFERROR(__xludf.DUMMYFUNCTION("""COMPUTED_VALUE"""),44036.0)</f>
        <v>44036</v>
      </c>
    </row>
    <row r="1211">
      <c r="A1211" s="6" t="str">
        <f>IFERROR(__xludf.DUMMYFUNCTION("""COMPUTED_VALUE"""),"201750270-1")</f>
        <v>201750270-1</v>
      </c>
      <c r="B1211" s="6" t="str">
        <f>IFERROR(__xludf.DUMMYFUNCTION("""COMPUTED_VALUE"""),"201750270 - Approved")</f>
        <v>201750270 - Approved</v>
      </c>
      <c r="C1211" s="6">
        <f>IFERROR(__xludf.DUMMYFUNCTION("""COMPUTED_VALUE"""),1.0)</f>
        <v>1</v>
      </c>
      <c r="D1211" s="6" t="str">
        <f>IFERROR(__xludf.DUMMYFUNCTION("""COMPUTED_VALUE"""),"O-60001-00")</f>
        <v>O-60001-00</v>
      </c>
      <c r="E1211" s="6" t="str">
        <f>IFERROR(__xludf.DUMMYFUNCTION("""COMPUTED_VALUE"""),"Repair Parcount met one Hiac")</f>
        <v>Repair Parcount met one Hiac</v>
      </c>
      <c r="F1211" s="6">
        <f>IFERROR(__xludf.DUMMYFUNCTION("""COMPUTED_VALUE"""),1.0)</f>
        <v>1</v>
      </c>
      <c r="G1211" s="6" t="str">
        <f>IFERROR(__xludf.DUMMYFUNCTION("""COMPUTED_VALUE"""),"Lot")</f>
        <v>Lot</v>
      </c>
      <c r="H1211" s="6" t="str">
        <f>IFERROR(__xludf.DUMMYFUNCTION("""COMPUTED_VALUE"""),"IDR")</f>
        <v>IDR</v>
      </c>
      <c r="I1211" s="6">
        <f>IFERROR(__xludf.DUMMYFUNCTION("""COMPUTED_VALUE"""),2.6788E7)</f>
        <v>26788000</v>
      </c>
      <c r="J1211" s="6">
        <f>IFERROR(__xludf.DUMMYFUNCTION("""COMPUTED_VALUE"""),2.6788E7)</f>
        <v>26788000</v>
      </c>
      <c r="K1211" s="57">
        <f>IFERROR(__xludf.DUMMYFUNCTION("""COMPUTED_VALUE"""),44050.0)</f>
        <v>44050</v>
      </c>
      <c r="L1211" s="6" t="str">
        <f>IFERROR(__xludf.DUMMYFUNCTION("""COMPUTED_VALUE"""),"FIP General")</f>
        <v>FIP General</v>
      </c>
      <c r="M1211" s="6" t="str">
        <f>IFERROR(__xludf.DUMMYFUNCTION("""COMPUTED_VALUE"""),"Irwan Sopian")</f>
        <v>Irwan Sopian</v>
      </c>
      <c r="N1211" s="6" t="str">
        <f>IFERROR(__xludf.DUMMYFUNCTION("""COMPUTED_VALUE"""),"FIP Engineering")</f>
        <v>FIP Engineering</v>
      </c>
      <c r="O1211" s="6" t="str">
        <f>IFERROR(__xludf.DUMMYFUNCTION("""COMPUTED_VALUE"""),"FIP-DOM-ENG-51504-0000000-INA-000000")</f>
        <v>FIP-DOM-ENG-51504-0000000-INA-000000</v>
      </c>
      <c r="P1211" s="6" t="str">
        <f>IFERROR(__xludf.DUMMYFUNCTION("""COMPUTED_VALUE"""),"PO Closed")</f>
        <v>PO Closed</v>
      </c>
      <c r="Q1211" s="6" t="str">
        <f>IFERROR(__xludf.DUMMYFUNCTION("""COMPUTED_VALUE"""),"GL2007044")</f>
        <v>GL2007044</v>
      </c>
      <c r="R1211" s="57">
        <f>IFERROR(__xludf.DUMMYFUNCTION("""COMPUTED_VALUE"""),44013.0)</f>
        <v>44013</v>
      </c>
      <c r="S1211" s="6" t="str">
        <f>IFERROR(__xludf.DUMMYFUNCTION("""COMPUTED_VALUE"""),"-")</f>
        <v>-</v>
      </c>
      <c r="T1211" s="57">
        <f>IFERROR(__xludf.DUMMYFUNCTION("""COMPUTED_VALUE"""),44105.0)</f>
        <v>44105</v>
      </c>
    </row>
    <row r="1212">
      <c r="A1212" s="6" t="str">
        <f>IFERROR(__xludf.DUMMYFUNCTION("""COMPUTED_VALUE"""),"201750269-1")</f>
        <v>201750269-1</v>
      </c>
      <c r="B1212" s="6" t="str">
        <f>IFERROR(__xludf.DUMMYFUNCTION("""COMPUTED_VALUE"""),"201750269 - Approved")</f>
        <v>201750269 - Approved</v>
      </c>
      <c r="C1212" s="6">
        <f>IFERROR(__xludf.DUMMYFUNCTION("""COMPUTED_VALUE"""),1.0)</f>
        <v>1</v>
      </c>
      <c r="D1212" s="6" t="str">
        <f>IFERROR(__xludf.DUMMYFUNCTION("""COMPUTED_VALUE"""),"T-10087-00")</f>
        <v>T-10087-00</v>
      </c>
      <c r="E1212" s="6" t="str">
        <f>IFERROR(__xludf.DUMMYFUNCTION("""COMPUTED_VALUE"""),"HDD Internal PC 500 GB")</f>
        <v>HDD Internal PC 500 GB</v>
      </c>
      <c r="F1212" s="6">
        <f>IFERROR(__xludf.DUMMYFUNCTION("""COMPUTED_VALUE"""),2.0)</f>
        <v>2</v>
      </c>
      <c r="G1212" s="6" t="str">
        <f>IFERROR(__xludf.DUMMYFUNCTION("""COMPUTED_VALUE"""),"Pieces")</f>
        <v>Pieces</v>
      </c>
      <c r="H1212" s="6" t="str">
        <f>IFERROR(__xludf.DUMMYFUNCTION("""COMPUTED_VALUE"""),"IDR")</f>
        <v>IDR</v>
      </c>
      <c r="I1212" s="6">
        <f>IFERROR(__xludf.DUMMYFUNCTION("""COMPUTED_VALUE"""),650000.0)</f>
        <v>650000</v>
      </c>
      <c r="J1212" s="6">
        <f>IFERROR(__xludf.DUMMYFUNCTION("""COMPUTED_VALUE"""),1300000.0)</f>
        <v>1300000</v>
      </c>
      <c r="K1212" s="57">
        <f>IFERROR(__xludf.DUMMYFUNCTION("""COMPUTED_VALUE"""),44043.0)</f>
        <v>44043</v>
      </c>
      <c r="L1212" s="6" t="str">
        <f>IFERROR(__xludf.DUMMYFUNCTION("""COMPUTED_VALUE"""),"FIP General")</f>
        <v>FIP General</v>
      </c>
      <c r="M1212" s="6" t="str">
        <f>IFERROR(__xludf.DUMMYFUNCTION("""COMPUTED_VALUE"""),"Irwan Sopian")</f>
        <v>Irwan Sopian</v>
      </c>
      <c r="N1212" s="6" t="str">
        <f>IFERROR(__xludf.DUMMYFUNCTION("""COMPUTED_VALUE"""),"FIP Engineering")</f>
        <v>FIP Engineering</v>
      </c>
      <c r="O1212" s="6" t="str">
        <f>IFERROR(__xludf.DUMMYFUNCTION("""COMPUTED_VALUE"""),"FIP-DOM-ENG-51504-0000000-INA-000000")</f>
        <v>FIP-DOM-ENG-51504-0000000-INA-000000</v>
      </c>
      <c r="P1212" s="6" t="str">
        <f>IFERROR(__xludf.DUMMYFUNCTION("""COMPUTED_VALUE"""),"PO Closed")</f>
        <v>PO Closed</v>
      </c>
      <c r="Q1212" s="6" t="str">
        <f>IFERROR(__xludf.DUMMYFUNCTION("""COMPUTED_VALUE"""),"GL2007042")</f>
        <v>GL2007042</v>
      </c>
      <c r="R1212" s="57">
        <f>IFERROR(__xludf.DUMMYFUNCTION("""COMPUTED_VALUE"""),44013.0)</f>
        <v>44013</v>
      </c>
      <c r="S1212" s="6" t="str">
        <f>IFERROR(__xludf.DUMMYFUNCTION("""COMPUTED_VALUE"""),"-")</f>
        <v>-</v>
      </c>
      <c r="T1212" s="57">
        <f>IFERROR(__xludf.DUMMYFUNCTION("""COMPUTED_VALUE"""),44049.0)</f>
        <v>44049</v>
      </c>
    </row>
    <row r="1213">
      <c r="A1213" s="6" t="str">
        <f>IFERROR(__xludf.DUMMYFUNCTION("""COMPUTED_VALUE"""),"201750268-1")</f>
        <v>201750268-1</v>
      </c>
      <c r="B1213" s="6" t="str">
        <f>IFERROR(__xludf.DUMMYFUNCTION("""COMPUTED_VALUE"""),"201750268 - Approved")</f>
        <v>201750268 - Approved</v>
      </c>
      <c r="C1213" s="6">
        <f>IFERROR(__xludf.DUMMYFUNCTION("""COMPUTED_VALUE"""),1.0)</f>
        <v>1</v>
      </c>
      <c r="D1213" s="6" t="str">
        <f>IFERROR(__xludf.DUMMYFUNCTION("""COMPUTED_VALUE"""),"P-13499-00")</f>
        <v>P-13499-00</v>
      </c>
      <c r="E1213" s="6" t="str">
        <f>IFERROR(__xludf.DUMMYFUNCTION("""COMPUTED_VALUE"""),"DOP Pipa PVC 4.0 inch")</f>
        <v>DOP Pipa PVC 4.0 inch</v>
      </c>
      <c r="F1213" s="6">
        <f>IFERROR(__xludf.DUMMYFUNCTION("""COMPUTED_VALUE"""),1.0)</f>
        <v>1</v>
      </c>
      <c r="G1213" s="6" t="str">
        <f>IFERROR(__xludf.DUMMYFUNCTION("""COMPUTED_VALUE"""),"Pieces")</f>
        <v>Pieces</v>
      </c>
      <c r="H1213" s="6" t="str">
        <f>IFERROR(__xludf.DUMMYFUNCTION("""COMPUTED_VALUE"""),"IDR")</f>
        <v>IDR</v>
      </c>
      <c r="I1213" s="6">
        <f>IFERROR(__xludf.DUMMYFUNCTION("""COMPUTED_VALUE"""),55000.0)</f>
        <v>55000</v>
      </c>
      <c r="J1213" s="6">
        <f>IFERROR(__xludf.DUMMYFUNCTION("""COMPUTED_VALUE"""),55000.0)</f>
        <v>55000</v>
      </c>
      <c r="K1213" s="57">
        <f>IFERROR(__xludf.DUMMYFUNCTION("""COMPUTED_VALUE"""),44036.0)</f>
        <v>44036</v>
      </c>
      <c r="L1213" s="6" t="str">
        <f>IFERROR(__xludf.DUMMYFUNCTION("""COMPUTED_VALUE"""),"FIP General")</f>
        <v>FIP General</v>
      </c>
      <c r="M1213" s="6" t="str">
        <f>IFERROR(__xludf.DUMMYFUNCTION("""COMPUTED_VALUE"""),"Irwan Sopian")</f>
        <v>Irwan Sopian</v>
      </c>
      <c r="N1213" s="6" t="str">
        <f>IFERROR(__xludf.DUMMYFUNCTION("""COMPUTED_VALUE"""),"FIP Engineering")</f>
        <v>FIP Engineering</v>
      </c>
      <c r="O1213" s="6" t="str">
        <f>IFERROR(__xludf.DUMMYFUNCTION("""COMPUTED_VALUE"""),"FIP-DOM-ENG-51404-0000000-INA-000000")</f>
        <v>FIP-DOM-ENG-51404-0000000-INA-000000</v>
      </c>
      <c r="P1213" s="6" t="str">
        <f>IFERROR(__xludf.DUMMYFUNCTION("""COMPUTED_VALUE"""),"PO Closed")</f>
        <v>PO Closed</v>
      </c>
      <c r="Q1213" s="6" t="str">
        <f>IFERROR(__xludf.DUMMYFUNCTION("""COMPUTED_VALUE"""),"GL2007025")</f>
        <v>GL2007025</v>
      </c>
      <c r="R1213" s="57">
        <f>IFERROR(__xludf.DUMMYFUNCTION("""COMPUTED_VALUE"""),44013.0)</f>
        <v>44013</v>
      </c>
      <c r="S1213" s="6" t="str">
        <f>IFERROR(__xludf.DUMMYFUNCTION("""COMPUTED_VALUE"""),"-")</f>
        <v>-</v>
      </c>
      <c r="T1213" s="57">
        <f>IFERROR(__xludf.DUMMYFUNCTION("""COMPUTED_VALUE"""),44036.0)</f>
        <v>44036</v>
      </c>
    </row>
    <row r="1214">
      <c r="A1214" s="6" t="str">
        <f>IFERROR(__xludf.DUMMYFUNCTION("""COMPUTED_VALUE"""),"201750268-2")</f>
        <v>201750268-2</v>
      </c>
      <c r="B1214" s="6" t="str">
        <f>IFERROR(__xludf.DUMMYFUNCTION("""COMPUTED_VALUE"""),"201750268 - Approved")</f>
        <v>201750268 - Approved</v>
      </c>
      <c r="C1214" s="6">
        <f>IFERROR(__xludf.DUMMYFUNCTION("""COMPUTED_VALUE"""),2.0)</f>
        <v>2</v>
      </c>
      <c r="D1214" s="6" t="str">
        <f>IFERROR(__xludf.DUMMYFUNCTION("""COMPUTED_VALUE"""),"P-15391-00")</f>
        <v>P-15391-00</v>
      </c>
      <c r="E1214" s="6" t="str">
        <f>IFERROR(__xludf.DUMMYFUNCTION("""COMPUTED_VALUE"""),"Fitting PVC - Reducer PVC AW 4"" x 2""; ; ;")</f>
        <v>Fitting PVC - Reducer PVC AW 4" x 2"; ; ;</v>
      </c>
      <c r="F1214" s="6">
        <f>IFERROR(__xludf.DUMMYFUNCTION("""COMPUTED_VALUE"""),1.0)</f>
        <v>1</v>
      </c>
      <c r="G1214" s="6" t="str">
        <f>IFERROR(__xludf.DUMMYFUNCTION("""COMPUTED_VALUE"""),"Pieces")</f>
        <v>Pieces</v>
      </c>
      <c r="H1214" s="6" t="str">
        <f>IFERROR(__xludf.DUMMYFUNCTION("""COMPUTED_VALUE"""),"IDR")</f>
        <v>IDR</v>
      </c>
      <c r="I1214" s="6">
        <f>IFERROR(__xludf.DUMMYFUNCTION("""COMPUTED_VALUE"""),58000.0)</f>
        <v>58000</v>
      </c>
      <c r="J1214" s="6">
        <f>IFERROR(__xludf.DUMMYFUNCTION("""COMPUTED_VALUE"""),58000.0)</f>
        <v>58000</v>
      </c>
      <c r="K1214" s="57">
        <f>IFERROR(__xludf.DUMMYFUNCTION("""COMPUTED_VALUE"""),44036.0)</f>
        <v>44036</v>
      </c>
      <c r="L1214" s="6" t="str">
        <f>IFERROR(__xludf.DUMMYFUNCTION("""COMPUTED_VALUE"""),"FIP General")</f>
        <v>FIP General</v>
      </c>
      <c r="M1214" s="6" t="str">
        <f>IFERROR(__xludf.DUMMYFUNCTION("""COMPUTED_VALUE"""),"Irwan Sopian")</f>
        <v>Irwan Sopian</v>
      </c>
      <c r="N1214" s="6" t="str">
        <f>IFERROR(__xludf.DUMMYFUNCTION("""COMPUTED_VALUE"""),"FIP Engineering")</f>
        <v>FIP Engineering</v>
      </c>
      <c r="O1214" s="6" t="str">
        <f>IFERROR(__xludf.DUMMYFUNCTION("""COMPUTED_VALUE"""),"FIP-DOM-ENG-51404-0000000-INA-000000")</f>
        <v>FIP-DOM-ENG-51404-0000000-INA-000000</v>
      </c>
      <c r="P1214" s="6" t="str">
        <f>IFERROR(__xludf.DUMMYFUNCTION("""COMPUTED_VALUE"""),"PO Closed")</f>
        <v>PO Closed</v>
      </c>
      <c r="Q1214" s="6" t="str">
        <f>IFERROR(__xludf.DUMMYFUNCTION("""COMPUTED_VALUE"""),"GL2007025")</f>
        <v>GL2007025</v>
      </c>
      <c r="R1214" s="57">
        <f>IFERROR(__xludf.DUMMYFUNCTION("""COMPUTED_VALUE"""),44013.0)</f>
        <v>44013</v>
      </c>
      <c r="S1214" s="6" t="str">
        <f>IFERROR(__xludf.DUMMYFUNCTION("""COMPUTED_VALUE"""),"-")</f>
        <v>-</v>
      </c>
      <c r="T1214" s="57">
        <f>IFERROR(__xludf.DUMMYFUNCTION("""COMPUTED_VALUE"""),44036.0)</f>
        <v>44036</v>
      </c>
    </row>
    <row r="1215">
      <c r="A1215" s="6" t="str">
        <f>IFERROR(__xludf.DUMMYFUNCTION("""COMPUTED_VALUE"""),"201750268-3")</f>
        <v>201750268-3</v>
      </c>
      <c r="B1215" s="6" t="str">
        <f>IFERROR(__xludf.DUMMYFUNCTION("""COMPUTED_VALUE"""),"201750268 - Approved")</f>
        <v>201750268 - Approved</v>
      </c>
      <c r="C1215" s="6">
        <f>IFERROR(__xludf.DUMMYFUNCTION("""COMPUTED_VALUE"""),3.0)</f>
        <v>3</v>
      </c>
      <c r="D1215" s="6" t="str">
        <f>IFERROR(__xludf.DUMMYFUNCTION("""COMPUTED_VALUE"""),"P-15078-00")</f>
        <v>P-15078-00</v>
      </c>
      <c r="E1215" s="6" t="str">
        <f>IFERROR(__xludf.DUMMYFUNCTION("""COMPUTED_VALUE"""),"ELBOW PVC AW 2"" Rucika; ; ;")</f>
        <v>ELBOW PVC AW 2" Rucika; ; ;</v>
      </c>
      <c r="F1215" s="6">
        <f>IFERROR(__xludf.DUMMYFUNCTION("""COMPUTED_VALUE"""),2.0)</f>
        <v>2</v>
      </c>
      <c r="G1215" s="6" t="str">
        <f>IFERROR(__xludf.DUMMYFUNCTION("""COMPUTED_VALUE"""),"Pieces")</f>
        <v>Pieces</v>
      </c>
      <c r="H1215" s="6" t="str">
        <f>IFERROR(__xludf.DUMMYFUNCTION("""COMPUTED_VALUE"""),"IDR")</f>
        <v>IDR</v>
      </c>
      <c r="I1215" s="6">
        <f>IFERROR(__xludf.DUMMYFUNCTION("""COMPUTED_VALUE"""),23000.0)</f>
        <v>23000</v>
      </c>
      <c r="J1215" s="6">
        <f>IFERROR(__xludf.DUMMYFUNCTION("""COMPUTED_VALUE"""),46000.0)</f>
        <v>46000</v>
      </c>
      <c r="K1215" s="57">
        <f>IFERROR(__xludf.DUMMYFUNCTION("""COMPUTED_VALUE"""),44036.0)</f>
        <v>44036</v>
      </c>
      <c r="L1215" s="6" t="str">
        <f>IFERROR(__xludf.DUMMYFUNCTION("""COMPUTED_VALUE"""),"FIP Engineering")</f>
        <v>FIP Engineering</v>
      </c>
      <c r="M1215" s="6" t="str">
        <f>IFERROR(__xludf.DUMMYFUNCTION("""COMPUTED_VALUE"""),"Irwan Sopian")</f>
        <v>Irwan Sopian</v>
      </c>
      <c r="N1215" s="6" t="str">
        <f>IFERROR(__xludf.DUMMYFUNCTION("""COMPUTED_VALUE"""),"FIP Engineering")</f>
        <v>FIP Engineering</v>
      </c>
      <c r="O1215" s="6" t="str">
        <f>IFERROR(__xludf.DUMMYFUNCTION("""COMPUTED_VALUE"""),"FIP-DOM-000-11304-OS00001-INA-000000")</f>
        <v>FIP-DOM-000-11304-OS00001-INA-000000</v>
      </c>
      <c r="P1215" s="6" t="str">
        <f>IFERROR(__xludf.DUMMYFUNCTION("""COMPUTED_VALUE"""),"PO Closed")</f>
        <v>PO Closed</v>
      </c>
      <c r="Q1215" s="6" t="str">
        <f>IFERROR(__xludf.DUMMYFUNCTION("""COMPUTED_VALUE"""),"GL2007025")</f>
        <v>GL2007025</v>
      </c>
      <c r="R1215" s="57">
        <f>IFERROR(__xludf.DUMMYFUNCTION("""COMPUTED_VALUE"""),44013.0)</f>
        <v>44013</v>
      </c>
      <c r="S1215" s="6" t="str">
        <f>IFERROR(__xludf.DUMMYFUNCTION("""COMPUTED_VALUE"""),"-")</f>
        <v>-</v>
      </c>
      <c r="T1215" s="57">
        <f>IFERROR(__xludf.DUMMYFUNCTION("""COMPUTED_VALUE"""),44036.0)</f>
        <v>44036</v>
      </c>
    </row>
    <row r="1216">
      <c r="A1216" s="6" t="str">
        <f>IFERROR(__xludf.DUMMYFUNCTION("""COMPUTED_VALUE"""),"201750268-4")</f>
        <v>201750268-4</v>
      </c>
      <c r="B1216" s="6" t="str">
        <f>IFERROR(__xludf.DUMMYFUNCTION("""COMPUTED_VALUE"""),"201750268 - Approved")</f>
        <v>201750268 - Approved</v>
      </c>
      <c r="C1216" s="6">
        <f>IFERROR(__xludf.DUMMYFUNCTION("""COMPUTED_VALUE"""),4.0)</f>
        <v>4</v>
      </c>
      <c r="D1216" s="6" t="str">
        <f>IFERROR(__xludf.DUMMYFUNCTION("""COMPUTED_VALUE"""),"P-12751-00")</f>
        <v>P-12751-00</v>
      </c>
      <c r="E1216" s="6" t="str">
        <f>IFERROR(__xludf.DUMMYFUNCTION("""COMPUTED_VALUE"""),"RUCIKA - Pipa PVC AW dia 2inch")</f>
        <v>RUCIKA - Pipa PVC AW dia 2inch</v>
      </c>
      <c r="F1216" s="6">
        <f>IFERROR(__xludf.DUMMYFUNCTION("""COMPUTED_VALUE"""),2.0)</f>
        <v>2</v>
      </c>
      <c r="G1216" s="6" t="str">
        <f>IFERROR(__xludf.DUMMYFUNCTION("""COMPUTED_VALUE"""),"Pieces")</f>
        <v>Pieces</v>
      </c>
      <c r="H1216" s="6" t="str">
        <f>IFERROR(__xludf.DUMMYFUNCTION("""COMPUTED_VALUE"""),"IDR")</f>
        <v>IDR</v>
      </c>
      <c r="I1216" s="6">
        <f>IFERROR(__xludf.DUMMYFUNCTION("""COMPUTED_VALUE"""),230000.0)</f>
        <v>230000</v>
      </c>
      <c r="J1216" s="6">
        <f>IFERROR(__xludf.DUMMYFUNCTION("""COMPUTED_VALUE"""),460000.0)</f>
        <v>460000</v>
      </c>
      <c r="K1216" s="57">
        <f>IFERROR(__xludf.DUMMYFUNCTION("""COMPUTED_VALUE"""),44036.0)</f>
        <v>44036</v>
      </c>
      <c r="L1216" s="6" t="str">
        <f>IFERROR(__xludf.DUMMYFUNCTION("""COMPUTED_VALUE"""),"FIP General")</f>
        <v>FIP General</v>
      </c>
      <c r="M1216" s="6" t="str">
        <f>IFERROR(__xludf.DUMMYFUNCTION("""COMPUTED_VALUE"""),"Irwan Sopian")</f>
        <v>Irwan Sopian</v>
      </c>
      <c r="N1216" s="6" t="str">
        <f>IFERROR(__xludf.DUMMYFUNCTION("""COMPUTED_VALUE"""),"FIP Engineering")</f>
        <v>FIP Engineering</v>
      </c>
      <c r="O1216" s="6" t="str">
        <f>IFERROR(__xludf.DUMMYFUNCTION("""COMPUTED_VALUE"""),"FIP-DOM-ENG-51404-0000000-INA-000000")</f>
        <v>FIP-DOM-ENG-51404-0000000-INA-000000</v>
      </c>
      <c r="P1216" s="6" t="str">
        <f>IFERROR(__xludf.DUMMYFUNCTION("""COMPUTED_VALUE"""),"PO Closed")</f>
        <v>PO Closed</v>
      </c>
      <c r="Q1216" s="6" t="str">
        <f>IFERROR(__xludf.DUMMYFUNCTION("""COMPUTED_VALUE"""),"GL2007025")</f>
        <v>GL2007025</v>
      </c>
      <c r="R1216" s="57">
        <f>IFERROR(__xludf.DUMMYFUNCTION("""COMPUTED_VALUE"""),44013.0)</f>
        <v>44013</v>
      </c>
      <c r="S1216" s="6" t="str">
        <f>IFERROR(__xludf.DUMMYFUNCTION("""COMPUTED_VALUE"""),"-")</f>
        <v>-</v>
      </c>
      <c r="T1216" s="57">
        <f>IFERROR(__xludf.DUMMYFUNCTION("""COMPUTED_VALUE"""),44036.0)</f>
        <v>44036</v>
      </c>
    </row>
    <row r="1217">
      <c r="A1217" s="6" t="str">
        <f>IFERROR(__xludf.DUMMYFUNCTION("""COMPUTED_VALUE"""),"201750268-5")</f>
        <v>201750268-5</v>
      </c>
      <c r="B1217" s="6" t="str">
        <f>IFERROR(__xludf.DUMMYFUNCTION("""COMPUTED_VALUE"""),"201750268 - Approved")</f>
        <v>201750268 - Approved</v>
      </c>
      <c r="C1217" s="6">
        <f>IFERROR(__xludf.DUMMYFUNCTION("""COMPUTED_VALUE"""),5.0)</f>
        <v>5</v>
      </c>
      <c r="D1217" s="6" t="str">
        <f>IFERROR(__xludf.DUMMYFUNCTION("""COMPUTED_VALUE"""),"P-12470-00")</f>
        <v>P-12470-00</v>
      </c>
      <c r="E1217" s="6" t="str">
        <f>IFERROR(__xludf.DUMMYFUNCTION("""COMPUTED_VALUE"""),"Lem PVC Isarplas 300 gr/kaleng")</f>
        <v>Lem PVC Isarplas 300 gr/kaleng</v>
      </c>
      <c r="F1217" s="6">
        <f>IFERROR(__xludf.DUMMYFUNCTION("""COMPUTED_VALUE"""),1.0)</f>
        <v>1</v>
      </c>
      <c r="G1217" s="6" t="str">
        <f>IFERROR(__xludf.DUMMYFUNCTION("""COMPUTED_VALUE"""),"Pieces")</f>
        <v>Pieces</v>
      </c>
      <c r="H1217" s="6" t="str">
        <f>IFERROR(__xludf.DUMMYFUNCTION("""COMPUTED_VALUE"""),"IDR")</f>
        <v>IDR</v>
      </c>
      <c r="I1217" s="6">
        <f>IFERROR(__xludf.DUMMYFUNCTION("""COMPUTED_VALUE"""),55000.0)</f>
        <v>55000</v>
      </c>
      <c r="J1217" s="6">
        <f>IFERROR(__xludf.DUMMYFUNCTION("""COMPUTED_VALUE"""),55000.0)</f>
        <v>55000</v>
      </c>
      <c r="K1217" s="57">
        <f>IFERROR(__xludf.DUMMYFUNCTION("""COMPUTED_VALUE"""),44036.0)</f>
        <v>44036</v>
      </c>
      <c r="L1217" s="6" t="str">
        <f>IFERROR(__xludf.DUMMYFUNCTION("""COMPUTED_VALUE"""),"FIP Engineering")</f>
        <v>FIP Engineering</v>
      </c>
      <c r="M1217" s="6" t="str">
        <f>IFERROR(__xludf.DUMMYFUNCTION("""COMPUTED_VALUE"""),"Irwan Sopian")</f>
        <v>Irwan Sopian</v>
      </c>
      <c r="N1217" s="6" t="str">
        <f>IFERROR(__xludf.DUMMYFUNCTION("""COMPUTED_VALUE"""),"FIP Engineering")</f>
        <v>FIP Engineering</v>
      </c>
      <c r="O1217" s="6" t="str">
        <f>IFERROR(__xludf.DUMMYFUNCTION("""COMPUTED_VALUE"""),"FIP-DOM-000-11304-OS00001-INA-000000")</f>
        <v>FIP-DOM-000-11304-OS00001-INA-000000</v>
      </c>
      <c r="P1217" s="6" t="str">
        <f>IFERROR(__xludf.DUMMYFUNCTION("""COMPUTED_VALUE"""),"PO Closed")</f>
        <v>PO Closed</v>
      </c>
      <c r="Q1217" s="6" t="str">
        <f>IFERROR(__xludf.DUMMYFUNCTION("""COMPUTED_VALUE"""),"GL2007025")</f>
        <v>GL2007025</v>
      </c>
      <c r="R1217" s="57">
        <f>IFERROR(__xludf.DUMMYFUNCTION("""COMPUTED_VALUE"""),44013.0)</f>
        <v>44013</v>
      </c>
      <c r="S1217" s="6" t="str">
        <f>IFERROR(__xludf.DUMMYFUNCTION("""COMPUTED_VALUE"""),"-")</f>
        <v>-</v>
      </c>
      <c r="T1217" s="57">
        <f>IFERROR(__xludf.DUMMYFUNCTION("""COMPUTED_VALUE"""),44036.0)</f>
        <v>44036</v>
      </c>
    </row>
    <row r="1218">
      <c r="A1218" s="6" t="str">
        <f>IFERROR(__xludf.DUMMYFUNCTION("""COMPUTED_VALUE"""),"201750274-1")</f>
        <v>201750274-1</v>
      </c>
      <c r="B1218" s="6" t="str">
        <f>IFERROR(__xludf.DUMMYFUNCTION("""COMPUTED_VALUE"""),"201750274 - Approved")</f>
        <v>201750274 - Approved</v>
      </c>
      <c r="C1218" s="6">
        <f>IFERROR(__xludf.DUMMYFUNCTION("""COMPUTED_VALUE"""),1.0)</f>
        <v>1</v>
      </c>
      <c r="D1218" s="6" t="str">
        <f>IFERROR(__xludf.DUMMYFUNCTION("""COMPUTED_VALUE"""),"O-52381-00")</f>
        <v>O-52381-00</v>
      </c>
      <c r="E1218" s="6" t="str">
        <f>IFERROR(__xludf.DUMMYFUNCTION("""COMPUTED_VALUE"""),"Flowmeter P/n: 9193142 Miele")</f>
        <v>Flowmeter P/n: 9193142 Miele</v>
      </c>
      <c r="F1218" s="6">
        <f>IFERROR(__xludf.DUMMYFUNCTION("""COMPUTED_VALUE"""),1.0)</f>
        <v>1</v>
      </c>
      <c r="G1218" s="6" t="str">
        <f>IFERROR(__xludf.DUMMYFUNCTION("""COMPUTED_VALUE"""),"Pieces")</f>
        <v>Pieces</v>
      </c>
      <c r="H1218" s="6" t="str">
        <f>IFERROR(__xludf.DUMMYFUNCTION("""COMPUTED_VALUE"""),"IDR")</f>
        <v>IDR</v>
      </c>
      <c r="I1218" s="6">
        <f>IFERROR(__xludf.DUMMYFUNCTION("""COMPUTED_VALUE"""),5575000.0)</f>
        <v>5575000</v>
      </c>
      <c r="J1218" s="6">
        <f>IFERROR(__xludf.DUMMYFUNCTION("""COMPUTED_VALUE"""),5575000.0)</f>
        <v>5575000</v>
      </c>
      <c r="K1218" s="57">
        <f>IFERROR(__xludf.DUMMYFUNCTION("""COMPUTED_VALUE"""),44050.0)</f>
        <v>44050</v>
      </c>
      <c r="L1218" s="6" t="str">
        <f>IFERROR(__xludf.DUMMYFUNCTION("""COMPUTED_VALUE"""),"FIP Engineering")</f>
        <v>FIP Engineering</v>
      </c>
      <c r="M1218" s="6" t="str">
        <f>IFERROR(__xludf.DUMMYFUNCTION("""COMPUTED_VALUE"""),"Irwan Sopian")</f>
        <v>Irwan Sopian</v>
      </c>
      <c r="N1218" s="6" t="str">
        <f>IFERROR(__xludf.DUMMYFUNCTION("""COMPUTED_VALUE"""),"FIP Engineering")</f>
        <v>FIP Engineering</v>
      </c>
      <c r="O1218" s="6" t="str">
        <f>IFERROR(__xludf.DUMMYFUNCTION("""COMPUTED_VALUE"""),"FIP-DOM-000-11304-OS00001-INA-000000")</f>
        <v>FIP-DOM-000-11304-OS00001-INA-000000</v>
      </c>
      <c r="P1218" s="6" t="str">
        <f>IFERROR(__xludf.DUMMYFUNCTION("""COMPUTED_VALUE"""),"PO Closed")</f>
        <v>PO Closed</v>
      </c>
      <c r="Q1218" s="6" t="str">
        <f>IFERROR(__xludf.DUMMYFUNCTION("""COMPUTED_VALUE"""),"GL2007024")</f>
        <v>GL2007024</v>
      </c>
      <c r="R1218" s="57">
        <f>IFERROR(__xludf.DUMMYFUNCTION("""COMPUTED_VALUE"""),44014.0)</f>
        <v>44014</v>
      </c>
      <c r="S1218" s="6" t="str">
        <f>IFERROR(__xludf.DUMMYFUNCTION("""COMPUTED_VALUE"""),"-")</f>
        <v>-</v>
      </c>
      <c r="T1218" s="57">
        <f>IFERROR(__xludf.DUMMYFUNCTION("""COMPUTED_VALUE"""),44050.0)</f>
        <v>44050</v>
      </c>
    </row>
    <row r="1219">
      <c r="A1219" s="6" t="str">
        <f>IFERROR(__xludf.DUMMYFUNCTION("""COMPUTED_VALUE"""),"201750274-2")</f>
        <v>201750274-2</v>
      </c>
      <c r="B1219" s="6" t="str">
        <f>IFERROR(__xludf.DUMMYFUNCTION("""COMPUTED_VALUE"""),"201750274 - Approved")</f>
        <v>201750274 - Approved</v>
      </c>
      <c r="C1219" s="6">
        <f>IFERROR(__xludf.DUMMYFUNCTION("""COMPUTED_VALUE"""),2.0)</f>
        <v>2</v>
      </c>
      <c r="D1219" s="6" t="str">
        <f>IFERROR(__xludf.DUMMYFUNCTION("""COMPUTED_VALUE"""),"O-17535-00")</f>
        <v>O-17535-00</v>
      </c>
      <c r="E1219" s="6" t="str">
        <f>IFERROR(__xludf.DUMMYFUNCTION("""COMPUTED_VALUE"""),"Hepa-Filter p/n: 10083921 Miele")</f>
        <v>Hepa-Filter p/n: 10083921 Miele</v>
      </c>
      <c r="F1219" s="6">
        <f>IFERROR(__xludf.DUMMYFUNCTION("""COMPUTED_VALUE"""),1.0)</f>
        <v>1</v>
      </c>
      <c r="G1219" s="6" t="str">
        <f>IFERROR(__xludf.DUMMYFUNCTION("""COMPUTED_VALUE"""),"Pieces")</f>
        <v>Pieces</v>
      </c>
      <c r="H1219" s="6" t="str">
        <f>IFERROR(__xludf.DUMMYFUNCTION("""COMPUTED_VALUE"""),"IDR")</f>
        <v>IDR</v>
      </c>
      <c r="I1219" s="6">
        <f>IFERROR(__xludf.DUMMYFUNCTION("""COMPUTED_VALUE"""),2150000.0)</f>
        <v>2150000</v>
      </c>
      <c r="J1219" s="6">
        <f>IFERROR(__xludf.DUMMYFUNCTION("""COMPUTED_VALUE"""),2150000.0)</f>
        <v>2150000</v>
      </c>
      <c r="K1219" s="57">
        <f>IFERROR(__xludf.DUMMYFUNCTION("""COMPUTED_VALUE"""),44050.0)</f>
        <v>44050</v>
      </c>
      <c r="L1219" s="6" t="str">
        <f>IFERROR(__xludf.DUMMYFUNCTION("""COMPUTED_VALUE"""),"FIP Engineering")</f>
        <v>FIP Engineering</v>
      </c>
      <c r="M1219" s="6" t="str">
        <f>IFERROR(__xludf.DUMMYFUNCTION("""COMPUTED_VALUE"""),"Irwan Sopian")</f>
        <v>Irwan Sopian</v>
      </c>
      <c r="N1219" s="6" t="str">
        <f>IFERROR(__xludf.DUMMYFUNCTION("""COMPUTED_VALUE"""),"FIP Engineering")</f>
        <v>FIP Engineering</v>
      </c>
      <c r="O1219" s="6" t="str">
        <f>IFERROR(__xludf.DUMMYFUNCTION("""COMPUTED_VALUE"""),"FIP-DOM-000-11304-OS00001-INA-000000")</f>
        <v>FIP-DOM-000-11304-OS00001-INA-000000</v>
      </c>
      <c r="P1219" s="6" t="str">
        <f>IFERROR(__xludf.DUMMYFUNCTION("""COMPUTED_VALUE"""),"PO Closed")</f>
        <v>PO Closed</v>
      </c>
      <c r="Q1219" s="6" t="str">
        <f>IFERROR(__xludf.DUMMYFUNCTION("""COMPUTED_VALUE"""),"GL2007024")</f>
        <v>GL2007024</v>
      </c>
      <c r="R1219" s="57">
        <f>IFERROR(__xludf.DUMMYFUNCTION("""COMPUTED_VALUE"""),44014.0)</f>
        <v>44014</v>
      </c>
      <c r="S1219" s="6" t="str">
        <f>IFERROR(__xludf.DUMMYFUNCTION("""COMPUTED_VALUE"""),"-")</f>
        <v>-</v>
      </c>
      <c r="T1219" s="57">
        <f>IFERROR(__xludf.DUMMYFUNCTION("""COMPUTED_VALUE"""),44050.0)</f>
        <v>44050</v>
      </c>
    </row>
    <row r="1220">
      <c r="A1220" s="6" t="str">
        <f>IFERROR(__xludf.DUMMYFUNCTION("""COMPUTED_VALUE"""),"201750276-1")</f>
        <v>201750276-1</v>
      </c>
      <c r="B1220" s="6" t="str">
        <f>IFERROR(__xludf.DUMMYFUNCTION("""COMPUTED_VALUE"""),"201750276 - Approved")</f>
        <v>201750276 - Approved</v>
      </c>
      <c r="C1220" s="6">
        <f>IFERROR(__xludf.DUMMYFUNCTION("""COMPUTED_VALUE"""),1.0)</f>
        <v>1</v>
      </c>
      <c r="D1220" s="6" t="str">
        <f>IFERROR(__xludf.DUMMYFUNCTION("""COMPUTED_VALUE"""),"P-53171-00")</f>
        <v>P-53171-00</v>
      </c>
      <c r="E1220" s="6" t="str">
        <f>IFERROR(__xludf.DUMMYFUNCTION("""COMPUTED_VALUE"""),"Ballast Electronic EB-C 218 TL5, 2x18W; Phillips; ;")</f>
        <v>Ballast Electronic EB-C 218 TL5, 2x18W; Phillips; ;</v>
      </c>
      <c r="F1220" s="6">
        <f>IFERROR(__xludf.DUMMYFUNCTION("""COMPUTED_VALUE"""),5.0)</f>
        <v>5</v>
      </c>
      <c r="G1220" s="6" t="str">
        <f>IFERROR(__xludf.DUMMYFUNCTION("""COMPUTED_VALUE"""),"Pieces")</f>
        <v>Pieces</v>
      </c>
      <c r="H1220" s="6" t="str">
        <f>IFERROR(__xludf.DUMMYFUNCTION("""COMPUTED_VALUE"""),"IDR")</f>
        <v>IDR</v>
      </c>
      <c r="I1220" s="6">
        <f>IFERROR(__xludf.DUMMYFUNCTION("""COMPUTED_VALUE"""),98500.0)</f>
        <v>98500</v>
      </c>
      <c r="J1220" s="6">
        <f>IFERROR(__xludf.DUMMYFUNCTION("""COMPUTED_VALUE"""),492500.0)</f>
        <v>492500</v>
      </c>
      <c r="K1220" s="57">
        <f>IFERROR(__xludf.DUMMYFUNCTION("""COMPUTED_VALUE"""),44032.0)</f>
        <v>44032</v>
      </c>
      <c r="L1220" s="6" t="str">
        <f>IFERROR(__xludf.DUMMYFUNCTION("""COMPUTED_VALUE"""),"FIP Engineering")</f>
        <v>FIP Engineering</v>
      </c>
      <c r="M1220" s="6" t="str">
        <f>IFERROR(__xludf.DUMMYFUNCTION("""COMPUTED_VALUE"""),"Joko Nugroho")</f>
        <v>Joko Nugroho</v>
      </c>
      <c r="N1220" s="6" t="str">
        <f>IFERROR(__xludf.DUMMYFUNCTION("""COMPUTED_VALUE"""),"FIP Engineering")</f>
        <v>FIP Engineering</v>
      </c>
      <c r="O1220" s="6" t="str">
        <f>IFERROR(__xludf.DUMMYFUNCTION("""COMPUTED_VALUE"""),"FIP-DOM-000-11304-OS00001-INA-000000")</f>
        <v>FIP-DOM-000-11304-OS00001-INA-000000</v>
      </c>
      <c r="P1220" s="6" t="str">
        <f>IFERROR(__xludf.DUMMYFUNCTION("""COMPUTED_VALUE"""),"PO Closed")</f>
        <v>PO Closed</v>
      </c>
      <c r="Q1220" s="6" t="str">
        <f>IFERROR(__xludf.DUMMYFUNCTION("""COMPUTED_VALUE"""),"GL2007037")</f>
        <v>GL2007037</v>
      </c>
      <c r="R1220" s="57">
        <f>IFERROR(__xludf.DUMMYFUNCTION("""COMPUTED_VALUE"""),44015.0)</f>
        <v>44015</v>
      </c>
      <c r="S1220" s="6" t="str">
        <f>IFERROR(__xludf.DUMMYFUNCTION("""COMPUTED_VALUE"""),"-")</f>
        <v>-</v>
      </c>
      <c r="T1220" s="57">
        <f>IFERROR(__xludf.DUMMYFUNCTION("""COMPUTED_VALUE"""),44057.0)</f>
        <v>44057</v>
      </c>
    </row>
    <row r="1221">
      <c r="A1221" s="6" t="str">
        <f>IFERROR(__xludf.DUMMYFUNCTION("""COMPUTED_VALUE"""),"201750276-2")</f>
        <v>201750276-2</v>
      </c>
      <c r="B1221" s="6" t="str">
        <f>IFERROR(__xludf.DUMMYFUNCTION("""COMPUTED_VALUE"""),"201750276 - Approved")</f>
        <v>201750276 - Approved</v>
      </c>
      <c r="C1221" s="6">
        <f>IFERROR(__xludf.DUMMYFUNCTION("""COMPUTED_VALUE"""),2.0)</f>
        <v>2</v>
      </c>
      <c r="D1221" s="6" t="str">
        <f>IFERROR(__xludf.DUMMYFUNCTION("""COMPUTED_VALUE"""),"P-15438-00")</f>
        <v>P-15438-00</v>
      </c>
      <c r="E1221" s="6" t="str">
        <f>IFERROR(__xludf.DUMMYFUNCTION("""COMPUTED_VALUE"""),"CABLE SPIRAL WRAPPING, TYPE KS12, BRAND KSS; ; ;")</f>
        <v>CABLE SPIRAL WRAPPING, TYPE KS12, BRAND KSS; ; ;</v>
      </c>
      <c r="F1221" s="6">
        <f>IFERROR(__xludf.DUMMYFUNCTION("""COMPUTED_VALUE"""),1.0)</f>
        <v>1</v>
      </c>
      <c r="G1221" s="6" t="str">
        <f>IFERROR(__xludf.DUMMYFUNCTION("""COMPUTED_VALUE"""),"Pack")</f>
        <v>Pack</v>
      </c>
      <c r="H1221" s="6" t="str">
        <f>IFERROR(__xludf.DUMMYFUNCTION("""COMPUTED_VALUE"""),"IDR")</f>
        <v>IDR</v>
      </c>
      <c r="I1221" s="6">
        <f>IFERROR(__xludf.DUMMYFUNCTION("""COMPUTED_VALUE"""),40000.0)</f>
        <v>40000</v>
      </c>
      <c r="J1221" s="6">
        <f>IFERROR(__xludf.DUMMYFUNCTION("""COMPUTED_VALUE"""),40000.0)</f>
        <v>40000</v>
      </c>
      <c r="K1221" s="57">
        <f>IFERROR(__xludf.DUMMYFUNCTION("""COMPUTED_VALUE"""),44032.0)</f>
        <v>44032</v>
      </c>
      <c r="L1221" s="6" t="str">
        <f>IFERROR(__xludf.DUMMYFUNCTION("""COMPUTED_VALUE"""),"FIP Engineering")</f>
        <v>FIP Engineering</v>
      </c>
      <c r="M1221" s="6" t="str">
        <f>IFERROR(__xludf.DUMMYFUNCTION("""COMPUTED_VALUE"""),"Joko Nugroho")</f>
        <v>Joko Nugroho</v>
      </c>
      <c r="N1221" s="6" t="str">
        <f>IFERROR(__xludf.DUMMYFUNCTION("""COMPUTED_VALUE"""),"FIP Engineering")</f>
        <v>FIP Engineering</v>
      </c>
      <c r="O1221" s="6" t="str">
        <f>IFERROR(__xludf.DUMMYFUNCTION("""COMPUTED_VALUE"""),"FIP-DOM-000-11304-OS00001-INA-000000")</f>
        <v>FIP-DOM-000-11304-OS00001-INA-000000</v>
      </c>
      <c r="P1221" s="6" t="str">
        <f>IFERROR(__xludf.DUMMYFUNCTION("""COMPUTED_VALUE"""),"PO Closed")</f>
        <v>PO Closed</v>
      </c>
      <c r="Q1221" s="6" t="str">
        <f>IFERROR(__xludf.DUMMYFUNCTION("""COMPUTED_VALUE"""),"GL2007037")</f>
        <v>GL2007037</v>
      </c>
      <c r="R1221" s="57">
        <f>IFERROR(__xludf.DUMMYFUNCTION("""COMPUTED_VALUE"""),44015.0)</f>
        <v>44015</v>
      </c>
      <c r="S1221" s="6" t="str">
        <f>IFERROR(__xludf.DUMMYFUNCTION("""COMPUTED_VALUE"""),"-")</f>
        <v>-</v>
      </c>
      <c r="T1221" s="57">
        <f>IFERROR(__xludf.DUMMYFUNCTION("""COMPUTED_VALUE"""),44057.0)</f>
        <v>44057</v>
      </c>
    </row>
    <row r="1222">
      <c r="A1222" s="6" t="str">
        <f>IFERROR(__xludf.DUMMYFUNCTION("""COMPUTED_VALUE"""),"201750276-5")</f>
        <v>201750276-5</v>
      </c>
      <c r="B1222" s="6" t="str">
        <f>IFERROR(__xludf.DUMMYFUNCTION("""COMPUTED_VALUE"""),"201750276 - Approved")</f>
        <v>201750276 - Approved</v>
      </c>
      <c r="C1222" s="6">
        <f>IFERROR(__xludf.DUMMYFUNCTION("""COMPUTED_VALUE"""),5.0)</f>
        <v>5</v>
      </c>
      <c r="D1222" s="6" t="str">
        <f>IFERROR(__xludf.DUMMYFUNCTION("""COMPUTED_VALUE"""),"O-13521-00")</f>
        <v>O-13521-00</v>
      </c>
      <c r="E1222" s="6" t="str">
        <f>IFERROR(__xludf.DUMMYFUNCTION("""COMPUTED_VALUE"""),"gasket 1 1/2"" / EPDM; ; ;")</f>
        <v>gasket 1 1/2" / EPDM; ; ;</v>
      </c>
      <c r="F1222" s="6">
        <f>IFERROR(__xludf.DUMMYFUNCTION("""COMPUTED_VALUE"""),5.0)</f>
        <v>5</v>
      </c>
      <c r="G1222" s="6" t="str">
        <f>IFERROR(__xludf.DUMMYFUNCTION("""COMPUTED_VALUE"""),"Pieces")</f>
        <v>Pieces</v>
      </c>
      <c r="H1222" s="6" t="str">
        <f>IFERROR(__xludf.DUMMYFUNCTION("""COMPUTED_VALUE"""),"IDR")</f>
        <v>IDR</v>
      </c>
      <c r="I1222" s="6">
        <f>IFERROR(__xludf.DUMMYFUNCTION("""COMPUTED_VALUE"""),25400.0)</f>
        <v>25400</v>
      </c>
      <c r="J1222" s="6">
        <f>IFERROR(__xludf.DUMMYFUNCTION("""COMPUTED_VALUE"""),127000.0)</f>
        <v>127000</v>
      </c>
      <c r="K1222" s="57">
        <f>IFERROR(__xludf.DUMMYFUNCTION("""COMPUTED_VALUE"""),44032.0)</f>
        <v>44032</v>
      </c>
      <c r="L1222" s="6" t="str">
        <f>IFERROR(__xludf.DUMMYFUNCTION("""COMPUTED_VALUE"""),"FIP Engineering")</f>
        <v>FIP Engineering</v>
      </c>
      <c r="M1222" s="6" t="str">
        <f>IFERROR(__xludf.DUMMYFUNCTION("""COMPUTED_VALUE"""),"Joko Nugroho")</f>
        <v>Joko Nugroho</v>
      </c>
      <c r="N1222" s="6" t="str">
        <f>IFERROR(__xludf.DUMMYFUNCTION("""COMPUTED_VALUE"""),"FIP Engineering")</f>
        <v>FIP Engineering</v>
      </c>
      <c r="O1222" s="6" t="str">
        <f>IFERROR(__xludf.DUMMYFUNCTION("""COMPUTED_VALUE"""),"FIP-DOM-000-11304-OS00001-INA-000000")</f>
        <v>FIP-DOM-000-11304-OS00001-INA-000000</v>
      </c>
      <c r="P1222" s="6" t="str">
        <f>IFERROR(__xludf.DUMMYFUNCTION("""COMPUTED_VALUE"""),"PO Closed")</f>
        <v>PO Closed</v>
      </c>
      <c r="Q1222" s="6" t="str">
        <f>IFERROR(__xludf.DUMMYFUNCTION("""COMPUTED_VALUE"""),"GL2007037")</f>
        <v>GL2007037</v>
      </c>
      <c r="R1222" s="57">
        <f>IFERROR(__xludf.DUMMYFUNCTION("""COMPUTED_VALUE"""),44015.0)</f>
        <v>44015</v>
      </c>
      <c r="S1222" s="6" t="str">
        <f>IFERROR(__xludf.DUMMYFUNCTION("""COMPUTED_VALUE"""),"-")</f>
        <v>-</v>
      </c>
      <c r="T1222" s="57">
        <f>IFERROR(__xludf.DUMMYFUNCTION("""COMPUTED_VALUE"""),44057.0)</f>
        <v>44057</v>
      </c>
    </row>
    <row r="1223">
      <c r="A1223" s="6" t="str">
        <f>IFERROR(__xludf.DUMMYFUNCTION("""COMPUTED_VALUE"""),"201750276-6")</f>
        <v>201750276-6</v>
      </c>
      <c r="B1223" s="6" t="str">
        <f>IFERROR(__xludf.DUMMYFUNCTION("""COMPUTED_VALUE"""),"201750276 - Approved")</f>
        <v>201750276 - Approved</v>
      </c>
      <c r="C1223" s="6">
        <f>IFERROR(__xludf.DUMMYFUNCTION("""COMPUTED_VALUE"""),6.0)</f>
        <v>6</v>
      </c>
      <c r="D1223" s="6" t="str">
        <f>IFERROR(__xludf.DUMMYFUNCTION("""COMPUTED_VALUE"""),"P-10945-00")</f>
        <v>P-10945-00</v>
      </c>
      <c r="E1223" s="6" t="str">
        <f>IFERROR(__xludf.DUMMYFUNCTION("""COMPUTED_VALUE"""),"Insulation - Seal Tape onda")</f>
        <v>Insulation - Seal Tape onda</v>
      </c>
      <c r="F1223" s="6">
        <f>IFERROR(__xludf.DUMMYFUNCTION("""COMPUTED_VALUE"""),6.0)</f>
        <v>6</v>
      </c>
      <c r="G1223" s="6" t="str">
        <f>IFERROR(__xludf.DUMMYFUNCTION("""COMPUTED_VALUE"""),"Pieces")</f>
        <v>Pieces</v>
      </c>
      <c r="H1223" s="6" t="str">
        <f>IFERROR(__xludf.DUMMYFUNCTION("""COMPUTED_VALUE"""),"IDR")</f>
        <v>IDR</v>
      </c>
      <c r="I1223" s="6">
        <f>IFERROR(__xludf.DUMMYFUNCTION("""COMPUTED_VALUE"""),3000.0)</f>
        <v>3000</v>
      </c>
      <c r="J1223" s="6">
        <f>IFERROR(__xludf.DUMMYFUNCTION("""COMPUTED_VALUE"""),18000.0)</f>
        <v>18000</v>
      </c>
      <c r="K1223" s="57">
        <f>IFERROR(__xludf.DUMMYFUNCTION("""COMPUTED_VALUE"""),44032.0)</f>
        <v>44032</v>
      </c>
      <c r="L1223" s="6" t="str">
        <f>IFERROR(__xludf.DUMMYFUNCTION("""COMPUTED_VALUE"""),"FIP Engineering")</f>
        <v>FIP Engineering</v>
      </c>
      <c r="M1223" s="6" t="str">
        <f>IFERROR(__xludf.DUMMYFUNCTION("""COMPUTED_VALUE"""),"Joko Nugroho")</f>
        <v>Joko Nugroho</v>
      </c>
      <c r="N1223" s="6" t="str">
        <f>IFERROR(__xludf.DUMMYFUNCTION("""COMPUTED_VALUE"""),"FIP Engineering")</f>
        <v>FIP Engineering</v>
      </c>
      <c r="O1223" s="6" t="str">
        <f>IFERROR(__xludf.DUMMYFUNCTION("""COMPUTED_VALUE"""),"FIP-DOM-000-11304-OS00001-INA-000000")</f>
        <v>FIP-DOM-000-11304-OS00001-INA-000000</v>
      </c>
      <c r="P1223" s="6" t="str">
        <f>IFERROR(__xludf.DUMMYFUNCTION("""COMPUTED_VALUE"""),"PO Closed")</f>
        <v>PO Closed</v>
      </c>
      <c r="Q1223" s="6" t="str">
        <f>IFERROR(__xludf.DUMMYFUNCTION("""COMPUTED_VALUE"""),"GL2007037")</f>
        <v>GL2007037</v>
      </c>
      <c r="R1223" s="57">
        <f>IFERROR(__xludf.DUMMYFUNCTION("""COMPUTED_VALUE"""),44015.0)</f>
        <v>44015</v>
      </c>
      <c r="S1223" s="6" t="str">
        <f>IFERROR(__xludf.DUMMYFUNCTION("""COMPUTED_VALUE"""),"-")</f>
        <v>-</v>
      </c>
      <c r="T1223" s="57">
        <f>IFERROR(__xludf.DUMMYFUNCTION("""COMPUTED_VALUE"""),44057.0)</f>
        <v>44057</v>
      </c>
    </row>
    <row r="1224">
      <c r="A1224" s="6" t="str">
        <f>IFERROR(__xludf.DUMMYFUNCTION("""COMPUTED_VALUE"""),"201750276-7")</f>
        <v>201750276-7</v>
      </c>
      <c r="B1224" s="6" t="str">
        <f>IFERROR(__xludf.DUMMYFUNCTION("""COMPUTED_VALUE"""),"201750276 - Approved")</f>
        <v>201750276 - Approved</v>
      </c>
      <c r="C1224" s="6">
        <f>IFERROR(__xludf.DUMMYFUNCTION("""COMPUTED_VALUE"""),7.0)</f>
        <v>7</v>
      </c>
      <c r="D1224" s="6" t="str">
        <f>IFERROR(__xludf.DUMMYFUNCTION("""COMPUTED_VALUE"""),"P-12764-00")</f>
        <v>P-12764-00</v>
      </c>
      <c r="E1224" s="6" t="str">
        <f>IFERROR(__xludf.DUMMYFUNCTION("""COMPUTED_VALUE"""),"Silicone gasket for ferrule dia 1/2inch Taiwan")</f>
        <v>Silicone gasket for ferrule dia 1/2inch Taiwan</v>
      </c>
      <c r="F1224" s="6">
        <f>IFERROR(__xludf.DUMMYFUNCTION("""COMPUTED_VALUE"""),3.0)</f>
        <v>3</v>
      </c>
      <c r="G1224" s="6" t="str">
        <f>IFERROR(__xludf.DUMMYFUNCTION("""COMPUTED_VALUE"""),"Pieces")</f>
        <v>Pieces</v>
      </c>
      <c r="H1224" s="6" t="str">
        <f>IFERROR(__xludf.DUMMYFUNCTION("""COMPUTED_VALUE"""),"IDR")</f>
        <v>IDR</v>
      </c>
      <c r="I1224" s="6">
        <f>IFERROR(__xludf.DUMMYFUNCTION("""COMPUTED_VALUE"""),10000.0)</f>
        <v>10000</v>
      </c>
      <c r="J1224" s="6">
        <f>IFERROR(__xludf.DUMMYFUNCTION("""COMPUTED_VALUE"""),30000.0)</f>
        <v>30000</v>
      </c>
      <c r="K1224" s="57">
        <f>IFERROR(__xludf.DUMMYFUNCTION("""COMPUTED_VALUE"""),44032.0)</f>
        <v>44032</v>
      </c>
      <c r="L1224" s="6" t="str">
        <f>IFERROR(__xludf.DUMMYFUNCTION("""COMPUTED_VALUE"""),"FIP Engineering")</f>
        <v>FIP Engineering</v>
      </c>
      <c r="M1224" s="6" t="str">
        <f>IFERROR(__xludf.DUMMYFUNCTION("""COMPUTED_VALUE"""),"Joko Nugroho")</f>
        <v>Joko Nugroho</v>
      </c>
      <c r="N1224" s="6" t="str">
        <f>IFERROR(__xludf.DUMMYFUNCTION("""COMPUTED_VALUE"""),"FIP Engineering")</f>
        <v>FIP Engineering</v>
      </c>
      <c r="O1224" s="6" t="str">
        <f>IFERROR(__xludf.DUMMYFUNCTION("""COMPUTED_VALUE"""),"FIP-DOM-000-11304-OS00001-INA-000000")</f>
        <v>FIP-DOM-000-11304-OS00001-INA-000000</v>
      </c>
      <c r="P1224" s="6" t="str">
        <f>IFERROR(__xludf.DUMMYFUNCTION("""COMPUTED_VALUE"""),"PO Closed")</f>
        <v>PO Closed</v>
      </c>
      <c r="Q1224" s="6" t="str">
        <f>IFERROR(__xludf.DUMMYFUNCTION("""COMPUTED_VALUE"""),"GL2007037")</f>
        <v>GL2007037</v>
      </c>
      <c r="R1224" s="57">
        <f>IFERROR(__xludf.DUMMYFUNCTION("""COMPUTED_VALUE"""),44015.0)</f>
        <v>44015</v>
      </c>
      <c r="S1224" s="6" t="str">
        <f>IFERROR(__xludf.DUMMYFUNCTION("""COMPUTED_VALUE"""),"-")</f>
        <v>-</v>
      </c>
      <c r="T1224" s="57">
        <f>IFERROR(__xludf.DUMMYFUNCTION("""COMPUTED_VALUE"""),44057.0)</f>
        <v>44057</v>
      </c>
    </row>
    <row r="1225">
      <c r="A1225" s="6" t="str">
        <f>IFERROR(__xludf.DUMMYFUNCTION("""COMPUTED_VALUE"""),"201750276-8")</f>
        <v>201750276-8</v>
      </c>
      <c r="B1225" s="6" t="str">
        <f>IFERROR(__xludf.DUMMYFUNCTION("""COMPUTED_VALUE"""),"201750276 - Approved")</f>
        <v>201750276 - Approved</v>
      </c>
      <c r="C1225" s="6">
        <f>IFERROR(__xludf.DUMMYFUNCTION("""COMPUTED_VALUE"""),8.0)</f>
        <v>8</v>
      </c>
      <c r="D1225" s="6" t="str">
        <f>IFERROR(__xludf.DUMMYFUNCTION("""COMPUTED_VALUE"""),"O-14640-00")</f>
        <v>O-14640-00</v>
      </c>
      <c r="E1225" s="6" t="str">
        <f>IFERROR(__xludf.DUMMYFUNCTION("""COMPUTED_VALUE"""),"Silicone Gasket for Ferrule dia. 3/4""; ; ;")</f>
        <v>Silicone Gasket for Ferrule dia. 3/4"; ; ;</v>
      </c>
      <c r="F1225" s="6">
        <f>IFERROR(__xludf.DUMMYFUNCTION("""COMPUTED_VALUE"""),5.0)</f>
        <v>5</v>
      </c>
      <c r="G1225" s="6" t="str">
        <f>IFERROR(__xludf.DUMMYFUNCTION("""COMPUTED_VALUE"""),"Pieces")</f>
        <v>Pieces</v>
      </c>
      <c r="H1225" s="6" t="str">
        <f>IFERROR(__xludf.DUMMYFUNCTION("""COMPUTED_VALUE"""),"IDR")</f>
        <v>IDR</v>
      </c>
      <c r="I1225" s="6">
        <f>IFERROR(__xludf.DUMMYFUNCTION("""COMPUTED_VALUE"""),12000.0)</f>
        <v>12000</v>
      </c>
      <c r="J1225" s="6">
        <f>IFERROR(__xludf.DUMMYFUNCTION("""COMPUTED_VALUE"""),60000.0)</f>
        <v>60000</v>
      </c>
      <c r="K1225" s="57">
        <f>IFERROR(__xludf.DUMMYFUNCTION("""COMPUTED_VALUE"""),44032.0)</f>
        <v>44032</v>
      </c>
      <c r="L1225" s="6" t="str">
        <f>IFERROR(__xludf.DUMMYFUNCTION("""COMPUTED_VALUE"""),"FIP Engineering")</f>
        <v>FIP Engineering</v>
      </c>
      <c r="M1225" s="6" t="str">
        <f>IFERROR(__xludf.DUMMYFUNCTION("""COMPUTED_VALUE"""),"Joko Nugroho")</f>
        <v>Joko Nugroho</v>
      </c>
      <c r="N1225" s="6" t="str">
        <f>IFERROR(__xludf.DUMMYFUNCTION("""COMPUTED_VALUE"""),"FIP Engineering")</f>
        <v>FIP Engineering</v>
      </c>
      <c r="O1225" s="6" t="str">
        <f>IFERROR(__xludf.DUMMYFUNCTION("""COMPUTED_VALUE"""),"FIP-DOM-000-11304-OS00001-INA-000000")</f>
        <v>FIP-DOM-000-11304-OS00001-INA-000000</v>
      </c>
      <c r="P1225" s="6" t="str">
        <f>IFERROR(__xludf.DUMMYFUNCTION("""COMPUTED_VALUE"""),"PO Closed")</f>
        <v>PO Closed</v>
      </c>
      <c r="Q1225" s="6" t="str">
        <f>IFERROR(__xludf.DUMMYFUNCTION("""COMPUTED_VALUE"""),"GL2007037")</f>
        <v>GL2007037</v>
      </c>
      <c r="R1225" s="57">
        <f>IFERROR(__xludf.DUMMYFUNCTION("""COMPUTED_VALUE"""),44015.0)</f>
        <v>44015</v>
      </c>
      <c r="S1225" s="6" t="str">
        <f>IFERROR(__xludf.DUMMYFUNCTION("""COMPUTED_VALUE"""),"-")</f>
        <v>-</v>
      </c>
      <c r="T1225" s="57">
        <f>IFERROR(__xludf.DUMMYFUNCTION("""COMPUTED_VALUE"""),44057.0)</f>
        <v>44057</v>
      </c>
    </row>
    <row r="1226">
      <c r="A1226" s="6" t="str">
        <f>IFERROR(__xludf.DUMMYFUNCTION("""COMPUTED_VALUE"""),"201750276-9")</f>
        <v>201750276-9</v>
      </c>
      <c r="B1226" s="6" t="str">
        <f>IFERROR(__xludf.DUMMYFUNCTION("""COMPUTED_VALUE"""),"201750276 - Approved")</f>
        <v>201750276 - Approved</v>
      </c>
      <c r="C1226" s="6">
        <f>IFERROR(__xludf.DUMMYFUNCTION("""COMPUTED_VALUE"""),9.0)</f>
        <v>9</v>
      </c>
      <c r="D1226" s="6" t="str">
        <f>IFERROR(__xludf.DUMMYFUNCTION("""COMPUTED_VALUE"""),"O-15492-00")</f>
        <v>O-15492-00</v>
      </c>
      <c r="E1226" s="6" t="str">
        <f>IFERROR(__xludf.DUMMYFUNCTION("""COMPUTED_VALUE"""),"SPA 1132 Brand : Optibelt / Bando Merah Optibelt")</f>
        <v>SPA 1132 Brand : Optibelt / Bando Merah Optibelt</v>
      </c>
      <c r="F1226" s="6">
        <f>IFERROR(__xludf.DUMMYFUNCTION("""COMPUTED_VALUE"""),2.0)</f>
        <v>2</v>
      </c>
      <c r="G1226" s="6" t="str">
        <f>IFERROR(__xludf.DUMMYFUNCTION("""COMPUTED_VALUE"""),"Pieces")</f>
        <v>Pieces</v>
      </c>
      <c r="H1226" s="6" t="str">
        <f>IFERROR(__xludf.DUMMYFUNCTION("""COMPUTED_VALUE"""),"IDR")</f>
        <v>IDR</v>
      </c>
      <c r="I1226" s="6">
        <f>IFERROR(__xludf.DUMMYFUNCTION("""COMPUTED_VALUE"""),108400.0)</f>
        <v>108400</v>
      </c>
      <c r="J1226" s="6">
        <f>IFERROR(__xludf.DUMMYFUNCTION("""COMPUTED_VALUE"""),216800.0)</f>
        <v>216800</v>
      </c>
      <c r="K1226" s="57">
        <f>IFERROR(__xludf.DUMMYFUNCTION("""COMPUTED_VALUE"""),44032.0)</f>
        <v>44032</v>
      </c>
      <c r="L1226" s="6" t="str">
        <f>IFERROR(__xludf.DUMMYFUNCTION("""COMPUTED_VALUE"""),"FIP Engineering")</f>
        <v>FIP Engineering</v>
      </c>
      <c r="M1226" s="6" t="str">
        <f>IFERROR(__xludf.DUMMYFUNCTION("""COMPUTED_VALUE"""),"Joko Nugroho")</f>
        <v>Joko Nugroho</v>
      </c>
      <c r="N1226" s="6" t="str">
        <f>IFERROR(__xludf.DUMMYFUNCTION("""COMPUTED_VALUE"""),"FIP Engineering")</f>
        <v>FIP Engineering</v>
      </c>
      <c r="O1226" s="6" t="str">
        <f>IFERROR(__xludf.DUMMYFUNCTION("""COMPUTED_VALUE"""),"FIP-DOM-000-11304-OS00001-INA-000000")</f>
        <v>FIP-DOM-000-11304-OS00001-INA-000000</v>
      </c>
      <c r="P1226" s="6" t="str">
        <f>IFERROR(__xludf.DUMMYFUNCTION("""COMPUTED_VALUE"""),"PO Closed")</f>
        <v>PO Closed</v>
      </c>
      <c r="Q1226" s="6" t="str">
        <f>IFERROR(__xludf.DUMMYFUNCTION("""COMPUTED_VALUE"""),"GL2007038")</f>
        <v>GL2007038</v>
      </c>
      <c r="R1226" s="57">
        <f>IFERROR(__xludf.DUMMYFUNCTION("""COMPUTED_VALUE"""),44015.0)</f>
        <v>44015</v>
      </c>
      <c r="S1226" s="6" t="str">
        <f>IFERROR(__xludf.DUMMYFUNCTION("""COMPUTED_VALUE"""),"-")</f>
        <v>-</v>
      </c>
      <c r="T1226" s="57">
        <f>IFERROR(__xludf.DUMMYFUNCTION("""COMPUTED_VALUE"""),44050.0)</f>
        <v>44050</v>
      </c>
    </row>
    <row r="1227">
      <c r="A1227" s="6" t="str">
        <f>IFERROR(__xludf.DUMMYFUNCTION("""COMPUTED_VALUE"""),"201750276-10")</f>
        <v>201750276-10</v>
      </c>
      <c r="B1227" s="6" t="str">
        <f>IFERROR(__xludf.DUMMYFUNCTION("""COMPUTED_VALUE"""),"201750276 - Approved")</f>
        <v>201750276 - Approved</v>
      </c>
      <c r="C1227" s="6">
        <f>IFERROR(__xludf.DUMMYFUNCTION("""COMPUTED_VALUE"""),10.0)</f>
        <v>10</v>
      </c>
      <c r="D1227" s="6" t="str">
        <f>IFERROR(__xludf.DUMMYFUNCTION("""COMPUTED_VALUE"""),"O-15718-00")</f>
        <v>O-15718-00</v>
      </c>
      <c r="E1227" s="6" t="str">
        <f>IFERROR(__xludf.DUMMYFUNCTION("""COMPUTED_VALUE"""),"SYNTHETIC FOOD GRADE, CRC, NSF H1")</f>
        <v>SYNTHETIC FOOD GRADE, CRC, NSF H1</v>
      </c>
      <c r="F1227" s="6">
        <f>IFERROR(__xludf.DUMMYFUNCTION("""COMPUTED_VALUE"""),2.0)</f>
        <v>2</v>
      </c>
      <c r="G1227" s="6" t="str">
        <f>IFERROR(__xludf.DUMMYFUNCTION("""COMPUTED_VALUE"""),"Pieces")</f>
        <v>Pieces</v>
      </c>
      <c r="H1227" s="6" t="str">
        <f>IFERROR(__xludf.DUMMYFUNCTION("""COMPUTED_VALUE"""),"IDR")</f>
        <v>IDR</v>
      </c>
      <c r="I1227" s="6">
        <f>IFERROR(__xludf.DUMMYFUNCTION("""COMPUTED_VALUE"""),243000.0)</f>
        <v>243000</v>
      </c>
      <c r="J1227" s="6">
        <f>IFERROR(__xludf.DUMMYFUNCTION("""COMPUTED_VALUE"""),486000.0)</f>
        <v>486000</v>
      </c>
      <c r="K1227" s="57">
        <f>IFERROR(__xludf.DUMMYFUNCTION("""COMPUTED_VALUE"""),44032.0)</f>
        <v>44032</v>
      </c>
      <c r="L1227" s="6" t="str">
        <f>IFERROR(__xludf.DUMMYFUNCTION("""COMPUTED_VALUE"""),"FIP Engineering")</f>
        <v>FIP Engineering</v>
      </c>
      <c r="M1227" s="6" t="str">
        <f>IFERROR(__xludf.DUMMYFUNCTION("""COMPUTED_VALUE"""),"Joko Nugroho")</f>
        <v>Joko Nugroho</v>
      </c>
      <c r="N1227" s="6" t="str">
        <f>IFERROR(__xludf.DUMMYFUNCTION("""COMPUTED_VALUE"""),"FIP Engineering")</f>
        <v>FIP Engineering</v>
      </c>
      <c r="O1227" s="6" t="str">
        <f>IFERROR(__xludf.DUMMYFUNCTION("""COMPUTED_VALUE"""),"FIP-DOM-000-11304-OS00001-INA-000000")</f>
        <v>FIP-DOM-000-11304-OS00001-INA-000000</v>
      </c>
      <c r="P1227" s="6" t="str">
        <f>IFERROR(__xludf.DUMMYFUNCTION("""COMPUTED_VALUE"""),"PO Closed")</f>
        <v>PO Closed</v>
      </c>
      <c r="Q1227" s="6" t="str">
        <f>IFERROR(__xludf.DUMMYFUNCTION("""COMPUTED_VALUE"""),"GL2007037")</f>
        <v>GL2007037</v>
      </c>
      <c r="R1227" s="57">
        <f>IFERROR(__xludf.DUMMYFUNCTION("""COMPUTED_VALUE"""),44015.0)</f>
        <v>44015</v>
      </c>
      <c r="S1227" s="6" t="str">
        <f>IFERROR(__xludf.DUMMYFUNCTION("""COMPUTED_VALUE"""),"-")</f>
        <v>-</v>
      </c>
      <c r="T1227" s="57">
        <f>IFERROR(__xludf.DUMMYFUNCTION("""COMPUTED_VALUE"""),44057.0)</f>
        <v>44057</v>
      </c>
    </row>
    <row r="1228">
      <c r="A1228" s="6" t="str">
        <f>IFERROR(__xludf.DUMMYFUNCTION("""COMPUTED_VALUE"""),"201750276-11")</f>
        <v>201750276-11</v>
      </c>
      <c r="B1228" s="6" t="str">
        <f>IFERROR(__xludf.DUMMYFUNCTION("""COMPUTED_VALUE"""),"201750276 - Approved")</f>
        <v>201750276 - Approved</v>
      </c>
      <c r="C1228" s="6">
        <f>IFERROR(__xludf.DUMMYFUNCTION("""COMPUTED_VALUE"""),11.0)</f>
        <v>11</v>
      </c>
      <c r="D1228" s="6" t="str">
        <f>IFERROR(__xludf.DUMMYFUNCTION("""COMPUTED_VALUE"""),"P-15945-00")</f>
        <v>P-15945-00</v>
      </c>
      <c r="E1228" s="6" t="str">
        <f>IFERROR(__xludf.DUMMYFUNCTION("""COMPUTED_VALUE"""),"WEDGE BELT OPTIBELT SPA 2082")</f>
        <v>WEDGE BELT OPTIBELT SPA 2082</v>
      </c>
      <c r="F1228" s="6">
        <f>IFERROR(__xludf.DUMMYFUNCTION("""COMPUTED_VALUE"""),2.0)</f>
        <v>2</v>
      </c>
      <c r="G1228" s="6" t="str">
        <f>IFERROR(__xludf.DUMMYFUNCTION("""COMPUTED_VALUE"""),"Unit")</f>
        <v>Unit</v>
      </c>
      <c r="H1228" s="6" t="str">
        <f>IFERROR(__xludf.DUMMYFUNCTION("""COMPUTED_VALUE"""),"IDR")</f>
        <v>IDR</v>
      </c>
      <c r="I1228" s="6">
        <f>IFERROR(__xludf.DUMMYFUNCTION("""COMPUTED_VALUE"""),106000.0)</f>
        <v>106000</v>
      </c>
      <c r="J1228" s="6">
        <f>IFERROR(__xludf.DUMMYFUNCTION("""COMPUTED_VALUE"""),212000.0)</f>
        <v>212000</v>
      </c>
      <c r="K1228" s="57">
        <f>IFERROR(__xludf.DUMMYFUNCTION("""COMPUTED_VALUE"""),44032.0)</f>
        <v>44032</v>
      </c>
      <c r="L1228" s="6" t="str">
        <f>IFERROR(__xludf.DUMMYFUNCTION("""COMPUTED_VALUE"""),"FIP Engineering")</f>
        <v>FIP Engineering</v>
      </c>
      <c r="M1228" s="6" t="str">
        <f>IFERROR(__xludf.DUMMYFUNCTION("""COMPUTED_VALUE"""),"Joko Nugroho")</f>
        <v>Joko Nugroho</v>
      </c>
      <c r="N1228" s="6" t="str">
        <f>IFERROR(__xludf.DUMMYFUNCTION("""COMPUTED_VALUE"""),"FIP Engineering")</f>
        <v>FIP Engineering</v>
      </c>
      <c r="O1228" s="6" t="str">
        <f>IFERROR(__xludf.DUMMYFUNCTION("""COMPUTED_VALUE"""),"FIP-DOM-000-11304-OS00001-INA-000000")</f>
        <v>FIP-DOM-000-11304-OS00001-INA-000000</v>
      </c>
      <c r="P1228" s="6" t="str">
        <f>IFERROR(__xludf.DUMMYFUNCTION("""COMPUTED_VALUE"""),"PO Closed")</f>
        <v>PO Closed</v>
      </c>
      <c r="Q1228" s="6" t="str">
        <f>IFERROR(__xludf.DUMMYFUNCTION("""COMPUTED_VALUE"""),"GL2007038")</f>
        <v>GL2007038</v>
      </c>
      <c r="R1228" s="57">
        <f>IFERROR(__xludf.DUMMYFUNCTION("""COMPUTED_VALUE"""),44015.0)</f>
        <v>44015</v>
      </c>
      <c r="S1228" s="6" t="str">
        <f>IFERROR(__xludf.DUMMYFUNCTION("""COMPUTED_VALUE"""),"-")</f>
        <v>-</v>
      </c>
      <c r="T1228" s="57">
        <f>IFERROR(__xludf.DUMMYFUNCTION("""COMPUTED_VALUE"""),44050.0)</f>
        <v>44050</v>
      </c>
    </row>
    <row r="1229">
      <c r="A1229" s="6" t="str">
        <f>IFERROR(__xludf.DUMMYFUNCTION("""COMPUTED_VALUE"""),"201750275-1")</f>
        <v>201750275-1</v>
      </c>
      <c r="B1229" s="6" t="str">
        <f>IFERROR(__xludf.DUMMYFUNCTION("""COMPUTED_VALUE"""),"201750275 - Approved")</f>
        <v>201750275 - Approved</v>
      </c>
      <c r="C1229" s="6">
        <f>IFERROR(__xludf.DUMMYFUNCTION("""COMPUTED_VALUE"""),1.0)</f>
        <v>1</v>
      </c>
      <c r="D1229" s="6" t="str">
        <f>IFERROR(__xludf.DUMMYFUNCTION("""COMPUTED_VALUE"""),"Q-10232-00")</f>
        <v>Q-10232-00</v>
      </c>
      <c r="E1229" s="6" t="str">
        <f>IFERROR(__xludf.DUMMYFUNCTION("""COMPUTED_VALUE"""),"Silicone Sealant N10 White")</f>
        <v>Silicone Sealant N10 White</v>
      </c>
      <c r="F1229" s="6">
        <f>IFERROR(__xludf.DUMMYFUNCTION("""COMPUTED_VALUE"""),10.0)</f>
        <v>10</v>
      </c>
      <c r="G1229" s="6" t="str">
        <f>IFERROR(__xludf.DUMMYFUNCTION("""COMPUTED_VALUE"""),"Pieces")</f>
        <v>Pieces</v>
      </c>
      <c r="H1229" s="6" t="str">
        <f>IFERROR(__xludf.DUMMYFUNCTION("""COMPUTED_VALUE"""),"IDR")</f>
        <v>IDR</v>
      </c>
      <c r="I1229" s="6">
        <f>IFERROR(__xludf.DUMMYFUNCTION("""COMPUTED_VALUE"""),44100.0)</f>
        <v>44100</v>
      </c>
      <c r="J1229" s="6">
        <f>IFERROR(__xludf.DUMMYFUNCTION("""COMPUTED_VALUE"""),441000.0)</f>
        <v>441000</v>
      </c>
      <c r="K1229" s="57">
        <f>IFERROR(__xludf.DUMMYFUNCTION("""COMPUTED_VALUE"""),44043.0)</f>
        <v>44043</v>
      </c>
      <c r="L1229" s="6" t="str">
        <f>IFERROR(__xludf.DUMMYFUNCTION("""COMPUTED_VALUE"""),"FIP Engineering")</f>
        <v>FIP Engineering</v>
      </c>
      <c r="M1229" s="6" t="str">
        <f>IFERROR(__xludf.DUMMYFUNCTION("""COMPUTED_VALUE"""),"Irwan Sopian")</f>
        <v>Irwan Sopian</v>
      </c>
      <c r="N1229" s="6" t="str">
        <f>IFERROR(__xludf.DUMMYFUNCTION("""COMPUTED_VALUE"""),"FIP Engineering")</f>
        <v>FIP Engineering</v>
      </c>
      <c r="O1229" s="6" t="str">
        <f>IFERROR(__xludf.DUMMYFUNCTION("""COMPUTED_VALUE"""),"FIP-DOM-000-11304-OS00001-INA-000000")</f>
        <v>FIP-DOM-000-11304-OS00001-INA-000000</v>
      </c>
      <c r="P1229" s="6" t="str">
        <f>IFERROR(__xludf.DUMMYFUNCTION("""COMPUTED_VALUE"""),"PO Closed")</f>
        <v>PO Closed</v>
      </c>
      <c r="Q1229" s="6" t="str">
        <f>IFERROR(__xludf.DUMMYFUNCTION("""COMPUTED_VALUE"""),"GL2007013")</f>
        <v>GL2007013</v>
      </c>
      <c r="R1229" s="57">
        <f>IFERROR(__xludf.DUMMYFUNCTION("""COMPUTED_VALUE"""),44015.0)</f>
        <v>44015</v>
      </c>
      <c r="S1229" s="6" t="str">
        <f>IFERROR(__xludf.DUMMYFUNCTION("""COMPUTED_VALUE"""),"-")</f>
        <v>-</v>
      </c>
      <c r="T1229" s="57">
        <f>IFERROR(__xludf.DUMMYFUNCTION("""COMPUTED_VALUE"""),44037.0)</f>
        <v>44037</v>
      </c>
    </row>
    <row r="1230">
      <c r="A1230" s="6" t="str">
        <f>IFERROR(__xludf.DUMMYFUNCTION("""COMPUTED_VALUE"""),"201750275-2")</f>
        <v>201750275-2</v>
      </c>
      <c r="B1230" s="6" t="str">
        <f>IFERROR(__xludf.DUMMYFUNCTION("""COMPUTED_VALUE"""),"201750275 - Approved")</f>
        <v>201750275 - Approved</v>
      </c>
      <c r="C1230" s="6">
        <f>IFERROR(__xludf.DUMMYFUNCTION("""COMPUTED_VALUE"""),2.0)</f>
        <v>2</v>
      </c>
      <c r="D1230" s="6" t="str">
        <f>IFERROR(__xludf.DUMMYFUNCTION("""COMPUTED_VALUE"""),"P-51560-00")</f>
        <v>P-51560-00</v>
      </c>
      <c r="E1230" s="6" t="str">
        <f>IFERROR(__xludf.DUMMYFUNCTION("""COMPUTED_VALUE"""),"Lampu T5 28watt Putih Phillips")</f>
        <v>Lampu T5 28watt Putih Phillips</v>
      </c>
      <c r="F1230" s="6">
        <f>IFERROR(__xludf.DUMMYFUNCTION("""COMPUTED_VALUE"""),40.0)</f>
        <v>40</v>
      </c>
      <c r="G1230" s="6" t="str">
        <f>IFERROR(__xludf.DUMMYFUNCTION("""COMPUTED_VALUE"""),"Pieces")</f>
        <v>Pieces</v>
      </c>
      <c r="H1230" s="6" t="str">
        <f>IFERROR(__xludf.DUMMYFUNCTION("""COMPUTED_VALUE"""),"IDR")</f>
        <v>IDR</v>
      </c>
      <c r="I1230" s="6">
        <f>IFERROR(__xludf.DUMMYFUNCTION("""COMPUTED_VALUE"""),36000.0)</f>
        <v>36000</v>
      </c>
      <c r="J1230" s="6">
        <f>IFERROR(__xludf.DUMMYFUNCTION("""COMPUTED_VALUE"""),1440000.0)</f>
        <v>1440000</v>
      </c>
      <c r="K1230" s="57">
        <f>IFERROR(__xludf.DUMMYFUNCTION("""COMPUTED_VALUE"""),44043.0)</f>
        <v>44043</v>
      </c>
      <c r="L1230" s="6" t="str">
        <f>IFERROR(__xludf.DUMMYFUNCTION("""COMPUTED_VALUE"""),"FIP Engineering")</f>
        <v>FIP Engineering</v>
      </c>
      <c r="M1230" s="6" t="str">
        <f>IFERROR(__xludf.DUMMYFUNCTION("""COMPUTED_VALUE"""),"Irwan Sopian")</f>
        <v>Irwan Sopian</v>
      </c>
      <c r="N1230" s="6" t="str">
        <f>IFERROR(__xludf.DUMMYFUNCTION("""COMPUTED_VALUE"""),"FIP Engineering")</f>
        <v>FIP Engineering</v>
      </c>
      <c r="O1230" s="6" t="str">
        <f>IFERROR(__xludf.DUMMYFUNCTION("""COMPUTED_VALUE"""),"FIP-DOM-000-11304-OS00001-INA-000000")</f>
        <v>FIP-DOM-000-11304-OS00001-INA-000000</v>
      </c>
      <c r="P1230" s="6" t="str">
        <f>IFERROR(__xludf.DUMMYFUNCTION("""COMPUTED_VALUE"""),"PO Closed")</f>
        <v>PO Closed</v>
      </c>
      <c r="Q1230" s="6" t="str">
        <f>IFERROR(__xludf.DUMMYFUNCTION("""COMPUTED_VALUE"""),"GL2007023")</f>
        <v>GL2007023</v>
      </c>
      <c r="R1230" s="57">
        <f>IFERROR(__xludf.DUMMYFUNCTION("""COMPUTED_VALUE"""),44015.0)</f>
        <v>44015</v>
      </c>
      <c r="S1230" s="6" t="str">
        <f>IFERROR(__xludf.DUMMYFUNCTION("""COMPUTED_VALUE"""),"-")</f>
        <v>-</v>
      </c>
      <c r="T1230" s="57">
        <f>IFERROR(__xludf.DUMMYFUNCTION("""COMPUTED_VALUE"""),44043.0)</f>
        <v>44043</v>
      </c>
    </row>
    <row r="1231">
      <c r="A1231" s="6" t="str">
        <f>IFERROR(__xludf.DUMMYFUNCTION("""COMPUTED_VALUE"""),"201750275-3")</f>
        <v>201750275-3</v>
      </c>
      <c r="B1231" s="6" t="str">
        <f>IFERROR(__xludf.DUMMYFUNCTION("""COMPUTED_VALUE"""),"201750275 - Approved")</f>
        <v>201750275 - Approved</v>
      </c>
      <c r="C1231" s="6">
        <f>IFERROR(__xludf.DUMMYFUNCTION("""COMPUTED_VALUE"""),3.0)</f>
        <v>3</v>
      </c>
      <c r="D1231" s="6" t="str">
        <f>IFERROR(__xludf.DUMMYFUNCTION("""COMPUTED_VALUE"""),"P-51559-00")</f>
        <v>P-51559-00</v>
      </c>
      <c r="E1231" s="6" t="str">
        <f>IFERROR(__xludf.DUMMYFUNCTION("""COMPUTED_VALUE"""),"Lampu T5 14watt Putih Phillips")</f>
        <v>Lampu T5 14watt Putih Phillips</v>
      </c>
      <c r="F1231" s="6">
        <f>IFERROR(__xludf.DUMMYFUNCTION("""COMPUTED_VALUE"""),40.0)</f>
        <v>40</v>
      </c>
      <c r="G1231" s="6" t="str">
        <f>IFERROR(__xludf.DUMMYFUNCTION("""COMPUTED_VALUE"""),"Pack")</f>
        <v>Pack</v>
      </c>
      <c r="H1231" s="6" t="str">
        <f>IFERROR(__xludf.DUMMYFUNCTION("""COMPUTED_VALUE"""),"IDR")</f>
        <v>IDR</v>
      </c>
      <c r="I1231" s="6">
        <f>IFERROR(__xludf.DUMMYFUNCTION("""COMPUTED_VALUE"""),29700.0)</f>
        <v>29700</v>
      </c>
      <c r="J1231" s="6">
        <f>IFERROR(__xludf.DUMMYFUNCTION("""COMPUTED_VALUE"""),1188000.0)</f>
        <v>1188000</v>
      </c>
      <c r="K1231" s="57">
        <f>IFERROR(__xludf.DUMMYFUNCTION("""COMPUTED_VALUE"""),44043.0)</f>
        <v>44043</v>
      </c>
      <c r="L1231" s="6" t="str">
        <f>IFERROR(__xludf.DUMMYFUNCTION("""COMPUTED_VALUE"""),"FIP Engineering")</f>
        <v>FIP Engineering</v>
      </c>
      <c r="M1231" s="6" t="str">
        <f>IFERROR(__xludf.DUMMYFUNCTION("""COMPUTED_VALUE"""),"Irwan Sopian")</f>
        <v>Irwan Sopian</v>
      </c>
      <c r="N1231" s="6" t="str">
        <f>IFERROR(__xludf.DUMMYFUNCTION("""COMPUTED_VALUE"""),"FIP Engineering")</f>
        <v>FIP Engineering</v>
      </c>
      <c r="O1231" s="6" t="str">
        <f>IFERROR(__xludf.DUMMYFUNCTION("""COMPUTED_VALUE"""),"FIP-DOM-000-11304-OS00001-INA-000000")</f>
        <v>FIP-DOM-000-11304-OS00001-INA-000000</v>
      </c>
      <c r="P1231" s="6" t="str">
        <f>IFERROR(__xludf.DUMMYFUNCTION("""COMPUTED_VALUE"""),"PO Closed")</f>
        <v>PO Closed</v>
      </c>
      <c r="Q1231" s="6" t="str">
        <f>IFERROR(__xludf.DUMMYFUNCTION("""COMPUTED_VALUE"""),"GL2007023")</f>
        <v>GL2007023</v>
      </c>
      <c r="R1231" s="57">
        <f>IFERROR(__xludf.DUMMYFUNCTION("""COMPUTED_VALUE"""),44015.0)</f>
        <v>44015</v>
      </c>
      <c r="S1231" s="6" t="str">
        <f>IFERROR(__xludf.DUMMYFUNCTION("""COMPUTED_VALUE"""),"-")</f>
        <v>-</v>
      </c>
      <c r="T1231" s="57">
        <f>IFERROR(__xludf.DUMMYFUNCTION("""COMPUTED_VALUE"""),44043.0)</f>
        <v>44043</v>
      </c>
    </row>
    <row r="1232">
      <c r="A1232" s="6" t="str">
        <f>IFERROR(__xludf.DUMMYFUNCTION("""COMPUTED_VALUE"""),"201750275-5")</f>
        <v>201750275-5</v>
      </c>
      <c r="B1232" s="6" t="str">
        <f>IFERROR(__xludf.DUMMYFUNCTION("""COMPUTED_VALUE"""),"201750275 - Approved")</f>
        <v>201750275 - Approved</v>
      </c>
      <c r="C1232" s="6">
        <f>IFERROR(__xludf.DUMMYFUNCTION("""COMPUTED_VALUE"""),5.0)</f>
        <v>5</v>
      </c>
      <c r="D1232" s="6" t="str">
        <f>IFERROR(__xludf.DUMMYFUNCTION("""COMPUTED_VALUE"""),"P-13735-00")</f>
        <v>P-13735-00</v>
      </c>
      <c r="E1232" s="6" t="str">
        <f>IFERROR(__xludf.DUMMYFUNCTION("""COMPUTED_VALUE"""),"Cable Duct Round Putih 35 x 10 mm")</f>
        <v>Cable Duct Round Putih 35 x 10 mm</v>
      </c>
      <c r="F1232" s="6">
        <f>IFERROR(__xludf.DUMMYFUNCTION("""COMPUTED_VALUE"""),5.0)</f>
        <v>5</v>
      </c>
      <c r="G1232" s="6" t="str">
        <f>IFERROR(__xludf.DUMMYFUNCTION("""COMPUTED_VALUE"""),"Pieces")</f>
        <v>Pieces</v>
      </c>
      <c r="H1232" s="6" t="str">
        <f>IFERROR(__xludf.DUMMYFUNCTION("""COMPUTED_VALUE"""),"IDR")</f>
        <v>IDR</v>
      </c>
      <c r="I1232" s="6">
        <f>IFERROR(__xludf.DUMMYFUNCTION("""COMPUTED_VALUE"""),85000.0)</f>
        <v>85000</v>
      </c>
      <c r="J1232" s="6">
        <f>IFERROR(__xludf.DUMMYFUNCTION("""COMPUTED_VALUE"""),425000.0)</f>
        <v>425000</v>
      </c>
      <c r="K1232" s="57">
        <f>IFERROR(__xludf.DUMMYFUNCTION("""COMPUTED_VALUE"""),44043.0)</f>
        <v>44043</v>
      </c>
      <c r="L1232" s="6" t="str">
        <f>IFERROR(__xludf.DUMMYFUNCTION("""COMPUTED_VALUE"""),"FIP Engineering")</f>
        <v>FIP Engineering</v>
      </c>
      <c r="M1232" s="6" t="str">
        <f>IFERROR(__xludf.DUMMYFUNCTION("""COMPUTED_VALUE"""),"Irwan Sopian")</f>
        <v>Irwan Sopian</v>
      </c>
      <c r="N1232" s="6" t="str">
        <f>IFERROR(__xludf.DUMMYFUNCTION("""COMPUTED_VALUE"""),"FIP Engineering")</f>
        <v>FIP Engineering</v>
      </c>
      <c r="O1232" s="6" t="str">
        <f>IFERROR(__xludf.DUMMYFUNCTION("""COMPUTED_VALUE"""),"FIP-DOM-000-11304-OS00001-INA-000000")</f>
        <v>FIP-DOM-000-11304-OS00001-INA-000000</v>
      </c>
      <c r="P1232" s="6" t="str">
        <f>IFERROR(__xludf.DUMMYFUNCTION("""COMPUTED_VALUE"""),"PO Closed")</f>
        <v>PO Closed</v>
      </c>
      <c r="Q1232" s="6" t="str">
        <f>IFERROR(__xludf.DUMMYFUNCTION("""COMPUTED_VALUE"""),"GL2007023")</f>
        <v>GL2007023</v>
      </c>
      <c r="R1232" s="57">
        <f>IFERROR(__xludf.DUMMYFUNCTION("""COMPUTED_VALUE"""),44018.0)</f>
        <v>44018</v>
      </c>
      <c r="S1232" s="6" t="str">
        <f>IFERROR(__xludf.DUMMYFUNCTION("""COMPUTED_VALUE"""),"-")</f>
        <v>-</v>
      </c>
      <c r="T1232" s="57">
        <f>IFERROR(__xludf.DUMMYFUNCTION("""COMPUTED_VALUE"""),44043.0)</f>
        <v>44043</v>
      </c>
    </row>
    <row r="1233">
      <c r="A1233" s="6" t="str">
        <f>IFERROR(__xludf.DUMMYFUNCTION("""COMPUTED_VALUE"""),"201750275-6")</f>
        <v>201750275-6</v>
      </c>
      <c r="B1233" s="6" t="str">
        <f>IFERROR(__xludf.DUMMYFUNCTION("""COMPUTED_VALUE"""),"201750275 - Approved")</f>
        <v>201750275 - Approved</v>
      </c>
      <c r="C1233" s="6">
        <f>IFERROR(__xludf.DUMMYFUNCTION("""COMPUTED_VALUE"""),6.0)</f>
        <v>6</v>
      </c>
      <c r="D1233" s="6" t="str">
        <f>IFERROR(__xludf.DUMMYFUNCTION("""COMPUTED_VALUE"""),"Q-60026-00")</f>
        <v>Q-60026-00</v>
      </c>
      <c r="E1233" s="6" t="str">
        <f>IFERROR(__xludf.DUMMYFUNCTION("""COMPUTED_VALUE"""),"Kuas Eterna 2""")</f>
        <v>Kuas Eterna 2"</v>
      </c>
      <c r="F1233" s="6">
        <f>IFERROR(__xludf.DUMMYFUNCTION("""COMPUTED_VALUE"""),10.0)</f>
        <v>10</v>
      </c>
      <c r="G1233" s="6" t="str">
        <f>IFERROR(__xludf.DUMMYFUNCTION("""COMPUTED_VALUE"""),"Pieces")</f>
        <v>Pieces</v>
      </c>
      <c r="H1233" s="6" t="str">
        <f>IFERROR(__xludf.DUMMYFUNCTION("""COMPUTED_VALUE"""),"IDR")</f>
        <v>IDR</v>
      </c>
      <c r="I1233" s="6">
        <f>IFERROR(__xludf.DUMMYFUNCTION("""COMPUTED_VALUE"""),4050.0)</f>
        <v>4050</v>
      </c>
      <c r="J1233" s="6">
        <f>IFERROR(__xludf.DUMMYFUNCTION("""COMPUTED_VALUE"""),40500.0)</f>
        <v>40500</v>
      </c>
      <c r="K1233" s="57">
        <f>IFERROR(__xludf.DUMMYFUNCTION("""COMPUTED_VALUE"""),44043.0)</f>
        <v>44043</v>
      </c>
      <c r="L1233" s="6" t="str">
        <f>IFERROR(__xludf.DUMMYFUNCTION("""COMPUTED_VALUE"""),"FIP General")</f>
        <v>FIP General</v>
      </c>
      <c r="M1233" s="6" t="str">
        <f>IFERROR(__xludf.DUMMYFUNCTION("""COMPUTED_VALUE"""),"Irwan Sopian")</f>
        <v>Irwan Sopian</v>
      </c>
      <c r="N1233" s="6" t="str">
        <f>IFERROR(__xludf.DUMMYFUNCTION("""COMPUTED_VALUE"""),"FIP Engineering")</f>
        <v>FIP Engineering</v>
      </c>
      <c r="O1233" s="6" t="str">
        <f>IFERROR(__xludf.DUMMYFUNCTION("""COMPUTED_VALUE"""),"FIP-DOM-ENG-51404-0000000-INA-000000")</f>
        <v>FIP-DOM-ENG-51404-0000000-INA-000000</v>
      </c>
      <c r="P1233" s="6" t="str">
        <f>IFERROR(__xludf.DUMMYFUNCTION("""COMPUTED_VALUE"""),"PO Closed")</f>
        <v>PO Closed</v>
      </c>
      <c r="Q1233" s="6" t="str">
        <f>IFERROR(__xludf.DUMMYFUNCTION("""COMPUTED_VALUE"""),"GL2007013")</f>
        <v>GL2007013</v>
      </c>
      <c r="R1233" s="57">
        <f>IFERROR(__xludf.DUMMYFUNCTION("""COMPUTED_VALUE"""),44018.0)</f>
        <v>44018</v>
      </c>
      <c r="S1233" s="6" t="str">
        <f>IFERROR(__xludf.DUMMYFUNCTION("""COMPUTED_VALUE"""),"-")</f>
        <v>-</v>
      </c>
      <c r="T1233" s="57">
        <f>IFERROR(__xludf.DUMMYFUNCTION("""COMPUTED_VALUE"""),44037.0)</f>
        <v>44037</v>
      </c>
    </row>
    <row r="1234">
      <c r="A1234" s="6" t="str">
        <f>IFERROR(__xludf.DUMMYFUNCTION("""COMPUTED_VALUE"""),"201750275-6")</f>
        <v>201750275-6</v>
      </c>
      <c r="B1234" s="6" t="str">
        <f>IFERROR(__xludf.DUMMYFUNCTION("""COMPUTED_VALUE"""),"201750275 - Approved")</f>
        <v>201750275 - Approved</v>
      </c>
      <c r="C1234" s="6">
        <f>IFERROR(__xludf.DUMMYFUNCTION("""COMPUTED_VALUE"""),6.0)</f>
        <v>6</v>
      </c>
      <c r="D1234" s="6" t="str">
        <f>IFERROR(__xludf.DUMMYFUNCTION("""COMPUTED_VALUE"""),"Q-10509-00")</f>
        <v>Q-10509-00</v>
      </c>
      <c r="E1234" s="6" t="str">
        <f>IFERROR(__xludf.DUMMYFUNCTION("""COMPUTED_VALUE"""),"Cable Ducting")</f>
        <v>Cable Ducting</v>
      </c>
      <c r="F1234" s="6">
        <f>IFERROR(__xludf.DUMMYFUNCTION("""COMPUTED_VALUE"""),4.0)</f>
        <v>4</v>
      </c>
      <c r="G1234" s="6" t="str">
        <f>IFERROR(__xludf.DUMMYFUNCTION("""COMPUTED_VALUE"""),"Pieces")</f>
        <v>Pieces</v>
      </c>
      <c r="H1234" s="6" t="str">
        <f>IFERROR(__xludf.DUMMYFUNCTION("""COMPUTED_VALUE"""),"IDR")</f>
        <v>IDR</v>
      </c>
      <c r="I1234" s="6">
        <f>IFERROR(__xludf.DUMMYFUNCTION("""COMPUTED_VALUE"""),55000.0)</f>
        <v>55000</v>
      </c>
      <c r="J1234" s="6">
        <f>IFERROR(__xludf.DUMMYFUNCTION("""COMPUTED_VALUE"""),220000.0)</f>
        <v>220000</v>
      </c>
      <c r="K1234" s="57">
        <f>IFERROR(__xludf.DUMMYFUNCTION("""COMPUTED_VALUE"""),44043.0)</f>
        <v>44043</v>
      </c>
      <c r="L1234" s="6" t="str">
        <f>IFERROR(__xludf.DUMMYFUNCTION("""COMPUTED_VALUE"""),"FIP General")</f>
        <v>FIP General</v>
      </c>
      <c r="M1234" s="6" t="str">
        <f>IFERROR(__xludf.DUMMYFUNCTION("""COMPUTED_VALUE"""),"Irwan Sopian")</f>
        <v>Irwan Sopian</v>
      </c>
      <c r="N1234" s="6" t="str">
        <f>IFERROR(__xludf.DUMMYFUNCTION("""COMPUTED_VALUE"""),"FIP Engineering")</f>
        <v>FIP Engineering</v>
      </c>
      <c r="O1234" s="6" t="str">
        <f>IFERROR(__xludf.DUMMYFUNCTION("""COMPUTED_VALUE"""),"FIP-DOM-ENG-51502-0000000-INA-000000")</f>
        <v>FIP-DOM-ENG-51502-0000000-INA-000000</v>
      </c>
      <c r="P1234" s="6" t="str">
        <f>IFERROR(__xludf.DUMMYFUNCTION("""COMPUTED_VALUE"""),"PO Closed")</f>
        <v>PO Closed</v>
      </c>
      <c r="Q1234" s="6" t="str">
        <f>IFERROR(__xludf.DUMMYFUNCTION("""COMPUTED_VALUE"""),"GL2007013")</f>
        <v>GL2007013</v>
      </c>
      <c r="R1234" s="57">
        <f>IFERROR(__xludf.DUMMYFUNCTION("""COMPUTED_VALUE"""),44018.0)</f>
        <v>44018</v>
      </c>
      <c r="S1234" s="6" t="str">
        <f>IFERROR(__xludf.DUMMYFUNCTION("""COMPUTED_VALUE"""),"-")</f>
        <v>-</v>
      </c>
      <c r="T1234" s="57">
        <f>IFERROR(__xludf.DUMMYFUNCTION("""COMPUTED_VALUE"""),44037.0)</f>
        <v>44037</v>
      </c>
    </row>
    <row r="1235">
      <c r="A1235" s="6" t="str">
        <f>IFERROR(__xludf.DUMMYFUNCTION("""COMPUTED_VALUE"""),"201750284-1")</f>
        <v>201750284-1</v>
      </c>
      <c r="B1235" s="6" t="str">
        <f>IFERROR(__xludf.DUMMYFUNCTION("""COMPUTED_VALUE"""),"201750284 - Approved")</f>
        <v>201750284 - Approved</v>
      </c>
      <c r="C1235" s="6">
        <f>IFERROR(__xludf.DUMMYFUNCTION("""COMPUTED_VALUE"""),1.0)</f>
        <v>1</v>
      </c>
      <c r="D1235" s="6" t="str">
        <f>IFERROR(__xludf.DUMMYFUNCTION("""COMPUTED_VALUE"""),"P-60000-00")</f>
        <v>P-60000-00</v>
      </c>
      <c r="E1235" s="6" t="str">
        <f>IFERROR(__xludf.DUMMYFUNCTION("""COMPUTED_VALUE"""),"Repair Tig Welding Argon")</f>
        <v>Repair Tig Welding Argon</v>
      </c>
      <c r="F1235" s="6">
        <f>IFERROR(__xludf.DUMMYFUNCTION("""COMPUTED_VALUE"""),1.0)</f>
        <v>1</v>
      </c>
      <c r="G1235" s="6" t="str">
        <f>IFERROR(__xludf.DUMMYFUNCTION("""COMPUTED_VALUE"""),"Lot")</f>
        <v>Lot</v>
      </c>
      <c r="H1235" s="6" t="str">
        <f>IFERROR(__xludf.DUMMYFUNCTION("""COMPUTED_VALUE"""),"IDR")</f>
        <v>IDR</v>
      </c>
      <c r="I1235" s="6">
        <f>IFERROR(__xludf.DUMMYFUNCTION("""COMPUTED_VALUE"""),667500.0)</f>
        <v>667500</v>
      </c>
      <c r="J1235" s="6">
        <f>IFERROR(__xludf.DUMMYFUNCTION("""COMPUTED_VALUE"""),667500.0)</f>
        <v>667500</v>
      </c>
      <c r="K1235" s="57">
        <f>IFERROR(__xludf.DUMMYFUNCTION("""COMPUTED_VALUE"""),44043.0)</f>
        <v>44043</v>
      </c>
      <c r="L1235" s="6" t="str">
        <f>IFERROR(__xludf.DUMMYFUNCTION("""COMPUTED_VALUE"""),"FIP General")</f>
        <v>FIP General</v>
      </c>
      <c r="M1235" s="6" t="str">
        <f>IFERROR(__xludf.DUMMYFUNCTION("""COMPUTED_VALUE"""),"Irwan Sopian")</f>
        <v>Irwan Sopian</v>
      </c>
      <c r="N1235" s="6" t="str">
        <f>IFERROR(__xludf.DUMMYFUNCTION("""COMPUTED_VALUE"""),"FIP Engineering")</f>
        <v>FIP Engineering</v>
      </c>
      <c r="O1235" s="6" t="str">
        <f>IFERROR(__xludf.DUMMYFUNCTION("""COMPUTED_VALUE"""),"FIP-DOM-ENG-51504-0000000-INA-000000")</f>
        <v>FIP-DOM-ENG-51504-0000000-INA-000000</v>
      </c>
      <c r="P1235" s="6" t="str">
        <f>IFERROR(__xludf.DUMMYFUNCTION("""COMPUTED_VALUE"""),"PO Closed")</f>
        <v>PO Closed</v>
      </c>
      <c r="Q1235" s="6" t="str">
        <f>IFERROR(__xludf.DUMMYFUNCTION("""COMPUTED_VALUE"""),"GL2007027")</f>
        <v>GL2007027</v>
      </c>
      <c r="R1235" s="57">
        <f>IFERROR(__xludf.DUMMYFUNCTION("""COMPUTED_VALUE"""),44019.0)</f>
        <v>44019</v>
      </c>
      <c r="S1235" s="6" t="str">
        <f>IFERROR(__xludf.DUMMYFUNCTION("""COMPUTED_VALUE"""),"-")</f>
        <v>-</v>
      </c>
      <c r="T1235" s="57">
        <f>IFERROR(__xludf.DUMMYFUNCTION("""COMPUTED_VALUE"""),44037.0)</f>
        <v>44037</v>
      </c>
    </row>
    <row r="1236">
      <c r="A1236" s="6" t="str">
        <f>IFERROR(__xludf.DUMMYFUNCTION("""COMPUTED_VALUE"""),"201750283-1")</f>
        <v>201750283-1</v>
      </c>
      <c r="B1236" s="6" t="str">
        <f>IFERROR(__xludf.DUMMYFUNCTION("""COMPUTED_VALUE"""),"201750283 - Approved")</f>
        <v>201750283 - Approved</v>
      </c>
      <c r="C1236" s="6">
        <f>IFERROR(__xludf.DUMMYFUNCTION("""COMPUTED_VALUE"""),1.0)</f>
        <v>1</v>
      </c>
      <c r="D1236" s="6" t="str">
        <f>IFERROR(__xludf.DUMMYFUNCTION("""COMPUTED_VALUE"""),"O-51698-00")</f>
        <v>O-51698-00</v>
      </c>
      <c r="E1236" s="6" t="str">
        <f>IFERROR(__xludf.DUMMYFUNCTION("""COMPUTED_VALUE"""),"OMRON - Relay MY4Z 24VDC")</f>
        <v>OMRON - Relay MY4Z 24VDC</v>
      </c>
      <c r="F1236" s="6">
        <f>IFERROR(__xludf.DUMMYFUNCTION("""COMPUTED_VALUE"""),4.0)</f>
        <v>4</v>
      </c>
      <c r="G1236" s="6" t="str">
        <f>IFERROR(__xludf.DUMMYFUNCTION("""COMPUTED_VALUE"""),"Pieces")</f>
        <v>Pieces</v>
      </c>
      <c r="H1236" s="6" t="str">
        <f>IFERROR(__xludf.DUMMYFUNCTION("""COMPUTED_VALUE"""),"IDR")</f>
        <v>IDR</v>
      </c>
      <c r="I1236" s="6">
        <f>IFERROR(__xludf.DUMMYFUNCTION("""COMPUTED_VALUE"""),128500.0)</f>
        <v>128500</v>
      </c>
      <c r="J1236" s="6">
        <f>IFERROR(__xludf.DUMMYFUNCTION("""COMPUTED_VALUE"""),514000.0)</f>
        <v>514000</v>
      </c>
      <c r="K1236" s="57">
        <f>IFERROR(__xludf.DUMMYFUNCTION("""COMPUTED_VALUE"""),44043.0)</f>
        <v>44043</v>
      </c>
      <c r="L1236" s="6" t="str">
        <f>IFERROR(__xludf.DUMMYFUNCTION("""COMPUTED_VALUE"""),"FIP Engineering")</f>
        <v>FIP Engineering</v>
      </c>
      <c r="M1236" s="6" t="str">
        <f>IFERROR(__xludf.DUMMYFUNCTION("""COMPUTED_VALUE"""),"Irwan Sopian")</f>
        <v>Irwan Sopian</v>
      </c>
      <c r="N1236" s="6" t="str">
        <f>IFERROR(__xludf.DUMMYFUNCTION("""COMPUTED_VALUE"""),"FIP Engineering")</f>
        <v>FIP Engineering</v>
      </c>
      <c r="O1236" s="6" t="str">
        <f>IFERROR(__xludf.DUMMYFUNCTION("""COMPUTED_VALUE"""),"FIP-DOM-000-11304-OS00001-INA-000000")</f>
        <v>FIP-DOM-000-11304-OS00001-INA-000000</v>
      </c>
      <c r="P1236" s="6" t="str">
        <f>IFERROR(__xludf.DUMMYFUNCTION("""COMPUTED_VALUE"""),"PO Closed")</f>
        <v>PO Closed</v>
      </c>
      <c r="Q1236" s="6" t="str">
        <f>IFERROR(__xludf.DUMMYFUNCTION("""COMPUTED_VALUE"""),"GL2007021")</f>
        <v>GL2007021</v>
      </c>
      <c r="R1236" s="57">
        <f>IFERROR(__xludf.DUMMYFUNCTION("""COMPUTED_VALUE"""),44019.0)</f>
        <v>44019</v>
      </c>
      <c r="S1236" s="6" t="str">
        <f>IFERROR(__xludf.DUMMYFUNCTION("""COMPUTED_VALUE"""),"-")</f>
        <v>-</v>
      </c>
      <c r="T1236" s="57">
        <f>IFERROR(__xludf.DUMMYFUNCTION("""COMPUTED_VALUE"""),44071.0)</f>
        <v>44071</v>
      </c>
    </row>
    <row r="1237">
      <c r="A1237" s="6" t="str">
        <f>IFERROR(__xludf.DUMMYFUNCTION("""COMPUTED_VALUE"""),"201750263-3")</f>
        <v>201750263-3</v>
      </c>
      <c r="B1237" s="6" t="str">
        <f>IFERROR(__xludf.DUMMYFUNCTION("""COMPUTED_VALUE"""),"201750263 - Approved")</f>
        <v>201750263 - Approved</v>
      </c>
      <c r="C1237" s="6">
        <f>IFERROR(__xludf.DUMMYFUNCTION("""COMPUTED_VALUE"""),3.0)</f>
        <v>3</v>
      </c>
      <c r="D1237" s="6" t="str">
        <f>IFERROR(__xludf.DUMMYFUNCTION("""COMPUTED_VALUE"""),"O-17534-00")</f>
        <v>O-17534-00</v>
      </c>
      <c r="E1237" s="6" t="str">
        <f>IFERROR(__xludf.DUMMYFUNCTION("""COMPUTED_VALUE"""),"Oring Viton 234x5.3 mm")</f>
        <v>Oring Viton 234x5.3 mm</v>
      </c>
      <c r="F1237" s="6">
        <f>IFERROR(__xludf.DUMMYFUNCTION("""COMPUTED_VALUE"""),4.0)</f>
        <v>4</v>
      </c>
      <c r="G1237" s="6" t="str">
        <f>IFERROR(__xludf.DUMMYFUNCTION("""COMPUTED_VALUE"""),"Pieces")</f>
        <v>Pieces</v>
      </c>
      <c r="H1237" s="6" t="str">
        <f>IFERROR(__xludf.DUMMYFUNCTION("""COMPUTED_VALUE"""),"IDR")</f>
        <v>IDR</v>
      </c>
      <c r="I1237" s="6">
        <f>IFERROR(__xludf.DUMMYFUNCTION("""COMPUTED_VALUE"""),245000.0)</f>
        <v>245000</v>
      </c>
      <c r="J1237" s="6">
        <f>IFERROR(__xludf.DUMMYFUNCTION("""COMPUTED_VALUE"""),980000.0)</f>
        <v>980000</v>
      </c>
      <c r="K1237" s="57">
        <f>IFERROR(__xludf.DUMMYFUNCTION("""COMPUTED_VALUE"""),44036.0)</f>
        <v>44036</v>
      </c>
      <c r="L1237" s="6" t="str">
        <f>IFERROR(__xludf.DUMMYFUNCTION("""COMPUTED_VALUE"""),"FIP Engineering")</f>
        <v>FIP Engineering</v>
      </c>
      <c r="M1237" s="6" t="str">
        <f>IFERROR(__xludf.DUMMYFUNCTION("""COMPUTED_VALUE"""),"Irwan Sopian")</f>
        <v>Irwan Sopian</v>
      </c>
      <c r="N1237" s="6" t="str">
        <f>IFERROR(__xludf.DUMMYFUNCTION("""COMPUTED_VALUE"""),"FIP Engineering")</f>
        <v>FIP Engineering</v>
      </c>
      <c r="O1237" s="6" t="str">
        <f>IFERROR(__xludf.DUMMYFUNCTION("""COMPUTED_VALUE"""),"FIP-DOM-000-11304-OS00001-INA-000000")</f>
        <v>FIP-DOM-000-11304-OS00001-INA-000000</v>
      </c>
      <c r="P1237" s="6" t="str">
        <f>IFERROR(__xludf.DUMMYFUNCTION("""COMPUTED_VALUE"""),"PO Closed")</f>
        <v>PO Closed</v>
      </c>
      <c r="Q1237" s="6" t="str">
        <f>IFERROR(__xludf.DUMMYFUNCTION("""COMPUTED_VALUE"""),"GL2006049")</f>
        <v>GL2006049</v>
      </c>
      <c r="R1237" s="57">
        <f>IFERROR(__xludf.DUMMYFUNCTION("""COMPUTED_VALUE"""),44019.0)</f>
        <v>44019</v>
      </c>
      <c r="S1237" s="6" t="str">
        <f>IFERROR(__xludf.DUMMYFUNCTION("""COMPUTED_VALUE"""),"-")</f>
        <v>-</v>
      </c>
      <c r="T1237" s="57">
        <f>IFERROR(__xludf.DUMMYFUNCTION("""COMPUTED_VALUE"""),44036.0)</f>
        <v>44036</v>
      </c>
    </row>
    <row r="1238">
      <c r="A1238" s="6" t="str">
        <f>IFERROR(__xludf.DUMMYFUNCTION("""COMPUTED_VALUE"""),"201750263-4")</f>
        <v>201750263-4</v>
      </c>
      <c r="B1238" s="6" t="str">
        <f>IFERROR(__xludf.DUMMYFUNCTION("""COMPUTED_VALUE"""),"201750263 - Approved")</f>
        <v>201750263 - Approved</v>
      </c>
      <c r="C1238" s="6">
        <f>IFERROR(__xludf.DUMMYFUNCTION("""COMPUTED_VALUE"""),4.0)</f>
        <v>4</v>
      </c>
      <c r="D1238" s="6" t="str">
        <f>IFERROR(__xludf.DUMMYFUNCTION("""COMPUTED_VALUE"""),"O-17534-00")</f>
        <v>O-17534-00</v>
      </c>
      <c r="E1238" s="6" t="str">
        <f>IFERROR(__xludf.DUMMYFUNCTION("""COMPUTED_VALUE"""),"Oring Viton 234x5.3 mm")</f>
        <v>Oring Viton 234x5.3 mm</v>
      </c>
      <c r="F1238" s="6">
        <f>IFERROR(__xludf.DUMMYFUNCTION("""COMPUTED_VALUE"""),26.0)</f>
        <v>26</v>
      </c>
      <c r="G1238" s="6" t="str">
        <f>IFERROR(__xludf.DUMMYFUNCTION("""COMPUTED_VALUE"""),"Pieces")</f>
        <v>Pieces</v>
      </c>
      <c r="H1238" s="6" t="str">
        <f>IFERROR(__xludf.DUMMYFUNCTION("""COMPUTED_VALUE"""),"IDR")</f>
        <v>IDR</v>
      </c>
      <c r="I1238" s="6">
        <f>IFERROR(__xludf.DUMMYFUNCTION("""COMPUTED_VALUE"""),245000.0)</f>
        <v>245000</v>
      </c>
      <c r="J1238" s="6">
        <f>IFERROR(__xludf.DUMMYFUNCTION("""COMPUTED_VALUE"""),6370000.0)</f>
        <v>6370000</v>
      </c>
      <c r="K1238" s="57">
        <f>IFERROR(__xludf.DUMMYFUNCTION("""COMPUTED_VALUE"""),44036.0)</f>
        <v>44036</v>
      </c>
      <c r="L1238" s="6" t="str">
        <f>IFERROR(__xludf.DUMMYFUNCTION("""COMPUTED_VALUE"""),"FIP Engineering")</f>
        <v>FIP Engineering</v>
      </c>
      <c r="M1238" s="6" t="str">
        <f>IFERROR(__xludf.DUMMYFUNCTION("""COMPUTED_VALUE"""),"Irwan Sopian")</f>
        <v>Irwan Sopian</v>
      </c>
      <c r="N1238" s="6" t="str">
        <f>IFERROR(__xludf.DUMMYFUNCTION("""COMPUTED_VALUE"""),"FIP Engineering")</f>
        <v>FIP Engineering</v>
      </c>
      <c r="O1238" s="6" t="str">
        <f>IFERROR(__xludf.DUMMYFUNCTION("""COMPUTED_VALUE"""),"FIP-DOM-000-11304-OS00001-INA-000000")</f>
        <v>FIP-DOM-000-11304-OS00001-INA-000000</v>
      </c>
      <c r="P1238" s="6" t="str">
        <f>IFERROR(__xludf.DUMMYFUNCTION("""COMPUTED_VALUE"""),"PO Closed")</f>
        <v>PO Closed</v>
      </c>
      <c r="Q1238" s="6" t="str">
        <f>IFERROR(__xludf.DUMMYFUNCTION("""COMPUTED_VALUE"""),"GL2007008")</f>
        <v>GL2007008</v>
      </c>
      <c r="R1238" s="57">
        <f>IFERROR(__xludf.DUMMYFUNCTION("""COMPUTED_VALUE"""),44019.0)</f>
        <v>44019</v>
      </c>
      <c r="S1238" s="6" t="str">
        <f>IFERROR(__xludf.DUMMYFUNCTION("""COMPUTED_VALUE"""),"-")</f>
        <v>-</v>
      </c>
      <c r="T1238" s="57">
        <f>IFERROR(__xludf.DUMMYFUNCTION("""COMPUTED_VALUE"""),44036.0)</f>
        <v>44036</v>
      </c>
    </row>
    <row r="1239">
      <c r="A1239" s="6" t="str">
        <f>IFERROR(__xludf.DUMMYFUNCTION("""COMPUTED_VALUE"""),"201750288-1")</f>
        <v>201750288-1</v>
      </c>
      <c r="B1239" s="6" t="str">
        <f>IFERROR(__xludf.DUMMYFUNCTION("""COMPUTED_VALUE"""),"201750288 - Approved")</f>
        <v>201750288 - Approved</v>
      </c>
      <c r="C1239" s="6">
        <f>IFERROR(__xludf.DUMMYFUNCTION("""COMPUTED_VALUE"""),1.0)</f>
        <v>1</v>
      </c>
      <c r="D1239" s="6" t="str">
        <f>IFERROR(__xludf.DUMMYFUNCTION("""COMPUTED_VALUE"""),"O-52387-00")</f>
        <v>O-52387-00</v>
      </c>
      <c r="E1239" s="6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F1239" s="6">
        <f>IFERROR(__xludf.DUMMYFUNCTION("""COMPUTED_VALUE"""),1.0)</f>
        <v>1</v>
      </c>
      <c r="G1239" s="6" t="str">
        <f>IFERROR(__xludf.DUMMYFUNCTION("""COMPUTED_VALUE"""),"Pieces")</f>
        <v>Pieces</v>
      </c>
      <c r="H1239" s="6" t="str">
        <f>IFERROR(__xludf.DUMMYFUNCTION("""COMPUTED_VALUE"""),"IDR")</f>
        <v>IDR</v>
      </c>
      <c r="I1239" s="6">
        <f>IFERROR(__xludf.DUMMYFUNCTION("""COMPUTED_VALUE"""),7866700.0)</f>
        <v>7866700</v>
      </c>
      <c r="J1239" s="6">
        <f>IFERROR(__xludf.DUMMYFUNCTION("""COMPUTED_VALUE"""),7866700.0)</f>
        <v>7866700</v>
      </c>
      <c r="K1239" s="57">
        <f>IFERROR(__xludf.DUMMYFUNCTION("""COMPUTED_VALUE"""),44050.0)</f>
        <v>44050</v>
      </c>
      <c r="L1239" s="6" t="str">
        <f>IFERROR(__xludf.DUMMYFUNCTION("""COMPUTED_VALUE"""),"FIP Engineering")</f>
        <v>FIP Engineering</v>
      </c>
      <c r="M1239" s="6" t="str">
        <f>IFERROR(__xludf.DUMMYFUNCTION("""COMPUTED_VALUE"""),"Irwan Sopian")</f>
        <v>Irwan Sopian</v>
      </c>
      <c r="N1239" s="6" t="str">
        <f>IFERROR(__xludf.DUMMYFUNCTION("""COMPUTED_VALUE"""),"FIP Engineering")</f>
        <v>FIP Engineering</v>
      </c>
      <c r="O1239" s="6" t="str">
        <f>IFERROR(__xludf.DUMMYFUNCTION("""COMPUTED_VALUE"""),"FIP-DOM-000-11304-OS00001-INA-000000")</f>
        <v>FIP-DOM-000-11304-OS00001-INA-000000</v>
      </c>
      <c r="P1239" s="6" t="str">
        <f>IFERROR(__xludf.DUMMYFUNCTION("""COMPUTED_VALUE"""),"PO Closed")</f>
        <v>PO Closed</v>
      </c>
      <c r="Q1239" s="6" t="str">
        <f>IFERROR(__xludf.DUMMYFUNCTION("""COMPUTED_VALUE"""),"GL2007022")</f>
        <v>GL2007022</v>
      </c>
      <c r="R1239" s="57">
        <f>IFERROR(__xludf.DUMMYFUNCTION("""COMPUTED_VALUE"""),44021.0)</f>
        <v>44021</v>
      </c>
      <c r="S1239" s="6" t="str">
        <f>IFERROR(__xludf.DUMMYFUNCTION("""COMPUTED_VALUE"""),"-")</f>
        <v>-</v>
      </c>
      <c r="T1239" s="57">
        <f>IFERROR(__xludf.DUMMYFUNCTION("""COMPUTED_VALUE"""),44050.0)</f>
        <v>44050</v>
      </c>
    </row>
    <row r="1240">
      <c r="A1240" s="6" t="str">
        <f>IFERROR(__xludf.DUMMYFUNCTION("""COMPUTED_VALUE"""),"201750290-1")</f>
        <v>201750290-1</v>
      </c>
      <c r="B1240" s="6" t="str">
        <f>IFERROR(__xludf.DUMMYFUNCTION("""COMPUTED_VALUE"""),"201750290 - Approved")</f>
        <v>201750290 - Approved</v>
      </c>
      <c r="C1240" s="6">
        <f>IFERROR(__xludf.DUMMYFUNCTION("""COMPUTED_VALUE"""),1.0)</f>
        <v>1</v>
      </c>
      <c r="D1240" s="6" t="str">
        <f>IFERROR(__xludf.DUMMYFUNCTION("""COMPUTED_VALUE"""),"P-50140-00")</f>
        <v>P-50140-00</v>
      </c>
      <c r="E1240" s="6" t="str">
        <f>IFERROR(__xludf.DUMMYFUNCTION("""COMPUTED_VALUE"""),"Battery UPS")</f>
        <v>Battery UPS</v>
      </c>
      <c r="F1240" s="6">
        <f>IFERROR(__xludf.DUMMYFUNCTION("""COMPUTED_VALUE"""),20.0)</f>
        <v>20</v>
      </c>
      <c r="G1240" s="6" t="str">
        <f>IFERROR(__xludf.DUMMYFUNCTION("""COMPUTED_VALUE"""),"Pieces")</f>
        <v>Pieces</v>
      </c>
      <c r="H1240" s="6" t="str">
        <f>IFERROR(__xludf.DUMMYFUNCTION("""COMPUTED_VALUE"""),"IDR")</f>
        <v>IDR</v>
      </c>
      <c r="I1240" s="6">
        <f>IFERROR(__xludf.DUMMYFUNCTION("""COMPUTED_VALUE"""),592500.0)</f>
        <v>592500</v>
      </c>
      <c r="J1240" s="6">
        <f>IFERROR(__xludf.DUMMYFUNCTION("""COMPUTED_VALUE"""),1.185E7)</f>
        <v>11850000</v>
      </c>
      <c r="K1240" s="57">
        <f>IFERROR(__xludf.DUMMYFUNCTION("""COMPUTED_VALUE"""),44109.0)</f>
        <v>44109</v>
      </c>
      <c r="L1240" s="6" t="str">
        <f>IFERROR(__xludf.DUMMYFUNCTION("""COMPUTED_VALUE"""),"FIP Engineering")</f>
        <v>FIP Engineering</v>
      </c>
      <c r="M1240" s="6" t="str">
        <f>IFERROR(__xludf.DUMMYFUNCTION("""COMPUTED_VALUE"""),"Irwan Sopian")</f>
        <v>Irwan Sopian</v>
      </c>
      <c r="N1240" s="6" t="str">
        <f>IFERROR(__xludf.DUMMYFUNCTION("""COMPUTED_VALUE"""),"FIP Engineering")</f>
        <v>FIP Engineering</v>
      </c>
      <c r="O1240" s="6" t="str">
        <f>IFERROR(__xludf.DUMMYFUNCTION("""COMPUTED_VALUE"""),"FIP-DOM-000-11304-OS00001-INA-000000")</f>
        <v>FIP-DOM-000-11304-OS00001-INA-000000</v>
      </c>
      <c r="P1240" s="6" t="str">
        <f>IFERROR(__xludf.DUMMYFUNCTION("""COMPUTED_VALUE"""),"PO Closed")</f>
        <v>PO Closed</v>
      </c>
      <c r="Q1240" s="6" t="str">
        <f>IFERROR(__xludf.DUMMYFUNCTION("""COMPUTED_VALUE"""),"GL2009032")</f>
        <v>GL2009032</v>
      </c>
      <c r="R1240" s="57">
        <f>IFERROR(__xludf.DUMMYFUNCTION("""COMPUTED_VALUE"""),44022.0)</f>
        <v>44022</v>
      </c>
      <c r="S1240" s="6" t="str">
        <f>IFERROR(__xludf.DUMMYFUNCTION("""COMPUTED_VALUE"""),"-")</f>
        <v>-</v>
      </c>
      <c r="T1240" s="57">
        <f>IFERROR(__xludf.DUMMYFUNCTION("""COMPUTED_VALUE"""),44113.0)</f>
        <v>44113</v>
      </c>
    </row>
    <row r="1241">
      <c r="A1241" s="6" t="str">
        <f>IFERROR(__xludf.DUMMYFUNCTION("""COMPUTED_VALUE"""),"201750290-2")</f>
        <v>201750290-2</v>
      </c>
      <c r="B1241" s="6" t="str">
        <f>IFERROR(__xludf.DUMMYFUNCTION("""COMPUTED_VALUE"""),"201750290 - Approved")</f>
        <v>201750290 - Approved</v>
      </c>
      <c r="C1241" s="6">
        <f>IFERROR(__xludf.DUMMYFUNCTION("""COMPUTED_VALUE"""),2.0)</f>
        <v>2</v>
      </c>
      <c r="D1241" s="6" t="str">
        <f>IFERROR(__xludf.DUMMYFUNCTION("""COMPUTED_VALUE"""),"P-52119-00")</f>
        <v>P-52119-00</v>
      </c>
      <c r="E1241" s="6" t="str">
        <f>IFERROR(__xludf.DUMMYFUNCTION("""COMPUTED_VALUE"""),"Battery UPS / 40 AH / 12 V Panasonic/Vision")</f>
        <v>Battery UPS / 40 AH / 12 V Panasonic/Vision</v>
      </c>
      <c r="F1241" s="6">
        <f>IFERROR(__xludf.DUMMYFUNCTION("""COMPUTED_VALUE"""),2.0)</f>
        <v>2</v>
      </c>
      <c r="G1241" s="6" t="str">
        <f>IFERROR(__xludf.DUMMYFUNCTION("""COMPUTED_VALUE"""),"Pieces")</f>
        <v>Pieces</v>
      </c>
      <c r="H1241" s="6" t="str">
        <f>IFERROR(__xludf.DUMMYFUNCTION("""COMPUTED_VALUE"""),"IDR")</f>
        <v>IDR</v>
      </c>
      <c r="I1241" s="6">
        <f>IFERROR(__xludf.DUMMYFUNCTION("""COMPUTED_VALUE"""),1925000.0)</f>
        <v>1925000</v>
      </c>
      <c r="J1241" s="6">
        <f>IFERROR(__xludf.DUMMYFUNCTION("""COMPUTED_VALUE"""),3850000.0)</f>
        <v>3850000</v>
      </c>
      <c r="K1241" s="57">
        <f>IFERROR(__xludf.DUMMYFUNCTION("""COMPUTED_VALUE"""),44109.0)</f>
        <v>44109</v>
      </c>
      <c r="L1241" s="6" t="str">
        <f>IFERROR(__xludf.DUMMYFUNCTION("""COMPUTED_VALUE"""),"FIP Engineering")</f>
        <v>FIP Engineering</v>
      </c>
      <c r="M1241" s="6" t="str">
        <f>IFERROR(__xludf.DUMMYFUNCTION("""COMPUTED_VALUE"""),"Irwan Sopian")</f>
        <v>Irwan Sopian</v>
      </c>
      <c r="N1241" s="6" t="str">
        <f>IFERROR(__xludf.DUMMYFUNCTION("""COMPUTED_VALUE"""),"FIP Engineering")</f>
        <v>FIP Engineering</v>
      </c>
      <c r="O1241" s="6" t="str">
        <f>IFERROR(__xludf.DUMMYFUNCTION("""COMPUTED_VALUE"""),"FIP-DOM-000-11304-OS00001-INA-000000")</f>
        <v>FIP-DOM-000-11304-OS00001-INA-000000</v>
      </c>
      <c r="P1241" s="6" t="str">
        <f>IFERROR(__xludf.DUMMYFUNCTION("""COMPUTED_VALUE"""),"PO Closed")</f>
        <v>PO Closed</v>
      </c>
      <c r="Q1241" s="6" t="str">
        <f>IFERROR(__xludf.DUMMYFUNCTION("""COMPUTED_VALUE"""),"GL2009032")</f>
        <v>GL2009032</v>
      </c>
      <c r="R1241" s="57">
        <f>IFERROR(__xludf.DUMMYFUNCTION("""COMPUTED_VALUE"""),44022.0)</f>
        <v>44022</v>
      </c>
      <c r="S1241" s="6" t="str">
        <f>IFERROR(__xludf.DUMMYFUNCTION("""COMPUTED_VALUE"""),"-")</f>
        <v>-</v>
      </c>
      <c r="T1241" s="57">
        <f>IFERROR(__xludf.DUMMYFUNCTION("""COMPUTED_VALUE"""),44113.0)</f>
        <v>44113</v>
      </c>
    </row>
    <row r="1242">
      <c r="A1242" s="6" t="str">
        <f>IFERROR(__xludf.DUMMYFUNCTION("""COMPUTED_VALUE"""),"201750292-1")</f>
        <v>201750292-1</v>
      </c>
      <c r="B1242" s="6" t="str">
        <f>IFERROR(__xludf.DUMMYFUNCTION("""COMPUTED_VALUE"""),"201750292 - Approved")</f>
        <v>201750292 - Approved</v>
      </c>
      <c r="C1242" s="6">
        <f>IFERROR(__xludf.DUMMYFUNCTION("""COMPUTED_VALUE"""),1.0)</f>
        <v>1</v>
      </c>
      <c r="D1242" s="6" t="str">
        <f>IFERROR(__xludf.DUMMYFUNCTION("""COMPUTED_VALUE"""),"P-15862-00")</f>
        <v>P-15862-00</v>
      </c>
      <c r="E1242" s="6" t="str">
        <f>IFERROR(__xludf.DUMMYFUNCTION("""COMPUTED_VALUE"""),"PAPER RECORD YOKOGAWA FOLDING CHART B9565AW")</f>
        <v>PAPER RECORD YOKOGAWA FOLDING CHART B9565AW</v>
      </c>
      <c r="F1242" s="6">
        <f>IFERROR(__xludf.DUMMYFUNCTION("""COMPUTED_VALUE"""),10.0)</f>
        <v>10</v>
      </c>
      <c r="G1242" s="6" t="str">
        <f>IFERROR(__xludf.DUMMYFUNCTION("""COMPUTED_VALUE"""),"Pieces")</f>
        <v>Pieces</v>
      </c>
      <c r="H1242" s="6" t="str">
        <f>IFERROR(__xludf.DUMMYFUNCTION("""COMPUTED_VALUE"""),"IDR")</f>
        <v>IDR</v>
      </c>
      <c r="I1242" s="6">
        <f>IFERROR(__xludf.DUMMYFUNCTION("""COMPUTED_VALUE"""),220000.0)</f>
        <v>220000</v>
      </c>
      <c r="J1242" s="6">
        <f>IFERROR(__xludf.DUMMYFUNCTION("""COMPUTED_VALUE"""),2200000.0)</f>
        <v>2200000</v>
      </c>
      <c r="K1242" s="57">
        <f>IFERROR(__xludf.DUMMYFUNCTION("""COMPUTED_VALUE"""),44078.0)</f>
        <v>44078</v>
      </c>
      <c r="L1242" s="6" t="str">
        <f>IFERROR(__xludf.DUMMYFUNCTION("""COMPUTED_VALUE"""),"FIP Engineering")</f>
        <v>FIP Engineering</v>
      </c>
      <c r="M1242" s="6" t="str">
        <f>IFERROR(__xludf.DUMMYFUNCTION("""COMPUTED_VALUE"""),"Irwan Sopian")</f>
        <v>Irwan Sopian</v>
      </c>
      <c r="N1242" s="6" t="str">
        <f>IFERROR(__xludf.DUMMYFUNCTION("""COMPUTED_VALUE"""),"FIP Engineering")</f>
        <v>FIP Engineering</v>
      </c>
      <c r="O1242" s="6" t="str">
        <f>IFERROR(__xludf.DUMMYFUNCTION("""COMPUTED_VALUE"""),"FIP-DOM-000-11304-OS00001-INA-000000")</f>
        <v>FIP-DOM-000-11304-OS00001-INA-000000</v>
      </c>
      <c r="P1242" s="6" t="str">
        <f>IFERROR(__xludf.DUMMYFUNCTION("""COMPUTED_VALUE"""),"PO Closed")</f>
        <v>PO Closed</v>
      </c>
      <c r="Q1242" s="6" t="str">
        <f>IFERROR(__xludf.DUMMYFUNCTION("""COMPUTED_VALUE"""),"GL2009002")</f>
        <v>GL2009002</v>
      </c>
      <c r="R1242" s="57">
        <f>IFERROR(__xludf.DUMMYFUNCTION("""COMPUTED_VALUE"""),44025.0)</f>
        <v>44025</v>
      </c>
      <c r="S1242" s="6" t="str">
        <f>IFERROR(__xludf.DUMMYFUNCTION("""COMPUTED_VALUE"""),"-")</f>
        <v>-</v>
      </c>
      <c r="T1242" s="57">
        <f>IFERROR(__xludf.DUMMYFUNCTION("""COMPUTED_VALUE"""),44092.0)</f>
        <v>44092</v>
      </c>
    </row>
    <row r="1243">
      <c r="A1243" s="6" t="str">
        <f>IFERROR(__xludf.DUMMYFUNCTION("""COMPUTED_VALUE"""),"201750298-1")</f>
        <v>201750298-1</v>
      </c>
      <c r="B1243" s="6" t="str">
        <f>IFERROR(__xludf.DUMMYFUNCTION("""COMPUTED_VALUE"""),"201750298 - Approved")</f>
        <v>201750298 - Approved</v>
      </c>
      <c r="C1243" s="6">
        <f>IFERROR(__xludf.DUMMYFUNCTION("""COMPUTED_VALUE"""),1.0)</f>
        <v>1</v>
      </c>
      <c r="D1243" s="6" t="str">
        <f>IFERROR(__xludf.DUMMYFUNCTION("""COMPUTED_VALUE"""),"O-16731-00")</f>
        <v>O-16731-00</v>
      </c>
      <c r="E1243" s="6" t="str">
        <f>IFERROR(__xludf.DUMMYFUNCTION("""COMPUTED_VALUE"""),"Autoclave Fedegari FVA2/A1 NB2963AT - KIT Ricambi Valv. DN10 ON-OFF p/n: KK000301")</f>
        <v>Autoclave Fedegari FVA2/A1 NB2963AT - KIT Ricambi Valv. DN10 ON-OFF p/n: KK000301</v>
      </c>
      <c r="F1243" s="6">
        <f>IFERROR(__xludf.DUMMYFUNCTION("""COMPUTED_VALUE"""),10.0)</f>
        <v>10</v>
      </c>
      <c r="G1243" s="6" t="str">
        <f>IFERROR(__xludf.DUMMYFUNCTION("""COMPUTED_VALUE"""),"Pieces")</f>
        <v>Pieces</v>
      </c>
      <c r="H1243" s="6" t="str">
        <f>IFERROR(__xludf.DUMMYFUNCTION("""COMPUTED_VALUE"""),"EUR")</f>
        <v>EUR</v>
      </c>
      <c r="I1243" s="6">
        <f>IFERROR(__xludf.DUMMYFUNCTION("""COMPUTED_VALUE"""),34.31)</f>
        <v>34.31</v>
      </c>
      <c r="J1243" s="6">
        <f>IFERROR(__xludf.DUMMYFUNCTION("""COMPUTED_VALUE"""),343.1)</f>
        <v>343.1</v>
      </c>
      <c r="K1243" s="57">
        <f>IFERROR(__xludf.DUMMYFUNCTION("""COMPUTED_VALUE"""),44071.0)</f>
        <v>44071</v>
      </c>
      <c r="L1243" s="6" t="str">
        <f>IFERROR(__xludf.DUMMYFUNCTION("""COMPUTED_VALUE"""),"FIP Engineering")</f>
        <v>FIP Engineering</v>
      </c>
      <c r="M1243" s="6" t="str">
        <f>IFERROR(__xludf.DUMMYFUNCTION("""COMPUTED_VALUE"""),"Irwan Sopian")</f>
        <v>Irwan Sopian</v>
      </c>
      <c r="N1243" s="6" t="str">
        <f>IFERROR(__xludf.DUMMYFUNCTION("""COMPUTED_VALUE"""),"FIP Engineering")</f>
        <v>FIP Engineering</v>
      </c>
      <c r="O1243" s="6" t="str">
        <f>IFERROR(__xludf.DUMMYFUNCTION("""COMPUTED_VALUE"""),"FIP-DOM-000-11304-OS00001-INA-000000")</f>
        <v>FIP-DOM-000-11304-OS00001-INA-000000</v>
      </c>
      <c r="P1243" s="6" t="str">
        <f>IFERROR(__xludf.DUMMYFUNCTION("""COMPUTED_VALUE"""),"PO Closed")</f>
        <v>PO Closed</v>
      </c>
      <c r="Q1243" s="6" t="str">
        <f>IFERROR(__xludf.DUMMYFUNCTION("""COMPUTED_VALUE"""),"GL2008016")</f>
        <v>GL2008016</v>
      </c>
      <c r="R1243" s="57">
        <f>IFERROR(__xludf.DUMMYFUNCTION("""COMPUTED_VALUE"""),44026.0)</f>
        <v>44026</v>
      </c>
      <c r="S1243" s="6" t="str">
        <f>IFERROR(__xludf.DUMMYFUNCTION("""COMPUTED_VALUE"""),"-")</f>
        <v>-</v>
      </c>
      <c r="T1243" s="57">
        <f>IFERROR(__xludf.DUMMYFUNCTION("""COMPUTED_VALUE"""),44106.0)</f>
        <v>44106</v>
      </c>
    </row>
    <row r="1244">
      <c r="A1244" s="6" t="str">
        <f>IFERROR(__xludf.DUMMYFUNCTION("""COMPUTED_VALUE"""),"201750298-2")</f>
        <v>201750298-2</v>
      </c>
      <c r="B1244" s="6" t="str">
        <f>IFERROR(__xludf.DUMMYFUNCTION("""COMPUTED_VALUE"""),"201750298 - Approved")</f>
        <v>201750298 - Approved</v>
      </c>
      <c r="C1244" s="6">
        <f>IFERROR(__xludf.DUMMYFUNCTION("""COMPUTED_VALUE"""),2.0)</f>
        <v>2</v>
      </c>
      <c r="D1244" s="6" t="str">
        <f>IFERROR(__xludf.DUMMYFUNCTION("""COMPUTED_VALUE"""),"O-50831-00")</f>
        <v>O-50831-00</v>
      </c>
      <c r="E1244" s="6" t="str">
        <f>IFERROR(__xludf.DUMMYFUNCTION("""COMPUTED_VALUE"""),"Autoclave Fedegari FOF / 6 AC - P/N. CD240005 Pressure Switch PS3-AJR 0.8-1.1")</f>
        <v>Autoclave Fedegari FOF / 6 AC - P/N. CD240005 Pressure Switch PS3-AJR 0.8-1.1</v>
      </c>
      <c r="F1244" s="6">
        <f>IFERROR(__xludf.DUMMYFUNCTION("""COMPUTED_VALUE"""),2.0)</f>
        <v>2</v>
      </c>
      <c r="G1244" s="6" t="str">
        <f>IFERROR(__xludf.DUMMYFUNCTION("""COMPUTED_VALUE"""),"Pieces")</f>
        <v>Pieces</v>
      </c>
      <c r="H1244" s="6" t="str">
        <f>IFERROR(__xludf.DUMMYFUNCTION("""COMPUTED_VALUE"""),"EUR")</f>
        <v>EUR</v>
      </c>
      <c r="I1244" s="6">
        <f>IFERROR(__xludf.DUMMYFUNCTION("""COMPUTED_VALUE"""),80.41)</f>
        <v>80.41</v>
      </c>
      <c r="J1244" s="6">
        <f>IFERROR(__xludf.DUMMYFUNCTION("""COMPUTED_VALUE"""),160.82)</f>
        <v>160.82</v>
      </c>
      <c r="K1244" s="57">
        <f>IFERROR(__xludf.DUMMYFUNCTION("""COMPUTED_VALUE"""),44071.0)</f>
        <v>44071</v>
      </c>
      <c r="L1244" s="6" t="str">
        <f>IFERROR(__xludf.DUMMYFUNCTION("""COMPUTED_VALUE"""),"FIP Engineering")</f>
        <v>FIP Engineering</v>
      </c>
      <c r="M1244" s="6" t="str">
        <f>IFERROR(__xludf.DUMMYFUNCTION("""COMPUTED_VALUE"""),"Irwan Sopian")</f>
        <v>Irwan Sopian</v>
      </c>
      <c r="N1244" s="6" t="str">
        <f>IFERROR(__xludf.DUMMYFUNCTION("""COMPUTED_VALUE"""),"FIP Engineering")</f>
        <v>FIP Engineering</v>
      </c>
      <c r="O1244" s="6" t="str">
        <f>IFERROR(__xludf.DUMMYFUNCTION("""COMPUTED_VALUE"""),"FIP-DOM-000-11304-OS00001-INA-000000")</f>
        <v>FIP-DOM-000-11304-OS00001-INA-000000</v>
      </c>
      <c r="P1244" s="6" t="str">
        <f>IFERROR(__xludf.DUMMYFUNCTION("""COMPUTED_VALUE"""),"PO Closed")</f>
        <v>PO Closed</v>
      </c>
      <c r="Q1244" s="6" t="str">
        <f>IFERROR(__xludf.DUMMYFUNCTION("""COMPUTED_VALUE"""),"GL2008016")</f>
        <v>GL2008016</v>
      </c>
      <c r="R1244" s="57">
        <f>IFERROR(__xludf.DUMMYFUNCTION("""COMPUTED_VALUE"""),44026.0)</f>
        <v>44026</v>
      </c>
      <c r="S1244" s="6" t="str">
        <f>IFERROR(__xludf.DUMMYFUNCTION("""COMPUTED_VALUE"""),"-")</f>
        <v>-</v>
      </c>
      <c r="T1244" s="57">
        <f>IFERROR(__xludf.DUMMYFUNCTION("""COMPUTED_VALUE"""),44106.0)</f>
        <v>44106</v>
      </c>
    </row>
    <row r="1245">
      <c r="A1245" s="6" t="str">
        <f>IFERROR(__xludf.DUMMYFUNCTION("""COMPUTED_VALUE"""),"201750296-1")</f>
        <v>201750296-1</v>
      </c>
      <c r="B1245" s="6" t="str">
        <f>IFERROR(__xludf.DUMMYFUNCTION("""COMPUTED_VALUE"""),"201750296 - Approved")</f>
        <v>201750296 - Approved</v>
      </c>
      <c r="C1245" s="6">
        <f>IFERROR(__xludf.DUMMYFUNCTION("""COMPUTED_VALUE"""),1.0)</f>
        <v>1</v>
      </c>
      <c r="D1245" s="6" t="str">
        <f>IFERROR(__xludf.DUMMYFUNCTION("""COMPUTED_VALUE"""),"P-12300-00")</f>
        <v>P-12300-00</v>
      </c>
      <c r="E1245" s="6" t="str">
        <f>IFERROR(__xludf.DUMMYFUNCTION("""COMPUTED_VALUE"""),"FESTO - QSML-M5-4 part Number 15333")</f>
        <v>FESTO - QSML-M5-4 part Number 15333</v>
      </c>
      <c r="F1245" s="6">
        <f>IFERROR(__xludf.DUMMYFUNCTION("""COMPUTED_VALUE"""),10.0)</f>
        <v>10</v>
      </c>
      <c r="G1245" s="6" t="str">
        <f>IFERROR(__xludf.DUMMYFUNCTION("""COMPUTED_VALUE"""),"Pieces")</f>
        <v>Pieces</v>
      </c>
      <c r="H1245" s="6" t="str">
        <f>IFERROR(__xludf.DUMMYFUNCTION("""COMPUTED_VALUE"""),"IDR")</f>
        <v>IDR</v>
      </c>
      <c r="I1245" s="6">
        <f>IFERROR(__xludf.DUMMYFUNCTION("""COMPUTED_VALUE"""),46023.0)</f>
        <v>46023</v>
      </c>
      <c r="J1245" s="6">
        <f>IFERROR(__xludf.DUMMYFUNCTION("""COMPUTED_VALUE"""),460230.0)</f>
        <v>460230</v>
      </c>
      <c r="K1245" s="57">
        <f>IFERROR(__xludf.DUMMYFUNCTION("""COMPUTED_VALUE"""),44057.0)</f>
        <v>44057</v>
      </c>
      <c r="L1245" s="6" t="str">
        <f>IFERROR(__xludf.DUMMYFUNCTION("""COMPUTED_VALUE"""),"FIP Engineering")</f>
        <v>FIP Engineering</v>
      </c>
      <c r="M1245" s="6" t="str">
        <f>IFERROR(__xludf.DUMMYFUNCTION("""COMPUTED_VALUE"""),"Irwan Sopian")</f>
        <v>Irwan Sopian</v>
      </c>
      <c r="N1245" s="6" t="str">
        <f>IFERROR(__xludf.DUMMYFUNCTION("""COMPUTED_VALUE"""),"FIP Engineering")</f>
        <v>FIP Engineering</v>
      </c>
      <c r="O1245" s="6" t="str">
        <f>IFERROR(__xludf.DUMMYFUNCTION("""COMPUTED_VALUE"""),"FIP-DOM-000-11304-OS00001-INA-000000")</f>
        <v>FIP-DOM-000-11304-OS00001-INA-000000</v>
      </c>
      <c r="P1245" s="6" t="str">
        <f>IFERROR(__xludf.DUMMYFUNCTION("""COMPUTED_VALUE"""),"PO Closed")</f>
        <v>PO Closed</v>
      </c>
      <c r="Q1245" s="6" t="str">
        <f>IFERROR(__xludf.DUMMYFUNCTION("""COMPUTED_VALUE"""),"GL2007046")</f>
        <v>GL2007046</v>
      </c>
      <c r="R1245" s="57">
        <f>IFERROR(__xludf.DUMMYFUNCTION("""COMPUTED_VALUE"""),44026.0)</f>
        <v>44026</v>
      </c>
      <c r="S1245" s="6" t="str">
        <f>IFERROR(__xludf.DUMMYFUNCTION("""COMPUTED_VALUE"""),"-")</f>
        <v>-</v>
      </c>
      <c r="T1245" s="57">
        <f>IFERROR(__xludf.DUMMYFUNCTION("""COMPUTED_VALUE"""),44064.0)</f>
        <v>44064</v>
      </c>
    </row>
    <row r="1246">
      <c r="A1246" s="6" t="str">
        <f>IFERROR(__xludf.DUMMYFUNCTION("""COMPUTED_VALUE"""),"201750301-1")</f>
        <v>201750301-1</v>
      </c>
      <c r="B1246" s="6" t="str">
        <f>IFERROR(__xludf.DUMMYFUNCTION("""COMPUTED_VALUE"""),"201750301 - Approved")</f>
        <v>201750301 - Approved</v>
      </c>
      <c r="C1246" s="6">
        <f>IFERROR(__xludf.DUMMYFUNCTION("""COMPUTED_VALUE"""),1.0)</f>
        <v>1</v>
      </c>
      <c r="D1246" s="6" t="str">
        <f>IFERROR(__xludf.DUMMYFUNCTION("""COMPUTED_VALUE"""),"Q-10630-00")</f>
        <v>Q-10630-00</v>
      </c>
      <c r="E1246" s="6" t="str">
        <f>IFERROR(__xludf.DUMMYFUNCTION("""COMPUTED_VALUE"""),"Pompa KP250A Grundfos")</f>
        <v>Pompa KP250A Grundfos</v>
      </c>
      <c r="F1246" s="6">
        <f>IFERROR(__xludf.DUMMYFUNCTION("""COMPUTED_VALUE"""),1.0)</f>
        <v>1</v>
      </c>
      <c r="G1246" s="6" t="str">
        <f>IFERROR(__xludf.DUMMYFUNCTION("""COMPUTED_VALUE"""),"Unit")</f>
        <v>Unit</v>
      </c>
      <c r="H1246" s="6" t="str">
        <f>IFERROR(__xludf.DUMMYFUNCTION("""COMPUTED_VALUE"""),"IDR")</f>
        <v>IDR</v>
      </c>
      <c r="I1246" s="6">
        <f>IFERROR(__xludf.DUMMYFUNCTION("""COMPUTED_VALUE"""),4029000.0)</f>
        <v>4029000</v>
      </c>
      <c r="J1246" s="6">
        <f>IFERROR(__xludf.DUMMYFUNCTION("""COMPUTED_VALUE"""),4029000.0)</f>
        <v>4029000</v>
      </c>
      <c r="K1246" s="57">
        <f>IFERROR(__xludf.DUMMYFUNCTION("""COMPUTED_VALUE"""),44064.0)</f>
        <v>44064</v>
      </c>
      <c r="L1246" s="6" t="str">
        <f>IFERROR(__xludf.DUMMYFUNCTION("""COMPUTED_VALUE"""),"FIP General")</f>
        <v>FIP General</v>
      </c>
      <c r="M1246" s="6" t="str">
        <f>IFERROR(__xludf.DUMMYFUNCTION("""COMPUTED_VALUE"""),"Irwan Sopian")</f>
        <v>Irwan Sopian</v>
      </c>
      <c r="N1246" s="6" t="str">
        <f>IFERROR(__xludf.DUMMYFUNCTION("""COMPUTED_VALUE"""),"FIP Engineering")</f>
        <v>FIP Engineering</v>
      </c>
      <c r="O1246" s="6" t="str">
        <f>IFERROR(__xludf.DUMMYFUNCTION("""COMPUTED_VALUE"""),"FIP-DOM-ENG-51504-0000000-INA-000000")</f>
        <v>FIP-DOM-ENG-51504-0000000-INA-000000</v>
      </c>
      <c r="P1246" s="6" t="str">
        <f>IFERROR(__xludf.DUMMYFUNCTION("""COMPUTED_VALUE"""),"PO Closed")</f>
        <v>PO Closed</v>
      </c>
      <c r="Q1246" s="6" t="str">
        <f>IFERROR(__xludf.DUMMYFUNCTION("""COMPUTED_VALUE"""),"GL2008012")</f>
        <v>GL2008012</v>
      </c>
      <c r="R1246" s="57">
        <f>IFERROR(__xludf.DUMMYFUNCTION("""COMPUTED_VALUE"""),44027.0)</f>
        <v>44027</v>
      </c>
      <c r="S1246" s="6" t="str">
        <f>IFERROR(__xludf.DUMMYFUNCTION("""COMPUTED_VALUE"""),"-")</f>
        <v>-</v>
      </c>
      <c r="T1246" s="57">
        <f>IFERROR(__xludf.DUMMYFUNCTION("""COMPUTED_VALUE"""),44074.0)</f>
        <v>44074</v>
      </c>
    </row>
    <row r="1247">
      <c r="A1247" s="6" t="str">
        <f>IFERROR(__xludf.DUMMYFUNCTION("""COMPUTED_VALUE"""),"201750300-1")</f>
        <v>201750300-1</v>
      </c>
      <c r="B1247" s="6" t="str">
        <f>IFERROR(__xludf.DUMMYFUNCTION("""COMPUTED_VALUE"""),"201750300 - Approved")</f>
        <v>201750300 - Approved</v>
      </c>
      <c r="C1247" s="6">
        <f>IFERROR(__xludf.DUMMYFUNCTION("""COMPUTED_VALUE"""),1.0)</f>
        <v>1</v>
      </c>
      <c r="D1247" s="6" t="str">
        <f>IFERROR(__xludf.DUMMYFUNCTION("""COMPUTED_VALUE"""),"Q-10631-00")</f>
        <v>Q-10631-00</v>
      </c>
      <c r="E1247" s="6" t="str">
        <f>IFERROR(__xludf.DUMMYFUNCTION("""COMPUTED_VALUE"""),"Mesh 8 SS 304")</f>
        <v>Mesh 8 SS 304</v>
      </c>
      <c r="F1247" s="6">
        <f>IFERROR(__xludf.DUMMYFUNCTION("""COMPUTED_VALUE"""),5.0)</f>
        <v>5</v>
      </c>
      <c r="G1247" s="6" t="str">
        <f>IFERROR(__xludf.DUMMYFUNCTION("""COMPUTED_VALUE"""),"Meter")</f>
        <v>Meter</v>
      </c>
      <c r="H1247" s="6" t="str">
        <f>IFERROR(__xludf.DUMMYFUNCTION("""COMPUTED_VALUE"""),"IDR")</f>
        <v>IDR</v>
      </c>
      <c r="I1247" s="6">
        <f>IFERROR(__xludf.DUMMYFUNCTION("""COMPUTED_VALUE"""),170000.0)</f>
        <v>170000</v>
      </c>
      <c r="J1247" s="6">
        <f>IFERROR(__xludf.DUMMYFUNCTION("""COMPUTED_VALUE"""),850000.0)</f>
        <v>850000</v>
      </c>
      <c r="K1247" s="57">
        <f>IFERROR(__xludf.DUMMYFUNCTION("""COMPUTED_VALUE"""),44050.0)</f>
        <v>44050</v>
      </c>
      <c r="L1247" s="6" t="str">
        <f>IFERROR(__xludf.DUMMYFUNCTION("""COMPUTED_VALUE"""),"FIP General")</f>
        <v>FIP General</v>
      </c>
      <c r="M1247" s="6" t="str">
        <f>IFERROR(__xludf.DUMMYFUNCTION("""COMPUTED_VALUE"""),"Irwan Sopian")</f>
        <v>Irwan Sopian</v>
      </c>
      <c r="N1247" s="6" t="str">
        <f>IFERROR(__xludf.DUMMYFUNCTION("""COMPUTED_VALUE"""),"FIP Engineering")</f>
        <v>FIP Engineering</v>
      </c>
      <c r="O1247" s="6" t="str">
        <f>IFERROR(__xludf.DUMMYFUNCTION("""COMPUTED_VALUE"""),"FIP-DOM-ENG-51504-0000000-INA-000000")</f>
        <v>FIP-DOM-ENG-51504-0000000-INA-000000</v>
      </c>
      <c r="P1247" s="6" t="str">
        <f>IFERROR(__xludf.DUMMYFUNCTION("""COMPUTED_VALUE"""),"PO Closed")</f>
        <v>PO Closed</v>
      </c>
      <c r="Q1247" s="6" t="str">
        <f>IFERROR(__xludf.DUMMYFUNCTION("""COMPUTED_VALUE"""),"GL2007045")</f>
        <v>GL2007045</v>
      </c>
      <c r="R1247" s="57">
        <f>IFERROR(__xludf.DUMMYFUNCTION("""COMPUTED_VALUE"""),44027.0)</f>
        <v>44027</v>
      </c>
      <c r="S1247" s="6" t="str">
        <f>IFERROR(__xludf.DUMMYFUNCTION("""COMPUTED_VALUE"""),"-")</f>
        <v>-</v>
      </c>
      <c r="T1247" s="57">
        <f>IFERROR(__xludf.DUMMYFUNCTION("""COMPUTED_VALUE"""),44054.0)</f>
        <v>44054</v>
      </c>
    </row>
    <row r="1248">
      <c r="A1248" s="6" t="str">
        <f>IFERROR(__xludf.DUMMYFUNCTION("""COMPUTED_VALUE"""),"201750300-2")</f>
        <v>201750300-2</v>
      </c>
      <c r="B1248" s="6" t="str">
        <f>IFERROR(__xludf.DUMMYFUNCTION("""COMPUTED_VALUE"""),"201750300 - Approved")</f>
        <v>201750300 - Approved</v>
      </c>
      <c r="C1248" s="6">
        <f>IFERROR(__xludf.DUMMYFUNCTION("""COMPUTED_VALUE"""),2.0)</f>
        <v>2</v>
      </c>
      <c r="D1248" s="6" t="str">
        <f>IFERROR(__xludf.DUMMYFUNCTION("""COMPUTED_VALUE"""),"Q-10629-00")</f>
        <v>Q-10629-00</v>
      </c>
      <c r="E1248" s="6" t="str">
        <f>IFERROR(__xludf.DUMMYFUNCTION("""COMPUTED_VALUE"""),"Cat Lantai Light Blue BAP338 BITAFLOOR")</f>
        <v>Cat Lantai Light Blue BAP338 BITAFLOOR</v>
      </c>
      <c r="F1248" s="6">
        <f>IFERROR(__xludf.DUMMYFUNCTION("""COMPUTED_VALUE"""),1.0)</f>
        <v>1</v>
      </c>
      <c r="G1248" s="6" t="str">
        <f>IFERROR(__xludf.DUMMYFUNCTION("""COMPUTED_VALUE"""),"Kilogram")</f>
        <v>Kilogram</v>
      </c>
      <c r="H1248" s="6" t="str">
        <f>IFERROR(__xludf.DUMMYFUNCTION("""COMPUTED_VALUE"""),"IDR")</f>
        <v>IDR</v>
      </c>
      <c r="I1248" s="6">
        <f>IFERROR(__xludf.DUMMYFUNCTION("""COMPUTED_VALUE"""),265000.0)</f>
        <v>265000</v>
      </c>
      <c r="J1248" s="6">
        <f>IFERROR(__xludf.DUMMYFUNCTION("""COMPUTED_VALUE"""),265000.0)</f>
        <v>265000</v>
      </c>
      <c r="K1248" s="57">
        <f>IFERROR(__xludf.DUMMYFUNCTION("""COMPUTED_VALUE"""),44050.0)</f>
        <v>44050</v>
      </c>
      <c r="L1248" s="6" t="str">
        <f>IFERROR(__xludf.DUMMYFUNCTION("""COMPUTED_VALUE"""),"FIP General")</f>
        <v>FIP General</v>
      </c>
      <c r="M1248" s="6" t="str">
        <f>IFERROR(__xludf.DUMMYFUNCTION("""COMPUTED_VALUE"""),"Irwan Sopian")</f>
        <v>Irwan Sopian</v>
      </c>
      <c r="N1248" s="6" t="str">
        <f>IFERROR(__xludf.DUMMYFUNCTION("""COMPUTED_VALUE"""),"FIP Engineering")</f>
        <v>FIP Engineering</v>
      </c>
      <c r="O1248" s="6" t="str">
        <f>IFERROR(__xludf.DUMMYFUNCTION("""COMPUTED_VALUE"""),"FIP-DOM-ENG-51502-0000000-INA-000000")</f>
        <v>FIP-DOM-ENG-51502-0000000-INA-000000</v>
      </c>
      <c r="P1248" s="6" t="str">
        <f>IFERROR(__xludf.DUMMYFUNCTION("""COMPUTED_VALUE"""),"PO Closed")</f>
        <v>PO Closed</v>
      </c>
      <c r="Q1248" s="6" t="str">
        <f>IFERROR(__xludf.DUMMYFUNCTION("""COMPUTED_VALUE"""),"GL2007045")</f>
        <v>GL2007045</v>
      </c>
      <c r="R1248" s="57">
        <f>IFERROR(__xludf.DUMMYFUNCTION("""COMPUTED_VALUE"""),44027.0)</f>
        <v>44027</v>
      </c>
      <c r="S1248" s="6" t="str">
        <f>IFERROR(__xludf.DUMMYFUNCTION("""COMPUTED_VALUE"""),"-")</f>
        <v>-</v>
      </c>
      <c r="T1248" s="57">
        <f>IFERROR(__xludf.DUMMYFUNCTION("""COMPUTED_VALUE"""),44054.0)</f>
        <v>44054</v>
      </c>
    </row>
    <row r="1249">
      <c r="A1249" s="6" t="str">
        <f>IFERROR(__xludf.DUMMYFUNCTION("""COMPUTED_VALUE"""),"201750300-3")</f>
        <v>201750300-3</v>
      </c>
      <c r="B1249" s="6" t="str">
        <f>IFERROR(__xludf.DUMMYFUNCTION("""COMPUTED_VALUE"""),"201750300 - Approved")</f>
        <v>201750300 - Approved</v>
      </c>
      <c r="C1249" s="6">
        <f>IFERROR(__xludf.DUMMYFUNCTION("""COMPUTED_VALUE"""),3.0)</f>
        <v>3</v>
      </c>
      <c r="D1249" s="6" t="str">
        <f>IFERROR(__xludf.DUMMYFUNCTION("""COMPUTED_VALUE"""),"P-17481-00")</f>
        <v>P-17481-00</v>
      </c>
      <c r="E1249" s="6" t="str">
        <f>IFERROR(__xludf.DUMMYFUNCTION("""COMPUTED_VALUE"""),"Per tekan - SS304 Dia. OD:4.5mm Pjg:55mm T:0.5mm")</f>
        <v>Per tekan - SS304 Dia. OD:4.5mm Pjg:55mm T:0.5mm</v>
      </c>
      <c r="F1249" s="6">
        <f>IFERROR(__xludf.DUMMYFUNCTION("""COMPUTED_VALUE"""),10.0)</f>
        <v>10</v>
      </c>
      <c r="G1249" s="6" t="str">
        <f>IFERROR(__xludf.DUMMYFUNCTION("""COMPUTED_VALUE"""),"Pieces")</f>
        <v>Pieces</v>
      </c>
      <c r="H1249" s="6" t="str">
        <f>IFERROR(__xludf.DUMMYFUNCTION("""COMPUTED_VALUE"""),"IDR")</f>
        <v>IDR</v>
      </c>
      <c r="I1249" s="6">
        <f>IFERROR(__xludf.DUMMYFUNCTION("""COMPUTED_VALUE"""),25000.0)</f>
        <v>25000</v>
      </c>
      <c r="J1249" s="6">
        <f>IFERROR(__xludf.DUMMYFUNCTION("""COMPUTED_VALUE"""),250000.0)</f>
        <v>250000</v>
      </c>
      <c r="K1249" s="57">
        <f>IFERROR(__xludf.DUMMYFUNCTION("""COMPUTED_VALUE"""),44050.0)</f>
        <v>44050</v>
      </c>
      <c r="L1249" s="6" t="str">
        <f>IFERROR(__xludf.DUMMYFUNCTION("""COMPUTED_VALUE"""),"FIP General")</f>
        <v>FIP General</v>
      </c>
      <c r="M1249" s="6" t="str">
        <f>IFERROR(__xludf.DUMMYFUNCTION("""COMPUTED_VALUE"""),"Irwan Sopian")</f>
        <v>Irwan Sopian</v>
      </c>
      <c r="N1249" s="6" t="str">
        <f>IFERROR(__xludf.DUMMYFUNCTION("""COMPUTED_VALUE"""),"FIP Engineering")</f>
        <v>FIP Engineering</v>
      </c>
      <c r="O1249" s="6" t="str">
        <f>IFERROR(__xludf.DUMMYFUNCTION("""COMPUTED_VALUE"""),"FIP-DOM-ENG-51504-0000000-INA-000000")</f>
        <v>FIP-DOM-ENG-51504-0000000-INA-000000</v>
      </c>
      <c r="P1249" s="6" t="str">
        <f>IFERROR(__xludf.DUMMYFUNCTION("""COMPUTED_VALUE"""),"PO Closed")</f>
        <v>PO Closed</v>
      </c>
      <c r="Q1249" s="6" t="str">
        <f>IFERROR(__xludf.DUMMYFUNCTION("""COMPUTED_VALUE"""),"GL2008005")</f>
        <v>GL2008005</v>
      </c>
      <c r="R1249" s="57">
        <f>IFERROR(__xludf.DUMMYFUNCTION("""COMPUTED_VALUE"""),44027.0)</f>
        <v>44027</v>
      </c>
      <c r="S1249" s="6" t="str">
        <f>IFERROR(__xludf.DUMMYFUNCTION("""COMPUTED_VALUE"""),"-")</f>
        <v>-</v>
      </c>
      <c r="T1249" s="57">
        <f>IFERROR(__xludf.DUMMYFUNCTION("""COMPUTED_VALUE"""),44078.0)</f>
        <v>44078</v>
      </c>
    </row>
    <row r="1250">
      <c r="A1250" s="6" t="str">
        <f>IFERROR(__xludf.DUMMYFUNCTION("""COMPUTED_VALUE"""),"201750296-2")</f>
        <v>201750296-2</v>
      </c>
      <c r="B1250" s="6" t="str">
        <f>IFERROR(__xludf.DUMMYFUNCTION("""COMPUTED_VALUE"""),"201750296 - Approved")</f>
        <v>201750296 - Approved</v>
      </c>
      <c r="C1250" s="6">
        <f>IFERROR(__xludf.DUMMYFUNCTION("""COMPUTED_VALUE"""),2.0)</f>
        <v>2</v>
      </c>
      <c r="D1250" s="6" t="str">
        <f>IFERROR(__xludf.DUMMYFUNCTION("""COMPUTED_VALUE"""),"P-12260-00")</f>
        <v>P-12260-00</v>
      </c>
      <c r="E1250" s="6" t="str">
        <f>IFERROR(__xludf.DUMMYFUNCTION("""COMPUTED_VALUE"""),"FESTO - Push In Connector QS-4-4")</f>
        <v>FESTO - Push In Connector QS-4-4</v>
      </c>
      <c r="F1250" s="6">
        <f>IFERROR(__xludf.DUMMYFUNCTION("""COMPUTED_VALUE"""),10.0)</f>
        <v>10</v>
      </c>
      <c r="G1250" s="6" t="str">
        <f>IFERROR(__xludf.DUMMYFUNCTION("""COMPUTED_VALUE"""),"Pieces")</f>
        <v>Pieces</v>
      </c>
      <c r="H1250" s="6" t="str">
        <f>IFERROR(__xludf.DUMMYFUNCTION("""COMPUTED_VALUE"""),"IDR")</f>
        <v>IDR</v>
      </c>
      <c r="I1250" s="6">
        <f>IFERROR(__xludf.DUMMYFUNCTION("""COMPUTED_VALUE"""),42348.0)</f>
        <v>42348</v>
      </c>
      <c r="J1250" s="6">
        <f>IFERROR(__xludf.DUMMYFUNCTION("""COMPUTED_VALUE"""),423480.0)</f>
        <v>423480</v>
      </c>
      <c r="K1250" s="57">
        <f>IFERROR(__xludf.DUMMYFUNCTION("""COMPUTED_VALUE"""),44057.0)</f>
        <v>44057</v>
      </c>
      <c r="L1250" s="6" t="str">
        <f>IFERROR(__xludf.DUMMYFUNCTION("""COMPUTED_VALUE"""),"FIP Engineering")</f>
        <v>FIP Engineering</v>
      </c>
      <c r="M1250" s="6" t="str">
        <f>IFERROR(__xludf.DUMMYFUNCTION("""COMPUTED_VALUE"""),"Irwan Sopian")</f>
        <v>Irwan Sopian</v>
      </c>
      <c r="N1250" s="6" t="str">
        <f>IFERROR(__xludf.DUMMYFUNCTION("""COMPUTED_VALUE"""),"FIP Engineering")</f>
        <v>FIP Engineering</v>
      </c>
      <c r="O1250" s="6" t="str">
        <f>IFERROR(__xludf.DUMMYFUNCTION("""COMPUTED_VALUE"""),"FIP-DOM-000-11304-OS00001-INA-000000")</f>
        <v>FIP-DOM-000-11304-OS00001-INA-000000</v>
      </c>
      <c r="P1250" s="6" t="str">
        <f>IFERROR(__xludf.DUMMYFUNCTION("""COMPUTED_VALUE"""),"PO Closed")</f>
        <v>PO Closed</v>
      </c>
      <c r="Q1250" s="6" t="str">
        <f>IFERROR(__xludf.DUMMYFUNCTION("""COMPUTED_VALUE"""),"GL2007046")</f>
        <v>GL2007046</v>
      </c>
      <c r="R1250" s="57">
        <f>IFERROR(__xludf.DUMMYFUNCTION("""COMPUTED_VALUE"""),44027.0)</f>
        <v>44027</v>
      </c>
      <c r="S1250" s="6" t="str">
        <f>IFERROR(__xludf.DUMMYFUNCTION("""COMPUTED_VALUE"""),"-")</f>
        <v>-</v>
      </c>
      <c r="T1250" s="57">
        <f>IFERROR(__xludf.DUMMYFUNCTION("""COMPUTED_VALUE"""),44064.0)</f>
        <v>44064</v>
      </c>
    </row>
    <row r="1251">
      <c r="A1251" s="6" t="str">
        <f>IFERROR(__xludf.DUMMYFUNCTION("""COMPUTED_VALUE"""),"201750305-1")</f>
        <v>201750305-1</v>
      </c>
      <c r="B1251" s="6" t="str">
        <f>IFERROR(__xludf.DUMMYFUNCTION("""COMPUTED_VALUE"""),"201750305 - Approved")</f>
        <v>201750305 - Approved</v>
      </c>
      <c r="C1251" s="6">
        <f>IFERROR(__xludf.DUMMYFUNCTION("""COMPUTED_VALUE"""),1.0)</f>
        <v>1</v>
      </c>
      <c r="D1251" s="6" t="str">
        <f>IFERROR(__xludf.DUMMYFUNCTION("""COMPUTED_VALUE"""),"T-20646-00")</f>
        <v>T-20646-00</v>
      </c>
      <c r="E1251" s="6" t="str">
        <f>IFERROR(__xludf.DUMMYFUNCTION("""COMPUTED_VALUE"""),"Performanceplus Vacdeg Chamber Stented p/n: 700011709 Waters700011709")</f>
        <v>Performanceplus Vacdeg Chamber Stented p/n: 700011709 Waters700011709</v>
      </c>
      <c r="F1251" s="6">
        <f>IFERROR(__xludf.DUMMYFUNCTION("""COMPUTED_VALUE"""),1.0)</f>
        <v>1</v>
      </c>
      <c r="G1251" s="6" t="str">
        <f>IFERROR(__xludf.DUMMYFUNCTION("""COMPUTED_VALUE"""),"Pieces")</f>
        <v>Pieces</v>
      </c>
      <c r="H1251" s="6" t="str">
        <f>IFERROR(__xludf.DUMMYFUNCTION("""COMPUTED_VALUE"""),"EUR")</f>
        <v>EUR</v>
      </c>
      <c r="I1251" s="6">
        <f>IFERROR(__xludf.DUMMYFUNCTION("""COMPUTED_VALUE"""),731.5)</f>
        <v>731.5</v>
      </c>
      <c r="J1251" s="6">
        <f>IFERROR(__xludf.DUMMYFUNCTION("""COMPUTED_VALUE"""),731.5)</f>
        <v>731.5</v>
      </c>
      <c r="K1251" s="57">
        <f>IFERROR(__xludf.DUMMYFUNCTION("""COMPUTED_VALUE"""),44071.0)</f>
        <v>44071</v>
      </c>
      <c r="L1251" s="6" t="str">
        <f>IFERROR(__xludf.DUMMYFUNCTION("""COMPUTED_VALUE"""),"FIP General")</f>
        <v>FIP General</v>
      </c>
      <c r="M1251" s="6" t="str">
        <f>IFERROR(__xludf.DUMMYFUNCTION("""COMPUTED_VALUE"""),"Irwan Sopian")</f>
        <v>Irwan Sopian</v>
      </c>
      <c r="N1251" s="6" t="str">
        <f>IFERROR(__xludf.DUMMYFUNCTION("""COMPUTED_VALUE"""),"FIP Engineering")</f>
        <v>FIP Engineering</v>
      </c>
      <c r="O1251" s="6" t="str">
        <f>IFERROR(__xludf.DUMMYFUNCTION("""COMPUTED_VALUE"""),"FIP-DOM-ENG-51505-0000000-INA-000000")</f>
        <v>FIP-DOM-ENG-51505-0000000-INA-000000</v>
      </c>
      <c r="P1251" s="6" t="str">
        <f>IFERROR(__xludf.DUMMYFUNCTION("""COMPUTED_VALUE"""),"PO Closed")</f>
        <v>PO Closed</v>
      </c>
      <c r="Q1251" s="6" t="str">
        <f>IFERROR(__xludf.DUMMYFUNCTION("""COMPUTED_VALUE"""),"GL2008015")</f>
        <v>GL2008015</v>
      </c>
      <c r="R1251" s="57">
        <f>IFERROR(__xludf.DUMMYFUNCTION("""COMPUTED_VALUE"""),44035.0)</f>
        <v>44035</v>
      </c>
      <c r="S1251" s="6" t="str">
        <f>IFERROR(__xludf.DUMMYFUNCTION("""COMPUTED_VALUE"""),"-")</f>
        <v>-</v>
      </c>
      <c r="T1251" s="57">
        <f>IFERROR(__xludf.DUMMYFUNCTION("""COMPUTED_VALUE"""),44085.0)</f>
        <v>44085</v>
      </c>
    </row>
    <row r="1252">
      <c r="A1252" s="6" t="str">
        <f>IFERROR(__xludf.DUMMYFUNCTION("""COMPUTED_VALUE"""),"201750307-1")</f>
        <v>201750307-1</v>
      </c>
      <c r="B1252" s="6" t="str">
        <f>IFERROR(__xludf.DUMMYFUNCTION("""COMPUTED_VALUE"""),"201750307 - Approved")</f>
        <v>201750307 - Approved</v>
      </c>
      <c r="C1252" s="6">
        <f>IFERROR(__xludf.DUMMYFUNCTION("""COMPUTED_VALUE"""),1.0)</f>
        <v>1</v>
      </c>
      <c r="D1252" s="6" t="str">
        <f>IFERROR(__xludf.DUMMYFUNCTION("""COMPUTED_VALUE"""),"Q-10829-00")</f>
        <v>Q-10829-00</v>
      </c>
      <c r="E1252" s="6" t="str">
        <f>IFERROR(__xludf.DUMMYFUNCTION("""COMPUTED_VALUE"""),"Cat Ambiance Lakestone 44537M Tinting Dulux")</f>
        <v>Cat Ambiance Lakestone 44537M Tinting Dulux</v>
      </c>
      <c r="F1252" s="6">
        <f>IFERROR(__xludf.DUMMYFUNCTION("""COMPUTED_VALUE"""),1.0)</f>
        <v>1</v>
      </c>
      <c r="G1252" s="6" t="str">
        <f>IFERROR(__xludf.DUMMYFUNCTION("""COMPUTED_VALUE"""),"Pieces")</f>
        <v>Pieces</v>
      </c>
      <c r="H1252" s="6" t="str">
        <f>IFERROR(__xludf.DUMMYFUNCTION("""COMPUTED_VALUE"""),"IDR")</f>
        <v>IDR</v>
      </c>
      <c r="I1252" s="6">
        <f>IFERROR(__xludf.DUMMYFUNCTION("""COMPUTED_VALUE"""),315000.0)</f>
        <v>315000</v>
      </c>
      <c r="J1252" s="6">
        <f>IFERROR(__xludf.DUMMYFUNCTION("""COMPUTED_VALUE"""),315000.0)</f>
        <v>315000</v>
      </c>
      <c r="K1252" s="57">
        <f>IFERROR(__xludf.DUMMYFUNCTION("""COMPUTED_VALUE"""),44165.0)</f>
        <v>44165</v>
      </c>
      <c r="L1252" s="6" t="str">
        <f>IFERROR(__xludf.DUMMYFUNCTION("""COMPUTED_VALUE"""),"FIP General")</f>
        <v>FIP General</v>
      </c>
      <c r="M1252" s="6" t="str">
        <f>IFERROR(__xludf.DUMMYFUNCTION("""COMPUTED_VALUE"""),"Irwan Sopian")</f>
        <v>Irwan Sopian</v>
      </c>
      <c r="N1252" s="6" t="str">
        <f>IFERROR(__xludf.DUMMYFUNCTION("""COMPUTED_VALUE"""),"FIP Engineering")</f>
        <v>FIP Engineering</v>
      </c>
      <c r="O1252" s="6" t="str">
        <f>IFERROR(__xludf.DUMMYFUNCTION("""COMPUTED_VALUE"""),"FIP-DOM-ENG-51502-0000000-INA-000000")</f>
        <v>FIP-DOM-ENG-51502-0000000-INA-000000</v>
      </c>
      <c r="P1252" s="6" t="str">
        <f>IFERROR(__xludf.DUMMYFUNCTION("""COMPUTED_VALUE"""),"PO Closed")</f>
        <v>PO Closed</v>
      </c>
      <c r="Q1252" s="6" t="str">
        <f>IFERROR(__xludf.DUMMYFUNCTION("""COMPUTED_VALUE"""),"GL2011023")</f>
        <v>GL2011023</v>
      </c>
      <c r="R1252" s="57">
        <f>IFERROR(__xludf.DUMMYFUNCTION("""COMPUTED_VALUE"""),44040.0)</f>
        <v>44040</v>
      </c>
      <c r="S1252" s="6" t="str">
        <f>IFERROR(__xludf.DUMMYFUNCTION("""COMPUTED_VALUE"""),"-")</f>
        <v>-</v>
      </c>
      <c r="T1252" s="57">
        <f>IFERROR(__xludf.DUMMYFUNCTION("""COMPUTED_VALUE"""),44170.0)</f>
        <v>44170</v>
      </c>
    </row>
    <row r="1253">
      <c r="A1253" s="6" t="str">
        <f>IFERROR(__xludf.DUMMYFUNCTION("""COMPUTED_VALUE"""),"201750307-2")</f>
        <v>201750307-2</v>
      </c>
      <c r="B1253" s="6" t="str">
        <f>IFERROR(__xludf.DUMMYFUNCTION("""COMPUTED_VALUE"""),"201750307 - Approved")</f>
        <v>201750307 - Approved</v>
      </c>
      <c r="C1253" s="6">
        <f>IFERROR(__xludf.DUMMYFUNCTION("""COMPUTED_VALUE"""),2.0)</f>
        <v>2</v>
      </c>
      <c r="D1253" s="6" t="str">
        <f>IFERROR(__xludf.DUMMYFUNCTION("""COMPUTED_VALUE"""),"Q-10828-00")</f>
        <v>Q-10828-00</v>
      </c>
      <c r="E1253" s="6" t="str">
        <f>IFERROR(__xludf.DUMMYFUNCTION("""COMPUTED_VALUE"""),"Plastik AC 0,5-2 PK @5 meter; ; ;")</f>
        <v>Plastik AC 0,5-2 PK @5 meter; ; ;</v>
      </c>
      <c r="F1253" s="6">
        <f>IFERROR(__xludf.DUMMYFUNCTION("""COMPUTED_VALUE"""),1.0)</f>
        <v>1</v>
      </c>
      <c r="G1253" s="6" t="str">
        <f>IFERROR(__xludf.DUMMYFUNCTION("""COMPUTED_VALUE"""),"Pieces")</f>
        <v>Pieces</v>
      </c>
      <c r="H1253" s="6" t="str">
        <f>IFERROR(__xludf.DUMMYFUNCTION("""COMPUTED_VALUE"""),"IDR")</f>
        <v>IDR</v>
      </c>
      <c r="I1253" s="6">
        <f>IFERROR(__xludf.DUMMYFUNCTION("""COMPUTED_VALUE"""),125000.0)</f>
        <v>125000</v>
      </c>
      <c r="J1253" s="6">
        <f>IFERROR(__xludf.DUMMYFUNCTION("""COMPUTED_VALUE"""),125000.0)</f>
        <v>125000</v>
      </c>
      <c r="K1253" s="57">
        <f>IFERROR(__xludf.DUMMYFUNCTION("""COMPUTED_VALUE"""),44165.0)</f>
        <v>44165</v>
      </c>
      <c r="L1253" s="6" t="str">
        <f>IFERROR(__xludf.DUMMYFUNCTION("""COMPUTED_VALUE"""),"FIP General")</f>
        <v>FIP General</v>
      </c>
      <c r="M1253" s="6" t="str">
        <f>IFERROR(__xludf.DUMMYFUNCTION("""COMPUTED_VALUE"""),"Irwan Sopian")</f>
        <v>Irwan Sopian</v>
      </c>
      <c r="N1253" s="6" t="str">
        <f>IFERROR(__xludf.DUMMYFUNCTION("""COMPUTED_VALUE"""),"FIP Engineering")</f>
        <v>FIP Engineering</v>
      </c>
      <c r="O1253" s="6" t="str">
        <f>IFERROR(__xludf.DUMMYFUNCTION("""COMPUTED_VALUE"""),"FIP-DOM-ENG-51502-0000000-INA-000000")</f>
        <v>FIP-DOM-ENG-51502-0000000-INA-000000</v>
      </c>
      <c r="P1253" s="6" t="str">
        <f>IFERROR(__xludf.DUMMYFUNCTION("""COMPUTED_VALUE"""),"PO Closed")</f>
        <v>PO Closed</v>
      </c>
      <c r="Q1253" s="6" t="str">
        <f>IFERROR(__xludf.DUMMYFUNCTION("""COMPUTED_VALUE"""),"GL2011023")</f>
        <v>GL2011023</v>
      </c>
      <c r="R1253" s="57">
        <f>IFERROR(__xludf.DUMMYFUNCTION("""COMPUTED_VALUE"""),44040.0)</f>
        <v>44040</v>
      </c>
      <c r="S1253" s="6" t="str">
        <f>IFERROR(__xludf.DUMMYFUNCTION("""COMPUTED_VALUE"""),"-")</f>
        <v>-</v>
      </c>
      <c r="T1253" s="57">
        <f>IFERROR(__xludf.DUMMYFUNCTION("""COMPUTED_VALUE"""),44170.0)</f>
        <v>44170</v>
      </c>
    </row>
    <row r="1254">
      <c r="A1254" s="6" t="str">
        <f>IFERROR(__xludf.DUMMYFUNCTION("""COMPUTED_VALUE"""),"201750307-3")</f>
        <v>201750307-3</v>
      </c>
      <c r="B1254" s="6" t="str">
        <f>IFERROR(__xludf.DUMMYFUNCTION("""COMPUTED_VALUE"""),"201750307 - Approved")</f>
        <v>201750307 - Approved</v>
      </c>
      <c r="C1254" s="6">
        <f>IFERROR(__xludf.DUMMYFUNCTION("""COMPUTED_VALUE"""),3.0)</f>
        <v>3</v>
      </c>
      <c r="D1254" s="6" t="str">
        <f>IFERROR(__xludf.DUMMYFUNCTION("""COMPUTED_VALUE"""),"Q-10827-00")</f>
        <v>Q-10827-00</v>
      </c>
      <c r="E1254" s="6" t="str">
        <f>IFERROR(__xludf.DUMMYFUNCTION("""COMPUTED_VALUE"""),"Jet Gun For Cleaning AC")</f>
        <v>Jet Gun For Cleaning AC</v>
      </c>
      <c r="F1254" s="6">
        <f>IFERROR(__xludf.DUMMYFUNCTION("""COMPUTED_VALUE"""),1.0)</f>
        <v>1</v>
      </c>
      <c r="G1254" s="6" t="str">
        <f>IFERROR(__xludf.DUMMYFUNCTION("""COMPUTED_VALUE"""),"Pieces")</f>
        <v>Pieces</v>
      </c>
      <c r="H1254" s="6" t="str">
        <f>IFERROR(__xludf.DUMMYFUNCTION("""COMPUTED_VALUE"""),"IDR")</f>
        <v>IDR</v>
      </c>
      <c r="I1254" s="6">
        <f>IFERROR(__xludf.DUMMYFUNCTION("""COMPUTED_VALUE"""),130000.0)</f>
        <v>130000</v>
      </c>
      <c r="J1254" s="6">
        <f>IFERROR(__xludf.DUMMYFUNCTION("""COMPUTED_VALUE"""),130000.0)</f>
        <v>130000</v>
      </c>
      <c r="K1254" s="57">
        <f>IFERROR(__xludf.DUMMYFUNCTION("""COMPUTED_VALUE"""),44165.0)</f>
        <v>44165</v>
      </c>
      <c r="L1254" s="6" t="str">
        <f>IFERROR(__xludf.DUMMYFUNCTION("""COMPUTED_VALUE"""),"FIP General")</f>
        <v>FIP General</v>
      </c>
      <c r="M1254" s="6" t="str">
        <f>IFERROR(__xludf.DUMMYFUNCTION("""COMPUTED_VALUE"""),"Irwan Sopian")</f>
        <v>Irwan Sopian</v>
      </c>
      <c r="N1254" s="6" t="str">
        <f>IFERROR(__xludf.DUMMYFUNCTION("""COMPUTED_VALUE"""),"FIP Engineering")</f>
        <v>FIP Engineering</v>
      </c>
      <c r="O1254" s="6" t="str">
        <f>IFERROR(__xludf.DUMMYFUNCTION("""COMPUTED_VALUE"""),"FIP-DOM-ENG-51502-0000000-INA-000000")</f>
        <v>FIP-DOM-ENG-51502-0000000-INA-000000</v>
      </c>
      <c r="P1254" s="6" t="str">
        <f>IFERROR(__xludf.DUMMYFUNCTION("""COMPUTED_VALUE"""),"PO Closed")</f>
        <v>PO Closed</v>
      </c>
      <c r="Q1254" s="6" t="str">
        <f>IFERROR(__xludf.DUMMYFUNCTION("""COMPUTED_VALUE"""),"GL2011023")</f>
        <v>GL2011023</v>
      </c>
      <c r="R1254" s="57">
        <f>IFERROR(__xludf.DUMMYFUNCTION("""COMPUTED_VALUE"""),44040.0)</f>
        <v>44040</v>
      </c>
      <c r="S1254" s="6" t="str">
        <f>IFERROR(__xludf.DUMMYFUNCTION("""COMPUTED_VALUE"""),"-")</f>
        <v>-</v>
      </c>
      <c r="T1254" s="57">
        <f>IFERROR(__xludf.DUMMYFUNCTION("""COMPUTED_VALUE"""),44170.0)</f>
        <v>44170</v>
      </c>
    </row>
    <row r="1255">
      <c r="A1255" s="6" t="str">
        <f>IFERROR(__xludf.DUMMYFUNCTION("""COMPUTED_VALUE"""),"201750307-4")</f>
        <v>201750307-4</v>
      </c>
      <c r="B1255" s="6" t="str">
        <f>IFERROR(__xludf.DUMMYFUNCTION("""COMPUTED_VALUE"""),"201750307 - Approved")</f>
        <v>201750307 - Approved</v>
      </c>
      <c r="C1255" s="6">
        <f>IFERROR(__xludf.DUMMYFUNCTION("""COMPUTED_VALUE"""),4.0)</f>
        <v>4</v>
      </c>
      <c r="D1255" s="6" t="str">
        <f>IFERROR(__xludf.DUMMYFUNCTION("""COMPUTED_VALUE"""),"P-52375-00")</f>
        <v>P-52375-00</v>
      </c>
      <c r="E1255" s="6" t="str">
        <f>IFERROR(__xludf.DUMMYFUNCTION("""COMPUTED_VALUE"""),"SCHNEIDER - MCB 4A 1Phase")</f>
        <v>SCHNEIDER - MCB 4A 1Phase</v>
      </c>
      <c r="F1255" s="6">
        <f>IFERROR(__xludf.DUMMYFUNCTION("""COMPUTED_VALUE"""),3.0)</f>
        <v>3</v>
      </c>
      <c r="G1255" s="6" t="str">
        <f>IFERROR(__xludf.DUMMYFUNCTION("""COMPUTED_VALUE"""),"Pieces")</f>
        <v>Pieces</v>
      </c>
      <c r="H1255" s="6" t="str">
        <f>IFERROR(__xludf.DUMMYFUNCTION("""COMPUTED_VALUE"""),"IDR")</f>
        <v>IDR</v>
      </c>
      <c r="I1255" s="6">
        <f>IFERROR(__xludf.DUMMYFUNCTION("""COMPUTED_VALUE"""),150000.0)</f>
        <v>150000</v>
      </c>
      <c r="J1255" s="6">
        <f>IFERROR(__xludf.DUMMYFUNCTION("""COMPUTED_VALUE"""),450000.0)</f>
        <v>450000</v>
      </c>
      <c r="K1255" s="57">
        <f>IFERROR(__xludf.DUMMYFUNCTION("""COMPUTED_VALUE"""),44165.0)</f>
        <v>44165</v>
      </c>
      <c r="L1255" s="6" t="str">
        <f>IFERROR(__xludf.DUMMYFUNCTION("""COMPUTED_VALUE"""),"FIP Engineering")</f>
        <v>FIP Engineering</v>
      </c>
      <c r="M1255" s="6" t="str">
        <f>IFERROR(__xludf.DUMMYFUNCTION("""COMPUTED_VALUE"""),"Irwan Sopian")</f>
        <v>Irwan Sopian</v>
      </c>
      <c r="N1255" s="6" t="str">
        <f>IFERROR(__xludf.DUMMYFUNCTION("""COMPUTED_VALUE"""),"FIP Engineering")</f>
        <v>FIP Engineering</v>
      </c>
      <c r="O1255" s="6" t="str">
        <f>IFERROR(__xludf.DUMMYFUNCTION("""COMPUTED_VALUE"""),"FIP-DOM-000-11304-OS00001-INA-000000")</f>
        <v>FIP-DOM-000-11304-OS00001-INA-000000</v>
      </c>
      <c r="P1255" s="6" t="str">
        <f>IFERROR(__xludf.DUMMYFUNCTION("""COMPUTED_VALUE"""),"PO Closed")</f>
        <v>PO Closed</v>
      </c>
      <c r="Q1255" s="6" t="str">
        <f>IFERROR(__xludf.DUMMYFUNCTION("""COMPUTED_VALUE"""),"GL2011040")</f>
        <v>GL2011040</v>
      </c>
      <c r="R1255" s="57">
        <f>IFERROR(__xludf.DUMMYFUNCTION("""COMPUTED_VALUE"""),44040.0)</f>
        <v>44040</v>
      </c>
      <c r="S1255" s="6" t="str">
        <f>IFERROR(__xludf.DUMMYFUNCTION("""COMPUTED_VALUE"""),"-")</f>
        <v>-</v>
      </c>
      <c r="T1255" s="57">
        <f>IFERROR(__xludf.DUMMYFUNCTION("""COMPUTED_VALUE"""),44169.0)</f>
        <v>44169</v>
      </c>
    </row>
    <row r="1256">
      <c r="A1256" s="6" t="str">
        <f>IFERROR(__xludf.DUMMYFUNCTION("""COMPUTED_VALUE"""),"201750307-5")</f>
        <v>201750307-5</v>
      </c>
      <c r="B1256" s="6" t="str">
        <f>IFERROR(__xludf.DUMMYFUNCTION("""COMPUTED_VALUE"""),"201750307 - Approved")</f>
        <v>201750307 - Approved</v>
      </c>
      <c r="C1256" s="6">
        <f>IFERROR(__xludf.DUMMYFUNCTION("""COMPUTED_VALUE"""),5.0)</f>
        <v>5</v>
      </c>
      <c r="D1256" s="6" t="str">
        <f>IFERROR(__xludf.DUMMYFUNCTION("""COMPUTED_VALUE"""),"P-52374-00")</f>
        <v>P-52374-00</v>
      </c>
      <c r="E1256" s="6" t="str">
        <f>IFERROR(__xludf.DUMMYFUNCTION("""COMPUTED_VALUE"""),"SCHNEIDER - MCB 4A 2Phase")</f>
        <v>SCHNEIDER - MCB 4A 2Phase</v>
      </c>
      <c r="F1256" s="6">
        <f>IFERROR(__xludf.DUMMYFUNCTION("""COMPUTED_VALUE"""),3.0)</f>
        <v>3</v>
      </c>
      <c r="G1256" s="6" t="str">
        <f>IFERROR(__xludf.DUMMYFUNCTION("""COMPUTED_VALUE"""),"Pieces")</f>
        <v>Pieces</v>
      </c>
      <c r="H1256" s="6" t="str">
        <f>IFERROR(__xludf.DUMMYFUNCTION("""COMPUTED_VALUE"""),"IDR")</f>
        <v>IDR</v>
      </c>
      <c r="I1256" s="6">
        <f>IFERROR(__xludf.DUMMYFUNCTION("""COMPUTED_VALUE"""),175000.0)</f>
        <v>175000</v>
      </c>
      <c r="J1256" s="6">
        <f>IFERROR(__xludf.DUMMYFUNCTION("""COMPUTED_VALUE"""),525000.0)</f>
        <v>525000</v>
      </c>
      <c r="K1256" s="57">
        <f>IFERROR(__xludf.DUMMYFUNCTION("""COMPUTED_VALUE"""),44165.0)</f>
        <v>44165</v>
      </c>
      <c r="L1256" s="6" t="str">
        <f>IFERROR(__xludf.DUMMYFUNCTION("""COMPUTED_VALUE"""),"FIP Engineering")</f>
        <v>FIP Engineering</v>
      </c>
      <c r="M1256" s="6" t="str">
        <f>IFERROR(__xludf.DUMMYFUNCTION("""COMPUTED_VALUE"""),"Irwan Sopian")</f>
        <v>Irwan Sopian</v>
      </c>
      <c r="N1256" s="6" t="str">
        <f>IFERROR(__xludf.DUMMYFUNCTION("""COMPUTED_VALUE"""),"FIP Engineering")</f>
        <v>FIP Engineering</v>
      </c>
      <c r="O1256" s="6" t="str">
        <f>IFERROR(__xludf.DUMMYFUNCTION("""COMPUTED_VALUE"""),"FIP-DOM-000-11304-OS00001-INA-000000")</f>
        <v>FIP-DOM-000-11304-OS00001-INA-000000</v>
      </c>
      <c r="P1256" s="6" t="str">
        <f>IFERROR(__xludf.DUMMYFUNCTION("""COMPUTED_VALUE"""),"PO Closed")</f>
        <v>PO Closed</v>
      </c>
      <c r="Q1256" s="6" t="str">
        <f>IFERROR(__xludf.DUMMYFUNCTION("""COMPUTED_VALUE"""),"GL2011040")</f>
        <v>GL2011040</v>
      </c>
      <c r="R1256" s="57">
        <f>IFERROR(__xludf.DUMMYFUNCTION("""COMPUTED_VALUE"""),44040.0)</f>
        <v>44040</v>
      </c>
      <c r="S1256" s="6" t="str">
        <f>IFERROR(__xludf.DUMMYFUNCTION("""COMPUTED_VALUE"""),"-")</f>
        <v>-</v>
      </c>
      <c r="T1256" s="57">
        <f>IFERROR(__xludf.DUMMYFUNCTION("""COMPUTED_VALUE"""),44169.0)</f>
        <v>44169</v>
      </c>
    </row>
    <row r="1257">
      <c r="A1257" s="6" t="str">
        <f>IFERROR(__xludf.DUMMYFUNCTION("""COMPUTED_VALUE"""),"201750307-6")</f>
        <v>201750307-6</v>
      </c>
      <c r="B1257" s="6" t="str">
        <f>IFERROR(__xludf.DUMMYFUNCTION("""COMPUTED_VALUE"""),"201750307 - Approved")</f>
        <v>201750307 - Approved</v>
      </c>
      <c r="C1257" s="6">
        <f>IFERROR(__xludf.DUMMYFUNCTION("""COMPUTED_VALUE"""),6.0)</f>
        <v>6</v>
      </c>
      <c r="D1257" s="6" t="str">
        <f>IFERROR(__xludf.DUMMYFUNCTION("""COMPUTED_VALUE"""),"Q-10510-00")</f>
        <v>Q-10510-00</v>
      </c>
      <c r="E1257" s="6" t="str">
        <f>IFERROR(__xludf.DUMMYFUNCTION("""COMPUTED_VALUE"""),"Junction Box Plastik 12x12x10 cm")</f>
        <v>Junction Box Plastik 12x12x10 cm</v>
      </c>
      <c r="F1257" s="6">
        <f>IFERROR(__xludf.DUMMYFUNCTION("""COMPUTED_VALUE"""),3.0)</f>
        <v>3</v>
      </c>
      <c r="G1257" s="6" t="str">
        <f>IFERROR(__xludf.DUMMYFUNCTION("""COMPUTED_VALUE"""),"Pieces")</f>
        <v>Pieces</v>
      </c>
      <c r="H1257" s="6" t="str">
        <f>IFERROR(__xludf.DUMMYFUNCTION("""COMPUTED_VALUE"""),"IDR")</f>
        <v>IDR</v>
      </c>
      <c r="I1257" s="6">
        <f>IFERROR(__xludf.DUMMYFUNCTION("""COMPUTED_VALUE"""),405000.0)</f>
        <v>405000</v>
      </c>
      <c r="J1257" s="6">
        <f>IFERROR(__xludf.DUMMYFUNCTION("""COMPUTED_VALUE"""),1215000.0)</f>
        <v>1215000</v>
      </c>
      <c r="K1257" s="57">
        <f>IFERROR(__xludf.DUMMYFUNCTION("""COMPUTED_VALUE"""),44165.0)</f>
        <v>44165</v>
      </c>
      <c r="L1257" s="6" t="str">
        <f>IFERROR(__xludf.DUMMYFUNCTION("""COMPUTED_VALUE"""),"FIP General")</f>
        <v>FIP General</v>
      </c>
      <c r="M1257" s="6" t="str">
        <f>IFERROR(__xludf.DUMMYFUNCTION("""COMPUTED_VALUE"""),"Irwan Sopian")</f>
        <v>Irwan Sopian</v>
      </c>
      <c r="N1257" s="6" t="str">
        <f>IFERROR(__xludf.DUMMYFUNCTION("""COMPUTED_VALUE"""),"FIP Engineering")</f>
        <v>FIP Engineering</v>
      </c>
      <c r="O1257" s="6" t="str">
        <f>IFERROR(__xludf.DUMMYFUNCTION("""COMPUTED_VALUE"""),"FIP-DOM-ENG-51502-0000000-INA-000000")</f>
        <v>FIP-DOM-ENG-51502-0000000-INA-000000</v>
      </c>
      <c r="P1257" s="6" t="str">
        <f>IFERROR(__xludf.DUMMYFUNCTION("""COMPUTED_VALUE"""),"PO Closed")</f>
        <v>PO Closed</v>
      </c>
      <c r="Q1257" s="6" t="str">
        <f>IFERROR(__xludf.DUMMYFUNCTION("""COMPUTED_VALUE"""),"GL2011023")</f>
        <v>GL2011023</v>
      </c>
      <c r="R1257" s="57">
        <f>IFERROR(__xludf.DUMMYFUNCTION("""COMPUTED_VALUE"""),44040.0)</f>
        <v>44040</v>
      </c>
      <c r="S1257" s="6" t="str">
        <f>IFERROR(__xludf.DUMMYFUNCTION("""COMPUTED_VALUE"""),"-")</f>
        <v>-</v>
      </c>
      <c r="T1257" s="57">
        <f>IFERROR(__xludf.DUMMYFUNCTION("""COMPUTED_VALUE"""),44170.0)</f>
        <v>44170</v>
      </c>
    </row>
    <row r="1258">
      <c r="A1258" s="6" t="str">
        <f>IFERROR(__xludf.DUMMYFUNCTION("""COMPUTED_VALUE"""),"201750307-7")</f>
        <v>201750307-7</v>
      </c>
      <c r="B1258" s="6" t="str">
        <f>IFERROR(__xludf.DUMMYFUNCTION("""COMPUTED_VALUE"""),"201750307 - Approved")</f>
        <v>201750307 - Approved</v>
      </c>
      <c r="C1258" s="6">
        <f>IFERROR(__xludf.DUMMYFUNCTION("""COMPUTED_VALUE"""),7.0)</f>
        <v>7</v>
      </c>
      <c r="D1258" s="6" t="str">
        <f>IFERROR(__xludf.DUMMYFUNCTION("""COMPUTED_VALUE"""),"Q-10128-00")</f>
        <v>Q-10128-00</v>
      </c>
      <c r="E1258" s="6" t="str">
        <f>IFERROR(__xludf.DUMMYFUNCTION("""COMPUTED_VALUE"""),"Thinner Super End/Impala")</f>
        <v>Thinner Super End/Impala</v>
      </c>
      <c r="F1258" s="6">
        <f>IFERROR(__xludf.DUMMYFUNCTION("""COMPUTED_VALUE"""),2.0)</f>
        <v>2</v>
      </c>
      <c r="G1258" s="6" t="str">
        <f>IFERROR(__xludf.DUMMYFUNCTION("""COMPUTED_VALUE"""),"Pieces")</f>
        <v>Pieces</v>
      </c>
      <c r="H1258" s="6" t="str">
        <f>IFERROR(__xludf.DUMMYFUNCTION("""COMPUTED_VALUE"""),"IDR")</f>
        <v>IDR</v>
      </c>
      <c r="I1258" s="6">
        <f>IFERROR(__xludf.DUMMYFUNCTION("""COMPUTED_VALUE"""),115000.0)</f>
        <v>115000</v>
      </c>
      <c r="J1258" s="6">
        <f>IFERROR(__xludf.DUMMYFUNCTION("""COMPUTED_VALUE"""),230000.0)</f>
        <v>230000</v>
      </c>
      <c r="K1258" s="57">
        <f>IFERROR(__xludf.DUMMYFUNCTION("""COMPUTED_VALUE"""),44165.0)</f>
        <v>44165</v>
      </c>
      <c r="L1258" s="6" t="str">
        <f>IFERROR(__xludf.DUMMYFUNCTION("""COMPUTED_VALUE"""),"FIP Engineering")</f>
        <v>FIP Engineering</v>
      </c>
      <c r="M1258" s="6" t="str">
        <f>IFERROR(__xludf.DUMMYFUNCTION("""COMPUTED_VALUE"""),"Irwan Sopian")</f>
        <v>Irwan Sopian</v>
      </c>
      <c r="N1258" s="6" t="str">
        <f>IFERROR(__xludf.DUMMYFUNCTION("""COMPUTED_VALUE"""),"FIP Engineering")</f>
        <v>FIP Engineering</v>
      </c>
      <c r="O1258" s="6" t="str">
        <f>IFERROR(__xludf.DUMMYFUNCTION("""COMPUTED_VALUE"""),"FIP-DOM-000-11304-OS00001-INA-000000")</f>
        <v>FIP-DOM-000-11304-OS00001-INA-000000</v>
      </c>
      <c r="P1258" s="6" t="str">
        <f>IFERROR(__xludf.DUMMYFUNCTION("""COMPUTED_VALUE"""),"PO Closed")</f>
        <v>PO Closed</v>
      </c>
      <c r="Q1258" s="6" t="str">
        <f>IFERROR(__xludf.DUMMYFUNCTION("""COMPUTED_VALUE"""),"GL2011023")</f>
        <v>GL2011023</v>
      </c>
      <c r="R1258" s="57">
        <f>IFERROR(__xludf.DUMMYFUNCTION("""COMPUTED_VALUE"""),44040.0)</f>
        <v>44040</v>
      </c>
      <c r="S1258" s="6" t="str">
        <f>IFERROR(__xludf.DUMMYFUNCTION("""COMPUTED_VALUE"""),"-")</f>
        <v>-</v>
      </c>
      <c r="T1258" s="57">
        <f>IFERROR(__xludf.DUMMYFUNCTION("""COMPUTED_VALUE"""),44170.0)</f>
        <v>44170</v>
      </c>
    </row>
    <row r="1259">
      <c r="A1259" s="6" t="str">
        <f>IFERROR(__xludf.DUMMYFUNCTION("""COMPUTED_VALUE"""),"201750307-8")</f>
        <v>201750307-8</v>
      </c>
      <c r="B1259" s="6" t="str">
        <f>IFERROR(__xludf.DUMMYFUNCTION("""COMPUTED_VALUE"""),"201750307 - Approved")</f>
        <v>201750307 - Approved</v>
      </c>
      <c r="C1259" s="6">
        <f>IFERROR(__xludf.DUMMYFUNCTION("""COMPUTED_VALUE"""),8.0)</f>
        <v>8</v>
      </c>
      <c r="D1259" s="6" t="str">
        <f>IFERROR(__xludf.DUMMYFUNCTION("""COMPUTED_VALUE"""),"S-40335-00")</f>
        <v>S-40335-00</v>
      </c>
      <c r="E1259" s="6" t="str">
        <f>IFERROR(__xludf.DUMMYFUNCTION("""COMPUTED_VALUE"""),"Lem Insuflex Insulation")</f>
        <v>Lem Insuflex Insulation</v>
      </c>
      <c r="F1259" s="6">
        <f>IFERROR(__xludf.DUMMYFUNCTION("""COMPUTED_VALUE"""),1.0)</f>
        <v>1</v>
      </c>
      <c r="G1259" s="6" t="str">
        <f>IFERROR(__xludf.DUMMYFUNCTION("""COMPUTED_VALUE"""),"Can")</f>
        <v>Can</v>
      </c>
      <c r="H1259" s="6" t="str">
        <f>IFERROR(__xludf.DUMMYFUNCTION("""COMPUTED_VALUE"""),"IDR")</f>
        <v>IDR</v>
      </c>
      <c r="I1259" s="6">
        <f>IFERROR(__xludf.DUMMYFUNCTION("""COMPUTED_VALUE"""),147000.0)</f>
        <v>147000</v>
      </c>
      <c r="J1259" s="6">
        <f>IFERROR(__xludf.DUMMYFUNCTION("""COMPUTED_VALUE"""),147000.0)</f>
        <v>147000</v>
      </c>
      <c r="K1259" s="57">
        <f>IFERROR(__xludf.DUMMYFUNCTION("""COMPUTED_VALUE"""),44165.0)</f>
        <v>44165</v>
      </c>
      <c r="L1259" s="6" t="str">
        <f>IFERROR(__xludf.DUMMYFUNCTION("""COMPUTED_VALUE"""),"FIP General")</f>
        <v>FIP General</v>
      </c>
      <c r="M1259" s="6" t="str">
        <f>IFERROR(__xludf.DUMMYFUNCTION("""COMPUTED_VALUE"""),"Irwan Sopian")</f>
        <v>Irwan Sopian</v>
      </c>
      <c r="N1259" s="6" t="str">
        <f>IFERROR(__xludf.DUMMYFUNCTION("""COMPUTED_VALUE"""),"FIP Engineering")</f>
        <v>FIP Engineering</v>
      </c>
      <c r="O1259" s="6" t="str">
        <f>IFERROR(__xludf.DUMMYFUNCTION("""COMPUTED_VALUE"""),"FIP-DOM-ENG-51404-0000000-INA-000000")</f>
        <v>FIP-DOM-ENG-51404-0000000-INA-000000</v>
      </c>
      <c r="P1259" s="6" t="str">
        <f>IFERROR(__xludf.DUMMYFUNCTION("""COMPUTED_VALUE"""),"PO Closed")</f>
        <v>PO Closed</v>
      </c>
      <c r="Q1259" s="6" t="str">
        <f>IFERROR(__xludf.DUMMYFUNCTION("""COMPUTED_VALUE"""),"GL2011040")</f>
        <v>GL2011040</v>
      </c>
      <c r="R1259" s="57">
        <f>IFERROR(__xludf.DUMMYFUNCTION("""COMPUTED_VALUE"""),44040.0)</f>
        <v>44040</v>
      </c>
      <c r="S1259" s="6" t="str">
        <f>IFERROR(__xludf.DUMMYFUNCTION("""COMPUTED_VALUE"""),"-")</f>
        <v>-</v>
      </c>
      <c r="T1259" s="57">
        <f>IFERROR(__xludf.DUMMYFUNCTION("""COMPUTED_VALUE"""),44169.0)</f>
        <v>44169</v>
      </c>
    </row>
    <row r="1260">
      <c r="A1260" s="6" t="str">
        <f>IFERROR(__xludf.DUMMYFUNCTION("""COMPUTED_VALUE"""),"201750313-1")</f>
        <v>201750313-1</v>
      </c>
      <c r="B1260" s="6" t="str">
        <f>IFERROR(__xludf.DUMMYFUNCTION("""COMPUTED_VALUE"""),"201750313 - Approved")</f>
        <v>201750313 - Approved</v>
      </c>
      <c r="C1260" s="6">
        <f>IFERROR(__xludf.DUMMYFUNCTION("""COMPUTED_VALUE"""),1.0)</f>
        <v>1</v>
      </c>
      <c r="D1260" s="6" t="str">
        <f>IFERROR(__xludf.DUMMYFUNCTION("""COMPUTED_VALUE"""),"P-60000-00")</f>
        <v>P-60000-00</v>
      </c>
      <c r="E1260" s="6" t="str">
        <f>IFERROR(__xludf.DUMMYFUNCTION("""COMPUTED_VALUE"""),"Repair Mesin CC Retained Sample (Condensor rusak)")</f>
        <v>Repair Mesin CC Retained Sample (Condensor rusak)</v>
      </c>
      <c r="F1260" s="6">
        <f>IFERROR(__xludf.DUMMYFUNCTION("""COMPUTED_VALUE"""),1.0)</f>
        <v>1</v>
      </c>
      <c r="G1260" s="6" t="str">
        <f>IFERROR(__xludf.DUMMYFUNCTION("""COMPUTED_VALUE"""),"Lot")</f>
        <v>Lot</v>
      </c>
      <c r="H1260" s="6" t="str">
        <f>IFERROR(__xludf.DUMMYFUNCTION("""COMPUTED_VALUE"""),"IDR")</f>
        <v>IDR</v>
      </c>
      <c r="I1260" s="6">
        <f>IFERROR(__xludf.DUMMYFUNCTION("""COMPUTED_VALUE"""),4250000.0)</f>
        <v>4250000</v>
      </c>
      <c r="J1260" s="6">
        <f>IFERROR(__xludf.DUMMYFUNCTION("""COMPUTED_VALUE"""),4250000.0)</f>
        <v>4250000</v>
      </c>
      <c r="K1260" s="57">
        <f>IFERROR(__xludf.DUMMYFUNCTION("""COMPUTED_VALUE"""),44071.0)</f>
        <v>44071</v>
      </c>
      <c r="L1260" s="6" t="str">
        <f>IFERROR(__xludf.DUMMYFUNCTION("""COMPUTED_VALUE"""),"FIP General")</f>
        <v>FIP General</v>
      </c>
      <c r="M1260" s="6" t="str">
        <f>IFERROR(__xludf.DUMMYFUNCTION("""COMPUTED_VALUE"""),"Irwan Sopian")</f>
        <v>Irwan Sopian</v>
      </c>
      <c r="N1260" s="6" t="str">
        <f>IFERROR(__xludf.DUMMYFUNCTION("""COMPUTED_VALUE"""),"FIP Engineering")</f>
        <v>FIP Engineering</v>
      </c>
      <c r="O1260" s="6" t="str">
        <f>IFERROR(__xludf.DUMMYFUNCTION("""COMPUTED_VALUE"""),"FIP-DOM-ENG-51504-0000000-INA-000000")</f>
        <v>FIP-DOM-ENG-51504-0000000-INA-000000</v>
      </c>
      <c r="P1260" s="6" t="str">
        <f>IFERROR(__xludf.DUMMYFUNCTION("""COMPUTED_VALUE"""),"PO Closed")</f>
        <v>PO Closed</v>
      </c>
      <c r="Q1260" s="6" t="str">
        <f>IFERROR(__xludf.DUMMYFUNCTION("""COMPUTED_VALUE"""),"GL2008017")</f>
        <v>GL2008017</v>
      </c>
      <c r="R1260" s="57">
        <f>IFERROR(__xludf.DUMMYFUNCTION("""COMPUTED_VALUE"""),44046.0)</f>
        <v>44046</v>
      </c>
      <c r="S1260" s="6" t="str">
        <f>IFERROR(__xludf.DUMMYFUNCTION("""COMPUTED_VALUE"""),"-")</f>
        <v>-</v>
      </c>
      <c r="T1260" s="57">
        <f>IFERROR(__xludf.DUMMYFUNCTION("""COMPUTED_VALUE"""),44078.0)</f>
        <v>44078</v>
      </c>
    </row>
    <row r="1261">
      <c r="A1261" s="6" t="str">
        <f>IFERROR(__xludf.DUMMYFUNCTION("""COMPUTED_VALUE"""),"201750313-2")</f>
        <v>201750313-2</v>
      </c>
      <c r="B1261" s="6" t="str">
        <f>IFERROR(__xludf.DUMMYFUNCTION("""COMPUTED_VALUE"""),"201750313 - Approved")</f>
        <v>201750313 - Approved</v>
      </c>
      <c r="C1261" s="6">
        <f>IFERROR(__xludf.DUMMYFUNCTION("""COMPUTED_VALUE"""),2.0)</f>
        <v>2</v>
      </c>
      <c r="D1261" s="6" t="str">
        <f>IFERROR(__xludf.DUMMYFUNCTION("""COMPUTED_VALUE"""),"P-60000-00")</f>
        <v>P-60000-00</v>
      </c>
      <c r="E1261" s="6" t="str">
        <f>IFERROR(__xludf.DUMMYFUNCTION("""COMPUTED_VALUE"""),"Repair Ac Warehouse 1 PK (Compressor Rusak)")</f>
        <v>Repair Ac Warehouse 1 PK (Compressor Rusak)</v>
      </c>
      <c r="F1261" s="6">
        <f>IFERROR(__xludf.DUMMYFUNCTION("""COMPUTED_VALUE"""),1.0)</f>
        <v>1</v>
      </c>
      <c r="G1261" s="6" t="str">
        <f>IFERROR(__xludf.DUMMYFUNCTION("""COMPUTED_VALUE"""),"Lot")</f>
        <v>Lot</v>
      </c>
      <c r="H1261" s="6" t="str">
        <f>IFERROR(__xludf.DUMMYFUNCTION("""COMPUTED_VALUE"""),"IDR")</f>
        <v>IDR</v>
      </c>
      <c r="I1261" s="6">
        <f>IFERROR(__xludf.DUMMYFUNCTION("""COMPUTED_VALUE"""),2500000.0)</f>
        <v>2500000</v>
      </c>
      <c r="J1261" s="6">
        <f>IFERROR(__xludf.DUMMYFUNCTION("""COMPUTED_VALUE"""),2500000.0)</f>
        <v>2500000</v>
      </c>
      <c r="K1261" s="57">
        <f>IFERROR(__xludf.DUMMYFUNCTION("""COMPUTED_VALUE"""),44071.0)</f>
        <v>44071</v>
      </c>
      <c r="L1261" s="6" t="str">
        <f>IFERROR(__xludf.DUMMYFUNCTION("""COMPUTED_VALUE"""),"FIP General")</f>
        <v>FIP General</v>
      </c>
      <c r="M1261" s="6" t="str">
        <f>IFERROR(__xludf.DUMMYFUNCTION("""COMPUTED_VALUE"""),"Irwan Sopian")</f>
        <v>Irwan Sopian</v>
      </c>
      <c r="N1261" s="6" t="str">
        <f>IFERROR(__xludf.DUMMYFUNCTION("""COMPUTED_VALUE"""),"FIP Engineering")</f>
        <v>FIP Engineering</v>
      </c>
      <c r="O1261" s="6" t="str">
        <f>IFERROR(__xludf.DUMMYFUNCTION("""COMPUTED_VALUE"""),"FIP-DOM-ENG-51504-0000000-INA-000000")</f>
        <v>FIP-DOM-ENG-51504-0000000-INA-000000</v>
      </c>
      <c r="P1261" s="6" t="str">
        <f>IFERROR(__xludf.DUMMYFUNCTION("""COMPUTED_VALUE"""),"PO Closed")</f>
        <v>PO Closed</v>
      </c>
      <c r="Q1261" s="6" t="str">
        <f>IFERROR(__xludf.DUMMYFUNCTION("""COMPUTED_VALUE"""),"GL2008017")</f>
        <v>GL2008017</v>
      </c>
      <c r="R1261" s="57">
        <f>IFERROR(__xludf.DUMMYFUNCTION("""COMPUTED_VALUE"""),44046.0)</f>
        <v>44046</v>
      </c>
      <c r="S1261" s="6" t="str">
        <f>IFERROR(__xludf.DUMMYFUNCTION("""COMPUTED_VALUE"""),"-")</f>
        <v>-</v>
      </c>
      <c r="T1261" s="57">
        <f>IFERROR(__xludf.DUMMYFUNCTION("""COMPUTED_VALUE"""),44078.0)</f>
        <v>44078</v>
      </c>
    </row>
    <row r="1262">
      <c r="A1262" s="6" t="str">
        <f>IFERROR(__xludf.DUMMYFUNCTION("""COMPUTED_VALUE"""),"201750312-2")</f>
        <v>201750312-2</v>
      </c>
      <c r="B1262" s="6" t="str">
        <f>IFERROR(__xludf.DUMMYFUNCTION("""COMPUTED_VALUE"""),"201750312 - Approved")</f>
        <v>201750312 - Approved</v>
      </c>
      <c r="C1262" s="6">
        <f>IFERROR(__xludf.DUMMYFUNCTION("""COMPUTED_VALUE"""),2.0)</f>
        <v>2</v>
      </c>
      <c r="D1262" s="6" t="str">
        <f>IFERROR(__xludf.DUMMYFUNCTION("""COMPUTED_VALUE"""),"P-13389-00")</f>
        <v>P-13389-00</v>
      </c>
      <c r="E1262" s="6" t="str">
        <f>IFERROR(__xludf.DUMMYFUNCTION("""COMPUTED_VALUE"""),"Scotch Brite 3M")</f>
        <v>Scotch Brite 3M</v>
      </c>
      <c r="F1262" s="6">
        <f>IFERROR(__xludf.DUMMYFUNCTION("""COMPUTED_VALUE"""),10.0)</f>
        <v>10</v>
      </c>
      <c r="G1262" s="6" t="str">
        <f>IFERROR(__xludf.DUMMYFUNCTION("""COMPUTED_VALUE"""),"Pieces")</f>
        <v>Pieces</v>
      </c>
      <c r="H1262" s="6" t="str">
        <f>IFERROR(__xludf.DUMMYFUNCTION("""COMPUTED_VALUE"""),"IDR")</f>
        <v>IDR</v>
      </c>
      <c r="I1262" s="6">
        <f>IFERROR(__xludf.DUMMYFUNCTION("""COMPUTED_VALUE"""),13500.0)</f>
        <v>13500</v>
      </c>
      <c r="J1262" s="6">
        <f>IFERROR(__xludf.DUMMYFUNCTION("""COMPUTED_VALUE"""),135000.0)</f>
        <v>135000</v>
      </c>
      <c r="K1262" s="57">
        <f>IFERROR(__xludf.DUMMYFUNCTION("""COMPUTED_VALUE"""),44144.0)</f>
        <v>44144</v>
      </c>
      <c r="L1262" s="6" t="str">
        <f>IFERROR(__xludf.DUMMYFUNCTION("""COMPUTED_VALUE"""),"FIP Engineering")</f>
        <v>FIP Engineering</v>
      </c>
      <c r="M1262" s="6" t="str">
        <f>IFERROR(__xludf.DUMMYFUNCTION("""COMPUTED_VALUE"""),"Irwan Sopian")</f>
        <v>Irwan Sopian</v>
      </c>
      <c r="N1262" s="6" t="str">
        <f>IFERROR(__xludf.DUMMYFUNCTION("""COMPUTED_VALUE"""),"FIP Engineering")</f>
        <v>FIP Engineering</v>
      </c>
      <c r="O1262" s="6" t="str">
        <f>IFERROR(__xludf.DUMMYFUNCTION("""COMPUTED_VALUE"""),"FIP-DOM-000-11304-OS00001-INA-000000")</f>
        <v>FIP-DOM-000-11304-OS00001-INA-000000</v>
      </c>
      <c r="P1262" s="6" t="str">
        <f>IFERROR(__xludf.DUMMYFUNCTION("""COMPUTED_VALUE"""),"PO Closed")</f>
        <v>PO Closed</v>
      </c>
      <c r="Q1262" s="6" t="str">
        <f>IFERROR(__xludf.DUMMYFUNCTION("""COMPUTED_VALUE"""),"GL2011007")</f>
        <v>GL2011007</v>
      </c>
      <c r="R1262" s="57">
        <f>IFERROR(__xludf.DUMMYFUNCTION("""COMPUTED_VALUE"""),44047.0)</f>
        <v>44047</v>
      </c>
      <c r="S1262" s="6" t="str">
        <f>IFERROR(__xludf.DUMMYFUNCTION("""COMPUTED_VALUE"""),"-")</f>
        <v>-</v>
      </c>
      <c r="T1262" s="57">
        <f>IFERROR(__xludf.DUMMYFUNCTION("""COMPUTED_VALUE"""),44160.0)</f>
        <v>44160</v>
      </c>
    </row>
    <row r="1263">
      <c r="A1263" s="6" t="str">
        <f>IFERROR(__xludf.DUMMYFUNCTION("""COMPUTED_VALUE"""),"201750312-4")</f>
        <v>201750312-4</v>
      </c>
      <c r="B1263" s="6" t="str">
        <f>IFERROR(__xludf.DUMMYFUNCTION("""COMPUTED_VALUE"""),"201750312 - Approved")</f>
        <v>201750312 - Approved</v>
      </c>
      <c r="C1263" s="6">
        <f>IFERROR(__xludf.DUMMYFUNCTION("""COMPUTED_VALUE"""),4.0)</f>
        <v>4</v>
      </c>
      <c r="D1263" s="6" t="str">
        <f>IFERROR(__xludf.DUMMYFUNCTION("""COMPUTED_VALUE"""),"P-12433-00")</f>
        <v>P-12433-00</v>
      </c>
      <c r="E1263" s="6" t="str">
        <f>IFERROR(__xludf.DUMMYFUNCTION("""COMPUTED_VALUE"""),"Isolasi AC- Sansui")</f>
        <v>Isolasi AC- Sansui</v>
      </c>
      <c r="F1263" s="6">
        <f>IFERROR(__xludf.DUMMYFUNCTION("""COMPUTED_VALUE"""),5.0)</f>
        <v>5</v>
      </c>
      <c r="G1263" s="6" t="str">
        <f>IFERROR(__xludf.DUMMYFUNCTION("""COMPUTED_VALUE"""),"Pieces")</f>
        <v>Pieces</v>
      </c>
      <c r="H1263" s="6" t="str">
        <f>IFERROR(__xludf.DUMMYFUNCTION("""COMPUTED_VALUE"""),"IDR")</f>
        <v>IDR</v>
      </c>
      <c r="I1263" s="6">
        <f>IFERROR(__xludf.DUMMYFUNCTION("""COMPUTED_VALUE"""),10000.0)</f>
        <v>10000</v>
      </c>
      <c r="J1263" s="6">
        <f>IFERROR(__xludf.DUMMYFUNCTION("""COMPUTED_VALUE"""),50000.0)</f>
        <v>50000</v>
      </c>
      <c r="K1263" s="57">
        <f>IFERROR(__xludf.DUMMYFUNCTION("""COMPUTED_VALUE"""),44144.0)</f>
        <v>44144</v>
      </c>
      <c r="L1263" s="6" t="str">
        <f>IFERROR(__xludf.DUMMYFUNCTION("""COMPUTED_VALUE"""),"FIP Engineering")</f>
        <v>FIP Engineering</v>
      </c>
      <c r="M1263" s="6" t="str">
        <f>IFERROR(__xludf.DUMMYFUNCTION("""COMPUTED_VALUE"""),"Irwan Sopian")</f>
        <v>Irwan Sopian</v>
      </c>
      <c r="N1263" s="6" t="str">
        <f>IFERROR(__xludf.DUMMYFUNCTION("""COMPUTED_VALUE"""),"FIP Engineering")</f>
        <v>FIP Engineering</v>
      </c>
      <c r="O1263" s="6" t="str">
        <f>IFERROR(__xludf.DUMMYFUNCTION("""COMPUTED_VALUE"""),"FIP-DOM-000-11304-OS00001-INA-000000")</f>
        <v>FIP-DOM-000-11304-OS00001-INA-000000</v>
      </c>
      <c r="P1263" s="6" t="str">
        <f>IFERROR(__xludf.DUMMYFUNCTION("""COMPUTED_VALUE"""),"PO Closed")</f>
        <v>PO Closed</v>
      </c>
      <c r="Q1263" s="6" t="str">
        <f>IFERROR(__xludf.DUMMYFUNCTION("""COMPUTED_VALUE"""),"GL2011007")</f>
        <v>GL2011007</v>
      </c>
      <c r="R1263" s="57">
        <f>IFERROR(__xludf.DUMMYFUNCTION("""COMPUTED_VALUE"""),44047.0)</f>
        <v>44047</v>
      </c>
      <c r="S1263" s="6" t="str">
        <f>IFERROR(__xludf.DUMMYFUNCTION("""COMPUTED_VALUE"""),"-")</f>
        <v>-</v>
      </c>
      <c r="T1263" s="57">
        <f>IFERROR(__xludf.DUMMYFUNCTION("""COMPUTED_VALUE"""),44160.0)</f>
        <v>44160</v>
      </c>
    </row>
    <row r="1264">
      <c r="A1264" s="6" t="str">
        <f>IFERROR(__xludf.DUMMYFUNCTION("""COMPUTED_VALUE"""),"201750322-1")</f>
        <v>201750322-1</v>
      </c>
      <c r="B1264" s="6" t="str">
        <f>IFERROR(__xludf.DUMMYFUNCTION("""COMPUTED_VALUE"""),"201750322 - Approved")</f>
        <v>201750322 - Approved</v>
      </c>
      <c r="C1264" s="6">
        <f>IFERROR(__xludf.DUMMYFUNCTION("""COMPUTED_VALUE"""),1.0)</f>
        <v>1</v>
      </c>
      <c r="D1264" s="6" t="str">
        <f>IFERROR(__xludf.DUMMYFUNCTION("""COMPUTED_VALUE"""),"P-17348-00")</f>
        <v>P-17348-00</v>
      </c>
      <c r="E1264" s="6" t="str">
        <f>IFERROR(__xludf.DUMMYFUNCTION("""COMPUTED_VALUE"""),"Steam Trap Ball Float DN40 Flange PN16 ARI")</f>
        <v>Steam Trap Ball Float DN40 Flange PN16 ARI</v>
      </c>
      <c r="F1264" s="6">
        <f>IFERROR(__xludf.DUMMYFUNCTION("""COMPUTED_VALUE"""),1.0)</f>
        <v>1</v>
      </c>
      <c r="G1264" s="6" t="str">
        <f>IFERROR(__xludf.DUMMYFUNCTION("""COMPUTED_VALUE"""),"Pieces")</f>
        <v>Pieces</v>
      </c>
      <c r="H1264" s="6" t="str">
        <f>IFERROR(__xludf.DUMMYFUNCTION("""COMPUTED_VALUE"""),"IDR")</f>
        <v>IDR</v>
      </c>
      <c r="I1264" s="6">
        <f>IFERROR(__xludf.DUMMYFUNCTION("""COMPUTED_VALUE"""),1.01E7)</f>
        <v>10100000</v>
      </c>
      <c r="J1264" s="6">
        <f>IFERROR(__xludf.DUMMYFUNCTION("""COMPUTED_VALUE"""),1.01E7)</f>
        <v>10100000</v>
      </c>
      <c r="K1264" s="57">
        <f>IFERROR(__xludf.DUMMYFUNCTION("""COMPUTED_VALUE"""),44078.0)</f>
        <v>44078</v>
      </c>
      <c r="L1264" s="6" t="str">
        <f>IFERROR(__xludf.DUMMYFUNCTION("""COMPUTED_VALUE"""),"FIP Engineering")</f>
        <v>FIP Engineering</v>
      </c>
      <c r="M1264" s="6" t="str">
        <f>IFERROR(__xludf.DUMMYFUNCTION("""COMPUTED_VALUE"""),"Irwan Sopian")</f>
        <v>Irwan Sopian</v>
      </c>
      <c r="N1264" s="6" t="str">
        <f>IFERROR(__xludf.DUMMYFUNCTION("""COMPUTED_VALUE"""),"FIP Engineering")</f>
        <v>FIP Engineering</v>
      </c>
      <c r="O1264" s="6" t="str">
        <f>IFERROR(__xludf.DUMMYFUNCTION("""COMPUTED_VALUE"""),"FIP-DOM-000-11304-OS00001-INA-000000")</f>
        <v>FIP-DOM-000-11304-OS00001-INA-000000</v>
      </c>
      <c r="P1264" s="6" t="str">
        <f>IFERROR(__xludf.DUMMYFUNCTION("""COMPUTED_VALUE"""),"PO Closed")</f>
        <v>PO Closed</v>
      </c>
      <c r="Q1264" s="6" t="str">
        <f>IFERROR(__xludf.DUMMYFUNCTION("""COMPUTED_VALUE"""),"GL2008018")</f>
        <v>GL2008018</v>
      </c>
      <c r="R1264" s="57">
        <f>IFERROR(__xludf.DUMMYFUNCTION("""COMPUTED_VALUE"""),44049.0)</f>
        <v>44049</v>
      </c>
      <c r="S1264" s="6" t="str">
        <f>IFERROR(__xludf.DUMMYFUNCTION("""COMPUTED_VALUE"""),"-")</f>
        <v>-</v>
      </c>
      <c r="T1264" s="57">
        <f>IFERROR(__xludf.DUMMYFUNCTION("""COMPUTED_VALUE"""),44078.0)</f>
        <v>44078</v>
      </c>
    </row>
    <row r="1265">
      <c r="A1265" s="6" t="str">
        <f>IFERROR(__xludf.DUMMYFUNCTION("""COMPUTED_VALUE"""),"201750327-1")</f>
        <v>201750327-1</v>
      </c>
      <c r="B1265" s="6" t="str">
        <f>IFERROR(__xludf.DUMMYFUNCTION("""COMPUTED_VALUE"""),"201750327 - Approved")</f>
        <v>201750327 - Approved</v>
      </c>
      <c r="C1265" s="6">
        <f>IFERROR(__xludf.DUMMYFUNCTION("""COMPUTED_VALUE"""),1.0)</f>
        <v>1</v>
      </c>
      <c r="D1265" s="6" t="str">
        <f>IFERROR(__xludf.DUMMYFUNCTION("""COMPUTED_VALUE"""),"P-60000-00")</f>
        <v>P-60000-00</v>
      </c>
      <c r="E1265" s="6" t="str">
        <f>IFERROR(__xludf.DUMMYFUNCTION("""COMPUTED_VALUE"""),"Repair Pocket Drain PSG dan Hot Water")</f>
        <v>Repair Pocket Drain PSG dan Hot Water</v>
      </c>
      <c r="F1265" s="6">
        <f>IFERROR(__xludf.DUMMYFUNCTION("""COMPUTED_VALUE"""),1.0)</f>
        <v>1</v>
      </c>
      <c r="G1265" s="6" t="str">
        <f>IFERROR(__xludf.DUMMYFUNCTION("""COMPUTED_VALUE"""),"Lot")</f>
        <v>Lot</v>
      </c>
      <c r="H1265" s="6" t="str">
        <f>IFERROR(__xludf.DUMMYFUNCTION("""COMPUTED_VALUE"""),"IDR")</f>
        <v>IDR</v>
      </c>
      <c r="I1265" s="6">
        <f>IFERROR(__xludf.DUMMYFUNCTION("""COMPUTED_VALUE"""),1.75E7)</f>
        <v>17500000</v>
      </c>
      <c r="J1265" s="6">
        <f>IFERROR(__xludf.DUMMYFUNCTION("""COMPUTED_VALUE"""),1.75E7)</f>
        <v>17500000</v>
      </c>
      <c r="K1265" s="57">
        <f>IFERROR(__xludf.DUMMYFUNCTION("""COMPUTED_VALUE"""),44104.0)</f>
        <v>44104</v>
      </c>
      <c r="L1265" s="6" t="str">
        <f>IFERROR(__xludf.DUMMYFUNCTION("""COMPUTED_VALUE"""),"FIP General")</f>
        <v>FIP General</v>
      </c>
      <c r="M1265" s="6" t="str">
        <f>IFERROR(__xludf.DUMMYFUNCTION("""COMPUTED_VALUE"""),"Irwan Sopian")</f>
        <v>Irwan Sopian</v>
      </c>
      <c r="N1265" s="6" t="str">
        <f>IFERROR(__xludf.DUMMYFUNCTION("""COMPUTED_VALUE"""),"FIP Engineering")</f>
        <v>FIP Engineering</v>
      </c>
      <c r="O1265" s="6" t="str">
        <f>IFERROR(__xludf.DUMMYFUNCTION("""COMPUTED_VALUE"""),"FIP-DOM-ENG-51504-0000000-INA-000000")</f>
        <v>FIP-DOM-ENG-51504-0000000-INA-000000</v>
      </c>
      <c r="P1265" s="6" t="str">
        <f>IFERROR(__xludf.DUMMYFUNCTION("""COMPUTED_VALUE"""),"PO Closed")</f>
        <v>PO Closed</v>
      </c>
      <c r="Q1265" s="6" t="str">
        <f>IFERROR(__xludf.DUMMYFUNCTION("""COMPUTED_VALUE"""),"GL2009028")</f>
        <v>GL2009028</v>
      </c>
      <c r="R1265" s="57">
        <f>IFERROR(__xludf.DUMMYFUNCTION("""COMPUTED_VALUE"""),44055.0)</f>
        <v>44055</v>
      </c>
      <c r="S1265" s="6" t="str">
        <f>IFERROR(__xludf.DUMMYFUNCTION("""COMPUTED_VALUE"""),"-")</f>
        <v>-</v>
      </c>
      <c r="T1265" s="57">
        <f>IFERROR(__xludf.DUMMYFUNCTION("""COMPUTED_VALUE"""),44153.0)</f>
        <v>44153</v>
      </c>
    </row>
    <row r="1266">
      <c r="A1266" s="6" t="str">
        <f>IFERROR(__xludf.DUMMYFUNCTION("""COMPUTED_VALUE"""),"201750329-1")</f>
        <v>201750329-1</v>
      </c>
      <c r="B1266" s="6" t="str">
        <f>IFERROR(__xludf.DUMMYFUNCTION("""COMPUTED_VALUE"""),"201750329 - Approved")</f>
        <v>201750329 - Approved</v>
      </c>
      <c r="C1266" s="6">
        <f>IFERROR(__xludf.DUMMYFUNCTION("""COMPUTED_VALUE"""),1.0)</f>
        <v>1</v>
      </c>
      <c r="D1266" s="6" t="str">
        <f>IFERROR(__xludf.DUMMYFUNCTION("""COMPUTED_VALUE"""),"O-17640-00")</f>
        <v>O-17640-00</v>
      </c>
      <c r="E1266" s="6" t="str">
        <f>IFERROR(__xludf.DUMMYFUNCTION("""COMPUTED_VALUE"""),"Ruber Whell Silicone Model : FRB-770i Hualian")</f>
        <v>Ruber Whell Silicone Model : FRB-770i Hualian</v>
      </c>
      <c r="F1266" s="6">
        <f>IFERROR(__xludf.DUMMYFUNCTION("""COMPUTED_VALUE"""),2.0)</f>
        <v>2</v>
      </c>
      <c r="G1266" s="6" t="str">
        <f>IFERROR(__xludf.DUMMYFUNCTION("""COMPUTED_VALUE"""),"Pieces")</f>
        <v>Pieces</v>
      </c>
      <c r="H1266" s="6" t="str">
        <f>IFERROR(__xludf.DUMMYFUNCTION("""COMPUTED_VALUE"""),"IDR")</f>
        <v>IDR</v>
      </c>
      <c r="I1266" s="6">
        <f>IFERROR(__xludf.DUMMYFUNCTION("""COMPUTED_VALUE"""),343750.0)</f>
        <v>343750</v>
      </c>
      <c r="J1266" s="6">
        <f>IFERROR(__xludf.DUMMYFUNCTION("""COMPUTED_VALUE"""),687500.0)</f>
        <v>687500</v>
      </c>
      <c r="K1266" s="57">
        <f>IFERROR(__xludf.DUMMYFUNCTION("""COMPUTED_VALUE"""),44078.0)</f>
        <v>44078</v>
      </c>
      <c r="L1266" s="6" t="str">
        <f>IFERROR(__xludf.DUMMYFUNCTION("""COMPUTED_VALUE"""),"FIP General")</f>
        <v>FIP General</v>
      </c>
      <c r="M1266" s="6" t="str">
        <f>IFERROR(__xludf.DUMMYFUNCTION("""COMPUTED_VALUE"""),"Irwan Sopian")</f>
        <v>Irwan Sopian</v>
      </c>
      <c r="N1266" s="6" t="str">
        <f>IFERROR(__xludf.DUMMYFUNCTION("""COMPUTED_VALUE"""),"FIP Engineering")</f>
        <v>FIP Engineering</v>
      </c>
      <c r="O1266" s="6" t="str">
        <f>IFERROR(__xludf.DUMMYFUNCTION("""COMPUTED_VALUE"""),"FIP-DOM-ENG-51504-0000000-INA-000000")</f>
        <v>FIP-DOM-ENG-51504-0000000-INA-000000</v>
      </c>
      <c r="P1266" s="6" t="str">
        <f>IFERROR(__xludf.DUMMYFUNCTION("""COMPUTED_VALUE"""),"PO Closed")</f>
        <v>PO Closed</v>
      </c>
      <c r="Q1266" s="6" t="str">
        <f>IFERROR(__xludf.DUMMYFUNCTION("""COMPUTED_VALUE"""),"GL2008026")</f>
        <v>GL2008026</v>
      </c>
      <c r="R1266" s="57">
        <f>IFERROR(__xludf.DUMMYFUNCTION("""COMPUTED_VALUE"""),44057.0)</f>
        <v>44057</v>
      </c>
      <c r="S1266" s="6" t="str">
        <f>IFERROR(__xludf.DUMMYFUNCTION("""COMPUTED_VALUE"""),"-")</f>
        <v>-</v>
      </c>
      <c r="T1266" s="57">
        <f>IFERROR(__xludf.DUMMYFUNCTION("""COMPUTED_VALUE"""),44083.0)</f>
        <v>44083</v>
      </c>
    </row>
    <row r="1267">
      <c r="A1267" s="6" t="str">
        <f>IFERROR(__xludf.DUMMYFUNCTION("""COMPUTED_VALUE"""),"201750329-2")</f>
        <v>201750329-2</v>
      </c>
      <c r="B1267" s="6" t="str">
        <f>IFERROR(__xludf.DUMMYFUNCTION("""COMPUTED_VALUE"""),"201750329 - Approved")</f>
        <v>201750329 - Approved</v>
      </c>
      <c r="C1267" s="6">
        <f>IFERROR(__xludf.DUMMYFUNCTION("""COMPUTED_VALUE"""),2.0)</f>
        <v>2</v>
      </c>
      <c r="D1267" s="6" t="str">
        <f>IFERROR(__xludf.DUMMYFUNCTION("""COMPUTED_VALUE"""),"O-17597-00")</f>
        <v>O-17597-00</v>
      </c>
      <c r="E1267" s="6" t="str">
        <f>IFERROR(__xludf.DUMMYFUNCTION("""COMPUTED_VALUE"""),"Guide Belt Model : FRB-7701 Hualian")</f>
        <v>Guide Belt Model : FRB-7701 Hualian</v>
      </c>
      <c r="F1267" s="6">
        <f>IFERROR(__xludf.DUMMYFUNCTION("""COMPUTED_VALUE"""),4.0)</f>
        <v>4</v>
      </c>
      <c r="G1267" s="6" t="str">
        <f>IFERROR(__xludf.DUMMYFUNCTION("""COMPUTED_VALUE"""),"Pieces")</f>
        <v>Pieces</v>
      </c>
      <c r="H1267" s="6" t="str">
        <f>IFERROR(__xludf.DUMMYFUNCTION("""COMPUTED_VALUE"""),"IDR")</f>
        <v>IDR</v>
      </c>
      <c r="I1267" s="6">
        <f>IFERROR(__xludf.DUMMYFUNCTION("""COMPUTED_VALUE"""),75000.0)</f>
        <v>75000</v>
      </c>
      <c r="J1267" s="6">
        <f>IFERROR(__xludf.DUMMYFUNCTION("""COMPUTED_VALUE"""),300000.0)</f>
        <v>300000</v>
      </c>
      <c r="K1267" s="57">
        <f>IFERROR(__xludf.DUMMYFUNCTION("""COMPUTED_VALUE"""),44078.0)</f>
        <v>44078</v>
      </c>
      <c r="L1267" s="6" t="str">
        <f>IFERROR(__xludf.DUMMYFUNCTION("""COMPUTED_VALUE"""),"FIP General")</f>
        <v>FIP General</v>
      </c>
      <c r="M1267" s="6" t="str">
        <f>IFERROR(__xludf.DUMMYFUNCTION("""COMPUTED_VALUE"""),"Irwan Sopian")</f>
        <v>Irwan Sopian</v>
      </c>
      <c r="N1267" s="6" t="str">
        <f>IFERROR(__xludf.DUMMYFUNCTION("""COMPUTED_VALUE"""),"FIP Engineering")</f>
        <v>FIP Engineering</v>
      </c>
      <c r="O1267" s="6" t="str">
        <f>IFERROR(__xludf.DUMMYFUNCTION("""COMPUTED_VALUE"""),"FIP-DOM-ENG-51504-0000000-INA-000000")</f>
        <v>FIP-DOM-ENG-51504-0000000-INA-000000</v>
      </c>
      <c r="P1267" s="6" t="str">
        <f>IFERROR(__xludf.DUMMYFUNCTION("""COMPUTED_VALUE"""),"PO Closed")</f>
        <v>PO Closed</v>
      </c>
      <c r="Q1267" s="6" t="str">
        <f>IFERROR(__xludf.DUMMYFUNCTION("""COMPUTED_VALUE"""),"GL2008026")</f>
        <v>GL2008026</v>
      </c>
      <c r="R1267" s="57">
        <f>IFERROR(__xludf.DUMMYFUNCTION("""COMPUTED_VALUE"""),44057.0)</f>
        <v>44057</v>
      </c>
      <c r="S1267" s="6" t="str">
        <f>IFERROR(__xludf.DUMMYFUNCTION("""COMPUTED_VALUE"""),"-")</f>
        <v>-</v>
      </c>
      <c r="T1267" s="57">
        <f>IFERROR(__xludf.DUMMYFUNCTION("""COMPUTED_VALUE"""),44083.0)</f>
        <v>44083</v>
      </c>
    </row>
    <row r="1268">
      <c r="A1268" s="6" t="str">
        <f>IFERROR(__xludf.DUMMYFUNCTION("""COMPUTED_VALUE"""),"201750329-3")</f>
        <v>201750329-3</v>
      </c>
      <c r="B1268" s="6" t="str">
        <f>IFERROR(__xludf.DUMMYFUNCTION("""COMPUTED_VALUE"""),"201750329 - Approved")</f>
        <v>201750329 - Approved</v>
      </c>
      <c r="C1268" s="6">
        <f>IFERROR(__xludf.DUMMYFUNCTION("""COMPUTED_VALUE"""),3.0)</f>
        <v>3</v>
      </c>
      <c r="D1268" s="6" t="str">
        <f>IFERROR(__xludf.DUMMYFUNCTION("""COMPUTED_VALUE"""),"P-52380-00")</f>
        <v>P-52380-00</v>
      </c>
      <c r="E1268" s="6" t="str">
        <f>IFERROR(__xludf.DUMMYFUNCTION("""COMPUTED_VALUE"""),"Adaptor AC Universal Power Supply 12VDC s/d 24VDC")</f>
        <v>Adaptor AC Universal Power Supply 12VDC s/d 24VDC</v>
      </c>
      <c r="F1268" s="6">
        <f>IFERROR(__xludf.DUMMYFUNCTION("""COMPUTED_VALUE"""),1.0)</f>
        <v>1</v>
      </c>
      <c r="G1268" s="6" t="str">
        <f>IFERROR(__xludf.DUMMYFUNCTION("""COMPUTED_VALUE"""),"Pieces")</f>
        <v>Pieces</v>
      </c>
      <c r="H1268" s="6" t="str">
        <f>IFERROR(__xludf.DUMMYFUNCTION("""COMPUTED_VALUE"""),"IDR")</f>
        <v>IDR</v>
      </c>
      <c r="I1268" s="6">
        <f>IFERROR(__xludf.DUMMYFUNCTION("""COMPUTED_VALUE"""),130000.0)</f>
        <v>130000</v>
      </c>
      <c r="J1268" s="6">
        <f>IFERROR(__xludf.DUMMYFUNCTION("""COMPUTED_VALUE"""),130000.0)</f>
        <v>130000</v>
      </c>
      <c r="K1268" s="57">
        <f>IFERROR(__xludf.DUMMYFUNCTION("""COMPUTED_VALUE"""),44078.0)</f>
        <v>44078</v>
      </c>
      <c r="L1268" s="6" t="str">
        <f>IFERROR(__xludf.DUMMYFUNCTION("""COMPUTED_VALUE"""),"FIP General")</f>
        <v>FIP General</v>
      </c>
      <c r="M1268" s="6" t="str">
        <f>IFERROR(__xludf.DUMMYFUNCTION("""COMPUTED_VALUE"""),"Irwan Sopian")</f>
        <v>Irwan Sopian</v>
      </c>
      <c r="N1268" s="6" t="str">
        <f>IFERROR(__xludf.DUMMYFUNCTION("""COMPUTED_VALUE"""),"FIP Engineering")</f>
        <v>FIP Engineering</v>
      </c>
      <c r="O1268" s="6" t="str">
        <f>IFERROR(__xludf.DUMMYFUNCTION("""COMPUTED_VALUE"""),"FIP-DOM-ENG-51504-0000000-INA-000000")</f>
        <v>FIP-DOM-ENG-51504-0000000-INA-000000</v>
      </c>
      <c r="P1268" s="6" t="str">
        <f>IFERROR(__xludf.DUMMYFUNCTION("""COMPUTED_VALUE"""),"PO Closed")</f>
        <v>PO Closed</v>
      </c>
      <c r="Q1268" s="6" t="str">
        <f>IFERROR(__xludf.DUMMYFUNCTION("""COMPUTED_VALUE"""),"GL2008026")</f>
        <v>GL2008026</v>
      </c>
      <c r="R1268" s="57">
        <f>IFERROR(__xludf.DUMMYFUNCTION("""COMPUTED_VALUE"""),44057.0)</f>
        <v>44057</v>
      </c>
      <c r="S1268" s="6" t="str">
        <f>IFERROR(__xludf.DUMMYFUNCTION("""COMPUTED_VALUE"""),"-")</f>
        <v>-</v>
      </c>
      <c r="T1268" s="57">
        <f>IFERROR(__xludf.DUMMYFUNCTION("""COMPUTED_VALUE"""),44083.0)</f>
        <v>44083</v>
      </c>
    </row>
    <row r="1269">
      <c r="A1269" s="6" t="str">
        <f>IFERROR(__xludf.DUMMYFUNCTION("""COMPUTED_VALUE"""),"201750332-1")</f>
        <v>201750332-1</v>
      </c>
      <c r="B1269" s="6" t="str">
        <f>IFERROR(__xludf.DUMMYFUNCTION("""COMPUTED_VALUE"""),"201750332 - Approved")</f>
        <v>201750332 - Approved</v>
      </c>
      <c r="C1269" s="6">
        <f>IFERROR(__xludf.DUMMYFUNCTION("""COMPUTED_VALUE"""),1.0)</f>
        <v>1</v>
      </c>
      <c r="D1269" s="6" t="str">
        <f>IFERROR(__xludf.DUMMYFUNCTION("""COMPUTED_VALUE"""),"O-60001-00")</f>
        <v>O-60001-00</v>
      </c>
      <c r="E1269" s="6" t="str">
        <f>IFERROR(__xludf.DUMMYFUNCTION("""COMPUTED_VALUE"""),"Service Charge repair PMS Capping Type : AirNet II 510 S/N : 95574")</f>
        <v>Service Charge repair PMS Capping Type : AirNet II 510 S/N : 95574</v>
      </c>
      <c r="F1269" s="6">
        <f>IFERROR(__xludf.DUMMYFUNCTION("""COMPUTED_VALUE"""),1.0)</f>
        <v>1</v>
      </c>
      <c r="G1269" s="6" t="str">
        <f>IFERROR(__xludf.DUMMYFUNCTION("""COMPUTED_VALUE"""),"Lot")</f>
        <v>Lot</v>
      </c>
      <c r="H1269" s="6" t="str">
        <f>IFERROR(__xludf.DUMMYFUNCTION("""COMPUTED_VALUE"""),"IDR")</f>
        <v>IDR</v>
      </c>
      <c r="I1269" s="6">
        <f>IFERROR(__xludf.DUMMYFUNCTION("""COMPUTED_VALUE"""),1500000.0)</f>
        <v>1500000</v>
      </c>
      <c r="J1269" s="6">
        <f>IFERROR(__xludf.DUMMYFUNCTION("""COMPUTED_VALUE"""),1500000.0)</f>
        <v>1500000</v>
      </c>
      <c r="K1269" s="57">
        <f>IFERROR(__xludf.DUMMYFUNCTION("""COMPUTED_VALUE"""),44099.0)</f>
        <v>44099</v>
      </c>
      <c r="L1269" s="6" t="str">
        <f>IFERROR(__xludf.DUMMYFUNCTION("""COMPUTED_VALUE"""),"FIP General")</f>
        <v>FIP General</v>
      </c>
      <c r="M1269" s="6" t="str">
        <f>IFERROR(__xludf.DUMMYFUNCTION("""COMPUTED_VALUE"""),"Irwan Sopian")</f>
        <v>Irwan Sopian</v>
      </c>
      <c r="N1269" s="6" t="str">
        <f>IFERROR(__xludf.DUMMYFUNCTION("""COMPUTED_VALUE"""),"FIP Engineering")</f>
        <v>FIP Engineering</v>
      </c>
      <c r="O1269" s="6" t="str">
        <f>IFERROR(__xludf.DUMMYFUNCTION("""COMPUTED_VALUE"""),"FIP-DOM-ENG-51504-0000000-INA-000000")</f>
        <v>FIP-DOM-ENG-51504-0000000-INA-000000</v>
      </c>
      <c r="P1269" s="6" t="str">
        <f>IFERROR(__xludf.DUMMYFUNCTION("""COMPUTED_VALUE"""),"PO Closed")</f>
        <v>PO Closed</v>
      </c>
      <c r="Q1269" s="6" t="str">
        <f>IFERROR(__xludf.DUMMYFUNCTION("""COMPUTED_VALUE"""),"GL2009016")</f>
        <v>GL2009016</v>
      </c>
      <c r="R1269" s="57">
        <f>IFERROR(__xludf.DUMMYFUNCTION("""COMPUTED_VALUE"""),44062.0)</f>
        <v>44062</v>
      </c>
      <c r="S1269" s="6" t="str">
        <f>IFERROR(__xludf.DUMMYFUNCTION("""COMPUTED_VALUE"""),"-")</f>
        <v>-</v>
      </c>
      <c r="T1269" s="57">
        <f>IFERROR(__xludf.DUMMYFUNCTION("""COMPUTED_VALUE"""),44102.0)</f>
        <v>44102</v>
      </c>
    </row>
    <row r="1270">
      <c r="A1270" s="6" t="str">
        <f>IFERROR(__xludf.DUMMYFUNCTION("""COMPUTED_VALUE"""),"201750333-2")</f>
        <v>201750333-2</v>
      </c>
      <c r="B1270" s="6" t="str">
        <f>IFERROR(__xludf.DUMMYFUNCTION("""COMPUTED_VALUE"""),"201750333 - Approved")</f>
        <v>201750333 - Approved</v>
      </c>
      <c r="C1270" s="6">
        <f>IFERROR(__xludf.DUMMYFUNCTION("""COMPUTED_VALUE"""),2.0)</f>
        <v>2</v>
      </c>
      <c r="D1270" s="6" t="str">
        <f>IFERROR(__xludf.DUMMYFUNCTION("""COMPUTED_VALUE"""),"O-50827-00")</f>
        <v>O-50827-00</v>
      </c>
      <c r="E1270" s="6" t="str">
        <f>IFERROR(__xludf.DUMMYFUNCTION("""COMPUTED_VALUE"""),"OptoCapBT02T Operating Range 8 ppb - 60% O2 Sat P/N 30018857, Measured Pressure Resistance : 0 bar -; ; ;")</f>
        <v>OptoCapBT02T Operating Range 8 ppb - 60% O2 Sat P/N 30018857, Measured Pressure Resistance : 0 bar -; ; ;</v>
      </c>
      <c r="F1270" s="6">
        <f>IFERROR(__xludf.DUMMYFUNCTION("""COMPUTED_VALUE"""),1.0)</f>
        <v>1</v>
      </c>
      <c r="G1270" s="6" t="str">
        <f>IFERROR(__xludf.DUMMYFUNCTION("""COMPUTED_VALUE"""),"Unit")</f>
        <v>Unit</v>
      </c>
      <c r="H1270" s="6" t="str">
        <f>IFERROR(__xludf.DUMMYFUNCTION("""COMPUTED_VALUE"""),"IDR")</f>
        <v>IDR</v>
      </c>
      <c r="I1270" s="6">
        <f>IFERROR(__xludf.DUMMYFUNCTION("""COMPUTED_VALUE"""),1.2741E7)</f>
        <v>12741000</v>
      </c>
      <c r="J1270" s="6">
        <f>IFERROR(__xludf.DUMMYFUNCTION("""COMPUTED_VALUE"""),1.2741E7)</f>
        <v>12741000</v>
      </c>
      <c r="K1270" s="57">
        <f>IFERROR(__xludf.DUMMYFUNCTION("""COMPUTED_VALUE"""),44084.0)</f>
        <v>44084</v>
      </c>
      <c r="L1270" s="6" t="str">
        <f>IFERROR(__xludf.DUMMYFUNCTION("""COMPUTED_VALUE"""),"FIP Engineering")</f>
        <v>FIP Engineering</v>
      </c>
      <c r="M1270" s="6" t="str">
        <f>IFERROR(__xludf.DUMMYFUNCTION("""COMPUTED_VALUE"""),"Irwan Sopian")</f>
        <v>Irwan Sopian</v>
      </c>
      <c r="N1270" s="6" t="str">
        <f>IFERROR(__xludf.DUMMYFUNCTION("""COMPUTED_VALUE"""),"FIP Engineering")</f>
        <v>FIP Engineering</v>
      </c>
      <c r="O1270" s="6" t="str">
        <f>IFERROR(__xludf.DUMMYFUNCTION("""COMPUTED_VALUE"""),"FIP-DOM-000-11304-OS00001-INA-000000")</f>
        <v>FIP-DOM-000-11304-OS00001-INA-000000</v>
      </c>
      <c r="P1270" s="6" t="str">
        <f>IFERROR(__xludf.DUMMYFUNCTION("""COMPUTED_VALUE"""),"PO Closed")</f>
        <v>PO Closed</v>
      </c>
      <c r="Q1270" s="6" t="str">
        <f>IFERROR(__xludf.DUMMYFUNCTION("""COMPUTED_VALUE"""),"GL2009006")</f>
        <v>GL2009006</v>
      </c>
      <c r="R1270" s="57">
        <f>IFERROR(__xludf.DUMMYFUNCTION("""COMPUTED_VALUE"""),44068.0)</f>
        <v>44068</v>
      </c>
      <c r="S1270" s="6" t="str">
        <f>IFERROR(__xludf.DUMMYFUNCTION("""COMPUTED_VALUE"""),"-")</f>
        <v>-</v>
      </c>
      <c r="T1270" s="57">
        <f>IFERROR(__xludf.DUMMYFUNCTION("""COMPUTED_VALUE"""),44158.0)</f>
        <v>44158</v>
      </c>
    </row>
    <row r="1271">
      <c r="A1271" s="6" t="str">
        <f>IFERROR(__xludf.DUMMYFUNCTION("""COMPUTED_VALUE"""),"201750332-3")</f>
        <v>201750332-3</v>
      </c>
      <c r="B1271" s="6" t="str">
        <f>IFERROR(__xludf.DUMMYFUNCTION("""COMPUTED_VALUE"""),"201750332 - Approved")</f>
        <v>201750332 - Approved</v>
      </c>
      <c r="C1271" s="6">
        <f>IFERROR(__xludf.DUMMYFUNCTION("""COMPUTED_VALUE"""),3.0)</f>
        <v>3</v>
      </c>
      <c r="D1271" s="6" t="str">
        <f>IFERROR(__xludf.DUMMYFUNCTION("""COMPUTED_VALUE"""),"O-50826-00")</f>
        <v>O-50826-00</v>
      </c>
      <c r="E1271" s="6" t="str">
        <f>IFERROR(__xludf.DUMMYFUNCTION("""COMPUTED_VALUE"""),"PCB, R, Detector, Airnet II P/N : 1000013676; ; ;")</f>
        <v>PCB, R, Detector, Airnet II P/N : 1000013676; ; ;</v>
      </c>
      <c r="F1271" s="6">
        <f>IFERROR(__xludf.DUMMYFUNCTION("""COMPUTED_VALUE"""),1.0)</f>
        <v>1</v>
      </c>
      <c r="G1271" s="6" t="str">
        <f>IFERROR(__xludf.DUMMYFUNCTION("""COMPUTED_VALUE"""),"Unit")</f>
        <v>Unit</v>
      </c>
      <c r="H1271" s="6" t="str">
        <f>IFERROR(__xludf.DUMMYFUNCTION("""COMPUTED_VALUE"""),"IDR")</f>
        <v>IDR</v>
      </c>
      <c r="I1271" s="6">
        <f>IFERROR(__xludf.DUMMYFUNCTION("""COMPUTED_VALUE"""),1.15E7)</f>
        <v>11500000</v>
      </c>
      <c r="J1271" s="6">
        <f>IFERROR(__xludf.DUMMYFUNCTION("""COMPUTED_VALUE"""),1.15E7)</f>
        <v>11500000</v>
      </c>
      <c r="K1271" s="57">
        <f>IFERROR(__xludf.DUMMYFUNCTION("""COMPUTED_VALUE"""),44099.0)</f>
        <v>44099</v>
      </c>
      <c r="L1271" s="6" t="str">
        <f>IFERROR(__xludf.DUMMYFUNCTION("""COMPUTED_VALUE"""),"FIP General")</f>
        <v>FIP General</v>
      </c>
      <c r="M1271" s="6" t="str">
        <f>IFERROR(__xludf.DUMMYFUNCTION("""COMPUTED_VALUE"""),"Irwan Sopian")</f>
        <v>Irwan Sopian</v>
      </c>
      <c r="N1271" s="6" t="str">
        <f>IFERROR(__xludf.DUMMYFUNCTION("""COMPUTED_VALUE"""),"FIP Engineering")</f>
        <v>FIP Engineering</v>
      </c>
      <c r="O1271" s="6" t="str">
        <f>IFERROR(__xludf.DUMMYFUNCTION("""COMPUTED_VALUE"""),"FIP-DOM-ENG-51504-0000000-INA-000000")</f>
        <v>FIP-DOM-ENG-51504-0000000-INA-000000</v>
      </c>
      <c r="P1271" s="6" t="str">
        <f>IFERROR(__xludf.DUMMYFUNCTION("""COMPUTED_VALUE"""),"PO Closed")</f>
        <v>PO Closed</v>
      </c>
      <c r="Q1271" s="6" t="str">
        <f>IFERROR(__xludf.DUMMYFUNCTION("""COMPUTED_VALUE"""),"GL2009016")</f>
        <v>GL2009016</v>
      </c>
      <c r="R1271" s="57">
        <f>IFERROR(__xludf.DUMMYFUNCTION("""COMPUTED_VALUE"""),44068.0)</f>
        <v>44068</v>
      </c>
      <c r="S1271" s="6" t="str">
        <f>IFERROR(__xludf.DUMMYFUNCTION("""COMPUTED_VALUE"""),"-")</f>
        <v>-</v>
      </c>
      <c r="T1271" s="57">
        <f>IFERROR(__xludf.DUMMYFUNCTION("""COMPUTED_VALUE"""),44102.0)</f>
        <v>44102</v>
      </c>
    </row>
    <row r="1272">
      <c r="A1272" s="6" t="str">
        <f>IFERROR(__xludf.DUMMYFUNCTION("""COMPUTED_VALUE"""),"201750344-1")</f>
        <v>201750344-1</v>
      </c>
      <c r="B1272" s="6" t="str">
        <f>IFERROR(__xludf.DUMMYFUNCTION("""COMPUTED_VALUE"""),"201750344 - Approved")</f>
        <v>201750344 - Approved</v>
      </c>
      <c r="C1272" s="6">
        <f>IFERROR(__xludf.DUMMYFUNCTION("""COMPUTED_VALUE"""),1.0)</f>
        <v>1</v>
      </c>
      <c r="D1272" s="6" t="str">
        <f>IFERROR(__xludf.DUMMYFUNCTION("""COMPUTED_VALUE"""),"O-52224-00")</f>
        <v>O-52224-00</v>
      </c>
      <c r="E1272" s="6" t="str">
        <f>IFERROR(__xludf.DUMMYFUNCTION("""COMPUTED_VALUE"""),"Tunnel ST1L - Fuse Keramik 22x58 40A 200kA")</f>
        <v>Tunnel ST1L - Fuse Keramik 22x58 40A 200kA</v>
      </c>
      <c r="F1272" s="6">
        <f>IFERROR(__xludf.DUMMYFUNCTION("""COMPUTED_VALUE"""),3.0)</f>
        <v>3</v>
      </c>
      <c r="G1272" s="6" t="str">
        <f>IFERROR(__xludf.DUMMYFUNCTION("""COMPUTED_VALUE"""),"Pieces")</f>
        <v>Pieces</v>
      </c>
      <c r="H1272" s="6" t="str">
        <f>IFERROR(__xludf.DUMMYFUNCTION("""COMPUTED_VALUE"""),"IDR")</f>
        <v>IDR</v>
      </c>
      <c r="I1272" s="6">
        <f>IFERROR(__xludf.DUMMYFUNCTION("""COMPUTED_VALUE"""),545000.0)</f>
        <v>545000</v>
      </c>
      <c r="J1272" s="6">
        <f>IFERROR(__xludf.DUMMYFUNCTION("""COMPUTED_VALUE"""),1635000.0)</f>
        <v>1635000</v>
      </c>
      <c r="K1272" s="57">
        <f>IFERROR(__xludf.DUMMYFUNCTION("""COMPUTED_VALUE"""),44106.0)</f>
        <v>44106</v>
      </c>
      <c r="L1272" s="6" t="str">
        <f>IFERROR(__xludf.DUMMYFUNCTION("""COMPUTED_VALUE"""),"FIP Engineering")</f>
        <v>FIP Engineering</v>
      </c>
      <c r="M1272" s="6" t="str">
        <f>IFERROR(__xludf.DUMMYFUNCTION("""COMPUTED_VALUE"""),"Irwan Sopian")</f>
        <v>Irwan Sopian</v>
      </c>
      <c r="N1272" s="6" t="str">
        <f>IFERROR(__xludf.DUMMYFUNCTION("""COMPUTED_VALUE"""),"FIP Engineering")</f>
        <v>FIP Engineering</v>
      </c>
      <c r="O1272" s="6" t="str">
        <f>IFERROR(__xludf.DUMMYFUNCTION("""COMPUTED_VALUE"""),"FIP-DOM-000-11304-OS00001-INA-000000")</f>
        <v>FIP-DOM-000-11304-OS00001-INA-000000</v>
      </c>
      <c r="P1272" s="6" t="str">
        <f>IFERROR(__xludf.DUMMYFUNCTION("""COMPUTED_VALUE"""),"PO Closed")</f>
        <v>PO Closed</v>
      </c>
      <c r="Q1272" s="6" t="str">
        <f>IFERROR(__xludf.DUMMYFUNCTION("""COMPUTED_VALUE"""),"GL2010001")</f>
        <v>GL2010001</v>
      </c>
      <c r="R1272" s="57">
        <f>IFERROR(__xludf.DUMMYFUNCTION("""COMPUTED_VALUE"""),44077.0)</f>
        <v>44077</v>
      </c>
      <c r="S1272" s="6" t="str">
        <f>IFERROR(__xludf.DUMMYFUNCTION("""COMPUTED_VALUE"""),"-")</f>
        <v>-</v>
      </c>
      <c r="T1272" s="57">
        <f>IFERROR(__xludf.DUMMYFUNCTION("""COMPUTED_VALUE"""),44116.0)</f>
        <v>44116</v>
      </c>
    </row>
    <row r="1273">
      <c r="A1273" s="6" t="str">
        <f>IFERROR(__xludf.DUMMYFUNCTION("""COMPUTED_VALUE"""),"201750344-2")</f>
        <v>201750344-2</v>
      </c>
      <c r="B1273" s="6" t="str">
        <f>IFERROR(__xludf.DUMMYFUNCTION("""COMPUTED_VALUE"""),"201750344 - Approved")</f>
        <v>201750344 - Approved</v>
      </c>
      <c r="C1273" s="6">
        <f>IFERROR(__xludf.DUMMYFUNCTION("""COMPUTED_VALUE"""),2.0)</f>
        <v>2</v>
      </c>
      <c r="D1273" s="6" t="str">
        <f>IFERROR(__xludf.DUMMYFUNCTION("""COMPUTED_VALUE"""),"P-10945-00")</f>
        <v>P-10945-00</v>
      </c>
      <c r="E1273" s="6" t="str">
        <f>IFERROR(__xludf.DUMMYFUNCTION("""COMPUTED_VALUE"""),"Insulation - Seal Tape onda")</f>
        <v>Insulation - Seal Tape onda</v>
      </c>
      <c r="F1273" s="6">
        <f>IFERROR(__xludf.DUMMYFUNCTION("""COMPUTED_VALUE"""),10.0)</f>
        <v>10</v>
      </c>
      <c r="G1273" s="6" t="str">
        <f>IFERROR(__xludf.DUMMYFUNCTION("""COMPUTED_VALUE"""),"Pieces")</f>
        <v>Pieces</v>
      </c>
      <c r="H1273" s="6" t="str">
        <f>IFERROR(__xludf.DUMMYFUNCTION("""COMPUTED_VALUE"""),"IDR")</f>
        <v>IDR</v>
      </c>
      <c r="I1273" s="6">
        <f>IFERROR(__xludf.DUMMYFUNCTION("""COMPUTED_VALUE"""),40.0)</f>
        <v>40</v>
      </c>
      <c r="J1273" s="6">
        <f>IFERROR(__xludf.DUMMYFUNCTION("""COMPUTED_VALUE"""),400.0)</f>
        <v>400</v>
      </c>
      <c r="K1273" s="57">
        <f>IFERROR(__xludf.DUMMYFUNCTION("""COMPUTED_VALUE"""),44106.0)</f>
        <v>44106</v>
      </c>
      <c r="L1273" s="6" t="str">
        <f>IFERROR(__xludf.DUMMYFUNCTION("""COMPUTED_VALUE"""),"FIP Engineering")</f>
        <v>FIP Engineering</v>
      </c>
      <c r="M1273" s="6" t="str">
        <f>IFERROR(__xludf.DUMMYFUNCTION("""COMPUTED_VALUE"""),"Irwan Sopian")</f>
        <v>Irwan Sopian</v>
      </c>
      <c r="N1273" s="6" t="str">
        <f>IFERROR(__xludf.DUMMYFUNCTION("""COMPUTED_VALUE"""),"FIP Engineering")</f>
        <v>FIP Engineering</v>
      </c>
      <c r="O1273" s="6" t="str">
        <f>IFERROR(__xludf.DUMMYFUNCTION("""COMPUTED_VALUE"""),"FIP-DOM-000-11304-OS00001-INA-000000")</f>
        <v>FIP-DOM-000-11304-OS00001-INA-000000</v>
      </c>
      <c r="P1273" s="6" t="str">
        <f>IFERROR(__xludf.DUMMYFUNCTION("""COMPUTED_VALUE"""),"PO Closed")</f>
        <v>PO Closed</v>
      </c>
      <c r="Q1273" s="6" t="str">
        <f>IFERROR(__xludf.DUMMYFUNCTION("""COMPUTED_VALUE"""),"GL2010001")</f>
        <v>GL2010001</v>
      </c>
      <c r="R1273" s="57">
        <f>IFERROR(__xludf.DUMMYFUNCTION("""COMPUTED_VALUE"""),44077.0)</f>
        <v>44077</v>
      </c>
      <c r="S1273" s="6" t="str">
        <f>IFERROR(__xludf.DUMMYFUNCTION("""COMPUTED_VALUE"""),"-")</f>
        <v>-</v>
      </c>
      <c r="T1273" s="57">
        <f>IFERROR(__xludf.DUMMYFUNCTION("""COMPUTED_VALUE"""),44116.0)</f>
        <v>44116</v>
      </c>
    </row>
    <row r="1274">
      <c r="A1274" s="6" t="str">
        <f>IFERROR(__xludf.DUMMYFUNCTION("""COMPUTED_VALUE"""),"201750344-3")</f>
        <v>201750344-3</v>
      </c>
      <c r="B1274" s="6" t="str">
        <f>IFERROR(__xludf.DUMMYFUNCTION("""COMPUTED_VALUE"""),"201750344 - Approved")</f>
        <v>201750344 - Approved</v>
      </c>
      <c r="C1274" s="6">
        <f>IFERROR(__xludf.DUMMYFUNCTION("""COMPUTED_VALUE"""),3.0)</f>
        <v>3</v>
      </c>
      <c r="D1274" s="6" t="str">
        <f>IFERROR(__xludf.DUMMYFUNCTION("""COMPUTED_VALUE"""),"Q-60003-00")</f>
        <v>Q-60003-00</v>
      </c>
      <c r="E1274" s="6" t="str">
        <f>IFERROR(__xludf.DUMMYFUNCTION("""COMPUTED_VALUE"""),"Plakband Kertas")</f>
        <v>Plakband Kertas</v>
      </c>
      <c r="F1274" s="6">
        <f>IFERROR(__xludf.DUMMYFUNCTION("""COMPUTED_VALUE"""),15.0)</f>
        <v>15</v>
      </c>
      <c r="G1274" s="6" t="str">
        <f>IFERROR(__xludf.DUMMYFUNCTION("""COMPUTED_VALUE"""),"Roll")</f>
        <v>Roll</v>
      </c>
      <c r="H1274" s="6" t="str">
        <f>IFERROR(__xludf.DUMMYFUNCTION("""COMPUTED_VALUE"""),"IDR")</f>
        <v>IDR</v>
      </c>
      <c r="I1274" s="6">
        <f>IFERROR(__xludf.DUMMYFUNCTION("""COMPUTED_VALUE"""),6000.0)</f>
        <v>6000</v>
      </c>
      <c r="J1274" s="6">
        <f>IFERROR(__xludf.DUMMYFUNCTION("""COMPUTED_VALUE"""),90000.0)</f>
        <v>90000</v>
      </c>
      <c r="K1274" s="57">
        <f>IFERROR(__xludf.DUMMYFUNCTION("""COMPUTED_VALUE"""),44106.0)</f>
        <v>44106</v>
      </c>
      <c r="L1274" s="6" t="str">
        <f>IFERROR(__xludf.DUMMYFUNCTION("""COMPUTED_VALUE"""),"FIP Engineering")</f>
        <v>FIP Engineering</v>
      </c>
      <c r="M1274" s="6" t="str">
        <f>IFERROR(__xludf.DUMMYFUNCTION("""COMPUTED_VALUE"""),"Irwan Sopian")</f>
        <v>Irwan Sopian</v>
      </c>
      <c r="N1274" s="6" t="str">
        <f>IFERROR(__xludf.DUMMYFUNCTION("""COMPUTED_VALUE"""),"FIP Engineering")</f>
        <v>FIP Engineering</v>
      </c>
      <c r="O1274" s="6" t="str">
        <f>IFERROR(__xludf.DUMMYFUNCTION("""COMPUTED_VALUE"""),"FIP-DOM-000-11304-OS00001-INA-000000")</f>
        <v>FIP-DOM-000-11304-OS00001-INA-000000</v>
      </c>
      <c r="P1274" s="6" t="str">
        <f>IFERROR(__xludf.DUMMYFUNCTION("""COMPUTED_VALUE"""),"PO Closed")</f>
        <v>PO Closed</v>
      </c>
      <c r="Q1274" s="6" t="str">
        <f>IFERROR(__xludf.DUMMYFUNCTION("""COMPUTED_VALUE"""),"GL2010001")</f>
        <v>GL2010001</v>
      </c>
      <c r="R1274" s="57">
        <f>IFERROR(__xludf.DUMMYFUNCTION("""COMPUTED_VALUE"""),44077.0)</f>
        <v>44077</v>
      </c>
      <c r="S1274" s="6" t="str">
        <f>IFERROR(__xludf.DUMMYFUNCTION("""COMPUTED_VALUE"""),"-")</f>
        <v>-</v>
      </c>
      <c r="T1274" s="57">
        <f>IFERROR(__xludf.DUMMYFUNCTION("""COMPUTED_VALUE"""),44116.0)</f>
        <v>44116</v>
      </c>
    </row>
    <row r="1275">
      <c r="A1275" s="6" t="str">
        <f>IFERROR(__xludf.DUMMYFUNCTION("""COMPUTED_VALUE"""),"201750349-1")</f>
        <v>201750349-1</v>
      </c>
      <c r="B1275" s="6" t="str">
        <f>IFERROR(__xludf.DUMMYFUNCTION("""COMPUTED_VALUE"""),"201750349 - Approved")</f>
        <v>201750349 - Approved</v>
      </c>
      <c r="C1275" s="6">
        <f>IFERROR(__xludf.DUMMYFUNCTION("""COMPUTED_VALUE"""),1.0)</f>
        <v>1</v>
      </c>
      <c r="D1275" s="6" t="str">
        <f>IFERROR(__xludf.DUMMYFUNCTION("""COMPUTED_VALUE"""),"P-10759-00")</f>
        <v>P-10759-00</v>
      </c>
      <c r="E1275" s="6" t="str">
        <f>IFERROR(__xludf.DUMMYFUNCTION("""COMPUTED_VALUE"""),"Ferrule - Klem Ferrule 4inch SS 316L")</f>
        <v>Ferrule - Klem Ferrule 4inch SS 316L</v>
      </c>
      <c r="F1275" s="6">
        <f>IFERROR(__xludf.DUMMYFUNCTION("""COMPUTED_VALUE"""),1.0)</f>
        <v>1</v>
      </c>
      <c r="G1275" s="6" t="str">
        <f>IFERROR(__xludf.DUMMYFUNCTION("""COMPUTED_VALUE"""),"Pieces")</f>
        <v>Pieces</v>
      </c>
      <c r="H1275" s="6" t="str">
        <f>IFERROR(__xludf.DUMMYFUNCTION("""COMPUTED_VALUE"""),"IDR")</f>
        <v>IDR</v>
      </c>
      <c r="I1275" s="6">
        <f>IFERROR(__xludf.DUMMYFUNCTION("""COMPUTED_VALUE"""),225000.0)</f>
        <v>225000</v>
      </c>
      <c r="J1275" s="6">
        <f>IFERROR(__xludf.DUMMYFUNCTION("""COMPUTED_VALUE"""),225000.0)</f>
        <v>225000</v>
      </c>
      <c r="K1275" s="57">
        <f>IFERROR(__xludf.DUMMYFUNCTION("""COMPUTED_VALUE"""),44165.0)</f>
        <v>44165</v>
      </c>
      <c r="L1275" s="6" t="str">
        <f>IFERROR(__xludf.DUMMYFUNCTION("""COMPUTED_VALUE"""),"FIP Engineering")</f>
        <v>FIP Engineering</v>
      </c>
      <c r="M1275" s="6" t="str">
        <f>IFERROR(__xludf.DUMMYFUNCTION("""COMPUTED_VALUE"""),"Irwan Sopian")</f>
        <v>Irwan Sopian</v>
      </c>
      <c r="N1275" s="6" t="str">
        <f>IFERROR(__xludf.DUMMYFUNCTION("""COMPUTED_VALUE"""),"FIP Engineering")</f>
        <v>FIP Engineering</v>
      </c>
      <c r="O1275" s="6" t="str">
        <f>IFERROR(__xludf.DUMMYFUNCTION("""COMPUTED_VALUE"""),"FIP-DOM-000-11304-OS00001-INA-000000")</f>
        <v>FIP-DOM-000-11304-OS00001-INA-000000</v>
      </c>
      <c r="P1275" s="6" t="str">
        <f>IFERROR(__xludf.DUMMYFUNCTION("""COMPUTED_VALUE"""),"PO Closed")</f>
        <v>PO Closed</v>
      </c>
      <c r="Q1275" s="6" t="str">
        <f>IFERROR(__xludf.DUMMYFUNCTION("""COMPUTED_VALUE"""),"GL2011040")</f>
        <v>GL2011040</v>
      </c>
      <c r="R1275" s="57">
        <f>IFERROR(__xludf.DUMMYFUNCTION("""COMPUTED_VALUE"""),44078.0)</f>
        <v>44078</v>
      </c>
      <c r="S1275" s="6" t="str">
        <f>IFERROR(__xludf.DUMMYFUNCTION("""COMPUTED_VALUE"""),"-")</f>
        <v>-</v>
      </c>
      <c r="T1275" s="57">
        <f>IFERROR(__xludf.DUMMYFUNCTION("""COMPUTED_VALUE"""),44169.0)</f>
        <v>44169</v>
      </c>
    </row>
    <row r="1276">
      <c r="A1276" s="6" t="str">
        <f>IFERROR(__xludf.DUMMYFUNCTION("""COMPUTED_VALUE"""),"201750357-1")</f>
        <v>201750357-1</v>
      </c>
      <c r="B1276" s="6" t="str">
        <f>IFERROR(__xludf.DUMMYFUNCTION("""COMPUTED_VALUE"""),"201750357 - Approved")</f>
        <v>201750357 - Approved</v>
      </c>
      <c r="C1276" s="6">
        <f>IFERROR(__xludf.DUMMYFUNCTION("""COMPUTED_VALUE"""),1.0)</f>
        <v>1</v>
      </c>
      <c r="D1276" s="6" t="str">
        <f>IFERROR(__xludf.DUMMYFUNCTION("""COMPUTED_VALUE"""),"P-60000-00")</f>
        <v>P-60000-00</v>
      </c>
      <c r="E1276" s="6" t="str">
        <f>IFERROR(__xludf.DUMMYFUNCTION("""COMPUTED_VALUE"""),"Jasa Perbaikan WI Incubator Leak")</f>
        <v>Jasa Perbaikan WI Incubator Leak</v>
      </c>
      <c r="F1276" s="6">
        <f>IFERROR(__xludf.DUMMYFUNCTION("""COMPUTED_VALUE"""),1.0)</f>
        <v>1</v>
      </c>
      <c r="G1276" s="6" t="str">
        <f>IFERROR(__xludf.DUMMYFUNCTION("""COMPUTED_VALUE"""),"Lot")</f>
        <v>Lot</v>
      </c>
      <c r="H1276" s="6" t="str">
        <f>IFERROR(__xludf.DUMMYFUNCTION("""COMPUTED_VALUE"""),"IDR")</f>
        <v>IDR</v>
      </c>
      <c r="I1276" s="6">
        <f>IFERROR(__xludf.DUMMYFUNCTION("""COMPUTED_VALUE"""),2500000.0)</f>
        <v>2500000</v>
      </c>
      <c r="J1276" s="6">
        <f>IFERROR(__xludf.DUMMYFUNCTION("""COMPUTED_VALUE"""),2500000.0)</f>
        <v>2500000</v>
      </c>
      <c r="K1276" s="57">
        <f>IFERROR(__xludf.DUMMYFUNCTION("""COMPUTED_VALUE"""),44106.0)</f>
        <v>44106</v>
      </c>
      <c r="L1276" s="6" t="str">
        <f>IFERROR(__xludf.DUMMYFUNCTION("""COMPUTED_VALUE"""),"FIP General")</f>
        <v>FIP General</v>
      </c>
      <c r="M1276" s="6" t="str">
        <f>IFERROR(__xludf.DUMMYFUNCTION("""COMPUTED_VALUE"""),"Irwan Sopian")</f>
        <v>Irwan Sopian</v>
      </c>
      <c r="N1276" s="6" t="str">
        <f>IFERROR(__xludf.DUMMYFUNCTION("""COMPUTED_VALUE"""),"FIP Engineering")</f>
        <v>FIP Engineering</v>
      </c>
      <c r="O1276" s="6" t="str">
        <f>IFERROR(__xludf.DUMMYFUNCTION("""COMPUTED_VALUE"""),"FIP-DOM-ENG-51504-0000000-INA-000000")</f>
        <v>FIP-DOM-ENG-51504-0000000-INA-000000</v>
      </c>
      <c r="P1276" s="6" t="str">
        <f>IFERROR(__xludf.DUMMYFUNCTION("""COMPUTED_VALUE"""),"PO Closed")</f>
        <v>PO Closed</v>
      </c>
      <c r="Q1276" s="6" t="str">
        <f>IFERROR(__xludf.DUMMYFUNCTION("""COMPUTED_VALUE"""),"GL2009030")</f>
        <v>GL2009030</v>
      </c>
      <c r="R1276" s="57">
        <f>IFERROR(__xludf.DUMMYFUNCTION("""COMPUTED_VALUE"""),44083.0)</f>
        <v>44083</v>
      </c>
      <c r="S1276" s="6" t="str">
        <f>IFERROR(__xludf.DUMMYFUNCTION("""COMPUTED_VALUE"""),"-")</f>
        <v>-</v>
      </c>
      <c r="T1276" s="57">
        <f>IFERROR(__xludf.DUMMYFUNCTION("""COMPUTED_VALUE"""),44142.0)</f>
        <v>44142</v>
      </c>
    </row>
    <row r="1277">
      <c r="A1277" s="6" t="str">
        <f>IFERROR(__xludf.DUMMYFUNCTION("""COMPUTED_VALUE"""),"201750312-3")</f>
        <v>201750312-3</v>
      </c>
      <c r="B1277" s="6" t="str">
        <f>IFERROR(__xludf.DUMMYFUNCTION("""COMPUTED_VALUE"""),"201750312 - Approved")</f>
        <v>201750312 - Approved</v>
      </c>
      <c r="C1277" s="6">
        <f>IFERROR(__xludf.DUMMYFUNCTION("""COMPUTED_VALUE"""),3.0)</f>
        <v>3</v>
      </c>
      <c r="D1277" s="6" t="str">
        <f>IFERROR(__xludf.DUMMYFUNCTION("""COMPUTED_VALUE"""),"P-51856-00")</f>
        <v>P-51856-00</v>
      </c>
      <c r="E1277" s="6" t="str">
        <f>IFERROR(__xludf.DUMMYFUNCTION("""COMPUTED_VALUE"""),"Key Selector Switch S2KR-4CK2AM Autonics")</f>
        <v>Key Selector Switch S2KR-4CK2AM Autonics</v>
      </c>
      <c r="F1277" s="6">
        <f>IFERROR(__xludf.DUMMYFUNCTION("""COMPUTED_VALUE"""),1.0)</f>
        <v>1</v>
      </c>
      <c r="G1277" s="6" t="str">
        <f>IFERROR(__xludf.DUMMYFUNCTION("""COMPUTED_VALUE"""),"Pieces")</f>
        <v>Pieces</v>
      </c>
      <c r="H1277" s="6" t="str">
        <f>IFERROR(__xludf.DUMMYFUNCTION("""COMPUTED_VALUE"""),"IDR")</f>
        <v>IDR</v>
      </c>
      <c r="I1277" s="6">
        <f>IFERROR(__xludf.DUMMYFUNCTION("""COMPUTED_VALUE"""),97000.0)</f>
        <v>97000</v>
      </c>
      <c r="J1277" s="6">
        <f>IFERROR(__xludf.DUMMYFUNCTION("""COMPUTED_VALUE"""),97000.0)</f>
        <v>97000</v>
      </c>
      <c r="K1277" s="57">
        <f>IFERROR(__xludf.DUMMYFUNCTION("""COMPUTED_VALUE"""),44144.0)</f>
        <v>44144</v>
      </c>
      <c r="L1277" s="6" t="str">
        <f>IFERROR(__xludf.DUMMYFUNCTION("""COMPUTED_VALUE"""),"FIP Engineering")</f>
        <v>FIP Engineering</v>
      </c>
      <c r="M1277" s="6" t="str">
        <f>IFERROR(__xludf.DUMMYFUNCTION("""COMPUTED_VALUE"""),"Irwan Sopian")</f>
        <v>Irwan Sopian</v>
      </c>
      <c r="N1277" s="6" t="str">
        <f>IFERROR(__xludf.DUMMYFUNCTION("""COMPUTED_VALUE"""),"FIP Engineering")</f>
        <v>FIP Engineering</v>
      </c>
      <c r="O1277" s="6" t="str">
        <f>IFERROR(__xludf.DUMMYFUNCTION("""COMPUTED_VALUE"""),"FIP-DOM-000-11304-OS00001-INA-000000")</f>
        <v>FIP-DOM-000-11304-OS00001-INA-000000</v>
      </c>
      <c r="P1277" s="6" t="str">
        <f>IFERROR(__xludf.DUMMYFUNCTION("""COMPUTED_VALUE"""),"PO Closed")</f>
        <v>PO Closed</v>
      </c>
      <c r="Q1277" s="6" t="str">
        <f>IFERROR(__xludf.DUMMYFUNCTION("""COMPUTED_VALUE"""),"GL2011010")</f>
        <v>GL2011010</v>
      </c>
      <c r="R1277" s="57">
        <f>IFERROR(__xludf.DUMMYFUNCTION("""COMPUTED_VALUE"""),44083.0)</f>
        <v>44083</v>
      </c>
      <c r="S1277" s="6" t="str">
        <f>IFERROR(__xludf.DUMMYFUNCTION("""COMPUTED_VALUE"""),"-")</f>
        <v>-</v>
      </c>
      <c r="T1277" s="57">
        <f>IFERROR(__xludf.DUMMYFUNCTION("""COMPUTED_VALUE"""),44160.0)</f>
        <v>44160</v>
      </c>
    </row>
    <row r="1278">
      <c r="A1278" s="6" t="str">
        <f>IFERROR(__xludf.DUMMYFUNCTION("""COMPUTED_VALUE"""),"201750312-4")</f>
        <v>201750312-4</v>
      </c>
      <c r="B1278" s="6" t="str">
        <f>IFERROR(__xludf.DUMMYFUNCTION("""COMPUTED_VALUE"""),"201750312 - Approved")</f>
        <v>201750312 - Approved</v>
      </c>
      <c r="C1278" s="6">
        <f>IFERROR(__xludf.DUMMYFUNCTION("""COMPUTED_VALUE"""),4.0)</f>
        <v>4</v>
      </c>
      <c r="D1278" s="6" t="str">
        <f>IFERROR(__xludf.DUMMYFUNCTION("""COMPUTED_VALUE"""),"P-51857-00")</f>
        <v>P-51857-00</v>
      </c>
      <c r="E1278" s="6" t="str">
        <f>IFERROR(__xludf.DUMMYFUNCTION("""COMPUTED_VALUE"""),"Contact Block SA-CBM Autonics")</f>
        <v>Contact Block SA-CBM Autonics</v>
      </c>
      <c r="F1278" s="6">
        <f>IFERROR(__xludf.DUMMYFUNCTION("""COMPUTED_VALUE"""),2.0)</f>
        <v>2</v>
      </c>
      <c r="G1278" s="6" t="str">
        <f>IFERROR(__xludf.DUMMYFUNCTION("""COMPUTED_VALUE"""),"Pieces")</f>
        <v>Pieces</v>
      </c>
      <c r="H1278" s="6" t="str">
        <f>IFERROR(__xludf.DUMMYFUNCTION("""COMPUTED_VALUE"""),"IDR")</f>
        <v>IDR</v>
      </c>
      <c r="I1278" s="6">
        <f>IFERROR(__xludf.DUMMYFUNCTION("""COMPUTED_VALUE"""),11000.0)</f>
        <v>11000</v>
      </c>
      <c r="J1278" s="6">
        <f>IFERROR(__xludf.DUMMYFUNCTION("""COMPUTED_VALUE"""),22000.0)</f>
        <v>22000</v>
      </c>
      <c r="K1278" s="57">
        <f>IFERROR(__xludf.DUMMYFUNCTION("""COMPUTED_VALUE"""),44144.0)</f>
        <v>44144</v>
      </c>
      <c r="L1278" s="6" t="str">
        <f>IFERROR(__xludf.DUMMYFUNCTION("""COMPUTED_VALUE"""),"FIP Engineering")</f>
        <v>FIP Engineering</v>
      </c>
      <c r="M1278" s="6" t="str">
        <f>IFERROR(__xludf.DUMMYFUNCTION("""COMPUTED_VALUE"""),"Irwan Sopian")</f>
        <v>Irwan Sopian</v>
      </c>
      <c r="N1278" s="6" t="str">
        <f>IFERROR(__xludf.DUMMYFUNCTION("""COMPUTED_VALUE"""),"FIP Engineering")</f>
        <v>FIP Engineering</v>
      </c>
      <c r="O1278" s="6" t="str">
        <f>IFERROR(__xludf.DUMMYFUNCTION("""COMPUTED_VALUE"""),"FIP-DOM-000-11304-OS00001-INA-000000")</f>
        <v>FIP-DOM-000-11304-OS00001-INA-000000</v>
      </c>
      <c r="P1278" s="6" t="str">
        <f>IFERROR(__xludf.DUMMYFUNCTION("""COMPUTED_VALUE"""),"PO Closed")</f>
        <v>PO Closed</v>
      </c>
      <c r="Q1278" s="6" t="str">
        <f>IFERROR(__xludf.DUMMYFUNCTION("""COMPUTED_VALUE"""),"GL2011010")</f>
        <v>GL2011010</v>
      </c>
      <c r="R1278" s="57">
        <f>IFERROR(__xludf.DUMMYFUNCTION("""COMPUTED_VALUE"""),44083.0)</f>
        <v>44083</v>
      </c>
      <c r="S1278" s="6" t="str">
        <f>IFERROR(__xludf.DUMMYFUNCTION("""COMPUTED_VALUE"""),"-")</f>
        <v>-</v>
      </c>
      <c r="T1278" s="57">
        <f>IFERROR(__xludf.DUMMYFUNCTION("""COMPUTED_VALUE"""),44160.0)</f>
        <v>44160</v>
      </c>
    </row>
    <row r="1279">
      <c r="A1279" s="6" t="str">
        <f>IFERROR(__xludf.DUMMYFUNCTION("""COMPUTED_VALUE"""),"201750359-1")</f>
        <v>201750359-1</v>
      </c>
      <c r="B1279" s="6" t="str">
        <f>IFERROR(__xludf.DUMMYFUNCTION("""COMPUTED_VALUE"""),"201750359 - Approved")</f>
        <v>201750359 - Approved</v>
      </c>
      <c r="C1279" s="6">
        <f>IFERROR(__xludf.DUMMYFUNCTION("""COMPUTED_VALUE"""),1.0)</f>
        <v>1</v>
      </c>
      <c r="D1279" s="6" t="str">
        <f>IFERROR(__xludf.DUMMYFUNCTION("""COMPUTED_VALUE"""),"P-52379-00")</f>
        <v>P-52379-00</v>
      </c>
      <c r="E1279" s="6" t="str">
        <f>IFERROR(__xludf.DUMMYFUNCTION("""COMPUTED_VALUE"""),"Selenoid Valve DS2120-5G-01 1/8inch 24VDC TPC")</f>
        <v>Selenoid Valve DS2120-5G-01 1/8inch 24VDC TPC</v>
      </c>
      <c r="F1279" s="6">
        <f>IFERROR(__xludf.DUMMYFUNCTION("""COMPUTED_VALUE"""),2.0)</f>
        <v>2</v>
      </c>
      <c r="G1279" s="6" t="str">
        <f>IFERROR(__xludf.DUMMYFUNCTION("""COMPUTED_VALUE"""),"Pieces")</f>
        <v>Pieces</v>
      </c>
      <c r="H1279" s="6" t="str">
        <f>IFERROR(__xludf.DUMMYFUNCTION("""COMPUTED_VALUE"""),"IDR")</f>
        <v>IDR</v>
      </c>
      <c r="I1279" s="6">
        <f>IFERROR(__xludf.DUMMYFUNCTION("""COMPUTED_VALUE"""),984500.0)</f>
        <v>984500</v>
      </c>
      <c r="J1279" s="6">
        <f>IFERROR(__xludf.DUMMYFUNCTION("""COMPUTED_VALUE"""),1969000.0)</f>
        <v>1969000</v>
      </c>
      <c r="K1279" s="57">
        <f>IFERROR(__xludf.DUMMYFUNCTION("""COMPUTED_VALUE"""),44106.0)</f>
        <v>44106</v>
      </c>
      <c r="L1279" s="6" t="str">
        <f>IFERROR(__xludf.DUMMYFUNCTION("""COMPUTED_VALUE"""),"FIP Engineering")</f>
        <v>FIP Engineering</v>
      </c>
      <c r="M1279" s="6" t="str">
        <f>IFERROR(__xludf.DUMMYFUNCTION("""COMPUTED_VALUE"""),"Irwan Sopian")</f>
        <v>Irwan Sopian</v>
      </c>
      <c r="N1279" s="6" t="str">
        <f>IFERROR(__xludf.DUMMYFUNCTION("""COMPUTED_VALUE"""),"FIP Engineering")</f>
        <v>FIP Engineering</v>
      </c>
      <c r="O1279" s="6" t="str">
        <f>IFERROR(__xludf.DUMMYFUNCTION("""COMPUTED_VALUE"""),"FIP-DOM-000-11304-OS00001-INA-000000")</f>
        <v>FIP-DOM-000-11304-OS00001-INA-000000</v>
      </c>
      <c r="P1279" s="6" t="str">
        <f>IFERROR(__xludf.DUMMYFUNCTION("""COMPUTED_VALUE"""),"PO Closed")</f>
        <v>PO Closed</v>
      </c>
      <c r="Q1279" s="6" t="str">
        <f>IFERROR(__xludf.DUMMYFUNCTION("""COMPUTED_VALUE"""),"GL2010002")</f>
        <v>GL2010002</v>
      </c>
      <c r="R1279" s="57">
        <f>IFERROR(__xludf.DUMMYFUNCTION("""COMPUTED_VALUE"""),44085.0)</f>
        <v>44085</v>
      </c>
      <c r="S1279" s="6" t="str">
        <f>IFERROR(__xludf.DUMMYFUNCTION("""COMPUTED_VALUE"""),"-")</f>
        <v>-</v>
      </c>
      <c r="T1279" s="57">
        <f>IFERROR(__xludf.DUMMYFUNCTION("""COMPUTED_VALUE"""),44116.0)</f>
        <v>44116</v>
      </c>
    </row>
    <row r="1280">
      <c r="A1280" s="6" t="str">
        <f>IFERROR(__xludf.DUMMYFUNCTION("""COMPUTED_VALUE"""),"201750359-2")</f>
        <v>201750359-2</v>
      </c>
      <c r="B1280" s="6" t="str">
        <f>IFERROR(__xludf.DUMMYFUNCTION("""COMPUTED_VALUE"""),"201750359 - Approved")</f>
        <v>201750359 - Approved</v>
      </c>
      <c r="C1280" s="6">
        <f>IFERROR(__xludf.DUMMYFUNCTION("""COMPUTED_VALUE"""),2.0)</f>
        <v>2</v>
      </c>
      <c r="D1280" s="6" t="str">
        <f>IFERROR(__xludf.DUMMYFUNCTION("""COMPUTED_VALUE"""),"P-17497-00")</f>
        <v>P-17497-00</v>
      </c>
      <c r="E1280" s="6" t="str">
        <f>IFERROR(__xludf.DUMMYFUNCTION("""COMPUTED_VALUE"""),"Tee Drat 1 inch + Vlog Ring Brass 1 x 3/4inch")</f>
        <v>Tee Drat 1 inch + Vlog Ring Brass 1 x 3/4inch</v>
      </c>
      <c r="F1280" s="6">
        <f>IFERROR(__xludf.DUMMYFUNCTION("""COMPUTED_VALUE"""),1.0)</f>
        <v>1</v>
      </c>
      <c r="G1280" s="6" t="str">
        <f>IFERROR(__xludf.DUMMYFUNCTION("""COMPUTED_VALUE"""),"Pieces")</f>
        <v>Pieces</v>
      </c>
      <c r="H1280" s="6" t="str">
        <f>IFERROR(__xludf.DUMMYFUNCTION("""COMPUTED_VALUE"""),"IDR")</f>
        <v>IDR</v>
      </c>
      <c r="I1280" s="6">
        <f>IFERROR(__xludf.DUMMYFUNCTION("""COMPUTED_VALUE"""),150000.0)</f>
        <v>150000</v>
      </c>
      <c r="J1280" s="6">
        <f>IFERROR(__xludf.DUMMYFUNCTION("""COMPUTED_VALUE"""),150000.0)</f>
        <v>150000</v>
      </c>
      <c r="K1280" s="57">
        <f>IFERROR(__xludf.DUMMYFUNCTION("""COMPUTED_VALUE"""),44106.0)</f>
        <v>44106</v>
      </c>
      <c r="L1280" s="6" t="str">
        <f>IFERROR(__xludf.DUMMYFUNCTION("""COMPUTED_VALUE"""),"FIP General")</f>
        <v>FIP General</v>
      </c>
      <c r="M1280" s="6" t="str">
        <f>IFERROR(__xludf.DUMMYFUNCTION("""COMPUTED_VALUE"""),"Irwan Sopian")</f>
        <v>Irwan Sopian</v>
      </c>
      <c r="N1280" s="6" t="str">
        <f>IFERROR(__xludf.DUMMYFUNCTION("""COMPUTED_VALUE"""),"FIP Engineering")</f>
        <v>FIP Engineering</v>
      </c>
      <c r="O1280" s="6" t="str">
        <f>IFERROR(__xludf.DUMMYFUNCTION("""COMPUTED_VALUE"""),"FIP-DOM-ENG-51504-0000000-INA-000000")</f>
        <v>FIP-DOM-ENG-51504-0000000-INA-000000</v>
      </c>
      <c r="P1280" s="6" t="str">
        <f>IFERROR(__xludf.DUMMYFUNCTION("""COMPUTED_VALUE"""),"PO Closed")</f>
        <v>PO Closed</v>
      </c>
      <c r="Q1280" s="6" t="str">
        <f>IFERROR(__xludf.DUMMYFUNCTION("""COMPUTED_VALUE"""),"GL2010002")</f>
        <v>GL2010002</v>
      </c>
      <c r="R1280" s="57">
        <f>IFERROR(__xludf.DUMMYFUNCTION("""COMPUTED_VALUE"""),44085.0)</f>
        <v>44085</v>
      </c>
      <c r="S1280" s="6" t="str">
        <f>IFERROR(__xludf.DUMMYFUNCTION("""COMPUTED_VALUE"""),"-")</f>
        <v>-</v>
      </c>
      <c r="T1280" s="57">
        <f>IFERROR(__xludf.DUMMYFUNCTION("""COMPUTED_VALUE"""),44116.0)</f>
        <v>44116</v>
      </c>
    </row>
    <row r="1281">
      <c r="A1281" s="6" t="str">
        <f>IFERROR(__xludf.DUMMYFUNCTION("""COMPUTED_VALUE"""),"201750363-1")</f>
        <v>201750363-1</v>
      </c>
      <c r="B1281" s="6" t="str">
        <f>IFERROR(__xludf.DUMMYFUNCTION("""COMPUTED_VALUE"""),"201750363 - Approved")</f>
        <v>201750363 - Approved</v>
      </c>
      <c r="C1281" s="6">
        <f>IFERROR(__xludf.DUMMYFUNCTION("""COMPUTED_VALUE"""),1.0)</f>
        <v>1</v>
      </c>
      <c r="D1281" s="6" t="str">
        <f>IFERROR(__xludf.DUMMYFUNCTION("""COMPUTED_VALUE"""),"O-51942-00")</f>
        <v>O-51942-00</v>
      </c>
      <c r="E1281" s="6" t="str">
        <f>IFERROR(__xludf.DUMMYFUNCTION("""COMPUTED_VALUE"""),"Inverter Sinamics 1,1 kw 6SL3224-0BE21-1UA0; Siemens; ;")</f>
        <v>Inverter Sinamics 1,1 kw 6SL3224-0BE21-1UA0; Siemens; ;</v>
      </c>
      <c r="F1281" s="6">
        <f>IFERROR(__xludf.DUMMYFUNCTION("""COMPUTED_VALUE"""),1.0)</f>
        <v>1</v>
      </c>
      <c r="G1281" s="6" t="str">
        <f>IFERROR(__xludf.DUMMYFUNCTION("""COMPUTED_VALUE"""),"Pieces")</f>
        <v>Pieces</v>
      </c>
      <c r="H1281" s="6" t="str">
        <f>IFERROR(__xludf.DUMMYFUNCTION("""COMPUTED_VALUE"""),"IDR")</f>
        <v>IDR</v>
      </c>
      <c r="I1281" s="6">
        <f>IFERROR(__xludf.DUMMYFUNCTION("""COMPUTED_VALUE"""),6526000.0)</f>
        <v>6526000</v>
      </c>
      <c r="J1281" s="6">
        <f>IFERROR(__xludf.DUMMYFUNCTION("""COMPUTED_VALUE"""),6526000.0)</f>
        <v>6526000</v>
      </c>
      <c r="K1281" s="57">
        <f>IFERROR(__xludf.DUMMYFUNCTION("""COMPUTED_VALUE"""),44113.0)</f>
        <v>44113</v>
      </c>
      <c r="L1281" s="6" t="str">
        <f>IFERROR(__xludf.DUMMYFUNCTION("""COMPUTED_VALUE"""),"FIP Engineering")</f>
        <v>FIP Engineering</v>
      </c>
      <c r="M1281" s="6" t="str">
        <f>IFERROR(__xludf.DUMMYFUNCTION("""COMPUTED_VALUE"""),"Irwan Sopian")</f>
        <v>Irwan Sopian</v>
      </c>
      <c r="N1281" s="6" t="str">
        <f>IFERROR(__xludf.DUMMYFUNCTION("""COMPUTED_VALUE"""),"FIP Engineering")</f>
        <v>FIP Engineering</v>
      </c>
      <c r="O1281" s="6" t="str">
        <f>IFERROR(__xludf.DUMMYFUNCTION("""COMPUTED_VALUE"""),"FIP-DOM-000-11304-OS00001-INA-000000")</f>
        <v>FIP-DOM-000-11304-OS00001-INA-000000</v>
      </c>
      <c r="P1281" s="6" t="str">
        <f>IFERROR(__xludf.DUMMYFUNCTION("""COMPUTED_VALUE"""),"PO Closed")</f>
        <v>PO Closed</v>
      </c>
      <c r="Q1281" s="6" t="str">
        <f>IFERROR(__xludf.DUMMYFUNCTION("""COMPUTED_VALUE"""),"GL2009014")</f>
        <v>GL2009014</v>
      </c>
      <c r="R1281" s="57">
        <f>IFERROR(__xludf.DUMMYFUNCTION("""COMPUTED_VALUE"""),44089.0)</f>
        <v>44089</v>
      </c>
      <c r="S1281" s="6" t="str">
        <f>IFERROR(__xludf.DUMMYFUNCTION("""COMPUTED_VALUE"""),"-")</f>
        <v>-</v>
      </c>
      <c r="T1281" s="57">
        <f>IFERROR(__xludf.DUMMYFUNCTION("""COMPUTED_VALUE"""),44113.0)</f>
        <v>44113</v>
      </c>
    </row>
    <row r="1282">
      <c r="A1282" s="6" t="str">
        <f>IFERROR(__xludf.DUMMYFUNCTION("""COMPUTED_VALUE"""),"201750363-2")</f>
        <v>201750363-2</v>
      </c>
      <c r="B1282" s="6" t="str">
        <f>IFERROR(__xludf.DUMMYFUNCTION("""COMPUTED_VALUE"""),"201750363 - Approved")</f>
        <v>201750363 - Approved</v>
      </c>
      <c r="C1282" s="6">
        <f>IFERROR(__xludf.DUMMYFUNCTION("""COMPUTED_VALUE"""),2.0)</f>
        <v>2</v>
      </c>
      <c r="D1282" s="6" t="str">
        <f>IFERROR(__xludf.DUMMYFUNCTION("""COMPUTED_VALUE"""),"O-51943-00")</f>
        <v>O-51943-00</v>
      </c>
      <c r="E1282" s="6" t="str">
        <f>IFERROR(__xludf.DUMMYFUNCTION("""COMPUTED_VALUE"""),"Inverter Sinamics 1,5 kw 6SL3210-1PE16-1UL1; Siemens; ;")</f>
        <v>Inverter Sinamics 1,5 kw 6SL3210-1PE16-1UL1; Siemens; ;</v>
      </c>
      <c r="F1282" s="6">
        <f>IFERROR(__xludf.DUMMYFUNCTION("""COMPUTED_VALUE"""),1.0)</f>
        <v>1</v>
      </c>
      <c r="G1282" s="6" t="str">
        <f>IFERROR(__xludf.DUMMYFUNCTION("""COMPUTED_VALUE"""),"Pieces")</f>
        <v>Pieces</v>
      </c>
      <c r="H1282" s="6" t="str">
        <f>IFERROR(__xludf.DUMMYFUNCTION("""COMPUTED_VALUE"""),"IDR")</f>
        <v>IDR</v>
      </c>
      <c r="I1282" s="6">
        <f>IFERROR(__xludf.DUMMYFUNCTION("""COMPUTED_VALUE"""),8435000.0)</f>
        <v>8435000</v>
      </c>
      <c r="J1282" s="6">
        <f>IFERROR(__xludf.DUMMYFUNCTION("""COMPUTED_VALUE"""),8435000.0)</f>
        <v>8435000</v>
      </c>
      <c r="K1282" s="57">
        <f>IFERROR(__xludf.DUMMYFUNCTION("""COMPUTED_VALUE"""),44113.0)</f>
        <v>44113</v>
      </c>
      <c r="L1282" s="6" t="str">
        <f>IFERROR(__xludf.DUMMYFUNCTION("""COMPUTED_VALUE"""),"FIP Engineering")</f>
        <v>FIP Engineering</v>
      </c>
      <c r="M1282" s="6" t="str">
        <f>IFERROR(__xludf.DUMMYFUNCTION("""COMPUTED_VALUE"""),"Irwan Sopian")</f>
        <v>Irwan Sopian</v>
      </c>
      <c r="N1282" s="6" t="str">
        <f>IFERROR(__xludf.DUMMYFUNCTION("""COMPUTED_VALUE"""),"FIP Engineering")</f>
        <v>FIP Engineering</v>
      </c>
      <c r="O1282" s="6" t="str">
        <f>IFERROR(__xludf.DUMMYFUNCTION("""COMPUTED_VALUE"""),"FIP-DOM-000-11304-OS00001-INA-000000")</f>
        <v>FIP-DOM-000-11304-OS00001-INA-000000</v>
      </c>
      <c r="P1282" s="6" t="str">
        <f>IFERROR(__xludf.DUMMYFUNCTION("""COMPUTED_VALUE"""),"PO Closed")</f>
        <v>PO Closed</v>
      </c>
      <c r="Q1282" s="6" t="str">
        <f>IFERROR(__xludf.DUMMYFUNCTION("""COMPUTED_VALUE"""),"GL2009014")</f>
        <v>GL2009014</v>
      </c>
      <c r="R1282" s="57">
        <f>IFERROR(__xludf.DUMMYFUNCTION("""COMPUTED_VALUE"""),44089.0)</f>
        <v>44089</v>
      </c>
      <c r="S1282" s="6" t="str">
        <f>IFERROR(__xludf.DUMMYFUNCTION("""COMPUTED_VALUE"""),"-")</f>
        <v>-</v>
      </c>
      <c r="T1282" s="57">
        <f>IFERROR(__xludf.DUMMYFUNCTION("""COMPUTED_VALUE"""),44113.0)</f>
        <v>44113</v>
      </c>
    </row>
    <row r="1283">
      <c r="A1283" s="6" t="str">
        <f>IFERROR(__xludf.DUMMYFUNCTION("""COMPUTED_VALUE"""),"201750363-3")</f>
        <v>201750363-3</v>
      </c>
      <c r="B1283" s="6" t="str">
        <f>IFERROR(__xludf.DUMMYFUNCTION("""COMPUTED_VALUE"""),"201750363 - Approved")</f>
        <v>201750363 - Approved</v>
      </c>
      <c r="C1283" s="6">
        <f>IFERROR(__xludf.DUMMYFUNCTION("""COMPUTED_VALUE"""),3.0)</f>
        <v>3</v>
      </c>
      <c r="D1283" s="6" t="str">
        <f>IFERROR(__xludf.DUMMYFUNCTION("""COMPUTED_VALUE"""),"O-60001-00")</f>
        <v>O-60001-00</v>
      </c>
      <c r="E1283" s="6" t="str">
        <f>IFERROR(__xludf.DUMMYFUNCTION("""COMPUTED_VALUE"""),"Jasa Instalasi Inverter dan Trouble shooting")</f>
        <v>Jasa Instalasi Inverter dan Trouble shooting</v>
      </c>
      <c r="F1283" s="6">
        <f>IFERROR(__xludf.DUMMYFUNCTION("""COMPUTED_VALUE"""),2.0)</f>
        <v>2</v>
      </c>
      <c r="G1283" s="6" t="str">
        <f>IFERROR(__xludf.DUMMYFUNCTION("""COMPUTED_VALUE"""),"Lot")</f>
        <v>Lot</v>
      </c>
      <c r="H1283" s="6" t="str">
        <f>IFERROR(__xludf.DUMMYFUNCTION("""COMPUTED_VALUE"""),"IDR")</f>
        <v>IDR</v>
      </c>
      <c r="I1283" s="6">
        <f>IFERROR(__xludf.DUMMYFUNCTION("""COMPUTED_VALUE"""),4000000.0)</f>
        <v>4000000</v>
      </c>
      <c r="J1283" s="6">
        <f>IFERROR(__xludf.DUMMYFUNCTION("""COMPUTED_VALUE"""),8000000.0)</f>
        <v>8000000</v>
      </c>
      <c r="K1283" s="57">
        <f>IFERROR(__xludf.DUMMYFUNCTION("""COMPUTED_VALUE"""),44113.0)</f>
        <v>44113</v>
      </c>
      <c r="L1283" s="6" t="str">
        <f>IFERROR(__xludf.DUMMYFUNCTION("""COMPUTED_VALUE"""),"FIP General")</f>
        <v>FIP General</v>
      </c>
      <c r="M1283" s="6" t="str">
        <f>IFERROR(__xludf.DUMMYFUNCTION("""COMPUTED_VALUE"""),"Irwan Sopian")</f>
        <v>Irwan Sopian</v>
      </c>
      <c r="N1283" s="6" t="str">
        <f>IFERROR(__xludf.DUMMYFUNCTION("""COMPUTED_VALUE"""),"FIP Engineering")</f>
        <v>FIP Engineering</v>
      </c>
      <c r="O1283" s="6" t="str">
        <f>IFERROR(__xludf.DUMMYFUNCTION("""COMPUTED_VALUE"""),"FIP-DOM-ENG-51504-0000000-INA-000000")</f>
        <v>FIP-DOM-ENG-51504-0000000-INA-000000</v>
      </c>
      <c r="P1283" s="6" t="str">
        <f>IFERROR(__xludf.DUMMYFUNCTION("""COMPUTED_VALUE"""),"PO Closed")</f>
        <v>PO Closed</v>
      </c>
      <c r="Q1283" s="6" t="str">
        <f>IFERROR(__xludf.DUMMYFUNCTION("""COMPUTED_VALUE"""),"GL2009014")</f>
        <v>GL2009014</v>
      </c>
      <c r="R1283" s="57">
        <f>IFERROR(__xludf.DUMMYFUNCTION("""COMPUTED_VALUE"""),44089.0)</f>
        <v>44089</v>
      </c>
      <c r="S1283" s="6" t="str">
        <f>IFERROR(__xludf.DUMMYFUNCTION("""COMPUTED_VALUE"""),"-")</f>
        <v>-</v>
      </c>
      <c r="T1283" s="57">
        <f>IFERROR(__xludf.DUMMYFUNCTION("""COMPUTED_VALUE"""),44110.0)</f>
        <v>44110</v>
      </c>
    </row>
    <row r="1284">
      <c r="A1284" s="6" t="str">
        <f>IFERROR(__xludf.DUMMYFUNCTION("""COMPUTED_VALUE"""),"201750364-1")</f>
        <v>201750364-1</v>
      </c>
      <c r="B1284" s="6" t="str">
        <f>IFERROR(__xludf.DUMMYFUNCTION("""COMPUTED_VALUE"""),"201750364 - Approved")</f>
        <v>201750364 - Approved</v>
      </c>
      <c r="C1284" s="6">
        <f>IFERROR(__xludf.DUMMYFUNCTION("""COMPUTED_VALUE"""),1.0)</f>
        <v>1</v>
      </c>
      <c r="D1284" s="6" t="str">
        <f>IFERROR(__xludf.DUMMYFUNCTION("""COMPUTED_VALUE"""),"O-60001-00")</f>
        <v>O-60001-00</v>
      </c>
      <c r="E1284" s="6" t="str">
        <f>IFERROR(__xludf.DUMMYFUNCTION("""COMPUTED_VALUE"""),"Daily Rate Engineering Mesin cRABS (2 hari)")</f>
        <v>Daily Rate Engineering Mesin cRABS (2 hari)</v>
      </c>
      <c r="F1284" s="6">
        <f>IFERROR(__xludf.DUMMYFUNCTION("""COMPUTED_VALUE"""),2.0)</f>
        <v>2</v>
      </c>
      <c r="G1284" s="6" t="str">
        <f>IFERROR(__xludf.DUMMYFUNCTION("""COMPUTED_VALUE"""),"Lot")</f>
        <v>Lot</v>
      </c>
      <c r="H1284" s="6" t="str">
        <f>IFERROR(__xludf.DUMMYFUNCTION("""COMPUTED_VALUE"""),"IDR")</f>
        <v>IDR</v>
      </c>
      <c r="I1284" s="6">
        <f>IFERROR(__xludf.DUMMYFUNCTION("""COMPUTED_VALUE"""),5500000.0)</f>
        <v>5500000</v>
      </c>
      <c r="J1284" s="6">
        <f>IFERROR(__xludf.DUMMYFUNCTION("""COMPUTED_VALUE"""),1.1E7)</f>
        <v>11000000</v>
      </c>
      <c r="K1284" s="57">
        <f>IFERROR(__xludf.DUMMYFUNCTION("""COMPUTED_VALUE"""),44113.0)</f>
        <v>44113</v>
      </c>
      <c r="L1284" s="6" t="str">
        <f>IFERROR(__xludf.DUMMYFUNCTION("""COMPUTED_VALUE"""),"FIP General")</f>
        <v>FIP General</v>
      </c>
      <c r="M1284" s="6" t="str">
        <f>IFERROR(__xludf.DUMMYFUNCTION("""COMPUTED_VALUE"""),"Irwan Sopian")</f>
        <v>Irwan Sopian</v>
      </c>
      <c r="N1284" s="6" t="str">
        <f>IFERROR(__xludf.DUMMYFUNCTION("""COMPUTED_VALUE"""),"FIP Engineering")</f>
        <v>FIP Engineering</v>
      </c>
      <c r="O1284" s="6" t="str">
        <f>IFERROR(__xludf.DUMMYFUNCTION("""COMPUTED_VALUE"""),"FIP-DOM-ENG-51504-0000000-INA-000000")</f>
        <v>FIP-DOM-ENG-51504-0000000-INA-000000</v>
      </c>
      <c r="P1284" s="6" t="str">
        <f>IFERROR(__xludf.DUMMYFUNCTION("""COMPUTED_VALUE"""),"PO Closed")</f>
        <v>PO Closed</v>
      </c>
      <c r="Q1284" s="6" t="str">
        <f>IFERROR(__xludf.DUMMYFUNCTION("""COMPUTED_VALUE"""),"GL2010007")</f>
        <v>GL2010007</v>
      </c>
      <c r="R1284" s="57">
        <f>IFERROR(__xludf.DUMMYFUNCTION("""COMPUTED_VALUE"""),44090.0)</f>
        <v>44090</v>
      </c>
      <c r="S1284" s="6" t="str">
        <f>IFERROR(__xludf.DUMMYFUNCTION("""COMPUTED_VALUE"""),"-")</f>
        <v>-</v>
      </c>
      <c r="T1284" s="57">
        <f>IFERROR(__xludf.DUMMYFUNCTION("""COMPUTED_VALUE"""),44123.0)</f>
        <v>44123</v>
      </c>
    </row>
    <row r="1285">
      <c r="A1285" s="6" t="str">
        <f>IFERROR(__xludf.DUMMYFUNCTION("""COMPUTED_VALUE"""),"201750364-2")</f>
        <v>201750364-2</v>
      </c>
      <c r="B1285" s="6" t="str">
        <f>IFERROR(__xludf.DUMMYFUNCTION("""COMPUTED_VALUE"""),"201750364 - Approved")</f>
        <v>201750364 - Approved</v>
      </c>
      <c r="C1285" s="6">
        <f>IFERROR(__xludf.DUMMYFUNCTION("""COMPUTED_VALUE"""),2.0)</f>
        <v>2</v>
      </c>
      <c r="D1285" s="6" t="str">
        <f>IFERROR(__xludf.DUMMYFUNCTION("""COMPUTED_VALUE"""),"O-51944-00")</f>
        <v>O-51944-00</v>
      </c>
      <c r="E1285" s="6" t="str">
        <f>IFERROR(__xludf.DUMMYFUNCTION("""COMPUTED_VALUE"""),"Connector Plug for Profibus,Simatic DP 6ES7972-0BB12-0XA0; Siemens; ;")</f>
        <v>Connector Plug for Profibus,Simatic DP 6ES7972-0BB12-0XA0; Siemens; ;</v>
      </c>
      <c r="F1285" s="6">
        <f>IFERROR(__xludf.DUMMYFUNCTION("""COMPUTED_VALUE"""),2.0)</f>
        <v>2</v>
      </c>
      <c r="G1285" s="6" t="str">
        <f>IFERROR(__xludf.DUMMYFUNCTION("""COMPUTED_VALUE"""),"Pieces")</f>
        <v>Pieces</v>
      </c>
      <c r="H1285" s="6" t="str">
        <f>IFERROR(__xludf.DUMMYFUNCTION("""COMPUTED_VALUE"""),"IDR")</f>
        <v>IDR</v>
      </c>
      <c r="I1285" s="6">
        <f>IFERROR(__xludf.DUMMYFUNCTION("""COMPUTED_VALUE"""),700000.0)</f>
        <v>700000</v>
      </c>
      <c r="J1285" s="6">
        <f>IFERROR(__xludf.DUMMYFUNCTION("""COMPUTED_VALUE"""),1400000.0)</f>
        <v>1400000</v>
      </c>
      <c r="K1285" s="57">
        <f>IFERROR(__xludf.DUMMYFUNCTION("""COMPUTED_VALUE"""),44113.0)</f>
        <v>44113</v>
      </c>
      <c r="L1285" s="6" t="str">
        <f>IFERROR(__xludf.DUMMYFUNCTION("""COMPUTED_VALUE"""),"FIP General")</f>
        <v>FIP General</v>
      </c>
      <c r="M1285" s="6" t="str">
        <f>IFERROR(__xludf.DUMMYFUNCTION("""COMPUTED_VALUE"""),"Irwan Sopian")</f>
        <v>Irwan Sopian</v>
      </c>
      <c r="N1285" s="6" t="str">
        <f>IFERROR(__xludf.DUMMYFUNCTION("""COMPUTED_VALUE"""),"FIP Engineering")</f>
        <v>FIP Engineering</v>
      </c>
      <c r="O1285" s="6" t="str">
        <f>IFERROR(__xludf.DUMMYFUNCTION("""COMPUTED_VALUE"""),"FIP-DOM-ENG-51504-0000000-INA-000000")</f>
        <v>FIP-DOM-ENG-51504-0000000-INA-000000</v>
      </c>
      <c r="P1285" s="6" t="str">
        <f>IFERROR(__xludf.DUMMYFUNCTION("""COMPUTED_VALUE"""),"PO Closed")</f>
        <v>PO Closed</v>
      </c>
      <c r="Q1285" s="6" t="str">
        <f>IFERROR(__xludf.DUMMYFUNCTION("""COMPUTED_VALUE"""),"GL2010007")</f>
        <v>GL2010007</v>
      </c>
      <c r="R1285" s="57">
        <f>IFERROR(__xludf.DUMMYFUNCTION("""COMPUTED_VALUE"""),44090.0)</f>
        <v>44090</v>
      </c>
      <c r="S1285" s="6" t="str">
        <f>IFERROR(__xludf.DUMMYFUNCTION("""COMPUTED_VALUE"""),"-")</f>
        <v>-</v>
      </c>
      <c r="T1285" s="57">
        <f>IFERROR(__xludf.DUMMYFUNCTION("""COMPUTED_VALUE"""),44123.0)</f>
        <v>44123</v>
      </c>
    </row>
    <row r="1286">
      <c r="A1286" s="6" t="str">
        <f>IFERROR(__xludf.DUMMYFUNCTION("""COMPUTED_VALUE"""),"201750377-1")</f>
        <v>201750377-1</v>
      </c>
      <c r="B1286" s="6" t="str">
        <f>IFERROR(__xludf.DUMMYFUNCTION("""COMPUTED_VALUE"""),"201750377 - Approved")</f>
        <v>201750377 - Approved</v>
      </c>
      <c r="C1286" s="6">
        <f>IFERROR(__xludf.DUMMYFUNCTION("""COMPUTED_VALUE"""),1.0)</f>
        <v>1</v>
      </c>
      <c r="D1286" s="6" t="str">
        <f>IFERROR(__xludf.DUMMYFUNCTION("""COMPUTED_VALUE"""),"Q-10492-00")</f>
        <v>Q-10492-00</v>
      </c>
      <c r="E1286" s="6" t="str">
        <f>IFERROR(__xludf.DUMMYFUNCTION("""COMPUTED_VALUE"""),"Amplas lembar")</f>
        <v>Amplas lembar</v>
      </c>
      <c r="F1286" s="6">
        <f>IFERROR(__xludf.DUMMYFUNCTION("""COMPUTED_VALUE"""),1.0)</f>
        <v>1</v>
      </c>
      <c r="G1286" s="6" t="str">
        <f>IFERROR(__xludf.DUMMYFUNCTION("""COMPUTED_VALUE"""),"Pieces")</f>
        <v>Pieces</v>
      </c>
      <c r="H1286" s="6" t="str">
        <f>IFERROR(__xludf.DUMMYFUNCTION("""COMPUTED_VALUE"""),"IDR")</f>
        <v>IDR</v>
      </c>
      <c r="I1286" s="6">
        <f>IFERROR(__xludf.DUMMYFUNCTION("""COMPUTED_VALUE"""),8000.0)</f>
        <v>8000</v>
      </c>
      <c r="J1286" s="6">
        <f>IFERROR(__xludf.DUMMYFUNCTION("""COMPUTED_VALUE"""),8000.0)</f>
        <v>8000</v>
      </c>
      <c r="K1286" s="57">
        <f>IFERROR(__xludf.DUMMYFUNCTION("""COMPUTED_VALUE"""),44134.0)</f>
        <v>44134</v>
      </c>
      <c r="L1286" s="6" t="str">
        <f>IFERROR(__xludf.DUMMYFUNCTION("""COMPUTED_VALUE"""),"FIP General")</f>
        <v>FIP General</v>
      </c>
      <c r="M1286" s="6" t="str">
        <f>IFERROR(__xludf.DUMMYFUNCTION("""COMPUTED_VALUE"""),"Irwan Sopian")</f>
        <v>Irwan Sopian</v>
      </c>
      <c r="N1286" s="6" t="str">
        <f>IFERROR(__xludf.DUMMYFUNCTION("""COMPUTED_VALUE"""),"FIP Engineering")</f>
        <v>FIP Engineering</v>
      </c>
      <c r="O1286" s="6" t="str">
        <f>IFERROR(__xludf.DUMMYFUNCTION("""COMPUTED_VALUE"""),"FIP-DOM-ENG-51404-0000000-INA-000000")</f>
        <v>FIP-DOM-ENG-51404-0000000-INA-000000</v>
      </c>
      <c r="P1286" s="6" t="str">
        <f>IFERROR(__xludf.DUMMYFUNCTION("""COMPUTED_VALUE"""),"PO Closed")</f>
        <v>PO Closed</v>
      </c>
      <c r="Q1286" s="6" t="str">
        <f>IFERROR(__xludf.DUMMYFUNCTION("""COMPUTED_VALUE"""),"GL2010035")</f>
        <v>GL2010035</v>
      </c>
      <c r="R1286" s="57">
        <f>IFERROR(__xludf.DUMMYFUNCTION("""COMPUTED_VALUE"""),44103.0)</f>
        <v>44103</v>
      </c>
      <c r="S1286" s="6" t="str">
        <f>IFERROR(__xludf.DUMMYFUNCTION("""COMPUTED_VALUE"""),"-")</f>
        <v>-</v>
      </c>
      <c r="T1286" s="57">
        <f>IFERROR(__xludf.DUMMYFUNCTION("""COMPUTED_VALUE"""),44134.0)</f>
        <v>44134</v>
      </c>
    </row>
    <row r="1287">
      <c r="A1287" s="6" t="str">
        <f>IFERROR(__xludf.DUMMYFUNCTION("""COMPUTED_VALUE"""),"201750377-2")</f>
        <v>201750377-2</v>
      </c>
      <c r="B1287" s="6" t="str">
        <f>IFERROR(__xludf.DUMMYFUNCTION("""COMPUTED_VALUE"""),"201750377 - Approved")</f>
        <v>201750377 - Approved</v>
      </c>
      <c r="C1287" s="6">
        <f>IFERROR(__xludf.DUMMYFUNCTION("""COMPUTED_VALUE"""),2.0)</f>
        <v>2</v>
      </c>
      <c r="D1287" s="6" t="str">
        <f>IFERROR(__xludf.DUMMYFUNCTION("""COMPUTED_VALUE"""),"P-10857-00")</f>
        <v>P-10857-00</v>
      </c>
      <c r="E1287" s="6" t="str">
        <f>IFERROR(__xludf.DUMMYFUNCTION("""COMPUTED_VALUE"""),"Fitting PVC - Elbow PVC 1 1/2"" Rucika AW")</f>
        <v>Fitting PVC - Elbow PVC 1 1/2" Rucika AW</v>
      </c>
      <c r="F1287" s="6">
        <f>IFERROR(__xludf.DUMMYFUNCTION("""COMPUTED_VALUE"""),1.0)</f>
        <v>1</v>
      </c>
      <c r="G1287" s="6" t="str">
        <f>IFERROR(__xludf.DUMMYFUNCTION("""COMPUTED_VALUE"""),"Pieces")</f>
        <v>Pieces</v>
      </c>
      <c r="H1287" s="6" t="str">
        <f>IFERROR(__xludf.DUMMYFUNCTION("""COMPUTED_VALUE"""),"IDR")</f>
        <v>IDR</v>
      </c>
      <c r="I1287" s="6">
        <f>IFERROR(__xludf.DUMMYFUNCTION("""COMPUTED_VALUE"""),5000.0)</f>
        <v>5000</v>
      </c>
      <c r="J1287" s="6">
        <f>IFERROR(__xludf.DUMMYFUNCTION("""COMPUTED_VALUE"""),5000.0)</f>
        <v>5000</v>
      </c>
      <c r="K1287" s="57">
        <f>IFERROR(__xludf.DUMMYFUNCTION("""COMPUTED_VALUE"""),44134.0)</f>
        <v>44134</v>
      </c>
      <c r="L1287" s="6" t="str">
        <f>IFERROR(__xludf.DUMMYFUNCTION("""COMPUTED_VALUE"""),"FIP Engineering")</f>
        <v>FIP Engineering</v>
      </c>
      <c r="M1287" s="6" t="str">
        <f>IFERROR(__xludf.DUMMYFUNCTION("""COMPUTED_VALUE"""),"Irwan Sopian")</f>
        <v>Irwan Sopian</v>
      </c>
      <c r="N1287" s="6" t="str">
        <f>IFERROR(__xludf.DUMMYFUNCTION("""COMPUTED_VALUE"""),"FIP Engineering")</f>
        <v>FIP Engineering</v>
      </c>
      <c r="O1287" s="6" t="str">
        <f>IFERROR(__xludf.DUMMYFUNCTION("""COMPUTED_VALUE"""),"FIP-DOM-000-11304-OS00001-INA-000000")</f>
        <v>FIP-DOM-000-11304-OS00001-INA-000000</v>
      </c>
      <c r="P1287" s="6" t="str">
        <f>IFERROR(__xludf.DUMMYFUNCTION("""COMPUTED_VALUE"""),"PO Closed")</f>
        <v>PO Closed</v>
      </c>
      <c r="Q1287" s="6" t="str">
        <f>IFERROR(__xludf.DUMMYFUNCTION("""COMPUTED_VALUE"""),"GL2010035")</f>
        <v>GL2010035</v>
      </c>
      <c r="R1287" s="57">
        <f>IFERROR(__xludf.DUMMYFUNCTION("""COMPUTED_VALUE"""),44103.0)</f>
        <v>44103</v>
      </c>
      <c r="S1287" s="6" t="str">
        <f>IFERROR(__xludf.DUMMYFUNCTION("""COMPUTED_VALUE"""),"-")</f>
        <v>-</v>
      </c>
      <c r="T1287" s="57">
        <f>IFERROR(__xludf.DUMMYFUNCTION("""COMPUTED_VALUE"""),44134.0)</f>
        <v>44134</v>
      </c>
    </row>
    <row r="1288">
      <c r="A1288" s="6" t="str">
        <f>IFERROR(__xludf.DUMMYFUNCTION("""COMPUTED_VALUE"""),"201750377-3")</f>
        <v>201750377-3</v>
      </c>
      <c r="B1288" s="6" t="str">
        <f>IFERROR(__xludf.DUMMYFUNCTION("""COMPUTED_VALUE"""),"201750377 - Approved")</f>
        <v>201750377 - Approved</v>
      </c>
      <c r="C1288" s="6">
        <f>IFERROR(__xludf.DUMMYFUNCTION("""COMPUTED_VALUE"""),3.0)</f>
        <v>3</v>
      </c>
      <c r="D1288" s="6" t="str">
        <f>IFERROR(__xludf.DUMMYFUNCTION("""COMPUTED_VALUE"""),"P-12721-00")</f>
        <v>P-12721-00</v>
      </c>
      <c r="E1288" s="6" t="str">
        <f>IFERROR(__xludf.DUMMYFUNCTION("""COMPUTED_VALUE"""),"Reducer PVC AW dia 2inch x 1 1/2inch")</f>
        <v>Reducer PVC AW dia 2inch x 1 1/2inch</v>
      </c>
      <c r="F1288" s="6">
        <f>IFERROR(__xludf.DUMMYFUNCTION("""COMPUTED_VALUE"""),1.0)</f>
        <v>1</v>
      </c>
      <c r="G1288" s="6" t="str">
        <f>IFERROR(__xludf.DUMMYFUNCTION("""COMPUTED_VALUE"""),"Pieces")</f>
        <v>Pieces</v>
      </c>
      <c r="H1288" s="6" t="str">
        <f>IFERROR(__xludf.DUMMYFUNCTION("""COMPUTED_VALUE"""),"IDR")</f>
        <v>IDR</v>
      </c>
      <c r="I1288" s="6">
        <f>IFERROR(__xludf.DUMMYFUNCTION("""COMPUTED_VALUE"""),5000.0)</f>
        <v>5000</v>
      </c>
      <c r="J1288" s="6">
        <f>IFERROR(__xludf.DUMMYFUNCTION("""COMPUTED_VALUE"""),5000.0)</f>
        <v>5000</v>
      </c>
      <c r="K1288" s="57">
        <f>IFERROR(__xludf.DUMMYFUNCTION("""COMPUTED_VALUE"""),44134.0)</f>
        <v>44134</v>
      </c>
      <c r="L1288" s="6" t="str">
        <f>IFERROR(__xludf.DUMMYFUNCTION("""COMPUTED_VALUE"""),"FIP Engineering")</f>
        <v>FIP Engineering</v>
      </c>
      <c r="M1288" s="6" t="str">
        <f>IFERROR(__xludf.DUMMYFUNCTION("""COMPUTED_VALUE"""),"Irwan Sopian")</f>
        <v>Irwan Sopian</v>
      </c>
      <c r="N1288" s="6" t="str">
        <f>IFERROR(__xludf.DUMMYFUNCTION("""COMPUTED_VALUE"""),"FIP Engineering")</f>
        <v>FIP Engineering</v>
      </c>
      <c r="O1288" s="6" t="str">
        <f>IFERROR(__xludf.DUMMYFUNCTION("""COMPUTED_VALUE"""),"FIP-DOM-000-11304-OS00001-INA-000000")</f>
        <v>FIP-DOM-000-11304-OS00001-INA-000000</v>
      </c>
      <c r="P1288" s="6" t="str">
        <f>IFERROR(__xludf.DUMMYFUNCTION("""COMPUTED_VALUE"""),"PO Closed")</f>
        <v>PO Closed</v>
      </c>
      <c r="Q1288" s="6" t="str">
        <f>IFERROR(__xludf.DUMMYFUNCTION("""COMPUTED_VALUE"""),"GL2010035")</f>
        <v>GL2010035</v>
      </c>
      <c r="R1288" s="57">
        <f>IFERROR(__xludf.DUMMYFUNCTION("""COMPUTED_VALUE"""),44103.0)</f>
        <v>44103</v>
      </c>
      <c r="S1288" s="6" t="str">
        <f>IFERROR(__xludf.DUMMYFUNCTION("""COMPUTED_VALUE"""),"-")</f>
        <v>-</v>
      </c>
      <c r="T1288" s="57">
        <f>IFERROR(__xludf.DUMMYFUNCTION("""COMPUTED_VALUE"""),44134.0)</f>
        <v>44134</v>
      </c>
    </row>
    <row r="1289">
      <c r="A1289" s="6" t="str">
        <f>IFERROR(__xludf.DUMMYFUNCTION("""COMPUTED_VALUE"""),"201750377-4")</f>
        <v>201750377-4</v>
      </c>
      <c r="B1289" s="6" t="str">
        <f>IFERROR(__xludf.DUMMYFUNCTION("""COMPUTED_VALUE"""),"201750377 - Approved")</f>
        <v>201750377 - Approved</v>
      </c>
      <c r="C1289" s="6">
        <f>IFERROR(__xludf.DUMMYFUNCTION("""COMPUTED_VALUE"""),4.0)</f>
        <v>4</v>
      </c>
      <c r="D1289" s="6" t="str">
        <f>IFERROR(__xludf.DUMMYFUNCTION("""COMPUTED_VALUE"""),"P-12808-00")</f>
        <v>P-12808-00</v>
      </c>
      <c r="E1289" s="6" t="str">
        <f>IFERROR(__xludf.DUMMYFUNCTION("""COMPUTED_VALUE"""),"Sock Drat luar PVC AW dia 1 1/2inch")</f>
        <v>Sock Drat luar PVC AW dia 1 1/2inch</v>
      </c>
      <c r="F1289" s="6">
        <f>IFERROR(__xludf.DUMMYFUNCTION("""COMPUTED_VALUE"""),1.0)</f>
        <v>1</v>
      </c>
      <c r="G1289" s="6" t="str">
        <f>IFERROR(__xludf.DUMMYFUNCTION("""COMPUTED_VALUE"""),"Pieces")</f>
        <v>Pieces</v>
      </c>
      <c r="H1289" s="6" t="str">
        <f>IFERROR(__xludf.DUMMYFUNCTION("""COMPUTED_VALUE"""),"IDR")</f>
        <v>IDR</v>
      </c>
      <c r="I1289" s="6">
        <f>IFERROR(__xludf.DUMMYFUNCTION("""COMPUTED_VALUE"""),9000.0)</f>
        <v>9000</v>
      </c>
      <c r="J1289" s="6">
        <f>IFERROR(__xludf.DUMMYFUNCTION("""COMPUTED_VALUE"""),9000.0)</f>
        <v>9000</v>
      </c>
      <c r="K1289" s="57">
        <f>IFERROR(__xludf.DUMMYFUNCTION("""COMPUTED_VALUE"""),44134.0)</f>
        <v>44134</v>
      </c>
      <c r="L1289" s="6" t="str">
        <f>IFERROR(__xludf.DUMMYFUNCTION("""COMPUTED_VALUE"""),"FIP Engineering")</f>
        <v>FIP Engineering</v>
      </c>
      <c r="M1289" s="6" t="str">
        <f>IFERROR(__xludf.DUMMYFUNCTION("""COMPUTED_VALUE"""),"Irwan Sopian")</f>
        <v>Irwan Sopian</v>
      </c>
      <c r="N1289" s="6" t="str">
        <f>IFERROR(__xludf.DUMMYFUNCTION("""COMPUTED_VALUE"""),"FIP Engineering")</f>
        <v>FIP Engineering</v>
      </c>
      <c r="O1289" s="6" t="str">
        <f>IFERROR(__xludf.DUMMYFUNCTION("""COMPUTED_VALUE"""),"FIP-DOM-000-11304-OS00001-INA-000000")</f>
        <v>FIP-DOM-000-11304-OS00001-INA-000000</v>
      </c>
      <c r="P1289" s="6" t="str">
        <f>IFERROR(__xludf.DUMMYFUNCTION("""COMPUTED_VALUE"""),"PO Closed")</f>
        <v>PO Closed</v>
      </c>
      <c r="Q1289" s="6" t="str">
        <f>IFERROR(__xludf.DUMMYFUNCTION("""COMPUTED_VALUE"""),"GL2010035")</f>
        <v>GL2010035</v>
      </c>
      <c r="R1289" s="57">
        <f>IFERROR(__xludf.DUMMYFUNCTION("""COMPUTED_VALUE"""),44103.0)</f>
        <v>44103</v>
      </c>
      <c r="S1289" s="6" t="str">
        <f>IFERROR(__xludf.DUMMYFUNCTION("""COMPUTED_VALUE"""),"-")</f>
        <v>-</v>
      </c>
      <c r="T1289" s="57">
        <f>IFERROR(__xludf.DUMMYFUNCTION("""COMPUTED_VALUE"""),44134.0)</f>
        <v>44134</v>
      </c>
    </row>
    <row r="1290">
      <c r="A1290" s="6" t="str">
        <f>IFERROR(__xludf.DUMMYFUNCTION("""COMPUTED_VALUE"""),"201750377-5")</f>
        <v>201750377-5</v>
      </c>
      <c r="B1290" s="6" t="str">
        <f>IFERROR(__xludf.DUMMYFUNCTION("""COMPUTED_VALUE"""),"201750377 - Approved")</f>
        <v>201750377 - Approved</v>
      </c>
      <c r="C1290" s="6">
        <f>IFERROR(__xludf.DUMMYFUNCTION("""COMPUTED_VALUE"""),5.0)</f>
        <v>5</v>
      </c>
      <c r="D1290" s="6" t="str">
        <f>IFERROR(__xludf.DUMMYFUNCTION("""COMPUTED_VALUE"""),"Q-10633-00")</f>
        <v>Q-10633-00</v>
      </c>
      <c r="E1290" s="6" t="str">
        <f>IFERROR(__xludf.DUMMYFUNCTION("""COMPUTED_VALUE"""),"Tali Tambang")</f>
        <v>Tali Tambang</v>
      </c>
      <c r="F1290" s="6">
        <f>IFERROR(__xludf.DUMMYFUNCTION("""COMPUTED_VALUE"""),10.0)</f>
        <v>10</v>
      </c>
      <c r="G1290" s="6" t="str">
        <f>IFERROR(__xludf.DUMMYFUNCTION("""COMPUTED_VALUE"""),"Meter")</f>
        <v>Meter</v>
      </c>
      <c r="H1290" s="6" t="str">
        <f>IFERROR(__xludf.DUMMYFUNCTION("""COMPUTED_VALUE"""),"IDR")</f>
        <v>IDR</v>
      </c>
      <c r="I1290" s="6">
        <f>IFERROR(__xludf.DUMMYFUNCTION("""COMPUTED_VALUE"""),1500.0)</f>
        <v>1500</v>
      </c>
      <c r="J1290" s="6">
        <f>IFERROR(__xludf.DUMMYFUNCTION("""COMPUTED_VALUE"""),15000.0)</f>
        <v>15000</v>
      </c>
      <c r="K1290" s="57">
        <f>IFERROR(__xludf.DUMMYFUNCTION("""COMPUTED_VALUE"""),44134.0)</f>
        <v>44134</v>
      </c>
      <c r="L1290" s="6" t="str">
        <f>IFERROR(__xludf.DUMMYFUNCTION("""COMPUTED_VALUE"""),"FIP General")</f>
        <v>FIP General</v>
      </c>
      <c r="M1290" s="6" t="str">
        <f>IFERROR(__xludf.DUMMYFUNCTION("""COMPUTED_VALUE"""),"Irwan Sopian")</f>
        <v>Irwan Sopian</v>
      </c>
      <c r="N1290" s="6" t="str">
        <f>IFERROR(__xludf.DUMMYFUNCTION("""COMPUTED_VALUE"""),"FIP Engineering")</f>
        <v>FIP Engineering</v>
      </c>
      <c r="O1290" s="6" t="str">
        <f>IFERROR(__xludf.DUMMYFUNCTION("""COMPUTED_VALUE"""),"FIP-DOM-ENG-51502-0000000-INA-000000")</f>
        <v>FIP-DOM-ENG-51502-0000000-INA-000000</v>
      </c>
      <c r="P1290" s="6" t="str">
        <f>IFERROR(__xludf.DUMMYFUNCTION("""COMPUTED_VALUE"""),"PO Closed")</f>
        <v>PO Closed</v>
      </c>
      <c r="Q1290" s="6" t="str">
        <f>IFERROR(__xludf.DUMMYFUNCTION("""COMPUTED_VALUE"""),"GL2010035")</f>
        <v>GL2010035</v>
      </c>
      <c r="R1290" s="57">
        <f>IFERROR(__xludf.DUMMYFUNCTION("""COMPUTED_VALUE"""),44103.0)</f>
        <v>44103</v>
      </c>
      <c r="S1290" s="6" t="str">
        <f>IFERROR(__xludf.DUMMYFUNCTION("""COMPUTED_VALUE"""),"-")</f>
        <v>-</v>
      </c>
      <c r="T1290" s="57">
        <f>IFERROR(__xludf.DUMMYFUNCTION("""COMPUTED_VALUE"""),44134.0)</f>
        <v>44134</v>
      </c>
    </row>
    <row r="1291">
      <c r="A1291" s="6" t="str">
        <f>IFERROR(__xludf.DUMMYFUNCTION("""COMPUTED_VALUE"""),"201750377-6")</f>
        <v>201750377-6</v>
      </c>
      <c r="B1291" s="6" t="str">
        <f>IFERROR(__xludf.DUMMYFUNCTION("""COMPUTED_VALUE"""),"201750377 - Approved")</f>
        <v>201750377 - Approved</v>
      </c>
      <c r="C1291" s="6">
        <f>IFERROR(__xludf.DUMMYFUNCTION("""COMPUTED_VALUE"""),6.0)</f>
        <v>6</v>
      </c>
      <c r="D1291" s="6" t="str">
        <f>IFERROR(__xludf.DUMMYFUNCTION("""COMPUTED_VALUE"""),"P-13646-00")</f>
        <v>P-13646-00</v>
      </c>
      <c r="E1291" s="6" t="str">
        <f>IFERROR(__xludf.DUMMYFUNCTION("""COMPUTED_VALUE"""),"Selang Air 1/2 inch")</f>
        <v>Selang Air 1/2 inch</v>
      </c>
      <c r="F1291" s="6">
        <f>IFERROR(__xludf.DUMMYFUNCTION("""COMPUTED_VALUE"""),6.0)</f>
        <v>6</v>
      </c>
      <c r="G1291" s="6" t="str">
        <f>IFERROR(__xludf.DUMMYFUNCTION("""COMPUTED_VALUE"""),"Pieces")</f>
        <v>Pieces</v>
      </c>
      <c r="H1291" s="6" t="str">
        <f>IFERROR(__xludf.DUMMYFUNCTION("""COMPUTED_VALUE"""),"IDR")</f>
        <v>IDR</v>
      </c>
      <c r="I1291" s="6">
        <f>IFERROR(__xludf.DUMMYFUNCTION("""COMPUTED_VALUE"""),14000.0)</f>
        <v>14000</v>
      </c>
      <c r="J1291" s="6">
        <f>IFERROR(__xludf.DUMMYFUNCTION("""COMPUTED_VALUE"""),84000.0)</f>
        <v>84000</v>
      </c>
      <c r="K1291" s="57">
        <f>IFERROR(__xludf.DUMMYFUNCTION("""COMPUTED_VALUE"""),44134.0)</f>
        <v>44134</v>
      </c>
      <c r="L1291" s="6" t="str">
        <f>IFERROR(__xludf.DUMMYFUNCTION("""COMPUTED_VALUE"""),"FIP Engineering")</f>
        <v>FIP Engineering</v>
      </c>
      <c r="M1291" s="6" t="str">
        <f>IFERROR(__xludf.DUMMYFUNCTION("""COMPUTED_VALUE"""),"Irwan Sopian")</f>
        <v>Irwan Sopian</v>
      </c>
      <c r="N1291" s="6" t="str">
        <f>IFERROR(__xludf.DUMMYFUNCTION("""COMPUTED_VALUE"""),"FIP Engineering")</f>
        <v>FIP Engineering</v>
      </c>
      <c r="O1291" s="6" t="str">
        <f>IFERROR(__xludf.DUMMYFUNCTION("""COMPUTED_VALUE"""),"FIP-DOM-000-11304-OS00001-INA-000000")</f>
        <v>FIP-DOM-000-11304-OS00001-INA-000000</v>
      </c>
      <c r="P1291" s="6" t="str">
        <f>IFERROR(__xludf.DUMMYFUNCTION("""COMPUTED_VALUE"""),"PO Closed")</f>
        <v>PO Closed</v>
      </c>
      <c r="Q1291" s="6" t="str">
        <f>IFERROR(__xludf.DUMMYFUNCTION("""COMPUTED_VALUE"""),"GL2010035")</f>
        <v>GL2010035</v>
      </c>
      <c r="R1291" s="57">
        <f>IFERROR(__xludf.DUMMYFUNCTION("""COMPUTED_VALUE"""),44103.0)</f>
        <v>44103</v>
      </c>
      <c r="S1291" s="6" t="str">
        <f>IFERROR(__xludf.DUMMYFUNCTION("""COMPUTED_VALUE"""),"-")</f>
        <v>-</v>
      </c>
      <c r="T1291" s="57">
        <f>IFERROR(__xludf.DUMMYFUNCTION("""COMPUTED_VALUE"""),44134.0)</f>
        <v>44134</v>
      </c>
    </row>
    <row r="1292">
      <c r="A1292" s="6" t="str">
        <f>IFERROR(__xludf.DUMMYFUNCTION("""COMPUTED_VALUE"""),"201750377-7")</f>
        <v>201750377-7</v>
      </c>
      <c r="B1292" s="6" t="str">
        <f>IFERROR(__xludf.DUMMYFUNCTION("""COMPUTED_VALUE"""),"201750377 - Approved")</f>
        <v>201750377 - Approved</v>
      </c>
      <c r="C1292" s="6">
        <f>IFERROR(__xludf.DUMMYFUNCTION("""COMPUTED_VALUE"""),7.0)</f>
        <v>7</v>
      </c>
      <c r="D1292" s="6" t="str">
        <f>IFERROR(__xludf.DUMMYFUNCTION("""COMPUTED_VALUE"""),"O-54014-00")</f>
        <v>O-54014-00</v>
      </c>
      <c r="E1292" s="6" t="str">
        <f>IFERROR(__xludf.DUMMYFUNCTION("""COMPUTED_VALUE"""),"STEKER 1 PHASE, BROCO")</f>
        <v>STEKER 1 PHASE, BROCO</v>
      </c>
      <c r="F1292" s="6">
        <f>IFERROR(__xludf.DUMMYFUNCTION("""COMPUTED_VALUE"""),1.0)</f>
        <v>1</v>
      </c>
      <c r="G1292" s="6" t="str">
        <f>IFERROR(__xludf.DUMMYFUNCTION("""COMPUTED_VALUE"""),"Pieces")</f>
        <v>Pieces</v>
      </c>
      <c r="H1292" s="6" t="str">
        <f>IFERROR(__xludf.DUMMYFUNCTION("""COMPUTED_VALUE"""),"IDR")</f>
        <v>IDR</v>
      </c>
      <c r="I1292" s="6">
        <f>IFERROR(__xludf.DUMMYFUNCTION("""COMPUTED_VALUE"""),20000.0)</f>
        <v>20000</v>
      </c>
      <c r="J1292" s="6">
        <f>IFERROR(__xludf.DUMMYFUNCTION("""COMPUTED_VALUE"""),20000.0)</f>
        <v>20000</v>
      </c>
      <c r="K1292" s="57">
        <f>IFERROR(__xludf.DUMMYFUNCTION("""COMPUTED_VALUE"""),44134.0)</f>
        <v>44134</v>
      </c>
      <c r="L1292" s="6" t="str">
        <f>IFERROR(__xludf.DUMMYFUNCTION("""COMPUTED_VALUE"""),"FIP Engineering")</f>
        <v>FIP Engineering</v>
      </c>
      <c r="M1292" s="6" t="str">
        <f>IFERROR(__xludf.DUMMYFUNCTION("""COMPUTED_VALUE"""),"Irwan Sopian")</f>
        <v>Irwan Sopian</v>
      </c>
      <c r="N1292" s="6" t="str">
        <f>IFERROR(__xludf.DUMMYFUNCTION("""COMPUTED_VALUE"""),"FIP Engineering")</f>
        <v>FIP Engineering</v>
      </c>
      <c r="O1292" s="6" t="str">
        <f>IFERROR(__xludf.DUMMYFUNCTION("""COMPUTED_VALUE"""),"FIP-DOM-000-11304-OS00001-INA-000000")</f>
        <v>FIP-DOM-000-11304-OS00001-INA-000000</v>
      </c>
      <c r="P1292" s="6" t="str">
        <f>IFERROR(__xludf.DUMMYFUNCTION("""COMPUTED_VALUE"""),"PO Closed")</f>
        <v>PO Closed</v>
      </c>
      <c r="Q1292" s="6" t="str">
        <f>IFERROR(__xludf.DUMMYFUNCTION("""COMPUTED_VALUE"""),"GL2010035")</f>
        <v>GL2010035</v>
      </c>
      <c r="R1292" s="57">
        <f>IFERROR(__xludf.DUMMYFUNCTION("""COMPUTED_VALUE"""),44103.0)</f>
        <v>44103</v>
      </c>
      <c r="S1292" s="6" t="str">
        <f>IFERROR(__xludf.DUMMYFUNCTION("""COMPUTED_VALUE"""),"-")</f>
        <v>-</v>
      </c>
      <c r="T1292" s="57">
        <f>IFERROR(__xludf.DUMMYFUNCTION("""COMPUTED_VALUE"""),44134.0)</f>
        <v>44134</v>
      </c>
    </row>
    <row r="1293">
      <c r="A1293" s="6" t="str">
        <f>IFERROR(__xludf.DUMMYFUNCTION("""COMPUTED_VALUE"""),"201750377-8")</f>
        <v>201750377-8</v>
      </c>
      <c r="B1293" s="6" t="str">
        <f>IFERROR(__xludf.DUMMYFUNCTION("""COMPUTED_VALUE"""),"201750377 - Approved")</f>
        <v>201750377 - Approved</v>
      </c>
      <c r="C1293" s="6">
        <f>IFERROR(__xludf.DUMMYFUNCTION("""COMPUTED_VALUE"""),8.0)</f>
        <v>8</v>
      </c>
      <c r="D1293" s="6" t="str">
        <f>IFERROR(__xludf.DUMMYFUNCTION("""COMPUTED_VALUE"""),"P-10945-00")</f>
        <v>P-10945-00</v>
      </c>
      <c r="E1293" s="6" t="str">
        <f>IFERROR(__xludf.DUMMYFUNCTION("""COMPUTED_VALUE"""),"Insulation - Seal Tape onda")</f>
        <v>Insulation - Seal Tape onda</v>
      </c>
      <c r="F1293" s="6">
        <f>IFERROR(__xludf.DUMMYFUNCTION("""COMPUTED_VALUE"""),2.0)</f>
        <v>2</v>
      </c>
      <c r="G1293" s="6" t="str">
        <f>IFERROR(__xludf.DUMMYFUNCTION("""COMPUTED_VALUE"""),"Pieces")</f>
        <v>Pieces</v>
      </c>
      <c r="H1293" s="6" t="str">
        <f>IFERROR(__xludf.DUMMYFUNCTION("""COMPUTED_VALUE"""),"IDR")</f>
        <v>IDR</v>
      </c>
      <c r="I1293" s="6">
        <f>IFERROR(__xludf.DUMMYFUNCTION("""COMPUTED_VALUE"""),5000.0)</f>
        <v>5000</v>
      </c>
      <c r="J1293" s="6">
        <f>IFERROR(__xludf.DUMMYFUNCTION("""COMPUTED_VALUE"""),10000.0)</f>
        <v>10000</v>
      </c>
      <c r="K1293" s="57">
        <f>IFERROR(__xludf.DUMMYFUNCTION("""COMPUTED_VALUE"""),44134.0)</f>
        <v>44134</v>
      </c>
      <c r="L1293" s="6" t="str">
        <f>IFERROR(__xludf.DUMMYFUNCTION("""COMPUTED_VALUE"""),"FIP Engineering")</f>
        <v>FIP Engineering</v>
      </c>
      <c r="M1293" s="6" t="str">
        <f>IFERROR(__xludf.DUMMYFUNCTION("""COMPUTED_VALUE"""),"Irwan Sopian")</f>
        <v>Irwan Sopian</v>
      </c>
      <c r="N1293" s="6" t="str">
        <f>IFERROR(__xludf.DUMMYFUNCTION("""COMPUTED_VALUE"""),"FIP Engineering")</f>
        <v>FIP Engineering</v>
      </c>
      <c r="O1293" s="6" t="str">
        <f>IFERROR(__xludf.DUMMYFUNCTION("""COMPUTED_VALUE"""),"FIP-DOM-000-11304-OS00001-INA-000000")</f>
        <v>FIP-DOM-000-11304-OS00001-INA-000000</v>
      </c>
      <c r="P1293" s="6" t="str">
        <f>IFERROR(__xludf.DUMMYFUNCTION("""COMPUTED_VALUE"""),"PO Closed")</f>
        <v>PO Closed</v>
      </c>
      <c r="Q1293" s="6" t="str">
        <f>IFERROR(__xludf.DUMMYFUNCTION("""COMPUTED_VALUE"""),"GL2010035")</f>
        <v>GL2010035</v>
      </c>
      <c r="R1293" s="57">
        <f>IFERROR(__xludf.DUMMYFUNCTION("""COMPUTED_VALUE"""),44103.0)</f>
        <v>44103</v>
      </c>
      <c r="S1293" s="6" t="str">
        <f>IFERROR(__xludf.DUMMYFUNCTION("""COMPUTED_VALUE"""),"-")</f>
        <v>-</v>
      </c>
      <c r="T1293" s="57">
        <f>IFERROR(__xludf.DUMMYFUNCTION("""COMPUTED_VALUE"""),44134.0)</f>
        <v>44134</v>
      </c>
    </row>
    <row r="1294">
      <c r="A1294" s="6" t="str">
        <f>IFERROR(__xludf.DUMMYFUNCTION("""COMPUTED_VALUE"""),"201750377-9")</f>
        <v>201750377-9</v>
      </c>
      <c r="B1294" s="6" t="str">
        <f>IFERROR(__xludf.DUMMYFUNCTION("""COMPUTED_VALUE"""),"201750377 - Approved")</f>
        <v>201750377 - Approved</v>
      </c>
      <c r="C1294" s="6">
        <f>IFERROR(__xludf.DUMMYFUNCTION("""COMPUTED_VALUE"""),9.0)</f>
        <v>9</v>
      </c>
      <c r="D1294" s="6" t="str">
        <f>IFERROR(__xludf.DUMMYFUNCTION("""COMPUTED_VALUE"""),"P-12083-00")</f>
        <v>P-12083-00</v>
      </c>
      <c r="E1294" s="6" t="str">
        <f>IFERROR(__xludf.DUMMYFUNCTION("""COMPUTED_VALUE"""),"Clamp selang SS dia 1/2inch ex TRIDON")</f>
        <v>Clamp selang SS dia 1/2inch ex TRIDON</v>
      </c>
      <c r="F1294" s="6">
        <f>IFERROR(__xludf.DUMMYFUNCTION("""COMPUTED_VALUE"""),4.0)</f>
        <v>4</v>
      </c>
      <c r="G1294" s="6" t="str">
        <f>IFERROR(__xludf.DUMMYFUNCTION("""COMPUTED_VALUE"""),"Pieces")</f>
        <v>Pieces</v>
      </c>
      <c r="H1294" s="6" t="str">
        <f>IFERROR(__xludf.DUMMYFUNCTION("""COMPUTED_VALUE"""),"IDR")</f>
        <v>IDR</v>
      </c>
      <c r="I1294" s="6">
        <f>IFERROR(__xludf.DUMMYFUNCTION("""COMPUTED_VALUE"""),2500.0)</f>
        <v>2500</v>
      </c>
      <c r="J1294" s="6">
        <f>IFERROR(__xludf.DUMMYFUNCTION("""COMPUTED_VALUE"""),10000.0)</f>
        <v>10000</v>
      </c>
      <c r="K1294" s="57">
        <f>IFERROR(__xludf.DUMMYFUNCTION("""COMPUTED_VALUE"""),44134.0)</f>
        <v>44134</v>
      </c>
      <c r="L1294" s="6" t="str">
        <f>IFERROR(__xludf.DUMMYFUNCTION("""COMPUTED_VALUE"""),"FIP Engineering")</f>
        <v>FIP Engineering</v>
      </c>
      <c r="M1294" s="6" t="str">
        <f>IFERROR(__xludf.DUMMYFUNCTION("""COMPUTED_VALUE"""),"Irwan Sopian")</f>
        <v>Irwan Sopian</v>
      </c>
      <c r="N1294" s="6" t="str">
        <f>IFERROR(__xludf.DUMMYFUNCTION("""COMPUTED_VALUE"""),"FIP Engineering")</f>
        <v>FIP Engineering</v>
      </c>
      <c r="O1294" s="6" t="str">
        <f>IFERROR(__xludf.DUMMYFUNCTION("""COMPUTED_VALUE"""),"FIP-DOM-000-11304-OS00001-INA-000000")</f>
        <v>FIP-DOM-000-11304-OS00001-INA-000000</v>
      </c>
      <c r="P1294" s="6" t="str">
        <f>IFERROR(__xludf.DUMMYFUNCTION("""COMPUTED_VALUE"""),"PO Closed")</f>
        <v>PO Closed</v>
      </c>
      <c r="Q1294" s="6" t="str">
        <f>IFERROR(__xludf.DUMMYFUNCTION("""COMPUTED_VALUE"""),"GL2010035")</f>
        <v>GL2010035</v>
      </c>
      <c r="R1294" s="57">
        <f>IFERROR(__xludf.DUMMYFUNCTION("""COMPUTED_VALUE"""),44103.0)</f>
        <v>44103</v>
      </c>
      <c r="S1294" s="6" t="str">
        <f>IFERROR(__xludf.DUMMYFUNCTION("""COMPUTED_VALUE"""),"-")</f>
        <v>-</v>
      </c>
      <c r="T1294" s="57">
        <f>IFERROR(__xludf.DUMMYFUNCTION("""COMPUTED_VALUE"""),44134.0)</f>
        <v>44134</v>
      </c>
    </row>
    <row r="1295">
      <c r="A1295" s="6" t="str">
        <f>IFERROR(__xludf.DUMMYFUNCTION("""COMPUTED_VALUE"""),"201750377-10")</f>
        <v>201750377-10</v>
      </c>
      <c r="B1295" s="6" t="str">
        <f>IFERROR(__xludf.DUMMYFUNCTION("""COMPUTED_VALUE"""),"201750377 - Approved")</f>
        <v>201750377 - Approved</v>
      </c>
      <c r="C1295" s="6">
        <f>IFERROR(__xludf.DUMMYFUNCTION("""COMPUTED_VALUE"""),10.0)</f>
        <v>10</v>
      </c>
      <c r="D1295" s="6" t="str">
        <f>IFERROR(__xludf.DUMMYFUNCTION("""COMPUTED_VALUE"""),"P-51302-00")</f>
        <v>P-51302-00</v>
      </c>
      <c r="E1295" s="6" t="str">
        <f>IFERROR(__xludf.DUMMYFUNCTION("""COMPUTED_VALUE"""),"Timah Solder dia 1 mm")</f>
        <v>Timah Solder dia 1 mm</v>
      </c>
      <c r="F1295" s="6">
        <f>IFERROR(__xludf.DUMMYFUNCTION("""COMPUTED_VALUE"""),1.0)</f>
        <v>1</v>
      </c>
      <c r="G1295" s="6" t="str">
        <f>IFERROR(__xludf.DUMMYFUNCTION("""COMPUTED_VALUE"""),"Pieces")</f>
        <v>Pieces</v>
      </c>
      <c r="H1295" s="6" t="str">
        <f>IFERROR(__xludf.DUMMYFUNCTION("""COMPUTED_VALUE"""),"IDR")</f>
        <v>IDR</v>
      </c>
      <c r="I1295" s="6">
        <f>IFERROR(__xludf.DUMMYFUNCTION("""COMPUTED_VALUE"""),20000.0)</f>
        <v>20000</v>
      </c>
      <c r="J1295" s="6">
        <f>IFERROR(__xludf.DUMMYFUNCTION("""COMPUTED_VALUE"""),20000.0)</f>
        <v>20000</v>
      </c>
      <c r="K1295" s="57">
        <f>IFERROR(__xludf.DUMMYFUNCTION("""COMPUTED_VALUE"""),44134.0)</f>
        <v>44134</v>
      </c>
      <c r="L1295" s="6" t="str">
        <f>IFERROR(__xludf.DUMMYFUNCTION("""COMPUTED_VALUE"""),"FIP General")</f>
        <v>FIP General</v>
      </c>
      <c r="M1295" s="6" t="str">
        <f>IFERROR(__xludf.DUMMYFUNCTION("""COMPUTED_VALUE"""),"Irwan Sopian")</f>
        <v>Irwan Sopian</v>
      </c>
      <c r="N1295" s="6" t="str">
        <f>IFERROR(__xludf.DUMMYFUNCTION("""COMPUTED_VALUE"""),"FIP Engineering")</f>
        <v>FIP Engineering</v>
      </c>
      <c r="O1295" s="6" t="str">
        <f>IFERROR(__xludf.DUMMYFUNCTION("""COMPUTED_VALUE"""),"FIP-DOM-ENG-51404-0000000-INA-000000")</f>
        <v>FIP-DOM-ENG-51404-0000000-INA-000000</v>
      </c>
      <c r="P1295" s="6" t="str">
        <f>IFERROR(__xludf.DUMMYFUNCTION("""COMPUTED_VALUE"""),"PO Closed")</f>
        <v>PO Closed</v>
      </c>
      <c r="Q1295" s="6" t="str">
        <f>IFERROR(__xludf.DUMMYFUNCTION("""COMPUTED_VALUE"""),"GL2010035")</f>
        <v>GL2010035</v>
      </c>
      <c r="R1295" s="57">
        <f>IFERROR(__xludf.DUMMYFUNCTION("""COMPUTED_VALUE"""),44103.0)</f>
        <v>44103</v>
      </c>
      <c r="S1295" s="6" t="str">
        <f>IFERROR(__xludf.DUMMYFUNCTION("""COMPUTED_VALUE"""),"-")</f>
        <v>-</v>
      </c>
      <c r="T1295" s="57">
        <f>IFERROR(__xludf.DUMMYFUNCTION("""COMPUTED_VALUE"""),44134.0)</f>
        <v>44134</v>
      </c>
    </row>
    <row r="1296">
      <c r="A1296" s="6" t="str">
        <f>IFERROR(__xludf.DUMMYFUNCTION("""COMPUTED_VALUE"""),"201750377-11")</f>
        <v>201750377-11</v>
      </c>
      <c r="B1296" s="6" t="str">
        <f>IFERROR(__xludf.DUMMYFUNCTION("""COMPUTED_VALUE"""),"201750377 - Approved")</f>
        <v>201750377 - Approved</v>
      </c>
      <c r="C1296" s="6">
        <f>IFERROR(__xludf.DUMMYFUNCTION("""COMPUTED_VALUE"""),11.0)</f>
        <v>11</v>
      </c>
      <c r="D1296" s="6" t="str">
        <f>IFERROR(__xludf.DUMMYFUNCTION("""COMPUTED_VALUE"""),"Q-60003-00")</f>
        <v>Q-60003-00</v>
      </c>
      <c r="E1296" s="6" t="str">
        <f>IFERROR(__xludf.DUMMYFUNCTION("""COMPUTED_VALUE"""),"Plakband Kertas")</f>
        <v>Plakband Kertas</v>
      </c>
      <c r="F1296" s="6">
        <f>IFERROR(__xludf.DUMMYFUNCTION("""COMPUTED_VALUE"""),5.0)</f>
        <v>5</v>
      </c>
      <c r="G1296" s="6" t="str">
        <f>IFERROR(__xludf.DUMMYFUNCTION("""COMPUTED_VALUE"""),"Roll")</f>
        <v>Roll</v>
      </c>
      <c r="H1296" s="6" t="str">
        <f>IFERROR(__xludf.DUMMYFUNCTION("""COMPUTED_VALUE"""),"IDR")</f>
        <v>IDR</v>
      </c>
      <c r="I1296" s="6">
        <f>IFERROR(__xludf.DUMMYFUNCTION("""COMPUTED_VALUE"""),6000.0)</f>
        <v>6000</v>
      </c>
      <c r="J1296" s="6">
        <f>IFERROR(__xludf.DUMMYFUNCTION("""COMPUTED_VALUE"""),30000.0)</f>
        <v>30000</v>
      </c>
      <c r="K1296" s="57">
        <f>IFERROR(__xludf.DUMMYFUNCTION("""COMPUTED_VALUE"""),44134.0)</f>
        <v>44134</v>
      </c>
      <c r="L1296" s="6" t="str">
        <f>IFERROR(__xludf.DUMMYFUNCTION("""COMPUTED_VALUE"""),"FIP Engineering")</f>
        <v>FIP Engineering</v>
      </c>
      <c r="M1296" s="6" t="str">
        <f>IFERROR(__xludf.DUMMYFUNCTION("""COMPUTED_VALUE"""),"Irwan Sopian")</f>
        <v>Irwan Sopian</v>
      </c>
      <c r="N1296" s="6" t="str">
        <f>IFERROR(__xludf.DUMMYFUNCTION("""COMPUTED_VALUE"""),"FIP Engineering")</f>
        <v>FIP Engineering</v>
      </c>
      <c r="O1296" s="6" t="str">
        <f>IFERROR(__xludf.DUMMYFUNCTION("""COMPUTED_VALUE"""),"FIP-DOM-000-11304-OS00001-INA-000000")</f>
        <v>FIP-DOM-000-11304-OS00001-INA-000000</v>
      </c>
      <c r="P1296" s="6" t="str">
        <f>IFERROR(__xludf.DUMMYFUNCTION("""COMPUTED_VALUE"""),"PO Closed")</f>
        <v>PO Closed</v>
      </c>
      <c r="Q1296" s="6" t="str">
        <f>IFERROR(__xludf.DUMMYFUNCTION("""COMPUTED_VALUE"""),"GL2010035")</f>
        <v>GL2010035</v>
      </c>
      <c r="R1296" s="57">
        <f>IFERROR(__xludf.DUMMYFUNCTION("""COMPUTED_VALUE"""),44103.0)</f>
        <v>44103</v>
      </c>
      <c r="S1296" s="6" t="str">
        <f>IFERROR(__xludf.DUMMYFUNCTION("""COMPUTED_VALUE"""),"-")</f>
        <v>-</v>
      </c>
      <c r="T1296" s="57">
        <f>IFERROR(__xludf.DUMMYFUNCTION("""COMPUTED_VALUE"""),44134.0)</f>
        <v>44134</v>
      </c>
    </row>
    <row r="1297">
      <c r="A1297" s="6" t="str">
        <f>IFERROR(__xludf.DUMMYFUNCTION("""COMPUTED_VALUE"""),"201750377-12")</f>
        <v>201750377-12</v>
      </c>
      <c r="B1297" s="6" t="str">
        <f>IFERROR(__xludf.DUMMYFUNCTION("""COMPUTED_VALUE"""),"201750377 - Approved")</f>
        <v>201750377 - Approved</v>
      </c>
      <c r="C1297" s="6">
        <f>IFERROR(__xludf.DUMMYFUNCTION("""COMPUTED_VALUE"""),12.0)</f>
        <v>12</v>
      </c>
      <c r="D1297" s="6" t="str">
        <f>IFERROR(__xludf.DUMMYFUNCTION("""COMPUTED_VALUE"""),"P-50961-00")</f>
        <v>P-50961-00</v>
      </c>
      <c r="E1297" s="6" t="str">
        <f>IFERROR(__xludf.DUMMYFUNCTION("""COMPUTED_VALUE"""),"Fuse kaca 5 A 5x20")</f>
        <v>Fuse kaca 5 A 5x20</v>
      </c>
      <c r="F1297" s="6">
        <f>IFERROR(__xludf.DUMMYFUNCTION("""COMPUTED_VALUE"""),10.0)</f>
        <v>10</v>
      </c>
      <c r="G1297" s="6" t="str">
        <f>IFERROR(__xludf.DUMMYFUNCTION("""COMPUTED_VALUE"""),"Pieces")</f>
        <v>Pieces</v>
      </c>
      <c r="H1297" s="6" t="str">
        <f>IFERROR(__xludf.DUMMYFUNCTION("""COMPUTED_VALUE"""),"IDR")</f>
        <v>IDR</v>
      </c>
      <c r="I1297" s="6">
        <f>IFERROR(__xludf.DUMMYFUNCTION("""COMPUTED_VALUE"""),1500.0)</f>
        <v>1500</v>
      </c>
      <c r="J1297" s="6">
        <f>IFERROR(__xludf.DUMMYFUNCTION("""COMPUTED_VALUE"""),15000.0)</f>
        <v>15000</v>
      </c>
      <c r="K1297" s="57">
        <f>IFERROR(__xludf.DUMMYFUNCTION("""COMPUTED_VALUE"""),44134.0)</f>
        <v>44134</v>
      </c>
      <c r="L1297" s="6" t="str">
        <f>IFERROR(__xludf.DUMMYFUNCTION("""COMPUTED_VALUE"""),"FIP Engineering")</f>
        <v>FIP Engineering</v>
      </c>
      <c r="M1297" s="6" t="str">
        <f>IFERROR(__xludf.DUMMYFUNCTION("""COMPUTED_VALUE"""),"Irwan Sopian")</f>
        <v>Irwan Sopian</v>
      </c>
      <c r="N1297" s="6" t="str">
        <f>IFERROR(__xludf.DUMMYFUNCTION("""COMPUTED_VALUE"""),"FIP Engineering")</f>
        <v>FIP Engineering</v>
      </c>
      <c r="O1297" s="6" t="str">
        <f>IFERROR(__xludf.DUMMYFUNCTION("""COMPUTED_VALUE"""),"FIP-DOM-000-11304-OS00001-INA-000000")</f>
        <v>FIP-DOM-000-11304-OS00001-INA-000000</v>
      </c>
      <c r="P1297" s="6" t="str">
        <f>IFERROR(__xludf.DUMMYFUNCTION("""COMPUTED_VALUE"""),"PO Closed")</f>
        <v>PO Closed</v>
      </c>
      <c r="Q1297" s="6" t="str">
        <f>IFERROR(__xludf.DUMMYFUNCTION("""COMPUTED_VALUE"""),"GL2010035")</f>
        <v>GL2010035</v>
      </c>
      <c r="R1297" s="57">
        <f>IFERROR(__xludf.DUMMYFUNCTION("""COMPUTED_VALUE"""),44103.0)</f>
        <v>44103</v>
      </c>
      <c r="S1297" s="6" t="str">
        <f>IFERROR(__xludf.DUMMYFUNCTION("""COMPUTED_VALUE"""),"-")</f>
        <v>-</v>
      </c>
      <c r="T1297" s="57">
        <f>IFERROR(__xludf.DUMMYFUNCTION("""COMPUTED_VALUE"""),44134.0)</f>
        <v>44134</v>
      </c>
    </row>
    <row r="1298">
      <c r="A1298" s="6" t="str">
        <f>IFERROR(__xludf.DUMMYFUNCTION("""COMPUTED_VALUE"""),"201750377-13")</f>
        <v>201750377-13</v>
      </c>
      <c r="B1298" s="6" t="str">
        <f>IFERROR(__xludf.DUMMYFUNCTION("""COMPUTED_VALUE"""),"201750377 - Approved")</f>
        <v>201750377 - Approved</v>
      </c>
      <c r="C1298" s="6">
        <f>IFERROR(__xludf.DUMMYFUNCTION("""COMPUTED_VALUE"""),13.0)</f>
        <v>13</v>
      </c>
      <c r="D1298" s="6" t="str">
        <f>IFERROR(__xludf.DUMMYFUNCTION("""COMPUTED_VALUE"""),"P-17543-00")</f>
        <v>P-17543-00</v>
      </c>
      <c r="E1298" s="6" t="str">
        <f>IFERROR(__xludf.DUMMYFUNCTION("""COMPUTED_VALUE"""),"Neepel Hose SS304 dia 1/4 inch")</f>
        <v>Neepel Hose SS304 dia 1/4 inch</v>
      </c>
      <c r="F1298" s="6">
        <f>IFERROR(__xludf.DUMMYFUNCTION("""COMPUTED_VALUE"""),2.0)</f>
        <v>2</v>
      </c>
      <c r="G1298" s="6" t="str">
        <f>IFERROR(__xludf.DUMMYFUNCTION("""COMPUTED_VALUE"""),"Meter")</f>
        <v>Meter</v>
      </c>
      <c r="H1298" s="6" t="str">
        <f>IFERROR(__xludf.DUMMYFUNCTION("""COMPUTED_VALUE"""),"IDR")</f>
        <v>IDR</v>
      </c>
      <c r="I1298" s="6">
        <f>IFERROR(__xludf.DUMMYFUNCTION("""COMPUTED_VALUE"""),15000.0)</f>
        <v>15000</v>
      </c>
      <c r="J1298" s="6">
        <f>IFERROR(__xludf.DUMMYFUNCTION("""COMPUTED_VALUE"""),30000.0)</f>
        <v>30000</v>
      </c>
      <c r="K1298" s="57">
        <f>IFERROR(__xludf.DUMMYFUNCTION("""COMPUTED_VALUE"""),44134.0)</f>
        <v>44134</v>
      </c>
      <c r="L1298" s="6" t="str">
        <f>IFERROR(__xludf.DUMMYFUNCTION("""COMPUTED_VALUE"""),"FIP General")</f>
        <v>FIP General</v>
      </c>
      <c r="M1298" s="6" t="str">
        <f>IFERROR(__xludf.DUMMYFUNCTION("""COMPUTED_VALUE"""),"Irwan Sopian")</f>
        <v>Irwan Sopian</v>
      </c>
      <c r="N1298" s="6" t="str">
        <f>IFERROR(__xludf.DUMMYFUNCTION("""COMPUTED_VALUE"""),"FIP Engineering")</f>
        <v>FIP Engineering</v>
      </c>
      <c r="O1298" s="6" t="str">
        <f>IFERROR(__xludf.DUMMYFUNCTION("""COMPUTED_VALUE"""),"FIP-DOM-ENG-51504-0000000-INA-000000")</f>
        <v>FIP-DOM-ENG-51504-0000000-INA-000000</v>
      </c>
      <c r="P1298" s="6" t="str">
        <f>IFERROR(__xludf.DUMMYFUNCTION("""COMPUTED_VALUE"""),"PO Closed")</f>
        <v>PO Closed</v>
      </c>
      <c r="Q1298" s="6" t="str">
        <f>IFERROR(__xludf.DUMMYFUNCTION("""COMPUTED_VALUE"""),"GL2010035")</f>
        <v>GL2010035</v>
      </c>
      <c r="R1298" s="57">
        <f>IFERROR(__xludf.DUMMYFUNCTION("""COMPUTED_VALUE"""),44103.0)</f>
        <v>44103</v>
      </c>
      <c r="S1298" s="6" t="str">
        <f>IFERROR(__xludf.DUMMYFUNCTION("""COMPUTED_VALUE"""),"-")</f>
        <v>-</v>
      </c>
      <c r="T1298" s="57">
        <f>IFERROR(__xludf.DUMMYFUNCTION("""COMPUTED_VALUE"""),44134.0)</f>
        <v>44134</v>
      </c>
    </row>
    <row r="1299">
      <c r="A1299" s="6" t="str">
        <f>IFERROR(__xludf.DUMMYFUNCTION("""COMPUTED_VALUE"""),"201750377-14")</f>
        <v>201750377-14</v>
      </c>
      <c r="B1299" s="6" t="str">
        <f>IFERROR(__xludf.DUMMYFUNCTION("""COMPUTED_VALUE"""),"201750377 - Approved")</f>
        <v>201750377 - Approved</v>
      </c>
      <c r="C1299" s="6">
        <f>IFERROR(__xludf.DUMMYFUNCTION("""COMPUTED_VALUE"""),14.0)</f>
        <v>14</v>
      </c>
      <c r="D1299" s="6" t="str">
        <f>IFERROR(__xludf.DUMMYFUNCTION("""COMPUTED_VALUE"""),"P-15394-00")</f>
        <v>P-15394-00</v>
      </c>
      <c r="E1299" s="6" t="str">
        <f>IFERROR(__xludf.DUMMYFUNCTION("""COMPUTED_VALUE"""),"Reducer Sock SS304 1/2 inch x 1/4 inch")</f>
        <v>Reducer Sock SS304 1/2 inch x 1/4 inch</v>
      </c>
      <c r="F1299" s="6">
        <f>IFERROR(__xludf.DUMMYFUNCTION("""COMPUTED_VALUE"""),1.0)</f>
        <v>1</v>
      </c>
      <c r="G1299" s="6" t="str">
        <f>IFERROR(__xludf.DUMMYFUNCTION("""COMPUTED_VALUE"""),"Pieces")</f>
        <v>Pieces</v>
      </c>
      <c r="H1299" s="6" t="str">
        <f>IFERROR(__xludf.DUMMYFUNCTION("""COMPUTED_VALUE"""),"IDR")</f>
        <v>IDR</v>
      </c>
      <c r="I1299" s="6">
        <f>IFERROR(__xludf.DUMMYFUNCTION("""COMPUTED_VALUE"""),33000.0)</f>
        <v>33000</v>
      </c>
      <c r="J1299" s="6">
        <f>IFERROR(__xludf.DUMMYFUNCTION("""COMPUTED_VALUE"""),33000.0)</f>
        <v>33000</v>
      </c>
      <c r="K1299" s="57">
        <f>IFERROR(__xludf.DUMMYFUNCTION("""COMPUTED_VALUE"""),44134.0)</f>
        <v>44134</v>
      </c>
      <c r="L1299" s="6" t="str">
        <f>IFERROR(__xludf.DUMMYFUNCTION("""COMPUTED_VALUE"""),"FIP General")</f>
        <v>FIP General</v>
      </c>
      <c r="M1299" s="6" t="str">
        <f>IFERROR(__xludf.DUMMYFUNCTION("""COMPUTED_VALUE"""),"Irwan Sopian")</f>
        <v>Irwan Sopian</v>
      </c>
      <c r="N1299" s="6" t="str">
        <f>IFERROR(__xludf.DUMMYFUNCTION("""COMPUTED_VALUE"""),"FIP Engineering")</f>
        <v>FIP Engineering</v>
      </c>
      <c r="O1299" s="6" t="str">
        <f>IFERROR(__xludf.DUMMYFUNCTION("""COMPUTED_VALUE"""),"FIP-DOM-ENG-51504-0000000-INA-000000")</f>
        <v>FIP-DOM-ENG-51504-0000000-INA-000000</v>
      </c>
      <c r="P1299" s="6" t="str">
        <f>IFERROR(__xludf.DUMMYFUNCTION("""COMPUTED_VALUE"""),"PO Closed")</f>
        <v>PO Closed</v>
      </c>
      <c r="Q1299" s="6" t="str">
        <f>IFERROR(__xludf.DUMMYFUNCTION("""COMPUTED_VALUE"""),"GL2010035")</f>
        <v>GL2010035</v>
      </c>
      <c r="R1299" s="57">
        <f>IFERROR(__xludf.DUMMYFUNCTION("""COMPUTED_VALUE"""),44103.0)</f>
        <v>44103</v>
      </c>
      <c r="S1299" s="6" t="str">
        <f>IFERROR(__xludf.DUMMYFUNCTION("""COMPUTED_VALUE"""),"-")</f>
        <v>-</v>
      </c>
      <c r="T1299" s="57">
        <f>IFERROR(__xludf.DUMMYFUNCTION("""COMPUTED_VALUE"""),44134.0)</f>
        <v>44134</v>
      </c>
    </row>
    <row r="1300">
      <c r="A1300" s="6" t="str">
        <f>IFERROR(__xludf.DUMMYFUNCTION("""COMPUTED_VALUE"""),"201750376-1")</f>
        <v>201750376-1</v>
      </c>
      <c r="B1300" s="6" t="str">
        <f>IFERROR(__xludf.DUMMYFUNCTION("""COMPUTED_VALUE"""),"201750376 - Approved")</f>
        <v>201750376 - Approved</v>
      </c>
      <c r="C1300" s="6">
        <f>IFERROR(__xludf.DUMMYFUNCTION("""COMPUTED_VALUE"""),1.0)</f>
        <v>1</v>
      </c>
      <c r="D1300" s="6" t="str">
        <f>IFERROR(__xludf.DUMMYFUNCTION("""COMPUTED_VALUE"""),"P-17549-00")</f>
        <v>P-17549-00</v>
      </c>
      <c r="E1300" s="6" t="str">
        <f>IFERROR(__xludf.DUMMYFUNCTION("""COMPUTED_VALUE"""),"SMC - Air Filter AF20-02-A")</f>
        <v>SMC - Air Filter AF20-02-A</v>
      </c>
      <c r="F1300" s="6">
        <f>IFERROR(__xludf.DUMMYFUNCTION("""COMPUTED_VALUE"""),1.0)</f>
        <v>1</v>
      </c>
      <c r="G1300" s="6" t="str">
        <f>IFERROR(__xludf.DUMMYFUNCTION("""COMPUTED_VALUE"""),"Pieces")</f>
        <v>Pieces</v>
      </c>
      <c r="H1300" s="6" t="str">
        <f>IFERROR(__xludf.DUMMYFUNCTION("""COMPUTED_VALUE"""),"IDR")</f>
        <v>IDR</v>
      </c>
      <c r="I1300" s="6">
        <f>IFERROR(__xludf.DUMMYFUNCTION("""COMPUTED_VALUE"""),317000.0)</f>
        <v>317000</v>
      </c>
      <c r="J1300" s="6">
        <f>IFERROR(__xludf.DUMMYFUNCTION("""COMPUTED_VALUE"""),317000.0)</f>
        <v>317000</v>
      </c>
      <c r="K1300" s="57">
        <f>IFERROR(__xludf.DUMMYFUNCTION("""COMPUTED_VALUE"""),44144.0)</f>
        <v>44144</v>
      </c>
      <c r="L1300" s="6" t="str">
        <f>IFERROR(__xludf.DUMMYFUNCTION("""COMPUTED_VALUE"""),"FIP Engineering")</f>
        <v>FIP Engineering</v>
      </c>
      <c r="M1300" s="6" t="str">
        <f>IFERROR(__xludf.DUMMYFUNCTION("""COMPUTED_VALUE"""),"Irwan Sopian")</f>
        <v>Irwan Sopian</v>
      </c>
      <c r="N1300" s="6" t="str">
        <f>IFERROR(__xludf.DUMMYFUNCTION("""COMPUTED_VALUE"""),"FIP Engineering")</f>
        <v>FIP Engineering</v>
      </c>
      <c r="O1300" s="6" t="str">
        <f>IFERROR(__xludf.DUMMYFUNCTION("""COMPUTED_VALUE"""),"FIP-DOM-000-11304-OS00001-INA-000000")</f>
        <v>FIP-DOM-000-11304-OS00001-INA-000000</v>
      </c>
      <c r="P1300" s="6" t="str">
        <f>IFERROR(__xludf.DUMMYFUNCTION("""COMPUTED_VALUE"""),"PO Closed")</f>
        <v>PO Closed</v>
      </c>
      <c r="Q1300" s="6" t="str">
        <f>IFERROR(__xludf.DUMMYFUNCTION("""COMPUTED_VALUE"""),"GL2011008")</f>
        <v>GL2011008</v>
      </c>
      <c r="R1300" s="57">
        <f>IFERROR(__xludf.DUMMYFUNCTION("""COMPUTED_VALUE"""),44103.0)</f>
        <v>44103</v>
      </c>
      <c r="S1300" s="6" t="str">
        <f>IFERROR(__xludf.DUMMYFUNCTION("""COMPUTED_VALUE"""),"-")</f>
        <v>-</v>
      </c>
      <c r="T1300" s="57">
        <f>IFERROR(__xludf.DUMMYFUNCTION("""COMPUTED_VALUE"""),44160.0)</f>
        <v>44160</v>
      </c>
    </row>
    <row r="1301">
      <c r="A1301" s="6" t="str">
        <f>IFERROR(__xludf.DUMMYFUNCTION("""COMPUTED_VALUE"""),"201750376-2")</f>
        <v>201750376-2</v>
      </c>
      <c r="B1301" s="6" t="str">
        <f>IFERROR(__xludf.DUMMYFUNCTION("""COMPUTED_VALUE"""),"201750376 - Approved")</f>
        <v>201750376 - Approved</v>
      </c>
      <c r="C1301" s="6">
        <f>IFERROR(__xludf.DUMMYFUNCTION("""COMPUTED_VALUE"""),2.0)</f>
        <v>2</v>
      </c>
      <c r="D1301" s="6" t="str">
        <f>IFERROR(__xludf.DUMMYFUNCTION("""COMPUTED_VALUE"""),"P-11694-00")</f>
        <v>P-11694-00</v>
      </c>
      <c r="E1301" s="6" t="str">
        <f>IFERROR(__xludf.DUMMYFUNCTION("""COMPUTED_VALUE"""),"Mata Gerinda 4""")</f>
        <v>Mata Gerinda 4"</v>
      </c>
      <c r="F1301" s="6">
        <f>IFERROR(__xludf.DUMMYFUNCTION("""COMPUTED_VALUE"""),2.0)</f>
        <v>2</v>
      </c>
      <c r="G1301" s="6" t="str">
        <f>IFERROR(__xludf.DUMMYFUNCTION("""COMPUTED_VALUE"""),"Pieces")</f>
        <v>Pieces</v>
      </c>
      <c r="H1301" s="6" t="str">
        <f>IFERROR(__xludf.DUMMYFUNCTION("""COMPUTED_VALUE"""),"IDR")</f>
        <v>IDR</v>
      </c>
      <c r="I1301" s="6">
        <f>IFERROR(__xludf.DUMMYFUNCTION("""COMPUTED_VALUE"""),100000.0)</f>
        <v>100000</v>
      </c>
      <c r="J1301" s="6">
        <f>IFERROR(__xludf.DUMMYFUNCTION("""COMPUTED_VALUE"""),200000.0)</f>
        <v>200000</v>
      </c>
      <c r="K1301" s="57">
        <f>IFERROR(__xludf.DUMMYFUNCTION("""COMPUTED_VALUE"""),44144.0)</f>
        <v>44144</v>
      </c>
      <c r="L1301" s="6" t="str">
        <f>IFERROR(__xludf.DUMMYFUNCTION("""COMPUTED_VALUE"""),"FIP General")</f>
        <v>FIP General</v>
      </c>
      <c r="M1301" s="6" t="str">
        <f>IFERROR(__xludf.DUMMYFUNCTION("""COMPUTED_VALUE"""),"Irwan Sopian")</f>
        <v>Irwan Sopian</v>
      </c>
      <c r="N1301" s="6" t="str">
        <f>IFERROR(__xludf.DUMMYFUNCTION("""COMPUTED_VALUE"""),"FIP Engineering")</f>
        <v>FIP Engineering</v>
      </c>
      <c r="O1301" s="6" t="str">
        <f>IFERROR(__xludf.DUMMYFUNCTION("""COMPUTED_VALUE"""),"FIP-DOM-ENG-51404-0000000-INA-000000")</f>
        <v>FIP-DOM-ENG-51404-0000000-INA-000000</v>
      </c>
      <c r="P1301" s="6" t="str">
        <f>IFERROR(__xludf.DUMMYFUNCTION("""COMPUTED_VALUE"""),"PO Closed")</f>
        <v>PO Closed</v>
      </c>
      <c r="Q1301" s="6" t="str">
        <f>IFERROR(__xludf.DUMMYFUNCTION("""COMPUTED_VALUE"""),"GL2011007")</f>
        <v>GL2011007</v>
      </c>
      <c r="R1301" s="57">
        <f>IFERROR(__xludf.DUMMYFUNCTION("""COMPUTED_VALUE"""),44103.0)</f>
        <v>44103</v>
      </c>
      <c r="S1301" s="6" t="str">
        <f>IFERROR(__xludf.DUMMYFUNCTION("""COMPUTED_VALUE"""),"-")</f>
        <v>-</v>
      </c>
      <c r="T1301" s="57">
        <f>IFERROR(__xludf.DUMMYFUNCTION("""COMPUTED_VALUE"""),44160.0)</f>
        <v>44160</v>
      </c>
    </row>
    <row r="1302">
      <c r="A1302" s="6" t="str">
        <f>IFERROR(__xludf.DUMMYFUNCTION("""COMPUTED_VALUE"""),"201750376-3")</f>
        <v>201750376-3</v>
      </c>
      <c r="B1302" s="6" t="str">
        <f>IFERROR(__xludf.DUMMYFUNCTION("""COMPUTED_VALUE"""),"201750376 - Approved")</f>
        <v>201750376 - Approved</v>
      </c>
      <c r="C1302" s="6">
        <f>IFERROR(__xludf.DUMMYFUNCTION("""COMPUTED_VALUE"""),3.0)</f>
        <v>3</v>
      </c>
      <c r="D1302" s="6" t="str">
        <f>IFERROR(__xludf.DUMMYFUNCTION("""COMPUTED_VALUE"""),"P-17548-00")</f>
        <v>P-17548-00</v>
      </c>
      <c r="E1302" s="6" t="str">
        <f>IFERROR(__xludf.DUMMYFUNCTION("""COMPUTED_VALUE"""),"Diaphragm (L) PRV 25P DN40 Code: 3265690 Spirax Sarco")</f>
        <v>Diaphragm (L) PRV 25P DN40 Code: 3265690 Spirax Sarco</v>
      </c>
      <c r="F1302" s="6">
        <f>IFERROR(__xludf.DUMMYFUNCTION("""COMPUTED_VALUE"""),1.0)</f>
        <v>1</v>
      </c>
      <c r="G1302" s="6" t="str">
        <f>IFERROR(__xludf.DUMMYFUNCTION("""COMPUTED_VALUE"""),"Pieces")</f>
        <v>Pieces</v>
      </c>
      <c r="H1302" s="6" t="str">
        <f>IFERROR(__xludf.DUMMYFUNCTION("""COMPUTED_VALUE"""),"IDR")</f>
        <v>IDR</v>
      </c>
      <c r="I1302" s="6">
        <f>IFERROR(__xludf.DUMMYFUNCTION("""COMPUTED_VALUE"""),1452000.0)</f>
        <v>1452000</v>
      </c>
      <c r="J1302" s="6">
        <f>IFERROR(__xludf.DUMMYFUNCTION("""COMPUTED_VALUE"""),1452000.0)</f>
        <v>1452000</v>
      </c>
      <c r="K1302" s="57">
        <f>IFERROR(__xludf.DUMMYFUNCTION("""COMPUTED_VALUE"""),44144.0)</f>
        <v>44144</v>
      </c>
      <c r="L1302" s="6" t="str">
        <f>IFERROR(__xludf.DUMMYFUNCTION("""COMPUTED_VALUE"""),"FIP General")</f>
        <v>FIP General</v>
      </c>
      <c r="M1302" s="6" t="str">
        <f>IFERROR(__xludf.DUMMYFUNCTION("""COMPUTED_VALUE"""),"Irwan Sopian")</f>
        <v>Irwan Sopian</v>
      </c>
      <c r="N1302" s="6" t="str">
        <f>IFERROR(__xludf.DUMMYFUNCTION("""COMPUTED_VALUE"""),"FIP Engineering")</f>
        <v>FIP Engineering</v>
      </c>
      <c r="O1302" s="6" t="str">
        <f>IFERROR(__xludf.DUMMYFUNCTION("""COMPUTED_VALUE"""),"FIP-DOM-ENG-51504-0000000-INA-000000")</f>
        <v>FIP-DOM-ENG-51504-0000000-INA-000000</v>
      </c>
      <c r="P1302" s="6" t="str">
        <f>IFERROR(__xludf.DUMMYFUNCTION("""COMPUTED_VALUE"""),"PO Closed")</f>
        <v>PO Closed</v>
      </c>
      <c r="Q1302" s="6" t="str">
        <f>IFERROR(__xludf.DUMMYFUNCTION("""COMPUTED_VALUE"""),"GL2011009")</f>
        <v>GL2011009</v>
      </c>
      <c r="R1302" s="57">
        <f>IFERROR(__xludf.DUMMYFUNCTION("""COMPUTED_VALUE"""),44103.0)</f>
        <v>44103</v>
      </c>
      <c r="S1302" s="6" t="str">
        <f>IFERROR(__xludf.DUMMYFUNCTION("""COMPUTED_VALUE"""),"-")</f>
        <v>-</v>
      </c>
      <c r="T1302" s="57">
        <f>IFERROR(__xludf.DUMMYFUNCTION("""COMPUTED_VALUE"""),44180.0)</f>
        <v>44180</v>
      </c>
    </row>
    <row r="1303">
      <c r="A1303" s="6" t="str">
        <f>IFERROR(__xludf.DUMMYFUNCTION("""COMPUTED_VALUE"""),"201750376-4")</f>
        <v>201750376-4</v>
      </c>
      <c r="B1303" s="6" t="str">
        <f>IFERROR(__xludf.DUMMYFUNCTION("""COMPUTED_VALUE"""),"201750376 - Approved")</f>
        <v>201750376 - Approved</v>
      </c>
      <c r="C1303" s="6">
        <f>IFERROR(__xludf.DUMMYFUNCTION("""COMPUTED_VALUE"""),4.0)</f>
        <v>4</v>
      </c>
      <c r="D1303" s="6" t="str">
        <f>IFERROR(__xludf.DUMMYFUNCTION("""COMPUTED_VALUE"""),"P-51560-00")</f>
        <v>P-51560-00</v>
      </c>
      <c r="E1303" s="6" t="str">
        <f>IFERROR(__xludf.DUMMYFUNCTION("""COMPUTED_VALUE"""),"Lampu T5 28watt Putih Phillips")</f>
        <v>Lampu T5 28watt Putih Phillips</v>
      </c>
      <c r="F1303" s="6">
        <f>IFERROR(__xludf.DUMMYFUNCTION("""COMPUTED_VALUE"""),40.0)</f>
        <v>40</v>
      </c>
      <c r="G1303" s="6" t="str">
        <f>IFERROR(__xludf.DUMMYFUNCTION("""COMPUTED_VALUE"""),"Pieces")</f>
        <v>Pieces</v>
      </c>
      <c r="H1303" s="6" t="str">
        <f>IFERROR(__xludf.DUMMYFUNCTION("""COMPUTED_VALUE"""),"IDR")</f>
        <v>IDR</v>
      </c>
      <c r="I1303" s="6">
        <f>IFERROR(__xludf.DUMMYFUNCTION("""COMPUTED_VALUE"""),36000.0)</f>
        <v>36000</v>
      </c>
      <c r="J1303" s="6">
        <f>IFERROR(__xludf.DUMMYFUNCTION("""COMPUTED_VALUE"""),1440000.0)</f>
        <v>1440000</v>
      </c>
      <c r="K1303" s="57">
        <f>IFERROR(__xludf.DUMMYFUNCTION("""COMPUTED_VALUE"""),44144.0)</f>
        <v>44144</v>
      </c>
      <c r="L1303" s="6" t="str">
        <f>IFERROR(__xludf.DUMMYFUNCTION("""COMPUTED_VALUE"""),"FIP Engineering")</f>
        <v>FIP Engineering</v>
      </c>
      <c r="M1303" s="6" t="str">
        <f>IFERROR(__xludf.DUMMYFUNCTION("""COMPUTED_VALUE"""),"Irwan Sopian")</f>
        <v>Irwan Sopian</v>
      </c>
      <c r="N1303" s="6" t="str">
        <f>IFERROR(__xludf.DUMMYFUNCTION("""COMPUTED_VALUE"""),"FIP Engineering")</f>
        <v>FIP Engineering</v>
      </c>
      <c r="O1303" s="6" t="str">
        <f>IFERROR(__xludf.DUMMYFUNCTION("""COMPUTED_VALUE"""),"FIP-DOM-000-11304-OS00001-INA-000000")</f>
        <v>FIP-DOM-000-11304-OS00001-INA-000000</v>
      </c>
      <c r="P1303" s="6" t="str">
        <f>IFERROR(__xludf.DUMMYFUNCTION("""COMPUTED_VALUE"""),"PO Closed")</f>
        <v>PO Closed</v>
      </c>
      <c r="Q1303" s="6" t="str">
        <f>IFERROR(__xludf.DUMMYFUNCTION("""COMPUTED_VALUE"""),"GL2011007")</f>
        <v>GL2011007</v>
      </c>
      <c r="R1303" s="57">
        <f>IFERROR(__xludf.DUMMYFUNCTION("""COMPUTED_VALUE"""),44103.0)</f>
        <v>44103</v>
      </c>
      <c r="S1303" s="6" t="str">
        <f>IFERROR(__xludf.DUMMYFUNCTION("""COMPUTED_VALUE"""),"-")</f>
        <v>-</v>
      </c>
      <c r="T1303" s="57">
        <f>IFERROR(__xludf.DUMMYFUNCTION("""COMPUTED_VALUE"""),44160.0)</f>
        <v>44160</v>
      </c>
    </row>
    <row r="1304">
      <c r="A1304" s="6" t="str">
        <f>IFERROR(__xludf.DUMMYFUNCTION("""COMPUTED_VALUE"""),"201750376-5")</f>
        <v>201750376-5</v>
      </c>
      <c r="B1304" s="6" t="str">
        <f>IFERROR(__xludf.DUMMYFUNCTION("""COMPUTED_VALUE"""),"201750376 - Approved")</f>
        <v>201750376 - Approved</v>
      </c>
      <c r="C1304" s="6">
        <f>IFERROR(__xludf.DUMMYFUNCTION("""COMPUTED_VALUE"""),5.0)</f>
        <v>5</v>
      </c>
      <c r="D1304" s="6" t="str">
        <f>IFERROR(__xludf.DUMMYFUNCTION("""COMPUTED_VALUE"""),"P-51559-00")</f>
        <v>P-51559-00</v>
      </c>
      <c r="E1304" s="6" t="str">
        <f>IFERROR(__xludf.DUMMYFUNCTION("""COMPUTED_VALUE"""),"Lampu T5 14watt Putih Phillips")</f>
        <v>Lampu T5 14watt Putih Phillips</v>
      </c>
      <c r="F1304" s="6">
        <f>IFERROR(__xludf.DUMMYFUNCTION("""COMPUTED_VALUE"""),40.0)</f>
        <v>40</v>
      </c>
      <c r="G1304" s="6" t="str">
        <f>IFERROR(__xludf.DUMMYFUNCTION("""COMPUTED_VALUE"""),"Pack")</f>
        <v>Pack</v>
      </c>
      <c r="H1304" s="6" t="str">
        <f>IFERROR(__xludf.DUMMYFUNCTION("""COMPUTED_VALUE"""),"IDR")</f>
        <v>IDR</v>
      </c>
      <c r="I1304" s="6">
        <f>IFERROR(__xludf.DUMMYFUNCTION("""COMPUTED_VALUE"""),29700.0)</f>
        <v>29700</v>
      </c>
      <c r="J1304" s="6">
        <f>IFERROR(__xludf.DUMMYFUNCTION("""COMPUTED_VALUE"""),1188000.0)</f>
        <v>1188000</v>
      </c>
      <c r="K1304" s="57">
        <f>IFERROR(__xludf.DUMMYFUNCTION("""COMPUTED_VALUE"""),44144.0)</f>
        <v>44144</v>
      </c>
      <c r="L1304" s="6" t="str">
        <f>IFERROR(__xludf.DUMMYFUNCTION("""COMPUTED_VALUE"""),"FIP Engineering")</f>
        <v>FIP Engineering</v>
      </c>
      <c r="M1304" s="6" t="str">
        <f>IFERROR(__xludf.DUMMYFUNCTION("""COMPUTED_VALUE"""),"Irwan Sopian")</f>
        <v>Irwan Sopian</v>
      </c>
      <c r="N1304" s="6" t="str">
        <f>IFERROR(__xludf.DUMMYFUNCTION("""COMPUTED_VALUE"""),"FIP Engineering")</f>
        <v>FIP Engineering</v>
      </c>
      <c r="O1304" s="6" t="str">
        <f>IFERROR(__xludf.DUMMYFUNCTION("""COMPUTED_VALUE"""),"FIP-DOM-000-11304-OS00001-INA-000000")</f>
        <v>FIP-DOM-000-11304-OS00001-INA-000000</v>
      </c>
      <c r="P1304" s="6" t="str">
        <f>IFERROR(__xludf.DUMMYFUNCTION("""COMPUTED_VALUE"""),"PO Closed")</f>
        <v>PO Closed</v>
      </c>
      <c r="Q1304" s="6" t="str">
        <f>IFERROR(__xludf.DUMMYFUNCTION("""COMPUTED_VALUE"""),"GL2011007")</f>
        <v>GL2011007</v>
      </c>
      <c r="R1304" s="57">
        <f>IFERROR(__xludf.DUMMYFUNCTION("""COMPUTED_VALUE"""),44103.0)</f>
        <v>44103</v>
      </c>
      <c r="S1304" s="6" t="str">
        <f>IFERROR(__xludf.DUMMYFUNCTION("""COMPUTED_VALUE"""),"-")</f>
        <v>-</v>
      </c>
      <c r="T1304" s="57">
        <f>IFERROR(__xludf.DUMMYFUNCTION("""COMPUTED_VALUE"""),44160.0)</f>
        <v>44160</v>
      </c>
    </row>
    <row r="1305">
      <c r="A1305" s="6" t="str">
        <f>IFERROR(__xludf.DUMMYFUNCTION("""COMPUTED_VALUE"""),"201750376-6")</f>
        <v>201750376-6</v>
      </c>
      <c r="B1305" s="6" t="str">
        <f>IFERROR(__xludf.DUMMYFUNCTION("""COMPUTED_VALUE"""),"201750376 - Approved")</f>
        <v>201750376 - Approved</v>
      </c>
      <c r="C1305" s="6">
        <f>IFERROR(__xludf.DUMMYFUNCTION("""COMPUTED_VALUE"""),6.0)</f>
        <v>6</v>
      </c>
      <c r="D1305" s="6" t="str">
        <f>IFERROR(__xludf.DUMMYFUNCTION("""COMPUTED_VALUE"""),"P-53102-00")</f>
        <v>P-53102-00</v>
      </c>
      <c r="E1305" s="6" t="str">
        <f>IFERROR(__xludf.DUMMYFUNCTION("""COMPUTED_VALUE"""),"Lampu PLC 13watt/E27 Putih Phillips")</f>
        <v>Lampu PLC 13watt/E27 Putih Phillips</v>
      </c>
      <c r="F1305" s="6">
        <f>IFERROR(__xludf.DUMMYFUNCTION("""COMPUTED_VALUE"""),10.0)</f>
        <v>10</v>
      </c>
      <c r="G1305" s="6" t="str">
        <f>IFERROR(__xludf.DUMMYFUNCTION("""COMPUTED_VALUE"""),"Pieces")</f>
        <v>Pieces</v>
      </c>
      <c r="H1305" s="6" t="str">
        <f>IFERROR(__xludf.DUMMYFUNCTION("""COMPUTED_VALUE"""),"IDR")</f>
        <v>IDR</v>
      </c>
      <c r="I1305" s="6">
        <f>IFERROR(__xludf.DUMMYFUNCTION("""COMPUTED_VALUE"""),27000.0)</f>
        <v>27000</v>
      </c>
      <c r="J1305" s="6">
        <f>IFERROR(__xludf.DUMMYFUNCTION("""COMPUTED_VALUE"""),270000.0)</f>
        <v>270000</v>
      </c>
      <c r="K1305" s="57">
        <f>IFERROR(__xludf.DUMMYFUNCTION("""COMPUTED_VALUE"""),44144.0)</f>
        <v>44144</v>
      </c>
      <c r="L1305" s="6" t="str">
        <f>IFERROR(__xludf.DUMMYFUNCTION("""COMPUTED_VALUE"""),"FIP Engineering")</f>
        <v>FIP Engineering</v>
      </c>
      <c r="M1305" s="6" t="str">
        <f>IFERROR(__xludf.DUMMYFUNCTION("""COMPUTED_VALUE"""),"Irwan Sopian")</f>
        <v>Irwan Sopian</v>
      </c>
      <c r="N1305" s="6" t="str">
        <f>IFERROR(__xludf.DUMMYFUNCTION("""COMPUTED_VALUE"""),"FIP Engineering")</f>
        <v>FIP Engineering</v>
      </c>
      <c r="O1305" s="6" t="str">
        <f>IFERROR(__xludf.DUMMYFUNCTION("""COMPUTED_VALUE"""),"FIP-DOM-000-11304-OS00001-INA-000000")</f>
        <v>FIP-DOM-000-11304-OS00001-INA-000000</v>
      </c>
      <c r="P1305" s="6" t="str">
        <f>IFERROR(__xludf.DUMMYFUNCTION("""COMPUTED_VALUE"""),"PO Closed")</f>
        <v>PO Closed</v>
      </c>
      <c r="Q1305" s="6" t="str">
        <f>IFERROR(__xludf.DUMMYFUNCTION("""COMPUTED_VALUE"""),"GL2011007")</f>
        <v>GL2011007</v>
      </c>
      <c r="R1305" s="57">
        <f>IFERROR(__xludf.DUMMYFUNCTION("""COMPUTED_VALUE"""),44103.0)</f>
        <v>44103</v>
      </c>
      <c r="S1305" s="6" t="str">
        <f>IFERROR(__xludf.DUMMYFUNCTION("""COMPUTED_VALUE"""),"-")</f>
        <v>-</v>
      </c>
      <c r="T1305" s="57">
        <f>IFERROR(__xludf.DUMMYFUNCTION("""COMPUTED_VALUE"""),44160.0)</f>
        <v>44160</v>
      </c>
    </row>
    <row r="1306">
      <c r="A1306" s="6" t="str">
        <f>IFERROR(__xludf.DUMMYFUNCTION("""COMPUTED_VALUE"""),"201750376-7")</f>
        <v>201750376-7</v>
      </c>
      <c r="B1306" s="6" t="str">
        <f>IFERROR(__xludf.DUMMYFUNCTION("""COMPUTED_VALUE"""),"201750376 - Approved")</f>
        <v>201750376 - Approved</v>
      </c>
      <c r="C1306" s="6">
        <f>IFERROR(__xludf.DUMMYFUNCTION("""COMPUTED_VALUE"""),7.0)</f>
        <v>7</v>
      </c>
      <c r="D1306" s="6" t="str">
        <f>IFERROR(__xludf.DUMMYFUNCTION("""COMPUTED_VALUE"""),"P-51741-00")</f>
        <v>P-51741-00</v>
      </c>
      <c r="E1306" s="6" t="str">
        <f>IFERROR(__xludf.DUMMYFUNCTION("""COMPUTED_VALUE"""),"Lampu Phillips PHP LED 710 7w E27 White 220-240v")</f>
        <v>Lampu Phillips PHP LED 710 7w E27 White 220-240v</v>
      </c>
      <c r="F1306" s="6">
        <f>IFERROR(__xludf.DUMMYFUNCTION("""COMPUTED_VALUE"""),10.0)</f>
        <v>10</v>
      </c>
      <c r="G1306" s="6" t="str">
        <f>IFERROR(__xludf.DUMMYFUNCTION("""COMPUTED_VALUE"""),"Pieces")</f>
        <v>Pieces</v>
      </c>
      <c r="H1306" s="6" t="str">
        <f>IFERROR(__xludf.DUMMYFUNCTION("""COMPUTED_VALUE"""),"IDR")</f>
        <v>IDR</v>
      </c>
      <c r="I1306" s="6">
        <f>IFERROR(__xludf.DUMMYFUNCTION("""COMPUTED_VALUE"""),31000.0)</f>
        <v>31000</v>
      </c>
      <c r="J1306" s="6">
        <f>IFERROR(__xludf.DUMMYFUNCTION("""COMPUTED_VALUE"""),310000.0)</f>
        <v>310000</v>
      </c>
      <c r="K1306" s="57">
        <f>IFERROR(__xludf.DUMMYFUNCTION("""COMPUTED_VALUE"""),44144.0)</f>
        <v>44144</v>
      </c>
      <c r="L1306" s="6" t="str">
        <f>IFERROR(__xludf.DUMMYFUNCTION("""COMPUTED_VALUE"""),"FIP Engineering")</f>
        <v>FIP Engineering</v>
      </c>
      <c r="M1306" s="6" t="str">
        <f>IFERROR(__xludf.DUMMYFUNCTION("""COMPUTED_VALUE"""),"Irwan Sopian")</f>
        <v>Irwan Sopian</v>
      </c>
      <c r="N1306" s="6" t="str">
        <f>IFERROR(__xludf.DUMMYFUNCTION("""COMPUTED_VALUE"""),"FIP Engineering")</f>
        <v>FIP Engineering</v>
      </c>
      <c r="O1306" s="6" t="str">
        <f>IFERROR(__xludf.DUMMYFUNCTION("""COMPUTED_VALUE"""),"FIP-DOM-000-11304-OS00001-INA-000000")</f>
        <v>FIP-DOM-000-11304-OS00001-INA-000000</v>
      </c>
      <c r="P1306" s="6" t="str">
        <f>IFERROR(__xludf.DUMMYFUNCTION("""COMPUTED_VALUE"""),"PO Closed")</f>
        <v>PO Closed</v>
      </c>
      <c r="Q1306" s="6" t="str">
        <f>IFERROR(__xludf.DUMMYFUNCTION("""COMPUTED_VALUE"""),"GL2011007")</f>
        <v>GL2011007</v>
      </c>
      <c r="R1306" s="57">
        <f>IFERROR(__xludf.DUMMYFUNCTION("""COMPUTED_VALUE"""),44103.0)</f>
        <v>44103</v>
      </c>
      <c r="S1306" s="6" t="str">
        <f>IFERROR(__xludf.DUMMYFUNCTION("""COMPUTED_VALUE"""),"-")</f>
        <v>-</v>
      </c>
      <c r="T1306" s="57">
        <f>IFERROR(__xludf.DUMMYFUNCTION("""COMPUTED_VALUE"""),44160.0)</f>
        <v>44160</v>
      </c>
    </row>
    <row r="1307">
      <c r="A1307" s="6" t="str">
        <f>IFERROR(__xludf.DUMMYFUNCTION("""COMPUTED_VALUE"""),"201750349-2")</f>
        <v>201750349-2</v>
      </c>
      <c r="B1307" s="6" t="str">
        <f>IFERROR(__xludf.DUMMYFUNCTION("""COMPUTED_VALUE"""),"201750349 - Approved")</f>
        <v>201750349 - Approved</v>
      </c>
      <c r="C1307" s="6">
        <f>IFERROR(__xludf.DUMMYFUNCTION("""COMPUTED_VALUE"""),2.0)</f>
        <v>2</v>
      </c>
      <c r="D1307" s="6" t="str">
        <f>IFERROR(__xludf.DUMMYFUNCTION("""COMPUTED_VALUE"""),"P-17539-00")</f>
        <v>P-17539-00</v>
      </c>
      <c r="E1307" s="6" t="str">
        <f>IFERROR(__xludf.DUMMYFUNCTION("""COMPUTED_VALUE"""),"Seal Ferrule Silicone 4 inch")</f>
        <v>Seal Ferrule Silicone 4 inch</v>
      </c>
      <c r="F1307" s="6">
        <f>IFERROR(__xludf.DUMMYFUNCTION("""COMPUTED_VALUE"""),2.0)</f>
        <v>2</v>
      </c>
      <c r="G1307" s="6" t="str">
        <f>IFERROR(__xludf.DUMMYFUNCTION("""COMPUTED_VALUE"""),"Pieces")</f>
        <v>Pieces</v>
      </c>
      <c r="H1307" s="6" t="str">
        <f>IFERROR(__xludf.DUMMYFUNCTION("""COMPUTED_VALUE"""),"IDR")</f>
        <v>IDR</v>
      </c>
      <c r="I1307" s="6">
        <f>IFERROR(__xludf.DUMMYFUNCTION("""COMPUTED_VALUE"""),135000.0)</f>
        <v>135000</v>
      </c>
      <c r="J1307" s="6">
        <f>IFERROR(__xludf.DUMMYFUNCTION("""COMPUTED_VALUE"""),270000.0)</f>
        <v>270000</v>
      </c>
      <c r="K1307" s="57">
        <f>IFERROR(__xludf.DUMMYFUNCTION("""COMPUTED_VALUE"""),44165.0)</f>
        <v>44165</v>
      </c>
      <c r="L1307" s="6" t="str">
        <f>IFERROR(__xludf.DUMMYFUNCTION("""COMPUTED_VALUE"""),"FIP General")</f>
        <v>FIP General</v>
      </c>
      <c r="M1307" s="6" t="str">
        <f>IFERROR(__xludf.DUMMYFUNCTION("""COMPUTED_VALUE"""),"Irwan Sopian")</f>
        <v>Irwan Sopian</v>
      </c>
      <c r="N1307" s="6" t="str">
        <f>IFERROR(__xludf.DUMMYFUNCTION("""COMPUTED_VALUE"""),"FIP Engineering")</f>
        <v>FIP Engineering</v>
      </c>
      <c r="O1307" s="6" t="str">
        <f>IFERROR(__xludf.DUMMYFUNCTION("""COMPUTED_VALUE"""),"FIP-DOM-ENG-51504-0000000-INA-000000")</f>
        <v>FIP-DOM-ENG-51504-0000000-INA-000000</v>
      </c>
      <c r="P1307" s="6" t="str">
        <f>IFERROR(__xludf.DUMMYFUNCTION("""COMPUTED_VALUE"""),"PO Closed")</f>
        <v>PO Closed</v>
      </c>
      <c r="Q1307" s="6" t="str">
        <f>IFERROR(__xludf.DUMMYFUNCTION("""COMPUTED_VALUE"""),"GL2011040")</f>
        <v>GL2011040</v>
      </c>
      <c r="R1307" s="57">
        <f>IFERROR(__xludf.DUMMYFUNCTION("""COMPUTED_VALUE"""),44103.0)</f>
        <v>44103</v>
      </c>
      <c r="S1307" s="6" t="str">
        <f>IFERROR(__xludf.DUMMYFUNCTION("""COMPUTED_VALUE"""),"-")</f>
        <v>-</v>
      </c>
      <c r="T1307" s="57">
        <f>IFERROR(__xludf.DUMMYFUNCTION("""COMPUTED_VALUE"""),44169.0)</f>
        <v>44169</v>
      </c>
    </row>
    <row r="1308">
      <c r="A1308" s="6" t="str">
        <f>IFERROR(__xludf.DUMMYFUNCTION("""COMPUTED_VALUE"""),"201750388-1")</f>
        <v>201750388-1</v>
      </c>
      <c r="B1308" s="6" t="str">
        <f>IFERROR(__xludf.DUMMYFUNCTION("""COMPUTED_VALUE"""),"201750388 - Approved")</f>
        <v>201750388 - Approved</v>
      </c>
      <c r="C1308" s="6">
        <f>IFERROR(__xludf.DUMMYFUNCTION("""COMPUTED_VALUE"""),1.0)</f>
        <v>1</v>
      </c>
      <c r="D1308" s="6" t="str">
        <f>IFERROR(__xludf.DUMMYFUNCTION("""COMPUTED_VALUE"""),"O-60001-00")</f>
        <v>O-60001-00</v>
      </c>
      <c r="E1308" s="6" t="str">
        <f>IFERROR(__xludf.DUMMYFUNCTION("""COMPUTED_VALUE"""),"Untuk Perbaikan Mesin Sartocek")</f>
        <v>Untuk Perbaikan Mesin Sartocek</v>
      </c>
      <c r="F1308" s="6">
        <f>IFERROR(__xludf.DUMMYFUNCTION("""COMPUTED_VALUE"""),1.0)</f>
        <v>1</v>
      </c>
      <c r="G1308" s="6" t="str">
        <f>IFERROR(__xludf.DUMMYFUNCTION("""COMPUTED_VALUE"""),"Lot")</f>
        <v>Lot</v>
      </c>
      <c r="H1308" s="6" t="str">
        <f>IFERROR(__xludf.DUMMYFUNCTION("""COMPUTED_VALUE"""),"IDR")</f>
        <v>IDR</v>
      </c>
      <c r="I1308" s="6">
        <f>IFERROR(__xludf.DUMMYFUNCTION("""COMPUTED_VALUE"""),1.45E7)</f>
        <v>14500000</v>
      </c>
      <c r="J1308" s="6">
        <f>IFERROR(__xludf.DUMMYFUNCTION("""COMPUTED_VALUE"""),1.45E7)</f>
        <v>14500000</v>
      </c>
      <c r="K1308" s="57">
        <f>IFERROR(__xludf.DUMMYFUNCTION("""COMPUTED_VALUE"""),44134.0)</f>
        <v>44134</v>
      </c>
      <c r="L1308" s="6" t="str">
        <f>IFERROR(__xludf.DUMMYFUNCTION("""COMPUTED_VALUE"""),"FIP General")</f>
        <v>FIP General</v>
      </c>
      <c r="M1308" s="6" t="str">
        <f>IFERROR(__xludf.DUMMYFUNCTION("""COMPUTED_VALUE"""),"Irwan Sopian")</f>
        <v>Irwan Sopian</v>
      </c>
      <c r="N1308" s="6" t="str">
        <f>IFERROR(__xludf.DUMMYFUNCTION("""COMPUTED_VALUE"""),"FIP Engineering")</f>
        <v>FIP Engineering</v>
      </c>
      <c r="O1308" s="6" t="str">
        <f>IFERROR(__xludf.DUMMYFUNCTION("""COMPUTED_VALUE"""),"FIP-DOM-ENG-51504-0000000-INA-000000")</f>
        <v>FIP-DOM-ENG-51504-0000000-INA-000000</v>
      </c>
      <c r="P1308" s="6" t="str">
        <f>IFERROR(__xludf.DUMMYFUNCTION("""COMPUTED_VALUE"""),"PO Closed")</f>
        <v>PO Closed</v>
      </c>
      <c r="Q1308" s="6" t="str">
        <f>IFERROR(__xludf.DUMMYFUNCTION("""COMPUTED_VALUE"""),"GL2010008")</f>
        <v>GL2010008</v>
      </c>
      <c r="R1308" s="57">
        <f>IFERROR(__xludf.DUMMYFUNCTION("""COMPUTED_VALUE"""),44109.0)</f>
        <v>44109</v>
      </c>
      <c r="S1308" s="6" t="str">
        <f>IFERROR(__xludf.DUMMYFUNCTION("""COMPUTED_VALUE"""),"-")</f>
        <v>-</v>
      </c>
      <c r="T1308" s="57">
        <f>IFERROR(__xludf.DUMMYFUNCTION("""COMPUTED_VALUE"""),44120.0)</f>
        <v>44120</v>
      </c>
    </row>
    <row r="1309">
      <c r="A1309" s="6" t="str">
        <f>IFERROR(__xludf.DUMMYFUNCTION("""COMPUTED_VALUE"""),"201750396-1")</f>
        <v>201750396-1</v>
      </c>
      <c r="B1309" s="6" t="str">
        <f>IFERROR(__xludf.DUMMYFUNCTION("""COMPUTED_VALUE"""),"201750396 - Approved")</f>
        <v>201750396 - Approved</v>
      </c>
      <c r="C1309" s="6">
        <f>IFERROR(__xludf.DUMMYFUNCTION("""COMPUTED_VALUE"""),1.0)</f>
        <v>1</v>
      </c>
      <c r="D1309" s="6" t="str">
        <f>IFERROR(__xludf.DUMMYFUNCTION("""COMPUTED_VALUE"""),"P-17552-00")</f>
        <v>P-17552-00</v>
      </c>
      <c r="E1309" s="6" t="str">
        <f>IFERROR(__xludf.DUMMYFUNCTION("""COMPUTED_VALUE"""),"Lower Fuser Pressure Printer Laserjet P 3015")</f>
        <v>Lower Fuser Pressure Printer Laserjet P 3015</v>
      </c>
      <c r="F1309" s="6">
        <f>IFERROR(__xludf.DUMMYFUNCTION("""COMPUTED_VALUE"""),1.0)</f>
        <v>1</v>
      </c>
      <c r="G1309" s="6" t="str">
        <f>IFERROR(__xludf.DUMMYFUNCTION("""COMPUTED_VALUE"""),"Pieces")</f>
        <v>Pieces</v>
      </c>
      <c r="H1309" s="6" t="str">
        <f>IFERROR(__xludf.DUMMYFUNCTION("""COMPUTED_VALUE"""),"IDR")</f>
        <v>IDR</v>
      </c>
      <c r="I1309" s="6">
        <f>IFERROR(__xludf.DUMMYFUNCTION("""COMPUTED_VALUE"""),138500.0)</f>
        <v>138500</v>
      </c>
      <c r="J1309" s="6">
        <f>IFERROR(__xludf.DUMMYFUNCTION("""COMPUTED_VALUE"""),138500.0)</f>
        <v>138500</v>
      </c>
      <c r="K1309" s="57">
        <f>IFERROR(__xludf.DUMMYFUNCTION("""COMPUTED_VALUE"""),44148.0)</f>
        <v>44148</v>
      </c>
      <c r="L1309" s="6" t="str">
        <f>IFERROR(__xludf.DUMMYFUNCTION("""COMPUTED_VALUE"""),"FIP General")</f>
        <v>FIP General</v>
      </c>
      <c r="M1309" s="6" t="str">
        <f>IFERROR(__xludf.DUMMYFUNCTION("""COMPUTED_VALUE"""),"Irwan Sopian")</f>
        <v>Irwan Sopian</v>
      </c>
      <c r="N1309" s="6" t="str">
        <f>IFERROR(__xludf.DUMMYFUNCTION("""COMPUTED_VALUE"""),"FIP Engineering")</f>
        <v>FIP Engineering</v>
      </c>
      <c r="O1309" s="6" t="str">
        <f>IFERROR(__xludf.DUMMYFUNCTION("""COMPUTED_VALUE"""),"FIP-DOM-ENG-51504-0000000-INA-000000")</f>
        <v>FIP-DOM-ENG-51504-0000000-INA-000000</v>
      </c>
      <c r="P1309" s="6" t="str">
        <f>IFERROR(__xludf.DUMMYFUNCTION("""COMPUTED_VALUE"""),"PO Closed")</f>
        <v>PO Closed</v>
      </c>
      <c r="Q1309" s="6" t="str">
        <f>IFERROR(__xludf.DUMMYFUNCTION("""COMPUTED_VALUE"""),"GL2010036")</f>
        <v>GL2010036</v>
      </c>
      <c r="R1309" s="57">
        <f>IFERROR(__xludf.DUMMYFUNCTION("""COMPUTED_VALUE"""),44112.0)</f>
        <v>44112</v>
      </c>
      <c r="S1309" s="6" t="str">
        <f>IFERROR(__xludf.DUMMYFUNCTION("""COMPUTED_VALUE"""),"-")</f>
        <v>-</v>
      </c>
      <c r="T1309" s="57">
        <f>IFERROR(__xludf.DUMMYFUNCTION("""COMPUTED_VALUE"""),44148.0)</f>
        <v>44148</v>
      </c>
    </row>
    <row r="1310">
      <c r="A1310" s="6" t="str">
        <f>IFERROR(__xludf.DUMMYFUNCTION("""COMPUTED_VALUE"""),"201750377-15")</f>
        <v>201750377-15</v>
      </c>
      <c r="B1310" s="6" t="str">
        <f>IFERROR(__xludf.DUMMYFUNCTION("""COMPUTED_VALUE"""),"201750377 - Approved")</f>
        <v>201750377 - Approved</v>
      </c>
      <c r="C1310" s="6">
        <f>IFERROR(__xludf.DUMMYFUNCTION("""COMPUTED_VALUE"""),15.0)</f>
        <v>15</v>
      </c>
      <c r="D1310" s="6" t="str">
        <f>IFERROR(__xludf.DUMMYFUNCTION("""COMPUTED_VALUE"""),"P-12803-00")</f>
        <v>P-12803-00</v>
      </c>
      <c r="E1310" s="6" t="str">
        <f>IFERROR(__xludf.DUMMYFUNCTION("""COMPUTED_VALUE"""),"Sock Drat dalam PVC AW dia 1 inch")</f>
        <v>Sock Drat dalam PVC AW dia 1 inch</v>
      </c>
      <c r="F1310" s="6">
        <f>IFERROR(__xludf.DUMMYFUNCTION("""COMPUTED_VALUE"""),1.0)</f>
        <v>1</v>
      </c>
      <c r="G1310" s="6" t="str">
        <f>IFERROR(__xludf.DUMMYFUNCTION("""COMPUTED_VALUE"""),"Pieces")</f>
        <v>Pieces</v>
      </c>
      <c r="H1310" s="6" t="str">
        <f>IFERROR(__xludf.DUMMYFUNCTION("""COMPUTED_VALUE"""),"IDR")</f>
        <v>IDR</v>
      </c>
      <c r="I1310" s="6">
        <f>IFERROR(__xludf.DUMMYFUNCTION("""COMPUTED_VALUE"""),5000.0)</f>
        <v>5000</v>
      </c>
      <c r="J1310" s="6">
        <f>IFERROR(__xludf.DUMMYFUNCTION("""COMPUTED_VALUE"""),5000.0)</f>
        <v>5000</v>
      </c>
      <c r="K1310" s="57">
        <f>IFERROR(__xludf.DUMMYFUNCTION("""COMPUTED_VALUE"""),44134.0)</f>
        <v>44134</v>
      </c>
      <c r="L1310" s="6" t="str">
        <f>IFERROR(__xludf.DUMMYFUNCTION("""COMPUTED_VALUE"""),"FIP Engineering")</f>
        <v>FIP Engineering</v>
      </c>
      <c r="M1310" s="6" t="str">
        <f>IFERROR(__xludf.DUMMYFUNCTION("""COMPUTED_VALUE"""),"Irwan Sopian")</f>
        <v>Irwan Sopian</v>
      </c>
      <c r="N1310" s="6" t="str">
        <f>IFERROR(__xludf.DUMMYFUNCTION("""COMPUTED_VALUE"""),"FIP Engineering")</f>
        <v>FIP Engineering</v>
      </c>
      <c r="O1310" s="6" t="str">
        <f>IFERROR(__xludf.DUMMYFUNCTION("""COMPUTED_VALUE"""),"FIP-DOM-000-11304-OS00001-INA-000000")</f>
        <v>FIP-DOM-000-11304-OS00001-INA-000000</v>
      </c>
      <c r="P1310" s="6" t="str">
        <f>IFERROR(__xludf.DUMMYFUNCTION("""COMPUTED_VALUE"""),"PO Closed")</f>
        <v>PO Closed</v>
      </c>
      <c r="Q1310" s="6" t="str">
        <f>IFERROR(__xludf.DUMMYFUNCTION("""COMPUTED_VALUE"""),"GL2010035")</f>
        <v>GL2010035</v>
      </c>
      <c r="R1310" s="57">
        <f>IFERROR(__xludf.DUMMYFUNCTION("""COMPUTED_VALUE"""),44112.0)</f>
        <v>44112</v>
      </c>
      <c r="S1310" s="6" t="str">
        <f>IFERROR(__xludf.DUMMYFUNCTION("""COMPUTED_VALUE"""),"-")</f>
        <v>-</v>
      </c>
      <c r="T1310" s="57">
        <f>IFERROR(__xludf.DUMMYFUNCTION("""COMPUTED_VALUE"""),44134.0)</f>
        <v>44134</v>
      </c>
    </row>
    <row r="1311">
      <c r="A1311" s="6" t="str">
        <f>IFERROR(__xludf.DUMMYFUNCTION("""COMPUTED_VALUE"""),"201750377-16")</f>
        <v>201750377-16</v>
      </c>
      <c r="B1311" s="6" t="str">
        <f>IFERROR(__xludf.DUMMYFUNCTION("""COMPUTED_VALUE"""),"201750377 - Approved")</f>
        <v>201750377 - Approved</v>
      </c>
      <c r="C1311" s="6">
        <f>IFERROR(__xludf.DUMMYFUNCTION("""COMPUTED_VALUE"""),16.0)</f>
        <v>16</v>
      </c>
      <c r="D1311" s="6" t="str">
        <f>IFERROR(__xludf.DUMMYFUNCTION("""COMPUTED_VALUE"""),"P-50248-00")</f>
        <v>P-50248-00</v>
      </c>
      <c r="E1311" s="6" t="str">
        <f>IFERROR(__xludf.DUMMYFUNCTION("""COMPUTED_VALUE"""),"Fuse Keramik 13 A 250 V")</f>
        <v>Fuse Keramik 13 A 250 V</v>
      </c>
      <c r="F1311" s="6">
        <f>IFERROR(__xludf.DUMMYFUNCTION("""COMPUTED_VALUE"""),2.0)</f>
        <v>2</v>
      </c>
      <c r="G1311" s="6" t="str">
        <f>IFERROR(__xludf.DUMMYFUNCTION("""COMPUTED_VALUE"""),"Pieces")</f>
        <v>Pieces</v>
      </c>
      <c r="H1311" s="6" t="str">
        <f>IFERROR(__xludf.DUMMYFUNCTION("""COMPUTED_VALUE"""),"IDR")</f>
        <v>IDR</v>
      </c>
      <c r="I1311" s="6">
        <f>IFERROR(__xludf.DUMMYFUNCTION("""COMPUTED_VALUE"""),5000.0)</f>
        <v>5000</v>
      </c>
      <c r="J1311" s="6">
        <f>IFERROR(__xludf.DUMMYFUNCTION("""COMPUTED_VALUE"""),10000.0)</f>
        <v>10000</v>
      </c>
      <c r="K1311" s="57">
        <f>IFERROR(__xludf.DUMMYFUNCTION("""COMPUTED_VALUE"""),44134.0)</f>
        <v>44134</v>
      </c>
      <c r="L1311" s="6" t="str">
        <f>IFERROR(__xludf.DUMMYFUNCTION("""COMPUTED_VALUE"""),"FIP Engineering")</f>
        <v>FIP Engineering</v>
      </c>
      <c r="M1311" s="6" t="str">
        <f>IFERROR(__xludf.DUMMYFUNCTION("""COMPUTED_VALUE"""),"Irwan Sopian")</f>
        <v>Irwan Sopian</v>
      </c>
      <c r="N1311" s="6" t="str">
        <f>IFERROR(__xludf.DUMMYFUNCTION("""COMPUTED_VALUE"""),"FIP Engineering")</f>
        <v>FIP Engineering</v>
      </c>
      <c r="O1311" s="6" t="str">
        <f>IFERROR(__xludf.DUMMYFUNCTION("""COMPUTED_VALUE"""),"FIP-DOM-000-11304-OS00001-INA-000000")</f>
        <v>FIP-DOM-000-11304-OS00001-INA-000000</v>
      </c>
      <c r="P1311" s="6" t="str">
        <f>IFERROR(__xludf.DUMMYFUNCTION("""COMPUTED_VALUE"""),"PO Closed")</f>
        <v>PO Closed</v>
      </c>
      <c r="Q1311" s="6" t="str">
        <f>IFERROR(__xludf.DUMMYFUNCTION("""COMPUTED_VALUE"""),"GL2010035")</f>
        <v>GL2010035</v>
      </c>
      <c r="R1311" s="57">
        <f>IFERROR(__xludf.DUMMYFUNCTION("""COMPUTED_VALUE"""),44112.0)</f>
        <v>44112</v>
      </c>
      <c r="S1311" s="6" t="str">
        <f>IFERROR(__xludf.DUMMYFUNCTION("""COMPUTED_VALUE"""),"-")</f>
        <v>-</v>
      </c>
      <c r="T1311" s="57">
        <f>IFERROR(__xludf.DUMMYFUNCTION("""COMPUTED_VALUE"""),44134.0)</f>
        <v>44134</v>
      </c>
    </row>
    <row r="1312">
      <c r="A1312" s="6" t="str">
        <f>IFERROR(__xludf.DUMMYFUNCTION("""COMPUTED_VALUE"""),"201750377-17")</f>
        <v>201750377-17</v>
      </c>
      <c r="B1312" s="6" t="str">
        <f>IFERROR(__xludf.DUMMYFUNCTION("""COMPUTED_VALUE"""),"201750377 - Approved")</f>
        <v>201750377 - Approved</v>
      </c>
      <c r="C1312" s="6">
        <f>IFERROR(__xludf.DUMMYFUNCTION("""COMPUTED_VALUE"""),17.0)</f>
        <v>17</v>
      </c>
      <c r="D1312" s="6" t="str">
        <f>IFERROR(__xludf.DUMMYFUNCTION("""COMPUTED_VALUE"""),"P-50762-00")</f>
        <v>P-50762-00</v>
      </c>
      <c r="E1312" s="6" t="str">
        <f>IFERROR(__xludf.DUMMYFUNCTION("""COMPUTED_VALUE"""),"ABC - Battery 9V HD")</f>
        <v>ABC - Battery 9V HD</v>
      </c>
      <c r="F1312" s="6">
        <f>IFERROR(__xludf.DUMMYFUNCTION("""COMPUTED_VALUE"""),1.0)</f>
        <v>1</v>
      </c>
      <c r="G1312" s="6" t="str">
        <f>IFERROR(__xludf.DUMMYFUNCTION("""COMPUTED_VALUE"""),"Pieces")</f>
        <v>Pieces</v>
      </c>
      <c r="H1312" s="6" t="str">
        <f>IFERROR(__xludf.DUMMYFUNCTION("""COMPUTED_VALUE"""),"IDR")</f>
        <v>IDR</v>
      </c>
      <c r="I1312" s="6">
        <f>IFERROR(__xludf.DUMMYFUNCTION("""COMPUTED_VALUE"""),25000.0)</f>
        <v>25000</v>
      </c>
      <c r="J1312" s="6">
        <f>IFERROR(__xludf.DUMMYFUNCTION("""COMPUTED_VALUE"""),25000.0)</f>
        <v>25000</v>
      </c>
      <c r="K1312" s="57">
        <f>IFERROR(__xludf.DUMMYFUNCTION("""COMPUTED_VALUE"""),44134.0)</f>
        <v>44134</v>
      </c>
      <c r="L1312" s="6" t="str">
        <f>IFERROR(__xludf.DUMMYFUNCTION("""COMPUTED_VALUE"""),"FIP General")</f>
        <v>FIP General</v>
      </c>
      <c r="M1312" s="6" t="str">
        <f>IFERROR(__xludf.DUMMYFUNCTION("""COMPUTED_VALUE"""),"Irwan Sopian")</f>
        <v>Irwan Sopian</v>
      </c>
      <c r="N1312" s="6" t="str">
        <f>IFERROR(__xludf.DUMMYFUNCTION("""COMPUTED_VALUE"""),"FIP Engineering")</f>
        <v>FIP Engineering</v>
      </c>
      <c r="O1312" s="6" t="str">
        <f>IFERROR(__xludf.DUMMYFUNCTION("""COMPUTED_VALUE"""),"FIP-DOM-ENG-51504-0000000-INA-000000")</f>
        <v>FIP-DOM-ENG-51504-0000000-INA-000000</v>
      </c>
      <c r="P1312" s="6" t="str">
        <f>IFERROR(__xludf.DUMMYFUNCTION("""COMPUTED_VALUE"""),"PO Closed")</f>
        <v>PO Closed</v>
      </c>
      <c r="Q1312" s="6" t="str">
        <f>IFERROR(__xludf.DUMMYFUNCTION("""COMPUTED_VALUE"""),"GL2010035")</f>
        <v>GL2010035</v>
      </c>
      <c r="R1312" s="57">
        <f>IFERROR(__xludf.DUMMYFUNCTION("""COMPUTED_VALUE"""),44112.0)</f>
        <v>44112</v>
      </c>
      <c r="S1312" s="6" t="str">
        <f>IFERROR(__xludf.DUMMYFUNCTION("""COMPUTED_VALUE"""),"-")</f>
        <v>-</v>
      </c>
      <c r="T1312" s="57">
        <f>IFERROR(__xludf.DUMMYFUNCTION("""COMPUTED_VALUE"""),44134.0)</f>
        <v>44134</v>
      </c>
    </row>
    <row r="1313">
      <c r="A1313" s="6" t="str">
        <f>IFERROR(__xludf.DUMMYFUNCTION("""COMPUTED_VALUE"""),"201750377-18")</f>
        <v>201750377-18</v>
      </c>
      <c r="B1313" s="6" t="str">
        <f>IFERROR(__xludf.DUMMYFUNCTION("""COMPUTED_VALUE"""),"201750377 - Approved")</f>
        <v>201750377 - Approved</v>
      </c>
      <c r="C1313" s="6">
        <f>IFERROR(__xludf.DUMMYFUNCTION("""COMPUTED_VALUE"""),18.0)</f>
        <v>18</v>
      </c>
      <c r="D1313" s="6" t="str">
        <f>IFERROR(__xludf.DUMMYFUNCTION("""COMPUTED_VALUE"""),"P-14960-00")</f>
        <v>P-14960-00</v>
      </c>
      <c r="E1313" s="6" t="str">
        <f>IFERROR(__xludf.DUMMYFUNCTION("""COMPUTED_VALUE"""),"PVC - Dop 1 inch")</f>
        <v>PVC - Dop 1 inch</v>
      </c>
      <c r="F1313" s="6">
        <f>IFERROR(__xludf.DUMMYFUNCTION("""COMPUTED_VALUE"""),1.0)</f>
        <v>1</v>
      </c>
      <c r="G1313" s="6" t="str">
        <f>IFERROR(__xludf.DUMMYFUNCTION("""COMPUTED_VALUE"""),"Pieces")</f>
        <v>Pieces</v>
      </c>
      <c r="H1313" s="6" t="str">
        <f>IFERROR(__xludf.DUMMYFUNCTION("""COMPUTED_VALUE"""),"IDR")</f>
        <v>IDR</v>
      </c>
      <c r="I1313" s="6">
        <f>IFERROR(__xludf.DUMMYFUNCTION("""COMPUTED_VALUE"""),3000.0)</f>
        <v>3000</v>
      </c>
      <c r="J1313" s="6">
        <f>IFERROR(__xludf.DUMMYFUNCTION("""COMPUTED_VALUE"""),3000.0)</f>
        <v>3000</v>
      </c>
      <c r="K1313" s="57">
        <f>IFERROR(__xludf.DUMMYFUNCTION("""COMPUTED_VALUE"""),44134.0)</f>
        <v>44134</v>
      </c>
      <c r="L1313" s="6" t="str">
        <f>IFERROR(__xludf.DUMMYFUNCTION("""COMPUTED_VALUE"""),"FIP General")</f>
        <v>FIP General</v>
      </c>
      <c r="M1313" s="6" t="str">
        <f>IFERROR(__xludf.DUMMYFUNCTION("""COMPUTED_VALUE"""),"Irwan Sopian")</f>
        <v>Irwan Sopian</v>
      </c>
      <c r="N1313" s="6" t="str">
        <f>IFERROR(__xludf.DUMMYFUNCTION("""COMPUTED_VALUE"""),"FIP Engineering")</f>
        <v>FIP Engineering</v>
      </c>
      <c r="O1313" s="6" t="str">
        <f>IFERROR(__xludf.DUMMYFUNCTION("""COMPUTED_VALUE"""),"FIP-DOM-ENG-51504-0000000-INA-000000")</f>
        <v>FIP-DOM-ENG-51504-0000000-INA-000000</v>
      </c>
      <c r="P1313" s="6" t="str">
        <f>IFERROR(__xludf.DUMMYFUNCTION("""COMPUTED_VALUE"""),"PO Closed")</f>
        <v>PO Closed</v>
      </c>
      <c r="Q1313" s="6" t="str">
        <f>IFERROR(__xludf.DUMMYFUNCTION("""COMPUTED_VALUE"""),"GL2010035")</f>
        <v>GL2010035</v>
      </c>
      <c r="R1313" s="57">
        <f>IFERROR(__xludf.DUMMYFUNCTION("""COMPUTED_VALUE"""),44112.0)</f>
        <v>44112</v>
      </c>
      <c r="S1313" s="6" t="str">
        <f>IFERROR(__xludf.DUMMYFUNCTION("""COMPUTED_VALUE"""),"-")</f>
        <v>-</v>
      </c>
      <c r="T1313" s="57">
        <f>IFERROR(__xludf.DUMMYFUNCTION("""COMPUTED_VALUE"""),44134.0)</f>
        <v>44134</v>
      </c>
    </row>
    <row r="1314">
      <c r="A1314" s="6" t="str">
        <f>IFERROR(__xludf.DUMMYFUNCTION("""COMPUTED_VALUE"""),"201750398-1")</f>
        <v>201750398-1</v>
      </c>
      <c r="B1314" s="6" t="str">
        <f>IFERROR(__xludf.DUMMYFUNCTION("""COMPUTED_VALUE"""),"201750398 - Approved")</f>
        <v>201750398 - Approved</v>
      </c>
      <c r="C1314" s="6">
        <f>IFERROR(__xludf.DUMMYFUNCTION("""COMPUTED_VALUE"""),1.0)</f>
        <v>1</v>
      </c>
      <c r="D1314" s="6" t="str">
        <f>IFERROR(__xludf.DUMMYFUNCTION("""COMPUTED_VALUE"""),"P-52119-00")</f>
        <v>P-52119-00</v>
      </c>
      <c r="E1314" s="6" t="str">
        <f>IFERROR(__xludf.DUMMYFUNCTION("""COMPUTED_VALUE"""),"Battery UPS / 40 AH / 12 V Panasonic/Vision")</f>
        <v>Battery UPS / 40 AH / 12 V Panasonic/Vision</v>
      </c>
      <c r="F1314" s="6">
        <f>IFERROR(__xludf.DUMMYFUNCTION("""COMPUTED_VALUE"""),30.0)</f>
        <v>30</v>
      </c>
      <c r="G1314" s="6" t="str">
        <f>IFERROR(__xludf.DUMMYFUNCTION("""COMPUTED_VALUE"""),"Pieces")</f>
        <v>Pieces</v>
      </c>
      <c r="H1314" s="6" t="str">
        <f>IFERROR(__xludf.DUMMYFUNCTION("""COMPUTED_VALUE"""),"IDR")</f>
        <v>IDR</v>
      </c>
      <c r="I1314" s="6">
        <f>IFERROR(__xludf.DUMMYFUNCTION("""COMPUTED_VALUE"""),1305000.0)</f>
        <v>1305000</v>
      </c>
      <c r="J1314" s="6">
        <f>IFERROR(__xludf.DUMMYFUNCTION("""COMPUTED_VALUE"""),3.915E7)</f>
        <v>39150000</v>
      </c>
      <c r="K1314" s="57">
        <f>IFERROR(__xludf.DUMMYFUNCTION("""COMPUTED_VALUE"""),44155.0)</f>
        <v>44155</v>
      </c>
      <c r="L1314" s="6" t="str">
        <f>IFERROR(__xludf.DUMMYFUNCTION("""COMPUTED_VALUE"""),"FIP Engineering")</f>
        <v>FIP Engineering</v>
      </c>
      <c r="M1314" s="6" t="str">
        <f>IFERROR(__xludf.DUMMYFUNCTION("""COMPUTED_VALUE"""),"Irwan Sopian")</f>
        <v>Irwan Sopian</v>
      </c>
      <c r="N1314" s="6" t="str">
        <f>IFERROR(__xludf.DUMMYFUNCTION("""COMPUTED_VALUE"""),"FIP Engineering")</f>
        <v>FIP Engineering</v>
      </c>
      <c r="O1314" s="6" t="str">
        <f>IFERROR(__xludf.DUMMYFUNCTION("""COMPUTED_VALUE"""),"FIP-DOM-000-11304-OS00001-INA-000000")</f>
        <v>FIP-DOM-000-11304-OS00001-INA-000000</v>
      </c>
      <c r="P1314" s="6" t="str">
        <f>IFERROR(__xludf.DUMMYFUNCTION("""COMPUTED_VALUE"""),"PO Closed")</f>
        <v>PO Closed</v>
      </c>
      <c r="Q1314" s="6" t="str">
        <f>IFERROR(__xludf.DUMMYFUNCTION("""COMPUTED_VALUE"""),"GL2010033")</f>
        <v>GL2010033</v>
      </c>
      <c r="R1314" s="57">
        <f>IFERROR(__xludf.DUMMYFUNCTION("""COMPUTED_VALUE"""),44113.0)</f>
        <v>44113</v>
      </c>
      <c r="S1314" s="6" t="str">
        <f>IFERROR(__xludf.DUMMYFUNCTION("""COMPUTED_VALUE"""),"-")</f>
        <v>-</v>
      </c>
      <c r="T1314" s="57">
        <f>IFERROR(__xludf.DUMMYFUNCTION("""COMPUTED_VALUE"""),44155.0)</f>
        <v>44155</v>
      </c>
    </row>
    <row r="1315">
      <c r="A1315" s="6" t="str">
        <f>IFERROR(__xludf.DUMMYFUNCTION("""COMPUTED_VALUE"""),"201750397-1")</f>
        <v>201750397-1</v>
      </c>
      <c r="B1315" s="6" t="str">
        <f>IFERROR(__xludf.DUMMYFUNCTION("""COMPUTED_VALUE"""),"201750397 - Approved")</f>
        <v>201750397 - Approved</v>
      </c>
      <c r="C1315" s="6">
        <f>IFERROR(__xludf.DUMMYFUNCTION("""COMPUTED_VALUE"""),1.0)</f>
        <v>1</v>
      </c>
      <c r="D1315" s="6" t="str">
        <f>IFERROR(__xludf.DUMMYFUNCTION("""COMPUTED_VALUE"""),"P-60000-00")</f>
        <v>P-60000-00</v>
      </c>
      <c r="E1315" s="6" t="str">
        <f>IFERROR(__xludf.DUMMYFUNCTION("""COMPUTED_VALUE"""),"Perbaikan Ac 1 PK R. UPS")</f>
        <v>Perbaikan Ac 1 PK R. UPS</v>
      </c>
      <c r="F1315" s="6">
        <f>IFERROR(__xludf.DUMMYFUNCTION("""COMPUTED_VALUE"""),1.0)</f>
        <v>1</v>
      </c>
      <c r="G1315" s="6" t="str">
        <f>IFERROR(__xludf.DUMMYFUNCTION("""COMPUTED_VALUE"""),"Lot")</f>
        <v>Lot</v>
      </c>
      <c r="H1315" s="6" t="str">
        <f>IFERROR(__xludf.DUMMYFUNCTION("""COMPUTED_VALUE"""),"IDR")</f>
        <v>IDR</v>
      </c>
      <c r="I1315" s="6">
        <f>IFERROR(__xludf.DUMMYFUNCTION("""COMPUTED_VALUE"""),2500000.0)</f>
        <v>2500000</v>
      </c>
      <c r="J1315" s="6">
        <f>IFERROR(__xludf.DUMMYFUNCTION("""COMPUTED_VALUE"""),2500000.0)</f>
        <v>2500000</v>
      </c>
      <c r="K1315" s="57">
        <f>IFERROR(__xludf.DUMMYFUNCTION("""COMPUTED_VALUE"""),44155.0)</f>
        <v>44155</v>
      </c>
      <c r="L1315" s="6" t="str">
        <f>IFERROR(__xludf.DUMMYFUNCTION("""COMPUTED_VALUE"""),"FIP General")</f>
        <v>FIP General</v>
      </c>
      <c r="M1315" s="6" t="str">
        <f>IFERROR(__xludf.DUMMYFUNCTION("""COMPUTED_VALUE"""),"Irwan Sopian")</f>
        <v>Irwan Sopian</v>
      </c>
      <c r="N1315" s="6" t="str">
        <f>IFERROR(__xludf.DUMMYFUNCTION("""COMPUTED_VALUE"""),"FIP Engineering")</f>
        <v>FIP Engineering</v>
      </c>
      <c r="O1315" s="6" t="str">
        <f>IFERROR(__xludf.DUMMYFUNCTION("""COMPUTED_VALUE"""),"FIP-DOM-ENG-51504-0000000-INA-000000")</f>
        <v>FIP-DOM-ENG-51504-0000000-INA-000000</v>
      </c>
      <c r="P1315" s="6" t="str">
        <f>IFERROR(__xludf.DUMMYFUNCTION("""COMPUTED_VALUE"""),"PO Closed")</f>
        <v>PO Closed</v>
      </c>
      <c r="Q1315" s="6" t="str">
        <f>IFERROR(__xludf.DUMMYFUNCTION("""COMPUTED_VALUE"""),"GL2010034")</f>
        <v>GL2010034</v>
      </c>
      <c r="R1315" s="57">
        <f>IFERROR(__xludf.DUMMYFUNCTION("""COMPUTED_VALUE"""),44113.0)</f>
        <v>44113</v>
      </c>
      <c r="S1315" s="6" t="str">
        <f>IFERROR(__xludf.DUMMYFUNCTION("""COMPUTED_VALUE"""),"-")</f>
        <v>-</v>
      </c>
      <c r="T1315" s="57">
        <f>IFERROR(__xludf.DUMMYFUNCTION("""COMPUTED_VALUE"""),44155.0)</f>
        <v>44155</v>
      </c>
    </row>
    <row r="1316">
      <c r="A1316" s="6" t="str">
        <f>IFERROR(__xludf.DUMMYFUNCTION("""COMPUTED_VALUE"""),"201750400-1")</f>
        <v>201750400-1</v>
      </c>
      <c r="B1316" s="6" t="str">
        <f>IFERROR(__xludf.DUMMYFUNCTION("""COMPUTED_VALUE"""),"201750400 - Approved")</f>
        <v>201750400 - Approved</v>
      </c>
      <c r="C1316" s="6">
        <f>IFERROR(__xludf.DUMMYFUNCTION("""COMPUTED_VALUE"""),1.0)</f>
        <v>1</v>
      </c>
      <c r="D1316" s="6" t="str">
        <f>IFERROR(__xludf.DUMMYFUNCTION("""COMPUTED_VALUE"""),"P-53102-00")</f>
        <v>P-53102-00</v>
      </c>
      <c r="E1316" s="6" t="str">
        <f>IFERROR(__xludf.DUMMYFUNCTION("""COMPUTED_VALUE"""),"Lampu PLC 13watt/E27 Putih Phillips")</f>
        <v>Lampu PLC 13watt/E27 Putih Phillips</v>
      </c>
      <c r="F1316" s="6">
        <f>IFERROR(__xludf.DUMMYFUNCTION("""COMPUTED_VALUE"""),10.0)</f>
        <v>10</v>
      </c>
      <c r="G1316" s="6" t="str">
        <f>IFERROR(__xludf.DUMMYFUNCTION("""COMPUTED_VALUE"""),"Pieces")</f>
        <v>Pieces</v>
      </c>
      <c r="H1316" s="6" t="str">
        <f>IFERROR(__xludf.DUMMYFUNCTION("""COMPUTED_VALUE"""),"IDR")</f>
        <v>IDR</v>
      </c>
      <c r="I1316" s="6">
        <f>IFERROR(__xludf.DUMMYFUNCTION("""COMPUTED_VALUE"""),27000.0)</f>
        <v>27000</v>
      </c>
      <c r="J1316" s="6">
        <f>IFERROR(__xludf.DUMMYFUNCTION("""COMPUTED_VALUE"""),270000.0)</f>
        <v>270000</v>
      </c>
      <c r="K1316" s="57">
        <f>IFERROR(__xludf.DUMMYFUNCTION("""COMPUTED_VALUE"""),44148.0)</f>
        <v>44148</v>
      </c>
      <c r="L1316" s="6" t="str">
        <f>IFERROR(__xludf.DUMMYFUNCTION("""COMPUTED_VALUE"""),"FIP Engineering")</f>
        <v>FIP Engineering</v>
      </c>
      <c r="M1316" s="6" t="str">
        <f>IFERROR(__xludf.DUMMYFUNCTION("""COMPUTED_VALUE"""),"Irwan Sopian")</f>
        <v>Irwan Sopian</v>
      </c>
      <c r="N1316" s="6" t="str">
        <f>IFERROR(__xludf.DUMMYFUNCTION("""COMPUTED_VALUE"""),"FIP Engineering")</f>
        <v>FIP Engineering</v>
      </c>
      <c r="O1316" s="6" t="str">
        <f>IFERROR(__xludf.DUMMYFUNCTION("""COMPUTED_VALUE"""),"FIP-DOM-000-11304-OS00001-INA-000000")</f>
        <v>FIP-DOM-000-11304-OS00001-INA-000000</v>
      </c>
      <c r="P1316" s="6" t="str">
        <f>IFERROR(__xludf.DUMMYFUNCTION("""COMPUTED_VALUE"""),"PO Closed")</f>
        <v>PO Closed</v>
      </c>
      <c r="Q1316" s="6" t="str">
        <f>IFERROR(__xludf.DUMMYFUNCTION("""COMPUTED_VALUE"""),"GL2011007")</f>
        <v>GL2011007</v>
      </c>
      <c r="R1316" s="57">
        <f>IFERROR(__xludf.DUMMYFUNCTION("""COMPUTED_VALUE"""),44116.0)</f>
        <v>44116</v>
      </c>
      <c r="S1316" s="6" t="str">
        <f>IFERROR(__xludf.DUMMYFUNCTION("""COMPUTED_VALUE"""),"-")</f>
        <v>-</v>
      </c>
      <c r="T1316" s="57">
        <f>IFERROR(__xludf.DUMMYFUNCTION("""COMPUTED_VALUE"""),44160.0)</f>
        <v>44160</v>
      </c>
    </row>
    <row r="1317">
      <c r="A1317" s="6" t="str">
        <f>IFERROR(__xludf.DUMMYFUNCTION("""COMPUTED_VALUE"""),"201750400-2")</f>
        <v>201750400-2</v>
      </c>
      <c r="B1317" s="6" t="str">
        <f>IFERROR(__xludf.DUMMYFUNCTION("""COMPUTED_VALUE"""),"201750400 - Approved")</f>
        <v>201750400 - Approved</v>
      </c>
      <c r="C1317" s="6">
        <f>IFERROR(__xludf.DUMMYFUNCTION("""COMPUTED_VALUE"""),2.0)</f>
        <v>2</v>
      </c>
      <c r="D1317" s="6" t="str">
        <f>IFERROR(__xludf.DUMMYFUNCTION("""COMPUTED_VALUE"""),"P-53173-00")</f>
        <v>P-53173-00</v>
      </c>
      <c r="E1317" s="6" t="str">
        <f>IFERROR(__xludf.DUMMYFUNCTION("""COMPUTED_VALUE"""),"Ballast Electronic EB-C 214 TL5, 2x14W; Phillips; ;")</f>
        <v>Ballast Electronic EB-C 214 TL5, 2x14W; Phillips; ;</v>
      </c>
      <c r="F1317" s="6">
        <f>IFERROR(__xludf.DUMMYFUNCTION("""COMPUTED_VALUE"""),3.0)</f>
        <v>3</v>
      </c>
      <c r="G1317" s="6" t="str">
        <f>IFERROR(__xludf.DUMMYFUNCTION("""COMPUTED_VALUE"""),"Pieces")</f>
        <v>Pieces</v>
      </c>
      <c r="H1317" s="6" t="str">
        <f>IFERROR(__xludf.DUMMYFUNCTION("""COMPUTED_VALUE"""),"IDR")</f>
        <v>IDR</v>
      </c>
      <c r="I1317" s="6">
        <f>IFERROR(__xludf.DUMMYFUNCTION("""COMPUTED_VALUE"""),106500.0)</f>
        <v>106500</v>
      </c>
      <c r="J1317" s="6">
        <f>IFERROR(__xludf.DUMMYFUNCTION("""COMPUTED_VALUE"""),319500.0)</f>
        <v>319500</v>
      </c>
      <c r="K1317" s="57">
        <f>IFERROR(__xludf.DUMMYFUNCTION("""COMPUTED_VALUE"""),44148.0)</f>
        <v>44148</v>
      </c>
      <c r="L1317" s="6" t="str">
        <f>IFERROR(__xludf.DUMMYFUNCTION("""COMPUTED_VALUE"""),"FIP Engineering")</f>
        <v>FIP Engineering</v>
      </c>
      <c r="M1317" s="6" t="str">
        <f>IFERROR(__xludf.DUMMYFUNCTION("""COMPUTED_VALUE"""),"Irwan Sopian")</f>
        <v>Irwan Sopian</v>
      </c>
      <c r="N1317" s="6" t="str">
        <f>IFERROR(__xludf.DUMMYFUNCTION("""COMPUTED_VALUE"""),"FIP Engineering")</f>
        <v>FIP Engineering</v>
      </c>
      <c r="O1317" s="6" t="str">
        <f>IFERROR(__xludf.DUMMYFUNCTION("""COMPUTED_VALUE"""),"FIP-DOM-000-11304-OS00001-INA-000000")</f>
        <v>FIP-DOM-000-11304-OS00001-INA-000000</v>
      </c>
      <c r="P1317" s="6" t="str">
        <f>IFERROR(__xludf.DUMMYFUNCTION("""COMPUTED_VALUE"""),"PO Closed")</f>
        <v>PO Closed</v>
      </c>
      <c r="Q1317" s="6" t="str">
        <f>IFERROR(__xludf.DUMMYFUNCTION("""COMPUTED_VALUE"""),"GL2011007")</f>
        <v>GL2011007</v>
      </c>
      <c r="R1317" s="57">
        <f>IFERROR(__xludf.DUMMYFUNCTION("""COMPUTED_VALUE"""),44116.0)</f>
        <v>44116</v>
      </c>
      <c r="S1317" s="6" t="str">
        <f>IFERROR(__xludf.DUMMYFUNCTION("""COMPUTED_VALUE"""),"-")</f>
        <v>-</v>
      </c>
      <c r="T1317" s="57">
        <f>IFERROR(__xludf.DUMMYFUNCTION("""COMPUTED_VALUE"""),44160.0)</f>
        <v>44160</v>
      </c>
    </row>
    <row r="1318">
      <c r="A1318" s="6" t="str">
        <f>IFERROR(__xludf.DUMMYFUNCTION("""COMPUTED_VALUE"""),"201750400-3")</f>
        <v>201750400-3</v>
      </c>
      <c r="B1318" s="6" t="str">
        <f>IFERROR(__xludf.DUMMYFUNCTION("""COMPUTED_VALUE"""),"201750400 - Approved")</f>
        <v>201750400 - Approved</v>
      </c>
      <c r="C1318" s="6">
        <f>IFERROR(__xludf.DUMMYFUNCTION("""COMPUTED_VALUE"""),3.0)</f>
        <v>3</v>
      </c>
      <c r="D1318" s="6" t="str">
        <f>IFERROR(__xludf.DUMMYFUNCTION("""COMPUTED_VALUE"""),"O-15718-00")</f>
        <v>O-15718-00</v>
      </c>
      <c r="E1318" s="6" t="str">
        <f>IFERROR(__xludf.DUMMYFUNCTION("""COMPUTED_VALUE"""),"SYNTHETIC FOOD GRADE, CRC, NSF H1")</f>
        <v>SYNTHETIC FOOD GRADE, CRC, NSF H1</v>
      </c>
      <c r="F1318" s="6">
        <f>IFERROR(__xludf.DUMMYFUNCTION("""COMPUTED_VALUE"""),2.0)</f>
        <v>2</v>
      </c>
      <c r="G1318" s="6" t="str">
        <f>IFERROR(__xludf.DUMMYFUNCTION("""COMPUTED_VALUE"""),"Pieces")</f>
        <v>Pieces</v>
      </c>
      <c r="H1318" s="6" t="str">
        <f>IFERROR(__xludf.DUMMYFUNCTION("""COMPUTED_VALUE"""),"IDR")</f>
        <v>IDR</v>
      </c>
      <c r="I1318" s="6">
        <f>IFERROR(__xludf.DUMMYFUNCTION("""COMPUTED_VALUE"""),243000.0)</f>
        <v>243000</v>
      </c>
      <c r="J1318" s="6">
        <f>IFERROR(__xludf.DUMMYFUNCTION("""COMPUTED_VALUE"""),486000.0)</f>
        <v>486000</v>
      </c>
      <c r="K1318" s="57">
        <f>IFERROR(__xludf.DUMMYFUNCTION("""COMPUTED_VALUE"""),44148.0)</f>
        <v>44148</v>
      </c>
      <c r="L1318" s="6" t="str">
        <f>IFERROR(__xludf.DUMMYFUNCTION("""COMPUTED_VALUE"""),"FIP Engineering")</f>
        <v>FIP Engineering</v>
      </c>
      <c r="M1318" s="6" t="str">
        <f>IFERROR(__xludf.DUMMYFUNCTION("""COMPUTED_VALUE"""),"Irwan Sopian")</f>
        <v>Irwan Sopian</v>
      </c>
      <c r="N1318" s="6" t="str">
        <f>IFERROR(__xludf.DUMMYFUNCTION("""COMPUTED_VALUE"""),"FIP Engineering")</f>
        <v>FIP Engineering</v>
      </c>
      <c r="O1318" s="6" t="str">
        <f>IFERROR(__xludf.DUMMYFUNCTION("""COMPUTED_VALUE"""),"FIP-DOM-000-11304-OS00001-INA-000000")</f>
        <v>FIP-DOM-000-11304-OS00001-INA-000000</v>
      </c>
      <c r="P1318" s="6" t="str">
        <f>IFERROR(__xludf.DUMMYFUNCTION("""COMPUTED_VALUE"""),"PO Closed")</f>
        <v>PO Closed</v>
      </c>
      <c r="Q1318" s="6" t="str">
        <f>IFERROR(__xludf.DUMMYFUNCTION("""COMPUTED_VALUE"""),"GL2011007")</f>
        <v>GL2011007</v>
      </c>
      <c r="R1318" s="57">
        <f>IFERROR(__xludf.DUMMYFUNCTION("""COMPUTED_VALUE"""),44116.0)</f>
        <v>44116</v>
      </c>
      <c r="S1318" s="6" t="str">
        <f>IFERROR(__xludf.DUMMYFUNCTION("""COMPUTED_VALUE"""),"-")</f>
        <v>-</v>
      </c>
      <c r="T1318" s="57">
        <f>IFERROR(__xludf.DUMMYFUNCTION("""COMPUTED_VALUE"""),44160.0)</f>
        <v>44160</v>
      </c>
    </row>
    <row r="1319">
      <c r="A1319" s="6" t="str">
        <f>IFERROR(__xludf.DUMMYFUNCTION("""COMPUTED_VALUE"""),"201750400-4")</f>
        <v>201750400-4</v>
      </c>
      <c r="B1319" s="6" t="str">
        <f>IFERROR(__xludf.DUMMYFUNCTION("""COMPUTED_VALUE"""),"201750400 - Approved")</f>
        <v>201750400 - Approved</v>
      </c>
      <c r="C1319" s="6">
        <f>IFERROR(__xludf.DUMMYFUNCTION("""COMPUTED_VALUE"""),4.0)</f>
        <v>4</v>
      </c>
      <c r="D1319" s="6" t="str">
        <f>IFERROR(__xludf.DUMMYFUNCTION("""COMPUTED_VALUE"""),"Q-10249-00")</f>
        <v>Q-10249-00</v>
      </c>
      <c r="E1319" s="6" t="str">
        <f>IFERROR(__xludf.DUMMYFUNCTION("""COMPUTED_VALUE"""),"Lem Power Glue")</f>
        <v>Lem Power Glue</v>
      </c>
      <c r="F1319" s="6">
        <f>IFERROR(__xludf.DUMMYFUNCTION("""COMPUTED_VALUE"""),10.0)</f>
        <v>10</v>
      </c>
      <c r="G1319" s="6" t="str">
        <f>IFERROR(__xludf.DUMMYFUNCTION("""COMPUTED_VALUE"""),"Pieces")</f>
        <v>Pieces</v>
      </c>
      <c r="H1319" s="6" t="str">
        <f>IFERROR(__xludf.DUMMYFUNCTION("""COMPUTED_VALUE"""),"IDR")</f>
        <v>IDR</v>
      </c>
      <c r="I1319" s="6">
        <f>IFERROR(__xludf.DUMMYFUNCTION("""COMPUTED_VALUE"""),4050.0)</f>
        <v>4050</v>
      </c>
      <c r="J1319" s="6">
        <f>IFERROR(__xludf.DUMMYFUNCTION("""COMPUTED_VALUE"""),40500.0)</f>
        <v>40500</v>
      </c>
      <c r="K1319" s="57">
        <f>IFERROR(__xludf.DUMMYFUNCTION("""COMPUTED_VALUE"""),44148.0)</f>
        <v>44148</v>
      </c>
      <c r="L1319" s="6" t="str">
        <f>IFERROR(__xludf.DUMMYFUNCTION("""COMPUTED_VALUE"""),"FIP Engineering")</f>
        <v>FIP Engineering</v>
      </c>
      <c r="M1319" s="6" t="str">
        <f>IFERROR(__xludf.DUMMYFUNCTION("""COMPUTED_VALUE"""),"Irwan Sopian")</f>
        <v>Irwan Sopian</v>
      </c>
      <c r="N1319" s="6" t="str">
        <f>IFERROR(__xludf.DUMMYFUNCTION("""COMPUTED_VALUE"""),"FIP Engineering")</f>
        <v>FIP Engineering</v>
      </c>
      <c r="O1319" s="6" t="str">
        <f>IFERROR(__xludf.DUMMYFUNCTION("""COMPUTED_VALUE"""),"FIP-DOM-000-11304-OS00001-INA-000000")</f>
        <v>FIP-DOM-000-11304-OS00001-INA-000000</v>
      </c>
      <c r="P1319" s="6" t="str">
        <f>IFERROR(__xludf.DUMMYFUNCTION("""COMPUTED_VALUE"""),"PO Closed")</f>
        <v>PO Closed</v>
      </c>
      <c r="Q1319" s="6" t="str">
        <f>IFERROR(__xludf.DUMMYFUNCTION("""COMPUTED_VALUE"""),"GL2011007")</f>
        <v>GL2011007</v>
      </c>
      <c r="R1319" s="57">
        <f>IFERROR(__xludf.DUMMYFUNCTION("""COMPUTED_VALUE"""),44116.0)</f>
        <v>44116</v>
      </c>
      <c r="S1319" s="6" t="str">
        <f>IFERROR(__xludf.DUMMYFUNCTION("""COMPUTED_VALUE"""),"-")</f>
        <v>-</v>
      </c>
      <c r="T1319" s="57">
        <f>IFERROR(__xludf.DUMMYFUNCTION("""COMPUTED_VALUE"""),44160.0)</f>
        <v>44160</v>
      </c>
    </row>
    <row r="1320">
      <c r="A1320" s="6" t="str">
        <f>IFERROR(__xludf.DUMMYFUNCTION("""COMPUTED_VALUE"""),"201750400-5")</f>
        <v>201750400-5</v>
      </c>
      <c r="B1320" s="6" t="str">
        <f>IFERROR(__xludf.DUMMYFUNCTION("""COMPUTED_VALUE"""),"201750400 - Approved")</f>
        <v>201750400 - Approved</v>
      </c>
      <c r="C1320" s="6">
        <f>IFERROR(__xludf.DUMMYFUNCTION("""COMPUTED_VALUE"""),5.0)</f>
        <v>5</v>
      </c>
      <c r="D1320" s="6" t="str">
        <f>IFERROR(__xludf.DUMMYFUNCTION("""COMPUTED_VALUE"""),"P-50307-00")</f>
        <v>P-50307-00</v>
      </c>
      <c r="E1320" s="6" t="str">
        <f>IFERROR(__xludf.DUMMYFUNCTION("""COMPUTED_VALUE"""),"Bola Lampu SL 24 W / 220-240 V / Philips Spiral")</f>
        <v>Bola Lampu SL 24 W / 220-240 V / Philips Spiral</v>
      </c>
      <c r="F1320" s="6">
        <f>IFERROR(__xludf.DUMMYFUNCTION("""COMPUTED_VALUE"""),5.0)</f>
        <v>5</v>
      </c>
      <c r="G1320" s="6" t="str">
        <f>IFERROR(__xludf.DUMMYFUNCTION("""COMPUTED_VALUE"""),"Pieces")</f>
        <v>Pieces</v>
      </c>
      <c r="H1320" s="6" t="str">
        <f>IFERROR(__xludf.DUMMYFUNCTION("""COMPUTED_VALUE"""),"IDR")</f>
        <v>IDR</v>
      </c>
      <c r="I1320" s="6">
        <f>IFERROR(__xludf.DUMMYFUNCTION("""COMPUTED_VALUE"""),56000.0)</f>
        <v>56000</v>
      </c>
      <c r="J1320" s="6">
        <f>IFERROR(__xludf.DUMMYFUNCTION("""COMPUTED_VALUE"""),280000.0)</f>
        <v>280000</v>
      </c>
      <c r="K1320" s="57">
        <f>IFERROR(__xludf.DUMMYFUNCTION("""COMPUTED_VALUE"""),44148.0)</f>
        <v>44148</v>
      </c>
      <c r="L1320" s="6" t="str">
        <f>IFERROR(__xludf.DUMMYFUNCTION("""COMPUTED_VALUE"""),"FIP Engineering")</f>
        <v>FIP Engineering</v>
      </c>
      <c r="M1320" s="6" t="str">
        <f>IFERROR(__xludf.DUMMYFUNCTION("""COMPUTED_VALUE"""),"Irwan Sopian")</f>
        <v>Irwan Sopian</v>
      </c>
      <c r="N1320" s="6" t="str">
        <f>IFERROR(__xludf.DUMMYFUNCTION("""COMPUTED_VALUE"""),"FIP Engineering")</f>
        <v>FIP Engineering</v>
      </c>
      <c r="O1320" s="6" t="str">
        <f>IFERROR(__xludf.DUMMYFUNCTION("""COMPUTED_VALUE"""),"FIP-DOM-000-11304-OS00001-INA-000000")</f>
        <v>FIP-DOM-000-11304-OS00001-INA-000000</v>
      </c>
      <c r="P1320" s="6" t="str">
        <f>IFERROR(__xludf.DUMMYFUNCTION("""COMPUTED_VALUE"""),"PO Closed")</f>
        <v>PO Closed</v>
      </c>
      <c r="Q1320" s="6" t="str">
        <f>IFERROR(__xludf.DUMMYFUNCTION("""COMPUTED_VALUE"""),"GL2011007")</f>
        <v>GL2011007</v>
      </c>
      <c r="R1320" s="57">
        <f>IFERROR(__xludf.DUMMYFUNCTION("""COMPUTED_VALUE"""),44116.0)</f>
        <v>44116</v>
      </c>
      <c r="S1320" s="6" t="str">
        <f>IFERROR(__xludf.DUMMYFUNCTION("""COMPUTED_VALUE"""),"-")</f>
        <v>-</v>
      </c>
      <c r="T1320" s="57">
        <f>IFERROR(__xludf.DUMMYFUNCTION("""COMPUTED_VALUE"""),44160.0)</f>
        <v>44160</v>
      </c>
    </row>
    <row r="1321">
      <c r="A1321" s="6" t="str">
        <f>IFERROR(__xludf.DUMMYFUNCTION("""COMPUTED_VALUE"""),"201750402-1")</f>
        <v>201750402-1</v>
      </c>
      <c r="B1321" s="6" t="str">
        <f>IFERROR(__xludf.DUMMYFUNCTION("""COMPUTED_VALUE"""),"201750402 - Approved")</f>
        <v>201750402 - Approved</v>
      </c>
      <c r="C1321" s="6">
        <f>IFERROR(__xludf.DUMMYFUNCTION("""COMPUTED_VALUE"""),1.0)</f>
        <v>1</v>
      </c>
      <c r="D1321" s="6" t="str">
        <f>IFERROR(__xludf.DUMMYFUNCTION("""COMPUTED_VALUE"""),"T-20289-00")</f>
        <v>T-20289-00</v>
      </c>
      <c r="E1321" s="6" t="str">
        <f>IFERROR(__xludf.DUMMYFUNCTION("""COMPUTED_VALUE"""),"Ferrule, 1.0 mm graphite 0.53 Col; Agilent; Part No. 5080-8773; 10/pk")</f>
        <v>Ferrule, 1.0 mm graphite 0.53 Col; Agilent; Part No. 5080-8773; 10/pk</v>
      </c>
      <c r="F1321" s="6">
        <f>IFERROR(__xludf.DUMMYFUNCTION("""COMPUTED_VALUE"""),1.0)</f>
        <v>1</v>
      </c>
      <c r="G1321" s="6" t="str">
        <f>IFERROR(__xludf.DUMMYFUNCTION("""COMPUTED_VALUE"""),"Pack")</f>
        <v>Pack</v>
      </c>
      <c r="H1321" s="6" t="str">
        <f>IFERROR(__xludf.DUMMYFUNCTION("""COMPUTED_VALUE"""),"IDR")</f>
        <v>IDR</v>
      </c>
      <c r="I1321" s="6">
        <f>IFERROR(__xludf.DUMMYFUNCTION("""COMPUTED_VALUE"""),906518.0)</f>
        <v>906518</v>
      </c>
      <c r="J1321" s="6">
        <f>IFERROR(__xludf.DUMMYFUNCTION("""COMPUTED_VALUE"""),906518.0)</f>
        <v>906518</v>
      </c>
      <c r="K1321" s="57">
        <f>IFERROR(__xludf.DUMMYFUNCTION("""COMPUTED_VALUE"""),44141.0)</f>
        <v>44141</v>
      </c>
      <c r="L1321" s="6" t="str">
        <f>IFERROR(__xludf.DUMMYFUNCTION("""COMPUTED_VALUE"""),"FIP General")</f>
        <v>FIP General</v>
      </c>
      <c r="M1321" s="6" t="str">
        <f>IFERROR(__xludf.DUMMYFUNCTION("""COMPUTED_VALUE"""),"Irwan Sopian")</f>
        <v>Irwan Sopian</v>
      </c>
      <c r="N1321" s="6" t="str">
        <f>IFERROR(__xludf.DUMMYFUNCTION("""COMPUTED_VALUE"""),"FIP Engineering")</f>
        <v>FIP Engineering</v>
      </c>
      <c r="O1321" s="6" t="str">
        <f>IFERROR(__xludf.DUMMYFUNCTION("""COMPUTED_VALUE"""),"FIP-DOM-ENG-51404-0000000-INA-000000")</f>
        <v>FIP-DOM-ENG-51404-0000000-INA-000000</v>
      </c>
      <c r="P1321" s="6" t="str">
        <f>IFERROR(__xludf.DUMMYFUNCTION("""COMPUTED_VALUE"""),"PO Closed")</f>
        <v>PO Closed</v>
      </c>
      <c r="Q1321" s="6" t="str">
        <f>IFERROR(__xludf.DUMMYFUNCTION("""COMPUTED_VALUE"""),"GL2011002")</f>
        <v>GL2011002</v>
      </c>
      <c r="R1321" s="57">
        <f>IFERROR(__xludf.DUMMYFUNCTION("""COMPUTED_VALUE"""),44118.0)</f>
        <v>44118</v>
      </c>
      <c r="S1321" s="6" t="str">
        <f>IFERROR(__xludf.DUMMYFUNCTION("""COMPUTED_VALUE"""),"-")</f>
        <v>-</v>
      </c>
      <c r="T1321" s="57">
        <f>IFERROR(__xludf.DUMMYFUNCTION("""COMPUTED_VALUE"""),44151.0)</f>
        <v>44151</v>
      </c>
    </row>
    <row r="1322">
      <c r="A1322" s="6" t="str">
        <f>IFERROR(__xludf.DUMMYFUNCTION("""COMPUTED_VALUE"""),"201750402-2")</f>
        <v>201750402-2</v>
      </c>
      <c r="B1322" s="6" t="str">
        <f>IFERROR(__xludf.DUMMYFUNCTION("""COMPUTED_VALUE"""),"201750402 - Approved")</f>
        <v>201750402 - Approved</v>
      </c>
      <c r="C1322" s="6">
        <f>IFERROR(__xludf.DUMMYFUNCTION("""COMPUTED_VALUE"""),2.0)</f>
        <v>2</v>
      </c>
      <c r="D1322" s="6" t="str">
        <f>IFERROR(__xludf.DUMMYFUNCTION("""COMPUTED_VALUE"""),"T-20123-00")</f>
        <v>T-20123-00</v>
      </c>
      <c r="E1322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322" s="6">
        <f>IFERROR(__xludf.DUMMYFUNCTION("""COMPUTED_VALUE"""),2.0)</f>
        <v>2</v>
      </c>
      <c r="G1322" s="6" t="str">
        <f>IFERROR(__xludf.DUMMYFUNCTION("""COMPUTED_VALUE"""),"Pieces")</f>
        <v>Pieces</v>
      </c>
      <c r="H1322" s="6" t="str">
        <f>IFERROR(__xludf.DUMMYFUNCTION("""COMPUTED_VALUE"""),"IDR")</f>
        <v>IDR</v>
      </c>
      <c r="I1322" s="6">
        <f>IFERROR(__xludf.DUMMYFUNCTION("""COMPUTED_VALUE"""),1.0728198E7)</f>
        <v>10728198</v>
      </c>
      <c r="J1322" s="6">
        <f>IFERROR(__xludf.DUMMYFUNCTION("""COMPUTED_VALUE"""),2.1456396E7)</f>
        <v>21456396</v>
      </c>
      <c r="K1322" s="57">
        <f>IFERROR(__xludf.DUMMYFUNCTION("""COMPUTED_VALUE"""),44141.0)</f>
        <v>44141</v>
      </c>
      <c r="L1322" s="6" t="str">
        <f>IFERROR(__xludf.DUMMYFUNCTION("""COMPUTED_VALUE"""),"FIP General")</f>
        <v>FIP General</v>
      </c>
      <c r="M1322" s="6" t="str">
        <f>IFERROR(__xludf.DUMMYFUNCTION("""COMPUTED_VALUE"""),"Irwan Sopian")</f>
        <v>Irwan Sopian</v>
      </c>
      <c r="N1322" s="6" t="str">
        <f>IFERROR(__xludf.DUMMYFUNCTION("""COMPUTED_VALUE"""),"FIP Engineering")</f>
        <v>FIP Engineering</v>
      </c>
      <c r="O1322" s="6" t="str">
        <f>IFERROR(__xludf.DUMMYFUNCTION("""COMPUTED_VALUE"""),"FIP-DOM-ENG-51505-0000000-INA-000000")</f>
        <v>FIP-DOM-ENG-51505-0000000-INA-000000</v>
      </c>
      <c r="P1322" s="6" t="str">
        <f>IFERROR(__xludf.DUMMYFUNCTION("""COMPUTED_VALUE"""),"PO Closed")</f>
        <v>PO Closed</v>
      </c>
      <c r="Q1322" s="6" t="str">
        <f>IFERROR(__xludf.DUMMYFUNCTION("""COMPUTED_VALUE"""),"GL2010037")</f>
        <v>GL2010037</v>
      </c>
      <c r="R1322" s="57">
        <f>IFERROR(__xludf.DUMMYFUNCTION("""COMPUTED_VALUE"""),44118.0)</f>
        <v>44118</v>
      </c>
      <c r="S1322" s="6" t="str">
        <f>IFERROR(__xludf.DUMMYFUNCTION("""COMPUTED_VALUE"""),"-")</f>
        <v>-</v>
      </c>
      <c r="T1322" s="57">
        <f>IFERROR(__xludf.DUMMYFUNCTION("""COMPUTED_VALUE"""),44162.0)</f>
        <v>44162</v>
      </c>
    </row>
    <row r="1323">
      <c r="A1323" s="6" t="str">
        <f>IFERROR(__xludf.DUMMYFUNCTION("""COMPUTED_VALUE"""),"201750405-1")</f>
        <v>201750405-1</v>
      </c>
      <c r="B1323" s="6" t="str">
        <f>IFERROR(__xludf.DUMMYFUNCTION("""COMPUTED_VALUE"""),"201750405 - Approved")</f>
        <v>201750405 - Approved</v>
      </c>
      <c r="C1323" s="6">
        <f>IFERROR(__xludf.DUMMYFUNCTION("""COMPUTED_VALUE"""),1.0)</f>
        <v>1</v>
      </c>
      <c r="D1323" s="6" t="str">
        <f>IFERROR(__xludf.DUMMYFUNCTION("""COMPUTED_VALUE"""),"P-17569-00")</f>
        <v>P-17569-00</v>
      </c>
      <c r="E1323" s="6" t="str">
        <f>IFERROR(__xludf.DUMMYFUNCTION("""COMPUTED_VALUE"""),"Carbon Vanes VT4.16 BECKER")</f>
        <v>Carbon Vanes VT4.16 BECKER</v>
      </c>
      <c r="F1323" s="6">
        <f>IFERROR(__xludf.DUMMYFUNCTION("""COMPUTED_VALUE"""),1.0)</f>
        <v>1</v>
      </c>
      <c r="G1323" s="6" t="str">
        <f>IFERROR(__xludf.DUMMYFUNCTION("""COMPUTED_VALUE"""),"Set")</f>
        <v>Set</v>
      </c>
      <c r="H1323" s="6" t="str">
        <f>IFERROR(__xludf.DUMMYFUNCTION("""COMPUTED_VALUE"""),"IDR")</f>
        <v>IDR</v>
      </c>
      <c r="I1323" s="6">
        <f>IFERROR(__xludf.DUMMYFUNCTION("""COMPUTED_VALUE"""),5082000.0)</f>
        <v>5082000</v>
      </c>
      <c r="J1323" s="6">
        <f>IFERROR(__xludf.DUMMYFUNCTION("""COMPUTED_VALUE"""),5082000.0)</f>
        <v>5082000</v>
      </c>
      <c r="K1323" s="57">
        <f>IFERROR(__xludf.DUMMYFUNCTION("""COMPUTED_VALUE"""),44155.0)</f>
        <v>44155</v>
      </c>
      <c r="L1323" s="6" t="str">
        <f>IFERROR(__xludf.DUMMYFUNCTION("""COMPUTED_VALUE"""),"FIP Engineering")</f>
        <v>FIP Engineering</v>
      </c>
      <c r="M1323" s="6" t="str">
        <f>IFERROR(__xludf.DUMMYFUNCTION("""COMPUTED_VALUE"""),"Irwan Sopian")</f>
        <v>Irwan Sopian</v>
      </c>
      <c r="N1323" s="6" t="str">
        <f>IFERROR(__xludf.DUMMYFUNCTION("""COMPUTED_VALUE"""),"FIP Engineering")</f>
        <v>FIP Engineering</v>
      </c>
      <c r="O1323" s="6" t="str">
        <f>IFERROR(__xludf.DUMMYFUNCTION("""COMPUTED_VALUE"""),"FIP-DOM-000-11304-OS00001-INA-000000")</f>
        <v>FIP-DOM-000-11304-OS00001-INA-000000</v>
      </c>
      <c r="P1323" s="6" t="str">
        <f>IFERROR(__xludf.DUMMYFUNCTION("""COMPUTED_VALUE"""),"PO Closed")</f>
        <v>PO Closed</v>
      </c>
      <c r="Q1323" s="6" t="str">
        <f>IFERROR(__xludf.DUMMYFUNCTION("""COMPUTED_VALUE"""),"GL2011011")</f>
        <v>GL2011011</v>
      </c>
      <c r="R1323" s="57">
        <f>IFERROR(__xludf.DUMMYFUNCTION("""COMPUTED_VALUE"""),44119.0)</f>
        <v>44119</v>
      </c>
      <c r="S1323" s="6" t="str">
        <f>IFERROR(__xludf.DUMMYFUNCTION("""COMPUTED_VALUE"""),"-")</f>
        <v>-</v>
      </c>
      <c r="T1323" s="57">
        <f>IFERROR(__xludf.DUMMYFUNCTION("""COMPUTED_VALUE"""),44160.0)</f>
        <v>44160</v>
      </c>
    </row>
    <row r="1324">
      <c r="A1324" s="6" t="str">
        <f>IFERROR(__xludf.DUMMYFUNCTION("""COMPUTED_VALUE"""),"201750404-1")</f>
        <v>201750404-1</v>
      </c>
      <c r="B1324" s="6" t="str">
        <f>IFERROR(__xludf.DUMMYFUNCTION("""COMPUTED_VALUE"""),"201750404 - Approved")</f>
        <v>201750404 - Approved</v>
      </c>
      <c r="C1324" s="6">
        <f>IFERROR(__xludf.DUMMYFUNCTION("""COMPUTED_VALUE"""),1.0)</f>
        <v>1</v>
      </c>
      <c r="D1324" s="6" t="str">
        <f>IFERROR(__xludf.DUMMYFUNCTION("""COMPUTED_VALUE"""),"P-17562-00")</f>
        <v>P-17562-00</v>
      </c>
      <c r="E1324" s="6" t="str">
        <f>IFERROR(__xludf.DUMMYFUNCTION("""COMPUTED_VALUE"""),"SIGMA - Mounting Base 20x20mm")</f>
        <v>SIGMA - Mounting Base 20x20mm</v>
      </c>
      <c r="F1324" s="6">
        <f>IFERROR(__xludf.DUMMYFUNCTION("""COMPUTED_VALUE"""),1.0)</f>
        <v>1</v>
      </c>
      <c r="G1324" s="6" t="str">
        <f>IFERROR(__xludf.DUMMYFUNCTION("""COMPUTED_VALUE"""),"Pieces")</f>
        <v>Pieces</v>
      </c>
      <c r="H1324" s="6" t="str">
        <f>IFERROR(__xludf.DUMMYFUNCTION("""COMPUTED_VALUE"""),"IDR")</f>
        <v>IDR</v>
      </c>
      <c r="I1324" s="6">
        <f>IFERROR(__xludf.DUMMYFUNCTION("""COMPUTED_VALUE"""),95000.0)</f>
        <v>95000</v>
      </c>
      <c r="J1324" s="6">
        <f>IFERROR(__xludf.DUMMYFUNCTION("""COMPUTED_VALUE"""),95000.0)</f>
        <v>95000</v>
      </c>
      <c r="K1324" s="57">
        <f>IFERROR(__xludf.DUMMYFUNCTION("""COMPUTED_VALUE"""),44148.0)</f>
        <v>44148</v>
      </c>
      <c r="L1324" s="6" t="str">
        <f>IFERROR(__xludf.DUMMYFUNCTION("""COMPUTED_VALUE"""),"FIP Engineering")</f>
        <v>FIP Engineering</v>
      </c>
      <c r="M1324" s="6" t="str">
        <f>IFERROR(__xludf.DUMMYFUNCTION("""COMPUTED_VALUE"""),"Irwan Sopian")</f>
        <v>Irwan Sopian</v>
      </c>
      <c r="N1324" s="6" t="str">
        <f>IFERROR(__xludf.DUMMYFUNCTION("""COMPUTED_VALUE"""),"FIP Engineering")</f>
        <v>FIP Engineering</v>
      </c>
      <c r="O1324" s="6" t="str">
        <f>IFERROR(__xludf.DUMMYFUNCTION("""COMPUTED_VALUE"""),"FIP-DOM-000-11304-OS00001-INA-000000")</f>
        <v>FIP-DOM-000-11304-OS00001-INA-000000</v>
      </c>
      <c r="P1324" s="6" t="str">
        <f>IFERROR(__xludf.DUMMYFUNCTION("""COMPUTED_VALUE"""),"PO Closed")</f>
        <v>PO Closed</v>
      </c>
      <c r="Q1324" s="6" t="str">
        <f>IFERROR(__xludf.DUMMYFUNCTION("""COMPUTED_VALUE"""),"GL2011027")</f>
        <v>GL2011027</v>
      </c>
      <c r="R1324" s="57">
        <f>IFERROR(__xludf.DUMMYFUNCTION("""COMPUTED_VALUE"""),44119.0)</f>
        <v>44119</v>
      </c>
      <c r="S1324" s="6" t="str">
        <f>IFERROR(__xludf.DUMMYFUNCTION("""COMPUTED_VALUE"""),"-")</f>
        <v>-</v>
      </c>
      <c r="T1324" s="57">
        <f>IFERROR(__xludf.DUMMYFUNCTION("""COMPUTED_VALUE"""),44160.0)</f>
        <v>44160</v>
      </c>
    </row>
    <row r="1325">
      <c r="A1325" s="6" t="str">
        <f>IFERROR(__xludf.DUMMYFUNCTION("""COMPUTED_VALUE"""),"201750404-2")</f>
        <v>201750404-2</v>
      </c>
      <c r="B1325" s="6" t="str">
        <f>IFERROR(__xludf.DUMMYFUNCTION("""COMPUTED_VALUE"""),"201750404 - Approved")</f>
        <v>201750404 - Approved</v>
      </c>
      <c r="C1325" s="6">
        <f>IFERROR(__xludf.DUMMYFUNCTION("""COMPUTED_VALUE"""),2.0)</f>
        <v>2</v>
      </c>
      <c r="D1325" s="6" t="str">
        <f>IFERROR(__xludf.DUMMYFUNCTION("""COMPUTED_VALUE"""),"P-12750-00")</f>
        <v>P-12750-00</v>
      </c>
      <c r="E1325" s="6" t="str">
        <f>IFERROR(__xludf.DUMMYFUNCTION("""COMPUTED_VALUE"""),"RUCIKA - Pipa PVC aw dia 1/2inch")</f>
        <v>RUCIKA - Pipa PVC aw dia 1/2inch</v>
      </c>
      <c r="F1325" s="6">
        <f>IFERROR(__xludf.DUMMYFUNCTION("""COMPUTED_VALUE"""),3.0)</f>
        <v>3</v>
      </c>
      <c r="G1325" s="6" t="str">
        <f>IFERROR(__xludf.DUMMYFUNCTION("""COMPUTED_VALUE"""),"Pieces")</f>
        <v>Pieces</v>
      </c>
      <c r="H1325" s="6" t="str">
        <f>IFERROR(__xludf.DUMMYFUNCTION("""COMPUTED_VALUE"""),"IDR")</f>
        <v>IDR</v>
      </c>
      <c r="I1325" s="6">
        <f>IFERROR(__xludf.DUMMYFUNCTION("""COMPUTED_VALUE"""),28000.0)</f>
        <v>28000</v>
      </c>
      <c r="J1325" s="6">
        <f>IFERROR(__xludf.DUMMYFUNCTION("""COMPUTED_VALUE"""),84000.0)</f>
        <v>84000</v>
      </c>
      <c r="K1325" s="57">
        <f>IFERROR(__xludf.DUMMYFUNCTION("""COMPUTED_VALUE"""),44148.0)</f>
        <v>44148</v>
      </c>
      <c r="L1325" s="6" t="str">
        <f>IFERROR(__xludf.DUMMYFUNCTION("""COMPUTED_VALUE"""),"FIP Engineering")</f>
        <v>FIP Engineering</v>
      </c>
      <c r="M1325" s="6" t="str">
        <f>IFERROR(__xludf.DUMMYFUNCTION("""COMPUTED_VALUE"""),"Irwan Sopian")</f>
        <v>Irwan Sopian</v>
      </c>
      <c r="N1325" s="6" t="str">
        <f>IFERROR(__xludf.DUMMYFUNCTION("""COMPUTED_VALUE"""),"FIP Engineering")</f>
        <v>FIP Engineering</v>
      </c>
      <c r="O1325" s="6" t="str">
        <f>IFERROR(__xludf.DUMMYFUNCTION("""COMPUTED_VALUE"""),"FIP-DOM-000-11304-OS00001-INA-000000")</f>
        <v>FIP-DOM-000-11304-OS00001-INA-000000</v>
      </c>
      <c r="P1325" s="6" t="str">
        <f>IFERROR(__xludf.DUMMYFUNCTION("""COMPUTED_VALUE"""),"PO Closed")</f>
        <v>PO Closed</v>
      </c>
      <c r="Q1325" s="6" t="str">
        <f>IFERROR(__xludf.DUMMYFUNCTION("""COMPUTED_VALUE"""),"GL2011027")</f>
        <v>GL2011027</v>
      </c>
      <c r="R1325" s="57">
        <f>IFERROR(__xludf.DUMMYFUNCTION("""COMPUTED_VALUE"""),44119.0)</f>
        <v>44119</v>
      </c>
      <c r="S1325" s="6" t="str">
        <f>IFERROR(__xludf.DUMMYFUNCTION("""COMPUTED_VALUE"""),"-")</f>
        <v>-</v>
      </c>
      <c r="T1325" s="57">
        <f>IFERROR(__xludf.DUMMYFUNCTION("""COMPUTED_VALUE"""),44160.0)</f>
        <v>44160</v>
      </c>
    </row>
    <row r="1326">
      <c r="A1326" s="6" t="str">
        <f>IFERROR(__xludf.DUMMYFUNCTION("""COMPUTED_VALUE"""),"201750404-3")</f>
        <v>201750404-3</v>
      </c>
      <c r="B1326" s="6" t="str">
        <f>IFERROR(__xludf.DUMMYFUNCTION("""COMPUTED_VALUE"""),"201750404 - Approved")</f>
        <v>201750404 - Approved</v>
      </c>
      <c r="C1326" s="6">
        <f>IFERROR(__xludf.DUMMYFUNCTION("""COMPUTED_VALUE"""),3.0)</f>
        <v>3</v>
      </c>
      <c r="D1326" s="6" t="str">
        <f>IFERROR(__xludf.DUMMYFUNCTION("""COMPUTED_VALUE"""),"P-10859-00")</f>
        <v>P-10859-00</v>
      </c>
      <c r="E1326" s="6" t="str">
        <f>IFERROR(__xludf.DUMMYFUNCTION("""COMPUTED_VALUE"""),"Fitting PVC - Elbow PVC 1/2"" Rucika AW")</f>
        <v>Fitting PVC - Elbow PVC 1/2" Rucika AW</v>
      </c>
      <c r="F1326" s="6">
        <f>IFERROR(__xludf.DUMMYFUNCTION("""COMPUTED_VALUE"""),5.0)</f>
        <v>5</v>
      </c>
      <c r="G1326" s="6" t="str">
        <f>IFERROR(__xludf.DUMMYFUNCTION("""COMPUTED_VALUE"""),"Pieces")</f>
        <v>Pieces</v>
      </c>
      <c r="H1326" s="6" t="str">
        <f>IFERROR(__xludf.DUMMYFUNCTION("""COMPUTED_VALUE"""),"IDR")</f>
        <v>IDR</v>
      </c>
      <c r="I1326" s="6">
        <f>IFERROR(__xludf.DUMMYFUNCTION("""COMPUTED_VALUE"""),3500.0)</f>
        <v>3500</v>
      </c>
      <c r="J1326" s="6">
        <f>IFERROR(__xludf.DUMMYFUNCTION("""COMPUTED_VALUE"""),17500.0)</f>
        <v>17500</v>
      </c>
      <c r="K1326" s="57">
        <f>IFERROR(__xludf.DUMMYFUNCTION("""COMPUTED_VALUE"""),44148.0)</f>
        <v>44148</v>
      </c>
      <c r="L1326" s="6" t="str">
        <f>IFERROR(__xludf.DUMMYFUNCTION("""COMPUTED_VALUE"""),"FIP Engineering")</f>
        <v>FIP Engineering</v>
      </c>
      <c r="M1326" s="6" t="str">
        <f>IFERROR(__xludf.DUMMYFUNCTION("""COMPUTED_VALUE"""),"Irwan Sopian")</f>
        <v>Irwan Sopian</v>
      </c>
      <c r="N1326" s="6" t="str">
        <f>IFERROR(__xludf.DUMMYFUNCTION("""COMPUTED_VALUE"""),"FIP Engineering")</f>
        <v>FIP Engineering</v>
      </c>
      <c r="O1326" s="6" t="str">
        <f>IFERROR(__xludf.DUMMYFUNCTION("""COMPUTED_VALUE"""),"FIP-DOM-000-11304-OS00001-INA-000000")</f>
        <v>FIP-DOM-000-11304-OS00001-INA-000000</v>
      </c>
      <c r="P1326" s="6" t="str">
        <f>IFERROR(__xludf.DUMMYFUNCTION("""COMPUTED_VALUE"""),"PO Closed")</f>
        <v>PO Closed</v>
      </c>
      <c r="Q1326" s="6" t="str">
        <f>IFERROR(__xludf.DUMMYFUNCTION("""COMPUTED_VALUE"""),"GL2011027")</f>
        <v>GL2011027</v>
      </c>
      <c r="R1326" s="57">
        <f>IFERROR(__xludf.DUMMYFUNCTION("""COMPUTED_VALUE"""),44119.0)</f>
        <v>44119</v>
      </c>
      <c r="S1326" s="6" t="str">
        <f>IFERROR(__xludf.DUMMYFUNCTION("""COMPUTED_VALUE"""),"-")</f>
        <v>-</v>
      </c>
      <c r="T1326" s="57">
        <f>IFERROR(__xludf.DUMMYFUNCTION("""COMPUTED_VALUE"""),44160.0)</f>
        <v>44160</v>
      </c>
    </row>
    <row r="1327">
      <c r="A1327" s="6" t="str">
        <f>IFERROR(__xludf.DUMMYFUNCTION("""COMPUTED_VALUE"""),"201750404-4")</f>
        <v>201750404-4</v>
      </c>
      <c r="B1327" s="6" t="str">
        <f>IFERROR(__xludf.DUMMYFUNCTION("""COMPUTED_VALUE"""),"201750404 - Approved")</f>
        <v>201750404 - Approved</v>
      </c>
      <c r="C1327" s="6">
        <f>IFERROR(__xludf.DUMMYFUNCTION("""COMPUTED_VALUE"""),4.0)</f>
        <v>4</v>
      </c>
      <c r="D1327" s="6" t="str">
        <f>IFERROR(__xludf.DUMMYFUNCTION("""COMPUTED_VALUE"""),"P-10885-00")</f>
        <v>P-10885-00</v>
      </c>
      <c r="E1327" s="6" t="str">
        <f>IFERROR(__xludf.DUMMYFUNCTION("""COMPUTED_VALUE"""),"Fitting PVC - SDD PVC 1/2""")</f>
        <v>Fitting PVC - SDD PVC 1/2"</v>
      </c>
      <c r="F1327" s="6">
        <f>IFERROR(__xludf.DUMMYFUNCTION("""COMPUTED_VALUE"""),1.0)</f>
        <v>1</v>
      </c>
      <c r="G1327" s="6" t="str">
        <f>IFERROR(__xludf.DUMMYFUNCTION("""COMPUTED_VALUE"""),"Pieces")</f>
        <v>Pieces</v>
      </c>
      <c r="H1327" s="6" t="str">
        <f>IFERROR(__xludf.DUMMYFUNCTION("""COMPUTED_VALUE"""),"IDR")</f>
        <v>IDR</v>
      </c>
      <c r="I1327" s="6">
        <f>IFERROR(__xludf.DUMMYFUNCTION("""COMPUTED_VALUE"""),4000.0)</f>
        <v>4000</v>
      </c>
      <c r="J1327" s="6">
        <f>IFERROR(__xludf.DUMMYFUNCTION("""COMPUTED_VALUE"""),4000.0)</f>
        <v>4000</v>
      </c>
      <c r="K1327" s="57">
        <f>IFERROR(__xludf.DUMMYFUNCTION("""COMPUTED_VALUE"""),44148.0)</f>
        <v>44148</v>
      </c>
      <c r="L1327" s="6" t="str">
        <f>IFERROR(__xludf.DUMMYFUNCTION("""COMPUTED_VALUE"""),"FIP Engineering")</f>
        <v>FIP Engineering</v>
      </c>
      <c r="M1327" s="6" t="str">
        <f>IFERROR(__xludf.DUMMYFUNCTION("""COMPUTED_VALUE"""),"Irwan Sopian")</f>
        <v>Irwan Sopian</v>
      </c>
      <c r="N1327" s="6" t="str">
        <f>IFERROR(__xludf.DUMMYFUNCTION("""COMPUTED_VALUE"""),"FIP Engineering")</f>
        <v>FIP Engineering</v>
      </c>
      <c r="O1327" s="6" t="str">
        <f>IFERROR(__xludf.DUMMYFUNCTION("""COMPUTED_VALUE"""),"FIP-DOM-000-11304-OS00001-INA-000000")</f>
        <v>FIP-DOM-000-11304-OS00001-INA-000000</v>
      </c>
      <c r="P1327" s="6" t="str">
        <f>IFERROR(__xludf.DUMMYFUNCTION("""COMPUTED_VALUE"""),"PO Closed")</f>
        <v>PO Closed</v>
      </c>
      <c r="Q1327" s="6" t="str">
        <f>IFERROR(__xludf.DUMMYFUNCTION("""COMPUTED_VALUE"""),"GL2011027")</f>
        <v>GL2011027</v>
      </c>
      <c r="R1327" s="57">
        <f>IFERROR(__xludf.DUMMYFUNCTION("""COMPUTED_VALUE"""),44119.0)</f>
        <v>44119</v>
      </c>
      <c r="S1327" s="6" t="str">
        <f>IFERROR(__xludf.DUMMYFUNCTION("""COMPUTED_VALUE"""),"-")</f>
        <v>-</v>
      </c>
      <c r="T1327" s="57">
        <f>IFERROR(__xludf.DUMMYFUNCTION("""COMPUTED_VALUE"""),44160.0)</f>
        <v>44160</v>
      </c>
    </row>
    <row r="1328">
      <c r="A1328" s="6" t="str">
        <f>IFERROR(__xludf.DUMMYFUNCTION("""COMPUTED_VALUE"""),"201750404-5")</f>
        <v>201750404-5</v>
      </c>
      <c r="B1328" s="6" t="str">
        <f>IFERROR(__xludf.DUMMYFUNCTION("""COMPUTED_VALUE"""),"201750404 - Approved")</f>
        <v>201750404 - Approved</v>
      </c>
      <c r="C1328" s="6">
        <f>IFERROR(__xludf.DUMMYFUNCTION("""COMPUTED_VALUE"""),5.0)</f>
        <v>5</v>
      </c>
      <c r="D1328" s="6" t="str">
        <f>IFERROR(__xludf.DUMMYFUNCTION("""COMPUTED_VALUE"""),"P-14959-00")</f>
        <v>P-14959-00</v>
      </c>
      <c r="E1328" s="6" t="str">
        <f>IFERROR(__xludf.DUMMYFUNCTION("""COMPUTED_VALUE"""),"PVC - Dop 1/2 inch")</f>
        <v>PVC - Dop 1/2 inch</v>
      </c>
      <c r="F1328" s="6">
        <f>IFERROR(__xludf.DUMMYFUNCTION("""COMPUTED_VALUE"""),1.0)</f>
        <v>1</v>
      </c>
      <c r="G1328" s="6" t="str">
        <f>IFERROR(__xludf.DUMMYFUNCTION("""COMPUTED_VALUE"""),"Pieces")</f>
        <v>Pieces</v>
      </c>
      <c r="H1328" s="6" t="str">
        <f>IFERROR(__xludf.DUMMYFUNCTION("""COMPUTED_VALUE"""),"IDR")</f>
        <v>IDR</v>
      </c>
      <c r="I1328" s="6">
        <f>IFERROR(__xludf.DUMMYFUNCTION("""COMPUTED_VALUE"""),4000.0)</f>
        <v>4000</v>
      </c>
      <c r="J1328" s="6">
        <f>IFERROR(__xludf.DUMMYFUNCTION("""COMPUTED_VALUE"""),4000.0)</f>
        <v>4000</v>
      </c>
      <c r="K1328" s="57">
        <f>IFERROR(__xludf.DUMMYFUNCTION("""COMPUTED_VALUE"""),44148.0)</f>
        <v>44148</v>
      </c>
      <c r="L1328" s="6" t="str">
        <f>IFERROR(__xludf.DUMMYFUNCTION("""COMPUTED_VALUE"""),"FIP General")</f>
        <v>FIP General</v>
      </c>
      <c r="M1328" s="6" t="str">
        <f>IFERROR(__xludf.DUMMYFUNCTION("""COMPUTED_VALUE"""),"Irwan Sopian")</f>
        <v>Irwan Sopian</v>
      </c>
      <c r="N1328" s="6" t="str">
        <f>IFERROR(__xludf.DUMMYFUNCTION("""COMPUTED_VALUE"""),"FIP Engineering")</f>
        <v>FIP Engineering</v>
      </c>
      <c r="O1328" s="6" t="str">
        <f>IFERROR(__xludf.DUMMYFUNCTION("""COMPUTED_VALUE"""),"FIP-DOM-ENG-51404-0000000-INA-000000")</f>
        <v>FIP-DOM-ENG-51404-0000000-INA-000000</v>
      </c>
      <c r="P1328" s="6" t="str">
        <f>IFERROR(__xludf.DUMMYFUNCTION("""COMPUTED_VALUE"""),"PO Closed")</f>
        <v>PO Closed</v>
      </c>
      <c r="Q1328" s="6" t="str">
        <f>IFERROR(__xludf.DUMMYFUNCTION("""COMPUTED_VALUE"""),"GL2011027")</f>
        <v>GL2011027</v>
      </c>
      <c r="R1328" s="57">
        <f>IFERROR(__xludf.DUMMYFUNCTION("""COMPUTED_VALUE"""),44119.0)</f>
        <v>44119</v>
      </c>
      <c r="S1328" s="6" t="str">
        <f>IFERROR(__xludf.DUMMYFUNCTION("""COMPUTED_VALUE"""),"-")</f>
        <v>-</v>
      </c>
      <c r="T1328" s="57">
        <f>IFERROR(__xludf.DUMMYFUNCTION("""COMPUTED_VALUE"""),44153.0)</f>
        <v>44153</v>
      </c>
    </row>
    <row r="1329">
      <c r="A1329" s="6" t="str">
        <f>IFERROR(__xludf.DUMMYFUNCTION("""COMPUTED_VALUE"""),"201750404-6")</f>
        <v>201750404-6</v>
      </c>
      <c r="B1329" s="6" t="str">
        <f>IFERROR(__xludf.DUMMYFUNCTION("""COMPUTED_VALUE"""),"201750404 - Approved")</f>
        <v>201750404 - Approved</v>
      </c>
      <c r="C1329" s="6">
        <f>IFERROR(__xludf.DUMMYFUNCTION("""COMPUTED_VALUE"""),6.0)</f>
        <v>6</v>
      </c>
      <c r="D1329" s="6" t="str">
        <f>IFERROR(__xludf.DUMMYFUNCTION("""COMPUTED_VALUE"""),"P-10896-00")</f>
        <v>P-10896-00</v>
      </c>
      <c r="E1329" s="6" t="str">
        <f>IFERROR(__xludf.DUMMYFUNCTION("""COMPUTED_VALUE"""),"Fitting PVC - Sock PVC 1 1/4""")</f>
        <v>Fitting PVC - Sock PVC 1 1/4"</v>
      </c>
      <c r="F1329" s="6">
        <f>IFERROR(__xludf.DUMMYFUNCTION("""COMPUTED_VALUE"""),2.0)</f>
        <v>2</v>
      </c>
      <c r="G1329" s="6" t="str">
        <f>IFERROR(__xludf.DUMMYFUNCTION("""COMPUTED_VALUE"""),"Pieces")</f>
        <v>Pieces</v>
      </c>
      <c r="H1329" s="6" t="str">
        <f>IFERROR(__xludf.DUMMYFUNCTION("""COMPUTED_VALUE"""),"IDR")</f>
        <v>IDR</v>
      </c>
      <c r="I1329" s="6">
        <f>IFERROR(__xludf.DUMMYFUNCTION("""COMPUTED_VALUE"""),7000.0)</f>
        <v>7000</v>
      </c>
      <c r="J1329" s="6">
        <f>IFERROR(__xludf.DUMMYFUNCTION("""COMPUTED_VALUE"""),14000.0)</f>
        <v>14000</v>
      </c>
      <c r="K1329" s="57">
        <f>IFERROR(__xludf.DUMMYFUNCTION("""COMPUTED_VALUE"""),44148.0)</f>
        <v>44148</v>
      </c>
      <c r="L1329" s="6" t="str">
        <f>IFERROR(__xludf.DUMMYFUNCTION("""COMPUTED_VALUE"""),"FIP Engineering")</f>
        <v>FIP Engineering</v>
      </c>
      <c r="M1329" s="6" t="str">
        <f>IFERROR(__xludf.DUMMYFUNCTION("""COMPUTED_VALUE"""),"Irwan Sopian")</f>
        <v>Irwan Sopian</v>
      </c>
      <c r="N1329" s="6" t="str">
        <f>IFERROR(__xludf.DUMMYFUNCTION("""COMPUTED_VALUE"""),"FIP Engineering")</f>
        <v>FIP Engineering</v>
      </c>
      <c r="O1329" s="6" t="str">
        <f>IFERROR(__xludf.DUMMYFUNCTION("""COMPUTED_VALUE"""),"FIP-DOM-000-11304-OS00001-INA-000000")</f>
        <v>FIP-DOM-000-11304-OS00001-INA-000000</v>
      </c>
      <c r="P1329" s="6" t="str">
        <f>IFERROR(__xludf.DUMMYFUNCTION("""COMPUTED_VALUE"""),"PO Closed")</f>
        <v>PO Closed</v>
      </c>
      <c r="Q1329" s="6" t="str">
        <f>IFERROR(__xludf.DUMMYFUNCTION("""COMPUTED_VALUE"""),"GL2011027")</f>
        <v>GL2011027</v>
      </c>
      <c r="R1329" s="57">
        <f>IFERROR(__xludf.DUMMYFUNCTION("""COMPUTED_VALUE"""),44119.0)</f>
        <v>44119</v>
      </c>
      <c r="S1329" s="6" t="str">
        <f>IFERROR(__xludf.DUMMYFUNCTION("""COMPUTED_VALUE"""),"-")</f>
        <v>-</v>
      </c>
      <c r="T1329" s="57">
        <f>IFERROR(__xludf.DUMMYFUNCTION("""COMPUTED_VALUE"""),44160.0)</f>
        <v>44160</v>
      </c>
    </row>
    <row r="1330">
      <c r="A1330" s="6" t="str">
        <f>IFERROR(__xludf.DUMMYFUNCTION("""COMPUTED_VALUE"""),"201750403-1")</f>
        <v>201750403-1</v>
      </c>
      <c r="B1330" s="6" t="str">
        <f>IFERROR(__xludf.DUMMYFUNCTION("""COMPUTED_VALUE"""),"201750403 - Approved")</f>
        <v>201750403 - Approved</v>
      </c>
      <c r="C1330" s="6">
        <f>IFERROR(__xludf.DUMMYFUNCTION("""COMPUTED_VALUE"""),1.0)</f>
        <v>1</v>
      </c>
      <c r="D1330" s="6" t="str">
        <f>IFERROR(__xludf.DUMMYFUNCTION("""COMPUTED_VALUE"""),"P-50026-00")</f>
        <v>P-50026-00</v>
      </c>
      <c r="E1330" s="6" t="str">
        <f>IFERROR(__xludf.DUMMYFUNCTION("""COMPUTED_VALUE"""),"Battery UPS 12460 12V 460W 9.5AH")</f>
        <v>Battery UPS 12460 12V 460W 9.5AH</v>
      </c>
      <c r="F1330" s="6">
        <f>IFERROR(__xludf.DUMMYFUNCTION("""COMPUTED_VALUE"""),6.0)</f>
        <v>6</v>
      </c>
      <c r="G1330" s="6" t="str">
        <f>IFERROR(__xludf.DUMMYFUNCTION("""COMPUTED_VALUE"""),"Pieces")</f>
        <v>Pieces</v>
      </c>
      <c r="H1330" s="6" t="str">
        <f>IFERROR(__xludf.DUMMYFUNCTION("""COMPUTED_VALUE"""),"IDR")</f>
        <v>IDR</v>
      </c>
      <c r="I1330" s="6">
        <f>IFERROR(__xludf.DUMMYFUNCTION("""COMPUTED_VALUE"""),565000.0)</f>
        <v>565000</v>
      </c>
      <c r="J1330" s="6">
        <f>IFERROR(__xludf.DUMMYFUNCTION("""COMPUTED_VALUE"""),3390000.0)</f>
        <v>3390000</v>
      </c>
      <c r="K1330" s="57">
        <f>IFERROR(__xludf.DUMMYFUNCTION("""COMPUTED_VALUE"""),44155.0)</f>
        <v>44155</v>
      </c>
      <c r="L1330" s="6" t="str">
        <f>IFERROR(__xludf.DUMMYFUNCTION("""COMPUTED_VALUE"""),"FIP Engineering")</f>
        <v>FIP Engineering</v>
      </c>
      <c r="M1330" s="6" t="str">
        <f>IFERROR(__xludf.DUMMYFUNCTION("""COMPUTED_VALUE"""),"Irwan Sopian")</f>
        <v>Irwan Sopian</v>
      </c>
      <c r="N1330" s="6" t="str">
        <f>IFERROR(__xludf.DUMMYFUNCTION("""COMPUTED_VALUE"""),"FIP Engineering")</f>
        <v>FIP Engineering</v>
      </c>
      <c r="O1330" s="6" t="str">
        <f>IFERROR(__xludf.DUMMYFUNCTION("""COMPUTED_VALUE"""),"FIP-DOM-000-11304-OS00001-INA-000000")</f>
        <v>FIP-DOM-000-11304-OS00001-INA-000000</v>
      </c>
      <c r="P1330" s="6" t="str">
        <f>IFERROR(__xludf.DUMMYFUNCTION("""COMPUTED_VALUE"""),"PO Closed")</f>
        <v>PO Closed</v>
      </c>
      <c r="Q1330" s="6" t="str">
        <f>IFERROR(__xludf.DUMMYFUNCTION("""COMPUTED_VALUE"""),"GL2011027")</f>
        <v>GL2011027</v>
      </c>
      <c r="R1330" s="57">
        <f>IFERROR(__xludf.DUMMYFUNCTION("""COMPUTED_VALUE"""),44119.0)</f>
        <v>44119</v>
      </c>
      <c r="S1330" s="6" t="str">
        <f>IFERROR(__xludf.DUMMYFUNCTION("""COMPUTED_VALUE"""),"-")</f>
        <v>-</v>
      </c>
      <c r="T1330" s="57">
        <f>IFERROR(__xludf.DUMMYFUNCTION("""COMPUTED_VALUE"""),44160.0)</f>
        <v>44160</v>
      </c>
    </row>
    <row r="1331">
      <c r="A1331" s="6" t="str">
        <f>IFERROR(__xludf.DUMMYFUNCTION("""COMPUTED_VALUE"""),"201750403-2")</f>
        <v>201750403-2</v>
      </c>
      <c r="B1331" s="6" t="str">
        <f>IFERROR(__xludf.DUMMYFUNCTION("""COMPUTED_VALUE"""),"201750403 - Approved")</f>
        <v>201750403 - Approved</v>
      </c>
      <c r="C1331" s="6">
        <f>IFERROR(__xludf.DUMMYFUNCTION("""COMPUTED_VALUE"""),2.0)</f>
        <v>2</v>
      </c>
      <c r="D1331" s="6" t="str">
        <f>IFERROR(__xludf.DUMMYFUNCTION("""COMPUTED_VALUE"""),"P-50027-00")</f>
        <v>P-50027-00</v>
      </c>
      <c r="E1331" s="6" t="str">
        <f>IFERROR(__xludf.DUMMYFUNCTION("""COMPUTED_VALUE"""),"PCI Firewire 3port 6pin + 1port 4pin Card IEEE 1394")</f>
        <v>PCI Firewire 3port 6pin + 1port 4pin Card IEEE 1394</v>
      </c>
      <c r="F1331" s="6">
        <f>IFERROR(__xludf.DUMMYFUNCTION("""COMPUTED_VALUE"""),1.0)</f>
        <v>1</v>
      </c>
      <c r="G1331" s="6" t="str">
        <f>IFERROR(__xludf.DUMMYFUNCTION("""COMPUTED_VALUE"""),"Pieces")</f>
        <v>Pieces</v>
      </c>
      <c r="H1331" s="6" t="str">
        <f>IFERROR(__xludf.DUMMYFUNCTION("""COMPUTED_VALUE"""),"IDR")</f>
        <v>IDR</v>
      </c>
      <c r="I1331" s="6">
        <f>IFERROR(__xludf.DUMMYFUNCTION("""COMPUTED_VALUE"""),115000.0)</f>
        <v>115000</v>
      </c>
      <c r="J1331" s="6">
        <f>IFERROR(__xludf.DUMMYFUNCTION("""COMPUTED_VALUE"""),115000.0)</f>
        <v>115000</v>
      </c>
      <c r="K1331" s="57">
        <f>IFERROR(__xludf.DUMMYFUNCTION("""COMPUTED_VALUE"""),44155.0)</f>
        <v>44155</v>
      </c>
      <c r="L1331" s="6" t="str">
        <f>IFERROR(__xludf.DUMMYFUNCTION("""COMPUTED_VALUE"""),"FIP General")</f>
        <v>FIP General</v>
      </c>
      <c r="M1331" s="6" t="str">
        <f>IFERROR(__xludf.DUMMYFUNCTION("""COMPUTED_VALUE"""),"Irwan Sopian")</f>
        <v>Irwan Sopian</v>
      </c>
      <c r="N1331" s="6" t="str">
        <f>IFERROR(__xludf.DUMMYFUNCTION("""COMPUTED_VALUE"""),"FIP Engineering")</f>
        <v>FIP Engineering</v>
      </c>
      <c r="O1331" s="6" t="str">
        <f>IFERROR(__xludf.DUMMYFUNCTION("""COMPUTED_VALUE"""),"FIP-DOM-ENG-51504-0000000-INA-000000")</f>
        <v>FIP-DOM-ENG-51504-0000000-INA-000000</v>
      </c>
      <c r="P1331" s="6" t="str">
        <f>IFERROR(__xludf.DUMMYFUNCTION("""COMPUTED_VALUE"""),"PO Closed")</f>
        <v>PO Closed</v>
      </c>
      <c r="Q1331" s="6" t="str">
        <f>IFERROR(__xludf.DUMMYFUNCTION("""COMPUTED_VALUE"""),"GL2011027")</f>
        <v>GL2011027</v>
      </c>
      <c r="R1331" s="57">
        <f>IFERROR(__xludf.DUMMYFUNCTION("""COMPUTED_VALUE"""),44119.0)</f>
        <v>44119</v>
      </c>
      <c r="S1331" s="6" t="str">
        <f>IFERROR(__xludf.DUMMYFUNCTION("""COMPUTED_VALUE"""),"-")</f>
        <v>-</v>
      </c>
      <c r="T1331" s="57">
        <f>IFERROR(__xludf.DUMMYFUNCTION("""COMPUTED_VALUE"""),44153.0)</f>
        <v>44153</v>
      </c>
    </row>
    <row r="1332">
      <c r="A1332" s="6" t="str">
        <f>IFERROR(__xludf.DUMMYFUNCTION("""COMPUTED_VALUE"""),"201750400-6")</f>
        <v>201750400-6</v>
      </c>
      <c r="B1332" s="6" t="str">
        <f>IFERROR(__xludf.DUMMYFUNCTION("""COMPUTED_VALUE"""),"201750400 - Approved")</f>
        <v>201750400 - Approved</v>
      </c>
      <c r="C1332" s="6">
        <f>IFERROR(__xludf.DUMMYFUNCTION("""COMPUTED_VALUE"""),6.0)</f>
        <v>6</v>
      </c>
      <c r="D1332" s="6" t="str">
        <f>IFERROR(__xludf.DUMMYFUNCTION("""COMPUTED_VALUE"""),"P-13383-00")</f>
        <v>P-13383-00</v>
      </c>
      <c r="E1332" s="6" t="str">
        <f>IFERROR(__xludf.DUMMYFUNCTION("""COMPUTED_VALUE"""),"Silicone Sealant High Temp Red")</f>
        <v>Silicone Sealant High Temp Red</v>
      </c>
      <c r="F1332" s="6">
        <f>IFERROR(__xludf.DUMMYFUNCTION("""COMPUTED_VALUE"""),5.0)</f>
        <v>5</v>
      </c>
      <c r="G1332" s="6" t="str">
        <f>IFERROR(__xludf.DUMMYFUNCTION("""COMPUTED_VALUE"""),"Pieces")</f>
        <v>Pieces</v>
      </c>
      <c r="H1332" s="6" t="str">
        <f>IFERROR(__xludf.DUMMYFUNCTION("""COMPUTED_VALUE"""),"IDR")</f>
        <v>IDR</v>
      </c>
      <c r="I1332" s="6">
        <f>IFERROR(__xludf.DUMMYFUNCTION("""COMPUTED_VALUE"""),26000.0)</f>
        <v>26000</v>
      </c>
      <c r="J1332" s="6">
        <f>IFERROR(__xludf.DUMMYFUNCTION("""COMPUTED_VALUE"""),130000.0)</f>
        <v>130000</v>
      </c>
      <c r="K1332" s="57">
        <f>IFERROR(__xludf.DUMMYFUNCTION("""COMPUTED_VALUE"""),44148.0)</f>
        <v>44148</v>
      </c>
      <c r="L1332" s="6" t="str">
        <f>IFERROR(__xludf.DUMMYFUNCTION("""COMPUTED_VALUE"""),"FIP Engineering")</f>
        <v>FIP Engineering</v>
      </c>
      <c r="M1332" s="6" t="str">
        <f>IFERROR(__xludf.DUMMYFUNCTION("""COMPUTED_VALUE"""),"Irwan Sopian")</f>
        <v>Irwan Sopian</v>
      </c>
      <c r="N1332" s="6" t="str">
        <f>IFERROR(__xludf.DUMMYFUNCTION("""COMPUTED_VALUE"""),"FIP Engineering")</f>
        <v>FIP Engineering</v>
      </c>
      <c r="O1332" s="6" t="str">
        <f>IFERROR(__xludf.DUMMYFUNCTION("""COMPUTED_VALUE"""),"FIP-DOM-000-11304-OS00001-INA-000000")</f>
        <v>FIP-DOM-000-11304-OS00001-INA-000000</v>
      </c>
      <c r="P1332" s="6" t="str">
        <f>IFERROR(__xludf.DUMMYFUNCTION("""COMPUTED_VALUE"""),"PO Closed")</f>
        <v>PO Closed</v>
      </c>
      <c r="Q1332" s="6" t="str">
        <f>IFERROR(__xludf.DUMMYFUNCTION("""COMPUTED_VALUE"""),"GL2011007")</f>
        <v>GL2011007</v>
      </c>
      <c r="R1332" s="57">
        <f>IFERROR(__xludf.DUMMYFUNCTION("""COMPUTED_VALUE"""),44124.0)</f>
        <v>44124</v>
      </c>
      <c r="S1332" s="6" t="str">
        <f>IFERROR(__xludf.DUMMYFUNCTION("""COMPUTED_VALUE"""),"-")</f>
        <v>-</v>
      </c>
      <c r="T1332" s="57">
        <f>IFERROR(__xludf.DUMMYFUNCTION("""COMPUTED_VALUE"""),44160.0)</f>
        <v>44160</v>
      </c>
    </row>
    <row r="1333">
      <c r="A1333" s="6" t="str">
        <f>IFERROR(__xludf.DUMMYFUNCTION("""COMPUTED_VALUE"""),"201750416-1")</f>
        <v>201750416-1</v>
      </c>
      <c r="B1333" s="6" t="str">
        <f>IFERROR(__xludf.DUMMYFUNCTION("""COMPUTED_VALUE"""),"201750416 - Approved")</f>
        <v>201750416 - Approved</v>
      </c>
      <c r="C1333" s="6">
        <f>IFERROR(__xludf.DUMMYFUNCTION("""COMPUTED_VALUE"""),1.0)</f>
        <v>1</v>
      </c>
      <c r="D1333" s="6" t="str">
        <f>IFERROR(__xludf.DUMMYFUNCTION("""COMPUTED_VALUE"""),"P-60000-00")</f>
        <v>P-60000-00</v>
      </c>
      <c r="E1333" s="6" t="str">
        <f>IFERROR(__xludf.DUMMYFUNCTION("""COMPUTED_VALUE"""),"Repair Gear Box Motor Reactor 2")</f>
        <v>Repair Gear Box Motor Reactor 2</v>
      </c>
      <c r="F1333" s="6">
        <f>IFERROR(__xludf.DUMMYFUNCTION("""COMPUTED_VALUE"""),1.0)</f>
        <v>1</v>
      </c>
      <c r="G1333" s="6" t="str">
        <f>IFERROR(__xludf.DUMMYFUNCTION("""COMPUTED_VALUE"""),"Lot")</f>
        <v>Lot</v>
      </c>
      <c r="H1333" s="6" t="str">
        <f>IFERROR(__xludf.DUMMYFUNCTION("""COMPUTED_VALUE"""),"IDR")</f>
        <v>IDR</v>
      </c>
      <c r="I1333" s="6">
        <f>IFERROR(__xludf.DUMMYFUNCTION("""COMPUTED_VALUE"""),1467000.0)</f>
        <v>1467000</v>
      </c>
      <c r="J1333" s="6">
        <f>IFERROR(__xludf.DUMMYFUNCTION("""COMPUTED_VALUE"""),1467000.0)</f>
        <v>1467000</v>
      </c>
      <c r="K1333" s="57">
        <f>IFERROR(__xludf.DUMMYFUNCTION("""COMPUTED_VALUE"""),44155.0)</f>
        <v>44155</v>
      </c>
      <c r="L1333" s="6" t="str">
        <f>IFERROR(__xludf.DUMMYFUNCTION("""COMPUTED_VALUE"""),"FIP General")</f>
        <v>FIP General</v>
      </c>
      <c r="M1333" s="6" t="str">
        <f>IFERROR(__xludf.DUMMYFUNCTION("""COMPUTED_VALUE"""),"Irwan Sopian")</f>
        <v>Irwan Sopian</v>
      </c>
      <c r="N1333" s="6" t="str">
        <f>IFERROR(__xludf.DUMMYFUNCTION("""COMPUTED_VALUE"""),"FIP Engineering")</f>
        <v>FIP Engineering</v>
      </c>
      <c r="O1333" s="6" t="str">
        <f>IFERROR(__xludf.DUMMYFUNCTION("""COMPUTED_VALUE"""),"FIP-DOM-ENG-51504-0000000-INA-000000")</f>
        <v>FIP-DOM-ENG-51504-0000000-INA-000000</v>
      </c>
      <c r="P1333" s="6" t="str">
        <f>IFERROR(__xludf.DUMMYFUNCTION("""COMPUTED_VALUE"""),"PO Closed")</f>
        <v>PO Closed</v>
      </c>
      <c r="Q1333" s="6" t="str">
        <f>IFERROR(__xludf.DUMMYFUNCTION("""COMPUTED_VALUE"""),"GL2011006")</f>
        <v>GL2011006</v>
      </c>
      <c r="R1333" s="57">
        <f>IFERROR(__xludf.DUMMYFUNCTION("""COMPUTED_VALUE"""),44127.0)</f>
        <v>44127</v>
      </c>
      <c r="S1333" s="6" t="str">
        <f>IFERROR(__xludf.DUMMYFUNCTION("""COMPUTED_VALUE"""),"-")</f>
        <v>-</v>
      </c>
      <c r="T1333" s="57">
        <f>IFERROR(__xludf.DUMMYFUNCTION("""COMPUTED_VALUE"""),44153.0)</f>
        <v>44153</v>
      </c>
    </row>
    <row r="1334">
      <c r="A1334" s="6" t="str">
        <f>IFERROR(__xludf.DUMMYFUNCTION("""COMPUTED_VALUE"""),"201750428-1")</f>
        <v>201750428-1</v>
      </c>
      <c r="B1334" s="6" t="str">
        <f>IFERROR(__xludf.DUMMYFUNCTION("""COMPUTED_VALUE"""),"201750428 - Approved")</f>
        <v>201750428 - Approved</v>
      </c>
      <c r="C1334" s="6">
        <f>IFERROR(__xludf.DUMMYFUNCTION("""COMPUTED_VALUE"""),1.0)</f>
        <v>1</v>
      </c>
      <c r="D1334" s="6" t="str">
        <f>IFERROR(__xludf.DUMMYFUNCTION("""COMPUTED_VALUE"""),"O-60001-00")</f>
        <v>O-60001-00</v>
      </c>
      <c r="E1334" s="6" t="str">
        <f>IFERROR(__xludf.DUMMYFUNCTION("""COMPUTED_VALUE"""),"Perbaikan Mesin Sartocek")</f>
        <v>Perbaikan Mesin Sartocek</v>
      </c>
      <c r="F1334" s="6">
        <f>IFERROR(__xludf.DUMMYFUNCTION("""COMPUTED_VALUE"""),1.0)</f>
        <v>1</v>
      </c>
      <c r="G1334" s="6" t="str">
        <f>IFERROR(__xludf.DUMMYFUNCTION("""COMPUTED_VALUE"""),"Lot")</f>
        <v>Lot</v>
      </c>
      <c r="H1334" s="6" t="str">
        <f>IFERROR(__xludf.DUMMYFUNCTION("""COMPUTED_VALUE"""),"IDR")</f>
        <v>IDR</v>
      </c>
      <c r="I1334" s="6">
        <f>IFERROR(__xludf.DUMMYFUNCTION("""COMPUTED_VALUE"""),1.036E7)</f>
        <v>10360000</v>
      </c>
      <c r="J1334" s="6">
        <f>IFERROR(__xludf.DUMMYFUNCTION("""COMPUTED_VALUE"""),1.036E7)</f>
        <v>10360000</v>
      </c>
      <c r="K1334" s="57">
        <f>IFERROR(__xludf.DUMMYFUNCTION("""COMPUTED_VALUE"""),44169.0)</f>
        <v>44169</v>
      </c>
      <c r="L1334" s="6" t="str">
        <f>IFERROR(__xludf.DUMMYFUNCTION("""COMPUTED_VALUE"""),"FIP General")</f>
        <v>FIP General</v>
      </c>
      <c r="M1334" s="6" t="str">
        <f>IFERROR(__xludf.DUMMYFUNCTION("""COMPUTED_VALUE"""),"Irwan Sopian")</f>
        <v>Irwan Sopian</v>
      </c>
      <c r="N1334" s="6" t="str">
        <f>IFERROR(__xludf.DUMMYFUNCTION("""COMPUTED_VALUE"""),"FIP Engineering")</f>
        <v>FIP Engineering</v>
      </c>
      <c r="O1334" s="6" t="str">
        <f>IFERROR(__xludf.DUMMYFUNCTION("""COMPUTED_VALUE"""),"FIP-DOM-ENG-51504-0000000-INA-000000")</f>
        <v>FIP-DOM-ENG-51504-0000000-INA-000000</v>
      </c>
      <c r="P1334" s="6" t="str">
        <f>IFERROR(__xludf.DUMMYFUNCTION("""COMPUTED_VALUE"""),"PO Closed")</f>
        <v>PO Closed</v>
      </c>
      <c r="Q1334" s="6" t="str">
        <f>IFERROR(__xludf.DUMMYFUNCTION("""COMPUTED_VALUE"""),"GL2011026")</f>
        <v>GL2011026</v>
      </c>
      <c r="R1334" s="57">
        <f>IFERROR(__xludf.DUMMYFUNCTION("""COMPUTED_VALUE"""),44137.0)</f>
        <v>44137</v>
      </c>
      <c r="S1334" s="6" t="str">
        <f>IFERROR(__xludf.DUMMYFUNCTION("""COMPUTED_VALUE"""),"-")</f>
        <v>-</v>
      </c>
      <c r="T1334" s="57">
        <f>IFERROR(__xludf.DUMMYFUNCTION("""COMPUTED_VALUE"""),44196.0)</f>
        <v>44196</v>
      </c>
    </row>
    <row r="1335">
      <c r="A1335" s="6" t="str">
        <f>IFERROR(__xludf.DUMMYFUNCTION("""COMPUTED_VALUE"""),"201750427-1")</f>
        <v>201750427-1</v>
      </c>
      <c r="B1335" s="6" t="str">
        <f>IFERROR(__xludf.DUMMYFUNCTION("""COMPUTED_VALUE"""),"201750427 - Approved")</f>
        <v>201750427 - Approved</v>
      </c>
      <c r="C1335" s="6">
        <f>IFERROR(__xludf.DUMMYFUNCTION("""COMPUTED_VALUE"""),1.0)</f>
        <v>1</v>
      </c>
      <c r="D1335" s="6" t="str">
        <f>IFERROR(__xludf.DUMMYFUNCTION("""COMPUTED_VALUE"""),"P-14424-00")</f>
        <v>P-14424-00</v>
      </c>
      <c r="E1335" s="6" t="str">
        <f>IFERROR(__xludf.DUMMYFUNCTION("""COMPUTED_VALUE"""),"Garam Kutreat RGN-9800F 25Kg/zak")</f>
        <v>Garam Kutreat RGN-9800F 25Kg/zak</v>
      </c>
      <c r="F1335" s="6">
        <f>IFERROR(__xludf.DUMMYFUNCTION("""COMPUTED_VALUE"""),300.0)</f>
        <v>300</v>
      </c>
      <c r="G1335" s="6" t="str">
        <f>IFERROR(__xludf.DUMMYFUNCTION("""COMPUTED_VALUE"""),"Kilogram")</f>
        <v>Kilogram</v>
      </c>
      <c r="H1335" s="6" t="str">
        <f>IFERROR(__xludf.DUMMYFUNCTION("""COMPUTED_VALUE"""),"IDR")</f>
        <v>IDR</v>
      </c>
      <c r="I1335" s="6">
        <f>IFERROR(__xludf.DUMMYFUNCTION("""COMPUTED_VALUE"""),9500.0)</f>
        <v>9500</v>
      </c>
      <c r="J1335" s="6">
        <f>IFERROR(__xludf.DUMMYFUNCTION("""COMPUTED_VALUE"""),2850000.0)</f>
        <v>2850000</v>
      </c>
      <c r="K1335" s="57">
        <f>IFERROR(__xludf.DUMMYFUNCTION("""COMPUTED_VALUE"""),44183.0)</f>
        <v>44183</v>
      </c>
      <c r="L1335" s="6" t="str">
        <f>IFERROR(__xludf.DUMMYFUNCTION("""COMPUTED_VALUE"""),"FIP Engineering")</f>
        <v>FIP Engineering</v>
      </c>
      <c r="M1335" s="6" t="str">
        <f>IFERROR(__xludf.DUMMYFUNCTION("""COMPUTED_VALUE"""),"Irwan Sopian")</f>
        <v>Irwan Sopian</v>
      </c>
      <c r="N1335" s="6" t="str">
        <f>IFERROR(__xludf.DUMMYFUNCTION("""COMPUTED_VALUE"""),"FIP Engineering")</f>
        <v>FIP Engineering</v>
      </c>
      <c r="O1335" s="6" t="str">
        <f>IFERROR(__xludf.DUMMYFUNCTION("""COMPUTED_VALUE"""),"FIP-DOM-000-11304-OS00001-INA-000000")</f>
        <v>FIP-DOM-000-11304-OS00001-INA-000000</v>
      </c>
      <c r="P1335" s="6" t="str">
        <f>IFERROR(__xludf.DUMMYFUNCTION("""COMPUTED_VALUE"""),"PO Closed")</f>
        <v>PO Closed</v>
      </c>
      <c r="Q1335" s="6" t="str">
        <f>IFERROR(__xludf.DUMMYFUNCTION("""COMPUTED_VALUE"""),"GL2011045")</f>
        <v>GL2011045</v>
      </c>
      <c r="R1335" s="57">
        <f>IFERROR(__xludf.DUMMYFUNCTION("""COMPUTED_VALUE"""),44137.0)</f>
        <v>44137</v>
      </c>
      <c r="S1335" s="6" t="str">
        <f>IFERROR(__xludf.DUMMYFUNCTION("""COMPUTED_VALUE"""),"-")</f>
        <v>-</v>
      </c>
      <c r="T1335" s="57">
        <f>IFERROR(__xludf.DUMMYFUNCTION("""COMPUTED_VALUE"""),44183.0)</f>
        <v>44183</v>
      </c>
    </row>
    <row r="1336">
      <c r="A1336" s="6" t="str">
        <f>IFERROR(__xludf.DUMMYFUNCTION("""COMPUTED_VALUE"""),"201750446-1")</f>
        <v>201750446-1</v>
      </c>
      <c r="B1336" s="6" t="str">
        <f>IFERROR(__xludf.DUMMYFUNCTION("""COMPUTED_VALUE"""),"201750446 - Approved")</f>
        <v>201750446 - Approved</v>
      </c>
      <c r="C1336" s="6">
        <f>IFERROR(__xludf.DUMMYFUNCTION("""COMPUTED_VALUE"""),1.0)</f>
        <v>1</v>
      </c>
      <c r="D1336" s="6" t="str">
        <f>IFERROR(__xludf.DUMMYFUNCTION("""COMPUTED_VALUE"""),"P-51027-00")</f>
        <v>P-51027-00</v>
      </c>
      <c r="E133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336" s="6">
        <f>IFERROR(__xludf.DUMMYFUNCTION("""COMPUTED_VALUE"""),5.0)</f>
        <v>5</v>
      </c>
      <c r="G1336" s="6" t="str">
        <f>IFERROR(__xludf.DUMMYFUNCTION("""COMPUTED_VALUE"""),"Pieces")</f>
        <v>Pieces</v>
      </c>
      <c r="H1336" s="6" t="str">
        <f>IFERROR(__xludf.DUMMYFUNCTION("""COMPUTED_VALUE"""),"IDR")</f>
        <v>IDR</v>
      </c>
      <c r="I1336" s="6">
        <f>IFERROR(__xludf.DUMMYFUNCTION("""COMPUTED_VALUE"""),53000.0)</f>
        <v>53000</v>
      </c>
      <c r="J1336" s="6">
        <f>IFERROR(__xludf.DUMMYFUNCTION("""COMPUTED_VALUE"""),265000.0)</f>
        <v>265000</v>
      </c>
      <c r="K1336" s="57">
        <f>IFERROR(__xludf.DUMMYFUNCTION("""COMPUTED_VALUE"""),44176.0)</f>
        <v>44176</v>
      </c>
      <c r="L1336" s="6" t="str">
        <f>IFERROR(__xludf.DUMMYFUNCTION("""COMPUTED_VALUE"""),"FIP Engineering")</f>
        <v>FIP Engineering</v>
      </c>
      <c r="M1336" s="6" t="str">
        <f>IFERROR(__xludf.DUMMYFUNCTION("""COMPUTED_VALUE"""),"Irwan Sopian")</f>
        <v>Irwan Sopian</v>
      </c>
      <c r="N1336" s="6" t="str">
        <f>IFERROR(__xludf.DUMMYFUNCTION("""COMPUTED_VALUE"""),"FIP Engineering")</f>
        <v>FIP Engineering</v>
      </c>
      <c r="O1336" s="6" t="str">
        <f>IFERROR(__xludf.DUMMYFUNCTION("""COMPUTED_VALUE"""),"FIP-DOM-000-11304-OS00001-INA-000000")</f>
        <v>FIP-DOM-000-11304-OS00001-INA-000000</v>
      </c>
      <c r="P1336" s="6" t="str">
        <f>IFERROR(__xludf.DUMMYFUNCTION("""COMPUTED_VALUE"""),"PO Closed")</f>
        <v>PO Closed</v>
      </c>
      <c r="Q1336" s="6" t="str">
        <f>IFERROR(__xludf.DUMMYFUNCTION("""COMPUTED_VALUE"""),"GL2011050")</f>
        <v>GL2011050</v>
      </c>
      <c r="R1336" s="57">
        <f>IFERROR(__xludf.DUMMYFUNCTION("""COMPUTED_VALUE"""),44155.0)</f>
        <v>44155</v>
      </c>
      <c r="S1336" s="6" t="str">
        <f>IFERROR(__xludf.DUMMYFUNCTION("""COMPUTED_VALUE"""),"-")</f>
        <v>-</v>
      </c>
      <c r="T1336" s="57">
        <f>IFERROR(__xludf.DUMMYFUNCTION("""COMPUTED_VALUE"""),44185.0)</f>
        <v>44185</v>
      </c>
    </row>
    <row r="1337">
      <c r="A1337" s="6" t="str">
        <f>IFERROR(__xludf.DUMMYFUNCTION("""COMPUTED_VALUE"""),"201750446-2")</f>
        <v>201750446-2</v>
      </c>
      <c r="B1337" s="6" t="str">
        <f>IFERROR(__xludf.DUMMYFUNCTION("""COMPUTED_VALUE"""),"201750446 - Approved")</f>
        <v>201750446 - Approved</v>
      </c>
      <c r="C1337" s="6">
        <f>IFERROR(__xludf.DUMMYFUNCTION("""COMPUTED_VALUE"""),2.0)</f>
        <v>2</v>
      </c>
      <c r="D1337" s="6" t="str">
        <f>IFERROR(__xludf.DUMMYFUNCTION("""COMPUTED_VALUE"""),"O-15931-00")</f>
        <v>O-15931-00</v>
      </c>
      <c r="E1337" s="6" t="str">
        <f>IFERROR(__xludf.DUMMYFUNCTION("""COMPUTED_VALUE"""),"Double Tape 3M 1"" Merah; ; ;")</f>
        <v>Double Tape 3M 1" Merah; ; ;</v>
      </c>
      <c r="F1337" s="6">
        <f>IFERROR(__xludf.DUMMYFUNCTION("""COMPUTED_VALUE"""),5.0)</f>
        <v>5</v>
      </c>
      <c r="G1337" s="6" t="str">
        <f>IFERROR(__xludf.DUMMYFUNCTION("""COMPUTED_VALUE"""),"Pieces")</f>
        <v>Pieces</v>
      </c>
      <c r="H1337" s="6" t="str">
        <f>IFERROR(__xludf.DUMMYFUNCTION("""COMPUTED_VALUE"""),"IDR")</f>
        <v>IDR</v>
      </c>
      <c r="I1337" s="6">
        <f>IFERROR(__xludf.DUMMYFUNCTION("""COMPUTED_VALUE"""),112500.0)</f>
        <v>112500</v>
      </c>
      <c r="J1337" s="6">
        <f>IFERROR(__xludf.DUMMYFUNCTION("""COMPUTED_VALUE"""),562500.0)</f>
        <v>562500</v>
      </c>
      <c r="K1337" s="57">
        <f>IFERROR(__xludf.DUMMYFUNCTION("""COMPUTED_VALUE"""),44176.0)</f>
        <v>44176</v>
      </c>
      <c r="L1337" s="6" t="str">
        <f>IFERROR(__xludf.DUMMYFUNCTION("""COMPUTED_VALUE"""),"FIP Engineering")</f>
        <v>FIP Engineering</v>
      </c>
      <c r="M1337" s="6" t="str">
        <f>IFERROR(__xludf.DUMMYFUNCTION("""COMPUTED_VALUE"""),"Irwan Sopian")</f>
        <v>Irwan Sopian</v>
      </c>
      <c r="N1337" s="6" t="str">
        <f>IFERROR(__xludf.DUMMYFUNCTION("""COMPUTED_VALUE"""),"FIP Engineering")</f>
        <v>FIP Engineering</v>
      </c>
      <c r="O1337" s="6" t="str">
        <f>IFERROR(__xludf.DUMMYFUNCTION("""COMPUTED_VALUE"""),"FIP-DOM-000-11304-OS00001-INA-000000")</f>
        <v>FIP-DOM-000-11304-OS00001-INA-000000</v>
      </c>
      <c r="P1337" s="6" t="str">
        <f>IFERROR(__xludf.DUMMYFUNCTION("""COMPUTED_VALUE"""),"PO Closed")</f>
        <v>PO Closed</v>
      </c>
      <c r="Q1337" s="6" t="str">
        <f>IFERROR(__xludf.DUMMYFUNCTION("""COMPUTED_VALUE"""),"GL2011050")</f>
        <v>GL2011050</v>
      </c>
      <c r="R1337" s="57">
        <f>IFERROR(__xludf.DUMMYFUNCTION("""COMPUTED_VALUE"""),44155.0)</f>
        <v>44155</v>
      </c>
      <c r="S1337" s="6" t="str">
        <f>IFERROR(__xludf.DUMMYFUNCTION("""COMPUTED_VALUE"""),"-")</f>
        <v>-</v>
      </c>
      <c r="T1337" s="57">
        <f>IFERROR(__xludf.DUMMYFUNCTION("""COMPUTED_VALUE"""),44185.0)</f>
        <v>44185</v>
      </c>
    </row>
    <row r="1338">
      <c r="A1338" s="6" t="str">
        <f>IFERROR(__xludf.DUMMYFUNCTION("""COMPUTED_VALUE"""),"201750453-1")</f>
        <v>201750453-1</v>
      </c>
      <c r="B1338" s="6" t="str">
        <f>IFERROR(__xludf.DUMMYFUNCTION("""COMPUTED_VALUE"""),"201750453 - Approved")</f>
        <v>201750453 - Approved</v>
      </c>
      <c r="C1338" s="6">
        <f>IFERROR(__xludf.DUMMYFUNCTION("""COMPUTED_VALUE"""),1.0)</f>
        <v>1</v>
      </c>
      <c r="D1338" s="6" t="str">
        <f>IFERROR(__xludf.DUMMYFUNCTION("""COMPUTED_VALUE"""),"R-20002-00")</f>
        <v>R-20002-00</v>
      </c>
      <c r="E1338" s="6" t="str">
        <f>IFERROR(__xludf.DUMMYFUNCTION("""COMPUTED_VALUE"""),"Sofware Monitoring UDM dan Hadware (Modbus,Cable,Switch Hub,Panel Box dan Accesoris)")</f>
        <v>Sofware Monitoring UDM dan Hadware (Modbus,Cable,Switch Hub,Panel Box dan Accesoris)</v>
      </c>
      <c r="F1338" s="6">
        <f>IFERROR(__xludf.DUMMYFUNCTION("""COMPUTED_VALUE"""),1.0)</f>
        <v>1</v>
      </c>
      <c r="G1338" s="6" t="str">
        <f>IFERROR(__xludf.DUMMYFUNCTION("""COMPUTED_VALUE"""),"Unit")</f>
        <v>Unit</v>
      </c>
      <c r="H1338" s="6" t="str">
        <f>IFERROR(__xludf.DUMMYFUNCTION("""COMPUTED_VALUE"""),"IDR")</f>
        <v>IDR</v>
      </c>
      <c r="I1338" s="6">
        <f>IFERROR(__xludf.DUMMYFUNCTION("""COMPUTED_VALUE"""),2.59675E7)</f>
        <v>25967500</v>
      </c>
      <c r="J1338" s="6">
        <f>IFERROR(__xludf.DUMMYFUNCTION("""COMPUTED_VALUE"""),2.59675E7)</f>
        <v>25967500</v>
      </c>
      <c r="K1338" s="57">
        <f>IFERROR(__xludf.DUMMYFUNCTION("""COMPUTED_VALUE"""),44196.0)</f>
        <v>44196</v>
      </c>
      <c r="L1338" s="6" t="str">
        <f>IFERROR(__xludf.DUMMYFUNCTION("""COMPUTED_VALUE"""),"FIP General")</f>
        <v>FIP General</v>
      </c>
      <c r="M1338" s="6" t="str">
        <f>IFERROR(__xludf.DUMMYFUNCTION("""COMPUTED_VALUE"""),"Ronald Effendi")</f>
        <v>Ronald Effendi</v>
      </c>
      <c r="N1338" s="6" t="str">
        <f>IFERROR(__xludf.DUMMYFUNCTION("""COMPUTED_VALUE"""),"FIP Engineering")</f>
        <v>FIP Engineering</v>
      </c>
      <c r="O1338" s="6" t="str">
        <f>IFERROR(__xludf.DUMMYFUNCTION("""COMPUTED_VALUE"""),"FIP-DOM-ENG-13405-EQ20001-INA-000000")</f>
        <v>FIP-DOM-ENG-13405-EQ20001-INA-000000</v>
      </c>
      <c r="P1338" s="6" t="str">
        <f>IFERROR(__xludf.DUMMYFUNCTION("""COMPUTED_VALUE"""),"PO Closed")</f>
        <v>PO Closed</v>
      </c>
      <c r="Q1338" s="6" t="str">
        <f>IFERROR(__xludf.DUMMYFUNCTION("""COMPUTED_VALUE"""),"GL2012010")</f>
        <v>GL2012010</v>
      </c>
      <c r="R1338" s="57">
        <f>IFERROR(__xludf.DUMMYFUNCTION("""COMPUTED_VALUE"""),44162.0)</f>
        <v>44162</v>
      </c>
      <c r="S1338" s="6" t="str">
        <f>IFERROR(__xludf.DUMMYFUNCTION("""COMPUTED_VALUE"""),"-")</f>
        <v>-</v>
      </c>
      <c r="T1338" s="57">
        <f>IFERROR(__xludf.DUMMYFUNCTION("""COMPUTED_VALUE"""),44196.0)</f>
        <v>44196</v>
      </c>
    </row>
    <row r="1339">
      <c r="A1339" s="6" t="str">
        <f>IFERROR(__xludf.DUMMYFUNCTION("""COMPUTED_VALUE"""),"201750453-2")</f>
        <v>201750453-2</v>
      </c>
      <c r="B1339" s="6" t="str">
        <f>IFERROR(__xludf.DUMMYFUNCTION("""COMPUTED_VALUE"""),"201750453 - Approved")</f>
        <v>201750453 - Approved</v>
      </c>
      <c r="C1339" s="6">
        <f>IFERROR(__xludf.DUMMYFUNCTION("""COMPUTED_VALUE"""),2.0)</f>
        <v>2</v>
      </c>
      <c r="D1339" s="6" t="str">
        <f>IFERROR(__xludf.DUMMYFUNCTION("""COMPUTED_VALUE"""),"R-20002-00")</f>
        <v>R-20002-00</v>
      </c>
      <c r="E1339" s="6" t="str">
        <f>IFERROR(__xludf.DUMMYFUNCTION("""COMPUTED_VALUE"""),"Flow Meter SHM Ultra Sonic (Chiller)")</f>
        <v>Flow Meter SHM Ultra Sonic (Chiller)</v>
      </c>
      <c r="F1339" s="6">
        <f>IFERROR(__xludf.DUMMYFUNCTION("""COMPUTED_VALUE"""),1.0)</f>
        <v>1</v>
      </c>
      <c r="G1339" s="6" t="str">
        <f>IFERROR(__xludf.DUMMYFUNCTION("""COMPUTED_VALUE"""),"Unit")</f>
        <v>Unit</v>
      </c>
      <c r="H1339" s="6" t="str">
        <f>IFERROR(__xludf.DUMMYFUNCTION("""COMPUTED_VALUE"""),"IDR")</f>
        <v>IDR</v>
      </c>
      <c r="I1339" s="6">
        <f>IFERROR(__xludf.DUMMYFUNCTION("""COMPUTED_VALUE"""),2.945E7)</f>
        <v>29450000</v>
      </c>
      <c r="J1339" s="6">
        <f>IFERROR(__xludf.DUMMYFUNCTION("""COMPUTED_VALUE"""),2.945E7)</f>
        <v>29450000</v>
      </c>
      <c r="K1339" s="57">
        <f>IFERROR(__xludf.DUMMYFUNCTION("""COMPUTED_VALUE"""),44196.0)</f>
        <v>44196</v>
      </c>
      <c r="L1339" s="6" t="str">
        <f>IFERROR(__xludf.DUMMYFUNCTION("""COMPUTED_VALUE"""),"FIP General")</f>
        <v>FIP General</v>
      </c>
      <c r="M1339" s="6" t="str">
        <f>IFERROR(__xludf.DUMMYFUNCTION("""COMPUTED_VALUE"""),"Ronald Effendi")</f>
        <v>Ronald Effendi</v>
      </c>
      <c r="N1339" s="6" t="str">
        <f>IFERROR(__xludf.DUMMYFUNCTION("""COMPUTED_VALUE"""),"FIP Engineering")</f>
        <v>FIP Engineering</v>
      </c>
      <c r="O1339" s="6" t="str">
        <f>IFERROR(__xludf.DUMMYFUNCTION("""COMPUTED_VALUE"""),"FIP-DOM-ENG-13405-EQ20001-INA-000000")</f>
        <v>FIP-DOM-ENG-13405-EQ20001-INA-000000</v>
      </c>
      <c r="P1339" s="6" t="str">
        <f>IFERROR(__xludf.DUMMYFUNCTION("""COMPUTED_VALUE"""),"PO Closed")</f>
        <v>PO Closed</v>
      </c>
      <c r="Q1339" s="6" t="str">
        <f>IFERROR(__xludf.DUMMYFUNCTION("""COMPUTED_VALUE"""),"GL2012011")</f>
        <v>GL2012011</v>
      </c>
      <c r="R1339" s="57">
        <f>IFERROR(__xludf.DUMMYFUNCTION("""COMPUTED_VALUE"""),44162.0)</f>
        <v>44162</v>
      </c>
      <c r="S1339" s="6" t="str">
        <f>IFERROR(__xludf.DUMMYFUNCTION("""COMPUTED_VALUE"""),"-")</f>
        <v>-</v>
      </c>
      <c r="T1339" s="57">
        <f>IFERROR(__xludf.DUMMYFUNCTION("""COMPUTED_VALUE"""),44196.0)</f>
        <v>44196</v>
      </c>
    </row>
    <row r="1340">
      <c r="A1340" s="6" t="str">
        <f>IFERROR(__xludf.DUMMYFUNCTION("""COMPUTED_VALUE"""),"201750472-1")</f>
        <v>201750472-1</v>
      </c>
      <c r="B1340" s="6" t="str">
        <f>IFERROR(__xludf.DUMMYFUNCTION("""COMPUTED_VALUE"""),"201750472 - Approved")</f>
        <v>201750472 - Approved</v>
      </c>
      <c r="C1340" s="6">
        <f>IFERROR(__xludf.DUMMYFUNCTION("""COMPUTED_VALUE"""),1.0)</f>
        <v>1</v>
      </c>
      <c r="D1340" s="6" t="str">
        <f>IFERROR(__xludf.DUMMYFUNCTION("""COMPUTED_VALUE"""),"O-17669-00")</f>
        <v>O-17669-00</v>
      </c>
      <c r="E1340" s="6" t="str">
        <f>IFERROR(__xludf.DUMMYFUNCTION("""COMPUTED_VALUE"""),"INPRO 6860i/12/120/nA, Operating Range : 8 ppb - 60% O2 Sat. Measured Pressure Resistance : 0 bar -; ; ;")</f>
        <v>INPRO 6860i/12/120/nA, Operating Range : 8 ppb - 60% O2 Sat. Measured Pressure Resistance : 0 bar -; ; ;</v>
      </c>
      <c r="F1340" s="6">
        <f>IFERROR(__xludf.DUMMYFUNCTION("""COMPUTED_VALUE"""),1.0)</f>
        <v>1</v>
      </c>
      <c r="G1340" s="6" t="str">
        <f>IFERROR(__xludf.DUMMYFUNCTION("""COMPUTED_VALUE"""),"Unit")</f>
        <v>Unit</v>
      </c>
      <c r="H1340" s="6" t="str">
        <f>IFERROR(__xludf.DUMMYFUNCTION("""COMPUTED_VALUE"""),"IDR")</f>
        <v>IDR</v>
      </c>
      <c r="I1340" s="6">
        <f>IFERROR(__xludf.DUMMYFUNCTION("""COMPUTED_VALUE"""),5.75262E7)</f>
        <v>57526200</v>
      </c>
      <c r="J1340" s="6">
        <f>IFERROR(__xludf.DUMMYFUNCTION("""COMPUTED_VALUE"""),5.75262E7)</f>
        <v>57526200</v>
      </c>
      <c r="K1340" s="57">
        <f>IFERROR(__xludf.DUMMYFUNCTION("""COMPUTED_VALUE"""),44225.0)</f>
        <v>44225</v>
      </c>
      <c r="L1340" s="6" t="str">
        <f>IFERROR(__xludf.DUMMYFUNCTION("""COMPUTED_VALUE"""),"FIP Engineering")</f>
        <v>FIP Engineering</v>
      </c>
      <c r="M1340" s="6" t="str">
        <f>IFERROR(__xludf.DUMMYFUNCTION("""COMPUTED_VALUE"""),"Irwan Sopian")</f>
        <v>Irwan Sopian</v>
      </c>
      <c r="N1340" s="6" t="str">
        <f>IFERROR(__xludf.DUMMYFUNCTION("""COMPUTED_VALUE"""),"FIP Engineering")</f>
        <v>FIP Engineering</v>
      </c>
      <c r="O1340" s="6" t="str">
        <f>IFERROR(__xludf.DUMMYFUNCTION("""COMPUTED_VALUE"""),"FIP-DOM-000-11304-OS00001-INA-000000")</f>
        <v>FIP-DOM-000-11304-OS00001-INA-000000</v>
      </c>
      <c r="P1340" s="6" t="str">
        <f>IFERROR(__xludf.DUMMYFUNCTION("""COMPUTED_VALUE"""),"PO Closed")</f>
        <v>PO Closed</v>
      </c>
      <c r="Q1340" s="6" t="str">
        <f>IFERROR(__xludf.DUMMYFUNCTION("""COMPUTED_VALUE"""),"GL2012040")</f>
        <v>GL2012040</v>
      </c>
      <c r="R1340" s="57">
        <f>IFERROR(__xludf.DUMMYFUNCTION("""COMPUTED_VALUE"""),44173.0)</f>
        <v>44173</v>
      </c>
      <c r="S1340" s="6" t="str">
        <f>IFERROR(__xludf.DUMMYFUNCTION("""COMPUTED_VALUE"""),"-")</f>
        <v>-</v>
      </c>
      <c r="T1340" s="6" t="str">
        <f>IFERROR(__xludf.DUMMYFUNCTION("""COMPUTED_VALUE"""),"-")</f>
        <v>-</v>
      </c>
    </row>
    <row r="1341">
      <c r="A1341" s="6" t="str">
        <f>IFERROR(__xludf.DUMMYFUNCTION("""COMPUTED_VALUE"""),"201750471-1")</f>
        <v>201750471-1</v>
      </c>
      <c r="B1341" s="6" t="str">
        <f>IFERROR(__xludf.DUMMYFUNCTION("""COMPUTED_VALUE"""),"201750471 - Approved")</f>
        <v>201750471 - Approved</v>
      </c>
      <c r="C1341" s="6">
        <f>IFERROR(__xludf.DUMMYFUNCTION("""COMPUTED_VALUE"""),1.0)</f>
        <v>1</v>
      </c>
      <c r="D1341" s="6" t="str">
        <f>IFERROR(__xludf.DUMMYFUNCTION("""COMPUTED_VALUE"""),"O-52336-00")</f>
        <v>O-52336-00</v>
      </c>
      <c r="E1341" s="6" t="str">
        <f>IFERROR(__xludf.DUMMYFUNCTION("""COMPUTED_VALUE"""),"Capping VCM200 - Encoder ARS60-A4A08192 10-32 VDC SICK")</f>
        <v>Capping VCM200 - Encoder ARS60-A4A08192 10-32 VDC SICK</v>
      </c>
      <c r="F1341" s="6">
        <f>IFERROR(__xludf.DUMMYFUNCTION("""COMPUTED_VALUE"""),1.0)</f>
        <v>1</v>
      </c>
      <c r="G1341" s="6" t="str">
        <f>IFERROR(__xludf.DUMMYFUNCTION("""COMPUTED_VALUE"""),"Pieces")</f>
        <v>Pieces</v>
      </c>
      <c r="H1341" s="6" t="str">
        <f>IFERROR(__xludf.DUMMYFUNCTION("""COMPUTED_VALUE"""),"IDR")</f>
        <v>IDR</v>
      </c>
      <c r="I1341" s="6">
        <f>IFERROR(__xludf.DUMMYFUNCTION("""COMPUTED_VALUE"""),1.2805636E7)</f>
        <v>12805636</v>
      </c>
      <c r="J1341" s="6">
        <f>IFERROR(__xludf.DUMMYFUNCTION("""COMPUTED_VALUE"""),1.2805636E7)</f>
        <v>12805636</v>
      </c>
      <c r="K1341" s="57">
        <f>IFERROR(__xludf.DUMMYFUNCTION("""COMPUTED_VALUE"""),44204.0)</f>
        <v>44204</v>
      </c>
      <c r="L1341" s="6" t="str">
        <f>IFERROR(__xludf.DUMMYFUNCTION("""COMPUTED_VALUE"""),"FIP Engineering")</f>
        <v>FIP Engineering</v>
      </c>
      <c r="M1341" s="6" t="str">
        <f>IFERROR(__xludf.DUMMYFUNCTION("""COMPUTED_VALUE"""),"Irwan Sopian")</f>
        <v>Irwan Sopian</v>
      </c>
      <c r="N1341" s="6" t="str">
        <f>IFERROR(__xludf.DUMMYFUNCTION("""COMPUTED_VALUE"""),"FIP Engineering")</f>
        <v>FIP Engineering</v>
      </c>
      <c r="O1341" s="6" t="str">
        <f>IFERROR(__xludf.DUMMYFUNCTION("""COMPUTED_VALUE"""),"FIP-DOM-000-11304-OS00001-INA-000000")</f>
        <v>FIP-DOM-000-11304-OS00001-INA-000000</v>
      </c>
      <c r="P1341" s="6" t="str">
        <f>IFERROR(__xludf.DUMMYFUNCTION("""COMPUTED_VALUE"""),"PO Closed")</f>
        <v>PO Closed</v>
      </c>
      <c r="Q1341" s="6" t="str">
        <f>IFERROR(__xludf.DUMMYFUNCTION("""COMPUTED_VALUE"""),"GL2012034")</f>
        <v>GL2012034</v>
      </c>
      <c r="R1341" s="57">
        <f>IFERROR(__xludf.DUMMYFUNCTION("""COMPUTED_VALUE"""),44173.0)</f>
        <v>44173</v>
      </c>
      <c r="S1341" s="6" t="str">
        <f>IFERROR(__xludf.DUMMYFUNCTION("""COMPUTED_VALUE"""),"-")</f>
        <v>-</v>
      </c>
      <c r="T1341" s="57">
        <f>IFERROR(__xludf.DUMMYFUNCTION("""COMPUTED_VALUE"""),44204.0)</f>
        <v>44204</v>
      </c>
    </row>
    <row r="1342">
      <c r="A1342" s="6" t="str">
        <f>IFERROR(__xludf.DUMMYFUNCTION("""COMPUTED_VALUE"""),"201750477-2")</f>
        <v>201750477-2</v>
      </c>
      <c r="B1342" s="6" t="str">
        <f>IFERROR(__xludf.DUMMYFUNCTION("""COMPUTED_VALUE"""),"201750477 - Approved")</f>
        <v>201750477 - Approved</v>
      </c>
      <c r="C1342" s="6">
        <f>IFERROR(__xludf.DUMMYFUNCTION("""COMPUTED_VALUE"""),2.0)</f>
        <v>2</v>
      </c>
      <c r="D1342" s="6" t="str">
        <f>IFERROR(__xludf.DUMMYFUNCTION("""COMPUTED_VALUE"""),"P-14457-00")</f>
        <v>P-14457-00</v>
      </c>
      <c r="E1342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1342" s="6">
        <f>IFERROR(__xludf.DUMMYFUNCTION("""COMPUTED_VALUE"""),14.0)</f>
        <v>14</v>
      </c>
      <c r="G1342" s="6" t="str">
        <f>IFERROR(__xludf.DUMMYFUNCTION("""COMPUTED_VALUE"""),"Pieces")</f>
        <v>Pieces</v>
      </c>
      <c r="H1342" s="6" t="str">
        <f>IFERROR(__xludf.DUMMYFUNCTION("""COMPUTED_VALUE"""),"IDR")</f>
        <v>IDR</v>
      </c>
      <c r="I1342" s="6">
        <f>IFERROR(__xludf.DUMMYFUNCTION("""COMPUTED_VALUE"""),1400000.0)</f>
        <v>1400000</v>
      </c>
      <c r="J1342" s="6">
        <f>IFERROR(__xludf.DUMMYFUNCTION("""COMPUTED_VALUE"""),1.96E7)</f>
        <v>19600000</v>
      </c>
      <c r="K1342" s="57">
        <f>IFERROR(__xludf.DUMMYFUNCTION("""COMPUTED_VALUE"""),44194.0)</f>
        <v>44194</v>
      </c>
      <c r="L1342" s="6" t="str">
        <f>IFERROR(__xludf.DUMMYFUNCTION("""COMPUTED_VALUE"""),"FIP Engineering")</f>
        <v>FIP Engineering</v>
      </c>
      <c r="M1342" s="6" t="str">
        <f>IFERROR(__xludf.DUMMYFUNCTION("""COMPUTED_VALUE"""),"Irwan Sopian")</f>
        <v>Irwan Sopian</v>
      </c>
      <c r="N1342" s="6" t="str">
        <f>IFERROR(__xludf.DUMMYFUNCTION("""COMPUTED_VALUE"""),"FIP Engineering")</f>
        <v>FIP Engineering</v>
      </c>
      <c r="O1342" s="6" t="str">
        <f>IFERROR(__xludf.DUMMYFUNCTION("""COMPUTED_VALUE"""),"FIP-DOM-000-11304-OS00001-INA-000000")</f>
        <v>FIP-DOM-000-11304-OS00001-INA-000000</v>
      </c>
      <c r="P1342" s="6" t="str">
        <f>IFERROR(__xludf.DUMMYFUNCTION("""COMPUTED_VALUE"""),"PO Closed")</f>
        <v>PO Closed</v>
      </c>
      <c r="Q1342" s="6" t="str">
        <f>IFERROR(__xludf.DUMMYFUNCTION("""COMPUTED_VALUE"""),"GL2012030")</f>
        <v>GL2012030</v>
      </c>
      <c r="R1342" s="57">
        <f>IFERROR(__xludf.DUMMYFUNCTION("""COMPUTED_VALUE"""),44180.0)</f>
        <v>44180</v>
      </c>
      <c r="S1342" s="6" t="str">
        <f>IFERROR(__xludf.DUMMYFUNCTION("""COMPUTED_VALUE"""),"-")</f>
        <v>-</v>
      </c>
      <c r="T1342" s="57">
        <f>IFERROR(__xludf.DUMMYFUNCTION("""COMPUTED_VALUE"""),44196.0)</f>
        <v>44196</v>
      </c>
    </row>
    <row r="1343">
      <c r="A1343" s="6" t="str">
        <f>IFERROR(__xludf.DUMMYFUNCTION("""COMPUTED_VALUE"""),"201750477-3")</f>
        <v>201750477-3</v>
      </c>
      <c r="B1343" s="6" t="str">
        <f>IFERROR(__xludf.DUMMYFUNCTION("""COMPUTED_VALUE"""),"201750477 - Approved")</f>
        <v>201750477 - Approved</v>
      </c>
      <c r="C1343" s="6">
        <f>IFERROR(__xludf.DUMMYFUNCTION("""COMPUTED_VALUE"""),3.0)</f>
        <v>3</v>
      </c>
      <c r="D1343" s="6" t="str">
        <f>IFERROR(__xludf.DUMMYFUNCTION("""COMPUTED_VALUE"""),"P-14455-00")</f>
        <v>P-14455-00</v>
      </c>
      <c r="E1343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1343" s="6">
        <f>IFERROR(__xludf.DUMMYFUNCTION("""COMPUTED_VALUE"""),6.0)</f>
        <v>6</v>
      </c>
      <c r="G1343" s="6" t="str">
        <f>IFERROR(__xludf.DUMMYFUNCTION("""COMPUTED_VALUE"""),"Pieces")</f>
        <v>Pieces</v>
      </c>
      <c r="H1343" s="6" t="str">
        <f>IFERROR(__xludf.DUMMYFUNCTION("""COMPUTED_VALUE"""),"IDR")</f>
        <v>IDR</v>
      </c>
      <c r="I1343" s="6">
        <f>IFERROR(__xludf.DUMMYFUNCTION("""COMPUTED_VALUE"""),1400000.0)</f>
        <v>1400000</v>
      </c>
      <c r="J1343" s="6">
        <f>IFERROR(__xludf.DUMMYFUNCTION("""COMPUTED_VALUE"""),8400000.0)</f>
        <v>8400000</v>
      </c>
      <c r="K1343" s="57">
        <f>IFERROR(__xludf.DUMMYFUNCTION("""COMPUTED_VALUE"""),44194.0)</f>
        <v>44194</v>
      </c>
      <c r="L1343" s="6" t="str">
        <f>IFERROR(__xludf.DUMMYFUNCTION("""COMPUTED_VALUE"""),"FIP Engineering")</f>
        <v>FIP Engineering</v>
      </c>
      <c r="M1343" s="6" t="str">
        <f>IFERROR(__xludf.DUMMYFUNCTION("""COMPUTED_VALUE"""),"Irwan Sopian")</f>
        <v>Irwan Sopian</v>
      </c>
      <c r="N1343" s="6" t="str">
        <f>IFERROR(__xludf.DUMMYFUNCTION("""COMPUTED_VALUE"""),"FIP Engineering")</f>
        <v>FIP Engineering</v>
      </c>
      <c r="O1343" s="6" t="str">
        <f>IFERROR(__xludf.DUMMYFUNCTION("""COMPUTED_VALUE"""),"FIP-DOM-000-11304-OS00001-INA-000000")</f>
        <v>FIP-DOM-000-11304-OS00001-INA-000000</v>
      </c>
      <c r="P1343" s="6" t="str">
        <f>IFERROR(__xludf.DUMMYFUNCTION("""COMPUTED_VALUE"""),"PO Closed")</f>
        <v>PO Closed</v>
      </c>
      <c r="Q1343" s="6" t="str">
        <f>IFERROR(__xludf.DUMMYFUNCTION("""COMPUTED_VALUE"""),"GL2012030")</f>
        <v>GL2012030</v>
      </c>
      <c r="R1343" s="57">
        <f>IFERROR(__xludf.DUMMYFUNCTION("""COMPUTED_VALUE"""),44180.0)</f>
        <v>44180</v>
      </c>
      <c r="S1343" s="6" t="str">
        <f>IFERROR(__xludf.DUMMYFUNCTION("""COMPUTED_VALUE"""),"-")</f>
        <v>-</v>
      </c>
      <c r="T1343" s="57">
        <f>IFERROR(__xludf.DUMMYFUNCTION("""COMPUTED_VALUE"""),44196.0)</f>
        <v>44196</v>
      </c>
    </row>
    <row r="1344">
      <c r="A1344" s="6" t="str">
        <f>IFERROR(__xludf.DUMMYFUNCTION("""COMPUTED_VALUE"""),"201750477-4")</f>
        <v>201750477-4</v>
      </c>
      <c r="B1344" s="6" t="str">
        <f>IFERROR(__xludf.DUMMYFUNCTION("""COMPUTED_VALUE"""),"201750477 - Approved")</f>
        <v>201750477 - Approved</v>
      </c>
      <c r="C1344" s="6">
        <f>IFERROR(__xludf.DUMMYFUNCTION("""COMPUTED_VALUE"""),4.0)</f>
        <v>4</v>
      </c>
      <c r="D1344" s="6" t="str">
        <f>IFERROR(__xludf.DUMMYFUNCTION("""COMPUTED_VALUE"""),"P-14456-00")</f>
        <v>P-14456-00</v>
      </c>
      <c r="E1344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1344" s="6">
        <f>IFERROR(__xludf.DUMMYFUNCTION("""COMPUTED_VALUE"""),6.0)</f>
        <v>6</v>
      </c>
      <c r="G1344" s="6" t="str">
        <f>IFERROR(__xludf.DUMMYFUNCTION("""COMPUTED_VALUE"""),"Pieces")</f>
        <v>Pieces</v>
      </c>
      <c r="H1344" s="6" t="str">
        <f>IFERROR(__xludf.DUMMYFUNCTION("""COMPUTED_VALUE"""),"IDR")</f>
        <v>IDR</v>
      </c>
      <c r="I1344" s="6">
        <f>IFERROR(__xludf.DUMMYFUNCTION("""COMPUTED_VALUE"""),980000.0)</f>
        <v>980000</v>
      </c>
      <c r="J1344" s="6">
        <f>IFERROR(__xludf.DUMMYFUNCTION("""COMPUTED_VALUE"""),5880000.0)</f>
        <v>5880000</v>
      </c>
      <c r="K1344" s="57">
        <f>IFERROR(__xludf.DUMMYFUNCTION("""COMPUTED_VALUE"""),44194.0)</f>
        <v>44194</v>
      </c>
      <c r="L1344" s="6" t="str">
        <f>IFERROR(__xludf.DUMMYFUNCTION("""COMPUTED_VALUE"""),"FIP Engineering")</f>
        <v>FIP Engineering</v>
      </c>
      <c r="M1344" s="6" t="str">
        <f>IFERROR(__xludf.DUMMYFUNCTION("""COMPUTED_VALUE"""),"Irwan Sopian")</f>
        <v>Irwan Sopian</v>
      </c>
      <c r="N1344" s="6" t="str">
        <f>IFERROR(__xludf.DUMMYFUNCTION("""COMPUTED_VALUE"""),"FIP Engineering")</f>
        <v>FIP Engineering</v>
      </c>
      <c r="O1344" s="6" t="str">
        <f>IFERROR(__xludf.DUMMYFUNCTION("""COMPUTED_VALUE"""),"FIP-DOM-000-11304-OS00001-INA-000000")</f>
        <v>FIP-DOM-000-11304-OS00001-INA-000000</v>
      </c>
      <c r="P1344" s="6" t="str">
        <f>IFERROR(__xludf.DUMMYFUNCTION("""COMPUTED_VALUE"""),"PO Closed")</f>
        <v>PO Closed</v>
      </c>
      <c r="Q1344" s="6" t="str">
        <f>IFERROR(__xludf.DUMMYFUNCTION("""COMPUTED_VALUE"""),"GL2012029")</f>
        <v>GL2012029</v>
      </c>
      <c r="R1344" s="57">
        <f>IFERROR(__xludf.DUMMYFUNCTION("""COMPUTED_VALUE"""),44180.0)</f>
        <v>44180</v>
      </c>
      <c r="S1344" s="6" t="str">
        <f>IFERROR(__xludf.DUMMYFUNCTION("""COMPUTED_VALUE"""),"-")</f>
        <v>-</v>
      </c>
      <c r="T1344" s="57">
        <f>IFERROR(__xludf.DUMMYFUNCTION("""COMPUTED_VALUE"""),44195.0)</f>
        <v>44195</v>
      </c>
    </row>
    <row r="1345">
      <c r="A1345" s="6" t="str">
        <f>IFERROR(__xludf.DUMMYFUNCTION("""COMPUTED_VALUE"""),"201750477-5")</f>
        <v>201750477-5</v>
      </c>
      <c r="B1345" s="6" t="str">
        <f>IFERROR(__xludf.DUMMYFUNCTION("""COMPUTED_VALUE"""),"201750477 - Approved")</f>
        <v>201750477 - Approved</v>
      </c>
      <c r="C1345" s="6">
        <f>IFERROR(__xludf.DUMMYFUNCTION("""COMPUTED_VALUE"""),5.0)</f>
        <v>5</v>
      </c>
      <c r="D1345" s="6" t="str">
        <f>IFERROR(__xludf.DUMMYFUNCTION("""COMPUTED_VALUE"""),"P-14454-00")</f>
        <v>P-14454-00</v>
      </c>
      <c r="E1345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F1345" s="6">
        <f>IFERROR(__xludf.DUMMYFUNCTION("""COMPUTED_VALUE"""),10.0)</f>
        <v>10</v>
      </c>
      <c r="G1345" s="6" t="str">
        <f>IFERROR(__xludf.DUMMYFUNCTION("""COMPUTED_VALUE"""),"Pieces")</f>
        <v>Pieces</v>
      </c>
      <c r="H1345" s="6" t="str">
        <f>IFERROR(__xludf.DUMMYFUNCTION("""COMPUTED_VALUE"""),"IDR")</f>
        <v>IDR</v>
      </c>
      <c r="I1345" s="6">
        <f>IFERROR(__xludf.DUMMYFUNCTION("""COMPUTED_VALUE"""),910000.0)</f>
        <v>910000</v>
      </c>
      <c r="J1345" s="6">
        <f>IFERROR(__xludf.DUMMYFUNCTION("""COMPUTED_VALUE"""),9100000.0)</f>
        <v>9100000</v>
      </c>
      <c r="K1345" s="57">
        <f>IFERROR(__xludf.DUMMYFUNCTION("""COMPUTED_VALUE"""),44194.0)</f>
        <v>44194</v>
      </c>
      <c r="L1345" s="6" t="str">
        <f>IFERROR(__xludf.DUMMYFUNCTION("""COMPUTED_VALUE"""),"FIP Engineering")</f>
        <v>FIP Engineering</v>
      </c>
      <c r="M1345" s="6" t="str">
        <f>IFERROR(__xludf.DUMMYFUNCTION("""COMPUTED_VALUE"""),"Irwan Sopian")</f>
        <v>Irwan Sopian</v>
      </c>
      <c r="N1345" s="6" t="str">
        <f>IFERROR(__xludf.DUMMYFUNCTION("""COMPUTED_VALUE"""),"FIP Engineering")</f>
        <v>FIP Engineering</v>
      </c>
      <c r="O1345" s="6" t="str">
        <f>IFERROR(__xludf.DUMMYFUNCTION("""COMPUTED_VALUE"""),"FIP-DOM-000-11304-OS00001-INA-000000")</f>
        <v>FIP-DOM-000-11304-OS00001-INA-000000</v>
      </c>
      <c r="P1345" s="6" t="str">
        <f>IFERROR(__xludf.DUMMYFUNCTION("""COMPUTED_VALUE"""),"PO Closed")</f>
        <v>PO Closed</v>
      </c>
      <c r="Q1345" s="6" t="str">
        <f>IFERROR(__xludf.DUMMYFUNCTION("""COMPUTED_VALUE"""),"GL2012029")</f>
        <v>GL2012029</v>
      </c>
      <c r="R1345" s="57">
        <f>IFERROR(__xludf.DUMMYFUNCTION("""COMPUTED_VALUE"""),44180.0)</f>
        <v>44180</v>
      </c>
      <c r="S1345" s="6" t="str">
        <f>IFERROR(__xludf.DUMMYFUNCTION("""COMPUTED_VALUE"""),"-")</f>
        <v>-</v>
      </c>
      <c r="T1345" s="57">
        <f>IFERROR(__xludf.DUMMYFUNCTION("""COMPUTED_VALUE"""),44195.0)</f>
        <v>44195</v>
      </c>
    </row>
    <row r="1346">
      <c r="A1346" s="6" t="str">
        <f>IFERROR(__xludf.DUMMYFUNCTION("""COMPUTED_VALUE"""),"201750477-6")</f>
        <v>201750477-6</v>
      </c>
      <c r="B1346" s="6" t="str">
        <f>IFERROR(__xludf.DUMMYFUNCTION("""COMPUTED_VALUE"""),"201750477 - Approved")</f>
        <v>201750477 - Approved</v>
      </c>
      <c r="C1346" s="6">
        <f>IFERROR(__xludf.DUMMYFUNCTION("""COMPUTED_VALUE"""),6.0)</f>
        <v>6</v>
      </c>
      <c r="D1346" s="6" t="str">
        <f>IFERROR(__xludf.DUMMYFUNCTION("""COMPUTED_VALUE"""),"P-14453-00")</f>
        <v>P-14453-00</v>
      </c>
      <c r="E1346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F1346" s="6">
        <f>IFERROR(__xludf.DUMMYFUNCTION("""COMPUTED_VALUE"""),9.0)</f>
        <v>9</v>
      </c>
      <c r="G1346" s="6" t="str">
        <f>IFERROR(__xludf.DUMMYFUNCTION("""COMPUTED_VALUE"""),"Pieces")</f>
        <v>Pieces</v>
      </c>
      <c r="H1346" s="6" t="str">
        <f>IFERROR(__xludf.DUMMYFUNCTION("""COMPUTED_VALUE"""),"IDR")</f>
        <v>IDR</v>
      </c>
      <c r="I1346" s="6">
        <f>IFERROR(__xludf.DUMMYFUNCTION("""COMPUTED_VALUE"""),1400000.0)</f>
        <v>1400000</v>
      </c>
      <c r="J1346" s="6">
        <f>IFERROR(__xludf.DUMMYFUNCTION("""COMPUTED_VALUE"""),1.26E7)</f>
        <v>12600000</v>
      </c>
      <c r="K1346" s="57">
        <f>IFERROR(__xludf.DUMMYFUNCTION("""COMPUTED_VALUE"""),44194.0)</f>
        <v>44194</v>
      </c>
      <c r="L1346" s="6" t="str">
        <f>IFERROR(__xludf.DUMMYFUNCTION("""COMPUTED_VALUE"""),"FIP Engineering")</f>
        <v>FIP Engineering</v>
      </c>
      <c r="M1346" s="6" t="str">
        <f>IFERROR(__xludf.DUMMYFUNCTION("""COMPUTED_VALUE"""),"Irwan Sopian")</f>
        <v>Irwan Sopian</v>
      </c>
      <c r="N1346" s="6" t="str">
        <f>IFERROR(__xludf.DUMMYFUNCTION("""COMPUTED_VALUE"""),"FIP Engineering")</f>
        <v>FIP Engineering</v>
      </c>
      <c r="O1346" s="6" t="str">
        <f>IFERROR(__xludf.DUMMYFUNCTION("""COMPUTED_VALUE"""),"FIP-DOM-000-11304-OS00001-INA-000000")</f>
        <v>FIP-DOM-000-11304-OS00001-INA-000000</v>
      </c>
      <c r="P1346" s="6" t="str">
        <f>IFERROR(__xludf.DUMMYFUNCTION("""COMPUTED_VALUE"""),"PO Closed")</f>
        <v>PO Closed</v>
      </c>
      <c r="Q1346" s="6" t="str">
        <f>IFERROR(__xludf.DUMMYFUNCTION("""COMPUTED_VALUE"""),"GL2012030")</f>
        <v>GL2012030</v>
      </c>
      <c r="R1346" s="57">
        <f>IFERROR(__xludf.DUMMYFUNCTION("""COMPUTED_VALUE"""),44180.0)</f>
        <v>44180</v>
      </c>
      <c r="S1346" s="6" t="str">
        <f>IFERROR(__xludf.DUMMYFUNCTION("""COMPUTED_VALUE"""),"-")</f>
        <v>-</v>
      </c>
      <c r="T1346" s="57">
        <f>IFERROR(__xludf.DUMMYFUNCTION("""COMPUTED_VALUE"""),44196.0)</f>
        <v>44196</v>
      </c>
    </row>
    <row r="1347">
      <c r="A1347" s="6" t="str">
        <f>IFERROR(__xludf.DUMMYFUNCTION("""COMPUTED_VALUE"""),"201750477-6")</f>
        <v>201750477-6</v>
      </c>
      <c r="B1347" s="6" t="str">
        <f>IFERROR(__xludf.DUMMYFUNCTION("""COMPUTED_VALUE"""),"201750477 - Approved")</f>
        <v>201750477 - Approved</v>
      </c>
      <c r="C1347" s="6">
        <f>IFERROR(__xludf.DUMMYFUNCTION("""COMPUTED_VALUE"""),6.0)</f>
        <v>6</v>
      </c>
      <c r="D1347" s="6" t="str">
        <f>IFERROR(__xludf.DUMMYFUNCTION("""COMPUTED_VALUE"""),"P-14458-00")</f>
        <v>P-14458-00</v>
      </c>
      <c r="E1347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1347" s="6">
        <f>IFERROR(__xludf.DUMMYFUNCTION("""COMPUTED_VALUE"""),6.0)</f>
        <v>6</v>
      </c>
      <c r="G1347" s="6" t="str">
        <f>IFERROR(__xludf.DUMMYFUNCTION("""COMPUTED_VALUE"""),"Pieces")</f>
        <v>Pieces</v>
      </c>
      <c r="H1347" s="6" t="str">
        <f>IFERROR(__xludf.DUMMYFUNCTION("""COMPUTED_VALUE"""),"IDR")</f>
        <v>IDR</v>
      </c>
      <c r="I1347" s="6">
        <f>IFERROR(__xludf.DUMMYFUNCTION("""COMPUTED_VALUE"""),1050000.0)</f>
        <v>1050000</v>
      </c>
      <c r="J1347" s="6">
        <f>IFERROR(__xludf.DUMMYFUNCTION("""COMPUTED_VALUE"""),6300000.0)</f>
        <v>6300000</v>
      </c>
      <c r="K1347" s="57">
        <f>IFERROR(__xludf.DUMMYFUNCTION("""COMPUTED_VALUE"""),44194.0)</f>
        <v>44194</v>
      </c>
      <c r="L1347" s="6" t="str">
        <f>IFERROR(__xludf.DUMMYFUNCTION("""COMPUTED_VALUE"""),"FIP Engineering")</f>
        <v>FIP Engineering</v>
      </c>
      <c r="M1347" s="6" t="str">
        <f>IFERROR(__xludf.DUMMYFUNCTION("""COMPUTED_VALUE"""),"Irwan Sopian")</f>
        <v>Irwan Sopian</v>
      </c>
      <c r="N1347" s="6" t="str">
        <f>IFERROR(__xludf.DUMMYFUNCTION("""COMPUTED_VALUE"""),"FIP Engineering")</f>
        <v>FIP Engineering</v>
      </c>
      <c r="O1347" s="6" t="str">
        <f>IFERROR(__xludf.DUMMYFUNCTION("""COMPUTED_VALUE"""),"FIP-DOM-000-11304-OS00001-INA-000000")</f>
        <v>FIP-DOM-000-11304-OS00001-INA-000000</v>
      </c>
      <c r="P1347" s="6" t="str">
        <f>IFERROR(__xludf.DUMMYFUNCTION("""COMPUTED_VALUE"""),"PO Closed")</f>
        <v>PO Closed</v>
      </c>
      <c r="Q1347" s="6" t="str">
        <f>IFERROR(__xludf.DUMMYFUNCTION("""COMPUTED_VALUE"""),"GL2012029")</f>
        <v>GL2012029</v>
      </c>
      <c r="R1347" s="57">
        <f>IFERROR(__xludf.DUMMYFUNCTION("""COMPUTED_VALUE"""),44180.0)</f>
        <v>44180</v>
      </c>
      <c r="S1347" s="6" t="str">
        <f>IFERROR(__xludf.DUMMYFUNCTION("""COMPUTED_VALUE"""),"-")</f>
        <v>-</v>
      </c>
      <c r="T1347" s="57">
        <f>IFERROR(__xludf.DUMMYFUNCTION("""COMPUTED_VALUE"""),44195.0)</f>
        <v>44195</v>
      </c>
    </row>
    <row r="1348">
      <c r="A1348" s="6" t="str">
        <f>IFERROR(__xludf.DUMMYFUNCTION("""COMPUTED_VALUE"""),"201750479-1")</f>
        <v>201750479-1</v>
      </c>
      <c r="B1348" s="6" t="str">
        <f>IFERROR(__xludf.DUMMYFUNCTION("""COMPUTED_VALUE"""),"201750479 - Approved")</f>
        <v>201750479 - Approved</v>
      </c>
      <c r="C1348" s="6">
        <f>IFERROR(__xludf.DUMMYFUNCTION("""COMPUTED_VALUE"""),1.0)</f>
        <v>1</v>
      </c>
      <c r="D1348" s="6" t="str">
        <f>IFERROR(__xludf.DUMMYFUNCTION("""COMPUTED_VALUE"""),"P-17640-00")</f>
        <v>P-17640-00</v>
      </c>
      <c r="E1348" s="6" t="str">
        <f>IFERROR(__xludf.DUMMYFUNCTION("""COMPUTED_VALUE"""),"Flowmeter Fortex TP SS316 2 1/2 Inch,220 VAC, Modbus RS485; SHM; ;")</f>
        <v>Flowmeter Fortex TP SS316 2 1/2 Inch,220 VAC, Modbus RS485; SHM; ;</v>
      </c>
      <c r="F1348" s="6">
        <f>IFERROR(__xludf.DUMMYFUNCTION("""COMPUTED_VALUE"""),1.0)</f>
        <v>1</v>
      </c>
      <c r="G1348" s="6" t="str">
        <f>IFERROR(__xludf.DUMMYFUNCTION("""COMPUTED_VALUE"""),"Unit")</f>
        <v>Unit</v>
      </c>
      <c r="H1348" s="6" t="str">
        <f>IFERROR(__xludf.DUMMYFUNCTION("""COMPUTED_VALUE"""),"IDR")</f>
        <v>IDR</v>
      </c>
      <c r="I1348" s="6">
        <f>IFERROR(__xludf.DUMMYFUNCTION("""COMPUTED_VALUE"""),2.5535E7)</f>
        <v>25535000</v>
      </c>
      <c r="J1348" s="6">
        <f>IFERROR(__xludf.DUMMYFUNCTION("""COMPUTED_VALUE"""),2.5535E7)</f>
        <v>25535000</v>
      </c>
      <c r="K1348" s="57">
        <f>IFERROR(__xludf.DUMMYFUNCTION("""COMPUTED_VALUE"""),44195.0)</f>
        <v>44195</v>
      </c>
      <c r="L1348" s="6" t="str">
        <f>IFERROR(__xludf.DUMMYFUNCTION("""COMPUTED_VALUE"""),"FIP General")</f>
        <v>FIP General</v>
      </c>
      <c r="M1348" s="6" t="str">
        <f>IFERROR(__xludf.DUMMYFUNCTION("""COMPUTED_VALUE"""),"Irwan Sopian")</f>
        <v>Irwan Sopian</v>
      </c>
      <c r="N1348" s="6" t="str">
        <f>IFERROR(__xludf.DUMMYFUNCTION("""COMPUTED_VALUE"""),"FIP Engineering")</f>
        <v>FIP Engineering</v>
      </c>
      <c r="O1348" s="6" t="str">
        <f>IFERROR(__xludf.DUMMYFUNCTION("""COMPUTED_VALUE"""),"FIP-DOM-ENG-51504-0000000-INA-000000")</f>
        <v>FIP-DOM-ENG-51504-0000000-INA-000000</v>
      </c>
      <c r="P1348" s="6" t="str">
        <f>IFERROR(__xludf.DUMMYFUNCTION("""COMPUTED_VALUE"""),"PO Closed")</f>
        <v>PO Closed</v>
      </c>
      <c r="Q1348" s="6" t="str">
        <f>IFERROR(__xludf.DUMMYFUNCTION("""COMPUTED_VALUE"""),"GL2012033")</f>
        <v>GL2012033</v>
      </c>
      <c r="R1348" s="57">
        <f>IFERROR(__xludf.DUMMYFUNCTION("""COMPUTED_VALUE"""),44181.0)</f>
        <v>44181</v>
      </c>
      <c r="S1348" s="6" t="str">
        <f>IFERROR(__xludf.DUMMYFUNCTION("""COMPUTED_VALUE"""),"-")</f>
        <v>-</v>
      </c>
      <c r="T1348" s="57">
        <f>IFERROR(__xludf.DUMMYFUNCTION("""COMPUTED_VALUE"""),44195.0)</f>
        <v>44195</v>
      </c>
    </row>
    <row r="1349">
      <c r="A1349" s="6" t="str">
        <f>IFERROR(__xludf.DUMMYFUNCTION("""COMPUTED_VALUE"""),"201750478-1")</f>
        <v>201750478-1</v>
      </c>
      <c r="B1349" s="6" t="str">
        <f>IFERROR(__xludf.DUMMYFUNCTION("""COMPUTED_VALUE"""),"201750478 - Approved")</f>
        <v>201750478 - Approved</v>
      </c>
      <c r="C1349" s="6">
        <f>IFERROR(__xludf.DUMMYFUNCTION("""COMPUTED_VALUE"""),1.0)</f>
        <v>1</v>
      </c>
      <c r="D1349" s="6" t="str">
        <f>IFERROR(__xludf.DUMMYFUNCTION("""COMPUTED_VALUE"""),"P-13603-00")</f>
        <v>P-13603-00</v>
      </c>
      <c r="E1349" s="6" t="str">
        <f>IFERROR(__xludf.DUMMYFUNCTION("""COMPUTED_VALUE"""),"PW Generator Austar - RO Membranes BW30-400 DOW")</f>
        <v>PW Generator Austar - RO Membranes BW30-400 DOW</v>
      </c>
      <c r="F1349" s="6">
        <f>IFERROR(__xludf.DUMMYFUNCTION("""COMPUTED_VALUE"""),6.0)</f>
        <v>6</v>
      </c>
      <c r="G1349" s="6" t="str">
        <f>IFERROR(__xludf.DUMMYFUNCTION("""COMPUTED_VALUE"""),"Pieces")</f>
        <v>Pieces</v>
      </c>
      <c r="H1349" s="6" t="str">
        <f>IFERROR(__xludf.DUMMYFUNCTION("""COMPUTED_VALUE"""),"IDR")</f>
        <v>IDR</v>
      </c>
      <c r="I1349" s="6">
        <f>IFERROR(__xludf.DUMMYFUNCTION("""COMPUTED_VALUE"""),9500000.0)</f>
        <v>9500000</v>
      </c>
      <c r="J1349" s="6">
        <f>IFERROR(__xludf.DUMMYFUNCTION("""COMPUTED_VALUE"""),5.7E7)</f>
        <v>57000000</v>
      </c>
      <c r="K1349" s="57">
        <f>IFERROR(__xludf.DUMMYFUNCTION("""COMPUTED_VALUE"""),44195.0)</f>
        <v>44195</v>
      </c>
      <c r="L1349" s="6" t="str">
        <f>IFERROR(__xludf.DUMMYFUNCTION("""COMPUTED_VALUE"""),"FIP Engineering")</f>
        <v>FIP Engineering</v>
      </c>
      <c r="M1349" s="6" t="str">
        <f>IFERROR(__xludf.DUMMYFUNCTION("""COMPUTED_VALUE"""),"Irwan Sopian")</f>
        <v>Irwan Sopian</v>
      </c>
      <c r="N1349" s="6" t="str">
        <f>IFERROR(__xludf.DUMMYFUNCTION("""COMPUTED_VALUE"""),"FIP Engineering")</f>
        <v>FIP Engineering</v>
      </c>
      <c r="O1349" s="6" t="str">
        <f>IFERROR(__xludf.DUMMYFUNCTION("""COMPUTED_VALUE"""),"FIP-DOM-000-11304-OS00001-INA-000000")</f>
        <v>FIP-DOM-000-11304-OS00001-INA-000000</v>
      </c>
      <c r="P1349" s="6" t="str">
        <f>IFERROR(__xludf.DUMMYFUNCTION("""COMPUTED_VALUE"""),"PO Closed")</f>
        <v>PO Closed</v>
      </c>
      <c r="Q1349" s="6" t="str">
        <f>IFERROR(__xludf.DUMMYFUNCTION("""COMPUTED_VALUE"""),"GL2012031")</f>
        <v>GL2012031</v>
      </c>
      <c r="R1349" s="57">
        <f>IFERROR(__xludf.DUMMYFUNCTION("""COMPUTED_VALUE"""),44181.0)</f>
        <v>44181</v>
      </c>
      <c r="S1349" s="6" t="str">
        <f>IFERROR(__xludf.DUMMYFUNCTION("""COMPUTED_VALUE"""),"-")</f>
        <v>-</v>
      </c>
      <c r="T1349" s="57">
        <f>IFERROR(__xludf.DUMMYFUNCTION("""COMPUTED_VALUE"""),43861.0)</f>
        <v>43861</v>
      </c>
    </row>
    <row r="1350">
      <c r="A1350" s="6" t="str">
        <f>IFERROR(__xludf.DUMMYFUNCTION("""COMPUTED_VALUE"""),"201750483-1")</f>
        <v>201750483-1</v>
      </c>
      <c r="B1350" s="6" t="str">
        <f>IFERROR(__xludf.DUMMYFUNCTION("""COMPUTED_VALUE"""),"201750483 - Approved")</f>
        <v>201750483 - Approved</v>
      </c>
      <c r="C1350" s="6">
        <f>IFERROR(__xludf.DUMMYFUNCTION("""COMPUTED_VALUE"""),1.0)</f>
        <v>1</v>
      </c>
      <c r="D1350" s="6" t="str">
        <f>IFERROR(__xludf.DUMMYFUNCTION("""COMPUTED_VALUE"""),"Q-11000-00")</f>
        <v>Q-11000-00</v>
      </c>
      <c r="E1350" s="6" t="str">
        <f>IFERROR(__xludf.DUMMYFUNCTION("""COMPUTED_VALUE"""),"Pembuatan Mount Wall Acrylic Ukuran A1")</f>
        <v>Pembuatan Mount Wall Acrylic Ukuran A1</v>
      </c>
      <c r="F1350" s="6">
        <f>IFERROR(__xludf.DUMMYFUNCTION("""COMPUTED_VALUE"""),10.0)</f>
        <v>10</v>
      </c>
      <c r="G1350" s="6" t="str">
        <f>IFERROR(__xludf.DUMMYFUNCTION("""COMPUTED_VALUE"""),"Lot")</f>
        <v>Lot</v>
      </c>
      <c r="H1350" s="6" t="str">
        <f>IFERROR(__xludf.DUMMYFUNCTION("""COMPUTED_VALUE"""),"IDR")</f>
        <v>IDR</v>
      </c>
      <c r="I1350" s="6">
        <f>IFERROR(__xludf.DUMMYFUNCTION("""COMPUTED_VALUE"""),997500.0)</f>
        <v>997500</v>
      </c>
      <c r="J1350" s="6">
        <f>IFERROR(__xludf.DUMMYFUNCTION("""COMPUTED_VALUE"""),9975000.0)</f>
        <v>9975000</v>
      </c>
      <c r="K1350" s="57">
        <f>IFERROR(__xludf.DUMMYFUNCTION("""COMPUTED_VALUE"""),44196.0)</f>
        <v>44196</v>
      </c>
      <c r="L1350" s="6" t="str">
        <f>IFERROR(__xludf.DUMMYFUNCTION("""COMPUTED_VALUE"""),"FIP General")</f>
        <v>FIP General</v>
      </c>
      <c r="M1350" s="6" t="str">
        <f>IFERROR(__xludf.DUMMYFUNCTION("""COMPUTED_VALUE"""),"Irwan Sopian")</f>
        <v>Irwan Sopian</v>
      </c>
      <c r="N1350" s="6" t="str">
        <f>IFERROR(__xludf.DUMMYFUNCTION("""COMPUTED_VALUE"""),"FIP Engineering")</f>
        <v>FIP Engineering</v>
      </c>
      <c r="O1350" s="6" t="str">
        <f>IFERROR(__xludf.DUMMYFUNCTION("""COMPUTED_VALUE"""),"FIP-DOM-ENG-51502-0000000-INA-000000")</f>
        <v>FIP-DOM-ENG-51502-0000000-INA-000000</v>
      </c>
      <c r="P1350" s="6" t="str">
        <f>IFERROR(__xludf.DUMMYFUNCTION("""COMPUTED_VALUE"""),"PO Closed")</f>
        <v>PO Closed</v>
      </c>
      <c r="Q1350" s="6" t="str">
        <f>IFERROR(__xludf.DUMMYFUNCTION("""COMPUTED_VALUE"""),"-")</f>
        <v>-</v>
      </c>
      <c r="R1350" s="57">
        <f>IFERROR(__xludf.DUMMYFUNCTION("""COMPUTED_VALUE"""),44193.0)</f>
        <v>44193</v>
      </c>
      <c r="S1350" s="6" t="str">
        <f>IFERROR(__xludf.DUMMYFUNCTION("""COMPUTED_VALUE"""),"-")</f>
        <v>-</v>
      </c>
      <c r="T1350" s="57">
        <f>IFERROR(__xludf.DUMMYFUNCTION("""COMPUTED_VALUE"""),44200.0)</f>
        <v>44200</v>
      </c>
    </row>
    <row r="1351">
      <c r="A1351" s="6" t="str">
        <f>IFERROR(__xludf.DUMMYFUNCTION("""COMPUTED_VALUE"""),"201750486-1")</f>
        <v>201750486-1</v>
      </c>
      <c r="B1351" s="6" t="str">
        <f>IFERROR(__xludf.DUMMYFUNCTION("""COMPUTED_VALUE"""),"201750486 - Approved")</f>
        <v>201750486 - Approved</v>
      </c>
      <c r="C1351" s="6">
        <f>IFERROR(__xludf.DUMMYFUNCTION("""COMPUTED_VALUE"""),1.0)</f>
        <v>1</v>
      </c>
      <c r="D1351" s="6" t="str">
        <f>IFERROR(__xludf.DUMMYFUNCTION("""COMPUTED_VALUE"""),"O-17810-00")</f>
        <v>O-17810-00</v>
      </c>
      <c r="E1351" s="6" t="str">
        <f>IFERROR(__xludf.DUMMYFUNCTION("""COMPUTED_VALUE"""),"25TC PTFE Diaphragm for Flush Bottom Outlet Valve NA25/25")</f>
        <v>25TC PTFE Diaphragm for Flush Bottom Outlet Valve NA25/25</v>
      </c>
      <c r="F1351" s="6">
        <f>IFERROR(__xludf.DUMMYFUNCTION("""COMPUTED_VALUE"""),2.0)</f>
        <v>2</v>
      </c>
      <c r="G1351" s="6" t="str">
        <f>IFERROR(__xludf.DUMMYFUNCTION("""COMPUTED_VALUE"""),"Pieces")</f>
        <v>Pieces</v>
      </c>
      <c r="H1351" s="6" t="str">
        <f>IFERROR(__xludf.DUMMYFUNCTION("""COMPUTED_VALUE"""),"USD")</f>
        <v>USD</v>
      </c>
      <c r="I1351" s="6">
        <f>IFERROR(__xludf.DUMMYFUNCTION("""COMPUTED_VALUE"""),395.0)</f>
        <v>395</v>
      </c>
      <c r="J1351" s="6">
        <f>IFERROR(__xludf.DUMMYFUNCTION("""COMPUTED_VALUE"""),790.0)</f>
        <v>790</v>
      </c>
      <c r="K1351" s="57">
        <f>IFERROR(__xludf.DUMMYFUNCTION("""COMPUTED_VALUE"""),44225.0)</f>
        <v>44225</v>
      </c>
      <c r="L1351" s="6" t="str">
        <f>IFERROR(__xludf.DUMMYFUNCTION("""COMPUTED_VALUE"""),"FIP Engineering")</f>
        <v>FIP Engineering</v>
      </c>
      <c r="M1351" s="6" t="str">
        <f>IFERROR(__xludf.DUMMYFUNCTION("""COMPUTED_VALUE"""),"Irwan Sopian")</f>
        <v>Irwan Sopian</v>
      </c>
      <c r="N1351" s="6" t="str">
        <f>IFERROR(__xludf.DUMMYFUNCTION("""COMPUTED_VALUE"""),"FIP Engineering")</f>
        <v>FIP Engineering</v>
      </c>
      <c r="O1351" s="6" t="str">
        <f>IFERROR(__xludf.DUMMYFUNCTION("""COMPUTED_VALUE"""),"FIP-DOM-000-11304-OS00001-INA-000000")</f>
        <v>FIP-DOM-000-11304-OS00001-INA-000000</v>
      </c>
      <c r="P1351" s="6" t="str">
        <f>IFERROR(__xludf.DUMMYFUNCTION("""COMPUTED_VALUE"""),"PO Closed")</f>
        <v>PO Closed</v>
      </c>
      <c r="Q1351" s="6" t="str">
        <f>IFERROR(__xludf.DUMMYFUNCTION("""COMPUTED_VALUE"""),"GL2101002")</f>
        <v>GL2101002</v>
      </c>
      <c r="R1351" s="57">
        <f>IFERROR(__xludf.DUMMYFUNCTION("""COMPUTED_VALUE"""),44194.0)</f>
        <v>44194</v>
      </c>
      <c r="S1351" s="6" t="str">
        <f>IFERROR(__xludf.DUMMYFUNCTION("""COMPUTED_VALUE"""),"-")</f>
        <v>-</v>
      </c>
      <c r="T1351" s="57">
        <f>IFERROR(__xludf.DUMMYFUNCTION("""COMPUTED_VALUE"""),44255.0)</f>
        <v>44255</v>
      </c>
    </row>
    <row r="1352">
      <c r="A1352" s="6" t="str">
        <f>IFERROR(__xludf.DUMMYFUNCTION("""COMPUTED_VALUE"""),"211750010-1")</f>
        <v>211750010-1</v>
      </c>
      <c r="B1352" s="6" t="str">
        <f>IFERROR(__xludf.DUMMYFUNCTION("""COMPUTED_VALUE"""),"211750010 - Approved")</f>
        <v>211750010 - Approved</v>
      </c>
      <c r="C1352" s="6">
        <f>IFERROR(__xludf.DUMMYFUNCTION("""COMPUTED_VALUE"""),1.0)</f>
        <v>1</v>
      </c>
      <c r="D1352" s="6" t="str">
        <f>IFERROR(__xludf.DUMMYFUNCTION("""COMPUTED_VALUE"""),"O-60001-00")</f>
        <v>O-60001-00</v>
      </c>
      <c r="E1352" s="6" t="str">
        <f>IFERROR(__xludf.DUMMYFUNCTION("""COMPUTED_VALUE"""),"Remote Service ""Counter Problem"" Mesin Capping")</f>
        <v>Remote Service "Counter Problem" Mesin Capping</v>
      </c>
      <c r="F1352" s="6">
        <f>IFERROR(__xludf.DUMMYFUNCTION("""COMPUTED_VALUE"""),1.0)</f>
        <v>1</v>
      </c>
      <c r="G1352" s="6" t="str">
        <f>IFERROR(__xludf.DUMMYFUNCTION("""COMPUTED_VALUE"""),"Lot")</f>
        <v>Lot</v>
      </c>
      <c r="H1352" s="6" t="str">
        <f>IFERROR(__xludf.DUMMYFUNCTION("""COMPUTED_VALUE"""),"EUR")</f>
        <v>EUR</v>
      </c>
      <c r="I1352" s="6">
        <f>IFERROR(__xludf.DUMMYFUNCTION("""COMPUTED_VALUE"""),1024.0)</f>
        <v>1024</v>
      </c>
      <c r="J1352" s="6">
        <f>IFERROR(__xludf.DUMMYFUNCTION("""COMPUTED_VALUE"""),1024.0)</f>
        <v>1024</v>
      </c>
      <c r="K1352" s="57">
        <f>IFERROR(__xludf.DUMMYFUNCTION("""COMPUTED_VALUE"""),44232.0)</f>
        <v>44232</v>
      </c>
      <c r="L1352" s="6" t="str">
        <f>IFERROR(__xludf.DUMMYFUNCTION("""COMPUTED_VALUE"""),"FIP General")</f>
        <v>FIP General</v>
      </c>
      <c r="M1352" s="6" t="str">
        <f>IFERROR(__xludf.DUMMYFUNCTION("""COMPUTED_VALUE"""),"Irwan Sopian")</f>
        <v>Irwan Sopian</v>
      </c>
      <c r="N1352" s="6" t="str">
        <f>IFERROR(__xludf.DUMMYFUNCTION("""COMPUTED_VALUE"""),"FIP Engineering")</f>
        <v>FIP Engineering</v>
      </c>
      <c r="O1352" s="6" t="str">
        <f>IFERROR(__xludf.DUMMYFUNCTION("""COMPUTED_VALUE"""),"FIP-DOM-ENG-51504-0000000-INA-000000")</f>
        <v>FIP-DOM-ENG-51504-0000000-INA-000000</v>
      </c>
      <c r="P1352" s="6" t="str">
        <f>IFERROR(__xludf.DUMMYFUNCTION("""COMPUTED_VALUE"""),"PO Closed")</f>
        <v>PO Closed</v>
      </c>
      <c r="Q1352" s="6" t="str">
        <f>IFERROR(__xludf.DUMMYFUNCTION("""COMPUTED_VALUE"""),"GL2102017")</f>
        <v>GL2102017</v>
      </c>
      <c r="R1352" s="57">
        <f>IFERROR(__xludf.DUMMYFUNCTION("""COMPUTED_VALUE"""),44202.0)</f>
        <v>44202</v>
      </c>
      <c r="S1352" s="6" t="str">
        <f>IFERROR(__xludf.DUMMYFUNCTION("""COMPUTED_VALUE"""),"-")</f>
        <v>-</v>
      </c>
      <c r="T1352" s="57">
        <f>IFERROR(__xludf.DUMMYFUNCTION("""COMPUTED_VALUE"""),44255.0)</f>
        <v>44255</v>
      </c>
    </row>
    <row r="1353">
      <c r="A1353" s="6" t="str">
        <f>IFERROR(__xludf.DUMMYFUNCTION("""COMPUTED_VALUE"""),"211750020-1")</f>
        <v>211750020-1</v>
      </c>
      <c r="B1353" s="6" t="str">
        <f>IFERROR(__xludf.DUMMYFUNCTION("""COMPUTED_VALUE"""),"211750020 - Approved")</f>
        <v>211750020 - Approved</v>
      </c>
      <c r="C1353" s="6">
        <f>IFERROR(__xludf.DUMMYFUNCTION("""COMPUTED_VALUE"""),1.0)</f>
        <v>1</v>
      </c>
      <c r="D1353" s="6" t="str">
        <f>IFERROR(__xludf.DUMMYFUNCTION("""COMPUTED_VALUE"""),"O-17812-00")</f>
        <v>O-17812-00</v>
      </c>
      <c r="E1353" s="6" t="str">
        <f>IFERROR(__xludf.DUMMYFUNCTION("""COMPUTED_VALUE"""),"Filter LSC Photometer ATI 2i P/N : 5500180-B")</f>
        <v>Filter LSC Photometer ATI 2i P/N : 5500180-B</v>
      </c>
      <c r="F1353" s="6">
        <f>IFERROR(__xludf.DUMMYFUNCTION("""COMPUTED_VALUE"""),1.0)</f>
        <v>1</v>
      </c>
      <c r="G1353" s="6" t="str">
        <f>IFERROR(__xludf.DUMMYFUNCTION("""COMPUTED_VALUE"""),"Unit")</f>
        <v>Unit</v>
      </c>
      <c r="H1353" s="6" t="str">
        <f>IFERROR(__xludf.DUMMYFUNCTION("""COMPUTED_VALUE"""),"IDR")</f>
        <v>IDR</v>
      </c>
      <c r="I1353" s="6">
        <f>IFERROR(__xludf.DUMMYFUNCTION("""COMPUTED_VALUE"""),9775000.0)</f>
        <v>9775000</v>
      </c>
      <c r="J1353" s="6">
        <f>IFERROR(__xludf.DUMMYFUNCTION("""COMPUTED_VALUE"""),9775000.0)</f>
        <v>9775000</v>
      </c>
      <c r="K1353" s="57">
        <f>IFERROR(__xludf.DUMMYFUNCTION("""COMPUTED_VALUE"""),44232.0)</f>
        <v>44232</v>
      </c>
      <c r="L1353" s="6" t="str">
        <f>IFERROR(__xludf.DUMMYFUNCTION("""COMPUTED_VALUE"""),"FIP General")</f>
        <v>FIP General</v>
      </c>
      <c r="M1353" s="6" t="str">
        <f>IFERROR(__xludf.DUMMYFUNCTION("""COMPUTED_VALUE"""),"Irwan Sopian")</f>
        <v>Irwan Sopian</v>
      </c>
      <c r="N1353" s="6" t="str">
        <f>IFERROR(__xludf.DUMMYFUNCTION("""COMPUTED_VALUE"""),"FIP Engineering")</f>
        <v>FIP Engineering</v>
      </c>
      <c r="O1353" s="6" t="str">
        <f>IFERROR(__xludf.DUMMYFUNCTION("""COMPUTED_VALUE"""),"FIP-DOM-ENG-51504-0000000-INA-000000")</f>
        <v>FIP-DOM-ENG-51504-0000000-INA-000000</v>
      </c>
      <c r="P1353" s="6" t="str">
        <f>IFERROR(__xludf.DUMMYFUNCTION("""COMPUTED_VALUE"""),"PO Closed")</f>
        <v>PO Closed</v>
      </c>
      <c r="Q1353" s="6" t="str">
        <f>IFERROR(__xludf.DUMMYFUNCTION("""COMPUTED_VALUE"""),"GL2102007")</f>
        <v>GL2102007</v>
      </c>
      <c r="R1353" s="57">
        <f>IFERROR(__xludf.DUMMYFUNCTION("""COMPUTED_VALUE"""),44207.0)</f>
        <v>44207</v>
      </c>
      <c r="S1353" s="6" t="str">
        <f>IFERROR(__xludf.DUMMYFUNCTION("""COMPUTED_VALUE"""),"-")</f>
        <v>-</v>
      </c>
      <c r="T1353" s="57">
        <f>IFERROR(__xludf.DUMMYFUNCTION("""COMPUTED_VALUE"""),44265.0)</f>
        <v>44265</v>
      </c>
    </row>
    <row r="1354">
      <c r="A1354" s="6" t="str">
        <f>IFERROR(__xludf.DUMMYFUNCTION("""COMPUTED_VALUE"""),"211750018-1")</f>
        <v>211750018-1</v>
      </c>
      <c r="B1354" s="6" t="str">
        <f>IFERROR(__xludf.DUMMYFUNCTION("""COMPUTED_VALUE"""),"211750018 - Approved")</f>
        <v>211750018 - Approved</v>
      </c>
      <c r="C1354" s="6">
        <f>IFERROR(__xludf.DUMMYFUNCTION("""COMPUTED_VALUE"""),1.0)</f>
        <v>1</v>
      </c>
      <c r="D1354" s="6" t="str">
        <f>IFERROR(__xludf.DUMMYFUNCTION("""COMPUTED_VALUE"""),"O-52430-00")</f>
        <v>O-52430-00</v>
      </c>
      <c r="E1354" s="6" t="str">
        <f>IFERROR(__xludf.DUMMYFUNCTION("""COMPUTED_VALUE"""),"Fan KDE2405PFB1-8 SUNON")</f>
        <v>Fan KDE2405PFB1-8 SUNON</v>
      </c>
      <c r="F1354" s="6">
        <f>IFERROR(__xludf.DUMMYFUNCTION("""COMPUTED_VALUE"""),5.0)</f>
        <v>5</v>
      </c>
      <c r="G1354" s="6" t="str">
        <f>IFERROR(__xludf.DUMMYFUNCTION("""COMPUTED_VALUE"""),"Pieces")</f>
        <v>Pieces</v>
      </c>
      <c r="H1354" s="6" t="str">
        <f>IFERROR(__xludf.DUMMYFUNCTION("""COMPUTED_VALUE"""),"IDR")</f>
        <v>IDR</v>
      </c>
      <c r="I1354" s="6">
        <f>IFERROR(__xludf.DUMMYFUNCTION("""COMPUTED_VALUE"""),215000.0)</f>
        <v>215000</v>
      </c>
      <c r="J1354" s="6">
        <f>IFERROR(__xludf.DUMMYFUNCTION("""COMPUTED_VALUE"""),1075000.0)</f>
        <v>1075000</v>
      </c>
      <c r="K1354" s="57">
        <f>IFERROR(__xludf.DUMMYFUNCTION("""COMPUTED_VALUE"""),44232.0)</f>
        <v>44232</v>
      </c>
      <c r="L1354" s="6" t="str">
        <f>IFERROR(__xludf.DUMMYFUNCTION("""COMPUTED_VALUE"""),"FIP Engineering")</f>
        <v>FIP Engineering</v>
      </c>
      <c r="M1354" s="6" t="str">
        <f>IFERROR(__xludf.DUMMYFUNCTION("""COMPUTED_VALUE"""),"Irwan Sopian")</f>
        <v>Irwan Sopian</v>
      </c>
      <c r="N1354" s="6" t="str">
        <f>IFERROR(__xludf.DUMMYFUNCTION("""COMPUTED_VALUE"""),"FIP Engineering")</f>
        <v>FIP Engineering</v>
      </c>
      <c r="O1354" s="6" t="str">
        <f>IFERROR(__xludf.DUMMYFUNCTION("""COMPUTED_VALUE"""),"FIP-DOM-000-11304-OS00001-INA-000000")</f>
        <v>FIP-DOM-000-11304-OS00001-INA-000000</v>
      </c>
      <c r="P1354" s="6" t="str">
        <f>IFERROR(__xludf.DUMMYFUNCTION("""COMPUTED_VALUE"""),"PO Closed")</f>
        <v>PO Closed</v>
      </c>
      <c r="Q1354" s="6" t="str">
        <f>IFERROR(__xludf.DUMMYFUNCTION("""COMPUTED_VALUE"""),"GL2102006")</f>
        <v>GL2102006</v>
      </c>
      <c r="R1354" s="57">
        <f>IFERROR(__xludf.DUMMYFUNCTION("""COMPUTED_VALUE"""),44207.0)</f>
        <v>44207</v>
      </c>
      <c r="S1354" s="6" t="str">
        <f>IFERROR(__xludf.DUMMYFUNCTION("""COMPUTED_VALUE"""),"-")</f>
        <v>-</v>
      </c>
      <c r="T1354" s="57">
        <f>IFERROR(__xludf.DUMMYFUNCTION("""COMPUTED_VALUE"""),44247.0)</f>
        <v>44247</v>
      </c>
    </row>
    <row r="1355">
      <c r="A1355" s="6" t="str">
        <f>IFERROR(__xludf.DUMMYFUNCTION("""COMPUTED_VALUE"""),"211750018-2")</f>
        <v>211750018-2</v>
      </c>
      <c r="B1355" s="6" t="str">
        <f>IFERROR(__xludf.DUMMYFUNCTION("""COMPUTED_VALUE"""),"211750018 - Approved")</f>
        <v>211750018 - Approved</v>
      </c>
      <c r="C1355" s="6">
        <f>IFERROR(__xludf.DUMMYFUNCTION("""COMPUTED_VALUE"""),2.0)</f>
        <v>2</v>
      </c>
      <c r="D1355" s="6" t="str">
        <f>IFERROR(__xludf.DUMMYFUNCTION("""COMPUTED_VALUE"""),"P-50325-00")</f>
        <v>P-50325-00</v>
      </c>
      <c r="E1355" s="6" t="str">
        <f>IFERROR(__xludf.DUMMYFUNCTION("""COMPUTED_VALUE"""),"Limit Switch Z - 15GQ 22 - B 15 A / 125 / 250 VAC Highly")</f>
        <v>Limit Switch Z - 15GQ 22 - B 15 A / 125 / 250 VAC Highly</v>
      </c>
      <c r="F1355" s="6">
        <f>IFERROR(__xludf.DUMMYFUNCTION("""COMPUTED_VALUE"""),3.0)</f>
        <v>3</v>
      </c>
      <c r="G1355" s="6" t="str">
        <f>IFERROR(__xludf.DUMMYFUNCTION("""COMPUTED_VALUE"""),"Pieces")</f>
        <v>Pieces</v>
      </c>
      <c r="H1355" s="6" t="str">
        <f>IFERROR(__xludf.DUMMYFUNCTION("""COMPUTED_VALUE"""),"IDR")</f>
        <v>IDR</v>
      </c>
      <c r="I1355" s="6">
        <f>IFERROR(__xludf.DUMMYFUNCTION("""COMPUTED_VALUE"""),250000.0)</f>
        <v>250000</v>
      </c>
      <c r="J1355" s="6">
        <f>IFERROR(__xludf.DUMMYFUNCTION("""COMPUTED_VALUE"""),750000.0)</f>
        <v>750000</v>
      </c>
      <c r="K1355" s="57">
        <f>IFERROR(__xludf.DUMMYFUNCTION("""COMPUTED_VALUE"""),44232.0)</f>
        <v>44232</v>
      </c>
      <c r="L1355" s="6" t="str">
        <f>IFERROR(__xludf.DUMMYFUNCTION("""COMPUTED_VALUE"""),"FIP Engineering")</f>
        <v>FIP Engineering</v>
      </c>
      <c r="M1355" s="6" t="str">
        <f>IFERROR(__xludf.DUMMYFUNCTION("""COMPUTED_VALUE"""),"Irwan Sopian")</f>
        <v>Irwan Sopian</v>
      </c>
      <c r="N1355" s="6" t="str">
        <f>IFERROR(__xludf.DUMMYFUNCTION("""COMPUTED_VALUE"""),"FIP Engineering")</f>
        <v>FIP Engineering</v>
      </c>
      <c r="O1355" s="6" t="str">
        <f>IFERROR(__xludf.DUMMYFUNCTION("""COMPUTED_VALUE"""),"FIP-DOM-000-11304-OS00001-INA-000000")</f>
        <v>FIP-DOM-000-11304-OS00001-INA-000000</v>
      </c>
      <c r="P1355" s="6" t="str">
        <f>IFERROR(__xludf.DUMMYFUNCTION("""COMPUTED_VALUE"""),"PO Closed")</f>
        <v>PO Closed</v>
      </c>
      <c r="Q1355" s="6" t="str">
        <f>IFERROR(__xludf.DUMMYFUNCTION("""COMPUTED_VALUE"""),"GL2102006")</f>
        <v>GL2102006</v>
      </c>
      <c r="R1355" s="57">
        <f>IFERROR(__xludf.DUMMYFUNCTION("""COMPUTED_VALUE"""),44207.0)</f>
        <v>44207</v>
      </c>
      <c r="S1355" s="6" t="str">
        <f>IFERROR(__xludf.DUMMYFUNCTION("""COMPUTED_VALUE"""),"-")</f>
        <v>-</v>
      </c>
      <c r="T1355" s="57">
        <f>IFERROR(__xludf.DUMMYFUNCTION("""COMPUTED_VALUE"""),44247.0)</f>
        <v>44247</v>
      </c>
    </row>
    <row r="1356">
      <c r="A1356" s="6" t="str">
        <f>IFERROR(__xludf.DUMMYFUNCTION("""COMPUTED_VALUE"""),"211750022-1")</f>
        <v>211750022-1</v>
      </c>
      <c r="B1356" s="6" t="str">
        <f>IFERROR(__xludf.DUMMYFUNCTION("""COMPUTED_VALUE"""),"211750022 - Approved")</f>
        <v>211750022 - Approved</v>
      </c>
      <c r="C1356" s="6">
        <f>IFERROR(__xludf.DUMMYFUNCTION("""COMPUTED_VALUE"""),1.0)</f>
        <v>1</v>
      </c>
      <c r="D1356" s="6" t="str">
        <f>IFERROR(__xludf.DUMMYFUNCTION("""COMPUTED_VALUE"""),"O-15718-00")</f>
        <v>O-15718-00</v>
      </c>
      <c r="E1356" s="6" t="str">
        <f>IFERROR(__xludf.DUMMYFUNCTION("""COMPUTED_VALUE"""),"SYNTHETIC FOOD GRADE, CRC, NSF H1")</f>
        <v>SYNTHETIC FOOD GRADE, CRC, NSF H1</v>
      </c>
      <c r="F1356" s="6">
        <f>IFERROR(__xludf.DUMMYFUNCTION("""COMPUTED_VALUE"""),1.0)</f>
        <v>1</v>
      </c>
      <c r="G1356" s="6" t="str">
        <f>IFERROR(__xludf.DUMMYFUNCTION("""COMPUTED_VALUE"""),"Pieces")</f>
        <v>Pieces</v>
      </c>
      <c r="H1356" s="6" t="str">
        <f>IFERROR(__xludf.DUMMYFUNCTION("""COMPUTED_VALUE"""),"IDR")</f>
        <v>IDR</v>
      </c>
      <c r="I1356" s="6">
        <f>IFERROR(__xludf.DUMMYFUNCTION("""COMPUTED_VALUE"""),280000.0)</f>
        <v>280000</v>
      </c>
      <c r="J1356" s="6">
        <f>IFERROR(__xludf.DUMMYFUNCTION("""COMPUTED_VALUE"""),280000.0)</f>
        <v>280000</v>
      </c>
      <c r="K1356" s="57">
        <f>IFERROR(__xludf.DUMMYFUNCTION("""COMPUTED_VALUE"""),44246.0)</f>
        <v>44246</v>
      </c>
      <c r="L1356" s="6" t="str">
        <f>IFERROR(__xludf.DUMMYFUNCTION("""COMPUTED_VALUE"""),"FIP Engineering")</f>
        <v>FIP Engineering</v>
      </c>
      <c r="M1356" s="6" t="str">
        <f>IFERROR(__xludf.DUMMYFUNCTION("""COMPUTED_VALUE"""),"Joko Nugroho")</f>
        <v>Joko Nugroho</v>
      </c>
      <c r="N1356" s="6" t="str">
        <f>IFERROR(__xludf.DUMMYFUNCTION("""COMPUTED_VALUE"""),"FIP Engineering")</f>
        <v>FIP Engineering</v>
      </c>
      <c r="O1356" s="6" t="str">
        <f>IFERROR(__xludf.DUMMYFUNCTION("""COMPUTED_VALUE"""),"FIP-DOM-000-11304-OS00001-INA-000000")</f>
        <v>FIP-DOM-000-11304-OS00001-INA-000000</v>
      </c>
      <c r="P1356" s="6" t="str">
        <f>IFERROR(__xludf.DUMMYFUNCTION("""COMPUTED_VALUE"""),"PO Closed")</f>
        <v>PO Closed</v>
      </c>
      <c r="Q1356" s="6" t="str">
        <f>IFERROR(__xludf.DUMMYFUNCTION("""COMPUTED_VALUE"""),"GL2102005")</f>
        <v>GL2102005</v>
      </c>
      <c r="R1356" s="57">
        <f>IFERROR(__xludf.DUMMYFUNCTION("""COMPUTED_VALUE"""),44208.0)</f>
        <v>44208</v>
      </c>
      <c r="S1356" s="6" t="str">
        <f>IFERROR(__xludf.DUMMYFUNCTION("""COMPUTED_VALUE"""),"-")</f>
        <v>-</v>
      </c>
      <c r="T1356" s="57">
        <f>IFERROR(__xludf.DUMMYFUNCTION("""COMPUTED_VALUE"""),44240.0)</f>
        <v>44240</v>
      </c>
    </row>
    <row r="1357">
      <c r="A1357" s="6" t="str">
        <f>IFERROR(__xludf.DUMMYFUNCTION("""COMPUTED_VALUE"""),"211750022-3")</f>
        <v>211750022-3</v>
      </c>
      <c r="B1357" s="6" t="str">
        <f>IFERROR(__xludf.DUMMYFUNCTION("""COMPUTED_VALUE"""),"211750022 - Approved")</f>
        <v>211750022 - Approved</v>
      </c>
      <c r="C1357" s="6">
        <f>IFERROR(__xludf.DUMMYFUNCTION("""COMPUTED_VALUE"""),3.0)</f>
        <v>3</v>
      </c>
      <c r="D1357" s="6" t="str">
        <f>IFERROR(__xludf.DUMMYFUNCTION("""COMPUTED_VALUE"""),"P-10945-00")</f>
        <v>P-10945-00</v>
      </c>
      <c r="E1357" s="6" t="str">
        <f>IFERROR(__xludf.DUMMYFUNCTION("""COMPUTED_VALUE"""),"Insulation - Seal Tape onda")</f>
        <v>Insulation - Seal Tape onda</v>
      </c>
      <c r="F1357" s="6">
        <f>IFERROR(__xludf.DUMMYFUNCTION("""COMPUTED_VALUE"""),10.0)</f>
        <v>10</v>
      </c>
      <c r="G1357" s="6" t="str">
        <f>IFERROR(__xludf.DUMMYFUNCTION("""COMPUTED_VALUE"""),"Pieces")</f>
        <v>Pieces</v>
      </c>
      <c r="H1357" s="6" t="str">
        <f>IFERROR(__xludf.DUMMYFUNCTION("""COMPUTED_VALUE"""),"IDR")</f>
        <v>IDR</v>
      </c>
      <c r="I1357" s="6">
        <f>IFERROR(__xludf.DUMMYFUNCTION("""COMPUTED_VALUE"""),3000.0)</f>
        <v>3000</v>
      </c>
      <c r="J1357" s="6">
        <f>IFERROR(__xludf.DUMMYFUNCTION("""COMPUTED_VALUE"""),30000.0)</f>
        <v>30000</v>
      </c>
      <c r="K1357" s="57">
        <f>IFERROR(__xludf.DUMMYFUNCTION("""COMPUTED_VALUE"""),44239.0)</f>
        <v>44239</v>
      </c>
      <c r="L1357" s="6" t="str">
        <f>IFERROR(__xludf.DUMMYFUNCTION("""COMPUTED_VALUE"""),"FIP Engineering")</f>
        <v>FIP Engineering</v>
      </c>
      <c r="M1357" s="6" t="str">
        <f>IFERROR(__xludf.DUMMYFUNCTION("""COMPUTED_VALUE"""),"Joko Nugroho")</f>
        <v>Joko Nugroho</v>
      </c>
      <c r="N1357" s="6" t="str">
        <f>IFERROR(__xludf.DUMMYFUNCTION("""COMPUTED_VALUE"""),"FIP Engineering")</f>
        <v>FIP Engineering</v>
      </c>
      <c r="O1357" s="6" t="str">
        <f>IFERROR(__xludf.DUMMYFUNCTION("""COMPUTED_VALUE"""),"FIP-DOM-000-11304-OS00001-INA-000000")</f>
        <v>FIP-DOM-000-11304-OS00001-INA-000000</v>
      </c>
      <c r="P1357" s="6" t="str">
        <f>IFERROR(__xludf.DUMMYFUNCTION("""COMPUTED_VALUE"""),"PO Closed")</f>
        <v>PO Closed</v>
      </c>
      <c r="Q1357" s="6" t="str">
        <f>IFERROR(__xludf.DUMMYFUNCTION("""COMPUTED_VALUE"""),"GL2102005")</f>
        <v>GL2102005</v>
      </c>
      <c r="R1357" s="57">
        <f>IFERROR(__xludf.DUMMYFUNCTION("""COMPUTED_VALUE"""),44208.0)</f>
        <v>44208</v>
      </c>
      <c r="S1357" s="6" t="str">
        <f>IFERROR(__xludf.DUMMYFUNCTION("""COMPUTED_VALUE"""),"-")</f>
        <v>-</v>
      </c>
      <c r="T1357" s="57">
        <f>IFERROR(__xludf.DUMMYFUNCTION("""COMPUTED_VALUE"""),44240.0)</f>
        <v>44240</v>
      </c>
    </row>
    <row r="1358">
      <c r="A1358" s="6" t="str">
        <f>IFERROR(__xludf.DUMMYFUNCTION("""COMPUTED_VALUE"""),"211750022-4")</f>
        <v>211750022-4</v>
      </c>
      <c r="B1358" s="6" t="str">
        <f>IFERROR(__xludf.DUMMYFUNCTION("""COMPUTED_VALUE"""),"211750022 - Approved")</f>
        <v>211750022 - Approved</v>
      </c>
      <c r="C1358" s="6">
        <f>IFERROR(__xludf.DUMMYFUNCTION("""COMPUTED_VALUE"""),4.0)</f>
        <v>4</v>
      </c>
      <c r="D1358" s="6" t="str">
        <f>IFERROR(__xludf.DUMMYFUNCTION("""COMPUTED_VALUE"""),"P-15438-00")</f>
        <v>P-15438-00</v>
      </c>
      <c r="E1358" s="6" t="str">
        <f>IFERROR(__xludf.DUMMYFUNCTION("""COMPUTED_VALUE"""),"CABLE SPIRAL WRAPPING, TYPE KS12, BRAND KSS; ; ;")</f>
        <v>CABLE SPIRAL WRAPPING, TYPE KS12, BRAND KSS; ; ;</v>
      </c>
      <c r="F1358" s="6">
        <f>IFERROR(__xludf.DUMMYFUNCTION("""COMPUTED_VALUE"""),1.0)</f>
        <v>1</v>
      </c>
      <c r="G1358" s="6" t="str">
        <f>IFERROR(__xludf.DUMMYFUNCTION("""COMPUTED_VALUE"""),"Pack")</f>
        <v>Pack</v>
      </c>
      <c r="H1358" s="6" t="str">
        <f>IFERROR(__xludf.DUMMYFUNCTION("""COMPUTED_VALUE"""),"IDR")</f>
        <v>IDR</v>
      </c>
      <c r="I1358" s="6">
        <f>IFERROR(__xludf.DUMMYFUNCTION("""COMPUTED_VALUE"""),40000.0)</f>
        <v>40000</v>
      </c>
      <c r="J1358" s="6">
        <f>IFERROR(__xludf.DUMMYFUNCTION("""COMPUTED_VALUE"""),40000.0)</f>
        <v>40000</v>
      </c>
      <c r="K1358" s="57">
        <f>IFERROR(__xludf.DUMMYFUNCTION("""COMPUTED_VALUE"""),44239.0)</f>
        <v>44239</v>
      </c>
      <c r="L1358" s="6" t="str">
        <f>IFERROR(__xludf.DUMMYFUNCTION("""COMPUTED_VALUE"""),"FIP Engineering")</f>
        <v>FIP Engineering</v>
      </c>
      <c r="M1358" s="6" t="str">
        <f>IFERROR(__xludf.DUMMYFUNCTION("""COMPUTED_VALUE"""),"Joko Nugroho")</f>
        <v>Joko Nugroho</v>
      </c>
      <c r="N1358" s="6" t="str">
        <f>IFERROR(__xludf.DUMMYFUNCTION("""COMPUTED_VALUE"""),"FIP Engineering")</f>
        <v>FIP Engineering</v>
      </c>
      <c r="O1358" s="6" t="str">
        <f>IFERROR(__xludf.DUMMYFUNCTION("""COMPUTED_VALUE"""),"FIP-DOM-000-11304-OS00001-INA-000000")</f>
        <v>FIP-DOM-000-11304-OS00001-INA-000000</v>
      </c>
      <c r="P1358" s="6" t="str">
        <f>IFERROR(__xludf.DUMMYFUNCTION("""COMPUTED_VALUE"""),"PO Closed")</f>
        <v>PO Closed</v>
      </c>
      <c r="Q1358" s="6" t="str">
        <f>IFERROR(__xludf.DUMMYFUNCTION("""COMPUTED_VALUE"""),"GL2102005")</f>
        <v>GL2102005</v>
      </c>
      <c r="R1358" s="57">
        <f>IFERROR(__xludf.DUMMYFUNCTION("""COMPUTED_VALUE"""),44208.0)</f>
        <v>44208</v>
      </c>
      <c r="S1358" s="6" t="str">
        <f>IFERROR(__xludf.DUMMYFUNCTION("""COMPUTED_VALUE"""),"-")</f>
        <v>-</v>
      </c>
      <c r="T1358" s="57">
        <f>IFERROR(__xludf.DUMMYFUNCTION("""COMPUTED_VALUE"""),44240.0)</f>
        <v>44240</v>
      </c>
    </row>
    <row r="1359">
      <c r="A1359" s="6" t="str">
        <f>IFERROR(__xludf.DUMMYFUNCTION("""COMPUTED_VALUE"""),"211750022-6")</f>
        <v>211750022-6</v>
      </c>
      <c r="B1359" s="6" t="str">
        <f>IFERROR(__xludf.DUMMYFUNCTION("""COMPUTED_VALUE"""),"211750022 - Approved")</f>
        <v>211750022 - Approved</v>
      </c>
      <c r="C1359" s="6">
        <f>IFERROR(__xludf.DUMMYFUNCTION("""COMPUTED_VALUE"""),6.0)</f>
        <v>6</v>
      </c>
      <c r="D1359" s="6" t="str">
        <f>IFERROR(__xludf.DUMMYFUNCTION("""COMPUTED_VALUE"""),"P-10729-00")</f>
        <v>P-10729-00</v>
      </c>
      <c r="E1359" s="6" t="str">
        <f>IFERROR(__xludf.DUMMYFUNCTION("""COMPUTED_VALUE"""),"Cleaner - Contact cleaner WD 40, 382 gr")</f>
        <v>Cleaner - Contact cleaner WD 40, 382 gr</v>
      </c>
      <c r="F1359" s="6">
        <f>IFERROR(__xludf.DUMMYFUNCTION("""COMPUTED_VALUE"""),2.0)</f>
        <v>2</v>
      </c>
      <c r="G1359" s="6" t="str">
        <f>IFERROR(__xludf.DUMMYFUNCTION("""COMPUTED_VALUE"""),"Pieces")</f>
        <v>Pieces</v>
      </c>
      <c r="H1359" s="6" t="str">
        <f>IFERROR(__xludf.DUMMYFUNCTION("""COMPUTED_VALUE"""),"IDR")</f>
        <v>IDR</v>
      </c>
      <c r="I1359" s="6">
        <f>IFERROR(__xludf.DUMMYFUNCTION("""COMPUTED_VALUE"""),72000.0)</f>
        <v>72000</v>
      </c>
      <c r="J1359" s="6">
        <f>IFERROR(__xludf.DUMMYFUNCTION("""COMPUTED_VALUE"""),144000.0)</f>
        <v>144000</v>
      </c>
      <c r="K1359" s="57">
        <f>IFERROR(__xludf.DUMMYFUNCTION("""COMPUTED_VALUE"""),44239.0)</f>
        <v>44239</v>
      </c>
      <c r="L1359" s="6" t="str">
        <f>IFERROR(__xludf.DUMMYFUNCTION("""COMPUTED_VALUE"""),"FIP Engineering")</f>
        <v>FIP Engineering</v>
      </c>
      <c r="M1359" s="6" t="str">
        <f>IFERROR(__xludf.DUMMYFUNCTION("""COMPUTED_VALUE"""),"Joko Nugroho")</f>
        <v>Joko Nugroho</v>
      </c>
      <c r="N1359" s="6" t="str">
        <f>IFERROR(__xludf.DUMMYFUNCTION("""COMPUTED_VALUE"""),"FIP Engineering")</f>
        <v>FIP Engineering</v>
      </c>
      <c r="O1359" s="6" t="str">
        <f>IFERROR(__xludf.DUMMYFUNCTION("""COMPUTED_VALUE"""),"FIP-DOM-000-11304-OS00001-INA-000000")</f>
        <v>FIP-DOM-000-11304-OS00001-INA-000000</v>
      </c>
      <c r="P1359" s="6" t="str">
        <f>IFERROR(__xludf.DUMMYFUNCTION("""COMPUTED_VALUE"""),"PO Closed")</f>
        <v>PO Closed</v>
      </c>
      <c r="Q1359" s="6" t="str">
        <f>IFERROR(__xludf.DUMMYFUNCTION("""COMPUTED_VALUE"""),"GL2102005")</f>
        <v>GL2102005</v>
      </c>
      <c r="R1359" s="57">
        <f>IFERROR(__xludf.DUMMYFUNCTION("""COMPUTED_VALUE"""),44208.0)</f>
        <v>44208</v>
      </c>
      <c r="S1359" s="6" t="str">
        <f>IFERROR(__xludf.DUMMYFUNCTION("""COMPUTED_VALUE"""),"-")</f>
        <v>-</v>
      </c>
      <c r="T1359" s="57">
        <f>IFERROR(__xludf.DUMMYFUNCTION("""COMPUTED_VALUE"""),44240.0)</f>
        <v>44240</v>
      </c>
    </row>
    <row r="1360">
      <c r="A1360" s="6" t="str">
        <f>IFERROR(__xludf.DUMMYFUNCTION("""COMPUTED_VALUE"""),"211750022-7")</f>
        <v>211750022-7</v>
      </c>
      <c r="B1360" s="6" t="str">
        <f>IFERROR(__xludf.DUMMYFUNCTION("""COMPUTED_VALUE"""),"211750022 - Approved")</f>
        <v>211750022 - Approved</v>
      </c>
      <c r="C1360" s="6">
        <f>IFERROR(__xludf.DUMMYFUNCTION("""COMPUTED_VALUE"""),7.0)</f>
        <v>7</v>
      </c>
      <c r="D1360" s="6" t="str">
        <f>IFERROR(__xludf.DUMMYFUNCTION("""COMPUTED_VALUE"""),"O-54014-00")</f>
        <v>O-54014-00</v>
      </c>
      <c r="E1360" s="6" t="str">
        <f>IFERROR(__xludf.DUMMYFUNCTION("""COMPUTED_VALUE"""),"STEKER 1 PHASE, BROCO")</f>
        <v>STEKER 1 PHASE, BROCO</v>
      </c>
      <c r="F1360" s="6">
        <f>IFERROR(__xludf.DUMMYFUNCTION("""COMPUTED_VALUE"""),5.0)</f>
        <v>5</v>
      </c>
      <c r="G1360" s="6" t="str">
        <f>IFERROR(__xludf.DUMMYFUNCTION("""COMPUTED_VALUE"""),"Pieces")</f>
        <v>Pieces</v>
      </c>
      <c r="H1360" s="6" t="str">
        <f>IFERROR(__xludf.DUMMYFUNCTION("""COMPUTED_VALUE"""),"IDR")</f>
        <v>IDR</v>
      </c>
      <c r="I1360" s="6">
        <f>IFERROR(__xludf.DUMMYFUNCTION("""COMPUTED_VALUE"""),12000.0)</f>
        <v>12000</v>
      </c>
      <c r="J1360" s="6">
        <f>IFERROR(__xludf.DUMMYFUNCTION("""COMPUTED_VALUE"""),60000.0)</f>
        <v>60000</v>
      </c>
      <c r="K1360" s="57">
        <f>IFERROR(__xludf.DUMMYFUNCTION("""COMPUTED_VALUE"""),44239.0)</f>
        <v>44239</v>
      </c>
      <c r="L1360" s="6" t="str">
        <f>IFERROR(__xludf.DUMMYFUNCTION("""COMPUTED_VALUE"""),"FIP Engineering")</f>
        <v>FIP Engineering</v>
      </c>
      <c r="M1360" s="6" t="str">
        <f>IFERROR(__xludf.DUMMYFUNCTION("""COMPUTED_VALUE"""),"Joko Nugroho")</f>
        <v>Joko Nugroho</v>
      </c>
      <c r="N1360" s="6" t="str">
        <f>IFERROR(__xludf.DUMMYFUNCTION("""COMPUTED_VALUE"""),"FIP Engineering")</f>
        <v>FIP Engineering</v>
      </c>
      <c r="O1360" s="6" t="str">
        <f>IFERROR(__xludf.DUMMYFUNCTION("""COMPUTED_VALUE"""),"FIP-DOM-000-11304-OS00001-INA-000000")</f>
        <v>FIP-DOM-000-11304-OS00001-INA-000000</v>
      </c>
      <c r="P1360" s="6" t="str">
        <f>IFERROR(__xludf.DUMMYFUNCTION("""COMPUTED_VALUE"""),"PO Closed")</f>
        <v>PO Closed</v>
      </c>
      <c r="Q1360" s="6" t="str">
        <f>IFERROR(__xludf.DUMMYFUNCTION("""COMPUTED_VALUE"""),"GL2102005")</f>
        <v>GL2102005</v>
      </c>
      <c r="R1360" s="57">
        <f>IFERROR(__xludf.DUMMYFUNCTION("""COMPUTED_VALUE"""),44208.0)</f>
        <v>44208</v>
      </c>
      <c r="S1360" s="6" t="str">
        <f>IFERROR(__xludf.DUMMYFUNCTION("""COMPUTED_VALUE"""),"-")</f>
        <v>-</v>
      </c>
      <c r="T1360" s="57">
        <f>IFERROR(__xludf.DUMMYFUNCTION("""COMPUTED_VALUE"""),44240.0)</f>
        <v>44240</v>
      </c>
    </row>
    <row r="1361">
      <c r="A1361" s="6" t="str">
        <f>IFERROR(__xludf.DUMMYFUNCTION("""COMPUTED_VALUE"""),"211750022-10")</f>
        <v>211750022-10</v>
      </c>
      <c r="B1361" s="6" t="str">
        <f>IFERROR(__xludf.DUMMYFUNCTION("""COMPUTED_VALUE"""),"211750022 - Approved")</f>
        <v>211750022 - Approved</v>
      </c>
      <c r="C1361" s="6">
        <f>IFERROR(__xludf.DUMMYFUNCTION("""COMPUTED_VALUE"""),10.0)</f>
        <v>10</v>
      </c>
      <c r="D1361" s="6" t="str">
        <f>IFERROR(__xludf.DUMMYFUNCTION("""COMPUTED_VALUE"""),"P-53102-00")</f>
        <v>P-53102-00</v>
      </c>
      <c r="E1361" s="6" t="str">
        <f>IFERROR(__xludf.DUMMYFUNCTION("""COMPUTED_VALUE"""),"Lampu PLC 13watt/E27 Putih Phillips")</f>
        <v>Lampu PLC 13watt/E27 Putih Phillips</v>
      </c>
      <c r="F1361" s="6">
        <f>IFERROR(__xludf.DUMMYFUNCTION("""COMPUTED_VALUE"""),25.0)</f>
        <v>25</v>
      </c>
      <c r="G1361" s="6" t="str">
        <f>IFERROR(__xludf.DUMMYFUNCTION("""COMPUTED_VALUE"""),"Pieces")</f>
        <v>Pieces</v>
      </c>
      <c r="H1361" s="6" t="str">
        <f>IFERROR(__xludf.DUMMYFUNCTION("""COMPUTED_VALUE"""),"IDR")</f>
        <v>IDR</v>
      </c>
      <c r="I1361" s="6">
        <f>IFERROR(__xludf.DUMMYFUNCTION("""COMPUTED_VALUE"""),27000.0)</f>
        <v>27000</v>
      </c>
      <c r="J1361" s="6">
        <f>IFERROR(__xludf.DUMMYFUNCTION("""COMPUTED_VALUE"""),675000.0)</f>
        <v>675000</v>
      </c>
      <c r="K1361" s="57">
        <f>IFERROR(__xludf.DUMMYFUNCTION("""COMPUTED_VALUE"""),44239.0)</f>
        <v>44239</v>
      </c>
      <c r="L1361" s="6" t="str">
        <f>IFERROR(__xludf.DUMMYFUNCTION("""COMPUTED_VALUE"""),"FIP Engineering")</f>
        <v>FIP Engineering</v>
      </c>
      <c r="M1361" s="6" t="str">
        <f>IFERROR(__xludf.DUMMYFUNCTION("""COMPUTED_VALUE"""),"Joko Nugroho")</f>
        <v>Joko Nugroho</v>
      </c>
      <c r="N1361" s="6" t="str">
        <f>IFERROR(__xludf.DUMMYFUNCTION("""COMPUTED_VALUE"""),"FIP Engineering")</f>
        <v>FIP Engineering</v>
      </c>
      <c r="O1361" s="6" t="str">
        <f>IFERROR(__xludf.DUMMYFUNCTION("""COMPUTED_VALUE"""),"FIP-DOM-000-11304-OS00001-INA-000000")</f>
        <v>FIP-DOM-000-11304-OS00001-INA-000000</v>
      </c>
      <c r="P1361" s="6" t="str">
        <f>IFERROR(__xludf.DUMMYFUNCTION("""COMPUTED_VALUE"""),"PO Closed")</f>
        <v>PO Closed</v>
      </c>
      <c r="Q1361" s="6" t="str">
        <f>IFERROR(__xludf.DUMMYFUNCTION("""COMPUTED_VALUE"""),"GL2102005")</f>
        <v>GL2102005</v>
      </c>
      <c r="R1361" s="57">
        <f>IFERROR(__xludf.DUMMYFUNCTION("""COMPUTED_VALUE"""),44208.0)</f>
        <v>44208</v>
      </c>
      <c r="S1361" s="6" t="str">
        <f>IFERROR(__xludf.DUMMYFUNCTION("""COMPUTED_VALUE"""),"-")</f>
        <v>-</v>
      </c>
      <c r="T1361" s="57">
        <f>IFERROR(__xludf.DUMMYFUNCTION("""COMPUTED_VALUE"""),44240.0)</f>
        <v>44240</v>
      </c>
    </row>
    <row r="1362">
      <c r="A1362" s="6" t="str">
        <f>IFERROR(__xludf.DUMMYFUNCTION("""COMPUTED_VALUE"""),"211750022-11")</f>
        <v>211750022-11</v>
      </c>
      <c r="B1362" s="6" t="str">
        <f>IFERROR(__xludf.DUMMYFUNCTION("""COMPUTED_VALUE"""),"211750022 - Approved")</f>
        <v>211750022 - Approved</v>
      </c>
      <c r="C1362" s="6">
        <f>IFERROR(__xludf.DUMMYFUNCTION("""COMPUTED_VALUE"""),11.0)</f>
        <v>11</v>
      </c>
      <c r="D1362" s="6" t="str">
        <f>IFERROR(__xludf.DUMMYFUNCTION("""COMPUTED_VALUE"""),"P-51027-00")</f>
        <v>P-51027-00</v>
      </c>
      <c r="E1362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362" s="6">
        <f>IFERROR(__xludf.DUMMYFUNCTION("""COMPUTED_VALUE"""),3.0)</f>
        <v>3</v>
      </c>
      <c r="G1362" s="6" t="str">
        <f>IFERROR(__xludf.DUMMYFUNCTION("""COMPUTED_VALUE"""),"Pieces")</f>
        <v>Pieces</v>
      </c>
      <c r="H1362" s="6" t="str">
        <f>IFERROR(__xludf.DUMMYFUNCTION("""COMPUTED_VALUE"""),"IDR")</f>
        <v>IDR</v>
      </c>
      <c r="I1362" s="6">
        <f>IFERROR(__xludf.DUMMYFUNCTION("""COMPUTED_VALUE"""),53000.0)</f>
        <v>53000</v>
      </c>
      <c r="J1362" s="6">
        <f>IFERROR(__xludf.DUMMYFUNCTION("""COMPUTED_VALUE"""),159000.0)</f>
        <v>159000</v>
      </c>
      <c r="K1362" s="57">
        <f>IFERROR(__xludf.DUMMYFUNCTION("""COMPUTED_VALUE"""),44239.0)</f>
        <v>44239</v>
      </c>
      <c r="L1362" s="6" t="str">
        <f>IFERROR(__xludf.DUMMYFUNCTION("""COMPUTED_VALUE"""),"FIP Engineering")</f>
        <v>FIP Engineering</v>
      </c>
      <c r="M1362" s="6" t="str">
        <f>IFERROR(__xludf.DUMMYFUNCTION("""COMPUTED_VALUE"""),"Joko Nugroho")</f>
        <v>Joko Nugroho</v>
      </c>
      <c r="N1362" s="6" t="str">
        <f>IFERROR(__xludf.DUMMYFUNCTION("""COMPUTED_VALUE"""),"FIP Engineering")</f>
        <v>FIP Engineering</v>
      </c>
      <c r="O1362" s="6" t="str">
        <f>IFERROR(__xludf.DUMMYFUNCTION("""COMPUTED_VALUE"""),"FIP-DOM-000-11304-OS00001-INA-000000")</f>
        <v>FIP-DOM-000-11304-OS00001-INA-000000</v>
      </c>
      <c r="P1362" s="6" t="str">
        <f>IFERROR(__xludf.DUMMYFUNCTION("""COMPUTED_VALUE"""),"PO Closed")</f>
        <v>PO Closed</v>
      </c>
      <c r="Q1362" s="6" t="str">
        <f>IFERROR(__xludf.DUMMYFUNCTION("""COMPUTED_VALUE"""),"GL2102005")</f>
        <v>GL2102005</v>
      </c>
      <c r="R1362" s="57">
        <f>IFERROR(__xludf.DUMMYFUNCTION("""COMPUTED_VALUE"""),44208.0)</f>
        <v>44208</v>
      </c>
      <c r="S1362" s="6" t="str">
        <f>IFERROR(__xludf.DUMMYFUNCTION("""COMPUTED_VALUE"""),"-")</f>
        <v>-</v>
      </c>
      <c r="T1362" s="57">
        <f>IFERROR(__xludf.DUMMYFUNCTION("""COMPUTED_VALUE"""),44240.0)</f>
        <v>44240</v>
      </c>
    </row>
    <row r="1363">
      <c r="A1363" s="6" t="str">
        <f>IFERROR(__xludf.DUMMYFUNCTION("""COMPUTED_VALUE"""),"211750022-12")</f>
        <v>211750022-12</v>
      </c>
      <c r="B1363" s="6" t="str">
        <f>IFERROR(__xludf.DUMMYFUNCTION("""COMPUTED_VALUE"""),"211750022 - Approved")</f>
        <v>211750022 - Approved</v>
      </c>
      <c r="C1363" s="6">
        <f>IFERROR(__xludf.DUMMYFUNCTION("""COMPUTED_VALUE"""),12.0)</f>
        <v>12</v>
      </c>
      <c r="D1363" s="6" t="str">
        <f>IFERROR(__xludf.DUMMYFUNCTION("""COMPUTED_VALUE"""),"Q-10233-00")</f>
        <v>Q-10233-00</v>
      </c>
      <c r="E1363" s="6" t="str">
        <f>IFERROR(__xludf.DUMMYFUNCTION("""COMPUTED_VALUE"""),"Silicone Sealant N10 Clear")</f>
        <v>Silicone Sealant N10 Clear</v>
      </c>
      <c r="F1363" s="6">
        <f>IFERROR(__xludf.DUMMYFUNCTION("""COMPUTED_VALUE"""),4.0)</f>
        <v>4</v>
      </c>
      <c r="G1363" s="6" t="str">
        <f>IFERROR(__xludf.DUMMYFUNCTION("""COMPUTED_VALUE"""),"Pieces")</f>
        <v>Pieces</v>
      </c>
      <c r="H1363" s="6" t="str">
        <f>IFERROR(__xludf.DUMMYFUNCTION("""COMPUTED_VALUE"""),"IDR")</f>
        <v>IDR</v>
      </c>
      <c r="I1363" s="6">
        <f>IFERROR(__xludf.DUMMYFUNCTION("""COMPUTED_VALUE"""),44100.0)</f>
        <v>44100</v>
      </c>
      <c r="J1363" s="6">
        <f>IFERROR(__xludf.DUMMYFUNCTION("""COMPUTED_VALUE"""),176400.0)</f>
        <v>176400</v>
      </c>
      <c r="K1363" s="57">
        <f>IFERROR(__xludf.DUMMYFUNCTION("""COMPUTED_VALUE"""),44239.0)</f>
        <v>44239</v>
      </c>
      <c r="L1363" s="6" t="str">
        <f>IFERROR(__xludf.DUMMYFUNCTION("""COMPUTED_VALUE"""),"FIP Engineering")</f>
        <v>FIP Engineering</v>
      </c>
      <c r="M1363" s="6" t="str">
        <f>IFERROR(__xludf.DUMMYFUNCTION("""COMPUTED_VALUE"""),"Joko Nugroho")</f>
        <v>Joko Nugroho</v>
      </c>
      <c r="N1363" s="6" t="str">
        <f>IFERROR(__xludf.DUMMYFUNCTION("""COMPUTED_VALUE"""),"FIP Engineering")</f>
        <v>FIP Engineering</v>
      </c>
      <c r="O1363" s="6" t="str">
        <f>IFERROR(__xludf.DUMMYFUNCTION("""COMPUTED_VALUE"""),"FIP-DOM-000-11304-OS00001-INA-000000")</f>
        <v>FIP-DOM-000-11304-OS00001-INA-000000</v>
      </c>
      <c r="P1363" s="6" t="str">
        <f>IFERROR(__xludf.DUMMYFUNCTION("""COMPUTED_VALUE"""),"PO Closed")</f>
        <v>PO Closed</v>
      </c>
      <c r="Q1363" s="6" t="str">
        <f>IFERROR(__xludf.DUMMYFUNCTION("""COMPUTED_VALUE"""),"GL2102002")</f>
        <v>GL2102002</v>
      </c>
      <c r="R1363" s="57">
        <f>IFERROR(__xludf.DUMMYFUNCTION("""COMPUTED_VALUE"""),44208.0)</f>
        <v>44208</v>
      </c>
      <c r="S1363" s="6" t="str">
        <f>IFERROR(__xludf.DUMMYFUNCTION("""COMPUTED_VALUE"""),"-")</f>
        <v>-</v>
      </c>
      <c r="T1363" s="57">
        <f>IFERROR(__xludf.DUMMYFUNCTION("""COMPUTED_VALUE"""),44246.0)</f>
        <v>44246</v>
      </c>
    </row>
    <row r="1364">
      <c r="A1364" s="6" t="str">
        <f>IFERROR(__xludf.DUMMYFUNCTION("""COMPUTED_VALUE"""),"211750025-1")</f>
        <v>211750025-1</v>
      </c>
      <c r="B1364" s="6" t="str">
        <f>IFERROR(__xludf.DUMMYFUNCTION("""COMPUTED_VALUE"""),"211750025 - Approved")</f>
        <v>211750025 - Approved</v>
      </c>
      <c r="C1364" s="6">
        <f>IFERROR(__xludf.DUMMYFUNCTION("""COMPUTED_VALUE"""),1.0)</f>
        <v>1</v>
      </c>
      <c r="D1364" s="6" t="str">
        <f>IFERROR(__xludf.DUMMYFUNCTION("""COMPUTED_VALUE"""),"O-52314-00")</f>
        <v>O-52314-00</v>
      </c>
      <c r="E1364" s="6" t="str">
        <f>IFERROR(__xludf.DUMMYFUNCTION("""COMPUTED_VALUE"""),"Selenoid Valve VSNC-FC-M52-MD-G14-F8-1B2 Festo P/n: 577295")</f>
        <v>Selenoid Valve VSNC-FC-M52-MD-G14-F8-1B2 Festo P/n: 577295</v>
      </c>
      <c r="F1364" s="6">
        <f>IFERROR(__xludf.DUMMYFUNCTION("""COMPUTED_VALUE"""),2.0)</f>
        <v>2</v>
      </c>
      <c r="G1364" s="6" t="str">
        <f>IFERROR(__xludf.DUMMYFUNCTION("""COMPUTED_VALUE"""),"Pieces")</f>
        <v>Pieces</v>
      </c>
      <c r="H1364" s="6" t="str">
        <f>IFERROR(__xludf.DUMMYFUNCTION("""COMPUTED_VALUE"""),"IDR")</f>
        <v>IDR</v>
      </c>
      <c r="I1364" s="6">
        <f>IFERROR(__xludf.DUMMYFUNCTION("""COMPUTED_VALUE"""),1138487.0)</f>
        <v>1138487</v>
      </c>
      <c r="J1364" s="6">
        <f>IFERROR(__xludf.DUMMYFUNCTION("""COMPUTED_VALUE"""),2276974.0)</f>
        <v>2276974</v>
      </c>
      <c r="K1364" s="57">
        <f>IFERROR(__xludf.DUMMYFUNCTION("""COMPUTED_VALUE"""),44253.0)</f>
        <v>44253</v>
      </c>
      <c r="L1364" s="6" t="str">
        <f>IFERROR(__xludf.DUMMYFUNCTION("""COMPUTED_VALUE"""),"FIP Engineering")</f>
        <v>FIP Engineering</v>
      </c>
      <c r="M1364" s="6" t="str">
        <f>IFERROR(__xludf.DUMMYFUNCTION("""COMPUTED_VALUE"""),"Irwan Sopian")</f>
        <v>Irwan Sopian</v>
      </c>
      <c r="N1364" s="6" t="str">
        <f>IFERROR(__xludf.DUMMYFUNCTION("""COMPUTED_VALUE"""),"FIP Engineering")</f>
        <v>FIP Engineering</v>
      </c>
      <c r="O1364" s="6" t="str">
        <f>IFERROR(__xludf.DUMMYFUNCTION("""COMPUTED_VALUE"""),"FIP-DOM-000-11304-OS00001-INA-000000")</f>
        <v>FIP-DOM-000-11304-OS00001-INA-000000</v>
      </c>
      <c r="P1364" s="6" t="str">
        <f>IFERROR(__xludf.DUMMYFUNCTION("""COMPUTED_VALUE"""),"PO Closed")</f>
        <v>PO Closed</v>
      </c>
      <c r="Q1364" s="6" t="str">
        <f>IFERROR(__xludf.DUMMYFUNCTION("""COMPUTED_VALUE"""),"GL2102036")</f>
        <v>GL2102036</v>
      </c>
      <c r="R1364" s="57">
        <f>IFERROR(__xludf.DUMMYFUNCTION("""COMPUTED_VALUE"""),44210.0)</f>
        <v>44210</v>
      </c>
      <c r="S1364" s="6" t="str">
        <f>IFERROR(__xludf.DUMMYFUNCTION("""COMPUTED_VALUE"""),"-")</f>
        <v>-</v>
      </c>
      <c r="T1364" s="57">
        <f>IFERROR(__xludf.DUMMYFUNCTION("""COMPUTED_VALUE"""),44286.0)</f>
        <v>44286</v>
      </c>
    </row>
    <row r="1365">
      <c r="A1365" s="6" t="str">
        <f>IFERROR(__xludf.DUMMYFUNCTION("""COMPUTED_VALUE"""),"211750025-2")</f>
        <v>211750025-2</v>
      </c>
      <c r="B1365" s="6" t="str">
        <f>IFERROR(__xludf.DUMMYFUNCTION("""COMPUTED_VALUE"""),"211750025 - Approved")</f>
        <v>211750025 - Approved</v>
      </c>
      <c r="C1365" s="6">
        <f>IFERROR(__xludf.DUMMYFUNCTION("""COMPUTED_VALUE"""),2.0)</f>
        <v>2</v>
      </c>
      <c r="D1365" s="6" t="str">
        <f>IFERROR(__xludf.DUMMYFUNCTION("""COMPUTED_VALUE"""),"P-14245-00")</f>
        <v>P-14245-00</v>
      </c>
      <c r="E1365" s="6" t="str">
        <f>IFERROR(__xludf.DUMMYFUNCTION("""COMPUTED_VALUE"""),"Manual valve HE-2-QS-8 FESTO")</f>
        <v>Manual valve HE-2-QS-8 FESTO</v>
      </c>
      <c r="F1365" s="6">
        <f>IFERROR(__xludf.DUMMYFUNCTION("""COMPUTED_VALUE"""),5.0)</f>
        <v>5</v>
      </c>
      <c r="G1365" s="6" t="str">
        <f>IFERROR(__xludf.DUMMYFUNCTION("""COMPUTED_VALUE"""),"Pieces")</f>
        <v>Pieces</v>
      </c>
      <c r="H1365" s="6" t="str">
        <f>IFERROR(__xludf.DUMMYFUNCTION("""COMPUTED_VALUE"""),"IDR")</f>
        <v>IDR</v>
      </c>
      <c r="I1365" s="6">
        <f>IFERROR(__xludf.DUMMYFUNCTION("""COMPUTED_VALUE"""),249020.0)</f>
        <v>249020</v>
      </c>
      <c r="J1365" s="6">
        <f>IFERROR(__xludf.DUMMYFUNCTION("""COMPUTED_VALUE"""),1245100.0)</f>
        <v>1245100</v>
      </c>
      <c r="K1365" s="57">
        <f>IFERROR(__xludf.DUMMYFUNCTION("""COMPUTED_VALUE"""),44253.0)</f>
        <v>44253</v>
      </c>
      <c r="L1365" s="6" t="str">
        <f>IFERROR(__xludf.DUMMYFUNCTION("""COMPUTED_VALUE"""),"FIP Engineering")</f>
        <v>FIP Engineering</v>
      </c>
      <c r="M1365" s="6" t="str">
        <f>IFERROR(__xludf.DUMMYFUNCTION("""COMPUTED_VALUE"""),"Irwan Sopian")</f>
        <v>Irwan Sopian</v>
      </c>
      <c r="N1365" s="6" t="str">
        <f>IFERROR(__xludf.DUMMYFUNCTION("""COMPUTED_VALUE"""),"FIP Engineering")</f>
        <v>FIP Engineering</v>
      </c>
      <c r="O1365" s="6" t="str">
        <f>IFERROR(__xludf.DUMMYFUNCTION("""COMPUTED_VALUE"""),"FIP-DOM-000-11304-OS00001-INA-000000")</f>
        <v>FIP-DOM-000-11304-OS00001-INA-000000</v>
      </c>
      <c r="P1365" s="6" t="str">
        <f>IFERROR(__xludf.DUMMYFUNCTION("""COMPUTED_VALUE"""),"PO Closed")</f>
        <v>PO Closed</v>
      </c>
      <c r="Q1365" s="6" t="str">
        <f>IFERROR(__xludf.DUMMYFUNCTION("""COMPUTED_VALUE"""),"GL2102036")</f>
        <v>GL2102036</v>
      </c>
      <c r="R1365" s="57">
        <f>IFERROR(__xludf.DUMMYFUNCTION("""COMPUTED_VALUE"""),44210.0)</f>
        <v>44210</v>
      </c>
      <c r="S1365" s="6" t="str">
        <f>IFERROR(__xludf.DUMMYFUNCTION("""COMPUTED_VALUE"""),"-")</f>
        <v>-</v>
      </c>
      <c r="T1365" s="57">
        <f>IFERROR(__xludf.DUMMYFUNCTION("""COMPUTED_VALUE"""),44286.0)</f>
        <v>44286</v>
      </c>
    </row>
    <row r="1366">
      <c r="A1366" s="6" t="str">
        <f>IFERROR(__xludf.DUMMYFUNCTION("""COMPUTED_VALUE"""),"211750025-3")</f>
        <v>211750025-3</v>
      </c>
      <c r="B1366" s="6" t="str">
        <f>IFERROR(__xludf.DUMMYFUNCTION("""COMPUTED_VALUE"""),"211750025 - Approved")</f>
        <v>211750025 - Approved</v>
      </c>
      <c r="C1366" s="6">
        <f>IFERROR(__xludf.DUMMYFUNCTION("""COMPUTED_VALUE"""),3.0)</f>
        <v>3</v>
      </c>
      <c r="D1366" s="6" t="str">
        <f>IFERROR(__xludf.DUMMYFUNCTION("""COMPUTED_VALUE"""),"P-13650-00")</f>
        <v>P-13650-00</v>
      </c>
      <c r="E1366" s="6" t="str">
        <f>IFERROR(__xludf.DUMMYFUNCTION("""COMPUTED_VALUE"""),"Manual Valve HE-2-QS-6 FESTO")</f>
        <v>Manual Valve HE-2-QS-6 FESTO</v>
      </c>
      <c r="F1366" s="6">
        <f>IFERROR(__xludf.DUMMYFUNCTION("""COMPUTED_VALUE"""),5.0)</f>
        <v>5</v>
      </c>
      <c r="G1366" s="6" t="str">
        <f>IFERROR(__xludf.DUMMYFUNCTION("""COMPUTED_VALUE"""),"Pieces")</f>
        <v>Pieces</v>
      </c>
      <c r="H1366" s="6" t="str">
        <f>IFERROR(__xludf.DUMMYFUNCTION("""COMPUTED_VALUE"""),"IDR")</f>
        <v>IDR</v>
      </c>
      <c r="I1366" s="6">
        <f>IFERROR(__xludf.DUMMYFUNCTION("""COMPUTED_VALUE"""),229566.0)</f>
        <v>229566</v>
      </c>
      <c r="J1366" s="6">
        <f>IFERROR(__xludf.DUMMYFUNCTION("""COMPUTED_VALUE"""),1147830.0)</f>
        <v>1147830</v>
      </c>
      <c r="K1366" s="57">
        <f>IFERROR(__xludf.DUMMYFUNCTION("""COMPUTED_VALUE"""),44253.0)</f>
        <v>44253</v>
      </c>
      <c r="L1366" s="6" t="str">
        <f>IFERROR(__xludf.DUMMYFUNCTION("""COMPUTED_VALUE"""),"FIP Engineering")</f>
        <v>FIP Engineering</v>
      </c>
      <c r="M1366" s="6" t="str">
        <f>IFERROR(__xludf.DUMMYFUNCTION("""COMPUTED_VALUE"""),"Irwan Sopian")</f>
        <v>Irwan Sopian</v>
      </c>
      <c r="N1366" s="6" t="str">
        <f>IFERROR(__xludf.DUMMYFUNCTION("""COMPUTED_VALUE"""),"FIP Engineering")</f>
        <v>FIP Engineering</v>
      </c>
      <c r="O1366" s="6" t="str">
        <f>IFERROR(__xludf.DUMMYFUNCTION("""COMPUTED_VALUE"""),"FIP-DOM-000-11304-OS00001-INA-000000")</f>
        <v>FIP-DOM-000-11304-OS00001-INA-000000</v>
      </c>
      <c r="P1366" s="6" t="str">
        <f>IFERROR(__xludf.DUMMYFUNCTION("""COMPUTED_VALUE"""),"PO Closed")</f>
        <v>PO Closed</v>
      </c>
      <c r="Q1366" s="6" t="str">
        <f>IFERROR(__xludf.DUMMYFUNCTION("""COMPUTED_VALUE"""),"GL2102036")</f>
        <v>GL2102036</v>
      </c>
      <c r="R1366" s="57">
        <f>IFERROR(__xludf.DUMMYFUNCTION("""COMPUTED_VALUE"""),44210.0)</f>
        <v>44210</v>
      </c>
      <c r="S1366" s="6" t="str">
        <f>IFERROR(__xludf.DUMMYFUNCTION("""COMPUTED_VALUE"""),"-")</f>
        <v>-</v>
      </c>
      <c r="T1366" s="57">
        <f>IFERROR(__xludf.DUMMYFUNCTION("""COMPUTED_VALUE"""),44286.0)</f>
        <v>44286</v>
      </c>
    </row>
    <row r="1367">
      <c r="A1367" s="6" t="str">
        <f>IFERROR(__xludf.DUMMYFUNCTION("""COMPUTED_VALUE"""),"211750022-9")</f>
        <v>211750022-9</v>
      </c>
      <c r="B1367" s="6" t="str">
        <f>IFERROR(__xludf.DUMMYFUNCTION("""COMPUTED_VALUE"""),"211750022 - Approved")</f>
        <v>211750022 - Approved</v>
      </c>
      <c r="C1367" s="6">
        <f>IFERROR(__xludf.DUMMYFUNCTION("""COMPUTED_VALUE"""),9.0)</f>
        <v>9</v>
      </c>
      <c r="D1367" s="6" t="str">
        <f>IFERROR(__xludf.DUMMYFUNCTION("""COMPUTED_VALUE"""),"Q-10232-00")</f>
        <v>Q-10232-00</v>
      </c>
      <c r="E1367" s="6" t="str">
        <f>IFERROR(__xludf.DUMMYFUNCTION("""COMPUTED_VALUE"""),"Silicone Sealant N10 White")</f>
        <v>Silicone Sealant N10 White</v>
      </c>
      <c r="F1367" s="6">
        <f>IFERROR(__xludf.DUMMYFUNCTION("""COMPUTED_VALUE"""),6.0)</f>
        <v>6</v>
      </c>
      <c r="G1367" s="6" t="str">
        <f>IFERROR(__xludf.DUMMYFUNCTION("""COMPUTED_VALUE"""),"Pieces")</f>
        <v>Pieces</v>
      </c>
      <c r="H1367" s="6" t="str">
        <f>IFERROR(__xludf.DUMMYFUNCTION("""COMPUTED_VALUE"""),"IDR")</f>
        <v>IDR</v>
      </c>
      <c r="I1367" s="6">
        <f>IFERROR(__xludf.DUMMYFUNCTION("""COMPUTED_VALUE"""),44100.0)</f>
        <v>44100</v>
      </c>
      <c r="J1367" s="6">
        <f>IFERROR(__xludf.DUMMYFUNCTION("""COMPUTED_VALUE"""),264600.0)</f>
        <v>264600</v>
      </c>
      <c r="K1367" s="57">
        <f>IFERROR(__xludf.DUMMYFUNCTION("""COMPUTED_VALUE"""),44239.0)</f>
        <v>44239</v>
      </c>
      <c r="L1367" s="6" t="str">
        <f>IFERROR(__xludf.DUMMYFUNCTION("""COMPUTED_VALUE"""),"FIP Engineering")</f>
        <v>FIP Engineering</v>
      </c>
      <c r="M1367" s="6" t="str">
        <f>IFERROR(__xludf.DUMMYFUNCTION("""COMPUTED_VALUE"""),"Joko Nugroho")</f>
        <v>Joko Nugroho</v>
      </c>
      <c r="N1367" s="6" t="str">
        <f>IFERROR(__xludf.DUMMYFUNCTION("""COMPUTED_VALUE"""),"FIP Engineering")</f>
        <v>FIP Engineering</v>
      </c>
      <c r="O1367" s="6" t="str">
        <f>IFERROR(__xludf.DUMMYFUNCTION("""COMPUTED_VALUE"""),"FIP-DOM-000-11304-OS00001-INA-000000")</f>
        <v>FIP-DOM-000-11304-OS00001-INA-000000</v>
      </c>
      <c r="P1367" s="6" t="str">
        <f>IFERROR(__xludf.DUMMYFUNCTION("""COMPUTED_VALUE"""),"PO Closed")</f>
        <v>PO Closed</v>
      </c>
      <c r="Q1367" s="6" t="str">
        <f>IFERROR(__xludf.DUMMYFUNCTION("""COMPUTED_VALUE"""),"GL2102002")</f>
        <v>GL2102002</v>
      </c>
      <c r="R1367" s="57">
        <f>IFERROR(__xludf.DUMMYFUNCTION("""COMPUTED_VALUE"""),44210.0)</f>
        <v>44210</v>
      </c>
      <c r="S1367" s="6" t="str">
        <f>IFERROR(__xludf.DUMMYFUNCTION("""COMPUTED_VALUE"""),"-")</f>
        <v>-</v>
      </c>
      <c r="T1367" s="57">
        <f>IFERROR(__xludf.DUMMYFUNCTION("""COMPUTED_VALUE"""),44246.0)</f>
        <v>44246</v>
      </c>
    </row>
    <row r="1368">
      <c r="A1368" s="6" t="str">
        <f>IFERROR(__xludf.DUMMYFUNCTION("""COMPUTED_VALUE"""),"211750022-10")</f>
        <v>211750022-10</v>
      </c>
      <c r="B1368" s="6" t="str">
        <f>IFERROR(__xludf.DUMMYFUNCTION("""COMPUTED_VALUE"""),"211750022 - Approved")</f>
        <v>211750022 - Approved</v>
      </c>
      <c r="C1368" s="6">
        <f>IFERROR(__xludf.DUMMYFUNCTION("""COMPUTED_VALUE"""),10.0)</f>
        <v>10</v>
      </c>
      <c r="D1368" s="6" t="str">
        <f>IFERROR(__xludf.DUMMYFUNCTION("""COMPUTED_VALUE"""),"Q-10234-00")</f>
        <v>Q-10234-00</v>
      </c>
      <c r="E1368" s="6" t="str">
        <f>IFERROR(__xludf.DUMMYFUNCTION("""COMPUTED_VALUE"""),"Silicone Sealant N10 Grey")</f>
        <v>Silicone Sealant N10 Grey</v>
      </c>
      <c r="F1368" s="6">
        <f>IFERROR(__xludf.DUMMYFUNCTION("""COMPUTED_VALUE"""),6.0)</f>
        <v>6</v>
      </c>
      <c r="G1368" s="6" t="str">
        <f>IFERROR(__xludf.DUMMYFUNCTION("""COMPUTED_VALUE"""),"Pieces")</f>
        <v>Pieces</v>
      </c>
      <c r="H1368" s="6" t="str">
        <f>IFERROR(__xludf.DUMMYFUNCTION("""COMPUTED_VALUE"""),"IDR")</f>
        <v>IDR</v>
      </c>
      <c r="I1368" s="6">
        <f>IFERROR(__xludf.DUMMYFUNCTION("""COMPUTED_VALUE"""),44100.0)</f>
        <v>44100</v>
      </c>
      <c r="J1368" s="6">
        <f>IFERROR(__xludf.DUMMYFUNCTION("""COMPUTED_VALUE"""),264600.0)</f>
        <v>264600</v>
      </c>
      <c r="K1368" s="57">
        <f>IFERROR(__xludf.DUMMYFUNCTION("""COMPUTED_VALUE"""),44239.0)</f>
        <v>44239</v>
      </c>
      <c r="L1368" s="6" t="str">
        <f>IFERROR(__xludf.DUMMYFUNCTION("""COMPUTED_VALUE"""),"FIP Engineering")</f>
        <v>FIP Engineering</v>
      </c>
      <c r="M1368" s="6" t="str">
        <f>IFERROR(__xludf.DUMMYFUNCTION("""COMPUTED_VALUE"""),"Joko Nugroho")</f>
        <v>Joko Nugroho</v>
      </c>
      <c r="N1368" s="6" t="str">
        <f>IFERROR(__xludf.DUMMYFUNCTION("""COMPUTED_VALUE"""),"FIP Engineering")</f>
        <v>FIP Engineering</v>
      </c>
      <c r="O1368" s="6" t="str">
        <f>IFERROR(__xludf.DUMMYFUNCTION("""COMPUTED_VALUE"""),"FIP-DOM-000-11304-OS00001-INA-000000")</f>
        <v>FIP-DOM-000-11304-OS00001-INA-000000</v>
      </c>
      <c r="P1368" s="6" t="str">
        <f>IFERROR(__xludf.DUMMYFUNCTION("""COMPUTED_VALUE"""),"PO Closed")</f>
        <v>PO Closed</v>
      </c>
      <c r="Q1368" s="6" t="str">
        <f>IFERROR(__xludf.DUMMYFUNCTION("""COMPUTED_VALUE"""),"GL2102002")</f>
        <v>GL2102002</v>
      </c>
      <c r="R1368" s="57">
        <f>IFERROR(__xludf.DUMMYFUNCTION("""COMPUTED_VALUE"""),44210.0)</f>
        <v>44210</v>
      </c>
      <c r="S1368" s="6" t="str">
        <f>IFERROR(__xludf.DUMMYFUNCTION("""COMPUTED_VALUE"""),"-")</f>
        <v>-</v>
      </c>
      <c r="T1368" s="57">
        <f>IFERROR(__xludf.DUMMYFUNCTION("""COMPUTED_VALUE"""),44246.0)</f>
        <v>44246</v>
      </c>
    </row>
    <row r="1369">
      <c r="A1369" s="6" t="str">
        <f>IFERROR(__xludf.DUMMYFUNCTION("""COMPUTED_VALUE"""),"211750029-1")</f>
        <v>211750029-1</v>
      </c>
      <c r="B1369" s="6" t="str">
        <f>IFERROR(__xludf.DUMMYFUNCTION("""COMPUTED_VALUE"""),"211750029 - Approved")</f>
        <v>211750029 - Approved</v>
      </c>
      <c r="C1369" s="6">
        <f>IFERROR(__xludf.DUMMYFUNCTION("""COMPUTED_VALUE"""),1.0)</f>
        <v>1</v>
      </c>
      <c r="D1369" s="6" t="str">
        <f>IFERROR(__xludf.DUMMYFUNCTION("""COMPUTED_VALUE"""),"P-17668-00")</f>
        <v>P-17668-00</v>
      </c>
      <c r="E1369" s="6" t="str">
        <f>IFERROR(__xludf.DUMMYFUNCTION("""COMPUTED_VALUE"""),"Speed Control AS2002F-04 SMC")</f>
        <v>Speed Control AS2002F-04 SMC</v>
      </c>
      <c r="F1369" s="6">
        <f>IFERROR(__xludf.DUMMYFUNCTION("""COMPUTED_VALUE"""),5.0)</f>
        <v>5</v>
      </c>
      <c r="G1369" s="6" t="str">
        <f>IFERROR(__xludf.DUMMYFUNCTION("""COMPUTED_VALUE"""),"Pieces")</f>
        <v>Pieces</v>
      </c>
      <c r="H1369" s="6" t="str">
        <f>IFERROR(__xludf.DUMMYFUNCTION("""COMPUTED_VALUE"""),"IDR")</f>
        <v>IDR</v>
      </c>
      <c r="I1369" s="6">
        <f>IFERROR(__xludf.DUMMYFUNCTION("""COMPUTED_VALUE"""),194000.0)</f>
        <v>194000</v>
      </c>
      <c r="J1369" s="6">
        <f>IFERROR(__xludf.DUMMYFUNCTION("""COMPUTED_VALUE"""),970000.0)</f>
        <v>970000</v>
      </c>
      <c r="K1369" s="57">
        <f>IFERROR(__xludf.DUMMYFUNCTION("""COMPUTED_VALUE"""),44246.0)</f>
        <v>44246</v>
      </c>
      <c r="L1369" s="6" t="str">
        <f>IFERROR(__xludf.DUMMYFUNCTION("""COMPUTED_VALUE"""),"FIP Engineering")</f>
        <v>FIP Engineering</v>
      </c>
      <c r="M1369" s="6" t="str">
        <f>IFERROR(__xludf.DUMMYFUNCTION("""COMPUTED_VALUE"""),"Irwan Sopian")</f>
        <v>Irwan Sopian</v>
      </c>
      <c r="N1369" s="6" t="str">
        <f>IFERROR(__xludf.DUMMYFUNCTION("""COMPUTED_VALUE"""),"FIP Engineering")</f>
        <v>FIP Engineering</v>
      </c>
      <c r="O1369" s="6" t="str">
        <f>IFERROR(__xludf.DUMMYFUNCTION("""COMPUTED_VALUE"""),"FIP-DOM-000-11304-OS00001-INA-000000")</f>
        <v>FIP-DOM-000-11304-OS00001-INA-000000</v>
      </c>
      <c r="P1369" s="6" t="str">
        <f>IFERROR(__xludf.DUMMYFUNCTION("""COMPUTED_VALUE"""),"PO Closed")</f>
        <v>PO Closed</v>
      </c>
      <c r="Q1369" s="6" t="str">
        <f>IFERROR(__xludf.DUMMYFUNCTION("""COMPUTED_VALUE"""),"GL2102037")</f>
        <v>GL2102037</v>
      </c>
      <c r="R1369" s="57">
        <f>IFERROR(__xludf.DUMMYFUNCTION("""COMPUTED_VALUE"""),44217.0)</f>
        <v>44217</v>
      </c>
      <c r="S1369" s="6" t="str">
        <f>IFERROR(__xludf.DUMMYFUNCTION("""COMPUTED_VALUE"""),"-")</f>
        <v>-</v>
      </c>
      <c r="T1369" s="57">
        <f>IFERROR(__xludf.DUMMYFUNCTION("""COMPUTED_VALUE"""),44270.0)</f>
        <v>44270</v>
      </c>
    </row>
    <row r="1370">
      <c r="A1370" s="6" t="str">
        <f>IFERROR(__xludf.DUMMYFUNCTION("""COMPUTED_VALUE"""),"211750029-2")</f>
        <v>211750029-2</v>
      </c>
      <c r="B1370" s="6" t="str">
        <f>IFERROR(__xludf.DUMMYFUNCTION("""COMPUTED_VALUE"""),"211750029 - Approved")</f>
        <v>211750029 - Approved</v>
      </c>
      <c r="C1370" s="6">
        <f>IFERROR(__xludf.DUMMYFUNCTION("""COMPUTED_VALUE"""),2.0)</f>
        <v>2</v>
      </c>
      <c r="D1370" s="6" t="str">
        <f>IFERROR(__xludf.DUMMYFUNCTION("""COMPUTED_VALUE"""),"P-51770-00")</f>
        <v>P-51770-00</v>
      </c>
      <c r="E1370" s="6" t="str">
        <f>IFERROR(__xludf.DUMMYFUNCTION("""COMPUTED_VALUE"""),"Digital Thermostat Type RCF230D/L20V REGIN pc")</f>
        <v>Digital Thermostat Type RCF230D/L20V REGIN pc</v>
      </c>
      <c r="F1370" s="6">
        <f>IFERROR(__xludf.DUMMYFUNCTION("""COMPUTED_VALUE"""),1.0)</f>
        <v>1</v>
      </c>
      <c r="G1370" s="6" t="str">
        <f>IFERROR(__xludf.DUMMYFUNCTION("""COMPUTED_VALUE"""),"Pieces")</f>
        <v>Pieces</v>
      </c>
      <c r="H1370" s="6" t="str">
        <f>IFERROR(__xludf.DUMMYFUNCTION("""COMPUTED_VALUE"""),"IDR")</f>
        <v>IDR</v>
      </c>
      <c r="I1370" s="6">
        <f>IFERROR(__xludf.DUMMYFUNCTION("""COMPUTED_VALUE"""),1080000.0)</f>
        <v>1080000</v>
      </c>
      <c r="J1370" s="6">
        <f>IFERROR(__xludf.DUMMYFUNCTION("""COMPUTED_VALUE"""),1080000.0)</f>
        <v>1080000</v>
      </c>
      <c r="K1370" s="57">
        <f>IFERROR(__xludf.DUMMYFUNCTION("""COMPUTED_VALUE"""),44246.0)</f>
        <v>44246</v>
      </c>
      <c r="L1370" s="6" t="str">
        <f>IFERROR(__xludf.DUMMYFUNCTION("""COMPUTED_VALUE"""),"FIP Engineering")</f>
        <v>FIP Engineering</v>
      </c>
      <c r="M1370" s="6" t="str">
        <f>IFERROR(__xludf.DUMMYFUNCTION("""COMPUTED_VALUE"""),"Irwan Sopian")</f>
        <v>Irwan Sopian</v>
      </c>
      <c r="N1370" s="6" t="str">
        <f>IFERROR(__xludf.DUMMYFUNCTION("""COMPUTED_VALUE"""),"FIP Engineering")</f>
        <v>FIP Engineering</v>
      </c>
      <c r="O1370" s="6" t="str">
        <f>IFERROR(__xludf.DUMMYFUNCTION("""COMPUTED_VALUE"""),"FIP-DOM-000-11304-OS00001-INA-000000")</f>
        <v>FIP-DOM-000-11304-OS00001-INA-000000</v>
      </c>
      <c r="P1370" s="6" t="str">
        <f>IFERROR(__xludf.DUMMYFUNCTION("""COMPUTED_VALUE"""),"PO Closed")</f>
        <v>PO Closed</v>
      </c>
      <c r="Q1370" s="6" t="str">
        <f>IFERROR(__xludf.DUMMYFUNCTION("""COMPUTED_VALUE"""),"GL2102038")</f>
        <v>GL2102038</v>
      </c>
      <c r="R1370" s="57">
        <f>IFERROR(__xludf.DUMMYFUNCTION("""COMPUTED_VALUE"""),44217.0)</f>
        <v>44217</v>
      </c>
      <c r="S1370" s="6" t="str">
        <f>IFERROR(__xludf.DUMMYFUNCTION("""COMPUTED_VALUE"""),"-")</f>
        <v>-</v>
      </c>
      <c r="T1370" s="57">
        <f>IFERROR(__xludf.DUMMYFUNCTION("""COMPUTED_VALUE"""),44264.0)</f>
        <v>44264</v>
      </c>
    </row>
    <row r="1371">
      <c r="A1371" s="6" t="str">
        <f>IFERROR(__xludf.DUMMYFUNCTION("""COMPUTED_VALUE"""),"211750039-1")</f>
        <v>211750039-1</v>
      </c>
      <c r="B1371" s="6" t="str">
        <f>IFERROR(__xludf.DUMMYFUNCTION("""COMPUTED_VALUE"""),"211750039 - Approved")</f>
        <v>211750039 - Approved</v>
      </c>
      <c r="C1371" s="6">
        <f>IFERROR(__xludf.DUMMYFUNCTION("""COMPUTED_VALUE"""),1.0)</f>
        <v>1</v>
      </c>
      <c r="D1371" s="6" t="str">
        <f>IFERROR(__xludf.DUMMYFUNCTION("""COMPUTED_VALUE"""),"Q-10650-00")</f>
        <v>Q-10650-00</v>
      </c>
      <c r="E1371" s="6" t="str">
        <f>IFERROR(__xludf.DUMMYFUNCTION("""COMPUTED_VALUE"""),"Aquaproof Abu-Abu @4 Kg")</f>
        <v>Aquaproof Abu-Abu @4 Kg</v>
      </c>
      <c r="F1371" s="6">
        <f>IFERROR(__xludf.DUMMYFUNCTION("""COMPUTED_VALUE"""),2.0)</f>
        <v>2</v>
      </c>
      <c r="G1371" s="6" t="str">
        <f>IFERROR(__xludf.DUMMYFUNCTION("""COMPUTED_VALUE"""),"Can")</f>
        <v>Can</v>
      </c>
      <c r="H1371" s="6" t="str">
        <f>IFERROR(__xludf.DUMMYFUNCTION("""COMPUTED_VALUE"""),"IDR")</f>
        <v>IDR</v>
      </c>
      <c r="I1371" s="6">
        <f>IFERROR(__xludf.DUMMYFUNCTION("""COMPUTED_VALUE"""),210000.0)</f>
        <v>210000</v>
      </c>
      <c r="J1371" s="6">
        <f>IFERROR(__xludf.DUMMYFUNCTION("""COMPUTED_VALUE"""),420000.0)</f>
        <v>420000</v>
      </c>
      <c r="K1371" s="57">
        <f>IFERROR(__xludf.DUMMYFUNCTION("""COMPUTED_VALUE"""),44253.0)</f>
        <v>44253</v>
      </c>
      <c r="L1371" s="6" t="str">
        <f>IFERROR(__xludf.DUMMYFUNCTION("""COMPUTED_VALUE"""),"FIP Engineering")</f>
        <v>FIP Engineering</v>
      </c>
      <c r="M1371" s="6" t="str">
        <f>IFERROR(__xludf.DUMMYFUNCTION("""COMPUTED_VALUE"""),"Irwan Sopian")</f>
        <v>Irwan Sopian</v>
      </c>
      <c r="N1371" s="6" t="str">
        <f>IFERROR(__xludf.DUMMYFUNCTION("""COMPUTED_VALUE"""),"FIP Engineering")</f>
        <v>FIP Engineering</v>
      </c>
      <c r="O1371" s="6" t="str">
        <f>IFERROR(__xludf.DUMMYFUNCTION("""COMPUTED_VALUE"""),"FIP-DOM-000-11304-OS00001-INA-000000")</f>
        <v>FIP-DOM-000-11304-OS00001-INA-000000</v>
      </c>
      <c r="P1371" s="6" t="str">
        <f>IFERROR(__xludf.DUMMYFUNCTION("""COMPUTED_VALUE"""),"PO Closed")</f>
        <v>PO Closed</v>
      </c>
      <c r="Q1371" s="6" t="str">
        <f>IFERROR(__xludf.DUMMYFUNCTION("""COMPUTED_VALUE"""),"GL2102025")</f>
        <v>GL2102025</v>
      </c>
      <c r="R1371" s="57">
        <f>IFERROR(__xludf.DUMMYFUNCTION("""COMPUTED_VALUE"""),44225.0)</f>
        <v>44225</v>
      </c>
      <c r="S1371" s="6" t="str">
        <f>IFERROR(__xludf.DUMMYFUNCTION("""COMPUTED_VALUE"""),"-")</f>
        <v>-</v>
      </c>
      <c r="T1371" s="57">
        <f>IFERROR(__xludf.DUMMYFUNCTION("""COMPUTED_VALUE"""),44259.0)</f>
        <v>44259</v>
      </c>
    </row>
    <row r="1372">
      <c r="A1372" s="6" t="str">
        <f>IFERROR(__xludf.DUMMYFUNCTION("""COMPUTED_VALUE"""),"211750039-2")</f>
        <v>211750039-2</v>
      </c>
      <c r="B1372" s="6" t="str">
        <f>IFERROR(__xludf.DUMMYFUNCTION("""COMPUTED_VALUE"""),"211750039 - Approved")</f>
        <v>211750039 - Approved</v>
      </c>
      <c r="C1372" s="6">
        <f>IFERROR(__xludf.DUMMYFUNCTION("""COMPUTED_VALUE"""),2.0)</f>
        <v>2</v>
      </c>
      <c r="D1372" s="6" t="str">
        <f>IFERROR(__xludf.DUMMYFUNCTION("""COMPUTED_VALUE"""),"Q-10651-00")</f>
        <v>Q-10651-00</v>
      </c>
      <c r="E1372" s="6" t="str">
        <f>IFERROR(__xludf.DUMMYFUNCTION("""COMPUTED_VALUE"""),"Aquaproof Putih @4 Kg")</f>
        <v>Aquaproof Putih @4 Kg</v>
      </c>
      <c r="F1372" s="6">
        <f>IFERROR(__xludf.DUMMYFUNCTION("""COMPUTED_VALUE"""),2.0)</f>
        <v>2</v>
      </c>
      <c r="G1372" s="6" t="str">
        <f>IFERROR(__xludf.DUMMYFUNCTION("""COMPUTED_VALUE"""),"Can")</f>
        <v>Can</v>
      </c>
      <c r="H1372" s="6" t="str">
        <f>IFERROR(__xludf.DUMMYFUNCTION("""COMPUTED_VALUE"""),"IDR")</f>
        <v>IDR</v>
      </c>
      <c r="I1372" s="6">
        <f>IFERROR(__xludf.DUMMYFUNCTION("""COMPUTED_VALUE"""),210000.0)</f>
        <v>210000</v>
      </c>
      <c r="J1372" s="6">
        <f>IFERROR(__xludf.DUMMYFUNCTION("""COMPUTED_VALUE"""),420000.0)</f>
        <v>420000</v>
      </c>
      <c r="K1372" s="57">
        <f>IFERROR(__xludf.DUMMYFUNCTION("""COMPUTED_VALUE"""),44253.0)</f>
        <v>44253</v>
      </c>
      <c r="L1372" s="6" t="str">
        <f>IFERROR(__xludf.DUMMYFUNCTION("""COMPUTED_VALUE"""),"FIP Engineering")</f>
        <v>FIP Engineering</v>
      </c>
      <c r="M1372" s="6" t="str">
        <f>IFERROR(__xludf.DUMMYFUNCTION("""COMPUTED_VALUE"""),"Irwan Sopian")</f>
        <v>Irwan Sopian</v>
      </c>
      <c r="N1372" s="6" t="str">
        <f>IFERROR(__xludf.DUMMYFUNCTION("""COMPUTED_VALUE"""),"FIP Engineering")</f>
        <v>FIP Engineering</v>
      </c>
      <c r="O1372" s="6" t="str">
        <f>IFERROR(__xludf.DUMMYFUNCTION("""COMPUTED_VALUE"""),"FIP-DOM-000-11304-OS00001-INA-000000")</f>
        <v>FIP-DOM-000-11304-OS00001-INA-000000</v>
      </c>
      <c r="P1372" s="6" t="str">
        <f>IFERROR(__xludf.DUMMYFUNCTION("""COMPUTED_VALUE"""),"PO Closed")</f>
        <v>PO Closed</v>
      </c>
      <c r="Q1372" s="6" t="str">
        <f>IFERROR(__xludf.DUMMYFUNCTION("""COMPUTED_VALUE"""),"GL2102025")</f>
        <v>GL2102025</v>
      </c>
      <c r="R1372" s="57">
        <f>IFERROR(__xludf.DUMMYFUNCTION("""COMPUTED_VALUE"""),44225.0)</f>
        <v>44225</v>
      </c>
      <c r="S1372" s="6" t="str">
        <f>IFERROR(__xludf.DUMMYFUNCTION("""COMPUTED_VALUE"""),"-")</f>
        <v>-</v>
      </c>
      <c r="T1372" s="57">
        <f>IFERROR(__xludf.DUMMYFUNCTION("""COMPUTED_VALUE"""),44259.0)</f>
        <v>44259</v>
      </c>
    </row>
    <row r="1373">
      <c r="A1373" s="6" t="str">
        <f>IFERROR(__xludf.DUMMYFUNCTION("""COMPUTED_VALUE"""),"211750039-3")</f>
        <v>211750039-3</v>
      </c>
      <c r="B1373" s="6" t="str">
        <f>IFERROR(__xludf.DUMMYFUNCTION("""COMPUTED_VALUE"""),"211750039 - Approved")</f>
        <v>211750039 - Approved</v>
      </c>
      <c r="C1373" s="6">
        <f>IFERROR(__xludf.DUMMYFUNCTION("""COMPUTED_VALUE"""),3.0)</f>
        <v>3</v>
      </c>
      <c r="D1373" s="6" t="str">
        <f>IFERROR(__xludf.DUMMYFUNCTION("""COMPUTED_VALUE"""),"Q-10652-00")</f>
        <v>Q-10652-00</v>
      </c>
      <c r="E1373" s="6" t="str">
        <f>IFERROR(__xludf.DUMMYFUNCTION("""COMPUTED_VALUE"""),"Cat Multipurpose PU Acrylic Orange 101-1 Propan")</f>
        <v>Cat Multipurpose PU Acrylic Orange 101-1 Propan</v>
      </c>
      <c r="F1373" s="6">
        <f>IFERROR(__xludf.DUMMYFUNCTION("""COMPUTED_VALUE"""),3.0)</f>
        <v>3</v>
      </c>
      <c r="G1373" s="6" t="str">
        <f>IFERROR(__xludf.DUMMYFUNCTION("""COMPUTED_VALUE"""),"Can")</f>
        <v>Can</v>
      </c>
      <c r="H1373" s="6" t="str">
        <f>IFERROR(__xludf.DUMMYFUNCTION("""COMPUTED_VALUE"""),"IDR")</f>
        <v>IDR</v>
      </c>
      <c r="I1373" s="6">
        <f>IFERROR(__xludf.DUMMYFUNCTION("""COMPUTED_VALUE"""),172250.0)</f>
        <v>172250</v>
      </c>
      <c r="J1373" s="6">
        <f>IFERROR(__xludf.DUMMYFUNCTION("""COMPUTED_VALUE"""),516750.0)</f>
        <v>516750</v>
      </c>
      <c r="K1373" s="57">
        <f>IFERROR(__xludf.DUMMYFUNCTION("""COMPUTED_VALUE"""),44253.0)</f>
        <v>44253</v>
      </c>
      <c r="L1373" s="6" t="str">
        <f>IFERROR(__xludf.DUMMYFUNCTION("""COMPUTED_VALUE"""),"FIP Engineering")</f>
        <v>FIP Engineering</v>
      </c>
      <c r="M1373" s="6" t="str">
        <f>IFERROR(__xludf.DUMMYFUNCTION("""COMPUTED_VALUE"""),"Irwan Sopian")</f>
        <v>Irwan Sopian</v>
      </c>
      <c r="N1373" s="6" t="str">
        <f>IFERROR(__xludf.DUMMYFUNCTION("""COMPUTED_VALUE"""),"FIP Engineering")</f>
        <v>FIP Engineering</v>
      </c>
      <c r="O1373" s="6" t="str">
        <f>IFERROR(__xludf.DUMMYFUNCTION("""COMPUTED_VALUE"""),"FIP-DOM-000-11304-OS00001-INA-000000")</f>
        <v>FIP-DOM-000-11304-OS00001-INA-000000</v>
      </c>
      <c r="P1373" s="6" t="str">
        <f>IFERROR(__xludf.DUMMYFUNCTION("""COMPUTED_VALUE"""),"PO Closed")</f>
        <v>PO Closed</v>
      </c>
      <c r="Q1373" s="6" t="str">
        <f>IFERROR(__xludf.DUMMYFUNCTION("""COMPUTED_VALUE"""),"GL2102025")</f>
        <v>GL2102025</v>
      </c>
      <c r="R1373" s="57">
        <f>IFERROR(__xludf.DUMMYFUNCTION("""COMPUTED_VALUE"""),44225.0)</f>
        <v>44225</v>
      </c>
      <c r="S1373" s="6" t="str">
        <f>IFERROR(__xludf.DUMMYFUNCTION("""COMPUTED_VALUE"""),"-")</f>
        <v>-</v>
      </c>
      <c r="T1373" s="57">
        <f>IFERROR(__xludf.DUMMYFUNCTION("""COMPUTED_VALUE"""),44259.0)</f>
        <v>44259</v>
      </c>
    </row>
    <row r="1374">
      <c r="A1374" s="6" t="str">
        <f>IFERROR(__xludf.DUMMYFUNCTION("""COMPUTED_VALUE"""),"211750039-4")</f>
        <v>211750039-4</v>
      </c>
      <c r="B1374" s="6" t="str">
        <f>IFERROR(__xludf.DUMMYFUNCTION("""COMPUTED_VALUE"""),"211750039 - Approved")</f>
        <v>211750039 - Approved</v>
      </c>
      <c r="C1374" s="6">
        <f>IFERROR(__xludf.DUMMYFUNCTION("""COMPUTED_VALUE"""),4.0)</f>
        <v>4</v>
      </c>
      <c r="D1374" s="6" t="str">
        <f>IFERROR(__xludf.DUMMYFUNCTION("""COMPUTED_VALUE"""),"Q-60025-00")</f>
        <v>Q-60025-00</v>
      </c>
      <c r="E1374" s="6" t="str">
        <f>IFERROR(__xludf.DUMMYFUNCTION("""COMPUTED_VALUE"""),"Kuas Eterna 1""")</f>
        <v>Kuas Eterna 1"</v>
      </c>
      <c r="F1374" s="6">
        <f>IFERROR(__xludf.DUMMYFUNCTION("""COMPUTED_VALUE"""),10.0)</f>
        <v>10</v>
      </c>
      <c r="G1374" s="6" t="str">
        <f>IFERROR(__xludf.DUMMYFUNCTION("""COMPUTED_VALUE"""),"Pieces")</f>
        <v>Pieces</v>
      </c>
      <c r="H1374" s="6" t="str">
        <f>IFERROR(__xludf.DUMMYFUNCTION("""COMPUTED_VALUE"""),"IDR")</f>
        <v>IDR</v>
      </c>
      <c r="I1374" s="6">
        <f>IFERROR(__xludf.DUMMYFUNCTION("""COMPUTED_VALUE"""),5000.0)</f>
        <v>5000</v>
      </c>
      <c r="J1374" s="6">
        <f>IFERROR(__xludf.DUMMYFUNCTION("""COMPUTED_VALUE"""),50000.0)</f>
        <v>50000</v>
      </c>
      <c r="K1374" s="57">
        <f>IFERROR(__xludf.DUMMYFUNCTION("""COMPUTED_VALUE"""),44253.0)</f>
        <v>44253</v>
      </c>
      <c r="L1374" s="6" t="str">
        <f>IFERROR(__xludf.DUMMYFUNCTION("""COMPUTED_VALUE"""),"FIP General")</f>
        <v>FIP General</v>
      </c>
      <c r="M1374" s="6" t="str">
        <f>IFERROR(__xludf.DUMMYFUNCTION("""COMPUTED_VALUE"""),"Irwan Sopian")</f>
        <v>Irwan Sopian</v>
      </c>
      <c r="N1374" s="6" t="str">
        <f>IFERROR(__xludf.DUMMYFUNCTION("""COMPUTED_VALUE"""),"FIP Engineering")</f>
        <v>FIP Engineering</v>
      </c>
      <c r="O1374" s="6" t="str">
        <f>IFERROR(__xludf.DUMMYFUNCTION("""COMPUTED_VALUE"""),"FIP-DOM-ENG-51404-0000000-INA-000000")</f>
        <v>FIP-DOM-ENG-51404-0000000-INA-000000</v>
      </c>
      <c r="P1374" s="6" t="str">
        <f>IFERROR(__xludf.DUMMYFUNCTION("""COMPUTED_VALUE"""),"PO Closed")</f>
        <v>PO Closed</v>
      </c>
      <c r="Q1374" s="6" t="str">
        <f>IFERROR(__xludf.DUMMYFUNCTION("""COMPUTED_VALUE"""),"GL2102025")</f>
        <v>GL2102025</v>
      </c>
      <c r="R1374" s="57">
        <f>IFERROR(__xludf.DUMMYFUNCTION("""COMPUTED_VALUE"""),44225.0)</f>
        <v>44225</v>
      </c>
      <c r="S1374" s="6" t="str">
        <f>IFERROR(__xludf.DUMMYFUNCTION("""COMPUTED_VALUE"""),"-")</f>
        <v>-</v>
      </c>
      <c r="T1374" s="57">
        <f>IFERROR(__xludf.DUMMYFUNCTION("""COMPUTED_VALUE"""),44259.0)</f>
        <v>44259</v>
      </c>
    </row>
    <row r="1375">
      <c r="A1375" s="6" t="str">
        <f>IFERROR(__xludf.DUMMYFUNCTION("""COMPUTED_VALUE"""),"211750039-5")</f>
        <v>211750039-5</v>
      </c>
      <c r="B1375" s="6" t="str">
        <f>IFERROR(__xludf.DUMMYFUNCTION("""COMPUTED_VALUE"""),"211750039 - Approved")</f>
        <v>211750039 - Approved</v>
      </c>
      <c r="C1375" s="6">
        <f>IFERROR(__xludf.DUMMYFUNCTION("""COMPUTED_VALUE"""),5.0)</f>
        <v>5</v>
      </c>
      <c r="D1375" s="6" t="str">
        <f>IFERROR(__xludf.DUMMYFUNCTION("""COMPUTED_VALUE"""),"Q-10475-00")</f>
        <v>Q-10475-00</v>
      </c>
      <c r="E1375" s="6" t="str">
        <f>IFERROR(__xludf.DUMMYFUNCTION("""COMPUTED_VALUE"""),"Cat Tembok")</f>
        <v>Cat Tembok</v>
      </c>
      <c r="F1375" s="6">
        <f>IFERROR(__xludf.DUMMYFUNCTION("""COMPUTED_VALUE"""),2.0)</f>
        <v>2</v>
      </c>
      <c r="G1375" s="6" t="str">
        <f>IFERROR(__xludf.DUMMYFUNCTION("""COMPUTED_VALUE"""),"Can")</f>
        <v>Can</v>
      </c>
      <c r="H1375" s="6" t="str">
        <f>IFERROR(__xludf.DUMMYFUNCTION("""COMPUTED_VALUE"""),"IDR")</f>
        <v>IDR</v>
      </c>
      <c r="I1375" s="6">
        <f>IFERROR(__xludf.DUMMYFUNCTION("""COMPUTED_VALUE"""),1987500.0)</f>
        <v>1987500</v>
      </c>
      <c r="J1375" s="6">
        <f>IFERROR(__xludf.DUMMYFUNCTION("""COMPUTED_VALUE"""),3975000.0)</f>
        <v>3975000</v>
      </c>
      <c r="K1375" s="57">
        <f>IFERROR(__xludf.DUMMYFUNCTION("""COMPUTED_VALUE"""),44253.0)</f>
        <v>44253</v>
      </c>
      <c r="L1375" s="6" t="str">
        <f>IFERROR(__xludf.DUMMYFUNCTION("""COMPUTED_VALUE"""),"FIP General")</f>
        <v>FIP General</v>
      </c>
      <c r="M1375" s="6" t="str">
        <f>IFERROR(__xludf.DUMMYFUNCTION("""COMPUTED_VALUE"""),"Irwan Sopian")</f>
        <v>Irwan Sopian</v>
      </c>
      <c r="N1375" s="6" t="str">
        <f>IFERROR(__xludf.DUMMYFUNCTION("""COMPUTED_VALUE"""),"FIP Engineering")</f>
        <v>FIP Engineering</v>
      </c>
      <c r="O1375" s="6" t="str">
        <f>IFERROR(__xludf.DUMMYFUNCTION("""COMPUTED_VALUE"""),"FIP-DOM-ENG-51502-0000000-INA-000000")</f>
        <v>FIP-DOM-ENG-51502-0000000-INA-000000</v>
      </c>
      <c r="P1375" s="6" t="str">
        <f>IFERROR(__xludf.DUMMYFUNCTION("""COMPUTED_VALUE"""),"PO Closed")</f>
        <v>PO Closed</v>
      </c>
      <c r="Q1375" s="6" t="str">
        <f>IFERROR(__xludf.DUMMYFUNCTION("""COMPUTED_VALUE"""),"GL2102025")</f>
        <v>GL2102025</v>
      </c>
      <c r="R1375" s="57">
        <f>IFERROR(__xludf.DUMMYFUNCTION("""COMPUTED_VALUE"""),44225.0)</f>
        <v>44225</v>
      </c>
      <c r="S1375" s="6" t="str">
        <f>IFERROR(__xludf.DUMMYFUNCTION("""COMPUTED_VALUE"""),"-")</f>
        <v>-</v>
      </c>
      <c r="T1375" s="57">
        <f>IFERROR(__xludf.DUMMYFUNCTION("""COMPUTED_VALUE"""),44259.0)</f>
        <v>44259</v>
      </c>
    </row>
    <row r="1376">
      <c r="A1376" s="6" t="str">
        <f>IFERROR(__xludf.DUMMYFUNCTION("""COMPUTED_VALUE"""),"211750039-6")</f>
        <v>211750039-6</v>
      </c>
      <c r="B1376" s="6" t="str">
        <f>IFERROR(__xludf.DUMMYFUNCTION("""COMPUTED_VALUE"""),"211750039 - Approved")</f>
        <v>211750039 - Approved</v>
      </c>
      <c r="C1376" s="6">
        <f>IFERROR(__xludf.DUMMYFUNCTION("""COMPUTED_VALUE"""),6.0)</f>
        <v>6</v>
      </c>
      <c r="D1376" s="6" t="str">
        <f>IFERROR(__xludf.DUMMYFUNCTION("""COMPUTED_VALUE"""),"Q-10154-00")</f>
        <v>Q-10154-00</v>
      </c>
      <c r="E1376" s="6" t="str">
        <f>IFERROR(__xludf.DUMMYFUNCTION("""COMPUTED_VALUE"""),"Roller cat 230mm")</f>
        <v>Roller cat 230mm</v>
      </c>
      <c r="F1376" s="6">
        <f>IFERROR(__xludf.DUMMYFUNCTION("""COMPUTED_VALUE"""),10.0)</f>
        <v>10</v>
      </c>
      <c r="G1376" s="6" t="str">
        <f>IFERROR(__xludf.DUMMYFUNCTION("""COMPUTED_VALUE"""),"Pieces")</f>
        <v>Pieces</v>
      </c>
      <c r="H1376" s="6" t="str">
        <f>IFERROR(__xludf.DUMMYFUNCTION("""COMPUTED_VALUE"""),"IDR")</f>
        <v>IDR</v>
      </c>
      <c r="I1376" s="6">
        <f>IFERROR(__xludf.DUMMYFUNCTION("""COMPUTED_VALUE"""),35000.0)</f>
        <v>35000</v>
      </c>
      <c r="J1376" s="6">
        <f>IFERROR(__xludf.DUMMYFUNCTION("""COMPUTED_VALUE"""),350000.0)</f>
        <v>350000</v>
      </c>
      <c r="K1376" s="57">
        <f>IFERROR(__xludf.DUMMYFUNCTION("""COMPUTED_VALUE"""),44253.0)</f>
        <v>44253</v>
      </c>
      <c r="L1376" s="6" t="str">
        <f>IFERROR(__xludf.DUMMYFUNCTION("""COMPUTED_VALUE"""),"FIP Engineering")</f>
        <v>FIP Engineering</v>
      </c>
      <c r="M1376" s="6" t="str">
        <f>IFERROR(__xludf.DUMMYFUNCTION("""COMPUTED_VALUE"""),"Irwan Sopian")</f>
        <v>Irwan Sopian</v>
      </c>
      <c r="N1376" s="6" t="str">
        <f>IFERROR(__xludf.DUMMYFUNCTION("""COMPUTED_VALUE"""),"FIP Engineering")</f>
        <v>FIP Engineering</v>
      </c>
      <c r="O1376" s="6" t="str">
        <f>IFERROR(__xludf.DUMMYFUNCTION("""COMPUTED_VALUE"""),"FIP-DOM-000-11304-OS00001-INA-000000")</f>
        <v>FIP-DOM-000-11304-OS00001-INA-000000</v>
      </c>
      <c r="P1376" s="6" t="str">
        <f>IFERROR(__xludf.DUMMYFUNCTION("""COMPUTED_VALUE"""),"PO Closed")</f>
        <v>PO Closed</v>
      </c>
      <c r="Q1376" s="6" t="str">
        <f>IFERROR(__xludf.DUMMYFUNCTION("""COMPUTED_VALUE"""),"GL2102025")</f>
        <v>GL2102025</v>
      </c>
      <c r="R1376" s="57">
        <f>IFERROR(__xludf.DUMMYFUNCTION("""COMPUTED_VALUE"""),44225.0)</f>
        <v>44225</v>
      </c>
      <c r="S1376" s="6" t="str">
        <f>IFERROR(__xludf.DUMMYFUNCTION("""COMPUTED_VALUE"""),"-")</f>
        <v>-</v>
      </c>
      <c r="T1376" s="57">
        <f>IFERROR(__xludf.DUMMYFUNCTION("""COMPUTED_VALUE"""),44259.0)</f>
        <v>44259</v>
      </c>
    </row>
    <row r="1377">
      <c r="A1377" s="6" t="str">
        <f>IFERROR(__xludf.DUMMYFUNCTION("""COMPUTED_VALUE"""),"211750039-7")</f>
        <v>211750039-7</v>
      </c>
      <c r="B1377" s="6" t="str">
        <f>IFERROR(__xludf.DUMMYFUNCTION("""COMPUTED_VALUE"""),"211750039 - Approved")</f>
        <v>211750039 - Approved</v>
      </c>
      <c r="C1377" s="6">
        <f>IFERROR(__xludf.DUMMYFUNCTION("""COMPUTED_VALUE"""),7.0)</f>
        <v>7</v>
      </c>
      <c r="D1377" s="6" t="str">
        <f>IFERROR(__xludf.DUMMYFUNCTION("""COMPUTED_VALUE"""),"Q-10153-00")</f>
        <v>Q-10153-00</v>
      </c>
      <c r="E1377" s="6" t="str">
        <f>IFERROR(__xludf.DUMMYFUNCTION("""COMPUTED_VALUE"""),"Roller cat 110mm")</f>
        <v>Roller cat 110mm</v>
      </c>
      <c r="F1377" s="6">
        <f>IFERROR(__xludf.DUMMYFUNCTION("""COMPUTED_VALUE"""),10.0)</f>
        <v>10</v>
      </c>
      <c r="G1377" s="6" t="str">
        <f>IFERROR(__xludf.DUMMYFUNCTION("""COMPUTED_VALUE"""),"Pieces")</f>
        <v>Pieces</v>
      </c>
      <c r="H1377" s="6" t="str">
        <f>IFERROR(__xludf.DUMMYFUNCTION("""COMPUTED_VALUE"""),"IDR")</f>
        <v>IDR</v>
      </c>
      <c r="I1377" s="6">
        <f>IFERROR(__xludf.DUMMYFUNCTION("""COMPUTED_VALUE"""),25000.0)</f>
        <v>25000</v>
      </c>
      <c r="J1377" s="6">
        <f>IFERROR(__xludf.DUMMYFUNCTION("""COMPUTED_VALUE"""),250000.0)</f>
        <v>250000</v>
      </c>
      <c r="K1377" s="57">
        <f>IFERROR(__xludf.DUMMYFUNCTION("""COMPUTED_VALUE"""),44253.0)</f>
        <v>44253</v>
      </c>
      <c r="L1377" s="6" t="str">
        <f>IFERROR(__xludf.DUMMYFUNCTION("""COMPUTED_VALUE"""),"FIP Engineering")</f>
        <v>FIP Engineering</v>
      </c>
      <c r="M1377" s="6" t="str">
        <f>IFERROR(__xludf.DUMMYFUNCTION("""COMPUTED_VALUE"""),"Irwan Sopian")</f>
        <v>Irwan Sopian</v>
      </c>
      <c r="N1377" s="6" t="str">
        <f>IFERROR(__xludf.DUMMYFUNCTION("""COMPUTED_VALUE"""),"FIP Engineering")</f>
        <v>FIP Engineering</v>
      </c>
      <c r="O1377" s="6" t="str">
        <f>IFERROR(__xludf.DUMMYFUNCTION("""COMPUTED_VALUE"""),"FIP-DOM-000-11304-OS00001-INA-000000")</f>
        <v>FIP-DOM-000-11304-OS00001-INA-000000</v>
      </c>
      <c r="P1377" s="6" t="str">
        <f>IFERROR(__xludf.DUMMYFUNCTION("""COMPUTED_VALUE"""),"PO Closed")</f>
        <v>PO Closed</v>
      </c>
      <c r="Q1377" s="6" t="str">
        <f>IFERROR(__xludf.DUMMYFUNCTION("""COMPUTED_VALUE"""),"GL2102025")</f>
        <v>GL2102025</v>
      </c>
      <c r="R1377" s="57">
        <f>IFERROR(__xludf.DUMMYFUNCTION("""COMPUTED_VALUE"""),44225.0)</f>
        <v>44225</v>
      </c>
      <c r="S1377" s="6" t="str">
        <f>IFERROR(__xludf.DUMMYFUNCTION("""COMPUTED_VALUE"""),"-")</f>
        <v>-</v>
      </c>
      <c r="T1377" s="57">
        <f>IFERROR(__xludf.DUMMYFUNCTION("""COMPUTED_VALUE"""),44259.0)</f>
        <v>44259</v>
      </c>
    </row>
    <row r="1378">
      <c r="A1378" s="6" t="str">
        <f>IFERROR(__xludf.DUMMYFUNCTION("""COMPUTED_VALUE"""),"211750039-8")</f>
        <v>211750039-8</v>
      </c>
      <c r="B1378" s="6" t="str">
        <f>IFERROR(__xludf.DUMMYFUNCTION("""COMPUTED_VALUE"""),"211750039 - Approved")</f>
        <v>211750039 - Approved</v>
      </c>
      <c r="C1378" s="6">
        <f>IFERROR(__xludf.DUMMYFUNCTION("""COMPUTED_VALUE"""),8.0)</f>
        <v>8</v>
      </c>
      <c r="D1378" s="6" t="str">
        <f>IFERROR(__xludf.DUMMYFUNCTION("""COMPUTED_VALUE"""),"Q-10492-00")</f>
        <v>Q-10492-00</v>
      </c>
      <c r="E1378" s="6" t="str">
        <f>IFERROR(__xludf.DUMMYFUNCTION("""COMPUTED_VALUE"""),"Amplas lembar")</f>
        <v>Amplas lembar</v>
      </c>
      <c r="F1378" s="6">
        <f>IFERROR(__xludf.DUMMYFUNCTION("""COMPUTED_VALUE"""),10.0)</f>
        <v>10</v>
      </c>
      <c r="G1378" s="6" t="str">
        <f>IFERROR(__xludf.DUMMYFUNCTION("""COMPUTED_VALUE"""),"Pieces")</f>
        <v>Pieces</v>
      </c>
      <c r="H1378" s="6" t="str">
        <f>IFERROR(__xludf.DUMMYFUNCTION("""COMPUTED_VALUE"""),"IDR")</f>
        <v>IDR</v>
      </c>
      <c r="I1378" s="6">
        <f>IFERROR(__xludf.DUMMYFUNCTION("""COMPUTED_VALUE"""),5000.0)</f>
        <v>5000</v>
      </c>
      <c r="J1378" s="6">
        <f>IFERROR(__xludf.DUMMYFUNCTION("""COMPUTED_VALUE"""),50000.0)</f>
        <v>50000</v>
      </c>
      <c r="K1378" s="57">
        <f>IFERROR(__xludf.DUMMYFUNCTION("""COMPUTED_VALUE"""),44253.0)</f>
        <v>44253</v>
      </c>
      <c r="L1378" s="6" t="str">
        <f>IFERROR(__xludf.DUMMYFUNCTION("""COMPUTED_VALUE"""),"FIP General")</f>
        <v>FIP General</v>
      </c>
      <c r="M1378" s="6" t="str">
        <f>IFERROR(__xludf.DUMMYFUNCTION("""COMPUTED_VALUE"""),"Irwan Sopian")</f>
        <v>Irwan Sopian</v>
      </c>
      <c r="N1378" s="6" t="str">
        <f>IFERROR(__xludf.DUMMYFUNCTION("""COMPUTED_VALUE"""),"FIP Engineering")</f>
        <v>FIP Engineering</v>
      </c>
      <c r="O1378" s="6" t="str">
        <f>IFERROR(__xludf.DUMMYFUNCTION("""COMPUTED_VALUE"""),"FIP-DOM-ENG-51404-0000000-INA-000000")</f>
        <v>FIP-DOM-ENG-51404-0000000-INA-000000</v>
      </c>
      <c r="P1378" s="6" t="str">
        <f>IFERROR(__xludf.DUMMYFUNCTION("""COMPUTED_VALUE"""),"PO Closed")</f>
        <v>PO Closed</v>
      </c>
      <c r="Q1378" s="6" t="str">
        <f>IFERROR(__xludf.DUMMYFUNCTION("""COMPUTED_VALUE"""),"GL2102025")</f>
        <v>GL2102025</v>
      </c>
      <c r="R1378" s="57">
        <f>IFERROR(__xludf.DUMMYFUNCTION("""COMPUTED_VALUE"""),44225.0)</f>
        <v>44225</v>
      </c>
      <c r="S1378" s="6" t="str">
        <f>IFERROR(__xludf.DUMMYFUNCTION("""COMPUTED_VALUE"""),"-")</f>
        <v>-</v>
      </c>
      <c r="T1378" s="57">
        <f>IFERROR(__xludf.DUMMYFUNCTION("""COMPUTED_VALUE"""),44259.0)</f>
        <v>44259</v>
      </c>
    </row>
    <row r="1379">
      <c r="A1379" s="6" t="str">
        <f>IFERROR(__xludf.DUMMYFUNCTION("""COMPUTED_VALUE"""),"211750039-9")</f>
        <v>211750039-9</v>
      </c>
      <c r="B1379" s="6" t="str">
        <f>IFERROR(__xludf.DUMMYFUNCTION("""COMPUTED_VALUE"""),"211750039 - Approved")</f>
        <v>211750039 - Approved</v>
      </c>
      <c r="C1379" s="6">
        <f>IFERROR(__xludf.DUMMYFUNCTION("""COMPUTED_VALUE"""),9.0)</f>
        <v>9</v>
      </c>
      <c r="D1379" s="6" t="str">
        <f>IFERROR(__xludf.DUMMYFUNCTION("""COMPUTED_VALUE"""),"Q-10492-00")</f>
        <v>Q-10492-00</v>
      </c>
      <c r="E1379" s="6" t="str">
        <f>IFERROR(__xludf.DUMMYFUNCTION("""COMPUTED_VALUE"""),"Amplas lembar")</f>
        <v>Amplas lembar</v>
      </c>
      <c r="F1379" s="6">
        <f>IFERROR(__xludf.DUMMYFUNCTION("""COMPUTED_VALUE"""),10.0)</f>
        <v>10</v>
      </c>
      <c r="G1379" s="6" t="str">
        <f>IFERROR(__xludf.DUMMYFUNCTION("""COMPUTED_VALUE"""),"Pieces")</f>
        <v>Pieces</v>
      </c>
      <c r="H1379" s="6" t="str">
        <f>IFERROR(__xludf.DUMMYFUNCTION("""COMPUTED_VALUE"""),"IDR")</f>
        <v>IDR</v>
      </c>
      <c r="I1379" s="6">
        <f>IFERROR(__xludf.DUMMYFUNCTION("""COMPUTED_VALUE"""),5000.0)</f>
        <v>5000</v>
      </c>
      <c r="J1379" s="6">
        <f>IFERROR(__xludf.DUMMYFUNCTION("""COMPUTED_VALUE"""),50000.0)</f>
        <v>50000</v>
      </c>
      <c r="K1379" s="57">
        <f>IFERROR(__xludf.DUMMYFUNCTION("""COMPUTED_VALUE"""),44253.0)</f>
        <v>44253</v>
      </c>
      <c r="L1379" s="6" t="str">
        <f>IFERROR(__xludf.DUMMYFUNCTION("""COMPUTED_VALUE"""),"FIP General")</f>
        <v>FIP General</v>
      </c>
      <c r="M1379" s="6" t="str">
        <f>IFERROR(__xludf.DUMMYFUNCTION("""COMPUTED_VALUE"""),"Irwan Sopian")</f>
        <v>Irwan Sopian</v>
      </c>
      <c r="N1379" s="6" t="str">
        <f>IFERROR(__xludf.DUMMYFUNCTION("""COMPUTED_VALUE"""),"FIP Engineering")</f>
        <v>FIP Engineering</v>
      </c>
      <c r="O1379" s="6" t="str">
        <f>IFERROR(__xludf.DUMMYFUNCTION("""COMPUTED_VALUE"""),"FIP-DOM-ENG-51404-0000000-INA-000000")</f>
        <v>FIP-DOM-ENG-51404-0000000-INA-000000</v>
      </c>
      <c r="P1379" s="6" t="str">
        <f>IFERROR(__xludf.DUMMYFUNCTION("""COMPUTED_VALUE"""),"PO Closed")</f>
        <v>PO Closed</v>
      </c>
      <c r="Q1379" s="6" t="str">
        <f>IFERROR(__xludf.DUMMYFUNCTION("""COMPUTED_VALUE"""),"GL2102025")</f>
        <v>GL2102025</v>
      </c>
      <c r="R1379" s="57">
        <f>IFERROR(__xludf.DUMMYFUNCTION("""COMPUTED_VALUE"""),44225.0)</f>
        <v>44225</v>
      </c>
      <c r="S1379" s="6" t="str">
        <f>IFERROR(__xludf.DUMMYFUNCTION("""COMPUTED_VALUE"""),"-")</f>
        <v>-</v>
      </c>
      <c r="T1379" s="57">
        <f>IFERROR(__xludf.DUMMYFUNCTION("""COMPUTED_VALUE"""),44259.0)</f>
        <v>44259</v>
      </c>
    </row>
    <row r="1380">
      <c r="A1380" s="6" t="str">
        <f>IFERROR(__xludf.DUMMYFUNCTION("""COMPUTED_VALUE"""),"211750039-10")</f>
        <v>211750039-10</v>
      </c>
      <c r="B1380" s="6" t="str">
        <f>IFERROR(__xludf.DUMMYFUNCTION("""COMPUTED_VALUE"""),"211750039 - Approved")</f>
        <v>211750039 - Approved</v>
      </c>
      <c r="C1380" s="6">
        <f>IFERROR(__xludf.DUMMYFUNCTION("""COMPUTED_VALUE"""),10.0)</f>
        <v>10</v>
      </c>
      <c r="D1380" s="6" t="str">
        <f>IFERROR(__xludf.DUMMYFUNCTION("""COMPUTED_VALUE"""),"Q-10516-00")</f>
        <v>Q-10516-00</v>
      </c>
      <c r="E1380" s="6" t="str">
        <f>IFERROR(__xludf.DUMMYFUNCTION("""COMPUTED_VALUE"""),"Pahat Besi / Cold Chisel")</f>
        <v>Pahat Besi / Cold Chisel</v>
      </c>
      <c r="F1380" s="6">
        <f>IFERROR(__xludf.DUMMYFUNCTION("""COMPUTED_VALUE"""),1.0)</f>
        <v>1</v>
      </c>
      <c r="G1380" s="6" t="str">
        <f>IFERROR(__xludf.DUMMYFUNCTION("""COMPUTED_VALUE"""),"Pieces")</f>
        <v>Pieces</v>
      </c>
      <c r="H1380" s="6" t="str">
        <f>IFERROR(__xludf.DUMMYFUNCTION("""COMPUTED_VALUE"""),"IDR")</f>
        <v>IDR</v>
      </c>
      <c r="I1380" s="6">
        <f>IFERROR(__xludf.DUMMYFUNCTION("""COMPUTED_VALUE"""),48500.0)</f>
        <v>48500</v>
      </c>
      <c r="J1380" s="6">
        <f>IFERROR(__xludf.DUMMYFUNCTION("""COMPUTED_VALUE"""),48500.0)</f>
        <v>48500</v>
      </c>
      <c r="K1380" s="57">
        <f>IFERROR(__xludf.DUMMYFUNCTION("""COMPUTED_VALUE"""),44253.0)</f>
        <v>44253</v>
      </c>
      <c r="L1380" s="6" t="str">
        <f>IFERROR(__xludf.DUMMYFUNCTION("""COMPUTED_VALUE"""),"FIP General")</f>
        <v>FIP General</v>
      </c>
      <c r="M1380" s="6" t="str">
        <f>IFERROR(__xludf.DUMMYFUNCTION("""COMPUTED_VALUE"""),"Irwan Sopian")</f>
        <v>Irwan Sopian</v>
      </c>
      <c r="N1380" s="6" t="str">
        <f>IFERROR(__xludf.DUMMYFUNCTION("""COMPUTED_VALUE"""),"FIP Engineering")</f>
        <v>FIP Engineering</v>
      </c>
      <c r="O1380" s="6" t="str">
        <f>IFERROR(__xludf.DUMMYFUNCTION("""COMPUTED_VALUE"""),"FIP-DOM-ENG-51502-0000000-INA-000000")</f>
        <v>FIP-DOM-ENG-51502-0000000-INA-000000</v>
      </c>
      <c r="P1380" s="6" t="str">
        <f>IFERROR(__xludf.DUMMYFUNCTION("""COMPUTED_VALUE"""),"PO Closed")</f>
        <v>PO Closed</v>
      </c>
      <c r="Q1380" s="6" t="str">
        <f>IFERROR(__xludf.DUMMYFUNCTION("""COMPUTED_VALUE"""),"GL2102025")</f>
        <v>GL2102025</v>
      </c>
      <c r="R1380" s="57">
        <f>IFERROR(__xludf.DUMMYFUNCTION("""COMPUTED_VALUE"""),44225.0)</f>
        <v>44225</v>
      </c>
      <c r="S1380" s="6" t="str">
        <f>IFERROR(__xludf.DUMMYFUNCTION("""COMPUTED_VALUE"""),"-")</f>
        <v>-</v>
      </c>
      <c r="T1380" s="57">
        <f>IFERROR(__xludf.DUMMYFUNCTION("""COMPUTED_VALUE"""),44259.0)</f>
        <v>44259</v>
      </c>
    </row>
    <row r="1381">
      <c r="A1381" s="6" t="str">
        <f>IFERROR(__xludf.DUMMYFUNCTION("""COMPUTED_VALUE"""),"211750041-1")</f>
        <v>211750041-1</v>
      </c>
      <c r="B1381" s="6" t="str">
        <f>IFERROR(__xludf.DUMMYFUNCTION("""COMPUTED_VALUE"""),"211750041 - Approved")</f>
        <v>211750041 - Approved</v>
      </c>
      <c r="C1381" s="6">
        <f>IFERROR(__xludf.DUMMYFUNCTION("""COMPUTED_VALUE"""),1.0)</f>
        <v>1</v>
      </c>
      <c r="D1381" s="6" t="str">
        <f>IFERROR(__xludf.DUMMYFUNCTION("""COMPUTED_VALUE"""),"P-51560-00")</f>
        <v>P-51560-00</v>
      </c>
      <c r="E1381" s="6" t="str">
        <f>IFERROR(__xludf.DUMMYFUNCTION("""COMPUTED_VALUE"""),"Lampu T5 28watt Putih Phillips")</f>
        <v>Lampu T5 28watt Putih Phillips</v>
      </c>
      <c r="F1381" s="6">
        <f>IFERROR(__xludf.DUMMYFUNCTION("""COMPUTED_VALUE"""),40.0)</f>
        <v>40</v>
      </c>
      <c r="G1381" s="6" t="str">
        <f>IFERROR(__xludf.DUMMYFUNCTION("""COMPUTED_VALUE"""),"Pieces")</f>
        <v>Pieces</v>
      </c>
      <c r="H1381" s="6" t="str">
        <f>IFERROR(__xludf.DUMMYFUNCTION("""COMPUTED_VALUE"""),"IDR")</f>
        <v>IDR</v>
      </c>
      <c r="I1381" s="6">
        <f>IFERROR(__xludf.DUMMYFUNCTION("""COMPUTED_VALUE"""),36000.0)</f>
        <v>36000</v>
      </c>
      <c r="J1381" s="6">
        <f>IFERROR(__xludf.DUMMYFUNCTION("""COMPUTED_VALUE"""),1440000.0)</f>
        <v>1440000</v>
      </c>
      <c r="K1381" s="57">
        <f>IFERROR(__xludf.DUMMYFUNCTION("""COMPUTED_VALUE"""),44245.0)</f>
        <v>44245</v>
      </c>
      <c r="L1381" s="6" t="str">
        <f>IFERROR(__xludf.DUMMYFUNCTION("""COMPUTED_VALUE"""),"FIP Engineering")</f>
        <v>FIP Engineering</v>
      </c>
      <c r="M1381" s="6" t="str">
        <f>IFERROR(__xludf.DUMMYFUNCTION("""COMPUTED_VALUE"""),"Joko Nugroho")</f>
        <v>Joko Nugroho</v>
      </c>
      <c r="N1381" s="6" t="str">
        <f>IFERROR(__xludf.DUMMYFUNCTION("""COMPUTED_VALUE"""),"FIP Engineering")</f>
        <v>FIP Engineering</v>
      </c>
      <c r="O1381" s="6" t="str">
        <f>IFERROR(__xludf.DUMMYFUNCTION("""COMPUTED_VALUE"""),"FIP-DOM-000-11304-OS00001-INA-000000")</f>
        <v>FIP-DOM-000-11304-OS00001-INA-000000</v>
      </c>
      <c r="P1381" s="6" t="str">
        <f>IFERROR(__xludf.DUMMYFUNCTION("""COMPUTED_VALUE"""),"PO Closed")</f>
        <v>PO Closed</v>
      </c>
      <c r="Q1381" s="6" t="str">
        <f>IFERROR(__xludf.DUMMYFUNCTION("""COMPUTED_VALUE"""),"GL2102005")</f>
        <v>GL2102005</v>
      </c>
      <c r="R1381" s="57">
        <f>IFERROR(__xludf.DUMMYFUNCTION("""COMPUTED_VALUE"""),44228.0)</f>
        <v>44228</v>
      </c>
      <c r="S1381" s="6" t="str">
        <f>IFERROR(__xludf.DUMMYFUNCTION("""COMPUTED_VALUE"""),"-")</f>
        <v>-</v>
      </c>
      <c r="T1381" s="57">
        <f>IFERROR(__xludf.DUMMYFUNCTION("""COMPUTED_VALUE"""),44240.0)</f>
        <v>44240</v>
      </c>
    </row>
    <row r="1382">
      <c r="A1382" s="6" t="str">
        <f>IFERROR(__xludf.DUMMYFUNCTION("""COMPUTED_VALUE"""),"211750041-2")</f>
        <v>211750041-2</v>
      </c>
      <c r="B1382" s="6" t="str">
        <f>IFERROR(__xludf.DUMMYFUNCTION("""COMPUTED_VALUE"""),"211750041 - Approved")</f>
        <v>211750041 - Approved</v>
      </c>
      <c r="C1382" s="6">
        <f>IFERROR(__xludf.DUMMYFUNCTION("""COMPUTED_VALUE"""),2.0)</f>
        <v>2</v>
      </c>
      <c r="D1382" s="6" t="str">
        <f>IFERROR(__xludf.DUMMYFUNCTION("""COMPUTED_VALUE"""),"P-51741-00")</f>
        <v>P-51741-00</v>
      </c>
      <c r="E1382" s="6" t="str">
        <f>IFERROR(__xludf.DUMMYFUNCTION("""COMPUTED_VALUE"""),"Lampu Phillips PHP LED 710 7w E27 White 220-240v")</f>
        <v>Lampu Phillips PHP LED 710 7w E27 White 220-240v</v>
      </c>
      <c r="F1382" s="6">
        <f>IFERROR(__xludf.DUMMYFUNCTION("""COMPUTED_VALUE"""),8.0)</f>
        <v>8</v>
      </c>
      <c r="G1382" s="6" t="str">
        <f>IFERROR(__xludf.DUMMYFUNCTION("""COMPUTED_VALUE"""),"Pieces")</f>
        <v>Pieces</v>
      </c>
      <c r="H1382" s="6" t="str">
        <f>IFERROR(__xludf.DUMMYFUNCTION("""COMPUTED_VALUE"""),"IDR")</f>
        <v>IDR</v>
      </c>
      <c r="I1382" s="6">
        <f>IFERROR(__xludf.DUMMYFUNCTION("""COMPUTED_VALUE"""),31000.0)</f>
        <v>31000</v>
      </c>
      <c r="J1382" s="6">
        <f>IFERROR(__xludf.DUMMYFUNCTION("""COMPUTED_VALUE"""),248000.0)</f>
        <v>248000</v>
      </c>
      <c r="K1382" s="57">
        <f>IFERROR(__xludf.DUMMYFUNCTION("""COMPUTED_VALUE"""),44245.0)</f>
        <v>44245</v>
      </c>
      <c r="L1382" s="6" t="str">
        <f>IFERROR(__xludf.DUMMYFUNCTION("""COMPUTED_VALUE"""),"FIP Engineering")</f>
        <v>FIP Engineering</v>
      </c>
      <c r="M1382" s="6" t="str">
        <f>IFERROR(__xludf.DUMMYFUNCTION("""COMPUTED_VALUE"""),"Joko Nugroho")</f>
        <v>Joko Nugroho</v>
      </c>
      <c r="N1382" s="6" t="str">
        <f>IFERROR(__xludf.DUMMYFUNCTION("""COMPUTED_VALUE"""),"FIP Engineering")</f>
        <v>FIP Engineering</v>
      </c>
      <c r="O1382" s="6" t="str">
        <f>IFERROR(__xludf.DUMMYFUNCTION("""COMPUTED_VALUE"""),"FIP-DOM-000-11304-OS00001-INA-000000")</f>
        <v>FIP-DOM-000-11304-OS00001-INA-000000</v>
      </c>
      <c r="P1382" s="6" t="str">
        <f>IFERROR(__xludf.DUMMYFUNCTION("""COMPUTED_VALUE"""),"PO Closed")</f>
        <v>PO Closed</v>
      </c>
      <c r="Q1382" s="6" t="str">
        <f>IFERROR(__xludf.DUMMYFUNCTION("""COMPUTED_VALUE"""),"GL2102005")</f>
        <v>GL2102005</v>
      </c>
      <c r="R1382" s="57">
        <f>IFERROR(__xludf.DUMMYFUNCTION("""COMPUTED_VALUE"""),44228.0)</f>
        <v>44228</v>
      </c>
      <c r="S1382" s="6" t="str">
        <f>IFERROR(__xludf.DUMMYFUNCTION("""COMPUTED_VALUE"""),"-")</f>
        <v>-</v>
      </c>
      <c r="T1382" s="57">
        <f>IFERROR(__xludf.DUMMYFUNCTION("""COMPUTED_VALUE"""),44240.0)</f>
        <v>44240</v>
      </c>
    </row>
    <row r="1383">
      <c r="A1383" s="6" t="str">
        <f>IFERROR(__xludf.DUMMYFUNCTION("""COMPUTED_VALUE"""),"211750041-3")</f>
        <v>211750041-3</v>
      </c>
      <c r="B1383" s="6" t="str">
        <f>IFERROR(__xludf.DUMMYFUNCTION("""COMPUTED_VALUE"""),"211750041 - Approved")</f>
        <v>211750041 - Approved</v>
      </c>
      <c r="C1383" s="6">
        <f>IFERROR(__xludf.DUMMYFUNCTION("""COMPUTED_VALUE"""),3.0)</f>
        <v>3</v>
      </c>
      <c r="D1383" s="6" t="str">
        <f>IFERROR(__xludf.DUMMYFUNCTION("""COMPUTED_VALUE"""),"P-15862-00")</f>
        <v>P-15862-00</v>
      </c>
      <c r="E1383" s="6" t="str">
        <f>IFERROR(__xludf.DUMMYFUNCTION("""COMPUTED_VALUE"""),"PAPER RECORD YOKOGAWA FOLDING CHART B9565AW")</f>
        <v>PAPER RECORD YOKOGAWA FOLDING CHART B9565AW</v>
      </c>
      <c r="F1383" s="6">
        <f>IFERROR(__xludf.DUMMYFUNCTION("""COMPUTED_VALUE"""),5.0)</f>
        <v>5</v>
      </c>
      <c r="G1383" s="6" t="str">
        <f>IFERROR(__xludf.DUMMYFUNCTION("""COMPUTED_VALUE"""),"Pieces")</f>
        <v>Pieces</v>
      </c>
      <c r="H1383" s="6" t="str">
        <f>IFERROR(__xludf.DUMMYFUNCTION("""COMPUTED_VALUE"""),"IDR")</f>
        <v>IDR</v>
      </c>
      <c r="I1383" s="6">
        <f>IFERROR(__xludf.DUMMYFUNCTION("""COMPUTED_VALUE"""),230000.0)</f>
        <v>230000</v>
      </c>
      <c r="J1383" s="6">
        <f>IFERROR(__xludf.DUMMYFUNCTION("""COMPUTED_VALUE"""),1150000.0)</f>
        <v>1150000</v>
      </c>
      <c r="K1383" s="57">
        <f>IFERROR(__xludf.DUMMYFUNCTION("""COMPUTED_VALUE"""),44245.0)</f>
        <v>44245</v>
      </c>
      <c r="L1383" s="6" t="str">
        <f>IFERROR(__xludf.DUMMYFUNCTION("""COMPUTED_VALUE"""),"FIP Engineering")</f>
        <v>FIP Engineering</v>
      </c>
      <c r="M1383" s="6" t="str">
        <f>IFERROR(__xludf.DUMMYFUNCTION("""COMPUTED_VALUE"""),"Joko Nugroho")</f>
        <v>Joko Nugroho</v>
      </c>
      <c r="N1383" s="6" t="str">
        <f>IFERROR(__xludf.DUMMYFUNCTION("""COMPUTED_VALUE"""),"FIP Engineering")</f>
        <v>FIP Engineering</v>
      </c>
      <c r="O1383" s="6" t="str">
        <f>IFERROR(__xludf.DUMMYFUNCTION("""COMPUTED_VALUE"""),"FIP-DOM-000-11304-OS00001-INA-000000")</f>
        <v>FIP-DOM-000-11304-OS00001-INA-000000</v>
      </c>
      <c r="P1383" s="6" t="str">
        <f>IFERROR(__xludf.DUMMYFUNCTION("""COMPUTED_VALUE"""),"PO Closed")</f>
        <v>PO Closed</v>
      </c>
      <c r="Q1383" s="6" t="str">
        <f>IFERROR(__xludf.DUMMYFUNCTION("""COMPUTED_VALUE"""),"GL2102008")</f>
        <v>GL2102008</v>
      </c>
      <c r="R1383" s="57">
        <f>IFERROR(__xludf.DUMMYFUNCTION("""COMPUTED_VALUE"""),44228.0)</f>
        <v>44228</v>
      </c>
      <c r="S1383" s="6" t="str">
        <f>IFERROR(__xludf.DUMMYFUNCTION("""COMPUTED_VALUE"""),"-")</f>
        <v>-</v>
      </c>
      <c r="T1383" s="57">
        <f>IFERROR(__xludf.DUMMYFUNCTION("""COMPUTED_VALUE"""),44301.0)</f>
        <v>44301</v>
      </c>
    </row>
    <row r="1384">
      <c r="A1384" s="6" t="str">
        <f>IFERROR(__xludf.DUMMYFUNCTION("""COMPUTED_VALUE"""),"211750041-4")</f>
        <v>211750041-4</v>
      </c>
      <c r="B1384" s="6" t="str">
        <f>IFERROR(__xludf.DUMMYFUNCTION("""COMPUTED_VALUE"""),"211750041 - Approved")</f>
        <v>211750041 - Approved</v>
      </c>
      <c r="C1384" s="6">
        <f>IFERROR(__xludf.DUMMYFUNCTION("""COMPUTED_VALUE"""),4.0)</f>
        <v>4</v>
      </c>
      <c r="D1384" s="6" t="str">
        <f>IFERROR(__xludf.DUMMYFUNCTION("""COMPUTED_VALUE"""),"P-53102-00")</f>
        <v>P-53102-00</v>
      </c>
      <c r="E1384" s="6" t="str">
        <f>IFERROR(__xludf.DUMMYFUNCTION("""COMPUTED_VALUE"""),"Lampu PLC 13watt/E27 Putih Phillips")</f>
        <v>Lampu PLC 13watt/E27 Putih Phillips</v>
      </c>
      <c r="F1384" s="6">
        <f>IFERROR(__xludf.DUMMYFUNCTION("""COMPUTED_VALUE"""),10.0)</f>
        <v>10</v>
      </c>
      <c r="G1384" s="6" t="str">
        <f>IFERROR(__xludf.DUMMYFUNCTION("""COMPUTED_VALUE"""),"Pieces")</f>
        <v>Pieces</v>
      </c>
      <c r="H1384" s="6" t="str">
        <f>IFERROR(__xludf.DUMMYFUNCTION("""COMPUTED_VALUE"""),"IDR")</f>
        <v>IDR</v>
      </c>
      <c r="I1384" s="6">
        <f>IFERROR(__xludf.DUMMYFUNCTION("""COMPUTED_VALUE"""),27000.0)</f>
        <v>27000</v>
      </c>
      <c r="J1384" s="6">
        <f>IFERROR(__xludf.DUMMYFUNCTION("""COMPUTED_VALUE"""),270000.0)</f>
        <v>270000</v>
      </c>
      <c r="K1384" s="57">
        <f>IFERROR(__xludf.DUMMYFUNCTION("""COMPUTED_VALUE"""),44245.0)</f>
        <v>44245</v>
      </c>
      <c r="L1384" s="6" t="str">
        <f>IFERROR(__xludf.DUMMYFUNCTION("""COMPUTED_VALUE"""),"FIP Engineering")</f>
        <v>FIP Engineering</v>
      </c>
      <c r="M1384" s="6" t="str">
        <f>IFERROR(__xludf.DUMMYFUNCTION("""COMPUTED_VALUE"""),"Joko Nugroho")</f>
        <v>Joko Nugroho</v>
      </c>
      <c r="N1384" s="6" t="str">
        <f>IFERROR(__xludf.DUMMYFUNCTION("""COMPUTED_VALUE"""),"FIP Engineering")</f>
        <v>FIP Engineering</v>
      </c>
      <c r="O1384" s="6" t="str">
        <f>IFERROR(__xludf.DUMMYFUNCTION("""COMPUTED_VALUE"""),"FIP-DOM-000-11304-OS00001-INA-000000")</f>
        <v>FIP-DOM-000-11304-OS00001-INA-000000</v>
      </c>
      <c r="P1384" s="6" t="str">
        <f>IFERROR(__xludf.DUMMYFUNCTION("""COMPUTED_VALUE"""),"PO Closed")</f>
        <v>PO Closed</v>
      </c>
      <c r="Q1384" s="6" t="str">
        <f>IFERROR(__xludf.DUMMYFUNCTION("""COMPUTED_VALUE"""),"GL2102005")</f>
        <v>GL2102005</v>
      </c>
      <c r="R1384" s="57">
        <f>IFERROR(__xludf.DUMMYFUNCTION("""COMPUTED_VALUE"""),44228.0)</f>
        <v>44228</v>
      </c>
      <c r="S1384" s="6" t="str">
        <f>IFERROR(__xludf.DUMMYFUNCTION("""COMPUTED_VALUE"""),"-")</f>
        <v>-</v>
      </c>
      <c r="T1384" s="57">
        <f>IFERROR(__xludf.DUMMYFUNCTION("""COMPUTED_VALUE"""),44240.0)</f>
        <v>44240</v>
      </c>
    </row>
    <row r="1385">
      <c r="A1385" s="6" t="str">
        <f>IFERROR(__xludf.DUMMYFUNCTION("""COMPUTED_VALUE"""),"211750041-5")</f>
        <v>211750041-5</v>
      </c>
      <c r="B1385" s="6" t="str">
        <f>IFERROR(__xludf.DUMMYFUNCTION("""COMPUTED_VALUE"""),"211750041 - Approved")</f>
        <v>211750041 - Approved</v>
      </c>
      <c r="C1385" s="6">
        <f>IFERROR(__xludf.DUMMYFUNCTION("""COMPUTED_VALUE"""),5.0)</f>
        <v>5</v>
      </c>
      <c r="D1385" s="6" t="str">
        <f>IFERROR(__xludf.DUMMYFUNCTION("""COMPUTED_VALUE"""),"P-51559-00")</f>
        <v>P-51559-00</v>
      </c>
      <c r="E1385" s="6" t="str">
        <f>IFERROR(__xludf.DUMMYFUNCTION("""COMPUTED_VALUE"""),"Lampu T5 14watt Putih Phillips")</f>
        <v>Lampu T5 14watt Putih Phillips</v>
      </c>
      <c r="F1385" s="6">
        <f>IFERROR(__xludf.DUMMYFUNCTION("""COMPUTED_VALUE"""),40.0)</f>
        <v>40</v>
      </c>
      <c r="G1385" s="6" t="str">
        <f>IFERROR(__xludf.DUMMYFUNCTION("""COMPUTED_VALUE"""),"Pack")</f>
        <v>Pack</v>
      </c>
      <c r="H1385" s="6" t="str">
        <f>IFERROR(__xludf.DUMMYFUNCTION("""COMPUTED_VALUE"""),"IDR")</f>
        <v>IDR</v>
      </c>
      <c r="I1385" s="6">
        <f>IFERROR(__xludf.DUMMYFUNCTION("""COMPUTED_VALUE"""),29700.0)</f>
        <v>29700</v>
      </c>
      <c r="J1385" s="6">
        <f>IFERROR(__xludf.DUMMYFUNCTION("""COMPUTED_VALUE"""),1188000.0)</f>
        <v>1188000</v>
      </c>
      <c r="K1385" s="57">
        <f>IFERROR(__xludf.DUMMYFUNCTION("""COMPUTED_VALUE"""),44245.0)</f>
        <v>44245</v>
      </c>
      <c r="L1385" s="6" t="str">
        <f>IFERROR(__xludf.DUMMYFUNCTION("""COMPUTED_VALUE"""),"FIP Engineering")</f>
        <v>FIP Engineering</v>
      </c>
      <c r="M1385" s="6" t="str">
        <f>IFERROR(__xludf.DUMMYFUNCTION("""COMPUTED_VALUE"""),"Joko Nugroho")</f>
        <v>Joko Nugroho</v>
      </c>
      <c r="N1385" s="6" t="str">
        <f>IFERROR(__xludf.DUMMYFUNCTION("""COMPUTED_VALUE"""),"FIP Engineering")</f>
        <v>FIP Engineering</v>
      </c>
      <c r="O1385" s="6" t="str">
        <f>IFERROR(__xludf.DUMMYFUNCTION("""COMPUTED_VALUE"""),"FIP-DOM-000-11304-OS00001-INA-000000")</f>
        <v>FIP-DOM-000-11304-OS00001-INA-000000</v>
      </c>
      <c r="P1385" s="6" t="str">
        <f>IFERROR(__xludf.DUMMYFUNCTION("""COMPUTED_VALUE"""),"PO Closed")</f>
        <v>PO Closed</v>
      </c>
      <c r="Q1385" s="6" t="str">
        <f>IFERROR(__xludf.DUMMYFUNCTION("""COMPUTED_VALUE"""),"GL2102005")</f>
        <v>GL2102005</v>
      </c>
      <c r="R1385" s="57">
        <f>IFERROR(__xludf.DUMMYFUNCTION("""COMPUTED_VALUE"""),44228.0)</f>
        <v>44228</v>
      </c>
      <c r="S1385" s="6" t="str">
        <f>IFERROR(__xludf.DUMMYFUNCTION("""COMPUTED_VALUE"""),"-")</f>
        <v>-</v>
      </c>
      <c r="T1385" s="57">
        <f>IFERROR(__xludf.DUMMYFUNCTION("""COMPUTED_VALUE"""),44240.0)</f>
        <v>44240</v>
      </c>
    </row>
    <row r="1386">
      <c r="A1386" s="6" t="str">
        <f>IFERROR(__xludf.DUMMYFUNCTION("""COMPUTED_VALUE"""),"211750051-1")</f>
        <v>211750051-1</v>
      </c>
      <c r="B1386" s="6" t="str">
        <f>IFERROR(__xludf.DUMMYFUNCTION("""COMPUTED_VALUE"""),"211750051 - Approved")</f>
        <v>211750051 - Approved</v>
      </c>
      <c r="C1386" s="6">
        <f>IFERROR(__xludf.DUMMYFUNCTION("""COMPUTED_VALUE"""),1.0)</f>
        <v>1</v>
      </c>
      <c r="D1386" s="6" t="str">
        <f>IFERROR(__xludf.DUMMYFUNCTION("""COMPUTED_VALUE"""),"O-17831-00")</f>
        <v>O-17831-00</v>
      </c>
      <c r="E1386" s="6" t="str">
        <f>IFERROR(__xludf.DUMMYFUNCTION("""COMPUTED_VALUE"""),"Gear Door Autoclave")</f>
        <v>Gear Door Autoclave</v>
      </c>
      <c r="F1386" s="6">
        <f>IFERROR(__xludf.DUMMYFUNCTION("""COMPUTED_VALUE"""),2.0)</f>
        <v>2</v>
      </c>
      <c r="G1386" s="6" t="str">
        <f>IFERROR(__xludf.DUMMYFUNCTION("""COMPUTED_VALUE"""),"Pieces")</f>
        <v>Pieces</v>
      </c>
      <c r="H1386" s="6" t="str">
        <f>IFERROR(__xludf.DUMMYFUNCTION("""COMPUTED_VALUE"""),"IDR")</f>
        <v>IDR</v>
      </c>
      <c r="I1386" s="6">
        <f>IFERROR(__xludf.DUMMYFUNCTION("""COMPUTED_VALUE"""),1500000.0)</f>
        <v>1500000</v>
      </c>
      <c r="J1386" s="6">
        <f>IFERROR(__xludf.DUMMYFUNCTION("""COMPUTED_VALUE"""),3000000.0)</f>
        <v>3000000</v>
      </c>
      <c r="K1386" s="57">
        <f>IFERROR(__xludf.DUMMYFUNCTION("""COMPUTED_VALUE"""),44274.0)</f>
        <v>44274</v>
      </c>
      <c r="L1386" s="6" t="str">
        <f>IFERROR(__xludf.DUMMYFUNCTION("""COMPUTED_VALUE"""),"FIP Engineering")</f>
        <v>FIP Engineering</v>
      </c>
      <c r="M1386" s="6" t="str">
        <f>IFERROR(__xludf.DUMMYFUNCTION("""COMPUTED_VALUE"""),"Irwan Sopian")</f>
        <v>Irwan Sopian</v>
      </c>
      <c r="N1386" s="6" t="str">
        <f>IFERROR(__xludf.DUMMYFUNCTION("""COMPUTED_VALUE"""),"FIP Engineering")</f>
        <v>FIP Engineering</v>
      </c>
      <c r="O1386" s="6" t="str">
        <f>IFERROR(__xludf.DUMMYFUNCTION("""COMPUTED_VALUE"""),"FIP-DOM-000-11304-OS00001-INA-000000")</f>
        <v>FIP-DOM-000-11304-OS00001-INA-000000</v>
      </c>
      <c r="P1386" s="6" t="str">
        <f>IFERROR(__xludf.DUMMYFUNCTION("""COMPUTED_VALUE"""),"PO Closed")</f>
        <v>PO Closed</v>
      </c>
      <c r="Q1386" s="6" t="str">
        <f>IFERROR(__xludf.DUMMYFUNCTION("""COMPUTED_VALUE"""),"GL2103010")</f>
        <v>GL2103010</v>
      </c>
      <c r="R1386" s="57">
        <f>IFERROR(__xludf.DUMMYFUNCTION("""COMPUTED_VALUE"""),44230.0)</f>
        <v>44230</v>
      </c>
      <c r="S1386" s="6" t="str">
        <f>IFERROR(__xludf.DUMMYFUNCTION("""COMPUTED_VALUE"""),"-")</f>
        <v>-</v>
      </c>
      <c r="T1386" s="57">
        <f>IFERROR(__xludf.DUMMYFUNCTION("""COMPUTED_VALUE"""),44285.0)</f>
        <v>44285</v>
      </c>
    </row>
    <row r="1387">
      <c r="A1387" s="6" t="str">
        <f>IFERROR(__xludf.DUMMYFUNCTION("""COMPUTED_VALUE"""),"211750051-2")</f>
        <v>211750051-2</v>
      </c>
      <c r="B1387" s="6" t="str">
        <f>IFERROR(__xludf.DUMMYFUNCTION("""COMPUTED_VALUE"""),"211750051 - Approved")</f>
        <v>211750051 - Approved</v>
      </c>
      <c r="C1387" s="6">
        <f>IFERROR(__xludf.DUMMYFUNCTION("""COMPUTED_VALUE"""),2.0)</f>
        <v>2</v>
      </c>
      <c r="D1387" s="6" t="str">
        <f>IFERROR(__xludf.DUMMYFUNCTION("""COMPUTED_VALUE"""),"O-60001-00")</f>
        <v>O-60001-00</v>
      </c>
      <c r="E1387" s="6" t="str">
        <f>IFERROR(__xludf.DUMMYFUNCTION("""COMPUTED_VALUE"""),"Repair Nozzle EDM")</f>
        <v>Repair Nozzle EDM</v>
      </c>
      <c r="F1387" s="6">
        <f>IFERROR(__xludf.DUMMYFUNCTION("""COMPUTED_VALUE"""),3.0)</f>
        <v>3</v>
      </c>
      <c r="G1387" s="6" t="str">
        <f>IFERROR(__xludf.DUMMYFUNCTION("""COMPUTED_VALUE"""),"Lot")</f>
        <v>Lot</v>
      </c>
      <c r="H1387" s="6" t="str">
        <f>IFERROR(__xludf.DUMMYFUNCTION("""COMPUTED_VALUE"""),"IDR")</f>
        <v>IDR</v>
      </c>
      <c r="I1387" s="6">
        <f>IFERROR(__xludf.DUMMYFUNCTION("""COMPUTED_VALUE"""),885000.0)</f>
        <v>885000</v>
      </c>
      <c r="J1387" s="6">
        <f>IFERROR(__xludf.DUMMYFUNCTION("""COMPUTED_VALUE"""),2655000.0)</f>
        <v>2655000</v>
      </c>
      <c r="K1387" s="57">
        <f>IFERROR(__xludf.DUMMYFUNCTION("""COMPUTED_VALUE"""),44274.0)</f>
        <v>44274</v>
      </c>
      <c r="L1387" s="6" t="str">
        <f>IFERROR(__xludf.DUMMYFUNCTION("""COMPUTED_VALUE"""),"FIP General")</f>
        <v>FIP General</v>
      </c>
      <c r="M1387" s="6" t="str">
        <f>IFERROR(__xludf.DUMMYFUNCTION("""COMPUTED_VALUE"""),"Irwan Sopian")</f>
        <v>Irwan Sopian</v>
      </c>
      <c r="N1387" s="6" t="str">
        <f>IFERROR(__xludf.DUMMYFUNCTION("""COMPUTED_VALUE"""),"FIP Engineering")</f>
        <v>FIP Engineering</v>
      </c>
      <c r="O1387" s="6" t="str">
        <f>IFERROR(__xludf.DUMMYFUNCTION("""COMPUTED_VALUE"""),"FIP-DOM-ENG-51504-0000000-INA-000000")</f>
        <v>FIP-DOM-ENG-51504-0000000-INA-000000</v>
      </c>
      <c r="P1387" s="6" t="str">
        <f>IFERROR(__xludf.DUMMYFUNCTION("""COMPUTED_VALUE"""),"PO Closed")</f>
        <v>PO Closed</v>
      </c>
      <c r="Q1387" s="6" t="str">
        <f>IFERROR(__xludf.DUMMYFUNCTION("""COMPUTED_VALUE"""),"GL2103010")</f>
        <v>GL2103010</v>
      </c>
      <c r="R1387" s="57">
        <f>IFERROR(__xludf.DUMMYFUNCTION("""COMPUTED_VALUE"""),44230.0)</f>
        <v>44230</v>
      </c>
      <c r="S1387" s="6" t="str">
        <f>IFERROR(__xludf.DUMMYFUNCTION("""COMPUTED_VALUE"""),"-")</f>
        <v>-</v>
      </c>
      <c r="T1387" s="57">
        <f>IFERROR(__xludf.DUMMYFUNCTION("""COMPUTED_VALUE"""),44285.0)</f>
        <v>44285</v>
      </c>
    </row>
    <row r="1388">
      <c r="A1388" s="6" t="str">
        <f>IFERROR(__xludf.DUMMYFUNCTION("""COMPUTED_VALUE"""),"211750056-1")</f>
        <v>211750056-1</v>
      </c>
      <c r="B1388" s="6" t="str">
        <f>IFERROR(__xludf.DUMMYFUNCTION("""COMPUTED_VALUE"""),"211750056 - Approved")</f>
        <v>211750056 - Approved</v>
      </c>
      <c r="C1388" s="6">
        <f>IFERROR(__xludf.DUMMYFUNCTION("""COMPUTED_VALUE"""),1.0)</f>
        <v>1</v>
      </c>
      <c r="D1388" s="6" t="str">
        <f>IFERROR(__xludf.DUMMYFUNCTION("""COMPUTED_VALUE"""),"O-17832-00")</f>
        <v>O-17832-00</v>
      </c>
      <c r="E1388" s="6" t="str">
        <f>IFERROR(__xludf.DUMMYFUNCTION("""COMPUTED_VALUE"""),"Washing RAR4 - Outfeed Teflon Left")</f>
        <v>Washing RAR4 - Outfeed Teflon Left</v>
      </c>
      <c r="F1388" s="6">
        <f>IFERROR(__xludf.DUMMYFUNCTION("""COMPUTED_VALUE"""),1.0)</f>
        <v>1</v>
      </c>
      <c r="G1388" s="6" t="str">
        <f>IFERROR(__xludf.DUMMYFUNCTION("""COMPUTED_VALUE"""),"Pieces")</f>
        <v>Pieces</v>
      </c>
      <c r="H1388" s="6" t="str">
        <f>IFERROR(__xludf.DUMMYFUNCTION("""COMPUTED_VALUE"""),"IDR")</f>
        <v>IDR</v>
      </c>
      <c r="I1388" s="6">
        <f>IFERROR(__xludf.DUMMYFUNCTION("""COMPUTED_VALUE"""),1450000.0)</f>
        <v>1450000</v>
      </c>
      <c r="J1388" s="6">
        <f>IFERROR(__xludf.DUMMYFUNCTION("""COMPUTED_VALUE"""),1450000.0)</f>
        <v>1450000</v>
      </c>
      <c r="K1388" s="57">
        <f>IFERROR(__xludf.DUMMYFUNCTION("""COMPUTED_VALUE"""),44286.0)</f>
        <v>44286</v>
      </c>
      <c r="L1388" s="6" t="str">
        <f>IFERROR(__xludf.DUMMYFUNCTION("""COMPUTED_VALUE"""),"FIP Engineering")</f>
        <v>FIP Engineering</v>
      </c>
      <c r="M1388" s="6" t="str">
        <f>IFERROR(__xludf.DUMMYFUNCTION("""COMPUTED_VALUE"""),"Irwan Sopian")</f>
        <v>Irwan Sopian</v>
      </c>
      <c r="N1388" s="6" t="str">
        <f>IFERROR(__xludf.DUMMYFUNCTION("""COMPUTED_VALUE"""),"FIP Engineering")</f>
        <v>FIP Engineering</v>
      </c>
      <c r="O1388" s="6" t="str">
        <f>IFERROR(__xludf.DUMMYFUNCTION("""COMPUTED_VALUE"""),"FIP-DOM-000-11304-OS00001-INA-000000")</f>
        <v>FIP-DOM-000-11304-OS00001-INA-000000</v>
      </c>
      <c r="P1388" s="6" t="str">
        <f>IFERROR(__xludf.DUMMYFUNCTION("""COMPUTED_VALUE"""),"PO Closed")</f>
        <v>PO Closed</v>
      </c>
      <c r="Q1388" s="6" t="str">
        <f>IFERROR(__xludf.DUMMYFUNCTION("""COMPUTED_VALUE"""),"GL2104009")</f>
        <v>GL2104009</v>
      </c>
      <c r="R1388" s="57">
        <f>IFERROR(__xludf.DUMMYFUNCTION("""COMPUTED_VALUE"""),44232.0)</f>
        <v>44232</v>
      </c>
      <c r="S1388" s="6" t="str">
        <f>IFERROR(__xludf.DUMMYFUNCTION("""COMPUTED_VALUE"""),"-")</f>
        <v>-</v>
      </c>
      <c r="T1388" s="57">
        <f>IFERROR(__xludf.DUMMYFUNCTION("""COMPUTED_VALUE"""),44317.0)</f>
        <v>44317</v>
      </c>
    </row>
    <row r="1389">
      <c r="A1389" s="6" t="str">
        <f>IFERROR(__xludf.DUMMYFUNCTION("""COMPUTED_VALUE"""),"211750056-2")</f>
        <v>211750056-2</v>
      </c>
      <c r="B1389" s="6" t="str">
        <f>IFERROR(__xludf.DUMMYFUNCTION("""COMPUTED_VALUE"""),"211750056 - Approved")</f>
        <v>211750056 - Approved</v>
      </c>
      <c r="C1389" s="6">
        <f>IFERROR(__xludf.DUMMYFUNCTION("""COMPUTED_VALUE"""),2.0)</f>
        <v>2</v>
      </c>
      <c r="D1389" s="6" t="str">
        <f>IFERROR(__xludf.DUMMYFUNCTION("""COMPUTED_VALUE"""),"O-17833-00")</f>
        <v>O-17833-00</v>
      </c>
      <c r="E1389" s="6" t="str">
        <f>IFERROR(__xludf.DUMMYFUNCTION("""COMPUTED_VALUE"""),"Washing RAR4 - Outfeed Teflon Right")</f>
        <v>Washing RAR4 - Outfeed Teflon Right</v>
      </c>
      <c r="F1389" s="6">
        <f>IFERROR(__xludf.DUMMYFUNCTION("""COMPUTED_VALUE"""),1.0)</f>
        <v>1</v>
      </c>
      <c r="G1389" s="6" t="str">
        <f>IFERROR(__xludf.DUMMYFUNCTION("""COMPUTED_VALUE"""),"Pieces")</f>
        <v>Pieces</v>
      </c>
      <c r="H1389" s="6" t="str">
        <f>IFERROR(__xludf.DUMMYFUNCTION("""COMPUTED_VALUE"""),"IDR")</f>
        <v>IDR</v>
      </c>
      <c r="I1389" s="6">
        <f>IFERROR(__xludf.DUMMYFUNCTION("""COMPUTED_VALUE"""),1450000.0)</f>
        <v>1450000</v>
      </c>
      <c r="J1389" s="6">
        <f>IFERROR(__xludf.DUMMYFUNCTION("""COMPUTED_VALUE"""),1450000.0)</f>
        <v>1450000</v>
      </c>
      <c r="K1389" s="57">
        <f>IFERROR(__xludf.DUMMYFUNCTION("""COMPUTED_VALUE"""),44286.0)</f>
        <v>44286</v>
      </c>
      <c r="L1389" s="6" t="str">
        <f>IFERROR(__xludf.DUMMYFUNCTION("""COMPUTED_VALUE"""),"FIP Engineering")</f>
        <v>FIP Engineering</v>
      </c>
      <c r="M1389" s="6" t="str">
        <f>IFERROR(__xludf.DUMMYFUNCTION("""COMPUTED_VALUE"""),"Irwan Sopian")</f>
        <v>Irwan Sopian</v>
      </c>
      <c r="N1389" s="6" t="str">
        <f>IFERROR(__xludf.DUMMYFUNCTION("""COMPUTED_VALUE"""),"FIP Engineering")</f>
        <v>FIP Engineering</v>
      </c>
      <c r="O1389" s="6" t="str">
        <f>IFERROR(__xludf.DUMMYFUNCTION("""COMPUTED_VALUE"""),"FIP-DOM-000-11304-OS00001-INA-000000")</f>
        <v>FIP-DOM-000-11304-OS00001-INA-000000</v>
      </c>
      <c r="P1389" s="6" t="str">
        <f>IFERROR(__xludf.DUMMYFUNCTION("""COMPUTED_VALUE"""),"PO Closed")</f>
        <v>PO Closed</v>
      </c>
      <c r="Q1389" s="6" t="str">
        <f>IFERROR(__xludf.DUMMYFUNCTION("""COMPUTED_VALUE"""),"GL2104009")</f>
        <v>GL2104009</v>
      </c>
      <c r="R1389" s="57">
        <f>IFERROR(__xludf.DUMMYFUNCTION("""COMPUTED_VALUE"""),44232.0)</f>
        <v>44232</v>
      </c>
      <c r="S1389" s="6" t="str">
        <f>IFERROR(__xludf.DUMMYFUNCTION("""COMPUTED_VALUE"""),"-")</f>
        <v>-</v>
      </c>
      <c r="T1389" s="57">
        <f>IFERROR(__xludf.DUMMYFUNCTION("""COMPUTED_VALUE"""),44317.0)</f>
        <v>44317</v>
      </c>
    </row>
    <row r="1390">
      <c r="A1390" s="6" t="str">
        <f>IFERROR(__xludf.DUMMYFUNCTION("""COMPUTED_VALUE"""),"211750058-1")</f>
        <v>211750058-1</v>
      </c>
      <c r="B1390" s="6" t="str">
        <f>IFERROR(__xludf.DUMMYFUNCTION("""COMPUTED_VALUE"""),"211750058 - Approved")</f>
        <v>211750058 - Approved</v>
      </c>
      <c r="C1390" s="6">
        <f>IFERROR(__xludf.DUMMYFUNCTION("""COMPUTED_VALUE"""),1.0)</f>
        <v>1</v>
      </c>
      <c r="D1390" s="6" t="str">
        <f>IFERROR(__xludf.DUMMYFUNCTION("""COMPUTED_VALUE"""),"O-17842-00")</f>
        <v>O-17842-00</v>
      </c>
      <c r="E1390" s="6" t="str">
        <f>IFERROR(__xludf.DUMMYFUNCTION("""COMPUTED_VALUE"""),"Membrane Diaphragm Valve EPDM DN 25 p/n: 600 25M 17 Gemu")</f>
        <v>Membrane Diaphragm Valve EPDM DN 25 p/n: 600 25M 17 Gemu</v>
      </c>
      <c r="F1390" s="6">
        <f>IFERROR(__xludf.DUMMYFUNCTION("""COMPUTED_VALUE"""),3.0)</f>
        <v>3</v>
      </c>
      <c r="G1390" s="6" t="str">
        <f>IFERROR(__xludf.DUMMYFUNCTION("""COMPUTED_VALUE"""),"Pieces")</f>
        <v>Pieces</v>
      </c>
      <c r="H1390" s="6" t="str">
        <f>IFERROR(__xludf.DUMMYFUNCTION("""COMPUTED_VALUE"""),"IDR")</f>
        <v>IDR</v>
      </c>
      <c r="I1390" s="6">
        <f>IFERROR(__xludf.DUMMYFUNCTION("""COMPUTED_VALUE"""),1700000.0)</f>
        <v>1700000</v>
      </c>
      <c r="J1390" s="6">
        <f>IFERROR(__xludf.DUMMYFUNCTION("""COMPUTED_VALUE"""),5100000.0)</f>
        <v>5100000</v>
      </c>
      <c r="K1390" s="57">
        <f>IFERROR(__xludf.DUMMYFUNCTION("""COMPUTED_VALUE"""),44253.0)</f>
        <v>44253</v>
      </c>
      <c r="L1390" s="6" t="str">
        <f>IFERROR(__xludf.DUMMYFUNCTION("""COMPUTED_VALUE"""),"FIP Engineering")</f>
        <v>FIP Engineering</v>
      </c>
      <c r="M1390" s="6" t="str">
        <f>IFERROR(__xludf.DUMMYFUNCTION("""COMPUTED_VALUE"""),"Irwan Sopian")</f>
        <v>Irwan Sopian</v>
      </c>
      <c r="N1390" s="6" t="str">
        <f>IFERROR(__xludf.DUMMYFUNCTION("""COMPUTED_VALUE"""),"FIP Engineering")</f>
        <v>FIP Engineering</v>
      </c>
      <c r="O1390" s="6" t="str">
        <f>IFERROR(__xludf.DUMMYFUNCTION("""COMPUTED_VALUE"""),"FIP-DOM-000-11304-OS00001-INA-000000")</f>
        <v>FIP-DOM-000-11304-OS00001-INA-000000</v>
      </c>
      <c r="P1390" s="6" t="str">
        <f>IFERROR(__xludf.DUMMYFUNCTION("""COMPUTED_VALUE"""),"PO Closed")</f>
        <v>PO Closed</v>
      </c>
      <c r="Q1390" s="6" t="str">
        <f>IFERROR(__xludf.DUMMYFUNCTION("""COMPUTED_VALUE"""),"GL2102020")</f>
        <v>GL2102020</v>
      </c>
      <c r="R1390" s="57">
        <f>IFERROR(__xludf.DUMMYFUNCTION("""COMPUTED_VALUE"""),44236.0)</f>
        <v>44236</v>
      </c>
      <c r="S1390" s="6" t="str">
        <f>IFERROR(__xludf.DUMMYFUNCTION("""COMPUTED_VALUE"""),"-")</f>
        <v>-</v>
      </c>
      <c r="T1390" s="57">
        <f>IFERROR(__xludf.DUMMYFUNCTION("""COMPUTED_VALUE"""),44274.0)</f>
        <v>44274</v>
      </c>
    </row>
    <row r="1391">
      <c r="A1391" s="6" t="str">
        <f>IFERROR(__xludf.DUMMYFUNCTION("""COMPUTED_VALUE"""),"211750058-2")</f>
        <v>211750058-2</v>
      </c>
      <c r="B1391" s="6" t="str">
        <f>IFERROR(__xludf.DUMMYFUNCTION("""COMPUTED_VALUE"""),"211750058 - Approved")</f>
        <v>211750058 - Approved</v>
      </c>
      <c r="C1391" s="6">
        <f>IFERROR(__xludf.DUMMYFUNCTION("""COMPUTED_VALUE"""),2.0)</f>
        <v>2</v>
      </c>
      <c r="D1391" s="6" t="str">
        <f>IFERROR(__xludf.DUMMYFUNCTION("""COMPUTED_VALUE"""),"O-16715-00")</f>
        <v>O-16715-00</v>
      </c>
      <c r="E1391" s="6" t="str">
        <f>IFERROR(__xludf.DUMMYFUNCTION("""COMPUTED_VALUE"""),"Membrane Diaphragm Valve EPDM PTFE DN 25 p/n: 600 25M 17 Gemu")</f>
        <v>Membrane Diaphragm Valve EPDM PTFE DN 25 p/n: 600 25M 17 Gemu</v>
      </c>
      <c r="F1391" s="6">
        <f>IFERROR(__xludf.DUMMYFUNCTION("""COMPUTED_VALUE"""),3.0)</f>
        <v>3</v>
      </c>
      <c r="G1391" s="6" t="str">
        <f>IFERROR(__xludf.DUMMYFUNCTION("""COMPUTED_VALUE"""),"Pieces")</f>
        <v>Pieces</v>
      </c>
      <c r="H1391" s="6" t="str">
        <f>IFERROR(__xludf.DUMMYFUNCTION("""COMPUTED_VALUE"""),"IDR")</f>
        <v>IDR</v>
      </c>
      <c r="I1391" s="6">
        <f>IFERROR(__xludf.DUMMYFUNCTION("""COMPUTED_VALUE"""),3000000.0)</f>
        <v>3000000</v>
      </c>
      <c r="J1391" s="6">
        <f>IFERROR(__xludf.DUMMYFUNCTION("""COMPUTED_VALUE"""),9000000.0)</f>
        <v>9000000</v>
      </c>
      <c r="K1391" s="57">
        <f>IFERROR(__xludf.DUMMYFUNCTION("""COMPUTED_VALUE"""),44253.0)</f>
        <v>44253</v>
      </c>
      <c r="L1391" s="6" t="str">
        <f>IFERROR(__xludf.DUMMYFUNCTION("""COMPUTED_VALUE"""),"FIP Engineering")</f>
        <v>FIP Engineering</v>
      </c>
      <c r="M1391" s="6" t="str">
        <f>IFERROR(__xludf.DUMMYFUNCTION("""COMPUTED_VALUE"""),"Irwan Sopian")</f>
        <v>Irwan Sopian</v>
      </c>
      <c r="N1391" s="6" t="str">
        <f>IFERROR(__xludf.DUMMYFUNCTION("""COMPUTED_VALUE"""),"FIP Engineering")</f>
        <v>FIP Engineering</v>
      </c>
      <c r="O1391" s="6" t="str">
        <f>IFERROR(__xludf.DUMMYFUNCTION("""COMPUTED_VALUE"""),"FIP-DOM-000-11304-OS00001-INA-000000")</f>
        <v>FIP-DOM-000-11304-OS00001-INA-000000</v>
      </c>
      <c r="P1391" s="6" t="str">
        <f>IFERROR(__xludf.DUMMYFUNCTION("""COMPUTED_VALUE"""),"PO Closed")</f>
        <v>PO Closed</v>
      </c>
      <c r="Q1391" s="6" t="str">
        <f>IFERROR(__xludf.DUMMYFUNCTION("""COMPUTED_VALUE"""),"GL2102020")</f>
        <v>GL2102020</v>
      </c>
      <c r="R1391" s="57">
        <f>IFERROR(__xludf.DUMMYFUNCTION("""COMPUTED_VALUE"""),44236.0)</f>
        <v>44236</v>
      </c>
      <c r="S1391" s="6" t="str">
        <f>IFERROR(__xludf.DUMMYFUNCTION("""COMPUTED_VALUE"""),"-")</f>
        <v>-</v>
      </c>
      <c r="T1391" s="57">
        <f>IFERROR(__xludf.DUMMYFUNCTION("""COMPUTED_VALUE"""),44274.0)</f>
        <v>44274</v>
      </c>
    </row>
    <row r="1392">
      <c r="A1392" s="6" t="str">
        <f>IFERROR(__xludf.DUMMYFUNCTION("""COMPUTED_VALUE"""),"211750064-1")</f>
        <v>211750064-1</v>
      </c>
      <c r="B1392" s="6" t="str">
        <f>IFERROR(__xludf.DUMMYFUNCTION("""COMPUTED_VALUE"""),"211750064 - Approved")</f>
        <v>211750064 - Approved</v>
      </c>
      <c r="C1392" s="6">
        <f>IFERROR(__xludf.DUMMYFUNCTION("""COMPUTED_VALUE"""),1.0)</f>
        <v>1</v>
      </c>
      <c r="D1392" s="6" t="str">
        <f>IFERROR(__xludf.DUMMYFUNCTION("""COMPUTED_VALUE"""),"P-52054-00")</f>
        <v>P-52054-00</v>
      </c>
      <c r="E1392" s="6" t="str">
        <f>IFERROR(__xludf.DUMMYFUNCTION("""COMPUTED_VALUE"""),"Fan Panel Oval 150x50mm 220 VAC")</f>
        <v>Fan Panel Oval 150x50mm 220 VAC</v>
      </c>
      <c r="F1392" s="6">
        <f>IFERROR(__xludf.DUMMYFUNCTION("""COMPUTED_VALUE"""),1.0)</f>
        <v>1</v>
      </c>
      <c r="G1392" s="6" t="str">
        <f>IFERROR(__xludf.DUMMYFUNCTION("""COMPUTED_VALUE"""),"Pieces")</f>
        <v>Pieces</v>
      </c>
      <c r="H1392" s="6" t="str">
        <f>IFERROR(__xludf.DUMMYFUNCTION("""COMPUTED_VALUE"""),"IDR")</f>
        <v>IDR</v>
      </c>
      <c r="I1392" s="6">
        <f>IFERROR(__xludf.DUMMYFUNCTION("""COMPUTED_VALUE"""),245000.0)</f>
        <v>245000</v>
      </c>
      <c r="J1392" s="6">
        <f>IFERROR(__xludf.DUMMYFUNCTION("""COMPUTED_VALUE"""),245000.0)</f>
        <v>245000</v>
      </c>
      <c r="K1392" s="57">
        <f>IFERROR(__xludf.DUMMYFUNCTION("""COMPUTED_VALUE"""),44309.0)</f>
        <v>44309</v>
      </c>
      <c r="L1392" s="6" t="str">
        <f>IFERROR(__xludf.DUMMYFUNCTION("""COMPUTED_VALUE"""),"FIP Engineering")</f>
        <v>FIP Engineering</v>
      </c>
      <c r="M1392" s="6" t="str">
        <f>IFERROR(__xludf.DUMMYFUNCTION("""COMPUTED_VALUE"""),"Irwan Sopian")</f>
        <v>Irwan Sopian</v>
      </c>
      <c r="N1392" s="6" t="str">
        <f>IFERROR(__xludf.DUMMYFUNCTION("""COMPUTED_VALUE"""),"FIP Engineering")</f>
        <v>FIP Engineering</v>
      </c>
      <c r="O1392" s="6" t="str">
        <f>IFERROR(__xludf.DUMMYFUNCTION("""COMPUTED_VALUE"""),"FIP-DOM-000-11304-OS00001-INA-000000")</f>
        <v>FIP-DOM-000-11304-OS00001-INA-000000</v>
      </c>
      <c r="P1392" s="6" t="str">
        <f>IFERROR(__xludf.DUMMYFUNCTION("""COMPUTED_VALUE"""),"PO Closed")</f>
        <v>PO Closed</v>
      </c>
      <c r="Q1392" s="6" t="str">
        <f>IFERROR(__xludf.DUMMYFUNCTION("""COMPUTED_VALUE"""),"GL2104031")</f>
        <v>GL2104031</v>
      </c>
      <c r="R1392" s="57">
        <f>IFERROR(__xludf.DUMMYFUNCTION("""COMPUTED_VALUE"""),44244.0)</f>
        <v>44244</v>
      </c>
      <c r="S1392" s="6" t="str">
        <f>IFERROR(__xludf.DUMMYFUNCTION("""COMPUTED_VALUE"""),"-")</f>
        <v>-</v>
      </c>
      <c r="T1392" s="57">
        <f>IFERROR(__xludf.DUMMYFUNCTION("""COMPUTED_VALUE"""),44316.0)</f>
        <v>44316</v>
      </c>
    </row>
    <row r="1393">
      <c r="A1393" s="6" t="str">
        <f>IFERROR(__xludf.DUMMYFUNCTION("""COMPUTED_VALUE"""),"211750064-2")</f>
        <v>211750064-2</v>
      </c>
      <c r="B1393" s="6" t="str">
        <f>IFERROR(__xludf.DUMMYFUNCTION("""COMPUTED_VALUE"""),"211750064 - Approved")</f>
        <v>211750064 - Approved</v>
      </c>
      <c r="C1393" s="6">
        <f>IFERROR(__xludf.DUMMYFUNCTION("""COMPUTED_VALUE"""),2.0)</f>
        <v>2</v>
      </c>
      <c r="D1393" s="6" t="str">
        <f>IFERROR(__xludf.DUMMYFUNCTION("""COMPUTED_VALUE"""),"P-17079-00")</f>
        <v>P-17079-00</v>
      </c>
      <c r="E1393" s="6" t="str">
        <f>IFERROR(__xludf.DUMMYFUNCTION("""COMPUTED_VALUE"""),"Roda Caster Dia : 2"" Swivel Flange With Brake; ; ;")</f>
        <v>Roda Caster Dia : 2" Swivel Flange With Brake; ; ;</v>
      </c>
      <c r="F1393" s="6">
        <f>IFERROR(__xludf.DUMMYFUNCTION("""COMPUTED_VALUE"""),4.0)</f>
        <v>4</v>
      </c>
      <c r="G1393" s="6" t="str">
        <f>IFERROR(__xludf.DUMMYFUNCTION("""COMPUTED_VALUE"""),"Set")</f>
        <v>Set</v>
      </c>
      <c r="H1393" s="6" t="str">
        <f>IFERROR(__xludf.DUMMYFUNCTION("""COMPUTED_VALUE"""),"IDR")</f>
        <v>IDR</v>
      </c>
      <c r="I1393" s="6">
        <f>IFERROR(__xludf.DUMMYFUNCTION("""COMPUTED_VALUE"""),165000.0)</f>
        <v>165000</v>
      </c>
      <c r="J1393" s="6">
        <f>IFERROR(__xludf.DUMMYFUNCTION("""COMPUTED_VALUE"""),660000.0)</f>
        <v>660000</v>
      </c>
      <c r="K1393" s="57">
        <f>IFERROR(__xludf.DUMMYFUNCTION("""COMPUTED_VALUE"""),44309.0)</f>
        <v>44309</v>
      </c>
      <c r="L1393" s="6" t="str">
        <f>IFERROR(__xludf.DUMMYFUNCTION("""COMPUTED_VALUE"""),"FIP Engineering")</f>
        <v>FIP Engineering</v>
      </c>
      <c r="M1393" s="6" t="str">
        <f>IFERROR(__xludf.DUMMYFUNCTION("""COMPUTED_VALUE"""),"Irwan Sopian")</f>
        <v>Irwan Sopian</v>
      </c>
      <c r="N1393" s="6" t="str">
        <f>IFERROR(__xludf.DUMMYFUNCTION("""COMPUTED_VALUE"""),"FIP Engineering")</f>
        <v>FIP Engineering</v>
      </c>
      <c r="O1393" s="6" t="str">
        <f>IFERROR(__xludf.DUMMYFUNCTION("""COMPUTED_VALUE"""),"FIP-DOM-000-11304-OS00001-INA-000000")</f>
        <v>FIP-DOM-000-11304-OS00001-INA-000000</v>
      </c>
      <c r="P1393" s="6" t="str">
        <f>IFERROR(__xludf.DUMMYFUNCTION("""COMPUTED_VALUE"""),"PO Closed")</f>
        <v>PO Closed</v>
      </c>
      <c r="Q1393" s="6" t="str">
        <f>IFERROR(__xludf.DUMMYFUNCTION("""COMPUTED_VALUE"""),"GL2104031")</f>
        <v>GL2104031</v>
      </c>
      <c r="R1393" s="57">
        <f>IFERROR(__xludf.DUMMYFUNCTION("""COMPUTED_VALUE"""),44244.0)</f>
        <v>44244</v>
      </c>
      <c r="S1393" s="6" t="str">
        <f>IFERROR(__xludf.DUMMYFUNCTION("""COMPUTED_VALUE"""),"-")</f>
        <v>-</v>
      </c>
      <c r="T1393" s="57">
        <f>IFERROR(__xludf.DUMMYFUNCTION("""COMPUTED_VALUE"""),44316.0)</f>
        <v>44316</v>
      </c>
    </row>
    <row r="1394">
      <c r="A1394" s="6" t="str">
        <f>IFERROR(__xludf.DUMMYFUNCTION("""COMPUTED_VALUE"""),"211750064-3")</f>
        <v>211750064-3</v>
      </c>
      <c r="B1394" s="6" t="str">
        <f>IFERROR(__xludf.DUMMYFUNCTION("""COMPUTED_VALUE"""),"211750064 - Approved")</f>
        <v>211750064 - Approved</v>
      </c>
      <c r="C1394" s="6">
        <f>IFERROR(__xludf.DUMMYFUNCTION("""COMPUTED_VALUE"""),3.0)</f>
        <v>3</v>
      </c>
      <c r="D1394" s="6" t="str">
        <f>IFERROR(__xludf.DUMMYFUNCTION("""COMPUTED_VALUE"""),"P-17675-00")</f>
        <v>P-17675-00</v>
      </c>
      <c r="E1394" s="6" t="str">
        <f>IFERROR(__xludf.DUMMYFUNCTION("""COMPUTED_VALUE"""),"Ball Valve SS304 1/2 Inch")</f>
        <v>Ball Valve SS304 1/2 Inch</v>
      </c>
      <c r="F1394" s="6">
        <f>IFERROR(__xludf.DUMMYFUNCTION("""COMPUTED_VALUE"""),2.0)</f>
        <v>2</v>
      </c>
      <c r="G1394" s="6" t="str">
        <f>IFERROR(__xludf.DUMMYFUNCTION("""COMPUTED_VALUE"""),"Pieces")</f>
        <v>Pieces</v>
      </c>
      <c r="H1394" s="6" t="str">
        <f>IFERROR(__xludf.DUMMYFUNCTION("""COMPUTED_VALUE"""),"IDR")</f>
        <v>IDR</v>
      </c>
      <c r="I1394" s="6">
        <f>IFERROR(__xludf.DUMMYFUNCTION("""COMPUTED_VALUE"""),125000.0)</f>
        <v>125000</v>
      </c>
      <c r="J1394" s="6">
        <f>IFERROR(__xludf.DUMMYFUNCTION("""COMPUTED_VALUE"""),250000.0)</f>
        <v>250000</v>
      </c>
      <c r="K1394" s="57">
        <f>IFERROR(__xludf.DUMMYFUNCTION("""COMPUTED_VALUE"""),44309.0)</f>
        <v>44309</v>
      </c>
      <c r="L1394" s="6" t="str">
        <f>IFERROR(__xludf.DUMMYFUNCTION("""COMPUTED_VALUE"""),"FIP Engineering")</f>
        <v>FIP Engineering</v>
      </c>
      <c r="M1394" s="6" t="str">
        <f>IFERROR(__xludf.DUMMYFUNCTION("""COMPUTED_VALUE"""),"Irwan Sopian")</f>
        <v>Irwan Sopian</v>
      </c>
      <c r="N1394" s="6" t="str">
        <f>IFERROR(__xludf.DUMMYFUNCTION("""COMPUTED_VALUE"""),"FIP Engineering")</f>
        <v>FIP Engineering</v>
      </c>
      <c r="O1394" s="6" t="str">
        <f>IFERROR(__xludf.DUMMYFUNCTION("""COMPUTED_VALUE"""),"FIP-DOM-000-11304-OS00001-INA-000000")</f>
        <v>FIP-DOM-000-11304-OS00001-INA-000000</v>
      </c>
      <c r="P1394" s="6" t="str">
        <f>IFERROR(__xludf.DUMMYFUNCTION("""COMPUTED_VALUE"""),"PO Closed")</f>
        <v>PO Closed</v>
      </c>
      <c r="Q1394" s="6" t="str">
        <f>IFERROR(__xludf.DUMMYFUNCTION("""COMPUTED_VALUE"""),"GL2104031")</f>
        <v>GL2104031</v>
      </c>
      <c r="R1394" s="57">
        <f>IFERROR(__xludf.DUMMYFUNCTION("""COMPUTED_VALUE"""),44244.0)</f>
        <v>44244</v>
      </c>
      <c r="S1394" s="6" t="str">
        <f>IFERROR(__xludf.DUMMYFUNCTION("""COMPUTED_VALUE"""),"-")</f>
        <v>-</v>
      </c>
      <c r="T1394" s="57">
        <f>IFERROR(__xludf.DUMMYFUNCTION("""COMPUTED_VALUE"""),44316.0)</f>
        <v>44316</v>
      </c>
    </row>
    <row r="1395">
      <c r="A1395" s="6" t="str">
        <f>IFERROR(__xludf.DUMMYFUNCTION("""COMPUTED_VALUE"""),"211750064-4")</f>
        <v>211750064-4</v>
      </c>
      <c r="B1395" s="6" t="str">
        <f>IFERROR(__xludf.DUMMYFUNCTION("""COMPUTED_VALUE"""),"211750064 - Approved")</f>
        <v>211750064 - Approved</v>
      </c>
      <c r="C1395" s="6">
        <f>IFERROR(__xludf.DUMMYFUNCTION("""COMPUTED_VALUE"""),4.0)</f>
        <v>4</v>
      </c>
      <c r="D1395" s="6" t="str">
        <f>IFERROR(__xludf.DUMMYFUNCTION("""COMPUTED_VALUE"""),"P-12140-00")</f>
        <v>P-12140-00</v>
      </c>
      <c r="E1395" s="6" t="str">
        <f>IFERROR(__xludf.DUMMYFUNCTION("""COMPUTED_VALUE"""),"Double neeple SS 304 dia 1/2inch")</f>
        <v>Double neeple SS 304 dia 1/2inch</v>
      </c>
      <c r="F1395" s="6">
        <f>IFERROR(__xludf.DUMMYFUNCTION("""COMPUTED_VALUE"""),4.0)</f>
        <v>4</v>
      </c>
      <c r="G1395" s="6" t="str">
        <f>IFERROR(__xludf.DUMMYFUNCTION("""COMPUTED_VALUE"""),"Pieces")</f>
        <v>Pieces</v>
      </c>
      <c r="H1395" s="6" t="str">
        <f>IFERROR(__xludf.DUMMYFUNCTION("""COMPUTED_VALUE"""),"IDR")</f>
        <v>IDR</v>
      </c>
      <c r="I1395" s="6">
        <f>IFERROR(__xludf.DUMMYFUNCTION("""COMPUTED_VALUE"""),26700.0)</f>
        <v>26700</v>
      </c>
      <c r="J1395" s="6">
        <f>IFERROR(__xludf.DUMMYFUNCTION("""COMPUTED_VALUE"""),106800.0)</f>
        <v>106800</v>
      </c>
      <c r="K1395" s="57">
        <f>IFERROR(__xludf.DUMMYFUNCTION("""COMPUTED_VALUE"""),44309.0)</f>
        <v>44309</v>
      </c>
      <c r="L1395" s="6" t="str">
        <f>IFERROR(__xludf.DUMMYFUNCTION("""COMPUTED_VALUE"""),"FIP General")</f>
        <v>FIP General</v>
      </c>
      <c r="M1395" s="6" t="str">
        <f>IFERROR(__xludf.DUMMYFUNCTION("""COMPUTED_VALUE"""),"Irwan Sopian")</f>
        <v>Irwan Sopian</v>
      </c>
      <c r="N1395" s="6" t="str">
        <f>IFERROR(__xludf.DUMMYFUNCTION("""COMPUTED_VALUE"""),"FIP Engineering")</f>
        <v>FIP Engineering</v>
      </c>
      <c r="O1395" s="6" t="str">
        <f>IFERROR(__xludf.DUMMYFUNCTION("""COMPUTED_VALUE"""),"FIP-DOM-ENG-51404-0000000-INA-000000")</f>
        <v>FIP-DOM-ENG-51404-0000000-INA-000000</v>
      </c>
      <c r="P1395" s="6" t="str">
        <f>IFERROR(__xludf.DUMMYFUNCTION("""COMPUTED_VALUE"""),"PO Closed")</f>
        <v>PO Closed</v>
      </c>
      <c r="Q1395" s="6" t="str">
        <f>IFERROR(__xludf.DUMMYFUNCTION("""COMPUTED_VALUE"""),"GL2104031")</f>
        <v>GL2104031</v>
      </c>
      <c r="R1395" s="57">
        <f>IFERROR(__xludf.DUMMYFUNCTION("""COMPUTED_VALUE"""),44244.0)</f>
        <v>44244</v>
      </c>
      <c r="S1395" s="6" t="str">
        <f>IFERROR(__xludf.DUMMYFUNCTION("""COMPUTED_VALUE"""),"-")</f>
        <v>-</v>
      </c>
      <c r="T1395" s="57">
        <f>IFERROR(__xludf.DUMMYFUNCTION("""COMPUTED_VALUE"""),44316.0)</f>
        <v>44316</v>
      </c>
    </row>
    <row r="1396">
      <c r="A1396" s="6" t="str">
        <f>IFERROR(__xludf.DUMMYFUNCTION("""COMPUTED_VALUE"""),"211750063-1")</f>
        <v>211750063-1</v>
      </c>
      <c r="B1396" s="6" t="str">
        <f>IFERROR(__xludf.DUMMYFUNCTION("""COMPUTED_VALUE"""),"211750063 - Approved")</f>
        <v>211750063 - Approved</v>
      </c>
      <c r="C1396" s="6">
        <f>IFERROR(__xludf.DUMMYFUNCTION("""COMPUTED_VALUE"""),1.0)</f>
        <v>1</v>
      </c>
      <c r="D1396" s="6" t="str">
        <f>IFERROR(__xludf.DUMMYFUNCTION("""COMPUTED_VALUE"""),"Q-10657-00")</f>
        <v>Q-10657-00</v>
      </c>
      <c r="E1396" s="6" t="str">
        <f>IFERROR(__xludf.DUMMYFUNCTION("""COMPUTED_VALUE"""),"Mata Gerinda Amplas Poles Epoxy @11 pcs")</f>
        <v>Mata Gerinda Amplas Poles Epoxy @11 pcs</v>
      </c>
      <c r="F1396" s="6">
        <f>IFERROR(__xludf.DUMMYFUNCTION("""COMPUTED_VALUE"""),1.0)</f>
        <v>1</v>
      </c>
      <c r="G1396" s="6" t="str">
        <f>IFERROR(__xludf.DUMMYFUNCTION("""COMPUTED_VALUE"""),"Set")</f>
        <v>Set</v>
      </c>
      <c r="H1396" s="6" t="str">
        <f>IFERROR(__xludf.DUMMYFUNCTION("""COMPUTED_VALUE"""),"IDR")</f>
        <v>IDR</v>
      </c>
      <c r="I1396" s="6">
        <f>IFERROR(__xludf.DUMMYFUNCTION("""COMPUTED_VALUE"""),326950.0)</f>
        <v>326950</v>
      </c>
      <c r="J1396" s="6">
        <f>IFERROR(__xludf.DUMMYFUNCTION("""COMPUTED_VALUE"""),326950.0)</f>
        <v>326950</v>
      </c>
      <c r="K1396" s="57">
        <f>IFERROR(__xludf.DUMMYFUNCTION("""COMPUTED_VALUE"""),44274.0)</f>
        <v>44274</v>
      </c>
      <c r="L1396" s="6" t="str">
        <f>IFERROR(__xludf.DUMMYFUNCTION("""COMPUTED_VALUE"""),"FIP General")</f>
        <v>FIP General</v>
      </c>
      <c r="M1396" s="6" t="str">
        <f>IFERROR(__xludf.DUMMYFUNCTION("""COMPUTED_VALUE"""),"Irwan Sopian")</f>
        <v>Irwan Sopian</v>
      </c>
      <c r="N1396" s="6" t="str">
        <f>IFERROR(__xludf.DUMMYFUNCTION("""COMPUTED_VALUE"""),"FIP Engineering")</f>
        <v>FIP Engineering</v>
      </c>
      <c r="O1396" s="6" t="str">
        <f>IFERROR(__xludf.DUMMYFUNCTION("""COMPUTED_VALUE"""),"FIP-DOM-ENG-51504-0000000-INA-000000")</f>
        <v>FIP-DOM-ENG-51504-0000000-INA-000000</v>
      </c>
      <c r="P1396" s="6" t="str">
        <f>IFERROR(__xludf.DUMMYFUNCTION("""COMPUTED_VALUE"""),"PO Closed")</f>
        <v>PO Closed</v>
      </c>
      <c r="Q1396" s="6" t="str">
        <f>IFERROR(__xludf.DUMMYFUNCTION("""COMPUTED_VALUE"""),"GL2103017")</f>
        <v>GL2103017</v>
      </c>
      <c r="R1396" s="57">
        <f>IFERROR(__xludf.DUMMYFUNCTION("""COMPUTED_VALUE"""),44244.0)</f>
        <v>44244</v>
      </c>
      <c r="S1396" s="6" t="str">
        <f>IFERROR(__xludf.DUMMYFUNCTION("""COMPUTED_VALUE"""),"-")</f>
        <v>-</v>
      </c>
      <c r="T1396" s="57">
        <f>IFERROR(__xludf.DUMMYFUNCTION("""COMPUTED_VALUE"""),44294.0)</f>
        <v>44294</v>
      </c>
    </row>
    <row r="1397">
      <c r="A1397" s="6" t="str">
        <f>IFERROR(__xludf.DUMMYFUNCTION("""COMPUTED_VALUE"""),"211750063-2")</f>
        <v>211750063-2</v>
      </c>
      <c r="B1397" s="6" t="str">
        <f>IFERROR(__xludf.DUMMYFUNCTION("""COMPUTED_VALUE"""),"211750063 - Approved")</f>
        <v>211750063 - Approved</v>
      </c>
      <c r="C1397" s="6">
        <f>IFERROR(__xludf.DUMMYFUNCTION("""COMPUTED_VALUE"""),2.0)</f>
        <v>2</v>
      </c>
      <c r="D1397" s="6" t="str">
        <f>IFERROR(__xludf.DUMMYFUNCTION("""COMPUTED_VALUE"""),"Q-10655-00")</f>
        <v>Q-10655-00</v>
      </c>
      <c r="E1397" s="6" t="str">
        <f>IFERROR(__xludf.DUMMYFUNCTION("""COMPUTED_VALUE"""),"Cat Anti Karat dan Anti Bocor Seiv Flinkote 007")</f>
        <v>Cat Anti Karat dan Anti Bocor Seiv Flinkote 007</v>
      </c>
      <c r="F1397" s="6">
        <f>IFERROR(__xludf.DUMMYFUNCTION("""COMPUTED_VALUE"""),3.0)</f>
        <v>3</v>
      </c>
      <c r="G1397" s="6" t="str">
        <f>IFERROR(__xludf.DUMMYFUNCTION("""COMPUTED_VALUE"""),"Kilogram")</f>
        <v>Kilogram</v>
      </c>
      <c r="H1397" s="6" t="str">
        <f>IFERROR(__xludf.DUMMYFUNCTION("""COMPUTED_VALUE"""),"IDR")</f>
        <v>IDR</v>
      </c>
      <c r="I1397" s="6">
        <f>IFERROR(__xludf.DUMMYFUNCTION("""COMPUTED_VALUE"""),48500.0)</f>
        <v>48500</v>
      </c>
      <c r="J1397" s="6">
        <f>IFERROR(__xludf.DUMMYFUNCTION("""COMPUTED_VALUE"""),145500.0)</f>
        <v>145500</v>
      </c>
      <c r="K1397" s="57">
        <f>IFERROR(__xludf.DUMMYFUNCTION("""COMPUTED_VALUE"""),44274.0)</f>
        <v>44274</v>
      </c>
      <c r="L1397" s="6" t="str">
        <f>IFERROR(__xludf.DUMMYFUNCTION("""COMPUTED_VALUE"""),"FIP Engineering")</f>
        <v>FIP Engineering</v>
      </c>
      <c r="M1397" s="6" t="str">
        <f>IFERROR(__xludf.DUMMYFUNCTION("""COMPUTED_VALUE"""),"Irwan Sopian")</f>
        <v>Irwan Sopian</v>
      </c>
      <c r="N1397" s="6" t="str">
        <f>IFERROR(__xludf.DUMMYFUNCTION("""COMPUTED_VALUE"""),"FIP Engineering")</f>
        <v>FIP Engineering</v>
      </c>
      <c r="O1397" s="6" t="str">
        <f>IFERROR(__xludf.DUMMYFUNCTION("""COMPUTED_VALUE"""),"FIP-DOM-000-11304-OS00001-INA-000000")</f>
        <v>FIP-DOM-000-11304-OS00001-INA-000000</v>
      </c>
      <c r="P1397" s="6" t="str">
        <f>IFERROR(__xludf.DUMMYFUNCTION("""COMPUTED_VALUE"""),"PO Closed")</f>
        <v>PO Closed</v>
      </c>
      <c r="Q1397" s="6" t="str">
        <f>IFERROR(__xludf.DUMMYFUNCTION("""COMPUTED_VALUE"""),"GL2103017")</f>
        <v>GL2103017</v>
      </c>
      <c r="R1397" s="57">
        <f>IFERROR(__xludf.DUMMYFUNCTION("""COMPUTED_VALUE"""),44244.0)</f>
        <v>44244</v>
      </c>
      <c r="S1397" s="6" t="str">
        <f>IFERROR(__xludf.DUMMYFUNCTION("""COMPUTED_VALUE"""),"-")</f>
        <v>-</v>
      </c>
      <c r="T1397" s="57">
        <f>IFERROR(__xludf.DUMMYFUNCTION("""COMPUTED_VALUE"""),44294.0)</f>
        <v>44294</v>
      </c>
    </row>
    <row r="1398">
      <c r="A1398" s="6" t="str">
        <f>IFERROR(__xludf.DUMMYFUNCTION("""COMPUTED_VALUE"""),"211750063-3")</f>
        <v>211750063-3</v>
      </c>
      <c r="B1398" s="6" t="str">
        <f>IFERROR(__xludf.DUMMYFUNCTION("""COMPUTED_VALUE"""),"211750063 - Approved")</f>
        <v>211750063 - Approved</v>
      </c>
      <c r="C1398" s="6">
        <f>IFERROR(__xludf.DUMMYFUNCTION("""COMPUTED_VALUE"""),3.0)</f>
        <v>3</v>
      </c>
      <c r="D1398" s="6" t="str">
        <f>IFERROR(__xludf.DUMMYFUNCTION("""COMPUTED_VALUE"""),"Q-10656-00")</f>
        <v>Q-10656-00</v>
      </c>
      <c r="E1398" s="6" t="str">
        <f>IFERROR(__xludf.DUMMYFUNCTION("""COMPUTED_VALUE"""),"Kuas Eterna 5 Inch")</f>
        <v>Kuas Eterna 5 Inch</v>
      </c>
      <c r="F1398" s="6">
        <f>IFERROR(__xludf.DUMMYFUNCTION("""COMPUTED_VALUE"""),3.0)</f>
        <v>3</v>
      </c>
      <c r="G1398" s="6" t="str">
        <f>IFERROR(__xludf.DUMMYFUNCTION("""COMPUTED_VALUE"""),"Pieces")</f>
        <v>Pieces</v>
      </c>
      <c r="H1398" s="6" t="str">
        <f>IFERROR(__xludf.DUMMYFUNCTION("""COMPUTED_VALUE"""),"IDR")</f>
        <v>IDR</v>
      </c>
      <c r="I1398" s="6">
        <f>IFERROR(__xludf.DUMMYFUNCTION("""COMPUTED_VALUE"""),18500.0)</f>
        <v>18500</v>
      </c>
      <c r="J1398" s="6">
        <f>IFERROR(__xludf.DUMMYFUNCTION("""COMPUTED_VALUE"""),55500.0)</f>
        <v>55500</v>
      </c>
      <c r="K1398" s="57">
        <f>IFERROR(__xludf.DUMMYFUNCTION("""COMPUTED_VALUE"""),44274.0)</f>
        <v>44274</v>
      </c>
      <c r="L1398" s="6" t="str">
        <f>IFERROR(__xludf.DUMMYFUNCTION("""COMPUTED_VALUE"""),"FIP Engineering")</f>
        <v>FIP Engineering</v>
      </c>
      <c r="M1398" s="6" t="str">
        <f>IFERROR(__xludf.DUMMYFUNCTION("""COMPUTED_VALUE"""),"Irwan Sopian")</f>
        <v>Irwan Sopian</v>
      </c>
      <c r="N1398" s="6" t="str">
        <f>IFERROR(__xludf.DUMMYFUNCTION("""COMPUTED_VALUE"""),"FIP Engineering")</f>
        <v>FIP Engineering</v>
      </c>
      <c r="O1398" s="6" t="str">
        <f>IFERROR(__xludf.DUMMYFUNCTION("""COMPUTED_VALUE"""),"FIP-DOM-000-11304-OS00001-INA-000000")</f>
        <v>FIP-DOM-000-11304-OS00001-INA-000000</v>
      </c>
      <c r="P1398" s="6" t="str">
        <f>IFERROR(__xludf.DUMMYFUNCTION("""COMPUTED_VALUE"""),"PO Closed")</f>
        <v>PO Closed</v>
      </c>
      <c r="Q1398" s="6" t="str">
        <f>IFERROR(__xludf.DUMMYFUNCTION("""COMPUTED_VALUE"""),"GL2103017")</f>
        <v>GL2103017</v>
      </c>
      <c r="R1398" s="57">
        <f>IFERROR(__xludf.DUMMYFUNCTION("""COMPUTED_VALUE"""),44244.0)</f>
        <v>44244</v>
      </c>
      <c r="S1398" s="6" t="str">
        <f>IFERROR(__xludf.DUMMYFUNCTION("""COMPUTED_VALUE"""),"-")</f>
        <v>-</v>
      </c>
      <c r="T1398" s="57">
        <f>IFERROR(__xludf.DUMMYFUNCTION("""COMPUTED_VALUE"""),44294.0)</f>
        <v>44294</v>
      </c>
    </row>
    <row r="1399">
      <c r="A1399" s="6" t="str">
        <f>IFERROR(__xludf.DUMMYFUNCTION("""COMPUTED_VALUE"""),"211750063-4")</f>
        <v>211750063-4</v>
      </c>
      <c r="B1399" s="6" t="str">
        <f>IFERROR(__xludf.DUMMYFUNCTION("""COMPUTED_VALUE"""),"211750063 - Approved")</f>
        <v>211750063 - Approved</v>
      </c>
      <c r="C1399" s="6">
        <f>IFERROR(__xludf.DUMMYFUNCTION("""COMPUTED_VALUE"""),4.0)</f>
        <v>4</v>
      </c>
      <c r="D1399" s="6" t="str">
        <f>IFERROR(__xludf.DUMMYFUNCTION("""COMPUTED_VALUE"""),"P-17677-00")</f>
        <v>P-17677-00</v>
      </c>
      <c r="E1399" s="6" t="str">
        <f>IFERROR(__xludf.DUMMYFUNCTION("""COMPUTED_VALUE"""),"Portable Gas Torch")</f>
        <v>Portable Gas Torch</v>
      </c>
      <c r="F1399" s="6">
        <f>IFERROR(__xludf.DUMMYFUNCTION("""COMPUTED_VALUE"""),1.0)</f>
        <v>1</v>
      </c>
      <c r="G1399" s="6" t="str">
        <f>IFERROR(__xludf.DUMMYFUNCTION("""COMPUTED_VALUE"""),"Unit")</f>
        <v>Unit</v>
      </c>
      <c r="H1399" s="6" t="str">
        <f>IFERROR(__xludf.DUMMYFUNCTION("""COMPUTED_VALUE"""),"IDR")</f>
        <v>IDR</v>
      </c>
      <c r="I1399" s="6">
        <f>IFERROR(__xludf.DUMMYFUNCTION("""COMPUTED_VALUE"""),45000.0)</f>
        <v>45000</v>
      </c>
      <c r="J1399" s="6">
        <f>IFERROR(__xludf.DUMMYFUNCTION("""COMPUTED_VALUE"""),45000.0)</f>
        <v>45000</v>
      </c>
      <c r="K1399" s="57">
        <f>IFERROR(__xludf.DUMMYFUNCTION("""COMPUTED_VALUE"""),44274.0)</f>
        <v>44274</v>
      </c>
      <c r="L1399" s="6" t="str">
        <f>IFERROR(__xludf.DUMMYFUNCTION("""COMPUTED_VALUE"""),"FIP General")</f>
        <v>FIP General</v>
      </c>
      <c r="M1399" s="6" t="str">
        <f>IFERROR(__xludf.DUMMYFUNCTION("""COMPUTED_VALUE"""),"Irwan Sopian")</f>
        <v>Irwan Sopian</v>
      </c>
      <c r="N1399" s="6" t="str">
        <f>IFERROR(__xludf.DUMMYFUNCTION("""COMPUTED_VALUE"""),"FIP Engineering")</f>
        <v>FIP Engineering</v>
      </c>
      <c r="O1399" s="6" t="str">
        <f>IFERROR(__xludf.DUMMYFUNCTION("""COMPUTED_VALUE"""),"FIP-DOM-ENG-51504-0000000-INA-000000")</f>
        <v>FIP-DOM-ENG-51504-0000000-INA-000000</v>
      </c>
      <c r="P1399" s="6" t="str">
        <f>IFERROR(__xludf.DUMMYFUNCTION("""COMPUTED_VALUE"""),"PO Closed")</f>
        <v>PO Closed</v>
      </c>
      <c r="Q1399" s="6" t="str">
        <f>IFERROR(__xludf.DUMMYFUNCTION("""COMPUTED_VALUE"""),"GL2104001")</f>
        <v>GL2104001</v>
      </c>
      <c r="R1399" s="57">
        <f>IFERROR(__xludf.DUMMYFUNCTION("""COMPUTED_VALUE"""),44244.0)</f>
        <v>44244</v>
      </c>
      <c r="S1399" s="6" t="str">
        <f>IFERROR(__xludf.DUMMYFUNCTION("""COMPUTED_VALUE"""),"-")</f>
        <v>-</v>
      </c>
      <c r="T1399" s="57">
        <f>IFERROR(__xludf.DUMMYFUNCTION("""COMPUTED_VALUE"""),44306.0)</f>
        <v>44306</v>
      </c>
    </row>
    <row r="1400">
      <c r="A1400" s="6" t="str">
        <f>IFERROR(__xludf.DUMMYFUNCTION("""COMPUTED_VALUE"""),"211750063-5")</f>
        <v>211750063-5</v>
      </c>
      <c r="B1400" s="6" t="str">
        <f>IFERROR(__xludf.DUMMYFUNCTION("""COMPUTED_VALUE"""),"211750063 - Approved")</f>
        <v>211750063 - Approved</v>
      </c>
      <c r="C1400" s="6">
        <f>IFERROR(__xludf.DUMMYFUNCTION("""COMPUTED_VALUE"""),5.0)</f>
        <v>5</v>
      </c>
      <c r="D1400" s="6" t="str">
        <f>IFERROR(__xludf.DUMMYFUNCTION("""COMPUTED_VALUE"""),"P-17676-00")</f>
        <v>P-17676-00</v>
      </c>
      <c r="E1400" s="6" t="str">
        <f>IFERROR(__xludf.DUMMYFUNCTION("""COMPUTED_VALUE"""),"Gas Wonder Fuel 220 Gram")</f>
        <v>Gas Wonder Fuel 220 Gram</v>
      </c>
      <c r="F1400" s="6">
        <f>IFERROR(__xludf.DUMMYFUNCTION("""COMPUTED_VALUE"""),4.0)</f>
        <v>4</v>
      </c>
      <c r="G1400" s="6" t="str">
        <f>IFERROR(__xludf.DUMMYFUNCTION("""COMPUTED_VALUE"""),"Pieces")</f>
        <v>Pieces</v>
      </c>
      <c r="H1400" s="6" t="str">
        <f>IFERROR(__xludf.DUMMYFUNCTION("""COMPUTED_VALUE"""),"IDR")</f>
        <v>IDR</v>
      </c>
      <c r="I1400" s="6">
        <f>IFERROR(__xludf.DUMMYFUNCTION("""COMPUTED_VALUE"""),25000.0)</f>
        <v>25000</v>
      </c>
      <c r="J1400" s="6">
        <f>IFERROR(__xludf.DUMMYFUNCTION("""COMPUTED_VALUE"""),100000.0)</f>
        <v>100000</v>
      </c>
      <c r="K1400" s="57">
        <f>IFERROR(__xludf.DUMMYFUNCTION("""COMPUTED_VALUE"""),44274.0)</f>
        <v>44274</v>
      </c>
      <c r="L1400" s="6" t="str">
        <f>IFERROR(__xludf.DUMMYFUNCTION("""COMPUTED_VALUE"""),"FIP General")</f>
        <v>FIP General</v>
      </c>
      <c r="M1400" s="6" t="str">
        <f>IFERROR(__xludf.DUMMYFUNCTION("""COMPUTED_VALUE"""),"Irwan Sopian")</f>
        <v>Irwan Sopian</v>
      </c>
      <c r="N1400" s="6" t="str">
        <f>IFERROR(__xludf.DUMMYFUNCTION("""COMPUTED_VALUE"""),"FIP Engineering")</f>
        <v>FIP Engineering</v>
      </c>
      <c r="O1400" s="6" t="str">
        <f>IFERROR(__xludf.DUMMYFUNCTION("""COMPUTED_VALUE"""),"FIP-DOM-ENG-51504-0000000-INA-000000")</f>
        <v>FIP-DOM-ENG-51504-0000000-INA-000000</v>
      </c>
      <c r="P1400" s="6" t="str">
        <f>IFERROR(__xludf.DUMMYFUNCTION("""COMPUTED_VALUE"""),"PO Closed")</f>
        <v>PO Closed</v>
      </c>
      <c r="Q1400" s="6" t="str">
        <f>IFERROR(__xludf.DUMMYFUNCTION("""COMPUTED_VALUE"""),"GL2104001")</f>
        <v>GL2104001</v>
      </c>
      <c r="R1400" s="57">
        <f>IFERROR(__xludf.DUMMYFUNCTION("""COMPUTED_VALUE"""),44244.0)</f>
        <v>44244</v>
      </c>
      <c r="S1400" s="6" t="str">
        <f>IFERROR(__xludf.DUMMYFUNCTION("""COMPUTED_VALUE"""),"-")</f>
        <v>-</v>
      </c>
      <c r="T1400" s="57">
        <f>IFERROR(__xludf.DUMMYFUNCTION("""COMPUTED_VALUE"""),44306.0)</f>
        <v>44306</v>
      </c>
    </row>
    <row r="1401">
      <c r="A1401" s="6" t="str">
        <f>IFERROR(__xludf.DUMMYFUNCTION("""COMPUTED_VALUE"""),"211750063-6")</f>
        <v>211750063-6</v>
      </c>
      <c r="B1401" s="6" t="str">
        <f>IFERROR(__xludf.DUMMYFUNCTION("""COMPUTED_VALUE"""),"211750063 - Approved")</f>
        <v>211750063 - Approved</v>
      </c>
      <c r="C1401" s="6">
        <f>IFERROR(__xludf.DUMMYFUNCTION("""COMPUTED_VALUE"""),6.0)</f>
        <v>6</v>
      </c>
      <c r="D1401" s="6" t="str">
        <f>IFERROR(__xludf.DUMMYFUNCTION("""COMPUTED_VALUE"""),"O-17243-00")</f>
        <v>O-17243-00</v>
      </c>
      <c r="E1401" s="6" t="str">
        <f>IFERROR(__xludf.DUMMYFUNCTION("""COMPUTED_VALUE"""),"Selang Flexible Vaccum 40 mm")</f>
        <v>Selang Flexible Vaccum 40 mm</v>
      </c>
      <c r="F1401" s="6">
        <f>IFERROR(__xludf.DUMMYFUNCTION("""COMPUTED_VALUE"""),2.0)</f>
        <v>2</v>
      </c>
      <c r="G1401" s="6" t="str">
        <f>IFERROR(__xludf.DUMMYFUNCTION("""COMPUTED_VALUE"""),"Meter")</f>
        <v>Meter</v>
      </c>
      <c r="H1401" s="6" t="str">
        <f>IFERROR(__xludf.DUMMYFUNCTION("""COMPUTED_VALUE"""),"IDR")</f>
        <v>IDR</v>
      </c>
      <c r="I1401" s="6">
        <f>IFERROR(__xludf.DUMMYFUNCTION("""COMPUTED_VALUE"""),82500.0)</f>
        <v>82500</v>
      </c>
      <c r="J1401" s="6">
        <f>IFERROR(__xludf.DUMMYFUNCTION("""COMPUTED_VALUE"""),165000.0)</f>
        <v>165000</v>
      </c>
      <c r="K1401" s="57">
        <f>IFERROR(__xludf.DUMMYFUNCTION("""COMPUTED_VALUE"""),44274.0)</f>
        <v>44274</v>
      </c>
      <c r="L1401" s="6" t="str">
        <f>IFERROR(__xludf.DUMMYFUNCTION("""COMPUTED_VALUE"""),"FIP Engineering")</f>
        <v>FIP Engineering</v>
      </c>
      <c r="M1401" s="6" t="str">
        <f>IFERROR(__xludf.DUMMYFUNCTION("""COMPUTED_VALUE"""),"Irwan Sopian")</f>
        <v>Irwan Sopian</v>
      </c>
      <c r="N1401" s="6" t="str">
        <f>IFERROR(__xludf.DUMMYFUNCTION("""COMPUTED_VALUE"""),"FIP Engineering")</f>
        <v>FIP Engineering</v>
      </c>
      <c r="O1401" s="6" t="str">
        <f>IFERROR(__xludf.DUMMYFUNCTION("""COMPUTED_VALUE"""),"FIP-DOM-000-11304-OS00001-INA-000000")</f>
        <v>FIP-DOM-000-11304-OS00001-INA-000000</v>
      </c>
      <c r="P1401" s="6" t="str">
        <f>IFERROR(__xludf.DUMMYFUNCTION("""COMPUTED_VALUE"""),"PO Closed")</f>
        <v>PO Closed</v>
      </c>
      <c r="Q1401" s="6" t="str">
        <f>IFERROR(__xludf.DUMMYFUNCTION("""COMPUTED_VALUE"""),"GL2104001")</f>
        <v>GL2104001</v>
      </c>
      <c r="R1401" s="57">
        <f>IFERROR(__xludf.DUMMYFUNCTION("""COMPUTED_VALUE"""),44244.0)</f>
        <v>44244</v>
      </c>
      <c r="S1401" s="6" t="str">
        <f>IFERROR(__xludf.DUMMYFUNCTION("""COMPUTED_VALUE"""),"-")</f>
        <v>-</v>
      </c>
      <c r="T1401" s="57">
        <f>IFERROR(__xludf.DUMMYFUNCTION("""COMPUTED_VALUE"""),44306.0)</f>
        <v>44306</v>
      </c>
    </row>
    <row r="1402">
      <c r="A1402" s="6" t="str">
        <f>IFERROR(__xludf.DUMMYFUNCTION("""COMPUTED_VALUE"""),"211750066-1")</f>
        <v>211750066-1</v>
      </c>
      <c r="B1402" s="6" t="str">
        <f>IFERROR(__xludf.DUMMYFUNCTION("""COMPUTED_VALUE"""),"211750066 - Approved")</f>
        <v>211750066 - Approved</v>
      </c>
      <c r="C1402" s="6">
        <f>IFERROR(__xludf.DUMMYFUNCTION("""COMPUTED_VALUE"""),1.0)</f>
        <v>1</v>
      </c>
      <c r="D1402" s="6" t="str">
        <f>IFERROR(__xludf.DUMMYFUNCTION("""COMPUTED_VALUE"""),"O-52443-00")</f>
        <v>O-52443-00</v>
      </c>
      <c r="E1402" s="6" t="str">
        <f>IFERROR(__xludf.DUMMYFUNCTION("""COMPUTED_VALUE"""),"Analog Input 8 Channel 331-7KF02-0AB0 Siemens")</f>
        <v>Analog Input 8 Channel 331-7KF02-0AB0 Siemens</v>
      </c>
      <c r="F1402" s="6">
        <f>IFERROR(__xludf.DUMMYFUNCTION("""COMPUTED_VALUE"""),2.0)</f>
        <v>2</v>
      </c>
      <c r="G1402" s="6" t="str">
        <f>IFERROR(__xludf.DUMMYFUNCTION("""COMPUTED_VALUE"""),"Pieces")</f>
        <v>Pieces</v>
      </c>
      <c r="H1402" s="6" t="str">
        <f>IFERROR(__xludf.DUMMYFUNCTION("""COMPUTED_VALUE"""),"IDR")</f>
        <v>IDR</v>
      </c>
      <c r="I1402" s="6">
        <f>IFERROR(__xludf.DUMMYFUNCTION("""COMPUTED_VALUE"""),1.02E7)</f>
        <v>10200000</v>
      </c>
      <c r="J1402" s="6">
        <f>IFERROR(__xludf.DUMMYFUNCTION("""COMPUTED_VALUE"""),2.04E7)</f>
        <v>20400000</v>
      </c>
      <c r="K1402" s="57">
        <f>IFERROR(__xludf.DUMMYFUNCTION("""COMPUTED_VALUE"""),44286.0)</f>
        <v>44286</v>
      </c>
      <c r="L1402" s="6" t="str">
        <f>IFERROR(__xludf.DUMMYFUNCTION("""COMPUTED_VALUE"""),"FIP Engineering")</f>
        <v>FIP Engineering</v>
      </c>
      <c r="M1402" s="6" t="str">
        <f>IFERROR(__xludf.DUMMYFUNCTION("""COMPUTED_VALUE"""),"Irwan Sopian")</f>
        <v>Irwan Sopian</v>
      </c>
      <c r="N1402" s="6" t="str">
        <f>IFERROR(__xludf.DUMMYFUNCTION("""COMPUTED_VALUE"""),"FIP Engineering")</f>
        <v>FIP Engineering</v>
      </c>
      <c r="O1402" s="6" t="str">
        <f>IFERROR(__xludf.DUMMYFUNCTION("""COMPUTED_VALUE"""),"FIP-DOM-000-11304-OS00001-INA-000000")</f>
        <v>FIP-DOM-000-11304-OS00001-INA-000000</v>
      </c>
      <c r="P1402" s="6" t="str">
        <f>IFERROR(__xludf.DUMMYFUNCTION("""COMPUTED_VALUE"""),"PO Closed")</f>
        <v>PO Closed</v>
      </c>
      <c r="Q1402" s="6" t="str">
        <f>IFERROR(__xludf.DUMMYFUNCTION("""COMPUTED_VALUE"""),"GL2103012")</f>
        <v>GL2103012</v>
      </c>
      <c r="R1402" s="57">
        <f>IFERROR(__xludf.DUMMYFUNCTION("""COMPUTED_VALUE"""),44245.0)</f>
        <v>44245</v>
      </c>
      <c r="S1402" s="6" t="str">
        <f>IFERROR(__xludf.DUMMYFUNCTION("""COMPUTED_VALUE"""),"-")</f>
        <v>-</v>
      </c>
      <c r="T1402" s="57">
        <f>IFERROR(__xludf.DUMMYFUNCTION("""COMPUTED_VALUE"""),44286.0)</f>
        <v>44286</v>
      </c>
    </row>
    <row r="1403">
      <c r="A1403" s="6" t="str">
        <f>IFERROR(__xludf.DUMMYFUNCTION("""COMPUTED_VALUE"""),"211750064-5")</f>
        <v>211750064-5</v>
      </c>
      <c r="B1403" s="6" t="str">
        <f>IFERROR(__xludf.DUMMYFUNCTION("""COMPUTED_VALUE"""),"211750064 - Approved")</f>
        <v>211750064 - Approved</v>
      </c>
      <c r="C1403" s="6">
        <f>IFERROR(__xludf.DUMMYFUNCTION("""COMPUTED_VALUE"""),5.0)</f>
        <v>5</v>
      </c>
      <c r="D1403" s="6" t="str">
        <f>IFERROR(__xludf.DUMMYFUNCTION("""COMPUTED_VALUE"""),"P-12888-00")</f>
        <v>P-12888-00</v>
      </c>
      <c r="E1403" s="6" t="str">
        <f>IFERROR(__xludf.DUMMYFUNCTION("""COMPUTED_VALUE"""),"Tee SS 304 screw dia 1/2inch")</f>
        <v>Tee SS 304 screw dia 1/2inch</v>
      </c>
      <c r="F1403" s="6">
        <f>IFERROR(__xludf.DUMMYFUNCTION("""COMPUTED_VALUE"""),2.0)</f>
        <v>2</v>
      </c>
      <c r="G1403" s="6" t="str">
        <f>IFERROR(__xludf.DUMMYFUNCTION("""COMPUTED_VALUE"""),"Pieces")</f>
        <v>Pieces</v>
      </c>
      <c r="H1403" s="6" t="str">
        <f>IFERROR(__xludf.DUMMYFUNCTION("""COMPUTED_VALUE"""),"IDR")</f>
        <v>IDR</v>
      </c>
      <c r="I1403" s="6">
        <f>IFERROR(__xludf.DUMMYFUNCTION("""COMPUTED_VALUE"""),48500.0)</f>
        <v>48500</v>
      </c>
      <c r="J1403" s="6">
        <f>IFERROR(__xludf.DUMMYFUNCTION("""COMPUTED_VALUE"""),97000.0)</f>
        <v>97000</v>
      </c>
      <c r="K1403" s="57">
        <f>IFERROR(__xludf.DUMMYFUNCTION("""COMPUTED_VALUE"""),44309.0)</f>
        <v>44309</v>
      </c>
      <c r="L1403" s="6" t="str">
        <f>IFERROR(__xludf.DUMMYFUNCTION("""COMPUTED_VALUE"""),"FIP General")</f>
        <v>FIP General</v>
      </c>
      <c r="M1403" s="6" t="str">
        <f>IFERROR(__xludf.DUMMYFUNCTION("""COMPUTED_VALUE"""),"Irwan Sopian")</f>
        <v>Irwan Sopian</v>
      </c>
      <c r="N1403" s="6" t="str">
        <f>IFERROR(__xludf.DUMMYFUNCTION("""COMPUTED_VALUE"""),"FIP Engineering")</f>
        <v>FIP Engineering</v>
      </c>
      <c r="O1403" s="6" t="str">
        <f>IFERROR(__xludf.DUMMYFUNCTION("""COMPUTED_VALUE"""),"FIP-DOM-ENG-51504-0000000-INA-000000")</f>
        <v>FIP-DOM-ENG-51504-0000000-INA-000000</v>
      </c>
      <c r="P1403" s="6" t="str">
        <f>IFERROR(__xludf.DUMMYFUNCTION("""COMPUTED_VALUE"""),"PO Closed")</f>
        <v>PO Closed</v>
      </c>
      <c r="Q1403" s="6" t="str">
        <f>IFERROR(__xludf.DUMMYFUNCTION("""COMPUTED_VALUE"""),"GL2104031")</f>
        <v>GL2104031</v>
      </c>
      <c r="R1403" s="57">
        <f>IFERROR(__xludf.DUMMYFUNCTION("""COMPUTED_VALUE"""),44245.0)</f>
        <v>44245</v>
      </c>
      <c r="S1403" s="6" t="str">
        <f>IFERROR(__xludf.DUMMYFUNCTION("""COMPUTED_VALUE"""),"-")</f>
        <v>-</v>
      </c>
      <c r="T1403" s="57">
        <f>IFERROR(__xludf.DUMMYFUNCTION("""COMPUTED_VALUE"""),44316.0)</f>
        <v>44316</v>
      </c>
    </row>
    <row r="1404">
      <c r="A1404" s="6" t="str">
        <f>IFERROR(__xludf.DUMMYFUNCTION("""COMPUTED_VALUE"""),"211750068-1")</f>
        <v>211750068-1</v>
      </c>
      <c r="B1404" s="6" t="str">
        <f>IFERROR(__xludf.DUMMYFUNCTION("""COMPUTED_VALUE"""),"211750068 - Approved")</f>
        <v>211750068 - Approved</v>
      </c>
      <c r="C1404" s="6">
        <f>IFERROR(__xludf.DUMMYFUNCTION("""COMPUTED_VALUE"""),1.0)</f>
        <v>1</v>
      </c>
      <c r="D1404" s="6" t="str">
        <f>IFERROR(__xludf.DUMMYFUNCTION("""COMPUTED_VALUE"""),"P-17681-00")</f>
        <v>P-17681-00</v>
      </c>
      <c r="E1404" s="6" t="str">
        <f>IFERROR(__xludf.DUMMYFUNCTION("""COMPUTED_VALUE"""),"Tee PVC AW dia 2 inch x 1 inch")</f>
        <v>Tee PVC AW dia 2 inch x 1 inch</v>
      </c>
      <c r="F1404" s="6">
        <f>IFERROR(__xludf.DUMMYFUNCTION("""COMPUTED_VALUE"""),2.0)</f>
        <v>2</v>
      </c>
      <c r="G1404" s="6" t="str">
        <f>IFERROR(__xludf.DUMMYFUNCTION("""COMPUTED_VALUE"""),"Pieces")</f>
        <v>Pieces</v>
      </c>
      <c r="H1404" s="6" t="str">
        <f>IFERROR(__xludf.DUMMYFUNCTION("""COMPUTED_VALUE"""),"IDR")</f>
        <v>IDR</v>
      </c>
      <c r="I1404" s="6">
        <f>IFERROR(__xludf.DUMMYFUNCTION("""COMPUTED_VALUE"""),18500.0)</f>
        <v>18500</v>
      </c>
      <c r="J1404" s="6">
        <f>IFERROR(__xludf.DUMMYFUNCTION("""COMPUTED_VALUE"""),37000.0)</f>
        <v>37000</v>
      </c>
      <c r="K1404" s="57">
        <f>IFERROR(__xludf.DUMMYFUNCTION("""COMPUTED_VALUE"""),44274.0)</f>
        <v>44274</v>
      </c>
      <c r="L1404" s="6" t="str">
        <f>IFERROR(__xludf.DUMMYFUNCTION("""COMPUTED_VALUE"""),"FIP Engineering")</f>
        <v>FIP Engineering</v>
      </c>
      <c r="M1404" s="6" t="str">
        <f>IFERROR(__xludf.DUMMYFUNCTION("""COMPUTED_VALUE"""),"Irwan Sopian")</f>
        <v>Irwan Sopian</v>
      </c>
      <c r="N1404" s="6" t="str">
        <f>IFERROR(__xludf.DUMMYFUNCTION("""COMPUTED_VALUE"""),"FIP Engineering")</f>
        <v>FIP Engineering</v>
      </c>
      <c r="O1404" s="6" t="str">
        <f>IFERROR(__xludf.DUMMYFUNCTION("""COMPUTED_VALUE"""),"FIP-DOM-000-11304-OS00001-INA-000000")</f>
        <v>FIP-DOM-000-11304-OS00001-INA-000000</v>
      </c>
      <c r="P1404" s="6" t="str">
        <f>IFERROR(__xludf.DUMMYFUNCTION("""COMPUTED_VALUE"""),"PO Closed")</f>
        <v>PO Closed</v>
      </c>
      <c r="Q1404" s="6" t="str">
        <f>IFERROR(__xludf.DUMMYFUNCTION("""COMPUTED_VALUE"""),"GL2103004")</f>
        <v>GL2103004</v>
      </c>
      <c r="R1404" s="57">
        <f>IFERROR(__xludf.DUMMYFUNCTION("""COMPUTED_VALUE"""),44249.0)</f>
        <v>44249</v>
      </c>
      <c r="S1404" s="6" t="str">
        <f>IFERROR(__xludf.DUMMYFUNCTION("""COMPUTED_VALUE"""),"-")</f>
        <v>-</v>
      </c>
      <c r="T1404" s="57">
        <f>IFERROR(__xludf.DUMMYFUNCTION("""COMPUTED_VALUE"""),44265.0)</f>
        <v>44265</v>
      </c>
    </row>
    <row r="1405">
      <c r="A1405" s="6" t="str">
        <f>IFERROR(__xludf.DUMMYFUNCTION("""COMPUTED_VALUE"""),"211750068-2")</f>
        <v>211750068-2</v>
      </c>
      <c r="B1405" s="6" t="str">
        <f>IFERROR(__xludf.DUMMYFUNCTION("""COMPUTED_VALUE"""),"211750068 - Approved")</f>
        <v>211750068 - Approved</v>
      </c>
      <c r="C1405" s="6">
        <f>IFERROR(__xludf.DUMMYFUNCTION("""COMPUTED_VALUE"""),2.0)</f>
        <v>2</v>
      </c>
      <c r="D1405" s="6" t="str">
        <f>IFERROR(__xludf.DUMMYFUNCTION("""COMPUTED_VALUE"""),"P-12746-00")</f>
        <v>P-12746-00</v>
      </c>
      <c r="E1405" s="6" t="str">
        <f>IFERROR(__xludf.DUMMYFUNCTION("""COMPUTED_VALUE"""),"RUCIKA - Pipa PVC AW dia 1 1/2inch")</f>
        <v>RUCIKA - Pipa PVC AW dia 1 1/2inch</v>
      </c>
      <c r="F1405" s="6">
        <f>IFERROR(__xludf.DUMMYFUNCTION("""COMPUTED_VALUE"""),1.0)</f>
        <v>1</v>
      </c>
      <c r="G1405" s="6" t="str">
        <f>IFERROR(__xludf.DUMMYFUNCTION("""COMPUTED_VALUE"""),"Pieces")</f>
        <v>Pieces</v>
      </c>
      <c r="H1405" s="6" t="str">
        <f>IFERROR(__xludf.DUMMYFUNCTION("""COMPUTED_VALUE"""),"IDR")</f>
        <v>IDR</v>
      </c>
      <c r="I1405" s="6">
        <f>IFERROR(__xludf.DUMMYFUNCTION("""COMPUTED_VALUE"""),148000.0)</f>
        <v>148000</v>
      </c>
      <c r="J1405" s="6">
        <f>IFERROR(__xludf.DUMMYFUNCTION("""COMPUTED_VALUE"""),148000.0)</f>
        <v>148000</v>
      </c>
      <c r="K1405" s="57">
        <f>IFERROR(__xludf.DUMMYFUNCTION("""COMPUTED_VALUE"""),44274.0)</f>
        <v>44274</v>
      </c>
      <c r="L1405" s="6" t="str">
        <f>IFERROR(__xludf.DUMMYFUNCTION("""COMPUTED_VALUE"""),"FIP Engineering")</f>
        <v>FIP Engineering</v>
      </c>
      <c r="M1405" s="6" t="str">
        <f>IFERROR(__xludf.DUMMYFUNCTION("""COMPUTED_VALUE"""),"Irwan Sopian")</f>
        <v>Irwan Sopian</v>
      </c>
      <c r="N1405" s="6" t="str">
        <f>IFERROR(__xludf.DUMMYFUNCTION("""COMPUTED_VALUE"""),"FIP Engineering")</f>
        <v>FIP Engineering</v>
      </c>
      <c r="O1405" s="6" t="str">
        <f>IFERROR(__xludf.DUMMYFUNCTION("""COMPUTED_VALUE"""),"FIP-DOM-000-11304-OS00001-INA-000000")</f>
        <v>FIP-DOM-000-11304-OS00001-INA-000000</v>
      </c>
      <c r="P1405" s="6" t="str">
        <f>IFERROR(__xludf.DUMMYFUNCTION("""COMPUTED_VALUE"""),"PO Closed")</f>
        <v>PO Closed</v>
      </c>
      <c r="Q1405" s="6" t="str">
        <f>IFERROR(__xludf.DUMMYFUNCTION("""COMPUTED_VALUE"""),"GL2103004")</f>
        <v>GL2103004</v>
      </c>
      <c r="R1405" s="57">
        <f>IFERROR(__xludf.DUMMYFUNCTION("""COMPUTED_VALUE"""),44249.0)</f>
        <v>44249</v>
      </c>
      <c r="S1405" s="6" t="str">
        <f>IFERROR(__xludf.DUMMYFUNCTION("""COMPUTED_VALUE"""),"-")</f>
        <v>-</v>
      </c>
      <c r="T1405" s="57">
        <f>IFERROR(__xludf.DUMMYFUNCTION("""COMPUTED_VALUE"""),44265.0)</f>
        <v>44265</v>
      </c>
    </row>
    <row r="1406">
      <c r="A1406" s="6" t="str">
        <f>IFERROR(__xludf.DUMMYFUNCTION("""COMPUTED_VALUE"""),"211750068-3")</f>
        <v>211750068-3</v>
      </c>
      <c r="B1406" s="6" t="str">
        <f>IFERROR(__xludf.DUMMYFUNCTION("""COMPUTED_VALUE"""),"211750068 - Approved")</f>
        <v>211750068 - Approved</v>
      </c>
      <c r="C1406" s="6">
        <f>IFERROR(__xludf.DUMMYFUNCTION("""COMPUTED_VALUE"""),3.0)</f>
        <v>3</v>
      </c>
      <c r="D1406" s="6" t="str">
        <f>IFERROR(__xludf.DUMMYFUNCTION("""COMPUTED_VALUE"""),"P-12818-00")</f>
        <v>P-12818-00</v>
      </c>
      <c r="E1406" s="6" t="str">
        <f>IFERROR(__xludf.DUMMYFUNCTION("""COMPUTED_VALUE"""),"Sock PVC AW dia 1inch")</f>
        <v>Sock PVC AW dia 1inch</v>
      </c>
      <c r="F1406" s="6">
        <f>IFERROR(__xludf.DUMMYFUNCTION("""COMPUTED_VALUE"""),2.0)</f>
        <v>2</v>
      </c>
      <c r="G1406" s="6" t="str">
        <f>IFERROR(__xludf.DUMMYFUNCTION("""COMPUTED_VALUE"""),"Pieces")</f>
        <v>Pieces</v>
      </c>
      <c r="H1406" s="6" t="str">
        <f>IFERROR(__xludf.DUMMYFUNCTION("""COMPUTED_VALUE"""),"IDR")</f>
        <v>IDR</v>
      </c>
      <c r="I1406" s="6">
        <f>IFERROR(__xludf.DUMMYFUNCTION("""COMPUTED_VALUE"""),7500.0)</f>
        <v>7500</v>
      </c>
      <c r="J1406" s="6">
        <f>IFERROR(__xludf.DUMMYFUNCTION("""COMPUTED_VALUE"""),15000.0)</f>
        <v>15000</v>
      </c>
      <c r="K1406" s="57">
        <f>IFERROR(__xludf.DUMMYFUNCTION("""COMPUTED_VALUE"""),44267.0)</f>
        <v>44267</v>
      </c>
      <c r="L1406" s="6" t="str">
        <f>IFERROR(__xludf.DUMMYFUNCTION("""COMPUTED_VALUE"""),"FIP Engineering")</f>
        <v>FIP Engineering</v>
      </c>
      <c r="M1406" s="6" t="str">
        <f>IFERROR(__xludf.DUMMYFUNCTION("""COMPUTED_VALUE"""),"Irwan Sopian")</f>
        <v>Irwan Sopian</v>
      </c>
      <c r="N1406" s="6" t="str">
        <f>IFERROR(__xludf.DUMMYFUNCTION("""COMPUTED_VALUE"""),"FIP Engineering")</f>
        <v>FIP Engineering</v>
      </c>
      <c r="O1406" s="6" t="str">
        <f>IFERROR(__xludf.DUMMYFUNCTION("""COMPUTED_VALUE"""),"FIP-DOM-000-11304-OS00001-INA-000000")</f>
        <v>FIP-DOM-000-11304-OS00001-INA-000000</v>
      </c>
      <c r="P1406" s="6" t="str">
        <f>IFERROR(__xludf.DUMMYFUNCTION("""COMPUTED_VALUE"""),"PO Closed")</f>
        <v>PO Closed</v>
      </c>
      <c r="Q1406" s="6" t="str">
        <f>IFERROR(__xludf.DUMMYFUNCTION("""COMPUTED_VALUE"""),"GL2103004")</f>
        <v>GL2103004</v>
      </c>
      <c r="R1406" s="57">
        <f>IFERROR(__xludf.DUMMYFUNCTION("""COMPUTED_VALUE"""),44249.0)</f>
        <v>44249</v>
      </c>
      <c r="S1406" s="6" t="str">
        <f>IFERROR(__xludf.DUMMYFUNCTION("""COMPUTED_VALUE"""),"-")</f>
        <v>-</v>
      </c>
      <c r="T1406" s="57">
        <f>IFERROR(__xludf.DUMMYFUNCTION("""COMPUTED_VALUE"""),44265.0)</f>
        <v>44265</v>
      </c>
    </row>
    <row r="1407">
      <c r="A1407" s="6" t="str">
        <f>IFERROR(__xludf.DUMMYFUNCTION("""COMPUTED_VALUE"""),"211750068-4")</f>
        <v>211750068-4</v>
      </c>
      <c r="B1407" s="6" t="str">
        <f>IFERROR(__xludf.DUMMYFUNCTION("""COMPUTED_VALUE"""),"211750068 - Approved")</f>
        <v>211750068 - Approved</v>
      </c>
      <c r="C1407" s="6">
        <f>IFERROR(__xludf.DUMMYFUNCTION("""COMPUTED_VALUE"""),4.0)</f>
        <v>4</v>
      </c>
      <c r="D1407" s="6" t="str">
        <f>IFERROR(__xludf.DUMMYFUNCTION("""COMPUTED_VALUE"""),"P-12820-00")</f>
        <v>P-12820-00</v>
      </c>
      <c r="E1407" s="6" t="str">
        <f>IFERROR(__xludf.DUMMYFUNCTION("""COMPUTED_VALUE"""),"Sock PVC AW dia 2inch")</f>
        <v>Sock PVC AW dia 2inch</v>
      </c>
      <c r="F1407" s="6">
        <f>IFERROR(__xludf.DUMMYFUNCTION("""COMPUTED_VALUE"""),2.0)</f>
        <v>2</v>
      </c>
      <c r="G1407" s="6" t="str">
        <f>IFERROR(__xludf.DUMMYFUNCTION("""COMPUTED_VALUE"""),"Pieces")</f>
        <v>Pieces</v>
      </c>
      <c r="H1407" s="6" t="str">
        <f>IFERROR(__xludf.DUMMYFUNCTION("""COMPUTED_VALUE"""),"IDR")</f>
        <v>IDR</v>
      </c>
      <c r="I1407" s="6">
        <f>IFERROR(__xludf.DUMMYFUNCTION("""COMPUTED_VALUE"""),25000.0)</f>
        <v>25000</v>
      </c>
      <c r="J1407" s="6">
        <f>IFERROR(__xludf.DUMMYFUNCTION("""COMPUTED_VALUE"""),50000.0)</f>
        <v>50000</v>
      </c>
      <c r="K1407" s="57">
        <f>IFERROR(__xludf.DUMMYFUNCTION("""COMPUTED_VALUE"""),44274.0)</f>
        <v>44274</v>
      </c>
      <c r="L1407" s="6" t="str">
        <f>IFERROR(__xludf.DUMMYFUNCTION("""COMPUTED_VALUE"""),"FIP Engineering")</f>
        <v>FIP Engineering</v>
      </c>
      <c r="M1407" s="6" t="str">
        <f>IFERROR(__xludf.DUMMYFUNCTION("""COMPUTED_VALUE"""),"Irwan Sopian")</f>
        <v>Irwan Sopian</v>
      </c>
      <c r="N1407" s="6" t="str">
        <f>IFERROR(__xludf.DUMMYFUNCTION("""COMPUTED_VALUE"""),"FIP Engineering")</f>
        <v>FIP Engineering</v>
      </c>
      <c r="O1407" s="6" t="str">
        <f>IFERROR(__xludf.DUMMYFUNCTION("""COMPUTED_VALUE"""),"FIP-DOM-000-11304-OS00001-INA-000000")</f>
        <v>FIP-DOM-000-11304-OS00001-INA-000000</v>
      </c>
      <c r="P1407" s="6" t="str">
        <f>IFERROR(__xludf.DUMMYFUNCTION("""COMPUTED_VALUE"""),"PO Closed")</f>
        <v>PO Closed</v>
      </c>
      <c r="Q1407" s="6" t="str">
        <f>IFERROR(__xludf.DUMMYFUNCTION("""COMPUTED_VALUE"""),"GL2103004")</f>
        <v>GL2103004</v>
      </c>
      <c r="R1407" s="57">
        <f>IFERROR(__xludf.DUMMYFUNCTION("""COMPUTED_VALUE"""),44249.0)</f>
        <v>44249</v>
      </c>
      <c r="S1407" s="6" t="str">
        <f>IFERROR(__xludf.DUMMYFUNCTION("""COMPUTED_VALUE"""),"-")</f>
        <v>-</v>
      </c>
      <c r="T1407" s="57">
        <f>IFERROR(__xludf.DUMMYFUNCTION("""COMPUTED_VALUE"""),44265.0)</f>
        <v>44265</v>
      </c>
    </row>
    <row r="1408">
      <c r="A1408" s="6" t="str">
        <f>IFERROR(__xludf.DUMMYFUNCTION("""COMPUTED_VALUE"""),"211750068-5")</f>
        <v>211750068-5</v>
      </c>
      <c r="B1408" s="6" t="str">
        <f>IFERROR(__xludf.DUMMYFUNCTION("""COMPUTED_VALUE"""),"211750068 - Approved")</f>
        <v>211750068 - Approved</v>
      </c>
      <c r="C1408" s="6">
        <f>IFERROR(__xludf.DUMMYFUNCTION("""COMPUTED_VALUE"""),5.0)</f>
        <v>5</v>
      </c>
      <c r="D1408" s="6" t="str">
        <f>IFERROR(__xludf.DUMMYFUNCTION("""COMPUTED_VALUE"""),"P-12816-00")</f>
        <v>P-12816-00</v>
      </c>
      <c r="E1408" s="6" t="str">
        <f>IFERROR(__xludf.DUMMYFUNCTION("""COMPUTED_VALUE"""),"Sock PVC AW dia 1 1/2inch")</f>
        <v>Sock PVC AW dia 1 1/2inch</v>
      </c>
      <c r="F1408" s="6">
        <f>IFERROR(__xludf.DUMMYFUNCTION("""COMPUTED_VALUE"""),2.0)</f>
        <v>2</v>
      </c>
      <c r="G1408" s="6" t="str">
        <f>IFERROR(__xludf.DUMMYFUNCTION("""COMPUTED_VALUE"""),"Pieces")</f>
        <v>Pieces</v>
      </c>
      <c r="H1408" s="6" t="str">
        <f>IFERROR(__xludf.DUMMYFUNCTION("""COMPUTED_VALUE"""),"IDR")</f>
        <v>IDR</v>
      </c>
      <c r="I1408" s="6">
        <f>IFERROR(__xludf.DUMMYFUNCTION("""COMPUTED_VALUE"""),22500.0)</f>
        <v>22500</v>
      </c>
      <c r="J1408" s="6">
        <f>IFERROR(__xludf.DUMMYFUNCTION("""COMPUTED_VALUE"""),45000.0)</f>
        <v>45000</v>
      </c>
      <c r="K1408" s="57">
        <f>IFERROR(__xludf.DUMMYFUNCTION("""COMPUTED_VALUE"""),44274.0)</f>
        <v>44274</v>
      </c>
      <c r="L1408" s="6" t="str">
        <f>IFERROR(__xludf.DUMMYFUNCTION("""COMPUTED_VALUE"""),"FIP Engineering")</f>
        <v>FIP Engineering</v>
      </c>
      <c r="M1408" s="6" t="str">
        <f>IFERROR(__xludf.DUMMYFUNCTION("""COMPUTED_VALUE"""),"Irwan Sopian")</f>
        <v>Irwan Sopian</v>
      </c>
      <c r="N1408" s="6" t="str">
        <f>IFERROR(__xludf.DUMMYFUNCTION("""COMPUTED_VALUE"""),"FIP Engineering")</f>
        <v>FIP Engineering</v>
      </c>
      <c r="O1408" s="6" t="str">
        <f>IFERROR(__xludf.DUMMYFUNCTION("""COMPUTED_VALUE"""),"FIP-DOM-000-11304-OS00001-INA-000000")</f>
        <v>FIP-DOM-000-11304-OS00001-INA-000000</v>
      </c>
      <c r="P1408" s="6" t="str">
        <f>IFERROR(__xludf.DUMMYFUNCTION("""COMPUTED_VALUE"""),"PO Closed")</f>
        <v>PO Closed</v>
      </c>
      <c r="Q1408" s="6" t="str">
        <f>IFERROR(__xludf.DUMMYFUNCTION("""COMPUTED_VALUE"""),"GL2103004")</f>
        <v>GL2103004</v>
      </c>
      <c r="R1408" s="57">
        <f>IFERROR(__xludf.DUMMYFUNCTION("""COMPUTED_VALUE"""),44249.0)</f>
        <v>44249</v>
      </c>
      <c r="S1408" s="6" t="str">
        <f>IFERROR(__xludf.DUMMYFUNCTION("""COMPUTED_VALUE"""),"-")</f>
        <v>-</v>
      </c>
      <c r="T1408" s="57">
        <f>IFERROR(__xludf.DUMMYFUNCTION("""COMPUTED_VALUE"""),44265.0)</f>
        <v>44265</v>
      </c>
    </row>
    <row r="1409">
      <c r="A1409" s="6" t="str">
        <f>IFERROR(__xludf.DUMMYFUNCTION("""COMPUTED_VALUE"""),"211750068-6")</f>
        <v>211750068-6</v>
      </c>
      <c r="B1409" s="6" t="str">
        <f>IFERROR(__xludf.DUMMYFUNCTION("""COMPUTED_VALUE"""),"211750068 - Approved")</f>
        <v>211750068 - Approved</v>
      </c>
      <c r="C1409" s="6">
        <f>IFERROR(__xludf.DUMMYFUNCTION("""COMPUTED_VALUE"""),6.0)</f>
        <v>6</v>
      </c>
      <c r="D1409" s="6" t="str">
        <f>IFERROR(__xludf.DUMMYFUNCTION("""COMPUTED_VALUE"""),"P-10857-00")</f>
        <v>P-10857-00</v>
      </c>
      <c r="E1409" s="6" t="str">
        <f>IFERROR(__xludf.DUMMYFUNCTION("""COMPUTED_VALUE"""),"Fitting PVC - Elbow PVC 1 1/2"" Rucika AW")</f>
        <v>Fitting PVC - Elbow PVC 1 1/2" Rucika AW</v>
      </c>
      <c r="F1409" s="6">
        <f>IFERROR(__xludf.DUMMYFUNCTION("""COMPUTED_VALUE"""),3.0)</f>
        <v>3</v>
      </c>
      <c r="G1409" s="6" t="str">
        <f>IFERROR(__xludf.DUMMYFUNCTION("""COMPUTED_VALUE"""),"Pieces")</f>
        <v>Pieces</v>
      </c>
      <c r="H1409" s="6" t="str">
        <f>IFERROR(__xludf.DUMMYFUNCTION("""COMPUTED_VALUE"""),"IDR")</f>
        <v>IDR</v>
      </c>
      <c r="I1409" s="6">
        <f>IFERROR(__xludf.DUMMYFUNCTION("""COMPUTED_VALUE"""),21500.0)</f>
        <v>21500</v>
      </c>
      <c r="J1409" s="6">
        <f>IFERROR(__xludf.DUMMYFUNCTION("""COMPUTED_VALUE"""),64500.0)</f>
        <v>64500</v>
      </c>
      <c r="K1409" s="57">
        <f>IFERROR(__xludf.DUMMYFUNCTION("""COMPUTED_VALUE"""),44274.0)</f>
        <v>44274</v>
      </c>
      <c r="L1409" s="6" t="str">
        <f>IFERROR(__xludf.DUMMYFUNCTION("""COMPUTED_VALUE"""),"FIP Engineering")</f>
        <v>FIP Engineering</v>
      </c>
      <c r="M1409" s="6" t="str">
        <f>IFERROR(__xludf.DUMMYFUNCTION("""COMPUTED_VALUE"""),"Irwan Sopian")</f>
        <v>Irwan Sopian</v>
      </c>
      <c r="N1409" s="6" t="str">
        <f>IFERROR(__xludf.DUMMYFUNCTION("""COMPUTED_VALUE"""),"FIP Engineering")</f>
        <v>FIP Engineering</v>
      </c>
      <c r="O1409" s="6" t="str">
        <f>IFERROR(__xludf.DUMMYFUNCTION("""COMPUTED_VALUE"""),"FIP-DOM-000-11304-OS00001-INA-000000")</f>
        <v>FIP-DOM-000-11304-OS00001-INA-000000</v>
      </c>
      <c r="P1409" s="6" t="str">
        <f>IFERROR(__xludf.DUMMYFUNCTION("""COMPUTED_VALUE"""),"PO Closed")</f>
        <v>PO Closed</v>
      </c>
      <c r="Q1409" s="6" t="str">
        <f>IFERROR(__xludf.DUMMYFUNCTION("""COMPUTED_VALUE"""),"GL2103004")</f>
        <v>GL2103004</v>
      </c>
      <c r="R1409" s="57">
        <f>IFERROR(__xludf.DUMMYFUNCTION("""COMPUTED_VALUE"""),44249.0)</f>
        <v>44249</v>
      </c>
      <c r="S1409" s="6" t="str">
        <f>IFERROR(__xludf.DUMMYFUNCTION("""COMPUTED_VALUE"""),"-")</f>
        <v>-</v>
      </c>
      <c r="T1409" s="57">
        <f>IFERROR(__xludf.DUMMYFUNCTION("""COMPUTED_VALUE"""),44265.0)</f>
        <v>44265</v>
      </c>
    </row>
    <row r="1410">
      <c r="A1410" s="6" t="str">
        <f>IFERROR(__xludf.DUMMYFUNCTION("""COMPUTED_VALUE"""),"211750073-1")</f>
        <v>211750073-1</v>
      </c>
      <c r="B1410" s="6" t="str">
        <f>IFERROR(__xludf.DUMMYFUNCTION("""COMPUTED_VALUE"""),"211750073 - Approved")</f>
        <v>211750073 - Approved</v>
      </c>
      <c r="C1410" s="6">
        <f>IFERROR(__xludf.DUMMYFUNCTION("""COMPUTED_VALUE"""),1.0)</f>
        <v>1</v>
      </c>
      <c r="D1410" s="6" t="str">
        <f>IFERROR(__xludf.DUMMYFUNCTION("""COMPUTED_VALUE"""),"S-62036-00")</f>
        <v>S-62036-00</v>
      </c>
      <c r="E1410" s="6" t="str">
        <f>IFERROR(__xludf.DUMMYFUNCTION("""COMPUTED_VALUE"""),"Refill Argon HP ARGON HP 6 m3")</f>
        <v>Refill Argon HP ARGON HP 6 m3</v>
      </c>
      <c r="F1410" s="6">
        <f>IFERROR(__xludf.DUMMYFUNCTION("""COMPUTED_VALUE"""),1.0)</f>
        <v>1</v>
      </c>
      <c r="G1410" s="6" t="str">
        <f>IFERROR(__xludf.DUMMYFUNCTION("""COMPUTED_VALUE"""),"Tube")</f>
        <v>Tube</v>
      </c>
      <c r="H1410" s="6" t="str">
        <f>IFERROR(__xludf.DUMMYFUNCTION("""COMPUTED_VALUE"""),"IDR")</f>
        <v>IDR</v>
      </c>
      <c r="I1410" s="6">
        <f>IFERROR(__xludf.DUMMYFUNCTION("""COMPUTED_VALUE"""),250000.0)</f>
        <v>250000</v>
      </c>
      <c r="J1410" s="6">
        <f>IFERROR(__xludf.DUMMYFUNCTION("""COMPUTED_VALUE"""),250000.0)</f>
        <v>250000</v>
      </c>
      <c r="K1410" s="57">
        <f>IFERROR(__xludf.DUMMYFUNCTION("""COMPUTED_VALUE"""),44267.0)</f>
        <v>44267</v>
      </c>
      <c r="L1410" s="6" t="str">
        <f>IFERROR(__xludf.DUMMYFUNCTION("""COMPUTED_VALUE"""),"FIP General")</f>
        <v>FIP General</v>
      </c>
      <c r="M1410" s="6" t="str">
        <f>IFERROR(__xludf.DUMMYFUNCTION("""COMPUTED_VALUE"""),"Joko Nugroho")</f>
        <v>Joko Nugroho</v>
      </c>
      <c r="N1410" s="6" t="str">
        <f>IFERROR(__xludf.DUMMYFUNCTION("""COMPUTED_VALUE"""),"FIP Engineering")</f>
        <v>FIP Engineering</v>
      </c>
      <c r="O1410" s="6" t="str">
        <f>IFERROR(__xludf.DUMMYFUNCTION("""COMPUTED_VALUE"""),"FIP-DOM-ENG-51404-0000000-INA-000000")</f>
        <v>FIP-DOM-ENG-51404-0000000-INA-000000</v>
      </c>
      <c r="P1410" s="6" t="str">
        <f>IFERROR(__xludf.DUMMYFUNCTION("""COMPUTED_VALUE"""),"PO Closed")</f>
        <v>PO Closed</v>
      </c>
      <c r="Q1410" s="6" t="str">
        <f>IFERROR(__xludf.DUMMYFUNCTION("""COMPUTED_VALUE"""),"GL2103019")</f>
        <v>GL2103019</v>
      </c>
      <c r="R1410" s="57">
        <f>IFERROR(__xludf.DUMMYFUNCTION("""COMPUTED_VALUE"""),44251.0)</f>
        <v>44251</v>
      </c>
      <c r="S1410" s="6" t="str">
        <f>IFERROR(__xludf.DUMMYFUNCTION("""COMPUTED_VALUE"""),"-")</f>
        <v>-</v>
      </c>
      <c r="T1410" s="57">
        <f>IFERROR(__xludf.DUMMYFUNCTION("""COMPUTED_VALUE"""),44293.0)</f>
        <v>44293</v>
      </c>
    </row>
    <row r="1411">
      <c r="A1411" s="6" t="str">
        <f>IFERROR(__xludf.DUMMYFUNCTION("""COMPUTED_VALUE"""),"211750071-1")</f>
        <v>211750071-1</v>
      </c>
      <c r="B1411" s="6" t="str">
        <f>IFERROR(__xludf.DUMMYFUNCTION("""COMPUTED_VALUE"""),"211750071 - Approved")</f>
        <v>211750071 - Approved</v>
      </c>
      <c r="C1411" s="6">
        <f>IFERROR(__xludf.DUMMYFUNCTION("""COMPUTED_VALUE"""),1.0)</f>
        <v>1</v>
      </c>
      <c r="D1411" s="6" t="str">
        <f>IFERROR(__xludf.DUMMYFUNCTION("""COMPUTED_VALUE"""),"P-60000-00")</f>
        <v>P-60000-00</v>
      </c>
      <c r="E1411" s="6" t="str">
        <f>IFERROR(__xludf.DUMMYFUNCTION("""COMPUTED_VALUE"""),"Perbaikan UPS Riello type SEP3000 (PC EMS QA)")</f>
        <v>Perbaikan UPS Riello type SEP3000 (PC EMS QA)</v>
      </c>
      <c r="F1411" s="6">
        <f>IFERROR(__xludf.DUMMYFUNCTION("""COMPUTED_VALUE"""),1.0)</f>
        <v>1</v>
      </c>
      <c r="G1411" s="6" t="str">
        <f>IFERROR(__xludf.DUMMYFUNCTION("""COMPUTED_VALUE"""),"Lot")</f>
        <v>Lot</v>
      </c>
      <c r="H1411" s="6" t="str">
        <f>IFERROR(__xludf.DUMMYFUNCTION("""COMPUTED_VALUE"""),"IDR")</f>
        <v>IDR</v>
      </c>
      <c r="I1411" s="6">
        <f>IFERROR(__xludf.DUMMYFUNCTION("""COMPUTED_VALUE"""),2600000.0)</f>
        <v>2600000</v>
      </c>
      <c r="J1411" s="6">
        <f>IFERROR(__xludf.DUMMYFUNCTION("""COMPUTED_VALUE"""),2600000.0)</f>
        <v>2600000</v>
      </c>
      <c r="K1411" s="57">
        <f>IFERROR(__xludf.DUMMYFUNCTION("""COMPUTED_VALUE"""),44281.0)</f>
        <v>44281</v>
      </c>
      <c r="L1411" s="6" t="str">
        <f>IFERROR(__xludf.DUMMYFUNCTION("""COMPUTED_VALUE"""),"FIP General")</f>
        <v>FIP General</v>
      </c>
      <c r="M1411" s="6" t="str">
        <f>IFERROR(__xludf.DUMMYFUNCTION("""COMPUTED_VALUE"""),"Irwan Sopian")</f>
        <v>Irwan Sopian</v>
      </c>
      <c r="N1411" s="6" t="str">
        <f>IFERROR(__xludf.DUMMYFUNCTION("""COMPUTED_VALUE"""),"FIP Engineering")</f>
        <v>FIP Engineering</v>
      </c>
      <c r="O1411" s="6" t="str">
        <f>IFERROR(__xludf.DUMMYFUNCTION("""COMPUTED_VALUE"""),"FIP-DOM-ENG-51504-0000000-INA-000000")</f>
        <v>FIP-DOM-ENG-51504-0000000-INA-000000</v>
      </c>
      <c r="P1411" s="6" t="str">
        <f>IFERROR(__xludf.DUMMYFUNCTION("""COMPUTED_VALUE"""),"PO Closed")</f>
        <v>PO Closed</v>
      </c>
      <c r="Q1411" s="6" t="str">
        <f>IFERROR(__xludf.DUMMYFUNCTION("""COMPUTED_VALUE"""),"GL2103011")</f>
        <v>GL2103011</v>
      </c>
      <c r="R1411" s="57">
        <f>IFERROR(__xludf.DUMMYFUNCTION("""COMPUTED_VALUE"""),44251.0)</f>
        <v>44251</v>
      </c>
      <c r="S1411" s="6" t="str">
        <f>IFERROR(__xludf.DUMMYFUNCTION("""COMPUTED_VALUE"""),"-")</f>
        <v>-</v>
      </c>
      <c r="T1411" s="57">
        <f>IFERROR(__xludf.DUMMYFUNCTION("""COMPUTED_VALUE"""),44285.0)</f>
        <v>44285</v>
      </c>
    </row>
    <row r="1412">
      <c r="A1412" s="6" t="str">
        <f>IFERROR(__xludf.DUMMYFUNCTION("""COMPUTED_VALUE"""),"211750078-1")</f>
        <v>211750078-1</v>
      </c>
      <c r="B1412" s="6" t="str">
        <f>IFERROR(__xludf.DUMMYFUNCTION("""COMPUTED_VALUE"""),"211750078 - Approved")</f>
        <v>211750078 - Approved</v>
      </c>
      <c r="C1412" s="6">
        <f>IFERROR(__xludf.DUMMYFUNCTION("""COMPUTED_VALUE"""),1.0)</f>
        <v>1</v>
      </c>
      <c r="D1412" s="6" t="str">
        <f>IFERROR(__xludf.DUMMYFUNCTION("""COMPUTED_VALUE"""),"P-15833-00")</f>
        <v>P-15833-00</v>
      </c>
      <c r="E1412" s="6" t="str">
        <f>IFERROR(__xludf.DUMMYFUNCTION("""COMPUTED_VALUE"""),"SMC - Pressure Filter Regulator Manual Drain AW30-03BG-A")</f>
        <v>SMC - Pressure Filter Regulator Manual Drain AW30-03BG-A</v>
      </c>
      <c r="F1412" s="6">
        <f>IFERROR(__xludf.DUMMYFUNCTION("""COMPUTED_VALUE"""),1.0)</f>
        <v>1</v>
      </c>
      <c r="G1412" s="6" t="str">
        <f>IFERROR(__xludf.DUMMYFUNCTION("""COMPUTED_VALUE"""),"Pieces")</f>
        <v>Pieces</v>
      </c>
      <c r="H1412" s="6" t="str">
        <f>IFERROR(__xludf.DUMMYFUNCTION("""COMPUTED_VALUE"""),"IDR")</f>
        <v>IDR</v>
      </c>
      <c r="I1412" s="6">
        <f>IFERROR(__xludf.DUMMYFUNCTION("""COMPUTED_VALUE"""),943000.0)</f>
        <v>943000</v>
      </c>
      <c r="J1412" s="6">
        <f>IFERROR(__xludf.DUMMYFUNCTION("""COMPUTED_VALUE"""),943000.0)</f>
        <v>943000</v>
      </c>
      <c r="K1412" s="57">
        <f>IFERROR(__xludf.DUMMYFUNCTION("""COMPUTED_VALUE"""),44309.0)</f>
        <v>44309</v>
      </c>
      <c r="L1412" s="6" t="str">
        <f>IFERROR(__xludf.DUMMYFUNCTION("""COMPUTED_VALUE"""),"FIP Engineering")</f>
        <v>FIP Engineering</v>
      </c>
      <c r="M1412" s="6" t="str">
        <f>IFERROR(__xludf.DUMMYFUNCTION("""COMPUTED_VALUE"""),"Irwan Sopian")</f>
        <v>Irwan Sopian</v>
      </c>
      <c r="N1412" s="6" t="str">
        <f>IFERROR(__xludf.DUMMYFUNCTION("""COMPUTED_VALUE"""),"FIP Engineering")</f>
        <v>FIP Engineering</v>
      </c>
      <c r="O1412" s="6" t="str">
        <f>IFERROR(__xludf.DUMMYFUNCTION("""COMPUTED_VALUE"""),"FIP-DOM-000-11304-OS00001-INA-000000")</f>
        <v>FIP-DOM-000-11304-OS00001-INA-000000</v>
      </c>
      <c r="P1412" s="6" t="str">
        <f>IFERROR(__xludf.DUMMYFUNCTION("""COMPUTED_VALUE"""),"PO Closed")</f>
        <v>PO Closed</v>
      </c>
      <c r="Q1412" s="6" t="str">
        <f>IFERROR(__xludf.DUMMYFUNCTION("""COMPUTED_VALUE"""),"GL2104044")</f>
        <v>GL2104044</v>
      </c>
      <c r="R1412" s="57">
        <f>IFERROR(__xludf.DUMMYFUNCTION("""COMPUTED_VALUE"""),44257.0)</f>
        <v>44257</v>
      </c>
      <c r="S1412" s="6" t="str">
        <f>IFERROR(__xludf.DUMMYFUNCTION("""COMPUTED_VALUE"""),"-")</f>
        <v>-</v>
      </c>
      <c r="T1412" s="57">
        <f>IFERROR(__xludf.DUMMYFUNCTION("""COMPUTED_VALUE"""),44332.0)</f>
        <v>44332</v>
      </c>
    </row>
    <row r="1413">
      <c r="A1413" s="6" t="str">
        <f>IFERROR(__xludf.DUMMYFUNCTION("""COMPUTED_VALUE"""),"211750105-1")</f>
        <v>211750105-1</v>
      </c>
      <c r="B1413" s="6" t="str">
        <f>IFERROR(__xludf.DUMMYFUNCTION("""COMPUTED_VALUE"""),"211750105 - Approved")</f>
        <v>211750105 - Approved</v>
      </c>
      <c r="C1413" s="6">
        <f>IFERROR(__xludf.DUMMYFUNCTION("""COMPUTED_VALUE"""),1.0)</f>
        <v>1</v>
      </c>
      <c r="D1413" s="6" t="str">
        <f>IFERROR(__xludf.DUMMYFUNCTION("""COMPUTED_VALUE"""),"T-20123-00")</f>
        <v>T-20123-00</v>
      </c>
      <c r="E1413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413" s="6">
        <f>IFERROR(__xludf.DUMMYFUNCTION("""COMPUTED_VALUE"""),2.0)</f>
        <v>2</v>
      </c>
      <c r="G1413" s="6" t="str">
        <f>IFERROR(__xludf.DUMMYFUNCTION("""COMPUTED_VALUE"""),"Pieces")</f>
        <v>Pieces</v>
      </c>
      <c r="H1413" s="6" t="str">
        <f>IFERROR(__xludf.DUMMYFUNCTION("""COMPUTED_VALUE"""),"IDR")</f>
        <v>IDR</v>
      </c>
      <c r="I1413" s="6">
        <f>IFERROR(__xludf.DUMMYFUNCTION("""COMPUTED_VALUE"""),1.0859355E7)</f>
        <v>10859355</v>
      </c>
      <c r="J1413" s="6">
        <f>IFERROR(__xludf.DUMMYFUNCTION("""COMPUTED_VALUE"""),2.171871E7)</f>
        <v>21718710</v>
      </c>
      <c r="K1413" s="57">
        <f>IFERROR(__xludf.DUMMYFUNCTION("""COMPUTED_VALUE"""),44295.0)</f>
        <v>44295</v>
      </c>
      <c r="L1413" s="6" t="str">
        <f>IFERROR(__xludf.DUMMYFUNCTION("""COMPUTED_VALUE"""),"FIP General")</f>
        <v>FIP General</v>
      </c>
      <c r="M1413" s="6" t="str">
        <f>IFERROR(__xludf.DUMMYFUNCTION("""COMPUTED_VALUE"""),"Irwan Sopian")</f>
        <v>Irwan Sopian</v>
      </c>
      <c r="N1413" s="6" t="str">
        <f>IFERROR(__xludf.DUMMYFUNCTION("""COMPUTED_VALUE"""),"FIP Engineering")</f>
        <v>FIP Engineering</v>
      </c>
      <c r="O1413" s="6" t="str">
        <f>IFERROR(__xludf.DUMMYFUNCTION("""COMPUTED_VALUE"""),"FIP-DOM-ENG-51505-0000000-INA-000000")</f>
        <v>FIP-DOM-ENG-51505-0000000-INA-000000</v>
      </c>
      <c r="P1413" s="6" t="str">
        <f>IFERROR(__xludf.DUMMYFUNCTION("""COMPUTED_VALUE"""),"PO Closed")</f>
        <v>PO Closed</v>
      </c>
      <c r="Q1413" s="6" t="str">
        <f>IFERROR(__xludf.DUMMYFUNCTION("""COMPUTED_VALUE"""),"GL2105033")</f>
        <v>GL2105033</v>
      </c>
      <c r="R1413" s="57">
        <f>IFERROR(__xludf.DUMMYFUNCTION("""COMPUTED_VALUE"""),44272.0)</f>
        <v>44272</v>
      </c>
      <c r="S1413" s="6" t="str">
        <f>IFERROR(__xludf.DUMMYFUNCTION("""COMPUTED_VALUE"""),"-")</f>
        <v>-</v>
      </c>
      <c r="T1413" s="57">
        <f>IFERROR(__xludf.DUMMYFUNCTION("""COMPUTED_VALUE"""),44351.0)</f>
        <v>44351</v>
      </c>
    </row>
    <row r="1414">
      <c r="A1414" s="6" t="str">
        <f>IFERROR(__xludf.DUMMYFUNCTION("""COMPUTED_VALUE"""),"211750106-1")</f>
        <v>211750106-1</v>
      </c>
      <c r="B1414" s="6" t="str">
        <f>IFERROR(__xludf.DUMMYFUNCTION("""COMPUTED_VALUE"""),"211750106 - Approved")</f>
        <v>211750106 - Approved</v>
      </c>
      <c r="C1414" s="6">
        <f>IFERROR(__xludf.DUMMYFUNCTION("""COMPUTED_VALUE"""),1.0)</f>
        <v>1</v>
      </c>
      <c r="D1414" s="6" t="str">
        <f>IFERROR(__xludf.DUMMYFUNCTION("""COMPUTED_VALUE"""),"P-52369-00")</f>
        <v>P-52369-00</v>
      </c>
      <c r="E1414" s="6" t="str">
        <f>IFERROR(__xludf.DUMMYFUNCTION("""COMPUTED_VALUE"""),"HVAC - Pressure Flow Control MF PFC Ver.3 24 VAC/VDC 0 - 100 Pa Micatrone")</f>
        <v>HVAC - Pressure Flow Control MF PFC Ver.3 24 VAC/VDC 0 - 100 Pa Micatrone</v>
      </c>
      <c r="F1414" s="6">
        <f>IFERROR(__xludf.DUMMYFUNCTION("""COMPUTED_VALUE"""),2.0)</f>
        <v>2</v>
      </c>
      <c r="G1414" s="6" t="str">
        <f>IFERROR(__xludf.DUMMYFUNCTION("""COMPUTED_VALUE"""),"Unit")</f>
        <v>Unit</v>
      </c>
      <c r="H1414" s="6" t="str">
        <f>IFERROR(__xludf.DUMMYFUNCTION("""COMPUTED_VALUE"""),"IDR")</f>
        <v>IDR</v>
      </c>
      <c r="I1414" s="6">
        <f>IFERROR(__xludf.DUMMYFUNCTION("""COMPUTED_VALUE"""),1.11195E7)</f>
        <v>11119500</v>
      </c>
      <c r="J1414" s="6">
        <f>IFERROR(__xludf.DUMMYFUNCTION("""COMPUTED_VALUE"""),2.2239E7)</f>
        <v>22239000</v>
      </c>
      <c r="K1414" s="57">
        <f>IFERROR(__xludf.DUMMYFUNCTION("""COMPUTED_VALUE"""),44315.0)</f>
        <v>44315</v>
      </c>
      <c r="L1414" s="6" t="str">
        <f>IFERROR(__xludf.DUMMYFUNCTION("""COMPUTED_VALUE"""),"FIP Engineering")</f>
        <v>FIP Engineering</v>
      </c>
      <c r="M1414" s="6" t="str">
        <f>IFERROR(__xludf.DUMMYFUNCTION("""COMPUTED_VALUE"""),"Irwan Sopian")</f>
        <v>Irwan Sopian</v>
      </c>
      <c r="N1414" s="6" t="str">
        <f>IFERROR(__xludf.DUMMYFUNCTION("""COMPUTED_VALUE"""),"FIP Engineering")</f>
        <v>FIP Engineering</v>
      </c>
      <c r="O1414" s="6" t="str">
        <f>IFERROR(__xludf.DUMMYFUNCTION("""COMPUTED_VALUE"""),"FIP-DOM-000-11304-OS00001-INA-000000")</f>
        <v>FIP-DOM-000-11304-OS00001-INA-000000</v>
      </c>
      <c r="P1414" s="6" t="str">
        <f>IFERROR(__xludf.DUMMYFUNCTION("""COMPUTED_VALUE"""),"PO Closed")</f>
        <v>PO Closed</v>
      </c>
      <c r="Q1414" s="6" t="str">
        <f>IFERROR(__xludf.DUMMYFUNCTION("""COMPUTED_VALUE"""),"GL2104033")</f>
        <v>GL2104033</v>
      </c>
      <c r="R1414" s="57">
        <f>IFERROR(__xludf.DUMMYFUNCTION("""COMPUTED_VALUE"""),44273.0)</f>
        <v>44273</v>
      </c>
      <c r="S1414" s="6" t="str">
        <f>IFERROR(__xludf.DUMMYFUNCTION("""COMPUTED_VALUE"""),"-")</f>
        <v>-</v>
      </c>
      <c r="T1414" s="57">
        <f>IFERROR(__xludf.DUMMYFUNCTION("""COMPUTED_VALUE"""),44444.0)</f>
        <v>44444</v>
      </c>
    </row>
    <row r="1415">
      <c r="A1415" s="6" t="str">
        <f>IFERROR(__xludf.DUMMYFUNCTION("""COMPUTED_VALUE"""),"211750107-1")</f>
        <v>211750107-1</v>
      </c>
      <c r="B1415" s="6" t="str">
        <f>IFERROR(__xludf.DUMMYFUNCTION("""COMPUTED_VALUE"""),"211750107 - Approved")</f>
        <v>211750107 - Approved</v>
      </c>
      <c r="C1415" s="6">
        <f>IFERROR(__xludf.DUMMYFUNCTION("""COMPUTED_VALUE"""),1.0)</f>
        <v>1</v>
      </c>
      <c r="D1415" s="6" t="str">
        <f>IFERROR(__xludf.DUMMYFUNCTION("""COMPUTED_VALUE"""),"T-20177-00")</f>
        <v>T-20177-00</v>
      </c>
      <c r="E1415" s="6" t="str">
        <f>IFERROR(__xludf.DUMMYFUNCTION("""COMPUTED_VALUE"""),"2690/95 PERFORMANCE MAINTENANCE KIT., Waters, Part No. WAT270944")</f>
        <v>2690/95 PERFORMANCE MAINTENANCE KIT., Waters, Part No. WAT270944</v>
      </c>
      <c r="F1415" s="6">
        <f>IFERROR(__xludf.DUMMYFUNCTION("""COMPUTED_VALUE"""),1.0)</f>
        <v>1</v>
      </c>
      <c r="G1415" s="6" t="str">
        <f>IFERROR(__xludf.DUMMYFUNCTION("""COMPUTED_VALUE"""),"Pieces")</f>
        <v>Pieces</v>
      </c>
      <c r="H1415" s="6" t="str">
        <f>IFERROR(__xludf.DUMMYFUNCTION("""COMPUTED_VALUE"""),"USD")</f>
        <v>USD</v>
      </c>
      <c r="I1415" s="6">
        <f>IFERROR(__xludf.DUMMYFUNCTION("""COMPUTED_VALUE"""),1647.73)</f>
        <v>1647.73</v>
      </c>
      <c r="J1415" s="6">
        <f>IFERROR(__xludf.DUMMYFUNCTION("""COMPUTED_VALUE"""),1647.73)</f>
        <v>1647.73</v>
      </c>
      <c r="K1415" s="57">
        <f>IFERROR(__xludf.DUMMYFUNCTION("""COMPUTED_VALUE"""),44305.0)</f>
        <v>44305</v>
      </c>
      <c r="L1415" s="6" t="str">
        <f>IFERROR(__xludf.DUMMYFUNCTION("""COMPUTED_VALUE"""),"FIP General")</f>
        <v>FIP General</v>
      </c>
      <c r="M1415" s="6" t="str">
        <f>IFERROR(__xludf.DUMMYFUNCTION("""COMPUTED_VALUE"""),"Joko Nugroho")</f>
        <v>Joko Nugroho</v>
      </c>
      <c r="N1415" s="6" t="str">
        <f>IFERROR(__xludf.DUMMYFUNCTION("""COMPUTED_VALUE"""),"FIP Engineering")</f>
        <v>FIP Engineering</v>
      </c>
      <c r="O1415" s="6" t="str">
        <f>IFERROR(__xludf.DUMMYFUNCTION("""COMPUTED_VALUE"""),"FIP-DOM-ENG-51505-0000000-INA-000000")</f>
        <v>FIP-DOM-ENG-51505-0000000-INA-000000</v>
      </c>
      <c r="P1415" s="6" t="str">
        <f>IFERROR(__xludf.DUMMYFUNCTION("""COMPUTED_VALUE"""),"PO Closed")</f>
        <v>PO Closed</v>
      </c>
      <c r="Q1415" s="6" t="str">
        <f>IFERROR(__xludf.DUMMYFUNCTION("""COMPUTED_VALUE"""),"GL2104027")</f>
        <v>GL2104027</v>
      </c>
      <c r="R1415" s="57">
        <f>IFERROR(__xludf.DUMMYFUNCTION("""COMPUTED_VALUE"""),44274.0)</f>
        <v>44274</v>
      </c>
      <c r="S1415" s="6" t="str">
        <f>IFERROR(__xludf.DUMMYFUNCTION("""COMPUTED_VALUE"""),"-")</f>
        <v>-</v>
      </c>
      <c r="T1415" s="57">
        <f>IFERROR(__xludf.DUMMYFUNCTION("""COMPUTED_VALUE"""),44323.0)</f>
        <v>44323</v>
      </c>
    </row>
    <row r="1416">
      <c r="A1416" s="6" t="str">
        <f>IFERROR(__xludf.DUMMYFUNCTION("""COMPUTED_VALUE"""),"211750110-1")</f>
        <v>211750110-1</v>
      </c>
      <c r="B1416" s="6" t="str">
        <f>IFERROR(__xludf.DUMMYFUNCTION("""COMPUTED_VALUE"""),"211750110 - Approved")</f>
        <v>211750110 - Approved</v>
      </c>
      <c r="C1416" s="6">
        <f>IFERROR(__xludf.DUMMYFUNCTION("""COMPUTED_VALUE"""),1.0)</f>
        <v>1</v>
      </c>
      <c r="D1416" s="6" t="str">
        <f>IFERROR(__xludf.DUMMYFUNCTION("""COMPUTED_VALUE"""),"O-54116-00")</f>
        <v>O-54116-00</v>
      </c>
      <c r="E1416" s="6" t="str">
        <f>IFERROR(__xludf.DUMMYFUNCTION("""COMPUTED_VALUE"""),"Fiber Reflective - KEYENCE FU-67V")</f>
        <v>Fiber Reflective - KEYENCE FU-67V</v>
      </c>
      <c r="F1416" s="6">
        <f>IFERROR(__xludf.DUMMYFUNCTION("""COMPUTED_VALUE"""),2.0)</f>
        <v>2</v>
      </c>
      <c r="G1416" s="6" t="str">
        <f>IFERROR(__xludf.DUMMYFUNCTION("""COMPUTED_VALUE"""),"Pieces")</f>
        <v>Pieces</v>
      </c>
      <c r="H1416" s="6" t="str">
        <f>IFERROR(__xludf.DUMMYFUNCTION("""COMPUTED_VALUE"""),"IDR")</f>
        <v>IDR</v>
      </c>
      <c r="I1416" s="6">
        <f>IFERROR(__xludf.DUMMYFUNCTION("""COMPUTED_VALUE"""),894600.0)</f>
        <v>894600</v>
      </c>
      <c r="J1416" s="6">
        <f>IFERROR(__xludf.DUMMYFUNCTION("""COMPUTED_VALUE"""),1789200.0)</f>
        <v>1789200</v>
      </c>
      <c r="K1416" s="57">
        <f>IFERROR(__xludf.DUMMYFUNCTION("""COMPUTED_VALUE"""),44315.0)</f>
        <v>44315</v>
      </c>
      <c r="L1416" s="6" t="str">
        <f>IFERROR(__xludf.DUMMYFUNCTION("""COMPUTED_VALUE"""),"FIP Engineering")</f>
        <v>FIP Engineering</v>
      </c>
      <c r="M1416" s="6" t="str">
        <f>IFERROR(__xludf.DUMMYFUNCTION("""COMPUTED_VALUE"""),"Irwan Sopian")</f>
        <v>Irwan Sopian</v>
      </c>
      <c r="N1416" s="6" t="str">
        <f>IFERROR(__xludf.DUMMYFUNCTION("""COMPUTED_VALUE"""),"FIP Engineering")</f>
        <v>FIP Engineering</v>
      </c>
      <c r="O1416" s="6" t="str">
        <f>IFERROR(__xludf.DUMMYFUNCTION("""COMPUTED_VALUE"""),"FIP-DOM-000-11304-OS00001-INA-000000")</f>
        <v>FIP-DOM-000-11304-OS00001-INA-000000</v>
      </c>
      <c r="P1416" s="6" t="str">
        <f>IFERROR(__xludf.DUMMYFUNCTION("""COMPUTED_VALUE"""),"PO Closed")</f>
        <v>PO Closed</v>
      </c>
      <c r="Q1416" s="6" t="str">
        <f>IFERROR(__xludf.DUMMYFUNCTION("""COMPUTED_VALUE"""),"GL2104026")</f>
        <v>GL2104026</v>
      </c>
      <c r="R1416" s="57">
        <f>IFERROR(__xludf.DUMMYFUNCTION("""COMPUTED_VALUE"""),44277.0)</f>
        <v>44277</v>
      </c>
      <c r="S1416" s="6" t="str">
        <f>IFERROR(__xludf.DUMMYFUNCTION("""COMPUTED_VALUE"""),"-")</f>
        <v>-</v>
      </c>
      <c r="T1416" s="57">
        <f>IFERROR(__xludf.DUMMYFUNCTION("""COMPUTED_VALUE"""),44321.0)</f>
        <v>44321</v>
      </c>
    </row>
    <row r="1417">
      <c r="A1417" s="6" t="str">
        <f>IFERROR(__xludf.DUMMYFUNCTION("""COMPUTED_VALUE"""),"211750114-1")</f>
        <v>211750114-1</v>
      </c>
      <c r="B1417" s="6" t="str">
        <f>IFERROR(__xludf.DUMMYFUNCTION("""COMPUTED_VALUE"""),"211750114 - Approved")</f>
        <v>211750114 - Approved</v>
      </c>
      <c r="C1417" s="6">
        <f>IFERROR(__xludf.DUMMYFUNCTION("""COMPUTED_VALUE"""),1.0)</f>
        <v>1</v>
      </c>
      <c r="D1417" s="6" t="str">
        <f>IFERROR(__xludf.DUMMYFUNCTION("""COMPUTED_VALUE"""),"P-50780-00")</f>
        <v>P-50780-00</v>
      </c>
      <c r="E1417" s="6" t="str">
        <f>IFERROR(__xludf.DUMMYFUNCTION("""COMPUTED_VALUE"""),"Battery 12 V 12 AH YUASA")</f>
        <v>Battery 12 V 12 AH YUASA</v>
      </c>
      <c r="F1417" s="6">
        <f>IFERROR(__xludf.DUMMYFUNCTION("""COMPUTED_VALUE"""),2.0)</f>
        <v>2</v>
      </c>
      <c r="G1417" s="6" t="str">
        <f>IFERROR(__xludf.DUMMYFUNCTION("""COMPUTED_VALUE"""),"Pieces")</f>
        <v>Pieces</v>
      </c>
      <c r="H1417" s="6" t="str">
        <f>IFERROR(__xludf.DUMMYFUNCTION("""COMPUTED_VALUE"""),"IDR")</f>
        <v>IDR</v>
      </c>
      <c r="I1417" s="6">
        <f>IFERROR(__xludf.DUMMYFUNCTION("""COMPUTED_VALUE"""),875000.0)</f>
        <v>875000</v>
      </c>
      <c r="J1417" s="6">
        <f>IFERROR(__xludf.DUMMYFUNCTION("""COMPUTED_VALUE"""),1750000.0)</f>
        <v>1750000</v>
      </c>
      <c r="K1417" s="57">
        <f>IFERROR(__xludf.DUMMYFUNCTION("""COMPUTED_VALUE"""),44309.0)</f>
        <v>44309</v>
      </c>
      <c r="L1417" s="6" t="str">
        <f>IFERROR(__xludf.DUMMYFUNCTION("""COMPUTED_VALUE"""),"FIP Engineering")</f>
        <v>FIP Engineering</v>
      </c>
      <c r="M1417" s="6" t="str">
        <f>IFERROR(__xludf.DUMMYFUNCTION("""COMPUTED_VALUE"""),"Irwan Sopian")</f>
        <v>Irwan Sopian</v>
      </c>
      <c r="N1417" s="6" t="str">
        <f>IFERROR(__xludf.DUMMYFUNCTION("""COMPUTED_VALUE"""),"FIP Engineering")</f>
        <v>FIP Engineering</v>
      </c>
      <c r="O1417" s="6" t="str">
        <f>IFERROR(__xludf.DUMMYFUNCTION("""COMPUTED_VALUE"""),"FIP-DOM-000-11304-OS00001-INA-000000")</f>
        <v>FIP-DOM-000-11304-OS00001-INA-000000</v>
      </c>
      <c r="P1417" s="6" t="str">
        <f>IFERROR(__xludf.DUMMYFUNCTION("""COMPUTED_VALUE"""),"PO Closed")</f>
        <v>PO Closed</v>
      </c>
      <c r="Q1417" s="6" t="str">
        <f>IFERROR(__xludf.DUMMYFUNCTION("""COMPUTED_VALUE"""),"GL2103026")</f>
        <v>GL2103026</v>
      </c>
      <c r="R1417" s="57">
        <f>IFERROR(__xludf.DUMMYFUNCTION("""COMPUTED_VALUE"""),44284.0)</f>
        <v>44284</v>
      </c>
      <c r="S1417" s="6" t="str">
        <f>IFERROR(__xludf.DUMMYFUNCTION("""COMPUTED_VALUE"""),"-")</f>
        <v>-</v>
      </c>
      <c r="T1417" s="57">
        <f>IFERROR(__xludf.DUMMYFUNCTION("""COMPUTED_VALUE"""),44296.0)</f>
        <v>44296</v>
      </c>
    </row>
    <row r="1418">
      <c r="A1418" s="6" t="str">
        <f>IFERROR(__xludf.DUMMYFUNCTION("""COMPUTED_VALUE"""),"211750114-2")</f>
        <v>211750114-2</v>
      </c>
      <c r="B1418" s="6" t="str">
        <f>IFERROR(__xludf.DUMMYFUNCTION("""COMPUTED_VALUE"""),"211750114 - Approved")</f>
        <v>211750114 - Approved</v>
      </c>
      <c r="C1418" s="6">
        <f>IFERROR(__xludf.DUMMYFUNCTION("""COMPUTED_VALUE"""),2.0)</f>
        <v>2</v>
      </c>
      <c r="D1418" s="6" t="str">
        <f>IFERROR(__xludf.DUMMYFUNCTION("""COMPUTED_VALUE"""),"P-15938-00")</f>
        <v>P-15938-00</v>
      </c>
      <c r="E1418" s="6" t="str">
        <f>IFERROR(__xludf.DUMMYFUNCTION("""COMPUTED_VALUE"""),"Water Hardness Test Kit")</f>
        <v>Water Hardness Test Kit</v>
      </c>
      <c r="F1418" s="6">
        <f>IFERROR(__xludf.DUMMYFUNCTION("""COMPUTED_VALUE"""),1.0)</f>
        <v>1</v>
      </c>
      <c r="G1418" s="6" t="str">
        <f>IFERROR(__xludf.DUMMYFUNCTION("""COMPUTED_VALUE"""),"Box")</f>
        <v>Box</v>
      </c>
      <c r="H1418" s="6" t="str">
        <f>IFERROR(__xludf.DUMMYFUNCTION("""COMPUTED_VALUE"""),"IDR")</f>
        <v>IDR</v>
      </c>
      <c r="I1418" s="6">
        <f>IFERROR(__xludf.DUMMYFUNCTION("""COMPUTED_VALUE"""),273500.0)</f>
        <v>273500</v>
      </c>
      <c r="J1418" s="6">
        <f>IFERROR(__xludf.DUMMYFUNCTION("""COMPUTED_VALUE"""),273500.0)</f>
        <v>273500</v>
      </c>
      <c r="K1418" s="57">
        <f>IFERROR(__xludf.DUMMYFUNCTION("""COMPUTED_VALUE"""),44309.0)</f>
        <v>44309</v>
      </c>
      <c r="L1418" s="6" t="str">
        <f>IFERROR(__xludf.DUMMYFUNCTION("""COMPUTED_VALUE"""),"FIP General")</f>
        <v>FIP General</v>
      </c>
      <c r="M1418" s="6" t="str">
        <f>IFERROR(__xludf.DUMMYFUNCTION("""COMPUTED_VALUE"""),"Irwan Sopian")</f>
        <v>Irwan Sopian</v>
      </c>
      <c r="N1418" s="6" t="str">
        <f>IFERROR(__xludf.DUMMYFUNCTION("""COMPUTED_VALUE"""),"FIP Engineering")</f>
        <v>FIP Engineering</v>
      </c>
      <c r="O1418" s="6" t="str">
        <f>IFERROR(__xludf.DUMMYFUNCTION("""COMPUTED_VALUE"""),"FIP-DOM-ENG-51504-0000000-INA-000000")</f>
        <v>FIP-DOM-ENG-51504-0000000-INA-000000</v>
      </c>
      <c r="P1418" s="6" t="str">
        <f>IFERROR(__xludf.DUMMYFUNCTION("""COMPUTED_VALUE"""),"PO Closed")</f>
        <v>PO Closed</v>
      </c>
      <c r="Q1418" s="6" t="str">
        <f>IFERROR(__xludf.DUMMYFUNCTION("""COMPUTED_VALUE"""),"GL2103026")</f>
        <v>GL2103026</v>
      </c>
      <c r="R1418" s="57">
        <f>IFERROR(__xludf.DUMMYFUNCTION("""COMPUTED_VALUE"""),44284.0)</f>
        <v>44284</v>
      </c>
      <c r="S1418" s="6" t="str">
        <f>IFERROR(__xludf.DUMMYFUNCTION("""COMPUTED_VALUE"""),"-")</f>
        <v>-</v>
      </c>
      <c r="T1418" s="57">
        <f>IFERROR(__xludf.DUMMYFUNCTION("""COMPUTED_VALUE"""),44296.0)</f>
        <v>44296</v>
      </c>
    </row>
    <row r="1419">
      <c r="A1419" s="6" t="str">
        <f>IFERROR(__xludf.DUMMYFUNCTION("""COMPUTED_VALUE"""),"211750119-1")</f>
        <v>211750119-1</v>
      </c>
      <c r="B1419" s="6" t="str">
        <f>IFERROR(__xludf.DUMMYFUNCTION("""COMPUTED_VALUE"""),"211750119 - Approved")</f>
        <v>211750119 - Approved</v>
      </c>
      <c r="C1419" s="6">
        <f>IFERROR(__xludf.DUMMYFUNCTION("""COMPUTED_VALUE"""),1.0)</f>
        <v>1</v>
      </c>
      <c r="D1419" s="6" t="str">
        <f>IFERROR(__xludf.DUMMYFUNCTION("""COMPUTED_VALUE"""),"P-17062-00")</f>
        <v>P-17062-00</v>
      </c>
      <c r="E1419" s="6" t="str">
        <f>IFERROR(__xludf.DUMMYFUNCTION("""COMPUTED_VALUE"""),"Element Filter for N2 P/N : NXE-90-Z NEXUS")</f>
        <v>Element Filter for N2 P/N : NXE-90-Z NEXUS</v>
      </c>
      <c r="F1419" s="6">
        <f>IFERROR(__xludf.DUMMYFUNCTION("""COMPUTED_VALUE"""),1.0)</f>
        <v>1</v>
      </c>
      <c r="G1419" s="6" t="str">
        <f>IFERROR(__xludf.DUMMYFUNCTION("""COMPUTED_VALUE"""),"Unit")</f>
        <v>Unit</v>
      </c>
      <c r="H1419" s="6" t="str">
        <f>IFERROR(__xludf.DUMMYFUNCTION("""COMPUTED_VALUE"""),"IDR")</f>
        <v>IDR</v>
      </c>
      <c r="I1419" s="6">
        <f>IFERROR(__xludf.DUMMYFUNCTION("""COMPUTED_VALUE"""),1200000.0)</f>
        <v>1200000</v>
      </c>
      <c r="J1419" s="6">
        <f>IFERROR(__xludf.DUMMYFUNCTION("""COMPUTED_VALUE"""),1200000.0)</f>
        <v>1200000</v>
      </c>
      <c r="K1419" s="57">
        <f>IFERROR(__xludf.DUMMYFUNCTION("""COMPUTED_VALUE"""),44309.0)</f>
        <v>44309</v>
      </c>
      <c r="L1419" s="6" t="str">
        <f>IFERROR(__xludf.DUMMYFUNCTION("""COMPUTED_VALUE"""),"FIP Engineering")</f>
        <v>FIP Engineering</v>
      </c>
      <c r="M1419" s="6" t="str">
        <f>IFERROR(__xludf.DUMMYFUNCTION("""COMPUTED_VALUE"""),"Irwan Sopian")</f>
        <v>Irwan Sopian</v>
      </c>
      <c r="N1419" s="6" t="str">
        <f>IFERROR(__xludf.DUMMYFUNCTION("""COMPUTED_VALUE"""),"FIP Engineering")</f>
        <v>FIP Engineering</v>
      </c>
      <c r="O1419" s="6" t="str">
        <f>IFERROR(__xludf.DUMMYFUNCTION("""COMPUTED_VALUE"""),"FIP-DOM-000-11304-OS00001-INA-000000")</f>
        <v>FIP-DOM-000-11304-OS00001-INA-000000</v>
      </c>
      <c r="P1419" s="6" t="str">
        <f>IFERROR(__xludf.DUMMYFUNCTION("""COMPUTED_VALUE"""),"PO Closed")</f>
        <v>PO Closed</v>
      </c>
      <c r="Q1419" s="6" t="str">
        <f>IFERROR(__xludf.DUMMYFUNCTION("""COMPUTED_VALUE"""),"GL2104032")</f>
        <v>GL2104032</v>
      </c>
      <c r="R1419" s="57">
        <f>IFERROR(__xludf.DUMMYFUNCTION("""COMPUTED_VALUE"""),44286.0)</f>
        <v>44286</v>
      </c>
      <c r="S1419" s="6" t="str">
        <f>IFERROR(__xludf.DUMMYFUNCTION("""COMPUTED_VALUE"""),"-")</f>
        <v>-</v>
      </c>
      <c r="T1419" s="57">
        <f>IFERROR(__xludf.DUMMYFUNCTION("""COMPUTED_VALUE"""),44321.0)</f>
        <v>44321</v>
      </c>
    </row>
    <row r="1420">
      <c r="A1420" s="6" t="str">
        <f>IFERROR(__xludf.DUMMYFUNCTION("""COMPUTED_VALUE"""),"211750119-2")</f>
        <v>211750119-2</v>
      </c>
      <c r="B1420" s="6" t="str">
        <f>IFERROR(__xludf.DUMMYFUNCTION("""COMPUTED_VALUE"""),"211750119 - Approved")</f>
        <v>211750119 - Approved</v>
      </c>
      <c r="C1420" s="6">
        <f>IFERROR(__xludf.DUMMYFUNCTION("""COMPUTED_VALUE"""),2.0)</f>
        <v>2</v>
      </c>
      <c r="D1420" s="6" t="str">
        <f>IFERROR(__xludf.DUMMYFUNCTION("""COMPUTED_VALUE"""),"P-15052-00")</f>
        <v>P-15052-00</v>
      </c>
      <c r="E1420" s="6" t="str">
        <f>IFERROR(__xludf.DUMMYFUNCTION("""COMPUTED_VALUE"""),"Element Filter 1 micron P/N NXE-400-Z")</f>
        <v>Element Filter 1 micron P/N NXE-400-Z</v>
      </c>
      <c r="F1420" s="6">
        <f>IFERROR(__xludf.DUMMYFUNCTION("""COMPUTED_VALUE"""),1.0)</f>
        <v>1</v>
      </c>
      <c r="G1420" s="6" t="str">
        <f>IFERROR(__xludf.DUMMYFUNCTION("""COMPUTED_VALUE"""),"Pieces")</f>
        <v>Pieces</v>
      </c>
      <c r="H1420" s="6" t="str">
        <f>IFERROR(__xludf.DUMMYFUNCTION("""COMPUTED_VALUE"""),"IDR")</f>
        <v>IDR</v>
      </c>
      <c r="I1420" s="6">
        <f>IFERROR(__xludf.DUMMYFUNCTION("""COMPUTED_VALUE"""),2144000.0)</f>
        <v>2144000</v>
      </c>
      <c r="J1420" s="6">
        <f>IFERROR(__xludf.DUMMYFUNCTION("""COMPUTED_VALUE"""),2144000.0)</f>
        <v>2144000</v>
      </c>
      <c r="K1420" s="57">
        <f>IFERROR(__xludf.DUMMYFUNCTION("""COMPUTED_VALUE"""),44309.0)</f>
        <v>44309</v>
      </c>
      <c r="L1420" s="6" t="str">
        <f>IFERROR(__xludf.DUMMYFUNCTION("""COMPUTED_VALUE"""),"FIP Engineering")</f>
        <v>FIP Engineering</v>
      </c>
      <c r="M1420" s="6" t="str">
        <f>IFERROR(__xludf.DUMMYFUNCTION("""COMPUTED_VALUE"""),"Irwan Sopian")</f>
        <v>Irwan Sopian</v>
      </c>
      <c r="N1420" s="6" t="str">
        <f>IFERROR(__xludf.DUMMYFUNCTION("""COMPUTED_VALUE"""),"FIP Engineering")</f>
        <v>FIP Engineering</v>
      </c>
      <c r="O1420" s="6" t="str">
        <f>IFERROR(__xludf.DUMMYFUNCTION("""COMPUTED_VALUE"""),"FIP-DOM-000-11304-OS00001-INA-000000")</f>
        <v>FIP-DOM-000-11304-OS00001-INA-000000</v>
      </c>
      <c r="P1420" s="6" t="str">
        <f>IFERROR(__xludf.DUMMYFUNCTION("""COMPUTED_VALUE"""),"PO Closed")</f>
        <v>PO Closed</v>
      </c>
      <c r="Q1420" s="6" t="str">
        <f>IFERROR(__xludf.DUMMYFUNCTION("""COMPUTED_VALUE"""),"GL2104032")</f>
        <v>GL2104032</v>
      </c>
      <c r="R1420" s="57">
        <f>IFERROR(__xludf.DUMMYFUNCTION("""COMPUTED_VALUE"""),44286.0)</f>
        <v>44286</v>
      </c>
      <c r="S1420" s="6" t="str">
        <f>IFERROR(__xludf.DUMMYFUNCTION("""COMPUTED_VALUE"""),"-")</f>
        <v>-</v>
      </c>
      <c r="T1420" s="57">
        <f>IFERROR(__xludf.DUMMYFUNCTION("""COMPUTED_VALUE"""),44321.0)</f>
        <v>44321</v>
      </c>
    </row>
    <row r="1421">
      <c r="A1421" s="6" t="str">
        <f>IFERROR(__xludf.DUMMYFUNCTION("""COMPUTED_VALUE"""),"211750119-3")</f>
        <v>211750119-3</v>
      </c>
      <c r="B1421" s="6" t="str">
        <f>IFERROR(__xludf.DUMMYFUNCTION("""COMPUTED_VALUE"""),"211750119 - Approved")</f>
        <v>211750119 - Approved</v>
      </c>
      <c r="C1421" s="6">
        <f>IFERROR(__xludf.DUMMYFUNCTION("""COMPUTED_VALUE"""),3.0)</f>
        <v>3</v>
      </c>
      <c r="D1421" s="6" t="str">
        <f>IFERROR(__xludf.DUMMYFUNCTION("""COMPUTED_VALUE"""),"P-15053-00")</f>
        <v>P-15053-00</v>
      </c>
      <c r="E1421" s="6" t="str">
        <f>IFERROR(__xludf.DUMMYFUNCTION("""COMPUTED_VALUE"""),"Element Filter 0.01 micron P/N NXE-400-X")</f>
        <v>Element Filter 0.01 micron P/N NXE-400-X</v>
      </c>
      <c r="F1421" s="6">
        <f>IFERROR(__xludf.DUMMYFUNCTION("""COMPUTED_VALUE"""),1.0)</f>
        <v>1</v>
      </c>
      <c r="G1421" s="6" t="str">
        <f>IFERROR(__xludf.DUMMYFUNCTION("""COMPUTED_VALUE"""),"Pieces")</f>
        <v>Pieces</v>
      </c>
      <c r="H1421" s="6" t="str">
        <f>IFERROR(__xludf.DUMMYFUNCTION("""COMPUTED_VALUE"""),"IDR")</f>
        <v>IDR</v>
      </c>
      <c r="I1421" s="6">
        <f>IFERROR(__xludf.DUMMYFUNCTION("""COMPUTED_VALUE"""),2144000.0)</f>
        <v>2144000</v>
      </c>
      <c r="J1421" s="6">
        <f>IFERROR(__xludf.DUMMYFUNCTION("""COMPUTED_VALUE"""),2144000.0)</f>
        <v>2144000</v>
      </c>
      <c r="K1421" s="57">
        <f>IFERROR(__xludf.DUMMYFUNCTION("""COMPUTED_VALUE"""),44309.0)</f>
        <v>44309</v>
      </c>
      <c r="L1421" s="6" t="str">
        <f>IFERROR(__xludf.DUMMYFUNCTION("""COMPUTED_VALUE"""),"FIP Engineering")</f>
        <v>FIP Engineering</v>
      </c>
      <c r="M1421" s="6" t="str">
        <f>IFERROR(__xludf.DUMMYFUNCTION("""COMPUTED_VALUE"""),"Irwan Sopian")</f>
        <v>Irwan Sopian</v>
      </c>
      <c r="N1421" s="6" t="str">
        <f>IFERROR(__xludf.DUMMYFUNCTION("""COMPUTED_VALUE"""),"FIP Engineering")</f>
        <v>FIP Engineering</v>
      </c>
      <c r="O1421" s="6" t="str">
        <f>IFERROR(__xludf.DUMMYFUNCTION("""COMPUTED_VALUE"""),"FIP-DOM-000-11304-OS00001-INA-000000")</f>
        <v>FIP-DOM-000-11304-OS00001-INA-000000</v>
      </c>
      <c r="P1421" s="6" t="str">
        <f>IFERROR(__xludf.DUMMYFUNCTION("""COMPUTED_VALUE"""),"PO Closed")</f>
        <v>PO Closed</v>
      </c>
      <c r="Q1421" s="6" t="str">
        <f>IFERROR(__xludf.DUMMYFUNCTION("""COMPUTED_VALUE"""),"GL2104032")</f>
        <v>GL2104032</v>
      </c>
      <c r="R1421" s="57">
        <f>IFERROR(__xludf.DUMMYFUNCTION("""COMPUTED_VALUE"""),44286.0)</f>
        <v>44286</v>
      </c>
      <c r="S1421" s="6" t="str">
        <f>IFERROR(__xludf.DUMMYFUNCTION("""COMPUTED_VALUE"""),"-")</f>
        <v>-</v>
      </c>
      <c r="T1421" s="57">
        <f>IFERROR(__xludf.DUMMYFUNCTION("""COMPUTED_VALUE"""),44321.0)</f>
        <v>44321</v>
      </c>
    </row>
    <row r="1422">
      <c r="A1422" s="6" t="str">
        <f>IFERROR(__xludf.DUMMYFUNCTION("""COMPUTED_VALUE"""),"211750123-1")</f>
        <v>211750123-1</v>
      </c>
      <c r="B1422" s="6" t="str">
        <f>IFERROR(__xludf.DUMMYFUNCTION("""COMPUTED_VALUE"""),"211750123 - Approved")</f>
        <v>211750123 - Approved</v>
      </c>
      <c r="C1422" s="6">
        <f>IFERROR(__xludf.DUMMYFUNCTION("""COMPUTED_VALUE"""),1.0)</f>
        <v>1</v>
      </c>
      <c r="D1422" s="6" t="str">
        <f>IFERROR(__xludf.DUMMYFUNCTION("""COMPUTED_VALUE"""),"P-52064-00")</f>
        <v>P-52064-00</v>
      </c>
      <c r="E1422" s="6" t="str">
        <f>IFERROR(__xludf.DUMMYFUNCTION("""COMPUTED_VALUE"""),"SCHINDLER ELEVATOR - PCB SMIC 62.Q")</f>
        <v>SCHINDLER ELEVATOR - PCB SMIC 62.Q</v>
      </c>
      <c r="F1422" s="6">
        <f>IFERROR(__xludf.DUMMYFUNCTION("""COMPUTED_VALUE"""),1.0)</f>
        <v>1</v>
      </c>
      <c r="G1422" s="6" t="str">
        <f>IFERROR(__xludf.DUMMYFUNCTION("""COMPUTED_VALUE"""),"Unit")</f>
        <v>Unit</v>
      </c>
      <c r="H1422" s="6" t="str">
        <f>IFERROR(__xludf.DUMMYFUNCTION("""COMPUTED_VALUE"""),"IDR")</f>
        <v>IDR</v>
      </c>
      <c r="I1422" s="6">
        <f>IFERROR(__xludf.DUMMYFUNCTION("""COMPUTED_VALUE"""),1.531E7)</f>
        <v>15310000</v>
      </c>
      <c r="J1422" s="6">
        <f>IFERROR(__xludf.DUMMYFUNCTION("""COMPUTED_VALUE"""),1.531E7)</f>
        <v>15310000</v>
      </c>
      <c r="K1422" s="57">
        <f>IFERROR(__xludf.DUMMYFUNCTION("""COMPUTED_VALUE"""),44316.0)</f>
        <v>44316</v>
      </c>
      <c r="L1422" s="6" t="str">
        <f>IFERROR(__xludf.DUMMYFUNCTION("""COMPUTED_VALUE"""),"FIP General")</f>
        <v>FIP General</v>
      </c>
      <c r="M1422" s="6" t="str">
        <f>IFERROR(__xludf.DUMMYFUNCTION("""COMPUTED_VALUE"""),"Irwan Sopian")</f>
        <v>Irwan Sopian</v>
      </c>
      <c r="N1422" s="6" t="str">
        <f>IFERROR(__xludf.DUMMYFUNCTION("""COMPUTED_VALUE"""),"FIP Engineering")</f>
        <v>FIP Engineering</v>
      </c>
      <c r="O1422" s="6" t="str">
        <f>IFERROR(__xludf.DUMMYFUNCTION("""COMPUTED_VALUE"""),"FIP-DOM-ENG-51504-0000000-INA-000000")</f>
        <v>FIP-DOM-ENG-51504-0000000-INA-000000</v>
      </c>
      <c r="P1422" s="6" t="str">
        <f>IFERROR(__xludf.DUMMYFUNCTION("""COMPUTED_VALUE"""),"PO Closed")</f>
        <v>PO Closed</v>
      </c>
      <c r="Q1422" s="6" t="str">
        <f>IFERROR(__xludf.DUMMYFUNCTION("""COMPUTED_VALUE"""),"GL2104008")</f>
        <v>GL2104008</v>
      </c>
      <c r="R1422" s="57">
        <f>IFERROR(__xludf.DUMMYFUNCTION("""COMPUTED_VALUE"""),44288.0)</f>
        <v>44288</v>
      </c>
      <c r="S1422" s="6" t="str">
        <f>IFERROR(__xludf.DUMMYFUNCTION("""COMPUTED_VALUE"""),"-")</f>
        <v>-</v>
      </c>
      <c r="T1422" s="57">
        <f>IFERROR(__xludf.DUMMYFUNCTION("""COMPUTED_VALUE"""),44298.0)</f>
        <v>44298</v>
      </c>
    </row>
    <row r="1423">
      <c r="A1423" s="6" t="str">
        <f>IFERROR(__xludf.DUMMYFUNCTION("""COMPUTED_VALUE"""),"211750134-1")</f>
        <v>211750134-1</v>
      </c>
      <c r="B1423" s="6" t="str">
        <f>IFERROR(__xludf.DUMMYFUNCTION("""COMPUTED_VALUE"""),"211750134 - Approved")</f>
        <v>211750134 - Approved</v>
      </c>
      <c r="C1423" s="6">
        <f>IFERROR(__xludf.DUMMYFUNCTION("""COMPUTED_VALUE"""),1.0)</f>
        <v>1</v>
      </c>
      <c r="D1423" s="6" t="str">
        <f>IFERROR(__xludf.DUMMYFUNCTION("""COMPUTED_VALUE"""),"Q-11000-00")</f>
        <v>Q-11000-00</v>
      </c>
      <c r="E1423" s="6" t="str">
        <f>IFERROR(__xludf.DUMMYFUNCTION("""COMPUTED_VALUE"""),"Pembuatan Mount Wall Acrylic Ukuran A1 Lt 2 dan Lt 4 AHU")</f>
        <v>Pembuatan Mount Wall Acrylic Ukuran A1 Lt 2 dan Lt 4 AHU</v>
      </c>
      <c r="F1423" s="6">
        <f>IFERROR(__xludf.DUMMYFUNCTION("""COMPUTED_VALUE"""),2.0)</f>
        <v>2</v>
      </c>
      <c r="G1423" s="6" t="str">
        <f>IFERROR(__xludf.DUMMYFUNCTION("""COMPUTED_VALUE"""),"Lot")</f>
        <v>Lot</v>
      </c>
      <c r="H1423" s="6" t="str">
        <f>IFERROR(__xludf.DUMMYFUNCTION("""COMPUTED_VALUE"""),"IDR")</f>
        <v>IDR</v>
      </c>
      <c r="I1423" s="6">
        <f>IFERROR(__xludf.DUMMYFUNCTION("""COMPUTED_VALUE"""),997500.0)</f>
        <v>997500</v>
      </c>
      <c r="J1423" s="6">
        <f>IFERROR(__xludf.DUMMYFUNCTION("""COMPUTED_VALUE"""),1995000.0)</f>
        <v>1995000</v>
      </c>
      <c r="K1423" s="57">
        <f>IFERROR(__xludf.DUMMYFUNCTION("""COMPUTED_VALUE"""),44421.0)</f>
        <v>44421</v>
      </c>
      <c r="L1423" s="6" t="str">
        <f>IFERROR(__xludf.DUMMYFUNCTION("""COMPUTED_VALUE"""),"FIP General")</f>
        <v>FIP General</v>
      </c>
      <c r="M1423" s="6" t="str">
        <f>IFERROR(__xludf.DUMMYFUNCTION("""COMPUTED_VALUE"""),"Irwan Sopian")</f>
        <v>Irwan Sopian</v>
      </c>
      <c r="N1423" s="6" t="str">
        <f>IFERROR(__xludf.DUMMYFUNCTION("""COMPUTED_VALUE"""),"FIP Engineering")</f>
        <v>FIP Engineering</v>
      </c>
      <c r="O1423" s="6" t="str">
        <f>IFERROR(__xludf.DUMMYFUNCTION("""COMPUTED_VALUE"""),"FIP-DOM-ENG-51502-0000000-INA-000000")</f>
        <v>FIP-DOM-ENG-51502-0000000-INA-000000</v>
      </c>
      <c r="P1423" s="6" t="str">
        <f>IFERROR(__xludf.DUMMYFUNCTION("""COMPUTED_VALUE"""),"PO Closed")</f>
        <v>PO Closed</v>
      </c>
      <c r="Q1423" s="6" t="str">
        <f>IFERROR(__xludf.DUMMYFUNCTION("""COMPUTED_VALUE"""),"GL2108012")</f>
        <v>GL2108012</v>
      </c>
      <c r="R1423" s="57">
        <f>IFERROR(__xludf.DUMMYFUNCTION("""COMPUTED_VALUE"""),44299.0)</f>
        <v>44299</v>
      </c>
      <c r="S1423" s="6" t="str">
        <f>IFERROR(__xludf.DUMMYFUNCTION("""COMPUTED_VALUE"""),"-")</f>
        <v>-</v>
      </c>
      <c r="T1423" s="57">
        <f>IFERROR(__xludf.DUMMYFUNCTION("""COMPUTED_VALUE"""),44442.0)</f>
        <v>44442</v>
      </c>
    </row>
    <row r="1424">
      <c r="A1424" s="6" t="str">
        <f>IFERROR(__xludf.DUMMYFUNCTION("""COMPUTED_VALUE"""),"211750137-1")</f>
        <v>211750137-1</v>
      </c>
      <c r="B1424" s="6" t="str">
        <f>IFERROR(__xludf.DUMMYFUNCTION("""COMPUTED_VALUE"""),"211750137 - Approved")</f>
        <v>211750137 - Approved</v>
      </c>
      <c r="C1424" s="6">
        <f>IFERROR(__xludf.DUMMYFUNCTION("""COMPUTED_VALUE"""),1.0)</f>
        <v>1</v>
      </c>
      <c r="D1424" s="6" t="str">
        <f>IFERROR(__xludf.DUMMYFUNCTION("""COMPUTED_VALUE"""),"O-60001-00")</f>
        <v>O-60001-00</v>
      </c>
      <c r="E1424" s="6" t="str">
        <f>IFERROR(__xludf.DUMMYFUNCTION("""COMPUTED_VALUE"""),"Pembuatan Nut Mixing MV60")</f>
        <v>Pembuatan Nut Mixing MV60</v>
      </c>
      <c r="F1424" s="6">
        <f>IFERROR(__xludf.DUMMYFUNCTION("""COMPUTED_VALUE"""),2.0)</f>
        <v>2</v>
      </c>
      <c r="G1424" s="6" t="str">
        <f>IFERROR(__xludf.DUMMYFUNCTION("""COMPUTED_VALUE"""),"Lot")</f>
        <v>Lot</v>
      </c>
      <c r="H1424" s="6" t="str">
        <f>IFERROR(__xludf.DUMMYFUNCTION("""COMPUTED_VALUE"""),"IDR")</f>
        <v>IDR</v>
      </c>
      <c r="I1424" s="6">
        <f>IFERROR(__xludf.DUMMYFUNCTION("""COMPUTED_VALUE"""),495000.0)</f>
        <v>495000</v>
      </c>
      <c r="J1424" s="6">
        <f>IFERROR(__xludf.DUMMYFUNCTION("""COMPUTED_VALUE"""),990000.0)</f>
        <v>990000</v>
      </c>
      <c r="K1424" s="57">
        <f>IFERROR(__xludf.DUMMYFUNCTION("""COMPUTED_VALUE"""),44337.0)</f>
        <v>44337</v>
      </c>
      <c r="L1424" s="6" t="str">
        <f>IFERROR(__xludf.DUMMYFUNCTION("""COMPUTED_VALUE"""),"FIP General")</f>
        <v>FIP General</v>
      </c>
      <c r="M1424" s="6" t="str">
        <f>IFERROR(__xludf.DUMMYFUNCTION("""COMPUTED_VALUE"""),"Irwan Sopian")</f>
        <v>Irwan Sopian</v>
      </c>
      <c r="N1424" s="6" t="str">
        <f>IFERROR(__xludf.DUMMYFUNCTION("""COMPUTED_VALUE"""),"FIP Engineering")</f>
        <v>FIP Engineering</v>
      </c>
      <c r="O1424" s="6" t="str">
        <f>IFERROR(__xludf.DUMMYFUNCTION("""COMPUTED_VALUE"""),"FIP-DOM-ENG-51504-0000000-INA-000000")</f>
        <v>FIP-DOM-ENG-51504-0000000-INA-000000</v>
      </c>
      <c r="P1424" s="6" t="str">
        <f>IFERROR(__xludf.DUMMYFUNCTION("""COMPUTED_VALUE"""),"PO Closed")</f>
        <v>PO Closed</v>
      </c>
      <c r="Q1424" s="6" t="str">
        <f>IFERROR(__xludf.DUMMYFUNCTION("""COMPUTED_VALUE"""),"GL2105027")</f>
        <v>GL2105027</v>
      </c>
      <c r="R1424" s="57">
        <f>IFERROR(__xludf.DUMMYFUNCTION("""COMPUTED_VALUE"""),44306.0)</f>
        <v>44306</v>
      </c>
      <c r="S1424" s="6" t="str">
        <f>IFERROR(__xludf.DUMMYFUNCTION("""COMPUTED_VALUE"""),"-")</f>
        <v>-</v>
      </c>
      <c r="T1424" s="57">
        <f>IFERROR(__xludf.DUMMYFUNCTION("""COMPUTED_VALUE"""),44347.0)</f>
        <v>44347</v>
      </c>
    </row>
    <row r="1425">
      <c r="A1425" s="6" t="str">
        <f>IFERROR(__xludf.DUMMYFUNCTION("""COMPUTED_VALUE"""),"211750142-1")</f>
        <v>211750142-1</v>
      </c>
      <c r="B1425" s="6" t="str">
        <f>IFERROR(__xludf.DUMMYFUNCTION("""COMPUTED_VALUE"""),"211750142 - Approved")</f>
        <v>211750142 - Approved</v>
      </c>
      <c r="C1425" s="6">
        <f>IFERROR(__xludf.DUMMYFUNCTION("""COMPUTED_VALUE"""),1.0)</f>
        <v>1</v>
      </c>
      <c r="D1425" s="6" t="str">
        <f>IFERROR(__xludf.DUMMYFUNCTION("""COMPUTED_VALUE"""),"O-50994-00")</f>
        <v>O-50994-00</v>
      </c>
      <c r="E1425" s="6" t="str">
        <f>IFERROR(__xludf.DUMMYFUNCTION("""COMPUTED_VALUE"""),"Battery kering 12V 7,2AH; ; ;")</f>
        <v>Battery kering 12V 7,2AH; ; ;</v>
      </c>
      <c r="F1425" s="6">
        <f>IFERROR(__xludf.DUMMYFUNCTION("""COMPUTED_VALUE"""),4.0)</f>
        <v>4</v>
      </c>
      <c r="G1425" s="6" t="str">
        <f>IFERROR(__xludf.DUMMYFUNCTION("""COMPUTED_VALUE"""),"Pieces")</f>
        <v>Pieces</v>
      </c>
      <c r="H1425" s="6" t="str">
        <f>IFERROR(__xludf.DUMMYFUNCTION("""COMPUTED_VALUE"""),"IDR")</f>
        <v>IDR</v>
      </c>
      <c r="I1425" s="6">
        <f>IFERROR(__xludf.DUMMYFUNCTION("""COMPUTED_VALUE"""),345000.0)</f>
        <v>345000</v>
      </c>
      <c r="J1425" s="6">
        <f>IFERROR(__xludf.DUMMYFUNCTION("""COMPUTED_VALUE"""),1380000.0)</f>
        <v>1380000</v>
      </c>
      <c r="K1425" s="57">
        <f>IFERROR(__xludf.DUMMYFUNCTION("""COMPUTED_VALUE"""),44344.0)</f>
        <v>44344</v>
      </c>
      <c r="L1425" s="6" t="str">
        <f>IFERROR(__xludf.DUMMYFUNCTION("""COMPUTED_VALUE"""),"FIP Engineering")</f>
        <v>FIP Engineering</v>
      </c>
      <c r="M1425" s="6" t="str">
        <f>IFERROR(__xludf.DUMMYFUNCTION("""COMPUTED_VALUE"""),"Irwan Sopian")</f>
        <v>Irwan Sopian</v>
      </c>
      <c r="N1425" s="6" t="str">
        <f>IFERROR(__xludf.DUMMYFUNCTION("""COMPUTED_VALUE"""),"FIP Engineering")</f>
        <v>FIP Engineering</v>
      </c>
      <c r="O1425" s="6" t="str">
        <f>IFERROR(__xludf.DUMMYFUNCTION("""COMPUTED_VALUE"""),"FIP-DOM-000-11304-OS00001-INA-000000")</f>
        <v>FIP-DOM-000-11304-OS00001-INA-000000</v>
      </c>
      <c r="P1425" s="6" t="str">
        <f>IFERROR(__xludf.DUMMYFUNCTION("""COMPUTED_VALUE"""),"PO Closed")</f>
        <v>PO Closed</v>
      </c>
      <c r="Q1425" s="6" t="str">
        <f>IFERROR(__xludf.DUMMYFUNCTION("""COMPUTED_VALUE"""),"GL2106005")</f>
        <v>GL2106005</v>
      </c>
      <c r="R1425" s="57">
        <f>IFERROR(__xludf.DUMMYFUNCTION("""COMPUTED_VALUE"""),44312.0)</f>
        <v>44312</v>
      </c>
      <c r="S1425" s="6" t="str">
        <f>IFERROR(__xludf.DUMMYFUNCTION("""COMPUTED_VALUE"""),"-")</f>
        <v>-</v>
      </c>
      <c r="T1425" s="57">
        <f>IFERROR(__xludf.DUMMYFUNCTION("""COMPUTED_VALUE"""),44367.0)</f>
        <v>44367</v>
      </c>
    </row>
    <row r="1426">
      <c r="A1426" s="6" t="str">
        <f>IFERROR(__xludf.DUMMYFUNCTION("""COMPUTED_VALUE"""),"211750141-1")</f>
        <v>211750141-1</v>
      </c>
      <c r="B1426" s="6" t="str">
        <f>IFERROR(__xludf.DUMMYFUNCTION("""COMPUTED_VALUE"""),"211750141 - Approved")</f>
        <v>211750141 - Approved</v>
      </c>
      <c r="C1426" s="6">
        <f>IFERROR(__xludf.DUMMYFUNCTION("""COMPUTED_VALUE"""),1.0)</f>
        <v>1</v>
      </c>
      <c r="D1426" s="6" t="str">
        <f>IFERROR(__xludf.DUMMYFUNCTION("""COMPUTED_VALUE"""),"O-14594-00")</f>
        <v>O-14594-00</v>
      </c>
      <c r="E1426" s="6" t="str">
        <f>IFERROR(__xludf.DUMMYFUNCTION("""COMPUTED_VALUE"""),"Kit, membrane ozone 6510 METTLER TOLEDO INDONESIA, PT P/N : - pc")</f>
        <v>Kit, membrane ozone 6510 METTLER TOLEDO INDONESIA, PT P/N : - pc</v>
      </c>
      <c r="F1426" s="6">
        <f>IFERROR(__xludf.DUMMYFUNCTION("""COMPUTED_VALUE"""),1.0)</f>
        <v>1</v>
      </c>
      <c r="G1426" s="6" t="str">
        <f>IFERROR(__xludf.DUMMYFUNCTION("""COMPUTED_VALUE"""),"Unit")</f>
        <v>Unit</v>
      </c>
      <c r="H1426" s="6" t="str">
        <f>IFERROR(__xludf.DUMMYFUNCTION("""COMPUTED_VALUE"""),"IDR")</f>
        <v>IDR</v>
      </c>
      <c r="I1426" s="6">
        <f>IFERROR(__xludf.DUMMYFUNCTION("""COMPUTED_VALUE"""),1.1754E7)</f>
        <v>11754000</v>
      </c>
      <c r="J1426" s="6">
        <f>IFERROR(__xludf.DUMMYFUNCTION("""COMPUTED_VALUE"""),1.1754E7)</f>
        <v>11754000</v>
      </c>
      <c r="K1426" s="57">
        <f>IFERROR(__xludf.DUMMYFUNCTION("""COMPUTED_VALUE"""),44344.0)</f>
        <v>44344</v>
      </c>
      <c r="L1426" s="6" t="str">
        <f>IFERROR(__xludf.DUMMYFUNCTION("""COMPUTED_VALUE"""),"FIP Engineering")</f>
        <v>FIP Engineering</v>
      </c>
      <c r="M1426" s="6" t="str">
        <f>IFERROR(__xludf.DUMMYFUNCTION("""COMPUTED_VALUE"""),"Irwan Sopian")</f>
        <v>Irwan Sopian</v>
      </c>
      <c r="N1426" s="6" t="str">
        <f>IFERROR(__xludf.DUMMYFUNCTION("""COMPUTED_VALUE"""),"FIP Engineering")</f>
        <v>FIP Engineering</v>
      </c>
      <c r="O1426" s="6" t="str">
        <f>IFERROR(__xludf.DUMMYFUNCTION("""COMPUTED_VALUE"""),"FIP-DOM-000-11304-OS00001-INA-000000")</f>
        <v>FIP-DOM-000-11304-OS00001-INA-000000</v>
      </c>
      <c r="P1426" s="6" t="str">
        <f>IFERROR(__xludf.DUMMYFUNCTION("""COMPUTED_VALUE"""),"PO Closed")</f>
        <v>PO Closed</v>
      </c>
      <c r="Q1426" s="6" t="str">
        <f>IFERROR(__xludf.DUMMYFUNCTION("""COMPUTED_VALUE"""),"GL2106004")</f>
        <v>GL2106004</v>
      </c>
      <c r="R1426" s="57">
        <f>IFERROR(__xludf.DUMMYFUNCTION("""COMPUTED_VALUE"""),44312.0)</f>
        <v>44312</v>
      </c>
      <c r="S1426" s="6" t="str">
        <f>IFERROR(__xludf.DUMMYFUNCTION("""COMPUTED_VALUE"""),"-")</f>
        <v>-</v>
      </c>
      <c r="T1426" s="57">
        <f>IFERROR(__xludf.DUMMYFUNCTION("""COMPUTED_VALUE"""),44377.0)</f>
        <v>44377</v>
      </c>
    </row>
    <row r="1427">
      <c r="A1427" s="6" t="str">
        <f>IFERROR(__xludf.DUMMYFUNCTION("""COMPUTED_VALUE"""),"211750143-1")</f>
        <v>211750143-1</v>
      </c>
      <c r="B1427" s="6" t="str">
        <f>IFERROR(__xludf.DUMMYFUNCTION("""COMPUTED_VALUE"""),"211750143 - Approved")</f>
        <v>211750143 - Approved</v>
      </c>
      <c r="C1427" s="6">
        <f>IFERROR(__xludf.DUMMYFUNCTION("""COMPUTED_VALUE"""),1.0)</f>
        <v>1</v>
      </c>
      <c r="D1427" s="6" t="str">
        <f>IFERROR(__xludf.DUMMYFUNCTION("""COMPUTED_VALUE"""),"O-60001-00")</f>
        <v>O-60001-00</v>
      </c>
      <c r="E1427" s="6" t="str">
        <f>IFERROR(__xludf.DUMMYFUNCTION("""COMPUTED_VALUE"""),"Repair MV60 - Welding Bagian Dalam Tanki yang Berkarat, Poleshing Mirror Bagian Dalam Tanki, Pasivasi Lokal Bagian Dalam Tanki, Roughness Test Bagian Dalam Tanki")</f>
        <v>Repair MV60 - Welding Bagian Dalam Tanki yang Berkarat, Poleshing Mirror Bagian Dalam Tanki, Pasivasi Lokal Bagian Dalam Tanki, Roughness Test Bagian Dalam Tanki</v>
      </c>
      <c r="F1427" s="6">
        <f>IFERROR(__xludf.DUMMYFUNCTION("""COMPUTED_VALUE"""),1.0)</f>
        <v>1</v>
      </c>
      <c r="G1427" s="6" t="str">
        <f>IFERROR(__xludf.DUMMYFUNCTION("""COMPUTED_VALUE"""),"Lot")</f>
        <v>Lot</v>
      </c>
      <c r="H1427" s="6" t="str">
        <f>IFERROR(__xludf.DUMMYFUNCTION("""COMPUTED_VALUE"""),"IDR")</f>
        <v>IDR</v>
      </c>
      <c r="I1427" s="6">
        <f>IFERROR(__xludf.DUMMYFUNCTION("""COMPUTED_VALUE"""),8500000.0)</f>
        <v>8500000</v>
      </c>
      <c r="J1427" s="6">
        <f>IFERROR(__xludf.DUMMYFUNCTION("""COMPUTED_VALUE"""),8500000.0)</f>
        <v>8500000</v>
      </c>
      <c r="K1427" s="57">
        <f>IFERROR(__xludf.DUMMYFUNCTION("""COMPUTED_VALUE"""),44333.0)</f>
        <v>44333</v>
      </c>
      <c r="L1427" s="6" t="str">
        <f>IFERROR(__xludf.DUMMYFUNCTION("""COMPUTED_VALUE"""),"FIP General")</f>
        <v>FIP General</v>
      </c>
      <c r="M1427" s="6" t="str">
        <f>IFERROR(__xludf.DUMMYFUNCTION("""COMPUTED_VALUE"""),"Irwan Sopian")</f>
        <v>Irwan Sopian</v>
      </c>
      <c r="N1427" s="6" t="str">
        <f>IFERROR(__xludf.DUMMYFUNCTION("""COMPUTED_VALUE"""),"FIP Engineering")</f>
        <v>FIP Engineering</v>
      </c>
      <c r="O1427" s="6" t="str">
        <f>IFERROR(__xludf.DUMMYFUNCTION("""COMPUTED_VALUE"""),"FIP-DOM-ENG-51504-0000000-INA-000000")</f>
        <v>FIP-DOM-ENG-51504-0000000-INA-000000</v>
      </c>
      <c r="P1427" s="6" t="str">
        <f>IFERROR(__xludf.DUMMYFUNCTION("""COMPUTED_VALUE"""),"PO Closed")</f>
        <v>PO Closed</v>
      </c>
      <c r="Q1427" s="6" t="str">
        <f>IFERROR(__xludf.DUMMYFUNCTION("""COMPUTED_VALUE"""),"GL2105028")</f>
        <v>GL2105028</v>
      </c>
      <c r="R1427" s="57">
        <f>IFERROR(__xludf.DUMMYFUNCTION("""COMPUTED_VALUE"""),44313.0)</f>
        <v>44313</v>
      </c>
      <c r="S1427" s="6" t="str">
        <f>IFERROR(__xludf.DUMMYFUNCTION("""COMPUTED_VALUE"""),"-")</f>
        <v>-</v>
      </c>
      <c r="T1427" s="57">
        <f>IFERROR(__xludf.DUMMYFUNCTION("""COMPUTED_VALUE"""),44347.0)</f>
        <v>44347</v>
      </c>
    </row>
    <row r="1428">
      <c r="A1428" s="6" t="str">
        <f>IFERROR(__xludf.DUMMYFUNCTION("""COMPUTED_VALUE"""),"211750145-1")</f>
        <v>211750145-1</v>
      </c>
      <c r="B1428" s="6" t="str">
        <f>IFERROR(__xludf.DUMMYFUNCTION("""COMPUTED_VALUE"""),"211750145 - Approved")</f>
        <v>211750145 - Approved</v>
      </c>
      <c r="C1428" s="6">
        <f>IFERROR(__xludf.DUMMYFUNCTION("""COMPUTED_VALUE"""),1.0)</f>
        <v>1</v>
      </c>
      <c r="D1428" s="6" t="str">
        <f>IFERROR(__xludf.DUMMYFUNCTION("""COMPUTED_VALUE"""),"O-17938-00")</f>
        <v>O-17938-00</v>
      </c>
      <c r="E1428" s="6" t="str">
        <f>IFERROR(__xludf.DUMMYFUNCTION("""COMPUTED_VALUE"""),"Misumi - Casters CGAN65-M")</f>
        <v>Misumi - Casters CGAN65-M</v>
      </c>
      <c r="F1428" s="6">
        <f>IFERROR(__xludf.DUMMYFUNCTION("""COMPUTED_VALUE"""),4.0)</f>
        <v>4</v>
      </c>
      <c r="G1428" s="6" t="str">
        <f>IFERROR(__xludf.DUMMYFUNCTION("""COMPUTED_VALUE"""),"Pieces")</f>
        <v>Pieces</v>
      </c>
      <c r="H1428" s="6" t="str">
        <f>IFERROR(__xludf.DUMMYFUNCTION("""COMPUTED_VALUE"""),"IDR")</f>
        <v>IDR</v>
      </c>
      <c r="I1428" s="6">
        <f>IFERROR(__xludf.DUMMYFUNCTION("""COMPUTED_VALUE"""),1025037.0)</f>
        <v>1025037</v>
      </c>
      <c r="J1428" s="6">
        <f>IFERROR(__xludf.DUMMYFUNCTION("""COMPUTED_VALUE"""),4100148.0)</f>
        <v>4100148</v>
      </c>
      <c r="K1428" s="57">
        <f>IFERROR(__xludf.DUMMYFUNCTION("""COMPUTED_VALUE"""),44410.0)</f>
        <v>44410</v>
      </c>
      <c r="L1428" s="6" t="str">
        <f>IFERROR(__xludf.DUMMYFUNCTION("""COMPUTED_VALUE"""),"FIP Engineering")</f>
        <v>FIP Engineering</v>
      </c>
      <c r="M1428" s="6" t="str">
        <f>IFERROR(__xludf.DUMMYFUNCTION("""COMPUTED_VALUE"""),"Irwan Sopian")</f>
        <v>Irwan Sopian</v>
      </c>
      <c r="N1428" s="6" t="str">
        <f>IFERROR(__xludf.DUMMYFUNCTION("""COMPUTED_VALUE"""),"FIP Engineering")</f>
        <v>FIP Engineering</v>
      </c>
      <c r="O1428" s="6" t="str">
        <f>IFERROR(__xludf.DUMMYFUNCTION("""COMPUTED_VALUE"""),"FIP-DOM-000-11304-OS00001-INA-000000")</f>
        <v>FIP-DOM-000-11304-OS00001-INA-000000</v>
      </c>
      <c r="P1428" s="6" t="str">
        <f>IFERROR(__xludf.DUMMYFUNCTION("""COMPUTED_VALUE"""),"PO Closed")</f>
        <v>PO Closed</v>
      </c>
      <c r="Q1428" s="6" t="str">
        <f>IFERROR(__xludf.DUMMYFUNCTION("""COMPUTED_VALUE"""),"GL2108030")</f>
        <v>GL2108030</v>
      </c>
      <c r="R1428" s="57">
        <f>IFERROR(__xludf.DUMMYFUNCTION("""COMPUTED_VALUE"""),44314.0)</f>
        <v>44314</v>
      </c>
      <c r="S1428" s="6" t="str">
        <f>IFERROR(__xludf.DUMMYFUNCTION("""COMPUTED_VALUE"""),"-")</f>
        <v>-</v>
      </c>
      <c r="T1428" s="57">
        <f>IFERROR(__xludf.DUMMYFUNCTION("""COMPUTED_VALUE"""),44444.0)</f>
        <v>44444</v>
      </c>
    </row>
    <row r="1429">
      <c r="A1429" s="6" t="str">
        <f>IFERROR(__xludf.DUMMYFUNCTION("""COMPUTED_VALUE"""),"211750145-2")</f>
        <v>211750145-2</v>
      </c>
      <c r="B1429" s="6" t="str">
        <f>IFERROR(__xludf.DUMMYFUNCTION("""COMPUTED_VALUE"""),"211750145 - Approved")</f>
        <v>211750145 - Approved</v>
      </c>
      <c r="C1429" s="6">
        <f>IFERROR(__xludf.DUMMYFUNCTION("""COMPUTED_VALUE"""),2.0)</f>
        <v>2</v>
      </c>
      <c r="D1429" s="6" t="str">
        <f>IFERROR(__xludf.DUMMYFUNCTION("""COMPUTED_VALUE"""),"P-17363-00")</f>
        <v>P-17363-00</v>
      </c>
      <c r="E1429" s="6" t="str">
        <f>IFERROR(__xludf.DUMMYFUNCTION("""COMPUTED_VALUE"""),"Ferrule SS 316 dia. 1/2""; ; ; pc")</f>
        <v>Ferrule SS 316 dia. 1/2"; ; ; pc</v>
      </c>
      <c r="F1429" s="6">
        <f>IFERROR(__xludf.DUMMYFUNCTION("""COMPUTED_VALUE"""),4.0)</f>
        <v>4</v>
      </c>
      <c r="G1429" s="6" t="str">
        <f>IFERROR(__xludf.DUMMYFUNCTION("""COMPUTED_VALUE"""),"Pieces")</f>
        <v>Pieces</v>
      </c>
      <c r="H1429" s="6" t="str">
        <f>IFERROR(__xludf.DUMMYFUNCTION("""COMPUTED_VALUE"""),"IDR")</f>
        <v>IDR</v>
      </c>
      <c r="I1429" s="6">
        <f>IFERROR(__xludf.DUMMYFUNCTION("""COMPUTED_VALUE"""),365000.0)</f>
        <v>365000</v>
      </c>
      <c r="J1429" s="6">
        <f>IFERROR(__xludf.DUMMYFUNCTION("""COMPUTED_VALUE"""),1460000.0)</f>
        <v>1460000</v>
      </c>
      <c r="K1429" s="57">
        <f>IFERROR(__xludf.DUMMYFUNCTION("""COMPUTED_VALUE"""),44410.0)</f>
        <v>44410</v>
      </c>
      <c r="L1429" s="6" t="str">
        <f>IFERROR(__xludf.DUMMYFUNCTION("""COMPUTED_VALUE"""),"FIP Engineering")</f>
        <v>FIP Engineering</v>
      </c>
      <c r="M1429" s="6" t="str">
        <f>IFERROR(__xludf.DUMMYFUNCTION("""COMPUTED_VALUE"""),"Irwan Sopian")</f>
        <v>Irwan Sopian</v>
      </c>
      <c r="N1429" s="6" t="str">
        <f>IFERROR(__xludf.DUMMYFUNCTION("""COMPUTED_VALUE"""),"FIP Engineering")</f>
        <v>FIP Engineering</v>
      </c>
      <c r="O1429" s="6" t="str">
        <f>IFERROR(__xludf.DUMMYFUNCTION("""COMPUTED_VALUE"""),"FIP-DOM-000-11304-OS00001-INA-000000")</f>
        <v>FIP-DOM-000-11304-OS00001-INA-000000</v>
      </c>
      <c r="P1429" s="6" t="str">
        <f>IFERROR(__xludf.DUMMYFUNCTION("""COMPUTED_VALUE"""),"PO Closed")</f>
        <v>PO Closed</v>
      </c>
      <c r="Q1429" s="6" t="str">
        <f>IFERROR(__xludf.DUMMYFUNCTION("""COMPUTED_VALUE"""),"GL2108019")</f>
        <v>GL2108019</v>
      </c>
      <c r="R1429" s="57">
        <f>IFERROR(__xludf.DUMMYFUNCTION("""COMPUTED_VALUE"""),44314.0)</f>
        <v>44314</v>
      </c>
      <c r="S1429" s="6" t="str">
        <f>IFERROR(__xludf.DUMMYFUNCTION("""COMPUTED_VALUE"""),"-")</f>
        <v>-</v>
      </c>
      <c r="T1429" s="57">
        <f>IFERROR(__xludf.DUMMYFUNCTION("""COMPUTED_VALUE"""),44438.0)</f>
        <v>44438</v>
      </c>
    </row>
    <row r="1430">
      <c r="A1430" s="6" t="str">
        <f>IFERROR(__xludf.DUMMYFUNCTION("""COMPUTED_VALUE"""),"211750145-3")</f>
        <v>211750145-3</v>
      </c>
      <c r="B1430" s="6" t="str">
        <f>IFERROR(__xludf.DUMMYFUNCTION("""COMPUTED_VALUE"""),"211750145 - Approved")</f>
        <v>211750145 - Approved</v>
      </c>
      <c r="C1430" s="6">
        <f>IFERROR(__xludf.DUMMYFUNCTION("""COMPUTED_VALUE"""),3.0)</f>
        <v>3</v>
      </c>
      <c r="D1430" s="6" t="str">
        <f>IFERROR(__xludf.DUMMYFUNCTION("""COMPUTED_VALUE"""),"O-17712-00")</f>
        <v>O-17712-00</v>
      </c>
      <c r="E1430" s="6" t="str">
        <f>IFERROR(__xludf.DUMMYFUNCTION("""COMPUTED_VALUE"""),"Socket Controller 8 pin - P/N : - pc")</f>
        <v>Socket Controller 8 pin - P/N : - pc</v>
      </c>
      <c r="F1430" s="6">
        <f>IFERROR(__xludf.DUMMYFUNCTION("""COMPUTED_VALUE"""),2.0)</f>
        <v>2</v>
      </c>
      <c r="G1430" s="6" t="str">
        <f>IFERROR(__xludf.DUMMYFUNCTION("""COMPUTED_VALUE"""),"Pieces")</f>
        <v>Pieces</v>
      </c>
      <c r="H1430" s="6" t="str">
        <f>IFERROR(__xludf.DUMMYFUNCTION("""COMPUTED_VALUE"""),"IDR")</f>
        <v>IDR</v>
      </c>
      <c r="I1430" s="6">
        <f>IFERROR(__xludf.DUMMYFUNCTION("""COMPUTED_VALUE"""),287500.0)</f>
        <v>287500</v>
      </c>
      <c r="J1430" s="6">
        <f>IFERROR(__xludf.DUMMYFUNCTION("""COMPUTED_VALUE"""),575000.0)</f>
        <v>575000</v>
      </c>
      <c r="K1430" s="57">
        <f>IFERROR(__xludf.DUMMYFUNCTION("""COMPUTED_VALUE"""),44410.0)</f>
        <v>44410</v>
      </c>
      <c r="L1430" s="6" t="str">
        <f>IFERROR(__xludf.DUMMYFUNCTION("""COMPUTED_VALUE"""),"FIP General")</f>
        <v>FIP General</v>
      </c>
      <c r="M1430" s="6" t="str">
        <f>IFERROR(__xludf.DUMMYFUNCTION("""COMPUTED_VALUE"""),"Irwan Sopian")</f>
        <v>Irwan Sopian</v>
      </c>
      <c r="N1430" s="6" t="str">
        <f>IFERROR(__xludf.DUMMYFUNCTION("""COMPUTED_VALUE"""),"FIP Engineering")</f>
        <v>FIP Engineering</v>
      </c>
      <c r="O1430" s="6" t="str">
        <f>IFERROR(__xludf.DUMMYFUNCTION("""COMPUTED_VALUE"""),"FIP-DOM-ENG-51504-0000000-INA-000000")</f>
        <v>FIP-DOM-ENG-51504-0000000-INA-000000</v>
      </c>
      <c r="P1430" s="6" t="str">
        <f>IFERROR(__xludf.DUMMYFUNCTION("""COMPUTED_VALUE"""),"PO Closed")</f>
        <v>PO Closed</v>
      </c>
      <c r="Q1430" s="6" t="str">
        <f>IFERROR(__xludf.DUMMYFUNCTION("""COMPUTED_VALUE"""),"GL2108019")</f>
        <v>GL2108019</v>
      </c>
      <c r="R1430" s="57">
        <f>IFERROR(__xludf.DUMMYFUNCTION("""COMPUTED_VALUE"""),44314.0)</f>
        <v>44314</v>
      </c>
      <c r="S1430" s="6" t="str">
        <f>IFERROR(__xludf.DUMMYFUNCTION("""COMPUTED_VALUE"""),"-")</f>
        <v>-</v>
      </c>
      <c r="T1430" s="57">
        <f>IFERROR(__xludf.DUMMYFUNCTION("""COMPUTED_VALUE"""),44438.0)</f>
        <v>44438</v>
      </c>
    </row>
    <row r="1431">
      <c r="A1431" s="6" t="str">
        <f>IFERROR(__xludf.DUMMYFUNCTION("""COMPUTED_VALUE"""),"211750145-5")</f>
        <v>211750145-5</v>
      </c>
      <c r="B1431" s="6" t="str">
        <f>IFERROR(__xludf.DUMMYFUNCTION("""COMPUTED_VALUE"""),"211750145 - Approved")</f>
        <v>211750145 - Approved</v>
      </c>
      <c r="C1431" s="6">
        <f>IFERROR(__xludf.DUMMYFUNCTION("""COMPUTED_VALUE"""),5.0)</f>
        <v>5</v>
      </c>
      <c r="D1431" s="6" t="str">
        <f>IFERROR(__xludf.DUMMYFUNCTION("""COMPUTED_VALUE"""),"P-10759-00")</f>
        <v>P-10759-00</v>
      </c>
      <c r="E1431" s="6" t="str">
        <f>IFERROR(__xludf.DUMMYFUNCTION("""COMPUTED_VALUE"""),"Ferrule - Klem Ferrule 4inch SS 316L")</f>
        <v>Ferrule - Klem Ferrule 4inch SS 316L</v>
      </c>
      <c r="F1431" s="6">
        <f>IFERROR(__xludf.DUMMYFUNCTION("""COMPUTED_VALUE"""),1.0)</f>
        <v>1</v>
      </c>
      <c r="G1431" s="6" t="str">
        <f>IFERROR(__xludf.DUMMYFUNCTION("""COMPUTED_VALUE"""),"Pieces")</f>
        <v>Pieces</v>
      </c>
      <c r="H1431" s="6" t="str">
        <f>IFERROR(__xludf.DUMMYFUNCTION("""COMPUTED_VALUE"""),"IDR")</f>
        <v>IDR</v>
      </c>
      <c r="I1431" s="6">
        <f>IFERROR(__xludf.DUMMYFUNCTION("""COMPUTED_VALUE"""),225000.0)</f>
        <v>225000</v>
      </c>
      <c r="J1431" s="6">
        <f>IFERROR(__xludf.DUMMYFUNCTION("""COMPUTED_VALUE"""),225000.0)</f>
        <v>225000</v>
      </c>
      <c r="K1431" s="57">
        <f>IFERROR(__xludf.DUMMYFUNCTION("""COMPUTED_VALUE"""),44410.0)</f>
        <v>44410</v>
      </c>
      <c r="L1431" s="6" t="str">
        <f>IFERROR(__xludf.DUMMYFUNCTION("""COMPUTED_VALUE"""),"FIP Engineering")</f>
        <v>FIP Engineering</v>
      </c>
      <c r="M1431" s="6" t="str">
        <f>IFERROR(__xludf.DUMMYFUNCTION("""COMPUTED_VALUE"""),"Irwan Sopian")</f>
        <v>Irwan Sopian</v>
      </c>
      <c r="N1431" s="6" t="str">
        <f>IFERROR(__xludf.DUMMYFUNCTION("""COMPUTED_VALUE"""),"FIP Engineering")</f>
        <v>FIP Engineering</v>
      </c>
      <c r="O1431" s="6" t="str">
        <f>IFERROR(__xludf.DUMMYFUNCTION("""COMPUTED_VALUE"""),"FIP-DOM-000-11304-OS00001-INA-000000")</f>
        <v>FIP-DOM-000-11304-OS00001-INA-000000</v>
      </c>
      <c r="P1431" s="6" t="str">
        <f>IFERROR(__xludf.DUMMYFUNCTION("""COMPUTED_VALUE"""),"PO Closed")</f>
        <v>PO Closed</v>
      </c>
      <c r="Q1431" s="6" t="str">
        <f>IFERROR(__xludf.DUMMYFUNCTION("""COMPUTED_VALUE"""),"GL2108019")</f>
        <v>GL2108019</v>
      </c>
      <c r="R1431" s="57">
        <f>IFERROR(__xludf.DUMMYFUNCTION("""COMPUTED_VALUE"""),44314.0)</f>
        <v>44314</v>
      </c>
      <c r="S1431" s="6" t="str">
        <f>IFERROR(__xludf.DUMMYFUNCTION("""COMPUTED_VALUE"""),"-")</f>
        <v>-</v>
      </c>
      <c r="T1431" s="57">
        <f>IFERROR(__xludf.DUMMYFUNCTION("""COMPUTED_VALUE"""),44438.0)</f>
        <v>44438</v>
      </c>
    </row>
    <row r="1432">
      <c r="A1432" s="6" t="str">
        <f>IFERROR(__xludf.DUMMYFUNCTION("""COMPUTED_VALUE"""),"211750145-6")</f>
        <v>211750145-6</v>
      </c>
      <c r="B1432" s="6" t="str">
        <f>IFERROR(__xludf.DUMMYFUNCTION("""COMPUTED_VALUE"""),"211750145 - Approved")</f>
        <v>211750145 - Approved</v>
      </c>
      <c r="C1432" s="6">
        <f>IFERROR(__xludf.DUMMYFUNCTION("""COMPUTED_VALUE"""),6.0)</f>
        <v>6</v>
      </c>
      <c r="D1432" s="6" t="str">
        <f>IFERROR(__xludf.DUMMYFUNCTION("""COMPUTED_VALUE"""),"P-17539-00")</f>
        <v>P-17539-00</v>
      </c>
      <c r="E1432" s="6" t="str">
        <f>IFERROR(__xludf.DUMMYFUNCTION("""COMPUTED_VALUE"""),"Seal Ferrule Silicone 4 inch")</f>
        <v>Seal Ferrule Silicone 4 inch</v>
      </c>
      <c r="F1432" s="6">
        <f>IFERROR(__xludf.DUMMYFUNCTION("""COMPUTED_VALUE"""),1.0)</f>
        <v>1</v>
      </c>
      <c r="G1432" s="6" t="str">
        <f>IFERROR(__xludf.DUMMYFUNCTION("""COMPUTED_VALUE"""),"Pieces")</f>
        <v>Pieces</v>
      </c>
      <c r="H1432" s="6" t="str">
        <f>IFERROR(__xludf.DUMMYFUNCTION("""COMPUTED_VALUE"""),"IDR")</f>
        <v>IDR</v>
      </c>
      <c r="I1432" s="6">
        <f>IFERROR(__xludf.DUMMYFUNCTION("""COMPUTED_VALUE"""),135000.0)</f>
        <v>135000</v>
      </c>
      <c r="J1432" s="6">
        <f>IFERROR(__xludf.DUMMYFUNCTION("""COMPUTED_VALUE"""),135000.0)</f>
        <v>135000</v>
      </c>
      <c r="K1432" s="57">
        <f>IFERROR(__xludf.DUMMYFUNCTION("""COMPUTED_VALUE"""),44410.0)</f>
        <v>44410</v>
      </c>
      <c r="L1432" s="6" t="str">
        <f>IFERROR(__xludf.DUMMYFUNCTION("""COMPUTED_VALUE"""),"FIP General")</f>
        <v>FIP General</v>
      </c>
      <c r="M1432" s="6" t="str">
        <f>IFERROR(__xludf.DUMMYFUNCTION("""COMPUTED_VALUE"""),"Irwan Sopian")</f>
        <v>Irwan Sopian</v>
      </c>
      <c r="N1432" s="6" t="str">
        <f>IFERROR(__xludf.DUMMYFUNCTION("""COMPUTED_VALUE"""),"FIP Engineering")</f>
        <v>FIP Engineering</v>
      </c>
      <c r="O1432" s="6" t="str">
        <f>IFERROR(__xludf.DUMMYFUNCTION("""COMPUTED_VALUE"""),"FIP-DOM-ENG-51504-0000000-INA-000000")</f>
        <v>FIP-DOM-ENG-51504-0000000-INA-000000</v>
      </c>
      <c r="P1432" s="6" t="str">
        <f>IFERROR(__xludf.DUMMYFUNCTION("""COMPUTED_VALUE"""),"PO Closed")</f>
        <v>PO Closed</v>
      </c>
      <c r="Q1432" s="6" t="str">
        <f>IFERROR(__xludf.DUMMYFUNCTION("""COMPUTED_VALUE"""),"GL2108019")</f>
        <v>GL2108019</v>
      </c>
      <c r="R1432" s="57">
        <f>IFERROR(__xludf.DUMMYFUNCTION("""COMPUTED_VALUE"""),44314.0)</f>
        <v>44314</v>
      </c>
      <c r="S1432" s="6" t="str">
        <f>IFERROR(__xludf.DUMMYFUNCTION("""COMPUTED_VALUE"""),"-")</f>
        <v>-</v>
      </c>
      <c r="T1432" s="57">
        <f>IFERROR(__xludf.DUMMYFUNCTION("""COMPUTED_VALUE"""),44438.0)</f>
        <v>44438</v>
      </c>
    </row>
    <row r="1433">
      <c r="A1433" s="6" t="str">
        <f>IFERROR(__xludf.DUMMYFUNCTION("""COMPUTED_VALUE"""),"211750145-7")</f>
        <v>211750145-7</v>
      </c>
      <c r="B1433" s="6" t="str">
        <f>IFERROR(__xludf.DUMMYFUNCTION("""COMPUTED_VALUE"""),"211750145 - Approved")</f>
        <v>211750145 - Approved</v>
      </c>
      <c r="C1433" s="6">
        <f>IFERROR(__xludf.DUMMYFUNCTION("""COMPUTED_VALUE"""),7.0)</f>
        <v>7</v>
      </c>
      <c r="D1433" s="6" t="str">
        <f>IFERROR(__xludf.DUMMYFUNCTION("""COMPUTED_VALUE"""),"P-51269-00")</f>
        <v>P-51269-00</v>
      </c>
      <c r="E1433" s="6" t="str">
        <f>IFERROR(__xludf.DUMMYFUNCTION("""COMPUTED_VALUE"""),"Stecker 3 phase 16A 5 PIN (male&amp;female) type surface mounting")</f>
        <v>Stecker 3 phase 16A 5 PIN (male&amp;female) type surface mounting</v>
      </c>
      <c r="F1433" s="6">
        <f>IFERROR(__xludf.DUMMYFUNCTION("""COMPUTED_VALUE"""),1.0)</f>
        <v>1</v>
      </c>
      <c r="G1433" s="6" t="str">
        <f>IFERROR(__xludf.DUMMYFUNCTION("""COMPUTED_VALUE"""),"Pieces")</f>
        <v>Pieces</v>
      </c>
      <c r="H1433" s="6" t="str">
        <f>IFERROR(__xludf.DUMMYFUNCTION("""COMPUTED_VALUE"""),"IDR")</f>
        <v>IDR</v>
      </c>
      <c r="I1433" s="6">
        <f>IFERROR(__xludf.DUMMYFUNCTION("""COMPUTED_VALUE"""),325000.0)</f>
        <v>325000</v>
      </c>
      <c r="J1433" s="6">
        <f>IFERROR(__xludf.DUMMYFUNCTION("""COMPUTED_VALUE"""),325000.0)</f>
        <v>325000</v>
      </c>
      <c r="K1433" s="57">
        <f>IFERROR(__xludf.DUMMYFUNCTION("""COMPUTED_VALUE"""),44410.0)</f>
        <v>44410</v>
      </c>
      <c r="L1433" s="6" t="str">
        <f>IFERROR(__xludf.DUMMYFUNCTION("""COMPUTED_VALUE"""),"FIP Engineering")</f>
        <v>FIP Engineering</v>
      </c>
      <c r="M1433" s="6" t="str">
        <f>IFERROR(__xludf.DUMMYFUNCTION("""COMPUTED_VALUE"""),"Irwan Sopian")</f>
        <v>Irwan Sopian</v>
      </c>
      <c r="N1433" s="6" t="str">
        <f>IFERROR(__xludf.DUMMYFUNCTION("""COMPUTED_VALUE"""),"FIP Engineering")</f>
        <v>FIP Engineering</v>
      </c>
      <c r="O1433" s="6" t="str">
        <f>IFERROR(__xludf.DUMMYFUNCTION("""COMPUTED_VALUE"""),"FIP-DOM-000-11304-OS00001-INA-000000")</f>
        <v>FIP-DOM-000-11304-OS00001-INA-000000</v>
      </c>
      <c r="P1433" s="6" t="str">
        <f>IFERROR(__xludf.DUMMYFUNCTION("""COMPUTED_VALUE"""),"PO Closed")</f>
        <v>PO Closed</v>
      </c>
      <c r="Q1433" s="6" t="str">
        <f>IFERROR(__xludf.DUMMYFUNCTION("""COMPUTED_VALUE"""),"GL2108019")</f>
        <v>GL2108019</v>
      </c>
      <c r="R1433" s="57">
        <f>IFERROR(__xludf.DUMMYFUNCTION("""COMPUTED_VALUE"""),44316.0)</f>
        <v>44316</v>
      </c>
      <c r="S1433" s="6" t="str">
        <f>IFERROR(__xludf.DUMMYFUNCTION("""COMPUTED_VALUE"""),"-")</f>
        <v>-</v>
      </c>
      <c r="T1433" s="57">
        <f>IFERROR(__xludf.DUMMYFUNCTION("""COMPUTED_VALUE"""),44438.0)</f>
        <v>44438</v>
      </c>
    </row>
    <row r="1434">
      <c r="A1434" s="6" t="str">
        <f>IFERROR(__xludf.DUMMYFUNCTION("""COMPUTED_VALUE"""),"211750154-1")</f>
        <v>211750154-1</v>
      </c>
      <c r="B1434" s="6" t="str">
        <f>IFERROR(__xludf.DUMMYFUNCTION("""COMPUTED_VALUE"""),"211750154 - Approved")</f>
        <v>211750154 - Approved</v>
      </c>
      <c r="C1434" s="6">
        <f>IFERROR(__xludf.DUMMYFUNCTION("""COMPUTED_VALUE"""),1.0)</f>
        <v>1</v>
      </c>
      <c r="D1434" s="6" t="str">
        <f>IFERROR(__xludf.DUMMYFUNCTION("""COMPUTED_VALUE"""),"P-53182-00")</f>
        <v>P-53182-00</v>
      </c>
      <c r="E1434" s="6" t="str">
        <f>IFERROR(__xludf.DUMMYFUNCTION("""COMPUTED_VALUE"""),"Arc tube Hanovia UV System HANOVIA p/n 130071 - 0320 - 01")</f>
        <v>Arc tube Hanovia UV System HANOVIA p/n 130071 - 0320 - 01</v>
      </c>
      <c r="F1434" s="6">
        <f>IFERROR(__xludf.DUMMYFUNCTION("""COMPUTED_VALUE"""),2.0)</f>
        <v>2</v>
      </c>
      <c r="G1434" s="6" t="str">
        <f>IFERROR(__xludf.DUMMYFUNCTION("""COMPUTED_VALUE"""),"Unit")</f>
        <v>Unit</v>
      </c>
      <c r="H1434" s="6" t="str">
        <f>IFERROR(__xludf.DUMMYFUNCTION("""COMPUTED_VALUE"""),"IDR")</f>
        <v>IDR</v>
      </c>
      <c r="I1434" s="6">
        <f>IFERROR(__xludf.DUMMYFUNCTION("""COMPUTED_VALUE"""),9894736.0)</f>
        <v>9894736</v>
      </c>
      <c r="J1434" s="6">
        <f>IFERROR(__xludf.DUMMYFUNCTION("""COMPUTED_VALUE"""),1.9789472E7)</f>
        <v>19789472</v>
      </c>
      <c r="K1434" s="57">
        <f>IFERROR(__xludf.DUMMYFUNCTION("""COMPUTED_VALUE"""),44358.0)</f>
        <v>44358</v>
      </c>
      <c r="L1434" s="6" t="str">
        <f>IFERROR(__xludf.DUMMYFUNCTION("""COMPUTED_VALUE"""),"FIP Engineering")</f>
        <v>FIP Engineering</v>
      </c>
      <c r="M1434" s="6" t="str">
        <f>IFERROR(__xludf.DUMMYFUNCTION("""COMPUTED_VALUE"""),"Irwan Sopian")</f>
        <v>Irwan Sopian</v>
      </c>
      <c r="N1434" s="6" t="str">
        <f>IFERROR(__xludf.DUMMYFUNCTION("""COMPUTED_VALUE"""),"FIP Engineering")</f>
        <v>FIP Engineering</v>
      </c>
      <c r="O1434" s="6" t="str">
        <f>IFERROR(__xludf.DUMMYFUNCTION("""COMPUTED_VALUE"""),"FIP-DOM-000-11304-OS00001-INA-000000")</f>
        <v>FIP-DOM-000-11304-OS00001-INA-000000</v>
      </c>
      <c r="P1434" s="6" t="str">
        <f>IFERROR(__xludf.DUMMYFUNCTION("""COMPUTED_VALUE"""),"PO Closed")</f>
        <v>PO Closed</v>
      </c>
      <c r="Q1434" s="6" t="str">
        <f>IFERROR(__xludf.DUMMYFUNCTION("""COMPUTED_VALUE"""),"GL2106022")</f>
        <v>GL2106022</v>
      </c>
      <c r="R1434" s="57">
        <f>IFERROR(__xludf.DUMMYFUNCTION("""COMPUTED_VALUE"""),44320.0)</f>
        <v>44320</v>
      </c>
      <c r="S1434" s="6" t="str">
        <f>IFERROR(__xludf.DUMMYFUNCTION("""COMPUTED_VALUE"""),"-")</f>
        <v>-</v>
      </c>
      <c r="T1434" s="57">
        <f>IFERROR(__xludf.DUMMYFUNCTION("""COMPUTED_VALUE"""),44459.0)</f>
        <v>44459</v>
      </c>
    </row>
    <row r="1435">
      <c r="A1435" s="6" t="str">
        <f>IFERROR(__xludf.DUMMYFUNCTION("""COMPUTED_VALUE"""),"211750163-1")</f>
        <v>211750163-1</v>
      </c>
      <c r="B1435" s="6" t="str">
        <f>IFERROR(__xludf.DUMMYFUNCTION("""COMPUTED_VALUE"""),"211750163 - Approved")</f>
        <v>211750163 - Approved</v>
      </c>
      <c r="C1435" s="6">
        <f>IFERROR(__xludf.DUMMYFUNCTION("""COMPUTED_VALUE"""),1.0)</f>
        <v>1</v>
      </c>
      <c r="D1435" s="6" t="str">
        <f>IFERROR(__xludf.DUMMYFUNCTION("""COMPUTED_VALUE"""),"P-60000-00")</f>
        <v>P-60000-00</v>
      </c>
      <c r="E1435" s="6" t="str">
        <f>IFERROR(__xludf.DUMMYFUNCTION("""COMPUTED_VALUE"""),"Pembuatan Inchian Flange 2.5 inch Jalur Compressor")</f>
        <v>Pembuatan Inchian Flange 2.5 inch Jalur Compressor</v>
      </c>
      <c r="F1435" s="6">
        <f>IFERROR(__xludf.DUMMYFUNCTION("""COMPUTED_VALUE"""),1.0)</f>
        <v>1</v>
      </c>
      <c r="G1435" s="6" t="str">
        <f>IFERROR(__xludf.DUMMYFUNCTION("""COMPUTED_VALUE"""),"Lot")</f>
        <v>Lot</v>
      </c>
      <c r="H1435" s="6" t="str">
        <f>IFERROR(__xludf.DUMMYFUNCTION("""COMPUTED_VALUE"""),"IDR")</f>
        <v>IDR</v>
      </c>
      <c r="I1435" s="6">
        <f>IFERROR(__xludf.DUMMYFUNCTION("""COMPUTED_VALUE"""),1820000.0)</f>
        <v>1820000</v>
      </c>
      <c r="J1435" s="6">
        <f>IFERROR(__xludf.DUMMYFUNCTION("""COMPUTED_VALUE"""),1820000.0)</f>
        <v>1820000</v>
      </c>
      <c r="K1435" s="57">
        <f>IFERROR(__xludf.DUMMYFUNCTION("""COMPUTED_VALUE"""),44347.0)</f>
        <v>44347</v>
      </c>
      <c r="L1435" s="6" t="str">
        <f>IFERROR(__xludf.DUMMYFUNCTION("""COMPUTED_VALUE"""),"FIP General")</f>
        <v>FIP General</v>
      </c>
      <c r="M1435" s="6" t="str">
        <f>IFERROR(__xludf.DUMMYFUNCTION("""COMPUTED_VALUE"""),"Irwan Sopian")</f>
        <v>Irwan Sopian</v>
      </c>
      <c r="N1435" s="6" t="str">
        <f>IFERROR(__xludf.DUMMYFUNCTION("""COMPUTED_VALUE"""),"FIP Engineering")</f>
        <v>FIP Engineering</v>
      </c>
      <c r="O1435" s="6" t="str">
        <f>IFERROR(__xludf.DUMMYFUNCTION("""COMPUTED_VALUE"""),"FIP-DOM-ENG-51504-0000000-INA-000000")</f>
        <v>FIP-DOM-ENG-51504-0000000-INA-000000</v>
      </c>
      <c r="P1435" s="6" t="str">
        <f>IFERROR(__xludf.DUMMYFUNCTION("""COMPUTED_VALUE"""),"PO Closed")</f>
        <v>PO Closed</v>
      </c>
      <c r="Q1435" s="6" t="str">
        <f>IFERROR(__xludf.DUMMYFUNCTION("""COMPUTED_VALUE"""),"GL2106007")</f>
        <v>GL2106007</v>
      </c>
      <c r="R1435" s="57">
        <f>IFERROR(__xludf.DUMMYFUNCTION("""COMPUTED_VALUE"""),44321.0)</f>
        <v>44321</v>
      </c>
      <c r="S1435" s="6" t="str">
        <f>IFERROR(__xludf.DUMMYFUNCTION("""COMPUTED_VALUE"""),"-")</f>
        <v>-</v>
      </c>
      <c r="T1435" s="57">
        <f>IFERROR(__xludf.DUMMYFUNCTION("""COMPUTED_VALUE"""),44499.0)</f>
        <v>44499</v>
      </c>
    </row>
    <row r="1436">
      <c r="A1436" s="6" t="str">
        <f>IFERROR(__xludf.DUMMYFUNCTION("""COMPUTED_VALUE"""),"211750160-1")</f>
        <v>211750160-1</v>
      </c>
      <c r="B1436" s="6" t="str">
        <f>IFERROR(__xludf.DUMMYFUNCTION("""COMPUTED_VALUE"""),"211750160 - Approved")</f>
        <v>211750160 - Approved</v>
      </c>
      <c r="C1436" s="6">
        <f>IFERROR(__xludf.DUMMYFUNCTION("""COMPUTED_VALUE"""),1.0)</f>
        <v>1</v>
      </c>
      <c r="D1436" s="6" t="str">
        <f>IFERROR(__xludf.DUMMYFUNCTION("""COMPUTED_VALUE"""),"T-20841-00")</f>
        <v>T-20841-00</v>
      </c>
      <c r="E1436" s="6" t="str">
        <f>IFERROR(__xludf.DUMMYFUNCTION("""COMPUTED_VALUE"""),"Lasser Assy (S) Shimadzu 206-71580-91")</f>
        <v>Lasser Assy (S) Shimadzu 206-71580-91</v>
      </c>
      <c r="F1436" s="6">
        <f>IFERROR(__xludf.DUMMYFUNCTION("""COMPUTED_VALUE"""),1.0)</f>
        <v>1</v>
      </c>
      <c r="G1436" s="6" t="str">
        <f>IFERROR(__xludf.DUMMYFUNCTION("""COMPUTED_VALUE"""),"Pieces")</f>
        <v>Pieces</v>
      </c>
      <c r="H1436" s="6" t="str">
        <f>IFERROR(__xludf.DUMMYFUNCTION("""COMPUTED_VALUE"""),"IDR")</f>
        <v>IDR</v>
      </c>
      <c r="I1436" s="6">
        <f>IFERROR(__xludf.DUMMYFUNCTION("""COMPUTED_VALUE"""),7.42425E7)</f>
        <v>74242500</v>
      </c>
      <c r="J1436" s="6">
        <f>IFERROR(__xludf.DUMMYFUNCTION("""COMPUTED_VALUE"""),7.42425E7)</f>
        <v>74242500</v>
      </c>
      <c r="K1436" s="57">
        <f>IFERROR(__xludf.DUMMYFUNCTION("""COMPUTED_VALUE"""),44358.0)</f>
        <v>44358</v>
      </c>
      <c r="L1436" s="6" t="str">
        <f>IFERROR(__xludf.DUMMYFUNCTION("""COMPUTED_VALUE"""),"FIP General")</f>
        <v>FIP General</v>
      </c>
      <c r="M1436" s="6" t="str">
        <f>IFERROR(__xludf.DUMMYFUNCTION("""COMPUTED_VALUE"""),"Irwan Sopian")</f>
        <v>Irwan Sopian</v>
      </c>
      <c r="N1436" s="6" t="str">
        <f>IFERROR(__xludf.DUMMYFUNCTION("""COMPUTED_VALUE"""),"FIP Engineering")</f>
        <v>FIP Engineering</v>
      </c>
      <c r="O1436" s="6" t="str">
        <f>IFERROR(__xludf.DUMMYFUNCTION("""COMPUTED_VALUE"""),"FIP-DOM-ENG-51505-0000000-INA-000000")</f>
        <v>FIP-DOM-ENG-51505-0000000-INA-000000</v>
      </c>
      <c r="P1436" s="6" t="str">
        <f>IFERROR(__xludf.DUMMYFUNCTION("""COMPUTED_VALUE"""),"PO Closed")</f>
        <v>PO Closed</v>
      </c>
      <c r="Q1436" s="6" t="str">
        <f>IFERROR(__xludf.DUMMYFUNCTION("""COMPUTED_VALUE"""),"GL2106027")</f>
        <v>GL2106027</v>
      </c>
      <c r="R1436" s="57">
        <f>IFERROR(__xludf.DUMMYFUNCTION("""COMPUTED_VALUE"""),44321.0)</f>
        <v>44321</v>
      </c>
      <c r="S1436" s="6" t="str">
        <f>IFERROR(__xludf.DUMMYFUNCTION("""COMPUTED_VALUE"""),"-")</f>
        <v>-</v>
      </c>
      <c r="T1436" s="57">
        <f>IFERROR(__xludf.DUMMYFUNCTION("""COMPUTED_VALUE"""),44428.0)</f>
        <v>44428</v>
      </c>
    </row>
    <row r="1437">
      <c r="A1437" s="6" t="str">
        <f>IFERROR(__xludf.DUMMYFUNCTION("""COMPUTED_VALUE"""),"211750160-2")</f>
        <v>211750160-2</v>
      </c>
      <c r="B1437" s="6" t="str">
        <f>IFERROR(__xludf.DUMMYFUNCTION("""COMPUTED_VALUE"""),"211750160 - Approved")</f>
        <v>211750160 - Approved</v>
      </c>
      <c r="C1437" s="6">
        <f>IFERROR(__xludf.DUMMYFUNCTION("""COMPUTED_VALUE"""),2.0)</f>
        <v>2</v>
      </c>
      <c r="D1437" s="6" t="str">
        <f>IFERROR(__xludf.DUMMYFUNCTION("""COMPUTED_VALUE"""),"T-20842-00")</f>
        <v>T-20842-00</v>
      </c>
      <c r="E1437" s="6" t="str">
        <f>IFERROR(__xludf.DUMMYFUNCTION("""COMPUTED_VALUE"""),"Dricabi TS-51-D.U.S Shimadzu 206-71946")</f>
        <v>Dricabi TS-51-D.U.S Shimadzu 206-71946</v>
      </c>
      <c r="F1437" s="6">
        <f>IFERROR(__xludf.DUMMYFUNCTION("""COMPUTED_VALUE"""),1.0)</f>
        <v>1</v>
      </c>
      <c r="G1437" s="6" t="str">
        <f>IFERROR(__xludf.DUMMYFUNCTION("""COMPUTED_VALUE"""),"Pieces")</f>
        <v>Pieces</v>
      </c>
      <c r="H1437" s="6" t="str">
        <f>IFERROR(__xludf.DUMMYFUNCTION("""COMPUTED_VALUE"""),"IDR")</f>
        <v>IDR</v>
      </c>
      <c r="I1437" s="6">
        <f>IFERROR(__xludf.DUMMYFUNCTION("""COMPUTED_VALUE"""),1.1115E7)</f>
        <v>11115000</v>
      </c>
      <c r="J1437" s="6">
        <f>IFERROR(__xludf.DUMMYFUNCTION("""COMPUTED_VALUE"""),1.1115E7)</f>
        <v>11115000</v>
      </c>
      <c r="K1437" s="57">
        <f>IFERROR(__xludf.DUMMYFUNCTION("""COMPUTED_VALUE"""),44358.0)</f>
        <v>44358</v>
      </c>
      <c r="L1437" s="6" t="str">
        <f>IFERROR(__xludf.DUMMYFUNCTION("""COMPUTED_VALUE"""),"FIP General")</f>
        <v>FIP General</v>
      </c>
      <c r="M1437" s="6" t="str">
        <f>IFERROR(__xludf.DUMMYFUNCTION("""COMPUTED_VALUE"""),"Irwan Sopian")</f>
        <v>Irwan Sopian</v>
      </c>
      <c r="N1437" s="6" t="str">
        <f>IFERROR(__xludf.DUMMYFUNCTION("""COMPUTED_VALUE"""),"FIP Engineering")</f>
        <v>FIP Engineering</v>
      </c>
      <c r="O1437" s="6" t="str">
        <f>IFERROR(__xludf.DUMMYFUNCTION("""COMPUTED_VALUE"""),"FIP-DOM-ENG-51505-0000000-INA-000000")</f>
        <v>FIP-DOM-ENG-51505-0000000-INA-000000</v>
      </c>
      <c r="P1437" s="6" t="str">
        <f>IFERROR(__xludf.DUMMYFUNCTION("""COMPUTED_VALUE"""),"PO Closed")</f>
        <v>PO Closed</v>
      </c>
      <c r="Q1437" s="6" t="str">
        <f>IFERROR(__xludf.DUMMYFUNCTION("""COMPUTED_VALUE"""),"GL2106027")</f>
        <v>GL2106027</v>
      </c>
      <c r="R1437" s="57">
        <f>IFERROR(__xludf.DUMMYFUNCTION("""COMPUTED_VALUE"""),44321.0)</f>
        <v>44321</v>
      </c>
      <c r="S1437" s="6" t="str">
        <f>IFERROR(__xludf.DUMMYFUNCTION("""COMPUTED_VALUE"""),"-")</f>
        <v>-</v>
      </c>
      <c r="T1437" s="57">
        <f>IFERROR(__xludf.DUMMYFUNCTION("""COMPUTED_VALUE"""),44428.0)</f>
        <v>44428</v>
      </c>
    </row>
    <row r="1438">
      <c r="A1438" s="6" t="str">
        <f>IFERROR(__xludf.DUMMYFUNCTION("""COMPUTED_VALUE"""),"211750145-7")</f>
        <v>211750145-7</v>
      </c>
      <c r="B1438" s="6" t="str">
        <f>IFERROR(__xludf.DUMMYFUNCTION("""COMPUTED_VALUE"""),"211750145 - Approved")</f>
        <v>211750145 - Approved</v>
      </c>
      <c r="C1438" s="6">
        <f>IFERROR(__xludf.DUMMYFUNCTION("""COMPUTED_VALUE"""),7.0)</f>
        <v>7</v>
      </c>
      <c r="D1438" s="6" t="str">
        <f>IFERROR(__xludf.DUMMYFUNCTION("""COMPUTED_VALUE"""),"P-10763-00")</f>
        <v>P-10763-00</v>
      </c>
      <c r="E1438" s="6" t="str">
        <f>IFERROR(__xludf.DUMMYFUNCTION("""COMPUTED_VALUE"""),"Ferrule 1"" SS 316L")</f>
        <v>Ferrule 1" SS 316L</v>
      </c>
      <c r="F1438" s="6">
        <f>IFERROR(__xludf.DUMMYFUNCTION("""COMPUTED_VALUE"""),9.0)</f>
        <v>9</v>
      </c>
      <c r="G1438" s="6" t="str">
        <f>IFERROR(__xludf.DUMMYFUNCTION("""COMPUTED_VALUE"""),"Pieces")</f>
        <v>Pieces</v>
      </c>
      <c r="H1438" s="6" t="str">
        <f>IFERROR(__xludf.DUMMYFUNCTION("""COMPUTED_VALUE"""),"IDR")</f>
        <v>IDR</v>
      </c>
      <c r="I1438" s="6">
        <f>IFERROR(__xludf.DUMMYFUNCTION("""COMPUTED_VALUE"""),345000.0)</f>
        <v>345000</v>
      </c>
      <c r="J1438" s="6">
        <f>IFERROR(__xludf.DUMMYFUNCTION("""COMPUTED_VALUE"""),3105000.0)</f>
        <v>3105000</v>
      </c>
      <c r="K1438" s="57">
        <f>IFERROR(__xludf.DUMMYFUNCTION("""COMPUTED_VALUE"""),44410.0)</f>
        <v>44410</v>
      </c>
      <c r="L1438" s="6" t="str">
        <f>IFERROR(__xludf.DUMMYFUNCTION("""COMPUTED_VALUE"""),"FIP Engineering")</f>
        <v>FIP Engineering</v>
      </c>
      <c r="M1438" s="6" t="str">
        <f>IFERROR(__xludf.DUMMYFUNCTION("""COMPUTED_VALUE"""),"Irwan Sopian")</f>
        <v>Irwan Sopian</v>
      </c>
      <c r="N1438" s="6" t="str">
        <f>IFERROR(__xludf.DUMMYFUNCTION("""COMPUTED_VALUE"""),"FIP Engineering")</f>
        <v>FIP Engineering</v>
      </c>
      <c r="O1438" s="6" t="str">
        <f>IFERROR(__xludf.DUMMYFUNCTION("""COMPUTED_VALUE"""),"FIP-DOM-000-11304-OS00001-INA-000000")</f>
        <v>FIP-DOM-000-11304-OS00001-INA-000000</v>
      </c>
      <c r="P1438" s="6" t="str">
        <f>IFERROR(__xludf.DUMMYFUNCTION("""COMPUTED_VALUE"""),"PO Closed")</f>
        <v>PO Closed</v>
      </c>
      <c r="Q1438" s="6" t="str">
        <f>IFERROR(__xludf.DUMMYFUNCTION("""COMPUTED_VALUE"""),"GL2108019")</f>
        <v>GL2108019</v>
      </c>
      <c r="R1438" s="57">
        <f>IFERROR(__xludf.DUMMYFUNCTION("""COMPUTED_VALUE"""),44321.0)</f>
        <v>44321</v>
      </c>
      <c r="S1438" s="6" t="str">
        <f>IFERROR(__xludf.DUMMYFUNCTION("""COMPUTED_VALUE"""),"-")</f>
        <v>-</v>
      </c>
      <c r="T1438" s="57">
        <f>IFERROR(__xludf.DUMMYFUNCTION("""COMPUTED_VALUE"""),44438.0)</f>
        <v>44438</v>
      </c>
    </row>
    <row r="1439">
      <c r="A1439" s="6" t="str">
        <f>IFERROR(__xludf.DUMMYFUNCTION("""COMPUTED_VALUE"""),"211750165-1")</f>
        <v>211750165-1</v>
      </c>
      <c r="B1439" s="6" t="str">
        <f>IFERROR(__xludf.DUMMYFUNCTION("""COMPUTED_VALUE"""),"211750165 - Approved")</f>
        <v>211750165 - Approved</v>
      </c>
      <c r="C1439" s="6">
        <f>IFERROR(__xludf.DUMMYFUNCTION("""COMPUTED_VALUE"""),1.0)</f>
        <v>1</v>
      </c>
      <c r="D1439" s="6" t="str">
        <f>IFERROR(__xludf.DUMMYFUNCTION("""COMPUTED_VALUE"""),"O-16030-00")</f>
        <v>O-16030-00</v>
      </c>
      <c r="E1439" s="6" t="str">
        <f>IFERROR(__xludf.DUMMYFUNCTION("""COMPUTED_VALUE"""),"1292 Item Type : Dry box 97800 Y 8.5 E4 5 Material : CSM Shape : 97 Size : 8.5 Thickness (mm")</f>
        <v>1292 Item Type : Dry box 97800 Y 8.5 E4 5 Material : CSM Shape : 97 Size : 8.5 Thickness (mm</v>
      </c>
      <c r="F1439" s="6">
        <f>IFERROR(__xludf.DUMMYFUNCTION("""COMPUTED_VALUE"""),10.0)</f>
        <v>10</v>
      </c>
      <c r="G1439" s="6" t="str">
        <f>IFERROR(__xludf.DUMMYFUNCTION("""COMPUTED_VALUE"""),"Unit")</f>
        <v>Unit</v>
      </c>
      <c r="H1439" s="6" t="str">
        <f>IFERROR(__xludf.DUMMYFUNCTION("""COMPUTED_VALUE"""),"EUR")</f>
        <v>EUR</v>
      </c>
      <c r="I1439" s="6">
        <f>IFERROR(__xludf.DUMMYFUNCTION("""COMPUTED_VALUE"""),123.63)</f>
        <v>123.63</v>
      </c>
      <c r="J1439" s="6">
        <f>IFERROR(__xludf.DUMMYFUNCTION("""COMPUTED_VALUE"""),1236.3)</f>
        <v>1236.3</v>
      </c>
      <c r="K1439" s="57">
        <f>IFERROR(__xludf.DUMMYFUNCTION("""COMPUTED_VALUE"""),44439.0)</f>
        <v>44439</v>
      </c>
      <c r="L1439" s="6" t="str">
        <f>IFERROR(__xludf.DUMMYFUNCTION("""COMPUTED_VALUE"""),"FIP Engineering")</f>
        <v>FIP Engineering</v>
      </c>
      <c r="M1439" s="6" t="str">
        <f>IFERROR(__xludf.DUMMYFUNCTION("""COMPUTED_VALUE"""),"Irwan Sopian")</f>
        <v>Irwan Sopian</v>
      </c>
      <c r="N1439" s="6" t="str">
        <f>IFERROR(__xludf.DUMMYFUNCTION("""COMPUTED_VALUE"""),"FIP Engineering")</f>
        <v>FIP Engineering</v>
      </c>
      <c r="O1439" s="6" t="str">
        <f>IFERROR(__xludf.DUMMYFUNCTION("""COMPUTED_VALUE"""),"FIP-DOM-000-11304-OS00001-INA-000000")</f>
        <v>FIP-DOM-000-11304-OS00001-INA-000000</v>
      </c>
      <c r="P1439" s="6" t="str">
        <f>IFERROR(__xludf.DUMMYFUNCTION("""COMPUTED_VALUE"""),"PO Closed")</f>
        <v>PO Closed</v>
      </c>
      <c r="Q1439" s="6" t="str">
        <f>IFERROR(__xludf.DUMMYFUNCTION("""COMPUTED_VALUE"""),"GL2108039")</f>
        <v>GL2108039</v>
      </c>
      <c r="R1439" s="57">
        <f>IFERROR(__xludf.DUMMYFUNCTION("""COMPUTED_VALUE"""),44326.0)</f>
        <v>44326</v>
      </c>
      <c r="S1439" s="6" t="str">
        <f>IFERROR(__xludf.DUMMYFUNCTION("""COMPUTED_VALUE"""),"-")</f>
        <v>-</v>
      </c>
      <c r="T1439" s="57">
        <f>IFERROR(__xludf.DUMMYFUNCTION("""COMPUTED_VALUE"""),44561.0)</f>
        <v>44561</v>
      </c>
    </row>
    <row r="1440">
      <c r="A1440" s="6" t="str">
        <f>IFERROR(__xludf.DUMMYFUNCTION("""COMPUTED_VALUE"""),"211750165-2")</f>
        <v>211750165-2</v>
      </c>
      <c r="B1440" s="6" t="str">
        <f>IFERROR(__xludf.DUMMYFUNCTION("""COMPUTED_VALUE"""),"211750165 - Approved")</f>
        <v>211750165 - Approved</v>
      </c>
      <c r="C1440" s="6">
        <f>IFERROR(__xludf.DUMMYFUNCTION("""COMPUTED_VALUE"""),2.0)</f>
        <v>2</v>
      </c>
      <c r="D1440" s="6" t="str">
        <f>IFERROR(__xludf.DUMMYFUNCTION("""COMPUTED_VALUE"""),"O-16033-00")</f>
        <v>O-16033-00</v>
      </c>
      <c r="E1440" s="6" t="str">
        <f>IFERROR(__xludf.DUMMYFUNCTION("""COMPUTED_VALUE"""),"Isolator Gloves E10330 Y 7 E4 4156 Material : CSM Shape : E10 Size : 7 Thickness (mm) : 4/1")</f>
        <v>Isolator Gloves E10330 Y 7 E4 4156 Material : CSM Shape : E10 Size : 7 Thickness (mm) : 4/1</v>
      </c>
      <c r="F1440" s="6">
        <f>IFERROR(__xludf.DUMMYFUNCTION("""COMPUTED_VALUE"""),60.0)</f>
        <v>60</v>
      </c>
      <c r="G1440" s="6" t="str">
        <f>IFERROR(__xludf.DUMMYFUNCTION("""COMPUTED_VALUE"""),"Unit")</f>
        <v>Unit</v>
      </c>
      <c r="H1440" s="6" t="str">
        <f>IFERROR(__xludf.DUMMYFUNCTION("""COMPUTED_VALUE"""),"EUR")</f>
        <v>EUR</v>
      </c>
      <c r="I1440" s="6">
        <f>IFERROR(__xludf.DUMMYFUNCTION("""COMPUTED_VALUE"""),39.19)</f>
        <v>39.19</v>
      </c>
      <c r="J1440" s="6">
        <f>IFERROR(__xludf.DUMMYFUNCTION("""COMPUTED_VALUE"""),2351.4)</f>
        <v>2351.4</v>
      </c>
      <c r="K1440" s="57">
        <f>IFERROR(__xludf.DUMMYFUNCTION("""COMPUTED_VALUE"""),44439.0)</f>
        <v>44439</v>
      </c>
      <c r="L1440" s="6" t="str">
        <f>IFERROR(__xludf.DUMMYFUNCTION("""COMPUTED_VALUE"""),"FIP Engineering")</f>
        <v>FIP Engineering</v>
      </c>
      <c r="M1440" s="6" t="str">
        <f>IFERROR(__xludf.DUMMYFUNCTION("""COMPUTED_VALUE"""),"Irwan Sopian")</f>
        <v>Irwan Sopian</v>
      </c>
      <c r="N1440" s="6" t="str">
        <f>IFERROR(__xludf.DUMMYFUNCTION("""COMPUTED_VALUE"""),"FIP Engineering")</f>
        <v>FIP Engineering</v>
      </c>
      <c r="O1440" s="6" t="str">
        <f>IFERROR(__xludf.DUMMYFUNCTION("""COMPUTED_VALUE"""),"FIP-DOM-000-11304-OS00001-INA-000000")</f>
        <v>FIP-DOM-000-11304-OS00001-INA-000000</v>
      </c>
      <c r="P1440" s="6" t="str">
        <f>IFERROR(__xludf.DUMMYFUNCTION("""COMPUTED_VALUE"""),"PO Closed")</f>
        <v>PO Closed</v>
      </c>
      <c r="Q1440" s="6" t="str">
        <f>IFERROR(__xludf.DUMMYFUNCTION("""COMPUTED_VALUE"""),"GL2108039")</f>
        <v>GL2108039</v>
      </c>
      <c r="R1440" s="57">
        <f>IFERROR(__xludf.DUMMYFUNCTION("""COMPUTED_VALUE"""),44326.0)</f>
        <v>44326</v>
      </c>
      <c r="S1440" s="6" t="str">
        <f>IFERROR(__xludf.DUMMYFUNCTION("""COMPUTED_VALUE"""),"-")</f>
        <v>-</v>
      </c>
      <c r="T1440" s="57">
        <f>IFERROR(__xludf.DUMMYFUNCTION("""COMPUTED_VALUE"""),44561.0)</f>
        <v>44561</v>
      </c>
    </row>
    <row r="1441">
      <c r="A1441" s="6" t="str">
        <f>IFERROR(__xludf.DUMMYFUNCTION("""COMPUTED_VALUE"""),"211750165-3")</f>
        <v>211750165-3</v>
      </c>
      <c r="B1441" s="6" t="str">
        <f>IFERROR(__xludf.DUMMYFUNCTION("""COMPUTED_VALUE"""),"211750165 - Approved")</f>
        <v>211750165 - Approved</v>
      </c>
      <c r="C1441" s="6">
        <f>IFERROR(__xludf.DUMMYFUNCTION("""COMPUTED_VALUE"""),3.0)</f>
        <v>3</v>
      </c>
      <c r="D1441" s="6" t="str">
        <f>IFERROR(__xludf.DUMMYFUNCTION("""COMPUTED_VALUE"""),"O-16032-00")</f>
        <v>O-16032-00</v>
      </c>
      <c r="E1441" s="6" t="str">
        <f>IFERROR(__xludf.DUMMYFUNCTION("""COMPUTED_VALUE"""),"Sleeves M200/90 Y 550 E4 Bt5/5 BJ1643Material : CSM Shape : 200/90 Thickness (mm) : 4/10 Leng")</f>
        <v>Sleeves M200/90 Y 550 E4 Bt5/5 BJ1643Material : CSM Shape : 200/90 Thickness (mm) : 4/10 Leng</v>
      </c>
      <c r="F1441" s="6">
        <f>IFERROR(__xludf.DUMMYFUNCTION("""COMPUTED_VALUE"""),40.0)</f>
        <v>40</v>
      </c>
      <c r="G1441" s="6" t="str">
        <f>IFERROR(__xludf.DUMMYFUNCTION("""COMPUTED_VALUE"""),"Unit")</f>
        <v>Unit</v>
      </c>
      <c r="H1441" s="6" t="str">
        <f>IFERROR(__xludf.DUMMYFUNCTION("""COMPUTED_VALUE"""),"EUR")</f>
        <v>EUR</v>
      </c>
      <c r="I1441" s="6">
        <f>IFERROR(__xludf.DUMMYFUNCTION("""COMPUTED_VALUE"""),96.71)</f>
        <v>96.71</v>
      </c>
      <c r="J1441" s="6">
        <f>IFERROR(__xludf.DUMMYFUNCTION("""COMPUTED_VALUE"""),3868.4)</f>
        <v>3868.4</v>
      </c>
      <c r="K1441" s="57">
        <f>IFERROR(__xludf.DUMMYFUNCTION("""COMPUTED_VALUE"""),44439.0)</f>
        <v>44439</v>
      </c>
      <c r="L1441" s="6" t="str">
        <f>IFERROR(__xludf.DUMMYFUNCTION("""COMPUTED_VALUE"""),"FIP Engineering")</f>
        <v>FIP Engineering</v>
      </c>
      <c r="M1441" s="6" t="str">
        <f>IFERROR(__xludf.DUMMYFUNCTION("""COMPUTED_VALUE"""),"Irwan Sopian")</f>
        <v>Irwan Sopian</v>
      </c>
      <c r="N1441" s="6" t="str">
        <f>IFERROR(__xludf.DUMMYFUNCTION("""COMPUTED_VALUE"""),"FIP Engineering")</f>
        <v>FIP Engineering</v>
      </c>
      <c r="O1441" s="6" t="str">
        <f>IFERROR(__xludf.DUMMYFUNCTION("""COMPUTED_VALUE"""),"FIP-DOM-000-11304-OS00001-INA-000000")</f>
        <v>FIP-DOM-000-11304-OS00001-INA-000000</v>
      </c>
      <c r="P1441" s="6" t="str">
        <f>IFERROR(__xludf.DUMMYFUNCTION("""COMPUTED_VALUE"""),"PO Closed")</f>
        <v>PO Closed</v>
      </c>
      <c r="Q1441" s="6" t="str">
        <f>IFERROR(__xludf.DUMMYFUNCTION("""COMPUTED_VALUE"""),"GL2108039")</f>
        <v>GL2108039</v>
      </c>
      <c r="R1441" s="57">
        <f>IFERROR(__xludf.DUMMYFUNCTION("""COMPUTED_VALUE"""),44326.0)</f>
        <v>44326</v>
      </c>
      <c r="S1441" s="6" t="str">
        <f>IFERROR(__xludf.DUMMYFUNCTION("""COMPUTED_VALUE"""),"-")</f>
        <v>-</v>
      </c>
      <c r="T1441" s="57">
        <f>IFERROR(__xludf.DUMMYFUNCTION("""COMPUTED_VALUE"""),44561.0)</f>
        <v>44561</v>
      </c>
    </row>
    <row r="1442">
      <c r="A1442" s="6" t="str">
        <f>IFERROR(__xludf.DUMMYFUNCTION("""COMPUTED_VALUE"""),"211750169-1")</f>
        <v>211750169-1</v>
      </c>
      <c r="B1442" s="6" t="str">
        <f>IFERROR(__xludf.DUMMYFUNCTION("""COMPUTED_VALUE"""),"211750169 - Approved")</f>
        <v>211750169 - Approved</v>
      </c>
      <c r="C1442" s="6">
        <f>IFERROR(__xludf.DUMMYFUNCTION("""COMPUTED_VALUE"""),1.0)</f>
        <v>1</v>
      </c>
      <c r="D1442" s="6" t="str">
        <f>IFERROR(__xludf.DUMMYFUNCTION("""COMPUTED_VALUE"""),"T-20041-00")</f>
        <v>T-20041-00</v>
      </c>
      <c r="E1442" s="6" t="str">
        <f>IFERROR(__xludf.DUMMYFUNCTION("""COMPUTED_VALUE"""),"Fitting SS WATERS c/n WAT025604 5pc per pack")</f>
        <v>Fitting SS WATERS c/n WAT025604 5pc per pack</v>
      </c>
      <c r="F1442" s="6">
        <f>IFERROR(__xludf.DUMMYFUNCTION("""COMPUTED_VALUE"""),1.0)</f>
        <v>1</v>
      </c>
      <c r="G1442" s="6" t="str">
        <f>IFERROR(__xludf.DUMMYFUNCTION("""COMPUTED_VALUE"""),"Pieces")</f>
        <v>Pieces</v>
      </c>
      <c r="H1442" s="6" t="str">
        <f>IFERROR(__xludf.DUMMYFUNCTION("""COMPUTED_VALUE"""),"USD")</f>
        <v>USD</v>
      </c>
      <c r="I1442" s="6">
        <f>IFERROR(__xludf.DUMMYFUNCTION("""COMPUTED_VALUE"""),116.75)</f>
        <v>116.75</v>
      </c>
      <c r="J1442" s="6">
        <f>IFERROR(__xludf.DUMMYFUNCTION("""COMPUTED_VALUE"""),116.75)</f>
        <v>116.75</v>
      </c>
      <c r="K1442" s="57">
        <f>IFERROR(__xludf.DUMMYFUNCTION("""COMPUTED_VALUE"""),44377.0)</f>
        <v>44377</v>
      </c>
      <c r="L1442" s="6" t="str">
        <f>IFERROR(__xludf.DUMMYFUNCTION("""COMPUTED_VALUE"""),"FIP General")</f>
        <v>FIP General</v>
      </c>
      <c r="M1442" s="6" t="str">
        <f>IFERROR(__xludf.DUMMYFUNCTION("""COMPUTED_VALUE"""),"Irwan Sopian")</f>
        <v>Irwan Sopian</v>
      </c>
      <c r="N1442" s="6" t="str">
        <f>IFERROR(__xludf.DUMMYFUNCTION("""COMPUTED_VALUE"""),"FIP Engineering")</f>
        <v>FIP Engineering</v>
      </c>
      <c r="O1442" s="6" t="str">
        <f>IFERROR(__xludf.DUMMYFUNCTION("""COMPUTED_VALUE"""),"FIP-DOM-ENG-51505-0000000-INA-000000")</f>
        <v>FIP-DOM-ENG-51505-0000000-INA-000000</v>
      </c>
      <c r="P1442" s="6" t="str">
        <f>IFERROR(__xludf.DUMMYFUNCTION("""COMPUTED_VALUE"""),"PO Closed")</f>
        <v>PO Closed</v>
      </c>
      <c r="Q1442" s="6" t="str">
        <f>IFERROR(__xludf.DUMMYFUNCTION("""COMPUTED_VALUE"""),"GL2106040")</f>
        <v>GL2106040</v>
      </c>
      <c r="R1442" s="57">
        <f>IFERROR(__xludf.DUMMYFUNCTION("""COMPUTED_VALUE"""),44327.0)</f>
        <v>44327</v>
      </c>
      <c r="S1442" s="6" t="str">
        <f>IFERROR(__xludf.DUMMYFUNCTION("""COMPUTED_VALUE"""),"-")</f>
        <v>-</v>
      </c>
      <c r="T1442" s="57">
        <f>IFERROR(__xludf.DUMMYFUNCTION("""COMPUTED_VALUE"""),44415.0)</f>
        <v>44415</v>
      </c>
    </row>
    <row r="1443">
      <c r="A1443" s="6" t="str">
        <f>IFERROR(__xludf.DUMMYFUNCTION("""COMPUTED_VALUE"""),"211750169-2")</f>
        <v>211750169-2</v>
      </c>
      <c r="B1443" s="6" t="str">
        <f>IFERROR(__xludf.DUMMYFUNCTION("""COMPUTED_VALUE"""),"211750169 - Approved")</f>
        <v>211750169 - Approved</v>
      </c>
      <c r="C1443" s="6">
        <f>IFERROR(__xludf.DUMMYFUNCTION("""COMPUTED_VALUE"""),2.0)</f>
        <v>2</v>
      </c>
      <c r="D1443" s="6" t="str">
        <f>IFERROR(__xludf.DUMMYFUNCTION("""COMPUTED_VALUE"""),"T-20044-00")</f>
        <v>T-20044-00</v>
      </c>
      <c r="E1443" s="6" t="str">
        <f>IFERROR(__xludf.DUMMYFUNCTION("""COMPUTED_VALUE"""),"PEEK Tough Connector GL Sciences c/n 6010-48600 5 pcs per pack")</f>
        <v>PEEK Tough Connector GL Sciences c/n 6010-48600 5 pcs per pack</v>
      </c>
      <c r="F1443" s="6">
        <f>IFERROR(__xludf.DUMMYFUNCTION("""COMPUTED_VALUE"""),3.0)</f>
        <v>3</v>
      </c>
      <c r="G1443" s="6" t="str">
        <f>IFERROR(__xludf.DUMMYFUNCTION("""COMPUTED_VALUE"""),"Pack")</f>
        <v>Pack</v>
      </c>
      <c r="H1443" s="6" t="str">
        <f>IFERROR(__xludf.DUMMYFUNCTION("""COMPUTED_VALUE"""),"USD")</f>
        <v>USD</v>
      </c>
      <c r="I1443" s="6">
        <f>IFERROR(__xludf.DUMMYFUNCTION("""COMPUTED_VALUE"""),135.0)</f>
        <v>135</v>
      </c>
      <c r="J1443" s="6">
        <f>IFERROR(__xludf.DUMMYFUNCTION("""COMPUTED_VALUE"""),405.0)</f>
        <v>405</v>
      </c>
      <c r="K1443" s="57">
        <f>IFERROR(__xludf.DUMMYFUNCTION("""COMPUTED_VALUE"""),44377.0)</f>
        <v>44377</v>
      </c>
      <c r="L1443" s="6" t="str">
        <f>IFERROR(__xludf.DUMMYFUNCTION("""COMPUTED_VALUE"""),"FIP General")</f>
        <v>FIP General</v>
      </c>
      <c r="M1443" s="6" t="str">
        <f>IFERROR(__xludf.DUMMYFUNCTION("""COMPUTED_VALUE"""),"Irwan Sopian")</f>
        <v>Irwan Sopian</v>
      </c>
      <c r="N1443" s="6" t="str">
        <f>IFERROR(__xludf.DUMMYFUNCTION("""COMPUTED_VALUE"""),"FIP Engineering")</f>
        <v>FIP Engineering</v>
      </c>
      <c r="O1443" s="6" t="str">
        <f>IFERROR(__xludf.DUMMYFUNCTION("""COMPUTED_VALUE"""),"FIP-DOM-ENG-51505-0000000-INA-000000")</f>
        <v>FIP-DOM-ENG-51505-0000000-INA-000000</v>
      </c>
      <c r="P1443" s="6" t="str">
        <f>IFERROR(__xludf.DUMMYFUNCTION("""COMPUTED_VALUE"""),"PO Closed")</f>
        <v>PO Closed</v>
      </c>
      <c r="Q1443" s="6" t="str">
        <f>IFERROR(__xludf.DUMMYFUNCTION("""COMPUTED_VALUE"""),"GL2106040")</f>
        <v>GL2106040</v>
      </c>
      <c r="R1443" s="57">
        <f>IFERROR(__xludf.DUMMYFUNCTION("""COMPUTED_VALUE"""),44327.0)</f>
        <v>44327</v>
      </c>
      <c r="S1443" s="6" t="str">
        <f>IFERROR(__xludf.DUMMYFUNCTION("""COMPUTED_VALUE"""),"-")</f>
        <v>-</v>
      </c>
      <c r="T1443" s="57">
        <f>IFERROR(__xludf.DUMMYFUNCTION("""COMPUTED_VALUE"""),44415.0)</f>
        <v>44415</v>
      </c>
    </row>
    <row r="1444">
      <c r="A1444" s="6" t="str">
        <f>IFERROR(__xludf.DUMMYFUNCTION("""COMPUTED_VALUE"""),"211750173-1")</f>
        <v>211750173-1</v>
      </c>
      <c r="B1444" s="6" t="str">
        <f>IFERROR(__xludf.DUMMYFUNCTION("""COMPUTED_VALUE"""),"211750173 - Approved")</f>
        <v>211750173 - Approved</v>
      </c>
      <c r="C1444" s="6">
        <f>IFERROR(__xludf.DUMMYFUNCTION("""COMPUTED_VALUE"""),1.0)</f>
        <v>1</v>
      </c>
      <c r="D1444" s="6" t="str">
        <f>IFERROR(__xludf.DUMMYFUNCTION("""COMPUTED_VALUE"""),"P-13581-00")</f>
        <v>P-13581-00</v>
      </c>
      <c r="E1444" s="6" t="str">
        <f>IFERROR(__xludf.DUMMYFUNCTION("""COMPUTED_VALUE"""),"Mata Bor HSS-R")</f>
        <v>Mata Bor HSS-R</v>
      </c>
      <c r="F1444" s="6">
        <f>IFERROR(__xludf.DUMMYFUNCTION("""COMPUTED_VALUE"""),1.0)</f>
        <v>1</v>
      </c>
      <c r="G1444" s="6" t="str">
        <f>IFERROR(__xludf.DUMMYFUNCTION("""COMPUTED_VALUE"""),"Pieces")</f>
        <v>Pieces</v>
      </c>
      <c r="H1444" s="6" t="str">
        <f>IFERROR(__xludf.DUMMYFUNCTION("""COMPUTED_VALUE"""),"IDR")</f>
        <v>IDR</v>
      </c>
      <c r="I1444" s="6">
        <f>IFERROR(__xludf.DUMMYFUNCTION("""COMPUTED_VALUE"""),370000.0)</f>
        <v>370000</v>
      </c>
      <c r="J1444" s="6">
        <f>IFERROR(__xludf.DUMMYFUNCTION("""COMPUTED_VALUE"""),370000.0)</f>
        <v>370000</v>
      </c>
      <c r="K1444" s="57">
        <f>IFERROR(__xludf.DUMMYFUNCTION("""COMPUTED_VALUE"""),44396.0)</f>
        <v>44396</v>
      </c>
      <c r="L1444" s="6" t="str">
        <f>IFERROR(__xludf.DUMMYFUNCTION("""COMPUTED_VALUE"""),"FIP General")</f>
        <v>FIP General</v>
      </c>
      <c r="M1444" s="6" t="str">
        <f>IFERROR(__xludf.DUMMYFUNCTION("""COMPUTED_VALUE"""),"Joko Nugroho")</f>
        <v>Joko Nugroho</v>
      </c>
      <c r="N1444" s="6" t="str">
        <f>IFERROR(__xludf.DUMMYFUNCTION("""COMPUTED_VALUE"""),"FIP Engineering")</f>
        <v>FIP Engineering</v>
      </c>
      <c r="O1444" s="6" t="str">
        <f>IFERROR(__xludf.DUMMYFUNCTION("""COMPUTED_VALUE"""),"FIP-DOM-ENG-51404-0000000-INA-000000")</f>
        <v>FIP-DOM-ENG-51404-0000000-INA-000000</v>
      </c>
      <c r="P1444" s="6" t="str">
        <f>IFERROR(__xludf.DUMMYFUNCTION("""COMPUTED_VALUE"""),"PO Closed")</f>
        <v>PO Closed</v>
      </c>
      <c r="Q1444" s="6" t="str">
        <f>IFERROR(__xludf.DUMMYFUNCTION("""COMPUTED_VALUE"""),"GL2107014")</f>
        <v>GL2107014</v>
      </c>
      <c r="R1444" s="57">
        <f>IFERROR(__xludf.DUMMYFUNCTION("""COMPUTED_VALUE"""),44333.0)</f>
        <v>44333</v>
      </c>
      <c r="S1444" s="6" t="str">
        <f>IFERROR(__xludf.DUMMYFUNCTION("""COMPUTED_VALUE"""),"-")</f>
        <v>-</v>
      </c>
      <c r="T1444" s="57">
        <f>IFERROR(__xludf.DUMMYFUNCTION("""COMPUTED_VALUE"""),44403.0)</f>
        <v>44403</v>
      </c>
    </row>
    <row r="1445">
      <c r="A1445" s="6" t="str">
        <f>IFERROR(__xludf.DUMMYFUNCTION("""COMPUTED_VALUE"""),"211750173-2")</f>
        <v>211750173-2</v>
      </c>
      <c r="B1445" s="6" t="str">
        <f>IFERROR(__xludf.DUMMYFUNCTION("""COMPUTED_VALUE"""),"211750173 - Approved")</f>
        <v>211750173 - Approved</v>
      </c>
      <c r="C1445" s="6">
        <f>IFERROR(__xludf.DUMMYFUNCTION("""COMPUTED_VALUE"""),2.0)</f>
        <v>2</v>
      </c>
      <c r="D1445" s="6" t="str">
        <f>IFERROR(__xludf.DUMMYFUNCTION("""COMPUTED_VALUE"""),"P-13365-00")</f>
        <v>P-13365-00</v>
      </c>
      <c r="E1445" s="6" t="str">
        <f>IFERROR(__xludf.DUMMYFUNCTION("""COMPUTED_VALUE"""),"Cutting Wheel 14"" nippon resibon; ; ;")</f>
        <v>Cutting Wheel 14" nippon resibon; ; ;</v>
      </c>
      <c r="F1445" s="6">
        <f>IFERROR(__xludf.DUMMYFUNCTION("""COMPUTED_VALUE"""),4.0)</f>
        <v>4</v>
      </c>
      <c r="G1445" s="6" t="str">
        <f>IFERROR(__xludf.DUMMYFUNCTION("""COMPUTED_VALUE"""),"Pieces")</f>
        <v>Pieces</v>
      </c>
      <c r="H1445" s="6" t="str">
        <f>IFERROR(__xludf.DUMMYFUNCTION("""COMPUTED_VALUE"""),"IDR")</f>
        <v>IDR</v>
      </c>
      <c r="I1445" s="6">
        <f>IFERROR(__xludf.DUMMYFUNCTION("""COMPUTED_VALUE"""),67500.0)</f>
        <v>67500</v>
      </c>
      <c r="J1445" s="6">
        <f>IFERROR(__xludf.DUMMYFUNCTION("""COMPUTED_VALUE"""),270000.0)</f>
        <v>270000</v>
      </c>
      <c r="K1445" s="57">
        <f>IFERROR(__xludf.DUMMYFUNCTION("""COMPUTED_VALUE"""),44396.0)</f>
        <v>44396</v>
      </c>
      <c r="L1445" s="6" t="str">
        <f>IFERROR(__xludf.DUMMYFUNCTION("""COMPUTED_VALUE"""),"FIP Engineering")</f>
        <v>FIP Engineering</v>
      </c>
      <c r="M1445" s="6" t="str">
        <f>IFERROR(__xludf.DUMMYFUNCTION("""COMPUTED_VALUE"""),"Joko Nugroho")</f>
        <v>Joko Nugroho</v>
      </c>
      <c r="N1445" s="6" t="str">
        <f>IFERROR(__xludf.DUMMYFUNCTION("""COMPUTED_VALUE"""),"FIP Engineering")</f>
        <v>FIP Engineering</v>
      </c>
      <c r="O1445" s="6" t="str">
        <f>IFERROR(__xludf.DUMMYFUNCTION("""COMPUTED_VALUE"""),"FIP-DOM-000-11304-OS00001-INA-000000")</f>
        <v>FIP-DOM-000-11304-OS00001-INA-000000</v>
      </c>
      <c r="P1445" s="6" t="str">
        <f>IFERROR(__xludf.DUMMYFUNCTION("""COMPUTED_VALUE"""),"PO Closed")</f>
        <v>PO Closed</v>
      </c>
      <c r="Q1445" s="6" t="str">
        <f>IFERROR(__xludf.DUMMYFUNCTION("""COMPUTED_VALUE"""),"GL2107014")</f>
        <v>GL2107014</v>
      </c>
      <c r="R1445" s="57">
        <f>IFERROR(__xludf.DUMMYFUNCTION("""COMPUTED_VALUE"""),44333.0)</f>
        <v>44333</v>
      </c>
      <c r="S1445" s="6" t="str">
        <f>IFERROR(__xludf.DUMMYFUNCTION("""COMPUTED_VALUE"""),"-")</f>
        <v>-</v>
      </c>
      <c r="T1445" s="57">
        <f>IFERROR(__xludf.DUMMYFUNCTION("""COMPUTED_VALUE"""),44403.0)</f>
        <v>44403</v>
      </c>
    </row>
    <row r="1446">
      <c r="A1446" s="6" t="str">
        <f>IFERROR(__xludf.DUMMYFUNCTION("""COMPUTED_VALUE"""),"211750173-3")</f>
        <v>211750173-3</v>
      </c>
      <c r="B1446" s="6" t="str">
        <f>IFERROR(__xludf.DUMMYFUNCTION("""COMPUTED_VALUE"""),"211750173 - Approved")</f>
        <v>211750173 - Approved</v>
      </c>
      <c r="C1446" s="6">
        <f>IFERROR(__xludf.DUMMYFUNCTION("""COMPUTED_VALUE"""),3.0)</f>
        <v>3</v>
      </c>
      <c r="D1446" s="6" t="str">
        <f>IFERROR(__xludf.DUMMYFUNCTION("""COMPUTED_VALUE"""),"P-11694-00")</f>
        <v>P-11694-00</v>
      </c>
      <c r="E1446" s="6" t="str">
        <f>IFERROR(__xludf.DUMMYFUNCTION("""COMPUTED_VALUE"""),"Mata Gerinda 4""")</f>
        <v>Mata Gerinda 4"</v>
      </c>
      <c r="F1446" s="6">
        <f>IFERROR(__xludf.DUMMYFUNCTION("""COMPUTED_VALUE"""),10.0)</f>
        <v>10</v>
      </c>
      <c r="G1446" s="6" t="str">
        <f>IFERROR(__xludf.DUMMYFUNCTION("""COMPUTED_VALUE"""),"Pieces")</f>
        <v>Pieces</v>
      </c>
      <c r="H1446" s="6" t="str">
        <f>IFERROR(__xludf.DUMMYFUNCTION("""COMPUTED_VALUE"""),"IDR")</f>
        <v>IDR</v>
      </c>
      <c r="I1446" s="6">
        <f>IFERROR(__xludf.DUMMYFUNCTION("""COMPUTED_VALUE"""),5000.0)</f>
        <v>5000</v>
      </c>
      <c r="J1446" s="6">
        <f>IFERROR(__xludf.DUMMYFUNCTION("""COMPUTED_VALUE"""),50000.0)</f>
        <v>50000</v>
      </c>
      <c r="K1446" s="57">
        <f>IFERROR(__xludf.DUMMYFUNCTION("""COMPUTED_VALUE"""),44396.0)</f>
        <v>44396</v>
      </c>
      <c r="L1446" s="6" t="str">
        <f>IFERROR(__xludf.DUMMYFUNCTION("""COMPUTED_VALUE"""),"FIP General")</f>
        <v>FIP General</v>
      </c>
      <c r="M1446" s="6" t="str">
        <f>IFERROR(__xludf.DUMMYFUNCTION("""COMPUTED_VALUE"""),"Joko Nugroho")</f>
        <v>Joko Nugroho</v>
      </c>
      <c r="N1446" s="6" t="str">
        <f>IFERROR(__xludf.DUMMYFUNCTION("""COMPUTED_VALUE"""),"FIP Engineering")</f>
        <v>FIP Engineering</v>
      </c>
      <c r="O1446" s="6" t="str">
        <f>IFERROR(__xludf.DUMMYFUNCTION("""COMPUTED_VALUE"""),"FIP-DOM-ENG-51404-0000000-INA-000000")</f>
        <v>FIP-DOM-ENG-51404-0000000-INA-000000</v>
      </c>
      <c r="P1446" s="6" t="str">
        <f>IFERROR(__xludf.DUMMYFUNCTION("""COMPUTED_VALUE"""),"PO Closed")</f>
        <v>PO Closed</v>
      </c>
      <c r="Q1446" s="6" t="str">
        <f>IFERROR(__xludf.DUMMYFUNCTION("""COMPUTED_VALUE"""),"GL2107014")</f>
        <v>GL2107014</v>
      </c>
      <c r="R1446" s="57">
        <f>IFERROR(__xludf.DUMMYFUNCTION("""COMPUTED_VALUE"""),44333.0)</f>
        <v>44333</v>
      </c>
      <c r="S1446" s="6" t="str">
        <f>IFERROR(__xludf.DUMMYFUNCTION("""COMPUTED_VALUE"""),"-")</f>
        <v>-</v>
      </c>
      <c r="T1446" s="57">
        <f>IFERROR(__xludf.DUMMYFUNCTION("""COMPUTED_VALUE"""),44403.0)</f>
        <v>44403</v>
      </c>
    </row>
    <row r="1447">
      <c r="A1447" s="6" t="str">
        <f>IFERROR(__xludf.DUMMYFUNCTION("""COMPUTED_VALUE"""),"211750172-1")</f>
        <v>211750172-1</v>
      </c>
      <c r="B1447" s="6" t="str">
        <f>IFERROR(__xludf.DUMMYFUNCTION("""COMPUTED_VALUE"""),"211750172 - Approved")</f>
        <v>211750172 - Approved</v>
      </c>
      <c r="C1447" s="6">
        <f>IFERROR(__xludf.DUMMYFUNCTION("""COMPUTED_VALUE"""),1.0)</f>
        <v>1</v>
      </c>
      <c r="D1447" s="6" t="str">
        <f>IFERROR(__xludf.DUMMYFUNCTION("""COMPUTED_VALUE"""),"P-13497-00")</f>
        <v>P-13497-00</v>
      </c>
      <c r="E1447" s="6" t="str">
        <f>IFERROR(__xludf.DUMMYFUNCTION("""COMPUTED_VALUE"""),"Engsel Piano SS")</f>
        <v>Engsel Piano SS</v>
      </c>
      <c r="F1447" s="6">
        <f>IFERROR(__xludf.DUMMYFUNCTION("""COMPUTED_VALUE"""),3.0)</f>
        <v>3</v>
      </c>
      <c r="G1447" s="6" t="str">
        <f>IFERROR(__xludf.DUMMYFUNCTION("""COMPUTED_VALUE"""),"Pieces")</f>
        <v>Pieces</v>
      </c>
      <c r="H1447" s="6" t="str">
        <f>IFERROR(__xludf.DUMMYFUNCTION("""COMPUTED_VALUE"""),"IDR")</f>
        <v>IDR</v>
      </c>
      <c r="I1447" s="6">
        <f>IFERROR(__xludf.DUMMYFUNCTION("""COMPUTED_VALUE"""),137500.0)</f>
        <v>137500</v>
      </c>
      <c r="J1447" s="6">
        <f>IFERROR(__xludf.DUMMYFUNCTION("""COMPUTED_VALUE"""),412500.0)</f>
        <v>412500</v>
      </c>
      <c r="K1447" s="57">
        <f>IFERROR(__xludf.DUMMYFUNCTION("""COMPUTED_VALUE"""),44389.0)</f>
        <v>44389</v>
      </c>
      <c r="L1447" s="6" t="str">
        <f>IFERROR(__xludf.DUMMYFUNCTION("""COMPUTED_VALUE"""),"FIP General")</f>
        <v>FIP General</v>
      </c>
      <c r="M1447" s="6" t="str">
        <f>IFERROR(__xludf.DUMMYFUNCTION("""COMPUTED_VALUE"""),"Joko Nugroho")</f>
        <v>Joko Nugroho</v>
      </c>
      <c r="N1447" s="6" t="str">
        <f>IFERROR(__xludf.DUMMYFUNCTION("""COMPUTED_VALUE"""),"FIP Engineering")</f>
        <v>FIP Engineering</v>
      </c>
      <c r="O1447" s="6" t="str">
        <f>IFERROR(__xludf.DUMMYFUNCTION("""COMPUTED_VALUE"""),"FIP-DOM-ENG-51404-0000000-INA-000000")</f>
        <v>FIP-DOM-ENG-51404-0000000-INA-000000</v>
      </c>
      <c r="P1447" s="6" t="str">
        <f>IFERROR(__xludf.DUMMYFUNCTION("""COMPUTED_VALUE"""),"PO Closed")</f>
        <v>PO Closed</v>
      </c>
      <c r="Q1447" s="6" t="str">
        <f>IFERROR(__xludf.DUMMYFUNCTION("""COMPUTED_VALUE"""),"GL2107014")</f>
        <v>GL2107014</v>
      </c>
      <c r="R1447" s="57">
        <f>IFERROR(__xludf.DUMMYFUNCTION("""COMPUTED_VALUE"""),44333.0)</f>
        <v>44333</v>
      </c>
      <c r="S1447" s="6" t="str">
        <f>IFERROR(__xludf.DUMMYFUNCTION("""COMPUTED_VALUE"""),"-")</f>
        <v>-</v>
      </c>
      <c r="T1447" s="57">
        <f>IFERROR(__xludf.DUMMYFUNCTION("""COMPUTED_VALUE"""),44403.0)</f>
        <v>44403</v>
      </c>
    </row>
    <row r="1448">
      <c r="A1448" s="6" t="str">
        <f>IFERROR(__xludf.DUMMYFUNCTION("""COMPUTED_VALUE"""),"211750172-2")</f>
        <v>211750172-2</v>
      </c>
      <c r="B1448" s="6" t="str">
        <f>IFERROR(__xludf.DUMMYFUNCTION("""COMPUTED_VALUE"""),"211750172 - Approved")</f>
        <v>211750172 - Approved</v>
      </c>
      <c r="C1448" s="6">
        <f>IFERROR(__xludf.DUMMYFUNCTION("""COMPUTED_VALUE"""),2.0)</f>
        <v>2</v>
      </c>
      <c r="D1448" s="6" t="str">
        <f>IFERROR(__xludf.DUMMYFUNCTION("""COMPUTED_VALUE"""),"P-17658-00")</f>
        <v>P-17658-00</v>
      </c>
      <c r="E1448" s="6" t="str">
        <f>IFERROR(__xludf.DUMMYFUNCTION("""COMPUTED_VALUE"""),"Magnet Door Cabinet")</f>
        <v>Magnet Door Cabinet</v>
      </c>
      <c r="F1448" s="6">
        <f>IFERROR(__xludf.DUMMYFUNCTION("""COMPUTED_VALUE"""),6.0)</f>
        <v>6</v>
      </c>
      <c r="G1448" s="6" t="str">
        <f>IFERROR(__xludf.DUMMYFUNCTION("""COMPUTED_VALUE"""),"Pieces")</f>
        <v>Pieces</v>
      </c>
      <c r="H1448" s="6" t="str">
        <f>IFERROR(__xludf.DUMMYFUNCTION("""COMPUTED_VALUE"""),"IDR")</f>
        <v>IDR</v>
      </c>
      <c r="I1448" s="6">
        <f>IFERROR(__xludf.DUMMYFUNCTION("""COMPUTED_VALUE"""),12500.0)</f>
        <v>12500</v>
      </c>
      <c r="J1448" s="6">
        <f>IFERROR(__xludf.DUMMYFUNCTION("""COMPUTED_VALUE"""),75000.0)</f>
        <v>75000</v>
      </c>
      <c r="K1448" s="57">
        <f>IFERROR(__xludf.DUMMYFUNCTION("""COMPUTED_VALUE"""),44389.0)</f>
        <v>44389</v>
      </c>
      <c r="L1448" s="6" t="str">
        <f>IFERROR(__xludf.DUMMYFUNCTION("""COMPUTED_VALUE"""),"FIP General")</f>
        <v>FIP General</v>
      </c>
      <c r="M1448" s="6" t="str">
        <f>IFERROR(__xludf.DUMMYFUNCTION("""COMPUTED_VALUE"""),"Joko Nugroho")</f>
        <v>Joko Nugroho</v>
      </c>
      <c r="N1448" s="6" t="str">
        <f>IFERROR(__xludf.DUMMYFUNCTION("""COMPUTED_VALUE"""),"FIP Engineering")</f>
        <v>FIP Engineering</v>
      </c>
      <c r="O1448" s="6" t="str">
        <f>IFERROR(__xludf.DUMMYFUNCTION("""COMPUTED_VALUE"""),"FIP-DOM-ENG-51404-0000000-INA-000000")</f>
        <v>FIP-DOM-ENG-51404-0000000-INA-000000</v>
      </c>
      <c r="P1448" s="6" t="str">
        <f>IFERROR(__xludf.DUMMYFUNCTION("""COMPUTED_VALUE"""),"PO Closed")</f>
        <v>PO Closed</v>
      </c>
      <c r="Q1448" s="6" t="str">
        <f>IFERROR(__xludf.DUMMYFUNCTION("""COMPUTED_VALUE"""),"GL2107014")</f>
        <v>GL2107014</v>
      </c>
      <c r="R1448" s="57">
        <f>IFERROR(__xludf.DUMMYFUNCTION("""COMPUTED_VALUE"""),44333.0)</f>
        <v>44333</v>
      </c>
      <c r="S1448" s="6" t="str">
        <f>IFERROR(__xludf.DUMMYFUNCTION("""COMPUTED_VALUE"""),"-")</f>
        <v>-</v>
      </c>
      <c r="T1448" s="57">
        <f>IFERROR(__xludf.DUMMYFUNCTION("""COMPUTED_VALUE"""),44403.0)</f>
        <v>44403</v>
      </c>
    </row>
    <row r="1449">
      <c r="A1449" s="6" t="str">
        <f>IFERROR(__xludf.DUMMYFUNCTION("""COMPUTED_VALUE"""),"211750172-3")</f>
        <v>211750172-3</v>
      </c>
      <c r="B1449" s="6" t="str">
        <f>IFERROR(__xludf.DUMMYFUNCTION("""COMPUTED_VALUE"""),"211750172 - Approved")</f>
        <v>211750172 - Approved</v>
      </c>
      <c r="C1449" s="6">
        <f>IFERROR(__xludf.DUMMYFUNCTION("""COMPUTED_VALUE"""),3.0)</f>
        <v>3</v>
      </c>
      <c r="D1449" s="6" t="str">
        <f>IFERROR(__xludf.DUMMYFUNCTION("""COMPUTED_VALUE"""),"P-17659-00")</f>
        <v>P-17659-00</v>
      </c>
      <c r="E1449" s="6" t="str">
        <f>IFERROR(__xludf.DUMMYFUNCTION("""COMPUTED_VALUE"""),"Tarikan Laci Bulat SS")</f>
        <v>Tarikan Laci Bulat SS</v>
      </c>
      <c r="F1449" s="6">
        <f>IFERROR(__xludf.DUMMYFUNCTION("""COMPUTED_VALUE"""),6.0)</f>
        <v>6</v>
      </c>
      <c r="G1449" s="6" t="str">
        <f>IFERROR(__xludf.DUMMYFUNCTION("""COMPUTED_VALUE"""),"Pieces")</f>
        <v>Pieces</v>
      </c>
      <c r="H1449" s="6" t="str">
        <f>IFERROR(__xludf.DUMMYFUNCTION("""COMPUTED_VALUE"""),"IDR")</f>
        <v>IDR</v>
      </c>
      <c r="I1449" s="6">
        <f>IFERROR(__xludf.DUMMYFUNCTION("""COMPUTED_VALUE"""),10000.0)</f>
        <v>10000</v>
      </c>
      <c r="J1449" s="6">
        <f>IFERROR(__xludf.DUMMYFUNCTION("""COMPUTED_VALUE"""),60000.0)</f>
        <v>60000</v>
      </c>
      <c r="K1449" s="57">
        <f>IFERROR(__xludf.DUMMYFUNCTION("""COMPUTED_VALUE"""),44389.0)</f>
        <v>44389</v>
      </c>
      <c r="L1449" s="6" t="str">
        <f>IFERROR(__xludf.DUMMYFUNCTION("""COMPUTED_VALUE"""),"FIP General")</f>
        <v>FIP General</v>
      </c>
      <c r="M1449" s="6" t="str">
        <f>IFERROR(__xludf.DUMMYFUNCTION("""COMPUTED_VALUE"""),"Joko Nugroho")</f>
        <v>Joko Nugroho</v>
      </c>
      <c r="N1449" s="6" t="str">
        <f>IFERROR(__xludf.DUMMYFUNCTION("""COMPUTED_VALUE"""),"FIP Engineering")</f>
        <v>FIP Engineering</v>
      </c>
      <c r="O1449" s="6" t="str">
        <f>IFERROR(__xludf.DUMMYFUNCTION("""COMPUTED_VALUE"""),"FIP-DOM-ENG-51404-0000000-INA-000000")</f>
        <v>FIP-DOM-ENG-51404-0000000-INA-000000</v>
      </c>
      <c r="P1449" s="6" t="str">
        <f>IFERROR(__xludf.DUMMYFUNCTION("""COMPUTED_VALUE"""),"PO Closed")</f>
        <v>PO Closed</v>
      </c>
      <c r="Q1449" s="6" t="str">
        <f>IFERROR(__xludf.DUMMYFUNCTION("""COMPUTED_VALUE"""),"GL2107014")</f>
        <v>GL2107014</v>
      </c>
      <c r="R1449" s="57">
        <f>IFERROR(__xludf.DUMMYFUNCTION("""COMPUTED_VALUE"""),44333.0)</f>
        <v>44333</v>
      </c>
      <c r="S1449" s="6" t="str">
        <f>IFERROR(__xludf.DUMMYFUNCTION("""COMPUTED_VALUE"""),"-")</f>
        <v>-</v>
      </c>
      <c r="T1449" s="57">
        <f>IFERROR(__xludf.DUMMYFUNCTION("""COMPUTED_VALUE"""),44403.0)</f>
        <v>44403</v>
      </c>
    </row>
    <row r="1450">
      <c r="A1450" s="6" t="str">
        <f>IFERROR(__xludf.DUMMYFUNCTION("""COMPUTED_VALUE"""),"211750171-1")</f>
        <v>211750171-1</v>
      </c>
      <c r="B1450" s="6" t="str">
        <f>IFERROR(__xludf.DUMMYFUNCTION("""COMPUTED_VALUE"""),"211750171 - Approved")</f>
        <v>211750171 - Approved</v>
      </c>
      <c r="C1450" s="6">
        <f>IFERROR(__xludf.DUMMYFUNCTION("""COMPUTED_VALUE"""),1.0)</f>
        <v>1</v>
      </c>
      <c r="D1450" s="6" t="str">
        <f>IFERROR(__xludf.DUMMYFUNCTION("""COMPUTED_VALUE"""),"P-13445-00")</f>
        <v>P-13445-00</v>
      </c>
      <c r="E1450" s="6" t="str">
        <f>IFERROR(__xludf.DUMMYFUNCTION("""COMPUTED_VALUE"""),"Plat Stainless Steel 304")</f>
        <v>Plat Stainless Steel 304</v>
      </c>
      <c r="F1450" s="6">
        <f>IFERROR(__xludf.DUMMYFUNCTION("""COMPUTED_VALUE"""),1.0)</f>
        <v>1</v>
      </c>
      <c r="G1450" s="6" t="str">
        <f>IFERROR(__xludf.DUMMYFUNCTION("""COMPUTED_VALUE"""),"Meter")</f>
        <v>Meter</v>
      </c>
      <c r="H1450" s="6" t="str">
        <f>IFERROR(__xludf.DUMMYFUNCTION("""COMPUTED_VALUE"""),"IDR")</f>
        <v>IDR</v>
      </c>
      <c r="I1450" s="6">
        <f>IFERROR(__xludf.DUMMYFUNCTION("""COMPUTED_VALUE"""),1950000.0)</f>
        <v>1950000</v>
      </c>
      <c r="J1450" s="6">
        <f>IFERROR(__xludf.DUMMYFUNCTION("""COMPUTED_VALUE"""),1950000.0)</f>
        <v>1950000</v>
      </c>
      <c r="K1450" s="57">
        <f>IFERROR(__xludf.DUMMYFUNCTION("""COMPUTED_VALUE"""),44396.0)</f>
        <v>44396</v>
      </c>
      <c r="L1450" s="6" t="str">
        <f>IFERROR(__xludf.DUMMYFUNCTION("""COMPUTED_VALUE"""),"FIP Engineering")</f>
        <v>FIP Engineering</v>
      </c>
      <c r="M1450" s="6" t="str">
        <f>IFERROR(__xludf.DUMMYFUNCTION("""COMPUTED_VALUE"""),"Joko Nugroho")</f>
        <v>Joko Nugroho</v>
      </c>
      <c r="N1450" s="6" t="str">
        <f>IFERROR(__xludf.DUMMYFUNCTION("""COMPUTED_VALUE"""),"FIP Engineering")</f>
        <v>FIP Engineering</v>
      </c>
      <c r="O1450" s="6" t="str">
        <f>IFERROR(__xludf.DUMMYFUNCTION("""COMPUTED_VALUE"""),"FIP-DOM-000-11304-OS00001-INA-000000")</f>
        <v>FIP-DOM-000-11304-OS00001-INA-000000</v>
      </c>
      <c r="P1450" s="6" t="str">
        <f>IFERROR(__xludf.DUMMYFUNCTION("""COMPUTED_VALUE"""),"PO Closed")</f>
        <v>PO Closed</v>
      </c>
      <c r="Q1450" s="6" t="str">
        <f>IFERROR(__xludf.DUMMYFUNCTION("""COMPUTED_VALUE"""),"GL2107014")</f>
        <v>GL2107014</v>
      </c>
      <c r="R1450" s="57">
        <f>IFERROR(__xludf.DUMMYFUNCTION("""COMPUTED_VALUE"""),44333.0)</f>
        <v>44333</v>
      </c>
      <c r="S1450" s="6" t="str">
        <f>IFERROR(__xludf.DUMMYFUNCTION("""COMPUTED_VALUE"""),"-")</f>
        <v>-</v>
      </c>
      <c r="T1450" s="57">
        <f>IFERROR(__xludf.DUMMYFUNCTION("""COMPUTED_VALUE"""),44418.0)</f>
        <v>44418</v>
      </c>
    </row>
    <row r="1451">
      <c r="A1451" s="6" t="str">
        <f>IFERROR(__xludf.DUMMYFUNCTION("""COMPUTED_VALUE"""),"211750171-2")</f>
        <v>211750171-2</v>
      </c>
      <c r="B1451" s="6" t="str">
        <f>IFERROR(__xludf.DUMMYFUNCTION("""COMPUTED_VALUE"""),"211750171 - Approved")</f>
        <v>211750171 - Approved</v>
      </c>
      <c r="C1451" s="6">
        <f>IFERROR(__xludf.DUMMYFUNCTION("""COMPUTED_VALUE"""),2.0)</f>
        <v>2</v>
      </c>
      <c r="D1451" s="6" t="str">
        <f>IFERROR(__xludf.DUMMYFUNCTION("""COMPUTED_VALUE"""),"P-17167-00")</f>
        <v>P-17167-00</v>
      </c>
      <c r="E1451" s="6" t="str">
        <f>IFERROR(__xludf.DUMMYFUNCTION("""COMPUTED_VALUE"""),"Hollow Stainless Steel 30x30x1.5 mm")</f>
        <v>Hollow Stainless Steel 30x30x1.5 mm</v>
      </c>
      <c r="F1451" s="6">
        <f>IFERROR(__xludf.DUMMYFUNCTION("""COMPUTED_VALUE"""),1.0)</f>
        <v>1</v>
      </c>
      <c r="G1451" s="6" t="str">
        <f>IFERROR(__xludf.DUMMYFUNCTION("""COMPUTED_VALUE"""),"Pieces")</f>
        <v>Pieces</v>
      </c>
      <c r="H1451" s="6" t="str">
        <f>IFERROR(__xludf.DUMMYFUNCTION("""COMPUTED_VALUE"""),"IDR")</f>
        <v>IDR</v>
      </c>
      <c r="I1451" s="6">
        <f>IFERROR(__xludf.DUMMYFUNCTION("""COMPUTED_VALUE"""),475000.0)</f>
        <v>475000</v>
      </c>
      <c r="J1451" s="6">
        <f>IFERROR(__xludf.DUMMYFUNCTION("""COMPUTED_VALUE"""),475000.0)</f>
        <v>475000</v>
      </c>
      <c r="K1451" s="57">
        <f>IFERROR(__xludf.DUMMYFUNCTION("""COMPUTED_VALUE"""),44396.0)</f>
        <v>44396</v>
      </c>
      <c r="L1451" s="6" t="str">
        <f>IFERROR(__xludf.DUMMYFUNCTION("""COMPUTED_VALUE"""),"FIP Engineering")</f>
        <v>FIP Engineering</v>
      </c>
      <c r="M1451" s="6" t="str">
        <f>IFERROR(__xludf.DUMMYFUNCTION("""COMPUTED_VALUE"""),"Joko Nugroho")</f>
        <v>Joko Nugroho</v>
      </c>
      <c r="N1451" s="6" t="str">
        <f>IFERROR(__xludf.DUMMYFUNCTION("""COMPUTED_VALUE"""),"FIP Engineering")</f>
        <v>FIP Engineering</v>
      </c>
      <c r="O1451" s="6" t="str">
        <f>IFERROR(__xludf.DUMMYFUNCTION("""COMPUTED_VALUE"""),"FIP-DOM-000-11304-OS00001-INA-000000")</f>
        <v>FIP-DOM-000-11304-OS00001-INA-000000</v>
      </c>
      <c r="P1451" s="6" t="str">
        <f>IFERROR(__xludf.DUMMYFUNCTION("""COMPUTED_VALUE"""),"PO Closed")</f>
        <v>PO Closed</v>
      </c>
      <c r="Q1451" s="6" t="str">
        <f>IFERROR(__xludf.DUMMYFUNCTION("""COMPUTED_VALUE"""),"GL2107014")</f>
        <v>GL2107014</v>
      </c>
      <c r="R1451" s="57">
        <f>IFERROR(__xludf.DUMMYFUNCTION("""COMPUTED_VALUE"""),44333.0)</f>
        <v>44333</v>
      </c>
      <c r="S1451" s="6" t="str">
        <f>IFERROR(__xludf.DUMMYFUNCTION("""COMPUTED_VALUE"""),"-")</f>
        <v>-</v>
      </c>
      <c r="T1451" s="57">
        <f>IFERROR(__xludf.DUMMYFUNCTION("""COMPUTED_VALUE"""),44418.0)</f>
        <v>44418</v>
      </c>
    </row>
    <row r="1452">
      <c r="A1452" s="6" t="str">
        <f>IFERROR(__xludf.DUMMYFUNCTION("""COMPUTED_VALUE"""),"211750179-1")</f>
        <v>211750179-1</v>
      </c>
      <c r="B1452" s="6" t="str">
        <f>IFERROR(__xludf.DUMMYFUNCTION("""COMPUTED_VALUE"""),"211750179 - Approved")</f>
        <v>211750179 - Approved</v>
      </c>
      <c r="C1452" s="6">
        <f>IFERROR(__xludf.DUMMYFUNCTION("""COMPUTED_VALUE"""),1.0)</f>
        <v>1</v>
      </c>
      <c r="D1452" s="6" t="str">
        <f>IFERROR(__xludf.DUMMYFUNCTION("""COMPUTED_VALUE"""),"P-51559-00")</f>
        <v>P-51559-00</v>
      </c>
      <c r="E1452" s="6" t="str">
        <f>IFERROR(__xludf.DUMMYFUNCTION("""COMPUTED_VALUE"""),"Lampu T5 14watt Putih Phillips")</f>
        <v>Lampu T5 14watt Putih Phillips</v>
      </c>
      <c r="F1452" s="6">
        <f>IFERROR(__xludf.DUMMYFUNCTION("""COMPUTED_VALUE"""),20.0)</f>
        <v>20</v>
      </c>
      <c r="G1452" s="6" t="str">
        <f>IFERROR(__xludf.DUMMYFUNCTION("""COMPUTED_VALUE"""),"Pack")</f>
        <v>Pack</v>
      </c>
      <c r="H1452" s="6" t="str">
        <f>IFERROR(__xludf.DUMMYFUNCTION("""COMPUTED_VALUE"""),"IDR")</f>
        <v>IDR</v>
      </c>
      <c r="I1452" s="6">
        <f>IFERROR(__xludf.DUMMYFUNCTION("""COMPUTED_VALUE"""),29700.0)</f>
        <v>29700</v>
      </c>
      <c r="J1452" s="6">
        <f>IFERROR(__xludf.DUMMYFUNCTION("""COMPUTED_VALUE"""),594000.0)</f>
        <v>594000</v>
      </c>
      <c r="K1452" s="57">
        <f>IFERROR(__xludf.DUMMYFUNCTION("""COMPUTED_VALUE"""),44358.0)</f>
        <v>44358</v>
      </c>
      <c r="L1452" s="6" t="str">
        <f>IFERROR(__xludf.DUMMYFUNCTION("""COMPUTED_VALUE"""),"FIP Engineering")</f>
        <v>FIP Engineering</v>
      </c>
      <c r="M1452" s="6" t="str">
        <f>IFERROR(__xludf.DUMMYFUNCTION("""COMPUTED_VALUE"""),"Irwan Sopian")</f>
        <v>Irwan Sopian</v>
      </c>
      <c r="N1452" s="6" t="str">
        <f>IFERROR(__xludf.DUMMYFUNCTION("""COMPUTED_VALUE"""),"FIP Engineering")</f>
        <v>FIP Engineering</v>
      </c>
      <c r="O1452" s="6" t="str">
        <f>IFERROR(__xludf.DUMMYFUNCTION("""COMPUTED_VALUE"""),"FIP-DOM-000-11304-OS00001-INA-000000")</f>
        <v>FIP-DOM-000-11304-OS00001-INA-000000</v>
      </c>
      <c r="P1452" s="6" t="str">
        <f>IFERROR(__xludf.DUMMYFUNCTION("""COMPUTED_VALUE"""),"PO Closed")</f>
        <v>PO Closed</v>
      </c>
      <c r="Q1452" s="6" t="str">
        <f>IFERROR(__xludf.DUMMYFUNCTION("""COMPUTED_VALUE"""),"GL2106006")</f>
        <v>GL2106006</v>
      </c>
      <c r="R1452" s="57">
        <f>IFERROR(__xludf.DUMMYFUNCTION("""COMPUTED_VALUE"""),44336.0)</f>
        <v>44336</v>
      </c>
      <c r="S1452" s="6" t="str">
        <f>IFERROR(__xludf.DUMMYFUNCTION("""COMPUTED_VALUE"""),"-")</f>
        <v>-</v>
      </c>
      <c r="T1452" s="57">
        <f>IFERROR(__xludf.DUMMYFUNCTION("""COMPUTED_VALUE"""),44363.0)</f>
        <v>44363</v>
      </c>
    </row>
    <row r="1453">
      <c r="A1453" s="6" t="str">
        <f>IFERROR(__xludf.DUMMYFUNCTION("""COMPUTED_VALUE"""),"211750179-2")</f>
        <v>211750179-2</v>
      </c>
      <c r="B1453" s="6" t="str">
        <f>IFERROR(__xludf.DUMMYFUNCTION("""COMPUTED_VALUE"""),"211750179 - Approved")</f>
        <v>211750179 - Approved</v>
      </c>
      <c r="C1453" s="6">
        <f>IFERROR(__xludf.DUMMYFUNCTION("""COMPUTED_VALUE"""),2.0)</f>
        <v>2</v>
      </c>
      <c r="D1453" s="6" t="str">
        <f>IFERROR(__xludf.DUMMYFUNCTION("""COMPUTED_VALUE"""),"P-51560-00")</f>
        <v>P-51560-00</v>
      </c>
      <c r="E1453" s="6" t="str">
        <f>IFERROR(__xludf.DUMMYFUNCTION("""COMPUTED_VALUE"""),"Lampu T5 28watt Putih Phillips")</f>
        <v>Lampu T5 28watt Putih Phillips</v>
      </c>
      <c r="F1453" s="6">
        <f>IFERROR(__xludf.DUMMYFUNCTION("""COMPUTED_VALUE"""),40.0)</f>
        <v>40</v>
      </c>
      <c r="G1453" s="6" t="str">
        <f>IFERROR(__xludf.DUMMYFUNCTION("""COMPUTED_VALUE"""),"Pieces")</f>
        <v>Pieces</v>
      </c>
      <c r="H1453" s="6" t="str">
        <f>IFERROR(__xludf.DUMMYFUNCTION("""COMPUTED_VALUE"""),"IDR")</f>
        <v>IDR</v>
      </c>
      <c r="I1453" s="6">
        <f>IFERROR(__xludf.DUMMYFUNCTION("""COMPUTED_VALUE"""),36000.0)</f>
        <v>36000</v>
      </c>
      <c r="J1453" s="6">
        <f>IFERROR(__xludf.DUMMYFUNCTION("""COMPUTED_VALUE"""),1440000.0)</f>
        <v>1440000</v>
      </c>
      <c r="K1453" s="57">
        <f>IFERROR(__xludf.DUMMYFUNCTION("""COMPUTED_VALUE"""),44358.0)</f>
        <v>44358</v>
      </c>
      <c r="L1453" s="6" t="str">
        <f>IFERROR(__xludf.DUMMYFUNCTION("""COMPUTED_VALUE"""),"FIP Engineering")</f>
        <v>FIP Engineering</v>
      </c>
      <c r="M1453" s="6" t="str">
        <f>IFERROR(__xludf.DUMMYFUNCTION("""COMPUTED_VALUE"""),"Irwan Sopian")</f>
        <v>Irwan Sopian</v>
      </c>
      <c r="N1453" s="6" t="str">
        <f>IFERROR(__xludf.DUMMYFUNCTION("""COMPUTED_VALUE"""),"FIP Engineering")</f>
        <v>FIP Engineering</v>
      </c>
      <c r="O1453" s="6" t="str">
        <f>IFERROR(__xludf.DUMMYFUNCTION("""COMPUTED_VALUE"""),"FIP-DOM-000-11304-OS00001-INA-000000")</f>
        <v>FIP-DOM-000-11304-OS00001-INA-000000</v>
      </c>
      <c r="P1453" s="6" t="str">
        <f>IFERROR(__xludf.DUMMYFUNCTION("""COMPUTED_VALUE"""),"PO Closed")</f>
        <v>PO Closed</v>
      </c>
      <c r="Q1453" s="6" t="str">
        <f>IFERROR(__xludf.DUMMYFUNCTION("""COMPUTED_VALUE"""),"GL2106006")</f>
        <v>GL2106006</v>
      </c>
      <c r="R1453" s="57">
        <f>IFERROR(__xludf.DUMMYFUNCTION("""COMPUTED_VALUE"""),44336.0)</f>
        <v>44336</v>
      </c>
      <c r="S1453" s="6" t="str">
        <f>IFERROR(__xludf.DUMMYFUNCTION("""COMPUTED_VALUE"""),"-")</f>
        <v>-</v>
      </c>
      <c r="T1453" s="57">
        <f>IFERROR(__xludf.DUMMYFUNCTION("""COMPUTED_VALUE"""),44363.0)</f>
        <v>44363</v>
      </c>
    </row>
    <row r="1454">
      <c r="A1454" s="6" t="str">
        <f>IFERROR(__xludf.DUMMYFUNCTION("""COMPUTED_VALUE"""),"211750178-1")</f>
        <v>211750178-1</v>
      </c>
      <c r="B1454" s="6" t="str">
        <f>IFERROR(__xludf.DUMMYFUNCTION("""COMPUTED_VALUE"""),"211750178 - Approved")</f>
        <v>211750178 - Approved</v>
      </c>
      <c r="C1454" s="6">
        <f>IFERROR(__xludf.DUMMYFUNCTION("""COMPUTED_VALUE"""),1.0)</f>
        <v>1</v>
      </c>
      <c r="D1454" s="6" t="str">
        <f>IFERROR(__xludf.DUMMYFUNCTION("""COMPUTED_VALUE"""),"P-12994-00")</f>
        <v>P-12994-00</v>
      </c>
      <c r="E1454" s="6" t="str">
        <f>IFERROR(__xludf.DUMMYFUNCTION("""COMPUTED_VALUE"""),"Nippon Tape - ASF-110FR")</f>
        <v>Nippon Tape - ASF-110FR</v>
      </c>
      <c r="F1454" s="6">
        <f>IFERROR(__xludf.DUMMYFUNCTION("""COMPUTED_VALUE"""),2.0)</f>
        <v>2</v>
      </c>
      <c r="G1454" s="6" t="str">
        <f>IFERROR(__xludf.DUMMYFUNCTION("""COMPUTED_VALUE"""),"Pieces")</f>
        <v>Pieces</v>
      </c>
      <c r="H1454" s="6" t="str">
        <f>IFERROR(__xludf.DUMMYFUNCTION("""COMPUTED_VALUE"""),"IDR")</f>
        <v>IDR</v>
      </c>
      <c r="I1454" s="6">
        <f>IFERROR(__xludf.DUMMYFUNCTION("""COMPUTED_VALUE"""),925000.0)</f>
        <v>925000</v>
      </c>
      <c r="J1454" s="6">
        <f>IFERROR(__xludf.DUMMYFUNCTION("""COMPUTED_VALUE"""),1850000.0)</f>
        <v>1850000</v>
      </c>
      <c r="K1454" s="57">
        <f>IFERROR(__xludf.DUMMYFUNCTION("""COMPUTED_VALUE"""),44365.0)</f>
        <v>44365</v>
      </c>
      <c r="L1454" s="6" t="str">
        <f>IFERROR(__xludf.DUMMYFUNCTION("""COMPUTED_VALUE"""),"FIP Engineering")</f>
        <v>FIP Engineering</v>
      </c>
      <c r="M1454" s="6" t="str">
        <f>IFERROR(__xludf.DUMMYFUNCTION("""COMPUTED_VALUE"""),"Irwan Sopian")</f>
        <v>Irwan Sopian</v>
      </c>
      <c r="N1454" s="6" t="str">
        <f>IFERROR(__xludf.DUMMYFUNCTION("""COMPUTED_VALUE"""),"FIP Engineering")</f>
        <v>FIP Engineering</v>
      </c>
      <c r="O1454" s="6" t="str">
        <f>IFERROR(__xludf.DUMMYFUNCTION("""COMPUTED_VALUE"""),"FIP-DOM-000-11304-OS00001-INA-000000")</f>
        <v>FIP-DOM-000-11304-OS00001-INA-000000</v>
      </c>
      <c r="P1454" s="6" t="str">
        <f>IFERROR(__xludf.DUMMYFUNCTION("""COMPUTED_VALUE"""),"PO Closed")</f>
        <v>PO Closed</v>
      </c>
      <c r="Q1454" s="6" t="str">
        <f>IFERROR(__xludf.DUMMYFUNCTION("""COMPUTED_VALUE"""),"GL2106006")</f>
        <v>GL2106006</v>
      </c>
      <c r="R1454" s="57">
        <f>IFERROR(__xludf.DUMMYFUNCTION("""COMPUTED_VALUE"""),44336.0)</f>
        <v>44336</v>
      </c>
      <c r="S1454" s="6" t="str">
        <f>IFERROR(__xludf.DUMMYFUNCTION("""COMPUTED_VALUE"""),"-")</f>
        <v>-</v>
      </c>
      <c r="T1454" s="57">
        <f>IFERROR(__xludf.DUMMYFUNCTION("""COMPUTED_VALUE"""),44363.0)</f>
        <v>44363</v>
      </c>
    </row>
    <row r="1455">
      <c r="A1455" s="6" t="str">
        <f>IFERROR(__xludf.DUMMYFUNCTION("""COMPUTED_VALUE"""),"211750177-1")</f>
        <v>211750177-1</v>
      </c>
      <c r="B1455" s="6" t="str">
        <f>IFERROR(__xludf.DUMMYFUNCTION("""COMPUTED_VALUE"""),"211750177 - Approved")</f>
        <v>211750177 - Approved</v>
      </c>
      <c r="C1455" s="6">
        <f>IFERROR(__xludf.DUMMYFUNCTION("""COMPUTED_VALUE"""),1.0)</f>
        <v>1</v>
      </c>
      <c r="D1455" s="6" t="str">
        <f>IFERROR(__xludf.DUMMYFUNCTION("""COMPUTED_VALUE"""),"O-52467-00")</f>
        <v>O-52467-00</v>
      </c>
      <c r="E1455" s="6" t="str">
        <f>IFERROR(__xludf.DUMMYFUNCTION("""COMPUTED_VALUE"""),"PMS Airnet - P/N. 1000013870 FRU,R,ANII,PROCESSOR PCB; ; ;")</f>
        <v>PMS Airnet - P/N. 1000013870 FRU,R,ANII,PROCESSOR PCB; ; ;</v>
      </c>
      <c r="F1455" s="6">
        <f>IFERROR(__xludf.DUMMYFUNCTION("""COMPUTED_VALUE"""),1.0)</f>
        <v>1</v>
      </c>
      <c r="G1455" s="6" t="str">
        <f>IFERROR(__xludf.DUMMYFUNCTION("""COMPUTED_VALUE"""),"Unit")</f>
        <v>Unit</v>
      </c>
      <c r="H1455" s="6" t="str">
        <f>IFERROR(__xludf.DUMMYFUNCTION("""COMPUTED_VALUE"""),"IDR")</f>
        <v>IDR</v>
      </c>
      <c r="I1455" s="6">
        <f>IFERROR(__xludf.DUMMYFUNCTION("""COMPUTED_VALUE"""),2.0E7)</f>
        <v>20000000</v>
      </c>
      <c r="J1455" s="6">
        <f>IFERROR(__xludf.DUMMYFUNCTION("""COMPUTED_VALUE"""),2.0E7)</f>
        <v>20000000</v>
      </c>
      <c r="K1455" s="57">
        <f>IFERROR(__xludf.DUMMYFUNCTION("""COMPUTED_VALUE"""),44368.0)</f>
        <v>44368</v>
      </c>
      <c r="L1455" s="6" t="str">
        <f>IFERROR(__xludf.DUMMYFUNCTION("""COMPUTED_VALUE"""),"FIP Engineering")</f>
        <v>FIP Engineering</v>
      </c>
      <c r="M1455" s="6" t="str">
        <f>IFERROR(__xludf.DUMMYFUNCTION("""COMPUTED_VALUE"""),"Irwan Sopian")</f>
        <v>Irwan Sopian</v>
      </c>
      <c r="N1455" s="6" t="str">
        <f>IFERROR(__xludf.DUMMYFUNCTION("""COMPUTED_VALUE"""),"FIP Engineering")</f>
        <v>FIP Engineering</v>
      </c>
      <c r="O1455" s="6" t="str">
        <f>IFERROR(__xludf.DUMMYFUNCTION("""COMPUTED_VALUE"""),"FIP-DOM-000-11304-OS00001-INA-000000")</f>
        <v>FIP-DOM-000-11304-OS00001-INA-000000</v>
      </c>
      <c r="P1455" s="6" t="str">
        <f>IFERROR(__xludf.DUMMYFUNCTION("""COMPUTED_VALUE"""),"PO Closed")</f>
        <v>PO Closed</v>
      </c>
      <c r="Q1455" s="6" t="str">
        <f>IFERROR(__xludf.DUMMYFUNCTION("""COMPUTED_VALUE"""),"GL2106036")</f>
        <v>GL2106036</v>
      </c>
      <c r="R1455" s="57">
        <f>IFERROR(__xludf.DUMMYFUNCTION("""COMPUTED_VALUE"""),44336.0)</f>
        <v>44336</v>
      </c>
      <c r="S1455" s="6" t="str">
        <f>IFERROR(__xludf.DUMMYFUNCTION("""COMPUTED_VALUE"""),"-")</f>
        <v>-</v>
      </c>
      <c r="T1455" s="57">
        <f>IFERROR(__xludf.DUMMYFUNCTION("""COMPUTED_VALUE"""),44460.0)</f>
        <v>44460</v>
      </c>
    </row>
    <row r="1456">
      <c r="A1456" s="6" t="str">
        <f>IFERROR(__xludf.DUMMYFUNCTION("""COMPUTED_VALUE"""),"211750177-2")</f>
        <v>211750177-2</v>
      </c>
      <c r="B1456" s="6" t="str">
        <f>IFERROR(__xludf.DUMMYFUNCTION("""COMPUTED_VALUE"""),"211750177 - Approved")</f>
        <v>211750177 - Approved</v>
      </c>
      <c r="C1456" s="6">
        <f>IFERROR(__xludf.DUMMYFUNCTION("""COMPUTED_VALUE"""),2.0)</f>
        <v>2</v>
      </c>
      <c r="D1456" s="6" t="str">
        <f>IFERROR(__xludf.DUMMYFUNCTION("""COMPUTED_VALUE"""),"O-60001-00")</f>
        <v>O-60001-00</v>
      </c>
      <c r="E1456" s="6" t="str">
        <f>IFERROR(__xludf.DUMMYFUNCTION("""COMPUTED_VALUE"""),"Service Charge PMS capping AirNet II 510")</f>
        <v>Service Charge PMS capping AirNet II 510</v>
      </c>
      <c r="F1456" s="6">
        <f>IFERROR(__xludf.DUMMYFUNCTION("""COMPUTED_VALUE"""),1.0)</f>
        <v>1</v>
      </c>
      <c r="G1456" s="6" t="str">
        <f>IFERROR(__xludf.DUMMYFUNCTION("""COMPUTED_VALUE"""),"Lot")</f>
        <v>Lot</v>
      </c>
      <c r="H1456" s="6" t="str">
        <f>IFERROR(__xludf.DUMMYFUNCTION("""COMPUTED_VALUE"""),"IDR")</f>
        <v>IDR</v>
      </c>
      <c r="I1456" s="6">
        <f>IFERROR(__xludf.DUMMYFUNCTION("""COMPUTED_VALUE"""),1500000.0)</f>
        <v>1500000</v>
      </c>
      <c r="J1456" s="6">
        <f>IFERROR(__xludf.DUMMYFUNCTION("""COMPUTED_VALUE"""),1500000.0)</f>
        <v>1500000</v>
      </c>
      <c r="K1456" s="57">
        <f>IFERROR(__xludf.DUMMYFUNCTION("""COMPUTED_VALUE"""),44368.0)</f>
        <v>44368</v>
      </c>
      <c r="L1456" s="6" t="str">
        <f>IFERROR(__xludf.DUMMYFUNCTION("""COMPUTED_VALUE"""),"FIP General")</f>
        <v>FIP General</v>
      </c>
      <c r="M1456" s="6" t="str">
        <f>IFERROR(__xludf.DUMMYFUNCTION("""COMPUTED_VALUE"""),"Irwan Sopian")</f>
        <v>Irwan Sopian</v>
      </c>
      <c r="N1456" s="6" t="str">
        <f>IFERROR(__xludf.DUMMYFUNCTION("""COMPUTED_VALUE"""),"FIP Engineering")</f>
        <v>FIP Engineering</v>
      </c>
      <c r="O1456" s="6" t="str">
        <f>IFERROR(__xludf.DUMMYFUNCTION("""COMPUTED_VALUE"""),"FIP-DOM-ENG-51504-0000000-INA-000000")</f>
        <v>FIP-DOM-ENG-51504-0000000-INA-000000</v>
      </c>
      <c r="P1456" s="6" t="str">
        <f>IFERROR(__xludf.DUMMYFUNCTION("""COMPUTED_VALUE"""),"PO Closed")</f>
        <v>PO Closed</v>
      </c>
      <c r="Q1456" s="6" t="str">
        <f>IFERROR(__xludf.DUMMYFUNCTION("""COMPUTED_VALUE"""),"GL2106036")</f>
        <v>GL2106036</v>
      </c>
      <c r="R1456" s="57">
        <f>IFERROR(__xludf.DUMMYFUNCTION("""COMPUTED_VALUE"""),44336.0)</f>
        <v>44336</v>
      </c>
      <c r="S1456" s="6" t="str">
        <f>IFERROR(__xludf.DUMMYFUNCTION("""COMPUTED_VALUE"""),"-")</f>
        <v>-</v>
      </c>
      <c r="T1456" s="57">
        <f>IFERROR(__xludf.DUMMYFUNCTION("""COMPUTED_VALUE"""),44444.0)</f>
        <v>44444</v>
      </c>
    </row>
    <row r="1457">
      <c r="A1457" s="6" t="str">
        <f>IFERROR(__xludf.DUMMYFUNCTION("""COMPUTED_VALUE"""),"211750180-1")</f>
        <v>211750180-1</v>
      </c>
      <c r="B1457" s="6" t="str">
        <f>IFERROR(__xludf.DUMMYFUNCTION("""COMPUTED_VALUE"""),"211750180 - Approved")</f>
        <v>211750180 - Approved</v>
      </c>
      <c r="C1457" s="6">
        <f>IFERROR(__xludf.DUMMYFUNCTION("""COMPUTED_VALUE"""),1.0)</f>
        <v>1</v>
      </c>
      <c r="D1457" s="6" t="str">
        <f>IFERROR(__xludf.DUMMYFUNCTION("""COMPUTED_VALUE"""),"O-15492-00")</f>
        <v>O-15492-00</v>
      </c>
      <c r="E1457" s="6" t="str">
        <f>IFERROR(__xludf.DUMMYFUNCTION("""COMPUTED_VALUE"""),"SPA 1132 Brand : Optibelt / Bando Merah - P/N : - pc")</f>
        <v>SPA 1132 Brand : Optibelt / Bando Merah - P/N : - pc</v>
      </c>
      <c r="F1457" s="6">
        <f>IFERROR(__xludf.DUMMYFUNCTION("""COMPUTED_VALUE"""),4.0)</f>
        <v>4</v>
      </c>
      <c r="G1457" s="6" t="str">
        <f>IFERROR(__xludf.DUMMYFUNCTION("""COMPUTED_VALUE"""),"Pieces")</f>
        <v>Pieces</v>
      </c>
      <c r="H1457" s="6" t="str">
        <f>IFERROR(__xludf.DUMMYFUNCTION("""COMPUTED_VALUE"""),"IDR")</f>
        <v>IDR</v>
      </c>
      <c r="I1457" s="6">
        <f>IFERROR(__xludf.DUMMYFUNCTION("""COMPUTED_VALUE"""),50000.0)</f>
        <v>50000</v>
      </c>
      <c r="J1457" s="6">
        <f>IFERROR(__xludf.DUMMYFUNCTION("""COMPUTED_VALUE"""),200000.0)</f>
        <v>200000</v>
      </c>
      <c r="K1457" s="57">
        <f>IFERROR(__xludf.DUMMYFUNCTION("""COMPUTED_VALUE"""),44376.0)</f>
        <v>44376</v>
      </c>
      <c r="L1457" s="6" t="str">
        <f>IFERROR(__xludf.DUMMYFUNCTION("""COMPUTED_VALUE"""),"FIP Engineering")</f>
        <v>FIP Engineering</v>
      </c>
      <c r="M1457" s="6" t="str">
        <f>IFERROR(__xludf.DUMMYFUNCTION("""COMPUTED_VALUE"""),"Irwan Sopian")</f>
        <v>Irwan Sopian</v>
      </c>
      <c r="N1457" s="6" t="str">
        <f>IFERROR(__xludf.DUMMYFUNCTION("""COMPUTED_VALUE"""),"FIP Engineering")</f>
        <v>FIP Engineering</v>
      </c>
      <c r="O1457" s="6" t="str">
        <f>IFERROR(__xludf.DUMMYFUNCTION("""COMPUTED_VALUE"""),"FIP-DOM-000-11304-OS00001-INA-000000")</f>
        <v>FIP-DOM-000-11304-OS00001-INA-000000</v>
      </c>
      <c r="P1457" s="6" t="str">
        <f>IFERROR(__xludf.DUMMYFUNCTION("""COMPUTED_VALUE"""),"PO Closed")</f>
        <v>PO Closed</v>
      </c>
      <c r="Q1457" s="6" t="str">
        <f>IFERROR(__xludf.DUMMYFUNCTION("""COMPUTED_VALUE"""),"GL2106038")</f>
        <v>GL2106038</v>
      </c>
      <c r="R1457" s="57">
        <f>IFERROR(__xludf.DUMMYFUNCTION("""COMPUTED_VALUE"""),44338.0)</f>
        <v>44338</v>
      </c>
      <c r="S1457" s="6" t="str">
        <f>IFERROR(__xludf.DUMMYFUNCTION("""COMPUTED_VALUE"""),"-")</f>
        <v>-</v>
      </c>
      <c r="T1457" s="57">
        <f>IFERROR(__xludf.DUMMYFUNCTION("""COMPUTED_VALUE"""),44392.0)</f>
        <v>44392</v>
      </c>
    </row>
    <row r="1458">
      <c r="A1458" s="6" t="str">
        <f>IFERROR(__xludf.DUMMYFUNCTION("""COMPUTED_VALUE"""),"211750180-2")</f>
        <v>211750180-2</v>
      </c>
      <c r="B1458" s="6" t="str">
        <f>IFERROR(__xludf.DUMMYFUNCTION("""COMPUTED_VALUE"""),"211750180 - Approved")</f>
        <v>211750180 - Approved</v>
      </c>
      <c r="C1458" s="6">
        <f>IFERROR(__xludf.DUMMYFUNCTION("""COMPUTED_VALUE"""),2.0)</f>
        <v>2</v>
      </c>
      <c r="D1458" s="6" t="str">
        <f>IFERROR(__xludf.DUMMYFUNCTION("""COMPUTED_VALUE"""),"O-15489-00")</f>
        <v>O-15489-00</v>
      </c>
      <c r="E1458" s="6" t="str">
        <f>IFERROR(__xludf.DUMMYFUNCTION("""COMPUTED_VALUE"""),"SPA 1120 Brand : Optibelt / Bando Merah Optibelt")</f>
        <v>SPA 1120 Brand : Optibelt / Bando Merah Optibelt</v>
      </c>
      <c r="F1458" s="6">
        <f>IFERROR(__xludf.DUMMYFUNCTION("""COMPUTED_VALUE"""),4.0)</f>
        <v>4</v>
      </c>
      <c r="G1458" s="6" t="str">
        <f>IFERROR(__xludf.DUMMYFUNCTION("""COMPUTED_VALUE"""),"Pieces")</f>
        <v>Pieces</v>
      </c>
      <c r="H1458" s="6" t="str">
        <f>IFERROR(__xludf.DUMMYFUNCTION("""COMPUTED_VALUE"""),"IDR")</f>
        <v>IDR</v>
      </c>
      <c r="I1458" s="6">
        <f>IFERROR(__xludf.DUMMYFUNCTION("""COMPUTED_VALUE"""),50000.0)</f>
        <v>50000</v>
      </c>
      <c r="J1458" s="6">
        <f>IFERROR(__xludf.DUMMYFUNCTION("""COMPUTED_VALUE"""),200000.0)</f>
        <v>200000</v>
      </c>
      <c r="K1458" s="57">
        <f>IFERROR(__xludf.DUMMYFUNCTION("""COMPUTED_VALUE"""),44376.0)</f>
        <v>44376</v>
      </c>
      <c r="L1458" s="6" t="str">
        <f>IFERROR(__xludf.DUMMYFUNCTION("""COMPUTED_VALUE"""),"FIP Engineering")</f>
        <v>FIP Engineering</v>
      </c>
      <c r="M1458" s="6" t="str">
        <f>IFERROR(__xludf.DUMMYFUNCTION("""COMPUTED_VALUE"""),"Irwan Sopian")</f>
        <v>Irwan Sopian</v>
      </c>
      <c r="N1458" s="6" t="str">
        <f>IFERROR(__xludf.DUMMYFUNCTION("""COMPUTED_VALUE"""),"FIP Engineering")</f>
        <v>FIP Engineering</v>
      </c>
      <c r="O1458" s="6" t="str">
        <f>IFERROR(__xludf.DUMMYFUNCTION("""COMPUTED_VALUE"""),"FIP-DOM-000-11304-OS00001-INA-000000")</f>
        <v>FIP-DOM-000-11304-OS00001-INA-000000</v>
      </c>
      <c r="P1458" s="6" t="str">
        <f>IFERROR(__xludf.DUMMYFUNCTION("""COMPUTED_VALUE"""),"PO Closed")</f>
        <v>PO Closed</v>
      </c>
      <c r="Q1458" s="6" t="str">
        <f>IFERROR(__xludf.DUMMYFUNCTION("""COMPUTED_VALUE"""),"GL2106038")</f>
        <v>GL2106038</v>
      </c>
      <c r="R1458" s="57">
        <f>IFERROR(__xludf.DUMMYFUNCTION("""COMPUTED_VALUE"""),44338.0)</f>
        <v>44338</v>
      </c>
      <c r="S1458" s="6" t="str">
        <f>IFERROR(__xludf.DUMMYFUNCTION("""COMPUTED_VALUE"""),"-")</f>
        <v>-</v>
      </c>
      <c r="T1458" s="57">
        <f>IFERROR(__xludf.DUMMYFUNCTION("""COMPUTED_VALUE"""),44392.0)</f>
        <v>44392</v>
      </c>
    </row>
    <row r="1459">
      <c r="A1459" s="6" t="str">
        <f>IFERROR(__xludf.DUMMYFUNCTION("""COMPUTED_VALUE"""),"211750183-1")</f>
        <v>211750183-1</v>
      </c>
      <c r="B1459" s="6" t="str">
        <f>IFERROR(__xludf.DUMMYFUNCTION("""COMPUTED_VALUE"""),"211750183 - Approved")</f>
        <v>211750183 - Approved</v>
      </c>
      <c r="C1459" s="6">
        <f>IFERROR(__xludf.DUMMYFUNCTION("""COMPUTED_VALUE"""),1.0)</f>
        <v>1</v>
      </c>
      <c r="D1459" s="6" t="str">
        <f>IFERROR(__xludf.DUMMYFUNCTION("""COMPUTED_VALUE"""),"P-15944-00")</f>
        <v>P-15944-00</v>
      </c>
      <c r="E1459" s="6" t="str">
        <f>IFERROR(__xludf.DUMMYFUNCTION("""COMPUTED_VALUE"""),"Sealing belt (nillon) 1.5 cm x 77cm")</f>
        <v>Sealing belt (nillon) 1.5 cm x 77cm</v>
      </c>
      <c r="F1459" s="6">
        <f>IFERROR(__xludf.DUMMYFUNCTION("""COMPUTED_VALUE"""),2.0)</f>
        <v>2</v>
      </c>
      <c r="G1459" s="6" t="str">
        <f>IFERROR(__xludf.DUMMYFUNCTION("""COMPUTED_VALUE"""),"Pieces")</f>
        <v>Pieces</v>
      </c>
      <c r="H1459" s="6" t="str">
        <f>IFERROR(__xludf.DUMMYFUNCTION("""COMPUTED_VALUE"""),"IDR")</f>
        <v>IDR</v>
      </c>
      <c r="I1459" s="6">
        <f>IFERROR(__xludf.DUMMYFUNCTION("""COMPUTED_VALUE"""),40000.0)</f>
        <v>40000</v>
      </c>
      <c r="J1459" s="6">
        <f>IFERROR(__xludf.DUMMYFUNCTION("""COMPUTED_VALUE"""),80000.0)</f>
        <v>80000</v>
      </c>
      <c r="K1459" s="57">
        <f>IFERROR(__xludf.DUMMYFUNCTION("""COMPUTED_VALUE"""),44375.0)</f>
        <v>44375</v>
      </c>
      <c r="L1459" s="6" t="str">
        <f>IFERROR(__xludf.DUMMYFUNCTION("""COMPUTED_VALUE"""),"FIP General")</f>
        <v>FIP General</v>
      </c>
      <c r="M1459" s="6" t="str">
        <f>IFERROR(__xludf.DUMMYFUNCTION("""COMPUTED_VALUE"""),"Irwan Sopian")</f>
        <v>Irwan Sopian</v>
      </c>
      <c r="N1459" s="6" t="str">
        <f>IFERROR(__xludf.DUMMYFUNCTION("""COMPUTED_VALUE"""),"FIP Engineering")</f>
        <v>FIP Engineering</v>
      </c>
      <c r="O1459" s="6" t="str">
        <f>IFERROR(__xludf.DUMMYFUNCTION("""COMPUTED_VALUE"""),"FIP-DOM-ENG-51404-0000000-INA-000000")</f>
        <v>FIP-DOM-ENG-51404-0000000-INA-000000</v>
      </c>
      <c r="P1459" s="6" t="str">
        <f>IFERROR(__xludf.DUMMYFUNCTION("""COMPUTED_VALUE"""),"PO Closed")</f>
        <v>PO Closed</v>
      </c>
      <c r="Q1459" s="6" t="str">
        <f>IFERROR(__xludf.DUMMYFUNCTION("""COMPUTED_VALUE"""),"GL2107015")</f>
        <v>GL2107015</v>
      </c>
      <c r="R1459" s="57">
        <f>IFERROR(__xludf.DUMMYFUNCTION("""COMPUTED_VALUE"""),44341.0)</f>
        <v>44341</v>
      </c>
      <c r="S1459" s="6" t="str">
        <f>IFERROR(__xludf.DUMMYFUNCTION("""COMPUTED_VALUE"""),"-")</f>
        <v>-</v>
      </c>
      <c r="T1459" s="57">
        <f>IFERROR(__xludf.DUMMYFUNCTION("""COMPUTED_VALUE"""),44397.0)</f>
        <v>44397</v>
      </c>
    </row>
    <row r="1460">
      <c r="A1460" s="6" t="str">
        <f>IFERROR(__xludf.DUMMYFUNCTION("""COMPUTED_VALUE"""),"211750183-2")</f>
        <v>211750183-2</v>
      </c>
      <c r="B1460" s="6" t="str">
        <f>IFERROR(__xludf.DUMMYFUNCTION("""COMPUTED_VALUE"""),"211750183 - Approved")</f>
        <v>211750183 - Approved</v>
      </c>
      <c r="C1460" s="6">
        <f>IFERROR(__xludf.DUMMYFUNCTION("""COMPUTED_VALUE"""),2.0)</f>
        <v>2</v>
      </c>
      <c r="D1460" s="6" t="str">
        <f>IFERROR(__xludf.DUMMYFUNCTION("""COMPUTED_VALUE"""),"O-54014-00")</f>
        <v>O-54014-00</v>
      </c>
      <c r="E1460" s="6" t="str">
        <f>IFERROR(__xludf.DUMMYFUNCTION("""COMPUTED_VALUE"""),"STEKER 1 PHASE, BROCO")</f>
        <v>STEKER 1 PHASE, BROCO</v>
      </c>
      <c r="F1460" s="6">
        <f>IFERROR(__xludf.DUMMYFUNCTION("""COMPUTED_VALUE"""),5.0)</f>
        <v>5</v>
      </c>
      <c r="G1460" s="6" t="str">
        <f>IFERROR(__xludf.DUMMYFUNCTION("""COMPUTED_VALUE"""),"Pieces")</f>
        <v>Pieces</v>
      </c>
      <c r="H1460" s="6" t="str">
        <f>IFERROR(__xludf.DUMMYFUNCTION("""COMPUTED_VALUE"""),"IDR")</f>
        <v>IDR</v>
      </c>
      <c r="I1460" s="6">
        <f>IFERROR(__xludf.DUMMYFUNCTION("""COMPUTED_VALUE"""),25000.0)</f>
        <v>25000</v>
      </c>
      <c r="J1460" s="6">
        <f>IFERROR(__xludf.DUMMYFUNCTION("""COMPUTED_VALUE"""),125000.0)</f>
        <v>125000</v>
      </c>
      <c r="K1460" s="57">
        <f>IFERROR(__xludf.DUMMYFUNCTION("""COMPUTED_VALUE"""),44375.0)</f>
        <v>44375</v>
      </c>
      <c r="L1460" s="6" t="str">
        <f>IFERROR(__xludf.DUMMYFUNCTION("""COMPUTED_VALUE"""),"FIP Engineering")</f>
        <v>FIP Engineering</v>
      </c>
      <c r="M1460" s="6" t="str">
        <f>IFERROR(__xludf.DUMMYFUNCTION("""COMPUTED_VALUE"""),"Irwan Sopian")</f>
        <v>Irwan Sopian</v>
      </c>
      <c r="N1460" s="6" t="str">
        <f>IFERROR(__xludf.DUMMYFUNCTION("""COMPUTED_VALUE"""),"FIP Engineering")</f>
        <v>FIP Engineering</v>
      </c>
      <c r="O1460" s="6" t="str">
        <f>IFERROR(__xludf.DUMMYFUNCTION("""COMPUTED_VALUE"""),"FIP-DOM-000-11304-OS00001-INA-000000")</f>
        <v>FIP-DOM-000-11304-OS00001-INA-000000</v>
      </c>
      <c r="P1460" s="6" t="str">
        <f>IFERROR(__xludf.DUMMYFUNCTION("""COMPUTED_VALUE"""),"PO Closed")</f>
        <v>PO Closed</v>
      </c>
      <c r="Q1460" s="6" t="str">
        <f>IFERROR(__xludf.DUMMYFUNCTION("""COMPUTED_VALUE"""),"GL2107016")</f>
        <v>GL2107016</v>
      </c>
      <c r="R1460" s="57">
        <f>IFERROR(__xludf.DUMMYFUNCTION("""COMPUTED_VALUE"""),44341.0)</f>
        <v>44341</v>
      </c>
      <c r="S1460" s="6" t="str">
        <f>IFERROR(__xludf.DUMMYFUNCTION("""COMPUTED_VALUE"""),"-")</f>
        <v>-</v>
      </c>
      <c r="T1460" s="57">
        <f>IFERROR(__xludf.DUMMYFUNCTION("""COMPUTED_VALUE"""),44402.0)</f>
        <v>44402</v>
      </c>
    </row>
    <row r="1461">
      <c r="A1461" s="6" t="str">
        <f>IFERROR(__xludf.DUMMYFUNCTION("""COMPUTED_VALUE"""),"211750182-1")</f>
        <v>211750182-1</v>
      </c>
      <c r="B1461" s="6" t="str">
        <f>IFERROR(__xludf.DUMMYFUNCTION("""COMPUTED_VALUE"""),"211750182 - Approved")</f>
        <v>211750182 - Approved</v>
      </c>
      <c r="C1461" s="6">
        <f>IFERROR(__xludf.DUMMYFUNCTION("""COMPUTED_VALUE"""),1.0)</f>
        <v>1</v>
      </c>
      <c r="D1461" s="6" t="str">
        <f>IFERROR(__xludf.DUMMYFUNCTION("""COMPUTED_VALUE"""),"O-17960-00")</f>
        <v>O-17960-00</v>
      </c>
      <c r="E1461" s="6" t="str">
        <f>IFERROR(__xludf.DUMMYFUNCTION("""COMPUTED_VALUE"""),"Mixer Male Bearing, GMP, pH Range: pH1 pH14, 1/pack; NovAseptic; ;")</f>
        <v>Mixer Male Bearing, GMP, pH Range: pH1 pH14, 1/pack; NovAseptic; ;</v>
      </c>
      <c r="F1461" s="6">
        <f>IFERROR(__xludf.DUMMYFUNCTION("""COMPUTED_VALUE"""),1.0)</f>
        <v>1</v>
      </c>
      <c r="G1461" s="6" t="str">
        <f>IFERROR(__xludf.DUMMYFUNCTION("""COMPUTED_VALUE"""),"Pack")</f>
        <v>Pack</v>
      </c>
      <c r="H1461" s="6" t="str">
        <f>IFERROR(__xludf.DUMMYFUNCTION("""COMPUTED_VALUE"""),"IDR")</f>
        <v>IDR</v>
      </c>
      <c r="I1461" s="6">
        <f>IFERROR(__xludf.DUMMYFUNCTION("""COMPUTED_VALUE"""),1.1634E7)</f>
        <v>11634000</v>
      </c>
      <c r="J1461" s="6">
        <f>IFERROR(__xludf.DUMMYFUNCTION("""COMPUTED_VALUE"""),1.1634E7)</f>
        <v>11634000</v>
      </c>
      <c r="K1461" s="57">
        <f>IFERROR(__xludf.DUMMYFUNCTION("""COMPUTED_VALUE"""),44377.0)</f>
        <v>44377</v>
      </c>
      <c r="L1461" s="6" t="str">
        <f>IFERROR(__xludf.DUMMYFUNCTION("""COMPUTED_VALUE"""),"FIP Engineering")</f>
        <v>FIP Engineering</v>
      </c>
      <c r="M1461" s="6" t="str">
        <f>IFERROR(__xludf.DUMMYFUNCTION("""COMPUTED_VALUE"""),"Irwan Sopian")</f>
        <v>Irwan Sopian</v>
      </c>
      <c r="N1461" s="6" t="str">
        <f>IFERROR(__xludf.DUMMYFUNCTION("""COMPUTED_VALUE"""),"FIP Engineering")</f>
        <v>FIP Engineering</v>
      </c>
      <c r="O1461" s="6" t="str">
        <f>IFERROR(__xludf.DUMMYFUNCTION("""COMPUTED_VALUE"""),"FIP-DOM-000-11304-OS00001-INA-000000")</f>
        <v>FIP-DOM-000-11304-OS00001-INA-000000</v>
      </c>
      <c r="P1461" s="6" t="str">
        <f>IFERROR(__xludf.DUMMYFUNCTION("""COMPUTED_VALUE"""),"PO Closed")</f>
        <v>PO Closed</v>
      </c>
      <c r="Q1461" s="6" t="str">
        <f>IFERROR(__xludf.DUMMYFUNCTION("""COMPUTED_VALUE"""),"GL2106008")</f>
        <v>GL2106008</v>
      </c>
      <c r="R1461" s="57">
        <f>IFERROR(__xludf.DUMMYFUNCTION("""COMPUTED_VALUE"""),44341.0)</f>
        <v>44341</v>
      </c>
      <c r="S1461" s="6" t="str">
        <f>IFERROR(__xludf.DUMMYFUNCTION("""COMPUTED_VALUE"""),"-")</f>
        <v>-</v>
      </c>
      <c r="T1461" s="57">
        <f>IFERROR(__xludf.DUMMYFUNCTION("""COMPUTED_VALUE"""),44438.0)</f>
        <v>44438</v>
      </c>
    </row>
    <row r="1462">
      <c r="A1462" s="6" t="str">
        <f>IFERROR(__xludf.DUMMYFUNCTION("""COMPUTED_VALUE"""),"211750184-1")</f>
        <v>211750184-1</v>
      </c>
      <c r="B1462" s="6" t="str">
        <f>IFERROR(__xludf.DUMMYFUNCTION("""COMPUTED_VALUE"""),"211750184 - Approved")</f>
        <v>211750184 - Approved</v>
      </c>
      <c r="C1462" s="6">
        <f>IFERROR(__xludf.DUMMYFUNCTION("""COMPUTED_VALUE"""),1.0)</f>
        <v>1</v>
      </c>
      <c r="D1462" s="6" t="str">
        <f>IFERROR(__xludf.DUMMYFUNCTION("""COMPUTED_VALUE"""),"P-52079-00")</f>
        <v>P-52079-00</v>
      </c>
      <c r="E1462" s="6" t="str">
        <f>IFERROR(__xludf.DUMMYFUNCTION("""COMPUTED_VALUE"""),"Temperature Tranducer For Flow Meter Ultrasonic SHM")</f>
        <v>Temperature Tranducer For Flow Meter Ultrasonic SHM</v>
      </c>
      <c r="F1462" s="6">
        <f>IFERROR(__xludf.DUMMYFUNCTION("""COMPUTED_VALUE"""),1.0)</f>
        <v>1</v>
      </c>
      <c r="G1462" s="6" t="str">
        <f>IFERROR(__xludf.DUMMYFUNCTION("""COMPUTED_VALUE"""),"Pieces")</f>
        <v>Pieces</v>
      </c>
      <c r="H1462" s="6" t="str">
        <f>IFERROR(__xludf.DUMMYFUNCTION("""COMPUTED_VALUE"""),"IDR")</f>
        <v>IDR</v>
      </c>
      <c r="I1462" s="6">
        <f>IFERROR(__xludf.DUMMYFUNCTION("""COMPUTED_VALUE"""),5500000.0)</f>
        <v>5500000</v>
      </c>
      <c r="J1462" s="6">
        <f>IFERROR(__xludf.DUMMYFUNCTION("""COMPUTED_VALUE"""),5500000.0)</f>
        <v>5500000</v>
      </c>
      <c r="K1462" s="57">
        <f>IFERROR(__xludf.DUMMYFUNCTION("""COMPUTED_VALUE"""),44372.0)</f>
        <v>44372</v>
      </c>
      <c r="L1462" s="6" t="str">
        <f>IFERROR(__xludf.DUMMYFUNCTION("""COMPUTED_VALUE"""),"FIP Engineering")</f>
        <v>FIP Engineering</v>
      </c>
      <c r="M1462" s="6" t="str">
        <f>IFERROR(__xludf.DUMMYFUNCTION("""COMPUTED_VALUE"""),"Irwan Sopian")</f>
        <v>Irwan Sopian</v>
      </c>
      <c r="N1462" s="6" t="str">
        <f>IFERROR(__xludf.DUMMYFUNCTION("""COMPUTED_VALUE"""),"FIP Engineering")</f>
        <v>FIP Engineering</v>
      </c>
      <c r="O1462" s="6" t="str">
        <f>IFERROR(__xludf.DUMMYFUNCTION("""COMPUTED_VALUE"""),"FIP-DOM-000-11304-OS00001-INA-000000")</f>
        <v>FIP-DOM-000-11304-OS00001-INA-000000</v>
      </c>
      <c r="P1462" s="6" t="str">
        <f>IFERROR(__xludf.DUMMYFUNCTION("""COMPUTED_VALUE"""),"PO Closed")</f>
        <v>PO Closed</v>
      </c>
      <c r="Q1462" s="6" t="str">
        <f>IFERROR(__xludf.DUMMYFUNCTION("""COMPUTED_VALUE"""),"GL2106009")</f>
        <v>GL2106009</v>
      </c>
      <c r="R1462" s="57">
        <f>IFERROR(__xludf.DUMMYFUNCTION("""COMPUTED_VALUE"""),44343.0)</f>
        <v>44343</v>
      </c>
      <c r="S1462" s="6" t="str">
        <f>IFERROR(__xludf.DUMMYFUNCTION("""COMPUTED_VALUE"""),"-")</f>
        <v>-</v>
      </c>
      <c r="T1462" s="57">
        <f>IFERROR(__xludf.DUMMYFUNCTION("""COMPUTED_VALUE"""),44409.0)</f>
        <v>44409</v>
      </c>
    </row>
    <row r="1463">
      <c r="A1463" s="6" t="str">
        <f>IFERROR(__xludf.DUMMYFUNCTION("""COMPUTED_VALUE"""),"211750191-1")</f>
        <v>211750191-1</v>
      </c>
      <c r="B1463" s="6" t="str">
        <f>IFERROR(__xludf.DUMMYFUNCTION("""COMPUTED_VALUE"""),"211750191 - Approved")</f>
        <v>211750191 - Approved</v>
      </c>
      <c r="C1463" s="6">
        <f>IFERROR(__xludf.DUMMYFUNCTION("""COMPUTED_VALUE"""),1.0)</f>
        <v>1</v>
      </c>
      <c r="D1463" s="6" t="str">
        <f>IFERROR(__xludf.DUMMYFUNCTION("""COMPUTED_VALUE"""),"Q-10662-00")</f>
        <v>Q-10662-00</v>
      </c>
      <c r="E1463" s="6" t="str">
        <f>IFERROR(__xludf.DUMMYFUNCTION("""COMPUTED_VALUE"""),"Capit Udang Laci Solid")</f>
        <v>Capit Udang Laci Solid</v>
      </c>
      <c r="F1463" s="6">
        <f>IFERROR(__xludf.DUMMYFUNCTION("""COMPUTED_VALUE"""),3.0)</f>
        <v>3</v>
      </c>
      <c r="G1463" s="6" t="str">
        <f>IFERROR(__xludf.DUMMYFUNCTION("""COMPUTED_VALUE"""),"Pieces")</f>
        <v>Pieces</v>
      </c>
      <c r="H1463" s="6" t="str">
        <f>IFERROR(__xludf.DUMMYFUNCTION("""COMPUTED_VALUE"""),"IDR")</f>
        <v>IDR</v>
      </c>
      <c r="I1463" s="6">
        <f>IFERROR(__xludf.DUMMYFUNCTION("""COMPUTED_VALUE"""),32500.0)</f>
        <v>32500</v>
      </c>
      <c r="J1463" s="6">
        <f>IFERROR(__xludf.DUMMYFUNCTION("""COMPUTED_VALUE"""),97500.0)</f>
        <v>97500</v>
      </c>
      <c r="K1463" s="57">
        <f>IFERROR(__xludf.DUMMYFUNCTION("""COMPUTED_VALUE"""),44379.0)</f>
        <v>44379</v>
      </c>
      <c r="L1463" s="6" t="str">
        <f>IFERROR(__xludf.DUMMYFUNCTION("""COMPUTED_VALUE"""),"FIP Engineering")</f>
        <v>FIP Engineering</v>
      </c>
      <c r="M1463" s="6" t="str">
        <f>IFERROR(__xludf.DUMMYFUNCTION("""COMPUTED_VALUE"""),"Irwan Sopian")</f>
        <v>Irwan Sopian</v>
      </c>
      <c r="N1463" s="6" t="str">
        <f>IFERROR(__xludf.DUMMYFUNCTION("""COMPUTED_VALUE"""),"FIP Engineering")</f>
        <v>FIP Engineering</v>
      </c>
      <c r="O1463" s="6" t="str">
        <f>IFERROR(__xludf.DUMMYFUNCTION("""COMPUTED_VALUE"""),"FIP-DOM-000-11304-OS00001-INA-000000")</f>
        <v>FIP-DOM-000-11304-OS00001-INA-000000</v>
      </c>
      <c r="P1463" s="6" t="str">
        <f>IFERROR(__xludf.DUMMYFUNCTION("""COMPUTED_VALUE"""),"PO Closed")</f>
        <v>PO Closed</v>
      </c>
      <c r="Q1463" s="6" t="str">
        <f>IFERROR(__xludf.DUMMYFUNCTION("""COMPUTED_VALUE"""),"GL2107034")</f>
        <v>GL2107034</v>
      </c>
      <c r="R1463" s="57">
        <f>IFERROR(__xludf.DUMMYFUNCTION("""COMPUTED_VALUE"""),44349.0)</f>
        <v>44349</v>
      </c>
      <c r="S1463" s="6" t="str">
        <f>IFERROR(__xludf.DUMMYFUNCTION("""COMPUTED_VALUE"""),"-")</f>
        <v>-</v>
      </c>
      <c r="T1463" s="57">
        <f>IFERROR(__xludf.DUMMYFUNCTION("""COMPUTED_VALUE"""),44399.0)</f>
        <v>44399</v>
      </c>
    </row>
    <row r="1464">
      <c r="A1464" s="6" t="str">
        <f>IFERROR(__xludf.DUMMYFUNCTION("""COMPUTED_VALUE"""),"211750191-2")</f>
        <v>211750191-2</v>
      </c>
      <c r="B1464" s="6" t="str">
        <f>IFERROR(__xludf.DUMMYFUNCTION("""COMPUTED_VALUE"""),"211750191 - Approved")</f>
        <v>211750191 - Approved</v>
      </c>
      <c r="C1464" s="6">
        <f>IFERROR(__xludf.DUMMYFUNCTION("""COMPUTED_VALUE"""),2.0)</f>
        <v>2</v>
      </c>
      <c r="D1464" s="6" t="str">
        <f>IFERROR(__xludf.DUMMYFUNCTION("""COMPUTED_VALUE"""),"P-17717-00")</f>
        <v>P-17717-00</v>
      </c>
      <c r="E1464" s="6" t="str">
        <f>IFERROR(__xludf.DUMMYFUNCTION("""COMPUTED_VALUE"""),"Fisher S 8 (1 box : 100 pcs)")</f>
        <v>Fisher S 8 (1 box : 100 pcs)</v>
      </c>
      <c r="F1464" s="6">
        <f>IFERROR(__xludf.DUMMYFUNCTION("""COMPUTED_VALUE"""),1.0)</f>
        <v>1</v>
      </c>
      <c r="G1464" s="6" t="str">
        <f>IFERROR(__xludf.DUMMYFUNCTION("""COMPUTED_VALUE"""),"Pieces")</f>
        <v>Pieces</v>
      </c>
      <c r="H1464" s="6" t="str">
        <f>IFERROR(__xludf.DUMMYFUNCTION("""COMPUTED_VALUE"""),"IDR")</f>
        <v>IDR</v>
      </c>
      <c r="I1464" s="6">
        <f>IFERROR(__xludf.DUMMYFUNCTION("""COMPUTED_VALUE"""),40000.0)</f>
        <v>40000</v>
      </c>
      <c r="J1464" s="6">
        <f>IFERROR(__xludf.DUMMYFUNCTION("""COMPUTED_VALUE"""),40000.0)</f>
        <v>40000</v>
      </c>
      <c r="K1464" s="57">
        <f>IFERROR(__xludf.DUMMYFUNCTION("""COMPUTED_VALUE"""),44379.0)</f>
        <v>44379</v>
      </c>
      <c r="L1464" s="6" t="str">
        <f>IFERROR(__xludf.DUMMYFUNCTION("""COMPUTED_VALUE"""),"FIP Engineering")</f>
        <v>FIP Engineering</v>
      </c>
      <c r="M1464" s="6" t="str">
        <f>IFERROR(__xludf.DUMMYFUNCTION("""COMPUTED_VALUE"""),"Irwan Sopian")</f>
        <v>Irwan Sopian</v>
      </c>
      <c r="N1464" s="6" t="str">
        <f>IFERROR(__xludf.DUMMYFUNCTION("""COMPUTED_VALUE"""),"FIP Engineering")</f>
        <v>FIP Engineering</v>
      </c>
      <c r="O1464" s="6" t="str">
        <f>IFERROR(__xludf.DUMMYFUNCTION("""COMPUTED_VALUE"""),"FIP-DOM-000-11304-OS00001-INA-000000")</f>
        <v>FIP-DOM-000-11304-OS00001-INA-000000</v>
      </c>
      <c r="P1464" s="6" t="str">
        <f>IFERROR(__xludf.DUMMYFUNCTION("""COMPUTED_VALUE"""),"PO Closed")</f>
        <v>PO Closed</v>
      </c>
      <c r="Q1464" s="6" t="str">
        <f>IFERROR(__xludf.DUMMYFUNCTION("""COMPUTED_VALUE"""),"GL2107016")</f>
        <v>GL2107016</v>
      </c>
      <c r="R1464" s="57">
        <f>IFERROR(__xludf.DUMMYFUNCTION("""COMPUTED_VALUE"""),44349.0)</f>
        <v>44349</v>
      </c>
      <c r="S1464" s="6" t="str">
        <f>IFERROR(__xludf.DUMMYFUNCTION("""COMPUTED_VALUE"""),"-")</f>
        <v>-</v>
      </c>
      <c r="T1464" s="57">
        <f>IFERROR(__xludf.DUMMYFUNCTION("""COMPUTED_VALUE"""),44402.0)</f>
        <v>44402</v>
      </c>
    </row>
    <row r="1465">
      <c r="A1465" s="6" t="str">
        <f>IFERROR(__xludf.DUMMYFUNCTION("""COMPUTED_VALUE"""),"211750191-3")</f>
        <v>211750191-3</v>
      </c>
      <c r="B1465" s="6" t="str">
        <f>IFERROR(__xludf.DUMMYFUNCTION("""COMPUTED_VALUE"""),"211750191 - Approved")</f>
        <v>211750191 - Approved</v>
      </c>
      <c r="C1465" s="6">
        <f>IFERROR(__xludf.DUMMYFUNCTION("""COMPUTED_VALUE"""),3.0)</f>
        <v>3</v>
      </c>
      <c r="D1465" s="6" t="str">
        <f>IFERROR(__xludf.DUMMYFUNCTION("""COMPUTED_VALUE"""),"P-17749-00")</f>
        <v>P-17749-00</v>
      </c>
      <c r="E1465" s="6" t="str">
        <f>IFERROR(__xludf.DUMMYFUNCTION("""COMPUTED_VALUE"""),"Reducing Nepple SS304 1/2Inch - 1/4Inch")</f>
        <v>Reducing Nepple SS304 1/2Inch - 1/4Inch</v>
      </c>
      <c r="F1465" s="6">
        <f>IFERROR(__xludf.DUMMYFUNCTION("""COMPUTED_VALUE"""),2.0)</f>
        <v>2</v>
      </c>
      <c r="G1465" s="6" t="str">
        <f>IFERROR(__xludf.DUMMYFUNCTION("""COMPUTED_VALUE"""),"Pieces")</f>
        <v>Pieces</v>
      </c>
      <c r="H1465" s="6" t="str">
        <f>IFERROR(__xludf.DUMMYFUNCTION("""COMPUTED_VALUE"""),"IDR")</f>
        <v>IDR</v>
      </c>
      <c r="I1465" s="6">
        <f>IFERROR(__xludf.DUMMYFUNCTION("""COMPUTED_VALUE"""),38500.0)</f>
        <v>38500</v>
      </c>
      <c r="J1465" s="6">
        <f>IFERROR(__xludf.DUMMYFUNCTION("""COMPUTED_VALUE"""),77000.0)</f>
        <v>77000</v>
      </c>
      <c r="K1465" s="57">
        <f>IFERROR(__xludf.DUMMYFUNCTION("""COMPUTED_VALUE"""),44379.0)</f>
        <v>44379</v>
      </c>
      <c r="L1465" s="6" t="str">
        <f>IFERROR(__xludf.DUMMYFUNCTION("""COMPUTED_VALUE"""),"FIP Engineering")</f>
        <v>FIP Engineering</v>
      </c>
      <c r="M1465" s="6" t="str">
        <f>IFERROR(__xludf.DUMMYFUNCTION("""COMPUTED_VALUE"""),"Irwan Sopian")</f>
        <v>Irwan Sopian</v>
      </c>
      <c r="N1465" s="6" t="str">
        <f>IFERROR(__xludf.DUMMYFUNCTION("""COMPUTED_VALUE"""),"FIP Engineering")</f>
        <v>FIP Engineering</v>
      </c>
      <c r="O1465" s="6" t="str">
        <f>IFERROR(__xludf.DUMMYFUNCTION("""COMPUTED_VALUE"""),"FIP-DOM-000-11304-OS00001-INA-000000")</f>
        <v>FIP-DOM-000-11304-OS00001-INA-000000</v>
      </c>
      <c r="P1465" s="6" t="str">
        <f>IFERROR(__xludf.DUMMYFUNCTION("""COMPUTED_VALUE"""),"PO Closed")</f>
        <v>PO Closed</v>
      </c>
      <c r="Q1465" s="6" t="str">
        <f>IFERROR(__xludf.DUMMYFUNCTION("""COMPUTED_VALUE"""),"GL2107016")</f>
        <v>GL2107016</v>
      </c>
      <c r="R1465" s="57">
        <f>IFERROR(__xludf.DUMMYFUNCTION("""COMPUTED_VALUE"""),44349.0)</f>
        <v>44349</v>
      </c>
      <c r="S1465" s="6" t="str">
        <f>IFERROR(__xludf.DUMMYFUNCTION("""COMPUTED_VALUE"""),"-")</f>
        <v>-</v>
      </c>
      <c r="T1465" s="57">
        <f>IFERROR(__xludf.DUMMYFUNCTION("""COMPUTED_VALUE"""),44402.0)</f>
        <v>44402</v>
      </c>
    </row>
    <row r="1466">
      <c r="A1466" s="6" t="str">
        <f>IFERROR(__xludf.DUMMYFUNCTION("""COMPUTED_VALUE"""),"211750191-4")</f>
        <v>211750191-4</v>
      </c>
      <c r="B1466" s="6" t="str">
        <f>IFERROR(__xludf.DUMMYFUNCTION("""COMPUTED_VALUE"""),"211750191 - Approved")</f>
        <v>211750191 - Approved</v>
      </c>
      <c r="C1466" s="6">
        <f>IFERROR(__xludf.DUMMYFUNCTION("""COMPUTED_VALUE"""),4.0)</f>
        <v>4</v>
      </c>
      <c r="D1466" s="6" t="str">
        <f>IFERROR(__xludf.DUMMYFUNCTION("""COMPUTED_VALUE"""),"Q-50000-00")</f>
        <v>Q-50000-00</v>
      </c>
      <c r="E1466" s="6" t="str">
        <f>IFERROR(__xludf.DUMMYFUNCTION("""COMPUTED_VALUE"""),"Engsel Pintu SS")</f>
        <v>Engsel Pintu SS</v>
      </c>
      <c r="F1466" s="6">
        <f>IFERROR(__xludf.DUMMYFUNCTION("""COMPUTED_VALUE"""),2.0)</f>
        <v>2</v>
      </c>
      <c r="G1466" s="6" t="str">
        <f>IFERROR(__xludf.DUMMYFUNCTION("""COMPUTED_VALUE"""),"Pieces")</f>
        <v>Pieces</v>
      </c>
      <c r="H1466" s="6" t="str">
        <f>IFERROR(__xludf.DUMMYFUNCTION("""COMPUTED_VALUE"""),"IDR")</f>
        <v>IDR</v>
      </c>
      <c r="I1466" s="6">
        <f>IFERROR(__xludf.DUMMYFUNCTION("""COMPUTED_VALUE"""),10000.0)</f>
        <v>10000</v>
      </c>
      <c r="J1466" s="6">
        <f>IFERROR(__xludf.DUMMYFUNCTION("""COMPUTED_VALUE"""),20000.0)</f>
        <v>20000</v>
      </c>
      <c r="K1466" s="57">
        <f>IFERROR(__xludf.DUMMYFUNCTION("""COMPUTED_VALUE"""),44379.0)</f>
        <v>44379</v>
      </c>
      <c r="L1466" s="6" t="str">
        <f>IFERROR(__xludf.DUMMYFUNCTION("""COMPUTED_VALUE"""),"FIP General")</f>
        <v>FIP General</v>
      </c>
      <c r="M1466" s="6" t="str">
        <f>IFERROR(__xludf.DUMMYFUNCTION("""COMPUTED_VALUE"""),"Irwan Sopian")</f>
        <v>Irwan Sopian</v>
      </c>
      <c r="N1466" s="6" t="str">
        <f>IFERROR(__xludf.DUMMYFUNCTION("""COMPUTED_VALUE"""),"FIP Engineering")</f>
        <v>FIP Engineering</v>
      </c>
      <c r="O1466" s="6" t="str">
        <f>IFERROR(__xludf.DUMMYFUNCTION("""COMPUTED_VALUE"""),"FIP-DOM-ENG-51404-0000000-INA-000000")</f>
        <v>FIP-DOM-ENG-51404-0000000-INA-000000</v>
      </c>
      <c r="P1466" s="6" t="str">
        <f>IFERROR(__xludf.DUMMYFUNCTION("""COMPUTED_VALUE"""),"PO Closed")</f>
        <v>PO Closed</v>
      </c>
      <c r="Q1466" s="6" t="str">
        <f>IFERROR(__xludf.DUMMYFUNCTION("""COMPUTED_VALUE"""),"GL2107034")</f>
        <v>GL2107034</v>
      </c>
      <c r="R1466" s="57">
        <f>IFERROR(__xludf.DUMMYFUNCTION("""COMPUTED_VALUE"""),44349.0)</f>
        <v>44349</v>
      </c>
      <c r="S1466" s="6" t="str">
        <f>IFERROR(__xludf.DUMMYFUNCTION("""COMPUTED_VALUE"""),"-")</f>
        <v>-</v>
      </c>
      <c r="T1466" s="57">
        <f>IFERROR(__xludf.DUMMYFUNCTION("""COMPUTED_VALUE"""),44405.0)</f>
        <v>44405</v>
      </c>
    </row>
    <row r="1467">
      <c r="A1467" s="6" t="str">
        <f>IFERROR(__xludf.DUMMYFUNCTION("""COMPUTED_VALUE"""),"211750183-3")</f>
        <v>211750183-3</v>
      </c>
      <c r="B1467" s="6" t="str">
        <f>IFERROR(__xludf.DUMMYFUNCTION("""COMPUTED_VALUE"""),"211750183 - Approved")</f>
        <v>211750183 - Approved</v>
      </c>
      <c r="C1467" s="6">
        <f>IFERROR(__xludf.DUMMYFUNCTION("""COMPUTED_VALUE"""),3.0)</f>
        <v>3</v>
      </c>
      <c r="D1467" s="6" t="str">
        <f>IFERROR(__xludf.DUMMYFUNCTION("""COMPUTED_VALUE"""),"P-14379-00")</f>
        <v>P-14379-00</v>
      </c>
      <c r="E1467" s="6" t="str">
        <f>IFERROR(__xludf.DUMMYFUNCTION("""COMPUTED_VALUE"""),"Gasket 3/4"" /EPDM; ; ;")</f>
        <v>Gasket 3/4" /EPDM; ; ;</v>
      </c>
      <c r="F1467" s="6">
        <f>IFERROR(__xludf.DUMMYFUNCTION("""COMPUTED_VALUE"""),10.0)</f>
        <v>10</v>
      </c>
      <c r="G1467" s="6" t="str">
        <f>IFERROR(__xludf.DUMMYFUNCTION("""COMPUTED_VALUE"""),"Pieces")</f>
        <v>Pieces</v>
      </c>
      <c r="H1467" s="6" t="str">
        <f>IFERROR(__xludf.DUMMYFUNCTION("""COMPUTED_VALUE"""),"IDR")</f>
        <v>IDR</v>
      </c>
      <c r="I1467" s="6">
        <f>IFERROR(__xludf.DUMMYFUNCTION("""COMPUTED_VALUE"""),15000.0)</f>
        <v>15000</v>
      </c>
      <c r="J1467" s="6">
        <f>IFERROR(__xludf.DUMMYFUNCTION("""COMPUTED_VALUE"""),150000.0)</f>
        <v>150000</v>
      </c>
      <c r="K1467" s="57">
        <f>IFERROR(__xludf.DUMMYFUNCTION("""COMPUTED_VALUE"""),44375.0)</f>
        <v>44375</v>
      </c>
      <c r="L1467" s="6" t="str">
        <f>IFERROR(__xludf.DUMMYFUNCTION("""COMPUTED_VALUE"""),"FIP Engineering")</f>
        <v>FIP Engineering</v>
      </c>
      <c r="M1467" s="6" t="str">
        <f>IFERROR(__xludf.DUMMYFUNCTION("""COMPUTED_VALUE"""),"Irwan Sopian")</f>
        <v>Irwan Sopian</v>
      </c>
      <c r="N1467" s="6" t="str">
        <f>IFERROR(__xludf.DUMMYFUNCTION("""COMPUTED_VALUE"""),"FIP Engineering")</f>
        <v>FIP Engineering</v>
      </c>
      <c r="O1467" s="6" t="str">
        <f>IFERROR(__xludf.DUMMYFUNCTION("""COMPUTED_VALUE"""),"FIP-DOM-000-11304-OS00001-INA-000000")</f>
        <v>FIP-DOM-000-11304-OS00001-INA-000000</v>
      </c>
      <c r="P1467" s="6" t="str">
        <f>IFERROR(__xludf.DUMMYFUNCTION("""COMPUTED_VALUE"""),"PO Closed")</f>
        <v>PO Closed</v>
      </c>
      <c r="Q1467" s="6" t="str">
        <f>IFERROR(__xludf.DUMMYFUNCTION("""COMPUTED_VALUE"""),"GL2107016")</f>
        <v>GL2107016</v>
      </c>
      <c r="R1467" s="57">
        <f>IFERROR(__xludf.DUMMYFUNCTION("""COMPUTED_VALUE"""),44349.0)</f>
        <v>44349</v>
      </c>
      <c r="S1467" s="6" t="str">
        <f>IFERROR(__xludf.DUMMYFUNCTION("""COMPUTED_VALUE"""),"-")</f>
        <v>-</v>
      </c>
      <c r="T1467" s="57">
        <f>IFERROR(__xludf.DUMMYFUNCTION("""COMPUTED_VALUE"""),44402.0)</f>
        <v>44402</v>
      </c>
    </row>
    <row r="1468">
      <c r="A1468" s="6" t="str">
        <f>IFERROR(__xludf.DUMMYFUNCTION("""COMPUTED_VALUE"""),"211750180-3")</f>
        <v>211750180-3</v>
      </c>
      <c r="B1468" s="6" t="str">
        <f>IFERROR(__xludf.DUMMYFUNCTION("""COMPUTED_VALUE"""),"211750180 - Approved")</f>
        <v>211750180 - Approved</v>
      </c>
      <c r="C1468" s="6">
        <f>IFERROR(__xludf.DUMMYFUNCTION("""COMPUTED_VALUE"""),3.0)</f>
        <v>3</v>
      </c>
      <c r="D1468" s="6" t="str">
        <f>IFERROR(__xludf.DUMMYFUNCTION("""COMPUTED_VALUE"""),"Q-10128-00")</f>
        <v>Q-10128-00</v>
      </c>
      <c r="E1468" s="6" t="str">
        <f>IFERROR(__xludf.DUMMYFUNCTION("""COMPUTED_VALUE"""),"Thinner Super End/Impala")</f>
        <v>Thinner Super End/Impala</v>
      </c>
      <c r="F1468" s="6">
        <f>IFERROR(__xludf.DUMMYFUNCTION("""COMPUTED_VALUE"""),5.0)</f>
        <v>5</v>
      </c>
      <c r="G1468" s="6" t="str">
        <f>IFERROR(__xludf.DUMMYFUNCTION("""COMPUTED_VALUE"""),"Pieces")</f>
        <v>Pieces</v>
      </c>
      <c r="H1468" s="6" t="str">
        <f>IFERROR(__xludf.DUMMYFUNCTION("""COMPUTED_VALUE"""),"IDR")</f>
        <v>IDR</v>
      </c>
      <c r="I1468" s="6">
        <f>IFERROR(__xludf.DUMMYFUNCTION("""COMPUTED_VALUE"""),115000.0)</f>
        <v>115000</v>
      </c>
      <c r="J1468" s="6">
        <f>IFERROR(__xludf.DUMMYFUNCTION("""COMPUTED_VALUE"""),575000.0)</f>
        <v>575000</v>
      </c>
      <c r="K1468" s="57">
        <f>IFERROR(__xludf.DUMMYFUNCTION("""COMPUTED_VALUE"""),44376.0)</f>
        <v>44376</v>
      </c>
      <c r="L1468" s="6" t="str">
        <f>IFERROR(__xludf.DUMMYFUNCTION("""COMPUTED_VALUE"""),"FIP Engineering")</f>
        <v>FIP Engineering</v>
      </c>
      <c r="M1468" s="6" t="str">
        <f>IFERROR(__xludf.DUMMYFUNCTION("""COMPUTED_VALUE"""),"Irwan Sopian")</f>
        <v>Irwan Sopian</v>
      </c>
      <c r="N1468" s="6" t="str">
        <f>IFERROR(__xludf.DUMMYFUNCTION("""COMPUTED_VALUE"""),"FIP Engineering")</f>
        <v>FIP Engineering</v>
      </c>
      <c r="O1468" s="6" t="str">
        <f>IFERROR(__xludf.DUMMYFUNCTION("""COMPUTED_VALUE"""),"FIP-DOM-000-11304-OS00001-INA-000000")</f>
        <v>FIP-DOM-000-11304-OS00001-INA-000000</v>
      </c>
      <c r="P1468" s="6" t="str">
        <f>IFERROR(__xludf.DUMMYFUNCTION("""COMPUTED_VALUE"""),"PO Closed")</f>
        <v>PO Closed</v>
      </c>
      <c r="Q1468" s="6" t="str">
        <f>IFERROR(__xludf.DUMMYFUNCTION("""COMPUTED_VALUE"""),"GL2106031")</f>
        <v>GL2106031</v>
      </c>
      <c r="R1468" s="57">
        <f>IFERROR(__xludf.DUMMYFUNCTION("""COMPUTED_VALUE"""),44349.0)</f>
        <v>44349</v>
      </c>
      <c r="S1468" s="6" t="str">
        <f>IFERROR(__xludf.DUMMYFUNCTION("""COMPUTED_VALUE"""),"-")</f>
        <v>-</v>
      </c>
      <c r="T1468" s="57">
        <f>IFERROR(__xludf.DUMMYFUNCTION("""COMPUTED_VALUE"""),44378.0)</f>
        <v>44378</v>
      </c>
    </row>
    <row r="1469">
      <c r="A1469" s="6" t="str">
        <f>IFERROR(__xludf.DUMMYFUNCTION("""COMPUTED_VALUE"""),"211750208-1")</f>
        <v>211750208-1</v>
      </c>
      <c r="B1469" s="6" t="str">
        <f>IFERROR(__xludf.DUMMYFUNCTION("""COMPUTED_VALUE"""),"211750208 - Approved")</f>
        <v>211750208 - Approved</v>
      </c>
      <c r="C1469" s="6">
        <f>IFERROR(__xludf.DUMMYFUNCTION("""COMPUTED_VALUE"""),1.0)</f>
        <v>1</v>
      </c>
      <c r="D1469" s="6" t="str">
        <f>IFERROR(__xludf.DUMMYFUNCTION("""COMPUTED_VALUE"""),"P-50325-00")</f>
        <v>P-50325-00</v>
      </c>
      <c r="E1469" s="6" t="str">
        <f>IFERROR(__xludf.DUMMYFUNCTION("""COMPUTED_VALUE"""),"Limit Switch Z - 15GQ 22 - B 15 A / 125 / 250 VAC Highly")</f>
        <v>Limit Switch Z - 15GQ 22 - B 15 A / 125 / 250 VAC Highly</v>
      </c>
      <c r="F1469" s="6">
        <f>IFERROR(__xludf.DUMMYFUNCTION("""COMPUTED_VALUE"""),1.0)</f>
        <v>1</v>
      </c>
      <c r="G1469" s="6" t="str">
        <f>IFERROR(__xludf.DUMMYFUNCTION("""COMPUTED_VALUE"""),"Pieces")</f>
        <v>Pieces</v>
      </c>
      <c r="H1469" s="6" t="str">
        <f>IFERROR(__xludf.DUMMYFUNCTION("""COMPUTED_VALUE"""),"IDR")</f>
        <v>IDR</v>
      </c>
      <c r="I1469" s="6">
        <f>IFERROR(__xludf.DUMMYFUNCTION("""COMPUTED_VALUE"""),85000.0)</f>
        <v>85000</v>
      </c>
      <c r="J1469" s="6">
        <f>IFERROR(__xludf.DUMMYFUNCTION("""COMPUTED_VALUE"""),85000.0)</f>
        <v>85000</v>
      </c>
      <c r="K1469" s="57">
        <f>IFERROR(__xludf.DUMMYFUNCTION("""COMPUTED_VALUE"""),44386.0)</f>
        <v>44386</v>
      </c>
      <c r="L1469" s="6" t="str">
        <f>IFERROR(__xludf.DUMMYFUNCTION("""COMPUTED_VALUE"""),"FIP Engineering")</f>
        <v>FIP Engineering</v>
      </c>
      <c r="M1469" s="6" t="str">
        <f>IFERROR(__xludf.DUMMYFUNCTION("""COMPUTED_VALUE"""),"Irwan Sopian")</f>
        <v>Irwan Sopian</v>
      </c>
      <c r="N1469" s="6" t="str">
        <f>IFERROR(__xludf.DUMMYFUNCTION("""COMPUTED_VALUE"""),"FIP Engineering")</f>
        <v>FIP Engineering</v>
      </c>
      <c r="O1469" s="6" t="str">
        <f>IFERROR(__xludf.DUMMYFUNCTION("""COMPUTED_VALUE"""),"FIP-DOM-000-11304-OS00001-INA-000000")</f>
        <v>FIP-DOM-000-11304-OS00001-INA-000000</v>
      </c>
      <c r="P1469" s="6" t="str">
        <f>IFERROR(__xludf.DUMMYFUNCTION("""COMPUTED_VALUE"""),"PO Closed")</f>
        <v>PO Closed</v>
      </c>
      <c r="Q1469" s="6" t="str">
        <f>IFERROR(__xludf.DUMMYFUNCTION("""COMPUTED_VALUE"""),"GL2107013")</f>
        <v>GL2107013</v>
      </c>
      <c r="R1469" s="57">
        <f>IFERROR(__xludf.DUMMYFUNCTION("""COMPUTED_VALUE"""),44356.0)</f>
        <v>44356</v>
      </c>
      <c r="S1469" s="6" t="str">
        <f>IFERROR(__xludf.DUMMYFUNCTION("""COMPUTED_VALUE"""),"-")</f>
        <v>-</v>
      </c>
      <c r="T1469" s="57">
        <f>IFERROR(__xludf.DUMMYFUNCTION("""COMPUTED_VALUE"""),44393.0)</f>
        <v>44393</v>
      </c>
    </row>
    <row r="1470">
      <c r="A1470" s="6" t="str">
        <f>IFERROR(__xludf.DUMMYFUNCTION("""COMPUTED_VALUE"""),"211750208-2")</f>
        <v>211750208-2</v>
      </c>
      <c r="B1470" s="6" t="str">
        <f>IFERROR(__xludf.DUMMYFUNCTION("""COMPUTED_VALUE"""),"211750208 - Approved")</f>
        <v>211750208 - Approved</v>
      </c>
      <c r="C1470" s="6">
        <f>IFERROR(__xludf.DUMMYFUNCTION("""COMPUTED_VALUE"""),2.0)</f>
        <v>2</v>
      </c>
      <c r="D1470" s="6" t="str">
        <f>IFERROR(__xludf.DUMMYFUNCTION("""COMPUTED_VALUE"""),"P-51295-00")</f>
        <v>P-51295-00</v>
      </c>
      <c r="E1470" s="6" t="str">
        <f>IFERROR(__xludf.DUMMYFUNCTION("""COMPUTED_VALUE"""),"Terminal blok kuningan 4 pin 600V25A")</f>
        <v>Terminal blok kuningan 4 pin 600V25A</v>
      </c>
      <c r="F1470" s="6">
        <f>IFERROR(__xludf.DUMMYFUNCTION("""COMPUTED_VALUE"""),2.0)</f>
        <v>2</v>
      </c>
      <c r="G1470" s="6" t="str">
        <f>IFERROR(__xludf.DUMMYFUNCTION("""COMPUTED_VALUE"""),"Pieces")</f>
        <v>Pieces</v>
      </c>
      <c r="H1470" s="6" t="str">
        <f>IFERROR(__xludf.DUMMYFUNCTION("""COMPUTED_VALUE"""),"IDR")</f>
        <v>IDR</v>
      </c>
      <c r="I1470" s="6">
        <f>IFERROR(__xludf.DUMMYFUNCTION("""COMPUTED_VALUE"""),10000.0)</f>
        <v>10000</v>
      </c>
      <c r="J1470" s="6">
        <f>IFERROR(__xludf.DUMMYFUNCTION("""COMPUTED_VALUE"""),20000.0)</f>
        <v>20000</v>
      </c>
      <c r="K1470" s="57">
        <f>IFERROR(__xludf.DUMMYFUNCTION("""COMPUTED_VALUE"""),44386.0)</f>
        <v>44386</v>
      </c>
      <c r="L1470" s="6" t="str">
        <f>IFERROR(__xludf.DUMMYFUNCTION("""COMPUTED_VALUE"""),"FIP Engineering")</f>
        <v>FIP Engineering</v>
      </c>
      <c r="M1470" s="6" t="str">
        <f>IFERROR(__xludf.DUMMYFUNCTION("""COMPUTED_VALUE"""),"Irwan Sopian")</f>
        <v>Irwan Sopian</v>
      </c>
      <c r="N1470" s="6" t="str">
        <f>IFERROR(__xludf.DUMMYFUNCTION("""COMPUTED_VALUE"""),"FIP Engineering")</f>
        <v>FIP Engineering</v>
      </c>
      <c r="O1470" s="6" t="str">
        <f>IFERROR(__xludf.DUMMYFUNCTION("""COMPUTED_VALUE"""),"FIP-DOM-000-11304-OS00001-INA-000000")</f>
        <v>FIP-DOM-000-11304-OS00001-INA-000000</v>
      </c>
      <c r="P1470" s="6" t="str">
        <f>IFERROR(__xludf.DUMMYFUNCTION("""COMPUTED_VALUE"""),"PO Closed")</f>
        <v>PO Closed</v>
      </c>
      <c r="Q1470" s="6" t="str">
        <f>IFERROR(__xludf.DUMMYFUNCTION("""COMPUTED_VALUE"""),"GL2107013")</f>
        <v>GL2107013</v>
      </c>
      <c r="R1470" s="57">
        <f>IFERROR(__xludf.DUMMYFUNCTION("""COMPUTED_VALUE"""),44356.0)</f>
        <v>44356</v>
      </c>
      <c r="S1470" s="6" t="str">
        <f>IFERROR(__xludf.DUMMYFUNCTION("""COMPUTED_VALUE"""),"-")</f>
        <v>-</v>
      </c>
      <c r="T1470" s="57">
        <f>IFERROR(__xludf.DUMMYFUNCTION("""COMPUTED_VALUE"""),44393.0)</f>
        <v>44393</v>
      </c>
    </row>
    <row r="1471">
      <c r="A1471" s="6" t="str">
        <f>IFERROR(__xludf.DUMMYFUNCTION("""COMPUTED_VALUE"""),"211750208-3")</f>
        <v>211750208-3</v>
      </c>
      <c r="B1471" s="6" t="str">
        <f>IFERROR(__xludf.DUMMYFUNCTION("""COMPUTED_VALUE"""),"211750208 - Approved")</f>
        <v>211750208 - Approved</v>
      </c>
      <c r="C1471" s="6">
        <f>IFERROR(__xludf.DUMMYFUNCTION("""COMPUTED_VALUE"""),3.0)</f>
        <v>3</v>
      </c>
      <c r="D1471" s="6" t="str">
        <f>IFERROR(__xludf.DUMMYFUNCTION("""COMPUTED_VALUE"""),"P-52083-00")</f>
        <v>P-52083-00</v>
      </c>
      <c r="E1471" s="6" t="str">
        <f>IFERROR(__xludf.DUMMYFUNCTION("""COMPUTED_VALUE"""),"Kabel LeadProbe Multitester Universal")</f>
        <v>Kabel LeadProbe Multitester Universal</v>
      </c>
      <c r="F1471" s="6">
        <f>IFERROR(__xludf.DUMMYFUNCTION("""COMPUTED_VALUE"""),4.0)</f>
        <v>4</v>
      </c>
      <c r="G1471" s="6" t="str">
        <f>IFERROR(__xludf.DUMMYFUNCTION("""COMPUTED_VALUE"""),"Pieces")</f>
        <v>Pieces</v>
      </c>
      <c r="H1471" s="6" t="str">
        <f>IFERROR(__xludf.DUMMYFUNCTION("""COMPUTED_VALUE"""),"IDR")</f>
        <v>IDR</v>
      </c>
      <c r="I1471" s="6">
        <f>IFERROR(__xludf.DUMMYFUNCTION("""COMPUTED_VALUE"""),20000.0)</f>
        <v>20000</v>
      </c>
      <c r="J1471" s="6">
        <f>IFERROR(__xludf.DUMMYFUNCTION("""COMPUTED_VALUE"""),80000.0)</f>
        <v>80000</v>
      </c>
      <c r="K1471" s="57">
        <f>IFERROR(__xludf.DUMMYFUNCTION("""COMPUTED_VALUE"""),44386.0)</f>
        <v>44386</v>
      </c>
      <c r="L1471" s="6" t="str">
        <f>IFERROR(__xludf.DUMMYFUNCTION("""COMPUTED_VALUE"""),"FIP Engineering")</f>
        <v>FIP Engineering</v>
      </c>
      <c r="M1471" s="6" t="str">
        <f>IFERROR(__xludf.DUMMYFUNCTION("""COMPUTED_VALUE"""),"Irwan Sopian")</f>
        <v>Irwan Sopian</v>
      </c>
      <c r="N1471" s="6" t="str">
        <f>IFERROR(__xludf.DUMMYFUNCTION("""COMPUTED_VALUE"""),"FIP Engineering")</f>
        <v>FIP Engineering</v>
      </c>
      <c r="O1471" s="6" t="str">
        <f>IFERROR(__xludf.DUMMYFUNCTION("""COMPUTED_VALUE"""),"FIP-DOM-000-11304-OS00001-INA-000000")</f>
        <v>FIP-DOM-000-11304-OS00001-INA-000000</v>
      </c>
      <c r="P1471" s="6" t="str">
        <f>IFERROR(__xludf.DUMMYFUNCTION("""COMPUTED_VALUE"""),"PO Closed")</f>
        <v>PO Closed</v>
      </c>
      <c r="Q1471" s="6" t="str">
        <f>IFERROR(__xludf.DUMMYFUNCTION("""COMPUTED_VALUE"""),"GL2107013")</f>
        <v>GL2107013</v>
      </c>
      <c r="R1471" s="57">
        <f>IFERROR(__xludf.DUMMYFUNCTION("""COMPUTED_VALUE"""),44356.0)</f>
        <v>44356</v>
      </c>
      <c r="S1471" s="6" t="str">
        <f>IFERROR(__xludf.DUMMYFUNCTION("""COMPUTED_VALUE"""),"-")</f>
        <v>-</v>
      </c>
      <c r="T1471" s="57">
        <f>IFERROR(__xludf.DUMMYFUNCTION("""COMPUTED_VALUE"""),44393.0)</f>
        <v>44393</v>
      </c>
    </row>
    <row r="1472">
      <c r="A1472" s="6" t="str">
        <f>IFERROR(__xludf.DUMMYFUNCTION("""COMPUTED_VALUE"""),"211750212-1")</f>
        <v>211750212-1</v>
      </c>
      <c r="B1472" s="6" t="str">
        <f>IFERROR(__xludf.DUMMYFUNCTION("""COMPUTED_VALUE"""),"211750212 - Approved")</f>
        <v>211750212 - Approved</v>
      </c>
      <c r="C1472" s="6">
        <f>IFERROR(__xludf.DUMMYFUNCTION("""COMPUTED_VALUE"""),1.0)</f>
        <v>1</v>
      </c>
      <c r="D1472" s="6" t="str">
        <f>IFERROR(__xludf.DUMMYFUNCTION("""COMPUTED_VALUE"""),"O-52478-00")</f>
        <v>O-52478-00</v>
      </c>
      <c r="E1472" s="6" t="str">
        <f>IFERROR(__xludf.DUMMYFUNCTION("""COMPUTED_VALUE"""),"CRABS Z064CR-Proximity Sensor Schmersal BNS260-11ZG-ST-R")</f>
        <v>CRABS Z064CR-Proximity Sensor Schmersal BNS260-11ZG-ST-R</v>
      </c>
      <c r="F1472" s="6">
        <f>IFERROR(__xludf.DUMMYFUNCTION("""COMPUTED_VALUE"""),2.0)</f>
        <v>2</v>
      </c>
      <c r="G1472" s="6" t="str">
        <f>IFERROR(__xludf.DUMMYFUNCTION("""COMPUTED_VALUE"""),"Pieces")</f>
        <v>Pieces</v>
      </c>
      <c r="H1472" s="6" t="str">
        <f>IFERROR(__xludf.DUMMYFUNCTION("""COMPUTED_VALUE"""),"IDR")</f>
        <v>IDR</v>
      </c>
      <c r="I1472" s="6">
        <f>IFERROR(__xludf.DUMMYFUNCTION("""COMPUTED_VALUE"""),1270000.0)</f>
        <v>1270000</v>
      </c>
      <c r="J1472" s="6">
        <f>IFERROR(__xludf.DUMMYFUNCTION("""COMPUTED_VALUE"""),2540000.0)</f>
        <v>2540000</v>
      </c>
      <c r="K1472" s="57">
        <f>IFERROR(__xludf.DUMMYFUNCTION("""COMPUTED_VALUE"""),44379.0)</f>
        <v>44379</v>
      </c>
      <c r="L1472" s="6" t="str">
        <f>IFERROR(__xludf.DUMMYFUNCTION("""COMPUTED_VALUE"""),"FIP Engineering")</f>
        <v>FIP Engineering</v>
      </c>
      <c r="M1472" s="6" t="str">
        <f>IFERROR(__xludf.DUMMYFUNCTION("""COMPUTED_VALUE"""),"Irwan Sopian")</f>
        <v>Irwan Sopian</v>
      </c>
      <c r="N1472" s="6" t="str">
        <f>IFERROR(__xludf.DUMMYFUNCTION("""COMPUTED_VALUE"""),"FIP Engineering")</f>
        <v>FIP Engineering</v>
      </c>
      <c r="O1472" s="6" t="str">
        <f>IFERROR(__xludf.DUMMYFUNCTION("""COMPUTED_VALUE"""),"FIP-DOM-000-11304-OS00001-INA-000000")</f>
        <v>FIP-DOM-000-11304-OS00001-INA-000000</v>
      </c>
      <c r="P1472" s="6" t="str">
        <f>IFERROR(__xludf.DUMMYFUNCTION("""COMPUTED_VALUE"""),"PO Closed")</f>
        <v>PO Closed</v>
      </c>
      <c r="Q1472" s="6" t="str">
        <f>IFERROR(__xludf.DUMMYFUNCTION("""COMPUTED_VALUE"""),"GL2107011")</f>
        <v>GL2107011</v>
      </c>
      <c r="R1472" s="57">
        <f>IFERROR(__xludf.DUMMYFUNCTION("""COMPUTED_VALUE"""),44363.0)</f>
        <v>44363</v>
      </c>
      <c r="S1472" s="6" t="str">
        <f>IFERROR(__xludf.DUMMYFUNCTION("""COMPUTED_VALUE"""),"-")</f>
        <v>-</v>
      </c>
      <c r="T1472" s="57">
        <f>IFERROR(__xludf.DUMMYFUNCTION("""COMPUTED_VALUE"""),44428.0)</f>
        <v>44428</v>
      </c>
    </row>
    <row r="1473">
      <c r="A1473" s="6" t="str">
        <f>IFERROR(__xludf.DUMMYFUNCTION("""COMPUTED_VALUE"""),"211750208-4")</f>
        <v>211750208-4</v>
      </c>
      <c r="B1473" s="6" t="str">
        <f>IFERROR(__xludf.DUMMYFUNCTION("""COMPUTED_VALUE"""),"211750208 - Approved")</f>
        <v>211750208 - Approved</v>
      </c>
      <c r="C1473" s="6">
        <f>IFERROR(__xludf.DUMMYFUNCTION("""COMPUTED_VALUE"""),4.0)</f>
        <v>4</v>
      </c>
      <c r="D1473" s="6" t="str">
        <f>IFERROR(__xludf.DUMMYFUNCTION("""COMPUTED_VALUE"""),"P-52082-00")</f>
        <v>P-52082-00</v>
      </c>
      <c r="E1473" s="6" t="str">
        <f>IFERROR(__xludf.DUMMYFUNCTION("""COMPUTED_VALUE"""),"Watt Meter (Pengukur Voltage,KWH dan Tegangan Arus Daya Listrik); ; ;")</f>
        <v>Watt Meter (Pengukur Voltage,KWH dan Tegangan Arus Daya Listrik); ; ;</v>
      </c>
      <c r="F1473" s="6">
        <f>IFERROR(__xludf.DUMMYFUNCTION("""COMPUTED_VALUE"""),1.0)</f>
        <v>1</v>
      </c>
      <c r="G1473" s="6" t="str">
        <f>IFERROR(__xludf.DUMMYFUNCTION("""COMPUTED_VALUE"""),"Pieces")</f>
        <v>Pieces</v>
      </c>
      <c r="H1473" s="6" t="str">
        <f>IFERROR(__xludf.DUMMYFUNCTION("""COMPUTED_VALUE"""),"IDR")</f>
        <v>IDR</v>
      </c>
      <c r="I1473" s="6">
        <f>IFERROR(__xludf.DUMMYFUNCTION("""COMPUTED_VALUE"""),120000.0)</f>
        <v>120000</v>
      </c>
      <c r="J1473" s="6">
        <f>IFERROR(__xludf.DUMMYFUNCTION("""COMPUTED_VALUE"""),120000.0)</f>
        <v>120000</v>
      </c>
      <c r="K1473" s="57">
        <f>IFERROR(__xludf.DUMMYFUNCTION("""COMPUTED_VALUE"""),44386.0)</f>
        <v>44386</v>
      </c>
      <c r="L1473" s="6" t="str">
        <f>IFERROR(__xludf.DUMMYFUNCTION("""COMPUTED_VALUE"""),"FIP Engineering")</f>
        <v>FIP Engineering</v>
      </c>
      <c r="M1473" s="6" t="str">
        <f>IFERROR(__xludf.DUMMYFUNCTION("""COMPUTED_VALUE"""),"Irwan Sopian")</f>
        <v>Irwan Sopian</v>
      </c>
      <c r="N1473" s="6" t="str">
        <f>IFERROR(__xludf.DUMMYFUNCTION("""COMPUTED_VALUE"""),"FIP Engineering")</f>
        <v>FIP Engineering</v>
      </c>
      <c r="O1473" s="6" t="str">
        <f>IFERROR(__xludf.DUMMYFUNCTION("""COMPUTED_VALUE"""),"FIP-DOM-000-11304-OS00001-INA-000000")</f>
        <v>FIP-DOM-000-11304-OS00001-INA-000000</v>
      </c>
      <c r="P1473" s="6" t="str">
        <f>IFERROR(__xludf.DUMMYFUNCTION("""COMPUTED_VALUE"""),"PO Closed")</f>
        <v>PO Closed</v>
      </c>
      <c r="Q1473" s="6" t="str">
        <f>IFERROR(__xludf.DUMMYFUNCTION("""COMPUTED_VALUE"""),"GL2107013")</f>
        <v>GL2107013</v>
      </c>
      <c r="R1473" s="57">
        <f>IFERROR(__xludf.DUMMYFUNCTION("""COMPUTED_VALUE"""),44363.0)</f>
        <v>44363</v>
      </c>
      <c r="S1473" s="6" t="str">
        <f>IFERROR(__xludf.DUMMYFUNCTION("""COMPUTED_VALUE"""),"-")</f>
        <v>-</v>
      </c>
      <c r="T1473" s="57">
        <f>IFERROR(__xludf.DUMMYFUNCTION("""COMPUTED_VALUE"""),44393.0)</f>
        <v>44393</v>
      </c>
    </row>
    <row r="1474">
      <c r="A1474" s="6" t="str">
        <f>IFERROR(__xludf.DUMMYFUNCTION("""COMPUTED_VALUE"""),"211750208-5")</f>
        <v>211750208-5</v>
      </c>
      <c r="B1474" s="6" t="str">
        <f>IFERROR(__xludf.DUMMYFUNCTION("""COMPUTED_VALUE"""),"211750208 - Approved")</f>
        <v>211750208 - Approved</v>
      </c>
      <c r="C1474" s="6">
        <f>IFERROR(__xludf.DUMMYFUNCTION("""COMPUTED_VALUE"""),5.0)</f>
        <v>5</v>
      </c>
      <c r="D1474" s="6" t="str">
        <f>IFERROR(__xludf.DUMMYFUNCTION("""COMPUTED_VALUE"""),"Q-10683-00")</f>
        <v>Q-10683-00</v>
      </c>
      <c r="E1474" s="6" t="str">
        <f>IFERROR(__xludf.DUMMYFUNCTION("""COMPUTED_VALUE"""),"Stiker Vinil A3")</f>
        <v>Stiker Vinil A3</v>
      </c>
      <c r="F1474" s="6">
        <f>IFERROR(__xludf.DUMMYFUNCTION("""COMPUTED_VALUE"""),6.0)</f>
        <v>6</v>
      </c>
      <c r="G1474" s="6" t="str">
        <f>IFERROR(__xludf.DUMMYFUNCTION("""COMPUTED_VALUE"""),"Pieces")</f>
        <v>Pieces</v>
      </c>
      <c r="H1474" s="6" t="str">
        <f>IFERROR(__xludf.DUMMYFUNCTION("""COMPUTED_VALUE"""),"IDR")</f>
        <v>IDR</v>
      </c>
      <c r="I1474" s="6">
        <f>IFERROR(__xludf.DUMMYFUNCTION("""COMPUTED_VALUE"""),15000.0)</f>
        <v>15000</v>
      </c>
      <c r="J1474" s="6">
        <f>IFERROR(__xludf.DUMMYFUNCTION("""COMPUTED_VALUE"""),90000.0)</f>
        <v>90000</v>
      </c>
      <c r="K1474" s="57">
        <f>IFERROR(__xludf.DUMMYFUNCTION("""COMPUTED_VALUE"""),44386.0)</f>
        <v>44386</v>
      </c>
      <c r="L1474" s="6" t="str">
        <f>IFERROR(__xludf.DUMMYFUNCTION("""COMPUTED_VALUE"""),"FIP General")</f>
        <v>FIP General</v>
      </c>
      <c r="M1474" s="6" t="str">
        <f>IFERROR(__xludf.DUMMYFUNCTION("""COMPUTED_VALUE"""),"Irwan Sopian")</f>
        <v>Irwan Sopian</v>
      </c>
      <c r="N1474" s="6" t="str">
        <f>IFERROR(__xludf.DUMMYFUNCTION("""COMPUTED_VALUE"""),"FIP Engineering")</f>
        <v>FIP Engineering</v>
      </c>
      <c r="O1474" s="6" t="str">
        <f>IFERROR(__xludf.DUMMYFUNCTION("""COMPUTED_VALUE"""),"FIP-DOM-ENG-51502-0000000-INA-000000")</f>
        <v>FIP-DOM-ENG-51502-0000000-INA-000000</v>
      </c>
      <c r="P1474" s="6" t="str">
        <f>IFERROR(__xludf.DUMMYFUNCTION("""COMPUTED_VALUE"""),"PO Closed")</f>
        <v>PO Closed</v>
      </c>
      <c r="Q1474" s="6" t="str">
        <f>IFERROR(__xludf.DUMMYFUNCTION("""COMPUTED_VALUE"""),"GL2106041")</f>
        <v>GL2106041</v>
      </c>
      <c r="R1474" s="57">
        <f>IFERROR(__xludf.DUMMYFUNCTION("""COMPUTED_VALUE"""),44363.0)</f>
        <v>44363</v>
      </c>
      <c r="S1474" s="6" t="str">
        <f>IFERROR(__xludf.DUMMYFUNCTION("""COMPUTED_VALUE"""),"-")</f>
        <v>-</v>
      </c>
      <c r="T1474" s="57">
        <f>IFERROR(__xludf.DUMMYFUNCTION("""COMPUTED_VALUE"""),44392.0)</f>
        <v>44392</v>
      </c>
    </row>
    <row r="1475">
      <c r="A1475" s="6" t="str">
        <f>IFERROR(__xludf.DUMMYFUNCTION("""COMPUTED_VALUE"""),"211750208-6")</f>
        <v>211750208-6</v>
      </c>
      <c r="B1475" s="6" t="str">
        <f>IFERROR(__xludf.DUMMYFUNCTION("""COMPUTED_VALUE"""),"211750208 - Approved")</f>
        <v>211750208 - Approved</v>
      </c>
      <c r="C1475" s="6">
        <f>IFERROR(__xludf.DUMMYFUNCTION("""COMPUTED_VALUE"""),6.0)</f>
        <v>6</v>
      </c>
      <c r="D1475" s="6" t="str">
        <f>IFERROR(__xludf.DUMMYFUNCTION("""COMPUTED_VALUE"""),"P-14407-00")</f>
        <v>P-14407-00</v>
      </c>
      <c r="E1475" s="6" t="str">
        <f>IFERROR(__xludf.DUMMYFUNCTION("""COMPUTED_VALUE"""),"Gate Valve 1/2 inch")</f>
        <v>Gate Valve 1/2 inch</v>
      </c>
      <c r="F1475" s="6">
        <f>IFERROR(__xludf.DUMMYFUNCTION("""COMPUTED_VALUE"""),1.0)</f>
        <v>1</v>
      </c>
      <c r="G1475" s="6" t="str">
        <f>IFERROR(__xludf.DUMMYFUNCTION("""COMPUTED_VALUE"""),"Pieces")</f>
        <v>Pieces</v>
      </c>
      <c r="H1475" s="6" t="str">
        <f>IFERROR(__xludf.DUMMYFUNCTION("""COMPUTED_VALUE"""),"IDR")</f>
        <v>IDR</v>
      </c>
      <c r="I1475" s="6">
        <f>IFERROR(__xludf.DUMMYFUNCTION("""COMPUTED_VALUE"""),80000.0)</f>
        <v>80000</v>
      </c>
      <c r="J1475" s="6">
        <f>IFERROR(__xludf.DUMMYFUNCTION("""COMPUTED_VALUE"""),80000.0)</f>
        <v>80000</v>
      </c>
      <c r="K1475" s="57">
        <f>IFERROR(__xludf.DUMMYFUNCTION("""COMPUTED_VALUE"""),44386.0)</f>
        <v>44386</v>
      </c>
      <c r="L1475" s="6" t="str">
        <f>IFERROR(__xludf.DUMMYFUNCTION("""COMPUTED_VALUE"""),"FIP Engineering")</f>
        <v>FIP Engineering</v>
      </c>
      <c r="M1475" s="6" t="str">
        <f>IFERROR(__xludf.DUMMYFUNCTION("""COMPUTED_VALUE"""),"Irwan Sopian")</f>
        <v>Irwan Sopian</v>
      </c>
      <c r="N1475" s="6" t="str">
        <f>IFERROR(__xludf.DUMMYFUNCTION("""COMPUTED_VALUE"""),"FIP Engineering")</f>
        <v>FIP Engineering</v>
      </c>
      <c r="O1475" s="6" t="str">
        <f>IFERROR(__xludf.DUMMYFUNCTION("""COMPUTED_VALUE"""),"FIP-DOM-000-11304-OS00001-INA-000000")</f>
        <v>FIP-DOM-000-11304-OS00001-INA-000000</v>
      </c>
      <c r="P1475" s="6" t="str">
        <f>IFERROR(__xludf.DUMMYFUNCTION("""COMPUTED_VALUE"""),"PO Closed")</f>
        <v>PO Closed</v>
      </c>
      <c r="Q1475" s="6" t="str">
        <f>IFERROR(__xludf.DUMMYFUNCTION("""COMPUTED_VALUE"""),"GL2107013")</f>
        <v>GL2107013</v>
      </c>
      <c r="R1475" s="57">
        <f>IFERROR(__xludf.DUMMYFUNCTION("""COMPUTED_VALUE"""),44363.0)</f>
        <v>44363</v>
      </c>
      <c r="S1475" s="6" t="str">
        <f>IFERROR(__xludf.DUMMYFUNCTION("""COMPUTED_VALUE"""),"-")</f>
        <v>-</v>
      </c>
      <c r="T1475" s="57">
        <f>IFERROR(__xludf.DUMMYFUNCTION("""COMPUTED_VALUE"""),44393.0)</f>
        <v>44393</v>
      </c>
    </row>
    <row r="1476">
      <c r="A1476" s="6" t="str">
        <f>IFERROR(__xludf.DUMMYFUNCTION("""COMPUTED_VALUE"""),"211750208-7")</f>
        <v>211750208-7</v>
      </c>
      <c r="B1476" s="6" t="str">
        <f>IFERROR(__xludf.DUMMYFUNCTION("""COMPUTED_VALUE"""),"211750208 - Approved")</f>
        <v>211750208 - Approved</v>
      </c>
      <c r="C1476" s="6">
        <f>IFERROR(__xludf.DUMMYFUNCTION("""COMPUTED_VALUE"""),7.0)</f>
        <v>7</v>
      </c>
      <c r="D1476" s="6" t="str">
        <f>IFERROR(__xludf.DUMMYFUNCTION("""COMPUTED_VALUE"""),"S-11203-00")</f>
        <v>S-11203-00</v>
      </c>
      <c r="E1476" s="6" t="str">
        <f>IFERROR(__xludf.DUMMYFUNCTION("""COMPUTED_VALUE"""),"Sabun Cuci Piring Sunlight Lemmon Refill 800 ml")</f>
        <v>Sabun Cuci Piring Sunlight Lemmon Refill 800 ml</v>
      </c>
      <c r="F1476" s="6">
        <f>IFERROR(__xludf.DUMMYFUNCTION("""COMPUTED_VALUE"""),2.0)</f>
        <v>2</v>
      </c>
      <c r="G1476" s="6" t="str">
        <f>IFERROR(__xludf.DUMMYFUNCTION("""COMPUTED_VALUE"""),"Pack")</f>
        <v>Pack</v>
      </c>
      <c r="H1476" s="6" t="str">
        <f>IFERROR(__xludf.DUMMYFUNCTION("""COMPUTED_VALUE"""),"IDR")</f>
        <v>IDR</v>
      </c>
      <c r="I1476" s="6">
        <f>IFERROR(__xludf.DUMMYFUNCTION("""COMPUTED_VALUE"""),15000.0)</f>
        <v>15000</v>
      </c>
      <c r="J1476" s="6">
        <f>IFERROR(__xludf.DUMMYFUNCTION("""COMPUTED_VALUE"""),30000.0)</f>
        <v>30000</v>
      </c>
      <c r="K1476" s="57">
        <f>IFERROR(__xludf.DUMMYFUNCTION("""COMPUTED_VALUE"""),44386.0)</f>
        <v>44386</v>
      </c>
      <c r="L1476" s="6" t="str">
        <f>IFERROR(__xludf.DUMMYFUNCTION("""COMPUTED_VALUE"""),"FIP General")</f>
        <v>FIP General</v>
      </c>
      <c r="M1476" s="6" t="str">
        <f>IFERROR(__xludf.DUMMYFUNCTION("""COMPUTED_VALUE"""),"Irwan Sopian")</f>
        <v>Irwan Sopian</v>
      </c>
      <c r="N1476" s="6" t="str">
        <f>IFERROR(__xludf.DUMMYFUNCTION("""COMPUTED_VALUE"""),"FIP Engineering")</f>
        <v>FIP Engineering</v>
      </c>
      <c r="O1476" s="6" t="str">
        <f>IFERROR(__xludf.DUMMYFUNCTION("""COMPUTED_VALUE"""),"FIP-DOM-ENG-51302-0000000-INA-000000")</f>
        <v>FIP-DOM-ENG-51302-0000000-INA-000000</v>
      </c>
      <c r="P1476" s="6" t="str">
        <f>IFERROR(__xludf.DUMMYFUNCTION("""COMPUTED_VALUE"""),"PO Closed")</f>
        <v>PO Closed</v>
      </c>
      <c r="Q1476" s="6" t="str">
        <f>IFERROR(__xludf.DUMMYFUNCTION("""COMPUTED_VALUE"""),"GL2107013")</f>
        <v>GL2107013</v>
      </c>
      <c r="R1476" s="57">
        <f>IFERROR(__xludf.DUMMYFUNCTION("""COMPUTED_VALUE"""),44363.0)</f>
        <v>44363</v>
      </c>
      <c r="S1476" s="6" t="str">
        <f>IFERROR(__xludf.DUMMYFUNCTION("""COMPUTED_VALUE"""),"-")</f>
        <v>-</v>
      </c>
      <c r="T1476" s="57">
        <f>IFERROR(__xludf.DUMMYFUNCTION("""COMPUTED_VALUE"""),44393.0)</f>
        <v>44393</v>
      </c>
    </row>
    <row r="1477">
      <c r="A1477" s="6" t="str">
        <f>IFERROR(__xludf.DUMMYFUNCTION("""COMPUTED_VALUE"""),"211750208-8")</f>
        <v>211750208-8</v>
      </c>
      <c r="B1477" s="6" t="str">
        <f>IFERROR(__xludf.DUMMYFUNCTION("""COMPUTED_VALUE"""),"211750208 - Approved")</f>
        <v>211750208 - Approved</v>
      </c>
      <c r="C1477" s="6">
        <f>IFERROR(__xludf.DUMMYFUNCTION("""COMPUTED_VALUE"""),8.0)</f>
        <v>8</v>
      </c>
      <c r="D1477" s="6" t="str">
        <f>IFERROR(__xludf.DUMMYFUNCTION("""COMPUTED_VALUE"""),"Q-10154-00")</f>
        <v>Q-10154-00</v>
      </c>
      <c r="E1477" s="6" t="str">
        <f>IFERROR(__xludf.DUMMYFUNCTION("""COMPUTED_VALUE"""),"Roller cat 230mm")</f>
        <v>Roller cat 230mm</v>
      </c>
      <c r="F1477" s="6">
        <f>IFERROR(__xludf.DUMMYFUNCTION("""COMPUTED_VALUE"""),1.0)</f>
        <v>1</v>
      </c>
      <c r="G1477" s="6" t="str">
        <f>IFERROR(__xludf.DUMMYFUNCTION("""COMPUTED_VALUE"""),"Pieces")</f>
        <v>Pieces</v>
      </c>
      <c r="H1477" s="6" t="str">
        <f>IFERROR(__xludf.DUMMYFUNCTION("""COMPUTED_VALUE"""),"IDR")</f>
        <v>IDR</v>
      </c>
      <c r="I1477" s="6">
        <f>IFERROR(__xludf.DUMMYFUNCTION("""COMPUTED_VALUE"""),10000.0)</f>
        <v>10000</v>
      </c>
      <c r="J1477" s="6">
        <f>IFERROR(__xludf.DUMMYFUNCTION("""COMPUTED_VALUE"""),10000.0)</f>
        <v>10000</v>
      </c>
      <c r="K1477" s="57">
        <f>IFERROR(__xludf.DUMMYFUNCTION("""COMPUTED_VALUE"""),44386.0)</f>
        <v>44386</v>
      </c>
      <c r="L1477" s="6" t="str">
        <f>IFERROR(__xludf.DUMMYFUNCTION("""COMPUTED_VALUE"""),"FIP Engineering")</f>
        <v>FIP Engineering</v>
      </c>
      <c r="M1477" s="6" t="str">
        <f>IFERROR(__xludf.DUMMYFUNCTION("""COMPUTED_VALUE"""),"Irwan Sopian")</f>
        <v>Irwan Sopian</v>
      </c>
      <c r="N1477" s="6" t="str">
        <f>IFERROR(__xludf.DUMMYFUNCTION("""COMPUTED_VALUE"""),"FIP Engineering")</f>
        <v>FIP Engineering</v>
      </c>
      <c r="O1477" s="6" t="str">
        <f>IFERROR(__xludf.DUMMYFUNCTION("""COMPUTED_VALUE"""),"FIP-DOM-000-11304-OS00001-INA-000000")</f>
        <v>FIP-DOM-000-11304-OS00001-INA-000000</v>
      </c>
      <c r="P1477" s="6" t="str">
        <f>IFERROR(__xludf.DUMMYFUNCTION("""COMPUTED_VALUE"""),"PO Closed")</f>
        <v>PO Closed</v>
      </c>
      <c r="Q1477" s="6" t="str">
        <f>IFERROR(__xludf.DUMMYFUNCTION("""COMPUTED_VALUE"""),"GL2106041")</f>
        <v>GL2106041</v>
      </c>
      <c r="R1477" s="57">
        <f>IFERROR(__xludf.DUMMYFUNCTION("""COMPUTED_VALUE"""),44363.0)</f>
        <v>44363</v>
      </c>
      <c r="S1477" s="6" t="str">
        <f>IFERROR(__xludf.DUMMYFUNCTION("""COMPUTED_VALUE"""),"-")</f>
        <v>-</v>
      </c>
      <c r="T1477" s="57">
        <f>IFERROR(__xludf.DUMMYFUNCTION("""COMPUTED_VALUE"""),44392.0)</f>
        <v>44392</v>
      </c>
    </row>
    <row r="1478">
      <c r="A1478" s="6" t="str">
        <f>IFERROR(__xludf.DUMMYFUNCTION("""COMPUTED_VALUE"""),"211750208-9")</f>
        <v>211750208-9</v>
      </c>
      <c r="B1478" s="6" t="str">
        <f>IFERROR(__xludf.DUMMYFUNCTION("""COMPUTED_VALUE"""),"211750208 - Approved")</f>
        <v>211750208 - Approved</v>
      </c>
      <c r="C1478" s="6">
        <f>IFERROR(__xludf.DUMMYFUNCTION("""COMPUTED_VALUE"""),9.0)</f>
        <v>9</v>
      </c>
      <c r="D1478" s="6" t="str">
        <f>IFERROR(__xludf.DUMMYFUNCTION("""COMPUTED_VALUE"""),"P-17176-00")</f>
        <v>P-17176-00</v>
      </c>
      <c r="E1478" s="6" t="str">
        <f>IFERROR(__xludf.DUMMYFUNCTION("""COMPUTED_VALUE"""),"Protection Cover For Emergency Push Button 22mm FORT")</f>
        <v>Protection Cover For Emergency Push Button 22mm FORT</v>
      </c>
      <c r="F1478" s="6">
        <f>IFERROR(__xludf.DUMMYFUNCTION("""COMPUTED_VALUE"""),5.0)</f>
        <v>5</v>
      </c>
      <c r="G1478" s="6" t="str">
        <f>IFERROR(__xludf.DUMMYFUNCTION("""COMPUTED_VALUE"""),"Pieces")</f>
        <v>Pieces</v>
      </c>
      <c r="H1478" s="6" t="str">
        <f>IFERROR(__xludf.DUMMYFUNCTION("""COMPUTED_VALUE"""),"IDR")</f>
        <v>IDR</v>
      </c>
      <c r="I1478" s="6">
        <f>IFERROR(__xludf.DUMMYFUNCTION("""COMPUTED_VALUE"""),20000.0)</f>
        <v>20000</v>
      </c>
      <c r="J1478" s="6">
        <f>IFERROR(__xludf.DUMMYFUNCTION("""COMPUTED_VALUE"""),100000.0)</f>
        <v>100000</v>
      </c>
      <c r="K1478" s="57">
        <f>IFERROR(__xludf.DUMMYFUNCTION("""COMPUTED_VALUE"""),44386.0)</f>
        <v>44386</v>
      </c>
      <c r="L1478" s="6" t="str">
        <f>IFERROR(__xludf.DUMMYFUNCTION("""COMPUTED_VALUE"""),"FIP General")</f>
        <v>FIP General</v>
      </c>
      <c r="M1478" s="6" t="str">
        <f>IFERROR(__xludf.DUMMYFUNCTION("""COMPUTED_VALUE"""),"Irwan Sopian")</f>
        <v>Irwan Sopian</v>
      </c>
      <c r="N1478" s="6" t="str">
        <f>IFERROR(__xludf.DUMMYFUNCTION("""COMPUTED_VALUE"""),"FIP Engineering")</f>
        <v>FIP Engineering</v>
      </c>
      <c r="O1478" s="6" t="str">
        <f>IFERROR(__xludf.DUMMYFUNCTION("""COMPUTED_VALUE"""),"FIP-DOM-ENG-51504-0000000-INA-000000")</f>
        <v>FIP-DOM-ENG-51504-0000000-INA-000000</v>
      </c>
      <c r="P1478" s="6" t="str">
        <f>IFERROR(__xludf.DUMMYFUNCTION("""COMPUTED_VALUE"""),"PO Closed")</f>
        <v>PO Closed</v>
      </c>
      <c r="Q1478" s="6" t="str">
        <f>IFERROR(__xludf.DUMMYFUNCTION("""COMPUTED_VALUE"""),"GL2107013")</f>
        <v>GL2107013</v>
      </c>
      <c r="R1478" s="57">
        <f>IFERROR(__xludf.DUMMYFUNCTION("""COMPUTED_VALUE"""),44363.0)</f>
        <v>44363</v>
      </c>
      <c r="S1478" s="6" t="str">
        <f>IFERROR(__xludf.DUMMYFUNCTION("""COMPUTED_VALUE"""),"-")</f>
        <v>-</v>
      </c>
      <c r="T1478" s="57">
        <f>IFERROR(__xludf.DUMMYFUNCTION("""COMPUTED_VALUE"""),44393.0)</f>
        <v>44393</v>
      </c>
    </row>
    <row r="1479">
      <c r="A1479" s="6" t="str">
        <f>IFERROR(__xludf.DUMMYFUNCTION("""COMPUTED_VALUE"""),"211750208-10")</f>
        <v>211750208-10</v>
      </c>
      <c r="B1479" s="6" t="str">
        <f>IFERROR(__xludf.DUMMYFUNCTION("""COMPUTED_VALUE"""),"211750208 - Approved")</f>
        <v>211750208 - Approved</v>
      </c>
      <c r="C1479" s="6">
        <f>IFERROR(__xludf.DUMMYFUNCTION("""COMPUTED_VALUE"""),10.0)</f>
        <v>10</v>
      </c>
      <c r="D1479" s="6" t="str">
        <f>IFERROR(__xludf.DUMMYFUNCTION("""COMPUTED_VALUE"""),"P-52081-00")</f>
        <v>P-52081-00</v>
      </c>
      <c r="E1479" s="6" t="str">
        <f>IFERROR(__xludf.DUMMYFUNCTION("""COMPUTED_VALUE"""),"Reed Switch Magnetical")</f>
        <v>Reed Switch Magnetical</v>
      </c>
      <c r="F1479" s="6">
        <f>IFERROR(__xludf.DUMMYFUNCTION("""COMPUTED_VALUE"""),5.0)</f>
        <v>5</v>
      </c>
      <c r="G1479" s="6" t="str">
        <f>IFERROR(__xludf.DUMMYFUNCTION("""COMPUTED_VALUE"""),"Pieces")</f>
        <v>Pieces</v>
      </c>
      <c r="H1479" s="6" t="str">
        <f>IFERROR(__xludf.DUMMYFUNCTION("""COMPUTED_VALUE"""),"IDR")</f>
        <v>IDR</v>
      </c>
      <c r="I1479" s="6">
        <f>IFERROR(__xludf.DUMMYFUNCTION("""COMPUTED_VALUE"""),10000.0)</f>
        <v>10000</v>
      </c>
      <c r="J1479" s="6">
        <f>IFERROR(__xludf.DUMMYFUNCTION("""COMPUTED_VALUE"""),50000.0)</f>
        <v>50000</v>
      </c>
      <c r="K1479" s="57">
        <f>IFERROR(__xludf.DUMMYFUNCTION("""COMPUTED_VALUE"""),44386.0)</f>
        <v>44386</v>
      </c>
      <c r="L1479" s="6" t="str">
        <f>IFERROR(__xludf.DUMMYFUNCTION("""COMPUTED_VALUE"""),"FIP Engineering")</f>
        <v>FIP Engineering</v>
      </c>
      <c r="M1479" s="6" t="str">
        <f>IFERROR(__xludf.DUMMYFUNCTION("""COMPUTED_VALUE"""),"Irwan Sopian")</f>
        <v>Irwan Sopian</v>
      </c>
      <c r="N1479" s="6" t="str">
        <f>IFERROR(__xludf.DUMMYFUNCTION("""COMPUTED_VALUE"""),"FIP Engineering")</f>
        <v>FIP Engineering</v>
      </c>
      <c r="O1479" s="6" t="str">
        <f>IFERROR(__xludf.DUMMYFUNCTION("""COMPUTED_VALUE"""),"FIP-DOM-000-11304-OS00001-INA-000000")</f>
        <v>FIP-DOM-000-11304-OS00001-INA-000000</v>
      </c>
      <c r="P1479" s="6" t="str">
        <f>IFERROR(__xludf.DUMMYFUNCTION("""COMPUTED_VALUE"""),"PO Closed")</f>
        <v>PO Closed</v>
      </c>
      <c r="Q1479" s="6" t="str">
        <f>IFERROR(__xludf.DUMMYFUNCTION("""COMPUTED_VALUE"""),"GL2107013")</f>
        <v>GL2107013</v>
      </c>
      <c r="R1479" s="57">
        <f>IFERROR(__xludf.DUMMYFUNCTION("""COMPUTED_VALUE"""),44363.0)</f>
        <v>44363</v>
      </c>
      <c r="S1479" s="6" t="str">
        <f>IFERROR(__xludf.DUMMYFUNCTION("""COMPUTED_VALUE"""),"-")</f>
        <v>-</v>
      </c>
      <c r="T1479" s="57">
        <f>IFERROR(__xludf.DUMMYFUNCTION("""COMPUTED_VALUE"""),44393.0)</f>
        <v>44393</v>
      </c>
    </row>
    <row r="1480">
      <c r="A1480" s="6" t="str">
        <f>IFERROR(__xludf.DUMMYFUNCTION("""COMPUTED_VALUE"""),"211750208-11")</f>
        <v>211750208-11</v>
      </c>
      <c r="B1480" s="6" t="str">
        <f>IFERROR(__xludf.DUMMYFUNCTION("""COMPUTED_VALUE"""),"211750208 - Approved")</f>
        <v>211750208 - Approved</v>
      </c>
      <c r="C1480" s="6">
        <f>IFERROR(__xludf.DUMMYFUNCTION("""COMPUTED_VALUE"""),11.0)</f>
        <v>11</v>
      </c>
      <c r="D1480" s="6" t="str">
        <f>IFERROR(__xludf.DUMMYFUNCTION("""COMPUTED_VALUE"""),"P-52084-00")</f>
        <v>P-52084-00</v>
      </c>
      <c r="E1480" s="6" t="str">
        <f>IFERROR(__xludf.DUMMYFUNCTION("""COMPUTED_VALUE"""),"Speaker Soundbar Mini Sonigrear")</f>
        <v>Speaker Soundbar Mini Sonigrear</v>
      </c>
      <c r="F1480" s="6">
        <f>IFERROR(__xludf.DUMMYFUNCTION("""COMPUTED_VALUE"""),1.0)</f>
        <v>1</v>
      </c>
      <c r="G1480" s="6" t="str">
        <f>IFERROR(__xludf.DUMMYFUNCTION("""COMPUTED_VALUE"""),"Pieces")</f>
        <v>Pieces</v>
      </c>
      <c r="H1480" s="6" t="str">
        <f>IFERROR(__xludf.DUMMYFUNCTION("""COMPUTED_VALUE"""),"IDR")</f>
        <v>IDR</v>
      </c>
      <c r="I1480" s="6">
        <f>IFERROR(__xludf.DUMMYFUNCTION("""COMPUTED_VALUE"""),70000.0)</f>
        <v>70000</v>
      </c>
      <c r="J1480" s="6">
        <f>IFERROR(__xludf.DUMMYFUNCTION("""COMPUTED_VALUE"""),70000.0)</f>
        <v>70000</v>
      </c>
      <c r="K1480" s="57">
        <f>IFERROR(__xludf.DUMMYFUNCTION("""COMPUTED_VALUE"""),44386.0)</f>
        <v>44386</v>
      </c>
      <c r="L1480" s="6" t="str">
        <f>IFERROR(__xludf.DUMMYFUNCTION("""COMPUTED_VALUE"""),"FIP General")</f>
        <v>FIP General</v>
      </c>
      <c r="M1480" s="6" t="str">
        <f>IFERROR(__xludf.DUMMYFUNCTION("""COMPUTED_VALUE"""),"Irwan Sopian")</f>
        <v>Irwan Sopian</v>
      </c>
      <c r="N1480" s="6" t="str">
        <f>IFERROR(__xludf.DUMMYFUNCTION("""COMPUTED_VALUE"""),"FIP Engineering")</f>
        <v>FIP Engineering</v>
      </c>
      <c r="O1480" s="6" t="str">
        <f>IFERROR(__xludf.DUMMYFUNCTION("""COMPUTED_VALUE"""),"FIP-DOM-ENG-51504-0000000-INA-000000")</f>
        <v>FIP-DOM-ENG-51504-0000000-INA-000000</v>
      </c>
      <c r="P1480" s="6" t="str">
        <f>IFERROR(__xludf.DUMMYFUNCTION("""COMPUTED_VALUE"""),"PO Closed")</f>
        <v>PO Closed</v>
      </c>
      <c r="Q1480" s="6" t="str">
        <f>IFERROR(__xludf.DUMMYFUNCTION("""COMPUTED_VALUE"""),"GL2107013")</f>
        <v>GL2107013</v>
      </c>
      <c r="R1480" s="57">
        <f>IFERROR(__xludf.DUMMYFUNCTION("""COMPUTED_VALUE"""),44363.0)</f>
        <v>44363</v>
      </c>
      <c r="S1480" s="6" t="str">
        <f>IFERROR(__xludf.DUMMYFUNCTION("""COMPUTED_VALUE"""),"-")</f>
        <v>-</v>
      </c>
      <c r="T1480" s="57">
        <f>IFERROR(__xludf.DUMMYFUNCTION("""COMPUTED_VALUE"""),44393.0)</f>
        <v>44393</v>
      </c>
    </row>
    <row r="1481">
      <c r="A1481" s="6" t="str">
        <f>IFERROR(__xludf.DUMMYFUNCTION("""COMPUTED_VALUE"""),"211750208-12")</f>
        <v>211750208-12</v>
      </c>
      <c r="B1481" s="6" t="str">
        <f>IFERROR(__xludf.DUMMYFUNCTION("""COMPUTED_VALUE"""),"211750208 - Approved")</f>
        <v>211750208 - Approved</v>
      </c>
      <c r="C1481" s="6">
        <f>IFERROR(__xludf.DUMMYFUNCTION("""COMPUTED_VALUE"""),12.0)</f>
        <v>12</v>
      </c>
      <c r="D1481" s="6" t="str">
        <f>IFERROR(__xludf.DUMMYFUNCTION("""COMPUTED_VALUE"""),"P-52080-00")</f>
        <v>P-52080-00</v>
      </c>
      <c r="E1481" s="6" t="str">
        <f>IFERROR(__xludf.DUMMYFUNCTION("""COMPUTED_VALUE"""),"USB Adapter Wifi Wireless TP LINK WN725N")</f>
        <v>USB Adapter Wifi Wireless TP LINK WN725N</v>
      </c>
      <c r="F1481" s="6">
        <f>IFERROR(__xludf.DUMMYFUNCTION("""COMPUTED_VALUE"""),1.0)</f>
        <v>1</v>
      </c>
      <c r="G1481" s="6" t="str">
        <f>IFERROR(__xludf.DUMMYFUNCTION("""COMPUTED_VALUE"""),"Pieces")</f>
        <v>Pieces</v>
      </c>
      <c r="H1481" s="6" t="str">
        <f>IFERROR(__xludf.DUMMYFUNCTION("""COMPUTED_VALUE"""),"IDR")</f>
        <v>IDR</v>
      </c>
      <c r="I1481" s="6">
        <f>IFERROR(__xludf.DUMMYFUNCTION("""COMPUTED_VALUE"""),86000.0)</f>
        <v>86000</v>
      </c>
      <c r="J1481" s="6">
        <f>IFERROR(__xludf.DUMMYFUNCTION("""COMPUTED_VALUE"""),86000.0)</f>
        <v>86000</v>
      </c>
      <c r="K1481" s="57">
        <f>IFERROR(__xludf.DUMMYFUNCTION("""COMPUTED_VALUE"""),44386.0)</f>
        <v>44386</v>
      </c>
      <c r="L1481" s="6" t="str">
        <f>IFERROR(__xludf.DUMMYFUNCTION("""COMPUTED_VALUE"""),"FIP Engineering")</f>
        <v>FIP Engineering</v>
      </c>
      <c r="M1481" s="6" t="str">
        <f>IFERROR(__xludf.DUMMYFUNCTION("""COMPUTED_VALUE"""),"Irwan Sopian")</f>
        <v>Irwan Sopian</v>
      </c>
      <c r="N1481" s="6" t="str">
        <f>IFERROR(__xludf.DUMMYFUNCTION("""COMPUTED_VALUE"""),"FIP Engineering")</f>
        <v>FIP Engineering</v>
      </c>
      <c r="O1481" s="6" t="str">
        <f>IFERROR(__xludf.DUMMYFUNCTION("""COMPUTED_VALUE"""),"FIP-DOM-000-11304-OS00001-INA-000000")</f>
        <v>FIP-DOM-000-11304-OS00001-INA-000000</v>
      </c>
      <c r="P1481" s="6" t="str">
        <f>IFERROR(__xludf.DUMMYFUNCTION("""COMPUTED_VALUE"""),"PO Closed")</f>
        <v>PO Closed</v>
      </c>
      <c r="Q1481" s="6" t="str">
        <f>IFERROR(__xludf.DUMMYFUNCTION("""COMPUTED_VALUE"""),"GL2107013")</f>
        <v>GL2107013</v>
      </c>
      <c r="R1481" s="57">
        <f>IFERROR(__xludf.DUMMYFUNCTION("""COMPUTED_VALUE"""),44363.0)</f>
        <v>44363</v>
      </c>
      <c r="S1481" s="6" t="str">
        <f>IFERROR(__xludf.DUMMYFUNCTION("""COMPUTED_VALUE"""),"-")</f>
        <v>-</v>
      </c>
      <c r="T1481" s="57">
        <f>IFERROR(__xludf.DUMMYFUNCTION("""COMPUTED_VALUE"""),44393.0)</f>
        <v>44393</v>
      </c>
    </row>
    <row r="1482">
      <c r="A1482" s="6" t="str">
        <f>IFERROR(__xludf.DUMMYFUNCTION("""COMPUTED_VALUE"""),"211750208-13")</f>
        <v>211750208-13</v>
      </c>
      <c r="B1482" s="6" t="str">
        <f>IFERROR(__xludf.DUMMYFUNCTION("""COMPUTED_VALUE"""),"211750208 - Approved")</f>
        <v>211750208 - Approved</v>
      </c>
      <c r="C1482" s="6">
        <f>IFERROR(__xludf.DUMMYFUNCTION("""COMPUTED_VALUE"""),13.0)</f>
        <v>13</v>
      </c>
      <c r="D1482" s="6" t="str">
        <f>IFERROR(__xludf.DUMMYFUNCTION("""COMPUTED_VALUE"""),"P-10390-00")</f>
        <v>P-10390-00</v>
      </c>
      <c r="E1482" s="6" t="str">
        <f>IFERROR(__xludf.DUMMYFUNCTION("""COMPUTED_VALUE"""),"Ball Valve PVC 1""")</f>
        <v>Ball Valve PVC 1"</v>
      </c>
      <c r="F1482" s="6">
        <f>IFERROR(__xludf.DUMMYFUNCTION("""COMPUTED_VALUE"""),1.0)</f>
        <v>1</v>
      </c>
      <c r="G1482" s="6" t="str">
        <f>IFERROR(__xludf.DUMMYFUNCTION("""COMPUTED_VALUE"""),"Pieces")</f>
        <v>Pieces</v>
      </c>
      <c r="H1482" s="6" t="str">
        <f>IFERROR(__xludf.DUMMYFUNCTION("""COMPUTED_VALUE"""),"IDR")</f>
        <v>IDR</v>
      </c>
      <c r="I1482" s="6">
        <f>IFERROR(__xludf.DUMMYFUNCTION("""COMPUTED_VALUE"""),25000.0)</f>
        <v>25000</v>
      </c>
      <c r="J1482" s="6">
        <f>IFERROR(__xludf.DUMMYFUNCTION("""COMPUTED_VALUE"""),25000.0)</f>
        <v>25000</v>
      </c>
      <c r="K1482" s="57">
        <f>IFERROR(__xludf.DUMMYFUNCTION("""COMPUTED_VALUE"""),44386.0)</f>
        <v>44386</v>
      </c>
      <c r="L1482" s="6" t="str">
        <f>IFERROR(__xludf.DUMMYFUNCTION("""COMPUTED_VALUE"""),"FIP Engineering")</f>
        <v>FIP Engineering</v>
      </c>
      <c r="M1482" s="6" t="str">
        <f>IFERROR(__xludf.DUMMYFUNCTION("""COMPUTED_VALUE"""),"Irwan Sopian")</f>
        <v>Irwan Sopian</v>
      </c>
      <c r="N1482" s="6" t="str">
        <f>IFERROR(__xludf.DUMMYFUNCTION("""COMPUTED_VALUE"""),"FIP Engineering")</f>
        <v>FIP Engineering</v>
      </c>
      <c r="O1482" s="6" t="str">
        <f>IFERROR(__xludf.DUMMYFUNCTION("""COMPUTED_VALUE"""),"FIP-DOM-000-11304-OS00001-INA-000000")</f>
        <v>FIP-DOM-000-11304-OS00001-INA-000000</v>
      </c>
      <c r="P1482" s="6" t="str">
        <f>IFERROR(__xludf.DUMMYFUNCTION("""COMPUTED_VALUE"""),"PO Closed")</f>
        <v>PO Closed</v>
      </c>
      <c r="Q1482" s="6" t="str">
        <f>IFERROR(__xludf.DUMMYFUNCTION("""COMPUTED_VALUE"""),"GL2107013")</f>
        <v>GL2107013</v>
      </c>
      <c r="R1482" s="57">
        <f>IFERROR(__xludf.DUMMYFUNCTION("""COMPUTED_VALUE"""),44363.0)</f>
        <v>44363</v>
      </c>
      <c r="S1482" s="6" t="str">
        <f>IFERROR(__xludf.DUMMYFUNCTION("""COMPUTED_VALUE"""),"-")</f>
        <v>-</v>
      </c>
      <c r="T1482" s="57">
        <f>IFERROR(__xludf.DUMMYFUNCTION("""COMPUTED_VALUE"""),44393.0)</f>
        <v>44393</v>
      </c>
    </row>
    <row r="1483">
      <c r="A1483" s="6" t="str">
        <f>IFERROR(__xludf.DUMMYFUNCTION("""COMPUTED_VALUE"""),"211750213-1")</f>
        <v>211750213-1</v>
      </c>
      <c r="B1483" s="6" t="str">
        <f>IFERROR(__xludf.DUMMYFUNCTION("""COMPUTED_VALUE"""),"211750213 - Approved")</f>
        <v>211750213 - Approved</v>
      </c>
      <c r="C1483" s="6">
        <f>IFERROR(__xludf.DUMMYFUNCTION("""COMPUTED_VALUE"""),1.0)</f>
        <v>1</v>
      </c>
      <c r="D1483" s="6" t="str">
        <f>IFERROR(__xludf.DUMMYFUNCTION("""COMPUTED_VALUE"""),"O-60001-00")</f>
        <v>O-60001-00</v>
      </c>
      <c r="E1483" s="6" t="str">
        <f>IFERROR(__xludf.DUMMYFUNCTION("""COMPUTED_VALUE"""),"Perbaikan CC Thermolab Retaind Sample")</f>
        <v>Perbaikan CC Thermolab Retaind Sample</v>
      </c>
      <c r="F1483" s="6">
        <f>IFERROR(__xludf.DUMMYFUNCTION("""COMPUTED_VALUE"""),1.0)</f>
        <v>1</v>
      </c>
      <c r="G1483" s="6" t="str">
        <f>IFERROR(__xludf.DUMMYFUNCTION("""COMPUTED_VALUE"""),"Lot")</f>
        <v>Lot</v>
      </c>
      <c r="H1483" s="6" t="str">
        <f>IFERROR(__xludf.DUMMYFUNCTION("""COMPUTED_VALUE"""),"IDR")</f>
        <v>IDR</v>
      </c>
      <c r="I1483" s="6">
        <f>IFERROR(__xludf.DUMMYFUNCTION("""COMPUTED_VALUE"""),1250000.0)</f>
        <v>1250000</v>
      </c>
      <c r="J1483" s="6">
        <f>IFERROR(__xludf.DUMMYFUNCTION("""COMPUTED_VALUE"""),1250000.0)</f>
        <v>1250000</v>
      </c>
      <c r="K1483" s="57">
        <f>IFERROR(__xludf.DUMMYFUNCTION("""COMPUTED_VALUE"""),44393.0)</f>
        <v>44393</v>
      </c>
      <c r="L1483" s="6" t="str">
        <f>IFERROR(__xludf.DUMMYFUNCTION("""COMPUTED_VALUE"""),"FIP General")</f>
        <v>FIP General</v>
      </c>
      <c r="M1483" s="6" t="str">
        <f>IFERROR(__xludf.DUMMYFUNCTION("""COMPUTED_VALUE"""),"Irwan Sopian")</f>
        <v>Irwan Sopian</v>
      </c>
      <c r="N1483" s="6" t="str">
        <f>IFERROR(__xludf.DUMMYFUNCTION("""COMPUTED_VALUE"""),"FIP Engineering")</f>
        <v>FIP Engineering</v>
      </c>
      <c r="O1483" s="6" t="str">
        <f>IFERROR(__xludf.DUMMYFUNCTION("""COMPUTED_VALUE"""),"FIP-DOM-ENG-51504-0000000-INA-000000")</f>
        <v>FIP-DOM-ENG-51504-0000000-INA-000000</v>
      </c>
      <c r="P1483" s="6" t="str">
        <f>IFERROR(__xludf.DUMMYFUNCTION("""COMPUTED_VALUE"""),"PO Closed")</f>
        <v>PO Closed</v>
      </c>
      <c r="Q1483" s="6" t="str">
        <f>IFERROR(__xludf.DUMMYFUNCTION("""COMPUTED_VALUE"""),"GL2107012")</f>
        <v>GL2107012</v>
      </c>
      <c r="R1483" s="57">
        <f>IFERROR(__xludf.DUMMYFUNCTION("""COMPUTED_VALUE"""),44365.0)</f>
        <v>44365</v>
      </c>
      <c r="S1483" s="6" t="str">
        <f>IFERROR(__xludf.DUMMYFUNCTION("""COMPUTED_VALUE"""),"-")</f>
        <v>-</v>
      </c>
      <c r="T1483" s="57">
        <f>IFERROR(__xludf.DUMMYFUNCTION("""COMPUTED_VALUE"""),44444.0)</f>
        <v>44444</v>
      </c>
    </row>
    <row r="1484">
      <c r="A1484" s="6" t="str">
        <f>IFERROR(__xludf.DUMMYFUNCTION("""COMPUTED_VALUE"""),"211750214-1")</f>
        <v>211750214-1</v>
      </c>
      <c r="B1484" s="6" t="str">
        <f>IFERROR(__xludf.DUMMYFUNCTION("""COMPUTED_VALUE"""),"211750214 - Approved")</f>
        <v>211750214 - Approved</v>
      </c>
      <c r="C1484" s="6">
        <f>IFERROR(__xludf.DUMMYFUNCTION("""COMPUTED_VALUE"""),1.0)</f>
        <v>1</v>
      </c>
      <c r="D1484" s="6" t="str">
        <f>IFERROR(__xludf.DUMMYFUNCTION("""COMPUTED_VALUE"""),"O-16097-00")</f>
        <v>O-16097-00</v>
      </c>
      <c r="E1484" s="6" t="str">
        <f>IFERROR(__xludf.DUMMYFUNCTION("""COMPUTED_VALUE"""),"FILTER KIT FOR 92XX/94XX MITRA PACK, PT P/N : A40989 pc")</f>
        <v>FILTER KIT FOR 92XX/94XX MITRA PACK, PT P/N : A40989 pc</v>
      </c>
      <c r="F1484" s="6">
        <f>IFERROR(__xludf.DUMMYFUNCTION("""COMPUTED_VALUE"""),1.0)</f>
        <v>1</v>
      </c>
      <c r="G1484" s="6" t="str">
        <f>IFERROR(__xludf.DUMMYFUNCTION("""COMPUTED_VALUE"""),"Unit")</f>
        <v>Unit</v>
      </c>
      <c r="H1484" s="6" t="str">
        <f>IFERROR(__xludf.DUMMYFUNCTION("""COMPUTED_VALUE"""),"IDR")</f>
        <v>IDR</v>
      </c>
      <c r="I1484" s="6">
        <f>IFERROR(__xludf.DUMMYFUNCTION("""COMPUTED_VALUE"""),3100000.0)</f>
        <v>3100000</v>
      </c>
      <c r="J1484" s="6">
        <f>IFERROR(__xludf.DUMMYFUNCTION("""COMPUTED_VALUE"""),3100000.0)</f>
        <v>3100000</v>
      </c>
      <c r="K1484" s="57">
        <f>IFERROR(__xludf.DUMMYFUNCTION("""COMPUTED_VALUE"""),44407.0)</f>
        <v>44407</v>
      </c>
      <c r="L1484" s="6" t="str">
        <f>IFERROR(__xludf.DUMMYFUNCTION("""COMPUTED_VALUE"""),"FIP Engineering")</f>
        <v>FIP Engineering</v>
      </c>
      <c r="M1484" s="6" t="str">
        <f>IFERROR(__xludf.DUMMYFUNCTION("""COMPUTED_VALUE"""),"Irwan Sopian")</f>
        <v>Irwan Sopian</v>
      </c>
      <c r="N1484" s="6" t="str">
        <f>IFERROR(__xludf.DUMMYFUNCTION("""COMPUTED_VALUE"""),"FIP Engineering")</f>
        <v>FIP Engineering</v>
      </c>
      <c r="O1484" s="6" t="str">
        <f>IFERROR(__xludf.DUMMYFUNCTION("""COMPUTED_VALUE"""),"FIP-DOM-000-11304-OS00001-INA-000000")</f>
        <v>FIP-DOM-000-11304-OS00001-INA-000000</v>
      </c>
      <c r="P1484" s="6" t="str">
        <f>IFERROR(__xludf.DUMMYFUNCTION("""COMPUTED_VALUE"""),"PO Closed")</f>
        <v>PO Closed</v>
      </c>
      <c r="Q1484" s="6" t="str">
        <f>IFERROR(__xludf.DUMMYFUNCTION("""COMPUTED_VALUE"""),"GL2108028")</f>
        <v>GL2108028</v>
      </c>
      <c r="R1484" s="57">
        <f>IFERROR(__xludf.DUMMYFUNCTION("""COMPUTED_VALUE"""),44371.0)</f>
        <v>44371</v>
      </c>
      <c r="S1484" s="6" t="str">
        <f>IFERROR(__xludf.DUMMYFUNCTION("""COMPUTED_VALUE"""),"-")</f>
        <v>-</v>
      </c>
      <c r="T1484" s="57">
        <f>IFERROR(__xludf.DUMMYFUNCTION("""COMPUTED_VALUE"""),44433.0)</f>
        <v>44433</v>
      </c>
    </row>
    <row r="1485">
      <c r="A1485" s="6" t="str">
        <f>IFERROR(__xludf.DUMMYFUNCTION("""COMPUTED_VALUE"""),"211750214-2")</f>
        <v>211750214-2</v>
      </c>
      <c r="B1485" s="6" t="str">
        <f>IFERROR(__xludf.DUMMYFUNCTION("""COMPUTED_VALUE"""),"211750214 - Approved")</f>
        <v>211750214 - Approved</v>
      </c>
      <c r="C1485" s="6">
        <f>IFERROR(__xludf.DUMMYFUNCTION("""COMPUTED_VALUE"""),2.0)</f>
        <v>2</v>
      </c>
      <c r="D1485" s="6" t="str">
        <f>IFERROR(__xludf.DUMMYFUNCTION("""COMPUTED_VALUE"""),"O-60001-00")</f>
        <v>O-60001-00</v>
      </c>
      <c r="E1485" s="6" t="str">
        <f>IFERROR(__xludf.DUMMYFUNCTION("""COMPUTED_VALUE"""),"Jasa Flushing")</f>
        <v>Jasa Flushing</v>
      </c>
      <c r="F1485" s="6">
        <f>IFERROR(__xludf.DUMMYFUNCTION("""COMPUTED_VALUE"""),1.0)</f>
        <v>1</v>
      </c>
      <c r="G1485" s="6" t="str">
        <f>IFERROR(__xludf.DUMMYFUNCTION("""COMPUTED_VALUE"""),"Lot")</f>
        <v>Lot</v>
      </c>
      <c r="H1485" s="6" t="str">
        <f>IFERROR(__xludf.DUMMYFUNCTION("""COMPUTED_VALUE"""),"IDR")</f>
        <v>IDR</v>
      </c>
      <c r="I1485" s="6">
        <f>IFERROR(__xludf.DUMMYFUNCTION("""COMPUTED_VALUE"""),2000000.0)</f>
        <v>2000000</v>
      </c>
      <c r="J1485" s="6">
        <f>IFERROR(__xludf.DUMMYFUNCTION("""COMPUTED_VALUE"""),2000000.0)</f>
        <v>2000000</v>
      </c>
      <c r="K1485" s="57">
        <f>IFERROR(__xludf.DUMMYFUNCTION("""COMPUTED_VALUE"""),44407.0)</f>
        <v>44407</v>
      </c>
      <c r="L1485" s="6" t="str">
        <f>IFERROR(__xludf.DUMMYFUNCTION("""COMPUTED_VALUE"""),"FIP General")</f>
        <v>FIP General</v>
      </c>
      <c r="M1485" s="6" t="str">
        <f>IFERROR(__xludf.DUMMYFUNCTION("""COMPUTED_VALUE"""),"Irwan Sopian")</f>
        <v>Irwan Sopian</v>
      </c>
      <c r="N1485" s="6" t="str">
        <f>IFERROR(__xludf.DUMMYFUNCTION("""COMPUTED_VALUE"""),"FIP Engineering")</f>
        <v>FIP Engineering</v>
      </c>
      <c r="O1485" s="6" t="str">
        <f>IFERROR(__xludf.DUMMYFUNCTION("""COMPUTED_VALUE"""),"FIP-DOM-ENG-51504-0000000-INA-000000")</f>
        <v>FIP-DOM-ENG-51504-0000000-INA-000000</v>
      </c>
      <c r="P1485" s="6" t="str">
        <f>IFERROR(__xludf.DUMMYFUNCTION("""COMPUTED_VALUE"""),"PO Closed")</f>
        <v>PO Closed</v>
      </c>
      <c r="Q1485" s="6" t="str">
        <f>IFERROR(__xludf.DUMMYFUNCTION("""COMPUTED_VALUE"""),"GL2108028")</f>
        <v>GL2108028</v>
      </c>
      <c r="R1485" s="57">
        <f>IFERROR(__xludf.DUMMYFUNCTION("""COMPUTED_VALUE"""),44371.0)</f>
        <v>44371</v>
      </c>
      <c r="S1485" s="6" t="str">
        <f>IFERROR(__xludf.DUMMYFUNCTION("""COMPUTED_VALUE"""),"-")</f>
        <v>-</v>
      </c>
      <c r="T1485" s="57">
        <f>IFERROR(__xludf.DUMMYFUNCTION("""COMPUTED_VALUE"""),44433.0)</f>
        <v>44433</v>
      </c>
    </row>
    <row r="1486">
      <c r="A1486" s="6" t="str">
        <f>IFERROR(__xludf.DUMMYFUNCTION("""COMPUTED_VALUE"""),"211750228-1")</f>
        <v>211750228-1</v>
      </c>
      <c r="B1486" s="6" t="str">
        <f>IFERROR(__xludf.DUMMYFUNCTION("""COMPUTED_VALUE"""),"211750228 - Approved")</f>
        <v>211750228 - Approved</v>
      </c>
      <c r="C1486" s="6">
        <f>IFERROR(__xludf.DUMMYFUNCTION("""COMPUTED_VALUE"""),1.0)</f>
        <v>1</v>
      </c>
      <c r="D1486" s="6" t="str">
        <f>IFERROR(__xludf.DUMMYFUNCTION("""COMPUTED_VALUE"""),"P-51741-00")</f>
        <v>P-51741-00</v>
      </c>
      <c r="E1486" s="6" t="str">
        <f>IFERROR(__xludf.DUMMYFUNCTION("""COMPUTED_VALUE"""),"Lampu Phillips PHP LED 710 7w E27 White 220-240v")</f>
        <v>Lampu Phillips PHP LED 710 7w E27 White 220-240v</v>
      </c>
      <c r="F1486" s="6">
        <f>IFERROR(__xludf.DUMMYFUNCTION("""COMPUTED_VALUE"""),5.0)</f>
        <v>5</v>
      </c>
      <c r="G1486" s="6" t="str">
        <f>IFERROR(__xludf.DUMMYFUNCTION("""COMPUTED_VALUE"""),"Pieces")</f>
        <v>Pieces</v>
      </c>
      <c r="H1486" s="6" t="str">
        <f>IFERROR(__xludf.DUMMYFUNCTION("""COMPUTED_VALUE"""),"IDR")</f>
        <v>IDR</v>
      </c>
      <c r="I1486" s="6">
        <f>IFERROR(__xludf.DUMMYFUNCTION("""COMPUTED_VALUE"""),31000.0)</f>
        <v>31000</v>
      </c>
      <c r="J1486" s="6">
        <f>IFERROR(__xludf.DUMMYFUNCTION("""COMPUTED_VALUE"""),155000.0)</f>
        <v>155000</v>
      </c>
      <c r="K1486" s="57">
        <f>IFERROR(__xludf.DUMMYFUNCTION("""COMPUTED_VALUE"""),44421.0)</f>
        <v>44421</v>
      </c>
      <c r="L1486" s="6" t="str">
        <f>IFERROR(__xludf.DUMMYFUNCTION("""COMPUTED_VALUE"""),"FIP Engineering")</f>
        <v>FIP Engineering</v>
      </c>
      <c r="M1486" s="6" t="str">
        <f>IFERROR(__xludf.DUMMYFUNCTION("""COMPUTED_VALUE"""),"Joko Nugroho")</f>
        <v>Joko Nugroho</v>
      </c>
      <c r="N1486" s="6" t="str">
        <f>IFERROR(__xludf.DUMMYFUNCTION("""COMPUTED_VALUE"""),"FIP Engineering")</f>
        <v>FIP Engineering</v>
      </c>
      <c r="O1486" s="6" t="str">
        <f>IFERROR(__xludf.DUMMYFUNCTION("""COMPUTED_VALUE"""),"FIP-DOM-000-11304-OS00001-INA-000000")</f>
        <v>FIP-DOM-000-11304-OS00001-INA-000000</v>
      </c>
      <c r="P1486" s="6" t="str">
        <f>IFERROR(__xludf.DUMMYFUNCTION("""COMPUTED_VALUE"""),"PO Closed")</f>
        <v>PO Closed</v>
      </c>
      <c r="Q1486" s="6" t="str">
        <f>IFERROR(__xludf.DUMMYFUNCTION("""COMPUTED_VALUE"""),"GL2108019")</f>
        <v>GL2108019</v>
      </c>
      <c r="R1486" s="57">
        <f>IFERROR(__xludf.DUMMYFUNCTION("""COMPUTED_VALUE"""),44379.0)</f>
        <v>44379</v>
      </c>
      <c r="S1486" s="6" t="str">
        <f>IFERROR(__xludf.DUMMYFUNCTION("""COMPUTED_VALUE"""),"-")</f>
        <v>-</v>
      </c>
      <c r="T1486" s="57">
        <f>IFERROR(__xludf.DUMMYFUNCTION("""COMPUTED_VALUE"""),44438.0)</f>
        <v>44438</v>
      </c>
    </row>
    <row r="1487">
      <c r="A1487" s="6" t="str">
        <f>IFERROR(__xludf.DUMMYFUNCTION("""COMPUTED_VALUE"""),"211750228-2")</f>
        <v>211750228-2</v>
      </c>
      <c r="B1487" s="6" t="str">
        <f>IFERROR(__xludf.DUMMYFUNCTION("""COMPUTED_VALUE"""),"211750228 - Approved")</f>
        <v>211750228 - Approved</v>
      </c>
      <c r="C1487" s="6">
        <f>IFERROR(__xludf.DUMMYFUNCTION("""COMPUTED_VALUE"""),2.0)</f>
        <v>2</v>
      </c>
      <c r="D1487" s="6" t="str">
        <f>IFERROR(__xludf.DUMMYFUNCTION("""COMPUTED_VALUE"""),"P-12764-00")</f>
        <v>P-12764-00</v>
      </c>
      <c r="E1487" s="6" t="str">
        <f>IFERROR(__xludf.DUMMYFUNCTION("""COMPUTED_VALUE"""),"Silicone gasket for ferrule dia 1/2inch Taiwan")</f>
        <v>Silicone gasket for ferrule dia 1/2inch Taiwan</v>
      </c>
      <c r="F1487" s="6">
        <f>IFERROR(__xludf.DUMMYFUNCTION("""COMPUTED_VALUE"""),5.0)</f>
        <v>5</v>
      </c>
      <c r="G1487" s="6" t="str">
        <f>IFERROR(__xludf.DUMMYFUNCTION("""COMPUTED_VALUE"""),"Pieces")</f>
        <v>Pieces</v>
      </c>
      <c r="H1487" s="6" t="str">
        <f>IFERROR(__xludf.DUMMYFUNCTION("""COMPUTED_VALUE"""),"IDR")</f>
        <v>IDR</v>
      </c>
      <c r="I1487" s="6">
        <f>IFERROR(__xludf.DUMMYFUNCTION("""COMPUTED_VALUE"""),12000.0)</f>
        <v>12000</v>
      </c>
      <c r="J1487" s="6">
        <f>IFERROR(__xludf.DUMMYFUNCTION("""COMPUTED_VALUE"""),60000.0)</f>
        <v>60000</v>
      </c>
      <c r="K1487" s="57">
        <f>IFERROR(__xludf.DUMMYFUNCTION("""COMPUTED_VALUE"""),44421.0)</f>
        <v>44421</v>
      </c>
      <c r="L1487" s="6" t="str">
        <f>IFERROR(__xludf.DUMMYFUNCTION("""COMPUTED_VALUE"""),"FIP Engineering")</f>
        <v>FIP Engineering</v>
      </c>
      <c r="M1487" s="6" t="str">
        <f>IFERROR(__xludf.DUMMYFUNCTION("""COMPUTED_VALUE"""),"Joko Nugroho")</f>
        <v>Joko Nugroho</v>
      </c>
      <c r="N1487" s="6" t="str">
        <f>IFERROR(__xludf.DUMMYFUNCTION("""COMPUTED_VALUE"""),"FIP Engineering")</f>
        <v>FIP Engineering</v>
      </c>
      <c r="O1487" s="6" t="str">
        <f>IFERROR(__xludf.DUMMYFUNCTION("""COMPUTED_VALUE"""),"FIP-DOM-000-11304-OS00001-INA-000000")</f>
        <v>FIP-DOM-000-11304-OS00001-INA-000000</v>
      </c>
      <c r="P1487" s="6" t="str">
        <f>IFERROR(__xludf.DUMMYFUNCTION("""COMPUTED_VALUE"""),"PO Closed")</f>
        <v>PO Closed</v>
      </c>
      <c r="Q1487" s="6" t="str">
        <f>IFERROR(__xludf.DUMMYFUNCTION("""COMPUTED_VALUE"""),"GL2108019")</f>
        <v>GL2108019</v>
      </c>
      <c r="R1487" s="57">
        <f>IFERROR(__xludf.DUMMYFUNCTION("""COMPUTED_VALUE"""),44379.0)</f>
        <v>44379</v>
      </c>
      <c r="S1487" s="6" t="str">
        <f>IFERROR(__xludf.DUMMYFUNCTION("""COMPUTED_VALUE"""),"-")</f>
        <v>-</v>
      </c>
      <c r="T1487" s="57">
        <f>IFERROR(__xludf.DUMMYFUNCTION("""COMPUTED_VALUE"""),44438.0)</f>
        <v>44438</v>
      </c>
    </row>
    <row r="1488">
      <c r="A1488" s="6" t="str">
        <f>IFERROR(__xludf.DUMMYFUNCTION("""COMPUTED_VALUE"""),"211750228-3")</f>
        <v>211750228-3</v>
      </c>
      <c r="B1488" s="6" t="str">
        <f>IFERROR(__xludf.DUMMYFUNCTION("""COMPUTED_VALUE"""),"211750228 - Approved")</f>
        <v>211750228 - Approved</v>
      </c>
      <c r="C1488" s="6">
        <f>IFERROR(__xludf.DUMMYFUNCTION("""COMPUTED_VALUE"""),3.0)</f>
        <v>3</v>
      </c>
      <c r="D1488" s="6" t="str">
        <f>IFERROR(__xludf.DUMMYFUNCTION("""COMPUTED_VALUE"""),"P-53169-00")</f>
        <v>P-53169-00</v>
      </c>
      <c r="E1488" s="6" t="str">
        <f>IFERROR(__xludf.DUMMYFUNCTION("""COMPUTED_VALUE"""),"Ballast Electronic EB-C 228 TL5, 2x28W; Phillips; ;")</f>
        <v>Ballast Electronic EB-C 228 TL5, 2x28W; Phillips; ;</v>
      </c>
      <c r="F1488" s="6">
        <f>IFERROR(__xludf.DUMMYFUNCTION("""COMPUTED_VALUE"""),2.0)</f>
        <v>2</v>
      </c>
      <c r="G1488" s="6" t="str">
        <f>IFERROR(__xludf.DUMMYFUNCTION("""COMPUTED_VALUE"""),"Pieces")</f>
        <v>Pieces</v>
      </c>
      <c r="H1488" s="6" t="str">
        <f>IFERROR(__xludf.DUMMYFUNCTION("""COMPUTED_VALUE"""),"IDR")</f>
        <v>IDR</v>
      </c>
      <c r="I1488" s="6">
        <f>IFERROR(__xludf.DUMMYFUNCTION("""COMPUTED_VALUE"""),115000.0)</f>
        <v>115000</v>
      </c>
      <c r="J1488" s="6">
        <f>IFERROR(__xludf.DUMMYFUNCTION("""COMPUTED_VALUE"""),230000.0)</f>
        <v>230000</v>
      </c>
      <c r="K1488" s="57">
        <f>IFERROR(__xludf.DUMMYFUNCTION("""COMPUTED_VALUE"""),44421.0)</f>
        <v>44421</v>
      </c>
      <c r="L1488" s="6" t="str">
        <f>IFERROR(__xludf.DUMMYFUNCTION("""COMPUTED_VALUE"""),"FIP Engineering")</f>
        <v>FIP Engineering</v>
      </c>
      <c r="M1488" s="6" t="str">
        <f>IFERROR(__xludf.DUMMYFUNCTION("""COMPUTED_VALUE"""),"Joko Nugroho")</f>
        <v>Joko Nugroho</v>
      </c>
      <c r="N1488" s="6" t="str">
        <f>IFERROR(__xludf.DUMMYFUNCTION("""COMPUTED_VALUE"""),"FIP Engineering")</f>
        <v>FIP Engineering</v>
      </c>
      <c r="O1488" s="6" t="str">
        <f>IFERROR(__xludf.DUMMYFUNCTION("""COMPUTED_VALUE"""),"FIP-DOM-000-11304-OS00001-INA-000000")</f>
        <v>FIP-DOM-000-11304-OS00001-INA-000000</v>
      </c>
      <c r="P1488" s="6" t="str">
        <f>IFERROR(__xludf.DUMMYFUNCTION("""COMPUTED_VALUE"""),"PO Closed")</f>
        <v>PO Closed</v>
      </c>
      <c r="Q1488" s="6" t="str">
        <f>IFERROR(__xludf.DUMMYFUNCTION("""COMPUTED_VALUE"""),"GL2108019")</f>
        <v>GL2108019</v>
      </c>
      <c r="R1488" s="57">
        <f>IFERROR(__xludf.DUMMYFUNCTION("""COMPUTED_VALUE"""),44379.0)</f>
        <v>44379</v>
      </c>
      <c r="S1488" s="6" t="str">
        <f>IFERROR(__xludf.DUMMYFUNCTION("""COMPUTED_VALUE"""),"-")</f>
        <v>-</v>
      </c>
      <c r="T1488" s="57">
        <f>IFERROR(__xludf.DUMMYFUNCTION("""COMPUTED_VALUE"""),44438.0)</f>
        <v>44438</v>
      </c>
    </row>
    <row r="1489">
      <c r="A1489" s="6" t="str">
        <f>IFERROR(__xludf.DUMMYFUNCTION("""COMPUTED_VALUE"""),"211750228-4")</f>
        <v>211750228-4</v>
      </c>
      <c r="B1489" s="6" t="str">
        <f>IFERROR(__xludf.DUMMYFUNCTION("""COMPUTED_VALUE"""),"211750228 - Approved")</f>
        <v>211750228 - Approved</v>
      </c>
      <c r="C1489" s="6">
        <f>IFERROR(__xludf.DUMMYFUNCTION("""COMPUTED_VALUE"""),4.0)</f>
        <v>4</v>
      </c>
      <c r="D1489" s="6" t="str">
        <f>IFERROR(__xludf.DUMMYFUNCTION("""COMPUTED_VALUE"""),"P-10945-00")</f>
        <v>P-10945-00</v>
      </c>
      <c r="E1489" s="6" t="str">
        <f>IFERROR(__xludf.DUMMYFUNCTION("""COMPUTED_VALUE"""),"Insulation - Seal Tape onda")</f>
        <v>Insulation - Seal Tape onda</v>
      </c>
      <c r="F1489" s="6">
        <f>IFERROR(__xludf.DUMMYFUNCTION("""COMPUTED_VALUE"""),6.0)</f>
        <v>6</v>
      </c>
      <c r="G1489" s="6" t="str">
        <f>IFERROR(__xludf.DUMMYFUNCTION("""COMPUTED_VALUE"""),"Pieces")</f>
        <v>Pieces</v>
      </c>
      <c r="H1489" s="6" t="str">
        <f>IFERROR(__xludf.DUMMYFUNCTION("""COMPUTED_VALUE"""),"IDR")</f>
        <v>IDR</v>
      </c>
      <c r="I1489" s="6">
        <f>IFERROR(__xludf.DUMMYFUNCTION("""COMPUTED_VALUE"""),4500.0)</f>
        <v>4500</v>
      </c>
      <c r="J1489" s="6">
        <f>IFERROR(__xludf.DUMMYFUNCTION("""COMPUTED_VALUE"""),27000.0)</f>
        <v>27000</v>
      </c>
      <c r="K1489" s="57">
        <f>IFERROR(__xludf.DUMMYFUNCTION("""COMPUTED_VALUE"""),44421.0)</f>
        <v>44421</v>
      </c>
      <c r="L1489" s="6" t="str">
        <f>IFERROR(__xludf.DUMMYFUNCTION("""COMPUTED_VALUE"""),"FIP Engineering")</f>
        <v>FIP Engineering</v>
      </c>
      <c r="M1489" s="6" t="str">
        <f>IFERROR(__xludf.DUMMYFUNCTION("""COMPUTED_VALUE"""),"Joko Nugroho")</f>
        <v>Joko Nugroho</v>
      </c>
      <c r="N1489" s="6" t="str">
        <f>IFERROR(__xludf.DUMMYFUNCTION("""COMPUTED_VALUE"""),"FIP Engineering")</f>
        <v>FIP Engineering</v>
      </c>
      <c r="O1489" s="6" t="str">
        <f>IFERROR(__xludf.DUMMYFUNCTION("""COMPUTED_VALUE"""),"FIP-DOM-000-11304-OS00001-INA-000000")</f>
        <v>FIP-DOM-000-11304-OS00001-INA-000000</v>
      </c>
      <c r="P1489" s="6" t="str">
        <f>IFERROR(__xludf.DUMMYFUNCTION("""COMPUTED_VALUE"""),"PO Closed")</f>
        <v>PO Closed</v>
      </c>
      <c r="Q1489" s="6" t="str">
        <f>IFERROR(__xludf.DUMMYFUNCTION("""COMPUTED_VALUE"""),"GL2108019")</f>
        <v>GL2108019</v>
      </c>
      <c r="R1489" s="57">
        <f>IFERROR(__xludf.DUMMYFUNCTION("""COMPUTED_VALUE"""),44379.0)</f>
        <v>44379</v>
      </c>
      <c r="S1489" s="6" t="str">
        <f>IFERROR(__xludf.DUMMYFUNCTION("""COMPUTED_VALUE"""),"-")</f>
        <v>-</v>
      </c>
      <c r="T1489" s="57">
        <f>IFERROR(__xludf.DUMMYFUNCTION("""COMPUTED_VALUE"""),44438.0)</f>
        <v>44438</v>
      </c>
    </row>
    <row r="1490">
      <c r="A1490" s="6" t="str">
        <f>IFERROR(__xludf.DUMMYFUNCTION("""COMPUTED_VALUE"""),"211750228-5")</f>
        <v>211750228-5</v>
      </c>
      <c r="B1490" s="6" t="str">
        <f>IFERROR(__xludf.DUMMYFUNCTION("""COMPUTED_VALUE"""),"211750228 - Approved")</f>
        <v>211750228 - Approved</v>
      </c>
      <c r="C1490" s="6">
        <f>IFERROR(__xludf.DUMMYFUNCTION("""COMPUTED_VALUE"""),5.0)</f>
        <v>5</v>
      </c>
      <c r="D1490" s="6" t="str">
        <f>IFERROR(__xludf.DUMMYFUNCTION("""COMPUTED_VALUE"""),"P-53173-00")</f>
        <v>P-53173-00</v>
      </c>
      <c r="E1490" s="6" t="str">
        <f>IFERROR(__xludf.DUMMYFUNCTION("""COMPUTED_VALUE"""),"Ballast Electronic EB-C 214 TL5, 2x14W; Phillips; ;")</f>
        <v>Ballast Electronic EB-C 214 TL5, 2x14W; Phillips; ;</v>
      </c>
      <c r="F1490" s="6">
        <f>IFERROR(__xludf.DUMMYFUNCTION("""COMPUTED_VALUE"""),2.0)</f>
        <v>2</v>
      </c>
      <c r="G1490" s="6" t="str">
        <f>IFERROR(__xludf.DUMMYFUNCTION("""COMPUTED_VALUE"""),"Pieces")</f>
        <v>Pieces</v>
      </c>
      <c r="H1490" s="6" t="str">
        <f>IFERROR(__xludf.DUMMYFUNCTION("""COMPUTED_VALUE"""),"IDR")</f>
        <v>IDR</v>
      </c>
      <c r="I1490" s="6">
        <f>IFERROR(__xludf.DUMMYFUNCTION("""COMPUTED_VALUE"""),115000.0)</f>
        <v>115000</v>
      </c>
      <c r="J1490" s="6">
        <f>IFERROR(__xludf.DUMMYFUNCTION("""COMPUTED_VALUE"""),230000.0)</f>
        <v>230000</v>
      </c>
      <c r="K1490" s="57">
        <f>IFERROR(__xludf.DUMMYFUNCTION("""COMPUTED_VALUE"""),44421.0)</f>
        <v>44421</v>
      </c>
      <c r="L1490" s="6" t="str">
        <f>IFERROR(__xludf.DUMMYFUNCTION("""COMPUTED_VALUE"""),"FIP Engineering")</f>
        <v>FIP Engineering</v>
      </c>
      <c r="M1490" s="6" t="str">
        <f>IFERROR(__xludf.DUMMYFUNCTION("""COMPUTED_VALUE"""),"Joko Nugroho")</f>
        <v>Joko Nugroho</v>
      </c>
      <c r="N1490" s="6" t="str">
        <f>IFERROR(__xludf.DUMMYFUNCTION("""COMPUTED_VALUE"""),"FIP Engineering")</f>
        <v>FIP Engineering</v>
      </c>
      <c r="O1490" s="6" t="str">
        <f>IFERROR(__xludf.DUMMYFUNCTION("""COMPUTED_VALUE"""),"FIP-DOM-000-11304-OS00001-INA-000000")</f>
        <v>FIP-DOM-000-11304-OS00001-INA-000000</v>
      </c>
      <c r="P1490" s="6" t="str">
        <f>IFERROR(__xludf.DUMMYFUNCTION("""COMPUTED_VALUE"""),"PO Closed")</f>
        <v>PO Closed</v>
      </c>
      <c r="Q1490" s="6" t="str">
        <f>IFERROR(__xludf.DUMMYFUNCTION("""COMPUTED_VALUE"""),"GL2108019")</f>
        <v>GL2108019</v>
      </c>
      <c r="R1490" s="57">
        <f>IFERROR(__xludf.DUMMYFUNCTION("""COMPUTED_VALUE"""),44379.0)</f>
        <v>44379</v>
      </c>
      <c r="S1490" s="6" t="str">
        <f>IFERROR(__xludf.DUMMYFUNCTION("""COMPUTED_VALUE"""),"-")</f>
        <v>-</v>
      </c>
      <c r="T1490" s="57">
        <f>IFERROR(__xludf.DUMMYFUNCTION("""COMPUTED_VALUE"""),44438.0)</f>
        <v>44438</v>
      </c>
    </row>
    <row r="1491">
      <c r="A1491" s="6" t="str">
        <f>IFERROR(__xludf.DUMMYFUNCTION("""COMPUTED_VALUE"""),"211750228-6")</f>
        <v>211750228-6</v>
      </c>
      <c r="B1491" s="6" t="str">
        <f>IFERROR(__xludf.DUMMYFUNCTION("""COMPUTED_VALUE"""),"211750228 - Approved")</f>
        <v>211750228 - Approved</v>
      </c>
      <c r="C1491" s="6">
        <f>IFERROR(__xludf.DUMMYFUNCTION("""COMPUTED_VALUE"""),6.0)</f>
        <v>6</v>
      </c>
      <c r="D1491" s="6" t="str">
        <f>IFERROR(__xludf.DUMMYFUNCTION("""COMPUTED_VALUE"""),"O-14641-00")</f>
        <v>O-14641-00</v>
      </c>
      <c r="E1491" s="6" t="str">
        <f>IFERROR(__xludf.DUMMYFUNCTION("""COMPUTED_VALUE"""),"Silicone Gasket for Ferrule dia. 1""; ; ;")</f>
        <v>Silicone Gasket for Ferrule dia. 1"; ; ;</v>
      </c>
      <c r="F1491" s="6">
        <f>IFERROR(__xludf.DUMMYFUNCTION("""COMPUTED_VALUE"""),5.0)</f>
        <v>5</v>
      </c>
      <c r="G1491" s="6" t="str">
        <f>IFERROR(__xludf.DUMMYFUNCTION("""COMPUTED_VALUE"""),"Pieces")</f>
        <v>Pieces</v>
      </c>
      <c r="H1491" s="6" t="str">
        <f>IFERROR(__xludf.DUMMYFUNCTION("""COMPUTED_VALUE"""),"IDR")</f>
        <v>IDR</v>
      </c>
      <c r="I1491" s="6">
        <f>IFERROR(__xludf.DUMMYFUNCTION("""COMPUTED_VALUE"""),9600.0)</f>
        <v>9600</v>
      </c>
      <c r="J1491" s="6">
        <f>IFERROR(__xludf.DUMMYFUNCTION("""COMPUTED_VALUE"""),48000.0)</f>
        <v>48000</v>
      </c>
      <c r="K1491" s="57">
        <f>IFERROR(__xludf.DUMMYFUNCTION("""COMPUTED_VALUE"""),44421.0)</f>
        <v>44421</v>
      </c>
      <c r="L1491" s="6" t="str">
        <f>IFERROR(__xludf.DUMMYFUNCTION("""COMPUTED_VALUE"""),"FIP Engineering")</f>
        <v>FIP Engineering</v>
      </c>
      <c r="M1491" s="6" t="str">
        <f>IFERROR(__xludf.DUMMYFUNCTION("""COMPUTED_VALUE"""),"Joko Nugroho")</f>
        <v>Joko Nugroho</v>
      </c>
      <c r="N1491" s="6" t="str">
        <f>IFERROR(__xludf.DUMMYFUNCTION("""COMPUTED_VALUE"""),"FIP Engineering")</f>
        <v>FIP Engineering</v>
      </c>
      <c r="O1491" s="6" t="str">
        <f>IFERROR(__xludf.DUMMYFUNCTION("""COMPUTED_VALUE"""),"FIP-DOM-000-11304-OS00001-INA-000000")</f>
        <v>FIP-DOM-000-11304-OS00001-INA-000000</v>
      </c>
      <c r="P1491" s="6" t="str">
        <f>IFERROR(__xludf.DUMMYFUNCTION("""COMPUTED_VALUE"""),"PO Closed")</f>
        <v>PO Closed</v>
      </c>
      <c r="Q1491" s="6" t="str">
        <f>IFERROR(__xludf.DUMMYFUNCTION("""COMPUTED_VALUE"""),"GL2108019")</f>
        <v>GL2108019</v>
      </c>
      <c r="R1491" s="57">
        <f>IFERROR(__xludf.DUMMYFUNCTION("""COMPUTED_VALUE"""),44379.0)</f>
        <v>44379</v>
      </c>
      <c r="S1491" s="6" t="str">
        <f>IFERROR(__xludf.DUMMYFUNCTION("""COMPUTED_VALUE"""),"-")</f>
        <v>-</v>
      </c>
      <c r="T1491" s="57">
        <f>IFERROR(__xludf.DUMMYFUNCTION("""COMPUTED_VALUE"""),44438.0)</f>
        <v>44438</v>
      </c>
    </row>
    <row r="1492">
      <c r="A1492" s="6" t="str">
        <f>IFERROR(__xludf.DUMMYFUNCTION("""COMPUTED_VALUE"""),"211750228-7")</f>
        <v>211750228-7</v>
      </c>
      <c r="B1492" s="6" t="str">
        <f>IFERROR(__xludf.DUMMYFUNCTION("""COMPUTED_VALUE"""),"211750228 - Approved")</f>
        <v>211750228 - Approved</v>
      </c>
      <c r="C1492" s="6">
        <f>IFERROR(__xludf.DUMMYFUNCTION("""COMPUTED_VALUE"""),7.0)</f>
        <v>7</v>
      </c>
      <c r="D1492" s="6" t="str">
        <f>IFERROR(__xludf.DUMMYFUNCTION("""COMPUTED_VALUE"""),"P-14950-00")</f>
        <v>P-14950-00</v>
      </c>
      <c r="E1492" s="6" t="str">
        <f>IFERROR(__xludf.DUMMYFUNCTION("""COMPUTED_VALUE"""),"Fitting Union Tee KQ2T04-00A")</f>
        <v>Fitting Union Tee KQ2T04-00A</v>
      </c>
      <c r="F1492" s="6">
        <f>IFERROR(__xludf.DUMMYFUNCTION("""COMPUTED_VALUE"""),2.0)</f>
        <v>2</v>
      </c>
      <c r="G1492" s="6" t="str">
        <f>IFERROR(__xludf.DUMMYFUNCTION("""COMPUTED_VALUE"""),"Pieces")</f>
        <v>Pieces</v>
      </c>
      <c r="H1492" s="6" t="str">
        <f>IFERROR(__xludf.DUMMYFUNCTION("""COMPUTED_VALUE"""),"IDR")</f>
        <v>IDR</v>
      </c>
      <c r="I1492" s="6">
        <f>IFERROR(__xludf.DUMMYFUNCTION("""COMPUTED_VALUE"""),38070.0)</f>
        <v>38070</v>
      </c>
      <c r="J1492" s="6">
        <f>IFERROR(__xludf.DUMMYFUNCTION("""COMPUTED_VALUE"""),76140.0)</f>
        <v>76140</v>
      </c>
      <c r="K1492" s="57">
        <f>IFERROR(__xludf.DUMMYFUNCTION("""COMPUTED_VALUE"""),44421.0)</f>
        <v>44421</v>
      </c>
      <c r="L1492" s="6" t="str">
        <f>IFERROR(__xludf.DUMMYFUNCTION("""COMPUTED_VALUE"""),"FIP Engineering")</f>
        <v>FIP Engineering</v>
      </c>
      <c r="M1492" s="6" t="str">
        <f>IFERROR(__xludf.DUMMYFUNCTION("""COMPUTED_VALUE"""),"Joko Nugroho")</f>
        <v>Joko Nugroho</v>
      </c>
      <c r="N1492" s="6" t="str">
        <f>IFERROR(__xludf.DUMMYFUNCTION("""COMPUTED_VALUE"""),"FIP Engineering")</f>
        <v>FIP Engineering</v>
      </c>
      <c r="O1492" s="6" t="str">
        <f>IFERROR(__xludf.DUMMYFUNCTION("""COMPUTED_VALUE"""),"FIP-DOM-000-11304-OS00001-INA-000000")</f>
        <v>FIP-DOM-000-11304-OS00001-INA-000000</v>
      </c>
      <c r="P1492" s="6" t="str">
        <f>IFERROR(__xludf.DUMMYFUNCTION("""COMPUTED_VALUE"""),"PO Closed")</f>
        <v>PO Closed</v>
      </c>
      <c r="Q1492" s="6" t="str">
        <f>IFERROR(__xludf.DUMMYFUNCTION("""COMPUTED_VALUE"""),"GL2108032")</f>
        <v>GL2108032</v>
      </c>
      <c r="R1492" s="57">
        <f>IFERROR(__xludf.DUMMYFUNCTION("""COMPUTED_VALUE"""),44379.0)</f>
        <v>44379</v>
      </c>
      <c r="S1492" s="6" t="str">
        <f>IFERROR(__xludf.DUMMYFUNCTION("""COMPUTED_VALUE"""),"-")</f>
        <v>-</v>
      </c>
      <c r="T1492" s="57">
        <f>IFERROR(__xludf.DUMMYFUNCTION("""COMPUTED_VALUE"""),44438.0)</f>
        <v>44438</v>
      </c>
    </row>
    <row r="1493">
      <c r="A1493" s="6" t="str">
        <f>IFERROR(__xludf.DUMMYFUNCTION("""COMPUTED_VALUE"""),"211750228-8")</f>
        <v>211750228-8</v>
      </c>
      <c r="B1493" s="6" t="str">
        <f>IFERROR(__xludf.DUMMYFUNCTION("""COMPUTED_VALUE"""),"211750228 - Approved")</f>
        <v>211750228 - Approved</v>
      </c>
      <c r="C1493" s="6">
        <f>IFERROR(__xludf.DUMMYFUNCTION("""COMPUTED_VALUE"""),8.0)</f>
        <v>8</v>
      </c>
      <c r="D1493" s="6" t="str">
        <f>IFERROR(__xludf.DUMMYFUNCTION("""COMPUTED_VALUE"""),"O-15931-00")</f>
        <v>O-15931-00</v>
      </c>
      <c r="E1493" s="6" t="str">
        <f>IFERROR(__xludf.DUMMYFUNCTION("""COMPUTED_VALUE"""),"Double Tape 3M 1"" Merah - P/N : - pc")</f>
        <v>Double Tape 3M 1" Merah - P/N : - pc</v>
      </c>
      <c r="F1493" s="6">
        <f>IFERROR(__xludf.DUMMYFUNCTION("""COMPUTED_VALUE"""),3.0)</f>
        <v>3</v>
      </c>
      <c r="G1493" s="6" t="str">
        <f>IFERROR(__xludf.DUMMYFUNCTION("""COMPUTED_VALUE"""),"Pieces")</f>
        <v>Pieces</v>
      </c>
      <c r="H1493" s="6" t="str">
        <f>IFERROR(__xludf.DUMMYFUNCTION("""COMPUTED_VALUE"""),"IDR")</f>
        <v>IDR</v>
      </c>
      <c r="I1493" s="6">
        <f>IFERROR(__xludf.DUMMYFUNCTION("""COMPUTED_VALUE"""),112500.0)</f>
        <v>112500</v>
      </c>
      <c r="J1493" s="6">
        <f>IFERROR(__xludf.DUMMYFUNCTION("""COMPUTED_VALUE"""),337500.0)</f>
        <v>337500</v>
      </c>
      <c r="K1493" s="57">
        <f>IFERROR(__xludf.DUMMYFUNCTION("""COMPUTED_VALUE"""),44421.0)</f>
        <v>44421</v>
      </c>
      <c r="L1493" s="6" t="str">
        <f>IFERROR(__xludf.DUMMYFUNCTION("""COMPUTED_VALUE"""),"FIP Engineering")</f>
        <v>FIP Engineering</v>
      </c>
      <c r="M1493" s="6" t="str">
        <f>IFERROR(__xludf.DUMMYFUNCTION("""COMPUTED_VALUE"""),"Joko Nugroho")</f>
        <v>Joko Nugroho</v>
      </c>
      <c r="N1493" s="6" t="str">
        <f>IFERROR(__xludf.DUMMYFUNCTION("""COMPUTED_VALUE"""),"FIP Engineering")</f>
        <v>FIP Engineering</v>
      </c>
      <c r="O1493" s="6" t="str">
        <f>IFERROR(__xludf.DUMMYFUNCTION("""COMPUTED_VALUE"""),"FIP-DOM-000-11304-OS00001-INA-000000")</f>
        <v>FIP-DOM-000-11304-OS00001-INA-000000</v>
      </c>
      <c r="P1493" s="6" t="str">
        <f>IFERROR(__xludf.DUMMYFUNCTION("""COMPUTED_VALUE"""),"PO Closed")</f>
        <v>PO Closed</v>
      </c>
      <c r="Q1493" s="6" t="str">
        <f>IFERROR(__xludf.DUMMYFUNCTION("""COMPUTED_VALUE"""),"GL2108019")</f>
        <v>GL2108019</v>
      </c>
      <c r="R1493" s="57">
        <f>IFERROR(__xludf.DUMMYFUNCTION("""COMPUTED_VALUE"""),44379.0)</f>
        <v>44379</v>
      </c>
      <c r="S1493" s="6" t="str">
        <f>IFERROR(__xludf.DUMMYFUNCTION("""COMPUTED_VALUE"""),"-")</f>
        <v>-</v>
      </c>
      <c r="T1493" s="57">
        <f>IFERROR(__xludf.DUMMYFUNCTION("""COMPUTED_VALUE"""),44438.0)</f>
        <v>44438</v>
      </c>
    </row>
    <row r="1494">
      <c r="A1494" s="6" t="str">
        <f>IFERROR(__xludf.DUMMYFUNCTION("""COMPUTED_VALUE"""),"211750228-9")</f>
        <v>211750228-9</v>
      </c>
      <c r="B1494" s="6" t="str">
        <f>IFERROR(__xludf.DUMMYFUNCTION("""COMPUTED_VALUE"""),"211750228 - Approved")</f>
        <v>211750228 - Approved</v>
      </c>
      <c r="C1494" s="6">
        <f>IFERROR(__xludf.DUMMYFUNCTION("""COMPUTED_VALUE"""),9.0)</f>
        <v>9</v>
      </c>
      <c r="D1494" s="6" t="str">
        <f>IFERROR(__xludf.DUMMYFUNCTION("""COMPUTED_VALUE"""),"P-14956-00")</f>
        <v>P-14956-00</v>
      </c>
      <c r="E1494" s="6" t="str">
        <f>IFERROR(__xludf.DUMMYFUNCTION("""COMPUTED_VALUE"""),"Straight Union KQ2H06-00A")</f>
        <v>Straight Union KQ2H06-00A</v>
      </c>
      <c r="F1494" s="6">
        <f>IFERROR(__xludf.DUMMYFUNCTION("""COMPUTED_VALUE"""),3.0)</f>
        <v>3</v>
      </c>
      <c r="G1494" s="6" t="str">
        <f>IFERROR(__xludf.DUMMYFUNCTION("""COMPUTED_VALUE"""),"Pieces")</f>
        <v>Pieces</v>
      </c>
      <c r="H1494" s="6" t="str">
        <f>IFERROR(__xludf.DUMMYFUNCTION("""COMPUTED_VALUE"""),"IDR")</f>
        <v>IDR</v>
      </c>
      <c r="I1494" s="6">
        <f>IFERROR(__xludf.DUMMYFUNCTION("""COMPUTED_VALUE"""),29000.0)</f>
        <v>29000</v>
      </c>
      <c r="J1494" s="6">
        <f>IFERROR(__xludf.DUMMYFUNCTION("""COMPUTED_VALUE"""),87000.0)</f>
        <v>87000</v>
      </c>
      <c r="K1494" s="57">
        <f>IFERROR(__xludf.DUMMYFUNCTION("""COMPUTED_VALUE"""),44421.0)</f>
        <v>44421</v>
      </c>
      <c r="L1494" s="6" t="str">
        <f>IFERROR(__xludf.DUMMYFUNCTION("""COMPUTED_VALUE"""),"FIP Engineering")</f>
        <v>FIP Engineering</v>
      </c>
      <c r="M1494" s="6" t="str">
        <f>IFERROR(__xludf.DUMMYFUNCTION("""COMPUTED_VALUE"""),"Joko Nugroho")</f>
        <v>Joko Nugroho</v>
      </c>
      <c r="N1494" s="6" t="str">
        <f>IFERROR(__xludf.DUMMYFUNCTION("""COMPUTED_VALUE"""),"FIP Engineering")</f>
        <v>FIP Engineering</v>
      </c>
      <c r="O1494" s="6" t="str">
        <f>IFERROR(__xludf.DUMMYFUNCTION("""COMPUTED_VALUE"""),"FIP-DOM-000-11304-OS00001-INA-000000")</f>
        <v>FIP-DOM-000-11304-OS00001-INA-000000</v>
      </c>
      <c r="P1494" s="6" t="str">
        <f>IFERROR(__xludf.DUMMYFUNCTION("""COMPUTED_VALUE"""),"PO Closed")</f>
        <v>PO Closed</v>
      </c>
      <c r="Q1494" s="6" t="str">
        <f>IFERROR(__xludf.DUMMYFUNCTION("""COMPUTED_VALUE"""),"GL2108032")</f>
        <v>GL2108032</v>
      </c>
      <c r="R1494" s="57">
        <f>IFERROR(__xludf.DUMMYFUNCTION("""COMPUTED_VALUE"""),44379.0)</f>
        <v>44379</v>
      </c>
      <c r="S1494" s="6" t="str">
        <f>IFERROR(__xludf.DUMMYFUNCTION("""COMPUTED_VALUE"""),"-")</f>
        <v>-</v>
      </c>
      <c r="T1494" s="57">
        <f>IFERROR(__xludf.DUMMYFUNCTION("""COMPUTED_VALUE"""),44438.0)</f>
        <v>44438</v>
      </c>
    </row>
    <row r="1495">
      <c r="A1495" s="6" t="str">
        <f>IFERROR(__xludf.DUMMYFUNCTION("""COMPUTED_VALUE"""),"211750228-10")</f>
        <v>211750228-10</v>
      </c>
      <c r="B1495" s="6" t="str">
        <f>IFERROR(__xludf.DUMMYFUNCTION("""COMPUTED_VALUE"""),"211750228 - Approved")</f>
        <v>211750228 - Approved</v>
      </c>
      <c r="C1495" s="6">
        <f>IFERROR(__xludf.DUMMYFUNCTION("""COMPUTED_VALUE"""),10.0)</f>
        <v>10</v>
      </c>
      <c r="D1495" s="6" t="str">
        <f>IFERROR(__xludf.DUMMYFUNCTION("""COMPUTED_VALUE"""),"P-53102-00")</f>
        <v>P-53102-00</v>
      </c>
      <c r="E1495" s="6" t="str">
        <f>IFERROR(__xludf.DUMMYFUNCTION("""COMPUTED_VALUE"""),"Lampu PLC 13watt/E27 Putih Phillips")</f>
        <v>Lampu PLC 13watt/E27 Putih Phillips</v>
      </c>
      <c r="F1495" s="6">
        <f>IFERROR(__xludf.DUMMYFUNCTION("""COMPUTED_VALUE"""),23.0)</f>
        <v>23</v>
      </c>
      <c r="G1495" s="6" t="str">
        <f>IFERROR(__xludf.DUMMYFUNCTION("""COMPUTED_VALUE"""),"Pieces")</f>
        <v>Pieces</v>
      </c>
      <c r="H1495" s="6" t="str">
        <f>IFERROR(__xludf.DUMMYFUNCTION("""COMPUTED_VALUE"""),"IDR")</f>
        <v>IDR</v>
      </c>
      <c r="I1495" s="6">
        <f>IFERROR(__xludf.DUMMYFUNCTION("""COMPUTED_VALUE"""),26100.0)</f>
        <v>26100</v>
      </c>
      <c r="J1495" s="6">
        <f>IFERROR(__xludf.DUMMYFUNCTION("""COMPUTED_VALUE"""),600300.0)</f>
        <v>600300</v>
      </c>
      <c r="K1495" s="57">
        <f>IFERROR(__xludf.DUMMYFUNCTION("""COMPUTED_VALUE"""),44421.0)</f>
        <v>44421</v>
      </c>
      <c r="L1495" s="6" t="str">
        <f>IFERROR(__xludf.DUMMYFUNCTION("""COMPUTED_VALUE"""),"FIP Engineering")</f>
        <v>FIP Engineering</v>
      </c>
      <c r="M1495" s="6" t="str">
        <f>IFERROR(__xludf.DUMMYFUNCTION("""COMPUTED_VALUE"""),"Joko Nugroho")</f>
        <v>Joko Nugroho</v>
      </c>
      <c r="N1495" s="6" t="str">
        <f>IFERROR(__xludf.DUMMYFUNCTION("""COMPUTED_VALUE"""),"FIP Engineering")</f>
        <v>FIP Engineering</v>
      </c>
      <c r="O1495" s="6" t="str">
        <f>IFERROR(__xludf.DUMMYFUNCTION("""COMPUTED_VALUE"""),"FIP-DOM-000-11304-OS00001-INA-000000")</f>
        <v>FIP-DOM-000-11304-OS00001-INA-000000</v>
      </c>
      <c r="P1495" s="6" t="str">
        <f>IFERROR(__xludf.DUMMYFUNCTION("""COMPUTED_VALUE"""),"PO Closed")</f>
        <v>PO Closed</v>
      </c>
      <c r="Q1495" s="6" t="str">
        <f>IFERROR(__xludf.DUMMYFUNCTION("""COMPUTED_VALUE"""),"GL2108019")</f>
        <v>GL2108019</v>
      </c>
      <c r="R1495" s="57">
        <f>IFERROR(__xludf.DUMMYFUNCTION("""COMPUTED_VALUE"""),44379.0)</f>
        <v>44379</v>
      </c>
      <c r="S1495" s="6" t="str">
        <f>IFERROR(__xludf.DUMMYFUNCTION("""COMPUTED_VALUE"""),"-")</f>
        <v>-</v>
      </c>
      <c r="T1495" s="57">
        <f>IFERROR(__xludf.DUMMYFUNCTION("""COMPUTED_VALUE"""),44438.0)</f>
        <v>44438</v>
      </c>
    </row>
    <row r="1496">
      <c r="A1496" s="6" t="str">
        <f>IFERROR(__xludf.DUMMYFUNCTION("""COMPUTED_VALUE"""),"211750228-11")</f>
        <v>211750228-11</v>
      </c>
      <c r="B1496" s="6" t="str">
        <f>IFERROR(__xludf.DUMMYFUNCTION("""COMPUTED_VALUE"""),"211750228 - Approved")</f>
        <v>211750228 - Approved</v>
      </c>
      <c r="C1496" s="6">
        <f>IFERROR(__xludf.DUMMYFUNCTION("""COMPUTED_VALUE"""),11.0)</f>
        <v>11</v>
      </c>
      <c r="D1496" s="6" t="str">
        <f>IFERROR(__xludf.DUMMYFUNCTION("""COMPUTED_VALUE"""),"Q-10249-00")</f>
        <v>Q-10249-00</v>
      </c>
      <c r="E1496" s="6" t="str">
        <f>IFERROR(__xludf.DUMMYFUNCTION("""COMPUTED_VALUE"""),"Lem Power Glue")</f>
        <v>Lem Power Glue</v>
      </c>
      <c r="F1496" s="6">
        <f>IFERROR(__xludf.DUMMYFUNCTION("""COMPUTED_VALUE"""),3.0)</f>
        <v>3</v>
      </c>
      <c r="G1496" s="6" t="str">
        <f>IFERROR(__xludf.DUMMYFUNCTION("""COMPUTED_VALUE"""),"Pieces")</f>
        <v>Pieces</v>
      </c>
      <c r="H1496" s="6" t="str">
        <f>IFERROR(__xludf.DUMMYFUNCTION("""COMPUTED_VALUE"""),"IDR")</f>
        <v>IDR</v>
      </c>
      <c r="I1496" s="6">
        <f>IFERROR(__xludf.DUMMYFUNCTION("""COMPUTED_VALUE"""),4050.0)</f>
        <v>4050</v>
      </c>
      <c r="J1496" s="6">
        <f>IFERROR(__xludf.DUMMYFUNCTION("""COMPUTED_VALUE"""),12150.0)</f>
        <v>12150</v>
      </c>
      <c r="K1496" s="57">
        <f>IFERROR(__xludf.DUMMYFUNCTION("""COMPUTED_VALUE"""),44421.0)</f>
        <v>44421</v>
      </c>
      <c r="L1496" s="6" t="str">
        <f>IFERROR(__xludf.DUMMYFUNCTION("""COMPUTED_VALUE"""),"FIP Engineering")</f>
        <v>FIP Engineering</v>
      </c>
      <c r="M1496" s="6" t="str">
        <f>IFERROR(__xludf.DUMMYFUNCTION("""COMPUTED_VALUE"""),"Joko Nugroho")</f>
        <v>Joko Nugroho</v>
      </c>
      <c r="N1496" s="6" t="str">
        <f>IFERROR(__xludf.DUMMYFUNCTION("""COMPUTED_VALUE"""),"FIP Engineering")</f>
        <v>FIP Engineering</v>
      </c>
      <c r="O1496" s="6" t="str">
        <f>IFERROR(__xludf.DUMMYFUNCTION("""COMPUTED_VALUE"""),"FIP-DOM-000-11304-OS00001-INA-000000")</f>
        <v>FIP-DOM-000-11304-OS00001-INA-000000</v>
      </c>
      <c r="P1496" s="6" t="str">
        <f>IFERROR(__xludf.DUMMYFUNCTION("""COMPUTED_VALUE"""),"PO Closed")</f>
        <v>PO Closed</v>
      </c>
      <c r="Q1496" s="6" t="str">
        <f>IFERROR(__xludf.DUMMYFUNCTION("""COMPUTED_VALUE"""),"GL2108011")</f>
        <v>GL2108011</v>
      </c>
      <c r="R1496" s="57">
        <f>IFERROR(__xludf.DUMMYFUNCTION("""COMPUTED_VALUE"""),44379.0)</f>
        <v>44379</v>
      </c>
      <c r="S1496" s="6" t="str">
        <f>IFERROR(__xludf.DUMMYFUNCTION("""COMPUTED_VALUE"""),"-")</f>
        <v>-</v>
      </c>
      <c r="T1496" s="57">
        <f>IFERROR(__xludf.DUMMYFUNCTION("""COMPUTED_VALUE"""),44427.0)</f>
        <v>44427</v>
      </c>
    </row>
    <row r="1497">
      <c r="A1497" s="6" t="str">
        <f>IFERROR(__xludf.DUMMYFUNCTION("""COMPUTED_VALUE"""),"211750228-12")</f>
        <v>211750228-12</v>
      </c>
      <c r="B1497" s="6" t="str">
        <f>IFERROR(__xludf.DUMMYFUNCTION("""COMPUTED_VALUE"""),"211750228 - Approved")</f>
        <v>211750228 - Approved</v>
      </c>
      <c r="C1497" s="6">
        <f>IFERROR(__xludf.DUMMYFUNCTION("""COMPUTED_VALUE"""),12.0)</f>
        <v>12</v>
      </c>
      <c r="D1497" s="6" t="str">
        <f>IFERROR(__xludf.DUMMYFUNCTION("""COMPUTED_VALUE"""),"O-13521-00")</f>
        <v>O-13521-00</v>
      </c>
      <c r="E1497" s="6" t="str">
        <f>IFERROR(__xludf.DUMMYFUNCTION("""COMPUTED_VALUE"""),"gasket 1 1/2"" / EPDM - P/N : - pc")</f>
        <v>gasket 1 1/2" / EPDM - P/N : - pc</v>
      </c>
      <c r="F1497" s="6">
        <f>IFERROR(__xludf.DUMMYFUNCTION("""COMPUTED_VALUE"""),3.0)</f>
        <v>3</v>
      </c>
      <c r="G1497" s="6" t="str">
        <f>IFERROR(__xludf.DUMMYFUNCTION("""COMPUTED_VALUE"""),"Pieces")</f>
        <v>Pieces</v>
      </c>
      <c r="H1497" s="6" t="str">
        <f>IFERROR(__xludf.DUMMYFUNCTION("""COMPUTED_VALUE"""),"IDR")</f>
        <v>IDR</v>
      </c>
      <c r="I1497" s="6">
        <f>IFERROR(__xludf.DUMMYFUNCTION("""COMPUTED_VALUE"""),19800.0)</f>
        <v>19800</v>
      </c>
      <c r="J1497" s="6">
        <f>IFERROR(__xludf.DUMMYFUNCTION("""COMPUTED_VALUE"""),59400.0)</f>
        <v>59400</v>
      </c>
      <c r="K1497" s="57">
        <f>IFERROR(__xludf.DUMMYFUNCTION("""COMPUTED_VALUE"""),44421.0)</f>
        <v>44421</v>
      </c>
      <c r="L1497" s="6" t="str">
        <f>IFERROR(__xludf.DUMMYFUNCTION("""COMPUTED_VALUE"""),"FIP Engineering")</f>
        <v>FIP Engineering</v>
      </c>
      <c r="M1497" s="6" t="str">
        <f>IFERROR(__xludf.DUMMYFUNCTION("""COMPUTED_VALUE"""),"Joko Nugroho")</f>
        <v>Joko Nugroho</v>
      </c>
      <c r="N1497" s="6" t="str">
        <f>IFERROR(__xludf.DUMMYFUNCTION("""COMPUTED_VALUE"""),"FIP Engineering")</f>
        <v>FIP Engineering</v>
      </c>
      <c r="O1497" s="6" t="str">
        <f>IFERROR(__xludf.DUMMYFUNCTION("""COMPUTED_VALUE"""),"FIP-DOM-000-11304-OS00001-INA-000000")</f>
        <v>FIP-DOM-000-11304-OS00001-INA-000000</v>
      </c>
      <c r="P1497" s="6" t="str">
        <f>IFERROR(__xludf.DUMMYFUNCTION("""COMPUTED_VALUE"""),"PO Closed")</f>
        <v>PO Closed</v>
      </c>
      <c r="Q1497" s="6" t="str">
        <f>IFERROR(__xludf.DUMMYFUNCTION("""COMPUTED_VALUE"""),"GL2108019")</f>
        <v>GL2108019</v>
      </c>
      <c r="R1497" s="57">
        <f>IFERROR(__xludf.DUMMYFUNCTION("""COMPUTED_VALUE"""),44379.0)</f>
        <v>44379</v>
      </c>
      <c r="S1497" s="6" t="str">
        <f>IFERROR(__xludf.DUMMYFUNCTION("""COMPUTED_VALUE"""),"-")</f>
        <v>-</v>
      </c>
      <c r="T1497" s="57">
        <f>IFERROR(__xludf.DUMMYFUNCTION("""COMPUTED_VALUE"""),44438.0)</f>
        <v>44438</v>
      </c>
    </row>
    <row r="1498">
      <c r="A1498" s="6" t="str">
        <f>IFERROR(__xludf.DUMMYFUNCTION("""COMPUTED_VALUE"""),"211750228-13")</f>
        <v>211750228-13</v>
      </c>
      <c r="B1498" s="6" t="str">
        <f>IFERROR(__xludf.DUMMYFUNCTION("""COMPUTED_VALUE"""),"211750228 - Approved")</f>
        <v>211750228 - Approved</v>
      </c>
      <c r="C1498" s="6">
        <f>IFERROR(__xludf.DUMMYFUNCTION("""COMPUTED_VALUE"""),13.0)</f>
        <v>13</v>
      </c>
      <c r="D1498" s="6" t="str">
        <f>IFERROR(__xludf.DUMMYFUNCTION("""COMPUTED_VALUE"""),"Q-10232-00")</f>
        <v>Q-10232-00</v>
      </c>
      <c r="E1498" s="6" t="str">
        <f>IFERROR(__xludf.DUMMYFUNCTION("""COMPUTED_VALUE"""),"Silicone Sealant N10 White")</f>
        <v>Silicone Sealant N10 White</v>
      </c>
      <c r="F1498" s="6">
        <f>IFERROR(__xludf.DUMMYFUNCTION("""COMPUTED_VALUE"""),5.0)</f>
        <v>5</v>
      </c>
      <c r="G1498" s="6" t="str">
        <f>IFERROR(__xludf.DUMMYFUNCTION("""COMPUTED_VALUE"""),"Pieces")</f>
        <v>Pieces</v>
      </c>
      <c r="H1498" s="6" t="str">
        <f>IFERROR(__xludf.DUMMYFUNCTION("""COMPUTED_VALUE"""),"IDR")</f>
        <v>IDR</v>
      </c>
      <c r="I1498" s="6">
        <f>IFERROR(__xludf.DUMMYFUNCTION("""COMPUTED_VALUE"""),45000.0)</f>
        <v>45000</v>
      </c>
      <c r="J1498" s="6">
        <f>IFERROR(__xludf.DUMMYFUNCTION("""COMPUTED_VALUE"""),225000.0)</f>
        <v>225000</v>
      </c>
      <c r="K1498" s="57">
        <f>IFERROR(__xludf.DUMMYFUNCTION("""COMPUTED_VALUE"""),44421.0)</f>
        <v>44421</v>
      </c>
      <c r="L1498" s="6" t="str">
        <f>IFERROR(__xludf.DUMMYFUNCTION("""COMPUTED_VALUE"""),"FIP Engineering")</f>
        <v>FIP Engineering</v>
      </c>
      <c r="M1498" s="6" t="str">
        <f>IFERROR(__xludf.DUMMYFUNCTION("""COMPUTED_VALUE"""),"Joko Nugroho")</f>
        <v>Joko Nugroho</v>
      </c>
      <c r="N1498" s="6" t="str">
        <f>IFERROR(__xludf.DUMMYFUNCTION("""COMPUTED_VALUE"""),"FIP Engineering")</f>
        <v>FIP Engineering</v>
      </c>
      <c r="O1498" s="6" t="str">
        <f>IFERROR(__xludf.DUMMYFUNCTION("""COMPUTED_VALUE"""),"FIP-DOM-000-11304-OS00001-INA-000000")</f>
        <v>FIP-DOM-000-11304-OS00001-INA-000000</v>
      </c>
      <c r="P1498" s="6" t="str">
        <f>IFERROR(__xludf.DUMMYFUNCTION("""COMPUTED_VALUE"""),"PO Closed")</f>
        <v>PO Closed</v>
      </c>
      <c r="Q1498" s="6" t="str">
        <f>IFERROR(__xludf.DUMMYFUNCTION("""COMPUTED_VALUE"""),"GL2108011")</f>
        <v>GL2108011</v>
      </c>
      <c r="R1498" s="57">
        <f>IFERROR(__xludf.DUMMYFUNCTION("""COMPUTED_VALUE"""),44379.0)</f>
        <v>44379</v>
      </c>
      <c r="S1498" s="6" t="str">
        <f>IFERROR(__xludf.DUMMYFUNCTION("""COMPUTED_VALUE"""),"-")</f>
        <v>-</v>
      </c>
      <c r="T1498" s="57">
        <f>IFERROR(__xludf.DUMMYFUNCTION("""COMPUTED_VALUE"""),44427.0)</f>
        <v>44427</v>
      </c>
    </row>
    <row r="1499">
      <c r="A1499" s="6" t="str">
        <f>IFERROR(__xludf.DUMMYFUNCTION("""COMPUTED_VALUE"""),"211750228-14")</f>
        <v>211750228-14</v>
      </c>
      <c r="B1499" s="6" t="str">
        <f>IFERROR(__xludf.DUMMYFUNCTION("""COMPUTED_VALUE"""),"211750228 - Approved")</f>
        <v>211750228 - Approved</v>
      </c>
      <c r="C1499" s="6">
        <f>IFERROR(__xludf.DUMMYFUNCTION("""COMPUTED_VALUE"""),14.0)</f>
        <v>14</v>
      </c>
      <c r="D1499" s="6" t="str">
        <f>IFERROR(__xludf.DUMMYFUNCTION("""COMPUTED_VALUE"""),"O-14640-00")</f>
        <v>O-14640-00</v>
      </c>
      <c r="E1499" s="6" t="str">
        <f>IFERROR(__xludf.DUMMYFUNCTION("""COMPUTED_VALUE"""),"Silicone Gasket for Ferrule dia. 3/4"" - P/N : - pc")</f>
        <v>Silicone Gasket for Ferrule dia. 3/4" - P/N : - pc</v>
      </c>
      <c r="F1499" s="6">
        <f>IFERROR(__xludf.DUMMYFUNCTION("""COMPUTED_VALUE"""),5.0)</f>
        <v>5</v>
      </c>
      <c r="G1499" s="6" t="str">
        <f>IFERROR(__xludf.DUMMYFUNCTION("""COMPUTED_VALUE"""),"Pieces")</f>
        <v>Pieces</v>
      </c>
      <c r="H1499" s="6" t="str">
        <f>IFERROR(__xludf.DUMMYFUNCTION("""COMPUTED_VALUE"""),"IDR")</f>
        <v>IDR</v>
      </c>
      <c r="I1499" s="6">
        <f>IFERROR(__xludf.DUMMYFUNCTION("""COMPUTED_VALUE"""),12000.0)</f>
        <v>12000</v>
      </c>
      <c r="J1499" s="6">
        <f>IFERROR(__xludf.DUMMYFUNCTION("""COMPUTED_VALUE"""),60000.0)</f>
        <v>60000</v>
      </c>
      <c r="K1499" s="57">
        <f>IFERROR(__xludf.DUMMYFUNCTION("""COMPUTED_VALUE"""),44421.0)</f>
        <v>44421</v>
      </c>
      <c r="L1499" s="6" t="str">
        <f>IFERROR(__xludf.DUMMYFUNCTION("""COMPUTED_VALUE"""),"FIP Engineering")</f>
        <v>FIP Engineering</v>
      </c>
      <c r="M1499" s="6" t="str">
        <f>IFERROR(__xludf.DUMMYFUNCTION("""COMPUTED_VALUE"""),"Joko Nugroho")</f>
        <v>Joko Nugroho</v>
      </c>
      <c r="N1499" s="6" t="str">
        <f>IFERROR(__xludf.DUMMYFUNCTION("""COMPUTED_VALUE"""),"FIP Engineering")</f>
        <v>FIP Engineering</v>
      </c>
      <c r="O1499" s="6" t="str">
        <f>IFERROR(__xludf.DUMMYFUNCTION("""COMPUTED_VALUE"""),"FIP-DOM-000-11304-OS00001-INA-000000")</f>
        <v>FIP-DOM-000-11304-OS00001-INA-000000</v>
      </c>
      <c r="P1499" s="6" t="str">
        <f>IFERROR(__xludf.DUMMYFUNCTION("""COMPUTED_VALUE"""),"PO Closed")</f>
        <v>PO Closed</v>
      </c>
      <c r="Q1499" s="6" t="str">
        <f>IFERROR(__xludf.DUMMYFUNCTION("""COMPUTED_VALUE"""),"GL2108019")</f>
        <v>GL2108019</v>
      </c>
      <c r="R1499" s="57">
        <f>IFERROR(__xludf.DUMMYFUNCTION("""COMPUTED_VALUE"""),44379.0)</f>
        <v>44379</v>
      </c>
      <c r="S1499" s="6" t="str">
        <f>IFERROR(__xludf.DUMMYFUNCTION("""COMPUTED_VALUE"""),"-")</f>
        <v>-</v>
      </c>
      <c r="T1499" s="57">
        <f>IFERROR(__xludf.DUMMYFUNCTION("""COMPUTED_VALUE"""),44438.0)</f>
        <v>44438</v>
      </c>
    </row>
    <row r="1500">
      <c r="A1500" s="6" t="str">
        <f>IFERROR(__xludf.DUMMYFUNCTION("""COMPUTED_VALUE"""),"211750228-15")</f>
        <v>211750228-15</v>
      </c>
      <c r="B1500" s="6" t="str">
        <f>IFERROR(__xludf.DUMMYFUNCTION("""COMPUTED_VALUE"""),"211750228 - Approved")</f>
        <v>211750228 - Approved</v>
      </c>
      <c r="C1500" s="6">
        <f>IFERROR(__xludf.DUMMYFUNCTION("""COMPUTED_VALUE"""),15.0)</f>
        <v>15</v>
      </c>
      <c r="D1500" s="6" t="str">
        <f>IFERROR(__xludf.DUMMYFUNCTION("""COMPUTED_VALUE"""),"O-54014-00")</f>
        <v>O-54014-00</v>
      </c>
      <c r="E1500" s="6" t="str">
        <f>IFERROR(__xludf.DUMMYFUNCTION("""COMPUTED_VALUE"""),"STEKER 1 PHASE, BROCO")</f>
        <v>STEKER 1 PHASE, BROCO</v>
      </c>
      <c r="F1500" s="6">
        <f>IFERROR(__xludf.DUMMYFUNCTION("""COMPUTED_VALUE"""),3.0)</f>
        <v>3</v>
      </c>
      <c r="G1500" s="6" t="str">
        <f>IFERROR(__xludf.DUMMYFUNCTION("""COMPUTED_VALUE"""),"Pieces")</f>
        <v>Pieces</v>
      </c>
      <c r="H1500" s="6" t="str">
        <f>IFERROR(__xludf.DUMMYFUNCTION("""COMPUTED_VALUE"""),"IDR")</f>
        <v>IDR</v>
      </c>
      <c r="I1500" s="6">
        <f>IFERROR(__xludf.DUMMYFUNCTION("""COMPUTED_VALUE"""),10000.0)</f>
        <v>10000</v>
      </c>
      <c r="J1500" s="6">
        <f>IFERROR(__xludf.DUMMYFUNCTION("""COMPUTED_VALUE"""),30000.0)</f>
        <v>30000</v>
      </c>
      <c r="K1500" s="57">
        <f>IFERROR(__xludf.DUMMYFUNCTION("""COMPUTED_VALUE"""),44421.0)</f>
        <v>44421</v>
      </c>
      <c r="L1500" s="6" t="str">
        <f>IFERROR(__xludf.DUMMYFUNCTION("""COMPUTED_VALUE"""),"FIP Engineering")</f>
        <v>FIP Engineering</v>
      </c>
      <c r="M1500" s="6" t="str">
        <f>IFERROR(__xludf.DUMMYFUNCTION("""COMPUTED_VALUE"""),"Joko Nugroho")</f>
        <v>Joko Nugroho</v>
      </c>
      <c r="N1500" s="6" t="str">
        <f>IFERROR(__xludf.DUMMYFUNCTION("""COMPUTED_VALUE"""),"FIP Engineering")</f>
        <v>FIP Engineering</v>
      </c>
      <c r="O1500" s="6" t="str">
        <f>IFERROR(__xludf.DUMMYFUNCTION("""COMPUTED_VALUE"""),"FIP-DOM-000-11304-OS00001-INA-000000")</f>
        <v>FIP-DOM-000-11304-OS00001-INA-000000</v>
      </c>
      <c r="P1500" s="6" t="str">
        <f>IFERROR(__xludf.DUMMYFUNCTION("""COMPUTED_VALUE"""),"PO Closed")</f>
        <v>PO Closed</v>
      </c>
      <c r="Q1500" s="6" t="str">
        <f>IFERROR(__xludf.DUMMYFUNCTION("""COMPUTED_VALUE"""),"GL2108019")</f>
        <v>GL2108019</v>
      </c>
      <c r="R1500" s="57">
        <f>IFERROR(__xludf.DUMMYFUNCTION("""COMPUTED_VALUE"""),44379.0)</f>
        <v>44379</v>
      </c>
      <c r="S1500" s="6" t="str">
        <f>IFERROR(__xludf.DUMMYFUNCTION("""COMPUTED_VALUE"""),"-")</f>
        <v>-</v>
      </c>
      <c r="T1500" s="57">
        <f>IFERROR(__xludf.DUMMYFUNCTION("""COMPUTED_VALUE"""),44438.0)</f>
        <v>44438</v>
      </c>
    </row>
    <row r="1501">
      <c r="A1501" s="6" t="str">
        <f>IFERROR(__xludf.DUMMYFUNCTION("""COMPUTED_VALUE"""),"211750228-16")</f>
        <v>211750228-16</v>
      </c>
      <c r="B1501" s="6" t="str">
        <f>IFERROR(__xludf.DUMMYFUNCTION("""COMPUTED_VALUE"""),"211750228 - Approved")</f>
        <v>211750228 - Approved</v>
      </c>
      <c r="C1501" s="6">
        <f>IFERROR(__xludf.DUMMYFUNCTION("""COMPUTED_VALUE"""),16.0)</f>
        <v>16</v>
      </c>
      <c r="D1501" s="6" t="str">
        <f>IFERROR(__xludf.DUMMYFUNCTION("""COMPUTED_VALUE"""),"P-14952-00")</f>
        <v>P-14952-00</v>
      </c>
      <c r="E1501" s="6" t="str">
        <f>IFERROR(__xludf.DUMMYFUNCTION("""COMPUTED_VALUE"""),"Fitting Union Tee KQ2T08-00A")</f>
        <v>Fitting Union Tee KQ2T08-00A</v>
      </c>
      <c r="F1501" s="6">
        <f>IFERROR(__xludf.DUMMYFUNCTION("""COMPUTED_VALUE"""),2.0)</f>
        <v>2</v>
      </c>
      <c r="G1501" s="6" t="str">
        <f>IFERROR(__xludf.DUMMYFUNCTION("""COMPUTED_VALUE"""),"Pieces")</f>
        <v>Pieces</v>
      </c>
      <c r="H1501" s="6" t="str">
        <f>IFERROR(__xludf.DUMMYFUNCTION("""COMPUTED_VALUE"""),"IDR")</f>
        <v>IDR</v>
      </c>
      <c r="I1501" s="6">
        <f>IFERROR(__xludf.DUMMYFUNCTION("""COMPUTED_VALUE"""),44888.0)</f>
        <v>44888</v>
      </c>
      <c r="J1501" s="6">
        <f>IFERROR(__xludf.DUMMYFUNCTION("""COMPUTED_VALUE"""),89776.0)</f>
        <v>89776</v>
      </c>
      <c r="K1501" s="57">
        <f>IFERROR(__xludf.DUMMYFUNCTION("""COMPUTED_VALUE"""),44421.0)</f>
        <v>44421</v>
      </c>
      <c r="L1501" s="6" t="str">
        <f>IFERROR(__xludf.DUMMYFUNCTION("""COMPUTED_VALUE"""),"FIP Engineering")</f>
        <v>FIP Engineering</v>
      </c>
      <c r="M1501" s="6" t="str">
        <f>IFERROR(__xludf.DUMMYFUNCTION("""COMPUTED_VALUE"""),"Joko Nugroho")</f>
        <v>Joko Nugroho</v>
      </c>
      <c r="N1501" s="6" t="str">
        <f>IFERROR(__xludf.DUMMYFUNCTION("""COMPUTED_VALUE"""),"FIP Engineering")</f>
        <v>FIP Engineering</v>
      </c>
      <c r="O1501" s="6" t="str">
        <f>IFERROR(__xludf.DUMMYFUNCTION("""COMPUTED_VALUE"""),"FIP-DOM-000-11304-OS00001-INA-000000")</f>
        <v>FIP-DOM-000-11304-OS00001-INA-000000</v>
      </c>
      <c r="P1501" s="6" t="str">
        <f>IFERROR(__xludf.DUMMYFUNCTION("""COMPUTED_VALUE"""),"PO Closed")</f>
        <v>PO Closed</v>
      </c>
      <c r="Q1501" s="6" t="str">
        <f>IFERROR(__xludf.DUMMYFUNCTION("""COMPUTED_VALUE"""),"GL2108032")</f>
        <v>GL2108032</v>
      </c>
      <c r="R1501" s="57">
        <f>IFERROR(__xludf.DUMMYFUNCTION("""COMPUTED_VALUE"""),44379.0)</f>
        <v>44379</v>
      </c>
      <c r="S1501" s="6" t="str">
        <f>IFERROR(__xludf.DUMMYFUNCTION("""COMPUTED_VALUE"""),"-")</f>
        <v>-</v>
      </c>
      <c r="T1501" s="57">
        <f>IFERROR(__xludf.DUMMYFUNCTION("""COMPUTED_VALUE"""),44438.0)</f>
        <v>44438</v>
      </c>
    </row>
    <row r="1502">
      <c r="A1502" s="6" t="str">
        <f>IFERROR(__xludf.DUMMYFUNCTION("""COMPUTED_VALUE"""),"211750228-17")</f>
        <v>211750228-17</v>
      </c>
      <c r="B1502" s="6" t="str">
        <f>IFERROR(__xludf.DUMMYFUNCTION("""COMPUTED_VALUE"""),"211750228 - Approved")</f>
        <v>211750228 - Approved</v>
      </c>
      <c r="C1502" s="6">
        <f>IFERROR(__xludf.DUMMYFUNCTION("""COMPUTED_VALUE"""),17.0)</f>
        <v>17</v>
      </c>
      <c r="D1502" s="6" t="str">
        <f>IFERROR(__xludf.DUMMYFUNCTION("""COMPUTED_VALUE"""),"P-51559-00")</f>
        <v>P-51559-00</v>
      </c>
      <c r="E1502" s="6" t="str">
        <f>IFERROR(__xludf.DUMMYFUNCTION("""COMPUTED_VALUE"""),"Lampu T5 14watt Putih Phillips")</f>
        <v>Lampu T5 14watt Putih Phillips</v>
      </c>
      <c r="F1502" s="6">
        <f>IFERROR(__xludf.DUMMYFUNCTION("""COMPUTED_VALUE"""),15.0)</f>
        <v>15</v>
      </c>
      <c r="G1502" s="6" t="str">
        <f>IFERROR(__xludf.DUMMYFUNCTION("""COMPUTED_VALUE"""),"Pack")</f>
        <v>Pack</v>
      </c>
      <c r="H1502" s="6" t="str">
        <f>IFERROR(__xludf.DUMMYFUNCTION("""COMPUTED_VALUE"""),"IDR")</f>
        <v>IDR</v>
      </c>
      <c r="I1502" s="6">
        <f>IFERROR(__xludf.DUMMYFUNCTION("""COMPUTED_VALUE"""),29700.0)</f>
        <v>29700</v>
      </c>
      <c r="J1502" s="6">
        <f>IFERROR(__xludf.DUMMYFUNCTION("""COMPUTED_VALUE"""),445500.0)</f>
        <v>445500</v>
      </c>
      <c r="K1502" s="57">
        <f>IFERROR(__xludf.DUMMYFUNCTION("""COMPUTED_VALUE"""),44421.0)</f>
        <v>44421</v>
      </c>
      <c r="L1502" s="6" t="str">
        <f>IFERROR(__xludf.DUMMYFUNCTION("""COMPUTED_VALUE"""),"FIP Engineering")</f>
        <v>FIP Engineering</v>
      </c>
      <c r="M1502" s="6" t="str">
        <f>IFERROR(__xludf.DUMMYFUNCTION("""COMPUTED_VALUE"""),"Joko Nugroho")</f>
        <v>Joko Nugroho</v>
      </c>
      <c r="N1502" s="6" t="str">
        <f>IFERROR(__xludf.DUMMYFUNCTION("""COMPUTED_VALUE"""),"FIP Engineering")</f>
        <v>FIP Engineering</v>
      </c>
      <c r="O1502" s="6" t="str">
        <f>IFERROR(__xludf.DUMMYFUNCTION("""COMPUTED_VALUE"""),"FIP-DOM-000-11304-OS00001-INA-000000")</f>
        <v>FIP-DOM-000-11304-OS00001-INA-000000</v>
      </c>
      <c r="P1502" s="6" t="str">
        <f>IFERROR(__xludf.DUMMYFUNCTION("""COMPUTED_VALUE"""),"PO Closed")</f>
        <v>PO Closed</v>
      </c>
      <c r="Q1502" s="6" t="str">
        <f>IFERROR(__xludf.DUMMYFUNCTION("""COMPUTED_VALUE"""),"GL2108019")</f>
        <v>GL2108019</v>
      </c>
      <c r="R1502" s="57">
        <f>IFERROR(__xludf.DUMMYFUNCTION("""COMPUTED_VALUE"""),44379.0)</f>
        <v>44379</v>
      </c>
      <c r="S1502" s="6" t="str">
        <f>IFERROR(__xludf.DUMMYFUNCTION("""COMPUTED_VALUE"""),"-")</f>
        <v>-</v>
      </c>
      <c r="T1502" s="57">
        <f>IFERROR(__xludf.DUMMYFUNCTION("""COMPUTED_VALUE"""),44438.0)</f>
        <v>44438</v>
      </c>
    </row>
    <row r="1503">
      <c r="A1503" s="6" t="str">
        <f>IFERROR(__xludf.DUMMYFUNCTION("""COMPUTED_VALUE"""),"211750228-18")</f>
        <v>211750228-18</v>
      </c>
      <c r="B1503" s="6" t="str">
        <f>IFERROR(__xludf.DUMMYFUNCTION("""COMPUTED_VALUE"""),"211750228 - Approved")</f>
        <v>211750228 - Approved</v>
      </c>
      <c r="C1503" s="6">
        <f>IFERROR(__xludf.DUMMYFUNCTION("""COMPUTED_VALUE"""),18.0)</f>
        <v>18</v>
      </c>
      <c r="D1503" s="6" t="str">
        <f>IFERROR(__xludf.DUMMYFUNCTION("""COMPUTED_VALUE"""),"P-51027-00")</f>
        <v>P-51027-00</v>
      </c>
      <c r="E150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503" s="6">
        <f>IFERROR(__xludf.DUMMYFUNCTION("""COMPUTED_VALUE"""),2.0)</f>
        <v>2</v>
      </c>
      <c r="G1503" s="6" t="str">
        <f>IFERROR(__xludf.DUMMYFUNCTION("""COMPUTED_VALUE"""),"Pieces")</f>
        <v>Pieces</v>
      </c>
      <c r="H1503" s="6" t="str">
        <f>IFERROR(__xludf.DUMMYFUNCTION("""COMPUTED_VALUE"""),"IDR")</f>
        <v>IDR</v>
      </c>
      <c r="I1503" s="6">
        <f>IFERROR(__xludf.DUMMYFUNCTION("""COMPUTED_VALUE"""),47700.0)</f>
        <v>47700</v>
      </c>
      <c r="J1503" s="6">
        <f>IFERROR(__xludf.DUMMYFUNCTION("""COMPUTED_VALUE"""),95400.0)</f>
        <v>95400</v>
      </c>
      <c r="K1503" s="57">
        <f>IFERROR(__xludf.DUMMYFUNCTION("""COMPUTED_VALUE"""),44421.0)</f>
        <v>44421</v>
      </c>
      <c r="L1503" s="6" t="str">
        <f>IFERROR(__xludf.DUMMYFUNCTION("""COMPUTED_VALUE"""),"FIP Engineering")</f>
        <v>FIP Engineering</v>
      </c>
      <c r="M1503" s="6" t="str">
        <f>IFERROR(__xludf.DUMMYFUNCTION("""COMPUTED_VALUE"""),"Joko Nugroho")</f>
        <v>Joko Nugroho</v>
      </c>
      <c r="N1503" s="6" t="str">
        <f>IFERROR(__xludf.DUMMYFUNCTION("""COMPUTED_VALUE"""),"FIP Engineering")</f>
        <v>FIP Engineering</v>
      </c>
      <c r="O1503" s="6" t="str">
        <f>IFERROR(__xludf.DUMMYFUNCTION("""COMPUTED_VALUE"""),"FIP-DOM-000-11304-OS00001-INA-000000")</f>
        <v>FIP-DOM-000-11304-OS00001-INA-000000</v>
      </c>
      <c r="P1503" s="6" t="str">
        <f>IFERROR(__xludf.DUMMYFUNCTION("""COMPUTED_VALUE"""),"PO Closed")</f>
        <v>PO Closed</v>
      </c>
      <c r="Q1503" s="6" t="str">
        <f>IFERROR(__xludf.DUMMYFUNCTION("""COMPUTED_VALUE"""),"GL2108019")</f>
        <v>GL2108019</v>
      </c>
      <c r="R1503" s="57">
        <f>IFERROR(__xludf.DUMMYFUNCTION("""COMPUTED_VALUE"""),44379.0)</f>
        <v>44379</v>
      </c>
      <c r="S1503" s="6" t="str">
        <f>IFERROR(__xludf.DUMMYFUNCTION("""COMPUTED_VALUE"""),"-")</f>
        <v>-</v>
      </c>
      <c r="T1503" s="57">
        <f>IFERROR(__xludf.DUMMYFUNCTION("""COMPUTED_VALUE"""),44438.0)</f>
        <v>44438</v>
      </c>
    </row>
    <row r="1504">
      <c r="A1504" s="6" t="str">
        <f>IFERROR(__xludf.DUMMYFUNCTION("""COMPUTED_VALUE"""),"211750228-19")</f>
        <v>211750228-19</v>
      </c>
      <c r="B1504" s="6" t="str">
        <f>IFERROR(__xludf.DUMMYFUNCTION("""COMPUTED_VALUE"""),"211750228 - Approved")</f>
        <v>211750228 - Approved</v>
      </c>
      <c r="C1504" s="6">
        <f>IFERROR(__xludf.DUMMYFUNCTION("""COMPUTED_VALUE"""),19.0)</f>
        <v>19</v>
      </c>
      <c r="D1504" s="6" t="str">
        <f>IFERROR(__xludf.DUMMYFUNCTION("""COMPUTED_VALUE"""),"P-53214-00")</f>
        <v>P-53214-00</v>
      </c>
      <c r="E1504" s="6" t="str">
        <f>IFERROR(__xludf.DUMMYFUNCTION("""COMPUTED_VALUE"""),"Epoxy Adhesive DEXTONE")</f>
        <v>Epoxy Adhesive DEXTONE</v>
      </c>
      <c r="F1504" s="6">
        <f>IFERROR(__xludf.DUMMYFUNCTION("""COMPUTED_VALUE"""),2.0)</f>
        <v>2</v>
      </c>
      <c r="G1504" s="6" t="str">
        <f>IFERROR(__xludf.DUMMYFUNCTION("""COMPUTED_VALUE"""),"Pieces")</f>
        <v>Pieces</v>
      </c>
      <c r="H1504" s="6" t="str">
        <f>IFERROR(__xludf.DUMMYFUNCTION("""COMPUTED_VALUE"""),"IDR")</f>
        <v>IDR</v>
      </c>
      <c r="I1504" s="6">
        <f>IFERROR(__xludf.DUMMYFUNCTION("""COMPUTED_VALUE"""),13500.0)</f>
        <v>13500</v>
      </c>
      <c r="J1504" s="6">
        <f>IFERROR(__xludf.DUMMYFUNCTION("""COMPUTED_VALUE"""),27000.0)</f>
        <v>27000</v>
      </c>
      <c r="K1504" s="57">
        <f>IFERROR(__xludf.DUMMYFUNCTION("""COMPUTED_VALUE"""),44421.0)</f>
        <v>44421</v>
      </c>
      <c r="L1504" s="6" t="str">
        <f>IFERROR(__xludf.DUMMYFUNCTION("""COMPUTED_VALUE"""),"FIP Engineering")</f>
        <v>FIP Engineering</v>
      </c>
      <c r="M1504" s="6" t="str">
        <f>IFERROR(__xludf.DUMMYFUNCTION("""COMPUTED_VALUE"""),"Joko Nugroho")</f>
        <v>Joko Nugroho</v>
      </c>
      <c r="N1504" s="6" t="str">
        <f>IFERROR(__xludf.DUMMYFUNCTION("""COMPUTED_VALUE"""),"FIP Engineering")</f>
        <v>FIP Engineering</v>
      </c>
      <c r="O1504" s="6" t="str">
        <f>IFERROR(__xludf.DUMMYFUNCTION("""COMPUTED_VALUE"""),"FIP-DOM-000-11304-OS00001-INA-000000")</f>
        <v>FIP-DOM-000-11304-OS00001-INA-000000</v>
      </c>
      <c r="P1504" s="6" t="str">
        <f>IFERROR(__xludf.DUMMYFUNCTION("""COMPUTED_VALUE"""),"PO Closed")</f>
        <v>PO Closed</v>
      </c>
      <c r="Q1504" s="6" t="str">
        <f>IFERROR(__xludf.DUMMYFUNCTION("""COMPUTED_VALUE"""),"GL2108019")</f>
        <v>GL2108019</v>
      </c>
      <c r="R1504" s="57">
        <f>IFERROR(__xludf.DUMMYFUNCTION("""COMPUTED_VALUE"""),44379.0)</f>
        <v>44379</v>
      </c>
      <c r="S1504" s="6" t="str">
        <f>IFERROR(__xludf.DUMMYFUNCTION("""COMPUTED_VALUE"""),"-")</f>
        <v>-</v>
      </c>
      <c r="T1504" s="57">
        <f>IFERROR(__xludf.DUMMYFUNCTION("""COMPUTED_VALUE"""),44438.0)</f>
        <v>44438</v>
      </c>
    </row>
    <row r="1505">
      <c r="A1505" s="6" t="str">
        <f>IFERROR(__xludf.DUMMYFUNCTION("""COMPUTED_VALUE"""),"211750228-20")</f>
        <v>211750228-20</v>
      </c>
      <c r="B1505" s="6" t="str">
        <f>IFERROR(__xludf.DUMMYFUNCTION("""COMPUTED_VALUE"""),"211750228 - Approved")</f>
        <v>211750228 - Approved</v>
      </c>
      <c r="C1505" s="6">
        <f>IFERROR(__xludf.DUMMYFUNCTION("""COMPUTED_VALUE"""),20.0)</f>
        <v>20</v>
      </c>
      <c r="D1505" s="6" t="str">
        <f>IFERROR(__xludf.DUMMYFUNCTION("""COMPUTED_VALUE"""),"P-15851-00")</f>
        <v>P-15851-00</v>
      </c>
      <c r="E1505" s="6" t="str">
        <f>IFERROR(__xludf.DUMMYFUNCTION("""COMPUTED_VALUE"""),"AMPLAS EAGLE 100")</f>
        <v>AMPLAS EAGLE 100</v>
      </c>
      <c r="F1505" s="6">
        <f>IFERROR(__xludf.DUMMYFUNCTION("""COMPUTED_VALUE"""),5.0)</f>
        <v>5</v>
      </c>
      <c r="G1505" s="6" t="str">
        <f>IFERROR(__xludf.DUMMYFUNCTION("""COMPUTED_VALUE"""),"Pieces")</f>
        <v>Pieces</v>
      </c>
      <c r="H1505" s="6" t="str">
        <f>IFERROR(__xludf.DUMMYFUNCTION("""COMPUTED_VALUE"""),"IDR")</f>
        <v>IDR</v>
      </c>
      <c r="I1505" s="6">
        <f>IFERROR(__xludf.DUMMYFUNCTION("""COMPUTED_VALUE"""),3300.0)</f>
        <v>3300</v>
      </c>
      <c r="J1505" s="6">
        <f>IFERROR(__xludf.DUMMYFUNCTION("""COMPUTED_VALUE"""),16500.0)</f>
        <v>16500</v>
      </c>
      <c r="K1505" s="57">
        <f>IFERROR(__xludf.DUMMYFUNCTION("""COMPUTED_VALUE"""),44421.0)</f>
        <v>44421</v>
      </c>
      <c r="L1505" s="6" t="str">
        <f>IFERROR(__xludf.DUMMYFUNCTION("""COMPUTED_VALUE"""),"FIP Engineering")</f>
        <v>FIP Engineering</v>
      </c>
      <c r="M1505" s="6" t="str">
        <f>IFERROR(__xludf.DUMMYFUNCTION("""COMPUTED_VALUE"""),"Joko Nugroho")</f>
        <v>Joko Nugroho</v>
      </c>
      <c r="N1505" s="6" t="str">
        <f>IFERROR(__xludf.DUMMYFUNCTION("""COMPUTED_VALUE"""),"FIP Engineering")</f>
        <v>FIP Engineering</v>
      </c>
      <c r="O1505" s="6" t="str">
        <f>IFERROR(__xludf.DUMMYFUNCTION("""COMPUTED_VALUE"""),"FIP-DOM-000-11304-OS00001-INA-000000")</f>
        <v>FIP-DOM-000-11304-OS00001-INA-000000</v>
      </c>
      <c r="P1505" s="6" t="str">
        <f>IFERROR(__xludf.DUMMYFUNCTION("""COMPUTED_VALUE"""),"PO Closed")</f>
        <v>PO Closed</v>
      </c>
      <c r="Q1505" s="6" t="str">
        <f>IFERROR(__xludf.DUMMYFUNCTION("""COMPUTED_VALUE"""),"GL2108019")</f>
        <v>GL2108019</v>
      </c>
      <c r="R1505" s="57">
        <f>IFERROR(__xludf.DUMMYFUNCTION("""COMPUTED_VALUE"""),44379.0)</f>
        <v>44379</v>
      </c>
      <c r="S1505" s="6" t="str">
        <f>IFERROR(__xludf.DUMMYFUNCTION("""COMPUTED_VALUE"""),"-")</f>
        <v>-</v>
      </c>
      <c r="T1505" s="57">
        <f>IFERROR(__xludf.DUMMYFUNCTION("""COMPUTED_VALUE"""),44438.0)</f>
        <v>44438</v>
      </c>
    </row>
    <row r="1506">
      <c r="A1506" s="6" t="str">
        <f>IFERROR(__xludf.DUMMYFUNCTION("""COMPUTED_VALUE"""),"211750228-21")</f>
        <v>211750228-21</v>
      </c>
      <c r="B1506" s="6" t="str">
        <f>IFERROR(__xludf.DUMMYFUNCTION("""COMPUTED_VALUE"""),"211750228 - Approved")</f>
        <v>211750228 - Approved</v>
      </c>
      <c r="C1506" s="6">
        <f>IFERROR(__xludf.DUMMYFUNCTION("""COMPUTED_VALUE"""),21.0)</f>
        <v>21</v>
      </c>
      <c r="D1506" s="6" t="str">
        <f>IFERROR(__xludf.DUMMYFUNCTION("""COMPUTED_VALUE"""),"P-15852-00")</f>
        <v>P-15852-00</v>
      </c>
      <c r="E1506" s="6" t="str">
        <f>IFERROR(__xludf.DUMMYFUNCTION("""COMPUTED_VALUE"""),"AMPLAS EAGLE 500")</f>
        <v>AMPLAS EAGLE 500</v>
      </c>
      <c r="F1506" s="6">
        <f>IFERROR(__xludf.DUMMYFUNCTION("""COMPUTED_VALUE"""),5.0)</f>
        <v>5</v>
      </c>
      <c r="G1506" s="6" t="str">
        <f>IFERROR(__xludf.DUMMYFUNCTION("""COMPUTED_VALUE"""),"Pieces")</f>
        <v>Pieces</v>
      </c>
      <c r="H1506" s="6" t="str">
        <f>IFERROR(__xludf.DUMMYFUNCTION("""COMPUTED_VALUE"""),"IDR")</f>
        <v>IDR</v>
      </c>
      <c r="I1506" s="6">
        <f>IFERROR(__xludf.DUMMYFUNCTION("""COMPUTED_VALUE"""),4500.0)</f>
        <v>4500</v>
      </c>
      <c r="J1506" s="6">
        <f>IFERROR(__xludf.DUMMYFUNCTION("""COMPUTED_VALUE"""),22500.0)</f>
        <v>22500</v>
      </c>
      <c r="K1506" s="57">
        <f>IFERROR(__xludf.DUMMYFUNCTION("""COMPUTED_VALUE"""),44421.0)</f>
        <v>44421</v>
      </c>
      <c r="L1506" s="6" t="str">
        <f>IFERROR(__xludf.DUMMYFUNCTION("""COMPUTED_VALUE"""),"FIP Engineering")</f>
        <v>FIP Engineering</v>
      </c>
      <c r="M1506" s="6" t="str">
        <f>IFERROR(__xludf.DUMMYFUNCTION("""COMPUTED_VALUE"""),"Joko Nugroho")</f>
        <v>Joko Nugroho</v>
      </c>
      <c r="N1506" s="6" t="str">
        <f>IFERROR(__xludf.DUMMYFUNCTION("""COMPUTED_VALUE"""),"FIP Engineering")</f>
        <v>FIP Engineering</v>
      </c>
      <c r="O1506" s="6" t="str">
        <f>IFERROR(__xludf.DUMMYFUNCTION("""COMPUTED_VALUE"""),"FIP-DOM-000-11304-OS00001-INA-000000")</f>
        <v>FIP-DOM-000-11304-OS00001-INA-000000</v>
      </c>
      <c r="P1506" s="6" t="str">
        <f>IFERROR(__xludf.DUMMYFUNCTION("""COMPUTED_VALUE"""),"PO Closed")</f>
        <v>PO Closed</v>
      </c>
      <c r="Q1506" s="6" t="str">
        <f>IFERROR(__xludf.DUMMYFUNCTION("""COMPUTED_VALUE"""),"GL2108019")</f>
        <v>GL2108019</v>
      </c>
      <c r="R1506" s="57">
        <f>IFERROR(__xludf.DUMMYFUNCTION("""COMPUTED_VALUE"""),44379.0)</f>
        <v>44379</v>
      </c>
      <c r="S1506" s="6" t="str">
        <f>IFERROR(__xludf.DUMMYFUNCTION("""COMPUTED_VALUE"""),"-")</f>
        <v>-</v>
      </c>
      <c r="T1506" s="57">
        <f>IFERROR(__xludf.DUMMYFUNCTION("""COMPUTED_VALUE"""),44438.0)</f>
        <v>44438</v>
      </c>
    </row>
    <row r="1507">
      <c r="A1507" s="6" t="str">
        <f>IFERROR(__xludf.DUMMYFUNCTION("""COMPUTED_VALUE"""),"211750228-22")</f>
        <v>211750228-22</v>
      </c>
      <c r="B1507" s="6" t="str">
        <f>IFERROR(__xludf.DUMMYFUNCTION("""COMPUTED_VALUE"""),"211750228 - Approved")</f>
        <v>211750228 - Approved</v>
      </c>
      <c r="C1507" s="6">
        <f>IFERROR(__xludf.DUMMYFUNCTION("""COMPUTED_VALUE"""),22.0)</f>
        <v>22</v>
      </c>
      <c r="D1507" s="6" t="str">
        <f>IFERROR(__xludf.DUMMYFUNCTION("""COMPUTED_VALUE"""),"P-13389-00")</f>
        <v>P-13389-00</v>
      </c>
      <c r="E1507" s="6" t="str">
        <f>IFERROR(__xludf.DUMMYFUNCTION("""COMPUTED_VALUE"""),"Scotch Brite 3M")</f>
        <v>Scotch Brite 3M</v>
      </c>
      <c r="F1507" s="6">
        <f>IFERROR(__xludf.DUMMYFUNCTION("""COMPUTED_VALUE"""),5.0)</f>
        <v>5</v>
      </c>
      <c r="G1507" s="6" t="str">
        <f>IFERROR(__xludf.DUMMYFUNCTION("""COMPUTED_VALUE"""),"Pieces")</f>
        <v>Pieces</v>
      </c>
      <c r="H1507" s="6" t="str">
        <f>IFERROR(__xludf.DUMMYFUNCTION("""COMPUTED_VALUE"""),"IDR")</f>
        <v>IDR</v>
      </c>
      <c r="I1507" s="6">
        <f>IFERROR(__xludf.DUMMYFUNCTION("""COMPUTED_VALUE"""),13500.0)</f>
        <v>13500</v>
      </c>
      <c r="J1507" s="6">
        <f>IFERROR(__xludf.DUMMYFUNCTION("""COMPUTED_VALUE"""),67500.0)</f>
        <v>67500</v>
      </c>
      <c r="K1507" s="57">
        <f>IFERROR(__xludf.DUMMYFUNCTION("""COMPUTED_VALUE"""),44421.0)</f>
        <v>44421</v>
      </c>
      <c r="L1507" s="6" t="str">
        <f>IFERROR(__xludf.DUMMYFUNCTION("""COMPUTED_VALUE"""),"FIP Engineering")</f>
        <v>FIP Engineering</v>
      </c>
      <c r="M1507" s="6" t="str">
        <f>IFERROR(__xludf.DUMMYFUNCTION("""COMPUTED_VALUE"""),"Joko Nugroho")</f>
        <v>Joko Nugroho</v>
      </c>
      <c r="N1507" s="6" t="str">
        <f>IFERROR(__xludf.DUMMYFUNCTION("""COMPUTED_VALUE"""),"FIP Engineering")</f>
        <v>FIP Engineering</v>
      </c>
      <c r="O1507" s="6" t="str">
        <f>IFERROR(__xludf.DUMMYFUNCTION("""COMPUTED_VALUE"""),"FIP-DOM-000-11304-OS00001-INA-000000")</f>
        <v>FIP-DOM-000-11304-OS00001-INA-000000</v>
      </c>
      <c r="P1507" s="6" t="str">
        <f>IFERROR(__xludf.DUMMYFUNCTION("""COMPUTED_VALUE"""),"PO Closed")</f>
        <v>PO Closed</v>
      </c>
      <c r="Q1507" s="6" t="str">
        <f>IFERROR(__xludf.DUMMYFUNCTION("""COMPUTED_VALUE"""),"GL2108019")</f>
        <v>GL2108019</v>
      </c>
      <c r="R1507" s="57">
        <f>IFERROR(__xludf.DUMMYFUNCTION("""COMPUTED_VALUE"""),44379.0)</f>
        <v>44379</v>
      </c>
      <c r="S1507" s="6" t="str">
        <f>IFERROR(__xludf.DUMMYFUNCTION("""COMPUTED_VALUE"""),"-")</f>
        <v>-</v>
      </c>
      <c r="T1507" s="57">
        <f>IFERROR(__xludf.DUMMYFUNCTION("""COMPUTED_VALUE"""),44438.0)</f>
        <v>44438</v>
      </c>
    </row>
    <row r="1508">
      <c r="A1508" s="6" t="str">
        <f>IFERROR(__xludf.DUMMYFUNCTION("""COMPUTED_VALUE"""),"211750239-1")</f>
        <v>211750239-1</v>
      </c>
      <c r="B1508" s="6" t="str">
        <f>IFERROR(__xludf.DUMMYFUNCTION("""COMPUTED_VALUE"""),"211750239 - Approved")</f>
        <v>211750239 - Approved</v>
      </c>
      <c r="C1508" s="6">
        <f>IFERROR(__xludf.DUMMYFUNCTION("""COMPUTED_VALUE"""),1.0)</f>
        <v>1</v>
      </c>
      <c r="D1508" s="6" t="str">
        <f>IFERROR(__xludf.DUMMYFUNCTION("""COMPUTED_VALUE"""),"O-17995-00")</f>
        <v>O-17995-00</v>
      </c>
      <c r="E1508" s="6" t="str">
        <f>IFERROR(__xludf.DUMMYFUNCTION("""COMPUTED_VALUE"""),"Freeze Dryer MBE1207 - Slot Door Vacuum Gasket dia.12.7 P/N : EB41-00517")</f>
        <v>Freeze Dryer MBE1207 - Slot Door Vacuum Gasket dia.12.7 P/N : EB41-00517</v>
      </c>
      <c r="F1508" s="6">
        <f>IFERROR(__xludf.DUMMYFUNCTION("""COMPUTED_VALUE"""),4.0)</f>
        <v>4</v>
      </c>
      <c r="G1508" s="6" t="str">
        <f>IFERROR(__xludf.DUMMYFUNCTION("""COMPUTED_VALUE"""),"Meter")</f>
        <v>Meter</v>
      </c>
      <c r="H1508" s="6" t="str">
        <f>IFERROR(__xludf.DUMMYFUNCTION("""COMPUTED_VALUE"""),"USD")</f>
        <v>USD</v>
      </c>
      <c r="I1508" s="6">
        <f>IFERROR(__xludf.DUMMYFUNCTION("""COMPUTED_VALUE"""),30.51)</f>
        <v>30.51</v>
      </c>
      <c r="J1508" s="6">
        <f>IFERROR(__xludf.DUMMYFUNCTION("""COMPUTED_VALUE"""),122.04)</f>
        <v>122.04</v>
      </c>
      <c r="K1508" s="57">
        <f>IFERROR(__xludf.DUMMYFUNCTION("""COMPUTED_VALUE"""),44435.0)</f>
        <v>44435</v>
      </c>
      <c r="L1508" s="6" t="str">
        <f>IFERROR(__xludf.DUMMYFUNCTION("""COMPUTED_VALUE"""),"FIP Engineering")</f>
        <v>FIP Engineering</v>
      </c>
      <c r="M1508" s="6" t="str">
        <f>IFERROR(__xludf.DUMMYFUNCTION("""COMPUTED_VALUE"""),"Irwan Sopian")</f>
        <v>Irwan Sopian</v>
      </c>
      <c r="N1508" s="6" t="str">
        <f>IFERROR(__xludf.DUMMYFUNCTION("""COMPUTED_VALUE"""),"FIP Engineering")</f>
        <v>FIP Engineering</v>
      </c>
      <c r="O1508" s="6" t="str">
        <f>IFERROR(__xludf.DUMMYFUNCTION("""COMPUTED_VALUE"""),"FIP-DOM-000-11304-OS00001-INA-000000")</f>
        <v>FIP-DOM-000-11304-OS00001-INA-000000</v>
      </c>
      <c r="P1508" s="6" t="str">
        <f>IFERROR(__xludf.DUMMYFUNCTION("""COMPUTED_VALUE"""),"PO Closed")</f>
        <v>PO Closed</v>
      </c>
      <c r="Q1508" s="6" t="str">
        <f>IFERROR(__xludf.DUMMYFUNCTION("""COMPUTED_VALUE"""),"GL2108031")</f>
        <v>GL2108031</v>
      </c>
      <c r="R1508" s="57">
        <f>IFERROR(__xludf.DUMMYFUNCTION("""COMPUTED_VALUE"""),44391.0)</f>
        <v>44391</v>
      </c>
      <c r="S1508" s="6" t="str">
        <f>IFERROR(__xludf.DUMMYFUNCTION("""COMPUTED_VALUE"""),"-")</f>
        <v>-</v>
      </c>
      <c r="T1508" s="57">
        <f>IFERROR(__xludf.DUMMYFUNCTION("""COMPUTED_VALUE"""),44557.0)</f>
        <v>44557</v>
      </c>
    </row>
    <row r="1509">
      <c r="A1509" s="6" t="str">
        <f>IFERROR(__xludf.DUMMYFUNCTION("""COMPUTED_VALUE"""),"211750239-2")</f>
        <v>211750239-2</v>
      </c>
      <c r="B1509" s="6" t="str">
        <f>IFERROR(__xludf.DUMMYFUNCTION("""COMPUTED_VALUE"""),"211750239 - Approved")</f>
        <v>211750239 - Approved</v>
      </c>
      <c r="C1509" s="6">
        <f>IFERROR(__xludf.DUMMYFUNCTION("""COMPUTED_VALUE"""),2.0)</f>
        <v>2</v>
      </c>
      <c r="D1509" s="6" t="str">
        <f>IFERROR(__xludf.DUMMYFUNCTION("""COMPUTED_VALUE"""),"O-17996-00")</f>
        <v>O-17996-00</v>
      </c>
      <c r="E1509" s="6" t="str">
        <f>IFERROR(__xludf.DUMMYFUNCTION("""COMPUTED_VALUE"""),"Freeze Dryer MBE1207 - Slot Door Pressure Gasket P/N : EDF01-02016")</f>
        <v>Freeze Dryer MBE1207 - Slot Door Pressure Gasket P/N : EDF01-02016</v>
      </c>
      <c r="F1509" s="6">
        <f>IFERROR(__xludf.DUMMYFUNCTION("""COMPUTED_VALUE"""),1.0)</f>
        <v>1</v>
      </c>
      <c r="G1509" s="6" t="str">
        <f>IFERROR(__xludf.DUMMYFUNCTION("""COMPUTED_VALUE"""),"Unit")</f>
        <v>Unit</v>
      </c>
      <c r="H1509" s="6" t="str">
        <f>IFERROR(__xludf.DUMMYFUNCTION("""COMPUTED_VALUE"""),"USD")</f>
        <v>USD</v>
      </c>
      <c r="I1509" s="6">
        <f>IFERROR(__xludf.DUMMYFUNCTION("""COMPUTED_VALUE"""),139.09)</f>
        <v>139.09</v>
      </c>
      <c r="J1509" s="6">
        <f>IFERROR(__xludf.DUMMYFUNCTION("""COMPUTED_VALUE"""),139.09)</f>
        <v>139.09</v>
      </c>
      <c r="K1509" s="57">
        <f>IFERROR(__xludf.DUMMYFUNCTION("""COMPUTED_VALUE"""),44435.0)</f>
        <v>44435</v>
      </c>
      <c r="L1509" s="6" t="str">
        <f>IFERROR(__xludf.DUMMYFUNCTION("""COMPUTED_VALUE"""),"FIP Engineering")</f>
        <v>FIP Engineering</v>
      </c>
      <c r="M1509" s="6" t="str">
        <f>IFERROR(__xludf.DUMMYFUNCTION("""COMPUTED_VALUE"""),"Irwan Sopian")</f>
        <v>Irwan Sopian</v>
      </c>
      <c r="N1509" s="6" t="str">
        <f>IFERROR(__xludf.DUMMYFUNCTION("""COMPUTED_VALUE"""),"FIP Engineering")</f>
        <v>FIP Engineering</v>
      </c>
      <c r="O1509" s="6" t="str">
        <f>IFERROR(__xludf.DUMMYFUNCTION("""COMPUTED_VALUE"""),"FIP-DOM-000-11304-OS00001-INA-000000")</f>
        <v>FIP-DOM-000-11304-OS00001-INA-000000</v>
      </c>
      <c r="P1509" s="6" t="str">
        <f>IFERROR(__xludf.DUMMYFUNCTION("""COMPUTED_VALUE"""),"PO Closed")</f>
        <v>PO Closed</v>
      </c>
      <c r="Q1509" s="6" t="str">
        <f>IFERROR(__xludf.DUMMYFUNCTION("""COMPUTED_VALUE"""),"GL2108031")</f>
        <v>GL2108031</v>
      </c>
      <c r="R1509" s="57">
        <f>IFERROR(__xludf.DUMMYFUNCTION("""COMPUTED_VALUE"""),44391.0)</f>
        <v>44391</v>
      </c>
      <c r="S1509" s="6" t="str">
        <f>IFERROR(__xludf.DUMMYFUNCTION("""COMPUTED_VALUE"""),"-")</f>
        <v>-</v>
      </c>
      <c r="T1509" s="57">
        <f>IFERROR(__xludf.DUMMYFUNCTION("""COMPUTED_VALUE"""),44557.0)</f>
        <v>44557</v>
      </c>
    </row>
    <row r="1510">
      <c r="A1510" s="6" t="str">
        <f>IFERROR(__xludf.DUMMYFUNCTION("""COMPUTED_VALUE"""),"211750239-3")</f>
        <v>211750239-3</v>
      </c>
      <c r="B1510" s="6" t="str">
        <f>IFERROR(__xludf.DUMMYFUNCTION("""COMPUTED_VALUE"""),"211750239 - Approved")</f>
        <v>211750239 - Approved</v>
      </c>
      <c r="C1510" s="6">
        <f>IFERROR(__xludf.DUMMYFUNCTION("""COMPUTED_VALUE"""),3.0)</f>
        <v>3</v>
      </c>
      <c r="D1510" s="6" t="str">
        <f>IFERROR(__xludf.DUMMYFUNCTION("""COMPUTED_VALUE"""),"O-17997-00")</f>
        <v>O-17997-00</v>
      </c>
      <c r="E1510" s="6" t="str">
        <f>IFERROR(__xludf.DUMMYFUNCTION("""COMPUTED_VALUE"""),"Freeze Dryer MBE1207 - Mushroom Seal P/N : EBSF0005AR0")</f>
        <v>Freeze Dryer MBE1207 - Mushroom Seal P/N : EBSF0005AR0</v>
      </c>
      <c r="F1510" s="6">
        <f>IFERROR(__xludf.DUMMYFUNCTION("""COMPUTED_VALUE"""),3.0)</f>
        <v>3</v>
      </c>
      <c r="G1510" s="6" t="str">
        <f>IFERROR(__xludf.DUMMYFUNCTION("""COMPUTED_VALUE"""),"Meter")</f>
        <v>Meter</v>
      </c>
      <c r="H1510" s="6" t="str">
        <f>IFERROR(__xludf.DUMMYFUNCTION("""COMPUTED_VALUE"""),"USD")</f>
        <v>USD</v>
      </c>
      <c r="I1510" s="6">
        <f>IFERROR(__xludf.DUMMYFUNCTION("""COMPUTED_VALUE"""),26.85)</f>
        <v>26.85</v>
      </c>
      <c r="J1510" s="6">
        <f>IFERROR(__xludf.DUMMYFUNCTION("""COMPUTED_VALUE"""),80.55)</f>
        <v>80.55</v>
      </c>
      <c r="K1510" s="57">
        <f>IFERROR(__xludf.DUMMYFUNCTION("""COMPUTED_VALUE"""),44435.0)</f>
        <v>44435</v>
      </c>
      <c r="L1510" s="6" t="str">
        <f>IFERROR(__xludf.DUMMYFUNCTION("""COMPUTED_VALUE"""),"FIP Engineering")</f>
        <v>FIP Engineering</v>
      </c>
      <c r="M1510" s="6" t="str">
        <f>IFERROR(__xludf.DUMMYFUNCTION("""COMPUTED_VALUE"""),"Irwan Sopian")</f>
        <v>Irwan Sopian</v>
      </c>
      <c r="N1510" s="6" t="str">
        <f>IFERROR(__xludf.DUMMYFUNCTION("""COMPUTED_VALUE"""),"FIP Engineering")</f>
        <v>FIP Engineering</v>
      </c>
      <c r="O1510" s="6" t="str">
        <f>IFERROR(__xludf.DUMMYFUNCTION("""COMPUTED_VALUE"""),"FIP-DOM-000-11304-OS00001-INA-000000")</f>
        <v>FIP-DOM-000-11304-OS00001-INA-000000</v>
      </c>
      <c r="P1510" s="6" t="str">
        <f>IFERROR(__xludf.DUMMYFUNCTION("""COMPUTED_VALUE"""),"PO Closed")</f>
        <v>PO Closed</v>
      </c>
      <c r="Q1510" s="6" t="str">
        <f>IFERROR(__xludf.DUMMYFUNCTION("""COMPUTED_VALUE"""),"GL2108031")</f>
        <v>GL2108031</v>
      </c>
      <c r="R1510" s="57">
        <f>IFERROR(__xludf.DUMMYFUNCTION("""COMPUTED_VALUE"""),44391.0)</f>
        <v>44391</v>
      </c>
      <c r="S1510" s="6" t="str">
        <f>IFERROR(__xludf.DUMMYFUNCTION("""COMPUTED_VALUE"""),"-")</f>
        <v>-</v>
      </c>
      <c r="T1510" s="57">
        <f>IFERROR(__xludf.DUMMYFUNCTION("""COMPUTED_VALUE"""),44557.0)</f>
        <v>44557</v>
      </c>
    </row>
    <row r="1511">
      <c r="A1511" s="6" t="str">
        <f>IFERROR(__xludf.DUMMYFUNCTION("""COMPUTED_VALUE"""),"211750239-4")</f>
        <v>211750239-4</v>
      </c>
      <c r="B1511" s="6" t="str">
        <f>IFERROR(__xludf.DUMMYFUNCTION("""COMPUTED_VALUE"""),"211750239 - Approved")</f>
        <v>211750239 - Approved</v>
      </c>
      <c r="C1511" s="6">
        <f>IFERROR(__xludf.DUMMYFUNCTION("""COMPUTED_VALUE"""),4.0)</f>
        <v>4</v>
      </c>
      <c r="D1511" s="6" t="str">
        <f>IFERROR(__xludf.DUMMYFUNCTION("""COMPUTED_VALUE"""),"O-17998-00")</f>
        <v>O-17998-00</v>
      </c>
      <c r="E1511" s="6" t="str">
        <f>IFERROR(__xludf.DUMMYFUNCTION("""COMPUTED_VALUE"""),"Freeze Dryer MBE1207 - Main Door Gasket P/N : EB41-00568")</f>
        <v>Freeze Dryer MBE1207 - Main Door Gasket P/N : EB41-00568</v>
      </c>
      <c r="F1511" s="6">
        <f>IFERROR(__xludf.DUMMYFUNCTION("""COMPUTED_VALUE"""),8.0)</f>
        <v>8</v>
      </c>
      <c r="G1511" s="6" t="str">
        <f>IFERROR(__xludf.DUMMYFUNCTION("""COMPUTED_VALUE"""),"Meter")</f>
        <v>Meter</v>
      </c>
      <c r="H1511" s="6" t="str">
        <f>IFERROR(__xludf.DUMMYFUNCTION("""COMPUTED_VALUE"""),"USD")</f>
        <v>USD</v>
      </c>
      <c r="I1511" s="6">
        <f>IFERROR(__xludf.DUMMYFUNCTION("""COMPUTED_VALUE"""),78.11)</f>
        <v>78.11</v>
      </c>
      <c r="J1511" s="6">
        <f>IFERROR(__xludf.DUMMYFUNCTION("""COMPUTED_VALUE"""),624.88)</f>
        <v>624.88</v>
      </c>
      <c r="K1511" s="57">
        <f>IFERROR(__xludf.DUMMYFUNCTION("""COMPUTED_VALUE"""),44435.0)</f>
        <v>44435</v>
      </c>
      <c r="L1511" s="6" t="str">
        <f>IFERROR(__xludf.DUMMYFUNCTION("""COMPUTED_VALUE"""),"FIP Engineering")</f>
        <v>FIP Engineering</v>
      </c>
      <c r="M1511" s="6" t="str">
        <f>IFERROR(__xludf.DUMMYFUNCTION("""COMPUTED_VALUE"""),"Irwan Sopian")</f>
        <v>Irwan Sopian</v>
      </c>
      <c r="N1511" s="6" t="str">
        <f>IFERROR(__xludf.DUMMYFUNCTION("""COMPUTED_VALUE"""),"FIP Engineering")</f>
        <v>FIP Engineering</v>
      </c>
      <c r="O1511" s="6" t="str">
        <f>IFERROR(__xludf.DUMMYFUNCTION("""COMPUTED_VALUE"""),"FIP-DOM-000-11304-OS00001-INA-000000")</f>
        <v>FIP-DOM-000-11304-OS00001-INA-000000</v>
      </c>
      <c r="P1511" s="6" t="str">
        <f>IFERROR(__xludf.DUMMYFUNCTION("""COMPUTED_VALUE"""),"PO Closed")</f>
        <v>PO Closed</v>
      </c>
      <c r="Q1511" s="6" t="str">
        <f>IFERROR(__xludf.DUMMYFUNCTION("""COMPUTED_VALUE"""),"GL2108031")</f>
        <v>GL2108031</v>
      </c>
      <c r="R1511" s="57">
        <f>IFERROR(__xludf.DUMMYFUNCTION("""COMPUTED_VALUE"""),44391.0)</f>
        <v>44391</v>
      </c>
      <c r="S1511" s="6" t="str">
        <f>IFERROR(__xludf.DUMMYFUNCTION("""COMPUTED_VALUE"""),"-")</f>
        <v>-</v>
      </c>
      <c r="T1511" s="57">
        <f>IFERROR(__xludf.DUMMYFUNCTION("""COMPUTED_VALUE"""),44557.0)</f>
        <v>44557</v>
      </c>
    </row>
    <row r="1512">
      <c r="A1512" s="6" t="str">
        <f>IFERROR(__xludf.DUMMYFUNCTION("""COMPUTED_VALUE"""),"211750242-1")</f>
        <v>211750242-1</v>
      </c>
      <c r="B1512" s="6" t="str">
        <f>IFERROR(__xludf.DUMMYFUNCTION("""COMPUTED_VALUE"""),"211750242 - Approved")</f>
        <v>211750242 - Approved</v>
      </c>
      <c r="C1512" s="6">
        <f>IFERROR(__xludf.DUMMYFUNCTION("""COMPUTED_VALUE"""),1.0)</f>
        <v>1</v>
      </c>
      <c r="D1512" s="6" t="str">
        <f>IFERROR(__xludf.DUMMYFUNCTION("""COMPUTED_VALUE"""),"R-20002-00")</f>
        <v>R-20002-00</v>
      </c>
      <c r="E1512" s="6" t="str">
        <f>IFERROR(__xludf.DUMMYFUNCTION("""COMPUTED_VALUE"""),"CSV Module F/TOC600 TOC Analyzer P/N: FG1200650")</f>
        <v>CSV Module F/TOC600 TOC Analyzer P/N: FG1200650</v>
      </c>
      <c r="F1512" s="6">
        <f>IFERROR(__xludf.DUMMYFUNCTION("""COMPUTED_VALUE"""),1.0)</f>
        <v>1</v>
      </c>
      <c r="G1512" s="6" t="str">
        <f>IFERROR(__xludf.DUMMYFUNCTION("""COMPUTED_VALUE"""),"Unit")</f>
        <v>Unit</v>
      </c>
      <c r="H1512" s="6" t="str">
        <f>IFERROR(__xludf.DUMMYFUNCTION("""COMPUTED_VALUE"""),"IDR")</f>
        <v>IDR</v>
      </c>
      <c r="I1512" s="6">
        <f>IFERROR(__xludf.DUMMYFUNCTION("""COMPUTED_VALUE"""),6.8907E7)</f>
        <v>68907000</v>
      </c>
      <c r="J1512" s="6">
        <f>IFERROR(__xludf.DUMMYFUNCTION("""COMPUTED_VALUE"""),6.8907E7)</f>
        <v>68907000</v>
      </c>
      <c r="K1512" s="57">
        <f>IFERROR(__xludf.DUMMYFUNCTION("""COMPUTED_VALUE"""),44439.0)</f>
        <v>44439</v>
      </c>
      <c r="L1512" s="6" t="str">
        <f>IFERROR(__xludf.DUMMYFUNCTION("""COMPUTED_VALUE"""),"FIP General")</f>
        <v>FIP General</v>
      </c>
      <c r="M1512" s="6" t="str">
        <f>IFERROR(__xludf.DUMMYFUNCTION("""COMPUTED_VALUE"""),"Ronald Effendi")</f>
        <v>Ronald Effendi</v>
      </c>
      <c r="N1512" s="6" t="str">
        <f>IFERROR(__xludf.DUMMYFUNCTION("""COMPUTED_VALUE"""),"FIP Engineering")</f>
        <v>FIP Engineering</v>
      </c>
      <c r="O1512" s="6" t="str">
        <f>IFERROR(__xludf.DUMMYFUNCTION("""COMPUTED_VALUE"""),"FIP-DOM-ENG-13405-EQ21009-INA-000000")</f>
        <v>FIP-DOM-ENG-13405-EQ21009-INA-000000</v>
      </c>
      <c r="P1512" s="6" t="str">
        <f>IFERROR(__xludf.DUMMYFUNCTION("""COMPUTED_VALUE"""),"PO Closed")</f>
        <v>PO Closed</v>
      </c>
      <c r="Q1512" s="6" t="str">
        <f>IFERROR(__xludf.DUMMYFUNCTION("""COMPUTED_VALUE"""),"GL2108005")</f>
        <v>GL2108005</v>
      </c>
      <c r="R1512" s="57">
        <f>IFERROR(__xludf.DUMMYFUNCTION("""COMPUTED_VALUE"""),44393.0)</f>
        <v>44393</v>
      </c>
      <c r="S1512" s="6" t="str">
        <f>IFERROR(__xludf.DUMMYFUNCTION("""COMPUTED_VALUE"""),"-")</f>
        <v>-</v>
      </c>
      <c r="T1512" s="57">
        <f>IFERROR(__xludf.DUMMYFUNCTION("""COMPUTED_VALUE"""),44478.0)</f>
        <v>44478</v>
      </c>
    </row>
    <row r="1513">
      <c r="A1513" s="6" t="str">
        <f>IFERROR(__xludf.DUMMYFUNCTION("""COMPUTED_VALUE"""),"211750242-2")</f>
        <v>211750242-2</v>
      </c>
      <c r="B1513" s="6" t="str">
        <f>IFERROR(__xludf.DUMMYFUNCTION("""COMPUTED_VALUE"""),"211750242 - Approved")</f>
        <v>211750242 - Approved</v>
      </c>
      <c r="C1513" s="6">
        <f>IFERROR(__xludf.DUMMYFUNCTION("""COMPUTED_VALUE"""),2.0)</f>
        <v>2</v>
      </c>
      <c r="D1513" s="6" t="str">
        <f>IFERROR(__xludf.DUMMYFUNCTION("""COMPUTED_VALUE"""),"R-20002-00")</f>
        <v>R-20002-00</v>
      </c>
      <c r="E1513" s="6" t="str">
        <f>IFERROR(__xludf.DUMMYFUNCTION("""COMPUTED_VALUE"""),"KIT A643 RGT Calibration P/N: FG5017401")</f>
        <v>KIT A643 RGT Calibration P/N: FG5017401</v>
      </c>
      <c r="F1513" s="6">
        <f>IFERROR(__xludf.DUMMYFUNCTION("""COMPUTED_VALUE"""),1.0)</f>
        <v>1</v>
      </c>
      <c r="G1513" s="6" t="str">
        <f>IFERROR(__xludf.DUMMYFUNCTION("""COMPUTED_VALUE"""),"Unit")</f>
        <v>Unit</v>
      </c>
      <c r="H1513" s="6" t="str">
        <f>IFERROR(__xludf.DUMMYFUNCTION("""COMPUTED_VALUE"""),"IDR")</f>
        <v>IDR</v>
      </c>
      <c r="I1513" s="6">
        <f>IFERROR(__xludf.DUMMYFUNCTION("""COMPUTED_VALUE"""),1.2797E7)</f>
        <v>12797000</v>
      </c>
      <c r="J1513" s="6">
        <f>IFERROR(__xludf.DUMMYFUNCTION("""COMPUTED_VALUE"""),1.2797E7)</f>
        <v>12797000</v>
      </c>
      <c r="K1513" s="57">
        <f>IFERROR(__xludf.DUMMYFUNCTION("""COMPUTED_VALUE"""),44439.0)</f>
        <v>44439</v>
      </c>
      <c r="L1513" s="6" t="str">
        <f>IFERROR(__xludf.DUMMYFUNCTION("""COMPUTED_VALUE"""),"FIP General")</f>
        <v>FIP General</v>
      </c>
      <c r="M1513" s="6" t="str">
        <f>IFERROR(__xludf.DUMMYFUNCTION("""COMPUTED_VALUE"""),"Ronald Effendi")</f>
        <v>Ronald Effendi</v>
      </c>
      <c r="N1513" s="6" t="str">
        <f>IFERROR(__xludf.DUMMYFUNCTION("""COMPUTED_VALUE"""),"FIP Engineering")</f>
        <v>FIP Engineering</v>
      </c>
      <c r="O1513" s="6" t="str">
        <f>IFERROR(__xludf.DUMMYFUNCTION("""COMPUTED_VALUE"""),"FIP-DOM-ENG-13405-EQ21009-INA-000000")</f>
        <v>FIP-DOM-ENG-13405-EQ21009-INA-000000</v>
      </c>
      <c r="P1513" s="6" t="str">
        <f>IFERROR(__xludf.DUMMYFUNCTION("""COMPUTED_VALUE"""),"PO Closed")</f>
        <v>PO Closed</v>
      </c>
      <c r="Q1513" s="6" t="str">
        <f>IFERROR(__xludf.DUMMYFUNCTION("""COMPUTED_VALUE"""),"GL2108005")</f>
        <v>GL2108005</v>
      </c>
      <c r="R1513" s="57">
        <f>IFERROR(__xludf.DUMMYFUNCTION("""COMPUTED_VALUE"""),44393.0)</f>
        <v>44393</v>
      </c>
      <c r="S1513" s="6" t="str">
        <f>IFERROR(__xludf.DUMMYFUNCTION("""COMPUTED_VALUE"""),"-")</f>
        <v>-</v>
      </c>
      <c r="T1513" s="57">
        <f>IFERROR(__xludf.DUMMYFUNCTION("""COMPUTED_VALUE"""),44478.0)</f>
        <v>44478</v>
      </c>
    </row>
    <row r="1514">
      <c r="A1514" s="6" t="str">
        <f>IFERROR(__xludf.DUMMYFUNCTION("""COMPUTED_VALUE"""),"211750249-1")</f>
        <v>211750249-1</v>
      </c>
      <c r="B1514" s="6" t="str">
        <f>IFERROR(__xludf.DUMMYFUNCTION("""COMPUTED_VALUE"""),"211750249 - Approved")</f>
        <v>211750249 - Approved</v>
      </c>
      <c r="C1514" s="6">
        <f>IFERROR(__xludf.DUMMYFUNCTION("""COMPUTED_VALUE"""),1.0)</f>
        <v>1</v>
      </c>
      <c r="D1514" s="6" t="str">
        <f>IFERROR(__xludf.DUMMYFUNCTION("""COMPUTED_VALUE"""),"O-52496-00")</f>
        <v>O-52496-00</v>
      </c>
      <c r="E1514" s="6" t="str">
        <f>IFERROR(__xludf.DUMMYFUNCTION("""COMPUTED_VALUE"""),"Selenoid Valve SMC P/N : VF5220-5DZ1-03")</f>
        <v>Selenoid Valve SMC P/N : VF5220-5DZ1-03</v>
      </c>
      <c r="F1514" s="6">
        <f>IFERROR(__xludf.DUMMYFUNCTION("""COMPUTED_VALUE"""),1.0)</f>
        <v>1</v>
      </c>
      <c r="G1514" s="6" t="str">
        <f>IFERROR(__xludf.DUMMYFUNCTION("""COMPUTED_VALUE"""),"Pieces")</f>
        <v>Pieces</v>
      </c>
      <c r="H1514" s="6" t="str">
        <f>IFERROR(__xludf.DUMMYFUNCTION("""COMPUTED_VALUE"""),"IDR")</f>
        <v>IDR</v>
      </c>
      <c r="I1514" s="6">
        <f>IFERROR(__xludf.DUMMYFUNCTION("""COMPUTED_VALUE"""),2321000.0)</f>
        <v>2321000</v>
      </c>
      <c r="J1514" s="6">
        <f>IFERROR(__xludf.DUMMYFUNCTION("""COMPUTED_VALUE"""),2321000.0)</f>
        <v>2321000</v>
      </c>
      <c r="K1514" s="57">
        <f>IFERROR(__xludf.DUMMYFUNCTION("""COMPUTED_VALUE"""),44434.0)</f>
        <v>44434</v>
      </c>
      <c r="L1514" s="6" t="str">
        <f>IFERROR(__xludf.DUMMYFUNCTION("""COMPUTED_VALUE"""),"FIP Engineering")</f>
        <v>FIP Engineering</v>
      </c>
      <c r="M1514" s="6" t="str">
        <f>IFERROR(__xludf.DUMMYFUNCTION("""COMPUTED_VALUE"""),"Irwan Sopian")</f>
        <v>Irwan Sopian</v>
      </c>
      <c r="N1514" s="6" t="str">
        <f>IFERROR(__xludf.DUMMYFUNCTION("""COMPUTED_VALUE"""),"FIP Engineering")</f>
        <v>FIP Engineering</v>
      </c>
      <c r="O1514" s="6" t="str">
        <f>IFERROR(__xludf.DUMMYFUNCTION("""COMPUTED_VALUE"""),"FIP-DOM-000-11304-OS00001-INA-000000")</f>
        <v>FIP-DOM-000-11304-OS00001-INA-000000</v>
      </c>
      <c r="P1514" s="6" t="str">
        <f>IFERROR(__xludf.DUMMYFUNCTION("""COMPUTED_VALUE"""),"PO Closed")</f>
        <v>PO Closed</v>
      </c>
      <c r="Q1514" s="6" t="str">
        <f>IFERROR(__xludf.DUMMYFUNCTION("""COMPUTED_VALUE"""),"GL2107021")</f>
        <v>GL2107021</v>
      </c>
      <c r="R1514" s="57">
        <f>IFERROR(__xludf.DUMMYFUNCTION("""COMPUTED_VALUE"""),44399.0)</f>
        <v>44399</v>
      </c>
      <c r="S1514" s="6" t="str">
        <f>IFERROR(__xludf.DUMMYFUNCTION("""COMPUTED_VALUE"""),"-")</f>
        <v>-</v>
      </c>
      <c r="T1514" s="57">
        <f>IFERROR(__xludf.DUMMYFUNCTION("""COMPUTED_VALUE"""),44423.0)</f>
        <v>44423</v>
      </c>
    </row>
    <row r="1515">
      <c r="A1515" s="6" t="str">
        <f>IFERROR(__xludf.DUMMYFUNCTION("""COMPUTED_VALUE"""),"211750249-2")</f>
        <v>211750249-2</v>
      </c>
      <c r="B1515" s="6" t="str">
        <f>IFERROR(__xludf.DUMMYFUNCTION("""COMPUTED_VALUE"""),"211750249 - Approved")</f>
        <v>211750249 - Approved</v>
      </c>
      <c r="C1515" s="6">
        <f>IFERROR(__xludf.DUMMYFUNCTION("""COMPUTED_VALUE"""),2.0)</f>
        <v>2</v>
      </c>
      <c r="D1515" s="6" t="str">
        <f>IFERROR(__xludf.DUMMYFUNCTION("""COMPUTED_VALUE"""),"O-18009-00")</f>
        <v>O-18009-00</v>
      </c>
      <c r="E1515" s="6" t="str">
        <f>IFERROR(__xludf.DUMMYFUNCTION("""COMPUTED_VALUE"""),"Silincer SMC P/N : AN30-03")</f>
        <v>Silincer SMC P/N : AN30-03</v>
      </c>
      <c r="F1515" s="6">
        <f>IFERROR(__xludf.DUMMYFUNCTION("""COMPUTED_VALUE"""),2.0)</f>
        <v>2</v>
      </c>
      <c r="G1515" s="6" t="str">
        <f>IFERROR(__xludf.DUMMYFUNCTION("""COMPUTED_VALUE"""),"Pieces")</f>
        <v>Pieces</v>
      </c>
      <c r="H1515" s="6" t="str">
        <f>IFERROR(__xludf.DUMMYFUNCTION("""COMPUTED_VALUE"""),"IDR")</f>
        <v>IDR</v>
      </c>
      <c r="I1515" s="6">
        <f>IFERROR(__xludf.DUMMYFUNCTION("""COMPUTED_VALUE"""),77000.0)</f>
        <v>77000</v>
      </c>
      <c r="J1515" s="6">
        <f>IFERROR(__xludf.DUMMYFUNCTION("""COMPUTED_VALUE"""),154000.0)</f>
        <v>154000</v>
      </c>
      <c r="K1515" s="57">
        <f>IFERROR(__xludf.DUMMYFUNCTION("""COMPUTED_VALUE"""),44434.0)</f>
        <v>44434</v>
      </c>
      <c r="L1515" s="6" t="str">
        <f>IFERROR(__xludf.DUMMYFUNCTION("""COMPUTED_VALUE"""),"FIP Engineering")</f>
        <v>FIP Engineering</v>
      </c>
      <c r="M1515" s="6" t="str">
        <f>IFERROR(__xludf.DUMMYFUNCTION("""COMPUTED_VALUE"""),"Irwan Sopian")</f>
        <v>Irwan Sopian</v>
      </c>
      <c r="N1515" s="6" t="str">
        <f>IFERROR(__xludf.DUMMYFUNCTION("""COMPUTED_VALUE"""),"FIP Engineering")</f>
        <v>FIP Engineering</v>
      </c>
      <c r="O1515" s="6" t="str">
        <f>IFERROR(__xludf.DUMMYFUNCTION("""COMPUTED_VALUE"""),"FIP-DOM-000-11304-OS00001-INA-000000")</f>
        <v>FIP-DOM-000-11304-OS00001-INA-000000</v>
      </c>
      <c r="P1515" s="6" t="str">
        <f>IFERROR(__xludf.DUMMYFUNCTION("""COMPUTED_VALUE"""),"PO Closed")</f>
        <v>PO Closed</v>
      </c>
      <c r="Q1515" s="6" t="str">
        <f>IFERROR(__xludf.DUMMYFUNCTION("""COMPUTED_VALUE"""),"GL2107021")</f>
        <v>GL2107021</v>
      </c>
      <c r="R1515" s="57">
        <f>IFERROR(__xludf.DUMMYFUNCTION("""COMPUTED_VALUE"""),44399.0)</f>
        <v>44399</v>
      </c>
      <c r="S1515" s="6" t="str">
        <f>IFERROR(__xludf.DUMMYFUNCTION("""COMPUTED_VALUE"""),"-")</f>
        <v>-</v>
      </c>
      <c r="T1515" s="57">
        <f>IFERROR(__xludf.DUMMYFUNCTION("""COMPUTED_VALUE"""),44423.0)</f>
        <v>44423</v>
      </c>
    </row>
    <row r="1516">
      <c r="A1516" s="6" t="str">
        <f>IFERROR(__xludf.DUMMYFUNCTION("""COMPUTED_VALUE"""),"211750249-3")</f>
        <v>211750249-3</v>
      </c>
      <c r="B1516" s="6" t="str">
        <f>IFERROR(__xludf.DUMMYFUNCTION("""COMPUTED_VALUE"""),"211750249 - Approved")</f>
        <v>211750249 - Approved</v>
      </c>
      <c r="C1516" s="6">
        <f>IFERROR(__xludf.DUMMYFUNCTION("""COMPUTED_VALUE"""),3.0)</f>
        <v>3</v>
      </c>
      <c r="D1516" s="6" t="str">
        <f>IFERROR(__xludf.DUMMYFUNCTION("""COMPUTED_VALUE"""),"O-18010-00")</f>
        <v>O-18010-00</v>
      </c>
      <c r="E1516" s="6" t="str">
        <f>IFERROR(__xludf.DUMMYFUNCTION("""COMPUTED_VALUE"""),"Fitting SMC P/N : KQ2H08-03AS")</f>
        <v>Fitting SMC P/N : KQ2H08-03AS</v>
      </c>
      <c r="F1516" s="6">
        <f>IFERROR(__xludf.DUMMYFUNCTION("""COMPUTED_VALUE"""),3.0)</f>
        <v>3</v>
      </c>
      <c r="G1516" s="6" t="str">
        <f>IFERROR(__xludf.DUMMYFUNCTION("""COMPUTED_VALUE"""),"Pieces")</f>
        <v>Pieces</v>
      </c>
      <c r="H1516" s="6" t="str">
        <f>IFERROR(__xludf.DUMMYFUNCTION("""COMPUTED_VALUE"""),"IDR")</f>
        <v>IDR</v>
      </c>
      <c r="I1516" s="6">
        <f>IFERROR(__xludf.DUMMYFUNCTION("""COMPUTED_VALUE"""),44000.0)</f>
        <v>44000</v>
      </c>
      <c r="J1516" s="6">
        <f>IFERROR(__xludf.DUMMYFUNCTION("""COMPUTED_VALUE"""),132000.0)</f>
        <v>132000</v>
      </c>
      <c r="K1516" s="57">
        <f>IFERROR(__xludf.DUMMYFUNCTION("""COMPUTED_VALUE"""),44434.0)</f>
        <v>44434</v>
      </c>
      <c r="L1516" s="6" t="str">
        <f>IFERROR(__xludf.DUMMYFUNCTION("""COMPUTED_VALUE"""),"FIP Engineering")</f>
        <v>FIP Engineering</v>
      </c>
      <c r="M1516" s="6" t="str">
        <f>IFERROR(__xludf.DUMMYFUNCTION("""COMPUTED_VALUE"""),"Irwan Sopian")</f>
        <v>Irwan Sopian</v>
      </c>
      <c r="N1516" s="6" t="str">
        <f>IFERROR(__xludf.DUMMYFUNCTION("""COMPUTED_VALUE"""),"FIP Engineering")</f>
        <v>FIP Engineering</v>
      </c>
      <c r="O1516" s="6" t="str">
        <f>IFERROR(__xludf.DUMMYFUNCTION("""COMPUTED_VALUE"""),"FIP-DOM-000-11304-OS00001-INA-000000")</f>
        <v>FIP-DOM-000-11304-OS00001-INA-000000</v>
      </c>
      <c r="P1516" s="6" t="str">
        <f>IFERROR(__xludf.DUMMYFUNCTION("""COMPUTED_VALUE"""),"PO Closed")</f>
        <v>PO Closed</v>
      </c>
      <c r="Q1516" s="6" t="str">
        <f>IFERROR(__xludf.DUMMYFUNCTION("""COMPUTED_VALUE"""),"GL2107021")</f>
        <v>GL2107021</v>
      </c>
      <c r="R1516" s="57">
        <f>IFERROR(__xludf.DUMMYFUNCTION("""COMPUTED_VALUE"""),44399.0)</f>
        <v>44399</v>
      </c>
      <c r="S1516" s="6" t="str">
        <f>IFERROR(__xludf.DUMMYFUNCTION("""COMPUTED_VALUE"""),"-")</f>
        <v>-</v>
      </c>
      <c r="T1516" s="57">
        <f>IFERROR(__xludf.DUMMYFUNCTION("""COMPUTED_VALUE"""),44423.0)</f>
        <v>44423</v>
      </c>
    </row>
    <row r="1517">
      <c r="A1517" s="6" t="str">
        <f>IFERROR(__xludf.DUMMYFUNCTION("""COMPUTED_VALUE"""),"211750249-4")</f>
        <v>211750249-4</v>
      </c>
      <c r="B1517" s="6" t="str">
        <f>IFERROR(__xludf.DUMMYFUNCTION("""COMPUTED_VALUE"""),"211750249 - Approved")</f>
        <v>211750249 - Approved</v>
      </c>
      <c r="C1517" s="6">
        <f>IFERROR(__xludf.DUMMYFUNCTION("""COMPUTED_VALUE"""),4.0)</f>
        <v>4</v>
      </c>
      <c r="D1517" s="6" t="str">
        <f>IFERROR(__xludf.DUMMYFUNCTION("""COMPUTED_VALUE"""),"O-18011-00")</f>
        <v>O-18011-00</v>
      </c>
      <c r="E1517" s="6" t="str">
        <f>IFERROR(__xludf.DUMMYFUNCTION("""COMPUTED_VALUE"""),"Air Filter SMC P/N : AF40-04-A")</f>
        <v>Air Filter SMC P/N : AF40-04-A</v>
      </c>
      <c r="F1517" s="6">
        <f>IFERROR(__xludf.DUMMYFUNCTION("""COMPUTED_VALUE"""),1.0)</f>
        <v>1</v>
      </c>
      <c r="G1517" s="6" t="str">
        <f>IFERROR(__xludf.DUMMYFUNCTION("""COMPUTED_VALUE"""),"Pieces")</f>
        <v>Pieces</v>
      </c>
      <c r="H1517" s="6" t="str">
        <f>IFERROR(__xludf.DUMMYFUNCTION("""COMPUTED_VALUE"""),"IDR")</f>
        <v>IDR</v>
      </c>
      <c r="I1517" s="6">
        <f>IFERROR(__xludf.DUMMYFUNCTION("""COMPUTED_VALUE"""),501000.0)</f>
        <v>501000</v>
      </c>
      <c r="J1517" s="6">
        <f>IFERROR(__xludf.DUMMYFUNCTION("""COMPUTED_VALUE"""),501000.0)</f>
        <v>501000</v>
      </c>
      <c r="K1517" s="57">
        <f>IFERROR(__xludf.DUMMYFUNCTION("""COMPUTED_VALUE"""),44434.0)</f>
        <v>44434</v>
      </c>
      <c r="L1517" s="6" t="str">
        <f>IFERROR(__xludf.DUMMYFUNCTION("""COMPUTED_VALUE"""),"FIP Engineering")</f>
        <v>FIP Engineering</v>
      </c>
      <c r="M1517" s="6" t="str">
        <f>IFERROR(__xludf.DUMMYFUNCTION("""COMPUTED_VALUE"""),"Irwan Sopian")</f>
        <v>Irwan Sopian</v>
      </c>
      <c r="N1517" s="6" t="str">
        <f>IFERROR(__xludf.DUMMYFUNCTION("""COMPUTED_VALUE"""),"FIP Engineering")</f>
        <v>FIP Engineering</v>
      </c>
      <c r="O1517" s="6" t="str">
        <f>IFERROR(__xludf.DUMMYFUNCTION("""COMPUTED_VALUE"""),"FIP-DOM-000-11304-OS00001-INA-000000")</f>
        <v>FIP-DOM-000-11304-OS00001-INA-000000</v>
      </c>
      <c r="P1517" s="6" t="str">
        <f>IFERROR(__xludf.DUMMYFUNCTION("""COMPUTED_VALUE"""),"PO Closed")</f>
        <v>PO Closed</v>
      </c>
      <c r="Q1517" s="6" t="str">
        <f>IFERROR(__xludf.DUMMYFUNCTION("""COMPUTED_VALUE"""),"GL2107021")</f>
        <v>GL2107021</v>
      </c>
      <c r="R1517" s="57">
        <f>IFERROR(__xludf.DUMMYFUNCTION("""COMPUTED_VALUE"""),44399.0)</f>
        <v>44399</v>
      </c>
      <c r="S1517" s="6" t="str">
        <f>IFERROR(__xludf.DUMMYFUNCTION("""COMPUTED_VALUE"""),"-")</f>
        <v>-</v>
      </c>
      <c r="T1517" s="57">
        <f>IFERROR(__xludf.DUMMYFUNCTION("""COMPUTED_VALUE"""),44423.0)</f>
        <v>44423</v>
      </c>
    </row>
    <row r="1518">
      <c r="A1518" s="6" t="str">
        <f>IFERROR(__xludf.DUMMYFUNCTION("""COMPUTED_VALUE"""),"211750252-1")</f>
        <v>211750252-1</v>
      </c>
      <c r="B1518" s="6" t="str">
        <f>IFERROR(__xludf.DUMMYFUNCTION("""COMPUTED_VALUE"""),"211750252 - Approved")</f>
        <v>211750252 - Approved</v>
      </c>
      <c r="C1518" s="6">
        <f>IFERROR(__xludf.DUMMYFUNCTION("""COMPUTED_VALUE"""),1.0)</f>
        <v>1</v>
      </c>
      <c r="D1518" s="6" t="str">
        <f>IFERROR(__xludf.DUMMYFUNCTION("""COMPUTED_VALUE"""),"T-12097-00")</f>
        <v>T-12097-00</v>
      </c>
      <c r="E1518" s="6" t="str">
        <f>IFERROR(__xludf.DUMMYFUNCTION("""COMPUTED_VALUE"""),"SSD VGEN 128GB 2.5"" SATA; ; ;")</f>
        <v>SSD VGEN 128GB 2.5" SATA; ; ;</v>
      </c>
      <c r="F1518" s="6">
        <f>IFERROR(__xludf.DUMMYFUNCTION("""COMPUTED_VALUE"""),1.0)</f>
        <v>1</v>
      </c>
      <c r="G1518" s="6" t="str">
        <f>IFERROR(__xludf.DUMMYFUNCTION("""COMPUTED_VALUE"""),"Pieces")</f>
        <v>Pieces</v>
      </c>
      <c r="H1518" s="6" t="str">
        <f>IFERROR(__xludf.DUMMYFUNCTION("""COMPUTED_VALUE"""),"IDR")</f>
        <v>IDR</v>
      </c>
      <c r="I1518" s="6">
        <f>IFERROR(__xludf.DUMMYFUNCTION("""COMPUTED_VALUE"""),500000.0)</f>
        <v>500000</v>
      </c>
      <c r="J1518" s="6">
        <f>IFERROR(__xludf.DUMMYFUNCTION("""COMPUTED_VALUE"""),500000.0)</f>
        <v>500000</v>
      </c>
      <c r="K1518" s="57">
        <f>IFERROR(__xludf.DUMMYFUNCTION("""COMPUTED_VALUE"""),44421.0)</f>
        <v>44421</v>
      </c>
      <c r="L1518" s="6" t="str">
        <f>IFERROR(__xludf.DUMMYFUNCTION("""COMPUTED_VALUE"""),"FIP General")</f>
        <v>FIP General</v>
      </c>
      <c r="M1518" s="6" t="str">
        <f>IFERROR(__xludf.DUMMYFUNCTION("""COMPUTED_VALUE"""),"Irwan Sopian")</f>
        <v>Irwan Sopian</v>
      </c>
      <c r="N1518" s="6" t="str">
        <f>IFERROR(__xludf.DUMMYFUNCTION("""COMPUTED_VALUE"""),"FIP Engineering")</f>
        <v>FIP Engineering</v>
      </c>
      <c r="O1518" s="6" t="str">
        <f>IFERROR(__xludf.DUMMYFUNCTION("""COMPUTED_VALUE"""),"FIP-DOM-ENG-51504-0000000-INA-000000")</f>
        <v>FIP-DOM-ENG-51504-0000000-INA-000000</v>
      </c>
      <c r="P1518" s="6" t="str">
        <f>IFERROR(__xludf.DUMMYFUNCTION("""COMPUTED_VALUE"""),"PO Closed")</f>
        <v>PO Closed</v>
      </c>
      <c r="Q1518" s="6" t="str">
        <f>IFERROR(__xludf.DUMMYFUNCTION("""COMPUTED_VALUE"""),"GL2108001")</f>
        <v>GL2108001</v>
      </c>
      <c r="R1518" s="57">
        <f>IFERROR(__xludf.DUMMYFUNCTION("""COMPUTED_VALUE"""),44404.0)</f>
        <v>44404</v>
      </c>
      <c r="S1518" s="6" t="str">
        <f>IFERROR(__xludf.DUMMYFUNCTION("""COMPUTED_VALUE"""),"-")</f>
        <v>-</v>
      </c>
      <c r="T1518" s="57">
        <f>IFERROR(__xludf.DUMMYFUNCTION("""COMPUTED_VALUE"""),44424.0)</f>
        <v>44424</v>
      </c>
    </row>
    <row r="1519">
      <c r="A1519" s="6" t="str">
        <f>IFERROR(__xludf.DUMMYFUNCTION("""COMPUTED_VALUE"""),"211750294-1")</f>
        <v>211750294-1</v>
      </c>
      <c r="B1519" s="6" t="str">
        <f>IFERROR(__xludf.DUMMYFUNCTION("""COMPUTED_VALUE"""),"211750294 - Approved")</f>
        <v>211750294 - Approved</v>
      </c>
      <c r="C1519" s="6">
        <f>IFERROR(__xludf.DUMMYFUNCTION("""COMPUTED_VALUE"""),1.0)</f>
        <v>1</v>
      </c>
      <c r="D1519" s="6" t="str">
        <f>IFERROR(__xludf.DUMMYFUNCTION("""COMPUTED_VALUE"""),"P-53202-00")</f>
        <v>P-53202-00</v>
      </c>
      <c r="E1519" s="6" t="str">
        <f>IFERROR(__xludf.DUMMYFUNCTION("""COMPUTED_VALUE"""),"HVAC - Programmable RH &amp; Temp. transmitter MF-HTT 0-100% RH dan 0-100 deg.C 24VAAC Micatrone")</f>
        <v>HVAC - Programmable RH &amp; Temp. transmitter MF-HTT 0-100% RH dan 0-100 deg.C 24VAAC Micatrone</v>
      </c>
      <c r="F1519" s="6">
        <f>IFERROR(__xludf.DUMMYFUNCTION("""COMPUTED_VALUE"""),2.0)</f>
        <v>2</v>
      </c>
      <c r="G1519" s="6" t="str">
        <f>IFERROR(__xludf.DUMMYFUNCTION("""COMPUTED_VALUE"""),"Unit")</f>
        <v>Unit</v>
      </c>
      <c r="H1519" s="6" t="str">
        <f>IFERROR(__xludf.DUMMYFUNCTION("""COMPUTED_VALUE"""),"IDR")</f>
        <v>IDR</v>
      </c>
      <c r="I1519" s="6">
        <f>IFERROR(__xludf.DUMMYFUNCTION("""COMPUTED_VALUE"""),1.1475E7)</f>
        <v>11475000</v>
      </c>
      <c r="J1519" s="6">
        <f>IFERROR(__xludf.DUMMYFUNCTION("""COMPUTED_VALUE"""),2.295E7)</f>
        <v>22950000</v>
      </c>
      <c r="K1519" s="57">
        <f>IFERROR(__xludf.DUMMYFUNCTION("""COMPUTED_VALUE"""),44491.0)</f>
        <v>44491</v>
      </c>
      <c r="L1519" s="6" t="str">
        <f>IFERROR(__xludf.DUMMYFUNCTION("""COMPUTED_VALUE"""),"FIP Engineering")</f>
        <v>FIP Engineering</v>
      </c>
      <c r="M1519" s="6" t="str">
        <f>IFERROR(__xludf.DUMMYFUNCTION("""COMPUTED_VALUE"""),"Irwan Sopian")</f>
        <v>Irwan Sopian</v>
      </c>
      <c r="N1519" s="6" t="str">
        <f>IFERROR(__xludf.DUMMYFUNCTION("""COMPUTED_VALUE"""),"FIP Engineering")</f>
        <v>FIP Engineering</v>
      </c>
      <c r="O1519" s="6" t="str">
        <f>IFERROR(__xludf.DUMMYFUNCTION("""COMPUTED_VALUE"""),"FIP-DOM-000-11304-OS00001-INA-000000")</f>
        <v>FIP-DOM-000-11304-OS00001-INA-000000</v>
      </c>
      <c r="P1519" s="6" t="str">
        <f>IFERROR(__xludf.DUMMYFUNCTION("""COMPUTED_VALUE"""),"PO Closed")</f>
        <v>PO Closed</v>
      </c>
      <c r="Q1519" s="6" t="str">
        <f>IFERROR(__xludf.DUMMYFUNCTION("""COMPUTED_VALUE"""),"GL2110016")</f>
        <v>GL2110016</v>
      </c>
      <c r="R1519" s="57">
        <f>IFERROR(__xludf.DUMMYFUNCTION("""COMPUTED_VALUE"""),44421.0)</f>
        <v>44421</v>
      </c>
      <c r="S1519" s="6" t="str">
        <f>IFERROR(__xludf.DUMMYFUNCTION("""COMPUTED_VALUE"""),"-")</f>
        <v>-</v>
      </c>
      <c r="T1519" s="57">
        <f>IFERROR(__xludf.DUMMYFUNCTION("""COMPUTED_VALUE"""),44491.0)</f>
        <v>44491</v>
      </c>
    </row>
    <row r="1520">
      <c r="A1520" s="6" t="str">
        <f>IFERROR(__xludf.DUMMYFUNCTION("""COMPUTED_VALUE"""),"211750292-1")</f>
        <v>211750292-1</v>
      </c>
      <c r="B1520" s="6" t="str">
        <f>IFERROR(__xludf.DUMMYFUNCTION("""COMPUTED_VALUE"""),"211750292 - Approved")</f>
        <v>211750292 - Approved</v>
      </c>
      <c r="C1520" s="6">
        <f>IFERROR(__xludf.DUMMYFUNCTION("""COMPUTED_VALUE"""),1.0)</f>
        <v>1</v>
      </c>
      <c r="D1520" s="6" t="str">
        <f>IFERROR(__xludf.DUMMYFUNCTION("""COMPUTED_VALUE"""),"T-20123-00")</f>
        <v>T-20123-00</v>
      </c>
      <c r="E1520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520" s="6">
        <f>IFERROR(__xludf.DUMMYFUNCTION("""COMPUTED_VALUE"""),1.0)</f>
        <v>1</v>
      </c>
      <c r="G1520" s="6" t="str">
        <f>IFERROR(__xludf.DUMMYFUNCTION("""COMPUTED_VALUE"""),"Pieces")</f>
        <v>Pieces</v>
      </c>
      <c r="H1520" s="6" t="str">
        <f>IFERROR(__xludf.DUMMYFUNCTION("""COMPUTED_VALUE"""),"IDR")</f>
        <v>IDR</v>
      </c>
      <c r="I1520" s="6">
        <f>IFERROR(__xludf.DUMMYFUNCTION("""COMPUTED_VALUE"""),1.0859355E7)</f>
        <v>10859355</v>
      </c>
      <c r="J1520" s="6">
        <f>IFERROR(__xludf.DUMMYFUNCTION("""COMPUTED_VALUE"""),1.0859355E7)</f>
        <v>10859355</v>
      </c>
      <c r="K1520" s="57">
        <f>IFERROR(__xludf.DUMMYFUNCTION("""COMPUTED_VALUE"""),44442.0)</f>
        <v>44442</v>
      </c>
      <c r="L1520" s="6" t="str">
        <f>IFERROR(__xludf.DUMMYFUNCTION("""COMPUTED_VALUE"""),"FIP General")</f>
        <v>FIP General</v>
      </c>
      <c r="M1520" s="6" t="str">
        <f>IFERROR(__xludf.DUMMYFUNCTION("""COMPUTED_VALUE"""),"Irwan Sopian")</f>
        <v>Irwan Sopian</v>
      </c>
      <c r="N1520" s="6" t="str">
        <f>IFERROR(__xludf.DUMMYFUNCTION("""COMPUTED_VALUE"""),"FIP Engineering")</f>
        <v>FIP Engineering</v>
      </c>
      <c r="O1520" s="6" t="str">
        <f>IFERROR(__xludf.DUMMYFUNCTION("""COMPUTED_VALUE"""),"FIP-DOM-ENG-51505-0000000-INA-000000")</f>
        <v>FIP-DOM-ENG-51505-0000000-INA-000000</v>
      </c>
      <c r="P1520" s="6" t="str">
        <f>IFERROR(__xludf.DUMMYFUNCTION("""COMPUTED_VALUE"""),"PO Closed")</f>
        <v>PO Closed</v>
      </c>
      <c r="Q1520" s="6" t="str">
        <f>IFERROR(__xludf.DUMMYFUNCTION("""COMPUTED_VALUE"""),"GL2109050")</f>
        <v>GL2109050</v>
      </c>
      <c r="R1520" s="57">
        <f>IFERROR(__xludf.DUMMYFUNCTION("""COMPUTED_VALUE"""),44421.0)</f>
        <v>44421</v>
      </c>
      <c r="S1520" s="6" t="str">
        <f>IFERROR(__xludf.DUMMYFUNCTION("""COMPUTED_VALUE"""),"-")</f>
        <v>-</v>
      </c>
      <c r="T1520" s="57">
        <f>IFERROR(__xludf.DUMMYFUNCTION("""COMPUTED_VALUE"""),44491.0)</f>
        <v>44491</v>
      </c>
    </row>
    <row r="1521">
      <c r="A1521" s="6" t="str">
        <f>IFERROR(__xludf.DUMMYFUNCTION("""COMPUTED_VALUE"""),"211750291-1")</f>
        <v>211750291-1</v>
      </c>
      <c r="B1521" s="6" t="str">
        <f>IFERROR(__xludf.DUMMYFUNCTION("""COMPUTED_VALUE"""),"211750291 - Approved")</f>
        <v>211750291 - Approved</v>
      </c>
      <c r="C1521" s="6">
        <f>IFERROR(__xludf.DUMMYFUNCTION("""COMPUTED_VALUE"""),1.0)</f>
        <v>1</v>
      </c>
      <c r="D1521" s="6" t="str">
        <f>IFERROR(__xludf.DUMMYFUNCTION("""COMPUTED_VALUE"""),"P-14424-00")</f>
        <v>P-14424-00</v>
      </c>
      <c r="E1521" s="6" t="str">
        <f>IFERROR(__xludf.DUMMYFUNCTION("""COMPUTED_VALUE"""),"Garam Kutreat RGN-9800F 25Kg/zak")</f>
        <v>Garam Kutreat RGN-9800F 25Kg/zak</v>
      </c>
      <c r="F1521" s="6">
        <f>IFERROR(__xludf.DUMMYFUNCTION("""COMPUTED_VALUE"""),300.0)</f>
        <v>300</v>
      </c>
      <c r="G1521" s="6" t="str">
        <f>IFERROR(__xludf.DUMMYFUNCTION("""COMPUTED_VALUE"""),"Kilogram")</f>
        <v>Kilogram</v>
      </c>
      <c r="H1521" s="6" t="str">
        <f>IFERROR(__xludf.DUMMYFUNCTION("""COMPUTED_VALUE"""),"IDR")</f>
        <v>IDR</v>
      </c>
      <c r="I1521" s="6">
        <f>IFERROR(__xludf.DUMMYFUNCTION("""COMPUTED_VALUE"""),9500.0)</f>
        <v>9500</v>
      </c>
      <c r="J1521" s="6">
        <f>IFERROR(__xludf.DUMMYFUNCTION("""COMPUTED_VALUE"""),2850000.0)</f>
        <v>2850000</v>
      </c>
      <c r="K1521" s="57">
        <f>IFERROR(__xludf.DUMMYFUNCTION("""COMPUTED_VALUE"""),44439.0)</f>
        <v>44439</v>
      </c>
      <c r="L1521" s="6" t="str">
        <f>IFERROR(__xludf.DUMMYFUNCTION("""COMPUTED_VALUE"""),"FIP Engineering")</f>
        <v>FIP Engineering</v>
      </c>
      <c r="M1521" s="6" t="str">
        <f>IFERROR(__xludf.DUMMYFUNCTION("""COMPUTED_VALUE"""),"Irwan Sopian")</f>
        <v>Irwan Sopian</v>
      </c>
      <c r="N1521" s="6" t="str">
        <f>IFERROR(__xludf.DUMMYFUNCTION("""COMPUTED_VALUE"""),"FIP Engineering")</f>
        <v>FIP Engineering</v>
      </c>
      <c r="O1521" s="6" t="str">
        <f>IFERROR(__xludf.DUMMYFUNCTION("""COMPUTED_VALUE"""),"FIP-DOM-000-11304-OS00001-INA-000000")</f>
        <v>FIP-DOM-000-11304-OS00001-INA-000000</v>
      </c>
      <c r="P1521" s="6" t="str">
        <f>IFERROR(__xludf.DUMMYFUNCTION("""COMPUTED_VALUE"""),"PO Closed")</f>
        <v>PO Closed</v>
      </c>
      <c r="Q1521" s="6" t="str">
        <f>IFERROR(__xludf.DUMMYFUNCTION("""COMPUTED_VALUE"""),"GL2108063")</f>
        <v>GL2108063</v>
      </c>
      <c r="R1521" s="57">
        <f>IFERROR(__xludf.DUMMYFUNCTION("""COMPUTED_VALUE"""),44421.0)</f>
        <v>44421</v>
      </c>
      <c r="S1521" s="6" t="str">
        <f>IFERROR(__xludf.DUMMYFUNCTION("""COMPUTED_VALUE"""),"-")</f>
        <v>-</v>
      </c>
      <c r="T1521" s="57">
        <f>IFERROR(__xludf.DUMMYFUNCTION("""COMPUTED_VALUE"""),44442.0)</f>
        <v>44442</v>
      </c>
    </row>
    <row r="1522">
      <c r="A1522" s="6" t="str">
        <f>IFERROR(__xludf.DUMMYFUNCTION("""COMPUTED_VALUE"""),"211750290-1")</f>
        <v>211750290-1</v>
      </c>
      <c r="B1522" s="6" t="str">
        <f>IFERROR(__xludf.DUMMYFUNCTION("""COMPUTED_VALUE"""),"211750290 - Approved")</f>
        <v>211750290 - Approved</v>
      </c>
      <c r="C1522" s="6">
        <f>IFERROR(__xludf.DUMMYFUNCTION("""COMPUTED_VALUE"""),1.0)</f>
        <v>1</v>
      </c>
      <c r="D1522" s="6" t="str">
        <f>IFERROR(__xludf.DUMMYFUNCTION("""COMPUTED_VALUE"""),"O-11109-00")</f>
        <v>O-11109-00</v>
      </c>
      <c r="E1522" s="6" t="str">
        <f>IFERROR(__xludf.DUMMYFUNCTION("""COMPUTED_VALUE"""),"Bearing 6002-2RSH")</f>
        <v>Bearing 6002-2RSH</v>
      </c>
      <c r="F1522" s="6">
        <f>IFERROR(__xludf.DUMMYFUNCTION("""COMPUTED_VALUE"""),9.0)</f>
        <v>9</v>
      </c>
      <c r="G1522" s="6" t="str">
        <f>IFERROR(__xludf.DUMMYFUNCTION("""COMPUTED_VALUE"""),"Pieces")</f>
        <v>Pieces</v>
      </c>
      <c r="H1522" s="6" t="str">
        <f>IFERROR(__xludf.DUMMYFUNCTION("""COMPUTED_VALUE"""),"IDR")</f>
        <v>IDR</v>
      </c>
      <c r="I1522" s="6">
        <f>IFERROR(__xludf.DUMMYFUNCTION("""COMPUTED_VALUE"""),47700.0)</f>
        <v>47700</v>
      </c>
      <c r="J1522" s="6">
        <f>IFERROR(__xludf.DUMMYFUNCTION("""COMPUTED_VALUE"""),429300.0)</f>
        <v>429300</v>
      </c>
      <c r="K1522" s="57">
        <f>IFERROR(__xludf.DUMMYFUNCTION("""COMPUTED_VALUE"""),44439.0)</f>
        <v>44439</v>
      </c>
      <c r="L1522" s="6" t="str">
        <f>IFERROR(__xludf.DUMMYFUNCTION("""COMPUTED_VALUE"""),"FIP Engineering")</f>
        <v>FIP Engineering</v>
      </c>
      <c r="M1522" s="6" t="str">
        <f>IFERROR(__xludf.DUMMYFUNCTION("""COMPUTED_VALUE"""),"Irwan Sopian")</f>
        <v>Irwan Sopian</v>
      </c>
      <c r="N1522" s="6" t="str">
        <f>IFERROR(__xludf.DUMMYFUNCTION("""COMPUTED_VALUE"""),"FIP Engineering")</f>
        <v>FIP Engineering</v>
      </c>
      <c r="O1522" s="6" t="str">
        <f>IFERROR(__xludf.DUMMYFUNCTION("""COMPUTED_VALUE"""),"FIP-DOM-000-11304-OS00001-INA-000000")</f>
        <v>FIP-DOM-000-11304-OS00001-INA-000000</v>
      </c>
      <c r="P1522" s="6" t="str">
        <f>IFERROR(__xludf.DUMMYFUNCTION("""COMPUTED_VALUE"""),"PO Closed")</f>
        <v>PO Closed</v>
      </c>
      <c r="Q1522" s="6" t="str">
        <f>IFERROR(__xludf.DUMMYFUNCTION("""COMPUTED_VALUE"""),"GL2108044")</f>
        <v>GL2108044</v>
      </c>
      <c r="R1522" s="57">
        <f>IFERROR(__xludf.DUMMYFUNCTION("""COMPUTED_VALUE"""),44421.0)</f>
        <v>44421</v>
      </c>
      <c r="S1522" s="6" t="str">
        <f>IFERROR(__xludf.DUMMYFUNCTION("""COMPUTED_VALUE"""),"-")</f>
        <v>-</v>
      </c>
      <c r="T1522" s="57">
        <f>IFERROR(__xludf.DUMMYFUNCTION("""COMPUTED_VALUE"""),44444.0)</f>
        <v>44444</v>
      </c>
    </row>
    <row r="1523">
      <c r="A1523" s="6" t="str">
        <f>IFERROR(__xludf.DUMMYFUNCTION("""COMPUTED_VALUE"""),"211750290-2")</f>
        <v>211750290-2</v>
      </c>
      <c r="B1523" s="6" t="str">
        <f>IFERROR(__xludf.DUMMYFUNCTION("""COMPUTED_VALUE"""),"211750290 - Approved")</f>
        <v>211750290 - Approved</v>
      </c>
      <c r="C1523" s="6">
        <f>IFERROR(__xludf.DUMMYFUNCTION("""COMPUTED_VALUE"""),2.0)</f>
        <v>2</v>
      </c>
      <c r="D1523" s="6" t="str">
        <f>IFERROR(__xludf.DUMMYFUNCTION("""COMPUTED_VALUE"""),"O-18041-00")</f>
        <v>O-18041-00</v>
      </c>
      <c r="E1523" s="6" t="str">
        <f>IFERROR(__xludf.DUMMYFUNCTION("""COMPUTED_VALUE"""),"Bearing 624 ZZ SKF")</f>
        <v>Bearing 624 ZZ SKF</v>
      </c>
      <c r="F1523" s="6">
        <f>IFERROR(__xludf.DUMMYFUNCTION("""COMPUTED_VALUE"""),50.0)</f>
        <v>50</v>
      </c>
      <c r="G1523" s="6" t="str">
        <f>IFERROR(__xludf.DUMMYFUNCTION("""COMPUTED_VALUE"""),"Pieces")</f>
        <v>Pieces</v>
      </c>
      <c r="H1523" s="6" t="str">
        <f>IFERROR(__xludf.DUMMYFUNCTION("""COMPUTED_VALUE"""),"IDR")</f>
        <v>IDR</v>
      </c>
      <c r="I1523" s="6">
        <f>IFERROR(__xludf.DUMMYFUNCTION("""COMPUTED_VALUE"""),44100.0)</f>
        <v>44100</v>
      </c>
      <c r="J1523" s="6">
        <f>IFERROR(__xludf.DUMMYFUNCTION("""COMPUTED_VALUE"""),2205000.0)</f>
        <v>2205000</v>
      </c>
      <c r="K1523" s="57">
        <f>IFERROR(__xludf.DUMMYFUNCTION("""COMPUTED_VALUE"""),44439.0)</f>
        <v>44439</v>
      </c>
      <c r="L1523" s="6" t="str">
        <f>IFERROR(__xludf.DUMMYFUNCTION("""COMPUTED_VALUE"""),"FIP Engineering")</f>
        <v>FIP Engineering</v>
      </c>
      <c r="M1523" s="6" t="str">
        <f>IFERROR(__xludf.DUMMYFUNCTION("""COMPUTED_VALUE"""),"Irwan Sopian")</f>
        <v>Irwan Sopian</v>
      </c>
      <c r="N1523" s="6" t="str">
        <f>IFERROR(__xludf.DUMMYFUNCTION("""COMPUTED_VALUE"""),"FIP Engineering")</f>
        <v>FIP Engineering</v>
      </c>
      <c r="O1523" s="6" t="str">
        <f>IFERROR(__xludf.DUMMYFUNCTION("""COMPUTED_VALUE"""),"FIP-DOM-000-11304-OS00001-INA-000000")</f>
        <v>FIP-DOM-000-11304-OS00001-INA-000000</v>
      </c>
      <c r="P1523" s="6" t="str">
        <f>IFERROR(__xludf.DUMMYFUNCTION("""COMPUTED_VALUE"""),"PO Closed")</f>
        <v>PO Closed</v>
      </c>
      <c r="Q1523" s="6" t="str">
        <f>IFERROR(__xludf.DUMMYFUNCTION("""COMPUTED_VALUE"""),"GL2108044")</f>
        <v>GL2108044</v>
      </c>
      <c r="R1523" s="57">
        <f>IFERROR(__xludf.DUMMYFUNCTION("""COMPUTED_VALUE"""),44421.0)</f>
        <v>44421</v>
      </c>
      <c r="S1523" s="6" t="str">
        <f>IFERROR(__xludf.DUMMYFUNCTION("""COMPUTED_VALUE"""),"-")</f>
        <v>-</v>
      </c>
      <c r="T1523" s="57">
        <f>IFERROR(__xludf.DUMMYFUNCTION("""COMPUTED_VALUE"""),44444.0)</f>
        <v>44444</v>
      </c>
    </row>
    <row r="1524">
      <c r="A1524" s="6" t="str">
        <f>IFERROR(__xludf.DUMMYFUNCTION("""COMPUTED_VALUE"""),"211750290-3")</f>
        <v>211750290-3</v>
      </c>
      <c r="B1524" s="6" t="str">
        <f>IFERROR(__xludf.DUMMYFUNCTION("""COMPUTED_VALUE"""),"211750290 - Approved")</f>
        <v>211750290 - Approved</v>
      </c>
      <c r="C1524" s="6">
        <f>IFERROR(__xludf.DUMMYFUNCTION("""COMPUTED_VALUE"""),3.0)</f>
        <v>3</v>
      </c>
      <c r="D1524" s="6" t="str">
        <f>IFERROR(__xludf.DUMMYFUNCTION("""COMPUTED_VALUE"""),"P-12083-00")</f>
        <v>P-12083-00</v>
      </c>
      <c r="E1524" s="6" t="str">
        <f>IFERROR(__xludf.DUMMYFUNCTION("""COMPUTED_VALUE"""),"Clamp selang SS dia 1/2inch ex TRIDON")</f>
        <v>Clamp selang SS dia 1/2inch ex TRIDON</v>
      </c>
      <c r="F1524" s="6">
        <f>IFERROR(__xludf.DUMMYFUNCTION("""COMPUTED_VALUE"""),20.0)</f>
        <v>20</v>
      </c>
      <c r="G1524" s="6" t="str">
        <f>IFERROR(__xludf.DUMMYFUNCTION("""COMPUTED_VALUE"""),"Pieces")</f>
        <v>Pieces</v>
      </c>
      <c r="H1524" s="6" t="str">
        <f>IFERROR(__xludf.DUMMYFUNCTION("""COMPUTED_VALUE"""),"IDR")</f>
        <v>IDR</v>
      </c>
      <c r="I1524" s="6">
        <f>IFERROR(__xludf.DUMMYFUNCTION("""COMPUTED_VALUE"""),4000.0)</f>
        <v>4000</v>
      </c>
      <c r="J1524" s="6">
        <f>IFERROR(__xludf.DUMMYFUNCTION("""COMPUTED_VALUE"""),80000.0)</f>
        <v>80000</v>
      </c>
      <c r="K1524" s="57">
        <f>IFERROR(__xludf.DUMMYFUNCTION("""COMPUTED_VALUE"""),44439.0)</f>
        <v>44439</v>
      </c>
      <c r="L1524" s="6" t="str">
        <f>IFERROR(__xludf.DUMMYFUNCTION("""COMPUTED_VALUE"""),"FIP Engineering")</f>
        <v>FIP Engineering</v>
      </c>
      <c r="M1524" s="6" t="str">
        <f>IFERROR(__xludf.DUMMYFUNCTION("""COMPUTED_VALUE"""),"Irwan Sopian")</f>
        <v>Irwan Sopian</v>
      </c>
      <c r="N1524" s="6" t="str">
        <f>IFERROR(__xludf.DUMMYFUNCTION("""COMPUTED_VALUE"""),"FIP Engineering")</f>
        <v>FIP Engineering</v>
      </c>
      <c r="O1524" s="6" t="str">
        <f>IFERROR(__xludf.DUMMYFUNCTION("""COMPUTED_VALUE"""),"FIP-DOM-000-11304-OS00001-INA-000000")</f>
        <v>FIP-DOM-000-11304-OS00001-INA-000000</v>
      </c>
      <c r="P1524" s="6" t="str">
        <f>IFERROR(__xludf.DUMMYFUNCTION("""COMPUTED_VALUE"""),"PO Closed")</f>
        <v>PO Closed</v>
      </c>
      <c r="Q1524" s="6" t="str">
        <f>IFERROR(__xludf.DUMMYFUNCTION("""COMPUTED_VALUE"""),"GL2108060")</f>
        <v>GL2108060</v>
      </c>
      <c r="R1524" s="57">
        <f>IFERROR(__xludf.DUMMYFUNCTION("""COMPUTED_VALUE"""),44421.0)</f>
        <v>44421</v>
      </c>
      <c r="S1524" s="6" t="str">
        <f>IFERROR(__xludf.DUMMYFUNCTION("""COMPUTED_VALUE"""),"-")</f>
        <v>-</v>
      </c>
      <c r="T1524" s="57">
        <f>IFERROR(__xludf.DUMMYFUNCTION("""COMPUTED_VALUE"""),44444.0)</f>
        <v>44444</v>
      </c>
    </row>
    <row r="1525">
      <c r="A1525" s="6" t="str">
        <f>IFERROR(__xludf.DUMMYFUNCTION("""COMPUTED_VALUE"""),"211750290-4")</f>
        <v>211750290-4</v>
      </c>
      <c r="B1525" s="6" t="str">
        <f>IFERROR(__xludf.DUMMYFUNCTION("""COMPUTED_VALUE"""),"211750290 - Approved")</f>
        <v>211750290 - Approved</v>
      </c>
      <c r="C1525" s="6">
        <f>IFERROR(__xludf.DUMMYFUNCTION("""COMPUTED_VALUE"""),4.0)</f>
        <v>4</v>
      </c>
      <c r="D1525" s="6" t="str">
        <f>IFERROR(__xludf.DUMMYFUNCTION("""COMPUTED_VALUE"""),"P-12082-00")</f>
        <v>P-12082-00</v>
      </c>
      <c r="E1525" s="6" t="str">
        <f>IFERROR(__xludf.DUMMYFUNCTION("""COMPUTED_VALUE"""),"Clamp selang ss dia 3/4inch ex TRIDON")</f>
        <v>Clamp selang ss dia 3/4inch ex TRIDON</v>
      </c>
      <c r="F1525" s="6">
        <f>IFERROR(__xludf.DUMMYFUNCTION("""COMPUTED_VALUE"""),10.0)</f>
        <v>10</v>
      </c>
      <c r="G1525" s="6" t="str">
        <f>IFERROR(__xludf.DUMMYFUNCTION("""COMPUTED_VALUE"""),"Pieces")</f>
        <v>Pieces</v>
      </c>
      <c r="H1525" s="6" t="str">
        <f>IFERROR(__xludf.DUMMYFUNCTION("""COMPUTED_VALUE"""),"IDR")</f>
        <v>IDR</v>
      </c>
      <c r="I1525" s="6">
        <f>IFERROR(__xludf.DUMMYFUNCTION("""COMPUTED_VALUE"""),5000.0)</f>
        <v>5000</v>
      </c>
      <c r="J1525" s="6">
        <f>IFERROR(__xludf.DUMMYFUNCTION("""COMPUTED_VALUE"""),50000.0)</f>
        <v>50000</v>
      </c>
      <c r="K1525" s="57">
        <f>IFERROR(__xludf.DUMMYFUNCTION("""COMPUTED_VALUE"""),44439.0)</f>
        <v>44439</v>
      </c>
      <c r="L1525" s="6" t="str">
        <f>IFERROR(__xludf.DUMMYFUNCTION("""COMPUTED_VALUE"""),"FIP Engineering")</f>
        <v>FIP Engineering</v>
      </c>
      <c r="M1525" s="6" t="str">
        <f>IFERROR(__xludf.DUMMYFUNCTION("""COMPUTED_VALUE"""),"Irwan Sopian")</f>
        <v>Irwan Sopian</v>
      </c>
      <c r="N1525" s="6" t="str">
        <f>IFERROR(__xludf.DUMMYFUNCTION("""COMPUTED_VALUE"""),"FIP Engineering")</f>
        <v>FIP Engineering</v>
      </c>
      <c r="O1525" s="6" t="str">
        <f>IFERROR(__xludf.DUMMYFUNCTION("""COMPUTED_VALUE"""),"FIP-DOM-000-11304-OS00001-INA-000000")</f>
        <v>FIP-DOM-000-11304-OS00001-INA-000000</v>
      </c>
      <c r="P1525" s="6" t="str">
        <f>IFERROR(__xludf.DUMMYFUNCTION("""COMPUTED_VALUE"""),"PO Closed")</f>
        <v>PO Closed</v>
      </c>
      <c r="Q1525" s="6" t="str">
        <f>IFERROR(__xludf.DUMMYFUNCTION("""COMPUTED_VALUE"""),"GL2108060")</f>
        <v>GL2108060</v>
      </c>
      <c r="R1525" s="57">
        <f>IFERROR(__xludf.DUMMYFUNCTION("""COMPUTED_VALUE"""),44421.0)</f>
        <v>44421</v>
      </c>
      <c r="S1525" s="6" t="str">
        <f>IFERROR(__xludf.DUMMYFUNCTION("""COMPUTED_VALUE"""),"-")</f>
        <v>-</v>
      </c>
      <c r="T1525" s="57">
        <f>IFERROR(__xludf.DUMMYFUNCTION("""COMPUTED_VALUE"""),44444.0)</f>
        <v>44444</v>
      </c>
    </row>
    <row r="1526">
      <c r="A1526" s="6" t="str">
        <f>IFERROR(__xludf.DUMMYFUNCTION("""COMPUTED_VALUE"""),"211750290-6")</f>
        <v>211750290-6</v>
      </c>
      <c r="B1526" s="6" t="str">
        <f>IFERROR(__xludf.DUMMYFUNCTION("""COMPUTED_VALUE"""),"211750290 - Approved")</f>
        <v>211750290 - Approved</v>
      </c>
      <c r="C1526" s="6">
        <f>IFERROR(__xludf.DUMMYFUNCTION("""COMPUTED_VALUE"""),6.0)</f>
        <v>6</v>
      </c>
      <c r="D1526" s="6" t="str">
        <f>IFERROR(__xludf.DUMMYFUNCTION("""COMPUTED_VALUE"""),"O-16647-00")</f>
        <v>O-16647-00</v>
      </c>
      <c r="E1526" s="6" t="str">
        <f>IFERROR(__xludf.DUMMYFUNCTION("""COMPUTED_VALUE"""),"Washing RAR4 - Oring Silicone Merah 23x18x2.5 mm")</f>
        <v>Washing RAR4 - Oring Silicone Merah 23x18x2.5 mm</v>
      </c>
      <c r="F1526" s="6">
        <f>IFERROR(__xludf.DUMMYFUNCTION("""COMPUTED_VALUE"""),20.0)</f>
        <v>20</v>
      </c>
      <c r="G1526" s="6" t="str">
        <f>IFERROR(__xludf.DUMMYFUNCTION("""COMPUTED_VALUE"""),"Pieces")</f>
        <v>Pieces</v>
      </c>
      <c r="H1526" s="6" t="str">
        <f>IFERROR(__xludf.DUMMYFUNCTION("""COMPUTED_VALUE"""),"IDR")</f>
        <v>IDR</v>
      </c>
      <c r="I1526" s="6">
        <f>IFERROR(__xludf.DUMMYFUNCTION("""COMPUTED_VALUE"""),35000.0)</f>
        <v>35000</v>
      </c>
      <c r="J1526" s="6">
        <f>IFERROR(__xludf.DUMMYFUNCTION("""COMPUTED_VALUE"""),700000.0)</f>
        <v>700000</v>
      </c>
      <c r="K1526" s="57">
        <f>IFERROR(__xludf.DUMMYFUNCTION("""COMPUTED_VALUE"""),44439.0)</f>
        <v>44439</v>
      </c>
      <c r="L1526" s="6" t="str">
        <f>IFERROR(__xludf.DUMMYFUNCTION("""COMPUTED_VALUE"""),"FIP Engineering")</f>
        <v>FIP Engineering</v>
      </c>
      <c r="M1526" s="6" t="str">
        <f>IFERROR(__xludf.DUMMYFUNCTION("""COMPUTED_VALUE"""),"Irwan Sopian")</f>
        <v>Irwan Sopian</v>
      </c>
      <c r="N1526" s="6" t="str">
        <f>IFERROR(__xludf.DUMMYFUNCTION("""COMPUTED_VALUE"""),"FIP Engineering")</f>
        <v>FIP Engineering</v>
      </c>
      <c r="O1526" s="6" t="str">
        <f>IFERROR(__xludf.DUMMYFUNCTION("""COMPUTED_VALUE"""),"FIP-DOM-000-11304-OS00001-INA-000000")</f>
        <v>FIP-DOM-000-11304-OS00001-INA-000000</v>
      </c>
      <c r="P1526" s="6" t="str">
        <f>IFERROR(__xludf.DUMMYFUNCTION("""COMPUTED_VALUE"""),"PO Closed")</f>
        <v>PO Closed</v>
      </c>
      <c r="Q1526" s="6" t="str">
        <f>IFERROR(__xludf.DUMMYFUNCTION("""COMPUTED_VALUE"""),"GL2108061")</f>
        <v>GL2108061</v>
      </c>
      <c r="R1526" s="57">
        <f>IFERROR(__xludf.DUMMYFUNCTION("""COMPUTED_VALUE"""),44421.0)</f>
        <v>44421</v>
      </c>
      <c r="S1526" s="6" t="str">
        <f>IFERROR(__xludf.DUMMYFUNCTION("""COMPUTED_VALUE"""),"-")</f>
        <v>-</v>
      </c>
      <c r="T1526" s="57">
        <f>IFERROR(__xludf.DUMMYFUNCTION("""COMPUTED_VALUE"""),44449.0)</f>
        <v>44449</v>
      </c>
    </row>
    <row r="1527">
      <c r="A1527" s="6" t="str">
        <f>IFERROR(__xludf.DUMMYFUNCTION("""COMPUTED_VALUE"""),"211750289-1")</f>
        <v>211750289-1</v>
      </c>
      <c r="B1527" s="6" t="str">
        <f>IFERROR(__xludf.DUMMYFUNCTION("""COMPUTED_VALUE"""),"211750289 - Approved")</f>
        <v>211750289 - Approved</v>
      </c>
      <c r="C1527" s="6">
        <f>IFERROR(__xludf.DUMMYFUNCTION("""COMPUTED_VALUE"""),1.0)</f>
        <v>1</v>
      </c>
      <c r="D1527" s="6" t="str">
        <f>IFERROR(__xludf.DUMMYFUNCTION("""COMPUTED_VALUE"""),"O-52497-00")</f>
        <v>O-52497-00</v>
      </c>
      <c r="E1527" s="6" t="str">
        <f>IFERROR(__xludf.DUMMYFUNCTION("""COMPUTED_VALUE"""),"UV Lamp SUEZ P/N: CARK 35010-01")</f>
        <v>UV Lamp SUEZ P/N: CARK 35010-01</v>
      </c>
      <c r="F1527" s="6">
        <f>IFERROR(__xludf.DUMMYFUNCTION("""COMPUTED_VALUE"""),1.0)</f>
        <v>1</v>
      </c>
      <c r="G1527" s="6" t="str">
        <f>IFERROR(__xludf.DUMMYFUNCTION("""COMPUTED_VALUE"""),"Pieces")</f>
        <v>Pieces</v>
      </c>
      <c r="H1527" s="6" t="str">
        <f>IFERROR(__xludf.DUMMYFUNCTION("""COMPUTED_VALUE"""),"IDR")</f>
        <v>IDR</v>
      </c>
      <c r="I1527" s="6">
        <f>IFERROR(__xludf.DUMMYFUNCTION("""COMPUTED_VALUE"""),1.24670875E7)</f>
        <v>12467087.5</v>
      </c>
      <c r="J1527" s="6">
        <f>IFERROR(__xludf.DUMMYFUNCTION("""COMPUTED_VALUE"""),1.24670875E7)</f>
        <v>12467087.5</v>
      </c>
      <c r="K1527" s="57">
        <f>IFERROR(__xludf.DUMMYFUNCTION("""COMPUTED_VALUE"""),44463.0)</f>
        <v>44463</v>
      </c>
      <c r="L1527" s="6" t="str">
        <f>IFERROR(__xludf.DUMMYFUNCTION("""COMPUTED_VALUE"""),"FIP Engineering")</f>
        <v>FIP Engineering</v>
      </c>
      <c r="M1527" s="6" t="str">
        <f>IFERROR(__xludf.DUMMYFUNCTION("""COMPUTED_VALUE"""),"Irwan Sopian")</f>
        <v>Irwan Sopian</v>
      </c>
      <c r="N1527" s="6" t="str">
        <f>IFERROR(__xludf.DUMMYFUNCTION("""COMPUTED_VALUE"""),"FIP Engineering")</f>
        <v>FIP Engineering</v>
      </c>
      <c r="O1527" s="6" t="str">
        <f>IFERROR(__xludf.DUMMYFUNCTION("""COMPUTED_VALUE"""),"FIP-DOM-000-11304-OS00001-INA-000000")</f>
        <v>FIP-DOM-000-11304-OS00001-INA-000000</v>
      </c>
      <c r="P1527" s="6" t="str">
        <f>IFERROR(__xludf.DUMMYFUNCTION("""COMPUTED_VALUE"""),"PO Closed")</f>
        <v>PO Closed</v>
      </c>
      <c r="Q1527" s="6" t="str">
        <f>IFERROR(__xludf.DUMMYFUNCTION("""COMPUTED_VALUE"""),"GL2109028")</f>
        <v>GL2109028</v>
      </c>
      <c r="R1527" s="57">
        <f>IFERROR(__xludf.DUMMYFUNCTION("""COMPUTED_VALUE"""),44421.0)</f>
        <v>44421</v>
      </c>
      <c r="S1527" s="6" t="str">
        <f>IFERROR(__xludf.DUMMYFUNCTION("""COMPUTED_VALUE"""),"-")</f>
        <v>-</v>
      </c>
      <c r="T1527" s="57">
        <f>IFERROR(__xludf.DUMMYFUNCTION("""COMPUTED_VALUE"""),44463.0)</f>
        <v>44463</v>
      </c>
    </row>
    <row r="1528">
      <c r="A1528" s="6" t="str">
        <f>IFERROR(__xludf.DUMMYFUNCTION("""COMPUTED_VALUE"""),"211750288-1")</f>
        <v>211750288-1</v>
      </c>
      <c r="B1528" s="6" t="str">
        <f>IFERROR(__xludf.DUMMYFUNCTION("""COMPUTED_VALUE"""),"211750288 - Approved")</f>
        <v>211750288 - Approved</v>
      </c>
      <c r="C1528" s="6">
        <f>IFERROR(__xludf.DUMMYFUNCTION("""COMPUTED_VALUE"""),1.0)</f>
        <v>1</v>
      </c>
      <c r="D1528" s="6" t="str">
        <f>IFERROR(__xludf.DUMMYFUNCTION("""COMPUTED_VALUE"""),"P-60000-00")</f>
        <v>P-60000-00</v>
      </c>
      <c r="E1528" s="6" t="str">
        <f>IFERROR(__xludf.DUMMYFUNCTION("""COMPUTED_VALUE"""),"Pembuatan Port terminal BIBO (Integrity)")</f>
        <v>Pembuatan Port terminal BIBO (Integrity)</v>
      </c>
      <c r="F1528" s="6">
        <f>IFERROR(__xludf.DUMMYFUNCTION("""COMPUTED_VALUE"""),1.0)</f>
        <v>1</v>
      </c>
      <c r="G1528" s="6" t="str">
        <f>IFERROR(__xludf.DUMMYFUNCTION("""COMPUTED_VALUE"""),"Lot")</f>
        <v>Lot</v>
      </c>
      <c r="H1528" s="6" t="str">
        <f>IFERROR(__xludf.DUMMYFUNCTION("""COMPUTED_VALUE"""),"IDR")</f>
        <v>IDR</v>
      </c>
      <c r="I1528" s="6">
        <f>IFERROR(__xludf.DUMMYFUNCTION("""COMPUTED_VALUE"""),998500.0)</f>
        <v>998500</v>
      </c>
      <c r="J1528" s="6">
        <f>IFERROR(__xludf.DUMMYFUNCTION("""COMPUTED_VALUE"""),998500.0)</f>
        <v>998500</v>
      </c>
      <c r="K1528" s="57">
        <f>IFERROR(__xludf.DUMMYFUNCTION("""COMPUTED_VALUE"""),44439.0)</f>
        <v>44439</v>
      </c>
      <c r="L1528" s="6" t="str">
        <f>IFERROR(__xludf.DUMMYFUNCTION("""COMPUTED_VALUE"""),"FIP General")</f>
        <v>FIP General</v>
      </c>
      <c r="M1528" s="6" t="str">
        <f>IFERROR(__xludf.DUMMYFUNCTION("""COMPUTED_VALUE"""),"Irwan Sopian")</f>
        <v>Irwan Sopian</v>
      </c>
      <c r="N1528" s="6" t="str">
        <f>IFERROR(__xludf.DUMMYFUNCTION("""COMPUTED_VALUE"""),"FIP Engineering")</f>
        <v>FIP Engineering</v>
      </c>
      <c r="O1528" s="6" t="str">
        <f>IFERROR(__xludf.DUMMYFUNCTION("""COMPUTED_VALUE"""),"FIP-DOM-ENG-51504-0000000-INA-000000")</f>
        <v>FIP-DOM-ENG-51504-0000000-INA-000000</v>
      </c>
      <c r="P1528" s="6" t="str">
        <f>IFERROR(__xludf.DUMMYFUNCTION("""COMPUTED_VALUE"""),"PO Closed")</f>
        <v>PO Closed</v>
      </c>
      <c r="Q1528" s="6" t="str">
        <f>IFERROR(__xludf.DUMMYFUNCTION("""COMPUTED_VALUE"""),"GL2108029")</f>
        <v>GL2108029</v>
      </c>
      <c r="R1528" s="57">
        <f>IFERROR(__xludf.DUMMYFUNCTION("""COMPUTED_VALUE"""),44421.0)</f>
        <v>44421</v>
      </c>
      <c r="S1528" s="6" t="str">
        <f>IFERROR(__xludf.DUMMYFUNCTION("""COMPUTED_VALUE"""),"-")</f>
        <v>-</v>
      </c>
      <c r="T1528" s="57">
        <f>IFERROR(__xludf.DUMMYFUNCTION("""COMPUTED_VALUE"""),44439.0)</f>
        <v>44439</v>
      </c>
    </row>
    <row r="1529">
      <c r="A1529" s="6" t="str">
        <f>IFERROR(__xludf.DUMMYFUNCTION("""COMPUTED_VALUE"""),"211750296-1")</f>
        <v>211750296-1</v>
      </c>
      <c r="B1529" s="6" t="str">
        <f>IFERROR(__xludf.DUMMYFUNCTION("""COMPUTED_VALUE"""),"211750296 - Approved")</f>
        <v>211750296 - Approved</v>
      </c>
      <c r="C1529" s="6">
        <f>IFERROR(__xludf.DUMMYFUNCTION("""COMPUTED_VALUE"""),1.0)</f>
        <v>1</v>
      </c>
      <c r="D1529" s="6" t="str">
        <f>IFERROR(__xludf.DUMMYFUNCTION("""COMPUTED_VALUE"""),"S-60002-00")</f>
        <v>S-60002-00</v>
      </c>
      <c r="E1529" s="6" t="str">
        <f>IFERROR(__xludf.DUMMYFUNCTION("""COMPUTED_VALUE"""),"Repair Kebocoran Cooling Chamber Wet Lab")</f>
        <v>Repair Kebocoran Cooling Chamber Wet Lab</v>
      </c>
      <c r="F1529" s="6">
        <f>IFERROR(__xludf.DUMMYFUNCTION("""COMPUTED_VALUE"""),1.0)</f>
        <v>1</v>
      </c>
      <c r="G1529" s="6" t="str">
        <f>IFERROR(__xludf.DUMMYFUNCTION("""COMPUTED_VALUE"""),"Lot")</f>
        <v>Lot</v>
      </c>
      <c r="H1529" s="6" t="str">
        <f>IFERROR(__xludf.DUMMYFUNCTION("""COMPUTED_VALUE"""),"IDR")</f>
        <v>IDR</v>
      </c>
      <c r="I1529" s="6">
        <f>IFERROR(__xludf.DUMMYFUNCTION("""COMPUTED_VALUE"""),1500000.0)</f>
        <v>1500000</v>
      </c>
      <c r="J1529" s="6">
        <f>IFERROR(__xludf.DUMMYFUNCTION("""COMPUTED_VALUE"""),1500000.0)</f>
        <v>1500000</v>
      </c>
      <c r="K1529" s="57">
        <f>IFERROR(__xludf.DUMMYFUNCTION("""COMPUTED_VALUE"""),44449.0)</f>
        <v>44449</v>
      </c>
      <c r="L1529" s="6" t="str">
        <f>IFERROR(__xludf.DUMMYFUNCTION("""COMPUTED_VALUE"""),"FIP General")</f>
        <v>FIP General</v>
      </c>
      <c r="M1529" s="6" t="str">
        <f>IFERROR(__xludf.DUMMYFUNCTION("""COMPUTED_VALUE"""),"Irwan Sopian")</f>
        <v>Irwan Sopian</v>
      </c>
      <c r="N1529" s="6" t="str">
        <f>IFERROR(__xludf.DUMMYFUNCTION("""COMPUTED_VALUE"""),"FIP Engineering")</f>
        <v>FIP Engineering</v>
      </c>
      <c r="O1529" s="6" t="str">
        <f>IFERROR(__xludf.DUMMYFUNCTION("""COMPUTED_VALUE"""),"FIP-DOM-ENG-51508-0000000-INA-000000")</f>
        <v>FIP-DOM-ENG-51508-0000000-INA-000000</v>
      </c>
      <c r="P1529" s="6" t="str">
        <f>IFERROR(__xludf.DUMMYFUNCTION("""COMPUTED_VALUE"""),"PO Closed")</f>
        <v>PO Closed</v>
      </c>
      <c r="Q1529" s="6" t="str">
        <f>IFERROR(__xludf.DUMMYFUNCTION("""COMPUTED_VALUE"""),"GL2109029")</f>
        <v>GL2109029</v>
      </c>
      <c r="R1529" s="57">
        <f>IFERROR(__xludf.DUMMYFUNCTION("""COMPUTED_VALUE"""),44427.0)</f>
        <v>44427</v>
      </c>
      <c r="S1529" s="6" t="str">
        <f>IFERROR(__xludf.DUMMYFUNCTION("""COMPUTED_VALUE"""),"-")</f>
        <v>-</v>
      </c>
      <c r="T1529" s="57">
        <f>IFERROR(__xludf.DUMMYFUNCTION("""COMPUTED_VALUE"""),44464.0)</f>
        <v>44464</v>
      </c>
    </row>
    <row r="1530">
      <c r="A1530" s="6" t="str">
        <f>IFERROR(__xludf.DUMMYFUNCTION("""COMPUTED_VALUE"""),"211750298-1")</f>
        <v>211750298-1</v>
      </c>
      <c r="B1530" s="6" t="str">
        <f>IFERROR(__xludf.DUMMYFUNCTION("""COMPUTED_VALUE"""),"211750298 - Approved")</f>
        <v>211750298 - Approved</v>
      </c>
      <c r="C1530" s="6">
        <f>IFERROR(__xludf.DUMMYFUNCTION("""COMPUTED_VALUE"""),1.0)</f>
        <v>1</v>
      </c>
      <c r="D1530" s="6" t="str">
        <f>IFERROR(__xludf.DUMMYFUNCTION("""COMPUTED_VALUE"""),"Q-10805-00")</f>
        <v>Q-10805-00</v>
      </c>
      <c r="E1530" s="6" t="str">
        <f>IFERROR(__xludf.DUMMYFUNCTION("""COMPUTED_VALUE"""),"Multipox MX-98 White @ 20 KG PROPAN PAIL")</f>
        <v>Multipox MX-98 White @ 20 KG PROPAN PAIL</v>
      </c>
      <c r="F1530" s="6">
        <f>IFERROR(__xludf.DUMMYFUNCTION("""COMPUTED_VALUE"""),1.0)</f>
        <v>1</v>
      </c>
      <c r="G1530" s="6" t="str">
        <f>IFERROR(__xludf.DUMMYFUNCTION("""COMPUTED_VALUE"""),"Pail")</f>
        <v>Pail</v>
      </c>
      <c r="H1530" s="6" t="str">
        <f>IFERROR(__xludf.DUMMYFUNCTION("""COMPUTED_VALUE"""),"IDR")</f>
        <v>IDR</v>
      </c>
      <c r="I1530" s="6">
        <f>IFERROR(__xludf.DUMMYFUNCTION("""COMPUTED_VALUE"""),2766875.0)</f>
        <v>2766875</v>
      </c>
      <c r="J1530" s="6">
        <f>IFERROR(__xludf.DUMMYFUNCTION("""COMPUTED_VALUE"""),2766875.0)</f>
        <v>2766875</v>
      </c>
      <c r="K1530" s="57">
        <f>IFERROR(__xludf.DUMMYFUNCTION("""COMPUTED_VALUE"""),44449.0)</f>
        <v>44449</v>
      </c>
      <c r="L1530" s="6" t="str">
        <f>IFERROR(__xludf.DUMMYFUNCTION("""COMPUTED_VALUE"""),"FIP Engineering")</f>
        <v>FIP Engineering</v>
      </c>
      <c r="M1530" s="6" t="str">
        <f>IFERROR(__xludf.DUMMYFUNCTION("""COMPUTED_VALUE"""),"Joko Nugroho")</f>
        <v>Joko Nugroho</v>
      </c>
      <c r="N1530" s="6" t="str">
        <f>IFERROR(__xludf.DUMMYFUNCTION("""COMPUTED_VALUE"""),"FIP Engineering")</f>
        <v>FIP Engineering</v>
      </c>
      <c r="O1530" s="6" t="str">
        <f>IFERROR(__xludf.DUMMYFUNCTION("""COMPUTED_VALUE"""),"FIP-DOM-000-11304-OS00001-INA-000000")</f>
        <v>FIP-DOM-000-11304-OS00001-INA-000000</v>
      </c>
      <c r="P1530" s="6" t="str">
        <f>IFERROR(__xludf.DUMMYFUNCTION("""COMPUTED_VALUE"""),"PO Closed")</f>
        <v>PO Closed</v>
      </c>
      <c r="Q1530" s="6" t="str">
        <f>IFERROR(__xludf.DUMMYFUNCTION("""COMPUTED_VALUE"""),"GL2109020")</f>
        <v>GL2109020</v>
      </c>
      <c r="R1530" s="57">
        <f>IFERROR(__xludf.DUMMYFUNCTION("""COMPUTED_VALUE"""),44428.0)</f>
        <v>44428</v>
      </c>
      <c r="S1530" s="6" t="str">
        <f>IFERROR(__xludf.DUMMYFUNCTION("""COMPUTED_VALUE"""),"-")</f>
        <v>-</v>
      </c>
      <c r="T1530" s="57">
        <f>IFERROR(__xludf.DUMMYFUNCTION("""COMPUTED_VALUE"""),44481.0)</f>
        <v>44481</v>
      </c>
    </row>
    <row r="1531">
      <c r="A1531" s="6" t="str">
        <f>IFERROR(__xludf.DUMMYFUNCTION("""COMPUTED_VALUE"""),"211750298-2")</f>
        <v>211750298-2</v>
      </c>
      <c r="B1531" s="6" t="str">
        <f>IFERROR(__xludf.DUMMYFUNCTION("""COMPUTED_VALUE"""),"211750298 - Approved")</f>
        <v>211750298 - Approved</v>
      </c>
      <c r="C1531" s="6">
        <f>IFERROR(__xludf.DUMMYFUNCTION("""COMPUTED_VALUE"""),2.0)</f>
        <v>2</v>
      </c>
      <c r="D1531" s="6" t="str">
        <f>IFERROR(__xludf.DUMMYFUNCTION("""COMPUTED_VALUE"""),"Q-10475-00")</f>
        <v>Q-10475-00</v>
      </c>
      <c r="E1531" s="6" t="str">
        <f>IFERROR(__xludf.DUMMYFUNCTION("""COMPUTED_VALUE"""),"Cat Tembok")</f>
        <v>Cat Tembok</v>
      </c>
      <c r="F1531" s="6">
        <f>IFERROR(__xludf.DUMMYFUNCTION("""COMPUTED_VALUE"""),1.0)</f>
        <v>1</v>
      </c>
      <c r="G1531" s="6" t="str">
        <f>IFERROR(__xludf.DUMMYFUNCTION("""COMPUTED_VALUE"""),"Can")</f>
        <v>Can</v>
      </c>
      <c r="H1531" s="6" t="str">
        <f>IFERROR(__xludf.DUMMYFUNCTION("""COMPUTED_VALUE"""),"IDR")</f>
        <v>IDR</v>
      </c>
      <c r="I1531" s="6">
        <f>IFERROR(__xludf.DUMMYFUNCTION("""COMPUTED_VALUE"""),1987500.0)</f>
        <v>1987500</v>
      </c>
      <c r="J1531" s="6">
        <f>IFERROR(__xludf.DUMMYFUNCTION("""COMPUTED_VALUE"""),1987500.0)</f>
        <v>1987500</v>
      </c>
      <c r="K1531" s="57">
        <f>IFERROR(__xludf.DUMMYFUNCTION("""COMPUTED_VALUE"""),44449.0)</f>
        <v>44449</v>
      </c>
      <c r="L1531" s="6" t="str">
        <f>IFERROR(__xludf.DUMMYFUNCTION("""COMPUTED_VALUE"""),"FIP General")</f>
        <v>FIP General</v>
      </c>
      <c r="M1531" s="6" t="str">
        <f>IFERROR(__xludf.DUMMYFUNCTION("""COMPUTED_VALUE"""),"Joko Nugroho")</f>
        <v>Joko Nugroho</v>
      </c>
      <c r="N1531" s="6" t="str">
        <f>IFERROR(__xludf.DUMMYFUNCTION("""COMPUTED_VALUE"""),"FIP Engineering")</f>
        <v>FIP Engineering</v>
      </c>
      <c r="O1531" s="6" t="str">
        <f>IFERROR(__xludf.DUMMYFUNCTION("""COMPUTED_VALUE"""),"FIP-DOM-ENG-51502-0000000-INA-000000")</f>
        <v>FIP-DOM-ENG-51502-0000000-INA-000000</v>
      </c>
      <c r="P1531" s="6" t="str">
        <f>IFERROR(__xludf.DUMMYFUNCTION("""COMPUTED_VALUE"""),"PO Closed")</f>
        <v>PO Closed</v>
      </c>
      <c r="Q1531" s="6" t="str">
        <f>IFERROR(__xludf.DUMMYFUNCTION("""COMPUTED_VALUE"""),"GL2109007")</f>
        <v>GL2109007</v>
      </c>
      <c r="R1531" s="57">
        <f>IFERROR(__xludf.DUMMYFUNCTION("""COMPUTED_VALUE"""),44428.0)</f>
        <v>44428</v>
      </c>
      <c r="S1531" s="6" t="str">
        <f>IFERROR(__xludf.DUMMYFUNCTION("""COMPUTED_VALUE"""),"-")</f>
        <v>-</v>
      </c>
      <c r="T1531" s="57">
        <f>IFERROR(__xludf.DUMMYFUNCTION("""COMPUTED_VALUE"""),44455.0)</f>
        <v>44455</v>
      </c>
    </row>
    <row r="1532">
      <c r="A1532" s="6" t="str">
        <f>IFERROR(__xludf.DUMMYFUNCTION("""COMPUTED_VALUE"""),"211750297-1")</f>
        <v>211750297-1</v>
      </c>
      <c r="B1532" s="6" t="str">
        <f>IFERROR(__xludf.DUMMYFUNCTION("""COMPUTED_VALUE"""),"211750297 - Approved")</f>
        <v>211750297 - Approved</v>
      </c>
      <c r="C1532" s="6">
        <f>IFERROR(__xludf.DUMMYFUNCTION("""COMPUTED_VALUE"""),1.0)</f>
        <v>1</v>
      </c>
      <c r="D1532" s="6" t="str">
        <f>IFERROR(__xludf.DUMMYFUNCTION("""COMPUTED_VALUE"""),"P-51560-00")</f>
        <v>P-51560-00</v>
      </c>
      <c r="E1532" s="6" t="str">
        <f>IFERROR(__xludf.DUMMYFUNCTION("""COMPUTED_VALUE"""),"Lampu T5 28watt Putih Phillips")</f>
        <v>Lampu T5 28watt Putih Phillips</v>
      </c>
      <c r="F1532" s="6">
        <f>IFERROR(__xludf.DUMMYFUNCTION("""COMPUTED_VALUE"""),40.0)</f>
        <v>40</v>
      </c>
      <c r="G1532" s="6" t="str">
        <f>IFERROR(__xludf.DUMMYFUNCTION("""COMPUTED_VALUE"""),"Pieces")</f>
        <v>Pieces</v>
      </c>
      <c r="H1532" s="6" t="str">
        <f>IFERROR(__xludf.DUMMYFUNCTION("""COMPUTED_VALUE"""),"IDR")</f>
        <v>IDR</v>
      </c>
      <c r="I1532" s="6">
        <f>IFERROR(__xludf.DUMMYFUNCTION("""COMPUTED_VALUE"""),32400.0)</f>
        <v>32400</v>
      </c>
      <c r="J1532" s="6">
        <f>IFERROR(__xludf.DUMMYFUNCTION("""COMPUTED_VALUE"""),1296000.0)</f>
        <v>1296000</v>
      </c>
      <c r="K1532" s="57">
        <f>IFERROR(__xludf.DUMMYFUNCTION("""COMPUTED_VALUE"""),44449.0)</f>
        <v>44449</v>
      </c>
      <c r="L1532" s="6" t="str">
        <f>IFERROR(__xludf.DUMMYFUNCTION("""COMPUTED_VALUE"""),"FIP Engineering")</f>
        <v>FIP Engineering</v>
      </c>
      <c r="M1532" s="6" t="str">
        <f>IFERROR(__xludf.DUMMYFUNCTION("""COMPUTED_VALUE"""),"Joko Nugroho")</f>
        <v>Joko Nugroho</v>
      </c>
      <c r="N1532" s="6" t="str">
        <f>IFERROR(__xludf.DUMMYFUNCTION("""COMPUTED_VALUE"""),"FIP Engineering")</f>
        <v>FIP Engineering</v>
      </c>
      <c r="O1532" s="6" t="str">
        <f>IFERROR(__xludf.DUMMYFUNCTION("""COMPUTED_VALUE"""),"FIP-DOM-000-11304-OS00001-INA-000000")</f>
        <v>FIP-DOM-000-11304-OS00001-INA-000000</v>
      </c>
      <c r="P1532" s="6" t="str">
        <f>IFERROR(__xludf.DUMMYFUNCTION("""COMPUTED_VALUE"""),"PO Closed")</f>
        <v>PO Closed</v>
      </c>
      <c r="Q1532" s="6" t="str">
        <f>IFERROR(__xludf.DUMMYFUNCTION("""COMPUTED_VALUE"""),"GL2109035")</f>
        <v>GL2109035</v>
      </c>
      <c r="R1532" s="57">
        <f>IFERROR(__xludf.DUMMYFUNCTION("""COMPUTED_VALUE"""),44428.0)</f>
        <v>44428</v>
      </c>
      <c r="S1532" s="6" t="str">
        <f>IFERROR(__xludf.DUMMYFUNCTION("""COMPUTED_VALUE"""),"-")</f>
        <v>-</v>
      </c>
      <c r="T1532" s="57">
        <f>IFERROR(__xludf.DUMMYFUNCTION("""COMPUTED_VALUE"""),44464.0)</f>
        <v>44464</v>
      </c>
    </row>
    <row r="1533">
      <c r="A1533" s="6" t="str">
        <f>IFERROR(__xludf.DUMMYFUNCTION("""COMPUTED_VALUE"""),"211750297-3")</f>
        <v>211750297-3</v>
      </c>
      <c r="B1533" s="6" t="str">
        <f>IFERROR(__xludf.DUMMYFUNCTION("""COMPUTED_VALUE"""),"211750297 - Approved")</f>
        <v>211750297 - Approved</v>
      </c>
      <c r="C1533" s="6">
        <f>IFERROR(__xludf.DUMMYFUNCTION("""COMPUTED_VALUE"""),3.0)</f>
        <v>3</v>
      </c>
      <c r="D1533" s="6" t="str">
        <f>IFERROR(__xludf.DUMMYFUNCTION("""COMPUTED_VALUE"""),"P-53173-00")</f>
        <v>P-53173-00</v>
      </c>
      <c r="E1533" s="6" t="str">
        <f>IFERROR(__xludf.DUMMYFUNCTION("""COMPUTED_VALUE"""),"Ballast Electronic EB-C 214 TL5, 2x14W; Phillips; ;")</f>
        <v>Ballast Electronic EB-C 214 TL5, 2x14W; Phillips; ;</v>
      </c>
      <c r="F1533" s="6">
        <f>IFERROR(__xludf.DUMMYFUNCTION("""COMPUTED_VALUE"""),3.0)</f>
        <v>3</v>
      </c>
      <c r="G1533" s="6" t="str">
        <f>IFERROR(__xludf.DUMMYFUNCTION("""COMPUTED_VALUE"""),"Pieces")</f>
        <v>Pieces</v>
      </c>
      <c r="H1533" s="6" t="str">
        <f>IFERROR(__xludf.DUMMYFUNCTION("""COMPUTED_VALUE"""),"IDR")</f>
        <v>IDR</v>
      </c>
      <c r="I1533" s="6">
        <f>IFERROR(__xludf.DUMMYFUNCTION("""COMPUTED_VALUE"""),115000.0)</f>
        <v>115000</v>
      </c>
      <c r="J1533" s="6">
        <f>IFERROR(__xludf.DUMMYFUNCTION("""COMPUTED_VALUE"""),345000.0)</f>
        <v>345000</v>
      </c>
      <c r="K1533" s="57">
        <f>IFERROR(__xludf.DUMMYFUNCTION("""COMPUTED_VALUE"""),44449.0)</f>
        <v>44449</v>
      </c>
      <c r="L1533" s="6" t="str">
        <f>IFERROR(__xludf.DUMMYFUNCTION("""COMPUTED_VALUE"""),"FIP Engineering")</f>
        <v>FIP Engineering</v>
      </c>
      <c r="M1533" s="6" t="str">
        <f>IFERROR(__xludf.DUMMYFUNCTION("""COMPUTED_VALUE"""),"Joko Nugroho")</f>
        <v>Joko Nugroho</v>
      </c>
      <c r="N1533" s="6" t="str">
        <f>IFERROR(__xludf.DUMMYFUNCTION("""COMPUTED_VALUE"""),"FIP Engineering")</f>
        <v>FIP Engineering</v>
      </c>
      <c r="O1533" s="6" t="str">
        <f>IFERROR(__xludf.DUMMYFUNCTION("""COMPUTED_VALUE"""),"FIP-DOM-000-11304-OS00001-INA-000000")</f>
        <v>FIP-DOM-000-11304-OS00001-INA-000000</v>
      </c>
      <c r="P1533" s="6" t="str">
        <f>IFERROR(__xludf.DUMMYFUNCTION("""COMPUTED_VALUE"""),"PO Closed")</f>
        <v>PO Closed</v>
      </c>
      <c r="Q1533" s="6" t="str">
        <f>IFERROR(__xludf.DUMMYFUNCTION("""COMPUTED_VALUE"""),"GL2109035")</f>
        <v>GL2109035</v>
      </c>
      <c r="R1533" s="57">
        <f>IFERROR(__xludf.DUMMYFUNCTION("""COMPUTED_VALUE"""),44428.0)</f>
        <v>44428</v>
      </c>
      <c r="S1533" s="6" t="str">
        <f>IFERROR(__xludf.DUMMYFUNCTION("""COMPUTED_VALUE"""),"-")</f>
        <v>-</v>
      </c>
      <c r="T1533" s="57">
        <f>IFERROR(__xludf.DUMMYFUNCTION("""COMPUTED_VALUE"""),44464.0)</f>
        <v>44464</v>
      </c>
    </row>
    <row r="1534">
      <c r="A1534" s="6" t="str">
        <f>IFERROR(__xludf.DUMMYFUNCTION("""COMPUTED_VALUE"""),"211750297-4")</f>
        <v>211750297-4</v>
      </c>
      <c r="B1534" s="6" t="str">
        <f>IFERROR(__xludf.DUMMYFUNCTION("""COMPUTED_VALUE"""),"211750297 - Approved")</f>
        <v>211750297 - Approved</v>
      </c>
      <c r="C1534" s="6">
        <f>IFERROR(__xludf.DUMMYFUNCTION("""COMPUTED_VALUE"""),4.0)</f>
        <v>4</v>
      </c>
      <c r="D1534" s="6" t="str">
        <f>IFERROR(__xludf.DUMMYFUNCTION("""COMPUTED_VALUE"""),"O-15718-00")</f>
        <v>O-15718-00</v>
      </c>
      <c r="E1534" s="6" t="str">
        <f>IFERROR(__xludf.DUMMYFUNCTION("""COMPUTED_VALUE"""),"SYNTHETIC FOOD GRADE, CRC - P/N : NSF H1 pc")</f>
        <v>SYNTHETIC FOOD GRADE, CRC - P/N : NSF H1 pc</v>
      </c>
      <c r="F1534" s="6">
        <f>IFERROR(__xludf.DUMMYFUNCTION("""COMPUTED_VALUE"""),1.0)</f>
        <v>1</v>
      </c>
      <c r="G1534" s="6" t="str">
        <f>IFERROR(__xludf.DUMMYFUNCTION("""COMPUTED_VALUE"""),"Pieces")</f>
        <v>Pieces</v>
      </c>
      <c r="H1534" s="6" t="str">
        <f>IFERROR(__xludf.DUMMYFUNCTION("""COMPUTED_VALUE"""),"IDR")</f>
        <v>IDR</v>
      </c>
      <c r="I1534" s="6">
        <f>IFERROR(__xludf.DUMMYFUNCTION("""COMPUTED_VALUE"""),243000.0)</f>
        <v>243000</v>
      </c>
      <c r="J1534" s="6">
        <f>IFERROR(__xludf.DUMMYFUNCTION("""COMPUTED_VALUE"""),243000.0)</f>
        <v>243000</v>
      </c>
      <c r="K1534" s="57">
        <f>IFERROR(__xludf.DUMMYFUNCTION("""COMPUTED_VALUE"""),44456.0)</f>
        <v>44456</v>
      </c>
      <c r="L1534" s="6" t="str">
        <f>IFERROR(__xludf.DUMMYFUNCTION("""COMPUTED_VALUE"""),"FIP Engineering")</f>
        <v>FIP Engineering</v>
      </c>
      <c r="M1534" s="6" t="str">
        <f>IFERROR(__xludf.DUMMYFUNCTION("""COMPUTED_VALUE"""),"Joko Nugroho")</f>
        <v>Joko Nugroho</v>
      </c>
      <c r="N1534" s="6" t="str">
        <f>IFERROR(__xludf.DUMMYFUNCTION("""COMPUTED_VALUE"""),"FIP Engineering")</f>
        <v>FIP Engineering</v>
      </c>
      <c r="O1534" s="6" t="str">
        <f>IFERROR(__xludf.DUMMYFUNCTION("""COMPUTED_VALUE"""),"FIP-DOM-000-11304-OS00001-INA-000000")</f>
        <v>FIP-DOM-000-11304-OS00001-INA-000000</v>
      </c>
      <c r="P1534" s="6" t="str">
        <f>IFERROR(__xludf.DUMMYFUNCTION("""COMPUTED_VALUE"""),"PO Closed")</f>
        <v>PO Closed</v>
      </c>
      <c r="Q1534" s="6" t="str">
        <f>IFERROR(__xludf.DUMMYFUNCTION("""COMPUTED_VALUE"""),"GL2109035")</f>
        <v>GL2109035</v>
      </c>
      <c r="R1534" s="57">
        <f>IFERROR(__xludf.DUMMYFUNCTION("""COMPUTED_VALUE"""),44428.0)</f>
        <v>44428</v>
      </c>
      <c r="S1534" s="6" t="str">
        <f>IFERROR(__xludf.DUMMYFUNCTION("""COMPUTED_VALUE"""),"-")</f>
        <v>-</v>
      </c>
      <c r="T1534" s="57">
        <f>IFERROR(__xludf.DUMMYFUNCTION("""COMPUTED_VALUE"""),44464.0)</f>
        <v>44464</v>
      </c>
    </row>
    <row r="1535">
      <c r="A1535" s="6" t="str">
        <f>IFERROR(__xludf.DUMMYFUNCTION("""COMPUTED_VALUE"""),"211750297-6")</f>
        <v>211750297-6</v>
      </c>
      <c r="B1535" s="6" t="str">
        <f>IFERROR(__xludf.DUMMYFUNCTION("""COMPUTED_VALUE"""),"211750297 - Approved")</f>
        <v>211750297 - Approved</v>
      </c>
      <c r="C1535" s="6">
        <f>IFERROR(__xludf.DUMMYFUNCTION("""COMPUTED_VALUE"""),6.0)</f>
        <v>6</v>
      </c>
      <c r="D1535" s="6" t="str">
        <f>IFERROR(__xludf.DUMMYFUNCTION("""COMPUTED_VALUE"""),"Q-10249-00")</f>
        <v>Q-10249-00</v>
      </c>
      <c r="E1535" s="6" t="str">
        <f>IFERROR(__xludf.DUMMYFUNCTION("""COMPUTED_VALUE"""),"Lem Power Glue")</f>
        <v>Lem Power Glue</v>
      </c>
      <c r="F1535" s="6">
        <f>IFERROR(__xludf.DUMMYFUNCTION("""COMPUTED_VALUE"""),5.0)</f>
        <v>5</v>
      </c>
      <c r="G1535" s="6" t="str">
        <f>IFERROR(__xludf.DUMMYFUNCTION("""COMPUTED_VALUE"""),"Pieces")</f>
        <v>Pieces</v>
      </c>
      <c r="H1535" s="6" t="str">
        <f>IFERROR(__xludf.DUMMYFUNCTION("""COMPUTED_VALUE"""),"IDR")</f>
        <v>IDR</v>
      </c>
      <c r="I1535" s="6">
        <f>IFERROR(__xludf.DUMMYFUNCTION("""COMPUTED_VALUE"""),4050.0)</f>
        <v>4050</v>
      </c>
      <c r="J1535" s="6">
        <f>IFERROR(__xludf.DUMMYFUNCTION("""COMPUTED_VALUE"""),20250.0)</f>
        <v>20250</v>
      </c>
      <c r="K1535" s="57">
        <f>IFERROR(__xludf.DUMMYFUNCTION("""COMPUTED_VALUE"""),44449.0)</f>
        <v>44449</v>
      </c>
      <c r="L1535" s="6" t="str">
        <f>IFERROR(__xludf.DUMMYFUNCTION("""COMPUTED_VALUE"""),"FIP Engineering")</f>
        <v>FIP Engineering</v>
      </c>
      <c r="M1535" s="6" t="str">
        <f>IFERROR(__xludf.DUMMYFUNCTION("""COMPUTED_VALUE"""),"Joko Nugroho")</f>
        <v>Joko Nugroho</v>
      </c>
      <c r="N1535" s="6" t="str">
        <f>IFERROR(__xludf.DUMMYFUNCTION("""COMPUTED_VALUE"""),"FIP Engineering")</f>
        <v>FIP Engineering</v>
      </c>
      <c r="O1535" s="6" t="str">
        <f>IFERROR(__xludf.DUMMYFUNCTION("""COMPUTED_VALUE"""),"FIP-DOM-000-11304-OS00001-INA-000000")</f>
        <v>FIP-DOM-000-11304-OS00001-INA-000000</v>
      </c>
      <c r="P1535" s="6" t="str">
        <f>IFERROR(__xludf.DUMMYFUNCTION("""COMPUTED_VALUE"""),"PO Closed")</f>
        <v>PO Closed</v>
      </c>
      <c r="Q1535" s="6" t="str">
        <f>IFERROR(__xludf.DUMMYFUNCTION("""COMPUTED_VALUE"""),"GL2109007")</f>
        <v>GL2109007</v>
      </c>
      <c r="R1535" s="57">
        <f>IFERROR(__xludf.DUMMYFUNCTION("""COMPUTED_VALUE"""),44428.0)</f>
        <v>44428</v>
      </c>
      <c r="S1535" s="6" t="str">
        <f>IFERROR(__xludf.DUMMYFUNCTION("""COMPUTED_VALUE"""),"-")</f>
        <v>-</v>
      </c>
      <c r="T1535" s="57">
        <f>IFERROR(__xludf.DUMMYFUNCTION("""COMPUTED_VALUE"""),44455.0)</f>
        <v>44455</v>
      </c>
    </row>
    <row r="1536">
      <c r="A1536" s="6" t="str">
        <f>IFERROR(__xludf.DUMMYFUNCTION("""COMPUTED_VALUE"""),"211750303-1")</f>
        <v>211750303-1</v>
      </c>
      <c r="B1536" s="6" t="str">
        <f>IFERROR(__xludf.DUMMYFUNCTION("""COMPUTED_VALUE"""),"211750303 - Approved")</f>
        <v>211750303 - Approved</v>
      </c>
      <c r="C1536" s="6">
        <f>IFERROR(__xludf.DUMMYFUNCTION("""COMPUTED_VALUE"""),1.0)</f>
        <v>1</v>
      </c>
      <c r="D1536" s="6" t="str">
        <f>IFERROR(__xludf.DUMMYFUNCTION("""COMPUTED_VALUE"""),"O-13799-00")</f>
        <v>O-13799-00</v>
      </c>
      <c r="E1536" s="6" t="str">
        <f>IFERROR(__xludf.DUMMYFUNCTION("""COMPUTED_VALUE"""),"Carbon Vanes VT4.40 INTIDAYA DINAMIKA SEJATI, PT P/N : - pc")</f>
        <v>Carbon Vanes VT4.40 INTIDAYA DINAMIKA SEJATI, PT P/N : - pc</v>
      </c>
      <c r="F1536" s="6">
        <f>IFERROR(__xludf.DUMMYFUNCTION("""COMPUTED_VALUE"""),1.0)</f>
        <v>1</v>
      </c>
      <c r="G1536" s="6" t="str">
        <f>IFERROR(__xludf.DUMMYFUNCTION("""COMPUTED_VALUE"""),"Pieces")</f>
        <v>Pieces</v>
      </c>
      <c r="H1536" s="6" t="str">
        <f>IFERROR(__xludf.DUMMYFUNCTION("""COMPUTED_VALUE"""),"IDR")</f>
        <v>IDR</v>
      </c>
      <c r="I1536" s="6">
        <f>IFERROR(__xludf.DUMMYFUNCTION("""COMPUTED_VALUE"""),8227000.0)</f>
        <v>8227000</v>
      </c>
      <c r="J1536" s="6">
        <f>IFERROR(__xludf.DUMMYFUNCTION("""COMPUTED_VALUE"""),8227000.0)</f>
        <v>8227000</v>
      </c>
      <c r="K1536" s="57">
        <f>IFERROR(__xludf.DUMMYFUNCTION("""COMPUTED_VALUE"""),44463.0)</f>
        <v>44463</v>
      </c>
      <c r="L1536" s="6" t="str">
        <f>IFERROR(__xludf.DUMMYFUNCTION("""COMPUTED_VALUE"""),"FIP Engineering")</f>
        <v>FIP Engineering</v>
      </c>
      <c r="M1536" s="6" t="str">
        <f>IFERROR(__xludf.DUMMYFUNCTION("""COMPUTED_VALUE"""),"Irwan Sopian")</f>
        <v>Irwan Sopian</v>
      </c>
      <c r="N1536" s="6" t="str">
        <f>IFERROR(__xludf.DUMMYFUNCTION("""COMPUTED_VALUE"""),"FIP Engineering")</f>
        <v>FIP Engineering</v>
      </c>
      <c r="O1536" s="6" t="str">
        <f>IFERROR(__xludf.DUMMYFUNCTION("""COMPUTED_VALUE"""),"FIP-DOM-000-11304-OS00001-INA-000000")</f>
        <v>FIP-DOM-000-11304-OS00001-INA-000000</v>
      </c>
      <c r="P1536" s="6" t="str">
        <f>IFERROR(__xludf.DUMMYFUNCTION("""COMPUTED_VALUE"""),"PO Closed")</f>
        <v>PO Closed</v>
      </c>
      <c r="Q1536" s="6" t="str">
        <f>IFERROR(__xludf.DUMMYFUNCTION("""COMPUTED_VALUE"""),"GL2109025")</f>
        <v>GL2109025</v>
      </c>
      <c r="R1536" s="57">
        <f>IFERROR(__xludf.DUMMYFUNCTION("""COMPUTED_VALUE"""),44431.0)</f>
        <v>44431</v>
      </c>
      <c r="S1536" s="6" t="str">
        <f>IFERROR(__xludf.DUMMYFUNCTION("""COMPUTED_VALUE"""),"-")</f>
        <v>-</v>
      </c>
      <c r="T1536" s="57">
        <f>IFERROR(__xludf.DUMMYFUNCTION("""COMPUTED_VALUE"""),44453.0)</f>
        <v>44453</v>
      </c>
    </row>
    <row r="1537">
      <c r="A1537" s="6" t="str">
        <f>IFERROR(__xludf.DUMMYFUNCTION("""COMPUTED_VALUE"""),"211750302-1")</f>
        <v>211750302-1</v>
      </c>
      <c r="B1537" s="6" t="str">
        <f>IFERROR(__xludf.DUMMYFUNCTION("""COMPUTED_VALUE"""),"211750302 - Approved")</f>
        <v>211750302 - Approved</v>
      </c>
      <c r="C1537" s="6">
        <f>IFERROR(__xludf.DUMMYFUNCTION("""COMPUTED_VALUE"""),1.0)</f>
        <v>1</v>
      </c>
      <c r="D1537" s="6" t="str">
        <f>IFERROR(__xludf.DUMMYFUNCTION("""COMPUTED_VALUE"""),"O-52496-00")</f>
        <v>O-52496-00</v>
      </c>
      <c r="E1537" s="6" t="str">
        <f>IFERROR(__xludf.DUMMYFUNCTION("""COMPUTED_VALUE"""),"Selenoid Valve SMC P/N : VF5220-5DZ1-03")</f>
        <v>Selenoid Valve SMC P/N : VF5220-5DZ1-03</v>
      </c>
      <c r="F1537" s="6">
        <f>IFERROR(__xludf.DUMMYFUNCTION("""COMPUTED_VALUE"""),2.0)</f>
        <v>2</v>
      </c>
      <c r="G1537" s="6" t="str">
        <f>IFERROR(__xludf.DUMMYFUNCTION("""COMPUTED_VALUE"""),"Pieces")</f>
        <v>Pieces</v>
      </c>
      <c r="H1537" s="6" t="str">
        <f>IFERROR(__xludf.DUMMYFUNCTION("""COMPUTED_VALUE"""),"IDR")</f>
        <v>IDR</v>
      </c>
      <c r="I1537" s="6">
        <f>IFERROR(__xludf.DUMMYFUNCTION("""COMPUTED_VALUE"""),2321000.0)</f>
        <v>2321000</v>
      </c>
      <c r="J1537" s="6">
        <f>IFERROR(__xludf.DUMMYFUNCTION("""COMPUTED_VALUE"""),4642000.0)</f>
        <v>4642000</v>
      </c>
      <c r="K1537" s="57">
        <f>IFERROR(__xludf.DUMMYFUNCTION("""COMPUTED_VALUE"""),44456.0)</f>
        <v>44456</v>
      </c>
      <c r="L1537" s="6" t="str">
        <f>IFERROR(__xludf.DUMMYFUNCTION("""COMPUTED_VALUE"""),"FIP Engineering")</f>
        <v>FIP Engineering</v>
      </c>
      <c r="M1537" s="6" t="str">
        <f>IFERROR(__xludf.DUMMYFUNCTION("""COMPUTED_VALUE"""),"Irwan Sopian")</f>
        <v>Irwan Sopian</v>
      </c>
      <c r="N1537" s="6" t="str">
        <f>IFERROR(__xludf.DUMMYFUNCTION("""COMPUTED_VALUE"""),"FIP Engineering")</f>
        <v>FIP Engineering</v>
      </c>
      <c r="O1537" s="6" t="str">
        <f>IFERROR(__xludf.DUMMYFUNCTION("""COMPUTED_VALUE"""),"FIP-DOM-000-11304-OS00001-INA-000000")</f>
        <v>FIP-DOM-000-11304-OS00001-INA-000000</v>
      </c>
      <c r="P1537" s="6" t="str">
        <f>IFERROR(__xludf.DUMMYFUNCTION("""COMPUTED_VALUE"""),"PO Closed")</f>
        <v>PO Closed</v>
      </c>
      <c r="Q1537" s="6" t="str">
        <f>IFERROR(__xludf.DUMMYFUNCTION("""COMPUTED_VALUE"""),"GL2109023")</f>
        <v>GL2109023</v>
      </c>
      <c r="R1537" s="57">
        <f>IFERROR(__xludf.DUMMYFUNCTION("""COMPUTED_VALUE"""),44431.0)</f>
        <v>44431</v>
      </c>
      <c r="S1537" s="6" t="str">
        <f>IFERROR(__xludf.DUMMYFUNCTION("""COMPUTED_VALUE"""),"-")</f>
        <v>-</v>
      </c>
      <c r="T1537" s="57">
        <f>IFERROR(__xludf.DUMMYFUNCTION("""COMPUTED_VALUE"""),44456.0)</f>
        <v>44456</v>
      </c>
    </row>
    <row r="1538">
      <c r="A1538" s="6" t="str">
        <f>IFERROR(__xludf.DUMMYFUNCTION("""COMPUTED_VALUE"""),"211750302-2")</f>
        <v>211750302-2</v>
      </c>
      <c r="B1538" s="6" t="str">
        <f>IFERROR(__xludf.DUMMYFUNCTION("""COMPUTED_VALUE"""),"211750302 - Approved")</f>
        <v>211750302 - Approved</v>
      </c>
      <c r="C1538" s="6">
        <f>IFERROR(__xludf.DUMMYFUNCTION("""COMPUTED_VALUE"""),2.0)</f>
        <v>2</v>
      </c>
      <c r="D1538" s="6" t="str">
        <f>IFERROR(__xludf.DUMMYFUNCTION("""COMPUTED_VALUE"""),"O-18009-00")</f>
        <v>O-18009-00</v>
      </c>
      <c r="E1538" s="6" t="str">
        <f>IFERROR(__xludf.DUMMYFUNCTION("""COMPUTED_VALUE"""),"Silincer SMC P/N : AN30-03")</f>
        <v>Silincer SMC P/N : AN30-03</v>
      </c>
      <c r="F1538" s="6">
        <f>IFERROR(__xludf.DUMMYFUNCTION("""COMPUTED_VALUE"""),4.0)</f>
        <v>4</v>
      </c>
      <c r="G1538" s="6" t="str">
        <f>IFERROR(__xludf.DUMMYFUNCTION("""COMPUTED_VALUE"""),"Pieces")</f>
        <v>Pieces</v>
      </c>
      <c r="H1538" s="6" t="str">
        <f>IFERROR(__xludf.DUMMYFUNCTION("""COMPUTED_VALUE"""),"IDR")</f>
        <v>IDR</v>
      </c>
      <c r="I1538" s="6">
        <f>IFERROR(__xludf.DUMMYFUNCTION("""COMPUTED_VALUE"""),77000.0)</f>
        <v>77000</v>
      </c>
      <c r="J1538" s="6">
        <f>IFERROR(__xludf.DUMMYFUNCTION("""COMPUTED_VALUE"""),308000.0)</f>
        <v>308000</v>
      </c>
      <c r="K1538" s="57">
        <f>IFERROR(__xludf.DUMMYFUNCTION("""COMPUTED_VALUE"""),44456.0)</f>
        <v>44456</v>
      </c>
      <c r="L1538" s="6" t="str">
        <f>IFERROR(__xludf.DUMMYFUNCTION("""COMPUTED_VALUE"""),"FIP Engineering")</f>
        <v>FIP Engineering</v>
      </c>
      <c r="M1538" s="6" t="str">
        <f>IFERROR(__xludf.DUMMYFUNCTION("""COMPUTED_VALUE"""),"Irwan Sopian")</f>
        <v>Irwan Sopian</v>
      </c>
      <c r="N1538" s="6" t="str">
        <f>IFERROR(__xludf.DUMMYFUNCTION("""COMPUTED_VALUE"""),"FIP Engineering")</f>
        <v>FIP Engineering</v>
      </c>
      <c r="O1538" s="6" t="str">
        <f>IFERROR(__xludf.DUMMYFUNCTION("""COMPUTED_VALUE"""),"FIP-DOM-000-11304-OS00001-INA-000000")</f>
        <v>FIP-DOM-000-11304-OS00001-INA-000000</v>
      </c>
      <c r="P1538" s="6" t="str">
        <f>IFERROR(__xludf.DUMMYFUNCTION("""COMPUTED_VALUE"""),"PO Closed")</f>
        <v>PO Closed</v>
      </c>
      <c r="Q1538" s="6" t="str">
        <f>IFERROR(__xludf.DUMMYFUNCTION("""COMPUTED_VALUE"""),"GL2109023")</f>
        <v>GL2109023</v>
      </c>
      <c r="R1538" s="57">
        <f>IFERROR(__xludf.DUMMYFUNCTION("""COMPUTED_VALUE"""),44431.0)</f>
        <v>44431</v>
      </c>
      <c r="S1538" s="6" t="str">
        <f>IFERROR(__xludf.DUMMYFUNCTION("""COMPUTED_VALUE"""),"-")</f>
        <v>-</v>
      </c>
      <c r="T1538" s="57">
        <f>IFERROR(__xludf.DUMMYFUNCTION("""COMPUTED_VALUE"""),44456.0)</f>
        <v>44456</v>
      </c>
    </row>
    <row r="1539">
      <c r="A1539" s="6" t="str">
        <f>IFERROR(__xludf.DUMMYFUNCTION("""COMPUTED_VALUE"""),"211750302-3")</f>
        <v>211750302-3</v>
      </c>
      <c r="B1539" s="6" t="str">
        <f>IFERROR(__xludf.DUMMYFUNCTION("""COMPUTED_VALUE"""),"211750302 - Approved")</f>
        <v>211750302 - Approved</v>
      </c>
      <c r="C1539" s="6">
        <f>IFERROR(__xludf.DUMMYFUNCTION("""COMPUTED_VALUE"""),3.0)</f>
        <v>3</v>
      </c>
      <c r="D1539" s="6" t="str">
        <f>IFERROR(__xludf.DUMMYFUNCTION("""COMPUTED_VALUE"""),"O-18010-00")</f>
        <v>O-18010-00</v>
      </c>
      <c r="E1539" s="6" t="str">
        <f>IFERROR(__xludf.DUMMYFUNCTION("""COMPUTED_VALUE"""),"Fitting SMC P/N : KQ2H08-03AS")</f>
        <v>Fitting SMC P/N : KQ2H08-03AS</v>
      </c>
      <c r="F1539" s="6">
        <f>IFERROR(__xludf.DUMMYFUNCTION("""COMPUTED_VALUE"""),6.0)</f>
        <v>6</v>
      </c>
      <c r="G1539" s="6" t="str">
        <f>IFERROR(__xludf.DUMMYFUNCTION("""COMPUTED_VALUE"""),"Pieces")</f>
        <v>Pieces</v>
      </c>
      <c r="H1539" s="6" t="str">
        <f>IFERROR(__xludf.DUMMYFUNCTION("""COMPUTED_VALUE"""),"IDR")</f>
        <v>IDR</v>
      </c>
      <c r="I1539" s="6">
        <f>IFERROR(__xludf.DUMMYFUNCTION("""COMPUTED_VALUE"""),44000.0)</f>
        <v>44000</v>
      </c>
      <c r="J1539" s="6">
        <f>IFERROR(__xludf.DUMMYFUNCTION("""COMPUTED_VALUE"""),264000.0)</f>
        <v>264000</v>
      </c>
      <c r="K1539" s="57">
        <f>IFERROR(__xludf.DUMMYFUNCTION("""COMPUTED_VALUE"""),44456.0)</f>
        <v>44456</v>
      </c>
      <c r="L1539" s="6" t="str">
        <f>IFERROR(__xludf.DUMMYFUNCTION("""COMPUTED_VALUE"""),"FIP Engineering")</f>
        <v>FIP Engineering</v>
      </c>
      <c r="M1539" s="6" t="str">
        <f>IFERROR(__xludf.DUMMYFUNCTION("""COMPUTED_VALUE"""),"Irwan Sopian")</f>
        <v>Irwan Sopian</v>
      </c>
      <c r="N1539" s="6" t="str">
        <f>IFERROR(__xludf.DUMMYFUNCTION("""COMPUTED_VALUE"""),"FIP Engineering")</f>
        <v>FIP Engineering</v>
      </c>
      <c r="O1539" s="6" t="str">
        <f>IFERROR(__xludf.DUMMYFUNCTION("""COMPUTED_VALUE"""),"FIP-DOM-000-11304-OS00001-INA-000000")</f>
        <v>FIP-DOM-000-11304-OS00001-INA-000000</v>
      </c>
      <c r="P1539" s="6" t="str">
        <f>IFERROR(__xludf.DUMMYFUNCTION("""COMPUTED_VALUE"""),"PO Closed")</f>
        <v>PO Closed</v>
      </c>
      <c r="Q1539" s="6" t="str">
        <f>IFERROR(__xludf.DUMMYFUNCTION("""COMPUTED_VALUE"""),"GL2109023")</f>
        <v>GL2109023</v>
      </c>
      <c r="R1539" s="57">
        <f>IFERROR(__xludf.DUMMYFUNCTION("""COMPUTED_VALUE"""),44431.0)</f>
        <v>44431</v>
      </c>
      <c r="S1539" s="6" t="str">
        <f>IFERROR(__xludf.DUMMYFUNCTION("""COMPUTED_VALUE"""),"-")</f>
        <v>-</v>
      </c>
      <c r="T1539" s="57">
        <f>IFERROR(__xludf.DUMMYFUNCTION("""COMPUTED_VALUE"""),44456.0)</f>
        <v>44456</v>
      </c>
    </row>
    <row r="1540">
      <c r="A1540" s="6" t="str">
        <f>IFERROR(__xludf.DUMMYFUNCTION("""COMPUTED_VALUE"""),"211750304-1")</f>
        <v>211750304-1</v>
      </c>
      <c r="B1540" s="6" t="str">
        <f>IFERROR(__xludf.DUMMYFUNCTION("""COMPUTED_VALUE"""),"211750304 - Approved")</f>
        <v>211750304 - Approved</v>
      </c>
      <c r="C1540" s="6">
        <f>IFERROR(__xludf.DUMMYFUNCTION("""COMPUTED_VALUE"""),1.0)</f>
        <v>1</v>
      </c>
      <c r="D1540" s="6" t="str">
        <f>IFERROR(__xludf.DUMMYFUNCTION("""COMPUTED_VALUE"""),"S-60050-00")</f>
        <v>S-60050-00</v>
      </c>
      <c r="E1540" s="6" t="str">
        <f>IFERROR(__xludf.DUMMYFUNCTION("""COMPUTED_VALUE"""),"Pembuatan Manual Valve Produk Mesin Filling (Gemu)")</f>
        <v>Pembuatan Manual Valve Produk Mesin Filling (Gemu)</v>
      </c>
      <c r="F1540" s="6">
        <f>IFERROR(__xludf.DUMMYFUNCTION("""COMPUTED_VALUE"""),1.0)</f>
        <v>1</v>
      </c>
      <c r="G1540" s="6" t="str">
        <f>IFERROR(__xludf.DUMMYFUNCTION("""COMPUTED_VALUE"""),"Pieces")</f>
        <v>Pieces</v>
      </c>
      <c r="H1540" s="6" t="str">
        <f>IFERROR(__xludf.DUMMYFUNCTION("""COMPUTED_VALUE"""),"IDR")</f>
        <v>IDR</v>
      </c>
      <c r="I1540" s="6">
        <f>IFERROR(__xludf.DUMMYFUNCTION("""COMPUTED_VALUE"""),1.53E7)</f>
        <v>15300000</v>
      </c>
      <c r="J1540" s="6">
        <f>IFERROR(__xludf.DUMMYFUNCTION("""COMPUTED_VALUE"""),1.53E7)</f>
        <v>15300000</v>
      </c>
      <c r="K1540" s="57">
        <f>IFERROR(__xludf.DUMMYFUNCTION("""COMPUTED_VALUE"""),44456.0)</f>
        <v>44456</v>
      </c>
      <c r="L1540" s="6" t="str">
        <f>IFERROR(__xludf.DUMMYFUNCTION("""COMPUTED_VALUE"""),"FIP General")</f>
        <v>FIP General</v>
      </c>
      <c r="M1540" s="6" t="str">
        <f>IFERROR(__xludf.DUMMYFUNCTION("""COMPUTED_VALUE"""),"Irwan Sopian")</f>
        <v>Irwan Sopian</v>
      </c>
      <c r="N1540" s="6" t="str">
        <f>IFERROR(__xludf.DUMMYFUNCTION("""COMPUTED_VALUE"""),"FIP Engineering")</f>
        <v>FIP Engineering</v>
      </c>
      <c r="O1540" s="6" t="str">
        <f>IFERROR(__xludf.DUMMYFUNCTION("""COMPUTED_VALUE"""),"FIP-DOM-ENG-51504-0000000-INA-000000")</f>
        <v>FIP-DOM-ENG-51504-0000000-INA-000000</v>
      </c>
      <c r="P1540" s="6" t="str">
        <f>IFERROR(__xludf.DUMMYFUNCTION("""COMPUTED_VALUE"""),"PO Closed")</f>
        <v>PO Closed</v>
      </c>
      <c r="Q1540" s="6" t="str">
        <f>IFERROR(__xludf.DUMMYFUNCTION("""COMPUTED_VALUE"""),"GL2109024")</f>
        <v>GL2109024</v>
      </c>
      <c r="R1540" s="57">
        <f>IFERROR(__xludf.DUMMYFUNCTION("""COMPUTED_VALUE"""),44432.0)</f>
        <v>44432</v>
      </c>
      <c r="S1540" s="6" t="str">
        <f>IFERROR(__xludf.DUMMYFUNCTION("""COMPUTED_VALUE"""),"-")</f>
        <v>-</v>
      </c>
      <c r="T1540" s="57">
        <f>IFERROR(__xludf.DUMMYFUNCTION("""COMPUTED_VALUE"""),44454.0)</f>
        <v>44454</v>
      </c>
    </row>
    <row r="1541">
      <c r="A1541" s="6" t="str">
        <f>IFERROR(__xludf.DUMMYFUNCTION("""COMPUTED_VALUE"""),"211750298-4")</f>
        <v>211750298-4</v>
      </c>
      <c r="B1541" s="6" t="str">
        <f>IFERROR(__xludf.DUMMYFUNCTION("""COMPUTED_VALUE"""),"211750298 - Approved")</f>
        <v>211750298 - Approved</v>
      </c>
      <c r="C1541" s="6">
        <f>IFERROR(__xludf.DUMMYFUNCTION("""COMPUTED_VALUE"""),4.0)</f>
        <v>4</v>
      </c>
      <c r="D1541" s="6" t="str">
        <f>IFERROR(__xludf.DUMMYFUNCTION("""COMPUTED_VALUE"""),"Q-10724-00")</f>
        <v>Q-10724-00</v>
      </c>
      <c r="E1541" s="6" t="str">
        <f>IFERROR(__xludf.DUMMYFUNCTION("""COMPUTED_VALUE"""),"Semen MU 301 Plester Plus")</f>
        <v>Semen MU 301 Plester Plus</v>
      </c>
      <c r="F1541" s="6">
        <f>IFERROR(__xludf.DUMMYFUNCTION("""COMPUTED_VALUE"""),2.0)</f>
        <v>2</v>
      </c>
      <c r="G1541" s="6" t="str">
        <f>IFERROR(__xludf.DUMMYFUNCTION("""COMPUTED_VALUE"""),"Unit")</f>
        <v>Unit</v>
      </c>
      <c r="H1541" s="6" t="str">
        <f>IFERROR(__xludf.DUMMYFUNCTION("""COMPUTED_VALUE"""),"IDR")</f>
        <v>IDR</v>
      </c>
      <c r="I1541" s="6">
        <f>IFERROR(__xludf.DUMMYFUNCTION("""COMPUTED_VALUE"""),115000.0)</f>
        <v>115000</v>
      </c>
      <c r="J1541" s="6">
        <f>IFERROR(__xludf.DUMMYFUNCTION("""COMPUTED_VALUE"""),230000.0)</f>
        <v>230000</v>
      </c>
      <c r="K1541" s="57">
        <f>IFERROR(__xludf.DUMMYFUNCTION("""COMPUTED_VALUE"""),44449.0)</f>
        <v>44449</v>
      </c>
      <c r="L1541" s="6" t="str">
        <f>IFERROR(__xludf.DUMMYFUNCTION("""COMPUTED_VALUE"""),"FIP Engineering")</f>
        <v>FIP Engineering</v>
      </c>
      <c r="M1541" s="6" t="str">
        <f>IFERROR(__xludf.DUMMYFUNCTION("""COMPUTED_VALUE"""),"Irwan Sopian")</f>
        <v>Irwan Sopian</v>
      </c>
      <c r="N1541" s="6" t="str">
        <f>IFERROR(__xludf.DUMMYFUNCTION("""COMPUTED_VALUE"""),"FIP Engineering")</f>
        <v>FIP Engineering</v>
      </c>
      <c r="O1541" s="6" t="str">
        <f>IFERROR(__xludf.DUMMYFUNCTION("""COMPUTED_VALUE"""),"FIP-DOM-000-11304-OS00001-INA-000000")</f>
        <v>FIP-DOM-000-11304-OS00001-INA-000000</v>
      </c>
      <c r="P1541" s="6" t="str">
        <f>IFERROR(__xludf.DUMMYFUNCTION("""COMPUTED_VALUE"""),"PO Closed")</f>
        <v>PO Closed</v>
      </c>
      <c r="Q1541" s="6" t="str">
        <f>IFERROR(__xludf.DUMMYFUNCTION("""COMPUTED_VALUE"""),"GL2109007")</f>
        <v>GL2109007</v>
      </c>
      <c r="R1541" s="57">
        <f>IFERROR(__xludf.DUMMYFUNCTION("""COMPUTED_VALUE"""),44432.0)</f>
        <v>44432</v>
      </c>
      <c r="S1541" s="6" t="str">
        <f>IFERROR(__xludf.DUMMYFUNCTION("""COMPUTED_VALUE"""),"-")</f>
        <v>-</v>
      </c>
      <c r="T1541" s="57">
        <f>IFERROR(__xludf.DUMMYFUNCTION("""COMPUTED_VALUE"""),44455.0)</f>
        <v>44455</v>
      </c>
    </row>
    <row r="1542">
      <c r="A1542" s="6" t="str">
        <f>IFERROR(__xludf.DUMMYFUNCTION("""COMPUTED_VALUE"""),"211750297-8")</f>
        <v>211750297-8</v>
      </c>
      <c r="B1542" s="6" t="str">
        <f>IFERROR(__xludf.DUMMYFUNCTION("""COMPUTED_VALUE"""),"211750297 - Approved")</f>
        <v>211750297 - Approved</v>
      </c>
      <c r="C1542" s="6">
        <f>IFERROR(__xludf.DUMMYFUNCTION("""COMPUTED_VALUE"""),8.0)</f>
        <v>8</v>
      </c>
      <c r="D1542" s="6" t="str">
        <f>IFERROR(__xludf.DUMMYFUNCTION("""COMPUTED_VALUE"""),"P-51559-00")</f>
        <v>P-51559-00</v>
      </c>
      <c r="E1542" s="6" t="str">
        <f>IFERROR(__xludf.DUMMYFUNCTION("""COMPUTED_VALUE"""),"Lampu T5 14watt Putih Phillips")</f>
        <v>Lampu T5 14watt Putih Phillips</v>
      </c>
      <c r="F1542" s="6">
        <f>IFERROR(__xludf.DUMMYFUNCTION("""COMPUTED_VALUE"""),40.0)</f>
        <v>40</v>
      </c>
      <c r="G1542" s="6" t="str">
        <f>IFERROR(__xludf.DUMMYFUNCTION("""COMPUTED_VALUE"""),"Pack")</f>
        <v>Pack</v>
      </c>
      <c r="H1542" s="6" t="str">
        <f>IFERROR(__xludf.DUMMYFUNCTION("""COMPUTED_VALUE"""),"IDR")</f>
        <v>IDR</v>
      </c>
      <c r="I1542" s="6">
        <f>IFERROR(__xludf.DUMMYFUNCTION("""COMPUTED_VALUE"""),29700.0)</f>
        <v>29700</v>
      </c>
      <c r="J1542" s="6">
        <f>IFERROR(__xludf.DUMMYFUNCTION("""COMPUTED_VALUE"""),1188000.0)</f>
        <v>1188000</v>
      </c>
      <c r="K1542" s="57">
        <f>IFERROR(__xludf.DUMMYFUNCTION("""COMPUTED_VALUE"""),44456.0)</f>
        <v>44456</v>
      </c>
      <c r="L1542" s="6" t="str">
        <f>IFERROR(__xludf.DUMMYFUNCTION("""COMPUTED_VALUE"""),"FIP Engineering")</f>
        <v>FIP Engineering</v>
      </c>
      <c r="M1542" s="6" t="str">
        <f>IFERROR(__xludf.DUMMYFUNCTION("""COMPUTED_VALUE"""),"Irwan Sopian")</f>
        <v>Irwan Sopian</v>
      </c>
      <c r="N1542" s="6" t="str">
        <f>IFERROR(__xludf.DUMMYFUNCTION("""COMPUTED_VALUE"""),"FIP Engineering")</f>
        <v>FIP Engineering</v>
      </c>
      <c r="O1542" s="6" t="str">
        <f>IFERROR(__xludf.DUMMYFUNCTION("""COMPUTED_VALUE"""),"FIP-DOM-000-11304-OS00001-INA-000000")</f>
        <v>FIP-DOM-000-11304-OS00001-INA-000000</v>
      </c>
      <c r="P1542" s="6" t="str">
        <f>IFERROR(__xludf.DUMMYFUNCTION("""COMPUTED_VALUE"""),"PO Closed")</f>
        <v>PO Closed</v>
      </c>
      <c r="Q1542" s="6" t="str">
        <f>IFERROR(__xludf.DUMMYFUNCTION("""COMPUTED_VALUE"""),"GL2109035")</f>
        <v>GL2109035</v>
      </c>
      <c r="R1542" s="57">
        <f>IFERROR(__xludf.DUMMYFUNCTION("""COMPUTED_VALUE"""),44434.0)</f>
        <v>44434</v>
      </c>
      <c r="S1542" s="6" t="str">
        <f>IFERROR(__xludf.DUMMYFUNCTION("""COMPUTED_VALUE"""),"-")</f>
        <v>-</v>
      </c>
      <c r="T1542" s="57">
        <f>IFERROR(__xludf.DUMMYFUNCTION("""COMPUTED_VALUE"""),44464.0)</f>
        <v>44464</v>
      </c>
    </row>
    <row r="1543">
      <c r="A1543" s="6" t="str">
        <f>IFERROR(__xludf.DUMMYFUNCTION("""COMPUTED_VALUE"""),"211750306-1")</f>
        <v>211750306-1</v>
      </c>
      <c r="B1543" s="6" t="str">
        <f>IFERROR(__xludf.DUMMYFUNCTION("""COMPUTED_VALUE"""),"211750306 - Approved")</f>
        <v>211750306 - Approved</v>
      </c>
      <c r="C1543" s="6">
        <f>IFERROR(__xludf.DUMMYFUNCTION("""COMPUTED_VALUE"""),1.0)</f>
        <v>1</v>
      </c>
      <c r="D1543" s="6" t="str">
        <f>IFERROR(__xludf.DUMMYFUNCTION("""COMPUTED_VALUE"""),"P-10892-00")</f>
        <v>P-10892-00</v>
      </c>
      <c r="E1543" s="6" t="str">
        <f>IFERROR(__xludf.DUMMYFUNCTION("""COMPUTED_VALUE"""),"Fitting PVC - SDL PVC 1""")</f>
        <v>Fitting PVC - SDL PVC 1"</v>
      </c>
      <c r="F1543" s="6">
        <f>IFERROR(__xludf.DUMMYFUNCTION("""COMPUTED_VALUE"""),2.0)</f>
        <v>2</v>
      </c>
      <c r="G1543" s="6" t="str">
        <f>IFERROR(__xludf.DUMMYFUNCTION("""COMPUTED_VALUE"""),"Pieces")</f>
        <v>Pieces</v>
      </c>
      <c r="H1543" s="6" t="str">
        <f>IFERROR(__xludf.DUMMYFUNCTION("""COMPUTED_VALUE"""),"IDR")</f>
        <v>IDR</v>
      </c>
      <c r="I1543" s="6">
        <f>IFERROR(__xludf.DUMMYFUNCTION("""COMPUTED_VALUE"""),8500.0)</f>
        <v>8500</v>
      </c>
      <c r="J1543" s="6">
        <f>IFERROR(__xludf.DUMMYFUNCTION("""COMPUTED_VALUE"""),17000.0)</f>
        <v>17000</v>
      </c>
      <c r="K1543" s="57">
        <f>IFERROR(__xludf.DUMMYFUNCTION("""COMPUTED_VALUE"""),44463.0)</f>
        <v>44463</v>
      </c>
      <c r="L1543" s="6" t="str">
        <f>IFERROR(__xludf.DUMMYFUNCTION("""COMPUTED_VALUE"""),"FIP Engineering")</f>
        <v>FIP Engineering</v>
      </c>
      <c r="M1543" s="6" t="str">
        <f>IFERROR(__xludf.DUMMYFUNCTION("""COMPUTED_VALUE"""),"Irwan Sopian")</f>
        <v>Irwan Sopian</v>
      </c>
      <c r="N1543" s="6" t="str">
        <f>IFERROR(__xludf.DUMMYFUNCTION("""COMPUTED_VALUE"""),"FIP Engineering")</f>
        <v>FIP Engineering</v>
      </c>
      <c r="O1543" s="6" t="str">
        <f>IFERROR(__xludf.DUMMYFUNCTION("""COMPUTED_VALUE"""),"FIP-DOM-000-11304-OS00001-INA-000000")</f>
        <v>FIP-DOM-000-11304-OS00001-INA-000000</v>
      </c>
      <c r="P1543" s="6" t="str">
        <f>IFERROR(__xludf.DUMMYFUNCTION("""COMPUTED_VALUE"""),"PO Closed")</f>
        <v>PO Closed</v>
      </c>
      <c r="Q1543" s="6" t="str">
        <f>IFERROR(__xludf.DUMMYFUNCTION("""COMPUTED_VALUE"""),"GL2109035")</f>
        <v>GL2109035</v>
      </c>
      <c r="R1543" s="57">
        <f>IFERROR(__xludf.DUMMYFUNCTION("""COMPUTED_VALUE"""),44435.0)</f>
        <v>44435</v>
      </c>
      <c r="S1543" s="6" t="str">
        <f>IFERROR(__xludf.DUMMYFUNCTION("""COMPUTED_VALUE"""),"-")</f>
        <v>-</v>
      </c>
      <c r="T1543" s="57">
        <f>IFERROR(__xludf.DUMMYFUNCTION("""COMPUTED_VALUE"""),44464.0)</f>
        <v>44464</v>
      </c>
    </row>
    <row r="1544">
      <c r="A1544" s="6" t="str">
        <f>IFERROR(__xludf.DUMMYFUNCTION("""COMPUTED_VALUE"""),"211750306-2")</f>
        <v>211750306-2</v>
      </c>
      <c r="B1544" s="6" t="str">
        <f>IFERROR(__xludf.DUMMYFUNCTION("""COMPUTED_VALUE"""),"211750306 - Approved")</f>
        <v>211750306 - Approved</v>
      </c>
      <c r="C1544" s="6">
        <f>IFERROR(__xludf.DUMMYFUNCTION("""COMPUTED_VALUE"""),2.0)</f>
        <v>2</v>
      </c>
      <c r="D1544" s="6" t="str">
        <f>IFERROR(__xludf.DUMMYFUNCTION("""COMPUTED_VALUE"""),"P-14976-00")</f>
        <v>P-14976-00</v>
      </c>
      <c r="E1544" s="6" t="str">
        <f>IFERROR(__xludf.DUMMYFUNCTION("""COMPUTED_VALUE"""),"Ball Valve PVC 1/2""; ; ;")</f>
        <v>Ball Valve PVC 1/2"; ; ;</v>
      </c>
      <c r="F1544" s="6">
        <f>IFERROR(__xludf.DUMMYFUNCTION("""COMPUTED_VALUE"""),4.0)</f>
        <v>4</v>
      </c>
      <c r="G1544" s="6" t="str">
        <f>IFERROR(__xludf.DUMMYFUNCTION("""COMPUTED_VALUE"""),"Pieces")</f>
        <v>Pieces</v>
      </c>
      <c r="H1544" s="6" t="str">
        <f>IFERROR(__xludf.DUMMYFUNCTION("""COMPUTED_VALUE"""),"IDR")</f>
        <v>IDR</v>
      </c>
      <c r="I1544" s="6">
        <f>IFERROR(__xludf.DUMMYFUNCTION("""COMPUTED_VALUE"""),35000.0)</f>
        <v>35000</v>
      </c>
      <c r="J1544" s="6">
        <f>IFERROR(__xludf.DUMMYFUNCTION("""COMPUTED_VALUE"""),140000.0)</f>
        <v>140000</v>
      </c>
      <c r="K1544" s="57">
        <f>IFERROR(__xludf.DUMMYFUNCTION("""COMPUTED_VALUE"""),44463.0)</f>
        <v>44463</v>
      </c>
      <c r="L1544" s="6" t="str">
        <f>IFERROR(__xludf.DUMMYFUNCTION("""COMPUTED_VALUE"""),"FIP Engineering")</f>
        <v>FIP Engineering</v>
      </c>
      <c r="M1544" s="6" t="str">
        <f>IFERROR(__xludf.DUMMYFUNCTION("""COMPUTED_VALUE"""),"Irwan Sopian")</f>
        <v>Irwan Sopian</v>
      </c>
      <c r="N1544" s="6" t="str">
        <f>IFERROR(__xludf.DUMMYFUNCTION("""COMPUTED_VALUE"""),"FIP Engineering")</f>
        <v>FIP Engineering</v>
      </c>
      <c r="O1544" s="6" t="str">
        <f>IFERROR(__xludf.DUMMYFUNCTION("""COMPUTED_VALUE"""),"FIP-DOM-000-11304-OS00001-INA-000000")</f>
        <v>FIP-DOM-000-11304-OS00001-INA-000000</v>
      </c>
      <c r="P1544" s="6" t="str">
        <f>IFERROR(__xludf.DUMMYFUNCTION("""COMPUTED_VALUE"""),"PO Closed")</f>
        <v>PO Closed</v>
      </c>
      <c r="Q1544" s="6" t="str">
        <f>IFERROR(__xludf.DUMMYFUNCTION("""COMPUTED_VALUE"""),"GL2109035")</f>
        <v>GL2109035</v>
      </c>
      <c r="R1544" s="57">
        <f>IFERROR(__xludf.DUMMYFUNCTION("""COMPUTED_VALUE"""),44435.0)</f>
        <v>44435</v>
      </c>
      <c r="S1544" s="6" t="str">
        <f>IFERROR(__xludf.DUMMYFUNCTION("""COMPUTED_VALUE"""),"-")</f>
        <v>-</v>
      </c>
      <c r="T1544" s="57">
        <f>IFERROR(__xludf.DUMMYFUNCTION("""COMPUTED_VALUE"""),44464.0)</f>
        <v>44464</v>
      </c>
    </row>
    <row r="1545">
      <c r="A1545" s="6" t="str">
        <f>IFERROR(__xludf.DUMMYFUNCTION("""COMPUTED_VALUE"""),"211750306-3")</f>
        <v>211750306-3</v>
      </c>
      <c r="B1545" s="6" t="str">
        <f>IFERROR(__xludf.DUMMYFUNCTION("""COMPUTED_VALUE"""),"211750306 - Approved")</f>
        <v>211750306 - Approved</v>
      </c>
      <c r="C1545" s="6">
        <f>IFERROR(__xludf.DUMMYFUNCTION("""COMPUTED_VALUE"""),3.0)</f>
        <v>3</v>
      </c>
      <c r="D1545" s="6" t="str">
        <f>IFERROR(__xludf.DUMMYFUNCTION("""COMPUTED_VALUE"""),"P-12943-00")</f>
        <v>P-12943-00</v>
      </c>
      <c r="E1545" s="6" t="str">
        <f>IFERROR(__xludf.DUMMYFUNCTION("""COMPUTED_VALUE"""),"Water Mur PVC dia 1/2inch")</f>
        <v>Water Mur PVC dia 1/2inch</v>
      </c>
      <c r="F1545" s="6">
        <f>IFERROR(__xludf.DUMMYFUNCTION("""COMPUTED_VALUE"""),2.0)</f>
        <v>2</v>
      </c>
      <c r="G1545" s="6" t="str">
        <f>IFERROR(__xludf.DUMMYFUNCTION("""COMPUTED_VALUE"""),"Pieces")</f>
        <v>Pieces</v>
      </c>
      <c r="H1545" s="6" t="str">
        <f>IFERROR(__xludf.DUMMYFUNCTION("""COMPUTED_VALUE"""),"IDR")</f>
        <v>IDR</v>
      </c>
      <c r="I1545" s="6">
        <f>IFERROR(__xludf.DUMMYFUNCTION("""COMPUTED_VALUE"""),32500.0)</f>
        <v>32500</v>
      </c>
      <c r="J1545" s="6">
        <f>IFERROR(__xludf.DUMMYFUNCTION("""COMPUTED_VALUE"""),65000.0)</f>
        <v>65000</v>
      </c>
      <c r="K1545" s="57">
        <f>IFERROR(__xludf.DUMMYFUNCTION("""COMPUTED_VALUE"""),44463.0)</f>
        <v>44463</v>
      </c>
      <c r="L1545" s="6" t="str">
        <f>IFERROR(__xludf.DUMMYFUNCTION("""COMPUTED_VALUE"""),"FIP Engineering")</f>
        <v>FIP Engineering</v>
      </c>
      <c r="M1545" s="6" t="str">
        <f>IFERROR(__xludf.DUMMYFUNCTION("""COMPUTED_VALUE"""),"Irwan Sopian")</f>
        <v>Irwan Sopian</v>
      </c>
      <c r="N1545" s="6" t="str">
        <f>IFERROR(__xludf.DUMMYFUNCTION("""COMPUTED_VALUE"""),"FIP Engineering")</f>
        <v>FIP Engineering</v>
      </c>
      <c r="O1545" s="6" t="str">
        <f>IFERROR(__xludf.DUMMYFUNCTION("""COMPUTED_VALUE"""),"FIP-DOM-000-11304-OS00001-INA-000000")</f>
        <v>FIP-DOM-000-11304-OS00001-INA-000000</v>
      </c>
      <c r="P1545" s="6" t="str">
        <f>IFERROR(__xludf.DUMMYFUNCTION("""COMPUTED_VALUE"""),"PO Closed")</f>
        <v>PO Closed</v>
      </c>
      <c r="Q1545" s="6" t="str">
        <f>IFERROR(__xludf.DUMMYFUNCTION("""COMPUTED_VALUE"""),"GL2109035")</f>
        <v>GL2109035</v>
      </c>
      <c r="R1545" s="57">
        <f>IFERROR(__xludf.DUMMYFUNCTION("""COMPUTED_VALUE"""),44435.0)</f>
        <v>44435</v>
      </c>
      <c r="S1545" s="6" t="str">
        <f>IFERROR(__xludf.DUMMYFUNCTION("""COMPUTED_VALUE"""),"-")</f>
        <v>-</v>
      </c>
      <c r="T1545" s="57">
        <f>IFERROR(__xludf.DUMMYFUNCTION("""COMPUTED_VALUE"""),44464.0)</f>
        <v>44464</v>
      </c>
    </row>
    <row r="1546">
      <c r="A1546" s="6" t="str">
        <f>IFERROR(__xludf.DUMMYFUNCTION("""COMPUTED_VALUE"""),"211750306-4")</f>
        <v>211750306-4</v>
      </c>
      <c r="B1546" s="6" t="str">
        <f>IFERROR(__xludf.DUMMYFUNCTION("""COMPUTED_VALUE"""),"211750306 - Approved")</f>
        <v>211750306 - Approved</v>
      </c>
      <c r="C1546" s="6">
        <f>IFERROR(__xludf.DUMMYFUNCTION("""COMPUTED_VALUE"""),4.0)</f>
        <v>4</v>
      </c>
      <c r="D1546" s="6" t="str">
        <f>IFERROR(__xludf.DUMMYFUNCTION("""COMPUTED_VALUE"""),"P-12725-00")</f>
        <v>P-12725-00</v>
      </c>
      <c r="E1546" s="6" t="str">
        <f>IFERROR(__xludf.DUMMYFUNCTION("""COMPUTED_VALUE"""),"Reducer PVC AW dia 3/4inch x 1/2 inch")</f>
        <v>Reducer PVC AW dia 3/4inch x 1/2 inch</v>
      </c>
      <c r="F1546" s="6">
        <f>IFERROR(__xludf.DUMMYFUNCTION("""COMPUTED_VALUE"""),2.0)</f>
        <v>2</v>
      </c>
      <c r="G1546" s="6" t="str">
        <f>IFERROR(__xludf.DUMMYFUNCTION("""COMPUTED_VALUE"""),"Pieces")</f>
        <v>Pieces</v>
      </c>
      <c r="H1546" s="6" t="str">
        <f>IFERROR(__xludf.DUMMYFUNCTION("""COMPUTED_VALUE"""),"IDR")</f>
        <v>IDR</v>
      </c>
      <c r="I1546" s="6">
        <f>IFERROR(__xludf.DUMMYFUNCTION("""COMPUTED_VALUE"""),5500.0)</f>
        <v>5500</v>
      </c>
      <c r="J1546" s="6">
        <f>IFERROR(__xludf.DUMMYFUNCTION("""COMPUTED_VALUE"""),11000.0)</f>
        <v>11000</v>
      </c>
      <c r="K1546" s="57">
        <f>IFERROR(__xludf.DUMMYFUNCTION("""COMPUTED_VALUE"""),44463.0)</f>
        <v>44463</v>
      </c>
      <c r="L1546" s="6" t="str">
        <f>IFERROR(__xludf.DUMMYFUNCTION("""COMPUTED_VALUE"""),"FIP Engineering")</f>
        <v>FIP Engineering</v>
      </c>
      <c r="M1546" s="6" t="str">
        <f>IFERROR(__xludf.DUMMYFUNCTION("""COMPUTED_VALUE"""),"Irwan Sopian")</f>
        <v>Irwan Sopian</v>
      </c>
      <c r="N1546" s="6" t="str">
        <f>IFERROR(__xludf.DUMMYFUNCTION("""COMPUTED_VALUE"""),"FIP Engineering")</f>
        <v>FIP Engineering</v>
      </c>
      <c r="O1546" s="6" t="str">
        <f>IFERROR(__xludf.DUMMYFUNCTION("""COMPUTED_VALUE"""),"FIP-DOM-000-11304-OS00001-INA-000000")</f>
        <v>FIP-DOM-000-11304-OS00001-INA-000000</v>
      </c>
      <c r="P1546" s="6" t="str">
        <f>IFERROR(__xludf.DUMMYFUNCTION("""COMPUTED_VALUE"""),"PO Closed")</f>
        <v>PO Closed</v>
      </c>
      <c r="Q1546" s="6" t="str">
        <f>IFERROR(__xludf.DUMMYFUNCTION("""COMPUTED_VALUE"""),"GL2109035")</f>
        <v>GL2109035</v>
      </c>
      <c r="R1546" s="57">
        <f>IFERROR(__xludf.DUMMYFUNCTION("""COMPUTED_VALUE"""),44435.0)</f>
        <v>44435</v>
      </c>
      <c r="S1546" s="6" t="str">
        <f>IFERROR(__xludf.DUMMYFUNCTION("""COMPUTED_VALUE"""),"-")</f>
        <v>-</v>
      </c>
      <c r="T1546" s="57">
        <f>IFERROR(__xludf.DUMMYFUNCTION("""COMPUTED_VALUE"""),44464.0)</f>
        <v>44464</v>
      </c>
    </row>
    <row r="1547">
      <c r="A1547" s="6" t="str">
        <f>IFERROR(__xludf.DUMMYFUNCTION("""COMPUTED_VALUE"""),"211750320-1")</f>
        <v>211750320-1</v>
      </c>
      <c r="B1547" s="6" t="str">
        <f>IFERROR(__xludf.DUMMYFUNCTION("""COMPUTED_VALUE"""),"211750320 - Approved")</f>
        <v>211750320 - Approved</v>
      </c>
      <c r="C1547" s="6">
        <f>IFERROR(__xludf.DUMMYFUNCTION("""COMPUTED_VALUE"""),1.0)</f>
        <v>1</v>
      </c>
      <c r="D1547" s="6" t="str">
        <f>IFERROR(__xludf.DUMMYFUNCTION("""COMPUTED_VALUE"""),"P-50325-00")</f>
        <v>P-50325-00</v>
      </c>
      <c r="E1547" s="6" t="str">
        <f>IFERROR(__xludf.DUMMYFUNCTION("""COMPUTED_VALUE"""),"Limit Switch Z - 15GQ 22 - B 15 A / 125 / 250 VAC Highly")</f>
        <v>Limit Switch Z - 15GQ 22 - B 15 A / 125 / 250 VAC Highly</v>
      </c>
      <c r="F1547" s="6">
        <f>IFERROR(__xludf.DUMMYFUNCTION("""COMPUTED_VALUE"""),2.0)</f>
        <v>2</v>
      </c>
      <c r="G1547" s="6" t="str">
        <f>IFERROR(__xludf.DUMMYFUNCTION("""COMPUTED_VALUE"""),"Pieces")</f>
        <v>Pieces</v>
      </c>
      <c r="H1547" s="6" t="str">
        <f>IFERROR(__xludf.DUMMYFUNCTION("""COMPUTED_VALUE"""),"IDR")</f>
        <v>IDR</v>
      </c>
      <c r="I1547" s="6">
        <f>IFERROR(__xludf.DUMMYFUNCTION("""COMPUTED_VALUE"""),250000.0)</f>
        <v>250000</v>
      </c>
      <c r="J1547" s="6">
        <f>IFERROR(__xludf.DUMMYFUNCTION("""COMPUTED_VALUE"""),500000.0)</f>
        <v>500000</v>
      </c>
      <c r="K1547" s="57">
        <f>IFERROR(__xludf.DUMMYFUNCTION("""COMPUTED_VALUE"""),44469.0)</f>
        <v>44469</v>
      </c>
      <c r="L1547" s="6" t="str">
        <f>IFERROR(__xludf.DUMMYFUNCTION("""COMPUTED_VALUE"""),"FIP Engineering")</f>
        <v>FIP Engineering</v>
      </c>
      <c r="M1547" s="6" t="str">
        <f>IFERROR(__xludf.DUMMYFUNCTION("""COMPUTED_VALUE"""),"Irwan Sopian")</f>
        <v>Irwan Sopian</v>
      </c>
      <c r="N1547" s="6" t="str">
        <f>IFERROR(__xludf.DUMMYFUNCTION("""COMPUTED_VALUE"""),"FIP Engineering")</f>
        <v>FIP Engineering</v>
      </c>
      <c r="O1547" s="6" t="str">
        <f>IFERROR(__xludf.DUMMYFUNCTION("""COMPUTED_VALUE"""),"FIP-DOM-000-11304-OS00001-INA-000000")</f>
        <v>FIP-DOM-000-11304-OS00001-INA-000000</v>
      </c>
      <c r="P1547" s="6" t="str">
        <f>IFERROR(__xludf.DUMMYFUNCTION("""COMPUTED_VALUE"""),"PO Closed")</f>
        <v>PO Closed</v>
      </c>
      <c r="Q1547" s="6" t="str">
        <f>IFERROR(__xludf.DUMMYFUNCTION("""COMPUTED_VALUE"""),"GL2109035")</f>
        <v>GL2109035</v>
      </c>
      <c r="R1547" s="57">
        <f>IFERROR(__xludf.DUMMYFUNCTION("""COMPUTED_VALUE"""),44440.0)</f>
        <v>44440</v>
      </c>
      <c r="S1547" s="6" t="str">
        <f>IFERROR(__xludf.DUMMYFUNCTION("""COMPUTED_VALUE"""),"-")</f>
        <v>-</v>
      </c>
      <c r="T1547" s="57">
        <f>IFERROR(__xludf.DUMMYFUNCTION("""COMPUTED_VALUE"""),44464.0)</f>
        <v>44464</v>
      </c>
    </row>
    <row r="1548">
      <c r="A1548" s="6" t="str">
        <f>IFERROR(__xludf.DUMMYFUNCTION("""COMPUTED_VALUE"""),"211750320-2")</f>
        <v>211750320-2</v>
      </c>
      <c r="B1548" s="6" t="str">
        <f>IFERROR(__xludf.DUMMYFUNCTION("""COMPUTED_VALUE"""),"211750320 - Approved")</f>
        <v>211750320 - Approved</v>
      </c>
      <c r="C1548" s="6">
        <f>IFERROR(__xludf.DUMMYFUNCTION("""COMPUTED_VALUE"""),2.0)</f>
        <v>2</v>
      </c>
      <c r="D1548" s="6" t="str">
        <f>IFERROR(__xludf.DUMMYFUNCTION("""COMPUTED_VALUE"""),"O-18043-00")</f>
        <v>O-18043-00</v>
      </c>
      <c r="E1548" s="6" t="str">
        <f>IFERROR(__xludf.DUMMYFUNCTION("""COMPUTED_VALUE"""),"Name Plate For Sampling Point Material SS304 25x70x0.3mm")</f>
        <v>Name Plate For Sampling Point Material SS304 25x70x0.3mm</v>
      </c>
      <c r="F1548" s="6">
        <f>IFERROR(__xludf.DUMMYFUNCTION("""COMPUTED_VALUE"""),15.0)</f>
        <v>15</v>
      </c>
      <c r="G1548" s="6" t="str">
        <f>IFERROR(__xludf.DUMMYFUNCTION("""COMPUTED_VALUE"""),"Pieces")</f>
        <v>Pieces</v>
      </c>
      <c r="H1548" s="6" t="str">
        <f>IFERROR(__xludf.DUMMYFUNCTION("""COMPUTED_VALUE"""),"IDR")</f>
        <v>IDR</v>
      </c>
      <c r="I1548" s="6">
        <f>IFERROR(__xludf.DUMMYFUNCTION("""COMPUTED_VALUE"""),43500.0)</f>
        <v>43500</v>
      </c>
      <c r="J1548" s="6">
        <f>IFERROR(__xludf.DUMMYFUNCTION("""COMPUTED_VALUE"""),652500.0)</f>
        <v>652500</v>
      </c>
      <c r="K1548" s="57">
        <f>IFERROR(__xludf.DUMMYFUNCTION("""COMPUTED_VALUE"""),44469.0)</f>
        <v>44469</v>
      </c>
      <c r="L1548" s="6" t="str">
        <f>IFERROR(__xludf.DUMMYFUNCTION("""COMPUTED_VALUE"""),"FIP General")</f>
        <v>FIP General</v>
      </c>
      <c r="M1548" s="6" t="str">
        <f>IFERROR(__xludf.DUMMYFUNCTION("""COMPUTED_VALUE"""),"Irwan Sopian")</f>
        <v>Irwan Sopian</v>
      </c>
      <c r="N1548" s="6" t="str">
        <f>IFERROR(__xludf.DUMMYFUNCTION("""COMPUTED_VALUE"""),"FIP Engineering")</f>
        <v>FIP Engineering</v>
      </c>
      <c r="O1548" s="6" t="str">
        <f>IFERROR(__xludf.DUMMYFUNCTION("""COMPUTED_VALUE"""),"FIP-DOM-ENG-51504-0000000-INA-000000")</f>
        <v>FIP-DOM-ENG-51504-0000000-INA-000000</v>
      </c>
      <c r="P1548" s="6" t="str">
        <f>IFERROR(__xludf.DUMMYFUNCTION("""COMPUTED_VALUE"""),"PO Closed")</f>
        <v>PO Closed</v>
      </c>
      <c r="Q1548" s="6" t="str">
        <f>IFERROR(__xludf.DUMMYFUNCTION("""COMPUTED_VALUE"""),"GL2109035")</f>
        <v>GL2109035</v>
      </c>
      <c r="R1548" s="57">
        <f>IFERROR(__xludf.DUMMYFUNCTION("""COMPUTED_VALUE"""),44440.0)</f>
        <v>44440</v>
      </c>
      <c r="S1548" s="6" t="str">
        <f>IFERROR(__xludf.DUMMYFUNCTION("""COMPUTED_VALUE"""),"-")</f>
        <v>-</v>
      </c>
      <c r="T1548" s="57">
        <f>IFERROR(__xludf.DUMMYFUNCTION("""COMPUTED_VALUE"""),44464.0)</f>
        <v>44464</v>
      </c>
    </row>
    <row r="1549">
      <c r="A1549" s="6" t="str">
        <f>IFERROR(__xludf.DUMMYFUNCTION("""COMPUTED_VALUE"""),"211750319-1")</f>
        <v>211750319-1</v>
      </c>
      <c r="B1549" s="6" t="str">
        <f>IFERROR(__xludf.DUMMYFUNCTION("""COMPUTED_VALUE"""),"211750319 - Approved")</f>
        <v>211750319 - Approved</v>
      </c>
      <c r="C1549" s="6">
        <f>IFERROR(__xludf.DUMMYFUNCTION("""COMPUTED_VALUE"""),1.0)</f>
        <v>1</v>
      </c>
      <c r="D1549" s="6" t="str">
        <f>IFERROR(__xludf.DUMMYFUNCTION("""COMPUTED_VALUE"""),"P-13759-00")</f>
        <v>P-13759-00</v>
      </c>
      <c r="E1549" s="6" t="str">
        <f>IFERROR(__xludf.DUMMYFUNCTION("""COMPUTED_VALUE"""),"STILL RX 50-10C - Wheel Brake Cyl")</f>
        <v>STILL RX 50-10C - Wheel Brake Cyl</v>
      </c>
      <c r="F1549" s="6">
        <f>IFERROR(__xludf.DUMMYFUNCTION("""COMPUTED_VALUE"""),1.0)</f>
        <v>1</v>
      </c>
      <c r="G1549" s="6" t="str">
        <f>IFERROR(__xludf.DUMMYFUNCTION("""COMPUTED_VALUE"""),"Unit")</f>
        <v>Unit</v>
      </c>
      <c r="H1549" s="6" t="str">
        <f>IFERROR(__xludf.DUMMYFUNCTION("""COMPUTED_VALUE"""),"IDR")</f>
        <v>IDR</v>
      </c>
      <c r="I1549" s="6">
        <f>IFERROR(__xludf.DUMMYFUNCTION("""COMPUTED_VALUE"""),2585000.0)</f>
        <v>2585000</v>
      </c>
      <c r="J1549" s="6">
        <f>IFERROR(__xludf.DUMMYFUNCTION("""COMPUTED_VALUE"""),2585000.0)</f>
        <v>2585000</v>
      </c>
      <c r="K1549" s="57">
        <f>IFERROR(__xludf.DUMMYFUNCTION("""COMPUTED_VALUE"""),44477.0)</f>
        <v>44477</v>
      </c>
      <c r="L1549" s="6" t="str">
        <f>IFERROR(__xludf.DUMMYFUNCTION("""COMPUTED_VALUE"""),"FIP Engineering")</f>
        <v>FIP Engineering</v>
      </c>
      <c r="M1549" s="6" t="str">
        <f>IFERROR(__xludf.DUMMYFUNCTION("""COMPUTED_VALUE"""),"Irwan Sopian")</f>
        <v>Irwan Sopian</v>
      </c>
      <c r="N1549" s="6" t="str">
        <f>IFERROR(__xludf.DUMMYFUNCTION("""COMPUTED_VALUE"""),"FIP Engineering")</f>
        <v>FIP Engineering</v>
      </c>
      <c r="O1549" s="6" t="str">
        <f>IFERROR(__xludf.DUMMYFUNCTION("""COMPUTED_VALUE"""),"FIP-DOM-000-11304-OS00001-INA-000000")</f>
        <v>FIP-DOM-000-11304-OS00001-INA-000000</v>
      </c>
      <c r="P1549" s="6" t="str">
        <f>IFERROR(__xludf.DUMMYFUNCTION("""COMPUTED_VALUE"""),"PO Closed")</f>
        <v>PO Closed</v>
      </c>
      <c r="Q1549" s="6" t="str">
        <f>IFERROR(__xludf.DUMMYFUNCTION("""COMPUTED_VALUE"""),"GL2110013")</f>
        <v>GL2110013</v>
      </c>
      <c r="R1549" s="57">
        <f>IFERROR(__xludf.DUMMYFUNCTION("""COMPUTED_VALUE"""),44440.0)</f>
        <v>44440</v>
      </c>
      <c r="S1549" s="6" t="str">
        <f>IFERROR(__xludf.DUMMYFUNCTION("""COMPUTED_VALUE"""),"-")</f>
        <v>-</v>
      </c>
      <c r="T1549" s="57">
        <f>IFERROR(__xludf.DUMMYFUNCTION("""COMPUTED_VALUE"""),44500.0)</f>
        <v>44500</v>
      </c>
    </row>
    <row r="1550">
      <c r="A1550" s="6" t="str">
        <f>IFERROR(__xludf.DUMMYFUNCTION("""COMPUTED_VALUE"""),"211750319-2")</f>
        <v>211750319-2</v>
      </c>
      <c r="B1550" s="6" t="str">
        <f>IFERROR(__xludf.DUMMYFUNCTION("""COMPUTED_VALUE"""),"211750319 - Approved")</f>
        <v>211750319 - Approved</v>
      </c>
      <c r="C1550" s="6">
        <f>IFERROR(__xludf.DUMMYFUNCTION("""COMPUTED_VALUE"""),2.0)</f>
        <v>2</v>
      </c>
      <c r="D1550" s="6" t="str">
        <f>IFERROR(__xludf.DUMMYFUNCTION("""COMPUTED_VALUE"""),"P-13758-00")</f>
        <v>P-13758-00</v>
      </c>
      <c r="E1550" s="6" t="str">
        <f>IFERROR(__xludf.DUMMYFUNCTION("""COMPUTED_VALUE"""),"STILL RX 50-10C - Oil Rem")</f>
        <v>STILL RX 50-10C - Oil Rem</v>
      </c>
      <c r="F1550" s="6">
        <f>IFERROR(__xludf.DUMMYFUNCTION("""COMPUTED_VALUE"""),1.0)</f>
        <v>1</v>
      </c>
      <c r="G1550" s="6" t="str">
        <f>IFERROR(__xludf.DUMMYFUNCTION("""COMPUTED_VALUE"""),"Pieces")</f>
        <v>Pieces</v>
      </c>
      <c r="H1550" s="6" t="str">
        <f>IFERROR(__xludf.DUMMYFUNCTION("""COMPUTED_VALUE"""),"IDR")</f>
        <v>IDR</v>
      </c>
      <c r="I1550" s="6">
        <f>IFERROR(__xludf.DUMMYFUNCTION("""COMPUTED_VALUE"""),150000.0)</f>
        <v>150000</v>
      </c>
      <c r="J1550" s="6">
        <f>IFERROR(__xludf.DUMMYFUNCTION("""COMPUTED_VALUE"""),150000.0)</f>
        <v>150000</v>
      </c>
      <c r="K1550" s="57">
        <f>IFERROR(__xludf.DUMMYFUNCTION("""COMPUTED_VALUE"""),44477.0)</f>
        <v>44477</v>
      </c>
      <c r="L1550" s="6" t="str">
        <f>IFERROR(__xludf.DUMMYFUNCTION("""COMPUTED_VALUE"""),"FIP Engineering")</f>
        <v>FIP Engineering</v>
      </c>
      <c r="M1550" s="6" t="str">
        <f>IFERROR(__xludf.DUMMYFUNCTION("""COMPUTED_VALUE"""),"Irwan Sopian")</f>
        <v>Irwan Sopian</v>
      </c>
      <c r="N1550" s="6" t="str">
        <f>IFERROR(__xludf.DUMMYFUNCTION("""COMPUTED_VALUE"""),"FIP Engineering")</f>
        <v>FIP Engineering</v>
      </c>
      <c r="O1550" s="6" t="str">
        <f>IFERROR(__xludf.DUMMYFUNCTION("""COMPUTED_VALUE"""),"FIP-DOM-000-11304-OS00001-INA-000000")</f>
        <v>FIP-DOM-000-11304-OS00001-INA-000000</v>
      </c>
      <c r="P1550" s="6" t="str">
        <f>IFERROR(__xludf.DUMMYFUNCTION("""COMPUTED_VALUE"""),"PO Closed")</f>
        <v>PO Closed</v>
      </c>
      <c r="Q1550" s="6" t="str">
        <f>IFERROR(__xludf.DUMMYFUNCTION("""COMPUTED_VALUE"""),"GL2110013")</f>
        <v>GL2110013</v>
      </c>
      <c r="R1550" s="57">
        <f>IFERROR(__xludf.DUMMYFUNCTION("""COMPUTED_VALUE"""),44440.0)</f>
        <v>44440</v>
      </c>
      <c r="S1550" s="6" t="str">
        <f>IFERROR(__xludf.DUMMYFUNCTION("""COMPUTED_VALUE"""),"-")</f>
        <v>-</v>
      </c>
      <c r="T1550" s="57">
        <f>IFERROR(__xludf.DUMMYFUNCTION("""COMPUTED_VALUE"""),44500.0)</f>
        <v>44500</v>
      </c>
    </row>
    <row r="1551">
      <c r="A1551" s="6" t="str">
        <f>IFERROR(__xludf.DUMMYFUNCTION("""COMPUTED_VALUE"""),"211750319-3")</f>
        <v>211750319-3</v>
      </c>
      <c r="B1551" s="6" t="str">
        <f>IFERROR(__xludf.DUMMYFUNCTION("""COMPUTED_VALUE"""),"211750319 - Approved")</f>
        <v>211750319 - Approved</v>
      </c>
      <c r="C1551" s="6">
        <f>IFERROR(__xludf.DUMMYFUNCTION("""COMPUTED_VALUE"""),3.0)</f>
        <v>3</v>
      </c>
      <c r="D1551" s="6" t="str">
        <f>IFERROR(__xludf.DUMMYFUNCTION("""COMPUTED_VALUE"""),"S-60050-00")</f>
        <v>S-60050-00</v>
      </c>
      <c r="E1551" s="6" t="str">
        <f>IFERROR(__xludf.DUMMYFUNCTION("""COMPUTED_VALUE"""),"Jasa Pasang Wheel Brake Cly")</f>
        <v>Jasa Pasang Wheel Brake Cly</v>
      </c>
      <c r="F1551" s="6">
        <f>IFERROR(__xludf.DUMMYFUNCTION("""COMPUTED_VALUE"""),1.0)</f>
        <v>1</v>
      </c>
      <c r="G1551" s="6" t="str">
        <f>IFERROR(__xludf.DUMMYFUNCTION("""COMPUTED_VALUE"""),"Pieces")</f>
        <v>Pieces</v>
      </c>
      <c r="H1551" s="6" t="str">
        <f>IFERROR(__xludf.DUMMYFUNCTION("""COMPUTED_VALUE"""),"IDR")</f>
        <v>IDR</v>
      </c>
      <c r="I1551" s="6">
        <f>IFERROR(__xludf.DUMMYFUNCTION("""COMPUTED_VALUE"""),750000.0)</f>
        <v>750000</v>
      </c>
      <c r="J1551" s="6">
        <f>IFERROR(__xludf.DUMMYFUNCTION("""COMPUTED_VALUE"""),750000.0)</f>
        <v>750000</v>
      </c>
      <c r="K1551" s="57">
        <f>IFERROR(__xludf.DUMMYFUNCTION("""COMPUTED_VALUE"""),44484.0)</f>
        <v>44484</v>
      </c>
      <c r="L1551" s="6" t="str">
        <f>IFERROR(__xludf.DUMMYFUNCTION("""COMPUTED_VALUE"""),"FIP General")</f>
        <v>FIP General</v>
      </c>
      <c r="M1551" s="6" t="str">
        <f>IFERROR(__xludf.DUMMYFUNCTION("""COMPUTED_VALUE"""),"Irwan Sopian")</f>
        <v>Irwan Sopian</v>
      </c>
      <c r="N1551" s="6" t="str">
        <f>IFERROR(__xludf.DUMMYFUNCTION("""COMPUTED_VALUE"""),"FIP Engineering")</f>
        <v>FIP Engineering</v>
      </c>
      <c r="O1551" s="6" t="str">
        <f>IFERROR(__xludf.DUMMYFUNCTION("""COMPUTED_VALUE"""),"FIP-DOM-ENG-51504-0000000-INA-000000")</f>
        <v>FIP-DOM-ENG-51504-0000000-INA-000000</v>
      </c>
      <c r="P1551" s="6" t="str">
        <f>IFERROR(__xludf.DUMMYFUNCTION("""COMPUTED_VALUE"""),"PO Closed")</f>
        <v>PO Closed</v>
      </c>
      <c r="Q1551" s="6" t="str">
        <f>IFERROR(__xludf.DUMMYFUNCTION("""COMPUTED_VALUE"""),"GL2110013")</f>
        <v>GL2110013</v>
      </c>
      <c r="R1551" s="57">
        <f>IFERROR(__xludf.DUMMYFUNCTION("""COMPUTED_VALUE"""),44440.0)</f>
        <v>44440</v>
      </c>
      <c r="S1551" s="6" t="str">
        <f>IFERROR(__xludf.DUMMYFUNCTION("""COMPUTED_VALUE"""),"-")</f>
        <v>-</v>
      </c>
      <c r="T1551" s="57">
        <f>IFERROR(__xludf.DUMMYFUNCTION("""COMPUTED_VALUE"""),44541.0)</f>
        <v>44541</v>
      </c>
    </row>
    <row r="1552">
      <c r="A1552" s="6" t="str">
        <f>IFERROR(__xludf.DUMMYFUNCTION("""COMPUTED_VALUE"""),"211750306-5")</f>
        <v>211750306-5</v>
      </c>
      <c r="B1552" s="6" t="str">
        <f>IFERROR(__xludf.DUMMYFUNCTION("""COMPUTED_VALUE"""),"211750306 - Approved")</f>
        <v>211750306 - Approved</v>
      </c>
      <c r="C1552" s="6">
        <f>IFERROR(__xludf.DUMMYFUNCTION("""COMPUTED_VALUE"""),5.0)</f>
        <v>5</v>
      </c>
      <c r="D1552" s="6" t="str">
        <f>IFERROR(__xludf.DUMMYFUNCTION("""COMPUTED_VALUE"""),"P-10874-00")</f>
        <v>P-10874-00</v>
      </c>
      <c r="E1552" s="6" t="str">
        <f>IFERROR(__xludf.DUMMYFUNCTION("""COMPUTED_VALUE"""),"Fitting PVC - Reducer PVC 1"" - 1/2""")</f>
        <v>Fitting PVC - Reducer PVC 1" - 1/2"</v>
      </c>
      <c r="F1552" s="6">
        <f>IFERROR(__xludf.DUMMYFUNCTION("""COMPUTED_VALUE"""),2.0)</f>
        <v>2</v>
      </c>
      <c r="G1552" s="6" t="str">
        <f>IFERROR(__xludf.DUMMYFUNCTION("""COMPUTED_VALUE"""),"Pieces")</f>
        <v>Pieces</v>
      </c>
      <c r="H1552" s="6" t="str">
        <f>IFERROR(__xludf.DUMMYFUNCTION("""COMPUTED_VALUE"""),"IDR")</f>
        <v>IDR</v>
      </c>
      <c r="I1552" s="6">
        <f>IFERROR(__xludf.DUMMYFUNCTION("""COMPUTED_VALUE"""),6500.0)</f>
        <v>6500</v>
      </c>
      <c r="J1552" s="6">
        <f>IFERROR(__xludf.DUMMYFUNCTION("""COMPUTED_VALUE"""),13000.0)</f>
        <v>13000</v>
      </c>
      <c r="K1552" s="57">
        <f>IFERROR(__xludf.DUMMYFUNCTION("""COMPUTED_VALUE"""),44463.0)</f>
        <v>44463</v>
      </c>
      <c r="L1552" s="6" t="str">
        <f>IFERROR(__xludf.DUMMYFUNCTION("""COMPUTED_VALUE"""),"FIP Engineering")</f>
        <v>FIP Engineering</v>
      </c>
      <c r="M1552" s="6" t="str">
        <f>IFERROR(__xludf.DUMMYFUNCTION("""COMPUTED_VALUE"""),"Irwan Sopian")</f>
        <v>Irwan Sopian</v>
      </c>
      <c r="N1552" s="6" t="str">
        <f>IFERROR(__xludf.DUMMYFUNCTION("""COMPUTED_VALUE"""),"FIP Engineering")</f>
        <v>FIP Engineering</v>
      </c>
      <c r="O1552" s="6" t="str">
        <f>IFERROR(__xludf.DUMMYFUNCTION("""COMPUTED_VALUE"""),"FIP-DOM-000-11304-OS00001-INA-000000")</f>
        <v>FIP-DOM-000-11304-OS00001-INA-000000</v>
      </c>
      <c r="P1552" s="6" t="str">
        <f>IFERROR(__xludf.DUMMYFUNCTION("""COMPUTED_VALUE"""),"PO Closed")</f>
        <v>PO Closed</v>
      </c>
      <c r="Q1552" s="6" t="str">
        <f>IFERROR(__xludf.DUMMYFUNCTION("""COMPUTED_VALUE"""),"GL2109035")</f>
        <v>GL2109035</v>
      </c>
      <c r="R1552" s="57">
        <f>IFERROR(__xludf.DUMMYFUNCTION("""COMPUTED_VALUE"""),44440.0)</f>
        <v>44440</v>
      </c>
      <c r="S1552" s="6" t="str">
        <f>IFERROR(__xludf.DUMMYFUNCTION("""COMPUTED_VALUE"""),"-")</f>
        <v>-</v>
      </c>
      <c r="T1552" s="57">
        <f>IFERROR(__xludf.DUMMYFUNCTION("""COMPUTED_VALUE"""),44464.0)</f>
        <v>44464</v>
      </c>
    </row>
    <row r="1553">
      <c r="A1553" s="6" t="str">
        <f>IFERROR(__xludf.DUMMYFUNCTION("""COMPUTED_VALUE"""),"211750306-6")</f>
        <v>211750306-6</v>
      </c>
      <c r="B1553" s="6" t="str">
        <f>IFERROR(__xludf.DUMMYFUNCTION("""COMPUTED_VALUE"""),"211750306 - Approved")</f>
        <v>211750306 - Approved</v>
      </c>
      <c r="C1553" s="6">
        <f>IFERROR(__xludf.DUMMYFUNCTION("""COMPUTED_VALUE"""),6.0)</f>
        <v>6</v>
      </c>
      <c r="D1553" s="6" t="str">
        <f>IFERROR(__xludf.DUMMYFUNCTION("""COMPUTED_VALUE"""),"P-14969-00")</f>
        <v>P-14969-00</v>
      </c>
      <c r="E1553" s="6" t="str">
        <f>IFERROR(__xludf.DUMMYFUNCTION("""COMPUTED_VALUE"""),"Fitting PVC - SDL PVC 3/4""; ; ;")</f>
        <v>Fitting PVC - SDL PVC 3/4"; ; ;</v>
      </c>
      <c r="F1553" s="6">
        <f>IFERROR(__xludf.DUMMYFUNCTION("""COMPUTED_VALUE"""),2.0)</f>
        <v>2</v>
      </c>
      <c r="G1553" s="6" t="str">
        <f>IFERROR(__xludf.DUMMYFUNCTION("""COMPUTED_VALUE"""),"Pieces")</f>
        <v>Pieces</v>
      </c>
      <c r="H1553" s="6" t="str">
        <f>IFERROR(__xludf.DUMMYFUNCTION("""COMPUTED_VALUE"""),"IDR")</f>
        <v>IDR</v>
      </c>
      <c r="I1553" s="6">
        <f>IFERROR(__xludf.DUMMYFUNCTION("""COMPUTED_VALUE"""),8500.0)</f>
        <v>8500</v>
      </c>
      <c r="J1553" s="6">
        <f>IFERROR(__xludf.DUMMYFUNCTION("""COMPUTED_VALUE"""),17000.0)</f>
        <v>17000</v>
      </c>
      <c r="K1553" s="57">
        <f>IFERROR(__xludf.DUMMYFUNCTION("""COMPUTED_VALUE"""),44463.0)</f>
        <v>44463</v>
      </c>
      <c r="L1553" s="6" t="str">
        <f>IFERROR(__xludf.DUMMYFUNCTION("""COMPUTED_VALUE"""),"FIP Engineering")</f>
        <v>FIP Engineering</v>
      </c>
      <c r="M1553" s="6" t="str">
        <f>IFERROR(__xludf.DUMMYFUNCTION("""COMPUTED_VALUE"""),"Irwan Sopian")</f>
        <v>Irwan Sopian</v>
      </c>
      <c r="N1553" s="6" t="str">
        <f>IFERROR(__xludf.DUMMYFUNCTION("""COMPUTED_VALUE"""),"FIP Engineering")</f>
        <v>FIP Engineering</v>
      </c>
      <c r="O1553" s="6" t="str">
        <f>IFERROR(__xludf.DUMMYFUNCTION("""COMPUTED_VALUE"""),"FIP-DOM-000-11304-OS00001-INA-000000")</f>
        <v>FIP-DOM-000-11304-OS00001-INA-000000</v>
      </c>
      <c r="P1553" s="6" t="str">
        <f>IFERROR(__xludf.DUMMYFUNCTION("""COMPUTED_VALUE"""),"PO Closed")</f>
        <v>PO Closed</v>
      </c>
      <c r="Q1553" s="6" t="str">
        <f>IFERROR(__xludf.DUMMYFUNCTION("""COMPUTED_VALUE"""),"GL2109035")</f>
        <v>GL2109035</v>
      </c>
      <c r="R1553" s="57">
        <f>IFERROR(__xludf.DUMMYFUNCTION("""COMPUTED_VALUE"""),44440.0)</f>
        <v>44440</v>
      </c>
      <c r="S1553" s="6" t="str">
        <f>IFERROR(__xludf.DUMMYFUNCTION("""COMPUTED_VALUE"""),"-")</f>
        <v>-</v>
      </c>
      <c r="T1553" s="57">
        <f>IFERROR(__xludf.DUMMYFUNCTION("""COMPUTED_VALUE"""),44464.0)</f>
        <v>44464</v>
      </c>
    </row>
    <row r="1554">
      <c r="A1554" s="6" t="str">
        <f>IFERROR(__xludf.DUMMYFUNCTION("""COMPUTED_VALUE"""),"211750306-7")</f>
        <v>211750306-7</v>
      </c>
      <c r="B1554" s="6" t="str">
        <f>IFERROR(__xludf.DUMMYFUNCTION("""COMPUTED_VALUE"""),"211750306 - Approved")</f>
        <v>211750306 - Approved</v>
      </c>
      <c r="C1554" s="6">
        <f>IFERROR(__xludf.DUMMYFUNCTION("""COMPUTED_VALUE"""),7.0)</f>
        <v>7</v>
      </c>
      <c r="D1554" s="6" t="str">
        <f>IFERROR(__xludf.DUMMYFUNCTION("""COMPUTED_VALUE"""),"P-12804-00")</f>
        <v>P-12804-00</v>
      </c>
      <c r="E1554" s="6" t="str">
        <f>IFERROR(__xludf.DUMMYFUNCTION("""COMPUTED_VALUE"""),"Sock Drat dalam PVC AW dia 1/2inch")</f>
        <v>Sock Drat dalam PVC AW dia 1/2inch</v>
      </c>
      <c r="F1554" s="6">
        <f>IFERROR(__xludf.DUMMYFUNCTION("""COMPUTED_VALUE"""),2.0)</f>
        <v>2</v>
      </c>
      <c r="G1554" s="6" t="str">
        <f>IFERROR(__xludf.DUMMYFUNCTION("""COMPUTED_VALUE"""),"Pieces")</f>
        <v>Pieces</v>
      </c>
      <c r="H1554" s="6" t="str">
        <f>IFERROR(__xludf.DUMMYFUNCTION("""COMPUTED_VALUE"""),"IDR")</f>
        <v>IDR</v>
      </c>
      <c r="I1554" s="6">
        <f>IFERROR(__xludf.DUMMYFUNCTION("""COMPUTED_VALUE"""),4500.0)</f>
        <v>4500</v>
      </c>
      <c r="J1554" s="6">
        <f>IFERROR(__xludf.DUMMYFUNCTION("""COMPUTED_VALUE"""),9000.0)</f>
        <v>9000</v>
      </c>
      <c r="K1554" s="57">
        <f>IFERROR(__xludf.DUMMYFUNCTION("""COMPUTED_VALUE"""),44463.0)</f>
        <v>44463</v>
      </c>
      <c r="L1554" s="6" t="str">
        <f>IFERROR(__xludf.DUMMYFUNCTION("""COMPUTED_VALUE"""),"FIP Engineering")</f>
        <v>FIP Engineering</v>
      </c>
      <c r="M1554" s="6" t="str">
        <f>IFERROR(__xludf.DUMMYFUNCTION("""COMPUTED_VALUE"""),"Irwan Sopian")</f>
        <v>Irwan Sopian</v>
      </c>
      <c r="N1554" s="6" t="str">
        <f>IFERROR(__xludf.DUMMYFUNCTION("""COMPUTED_VALUE"""),"FIP Engineering")</f>
        <v>FIP Engineering</v>
      </c>
      <c r="O1554" s="6" t="str">
        <f>IFERROR(__xludf.DUMMYFUNCTION("""COMPUTED_VALUE"""),"FIP-DOM-000-11304-OS00001-INA-000000")</f>
        <v>FIP-DOM-000-11304-OS00001-INA-000000</v>
      </c>
      <c r="P1554" s="6" t="str">
        <f>IFERROR(__xludf.DUMMYFUNCTION("""COMPUTED_VALUE"""),"PO Closed")</f>
        <v>PO Closed</v>
      </c>
      <c r="Q1554" s="6" t="str">
        <f>IFERROR(__xludf.DUMMYFUNCTION("""COMPUTED_VALUE"""),"GL2109035")</f>
        <v>GL2109035</v>
      </c>
      <c r="R1554" s="57">
        <f>IFERROR(__xludf.DUMMYFUNCTION("""COMPUTED_VALUE"""),44440.0)</f>
        <v>44440</v>
      </c>
      <c r="S1554" s="6" t="str">
        <f>IFERROR(__xludf.DUMMYFUNCTION("""COMPUTED_VALUE"""),"-")</f>
        <v>-</v>
      </c>
      <c r="T1554" s="57">
        <f>IFERROR(__xludf.DUMMYFUNCTION("""COMPUTED_VALUE"""),44464.0)</f>
        <v>44464</v>
      </c>
    </row>
    <row r="1555">
      <c r="A1555" s="6" t="str">
        <f>IFERROR(__xludf.DUMMYFUNCTION("""COMPUTED_VALUE"""),"211750306-8")</f>
        <v>211750306-8</v>
      </c>
      <c r="B1555" s="6" t="str">
        <f>IFERROR(__xludf.DUMMYFUNCTION("""COMPUTED_VALUE"""),"211750306 - Approved")</f>
        <v>211750306 - Approved</v>
      </c>
      <c r="C1555" s="6">
        <f>IFERROR(__xludf.DUMMYFUNCTION("""COMPUTED_VALUE"""),8.0)</f>
        <v>8</v>
      </c>
      <c r="D1555" s="6" t="str">
        <f>IFERROR(__xludf.DUMMYFUNCTION("""COMPUTED_VALUE"""),"P-17812-00")</f>
        <v>P-17812-00</v>
      </c>
      <c r="E1555" s="6" t="str">
        <f>IFERROR(__xludf.DUMMYFUNCTION("""COMPUTED_VALUE"""),"Nepple Hose Kuningan 1/2 Inch")</f>
        <v>Nepple Hose Kuningan 1/2 Inch</v>
      </c>
      <c r="F1555" s="6">
        <f>IFERROR(__xludf.DUMMYFUNCTION("""COMPUTED_VALUE"""),2.0)</f>
        <v>2</v>
      </c>
      <c r="G1555" s="6" t="str">
        <f>IFERROR(__xludf.DUMMYFUNCTION("""COMPUTED_VALUE"""),"Pieces")</f>
        <v>Pieces</v>
      </c>
      <c r="H1555" s="6" t="str">
        <f>IFERROR(__xludf.DUMMYFUNCTION("""COMPUTED_VALUE"""),"IDR")</f>
        <v>IDR</v>
      </c>
      <c r="I1555" s="6">
        <f>IFERROR(__xludf.DUMMYFUNCTION("""COMPUTED_VALUE"""),20000.0)</f>
        <v>20000</v>
      </c>
      <c r="J1555" s="6">
        <f>IFERROR(__xludf.DUMMYFUNCTION("""COMPUTED_VALUE"""),40000.0)</f>
        <v>40000</v>
      </c>
      <c r="K1555" s="57">
        <f>IFERROR(__xludf.DUMMYFUNCTION("""COMPUTED_VALUE"""),44463.0)</f>
        <v>44463</v>
      </c>
      <c r="L1555" s="6" t="str">
        <f>IFERROR(__xludf.DUMMYFUNCTION("""COMPUTED_VALUE"""),"FIP Engineering")</f>
        <v>FIP Engineering</v>
      </c>
      <c r="M1555" s="6" t="str">
        <f>IFERROR(__xludf.DUMMYFUNCTION("""COMPUTED_VALUE"""),"Irwan Sopian")</f>
        <v>Irwan Sopian</v>
      </c>
      <c r="N1555" s="6" t="str">
        <f>IFERROR(__xludf.DUMMYFUNCTION("""COMPUTED_VALUE"""),"FIP Engineering")</f>
        <v>FIP Engineering</v>
      </c>
      <c r="O1555" s="6" t="str">
        <f>IFERROR(__xludf.DUMMYFUNCTION("""COMPUTED_VALUE"""),"FIP-DOM-000-11304-OS00001-INA-000000")</f>
        <v>FIP-DOM-000-11304-OS00001-INA-000000</v>
      </c>
      <c r="P1555" s="6" t="str">
        <f>IFERROR(__xludf.DUMMYFUNCTION("""COMPUTED_VALUE"""),"PO Closed")</f>
        <v>PO Closed</v>
      </c>
      <c r="Q1555" s="6" t="str">
        <f>IFERROR(__xludf.DUMMYFUNCTION("""COMPUTED_VALUE"""),"GL2109035")</f>
        <v>GL2109035</v>
      </c>
      <c r="R1555" s="57">
        <f>IFERROR(__xludf.DUMMYFUNCTION("""COMPUTED_VALUE"""),44440.0)</f>
        <v>44440</v>
      </c>
      <c r="S1555" s="6" t="str">
        <f>IFERROR(__xludf.DUMMYFUNCTION("""COMPUTED_VALUE"""),"-")</f>
        <v>-</v>
      </c>
      <c r="T1555" s="57">
        <f>IFERROR(__xludf.DUMMYFUNCTION("""COMPUTED_VALUE"""),44464.0)</f>
        <v>44464</v>
      </c>
    </row>
    <row r="1556">
      <c r="A1556" s="6" t="str">
        <f>IFERROR(__xludf.DUMMYFUNCTION("""COMPUTED_VALUE"""),"211750336-1")</f>
        <v>211750336-1</v>
      </c>
      <c r="B1556" s="6" t="str">
        <f>IFERROR(__xludf.DUMMYFUNCTION("""COMPUTED_VALUE"""),"211750336 - Approved")</f>
        <v>211750336 - Approved</v>
      </c>
      <c r="C1556" s="6">
        <f>IFERROR(__xludf.DUMMYFUNCTION("""COMPUTED_VALUE"""),1.0)</f>
        <v>1</v>
      </c>
      <c r="D1556" s="6" t="str">
        <f>IFERROR(__xludf.DUMMYFUNCTION("""COMPUTED_VALUE"""),"S-60050-00")</f>
        <v>S-60050-00</v>
      </c>
      <c r="E1556" s="6" t="str">
        <f>IFERROR(__xludf.DUMMYFUNCTION("""COMPUTED_VALUE"""),"Perbaikan Mesin FD (Ganti Expansion Valve FD)")</f>
        <v>Perbaikan Mesin FD (Ganti Expansion Valve FD)</v>
      </c>
      <c r="F1556" s="6">
        <f>IFERROR(__xludf.DUMMYFUNCTION("""COMPUTED_VALUE"""),1.0)</f>
        <v>1</v>
      </c>
      <c r="G1556" s="6" t="str">
        <f>IFERROR(__xludf.DUMMYFUNCTION("""COMPUTED_VALUE"""),"Pieces")</f>
        <v>Pieces</v>
      </c>
      <c r="H1556" s="6" t="str">
        <f>IFERROR(__xludf.DUMMYFUNCTION("""COMPUTED_VALUE"""),"IDR")</f>
        <v>IDR</v>
      </c>
      <c r="I1556" s="6">
        <f>IFERROR(__xludf.DUMMYFUNCTION("""COMPUTED_VALUE"""),5000000.0)</f>
        <v>5000000</v>
      </c>
      <c r="J1556" s="6">
        <f>IFERROR(__xludf.DUMMYFUNCTION("""COMPUTED_VALUE"""),5000000.0)</f>
        <v>5000000</v>
      </c>
      <c r="K1556" s="57">
        <f>IFERROR(__xludf.DUMMYFUNCTION("""COMPUTED_VALUE"""),44477.0)</f>
        <v>44477</v>
      </c>
      <c r="L1556" s="6" t="str">
        <f>IFERROR(__xludf.DUMMYFUNCTION("""COMPUTED_VALUE"""),"FIP General")</f>
        <v>FIP General</v>
      </c>
      <c r="M1556" s="6" t="str">
        <f>IFERROR(__xludf.DUMMYFUNCTION("""COMPUTED_VALUE"""),"Irwan Sopian")</f>
        <v>Irwan Sopian</v>
      </c>
      <c r="N1556" s="6" t="str">
        <f>IFERROR(__xludf.DUMMYFUNCTION("""COMPUTED_VALUE"""),"FIP Engineering")</f>
        <v>FIP Engineering</v>
      </c>
      <c r="O1556" s="6" t="str">
        <f>IFERROR(__xludf.DUMMYFUNCTION("""COMPUTED_VALUE"""),"FIP-DOM-ENG-51504-0000000-INA-000000")</f>
        <v>FIP-DOM-ENG-51504-0000000-INA-000000</v>
      </c>
      <c r="P1556" s="6" t="str">
        <f>IFERROR(__xludf.DUMMYFUNCTION("""COMPUTED_VALUE"""),"PO Closed")</f>
        <v>PO Closed</v>
      </c>
      <c r="Q1556" s="6" t="str">
        <f>IFERROR(__xludf.DUMMYFUNCTION("""COMPUTED_VALUE"""),"GL2110015")</f>
        <v>GL2110015</v>
      </c>
      <c r="R1556" s="57">
        <f>IFERROR(__xludf.DUMMYFUNCTION("""COMPUTED_VALUE"""),44453.0)</f>
        <v>44453</v>
      </c>
      <c r="S1556" s="6" t="str">
        <f>IFERROR(__xludf.DUMMYFUNCTION("""COMPUTED_VALUE"""),"-")</f>
        <v>-</v>
      </c>
      <c r="T1556" s="57">
        <f>IFERROR(__xludf.DUMMYFUNCTION("""COMPUTED_VALUE"""),44494.0)</f>
        <v>44494</v>
      </c>
    </row>
    <row r="1557">
      <c r="A1557" s="6" t="str">
        <f>IFERROR(__xludf.DUMMYFUNCTION("""COMPUTED_VALUE"""),"211750335-1")</f>
        <v>211750335-1</v>
      </c>
      <c r="B1557" s="6" t="str">
        <f>IFERROR(__xludf.DUMMYFUNCTION("""COMPUTED_VALUE"""),"211750335 - Approved")</f>
        <v>211750335 - Approved</v>
      </c>
      <c r="C1557" s="6">
        <f>IFERROR(__xludf.DUMMYFUNCTION("""COMPUTED_VALUE"""),1.0)</f>
        <v>1</v>
      </c>
      <c r="D1557" s="6" t="str">
        <f>IFERROR(__xludf.DUMMYFUNCTION("""COMPUTED_VALUE"""),"S-60002-00")</f>
        <v>S-60002-00</v>
      </c>
      <c r="E1557" s="6" t="str">
        <f>IFERROR(__xludf.DUMMYFUNCTION("""COMPUTED_VALUE"""),"Perbaikan Pipa Steam diarea Water system")</f>
        <v>Perbaikan Pipa Steam diarea Water system</v>
      </c>
      <c r="F1557" s="6">
        <f>IFERROR(__xludf.DUMMYFUNCTION("""COMPUTED_VALUE"""),1.0)</f>
        <v>1</v>
      </c>
      <c r="G1557" s="6" t="str">
        <f>IFERROR(__xludf.DUMMYFUNCTION("""COMPUTED_VALUE"""),"Lot")</f>
        <v>Lot</v>
      </c>
      <c r="H1557" s="6" t="str">
        <f>IFERROR(__xludf.DUMMYFUNCTION("""COMPUTED_VALUE"""),"IDR")</f>
        <v>IDR</v>
      </c>
      <c r="I1557" s="6">
        <f>IFERROR(__xludf.DUMMYFUNCTION("""COMPUTED_VALUE"""),9480000.0)</f>
        <v>9480000</v>
      </c>
      <c r="J1557" s="6">
        <f>IFERROR(__xludf.DUMMYFUNCTION("""COMPUTED_VALUE"""),9480000.0)</f>
        <v>9480000</v>
      </c>
      <c r="K1557" s="57">
        <f>IFERROR(__xludf.DUMMYFUNCTION("""COMPUTED_VALUE"""),44477.0)</f>
        <v>44477</v>
      </c>
      <c r="L1557" s="6" t="str">
        <f>IFERROR(__xludf.DUMMYFUNCTION("""COMPUTED_VALUE"""),"FIP General")</f>
        <v>FIP General</v>
      </c>
      <c r="M1557" s="6" t="str">
        <f>IFERROR(__xludf.DUMMYFUNCTION("""COMPUTED_VALUE"""),"Irwan Sopian")</f>
        <v>Irwan Sopian</v>
      </c>
      <c r="N1557" s="6" t="str">
        <f>IFERROR(__xludf.DUMMYFUNCTION("""COMPUTED_VALUE"""),"FIP Engineering")</f>
        <v>FIP Engineering</v>
      </c>
      <c r="O1557" s="6" t="str">
        <f>IFERROR(__xludf.DUMMYFUNCTION("""COMPUTED_VALUE"""),"FIP-DOM-ENG-51508-0000000-INA-000000")</f>
        <v>FIP-DOM-ENG-51508-0000000-INA-000000</v>
      </c>
      <c r="P1557" s="6" t="str">
        <f>IFERROR(__xludf.DUMMYFUNCTION("""COMPUTED_VALUE"""),"PO Closed")</f>
        <v>PO Closed</v>
      </c>
      <c r="Q1557" s="6" t="str">
        <f>IFERROR(__xludf.DUMMYFUNCTION("""COMPUTED_VALUE"""),"GL2110014")</f>
        <v>GL2110014</v>
      </c>
      <c r="R1557" s="57">
        <f>IFERROR(__xludf.DUMMYFUNCTION("""COMPUTED_VALUE"""),44453.0)</f>
        <v>44453</v>
      </c>
      <c r="S1557" s="6" t="str">
        <f>IFERROR(__xludf.DUMMYFUNCTION("""COMPUTED_VALUE"""),"-")</f>
        <v>-</v>
      </c>
      <c r="T1557" s="57">
        <f>IFERROR(__xludf.DUMMYFUNCTION("""COMPUTED_VALUE"""),44494.0)</f>
        <v>44494</v>
      </c>
    </row>
    <row r="1558">
      <c r="A1558" s="6" t="str">
        <f>IFERROR(__xludf.DUMMYFUNCTION("""COMPUTED_VALUE"""),"211750334-1")</f>
        <v>211750334-1</v>
      </c>
      <c r="B1558" s="6" t="str">
        <f>IFERROR(__xludf.DUMMYFUNCTION("""COMPUTED_VALUE"""),"211750334 - Approved")</f>
        <v>211750334 - Approved</v>
      </c>
      <c r="C1558" s="6">
        <f>IFERROR(__xludf.DUMMYFUNCTION("""COMPUTED_VALUE"""),1.0)</f>
        <v>1</v>
      </c>
      <c r="D1558" s="6" t="str">
        <f>IFERROR(__xludf.DUMMYFUNCTION("""COMPUTED_VALUE"""),"P-50140-00")</f>
        <v>P-50140-00</v>
      </c>
      <c r="E1558" s="6" t="str">
        <f>IFERROR(__xludf.DUMMYFUNCTION("""COMPUTED_VALUE"""),"Battery UPS")</f>
        <v>Battery UPS</v>
      </c>
      <c r="F1558" s="6">
        <f>IFERROR(__xludf.DUMMYFUNCTION("""COMPUTED_VALUE"""),2.0)</f>
        <v>2</v>
      </c>
      <c r="G1558" s="6" t="str">
        <f>IFERROR(__xludf.DUMMYFUNCTION("""COMPUTED_VALUE"""),"Pieces")</f>
        <v>Pieces</v>
      </c>
      <c r="H1558" s="6" t="str">
        <f>IFERROR(__xludf.DUMMYFUNCTION("""COMPUTED_VALUE"""),"IDR")</f>
        <v>IDR</v>
      </c>
      <c r="I1558" s="6">
        <f>IFERROR(__xludf.DUMMYFUNCTION("""COMPUTED_VALUE"""),592500.0)</f>
        <v>592500</v>
      </c>
      <c r="J1558" s="6">
        <f>IFERROR(__xludf.DUMMYFUNCTION("""COMPUTED_VALUE"""),1185000.0)</f>
        <v>1185000</v>
      </c>
      <c r="K1558" s="57">
        <f>IFERROR(__xludf.DUMMYFUNCTION("""COMPUTED_VALUE"""),44477.0)</f>
        <v>44477</v>
      </c>
      <c r="L1558" s="6" t="str">
        <f>IFERROR(__xludf.DUMMYFUNCTION("""COMPUTED_VALUE"""),"FIP Engineering")</f>
        <v>FIP Engineering</v>
      </c>
      <c r="M1558" s="6" t="str">
        <f>IFERROR(__xludf.DUMMYFUNCTION("""COMPUTED_VALUE"""),"Irwan Sopian")</f>
        <v>Irwan Sopian</v>
      </c>
      <c r="N1558" s="6" t="str">
        <f>IFERROR(__xludf.DUMMYFUNCTION("""COMPUTED_VALUE"""),"FIP Engineering")</f>
        <v>FIP Engineering</v>
      </c>
      <c r="O1558" s="6" t="str">
        <f>IFERROR(__xludf.DUMMYFUNCTION("""COMPUTED_VALUE"""),"FIP-DOM-000-11304-OS00001-INA-000000")</f>
        <v>FIP-DOM-000-11304-OS00001-INA-000000</v>
      </c>
      <c r="P1558" s="6" t="str">
        <f>IFERROR(__xludf.DUMMYFUNCTION("""COMPUTED_VALUE"""),"PO Closed")</f>
        <v>PO Closed</v>
      </c>
      <c r="Q1558" s="6" t="str">
        <f>IFERROR(__xludf.DUMMYFUNCTION("""COMPUTED_VALUE"""),"GL2109039")</f>
        <v>GL2109039</v>
      </c>
      <c r="R1558" s="57">
        <f>IFERROR(__xludf.DUMMYFUNCTION("""COMPUTED_VALUE"""),44453.0)</f>
        <v>44453</v>
      </c>
      <c r="S1558" s="6" t="str">
        <f>IFERROR(__xludf.DUMMYFUNCTION("""COMPUTED_VALUE"""),"-")</f>
        <v>-</v>
      </c>
      <c r="T1558" s="57">
        <f>IFERROR(__xludf.DUMMYFUNCTION("""COMPUTED_VALUE"""),44477.0)</f>
        <v>44477</v>
      </c>
    </row>
    <row r="1559">
      <c r="A1559" s="6" t="str">
        <f>IFERROR(__xludf.DUMMYFUNCTION("""COMPUTED_VALUE"""),"211750334-2")</f>
        <v>211750334-2</v>
      </c>
      <c r="B1559" s="6" t="str">
        <f>IFERROR(__xludf.DUMMYFUNCTION("""COMPUTED_VALUE"""),"211750334 - Approved")</f>
        <v>211750334 - Approved</v>
      </c>
      <c r="C1559" s="6">
        <f>IFERROR(__xludf.DUMMYFUNCTION("""COMPUTED_VALUE"""),2.0)</f>
        <v>2</v>
      </c>
      <c r="D1559" s="6" t="str">
        <f>IFERROR(__xludf.DUMMYFUNCTION("""COMPUTED_VALUE"""),"O-50994-00")</f>
        <v>O-50994-00</v>
      </c>
      <c r="E1559" s="6" t="str">
        <f>IFERROR(__xludf.DUMMYFUNCTION("""COMPUTED_VALUE"""),"Battery kering 12V 7,2AH; ; ;")</f>
        <v>Battery kering 12V 7,2AH; ; ;</v>
      </c>
      <c r="F1559" s="6">
        <f>IFERROR(__xludf.DUMMYFUNCTION("""COMPUTED_VALUE"""),6.0)</f>
        <v>6</v>
      </c>
      <c r="G1559" s="6" t="str">
        <f>IFERROR(__xludf.DUMMYFUNCTION("""COMPUTED_VALUE"""),"Pieces")</f>
        <v>Pieces</v>
      </c>
      <c r="H1559" s="6" t="str">
        <f>IFERROR(__xludf.DUMMYFUNCTION("""COMPUTED_VALUE"""),"IDR")</f>
        <v>IDR</v>
      </c>
      <c r="I1559" s="6">
        <f>IFERROR(__xludf.DUMMYFUNCTION("""COMPUTED_VALUE"""),345000.0)</f>
        <v>345000</v>
      </c>
      <c r="J1559" s="6">
        <f>IFERROR(__xludf.DUMMYFUNCTION("""COMPUTED_VALUE"""),2070000.0)</f>
        <v>2070000</v>
      </c>
      <c r="K1559" s="57">
        <f>IFERROR(__xludf.DUMMYFUNCTION("""COMPUTED_VALUE"""),44477.0)</f>
        <v>44477</v>
      </c>
      <c r="L1559" s="6" t="str">
        <f>IFERROR(__xludf.DUMMYFUNCTION("""COMPUTED_VALUE"""),"FIP Engineering")</f>
        <v>FIP Engineering</v>
      </c>
      <c r="M1559" s="6" t="str">
        <f>IFERROR(__xludf.DUMMYFUNCTION("""COMPUTED_VALUE"""),"Irwan Sopian")</f>
        <v>Irwan Sopian</v>
      </c>
      <c r="N1559" s="6" t="str">
        <f>IFERROR(__xludf.DUMMYFUNCTION("""COMPUTED_VALUE"""),"FIP Engineering")</f>
        <v>FIP Engineering</v>
      </c>
      <c r="O1559" s="6" t="str">
        <f>IFERROR(__xludf.DUMMYFUNCTION("""COMPUTED_VALUE"""),"FIP-DOM-000-11304-OS00001-INA-000000")</f>
        <v>FIP-DOM-000-11304-OS00001-INA-000000</v>
      </c>
      <c r="P1559" s="6" t="str">
        <f>IFERROR(__xludf.DUMMYFUNCTION("""COMPUTED_VALUE"""),"PO Closed")</f>
        <v>PO Closed</v>
      </c>
      <c r="Q1559" s="6" t="str">
        <f>IFERROR(__xludf.DUMMYFUNCTION("""COMPUTED_VALUE"""),"GL2109039")</f>
        <v>GL2109039</v>
      </c>
      <c r="R1559" s="57">
        <f>IFERROR(__xludf.DUMMYFUNCTION("""COMPUTED_VALUE"""),44453.0)</f>
        <v>44453</v>
      </c>
      <c r="S1559" s="6" t="str">
        <f>IFERROR(__xludf.DUMMYFUNCTION("""COMPUTED_VALUE"""),"-")</f>
        <v>-</v>
      </c>
      <c r="T1559" s="57">
        <f>IFERROR(__xludf.DUMMYFUNCTION("""COMPUTED_VALUE"""),44477.0)</f>
        <v>44477</v>
      </c>
    </row>
    <row r="1560">
      <c r="A1560" s="6" t="str">
        <f>IFERROR(__xludf.DUMMYFUNCTION("""COMPUTED_VALUE"""),"211750342-1")</f>
        <v>211750342-1</v>
      </c>
      <c r="B1560" s="6" t="str">
        <f>IFERROR(__xludf.DUMMYFUNCTION("""COMPUTED_VALUE"""),"211750342 - Approved")</f>
        <v>211750342 - Approved</v>
      </c>
      <c r="C1560" s="6">
        <f>IFERROR(__xludf.DUMMYFUNCTION("""COMPUTED_VALUE"""),1.0)</f>
        <v>1</v>
      </c>
      <c r="D1560" s="6" t="str">
        <f>IFERROR(__xludf.DUMMYFUNCTION("""COMPUTED_VALUE"""),"S-60050-00")</f>
        <v>S-60050-00</v>
      </c>
      <c r="E1560" s="6" t="str">
        <f>IFERROR(__xludf.DUMMYFUNCTION("""COMPUTED_VALUE"""),"Pembuatan Selang Silicone Foodgrade + Ferrule ConnectorPMS")</f>
        <v>Pembuatan Selang Silicone Foodgrade + Ferrule ConnectorPMS</v>
      </c>
      <c r="F1560" s="6">
        <f>IFERROR(__xludf.DUMMYFUNCTION("""COMPUTED_VALUE"""),1.0)</f>
        <v>1</v>
      </c>
      <c r="G1560" s="6" t="str">
        <f>IFERROR(__xludf.DUMMYFUNCTION("""COMPUTED_VALUE"""),"Pieces")</f>
        <v>Pieces</v>
      </c>
      <c r="H1560" s="6" t="str">
        <f>IFERROR(__xludf.DUMMYFUNCTION("""COMPUTED_VALUE"""),"IDR")</f>
        <v>IDR</v>
      </c>
      <c r="I1560" s="6">
        <f>IFERROR(__xludf.DUMMYFUNCTION("""COMPUTED_VALUE"""),9400000.0)</f>
        <v>9400000</v>
      </c>
      <c r="J1560" s="6">
        <f>IFERROR(__xludf.DUMMYFUNCTION("""COMPUTED_VALUE"""),9400000.0)</f>
        <v>9400000</v>
      </c>
      <c r="K1560" s="57">
        <f>IFERROR(__xludf.DUMMYFUNCTION("""COMPUTED_VALUE"""),44491.0)</f>
        <v>44491</v>
      </c>
      <c r="L1560" s="6" t="str">
        <f>IFERROR(__xludf.DUMMYFUNCTION("""COMPUTED_VALUE"""),"FIP General")</f>
        <v>FIP General</v>
      </c>
      <c r="M1560" s="6" t="str">
        <f>IFERROR(__xludf.DUMMYFUNCTION("""COMPUTED_VALUE"""),"Irwan Sopian")</f>
        <v>Irwan Sopian</v>
      </c>
      <c r="N1560" s="6" t="str">
        <f>IFERROR(__xludf.DUMMYFUNCTION("""COMPUTED_VALUE"""),"FIP Engineering")</f>
        <v>FIP Engineering</v>
      </c>
      <c r="O1560" s="6" t="str">
        <f>IFERROR(__xludf.DUMMYFUNCTION("""COMPUTED_VALUE"""),"FIP-DOM-ENG-51504-0000000-INA-000000")</f>
        <v>FIP-DOM-ENG-51504-0000000-INA-000000</v>
      </c>
      <c r="P1560" s="6" t="str">
        <f>IFERROR(__xludf.DUMMYFUNCTION("""COMPUTED_VALUE"""),"PO Closed")</f>
        <v>PO Closed</v>
      </c>
      <c r="Q1560" s="6" t="str">
        <f>IFERROR(__xludf.DUMMYFUNCTION("""COMPUTED_VALUE"""),"GL2110017")</f>
        <v>GL2110017</v>
      </c>
      <c r="R1560" s="57">
        <f>IFERROR(__xludf.DUMMYFUNCTION("""COMPUTED_VALUE"""),44460.0)</f>
        <v>44460</v>
      </c>
      <c r="S1560" s="6" t="str">
        <f>IFERROR(__xludf.DUMMYFUNCTION("""COMPUTED_VALUE"""),"-")</f>
        <v>-</v>
      </c>
      <c r="T1560" s="57">
        <f>IFERROR(__xludf.DUMMYFUNCTION("""COMPUTED_VALUE"""),44495.0)</f>
        <v>44495</v>
      </c>
    </row>
    <row r="1561">
      <c r="A1561" s="6" t="str">
        <f>IFERROR(__xludf.DUMMYFUNCTION("""COMPUTED_VALUE"""),"211750344-1")</f>
        <v>211750344-1</v>
      </c>
      <c r="B1561" s="6" t="str">
        <f>IFERROR(__xludf.DUMMYFUNCTION("""COMPUTED_VALUE"""),"211750344 - Approved")</f>
        <v>211750344 - Approved</v>
      </c>
      <c r="C1561" s="6">
        <f>IFERROR(__xludf.DUMMYFUNCTION("""COMPUTED_VALUE"""),1.0)</f>
        <v>1</v>
      </c>
      <c r="D1561" s="6" t="str">
        <f>IFERROR(__xludf.DUMMYFUNCTION("""COMPUTED_VALUE"""),"P-53133-00")</f>
        <v>P-53133-00</v>
      </c>
      <c r="E1561" s="6" t="str">
        <f>IFERROR(__xludf.DUMMYFUNCTION("""COMPUTED_VALUE"""),"Kabel Belden AWG 22")</f>
        <v>Kabel Belden AWG 22</v>
      </c>
      <c r="F1561" s="6">
        <f>IFERROR(__xludf.DUMMYFUNCTION("""COMPUTED_VALUE"""),1.0)</f>
        <v>1</v>
      </c>
      <c r="G1561" s="6" t="str">
        <f>IFERROR(__xludf.DUMMYFUNCTION("""COMPUTED_VALUE"""),"Roll")</f>
        <v>Roll</v>
      </c>
      <c r="H1561" s="6" t="str">
        <f>IFERROR(__xludf.DUMMYFUNCTION("""COMPUTED_VALUE"""),"IDR")</f>
        <v>IDR</v>
      </c>
      <c r="I1561" s="6">
        <f>IFERROR(__xludf.DUMMYFUNCTION("""COMPUTED_VALUE"""),3240000.0)</f>
        <v>3240000</v>
      </c>
      <c r="J1561" s="6">
        <f>IFERROR(__xludf.DUMMYFUNCTION("""COMPUTED_VALUE"""),3240000.0)</f>
        <v>3240000</v>
      </c>
      <c r="K1561" s="57">
        <f>IFERROR(__xludf.DUMMYFUNCTION("""COMPUTED_VALUE"""),44491.0)</f>
        <v>44491</v>
      </c>
      <c r="L1561" s="6" t="str">
        <f>IFERROR(__xludf.DUMMYFUNCTION("""COMPUTED_VALUE"""),"FIP Engineering")</f>
        <v>FIP Engineering</v>
      </c>
      <c r="M1561" s="6" t="str">
        <f>IFERROR(__xludf.DUMMYFUNCTION("""COMPUTED_VALUE"""),"Irwan Sopian")</f>
        <v>Irwan Sopian</v>
      </c>
      <c r="N1561" s="6" t="str">
        <f>IFERROR(__xludf.DUMMYFUNCTION("""COMPUTED_VALUE"""),"FIP Engineering")</f>
        <v>FIP Engineering</v>
      </c>
      <c r="O1561" s="6" t="str">
        <f>IFERROR(__xludf.DUMMYFUNCTION("""COMPUTED_VALUE"""),"FIP-DOM-000-11304-OS00001-INA-000000")</f>
        <v>FIP-DOM-000-11304-OS00001-INA-000000</v>
      </c>
      <c r="P1561" s="6" t="str">
        <f>IFERROR(__xludf.DUMMYFUNCTION("""COMPUTED_VALUE"""),"PO Closed")</f>
        <v>PO Closed</v>
      </c>
      <c r="Q1561" s="6" t="str">
        <f>IFERROR(__xludf.DUMMYFUNCTION("""COMPUTED_VALUE"""),"GL2110019")</f>
        <v>GL2110019</v>
      </c>
      <c r="R1561" s="57">
        <f>IFERROR(__xludf.DUMMYFUNCTION("""COMPUTED_VALUE"""),44461.0)</f>
        <v>44461</v>
      </c>
      <c r="S1561" s="6" t="str">
        <f>IFERROR(__xludf.DUMMYFUNCTION("""COMPUTED_VALUE"""),"-")</f>
        <v>-</v>
      </c>
      <c r="T1561" s="57">
        <f>IFERROR(__xludf.DUMMYFUNCTION("""COMPUTED_VALUE"""),44494.0)</f>
        <v>44494</v>
      </c>
    </row>
    <row r="1562">
      <c r="A1562" s="6" t="str">
        <f>IFERROR(__xludf.DUMMYFUNCTION("""COMPUTED_VALUE"""),"211750343-1")</f>
        <v>211750343-1</v>
      </c>
      <c r="B1562" s="6" t="str">
        <f>IFERROR(__xludf.DUMMYFUNCTION("""COMPUTED_VALUE"""),"211750343 - Approved")</f>
        <v>211750343 - Approved</v>
      </c>
      <c r="C1562" s="6">
        <f>IFERROR(__xludf.DUMMYFUNCTION("""COMPUTED_VALUE"""),1.0)</f>
        <v>1</v>
      </c>
      <c r="D1562" s="6" t="str">
        <f>IFERROR(__xludf.DUMMYFUNCTION("""COMPUTED_VALUE"""),"S-60050-00")</f>
        <v>S-60050-00</v>
      </c>
      <c r="E1562" s="6" t="str">
        <f>IFERROR(__xludf.DUMMYFUNCTION("""COMPUTED_VALUE"""),"Repair Nozzle Mesin EDM")</f>
        <v>Repair Nozzle Mesin EDM</v>
      </c>
      <c r="F1562" s="6">
        <f>IFERROR(__xludf.DUMMYFUNCTION("""COMPUTED_VALUE"""),2.0)</f>
        <v>2</v>
      </c>
      <c r="G1562" s="6" t="str">
        <f>IFERROR(__xludf.DUMMYFUNCTION("""COMPUTED_VALUE"""),"Pieces")</f>
        <v>Pieces</v>
      </c>
      <c r="H1562" s="6" t="str">
        <f>IFERROR(__xludf.DUMMYFUNCTION("""COMPUTED_VALUE"""),"IDR")</f>
        <v>IDR</v>
      </c>
      <c r="I1562" s="6">
        <f>IFERROR(__xludf.DUMMYFUNCTION("""COMPUTED_VALUE"""),885000.0)</f>
        <v>885000</v>
      </c>
      <c r="J1562" s="6">
        <f>IFERROR(__xludf.DUMMYFUNCTION("""COMPUTED_VALUE"""),1770000.0)</f>
        <v>1770000</v>
      </c>
      <c r="K1562" s="57">
        <f>IFERROR(__xludf.DUMMYFUNCTION("""COMPUTED_VALUE"""),44491.0)</f>
        <v>44491</v>
      </c>
      <c r="L1562" s="6" t="str">
        <f>IFERROR(__xludf.DUMMYFUNCTION("""COMPUTED_VALUE"""),"FIP General")</f>
        <v>FIP General</v>
      </c>
      <c r="M1562" s="6" t="str">
        <f>IFERROR(__xludf.DUMMYFUNCTION("""COMPUTED_VALUE"""),"Irwan Sopian")</f>
        <v>Irwan Sopian</v>
      </c>
      <c r="N1562" s="6" t="str">
        <f>IFERROR(__xludf.DUMMYFUNCTION("""COMPUTED_VALUE"""),"FIP Engineering")</f>
        <v>FIP Engineering</v>
      </c>
      <c r="O1562" s="6" t="str">
        <f>IFERROR(__xludf.DUMMYFUNCTION("""COMPUTED_VALUE"""),"FIP-DOM-ENG-51504-0000000-INA-000000")</f>
        <v>FIP-DOM-ENG-51504-0000000-INA-000000</v>
      </c>
      <c r="P1562" s="6" t="str">
        <f>IFERROR(__xludf.DUMMYFUNCTION("""COMPUTED_VALUE"""),"PO Closed")</f>
        <v>PO Closed</v>
      </c>
      <c r="Q1562" s="6" t="str">
        <f>IFERROR(__xludf.DUMMYFUNCTION("""COMPUTED_VALUE"""),"GL2110018")</f>
        <v>GL2110018</v>
      </c>
      <c r="R1562" s="57">
        <f>IFERROR(__xludf.DUMMYFUNCTION("""COMPUTED_VALUE"""),44461.0)</f>
        <v>44461</v>
      </c>
      <c r="S1562" s="6" t="str">
        <f>IFERROR(__xludf.DUMMYFUNCTION("""COMPUTED_VALUE"""),"-")</f>
        <v>-</v>
      </c>
      <c r="T1562" s="57">
        <f>IFERROR(__xludf.DUMMYFUNCTION("""COMPUTED_VALUE"""),44499.0)</f>
        <v>44499</v>
      </c>
    </row>
    <row r="1563">
      <c r="A1563" s="6" t="str">
        <f>IFERROR(__xludf.DUMMYFUNCTION("""COMPUTED_VALUE"""),"211750345-1")</f>
        <v>211750345-1</v>
      </c>
      <c r="B1563" s="6" t="str">
        <f>IFERROR(__xludf.DUMMYFUNCTION("""COMPUTED_VALUE"""),"211750345 - Approved")</f>
        <v>211750345 - Approved</v>
      </c>
      <c r="C1563" s="6">
        <f>IFERROR(__xludf.DUMMYFUNCTION("""COMPUTED_VALUE"""),1.0)</f>
        <v>1</v>
      </c>
      <c r="D1563" s="6" t="str">
        <f>IFERROR(__xludf.DUMMYFUNCTION("""COMPUTED_VALUE"""),"R-71000-00")</f>
        <v>R-71000-00</v>
      </c>
      <c r="E1563" s="6" t="str">
        <f>IFERROR(__xludf.DUMMYFUNCTION("""COMPUTED_VALUE"""),"Pembuatan Dinding Musholla Kantin")</f>
        <v>Pembuatan Dinding Musholla Kantin</v>
      </c>
      <c r="F1563" s="6">
        <f>IFERROR(__xludf.DUMMYFUNCTION("""COMPUTED_VALUE"""),1.0)</f>
        <v>1</v>
      </c>
      <c r="G1563" s="6" t="str">
        <f>IFERROR(__xludf.DUMMYFUNCTION("""COMPUTED_VALUE"""),"Unit")</f>
        <v>Unit</v>
      </c>
      <c r="H1563" s="6" t="str">
        <f>IFERROR(__xludf.DUMMYFUNCTION("""COMPUTED_VALUE"""),"IDR")</f>
        <v>IDR</v>
      </c>
      <c r="I1563" s="6">
        <f>IFERROR(__xludf.DUMMYFUNCTION("""COMPUTED_VALUE"""),5488480.0)</f>
        <v>5488480</v>
      </c>
      <c r="J1563" s="6">
        <f>IFERROR(__xludf.DUMMYFUNCTION("""COMPUTED_VALUE"""),5488480.0)</f>
        <v>5488480</v>
      </c>
      <c r="K1563" s="57">
        <f>IFERROR(__xludf.DUMMYFUNCTION("""COMPUTED_VALUE"""),44512.0)</f>
        <v>44512</v>
      </c>
      <c r="L1563" s="6" t="str">
        <f>IFERROR(__xludf.DUMMYFUNCTION("""COMPUTED_VALUE"""),"FIP General")</f>
        <v>FIP General</v>
      </c>
      <c r="M1563" s="6" t="str">
        <f>IFERROR(__xludf.DUMMYFUNCTION("""COMPUTED_VALUE"""),"Irwan Sopian")</f>
        <v>Irwan Sopian</v>
      </c>
      <c r="N1563" s="6" t="str">
        <f>IFERROR(__xludf.DUMMYFUNCTION("""COMPUTED_VALUE"""),"FIP Engineering")</f>
        <v>FIP Engineering</v>
      </c>
      <c r="O1563" s="6" t="str">
        <f>IFERROR(__xludf.DUMMYFUNCTION("""COMPUTED_VALUE"""),"FIP-DOM-ENG-13402-BL21002-INA-000000")</f>
        <v>FIP-DOM-ENG-13402-BL21002-INA-000000</v>
      </c>
      <c r="P1563" s="6" t="str">
        <f>IFERROR(__xludf.DUMMYFUNCTION("""COMPUTED_VALUE"""),"PO Closed")</f>
        <v>PO Closed</v>
      </c>
      <c r="Q1563" s="6" t="str">
        <f>IFERROR(__xludf.DUMMYFUNCTION("""COMPUTED_VALUE"""),"GL2111001")</f>
        <v>GL2111001</v>
      </c>
      <c r="R1563" s="57">
        <f>IFERROR(__xludf.DUMMYFUNCTION("""COMPUTED_VALUE"""),44463.0)</f>
        <v>44463</v>
      </c>
      <c r="S1563" s="6" t="str">
        <f>IFERROR(__xludf.DUMMYFUNCTION("""COMPUTED_VALUE"""),"-")</f>
        <v>-</v>
      </c>
      <c r="T1563" s="57">
        <f>IFERROR(__xludf.DUMMYFUNCTION("""COMPUTED_VALUE"""),44541.0)</f>
        <v>44541</v>
      </c>
    </row>
    <row r="1564">
      <c r="A1564" s="6" t="str">
        <f>IFERROR(__xludf.DUMMYFUNCTION("""COMPUTED_VALUE"""),"211750350-1")</f>
        <v>211750350-1</v>
      </c>
      <c r="B1564" s="6" t="str">
        <f>IFERROR(__xludf.DUMMYFUNCTION("""COMPUTED_VALUE"""),"211750350 - Approved")</f>
        <v>211750350 - Approved</v>
      </c>
      <c r="C1564" s="6">
        <f>IFERROR(__xludf.DUMMYFUNCTION("""COMPUTED_VALUE"""),1.0)</f>
        <v>1</v>
      </c>
      <c r="D1564" s="6" t="str">
        <f>IFERROR(__xludf.DUMMYFUNCTION("""COMPUTED_VALUE"""),"O-12868-00")</f>
        <v>O-12868-00</v>
      </c>
      <c r="E1564" s="6" t="str">
        <f>IFERROR(__xludf.DUMMYFUNCTION("""COMPUTED_VALUE"""),"Emflon PFR Membrane Filter Cartridges 0.2 um PALL P/N : AB05 PFR2 PVH4 pc")</f>
        <v>Emflon PFR Membrane Filter Cartridges 0.2 um PALL P/N : AB05 PFR2 PVH4 pc</v>
      </c>
      <c r="F1564" s="6">
        <f>IFERROR(__xludf.DUMMYFUNCTION("""COMPUTED_VALUE"""),1.0)</f>
        <v>1</v>
      </c>
      <c r="G1564" s="6" t="str">
        <f>IFERROR(__xludf.DUMMYFUNCTION("""COMPUTED_VALUE"""),"Pieces")</f>
        <v>Pieces</v>
      </c>
      <c r="H1564" s="6" t="str">
        <f>IFERROR(__xludf.DUMMYFUNCTION("""COMPUTED_VALUE"""),"IDR")</f>
        <v>IDR</v>
      </c>
      <c r="I1564" s="6">
        <f>IFERROR(__xludf.DUMMYFUNCTION("""COMPUTED_VALUE"""),3850000.0)</f>
        <v>3850000</v>
      </c>
      <c r="J1564" s="6">
        <f>IFERROR(__xludf.DUMMYFUNCTION("""COMPUTED_VALUE"""),3850000.0)</f>
        <v>3850000</v>
      </c>
      <c r="K1564" s="57">
        <f>IFERROR(__xludf.DUMMYFUNCTION("""COMPUTED_VALUE"""),44498.0)</f>
        <v>44498</v>
      </c>
      <c r="L1564" s="6" t="str">
        <f>IFERROR(__xludf.DUMMYFUNCTION("""COMPUTED_VALUE"""),"FIP Engineering")</f>
        <v>FIP Engineering</v>
      </c>
      <c r="M1564" s="6" t="str">
        <f>IFERROR(__xludf.DUMMYFUNCTION("""COMPUTED_VALUE"""),"Irwan Sopian")</f>
        <v>Irwan Sopian</v>
      </c>
      <c r="N1564" s="6" t="str">
        <f>IFERROR(__xludf.DUMMYFUNCTION("""COMPUTED_VALUE"""),"FIP Engineering")</f>
        <v>FIP Engineering</v>
      </c>
      <c r="O1564" s="6" t="str">
        <f>IFERROR(__xludf.DUMMYFUNCTION("""COMPUTED_VALUE"""),"FIP-DOM-000-11304-OS00001-INA-000000")</f>
        <v>FIP-DOM-000-11304-OS00001-INA-000000</v>
      </c>
      <c r="P1564" s="6" t="str">
        <f>IFERROR(__xludf.DUMMYFUNCTION("""COMPUTED_VALUE"""),"PO Closed")</f>
        <v>PO Closed</v>
      </c>
      <c r="Q1564" s="6" t="str">
        <f>IFERROR(__xludf.DUMMYFUNCTION("""COMPUTED_VALUE"""),"GL2110042")</f>
        <v>GL2110042</v>
      </c>
      <c r="R1564" s="57">
        <f>IFERROR(__xludf.DUMMYFUNCTION("""COMPUTED_VALUE"""),44466.0)</f>
        <v>44466</v>
      </c>
      <c r="S1564" s="6" t="str">
        <f>IFERROR(__xludf.DUMMYFUNCTION("""COMPUTED_VALUE"""),"-")</f>
        <v>-</v>
      </c>
      <c r="T1564" s="57">
        <f>IFERROR(__xludf.DUMMYFUNCTION("""COMPUTED_VALUE"""),44579.0)</f>
        <v>44579</v>
      </c>
    </row>
    <row r="1565">
      <c r="A1565" s="6" t="str">
        <f>IFERROR(__xludf.DUMMYFUNCTION("""COMPUTED_VALUE"""),"211750350-2")</f>
        <v>211750350-2</v>
      </c>
      <c r="B1565" s="6" t="str">
        <f>IFERROR(__xludf.DUMMYFUNCTION("""COMPUTED_VALUE"""),"211750350 - Approved")</f>
        <v>211750350 - Approved</v>
      </c>
      <c r="C1565" s="6">
        <f>IFERROR(__xludf.DUMMYFUNCTION("""COMPUTED_VALUE"""),2.0)</f>
        <v>2</v>
      </c>
      <c r="D1565" s="6" t="str">
        <f>IFERROR(__xludf.DUMMYFUNCTION("""COMPUTED_VALUE"""),"P-17390-00")</f>
        <v>P-17390-00</v>
      </c>
      <c r="E1565" s="6" t="str">
        <f>IFERROR(__xludf.DUMMYFUNCTION("""COMPUTED_VALUE"""),"PALL - AB1PFR7PVH4, 0.2 um; ; ;")</f>
        <v>PALL - AB1PFR7PVH4, 0.2 um; ; ;</v>
      </c>
      <c r="F1565" s="6">
        <f>IFERROR(__xludf.DUMMYFUNCTION("""COMPUTED_VALUE"""),1.0)</f>
        <v>1</v>
      </c>
      <c r="G1565" s="6" t="str">
        <f>IFERROR(__xludf.DUMMYFUNCTION("""COMPUTED_VALUE"""),"Pieces")</f>
        <v>Pieces</v>
      </c>
      <c r="H1565" s="6" t="str">
        <f>IFERROR(__xludf.DUMMYFUNCTION("""COMPUTED_VALUE"""),"IDR")</f>
        <v>IDR</v>
      </c>
      <c r="I1565" s="6">
        <f>IFERROR(__xludf.DUMMYFUNCTION("""COMPUTED_VALUE"""),5780000.0)</f>
        <v>5780000</v>
      </c>
      <c r="J1565" s="6">
        <f>IFERROR(__xludf.DUMMYFUNCTION("""COMPUTED_VALUE"""),5780000.0)</f>
        <v>5780000</v>
      </c>
      <c r="K1565" s="57">
        <f>IFERROR(__xludf.DUMMYFUNCTION("""COMPUTED_VALUE"""),44498.0)</f>
        <v>44498</v>
      </c>
      <c r="L1565" s="6" t="str">
        <f>IFERROR(__xludf.DUMMYFUNCTION("""COMPUTED_VALUE"""),"FIP Engineering")</f>
        <v>FIP Engineering</v>
      </c>
      <c r="M1565" s="6" t="str">
        <f>IFERROR(__xludf.DUMMYFUNCTION("""COMPUTED_VALUE"""),"Irwan Sopian")</f>
        <v>Irwan Sopian</v>
      </c>
      <c r="N1565" s="6" t="str">
        <f>IFERROR(__xludf.DUMMYFUNCTION("""COMPUTED_VALUE"""),"FIP Engineering")</f>
        <v>FIP Engineering</v>
      </c>
      <c r="O1565" s="6" t="str">
        <f>IFERROR(__xludf.DUMMYFUNCTION("""COMPUTED_VALUE"""),"FIP-DOM-000-11304-OS00001-INA-000000")</f>
        <v>FIP-DOM-000-11304-OS00001-INA-000000</v>
      </c>
      <c r="P1565" s="6" t="str">
        <f>IFERROR(__xludf.DUMMYFUNCTION("""COMPUTED_VALUE"""),"PO Closed")</f>
        <v>PO Closed</v>
      </c>
      <c r="Q1565" s="6" t="str">
        <f>IFERROR(__xludf.DUMMYFUNCTION("""COMPUTED_VALUE"""),"GL2110042")</f>
        <v>GL2110042</v>
      </c>
      <c r="R1565" s="57">
        <f>IFERROR(__xludf.DUMMYFUNCTION("""COMPUTED_VALUE"""),44466.0)</f>
        <v>44466</v>
      </c>
      <c r="S1565" s="6" t="str">
        <f>IFERROR(__xludf.DUMMYFUNCTION("""COMPUTED_VALUE"""),"-")</f>
        <v>-</v>
      </c>
      <c r="T1565" s="57">
        <f>IFERROR(__xludf.DUMMYFUNCTION("""COMPUTED_VALUE"""),44505.0)</f>
        <v>44505</v>
      </c>
    </row>
    <row r="1566">
      <c r="A1566" s="6" t="str">
        <f>IFERROR(__xludf.DUMMYFUNCTION("""COMPUTED_VALUE"""),"211750348-1")</f>
        <v>211750348-1</v>
      </c>
      <c r="B1566" s="6" t="str">
        <f>IFERROR(__xludf.DUMMYFUNCTION("""COMPUTED_VALUE"""),"211750348 - Approved")</f>
        <v>211750348 - Approved</v>
      </c>
      <c r="C1566" s="6">
        <f>IFERROR(__xludf.DUMMYFUNCTION("""COMPUTED_VALUE"""),1.0)</f>
        <v>1</v>
      </c>
      <c r="D1566" s="6" t="str">
        <f>IFERROR(__xludf.DUMMYFUNCTION("""COMPUTED_VALUE"""),"R-71000-00")</f>
        <v>R-71000-00</v>
      </c>
      <c r="E1566" s="6" t="str">
        <f>IFERROR(__xludf.DUMMYFUNCTION("""COMPUTED_VALUE"""),"Pembuatan Partisi Koridor Arah Koridor QA-Kantin")</f>
        <v>Pembuatan Partisi Koridor Arah Koridor QA-Kantin</v>
      </c>
      <c r="F1566" s="6">
        <f>IFERROR(__xludf.DUMMYFUNCTION("""COMPUTED_VALUE"""),1.0)</f>
        <v>1</v>
      </c>
      <c r="G1566" s="6" t="str">
        <f>IFERROR(__xludf.DUMMYFUNCTION("""COMPUTED_VALUE"""),"Unit")</f>
        <v>Unit</v>
      </c>
      <c r="H1566" s="6" t="str">
        <f>IFERROR(__xludf.DUMMYFUNCTION("""COMPUTED_VALUE"""),"IDR")</f>
        <v>IDR</v>
      </c>
      <c r="I1566" s="6">
        <f>IFERROR(__xludf.DUMMYFUNCTION("""COMPUTED_VALUE"""),1.243116E7)</f>
        <v>12431160</v>
      </c>
      <c r="J1566" s="6">
        <f>IFERROR(__xludf.DUMMYFUNCTION("""COMPUTED_VALUE"""),1.243116E7)</f>
        <v>12431160</v>
      </c>
      <c r="K1566" s="57">
        <f>IFERROR(__xludf.DUMMYFUNCTION("""COMPUTED_VALUE"""),44512.0)</f>
        <v>44512</v>
      </c>
      <c r="L1566" s="6" t="str">
        <f>IFERROR(__xludf.DUMMYFUNCTION("""COMPUTED_VALUE"""),"FIP General")</f>
        <v>FIP General</v>
      </c>
      <c r="M1566" s="6" t="str">
        <f>IFERROR(__xludf.DUMMYFUNCTION("""COMPUTED_VALUE"""),"Kristiawan Sakti Winarno")</f>
        <v>Kristiawan Sakti Winarno</v>
      </c>
      <c r="N1566" s="6" t="str">
        <f>IFERROR(__xludf.DUMMYFUNCTION("""COMPUTED_VALUE"""),"FIP Engineering")</f>
        <v>FIP Engineering</v>
      </c>
      <c r="O1566" s="6" t="str">
        <f>IFERROR(__xludf.DUMMYFUNCTION("""COMPUTED_VALUE"""),"FIP-DOM-ENG-13402-BL21003-INA-000000")</f>
        <v>FIP-DOM-ENG-13402-BL21003-INA-000000</v>
      </c>
      <c r="P1566" s="6" t="str">
        <f>IFERROR(__xludf.DUMMYFUNCTION("""COMPUTED_VALUE"""),"PO Closed")</f>
        <v>PO Closed</v>
      </c>
      <c r="Q1566" s="6" t="str">
        <f>IFERROR(__xludf.DUMMYFUNCTION("""COMPUTED_VALUE"""),"GL2111001")</f>
        <v>GL2111001</v>
      </c>
      <c r="R1566" s="57">
        <f>IFERROR(__xludf.DUMMYFUNCTION("""COMPUTED_VALUE"""),44466.0)</f>
        <v>44466</v>
      </c>
      <c r="S1566" s="6" t="str">
        <f>IFERROR(__xludf.DUMMYFUNCTION("""COMPUTED_VALUE"""),"-")</f>
        <v>-</v>
      </c>
      <c r="T1566" s="57">
        <f>IFERROR(__xludf.DUMMYFUNCTION("""COMPUTED_VALUE"""),44541.0)</f>
        <v>44541</v>
      </c>
    </row>
    <row r="1567">
      <c r="A1567" s="6" t="str">
        <f>IFERROR(__xludf.DUMMYFUNCTION("""COMPUTED_VALUE"""),"211750353-1")</f>
        <v>211750353-1</v>
      </c>
      <c r="B1567" s="6" t="str">
        <f>IFERROR(__xludf.DUMMYFUNCTION("""COMPUTED_VALUE"""),"211750353 - Approved")</f>
        <v>211750353 - Approved</v>
      </c>
      <c r="C1567" s="6">
        <f>IFERROR(__xludf.DUMMYFUNCTION("""COMPUTED_VALUE"""),1.0)</f>
        <v>1</v>
      </c>
      <c r="D1567" s="6" t="str">
        <f>IFERROR(__xludf.DUMMYFUNCTION("""COMPUTED_VALUE"""),"S-60002-00")</f>
        <v>S-60002-00</v>
      </c>
      <c r="E1567" s="6" t="str">
        <f>IFERROR(__xludf.DUMMYFUNCTION("""COMPUTED_VALUE"""),"Pengecekan Room Pressure RPM21603 (Karena tidak tebaca di EMS) AHU D1-4")</f>
        <v>Pengecekan Room Pressure RPM21603 (Karena tidak tebaca di EMS) AHU D1-4</v>
      </c>
      <c r="F1567" s="6">
        <f>IFERROR(__xludf.DUMMYFUNCTION("""COMPUTED_VALUE"""),1.0)</f>
        <v>1</v>
      </c>
      <c r="G1567" s="6" t="str">
        <f>IFERROR(__xludf.DUMMYFUNCTION("""COMPUTED_VALUE"""),"Lot")</f>
        <v>Lot</v>
      </c>
      <c r="H1567" s="6" t="str">
        <f>IFERROR(__xludf.DUMMYFUNCTION("""COMPUTED_VALUE"""),"IDR")</f>
        <v>IDR</v>
      </c>
      <c r="I1567" s="6">
        <f>IFERROR(__xludf.DUMMYFUNCTION("""COMPUTED_VALUE"""),1500000.0)</f>
        <v>1500000</v>
      </c>
      <c r="J1567" s="6">
        <f>IFERROR(__xludf.DUMMYFUNCTION("""COMPUTED_VALUE"""),1500000.0)</f>
        <v>1500000</v>
      </c>
      <c r="K1567" s="57">
        <f>IFERROR(__xludf.DUMMYFUNCTION("""COMPUTED_VALUE"""),44498.0)</f>
        <v>44498</v>
      </c>
      <c r="L1567" s="6" t="str">
        <f>IFERROR(__xludf.DUMMYFUNCTION("""COMPUTED_VALUE"""),"FIP General")</f>
        <v>FIP General</v>
      </c>
      <c r="M1567" s="6" t="str">
        <f>IFERROR(__xludf.DUMMYFUNCTION("""COMPUTED_VALUE"""),"Irwan Sopian")</f>
        <v>Irwan Sopian</v>
      </c>
      <c r="N1567" s="6" t="str">
        <f>IFERROR(__xludf.DUMMYFUNCTION("""COMPUTED_VALUE"""),"FIP Engineering")</f>
        <v>FIP Engineering</v>
      </c>
      <c r="O1567" s="6" t="str">
        <f>IFERROR(__xludf.DUMMYFUNCTION("""COMPUTED_VALUE"""),"FIP-DOM-ENG-51508-0000000-INA-000000")</f>
        <v>FIP-DOM-ENG-51508-0000000-INA-000000</v>
      </c>
      <c r="P1567" s="6" t="str">
        <f>IFERROR(__xludf.DUMMYFUNCTION("""COMPUTED_VALUE"""),"PO Closed")</f>
        <v>PO Closed</v>
      </c>
      <c r="Q1567" s="6" t="str">
        <f>IFERROR(__xludf.DUMMYFUNCTION("""COMPUTED_VALUE"""),"GL2110021")</f>
        <v>GL2110021</v>
      </c>
      <c r="R1567" s="57">
        <f>IFERROR(__xludf.DUMMYFUNCTION("""COMPUTED_VALUE"""),44469.0)</f>
        <v>44469</v>
      </c>
      <c r="S1567" s="6" t="str">
        <f>IFERROR(__xludf.DUMMYFUNCTION("""COMPUTED_VALUE"""),"-")</f>
        <v>-</v>
      </c>
      <c r="T1567" s="57">
        <f>IFERROR(__xludf.DUMMYFUNCTION("""COMPUTED_VALUE"""),44499.0)</f>
        <v>44499</v>
      </c>
    </row>
    <row r="1568">
      <c r="A1568" s="6" t="str">
        <f>IFERROR(__xludf.DUMMYFUNCTION("""COMPUTED_VALUE"""),"211750349-4")</f>
        <v>211750349-4</v>
      </c>
      <c r="B1568" s="6" t="str">
        <f>IFERROR(__xludf.DUMMYFUNCTION("""COMPUTED_VALUE"""),"211750349 - Approved")</f>
        <v>211750349 - Approved</v>
      </c>
      <c r="C1568" s="6">
        <f>IFERROR(__xludf.DUMMYFUNCTION("""COMPUTED_VALUE"""),4.0)</f>
        <v>4</v>
      </c>
      <c r="D1568" s="6" t="str">
        <f>IFERROR(__xludf.DUMMYFUNCTION("""COMPUTED_VALUE"""),"R-20002-00")</f>
        <v>R-20002-00</v>
      </c>
      <c r="E1568" s="6" t="str">
        <f>IFERROR(__xludf.DUMMYFUNCTION("""COMPUTED_VALUE"""),"Automatic Valve GEMU DN20 + Connector Ferrule Sampling TOC")</f>
        <v>Automatic Valve GEMU DN20 + Connector Ferrule Sampling TOC</v>
      </c>
      <c r="F1568" s="6">
        <f>IFERROR(__xludf.DUMMYFUNCTION("""COMPUTED_VALUE"""),1.0)</f>
        <v>1</v>
      </c>
      <c r="G1568" s="6" t="str">
        <f>IFERROR(__xludf.DUMMYFUNCTION("""COMPUTED_VALUE"""),"Unit")</f>
        <v>Unit</v>
      </c>
      <c r="H1568" s="6" t="str">
        <f>IFERROR(__xludf.DUMMYFUNCTION("""COMPUTED_VALUE"""),"IDR")</f>
        <v>IDR</v>
      </c>
      <c r="I1568" s="6">
        <f>IFERROR(__xludf.DUMMYFUNCTION("""COMPUTED_VALUE"""),9200000.0)</f>
        <v>9200000</v>
      </c>
      <c r="J1568" s="6">
        <f>IFERROR(__xludf.DUMMYFUNCTION("""COMPUTED_VALUE"""),9200000.0)</f>
        <v>9200000</v>
      </c>
      <c r="K1568" s="57">
        <f>IFERROR(__xludf.DUMMYFUNCTION("""COMPUTED_VALUE"""),44505.0)</f>
        <v>44505</v>
      </c>
      <c r="L1568" s="6" t="str">
        <f>IFERROR(__xludf.DUMMYFUNCTION("""COMPUTED_VALUE"""),"FIP General")</f>
        <v>FIP General</v>
      </c>
      <c r="M1568" s="6" t="str">
        <f>IFERROR(__xludf.DUMMYFUNCTION("""COMPUTED_VALUE"""),"Kristiawan Sakti Winarno")</f>
        <v>Kristiawan Sakti Winarno</v>
      </c>
      <c r="N1568" s="6" t="str">
        <f>IFERROR(__xludf.DUMMYFUNCTION("""COMPUTED_VALUE"""),"FIP Engineering")</f>
        <v>FIP Engineering</v>
      </c>
      <c r="O1568" s="6" t="str">
        <f>IFERROR(__xludf.DUMMYFUNCTION("""COMPUTED_VALUE"""),"FIP-DOM-ENG-13405-EQ21009-INA-000000")</f>
        <v>FIP-DOM-ENG-13405-EQ21009-INA-000000</v>
      </c>
      <c r="P1568" s="6" t="str">
        <f>IFERROR(__xludf.DUMMYFUNCTION("""COMPUTED_VALUE"""),"PO Closed")</f>
        <v>PO Closed</v>
      </c>
      <c r="Q1568" s="6" t="str">
        <f>IFERROR(__xludf.DUMMYFUNCTION("""COMPUTED_VALUE"""),"GL2111046")</f>
        <v>GL2111046</v>
      </c>
      <c r="R1568" s="57">
        <f>IFERROR(__xludf.DUMMYFUNCTION("""COMPUTED_VALUE"""),44469.0)</f>
        <v>44469</v>
      </c>
      <c r="S1568" s="6" t="str">
        <f>IFERROR(__xludf.DUMMYFUNCTION("""COMPUTED_VALUE"""),"-")</f>
        <v>-</v>
      </c>
      <c r="T1568" s="57">
        <f>IFERROR(__xludf.DUMMYFUNCTION("""COMPUTED_VALUE"""),44560.0)</f>
        <v>44560</v>
      </c>
    </row>
    <row r="1569">
      <c r="A1569" s="6" t="str">
        <f>IFERROR(__xludf.DUMMYFUNCTION("""COMPUTED_VALUE"""),"211750362-1")</f>
        <v>211750362-1</v>
      </c>
      <c r="B1569" s="6" t="str">
        <f>IFERROR(__xludf.DUMMYFUNCTION("""COMPUTED_VALUE"""),"211750362 - Approved")</f>
        <v>211750362 - Approved</v>
      </c>
      <c r="C1569" s="6">
        <f>IFERROR(__xludf.DUMMYFUNCTION("""COMPUTED_VALUE"""),1.0)</f>
        <v>1</v>
      </c>
      <c r="D1569" s="6" t="str">
        <f>IFERROR(__xludf.DUMMYFUNCTION("""COMPUTED_VALUE"""),"P-52160-00")</f>
        <v>P-52160-00</v>
      </c>
      <c r="E1569" s="6" t="str">
        <f>IFERROR(__xludf.DUMMYFUNCTION("""COMPUTED_VALUE"""),"Valve Actuator 1000N Stroke 20mm Siemens Type : SKD60")</f>
        <v>Valve Actuator 1000N Stroke 20mm Siemens Type : SKD60</v>
      </c>
      <c r="F1569" s="6">
        <f>IFERROR(__xludf.DUMMYFUNCTION("""COMPUTED_VALUE"""),1.0)</f>
        <v>1</v>
      </c>
      <c r="G1569" s="6" t="str">
        <f>IFERROR(__xludf.DUMMYFUNCTION("""COMPUTED_VALUE"""),"Unit")</f>
        <v>Unit</v>
      </c>
      <c r="H1569" s="6" t="str">
        <f>IFERROR(__xludf.DUMMYFUNCTION("""COMPUTED_VALUE"""),"IDR")</f>
        <v>IDR</v>
      </c>
      <c r="I1569" s="6">
        <f>IFERROR(__xludf.DUMMYFUNCTION("""COMPUTED_VALUE"""),9800000.0)</f>
        <v>9800000</v>
      </c>
      <c r="J1569" s="6">
        <f>IFERROR(__xludf.DUMMYFUNCTION("""COMPUTED_VALUE"""),9800000.0)</f>
        <v>9800000</v>
      </c>
      <c r="K1569" s="57">
        <f>IFERROR(__xludf.DUMMYFUNCTION("""COMPUTED_VALUE"""),44512.0)</f>
        <v>44512</v>
      </c>
      <c r="L1569" s="6" t="str">
        <f>IFERROR(__xludf.DUMMYFUNCTION("""COMPUTED_VALUE"""),"FIP Engineering")</f>
        <v>FIP Engineering</v>
      </c>
      <c r="M1569" s="6" t="str">
        <f>IFERROR(__xludf.DUMMYFUNCTION("""COMPUTED_VALUE"""),"Irwan Sopian")</f>
        <v>Irwan Sopian</v>
      </c>
      <c r="N1569" s="6" t="str">
        <f>IFERROR(__xludf.DUMMYFUNCTION("""COMPUTED_VALUE"""),"FIP Engineering")</f>
        <v>FIP Engineering</v>
      </c>
      <c r="O1569" s="6" t="str">
        <f>IFERROR(__xludf.DUMMYFUNCTION("""COMPUTED_VALUE"""),"FIP-DOM-000-11304-OS00001-INA-000000")</f>
        <v>FIP-DOM-000-11304-OS00001-INA-000000</v>
      </c>
      <c r="P1569" s="6" t="str">
        <f>IFERROR(__xludf.DUMMYFUNCTION("""COMPUTED_VALUE"""),"PO Closed")</f>
        <v>PO Closed</v>
      </c>
      <c r="Q1569" s="6" t="str">
        <f>IFERROR(__xludf.DUMMYFUNCTION("""COMPUTED_VALUE"""),"GL2110043")</f>
        <v>GL2110043</v>
      </c>
      <c r="R1569" s="57">
        <f>IFERROR(__xludf.DUMMYFUNCTION("""COMPUTED_VALUE"""),44473.0)</f>
        <v>44473</v>
      </c>
      <c r="S1569" s="6" t="str">
        <f>IFERROR(__xludf.DUMMYFUNCTION("""COMPUTED_VALUE"""),"-")</f>
        <v>-</v>
      </c>
      <c r="T1569" s="57">
        <f>IFERROR(__xludf.DUMMYFUNCTION("""COMPUTED_VALUE"""),44530.0)</f>
        <v>44530</v>
      </c>
    </row>
    <row r="1570">
      <c r="A1570" s="6" t="str">
        <f>IFERROR(__xludf.DUMMYFUNCTION("""COMPUTED_VALUE"""),"211750361-1")</f>
        <v>211750361-1</v>
      </c>
      <c r="B1570" s="6" t="str">
        <f>IFERROR(__xludf.DUMMYFUNCTION("""COMPUTED_VALUE"""),"211750361 - Approved")</f>
        <v>211750361 - Approved</v>
      </c>
      <c r="C1570" s="6">
        <f>IFERROR(__xludf.DUMMYFUNCTION("""COMPUTED_VALUE"""),1.0)</f>
        <v>1</v>
      </c>
      <c r="D1570" s="6" t="str">
        <f>IFERROR(__xludf.DUMMYFUNCTION("""COMPUTED_VALUE"""),"Q-20010-00")</f>
        <v>Q-20010-00</v>
      </c>
      <c r="E1570" s="6" t="str">
        <f>IFERROR(__xludf.DUMMYFUNCTION("""COMPUTED_VALUE"""),"Keramik Granito Warna Ivory")</f>
        <v>Keramik Granito Warna Ivory</v>
      </c>
      <c r="F1570" s="6">
        <f>IFERROR(__xludf.DUMMYFUNCTION("""COMPUTED_VALUE"""),1.0)</f>
        <v>1</v>
      </c>
      <c r="G1570" s="6" t="str">
        <f>IFERROR(__xludf.DUMMYFUNCTION("""COMPUTED_VALUE"""),"Box")</f>
        <v>Box</v>
      </c>
      <c r="H1570" s="6" t="str">
        <f>IFERROR(__xludf.DUMMYFUNCTION("""COMPUTED_VALUE"""),"IDR")</f>
        <v>IDR</v>
      </c>
      <c r="I1570" s="6">
        <f>IFERROR(__xludf.DUMMYFUNCTION("""COMPUTED_VALUE"""),498000.0)</f>
        <v>498000</v>
      </c>
      <c r="J1570" s="6">
        <f>IFERROR(__xludf.DUMMYFUNCTION("""COMPUTED_VALUE"""),498000.0)</f>
        <v>498000</v>
      </c>
      <c r="K1570" s="57">
        <f>IFERROR(__xludf.DUMMYFUNCTION("""COMPUTED_VALUE"""),44498.0)</f>
        <v>44498</v>
      </c>
      <c r="L1570" s="6" t="str">
        <f>IFERROR(__xludf.DUMMYFUNCTION("""COMPUTED_VALUE"""),"FIP General")</f>
        <v>FIP General</v>
      </c>
      <c r="M1570" s="6" t="str">
        <f>IFERROR(__xludf.DUMMYFUNCTION("""COMPUTED_VALUE"""),"Irwan Sopian")</f>
        <v>Irwan Sopian</v>
      </c>
      <c r="N1570" s="6" t="str">
        <f>IFERROR(__xludf.DUMMYFUNCTION("""COMPUTED_VALUE"""),"FIP Engineering")</f>
        <v>FIP Engineering</v>
      </c>
      <c r="O1570" s="6" t="str">
        <f>IFERROR(__xludf.DUMMYFUNCTION("""COMPUTED_VALUE"""),"FIP-DOM-ENG-51502-0000000-INA-000000")</f>
        <v>FIP-DOM-ENG-51502-0000000-INA-000000</v>
      </c>
      <c r="P1570" s="6" t="str">
        <f>IFERROR(__xludf.DUMMYFUNCTION("""COMPUTED_VALUE"""),"PO Closed")</f>
        <v>PO Closed</v>
      </c>
      <c r="Q1570" s="6" t="str">
        <f>IFERROR(__xludf.DUMMYFUNCTION("""COMPUTED_VALUE"""),"GL2110002")</f>
        <v>GL2110002</v>
      </c>
      <c r="R1570" s="57">
        <f>IFERROR(__xludf.DUMMYFUNCTION("""COMPUTED_VALUE"""),44473.0)</f>
        <v>44473</v>
      </c>
      <c r="S1570" s="6" t="str">
        <f>IFERROR(__xludf.DUMMYFUNCTION("""COMPUTED_VALUE"""),"-")</f>
        <v>-</v>
      </c>
      <c r="T1570" s="57">
        <f>IFERROR(__xludf.DUMMYFUNCTION("""COMPUTED_VALUE"""),44487.0)</f>
        <v>44487</v>
      </c>
    </row>
    <row r="1571">
      <c r="A1571" s="6" t="str">
        <f>IFERROR(__xludf.DUMMYFUNCTION("""COMPUTED_VALUE"""),"211750361-2")</f>
        <v>211750361-2</v>
      </c>
      <c r="B1571" s="6" t="str">
        <f>IFERROR(__xludf.DUMMYFUNCTION("""COMPUTED_VALUE"""),"211750361 - Approved")</f>
        <v>211750361 - Approved</v>
      </c>
      <c r="C1571" s="6">
        <f>IFERROR(__xludf.DUMMYFUNCTION("""COMPUTED_VALUE"""),2.0)</f>
        <v>2</v>
      </c>
      <c r="D1571" s="6" t="str">
        <f>IFERROR(__xludf.DUMMYFUNCTION("""COMPUTED_VALUE"""),"P-17830-00")</f>
        <v>P-17830-00</v>
      </c>
      <c r="E1571" s="6" t="str">
        <f>IFERROR(__xludf.DUMMYFUNCTION("""COMPUTED_VALUE"""),"Cleaner Stainless Stell &amp; Polish 3M")</f>
        <v>Cleaner Stainless Stell &amp; Polish 3M</v>
      </c>
      <c r="F1571" s="6">
        <f>IFERROR(__xludf.DUMMYFUNCTION("""COMPUTED_VALUE"""),2.0)</f>
        <v>2</v>
      </c>
      <c r="G1571" s="6" t="str">
        <f>IFERROR(__xludf.DUMMYFUNCTION("""COMPUTED_VALUE"""),"Can")</f>
        <v>Can</v>
      </c>
      <c r="H1571" s="6" t="str">
        <f>IFERROR(__xludf.DUMMYFUNCTION("""COMPUTED_VALUE"""),"IDR")</f>
        <v>IDR</v>
      </c>
      <c r="I1571" s="6">
        <f>IFERROR(__xludf.DUMMYFUNCTION("""COMPUTED_VALUE"""),215000.0)</f>
        <v>215000</v>
      </c>
      <c r="J1571" s="6">
        <f>IFERROR(__xludf.DUMMYFUNCTION("""COMPUTED_VALUE"""),430000.0)</f>
        <v>430000</v>
      </c>
      <c r="K1571" s="57">
        <f>IFERROR(__xludf.DUMMYFUNCTION("""COMPUTED_VALUE"""),44498.0)</f>
        <v>44498</v>
      </c>
      <c r="L1571" s="6" t="str">
        <f>IFERROR(__xludf.DUMMYFUNCTION("""COMPUTED_VALUE"""),"FIP Engineering")</f>
        <v>FIP Engineering</v>
      </c>
      <c r="M1571" s="6" t="str">
        <f>IFERROR(__xludf.DUMMYFUNCTION("""COMPUTED_VALUE"""),"Irwan Sopian")</f>
        <v>Irwan Sopian</v>
      </c>
      <c r="N1571" s="6" t="str">
        <f>IFERROR(__xludf.DUMMYFUNCTION("""COMPUTED_VALUE"""),"FIP Engineering")</f>
        <v>FIP Engineering</v>
      </c>
      <c r="O1571" s="6" t="str">
        <f>IFERROR(__xludf.DUMMYFUNCTION("""COMPUTED_VALUE"""),"FIP-DOM-000-11304-OS00001-INA-000000")</f>
        <v>FIP-DOM-000-11304-OS00001-INA-000000</v>
      </c>
      <c r="P1571" s="6" t="str">
        <f>IFERROR(__xludf.DUMMYFUNCTION("""COMPUTED_VALUE"""),"PO Closed")</f>
        <v>PO Closed</v>
      </c>
      <c r="Q1571" s="6" t="str">
        <f>IFERROR(__xludf.DUMMYFUNCTION("""COMPUTED_VALUE"""),"GL2110020")</f>
        <v>GL2110020</v>
      </c>
      <c r="R1571" s="57">
        <f>IFERROR(__xludf.DUMMYFUNCTION("""COMPUTED_VALUE"""),44473.0)</f>
        <v>44473</v>
      </c>
      <c r="S1571" s="6" t="str">
        <f>IFERROR(__xludf.DUMMYFUNCTION("""COMPUTED_VALUE"""),"-")</f>
        <v>-</v>
      </c>
      <c r="T1571" s="57">
        <f>IFERROR(__xludf.DUMMYFUNCTION("""COMPUTED_VALUE"""),44498.0)</f>
        <v>44498</v>
      </c>
    </row>
    <row r="1572">
      <c r="A1572" s="6" t="str">
        <f>IFERROR(__xludf.DUMMYFUNCTION("""COMPUTED_VALUE"""),"211750361-3")</f>
        <v>211750361-3</v>
      </c>
      <c r="B1572" s="6" t="str">
        <f>IFERROR(__xludf.DUMMYFUNCTION("""COMPUTED_VALUE"""),"211750361 - Approved")</f>
        <v>211750361 - Approved</v>
      </c>
      <c r="C1572" s="6">
        <f>IFERROR(__xludf.DUMMYFUNCTION("""COMPUTED_VALUE"""),3.0)</f>
        <v>3</v>
      </c>
      <c r="D1572" s="6" t="str">
        <f>IFERROR(__xludf.DUMMYFUNCTION("""COMPUTED_VALUE"""),"Q-10731-00")</f>
        <v>Q-10731-00</v>
      </c>
      <c r="E1572" s="6" t="str">
        <f>IFERROR(__xludf.DUMMYFUNCTION("""COMPUTED_VALUE"""),"Kunci Lemari Arsip Lion L33/ELITE LION")</f>
        <v>Kunci Lemari Arsip Lion L33/ELITE LION</v>
      </c>
      <c r="F1572" s="6">
        <f>IFERROR(__xludf.DUMMYFUNCTION("""COMPUTED_VALUE"""),1.0)</f>
        <v>1</v>
      </c>
      <c r="G1572" s="6" t="str">
        <f>IFERROR(__xludf.DUMMYFUNCTION("""COMPUTED_VALUE"""),"Pieces")</f>
        <v>Pieces</v>
      </c>
      <c r="H1572" s="6" t="str">
        <f>IFERROR(__xludf.DUMMYFUNCTION("""COMPUTED_VALUE"""),"IDR")</f>
        <v>IDR</v>
      </c>
      <c r="I1572" s="6">
        <f>IFERROR(__xludf.DUMMYFUNCTION("""COMPUTED_VALUE"""),437500.0)</f>
        <v>437500</v>
      </c>
      <c r="J1572" s="6">
        <f>IFERROR(__xludf.DUMMYFUNCTION("""COMPUTED_VALUE"""),437500.0)</f>
        <v>437500</v>
      </c>
      <c r="K1572" s="57">
        <f>IFERROR(__xludf.DUMMYFUNCTION("""COMPUTED_VALUE"""),44498.0)</f>
        <v>44498</v>
      </c>
      <c r="L1572" s="6" t="str">
        <f>IFERROR(__xludf.DUMMYFUNCTION("""COMPUTED_VALUE"""),"FIP Engineering")</f>
        <v>FIP Engineering</v>
      </c>
      <c r="M1572" s="6" t="str">
        <f>IFERROR(__xludf.DUMMYFUNCTION("""COMPUTED_VALUE"""),"Irwan Sopian")</f>
        <v>Irwan Sopian</v>
      </c>
      <c r="N1572" s="6" t="str">
        <f>IFERROR(__xludf.DUMMYFUNCTION("""COMPUTED_VALUE"""),"FIP Engineering")</f>
        <v>FIP Engineering</v>
      </c>
      <c r="O1572" s="6" t="str">
        <f>IFERROR(__xludf.DUMMYFUNCTION("""COMPUTED_VALUE"""),"FIP-DOM-000-11304-OS00001-INA-000000")</f>
        <v>FIP-DOM-000-11304-OS00001-INA-000000</v>
      </c>
      <c r="P1572" s="6" t="str">
        <f>IFERROR(__xludf.DUMMYFUNCTION("""COMPUTED_VALUE"""),"PO Closed")</f>
        <v>PO Closed</v>
      </c>
      <c r="Q1572" s="6" t="str">
        <f>IFERROR(__xludf.DUMMYFUNCTION("""COMPUTED_VALUE"""),"GL2110002")</f>
        <v>GL2110002</v>
      </c>
      <c r="R1572" s="57">
        <f>IFERROR(__xludf.DUMMYFUNCTION("""COMPUTED_VALUE"""),44473.0)</f>
        <v>44473</v>
      </c>
      <c r="S1572" s="6" t="str">
        <f>IFERROR(__xludf.DUMMYFUNCTION("""COMPUTED_VALUE"""),"-")</f>
        <v>-</v>
      </c>
      <c r="T1572" s="57">
        <f>IFERROR(__xludf.DUMMYFUNCTION("""COMPUTED_VALUE"""),44487.0)</f>
        <v>44487</v>
      </c>
    </row>
    <row r="1573">
      <c r="A1573" s="6" t="str">
        <f>IFERROR(__xludf.DUMMYFUNCTION("""COMPUTED_VALUE"""),"211750361-4")</f>
        <v>211750361-4</v>
      </c>
      <c r="B1573" s="6" t="str">
        <f>IFERROR(__xludf.DUMMYFUNCTION("""COMPUTED_VALUE"""),"211750361 - Approved")</f>
        <v>211750361 - Approved</v>
      </c>
      <c r="C1573" s="6">
        <f>IFERROR(__xludf.DUMMYFUNCTION("""COMPUTED_VALUE"""),4.0)</f>
        <v>4</v>
      </c>
      <c r="D1573" s="6" t="str">
        <f>IFERROR(__xludf.DUMMYFUNCTION("""COMPUTED_VALUE"""),"P-11348-00")</f>
        <v>P-11348-00</v>
      </c>
      <c r="E1573" s="6" t="str">
        <f>IFERROR(__xludf.DUMMYFUNCTION("""COMPUTED_VALUE"""),"Roda Caster Supo Dia : 3"" ( 75 x 38 mm) / Swivel Flange / With Breake")</f>
        <v>Roda Caster Supo Dia : 3" ( 75 x 38 mm) / Swivel Flange / With Breake</v>
      </c>
      <c r="F1573" s="6">
        <f>IFERROR(__xludf.DUMMYFUNCTION("""COMPUTED_VALUE"""),2.0)</f>
        <v>2</v>
      </c>
      <c r="G1573" s="6" t="str">
        <f>IFERROR(__xludf.DUMMYFUNCTION("""COMPUTED_VALUE"""),"Pieces")</f>
        <v>Pieces</v>
      </c>
      <c r="H1573" s="6" t="str">
        <f>IFERROR(__xludf.DUMMYFUNCTION("""COMPUTED_VALUE"""),"IDR")</f>
        <v>IDR</v>
      </c>
      <c r="I1573" s="6">
        <f>IFERROR(__xludf.DUMMYFUNCTION("""COMPUTED_VALUE"""),268500.0)</f>
        <v>268500</v>
      </c>
      <c r="J1573" s="6">
        <f>IFERROR(__xludf.DUMMYFUNCTION("""COMPUTED_VALUE"""),537000.0)</f>
        <v>537000</v>
      </c>
      <c r="K1573" s="57">
        <f>IFERROR(__xludf.DUMMYFUNCTION("""COMPUTED_VALUE"""),44498.0)</f>
        <v>44498</v>
      </c>
      <c r="L1573" s="6" t="str">
        <f>IFERROR(__xludf.DUMMYFUNCTION("""COMPUTED_VALUE"""),"FIP Engineering")</f>
        <v>FIP Engineering</v>
      </c>
      <c r="M1573" s="6" t="str">
        <f>IFERROR(__xludf.DUMMYFUNCTION("""COMPUTED_VALUE"""),"Irwan Sopian")</f>
        <v>Irwan Sopian</v>
      </c>
      <c r="N1573" s="6" t="str">
        <f>IFERROR(__xludf.DUMMYFUNCTION("""COMPUTED_VALUE"""),"FIP Engineering")</f>
        <v>FIP Engineering</v>
      </c>
      <c r="O1573" s="6" t="str">
        <f>IFERROR(__xludf.DUMMYFUNCTION("""COMPUTED_VALUE"""),"FIP-DOM-000-11304-OS00001-INA-000000")</f>
        <v>FIP-DOM-000-11304-OS00001-INA-000000</v>
      </c>
      <c r="P1573" s="6" t="str">
        <f>IFERROR(__xludf.DUMMYFUNCTION("""COMPUTED_VALUE"""),"PO Closed")</f>
        <v>PO Closed</v>
      </c>
      <c r="Q1573" s="6" t="str">
        <f>IFERROR(__xludf.DUMMYFUNCTION("""COMPUTED_VALUE"""),"GL2110020")</f>
        <v>GL2110020</v>
      </c>
      <c r="R1573" s="57">
        <f>IFERROR(__xludf.DUMMYFUNCTION("""COMPUTED_VALUE"""),44473.0)</f>
        <v>44473</v>
      </c>
      <c r="S1573" s="6" t="str">
        <f>IFERROR(__xludf.DUMMYFUNCTION("""COMPUTED_VALUE"""),"-")</f>
        <v>-</v>
      </c>
      <c r="T1573" s="57">
        <f>IFERROR(__xludf.DUMMYFUNCTION("""COMPUTED_VALUE"""),44498.0)</f>
        <v>44498</v>
      </c>
    </row>
    <row r="1574">
      <c r="A1574" s="6" t="str">
        <f>IFERROR(__xludf.DUMMYFUNCTION("""COMPUTED_VALUE"""),"211750361-5")</f>
        <v>211750361-5</v>
      </c>
      <c r="B1574" s="6" t="str">
        <f>IFERROR(__xludf.DUMMYFUNCTION("""COMPUTED_VALUE"""),"211750361 - Approved")</f>
        <v>211750361 - Approved</v>
      </c>
      <c r="C1574" s="6">
        <f>IFERROR(__xludf.DUMMYFUNCTION("""COMPUTED_VALUE"""),5.0)</f>
        <v>5</v>
      </c>
      <c r="D1574" s="6" t="str">
        <f>IFERROR(__xludf.DUMMYFUNCTION("""COMPUTED_VALUE"""),"P-50122-00")</f>
        <v>P-50122-00</v>
      </c>
      <c r="E1574" s="6" t="str">
        <f>IFERROR(__xludf.DUMMYFUNCTION("""COMPUTED_VALUE"""),"Balast Quitronick Osram 1x18/20/ 220 - 240V")</f>
        <v>Balast Quitronick Osram 1x18/20/ 220 - 240V</v>
      </c>
      <c r="F1574" s="6">
        <f>IFERROR(__xludf.DUMMYFUNCTION("""COMPUTED_VALUE"""),4.0)</f>
        <v>4</v>
      </c>
      <c r="G1574" s="6" t="str">
        <f>IFERROR(__xludf.DUMMYFUNCTION("""COMPUTED_VALUE"""),"Pieces")</f>
        <v>Pieces</v>
      </c>
      <c r="H1574" s="6" t="str">
        <f>IFERROR(__xludf.DUMMYFUNCTION("""COMPUTED_VALUE"""),"IDR")</f>
        <v>IDR</v>
      </c>
      <c r="I1574" s="6">
        <f>IFERROR(__xludf.DUMMYFUNCTION("""COMPUTED_VALUE"""),68500.0)</f>
        <v>68500</v>
      </c>
      <c r="J1574" s="6">
        <f>IFERROR(__xludf.DUMMYFUNCTION("""COMPUTED_VALUE"""),274000.0)</f>
        <v>274000</v>
      </c>
      <c r="K1574" s="57">
        <f>IFERROR(__xludf.DUMMYFUNCTION("""COMPUTED_VALUE"""),44498.0)</f>
        <v>44498</v>
      </c>
      <c r="L1574" s="6" t="str">
        <f>IFERROR(__xludf.DUMMYFUNCTION("""COMPUTED_VALUE"""),"FIP Engineering")</f>
        <v>FIP Engineering</v>
      </c>
      <c r="M1574" s="6" t="str">
        <f>IFERROR(__xludf.DUMMYFUNCTION("""COMPUTED_VALUE"""),"Irwan Sopian")</f>
        <v>Irwan Sopian</v>
      </c>
      <c r="N1574" s="6" t="str">
        <f>IFERROR(__xludf.DUMMYFUNCTION("""COMPUTED_VALUE"""),"FIP Engineering")</f>
        <v>FIP Engineering</v>
      </c>
      <c r="O1574" s="6" t="str">
        <f>IFERROR(__xludf.DUMMYFUNCTION("""COMPUTED_VALUE"""),"FIP-DOM-000-11304-OS00001-INA-000000")</f>
        <v>FIP-DOM-000-11304-OS00001-INA-000000</v>
      </c>
      <c r="P1574" s="6" t="str">
        <f>IFERROR(__xludf.DUMMYFUNCTION("""COMPUTED_VALUE"""),"PO Closed")</f>
        <v>PO Closed</v>
      </c>
      <c r="Q1574" s="6" t="str">
        <f>IFERROR(__xludf.DUMMYFUNCTION("""COMPUTED_VALUE"""),"GL2110020")</f>
        <v>GL2110020</v>
      </c>
      <c r="R1574" s="57">
        <f>IFERROR(__xludf.DUMMYFUNCTION("""COMPUTED_VALUE"""),44473.0)</f>
        <v>44473</v>
      </c>
      <c r="S1574" s="6" t="str">
        <f>IFERROR(__xludf.DUMMYFUNCTION("""COMPUTED_VALUE"""),"-")</f>
        <v>-</v>
      </c>
      <c r="T1574" s="57">
        <f>IFERROR(__xludf.DUMMYFUNCTION("""COMPUTED_VALUE"""),44498.0)</f>
        <v>44498</v>
      </c>
    </row>
    <row r="1575">
      <c r="A1575" s="6" t="str">
        <f>IFERROR(__xludf.DUMMYFUNCTION("""COMPUTED_VALUE"""),"211750360-1")</f>
        <v>211750360-1</v>
      </c>
      <c r="B1575" s="6" t="str">
        <f>IFERROR(__xludf.DUMMYFUNCTION("""COMPUTED_VALUE"""),"211750360 - Approved")</f>
        <v>211750360 - Approved</v>
      </c>
      <c r="C1575" s="6">
        <f>IFERROR(__xludf.DUMMYFUNCTION("""COMPUTED_VALUE"""),1.0)</f>
        <v>1</v>
      </c>
      <c r="D1575" s="6" t="str">
        <f>IFERROR(__xludf.DUMMYFUNCTION("""COMPUTED_VALUE"""),"S-60050-00")</f>
        <v>S-60050-00</v>
      </c>
      <c r="E1575" s="6" t="str">
        <f>IFERROR(__xludf.DUMMYFUNCTION("""COMPUTED_VALUE"""),"Pembuatan Cover Antistatic (Ion Shower) Mesin Filling")</f>
        <v>Pembuatan Cover Antistatic (Ion Shower) Mesin Filling</v>
      </c>
      <c r="F1575" s="6">
        <f>IFERROR(__xludf.DUMMYFUNCTION("""COMPUTED_VALUE"""),2.0)</f>
        <v>2</v>
      </c>
      <c r="G1575" s="6" t="str">
        <f>IFERROR(__xludf.DUMMYFUNCTION("""COMPUTED_VALUE"""),"Pieces")</f>
        <v>Pieces</v>
      </c>
      <c r="H1575" s="6" t="str">
        <f>IFERROR(__xludf.DUMMYFUNCTION("""COMPUTED_VALUE"""),"IDR")</f>
        <v>IDR</v>
      </c>
      <c r="I1575" s="6">
        <f>IFERROR(__xludf.DUMMYFUNCTION("""COMPUTED_VALUE"""),325000.0)</f>
        <v>325000</v>
      </c>
      <c r="J1575" s="6">
        <f>IFERROR(__xludf.DUMMYFUNCTION("""COMPUTED_VALUE"""),650000.0)</f>
        <v>650000</v>
      </c>
      <c r="K1575" s="57">
        <f>IFERROR(__xludf.DUMMYFUNCTION("""COMPUTED_VALUE"""),44505.0)</f>
        <v>44505</v>
      </c>
      <c r="L1575" s="6" t="str">
        <f>IFERROR(__xludf.DUMMYFUNCTION("""COMPUTED_VALUE"""),"FIP General")</f>
        <v>FIP General</v>
      </c>
      <c r="M1575" s="6" t="str">
        <f>IFERROR(__xludf.DUMMYFUNCTION("""COMPUTED_VALUE"""),"Irwan Sopian")</f>
        <v>Irwan Sopian</v>
      </c>
      <c r="N1575" s="6" t="str">
        <f>IFERROR(__xludf.DUMMYFUNCTION("""COMPUTED_VALUE"""),"FIP Engineering")</f>
        <v>FIP Engineering</v>
      </c>
      <c r="O1575" s="6" t="str">
        <f>IFERROR(__xludf.DUMMYFUNCTION("""COMPUTED_VALUE"""),"FIP-DOM-ENG-51504-0000000-INA-000000")</f>
        <v>FIP-DOM-ENG-51504-0000000-INA-000000</v>
      </c>
      <c r="P1575" s="6" t="str">
        <f>IFERROR(__xludf.DUMMYFUNCTION("""COMPUTED_VALUE"""),"PO Closed")</f>
        <v>PO Closed</v>
      </c>
      <c r="Q1575" s="6" t="str">
        <f>IFERROR(__xludf.DUMMYFUNCTION("""COMPUTED_VALUE"""),"GL2110022")</f>
        <v>GL2110022</v>
      </c>
      <c r="R1575" s="57">
        <f>IFERROR(__xludf.DUMMYFUNCTION("""COMPUTED_VALUE"""),44473.0)</f>
        <v>44473</v>
      </c>
      <c r="S1575" s="6" t="str">
        <f>IFERROR(__xludf.DUMMYFUNCTION("""COMPUTED_VALUE"""),"-")</f>
        <v>-</v>
      </c>
      <c r="T1575" s="57">
        <f>IFERROR(__xludf.DUMMYFUNCTION("""COMPUTED_VALUE"""),44498.0)</f>
        <v>44498</v>
      </c>
    </row>
    <row r="1576">
      <c r="A1576" s="6" t="str">
        <f>IFERROR(__xludf.DUMMYFUNCTION("""COMPUTED_VALUE"""),"211750376-1")</f>
        <v>211750376-1</v>
      </c>
      <c r="B1576" s="6" t="str">
        <f>IFERROR(__xludf.DUMMYFUNCTION("""COMPUTED_VALUE"""),"211750376 - Approved")</f>
        <v>211750376 - Approved</v>
      </c>
      <c r="C1576" s="6">
        <f>IFERROR(__xludf.DUMMYFUNCTION("""COMPUTED_VALUE"""),1.0)</f>
        <v>1</v>
      </c>
      <c r="D1576" s="6" t="str">
        <f>IFERROR(__xludf.DUMMYFUNCTION("""COMPUTED_VALUE"""),"S-60050-00")</f>
        <v>S-60050-00</v>
      </c>
      <c r="E1576" s="6" t="str">
        <f>IFERROR(__xludf.DUMMYFUNCTION("""COMPUTED_VALUE"""),"Perbaikan Markem Mesin Cartoning (Alarm Jet Not Detected)")</f>
        <v>Perbaikan Markem Mesin Cartoning (Alarm Jet Not Detected)</v>
      </c>
      <c r="F1576" s="6">
        <f>IFERROR(__xludf.DUMMYFUNCTION("""COMPUTED_VALUE"""),1.0)</f>
        <v>1</v>
      </c>
      <c r="G1576" s="6" t="str">
        <f>IFERROR(__xludf.DUMMYFUNCTION("""COMPUTED_VALUE"""),"Pieces")</f>
        <v>Pieces</v>
      </c>
      <c r="H1576" s="6" t="str">
        <f>IFERROR(__xludf.DUMMYFUNCTION("""COMPUTED_VALUE"""),"IDR")</f>
        <v>IDR</v>
      </c>
      <c r="I1576" s="6">
        <f>IFERROR(__xludf.DUMMYFUNCTION("""COMPUTED_VALUE"""),3820000.0)</f>
        <v>3820000</v>
      </c>
      <c r="J1576" s="6">
        <f>IFERROR(__xludf.DUMMYFUNCTION("""COMPUTED_VALUE"""),3820000.0)</f>
        <v>3820000</v>
      </c>
      <c r="K1576" s="57">
        <f>IFERROR(__xludf.DUMMYFUNCTION("""COMPUTED_VALUE"""),44498.0)</f>
        <v>44498</v>
      </c>
      <c r="L1576" s="6" t="str">
        <f>IFERROR(__xludf.DUMMYFUNCTION("""COMPUTED_VALUE"""),"FIP General")</f>
        <v>FIP General</v>
      </c>
      <c r="M1576" s="6" t="str">
        <f>IFERROR(__xludf.DUMMYFUNCTION("""COMPUTED_VALUE"""),"Irwan Sopian")</f>
        <v>Irwan Sopian</v>
      </c>
      <c r="N1576" s="6" t="str">
        <f>IFERROR(__xludf.DUMMYFUNCTION("""COMPUTED_VALUE"""),"FIP Engineering")</f>
        <v>FIP Engineering</v>
      </c>
      <c r="O1576" s="6" t="str">
        <f>IFERROR(__xludf.DUMMYFUNCTION("""COMPUTED_VALUE"""),"FIP-DOM-ENG-51504-0000000-INA-000000")</f>
        <v>FIP-DOM-ENG-51504-0000000-INA-000000</v>
      </c>
      <c r="P1576" s="6" t="str">
        <f>IFERROR(__xludf.DUMMYFUNCTION("""COMPUTED_VALUE"""),"PO Closed")</f>
        <v>PO Closed</v>
      </c>
      <c r="Q1576" s="6" t="str">
        <f>IFERROR(__xludf.DUMMYFUNCTION("""COMPUTED_VALUE"""),"GL2110044")</f>
        <v>GL2110044</v>
      </c>
      <c r="R1576" s="57">
        <f>IFERROR(__xludf.DUMMYFUNCTION("""COMPUTED_VALUE"""),44476.0)</f>
        <v>44476</v>
      </c>
      <c r="S1576" s="6" t="str">
        <f>IFERROR(__xludf.DUMMYFUNCTION("""COMPUTED_VALUE"""),"-")</f>
        <v>-</v>
      </c>
      <c r="T1576" s="57">
        <f>IFERROR(__xludf.DUMMYFUNCTION("""COMPUTED_VALUE"""),44510.0)</f>
        <v>44510</v>
      </c>
    </row>
    <row r="1577">
      <c r="A1577" s="6" t="str">
        <f>IFERROR(__xludf.DUMMYFUNCTION("""COMPUTED_VALUE"""),"211750386-1")</f>
        <v>211750386-1</v>
      </c>
      <c r="B1577" s="6" t="str">
        <f>IFERROR(__xludf.DUMMYFUNCTION("""COMPUTED_VALUE"""),"211750386 - Approved")</f>
        <v>211750386 - Approved</v>
      </c>
      <c r="C1577" s="6">
        <f>IFERROR(__xludf.DUMMYFUNCTION("""COMPUTED_VALUE"""),1.0)</f>
        <v>1</v>
      </c>
      <c r="D1577" s="6" t="str">
        <f>IFERROR(__xludf.DUMMYFUNCTION("""COMPUTED_VALUE"""),"P-17048-00")</f>
        <v>P-17048-00</v>
      </c>
      <c r="E1577" s="6" t="str">
        <f>IFERROR(__xludf.DUMMYFUNCTION("""COMPUTED_VALUE"""),"Regulator Argon")</f>
        <v>Regulator Argon</v>
      </c>
      <c r="F1577" s="6">
        <f>IFERROR(__xludf.DUMMYFUNCTION("""COMPUTED_VALUE"""),1.0)</f>
        <v>1</v>
      </c>
      <c r="G1577" s="6" t="str">
        <f>IFERROR(__xludf.DUMMYFUNCTION("""COMPUTED_VALUE"""),"Pieces")</f>
        <v>Pieces</v>
      </c>
      <c r="H1577" s="6" t="str">
        <f>IFERROR(__xludf.DUMMYFUNCTION("""COMPUTED_VALUE"""),"IDR")</f>
        <v>IDR</v>
      </c>
      <c r="I1577" s="6">
        <f>IFERROR(__xludf.DUMMYFUNCTION("""COMPUTED_VALUE"""),1700000.0)</f>
        <v>1700000</v>
      </c>
      <c r="J1577" s="6">
        <f>IFERROR(__xludf.DUMMYFUNCTION("""COMPUTED_VALUE"""),1700000.0)</f>
        <v>1700000</v>
      </c>
      <c r="K1577" s="57">
        <f>IFERROR(__xludf.DUMMYFUNCTION("""COMPUTED_VALUE"""),44505.0)</f>
        <v>44505</v>
      </c>
      <c r="L1577" s="6" t="str">
        <f>IFERROR(__xludf.DUMMYFUNCTION("""COMPUTED_VALUE"""),"FIP General")</f>
        <v>FIP General</v>
      </c>
      <c r="M1577" s="6" t="str">
        <f>IFERROR(__xludf.DUMMYFUNCTION("""COMPUTED_VALUE"""),"Irwan Sopian")</f>
        <v>Irwan Sopian</v>
      </c>
      <c r="N1577" s="6" t="str">
        <f>IFERROR(__xludf.DUMMYFUNCTION("""COMPUTED_VALUE"""),"FIP Engineering")</f>
        <v>FIP Engineering</v>
      </c>
      <c r="O1577" s="6" t="str">
        <f>IFERROR(__xludf.DUMMYFUNCTION("""COMPUTED_VALUE"""),"FIP-DOM-ENG-51404-0000000-INA-000000")</f>
        <v>FIP-DOM-ENG-51404-0000000-INA-000000</v>
      </c>
      <c r="P1577" s="6" t="str">
        <f>IFERROR(__xludf.DUMMYFUNCTION("""COMPUTED_VALUE"""),"PO Closed")</f>
        <v>PO Closed</v>
      </c>
      <c r="Q1577" s="6" t="str">
        <f>IFERROR(__xludf.DUMMYFUNCTION("""COMPUTED_VALUE"""),"GL2110045")</f>
        <v>GL2110045</v>
      </c>
      <c r="R1577" s="57">
        <f>IFERROR(__xludf.DUMMYFUNCTION("""COMPUTED_VALUE"""),44480.0)</f>
        <v>44480</v>
      </c>
      <c r="S1577" s="6" t="str">
        <f>IFERROR(__xludf.DUMMYFUNCTION("""COMPUTED_VALUE"""),"-")</f>
        <v>-</v>
      </c>
      <c r="T1577" s="57">
        <f>IFERROR(__xludf.DUMMYFUNCTION("""COMPUTED_VALUE"""),44505.0)</f>
        <v>44505</v>
      </c>
    </row>
    <row r="1578">
      <c r="A1578" s="6" t="str">
        <f>IFERROR(__xludf.DUMMYFUNCTION("""COMPUTED_VALUE"""),"211750385-1")</f>
        <v>211750385-1</v>
      </c>
      <c r="B1578" s="6" t="str">
        <f>IFERROR(__xludf.DUMMYFUNCTION("""COMPUTED_VALUE"""),"211750385 - Approved")</f>
        <v>211750385 - Approved</v>
      </c>
      <c r="C1578" s="6">
        <f>IFERROR(__xludf.DUMMYFUNCTION("""COMPUTED_VALUE"""),1.0)</f>
        <v>1</v>
      </c>
      <c r="D1578" s="6" t="str">
        <f>IFERROR(__xludf.DUMMYFUNCTION("""COMPUTED_VALUE"""),"P-52033-00")</f>
        <v>P-52033-00</v>
      </c>
      <c r="E1578" s="6" t="str">
        <f>IFERROR(__xludf.DUMMYFUNCTION("""COMPUTED_VALUE"""),"Inverter HVAC Drives FC-102 2,2 kw 380-480 V Danfoss; ; ;")</f>
        <v>Inverter HVAC Drives FC-102 2,2 kw 380-480 V Danfoss; ; ;</v>
      </c>
      <c r="F1578" s="6">
        <f>IFERROR(__xludf.DUMMYFUNCTION("""COMPUTED_VALUE"""),1.0)</f>
        <v>1</v>
      </c>
      <c r="G1578" s="6" t="str">
        <f>IFERROR(__xludf.DUMMYFUNCTION("""COMPUTED_VALUE"""),"Unit")</f>
        <v>Unit</v>
      </c>
      <c r="H1578" s="6" t="str">
        <f>IFERROR(__xludf.DUMMYFUNCTION("""COMPUTED_VALUE"""),"IDR")</f>
        <v>IDR</v>
      </c>
      <c r="I1578" s="6">
        <f>IFERROR(__xludf.DUMMYFUNCTION("""COMPUTED_VALUE"""),1.015E7)</f>
        <v>10150000</v>
      </c>
      <c r="J1578" s="6">
        <f>IFERROR(__xludf.DUMMYFUNCTION("""COMPUTED_VALUE"""),1.015E7)</f>
        <v>10150000</v>
      </c>
      <c r="K1578" s="57">
        <f>IFERROR(__xludf.DUMMYFUNCTION("""COMPUTED_VALUE"""),44526.0)</f>
        <v>44526</v>
      </c>
      <c r="L1578" s="6" t="str">
        <f>IFERROR(__xludf.DUMMYFUNCTION("""COMPUTED_VALUE"""),"FIP Engineering")</f>
        <v>FIP Engineering</v>
      </c>
      <c r="M1578" s="6" t="str">
        <f>IFERROR(__xludf.DUMMYFUNCTION("""COMPUTED_VALUE"""),"Irwan Sopian")</f>
        <v>Irwan Sopian</v>
      </c>
      <c r="N1578" s="6" t="str">
        <f>IFERROR(__xludf.DUMMYFUNCTION("""COMPUTED_VALUE"""),"FIP Engineering")</f>
        <v>FIP Engineering</v>
      </c>
      <c r="O1578" s="6" t="str">
        <f>IFERROR(__xludf.DUMMYFUNCTION("""COMPUTED_VALUE"""),"FIP-DOM-000-11304-OS00001-INA-000000")</f>
        <v>FIP-DOM-000-11304-OS00001-INA-000000</v>
      </c>
      <c r="P1578" s="6" t="str">
        <f>IFERROR(__xludf.DUMMYFUNCTION("""COMPUTED_VALUE"""),"PO Closed")</f>
        <v>PO Closed</v>
      </c>
      <c r="Q1578" s="6" t="str">
        <f>IFERROR(__xludf.DUMMYFUNCTION("""COMPUTED_VALUE"""),"GL2110046")</f>
        <v>GL2110046</v>
      </c>
      <c r="R1578" s="57">
        <f>IFERROR(__xludf.DUMMYFUNCTION("""COMPUTED_VALUE"""),44480.0)</f>
        <v>44480</v>
      </c>
      <c r="S1578" s="6" t="str">
        <f>IFERROR(__xludf.DUMMYFUNCTION("""COMPUTED_VALUE"""),"-")</f>
        <v>-</v>
      </c>
      <c r="T1578" s="57">
        <f>IFERROR(__xludf.DUMMYFUNCTION("""COMPUTED_VALUE"""),44530.0)</f>
        <v>44530</v>
      </c>
    </row>
    <row r="1579">
      <c r="A1579" s="6" t="str">
        <f>IFERROR(__xludf.DUMMYFUNCTION("""COMPUTED_VALUE"""),"211750387-1")</f>
        <v>211750387-1</v>
      </c>
      <c r="B1579" s="6" t="str">
        <f>IFERROR(__xludf.DUMMYFUNCTION("""COMPUTED_VALUE"""),"211750387 - Approved")</f>
        <v>211750387 - Approved</v>
      </c>
      <c r="C1579" s="6">
        <f>IFERROR(__xludf.DUMMYFUNCTION("""COMPUTED_VALUE"""),1.0)</f>
        <v>1</v>
      </c>
      <c r="D1579" s="6" t="str">
        <f>IFERROR(__xludf.DUMMYFUNCTION("""COMPUTED_VALUE"""),"O-50994-00")</f>
        <v>O-50994-00</v>
      </c>
      <c r="E1579" s="6" t="str">
        <f>IFERROR(__xludf.DUMMYFUNCTION("""COMPUTED_VALUE"""),"Battery kering 12V 7,2AH; ; ;")</f>
        <v>Battery kering 12V 7,2AH; ; ;</v>
      </c>
      <c r="F1579" s="6">
        <f>IFERROR(__xludf.DUMMYFUNCTION("""COMPUTED_VALUE"""),2.0)</f>
        <v>2</v>
      </c>
      <c r="G1579" s="6" t="str">
        <f>IFERROR(__xludf.DUMMYFUNCTION("""COMPUTED_VALUE"""),"Pieces")</f>
        <v>Pieces</v>
      </c>
      <c r="H1579" s="6" t="str">
        <f>IFERROR(__xludf.DUMMYFUNCTION("""COMPUTED_VALUE"""),"IDR")</f>
        <v>IDR</v>
      </c>
      <c r="I1579" s="6">
        <f>IFERROR(__xludf.DUMMYFUNCTION("""COMPUTED_VALUE"""),345000.0)</f>
        <v>345000</v>
      </c>
      <c r="J1579" s="6">
        <f>IFERROR(__xludf.DUMMYFUNCTION("""COMPUTED_VALUE"""),690000.0)</f>
        <v>690000</v>
      </c>
      <c r="K1579" s="57">
        <f>IFERROR(__xludf.DUMMYFUNCTION("""COMPUTED_VALUE"""),44505.0)</f>
        <v>44505</v>
      </c>
      <c r="L1579" s="6" t="str">
        <f>IFERROR(__xludf.DUMMYFUNCTION("""COMPUTED_VALUE"""),"FIP Engineering")</f>
        <v>FIP Engineering</v>
      </c>
      <c r="M1579" s="6" t="str">
        <f>IFERROR(__xludf.DUMMYFUNCTION("""COMPUTED_VALUE"""),"Irwan Sopian")</f>
        <v>Irwan Sopian</v>
      </c>
      <c r="N1579" s="6" t="str">
        <f>IFERROR(__xludf.DUMMYFUNCTION("""COMPUTED_VALUE"""),"FIP Engineering")</f>
        <v>FIP Engineering</v>
      </c>
      <c r="O1579" s="6" t="str">
        <f>IFERROR(__xludf.DUMMYFUNCTION("""COMPUTED_VALUE"""),"FIP-DOM-000-11304-OS00001-INA-000000")</f>
        <v>FIP-DOM-000-11304-OS00001-INA-000000</v>
      </c>
      <c r="P1579" s="6" t="str">
        <f>IFERROR(__xludf.DUMMYFUNCTION("""COMPUTED_VALUE"""),"PO Closed")</f>
        <v>PO Closed</v>
      </c>
      <c r="Q1579" s="6" t="str">
        <f>IFERROR(__xludf.DUMMYFUNCTION("""COMPUTED_VALUE"""),"GL2110047")</f>
        <v>GL2110047</v>
      </c>
      <c r="R1579" s="57">
        <f>IFERROR(__xludf.DUMMYFUNCTION("""COMPUTED_VALUE"""),44481.0)</f>
        <v>44481</v>
      </c>
      <c r="S1579" s="6" t="str">
        <f>IFERROR(__xludf.DUMMYFUNCTION("""COMPUTED_VALUE"""),"-")</f>
        <v>-</v>
      </c>
      <c r="T1579" s="57">
        <f>IFERROR(__xludf.DUMMYFUNCTION("""COMPUTED_VALUE"""),44510.0)</f>
        <v>44510</v>
      </c>
    </row>
    <row r="1580">
      <c r="A1580" s="6" t="str">
        <f>IFERROR(__xludf.DUMMYFUNCTION("""COMPUTED_VALUE"""),"211750387-3")</f>
        <v>211750387-3</v>
      </c>
      <c r="B1580" s="6" t="str">
        <f>IFERROR(__xludf.DUMMYFUNCTION("""COMPUTED_VALUE"""),"211750387 - Approved")</f>
        <v>211750387 - Approved</v>
      </c>
      <c r="C1580" s="6">
        <f>IFERROR(__xludf.DUMMYFUNCTION("""COMPUTED_VALUE"""),3.0)</f>
        <v>3</v>
      </c>
      <c r="D1580" s="6" t="str">
        <f>IFERROR(__xludf.DUMMYFUNCTION("""COMPUTED_VALUE"""),"P-11818-00")</f>
        <v>P-11818-00</v>
      </c>
      <c r="E1580" s="6" t="str">
        <f>IFERROR(__xludf.DUMMYFUNCTION("""COMPUTED_VALUE"""),"Acrylic tebal 5mm ukr : 1000 x 2000")</f>
        <v>Acrylic tebal 5mm ukr : 1000 x 2000</v>
      </c>
      <c r="F1580" s="6">
        <f>IFERROR(__xludf.DUMMYFUNCTION("""COMPUTED_VALUE"""),1.0)</f>
        <v>1</v>
      </c>
      <c r="G1580" s="6" t="str">
        <f>IFERROR(__xludf.DUMMYFUNCTION("""COMPUTED_VALUE"""),"Pieces")</f>
        <v>Pieces</v>
      </c>
      <c r="H1580" s="6" t="str">
        <f>IFERROR(__xludf.DUMMYFUNCTION("""COMPUTED_VALUE"""),"IDR")</f>
        <v>IDR</v>
      </c>
      <c r="I1580" s="6">
        <f>IFERROR(__xludf.DUMMYFUNCTION("""COMPUTED_VALUE"""),1250000.0)</f>
        <v>1250000</v>
      </c>
      <c r="J1580" s="6">
        <f>IFERROR(__xludf.DUMMYFUNCTION("""COMPUTED_VALUE"""),1250000.0)</f>
        <v>1250000</v>
      </c>
      <c r="K1580" s="57">
        <f>IFERROR(__xludf.DUMMYFUNCTION("""COMPUTED_VALUE"""),44505.0)</f>
        <v>44505</v>
      </c>
      <c r="L1580" s="6" t="str">
        <f>IFERROR(__xludf.DUMMYFUNCTION("""COMPUTED_VALUE"""),"FIP Engineering")</f>
        <v>FIP Engineering</v>
      </c>
      <c r="M1580" s="6" t="str">
        <f>IFERROR(__xludf.DUMMYFUNCTION("""COMPUTED_VALUE"""),"Irwan Sopian")</f>
        <v>Irwan Sopian</v>
      </c>
      <c r="N1580" s="6" t="str">
        <f>IFERROR(__xludf.DUMMYFUNCTION("""COMPUTED_VALUE"""),"FIP Engineering")</f>
        <v>FIP Engineering</v>
      </c>
      <c r="O1580" s="6" t="str">
        <f>IFERROR(__xludf.DUMMYFUNCTION("""COMPUTED_VALUE"""),"FIP-DOM-000-11304-OS00001-INA-000000")</f>
        <v>FIP-DOM-000-11304-OS00001-INA-000000</v>
      </c>
      <c r="P1580" s="6" t="str">
        <f>IFERROR(__xludf.DUMMYFUNCTION("""COMPUTED_VALUE"""),"PO Closed")</f>
        <v>PO Closed</v>
      </c>
      <c r="Q1580" s="6" t="str">
        <f>IFERROR(__xludf.DUMMYFUNCTION("""COMPUTED_VALUE"""),"GL2110047")</f>
        <v>GL2110047</v>
      </c>
      <c r="R1580" s="57">
        <f>IFERROR(__xludf.DUMMYFUNCTION("""COMPUTED_VALUE"""),44481.0)</f>
        <v>44481</v>
      </c>
      <c r="S1580" s="6" t="str">
        <f>IFERROR(__xludf.DUMMYFUNCTION("""COMPUTED_VALUE"""),"-")</f>
        <v>-</v>
      </c>
      <c r="T1580" s="57">
        <f>IFERROR(__xludf.DUMMYFUNCTION("""COMPUTED_VALUE"""),44510.0)</f>
        <v>44510</v>
      </c>
    </row>
    <row r="1581">
      <c r="A1581" s="6" t="str">
        <f>IFERROR(__xludf.DUMMYFUNCTION("""COMPUTED_VALUE"""),"211750387-4")</f>
        <v>211750387-4</v>
      </c>
      <c r="B1581" s="6" t="str">
        <f>IFERROR(__xludf.DUMMYFUNCTION("""COMPUTED_VALUE"""),"211750387 - Approved")</f>
        <v>211750387 - Approved</v>
      </c>
      <c r="C1581" s="6">
        <f>IFERROR(__xludf.DUMMYFUNCTION("""COMPUTED_VALUE"""),4.0)</f>
        <v>4</v>
      </c>
      <c r="D1581" s="6" t="str">
        <f>IFERROR(__xludf.DUMMYFUNCTION("""COMPUTED_VALUE"""),"Q-10572-00")</f>
        <v>Q-10572-00</v>
      </c>
      <c r="E1581" s="6" t="str">
        <f>IFERROR(__xludf.DUMMYFUNCTION("""COMPUTED_VALUE"""),"PHILIPS - Lampu LED TL T8 120 Cm 16 Watt")</f>
        <v>PHILIPS - Lampu LED TL T8 120 Cm 16 Watt</v>
      </c>
      <c r="F1581" s="6">
        <f>IFERROR(__xludf.DUMMYFUNCTION("""COMPUTED_VALUE"""),8.0)</f>
        <v>8</v>
      </c>
      <c r="G1581" s="6" t="str">
        <f>IFERROR(__xludf.DUMMYFUNCTION("""COMPUTED_VALUE"""),"Pieces")</f>
        <v>Pieces</v>
      </c>
      <c r="H1581" s="6" t="str">
        <f>IFERROR(__xludf.DUMMYFUNCTION("""COMPUTED_VALUE"""),"IDR")</f>
        <v>IDR</v>
      </c>
      <c r="I1581" s="6">
        <f>IFERROR(__xludf.DUMMYFUNCTION("""COMPUTED_VALUE"""),75000.0)</f>
        <v>75000</v>
      </c>
      <c r="J1581" s="6">
        <f>IFERROR(__xludf.DUMMYFUNCTION("""COMPUTED_VALUE"""),600000.0)</f>
        <v>600000</v>
      </c>
      <c r="K1581" s="57">
        <f>IFERROR(__xludf.DUMMYFUNCTION("""COMPUTED_VALUE"""),44505.0)</f>
        <v>44505</v>
      </c>
      <c r="L1581" s="6" t="str">
        <f>IFERROR(__xludf.DUMMYFUNCTION("""COMPUTED_VALUE"""),"FIP Engineering")</f>
        <v>FIP Engineering</v>
      </c>
      <c r="M1581" s="6" t="str">
        <f>IFERROR(__xludf.DUMMYFUNCTION("""COMPUTED_VALUE"""),"Irwan Sopian")</f>
        <v>Irwan Sopian</v>
      </c>
      <c r="N1581" s="6" t="str">
        <f>IFERROR(__xludf.DUMMYFUNCTION("""COMPUTED_VALUE"""),"FIP Engineering")</f>
        <v>FIP Engineering</v>
      </c>
      <c r="O1581" s="6" t="str">
        <f>IFERROR(__xludf.DUMMYFUNCTION("""COMPUTED_VALUE"""),"FIP-DOM-000-11304-OS00001-INA-000000")</f>
        <v>FIP-DOM-000-11304-OS00001-INA-000000</v>
      </c>
      <c r="P1581" s="6" t="str">
        <f>IFERROR(__xludf.DUMMYFUNCTION("""COMPUTED_VALUE"""),"PO Closed")</f>
        <v>PO Closed</v>
      </c>
      <c r="Q1581" s="6" t="str">
        <f>IFERROR(__xludf.DUMMYFUNCTION("""COMPUTED_VALUE"""),"GL2110037")</f>
        <v>GL2110037</v>
      </c>
      <c r="R1581" s="57">
        <f>IFERROR(__xludf.DUMMYFUNCTION("""COMPUTED_VALUE"""),44481.0)</f>
        <v>44481</v>
      </c>
      <c r="S1581" s="6" t="str">
        <f>IFERROR(__xludf.DUMMYFUNCTION("""COMPUTED_VALUE"""),"-")</f>
        <v>-</v>
      </c>
      <c r="T1581" s="57">
        <f>IFERROR(__xludf.DUMMYFUNCTION("""COMPUTED_VALUE"""),44512.0)</f>
        <v>44512</v>
      </c>
    </row>
    <row r="1582">
      <c r="A1582" s="6" t="str">
        <f>IFERROR(__xludf.DUMMYFUNCTION("""COMPUTED_VALUE"""),"211750390-1")</f>
        <v>211750390-1</v>
      </c>
      <c r="B1582" s="6" t="str">
        <f>IFERROR(__xludf.DUMMYFUNCTION("""COMPUTED_VALUE"""),"211750390 - Approved")</f>
        <v>211750390 - Approved</v>
      </c>
      <c r="C1582" s="6">
        <f>IFERROR(__xludf.DUMMYFUNCTION("""COMPUTED_VALUE"""),1.0)</f>
        <v>1</v>
      </c>
      <c r="D1582" s="6" t="str">
        <f>IFERROR(__xludf.DUMMYFUNCTION("""COMPUTED_VALUE"""),"Q-10746-00")</f>
        <v>Q-10746-00</v>
      </c>
      <c r="E1582" s="6" t="str">
        <f>IFERROR(__xludf.DUMMYFUNCTION("""COMPUTED_VALUE"""),"Cat Tembok WeatherShield 40544M Day Break Dulux")</f>
        <v>Cat Tembok WeatherShield 40544M Day Break Dulux</v>
      </c>
      <c r="F1582" s="6">
        <f>IFERROR(__xludf.DUMMYFUNCTION("""COMPUTED_VALUE"""),1.0)</f>
        <v>1</v>
      </c>
      <c r="G1582" s="6" t="str">
        <f>IFERROR(__xludf.DUMMYFUNCTION("""COMPUTED_VALUE"""),"Unit")</f>
        <v>Unit</v>
      </c>
      <c r="H1582" s="6" t="str">
        <f>IFERROR(__xludf.DUMMYFUNCTION("""COMPUTED_VALUE"""),"IDR")</f>
        <v>IDR</v>
      </c>
      <c r="I1582" s="6">
        <f>IFERROR(__xludf.DUMMYFUNCTION("""COMPUTED_VALUE"""),2550000.0)</f>
        <v>2550000</v>
      </c>
      <c r="J1582" s="6">
        <f>IFERROR(__xludf.DUMMYFUNCTION("""COMPUTED_VALUE"""),2550000.0)</f>
        <v>2550000</v>
      </c>
      <c r="K1582" s="57">
        <f>IFERROR(__xludf.DUMMYFUNCTION("""COMPUTED_VALUE"""),44512.0)</f>
        <v>44512</v>
      </c>
      <c r="L1582" s="6" t="str">
        <f>IFERROR(__xludf.DUMMYFUNCTION("""COMPUTED_VALUE"""),"FIP Engineering")</f>
        <v>FIP Engineering</v>
      </c>
      <c r="M1582" s="6" t="str">
        <f>IFERROR(__xludf.DUMMYFUNCTION("""COMPUTED_VALUE"""),"Irwan Sopian")</f>
        <v>Irwan Sopian</v>
      </c>
      <c r="N1582" s="6" t="str">
        <f>IFERROR(__xludf.DUMMYFUNCTION("""COMPUTED_VALUE"""),"FIP Engineering")</f>
        <v>FIP Engineering</v>
      </c>
      <c r="O1582" s="6" t="str">
        <f>IFERROR(__xludf.DUMMYFUNCTION("""COMPUTED_VALUE"""),"FIP-DOM-000-11304-OS00001-INA-000000")</f>
        <v>FIP-DOM-000-11304-OS00001-INA-000000</v>
      </c>
      <c r="P1582" s="6" t="str">
        <f>IFERROR(__xludf.DUMMYFUNCTION("""COMPUTED_VALUE"""),"PO Closed")</f>
        <v>PO Closed</v>
      </c>
      <c r="Q1582" s="6" t="str">
        <f>IFERROR(__xludf.DUMMYFUNCTION("""COMPUTED_VALUE"""),"GL2110037")</f>
        <v>GL2110037</v>
      </c>
      <c r="R1582" s="57">
        <f>IFERROR(__xludf.DUMMYFUNCTION("""COMPUTED_VALUE"""),44483.0)</f>
        <v>44483</v>
      </c>
      <c r="S1582" s="6" t="str">
        <f>IFERROR(__xludf.DUMMYFUNCTION("""COMPUTED_VALUE"""),"-")</f>
        <v>-</v>
      </c>
      <c r="T1582" s="57">
        <f>IFERROR(__xludf.DUMMYFUNCTION("""COMPUTED_VALUE"""),44512.0)</f>
        <v>44512</v>
      </c>
    </row>
    <row r="1583">
      <c r="A1583" s="6" t="str">
        <f>IFERROR(__xludf.DUMMYFUNCTION("""COMPUTED_VALUE"""),"211750390-2")</f>
        <v>211750390-2</v>
      </c>
      <c r="B1583" s="6" t="str">
        <f>IFERROR(__xludf.DUMMYFUNCTION("""COMPUTED_VALUE"""),"211750390 - Approved")</f>
        <v>211750390 - Approved</v>
      </c>
      <c r="C1583" s="6">
        <f>IFERROR(__xludf.DUMMYFUNCTION("""COMPUTED_VALUE"""),2.0)</f>
        <v>2</v>
      </c>
      <c r="D1583" s="6" t="str">
        <f>IFERROR(__xludf.DUMMYFUNCTION("""COMPUTED_VALUE"""),"P-52193-00")</f>
        <v>P-52193-00</v>
      </c>
      <c r="E1583" s="6" t="str">
        <f>IFERROR(__xludf.DUMMYFUNCTION("""COMPUTED_VALUE"""),"Lampu UV 8 Watt")</f>
        <v>Lampu UV 8 Watt</v>
      </c>
      <c r="F1583" s="6">
        <f>IFERROR(__xludf.DUMMYFUNCTION("""COMPUTED_VALUE"""),5.0)</f>
        <v>5</v>
      </c>
      <c r="G1583" s="6" t="str">
        <f>IFERROR(__xludf.DUMMYFUNCTION("""COMPUTED_VALUE"""),"Pieces")</f>
        <v>Pieces</v>
      </c>
      <c r="H1583" s="6" t="str">
        <f>IFERROR(__xludf.DUMMYFUNCTION("""COMPUTED_VALUE"""),"IDR")</f>
        <v>IDR</v>
      </c>
      <c r="I1583" s="6">
        <f>IFERROR(__xludf.DUMMYFUNCTION("""COMPUTED_VALUE"""),150000.0)</f>
        <v>150000</v>
      </c>
      <c r="J1583" s="6">
        <f>IFERROR(__xludf.DUMMYFUNCTION("""COMPUTED_VALUE"""),750000.0)</f>
        <v>750000</v>
      </c>
      <c r="K1583" s="57">
        <f>IFERROR(__xludf.DUMMYFUNCTION("""COMPUTED_VALUE"""),44512.0)</f>
        <v>44512</v>
      </c>
      <c r="L1583" s="6" t="str">
        <f>IFERROR(__xludf.DUMMYFUNCTION("""COMPUTED_VALUE"""),"FIP Engineering")</f>
        <v>FIP Engineering</v>
      </c>
      <c r="M1583" s="6" t="str">
        <f>IFERROR(__xludf.DUMMYFUNCTION("""COMPUTED_VALUE"""),"Irwan Sopian")</f>
        <v>Irwan Sopian</v>
      </c>
      <c r="N1583" s="6" t="str">
        <f>IFERROR(__xludf.DUMMYFUNCTION("""COMPUTED_VALUE"""),"FIP Engineering")</f>
        <v>FIP Engineering</v>
      </c>
      <c r="O1583" s="6" t="str">
        <f>IFERROR(__xludf.DUMMYFUNCTION("""COMPUTED_VALUE"""),"FIP-DOM-000-11304-OS00001-INA-000000")</f>
        <v>FIP-DOM-000-11304-OS00001-INA-000000</v>
      </c>
      <c r="P1583" s="6" t="str">
        <f>IFERROR(__xludf.DUMMYFUNCTION("""COMPUTED_VALUE"""),"PO Closed")</f>
        <v>PO Closed</v>
      </c>
      <c r="Q1583" s="6" t="str">
        <f>IFERROR(__xludf.DUMMYFUNCTION("""COMPUTED_VALUE"""),"GL2110049")</f>
        <v>GL2110049</v>
      </c>
      <c r="R1583" s="57">
        <f>IFERROR(__xludf.DUMMYFUNCTION("""COMPUTED_VALUE"""),44483.0)</f>
        <v>44483</v>
      </c>
      <c r="S1583" s="6" t="str">
        <f>IFERROR(__xludf.DUMMYFUNCTION("""COMPUTED_VALUE"""),"-")</f>
        <v>-</v>
      </c>
      <c r="T1583" s="57">
        <f>IFERROR(__xludf.DUMMYFUNCTION("""COMPUTED_VALUE"""),44512.0)</f>
        <v>44512</v>
      </c>
    </row>
    <row r="1584">
      <c r="A1584" s="6" t="str">
        <f>IFERROR(__xludf.DUMMYFUNCTION("""COMPUTED_VALUE"""),"211750390-3")</f>
        <v>211750390-3</v>
      </c>
      <c r="B1584" s="6" t="str">
        <f>IFERROR(__xludf.DUMMYFUNCTION("""COMPUTED_VALUE"""),"211750390 - Approved")</f>
        <v>211750390 - Approved</v>
      </c>
      <c r="C1584" s="6">
        <f>IFERROR(__xludf.DUMMYFUNCTION("""COMPUTED_VALUE"""),3.0)</f>
        <v>3</v>
      </c>
      <c r="D1584" s="6" t="str">
        <f>IFERROR(__xludf.DUMMYFUNCTION("""COMPUTED_VALUE"""),"P-17875-00")</f>
        <v>P-17875-00</v>
      </c>
      <c r="E1584" s="6" t="str">
        <f>IFERROR(__xludf.DUMMYFUNCTION("""COMPUTED_VALUE"""),"SMC - Air Regulator type AR20-02BG-B")</f>
        <v>SMC - Air Regulator type AR20-02BG-B</v>
      </c>
      <c r="F1584" s="6">
        <f>IFERROR(__xludf.DUMMYFUNCTION("""COMPUTED_VALUE"""),2.0)</f>
        <v>2</v>
      </c>
      <c r="G1584" s="6" t="str">
        <f>IFERROR(__xludf.DUMMYFUNCTION("""COMPUTED_VALUE"""),"Pieces")</f>
        <v>Pieces</v>
      </c>
      <c r="H1584" s="6" t="str">
        <f>IFERROR(__xludf.DUMMYFUNCTION("""COMPUTED_VALUE"""),"IDR")</f>
        <v>IDR</v>
      </c>
      <c r="I1584" s="6">
        <f>IFERROR(__xludf.DUMMYFUNCTION("""COMPUTED_VALUE"""),548000.0)</f>
        <v>548000</v>
      </c>
      <c r="J1584" s="6">
        <f>IFERROR(__xludf.DUMMYFUNCTION("""COMPUTED_VALUE"""),1096000.0)</f>
        <v>1096000</v>
      </c>
      <c r="K1584" s="57">
        <f>IFERROR(__xludf.DUMMYFUNCTION("""COMPUTED_VALUE"""),44512.0)</f>
        <v>44512</v>
      </c>
      <c r="L1584" s="6" t="str">
        <f>IFERROR(__xludf.DUMMYFUNCTION("""COMPUTED_VALUE"""),"FIP Engineering")</f>
        <v>FIP Engineering</v>
      </c>
      <c r="M1584" s="6" t="str">
        <f>IFERROR(__xludf.DUMMYFUNCTION("""COMPUTED_VALUE"""),"Irwan Sopian")</f>
        <v>Irwan Sopian</v>
      </c>
      <c r="N1584" s="6" t="str">
        <f>IFERROR(__xludf.DUMMYFUNCTION("""COMPUTED_VALUE"""),"FIP Engineering")</f>
        <v>FIP Engineering</v>
      </c>
      <c r="O1584" s="6" t="str">
        <f>IFERROR(__xludf.DUMMYFUNCTION("""COMPUTED_VALUE"""),"FIP-DOM-000-11304-OS00001-INA-000000")</f>
        <v>FIP-DOM-000-11304-OS00001-INA-000000</v>
      </c>
      <c r="P1584" s="6" t="str">
        <f>IFERROR(__xludf.DUMMYFUNCTION("""COMPUTED_VALUE"""),"PO Closed")</f>
        <v>PO Closed</v>
      </c>
      <c r="Q1584" s="6" t="str">
        <f>IFERROR(__xludf.DUMMYFUNCTION("""COMPUTED_VALUE"""),"GL2110050")</f>
        <v>GL2110050</v>
      </c>
      <c r="R1584" s="57">
        <f>IFERROR(__xludf.DUMMYFUNCTION("""COMPUTED_VALUE"""),44483.0)</f>
        <v>44483</v>
      </c>
      <c r="S1584" s="6" t="str">
        <f>IFERROR(__xludf.DUMMYFUNCTION("""COMPUTED_VALUE"""),"-")</f>
        <v>-</v>
      </c>
      <c r="T1584" s="57">
        <f>IFERROR(__xludf.DUMMYFUNCTION("""COMPUTED_VALUE"""),44515.0)</f>
        <v>44515</v>
      </c>
    </row>
    <row r="1585">
      <c r="A1585" s="6" t="str">
        <f>IFERROR(__xludf.DUMMYFUNCTION("""COMPUTED_VALUE"""),"211750390-4")</f>
        <v>211750390-4</v>
      </c>
      <c r="B1585" s="6" t="str">
        <f>IFERROR(__xludf.DUMMYFUNCTION("""COMPUTED_VALUE"""),"211750390 - Approved")</f>
        <v>211750390 - Approved</v>
      </c>
      <c r="C1585" s="6">
        <f>IFERROR(__xludf.DUMMYFUNCTION("""COMPUTED_VALUE"""),4.0)</f>
        <v>4</v>
      </c>
      <c r="D1585" s="6" t="str">
        <f>IFERROR(__xludf.DUMMYFUNCTION("""COMPUTED_VALUE"""),"Q-10745-00")</f>
        <v>Q-10745-00</v>
      </c>
      <c r="E1585" s="6" t="str">
        <f>IFERROR(__xludf.DUMMYFUNCTION("""COMPUTED_VALUE"""),"Lem ZAMITEX 500 gr")</f>
        <v>Lem ZAMITEX 500 gr</v>
      </c>
      <c r="F1585" s="6">
        <f>IFERROR(__xludf.DUMMYFUNCTION("""COMPUTED_VALUE"""),2.0)</f>
        <v>2</v>
      </c>
      <c r="G1585" s="6" t="str">
        <f>IFERROR(__xludf.DUMMYFUNCTION("""COMPUTED_VALUE"""),"Pieces")</f>
        <v>Pieces</v>
      </c>
      <c r="H1585" s="6" t="str">
        <f>IFERROR(__xludf.DUMMYFUNCTION("""COMPUTED_VALUE"""),"IDR")</f>
        <v>IDR</v>
      </c>
      <c r="I1585" s="6">
        <f>IFERROR(__xludf.DUMMYFUNCTION("""COMPUTED_VALUE"""),35000.0)</f>
        <v>35000</v>
      </c>
      <c r="J1585" s="6">
        <f>IFERROR(__xludf.DUMMYFUNCTION("""COMPUTED_VALUE"""),70000.0)</f>
        <v>70000</v>
      </c>
      <c r="K1585" s="57">
        <f>IFERROR(__xludf.DUMMYFUNCTION("""COMPUTED_VALUE"""),44512.0)</f>
        <v>44512</v>
      </c>
      <c r="L1585" s="6" t="str">
        <f>IFERROR(__xludf.DUMMYFUNCTION("""COMPUTED_VALUE"""),"FIP General")</f>
        <v>FIP General</v>
      </c>
      <c r="M1585" s="6" t="str">
        <f>IFERROR(__xludf.DUMMYFUNCTION("""COMPUTED_VALUE"""),"Irwan Sopian")</f>
        <v>Irwan Sopian</v>
      </c>
      <c r="N1585" s="6" t="str">
        <f>IFERROR(__xludf.DUMMYFUNCTION("""COMPUTED_VALUE"""),"FIP Engineering")</f>
        <v>FIP Engineering</v>
      </c>
      <c r="O1585" s="6" t="str">
        <f>IFERROR(__xludf.DUMMYFUNCTION("""COMPUTED_VALUE"""),"FIP-DOM-ENG-51502-0000000-INA-000000")</f>
        <v>FIP-DOM-ENG-51502-0000000-INA-000000</v>
      </c>
      <c r="P1585" s="6" t="str">
        <f>IFERROR(__xludf.DUMMYFUNCTION("""COMPUTED_VALUE"""),"PO Closed")</f>
        <v>PO Closed</v>
      </c>
      <c r="Q1585" s="6" t="str">
        <f>IFERROR(__xludf.DUMMYFUNCTION("""COMPUTED_VALUE"""),"GL2110037")</f>
        <v>GL2110037</v>
      </c>
      <c r="R1585" s="57">
        <f>IFERROR(__xludf.DUMMYFUNCTION("""COMPUTED_VALUE"""),44483.0)</f>
        <v>44483</v>
      </c>
      <c r="S1585" s="6" t="str">
        <f>IFERROR(__xludf.DUMMYFUNCTION("""COMPUTED_VALUE"""),"-")</f>
        <v>-</v>
      </c>
      <c r="T1585" s="57">
        <f>IFERROR(__xludf.DUMMYFUNCTION("""COMPUTED_VALUE"""),44505.0)</f>
        <v>44505</v>
      </c>
    </row>
    <row r="1586">
      <c r="A1586" s="6" t="str">
        <f>IFERROR(__xludf.DUMMYFUNCTION("""COMPUTED_VALUE"""),"211750390-5")</f>
        <v>211750390-5</v>
      </c>
      <c r="B1586" s="6" t="str">
        <f>IFERROR(__xludf.DUMMYFUNCTION("""COMPUTED_VALUE"""),"211750390 - Approved")</f>
        <v>211750390 - Approved</v>
      </c>
      <c r="C1586" s="6">
        <f>IFERROR(__xludf.DUMMYFUNCTION("""COMPUTED_VALUE"""),5.0)</f>
        <v>5</v>
      </c>
      <c r="D1586" s="6" t="str">
        <f>IFERROR(__xludf.DUMMYFUNCTION("""COMPUTED_VALUE"""),"S-65007-00")</f>
        <v>S-65007-00</v>
      </c>
      <c r="E1586" s="6" t="str">
        <f>IFERROR(__xludf.DUMMYFUNCTION("""COMPUTED_VALUE"""),"Fan Motor Kulkas F61-10")</f>
        <v>Fan Motor Kulkas F61-10</v>
      </c>
      <c r="F1586" s="6">
        <f>IFERROR(__xludf.DUMMYFUNCTION("""COMPUTED_VALUE"""),1.0)</f>
        <v>1</v>
      </c>
      <c r="G1586" s="6" t="str">
        <f>IFERROR(__xludf.DUMMYFUNCTION("""COMPUTED_VALUE"""),"Pieces")</f>
        <v>Pieces</v>
      </c>
      <c r="H1586" s="6" t="str">
        <f>IFERROR(__xludf.DUMMYFUNCTION("""COMPUTED_VALUE"""),"IDR")</f>
        <v>IDR</v>
      </c>
      <c r="I1586" s="6">
        <f>IFERROR(__xludf.DUMMYFUNCTION("""COMPUTED_VALUE"""),84500.0)</f>
        <v>84500</v>
      </c>
      <c r="J1586" s="6">
        <f>IFERROR(__xludf.DUMMYFUNCTION("""COMPUTED_VALUE"""),84500.0)</f>
        <v>84500</v>
      </c>
      <c r="K1586" s="57">
        <f>IFERROR(__xludf.DUMMYFUNCTION("""COMPUTED_VALUE"""),44512.0)</f>
        <v>44512</v>
      </c>
      <c r="L1586" s="6" t="str">
        <f>IFERROR(__xludf.DUMMYFUNCTION("""COMPUTED_VALUE"""),"FIP General")</f>
        <v>FIP General</v>
      </c>
      <c r="M1586" s="6" t="str">
        <f>IFERROR(__xludf.DUMMYFUNCTION("""COMPUTED_VALUE"""),"Irwan Sopian")</f>
        <v>Irwan Sopian</v>
      </c>
      <c r="N1586" s="6" t="str">
        <f>IFERROR(__xludf.DUMMYFUNCTION("""COMPUTED_VALUE"""),"FIP Engineering")</f>
        <v>FIP Engineering</v>
      </c>
      <c r="O1586" s="6" t="str">
        <f>IFERROR(__xludf.DUMMYFUNCTION("""COMPUTED_VALUE"""),"FIP-DOM-ENG-51504-0000000-INA-000000")</f>
        <v>FIP-DOM-ENG-51504-0000000-INA-000000</v>
      </c>
      <c r="P1586" s="6" t="str">
        <f>IFERROR(__xludf.DUMMYFUNCTION("""COMPUTED_VALUE"""),"PO Closed")</f>
        <v>PO Closed</v>
      </c>
      <c r="Q1586" s="6" t="str">
        <f>IFERROR(__xludf.DUMMYFUNCTION("""COMPUTED_VALUE"""),"GL2110049")</f>
        <v>GL2110049</v>
      </c>
      <c r="R1586" s="57">
        <f>IFERROR(__xludf.DUMMYFUNCTION("""COMPUTED_VALUE"""),44483.0)</f>
        <v>44483</v>
      </c>
      <c r="S1586" s="6" t="str">
        <f>IFERROR(__xludf.DUMMYFUNCTION("""COMPUTED_VALUE"""),"-")</f>
        <v>-</v>
      </c>
      <c r="T1586" s="57">
        <f>IFERROR(__xludf.DUMMYFUNCTION("""COMPUTED_VALUE"""),44498.0)</f>
        <v>44498</v>
      </c>
    </row>
    <row r="1587">
      <c r="A1587" s="6" t="str">
        <f>IFERROR(__xludf.DUMMYFUNCTION("""COMPUTED_VALUE"""),"211750390-6")</f>
        <v>211750390-6</v>
      </c>
      <c r="B1587" s="6" t="str">
        <f>IFERROR(__xludf.DUMMYFUNCTION("""COMPUTED_VALUE"""),"211750390 - Approved")</f>
        <v>211750390 - Approved</v>
      </c>
      <c r="C1587" s="6">
        <f>IFERROR(__xludf.DUMMYFUNCTION("""COMPUTED_VALUE"""),6.0)</f>
        <v>6</v>
      </c>
      <c r="D1587" s="6" t="str">
        <f>IFERROR(__xludf.DUMMYFUNCTION("""COMPUTED_VALUE"""),"S-65008-00")</f>
        <v>S-65008-00</v>
      </c>
      <c r="E1587" s="6" t="str">
        <f>IFERROR(__xludf.DUMMYFUNCTION("""COMPUTED_VALUE"""),"Vention Kabel Splitter Audio 3,5mm Female; ; ;")</f>
        <v>Vention Kabel Splitter Audio 3,5mm Female; ; ;</v>
      </c>
      <c r="F1587" s="6">
        <f>IFERROR(__xludf.DUMMYFUNCTION("""COMPUTED_VALUE"""),1.0)</f>
        <v>1</v>
      </c>
      <c r="G1587" s="6" t="str">
        <f>IFERROR(__xludf.DUMMYFUNCTION("""COMPUTED_VALUE"""),"Pieces")</f>
        <v>Pieces</v>
      </c>
      <c r="H1587" s="6" t="str">
        <f>IFERROR(__xludf.DUMMYFUNCTION("""COMPUTED_VALUE"""),"IDR")</f>
        <v>IDR</v>
      </c>
      <c r="I1587" s="6">
        <f>IFERROR(__xludf.DUMMYFUNCTION("""COMPUTED_VALUE"""),67500.0)</f>
        <v>67500</v>
      </c>
      <c r="J1587" s="6">
        <f>IFERROR(__xludf.DUMMYFUNCTION("""COMPUTED_VALUE"""),67500.0)</f>
        <v>67500</v>
      </c>
      <c r="K1587" s="57">
        <f>IFERROR(__xludf.DUMMYFUNCTION("""COMPUTED_VALUE"""),44512.0)</f>
        <v>44512</v>
      </c>
      <c r="L1587" s="6" t="str">
        <f>IFERROR(__xludf.DUMMYFUNCTION("""COMPUTED_VALUE"""),"FIP General")</f>
        <v>FIP General</v>
      </c>
      <c r="M1587" s="6" t="str">
        <f>IFERROR(__xludf.DUMMYFUNCTION("""COMPUTED_VALUE"""),"Irwan Sopian")</f>
        <v>Irwan Sopian</v>
      </c>
      <c r="N1587" s="6" t="str">
        <f>IFERROR(__xludf.DUMMYFUNCTION("""COMPUTED_VALUE"""),"FIP Engineering")</f>
        <v>FIP Engineering</v>
      </c>
      <c r="O1587" s="6" t="str">
        <f>IFERROR(__xludf.DUMMYFUNCTION("""COMPUTED_VALUE"""),"FIP-DOM-ENG-51504-0000000-INA-000000")</f>
        <v>FIP-DOM-ENG-51504-0000000-INA-000000</v>
      </c>
      <c r="P1587" s="6" t="str">
        <f>IFERROR(__xludf.DUMMYFUNCTION("""COMPUTED_VALUE"""),"PO Closed")</f>
        <v>PO Closed</v>
      </c>
      <c r="Q1587" s="6" t="str">
        <f>IFERROR(__xludf.DUMMYFUNCTION("""COMPUTED_VALUE"""),"GL2110049")</f>
        <v>GL2110049</v>
      </c>
      <c r="R1587" s="57">
        <f>IFERROR(__xludf.DUMMYFUNCTION("""COMPUTED_VALUE"""),44483.0)</f>
        <v>44483</v>
      </c>
      <c r="S1587" s="6" t="str">
        <f>IFERROR(__xludf.DUMMYFUNCTION("""COMPUTED_VALUE"""),"-")</f>
        <v>-</v>
      </c>
      <c r="T1587" s="57">
        <f>IFERROR(__xludf.DUMMYFUNCTION("""COMPUTED_VALUE"""),44498.0)</f>
        <v>44498</v>
      </c>
    </row>
    <row r="1588">
      <c r="A1588" s="6" t="str">
        <f>IFERROR(__xludf.DUMMYFUNCTION("""COMPUTED_VALUE"""),"211750390-7")</f>
        <v>211750390-7</v>
      </c>
      <c r="B1588" s="6" t="str">
        <f>IFERROR(__xludf.DUMMYFUNCTION("""COMPUTED_VALUE"""),"211750390 - Approved")</f>
        <v>211750390 - Approved</v>
      </c>
      <c r="C1588" s="6">
        <f>IFERROR(__xludf.DUMMYFUNCTION("""COMPUTED_VALUE"""),7.0)</f>
        <v>7</v>
      </c>
      <c r="D1588" s="6" t="str">
        <f>IFERROR(__xludf.DUMMYFUNCTION("""COMPUTED_VALUE"""),"S-63035-00")</f>
        <v>S-63035-00</v>
      </c>
      <c r="E1588" s="6" t="str">
        <f>IFERROR(__xludf.DUMMYFUNCTION("""COMPUTED_VALUE"""),"Cover Penutup Saklar")</f>
        <v>Cover Penutup Saklar</v>
      </c>
      <c r="F1588" s="6">
        <f>IFERROR(__xludf.DUMMYFUNCTION("""COMPUTED_VALUE"""),6.0)</f>
        <v>6</v>
      </c>
      <c r="G1588" s="6" t="str">
        <f>IFERROR(__xludf.DUMMYFUNCTION("""COMPUTED_VALUE"""),"Pieces")</f>
        <v>Pieces</v>
      </c>
      <c r="H1588" s="6" t="str">
        <f>IFERROR(__xludf.DUMMYFUNCTION("""COMPUTED_VALUE"""),"IDR")</f>
        <v>IDR</v>
      </c>
      <c r="I1588" s="6">
        <f>IFERROR(__xludf.DUMMYFUNCTION("""COMPUTED_VALUE"""),18000.0)</f>
        <v>18000</v>
      </c>
      <c r="J1588" s="6">
        <f>IFERROR(__xludf.DUMMYFUNCTION("""COMPUTED_VALUE"""),108000.0)</f>
        <v>108000</v>
      </c>
      <c r="K1588" s="57">
        <f>IFERROR(__xludf.DUMMYFUNCTION("""COMPUTED_VALUE"""),44512.0)</f>
        <v>44512</v>
      </c>
      <c r="L1588" s="6" t="str">
        <f>IFERROR(__xludf.DUMMYFUNCTION("""COMPUTED_VALUE"""),"FIP General")</f>
        <v>FIP General</v>
      </c>
      <c r="M1588" s="6" t="str">
        <f>IFERROR(__xludf.DUMMYFUNCTION("""COMPUTED_VALUE"""),"Irwan Sopian")</f>
        <v>Irwan Sopian</v>
      </c>
      <c r="N1588" s="6" t="str">
        <f>IFERROR(__xludf.DUMMYFUNCTION("""COMPUTED_VALUE"""),"FIP Engineering")</f>
        <v>FIP Engineering</v>
      </c>
      <c r="O1588" s="6" t="str">
        <f>IFERROR(__xludf.DUMMYFUNCTION("""COMPUTED_VALUE"""),"FIP-DOM-ENG-51504-0000000-INA-000000")</f>
        <v>FIP-DOM-ENG-51504-0000000-INA-000000</v>
      </c>
      <c r="P1588" s="6" t="str">
        <f>IFERROR(__xludf.DUMMYFUNCTION("""COMPUTED_VALUE"""),"PO Closed")</f>
        <v>PO Closed</v>
      </c>
      <c r="Q1588" s="6" t="str">
        <f>IFERROR(__xludf.DUMMYFUNCTION("""COMPUTED_VALUE"""),"GL2110049")</f>
        <v>GL2110049</v>
      </c>
      <c r="R1588" s="57">
        <f>IFERROR(__xludf.DUMMYFUNCTION("""COMPUTED_VALUE"""),44483.0)</f>
        <v>44483</v>
      </c>
      <c r="S1588" s="6" t="str">
        <f>IFERROR(__xludf.DUMMYFUNCTION("""COMPUTED_VALUE"""),"-")</f>
        <v>-</v>
      </c>
      <c r="T1588" s="57">
        <f>IFERROR(__xludf.DUMMYFUNCTION("""COMPUTED_VALUE"""),44498.0)</f>
        <v>44498</v>
      </c>
    </row>
    <row r="1589">
      <c r="A1589" s="6" t="str">
        <f>IFERROR(__xludf.DUMMYFUNCTION("""COMPUTED_VALUE"""),"211750390-8")</f>
        <v>211750390-8</v>
      </c>
      <c r="B1589" s="6" t="str">
        <f>IFERROR(__xludf.DUMMYFUNCTION("""COMPUTED_VALUE"""),"211750390 - Approved")</f>
        <v>211750390 - Approved</v>
      </c>
      <c r="C1589" s="6">
        <f>IFERROR(__xludf.DUMMYFUNCTION("""COMPUTED_VALUE"""),8.0)</f>
        <v>8</v>
      </c>
      <c r="D1589" s="6" t="str">
        <f>IFERROR(__xludf.DUMMYFUNCTION("""COMPUTED_VALUE"""),"P-17862-00")</f>
        <v>P-17862-00</v>
      </c>
      <c r="E1589" s="6" t="str">
        <f>IFERROR(__xludf.DUMMYFUNCTION("""COMPUTED_VALUE"""),"Tee PVC AW dia 1 1/4inch x 1 1/2inch")</f>
        <v>Tee PVC AW dia 1 1/4inch x 1 1/2inch</v>
      </c>
      <c r="F1589" s="6">
        <f>IFERROR(__xludf.DUMMYFUNCTION("""COMPUTED_VALUE"""),2.0)</f>
        <v>2</v>
      </c>
      <c r="G1589" s="6" t="str">
        <f>IFERROR(__xludf.DUMMYFUNCTION("""COMPUTED_VALUE"""),"Pieces")</f>
        <v>Pieces</v>
      </c>
      <c r="H1589" s="6" t="str">
        <f>IFERROR(__xludf.DUMMYFUNCTION("""COMPUTED_VALUE"""),"IDR")</f>
        <v>IDR</v>
      </c>
      <c r="I1589" s="6">
        <f>IFERROR(__xludf.DUMMYFUNCTION("""COMPUTED_VALUE"""),15000.0)</f>
        <v>15000</v>
      </c>
      <c r="J1589" s="6">
        <f>IFERROR(__xludf.DUMMYFUNCTION("""COMPUTED_VALUE"""),30000.0)</f>
        <v>30000</v>
      </c>
      <c r="K1589" s="57">
        <f>IFERROR(__xludf.DUMMYFUNCTION("""COMPUTED_VALUE"""),44512.0)</f>
        <v>44512</v>
      </c>
      <c r="L1589" s="6" t="str">
        <f>IFERROR(__xludf.DUMMYFUNCTION("""COMPUTED_VALUE"""),"FIP Engineering")</f>
        <v>FIP Engineering</v>
      </c>
      <c r="M1589" s="6" t="str">
        <f>IFERROR(__xludf.DUMMYFUNCTION("""COMPUTED_VALUE"""),"Irwan Sopian")</f>
        <v>Irwan Sopian</v>
      </c>
      <c r="N1589" s="6" t="str">
        <f>IFERROR(__xludf.DUMMYFUNCTION("""COMPUTED_VALUE"""),"FIP Engineering")</f>
        <v>FIP Engineering</v>
      </c>
      <c r="O1589" s="6" t="str">
        <f>IFERROR(__xludf.DUMMYFUNCTION("""COMPUTED_VALUE"""),"FIP-DOM-000-11304-OS00001-INA-000000")</f>
        <v>FIP-DOM-000-11304-OS00001-INA-000000</v>
      </c>
      <c r="P1589" s="6" t="str">
        <f>IFERROR(__xludf.DUMMYFUNCTION("""COMPUTED_VALUE"""),"PO Closed")</f>
        <v>PO Closed</v>
      </c>
      <c r="Q1589" s="6" t="str">
        <f>IFERROR(__xludf.DUMMYFUNCTION("""COMPUTED_VALUE"""),"GL2110049")</f>
        <v>GL2110049</v>
      </c>
      <c r="R1589" s="57">
        <f>IFERROR(__xludf.DUMMYFUNCTION("""COMPUTED_VALUE"""),44483.0)</f>
        <v>44483</v>
      </c>
      <c r="S1589" s="6" t="str">
        <f>IFERROR(__xludf.DUMMYFUNCTION("""COMPUTED_VALUE"""),"-")</f>
        <v>-</v>
      </c>
      <c r="T1589" s="57">
        <f>IFERROR(__xludf.DUMMYFUNCTION("""COMPUTED_VALUE"""),44498.0)</f>
        <v>44498</v>
      </c>
    </row>
    <row r="1590">
      <c r="A1590" s="6" t="str">
        <f>IFERROR(__xludf.DUMMYFUNCTION("""COMPUTED_VALUE"""),"211750389-1")</f>
        <v>211750389-1</v>
      </c>
      <c r="B1590" s="6" t="str">
        <f>IFERROR(__xludf.DUMMYFUNCTION("""COMPUTED_VALUE"""),"211750389 - Approved")</f>
        <v>211750389 - Approved</v>
      </c>
      <c r="C1590" s="6">
        <f>IFERROR(__xludf.DUMMYFUNCTION("""COMPUTED_VALUE"""),1.0)</f>
        <v>1</v>
      </c>
      <c r="D1590" s="6" t="str">
        <f>IFERROR(__xludf.DUMMYFUNCTION("""COMPUTED_VALUE"""),"O-18108-00")</f>
        <v>O-18108-00</v>
      </c>
      <c r="E1590" s="6" t="str">
        <f>IFERROR(__xludf.DUMMYFUNCTION("""COMPUTED_VALUE"""),"Freeze Dryer MBE1207 - Therm.Exp.Valve TE2 R404A/R507A 068Z3403 DANFOSS")</f>
        <v>Freeze Dryer MBE1207 - Therm.Exp.Valve TE2 R404A/R507A 068Z3403 DANFOSS</v>
      </c>
      <c r="F1590" s="6">
        <f>IFERROR(__xludf.DUMMYFUNCTION("""COMPUTED_VALUE"""),1.0)</f>
        <v>1</v>
      </c>
      <c r="G1590" s="6" t="str">
        <f>IFERROR(__xludf.DUMMYFUNCTION("""COMPUTED_VALUE"""),"Pieces")</f>
        <v>Pieces</v>
      </c>
      <c r="H1590" s="6" t="str">
        <f>IFERROR(__xludf.DUMMYFUNCTION("""COMPUTED_VALUE"""),"IDR")</f>
        <v>IDR</v>
      </c>
      <c r="I1590" s="6">
        <f>IFERROR(__xludf.DUMMYFUNCTION("""COMPUTED_VALUE"""),2000000.0)</f>
        <v>2000000</v>
      </c>
      <c r="J1590" s="6">
        <f>IFERROR(__xludf.DUMMYFUNCTION("""COMPUTED_VALUE"""),2000000.0)</f>
        <v>2000000</v>
      </c>
      <c r="K1590" s="57">
        <f>IFERROR(__xludf.DUMMYFUNCTION("""COMPUTED_VALUE"""),44505.0)</f>
        <v>44505</v>
      </c>
      <c r="L1590" s="6" t="str">
        <f>IFERROR(__xludf.DUMMYFUNCTION("""COMPUTED_VALUE"""),"FIP Engineering")</f>
        <v>FIP Engineering</v>
      </c>
      <c r="M1590" s="6" t="str">
        <f>IFERROR(__xludf.DUMMYFUNCTION("""COMPUTED_VALUE"""),"Irwan Sopian")</f>
        <v>Irwan Sopian</v>
      </c>
      <c r="N1590" s="6" t="str">
        <f>IFERROR(__xludf.DUMMYFUNCTION("""COMPUTED_VALUE"""),"FIP Engineering")</f>
        <v>FIP Engineering</v>
      </c>
      <c r="O1590" s="6" t="str">
        <f>IFERROR(__xludf.DUMMYFUNCTION("""COMPUTED_VALUE"""),"FIP-DOM-000-11304-OS00001-INA-000000")</f>
        <v>FIP-DOM-000-11304-OS00001-INA-000000</v>
      </c>
      <c r="P1590" s="6" t="str">
        <f>IFERROR(__xludf.DUMMYFUNCTION("""COMPUTED_VALUE"""),"PO Closed")</f>
        <v>PO Closed</v>
      </c>
      <c r="Q1590" s="6" t="str">
        <f>IFERROR(__xludf.DUMMYFUNCTION("""COMPUTED_VALUE"""),"GL2110048")</f>
        <v>GL2110048</v>
      </c>
      <c r="R1590" s="57">
        <f>IFERROR(__xludf.DUMMYFUNCTION("""COMPUTED_VALUE"""),44483.0)</f>
        <v>44483</v>
      </c>
      <c r="S1590" s="6" t="str">
        <f>IFERROR(__xludf.DUMMYFUNCTION("""COMPUTED_VALUE"""),"-")</f>
        <v>-</v>
      </c>
      <c r="T1590" s="57">
        <f>IFERROR(__xludf.DUMMYFUNCTION("""COMPUTED_VALUE"""),44510.0)</f>
        <v>44510</v>
      </c>
    </row>
    <row r="1591">
      <c r="A1591" s="6" t="str">
        <f>IFERROR(__xludf.DUMMYFUNCTION("""COMPUTED_VALUE"""),"211750389-2")</f>
        <v>211750389-2</v>
      </c>
      <c r="B1591" s="6" t="str">
        <f>IFERROR(__xludf.DUMMYFUNCTION("""COMPUTED_VALUE"""),"211750389 - Approved")</f>
        <v>211750389 - Approved</v>
      </c>
      <c r="C1591" s="6">
        <f>IFERROR(__xludf.DUMMYFUNCTION("""COMPUTED_VALUE"""),2.0)</f>
        <v>2</v>
      </c>
      <c r="D1591" s="6" t="str">
        <f>IFERROR(__xludf.DUMMYFUNCTION("""COMPUTED_VALUE"""),"O-18094-00")</f>
        <v>O-18094-00</v>
      </c>
      <c r="E1591" s="6" t="str">
        <f>IFERROR(__xludf.DUMMYFUNCTION("""COMPUTED_VALUE"""),"Freeze Dryer MBE1207 - Orifice 0,3 Danfoss; ; ;")</f>
        <v>Freeze Dryer MBE1207 - Orifice 0,3 Danfoss; ; ;</v>
      </c>
      <c r="F1591" s="6">
        <f>IFERROR(__xludf.DUMMYFUNCTION("""COMPUTED_VALUE"""),1.0)</f>
        <v>1</v>
      </c>
      <c r="G1591" s="6" t="str">
        <f>IFERROR(__xludf.DUMMYFUNCTION("""COMPUTED_VALUE"""),"Pieces")</f>
        <v>Pieces</v>
      </c>
      <c r="H1591" s="6" t="str">
        <f>IFERROR(__xludf.DUMMYFUNCTION("""COMPUTED_VALUE"""),"IDR")</f>
        <v>IDR</v>
      </c>
      <c r="I1591" s="6">
        <f>IFERROR(__xludf.DUMMYFUNCTION("""COMPUTED_VALUE"""),500000.0)</f>
        <v>500000</v>
      </c>
      <c r="J1591" s="6">
        <f>IFERROR(__xludf.DUMMYFUNCTION("""COMPUTED_VALUE"""),500000.0)</f>
        <v>500000</v>
      </c>
      <c r="K1591" s="57">
        <f>IFERROR(__xludf.DUMMYFUNCTION("""COMPUTED_VALUE"""),44505.0)</f>
        <v>44505</v>
      </c>
      <c r="L1591" s="6" t="str">
        <f>IFERROR(__xludf.DUMMYFUNCTION("""COMPUTED_VALUE"""),"FIP Engineering")</f>
        <v>FIP Engineering</v>
      </c>
      <c r="M1591" s="6" t="str">
        <f>IFERROR(__xludf.DUMMYFUNCTION("""COMPUTED_VALUE"""),"Irwan Sopian")</f>
        <v>Irwan Sopian</v>
      </c>
      <c r="N1591" s="6" t="str">
        <f>IFERROR(__xludf.DUMMYFUNCTION("""COMPUTED_VALUE"""),"FIP Engineering")</f>
        <v>FIP Engineering</v>
      </c>
      <c r="O1591" s="6" t="str">
        <f>IFERROR(__xludf.DUMMYFUNCTION("""COMPUTED_VALUE"""),"FIP-DOM-000-11304-OS00001-INA-000000")</f>
        <v>FIP-DOM-000-11304-OS00001-INA-000000</v>
      </c>
      <c r="P1591" s="6" t="str">
        <f>IFERROR(__xludf.DUMMYFUNCTION("""COMPUTED_VALUE"""),"PO Closed")</f>
        <v>PO Closed</v>
      </c>
      <c r="Q1591" s="6" t="str">
        <f>IFERROR(__xludf.DUMMYFUNCTION("""COMPUTED_VALUE"""),"GL2110048")</f>
        <v>GL2110048</v>
      </c>
      <c r="R1591" s="57">
        <f>IFERROR(__xludf.DUMMYFUNCTION("""COMPUTED_VALUE"""),44483.0)</f>
        <v>44483</v>
      </c>
      <c r="S1591" s="6" t="str">
        <f>IFERROR(__xludf.DUMMYFUNCTION("""COMPUTED_VALUE"""),"-")</f>
        <v>-</v>
      </c>
      <c r="T1591" s="57">
        <f>IFERROR(__xludf.DUMMYFUNCTION("""COMPUTED_VALUE"""),44510.0)</f>
        <v>44510</v>
      </c>
    </row>
    <row r="1592">
      <c r="A1592" s="6" t="str">
        <f>IFERROR(__xludf.DUMMYFUNCTION("""COMPUTED_VALUE"""),"211750400-1")</f>
        <v>211750400-1</v>
      </c>
      <c r="B1592" s="6" t="str">
        <f>IFERROR(__xludf.DUMMYFUNCTION("""COMPUTED_VALUE"""),"211750400 - Approved")</f>
        <v>211750400 - Approved</v>
      </c>
      <c r="C1592" s="6">
        <f>IFERROR(__xludf.DUMMYFUNCTION("""COMPUTED_VALUE"""),1.0)</f>
        <v>1</v>
      </c>
      <c r="D1592" s="6" t="str">
        <f>IFERROR(__xludf.DUMMYFUNCTION("""COMPUTED_VALUE"""),"S-63036-00")</f>
        <v>S-63036-00</v>
      </c>
      <c r="E1592" s="6" t="str">
        <f>IFERROR(__xludf.DUMMYFUNCTION("""COMPUTED_VALUE"""),"Sticker White Doff Viny")</f>
        <v>Sticker White Doff Viny</v>
      </c>
      <c r="F1592" s="6">
        <f>IFERROR(__xludf.DUMMYFUNCTION("""COMPUTED_VALUE"""),2.0)</f>
        <v>2</v>
      </c>
      <c r="G1592" s="6" t="str">
        <f>IFERROR(__xludf.DUMMYFUNCTION("""COMPUTED_VALUE"""),"Pieces")</f>
        <v>Pieces</v>
      </c>
      <c r="H1592" s="6" t="str">
        <f>IFERROR(__xludf.DUMMYFUNCTION("""COMPUTED_VALUE"""),"IDR")</f>
        <v>IDR</v>
      </c>
      <c r="I1592" s="6">
        <f>IFERROR(__xludf.DUMMYFUNCTION("""COMPUTED_VALUE"""),55250.0)</f>
        <v>55250</v>
      </c>
      <c r="J1592" s="6">
        <f>IFERROR(__xludf.DUMMYFUNCTION("""COMPUTED_VALUE"""),110500.0)</f>
        <v>110500</v>
      </c>
      <c r="K1592" s="57">
        <f>IFERROR(__xludf.DUMMYFUNCTION("""COMPUTED_VALUE"""),44512.0)</f>
        <v>44512</v>
      </c>
      <c r="L1592" s="6" t="str">
        <f>IFERROR(__xludf.DUMMYFUNCTION("""COMPUTED_VALUE"""),"FIP General")</f>
        <v>FIP General</v>
      </c>
      <c r="M1592" s="6" t="str">
        <f>IFERROR(__xludf.DUMMYFUNCTION("""COMPUTED_VALUE"""),"Irwan Sopian")</f>
        <v>Irwan Sopian</v>
      </c>
      <c r="N1592" s="6" t="str">
        <f>IFERROR(__xludf.DUMMYFUNCTION("""COMPUTED_VALUE"""),"FIP Engineering")</f>
        <v>FIP Engineering</v>
      </c>
      <c r="O1592" s="6" t="str">
        <f>IFERROR(__xludf.DUMMYFUNCTION("""COMPUTED_VALUE"""),"FIP-DOM-ENG-51504-0000000-INA-000000")</f>
        <v>FIP-DOM-ENG-51504-0000000-INA-000000</v>
      </c>
      <c r="P1592" s="6" t="str">
        <f>IFERROR(__xludf.DUMMYFUNCTION("""COMPUTED_VALUE"""),"PO Closed")</f>
        <v>PO Closed</v>
      </c>
      <c r="Q1592" s="6" t="str">
        <f>IFERROR(__xludf.DUMMYFUNCTION("""COMPUTED_VALUE"""),"GL2111011")</f>
        <v>GL2111011</v>
      </c>
      <c r="R1592" s="57">
        <f>IFERROR(__xludf.DUMMYFUNCTION("""COMPUTED_VALUE"""),44491.0)</f>
        <v>44491</v>
      </c>
      <c r="S1592" s="6" t="str">
        <f>IFERROR(__xludf.DUMMYFUNCTION("""COMPUTED_VALUE"""),"-")</f>
        <v>-</v>
      </c>
      <c r="T1592" s="57">
        <f>IFERROR(__xludf.DUMMYFUNCTION("""COMPUTED_VALUE"""),44512.0)</f>
        <v>44512</v>
      </c>
    </row>
    <row r="1593">
      <c r="A1593" s="6" t="str">
        <f>IFERROR(__xludf.DUMMYFUNCTION("""COMPUTED_VALUE"""),"211750400-2")</f>
        <v>211750400-2</v>
      </c>
      <c r="B1593" s="6" t="str">
        <f>IFERROR(__xludf.DUMMYFUNCTION("""COMPUTED_VALUE"""),"211750400 - Approved")</f>
        <v>211750400 - Approved</v>
      </c>
      <c r="C1593" s="6">
        <f>IFERROR(__xludf.DUMMYFUNCTION("""COMPUTED_VALUE"""),2.0)</f>
        <v>2</v>
      </c>
      <c r="D1593" s="6" t="str">
        <f>IFERROR(__xludf.DUMMYFUNCTION("""COMPUTED_VALUE"""),"O-51771-00")</f>
        <v>O-51771-00</v>
      </c>
      <c r="E1593" s="6" t="str">
        <f>IFERROR(__xludf.DUMMYFUNCTION("""COMPUTED_VALUE"""),"WAGO 750-501 2-CHANNEL DIGITAL OUTPUT MODULE STD PACK")</f>
        <v>WAGO 750-501 2-CHANNEL DIGITAL OUTPUT MODULE STD PACK</v>
      </c>
      <c r="F1593" s="6">
        <f>IFERROR(__xludf.DUMMYFUNCTION("""COMPUTED_VALUE"""),2.0)</f>
        <v>2</v>
      </c>
      <c r="G1593" s="6" t="str">
        <f>IFERROR(__xludf.DUMMYFUNCTION("""COMPUTED_VALUE"""),"Unit")</f>
        <v>Unit</v>
      </c>
      <c r="H1593" s="6" t="str">
        <f>IFERROR(__xludf.DUMMYFUNCTION("""COMPUTED_VALUE"""),"IDR")</f>
        <v>IDR</v>
      </c>
      <c r="I1593" s="6">
        <f>IFERROR(__xludf.DUMMYFUNCTION("""COMPUTED_VALUE"""),2620450.0)</f>
        <v>2620450</v>
      </c>
      <c r="J1593" s="6">
        <f>IFERROR(__xludf.DUMMYFUNCTION("""COMPUTED_VALUE"""),5240900.0)</f>
        <v>5240900</v>
      </c>
      <c r="K1593" s="57">
        <f>IFERROR(__xludf.DUMMYFUNCTION("""COMPUTED_VALUE"""),44512.0)</f>
        <v>44512</v>
      </c>
      <c r="L1593" s="6" t="str">
        <f>IFERROR(__xludf.DUMMYFUNCTION("""COMPUTED_VALUE"""),"FIP Engineering")</f>
        <v>FIP Engineering</v>
      </c>
      <c r="M1593" s="6" t="str">
        <f>IFERROR(__xludf.DUMMYFUNCTION("""COMPUTED_VALUE"""),"Irwan Sopian")</f>
        <v>Irwan Sopian</v>
      </c>
      <c r="N1593" s="6" t="str">
        <f>IFERROR(__xludf.DUMMYFUNCTION("""COMPUTED_VALUE"""),"FIP Engineering")</f>
        <v>FIP Engineering</v>
      </c>
      <c r="O1593" s="6" t="str">
        <f>IFERROR(__xludf.DUMMYFUNCTION("""COMPUTED_VALUE"""),"FIP-DOM-000-11304-OS00001-INA-000000")</f>
        <v>FIP-DOM-000-11304-OS00001-INA-000000</v>
      </c>
      <c r="P1593" s="6" t="str">
        <f>IFERROR(__xludf.DUMMYFUNCTION("""COMPUTED_VALUE"""),"PO Closed")</f>
        <v>PO Closed</v>
      </c>
      <c r="Q1593" s="6" t="str">
        <f>IFERROR(__xludf.DUMMYFUNCTION("""COMPUTED_VALUE"""),"GL2111011")</f>
        <v>GL2111011</v>
      </c>
      <c r="R1593" s="57">
        <f>IFERROR(__xludf.DUMMYFUNCTION("""COMPUTED_VALUE"""),44491.0)</f>
        <v>44491</v>
      </c>
      <c r="S1593" s="6" t="str">
        <f>IFERROR(__xludf.DUMMYFUNCTION("""COMPUTED_VALUE"""),"-")</f>
        <v>-</v>
      </c>
      <c r="T1593" s="57">
        <f>IFERROR(__xludf.DUMMYFUNCTION("""COMPUTED_VALUE"""),44512.0)</f>
        <v>44512</v>
      </c>
    </row>
    <row r="1594">
      <c r="A1594" s="6" t="str">
        <f>IFERROR(__xludf.DUMMYFUNCTION("""COMPUTED_VALUE"""),"211750402-1")</f>
        <v>211750402-1</v>
      </c>
      <c r="B1594" s="6" t="str">
        <f>IFERROR(__xludf.DUMMYFUNCTION("""COMPUTED_VALUE"""),"211750402 - Approved")</f>
        <v>211750402 - Approved</v>
      </c>
      <c r="C1594" s="6">
        <f>IFERROR(__xludf.DUMMYFUNCTION("""COMPUTED_VALUE"""),1.0)</f>
        <v>1</v>
      </c>
      <c r="D1594" s="6" t="str">
        <f>IFERROR(__xludf.DUMMYFUNCTION("""COMPUTED_VALUE"""),"S-60002-00")</f>
        <v>S-60002-00</v>
      </c>
      <c r="E1594" s="6" t="str">
        <f>IFERROR(__xludf.DUMMYFUNCTION("""COMPUTED_VALUE"""),"Perbaikan AC Server 1 PK")</f>
        <v>Perbaikan AC Server 1 PK</v>
      </c>
      <c r="F1594" s="6">
        <f>IFERROR(__xludf.DUMMYFUNCTION("""COMPUTED_VALUE"""),1.0)</f>
        <v>1</v>
      </c>
      <c r="G1594" s="6" t="str">
        <f>IFERROR(__xludf.DUMMYFUNCTION("""COMPUTED_VALUE"""),"Lot")</f>
        <v>Lot</v>
      </c>
      <c r="H1594" s="6" t="str">
        <f>IFERROR(__xludf.DUMMYFUNCTION("""COMPUTED_VALUE"""),"IDR")</f>
        <v>IDR</v>
      </c>
      <c r="I1594" s="6">
        <f>IFERROR(__xludf.DUMMYFUNCTION("""COMPUTED_VALUE"""),4200000.0)</f>
        <v>4200000</v>
      </c>
      <c r="J1594" s="6">
        <f>IFERROR(__xludf.DUMMYFUNCTION("""COMPUTED_VALUE"""),4200000.0)</f>
        <v>4200000</v>
      </c>
      <c r="K1594" s="57">
        <f>IFERROR(__xludf.DUMMYFUNCTION("""COMPUTED_VALUE"""),44519.0)</f>
        <v>44519</v>
      </c>
      <c r="L1594" s="6" t="str">
        <f>IFERROR(__xludf.DUMMYFUNCTION("""COMPUTED_VALUE"""),"FIP General")</f>
        <v>FIP General</v>
      </c>
      <c r="M1594" s="6" t="str">
        <f>IFERROR(__xludf.DUMMYFUNCTION("""COMPUTED_VALUE"""),"Irwan Sopian")</f>
        <v>Irwan Sopian</v>
      </c>
      <c r="N1594" s="6" t="str">
        <f>IFERROR(__xludf.DUMMYFUNCTION("""COMPUTED_VALUE"""),"FIP Engineering")</f>
        <v>FIP Engineering</v>
      </c>
      <c r="O1594" s="6" t="str">
        <f>IFERROR(__xludf.DUMMYFUNCTION("""COMPUTED_VALUE"""),"FIP-DOM-ENG-51508-0000000-INA-000000")</f>
        <v>FIP-DOM-ENG-51508-0000000-INA-000000</v>
      </c>
      <c r="P1594" s="6" t="str">
        <f>IFERROR(__xludf.DUMMYFUNCTION("""COMPUTED_VALUE"""),"PO Closed")</f>
        <v>PO Closed</v>
      </c>
      <c r="Q1594" s="6" t="str">
        <f>IFERROR(__xludf.DUMMYFUNCTION("""COMPUTED_VALUE"""),"GL2111010")</f>
        <v>GL2111010</v>
      </c>
      <c r="R1594" s="57">
        <f>IFERROR(__xludf.DUMMYFUNCTION("""COMPUTED_VALUE"""),44494.0)</f>
        <v>44494</v>
      </c>
      <c r="S1594" s="6" t="str">
        <f>IFERROR(__xludf.DUMMYFUNCTION("""COMPUTED_VALUE"""),"-")</f>
        <v>-</v>
      </c>
      <c r="T1594" s="57">
        <f>IFERROR(__xludf.DUMMYFUNCTION("""COMPUTED_VALUE"""),44512.0)</f>
        <v>44512</v>
      </c>
    </row>
    <row r="1595">
      <c r="A1595" s="6" t="str">
        <f>IFERROR(__xludf.DUMMYFUNCTION("""COMPUTED_VALUE"""),"211750405-1")</f>
        <v>211750405-1</v>
      </c>
      <c r="B1595" s="6" t="str">
        <f>IFERROR(__xludf.DUMMYFUNCTION("""COMPUTED_VALUE"""),"211750405 - Approved")</f>
        <v>211750405 - Approved</v>
      </c>
      <c r="C1595" s="6">
        <f>IFERROR(__xludf.DUMMYFUNCTION("""COMPUTED_VALUE"""),1.0)</f>
        <v>1</v>
      </c>
      <c r="D1595" s="6" t="str">
        <f>IFERROR(__xludf.DUMMYFUNCTION("""COMPUTED_VALUE"""),"Q-11000-00")</f>
        <v>Q-11000-00</v>
      </c>
      <c r="E1595" s="6" t="str">
        <f>IFERROR(__xludf.DUMMYFUNCTION("""COMPUTED_VALUE"""),"Perbaikan drain toilet pria lt.2")</f>
        <v>Perbaikan drain toilet pria lt.2</v>
      </c>
      <c r="F1595" s="6">
        <f>IFERROR(__xludf.DUMMYFUNCTION("""COMPUTED_VALUE"""),1.0)</f>
        <v>1</v>
      </c>
      <c r="G1595" s="6" t="str">
        <f>IFERROR(__xludf.DUMMYFUNCTION("""COMPUTED_VALUE"""),"Lot")</f>
        <v>Lot</v>
      </c>
      <c r="H1595" s="6" t="str">
        <f>IFERROR(__xludf.DUMMYFUNCTION("""COMPUTED_VALUE"""),"IDR")</f>
        <v>IDR</v>
      </c>
      <c r="I1595" s="6">
        <f>IFERROR(__xludf.DUMMYFUNCTION("""COMPUTED_VALUE"""),1595000.0)</f>
        <v>1595000</v>
      </c>
      <c r="J1595" s="6">
        <f>IFERROR(__xludf.DUMMYFUNCTION("""COMPUTED_VALUE"""),1595000.0)</f>
        <v>1595000</v>
      </c>
      <c r="K1595" s="57">
        <f>IFERROR(__xludf.DUMMYFUNCTION("""COMPUTED_VALUE"""),44530.0)</f>
        <v>44530</v>
      </c>
      <c r="L1595" s="6" t="str">
        <f>IFERROR(__xludf.DUMMYFUNCTION("""COMPUTED_VALUE"""),"FIP General")</f>
        <v>FIP General</v>
      </c>
      <c r="M1595" s="6" t="str">
        <f>IFERROR(__xludf.DUMMYFUNCTION("""COMPUTED_VALUE"""),"Irwan Sopian")</f>
        <v>Irwan Sopian</v>
      </c>
      <c r="N1595" s="6" t="str">
        <f>IFERROR(__xludf.DUMMYFUNCTION("""COMPUTED_VALUE"""),"FIP Engineering")</f>
        <v>FIP Engineering</v>
      </c>
      <c r="O1595" s="6" t="str">
        <f>IFERROR(__xludf.DUMMYFUNCTION("""COMPUTED_VALUE"""),"FIP-DOM-ENG-51502-0000000-INA-000000")</f>
        <v>FIP-DOM-ENG-51502-0000000-INA-000000</v>
      </c>
      <c r="P1595" s="6" t="str">
        <f>IFERROR(__xludf.DUMMYFUNCTION("""COMPUTED_VALUE"""),"PO Closed")</f>
        <v>PO Closed</v>
      </c>
      <c r="Q1595" s="6" t="str">
        <f>IFERROR(__xludf.DUMMYFUNCTION("""COMPUTED_VALUE"""),"GL2111007")</f>
        <v>GL2111007</v>
      </c>
      <c r="R1595" s="57">
        <f>IFERROR(__xludf.DUMMYFUNCTION("""COMPUTED_VALUE"""),44496.0)</f>
        <v>44496</v>
      </c>
      <c r="S1595" s="6" t="str">
        <f>IFERROR(__xludf.DUMMYFUNCTION("""COMPUTED_VALUE"""),"-")</f>
        <v>-</v>
      </c>
      <c r="T1595" s="57">
        <f>IFERROR(__xludf.DUMMYFUNCTION("""COMPUTED_VALUE"""),44541.0)</f>
        <v>44541</v>
      </c>
    </row>
    <row r="1596">
      <c r="A1596" s="6" t="str">
        <f>IFERROR(__xludf.DUMMYFUNCTION("""COMPUTED_VALUE"""),"211750404-1")</f>
        <v>211750404-1</v>
      </c>
      <c r="B1596" s="6" t="str">
        <f>IFERROR(__xludf.DUMMYFUNCTION("""COMPUTED_VALUE"""),"211750404 - Approved")</f>
        <v>211750404 - Approved</v>
      </c>
      <c r="C1596" s="6">
        <f>IFERROR(__xludf.DUMMYFUNCTION("""COMPUTED_VALUE"""),1.0)</f>
        <v>1</v>
      </c>
      <c r="D1596" s="6" t="str">
        <f>IFERROR(__xludf.DUMMYFUNCTION("""COMPUTED_VALUE"""),"P-17818-00")</f>
        <v>P-17818-00</v>
      </c>
      <c r="E1596" s="6" t="str">
        <f>IFERROR(__xludf.DUMMYFUNCTION("""COMPUTED_VALUE"""),"Heater Double Loop SS304 Dia: 8,2 x 255 mm Nepple: M12 Baut: M4 1500W 230V; ; ;")</f>
        <v>Heater Double Loop SS304 Dia: 8,2 x 255 mm Nepple: M12 Baut: M4 1500W 230V; ; ;</v>
      </c>
      <c r="F1596" s="6">
        <f>IFERROR(__xludf.DUMMYFUNCTION("""COMPUTED_VALUE"""),2.0)</f>
        <v>2</v>
      </c>
      <c r="G1596" s="6" t="str">
        <f>IFERROR(__xludf.DUMMYFUNCTION("""COMPUTED_VALUE"""),"Pieces")</f>
        <v>Pieces</v>
      </c>
      <c r="H1596" s="6" t="str">
        <f>IFERROR(__xludf.DUMMYFUNCTION("""COMPUTED_VALUE"""),"IDR")</f>
        <v>IDR</v>
      </c>
      <c r="I1596" s="6">
        <f>IFERROR(__xludf.DUMMYFUNCTION("""COMPUTED_VALUE"""),550000.0)</f>
        <v>550000</v>
      </c>
      <c r="J1596" s="6">
        <f>IFERROR(__xludf.DUMMYFUNCTION("""COMPUTED_VALUE"""),1100000.0)</f>
        <v>1100000</v>
      </c>
      <c r="K1596" s="57">
        <f>IFERROR(__xludf.DUMMYFUNCTION("""COMPUTED_VALUE"""),44526.0)</f>
        <v>44526</v>
      </c>
      <c r="L1596" s="6" t="str">
        <f>IFERROR(__xludf.DUMMYFUNCTION("""COMPUTED_VALUE"""),"FIP Engineering")</f>
        <v>FIP Engineering</v>
      </c>
      <c r="M1596" s="6" t="str">
        <f>IFERROR(__xludf.DUMMYFUNCTION("""COMPUTED_VALUE"""),"Irwan Sopian")</f>
        <v>Irwan Sopian</v>
      </c>
      <c r="N1596" s="6" t="str">
        <f>IFERROR(__xludf.DUMMYFUNCTION("""COMPUTED_VALUE"""),"FIP Engineering")</f>
        <v>FIP Engineering</v>
      </c>
      <c r="O1596" s="6" t="str">
        <f>IFERROR(__xludf.DUMMYFUNCTION("""COMPUTED_VALUE"""),"FIP-DOM-000-11304-OS00001-INA-000000")</f>
        <v>FIP-DOM-000-11304-OS00001-INA-000000</v>
      </c>
      <c r="P1596" s="6" t="str">
        <f>IFERROR(__xludf.DUMMYFUNCTION("""COMPUTED_VALUE"""),"PO Closed")</f>
        <v>PO Closed</v>
      </c>
      <c r="Q1596" s="6" t="str">
        <f>IFERROR(__xludf.DUMMYFUNCTION("""COMPUTED_VALUE"""),"GL2111020")</f>
        <v>GL2111020</v>
      </c>
      <c r="R1596" s="57">
        <f>IFERROR(__xludf.DUMMYFUNCTION("""COMPUTED_VALUE"""),44496.0)</f>
        <v>44496</v>
      </c>
      <c r="S1596" s="6" t="str">
        <f>IFERROR(__xludf.DUMMYFUNCTION("""COMPUTED_VALUE"""),"-")</f>
        <v>-</v>
      </c>
      <c r="T1596" s="57">
        <f>IFERROR(__xludf.DUMMYFUNCTION("""COMPUTED_VALUE"""),44530.0)</f>
        <v>44530</v>
      </c>
    </row>
    <row r="1597">
      <c r="A1597" s="6" t="str">
        <f>IFERROR(__xludf.DUMMYFUNCTION("""COMPUTED_VALUE"""),"211750403-1")</f>
        <v>211750403-1</v>
      </c>
      <c r="B1597" s="6" t="str">
        <f>IFERROR(__xludf.DUMMYFUNCTION("""COMPUTED_VALUE"""),"211750403 - Approved")</f>
        <v>211750403 - Approved</v>
      </c>
      <c r="C1597" s="6">
        <f>IFERROR(__xludf.DUMMYFUNCTION("""COMPUTED_VALUE"""),1.0)</f>
        <v>1</v>
      </c>
      <c r="D1597" s="6" t="str">
        <f>IFERROR(__xludf.DUMMYFUNCTION("""COMPUTED_VALUE"""),"Q-10731-00")</f>
        <v>Q-10731-00</v>
      </c>
      <c r="E1597" s="6" t="str">
        <f>IFERROR(__xludf.DUMMYFUNCTION("""COMPUTED_VALUE"""),"Kunci Lemari Arsip Lion L33/ELITE LION")</f>
        <v>Kunci Lemari Arsip Lion L33/ELITE LION</v>
      </c>
      <c r="F1597" s="6">
        <f>IFERROR(__xludf.DUMMYFUNCTION("""COMPUTED_VALUE"""),1.0)</f>
        <v>1</v>
      </c>
      <c r="G1597" s="6" t="str">
        <f>IFERROR(__xludf.DUMMYFUNCTION("""COMPUTED_VALUE"""),"Pieces")</f>
        <v>Pieces</v>
      </c>
      <c r="H1597" s="6" t="str">
        <f>IFERROR(__xludf.DUMMYFUNCTION("""COMPUTED_VALUE"""),"IDR")</f>
        <v>IDR</v>
      </c>
      <c r="I1597" s="6">
        <f>IFERROR(__xludf.DUMMYFUNCTION("""COMPUTED_VALUE"""),437500.0)</f>
        <v>437500</v>
      </c>
      <c r="J1597" s="6">
        <f>IFERROR(__xludf.DUMMYFUNCTION("""COMPUTED_VALUE"""),437500.0)</f>
        <v>437500</v>
      </c>
      <c r="K1597" s="57">
        <f>IFERROR(__xludf.DUMMYFUNCTION("""COMPUTED_VALUE"""),44526.0)</f>
        <v>44526</v>
      </c>
      <c r="L1597" s="6" t="str">
        <f>IFERROR(__xludf.DUMMYFUNCTION("""COMPUTED_VALUE"""),"FIP Engineering")</f>
        <v>FIP Engineering</v>
      </c>
      <c r="M1597" s="6" t="str">
        <f>IFERROR(__xludf.DUMMYFUNCTION("""COMPUTED_VALUE"""),"Irwan Sopian")</f>
        <v>Irwan Sopian</v>
      </c>
      <c r="N1597" s="6" t="str">
        <f>IFERROR(__xludf.DUMMYFUNCTION("""COMPUTED_VALUE"""),"FIP Engineering")</f>
        <v>FIP Engineering</v>
      </c>
      <c r="O1597" s="6" t="str">
        <f>IFERROR(__xludf.DUMMYFUNCTION("""COMPUTED_VALUE"""),"FIP-DOM-000-11304-OS00001-INA-000000")</f>
        <v>FIP-DOM-000-11304-OS00001-INA-000000</v>
      </c>
      <c r="P1597" s="6" t="str">
        <f>IFERROR(__xludf.DUMMYFUNCTION("""COMPUTED_VALUE"""),"PO Closed")</f>
        <v>PO Closed</v>
      </c>
      <c r="Q1597" s="6" t="str">
        <f>IFERROR(__xludf.DUMMYFUNCTION("""COMPUTED_VALUE"""),"GL2111006")</f>
        <v>GL2111006</v>
      </c>
      <c r="R1597" s="57">
        <f>IFERROR(__xludf.DUMMYFUNCTION("""COMPUTED_VALUE"""),44496.0)</f>
        <v>44496</v>
      </c>
      <c r="S1597" s="6" t="str">
        <f>IFERROR(__xludf.DUMMYFUNCTION("""COMPUTED_VALUE"""),"-")</f>
        <v>-</v>
      </c>
      <c r="T1597" s="57">
        <f>IFERROR(__xludf.DUMMYFUNCTION("""COMPUTED_VALUE"""),44525.0)</f>
        <v>44525</v>
      </c>
    </row>
    <row r="1598">
      <c r="A1598" s="6" t="str">
        <f>IFERROR(__xludf.DUMMYFUNCTION("""COMPUTED_VALUE"""),"211750403-2")</f>
        <v>211750403-2</v>
      </c>
      <c r="B1598" s="6" t="str">
        <f>IFERROR(__xludf.DUMMYFUNCTION("""COMPUTED_VALUE"""),"211750403 - Approved")</f>
        <v>211750403 - Approved</v>
      </c>
      <c r="C1598" s="6">
        <f>IFERROR(__xludf.DUMMYFUNCTION("""COMPUTED_VALUE"""),2.0)</f>
        <v>2</v>
      </c>
      <c r="D1598" s="6" t="str">
        <f>IFERROR(__xludf.DUMMYFUNCTION("""COMPUTED_VALUE"""),"P-51929-00")</f>
        <v>P-51929-00</v>
      </c>
      <c r="E1598" s="6" t="str">
        <f>IFERROR(__xludf.DUMMYFUNCTION("""COMPUTED_VALUE"""),"Lampu TL5 14W/865 Philips")</f>
        <v>Lampu TL5 14W/865 Philips</v>
      </c>
      <c r="F1598" s="6">
        <f>IFERROR(__xludf.DUMMYFUNCTION("""COMPUTED_VALUE"""),6.0)</f>
        <v>6</v>
      </c>
      <c r="G1598" s="6" t="str">
        <f>IFERROR(__xludf.DUMMYFUNCTION("""COMPUTED_VALUE"""),"Pieces")</f>
        <v>Pieces</v>
      </c>
      <c r="H1598" s="6" t="str">
        <f>IFERROR(__xludf.DUMMYFUNCTION("""COMPUTED_VALUE"""),"IDR")</f>
        <v>IDR</v>
      </c>
      <c r="I1598" s="6">
        <f>IFERROR(__xludf.DUMMYFUNCTION("""COMPUTED_VALUE"""),115000.0)</f>
        <v>115000</v>
      </c>
      <c r="J1598" s="6">
        <f>IFERROR(__xludf.DUMMYFUNCTION("""COMPUTED_VALUE"""),690000.0)</f>
        <v>690000</v>
      </c>
      <c r="K1598" s="57">
        <f>IFERROR(__xludf.DUMMYFUNCTION("""COMPUTED_VALUE"""),44526.0)</f>
        <v>44526</v>
      </c>
      <c r="L1598" s="6" t="str">
        <f>IFERROR(__xludf.DUMMYFUNCTION("""COMPUTED_VALUE"""),"FIP Engineering")</f>
        <v>FIP Engineering</v>
      </c>
      <c r="M1598" s="6" t="str">
        <f>IFERROR(__xludf.DUMMYFUNCTION("""COMPUTED_VALUE"""),"Irwan Sopian")</f>
        <v>Irwan Sopian</v>
      </c>
      <c r="N1598" s="6" t="str">
        <f>IFERROR(__xludf.DUMMYFUNCTION("""COMPUTED_VALUE"""),"FIP Engineering")</f>
        <v>FIP Engineering</v>
      </c>
      <c r="O1598" s="6" t="str">
        <f>IFERROR(__xludf.DUMMYFUNCTION("""COMPUTED_VALUE"""),"FIP-DOM-000-11304-OS00001-INA-000000")</f>
        <v>FIP-DOM-000-11304-OS00001-INA-000000</v>
      </c>
      <c r="P1598" s="6" t="str">
        <f>IFERROR(__xludf.DUMMYFUNCTION("""COMPUTED_VALUE"""),"PO Closed")</f>
        <v>PO Closed</v>
      </c>
      <c r="Q1598" s="6" t="str">
        <f>IFERROR(__xludf.DUMMYFUNCTION("""COMPUTED_VALUE"""),"GL2111033")</f>
        <v>GL2111033</v>
      </c>
      <c r="R1598" s="57">
        <f>IFERROR(__xludf.DUMMYFUNCTION("""COMPUTED_VALUE"""),44496.0)</f>
        <v>44496</v>
      </c>
      <c r="S1598" s="6" t="str">
        <f>IFERROR(__xludf.DUMMYFUNCTION("""COMPUTED_VALUE"""),"-")</f>
        <v>-</v>
      </c>
      <c r="T1598" s="57">
        <f>IFERROR(__xludf.DUMMYFUNCTION("""COMPUTED_VALUE"""),44530.0)</f>
        <v>44530</v>
      </c>
    </row>
    <row r="1599">
      <c r="A1599" s="6" t="str">
        <f>IFERROR(__xludf.DUMMYFUNCTION("""COMPUTED_VALUE"""),"211750403-3")</f>
        <v>211750403-3</v>
      </c>
      <c r="B1599" s="6" t="str">
        <f>IFERROR(__xludf.DUMMYFUNCTION("""COMPUTED_VALUE"""),"211750403 - Approved")</f>
        <v>211750403 - Approved</v>
      </c>
      <c r="C1599" s="6">
        <f>IFERROR(__xludf.DUMMYFUNCTION("""COMPUTED_VALUE"""),3.0)</f>
        <v>3</v>
      </c>
      <c r="D1599" s="6" t="str">
        <f>IFERROR(__xludf.DUMMYFUNCTION("""COMPUTED_VALUE"""),"P-53102-00")</f>
        <v>P-53102-00</v>
      </c>
      <c r="E1599" s="6" t="str">
        <f>IFERROR(__xludf.DUMMYFUNCTION("""COMPUTED_VALUE"""),"Lampu PLC 13watt/E27 Putih Phillips")</f>
        <v>Lampu PLC 13watt/E27 Putih Phillips</v>
      </c>
      <c r="F1599" s="6">
        <f>IFERROR(__xludf.DUMMYFUNCTION("""COMPUTED_VALUE"""),20.0)</f>
        <v>20</v>
      </c>
      <c r="G1599" s="6" t="str">
        <f>IFERROR(__xludf.DUMMYFUNCTION("""COMPUTED_VALUE"""),"Pieces")</f>
        <v>Pieces</v>
      </c>
      <c r="H1599" s="6" t="str">
        <f>IFERROR(__xludf.DUMMYFUNCTION("""COMPUTED_VALUE"""),"IDR")</f>
        <v>IDR</v>
      </c>
      <c r="I1599" s="6">
        <f>IFERROR(__xludf.DUMMYFUNCTION("""COMPUTED_VALUE"""),36500.0)</f>
        <v>36500</v>
      </c>
      <c r="J1599" s="6">
        <f>IFERROR(__xludf.DUMMYFUNCTION("""COMPUTED_VALUE"""),730000.0)</f>
        <v>730000</v>
      </c>
      <c r="K1599" s="57">
        <f>IFERROR(__xludf.DUMMYFUNCTION("""COMPUTED_VALUE"""),44526.0)</f>
        <v>44526</v>
      </c>
      <c r="L1599" s="6" t="str">
        <f>IFERROR(__xludf.DUMMYFUNCTION("""COMPUTED_VALUE"""),"FIP Engineering")</f>
        <v>FIP Engineering</v>
      </c>
      <c r="M1599" s="6" t="str">
        <f>IFERROR(__xludf.DUMMYFUNCTION("""COMPUTED_VALUE"""),"Irwan Sopian")</f>
        <v>Irwan Sopian</v>
      </c>
      <c r="N1599" s="6" t="str">
        <f>IFERROR(__xludf.DUMMYFUNCTION("""COMPUTED_VALUE"""),"FIP Engineering")</f>
        <v>FIP Engineering</v>
      </c>
      <c r="O1599" s="6" t="str">
        <f>IFERROR(__xludf.DUMMYFUNCTION("""COMPUTED_VALUE"""),"FIP-DOM-000-11304-OS00001-INA-000000")</f>
        <v>FIP-DOM-000-11304-OS00001-INA-000000</v>
      </c>
      <c r="P1599" s="6" t="str">
        <f>IFERROR(__xludf.DUMMYFUNCTION("""COMPUTED_VALUE"""),"PO Closed")</f>
        <v>PO Closed</v>
      </c>
      <c r="Q1599" s="6" t="str">
        <f>IFERROR(__xludf.DUMMYFUNCTION("""COMPUTED_VALUE"""),"GL2111033")</f>
        <v>GL2111033</v>
      </c>
      <c r="R1599" s="57">
        <f>IFERROR(__xludf.DUMMYFUNCTION("""COMPUTED_VALUE"""),44496.0)</f>
        <v>44496</v>
      </c>
      <c r="S1599" s="6" t="str">
        <f>IFERROR(__xludf.DUMMYFUNCTION("""COMPUTED_VALUE"""),"-")</f>
        <v>-</v>
      </c>
      <c r="T1599" s="57">
        <f>IFERROR(__xludf.DUMMYFUNCTION("""COMPUTED_VALUE"""),44530.0)</f>
        <v>44530</v>
      </c>
    </row>
    <row r="1600">
      <c r="A1600" s="6" t="str">
        <f>IFERROR(__xludf.DUMMYFUNCTION("""COMPUTED_VALUE"""),"211750403-4")</f>
        <v>211750403-4</v>
      </c>
      <c r="B1600" s="6" t="str">
        <f>IFERROR(__xludf.DUMMYFUNCTION("""COMPUTED_VALUE"""),"211750403 - Approved")</f>
        <v>211750403 - Approved</v>
      </c>
      <c r="C1600" s="6">
        <f>IFERROR(__xludf.DUMMYFUNCTION("""COMPUTED_VALUE"""),4.0)</f>
        <v>4</v>
      </c>
      <c r="D1600" s="6" t="str">
        <f>IFERROR(__xludf.DUMMYFUNCTION("""COMPUTED_VALUE"""),"P-51559-00")</f>
        <v>P-51559-00</v>
      </c>
      <c r="E1600" s="6" t="str">
        <f>IFERROR(__xludf.DUMMYFUNCTION("""COMPUTED_VALUE"""),"Lampu T5 14watt Putih Phillips")</f>
        <v>Lampu T5 14watt Putih Phillips</v>
      </c>
      <c r="F1600" s="6">
        <f>IFERROR(__xludf.DUMMYFUNCTION("""COMPUTED_VALUE"""),40.0)</f>
        <v>40</v>
      </c>
      <c r="G1600" s="6" t="str">
        <f>IFERROR(__xludf.DUMMYFUNCTION("""COMPUTED_VALUE"""),"Pack")</f>
        <v>Pack</v>
      </c>
      <c r="H1600" s="6" t="str">
        <f>IFERROR(__xludf.DUMMYFUNCTION("""COMPUTED_VALUE"""),"IDR")</f>
        <v>IDR</v>
      </c>
      <c r="I1600" s="6">
        <f>IFERROR(__xludf.DUMMYFUNCTION("""COMPUTED_VALUE"""),38500.0)</f>
        <v>38500</v>
      </c>
      <c r="J1600" s="6">
        <f>IFERROR(__xludf.DUMMYFUNCTION("""COMPUTED_VALUE"""),1540000.0)</f>
        <v>1540000</v>
      </c>
      <c r="K1600" s="57">
        <f>IFERROR(__xludf.DUMMYFUNCTION("""COMPUTED_VALUE"""),44526.0)</f>
        <v>44526</v>
      </c>
      <c r="L1600" s="6" t="str">
        <f>IFERROR(__xludf.DUMMYFUNCTION("""COMPUTED_VALUE"""),"FIP Engineering")</f>
        <v>FIP Engineering</v>
      </c>
      <c r="M1600" s="6" t="str">
        <f>IFERROR(__xludf.DUMMYFUNCTION("""COMPUTED_VALUE"""),"Irwan Sopian")</f>
        <v>Irwan Sopian</v>
      </c>
      <c r="N1600" s="6" t="str">
        <f>IFERROR(__xludf.DUMMYFUNCTION("""COMPUTED_VALUE"""),"FIP Engineering")</f>
        <v>FIP Engineering</v>
      </c>
      <c r="O1600" s="6" t="str">
        <f>IFERROR(__xludf.DUMMYFUNCTION("""COMPUTED_VALUE"""),"FIP-DOM-000-11304-OS00001-INA-000000")</f>
        <v>FIP-DOM-000-11304-OS00001-INA-000000</v>
      </c>
      <c r="P1600" s="6" t="str">
        <f>IFERROR(__xludf.DUMMYFUNCTION("""COMPUTED_VALUE"""),"PO Closed")</f>
        <v>PO Closed</v>
      </c>
      <c r="Q1600" s="6" t="str">
        <f>IFERROR(__xludf.DUMMYFUNCTION("""COMPUTED_VALUE"""),"GL2111033")</f>
        <v>GL2111033</v>
      </c>
      <c r="R1600" s="57">
        <f>IFERROR(__xludf.DUMMYFUNCTION("""COMPUTED_VALUE"""),44496.0)</f>
        <v>44496</v>
      </c>
      <c r="S1600" s="6" t="str">
        <f>IFERROR(__xludf.DUMMYFUNCTION("""COMPUTED_VALUE"""),"-")</f>
        <v>-</v>
      </c>
      <c r="T1600" s="57">
        <f>IFERROR(__xludf.DUMMYFUNCTION("""COMPUTED_VALUE"""),44530.0)</f>
        <v>44530</v>
      </c>
    </row>
    <row r="1601">
      <c r="A1601" s="6" t="str">
        <f>IFERROR(__xludf.DUMMYFUNCTION("""COMPUTED_VALUE"""),"211750403-5")</f>
        <v>211750403-5</v>
      </c>
      <c r="B1601" s="6" t="str">
        <f>IFERROR(__xludf.DUMMYFUNCTION("""COMPUTED_VALUE"""),"211750403 - Approved")</f>
        <v>211750403 - Approved</v>
      </c>
      <c r="C1601" s="6">
        <f>IFERROR(__xludf.DUMMYFUNCTION("""COMPUTED_VALUE"""),5.0)</f>
        <v>5</v>
      </c>
      <c r="D1601" s="6" t="str">
        <f>IFERROR(__xludf.DUMMYFUNCTION("""COMPUTED_VALUE"""),"P-50740-00")</f>
        <v>P-50740-00</v>
      </c>
      <c r="E1601" s="6" t="str">
        <f>IFERROR(__xludf.DUMMYFUNCTION("""COMPUTED_VALUE"""),"Stop Kontak 3lubang 220 volt, 6A UTICON")</f>
        <v>Stop Kontak 3lubang 220 volt, 6A UTICON</v>
      </c>
      <c r="F1601" s="6">
        <f>IFERROR(__xludf.DUMMYFUNCTION("""COMPUTED_VALUE"""),2.0)</f>
        <v>2</v>
      </c>
      <c r="G1601" s="6" t="str">
        <f>IFERROR(__xludf.DUMMYFUNCTION("""COMPUTED_VALUE"""),"Pieces")</f>
        <v>Pieces</v>
      </c>
      <c r="H1601" s="6" t="str">
        <f>IFERROR(__xludf.DUMMYFUNCTION("""COMPUTED_VALUE"""),"IDR")</f>
        <v>IDR</v>
      </c>
      <c r="I1601" s="6">
        <f>IFERROR(__xludf.DUMMYFUNCTION("""COMPUTED_VALUE"""),48500.0)</f>
        <v>48500</v>
      </c>
      <c r="J1601" s="6">
        <f>IFERROR(__xludf.DUMMYFUNCTION("""COMPUTED_VALUE"""),97000.0)</f>
        <v>97000</v>
      </c>
      <c r="K1601" s="57">
        <f>IFERROR(__xludf.DUMMYFUNCTION("""COMPUTED_VALUE"""),44526.0)</f>
        <v>44526</v>
      </c>
      <c r="L1601" s="6" t="str">
        <f>IFERROR(__xludf.DUMMYFUNCTION("""COMPUTED_VALUE"""),"FIP Engineering")</f>
        <v>FIP Engineering</v>
      </c>
      <c r="M1601" s="6" t="str">
        <f>IFERROR(__xludf.DUMMYFUNCTION("""COMPUTED_VALUE"""),"Irwan Sopian")</f>
        <v>Irwan Sopian</v>
      </c>
      <c r="N1601" s="6" t="str">
        <f>IFERROR(__xludf.DUMMYFUNCTION("""COMPUTED_VALUE"""),"FIP Engineering")</f>
        <v>FIP Engineering</v>
      </c>
      <c r="O1601" s="6" t="str">
        <f>IFERROR(__xludf.DUMMYFUNCTION("""COMPUTED_VALUE"""),"FIP-DOM-000-11304-OS00001-INA-000000")</f>
        <v>FIP-DOM-000-11304-OS00001-INA-000000</v>
      </c>
      <c r="P1601" s="6" t="str">
        <f>IFERROR(__xludf.DUMMYFUNCTION("""COMPUTED_VALUE"""),"PO Closed")</f>
        <v>PO Closed</v>
      </c>
      <c r="Q1601" s="6" t="str">
        <f>IFERROR(__xludf.DUMMYFUNCTION("""COMPUTED_VALUE"""),"GL2111033")</f>
        <v>GL2111033</v>
      </c>
      <c r="R1601" s="57">
        <f>IFERROR(__xludf.DUMMYFUNCTION("""COMPUTED_VALUE"""),44496.0)</f>
        <v>44496</v>
      </c>
      <c r="S1601" s="6" t="str">
        <f>IFERROR(__xludf.DUMMYFUNCTION("""COMPUTED_VALUE"""),"-")</f>
        <v>-</v>
      </c>
      <c r="T1601" s="57">
        <f>IFERROR(__xludf.DUMMYFUNCTION("""COMPUTED_VALUE"""),44530.0)</f>
        <v>44530</v>
      </c>
    </row>
    <row r="1602">
      <c r="A1602" s="6" t="str">
        <f>IFERROR(__xludf.DUMMYFUNCTION("""COMPUTED_VALUE"""),"211750403-6")</f>
        <v>211750403-6</v>
      </c>
      <c r="B1602" s="6" t="str">
        <f>IFERROR(__xludf.DUMMYFUNCTION("""COMPUTED_VALUE"""),"211750403 - Approved")</f>
        <v>211750403 - Approved</v>
      </c>
      <c r="C1602" s="6">
        <f>IFERROR(__xludf.DUMMYFUNCTION("""COMPUTED_VALUE"""),6.0)</f>
        <v>6</v>
      </c>
      <c r="D1602" s="6" t="str">
        <f>IFERROR(__xludf.DUMMYFUNCTION("""COMPUTED_VALUE"""),"Q-10509-00")</f>
        <v>Q-10509-00</v>
      </c>
      <c r="E1602" s="6" t="str">
        <f>IFERROR(__xludf.DUMMYFUNCTION("""COMPUTED_VALUE"""),"Cable Ducting")</f>
        <v>Cable Ducting</v>
      </c>
      <c r="F1602" s="6">
        <f>IFERROR(__xludf.DUMMYFUNCTION("""COMPUTED_VALUE"""),8.0)</f>
        <v>8</v>
      </c>
      <c r="G1602" s="6" t="str">
        <f>IFERROR(__xludf.DUMMYFUNCTION("""COMPUTED_VALUE"""),"Pieces")</f>
        <v>Pieces</v>
      </c>
      <c r="H1602" s="6" t="str">
        <f>IFERROR(__xludf.DUMMYFUNCTION("""COMPUTED_VALUE"""),"IDR")</f>
        <v>IDR</v>
      </c>
      <c r="I1602" s="6">
        <f>IFERROR(__xludf.DUMMYFUNCTION("""COMPUTED_VALUE"""),25000.0)</f>
        <v>25000</v>
      </c>
      <c r="J1602" s="6">
        <f>IFERROR(__xludf.DUMMYFUNCTION("""COMPUTED_VALUE"""),200000.0)</f>
        <v>200000</v>
      </c>
      <c r="K1602" s="57">
        <f>IFERROR(__xludf.DUMMYFUNCTION("""COMPUTED_VALUE"""),44526.0)</f>
        <v>44526</v>
      </c>
      <c r="L1602" s="6" t="str">
        <f>IFERROR(__xludf.DUMMYFUNCTION("""COMPUTED_VALUE"""),"FIP General")</f>
        <v>FIP General</v>
      </c>
      <c r="M1602" s="6" t="str">
        <f>IFERROR(__xludf.DUMMYFUNCTION("""COMPUTED_VALUE"""),"Irwan Sopian")</f>
        <v>Irwan Sopian</v>
      </c>
      <c r="N1602" s="6" t="str">
        <f>IFERROR(__xludf.DUMMYFUNCTION("""COMPUTED_VALUE"""),"FIP Engineering")</f>
        <v>FIP Engineering</v>
      </c>
      <c r="O1602" s="6" t="str">
        <f>IFERROR(__xludf.DUMMYFUNCTION("""COMPUTED_VALUE"""),"FIP-DOM-ENG-51502-0000000-INA-000000")</f>
        <v>FIP-DOM-ENG-51502-0000000-INA-000000</v>
      </c>
      <c r="P1602" s="6" t="str">
        <f>IFERROR(__xludf.DUMMYFUNCTION("""COMPUTED_VALUE"""),"PO Closed")</f>
        <v>PO Closed</v>
      </c>
      <c r="Q1602" s="6" t="str">
        <f>IFERROR(__xludf.DUMMYFUNCTION("""COMPUTED_VALUE"""),"GL2111006")</f>
        <v>GL2111006</v>
      </c>
      <c r="R1602" s="57">
        <f>IFERROR(__xludf.DUMMYFUNCTION("""COMPUTED_VALUE"""),44496.0)</f>
        <v>44496</v>
      </c>
      <c r="S1602" s="6" t="str">
        <f>IFERROR(__xludf.DUMMYFUNCTION("""COMPUTED_VALUE"""),"-")</f>
        <v>-</v>
      </c>
      <c r="T1602" s="57">
        <f>IFERROR(__xludf.DUMMYFUNCTION("""COMPUTED_VALUE"""),44541.0)</f>
        <v>44541</v>
      </c>
    </row>
    <row r="1603">
      <c r="A1603" s="6" t="str">
        <f>IFERROR(__xludf.DUMMYFUNCTION("""COMPUTED_VALUE"""),"211750408-1")</f>
        <v>211750408-1</v>
      </c>
      <c r="B1603" s="6" t="str">
        <f>IFERROR(__xludf.DUMMYFUNCTION("""COMPUTED_VALUE"""),"211750408 - Approved")</f>
        <v>211750408 - Approved</v>
      </c>
      <c r="C1603" s="6">
        <f>IFERROR(__xludf.DUMMYFUNCTION("""COMPUTED_VALUE"""),1.0)</f>
        <v>1</v>
      </c>
      <c r="D1603" s="6" t="str">
        <f>IFERROR(__xludf.DUMMYFUNCTION("""COMPUTED_VALUE"""),"Q-10752-00")</f>
        <v>Q-10752-00</v>
      </c>
      <c r="E1603" s="6" t="str">
        <f>IFERROR(__xludf.DUMMYFUNCTION("""COMPUTED_VALUE"""),"Cat Duragloss Silver Metalic 9115 Propan")</f>
        <v>Cat Duragloss Silver Metalic 9115 Propan</v>
      </c>
      <c r="F1603" s="6">
        <f>IFERROR(__xludf.DUMMYFUNCTION("""COMPUTED_VALUE"""),2.0)</f>
        <v>2</v>
      </c>
      <c r="G1603" s="6" t="str">
        <f>IFERROR(__xludf.DUMMYFUNCTION("""COMPUTED_VALUE"""),"Can")</f>
        <v>Can</v>
      </c>
      <c r="H1603" s="6" t="str">
        <f>IFERROR(__xludf.DUMMYFUNCTION("""COMPUTED_VALUE"""),"IDR")</f>
        <v>IDR</v>
      </c>
      <c r="I1603" s="6">
        <f>IFERROR(__xludf.DUMMYFUNCTION("""COMPUTED_VALUE"""),115000.0)</f>
        <v>115000</v>
      </c>
      <c r="J1603" s="6">
        <f>IFERROR(__xludf.DUMMYFUNCTION("""COMPUTED_VALUE"""),230000.0)</f>
        <v>230000</v>
      </c>
      <c r="K1603" s="57">
        <f>IFERROR(__xludf.DUMMYFUNCTION("""COMPUTED_VALUE"""),44526.0)</f>
        <v>44526</v>
      </c>
      <c r="L1603" s="6" t="str">
        <f>IFERROR(__xludf.DUMMYFUNCTION("""COMPUTED_VALUE"""),"FIP Engineering")</f>
        <v>FIP Engineering</v>
      </c>
      <c r="M1603" s="6" t="str">
        <f>IFERROR(__xludf.DUMMYFUNCTION("""COMPUTED_VALUE"""),"Irwan Sopian")</f>
        <v>Irwan Sopian</v>
      </c>
      <c r="N1603" s="6" t="str">
        <f>IFERROR(__xludf.DUMMYFUNCTION("""COMPUTED_VALUE"""),"FIP Engineering")</f>
        <v>FIP Engineering</v>
      </c>
      <c r="O1603" s="6" t="str">
        <f>IFERROR(__xludf.DUMMYFUNCTION("""COMPUTED_VALUE"""),"FIP-DOM-000-11304-OS00001-INA-000000")</f>
        <v>FIP-DOM-000-11304-OS00001-INA-000000</v>
      </c>
      <c r="P1603" s="6" t="str">
        <f>IFERROR(__xludf.DUMMYFUNCTION("""COMPUTED_VALUE"""),"PO Closed")</f>
        <v>PO Closed</v>
      </c>
      <c r="Q1603" s="6" t="str">
        <f>IFERROR(__xludf.DUMMYFUNCTION("""COMPUTED_VALUE"""),"GL2111005")</f>
        <v>GL2111005</v>
      </c>
      <c r="R1603" s="57">
        <f>IFERROR(__xludf.DUMMYFUNCTION("""COMPUTED_VALUE"""),44497.0)</f>
        <v>44497</v>
      </c>
      <c r="S1603" s="6" t="str">
        <f>IFERROR(__xludf.DUMMYFUNCTION("""COMPUTED_VALUE"""),"-")</f>
        <v>-</v>
      </c>
      <c r="T1603" s="57">
        <f>IFERROR(__xludf.DUMMYFUNCTION("""COMPUTED_VALUE"""),44532.0)</f>
        <v>44532</v>
      </c>
    </row>
    <row r="1604">
      <c r="A1604" s="6" t="str">
        <f>IFERROR(__xludf.DUMMYFUNCTION("""COMPUTED_VALUE"""),"211750408-2")</f>
        <v>211750408-2</v>
      </c>
      <c r="B1604" s="6" t="str">
        <f>IFERROR(__xludf.DUMMYFUNCTION("""COMPUTED_VALUE"""),"211750408 - Approved")</f>
        <v>211750408 - Approved</v>
      </c>
      <c r="C1604" s="6">
        <f>IFERROR(__xludf.DUMMYFUNCTION("""COMPUTED_VALUE"""),2.0)</f>
        <v>2</v>
      </c>
      <c r="D1604" s="6" t="str">
        <f>IFERROR(__xludf.DUMMYFUNCTION("""COMPUTED_VALUE"""),"P-17897-00")</f>
        <v>P-17897-00</v>
      </c>
      <c r="E1604" s="6" t="str">
        <f>IFERROR(__xludf.DUMMYFUNCTION("""COMPUTED_VALUE"""),"Foam Tape Perekat 1 Sisi 3mm x 25mm x 10M")</f>
        <v>Foam Tape Perekat 1 Sisi 3mm x 25mm x 10M</v>
      </c>
      <c r="F1604" s="6">
        <f>IFERROR(__xludf.DUMMYFUNCTION("""COMPUTED_VALUE"""),1.0)</f>
        <v>1</v>
      </c>
      <c r="G1604" s="6" t="str">
        <f>IFERROR(__xludf.DUMMYFUNCTION("""COMPUTED_VALUE"""),"Pieces")</f>
        <v>Pieces</v>
      </c>
      <c r="H1604" s="6" t="str">
        <f>IFERROR(__xludf.DUMMYFUNCTION("""COMPUTED_VALUE"""),"IDR")</f>
        <v>IDR</v>
      </c>
      <c r="I1604" s="6">
        <f>IFERROR(__xludf.DUMMYFUNCTION("""COMPUTED_VALUE"""),77500.0)</f>
        <v>77500</v>
      </c>
      <c r="J1604" s="6">
        <f>IFERROR(__xludf.DUMMYFUNCTION("""COMPUTED_VALUE"""),77500.0)</f>
        <v>77500</v>
      </c>
      <c r="K1604" s="57">
        <f>IFERROR(__xludf.DUMMYFUNCTION("""COMPUTED_VALUE"""),44526.0)</f>
        <v>44526</v>
      </c>
      <c r="L1604" s="6" t="str">
        <f>IFERROR(__xludf.DUMMYFUNCTION("""COMPUTED_VALUE"""),"FIP Engineering")</f>
        <v>FIP Engineering</v>
      </c>
      <c r="M1604" s="6" t="str">
        <f>IFERROR(__xludf.DUMMYFUNCTION("""COMPUTED_VALUE"""),"Irwan Sopian")</f>
        <v>Irwan Sopian</v>
      </c>
      <c r="N1604" s="6" t="str">
        <f>IFERROR(__xludf.DUMMYFUNCTION("""COMPUTED_VALUE"""),"FIP Engineering")</f>
        <v>FIP Engineering</v>
      </c>
      <c r="O1604" s="6" t="str">
        <f>IFERROR(__xludf.DUMMYFUNCTION("""COMPUTED_VALUE"""),"FIP-DOM-000-11304-OS00001-INA-000000")</f>
        <v>FIP-DOM-000-11304-OS00001-INA-000000</v>
      </c>
      <c r="P1604" s="6" t="str">
        <f>IFERROR(__xludf.DUMMYFUNCTION("""COMPUTED_VALUE"""),"PO Closed")</f>
        <v>PO Closed</v>
      </c>
      <c r="Q1604" s="6" t="str">
        <f>IFERROR(__xludf.DUMMYFUNCTION("""COMPUTED_VALUE"""),"GL2111036")</f>
        <v>GL2111036</v>
      </c>
      <c r="R1604" s="57">
        <f>IFERROR(__xludf.DUMMYFUNCTION("""COMPUTED_VALUE"""),44497.0)</f>
        <v>44497</v>
      </c>
      <c r="S1604" s="6" t="str">
        <f>IFERROR(__xludf.DUMMYFUNCTION("""COMPUTED_VALUE"""),"-")</f>
        <v>-</v>
      </c>
      <c r="T1604" s="57">
        <f>IFERROR(__xludf.DUMMYFUNCTION("""COMPUTED_VALUE"""),44526.0)</f>
        <v>44526</v>
      </c>
    </row>
    <row r="1605">
      <c r="A1605" s="6" t="str">
        <f>IFERROR(__xludf.DUMMYFUNCTION("""COMPUTED_VALUE"""),"211750408-3")</f>
        <v>211750408-3</v>
      </c>
      <c r="B1605" s="6" t="str">
        <f>IFERROR(__xludf.DUMMYFUNCTION("""COMPUTED_VALUE"""),"211750408 - Approved")</f>
        <v>211750408 - Approved</v>
      </c>
      <c r="C1605" s="6">
        <f>IFERROR(__xludf.DUMMYFUNCTION("""COMPUTED_VALUE"""),3.0)</f>
        <v>3</v>
      </c>
      <c r="D1605" s="6" t="str">
        <f>IFERROR(__xludf.DUMMYFUNCTION("""COMPUTED_VALUE"""),"P-17896-00")</f>
        <v>P-17896-00</v>
      </c>
      <c r="E1605" s="6" t="str">
        <f>IFERROR(__xludf.DUMMYFUNCTION("""COMPUTED_VALUE"""),"Hole saw u/ stainless stell dia 37 mm")</f>
        <v>Hole saw u/ stainless stell dia 37 mm</v>
      </c>
      <c r="F1605" s="6">
        <f>IFERROR(__xludf.DUMMYFUNCTION("""COMPUTED_VALUE"""),1.0)</f>
        <v>1</v>
      </c>
      <c r="G1605" s="6" t="str">
        <f>IFERROR(__xludf.DUMMYFUNCTION("""COMPUTED_VALUE"""),"Pieces")</f>
        <v>Pieces</v>
      </c>
      <c r="H1605" s="6" t="str">
        <f>IFERROR(__xludf.DUMMYFUNCTION("""COMPUTED_VALUE"""),"IDR")</f>
        <v>IDR</v>
      </c>
      <c r="I1605" s="6">
        <f>IFERROR(__xludf.DUMMYFUNCTION("""COMPUTED_VALUE"""),135000.0)</f>
        <v>135000</v>
      </c>
      <c r="J1605" s="6">
        <f>IFERROR(__xludf.DUMMYFUNCTION("""COMPUTED_VALUE"""),135000.0)</f>
        <v>135000</v>
      </c>
      <c r="K1605" s="57">
        <f>IFERROR(__xludf.DUMMYFUNCTION("""COMPUTED_VALUE"""),44526.0)</f>
        <v>44526</v>
      </c>
      <c r="L1605" s="6" t="str">
        <f>IFERROR(__xludf.DUMMYFUNCTION("""COMPUTED_VALUE"""),"FIP Engineering")</f>
        <v>FIP Engineering</v>
      </c>
      <c r="M1605" s="6" t="str">
        <f>IFERROR(__xludf.DUMMYFUNCTION("""COMPUTED_VALUE"""),"Irwan Sopian")</f>
        <v>Irwan Sopian</v>
      </c>
      <c r="N1605" s="6" t="str">
        <f>IFERROR(__xludf.DUMMYFUNCTION("""COMPUTED_VALUE"""),"FIP Engineering")</f>
        <v>FIP Engineering</v>
      </c>
      <c r="O1605" s="6" t="str">
        <f>IFERROR(__xludf.DUMMYFUNCTION("""COMPUTED_VALUE"""),"FIP-DOM-000-11304-OS00001-INA-000000")</f>
        <v>FIP-DOM-000-11304-OS00001-INA-000000</v>
      </c>
      <c r="P1605" s="6" t="str">
        <f>IFERROR(__xludf.DUMMYFUNCTION("""COMPUTED_VALUE"""),"PO Closed")</f>
        <v>PO Closed</v>
      </c>
      <c r="Q1605" s="6" t="str">
        <f>IFERROR(__xludf.DUMMYFUNCTION("""COMPUTED_VALUE"""),"GL2111036")</f>
        <v>GL2111036</v>
      </c>
      <c r="R1605" s="57">
        <f>IFERROR(__xludf.DUMMYFUNCTION("""COMPUTED_VALUE"""),44497.0)</f>
        <v>44497</v>
      </c>
      <c r="S1605" s="6" t="str">
        <f>IFERROR(__xludf.DUMMYFUNCTION("""COMPUTED_VALUE"""),"-")</f>
        <v>-</v>
      </c>
      <c r="T1605" s="57">
        <f>IFERROR(__xludf.DUMMYFUNCTION("""COMPUTED_VALUE"""),44526.0)</f>
        <v>44526</v>
      </c>
    </row>
    <row r="1606">
      <c r="A1606" s="6" t="str">
        <f>IFERROR(__xludf.DUMMYFUNCTION("""COMPUTED_VALUE"""),"211750408-4")</f>
        <v>211750408-4</v>
      </c>
      <c r="B1606" s="6" t="str">
        <f>IFERROR(__xludf.DUMMYFUNCTION("""COMPUTED_VALUE"""),"211750408 - Approved")</f>
        <v>211750408 - Approved</v>
      </c>
      <c r="C1606" s="6">
        <f>IFERROR(__xludf.DUMMYFUNCTION("""COMPUTED_VALUE"""),4.0)</f>
        <v>4</v>
      </c>
      <c r="D1606" s="6" t="str">
        <f>IFERROR(__xludf.DUMMYFUNCTION("""COMPUTED_VALUE"""),"O-18120-00")</f>
        <v>O-18120-00</v>
      </c>
      <c r="E1606" s="6" t="str">
        <f>IFERROR(__xludf.DUMMYFUNCTION("""COMPUTED_VALUE"""),"Capping VCM200 - Lock Nut Cramping")</f>
        <v>Capping VCM200 - Lock Nut Cramping</v>
      </c>
      <c r="F1606" s="6">
        <f>IFERROR(__xludf.DUMMYFUNCTION("""COMPUTED_VALUE"""),5.0)</f>
        <v>5</v>
      </c>
      <c r="G1606" s="6" t="str">
        <f>IFERROR(__xludf.DUMMYFUNCTION("""COMPUTED_VALUE"""),"Pieces")</f>
        <v>Pieces</v>
      </c>
      <c r="H1606" s="6" t="str">
        <f>IFERROR(__xludf.DUMMYFUNCTION("""COMPUTED_VALUE"""),"IDR")</f>
        <v>IDR</v>
      </c>
      <c r="I1606" s="6">
        <f>IFERROR(__xludf.DUMMYFUNCTION("""COMPUTED_VALUE"""),447000.0)</f>
        <v>447000</v>
      </c>
      <c r="J1606" s="6">
        <f>IFERROR(__xludf.DUMMYFUNCTION("""COMPUTED_VALUE"""),2235000.0)</f>
        <v>2235000</v>
      </c>
      <c r="K1606" s="57">
        <f>IFERROR(__xludf.DUMMYFUNCTION("""COMPUTED_VALUE"""),44530.0)</f>
        <v>44530</v>
      </c>
      <c r="L1606" s="6" t="str">
        <f>IFERROR(__xludf.DUMMYFUNCTION("""COMPUTED_VALUE"""),"FIP Engineering")</f>
        <v>FIP Engineering</v>
      </c>
      <c r="M1606" s="6" t="str">
        <f>IFERROR(__xludf.DUMMYFUNCTION("""COMPUTED_VALUE"""),"Irwan Sopian")</f>
        <v>Irwan Sopian</v>
      </c>
      <c r="N1606" s="6" t="str">
        <f>IFERROR(__xludf.DUMMYFUNCTION("""COMPUTED_VALUE"""),"FIP Engineering")</f>
        <v>FIP Engineering</v>
      </c>
      <c r="O1606" s="6" t="str">
        <f>IFERROR(__xludf.DUMMYFUNCTION("""COMPUTED_VALUE"""),"FIP-DOM-000-11304-OS00001-INA-000000")</f>
        <v>FIP-DOM-000-11304-OS00001-INA-000000</v>
      </c>
      <c r="P1606" s="6" t="str">
        <f>IFERROR(__xludf.DUMMYFUNCTION("""COMPUTED_VALUE"""),"PO Closed")</f>
        <v>PO Closed</v>
      </c>
      <c r="Q1606" s="6" t="str">
        <f>IFERROR(__xludf.DUMMYFUNCTION("""COMPUTED_VALUE"""),"GL2111035")</f>
        <v>GL2111035</v>
      </c>
      <c r="R1606" s="57">
        <f>IFERROR(__xludf.DUMMYFUNCTION("""COMPUTED_VALUE"""),44497.0)</f>
        <v>44497</v>
      </c>
      <c r="S1606" s="6" t="str">
        <f>IFERROR(__xludf.DUMMYFUNCTION("""COMPUTED_VALUE"""),"-")</f>
        <v>-</v>
      </c>
      <c r="T1606" s="57">
        <f>IFERROR(__xludf.DUMMYFUNCTION("""COMPUTED_VALUE"""),44535.0)</f>
        <v>44535</v>
      </c>
    </row>
    <row r="1607">
      <c r="A1607" s="6" t="str">
        <f>IFERROR(__xludf.DUMMYFUNCTION("""COMPUTED_VALUE"""),"211750407-1")</f>
        <v>211750407-1</v>
      </c>
      <c r="B1607" s="6" t="str">
        <f>IFERROR(__xludf.DUMMYFUNCTION("""COMPUTED_VALUE"""),"211750407 - Approved")</f>
        <v>211750407 - Approved</v>
      </c>
      <c r="C1607" s="6">
        <f>IFERROR(__xludf.DUMMYFUNCTION("""COMPUTED_VALUE"""),1.0)</f>
        <v>1</v>
      </c>
      <c r="D1607" s="6" t="str">
        <f>IFERROR(__xludf.DUMMYFUNCTION("""COMPUTED_VALUE"""),"O-52530-00")</f>
        <v>O-52530-00</v>
      </c>
      <c r="E1607" s="6" t="str">
        <f>IFERROR(__xludf.DUMMYFUNCTION("""COMPUTED_VALUE"""),"Sensor PH Meter Type : InPro3250/120/PT1000 PN. 52002548 Mettler-Toledo")</f>
        <v>Sensor PH Meter Type : InPro3250/120/PT1000 PN. 52002548 Mettler-Toledo</v>
      </c>
      <c r="F1607" s="6">
        <f>IFERROR(__xludf.DUMMYFUNCTION("""COMPUTED_VALUE"""),1.0)</f>
        <v>1</v>
      </c>
      <c r="G1607" s="6" t="str">
        <f>IFERROR(__xludf.DUMMYFUNCTION("""COMPUTED_VALUE"""),"Pieces")</f>
        <v>Pieces</v>
      </c>
      <c r="H1607" s="6" t="str">
        <f>IFERROR(__xludf.DUMMYFUNCTION("""COMPUTED_VALUE"""),"IDR")</f>
        <v>IDR</v>
      </c>
      <c r="I1607" s="6">
        <f>IFERROR(__xludf.DUMMYFUNCTION("""COMPUTED_VALUE"""),1.1321E7)</f>
        <v>11321000</v>
      </c>
      <c r="J1607" s="6">
        <f>IFERROR(__xludf.DUMMYFUNCTION("""COMPUTED_VALUE"""),1.1321E7)</f>
        <v>11321000</v>
      </c>
      <c r="K1607" s="57">
        <f>IFERROR(__xludf.DUMMYFUNCTION("""COMPUTED_VALUE"""),44530.0)</f>
        <v>44530</v>
      </c>
      <c r="L1607" s="6" t="str">
        <f>IFERROR(__xludf.DUMMYFUNCTION("""COMPUTED_VALUE"""),"FIP Engineering")</f>
        <v>FIP Engineering</v>
      </c>
      <c r="M1607" s="6" t="str">
        <f>IFERROR(__xludf.DUMMYFUNCTION("""COMPUTED_VALUE"""),"Irwan Sopian")</f>
        <v>Irwan Sopian</v>
      </c>
      <c r="N1607" s="6" t="str">
        <f>IFERROR(__xludf.DUMMYFUNCTION("""COMPUTED_VALUE"""),"FIP Engineering")</f>
        <v>FIP Engineering</v>
      </c>
      <c r="O1607" s="6" t="str">
        <f>IFERROR(__xludf.DUMMYFUNCTION("""COMPUTED_VALUE"""),"FIP-DOM-000-11304-OS00001-INA-000000")</f>
        <v>FIP-DOM-000-11304-OS00001-INA-000000</v>
      </c>
      <c r="P1607" s="6" t="str">
        <f>IFERROR(__xludf.DUMMYFUNCTION("""COMPUTED_VALUE"""),"PO Closed")</f>
        <v>PO Closed</v>
      </c>
      <c r="Q1607" s="6" t="str">
        <f>IFERROR(__xludf.DUMMYFUNCTION("""COMPUTED_VALUE"""),"GL2111034")</f>
        <v>GL2111034</v>
      </c>
      <c r="R1607" s="57">
        <f>IFERROR(__xludf.DUMMYFUNCTION("""COMPUTED_VALUE"""),44497.0)</f>
        <v>44497</v>
      </c>
      <c r="S1607" s="6" t="str">
        <f>IFERROR(__xludf.DUMMYFUNCTION("""COMPUTED_VALUE"""),"-")</f>
        <v>-</v>
      </c>
      <c r="T1607" s="57">
        <f>IFERROR(__xludf.DUMMYFUNCTION("""COMPUTED_VALUE"""),44561.0)</f>
        <v>44561</v>
      </c>
    </row>
    <row r="1608">
      <c r="A1608" s="6" t="str">
        <f>IFERROR(__xludf.DUMMYFUNCTION("""COMPUTED_VALUE"""),"211750406-1")</f>
        <v>211750406-1</v>
      </c>
      <c r="B1608" s="6" t="str">
        <f>IFERROR(__xludf.DUMMYFUNCTION("""COMPUTED_VALUE"""),"211750406 - Approved")</f>
        <v>211750406 - Approved</v>
      </c>
      <c r="C1608" s="6">
        <f>IFERROR(__xludf.DUMMYFUNCTION("""COMPUTED_VALUE"""),1.0)</f>
        <v>1</v>
      </c>
      <c r="D1608" s="6" t="str">
        <f>IFERROR(__xludf.DUMMYFUNCTION("""COMPUTED_VALUE"""),"P-52208-00")</f>
        <v>P-52208-00</v>
      </c>
      <c r="E1608" s="6" t="str">
        <f>IFERROR(__xludf.DUMMYFUNCTION("""COMPUTED_VALUE"""),"Solid State Relay SSR-150A 480VAC 3-32Vdc MaxWell")</f>
        <v>Solid State Relay SSR-150A 480VAC 3-32Vdc MaxWell</v>
      </c>
      <c r="F1608" s="6">
        <f>IFERROR(__xludf.DUMMYFUNCTION("""COMPUTED_VALUE"""),1.0)</f>
        <v>1</v>
      </c>
      <c r="G1608" s="6" t="str">
        <f>IFERROR(__xludf.DUMMYFUNCTION("""COMPUTED_VALUE"""),"Pieces")</f>
        <v>Pieces</v>
      </c>
      <c r="H1608" s="6" t="str">
        <f>IFERROR(__xludf.DUMMYFUNCTION("""COMPUTED_VALUE"""),"IDR")</f>
        <v>IDR</v>
      </c>
      <c r="I1608" s="6">
        <f>IFERROR(__xludf.DUMMYFUNCTION("""COMPUTED_VALUE"""),3000000.0)</f>
        <v>3000000</v>
      </c>
      <c r="J1608" s="6">
        <f>IFERROR(__xludf.DUMMYFUNCTION("""COMPUTED_VALUE"""),3000000.0)</f>
        <v>3000000</v>
      </c>
      <c r="K1608" s="57">
        <f>IFERROR(__xludf.DUMMYFUNCTION("""COMPUTED_VALUE"""),44526.0)</f>
        <v>44526</v>
      </c>
      <c r="L1608" s="6" t="str">
        <f>IFERROR(__xludf.DUMMYFUNCTION("""COMPUTED_VALUE"""),"FIP Engineering")</f>
        <v>FIP Engineering</v>
      </c>
      <c r="M1608" s="6" t="str">
        <f>IFERROR(__xludf.DUMMYFUNCTION("""COMPUTED_VALUE"""),"Irwan Sopian")</f>
        <v>Irwan Sopian</v>
      </c>
      <c r="N1608" s="6" t="str">
        <f>IFERROR(__xludf.DUMMYFUNCTION("""COMPUTED_VALUE"""),"FIP Engineering")</f>
        <v>FIP Engineering</v>
      </c>
      <c r="O1608" s="6" t="str">
        <f>IFERROR(__xludf.DUMMYFUNCTION("""COMPUTED_VALUE"""),"FIP-DOM-000-11304-OS00001-INA-000000")</f>
        <v>FIP-DOM-000-11304-OS00001-INA-000000</v>
      </c>
      <c r="P1608" s="6" t="str">
        <f>IFERROR(__xludf.DUMMYFUNCTION("""COMPUTED_VALUE"""),"PO Closed")</f>
        <v>PO Closed</v>
      </c>
      <c r="Q1608" s="6" t="str">
        <f>IFERROR(__xludf.DUMMYFUNCTION("""COMPUTED_VALUE"""),"GL2111012")</f>
        <v>GL2111012</v>
      </c>
      <c r="R1608" s="57">
        <f>IFERROR(__xludf.DUMMYFUNCTION("""COMPUTED_VALUE"""),44497.0)</f>
        <v>44497</v>
      </c>
      <c r="S1608" s="6" t="str">
        <f>IFERROR(__xludf.DUMMYFUNCTION("""COMPUTED_VALUE"""),"-")</f>
        <v>-</v>
      </c>
      <c r="T1608" s="57">
        <f>IFERROR(__xludf.DUMMYFUNCTION("""COMPUTED_VALUE"""),44512.0)</f>
        <v>44512</v>
      </c>
    </row>
    <row r="1609">
      <c r="A1609" s="6" t="str">
        <f>IFERROR(__xludf.DUMMYFUNCTION("""COMPUTED_VALUE"""),"211750410-1")</f>
        <v>211750410-1</v>
      </c>
      <c r="B1609" s="6" t="str">
        <f>IFERROR(__xludf.DUMMYFUNCTION("""COMPUTED_VALUE"""),"211750410 - Approved")</f>
        <v>211750410 - Approved</v>
      </c>
      <c r="C1609" s="6">
        <f>IFERROR(__xludf.DUMMYFUNCTION("""COMPUTED_VALUE"""),1.0)</f>
        <v>1</v>
      </c>
      <c r="D1609" s="6" t="str">
        <f>IFERROR(__xludf.DUMMYFUNCTION("""COMPUTED_VALUE"""),"P-15862-00")</f>
        <v>P-15862-00</v>
      </c>
      <c r="E1609" s="6" t="str">
        <f>IFERROR(__xludf.DUMMYFUNCTION("""COMPUTED_VALUE"""),"PAPER RECORD YOKOGAWA FOLDING CHART B9565AW")</f>
        <v>PAPER RECORD YOKOGAWA FOLDING CHART B9565AW</v>
      </c>
      <c r="F1609" s="6">
        <f>IFERROR(__xludf.DUMMYFUNCTION("""COMPUTED_VALUE"""),5.0)</f>
        <v>5</v>
      </c>
      <c r="G1609" s="6" t="str">
        <f>IFERROR(__xludf.DUMMYFUNCTION("""COMPUTED_VALUE"""),"Pieces")</f>
        <v>Pieces</v>
      </c>
      <c r="H1609" s="6" t="str">
        <f>IFERROR(__xludf.DUMMYFUNCTION("""COMPUTED_VALUE"""),"IDR")</f>
        <v>IDR</v>
      </c>
      <c r="I1609" s="6">
        <f>IFERROR(__xludf.DUMMYFUNCTION("""COMPUTED_VALUE"""),230000.0)</f>
        <v>230000</v>
      </c>
      <c r="J1609" s="6">
        <f>IFERROR(__xludf.DUMMYFUNCTION("""COMPUTED_VALUE"""),1150000.0)</f>
        <v>1150000</v>
      </c>
      <c r="K1609" s="57">
        <f>IFERROR(__xludf.DUMMYFUNCTION("""COMPUTED_VALUE"""),44522.0)</f>
        <v>44522</v>
      </c>
      <c r="L1609" s="6" t="str">
        <f>IFERROR(__xludf.DUMMYFUNCTION("""COMPUTED_VALUE"""),"FIP Engineering")</f>
        <v>FIP Engineering</v>
      </c>
      <c r="M1609" s="6" t="str">
        <f>IFERROR(__xludf.DUMMYFUNCTION("""COMPUTED_VALUE"""),"Joko Nugroho")</f>
        <v>Joko Nugroho</v>
      </c>
      <c r="N1609" s="6" t="str">
        <f>IFERROR(__xludf.DUMMYFUNCTION("""COMPUTED_VALUE"""),"FIP Engineering")</f>
        <v>FIP Engineering</v>
      </c>
      <c r="O1609" s="6" t="str">
        <f>IFERROR(__xludf.DUMMYFUNCTION("""COMPUTED_VALUE"""),"FIP-DOM-000-11304-OS00001-INA-000000")</f>
        <v>FIP-DOM-000-11304-OS00001-INA-000000</v>
      </c>
      <c r="P1609" s="6" t="str">
        <f>IFERROR(__xludf.DUMMYFUNCTION("""COMPUTED_VALUE"""),"PO Closed")</f>
        <v>PO Closed</v>
      </c>
      <c r="Q1609" s="6" t="str">
        <f>IFERROR(__xludf.DUMMYFUNCTION("""COMPUTED_VALUE"""),"GL2111038")</f>
        <v>GL2111038</v>
      </c>
      <c r="R1609" s="57">
        <f>IFERROR(__xludf.DUMMYFUNCTION("""COMPUTED_VALUE"""),44501.0)</f>
        <v>44501</v>
      </c>
      <c r="S1609" s="6" t="str">
        <f>IFERROR(__xludf.DUMMYFUNCTION("""COMPUTED_VALUE"""),"-")</f>
        <v>-</v>
      </c>
      <c r="T1609" s="57">
        <f>IFERROR(__xludf.DUMMYFUNCTION("""COMPUTED_VALUE"""),44530.0)</f>
        <v>44530</v>
      </c>
    </row>
    <row r="1610">
      <c r="A1610" s="6" t="str">
        <f>IFERROR(__xludf.DUMMYFUNCTION("""COMPUTED_VALUE"""),"211750410-2")</f>
        <v>211750410-2</v>
      </c>
      <c r="B1610" s="6" t="str">
        <f>IFERROR(__xludf.DUMMYFUNCTION("""COMPUTED_VALUE"""),"211750410 - Approved")</f>
        <v>211750410 - Approved</v>
      </c>
      <c r="C1610" s="6">
        <f>IFERROR(__xludf.DUMMYFUNCTION("""COMPUTED_VALUE"""),2.0)</f>
        <v>2</v>
      </c>
      <c r="D1610" s="6" t="str">
        <f>IFERROR(__xludf.DUMMYFUNCTION("""COMPUTED_VALUE"""),"P-51741-00")</f>
        <v>P-51741-00</v>
      </c>
      <c r="E1610" s="6" t="str">
        <f>IFERROR(__xludf.DUMMYFUNCTION("""COMPUTED_VALUE"""),"Lampu Phillips PHP LED 710 7w E27 White 220-240v")</f>
        <v>Lampu Phillips PHP LED 710 7w E27 White 220-240v</v>
      </c>
      <c r="F1610" s="6">
        <f>IFERROR(__xludf.DUMMYFUNCTION("""COMPUTED_VALUE"""),6.0)</f>
        <v>6</v>
      </c>
      <c r="G1610" s="6" t="str">
        <f>IFERROR(__xludf.DUMMYFUNCTION("""COMPUTED_VALUE"""),"Pieces")</f>
        <v>Pieces</v>
      </c>
      <c r="H1610" s="6" t="str">
        <f>IFERROR(__xludf.DUMMYFUNCTION("""COMPUTED_VALUE"""),"IDR")</f>
        <v>IDR</v>
      </c>
      <c r="I1610" s="6">
        <f>IFERROR(__xludf.DUMMYFUNCTION("""COMPUTED_VALUE"""),31500.0)</f>
        <v>31500</v>
      </c>
      <c r="J1610" s="6">
        <f>IFERROR(__xludf.DUMMYFUNCTION("""COMPUTED_VALUE"""),189000.0)</f>
        <v>189000</v>
      </c>
      <c r="K1610" s="57">
        <f>IFERROR(__xludf.DUMMYFUNCTION("""COMPUTED_VALUE"""),44522.0)</f>
        <v>44522</v>
      </c>
      <c r="L1610" s="6" t="str">
        <f>IFERROR(__xludf.DUMMYFUNCTION("""COMPUTED_VALUE"""),"FIP Engineering")</f>
        <v>FIP Engineering</v>
      </c>
      <c r="M1610" s="6" t="str">
        <f>IFERROR(__xludf.DUMMYFUNCTION("""COMPUTED_VALUE"""),"Joko Nugroho")</f>
        <v>Joko Nugroho</v>
      </c>
      <c r="N1610" s="6" t="str">
        <f>IFERROR(__xludf.DUMMYFUNCTION("""COMPUTED_VALUE"""),"FIP Engineering")</f>
        <v>FIP Engineering</v>
      </c>
      <c r="O1610" s="6" t="str">
        <f>IFERROR(__xludf.DUMMYFUNCTION("""COMPUTED_VALUE"""),"FIP-DOM-000-11304-OS00001-INA-000000")</f>
        <v>FIP-DOM-000-11304-OS00001-INA-000000</v>
      </c>
      <c r="P1610" s="6" t="str">
        <f>IFERROR(__xludf.DUMMYFUNCTION("""COMPUTED_VALUE"""),"PO Closed")</f>
        <v>PO Closed</v>
      </c>
      <c r="Q1610" s="6" t="str">
        <f>IFERROR(__xludf.DUMMYFUNCTION("""COMPUTED_VALUE"""),"GL2111037")</f>
        <v>GL2111037</v>
      </c>
      <c r="R1610" s="57">
        <f>IFERROR(__xludf.DUMMYFUNCTION("""COMPUTED_VALUE"""),44501.0)</f>
        <v>44501</v>
      </c>
      <c r="S1610" s="6" t="str">
        <f>IFERROR(__xludf.DUMMYFUNCTION("""COMPUTED_VALUE"""),"-")</f>
        <v>-</v>
      </c>
      <c r="T1610" s="57">
        <f>IFERROR(__xludf.DUMMYFUNCTION("""COMPUTED_VALUE"""),44535.0)</f>
        <v>44535</v>
      </c>
    </row>
    <row r="1611">
      <c r="A1611" s="6" t="str">
        <f>IFERROR(__xludf.DUMMYFUNCTION("""COMPUTED_VALUE"""),"211750410-3")</f>
        <v>211750410-3</v>
      </c>
      <c r="B1611" s="6" t="str">
        <f>IFERROR(__xludf.DUMMYFUNCTION("""COMPUTED_VALUE"""),"211750410 - Approved")</f>
        <v>211750410 - Approved</v>
      </c>
      <c r="C1611" s="6">
        <f>IFERROR(__xludf.DUMMYFUNCTION("""COMPUTED_VALUE"""),3.0)</f>
        <v>3</v>
      </c>
      <c r="D1611" s="6" t="str">
        <f>IFERROR(__xludf.DUMMYFUNCTION("""COMPUTED_VALUE"""),"P-10945-00")</f>
        <v>P-10945-00</v>
      </c>
      <c r="E1611" s="6" t="str">
        <f>IFERROR(__xludf.DUMMYFUNCTION("""COMPUTED_VALUE"""),"Insulation - Seal Tape onda")</f>
        <v>Insulation - Seal Tape onda</v>
      </c>
      <c r="F1611" s="6">
        <f>IFERROR(__xludf.DUMMYFUNCTION("""COMPUTED_VALUE"""),6.0)</f>
        <v>6</v>
      </c>
      <c r="G1611" s="6" t="str">
        <f>IFERROR(__xludf.DUMMYFUNCTION("""COMPUTED_VALUE"""),"Pieces")</f>
        <v>Pieces</v>
      </c>
      <c r="H1611" s="6" t="str">
        <f>IFERROR(__xludf.DUMMYFUNCTION("""COMPUTED_VALUE"""),"IDR")</f>
        <v>IDR</v>
      </c>
      <c r="I1611" s="6">
        <f>IFERROR(__xludf.DUMMYFUNCTION("""COMPUTED_VALUE"""),4000.0)</f>
        <v>4000</v>
      </c>
      <c r="J1611" s="6">
        <f>IFERROR(__xludf.DUMMYFUNCTION("""COMPUTED_VALUE"""),24000.0)</f>
        <v>24000</v>
      </c>
      <c r="K1611" s="57">
        <f>IFERROR(__xludf.DUMMYFUNCTION("""COMPUTED_VALUE"""),44522.0)</f>
        <v>44522</v>
      </c>
      <c r="L1611" s="6" t="str">
        <f>IFERROR(__xludf.DUMMYFUNCTION("""COMPUTED_VALUE"""),"FIP Engineering")</f>
        <v>FIP Engineering</v>
      </c>
      <c r="M1611" s="6" t="str">
        <f>IFERROR(__xludf.DUMMYFUNCTION("""COMPUTED_VALUE"""),"Joko Nugroho")</f>
        <v>Joko Nugroho</v>
      </c>
      <c r="N1611" s="6" t="str">
        <f>IFERROR(__xludf.DUMMYFUNCTION("""COMPUTED_VALUE"""),"FIP Engineering")</f>
        <v>FIP Engineering</v>
      </c>
      <c r="O1611" s="6" t="str">
        <f>IFERROR(__xludf.DUMMYFUNCTION("""COMPUTED_VALUE"""),"FIP-DOM-000-11304-OS00001-INA-000000")</f>
        <v>FIP-DOM-000-11304-OS00001-INA-000000</v>
      </c>
      <c r="P1611" s="6" t="str">
        <f>IFERROR(__xludf.DUMMYFUNCTION("""COMPUTED_VALUE"""),"PO Closed")</f>
        <v>PO Closed</v>
      </c>
      <c r="Q1611" s="6" t="str">
        <f>IFERROR(__xludf.DUMMYFUNCTION("""COMPUTED_VALUE"""),"GL2111037")</f>
        <v>GL2111037</v>
      </c>
      <c r="R1611" s="57">
        <f>IFERROR(__xludf.DUMMYFUNCTION("""COMPUTED_VALUE"""),44501.0)</f>
        <v>44501</v>
      </c>
      <c r="S1611" s="6" t="str">
        <f>IFERROR(__xludf.DUMMYFUNCTION("""COMPUTED_VALUE"""),"-")</f>
        <v>-</v>
      </c>
      <c r="T1611" s="57">
        <f>IFERROR(__xludf.DUMMYFUNCTION("""COMPUTED_VALUE"""),44535.0)</f>
        <v>44535</v>
      </c>
    </row>
    <row r="1612">
      <c r="A1612" s="6" t="str">
        <f>IFERROR(__xludf.DUMMYFUNCTION("""COMPUTED_VALUE"""),"211750410-4")</f>
        <v>211750410-4</v>
      </c>
      <c r="B1612" s="6" t="str">
        <f>IFERROR(__xludf.DUMMYFUNCTION("""COMPUTED_VALUE"""),"211750410 - Approved")</f>
        <v>211750410 - Approved</v>
      </c>
      <c r="C1612" s="6">
        <f>IFERROR(__xludf.DUMMYFUNCTION("""COMPUTED_VALUE"""),4.0)</f>
        <v>4</v>
      </c>
      <c r="D1612" s="6" t="str">
        <f>IFERROR(__xludf.DUMMYFUNCTION("""COMPUTED_VALUE"""),"O-15718-00")</f>
        <v>O-15718-00</v>
      </c>
      <c r="E1612" s="6" t="str">
        <f>IFERROR(__xludf.DUMMYFUNCTION("""COMPUTED_VALUE"""),"SYNTHETIC FOOD GRADE, CRC - P/N : NSF H1 pc")</f>
        <v>SYNTHETIC FOOD GRADE, CRC - P/N : NSF H1 pc</v>
      </c>
      <c r="F1612" s="6">
        <f>IFERROR(__xludf.DUMMYFUNCTION("""COMPUTED_VALUE"""),1.0)</f>
        <v>1</v>
      </c>
      <c r="G1612" s="6" t="str">
        <f>IFERROR(__xludf.DUMMYFUNCTION("""COMPUTED_VALUE"""),"Pieces")</f>
        <v>Pieces</v>
      </c>
      <c r="H1612" s="6" t="str">
        <f>IFERROR(__xludf.DUMMYFUNCTION("""COMPUTED_VALUE"""),"IDR")</f>
        <v>IDR</v>
      </c>
      <c r="I1612" s="6">
        <f>IFERROR(__xludf.DUMMYFUNCTION("""COMPUTED_VALUE"""),243000.0)</f>
        <v>243000</v>
      </c>
      <c r="J1612" s="6">
        <f>IFERROR(__xludf.DUMMYFUNCTION("""COMPUTED_VALUE"""),243000.0)</f>
        <v>243000</v>
      </c>
      <c r="K1612" s="57">
        <f>IFERROR(__xludf.DUMMYFUNCTION("""COMPUTED_VALUE"""),44522.0)</f>
        <v>44522</v>
      </c>
      <c r="L1612" s="6" t="str">
        <f>IFERROR(__xludf.DUMMYFUNCTION("""COMPUTED_VALUE"""),"FIP Engineering")</f>
        <v>FIP Engineering</v>
      </c>
      <c r="M1612" s="6" t="str">
        <f>IFERROR(__xludf.DUMMYFUNCTION("""COMPUTED_VALUE"""),"Joko Nugroho")</f>
        <v>Joko Nugroho</v>
      </c>
      <c r="N1612" s="6" t="str">
        <f>IFERROR(__xludf.DUMMYFUNCTION("""COMPUTED_VALUE"""),"FIP Engineering")</f>
        <v>FIP Engineering</v>
      </c>
      <c r="O1612" s="6" t="str">
        <f>IFERROR(__xludf.DUMMYFUNCTION("""COMPUTED_VALUE"""),"FIP-DOM-000-11304-OS00001-INA-000000")</f>
        <v>FIP-DOM-000-11304-OS00001-INA-000000</v>
      </c>
      <c r="P1612" s="6" t="str">
        <f>IFERROR(__xludf.DUMMYFUNCTION("""COMPUTED_VALUE"""),"PO Closed")</f>
        <v>PO Closed</v>
      </c>
      <c r="Q1612" s="6" t="str">
        <f>IFERROR(__xludf.DUMMYFUNCTION("""COMPUTED_VALUE"""),"GL2111037")</f>
        <v>GL2111037</v>
      </c>
      <c r="R1612" s="57">
        <f>IFERROR(__xludf.DUMMYFUNCTION("""COMPUTED_VALUE"""),44501.0)</f>
        <v>44501</v>
      </c>
      <c r="S1612" s="6" t="str">
        <f>IFERROR(__xludf.DUMMYFUNCTION("""COMPUTED_VALUE"""),"-")</f>
        <v>-</v>
      </c>
      <c r="T1612" s="57">
        <f>IFERROR(__xludf.DUMMYFUNCTION("""COMPUTED_VALUE"""),44535.0)</f>
        <v>44535</v>
      </c>
    </row>
    <row r="1613">
      <c r="A1613" s="6" t="str">
        <f>IFERROR(__xludf.DUMMYFUNCTION("""COMPUTED_VALUE"""),"211750410-5")</f>
        <v>211750410-5</v>
      </c>
      <c r="B1613" s="6" t="str">
        <f>IFERROR(__xludf.DUMMYFUNCTION("""COMPUTED_VALUE"""),"211750410 - Approved")</f>
        <v>211750410 - Approved</v>
      </c>
      <c r="C1613" s="6">
        <f>IFERROR(__xludf.DUMMYFUNCTION("""COMPUTED_VALUE"""),5.0)</f>
        <v>5</v>
      </c>
      <c r="D1613" s="6" t="str">
        <f>IFERROR(__xludf.DUMMYFUNCTION("""COMPUTED_VALUE"""),"O-14641-00")</f>
        <v>O-14641-00</v>
      </c>
      <c r="E1613" s="6" t="str">
        <f>IFERROR(__xludf.DUMMYFUNCTION("""COMPUTED_VALUE"""),"Silicone Gasket for Ferrule dia. 1""; ; ;")</f>
        <v>Silicone Gasket for Ferrule dia. 1"; ; ;</v>
      </c>
      <c r="F1613" s="6">
        <f>IFERROR(__xludf.DUMMYFUNCTION("""COMPUTED_VALUE"""),4.0)</f>
        <v>4</v>
      </c>
      <c r="G1613" s="6" t="str">
        <f>IFERROR(__xludf.DUMMYFUNCTION("""COMPUTED_VALUE"""),"Pieces")</f>
        <v>Pieces</v>
      </c>
      <c r="H1613" s="6" t="str">
        <f>IFERROR(__xludf.DUMMYFUNCTION("""COMPUTED_VALUE"""),"IDR")</f>
        <v>IDR</v>
      </c>
      <c r="I1613" s="6">
        <f>IFERROR(__xludf.DUMMYFUNCTION("""COMPUTED_VALUE"""),9600.0)</f>
        <v>9600</v>
      </c>
      <c r="J1613" s="6">
        <f>IFERROR(__xludf.DUMMYFUNCTION("""COMPUTED_VALUE"""),38400.0)</f>
        <v>38400</v>
      </c>
      <c r="K1613" s="57">
        <f>IFERROR(__xludf.DUMMYFUNCTION("""COMPUTED_VALUE"""),44522.0)</f>
        <v>44522</v>
      </c>
      <c r="L1613" s="6" t="str">
        <f>IFERROR(__xludf.DUMMYFUNCTION("""COMPUTED_VALUE"""),"FIP Engineering")</f>
        <v>FIP Engineering</v>
      </c>
      <c r="M1613" s="6" t="str">
        <f>IFERROR(__xludf.DUMMYFUNCTION("""COMPUTED_VALUE"""),"Joko Nugroho")</f>
        <v>Joko Nugroho</v>
      </c>
      <c r="N1613" s="6" t="str">
        <f>IFERROR(__xludf.DUMMYFUNCTION("""COMPUTED_VALUE"""),"FIP Engineering")</f>
        <v>FIP Engineering</v>
      </c>
      <c r="O1613" s="6" t="str">
        <f>IFERROR(__xludf.DUMMYFUNCTION("""COMPUTED_VALUE"""),"FIP-DOM-000-11304-OS00001-INA-000000")</f>
        <v>FIP-DOM-000-11304-OS00001-INA-000000</v>
      </c>
      <c r="P1613" s="6" t="str">
        <f>IFERROR(__xludf.DUMMYFUNCTION("""COMPUTED_VALUE"""),"PO Closed")</f>
        <v>PO Closed</v>
      </c>
      <c r="Q1613" s="6" t="str">
        <f>IFERROR(__xludf.DUMMYFUNCTION("""COMPUTED_VALUE"""),"GL2111037")</f>
        <v>GL2111037</v>
      </c>
      <c r="R1613" s="57">
        <f>IFERROR(__xludf.DUMMYFUNCTION("""COMPUTED_VALUE"""),44501.0)</f>
        <v>44501</v>
      </c>
      <c r="S1613" s="6" t="str">
        <f>IFERROR(__xludf.DUMMYFUNCTION("""COMPUTED_VALUE"""),"-")</f>
        <v>-</v>
      </c>
      <c r="T1613" s="57">
        <f>IFERROR(__xludf.DUMMYFUNCTION("""COMPUTED_VALUE"""),44535.0)</f>
        <v>44535</v>
      </c>
    </row>
    <row r="1614">
      <c r="A1614" s="6" t="str">
        <f>IFERROR(__xludf.DUMMYFUNCTION("""COMPUTED_VALUE"""),"211750410-6")</f>
        <v>211750410-6</v>
      </c>
      <c r="B1614" s="6" t="str">
        <f>IFERROR(__xludf.DUMMYFUNCTION("""COMPUTED_VALUE"""),"211750410 - Approved")</f>
        <v>211750410 - Approved</v>
      </c>
      <c r="C1614" s="6">
        <f>IFERROR(__xludf.DUMMYFUNCTION("""COMPUTED_VALUE"""),6.0)</f>
        <v>6</v>
      </c>
      <c r="D1614" s="6" t="str">
        <f>IFERROR(__xludf.DUMMYFUNCTION("""COMPUTED_VALUE"""),"O-15493-00")</f>
        <v>O-15493-00</v>
      </c>
      <c r="E1614" s="6" t="str">
        <f>IFERROR(__xludf.DUMMYFUNCTION("""COMPUTED_VALUE"""),"SPA 1082 Brand : Optibelt / Bando Merah Optibelt")</f>
        <v>SPA 1082 Brand : Optibelt / Bando Merah Optibelt</v>
      </c>
      <c r="F1614" s="6">
        <f>IFERROR(__xludf.DUMMYFUNCTION("""COMPUTED_VALUE"""),2.0)</f>
        <v>2</v>
      </c>
      <c r="G1614" s="6" t="str">
        <f>IFERROR(__xludf.DUMMYFUNCTION("""COMPUTED_VALUE"""),"Pieces")</f>
        <v>Pieces</v>
      </c>
      <c r="H1614" s="6" t="str">
        <f>IFERROR(__xludf.DUMMYFUNCTION("""COMPUTED_VALUE"""),"IDR")</f>
        <v>IDR</v>
      </c>
      <c r="I1614" s="6">
        <f>IFERROR(__xludf.DUMMYFUNCTION("""COMPUTED_VALUE"""),96800.0)</f>
        <v>96800</v>
      </c>
      <c r="J1614" s="6">
        <f>IFERROR(__xludf.DUMMYFUNCTION("""COMPUTED_VALUE"""),193600.0)</f>
        <v>193600</v>
      </c>
      <c r="K1614" s="57">
        <f>IFERROR(__xludf.DUMMYFUNCTION("""COMPUTED_VALUE"""),44522.0)</f>
        <v>44522</v>
      </c>
      <c r="L1614" s="6" t="str">
        <f>IFERROR(__xludf.DUMMYFUNCTION("""COMPUTED_VALUE"""),"FIP Engineering")</f>
        <v>FIP Engineering</v>
      </c>
      <c r="M1614" s="6" t="str">
        <f>IFERROR(__xludf.DUMMYFUNCTION("""COMPUTED_VALUE"""),"Joko Nugroho")</f>
        <v>Joko Nugroho</v>
      </c>
      <c r="N1614" s="6" t="str">
        <f>IFERROR(__xludf.DUMMYFUNCTION("""COMPUTED_VALUE"""),"FIP Engineering")</f>
        <v>FIP Engineering</v>
      </c>
      <c r="O1614" s="6" t="str">
        <f>IFERROR(__xludf.DUMMYFUNCTION("""COMPUTED_VALUE"""),"FIP-DOM-000-11304-OS00001-INA-000000")</f>
        <v>FIP-DOM-000-11304-OS00001-INA-000000</v>
      </c>
      <c r="P1614" s="6" t="str">
        <f>IFERROR(__xludf.DUMMYFUNCTION("""COMPUTED_VALUE"""),"PO Closed")</f>
        <v>PO Closed</v>
      </c>
      <c r="Q1614" s="6" t="str">
        <f>IFERROR(__xludf.DUMMYFUNCTION("""COMPUTED_VALUE"""),"GL2111037")</f>
        <v>GL2111037</v>
      </c>
      <c r="R1614" s="57">
        <f>IFERROR(__xludf.DUMMYFUNCTION("""COMPUTED_VALUE"""),44501.0)</f>
        <v>44501</v>
      </c>
      <c r="S1614" s="6" t="str">
        <f>IFERROR(__xludf.DUMMYFUNCTION("""COMPUTED_VALUE"""),"-")</f>
        <v>-</v>
      </c>
      <c r="T1614" s="57">
        <f>IFERROR(__xludf.DUMMYFUNCTION("""COMPUTED_VALUE"""),44535.0)</f>
        <v>44535</v>
      </c>
    </row>
    <row r="1615">
      <c r="A1615" s="6" t="str">
        <f>IFERROR(__xludf.DUMMYFUNCTION("""COMPUTED_VALUE"""),"211750423-1")</f>
        <v>211750423-1</v>
      </c>
      <c r="B1615" s="6" t="str">
        <f>IFERROR(__xludf.DUMMYFUNCTION("""COMPUTED_VALUE"""),"211750423 - Approved")</f>
        <v>211750423 - Approved</v>
      </c>
      <c r="C1615" s="6">
        <f>IFERROR(__xludf.DUMMYFUNCTION("""COMPUTED_VALUE"""),1.0)</f>
        <v>1</v>
      </c>
      <c r="D1615" s="6" t="str">
        <f>IFERROR(__xludf.DUMMYFUNCTION("""COMPUTED_VALUE"""),"O-18124-00")</f>
        <v>O-18124-00</v>
      </c>
      <c r="E1615" s="6" t="str">
        <f>IFERROR(__xludf.DUMMYFUNCTION("""COMPUTED_VALUE"""),"Mixing Tank Adam - USM T60 Impeller with 20mm Silicon Carbide, G10-012; ; ;")</f>
        <v>Mixing Tank Adam - USM T60 Impeller with 20mm Silicon Carbide, G10-012; ; ;</v>
      </c>
      <c r="F1615" s="6">
        <f>IFERROR(__xludf.DUMMYFUNCTION("""COMPUTED_VALUE"""),1.0)</f>
        <v>1</v>
      </c>
      <c r="G1615" s="6" t="str">
        <f>IFERROR(__xludf.DUMMYFUNCTION("""COMPUTED_VALUE"""),"Pieces")</f>
        <v>Pieces</v>
      </c>
      <c r="H1615" s="6" t="str">
        <f>IFERROR(__xludf.DUMMYFUNCTION("""COMPUTED_VALUE"""),"IDR")</f>
        <v>IDR</v>
      </c>
      <c r="I1615" s="6">
        <f>IFERROR(__xludf.DUMMYFUNCTION("""COMPUTED_VALUE"""),5.7E7)</f>
        <v>57000000</v>
      </c>
      <c r="J1615" s="6">
        <f>IFERROR(__xludf.DUMMYFUNCTION("""COMPUTED_VALUE"""),5.7E7)</f>
        <v>57000000</v>
      </c>
      <c r="K1615" s="57">
        <f>IFERROR(__xludf.DUMMYFUNCTION("""COMPUTED_VALUE"""),44540.0)</f>
        <v>44540</v>
      </c>
      <c r="L1615" s="6" t="str">
        <f>IFERROR(__xludf.DUMMYFUNCTION("""COMPUTED_VALUE"""),"FIP Engineering")</f>
        <v>FIP Engineering</v>
      </c>
      <c r="M1615" s="6" t="str">
        <f>IFERROR(__xludf.DUMMYFUNCTION("""COMPUTED_VALUE"""),"Irwan Sopian")</f>
        <v>Irwan Sopian</v>
      </c>
      <c r="N1615" s="6" t="str">
        <f>IFERROR(__xludf.DUMMYFUNCTION("""COMPUTED_VALUE"""),"FIP Engineering")</f>
        <v>FIP Engineering</v>
      </c>
      <c r="O1615" s="6" t="str">
        <f>IFERROR(__xludf.DUMMYFUNCTION("""COMPUTED_VALUE"""),"FIP-DOM-000-11304-OS00001-INA-000000")</f>
        <v>FIP-DOM-000-11304-OS00001-INA-000000</v>
      </c>
      <c r="P1615" s="6" t="str">
        <f>IFERROR(__xludf.DUMMYFUNCTION("""COMPUTED_VALUE"""),"PO Closed")</f>
        <v>PO Closed</v>
      </c>
      <c r="Q1615" s="6" t="str">
        <f>IFERROR(__xludf.DUMMYFUNCTION("""COMPUTED_VALUE"""),"GL2111013")</f>
        <v>GL2111013</v>
      </c>
      <c r="R1615" s="57">
        <f>IFERROR(__xludf.DUMMYFUNCTION("""COMPUTED_VALUE"""),44504.0)</f>
        <v>44504</v>
      </c>
      <c r="S1615" s="6" t="str">
        <f>IFERROR(__xludf.DUMMYFUNCTION("""COMPUTED_VALUE"""),"-")</f>
        <v>-</v>
      </c>
      <c r="T1615" s="57">
        <f>IFERROR(__xludf.DUMMYFUNCTION("""COMPUTED_VALUE"""),44545.0)</f>
        <v>44545</v>
      </c>
    </row>
    <row r="1616">
      <c r="A1616" s="6" t="str">
        <f>IFERROR(__xludf.DUMMYFUNCTION("""COMPUTED_VALUE"""),"211750435-1")</f>
        <v>211750435-1</v>
      </c>
      <c r="B1616" s="6" t="str">
        <f>IFERROR(__xludf.DUMMYFUNCTION("""COMPUTED_VALUE"""),"211750435 - Approved")</f>
        <v>211750435 - Approved</v>
      </c>
      <c r="C1616" s="6">
        <f>IFERROR(__xludf.DUMMYFUNCTION("""COMPUTED_VALUE"""),1.0)</f>
        <v>1</v>
      </c>
      <c r="D1616" s="6" t="str">
        <f>IFERROR(__xludf.DUMMYFUNCTION("""COMPUTED_VALUE"""),"R-20002-00")</f>
        <v>R-20002-00</v>
      </c>
      <c r="E1616" s="6" t="str">
        <f>IFERROR(__xludf.DUMMYFUNCTION("""COMPUTED_VALUE"""),"TOC Integration Charges + Include Setting Login for User level on PW Generator By Austar")</f>
        <v>TOC Integration Charges + Include Setting Login for User level on PW Generator By Austar</v>
      </c>
      <c r="F1616" s="6">
        <f>IFERROR(__xludf.DUMMYFUNCTION("""COMPUTED_VALUE"""),1.0)</f>
        <v>1</v>
      </c>
      <c r="G1616" s="6" t="str">
        <f>IFERROR(__xludf.DUMMYFUNCTION("""COMPUTED_VALUE"""),"Unit")</f>
        <v>Unit</v>
      </c>
      <c r="H1616" s="6" t="str">
        <f>IFERROR(__xludf.DUMMYFUNCTION("""COMPUTED_VALUE"""),"USD")</f>
        <v>USD</v>
      </c>
      <c r="I1616" s="6">
        <f>IFERROR(__xludf.DUMMYFUNCTION("""COMPUTED_VALUE"""),3200.0)</f>
        <v>3200</v>
      </c>
      <c r="J1616" s="6">
        <f>IFERROR(__xludf.DUMMYFUNCTION("""COMPUTED_VALUE"""),3200.0)</f>
        <v>3200</v>
      </c>
      <c r="K1616" s="57">
        <f>IFERROR(__xludf.DUMMYFUNCTION("""COMPUTED_VALUE"""),44582.0)</f>
        <v>44582</v>
      </c>
      <c r="L1616" s="6" t="str">
        <f>IFERROR(__xludf.DUMMYFUNCTION("""COMPUTED_VALUE"""),"FIP General")</f>
        <v>FIP General</v>
      </c>
      <c r="M1616" s="6" t="str">
        <f>IFERROR(__xludf.DUMMYFUNCTION("""COMPUTED_VALUE"""),"Kristiawan Sakti Winarno")</f>
        <v>Kristiawan Sakti Winarno</v>
      </c>
      <c r="N1616" s="6" t="str">
        <f>IFERROR(__xludf.DUMMYFUNCTION("""COMPUTED_VALUE"""),"FIP Engineering")</f>
        <v>FIP Engineering</v>
      </c>
      <c r="O1616" s="6" t="str">
        <f>IFERROR(__xludf.DUMMYFUNCTION("""COMPUTED_VALUE"""),"FIP-DOM-ENG-13405-EQ21009-INA-000000")</f>
        <v>FIP-DOM-ENG-13405-EQ21009-INA-000000</v>
      </c>
      <c r="P1616" s="6" t="str">
        <f>IFERROR(__xludf.DUMMYFUNCTION("""COMPUTED_VALUE"""),"PO Closed")</f>
        <v>PO Closed</v>
      </c>
      <c r="Q1616" s="6" t="str">
        <f>IFERROR(__xludf.DUMMYFUNCTION("""COMPUTED_VALUE"""),"GL2203033")</f>
        <v>GL2203033</v>
      </c>
      <c r="R1616" s="57">
        <f>IFERROR(__xludf.DUMMYFUNCTION("""COMPUTED_VALUE"""),44505.0)</f>
        <v>44505</v>
      </c>
      <c r="S1616" s="6" t="str">
        <f>IFERROR(__xludf.DUMMYFUNCTION("""COMPUTED_VALUE"""),"-")</f>
        <v>-</v>
      </c>
      <c r="T1616" s="57">
        <f>IFERROR(__xludf.DUMMYFUNCTION("""COMPUTED_VALUE"""),44681.0)</f>
        <v>44681</v>
      </c>
    </row>
    <row r="1617">
      <c r="A1617" s="6" t="str">
        <f>IFERROR(__xludf.DUMMYFUNCTION("""COMPUTED_VALUE"""),"211750435-2")</f>
        <v>211750435-2</v>
      </c>
      <c r="B1617" s="6" t="str">
        <f>IFERROR(__xludf.DUMMYFUNCTION("""COMPUTED_VALUE"""),"211750435 - Approved")</f>
        <v>211750435 - Approved</v>
      </c>
      <c r="C1617" s="6">
        <f>IFERROR(__xludf.DUMMYFUNCTION("""COMPUTED_VALUE"""),2.0)</f>
        <v>2</v>
      </c>
      <c r="D1617" s="6" t="str">
        <f>IFERROR(__xludf.DUMMYFUNCTION("""COMPUTED_VALUE"""),"R-20002-00")</f>
        <v>R-20002-00</v>
      </c>
      <c r="E1617" s="6" t="str">
        <f>IFERROR(__xludf.DUMMYFUNCTION("""COMPUTED_VALUE"""),"SUEZ - Sievers M500 Online TOC Analyzers")</f>
        <v>SUEZ - Sievers M500 Online TOC Analyzers</v>
      </c>
      <c r="F1617" s="6">
        <f>IFERROR(__xludf.DUMMYFUNCTION("""COMPUTED_VALUE"""),1.0)</f>
        <v>1</v>
      </c>
      <c r="G1617" s="6" t="str">
        <f>IFERROR(__xludf.DUMMYFUNCTION("""COMPUTED_VALUE"""),"Unit")</f>
        <v>Unit</v>
      </c>
      <c r="H1617" s="6" t="str">
        <f>IFERROR(__xludf.DUMMYFUNCTION("""COMPUTED_VALUE"""),"IDR")</f>
        <v>IDR</v>
      </c>
      <c r="I1617" s="6">
        <f>IFERROR(__xludf.DUMMYFUNCTION("""COMPUTED_VALUE"""),3.99E8)</f>
        <v>399000000</v>
      </c>
      <c r="J1617" s="6">
        <f>IFERROR(__xludf.DUMMYFUNCTION("""COMPUTED_VALUE"""),3.99E8)</f>
        <v>399000000</v>
      </c>
      <c r="K1617" s="57">
        <f>IFERROR(__xludf.DUMMYFUNCTION("""COMPUTED_VALUE"""),44582.0)</f>
        <v>44582</v>
      </c>
      <c r="L1617" s="6" t="str">
        <f>IFERROR(__xludf.DUMMYFUNCTION("""COMPUTED_VALUE"""),"FIP General")</f>
        <v>FIP General</v>
      </c>
      <c r="M1617" s="6" t="str">
        <f>IFERROR(__xludf.DUMMYFUNCTION("""COMPUTED_VALUE"""),"Kristiawan Sakti Winarno")</f>
        <v>Kristiawan Sakti Winarno</v>
      </c>
      <c r="N1617" s="6" t="str">
        <f>IFERROR(__xludf.DUMMYFUNCTION("""COMPUTED_VALUE"""),"FIP Engineering")</f>
        <v>FIP Engineering</v>
      </c>
      <c r="O1617" s="6" t="str">
        <f>IFERROR(__xludf.DUMMYFUNCTION("""COMPUTED_VALUE"""),"FIP-DOM-ENG-13405-EQ21009-INA-000000")</f>
        <v>FIP-DOM-ENG-13405-EQ21009-INA-000000</v>
      </c>
      <c r="P1617" s="6" t="str">
        <f>IFERROR(__xludf.DUMMYFUNCTION("""COMPUTED_VALUE"""),"PO Closed")</f>
        <v>PO Closed</v>
      </c>
      <c r="Q1617" s="6" t="str">
        <f>IFERROR(__xludf.DUMMYFUNCTION("""COMPUTED_VALUE"""),"GL2112018")</f>
        <v>GL2112018</v>
      </c>
      <c r="R1617" s="57">
        <f>IFERROR(__xludf.DUMMYFUNCTION("""COMPUTED_VALUE"""),44505.0)</f>
        <v>44505</v>
      </c>
      <c r="S1617" s="6" t="str">
        <f>IFERROR(__xludf.DUMMYFUNCTION("""COMPUTED_VALUE"""),"-")</f>
        <v>-</v>
      </c>
      <c r="T1617" s="57">
        <f>IFERROR(__xludf.DUMMYFUNCTION("""COMPUTED_VALUE"""),44591.0)</f>
        <v>44591</v>
      </c>
    </row>
    <row r="1618">
      <c r="A1618" s="6" t="str">
        <f>IFERROR(__xludf.DUMMYFUNCTION("""COMPUTED_VALUE"""),"211750410-7")</f>
        <v>211750410-7</v>
      </c>
      <c r="B1618" s="6" t="str">
        <f>IFERROR(__xludf.DUMMYFUNCTION("""COMPUTED_VALUE"""),"211750410 - Approved")</f>
        <v>211750410 - Approved</v>
      </c>
      <c r="C1618" s="6">
        <f>IFERROR(__xludf.DUMMYFUNCTION("""COMPUTED_VALUE"""),7.0)</f>
        <v>7</v>
      </c>
      <c r="D1618" s="6" t="str">
        <f>IFERROR(__xludf.DUMMYFUNCTION("""COMPUTED_VALUE"""),"P-51560-00")</f>
        <v>P-51560-00</v>
      </c>
      <c r="E1618" s="6" t="str">
        <f>IFERROR(__xludf.DUMMYFUNCTION("""COMPUTED_VALUE"""),"Lampu T5 28watt Putih Phillips")</f>
        <v>Lampu T5 28watt Putih Phillips</v>
      </c>
      <c r="F1618" s="6">
        <f>IFERROR(__xludf.DUMMYFUNCTION("""COMPUTED_VALUE"""),40.0)</f>
        <v>40</v>
      </c>
      <c r="G1618" s="6" t="str">
        <f>IFERROR(__xludf.DUMMYFUNCTION("""COMPUTED_VALUE"""),"Pieces")</f>
        <v>Pieces</v>
      </c>
      <c r="H1618" s="6" t="str">
        <f>IFERROR(__xludf.DUMMYFUNCTION("""COMPUTED_VALUE"""),"IDR")</f>
        <v>IDR</v>
      </c>
      <c r="I1618" s="6">
        <f>IFERROR(__xludf.DUMMYFUNCTION("""COMPUTED_VALUE"""),43500.0)</f>
        <v>43500</v>
      </c>
      <c r="J1618" s="6">
        <f>IFERROR(__xludf.DUMMYFUNCTION("""COMPUTED_VALUE"""),1740000.0)</f>
        <v>1740000</v>
      </c>
      <c r="K1618" s="57">
        <f>IFERROR(__xludf.DUMMYFUNCTION("""COMPUTED_VALUE"""),44530.0)</f>
        <v>44530</v>
      </c>
      <c r="L1618" s="6" t="str">
        <f>IFERROR(__xludf.DUMMYFUNCTION("""COMPUTED_VALUE"""),"FIP Engineering")</f>
        <v>FIP Engineering</v>
      </c>
      <c r="M1618" s="6" t="str">
        <f>IFERROR(__xludf.DUMMYFUNCTION("""COMPUTED_VALUE"""),"Irwan Sopian")</f>
        <v>Irwan Sopian</v>
      </c>
      <c r="N1618" s="6" t="str">
        <f>IFERROR(__xludf.DUMMYFUNCTION("""COMPUTED_VALUE"""),"FIP Engineering")</f>
        <v>FIP Engineering</v>
      </c>
      <c r="O1618" s="6" t="str">
        <f>IFERROR(__xludf.DUMMYFUNCTION("""COMPUTED_VALUE"""),"FIP-DOM-000-11304-OS00001-INA-000000")</f>
        <v>FIP-DOM-000-11304-OS00001-INA-000000</v>
      </c>
      <c r="P1618" s="6" t="str">
        <f>IFERROR(__xludf.DUMMYFUNCTION("""COMPUTED_VALUE"""),"PO Closed")</f>
        <v>PO Closed</v>
      </c>
      <c r="Q1618" s="6" t="str">
        <f>IFERROR(__xludf.DUMMYFUNCTION("""COMPUTED_VALUE"""),"GL2111037")</f>
        <v>GL2111037</v>
      </c>
      <c r="R1618" s="57">
        <f>IFERROR(__xludf.DUMMYFUNCTION("""COMPUTED_VALUE"""),44508.0)</f>
        <v>44508</v>
      </c>
      <c r="S1618" s="6" t="str">
        <f>IFERROR(__xludf.DUMMYFUNCTION("""COMPUTED_VALUE"""),"-")</f>
        <v>-</v>
      </c>
      <c r="T1618" s="57">
        <f>IFERROR(__xludf.DUMMYFUNCTION("""COMPUTED_VALUE"""),44535.0)</f>
        <v>44535</v>
      </c>
    </row>
    <row r="1619">
      <c r="A1619" s="6" t="str">
        <f>IFERROR(__xludf.DUMMYFUNCTION("""COMPUTED_VALUE"""),"211750410-8")</f>
        <v>211750410-8</v>
      </c>
      <c r="B1619" s="6" t="str">
        <f>IFERROR(__xludf.DUMMYFUNCTION("""COMPUTED_VALUE"""),"211750410 - Approved")</f>
        <v>211750410 - Approved</v>
      </c>
      <c r="C1619" s="6">
        <f>IFERROR(__xludf.DUMMYFUNCTION("""COMPUTED_VALUE"""),8.0)</f>
        <v>8</v>
      </c>
      <c r="D1619" s="6" t="str">
        <f>IFERROR(__xludf.DUMMYFUNCTION("""COMPUTED_VALUE"""),"O-15931-00")</f>
        <v>O-15931-00</v>
      </c>
      <c r="E1619" s="6" t="str">
        <f>IFERROR(__xludf.DUMMYFUNCTION("""COMPUTED_VALUE"""),"Double Tape 3M 1"" Merah - P/N : - pc")</f>
        <v>Double Tape 3M 1" Merah - P/N : - pc</v>
      </c>
      <c r="F1619" s="6">
        <f>IFERROR(__xludf.DUMMYFUNCTION("""COMPUTED_VALUE"""),5.0)</f>
        <v>5</v>
      </c>
      <c r="G1619" s="6" t="str">
        <f>IFERROR(__xludf.DUMMYFUNCTION("""COMPUTED_VALUE"""),"Pieces")</f>
        <v>Pieces</v>
      </c>
      <c r="H1619" s="6" t="str">
        <f>IFERROR(__xludf.DUMMYFUNCTION("""COMPUTED_VALUE"""),"IDR")</f>
        <v>IDR</v>
      </c>
      <c r="I1619" s="6">
        <f>IFERROR(__xludf.DUMMYFUNCTION("""COMPUTED_VALUE"""),78500.0)</f>
        <v>78500</v>
      </c>
      <c r="J1619" s="6">
        <f>IFERROR(__xludf.DUMMYFUNCTION("""COMPUTED_VALUE"""),392500.0)</f>
        <v>392500</v>
      </c>
      <c r="K1619" s="57">
        <f>IFERROR(__xludf.DUMMYFUNCTION("""COMPUTED_VALUE"""),44530.0)</f>
        <v>44530</v>
      </c>
      <c r="L1619" s="6" t="str">
        <f>IFERROR(__xludf.DUMMYFUNCTION("""COMPUTED_VALUE"""),"FIP Engineering")</f>
        <v>FIP Engineering</v>
      </c>
      <c r="M1619" s="6" t="str">
        <f>IFERROR(__xludf.DUMMYFUNCTION("""COMPUTED_VALUE"""),"Irwan Sopian")</f>
        <v>Irwan Sopian</v>
      </c>
      <c r="N1619" s="6" t="str">
        <f>IFERROR(__xludf.DUMMYFUNCTION("""COMPUTED_VALUE"""),"FIP Engineering")</f>
        <v>FIP Engineering</v>
      </c>
      <c r="O1619" s="6" t="str">
        <f>IFERROR(__xludf.DUMMYFUNCTION("""COMPUTED_VALUE"""),"FIP-DOM-000-11304-OS00001-INA-000000")</f>
        <v>FIP-DOM-000-11304-OS00001-INA-000000</v>
      </c>
      <c r="P1619" s="6" t="str">
        <f>IFERROR(__xludf.DUMMYFUNCTION("""COMPUTED_VALUE"""),"PO Closed")</f>
        <v>PO Closed</v>
      </c>
      <c r="Q1619" s="6" t="str">
        <f>IFERROR(__xludf.DUMMYFUNCTION("""COMPUTED_VALUE"""),"GL2111037")</f>
        <v>GL2111037</v>
      </c>
      <c r="R1619" s="57">
        <f>IFERROR(__xludf.DUMMYFUNCTION("""COMPUTED_VALUE"""),44508.0)</f>
        <v>44508</v>
      </c>
      <c r="S1619" s="6" t="str">
        <f>IFERROR(__xludf.DUMMYFUNCTION("""COMPUTED_VALUE"""),"-")</f>
        <v>-</v>
      </c>
      <c r="T1619" s="57">
        <f>IFERROR(__xludf.DUMMYFUNCTION("""COMPUTED_VALUE"""),44535.0)</f>
        <v>44535</v>
      </c>
    </row>
    <row r="1620">
      <c r="A1620" s="6" t="str">
        <f>IFERROR(__xludf.DUMMYFUNCTION("""COMPUTED_VALUE"""),"211750410-9")</f>
        <v>211750410-9</v>
      </c>
      <c r="B1620" s="6" t="str">
        <f>IFERROR(__xludf.DUMMYFUNCTION("""COMPUTED_VALUE"""),"211750410 - Approved")</f>
        <v>211750410 - Approved</v>
      </c>
      <c r="C1620" s="6">
        <f>IFERROR(__xludf.DUMMYFUNCTION("""COMPUTED_VALUE"""),9.0)</f>
        <v>9</v>
      </c>
      <c r="D1620" s="6" t="str">
        <f>IFERROR(__xludf.DUMMYFUNCTION("""COMPUTED_VALUE"""),"Q-10232-00")</f>
        <v>Q-10232-00</v>
      </c>
      <c r="E1620" s="6" t="str">
        <f>IFERROR(__xludf.DUMMYFUNCTION("""COMPUTED_VALUE"""),"Silicone Sealant N10 White")</f>
        <v>Silicone Sealant N10 White</v>
      </c>
      <c r="F1620" s="6">
        <f>IFERROR(__xludf.DUMMYFUNCTION("""COMPUTED_VALUE"""),5.0)</f>
        <v>5</v>
      </c>
      <c r="G1620" s="6" t="str">
        <f>IFERROR(__xludf.DUMMYFUNCTION("""COMPUTED_VALUE"""),"Pieces")</f>
        <v>Pieces</v>
      </c>
      <c r="H1620" s="6" t="str">
        <f>IFERROR(__xludf.DUMMYFUNCTION("""COMPUTED_VALUE"""),"IDR")</f>
        <v>IDR</v>
      </c>
      <c r="I1620" s="6">
        <f>IFERROR(__xludf.DUMMYFUNCTION("""COMPUTED_VALUE"""),45000.0)</f>
        <v>45000</v>
      </c>
      <c r="J1620" s="6">
        <f>IFERROR(__xludf.DUMMYFUNCTION("""COMPUTED_VALUE"""),225000.0)</f>
        <v>225000</v>
      </c>
      <c r="K1620" s="57">
        <f>IFERROR(__xludf.DUMMYFUNCTION("""COMPUTED_VALUE"""),44530.0)</f>
        <v>44530</v>
      </c>
      <c r="L1620" s="6" t="str">
        <f>IFERROR(__xludf.DUMMYFUNCTION("""COMPUTED_VALUE"""),"FIP Engineering")</f>
        <v>FIP Engineering</v>
      </c>
      <c r="M1620" s="6" t="str">
        <f>IFERROR(__xludf.DUMMYFUNCTION("""COMPUTED_VALUE"""),"Irwan Sopian")</f>
        <v>Irwan Sopian</v>
      </c>
      <c r="N1620" s="6" t="str">
        <f>IFERROR(__xludf.DUMMYFUNCTION("""COMPUTED_VALUE"""),"FIP Engineering")</f>
        <v>FIP Engineering</v>
      </c>
      <c r="O1620" s="6" t="str">
        <f>IFERROR(__xludf.DUMMYFUNCTION("""COMPUTED_VALUE"""),"FIP-DOM-000-11304-OS00001-INA-000000")</f>
        <v>FIP-DOM-000-11304-OS00001-INA-000000</v>
      </c>
      <c r="P1620" s="6" t="str">
        <f>IFERROR(__xludf.DUMMYFUNCTION("""COMPUTED_VALUE"""),"PO Closed")</f>
        <v>PO Closed</v>
      </c>
      <c r="Q1620" s="6" t="str">
        <f>IFERROR(__xludf.DUMMYFUNCTION("""COMPUTED_VALUE"""),"GL2111037")</f>
        <v>GL2111037</v>
      </c>
      <c r="R1620" s="57">
        <f>IFERROR(__xludf.DUMMYFUNCTION("""COMPUTED_VALUE"""),44508.0)</f>
        <v>44508</v>
      </c>
      <c r="S1620" s="6" t="str">
        <f>IFERROR(__xludf.DUMMYFUNCTION("""COMPUTED_VALUE"""),"-")</f>
        <v>-</v>
      </c>
      <c r="T1620" s="57">
        <f>IFERROR(__xludf.DUMMYFUNCTION("""COMPUTED_VALUE"""),44535.0)</f>
        <v>44535</v>
      </c>
    </row>
    <row r="1621">
      <c r="A1621" s="6" t="str">
        <f>IFERROR(__xludf.DUMMYFUNCTION("""COMPUTED_VALUE"""),"211750410-10")</f>
        <v>211750410-10</v>
      </c>
      <c r="B1621" s="6" t="str">
        <f>IFERROR(__xludf.DUMMYFUNCTION("""COMPUTED_VALUE"""),"211750410 - Approved")</f>
        <v>211750410 - Approved</v>
      </c>
      <c r="C1621" s="6">
        <f>IFERROR(__xludf.DUMMYFUNCTION("""COMPUTED_VALUE"""),10.0)</f>
        <v>10</v>
      </c>
      <c r="D1621" s="6" t="str">
        <f>IFERROR(__xludf.DUMMYFUNCTION("""COMPUTED_VALUE"""),"Q-10509-00")</f>
        <v>Q-10509-00</v>
      </c>
      <c r="E1621" s="6" t="str">
        <f>IFERROR(__xludf.DUMMYFUNCTION("""COMPUTED_VALUE"""),"Cable Ducting")</f>
        <v>Cable Ducting</v>
      </c>
      <c r="F1621" s="6">
        <f>IFERROR(__xludf.DUMMYFUNCTION("""COMPUTED_VALUE"""),10.0)</f>
        <v>10</v>
      </c>
      <c r="G1621" s="6" t="str">
        <f>IFERROR(__xludf.DUMMYFUNCTION("""COMPUTED_VALUE"""),"Pieces")</f>
        <v>Pieces</v>
      </c>
      <c r="H1621" s="6" t="str">
        <f>IFERROR(__xludf.DUMMYFUNCTION("""COMPUTED_VALUE"""),"IDR")</f>
        <v>IDR</v>
      </c>
      <c r="I1621" s="6">
        <f>IFERROR(__xludf.DUMMYFUNCTION("""COMPUTED_VALUE"""),25000.0)</f>
        <v>25000</v>
      </c>
      <c r="J1621" s="6">
        <f>IFERROR(__xludf.DUMMYFUNCTION("""COMPUTED_VALUE"""),250000.0)</f>
        <v>250000</v>
      </c>
      <c r="K1621" s="57">
        <f>IFERROR(__xludf.DUMMYFUNCTION("""COMPUTED_VALUE"""),44530.0)</f>
        <v>44530</v>
      </c>
      <c r="L1621" s="6" t="str">
        <f>IFERROR(__xludf.DUMMYFUNCTION("""COMPUTED_VALUE"""),"FIP General")</f>
        <v>FIP General</v>
      </c>
      <c r="M1621" s="6" t="str">
        <f>IFERROR(__xludf.DUMMYFUNCTION("""COMPUTED_VALUE"""),"Irwan Sopian")</f>
        <v>Irwan Sopian</v>
      </c>
      <c r="N1621" s="6" t="str">
        <f>IFERROR(__xludf.DUMMYFUNCTION("""COMPUTED_VALUE"""),"FIP Engineering")</f>
        <v>FIP Engineering</v>
      </c>
      <c r="O1621" s="6" t="str">
        <f>IFERROR(__xludf.DUMMYFUNCTION("""COMPUTED_VALUE"""),"FIP-DOM-ENG-51502-0000000-INA-000000")</f>
        <v>FIP-DOM-ENG-51502-0000000-INA-000000</v>
      </c>
      <c r="P1621" s="6" t="str">
        <f>IFERROR(__xludf.DUMMYFUNCTION("""COMPUTED_VALUE"""),"PO Closed")</f>
        <v>PO Closed</v>
      </c>
      <c r="Q1621" s="6" t="str">
        <f>IFERROR(__xludf.DUMMYFUNCTION("""COMPUTED_VALUE"""),"GL2111037")</f>
        <v>GL2111037</v>
      </c>
      <c r="R1621" s="57">
        <f>IFERROR(__xludf.DUMMYFUNCTION("""COMPUTED_VALUE"""),44508.0)</f>
        <v>44508</v>
      </c>
      <c r="S1621" s="6" t="str">
        <f>IFERROR(__xludf.DUMMYFUNCTION("""COMPUTED_VALUE"""),"-")</f>
        <v>-</v>
      </c>
      <c r="T1621" s="57">
        <f>IFERROR(__xludf.DUMMYFUNCTION("""COMPUTED_VALUE"""),44535.0)</f>
        <v>44535</v>
      </c>
    </row>
    <row r="1622">
      <c r="A1622" s="6" t="str">
        <f>IFERROR(__xludf.DUMMYFUNCTION("""COMPUTED_VALUE"""),"211750439-1")</f>
        <v>211750439-1</v>
      </c>
      <c r="B1622" s="6" t="str">
        <f>IFERROR(__xludf.DUMMYFUNCTION("""COMPUTED_VALUE"""),"211750439 - Approved")</f>
        <v>211750439 - Approved</v>
      </c>
      <c r="C1622" s="6">
        <f>IFERROR(__xludf.DUMMYFUNCTION("""COMPUTED_VALUE"""),1.0)</f>
        <v>1</v>
      </c>
      <c r="D1622" s="6" t="str">
        <f>IFERROR(__xludf.DUMMYFUNCTION("""COMPUTED_VALUE"""),"O-52530-00")</f>
        <v>O-52530-00</v>
      </c>
      <c r="E1622" s="6" t="str">
        <f>IFERROR(__xludf.DUMMYFUNCTION("""COMPUTED_VALUE"""),"Sensor PH Meter Type : InPro3250/120/PT1000 PN. 52002548 Mettler-Toledo")</f>
        <v>Sensor PH Meter Type : InPro3250/120/PT1000 PN. 52002548 Mettler-Toledo</v>
      </c>
      <c r="F1622" s="6">
        <f>IFERROR(__xludf.DUMMYFUNCTION("""COMPUTED_VALUE"""),1.0)</f>
        <v>1</v>
      </c>
      <c r="G1622" s="6" t="str">
        <f>IFERROR(__xludf.DUMMYFUNCTION("""COMPUTED_VALUE"""),"Pieces")</f>
        <v>Pieces</v>
      </c>
      <c r="H1622" s="6" t="str">
        <f>IFERROR(__xludf.DUMMYFUNCTION("""COMPUTED_VALUE"""),"IDR")</f>
        <v>IDR</v>
      </c>
      <c r="I1622" s="6">
        <f>IFERROR(__xludf.DUMMYFUNCTION("""COMPUTED_VALUE"""),1.1321E7)</f>
        <v>11321000</v>
      </c>
      <c r="J1622" s="6">
        <f>IFERROR(__xludf.DUMMYFUNCTION("""COMPUTED_VALUE"""),1.1321E7)</f>
        <v>11321000</v>
      </c>
      <c r="K1622" s="57">
        <f>IFERROR(__xludf.DUMMYFUNCTION("""COMPUTED_VALUE"""),44561.0)</f>
        <v>44561</v>
      </c>
      <c r="L1622" s="6" t="str">
        <f>IFERROR(__xludf.DUMMYFUNCTION("""COMPUTED_VALUE"""),"FIP Engineering")</f>
        <v>FIP Engineering</v>
      </c>
      <c r="M1622" s="6" t="str">
        <f>IFERROR(__xludf.DUMMYFUNCTION("""COMPUTED_VALUE"""),"Irwan Sopian")</f>
        <v>Irwan Sopian</v>
      </c>
      <c r="N1622" s="6" t="str">
        <f>IFERROR(__xludf.DUMMYFUNCTION("""COMPUTED_VALUE"""),"FIP Engineering")</f>
        <v>FIP Engineering</v>
      </c>
      <c r="O1622" s="6" t="str">
        <f>IFERROR(__xludf.DUMMYFUNCTION("""COMPUTED_VALUE"""),"FIP-DOM-000-11304-OS00001-INA-000000")</f>
        <v>FIP-DOM-000-11304-OS00001-INA-000000</v>
      </c>
      <c r="P1622" s="6" t="str">
        <f>IFERROR(__xludf.DUMMYFUNCTION("""COMPUTED_VALUE"""),"PO Closed")</f>
        <v>PO Closed</v>
      </c>
      <c r="Q1622" s="6" t="str">
        <f>IFERROR(__xludf.DUMMYFUNCTION("""COMPUTED_VALUE"""),"GL2111034")</f>
        <v>GL2111034</v>
      </c>
      <c r="R1622" s="57">
        <f>IFERROR(__xludf.DUMMYFUNCTION("""COMPUTED_VALUE"""),44510.0)</f>
        <v>44510</v>
      </c>
      <c r="S1622" s="6" t="str">
        <f>IFERROR(__xludf.DUMMYFUNCTION("""COMPUTED_VALUE"""),"-")</f>
        <v>-</v>
      </c>
      <c r="T1622" s="57">
        <f>IFERROR(__xludf.DUMMYFUNCTION("""COMPUTED_VALUE"""),44561.0)</f>
        <v>44561</v>
      </c>
    </row>
    <row r="1623">
      <c r="A1623" s="6" t="str">
        <f>IFERROR(__xludf.DUMMYFUNCTION("""COMPUTED_VALUE"""),"211750438-1")</f>
        <v>211750438-1</v>
      </c>
      <c r="B1623" s="6" t="str">
        <f>IFERROR(__xludf.DUMMYFUNCTION("""COMPUTED_VALUE"""),"211750438 - Approved")</f>
        <v>211750438 - Approved</v>
      </c>
      <c r="C1623" s="6">
        <f>IFERROR(__xludf.DUMMYFUNCTION("""COMPUTED_VALUE"""),1.0)</f>
        <v>1</v>
      </c>
      <c r="D1623" s="6" t="str">
        <f>IFERROR(__xludf.DUMMYFUNCTION("""COMPUTED_VALUE"""),"P-53202-00")</f>
        <v>P-53202-00</v>
      </c>
      <c r="E1623" s="6" t="str">
        <f>IFERROR(__xludf.DUMMYFUNCTION("""COMPUTED_VALUE"""),"HVAC - Programmable RH &amp; Temp. transmitter MF-HTT 0-100% RH dan 0-100 deg.C 24VAAC Micatrone")</f>
        <v>HVAC - Programmable RH &amp; Temp. transmitter MF-HTT 0-100% RH dan 0-100 deg.C 24VAAC Micatrone</v>
      </c>
      <c r="F1623" s="6">
        <f>IFERROR(__xludf.DUMMYFUNCTION("""COMPUTED_VALUE"""),1.0)</f>
        <v>1</v>
      </c>
      <c r="G1623" s="6" t="str">
        <f>IFERROR(__xludf.DUMMYFUNCTION("""COMPUTED_VALUE"""),"Unit")</f>
        <v>Unit</v>
      </c>
      <c r="H1623" s="6" t="str">
        <f>IFERROR(__xludf.DUMMYFUNCTION("""COMPUTED_VALUE"""),"IDR")</f>
        <v>IDR</v>
      </c>
      <c r="I1623" s="6">
        <f>IFERROR(__xludf.DUMMYFUNCTION("""COMPUTED_VALUE"""),1.1E7)</f>
        <v>11000000</v>
      </c>
      <c r="J1623" s="6">
        <f>IFERROR(__xludf.DUMMYFUNCTION("""COMPUTED_VALUE"""),1.1E7)</f>
        <v>11000000</v>
      </c>
      <c r="K1623" s="57">
        <f>IFERROR(__xludf.DUMMYFUNCTION("""COMPUTED_VALUE"""),44547.0)</f>
        <v>44547</v>
      </c>
      <c r="L1623" s="6" t="str">
        <f>IFERROR(__xludf.DUMMYFUNCTION("""COMPUTED_VALUE"""),"FIP Engineering")</f>
        <v>FIP Engineering</v>
      </c>
      <c r="M1623" s="6" t="str">
        <f>IFERROR(__xludf.DUMMYFUNCTION("""COMPUTED_VALUE"""),"Irwan Sopian")</f>
        <v>Irwan Sopian</v>
      </c>
      <c r="N1623" s="6" t="str">
        <f>IFERROR(__xludf.DUMMYFUNCTION("""COMPUTED_VALUE"""),"FIP Engineering")</f>
        <v>FIP Engineering</v>
      </c>
      <c r="O1623" s="6" t="str">
        <f>IFERROR(__xludf.DUMMYFUNCTION("""COMPUTED_VALUE"""),"FIP-DOM-000-11304-OS00001-INA-000000")</f>
        <v>FIP-DOM-000-11304-OS00001-INA-000000</v>
      </c>
      <c r="P1623" s="6" t="str">
        <f>IFERROR(__xludf.DUMMYFUNCTION("""COMPUTED_VALUE"""),"PO Closed")</f>
        <v>PO Closed</v>
      </c>
      <c r="Q1623" s="6" t="str">
        <f>IFERROR(__xludf.DUMMYFUNCTION("""COMPUTED_VALUE"""),"GL2112003")</f>
        <v>GL2112003</v>
      </c>
      <c r="R1623" s="57">
        <f>IFERROR(__xludf.DUMMYFUNCTION("""COMPUTED_VALUE"""),44510.0)</f>
        <v>44510</v>
      </c>
      <c r="S1623" s="6" t="str">
        <f>IFERROR(__xludf.DUMMYFUNCTION("""COMPUTED_VALUE"""),"-")</f>
        <v>-</v>
      </c>
      <c r="T1623" s="57">
        <f>IFERROR(__xludf.DUMMYFUNCTION("""COMPUTED_VALUE"""),44561.0)</f>
        <v>44561</v>
      </c>
    </row>
    <row r="1624">
      <c r="A1624" s="6" t="str">
        <f>IFERROR(__xludf.DUMMYFUNCTION("""COMPUTED_VALUE"""),"211750441-1")</f>
        <v>211750441-1</v>
      </c>
      <c r="B1624" s="6" t="str">
        <f>IFERROR(__xludf.DUMMYFUNCTION("""COMPUTED_VALUE"""),"211750441 - Approved")</f>
        <v>211750441 - Approved</v>
      </c>
      <c r="C1624" s="6">
        <f>IFERROR(__xludf.DUMMYFUNCTION("""COMPUTED_VALUE"""),1.0)</f>
        <v>1</v>
      </c>
      <c r="D1624" s="6" t="str">
        <f>IFERROR(__xludf.DUMMYFUNCTION("""COMPUTED_VALUE"""),"S-63041-00")</f>
        <v>S-63041-00</v>
      </c>
      <c r="E1624" s="6" t="str">
        <f>IFERROR(__xludf.DUMMYFUNCTION("""COMPUTED_VALUE"""),"CPU Tray For PC")</f>
        <v>CPU Tray For PC</v>
      </c>
      <c r="F1624" s="6">
        <f>IFERROR(__xludf.DUMMYFUNCTION("""COMPUTED_VALUE"""),3.0)</f>
        <v>3</v>
      </c>
      <c r="G1624" s="6" t="str">
        <f>IFERROR(__xludf.DUMMYFUNCTION("""COMPUTED_VALUE"""),"Unit")</f>
        <v>Unit</v>
      </c>
      <c r="H1624" s="6" t="str">
        <f>IFERROR(__xludf.DUMMYFUNCTION("""COMPUTED_VALUE"""),"IDR")</f>
        <v>IDR</v>
      </c>
      <c r="I1624" s="6">
        <f>IFERROR(__xludf.DUMMYFUNCTION("""COMPUTED_VALUE"""),243000.0)</f>
        <v>243000</v>
      </c>
      <c r="J1624" s="6">
        <f>IFERROR(__xludf.DUMMYFUNCTION("""COMPUTED_VALUE"""),729000.0)</f>
        <v>729000</v>
      </c>
      <c r="K1624" s="57">
        <f>IFERROR(__xludf.DUMMYFUNCTION("""COMPUTED_VALUE"""),44547.0)</f>
        <v>44547</v>
      </c>
      <c r="L1624" s="6" t="str">
        <f>IFERROR(__xludf.DUMMYFUNCTION("""COMPUTED_VALUE"""),"FIP General")</f>
        <v>FIP General</v>
      </c>
      <c r="M1624" s="6" t="str">
        <f>IFERROR(__xludf.DUMMYFUNCTION("""COMPUTED_VALUE"""),"Irwan Sopian")</f>
        <v>Irwan Sopian</v>
      </c>
      <c r="N1624" s="6" t="str">
        <f>IFERROR(__xludf.DUMMYFUNCTION("""COMPUTED_VALUE"""),"FIP Engineering")</f>
        <v>FIP Engineering</v>
      </c>
      <c r="O1624" s="6" t="str">
        <f>IFERROR(__xludf.DUMMYFUNCTION("""COMPUTED_VALUE"""),"FIP-DOM-ENG-51504-0000000-INA-000000")</f>
        <v>FIP-DOM-ENG-51504-0000000-INA-000000</v>
      </c>
      <c r="P1624" s="6" t="str">
        <f>IFERROR(__xludf.DUMMYFUNCTION("""COMPUTED_VALUE"""),"PO Closed")</f>
        <v>PO Closed</v>
      </c>
      <c r="Q1624" s="6" t="str">
        <f>IFERROR(__xludf.DUMMYFUNCTION("""COMPUTED_VALUE"""),"GL2112001")</f>
        <v>GL2112001</v>
      </c>
      <c r="R1624" s="57">
        <f>IFERROR(__xludf.DUMMYFUNCTION("""COMPUTED_VALUE"""),44511.0)</f>
        <v>44511</v>
      </c>
      <c r="S1624" s="6" t="str">
        <f>IFERROR(__xludf.DUMMYFUNCTION("""COMPUTED_VALUE"""),"-")</f>
        <v>-</v>
      </c>
      <c r="T1624" s="57">
        <f>IFERROR(__xludf.DUMMYFUNCTION("""COMPUTED_VALUE"""),44547.0)</f>
        <v>44547</v>
      </c>
    </row>
    <row r="1625">
      <c r="A1625" s="6" t="str">
        <f>IFERROR(__xludf.DUMMYFUNCTION("""COMPUTED_VALUE"""),"211750441-2")</f>
        <v>211750441-2</v>
      </c>
      <c r="B1625" s="6" t="str">
        <f>IFERROR(__xludf.DUMMYFUNCTION("""COMPUTED_VALUE"""),"211750441 - Approved")</f>
        <v>211750441 - Approved</v>
      </c>
      <c r="C1625" s="6">
        <f>IFERROR(__xludf.DUMMYFUNCTION("""COMPUTED_VALUE"""),2.0)</f>
        <v>2</v>
      </c>
      <c r="D1625" s="6" t="str">
        <f>IFERROR(__xludf.DUMMYFUNCTION("""COMPUTED_VALUE"""),"P-52202-00")</f>
        <v>P-52202-00</v>
      </c>
      <c r="E1625" s="6" t="str">
        <f>IFERROR(__xludf.DUMMYFUNCTION("""COMPUTED_VALUE"""),"Lampu TL5 21W/865 Philips")</f>
        <v>Lampu TL5 21W/865 Philips</v>
      </c>
      <c r="F1625" s="6">
        <f>IFERROR(__xludf.DUMMYFUNCTION("""COMPUTED_VALUE"""),2.0)</f>
        <v>2</v>
      </c>
      <c r="G1625" s="6" t="str">
        <f>IFERROR(__xludf.DUMMYFUNCTION("""COMPUTED_VALUE"""),"Pieces")</f>
        <v>Pieces</v>
      </c>
      <c r="H1625" s="6" t="str">
        <f>IFERROR(__xludf.DUMMYFUNCTION("""COMPUTED_VALUE"""),"IDR")</f>
        <v>IDR</v>
      </c>
      <c r="I1625" s="6">
        <f>IFERROR(__xludf.DUMMYFUNCTION("""COMPUTED_VALUE"""),33000.0)</f>
        <v>33000</v>
      </c>
      <c r="J1625" s="6">
        <f>IFERROR(__xludf.DUMMYFUNCTION("""COMPUTED_VALUE"""),66000.0)</f>
        <v>66000</v>
      </c>
      <c r="K1625" s="57">
        <f>IFERROR(__xludf.DUMMYFUNCTION("""COMPUTED_VALUE"""),44547.0)</f>
        <v>44547</v>
      </c>
      <c r="L1625" s="6" t="str">
        <f>IFERROR(__xludf.DUMMYFUNCTION("""COMPUTED_VALUE"""),"FIP Engineering")</f>
        <v>FIP Engineering</v>
      </c>
      <c r="M1625" s="6" t="str">
        <f>IFERROR(__xludf.DUMMYFUNCTION("""COMPUTED_VALUE"""),"Irwan Sopian")</f>
        <v>Irwan Sopian</v>
      </c>
      <c r="N1625" s="6" t="str">
        <f>IFERROR(__xludf.DUMMYFUNCTION("""COMPUTED_VALUE"""),"FIP Engineering")</f>
        <v>FIP Engineering</v>
      </c>
      <c r="O1625" s="6" t="str">
        <f>IFERROR(__xludf.DUMMYFUNCTION("""COMPUTED_VALUE"""),"FIP-DOM-000-11304-OS00001-INA-000000")</f>
        <v>FIP-DOM-000-11304-OS00001-INA-000000</v>
      </c>
      <c r="P1625" s="6" t="str">
        <f>IFERROR(__xludf.DUMMYFUNCTION("""COMPUTED_VALUE"""),"PO Closed")</f>
        <v>PO Closed</v>
      </c>
      <c r="Q1625" s="6" t="str">
        <f>IFERROR(__xludf.DUMMYFUNCTION("""COMPUTED_VALUE"""),"GL2112001")</f>
        <v>GL2112001</v>
      </c>
      <c r="R1625" s="57">
        <f>IFERROR(__xludf.DUMMYFUNCTION("""COMPUTED_VALUE"""),44511.0)</f>
        <v>44511</v>
      </c>
      <c r="S1625" s="6" t="str">
        <f>IFERROR(__xludf.DUMMYFUNCTION("""COMPUTED_VALUE"""),"-")</f>
        <v>-</v>
      </c>
      <c r="T1625" s="57">
        <f>IFERROR(__xludf.DUMMYFUNCTION("""COMPUTED_VALUE"""),44547.0)</f>
        <v>44547</v>
      </c>
    </row>
    <row r="1626">
      <c r="A1626" s="6" t="str">
        <f>IFERROR(__xludf.DUMMYFUNCTION("""COMPUTED_VALUE"""),"211750441-3")</f>
        <v>211750441-3</v>
      </c>
      <c r="B1626" s="6" t="str">
        <f>IFERROR(__xludf.DUMMYFUNCTION("""COMPUTED_VALUE"""),"211750441 - Approved")</f>
        <v>211750441 - Approved</v>
      </c>
      <c r="C1626" s="6">
        <f>IFERROR(__xludf.DUMMYFUNCTION("""COMPUTED_VALUE"""),3.0)</f>
        <v>3</v>
      </c>
      <c r="D1626" s="6" t="str">
        <f>IFERROR(__xludf.DUMMYFUNCTION("""COMPUTED_VALUE"""),"P-17920-00")</f>
        <v>P-17920-00</v>
      </c>
      <c r="E1626" s="6" t="str">
        <f>IFERROR(__xludf.DUMMYFUNCTION("""COMPUTED_VALUE"""),"Rantai RS-35 Hitech")</f>
        <v>Rantai RS-35 Hitech</v>
      </c>
      <c r="F1626" s="6">
        <f>IFERROR(__xludf.DUMMYFUNCTION("""COMPUTED_VALUE"""),1.0)</f>
        <v>1</v>
      </c>
      <c r="G1626" s="6" t="str">
        <f>IFERROR(__xludf.DUMMYFUNCTION("""COMPUTED_VALUE"""),"Pieces")</f>
        <v>Pieces</v>
      </c>
      <c r="H1626" s="6" t="str">
        <f>IFERROR(__xludf.DUMMYFUNCTION("""COMPUTED_VALUE"""),"IDR")</f>
        <v>IDR</v>
      </c>
      <c r="I1626" s="6">
        <f>IFERROR(__xludf.DUMMYFUNCTION("""COMPUTED_VALUE"""),150000.0)</f>
        <v>150000</v>
      </c>
      <c r="J1626" s="6">
        <f>IFERROR(__xludf.DUMMYFUNCTION("""COMPUTED_VALUE"""),150000.0)</f>
        <v>150000</v>
      </c>
      <c r="K1626" s="57">
        <f>IFERROR(__xludf.DUMMYFUNCTION("""COMPUTED_VALUE"""),44547.0)</f>
        <v>44547</v>
      </c>
      <c r="L1626" s="6" t="str">
        <f>IFERROR(__xludf.DUMMYFUNCTION("""COMPUTED_VALUE"""),"FIP General")</f>
        <v>FIP General</v>
      </c>
      <c r="M1626" s="6" t="str">
        <f>IFERROR(__xludf.DUMMYFUNCTION("""COMPUTED_VALUE"""),"Irwan Sopian")</f>
        <v>Irwan Sopian</v>
      </c>
      <c r="N1626" s="6" t="str">
        <f>IFERROR(__xludf.DUMMYFUNCTION("""COMPUTED_VALUE"""),"FIP Engineering")</f>
        <v>FIP Engineering</v>
      </c>
      <c r="O1626" s="6" t="str">
        <f>IFERROR(__xludf.DUMMYFUNCTION("""COMPUTED_VALUE"""),"FIP-DOM-ENG-51504-0000000-INA-000000")</f>
        <v>FIP-DOM-ENG-51504-0000000-INA-000000</v>
      </c>
      <c r="P1626" s="6" t="str">
        <f>IFERROR(__xludf.DUMMYFUNCTION("""COMPUTED_VALUE"""),"PO Closed")</f>
        <v>PO Closed</v>
      </c>
      <c r="Q1626" s="6" t="str">
        <f>IFERROR(__xludf.DUMMYFUNCTION("""COMPUTED_VALUE"""),"GL2112002")</f>
        <v>GL2112002</v>
      </c>
      <c r="R1626" s="57">
        <f>IFERROR(__xludf.DUMMYFUNCTION("""COMPUTED_VALUE"""),44511.0)</f>
        <v>44511</v>
      </c>
      <c r="S1626" s="6" t="str">
        <f>IFERROR(__xludf.DUMMYFUNCTION("""COMPUTED_VALUE"""),"-")</f>
        <v>-</v>
      </c>
      <c r="T1626" s="57">
        <f>IFERROR(__xludf.DUMMYFUNCTION("""COMPUTED_VALUE"""),44541.0)</f>
        <v>44541</v>
      </c>
    </row>
    <row r="1627">
      <c r="A1627" s="6" t="str">
        <f>IFERROR(__xludf.DUMMYFUNCTION("""COMPUTED_VALUE"""),"211750441-4")</f>
        <v>211750441-4</v>
      </c>
      <c r="B1627" s="6" t="str">
        <f>IFERROR(__xludf.DUMMYFUNCTION("""COMPUTED_VALUE"""),"211750441 - Approved")</f>
        <v>211750441 - Approved</v>
      </c>
      <c r="C1627" s="6">
        <f>IFERROR(__xludf.DUMMYFUNCTION("""COMPUTED_VALUE"""),4.0)</f>
        <v>4</v>
      </c>
      <c r="D1627" s="6" t="str">
        <f>IFERROR(__xludf.DUMMYFUNCTION("""COMPUTED_VALUE"""),"P-13600-00")</f>
        <v>P-13600-00</v>
      </c>
      <c r="E1627" s="6" t="str">
        <f>IFERROR(__xludf.DUMMYFUNCTION("""COMPUTED_VALUE"""),"Besi Pejal SS 304 dia.8 mm")</f>
        <v>Besi Pejal SS 304 dia.8 mm</v>
      </c>
      <c r="F1627" s="6">
        <f>IFERROR(__xludf.DUMMYFUNCTION("""COMPUTED_VALUE"""),1.0)</f>
        <v>1</v>
      </c>
      <c r="G1627" s="6" t="str">
        <f>IFERROR(__xludf.DUMMYFUNCTION("""COMPUTED_VALUE"""),"Pieces")</f>
        <v>Pieces</v>
      </c>
      <c r="H1627" s="6" t="str">
        <f>IFERROR(__xludf.DUMMYFUNCTION("""COMPUTED_VALUE"""),"IDR")</f>
        <v>IDR</v>
      </c>
      <c r="I1627" s="6">
        <f>IFERROR(__xludf.DUMMYFUNCTION("""COMPUTED_VALUE"""),350000.0)</f>
        <v>350000</v>
      </c>
      <c r="J1627" s="6">
        <f>IFERROR(__xludf.DUMMYFUNCTION("""COMPUTED_VALUE"""),350000.0)</f>
        <v>350000</v>
      </c>
      <c r="K1627" s="57">
        <f>IFERROR(__xludf.DUMMYFUNCTION("""COMPUTED_VALUE"""),44547.0)</f>
        <v>44547</v>
      </c>
      <c r="L1627" s="6" t="str">
        <f>IFERROR(__xludf.DUMMYFUNCTION("""COMPUTED_VALUE"""),"FIP Engineering")</f>
        <v>FIP Engineering</v>
      </c>
      <c r="M1627" s="6" t="str">
        <f>IFERROR(__xludf.DUMMYFUNCTION("""COMPUTED_VALUE"""),"Irwan Sopian")</f>
        <v>Irwan Sopian</v>
      </c>
      <c r="N1627" s="6" t="str">
        <f>IFERROR(__xludf.DUMMYFUNCTION("""COMPUTED_VALUE"""),"FIP Engineering")</f>
        <v>FIP Engineering</v>
      </c>
      <c r="O1627" s="6" t="str">
        <f>IFERROR(__xludf.DUMMYFUNCTION("""COMPUTED_VALUE"""),"FIP-DOM-000-11304-OS00001-INA-000000")</f>
        <v>FIP-DOM-000-11304-OS00001-INA-000000</v>
      </c>
      <c r="P1627" s="6" t="str">
        <f>IFERROR(__xludf.DUMMYFUNCTION("""COMPUTED_VALUE"""),"PO Closed")</f>
        <v>PO Closed</v>
      </c>
      <c r="Q1627" s="6" t="str">
        <f>IFERROR(__xludf.DUMMYFUNCTION("""COMPUTED_VALUE"""),"GL2112002")</f>
        <v>GL2112002</v>
      </c>
      <c r="R1627" s="57">
        <f>IFERROR(__xludf.DUMMYFUNCTION("""COMPUTED_VALUE"""),44511.0)</f>
        <v>44511</v>
      </c>
      <c r="S1627" s="6" t="str">
        <f>IFERROR(__xludf.DUMMYFUNCTION("""COMPUTED_VALUE"""),"-")</f>
        <v>-</v>
      </c>
      <c r="T1627" s="57">
        <f>IFERROR(__xludf.DUMMYFUNCTION("""COMPUTED_VALUE"""),44547.0)</f>
        <v>44547</v>
      </c>
    </row>
    <row r="1628">
      <c r="A1628" s="6" t="str">
        <f>IFERROR(__xludf.DUMMYFUNCTION("""COMPUTED_VALUE"""),"211750441-5")</f>
        <v>211750441-5</v>
      </c>
      <c r="B1628" s="6" t="str">
        <f>IFERROR(__xludf.DUMMYFUNCTION("""COMPUTED_VALUE"""),"211750441 - Approved")</f>
        <v>211750441 - Approved</v>
      </c>
      <c r="C1628" s="6">
        <f>IFERROR(__xludf.DUMMYFUNCTION("""COMPUTED_VALUE"""),5.0)</f>
        <v>5</v>
      </c>
      <c r="D1628" s="6" t="str">
        <f>IFERROR(__xludf.DUMMYFUNCTION("""COMPUTED_VALUE"""),"Q-10130-00")</f>
        <v>Q-10130-00</v>
      </c>
      <c r="E1628" s="6" t="str">
        <f>IFERROR(__xludf.DUMMYFUNCTION("""COMPUTED_VALUE"""),"TOTO - Kran Wastafel Faucet TX 126 LE")</f>
        <v>TOTO - Kran Wastafel Faucet TX 126 LE</v>
      </c>
      <c r="F1628" s="6">
        <f>IFERROR(__xludf.DUMMYFUNCTION("""COMPUTED_VALUE"""),2.0)</f>
        <v>2</v>
      </c>
      <c r="G1628" s="6" t="str">
        <f>IFERROR(__xludf.DUMMYFUNCTION("""COMPUTED_VALUE"""),"Pieces")</f>
        <v>Pieces</v>
      </c>
      <c r="H1628" s="6" t="str">
        <f>IFERROR(__xludf.DUMMYFUNCTION("""COMPUTED_VALUE"""),"IDR")</f>
        <v>IDR</v>
      </c>
      <c r="I1628" s="6">
        <f>IFERROR(__xludf.DUMMYFUNCTION("""COMPUTED_VALUE"""),1435000.0)</f>
        <v>1435000</v>
      </c>
      <c r="J1628" s="6">
        <f>IFERROR(__xludf.DUMMYFUNCTION("""COMPUTED_VALUE"""),2870000.0)</f>
        <v>2870000</v>
      </c>
      <c r="K1628" s="57">
        <f>IFERROR(__xludf.DUMMYFUNCTION("""COMPUTED_VALUE"""),44547.0)</f>
        <v>44547</v>
      </c>
      <c r="L1628" s="6" t="str">
        <f>IFERROR(__xludf.DUMMYFUNCTION("""COMPUTED_VALUE"""),"FIP General")</f>
        <v>FIP General</v>
      </c>
      <c r="M1628" s="6" t="str">
        <f>IFERROR(__xludf.DUMMYFUNCTION("""COMPUTED_VALUE"""),"Irwan Sopian")</f>
        <v>Irwan Sopian</v>
      </c>
      <c r="N1628" s="6" t="str">
        <f>IFERROR(__xludf.DUMMYFUNCTION("""COMPUTED_VALUE"""),"FIP Engineering")</f>
        <v>FIP Engineering</v>
      </c>
      <c r="O1628" s="6" t="str">
        <f>IFERROR(__xludf.DUMMYFUNCTION("""COMPUTED_VALUE"""),"FIP-DOM-ENG-51502-0000000-INA-000000")</f>
        <v>FIP-DOM-ENG-51502-0000000-INA-000000</v>
      </c>
      <c r="P1628" s="6" t="str">
        <f>IFERROR(__xludf.DUMMYFUNCTION("""COMPUTED_VALUE"""),"PO Closed")</f>
        <v>PO Closed</v>
      </c>
      <c r="Q1628" s="6" t="str">
        <f>IFERROR(__xludf.DUMMYFUNCTION("""COMPUTED_VALUE"""),"GL2111057")</f>
        <v>GL2111057</v>
      </c>
      <c r="R1628" s="57">
        <f>IFERROR(__xludf.DUMMYFUNCTION("""COMPUTED_VALUE"""),44511.0)</f>
        <v>44511</v>
      </c>
      <c r="S1628" s="6" t="str">
        <f>IFERROR(__xludf.DUMMYFUNCTION("""COMPUTED_VALUE"""),"-")</f>
        <v>-</v>
      </c>
      <c r="T1628" s="57">
        <f>IFERROR(__xludf.DUMMYFUNCTION("""COMPUTED_VALUE"""),44536.0)</f>
        <v>44536</v>
      </c>
    </row>
    <row r="1629">
      <c r="A1629" s="6" t="str">
        <f>IFERROR(__xludf.DUMMYFUNCTION("""COMPUTED_VALUE"""),"211750440-1")</f>
        <v>211750440-1</v>
      </c>
      <c r="B1629" s="6" t="str">
        <f>IFERROR(__xludf.DUMMYFUNCTION("""COMPUTED_VALUE"""),"211750440 - Approved")</f>
        <v>211750440 - Approved</v>
      </c>
      <c r="C1629" s="6">
        <f>IFERROR(__xludf.DUMMYFUNCTION("""COMPUTED_VALUE"""),1.0)</f>
        <v>1</v>
      </c>
      <c r="D1629" s="6" t="str">
        <f>IFERROR(__xludf.DUMMYFUNCTION("""COMPUTED_VALUE"""),"S-65009-00")</f>
        <v>S-65009-00</v>
      </c>
      <c r="E1629" s="6" t="str">
        <f>IFERROR(__xludf.DUMMYFUNCTION("""COMPUTED_VALUE"""),"SCHINDLER ELEVATOR - Cross Flow Fan")</f>
        <v>SCHINDLER ELEVATOR - Cross Flow Fan</v>
      </c>
      <c r="F1629" s="6">
        <f>IFERROR(__xludf.DUMMYFUNCTION("""COMPUTED_VALUE"""),1.0)</f>
        <v>1</v>
      </c>
      <c r="G1629" s="6" t="str">
        <f>IFERROR(__xludf.DUMMYFUNCTION("""COMPUTED_VALUE"""),"Pieces")</f>
        <v>Pieces</v>
      </c>
      <c r="H1629" s="6" t="str">
        <f>IFERROR(__xludf.DUMMYFUNCTION("""COMPUTED_VALUE"""),"IDR")</f>
        <v>IDR</v>
      </c>
      <c r="I1629" s="6">
        <f>IFERROR(__xludf.DUMMYFUNCTION("""COMPUTED_VALUE"""),5850000.0)</f>
        <v>5850000</v>
      </c>
      <c r="J1629" s="6">
        <f>IFERROR(__xludf.DUMMYFUNCTION("""COMPUTED_VALUE"""),5850000.0)</f>
        <v>5850000</v>
      </c>
      <c r="K1629" s="57">
        <f>IFERROR(__xludf.DUMMYFUNCTION("""COMPUTED_VALUE"""),44554.0)</f>
        <v>44554</v>
      </c>
      <c r="L1629" s="6" t="str">
        <f>IFERROR(__xludf.DUMMYFUNCTION("""COMPUTED_VALUE"""),"FIP General")</f>
        <v>FIP General</v>
      </c>
      <c r="M1629" s="6" t="str">
        <f>IFERROR(__xludf.DUMMYFUNCTION("""COMPUTED_VALUE"""),"Irwan Sopian")</f>
        <v>Irwan Sopian</v>
      </c>
      <c r="N1629" s="6" t="str">
        <f>IFERROR(__xludf.DUMMYFUNCTION("""COMPUTED_VALUE"""),"FIP Engineering")</f>
        <v>FIP Engineering</v>
      </c>
      <c r="O1629" s="6" t="str">
        <f>IFERROR(__xludf.DUMMYFUNCTION("""COMPUTED_VALUE"""),"FIP-DOM-ENG-51504-0000000-INA-000000")</f>
        <v>FIP-DOM-ENG-51504-0000000-INA-000000</v>
      </c>
      <c r="P1629" s="6" t="str">
        <f>IFERROR(__xludf.DUMMYFUNCTION("""COMPUTED_VALUE"""),"PO Closed")</f>
        <v>PO Closed</v>
      </c>
      <c r="Q1629" s="6" t="str">
        <f>IFERROR(__xludf.DUMMYFUNCTION("""COMPUTED_VALUE"""),"GL2111039")</f>
        <v>GL2111039</v>
      </c>
      <c r="R1629" s="57">
        <f>IFERROR(__xludf.DUMMYFUNCTION("""COMPUTED_VALUE"""),44511.0)</f>
        <v>44511</v>
      </c>
      <c r="S1629" s="6" t="str">
        <f>IFERROR(__xludf.DUMMYFUNCTION("""COMPUTED_VALUE"""),"-")</f>
        <v>-</v>
      </c>
      <c r="T1629" s="57">
        <f>IFERROR(__xludf.DUMMYFUNCTION("""COMPUTED_VALUE"""),44554.0)</f>
        <v>44554</v>
      </c>
    </row>
    <row r="1630">
      <c r="A1630" s="6" t="str">
        <f>IFERROR(__xludf.DUMMYFUNCTION("""COMPUTED_VALUE"""),"211750440-2")</f>
        <v>211750440-2</v>
      </c>
      <c r="B1630" s="6" t="str">
        <f>IFERROR(__xludf.DUMMYFUNCTION("""COMPUTED_VALUE"""),"211750440 - Approved")</f>
        <v>211750440 - Approved</v>
      </c>
      <c r="C1630" s="6">
        <f>IFERROR(__xludf.DUMMYFUNCTION("""COMPUTED_VALUE"""),2.0)</f>
        <v>2</v>
      </c>
      <c r="D1630" s="6" t="str">
        <f>IFERROR(__xludf.DUMMYFUNCTION("""COMPUTED_VALUE"""),"P-17899-00")</f>
        <v>P-17899-00</v>
      </c>
      <c r="E1630" s="6" t="str">
        <f>IFERROR(__xludf.DUMMYFUNCTION("""COMPUTED_VALUE"""),"SCHINDLER ELEVATOR - Door Shoe")</f>
        <v>SCHINDLER ELEVATOR - Door Shoe</v>
      </c>
      <c r="F1630" s="6">
        <f>IFERROR(__xludf.DUMMYFUNCTION("""COMPUTED_VALUE"""),4.0)</f>
        <v>4</v>
      </c>
      <c r="G1630" s="6" t="str">
        <f>IFERROR(__xludf.DUMMYFUNCTION("""COMPUTED_VALUE"""),"Pieces")</f>
        <v>Pieces</v>
      </c>
      <c r="H1630" s="6" t="str">
        <f>IFERROR(__xludf.DUMMYFUNCTION("""COMPUTED_VALUE"""),"IDR")</f>
        <v>IDR</v>
      </c>
      <c r="I1630" s="6">
        <f>IFERROR(__xludf.DUMMYFUNCTION("""COMPUTED_VALUE"""),317000.0)</f>
        <v>317000</v>
      </c>
      <c r="J1630" s="6">
        <f>IFERROR(__xludf.DUMMYFUNCTION("""COMPUTED_VALUE"""),1268000.0)</f>
        <v>1268000</v>
      </c>
      <c r="K1630" s="57">
        <f>IFERROR(__xludf.DUMMYFUNCTION("""COMPUTED_VALUE"""),44554.0)</f>
        <v>44554</v>
      </c>
      <c r="L1630" s="6" t="str">
        <f>IFERROR(__xludf.DUMMYFUNCTION("""COMPUTED_VALUE"""),"FIP General")</f>
        <v>FIP General</v>
      </c>
      <c r="M1630" s="6" t="str">
        <f>IFERROR(__xludf.DUMMYFUNCTION("""COMPUTED_VALUE"""),"Irwan Sopian")</f>
        <v>Irwan Sopian</v>
      </c>
      <c r="N1630" s="6" t="str">
        <f>IFERROR(__xludf.DUMMYFUNCTION("""COMPUTED_VALUE"""),"FIP Engineering")</f>
        <v>FIP Engineering</v>
      </c>
      <c r="O1630" s="6" t="str">
        <f>IFERROR(__xludf.DUMMYFUNCTION("""COMPUTED_VALUE"""),"FIP-DOM-ENG-51504-0000000-INA-000000")</f>
        <v>FIP-DOM-ENG-51504-0000000-INA-000000</v>
      </c>
      <c r="P1630" s="6" t="str">
        <f>IFERROR(__xludf.DUMMYFUNCTION("""COMPUTED_VALUE"""),"PO Closed")</f>
        <v>PO Closed</v>
      </c>
      <c r="Q1630" s="6" t="str">
        <f>IFERROR(__xludf.DUMMYFUNCTION("""COMPUTED_VALUE"""),"GL2111039")</f>
        <v>GL2111039</v>
      </c>
      <c r="R1630" s="57">
        <f>IFERROR(__xludf.DUMMYFUNCTION("""COMPUTED_VALUE"""),44511.0)</f>
        <v>44511</v>
      </c>
      <c r="S1630" s="6" t="str">
        <f>IFERROR(__xludf.DUMMYFUNCTION("""COMPUTED_VALUE"""),"-")</f>
        <v>-</v>
      </c>
      <c r="T1630" s="57">
        <f>IFERROR(__xludf.DUMMYFUNCTION("""COMPUTED_VALUE"""),44554.0)</f>
        <v>44554</v>
      </c>
    </row>
    <row r="1631">
      <c r="A1631" s="6" t="str">
        <f>IFERROR(__xludf.DUMMYFUNCTION("""COMPUTED_VALUE"""),"211750441-6")</f>
        <v>211750441-6</v>
      </c>
      <c r="B1631" s="6" t="str">
        <f>IFERROR(__xludf.DUMMYFUNCTION("""COMPUTED_VALUE"""),"211750441 - Approved")</f>
        <v>211750441 - Approved</v>
      </c>
      <c r="C1631" s="6">
        <f>IFERROR(__xludf.DUMMYFUNCTION("""COMPUTED_VALUE"""),6.0)</f>
        <v>6</v>
      </c>
      <c r="D1631" s="6" t="str">
        <f>IFERROR(__xludf.DUMMYFUNCTION("""COMPUTED_VALUE"""),"P-17896-00")</f>
        <v>P-17896-00</v>
      </c>
      <c r="E1631" s="6" t="str">
        <f>IFERROR(__xludf.DUMMYFUNCTION("""COMPUTED_VALUE"""),"Hole saw u/ stainless stell dia 37 mm")</f>
        <v>Hole saw u/ stainless stell dia 37 mm</v>
      </c>
      <c r="F1631" s="6">
        <f>IFERROR(__xludf.DUMMYFUNCTION("""COMPUTED_VALUE"""),1.0)</f>
        <v>1</v>
      </c>
      <c r="G1631" s="6" t="str">
        <f>IFERROR(__xludf.DUMMYFUNCTION("""COMPUTED_VALUE"""),"Pieces")</f>
        <v>Pieces</v>
      </c>
      <c r="H1631" s="6" t="str">
        <f>IFERROR(__xludf.DUMMYFUNCTION("""COMPUTED_VALUE"""),"IDR")</f>
        <v>IDR</v>
      </c>
      <c r="I1631" s="6">
        <f>IFERROR(__xludf.DUMMYFUNCTION("""COMPUTED_VALUE"""),135000.0)</f>
        <v>135000</v>
      </c>
      <c r="J1631" s="6">
        <f>IFERROR(__xludf.DUMMYFUNCTION("""COMPUTED_VALUE"""),135000.0)</f>
        <v>135000</v>
      </c>
      <c r="K1631" s="57">
        <f>IFERROR(__xludf.DUMMYFUNCTION("""COMPUTED_VALUE"""),44547.0)</f>
        <v>44547</v>
      </c>
      <c r="L1631" s="6" t="str">
        <f>IFERROR(__xludf.DUMMYFUNCTION("""COMPUTED_VALUE"""),"FIP Engineering")</f>
        <v>FIP Engineering</v>
      </c>
      <c r="M1631" s="6" t="str">
        <f>IFERROR(__xludf.DUMMYFUNCTION("""COMPUTED_VALUE"""),"Irwan Sopian")</f>
        <v>Irwan Sopian</v>
      </c>
      <c r="N1631" s="6" t="str">
        <f>IFERROR(__xludf.DUMMYFUNCTION("""COMPUTED_VALUE"""),"FIP Engineering")</f>
        <v>FIP Engineering</v>
      </c>
      <c r="O1631" s="6" t="str">
        <f>IFERROR(__xludf.DUMMYFUNCTION("""COMPUTED_VALUE"""),"FIP-DOM-000-11304-OS00001-INA-000000")</f>
        <v>FIP-DOM-000-11304-OS00001-INA-000000</v>
      </c>
      <c r="P1631" s="6" t="str">
        <f>IFERROR(__xludf.DUMMYFUNCTION("""COMPUTED_VALUE"""),"PO Closed")</f>
        <v>PO Closed</v>
      </c>
      <c r="Q1631" s="6" t="str">
        <f>IFERROR(__xludf.DUMMYFUNCTION("""COMPUTED_VALUE"""),"GL2112001")</f>
        <v>GL2112001</v>
      </c>
      <c r="R1631" s="57">
        <f>IFERROR(__xludf.DUMMYFUNCTION("""COMPUTED_VALUE"""),44512.0)</f>
        <v>44512</v>
      </c>
      <c r="S1631" s="6" t="str">
        <f>IFERROR(__xludf.DUMMYFUNCTION("""COMPUTED_VALUE"""),"-")</f>
        <v>-</v>
      </c>
      <c r="T1631" s="57">
        <f>IFERROR(__xludf.DUMMYFUNCTION("""COMPUTED_VALUE"""),44547.0)</f>
        <v>44547</v>
      </c>
    </row>
    <row r="1632">
      <c r="A1632" s="6" t="str">
        <f>IFERROR(__xludf.DUMMYFUNCTION("""COMPUTED_VALUE"""),"211750441-7")</f>
        <v>211750441-7</v>
      </c>
      <c r="B1632" s="6" t="str">
        <f>IFERROR(__xludf.DUMMYFUNCTION("""COMPUTED_VALUE"""),"211750441 - Approved")</f>
        <v>211750441 - Approved</v>
      </c>
      <c r="C1632" s="6">
        <f>IFERROR(__xludf.DUMMYFUNCTION("""COMPUTED_VALUE"""),7.0)</f>
        <v>7</v>
      </c>
      <c r="D1632" s="6" t="str">
        <f>IFERROR(__xludf.DUMMYFUNCTION("""COMPUTED_VALUE"""),"Q-10752-00")</f>
        <v>Q-10752-00</v>
      </c>
      <c r="E1632" s="6" t="str">
        <f>IFERROR(__xludf.DUMMYFUNCTION("""COMPUTED_VALUE"""),"Cat Duragloss Silver Metalic 9115 Propan")</f>
        <v>Cat Duragloss Silver Metalic 9115 Propan</v>
      </c>
      <c r="F1632" s="6">
        <f>IFERROR(__xludf.DUMMYFUNCTION("""COMPUTED_VALUE"""),2.0)</f>
        <v>2</v>
      </c>
      <c r="G1632" s="6" t="str">
        <f>IFERROR(__xludf.DUMMYFUNCTION("""COMPUTED_VALUE"""),"Can")</f>
        <v>Can</v>
      </c>
      <c r="H1632" s="6" t="str">
        <f>IFERROR(__xludf.DUMMYFUNCTION("""COMPUTED_VALUE"""),"IDR")</f>
        <v>IDR</v>
      </c>
      <c r="I1632" s="6">
        <f>IFERROR(__xludf.DUMMYFUNCTION("""COMPUTED_VALUE"""),115000.0)</f>
        <v>115000</v>
      </c>
      <c r="J1632" s="6">
        <f>IFERROR(__xludf.DUMMYFUNCTION("""COMPUTED_VALUE"""),230000.0)</f>
        <v>230000</v>
      </c>
      <c r="K1632" s="57">
        <f>IFERROR(__xludf.DUMMYFUNCTION("""COMPUTED_VALUE"""),44547.0)</f>
        <v>44547</v>
      </c>
      <c r="L1632" s="6" t="str">
        <f>IFERROR(__xludf.DUMMYFUNCTION("""COMPUTED_VALUE"""),"FIP Engineering")</f>
        <v>FIP Engineering</v>
      </c>
      <c r="M1632" s="6" t="str">
        <f>IFERROR(__xludf.DUMMYFUNCTION("""COMPUTED_VALUE"""),"Irwan Sopian")</f>
        <v>Irwan Sopian</v>
      </c>
      <c r="N1632" s="6" t="str">
        <f>IFERROR(__xludf.DUMMYFUNCTION("""COMPUTED_VALUE"""),"FIP Engineering")</f>
        <v>FIP Engineering</v>
      </c>
      <c r="O1632" s="6" t="str">
        <f>IFERROR(__xludf.DUMMYFUNCTION("""COMPUTED_VALUE"""),"FIP-DOM-000-11304-OS00001-INA-000000")</f>
        <v>FIP-DOM-000-11304-OS00001-INA-000000</v>
      </c>
      <c r="P1632" s="6" t="str">
        <f>IFERROR(__xludf.DUMMYFUNCTION("""COMPUTED_VALUE"""),"PO Closed")</f>
        <v>PO Closed</v>
      </c>
      <c r="Q1632" s="6" t="str">
        <f>IFERROR(__xludf.DUMMYFUNCTION("""COMPUTED_VALUE"""),"GL2111057")</f>
        <v>GL2111057</v>
      </c>
      <c r="R1632" s="57">
        <f>IFERROR(__xludf.DUMMYFUNCTION("""COMPUTED_VALUE"""),44512.0)</f>
        <v>44512</v>
      </c>
      <c r="S1632" s="6" t="str">
        <f>IFERROR(__xludf.DUMMYFUNCTION("""COMPUTED_VALUE"""),"-")</f>
        <v>-</v>
      </c>
      <c r="T1632" s="57">
        <f>IFERROR(__xludf.DUMMYFUNCTION("""COMPUTED_VALUE"""),44536.0)</f>
        <v>44536</v>
      </c>
    </row>
    <row r="1633">
      <c r="A1633" s="6" t="str">
        <f>IFERROR(__xludf.DUMMYFUNCTION("""COMPUTED_VALUE"""),"211750441-8")</f>
        <v>211750441-8</v>
      </c>
      <c r="B1633" s="6" t="str">
        <f>IFERROR(__xludf.DUMMYFUNCTION("""COMPUTED_VALUE"""),"211750441 - Approved")</f>
        <v>211750441 - Approved</v>
      </c>
      <c r="C1633" s="6">
        <f>IFERROR(__xludf.DUMMYFUNCTION("""COMPUTED_VALUE"""),8.0)</f>
        <v>8</v>
      </c>
      <c r="D1633" s="6" t="str">
        <f>IFERROR(__xludf.DUMMYFUNCTION("""COMPUTED_VALUE"""),"P-11003-00")</f>
        <v>P-11003-00</v>
      </c>
      <c r="E1633" s="6" t="str">
        <f>IFERROR(__xludf.DUMMYFUNCTION("""COMPUTED_VALUE"""),"Mur SS 8 mm")</f>
        <v>Mur SS 8 mm</v>
      </c>
      <c r="F1633" s="6">
        <f>IFERROR(__xludf.DUMMYFUNCTION("""COMPUTED_VALUE"""),10.0)</f>
        <v>10</v>
      </c>
      <c r="G1633" s="6" t="str">
        <f>IFERROR(__xludf.DUMMYFUNCTION("""COMPUTED_VALUE"""),"Pieces")</f>
        <v>Pieces</v>
      </c>
      <c r="H1633" s="6" t="str">
        <f>IFERROR(__xludf.DUMMYFUNCTION("""COMPUTED_VALUE"""),"IDR")</f>
        <v>IDR</v>
      </c>
      <c r="I1633" s="6">
        <f>IFERROR(__xludf.DUMMYFUNCTION("""COMPUTED_VALUE"""),1500.0)</f>
        <v>1500</v>
      </c>
      <c r="J1633" s="6">
        <f>IFERROR(__xludf.DUMMYFUNCTION("""COMPUTED_VALUE"""),15000.0)</f>
        <v>15000</v>
      </c>
      <c r="K1633" s="57">
        <f>IFERROR(__xludf.DUMMYFUNCTION("""COMPUTED_VALUE"""),44547.0)</f>
        <v>44547</v>
      </c>
      <c r="L1633" s="6" t="str">
        <f>IFERROR(__xludf.DUMMYFUNCTION("""COMPUTED_VALUE"""),"FIP Engineering")</f>
        <v>FIP Engineering</v>
      </c>
      <c r="M1633" s="6" t="str">
        <f>IFERROR(__xludf.DUMMYFUNCTION("""COMPUTED_VALUE"""),"Irwan Sopian")</f>
        <v>Irwan Sopian</v>
      </c>
      <c r="N1633" s="6" t="str">
        <f>IFERROR(__xludf.DUMMYFUNCTION("""COMPUTED_VALUE"""),"FIP Engineering")</f>
        <v>FIP Engineering</v>
      </c>
      <c r="O1633" s="6" t="str">
        <f>IFERROR(__xludf.DUMMYFUNCTION("""COMPUTED_VALUE"""),"FIP-DOM-000-11304-OS00001-INA-000000")</f>
        <v>FIP-DOM-000-11304-OS00001-INA-000000</v>
      </c>
      <c r="P1633" s="6" t="str">
        <f>IFERROR(__xludf.DUMMYFUNCTION("""COMPUTED_VALUE"""),"PO Closed")</f>
        <v>PO Closed</v>
      </c>
      <c r="Q1633" s="6" t="str">
        <f>IFERROR(__xludf.DUMMYFUNCTION("""COMPUTED_VALUE"""),"GL2112001")</f>
        <v>GL2112001</v>
      </c>
      <c r="R1633" s="57">
        <f>IFERROR(__xludf.DUMMYFUNCTION("""COMPUTED_VALUE"""),44512.0)</f>
        <v>44512</v>
      </c>
      <c r="S1633" s="6" t="str">
        <f>IFERROR(__xludf.DUMMYFUNCTION("""COMPUTED_VALUE"""),"-")</f>
        <v>-</v>
      </c>
      <c r="T1633" s="57">
        <f>IFERROR(__xludf.DUMMYFUNCTION("""COMPUTED_VALUE"""),44547.0)</f>
        <v>44547</v>
      </c>
    </row>
    <row r="1634">
      <c r="A1634" s="6" t="str">
        <f>IFERROR(__xludf.DUMMYFUNCTION("""COMPUTED_VALUE"""),"211750450-1")</f>
        <v>211750450-1</v>
      </c>
      <c r="B1634" s="6" t="str">
        <f>IFERROR(__xludf.DUMMYFUNCTION("""COMPUTED_VALUE"""),"211750450 - Approved")</f>
        <v>211750450 - Approved</v>
      </c>
      <c r="C1634" s="6">
        <f>IFERROR(__xludf.DUMMYFUNCTION("""COMPUTED_VALUE"""),1.0)</f>
        <v>1</v>
      </c>
      <c r="D1634" s="6" t="str">
        <f>IFERROR(__xludf.DUMMYFUNCTION("""COMPUTED_VALUE"""),"P-52229-00")</f>
        <v>P-52229-00</v>
      </c>
      <c r="E1634" s="6" t="str">
        <f>IFERROR(__xludf.DUMMYFUNCTION("""COMPUTED_VALUE"""),"Flow Sensor S401 Insertion Type Flow Sensor,220 mm; SUTO; ;")</f>
        <v>Flow Sensor S401 Insertion Type Flow Sensor,220 mm; SUTO; ;</v>
      </c>
      <c r="F1634" s="6">
        <f>IFERROR(__xludf.DUMMYFUNCTION("""COMPUTED_VALUE"""),1.0)</f>
        <v>1</v>
      </c>
      <c r="G1634" s="6" t="str">
        <f>IFERROR(__xludf.DUMMYFUNCTION("""COMPUTED_VALUE"""),"Unit")</f>
        <v>Unit</v>
      </c>
      <c r="H1634" s="6" t="str">
        <f>IFERROR(__xludf.DUMMYFUNCTION("""COMPUTED_VALUE"""),"IDR")</f>
        <v>IDR</v>
      </c>
      <c r="I1634" s="6">
        <f>IFERROR(__xludf.DUMMYFUNCTION("""COMPUTED_VALUE"""),4.9392E7)</f>
        <v>49392000</v>
      </c>
      <c r="J1634" s="6">
        <f>IFERROR(__xludf.DUMMYFUNCTION("""COMPUTED_VALUE"""),4.9392E7)</f>
        <v>49392000</v>
      </c>
      <c r="K1634" s="57">
        <f>IFERROR(__xludf.DUMMYFUNCTION("""COMPUTED_VALUE"""),44561.0)</f>
        <v>44561</v>
      </c>
      <c r="L1634" s="6" t="str">
        <f>IFERROR(__xludf.DUMMYFUNCTION("""COMPUTED_VALUE"""),"FIP Engineering")</f>
        <v>FIP Engineering</v>
      </c>
      <c r="M1634" s="6" t="str">
        <f>IFERROR(__xludf.DUMMYFUNCTION("""COMPUTED_VALUE"""),"Irwan Sopian")</f>
        <v>Irwan Sopian</v>
      </c>
      <c r="N1634" s="6" t="str">
        <f>IFERROR(__xludf.DUMMYFUNCTION("""COMPUTED_VALUE"""),"FIP Engineering")</f>
        <v>FIP Engineering</v>
      </c>
      <c r="O1634" s="6" t="str">
        <f>IFERROR(__xludf.DUMMYFUNCTION("""COMPUTED_VALUE"""),"FIP-DOM-000-11304-OS00001-INA-000000")</f>
        <v>FIP-DOM-000-11304-OS00001-INA-000000</v>
      </c>
      <c r="P1634" s="6" t="str">
        <f>IFERROR(__xludf.DUMMYFUNCTION("""COMPUTED_VALUE"""),"PO Closed")</f>
        <v>PO Closed</v>
      </c>
      <c r="Q1634" s="6" t="str">
        <f>IFERROR(__xludf.DUMMYFUNCTION("""COMPUTED_VALUE"""),"GL2112006")</f>
        <v>GL2112006</v>
      </c>
      <c r="R1634" s="57">
        <f>IFERROR(__xludf.DUMMYFUNCTION("""COMPUTED_VALUE"""),44519.0)</f>
        <v>44519</v>
      </c>
      <c r="S1634" s="6" t="str">
        <f>IFERROR(__xludf.DUMMYFUNCTION("""COMPUTED_VALUE"""),"-")</f>
        <v>-</v>
      </c>
      <c r="T1634" s="57">
        <f>IFERROR(__xludf.DUMMYFUNCTION("""COMPUTED_VALUE"""),44561.0)</f>
        <v>44561</v>
      </c>
    </row>
    <row r="1635">
      <c r="A1635" s="6" t="str">
        <f>IFERROR(__xludf.DUMMYFUNCTION("""COMPUTED_VALUE"""),"211750449-1")</f>
        <v>211750449-1</v>
      </c>
      <c r="B1635" s="6" t="str">
        <f>IFERROR(__xludf.DUMMYFUNCTION("""COMPUTED_VALUE"""),"211750449 - Approved")</f>
        <v>211750449 - Approved</v>
      </c>
      <c r="C1635" s="6">
        <f>IFERROR(__xludf.DUMMYFUNCTION("""COMPUTED_VALUE"""),1.0)</f>
        <v>1</v>
      </c>
      <c r="D1635" s="6" t="str">
        <f>IFERROR(__xludf.DUMMYFUNCTION("""COMPUTED_VALUE"""),"S-60050-00")</f>
        <v>S-60050-00</v>
      </c>
      <c r="E1635" s="6" t="str">
        <f>IFERROR(__xludf.DUMMYFUNCTION("""COMPUTED_VALUE"""),"Untuk Pekerjaan Poleshing Jacket Tank Mixing 200 Ltr")</f>
        <v>Untuk Pekerjaan Poleshing Jacket Tank Mixing 200 Ltr</v>
      </c>
      <c r="F1635" s="6">
        <f>IFERROR(__xludf.DUMMYFUNCTION("""COMPUTED_VALUE"""),1.0)</f>
        <v>1</v>
      </c>
      <c r="G1635" s="6" t="str">
        <f>IFERROR(__xludf.DUMMYFUNCTION("""COMPUTED_VALUE"""),"Pieces")</f>
        <v>Pieces</v>
      </c>
      <c r="H1635" s="6" t="str">
        <f>IFERROR(__xludf.DUMMYFUNCTION("""COMPUTED_VALUE"""),"IDR")</f>
        <v>IDR</v>
      </c>
      <c r="I1635" s="6">
        <f>IFERROR(__xludf.DUMMYFUNCTION("""COMPUTED_VALUE"""),9000000.0)</f>
        <v>9000000</v>
      </c>
      <c r="J1635" s="6">
        <f>IFERROR(__xludf.DUMMYFUNCTION("""COMPUTED_VALUE"""),9000000.0)</f>
        <v>9000000</v>
      </c>
      <c r="K1635" s="57">
        <f>IFERROR(__xludf.DUMMYFUNCTION("""COMPUTED_VALUE"""),44554.0)</f>
        <v>44554</v>
      </c>
      <c r="L1635" s="6" t="str">
        <f>IFERROR(__xludf.DUMMYFUNCTION("""COMPUTED_VALUE"""),"FIP General")</f>
        <v>FIP General</v>
      </c>
      <c r="M1635" s="6" t="str">
        <f>IFERROR(__xludf.DUMMYFUNCTION("""COMPUTED_VALUE"""),"Irwan Sopian")</f>
        <v>Irwan Sopian</v>
      </c>
      <c r="N1635" s="6" t="str">
        <f>IFERROR(__xludf.DUMMYFUNCTION("""COMPUTED_VALUE"""),"FIP Engineering")</f>
        <v>FIP Engineering</v>
      </c>
      <c r="O1635" s="6" t="str">
        <f>IFERROR(__xludf.DUMMYFUNCTION("""COMPUTED_VALUE"""),"FIP-DOM-ENG-51504-0000000-INA-000000")</f>
        <v>FIP-DOM-ENG-51504-0000000-INA-000000</v>
      </c>
      <c r="P1635" s="6" t="str">
        <f>IFERROR(__xludf.DUMMYFUNCTION("""COMPUTED_VALUE"""),"PO Closed")</f>
        <v>PO Closed</v>
      </c>
      <c r="Q1635" s="6" t="str">
        <f>IFERROR(__xludf.DUMMYFUNCTION("""COMPUTED_VALUE"""),"GL2112007")</f>
        <v>GL2112007</v>
      </c>
      <c r="R1635" s="57">
        <f>IFERROR(__xludf.DUMMYFUNCTION("""COMPUTED_VALUE"""),44519.0)</f>
        <v>44519</v>
      </c>
      <c r="S1635" s="6" t="str">
        <f>IFERROR(__xludf.DUMMYFUNCTION("""COMPUTED_VALUE"""),"-")</f>
        <v>-</v>
      </c>
      <c r="T1635" s="57">
        <f>IFERROR(__xludf.DUMMYFUNCTION("""COMPUTED_VALUE"""),44554.0)</f>
        <v>44554</v>
      </c>
    </row>
    <row r="1636">
      <c r="A1636" s="6" t="str">
        <f>IFERROR(__xludf.DUMMYFUNCTION("""COMPUTED_VALUE"""),"211750448-1")</f>
        <v>211750448-1</v>
      </c>
      <c r="B1636" s="6" t="str">
        <f>IFERROR(__xludf.DUMMYFUNCTION("""COMPUTED_VALUE"""),"211750448 - Approved")</f>
        <v>211750448 - Approved</v>
      </c>
      <c r="C1636" s="6">
        <f>IFERROR(__xludf.DUMMYFUNCTION("""COMPUTED_VALUE"""),1.0)</f>
        <v>1</v>
      </c>
      <c r="D1636" s="6" t="str">
        <f>IFERROR(__xludf.DUMMYFUNCTION("""COMPUTED_VALUE"""),"S-60002-00")</f>
        <v>S-60002-00</v>
      </c>
      <c r="E1636" s="6" t="str">
        <f>IFERROR(__xludf.DUMMYFUNCTION("""COMPUTED_VALUE"""),"Untuk Pekerjaan Pemindahan Flow Meter dari Pipa Compressor ke Pipa Steam")</f>
        <v>Untuk Pekerjaan Pemindahan Flow Meter dari Pipa Compressor ke Pipa Steam</v>
      </c>
      <c r="F1636" s="6">
        <f>IFERROR(__xludf.DUMMYFUNCTION("""COMPUTED_VALUE"""),1.0)</f>
        <v>1</v>
      </c>
      <c r="G1636" s="6" t="str">
        <f>IFERROR(__xludf.DUMMYFUNCTION("""COMPUTED_VALUE"""),"Lot")</f>
        <v>Lot</v>
      </c>
      <c r="H1636" s="6" t="str">
        <f>IFERROR(__xludf.DUMMYFUNCTION("""COMPUTED_VALUE"""),"IDR")</f>
        <v>IDR</v>
      </c>
      <c r="I1636" s="6">
        <f>IFERROR(__xludf.DUMMYFUNCTION("""COMPUTED_VALUE"""),9000000.0)</f>
        <v>9000000</v>
      </c>
      <c r="J1636" s="6">
        <f>IFERROR(__xludf.DUMMYFUNCTION("""COMPUTED_VALUE"""),9000000.0)</f>
        <v>9000000</v>
      </c>
      <c r="K1636" s="57">
        <f>IFERROR(__xludf.DUMMYFUNCTION("""COMPUTED_VALUE"""),44554.0)</f>
        <v>44554</v>
      </c>
      <c r="L1636" s="6" t="str">
        <f>IFERROR(__xludf.DUMMYFUNCTION("""COMPUTED_VALUE"""),"FIP General")</f>
        <v>FIP General</v>
      </c>
      <c r="M1636" s="6" t="str">
        <f>IFERROR(__xludf.DUMMYFUNCTION("""COMPUTED_VALUE"""),"Irwan Sopian")</f>
        <v>Irwan Sopian</v>
      </c>
      <c r="N1636" s="6" t="str">
        <f>IFERROR(__xludf.DUMMYFUNCTION("""COMPUTED_VALUE"""),"FIP Engineering")</f>
        <v>FIP Engineering</v>
      </c>
      <c r="O1636" s="6" t="str">
        <f>IFERROR(__xludf.DUMMYFUNCTION("""COMPUTED_VALUE"""),"FIP-DOM-ENG-51508-0000000-INA-000000")</f>
        <v>FIP-DOM-ENG-51508-0000000-INA-000000</v>
      </c>
      <c r="P1636" s="6" t="str">
        <f>IFERROR(__xludf.DUMMYFUNCTION("""COMPUTED_VALUE"""),"PO Closed")</f>
        <v>PO Closed</v>
      </c>
      <c r="Q1636" s="6" t="str">
        <f>IFERROR(__xludf.DUMMYFUNCTION("""COMPUTED_VALUE"""),"GL2112008")</f>
        <v>GL2112008</v>
      </c>
      <c r="R1636" s="57">
        <f>IFERROR(__xludf.DUMMYFUNCTION("""COMPUTED_VALUE"""),44519.0)</f>
        <v>44519</v>
      </c>
      <c r="S1636" s="6" t="str">
        <f>IFERROR(__xludf.DUMMYFUNCTION("""COMPUTED_VALUE"""),"-")</f>
        <v>-</v>
      </c>
      <c r="T1636" s="57">
        <f>IFERROR(__xludf.DUMMYFUNCTION("""COMPUTED_VALUE"""),44554.0)</f>
        <v>44554</v>
      </c>
    </row>
    <row r="1637">
      <c r="A1637" s="6" t="str">
        <f>IFERROR(__xludf.DUMMYFUNCTION("""COMPUTED_VALUE"""),"211750453-1")</f>
        <v>211750453-1</v>
      </c>
      <c r="B1637" s="6" t="str">
        <f>IFERROR(__xludf.DUMMYFUNCTION("""COMPUTED_VALUE"""),"211750453 - Approved")</f>
        <v>211750453 - Approved</v>
      </c>
      <c r="C1637" s="6">
        <f>IFERROR(__xludf.DUMMYFUNCTION("""COMPUTED_VALUE"""),1.0)</f>
        <v>1</v>
      </c>
      <c r="D1637" s="6" t="str">
        <f>IFERROR(__xludf.DUMMYFUNCTION("""COMPUTED_VALUE"""),"R-62024-00")</f>
        <v>R-62024-00</v>
      </c>
      <c r="E1637" s="6" t="str">
        <f>IFERROR(__xludf.DUMMYFUNCTION("""COMPUTED_VALUE"""),"Desktop Switch 8 Ports TP-LINK TL-SG1008MP")</f>
        <v>Desktop Switch 8 Ports TP-LINK TL-SG1008MP</v>
      </c>
      <c r="F1637" s="6">
        <f>IFERROR(__xludf.DUMMYFUNCTION("""COMPUTED_VALUE"""),2.0)</f>
        <v>2</v>
      </c>
      <c r="G1637" s="6" t="str">
        <f>IFERROR(__xludf.DUMMYFUNCTION("""COMPUTED_VALUE"""),"Unit")</f>
        <v>Unit</v>
      </c>
      <c r="H1637" s="6" t="str">
        <f>IFERROR(__xludf.DUMMYFUNCTION("""COMPUTED_VALUE"""),"IDR")</f>
        <v>IDR</v>
      </c>
      <c r="I1637" s="6">
        <f>IFERROR(__xludf.DUMMYFUNCTION("""COMPUTED_VALUE"""),1546350.0)</f>
        <v>1546350</v>
      </c>
      <c r="J1637" s="6">
        <f>IFERROR(__xludf.DUMMYFUNCTION("""COMPUTED_VALUE"""),3092700.0)</f>
        <v>3092700</v>
      </c>
      <c r="K1637" s="57">
        <f>IFERROR(__xludf.DUMMYFUNCTION("""COMPUTED_VALUE"""),44544.0)</f>
        <v>44544</v>
      </c>
      <c r="L1637" s="6" t="str">
        <f>IFERROR(__xludf.DUMMYFUNCTION("""COMPUTED_VALUE"""),"FIP General")</f>
        <v>FIP General</v>
      </c>
      <c r="M1637" s="6" t="str">
        <f>IFERROR(__xludf.DUMMYFUNCTION("""COMPUTED_VALUE"""),"Joko Nugroho")</f>
        <v>Joko Nugroho</v>
      </c>
      <c r="N1637" s="6" t="str">
        <f>IFERROR(__xludf.DUMMYFUNCTION("""COMPUTED_VALUE"""),"FIP Engineering")</f>
        <v>FIP Engineering</v>
      </c>
      <c r="O1637" s="6" t="str">
        <f>IFERROR(__xludf.DUMMYFUNCTION("""COMPUTED_VALUE"""),"FIP-DOM-ENG-13408-ITNB200-INA-000000")</f>
        <v>FIP-DOM-ENG-13408-ITNB200-INA-000000</v>
      </c>
      <c r="P1637" s="6" t="str">
        <f>IFERROR(__xludf.DUMMYFUNCTION("""COMPUTED_VALUE"""),"PO Closed")</f>
        <v>PO Closed</v>
      </c>
      <c r="Q1637" s="6" t="str">
        <f>IFERROR(__xludf.DUMMYFUNCTION("""COMPUTED_VALUE"""),"GL2112026")</f>
        <v>GL2112026</v>
      </c>
      <c r="R1637" s="57">
        <f>IFERROR(__xludf.DUMMYFUNCTION("""COMPUTED_VALUE"""),44525.0)</f>
        <v>44525</v>
      </c>
      <c r="S1637" s="6" t="str">
        <f>IFERROR(__xludf.DUMMYFUNCTION("""COMPUTED_VALUE"""),"-")</f>
        <v>-</v>
      </c>
      <c r="T1637" s="57">
        <f>IFERROR(__xludf.DUMMYFUNCTION("""COMPUTED_VALUE"""),44554.0)</f>
        <v>44554</v>
      </c>
    </row>
    <row r="1638">
      <c r="A1638" s="6" t="str">
        <f>IFERROR(__xludf.DUMMYFUNCTION("""COMPUTED_VALUE"""),"211750456-1")</f>
        <v>211750456-1</v>
      </c>
      <c r="B1638" s="6" t="str">
        <f>IFERROR(__xludf.DUMMYFUNCTION("""COMPUTED_VALUE"""),"211750456 - Approved")</f>
        <v>211750456 - Approved</v>
      </c>
      <c r="C1638" s="6">
        <f>IFERROR(__xludf.DUMMYFUNCTION("""COMPUTED_VALUE"""),1.0)</f>
        <v>1</v>
      </c>
      <c r="D1638" s="6" t="str">
        <f>IFERROR(__xludf.DUMMYFUNCTION("""COMPUTED_VALUE"""),"P-15938-00")</f>
        <v>P-15938-00</v>
      </c>
      <c r="E1638" s="6" t="str">
        <f>IFERROR(__xludf.DUMMYFUNCTION("""COMPUTED_VALUE"""),"Water Hardness Test Kit")</f>
        <v>Water Hardness Test Kit</v>
      </c>
      <c r="F1638" s="6">
        <f>IFERROR(__xludf.DUMMYFUNCTION("""COMPUTED_VALUE"""),1.0)</f>
        <v>1</v>
      </c>
      <c r="G1638" s="6" t="str">
        <f>IFERROR(__xludf.DUMMYFUNCTION("""COMPUTED_VALUE"""),"Box")</f>
        <v>Box</v>
      </c>
      <c r="H1638" s="6" t="str">
        <f>IFERROR(__xludf.DUMMYFUNCTION("""COMPUTED_VALUE"""),"IDR")</f>
        <v>IDR</v>
      </c>
      <c r="I1638" s="6">
        <f>IFERROR(__xludf.DUMMYFUNCTION("""COMPUTED_VALUE"""),273500.0)</f>
        <v>273500</v>
      </c>
      <c r="J1638" s="6">
        <f>IFERROR(__xludf.DUMMYFUNCTION("""COMPUTED_VALUE"""),273500.0)</f>
        <v>273500</v>
      </c>
      <c r="K1638" s="57">
        <f>IFERROR(__xludf.DUMMYFUNCTION("""COMPUTED_VALUE"""),44554.0)</f>
        <v>44554</v>
      </c>
      <c r="L1638" s="6" t="str">
        <f>IFERROR(__xludf.DUMMYFUNCTION("""COMPUTED_VALUE"""),"FIP General")</f>
        <v>FIP General</v>
      </c>
      <c r="M1638" s="6" t="str">
        <f>IFERROR(__xludf.DUMMYFUNCTION("""COMPUTED_VALUE"""),"Irwan Sopian")</f>
        <v>Irwan Sopian</v>
      </c>
      <c r="N1638" s="6" t="str">
        <f>IFERROR(__xludf.DUMMYFUNCTION("""COMPUTED_VALUE"""),"FIP Engineering")</f>
        <v>FIP Engineering</v>
      </c>
      <c r="O1638" s="6" t="str">
        <f>IFERROR(__xludf.DUMMYFUNCTION("""COMPUTED_VALUE"""),"FIP-DOM-ENG-51504-0000000-INA-000000")</f>
        <v>FIP-DOM-ENG-51504-0000000-INA-000000</v>
      </c>
      <c r="P1638" s="6" t="str">
        <f>IFERROR(__xludf.DUMMYFUNCTION("""COMPUTED_VALUE"""),"PO Closed")</f>
        <v>PO Closed</v>
      </c>
      <c r="Q1638" s="6" t="str">
        <f>IFERROR(__xludf.DUMMYFUNCTION("""COMPUTED_VALUE"""),"GL2112011")</f>
        <v>GL2112011</v>
      </c>
      <c r="R1638" s="57">
        <f>IFERROR(__xludf.DUMMYFUNCTION("""COMPUTED_VALUE"""),44530.0)</f>
        <v>44530</v>
      </c>
      <c r="S1638" s="6" t="str">
        <f>IFERROR(__xludf.DUMMYFUNCTION("""COMPUTED_VALUE"""),"-")</f>
        <v>-</v>
      </c>
      <c r="T1638" s="57">
        <f>IFERROR(__xludf.DUMMYFUNCTION("""COMPUTED_VALUE"""),44541.0)</f>
        <v>44541</v>
      </c>
    </row>
    <row r="1639">
      <c r="A1639" s="6" t="str">
        <f>IFERROR(__xludf.DUMMYFUNCTION("""COMPUTED_VALUE"""),"211750456-2")</f>
        <v>211750456-2</v>
      </c>
      <c r="B1639" s="6" t="str">
        <f>IFERROR(__xludf.DUMMYFUNCTION("""COMPUTED_VALUE"""),"211750456 - Approved")</f>
        <v>211750456 - Approved</v>
      </c>
      <c r="C1639" s="6">
        <f>IFERROR(__xludf.DUMMYFUNCTION("""COMPUTED_VALUE"""),2.0)</f>
        <v>2</v>
      </c>
      <c r="D1639" s="6" t="str">
        <f>IFERROR(__xludf.DUMMYFUNCTION("""COMPUTED_VALUE"""),"O-15619-00")</f>
        <v>O-15619-00</v>
      </c>
      <c r="E1639" s="6" t="str">
        <f>IFERROR(__xludf.DUMMYFUNCTION("""COMPUTED_VALUE"""),"HIGH PRECISION OPTICAL FIBER 10MM WIDTH FU-12, VIALS MAXIMUM LOAD AT OUTFEED SENSOR KEYENCE P/N : - pc")</f>
        <v>HIGH PRECISION OPTICAL FIBER 10MM WIDTH FU-12, VIALS MAXIMUM LOAD AT OUTFEED SENSOR KEYENCE P/N : - pc</v>
      </c>
      <c r="F1639" s="6">
        <f>IFERROR(__xludf.DUMMYFUNCTION("""COMPUTED_VALUE"""),2.0)</f>
        <v>2</v>
      </c>
      <c r="G1639" s="6" t="str">
        <f>IFERROR(__xludf.DUMMYFUNCTION("""COMPUTED_VALUE"""),"Unit")</f>
        <v>Unit</v>
      </c>
      <c r="H1639" s="6" t="str">
        <f>IFERROR(__xludf.DUMMYFUNCTION("""COMPUTED_VALUE"""),"IDR")</f>
        <v>IDR</v>
      </c>
      <c r="I1639" s="6">
        <f>IFERROR(__xludf.DUMMYFUNCTION("""COMPUTED_VALUE"""),2161000.0)</f>
        <v>2161000</v>
      </c>
      <c r="J1639" s="6">
        <f>IFERROR(__xludf.DUMMYFUNCTION("""COMPUTED_VALUE"""),4322000.0)</f>
        <v>4322000</v>
      </c>
      <c r="K1639" s="57">
        <f>IFERROR(__xludf.DUMMYFUNCTION("""COMPUTED_VALUE"""),44554.0)</f>
        <v>44554</v>
      </c>
      <c r="L1639" s="6" t="str">
        <f>IFERROR(__xludf.DUMMYFUNCTION("""COMPUTED_VALUE"""),"FIP Engineering")</f>
        <v>FIP Engineering</v>
      </c>
      <c r="M1639" s="6" t="str">
        <f>IFERROR(__xludf.DUMMYFUNCTION("""COMPUTED_VALUE"""),"Irwan Sopian")</f>
        <v>Irwan Sopian</v>
      </c>
      <c r="N1639" s="6" t="str">
        <f>IFERROR(__xludf.DUMMYFUNCTION("""COMPUTED_VALUE"""),"FIP Engineering")</f>
        <v>FIP Engineering</v>
      </c>
      <c r="O1639" s="6" t="str">
        <f>IFERROR(__xludf.DUMMYFUNCTION("""COMPUTED_VALUE"""),"FIP-DOM-000-11304-OS00001-INA-000000")</f>
        <v>FIP-DOM-000-11304-OS00001-INA-000000</v>
      </c>
      <c r="P1639" s="6" t="str">
        <f>IFERROR(__xludf.DUMMYFUNCTION("""COMPUTED_VALUE"""),"PO Closed")</f>
        <v>PO Closed</v>
      </c>
      <c r="Q1639" s="6" t="str">
        <f>IFERROR(__xludf.DUMMYFUNCTION("""COMPUTED_VALUE"""),"GL2112010")</f>
        <v>GL2112010</v>
      </c>
      <c r="R1639" s="57">
        <f>IFERROR(__xludf.DUMMYFUNCTION("""COMPUTED_VALUE"""),44530.0)</f>
        <v>44530</v>
      </c>
      <c r="S1639" s="6" t="str">
        <f>IFERROR(__xludf.DUMMYFUNCTION("""COMPUTED_VALUE"""),"-")</f>
        <v>-</v>
      </c>
      <c r="T1639" s="57">
        <f>IFERROR(__xludf.DUMMYFUNCTION("""COMPUTED_VALUE"""),44554.0)</f>
        <v>44554</v>
      </c>
    </row>
    <row r="1640">
      <c r="A1640" s="6" t="str">
        <f>IFERROR(__xludf.DUMMYFUNCTION("""COMPUTED_VALUE"""),"211750455-1")</f>
        <v>211750455-1</v>
      </c>
      <c r="B1640" s="6" t="str">
        <f>IFERROR(__xludf.DUMMYFUNCTION("""COMPUTED_VALUE"""),"211750455 - Approved")</f>
        <v>211750455 - Approved</v>
      </c>
      <c r="C1640" s="6">
        <f>IFERROR(__xludf.DUMMYFUNCTION("""COMPUTED_VALUE"""),1.0)</f>
        <v>1</v>
      </c>
      <c r="D1640" s="6" t="str">
        <f>IFERROR(__xludf.DUMMYFUNCTION("""COMPUTED_VALUE"""),"O-50994-00")</f>
        <v>O-50994-00</v>
      </c>
      <c r="E1640" s="6" t="str">
        <f>IFERROR(__xludf.DUMMYFUNCTION("""COMPUTED_VALUE"""),"Battery kering 12V 7,2AH; ; ;")</f>
        <v>Battery kering 12V 7,2AH; ; ;</v>
      </c>
      <c r="F1640" s="6">
        <f>IFERROR(__xludf.DUMMYFUNCTION("""COMPUTED_VALUE"""),4.0)</f>
        <v>4</v>
      </c>
      <c r="G1640" s="6" t="str">
        <f>IFERROR(__xludf.DUMMYFUNCTION("""COMPUTED_VALUE"""),"Pieces")</f>
        <v>Pieces</v>
      </c>
      <c r="H1640" s="6" t="str">
        <f>IFERROR(__xludf.DUMMYFUNCTION("""COMPUTED_VALUE"""),"IDR")</f>
        <v>IDR</v>
      </c>
      <c r="I1640" s="6">
        <f>IFERROR(__xludf.DUMMYFUNCTION("""COMPUTED_VALUE"""),345000.0)</f>
        <v>345000</v>
      </c>
      <c r="J1640" s="6">
        <f>IFERROR(__xludf.DUMMYFUNCTION("""COMPUTED_VALUE"""),1380000.0)</f>
        <v>1380000</v>
      </c>
      <c r="K1640" s="57">
        <f>IFERROR(__xludf.DUMMYFUNCTION("""COMPUTED_VALUE"""),44554.0)</f>
        <v>44554</v>
      </c>
      <c r="L1640" s="6" t="str">
        <f>IFERROR(__xludf.DUMMYFUNCTION("""COMPUTED_VALUE"""),"FIP Engineering")</f>
        <v>FIP Engineering</v>
      </c>
      <c r="M1640" s="6" t="str">
        <f>IFERROR(__xludf.DUMMYFUNCTION("""COMPUTED_VALUE"""),"Irwan Sopian")</f>
        <v>Irwan Sopian</v>
      </c>
      <c r="N1640" s="6" t="str">
        <f>IFERROR(__xludf.DUMMYFUNCTION("""COMPUTED_VALUE"""),"FIP Engineering")</f>
        <v>FIP Engineering</v>
      </c>
      <c r="O1640" s="6" t="str">
        <f>IFERROR(__xludf.DUMMYFUNCTION("""COMPUTED_VALUE"""),"FIP-DOM-000-11304-OS00001-INA-000000")</f>
        <v>FIP-DOM-000-11304-OS00001-INA-000000</v>
      </c>
      <c r="P1640" s="6" t="str">
        <f>IFERROR(__xludf.DUMMYFUNCTION("""COMPUTED_VALUE"""),"PO Closed")</f>
        <v>PO Closed</v>
      </c>
      <c r="Q1640" s="6" t="str">
        <f>IFERROR(__xludf.DUMMYFUNCTION("""COMPUTED_VALUE"""),"GL2112009")</f>
        <v>GL2112009</v>
      </c>
      <c r="R1640" s="57">
        <f>IFERROR(__xludf.DUMMYFUNCTION("""COMPUTED_VALUE"""),44530.0)</f>
        <v>44530</v>
      </c>
      <c r="S1640" s="6" t="str">
        <f>IFERROR(__xludf.DUMMYFUNCTION("""COMPUTED_VALUE"""),"-")</f>
        <v>-</v>
      </c>
      <c r="T1640" s="57">
        <f>IFERROR(__xludf.DUMMYFUNCTION("""COMPUTED_VALUE"""),44554.0)</f>
        <v>44554</v>
      </c>
    </row>
    <row r="1641">
      <c r="A1641" s="6" t="str">
        <f>IFERROR(__xludf.DUMMYFUNCTION("""COMPUTED_VALUE"""),"211750454-1")</f>
        <v>211750454-1</v>
      </c>
      <c r="B1641" s="6" t="str">
        <f>IFERROR(__xludf.DUMMYFUNCTION("""COMPUTED_VALUE"""),"211750454 - Approved")</f>
        <v>211750454 - Approved</v>
      </c>
      <c r="C1641" s="6">
        <f>IFERROR(__xludf.DUMMYFUNCTION("""COMPUTED_VALUE"""),1.0)</f>
        <v>1</v>
      </c>
      <c r="D1641" s="6" t="str">
        <f>IFERROR(__xludf.DUMMYFUNCTION("""COMPUTED_VALUE"""),"T-12105-00")</f>
        <v>T-12105-00</v>
      </c>
      <c r="E1641" s="6" t="str">
        <f>IFERROR(__xludf.DUMMYFUNCTION("""COMPUTED_VALUE"""),"SSD SP 256GB 2.5 Inch SATA")</f>
        <v>SSD SP 256GB 2.5 Inch SATA</v>
      </c>
      <c r="F1641" s="6">
        <f>IFERROR(__xludf.DUMMYFUNCTION("""COMPUTED_VALUE"""),1.0)</f>
        <v>1</v>
      </c>
      <c r="G1641" s="6" t="str">
        <f>IFERROR(__xludf.DUMMYFUNCTION("""COMPUTED_VALUE"""),"Pieces")</f>
        <v>Pieces</v>
      </c>
      <c r="H1641" s="6" t="str">
        <f>IFERROR(__xludf.DUMMYFUNCTION("""COMPUTED_VALUE"""),"IDR")</f>
        <v>IDR</v>
      </c>
      <c r="I1641" s="6">
        <f>IFERROR(__xludf.DUMMYFUNCTION("""COMPUTED_VALUE"""),700000.0)</f>
        <v>700000</v>
      </c>
      <c r="J1641" s="6">
        <f>IFERROR(__xludf.DUMMYFUNCTION("""COMPUTED_VALUE"""),700000.0)</f>
        <v>700000</v>
      </c>
      <c r="K1641" s="57">
        <f>IFERROR(__xludf.DUMMYFUNCTION("""COMPUTED_VALUE"""),44547.0)</f>
        <v>44547</v>
      </c>
      <c r="L1641" s="6" t="str">
        <f>IFERROR(__xludf.DUMMYFUNCTION("""COMPUTED_VALUE"""),"FIP General")</f>
        <v>FIP General</v>
      </c>
      <c r="M1641" s="6" t="str">
        <f>IFERROR(__xludf.DUMMYFUNCTION("""COMPUTED_VALUE"""),"Irwan Sopian")</f>
        <v>Irwan Sopian</v>
      </c>
      <c r="N1641" s="6" t="str">
        <f>IFERROR(__xludf.DUMMYFUNCTION("""COMPUTED_VALUE"""),"FIP Engineering")</f>
        <v>FIP Engineering</v>
      </c>
      <c r="O1641" s="6" t="str">
        <f>IFERROR(__xludf.DUMMYFUNCTION("""COMPUTED_VALUE"""),"FIP-DOM-ENG-51504-0000000-INA-000000")</f>
        <v>FIP-DOM-ENG-51504-0000000-INA-000000</v>
      </c>
      <c r="P1641" s="6" t="str">
        <f>IFERROR(__xludf.DUMMYFUNCTION("""COMPUTED_VALUE"""),"PO Closed")</f>
        <v>PO Closed</v>
      </c>
      <c r="Q1641" s="6" t="str">
        <f>IFERROR(__xludf.DUMMYFUNCTION("""COMPUTED_VALUE"""),"GL2112024")</f>
        <v>GL2112024</v>
      </c>
      <c r="R1641" s="57">
        <f>IFERROR(__xludf.DUMMYFUNCTION("""COMPUTED_VALUE"""),44530.0)</f>
        <v>44530</v>
      </c>
      <c r="S1641" s="6" t="str">
        <f>IFERROR(__xludf.DUMMYFUNCTION("""COMPUTED_VALUE"""),"-")</f>
        <v>-</v>
      </c>
      <c r="T1641" s="57">
        <f>IFERROR(__xludf.DUMMYFUNCTION("""COMPUTED_VALUE"""),44551.0)</f>
        <v>44551</v>
      </c>
    </row>
    <row r="1642">
      <c r="A1642" s="6" t="str">
        <f>IFERROR(__xludf.DUMMYFUNCTION("""COMPUTED_VALUE"""),"211750466-1")</f>
        <v>211750466-1</v>
      </c>
      <c r="B1642" s="6" t="str">
        <f>IFERROR(__xludf.DUMMYFUNCTION("""COMPUTED_VALUE"""),"211750466 - Approved")</f>
        <v>211750466 - Approved</v>
      </c>
      <c r="C1642" s="6">
        <f>IFERROR(__xludf.DUMMYFUNCTION("""COMPUTED_VALUE"""),1.0)</f>
        <v>1</v>
      </c>
      <c r="D1642" s="6" t="str">
        <f>IFERROR(__xludf.DUMMYFUNCTION("""COMPUTED_VALUE"""),"O-12735-00")</f>
        <v>O-12735-00</v>
      </c>
      <c r="E1642" s="6" t="str">
        <f>IFERROR(__xludf.DUMMYFUNCTION("""COMPUTED_VALUE"""),"Tubing Polyurethane TU0604 Clear SMC Part No. X3 roll")</f>
        <v>Tubing Polyurethane TU0604 Clear SMC Part No. X3 roll</v>
      </c>
      <c r="F1642" s="6">
        <f>IFERROR(__xludf.DUMMYFUNCTION("""COMPUTED_VALUE"""),50.0)</f>
        <v>50</v>
      </c>
      <c r="G1642" s="6" t="str">
        <f>IFERROR(__xludf.DUMMYFUNCTION("""COMPUTED_VALUE"""),"Roll")</f>
        <v>Roll</v>
      </c>
      <c r="H1642" s="6" t="str">
        <f>IFERROR(__xludf.DUMMYFUNCTION("""COMPUTED_VALUE"""),"IDR")</f>
        <v>IDR</v>
      </c>
      <c r="I1642" s="6">
        <f>IFERROR(__xludf.DUMMYFUNCTION("""COMPUTED_VALUE"""),12000.0)</f>
        <v>12000</v>
      </c>
      <c r="J1642" s="6">
        <f>IFERROR(__xludf.DUMMYFUNCTION("""COMPUTED_VALUE"""),600000.0)</f>
        <v>600000</v>
      </c>
      <c r="K1642" s="57">
        <f>IFERROR(__xludf.DUMMYFUNCTION("""COMPUTED_VALUE"""),44561.0)</f>
        <v>44561</v>
      </c>
      <c r="L1642" s="6" t="str">
        <f>IFERROR(__xludf.DUMMYFUNCTION("""COMPUTED_VALUE"""),"FIP General")</f>
        <v>FIP General</v>
      </c>
      <c r="M1642" s="6" t="str">
        <f>IFERROR(__xludf.DUMMYFUNCTION("""COMPUTED_VALUE"""),"Irwan Sopian")</f>
        <v>Irwan Sopian</v>
      </c>
      <c r="N1642" s="6" t="str">
        <f>IFERROR(__xludf.DUMMYFUNCTION("""COMPUTED_VALUE"""),"FIP Engineering")</f>
        <v>FIP Engineering</v>
      </c>
      <c r="O1642" s="6" t="str">
        <f>IFERROR(__xludf.DUMMYFUNCTION("""COMPUTED_VALUE"""),"FIP-DOM-ENG-51404-0000000-INA-000000")</f>
        <v>FIP-DOM-ENG-51404-0000000-INA-000000</v>
      </c>
      <c r="P1642" s="6" t="str">
        <f>IFERROR(__xludf.DUMMYFUNCTION("""COMPUTED_VALUE"""),"PO Closed")</f>
        <v>PO Closed</v>
      </c>
      <c r="Q1642" s="6" t="str">
        <f>IFERROR(__xludf.DUMMYFUNCTION("""COMPUTED_VALUE"""),"GL2112022")</f>
        <v>GL2112022</v>
      </c>
      <c r="R1642" s="57">
        <f>IFERROR(__xludf.DUMMYFUNCTION("""COMPUTED_VALUE"""),44531.0)</f>
        <v>44531</v>
      </c>
      <c r="S1642" s="6" t="str">
        <f>IFERROR(__xludf.DUMMYFUNCTION("""COMPUTED_VALUE"""),"-")</f>
        <v>-</v>
      </c>
      <c r="T1642" s="57">
        <f>IFERROR(__xludf.DUMMYFUNCTION("""COMPUTED_VALUE"""),44561.0)</f>
        <v>44561</v>
      </c>
    </row>
    <row r="1643">
      <c r="A1643" s="6" t="str">
        <f>IFERROR(__xludf.DUMMYFUNCTION("""COMPUTED_VALUE"""),"211750466-2")</f>
        <v>211750466-2</v>
      </c>
      <c r="B1643" s="6" t="str">
        <f>IFERROR(__xludf.DUMMYFUNCTION("""COMPUTED_VALUE"""),"211750466 - Approved")</f>
        <v>211750466 - Approved</v>
      </c>
      <c r="C1643" s="6">
        <f>IFERROR(__xludf.DUMMYFUNCTION("""COMPUTED_VALUE"""),2.0)</f>
        <v>2</v>
      </c>
      <c r="D1643" s="6" t="str">
        <f>IFERROR(__xludf.DUMMYFUNCTION("""COMPUTED_VALUE"""),"O-12734-00")</f>
        <v>O-12734-00</v>
      </c>
      <c r="E1643" s="6" t="str">
        <f>IFERROR(__xludf.DUMMYFUNCTION("""COMPUTED_VALUE"""),"Tubing Polyurethane TU0805 Clear, SMC, roll SINAR MUTIARA CAKRABUANA, PT P/N : X3 pc")</f>
        <v>Tubing Polyurethane TU0805 Clear, SMC, roll SINAR MUTIARA CAKRABUANA, PT P/N : X3 pc</v>
      </c>
      <c r="F1643" s="6">
        <f>IFERROR(__xludf.DUMMYFUNCTION("""COMPUTED_VALUE"""),50.0)</f>
        <v>50</v>
      </c>
      <c r="G1643" s="6" t="str">
        <f>IFERROR(__xludf.DUMMYFUNCTION("""COMPUTED_VALUE"""),"Roll")</f>
        <v>Roll</v>
      </c>
      <c r="H1643" s="6" t="str">
        <f>IFERROR(__xludf.DUMMYFUNCTION("""COMPUTED_VALUE"""),"IDR")</f>
        <v>IDR</v>
      </c>
      <c r="I1643" s="6">
        <f>IFERROR(__xludf.DUMMYFUNCTION("""COMPUTED_VALUE"""),23000.0)</f>
        <v>23000</v>
      </c>
      <c r="J1643" s="6">
        <f>IFERROR(__xludf.DUMMYFUNCTION("""COMPUTED_VALUE"""),1150000.0)</f>
        <v>1150000</v>
      </c>
      <c r="K1643" s="57">
        <f>IFERROR(__xludf.DUMMYFUNCTION("""COMPUTED_VALUE"""),44561.0)</f>
        <v>44561</v>
      </c>
      <c r="L1643" s="6" t="str">
        <f>IFERROR(__xludf.DUMMYFUNCTION("""COMPUTED_VALUE"""),"FIP General")</f>
        <v>FIP General</v>
      </c>
      <c r="M1643" s="6" t="str">
        <f>IFERROR(__xludf.DUMMYFUNCTION("""COMPUTED_VALUE"""),"Irwan Sopian")</f>
        <v>Irwan Sopian</v>
      </c>
      <c r="N1643" s="6" t="str">
        <f>IFERROR(__xludf.DUMMYFUNCTION("""COMPUTED_VALUE"""),"FIP Engineering")</f>
        <v>FIP Engineering</v>
      </c>
      <c r="O1643" s="6" t="str">
        <f>IFERROR(__xludf.DUMMYFUNCTION("""COMPUTED_VALUE"""),"FIP-DOM-ENG-51404-0000000-INA-000000")</f>
        <v>FIP-DOM-ENG-51404-0000000-INA-000000</v>
      </c>
      <c r="P1643" s="6" t="str">
        <f>IFERROR(__xludf.DUMMYFUNCTION("""COMPUTED_VALUE"""),"PO Closed")</f>
        <v>PO Closed</v>
      </c>
      <c r="Q1643" s="6" t="str">
        <f>IFERROR(__xludf.DUMMYFUNCTION("""COMPUTED_VALUE"""),"GL2112022")</f>
        <v>GL2112022</v>
      </c>
      <c r="R1643" s="57">
        <f>IFERROR(__xludf.DUMMYFUNCTION("""COMPUTED_VALUE"""),44531.0)</f>
        <v>44531</v>
      </c>
      <c r="S1643" s="6" t="str">
        <f>IFERROR(__xludf.DUMMYFUNCTION("""COMPUTED_VALUE"""),"-")</f>
        <v>-</v>
      </c>
      <c r="T1643" s="57">
        <f>IFERROR(__xludf.DUMMYFUNCTION("""COMPUTED_VALUE"""),44561.0)</f>
        <v>44561</v>
      </c>
    </row>
    <row r="1644">
      <c r="A1644" s="6" t="str">
        <f>IFERROR(__xludf.DUMMYFUNCTION("""COMPUTED_VALUE"""),"211750463-1")</f>
        <v>211750463-1</v>
      </c>
      <c r="B1644" s="6" t="str">
        <f>IFERROR(__xludf.DUMMYFUNCTION("""COMPUTED_VALUE"""),"211750463 - Approved")</f>
        <v>211750463 - Approved</v>
      </c>
      <c r="C1644" s="6">
        <f>IFERROR(__xludf.DUMMYFUNCTION("""COMPUTED_VALUE"""),1.0)</f>
        <v>1</v>
      </c>
      <c r="D1644" s="6" t="str">
        <f>IFERROR(__xludf.DUMMYFUNCTION("""COMPUTED_VALUE"""),"P-12275-00")</f>
        <v>P-12275-00</v>
      </c>
      <c r="E1644" s="6" t="str">
        <f>IFERROR(__xludf.DUMMYFUNCTION("""COMPUTED_VALUE"""),"FESTO - QS-1/4-6 Push-In fitting p/n 153003")</f>
        <v>FESTO - QS-1/4-6 Push-In fitting p/n 153003</v>
      </c>
      <c r="F1644" s="6">
        <f>IFERROR(__xludf.DUMMYFUNCTION("""COMPUTED_VALUE"""),8.0)</f>
        <v>8</v>
      </c>
      <c r="G1644" s="6" t="str">
        <f>IFERROR(__xludf.DUMMYFUNCTION("""COMPUTED_VALUE"""),"Pieces")</f>
        <v>Pieces</v>
      </c>
      <c r="H1644" s="6" t="str">
        <f>IFERROR(__xludf.DUMMYFUNCTION("""COMPUTED_VALUE"""),"IDR")</f>
        <v>IDR</v>
      </c>
      <c r="I1644" s="6">
        <f>IFERROR(__xludf.DUMMYFUNCTION("""COMPUTED_VALUE"""),29923.0)</f>
        <v>29923</v>
      </c>
      <c r="J1644" s="6">
        <f>IFERROR(__xludf.DUMMYFUNCTION("""COMPUTED_VALUE"""),239384.0)</f>
        <v>239384</v>
      </c>
      <c r="K1644" s="57">
        <f>IFERROR(__xludf.DUMMYFUNCTION("""COMPUTED_VALUE"""),44561.0)</f>
        <v>44561</v>
      </c>
      <c r="L1644" s="6" t="str">
        <f>IFERROR(__xludf.DUMMYFUNCTION("""COMPUTED_VALUE"""),"FIP Engineering")</f>
        <v>FIP Engineering</v>
      </c>
      <c r="M1644" s="6" t="str">
        <f>IFERROR(__xludf.DUMMYFUNCTION("""COMPUTED_VALUE"""),"Irwan Sopian")</f>
        <v>Irwan Sopian</v>
      </c>
      <c r="N1644" s="6" t="str">
        <f>IFERROR(__xludf.DUMMYFUNCTION("""COMPUTED_VALUE"""),"FIP Engineering")</f>
        <v>FIP Engineering</v>
      </c>
      <c r="O1644" s="6" t="str">
        <f>IFERROR(__xludf.DUMMYFUNCTION("""COMPUTED_VALUE"""),"FIP-DOM-000-11304-OS00001-INA-000000")</f>
        <v>FIP-DOM-000-11304-OS00001-INA-000000</v>
      </c>
      <c r="P1644" s="6" t="str">
        <f>IFERROR(__xludf.DUMMYFUNCTION("""COMPUTED_VALUE"""),"PO Closed")</f>
        <v>PO Closed</v>
      </c>
      <c r="Q1644" s="6" t="str">
        <f>IFERROR(__xludf.DUMMYFUNCTION("""COMPUTED_VALUE"""),"GL2112021")</f>
        <v>GL2112021</v>
      </c>
      <c r="R1644" s="57">
        <f>IFERROR(__xludf.DUMMYFUNCTION("""COMPUTED_VALUE"""),44531.0)</f>
        <v>44531</v>
      </c>
      <c r="S1644" s="6" t="str">
        <f>IFERROR(__xludf.DUMMYFUNCTION("""COMPUTED_VALUE"""),"-")</f>
        <v>-</v>
      </c>
      <c r="T1644" s="57">
        <f>IFERROR(__xludf.DUMMYFUNCTION("""COMPUTED_VALUE"""),44561.0)</f>
        <v>44561</v>
      </c>
    </row>
    <row r="1645">
      <c r="A1645" s="6" t="str">
        <f>IFERROR(__xludf.DUMMYFUNCTION("""COMPUTED_VALUE"""),"211750463-2")</f>
        <v>211750463-2</v>
      </c>
      <c r="B1645" s="6" t="str">
        <f>IFERROR(__xludf.DUMMYFUNCTION("""COMPUTED_VALUE"""),"211750463 - Approved")</f>
        <v>211750463 - Approved</v>
      </c>
      <c r="C1645" s="6">
        <f>IFERROR(__xludf.DUMMYFUNCTION("""COMPUTED_VALUE"""),2.0)</f>
        <v>2</v>
      </c>
      <c r="D1645" s="6" t="str">
        <f>IFERROR(__xludf.DUMMYFUNCTION("""COMPUTED_VALUE"""),"P-12276-00")</f>
        <v>P-12276-00</v>
      </c>
      <c r="E1645" s="6" t="str">
        <f>IFERROR(__xludf.DUMMYFUNCTION("""COMPUTED_VALUE"""),"FESTO - QS-1/4-8 Push-In fitting p/n 153005")</f>
        <v>FESTO - QS-1/4-8 Push-In fitting p/n 153005</v>
      </c>
      <c r="F1645" s="6">
        <f>IFERROR(__xludf.DUMMYFUNCTION("""COMPUTED_VALUE"""),5.0)</f>
        <v>5</v>
      </c>
      <c r="G1645" s="6" t="str">
        <f>IFERROR(__xludf.DUMMYFUNCTION("""COMPUTED_VALUE"""),"Pieces")</f>
        <v>Pieces</v>
      </c>
      <c r="H1645" s="6" t="str">
        <f>IFERROR(__xludf.DUMMYFUNCTION("""COMPUTED_VALUE"""),"IDR")</f>
        <v>IDR</v>
      </c>
      <c r="I1645" s="6">
        <f>IFERROR(__xludf.DUMMYFUNCTION("""COMPUTED_VALUE"""),31848.0)</f>
        <v>31848</v>
      </c>
      <c r="J1645" s="6">
        <f>IFERROR(__xludf.DUMMYFUNCTION("""COMPUTED_VALUE"""),159240.0)</f>
        <v>159240</v>
      </c>
      <c r="K1645" s="57">
        <f>IFERROR(__xludf.DUMMYFUNCTION("""COMPUTED_VALUE"""),44561.0)</f>
        <v>44561</v>
      </c>
      <c r="L1645" s="6" t="str">
        <f>IFERROR(__xludf.DUMMYFUNCTION("""COMPUTED_VALUE"""),"FIP Engineering")</f>
        <v>FIP Engineering</v>
      </c>
      <c r="M1645" s="6" t="str">
        <f>IFERROR(__xludf.DUMMYFUNCTION("""COMPUTED_VALUE"""),"Irwan Sopian")</f>
        <v>Irwan Sopian</v>
      </c>
      <c r="N1645" s="6" t="str">
        <f>IFERROR(__xludf.DUMMYFUNCTION("""COMPUTED_VALUE"""),"FIP Engineering")</f>
        <v>FIP Engineering</v>
      </c>
      <c r="O1645" s="6" t="str">
        <f>IFERROR(__xludf.DUMMYFUNCTION("""COMPUTED_VALUE"""),"FIP-DOM-000-11304-OS00001-INA-000000")</f>
        <v>FIP-DOM-000-11304-OS00001-INA-000000</v>
      </c>
      <c r="P1645" s="6" t="str">
        <f>IFERROR(__xludf.DUMMYFUNCTION("""COMPUTED_VALUE"""),"PO Closed")</f>
        <v>PO Closed</v>
      </c>
      <c r="Q1645" s="6" t="str">
        <f>IFERROR(__xludf.DUMMYFUNCTION("""COMPUTED_VALUE"""),"GL2112021")</f>
        <v>GL2112021</v>
      </c>
      <c r="R1645" s="57">
        <f>IFERROR(__xludf.DUMMYFUNCTION("""COMPUTED_VALUE"""),44531.0)</f>
        <v>44531</v>
      </c>
      <c r="S1645" s="6" t="str">
        <f>IFERROR(__xludf.DUMMYFUNCTION("""COMPUTED_VALUE"""),"-")</f>
        <v>-</v>
      </c>
      <c r="T1645" s="57">
        <f>IFERROR(__xludf.DUMMYFUNCTION("""COMPUTED_VALUE"""),44561.0)</f>
        <v>44561</v>
      </c>
    </row>
    <row r="1646">
      <c r="A1646" s="6" t="str">
        <f>IFERROR(__xludf.DUMMYFUNCTION("""COMPUTED_VALUE"""),"211750463-3")</f>
        <v>211750463-3</v>
      </c>
      <c r="B1646" s="6" t="str">
        <f>IFERROR(__xludf.DUMMYFUNCTION("""COMPUTED_VALUE"""),"211750463 - Approved")</f>
        <v>211750463 - Approved</v>
      </c>
      <c r="C1646" s="6">
        <f>IFERROR(__xludf.DUMMYFUNCTION("""COMPUTED_VALUE"""),3.0)</f>
        <v>3</v>
      </c>
      <c r="D1646" s="6" t="str">
        <f>IFERROR(__xludf.DUMMYFUNCTION("""COMPUTED_VALUE"""),"P-12279-00")</f>
        <v>P-12279-00</v>
      </c>
      <c r="E1646" s="6" t="str">
        <f>IFERROR(__xludf.DUMMYFUNCTION("""COMPUTED_VALUE"""),"FESTO - QS-1/8-6 Push-In fitting p/n 153002")</f>
        <v>FESTO - QS-1/8-6 Push-In fitting p/n 153002</v>
      </c>
      <c r="F1646" s="6">
        <f>IFERROR(__xludf.DUMMYFUNCTION("""COMPUTED_VALUE"""),5.0)</f>
        <v>5</v>
      </c>
      <c r="G1646" s="6" t="str">
        <f>IFERROR(__xludf.DUMMYFUNCTION("""COMPUTED_VALUE"""),"Pieces")</f>
        <v>Pieces</v>
      </c>
      <c r="H1646" s="6" t="str">
        <f>IFERROR(__xludf.DUMMYFUNCTION("""COMPUTED_VALUE"""),"IDR")</f>
        <v>IDR</v>
      </c>
      <c r="I1646" s="6">
        <f>IFERROR(__xludf.DUMMYFUNCTION("""COMPUTED_VALUE"""),25198.0)</f>
        <v>25198</v>
      </c>
      <c r="J1646" s="6">
        <f>IFERROR(__xludf.DUMMYFUNCTION("""COMPUTED_VALUE"""),125990.0)</f>
        <v>125990</v>
      </c>
      <c r="K1646" s="57">
        <f>IFERROR(__xludf.DUMMYFUNCTION("""COMPUTED_VALUE"""),44561.0)</f>
        <v>44561</v>
      </c>
      <c r="L1646" s="6" t="str">
        <f>IFERROR(__xludf.DUMMYFUNCTION("""COMPUTED_VALUE"""),"FIP Engineering")</f>
        <v>FIP Engineering</v>
      </c>
      <c r="M1646" s="6" t="str">
        <f>IFERROR(__xludf.DUMMYFUNCTION("""COMPUTED_VALUE"""),"Irwan Sopian")</f>
        <v>Irwan Sopian</v>
      </c>
      <c r="N1646" s="6" t="str">
        <f>IFERROR(__xludf.DUMMYFUNCTION("""COMPUTED_VALUE"""),"FIP Engineering")</f>
        <v>FIP Engineering</v>
      </c>
      <c r="O1646" s="6" t="str">
        <f>IFERROR(__xludf.DUMMYFUNCTION("""COMPUTED_VALUE"""),"FIP-DOM-000-11304-OS00001-INA-000000")</f>
        <v>FIP-DOM-000-11304-OS00001-INA-000000</v>
      </c>
      <c r="P1646" s="6" t="str">
        <f>IFERROR(__xludf.DUMMYFUNCTION("""COMPUTED_VALUE"""),"PO Closed")</f>
        <v>PO Closed</v>
      </c>
      <c r="Q1646" s="6" t="str">
        <f>IFERROR(__xludf.DUMMYFUNCTION("""COMPUTED_VALUE"""),"GL2112021")</f>
        <v>GL2112021</v>
      </c>
      <c r="R1646" s="57">
        <f>IFERROR(__xludf.DUMMYFUNCTION("""COMPUTED_VALUE"""),44531.0)</f>
        <v>44531</v>
      </c>
      <c r="S1646" s="6" t="str">
        <f>IFERROR(__xludf.DUMMYFUNCTION("""COMPUTED_VALUE"""),"-")</f>
        <v>-</v>
      </c>
      <c r="T1646" s="57">
        <f>IFERROR(__xludf.DUMMYFUNCTION("""COMPUTED_VALUE"""),44561.0)</f>
        <v>44561</v>
      </c>
    </row>
    <row r="1647">
      <c r="A1647" s="6" t="str">
        <f>IFERROR(__xludf.DUMMYFUNCTION("""COMPUTED_VALUE"""),"211750463-4")</f>
        <v>211750463-4</v>
      </c>
      <c r="B1647" s="6" t="str">
        <f>IFERROR(__xludf.DUMMYFUNCTION("""COMPUTED_VALUE"""),"211750463 - Approved")</f>
        <v>211750463 - Approved</v>
      </c>
      <c r="C1647" s="6">
        <f>IFERROR(__xludf.DUMMYFUNCTION("""COMPUTED_VALUE"""),4.0)</f>
        <v>4</v>
      </c>
      <c r="D1647" s="6" t="str">
        <f>IFERROR(__xludf.DUMMYFUNCTION("""COMPUTED_VALUE"""),"P-12280-00")</f>
        <v>P-12280-00</v>
      </c>
      <c r="E1647" s="6" t="str">
        <f>IFERROR(__xludf.DUMMYFUNCTION("""COMPUTED_VALUE"""),"FESTO - QS-1/8-8 Push-In fitting p/n 153004")</f>
        <v>FESTO - QS-1/8-8 Push-In fitting p/n 153004</v>
      </c>
      <c r="F1647" s="6">
        <f>IFERROR(__xludf.DUMMYFUNCTION("""COMPUTED_VALUE"""),5.0)</f>
        <v>5</v>
      </c>
      <c r="G1647" s="6" t="str">
        <f>IFERROR(__xludf.DUMMYFUNCTION("""COMPUTED_VALUE"""),"Pieces")</f>
        <v>Pieces</v>
      </c>
      <c r="H1647" s="6" t="str">
        <f>IFERROR(__xludf.DUMMYFUNCTION("""COMPUTED_VALUE"""),"IDR")</f>
        <v>IDR</v>
      </c>
      <c r="I1647" s="6">
        <f>IFERROR(__xludf.DUMMYFUNCTION("""COMPUTED_VALUE"""),30798.0)</f>
        <v>30798</v>
      </c>
      <c r="J1647" s="6">
        <f>IFERROR(__xludf.DUMMYFUNCTION("""COMPUTED_VALUE"""),153990.0)</f>
        <v>153990</v>
      </c>
      <c r="K1647" s="57">
        <f>IFERROR(__xludf.DUMMYFUNCTION("""COMPUTED_VALUE"""),44561.0)</f>
        <v>44561</v>
      </c>
      <c r="L1647" s="6" t="str">
        <f>IFERROR(__xludf.DUMMYFUNCTION("""COMPUTED_VALUE"""),"FIP Engineering")</f>
        <v>FIP Engineering</v>
      </c>
      <c r="M1647" s="6" t="str">
        <f>IFERROR(__xludf.DUMMYFUNCTION("""COMPUTED_VALUE"""),"Irwan Sopian")</f>
        <v>Irwan Sopian</v>
      </c>
      <c r="N1647" s="6" t="str">
        <f>IFERROR(__xludf.DUMMYFUNCTION("""COMPUTED_VALUE"""),"FIP Engineering")</f>
        <v>FIP Engineering</v>
      </c>
      <c r="O1647" s="6" t="str">
        <f>IFERROR(__xludf.DUMMYFUNCTION("""COMPUTED_VALUE"""),"FIP-DOM-000-11304-OS00001-INA-000000")</f>
        <v>FIP-DOM-000-11304-OS00001-INA-000000</v>
      </c>
      <c r="P1647" s="6" t="str">
        <f>IFERROR(__xludf.DUMMYFUNCTION("""COMPUTED_VALUE"""),"PO Closed")</f>
        <v>PO Closed</v>
      </c>
      <c r="Q1647" s="6" t="str">
        <f>IFERROR(__xludf.DUMMYFUNCTION("""COMPUTED_VALUE"""),"GL2112021")</f>
        <v>GL2112021</v>
      </c>
      <c r="R1647" s="57">
        <f>IFERROR(__xludf.DUMMYFUNCTION("""COMPUTED_VALUE"""),44531.0)</f>
        <v>44531</v>
      </c>
      <c r="S1647" s="6" t="str">
        <f>IFERROR(__xludf.DUMMYFUNCTION("""COMPUTED_VALUE"""),"-")</f>
        <v>-</v>
      </c>
      <c r="T1647" s="57">
        <f>IFERROR(__xludf.DUMMYFUNCTION("""COMPUTED_VALUE"""),44561.0)</f>
        <v>44561</v>
      </c>
    </row>
    <row r="1648">
      <c r="A1648" s="6" t="str">
        <f>IFERROR(__xludf.DUMMYFUNCTION("""COMPUTED_VALUE"""),"211750463-5")</f>
        <v>211750463-5</v>
      </c>
      <c r="B1648" s="6" t="str">
        <f>IFERROR(__xludf.DUMMYFUNCTION("""COMPUTED_VALUE"""),"211750463 - Approved")</f>
        <v>211750463 - Approved</v>
      </c>
      <c r="C1648" s="6">
        <f>IFERROR(__xludf.DUMMYFUNCTION("""COMPUTED_VALUE"""),5.0)</f>
        <v>5</v>
      </c>
      <c r="D1648" s="6" t="str">
        <f>IFERROR(__xludf.DUMMYFUNCTION("""COMPUTED_VALUE"""),"P-12287-00")</f>
        <v>P-12287-00</v>
      </c>
      <c r="E1648" s="6" t="str">
        <f>IFERROR(__xludf.DUMMYFUNCTION("""COMPUTED_VALUE"""),"FESTO - QS-3/8-8 Push-In fitting p/n 153006")</f>
        <v>FESTO - QS-3/8-8 Push-In fitting p/n 153006</v>
      </c>
      <c r="F1648" s="6">
        <f>IFERROR(__xludf.DUMMYFUNCTION("""COMPUTED_VALUE"""),5.0)</f>
        <v>5</v>
      </c>
      <c r="G1648" s="6" t="str">
        <f>IFERROR(__xludf.DUMMYFUNCTION("""COMPUTED_VALUE"""),"Pieces")</f>
        <v>Pieces</v>
      </c>
      <c r="H1648" s="6" t="str">
        <f>IFERROR(__xludf.DUMMYFUNCTION("""COMPUTED_VALUE"""),"IDR")</f>
        <v>IDR</v>
      </c>
      <c r="I1648" s="6">
        <f>IFERROR(__xludf.DUMMYFUNCTION("""COMPUTED_VALUE"""),34298.0)</f>
        <v>34298</v>
      </c>
      <c r="J1648" s="6">
        <f>IFERROR(__xludf.DUMMYFUNCTION("""COMPUTED_VALUE"""),171490.0)</f>
        <v>171490</v>
      </c>
      <c r="K1648" s="57">
        <f>IFERROR(__xludf.DUMMYFUNCTION("""COMPUTED_VALUE"""),44561.0)</f>
        <v>44561</v>
      </c>
      <c r="L1648" s="6" t="str">
        <f>IFERROR(__xludf.DUMMYFUNCTION("""COMPUTED_VALUE"""),"FIP Engineering")</f>
        <v>FIP Engineering</v>
      </c>
      <c r="M1648" s="6" t="str">
        <f>IFERROR(__xludf.DUMMYFUNCTION("""COMPUTED_VALUE"""),"Irwan Sopian")</f>
        <v>Irwan Sopian</v>
      </c>
      <c r="N1648" s="6" t="str">
        <f>IFERROR(__xludf.DUMMYFUNCTION("""COMPUTED_VALUE"""),"FIP Engineering")</f>
        <v>FIP Engineering</v>
      </c>
      <c r="O1648" s="6" t="str">
        <f>IFERROR(__xludf.DUMMYFUNCTION("""COMPUTED_VALUE"""),"FIP-DOM-000-11304-OS00001-INA-000000")</f>
        <v>FIP-DOM-000-11304-OS00001-INA-000000</v>
      </c>
      <c r="P1648" s="6" t="str">
        <f>IFERROR(__xludf.DUMMYFUNCTION("""COMPUTED_VALUE"""),"PO Closed")</f>
        <v>PO Closed</v>
      </c>
      <c r="Q1648" s="6" t="str">
        <f>IFERROR(__xludf.DUMMYFUNCTION("""COMPUTED_VALUE"""),"GL2112021")</f>
        <v>GL2112021</v>
      </c>
      <c r="R1648" s="57">
        <f>IFERROR(__xludf.DUMMYFUNCTION("""COMPUTED_VALUE"""),44531.0)</f>
        <v>44531</v>
      </c>
      <c r="S1648" s="6" t="str">
        <f>IFERROR(__xludf.DUMMYFUNCTION("""COMPUTED_VALUE"""),"-")</f>
        <v>-</v>
      </c>
      <c r="T1648" s="57">
        <f>IFERROR(__xludf.DUMMYFUNCTION("""COMPUTED_VALUE"""),44561.0)</f>
        <v>44561</v>
      </c>
    </row>
    <row r="1649">
      <c r="A1649" s="6" t="str">
        <f>IFERROR(__xludf.DUMMYFUNCTION("""COMPUTED_VALUE"""),"211750463-6")</f>
        <v>211750463-6</v>
      </c>
      <c r="B1649" s="6" t="str">
        <f>IFERROR(__xludf.DUMMYFUNCTION("""COMPUTED_VALUE"""),"211750463 - Approved")</f>
        <v>211750463 - Approved</v>
      </c>
      <c r="C1649" s="6">
        <f>IFERROR(__xludf.DUMMYFUNCTION("""COMPUTED_VALUE"""),6.0)</f>
        <v>6</v>
      </c>
      <c r="D1649" s="6" t="str">
        <f>IFERROR(__xludf.DUMMYFUNCTION("""COMPUTED_VALUE"""),"P-12261-00")</f>
        <v>P-12261-00</v>
      </c>
      <c r="E1649" s="6" t="str">
        <f>IFERROR(__xludf.DUMMYFUNCTION("""COMPUTED_VALUE"""),"FESTO - Push In Connector QS-6 p/n 153032")</f>
        <v>FESTO - Push In Connector QS-6 p/n 153032</v>
      </c>
      <c r="F1649" s="6">
        <f>IFERROR(__xludf.DUMMYFUNCTION("""COMPUTED_VALUE"""),5.0)</f>
        <v>5</v>
      </c>
      <c r="G1649" s="6" t="str">
        <f>IFERROR(__xludf.DUMMYFUNCTION("""COMPUTED_VALUE"""),"Pieces")</f>
        <v>Pieces</v>
      </c>
      <c r="H1649" s="6" t="str">
        <f>IFERROR(__xludf.DUMMYFUNCTION("""COMPUTED_VALUE"""),"IDR")</f>
        <v>IDR</v>
      </c>
      <c r="I1649" s="6">
        <f>IFERROR(__xludf.DUMMYFUNCTION("""COMPUTED_VALUE"""),45000.0)</f>
        <v>45000</v>
      </c>
      <c r="J1649" s="6">
        <f>IFERROR(__xludf.DUMMYFUNCTION("""COMPUTED_VALUE"""),225000.0)</f>
        <v>225000</v>
      </c>
      <c r="K1649" s="57">
        <f>IFERROR(__xludf.DUMMYFUNCTION("""COMPUTED_VALUE"""),44561.0)</f>
        <v>44561</v>
      </c>
      <c r="L1649" s="6" t="str">
        <f>IFERROR(__xludf.DUMMYFUNCTION("""COMPUTED_VALUE"""),"FIP Engineering")</f>
        <v>FIP Engineering</v>
      </c>
      <c r="M1649" s="6" t="str">
        <f>IFERROR(__xludf.DUMMYFUNCTION("""COMPUTED_VALUE"""),"Irwan Sopian")</f>
        <v>Irwan Sopian</v>
      </c>
      <c r="N1649" s="6" t="str">
        <f>IFERROR(__xludf.DUMMYFUNCTION("""COMPUTED_VALUE"""),"FIP Engineering")</f>
        <v>FIP Engineering</v>
      </c>
      <c r="O1649" s="6" t="str">
        <f>IFERROR(__xludf.DUMMYFUNCTION("""COMPUTED_VALUE"""),"FIP-DOM-000-11304-OS00001-INA-000000")</f>
        <v>FIP-DOM-000-11304-OS00001-INA-000000</v>
      </c>
      <c r="P1649" s="6" t="str">
        <f>IFERROR(__xludf.DUMMYFUNCTION("""COMPUTED_VALUE"""),"PO Closed")</f>
        <v>PO Closed</v>
      </c>
      <c r="Q1649" s="6" t="str">
        <f>IFERROR(__xludf.DUMMYFUNCTION("""COMPUTED_VALUE"""),"GL2112021")</f>
        <v>GL2112021</v>
      </c>
      <c r="R1649" s="57">
        <f>IFERROR(__xludf.DUMMYFUNCTION("""COMPUTED_VALUE"""),44531.0)</f>
        <v>44531</v>
      </c>
      <c r="S1649" s="6" t="str">
        <f>IFERROR(__xludf.DUMMYFUNCTION("""COMPUTED_VALUE"""),"-")</f>
        <v>-</v>
      </c>
      <c r="T1649" s="57">
        <f>IFERROR(__xludf.DUMMYFUNCTION("""COMPUTED_VALUE"""),44561.0)</f>
        <v>44561</v>
      </c>
    </row>
    <row r="1650">
      <c r="A1650" s="6" t="str">
        <f>IFERROR(__xludf.DUMMYFUNCTION("""COMPUTED_VALUE"""),"211750463-7")</f>
        <v>211750463-7</v>
      </c>
      <c r="B1650" s="6" t="str">
        <f>IFERROR(__xludf.DUMMYFUNCTION("""COMPUTED_VALUE"""),"211750463 - Approved")</f>
        <v>211750463 - Approved</v>
      </c>
      <c r="C1650" s="6">
        <f>IFERROR(__xludf.DUMMYFUNCTION("""COMPUTED_VALUE"""),7.0)</f>
        <v>7</v>
      </c>
      <c r="D1650" s="6" t="str">
        <f>IFERROR(__xludf.DUMMYFUNCTION("""COMPUTED_VALUE"""),"P-12263-00")</f>
        <v>P-12263-00</v>
      </c>
      <c r="E1650" s="6" t="str">
        <f>IFERROR(__xludf.DUMMYFUNCTION("""COMPUTED_VALUE"""),"FESTO - Push In Connector QS-8 p/n 153033")</f>
        <v>FESTO - Push In Connector QS-8 p/n 153033</v>
      </c>
      <c r="F1650" s="6">
        <f>IFERROR(__xludf.DUMMYFUNCTION("""COMPUTED_VALUE"""),5.0)</f>
        <v>5</v>
      </c>
      <c r="G1650" s="6" t="str">
        <f>IFERROR(__xludf.DUMMYFUNCTION("""COMPUTED_VALUE"""),"Pieces")</f>
        <v>Pieces</v>
      </c>
      <c r="H1650" s="6" t="str">
        <f>IFERROR(__xludf.DUMMYFUNCTION("""COMPUTED_VALUE"""),"IDR")</f>
        <v>IDR</v>
      </c>
      <c r="I1650" s="6">
        <f>IFERROR(__xludf.DUMMYFUNCTION("""COMPUTED_VALUE"""),60000.0)</f>
        <v>60000</v>
      </c>
      <c r="J1650" s="6">
        <f>IFERROR(__xludf.DUMMYFUNCTION("""COMPUTED_VALUE"""),300000.0)</f>
        <v>300000</v>
      </c>
      <c r="K1650" s="57">
        <f>IFERROR(__xludf.DUMMYFUNCTION("""COMPUTED_VALUE"""),44561.0)</f>
        <v>44561</v>
      </c>
      <c r="L1650" s="6" t="str">
        <f>IFERROR(__xludf.DUMMYFUNCTION("""COMPUTED_VALUE"""),"FIP Engineering")</f>
        <v>FIP Engineering</v>
      </c>
      <c r="M1650" s="6" t="str">
        <f>IFERROR(__xludf.DUMMYFUNCTION("""COMPUTED_VALUE"""),"Irwan Sopian")</f>
        <v>Irwan Sopian</v>
      </c>
      <c r="N1650" s="6" t="str">
        <f>IFERROR(__xludf.DUMMYFUNCTION("""COMPUTED_VALUE"""),"FIP Engineering")</f>
        <v>FIP Engineering</v>
      </c>
      <c r="O1650" s="6" t="str">
        <f>IFERROR(__xludf.DUMMYFUNCTION("""COMPUTED_VALUE"""),"FIP-DOM-000-11304-OS00001-INA-000000")</f>
        <v>FIP-DOM-000-11304-OS00001-INA-000000</v>
      </c>
      <c r="P1650" s="6" t="str">
        <f>IFERROR(__xludf.DUMMYFUNCTION("""COMPUTED_VALUE"""),"PO Closed")</f>
        <v>PO Closed</v>
      </c>
      <c r="Q1650" s="6" t="str">
        <f>IFERROR(__xludf.DUMMYFUNCTION("""COMPUTED_VALUE"""),"GL2112021")</f>
        <v>GL2112021</v>
      </c>
      <c r="R1650" s="57">
        <f>IFERROR(__xludf.DUMMYFUNCTION("""COMPUTED_VALUE"""),44531.0)</f>
        <v>44531</v>
      </c>
      <c r="S1650" s="6" t="str">
        <f>IFERROR(__xludf.DUMMYFUNCTION("""COMPUTED_VALUE"""),"-")</f>
        <v>-</v>
      </c>
      <c r="T1650" s="57">
        <f>IFERROR(__xludf.DUMMYFUNCTION("""COMPUTED_VALUE"""),44561.0)</f>
        <v>44561</v>
      </c>
    </row>
    <row r="1651">
      <c r="A1651" s="6" t="str">
        <f>IFERROR(__xludf.DUMMYFUNCTION("""COMPUTED_VALUE"""),"211750463-8")</f>
        <v>211750463-8</v>
      </c>
      <c r="B1651" s="6" t="str">
        <f>IFERROR(__xludf.DUMMYFUNCTION("""COMPUTED_VALUE"""),"211750463 - Approved")</f>
        <v>211750463 - Approved</v>
      </c>
      <c r="C1651" s="6">
        <f>IFERROR(__xludf.DUMMYFUNCTION("""COMPUTED_VALUE"""),8.0)</f>
        <v>8</v>
      </c>
      <c r="D1651" s="6" t="str">
        <f>IFERROR(__xludf.DUMMYFUNCTION("""COMPUTED_VALUE"""),"P-12265-00")</f>
        <v>P-12265-00</v>
      </c>
      <c r="E1651" s="6" t="str">
        <f>IFERROR(__xludf.DUMMYFUNCTION("""COMPUTED_VALUE"""),"FESTO - Push In Connector QS-8-6 p/n 153038")</f>
        <v>FESTO - Push In Connector QS-8-6 p/n 153038</v>
      </c>
      <c r="F1651" s="6">
        <f>IFERROR(__xludf.DUMMYFUNCTION("""COMPUTED_VALUE"""),5.0)</f>
        <v>5</v>
      </c>
      <c r="G1651" s="6" t="str">
        <f>IFERROR(__xludf.DUMMYFUNCTION("""COMPUTED_VALUE"""),"Pieces")</f>
        <v>Pieces</v>
      </c>
      <c r="H1651" s="6" t="str">
        <f>IFERROR(__xludf.DUMMYFUNCTION("""COMPUTED_VALUE"""),"IDR")</f>
        <v>IDR</v>
      </c>
      <c r="I1651" s="6">
        <f>IFERROR(__xludf.DUMMYFUNCTION("""COMPUTED_VALUE"""),47000.0)</f>
        <v>47000</v>
      </c>
      <c r="J1651" s="6">
        <f>IFERROR(__xludf.DUMMYFUNCTION("""COMPUTED_VALUE"""),235000.0)</f>
        <v>235000</v>
      </c>
      <c r="K1651" s="57">
        <f>IFERROR(__xludf.DUMMYFUNCTION("""COMPUTED_VALUE"""),44561.0)</f>
        <v>44561</v>
      </c>
      <c r="L1651" s="6" t="str">
        <f>IFERROR(__xludf.DUMMYFUNCTION("""COMPUTED_VALUE"""),"FIP Engineering")</f>
        <v>FIP Engineering</v>
      </c>
      <c r="M1651" s="6" t="str">
        <f>IFERROR(__xludf.DUMMYFUNCTION("""COMPUTED_VALUE"""),"Irwan Sopian")</f>
        <v>Irwan Sopian</v>
      </c>
      <c r="N1651" s="6" t="str">
        <f>IFERROR(__xludf.DUMMYFUNCTION("""COMPUTED_VALUE"""),"FIP Engineering")</f>
        <v>FIP Engineering</v>
      </c>
      <c r="O1651" s="6" t="str">
        <f>IFERROR(__xludf.DUMMYFUNCTION("""COMPUTED_VALUE"""),"FIP-DOM-000-11304-OS00001-INA-000000")</f>
        <v>FIP-DOM-000-11304-OS00001-INA-000000</v>
      </c>
      <c r="P1651" s="6" t="str">
        <f>IFERROR(__xludf.DUMMYFUNCTION("""COMPUTED_VALUE"""),"PO Closed")</f>
        <v>PO Closed</v>
      </c>
      <c r="Q1651" s="6" t="str">
        <f>IFERROR(__xludf.DUMMYFUNCTION("""COMPUTED_VALUE"""),"GL2112021")</f>
        <v>GL2112021</v>
      </c>
      <c r="R1651" s="57">
        <f>IFERROR(__xludf.DUMMYFUNCTION("""COMPUTED_VALUE"""),44531.0)</f>
        <v>44531</v>
      </c>
      <c r="S1651" s="6" t="str">
        <f>IFERROR(__xludf.DUMMYFUNCTION("""COMPUTED_VALUE"""),"-")</f>
        <v>-</v>
      </c>
      <c r="T1651" s="57">
        <f>IFERROR(__xludf.DUMMYFUNCTION("""COMPUTED_VALUE"""),44561.0)</f>
        <v>44561</v>
      </c>
    </row>
    <row r="1652">
      <c r="A1652" s="6" t="str">
        <f>IFERROR(__xludf.DUMMYFUNCTION("""COMPUTED_VALUE"""),"211750463-9")</f>
        <v>211750463-9</v>
      </c>
      <c r="B1652" s="6" t="str">
        <f>IFERROR(__xludf.DUMMYFUNCTION("""COMPUTED_VALUE"""),"211750463 - Approved")</f>
        <v>211750463 - Approved</v>
      </c>
      <c r="C1652" s="6">
        <f>IFERROR(__xludf.DUMMYFUNCTION("""COMPUTED_VALUE"""),9.0)</f>
        <v>9</v>
      </c>
      <c r="D1652" s="6" t="str">
        <f>IFERROR(__xludf.DUMMYFUNCTION("""COMPUTED_VALUE"""),"P-12305-00")</f>
        <v>P-12305-00</v>
      </c>
      <c r="E1652" s="6" t="str">
        <f>IFERROR(__xludf.DUMMYFUNCTION("""COMPUTED_VALUE"""),"FESTO - QST-6 Push in t-connection p/n 153129")</f>
        <v>FESTO - QST-6 Push in t-connection p/n 153129</v>
      </c>
      <c r="F1652" s="6">
        <f>IFERROR(__xludf.DUMMYFUNCTION("""COMPUTED_VALUE"""),5.0)</f>
        <v>5</v>
      </c>
      <c r="G1652" s="6" t="str">
        <f>IFERROR(__xludf.DUMMYFUNCTION("""COMPUTED_VALUE"""),"Pieces")</f>
        <v>Pieces</v>
      </c>
      <c r="H1652" s="6" t="str">
        <f>IFERROR(__xludf.DUMMYFUNCTION("""COMPUTED_VALUE"""),"IDR")</f>
        <v>IDR</v>
      </c>
      <c r="I1652" s="6">
        <f>IFERROR(__xludf.DUMMYFUNCTION("""COMPUTED_VALUE"""),55000.0)</f>
        <v>55000</v>
      </c>
      <c r="J1652" s="6">
        <f>IFERROR(__xludf.DUMMYFUNCTION("""COMPUTED_VALUE"""),275000.0)</f>
        <v>275000</v>
      </c>
      <c r="K1652" s="57">
        <f>IFERROR(__xludf.DUMMYFUNCTION("""COMPUTED_VALUE"""),44561.0)</f>
        <v>44561</v>
      </c>
      <c r="L1652" s="6" t="str">
        <f>IFERROR(__xludf.DUMMYFUNCTION("""COMPUTED_VALUE"""),"FIP Engineering")</f>
        <v>FIP Engineering</v>
      </c>
      <c r="M1652" s="6" t="str">
        <f>IFERROR(__xludf.DUMMYFUNCTION("""COMPUTED_VALUE"""),"Irwan Sopian")</f>
        <v>Irwan Sopian</v>
      </c>
      <c r="N1652" s="6" t="str">
        <f>IFERROR(__xludf.DUMMYFUNCTION("""COMPUTED_VALUE"""),"FIP Engineering")</f>
        <v>FIP Engineering</v>
      </c>
      <c r="O1652" s="6" t="str">
        <f>IFERROR(__xludf.DUMMYFUNCTION("""COMPUTED_VALUE"""),"FIP-DOM-000-11304-OS00001-INA-000000")</f>
        <v>FIP-DOM-000-11304-OS00001-INA-000000</v>
      </c>
      <c r="P1652" s="6" t="str">
        <f>IFERROR(__xludf.DUMMYFUNCTION("""COMPUTED_VALUE"""),"PO Closed")</f>
        <v>PO Closed</v>
      </c>
      <c r="Q1652" s="6" t="str">
        <f>IFERROR(__xludf.DUMMYFUNCTION("""COMPUTED_VALUE"""),"GL2112021")</f>
        <v>GL2112021</v>
      </c>
      <c r="R1652" s="57">
        <f>IFERROR(__xludf.DUMMYFUNCTION("""COMPUTED_VALUE"""),44531.0)</f>
        <v>44531</v>
      </c>
      <c r="S1652" s="6" t="str">
        <f>IFERROR(__xludf.DUMMYFUNCTION("""COMPUTED_VALUE"""),"-")</f>
        <v>-</v>
      </c>
      <c r="T1652" s="57">
        <f>IFERROR(__xludf.DUMMYFUNCTION("""COMPUTED_VALUE"""),44561.0)</f>
        <v>44561</v>
      </c>
    </row>
    <row r="1653">
      <c r="A1653" s="6" t="str">
        <f>IFERROR(__xludf.DUMMYFUNCTION("""COMPUTED_VALUE"""),"211750463-10")</f>
        <v>211750463-10</v>
      </c>
      <c r="B1653" s="6" t="str">
        <f>IFERROR(__xludf.DUMMYFUNCTION("""COMPUTED_VALUE"""),"211750463 - Approved")</f>
        <v>211750463 - Approved</v>
      </c>
      <c r="C1653" s="6">
        <f>IFERROR(__xludf.DUMMYFUNCTION("""COMPUTED_VALUE"""),10.0)</f>
        <v>10</v>
      </c>
      <c r="D1653" s="6" t="str">
        <f>IFERROR(__xludf.DUMMYFUNCTION("""COMPUTED_VALUE"""),"P-12306-00")</f>
        <v>P-12306-00</v>
      </c>
      <c r="E1653" s="6" t="str">
        <f>IFERROR(__xludf.DUMMYFUNCTION("""COMPUTED_VALUE"""),"FESTO - QST-8 push in t- connection p/n 153130")</f>
        <v>FESTO - QST-8 push in t- connection p/n 153130</v>
      </c>
      <c r="F1653" s="6">
        <f>IFERROR(__xludf.DUMMYFUNCTION("""COMPUTED_VALUE"""),5.0)</f>
        <v>5</v>
      </c>
      <c r="G1653" s="6" t="str">
        <f>IFERROR(__xludf.DUMMYFUNCTION("""COMPUTED_VALUE"""),"Pieces")</f>
        <v>Pieces</v>
      </c>
      <c r="H1653" s="6" t="str">
        <f>IFERROR(__xludf.DUMMYFUNCTION("""COMPUTED_VALUE"""),"IDR")</f>
        <v>IDR</v>
      </c>
      <c r="I1653" s="6">
        <f>IFERROR(__xludf.DUMMYFUNCTION("""COMPUTED_VALUE"""),48000.0)</f>
        <v>48000</v>
      </c>
      <c r="J1653" s="6">
        <f>IFERROR(__xludf.DUMMYFUNCTION("""COMPUTED_VALUE"""),240000.0)</f>
        <v>240000</v>
      </c>
      <c r="K1653" s="57">
        <f>IFERROR(__xludf.DUMMYFUNCTION("""COMPUTED_VALUE"""),44561.0)</f>
        <v>44561</v>
      </c>
      <c r="L1653" s="6" t="str">
        <f>IFERROR(__xludf.DUMMYFUNCTION("""COMPUTED_VALUE"""),"FIP Engineering")</f>
        <v>FIP Engineering</v>
      </c>
      <c r="M1653" s="6" t="str">
        <f>IFERROR(__xludf.DUMMYFUNCTION("""COMPUTED_VALUE"""),"Irwan Sopian")</f>
        <v>Irwan Sopian</v>
      </c>
      <c r="N1653" s="6" t="str">
        <f>IFERROR(__xludf.DUMMYFUNCTION("""COMPUTED_VALUE"""),"FIP Engineering")</f>
        <v>FIP Engineering</v>
      </c>
      <c r="O1653" s="6" t="str">
        <f>IFERROR(__xludf.DUMMYFUNCTION("""COMPUTED_VALUE"""),"FIP-DOM-000-11304-OS00001-INA-000000")</f>
        <v>FIP-DOM-000-11304-OS00001-INA-000000</v>
      </c>
      <c r="P1653" s="6" t="str">
        <f>IFERROR(__xludf.DUMMYFUNCTION("""COMPUTED_VALUE"""),"PO Closed")</f>
        <v>PO Closed</v>
      </c>
      <c r="Q1653" s="6" t="str">
        <f>IFERROR(__xludf.DUMMYFUNCTION("""COMPUTED_VALUE"""),"GL2112021")</f>
        <v>GL2112021</v>
      </c>
      <c r="R1653" s="57">
        <f>IFERROR(__xludf.DUMMYFUNCTION("""COMPUTED_VALUE"""),44531.0)</f>
        <v>44531</v>
      </c>
      <c r="S1653" s="6" t="str">
        <f>IFERROR(__xludf.DUMMYFUNCTION("""COMPUTED_VALUE"""),"-")</f>
        <v>-</v>
      </c>
      <c r="T1653" s="57">
        <f>IFERROR(__xludf.DUMMYFUNCTION("""COMPUTED_VALUE"""),44561.0)</f>
        <v>44561</v>
      </c>
    </row>
    <row r="1654">
      <c r="A1654" s="6" t="str">
        <f>IFERROR(__xludf.DUMMYFUNCTION("""COMPUTED_VALUE"""),"211750462-1")</f>
        <v>211750462-1</v>
      </c>
      <c r="B1654" s="6" t="str">
        <f>IFERROR(__xludf.DUMMYFUNCTION("""COMPUTED_VALUE"""),"211750462 - Approved")</f>
        <v>211750462 - Approved</v>
      </c>
      <c r="C1654" s="6">
        <f>IFERROR(__xludf.DUMMYFUNCTION("""COMPUTED_VALUE"""),1.0)</f>
        <v>1</v>
      </c>
      <c r="D1654" s="6" t="str">
        <f>IFERROR(__xludf.DUMMYFUNCTION("""COMPUTED_VALUE"""),"S-60002-00")</f>
        <v>S-60002-00</v>
      </c>
      <c r="E1654" s="6" t="str">
        <f>IFERROR(__xludf.DUMMYFUNCTION("""COMPUTED_VALUE"""),"Penambahan Header untuk Jalur Drain Steam Hot Water")</f>
        <v>Penambahan Header untuk Jalur Drain Steam Hot Water</v>
      </c>
      <c r="F1654" s="6">
        <f>IFERROR(__xludf.DUMMYFUNCTION("""COMPUTED_VALUE"""),1.0)</f>
        <v>1</v>
      </c>
      <c r="G1654" s="6" t="str">
        <f>IFERROR(__xludf.DUMMYFUNCTION("""COMPUTED_VALUE"""),"Lot")</f>
        <v>Lot</v>
      </c>
      <c r="H1654" s="6" t="str">
        <f>IFERROR(__xludf.DUMMYFUNCTION("""COMPUTED_VALUE"""),"IDR")</f>
        <v>IDR</v>
      </c>
      <c r="I1654" s="6">
        <f>IFERROR(__xludf.DUMMYFUNCTION("""COMPUTED_VALUE"""),9044000.0)</f>
        <v>9044000</v>
      </c>
      <c r="J1654" s="6">
        <f>IFERROR(__xludf.DUMMYFUNCTION("""COMPUTED_VALUE"""),9044000.0)</f>
        <v>9044000</v>
      </c>
      <c r="K1654" s="57">
        <f>IFERROR(__xludf.DUMMYFUNCTION("""COMPUTED_VALUE"""),44561.0)</f>
        <v>44561</v>
      </c>
      <c r="L1654" s="6" t="str">
        <f>IFERROR(__xludf.DUMMYFUNCTION("""COMPUTED_VALUE"""),"FIP General")</f>
        <v>FIP General</v>
      </c>
      <c r="M1654" s="6" t="str">
        <f>IFERROR(__xludf.DUMMYFUNCTION("""COMPUTED_VALUE"""),"Irwan Sopian")</f>
        <v>Irwan Sopian</v>
      </c>
      <c r="N1654" s="6" t="str">
        <f>IFERROR(__xludf.DUMMYFUNCTION("""COMPUTED_VALUE"""),"FIP Engineering")</f>
        <v>FIP Engineering</v>
      </c>
      <c r="O1654" s="6" t="str">
        <f>IFERROR(__xludf.DUMMYFUNCTION("""COMPUTED_VALUE"""),"FIP-DOM-ENG-51508-0000000-INA-000000")</f>
        <v>FIP-DOM-ENG-51508-0000000-INA-000000</v>
      </c>
      <c r="P1654" s="6" t="str">
        <f>IFERROR(__xludf.DUMMYFUNCTION("""COMPUTED_VALUE"""),"PO Closed")</f>
        <v>PO Closed</v>
      </c>
      <c r="Q1654" s="6" t="str">
        <f>IFERROR(__xludf.DUMMYFUNCTION("""COMPUTED_VALUE"""),"GL2112051")</f>
        <v>GL2112051</v>
      </c>
      <c r="R1654" s="57">
        <f>IFERROR(__xludf.DUMMYFUNCTION("""COMPUTED_VALUE"""),44531.0)</f>
        <v>44531</v>
      </c>
      <c r="S1654" s="6" t="str">
        <f>IFERROR(__xludf.DUMMYFUNCTION("""COMPUTED_VALUE"""),"-")</f>
        <v>-</v>
      </c>
      <c r="T1654" s="57">
        <f>IFERROR(__xludf.DUMMYFUNCTION("""COMPUTED_VALUE"""),44563.0)</f>
        <v>44563</v>
      </c>
    </row>
    <row r="1655">
      <c r="A1655" s="6" t="str">
        <f>IFERROR(__xludf.DUMMYFUNCTION("""COMPUTED_VALUE"""),"211750461-1")</f>
        <v>211750461-1</v>
      </c>
      <c r="B1655" s="6" t="str">
        <f>IFERROR(__xludf.DUMMYFUNCTION("""COMPUTED_VALUE"""),"211750461 - Approved")</f>
        <v>211750461 - Approved</v>
      </c>
      <c r="C1655" s="6">
        <f>IFERROR(__xludf.DUMMYFUNCTION("""COMPUTED_VALUE"""),1.0)</f>
        <v>1</v>
      </c>
      <c r="D1655" s="6" t="str">
        <f>IFERROR(__xludf.DUMMYFUNCTION("""COMPUTED_VALUE"""),"S-60002-00")</f>
        <v>S-60002-00</v>
      </c>
      <c r="E1655" s="6" t="str">
        <f>IFERROR(__xludf.DUMMYFUNCTION("""COMPUTED_VALUE"""),"Penggantian Pipa Pressure Tank Hot Water")</f>
        <v>Penggantian Pipa Pressure Tank Hot Water</v>
      </c>
      <c r="F1655" s="6">
        <f>IFERROR(__xludf.DUMMYFUNCTION("""COMPUTED_VALUE"""),1.0)</f>
        <v>1</v>
      </c>
      <c r="G1655" s="6" t="str">
        <f>IFERROR(__xludf.DUMMYFUNCTION("""COMPUTED_VALUE"""),"Lot")</f>
        <v>Lot</v>
      </c>
      <c r="H1655" s="6" t="str">
        <f>IFERROR(__xludf.DUMMYFUNCTION("""COMPUTED_VALUE"""),"IDR")</f>
        <v>IDR</v>
      </c>
      <c r="I1655" s="6">
        <f>IFERROR(__xludf.DUMMYFUNCTION("""COMPUTED_VALUE"""),6480000.0)</f>
        <v>6480000</v>
      </c>
      <c r="J1655" s="6">
        <f>IFERROR(__xludf.DUMMYFUNCTION("""COMPUTED_VALUE"""),6480000.0)</f>
        <v>6480000</v>
      </c>
      <c r="K1655" s="57">
        <f>IFERROR(__xludf.DUMMYFUNCTION("""COMPUTED_VALUE"""),44561.0)</f>
        <v>44561</v>
      </c>
      <c r="L1655" s="6" t="str">
        <f>IFERROR(__xludf.DUMMYFUNCTION("""COMPUTED_VALUE"""),"FIP General")</f>
        <v>FIP General</v>
      </c>
      <c r="M1655" s="6" t="str">
        <f>IFERROR(__xludf.DUMMYFUNCTION("""COMPUTED_VALUE"""),"Irwan Sopian")</f>
        <v>Irwan Sopian</v>
      </c>
      <c r="N1655" s="6" t="str">
        <f>IFERROR(__xludf.DUMMYFUNCTION("""COMPUTED_VALUE"""),"FIP Engineering")</f>
        <v>FIP Engineering</v>
      </c>
      <c r="O1655" s="6" t="str">
        <f>IFERROR(__xludf.DUMMYFUNCTION("""COMPUTED_VALUE"""),"FIP-DOM-ENG-51508-0000000-INA-000000")</f>
        <v>FIP-DOM-ENG-51508-0000000-INA-000000</v>
      </c>
      <c r="P1655" s="6" t="str">
        <f>IFERROR(__xludf.DUMMYFUNCTION("""COMPUTED_VALUE"""),"PO Closed")</f>
        <v>PO Closed</v>
      </c>
      <c r="Q1655" s="6" t="str">
        <f>IFERROR(__xludf.DUMMYFUNCTION("""COMPUTED_VALUE"""),"GL2112005")</f>
        <v>GL2112005</v>
      </c>
      <c r="R1655" s="57">
        <f>IFERROR(__xludf.DUMMYFUNCTION("""COMPUTED_VALUE"""),44531.0)</f>
        <v>44531</v>
      </c>
      <c r="S1655" s="6" t="str">
        <f>IFERROR(__xludf.DUMMYFUNCTION("""COMPUTED_VALUE"""),"-")</f>
        <v>-</v>
      </c>
      <c r="T1655" s="57">
        <f>IFERROR(__xludf.DUMMYFUNCTION("""COMPUTED_VALUE"""),44561.0)</f>
        <v>44561</v>
      </c>
    </row>
    <row r="1656">
      <c r="A1656" s="6" t="str">
        <f>IFERROR(__xludf.DUMMYFUNCTION("""COMPUTED_VALUE"""),"211750457-1")</f>
        <v>211750457-1</v>
      </c>
      <c r="B1656" s="6" t="str">
        <f>IFERROR(__xludf.DUMMYFUNCTION("""COMPUTED_VALUE"""),"211750457 - Approved")</f>
        <v>211750457 - Approved</v>
      </c>
      <c r="C1656" s="6">
        <f>IFERROR(__xludf.DUMMYFUNCTION("""COMPUTED_VALUE"""),1.0)</f>
        <v>1</v>
      </c>
      <c r="D1656" s="6" t="str">
        <f>IFERROR(__xludf.DUMMYFUNCTION("""COMPUTED_VALUE"""),"T-20447-00")</f>
        <v>T-20447-00</v>
      </c>
      <c r="E1656" s="6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F1656" s="6">
        <f>IFERROR(__xludf.DUMMYFUNCTION("""COMPUTED_VALUE"""),1.0)</f>
        <v>1</v>
      </c>
      <c r="G1656" s="6" t="str">
        <f>IFERROR(__xludf.DUMMYFUNCTION("""COMPUTED_VALUE"""),"Pack")</f>
        <v>Pack</v>
      </c>
      <c r="H1656" s="6" t="str">
        <f>IFERROR(__xludf.DUMMYFUNCTION("""COMPUTED_VALUE"""),"IDR")</f>
        <v>IDR</v>
      </c>
      <c r="I1656" s="6">
        <f>IFERROR(__xludf.DUMMYFUNCTION("""COMPUTED_VALUE"""),496800.0)</f>
        <v>496800</v>
      </c>
      <c r="J1656" s="6">
        <f>IFERROR(__xludf.DUMMYFUNCTION("""COMPUTED_VALUE"""),496800.0)</f>
        <v>496800</v>
      </c>
      <c r="K1656" s="57">
        <f>IFERROR(__xludf.DUMMYFUNCTION("""COMPUTED_VALUE"""),44561.0)</f>
        <v>44561</v>
      </c>
      <c r="L1656" s="6" t="str">
        <f>IFERROR(__xludf.DUMMYFUNCTION("""COMPUTED_VALUE"""),"FIP General")</f>
        <v>FIP General</v>
      </c>
      <c r="M1656" s="6" t="str">
        <f>IFERROR(__xludf.DUMMYFUNCTION("""COMPUTED_VALUE"""),"Irwan Sopian")</f>
        <v>Irwan Sopian</v>
      </c>
      <c r="N1656" s="6" t="str">
        <f>IFERROR(__xludf.DUMMYFUNCTION("""COMPUTED_VALUE"""),"FIP Engineering")</f>
        <v>FIP Engineering</v>
      </c>
      <c r="O1656" s="6" t="str">
        <f>IFERROR(__xludf.DUMMYFUNCTION("""COMPUTED_VALUE"""),"FIP-DOM-ENG-51505-0000000-INA-000000")</f>
        <v>FIP-DOM-ENG-51505-0000000-INA-000000</v>
      </c>
      <c r="P1656" s="6" t="str">
        <f>IFERROR(__xludf.DUMMYFUNCTION("""COMPUTED_VALUE"""),"PO Closed")</f>
        <v>PO Closed</v>
      </c>
      <c r="Q1656" s="6" t="str">
        <f>IFERROR(__xludf.DUMMYFUNCTION("""COMPUTED_VALUE"""),"GL2112036")</f>
        <v>GL2112036</v>
      </c>
      <c r="R1656" s="57">
        <f>IFERROR(__xludf.DUMMYFUNCTION("""COMPUTED_VALUE"""),44531.0)</f>
        <v>44531</v>
      </c>
      <c r="S1656" s="6" t="str">
        <f>IFERROR(__xludf.DUMMYFUNCTION("""COMPUTED_VALUE"""),"-")</f>
        <v>-</v>
      </c>
      <c r="T1656" s="57">
        <f>IFERROR(__xludf.DUMMYFUNCTION("""COMPUTED_VALUE"""),44616.0)</f>
        <v>44616</v>
      </c>
    </row>
    <row r="1657">
      <c r="A1657" s="6" t="str">
        <f>IFERROR(__xludf.DUMMYFUNCTION("""COMPUTED_VALUE"""),"211750457-2")</f>
        <v>211750457-2</v>
      </c>
      <c r="B1657" s="6" t="str">
        <f>IFERROR(__xludf.DUMMYFUNCTION("""COMPUTED_VALUE"""),"211750457 - Approved")</f>
        <v>211750457 - Approved</v>
      </c>
      <c r="C1657" s="6">
        <f>IFERROR(__xludf.DUMMYFUNCTION("""COMPUTED_VALUE"""),2.0)</f>
        <v>2</v>
      </c>
      <c r="D1657" s="6" t="str">
        <f>IFERROR(__xludf.DUMMYFUNCTION("""COMPUTED_VALUE"""),"T-20320-00")</f>
        <v>T-20320-00</v>
      </c>
      <c r="E1657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F1657" s="6">
        <f>IFERROR(__xludf.DUMMYFUNCTION("""COMPUTED_VALUE"""),1.0)</f>
        <v>1</v>
      </c>
      <c r="G1657" s="6" t="str">
        <f>IFERROR(__xludf.DUMMYFUNCTION("""COMPUTED_VALUE"""),"Pieces")</f>
        <v>Pieces</v>
      </c>
      <c r="H1657" s="6" t="str">
        <f>IFERROR(__xludf.DUMMYFUNCTION("""COMPUTED_VALUE"""),"IDR")</f>
        <v>IDR</v>
      </c>
      <c r="I1657" s="6">
        <f>IFERROR(__xludf.DUMMYFUNCTION("""COMPUTED_VALUE"""),611820.0)</f>
        <v>611820</v>
      </c>
      <c r="J1657" s="6">
        <f>IFERROR(__xludf.DUMMYFUNCTION("""COMPUTED_VALUE"""),611820.0)</f>
        <v>611820</v>
      </c>
      <c r="K1657" s="57">
        <f>IFERROR(__xludf.DUMMYFUNCTION("""COMPUTED_VALUE"""),44561.0)</f>
        <v>44561</v>
      </c>
      <c r="L1657" s="6" t="str">
        <f>IFERROR(__xludf.DUMMYFUNCTION("""COMPUTED_VALUE"""),"FIP General")</f>
        <v>FIP General</v>
      </c>
      <c r="M1657" s="6" t="str">
        <f>IFERROR(__xludf.DUMMYFUNCTION("""COMPUTED_VALUE"""),"Irwan Sopian")</f>
        <v>Irwan Sopian</v>
      </c>
      <c r="N1657" s="6" t="str">
        <f>IFERROR(__xludf.DUMMYFUNCTION("""COMPUTED_VALUE"""),"FIP Engineering")</f>
        <v>FIP Engineering</v>
      </c>
      <c r="O1657" s="6" t="str">
        <f>IFERROR(__xludf.DUMMYFUNCTION("""COMPUTED_VALUE"""),"FIP-DOM-ENG-51505-0000000-INA-000000")</f>
        <v>FIP-DOM-ENG-51505-0000000-INA-000000</v>
      </c>
      <c r="P1657" s="6" t="str">
        <f>IFERROR(__xludf.DUMMYFUNCTION("""COMPUTED_VALUE"""),"PO Closed")</f>
        <v>PO Closed</v>
      </c>
      <c r="Q1657" s="6" t="str">
        <f>IFERROR(__xludf.DUMMYFUNCTION("""COMPUTED_VALUE"""),"GL2112036")</f>
        <v>GL2112036</v>
      </c>
      <c r="R1657" s="57">
        <f>IFERROR(__xludf.DUMMYFUNCTION("""COMPUTED_VALUE"""),44531.0)</f>
        <v>44531</v>
      </c>
      <c r="S1657" s="6" t="str">
        <f>IFERROR(__xludf.DUMMYFUNCTION("""COMPUTED_VALUE"""),"-")</f>
        <v>-</v>
      </c>
      <c r="T1657" s="57">
        <f>IFERROR(__xludf.DUMMYFUNCTION("""COMPUTED_VALUE"""),44616.0)</f>
        <v>44616</v>
      </c>
    </row>
    <row r="1658">
      <c r="A1658" s="6" t="str">
        <f>IFERROR(__xludf.DUMMYFUNCTION("""COMPUTED_VALUE"""),"211750457-3")</f>
        <v>211750457-3</v>
      </c>
      <c r="B1658" s="6" t="str">
        <f>IFERROR(__xludf.DUMMYFUNCTION("""COMPUTED_VALUE"""),"211750457 - Approved")</f>
        <v>211750457 - Approved</v>
      </c>
      <c r="C1658" s="6">
        <f>IFERROR(__xludf.DUMMYFUNCTION("""COMPUTED_VALUE"""),3.0)</f>
        <v>3</v>
      </c>
      <c r="D1658" s="6" t="str">
        <f>IFERROR(__xludf.DUMMYFUNCTION("""COMPUTED_VALUE"""),"T-20348-00")</f>
        <v>T-20348-00</v>
      </c>
      <c r="E1658" s="6" t="str">
        <f>IFERROR(__xludf.DUMMYFUNCTION("""COMPUTED_VALUE"""),"Non-Stick Liner O-Ring,; Agilent; Part No. 5188-6405; 5/pk")</f>
        <v>Non-Stick Liner O-Ring,; Agilent; Part No. 5188-6405; 5/pk</v>
      </c>
      <c r="F1658" s="6">
        <f>IFERROR(__xludf.DUMMYFUNCTION("""COMPUTED_VALUE"""),1.0)</f>
        <v>1</v>
      </c>
      <c r="G1658" s="6" t="str">
        <f>IFERROR(__xludf.DUMMYFUNCTION("""COMPUTED_VALUE"""),"Pack")</f>
        <v>Pack</v>
      </c>
      <c r="H1658" s="6" t="str">
        <f>IFERROR(__xludf.DUMMYFUNCTION("""COMPUTED_VALUE"""),"IDR")</f>
        <v>IDR</v>
      </c>
      <c r="I1658" s="6">
        <f>IFERROR(__xludf.DUMMYFUNCTION("""COMPUTED_VALUE"""),203040.0)</f>
        <v>203040</v>
      </c>
      <c r="J1658" s="6">
        <f>IFERROR(__xludf.DUMMYFUNCTION("""COMPUTED_VALUE"""),203040.0)</f>
        <v>203040</v>
      </c>
      <c r="K1658" s="57">
        <f>IFERROR(__xludf.DUMMYFUNCTION("""COMPUTED_VALUE"""),44561.0)</f>
        <v>44561</v>
      </c>
      <c r="L1658" s="6" t="str">
        <f>IFERROR(__xludf.DUMMYFUNCTION("""COMPUTED_VALUE"""),"FIP General")</f>
        <v>FIP General</v>
      </c>
      <c r="M1658" s="6" t="str">
        <f>IFERROR(__xludf.DUMMYFUNCTION("""COMPUTED_VALUE"""),"Irwan Sopian")</f>
        <v>Irwan Sopian</v>
      </c>
      <c r="N1658" s="6" t="str">
        <f>IFERROR(__xludf.DUMMYFUNCTION("""COMPUTED_VALUE"""),"FIP Engineering")</f>
        <v>FIP Engineering</v>
      </c>
      <c r="O1658" s="6" t="str">
        <f>IFERROR(__xludf.DUMMYFUNCTION("""COMPUTED_VALUE"""),"FIP-DOM-ENG-51505-0000000-INA-000000")</f>
        <v>FIP-DOM-ENG-51505-0000000-INA-000000</v>
      </c>
      <c r="P1658" s="6" t="str">
        <f>IFERROR(__xludf.DUMMYFUNCTION("""COMPUTED_VALUE"""),"PO Closed")</f>
        <v>PO Closed</v>
      </c>
      <c r="Q1658" s="6" t="str">
        <f>IFERROR(__xludf.DUMMYFUNCTION("""COMPUTED_VALUE"""),"GL2112036")</f>
        <v>GL2112036</v>
      </c>
      <c r="R1658" s="57">
        <f>IFERROR(__xludf.DUMMYFUNCTION("""COMPUTED_VALUE"""),44531.0)</f>
        <v>44531</v>
      </c>
      <c r="S1658" s="6" t="str">
        <f>IFERROR(__xludf.DUMMYFUNCTION("""COMPUTED_VALUE"""),"-")</f>
        <v>-</v>
      </c>
      <c r="T1658" s="57">
        <f>IFERROR(__xludf.DUMMYFUNCTION("""COMPUTED_VALUE"""),44665.0)</f>
        <v>44665</v>
      </c>
    </row>
    <row r="1659">
      <c r="A1659" s="6" t="str">
        <f>IFERROR(__xludf.DUMMYFUNCTION("""COMPUTED_VALUE"""),"211750457-4")</f>
        <v>211750457-4</v>
      </c>
      <c r="B1659" s="6" t="str">
        <f>IFERROR(__xludf.DUMMYFUNCTION("""COMPUTED_VALUE"""),"211750457 - Approved")</f>
        <v>211750457 - Approved</v>
      </c>
      <c r="C1659" s="6">
        <f>IFERROR(__xludf.DUMMYFUNCTION("""COMPUTED_VALUE"""),4.0)</f>
        <v>4</v>
      </c>
      <c r="D1659" s="6" t="str">
        <f>IFERROR(__xludf.DUMMYFUNCTION("""COMPUTED_VALUE"""),"T-20055-00")</f>
        <v>T-20055-00</v>
      </c>
      <c r="E1659" s="6" t="str">
        <f>IFERROR(__xludf.DUMMYFUNCTION("""COMPUTED_VALUE"""),"PerformancePlus Check Valve Cartridge Waters p/n 700002399")</f>
        <v>PerformancePlus Check Valve Cartridge Waters p/n 700002399</v>
      </c>
      <c r="F1659" s="6">
        <f>IFERROR(__xludf.DUMMYFUNCTION("""COMPUTED_VALUE"""),1.0)</f>
        <v>1</v>
      </c>
      <c r="G1659" s="6" t="str">
        <f>IFERROR(__xludf.DUMMYFUNCTION("""COMPUTED_VALUE"""),"Pieces")</f>
        <v>Pieces</v>
      </c>
      <c r="H1659" s="6" t="str">
        <f>IFERROR(__xludf.DUMMYFUNCTION("""COMPUTED_VALUE"""),"IDR")</f>
        <v>IDR</v>
      </c>
      <c r="I1659" s="6">
        <f>IFERROR(__xludf.DUMMYFUNCTION("""COMPUTED_VALUE"""),5814500.0)</f>
        <v>5814500</v>
      </c>
      <c r="J1659" s="6">
        <f>IFERROR(__xludf.DUMMYFUNCTION("""COMPUTED_VALUE"""),5814500.0)</f>
        <v>5814500</v>
      </c>
      <c r="K1659" s="57">
        <f>IFERROR(__xludf.DUMMYFUNCTION("""COMPUTED_VALUE"""),44561.0)</f>
        <v>44561</v>
      </c>
      <c r="L1659" s="6" t="str">
        <f>IFERROR(__xludf.DUMMYFUNCTION("""COMPUTED_VALUE"""),"FIP General")</f>
        <v>FIP General</v>
      </c>
      <c r="M1659" s="6" t="str">
        <f>IFERROR(__xludf.DUMMYFUNCTION("""COMPUTED_VALUE"""),"Irwan Sopian")</f>
        <v>Irwan Sopian</v>
      </c>
      <c r="N1659" s="6" t="str">
        <f>IFERROR(__xludf.DUMMYFUNCTION("""COMPUTED_VALUE"""),"FIP Engineering")</f>
        <v>FIP Engineering</v>
      </c>
      <c r="O1659" s="6" t="str">
        <f>IFERROR(__xludf.DUMMYFUNCTION("""COMPUTED_VALUE"""),"FIP-DOM-ENG-51505-0000000-INA-000000")</f>
        <v>FIP-DOM-ENG-51505-0000000-INA-000000</v>
      </c>
      <c r="P1659" s="6" t="str">
        <f>IFERROR(__xludf.DUMMYFUNCTION("""COMPUTED_VALUE"""),"PO Closed")</f>
        <v>PO Closed</v>
      </c>
      <c r="Q1659" s="6" t="str">
        <f>IFERROR(__xludf.DUMMYFUNCTION("""COMPUTED_VALUE"""),"GL2112039")</f>
        <v>GL2112039</v>
      </c>
      <c r="R1659" s="57">
        <f>IFERROR(__xludf.DUMMYFUNCTION("""COMPUTED_VALUE"""),44531.0)</f>
        <v>44531</v>
      </c>
      <c r="S1659" s="6" t="str">
        <f>IFERROR(__xludf.DUMMYFUNCTION("""COMPUTED_VALUE"""),"-")</f>
        <v>-</v>
      </c>
      <c r="T1659" s="57">
        <f>IFERROR(__xludf.DUMMYFUNCTION("""COMPUTED_VALUE"""),44592.0)</f>
        <v>44592</v>
      </c>
    </row>
    <row r="1660">
      <c r="A1660" s="6" t="str">
        <f>IFERROR(__xludf.DUMMYFUNCTION("""COMPUTED_VALUE"""),"211750470-1")</f>
        <v>211750470-1</v>
      </c>
      <c r="B1660" s="6" t="str">
        <f>IFERROR(__xludf.DUMMYFUNCTION("""COMPUTED_VALUE"""),"211750470 - Approved")</f>
        <v>211750470 - Approved</v>
      </c>
      <c r="C1660" s="6">
        <f>IFERROR(__xludf.DUMMYFUNCTION("""COMPUTED_VALUE"""),1.0)</f>
        <v>1</v>
      </c>
      <c r="D1660" s="6" t="str">
        <f>IFERROR(__xludf.DUMMYFUNCTION("""COMPUTED_VALUE"""),"S-60050-00")</f>
        <v>S-60050-00</v>
      </c>
      <c r="E1660" s="6" t="str">
        <f>IFERROR(__xludf.DUMMYFUNCTION("""COMPUTED_VALUE"""),"Jasa Perbaikan dan Pemeliharaan Mesin Produksi")</f>
        <v>Jasa Perbaikan dan Pemeliharaan Mesin Produksi</v>
      </c>
      <c r="F1660" s="6">
        <f>IFERROR(__xludf.DUMMYFUNCTION("""COMPUTED_VALUE"""),2.0)</f>
        <v>2</v>
      </c>
      <c r="G1660" s="6" t="str">
        <f>IFERROR(__xludf.DUMMYFUNCTION("""COMPUTED_VALUE"""),"Pieces")</f>
        <v>Pieces</v>
      </c>
      <c r="H1660" s="6" t="str">
        <f>IFERROR(__xludf.DUMMYFUNCTION("""COMPUTED_VALUE"""),"IDR")</f>
        <v>IDR</v>
      </c>
      <c r="I1660" s="6">
        <f>IFERROR(__xludf.DUMMYFUNCTION("""COMPUTED_VALUE"""),885000.0)</f>
        <v>885000</v>
      </c>
      <c r="J1660" s="6">
        <f>IFERROR(__xludf.DUMMYFUNCTION("""COMPUTED_VALUE"""),1770000.0)</f>
        <v>1770000</v>
      </c>
      <c r="K1660" s="57">
        <f>IFERROR(__xludf.DUMMYFUNCTION("""COMPUTED_VALUE"""),44561.0)</f>
        <v>44561</v>
      </c>
      <c r="L1660" s="6" t="str">
        <f>IFERROR(__xludf.DUMMYFUNCTION("""COMPUTED_VALUE"""),"FIP General")</f>
        <v>FIP General</v>
      </c>
      <c r="M1660" s="6" t="str">
        <f>IFERROR(__xludf.DUMMYFUNCTION("""COMPUTED_VALUE"""),"Irwan Sopian")</f>
        <v>Irwan Sopian</v>
      </c>
      <c r="N1660" s="6" t="str">
        <f>IFERROR(__xludf.DUMMYFUNCTION("""COMPUTED_VALUE"""),"FIP Engineering")</f>
        <v>FIP Engineering</v>
      </c>
      <c r="O1660" s="6" t="str">
        <f>IFERROR(__xludf.DUMMYFUNCTION("""COMPUTED_VALUE"""),"FIP-DOM-ENG-51504-0000000-INA-000000")</f>
        <v>FIP-DOM-ENG-51504-0000000-INA-000000</v>
      </c>
      <c r="P1660" s="6" t="str">
        <f>IFERROR(__xludf.DUMMYFUNCTION("""COMPUTED_VALUE"""),"PO Closed")</f>
        <v>PO Closed</v>
      </c>
      <c r="Q1660" s="6" t="str">
        <f>IFERROR(__xludf.DUMMYFUNCTION("""COMPUTED_VALUE"""),"GL2112043")</f>
        <v>GL2112043</v>
      </c>
      <c r="R1660" s="57">
        <f>IFERROR(__xludf.DUMMYFUNCTION("""COMPUTED_VALUE"""),44532.0)</f>
        <v>44532</v>
      </c>
      <c r="S1660" s="6" t="str">
        <f>IFERROR(__xludf.DUMMYFUNCTION("""COMPUTED_VALUE"""),"-")</f>
        <v>-</v>
      </c>
      <c r="T1660" s="57">
        <f>IFERROR(__xludf.DUMMYFUNCTION("""COMPUTED_VALUE"""),44561.0)</f>
        <v>44561</v>
      </c>
    </row>
    <row r="1661">
      <c r="A1661" s="6" t="str">
        <f>IFERROR(__xludf.DUMMYFUNCTION("""COMPUTED_VALUE"""),"211750486-1")</f>
        <v>211750486-1</v>
      </c>
      <c r="B1661" s="6" t="str">
        <f>IFERROR(__xludf.DUMMYFUNCTION("""COMPUTED_VALUE"""),"211750486 - Approved")</f>
        <v>211750486 - Approved</v>
      </c>
      <c r="C1661" s="6">
        <f>IFERROR(__xludf.DUMMYFUNCTION("""COMPUTED_VALUE"""),1.0)</f>
        <v>1</v>
      </c>
      <c r="D1661" s="6" t="str">
        <f>IFERROR(__xludf.DUMMYFUNCTION("""COMPUTED_VALUE"""),"P-51736-00")</f>
        <v>P-51736-00</v>
      </c>
      <c r="E1661" s="6" t="str">
        <f>IFERROR(__xludf.DUMMYFUNCTION("""COMPUTED_VALUE"""),"Kabel UTP isi 8 Cat 5e merk BELDEN")</f>
        <v>Kabel UTP isi 8 Cat 5e merk BELDEN</v>
      </c>
      <c r="F1661" s="6">
        <f>IFERROR(__xludf.DUMMYFUNCTION("""COMPUTED_VALUE"""),1.0)</f>
        <v>1</v>
      </c>
      <c r="G1661" s="6" t="str">
        <f>IFERROR(__xludf.DUMMYFUNCTION("""COMPUTED_VALUE"""),"Roll")</f>
        <v>Roll</v>
      </c>
      <c r="H1661" s="6" t="str">
        <f>IFERROR(__xludf.DUMMYFUNCTION("""COMPUTED_VALUE"""),"IDR")</f>
        <v>IDR</v>
      </c>
      <c r="I1661" s="6">
        <f>IFERROR(__xludf.DUMMYFUNCTION("""COMPUTED_VALUE"""),1800000.0)</f>
        <v>1800000</v>
      </c>
      <c r="J1661" s="6">
        <f>IFERROR(__xludf.DUMMYFUNCTION("""COMPUTED_VALUE"""),1800000.0)</f>
        <v>1800000</v>
      </c>
      <c r="K1661" s="57">
        <f>IFERROR(__xludf.DUMMYFUNCTION("""COMPUTED_VALUE"""),44561.0)</f>
        <v>44561</v>
      </c>
      <c r="L1661" s="6" t="str">
        <f>IFERROR(__xludf.DUMMYFUNCTION("""COMPUTED_VALUE"""),"FIP Engineering")</f>
        <v>FIP Engineering</v>
      </c>
      <c r="M1661" s="6" t="str">
        <f>IFERROR(__xludf.DUMMYFUNCTION("""COMPUTED_VALUE"""),"Irwan Sopian")</f>
        <v>Irwan Sopian</v>
      </c>
      <c r="N1661" s="6" t="str">
        <f>IFERROR(__xludf.DUMMYFUNCTION("""COMPUTED_VALUE"""),"FIP Engineering")</f>
        <v>FIP Engineering</v>
      </c>
      <c r="O1661" s="6" t="str">
        <f>IFERROR(__xludf.DUMMYFUNCTION("""COMPUTED_VALUE"""),"FIP-DOM-000-11304-OS00001-INA-000000")</f>
        <v>FIP-DOM-000-11304-OS00001-INA-000000</v>
      </c>
      <c r="P1661" s="6" t="str">
        <f>IFERROR(__xludf.DUMMYFUNCTION("""COMPUTED_VALUE"""),"PO Closed")</f>
        <v>PO Closed</v>
      </c>
      <c r="Q1661" s="6" t="str">
        <f>IFERROR(__xludf.DUMMYFUNCTION("""COMPUTED_VALUE"""),"GL2112025")</f>
        <v>GL2112025</v>
      </c>
      <c r="R1661" s="57">
        <f>IFERROR(__xludf.DUMMYFUNCTION("""COMPUTED_VALUE"""),44537.0)</f>
        <v>44537</v>
      </c>
      <c r="S1661" s="6" t="str">
        <f>IFERROR(__xludf.DUMMYFUNCTION("""COMPUTED_VALUE"""),"-")</f>
        <v>-</v>
      </c>
      <c r="T1661" s="57">
        <f>IFERROR(__xludf.DUMMYFUNCTION("""COMPUTED_VALUE"""),44555.0)</f>
        <v>44555</v>
      </c>
    </row>
    <row r="1662">
      <c r="A1662" s="6" t="str">
        <f>IFERROR(__xludf.DUMMYFUNCTION("""COMPUTED_VALUE"""),"211750486-2")</f>
        <v>211750486-2</v>
      </c>
      <c r="B1662" s="6" t="str">
        <f>IFERROR(__xludf.DUMMYFUNCTION("""COMPUTED_VALUE"""),"211750486 - Approved")</f>
        <v>211750486 - Approved</v>
      </c>
      <c r="C1662" s="6">
        <f>IFERROR(__xludf.DUMMYFUNCTION("""COMPUTED_VALUE"""),2.0)</f>
        <v>2</v>
      </c>
      <c r="D1662" s="6" t="str">
        <f>IFERROR(__xludf.DUMMYFUNCTION("""COMPUTED_VALUE"""),"P-50288-00")</f>
        <v>P-50288-00</v>
      </c>
      <c r="E1662" s="6" t="str">
        <f>IFERROR(__xludf.DUMMYFUNCTION("""COMPUTED_VALUE"""),"Bola Lampu - Halogen 20 W Osram")</f>
        <v>Bola Lampu - Halogen 20 W Osram</v>
      </c>
      <c r="F1662" s="6">
        <f>IFERROR(__xludf.DUMMYFUNCTION("""COMPUTED_VALUE"""),4.0)</f>
        <v>4</v>
      </c>
      <c r="G1662" s="6" t="str">
        <f>IFERROR(__xludf.DUMMYFUNCTION("""COMPUTED_VALUE"""),"Pieces")</f>
        <v>Pieces</v>
      </c>
      <c r="H1662" s="6" t="str">
        <f>IFERROR(__xludf.DUMMYFUNCTION("""COMPUTED_VALUE"""),"IDR")</f>
        <v>IDR</v>
      </c>
      <c r="I1662" s="6">
        <f>IFERROR(__xludf.DUMMYFUNCTION("""COMPUTED_VALUE"""),76500.0)</f>
        <v>76500</v>
      </c>
      <c r="J1662" s="6">
        <f>IFERROR(__xludf.DUMMYFUNCTION("""COMPUTED_VALUE"""),306000.0)</f>
        <v>306000</v>
      </c>
      <c r="K1662" s="57">
        <f>IFERROR(__xludf.DUMMYFUNCTION("""COMPUTED_VALUE"""),44561.0)</f>
        <v>44561</v>
      </c>
      <c r="L1662" s="6" t="str">
        <f>IFERROR(__xludf.DUMMYFUNCTION("""COMPUTED_VALUE"""),"FIP Engineering")</f>
        <v>FIP Engineering</v>
      </c>
      <c r="M1662" s="6" t="str">
        <f>IFERROR(__xludf.DUMMYFUNCTION("""COMPUTED_VALUE"""),"Irwan Sopian")</f>
        <v>Irwan Sopian</v>
      </c>
      <c r="N1662" s="6" t="str">
        <f>IFERROR(__xludf.DUMMYFUNCTION("""COMPUTED_VALUE"""),"FIP Engineering")</f>
        <v>FIP Engineering</v>
      </c>
      <c r="O1662" s="6" t="str">
        <f>IFERROR(__xludf.DUMMYFUNCTION("""COMPUTED_VALUE"""),"FIP-DOM-000-11304-OS00001-INA-000000")</f>
        <v>FIP-DOM-000-11304-OS00001-INA-000000</v>
      </c>
      <c r="P1662" s="6" t="str">
        <f>IFERROR(__xludf.DUMMYFUNCTION("""COMPUTED_VALUE"""),"PO Closed")</f>
        <v>PO Closed</v>
      </c>
      <c r="Q1662" s="6" t="str">
        <f>IFERROR(__xludf.DUMMYFUNCTION("""COMPUTED_VALUE"""),"GL2112025")</f>
        <v>GL2112025</v>
      </c>
      <c r="R1662" s="57">
        <f>IFERROR(__xludf.DUMMYFUNCTION("""COMPUTED_VALUE"""),44537.0)</f>
        <v>44537</v>
      </c>
      <c r="S1662" s="6" t="str">
        <f>IFERROR(__xludf.DUMMYFUNCTION("""COMPUTED_VALUE"""),"-")</f>
        <v>-</v>
      </c>
      <c r="T1662" s="57">
        <f>IFERROR(__xludf.DUMMYFUNCTION("""COMPUTED_VALUE"""),44555.0)</f>
        <v>44555</v>
      </c>
    </row>
    <row r="1663">
      <c r="A1663" s="6" t="str">
        <f>IFERROR(__xludf.DUMMYFUNCTION("""COMPUTED_VALUE"""),"211750485-1")</f>
        <v>211750485-1</v>
      </c>
      <c r="B1663" s="6" t="str">
        <f>IFERROR(__xludf.DUMMYFUNCTION("""COMPUTED_VALUE"""),"211750485 - Approved")</f>
        <v>211750485 - Approved</v>
      </c>
      <c r="C1663" s="6">
        <f>IFERROR(__xludf.DUMMYFUNCTION("""COMPUTED_VALUE"""),1.0)</f>
        <v>1</v>
      </c>
      <c r="D1663" s="6" t="str">
        <f>IFERROR(__xludf.DUMMYFUNCTION("""COMPUTED_VALUE"""),"P-52242-00")</f>
        <v>P-52242-00</v>
      </c>
      <c r="E1663" s="6" t="str">
        <f>IFERROR(__xludf.DUMMYFUNCTION("""COMPUTED_VALUE"""),"Inverter FC202 Aqua Drives 5.5KW 3x380 VAC Danfoss")</f>
        <v>Inverter FC202 Aqua Drives 5.5KW 3x380 VAC Danfoss</v>
      </c>
      <c r="F1663" s="6">
        <f>IFERROR(__xludf.DUMMYFUNCTION("""COMPUTED_VALUE"""),1.0)</f>
        <v>1</v>
      </c>
      <c r="G1663" s="6" t="str">
        <f>IFERROR(__xludf.DUMMYFUNCTION("""COMPUTED_VALUE"""),"Unit")</f>
        <v>Unit</v>
      </c>
      <c r="H1663" s="6" t="str">
        <f>IFERROR(__xludf.DUMMYFUNCTION("""COMPUTED_VALUE"""),"IDR")</f>
        <v>IDR</v>
      </c>
      <c r="I1663" s="6">
        <f>IFERROR(__xludf.DUMMYFUNCTION("""COMPUTED_VALUE"""),1.69E7)</f>
        <v>16900000</v>
      </c>
      <c r="J1663" s="6">
        <f>IFERROR(__xludf.DUMMYFUNCTION("""COMPUTED_VALUE"""),1.69E7)</f>
        <v>16900000</v>
      </c>
      <c r="K1663" s="57">
        <f>IFERROR(__xludf.DUMMYFUNCTION("""COMPUTED_VALUE"""),44561.0)</f>
        <v>44561</v>
      </c>
      <c r="L1663" s="6" t="str">
        <f>IFERROR(__xludf.DUMMYFUNCTION("""COMPUTED_VALUE"""),"FIP Engineering")</f>
        <v>FIP Engineering</v>
      </c>
      <c r="M1663" s="6" t="str">
        <f>IFERROR(__xludf.DUMMYFUNCTION("""COMPUTED_VALUE"""),"Irwan Sopian")</f>
        <v>Irwan Sopian</v>
      </c>
      <c r="N1663" s="6" t="str">
        <f>IFERROR(__xludf.DUMMYFUNCTION("""COMPUTED_VALUE"""),"FIP Engineering")</f>
        <v>FIP Engineering</v>
      </c>
      <c r="O1663" s="6" t="str">
        <f>IFERROR(__xludf.DUMMYFUNCTION("""COMPUTED_VALUE"""),"FIP-DOM-000-11304-OS00001-INA-000000")</f>
        <v>FIP-DOM-000-11304-OS00001-INA-000000</v>
      </c>
      <c r="P1663" s="6" t="str">
        <f>IFERROR(__xludf.DUMMYFUNCTION("""COMPUTED_VALUE"""),"PO Closed")</f>
        <v>PO Closed</v>
      </c>
      <c r="Q1663" s="6" t="str">
        <f>IFERROR(__xludf.DUMMYFUNCTION("""COMPUTED_VALUE"""),"GL2112027")</f>
        <v>GL2112027</v>
      </c>
      <c r="R1663" s="57">
        <f>IFERROR(__xludf.DUMMYFUNCTION("""COMPUTED_VALUE"""),44537.0)</f>
        <v>44537</v>
      </c>
      <c r="S1663" s="6" t="str">
        <f>IFERROR(__xludf.DUMMYFUNCTION("""COMPUTED_VALUE"""),"-")</f>
        <v>-</v>
      </c>
      <c r="T1663" s="57">
        <f>IFERROR(__xludf.DUMMYFUNCTION("""COMPUTED_VALUE"""),44561.0)</f>
        <v>44561</v>
      </c>
    </row>
    <row r="1664">
      <c r="A1664" s="6" t="str">
        <f>IFERROR(__xludf.DUMMYFUNCTION("""COMPUTED_VALUE"""),"211750491-1")</f>
        <v>211750491-1</v>
      </c>
      <c r="B1664" s="6" t="str">
        <f>IFERROR(__xludf.DUMMYFUNCTION("""COMPUTED_VALUE"""),"211750491 - Approved")</f>
        <v>211750491 - Approved</v>
      </c>
      <c r="C1664" s="6">
        <f>IFERROR(__xludf.DUMMYFUNCTION("""COMPUTED_VALUE"""),1.0)</f>
        <v>1</v>
      </c>
      <c r="D1664" s="6" t="str">
        <f>IFERROR(__xludf.DUMMYFUNCTION("""COMPUTED_VALUE"""),"Q-11000-00")</f>
        <v>Q-11000-00</v>
      </c>
      <c r="E1664" s="6" t="str">
        <f>IFERROR(__xludf.DUMMYFUNCTION("""COMPUTED_VALUE"""),"Perbaikan Keramik Lantai gompal di hall loby,keramik packhall,Keramik depan dumpwaiter lt3 gompal &amp;Keramik retak dua gompal dikantin,musholla lt3 dan Area Engineering total ada 43 pcs keramik")</f>
        <v>Perbaikan Keramik Lantai gompal di hall loby,keramik packhall,Keramik depan dumpwaiter lt3 gompal &amp;Keramik retak dua gompal dikantin,musholla lt3 dan Area Engineering total ada 43 pcs keramik</v>
      </c>
      <c r="F1664" s="6">
        <f>IFERROR(__xludf.DUMMYFUNCTION("""COMPUTED_VALUE"""),1.0)</f>
        <v>1</v>
      </c>
      <c r="G1664" s="6" t="str">
        <f>IFERROR(__xludf.DUMMYFUNCTION("""COMPUTED_VALUE"""),"Lot")</f>
        <v>Lot</v>
      </c>
      <c r="H1664" s="6" t="str">
        <f>IFERROR(__xludf.DUMMYFUNCTION("""COMPUTED_VALUE"""),"IDR")</f>
        <v>IDR</v>
      </c>
      <c r="I1664" s="6">
        <f>IFERROR(__xludf.DUMMYFUNCTION("""COMPUTED_VALUE"""),6337500.0)</f>
        <v>6337500</v>
      </c>
      <c r="J1664" s="6">
        <f>IFERROR(__xludf.DUMMYFUNCTION("""COMPUTED_VALUE"""),6337500.0)</f>
        <v>6337500</v>
      </c>
      <c r="K1664" s="57">
        <f>IFERROR(__xludf.DUMMYFUNCTION("""COMPUTED_VALUE"""),44561.0)</f>
        <v>44561</v>
      </c>
      <c r="L1664" s="6" t="str">
        <f>IFERROR(__xludf.DUMMYFUNCTION("""COMPUTED_VALUE"""),"FIP General")</f>
        <v>FIP General</v>
      </c>
      <c r="M1664" s="6" t="str">
        <f>IFERROR(__xludf.DUMMYFUNCTION("""COMPUTED_VALUE"""),"Irwan Sopian")</f>
        <v>Irwan Sopian</v>
      </c>
      <c r="N1664" s="6" t="str">
        <f>IFERROR(__xludf.DUMMYFUNCTION("""COMPUTED_VALUE"""),"FIP Engineering")</f>
        <v>FIP Engineering</v>
      </c>
      <c r="O1664" s="6" t="str">
        <f>IFERROR(__xludf.DUMMYFUNCTION("""COMPUTED_VALUE"""),"FIP-DOM-ENG-51502-0000000-INA-000000")</f>
        <v>FIP-DOM-ENG-51502-0000000-INA-000000</v>
      </c>
      <c r="P1664" s="6" t="str">
        <f>IFERROR(__xludf.DUMMYFUNCTION("""COMPUTED_VALUE"""),"PO Closed")</f>
        <v>PO Closed</v>
      </c>
      <c r="Q1664" s="6" t="str">
        <f>IFERROR(__xludf.DUMMYFUNCTION("""COMPUTED_VALUE"""),"GL2112077")</f>
        <v>GL2112077</v>
      </c>
      <c r="R1664" s="57">
        <f>IFERROR(__xludf.DUMMYFUNCTION("""COMPUTED_VALUE"""),44538.0)</f>
        <v>44538</v>
      </c>
      <c r="S1664" s="6" t="str">
        <f>IFERROR(__xludf.DUMMYFUNCTION("""COMPUTED_VALUE"""),"-")</f>
        <v>-</v>
      </c>
      <c r="T1664" s="57">
        <f>IFERROR(__xludf.DUMMYFUNCTION("""COMPUTED_VALUE"""),44680.0)</f>
        <v>44680</v>
      </c>
    </row>
    <row r="1665">
      <c r="A1665" s="6" t="str">
        <f>IFERROR(__xludf.DUMMYFUNCTION("""COMPUTED_VALUE"""),"211750490-1")</f>
        <v>211750490-1</v>
      </c>
      <c r="B1665" s="6" t="str">
        <f>IFERROR(__xludf.DUMMYFUNCTION("""COMPUTED_VALUE"""),"211750490 - Approved")</f>
        <v>211750490 - Approved</v>
      </c>
      <c r="C1665" s="6">
        <f>IFERROR(__xludf.DUMMYFUNCTION("""COMPUTED_VALUE"""),1.0)</f>
        <v>1</v>
      </c>
      <c r="D1665" s="6" t="str">
        <f>IFERROR(__xludf.DUMMYFUNCTION("""COMPUTED_VALUE"""),"S-60002-00")</f>
        <v>S-60002-00</v>
      </c>
      <c r="E1665" s="6" t="str">
        <f>IFERROR(__xludf.DUMMYFUNCTION("""COMPUTED_VALUE"""),"Pekerjaan Penggantian Isolasi Mesin Pipa Chiller mesin Freeze Dryer")</f>
        <v>Pekerjaan Penggantian Isolasi Mesin Pipa Chiller mesin Freeze Dryer</v>
      </c>
      <c r="F1665" s="6">
        <f>IFERROR(__xludf.DUMMYFUNCTION("""COMPUTED_VALUE"""),1.0)</f>
        <v>1</v>
      </c>
      <c r="G1665" s="6" t="str">
        <f>IFERROR(__xludf.DUMMYFUNCTION("""COMPUTED_VALUE"""),"Lot")</f>
        <v>Lot</v>
      </c>
      <c r="H1665" s="6" t="str">
        <f>IFERROR(__xludf.DUMMYFUNCTION("""COMPUTED_VALUE"""),"IDR")</f>
        <v>IDR</v>
      </c>
      <c r="I1665" s="6">
        <f>IFERROR(__xludf.DUMMYFUNCTION("""COMPUTED_VALUE"""),6415000.0)</f>
        <v>6415000</v>
      </c>
      <c r="J1665" s="6">
        <f>IFERROR(__xludf.DUMMYFUNCTION("""COMPUTED_VALUE"""),6415000.0)</f>
        <v>6415000</v>
      </c>
      <c r="K1665" s="57">
        <f>IFERROR(__xludf.DUMMYFUNCTION("""COMPUTED_VALUE"""),44561.0)</f>
        <v>44561</v>
      </c>
      <c r="L1665" s="6" t="str">
        <f>IFERROR(__xludf.DUMMYFUNCTION("""COMPUTED_VALUE"""),"FIP General")</f>
        <v>FIP General</v>
      </c>
      <c r="M1665" s="6" t="str">
        <f>IFERROR(__xludf.DUMMYFUNCTION("""COMPUTED_VALUE"""),"Irwan Sopian")</f>
        <v>Irwan Sopian</v>
      </c>
      <c r="N1665" s="6" t="str">
        <f>IFERROR(__xludf.DUMMYFUNCTION("""COMPUTED_VALUE"""),"FIP Engineering")</f>
        <v>FIP Engineering</v>
      </c>
      <c r="O1665" s="6" t="str">
        <f>IFERROR(__xludf.DUMMYFUNCTION("""COMPUTED_VALUE"""),"FIP-DOM-ENG-51508-0000000-INA-000000")</f>
        <v>FIP-DOM-ENG-51508-0000000-INA-000000</v>
      </c>
      <c r="P1665" s="6" t="str">
        <f>IFERROR(__xludf.DUMMYFUNCTION("""COMPUTED_VALUE"""),"PO Closed")</f>
        <v>PO Closed</v>
      </c>
      <c r="Q1665" s="6" t="str">
        <f>IFERROR(__xludf.DUMMYFUNCTION("""COMPUTED_VALUE"""),"GL2112047")</f>
        <v>GL2112047</v>
      </c>
      <c r="R1665" s="57">
        <f>IFERROR(__xludf.DUMMYFUNCTION("""COMPUTED_VALUE"""),44538.0)</f>
        <v>44538</v>
      </c>
      <c r="S1665" s="6" t="str">
        <f>IFERROR(__xludf.DUMMYFUNCTION("""COMPUTED_VALUE"""),"-")</f>
        <v>-</v>
      </c>
      <c r="T1665" s="57">
        <f>IFERROR(__xludf.DUMMYFUNCTION("""COMPUTED_VALUE"""),44561.0)</f>
        <v>44561</v>
      </c>
    </row>
    <row r="1666">
      <c r="A1666" s="6" t="str">
        <f>IFERROR(__xludf.DUMMYFUNCTION("""COMPUTED_VALUE"""),"211750489-1")</f>
        <v>211750489-1</v>
      </c>
      <c r="B1666" s="6" t="str">
        <f>IFERROR(__xludf.DUMMYFUNCTION("""COMPUTED_VALUE"""),"211750489 - Approved")</f>
        <v>211750489 - Approved</v>
      </c>
      <c r="C1666" s="6">
        <f>IFERROR(__xludf.DUMMYFUNCTION("""COMPUTED_VALUE"""),1.0)</f>
        <v>1</v>
      </c>
      <c r="D1666" s="6" t="str">
        <f>IFERROR(__xludf.DUMMYFUNCTION("""COMPUTED_VALUE"""),"S-60002-00")</f>
        <v>S-60002-00</v>
      </c>
      <c r="E1666" s="6" t="str">
        <f>IFERROR(__xludf.DUMMYFUNCTION("""COMPUTED_VALUE"""),"Perbaikan isolasi Pipa Hot water yang rusak")</f>
        <v>Perbaikan isolasi Pipa Hot water yang rusak</v>
      </c>
      <c r="F1666" s="6">
        <f>IFERROR(__xludf.DUMMYFUNCTION("""COMPUTED_VALUE"""),1.0)</f>
        <v>1</v>
      </c>
      <c r="G1666" s="6" t="str">
        <f>IFERROR(__xludf.DUMMYFUNCTION("""COMPUTED_VALUE"""),"Lot")</f>
        <v>Lot</v>
      </c>
      <c r="H1666" s="6" t="str">
        <f>IFERROR(__xludf.DUMMYFUNCTION("""COMPUTED_VALUE"""),"IDR")</f>
        <v>IDR</v>
      </c>
      <c r="I1666" s="6">
        <f>IFERROR(__xludf.DUMMYFUNCTION("""COMPUTED_VALUE"""),1.163E7)</f>
        <v>11630000</v>
      </c>
      <c r="J1666" s="6">
        <f>IFERROR(__xludf.DUMMYFUNCTION("""COMPUTED_VALUE"""),1.163E7)</f>
        <v>11630000</v>
      </c>
      <c r="K1666" s="57">
        <f>IFERROR(__xludf.DUMMYFUNCTION("""COMPUTED_VALUE"""),44561.0)</f>
        <v>44561</v>
      </c>
      <c r="L1666" s="6" t="str">
        <f>IFERROR(__xludf.DUMMYFUNCTION("""COMPUTED_VALUE"""),"FIP General")</f>
        <v>FIP General</v>
      </c>
      <c r="M1666" s="6" t="str">
        <f>IFERROR(__xludf.DUMMYFUNCTION("""COMPUTED_VALUE"""),"Irwan Sopian")</f>
        <v>Irwan Sopian</v>
      </c>
      <c r="N1666" s="6" t="str">
        <f>IFERROR(__xludf.DUMMYFUNCTION("""COMPUTED_VALUE"""),"FIP Engineering")</f>
        <v>FIP Engineering</v>
      </c>
      <c r="O1666" s="6" t="str">
        <f>IFERROR(__xludf.DUMMYFUNCTION("""COMPUTED_VALUE"""),"FIP-DOM-ENG-51508-0000000-INA-000000")</f>
        <v>FIP-DOM-ENG-51508-0000000-INA-000000</v>
      </c>
      <c r="P1666" s="6" t="str">
        <f>IFERROR(__xludf.DUMMYFUNCTION("""COMPUTED_VALUE"""),"PO Closed")</f>
        <v>PO Closed</v>
      </c>
      <c r="Q1666" s="6" t="str">
        <f>IFERROR(__xludf.DUMMYFUNCTION("""COMPUTED_VALUE"""),"GL2112030")</f>
        <v>GL2112030</v>
      </c>
      <c r="R1666" s="57">
        <f>IFERROR(__xludf.DUMMYFUNCTION("""COMPUTED_VALUE"""),44538.0)</f>
        <v>44538</v>
      </c>
      <c r="S1666" s="6" t="str">
        <f>IFERROR(__xludf.DUMMYFUNCTION("""COMPUTED_VALUE"""),"-")</f>
        <v>-</v>
      </c>
      <c r="T1666" s="57">
        <f>IFERROR(__xludf.DUMMYFUNCTION("""COMPUTED_VALUE"""),44561.0)</f>
        <v>44561</v>
      </c>
    </row>
    <row r="1667">
      <c r="A1667" s="6" t="str">
        <f>IFERROR(__xludf.DUMMYFUNCTION("""COMPUTED_VALUE"""),"211750497-1")</f>
        <v>211750497-1</v>
      </c>
      <c r="B1667" s="6" t="str">
        <f>IFERROR(__xludf.DUMMYFUNCTION("""COMPUTED_VALUE"""),"211750497 - Approved")</f>
        <v>211750497 - Approved</v>
      </c>
      <c r="C1667" s="6">
        <f>IFERROR(__xludf.DUMMYFUNCTION("""COMPUTED_VALUE"""),1.0)</f>
        <v>1</v>
      </c>
      <c r="D1667" s="6" t="str">
        <f>IFERROR(__xludf.DUMMYFUNCTION("""COMPUTED_VALUE"""),"S-60050-00")</f>
        <v>S-60050-00</v>
      </c>
      <c r="E1667" s="6" t="str">
        <f>IFERROR(__xludf.DUMMYFUNCTION("""COMPUTED_VALUE"""),"Modifikasi Meja Inspeksi")</f>
        <v>Modifikasi Meja Inspeksi</v>
      </c>
      <c r="F1667" s="6">
        <f>IFERROR(__xludf.DUMMYFUNCTION("""COMPUTED_VALUE"""),1.0)</f>
        <v>1</v>
      </c>
      <c r="G1667" s="6" t="str">
        <f>IFERROR(__xludf.DUMMYFUNCTION("""COMPUTED_VALUE"""),"Pieces")</f>
        <v>Pieces</v>
      </c>
      <c r="H1667" s="6" t="str">
        <f>IFERROR(__xludf.DUMMYFUNCTION("""COMPUTED_VALUE"""),"IDR")</f>
        <v>IDR</v>
      </c>
      <c r="I1667" s="6">
        <f>IFERROR(__xludf.DUMMYFUNCTION("""COMPUTED_VALUE"""),4520000.0)</f>
        <v>4520000</v>
      </c>
      <c r="J1667" s="6">
        <f>IFERROR(__xludf.DUMMYFUNCTION("""COMPUTED_VALUE"""),4520000.0)</f>
        <v>4520000</v>
      </c>
      <c r="K1667" s="57">
        <f>IFERROR(__xludf.DUMMYFUNCTION("""COMPUTED_VALUE"""),44561.0)</f>
        <v>44561</v>
      </c>
      <c r="L1667" s="6" t="str">
        <f>IFERROR(__xludf.DUMMYFUNCTION("""COMPUTED_VALUE"""),"FIP General")</f>
        <v>FIP General</v>
      </c>
      <c r="M1667" s="6" t="str">
        <f>IFERROR(__xludf.DUMMYFUNCTION("""COMPUTED_VALUE"""),"Irwan Sopian")</f>
        <v>Irwan Sopian</v>
      </c>
      <c r="N1667" s="6" t="str">
        <f>IFERROR(__xludf.DUMMYFUNCTION("""COMPUTED_VALUE"""),"FIP Engineering")</f>
        <v>FIP Engineering</v>
      </c>
      <c r="O1667" s="6" t="str">
        <f>IFERROR(__xludf.DUMMYFUNCTION("""COMPUTED_VALUE"""),"FIP-DOM-ENG-51504-0000000-INA-000000")</f>
        <v>FIP-DOM-ENG-51504-0000000-INA-000000</v>
      </c>
      <c r="P1667" s="6" t="str">
        <f>IFERROR(__xludf.DUMMYFUNCTION("""COMPUTED_VALUE"""),"PO Closed")</f>
        <v>PO Closed</v>
      </c>
      <c r="Q1667" s="6" t="str">
        <f>IFERROR(__xludf.DUMMYFUNCTION("""COMPUTED_VALUE"""),"GL2112065")</f>
        <v>GL2112065</v>
      </c>
      <c r="R1667" s="57">
        <f>IFERROR(__xludf.DUMMYFUNCTION("""COMPUTED_VALUE"""),44539.0)</f>
        <v>44539</v>
      </c>
      <c r="S1667" s="6" t="str">
        <f>IFERROR(__xludf.DUMMYFUNCTION("""COMPUTED_VALUE"""),"-")</f>
        <v>-</v>
      </c>
      <c r="T1667" s="57">
        <f>IFERROR(__xludf.DUMMYFUNCTION("""COMPUTED_VALUE"""),44564.0)</f>
        <v>44564</v>
      </c>
    </row>
    <row r="1668">
      <c r="A1668" s="6" t="str">
        <f>IFERROR(__xludf.DUMMYFUNCTION("""COMPUTED_VALUE"""),"211750496-1")</f>
        <v>211750496-1</v>
      </c>
      <c r="B1668" s="6" t="str">
        <f>IFERROR(__xludf.DUMMYFUNCTION("""COMPUTED_VALUE"""),"211750496 - Approved")</f>
        <v>211750496 - Approved</v>
      </c>
      <c r="C1668" s="6">
        <f>IFERROR(__xludf.DUMMYFUNCTION("""COMPUTED_VALUE"""),1.0)</f>
        <v>1</v>
      </c>
      <c r="D1668" s="6" t="str">
        <f>IFERROR(__xludf.DUMMYFUNCTION("""COMPUTED_VALUE"""),"S-60002-00")</f>
        <v>S-60002-00</v>
      </c>
      <c r="E1668" s="6" t="str">
        <f>IFERROR(__xludf.DUMMYFUNCTION("""COMPUTED_VALUE"""),"Nampan Troly Pure Steam")</f>
        <v>Nampan Troly Pure Steam</v>
      </c>
      <c r="F1668" s="6">
        <f>IFERROR(__xludf.DUMMYFUNCTION("""COMPUTED_VALUE"""),1.0)</f>
        <v>1</v>
      </c>
      <c r="G1668" s="6" t="str">
        <f>IFERROR(__xludf.DUMMYFUNCTION("""COMPUTED_VALUE"""),"Lot")</f>
        <v>Lot</v>
      </c>
      <c r="H1668" s="6" t="str">
        <f>IFERROR(__xludf.DUMMYFUNCTION("""COMPUTED_VALUE"""),"IDR")</f>
        <v>IDR</v>
      </c>
      <c r="I1668" s="6">
        <f>IFERROR(__xludf.DUMMYFUNCTION("""COMPUTED_VALUE"""),3200000.0)</f>
        <v>3200000</v>
      </c>
      <c r="J1668" s="6">
        <f>IFERROR(__xludf.DUMMYFUNCTION("""COMPUTED_VALUE"""),3200000.0)</f>
        <v>3200000</v>
      </c>
      <c r="K1668" s="57">
        <f>IFERROR(__xludf.DUMMYFUNCTION("""COMPUTED_VALUE"""),44561.0)</f>
        <v>44561</v>
      </c>
      <c r="L1668" s="6" t="str">
        <f>IFERROR(__xludf.DUMMYFUNCTION("""COMPUTED_VALUE"""),"FIP General")</f>
        <v>FIP General</v>
      </c>
      <c r="M1668" s="6" t="str">
        <f>IFERROR(__xludf.DUMMYFUNCTION("""COMPUTED_VALUE"""),"Irwan Sopian")</f>
        <v>Irwan Sopian</v>
      </c>
      <c r="N1668" s="6" t="str">
        <f>IFERROR(__xludf.DUMMYFUNCTION("""COMPUTED_VALUE"""),"FIP Engineering")</f>
        <v>FIP Engineering</v>
      </c>
      <c r="O1668" s="6" t="str">
        <f>IFERROR(__xludf.DUMMYFUNCTION("""COMPUTED_VALUE"""),"FIP-DOM-ENG-51508-0000000-INA-000000")</f>
        <v>FIP-DOM-ENG-51508-0000000-INA-000000</v>
      </c>
      <c r="P1668" s="6" t="str">
        <f>IFERROR(__xludf.DUMMYFUNCTION("""COMPUTED_VALUE"""),"PO Closed")</f>
        <v>PO Closed</v>
      </c>
      <c r="Q1668" s="6" t="str">
        <f>IFERROR(__xludf.DUMMYFUNCTION("""COMPUTED_VALUE"""),"GL2112049")</f>
        <v>GL2112049</v>
      </c>
      <c r="R1668" s="57">
        <f>IFERROR(__xludf.DUMMYFUNCTION("""COMPUTED_VALUE"""),44539.0)</f>
        <v>44539</v>
      </c>
      <c r="S1668" s="6" t="str">
        <f>IFERROR(__xludf.DUMMYFUNCTION("""COMPUTED_VALUE"""),"-")</f>
        <v>-</v>
      </c>
      <c r="T1668" s="57">
        <f>IFERROR(__xludf.DUMMYFUNCTION("""COMPUTED_VALUE"""),44567.0)</f>
        <v>44567</v>
      </c>
    </row>
    <row r="1669">
      <c r="A1669" s="6" t="str">
        <f>IFERROR(__xludf.DUMMYFUNCTION("""COMPUTED_VALUE"""),"211750494-1")</f>
        <v>211750494-1</v>
      </c>
      <c r="B1669" s="6" t="str">
        <f>IFERROR(__xludf.DUMMYFUNCTION("""COMPUTED_VALUE"""),"211750494 - Approved")</f>
        <v>211750494 - Approved</v>
      </c>
      <c r="C1669" s="6">
        <f>IFERROR(__xludf.DUMMYFUNCTION("""COMPUTED_VALUE"""),1.0)</f>
        <v>1</v>
      </c>
      <c r="D1669" s="6" t="str">
        <f>IFERROR(__xludf.DUMMYFUNCTION("""COMPUTED_VALUE"""),"O-18166-00")</f>
        <v>O-18166-00</v>
      </c>
      <c r="E1669" s="6" t="str">
        <f>IFERROR(__xludf.DUMMYFUNCTION("""COMPUTED_VALUE"""),"Flow Meter 1-10 CMH LZQ-7")</f>
        <v>Flow Meter 1-10 CMH LZQ-7</v>
      </c>
      <c r="F1669" s="6">
        <f>IFERROR(__xludf.DUMMYFUNCTION("""COMPUTED_VALUE"""),3.0)</f>
        <v>3</v>
      </c>
      <c r="G1669" s="6" t="str">
        <f>IFERROR(__xludf.DUMMYFUNCTION("""COMPUTED_VALUE"""),"Pieces")</f>
        <v>Pieces</v>
      </c>
      <c r="H1669" s="6" t="str">
        <f>IFERROR(__xludf.DUMMYFUNCTION("""COMPUTED_VALUE"""),"IDR")</f>
        <v>IDR</v>
      </c>
      <c r="I1669" s="6">
        <f>IFERROR(__xludf.DUMMYFUNCTION("""COMPUTED_VALUE"""),278500.0)</f>
        <v>278500</v>
      </c>
      <c r="J1669" s="6">
        <f>IFERROR(__xludf.DUMMYFUNCTION("""COMPUTED_VALUE"""),835500.0)</f>
        <v>835500</v>
      </c>
      <c r="K1669" s="57">
        <f>IFERROR(__xludf.DUMMYFUNCTION("""COMPUTED_VALUE"""),44561.0)</f>
        <v>44561</v>
      </c>
      <c r="L1669" s="6" t="str">
        <f>IFERROR(__xludf.DUMMYFUNCTION("""COMPUTED_VALUE"""),"FIP Engineering")</f>
        <v>FIP Engineering</v>
      </c>
      <c r="M1669" s="6" t="str">
        <f>IFERROR(__xludf.DUMMYFUNCTION("""COMPUTED_VALUE"""),"Irwan Sopian")</f>
        <v>Irwan Sopian</v>
      </c>
      <c r="N1669" s="6" t="str">
        <f>IFERROR(__xludf.DUMMYFUNCTION("""COMPUTED_VALUE"""),"FIP Engineering")</f>
        <v>FIP Engineering</v>
      </c>
      <c r="O1669" s="6" t="str">
        <f>IFERROR(__xludf.DUMMYFUNCTION("""COMPUTED_VALUE"""),"FIP-DOM-000-11304-OS00001-INA-000000")</f>
        <v>FIP-DOM-000-11304-OS00001-INA-000000</v>
      </c>
      <c r="P1669" s="6" t="str">
        <f>IFERROR(__xludf.DUMMYFUNCTION("""COMPUTED_VALUE"""),"PO Closed")</f>
        <v>PO Closed</v>
      </c>
      <c r="Q1669" s="6" t="str">
        <f>IFERROR(__xludf.DUMMYFUNCTION("""COMPUTED_VALUE"""),"GL2112046")</f>
        <v>GL2112046</v>
      </c>
      <c r="R1669" s="57">
        <f>IFERROR(__xludf.DUMMYFUNCTION("""COMPUTED_VALUE"""),44539.0)</f>
        <v>44539</v>
      </c>
      <c r="S1669" s="6" t="str">
        <f>IFERROR(__xludf.DUMMYFUNCTION("""COMPUTED_VALUE"""),"-")</f>
        <v>-</v>
      </c>
      <c r="T1669" s="57">
        <f>IFERROR(__xludf.DUMMYFUNCTION("""COMPUTED_VALUE"""),44561.0)</f>
        <v>44561</v>
      </c>
    </row>
    <row r="1670">
      <c r="A1670" s="6" t="str">
        <f>IFERROR(__xludf.DUMMYFUNCTION("""COMPUTED_VALUE"""),"211750494-2")</f>
        <v>211750494-2</v>
      </c>
      <c r="B1670" s="6" t="str">
        <f>IFERROR(__xludf.DUMMYFUNCTION("""COMPUTED_VALUE"""),"211750494 - Approved")</f>
        <v>211750494 - Approved</v>
      </c>
      <c r="C1670" s="6">
        <f>IFERROR(__xludf.DUMMYFUNCTION("""COMPUTED_VALUE"""),2.0)</f>
        <v>2</v>
      </c>
      <c r="D1670" s="6" t="str">
        <f>IFERROR(__xludf.DUMMYFUNCTION("""COMPUTED_VALUE"""),"O-18165-00")</f>
        <v>O-18165-00</v>
      </c>
      <c r="E1670" s="6" t="str">
        <f>IFERROR(__xludf.DUMMYFUNCTION("""COMPUTED_VALUE"""),"Water Spray Gun (1/4"") SG-1-01; PARKER; ;")</f>
        <v>Water Spray Gun (1/4") SG-1-01; PARKER; ;</v>
      </c>
      <c r="F1670" s="6">
        <f>IFERROR(__xludf.DUMMYFUNCTION("""COMPUTED_VALUE"""),2.0)</f>
        <v>2</v>
      </c>
      <c r="G1670" s="6" t="str">
        <f>IFERROR(__xludf.DUMMYFUNCTION("""COMPUTED_VALUE"""),"Pieces")</f>
        <v>Pieces</v>
      </c>
      <c r="H1670" s="6" t="str">
        <f>IFERROR(__xludf.DUMMYFUNCTION("""COMPUTED_VALUE"""),"IDR")</f>
        <v>IDR</v>
      </c>
      <c r="I1670" s="6">
        <f>IFERROR(__xludf.DUMMYFUNCTION("""COMPUTED_VALUE"""),5350000.0)</f>
        <v>5350000</v>
      </c>
      <c r="J1670" s="6">
        <f>IFERROR(__xludf.DUMMYFUNCTION("""COMPUTED_VALUE"""),1.07E7)</f>
        <v>10700000</v>
      </c>
      <c r="K1670" s="57">
        <f>IFERROR(__xludf.DUMMYFUNCTION("""COMPUTED_VALUE"""),44561.0)</f>
        <v>44561</v>
      </c>
      <c r="L1670" s="6" t="str">
        <f>IFERROR(__xludf.DUMMYFUNCTION("""COMPUTED_VALUE"""),"FIP Engineering")</f>
        <v>FIP Engineering</v>
      </c>
      <c r="M1670" s="6" t="str">
        <f>IFERROR(__xludf.DUMMYFUNCTION("""COMPUTED_VALUE"""),"Irwan Sopian")</f>
        <v>Irwan Sopian</v>
      </c>
      <c r="N1670" s="6" t="str">
        <f>IFERROR(__xludf.DUMMYFUNCTION("""COMPUTED_VALUE"""),"FIP Engineering")</f>
        <v>FIP Engineering</v>
      </c>
      <c r="O1670" s="6" t="str">
        <f>IFERROR(__xludf.DUMMYFUNCTION("""COMPUTED_VALUE"""),"FIP-DOM-000-11304-OS00001-INA-000000")</f>
        <v>FIP-DOM-000-11304-OS00001-INA-000000</v>
      </c>
      <c r="P1670" s="6" t="str">
        <f>IFERROR(__xludf.DUMMYFUNCTION("""COMPUTED_VALUE"""),"PO Closed")</f>
        <v>PO Closed</v>
      </c>
      <c r="Q1670" s="6" t="str">
        <f>IFERROR(__xludf.DUMMYFUNCTION("""COMPUTED_VALUE"""),"GL2112045")</f>
        <v>GL2112045</v>
      </c>
      <c r="R1670" s="57">
        <f>IFERROR(__xludf.DUMMYFUNCTION("""COMPUTED_VALUE"""),44539.0)</f>
        <v>44539</v>
      </c>
      <c r="S1670" s="6" t="str">
        <f>IFERROR(__xludf.DUMMYFUNCTION("""COMPUTED_VALUE"""),"-")</f>
        <v>-</v>
      </c>
      <c r="T1670" s="57">
        <f>IFERROR(__xludf.DUMMYFUNCTION("""COMPUTED_VALUE"""),44895.0)</f>
        <v>44895</v>
      </c>
    </row>
    <row r="1671">
      <c r="A1671" s="6" t="str">
        <f>IFERROR(__xludf.DUMMYFUNCTION("""COMPUTED_VALUE"""),"211750494-3")</f>
        <v>211750494-3</v>
      </c>
      <c r="B1671" s="6" t="str">
        <f>IFERROR(__xludf.DUMMYFUNCTION("""COMPUTED_VALUE"""),"211750494 - Approved")</f>
        <v>211750494 - Approved</v>
      </c>
      <c r="C1671" s="6">
        <f>IFERROR(__xludf.DUMMYFUNCTION("""COMPUTED_VALUE"""),3.0)</f>
        <v>3</v>
      </c>
      <c r="D1671" s="6" t="str">
        <f>IFERROR(__xludf.DUMMYFUNCTION("""COMPUTED_VALUE"""),"P-17290-00")</f>
        <v>P-17290-00</v>
      </c>
      <c r="E1671" s="6" t="str">
        <f>IFERROR(__xludf.DUMMYFUNCTION("""COMPUTED_VALUE"""),"Filter Regulator Brand : SMC P/N : AW20-02BG-C-A Pack Size : pcs")</f>
        <v>Filter Regulator Brand : SMC P/N : AW20-02BG-C-A Pack Size : pcs</v>
      </c>
      <c r="F1671" s="6">
        <f>IFERROR(__xludf.DUMMYFUNCTION("""COMPUTED_VALUE"""),2.0)</f>
        <v>2</v>
      </c>
      <c r="G1671" s="6" t="str">
        <f>IFERROR(__xludf.DUMMYFUNCTION("""COMPUTED_VALUE"""),"Pieces")</f>
        <v>Pieces</v>
      </c>
      <c r="H1671" s="6" t="str">
        <f>IFERROR(__xludf.DUMMYFUNCTION("""COMPUTED_VALUE"""),"IDR")</f>
        <v>IDR</v>
      </c>
      <c r="I1671" s="6">
        <f>IFERROR(__xludf.DUMMYFUNCTION("""COMPUTED_VALUE"""),702000.0)</f>
        <v>702000</v>
      </c>
      <c r="J1671" s="6">
        <f>IFERROR(__xludf.DUMMYFUNCTION("""COMPUTED_VALUE"""),1404000.0)</f>
        <v>1404000</v>
      </c>
      <c r="K1671" s="57">
        <f>IFERROR(__xludf.DUMMYFUNCTION("""COMPUTED_VALUE"""),44561.0)</f>
        <v>44561</v>
      </c>
      <c r="L1671" s="6" t="str">
        <f>IFERROR(__xludf.DUMMYFUNCTION("""COMPUTED_VALUE"""),"FIP Engineering")</f>
        <v>FIP Engineering</v>
      </c>
      <c r="M1671" s="6" t="str">
        <f>IFERROR(__xludf.DUMMYFUNCTION("""COMPUTED_VALUE"""),"Irwan Sopian")</f>
        <v>Irwan Sopian</v>
      </c>
      <c r="N1671" s="6" t="str">
        <f>IFERROR(__xludf.DUMMYFUNCTION("""COMPUTED_VALUE"""),"FIP Engineering")</f>
        <v>FIP Engineering</v>
      </c>
      <c r="O1671" s="6" t="str">
        <f>IFERROR(__xludf.DUMMYFUNCTION("""COMPUTED_VALUE"""),"FIP-DOM-000-11304-OS00001-INA-000000")</f>
        <v>FIP-DOM-000-11304-OS00001-INA-000000</v>
      </c>
      <c r="P1671" s="6" t="str">
        <f>IFERROR(__xludf.DUMMYFUNCTION("""COMPUTED_VALUE"""),"PO Closed")</f>
        <v>PO Closed</v>
      </c>
      <c r="Q1671" s="6" t="str">
        <f>IFERROR(__xludf.DUMMYFUNCTION("""COMPUTED_VALUE"""),"GL2112044")</f>
        <v>GL2112044</v>
      </c>
      <c r="R1671" s="57">
        <f>IFERROR(__xludf.DUMMYFUNCTION("""COMPUTED_VALUE"""),44539.0)</f>
        <v>44539</v>
      </c>
      <c r="S1671" s="6" t="str">
        <f>IFERROR(__xludf.DUMMYFUNCTION("""COMPUTED_VALUE"""),"-")</f>
        <v>-</v>
      </c>
      <c r="T1671" s="57">
        <f>IFERROR(__xludf.DUMMYFUNCTION("""COMPUTED_VALUE"""),44583.0)</f>
        <v>44583</v>
      </c>
    </row>
    <row r="1672">
      <c r="A1672" s="6" t="str">
        <f>IFERROR(__xludf.DUMMYFUNCTION("""COMPUTED_VALUE"""),"211750501-1")</f>
        <v>211750501-1</v>
      </c>
      <c r="B1672" s="6" t="str">
        <f>IFERROR(__xludf.DUMMYFUNCTION("""COMPUTED_VALUE"""),"211750501 - Approved")</f>
        <v>211750501 - Approved</v>
      </c>
      <c r="C1672" s="6">
        <f>IFERROR(__xludf.DUMMYFUNCTION("""COMPUTED_VALUE"""),1.0)</f>
        <v>1</v>
      </c>
      <c r="D1672" s="6" t="str">
        <f>IFERROR(__xludf.DUMMYFUNCTION("""COMPUTED_VALUE"""),"O-54112-00")</f>
        <v>O-54112-00</v>
      </c>
      <c r="E1672" s="6" t="str">
        <f>IFERROR(__xludf.DUMMYFUNCTION("""COMPUTED_VALUE"""),"Circulator Pump UPS 32-80 N 180 1x230V 50Hz 9H GRUNDFOS p/n 95906448")</f>
        <v>Circulator Pump UPS 32-80 N 180 1x230V 50Hz 9H GRUNDFOS p/n 95906448</v>
      </c>
      <c r="F1672" s="6">
        <f>IFERROR(__xludf.DUMMYFUNCTION("""COMPUTED_VALUE"""),1.0)</f>
        <v>1</v>
      </c>
      <c r="G1672" s="6" t="str">
        <f>IFERROR(__xludf.DUMMYFUNCTION("""COMPUTED_VALUE"""),"Unit")</f>
        <v>Unit</v>
      </c>
      <c r="H1672" s="6" t="str">
        <f>IFERROR(__xludf.DUMMYFUNCTION("""COMPUTED_VALUE"""),"IDR")</f>
        <v>IDR</v>
      </c>
      <c r="I1672" s="6">
        <f>IFERROR(__xludf.DUMMYFUNCTION("""COMPUTED_VALUE"""),1.07E7)</f>
        <v>10700000</v>
      </c>
      <c r="J1672" s="6">
        <f>IFERROR(__xludf.DUMMYFUNCTION("""COMPUTED_VALUE"""),1.07E7)</f>
        <v>10700000</v>
      </c>
      <c r="K1672" s="57">
        <f>IFERROR(__xludf.DUMMYFUNCTION("""COMPUTED_VALUE"""),44561.0)</f>
        <v>44561</v>
      </c>
      <c r="L1672" s="6" t="str">
        <f>IFERROR(__xludf.DUMMYFUNCTION("""COMPUTED_VALUE"""),"FIP Engineering")</f>
        <v>FIP Engineering</v>
      </c>
      <c r="M1672" s="6" t="str">
        <f>IFERROR(__xludf.DUMMYFUNCTION("""COMPUTED_VALUE"""),"Irwan Sopian")</f>
        <v>Irwan Sopian</v>
      </c>
      <c r="N1672" s="6" t="str">
        <f>IFERROR(__xludf.DUMMYFUNCTION("""COMPUTED_VALUE"""),"FIP Engineering")</f>
        <v>FIP Engineering</v>
      </c>
      <c r="O1672" s="6" t="str">
        <f>IFERROR(__xludf.DUMMYFUNCTION("""COMPUTED_VALUE"""),"FIP-DOM-000-11304-OS00001-INA-000000")</f>
        <v>FIP-DOM-000-11304-OS00001-INA-000000</v>
      </c>
      <c r="P1672" s="6" t="str">
        <f>IFERROR(__xludf.DUMMYFUNCTION("""COMPUTED_VALUE"""),"PO Closed")</f>
        <v>PO Closed</v>
      </c>
      <c r="Q1672" s="6" t="str">
        <f>IFERROR(__xludf.DUMMYFUNCTION("""COMPUTED_VALUE"""),"GL2112029")</f>
        <v>GL2112029</v>
      </c>
      <c r="R1672" s="57">
        <f>IFERROR(__xludf.DUMMYFUNCTION("""COMPUTED_VALUE"""),44540.0)</f>
        <v>44540</v>
      </c>
      <c r="S1672" s="6" t="str">
        <f>IFERROR(__xludf.DUMMYFUNCTION("""COMPUTED_VALUE"""),"-")</f>
        <v>-</v>
      </c>
      <c r="T1672" s="57">
        <f>IFERROR(__xludf.DUMMYFUNCTION("""COMPUTED_VALUE"""),44581.0)</f>
        <v>44581</v>
      </c>
    </row>
    <row r="1673">
      <c r="A1673" s="6" t="str">
        <f>IFERROR(__xludf.DUMMYFUNCTION("""COMPUTED_VALUE"""),"211750500-1")</f>
        <v>211750500-1</v>
      </c>
      <c r="B1673" s="6" t="str">
        <f>IFERROR(__xludf.DUMMYFUNCTION("""COMPUTED_VALUE"""),"211750500 - Approved")</f>
        <v>211750500 - Approved</v>
      </c>
      <c r="C1673" s="6">
        <f>IFERROR(__xludf.DUMMYFUNCTION("""COMPUTED_VALUE"""),1.0)</f>
        <v>1</v>
      </c>
      <c r="D1673" s="6" t="str">
        <f>IFERROR(__xludf.DUMMYFUNCTION("""COMPUTED_VALUE"""),"S-60050-00")</f>
        <v>S-60050-00</v>
      </c>
      <c r="E1673" s="6" t="str">
        <f>IFERROR(__xludf.DUMMYFUNCTION("""COMPUTED_VALUE"""),"Descaling condenser dan PHE mesin FD")</f>
        <v>Descaling condenser dan PHE mesin FD</v>
      </c>
      <c r="F1673" s="6">
        <f>IFERROR(__xludf.DUMMYFUNCTION("""COMPUTED_VALUE"""),1.0)</f>
        <v>1</v>
      </c>
      <c r="G1673" s="6" t="str">
        <f>IFERROR(__xludf.DUMMYFUNCTION("""COMPUTED_VALUE"""),"Pieces")</f>
        <v>Pieces</v>
      </c>
      <c r="H1673" s="6" t="str">
        <f>IFERROR(__xludf.DUMMYFUNCTION("""COMPUTED_VALUE"""),"IDR")</f>
        <v>IDR</v>
      </c>
      <c r="I1673" s="6">
        <f>IFERROR(__xludf.DUMMYFUNCTION("""COMPUTED_VALUE"""),1.05E7)</f>
        <v>10500000</v>
      </c>
      <c r="J1673" s="6">
        <f>IFERROR(__xludf.DUMMYFUNCTION("""COMPUTED_VALUE"""),1.05E7)</f>
        <v>10500000</v>
      </c>
      <c r="K1673" s="57">
        <f>IFERROR(__xludf.DUMMYFUNCTION("""COMPUTED_VALUE"""),44561.0)</f>
        <v>44561</v>
      </c>
      <c r="L1673" s="6" t="str">
        <f>IFERROR(__xludf.DUMMYFUNCTION("""COMPUTED_VALUE"""),"FIP General")</f>
        <v>FIP General</v>
      </c>
      <c r="M1673" s="6" t="str">
        <f>IFERROR(__xludf.DUMMYFUNCTION("""COMPUTED_VALUE"""),"Irwan Sopian")</f>
        <v>Irwan Sopian</v>
      </c>
      <c r="N1673" s="6" t="str">
        <f>IFERROR(__xludf.DUMMYFUNCTION("""COMPUTED_VALUE"""),"FIP Engineering")</f>
        <v>FIP Engineering</v>
      </c>
      <c r="O1673" s="6" t="str">
        <f>IFERROR(__xludf.DUMMYFUNCTION("""COMPUTED_VALUE"""),"FIP-DOM-ENG-51504-0000000-INA-000000")</f>
        <v>FIP-DOM-ENG-51504-0000000-INA-000000</v>
      </c>
      <c r="P1673" s="6" t="str">
        <f>IFERROR(__xludf.DUMMYFUNCTION("""COMPUTED_VALUE"""),"PO Closed")</f>
        <v>PO Closed</v>
      </c>
      <c r="Q1673" s="6" t="str">
        <f>IFERROR(__xludf.DUMMYFUNCTION("""COMPUTED_VALUE"""),"GL2112048")</f>
        <v>GL2112048</v>
      </c>
      <c r="R1673" s="57">
        <f>IFERROR(__xludf.DUMMYFUNCTION("""COMPUTED_VALUE"""),44540.0)</f>
        <v>44540</v>
      </c>
      <c r="S1673" s="6" t="str">
        <f>IFERROR(__xludf.DUMMYFUNCTION("""COMPUTED_VALUE"""),"-")</f>
        <v>-</v>
      </c>
      <c r="T1673" s="57">
        <f>IFERROR(__xludf.DUMMYFUNCTION("""COMPUTED_VALUE"""),44561.0)</f>
        <v>44561</v>
      </c>
    </row>
    <row r="1674">
      <c r="A1674" s="6" t="str">
        <f>IFERROR(__xludf.DUMMYFUNCTION("""COMPUTED_VALUE"""),"211750504-1")</f>
        <v>211750504-1</v>
      </c>
      <c r="B1674" s="6" t="str">
        <f>IFERROR(__xludf.DUMMYFUNCTION("""COMPUTED_VALUE"""),"211750504 - Approved")</f>
        <v>211750504 - Approved</v>
      </c>
      <c r="C1674" s="6">
        <f>IFERROR(__xludf.DUMMYFUNCTION("""COMPUTED_VALUE"""),1.0)</f>
        <v>1</v>
      </c>
      <c r="D1674" s="6" t="str">
        <f>IFERROR(__xludf.DUMMYFUNCTION("""COMPUTED_VALUE"""),"Q-10775-00")</f>
        <v>Q-10775-00</v>
      </c>
      <c r="E1674" s="6" t="str">
        <f>IFERROR(__xludf.DUMMYFUNCTION("""COMPUTED_VALUE"""),"Metalkote Anti Karat Epoxy Primer EDP-551 @ 20 KG")</f>
        <v>Metalkote Anti Karat Epoxy Primer EDP-551 @ 20 KG</v>
      </c>
      <c r="F1674" s="6">
        <f>IFERROR(__xludf.DUMMYFUNCTION("""COMPUTED_VALUE"""),1.0)</f>
        <v>1</v>
      </c>
      <c r="G1674" s="6" t="str">
        <f>IFERROR(__xludf.DUMMYFUNCTION("""COMPUTED_VALUE"""),"Pieces")</f>
        <v>Pieces</v>
      </c>
      <c r="H1674" s="6" t="str">
        <f>IFERROR(__xludf.DUMMYFUNCTION("""COMPUTED_VALUE"""),"IDR")</f>
        <v>IDR</v>
      </c>
      <c r="I1674" s="6">
        <f>IFERROR(__xludf.DUMMYFUNCTION("""COMPUTED_VALUE"""),1440000.0)</f>
        <v>1440000</v>
      </c>
      <c r="J1674" s="6">
        <f>IFERROR(__xludf.DUMMYFUNCTION("""COMPUTED_VALUE"""),1440000.0)</f>
        <v>1440000</v>
      </c>
      <c r="K1674" s="57">
        <f>IFERROR(__xludf.DUMMYFUNCTION("""COMPUTED_VALUE"""),44561.0)</f>
        <v>44561</v>
      </c>
      <c r="L1674" s="6" t="str">
        <f>IFERROR(__xludf.DUMMYFUNCTION("""COMPUTED_VALUE"""),"FIP Engineering")</f>
        <v>FIP Engineering</v>
      </c>
      <c r="M1674" s="6" t="str">
        <f>IFERROR(__xludf.DUMMYFUNCTION("""COMPUTED_VALUE"""),"Irwan Sopian")</f>
        <v>Irwan Sopian</v>
      </c>
      <c r="N1674" s="6" t="str">
        <f>IFERROR(__xludf.DUMMYFUNCTION("""COMPUTED_VALUE"""),"FIP Engineering")</f>
        <v>FIP Engineering</v>
      </c>
      <c r="O1674" s="6" t="str">
        <f>IFERROR(__xludf.DUMMYFUNCTION("""COMPUTED_VALUE"""),"FIP-DOM-000-11304-OS00001-INA-000000")</f>
        <v>FIP-DOM-000-11304-OS00001-INA-000000</v>
      </c>
      <c r="P1674" s="6" t="str">
        <f>IFERROR(__xludf.DUMMYFUNCTION("""COMPUTED_VALUE"""),"PO Closed")</f>
        <v>PO Closed</v>
      </c>
      <c r="Q1674" s="6" t="str">
        <f>IFERROR(__xludf.DUMMYFUNCTION("""COMPUTED_VALUE"""),"GL2112058")</f>
        <v>GL2112058</v>
      </c>
      <c r="R1674" s="57">
        <f>IFERROR(__xludf.DUMMYFUNCTION("""COMPUTED_VALUE"""),44543.0)</f>
        <v>44543</v>
      </c>
      <c r="S1674" s="6" t="str">
        <f>IFERROR(__xludf.DUMMYFUNCTION("""COMPUTED_VALUE"""),"-")</f>
        <v>-</v>
      </c>
      <c r="T1674" s="57">
        <f>IFERROR(__xludf.DUMMYFUNCTION("""COMPUTED_VALUE"""),44564.0)</f>
        <v>44564</v>
      </c>
    </row>
    <row r="1675">
      <c r="A1675" s="6" t="str">
        <f>IFERROR(__xludf.DUMMYFUNCTION("""COMPUTED_VALUE"""),"211750504-2")</f>
        <v>211750504-2</v>
      </c>
      <c r="B1675" s="6" t="str">
        <f>IFERROR(__xludf.DUMMYFUNCTION("""COMPUTED_VALUE"""),"211750504 - Approved")</f>
        <v>211750504 - Approved</v>
      </c>
      <c r="C1675" s="6">
        <f>IFERROR(__xludf.DUMMYFUNCTION("""COMPUTED_VALUE"""),2.0)</f>
        <v>2</v>
      </c>
      <c r="D1675" s="6" t="str">
        <f>IFERROR(__xludf.DUMMYFUNCTION("""COMPUTED_VALUE"""),"Q-10774-00")</f>
        <v>Q-10774-00</v>
      </c>
      <c r="E1675" s="6" t="str">
        <f>IFERROR(__xludf.DUMMYFUNCTION("""COMPUTED_VALUE"""),"Kansai Zinc Phospate Primer Light Grey @ 20 KG")</f>
        <v>Kansai Zinc Phospate Primer Light Grey @ 20 KG</v>
      </c>
      <c r="F1675" s="6">
        <f>IFERROR(__xludf.DUMMYFUNCTION("""COMPUTED_VALUE"""),1.0)</f>
        <v>1</v>
      </c>
      <c r="G1675" s="6" t="str">
        <f>IFERROR(__xludf.DUMMYFUNCTION("""COMPUTED_VALUE"""),"Pieces")</f>
        <v>Pieces</v>
      </c>
      <c r="H1675" s="6" t="str">
        <f>IFERROR(__xludf.DUMMYFUNCTION("""COMPUTED_VALUE"""),"IDR")</f>
        <v>IDR</v>
      </c>
      <c r="I1675" s="6">
        <f>IFERROR(__xludf.DUMMYFUNCTION("""COMPUTED_VALUE"""),1675000.0)</f>
        <v>1675000</v>
      </c>
      <c r="J1675" s="6">
        <f>IFERROR(__xludf.DUMMYFUNCTION("""COMPUTED_VALUE"""),1675000.0)</f>
        <v>1675000</v>
      </c>
      <c r="K1675" s="57">
        <f>IFERROR(__xludf.DUMMYFUNCTION("""COMPUTED_VALUE"""),44561.0)</f>
        <v>44561</v>
      </c>
      <c r="L1675" s="6" t="str">
        <f>IFERROR(__xludf.DUMMYFUNCTION("""COMPUTED_VALUE"""),"FIP Engineering")</f>
        <v>FIP Engineering</v>
      </c>
      <c r="M1675" s="6" t="str">
        <f>IFERROR(__xludf.DUMMYFUNCTION("""COMPUTED_VALUE"""),"Irwan Sopian")</f>
        <v>Irwan Sopian</v>
      </c>
      <c r="N1675" s="6" t="str">
        <f>IFERROR(__xludf.DUMMYFUNCTION("""COMPUTED_VALUE"""),"FIP Engineering")</f>
        <v>FIP Engineering</v>
      </c>
      <c r="O1675" s="6" t="str">
        <f>IFERROR(__xludf.DUMMYFUNCTION("""COMPUTED_VALUE"""),"FIP-DOM-000-11304-OS00001-INA-000000")</f>
        <v>FIP-DOM-000-11304-OS00001-INA-000000</v>
      </c>
      <c r="P1675" s="6" t="str">
        <f>IFERROR(__xludf.DUMMYFUNCTION("""COMPUTED_VALUE"""),"PO Closed")</f>
        <v>PO Closed</v>
      </c>
      <c r="Q1675" s="6" t="str">
        <f>IFERROR(__xludf.DUMMYFUNCTION("""COMPUTED_VALUE"""),"GL2112076")</f>
        <v>GL2112076</v>
      </c>
      <c r="R1675" s="57">
        <f>IFERROR(__xludf.DUMMYFUNCTION("""COMPUTED_VALUE"""),44543.0)</f>
        <v>44543</v>
      </c>
      <c r="S1675" s="6" t="str">
        <f>IFERROR(__xludf.DUMMYFUNCTION("""COMPUTED_VALUE"""),"-")</f>
        <v>-</v>
      </c>
      <c r="T1675" s="57">
        <f>IFERROR(__xludf.DUMMYFUNCTION("""COMPUTED_VALUE"""),44567.0)</f>
        <v>44567</v>
      </c>
    </row>
    <row r="1676">
      <c r="A1676" s="6" t="str">
        <f>IFERROR(__xludf.DUMMYFUNCTION("""COMPUTED_VALUE"""),"211750504-3")</f>
        <v>211750504-3</v>
      </c>
      <c r="B1676" s="6" t="str">
        <f>IFERROR(__xludf.DUMMYFUNCTION("""COMPUTED_VALUE"""),"211750504 - Approved")</f>
        <v>211750504 - Approved</v>
      </c>
      <c r="C1676" s="6">
        <f>IFERROR(__xludf.DUMMYFUNCTION("""COMPUTED_VALUE"""),3.0)</f>
        <v>3</v>
      </c>
      <c r="D1676" s="6" t="str">
        <f>IFERROR(__xludf.DUMMYFUNCTION("""COMPUTED_VALUE"""),"Q-60025-00")</f>
        <v>Q-60025-00</v>
      </c>
      <c r="E1676" s="6" t="str">
        <f>IFERROR(__xludf.DUMMYFUNCTION("""COMPUTED_VALUE"""),"Kuas Eterna 1""")</f>
        <v>Kuas Eterna 1"</v>
      </c>
      <c r="F1676" s="6">
        <f>IFERROR(__xludf.DUMMYFUNCTION("""COMPUTED_VALUE"""),10.0)</f>
        <v>10</v>
      </c>
      <c r="G1676" s="6" t="str">
        <f>IFERROR(__xludf.DUMMYFUNCTION("""COMPUTED_VALUE"""),"Pieces")</f>
        <v>Pieces</v>
      </c>
      <c r="H1676" s="6" t="str">
        <f>IFERROR(__xludf.DUMMYFUNCTION("""COMPUTED_VALUE"""),"IDR")</f>
        <v>IDR</v>
      </c>
      <c r="I1676" s="6">
        <f>IFERROR(__xludf.DUMMYFUNCTION("""COMPUTED_VALUE"""),6000.0)</f>
        <v>6000</v>
      </c>
      <c r="J1676" s="6">
        <f>IFERROR(__xludf.DUMMYFUNCTION("""COMPUTED_VALUE"""),60000.0)</f>
        <v>60000</v>
      </c>
      <c r="K1676" s="57">
        <f>IFERROR(__xludf.DUMMYFUNCTION("""COMPUTED_VALUE"""),44561.0)</f>
        <v>44561</v>
      </c>
      <c r="L1676" s="6" t="str">
        <f>IFERROR(__xludf.DUMMYFUNCTION("""COMPUTED_VALUE"""),"FIP General")</f>
        <v>FIP General</v>
      </c>
      <c r="M1676" s="6" t="str">
        <f>IFERROR(__xludf.DUMMYFUNCTION("""COMPUTED_VALUE"""),"Irwan Sopian")</f>
        <v>Irwan Sopian</v>
      </c>
      <c r="N1676" s="6" t="str">
        <f>IFERROR(__xludf.DUMMYFUNCTION("""COMPUTED_VALUE"""),"FIP Engineering")</f>
        <v>FIP Engineering</v>
      </c>
      <c r="O1676" s="6" t="str">
        <f>IFERROR(__xludf.DUMMYFUNCTION("""COMPUTED_VALUE"""),"FIP-DOM-ENG-51404-0000000-INA-000000")</f>
        <v>FIP-DOM-ENG-51404-0000000-INA-000000</v>
      </c>
      <c r="P1676" s="6" t="str">
        <f>IFERROR(__xludf.DUMMYFUNCTION("""COMPUTED_VALUE"""),"PO Closed")</f>
        <v>PO Closed</v>
      </c>
      <c r="Q1676" s="6" t="str">
        <f>IFERROR(__xludf.DUMMYFUNCTION("""COMPUTED_VALUE"""),"GL2112076")</f>
        <v>GL2112076</v>
      </c>
      <c r="R1676" s="57">
        <f>IFERROR(__xludf.DUMMYFUNCTION("""COMPUTED_VALUE"""),44543.0)</f>
        <v>44543</v>
      </c>
      <c r="S1676" s="6" t="str">
        <f>IFERROR(__xludf.DUMMYFUNCTION("""COMPUTED_VALUE"""),"-")</f>
        <v>-</v>
      </c>
      <c r="T1676" s="57">
        <f>IFERROR(__xludf.DUMMYFUNCTION("""COMPUTED_VALUE"""),44560.0)</f>
        <v>44560</v>
      </c>
    </row>
    <row r="1677">
      <c r="A1677" s="6" t="str">
        <f>IFERROR(__xludf.DUMMYFUNCTION("""COMPUTED_VALUE"""),"211750504-4")</f>
        <v>211750504-4</v>
      </c>
      <c r="B1677" s="6" t="str">
        <f>IFERROR(__xludf.DUMMYFUNCTION("""COMPUTED_VALUE"""),"211750504 - Approved")</f>
        <v>211750504 - Approved</v>
      </c>
      <c r="C1677" s="6">
        <f>IFERROR(__xludf.DUMMYFUNCTION("""COMPUTED_VALUE"""),4.0)</f>
        <v>4</v>
      </c>
      <c r="D1677" s="6" t="str">
        <f>IFERROR(__xludf.DUMMYFUNCTION("""COMPUTED_VALUE"""),"Q-10234-00")</f>
        <v>Q-10234-00</v>
      </c>
      <c r="E1677" s="6" t="str">
        <f>IFERROR(__xludf.DUMMYFUNCTION("""COMPUTED_VALUE"""),"Silicone Sealant N10 Grey")</f>
        <v>Silicone Sealant N10 Grey</v>
      </c>
      <c r="F1677" s="6">
        <f>IFERROR(__xludf.DUMMYFUNCTION("""COMPUTED_VALUE"""),6.0)</f>
        <v>6</v>
      </c>
      <c r="G1677" s="6" t="str">
        <f>IFERROR(__xludf.DUMMYFUNCTION("""COMPUTED_VALUE"""),"Pieces")</f>
        <v>Pieces</v>
      </c>
      <c r="H1677" s="6" t="str">
        <f>IFERROR(__xludf.DUMMYFUNCTION("""COMPUTED_VALUE"""),"IDR")</f>
        <v>IDR</v>
      </c>
      <c r="I1677" s="6">
        <f>IFERROR(__xludf.DUMMYFUNCTION("""COMPUTED_VALUE"""),58000.0)</f>
        <v>58000</v>
      </c>
      <c r="J1677" s="6">
        <f>IFERROR(__xludf.DUMMYFUNCTION("""COMPUTED_VALUE"""),348000.0)</f>
        <v>348000</v>
      </c>
      <c r="K1677" s="57">
        <f>IFERROR(__xludf.DUMMYFUNCTION("""COMPUTED_VALUE"""),44561.0)</f>
        <v>44561</v>
      </c>
      <c r="L1677" s="6" t="str">
        <f>IFERROR(__xludf.DUMMYFUNCTION("""COMPUTED_VALUE"""),"FIP Engineering")</f>
        <v>FIP Engineering</v>
      </c>
      <c r="M1677" s="6" t="str">
        <f>IFERROR(__xludf.DUMMYFUNCTION("""COMPUTED_VALUE"""),"Irwan Sopian")</f>
        <v>Irwan Sopian</v>
      </c>
      <c r="N1677" s="6" t="str">
        <f>IFERROR(__xludf.DUMMYFUNCTION("""COMPUTED_VALUE"""),"FIP Engineering")</f>
        <v>FIP Engineering</v>
      </c>
      <c r="O1677" s="6" t="str">
        <f>IFERROR(__xludf.DUMMYFUNCTION("""COMPUTED_VALUE"""),"FIP-DOM-000-11304-OS00001-INA-000000")</f>
        <v>FIP-DOM-000-11304-OS00001-INA-000000</v>
      </c>
      <c r="P1677" s="6" t="str">
        <f>IFERROR(__xludf.DUMMYFUNCTION("""COMPUTED_VALUE"""),"PO Closed")</f>
        <v>PO Closed</v>
      </c>
      <c r="Q1677" s="6" t="str">
        <f>IFERROR(__xludf.DUMMYFUNCTION("""COMPUTED_VALUE"""),"GL2112076")</f>
        <v>GL2112076</v>
      </c>
      <c r="R1677" s="57">
        <f>IFERROR(__xludf.DUMMYFUNCTION("""COMPUTED_VALUE"""),44543.0)</f>
        <v>44543</v>
      </c>
      <c r="S1677" s="6" t="str">
        <f>IFERROR(__xludf.DUMMYFUNCTION("""COMPUTED_VALUE"""),"-")</f>
        <v>-</v>
      </c>
      <c r="T1677" s="57">
        <f>IFERROR(__xludf.DUMMYFUNCTION("""COMPUTED_VALUE"""),44567.0)</f>
        <v>44567</v>
      </c>
    </row>
    <row r="1678">
      <c r="A1678" s="6" t="str">
        <f>IFERROR(__xludf.DUMMYFUNCTION("""COMPUTED_VALUE"""),"211750502-1")</f>
        <v>211750502-1</v>
      </c>
      <c r="B1678" s="6" t="str">
        <f>IFERROR(__xludf.DUMMYFUNCTION("""COMPUTED_VALUE"""),"211750502 - Approved")</f>
        <v>211750502 - Approved</v>
      </c>
      <c r="C1678" s="6">
        <f>IFERROR(__xludf.DUMMYFUNCTION("""COMPUTED_VALUE"""),1.0)</f>
        <v>1</v>
      </c>
      <c r="D1678" s="6" t="str">
        <f>IFERROR(__xludf.DUMMYFUNCTION("""COMPUTED_VALUE"""),"S-60002-00")</f>
        <v>S-60002-00</v>
      </c>
      <c r="E1678" s="6" t="str">
        <f>IFERROR(__xludf.DUMMYFUNCTION("""COMPUTED_VALUE"""),"Perbaikan Lampu Logo Fonko LT2")</f>
        <v>Perbaikan Lampu Logo Fonko LT2</v>
      </c>
      <c r="F1678" s="6">
        <f>IFERROR(__xludf.DUMMYFUNCTION("""COMPUTED_VALUE"""),1.0)</f>
        <v>1</v>
      </c>
      <c r="G1678" s="6" t="str">
        <f>IFERROR(__xludf.DUMMYFUNCTION("""COMPUTED_VALUE"""),"Lot")</f>
        <v>Lot</v>
      </c>
      <c r="H1678" s="6" t="str">
        <f>IFERROR(__xludf.DUMMYFUNCTION("""COMPUTED_VALUE"""),"IDR")</f>
        <v>IDR</v>
      </c>
      <c r="I1678" s="6">
        <f>IFERROR(__xludf.DUMMYFUNCTION("""COMPUTED_VALUE"""),1.179E7)</f>
        <v>11790000</v>
      </c>
      <c r="J1678" s="6">
        <f>IFERROR(__xludf.DUMMYFUNCTION("""COMPUTED_VALUE"""),1.179E7)</f>
        <v>11790000</v>
      </c>
      <c r="K1678" s="57">
        <f>IFERROR(__xludf.DUMMYFUNCTION("""COMPUTED_VALUE"""),44561.0)</f>
        <v>44561</v>
      </c>
      <c r="L1678" s="6" t="str">
        <f>IFERROR(__xludf.DUMMYFUNCTION("""COMPUTED_VALUE"""),"FIP General")</f>
        <v>FIP General</v>
      </c>
      <c r="M1678" s="6" t="str">
        <f>IFERROR(__xludf.DUMMYFUNCTION("""COMPUTED_VALUE"""),"Irwan Sopian")</f>
        <v>Irwan Sopian</v>
      </c>
      <c r="N1678" s="6" t="str">
        <f>IFERROR(__xludf.DUMMYFUNCTION("""COMPUTED_VALUE"""),"FIP Engineering")</f>
        <v>FIP Engineering</v>
      </c>
      <c r="O1678" s="6" t="str">
        <f>IFERROR(__xludf.DUMMYFUNCTION("""COMPUTED_VALUE"""),"FIP-DOM-ENG-51508-0000000-INA-000000")</f>
        <v>FIP-DOM-ENG-51508-0000000-INA-000000</v>
      </c>
      <c r="P1678" s="6" t="str">
        <f>IFERROR(__xludf.DUMMYFUNCTION("""COMPUTED_VALUE"""),"PO Closed")</f>
        <v>PO Closed</v>
      </c>
      <c r="Q1678" s="6" t="str">
        <f>IFERROR(__xludf.DUMMYFUNCTION("""COMPUTED_VALUE"""),"GL2112028")</f>
        <v>GL2112028</v>
      </c>
      <c r="R1678" s="57">
        <f>IFERROR(__xludf.DUMMYFUNCTION("""COMPUTED_VALUE"""),44543.0)</f>
        <v>44543</v>
      </c>
      <c r="S1678" s="6" t="str">
        <f>IFERROR(__xludf.DUMMYFUNCTION("""COMPUTED_VALUE"""),"-")</f>
        <v>-</v>
      </c>
      <c r="T1678" s="57">
        <f>IFERROR(__xludf.DUMMYFUNCTION("""COMPUTED_VALUE"""),44561.0)</f>
        <v>44561</v>
      </c>
    </row>
    <row r="1679">
      <c r="A1679" s="6" t="str">
        <f>IFERROR(__xludf.DUMMYFUNCTION("""COMPUTED_VALUE"""),"211750507-1")</f>
        <v>211750507-1</v>
      </c>
      <c r="B1679" s="6" t="str">
        <f>IFERROR(__xludf.DUMMYFUNCTION("""COMPUTED_VALUE"""),"211750507 - Approved")</f>
        <v>211750507 - Approved</v>
      </c>
      <c r="C1679" s="6">
        <f>IFERROR(__xludf.DUMMYFUNCTION("""COMPUTED_VALUE"""),1.0)</f>
        <v>1</v>
      </c>
      <c r="D1679" s="6" t="str">
        <f>IFERROR(__xludf.DUMMYFUNCTION("""COMPUTED_VALUE"""),"S-60002-00")</f>
        <v>S-60002-00</v>
      </c>
      <c r="E1679" s="6" t="str">
        <f>IFERROR(__xludf.DUMMYFUNCTION("""COMPUTED_VALUE"""),"Pengadaan Lampu LED 5 Watt ( Penerangan drawing AHU)@35 Pcs dan Kabel 2x0.75")</f>
        <v>Pengadaan Lampu LED 5 Watt ( Penerangan drawing AHU)@35 Pcs dan Kabel 2x0.75</v>
      </c>
      <c r="F1679" s="6">
        <f>IFERROR(__xludf.DUMMYFUNCTION("""COMPUTED_VALUE"""),1.0)</f>
        <v>1</v>
      </c>
      <c r="G1679" s="6" t="str">
        <f>IFERROR(__xludf.DUMMYFUNCTION("""COMPUTED_VALUE"""),"Lot")</f>
        <v>Lot</v>
      </c>
      <c r="H1679" s="6" t="str">
        <f>IFERROR(__xludf.DUMMYFUNCTION("""COMPUTED_VALUE"""),"IDR")</f>
        <v>IDR</v>
      </c>
      <c r="I1679" s="6">
        <f>IFERROR(__xludf.DUMMYFUNCTION("""COMPUTED_VALUE"""),3405000.0)</f>
        <v>3405000</v>
      </c>
      <c r="J1679" s="6">
        <f>IFERROR(__xludf.DUMMYFUNCTION("""COMPUTED_VALUE"""),3405000.0)</f>
        <v>3405000</v>
      </c>
      <c r="K1679" s="57">
        <f>IFERROR(__xludf.DUMMYFUNCTION("""COMPUTED_VALUE"""),44561.0)</f>
        <v>44561</v>
      </c>
      <c r="L1679" s="6" t="str">
        <f>IFERROR(__xludf.DUMMYFUNCTION("""COMPUTED_VALUE"""),"FIP General")</f>
        <v>FIP General</v>
      </c>
      <c r="M1679" s="6" t="str">
        <f>IFERROR(__xludf.DUMMYFUNCTION("""COMPUTED_VALUE"""),"Irwan Sopian")</f>
        <v>Irwan Sopian</v>
      </c>
      <c r="N1679" s="6" t="str">
        <f>IFERROR(__xludf.DUMMYFUNCTION("""COMPUTED_VALUE"""),"FIP Engineering")</f>
        <v>FIP Engineering</v>
      </c>
      <c r="O1679" s="6" t="str">
        <f>IFERROR(__xludf.DUMMYFUNCTION("""COMPUTED_VALUE"""),"FIP-DOM-ENG-51508-0000000-INA-000000")</f>
        <v>FIP-DOM-ENG-51508-0000000-INA-000000</v>
      </c>
      <c r="P1679" s="6" t="str">
        <f>IFERROR(__xludf.DUMMYFUNCTION("""COMPUTED_VALUE"""),"PO Closed")</f>
        <v>PO Closed</v>
      </c>
      <c r="Q1679" s="6" t="str">
        <f>IFERROR(__xludf.DUMMYFUNCTION("""COMPUTED_VALUE"""),"GL2112064")</f>
        <v>GL2112064</v>
      </c>
      <c r="R1679" s="57">
        <f>IFERROR(__xludf.DUMMYFUNCTION("""COMPUTED_VALUE"""),44547.0)</f>
        <v>44547</v>
      </c>
      <c r="S1679" s="6" t="str">
        <f>IFERROR(__xludf.DUMMYFUNCTION("""COMPUTED_VALUE"""),"-")</f>
        <v>-</v>
      </c>
      <c r="T1679" s="57">
        <f>IFERROR(__xludf.DUMMYFUNCTION("""COMPUTED_VALUE"""),44564.0)</f>
        <v>44564</v>
      </c>
    </row>
    <row r="1680">
      <c r="A1680" s="6" t="str">
        <f>IFERROR(__xludf.DUMMYFUNCTION("""COMPUTED_VALUE"""),"211750508-1")</f>
        <v>211750508-1</v>
      </c>
      <c r="B1680" s="6" t="str">
        <f>IFERROR(__xludf.DUMMYFUNCTION("""COMPUTED_VALUE"""),"211750508 - Approved")</f>
        <v>211750508 - Approved</v>
      </c>
      <c r="C1680" s="6">
        <f>IFERROR(__xludf.DUMMYFUNCTION("""COMPUTED_VALUE"""),1.0)</f>
        <v>1</v>
      </c>
      <c r="D1680" s="6" t="str">
        <f>IFERROR(__xludf.DUMMYFUNCTION("""COMPUTED_VALUE"""),"R-61000-00")</f>
        <v>R-61000-00</v>
      </c>
      <c r="E1680" s="6" t="str">
        <f>IFERROR(__xludf.DUMMYFUNCTION("""COMPUTED_VALUE"""),"CCTV, Merk Samsung SND-5061")</f>
        <v>CCTV, Merk Samsung SND-5061</v>
      </c>
      <c r="F1680" s="6">
        <f>IFERROR(__xludf.DUMMYFUNCTION("""COMPUTED_VALUE"""),2.0)</f>
        <v>2</v>
      </c>
      <c r="G1680" s="6" t="str">
        <f>IFERROR(__xludf.DUMMYFUNCTION("""COMPUTED_VALUE"""),"Unit")</f>
        <v>Unit</v>
      </c>
      <c r="H1680" s="6" t="str">
        <f>IFERROR(__xludf.DUMMYFUNCTION("""COMPUTED_VALUE"""),"IDR")</f>
        <v>IDR</v>
      </c>
      <c r="I1680" s="6">
        <f>IFERROR(__xludf.DUMMYFUNCTION("""COMPUTED_VALUE"""),3500000.0)</f>
        <v>3500000</v>
      </c>
      <c r="J1680" s="6">
        <f>IFERROR(__xludf.DUMMYFUNCTION("""COMPUTED_VALUE"""),7000000.0)</f>
        <v>7000000</v>
      </c>
      <c r="K1680" s="57">
        <f>IFERROR(__xludf.DUMMYFUNCTION("""COMPUTED_VALUE"""),44564.0)</f>
        <v>44564</v>
      </c>
      <c r="L1680" s="6" t="str">
        <f>IFERROR(__xludf.DUMMYFUNCTION("""COMPUTED_VALUE"""),"FIP General")</f>
        <v>FIP General</v>
      </c>
      <c r="M1680" s="6" t="str">
        <f>IFERROR(__xludf.DUMMYFUNCTION("""COMPUTED_VALUE"""),"Joko Nugroho")</f>
        <v>Joko Nugroho</v>
      </c>
      <c r="N1680" s="6" t="str">
        <f>IFERROR(__xludf.DUMMYFUNCTION("""COMPUTED_VALUE"""),"FIP Engineering")</f>
        <v>FIP Engineering</v>
      </c>
      <c r="O1680" s="6" t="str">
        <f>IFERROR(__xludf.DUMMYFUNCTION("""COMPUTED_VALUE"""),"FIP-DOM-ENG-13405-ITNB200-INA-000000")</f>
        <v>FIP-DOM-ENG-13405-ITNB200-INA-000000</v>
      </c>
      <c r="P1680" s="6" t="str">
        <f>IFERROR(__xludf.DUMMYFUNCTION("""COMPUTED_VALUE"""),"PO Closed")</f>
        <v>PO Closed</v>
      </c>
      <c r="Q1680" s="6" t="str">
        <f>IFERROR(__xludf.DUMMYFUNCTION("""COMPUTED_VALUE"""),"GL2112057")</f>
        <v>GL2112057</v>
      </c>
      <c r="R1680" s="57">
        <f>IFERROR(__xludf.DUMMYFUNCTION("""COMPUTED_VALUE"""),44550.0)</f>
        <v>44550</v>
      </c>
      <c r="S1680" s="6" t="str">
        <f>IFERROR(__xludf.DUMMYFUNCTION("""COMPUTED_VALUE"""),"-")</f>
        <v>-</v>
      </c>
      <c r="T1680" s="57">
        <f>IFERROR(__xludf.DUMMYFUNCTION("""COMPUTED_VALUE"""),44568.0)</f>
        <v>44568</v>
      </c>
    </row>
    <row r="1681">
      <c r="A1681" s="6" t="str">
        <f>IFERROR(__xludf.DUMMYFUNCTION("""COMPUTED_VALUE"""),"211750510-1")</f>
        <v>211750510-1</v>
      </c>
      <c r="B1681" s="6" t="str">
        <f>IFERROR(__xludf.DUMMYFUNCTION("""COMPUTED_VALUE"""),"211750510 - Approved")</f>
        <v>211750510 - Approved</v>
      </c>
      <c r="C1681" s="6">
        <f>IFERROR(__xludf.DUMMYFUNCTION("""COMPUTED_VALUE"""),1.0)</f>
        <v>1</v>
      </c>
      <c r="D1681" s="6" t="str">
        <f>IFERROR(__xludf.DUMMYFUNCTION("""COMPUTED_VALUE"""),"T-12106-00")</f>
        <v>T-12106-00</v>
      </c>
      <c r="E1681" s="6" t="str">
        <f>IFERROR(__xludf.DUMMYFUNCTION("""COMPUTED_VALUE"""),"HDD Internal 6 TB WD Purple")</f>
        <v>HDD Internal 6 TB WD Purple</v>
      </c>
      <c r="F1681" s="6">
        <f>IFERROR(__xludf.DUMMYFUNCTION("""COMPUTED_VALUE"""),1.0)</f>
        <v>1</v>
      </c>
      <c r="G1681" s="6" t="str">
        <f>IFERROR(__xludf.DUMMYFUNCTION("""COMPUTED_VALUE"""),"Pieces")</f>
        <v>Pieces</v>
      </c>
      <c r="H1681" s="6" t="str">
        <f>IFERROR(__xludf.DUMMYFUNCTION("""COMPUTED_VALUE"""),"IDR")</f>
        <v>IDR</v>
      </c>
      <c r="I1681" s="6">
        <f>IFERROR(__xludf.DUMMYFUNCTION("""COMPUTED_VALUE"""),3000000.0)</f>
        <v>3000000</v>
      </c>
      <c r="J1681" s="6">
        <f>IFERROR(__xludf.DUMMYFUNCTION("""COMPUTED_VALUE"""),3000000.0)</f>
        <v>3000000</v>
      </c>
      <c r="K1681" s="57">
        <f>IFERROR(__xludf.DUMMYFUNCTION("""COMPUTED_VALUE"""),44561.0)</f>
        <v>44561</v>
      </c>
      <c r="L1681" s="6" t="str">
        <f>IFERROR(__xludf.DUMMYFUNCTION("""COMPUTED_VALUE"""),"FIP General")</f>
        <v>FIP General</v>
      </c>
      <c r="M1681" s="6" t="str">
        <f>IFERROR(__xludf.DUMMYFUNCTION("""COMPUTED_VALUE"""),"Irwan Sopian")</f>
        <v>Irwan Sopian</v>
      </c>
      <c r="N1681" s="6" t="str">
        <f>IFERROR(__xludf.DUMMYFUNCTION("""COMPUTED_VALUE"""),"FIP Engineering")</f>
        <v>FIP Engineering</v>
      </c>
      <c r="O1681" s="6" t="str">
        <f>IFERROR(__xludf.DUMMYFUNCTION("""COMPUTED_VALUE"""),"FIP-DOM-ENG-51504-0000000-INA-000000")</f>
        <v>FIP-DOM-ENG-51504-0000000-INA-000000</v>
      </c>
      <c r="P1681" s="6" t="str">
        <f>IFERROR(__xludf.DUMMYFUNCTION("""COMPUTED_VALUE"""),"PO Closed")</f>
        <v>PO Closed</v>
      </c>
      <c r="Q1681" s="6" t="str">
        <f>IFERROR(__xludf.DUMMYFUNCTION("""COMPUTED_VALUE"""),"GL2201004")</f>
        <v>GL2201004</v>
      </c>
      <c r="R1681" s="57">
        <f>IFERROR(__xludf.DUMMYFUNCTION("""COMPUTED_VALUE"""),44553.0)</f>
        <v>44553</v>
      </c>
      <c r="S1681" s="6" t="str">
        <f>IFERROR(__xludf.DUMMYFUNCTION("""COMPUTED_VALUE"""),"-")</f>
        <v>-</v>
      </c>
      <c r="T1681" s="57">
        <f>IFERROR(__xludf.DUMMYFUNCTION("""COMPUTED_VALUE"""),44586.0)</f>
        <v>44586</v>
      </c>
    </row>
    <row r="1682">
      <c r="A1682" s="6" t="str">
        <f>IFERROR(__xludf.DUMMYFUNCTION("""COMPUTED_VALUE"""),"211750513-1")</f>
        <v>211750513-1</v>
      </c>
      <c r="B1682" s="6" t="str">
        <f>IFERROR(__xludf.DUMMYFUNCTION("""COMPUTED_VALUE"""),"211750513 - Approved")</f>
        <v>211750513 - Approved</v>
      </c>
      <c r="C1682" s="6">
        <f>IFERROR(__xludf.DUMMYFUNCTION("""COMPUTED_VALUE"""),1.0)</f>
        <v>1</v>
      </c>
      <c r="D1682" s="6" t="str">
        <f>IFERROR(__xludf.DUMMYFUNCTION("""COMPUTED_VALUE"""),"S-60002-00")</f>
        <v>S-60002-00</v>
      </c>
      <c r="E1682" s="6" t="str">
        <f>IFERROR(__xludf.DUMMYFUNCTION("""COMPUTED_VALUE"""),"Cover SS304 T=1.2 mm Passbox (Sesuai Drawing)")</f>
        <v>Cover SS304 T=1.2 mm Passbox (Sesuai Drawing)</v>
      </c>
      <c r="F1682" s="6">
        <f>IFERROR(__xludf.DUMMYFUNCTION("""COMPUTED_VALUE"""),1.0)</f>
        <v>1</v>
      </c>
      <c r="G1682" s="6" t="str">
        <f>IFERROR(__xludf.DUMMYFUNCTION("""COMPUTED_VALUE"""),"Lot")</f>
        <v>Lot</v>
      </c>
      <c r="H1682" s="6" t="str">
        <f>IFERROR(__xludf.DUMMYFUNCTION("""COMPUTED_VALUE"""),"IDR")</f>
        <v>IDR</v>
      </c>
      <c r="I1682" s="6">
        <f>IFERROR(__xludf.DUMMYFUNCTION("""COMPUTED_VALUE"""),1.25E7)</f>
        <v>12500000</v>
      </c>
      <c r="J1682" s="6">
        <f>IFERROR(__xludf.DUMMYFUNCTION("""COMPUTED_VALUE"""),1.25E7)</f>
        <v>12500000</v>
      </c>
      <c r="K1682" s="57">
        <f>IFERROR(__xludf.DUMMYFUNCTION("""COMPUTED_VALUE"""),44561.0)</f>
        <v>44561</v>
      </c>
      <c r="L1682" s="6" t="str">
        <f>IFERROR(__xludf.DUMMYFUNCTION("""COMPUTED_VALUE"""),"FIP General")</f>
        <v>FIP General</v>
      </c>
      <c r="M1682" s="6" t="str">
        <f>IFERROR(__xludf.DUMMYFUNCTION("""COMPUTED_VALUE"""),"Irwan Sopian")</f>
        <v>Irwan Sopian</v>
      </c>
      <c r="N1682" s="6" t="str">
        <f>IFERROR(__xludf.DUMMYFUNCTION("""COMPUTED_VALUE"""),"FIP Engineering")</f>
        <v>FIP Engineering</v>
      </c>
      <c r="O1682" s="6" t="str">
        <f>IFERROR(__xludf.DUMMYFUNCTION("""COMPUTED_VALUE"""),"FIP-DOM-ENG-51508-0000000-INA-000000")</f>
        <v>FIP-DOM-ENG-51508-0000000-INA-000000</v>
      </c>
      <c r="P1682" s="6" t="str">
        <f>IFERROR(__xludf.DUMMYFUNCTION("""COMPUTED_VALUE"""),"PO Closed")</f>
        <v>PO Closed</v>
      </c>
      <c r="Q1682" s="6" t="str">
        <f>IFERROR(__xludf.DUMMYFUNCTION("""COMPUTED_VALUE"""),"GL2112062")</f>
        <v>GL2112062</v>
      </c>
      <c r="R1682" s="57">
        <f>IFERROR(__xludf.DUMMYFUNCTION("""COMPUTED_VALUE"""),44554.0)</f>
        <v>44554</v>
      </c>
      <c r="S1682" s="6" t="str">
        <f>IFERROR(__xludf.DUMMYFUNCTION("""COMPUTED_VALUE"""),"-")</f>
        <v>-</v>
      </c>
      <c r="T1682" s="57">
        <f>IFERROR(__xludf.DUMMYFUNCTION("""COMPUTED_VALUE"""),44564.0)</f>
        <v>44564</v>
      </c>
    </row>
    <row r="1683">
      <c r="A1683" s="6" t="str">
        <f>IFERROR(__xludf.DUMMYFUNCTION("""COMPUTED_VALUE"""),"211750512-1")</f>
        <v>211750512-1</v>
      </c>
      <c r="B1683" s="6" t="str">
        <f>IFERROR(__xludf.DUMMYFUNCTION("""COMPUTED_VALUE"""),"211750512 - Approved")</f>
        <v>211750512 - Approved</v>
      </c>
      <c r="C1683" s="6">
        <f>IFERROR(__xludf.DUMMYFUNCTION("""COMPUTED_VALUE"""),1.0)</f>
        <v>1</v>
      </c>
      <c r="D1683" s="6" t="str">
        <f>IFERROR(__xludf.DUMMYFUNCTION("""COMPUTED_VALUE"""),"S-60002-00")</f>
        <v>S-60002-00</v>
      </c>
      <c r="E1683" s="6" t="str">
        <f>IFERROR(__xludf.DUMMYFUNCTION("""COMPUTED_VALUE"""),"Vaccum Tester Produk Lyo ( Vaccum Pump Rocker 300 dan Accesories)")</f>
        <v>Vaccum Tester Produk Lyo ( Vaccum Pump Rocker 300 dan Accesories)</v>
      </c>
      <c r="F1683" s="6">
        <f>IFERROR(__xludf.DUMMYFUNCTION("""COMPUTED_VALUE"""),1.0)</f>
        <v>1</v>
      </c>
      <c r="G1683" s="6" t="str">
        <f>IFERROR(__xludf.DUMMYFUNCTION("""COMPUTED_VALUE"""),"Lot")</f>
        <v>Lot</v>
      </c>
      <c r="H1683" s="6" t="str">
        <f>IFERROR(__xludf.DUMMYFUNCTION("""COMPUTED_VALUE"""),"IDR")</f>
        <v>IDR</v>
      </c>
      <c r="I1683" s="6">
        <f>IFERROR(__xludf.DUMMYFUNCTION("""COMPUTED_VALUE"""),6937650.0)</f>
        <v>6937650</v>
      </c>
      <c r="J1683" s="6">
        <f>IFERROR(__xludf.DUMMYFUNCTION("""COMPUTED_VALUE"""),6937650.0)</f>
        <v>6937650</v>
      </c>
      <c r="K1683" s="57">
        <f>IFERROR(__xludf.DUMMYFUNCTION("""COMPUTED_VALUE"""),44561.0)</f>
        <v>44561</v>
      </c>
      <c r="L1683" s="6" t="str">
        <f>IFERROR(__xludf.DUMMYFUNCTION("""COMPUTED_VALUE"""),"FIP General")</f>
        <v>FIP General</v>
      </c>
      <c r="M1683" s="6" t="str">
        <f>IFERROR(__xludf.DUMMYFUNCTION("""COMPUTED_VALUE"""),"Irwan Sopian")</f>
        <v>Irwan Sopian</v>
      </c>
      <c r="N1683" s="6" t="str">
        <f>IFERROR(__xludf.DUMMYFUNCTION("""COMPUTED_VALUE"""),"FIP Engineering")</f>
        <v>FIP Engineering</v>
      </c>
      <c r="O1683" s="6" t="str">
        <f>IFERROR(__xludf.DUMMYFUNCTION("""COMPUTED_VALUE"""),"FIP-DOM-ENG-51508-0000000-INA-000000")</f>
        <v>FIP-DOM-ENG-51508-0000000-INA-000000</v>
      </c>
      <c r="P1683" s="6" t="str">
        <f>IFERROR(__xludf.DUMMYFUNCTION("""COMPUTED_VALUE"""),"PO Closed")</f>
        <v>PO Closed</v>
      </c>
      <c r="Q1683" s="6" t="str">
        <f>IFERROR(__xludf.DUMMYFUNCTION("""COMPUTED_VALUE"""),"GL2112063")</f>
        <v>GL2112063</v>
      </c>
      <c r="R1683" s="57">
        <f>IFERROR(__xludf.DUMMYFUNCTION("""COMPUTED_VALUE"""),44554.0)</f>
        <v>44554</v>
      </c>
      <c r="S1683" s="6" t="str">
        <f>IFERROR(__xludf.DUMMYFUNCTION("""COMPUTED_VALUE"""),"-")</f>
        <v>-</v>
      </c>
      <c r="T1683" s="57">
        <f>IFERROR(__xludf.DUMMYFUNCTION("""COMPUTED_VALUE"""),44564.0)</f>
        <v>44564</v>
      </c>
    </row>
    <row r="1684">
      <c r="A1684" s="6" t="str">
        <f>IFERROR(__xludf.DUMMYFUNCTION("""COMPUTED_VALUE"""),"211750515-1")</f>
        <v>211750515-1</v>
      </c>
      <c r="B1684" s="6" t="str">
        <f>IFERROR(__xludf.DUMMYFUNCTION("""COMPUTED_VALUE"""),"211750515 - Approved")</f>
        <v>211750515 - Approved</v>
      </c>
      <c r="C1684" s="6">
        <f>IFERROR(__xludf.DUMMYFUNCTION("""COMPUTED_VALUE"""),1.0)</f>
        <v>1</v>
      </c>
      <c r="D1684" s="6" t="str">
        <f>IFERROR(__xludf.DUMMYFUNCTION("""COMPUTED_VALUE"""),"P-50138-00")</f>
        <v>P-50138-00</v>
      </c>
      <c r="E1684" s="6" t="str">
        <f>IFERROR(__xludf.DUMMYFUNCTION("""COMPUTED_VALUE"""),"Battery Lithium / Buffer TL-2150 size 1/2 AA")</f>
        <v>Battery Lithium / Buffer TL-2150 size 1/2 AA</v>
      </c>
      <c r="F1684" s="6">
        <f>IFERROR(__xludf.DUMMYFUNCTION("""COMPUTED_VALUE"""),5.0)</f>
        <v>5</v>
      </c>
      <c r="G1684" s="6" t="str">
        <f>IFERROR(__xludf.DUMMYFUNCTION("""COMPUTED_VALUE"""),"Pieces")</f>
        <v>Pieces</v>
      </c>
      <c r="H1684" s="6" t="str">
        <f>IFERROR(__xludf.DUMMYFUNCTION("""COMPUTED_VALUE"""),"IDR")</f>
        <v>IDR</v>
      </c>
      <c r="I1684" s="6">
        <f>IFERROR(__xludf.DUMMYFUNCTION("""COMPUTED_VALUE"""),297000.0)</f>
        <v>297000</v>
      </c>
      <c r="J1684" s="6">
        <f>IFERROR(__xludf.DUMMYFUNCTION("""COMPUTED_VALUE"""),1485000.0)</f>
        <v>1485000</v>
      </c>
      <c r="K1684" s="57">
        <f>IFERROR(__xludf.DUMMYFUNCTION("""COMPUTED_VALUE"""),44596.0)</f>
        <v>44596</v>
      </c>
      <c r="L1684" s="6" t="str">
        <f>IFERROR(__xludf.DUMMYFUNCTION("""COMPUTED_VALUE"""),"FIP Engineering")</f>
        <v>FIP Engineering</v>
      </c>
      <c r="M1684" s="6" t="str">
        <f>IFERROR(__xludf.DUMMYFUNCTION("""COMPUTED_VALUE"""),"Irwan Sopian")</f>
        <v>Irwan Sopian</v>
      </c>
      <c r="N1684" s="6" t="str">
        <f>IFERROR(__xludf.DUMMYFUNCTION("""COMPUTED_VALUE"""),"FIP Engineering")</f>
        <v>FIP Engineering</v>
      </c>
      <c r="O1684" s="6" t="str">
        <f>IFERROR(__xludf.DUMMYFUNCTION("""COMPUTED_VALUE"""),"FIP-DOM-000-11304-OS00001-INA-000000")</f>
        <v>FIP-DOM-000-11304-OS00001-INA-000000</v>
      </c>
      <c r="P1684" s="6" t="str">
        <f>IFERROR(__xludf.DUMMYFUNCTION("""COMPUTED_VALUE"""),"PO Closed")</f>
        <v>PO Closed</v>
      </c>
      <c r="Q1684" s="6" t="str">
        <f>IFERROR(__xludf.DUMMYFUNCTION("""COMPUTED_VALUE"""),"GL2202004")</f>
        <v>GL2202004</v>
      </c>
      <c r="R1684" s="57">
        <f>IFERROR(__xludf.DUMMYFUNCTION("""COMPUTED_VALUE"""),44558.0)</f>
        <v>44558</v>
      </c>
      <c r="S1684" s="6" t="str">
        <f>IFERROR(__xludf.DUMMYFUNCTION("""COMPUTED_VALUE"""),"-")</f>
        <v>-</v>
      </c>
      <c r="T1684" s="57">
        <f>IFERROR(__xludf.DUMMYFUNCTION("""COMPUTED_VALUE"""),44600.0)</f>
        <v>44600</v>
      </c>
    </row>
    <row r="1685">
      <c r="A1685" s="6" t="str">
        <f>IFERROR(__xludf.DUMMYFUNCTION("""COMPUTED_VALUE"""),"211750515-2")</f>
        <v>211750515-2</v>
      </c>
      <c r="B1685" s="6" t="str">
        <f>IFERROR(__xludf.DUMMYFUNCTION("""COMPUTED_VALUE"""),"211750515 - Approved")</f>
        <v>211750515 - Approved</v>
      </c>
      <c r="C1685" s="6">
        <f>IFERROR(__xludf.DUMMYFUNCTION("""COMPUTED_VALUE"""),2.0)</f>
        <v>2</v>
      </c>
      <c r="D1685" s="6" t="str">
        <f>IFERROR(__xludf.DUMMYFUNCTION("""COMPUTED_VALUE"""),"P-51928-00")</f>
        <v>P-51928-00</v>
      </c>
      <c r="E1685" s="6" t="str">
        <f>IFERROR(__xludf.DUMMYFUNCTION("""COMPUTED_VALUE"""),"Battery Lithium 3V CR2477N")</f>
        <v>Battery Lithium 3V CR2477N</v>
      </c>
      <c r="F1685" s="6">
        <f>IFERROR(__xludf.DUMMYFUNCTION("""COMPUTED_VALUE"""),3.0)</f>
        <v>3</v>
      </c>
      <c r="G1685" s="6" t="str">
        <f>IFERROR(__xludf.DUMMYFUNCTION("""COMPUTED_VALUE"""),"Pieces")</f>
        <v>Pieces</v>
      </c>
      <c r="H1685" s="6" t="str">
        <f>IFERROR(__xludf.DUMMYFUNCTION("""COMPUTED_VALUE"""),"IDR")</f>
        <v>IDR</v>
      </c>
      <c r="I1685" s="6">
        <f>IFERROR(__xludf.DUMMYFUNCTION("""COMPUTED_VALUE"""),153000.0)</f>
        <v>153000</v>
      </c>
      <c r="J1685" s="6">
        <f>IFERROR(__xludf.DUMMYFUNCTION("""COMPUTED_VALUE"""),459000.0)</f>
        <v>459000</v>
      </c>
      <c r="K1685" s="57">
        <f>IFERROR(__xludf.DUMMYFUNCTION("""COMPUTED_VALUE"""),44596.0)</f>
        <v>44596</v>
      </c>
      <c r="L1685" s="6" t="str">
        <f>IFERROR(__xludf.DUMMYFUNCTION("""COMPUTED_VALUE"""),"FIP Engineering")</f>
        <v>FIP Engineering</v>
      </c>
      <c r="M1685" s="6" t="str">
        <f>IFERROR(__xludf.DUMMYFUNCTION("""COMPUTED_VALUE"""),"Irwan Sopian")</f>
        <v>Irwan Sopian</v>
      </c>
      <c r="N1685" s="6" t="str">
        <f>IFERROR(__xludf.DUMMYFUNCTION("""COMPUTED_VALUE"""),"FIP Engineering")</f>
        <v>FIP Engineering</v>
      </c>
      <c r="O1685" s="6" t="str">
        <f>IFERROR(__xludf.DUMMYFUNCTION("""COMPUTED_VALUE"""),"FIP-DOM-000-11304-OS00001-INA-000000")</f>
        <v>FIP-DOM-000-11304-OS00001-INA-000000</v>
      </c>
      <c r="P1685" s="6" t="str">
        <f>IFERROR(__xludf.DUMMYFUNCTION("""COMPUTED_VALUE"""),"PO Closed")</f>
        <v>PO Closed</v>
      </c>
      <c r="Q1685" s="6" t="str">
        <f>IFERROR(__xludf.DUMMYFUNCTION("""COMPUTED_VALUE"""),"GL2202004")</f>
        <v>GL2202004</v>
      </c>
      <c r="R1685" s="57">
        <f>IFERROR(__xludf.DUMMYFUNCTION("""COMPUTED_VALUE"""),44558.0)</f>
        <v>44558</v>
      </c>
      <c r="S1685" s="6" t="str">
        <f>IFERROR(__xludf.DUMMYFUNCTION("""COMPUTED_VALUE"""),"-")</f>
        <v>-</v>
      </c>
      <c r="T1685" s="57">
        <f>IFERROR(__xludf.DUMMYFUNCTION("""COMPUTED_VALUE"""),44600.0)</f>
        <v>44600</v>
      </c>
    </row>
    <row r="1686">
      <c r="A1686" s="6" t="str">
        <f>IFERROR(__xludf.DUMMYFUNCTION("""COMPUTED_VALUE"""),"211750514-1")</f>
        <v>211750514-1</v>
      </c>
      <c r="B1686" s="6" t="str">
        <f>IFERROR(__xludf.DUMMYFUNCTION("""COMPUTED_VALUE"""),"211750514 - Approved")</f>
        <v>211750514 - Approved</v>
      </c>
      <c r="C1686" s="6">
        <f>IFERROR(__xludf.DUMMYFUNCTION("""COMPUTED_VALUE"""),1.0)</f>
        <v>1</v>
      </c>
      <c r="D1686" s="6" t="str">
        <f>IFERROR(__xludf.DUMMYFUNCTION("""COMPUTED_VALUE"""),"P-52254-00")</f>
        <v>P-52254-00</v>
      </c>
      <c r="E1686" s="6" t="str">
        <f>IFERROR(__xludf.DUMMYFUNCTION("""COMPUTED_VALUE"""),"Capasitor 40 mF 400/450 VAC")</f>
        <v>Capasitor 40 mF 400/450 VAC</v>
      </c>
      <c r="F1686" s="6">
        <f>IFERROR(__xludf.DUMMYFUNCTION("""COMPUTED_VALUE"""),1.0)</f>
        <v>1</v>
      </c>
      <c r="G1686" s="6" t="str">
        <f>IFERROR(__xludf.DUMMYFUNCTION("""COMPUTED_VALUE"""),"Pieces")</f>
        <v>Pieces</v>
      </c>
      <c r="H1686" s="6" t="str">
        <f>IFERROR(__xludf.DUMMYFUNCTION("""COMPUTED_VALUE"""),"IDR")</f>
        <v>IDR</v>
      </c>
      <c r="I1686" s="6">
        <f>IFERROR(__xludf.DUMMYFUNCTION("""COMPUTED_VALUE"""),107500.0)</f>
        <v>107500</v>
      </c>
      <c r="J1686" s="6">
        <f>IFERROR(__xludf.DUMMYFUNCTION("""COMPUTED_VALUE"""),107500.0)</f>
        <v>107500</v>
      </c>
      <c r="K1686" s="57">
        <f>IFERROR(__xludf.DUMMYFUNCTION("""COMPUTED_VALUE"""),44603.0)</f>
        <v>44603</v>
      </c>
      <c r="L1686" s="6" t="str">
        <f>IFERROR(__xludf.DUMMYFUNCTION("""COMPUTED_VALUE"""),"FIP Engineering")</f>
        <v>FIP Engineering</v>
      </c>
      <c r="M1686" s="6" t="str">
        <f>IFERROR(__xludf.DUMMYFUNCTION("""COMPUTED_VALUE"""),"Irwan Sopian")</f>
        <v>Irwan Sopian</v>
      </c>
      <c r="N1686" s="6" t="str">
        <f>IFERROR(__xludf.DUMMYFUNCTION("""COMPUTED_VALUE"""),"FIP Engineering")</f>
        <v>FIP Engineering</v>
      </c>
      <c r="O1686" s="6" t="str">
        <f>IFERROR(__xludf.DUMMYFUNCTION("""COMPUTED_VALUE"""),"FIP-DOM-000-11304-OS00001-INA-000000")</f>
        <v>FIP-DOM-000-11304-OS00001-INA-000000</v>
      </c>
      <c r="P1686" s="6" t="str">
        <f>IFERROR(__xludf.DUMMYFUNCTION("""COMPUTED_VALUE"""),"PO Closed")</f>
        <v>PO Closed</v>
      </c>
      <c r="Q1686" s="6" t="str">
        <f>IFERROR(__xludf.DUMMYFUNCTION("""COMPUTED_VALUE"""),"GL2201034")</f>
        <v>GL2201034</v>
      </c>
      <c r="R1686" s="57">
        <f>IFERROR(__xludf.DUMMYFUNCTION("""COMPUTED_VALUE"""),44558.0)</f>
        <v>44558</v>
      </c>
      <c r="S1686" s="6" t="str">
        <f>IFERROR(__xludf.DUMMYFUNCTION("""COMPUTED_VALUE"""),"-")</f>
        <v>-</v>
      </c>
      <c r="T1686" s="57">
        <f>IFERROR(__xludf.DUMMYFUNCTION("""COMPUTED_VALUE"""),44595.0)</f>
        <v>44595</v>
      </c>
    </row>
    <row r="1687">
      <c r="A1687" s="6" t="str">
        <f>IFERROR(__xludf.DUMMYFUNCTION("""COMPUTED_VALUE"""),"211750514-2")</f>
        <v>211750514-2</v>
      </c>
      <c r="B1687" s="6" t="str">
        <f>IFERROR(__xludf.DUMMYFUNCTION("""COMPUTED_VALUE"""),"211750514 - Approved")</f>
        <v>211750514 - Approved</v>
      </c>
      <c r="C1687" s="6">
        <f>IFERROR(__xludf.DUMMYFUNCTION("""COMPUTED_VALUE"""),2.0)</f>
        <v>2</v>
      </c>
      <c r="D1687" s="6" t="str">
        <f>IFERROR(__xludf.DUMMYFUNCTION("""COMPUTED_VALUE"""),"P-12747-00")</f>
        <v>P-12747-00</v>
      </c>
      <c r="E1687" s="6" t="str">
        <f>IFERROR(__xludf.DUMMYFUNCTION("""COMPUTED_VALUE"""),"RUCIKA - Pipa PVC AW dia 3/4inch")</f>
        <v>RUCIKA - Pipa PVC AW dia 3/4inch</v>
      </c>
      <c r="F1687" s="6">
        <f>IFERROR(__xludf.DUMMYFUNCTION("""COMPUTED_VALUE"""),1.0)</f>
        <v>1</v>
      </c>
      <c r="G1687" s="6" t="str">
        <f>IFERROR(__xludf.DUMMYFUNCTION("""COMPUTED_VALUE"""),"Pieces")</f>
        <v>Pieces</v>
      </c>
      <c r="H1687" s="6" t="str">
        <f>IFERROR(__xludf.DUMMYFUNCTION("""COMPUTED_VALUE"""),"IDR")</f>
        <v>IDR</v>
      </c>
      <c r="I1687" s="6">
        <f>IFERROR(__xludf.DUMMYFUNCTION("""COMPUTED_VALUE"""),84500.0)</f>
        <v>84500</v>
      </c>
      <c r="J1687" s="6">
        <f>IFERROR(__xludf.DUMMYFUNCTION("""COMPUTED_VALUE"""),84500.0)</f>
        <v>84500</v>
      </c>
      <c r="K1687" s="57">
        <f>IFERROR(__xludf.DUMMYFUNCTION("""COMPUTED_VALUE"""),44603.0)</f>
        <v>44603</v>
      </c>
      <c r="L1687" s="6" t="str">
        <f>IFERROR(__xludf.DUMMYFUNCTION("""COMPUTED_VALUE"""),"FIP Engineering")</f>
        <v>FIP Engineering</v>
      </c>
      <c r="M1687" s="6" t="str">
        <f>IFERROR(__xludf.DUMMYFUNCTION("""COMPUTED_VALUE"""),"Irwan Sopian")</f>
        <v>Irwan Sopian</v>
      </c>
      <c r="N1687" s="6" t="str">
        <f>IFERROR(__xludf.DUMMYFUNCTION("""COMPUTED_VALUE"""),"FIP Engineering")</f>
        <v>FIP Engineering</v>
      </c>
      <c r="O1687" s="6" t="str">
        <f>IFERROR(__xludf.DUMMYFUNCTION("""COMPUTED_VALUE"""),"FIP-DOM-000-11304-OS00001-INA-000000")</f>
        <v>FIP-DOM-000-11304-OS00001-INA-000000</v>
      </c>
      <c r="P1687" s="6" t="str">
        <f>IFERROR(__xludf.DUMMYFUNCTION("""COMPUTED_VALUE"""),"PO Closed")</f>
        <v>PO Closed</v>
      </c>
      <c r="Q1687" s="6" t="str">
        <f>IFERROR(__xludf.DUMMYFUNCTION("""COMPUTED_VALUE"""),"GL2201034")</f>
        <v>GL2201034</v>
      </c>
      <c r="R1687" s="57">
        <f>IFERROR(__xludf.DUMMYFUNCTION("""COMPUTED_VALUE"""),44558.0)</f>
        <v>44558</v>
      </c>
      <c r="S1687" s="6" t="str">
        <f>IFERROR(__xludf.DUMMYFUNCTION("""COMPUTED_VALUE"""),"-")</f>
        <v>-</v>
      </c>
      <c r="T1687" s="57">
        <f>IFERROR(__xludf.DUMMYFUNCTION("""COMPUTED_VALUE"""),44595.0)</f>
        <v>44595</v>
      </c>
    </row>
    <row r="1688">
      <c r="A1688" s="6" t="str">
        <f>IFERROR(__xludf.DUMMYFUNCTION("""COMPUTED_VALUE"""),"211750514-3")</f>
        <v>211750514-3</v>
      </c>
      <c r="B1688" s="6" t="str">
        <f>IFERROR(__xludf.DUMMYFUNCTION("""COMPUTED_VALUE"""),"211750514 - Approved")</f>
        <v>211750514 - Approved</v>
      </c>
      <c r="C1688" s="6">
        <f>IFERROR(__xludf.DUMMYFUNCTION("""COMPUTED_VALUE"""),3.0)</f>
        <v>3</v>
      </c>
      <c r="D1688" s="6" t="str">
        <f>IFERROR(__xludf.DUMMYFUNCTION("""COMPUTED_VALUE"""),"P-11838-00")</f>
        <v>P-11838-00</v>
      </c>
      <c r="E1688" s="6" t="str">
        <f>IFERROR(__xludf.DUMMYFUNCTION("""COMPUTED_VALUE"""),"Ball Valve PVC dia 3/4 inch")</f>
        <v>Ball Valve PVC dia 3/4 inch</v>
      </c>
      <c r="F1688" s="6">
        <f>IFERROR(__xludf.DUMMYFUNCTION("""COMPUTED_VALUE"""),1.0)</f>
        <v>1</v>
      </c>
      <c r="G1688" s="6" t="str">
        <f>IFERROR(__xludf.DUMMYFUNCTION("""COMPUTED_VALUE"""),"Pieces")</f>
        <v>Pieces</v>
      </c>
      <c r="H1688" s="6" t="str">
        <f>IFERROR(__xludf.DUMMYFUNCTION("""COMPUTED_VALUE"""),"IDR")</f>
        <v>IDR</v>
      </c>
      <c r="I1688" s="6">
        <f>IFERROR(__xludf.DUMMYFUNCTION("""COMPUTED_VALUE"""),37500.0)</f>
        <v>37500</v>
      </c>
      <c r="J1688" s="6">
        <f>IFERROR(__xludf.DUMMYFUNCTION("""COMPUTED_VALUE"""),37500.0)</f>
        <v>37500</v>
      </c>
      <c r="K1688" s="57">
        <f>IFERROR(__xludf.DUMMYFUNCTION("""COMPUTED_VALUE"""),44603.0)</f>
        <v>44603</v>
      </c>
      <c r="L1688" s="6" t="str">
        <f>IFERROR(__xludf.DUMMYFUNCTION("""COMPUTED_VALUE"""),"FIP Engineering")</f>
        <v>FIP Engineering</v>
      </c>
      <c r="M1688" s="6" t="str">
        <f>IFERROR(__xludf.DUMMYFUNCTION("""COMPUTED_VALUE"""),"Irwan Sopian")</f>
        <v>Irwan Sopian</v>
      </c>
      <c r="N1688" s="6" t="str">
        <f>IFERROR(__xludf.DUMMYFUNCTION("""COMPUTED_VALUE"""),"FIP Engineering")</f>
        <v>FIP Engineering</v>
      </c>
      <c r="O1688" s="6" t="str">
        <f>IFERROR(__xludf.DUMMYFUNCTION("""COMPUTED_VALUE"""),"FIP-DOM-000-11304-OS00001-INA-000000")</f>
        <v>FIP-DOM-000-11304-OS00001-INA-000000</v>
      </c>
      <c r="P1688" s="6" t="str">
        <f>IFERROR(__xludf.DUMMYFUNCTION("""COMPUTED_VALUE"""),"PO Closed")</f>
        <v>PO Closed</v>
      </c>
      <c r="Q1688" s="6" t="str">
        <f>IFERROR(__xludf.DUMMYFUNCTION("""COMPUTED_VALUE"""),"GL2201034")</f>
        <v>GL2201034</v>
      </c>
      <c r="R1688" s="57">
        <f>IFERROR(__xludf.DUMMYFUNCTION("""COMPUTED_VALUE"""),44558.0)</f>
        <v>44558</v>
      </c>
      <c r="S1688" s="6" t="str">
        <f>IFERROR(__xludf.DUMMYFUNCTION("""COMPUTED_VALUE"""),"-")</f>
        <v>-</v>
      </c>
      <c r="T1688" s="57">
        <f>IFERROR(__xludf.DUMMYFUNCTION("""COMPUTED_VALUE"""),44595.0)</f>
        <v>44595</v>
      </c>
    </row>
    <row r="1689">
      <c r="A1689" s="6" t="str">
        <f>IFERROR(__xludf.DUMMYFUNCTION("""COMPUTED_VALUE"""),"211750514-4")</f>
        <v>211750514-4</v>
      </c>
      <c r="B1689" s="6" t="str">
        <f>IFERROR(__xludf.DUMMYFUNCTION("""COMPUTED_VALUE"""),"211750514 - Approved")</f>
        <v>211750514 - Approved</v>
      </c>
      <c r="C1689" s="6">
        <f>IFERROR(__xludf.DUMMYFUNCTION("""COMPUTED_VALUE"""),4.0)</f>
        <v>4</v>
      </c>
      <c r="D1689" s="6" t="str">
        <f>IFERROR(__xludf.DUMMYFUNCTION("""COMPUTED_VALUE"""),"P-12822-00")</f>
        <v>P-12822-00</v>
      </c>
      <c r="E1689" s="6" t="str">
        <f>IFERROR(__xludf.DUMMYFUNCTION("""COMPUTED_VALUE"""),"Sock PVC dia 3/4inch")</f>
        <v>Sock PVC dia 3/4inch</v>
      </c>
      <c r="F1689" s="6">
        <f>IFERROR(__xludf.DUMMYFUNCTION("""COMPUTED_VALUE"""),1.0)</f>
        <v>1</v>
      </c>
      <c r="G1689" s="6" t="str">
        <f>IFERROR(__xludf.DUMMYFUNCTION("""COMPUTED_VALUE"""),"Pieces")</f>
        <v>Pieces</v>
      </c>
      <c r="H1689" s="6" t="str">
        <f>IFERROR(__xludf.DUMMYFUNCTION("""COMPUTED_VALUE"""),"IDR")</f>
        <v>IDR</v>
      </c>
      <c r="I1689" s="6">
        <f>IFERROR(__xludf.DUMMYFUNCTION("""COMPUTED_VALUE"""),5000.0)</f>
        <v>5000</v>
      </c>
      <c r="J1689" s="6">
        <f>IFERROR(__xludf.DUMMYFUNCTION("""COMPUTED_VALUE"""),5000.0)</f>
        <v>5000</v>
      </c>
      <c r="K1689" s="57">
        <f>IFERROR(__xludf.DUMMYFUNCTION("""COMPUTED_VALUE"""),44603.0)</f>
        <v>44603</v>
      </c>
      <c r="L1689" s="6" t="str">
        <f>IFERROR(__xludf.DUMMYFUNCTION("""COMPUTED_VALUE"""),"FIP Engineering")</f>
        <v>FIP Engineering</v>
      </c>
      <c r="M1689" s="6" t="str">
        <f>IFERROR(__xludf.DUMMYFUNCTION("""COMPUTED_VALUE"""),"Irwan Sopian")</f>
        <v>Irwan Sopian</v>
      </c>
      <c r="N1689" s="6" t="str">
        <f>IFERROR(__xludf.DUMMYFUNCTION("""COMPUTED_VALUE"""),"FIP Engineering")</f>
        <v>FIP Engineering</v>
      </c>
      <c r="O1689" s="6" t="str">
        <f>IFERROR(__xludf.DUMMYFUNCTION("""COMPUTED_VALUE"""),"FIP-DOM-000-11304-OS00001-INA-000000")</f>
        <v>FIP-DOM-000-11304-OS00001-INA-000000</v>
      </c>
      <c r="P1689" s="6" t="str">
        <f>IFERROR(__xludf.DUMMYFUNCTION("""COMPUTED_VALUE"""),"PO Closed")</f>
        <v>PO Closed</v>
      </c>
      <c r="Q1689" s="6" t="str">
        <f>IFERROR(__xludf.DUMMYFUNCTION("""COMPUTED_VALUE"""),"GL2201034")</f>
        <v>GL2201034</v>
      </c>
      <c r="R1689" s="57">
        <f>IFERROR(__xludf.DUMMYFUNCTION("""COMPUTED_VALUE"""),44558.0)</f>
        <v>44558</v>
      </c>
      <c r="S1689" s="6" t="str">
        <f>IFERROR(__xludf.DUMMYFUNCTION("""COMPUTED_VALUE"""),"-")</f>
        <v>-</v>
      </c>
      <c r="T1689" s="57">
        <f>IFERROR(__xludf.DUMMYFUNCTION("""COMPUTED_VALUE"""),44595.0)</f>
        <v>44595</v>
      </c>
    </row>
    <row r="1690">
      <c r="A1690" s="6" t="str">
        <f>IFERROR(__xludf.DUMMYFUNCTION("""COMPUTED_VALUE"""),"211750514-5")</f>
        <v>211750514-5</v>
      </c>
      <c r="B1690" s="6" t="str">
        <f>IFERROR(__xludf.DUMMYFUNCTION("""COMPUTED_VALUE"""),"211750514 - Approved")</f>
        <v>211750514 - Approved</v>
      </c>
      <c r="C1690" s="6">
        <f>IFERROR(__xludf.DUMMYFUNCTION("""COMPUTED_VALUE"""),5.0)</f>
        <v>5</v>
      </c>
      <c r="D1690" s="6" t="str">
        <f>IFERROR(__xludf.DUMMYFUNCTION("""COMPUTED_VALUE"""),"P-10865-00")</f>
        <v>P-10865-00</v>
      </c>
      <c r="E1690" s="6" t="str">
        <f>IFERROR(__xludf.DUMMYFUNCTION("""COMPUTED_VALUE"""),"Fitting PVC - Elbow PVC 3/4""")</f>
        <v>Fitting PVC - Elbow PVC 3/4"</v>
      </c>
      <c r="F1690" s="6">
        <f>IFERROR(__xludf.DUMMYFUNCTION("""COMPUTED_VALUE"""),1.0)</f>
        <v>1</v>
      </c>
      <c r="G1690" s="6" t="str">
        <f>IFERROR(__xludf.DUMMYFUNCTION("""COMPUTED_VALUE"""),"Pieces")</f>
        <v>Pieces</v>
      </c>
      <c r="H1690" s="6" t="str">
        <f>IFERROR(__xludf.DUMMYFUNCTION("""COMPUTED_VALUE"""),"IDR")</f>
        <v>IDR</v>
      </c>
      <c r="I1690" s="6">
        <f>IFERROR(__xludf.DUMMYFUNCTION("""COMPUTED_VALUE"""),4750.0)</f>
        <v>4750</v>
      </c>
      <c r="J1690" s="6">
        <f>IFERROR(__xludf.DUMMYFUNCTION("""COMPUTED_VALUE"""),4750.0)</f>
        <v>4750</v>
      </c>
      <c r="K1690" s="57">
        <f>IFERROR(__xludf.DUMMYFUNCTION("""COMPUTED_VALUE"""),44603.0)</f>
        <v>44603</v>
      </c>
      <c r="L1690" s="6" t="str">
        <f>IFERROR(__xludf.DUMMYFUNCTION("""COMPUTED_VALUE"""),"FIP Engineering")</f>
        <v>FIP Engineering</v>
      </c>
      <c r="M1690" s="6" t="str">
        <f>IFERROR(__xludf.DUMMYFUNCTION("""COMPUTED_VALUE"""),"Irwan Sopian")</f>
        <v>Irwan Sopian</v>
      </c>
      <c r="N1690" s="6" t="str">
        <f>IFERROR(__xludf.DUMMYFUNCTION("""COMPUTED_VALUE"""),"FIP Engineering")</f>
        <v>FIP Engineering</v>
      </c>
      <c r="O1690" s="6" t="str">
        <f>IFERROR(__xludf.DUMMYFUNCTION("""COMPUTED_VALUE"""),"FIP-DOM-000-11304-OS00001-INA-000000")</f>
        <v>FIP-DOM-000-11304-OS00001-INA-000000</v>
      </c>
      <c r="P1690" s="6" t="str">
        <f>IFERROR(__xludf.DUMMYFUNCTION("""COMPUTED_VALUE"""),"PO Closed")</f>
        <v>PO Closed</v>
      </c>
      <c r="Q1690" s="6" t="str">
        <f>IFERROR(__xludf.DUMMYFUNCTION("""COMPUTED_VALUE"""),"GL2201034")</f>
        <v>GL2201034</v>
      </c>
      <c r="R1690" s="57">
        <f>IFERROR(__xludf.DUMMYFUNCTION("""COMPUTED_VALUE"""),44558.0)</f>
        <v>44558</v>
      </c>
      <c r="S1690" s="6" t="str">
        <f>IFERROR(__xludf.DUMMYFUNCTION("""COMPUTED_VALUE"""),"-")</f>
        <v>-</v>
      </c>
      <c r="T1690" s="57">
        <f>IFERROR(__xludf.DUMMYFUNCTION("""COMPUTED_VALUE"""),44595.0)</f>
        <v>44595</v>
      </c>
    </row>
    <row r="1691">
      <c r="A1691" s="6" t="str">
        <f>IFERROR(__xludf.DUMMYFUNCTION("""COMPUTED_VALUE"""),"211750514-6")</f>
        <v>211750514-6</v>
      </c>
      <c r="B1691" s="6" t="str">
        <f>IFERROR(__xludf.DUMMYFUNCTION("""COMPUTED_VALUE"""),"211750514 - Approved")</f>
        <v>211750514 - Approved</v>
      </c>
      <c r="C1691" s="6">
        <f>IFERROR(__xludf.DUMMYFUNCTION("""COMPUTED_VALUE"""),6.0)</f>
        <v>6</v>
      </c>
      <c r="D1691" s="6" t="str">
        <f>IFERROR(__xludf.DUMMYFUNCTION("""COMPUTED_VALUE"""),"P-12806-00")</f>
        <v>P-12806-00</v>
      </c>
      <c r="E1691" s="6" t="str">
        <f>IFERROR(__xludf.DUMMYFUNCTION("""COMPUTED_VALUE"""),"Sock Drat dalam PVC AW dia 3/4inch")</f>
        <v>Sock Drat dalam PVC AW dia 3/4inch</v>
      </c>
      <c r="F1691" s="6">
        <f>IFERROR(__xludf.DUMMYFUNCTION("""COMPUTED_VALUE"""),1.0)</f>
        <v>1</v>
      </c>
      <c r="G1691" s="6" t="str">
        <f>IFERROR(__xludf.DUMMYFUNCTION("""COMPUTED_VALUE"""),"Pieces")</f>
        <v>Pieces</v>
      </c>
      <c r="H1691" s="6" t="str">
        <f>IFERROR(__xludf.DUMMYFUNCTION("""COMPUTED_VALUE"""),"IDR")</f>
        <v>IDR</v>
      </c>
      <c r="I1691" s="6">
        <f>IFERROR(__xludf.DUMMYFUNCTION("""COMPUTED_VALUE"""),6000.0)</f>
        <v>6000</v>
      </c>
      <c r="J1691" s="6">
        <f>IFERROR(__xludf.DUMMYFUNCTION("""COMPUTED_VALUE"""),6000.0)</f>
        <v>6000</v>
      </c>
      <c r="K1691" s="57">
        <f>IFERROR(__xludf.DUMMYFUNCTION("""COMPUTED_VALUE"""),44603.0)</f>
        <v>44603</v>
      </c>
      <c r="L1691" s="6" t="str">
        <f>IFERROR(__xludf.DUMMYFUNCTION("""COMPUTED_VALUE"""),"FIP Engineering")</f>
        <v>FIP Engineering</v>
      </c>
      <c r="M1691" s="6" t="str">
        <f>IFERROR(__xludf.DUMMYFUNCTION("""COMPUTED_VALUE"""),"Irwan Sopian")</f>
        <v>Irwan Sopian</v>
      </c>
      <c r="N1691" s="6" t="str">
        <f>IFERROR(__xludf.DUMMYFUNCTION("""COMPUTED_VALUE"""),"FIP Engineering")</f>
        <v>FIP Engineering</v>
      </c>
      <c r="O1691" s="6" t="str">
        <f>IFERROR(__xludf.DUMMYFUNCTION("""COMPUTED_VALUE"""),"FIP-DOM-000-11304-OS00001-INA-000000")</f>
        <v>FIP-DOM-000-11304-OS00001-INA-000000</v>
      </c>
      <c r="P1691" s="6" t="str">
        <f>IFERROR(__xludf.DUMMYFUNCTION("""COMPUTED_VALUE"""),"PO Closed")</f>
        <v>PO Closed</v>
      </c>
      <c r="Q1691" s="6" t="str">
        <f>IFERROR(__xludf.DUMMYFUNCTION("""COMPUTED_VALUE"""),"GL2201034")</f>
        <v>GL2201034</v>
      </c>
      <c r="R1691" s="57">
        <f>IFERROR(__xludf.DUMMYFUNCTION("""COMPUTED_VALUE"""),44558.0)</f>
        <v>44558</v>
      </c>
      <c r="S1691" s="6" t="str">
        <f>IFERROR(__xludf.DUMMYFUNCTION("""COMPUTED_VALUE"""),"-")</f>
        <v>-</v>
      </c>
      <c r="T1691" s="57">
        <f>IFERROR(__xludf.DUMMYFUNCTION("""COMPUTED_VALUE"""),44595.0)</f>
        <v>44595</v>
      </c>
    </row>
    <row r="1692">
      <c r="A1692" s="6" t="str">
        <f>IFERROR(__xludf.DUMMYFUNCTION("""COMPUTED_VALUE"""),"211750514-7")</f>
        <v>211750514-7</v>
      </c>
      <c r="B1692" s="6" t="str">
        <f>IFERROR(__xludf.DUMMYFUNCTION("""COMPUTED_VALUE"""),"211750514 - Approved")</f>
        <v>211750514 - Approved</v>
      </c>
      <c r="C1692" s="6">
        <f>IFERROR(__xludf.DUMMYFUNCTION("""COMPUTED_VALUE"""),7.0)</f>
        <v>7</v>
      </c>
      <c r="D1692" s="6" t="str">
        <f>IFERROR(__xludf.DUMMYFUNCTION("""COMPUTED_VALUE"""),"P-12813-00")</f>
        <v>P-12813-00</v>
      </c>
      <c r="E1692" s="6" t="str">
        <f>IFERROR(__xludf.DUMMYFUNCTION("""COMPUTED_VALUE"""),"Sock Drat luar PVC AW dia 3/4inch")</f>
        <v>Sock Drat luar PVC AW dia 3/4inch</v>
      </c>
      <c r="F1692" s="6">
        <f>IFERROR(__xludf.DUMMYFUNCTION("""COMPUTED_VALUE"""),1.0)</f>
        <v>1</v>
      </c>
      <c r="G1692" s="6" t="str">
        <f>IFERROR(__xludf.DUMMYFUNCTION("""COMPUTED_VALUE"""),"Pieces")</f>
        <v>Pieces</v>
      </c>
      <c r="H1692" s="6" t="str">
        <f>IFERROR(__xludf.DUMMYFUNCTION("""COMPUTED_VALUE"""),"IDR")</f>
        <v>IDR</v>
      </c>
      <c r="I1692" s="6">
        <f>IFERROR(__xludf.DUMMYFUNCTION("""COMPUTED_VALUE"""),8500.0)</f>
        <v>8500</v>
      </c>
      <c r="J1692" s="6">
        <f>IFERROR(__xludf.DUMMYFUNCTION("""COMPUTED_VALUE"""),8500.0)</f>
        <v>8500</v>
      </c>
      <c r="K1692" s="57">
        <f>IFERROR(__xludf.DUMMYFUNCTION("""COMPUTED_VALUE"""),44603.0)</f>
        <v>44603</v>
      </c>
      <c r="L1692" s="6" t="str">
        <f>IFERROR(__xludf.DUMMYFUNCTION("""COMPUTED_VALUE"""),"FIP Engineering")</f>
        <v>FIP Engineering</v>
      </c>
      <c r="M1692" s="6" t="str">
        <f>IFERROR(__xludf.DUMMYFUNCTION("""COMPUTED_VALUE"""),"Irwan Sopian")</f>
        <v>Irwan Sopian</v>
      </c>
      <c r="N1692" s="6" t="str">
        <f>IFERROR(__xludf.DUMMYFUNCTION("""COMPUTED_VALUE"""),"FIP Engineering")</f>
        <v>FIP Engineering</v>
      </c>
      <c r="O1692" s="6" t="str">
        <f>IFERROR(__xludf.DUMMYFUNCTION("""COMPUTED_VALUE"""),"FIP-DOM-000-11304-OS00001-INA-000000")</f>
        <v>FIP-DOM-000-11304-OS00001-INA-000000</v>
      </c>
      <c r="P1692" s="6" t="str">
        <f>IFERROR(__xludf.DUMMYFUNCTION("""COMPUTED_VALUE"""),"PO Closed")</f>
        <v>PO Closed</v>
      </c>
      <c r="Q1692" s="6" t="str">
        <f>IFERROR(__xludf.DUMMYFUNCTION("""COMPUTED_VALUE"""),"GL2201034")</f>
        <v>GL2201034</v>
      </c>
      <c r="R1692" s="57">
        <f>IFERROR(__xludf.DUMMYFUNCTION("""COMPUTED_VALUE"""),44558.0)</f>
        <v>44558</v>
      </c>
      <c r="S1692" s="6" t="str">
        <f>IFERROR(__xludf.DUMMYFUNCTION("""COMPUTED_VALUE"""),"-")</f>
        <v>-</v>
      </c>
      <c r="T1692" s="57">
        <f>IFERROR(__xludf.DUMMYFUNCTION("""COMPUTED_VALUE"""),44595.0)</f>
        <v>44595</v>
      </c>
    </row>
    <row r="1693">
      <c r="A1693" s="6" t="str">
        <f>IFERROR(__xludf.DUMMYFUNCTION("""COMPUTED_VALUE"""),"211750514-8")</f>
        <v>211750514-8</v>
      </c>
      <c r="B1693" s="6" t="str">
        <f>IFERROR(__xludf.DUMMYFUNCTION("""COMPUTED_VALUE"""),"211750514 - Approved")</f>
        <v>211750514 - Approved</v>
      </c>
      <c r="C1693" s="6">
        <f>IFERROR(__xludf.DUMMYFUNCTION("""COMPUTED_VALUE"""),8.0)</f>
        <v>8</v>
      </c>
      <c r="D1693" s="6" t="str">
        <f>IFERROR(__xludf.DUMMYFUNCTION("""COMPUTED_VALUE"""),"P-17898-00")</f>
        <v>P-17898-00</v>
      </c>
      <c r="E1693" s="6" t="str">
        <f>IFERROR(__xludf.DUMMYFUNCTION("""COMPUTED_VALUE"""),"Baut SS hexagonal M12x100 mm + mur")</f>
        <v>Baut SS hexagonal M12x100 mm + mur</v>
      </c>
      <c r="F1693" s="6">
        <f>IFERROR(__xludf.DUMMYFUNCTION("""COMPUTED_VALUE"""),10.0)</f>
        <v>10</v>
      </c>
      <c r="G1693" s="6" t="str">
        <f>IFERROR(__xludf.DUMMYFUNCTION("""COMPUTED_VALUE"""),"Pieces")</f>
        <v>Pieces</v>
      </c>
      <c r="H1693" s="6" t="str">
        <f>IFERROR(__xludf.DUMMYFUNCTION("""COMPUTED_VALUE"""),"IDR")</f>
        <v>IDR</v>
      </c>
      <c r="I1693" s="6">
        <f>IFERROR(__xludf.DUMMYFUNCTION("""COMPUTED_VALUE"""),16500.0)</f>
        <v>16500</v>
      </c>
      <c r="J1693" s="6">
        <f>IFERROR(__xludf.DUMMYFUNCTION("""COMPUTED_VALUE"""),165000.0)</f>
        <v>165000</v>
      </c>
      <c r="K1693" s="57">
        <f>IFERROR(__xludf.DUMMYFUNCTION("""COMPUTED_VALUE"""),44603.0)</f>
        <v>44603</v>
      </c>
      <c r="L1693" s="6" t="str">
        <f>IFERROR(__xludf.DUMMYFUNCTION("""COMPUTED_VALUE"""),"FIP Engineering")</f>
        <v>FIP Engineering</v>
      </c>
      <c r="M1693" s="6" t="str">
        <f>IFERROR(__xludf.DUMMYFUNCTION("""COMPUTED_VALUE"""),"Irwan Sopian")</f>
        <v>Irwan Sopian</v>
      </c>
      <c r="N1693" s="6" t="str">
        <f>IFERROR(__xludf.DUMMYFUNCTION("""COMPUTED_VALUE"""),"FIP Engineering")</f>
        <v>FIP Engineering</v>
      </c>
      <c r="O1693" s="6" t="str">
        <f>IFERROR(__xludf.DUMMYFUNCTION("""COMPUTED_VALUE"""),"FIP-DOM-000-11304-OS00001-INA-000000")</f>
        <v>FIP-DOM-000-11304-OS00001-INA-000000</v>
      </c>
      <c r="P1693" s="6" t="str">
        <f>IFERROR(__xludf.DUMMYFUNCTION("""COMPUTED_VALUE"""),"PO Closed")</f>
        <v>PO Closed</v>
      </c>
      <c r="Q1693" s="6" t="str">
        <f>IFERROR(__xludf.DUMMYFUNCTION("""COMPUTED_VALUE"""),"GL2201034")</f>
        <v>GL2201034</v>
      </c>
      <c r="R1693" s="57">
        <f>IFERROR(__xludf.DUMMYFUNCTION("""COMPUTED_VALUE"""),44558.0)</f>
        <v>44558</v>
      </c>
      <c r="S1693" s="6" t="str">
        <f>IFERROR(__xludf.DUMMYFUNCTION("""COMPUTED_VALUE"""),"-")</f>
        <v>-</v>
      </c>
      <c r="T1693" s="57">
        <f>IFERROR(__xludf.DUMMYFUNCTION("""COMPUTED_VALUE"""),44595.0)</f>
        <v>44595</v>
      </c>
    </row>
    <row r="1694">
      <c r="A1694" s="6" t="str">
        <f>IFERROR(__xludf.DUMMYFUNCTION("""COMPUTED_VALUE"""),"221750020-1")</f>
        <v>221750020-1</v>
      </c>
      <c r="B1694" s="6" t="str">
        <f>IFERROR(__xludf.DUMMYFUNCTION("""COMPUTED_VALUE"""),"221750020 - Approved")</f>
        <v>221750020 - Approved</v>
      </c>
      <c r="C1694" s="6">
        <f>IFERROR(__xludf.DUMMYFUNCTION("""COMPUTED_VALUE"""),1.0)</f>
        <v>1</v>
      </c>
      <c r="D1694" s="6" t="str">
        <f>IFERROR(__xludf.DUMMYFUNCTION("""COMPUTED_VALUE"""),"O-18192-00")</f>
        <v>O-18192-00</v>
      </c>
      <c r="E1694" s="6" t="str">
        <f>IFERROR(__xludf.DUMMYFUNCTION("""COMPUTED_VALUE"""),"SMC - Tubing Anti Static TAS1208B-20")</f>
        <v>SMC - Tubing Anti Static TAS1208B-20</v>
      </c>
      <c r="F1694" s="6">
        <f>IFERROR(__xludf.DUMMYFUNCTION("""COMPUTED_VALUE"""),20.0)</f>
        <v>20</v>
      </c>
      <c r="G1694" s="6" t="str">
        <f>IFERROR(__xludf.DUMMYFUNCTION("""COMPUTED_VALUE"""),"Meter")</f>
        <v>Meter</v>
      </c>
      <c r="H1694" s="6" t="str">
        <f>IFERROR(__xludf.DUMMYFUNCTION("""COMPUTED_VALUE"""),"IDR")</f>
        <v>IDR</v>
      </c>
      <c r="I1694" s="6">
        <f>IFERROR(__xludf.DUMMYFUNCTION("""COMPUTED_VALUE"""),178000.0)</f>
        <v>178000</v>
      </c>
      <c r="J1694" s="6">
        <f>IFERROR(__xludf.DUMMYFUNCTION("""COMPUTED_VALUE"""),3560000.0)</f>
        <v>3560000</v>
      </c>
      <c r="K1694" s="57">
        <f>IFERROR(__xludf.DUMMYFUNCTION("""COMPUTED_VALUE"""),44610.0)</f>
        <v>44610</v>
      </c>
      <c r="L1694" s="6" t="str">
        <f>IFERROR(__xludf.DUMMYFUNCTION("""COMPUTED_VALUE"""),"FIP Engineering")</f>
        <v>FIP Engineering</v>
      </c>
      <c r="M1694" s="6" t="str">
        <f>IFERROR(__xludf.DUMMYFUNCTION("""COMPUTED_VALUE"""),"Irwan Sopian")</f>
        <v>Irwan Sopian</v>
      </c>
      <c r="N1694" s="6" t="str">
        <f>IFERROR(__xludf.DUMMYFUNCTION("""COMPUTED_VALUE"""),"FIP Engineering")</f>
        <v>FIP Engineering</v>
      </c>
      <c r="O1694" s="6" t="str">
        <f>IFERROR(__xludf.DUMMYFUNCTION("""COMPUTED_VALUE"""),"FIP-DOM-000-11304-OS00001-INA-000000")</f>
        <v>FIP-DOM-000-11304-OS00001-INA-000000</v>
      </c>
      <c r="P1694" s="6" t="str">
        <f>IFERROR(__xludf.DUMMYFUNCTION("""COMPUTED_VALUE"""),"PO Closed")</f>
        <v>PO Closed</v>
      </c>
      <c r="Q1694" s="6" t="str">
        <f>IFERROR(__xludf.DUMMYFUNCTION("""COMPUTED_VALUE"""),"GL2201024")</f>
        <v>GL2201024</v>
      </c>
      <c r="R1694" s="57">
        <f>IFERROR(__xludf.DUMMYFUNCTION("""COMPUTED_VALUE"""),44567.0)</f>
        <v>44567</v>
      </c>
      <c r="S1694" s="6" t="str">
        <f>IFERROR(__xludf.DUMMYFUNCTION("""COMPUTED_VALUE"""),"-")</f>
        <v>-</v>
      </c>
      <c r="T1694" s="57">
        <f>IFERROR(__xludf.DUMMYFUNCTION("""COMPUTED_VALUE"""),44620.0)</f>
        <v>44620</v>
      </c>
    </row>
    <row r="1695">
      <c r="A1695" s="6" t="str">
        <f>IFERROR(__xludf.DUMMYFUNCTION("""COMPUTED_VALUE"""),"221750019-1")</f>
        <v>221750019-1</v>
      </c>
      <c r="B1695" s="6" t="str">
        <f>IFERROR(__xludf.DUMMYFUNCTION("""COMPUTED_VALUE"""),"221750019 - Approved")</f>
        <v>221750019 - Approved</v>
      </c>
      <c r="C1695" s="6">
        <f>IFERROR(__xludf.DUMMYFUNCTION("""COMPUTED_VALUE"""),1.0)</f>
        <v>1</v>
      </c>
      <c r="D1695" s="6" t="str">
        <f>IFERROR(__xludf.DUMMYFUNCTION("""COMPUTED_VALUE"""),"O-51794-00")</f>
        <v>O-51794-00</v>
      </c>
      <c r="E1695" s="6" t="str">
        <f>IFERROR(__xludf.DUMMYFUNCTION("""COMPUTED_VALUE"""),"Recorder Type KRN1000-0801-0S Autonics")</f>
        <v>Recorder Type KRN1000-0801-0S Autonics</v>
      </c>
      <c r="F1695" s="6">
        <f>IFERROR(__xludf.DUMMYFUNCTION("""COMPUTED_VALUE"""),1.0)</f>
        <v>1</v>
      </c>
      <c r="G1695" s="6" t="str">
        <f>IFERROR(__xludf.DUMMYFUNCTION("""COMPUTED_VALUE"""),"Pieces")</f>
        <v>Pieces</v>
      </c>
      <c r="H1695" s="6" t="str">
        <f>IFERROR(__xludf.DUMMYFUNCTION("""COMPUTED_VALUE"""),"IDR")</f>
        <v>IDR</v>
      </c>
      <c r="I1695" s="6">
        <f>IFERROR(__xludf.DUMMYFUNCTION("""COMPUTED_VALUE"""),1.3368E7)</f>
        <v>13368000</v>
      </c>
      <c r="J1695" s="6">
        <f>IFERROR(__xludf.DUMMYFUNCTION("""COMPUTED_VALUE"""),1.3368E7)</f>
        <v>13368000</v>
      </c>
      <c r="K1695" s="57">
        <f>IFERROR(__xludf.DUMMYFUNCTION("""COMPUTED_VALUE"""),44610.0)</f>
        <v>44610</v>
      </c>
      <c r="L1695" s="6" t="str">
        <f>IFERROR(__xludf.DUMMYFUNCTION("""COMPUTED_VALUE"""),"FIP Engineering")</f>
        <v>FIP Engineering</v>
      </c>
      <c r="M1695" s="6" t="str">
        <f>IFERROR(__xludf.DUMMYFUNCTION("""COMPUTED_VALUE"""),"Irwan Sopian")</f>
        <v>Irwan Sopian</v>
      </c>
      <c r="N1695" s="6" t="str">
        <f>IFERROR(__xludf.DUMMYFUNCTION("""COMPUTED_VALUE"""),"FIP Engineering")</f>
        <v>FIP Engineering</v>
      </c>
      <c r="O1695" s="6" t="str">
        <f>IFERROR(__xludf.DUMMYFUNCTION("""COMPUTED_VALUE"""),"FIP-DOM-000-11304-OS00001-INA-000000")</f>
        <v>FIP-DOM-000-11304-OS00001-INA-000000</v>
      </c>
      <c r="P1695" s="6" t="str">
        <f>IFERROR(__xludf.DUMMYFUNCTION("""COMPUTED_VALUE"""),"PO Closed")</f>
        <v>PO Closed</v>
      </c>
      <c r="Q1695" s="6" t="str">
        <f>IFERROR(__xludf.DUMMYFUNCTION("""COMPUTED_VALUE"""),"GL2202028")</f>
        <v>GL2202028</v>
      </c>
      <c r="R1695" s="57">
        <f>IFERROR(__xludf.DUMMYFUNCTION("""COMPUTED_VALUE"""),44567.0)</f>
        <v>44567</v>
      </c>
      <c r="S1695" s="6" t="str">
        <f>IFERROR(__xludf.DUMMYFUNCTION("""COMPUTED_VALUE"""),"-")</f>
        <v>-</v>
      </c>
      <c r="T1695" s="57">
        <f>IFERROR(__xludf.DUMMYFUNCTION("""COMPUTED_VALUE"""),44716.0)</f>
        <v>44716</v>
      </c>
    </row>
    <row r="1696">
      <c r="A1696" s="6" t="str">
        <f>IFERROR(__xludf.DUMMYFUNCTION("""COMPUTED_VALUE"""),"221750017-1")</f>
        <v>221750017-1</v>
      </c>
      <c r="B1696" s="6" t="str">
        <f>IFERROR(__xludf.DUMMYFUNCTION("""COMPUTED_VALUE"""),"221750017 - Approved")</f>
        <v>221750017 - Approved</v>
      </c>
      <c r="C1696" s="6">
        <f>IFERROR(__xludf.DUMMYFUNCTION("""COMPUTED_VALUE"""),1.0)</f>
        <v>1</v>
      </c>
      <c r="D1696" s="6" t="str">
        <f>IFERROR(__xludf.DUMMYFUNCTION("""COMPUTED_VALUE"""),"O-52561-00")</f>
        <v>O-52561-00</v>
      </c>
      <c r="E1696" s="6" t="str">
        <f>IFERROR(__xludf.DUMMYFUNCTION("""COMPUTED_VALUE"""),"UPS Type I Plug IPG800, Capacity 800 VA; Riello; ;")</f>
        <v>UPS Type I Plug IPG800, Capacity 800 VA; Riello; ;</v>
      </c>
      <c r="F1696" s="6">
        <f>IFERROR(__xludf.DUMMYFUNCTION("""COMPUTED_VALUE"""),1.0)</f>
        <v>1</v>
      </c>
      <c r="G1696" s="6" t="str">
        <f>IFERROR(__xludf.DUMMYFUNCTION("""COMPUTED_VALUE"""),"Unit")</f>
        <v>Unit</v>
      </c>
      <c r="H1696" s="6" t="str">
        <f>IFERROR(__xludf.DUMMYFUNCTION("""COMPUTED_VALUE"""),"IDR")</f>
        <v>IDR</v>
      </c>
      <c r="I1696" s="6">
        <f>IFERROR(__xludf.DUMMYFUNCTION("""COMPUTED_VALUE"""),1750000.0)</f>
        <v>1750000</v>
      </c>
      <c r="J1696" s="6">
        <f>IFERROR(__xludf.DUMMYFUNCTION("""COMPUTED_VALUE"""),1750000.0)</f>
        <v>1750000</v>
      </c>
      <c r="K1696" s="57">
        <f>IFERROR(__xludf.DUMMYFUNCTION("""COMPUTED_VALUE"""),44603.0)</f>
        <v>44603</v>
      </c>
      <c r="L1696" s="6" t="str">
        <f>IFERROR(__xludf.DUMMYFUNCTION("""COMPUTED_VALUE"""),"FIP General")</f>
        <v>FIP General</v>
      </c>
      <c r="M1696" s="6" t="str">
        <f>IFERROR(__xludf.DUMMYFUNCTION("""COMPUTED_VALUE"""),"Irwan Sopian")</f>
        <v>Irwan Sopian</v>
      </c>
      <c r="N1696" s="6" t="str">
        <f>IFERROR(__xludf.DUMMYFUNCTION("""COMPUTED_VALUE"""),"FIP Engineering")</f>
        <v>FIP Engineering</v>
      </c>
      <c r="O1696" s="6" t="str">
        <f>IFERROR(__xludf.DUMMYFUNCTION("""COMPUTED_VALUE"""),"FIP-DOM-ENG-51504-0000000-INA-000000")</f>
        <v>FIP-DOM-ENG-51504-0000000-INA-000000</v>
      </c>
      <c r="P1696" s="6" t="str">
        <f>IFERROR(__xludf.DUMMYFUNCTION("""COMPUTED_VALUE"""),"PO Closed")</f>
        <v>PO Closed</v>
      </c>
      <c r="Q1696" s="6" t="str">
        <f>IFERROR(__xludf.DUMMYFUNCTION("""COMPUTED_VALUE"""),"GL2201031")</f>
        <v>GL2201031</v>
      </c>
      <c r="R1696" s="57">
        <f>IFERROR(__xludf.DUMMYFUNCTION("""COMPUTED_VALUE"""),44567.0)</f>
        <v>44567</v>
      </c>
      <c r="S1696" s="6" t="str">
        <f>IFERROR(__xludf.DUMMYFUNCTION("""COMPUTED_VALUE"""),"-")</f>
        <v>-</v>
      </c>
      <c r="T1696" s="57">
        <f>IFERROR(__xludf.DUMMYFUNCTION("""COMPUTED_VALUE"""),44597.0)</f>
        <v>44597</v>
      </c>
    </row>
    <row r="1697">
      <c r="A1697" s="6" t="str">
        <f>IFERROR(__xludf.DUMMYFUNCTION("""COMPUTED_VALUE"""),"221750026-1")</f>
        <v>221750026-1</v>
      </c>
      <c r="B1697" s="6" t="str">
        <f>IFERROR(__xludf.DUMMYFUNCTION("""COMPUTED_VALUE"""),"221750026 - Approved")</f>
        <v>221750026 - Approved</v>
      </c>
      <c r="C1697" s="6">
        <f>IFERROR(__xludf.DUMMYFUNCTION("""COMPUTED_VALUE"""),1.0)</f>
        <v>1</v>
      </c>
      <c r="D1697" s="6" t="str">
        <f>IFERROR(__xludf.DUMMYFUNCTION("""COMPUTED_VALUE"""),"O-54003-00")</f>
        <v>O-54003-00</v>
      </c>
      <c r="E1697" s="6" t="str">
        <f>IFERROR(__xludf.DUMMYFUNCTION("""COMPUTED_VALUE"""),"LAMPU PL-S 2P 11W/865, PHILIPS")</f>
        <v>LAMPU PL-S 2P 11W/865, PHILIPS</v>
      </c>
      <c r="F1697" s="6">
        <f>IFERROR(__xludf.DUMMYFUNCTION("""COMPUTED_VALUE"""),5.0)</f>
        <v>5</v>
      </c>
      <c r="G1697" s="6" t="str">
        <f>IFERROR(__xludf.DUMMYFUNCTION("""COMPUTED_VALUE"""),"Pieces")</f>
        <v>Pieces</v>
      </c>
      <c r="H1697" s="6" t="str">
        <f>IFERROR(__xludf.DUMMYFUNCTION("""COMPUTED_VALUE"""),"IDR")</f>
        <v>IDR</v>
      </c>
      <c r="I1697" s="6">
        <f>IFERROR(__xludf.DUMMYFUNCTION("""COMPUTED_VALUE"""),26000.0)</f>
        <v>26000</v>
      </c>
      <c r="J1697" s="6">
        <f>IFERROR(__xludf.DUMMYFUNCTION("""COMPUTED_VALUE"""),130000.0)</f>
        <v>130000</v>
      </c>
      <c r="K1697" s="57">
        <f>IFERROR(__xludf.DUMMYFUNCTION("""COMPUTED_VALUE"""),44589.0)</f>
        <v>44589</v>
      </c>
      <c r="L1697" s="6" t="str">
        <f>IFERROR(__xludf.DUMMYFUNCTION("""COMPUTED_VALUE"""),"FIP Engineering")</f>
        <v>FIP Engineering</v>
      </c>
      <c r="M1697" s="6" t="str">
        <f>IFERROR(__xludf.DUMMYFUNCTION("""COMPUTED_VALUE"""),"Joko Nugroho")</f>
        <v>Joko Nugroho</v>
      </c>
      <c r="N1697" s="6" t="str">
        <f>IFERROR(__xludf.DUMMYFUNCTION("""COMPUTED_VALUE"""),"FIP Engineering")</f>
        <v>FIP Engineering</v>
      </c>
      <c r="O1697" s="6" t="str">
        <f>IFERROR(__xludf.DUMMYFUNCTION("""COMPUTED_VALUE"""),"FIP-DOM-000-11304-OS00001-INA-000000")</f>
        <v>FIP-DOM-000-11304-OS00001-INA-000000</v>
      </c>
      <c r="P1697" s="6" t="str">
        <f>IFERROR(__xludf.DUMMYFUNCTION("""COMPUTED_VALUE"""),"PO Closed")</f>
        <v>PO Closed</v>
      </c>
      <c r="Q1697" s="6" t="str">
        <f>IFERROR(__xludf.DUMMYFUNCTION("""COMPUTED_VALUE"""),"GL2202018")</f>
        <v>GL2202018</v>
      </c>
      <c r="R1697" s="57">
        <f>IFERROR(__xludf.DUMMYFUNCTION("""COMPUTED_VALUE"""),44574.0)</f>
        <v>44574</v>
      </c>
      <c r="S1697" s="6" t="str">
        <f>IFERROR(__xludf.DUMMYFUNCTION("""COMPUTED_VALUE"""),"-")</f>
        <v>-</v>
      </c>
      <c r="T1697" s="57">
        <f>IFERROR(__xludf.DUMMYFUNCTION("""COMPUTED_VALUE"""),44634.0)</f>
        <v>44634</v>
      </c>
    </row>
    <row r="1698">
      <c r="A1698" s="6" t="str">
        <f>IFERROR(__xludf.DUMMYFUNCTION("""COMPUTED_VALUE"""),"221750026-2")</f>
        <v>221750026-2</v>
      </c>
      <c r="B1698" s="6" t="str">
        <f>IFERROR(__xludf.DUMMYFUNCTION("""COMPUTED_VALUE"""),"221750026 - Approved")</f>
        <v>221750026 - Approved</v>
      </c>
      <c r="C1698" s="6">
        <f>IFERROR(__xludf.DUMMYFUNCTION("""COMPUTED_VALUE"""),2.0)</f>
        <v>2</v>
      </c>
      <c r="D1698" s="6" t="str">
        <f>IFERROR(__xludf.DUMMYFUNCTION("""COMPUTED_VALUE"""),"P-53102-00")</f>
        <v>P-53102-00</v>
      </c>
      <c r="E1698" s="6" t="str">
        <f>IFERROR(__xludf.DUMMYFUNCTION("""COMPUTED_VALUE"""),"Lampu PLC 13watt/E27 Putih Phillips")</f>
        <v>Lampu PLC 13watt/E27 Putih Phillips</v>
      </c>
      <c r="F1698" s="6">
        <f>IFERROR(__xludf.DUMMYFUNCTION("""COMPUTED_VALUE"""),20.0)</f>
        <v>20</v>
      </c>
      <c r="G1698" s="6" t="str">
        <f>IFERROR(__xludf.DUMMYFUNCTION("""COMPUTED_VALUE"""),"Pieces")</f>
        <v>Pieces</v>
      </c>
      <c r="H1698" s="6" t="str">
        <f>IFERROR(__xludf.DUMMYFUNCTION("""COMPUTED_VALUE"""),"IDR")</f>
        <v>IDR</v>
      </c>
      <c r="I1698" s="6">
        <f>IFERROR(__xludf.DUMMYFUNCTION("""COMPUTED_VALUE"""),30000.0)</f>
        <v>30000</v>
      </c>
      <c r="J1698" s="6">
        <f>IFERROR(__xludf.DUMMYFUNCTION("""COMPUTED_VALUE"""),600000.0)</f>
        <v>600000</v>
      </c>
      <c r="K1698" s="57">
        <f>IFERROR(__xludf.DUMMYFUNCTION("""COMPUTED_VALUE"""),44589.0)</f>
        <v>44589</v>
      </c>
      <c r="L1698" s="6" t="str">
        <f>IFERROR(__xludf.DUMMYFUNCTION("""COMPUTED_VALUE"""),"FIP Engineering")</f>
        <v>FIP Engineering</v>
      </c>
      <c r="M1698" s="6" t="str">
        <f>IFERROR(__xludf.DUMMYFUNCTION("""COMPUTED_VALUE"""),"Joko Nugroho")</f>
        <v>Joko Nugroho</v>
      </c>
      <c r="N1698" s="6" t="str">
        <f>IFERROR(__xludf.DUMMYFUNCTION("""COMPUTED_VALUE"""),"FIP Engineering")</f>
        <v>FIP Engineering</v>
      </c>
      <c r="O1698" s="6" t="str">
        <f>IFERROR(__xludf.DUMMYFUNCTION("""COMPUTED_VALUE"""),"FIP-DOM-000-11304-OS00001-INA-000000")</f>
        <v>FIP-DOM-000-11304-OS00001-INA-000000</v>
      </c>
      <c r="P1698" s="6" t="str">
        <f>IFERROR(__xludf.DUMMYFUNCTION("""COMPUTED_VALUE"""),"PO Closed")</f>
        <v>PO Closed</v>
      </c>
      <c r="Q1698" s="6" t="str">
        <f>IFERROR(__xludf.DUMMYFUNCTION("""COMPUTED_VALUE"""),"GL2202018")</f>
        <v>GL2202018</v>
      </c>
      <c r="R1698" s="57">
        <f>IFERROR(__xludf.DUMMYFUNCTION("""COMPUTED_VALUE"""),44574.0)</f>
        <v>44574</v>
      </c>
      <c r="S1698" s="6" t="str">
        <f>IFERROR(__xludf.DUMMYFUNCTION("""COMPUTED_VALUE"""),"-")</f>
        <v>-</v>
      </c>
      <c r="T1698" s="57">
        <f>IFERROR(__xludf.DUMMYFUNCTION("""COMPUTED_VALUE"""),44634.0)</f>
        <v>44634</v>
      </c>
    </row>
    <row r="1699">
      <c r="A1699" s="6" t="str">
        <f>IFERROR(__xludf.DUMMYFUNCTION("""COMPUTED_VALUE"""),"221750026-3")</f>
        <v>221750026-3</v>
      </c>
      <c r="B1699" s="6" t="str">
        <f>IFERROR(__xludf.DUMMYFUNCTION("""COMPUTED_VALUE"""),"221750026 - Approved")</f>
        <v>221750026 - Approved</v>
      </c>
      <c r="C1699" s="6">
        <f>IFERROR(__xludf.DUMMYFUNCTION("""COMPUTED_VALUE"""),3.0)</f>
        <v>3</v>
      </c>
      <c r="D1699" s="6" t="str">
        <f>IFERROR(__xludf.DUMMYFUNCTION("""COMPUTED_VALUE"""),"P-15862-00")</f>
        <v>P-15862-00</v>
      </c>
      <c r="E1699" s="6" t="str">
        <f>IFERROR(__xludf.DUMMYFUNCTION("""COMPUTED_VALUE"""),"PAPER RECORD YOKOGAWA FOLDING CHART B9565AW")</f>
        <v>PAPER RECORD YOKOGAWA FOLDING CHART B9565AW</v>
      </c>
      <c r="F1699" s="6">
        <f>IFERROR(__xludf.DUMMYFUNCTION("""COMPUTED_VALUE"""),3.0)</f>
        <v>3</v>
      </c>
      <c r="G1699" s="6" t="str">
        <f>IFERROR(__xludf.DUMMYFUNCTION("""COMPUTED_VALUE"""),"Pieces")</f>
        <v>Pieces</v>
      </c>
      <c r="H1699" s="6" t="str">
        <f>IFERROR(__xludf.DUMMYFUNCTION("""COMPUTED_VALUE"""),"IDR")</f>
        <v>IDR</v>
      </c>
      <c r="I1699" s="6">
        <f>IFERROR(__xludf.DUMMYFUNCTION("""COMPUTED_VALUE"""),230000.0)</f>
        <v>230000</v>
      </c>
      <c r="J1699" s="6">
        <f>IFERROR(__xludf.DUMMYFUNCTION("""COMPUTED_VALUE"""),690000.0)</f>
        <v>690000</v>
      </c>
      <c r="K1699" s="57">
        <f>IFERROR(__xludf.DUMMYFUNCTION("""COMPUTED_VALUE"""),44589.0)</f>
        <v>44589</v>
      </c>
      <c r="L1699" s="6" t="str">
        <f>IFERROR(__xludf.DUMMYFUNCTION("""COMPUTED_VALUE"""),"FIP Engineering")</f>
        <v>FIP Engineering</v>
      </c>
      <c r="M1699" s="6" t="str">
        <f>IFERROR(__xludf.DUMMYFUNCTION("""COMPUTED_VALUE"""),"Joko Nugroho")</f>
        <v>Joko Nugroho</v>
      </c>
      <c r="N1699" s="6" t="str">
        <f>IFERROR(__xludf.DUMMYFUNCTION("""COMPUTED_VALUE"""),"FIP Engineering")</f>
        <v>FIP Engineering</v>
      </c>
      <c r="O1699" s="6" t="str">
        <f>IFERROR(__xludf.DUMMYFUNCTION("""COMPUTED_VALUE"""),"FIP-DOM-000-11304-OS00001-INA-000000")</f>
        <v>FIP-DOM-000-11304-OS00001-INA-000000</v>
      </c>
      <c r="P1699" s="6" t="str">
        <f>IFERROR(__xludf.DUMMYFUNCTION("""COMPUTED_VALUE"""),"PO Closed")</f>
        <v>PO Closed</v>
      </c>
      <c r="Q1699" s="6" t="str">
        <f>IFERROR(__xludf.DUMMYFUNCTION("""COMPUTED_VALUE"""),"GL2202027")</f>
        <v>GL2202027</v>
      </c>
      <c r="R1699" s="57">
        <f>IFERROR(__xludf.DUMMYFUNCTION("""COMPUTED_VALUE"""),44574.0)</f>
        <v>44574</v>
      </c>
      <c r="S1699" s="6" t="str">
        <f>IFERROR(__xludf.DUMMYFUNCTION("""COMPUTED_VALUE"""),"-")</f>
        <v>-</v>
      </c>
      <c r="T1699" s="57">
        <f>IFERROR(__xludf.DUMMYFUNCTION("""COMPUTED_VALUE"""),44650.0)</f>
        <v>44650</v>
      </c>
    </row>
    <row r="1700">
      <c r="A1700" s="6" t="str">
        <f>IFERROR(__xludf.DUMMYFUNCTION("""COMPUTED_VALUE"""),"221750026-4")</f>
        <v>221750026-4</v>
      </c>
      <c r="B1700" s="6" t="str">
        <f>IFERROR(__xludf.DUMMYFUNCTION("""COMPUTED_VALUE"""),"221750026 - Approved")</f>
        <v>221750026 - Approved</v>
      </c>
      <c r="C1700" s="6">
        <f>IFERROR(__xludf.DUMMYFUNCTION("""COMPUTED_VALUE"""),4.0)</f>
        <v>4</v>
      </c>
      <c r="D1700" s="6" t="str">
        <f>IFERROR(__xludf.DUMMYFUNCTION("""COMPUTED_VALUE"""),"P-12763-00")</f>
        <v>P-12763-00</v>
      </c>
      <c r="E1700" s="6" t="str">
        <f>IFERROR(__xludf.DUMMYFUNCTION("""COMPUTED_VALUE"""),"Silicone gasket for ferrule dia 1 1/2inch Taiwan")</f>
        <v>Silicone gasket for ferrule dia 1 1/2inch Taiwan</v>
      </c>
      <c r="F1700" s="6">
        <f>IFERROR(__xludf.DUMMYFUNCTION("""COMPUTED_VALUE"""),5.0)</f>
        <v>5</v>
      </c>
      <c r="G1700" s="6" t="str">
        <f>IFERROR(__xludf.DUMMYFUNCTION("""COMPUTED_VALUE"""),"Pieces")</f>
        <v>Pieces</v>
      </c>
      <c r="H1700" s="6" t="str">
        <f>IFERROR(__xludf.DUMMYFUNCTION("""COMPUTED_VALUE"""),"IDR")</f>
        <v>IDR</v>
      </c>
      <c r="I1700" s="6">
        <f>IFERROR(__xludf.DUMMYFUNCTION("""COMPUTED_VALUE"""),9600.0)</f>
        <v>9600</v>
      </c>
      <c r="J1700" s="6">
        <f>IFERROR(__xludf.DUMMYFUNCTION("""COMPUTED_VALUE"""),48000.0)</f>
        <v>48000</v>
      </c>
      <c r="K1700" s="57">
        <f>IFERROR(__xludf.DUMMYFUNCTION("""COMPUTED_VALUE"""),44589.0)</f>
        <v>44589</v>
      </c>
      <c r="L1700" s="6" t="str">
        <f>IFERROR(__xludf.DUMMYFUNCTION("""COMPUTED_VALUE"""),"FIP Engineering")</f>
        <v>FIP Engineering</v>
      </c>
      <c r="M1700" s="6" t="str">
        <f>IFERROR(__xludf.DUMMYFUNCTION("""COMPUTED_VALUE"""),"Joko Nugroho")</f>
        <v>Joko Nugroho</v>
      </c>
      <c r="N1700" s="6" t="str">
        <f>IFERROR(__xludf.DUMMYFUNCTION("""COMPUTED_VALUE"""),"FIP Engineering")</f>
        <v>FIP Engineering</v>
      </c>
      <c r="O1700" s="6" t="str">
        <f>IFERROR(__xludf.DUMMYFUNCTION("""COMPUTED_VALUE"""),"FIP-DOM-000-11304-OS00001-INA-000000")</f>
        <v>FIP-DOM-000-11304-OS00001-INA-000000</v>
      </c>
      <c r="P1700" s="6" t="str">
        <f>IFERROR(__xludf.DUMMYFUNCTION("""COMPUTED_VALUE"""),"PO Closed")</f>
        <v>PO Closed</v>
      </c>
      <c r="Q1700" s="6" t="str">
        <f>IFERROR(__xludf.DUMMYFUNCTION("""COMPUTED_VALUE"""),"GL2202018")</f>
        <v>GL2202018</v>
      </c>
      <c r="R1700" s="57">
        <f>IFERROR(__xludf.DUMMYFUNCTION("""COMPUTED_VALUE"""),44574.0)</f>
        <v>44574</v>
      </c>
      <c r="S1700" s="6" t="str">
        <f>IFERROR(__xludf.DUMMYFUNCTION("""COMPUTED_VALUE"""),"-")</f>
        <v>-</v>
      </c>
      <c r="T1700" s="57">
        <f>IFERROR(__xludf.DUMMYFUNCTION("""COMPUTED_VALUE"""),44634.0)</f>
        <v>44634</v>
      </c>
    </row>
    <row r="1701">
      <c r="A1701" s="6" t="str">
        <f>IFERROR(__xludf.DUMMYFUNCTION("""COMPUTED_VALUE"""),"221750026-5")</f>
        <v>221750026-5</v>
      </c>
      <c r="B1701" s="6" t="str">
        <f>IFERROR(__xludf.DUMMYFUNCTION("""COMPUTED_VALUE"""),"221750026 - Approved")</f>
        <v>221750026 - Approved</v>
      </c>
      <c r="C1701" s="6">
        <f>IFERROR(__xludf.DUMMYFUNCTION("""COMPUTED_VALUE"""),5.0)</f>
        <v>5</v>
      </c>
      <c r="D1701" s="6" t="str">
        <f>IFERROR(__xludf.DUMMYFUNCTION("""COMPUTED_VALUE"""),"P-13389-00")</f>
        <v>P-13389-00</v>
      </c>
      <c r="E1701" s="6" t="str">
        <f>IFERROR(__xludf.DUMMYFUNCTION("""COMPUTED_VALUE"""),"Scotch Brite 3M")</f>
        <v>Scotch Brite 3M</v>
      </c>
      <c r="F1701" s="6">
        <f>IFERROR(__xludf.DUMMYFUNCTION("""COMPUTED_VALUE"""),5.0)</f>
        <v>5</v>
      </c>
      <c r="G1701" s="6" t="str">
        <f>IFERROR(__xludf.DUMMYFUNCTION("""COMPUTED_VALUE"""),"Pieces")</f>
        <v>Pieces</v>
      </c>
      <c r="H1701" s="6" t="str">
        <f>IFERROR(__xludf.DUMMYFUNCTION("""COMPUTED_VALUE"""),"IDR")</f>
        <v>IDR</v>
      </c>
      <c r="I1701" s="6">
        <f>IFERROR(__xludf.DUMMYFUNCTION("""COMPUTED_VALUE"""),13500.0)</f>
        <v>13500</v>
      </c>
      <c r="J1701" s="6">
        <f>IFERROR(__xludf.DUMMYFUNCTION("""COMPUTED_VALUE"""),67500.0)</f>
        <v>67500</v>
      </c>
      <c r="K1701" s="57">
        <f>IFERROR(__xludf.DUMMYFUNCTION("""COMPUTED_VALUE"""),44589.0)</f>
        <v>44589</v>
      </c>
      <c r="L1701" s="6" t="str">
        <f>IFERROR(__xludf.DUMMYFUNCTION("""COMPUTED_VALUE"""),"FIP Engineering")</f>
        <v>FIP Engineering</v>
      </c>
      <c r="M1701" s="6" t="str">
        <f>IFERROR(__xludf.DUMMYFUNCTION("""COMPUTED_VALUE"""),"Joko Nugroho")</f>
        <v>Joko Nugroho</v>
      </c>
      <c r="N1701" s="6" t="str">
        <f>IFERROR(__xludf.DUMMYFUNCTION("""COMPUTED_VALUE"""),"FIP Engineering")</f>
        <v>FIP Engineering</v>
      </c>
      <c r="O1701" s="6" t="str">
        <f>IFERROR(__xludf.DUMMYFUNCTION("""COMPUTED_VALUE"""),"FIP-DOM-000-11304-OS00001-INA-000000")</f>
        <v>FIP-DOM-000-11304-OS00001-INA-000000</v>
      </c>
      <c r="P1701" s="6" t="str">
        <f>IFERROR(__xludf.DUMMYFUNCTION("""COMPUTED_VALUE"""),"PO Closed")</f>
        <v>PO Closed</v>
      </c>
      <c r="Q1701" s="6" t="str">
        <f>IFERROR(__xludf.DUMMYFUNCTION("""COMPUTED_VALUE"""),"GL2202018")</f>
        <v>GL2202018</v>
      </c>
      <c r="R1701" s="57">
        <f>IFERROR(__xludf.DUMMYFUNCTION("""COMPUTED_VALUE"""),44574.0)</f>
        <v>44574</v>
      </c>
      <c r="S1701" s="6" t="str">
        <f>IFERROR(__xludf.DUMMYFUNCTION("""COMPUTED_VALUE"""),"-")</f>
        <v>-</v>
      </c>
      <c r="T1701" s="57">
        <f>IFERROR(__xludf.DUMMYFUNCTION("""COMPUTED_VALUE"""),44634.0)</f>
        <v>44634</v>
      </c>
    </row>
    <row r="1702">
      <c r="A1702" s="6" t="str">
        <f>IFERROR(__xludf.DUMMYFUNCTION("""COMPUTED_VALUE"""),"221750026-6")</f>
        <v>221750026-6</v>
      </c>
      <c r="B1702" s="6" t="str">
        <f>IFERROR(__xludf.DUMMYFUNCTION("""COMPUTED_VALUE"""),"221750026 - Approved")</f>
        <v>221750026 - Approved</v>
      </c>
      <c r="C1702" s="6">
        <f>IFERROR(__xludf.DUMMYFUNCTION("""COMPUTED_VALUE"""),6.0)</f>
        <v>6</v>
      </c>
      <c r="D1702" s="6" t="str">
        <f>IFERROR(__xludf.DUMMYFUNCTION("""COMPUTED_VALUE"""),"O-14644-00")</f>
        <v>O-14644-00</v>
      </c>
      <c r="E1702" s="6" t="str">
        <f>IFERROR(__xludf.DUMMYFUNCTION("""COMPUTED_VALUE"""),"Silicone Gasket for Ferrule dia. 4""; ; ;")</f>
        <v>Silicone Gasket for Ferrule dia. 4"; ; ;</v>
      </c>
      <c r="F1702" s="6">
        <f>IFERROR(__xludf.DUMMYFUNCTION("""COMPUTED_VALUE"""),3.0)</f>
        <v>3</v>
      </c>
      <c r="G1702" s="6" t="str">
        <f>IFERROR(__xludf.DUMMYFUNCTION("""COMPUTED_VALUE"""),"Pieces")</f>
        <v>Pieces</v>
      </c>
      <c r="H1702" s="6" t="str">
        <f>IFERROR(__xludf.DUMMYFUNCTION("""COMPUTED_VALUE"""),"IDR")</f>
        <v>IDR</v>
      </c>
      <c r="I1702" s="6">
        <f>IFERROR(__xludf.DUMMYFUNCTION("""COMPUTED_VALUE"""),28000.0)</f>
        <v>28000</v>
      </c>
      <c r="J1702" s="6">
        <f>IFERROR(__xludf.DUMMYFUNCTION("""COMPUTED_VALUE"""),84000.0)</f>
        <v>84000</v>
      </c>
      <c r="K1702" s="57">
        <f>IFERROR(__xludf.DUMMYFUNCTION("""COMPUTED_VALUE"""),44589.0)</f>
        <v>44589</v>
      </c>
      <c r="L1702" s="6" t="str">
        <f>IFERROR(__xludf.DUMMYFUNCTION("""COMPUTED_VALUE"""),"FIP Engineering")</f>
        <v>FIP Engineering</v>
      </c>
      <c r="M1702" s="6" t="str">
        <f>IFERROR(__xludf.DUMMYFUNCTION("""COMPUTED_VALUE"""),"Joko Nugroho")</f>
        <v>Joko Nugroho</v>
      </c>
      <c r="N1702" s="6" t="str">
        <f>IFERROR(__xludf.DUMMYFUNCTION("""COMPUTED_VALUE"""),"FIP Engineering")</f>
        <v>FIP Engineering</v>
      </c>
      <c r="O1702" s="6" t="str">
        <f>IFERROR(__xludf.DUMMYFUNCTION("""COMPUTED_VALUE"""),"FIP-DOM-000-11304-OS00001-INA-000000")</f>
        <v>FIP-DOM-000-11304-OS00001-INA-000000</v>
      </c>
      <c r="P1702" s="6" t="str">
        <f>IFERROR(__xludf.DUMMYFUNCTION("""COMPUTED_VALUE"""),"PO Closed")</f>
        <v>PO Closed</v>
      </c>
      <c r="Q1702" s="6" t="str">
        <f>IFERROR(__xludf.DUMMYFUNCTION("""COMPUTED_VALUE"""),"GL2202018")</f>
        <v>GL2202018</v>
      </c>
      <c r="R1702" s="57">
        <f>IFERROR(__xludf.DUMMYFUNCTION("""COMPUTED_VALUE"""),44574.0)</f>
        <v>44574</v>
      </c>
      <c r="S1702" s="6" t="str">
        <f>IFERROR(__xludf.DUMMYFUNCTION("""COMPUTED_VALUE"""),"-")</f>
        <v>-</v>
      </c>
      <c r="T1702" s="57">
        <f>IFERROR(__xludf.DUMMYFUNCTION("""COMPUTED_VALUE"""),44634.0)</f>
        <v>44634</v>
      </c>
    </row>
    <row r="1703">
      <c r="A1703" s="6" t="str">
        <f>IFERROR(__xludf.DUMMYFUNCTION("""COMPUTED_VALUE"""),"221750026-7")</f>
        <v>221750026-7</v>
      </c>
      <c r="B1703" s="6" t="str">
        <f>IFERROR(__xludf.DUMMYFUNCTION("""COMPUTED_VALUE"""),"221750026 - Approved")</f>
        <v>221750026 - Approved</v>
      </c>
      <c r="C1703" s="6">
        <f>IFERROR(__xludf.DUMMYFUNCTION("""COMPUTED_VALUE"""),7.0)</f>
        <v>7</v>
      </c>
      <c r="D1703" s="6" t="str">
        <f>IFERROR(__xludf.DUMMYFUNCTION("""COMPUTED_VALUE"""),"Q-10233-00")</f>
        <v>Q-10233-00</v>
      </c>
      <c r="E1703" s="6" t="str">
        <f>IFERROR(__xludf.DUMMYFUNCTION("""COMPUTED_VALUE"""),"Silicone Sealant N10 Clear")</f>
        <v>Silicone Sealant N10 Clear</v>
      </c>
      <c r="F1703" s="6">
        <f>IFERROR(__xludf.DUMMYFUNCTION("""COMPUTED_VALUE"""),5.0)</f>
        <v>5</v>
      </c>
      <c r="G1703" s="6" t="str">
        <f>IFERROR(__xludf.DUMMYFUNCTION("""COMPUTED_VALUE"""),"Pieces")</f>
        <v>Pieces</v>
      </c>
      <c r="H1703" s="6" t="str">
        <f>IFERROR(__xludf.DUMMYFUNCTION("""COMPUTED_VALUE"""),"IDR")</f>
        <v>IDR</v>
      </c>
      <c r="I1703" s="6">
        <f>IFERROR(__xludf.DUMMYFUNCTION("""COMPUTED_VALUE"""),58000.0)</f>
        <v>58000</v>
      </c>
      <c r="J1703" s="6">
        <f>IFERROR(__xludf.DUMMYFUNCTION("""COMPUTED_VALUE"""),290000.0)</f>
        <v>290000</v>
      </c>
      <c r="K1703" s="57">
        <f>IFERROR(__xludf.DUMMYFUNCTION("""COMPUTED_VALUE"""),44589.0)</f>
        <v>44589</v>
      </c>
      <c r="L1703" s="6" t="str">
        <f>IFERROR(__xludf.DUMMYFUNCTION("""COMPUTED_VALUE"""),"FIP Engineering")</f>
        <v>FIP Engineering</v>
      </c>
      <c r="M1703" s="6" t="str">
        <f>IFERROR(__xludf.DUMMYFUNCTION("""COMPUTED_VALUE"""),"Joko Nugroho")</f>
        <v>Joko Nugroho</v>
      </c>
      <c r="N1703" s="6" t="str">
        <f>IFERROR(__xludf.DUMMYFUNCTION("""COMPUTED_VALUE"""),"FIP Engineering")</f>
        <v>FIP Engineering</v>
      </c>
      <c r="O1703" s="6" t="str">
        <f>IFERROR(__xludf.DUMMYFUNCTION("""COMPUTED_VALUE"""),"FIP-DOM-000-11304-OS00001-INA-000000")</f>
        <v>FIP-DOM-000-11304-OS00001-INA-000000</v>
      </c>
      <c r="P1703" s="6" t="str">
        <f>IFERROR(__xludf.DUMMYFUNCTION("""COMPUTED_VALUE"""),"PO Closed")</f>
        <v>PO Closed</v>
      </c>
      <c r="Q1703" s="6" t="str">
        <f>IFERROR(__xludf.DUMMYFUNCTION("""COMPUTED_VALUE"""),"GL2201023")</f>
        <v>GL2201023</v>
      </c>
      <c r="R1703" s="57">
        <f>IFERROR(__xludf.DUMMYFUNCTION("""COMPUTED_VALUE"""),44574.0)</f>
        <v>44574</v>
      </c>
      <c r="S1703" s="6" t="str">
        <f>IFERROR(__xludf.DUMMYFUNCTION("""COMPUTED_VALUE"""),"-")</f>
        <v>-</v>
      </c>
      <c r="T1703" s="57">
        <f>IFERROR(__xludf.DUMMYFUNCTION("""COMPUTED_VALUE"""),44595.0)</f>
        <v>44595</v>
      </c>
    </row>
    <row r="1704">
      <c r="A1704" s="6" t="str">
        <f>IFERROR(__xludf.DUMMYFUNCTION("""COMPUTED_VALUE"""),"221750026-8")</f>
        <v>221750026-8</v>
      </c>
      <c r="B1704" s="6" t="str">
        <f>IFERROR(__xludf.DUMMYFUNCTION("""COMPUTED_VALUE"""),"221750026 - Approved")</f>
        <v>221750026 - Approved</v>
      </c>
      <c r="C1704" s="6">
        <f>IFERROR(__xludf.DUMMYFUNCTION("""COMPUTED_VALUE"""),8.0)</f>
        <v>8</v>
      </c>
      <c r="D1704" s="6" t="str">
        <f>IFERROR(__xludf.DUMMYFUNCTION("""COMPUTED_VALUE"""),"P-53209-00")</f>
        <v>P-53209-00</v>
      </c>
      <c r="E1704" s="6" t="str">
        <f>IFERROR(__xludf.DUMMYFUNCTION("""COMPUTED_VALUE"""),"CAPACITOR 3 uF, 220 V, 2 kutub; ; ;")</f>
        <v>CAPACITOR 3 uF, 220 V, 2 kutub; ; ;</v>
      </c>
      <c r="F1704" s="6">
        <f>IFERROR(__xludf.DUMMYFUNCTION("""COMPUTED_VALUE"""),3.0)</f>
        <v>3</v>
      </c>
      <c r="G1704" s="6" t="str">
        <f>IFERROR(__xludf.DUMMYFUNCTION("""COMPUTED_VALUE"""),"Pieces")</f>
        <v>Pieces</v>
      </c>
      <c r="H1704" s="6" t="str">
        <f>IFERROR(__xludf.DUMMYFUNCTION("""COMPUTED_VALUE"""),"IDR")</f>
        <v>IDR</v>
      </c>
      <c r="I1704" s="6">
        <f>IFERROR(__xludf.DUMMYFUNCTION("""COMPUTED_VALUE"""),14400.0)</f>
        <v>14400</v>
      </c>
      <c r="J1704" s="6">
        <f>IFERROR(__xludf.DUMMYFUNCTION("""COMPUTED_VALUE"""),43200.0)</f>
        <v>43200</v>
      </c>
      <c r="K1704" s="57">
        <f>IFERROR(__xludf.DUMMYFUNCTION("""COMPUTED_VALUE"""),44589.0)</f>
        <v>44589</v>
      </c>
      <c r="L1704" s="6" t="str">
        <f>IFERROR(__xludf.DUMMYFUNCTION("""COMPUTED_VALUE"""),"FIP Engineering")</f>
        <v>FIP Engineering</v>
      </c>
      <c r="M1704" s="6" t="str">
        <f>IFERROR(__xludf.DUMMYFUNCTION("""COMPUTED_VALUE"""),"Joko Nugroho")</f>
        <v>Joko Nugroho</v>
      </c>
      <c r="N1704" s="6" t="str">
        <f>IFERROR(__xludf.DUMMYFUNCTION("""COMPUTED_VALUE"""),"FIP Engineering")</f>
        <v>FIP Engineering</v>
      </c>
      <c r="O1704" s="6" t="str">
        <f>IFERROR(__xludf.DUMMYFUNCTION("""COMPUTED_VALUE"""),"FIP-DOM-000-11304-OS00001-INA-000000")</f>
        <v>FIP-DOM-000-11304-OS00001-INA-000000</v>
      </c>
      <c r="P1704" s="6" t="str">
        <f>IFERROR(__xludf.DUMMYFUNCTION("""COMPUTED_VALUE"""),"PO Closed")</f>
        <v>PO Closed</v>
      </c>
      <c r="Q1704" s="6" t="str">
        <f>IFERROR(__xludf.DUMMYFUNCTION("""COMPUTED_VALUE"""),"GL2202018")</f>
        <v>GL2202018</v>
      </c>
      <c r="R1704" s="57">
        <f>IFERROR(__xludf.DUMMYFUNCTION("""COMPUTED_VALUE"""),44574.0)</f>
        <v>44574</v>
      </c>
      <c r="S1704" s="6" t="str">
        <f>IFERROR(__xludf.DUMMYFUNCTION("""COMPUTED_VALUE"""),"-")</f>
        <v>-</v>
      </c>
      <c r="T1704" s="57">
        <f>IFERROR(__xludf.DUMMYFUNCTION("""COMPUTED_VALUE"""),44634.0)</f>
        <v>44634</v>
      </c>
    </row>
    <row r="1705">
      <c r="A1705" s="6" t="str">
        <f>IFERROR(__xludf.DUMMYFUNCTION("""COMPUTED_VALUE"""),"221750026-9")</f>
        <v>221750026-9</v>
      </c>
      <c r="B1705" s="6" t="str">
        <f>IFERROR(__xludf.DUMMYFUNCTION("""COMPUTED_VALUE"""),"221750026 - Approved")</f>
        <v>221750026 - Approved</v>
      </c>
      <c r="C1705" s="6">
        <f>IFERROR(__xludf.DUMMYFUNCTION("""COMPUTED_VALUE"""),9.0)</f>
        <v>9</v>
      </c>
      <c r="D1705" s="6" t="str">
        <f>IFERROR(__xludf.DUMMYFUNCTION("""COMPUTED_VALUE"""),"Q-10249-00")</f>
        <v>Q-10249-00</v>
      </c>
      <c r="E1705" s="6" t="str">
        <f>IFERROR(__xludf.DUMMYFUNCTION("""COMPUTED_VALUE"""),"Lem Power Glue")</f>
        <v>Lem Power Glue</v>
      </c>
      <c r="F1705" s="6">
        <f>IFERROR(__xludf.DUMMYFUNCTION("""COMPUTED_VALUE"""),8.0)</f>
        <v>8</v>
      </c>
      <c r="G1705" s="6" t="str">
        <f>IFERROR(__xludf.DUMMYFUNCTION("""COMPUTED_VALUE"""),"Pieces")</f>
        <v>Pieces</v>
      </c>
      <c r="H1705" s="6" t="str">
        <f>IFERROR(__xludf.DUMMYFUNCTION("""COMPUTED_VALUE"""),"IDR")</f>
        <v>IDR</v>
      </c>
      <c r="I1705" s="6">
        <f>IFERROR(__xludf.DUMMYFUNCTION("""COMPUTED_VALUE"""),4050.0)</f>
        <v>4050</v>
      </c>
      <c r="J1705" s="6">
        <f>IFERROR(__xludf.DUMMYFUNCTION("""COMPUTED_VALUE"""),32400.0)</f>
        <v>32400</v>
      </c>
      <c r="K1705" s="57">
        <f>IFERROR(__xludf.DUMMYFUNCTION("""COMPUTED_VALUE"""),44589.0)</f>
        <v>44589</v>
      </c>
      <c r="L1705" s="6" t="str">
        <f>IFERROR(__xludf.DUMMYFUNCTION("""COMPUTED_VALUE"""),"FIP Engineering")</f>
        <v>FIP Engineering</v>
      </c>
      <c r="M1705" s="6" t="str">
        <f>IFERROR(__xludf.DUMMYFUNCTION("""COMPUTED_VALUE"""),"Joko Nugroho")</f>
        <v>Joko Nugroho</v>
      </c>
      <c r="N1705" s="6" t="str">
        <f>IFERROR(__xludf.DUMMYFUNCTION("""COMPUTED_VALUE"""),"FIP Engineering")</f>
        <v>FIP Engineering</v>
      </c>
      <c r="O1705" s="6" t="str">
        <f>IFERROR(__xludf.DUMMYFUNCTION("""COMPUTED_VALUE"""),"FIP-DOM-000-11304-OS00001-INA-000000")</f>
        <v>FIP-DOM-000-11304-OS00001-INA-000000</v>
      </c>
      <c r="P1705" s="6" t="str">
        <f>IFERROR(__xludf.DUMMYFUNCTION("""COMPUTED_VALUE"""),"PO Closed")</f>
        <v>PO Closed</v>
      </c>
      <c r="Q1705" s="6" t="str">
        <f>IFERROR(__xludf.DUMMYFUNCTION("""COMPUTED_VALUE"""),"GL2201023")</f>
        <v>GL2201023</v>
      </c>
      <c r="R1705" s="57">
        <f>IFERROR(__xludf.DUMMYFUNCTION("""COMPUTED_VALUE"""),44574.0)</f>
        <v>44574</v>
      </c>
      <c r="S1705" s="6" t="str">
        <f>IFERROR(__xludf.DUMMYFUNCTION("""COMPUTED_VALUE"""),"-")</f>
        <v>-</v>
      </c>
      <c r="T1705" s="57">
        <f>IFERROR(__xludf.DUMMYFUNCTION("""COMPUTED_VALUE"""),44595.0)</f>
        <v>44595</v>
      </c>
    </row>
    <row r="1706">
      <c r="A1706" s="6" t="str">
        <f>IFERROR(__xludf.DUMMYFUNCTION("""COMPUTED_VALUE"""),"221750026-10")</f>
        <v>221750026-10</v>
      </c>
      <c r="B1706" s="6" t="str">
        <f>IFERROR(__xludf.DUMMYFUNCTION("""COMPUTED_VALUE"""),"221750026 - Approved")</f>
        <v>221750026 - Approved</v>
      </c>
      <c r="C1706" s="6">
        <f>IFERROR(__xludf.DUMMYFUNCTION("""COMPUTED_VALUE"""),10.0)</f>
        <v>10</v>
      </c>
      <c r="D1706" s="6" t="str">
        <f>IFERROR(__xludf.DUMMYFUNCTION("""COMPUTED_VALUE"""),"P-53213-00")</f>
        <v>P-53213-00</v>
      </c>
      <c r="E1706" s="6" t="str">
        <f>IFERROR(__xludf.DUMMYFUNCTION("""COMPUTED_VALUE"""),"Lem Pipa PVC")</f>
        <v>Lem Pipa PVC</v>
      </c>
      <c r="F1706" s="6">
        <f>IFERROR(__xludf.DUMMYFUNCTION("""COMPUTED_VALUE"""),4.0)</f>
        <v>4</v>
      </c>
      <c r="G1706" s="6" t="str">
        <f>IFERROR(__xludf.DUMMYFUNCTION("""COMPUTED_VALUE"""),"Pieces")</f>
        <v>Pieces</v>
      </c>
      <c r="H1706" s="6" t="str">
        <f>IFERROR(__xludf.DUMMYFUNCTION("""COMPUTED_VALUE"""),"IDR")</f>
        <v>IDR</v>
      </c>
      <c r="I1706" s="6">
        <f>IFERROR(__xludf.DUMMYFUNCTION("""COMPUTED_VALUE"""),8100.0)</f>
        <v>8100</v>
      </c>
      <c r="J1706" s="6">
        <f>IFERROR(__xludf.DUMMYFUNCTION("""COMPUTED_VALUE"""),32400.0)</f>
        <v>32400</v>
      </c>
      <c r="K1706" s="57">
        <f>IFERROR(__xludf.DUMMYFUNCTION("""COMPUTED_VALUE"""),44589.0)</f>
        <v>44589</v>
      </c>
      <c r="L1706" s="6" t="str">
        <f>IFERROR(__xludf.DUMMYFUNCTION("""COMPUTED_VALUE"""),"FIP Engineering")</f>
        <v>FIP Engineering</v>
      </c>
      <c r="M1706" s="6" t="str">
        <f>IFERROR(__xludf.DUMMYFUNCTION("""COMPUTED_VALUE"""),"Joko Nugroho")</f>
        <v>Joko Nugroho</v>
      </c>
      <c r="N1706" s="6" t="str">
        <f>IFERROR(__xludf.DUMMYFUNCTION("""COMPUTED_VALUE"""),"FIP Engineering")</f>
        <v>FIP Engineering</v>
      </c>
      <c r="O1706" s="6" t="str">
        <f>IFERROR(__xludf.DUMMYFUNCTION("""COMPUTED_VALUE"""),"FIP-DOM-000-11304-OS00001-INA-000000")</f>
        <v>FIP-DOM-000-11304-OS00001-INA-000000</v>
      </c>
      <c r="P1706" s="6" t="str">
        <f>IFERROR(__xludf.DUMMYFUNCTION("""COMPUTED_VALUE"""),"PO Closed")</f>
        <v>PO Closed</v>
      </c>
      <c r="Q1706" s="6" t="str">
        <f>IFERROR(__xludf.DUMMYFUNCTION("""COMPUTED_VALUE"""),"GL2202018")</f>
        <v>GL2202018</v>
      </c>
      <c r="R1706" s="57">
        <f>IFERROR(__xludf.DUMMYFUNCTION("""COMPUTED_VALUE"""),44574.0)</f>
        <v>44574</v>
      </c>
      <c r="S1706" s="6" t="str">
        <f>IFERROR(__xludf.DUMMYFUNCTION("""COMPUTED_VALUE"""),"-")</f>
        <v>-</v>
      </c>
      <c r="T1706" s="57">
        <f>IFERROR(__xludf.DUMMYFUNCTION("""COMPUTED_VALUE"""),44634.0)</f>
        <v>44634</v>
      </c>
    </row>
    <row r="1707">
      <c r="A1707" s="6" t="str">
        <f>IFERROR(__xludf.DUMMYFUNCTION("""COMPUTED_VALUE"""),"221750026-11")</f>
        <v>221750026-11</v>
      </c>
      <c r="B1707" s="6" t="str">
        <f>IFERROR(__xludf.DUMMYFUNCTION("""COMPUTED_VALUE"""),"221750026 - Approved")</f>
        <v>221750026 - Approved</v>
      </c>
      <c r="C1707" s="6">
        <f>IFERROR(__xludf.DUMMYFUNCTION("""COMPUTED_VALUE"""),11.0)</f>
        <v>11</v>
      </c>
      <c r="D1707" s="6" t="str">
        <f>IFERROR(__xludf.DUMMYFUNCTION("""COMPUTED_VALUE"""),"O-54015-00")</f>
        <v>O-54015-00</v>
      </c>
      <c r="E1707" s="6" t="str">
        <f>IFERROR(__xludf.DUMMYFUNCTION("""COMPUTED_VALUE"""),"STOP KONTAK LUBANG 4, BROCO")</f>
        <v>STOP KONTAK LUBANG 4, BROCO</v>
      </c>
      <c r="F1707" s="6">
        <f>IFERROR(__xludf.DUMMYFUNCTION("""COMPUTED_VALUE"""),2.0)</f>
        <v>2</v>
      </c>
      <c r="G1707" s="6" t="str">
        <f>IFERROR(__xludf.DUMMYFUNCTION("""COMPUTED_VALUE"""),"Unit")</f>
        <v>Unit</v>
      </c>
      <c r="H1707" s="6" t="str">
        <f>IFERROR(__xludf.DUMMYFUNCTION("""COMPUTED_VALUE"""),"IDR")</f>
        <v>IDR</v>
      </c>
      <c r="I1707" s="6">
        <f>IFERROR(__xludf.DUMMYFUNCTION("""COMPUTED_VALUE"""),49000.0)</f>
        <v>49000</v>
      </c>
      <c r="J1707" s="6">
        <f>IFERROR(__xludf.DUMMYFUNCTION("""COMPUTED_VALUE"""),98000.0)</f>
        <v>98000</v>
      </c>
      <c r="K1707" s="57">
        <f>IFERROR(__xludf.DUMMYFUNCTION("""COMPUTED_VALUE"""),44589.0)</f>
        <v>44589</v>
      </c>
      <c r="L1707" s="6" t="str">
        <f>IFERROR(__xludf.DUMMYFUNCTION("""COMPUTED_VALUE"""),"FIP Engineering")</f>
        <v>FIP Engineering</v>
      </c>
      <c r="M1707" s="6" t="str">
        <f>IFERROR(__xludf.DUMMYFUNCTION("""COMPUTED_VALUE"""),"Joko Nugroho")</f>
        <v>Joko Nugroho</v>
      </c>
      <c r="N1707" s="6" t="str">
        <f>IFERROR(__xludf.DUMMYFUNCTION("""COMPUTED_VALUE"""),"FIP Engineering")</f>
        <v>FIP Engineering</v>
      </c>
      <c r="O1707" s="6" t="str">
        <f>IFERROR(__xludf.DUMMYFUNCTION("""COMPUTED_VALUE"""),"FIP-DOM-000-11304-OS00001-INA-000000")</f>
        <v>FIP-DOM-000-11304-OS00001-INA-000000</v>
      </c>
      <c r="P1707" s="6" t="str">
        <f>IFERROR(__xludf.DUMMYFUNCTION("""COMPUTED_VALUE"""),"PO Closed")</f>
        <v>PO Closed</v>
      </c>
      <c r="Q1707" s="6" t="str">
        <f>IFERROR(__xludf.DUMMYFUNCTION("""COMPUTED_VALUE"""),"GL2202018")</f>
        <v>GL2202018</v>
      </c>
      <c r="R1707" s="57">
        <f>IFERROR(__xludf.DUMMYFUNCTION("""COMPUTED_VALUE"""),44574.0)</f>
        <v>44574</v>
      </c>
      <c r="S1707" s="6" t="str">
        <f>IFERROR(__xludf.DUMMYFUNCTION("""COMPUTED_VALUE"""),"-")</f>
        <v>-</v>
      </c>
      <c r="T1707" s="57">
        <f>IFERROR(__xludf.DUMMYFUNCTION("""COMPUTED_VALUE"""),44634.0)</f>
        <v>44634</v>
      </c>
    </row>
    <row r="1708">
      <c r="A1708" s="6" t="str">
        <f>IFERROR(__xludf.DUMMYFUNCTION("""COMPUTED_VALUE"""),"221750026-12")</f>
        <v>221750026-12</v>
      </c>
      <c r="B1708" s="6" t="str">
        <f>IFERROR(__xludf.DUMMYFUNCTION("""COMPUTED_VALUE"""),"221750026 - Approved")</f>
        <v>221750026 - Approved</v>
      </c>
      <c r="C1708" s="6">
        <f>IFERROR(__xludf.DUMMYFUNCTION("""COMPUTED_VALUE"""),12.0)</f>
        <v>12</v>
      </c>
      <c r="D1708" s="6" t="str">
        <f>IFERROR(__xludf.DUMMYFUNCTION("""COMPUTED_VALUE"""),"O-51850-00")</f>
        <v>O-51850-00</v>
      </c>
      <c r="E1708" s="6" t="str">
        <f>IFERROR(__xludf.DUMMYFUNCTION("""COMPUTED_VALUE"""),"Power Supply 220 VAC 12 VDC, 3 Ampere; ; ;")</f>
        <v>Power Supply 220 VAC 12 VDC, 3 Ampere; ; ;</v>
      </c>
      <c r="F1708" s="6">
        <f>IFERROR(__xludf.DUMMYFUNCTION("""COMPUTED_VALUE"""),2.0)</f>
        <v>2</v>
      </c>
      <c r="G1708" s="6" t="str">
        <f>IFERROR(__xludf.DUMMYFUNCTION("""COMPUTED_VALUE"""),"Pieces")</f>
        <v>Pieces</v>
      </c>
      <c r="H1708" s="6" t="str">
        <f>IFERROR(__xludf.DUMMYFUNCTION("""COMPUTED_VALUE"""),"IDR")</f>
        <v>IDR</v>
      </c>
      <c r="I1708" s="6">
        <f>IFERROR(__xludf.DUMMYFUNCTION("""COMPUTED_VALUE"""),112500.0)</f>
        <v>112500</v>
      </c>
      <c r="J1708" s="6">
        <f>IFERROR(__xludf.DUMMYFUNCTION("""COMPUTED_VALUE"""),225000.0)</f>
        <v>225000</v>
      </c>
      <c r="K1708" s="57">
        <f>IFERROR(__xludf.DUMMYFUNCTION("""COMPUTED_VALUE"""),44589.0)</f>
        <v>44589</v>
      </c>
      <c r="L1708" s="6" t="str">
        <f>IFERROR(__xludf.DUMMYFUNCTION("""COMPUTED_VALUE"""),"FIP Engineering")</f>
        <v>FIP Engineering</v>
      </c>
      <c r="M1708" s="6" t="str">
        <f>IFERROR(__xludf.DUMMYFUNCTION("""COMPUTED_VALUE"""),"Joko Nugroho")</f>
        <v>Joko Nugroho</v>
      </c>
      <c r="N1708" s="6" t="str">
        <f>IFERROR(__xludf.DUMMYFUNCTION("""COMPUTED_VALUE"""),"FIP Engineering")</f>
        <v>FIP Engineering</v>
      </c>
      <c r="O1708" s="6" t="str">
        <f>IFERROR(__xludf.DUMMYFUNCTION("""COMPUTED_VALUE"""),"FIP-DOM-000-11304-OS00001-INA-000000")</f>
        <v>FIP-DOM-000-11304-OS00001-INA-000000</v>
      </c>
      <c r="P1708" s="6" t="str">
        <f>IFERROR(__xludf.DUMMYFUNCTION("""COMPUTED_VALUE"""),"PO Closed")</f>
        <v>PO Closed</v>
      </c>
      <c r="Q1708" s="6" t="str">
        <f>IFERROR(__xludf.DUMMYFUNCTION("""COMPUTED_VALUE"""),"GL2202018")</f>
        <v>GL2202018</v>
      </c>
      <c r="R1708" s="57">
        <f>IFERROR(__xludf.DUMMYFUNCTION("""COMPUTED_VALUE"""),44574.0)</f>
        <v>44574</v>
      </c>
      <c r="S1708" s="6" t="str">
        <f>IFERROR(__xludf.DUMMYFUNCTION("""COMPUTED_VALUE"""),"-")</f>
        <v>-</v>
      </c>
      <c r="T1708" s="57">
        <f>IFERROR(__xludf.DUMMYFUNCTION("""COMPUTED_VALUE"""),44634.0)</f>
        <v>44634</v>
      </c>
    </row>
    <row r="1709">
      <c r="A1709" s="6" t="str">
        <f>IFERROR(__xludf.DUMMYFUNCTION("""COMPUTED_VALUE"""),"221750026-13")</f>
        <v>221750026-13</v>
      </c>
      <c r="B1709" s="6" t="str">
        <f>IFERROR(__xludf.DUMMYFUNCTION("""COMPUTED_VALUE"""),"221750026 - Approved")</f>
        <v>221750026 - Approved</v>
      </c>
      <c r="C1709" s="6">
        <f>IFERROR(__xludf.DUMMYFUNCTION("""COMPUTED_VALUE"""),13.0)</f>
        <v>13</v>
      </c>
      <c r="D1709" s="6" t="str">
        <f>IFERROR(__xludf.DUMMYFUNCTION("""COMPUTED_VALUE"""),"P-51706-00")</f>
        <v>P-51706-00</v>
      </c>
      <c r="E1709" s="6" t="str">
        <f>IFERROR(__xludf.DUMMYFUNCTION("""COMPUTED_VALUE"""),"Terminal Blok 4 Pin")</f>
        <v>Terminal Blok 4 Pin</v>
      </c>
      <c r="F1709" s="6">
        <f>IFERROR(__xludf.DUMMYFUNCTION("""COMPUTED_VALUE"""),2.0)</f>
        <v>2</v>
      </c>
      <c r="G1709" s="6" t="str">
        <f>IFERROR(__xludf.DUMMYFUNCTION("""COMPUTED_VALUE"""),"Pieces")</f>
        <v>Pieces</v>
      </c>
      <c r="H1709" s="6" t="str">
        <f>IFERROR(__xludf.DUMMYFUNCTION("""COMPUTED_VALUE"""),"IDR")</f>
        <v>IDR</v>
      </c>
      <c r="I1709" s="6">
        <f>IFERROR(__xludf.DUMMYFUNCTION("""COMPUTED_VALUE"""),9000.0)</f>
        <v>9000</v>
      </c>
      <c r="J1709" s="6">
        <f>IFERROR(__xludf.DUMMYFUNCTION("""COMPUTED_VALUE"""),18000.0)</f>
        <v>18000</v>
      </c>
      <c r="K1709" s="57">
        <f>IFERROR(__xludf.DUMMYFUNCTION("""COMPUTED_VALUE"""),44589.0)</f>
        <v>44589</v>
      </c>
      <c r="L1709" s="6" t="str">
        <f>IFERROR(__xludf.DUMMYFUNCTION("""COMPUTED_VALUE"""),"FIP Engineering")</f>
        <v>FIP Engineering</v>
      </c>
      <c r="M1709" s="6" t="str">
        <f>IFERROR(__xludf.DUMMYFUNCTION("""COMPUTED_VALUE"""),"Joko Nugroho")</f>
        <v>Joko Nugroho</v>
      </c>
      <c r="N1709" s="6" t="str">
        <f>IFERROR(__xludf.DUMMYFUNCTION("""COMPUTED_VALUE"""),"FIP Engineering")</f>
        <v>FIP Engineering</v>
      </c>
      <c r="O1709" s="6" t="str">
        <f>IFERROR(__xludf.DUMMYFUNCTION("""COMPUTED_VALUE"""),"FIP-DOM-000-11304-OS00001-INA-000000")</f>
        <v>FIP-DOM-000-11304-OS00001-INA-000000</v>
      </c>
      <c r="P1709" s="6" t="str">
        <f>IFERROR(__xludf.DUMMYFUNCTION("""COMPUTED_VALUE"""),"PO Closed")</f>
        <v>PO Closed</v>
      </c>
      <c r="Q1709" s="6" t="str">
        <f>IFERROR(__xludf.DUMMYFUNCTION("""COMPUTED_VALUE"""),"GL2202018")</f>
        <v>GL2202018</v>
      </c>
      <c r="R1709" s="57">
        <f>IFERROR(__xludf.DUMMYFUNCTION("""COMPUTED_VALUE"""),44574.0)</f>
        <v>44574</v>
      </c>
      <c r="S1709" s="6" t="str">
        <f>IFERROR(__xludf.DUMMYFUNCTION("""COMPUTED_VALUE"""),"-")</f>
        <v>-</v>
      </c>
      <c r="T1709" s="57">
        <f>IFERROR(__xludf.DUMMYFUNCTION("""COMPUTED_VALUE"""),44634.0)</f>
        <v>44634</v>
      </c>
    </row>
    <row r="1710">
      <c r="A1710" s="6" t="str">
        <f>IFERROR(__xludf.DUMMYFUNCTION("""COMPUTED_VALUE"""),"221750026-14")</f>
        <v>221750026-14</v>
      </c>
      <c r="B1710" s="6" t="str">
        <f>IFERROR(__xludf.DUMMYFUNCTION("""COMPUTED_VALUE"""),"221750026 - Approved")</f>
        <v>221750026 - Approved</v>
      </c>
      <c r="C1710" s="6">
        <f>IFERROR(__xludf.DUMMYFUNCTION("""COMPUTED_VALUE"""),14.0)</f>
        <v>14</v>
      </c>
      <c r="D1710" s="6" t="str">
        <f>IFERROR(__xludf.DUMMYFUNCTION("""COMPUTED_VALUE"""),"O-54004-00")</f>
        <v>O-54004-00</v>
      </c>
      <c r="E1710" s="6" t="str">
        <f>IFERROR(__xludf.DUMMYFUNCTION("""COMPUTED_VALUE"""),"LAMPU SL 24 W / 220-240 V / SPIRAL, PHILIPS")</f>
        <v>LAMPU SL 24 W / 220-240 V / SPIRAL, PHILIPS</v>
      </c>
      <c r="F1710" s="6">
        <f>IFERROR(__xludf.DUMMYFUNCTION("""COMPUTED_VALUE"""),4.0)</f>
        <v>4</v>
      </c>
      <c r="G1710" s="6" t="str">
        <f>IFERROR(__xludf.DUMMYFUNCTION("""COMPUTED_VALUE"""),"Pieces")</f>
        <v>Pieces</v>
      </c>
      <c r="H1710" s="6" t="str">
        <f>IFERROR(__xludf.DUMMYFUNCTION("""COMPUTED_VALUE"""),"IDR")</f>
        <v>IDR</v>
      </c>
      <c r="I1710" s="6">
        <f>IFERROR(__xludf.DUMMYFUNCTION("""COMPUTED_VALUE"""),56000.0)</f>
        <v>56000</v>
      </c>
      <c r="J1710" s="6">
        <f>IFERROR(__xludf.DUMMYFUNCTION("""COMPUTED_VALUE"""),224000.0)</f>
        <v>224000</v>
      </c>
      <c r="K1710" s="57">
        <f>IFERROR(__xludf.DUMMYFUNCTION("""COMPUTED_VALUE"""),44589.0)</f>
        <v>44589</v>
      </c>
      <c r="L1710" s="6" t="str">
        <f>IFERROR(__xludf.DUMMYFUNCTION("""COMPUTED_VALUE"""),"FIP Engineering")</f>
        <v>FIP Engineering</v>
      </c>
      <c r="M1710" s="6" t="str">
        <f>IFERROR(__xludf.DUMMYFUNCTION("""COMPUTED_VALUE"""),"Joko Nugroho")</f>
        <v>Joko Nugroho</v>
      </c>
      <c r="N1710" s="6" t="str">
        <f>IFERROR(__xludf.DUMMYFUNCTION("""COMPUTED_VALUE"""),"FIP Engineering")</f>
        <v>FIP Engineering</v>
      </c>
      <c r="O1710" s="6" t="str">
        <f>IFERROR(__xludf.DUMMYFUNCTION("""COMPUTED_VALUE"""),"FIP-DOM-000-11304-OS00001-INA-000000")</f>
        <v>FIP-DOM-000-11304-OS00001-INA-000000</v>
      </c>
      <c r="P1710" s="6" t="str">
        <f>IFERROR(__xludf.DUMMYFUNCTION("""COMPUTED_VALUE"""),"PO Closed")</f>
        <v>PO Closed</v>
      </c>
      <c r="Q1710" s="6" t="str">
        <f>IFERROR(__xludf.DUMMYFUNCTION("""COMPUTED_VALUE"""),"GL2202018")</f>
        <v>GL2202018</v>
      </c>
      <c r="R1710" s="57">
        <f>IFERROR(__xludf.DUMMYFUNCTION("""COMPUTED_VALUE"""),44574.0)</f>
        <v>44574</v>
      </c>
      <c r="S1710" s="6" t="str">
        <f>IFERROR(__xludf.DUMMYFUNCTION("""COMPUTED_VALUE"""),"-")</f>
        <v>-</v>
      </c>
      <c r="T1710" s="57">
        <f>IFERROR(__xludf.DUMMYFUNCTION("""COMPUTED_VALUE"""),44634.0)</f>
        <v>44634</v>
      </c>
    </row>
    <row r="1711">
      <c r="A1711" s="6" t="str">
        <f>IFERROR(__xludf.DUMMYFUNCTION("""COMPUTED_VALUE"""),"221750026-15")</f>
        <v>221750026-15</v>
      </c>
      <c r="B1711" s="6" t="str">
        <f>IFERROR(__xludf.DUMMYFUNCTION("""COMPUTED_VALUE"""),"221750026 - Approved")</f>
        <v>221750026 - Approved</v>
      </c>
      <c r="C1711" s="6">
        <f>IFERROR(__xludf.DUMMYFUNCTION("""COMPUTED_VALUE"""),15.0)</f>
        <v>15</v>
      </c>
      <c r="D1711" s="6" t="str">
        <f>IFERROR(__xludf.DUMMYFUNCTION("""COMPUTED_VALUE"""),"P-53211-00")</f>
        <v>P-53211-00</v>
      </c>
      <c r="E1711" s="6" t="str">
        <f>IFERROR(__xludf.DUMMYFUNCTION("""COMPUTED_VALUE"""),"LOCTITE High Temperature @ 50 ml")</f>
        <v>LOCTITE High Temperature @ 50 ml</v>
      </c>
      <c r="F1711" s="6">
        <f>IFERROR(__xludf.DUMMYFUNCTION("""COMPUTED_VALUE"""),1.0)</f>
        <v>1</v>
      </c>
      <c r="G1711" s="6" t="str">
        <f>IFERROR(__xludf.DUMMYFUNCTION("""COMPUTED_VALUE"""),"Pieces")</f>
        <v>Pieces</v>
      </c>
      <c r="H1711" s="6" t="str">
        <f>IFERROR(__xludf.DUMMYFUNCTION("""COMPUTED_VALUE"""),"IDR")</f>
        <v>IDR</v>
      </c>
      <c r="I1711" s="6">
        <f>IFERROR(__xludf.DUMMYFUNCTION("""COMPUTED_VALUE"""),252000.0)</f>
        <v>252000</v>
      </c>
      <c r="J1711" s="6">
        <f>IFERROR(__xludf.DUMMYFUNCTION("""COMPUTED_VALUE"""),252000.0)</f>
        <v>252000</v>
      </c>
      <c r="K1711" s="57">
        <f>IFERROR(__xludf.DUMMYFUNCTION("""COMPUTED_VALUE"""),44589.0)</f>
        <v>44589</v>
      </c>
      <c r="L1711" s="6" t="str">
        <f>IFERROR(__xludf.DUMMYFUNCTION("""COMPUTED_VALUE"""),"FIP Engineering")</f>
        <v>FIP Engineering</v>
      </c>
      <c r="M1711" s="6" t="str">
        <f>IFERROR(__xludf.DUMMYFUNCTION("""COMPUTED_VALUE"""),"Joko Nugroho")</f>
        <v>Joko Nugroho</v>
      </c>
      <c r="N1711" s="6" t="str">
        <f>IFERROR(__xludf.DUMMYFUNCTION("""COMPUTED_VALUE"""),"FIP Engineering")</f>
        <v>FIP Engineering</v>
      </c>
      <c r="O1711" s="6" t="str">
        <f>IFERROR(__xludf.DUMMYFUNCTION("""COMPUTED_VALUE"""),"FIP-DOM-000-11304-OS00001-INA-000000")</f>
        <v>FIP-DOM-000-11304-OS00001-INA-000000</v>
      </c>
      <c r="P1711" s="6" t="str">
        <f>IFERROR(__xludf.DUMMYFUNCTION("""COMPUTED_VALUE"""),"PO Closed")</f>
        <v>PO Closed</v>
      </c>
      <c r="Q1711" s="6" t="str">
        <f>IFERROR(__xludf.DUMMYFUNCTION("""COMPUTED_VALUE"""),"GL2202018")</f>
        <v>GL2202018</v>
      </c>
      <c r="R1711" s="57">
        <f>IFERROR(__xludf.DUMMYFUNCTION("""COMPUTED_VALUE"""),44574.0)</f>
        <v>44574</v>
      </c>
      <c r="S1711" s="6" t="str">
        <f>IFERROR(__xludf.DUMMYFUNCTION("""COMPUTED_VALUE"""),"-")</f>
        <v>-</v>
      </c>
      <c r="T1711" s="57">
        <f>IFERROR(__xludf.DUMMYFUNCTION("""COMPUTED_VALUE"""),44634.0)</f>
        <v>44634</v>
      </c>
    </row>
    <row r="1712">
      <c r="A1712" s="6" t="str">
        <f>IFERROR(__xludf.DUMMYFUNCTION("""COMPUTED_VALUE"""),"221750026-16")</f>
        <v>221750026-16</v>
      </c>
      <c r="B1712" s="6" t="str">
        <f>IFERROR(__xludf.DUMMYFUNCTION("""COMPUTED_VALUE"""),"221750026 - Approved")</f>
        <v>221750026 - Approved</v>
      </c>
      <c r="C1712" s="6">
        <f>IFERROR(__xludf.DUMMYFUNCTION("""COMPUTED_VALUE"""),16.0)</f>
        <v>16</v>
      </c>
      <c r="D1712" s="6" t="str">
        <f>IFERROR(__xludf.DUMMYFUNCTION("""COMPUTED_VALUE"""),"P-10729-00")</f>
        <v>P-10729-00</v>
      </c>
      <c r="E1712" s="6" t="str">
        <f>IFERROR(__xludf.DUMMYFUNCTION("""COMPUTED_VALUE"""),"Contact cleaner WD 40, 382 gr ; Brand : - ; P/N : - ; Pack Size : pcs")</f>
        <v>Contact cleaner WD 40, 382 gr ; Brand : - ; P/N : - ; Pack Size : pcs</v>
      </c>
      <c r="F1712" s="6">
        <f>IFERROR(__xludf.DUMMYFUNCTION("""COMPUTED_VALUE"""),3.0)</f>
        <v>3</v>
      </c>
      <c r="G1712" s="6" t="str">
        <f>IFERROR(__xludf.DUMMYFUNCTION("""COMPUTED_VALUE"""),"Pieces")</f>
        <v>Pieces</v>
      </c>
      <c r="H1712" s="6" t="str">
        <f>IFERROR(__xludf.DUMMYFUNCTION("""COMPUTED_VALUE"""),"IDR")</f>
        <v>IDR</v>
      </c>
      <c r="I1712" s="6">
        <f>IFERROR(__xludf.DUMMYFUNCTION("""COMPUTED_VALUE"""),60000.0)</f>
        <v>60000</v>
      </c>
      <c r="J1712" s="6">
        <f>IFERROR(__xludf.DUMMYFUNCTION("""COMPUTED_VALUE"""),180000.0)</f>
        <v>180000</v>
      </c>
      <c r="K1712" s="57">
        <f>IFERROR(__xludf.DUMMYFUNCTION("""COMPUTED_VALUE"""),44589.0)</f>
        <v>44589</v>
      </c>
      <c r="L1712" s="6" t="str">
        <f>IFERROR(__xludf.DUMMYFUNCTION("""COMPUTED_VALUE"""),"FIP Engineering")</f>
        <v>FIP Engineering</v>
      </c>
      <c r="M1712" s="6" t="str">
        <f>IFERROR(__xludf.DUMMYFUNCTION("""COMPUTED_VALUE"""),"Joko Nugroho")</f>
        <v>Joko Nugroho</v>
      </c>
      <c r="N1712" s="6" t="str">
        <f>IFERROR(__xludf.DUMMYFUNCTION("""COMPUTED_VALUE"""),"FIP Engineering")</f>
        <v>FIP Engineering</v>
      </c>
      <c r="O1712" s="6" t="str">
        <f>IFERROR(__xludf.DUMMYFUNCTION("""COMPUTED_VALUE"""),"FIP-DOM-000-11304-OS00001-INA-000000")</f>
        <v>FIP-DOM-000-11304-OS00001-INA-000000</v>
      </c>
      <c r="P1712" s="6" t="str">
        <f>IFERROR(__xludf.DUMMYFUNCTION("""COMPUTED_VALUE"""),"PO Closed")</f>
        <v>PO Closed</v>
      </c>
      <c r="Q1712" s="6" t="str">
        <f>IFERROR(__xludf.DUMMYFUNCTION("""COMPUTED_VALUE"""),"GL2202018")</f>
        <v>GL2202018</v>
      </c>
      <c r="R1712" s="57">
        <f>IFERROR(__xludf.DUMMYFUNCTION("""COMPUTED_VALUE"""),44574.0)</f>
        <v>44574</v>
      </c>
      <c r="S1712" s="6" t="str">
        <f>IFERROR(__xludf.DUMMYFUNCTION("""COMPUTED_VALUE"""),"-")</f>
        <v>-</v>
      </c>
      <c r="T1712" s="57">
        <f>IFERROR(__xludf.DUMMYFUNCTION("""COMPUTED_VALUE"""),44634.0)</f>
        <v>44634</v>
      </c>
    </row>
    <row r="1713">
      <c r="A1713" s="6" t="str">
        <f>IFERROR(__xludf.DUMMYFUNCTION("""COMPUTED_VALUE"""),"221750026-18")</f>
        <v>221750026-18</v>
      </c>
      <c r="B1713" s="6" t="str">
        <f>IFERROR(__xludf.DUMMYFUNCTION("""COMPUTED_VALUE"""),"221750026 - Approved")</f>
        <v>221750026 - Approved</v>
      </c>
      <c r="C1713" s="6">
        <f>IFERROR(__xludf.DUMMYFUNCTION("""COMPUTED_VALUE"""),18.0)</f>
        <v>18</v>
      </c>
      <c r="D1713" s="6" t="str">
        <f>IFERROR(__xludf.DUMMYFUNCTION("""COMPUTED_VALUE"""),"P-10726-00")</f>
        <v>P-10726-00</v>
      </c>
      <c r="E1713" s="6" t="str">
        <f>IFERROR(__xludf.DUMMYFUNCTION("""COMPUTED_VALUE"""),"Cleaner - Contact Cleaner CRC CO 2016 500 ml")</f>
        <v>Cleaner - Contact Cleaner CRC CO 2016 500 ml</v>
      </c>
      <c r="F1713" s="6">
        <f>IFERROR(__xludf.DUMMYFUNCTION("""COMPUTED_VALUE"""),1.0)</f>
        <v>1</v>
      </c>
      <c r="G1713" s="6" t="str">
        <f>IFERROR(__xludf.DUMMYFUNCTION("""COMPUTED_VALUE"""),"Pieces")</f>
        <v>Pieces</v>
      </c>
      <c r="H1713" s="6" t="str">
        <f>IFERROR(__xludf.DUMMYFUNCTION("""COMPUTED_VALUE"""),"IDR")</f>
        <v>IDR</v>
      </c>
      <c r="I1713" s="6">
        <f>IFERROR(__xludf.DUMMYFUNCTION("""COMPUTED_VALUE"""),150000.0)</f>
        <v>150000</v>
      </c>
      <c r="J1713" s="6">
        <f>IFERROR(__xludf.DUMMYFUNCTION("""COMPUTED_VALUE"""),150000.0)</f>
        <v>150000</v>
      </c>
      <c r="K1713" s="57">
        <f>IFERROR(__xludf.DUMMYFUNCTION("""COMPUTED_VALUE"""),44589.0)</f>
        <v>44589</v>
      </c>
      <c r="L1713" s="6" t="str">
        <f>IFERROR(__xludf.DUMMYFUNCTION("""COMPUTED_VALUE"""),"FIP Engineering")</f>
        <v>FIP Engineering</v>
      </c>
      <c r="M1713" s="6" t="str">
        <f>IFERROR(__xludf.DUMMYFUNCTION("""COMPUTED_VALUE"""),"Joko Nugroho")</f>
        <v>Joko Nugroho</v>
      </c>
      <c r="N1713" s="6" t="str">
        <f>IFERROR(__xludf.DUMMYFUNCTION("""COMPUTED_VALUE"""),"FIP Engineering")</f>
        <v>FIP Engineering</v>
      </c>
      <c r="O1713" s="6" t="str">
        <f>IFERROR(__xludf.DUMMYFUNCTION("""COMPUTED_VALUE"""),"FIP-DOM-000-11304-OS00001-INA-000000")</f>
        <v>FIP-DOM-000-11304-OS00001-INA-000000</v>
      </c>
      <c r="P1713" s="6" t="str">
        <f>IFERROR(__xludf.DUMMYFUNCTION("""COMPUTED_VALUE"""),"PO Closed")</f>
        <v>PO Closed</v>
      </c>
      <c r="Q1713" s="6" t="str">
        <f>IFERROR(__xludf.DUMMYFUNCTION("""COMPUTED_VALUE"""),"GL2202018")</f>
        <v>GL2202018</v>
      </c>
      <c r="R1713" s="57">
        <f>IFERROR(__xludf.DUMMYFUNCTION("""COMPUTED_VALUE"""),44574.0)</f>
        <v>44574</v>
      </c>
      <c r="S1713" s="6" t="str">
        <f>IFERROR(__xludf.DUMMYFUNCTION("""COMPUTED_VALUE"""),"-")</f>
        <v>-</v>
      </c>
      <c r="T1713" s="57">
        <f>IFERROR(__xludf.DUMMYFUNCTION("""COMPUTED_VALUE"""),44634.0)</f>
        <v>44634</v>
      </c>
    </row>
    <row r="1714">
      <c r="A1714" s="6" t="str">
        <f>IFERROR(__xludf.DUMMYFUNCTION("""COMPUTED_VALUE"""),"221750026-19")</f>
        <v>221750026-19</v>
      </c>
      <c r="B1714" s="6" t="str">
        <f>IFERROR(__xludf.DUMMYFUNCTION("""COMPUTED_VALUE"""),"221750026 - Approved")</f>
        <v>221750026 - Approved</v>
      </c>
      <c r="C1714" s="6">
        <f>IFERROR(__xludf.DUMMYFUNCTION("""COMPUTED_VALUE"""),19.0)</f>
        <v>19</v>
      </c>
      <c r="D1714" s="6" t="str">
        <f>IFERROR(__xludf.DUMMYFUNCTION("""COMPUTED_VALUE"""),"P-11694-00")</f>
        <v>P-11694-00</v>
      </c>
      <c r="E1714" s="6" t="str">
        <f>IFERROR(__xludf.DUMMYFUNCTION("""COMPUTED_VALUE"""),"Mata Gerinda 4""")</f>
        <v>Mata Gerinda 4"</v>
      </c>
      <c r="F1714" s="6">
        <f>IFERROR(__xludf.DUMMYFUNCTION("""COMPUTED_VALUE"""),1.0)</f>
        <v>1</v>
      </c>
      <c r="G1714" s="6" t="str">
        <f>IFERROR(__xludf.DUMMYFUNCTION("""COMPUTED_VALUE"""),"Pieces")</f>
        <v>Pieces</v>
      </c>
      <c r="H1714" s="6" t="str">
        <f>IFERROR(__xludf.DUMMYFUNCTION("""COMPUTED_VALUE"""),"IDR")</f>
        <v>IDR</v>
      </c>
      <c r="I1714" s="6">
        <f>IFERROR(__xludf.DUMMYFUNCTION("""COMPUTED_VALUE"""),108000.0)</f>
        <v>108000</v>
      </c>
      <c r="J1714" s="6">
        <f>IFERROR(__xludf.DUMMYFUNCTION("""COMPUTED_VALUE"""),108000.0)</f>
        <v>108000</v>
      </c>
      <c r="K1714" s="57">
        <f>IFERROR(__xludf.DUMMYFUNCTION("""COMPUTED_VALUE"""),44589.0)</f>
        <v>44589</v>
      </c>
      <c r="L1714" s="6" t="str">
        <f>IFERROR(__xludf.DUMMYFUNCTION("""COMPUTED_VALUE"""),"FIP General")</f>
        <v>FIP General</v>
      </c>
      <c r="M1714" s="6" t="str">
        <f>IFERROR(__xludf.DUMMYFUNCTION("""COMPUTED_VALUE"""),"Joko Nugroho")</f>
        <v>Joko Nugroho</v>
      </c>
      <c r="N1714" s="6" t="str">
        <f>IFERROR(__xludf.DUMMYFUNCTION("""COMPUTED_VALUE"""),"FIP Engineering")</f>
        <v>FIP Engineering</v>
      </c>
      <c r="O1714" s="6" t="str">
        <f>IFERROR(__xludf.DUMMYFUNCTION("""COMPUTED_VALUE"""),"FIP-DOM-ENG-51404-0000000-INA-000000")</f>
        <v>FIP-DOM-ENG-51404-0000000-INA-000000</v>
      </c>
      <c r="P1714" s="6" t="str">
        <f>IFERROR(__xludf.DUMMYFUNCTION("""COMPUTED_VALUE"""),"PO Closed")</f>
        <v>PO Closed</v>
      </c>
      <c r="Q1714" s="6" t="str">
        <f>IFERROR(__xludf.DUMMYFUNCTION("""COMPUTED_VALUE"""),"GL2202018")</f>
        <v>GL2202018</v>
      </c>
      <c r="R1714" s="57">
        <f>IFERROR(__xludf.DUMMYFUNCTION("""COMPUTED_VALUE"""),44574.0)</f>
        <v>44574</v>
      </c>
      <c r="S1714" s="6" t="str">
        <f>IFERROR(__xludf.DUMMYFUNCTION("""COMPUTED_VALUE"""),"-")</f>
        <v>-</v>
      </c>
      <c r="T1714" s="57">
        <f>IFERROR(__xludf.DUMMYFUNCTION("""COMPUTED_VALUE"""),44634.0)</f>
        <v>44634</v>
      </c>
    </row>
    <row r="1715">
      <c r="A1715" s="6" t="str">
        <f>IFERROR(__xludf.DUMMYFUNCTION("""COMPUTED_VALUE"""),"221750026-20")</f>
        <v>221750026-20</v>
      </c>
      <c r="B1715" s="6" t="str">
        <f>IFERROR(__xludf.DUMMYFUNCTION("""COMPUTED_VALUE"""),"221750026 - Approved")</f>
        <v>221750026 - Approved</v>
      </c>
      <c r="C1715" s="6">
        <f>IFERROR(__xludf.DUMMYFUNCTION("""COMPUTED_VALUE"""),20.0)</f>
        <v>20</v>
      </c>
      <c r="D1715" s="6" t="str">
        <f>IFERROR(__xludf.DUMMYFUNCTION("""COMPUTED_VALUE"""),"Q-10232-00")</f>
        <v>Q-10232-00</v>
      </c>
      <c r="E1715" s="6" t="str">
        <f>IFERROR(__xludf.DUMMYFUNCTION("""COMPUTED_VALUE"""),"Silicone Sealant N10 White")</f>
        <v>Silicone Sealant N10 White</v>
      </c>
      <c r="F1715" s="6">
        <f>IFERROR(__xludf.DUMMYFUNCTION("""COMPUTED_VALUE"""),5.0)</f>
        <v>5</v>
      </c>
      <c r="G1715" s="6" t="str">
        <f>IFERROR(__xludf.DUMMYFUNCTION("""COMPUTED_VALUE"""),"Pieces")</f>
        <v>Pieces</v>
      </c>
      <c r="H1715" s="6" t="str">
        <f>IFERROR(__xludf.DUMMYFUNCTION("""COMPUTED_VALUE"""),"IDR")</f>
        <v>IDR</v>
      </c>
      <c r="I1715" s="6">
        <f>IFERROR(__xludf.DUMMYFUNCTION("""COMPUTED_VALUE"""),58000.0)</f>
        <v>58000</v>
      </c>
      <c r="J1715" s="6">
        <f>IFERROR(__xludf.DUMMYFUNCTION("""COMPUTED_VALUE"""),290000.0)</f>
        <v>290000</v>
      </c>
      <c r="K1715" s="57">
        <f>IFERROR(__xludf.DUMMYFUNCTION("""COMPUTED_VALUE"""),44589.0)</f>
        <v>44589</v>
      </c>
      <c r="L1715" s="6" t="str">
        <f>IFERROR(__xludf.DUMMYFUNCTION("""COMPUTED_VALUE"""),"FIP Engineering")</f>
        <v>FIP Engineering</v>
      </c>
      <c r="M1715" s="6" t="str">
        <f>IFERROR(__xludf.DUMMYFUNCTION("""COMPUTED_VALUE"""),"Joko Nugroho")</f>
        <v>Joko Nugroho</v>
      </c>
      <c r="N1715" s="6" t="str">
        <f>IFERROR(__xludf.DUMMYFUNCTION("""COMPUTED_VALUE"""),"FIP Engineering")</f>
        <v>FIP Engineering</v>
      </c>
      <c r="O1715" s="6" t="str">
        <f>IFERROR(__xludf.DUMMYFUNCTION("""COMPUTED_VALUE"""),"FIP-DOM-000-11304-OS00001-INA-000000")</f>
        <v>FIP-DOM-000-11304-OS00001-INA-000000</v>
      </c>
      <c r="P1715" s="6" t="str">
        <f>IFERROR(__xludf.DUMMYFUNCTION("""COMPUTED_VALUE"""),"PO Closed")</f>
        <v>PO Closed</v>
      </c>
      <c r="Q1715" s="6" t="str">
        <f>IFERROR(__xludf.DUMMYFUNCTION("""COMPUTED_VALUE"""),"GL2201023")</f>
        <v>GL2201023</v>
      </c>
      <c r="R1715" s="57">
        <f>IFERROR(__xludf.DUMMYFUNCTION("""COMPUTED_VALUE"""),44574.0)</f>
        <v>44574</v>
      </c>
      <c r="S1715" s="6" t="str">
        <f>IFERROR(__xludf.DUMMYFUNCTION("""COMPUTED_VALUE"""),"-")</f>
        <v>-</v>
      </c>
      <c r="T1715" s="57">
        <f>IFERROR(__xludf.DUMMYFUNCTION("""COMPUTED_VALUE"""),44595.0)</f>
        <v>44595</v>
      </c>
    </row>
    <row r="1716">
      <c r="A1716" s="6" t="str">
        <f>IFERROR(__xludf.DUMMYFUNCTION("""COMPUTED_VALUE"""),"221750026-21")</f>
        <v>221750026-21</v>
      </c>
      <c r="B1716" s="6" t="str">
        <f>IFERROR(__xludf.DUMMYFUNCTION("""COMPUTED_VALUE"""),"221750026 - Approved")</f>
        <v>221750026 - Approved</v>
      </c>
      <c r="C1716" s="6">
        <f>IFERROR(__xludf.DUMMYFUNCTION("""COMPUTED_VALUE"""),21.0)</f>
        <v>21</v>
      </c>
      <c r="D1716" s="6" t="str">
        <f>IFERROR(__xludf.DUMMYFUNCTION("""COMPUTED_VALUE"""),"Q-10234-00")</f>
        <v>Q-10234-00</v>
      </c>
      <c r="E1716" s="6" t="str">
        <f>IFERROR(__xludf.DUMMYFUNCTION("""COMPUTED_VALUE"""),"Silicone Sealant N10 Grey")</f>
        <v>Silicone Sealant N10 Grey</v>
      </c>
      <c r="F1716" s="6">
        <f>IFERROR(__xludf.DUMMYFUNCTION("""COMPUTED_VALUE"""),5.0)</f>
        <v>5</v>
      </c>
      <c r="G1716" s="6" t="str">
        <f>IFERROR(__xludf.DUMMYFUNCTION("""COMPUTED_VALUE"""),"Pieces")</f>
        <v>Pieces</v>
      </c>
      <c r="H1716" s="6" t="str">
        <f>IFERROR(__xludf.DUMMYFUNCTION("""COMPUTED_VALUE"""),"IDR")</f>
        <v>IDR</v>
      </c>
      <c r="I1716" s="6">
        <f>IFERROR(__xludf.DUMMYFUNCTION("""COMPUTED_VALUE"""),58000.0)</f>
        <v>58000</v>
      </c>
      <c r="J1716" s="6">
        <f>IFERROR(__xludf.DUMMYFUNCTION("""COMPUTED_VALUE"""),290000.0)</f>
        <v>290000</v>
      </c>
      <c r="K1716" s="57">
        <f>IFERROR(__xludf.DUMMYFUNCTION("""COMPUTED_VALUE"""),44589.0)</f>
        <v>44589</v>
      </c>
      <c r="L1716" s="6" t="str">
        <f>IFERROR(__xludf.DUMMYFUNCTION("""COMPUTED_VALUE"""),"FIP Engineering")</f>
        <v>FIP Engineering</v>
      </c>
      <c r="M1716" s="6" t="str">
        <f>IFERROR(__xludf.DUMMYFUNCTION("""COMPUTED_VALUE"""),"Joko Nugroho")</f>
        <v>Joko Nugroho</v>
      </c>
      <c r="N1716" s="6" t="str">
        <f>IFERROR(__xludf.DUMMYFUNCTION("""COMPUTED_VALUE"""),"FIP Engineering")</f>
        <v>FIP Engineering</v>
      </c>
      <c r="O1716" s="6" t="str">
        <f>IFERROR(__xludf.DUMMYFUNCTION("""COMPUTED_VALUE"""),"FIP-DOM-000-11304-OS00001-INA-000000")</f>
        <v>FIP-DOM-000-11304-OS00001-INA-000000</v>
      </c>
      <c r="P1716" s="6" t="str">
        <f>IFERROR(__xludf.DUMMYFUNCTION("""COMPUTED_VALUE"""),"PO Closed")</f>
        <v>PO Closed</v>
      </c>
      <c r="Q1716" s="6" t="str">
        <f>IFERROR(__xludf.DUMMYFUNCTION("""COMPUTED_VALUE"""),"GL2201023")</f>
        <v>GL2201023</v>
      </c>
      <c r="R1716" s="57">
        <f>IFERROR(__xludf.DUMMYFUNCTION("""COMPUTED_VALUE"""),44574.0)</f>
        <v>44574</v>
      </c>
      <c r="S1716" s="6" t="str">
        <f>IFERROR(__xludf.DUMMYFUNCTION("""COMPUTED_VALUE"""),"-")</f>
        <v>-</v>
      </c>
      <c r="T1716" s="57">
        <f>IFERROR(__xludf.DUMMYFUNCTION("""COMPUTED_VALUE"""),44595.0)</f>
        <v>44595</v>
      </c>
    </row>
    <row r="1717">
      <c r="A1717" s="6" t="str">
        <f>IFERROR(__xludf.DUMMYFUNCTION("""COMPUTED_VALUE"""),"221750026-22")</f>
        <v>221750026-22</v>
      </c>
      <c r="B1717" s="6" t="str">
        <f>IFERROR(__xludf.DUMMYFUNCTION("""COMPUTED_VALUE"""),"221750026 - Approved")</f>
        <v>221750026 - Approved</v>
      </c>
      <c r="C1717" s="6">
        <f>IFERROR(__xludf.DUMMYFUNCTION("""COMPUTED_VALUE"""),22.0)</f>
        <v>22</v>
      </c>
      <c r="D1717" s="6" t="str">
        <f>IFERROR(__xludf.DUMMYFUNCTION("""COMPUTED_VALUE"""),"P-17466-00")</f>
        <v>P-17466-00</v>
      </c>
      <c r="E1717" s="6" t="str">
        <f>IFERROR(__xludf.DUMMYFUNCTION("""COMPUTED_VALUE"""),"Kawat Las Argon SS 304 Dia : 1.2 mm kg")</f>
        <v>Kawat Las Argon SS 304 Dia : 1.2 mm kg</v>
      </c>
      <c r="F1717" s="6">
        <f>IFERROR(__xludf.DUMMYFUNCTION("""COMPUTED_VALUE"""),1.0)</f>
        <v>1</v>
      </c>
      <c r="G1717" s="6" t="str">
        <f>IFERROR(__xludf.DUMMYFUNCTION("""COMPUTED_VALUE"""),"Kilogram")</f>
        <v>Kilogram</v>
      </c>
      <c r="H1717" s="6" t="str">
        <f>IFERROR(__xludf.DUMMYFUNCTION("""COMPUTED_VALUE"""),"IDR")</f>
        <v>IDR</v>
      </c>
      <c r="I1717" s="6">
        <f>IFERROR(__xludf.DUMMYFUNCTION("""COMPUTED_VALUE"""),200000.0)</f>
        <v>200000</v>
      </c>
      <c r="J1717" s="6">
        <f>IFERROR(__xludf.DUMMYFUNCTION("""COMPUTED_VALUE"""),200000.0)</f>
        <v>200000</v>
      </c>
      <c r="K1717" s="57">
        <f>IFERROR(__xludf.DUMMYFUNCTION("""COMPUTED_VALUE"""),44603.0)</f>
        <v>44603</v>
      </c>
      <c r="L1717" s="6" t="str">
        <f>IFERROR(__xludf.DUMMYFUNCTION("""COMPUTED_VALUE"""),"FIP General")</f>
        <v>FIP General</v>
      </c>
      <c r="M1717" s="6" t="str">
        <f>IFERROR(__xludf.DUMMYFUNCTION("""COMPUTED_VALUE"""),"Joko Nugroho")</f>
        <v>Joko Nugroho</v>
      </c>
      <c r="N1717" s="6" t="str">
        <f>IFERROR(__xludf.DUMMYFUNCTION("""COMPUTED_VALUE"""),"FIP Engineering")</f>
        <v>FIP Engineering</v>
      </c>
      <c r="O1717" s="6" t="str">
        <f>IFERROR(__xludf.DUMMYFUNCTION("""COMPUTED_VALUE"""),"FIP-DOM-ENG-51504-0000000-INA-000000")</f>
        <v>FIP-DOM-ENG-51504-0000000-INA-000000</v>
      </c>
      <c r="P1717" s="6" t="str">
        <f>IFERROR(__xludf.DUMMYFUNCTION("""COMPUTED_VALUE"""),"PO Closed")</f>
        <v>PO Closed</v>
      </c>
      <c r="Q1717" s="6" t="str">
        <f>IFERROR(__xludf.DUMMYFUNCTION("""COMPUTED_VALUE"""),"GL2202018")</f>
        <v>GL2202018</v>
      </c>
      <c r="R1717" s="57">
        <f>IFERROR(__xludf.DUMMYFUNCTION("""COMPUTED_VALUE"""),44578.0)</f>
        <v>44578</v>
      </c>
      <c r="S1717" s="6" t="str">
        <f>IFERROR(__xludf.DUMMYFUNCTION("""COMPUTED_VALUE"""),"-")</f>
        <v>-</v>
      </c>
      <c r="T1717" s="57">
        <f>IFERROR(__xludf.DUMMYFUNCTION("""COMPUTED_VALUE"""),44634.0)</f>
        <v>44634</v>
      </c>
    </row>
    <row r="1718">
      <c r="A1718" s="6" t="str">
        <f>IFERROR(__xludf.DUMMYFUNCTION("""COMPUTED_VALUE"""),"221750026-23")</f>
        <v>221750026-23</v>
      </c>
      <c r="B1718" s="6" t="str">
        <f>IFERROR(__xludf.DUMMYFUNCTION("""COMPUTED_VALUE"""),"221750026 - Approved")</f>
        <v>221750026 - Approved</v>
      </c>
      <c r="C1718" s="6">
        <f>IFERROR(__xludf.DUMMYFUNCTION("""COMPUTED_VALUE"""),23.0)</f>
        <v>23</v>
      </c>
      <c r="D1718" s="6" t="str">
        <f>IFERROR(__xludf.DUMMYFUNCTION("""COMPUTED_VALUE"""),"P-13418-00")</f>
        <v>P-13418-00</v>
      </c>
      <c r="E1718" s="6" t="str">
        <f>IFERROR(__xludf.DUMMYFUNCTION("""COMPUTED_VALUE"""),"Non-Woven abrasive Size : 6 ""x 2"" 7; ; ;")</f>
        <v>Non-Woven abrasive Size : 6 "x 2" 7; ; ;</v>
      </c>
      <c r="F1718" s="6">
        <f>IFERROR(__xludf.DUMMYFUNCTION("""COMPUTED_VALUE"""),10.0)</f>
        <v>10</v>
      </c>
      <c r="G1718" s="6" t="str">
        <f>IFERROR(__xludf.DUMMYFUNCTION("""COMPUTED_VALUE"""),"Pieces")</f>
        <v>Pieces</v>
      </c>
      <c r="H1718" s="6" t="str">
        <f>IFERROR(__xludf.DUMMYFUNCTION("""COMPUTED_VALUE"""),"IDR")</f>
        <v>IDR</v>
      </c>
      <c r="I1718" s="6">
        <f>IFERROR(__xludf.DUMMYFUNCTION("""COMPUTED_VALUE"""),36000.0)</f>
        <v>36000</v>
      </c>
      <c r="J1718" s="6">
        <f>IFERROR(__xludf.DUMMYFUNCTION("""COMPUTED_VALUE"""),360000.0)</f>
        <v>360000</v>
      </c>
      <c r="K1718" s="57">
        <f>IFERROR(__xludf.DUMMYFUNCTION("""COMPUTED_VALUE"""),44603.0)</f>
        <v>44603</v>
      </c>
      <c r="L1718" s="6" t="str">
        <f>IFERROR(__xludf.DUMMYFUNCTION("""COMPUTED_VALUE"""),"FIP General")</f>
        <v>FIP General</v>
      </c>
      <c r="M1718" s="6" t="str">
        <f>IFERROR(__xludf.DUMMYFUNCTION("""COMPUTED_VALUE"""),"Joko Nugroho")</f>
        <v>Joko Nugroho</v>
      </c>
      <c r="N1718" s="6" t="str">
        <f>IFERROR(__xludf.DUMMYFUNCTION("""COMPUTED_VALUE"""),"FIP Engineering")</f>
        <v>FIP Engineering</v>
      </c>
      <c r="O1718" s="6" t="str">
        <f>IFERROR(__xludf.DUMMYFUNCTION("""COMPUTED_VALUE"""),"FIP-DOM-ENG-51404-0000000-INA-000000")</f>
        <v>FIP-DOM-ENG-51404-0000000-INA-000000</v>
      </c>
      <c r="P1718" s="6" t="str">
        <f>IFERROR(__xludf.DUMMYFUNCTION("""COMPUTED_VALUE"""),"PO Closed")</f>
        <v>PO Closed</v>
      </c>
      <c r="Q1718" s="6" t="str">
        <f>IFERROR(__xludf.DUMMYFUNCTION("""COMPUTED_VALUE"""),"GL2202018")</f>
        <v>GL2202018</v>
      </c>
      <c r="R1718" s="57">
        <f>IFERROR(__xludf.DUMMYFUNCTION("""COMPUTED_VALUE"""),44578.0)</f>
        <v>44578</v>
      </c>
      <c r="S1718" s="6" t="str">
        <f>IFERROR(__xludf.DUMMYFUNCTION("""COMPUTED_VALUE"""),"-")</f>
        <v>-</v>
      </c>
      <c r="T1718" s="57">
        <f>IFERROR(__xludf.DUMMYFUNCTION("""COMPUTED_VALUE"""),44634.0)</f>
        <v>44634</v>
      </c>
    </row>
    <row r="1719">
      <c r="A1719" s="6" t="str">
        <f>IFERROR(__xludf.DUMMYFUNCTION("""COMPUTED_VALUE"""),"221750026-24")</f>
        <v>221750026-24</v>
      </c>
      <c r="B1719" s="6" t="str">
        <f>IFERROR(__xludf.DUMMYFUNCTION("""COMPUTED_VALUE"""),"221750026 - Approved")</f>
        <v>221750026 - Approved</v>
      </c>
      <c r="C1719" s="6">
        <f>IFERROR(__xludf.DUMMYFUNCTION("""COMPUTED_VALUE"""),24.0)</f>
        <v>24</v>
      </c>
      <c r="D1719" s="6" t="str">
        <f>IFERROR(__xludf.DUMMYFUNCTION("""COMPUTED_VALUE"""),"P-14980-00")</f>
        <v>P-14980-00</v>
      </c>
      <c r="E1719" s="6" t="str">
        <f>IFERROR(__xludf.DUMMYFUNCTION("""COMPUTED_VALUE"""),"Seal Ferrule Teflon 3/4 inch")</f>
        <v>Seal Ferrule Teflon 3/4 inch</v>
      </c>
      <c r="F1719" s="6">
        <f>IFERROR(__xludf.DUMMYFUNCTION("""COMPUTED_VALUE"""),5.0)</f>
        <v>5</v>
      </c>
      <c r="G1719" s="6" t="str">
        <f>IFERROR(__xludf.DUMMYFUNCTION("""COMPUTED_VALUE"""),"Pieces")</f>
        <v>Pieces</v>
      </c>
      <c r="H1719" s="6" t="str">
        <f>IFERROR(__xludf.DUMMYFUNCTION("""COMPUTED_VALUE"""),"IDR")</f>
        <v>IDR</v>
      </c>
      <c r="I1719" s="6">
        <f>IFERROR(__xludf.DUMMYFUNCTION("""COMPUTED_VALUE"""),25000.0)</f>
        <v>25000</v>
      </c>
      <c r="J1719" s="6">
        <f>IFERROR(__xludf.DUMMYFUNCTION("""COMPUTED_VALUE"""),125000.0)</f>
        <v>125000</v>
      </c>
      <c r="K1719" s="57">
        <f>IFERROR(__xludf.DUMMYFUNCTION("""COMPUTED_VALUE"""),44603.0)</f>
        <v>44603</v>
      </c>
      <c r="L1719" s="6" t="str">
        <f>IFERROR(__xludf.DUMMYFUNCTION("""COMPUTED_VALUE"""),"FIP Engineering")</f>
        <v>FIP Engineering</v>
      </c>
      <c r="M1719" s="6" t="str">
        <f>IFERROR(__xludf.DUMMYFUNCTION("""COMPUTED_VALUE"""),"Joko Nugroho")</f>
        <v>Joko Nugroho</v>
      </c>
      <c r="N1719" s="6" t="str">
        <f>IFERROR(__xludf.DUMMYFUNCTION("""COMPUTED_VALUE"""),"FIP Engineering")</f>
        <v>FIP Engineering</v>
      </c>
      <c r="O1719" s="6" t="str">
        <f>IFERROR(__xludf.DUMMYFUNCTION("""COMPUTED_VALUE"""),"FIP-DOM-000-11304-OS00001-INA-000000")</f>
        <v>FIP-DOM-000-11304-OS00001-INA-000000</v>
      </c>
      <c r="P1719" s="6" t="str">
        <f>IFERROR(__xludf.DUMMYFUNCTION("""COMPUTED_VALUE"""),"PO Closed")</f>
        <v>PO Closed</v>
      </c>
      <c r="Q1719" s="6" t="str">
        <f>IFERROR(__xludf.DUMMYFUNCTION("""COMPUTED_VALUE"""),"GL2202018")</f>
        <v>GL2202018</v>
      </c>
      <c r="R1719" s="57">
        <f>IFERROR(__xludf.DUMMYFUNCTION("""COMPUTED_VALUE"""),44578.0)</f>
        <v>44578</v>
      </c>
      <c r="S1719" s="6" t="str">
        <f>IFERROR(__xludf.DUMMYFUNCTION("""COMPUTED_VALUE"""),"-")</f>
        <v>-</v>
      </c>
      <c r="T1719" s="57">
        <f>IFERROR(__xludf.DUMMYFUNCTION("""COMPUTED_VALUE"""),44634.0)</f>
        <v>44634</v>
      </c>
    </row>
    <row r="1720">
      <c r="A1720" s="6" t="str">
        <f>IFERROR(__xludf.DUMMYFUNCTION("""COMPUTED_VALUE"""),"221750026-24")</f>
        <v>221750026-24</v>
      </c>
      <c r="B1720" s="6" t="str">
        <f>IFERROR(__xludf.DUMMYFUNCTION("""COMPUTED_VALUE"""),"221750026 - Approved")</f>
        <v>221750026 - Approved</v>
      </c>
      <c r="C1720" s="6">
        <f>IFERROR(__xludf.DUMMYFUNCTION("""COMPUTED_VALUE"""),24.0)</f>
        <v>24</v>
      </c>
      <c r="D1720" s="6" t="str">
        <f>IFERROR(__xludf.DUMMYFUNCTION("""COMPUTED_VALUE"""),"P-11967-00")</f>
        <v>P-11967-00</v>
      </c>
      <c r="E1720" s="6" t="str">
        <f>IFERROR(__xludf.DUMMYFUNCTION("""COMPUTED_VALUE"""),"Belt dressing Brand : GLOBAL P/N : GL-1033 Pack Size : pcs")</f>
        <v>Belt dressing Brand : GLOBAL P/N : GL-1033 Pack Size : pcs</v>
      </c>
      <c r="F1720" s="6">
        <f>IFERROR(__xludf.DUMMYFUNCTION("""COMPUTED_VALUE"""),2.0)</f>
        <v>2</v>
      </c>
      <c r="G1720" s="6" t="str">
        <f>IFERROR(__xludf.DUMMYFUNCTION("""COMPUTED_VALUE"""),"Pieces")</f>
        <v>Pieces</v>
      </c>
      <c r="H1720" s="6" t="str">
        <f>IFERROR(__xludf.DUMMYFUNCTION("""COMPUTED_VALUE"""),"IDR")</f>
        <v>IDR</v>
      </c>
      <c r="I1720" s="6">
        <f>IFERROR(__xludf.DUMMYFUNCTION("""COMPUTED_VALUE"""),110000.0)</f>
        <v>110000</v>
      </c>
      <c r="J1720" s="6">
        <f>IFERROR(__xludf.DUMMYFUNCTION("""COMPUTED_VALUE"""),220000.0)</f>
        <v>220000</v>
      </c>
      <c r="K1720" s="57">
        <f>IFERROR(__xludf.DUMMYFUNCTION("""COMPUTED_VALUE"""),44603.0)</f>
        <v>44603</v>
      </c>
      <c r="L1720" s="6" t="str">
        <f>IFERROR(__xludf.DUMMYFUNCTION("""COMPUTED_VALUE"""),"FIP Engineering")</f>
        <v>FIP Engineering</v>
      </c>
      <c r="M1720" s="6" t="str">
        <f>IFERROR(__xludf.DUMMYFUNCTION("""COMPUTED_VALUE"""),"Joko Nugroho")</f>
        <v>Joko Nugroho</v>
      </c>
      <c r="N1720" s="6" t="str">
        <f>IFERROR(__xludf.DUMMYFUNCTION("""COMPUTED_VALUE"""),"FIP Engineering")</f>
        <v>FIP Engineering</v>
      </c>
      <c r="O1720" s="6" t="str">
        <f>IFERROR(__xludf.DUMMYFUNCTION("""COMPUTED_VALUE"""),"FIP-DOM-000-11304-OS00001-INA-000000")</f>
        <v>FIP-DOM-000-11304-OS00001-INA-000000</v>
      </c>
      <c r="P1720" s="6" t="str">
        <f>IFERROR(__xludf.DUMMYFUNCTION("""COMPUTED_VALUE"""),"PO Closed")</f>
        <v>PO Closed</v>
      </c>
      <c r="Q1720" s="6" t="str">
        <f>IFERROR(__xludf.DUMMYFUNCTION("""COMPUTED_VALUE"""),"GL2202018")</f>
        <v>GL2202018</v>
      </c>
      <c r="R1720" s="57">
        <f>IFERROR(__xludf.DUMMYFUNCTION("""COMPUTED_VALUE"""),44578.0)</f>
        <v>44578</v>
      </c>
      <c r="S1720" s="6" t="str">
        <f>IFERROR(__xludf.DUMMYFUNCTION("""COMPUTED_VALUE"""),"-")</f>
        <v>-</v>
      </c>
      <c r="T1720" s="57">
        <f>IFERROR(__xludf.DUMMYFUNCTION("""COMPUTED_VALUE"""),44634.0)</f>
        <v>44634</v>
      </c>
    </row>
    <row r="1721">
      <c r="A1721" s="6" t="str">
        <f>IFERROR(__xludf.DUMMYFUNCTION("""COMPUTED_VALUE"""),"221750026-25")</f>
        <v>221750026-25</v>
      </c>
      <c r="B1721" s="6" t="str">
        <f>IFERROR(__xludf.DUMMYFUNCTION("""COMPUTED_VALUE"""),"221750026 - Approved")</f>
        <v>221750026 - Approved</v>
      </c>
      <c r="C1721" s="6">
        <f>IFERROR(__xludf.DUMMYFUNCTION("""COMPUTED_VALUE"""),25.0)</f>
        <v>25</v>
      </c>
      <c r="D1721" s="6" t="str">
        <f>IFERROR(__xludf.DUMMYFUNCTION("""COMPUTED_VALUE"""),"P-51298-00")</f>
        <v>P-51298-00</v>
      </c>
      <c r="E1721" s="6" t="str">
        <f>IFERROR(__xludf.DUMMYFUNCTION("""COMPUTED_VALUE"""),"Terminal plastik dia 4 mm")</f>
        <v>Terminal plastik dia 4 mm</v>
      </c>
      <c r="F1721" s="6">
        <f>IFERROR(__xludf.DUMMYFUNCTION("""COMPUTED_VALUE"""),10.0)</f>
        <v>10</v>
      </c>
      <c r="G1721" s="6" t="str">
        <f>IFERROR(__xludf.DUMMYFUNCTION("""COMPUTED_VALUE"""),"Pieces")</f>
        <v>Pieces</v>
      </c>
      <c r="H1721" s="6" t="str">
        <f>IFERROR(__xludf.DUMMYFUNCTION("""COMPUTED_VALUE"""),"IDR")</f>
        <v>IDR</v>
      </c>
      <c r="I1721" s="6">
        <f>IFERROR(__xludf.DUMMYFUNCTION("""COMPUTED_VALUE"""),30000.0)</f>
        <v>30000</v>
      </c>
      <c r="J1721" s="6">
        <f>IFERROR(__xludf.DUMMYFUNCTION("""COMPUTED_VALUE"""),300000.0)</f>
        <v>300000</v>
      </c>
      <c r="K1721" s="57">
        <f>IFERROR(__xludf.DUMMYFUNCTION("""COMPUTED_VALUE"""),44603.0)</f>
        <v>44603</v>
      </c>
      <c r="L1721" s="6" t="str">
        <f>IFERROR(__xludf.DUMMYFUNCTION("""COMPUTED_VALUE"""),"FIP Engineering")</f>
        <v>FIP Engineering</v>
      </c>
      <c r="M1721" s="6" t="str">
        <f>IFERROR(__xludf.DUMMYFUNCTION("""COMPUTED_VALUE"""),"Joko Nugroho")</f>
        <v>Joko Nugroho</v>
      </c>
      <c r="N1721" s="6" t="str">
        <f>IFERROR(__xludf.DUMMYFUNCTION("""COMPUTED_VALUE"""),"FIP Engineering")</f>
        <v>FIP Engineering</v>
      </c>
      <c r="O1721" s="6" t="str">
        <f>IFERROR(__xludf.DUMMYFUNCTION("""COMPUTED_VALUE"""),"FIP-DOM-000-11304-OS00001-INA-000000")</f>
        <v>FIP-DOM-000-11304-OS00001-INA-000000</v>
      </c>
      <c r="P1721" s="6" t="str">
        <f>IFERROR(__xludf.DUMMYFUNCTION("""COMPUTED_VALUE"""),"PO Closed")</f>
        <v>PO Closed</v>
      </c>
      <c r="Q1721" s="6" t="str">
        <f>IFERROR(__xludf.DUMMYFUNCTION("""COMPUTED_VALUE"""),"GL2202018")</f>
        <v>GL2202018</v>
      </c>
      <c r="R1721" s="57">
        <f>IFERROR(__xludf.DUMMYFUNCTION("""COMPUTED_VALUE"""),44578.0)</f>
        <v>44578</v>
      </c>
      <c r="S1721" s="6" t="str">
        <f>IFERROR(__xludf.DUMMYFUNCTION("""COMPUTED_VALUE"""),"-")</f>
        <v>-</v>
      </c>
      <c r="T1721" s="57">
        <f>IFERROR(__xludf.DUMMYFUNCTION("""COMPUTED_VALUE"""),44634.0)</f>
        <v>44634</v>
      </c>
    </row>
    <row r="1722">
      <c r="A1722" s="6" t="str">
        <f>IFERROR(__xludf.DUMMYFUNCTION("""COMPUTED_VALUE"""),"221750026-26")</f>
        <v>221750026-26</v>
      </c>
      <c r="B1722" s="6" t="str">
        <f>IFERROR(__xludf.DUMMYFUNCTION("""COMPUTED_VALUE"""),"221750026 - Approved")</f>
        <v>221750026 - Approved</v>
      </c>
      <c r="C1722" s="6">
        <f>IFERROR(__xludf.DUMMYFUNCTION("""COMPUTED_VALUE"""),26.0)</f>
        <v>26</v>
      </c>
      <c r="D1722" s="6" t="str">
        <f>IFERROR(__xludf.DUMMYFUNCTION("""COMPUTED_VALUE"""),"P-51299-00")</f>
        <v>P-51299-00</v>
      </c>
      <c r="E1722" s="6" t="str">
        <f>IFERROR(__xludf.DUMMYFUNCTION("""COMPUTED_VALUE"""),"Terminal plastik dia 6 mm")</f>
        <v>Terminal plastik dia 6 mm</v>
      </c>
      <c r="F1722" s="6">
        <f>IFERROR(__xludf.DUMMYFUNCTION("""COMPUTED_VALUE"""),10.0)</f>
        <v>10</v>
      </c>
      <c r="G1722" s="6" t="str">
        <f>IFERROR(__xludf.DUMMYFUNCTION("""COMPUTED_VALUE"""),"Pieces")</f>
        <v>Pieces</v>
      </c>
      <c r="H1722" s="6" t="str">
        <f>IFERROR(__xludf.DUMMYFUNCTION("""COMPUTED_VALUE"""),"IDR")</f>
        <v>IDR</v>
      </c>
      <c r="I1722" s="6">
        <f>IFERROR(__xludf.DUMMYFUNCTION("""COMPUTED_VALUE"""),3500.0)</f>
        <v>3500</v>
      </c>
      <c r="J1722" s="6">
        <f>IFERROR(__xludf.DUMMYFUNCTION("""COMPUTED_VALUE"""),35000.0)</f>
        <v>35000</v>
      </c>
      <c r="K1722" s="57">
        <f>IFERROR(__xludf.DUMMYFUNCTION("""COMPUTED_VALUE"""),44603.0)</f>
        <v>44603</v>
      </c>
      <c r="L1722" s="6" t="str">
        <f>IFERROR(__xludf.DUMMYFUNCTION("""COMPUTED_VALUE"""),"FIP Engineering")</f>
        <v>FIP Engineering</v>
      </c>
      <c r="M1722" s="6" t="str">
        <f>IFERROR(__xludf.DUMMYFUNCTION("""COMPUTED_VALUE"""),"Joko Nugroho")</f>
        <v>Joko Nugroho</v>
      </c>
      <c r="N1722" s="6" t="str">
        <f>IFERROR(__xludf.DUMMYFUNCTION("""COMPUTED_VALUE"""),"FIP Engineering")</f>
        <v>FIP Engineering</v>
      </c>
      <c r="O1722" s="6" t="str">
        <f>IFERROR(__xludf.DUMMYFUNCTION("""COMPUTED_VALUE"""),"FIP-DOM-000-11304-OS00001-INA-000000")</f>
        <v>FIP-DOM-000-11304-OS00001-INA-000000</v>
      </c>
      <c r="P1722" s="6" t="str">
        <f>IFERROR(__xludf.DUMMYFUNCTION("""COMPUTED_VALUE"""),"PO Closed")</f>
        <v>PO Closed</v>
      </c>
      <c r="Q1722" s="6" t="str">
        <f>IFERROR(__xludf.DUMMYFUNCTION("""COMPUTED_VALUE"""),"GL2202018")</f>
        <v>GL2202018</v>
      </c>
      <c r="R1722" s="57">
        <f>IFERROR(__xludf.DUMMYFUNCTION("""COMPUTED_VALUE"""),44578.0)</f>
        <v>44578</v>
      </c>
      <c r="S1722" s="6" t="str">
        <f>IFERROR(__xludf.DUMMYFUNCTION("""COMPUTED_VALUE"""),"-")</f>
        <v>-</v>
      </c>
      <c r="T1722" s="57">
        <f>IFERROR(__xludf.DUMMYFUNCTION("""COMPUTED_VALUE"""),44634.0)</f>
        <v>44634</v>
      </c>
    </row>
    <row r="1723">
      <c r="A1723" s="6" t="str">
        <f>IFERROR(__xludf.DUMMYFUNCTION("""COMPUTED_VALUE"""),"211750515-3")</f>
        <v>211750515-3</v>
      </c>
      <c r="B1723" s="6" t="str">
        <f>IFERROR(__xludf.DUMMYFUNCTION("""COMPUTED_VALUE"""),"211750515 - Approved")</f>
        <v>211750515 - Approved</v>
      </c>
      <c r="C1723" s="6">
        <f>IFERROR(__xludf.DUMMYFUNCTION("""COMPUTED_VALUE"""),3.0)</f>
        <v>3</v>
      </c>
      <c r="D1723" s="6" t="str">
        <f>IFERROR(__xludf.DUMMYFUNCTION("""COMPUTED_VALUE"""),"S-40011-00")</f>
        <v>S-40011-00</v>
      </c>
      <c r="E1723" s="6" t="str">
        <f>IFERROR(__xludf.DUMMYFUNCTION("""COMPUTED_VALUE"""),"Battery Lithium 3,6 V LS 14250, Shaft")</f>
        <v>Battery Lithium 3,6 V LS 14250, Shaft</v>
      </c>
      <c r="F1723" s="6">
        <f>IFERROR(__xludf.DUMMYFUNCTION("""COMPUTED_VALUE"""),2.0)</f>
        <v>2</v>
      </c>
      <c r="G1723" s="6" t="str">
        <f>IFERROR(__xludf.DUMMYFUNCTION("""COMPUTED_VALUE"""),"Pieces")</f>
        <v>Pieces</v>
      </c>
      <c r="H1723" s="6" t="str">
        <f>IFERROR(__xludf.DUMMYFUNCTION("""COMPUTED_VALUE"""),"IDR")</f>
        <v>IDR</v>
      </c>
      <c r="I1723" s="6">
        <f>IFERROR(__xludf.DUMMYFUNCTION("""COMPUTED_VALUE"""),315000.0)</f>
        <v>315000</v>
      </c>
      <c r="J1723" s="6">
        <f>IFERROR(__xludf.DUMMYFUNCTION("""COMPUTED_VALUE"""),630000.0)</f>
        <v>630000</v>
      </c>
      <c r="K1723" s="57">
        <f>IFERROR(__xludf.DUMMYFUNCTION("""COMPUTED_VALUE"""),44596.0)</f>
        <v>44596</v>
      </c>
      <c r="L1723" s="6" t="str">
        <f>IFERROR(__xludf.DUMMYFUNCTION("""COMPUTED_VALUE"""),"FIP General")</f>
        <v>FIP General</v>
      </c>
      <c r="M1723" s="6" t="str">
        <f>IFERROR(__xludf.DUMMYFUNCTION("""COMPUTED_VALUE"""),"Irwan Sopian")</f>
        <v>Irwan Sopian</v>
      </c>
      <c r="N1723" s="6" t="str">
        <f>IFERROR(__xludf.DUMMYFUNCTION("""COMPUTED_VALUE"""),"FIP Engineering")</f>
        <v>FIP Engineering</v>
      </c>
      <c r="O1723" s="6" t="str">
        <f>IFERROR(__xludf.DUMMYFUNCTION("""COMPUTED_VALUE"""),"FIP-DOM-ENG-51504-0000000-INA-000000")</f>
        <v>FIP-DOM-ENG-51504-0000000-INA-000000</v>
      </c>
      <c r="P1723" s="6" t="str">
        <f>IFERROR(__xludf.DUMMYFUNCTION("""COMPUTED_VALUE"""),"PO Closed")</f>
        <v>PO Closed</v>
      </c>
      <c r="Q1723" s="6" t="str">
        <f>IFERROR(__xludf.DUMMYFUNCTION("""COMPUTED_VALUE"""),"GL2201030")</f>
        <v>GL2201030</v>
      </c>
      <c r="R1723" s="57">
        <f>IFERROR(__xludf.DUMMYFUNCTION("""COMPUTED_VALUE"""),44578.0)</f>
        <v>44578</v>
      </c>
      <c r="S1723" s="6" t="str">
        <f>IFERROR(__xludf.DUMMYFUNCTION("""COMPUTED_VALUE"""),"-")</f>
        <v>-</v>
      </c>
      <c r="T1723" s="57">
        <f>IFERROR(__xludf.DUMMYFUNCTION("""COMPUTED_VALUE"""),44596.0)</f>
        <v>44596</v>
      </c>
    </row>
    <row r="1724">
      <c r="A1724" s="6" t="str">
        <f>IFERROR(__xludf.DUMMYFUNCTION("""COMPUTED_VALUE"""),"221750036-1")</f>
        <v>221750036-1</v>
      </c>
      <c r="B1724" s="6" t="str">
        <f>IFERROR(__xludf.DUMMYFUNCTION("""COMPUTED_VALUE"""),"221750036 - Approved")</f>
        <v>221750036 - Approved</v>
      </c>
      <c r="C1724" s="6">
        <f>IFERROR(__xludf.DUMMYFUNCTION("""COMPUTED_VALUE"""),1.0)</f>
        <v>1</v>
      </c>
      <c r="D1724" s="6" t="str">
        <f>IFERROR(__xludf.DUMMYFUNCTION("""COMPUTED_VALUE"""),"P-18027-00")</f>
        <v>P-18027-00</v>
      </c>
      <c r="E1724" s="6" t="str">
        <f>IFERROR(__xludf.DUMMYFUNCTION("""COMPUTED_VALUE"""),"Valve Lockout Tagout Kit : With Loto Tag Cable Hasp Ball,Gate Valve; ; ;")</f>
        <v>Valve Lockout Tagout Kit : With Loto Tag Cable Hasp Ball,Gate Valve; ; ;</v>
      </c>
      <c r="F1724" s="6">
        <f>IFERROR(__xludf.DUMMYFUNCTION("""COMPUTED_VALUE"""),1.0)</f>
        <v>1</v>
      </c>
      <c r="G1724" s="6" t="str">
        <f>IFERROR(__xludf.DUMMYFUNCTION("""COMPUTED_VALUE"""),"Unit")</f>
        <v>Unit</v>
      </c>
      <c r="H1724" s="6" t="str">
        <f>IFERROR(__xludf.DUMMYFUNCTION("""COMPUTED_VALUE"""),"IDR")</f>
        <v>IDR</v>
      </c>
      <c r="I1724" s="6">
        <f>IFERROR(__xludf.DUMMYFUNCTION("""COMPUTED_VALUE"""),4665700.0)</f>
        <v>4665700</v>
      </c>
      <c r="J1724" s="6">
        <f>IFERROR(__xludf.DUMMYFUNCTION("""COMPUTED_VALUE"""),4665700.0)</f>
        <v>4665700</v>
      </c>
      <c r="K1724" s="57">
        <f>IFERROR(__xludf.DUMMYFUNCTION("""COMPUTED_VALUE"""),44617.0)</f>
        <v>44617</v>
      </c>
      <c r="L1724" s="6" t="str">
        <f>IFERROR(__xludf.DUMMYFUNCTION("""COMPUTED_VALUE"""),"FIP Engineering")</f>
        <v>FIP Engineering</v>
      </c>
      <c r="M1724" s="6" t="str">
        <f>IFERROR(__xludf.DUMMYFUNCTION("""COMPUTED_VALUE"""),"Irwan Sopian")</f>
        <v>Irwan Sopian</v>
      </c>
      <c r="N1724" s="6" t="str">
        <f>IFERROR(__xludf.DUMMYFUNCTION("""COMPUTED_VALUE"""),"FIP Engineering")</f>
        <v>FIP Engineering</v>
      </c>
      <c r="O1724" s="6" t="str">
        <f>IFERROR(__xludf.DUMMYFUNCTION("""COMPUTED_VALUE"""),"FIP-DOM-ENG-51504-0000000-INA-000000")</f>
        <v>FIP-DOM-ENG-51504-0000000-INA-000000</v>
      </c>
      <c r="P1724" s="6" t="str">
        <f>IFERROR(__xludf.DUMMYFUNCTION("""COMPUTED_VALUE"""),"PO Closed")</f>
        <v>PO Closed</v>
      </c>
      <c r="Q1724" s="6" t="str">
        <f>IFERROR(__xludf.DUMMYFUNCTION("""COMPUTED_VALUE"""),"GL2202021")</f>
        <v>GL2202021</v>
      </c>
      <c r="R1724" s="57">
        <f>IFERROR(__xludf.DUMMYFUNCTION("""COMPUTED_VALUE"""),44586.0)</f>
        <v>44586</v>
      </c>
      <c r="S1724" s="6" t="str">
        <f>IFERROR(__xludf.DUMMYFUNCTION("""COMPUTED_VALUE"""),"-")</f>
        <v>-</v>
      </c>
      <c r="T1724" s="57">
        <f>IFERROR(__xludf.DUMMYFUNCTION("""COMPUTED_VALUE"""),44617.0)</f>
        <v>44617</v>
      </c>
    </row>
    <row r="1725">
      <c r="A1725" s="6" t="str">
        <f>IFERROR(__xludf.DUMMYFUNCTION("""COMPUTED_VALUE"""),"221750036-2")</f>
        <v>221750036-2</v>
      </c>
      <c r="B1725" s="6" t="str">
        <f>IFERROR(__xludf.DUMMYFUNCTION("""COMPUTED_VALUE"""),"221750036 - Approved")</f>
        <v>221750036 - Approved</v>
      </c>
      <c r="C1725" s="6">
        <f>IFERROR(__xludf.DUMMYFUNCTION("""COMPUTED_VALUE"""),2.0)</f>
        <v>2</v>
      </c>
      <c r="D1725" s="6" t="str">
        <f>IFERROR(__xludf.DUMMYFUNCTION("""COMPUTED_VALUE"""),"P-18028-00")</f>
        <v>P-18028-00</v>
      </c>
      <c r="E1725" s="6" t="str">
        <f>IFERROR(__xludf.DUMMYFUNCTION("""COMPUTED_VALUE"""),"Commercial Lockout Tagout Kit : With Lock, Breaker Lock Outs; ; ;")</f>
        <v>Commercial Lockout Tagout Kit : With Lock, Breaker Lock Outs; ; ;</v>
      </c>
      <c r="F1725" s="6">
        <f>IFERROR(__xludf.DUMMYFUNCTION("""COMPUTED_VALUE"""),1.0)</f>
        <v>1</v>
      </c>
      <c r="G1725" s="6" t="str">
        <f>IFERROR(__xludf.DUMMYFUNCTION("""COMPUTED_VALUE"""),"Unit")</f>
        <v>Unit</v>
      </c>
      <c r="H1725" s="6" t="str">
        <f>IFERROR(__xludf.DUMMYFUNCTION("""COMPUTED_VALUE"""),"IDR")</f>
        <v>IDR</v>
      </c>
      <c r="I1725" s="6">
        <f>IFERROR(__xludf.DUMMYFUNCTION("""COMPUTED_VALUE"""),3645000.0)</f>
        <v>3645000</v>
      </c>
      <c r="J1725" s="6">
        <f>IFERROR(__xludf.DUMMYFUNCTION("""COMPUTED_VALUE"""),3645000.0)</f>
        <v>3645000</v>
      </c>
      <c r="K1725" s="57">
        <f>IFERROR(__xludf.DUMMYFUNCTION("""COMPUTED_VALUE"""),44617.0)</f>
        <v>44617</v>
      </c>
      <c r="L1725" s="6" t="str">
        <f>IFERROR(__xludf.DUMMYFUNCTION("""COMPUTED_VALUE"""),"FIP Engineering")</f>
        <v>FIP Engineering</v>
      </c>
      <c r="M1725" s="6" t="str">
        <f>IFERROR(__xludf.DUMMYFUNCTION("""COMPUTED_VALUE"""),"Irwan Sopian")</f>
        <v>Irwan Sopian</v>
      </c>
      <c r="N1725" s="6" t="str">
        <f>IFERROR(__xludf.DUMMYFUNCTION("""COMPUTED_VALUE"""),"FIP Engineering")</f>
        <v>FIP Engineering</v>
      </c>
      <c r="O1725" s="6" t="str">
        <f>IFERROR(__xludf.DUMMYFUNCTION("""COMPUTED_VALUE"""),"FIP-DOM-ENG-51504-0000000-INA-000000")</f>
        <v>FIP-DOM-ENG-51504-0000000-INA-000000</v>
      </c>
      <c r="P1725" s="6" t="str">
        <f>IFERROR(__xludf.DUMMYFUNCTION("""COMPUTED_VALUE"""),"PO Closed")</f>
        <v>PO Closed</v>
      </c>
      <c r="Q1725" s="6" t="str">
        <f>IFERROR(__xludf.DUMMYFUNCTION("""COMPUTED_VALUE"""),"GL2202021")</f>
        <v>GL2202021</v>
      </c>
      <c r="R1725" s="57">
        <f>IFERROR(__xludf.DUMMYFUNCTION("""COMPUTED_VALUE"""),44586.0)</f>
        <v>44586</v>
      </c>
      <c r="S1725" s="6" t="str">
        <f>IFERROR(__xludf.DUMMYFUNCTION("""COMPUTED_VALUE"""),"-")</f>
        <v>-</v>
      </c>
      <c r="T1725" s="57">
        <f>IFERROR(__xludf.DUMMYFUNCTION("""COMPUTED_VALUE"""),44617.0)</f>
        <v>44617</v>
      </c>
    </row>
    <row r="1726">
      <c r="A1726" s="6" t="str">
        <f>IFERROR(__xludf.DUMMYFUNCTION("""COMPUTED_VALUE"""),"221750038-1")</f>
        <v>221750038-1</v>
      </c>
      <c r="B1726" s="6" t="str">
        <f>IFERROR(__xludf.DUMMYFUNCTION("""COMPUTED_VALUE"""),"221750038 - Approved")</f>
        <v>221750038 - Approved</v>
      </c>
      <c r="C1726" s="6">
        <f>IFERROR(__xludf.DUMMYFUNCTION("""COMPUTED_VALUE"""),1.0)</f>
        <v>1</v>
      </c>
      <c r="D1726" s="6" t="str">
        <f>IFERROR(__xludf.DUMMYFUNCTION("""COMPUTED_VALUE"""),"P-14453-00")</f>
        <v>P-14453-00</v>
      </c>
      <c r="E1726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F1726" s="6">
        <f>IFERROR(__xludf.DUMMYFUNCTION("""COMPUTED_VALUE"""),6.0)</f>
        <v>6</v>
      </c>
      <c r="G1726" s="6" t="str">
        <f>IFERROR(__xludf.DUMMYFUNCTION("""COMPUTED_VALUE"""),"Pieces")</f>
        <v>Pieces</v>
      </c>
      <c r="H1726" s="6" t="str">
        <f>IFERROR(__xludf.DUMMYFUNCTION("""COMPUTED_VALUE"""),"IDR")</f>
        <v>IDR</v>
      </c>
      <c r="I1726" s="6">
        <f>IFERROR(__xludf.DUMMYFUNCTION("""COMPUTED_VALUE"""),1400000.0)</f>
        <v>1400000</v>
      </c>
      <c r="J1726" s="6">
        <f>IFERROR(__xludf.DUMMYFUNCTION("""COMPUTED_VALUE"""),8400000.0)</f>
        <v>8400000</v>
      </c>
      <c r="K1726" s="57">
        <f>IFERROR(__xludf.DUMMYFUNCTION("""COMPUTED_VALUE"""),44617.0)</f>
        <v>44617</v>
      </c>
      <c r="L1726" s="6" t="str">
        <f>IFERROR(__xludf.DUMMYFUNCTION("""COMPUTED_VALUE"""),"FIP Engineering")</f>
        <v>FIP Engineering</v>
      </c>
      <c r="M1726" s="6" t="str">
        <f>IFERROR(__xludf.DUMMYFUNCTION("""COMPUTED_VALUE"""),"Irwan Sopian")</f>
        <v>Irwan Sopian</v>
      </c>
      <c r="N1726" s="6" t="str">
        <f>IFERROR(__xludf.DUMMYFUNCTION("""COMPUTED_VALUE"""),"FIP Engineering")</f>
        <v>FIP Engineering</v>
      </c>
      <c r="O1726" s="6" t="str">
        <f>IFERROR(__xludf.DUMMYFUNCTION("""COMPUTED_VALUE"""),"FIP-DOM-000-11304-OS00001-INA-000000")</f>
        <v>FIP-DOM-000-11304-OS00001-INA-000000</v>
      </c>
      <c r="P1726" s="6" t="str">
        <f>IFERROR(__xludf.DUMMYFUNCTION("""COMPUTED_VALUE"""),"PO Closed")</f>
        <v>PO Closed</v>
      </c>
      <c r="Q1726" s="6" t="str">
        <f>IFERROR(__xludf.DUMMYFUNCTION("""COMPUTED_VALUE"""),"GL2202310")</f>
        <v>GL2202310</v>
      </c>
      <c r="R1726" s="57">
        <f>IFERROR(__xludf.DUMMYFUNCTION("""COMPUTED_VALUE"""),44587.0)</f>
        <v>44587</v>
      </c>
      <c r="S1726" s="6" t="str">
        <f>IFERROR(__xludf.DUMMYFUNCTION("""COMPUTED_VALUE"""),"-")</f>
        <v>-</v>
      </c>
      <c r="T1726" s="57">
        <f>IFERROR(__xludf.DUMMYFUNCTION("""COMPUTED_VALUE"""),44617.0)</f>
        <v>44617</v>
      </c>
    </row>
    <row r="1727">
      <c r="A1727" s="6" t="str">
        <f>IFERROR(__xludf.DUMMYFUNCTION("""COMPUTED_VALUE"""),"221750038-2")</f>
        <v>221750038-2</v>
      </c>
      <c r="B1727" s="6" t="str">
        <f>IFERROR(__xludf.DUMMYFUNCTION("""COMPUTED_VALUE"""),"221750038 - Approved")</f>
        <v>221750038 - Approved</v>
      </c>
      <c r="C1727" s="6">
        <f>IFERROR(__xludf.DUMMYFUNCTION("""COMPUTED_VALUE"""),2.0)</f>
        <v>2</v>
      </c>
      <c r="D1727" s="6" t="str">
        <f>IFERROR(__xludf.DUMMYFUNCTION("""COMPUTED_VALUE"""),"P-14454-00")</f>
        <v>P-14454-00</v>
      </c>
      <c r="E1727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F1727" s="6">
        <f>IFERROR(__xludf.DUMMYFUNCTION("""COMPUTED_VALUE"""),6.0)</f>
        <v>6</v>
      </c>
      <c r="G1727" s="6" t="str">
        <f>IFERROR(__xludf.DUMMYFUNCTION("""COMPUTED_VALUE"""),"Pieces")</f>
        <v>Pieces</v>
      </c>
      <c r="H1727" s="6" t="str">
        <f>IFERROR(__xludf.DUMMYFUNCTION("""COMPUTED_VALUE"""),"IDR")</f>
        <v>IDR</v>
      </c>
      <c r="I1727" s="6">
        <f>IFERROR(__xludf.DUMMYFUNCTION("""COMPUTED_VALUE"""),1100000.0)</f>
        <v>1100000</v>
      </c>
      <c r="J1727" s="6">
        <f>IFERROR(__xludf.DUMMYFUNCTION("""COMPUTED_VALUE"""),6600000.0)</f>
        <v>6600000</v>
      </c>
      <c r="K1727" s="57">
        <f>IFERROR(__xludf.DUMMYFUNCTION("""COMPUTED_VALUE"""),44617.0)</f>
        <v>44617</v>
      </c>
      <c r="L1727" s="6" t="str">
        <f>IFERROR(__xludf.DUMMYFUNCTION("""COMPUTED_VALUE"""),"FIP Engineering")</f>
        <v>FIP Engineering</v>
      </c>
      <c r="M1727" s="6" t="str">
        <f>IFERROR(__xludf.DUMMYFUNCTION("""COMPUTED_VALUE"""),"Irwan Sopian")</f>
        <v>Irwan Sopian</v>
      </c>
      <c r="N1727" s="6" t="str">
        <f>IFERROR(__xludf.DUMMYFUNCTION("""COMPUTED_VALUE"""),"FIP Engineering")</f>
        <v>FIP Engineering</v>
      </c>
      <c r="O1727" s="6" t="str">
        <f>IFERROR(__xludf.DUMMYFUNCTION("""COMPUTED_VALUE"""),"FIP-DOM-000-11304-OS00001-INA-000000")</f>
        <v>FIP-DOM-000-11304-OS00001-INA-000000</v>
      </c>
      <c r="P1727" s="6" t="str">
        <f>IFERROR(__xludf.DUMMYFUNCTION("""COMPUTED_VALUE"""),"PO Closed")</f>
        <v>PO Closed</v>
      </c>
      <c r="Q1727" s="6" t="str">
        <f>IFERROR(__xludf.DUMMYFUNCTION("""COMPUTED_VALUE"""),"GL2202310")</f>
        <v>GL2202310</v>
      </c>
      <c r="R1727" s="57">
        <f>IFERROR(__xludf.DUMMYFUNCTION("""COMPUTED_VALUE"""),44587.0)</f>
        <v>44587</v>
      </c>
      <c r="S1727" s="6" t="str">
        <f>IFERROR(__xludf.DUMMYFUNCTION("""COMPUTED_VALUE"""),"-")</f>
        <v>-</v>
      </c>
      <c r="T1727" s="57">
        <f>IFERROR(__xludf.DUMMYFUNCTION("""COMPUTED_VALUE"""),44617.0)</f>
        <v>44617</v>
      </c>
    </row>
    <row r="1728">
      <c r="A1728" s="6" t="str">
        <f>IFERROR(__xludf.DUMMYFUNCTION("""COMPUTED_VALUE"""),"221750037-1")</f>
        <v>221750037-1</v>
      </c>
      <c r="B1728" s="6" t="str">
        <f>IFERROR(__xludf.DUMMYFUNCTION("""COMPUTED_VALUE"""),"221750037 - Approved")</f>
        <v>221750037 - Approved</v>
      </c>
      <c r="C1728" s="6">
        <f>IFERROR(__xludf.DUMMYFUNCTION("""COMPUTED_VALUE"""),1.0)</f>
        <v>1</v>
      </c>
      <c r="D1728" s="6" t="str">
        <f>IFERROR(__xludf.DUMMYFUNCTION("""COMPUTED_VALUE"""),"P-52265-00")</f>
        <v>P-52265-00</v>
      </c>
      <c r="E1728" s="6" t="str">
        <f>IFERROR(__xludf.DUMMYFUNCTION("""COMPUTED_VALUE"""),"Flow Switch Model FS-1 Screw NPT 1 Inch Wingel")</f>
        <v>Flow Switch Model FS-1 Screw NPT 1 Inch Wingel</v>
      </c>
      <c r="F1728" s="6">
        <f>IFERROR(__xludf.DUMMYFUNCTION("""COMPUTED_VALUE"""),1.0)</f>
        <v>1</v>
      </c>
      <c r="G1728" s="6" t="str">
        <f>IFERROR(__xludf.DUMMYFUNCTION("""COMPUTED_VALUE"""),"Pieces")</f>
        <v>Pieces</v>
      </c>
      <c r="H1728" s="6" t="str">
        <f>IFERROR(__xludf.DUMMYFUNCTION("""COMPUTED_VALUE"""),"IDR")</f>
        <v>IDR</v>
      </c>
      <c r="I1728" s="6">
        <f>IFERROR(__xludf.DUMMYFUNCTION("""COMPUTED_VALUE"""),4000000.0)</f>
        <v>4000000</v>
      </c>
      <c r="J1728" s="6">
        <f>IFERROR(__xludf.DUMMYFUNCTION("""COMPUTED_VALUE"""),4000000.0)</f>
        <v>4000000</v>
      </c>
      <c r="K1728" s="57">
        <f>IFERROR(__xludf.DUMMYFUNCTION("""COMPUTED_VALUE"""),44617.0)</f>
        <v>44617</v>
      </c>
      <c r="L1728" s="6" t="str">
        <f>IFERROR(__xludf.DUMMYFUNCTION("""COMPUTED_VALUE"""),"FIP Engineering")</f>
        <v>FIP Engineering</v>
      </c>
      <c r="M1728" s="6" t="str">
        <f>IFERROR(__xludf.DUMMYFUNCTION("""COMPUTED_VALUE"""),"Irwan Sopian")</f>
        <v>Irwan Sopian</v>
      </c>
      <c r="N1728" s="6" t="str">
        <f>IFERROR(__xludf.DUMMYFUNCTION("""COMPUTED_VALUE"""),"FIP Engineering")</f>
        <v>FIP Engineering</v>
      </c>
      <c r="O1728" s="6" t="str">
        <f>IFERROR(__xludf.DUMMYFUNCTION("""COMPUTED_VALUE"""),"FIP-DOM-000-11304-OS00001-INA-000000")</f>
        <v>FIP-DOM-000-11304-OS00001-INA-000000</v>
      </c>
      <c r="P1728" s="6" t="str">
        <f>IFERROR(__xludf.DUMMYFUNCTION("""COMPUTED_VALUE"""),"PO Closed")</f>
        <v>PO Closed</v>
      </c>
      <c r="Q1728" s="6" t="str">
        <f>IFERROR(__xludf.DUMMYFUNCTION("""COMPUTED_VALUE"""),"GL2203003")</f>
        <v>GL2203003</v>
      </c>
      <c r="R1728" s="57">
        <f>IFERROR(__xludf.DUMMYFUNCTION("""COMPUTED_VALUE"""),44587.0)</f>
        <v>44587</v>
      </c>
      <c r="S1728" s="6" t="str">
        <f>IFERROR(__xludf.DUMMYFUNCTION("""COMPUTED_VALUE"""),"-")</f>
        <v>-</v>
      </c>
      <c r="T1728" s="57">
        <f>IFERROR(__xludf.DUMMYFUNCTION("""COMPUTED_VALUE"""),44635.0)</f>
        <v>44635</v>
      </c>
    </row>
    <row r="1729">
      <c r="A1729" s="6" t="str">
        <f>IFERROR(__xludf.DUMMYFUNCTION("""COMPUTED_VALUE"""),"221750039-1")</f>
        <v>221750039-1</v>
      </c>
      <c r="B1729" s="6" t="str">
        <f>IFERROR(__xludf.DUMMYFUNCTION("""COMPUTED_VALUE"""),"221750039 - Approved")</f>
        <v>221750039 - Approved</v>
      </c>
      <c r="C1729" s="6">
        <f>IFERROR(__xludf.DUMMYFUNCTION("""COMPUTED_VALUE"""),1.0)</f>
        <v>1</v>
      </c>
      <c r="D1729" s="6" t="str">
        <f>IFERROR(__xludf.DUMMYFUNCTION("""COMPUTED_VALUE"""),"P-52267-00")</f>
        <v>P-52267-00</v>
      </c>
      <c r="E1729" s="6" t="str">
        <f>IFERROR(__xludf.DUMMYFUNCTION("""COMPUTED_VALUE"""),"Exhaust Fan NVF-BC1030 220-240V 30W Max Flow: 300CMH NICOTRA")</f>
        <v>Exhaust Fan NVF-BC1030 220-240V 30W Max Flow: 300CMH NICOTRA</v>
      </c>
      <c r="F1729" s="6">
        <f>IFERROR(__xludf.DUMMYFUNCTION("""COMPUTED_VALUE"""),2.0)</f>
        <v>2</v>
      </c>
      <c r="G1729" s="6" t="str">
        <f>IFERROR(__xludf.DUMMYFUNCTION("""COMPUTED_VALUE"""),"Pieces")</f>
        <v>Pieces</v>
      </c>
      <c r="H1729" s="6" t="str">
        <f>IFERROR(__xludf.DUMMYFUNCTION("""COMPUTED_VALUE"""),"IDR")</f>
        <v>IDR</v>
      </c>
      <c r="I1729" s="6">
        <f>IFERROR(__xludf.DUMMYFUNCTION("""COMPUTED_VALUE"""),1530000.0)</f>
        <v>1530000</v>
      </c>
      <c r="J1729" s="6">
        <f>IFERROR(__xludf.DUMMYFUNCTION("""COMPUTED_VALUE"""),3060000.0)</f>
        <v>3060000</v>
      </c>
      <c r="K1729" s="57">
        <f>IFERROR(__xludf.DUMMYFUNCTION("""COMPUTED_VALUE"""),44617.0)</f>
        <v>44617</v>
      </c>
      <c r="L1729" s="6" t="str">
        <f>IFERROR(__xludf.DUMMYFUNCTION("""COMPUTED_VALUE"""),"FIP Engineering")</f>
        <v>FIP Engineering</v>
      </c>
      <c r="M1729" s="6" t="str">
        <f>IFERROR(__xludf.DUMMYFUNCTION("""COMPUTED_VALUE"""),"Irwan Sopian")</f>
        <v>Irwan Sopian</v>
      </c>
      <c r="N1729" s="6" t="str">
        <f>IFERROR(__xludf.DUMMYFUNCTION("""COMPUTED_VALUE"""),"FIP Engineering")</f>
        <v>FIP Engineering</v>
      </c>
      <c r="O1729" s="6" t="str">
        <f>IFERROR(__xludf.DUMMYFUNCTION("""COMPUTED_VALUE"""),"FIP-DOM-000-11304-OS00001-INA-000000")</f>
        <v>FIP-DOM-000-11304-OS00001-INA-000000</v>
      </c>
      <c r="P1729" s="6" t="str">
        <f>IFERROR(__xludf.DUMMYFUNCTION("""COMPUTED_VALUE"""),"PO Closed")</f>
        <v>PO Closed</v>
      </c>
      <c r="Q1729" s="6" t="str">
        <f>IFERROR(__xludf.DUMMYFUNCTION("""COMPUTED_VALUE"""),"GL2203002")</f>
        <v>GL2203002</v>
      </c>
      <c r="R1729" s="57">
        <f>IFERROR(__xludf.DUMMYFUNCTION("""COMPUTED_VALUE"""),44588.0)</f>
        <v>44588</v>
      </c>
      <c r="S1729" s="6" t="str">
        <f>IFERROR(__xludf.DUMMYFUNCTION("""COMPUTED_VALUE"""),"-")</f>
        <v>-</v>
      </c>
      <c r="T1729" s="57">
        <f>IFERROR(__xludf.DUMMYFUNCTION("""COMPUTED_VALUE"""),44635.0)</f>
        <v>44635</v>
      </c>
    </row>
    <row r="1730">
      <c r="A1730" s="6" t="str">
        <f>IFERROR(__xludf.DUMMYFUNCTION("""COMPUTED_VALUE"""),"221750039-2")</f>
        <v>221750039-2</v>
      </c>
      <c r="B1730" s="6" t="str">
        <f>IFERROR(__xludf.DUMMYFUNCTION("""COMPUTED_VALUE"""),"221750039 - Approved")</f>
        <v>221750039 - Approved</v>
      </c>
      <c r="C1730" s="6">
        <f>IFERROR(__xludf.DUMMYFUNCTION("""COMPUTED_VALUE"""),2.0)</f>
        <v>2</v>
      </c>
      <c r="D1730" s="6" t="str">
        <f>IFERROR(__xludf.DUMMYFUNCTION("""COMPUTED_VALUE"""),"P-11968-00")</f>
        <v>P-11968-00</v>
      </c>
      <c r="E1730" s="6" t="str">
        <f>IFERROR(__xludf.DUMMYFUNCTION("""COMPUTED_VALUE"""),"Berusynt FGH Spray H1 - Bechem")</f>
        <v>Berusynt FGH Spray H1 - Bechem</v>
      </c>
      <c r="F1730" s="6">
        <f>IFERROR(__xludf.DUMMYFUNCTION("""COMPUTED_VALUE"""),2.0)</f>
        <v>2</v>
      </c>
      <c r="G1730" s="6" t="str">
        <f>IFERROR(__xludf.DUMMYFUNCTION("""COMPUTED_VALUE"""),"Pieces")</f>
        <v>Pieces</v>
      </c>
      <c r="H1730" s="6" t="str">
        <f>IFERROR(__xludf.DUMMYFUNCTION("""COMPUTED_VALUE"""),"IDR")</f>
        <v>IDR</v>
      </c>
      <c r="I1730" s="6">
        <f>IFERROR(__xludf.DUMMYFUNCTION("""COMPUTED_VALUE"""),481000.0)</f>
        <v>481000</v>
      </c>
      <c r="J1730" s="6">
        <f>IFERROR(__xludf.DUMMYFUNCTION("""COMPUTED_VALUE"""),962000.0)</f>
        <v>962000</v>
      </c>
      <c r="K1730" s="57">
        <f>IFERROR(__xludf.DUMMYFUNCTION("""COMPUTED_VALUE"""),44617.0)</f>
        <v>44617</v>
      </c>
      <c r="L1730" s="6" t="str">
        <f>IFERROR(__xludf.DUMMYFUNCTION("""COMPUTED_VALUE"""),"FIP Engineering")</f>
        <v>FIP Engineering</v>
      </c>
      <c r="M1730" s="6" t="str">
        <f>IFERROR(__xludf.DUMMYFUNCTION("""COMPUTED_VALUE"""),"Irwan Sopian")</f>
        <v>Irwan Sopian</v>
      </c>
      <c r="N1730" s="6" t="str">
        <f>IFERROR(__xludf.DUMMYFUNCTION("""COMPUTED_VALUE"""),"FIP Engineering")</f>
        <v>FIP Engineering</v>
      </c>
      <c r="O1730" s="6" t="str">
        <f>IFERROR(__xludf.DUMMYFUNCTION("""COMPUTED_VALUE"""),"FIP-DOM-000-11304-OS00001-INA-000000")</f>
        <v>FIP-DOM-000-11304-OS00001-INA-000000</v>
      </c>
      <c r="P1730" s="6" t="str">
        <f>IFERROR(__xludf.DUMMYFUNCTION("""COMPUTED_VALUE"""),"PO Closed")</f>
        <v>PO Closed</v>
      </c>
      <c r="Q1730" s="6" t="str">
        <f>IFERROR(__xludf.DUMMYFUNCTION("""COMPUTED_VALUE"""),"GL2203004")</f>
        <v>GL2203004</v>
      </c>
      <c r="R1730" s="57">
        <f>IFERROR(__xludf.DUMMYFUNCTION("""COMPUTED_VALUE"""),44588.0)</f>
        <v>44588</v>
      </c>
      <c r="S1730" s="6" t="str">
        <f>IFERROR(__xludf.DUMMYFUNCTION("""COMPUTED_VALUE"""),"-")</f>
        <v>-</v>
      </c>
      <c r="T1730" s="57">
        <f>IFERROR(__xludf.DUMMYFUNCTION("""COMPUTED_VALUE"""),44661.0)</f>
        <v>44661</v>
      </c>
    </row>
    <row r="1731">
      <c r="A1731" s="6" t="str">
        <f>IFERROR(__xludf.DUMMYFUNCTION("""COMPUTED_VALUE"""),"221750057-1")</f>
        <v>221750057-1</v>
      </c>
      <c r="B1731" s="6" t="str">
        <f>IFERROR(__xludf.DUMMYFUNCTION("""COMPUTED_VALUE"""),"221750057 - Approved")</f>
        <v>221750057 - Approved</v>
      </c>
      <c r="C1731" s="6">
        <f>IFERROR(__xludf.DUMMYFUNCTION("""COMPUTED_VALUE"""),1.0)</f>
        <v>1</v>
      </c>
      <c r="D1731" s="6" t="str">
        <f>IFERROR(__xludf.DUMMYFUNCTION("""COMPUTED_VALUE"""),"P-52160-00")</f>
        <v>P-52160-00</v>
      </c>
      <c r="E1731" s="6" t="str">
        <f>IFERROR(__xludf.DUMMYFUNCTION("""COMPUTED_VALUE"""),"Valve Actuator 1000N Stroke 20mm Siemens Type : SKD60")</f>
        <v>Valve Actuator 1000N Stroke 20mm Siemens Type : SKD60</v>
      </c>
      <c r="F1731" s="6">
        <f>IFERROR(__xludf.DUMMYFUNCTION("""COMPUTED_VALUE"""),1.0)</f>
        <v>1</v>
      </c>
      <c r="G1731" s="6" t="str">
        <f>IFERROR(__xludf.DUMMYFUNCTION("""COMPUTED_VALUE"""),"Unit")</f>
        <v>Unit</v>
      </c>
      <c r="H1731" s="6" t="str">
        <f>IFERROR(__xludf.DUMMYFUNCTION("""COMPUTED_VALUE"""),"IDR")</f>
        <v>IDR</v>
      </c>
      <c r="I1731" s="6">
        <f>IFERROR(__xludf.DUMMYFUNCTION("""COMPUTED_VALUE"""),9800000.0)</f>
        <v>9800000</v>
      </c>
      <c r="J1731" s="6">
        <f>IFERROR(__xludf.DUMMYFUNCTION("""COMPUTED_VALUE"""),9800000.0)</f>
        <v>9800000</v>
      </c>
      <c r="K1731" s="57">
        <f>IFERROR(__xludf.DUMMYFUNCTION("""COMPUTED_VALUE"""),44624.0)</f>
        <v>44624</v>
      </c>
      <c r="L1731" s="6" t="str">
        <f>IFERROR(__xludf.DUMMYFUNCTION("""COMPUTED_VALUE"""),"FIP Engineering")</f>
        <v>FIP Engineering</v>
      </c>
      <c r="M1731" s="6" t="str">
        <f>IFERROR(__xludf.DUMMYFUNCTION("""COMPUTED_VALUE"""),"Irwan Sopian")</f>
        <v>Irwan Sopian</v>
      </c>
      <c r="N1731" s="6" t="str">
        <f>IFERROR(__xludf.DUMMYFUNCTION("""COMPUTED_VALUE"""),"FIP Engineering")</f>
        <v>FIP Engineering</v>
      </c>
      <c r="O1731" s="6" t="str">
        <f>IFERROR(__xludf.DUMMYFUNCTION("""COMPUTED_VALUE"""),"FIP-DOM-000-11304-OS00001-INA-000000")</f>
        <v>FIP-DOM-000-11304-OS00001-INA-000000</v>
      </c>
      <c r="P1731" s="6" t="str">
        <f>IFERROR(__xludf.DUMMYFUNCTION("""COMPUTED_VALUE"""),"PO Closed")</f>
        <v>PO Closed</v>
      </c>
      <c r="Q1731" s="6" t="str">
        <f>IFERROR(__xludf.DUMMYFUNCTION("""COMPUTED_VALUE"""),"GL2203035")</f>
        <v>GL2203035</v>
      </c>
      <c r="R1731" s="57">
        <f>IFERROR(__xludf.DUMMYFUNCTION("""COMPUTED_VALUE"""),44594.0)</f>
        <v>44594</v>
      </c>
      <c r="S1731" s="6" t="str">
        <f>IFERROR(__xludf.DUMMYFUNCTION("""COMPUTED_VALUE"""),"-")</f>
        <v>-</v>
      </c>
      <c r="T1731" s="57">
        <f>IFERROR(__xludf.DUMMYFUNCTION("""COMPUTED_VALUE"""),44737.0)</f>
        <v>44737</v>
      </c>
    </row>
    <row r="1732">
      <c r="A1732" s="6" t="str">
        <f>IFERROR(__xludf.DUMMYFUNCTION("""COMPUTED_VALUE"""),"221750056-1")</f>
        <v>221750056-1</v>
      </c>
      <c r="B1732" s="6" t="str">
        <f>IFERROR(__xludf.DUMMYFUNCTION("""COMPUTED_VALUE"""),"221750056 - Approved")</f>
        <v>221750056 - Approved</v>
      </c>
      <c r="C1732" s="6">
        <f>IFERROR(__xludf.DUMMYFUNCTION("""COMPUTED_VALUE"""),1.0)</f>
        <v>1</v>
      </c>
      <c r="D1732" s="6" t="str">
        <f>IFERROR(__xludf.DUMMYFUNCTION("""COMPUTED_VALUE"""),"P-50140-00")</f>
        <v>P-50140-00</v>
      </c>
      <c r="E1732" s="6" t="str">
        <f>IFERROR(__xludf.DUMMYFUNCTION("""COMPUTED_VALUE"""),"Battery UPS")</f>
        <v>Battery UPS</v>
      </c>
      <c r="F1732" s="6">
        <f>IFERROR(__xludf.DUMMYFUNCTION("""COMPUTED_VALUE"""),2.0)</f>
        <v>2</v>
      </c>
      <c r="G1732" s="6" t="str">
        <f>IFERROR(__xludf.DUMMYFUNCTION("""COMPUTED_VALUE"""),"Pieces")</f>
        <v>Pieces</v>
      </c>
      <c r="H1732" s="6" t="str">
        <f>IFERROR(__xludf.DUMMYFUNCTION("""COMPUTED_VALUE"""),"IDR")</f>
        <v>IDR</v>
      </c>
      <c r="I1732" s="6">
        <f>IFERROR(__xludf.DUMMYFUNCTION("""COMPUTED_VALUE"""),508000.0)</f>
        <v>508000</v>
      </c>
      <c r="J1732" s="6">
        <f>IFERROR(__xludf.DUMMYFUNCTION("""COMPUTED_VALUE"""),1016000.0)</f>
        <v>1016000</v>
      </c>
      <c r="K1732" s="57">
        <f>IFERROR(__xludf.DUMMYFUNCTION("""COMPUTED_VALUE"""),44620.0)</f>
        <v>44620</v>
      </c>
      <c r="L1732" s="6" t="str">
        <f>IFERROR(__xludf.DUMMYFUNCTION("""COMPUTED_VALUE"""),"FIP Engineering")</f>
        <v>FIP Engineering</v>
      </c>
      <c r="M1732" s="6" t="str">
        <f>IFERROR(__xludf.DUMMYFUNCTION("""COMPUTED_VALUE"""),"Irwan Sopian")</f>
        <v>Irwan Sopian</v>
      </c>
      <c r="N1732" s="6" t="str">
        <f>IFERROR(__xludf.DUMMYFUNCTION("""COMPUTED_VALUE"""),"FIP Engineering")</f>
        <v>FIP Engineering</v>
      </c>
      <c r="O1732" s="6" t="str">
        <f>IFERROR(__xludf.DUMMYFUNCTION("""COMPUTED_VALUE"""),"FIP-DOM-000-11304-OS00001-INA-000000")</f>
        <v>FIP-DOM-000-11304-OS00001-INA-000000</v>
      </c>
      <c r="P1732" s="6" t="str">
        <f>IFERROR(__xludf.DUMMYFUNCTION("""COMPUTED_VALUE"""),"PO Closed")</f>
        <v>PO Closed</v>
      </c>
      <c r="Q1732" s="6" t="str">
        <f>IFERROR(__xludf.DUMMYFUNCTION("""COMPUTED_VALUE"""),"GL2203002")</f>
        <v>GL2203002</v>
      </c>
      <c r="R1732" s="57">
        <f>IFERROR(__xludf.DUMMYFUNCTION("""COMPUTED_VALUE"""),44594.0)</f>
        <v>44594</v>
      </c>
      <c r="S1732" s="6" t="str">
        <f>IFERROR(__xludf.DUMMYFUNCTION("""COMPUTED_VALUE"""),"-")</f>
        <v>-</v>
      </c>
      <c r="T1732" s="57">
        <f>IFERROR(__xludf.DUMMYFUNCTION("""COMPUTED_VALUE"""),44635.0)</f>
        <v>44635</v>
      </c>
    </row>
    <row r="1733">
      <c r="A1733" s="6" t="str">
        <f>IFERROR(__xludf.DUMMYFUNCTION("""COMPUTED_VALUE"""),"221750056-2")</f>
        <v>221750056-2</v>
      </c>
      <c r="B1733" s="6" t="str">
        <f>IFERROR(__xludf.DUMMYFUNCTION("""COMPUTED_VALUE"""),"221750056 - Approved")</f>
        <v>221750056 - Approved</v>
      </c>
      <c r="C1733" s="6">
        <f>IFERROR(__xludf.DUMMYFUNCTION("""COMPUTED_VALUE"""),2.0)</f>
        <v>2</v>
      </c>
      <c r="D1733" s="6" t="str">
        <f>IFERROR(__xludf.DUMMYFUNCTION("""COMPUTED_VALUE"""),"O-50994-00")</f>
        <v>O-50994-00</v>
      </c>
      <c r="E1733" s="6" t="str">
        <f>IFERROR(__xludf.DUMMYFUNCTION("""COMPUTED_VALUE"""),"Battery kering 12V 7,2AH; ; ;")</f>
        <v>Battery kering 12V 7,2AH; ; ;</v>
      </c>
      <c r="F1733" s="6">
        <f>IFERROR(__xludf.DUMMYFUNCTION("""COMPUTED_VALUE"""),6.0)</f>
        <v>6</v>
      </c>
      <c r="G1733" s="6" t="str">
        <f>IFERROR(__xludf.DUMMYFUNCTION("""COMPUTED_VALUE"""),"Pieces")</f>
        <v>Pieces</v>
      </c>
      <c r="H1733" s="6" t="str">
        <f>IFERROR(__xludf.DUMMYFUNCTION("""COMPUTED_VALUE"""),"IDR")</f>
        <v>IDR</v>
      </c>
      <c r="I1733" s="6">
        <f>IFERROR(__xludf.DUMMYFUNCTION("""COMPUTED_VALUE"""),378000.0)</f>
        <v>378000</v>
      </c>
      <c r="J1733" s="6">
        <f>IFERROR(__xludf.DUMMYFUNCTION("""COMPUTED_VALUE"""),2268000.0)</f>
        <v>2268000</v>
      </c>
      <c r="K1733" s="57">
        <f>IFERROR(__xludf.DUMMYFUNCTION("""COMPUTED_VALUE"""),44620.0)</f>
        <v>44620</v>
      </c>
      <c r="L1733" s="6" t="str">
        <f>IFERROR(__xludf.DUMMYFUNCTION("""COMPUTED_VALUE"""),"FIP Engineering")</f>
        <v>FIP Engineering</v>
      </c>
      <c r="M1733" s="6" t="str">
        <f>IFERROR(__xludf.DUMMYFUNCTION("""COMPUTED_VALUE"""),"Irwan Sopian")</f>
        <v>Irwan Sopian</v>
      </c>
      <c r="N1733" s="6" t="str">
        <f>IFERROR(__xludf.DUMMYFUNCTION("""COMPUTED_VALUE"""),"FIP Engineering")</f>
        <v>FIP Engineering</v>
      </c>
      <c r="O1733" s="6" t="str">
        <f>IFERROR(__xludf.DUMMYFUNCTION("""COMPUTED_VALUE"""),"FIP-DOM-000-11304-OS00001-INA-000000")</f>
        <v>FIP-DOM-000-11304-OS00001-INA-000000</v>
      </c>
      <c r="P1733" s="6" t="str">
        <f>IFERROR(__xludf.DUMMYFUNCTION("""COMPUTED_VALUE"""),"PO Closed")</f>
        <v>PO Closed</v>
      </c>
      <c r="Q1733" s="6" t="str">
        <f>IFERROR(__xludf.DUMMYFUNCTION("""COMPUTED_VALUE"""),"GL2203002")</f>
        <v>GL2203002</v>
      </c>
      <c r="R1733" s="57">
        <f>IFERROR(__xludf.DUMMYFUNCTION("""COMPUTED_VALUE"""),44594.0)</f>
        <v>44594</v>
      </c>
      <c r="S1733" s="6" t="str">
        <f>IFERROR(__xludf.DUMMYFUNCTION("""COMPUTED_VALUE"""),"-")</f>
        <v>-</v>
      </c>
      <c r="T1733" s="57">
        <f>IFERROR(__xludf.DUMMYFUNCTION("""COMPUTED_VALUE"""),44635.0)</f>
        <v>44635</v>
      </c>
    </row>
    <row r="1734">
      <c r="A1734" s="6" t="str">
        <f>IFERROR(__xludf.DUMMYFUNCTION("""COMPUTED_VALUE"""),"221750064-1")</f>
        <v>221750064-1</v>
      </c>
      <c r="B1734" s="6" t="str">
        <f>IFERROR(__xludf.DUMMYFUNCTION("""COMPUTED_VALUE"""),"221750064 - Approved")</f>
        <v>221750064 - Approved</v>
      </c>
      <c r="C1734" s="6">
        <f>IFERROR(__xludf.DUMMYFUNCTION("""COMPUTED_VALUE"""),1.0)</f>
        <v>1</v>
      </c>
      <c r="D1734" s="6" t="str">
        <f>IFERROR(__xludf.DUMMYFUNCTION("""COMPUTED_VALUE"""),"S-60050-00")</f>
        <v>S-60050-00</v>
      </c>
      <c r="E1734" s="6" t="str">
        <f>IFERROR(__xludf.DUMMYFUNCTION("""COMPUTED_VALUE"""),"Repair Kecoboran Pipa Compressor Mesin FD IMA")</f>
        <v>Repair Kecoboran Pipa Compressor Mesin FD IMA</v>
      </c>
      <c r="F1734" s="6">
        <f>IFERROR(__xludf.DUMMYFUNCTION("""COMPUTED_VALUE"""),1.0)</f>
        <v>1</v>
      </c>
      <c r="G1734" s="6" t="str">
        <f>IFERROR(__xludf.DUMMYFUNCTION("""COMPUTED_VALUE"""),"Pieces")</f>
        <v>Pieces</v>
      </c>
      <c r="H1734" s="6" t="str">
        <f>IFERROR(__xludf.DUMMYFUNCTION("""COMPUTED_VALUE"""),"IDR")</f>
        <v>IDR</v>
      </c>
      <c r="I1734" s="6">
        <f>IFERROR(__xludf.DUMMYFUNCTION("""COMPUTED_VALUE"""),1.0E7)</f>
        <v>10000000</v>
      </c>
      <c r="J1734" s="6">
        <f>IFERROR(__xludf.DUMMYFUNCTION("""COMPUTED_VALUE"""),1.0E7)</f>
        <v>10000000</v>
      </c>
      <c r="K1734" s="57">
        <f>IFERROR(__xludf.DUMMYFUNCTION("""COMPUTED_VALUE"""),44624.0)</f>
        <v>44624</v>
      </c>
      <c r="L1734" s="6" t="str">
        <f>IFERROR(__xludf.DUMMYFUNCTION("""COMPUTED_VALUE"""),"FIP General")</f>
        <v>FIP General</v>
      </c>
      <c r="M1734" s="6" t="str">
        <f>IFERROR(__xludf.DUMMYFUNCTION("""COMPUTED_VALUE"""),"Irwan Sopian")</f>
        <v>Irwan Sopian</v>
      </c>
      <c r="N1734" s="6" t="str">
        <f>IFERROR(__xludf.DUMMYFUNCTION("""COMPUTED_VALUE"""),"FIP Engineering")</f>
        <v>FIP Engineering</v>
      </c>
      <c r="O1734" s="6" t="str">
        <f>IFERROR(__xludf.DUMMYFUNCTION("""COMPUTED_VALUE"""),"FIP-DOM-ENG-51504-0000000-INA-000000")</f>
        <v>FIP-DOM-ENG-51504-0000000-INA-000000</v>
      </c>
      <c r="P1734" s="6" t="str">
        <f>IFERROR(__xludf.DUMMYFUNCTION("""COMPUTED_VALUE"""),"PO Closed")</f>
        <v>PO Closed</v>
      </c>
      <c r="Q1734" s="6" t="str">
        <f>IFERROR(__xludf.DUMMYFUNCTION("""COMPUTED_VALUE"""),"GL2203008")</f>
        <v>GL2203008</v>
      </c>
      <c r="R1734" s="57">
        <f>IFERROR(__xludf.DUMMYFUNCTION("""COMPUTED_VALUE"""),44595.0)</f>
        <v>44595</v>
      </c>
      <c r="S1734" s="6" t="str">
        <f>IFERROR(__xludf.DUMMYFUNCTION("""COMPUTED_VALUE"""),"-")</f>
        <v>-</v>
      </c>
      <c r="T1734" s="57">
        <f>IFERROR(__xludf.DUMMYFUNCTION("""COMPUTED_VALUE"""),44627.0)</f>
        <v>44627</v>
      </c>
    </row>
    <row r="1735">
      <c r="A1735" s="6" t="str">
        <f>IFERROR(__xludf.DUMMYFUNCTION("""COMPUTED_VALUE"""),"221750064-2")</f>
        <v>221750064-2</v>
      </c>
      <c r="B1735" s="6" t="str">
        <f>IFERROR(__xludf.DUMMYFUNCTION("""COMPUTED_VALUE"""),"221750064 - Approved")</f>
        <v>221750064 - Approved</v>
      </c>
      <c r="C1735" s="6">
        <f>IFERROR(__xludf.DUMMYFUNCTION("""COMPUTED_VALUE"""),2.0)</f>
        <v>2</v>
      </c>
      <c r="D1735" s="6" t="str">
        <f>IFERROR(__xludf.DUMMYFUNCTION("""COMPUTED_VALUE"""),"P-15903-00")</f>
        <v>P-15903-00</v>
      </c>
      <c r="E1735" s="6" t="str">
        <f>IFERROR(__xludf.DUMMYFUNCTION("""COMPUTED_VALUE"""),"Freon Refrigerant Dupon Suva R507")</f>
        <v>Freon Refrigerant Dupon Suva R507</v>
      </c>
      <c r="F1735" s="6">
        <f>IFERROR(__xludf.DUMMYFUNCTION("""COMPUTED_VALUE"""),3.0)</f>
        <v>3</v>
      </c>
      <c r="G1735" s="6" t="str">
        <f>IFERROR(__xludf.DUMMYFUNCTION("""COMPUTED_VALUE"""),"Unit")</f>
        <v>Unit</v>
      </c>
      <c r="H1735" s="6" t="str">
        <f>IFERROR(__xludf.DUMMYFUNCTION("""COMPUTED_VALUE"""),"IDR")</f>
        <v>IDR</v>
      </c>
      <c r="I1735" s="6">
        <f>IFERROR(__xludf.DUMMYFUNCTION("""COMPUTED_VALUE"""),3750000.0)</f>
        <v>3750000</v>
      </c>
      <c r="J1735" s="6">
        <f>IFERROR(__xludf.DUMMYFUNCTION("""COMPUTED_VALUE"""),1.125E7)</f>
        <v>11250000</v>
      </c>
      <c r="K1735" s="57">
        <f>IFERROR(__xludf.DUMMYFUNCTION("""COMPUTED_VALUE"""),44624.0)</f>
        <v>44624</v>
      </c>
      <c r="L1735" s="6" t="str">
        <f>IFERROR(__xludf.DUMMYFUNCTION("""COMPUTED_VALUE"""),"FIP General")</f>
        <v>FIP General</v>
      </c>
      <c r="M1735" s="6" t="str">
        <f>IFERROR(__xludf.DUMMYFUNCTION("""COMPUTED_VALUE"""),"Irwan Sopian")</f>
        <v>Irwan Sopian</v>
      </c>
      <c r="N1735" s="6" t="str">
        <f>IFERROR(__xludf.DUMMYFUNCTION("""COMPUTED_VALUE"""),"FIP Engineering")</f>
        <v>FIP Engineering</v>
      </c>
      <c r="O1735" s="6" t="str">
        <f>IFERROR(__xludf.DUMMYFUNCTION("""COMPUTED_VALUE"""),"FIP-DOM-ENG-51504-0000000-INA-000000")</f>
        <v>FIP-DOM-ENG-51504-0000000-INA-000000</v>
      </c>
      <c r="P1735" s="6" t="str">
        <f>IFERROR(__xludf.DUMMYFUNCTION("""COMPUTED_VALUE"""),"PO Closed")</f>
        <v>PO Closed</v>
      </c>
      <c r="Q1735" s="6" t="str">
        <f>IFERROR(__xludf.DUMMYFUNCTION("""COMPUTED_VALUE"""),"GL2203008")</f>
        <v>GL2203008</v>
      </c>
      <c r="R1735" s="57">
        <f>IFERROR(__xludf.DUMMYFUNCTION("""COMPUTED_VALUE"""),44595.0)</f>
        <v>44595</v>
      </c>
      <c r="S1735" s="6" t="str">
        <f>IFERROR(__xludf.DUMMYFUNCTION("""COMPUTED_VALUE"""),"-")</f>
        <v>-</v>
      </c>
      <c r="T1735" s="57">
        <f>IFERROR(__xludf.DUMMYFUNCTION("""COMPUTED_VALUE"""),44627.0)</f>
        <v>44627</v>
      </c>
    </row>
    <row r="1736">
      <c r="A1736" s="6" t="str">
        <f>IFERROR(__xludf.DUMMYFUNCTION("""COMPUTED_VALUE"""),"221750068-1")</f>
        <v>221750068-1</v>
      </c>
      <c r="B1736" s="6" t="str">
        <f>IFERROR(__xludf.DUMMYFUNCTION("""COMPUTED_VALUE"""),"221750068 - Approved")</f>
        <v>221750068 - Approved</v>
      </c>
      <c r="C1736" s="6">
        <f>IFERROR(__xludf.DUMMYFUNCTION("""COMPUTED_VALUE"""),1.0)</f>
        <v>1</v>
      </c>
      <c r="D1736" s="6" t="str">
        <f>IFERROR(__xludf.DUMMYFUNCTION("""COMPUTED_VALUE"""),"Q-10731-00")</f>
        <v>Q-10731-00</v>
      </c>
      <c r="E1736" s="6" t="str">
        <f>IFERROR(__xludf.DUMMYFUNCTION("""COMPUTED_VALUE"""),"Kunci Lemari Arsip Lion L33/ELITE LION")</f>
        <v>Kunci Lemari Arsip Lion L33/ELITE LION</v>
      </c>
      <c r="F1736" s="6">
        <f>IFERROR(__xludf.DUMMYFUNCTION("""COMPUTED_VALUE"""),2.0)</f>
        <v>2</v>
      </c>
      <c r="G1736" s="6" t="str">
        <f>IFERROR(__xludf.DUMMYFUNCTION("""COMPUTED_VALUE"""),"Pieces")</f>
        <v>Pieces</v>
      </c>
      <c r="H1736" s="6" t="str">
        <f>IFERROR(__xludf.DUMMYFUNCTION("""COMPUTED_VALUE"""),"IDR")</f>
        <v>IDR</v>
      </c>
      <c r="I1736" s="6">
        <f>IFERROR(__xludf.DUMMYFUNCTION("""COMPUTED_VALUE"""),424375.0)</f>
        <v>424375</v>
      </c>
      <c r="J1736" s="6">
        <f>IFERROR(__xludf.DUMMYFUNCTION("""COMPUTED_VALUE"""),848750.0)</f>
        <v>848750</v>
      </c>
      <c r="K1736" s="57">
        <f>IFERROR(__xludf.DUMMYFUNCTION("""COMPUTED_VALUE"""),44624.0)</f>
        <v>44624</v>
      </c>
      <c r="L1736" s="6" t="str">
        <f>IFERROR(__xludf.DUMMYFUNCTION("""COMPUTED_VALUE"""),"FIP Engineering")</f>
        <v>FIP Engineering</v>
      </c>
      <c r="M1736" s="6" t="str">
        <f>IFERROR(__xludf.DUMMYFUNCTION("""COMPUTED_VALUE"""),"Irwan Sopian")</f>
        <v>Irwan Sopian</v>
      </c>
      <c r="N1736" s="6" t="str">
        <f>IFERROR(__xludf.DUMMYFUNCTION("""COMPUTED_VALUE"""),"FIP Engineering")</f>
        <v>FIP Engineering</v>
      </c>
      <c r="O1736" s="6" t="str">
        <f>IFERROR(__xludf.DUMMYFUNCTION("""COMPUTED_VALUE"""),"FIP-DOM-000-11304-OS00001-INA-000000")</f>
        <v>FIP-DOM-000-11304-OS00001-INA-000000</v>
      </c>
      <c r="P1736" s="6" t="str">
        <f>IFERROR(__xludf.DUMMYFUNCTION("""COMPUTED_VALUE"""),"PO Closed")</f>
        <v>PO Closed</v>
      </c>
      <c r="Q1736" s="6" t="str">
        <f>IFERROR(__xludf.DUMMYFUNCTION("""COMPUTED_VALUE"""),"GL2202033")</f>
        <v>GL2202033</v>
      </c>
      <c r="R1736" s="57">
        <f>IFERROR(__xludf.DUMMYFUNCTION("""COMPUTED_VALUE"""),44596.0)</f>
        <v>44596</v>
      </c>
      <c r="S1736" s="6" t="str">
        <f>IFERROR(__xludf.DUMMYFUNCTION("""COMPUTED_VALUE"""),"-")</f>
        <v>-</v>
      </c>
      <c r="T1736" s="57">
        <f>IFERROR(__xludf.DUMMYFUNCTION("""COMPUTED_VALUE"""),44624.0)</f>
        <v>44624</v>
      </c>
    </row>
    <row r="1737">
      <c r="A1737" s="6" t="str">
        <f>IFERROR(__xludf.DUMMYFUNCTION("""COMPUTED_VALUE"""),"221750067-1")</f>
        <v>221750067-1</v>
      </c>
      <c r="B1737" s="6" t="str">
        <f>IFERROR(__xludf.DUMMYFUNCTION("""COMPUTED_VALUE"""),"221750067 - Approved")</f>
        <v>221750067 - Approved</v>
      </c>
      <c r="C1737" s="6">
        <f>IFERROR(__xludf.DUMMYFUNCTION("""COMPUTED_VALUE"""),1.0)</f>
        <v>1</v>
      </c>
      <c r="D1737" s="6" t="str">
        <f>IFERROR(__xludf.DUMMYFUNCTION("""COMPUTED_VALUE"""),"O-18218-00")</f>
        <v>O-18218-00</v>
      </c>
      <c r="E1737" s="6" t="str">
        <f>IFERROR(__xludf.DUMMYFUNCTION("""COMPUTED_VALUE"""),"Mata Reject Station Material Pom")</f>
        <v>Mata Reject Station Material Pom</v>
      </c>
      <c r="F1737" s="6">
        <f>IFERROR(__xludf.DUMMYFUNCTION("""COMPUTED_VALUE"""),2.0)</f>
        <v>2</v>
      </c>
      <c r="G1737" s="6" t="str">
        <f>IFERROR(__xludf.DUMMYFUNCTION("""COMPUTED_VALUE"""),"Pieces")</f>
        <v>Pieces</v>
      </c>
      <c r="H1737" s="6" t="str">
        <f>IFERROR(__xludf.DUMMYFUNCTION("""COMPUTED_VALUE"""),"IDR")</f>
        <v>IDR</v>
      </c>
      <c r="I1737" s="6">
        <f>IFERROR(__xludf.DUMMYFUNCTION("""COMPUTED_VALUE"""),215000.0)</f>
        <v>215000</v>
      </c>
      <c r="J1737" s="6">
        <f>IFERROR(__xludf.DUMMYFUNCTION("""COMPUTED_VALUE"""),430000.0)</f>
        <v>430000</v>
      </c>
      <c r="K1737" s="57">
        <f>IFERROR(__xludf.DUMMYFUNCTION("""COMPUTED_VALUE"""),44624.0)</f>
        <v>44624</v>
      </c>
      <c r="L1737" s="6" t="str">
        <f>IFERROR(__xludf.DUMMYFUNCTION("""COMPUTED_VALUE"""),"FIP Engineering")</f>
        <v>FIP Engineering</v>
      </c>
      <c r="M1737" s="6" t="str">
        <f>IFERROR(__xludf.DUMMYFUNCTION("""COMPUTED_VALUE"""),"Irwan Sopian")</f>
        <v>Irwan Sopian</v>
      </c>
      <c r="N1737" s="6" t="str">
        <f>IFERROR(__xludf.DUMMYFUNCTION("""COMPUTED_VALUE"""),"FIP Engineering")</f>
        <v>FIP Engineering</v>
      </c>
      <c r="O1737" s="6" t="str">
        <f>IFERROR(__xludf.DUMMYFUNCTION("""COMPUTED_VALUE"""),"FIP-DOM-000-11304-OS00001-INA-000000")</f>
        <v>FIP-DOM-000-11304-OS00001-INA-000000</v>
      </c>
      <c r="P1737" s="6" t="str">
        <f>IFERROR(__xludf.DUMMYFUNCTION("""COMPUTED_VALUE"""),"PO Closed")</f>
        <v>PO Closed</v>
      </c>
      <c r="Q1737" s="6" t="str">
        <f>IFERROR(__xludf.DUMMYFUNCTION("""COMPUTED_VALUE"""),"GL2203036")</f>
        <v>GL2203036</v>
      </c>
      <c r="R1737" s="57">
        <f>IFERROR(__xludf.DUMMYFUNCTION("""COMPUTED_VALUE"""),44596.0)</f>
        <v>44596</v>
      </c>
      <c r="S1737" s="6" t="str">
        <f>IFERROR(__xludf.DUMMYFUNCTION("""COMPUTED_VALUE"""),"-")</f>
        <v>-</v>
      </c>
      <c r="T1737" s="57">
        <f>IFERROR(__xludf.DUMMYFUNCTION("""COMPUTED_VALUE"""),44650.0)</f>
        <v>44650</v>
      </c>
    </row>
    <row r="1738">
      <c r="A1738" s="6" t="str">
        <f>IFERROR(__xludf.DUMMYFUNCTION("""COMPUTED_VALUE"""),"221750066-1")</f>
        <v>221750066-1</v>
      </c>
      <c r="B1738" s="6" t="str">
        <f>IFERROR(__xludf.DUMMYFUNCTION("""COMPUTED_VALUE"""),"221750066 - Approved")</f>
        <v>221750066 - Approved</v>
      </c>
      <c r="C1738" s="6">
        <f>IFERROR(__xludf.DUMMYFUNCTION("""COMPUTED_VALUE"""),1.0)</f>
        <v>1</v>
      </c>
      <c r="D1738" s="6" t="str">
        <f>IFERROR(__xludf.DUMMYFUNCTION("""COMPUTED_VALUE"""),"S-40910-00")</f>
        <v>S-40910-00</v>
      </c>
      <c r="E1738" s="6" t="str">
        <f>IFERROR(__xludf.DUMMYFUNCTION("""COMPUTED_VALUE"""),"Curtain")</f>
        <v>Curtain</v>
      </c>
      <c r="F1738" s="6">
        <f>IFERROR(__xludf.DUMMYFUNCTION("""COMPUTED_VALUE"""),5.0)</f>
        <v>5</v>
      </c>
      <c r="G1738" s="6" t="str">
        <f>IFERROR(__xludf.DUMMYFUNCTION("""COMPUTED_VALUE"""),"Unit")</f>
        <v>Unit</v>
      </c>
      <c r="H1738" s="6" t="str">
        <f>IFERROR(__xludf.DUMMYFUNCTION("""COMPUTED_VALUE"""),"IDR")</f>
        <v>IDR</v>
      </c>
      <c r="I1738" s="6">
        <f>IFERROR(__xludf.DUMMYFUNCTION("""COMPUTED_VALUE"""),30000.0)</f>
        <v>30000</v>
      </c>
      <c r="J1738" s="6">
        <f>IFERROR(__xludf.DUMMYFUNCTION("""COMPUTED_VALUE"""),150000.0)</f>
        <v>150000</v>
      </c>
      <c r="K1738" s="57">
        <f>IFERROR(__xludf.DUMMYFUNCTION("""COMPUTED_VALUE"""),44620.0)</f>
        <v>44620</v>
      </c>
      <c r="L1738" s="6" t="str">
        <f>IFERROR(__xludf.DUMMYFUNCTION("""COMPUTED_VALUE"""),"FIP General")</f>
        <v>FIP General</v>
      </c>
      <c r="M1738" s="6" t="str">
        <f>IFERROR(__xludf.DUMMYFUNCTION("""COMPUTED_VALUE"""),"Irwan Sopian")</f>
        <v>Irwan Sopian</v>
      </c>
      <c r="N1738" s="6" t="str">
        <f>IFERROR(__xludf.DUMMYFUNCTION("""COMPUTED_VALUE"""),"FIP Engineering")</f>
        <v>FIP Engineering</v>
      </c>
      <c r="O1738" s="6" t="str">
        <f>IFERROR(__xludf.DUMMYFUNCTION("""COMPUTED_VALUE"""),"FIP-DOM-ENG-51502-0000000-INA-000000")</f>
        <v>FIP-DOM-ENG-51502-0000000-INA-000000</v>
      </c>
      <c r="P1738" s="6" t="str">
        <f>IFERROR(__xludf.DUMMYFUNCTION("""COMPUTED_VALUE"""),"PO Closed")</f>
        <v>PO Closed</v>
      </c>
      <c r="Q1738" s="6" t="str">
        <f>IFERROR(__xludf.DUMMYFUNCTION("""COMPUTED_VALUE"""),"GL2204016")</f>
        <v>GL2204016</v>
      </c>
      <c r="R1738" s="57">
        <f>IFERROR(__xludf.DUMMYFUNCTION("""COMPUTED_VALUE"""),44596.0)</f>
        <v>44596</v>
      </c>
      <c r="S1738" s="6" t="str">
        <f>IFERROR(__xludf.DUMMYFUNCTION("""COMPUTED_VALUE"""),"-")</f>
        <v>-</v>
      </c>
      <c r="T1738" s="57">
        <f>IFERROR(__xludf.DUMMYFUNCTION("""COMPUTED_VALUE"""),44679.0)</f>
        <v>44679</v>
      </c>
    </row>
    <row r="1739">
      <c r="A1739" s="6" t="str">
        <f>IFERROR(__xludf.DUMMYFUNCTION("""COMPUTED_VALUE"""),"221750066-2")</f>
        <v>221750066-2</v>
      </c>
      <c r="B1739" s="6" t="str">
        <f>IFERROR(__xludf.DUMMYFUNCTION("""COMPUTED_VALUE"""),"221750066 - Approved")</f>
        <v>221750066 - Approved</v>
      </c>
      <c r="C1739" s="6">
        <f>IFERROR(__xludf.DUMMYFUNCTION("""COMPUTED_VALUE"""),2.0)</f>
        <v>2</v>
      </c>
      <c r="D1739" s="6" t="str">
        <f>IFERROR(__xludf.DUMMYFUNCTION("""COMPUTED_VALUE"""),"Q-10650-00")</f>
        <v>Q-10650-00</v>
      </c>
      <c r="E1739" s="6" t="str">
        <f>IFERROR(__xludf.DUMMYFUNCTION("""COMPUTED_VALUE"""),"Aquaproof Abu-Abu @4 Kg")</f>
        <v>Aquaproof Abu-Abu @4 Kg</v>
      </c>
      <c r="F1739" s="6">
        <f>IFERROR(__xludf.DUMMYFUNCTION("""COMPUTED_VALUE"""),2.0)</f>
        <v>2</v>
      </c>
      <c r="G1739" s="6" t="str">
        <f>IFERROR(__xludf.DUMMYFUNCTION("""COMPUTED_VALUE"""),"Can")</f>
        <v>Can</v>
      </c>
      <c r="H1739" s="6" t="str">
        <f>IFERROR(__xludf.DUMMYFUNCTION("""COMPUTED_VALUE"""),"IDR")</f>
        <v>IDR</v>
      </c>
      <c r="I1739" s="6">
        <f>IFERROR(__xludf.DUMMYFUNCTION("""COMPUTED_VALUE"""),252500.0)</f>
        <v>252500</v>
      </c>
      <c r="J1739" s="6">
        <f>IFERROR(__xludf.DUMMYFUNCTION("""COMPUTED_VALUE"""),505000.0)</f>
        <v>505000</v>
      </c>
      <c r="K1739" s="57">
        <f>IFERROR(__xludf.DUMMYFUNCTION("""COMPUTED_VALUE"""),44620.0)</f>
        <v>44620</v>
      </c>
      <c r="L1739" s="6" t="str">
        <f>IFERROR(__xludf.DUMMYFUNCTION("""COMPUTED_VALUE"""),"FIP Engineering")</f>
        <v>FIP Engineering</v>
      </c>
      <c r="M1739" s="6" t="str">
        <f>IFERROR(__xludf.DUMMYFUNCTION("""COMPUTED_VALUE"""),"Irwan Sopian")</f>
        <v>Irwan Sopian</v>
      </c>
      <c r="N1739" s="6" t="str">
        <f>IFERROR(__xludf.DUMMYFUNCTION("""COMPUTED_VALUE"""),"FIP Engineering")</f>
        <v>FIP Engineering</v>
      </c>
      <c r="O1739" s="6" t="str">
        <f>IFERROR(__xludf.DUMMYFUNCTION("""COMPUTED_VALUE"""),"FIP-DOM-000-11304-OS00001-INA-000000")</f>
        <v>FIP-DOM-000-11304-OS00001-INA-000000</v>
      </c>
      <c r="P1739" s="6" t="str">
        <f>IFERROR(__xludf.DUMMYFUNCTION("""COMPUTED_VALUE"""),"PO Closed")</f>
        <v>PO Closed</v>
      </c>
      <c r="Q1739" s="6" t="str">
        <f>IFERROR(__xludf.DUMMYFUNCTION("""COMPUTED_VALUE"""),"GL2202033")</f>
        <v>GL2202033</v>
      </c>
      <c r="R1739" s="57">
        <f>IFERROR(__xludf.DUMMYFUNCTION("""COMPUTED_VALUE"""),44596.0)</f>
        <v>44596</v>
      </c>
      <c r="S1739" s="6" t="str">
        <f>IFERROR(__xludf.DUMMYFUNCTION("""COMPUTED_VALUE"""),"-")</f>
        <v>-</v>
      </c>
      <c r="T1739" s="57">
        <f>IFERROR(__xludf.DUMMYFUNCTION("""COMPUTED_VALUE"""),44624.0)</f>
        <v>44624</v>
      </c>
    </row>
    <row r="1740">
      <c r="A1740" s="6" t="str">
        <f>IFERROR(__xludf.DUMMYFUNCTION("""COMPUTED_VALUE"""),"221750066-3")</f>
        <v>221750066-3</v>
      </c>
      <c r="B1740" s="6" t="str">
        <f>IFERROR(__xludf.DUMMYFUNCTION("""COMPUTED_VALUE"""),"221750066 - Approved")</f>
        <v>221750066 - Approved</v>
      </c>
      <c r="C1740" s="6">
        <f>IFERROR(__xludf.DUMMYFUNCTION("""COMPUTED_VALUE"""),3.0)</f>
        <v>3</v>
      </c>
      <c r="D1740" s="6" t="str">
        <f>IFERROR(__xludf.DUMMYFUNCTION("""COMPUTED_VALUE"""),"Q-10271-00")</f>
        <v>Q-10271-00</v>
      </c>
      <c r="E1740" s="6" t="str">
        <f>IFERROR(__xludf.DUMMYFUNCTION("""COMPUTED_VALUE"""),"Kuas 3 inch")</f>
        <v>Kuas 3 inch</v>
      </c>
      <c r="F1740" s="6">
        <f>IFERROR(__xludf.DUMMYFUNCTION("""COMPUTED_VALUE"""),6.0)</f>
        <v>6</v>
      </c>
      <c r="G1740" s="6" t="str">
        <f>IFERROR(__xludf.DUMMYFUNCTION("""COMPUTED_VALUE"""),"Pieces")</f>
        <v>Pieces</v>
      </c>
      <c r="H1740" s="6" t="str">
        <f>IFERROR(__xludf.DUMMYFUNCTION("""COMPUTED_VALUE"""),"IDR")</f>
        <v>IDR</v>
      </c>
      <c r="I1740" s="6">
        <f>IFERROR(__xludf.DUMMYFUNCTION("""COMPUTED_VALUE"""),9500.0)</f>
        <v>9500</v>
      </c>
      <c r="J1740" s="6">
        <f>IFERROR(__xludf.DUMMYFUNCTION("""COMPUTED_VALUE"""),57000.0)</f>
        <v>57000</v>
      </c>
      <c r="K1740" s="57">
        <f>IFERROR(__xludf.DUMMYFUNCTION("""COMPUTED_VALUE"""),44620.0)</f>
        <v>44620</v>
      </c>
      <c r="L1740" s="6" t="str">
        <f>IFERROR(__xludf.DUMMYFUNCTION("""COMPUTED_VALUE"""),"FIP General")</f>
        <v>FIP General</v>
      </c>
      <c r="M1740" s="6" t="str">
        <f>IFERROR(__xludf.DUMMYFUNCTION("""COMPUTED_VALUE"""),"Irwan Sopian")</f>
        <v>Irwan Sopian</v>
      </c>
      <c r="N1740" s="6" t="str">
        <f>IFERROR(__xludf.DUMMYFUNCTION("""COMPUTED_VALUE"""),"FIP Engineering")</f>
        <v>FIP Engineering</v>
      </c>
      <c r="O1740" s="6" t="str">
        <f>IFERROR(__xludf.DUMMYFUNCTION("""COMPUTED_VALUE"""),"FIP-DOM-ENG-51502-0000000-INA-000000")</f>
        <v>FIP-DOM-ENG-51502-0000000-INA-000000</v>
      </c>
      <c r="P1740" s="6" t="str">
        <f>IFERROR(__xludf.DUMMYFUNCTION("""COMPUTED_VALUE"""),"PO Closed")</f>
        <v>PO Closed</v>
      </c>
      <c r="Q1740" s="6" t="str">
        <f>IFERROR(__xludf.DUMMYFUNCTION("""COMPUTED_VALUE"""),"GL2202033")</f>
        <v>GL2202033</v>
      </c>
      <c r="R1740" s="57">
        <f>IFERROR(__xludf.DUMMYFUNCTION("""COMPUTED_VALUE"""),44596.0)</f>
        <v>44596</v>
      </c>
      <c r="S1740" s="6" t="str">
        <f>IFERROR(__xludf.DUMMYFUNCTION("""COMPUTED_VALUE"""),"-")</f>
        <v>-</v>
      </c>
      <c r="T1740" s="57">
        <f>IFERROR(__xludf.DUMMYFUNCTION("""COMPUTED_VALUE"""),44621.0)</f>
        <v>44621</v>
      </c>
    </row>
    <row r="1741">
      <c r="A1741" s="6" t="str">
        <f>IFERROR(__xludf.DUMMYFUNCTION("""COMPUTED_VALUE"""),"221750073-1")</f>
        <v>221750073-1</v>
      </c>
      <c r="B1741" s="6" t="str">
        <f>IFERROR(__xludf.DUMMYFUNCTION("""COMPUTED_VALUE"""),"221750073 - Approved")</f>
        <v>221750073 - Approved</v>
      </c>
      <c r="C1741" s="6">
        <f>IFERROR(__xludf.DUMMYFUNCTION("""COMPUTED_VALUE"""),1.0)</f>
        <v>1</v>
      </c>
      <c r="D1741" s="6" t="str">
        <f>IFERROR(__xludf.DUMMYFUNCTION("""COMPUTED_VALUE"""),"P-52278-00")</f>
        <v>P-52278-00</v>
      </c>
      <c r="E1741" s="6" t="str">
        <f>IFERROR(__xludf.DUMMYFUNCTION("""COMPUTED_VALUE"""),"Capacitor 50F 250VAC 25A 5% Screw (KMT) P/N : 6R 01502010")</f>
        <v>Capacitor 50F 250VAC 25A 5% Screw (KMT) P/N : 6R 01502010</v>
      </c>
      <c r="F1741" s="6">
        <f>IFERROR(__xludf.DUMMYFUNCTION("""COMPUTED_VALUE"""),3.0)</f>
        <v>3</v>
      </c>
      <c r="G1741" s="6" t="str">
        <f>IFERROR(__xludf.DUMMYFUNCTION("""COMPUTED_VALUE"""),"Pieces")</f>
        <v>Pieces</v>
      </c>
      <c r="H1741" s="6" t="str">
        <f>IFERROR(__xludf.DUMMYFUNCTION("""COMPUTED_VALUE"""),"IDR")</f>
        <v>IDR</v>
      </c>
      <c r="I1741" s="6">
        <f>IFERROR(__xludf.DUMMYFUNCTION("""COMPUTED_VALUE"""),2200000.0)</f>
        <v>2200000</v>
      </c>
      <c r="J1741" s="6">
        <f>IFERROR(__xludf.DUMMYFUNCTION("""COMPUTED_VALUE"""),6600000.0)</f>
        <v>6600000</v>
      </c>
      <c r="K1741" s="57">
        <f>IFERROR(__xludf.DUMMYFUNCTION("""COMPUTED_VALUE"""),44631.0)</f>
        <v>44631</v>
      </c>
      <c r="L1741" s="6" t="str">
        <f>IFERROR(__xludf.DUMMYFUNCTION("""COMPUTED_VALUE"""),"FIP Engineering")</f>
        <v>FIP Engineering</v>
      </c>
      <c r="M1741" s="6" t="str">
        <f>IFERROR(__xludf.DUMMYFUNCTION("""COMPUTED_VALUE"""),"Irwan Sopian")</f>
        <v>Irwan Sopian</v>
      </c>
      <c r="N1741" s="6" t="str">
        <f>IFERROR(__xludf.DUMMYFUNCTION("""COMPUTED_VALUE"""),"FIP Engineering")</f>
        <v>FIP Engineering</v>
      </c>
      <c r="O1741" s="6" t="str">
        <f>IFERROR(__xludf.DUMMYFUNCTION("""COMPUTED_VALUE"""),"FIP-DOM-000-11304-OS00001-INA-000000")</f>
        <v>FIP-DOM-000-11304-OS00001-INA-000000</v>
      </c>
      <c r="P1741" s="6" t="str">
        <f>IFERROR(__xludf.DUMMYFUNCTION("""COMPUTED_VALUE"""),"PO Closed")</f>
        <v>PO Closed</v>
      </c>
      <c r="Q1741" s="6" t="str">
        <f>IFERROR(__xludf.DUMMYFUNCTION("""COMPUTED_VALUE"""),"GL2203019")</f>
        <v>GL2203019</v>
      </c>
      <c r="R1741" s="57">
        <f>IFERROR(__xludf.DUMMYFUNCTION("""COMPUTED_VALUE"""),44601.0)</f>
        <v>44601</v>
      </c>
      <c r="S1741" s="6" t="str">
        <f>IFERROR(__xludf.DUMMYFUNCTION("""COMPUTED_VALUE"""),"-")</f>
        <v>-</v>
      </c>
      <c r="T1741" s="57">
        <f>IFERROR(__xludf.DUMMYFUNCTION("""COMPUTED_VALUE"""),44637.0)</f>
        <v>44637</v>
      </c>
    </row>
    <row r="1742">
      <c r="A1742" s="6" t="str">
        <f>IFERROR(__xludf.DUMMYFUNCTION("""COMPUTED_VALUE"""),"221750067-2")</f>
        <v>221750067-2</v>
      </c>
      <c r="B1742" s="6" t="str">
        <f>IFERROR(__xludf.DUMMYFUNCTION("""COMPUTED_VALUE"""),"221750067 - Approved")</f>
        <v>221750067 - Approved</v>
      </c>
      <c r="C1742" s="6">
        <f>IFERROR(__xludf.DUMMYFUNCTION("""COMPUTED_VALUE"""),2.0)</f>
        <v>2</v>
      </c>
      <c r="D1742" s="6" t="str">
        <f>IFERROR(__xludf.DUMMYFUNCTION("""COMPUTED_VALUE"""),"O-18229-00")</f>
        <v>O-18229-00</v>
      </c>
      <c r="E1742" s="6" t="str">
        <f>IFERROR(__xludf.DUMMYFUNCTION("""COMPUTED_VALUE"""),"Assy Reject Station Material Pom")</f>
        <v>Assy Reject Station Material Pom</v>
      </c>
      <c r="F1742" s="6">
        <f>IFERROR(__xludf.DUMMYFUNCTION("""COMPUTED_VALUE"""),1.0)</f>
        <v>1</v>
      </c>
      <c r="G1742" s="6" t="str">
        <f>IFERROR(__xludf.DUMMYFUNCTION("""COMPUTED_VALUE"""),"Pieces")</f>
        <v>Pieces</v>
      </c>
      <c r="H1742" s="6" t="str">
        <f>IFERROR(__xludf.DUMMYFUNCTION("""COMPUTED_VALUE"""),"IDR")</f>
        <v>IDR</v>
      </c>
      <c r="I1742" s="6">
        <f>IFERROR(__xludf.DUMMYFUNCTION("""COMPUTED_VALUE"""),885000.0)</f>
        <v>885000</v>
      </c>
      <c r="J1742" s="6">
        <f>IFERROR(__xludf.DUMMYFUNCTION("""COMPUTED_VALUE"""),885000.0)</f>
        <v>885000</v>
      </c>
      <c r="K1742" s="57">
        <f>IFERROR(__xludf.DUMMYFUNCTION("""COMPUTED_VALUE"""),44624.0)</f>
        <v>44624</v>
      </c>
      <c r="L1742" s="6" t="str">
        <f>IFERROR(__xludf.DUMMYFUNCTION("""COMPUTED_VALUE"""),"FIP Engineering")</f>
        <v>FIP Engineering</v>
      </c>
      <c r="M1742" s="6" t="str">
        <f>IFERROR(__xludf.DUMMYFUNCTION("""COMPUTED_VALUE"""),"Irwan Sopian")</f>
        <v>Irwan Sopian</v>
      </c>
      <c r="N1742" s="6" t="str">
        <f>IFERROR(__xludf.DUMMYFUNCTION("""COMPUTED_VALUE"""),"FIP Engineering")</f>
        <v>FIP Engineering</v>
      </c>
      <c r="O1742" s="6" t="str">
        <f>IFERROR(__xludf.DUMMYFUNCTION("""COMPUTED_VALUE"""),"FIP-DOM-000-11304-OS00001-INA-000000")</f>
        <v>FIP-DOM-000-11304-OS00001-INA-000000</v>
      </c>
      <c r="P1742" s="6" t="str">
        <f>IFERROR(__xludf.DUMMYFUNCTION("""COMPUTED_VALUE"""),"PO Closed")</f>
        <v>PO Closed</v>
      </c>
      <c r="Q1742" s="6" t="str">
        <f>IFERROR(__xludf.DUMMYFUNCTION("""COMPUTED_VALUE"""),"GL2203036")</f>
        <v>GL2203036</v>
      </c>
      <c r="R1742" s="57">
        <f>IFERROR(__xludf.DUMMYFUNCTION("""COMPUTED_VALUE"""),44601.0)</f>
        <v>44601</v>
      </c>
      <c r="S1742" s="6" t="str">
        <f>IFERROR(__xludf.DUMMYFUNCTION("""COMPUTED_VALUE"""),"-")</f>
        <v>-</v>
      </c>
      <c r="T1742" s="57">
        <f>IFERROR(__xludf.DUMMYFUNCTION("""COMPUTED_VALUE"""),44650.0)</f>
        <v>44650</v>
      </c>
    </row>
    <row r="1743">
      <c r="A1743" s="6" t="str">
        <f>IFERROR(__xludf.DUMMYFUNCTION("""COMPUTED_VALUE"""),"221750086-1")</f>
        <v>221750086-1</v>
      </c>
      <c r="B1743" s="6" t="str">
        <f>IFERROR(__xludf.DUMMYFUNCTION("""COMPUTED_VALUE"""),"221750086 - Approved")</f>
        <v>221750086 - Approved</v>
      </c>
      <c r="C1743" s="6">
        <f>IFERROR(__xludf.DUMMYFUNCTION("""COMPUTED_VALUE"""),1.0)</f>
        <v>1</v>
      </c>
      <c r="D1743" s="6" t="str">
        <f>IFERROR(__xludf.DUMMYFUNCTION("""COMPUTED_VALUE"""),"R-20002-00")</f>
        <v>R-20002-00</v>
      </c>
      <c r="E1743" s="6" t="str">
        <f>IFERROR(__xludf.DUMMYFUNCTION("""COMPUTED_VALUE"""),"Instalasi exhaust fan dan kisi-kisi alumunium; Exhaust Fan 12"" Exploisive proof ex.Helon (air flow 1440 m3/h); Kisi-kisi alumunium ukuran 40x40")</f>
        <v>Instalasi exhaust fan dan kisi-kisi alumunium; Exhaust Fan 12" Exploisive proof ex.Helon (air flow 1440 m3/h); Kisi-kisi alumunium ukuran 40x40</v>
      </c>
      <c r="F1743" s="6">
        <f>IFERROR(__xludf.DUMMYFUNCTION("""COMPUTED_VALUE"""),1.0)</f>
        <v>1</v>
      </c>
      <c r="G1743" s="6" t="str">
        <f>IFERROR(__xludf.DUMMYFUNCTION("""COMPUTED_VALUE"""),"Lot")</f>
        <v>Lot</v>
      </c>
      <c r="H1743" s="6" t="str">
        <f>IFERROR(__xludf.DUMMYFUNCTION("""COMPUTED_VALUE"""),"IDR")</f>
        <v>IDR</v>
      </c>
      <c r="I1743" s="6">
        <f>IFERROR(__xludf.DUMMYFUNCTION("""COMPUTED_VALUE"""),1.685E7)</f>
        <v>16850000</v>
      </c>
      <c r="J1743" s="6">
        <f>IFERROR(__xludf.DUMMYFUNCTION("""COMPUTED_VALUE"""),1.685E7)</f>
        <v>16850000</v>
      </c>
      <c r="K1743" s="57">
        <f>IFERROR(__xludf.DUMMYFUNCTION("""COMPUTED_VALUE"""),44669.0)</f>
        <v>44669</v>
      </c>
      <c r="L1743" s="6" t="str">
        <f>IFERROR(__xludf.DUMMYFUNCTION("""COMPUTED_VALUE"""),"FIP General")</f>
        <v>FIP General</v>
      </c>
      <c r="M1743" s="6" t="str">
        <f>IFERROR(__xludf.DUMMYFUNCTION("""COMPUTED_VALUE"""),"Kristiawan Sakti Winarno")</f>
        <v>Kristiawan Sakti Winarno</v>
      </c>
      <c r="N1743" s="6" t="str">
        <f>IFERROR(__xludf.DUMMYFUNCTION("""COMPUTED_VALUE"""),"FIP Engineering")</f>
        <v>FIP Engineering</v>
      </c>
      <c r="O1743" s="6" t="str">
        <f>IFERROR(__xludf.DUMMYFUNCTION("""COMPUTED_VALUE"""),"FIP-DOM-ENG-13405-EQ22015-INA-000000")</f>
        <v>FIP-DOM-ENG-13405-EQ22015-INA-000000</v>
      </c>
      <c r="P1743" s="6" t="str">
        <f>IFERROR(__xludf.DUMMYFUNCTION("""COMPUTED_VALUE"""),"PO Closed")</f>
        <v>PO Closed</v>
      </c>
      <c r="Q1743" s="6" t="str">
        <f>IFERROR(__xludf.DUMMYFUNCTION("""COMPUTED_VALUE"""),"GL2203011")</f>
        <v>GL2203011</v>
      </c>
      <c r="R1743" s="57">
        <f>IFERROR(__xludf.DUMMYFUNCTION("""COMPUTED_VALUE"""),44608.0)</f>
        <v>44608</v>
      </c>
      <c r="S1743" s="6" t="str">
        <f>IFERROR(__xludf.DUMMYFUNCTION("""COMPUTED_VALUE"""),"-")</f>
        <v>-</v>
      </c>
      <c r="T1743" s="57">
        <f>IFERROR(__xludf.DUMMYFUNCTION("""COMPUTED_VALUE"""),44671.0)</f>
        <v>44671</v>
      </c>
    </row>
    <row r="1744">
      <c r="A1744" s="6" t="str">
        <f>IFERROR(__xludf.DUMMYFUNCTION("""COMPUTED_VALUE"""),"221750086-2")</f>
        <v>221750086-2</v>
      </c>
      <c r="B1744" s="6" t="str">
        <f>IFERROR(__xludf.DUMMYFUNCTION("""COMPUTED_VALUE"""),"221750086 - Approved")</f>
        <v>221750086 - Approved</v>
      </c>
      <c r="C1744" s="6">
        <f>IFERROR(__xludf.DUMMYFUNCTION("""COMPUTED_VALUE"""),2.0)</f>
        <v>2</v>
      </c>
      <c r="D1744" s="6" t="str">
        <f>IFERROR(__xludf.DUMMYFUNCTION("""COMPUTED_VALUE"""),"R-20002-00")</f>
        <v>R-20002-00</v>
      </c>
      <c r="E1744" s="6" t="str">
        <f>IFERROR(__xludf.DUMMYFUNCTION("""COMPUTED_VALUE"""),"APAR Thematic 3 Kg (VCO-7)")</f>
        <v>APAR Thematic 3 Kg (VCO-7)</v>
      </c>
      <c r="F1744" s="6">
        <f>IFERROR(__xludf.DUMMYFUNCTION("""COMPUTED_VALUE"""),2.0)</f>
        <v>2</v>
      </c>
      <c r="G1744" s="6" t="str">
        <f>IFERROR(__xludf.DUMMYFUNCTION("""COMPUTED_VALUE"""),"Unit")</f>
        <v>Unit</v>
      </c>
      <c r="H1744" s="6" t="str">
        <f>IFERROR(__xludf.DUMMYFUNCTION("""COMPUTED_VALUE"""),"IDR")</f>
        <v>IDR</v>
      </c>
      <c r="I1744" s="6">
        <f>IFERROR(__xludf.DUMMYFUNCTION("""COMPUTED_VALUE"""),1500000.0)</f>
        <v>1500000</v>
      </c>
      <c r="J1744" s="6">
        <f>IFERROR(__xludf.DUMMYFUNCTION("""COMPUTED_VALUE"""),3000000.0)</f>
        <v>3000000</v>
      </c>
      <c r="K1744" s="57">
        <f>IFERROR(__xludf.DUMMYFUNCTION("""COMPUTED_VALUE"""),44638.0)</f>
        <v>44638</v>
      </c>
      <c r="L1744" s="6" t="str">
        <f>IFERROR(__xludf.DUMMYFUNCTION("""COMPUTED_VALUE"""),"FIP General")</f>
        <v>FIP General</v>
      </c>
      <c r="M1744" s="6" t="str">
        <f>IFERROR(__xludf.DUMMYFUNCTION("""COMPUTED_VALUE"""),"Kristiawan Sakti Winarno")</f>
        <v>Kristiawan Sakti Winarno</v>
      </c>
      <c r="N1744" s="6" t="str">
        <f>IFERROR(__xludf.DUMMYFUNCTION("""COMPUTED_VALUE"""),"FIP Engineering")</f>
        <v>FIP Engineering</v>
      </c>
      <c r="O1744" s="6" t="str">
        <f>IFERROR(__xludf.DUMMYFUNCTION("""COMPUTED_VALUE"""),"FIP-DOM-ENG-13405-EQ22015-INA-000000")</f>
        <v>FIP-DOM-ENG-13405-EQ22015-INA-000000</v>
      </c>
      <c r="P1744" s="6" t="str">
        <f>IFERROR(__xludf.DUMMYFUNCTION("""COMPUTED_VALUE"""),"PO Closed")</f>
        <v>PO Closed</v>
      </c>
      <c r="Q1744" s="6" t="str">
        <f>IFERROR(__xludf.DUMMYFUNCTION("""COMPUTED_VALUE"""),"GL2203009")</f>
        <v>GL2203009</v>
      </c>
      <c r="R1744" s="57">
        <f>IFERROR(__xludf.DUMMYFUNCTION("""COMPUTED_VALUE"""),44608.0)</f>
        <v>44608</v>
      </c>
      <c r="S1744" s="6" t="str">
        <f>IFERROR(__xludf.DUMMYFUNCTION("""COMPUTED_VALUE"""),"-")</f>
        <v>-</v>
      </c>
      <c r="T1744" s="57">
        <f>IFERROR(__xludf.DUMMYFUNCTION("""COMPUTED_VALUE"""),44636.0)</f>
        <v>44636</v>
      </c>
    </row>
    <row r="1745">
      <c r="A1745" s="6" t="str">
        <f>IFERROR(__xludf.DUMMYFUNCTION("""COMPUTED_VALUE"""),"221750086-3")</f>
        <v>221750086-3</v>
      </c>
      <c r="B1745" s="6" t="str">
        <f>IFERROR(__xludf.DUMMYFUNCTION("""COMPUTED_VALUE"""),"221750086 - Approved")</f>
        <v>221750086 - Approved</v>
      </c>
      <c r="C1745" s="6">
        <f>IFERROR(__xludf.DUMMYFUNCTION("""COMPUTED_VALUE"""),3.0)</f>
        <v>3</v>
      </c>
      <c r="D1745" s="6" t="str">
        <f>IFERROR(__xludf.DUMMYFUNCTION("""COMPUTED_VALUE"""),"R-20002-00")</f>
        <v>R-20002-00</v>
      </c>
      <c r="E1745" s="6" t="str">
        <f>IFERROR(__xludf.DUMMYFUNCTION("""COMPUTED_VALUE"""),"APAR CO2 3 Kg")</f>
        <v>APAR CO2 3 Kg</v>
      </c>
      <c r="F1745" s="6">
        <f>IFERROR(__xludf.DUMMYFUNCTION("""COMPUTED_VALUE"""),2.0)</f>
        <v>2</v>
      </c>
      <c r="G1745" s="6" t="str">
        <f>IFERROR(__xludf.DUMMYFUNCTION("""COMPUTED_VALUE"""),"Unit")</f>
        <v>Unit</v>
      </c>
      <c r="H1745" s="6" t="str">
        <f>IFERROR(__xludf.DUMMYFUNCTION("""COMPUTED_VALUE"""),"IDR")</f>
        <v>IDR</v>
      </c>
      <c r="I1745" s="6">
        <f>IFERROR(__xludf.DUMMYFUNCTION("""COMPUTED_VALUE"""),1100000.0)</f>
        <v>1100000</v>
      </c>
      <c r="J1745" s="6">
        <f>IFERROR(__xludf.DUMMYFUNCTION("""COMPUTED_VALUE"""),2200000.0)</f>
        <v>2200000</v>
      </c>
      <c r="K1745" s="57">
        <f>IFERROR(__xludf.DUMMYFUNCTION("""COMPUTED_VALUE"""),44638.0)</f>
        <v>44638</v>
      </c>
      <c r="L1745" s="6" t="str">
        <f>IFERROR(__xludf.DUMMYFUNCTION("""COMPUTED_VALUE"""),"FIP General")</f>
        <v>FIP General</v>
      </c>
      <c r="M1745" s="6" t="str">
        <f>IFERROR(__xludf.DUMMYFUNCTION("""COMPUTED_VALUE"""),"Kristiawan Sakti Winarno")</f>
        <v>Kristiawan Sakti Winarno</v>
      </c>
      <c r="N1745" s="6" t="str">
        <f>IFERROR(__xludf.DUMMYFUNCTION("""COMPUTED_VALUE"""),"FIP Engineering")</f>
        <v>FIP Engineering</v>
      </c>
      <c r="O1745" s="6" t="str">
        <f>IFERROR(__xludf.DUMMYFUNCTION("""COMPUTED_VALUE"""),"FIP-DOM-ENG-13405-EQ22015-INA-000000")</f>
        <v>FIP-DOM-ENG-13405-EQ22015-INA-000000</v>
      </c>
      <c r="P1745" s="6" t="str">
        <f>IFERROR(__xludf.DUMMYFUNCTION("""COMPUTED_VALUE"""),"PO Closed")</f>
        <v>PO Closed</v>
      </c>
      <c r="Q1745" s="6" t="str">
        <f>IFERROR(__xludf.DUMMYFUNCTION("""COMPUTED_VALUE"""),"GL2203009")</f>
        <v>GL2203009</v>
      </c>
      <c r="R1745" s="57">
        <f>IFERROR(__xludf.DUMMYFUNCTION("""COMPUTED_VALUE"""),44608.0)</f>
        <v>44608</v>
      </c>
      <c r="S1745" s="6" t="str">
        <f>IFERROR(__xludf.DUMMYFUNCTION("""COMPUTED_VALUE"""),"-")</f>
        <v>-</v>
      </c>
      <c r="T1745" s="57">
        <f>IFERROR(__xludf.DUMMYFUNCTION("""COMPUTED_VALUE"""),44636.0)</f>
        <v>44636</v>
      </c>
    </row>
    <row r="1746">
      <c r="A1746" s="6" t="str">
        <f>IFERROR(__xludf.DUMMYFUNCTION("""COMPUTED_VALUE"""),"221750086-4")</f>
        <v>221750086-4</v>
      </c>
      <c r="B1746" s="6" t="str">
        <f>IFERROR(__xludf.DUMMYFUNCTION("""COMPUTED_VALUE"""),"221750086 - Approved")</f>
        <v>221750086 - Approved</v>
      </c>
      <c r="C1746" s="6">
        <f>IFERROR(__xludf.DUMMYFUNCTION("""COMPUTED_VALUE"""),4.0)</f>
        <v>4</v>
      </c>
      <c r="D1746" s="6" t="str">
        <f>IFERROR(__xludf.DUMMYFUNCTION("""COMPUTED_VALUE"""),"R-20002-00")</f>
        <v>R-20002-00</v>
      </c>
      <c r="E1746" s="6" t="str">
        <f>IFERROR(__xludf.DUMMYFUNCTION("""COMPUTED_VALUE"""),"Pull Handle D Pipa Bulat 809 AS 30 cm Stainless")</f>
        <v>Pull Handle D Pipa Bulat 809 AS 30 cm Stainless</v>
      </c>
      <c r="F1746" s="6">
        <f>IFERROR(__xludf.DUMMYFUNCTION("""COMPUTED_VALUE"""),35.0)</f>
        <v>35</v>
      </c>
      <c r="G1746" s="6" t="str">
        <f>IFERROR(__xludf.DUMMYFUNCTION("""COMPUTED_VALUE"""),"Unit")</f>
        <v>Unit</v>
      </c>
      <c r="H1746" s="6" t="str">
        <f>IFERROR(__xludf.DUMMYFUNCTION("""COMPUTED_VALUE"""),"IDR")</f>
        <v>IDR</v>
      </c>
      <c r="I1746" s="6">
        <f>IFERROR(__xludf.DUMMYFUNCTION("""COMPUTED_VALUE"""),268500.0)</f>
        <v>268500</v>
      </c>
      <c r="J1746" s="6">
        <f>IFERROR(__xludf.DUMMYFUNCTION("""COMPUTED_VALUE"""),9397500.0)</f>
        <v>9397500</v>
      </c>
      <c r="K1746" s="57">
        <f>IFERROR(__xludf.DUMMYFUNCTION("""COMPUTED_VALUE"""),44638.0)</f>
        <v>44638</v>
      </c>
      <c r="L1746" s="6" t="str">
        <f>IFERROR(__xludf.DUMMYFUNCTION("""COMPUTED_VALUE"""),"FIP General")</f>
        <v>FIP General</v>
      </c>
      <c r="M1746" s="6" t="str">
        <f>IFERROR(__xludf.DUMMYFUNCTION("""COMPUTED_VALUE"""),"Kristiawan Sakti Winarno")</f>
        <v>Kristiawan Sakti Winarno</v>
      </c>
      <c r="N1746" s="6" t="str">
        <f>IFERROR(__xludf.DUMMYFUNCTION("""COMPUTED_VALUE"""),"FIP Engineering")</f>
        <v>FIP Engineering</v>
      </c>
      <c r="O1746" s="6" t="str">
        <f>IFERROR(__xludf.DUMMYFUNCTION("""COMPUTED_VALUE"""),"FIP-DOM-ENG-13405-EQ22015-INA-000000")</f>
        <v>FIP-DOM-ENG-13405-EQ22015-INA-000000</v>
      </c>
      <c r="P1746" s="6" t="str">
        <f>IFERROR(__xludf.DUMMYFUNCTION("""COMPUTED_VALUE"""),"PO Closed")</f>
        <v>PO Closed</v>
      </c>
      <c r="Q1746" s="6" t="str">
        <f>IFERROR(__xludf.DUMMYFUNCTION("""COMPUTED_VALUE"""),"GL2203012")</f>
        <v>GL2203012</v>
      </c>
      <c r="R1746" s="57">
        <f>IFERROR(__xludf.DUMMYFUNCTION("""COMPUTED_VALUE"""),44608.0)</f>
        <v>44608</v>
      </c>
      <c r="S1746" s="6" t="str">
        <f>IFERROR(__xludf.DUMMYFUNCTION("""COMPUTED_VALUE"""),"-")</f>
        <v>-</v>
      </c>
      <c r="T1746" s="57">
        <f>IFERROR(__xludf.DUMMYFUNCTION("""COMPUTED_VALUE"""),44632.0)</f>
        <v>44632</v>
      </c>
    </row>
    <row r="1747">
      <c r="A1747" s="6" t="str">
        <f>IFERROR(__xludf.DUMMYFUNCTION("""COMPUTED_VALUE"""),"221750086-5")</f>
        <v>221750086-5</v>
      </c>
      <c r="B1747" s="6" t="str">
        <f>IFERROR(__xludf.DUMMYFUNCTION("""COMPUTED_VALUE"""),"221750086 - Approved")</f>
        <v>221750086 - Approved</v>
      </c>
      <c r="C1747" s="6">
        <f>IFERROR(__xludf.DUMMYFUNCTION("""COMPUTED_VALUE"""),5.0)</f>
        <v>5</v>
      </c>
      <c r="D1747" s="6" t="str">
        <f>IFERROR(__xludf.DUMMYFUNCTION("""COMPUTED_VALUE"""),"R-20002-00")</f>
        <v>R-20002-00</v>
      </c>
      <c r="E1747" s="6" t="str">
        <f>IFERROR(__xludf.DUMMYFUNCTION("""COMPUTED_VALUE"""),"Lemari Spare Part Flammable - File Cabinet 4 shelf 115x39x180cm Swing")</f>
        <v>Lemari Spare Part Flammable - File Cabinet 4 shelf 115x39x180cm Swing</v>
      </c>
      <c r="F1747" s="6">
        <f>IFERROR(__xludf.DUMMYFUNCTION("""COMPUTED_VALUE"""),1.0)</f>
        <v>1</v>
      </c>
      <c r="G1747" s="6" t="str">
        <f>IFERROR(__xludf.DUMMYFUNCTION("""COMPUTED_VALUE"""),"Unit")</f>
        <v>Unit</v>
      </c>
      <c r="H1747" s="6" t="str">
        <f>IFERROR(__xludf.DUMMYFUNCTION("""COMPUTED_VALUE"""),"IDR")</f>
        <v>IDR</v>
      </c>
      <c r="I1747" s="6">
        <f>IFERROR(__xludf.DUMMYFUNCTION("""COMPUTED_VALUE"""),4070000.0)</f>
        <v>4070000</v>
      </c>
      <c r="J1747" s="6">
        <f>IFERROR(__xludf.DUMMYFUNCTION("""COMPUTED_VALUE"""),4070000.0)</f>
        <v>4070000</v>
      </c>
      <c r="K1747" s="57">
        <f>IFERROR(__xludf.DUMMYFUNCTION("""COMPUTED_VALUE"""),44638.0)</f>
        <v>44638</v>
      </c>
      <c r="L1747" s="6" t="str">
        <f>IFERROR(__xludf.DUMMYFUNCTION("""COMPUTED_VALUE"""),"FIP General")</f>
        <v>FIP General</v>
      </c>
      <c r="M1747" s="6" t="str">
        <f>IFERROR(__xludf.DUMMYFUNCTION("""COMPUTED_VALUE"""),"Kristiawan Sakti Winarno")</f>
        <v>Kristiawan Sakti Winarno</v>
      </c>
      <c r="N1747" s="6" t="str">
        <f>IFERROR(__xludf.DUMMYFUNCTION("""COMPUTED_VALUE"""),"FIP Engineering")</f>
        <v>FIP Engineering</v>
      </c>
      <c r="O1747" s="6" t="str">
        <f>IFERROR(__xludf.DUMMYFUNCTION("""COMPUTED_VALUE"""),"FIP-DOM-ENG-13405-EQ22015-INA-000000")</f>
        <v>FIP-DOM-ENG-13405-EQ22015-INA-000000</v>
      </c>
      <c r="P1747" s="6" t="str">
        <f>IFERROR(__xludf.DUMMYFUNCTION("""COMPUTED_VALUE"""),"PO Closed")</f>
        <v>PO Closed</v>
      </c>
      <c r="Q1747" s="6" t="str">
        <f>IFERROR(__xludf.DUMMYFUNCTION("""COMPUTED_VALUE"""),"GL2203010")</f>
        <v>GL2203010</v>
      </c>
      <c r="R1747" s="57">
        <f>IFERROR(__xludf.DUMMYFUNCTION("""COMPUTED_VALUE"""),44608.0)</f>
        <v>44608</v>
      </c>
      <c r="S1747" s="6" t="str">
        <f>IFERROR(__xludf.DUMMYFUNCTION("""COMPUTED_VALUE"""),"-")</f>
        <v>-</v>
      </c>
      <c r="T1747" s="57">
        <f>IFERROR(__xludf.DUMMYFUNCTION("""COMPUTED_VALUE"""),44636.0)</f>
        <v>44636</v>
      </c>
    </row>
    <row r="1748">
      <c r="A1748" s="6" t="str">
        <f>IFERROR(__xludf.DUMMYFUNCTION("""COMPUTED_VALUE"""),"221750086-6")</f>
        <v>221750086-6</v>
      </c>
      <c r="B1748" s="6" t="str">
        <f>IFERROR(__xludf.DUMMYFUNCTION("""COMPUTED_VALUE"""),"221750086 - Approved")</f>
        <v>221750086 - Approved</v>
      </c>
      <c r="C1748" s="6">
        <f>IFERROR(__xludf.DUMMYFUNCTION("""COMPUTED_VALUE"""),6.0)</f>
        <v>6</v>
      </c>
      <c r="D1748" s="6" t="str">
        <f>IFERROR(__xludf.DUMMYFUNCTION("""COMPUTED_VALUE"""),"R-20002-00")</f>
        <v>R-20002-00</v>
      </c>
      <c r="E1748" s="6" t="str">
        <f>IFERROR(__xludf.DUMMYFUNCTION("""COMPUTED_VALUE"""),"Exhaust Lemari Spare Part Flammable 4""")</f>
        <v>Exhaust Lemari Spare Part Flammable 4"</v>
      </c>
      <c r="F1748" s="6">
        <f>IFERROR(__xludf.DUMMYFUNCTION("""COMPUTED_VALUE"""),1.0)</f>
        <v>1</v>
      </c>
      <c r="G1748" s="6" t="str">
        <f>IFERROR(__xludf.DUMMYFUNCTION("""COMPUTED_VALUE"""),"Unit")</f>
        <v>Unit</v>
      </c>
      <c r="H1748" s="6" t="str">
        <f>IFERROR(__xludf.DUMMYFUNCTION("""COMPUTED_VALUE"""),"IDR")</f>
        <v>IDR</v>
      </c>
      <c r="I1748" s="6">
        <f>IFERROR(__xludf.DUMMYFUNCTION("""COMPUTED_VALUE"""),823900.0)</f>
        <v>823900</v>
      </c>
      <c r="J1748" s="6">
        <f>IFERROR(__xludf.DUMMYFUNCTION("""COMPUTED_VALUE"""),823900.0)</f>
        <v>823900</v>
      </c>
      <c r="K1748" s="57">
        <f>IFERROR(__xludf.DUMMYFUNCTION("""COMPUTED_VALUE"""),44638.0)</f>
        <v>44638</v>
      </c>
      <c r="L1748" s="6" t="str">
        <f>IFERROR(__xludf.DUMMYFUNCTION("""COMPUTED_VALUE"""),"FIP General")</f>
        <v>FIP General</v>
      </c>
      <c r="M1748" s="6" t="str">
        <f>IFERROR(__xludf.DUMMYFUNCTION("""COMPUTED_VALUE"""),"Kristiawan Sakti Winarno")</f>
        <v>Kristiawan Sakti Winarno</v>
      </c>
      <c r="N1748" s="6" t="str">
        <f>IFERROR(__xludf.DUMMYFUNCTION("""COMPUTED_VALUE"""),"FIP Engineering")</f>
        <v>FIP Engineering</v>
      </c>
      <c r="O1748" s="6" t="str">
        <f>IFERROR(__xludf.DUMMYFUNCTION("""COMPUTED_VALUE"""),"FIP-DOM-ENG-13405-EQ22015-INA-000000")</f>
        <v>FIP-DOM-ENG-13405-EQ22015-INA-000000</v>
      </c>
      <c r="P1748" s="6" t="str">
        <f>IFERROR(__xludf.DUMMYFUNCTION("""COMPUTED_VALUE"""),"PO Closed")</f>
        <v>PO Closed</v>
      </c>
      <c r="Q1748" s="6" t="str">
        <f>IFERROR(__xludf.DUMMYFUNCTION("""COMPUTED_VALUE"""),"GL2203012")</f>
        <v>GL2203012</v>
      </c>
      <c r="R1748" s="57">
        <f>IFERROR(__xludf.DUMMYFUNCTION("""COMPUTED_VALUE"""),44608.0)</f>
        <v>44608</v>
      </c>
      <c r="S1748" s="6" t="str">
        <f>IFERROR(__xludf.DUMMYFUNCTION("""COMPUTED_VALUE"""),"-")</f>
        <v>-</v>
      </c>
      <c r="T1748" s="57">
        <f>IFERROR(__xludf.DUMMYFUNCTION("""COMPUTED_VALUE"""),44638.0)</f>
        <v>44638</v>
      </c>
    </row>
    <row r="1749">
      <c r="A1749" s="6" t="str">
        <f>IFERROR(__xludf.DUMMYFUNCTION("""COMPUTED_VALUE"""),"221750086-7")</f>
        <v>221750086-7</v>
      </c>
      <c r="B1749" s="6" t="str">
        <f>IFERROR(__xludf.DUMMYFUNCTION("""COMPUTED_VALUE"""),"221750086 - Approved")</f>
        <v>221750086 - Approved</v>
      </c>
      <c r="C1749" s="6">
        <f>IFERROR(__xludf.DUMMYFUNCTION("""COMPUTED_VALUE"""),7.0)</f>
        <v>7</v>
      </c>
      <c r="D1749" s="6" t="str">
        <f>IFERROR(__xludf.DUMMYFUNCTION("""COMPUTED_VALUE"""),"R-20002-00")</f>
        <v>R-20002-00</v>
      </c>
      <c r="E1749" s="6" t="str">
        <f>IFERROR(__xludf.DUMMYFUNCTION("""COMPUTED_VALUE"""),"Grill Lemari Spare Part Flammable")</f>
        <v>Grill Lemari Spare Part Flammable</v>
      </c>
      <c r="F1749" s="6">
        <f>IFERROR(__xludf.DUMMYFUNCTION("""COMPUTED_VALUE"""),1.0)</f>
        <v>1</v>
      </c>
      <c r="G1749" s="6" t="str">
        <f>IFERROR(__xludf.DUMMYFUNCTION("""COMPUTED_VALUE"""),"Unit")</f>
        <v>Unit</v>
      </c>
      <c r="H1749" s="6" t="str">
        <f>IFERROR(__xludf.DUMMYFUNCTION("""COMPUTED_VALUE"""),"IDR")</f>
        <v>IDR</v>
      </c>
      <c r="I1749" s="6">
        <f>IFERROR(__xludf.DUMMYFUNCTION("""COMPUTED_VALUE"""),108900.0)</f>
        <v>108900</v>
      </c>
      <c r="J1749" s="6">
        <f>IFERROR(__xludf.DUMMYFUNCTION("""COMPUTED_VALUE"""),108900.0)</f>
        <v>108900</v>
      </c>
      <c r="K1749" s="57">
        <f>IFERROR(__xludf.DUMMYFUNCTION("""COMPUTED_VALUE"""),44638.0)</f>
        <v>44638</v>
      </c>
      <c r="L1749" s="6" t="str">
        <f>IFERROR(__xludf.DUMMYFUNCTION("""COMPUTED_VALUE"""),"FIP General")</f>
        <v>FIP General</v>
      </c>
      <c r="M1749" s="6" t="str">
        <f>IFERROR(__xludf.DUMMYFUNCTION("""COMPUTED_VALUE"""),"Kristiawan Sakti Winarno")</f>
        <v>Kristiawan Sakti Winarno</v>
      </c>
      <c r="N1749" s="6" t="str">
        <f>IFERROR(__xludf.DUMMYFUNCTION("""COMPUTED_VALUE"""),"FIP Engineering")</f>
        <v>FIP Engineering</v>
      </c>
      <c r="O1749" s="6" t="str">
        <f>IFERROR(__xludf.DUMMYFUNCTION("""COMPUTED_VALUE"""),"FIP-DOM-ENG-13405-EQ22015-INA-000000")</f>
        <v>FIP-DOM-ENG-13405-EQ22015-INA-000000</v>
      </c>
      <c r="P1749" s="6" t="str">
        <f>IFERROR(__xludf.DUMMYFUNCTION("""COMPUTED_VALUE"""),"PO Closed")</f>
        <v>PO Closed</v>
      </c>
      <c r="Q1749" s="6" t="str">
        <f>IFERROR(__xludf.DUMMYFUNCTION("""COMPUTED_VALUE"""),"GL2203012")</f>
        <v>GL2203012</v>
      </c>
      <c r="R1749" s="57">
        <f>IFERROR(__xludf.DUMMYFUNCTION("""COMPUTED_VALUE"""),44608.0)</f>
        <v>44608</v>
      </c>
      <c r="S1749" s="6" t="str">
        <f>IFERROR(__xludf.DUMMYFUNCTION("""COMPUTED_VALUE"""),"-")</f>
        <v>-</v>
      </c>
      <c r="T1749" s="57">
        <f>IFERROR(__xludf.DUMMYFUNCTION("""COMPUTED_VALUE"""),44638.0)</f>
        <v>44638</v>
      </c>
    </row>
    <row r="1750">
      <c r="A1750" s="6" t="str">
        <f>IFERROR(__xludf.DUMMYFUNCTION("""COMPUTED_VALUE"""),"221750090-1")</f>
        <v>221750090-1</v>
      </c>
      <c r="B1750" s="6" t="str">
        <f>IFERROR(__xludf.DUMMYFUNCTION("""COMPUTED_VALUE"""),"221750090 - Approved")</f>
        <v>221750090 - Approved</v>
      </c>
      <c r="C1750" s="6">
        <f>IFERROR(__xludf.DUMMYFUNCTION("""COMPUTED_VALUE"""),1.0)</f>
        <v>1</v>
      </c>
      <c r="D1750" s="6" t="str">
        <f>IFERROR(__xludf.DUMMYFUNCTION("""COMPUTED_VALUE"""),"O-18175-00")</f>
        <v>O-18175-00</v>
      </c>
      <c r="E1750" s="6" t="str">
        <f>IFERROR(__xludf.DUMMYFUNCTION("""COMPUTED_VALUE"""),"Freeze Dryer MBE1207 - Tefflon Self")</f>
        <v>Freeze Dryer MBE1207 - Tefflon Self</v>
      </c>
      <c r="F1750" s="6">
        <f>IFERROR(__xludf.DUMMYFUNCTION("""COMPUTED_VALUE"""),12.0)</f>
        <v>12</v>
      </c>
      <c r="G1750" s="6" t="str">
        <f>IFERROR(__xludf.DUMMYFUNCTION("""COMPUTED_VALUE"""),"Pieces")</f>
        <v>Pieces</v>
      </c>
      <c r="H1750" s="6" t="str">
        <f>IFERROR(__xludf.DUMMYFUNCTION("""COMPUTED_VALUE"""),"IDR")</f>
        <v>IDR</v>
      </c>
      <c r="I1750" s="6">
        <f>IFERROR(__xludf.DUMMYFUNCTION("""COMPUTED_VALUE"""),205000.0)</f>
        <v>205000</v>
      </c>
      <c r="J1750" s="6">
        <f>IFERROR(__xludf.DUMMYFUNCTION("""COMPUTED_VALUE"""),2460000.0)</f>
        <v>2460000</v>
      </c>
      <c r="K1750" s="57">
        <f>IFERROR(__xludf.DUMMYFUNCTION("""COMPUTED_VALUE"""),44624.0)</f>
        <v>44624</v>
      </c>
      <c r="L1750" s="6" t="str">
        <f>IFERROR(__xludf.DUMMYFUNCTION("""COMPUTED_VALUE"""),"FIP Engineering")</f>
        <v>FIP Engineering</v>
      </c>
      <c r="M1750" s="6" t="str">
        <f>IFERROR(__xludf.DUMMYFUNCTION("""COMPUTED_VALUE"""),"Irwan Sopian")</f>
        <v>Irwan Sopian</v>
      </c>
      <c r="N1750" s="6" t="str">
        <f>IFERROR(__xludf.DUMMYFUNCTION("""COMPUTED_VALUE"""),"FIP Engineering")</f>
        <v>FIP Engineering</v>
      </c>
      <c r="O1750" s="6" t="str">
        <f>IFERROR(__xludf.DUMMYFUNCTION("""COMPUTED_VALUE"""),"FIP-DOM-000-11304-OS00001-INA-000000")</f>
        <v>FIP-DOM-000-11304-OS00001-INA-000000</v>
      </c>
      <c r="P1750" s="6" t="str">
        <f>IFERROR(__xludf.DUMMYFUNCTION("""COMPUTED_VALUE"""),"PO Closed")</f>
        <v>PO Closed</v>
      </c>
      <c r="Q1750" s="6" t="str">
        <f>IFERROR(__xludf.DUMMYFUNCTION("""COMPUTED_VALUE"""),"GL2203037")</f>
        <v>GL2203037</v>
      </c>
      <c r="R1750" s="57">
        <f>IFERROR(__xludf.DUMMYFUNCTION("""COMPUTED_VALUE"""),44611.0)</f>
        <v>44611</v>
      </c>
      <c r="S1750" s="6" t="str">
        <f>IFERROR(__xludf.DUMMYFUNCTION("""COMPUTED_VALUE"""),"-")</f>
        <v>-</v>
      </c>
      <c r="T1750" s="57">
        <f>IFERROR(__xludf.DUMMYFUNCTION("""COMPUTED_VALUE"""),44656.0)</f>
        <v>44656</v>
      </c>
    </row>
    <row r="1751">
      <c r="A1751" s="6" t="str">
        <f>IFERROR(__xludf.DUMMYFUNCTION("""COMPUTED_VALUE"""),"221750092-1")</f>
        <v>221750092-1</v>
      </c>
      <c r="B1751" s="6" t="str">
        <f>IFERROR(__xludf.DUMMYFUNCTION("""COMPUTED_VALUE"""),"221750092 - Approved")</f>
        <v>221750092 - Approved</v>
      </c>
      <c r="C1751" s="6">
        <f>IFERROR(__xludf.DUMMYFUNCTION("""COMPUTED_VALUE"""),1.0)</f>
        <v>1</v>
      </c>
      <c r="D1751" s="6" t="str">
        <f>IFERROR(__xludf.DUMMYFUNCTION("""COMPUTED_VALUE"""),"P-51736-00")</f>
        <v>P-51736-00</v>
      </c>
      <c r="E1751" s="6" t="str">
        <f>IFERROR(__xludf.DUMMYFUNCTION("""COMPUTED_VALUE"""),"Kabel UTP isi 8 Cat 5e merk BELDEN")</f>
        <v>Kabel UTP isi 8 Cat 5e merk BELDEN</v>
      </c>
      <c r="F1751" s="6">
        <f>IFERROR(__xludf.DUMMYFUNCTION("""COMPUTED_VALUE"""),1.0)</f>
        <v>1</v>
      </c>
      <c r="G1751" s="6" t="str">
        <f>IFERROR(__xludf.DUMMYFUNCTION("""COMPUTED_VALUE"""),"Roll")</f>
        <v>Roll</v>
      </c>
      <c r="H1751" s="6" t="str">
        <f>IFERROR(__xludf.DUMMYFUNCTION("""COMPUTED_VALUE"""),"IDR")</f>
        <v>IDR</v>
      </c>
      <c r="I1751" s="6">
        <f>IFERROR(__xludf.DUMMYFUNCTION("""COMPUTED_VALUE"""),1800000.0)</f>
        <v>1800000</v>
      </c>
      <c r="J1751" s="6">
        <f>IFERROR(__xludf.DUMMYFUNCTION("""COMPUTED_VALUE"""),1800000.0)</f>
        <v>1800000</v>
      </c>
      <c r="K1751" s="57">
        <f>IFERROR(__xludf.DUMMYFUNCTION("""COMPUTED_VALUE"""),44645.0)</f>
        <v>44645</v>
      </c>
      <c r="L1751" s="6" t="str">
        <f>IFERROR(__xludf.DUMMYFUNCTION("""COMPUTED_VALUE"""),"FIP Engineering")</f>
        <v>FIP Engineering</v>
      </c>
      <c r="M1751" s="6" t="str">
        <f>IFERROR(__xludf.DUMMYFUNCTION("""COMPUTED_VALUE"""),"Irwan Sopian")</f>
        <v>Irwan Sopian</v>
      </c>
      <c r="N1751" s="6" t="str">
        <f>IFERROR(__xludf.DUMMYFUNCTION("""COMPUTED_VALUE"""),"FIP Engineering")</f>
        <v>FIP Engineering</v>
      </c>
      <c r="O1751" s="6" t="str">
        <f>IFERROR(__xludf.DUMMYFUNCTION("""COMPUTED_VALUE"""),"FIP-DOM-000-11304-OS00001-INA-000000")</f>
        <v>FIP-DOM-000-11304-OS00001-INA-000000</v>
      </c>
      <c r="P1751" s="6" t="str">
        <f>IFERROR(__xludf.DUMMYFUNCTION("""COMPUTED_VALUE"""),"PO Closed")</f>
        <v>PO Closed</v>
      </c>
      <c r="Q1751" s="6" t="str">
        <f>IFERROR(__xludf.DUMMYFUNCTION("""COMPUTED_VALUE"""),"GL2203002")</f>
        <v>GL2203002</v>
      </c>
      <c r="R1751" s="57">
        <f>IFERROR(__xludf.DUMMYFUNCTION("""COMPUTED_VALUE"""),44615.0)</f>
        <v>44615</v>
      </c>
      <c r="S1751" s="6" t="str">
        <f>IFERROR(__xludf.DUMMYFUNCTION("""COMPUTED_VALUE"""),"-")</f>
        <v>-</v>
      </c>
      <c r="T1751" s="57">
        <f>IFERROR(__xludf.DUMMYFUNCTION("""COMPUTED_VALUE"""),44635.0)</f>
        <v>44635</v>
      </c>
    </row>
    <row r="1752">
      <c r="A1752" s="6" t="str">
        <f>IFERROR(__xludf.DUMMYFUNCTION("""COMPUTED_VALUE"""),"221750092-2")</f>
        <v>221750092-2</v>
      </c>
      <c r="B1752" s="6" t="str">
        <f>IFERROR(__xludf.DUMMYFUNCTION("""COMPUTED_VALUE"""),"221750092 - Approved")</f>
        <v>221750092 - Approved</v>
      </c>
      <c r="C1752" s="6">
        <f>IFERROR(__xludf.DUMMYFUNCTION("""COMPUTED_VALUE"""),2.0)</f>
        <v>2</v>
      </c>
      <c r="D1752" s="6" t="str">
        <f>IFERROR(__xludf.DUMMYFUNCTION("""COMPUTED_VALUE"""),"O-54013-00")</f>
        <v>O-54013-00</v>
      </c>
      <c r="E1752" s="6" t="str">
        <f>IFERROR(__xludf.DUMMYFUNCTION("""COMPUTED_VALUE"""),"SOCKET RJ 45")</f>
        <v>SOCKET RJ 45</v>
      </c>
      <c r="F1752" s="6">
        <f>IFERROR(__xludf.DUMMYFUNCTION("""COMPUTED_VALUE"""),1.0)</f>
        <v>1</v>
      </c>
      <c r="G1752" s="6" t="str">
        <f>IFERROR(__xludf.DUMMYFUNCTION("""COMPUTED_VALUE"""),"Pieces")</f>
        <v>Pieces</v>
      </c>
      <c r="H1752" s="6" t="str">
        <f>IFERROR(__xludf.DUMMYFUNCTION("""COMPUTED_VALUE"""),"IDR")</f>
        <v>IDR</v>
      </c>
      <c r="I1752" s="6">
        <f>IFERROR(__xludf.DUMMYFUNCTION("""COMPUTED_VALUE"""),130000.0)</f>
        <v>130000</v>
      </c>
      <c r="J1752" s="6">
        <f>IFERROR(__xludf.DUMMYFUNCTION("""COMPUTED_VALUE"""),130000.0)</f>
        <v>130000</v>
      </c>
      <c r="K1752" s="57">
        <f>IFERROR(__xludf.DUMMYFUNCTION("""COMPUTED_VALUE"""),44638.0)</f>
        <v>44638</v>
      </c>
      <c r="L1752" s="6" t="str">
        <f>IFERROR(__xludf.DUMMYFUNCTION("""COMPUTED_VALUE"""),"FIP Engineering")</f>
        <v>FIP Engineering</v>
      </c>
      <c r="M1752" s="6" t="str">
        <f>IFERROR(__xludf.DUMMYFUNCTION("""COMPUTED_VALUE"""),"Irwan Sopian")</f>
        <v>Irwan Sopian</v>
      </c>
      <c r="N1752" s="6" t="str">
        <f>IFERROR(__xludf.DUMMYFUNCTION("""COMPUTED_VALUE"""),"FIP Engineering")</f>
        <v>FIP Engineering</v>
      </c>
      <c r="O1752" s="6" t="str">
        <f>IFERROR(__xludf.DUMMYFUNCTION("""COMPUTED_VALUE"""),"FIP-DOM-000-11304-OS00001-INA-000000")</f>
        <v>FIP-DOM-000-11304-OS00001-INA-000000</v>
      </c>
      <c r="P1752" s="6" t="str">
        <f>IFERROR(__xludf.DUMMYFUNCTION("""COMPUTED_VALUE"""),"PO Closed")</f>
        <v>PO Closed</v>
      </c>
      <c r="Q1752" s="6" t="str">
        <f>IFERROR(__xludf.DUMMYFUNCTION("""COMPUTED_VALUE"""),"GL2203002")</f>
        <v>GL2203002</v>
      </c>
      <c r="R1752" s="57">
        <f>IFERROR(__xludf.DUMMYFUNCTION("""COMPUTED_VALUE"""),44615.0)</f>
        <v>44615</v>
      </c>
      <c r="S1752" s="6" t="str">
        <f>IFERROR(__xludf.DUMMYFUNCTION("""COMPUTED_VALUE"""),"-")</f>
        <v>-</v>
      </c>
      <c r="T1752" s="57">
        <f>IFERROR(__xludf.DUMMYFUNCTION("""COMPUTED_VALUE"""),44635.0)</f>
        <v>44635</v>
      </c>
    </row>
    <row r="1753">
      <c r="A1753" s="6" t="str">
        <f>IFERROR(__xludf.DUMMYFUNCTION("""COMPUTED_VALUE"""),"221750091-1")</f>
        <v>221750091-1</v>
      </c>
      <c r="B1753" s="6" t="str">
        <f>IFERROR(__xludf.DUMMYFUNCTION("""COMPUTED_VALUE"""),"221750091 - Approved")</f>
        <v>221750091 - Approved</v>
      </c>
      <c r="C1753" s="6">
        <f>IFERROR(__xludf.DUMMYFUNCTION("""COMPUTED_VALUE"""),1.0)</f>
        <v>1</v>
      </c>
      <c r="D1753" s="6" t="str">
        <f>IFERROR(__xludf.DUMMYFUNCTION("""COMPUTED_VALUE"""),"P-53202-00")</f>
        <v>P-53202-00</v>
      </c>
      <c r="E1753" s="6" t="str">
        <f>IFERROR(__xludf.DUMMYFUNCTION("""COMPUTED_VALUE"""),"HVAC - Programmable RH &amp; Temp. transmitter MF-HTT 0-100% RH dan 0-100 deg.C 24VAAC Micatrone")</f>
        <v>HVAC - Programmable RH &amp; Temp. transmitter MF-HTT 0-100% RH dan 0-100 deg.C 24VAAC Micatrone</v>
      </c>
      <c r="F1753" s="6">
        <f>IFERROR(__xludf.DUMMYFUNCTION("""COMPUTED_VALUE"""),1.0)</f>
        <v>1</v>
      </c>
      <c r="G1753" s="6" t="str">
        <f>IFERROR(__xludf.DUMMYFUNCTION("""COMPUTED_VALUE"""),"Unit")</f>
        <v>Unit</v>
      </c>
      <c r="H1753" s="6" t="str">
        <f>IFERROR(__xludf.DUMMYFUNCTION("""COMPUTED_VALUE"""),"IDR")</f>
        <v>IDR</v>
      </c>
      <c r="I1753" s="6">
        <f>IFERROR(__xludf.DUMMYFUNCTION("""COMPUTED_VALUE"""),1.1E7)</f>
        <v>11000000</v>
      </c>
      <c r="J1753" s="6">
        <f>IFERROR(__xludf.DUMMYFUNCTION("""COMPUTED_VALUE"""),1.1E7)</f>
        <v>11000000</v>
      </c>
      <c r="K1753" s="57">
        <f>IFERROR(__xludf.DUMMYFUNCTION("""COMPUTED_VALUE"""),44638.0)</f>
        <v>44638</v>
      </c>
      <c r="L1753" s="6" t="str">
        <f>IFERROR(__xludf.DUMMYFUNCTION("""COMPUTED_VALUE"""),"FIP Engineering")</f>
        <v>FIP Engineering</v>
      </c>
      <c r="M1753" s="6" t="str">
        <f>IFERROR(__xludf.DUMMYFUNCTION("""COMPUTED_VALUE"""),"Irwan Sopian")</f>
        <v>Irwan Sopian</v>
      </c>
      <c r="N1753" s="6" t="str">
        <f>IFERROR(__xludf.DUMMYFUNCTION("""COMPUTED_VALUE"""),"FIP Engineering")</f>
        <v>FIP Engineering</v>
      </c>
      <c r="O1753" s="6" t="str">
        <f>IFERROR(__xludf.DUMMYFUNCTION("""COMPUTED_VALUE"""),"FIP-DOM-000-11304-OS00001-INA-000000")</f>
        <v>FIP-DOM-000-11304-OS00001-INA-000000</v>
      </c>
      <c r="P1753" s="6" t="str">
        <f>IFERROR(__xludf.DUMMYFUNCTION("""COMPUTED_VALUE"""),"PO Closed")</f>
        <v>PO Closed</v>
      </c>
      <c r="Q1753" s="6" t="str">
        <f>IFERROR(__xludf.DUMMYFUNCTION("""COMPUTED_VALUE"""),"GL2202045")</f>
        <v>GL2202045</v>
      </c>
      <c r="R1753" s="57">
        <f>IFERROR(__xludf.DUMMYFUNCTION("""COMPUTED_VALUE"""),44615.0)</f>
        <v>44615</v>
      </c>
      <c r="S1753" s="6" t="str">
        <f>IFERROR(__xludf.DUMMYFUNCTION("""COMPUTED_VALUE"""),"-")</f>
        <v>-</v>
      </c>
      <c r="T1753" s="57">
        <f>IFERROR(__xludf.DUMMYFUNCTION("""COMPUTED_VALUE"""),44625.0)</f>
        <v>44625</v>
      </c>
    </row>
    <row r="1754">
      <c r="A1754" s="6" t="str">
        <f>IFERROR(__xludf.DUMMYFUNCTION("""COMPUTED_VALUE"""),"221750098-1")</f>
        <v>221750098-1</v>
      </c>
      <c r="B1754" s="6" t="str">
        <f>IFERROR(__xludf.DUMMYFUNCTION("""COMPUTED_VALUE"""),"221750098 - Approved")</f>
        <v>221750098 - Approved</v>
      </c>
      <c r="C1754" s="6">
        <f>IFERROR(__xludf.DUMMYFUNCTION("""COMPUTED_VALUE"""),1.0)</f>
        <v>1</v>
      </c>
      <c r="D1754" s="6" t="str">
        <f>IFERROR(__xludf.DUMMYFUNCTION("""COMPUTED_VALUE"""),"O-14510-00")</f>
        <v>O-14510-00</v>
      </c>
      <c r="E1754" s="6" t="str">
        <f>IFERROR(__xludf.DUMMYFUNCTION("""COMPUTED_VALUE"""),"Speed Control AS2201F-02-08SA, SMC, , SINAR MUTIARA CAKRABUANA, PT P/N : - pc")</f>
        <v>Speed Control AS2201F-02-08SA, SMC, , SINAR MUTIARA CAKRABUANA, PT P/N : - pc</v>
      </c>
      <c r="F1754" s="6">
        <f>IFERROR(__xludf.DUMMYFUNCTION("""COMPUTED_VALUE"""),5.0)</f>
        <v>5</v>
      </c>
      <c r="G1754" s="6" t="str">
        <f>IFERROR(__xludf.DUMMYFUNCTION("""COMPUTED_VALUE"""),"Pieces")</f>
        <v>Pieces</v>
      </c>
      <c r="H1754" s="6" t="str">
        <f>IFERROR(__xludf.DUMMYFUNCTION("""COMPUTED_VALUE"""),"IDR")</f>
        <v>IDR</v>
      </c>
      <c r="I1754" s="6">
        <f>IFERROR(__xludf.DUMMYFUNCTION("""COMPUTED_VALUE"""),203000.0)</f>
        <v>203000</v>
      </c>
      <c r="J1754" s="6">
        <f>IFERROR(__xludf.DUMMYFUNCTION("""COMPUTED_VALUE"""),1015000.0)</f>
        <v>1015000</v>
      </c>
      <c r="K1754" s="57">
        <f>IFERROR(__xludf.DUMMYFUNCTION("""COMPUTED_VALUE"""),44645.0)</f>
        <v>44645</v>
      </c>
      <c r="L1754" s="6" t="str">
        <f>IFERROR(__xludf.DUMMYFUNCTION("""COMPUTED_VALUE"""),"FIP Engineering")</f>
        <v>FIP Engineering</v>
      </c>
      <c r="M1754" s="6" t="str">
        <f>IFERROR(__xludf.DUMMYFUNCTION("""COMPUTED_VALUE"""),"Irwan Sopian")</f>
        <v>Irwan Sopian</v>
      </c>
      <c r="N1754" s="6" t="str">
        <f>IFERROR(__xludf.DUMMYFUNCTION("""COMPUTED_VALUE"""),"FIP Engineering")</f>
        <v>FIP Engineering</v>
      </c>
      <c r="O1754" s="6" t="str">
        <f>IFERROR(__xludf.DUMMYFUNCTION("""COMPUTED_VALUE"""),"FIP-DOM-000-11304-OS00001-INA-000000")</f>
        <v>FIP-DOM-000-11304-OS00001-INA-000000</v>
      </c>
      <c r="P1754" s="6" t="str">
        <f>IFERROR(__xludf.DUMMYFUNCTION("""COMPUTED_VALUE"""),"PO Closed")</f>
        <v>PO Closed</v>
      </c>
      <c r="Q1754" s="6" t="str">
        <f>IFERROR(__xludf.DUMMYFUNCTION("""COMPUTED_VALUE"""),"GL2203047")</f>
        <v>GL2203047</v>
      </c>
      <c r="R1754" s="57">
        <f>IFERROR(__xludf.DUMMYFUNCTION("""COMPUTED_VALUE"""),44618.0)</f>
        <v>44618</v>
      </c>
      <c r="S1754" s="6" t="str">
        <f>IFERROR(__xludf.DUMMYFUNCTION("""COMPUTED_VALUE"""),"-")</f>
        <v>-</v>
      </c>
      <c r="T1754" s="57">
        <f>IFERROR(__xludf.DUMMYFUNCTION("""COMPUTED_VALUE"""),44650.0)</f>
        <v>44650</v>
      </c>
    </row>
    <row r="1755">
      <c r="A1755" s="6" t="str">
        <f>IFERROR(__xludf.DUMMYFUNCTION("""COMPUTED_VALUE"""),"221750097-1")</f>
        <v>221750097-1</v>
      </c>
      <c r="B1755" s="6" t="str">
        <f>IFERROR(__xludf.DUMMYFUNCTION("""COMPUTED_VALUE"""),"221750097 - Approved")</f>
        <v>221750097 - Approved</v>
      </c>
      <c r="C1755" s="6">
        <f>IFERROR(__xludf.DUMMYFUNCTION("""COMPUTED_VALUE"""),1.0)</f>
        <v>1</v>
      </c>
      <c r="D1755" s="6" t="str">
        <f>IFERROR(__xludf.DUMMYFUNCTION("""COMPUTED_VALUE"""),"T-20118-00")</f>
        <v>T-20118-00</v>
      </c>
      <c r="E1755" s="6" t="str">
        <f>IFERROR(__xludf.DUMMYFUNCTION("""COMPUTED_VALUE"""),"FILTER INSERT ASSY Waters P/N WAT088084 1 pc")</f>
        <v>FILTER INSERT ASSY Waters P/N WAT088084 1 pc</v>
      </c>
      <c r="F1755" s="6">
        <f>IFERROR(__xludf.DUMMYFUNCTION("""COMPUTED_VALUE"""),1.0)</f>
        <v>1</v>
      </c>
      <c r="G1755" s="6" t="str">
        <f>IFERROR(__xludf.DUMMYFUNCTION("""COMPUTED_VALUE"""),"Pieces")</f>
        <v>Pieces</v>
      </c>
      <c r="H1755" s="6" t="str">
        <f>IFERROR(__xludf.DUMMYFUNCTION("""COMPUTED_VALUE"""),"IDR")</f>
        <v>IDR</v>
      </c>
      <c r="I1755" s="6">
        <f>IFERROR(__xludf.DUMMYFUNCTION("""COMPUTED_VALUE"""),324870.0)</f>
        <v>324870</v>
      </c>
      <c r="J1755" s="6">
        <f>IFERROR(__xludf.DUMMYFUNCTION("""COMPUTED_VALUE"""),324870.0)</f>
        <v>324870</v>
      </c>
      <c r="K1755" s="57">
        <f>IFERROR(__xludf.DUMMYFUNCTION("""COMPUTED_VALUE"""),44645.0)</f>
        <v>44645</v>
      </c>
      <c r="L1755" s="6" t="str">
        <f>IFERROR(__xludf.DUMMYFUNCTION("""COMPUTED_VALUE"""),"FIP General")</f>
        <v>FIP General</v>
      </c>
      <c r="M1755" s="6" t="str">
        <f>IFERROR(__xludf.DUMMYFUNCTION("""COMPUTED_VALUE"""),"Irwan Sopian")</f>
        <v>Irwan Sopian</v>
      </c>
      <c r="N1755" s="6" t="str">
        <f>IFERROR(__xludf.DUMMYFUNCTION("""COMPUTED_VALUE"""),"FIP Engineering")</f>
        <v>FIP Engineering</v>
      </c>
      <c r="O1755" s="6" t="str">
        <f>IFERROR(__xludf.DUMMYFUNCTION("""COMPUTED_VALUE"""),"FIP-DOM-ENG-51505-0000000-INA-000000")</f>
        <v>FIP-DOM-ENG-51505-0000000-INA-000000</v>
      </c>
      <c r="P1755" s="6" t="str">
        <f>IFERROR(__xludf.DUMMYFUNCTION("""COMPUTED_VALUE"""),"PO Closed")</f>
        <v>PO Closed</v>
      </c>
      <c r="Q1755" s="6" t="str">
        <f>IFERROR(__xludf.DUMMYFUNCTION("""COMPUTED_VALUE"""),"GL2203052")</f>
        <v>GL2203052</v>
      </c>
      <c r="R1755" s="57">
        <f>IFERROR(__xludf.DUMMYFUNCTION("""COMPUTED_VALUE"""),44618.0)</f>
        <v>44618</v>
      </c>
      <c r="S1755" s="6" t="str">
        <f>IFERROR(__xludf.DUMMYFUNCTION("""COMPUTED_VALUE"""),"-")</f>
        <v>-</v>
      </c>
      <c r="T1755" s="57">
        <f>IFERROR(__xludf.DUMMYFUNCTION("""COMPUTED_VALUE"""),44659.0)</f>
        <v>44659</v>
      </c>
    </row>
    <row r="1756">
      <c r="A1756" s="6" t="str">
        <f>IFERROR(__xludf.DUMMYFUNCTION("""COMPUTED_VALUE"""),"221750097-2")</f>
        <v>221750097-2</v>
      </c>
      <c r="B1756" s="6" t="str">
        <f>IFERROR(__xludf.DUMMYFUNCTION("""COMPUTED_VALUE"""),"221750097 - Approved")</f>
        <v>221750097 - Approved</v>
      </c>
      <c r="C1756" s="6">
        <f>IFERROR(__xludf.DUMMYFUNCTION("""COMPUTED_VALUE"""),2.0)</f>
        <v>2</v>
      </c>
      <c r="D1756" s="6" t="str">
        <f>IFERROR(__xludf.DUMMYFUNCTION("""COMPUTED_VALUE"""),"T-20055-00")</f>
        <v>T-20055-00</v>
      </c>
      <c r="E1756" s="6" t="str">
        <f>IFERROR(__xludf.DUMMYFUNCTION("""COMPUTED_VALUE"""),"PerformancePlus Check Valve Cartridge Waters p/n 700002399")</f>
        <v>PerformancePlus Check Valve Cartridge Waters p/n 700002399</v>
      </c>
      <c r="F1756" s="6">
        <f>IFERROR(__xludf.DUMMYFUNCTION("""COMPUTED_VALUE"""),1.0)</f>
        <v>1</v>
      </c>
      <c r="G1756" s="6" t="str">
        <f>IFERROR(__xludf.DUMMYFUNCTION("""COMPUTED_VALUE"""),"Pieces")</f>
        <v>Pieces</v>
      </c>
      <c r="H1756" s="6" t="str">
        <f>IFERROR(__xludf.DUMMYFUNCTION("""COMPUTED_VALUE"""),"IDR")</f>
        <v>IDR</v>
      </c>
      <c r="I1756" s="6">
        <f>IFERROR(__xludf.DUMMYFUNCTION("""COMPUTED_VALUE"""),4373250.0)</f>
        <v>4373250</v>
      </c>
      <c r="J1756" s="6">
        <f>IFERROR(__xludf.DUMMYFUNCTION("""COMPUTED_VALUE"""),4373250.0)</f>
        <v>4373250</v>
      </c>
      <c r="K1756" s="57">
        <f>IFERROR(__xludf.DUMMYFUNCTION("""COMPUTED_VALUE"""),44645.0)</f>
        <v>44645</v>
      </c>
      <c r="L1756" s="6" t="str">
        <f>IFERROR(__xludf.DUMMYFUNCTION("""COMPUTED_VALUE"""),"FIP General")</f>
        <v>FIP General</v>
      </c>
      <c r="M1756" s="6" t="str">
        <f>IFERROR(__xludf.DUMMYFUNCTION("""COMPUTED_VALUE"""),"Irwan Sopian")</f>
        <v>Irwan Sopian</v>
      </c>
      <c r="N1756" s="6" t="str">
        <f>IFERROR(__xludf.DUMMYFUNCTION("""COMPUTED_VALUE"""),"FIP Engineering")</f>
        <v>FIP Engineering</v>
      </c>
      <c r="O1756" s="6" t="str">
        <f>IFERROR(__xludf.DUMMYFUNCTION("""COMPUTED_VALUE"""),"FIP-DOM-ENG-51505-0000000-INA-000000")</f>
        <v>FIP-DOM-ENG-51505-0000000-INA-000000</v>
      </c>
      <c r="P1756" s="6" t="str">
        <f>IFERROR(__xludf.DUMMYFUNCTION("""COMPUTED_VALUE"""),"PO Closed")</f>
        <v>PO Closed</v>
      </c>
      <c r="Q1756" s="6" t="str">
        <f>IFERROR(__xludf.DUMMYFUNCTION("""COMPUTED_VALUE"""),"GL2203052")</f>
        <v>GL2203052</v>
      </c>
      <c r="R1756" s="57">
        <f>IFERROR(__xludf.DUMMYFUNCTION("""COMPUTED_VALUE"""),44618.0)</f>
        <v>44618</v>
      </c>
      <c r="S1756" s="6" t="str">
        <f>IFERROR(__xludf.DUMMYFUNCTION("""COMPUTED_VALUE"""),"-")</f>
        <v>-</v>
      </c>
      <c r="T1756" s="57">
        <f>IFERROR(__xludf.DUMMYFUNCTION("""COMPUTED_VALUE"""),44659.0)</f>
        <v>44659</v>
      </c>
    </row>
    <row r="1757">
      <c r="A1757" s="6" t="str">
        <f>IFERROR(__xludf.DUMMYFUNCTION("""COMPUTED_VALUE"""),"221750097-3")</f>
        <v>221750097-3</v>
      </c>
      <c r="B1757" s="6" t="str">
        <f>IFERROR(__xludf.DUMMYFUNCTION("""COMPUTED_VALUE"""),"221750097 - Approved")</f>
        <v>221750097 - Approved</v>
      </c>
      <c r="C1757" s="6">
        <f>IFERROR(__xludf.DUMMYFUNCTION("""COMPUTED_VALUE"""),3.0)</f>
        <v>3</v>
      </c>
      <c r="D1757" s="6" t="str">
        <f>IFERROR(__xludf.DUMMYFUNCTION("""COMPUTED_VALUE"""),"T-20041-00")</f>
        <v>T-20041-00</v>
      </c>
      <c r="E1757" s="6" t="str">
        <f>IFERROR(__xludf.DUMMYFUNCTION("""COMPUTED_VALUE"""),"Fitting SS WATERS c/n WAT025604 5pc per pack")</f>
        <v>Fitting SS WATERS c/n WAT025604 5pc per pack</v>
      </c>
      <c r="F1757" s="6">
        <f>IFERROR(__xludf.DUMMYFUNCTION("""COMPUTED_VALUE"""),1.0)</f>
        <v>1</v>
      </c>
      <c r="G1757" s="6" t="str">
        <f>IFERROR(__xludf.DUMMYFUNCTION("""COMPUTED_VALUE"""),"Pieces")</f>
        <v>Pieces</v>
      </c>
      <c r="H1757" s="6" t="str">
        <f>IFERROR(__xludf.DUMMYFUNCTION("""COMPUTED_VALUE"""),"IDR")</f>
        <v>IDR</v>
      </c>
      <c r="I1757" s="6">
        <f>IFERROR(__xludf.DUMMYFUNCTION("""COMPUTED_VALUE"""),1374450.0)</f>
        <v>1374450</v>
      </c>
      <c r="J1757" s="6">
        <f>IFERROR(__xludf.DUMMYFUNCTION("""COMPUTED_VALUE"""),1374450.0)</f>
        <v>1374450</v>
      </c>
      <c r="K1757" s="57">
        <f>IFERROR(__xludf.DUMMYFUNCTION("""COMPUTED_VALUE"""),44645.0)</f>
        <v>44645</v>
      </c>
      <c r="L1757" s="6" t="str">
        <f>IFERROR(__xludf.DUMMYFUNCTION("""COMPUTED_VALUE"""),"FIP General")</f>
        <v>FIP General</v>
      </c>
      <c r="M1757" s="6" t="str">
        <f>IFERROR(__xludf.DUMMYFUNCTION("""COMPUTED_VALUE"""),"Irwan Sopian")</f>
        <v>Irwan Sopian</v>
      </c>
      <c r="N1757" s="6" t="str">
        <f>IFERROR(__xludf.DUMMYFUNCTION("""COMPUTED_VALUE"""),"FIP Engineering")</f>
        <v>FIP Engineering</v>
      </c>
      <c r="O1757" s="6" t="str">
        <f>IFERROR(__xludf.DUMMYFUNCTION("""COMPUTED_VALUE"""),"FIP-DOM-ENG-51505-0000000-INA-000000")</f>
        <v>FIP-DOM-ENG-51505-0000000-INA-000000</v>
      </c>
      <c r="P1757" s="6" t="str">
        <f>IFERROR(__xludf.DUMMYFUNCTION("""COMPUTED_VALUE"""),"PO Closed")</f>
        <v>PO Closed</v>
      </c>
      <c r="Q1757" s="6" t="str">
        <f>IFERROR(__xludf.DUMMYFUNCTION("""COMPUTED_VALUE"""),"GL2203052")</f>
        <v>GL2203052</v>
      </c>
      <c r="R1757" s="57">
        <f>IFERROR(__xludf.DUMMYFUNCTION("""COMPUTED_VALUE"""),44618.0)</f>
        <v>44618</v>
      </c>
      <c r="S1757" s="6" t="str">
        <f>IFERROR(__xludf.DUMMYFUNCTION("""COMPUTED_VALUE"""),"-")</f>
        <v>-</v>
      </c>
      <c r="T1757" s="57">
        <f>IFERROR(__xludf.DUMMYFUNCTION("""COMPUTED_VALUE"""),44659.0)</f>
        <v>44659</v>
      </c>
    </row>
    <row r="1758">
      <c r="A1758" s="6" t="str">
        <f>IFERROR(__xludf.DUMMYFUNCTION("""COMPUTED_VALUE"""),"221750097-4")</f>
        <v>221750097-4</v>
      </c>
      <c r="B1758" s="6" t="str">
        <f>IFERROR(__xludf.DUMMYFUNCTION("""COMPUTED_VALUE"""),"221750097 - Approved")</f>
        <v>221750097 - Approved</v>
      </c>
      <c r="C1758" s="6">
        <f>IFERROR(__xludf.DUMMYFUNCTION("""COMPUTED_VALUE"""),4.0)</f>
        <v>4</v>
      </c>
      <c r="D1758" s="6" t="str">
        <f>IFERROR(__xludf.DUMMYFUNCTION("""COMPUTED_VALUE"""),"T-20851-00")</f>
        <v>T-20851-00</v>
      </c>
      <c r="E1758" s="6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F1758" s="6">
        <f>IFERROR(__xludf.DUMMYFUNCTION("""COMPUTED_VALUE"""),2.0)</f>
        <v>2</v>
      </c>
      <c r="G1758" s="6" t="str">
        <f>IFERROR(__xludf.DUMMYFUNCTION("""COMPUTED_VALUE"""),"Pack")</f>
        <v>Pack</v>
      </c>
      <c r="H1758" s="6" t="str">
        <f>IFERROR(__xludf.DUMMYFUNCTION("""COMPUTED_VALUE"""),"IDR")</f>
        <v>IDR</v>
      </c>
      <c r="I1758" s="6">
        <f>IFERROR(__xludf.DUMMYFUNCTION("""COMPUTED_VALUE"""),2623950.0)</f>
        <v>2623950</v>
      </c>
      <c r="J1758" s="6">
        <f>IFERROR(__xludf.DUMMYFUNCTION("""COMPUTED_VALUE"""),5247900.0)</f>
        <v>5247900</v>
      </c>
      <c r="K1758" s="57">
        <f>IFERROR(__xludf.DUMMYFUNCTION("""COMPUTED_VALUE"""),44645.0)</f>
        <v>44645</v>
      </c>
      <c r="L1758" s="6" t="str">
        <f>IFERROR(__xludf.DUMMYFUNCTION("""COMPUTED_VALUE"""),"FIP General")</f>
        <v>FIP General</v>
      </c>
      <c r="M1758" s="6" t="str">
        <f>IFERROR(__xludf.DUMMYFUNCTION("""COMPUTED_VALUE"""),"Irwan Sopian")</f>
        <v>Irwan Sopian</v>
      </c>
      <c r="N1758" s="6" t="str">
        <f>IFERROR(__xludf.DUMMYFUNCTION("""COMPUTED_VALUE"""),"FIP Engineering")</f>
        <v>FIP Engineering</v>
      </c>
      <c r="O1758" s="6" t="str">
        <f>IFERROR(__xludf.DUMMYFUNCTION("""COMPUTED_VALUE"""),"FIP-DOM-ENG-51404-0000000-INA-000000")</f>
        <v>FIP-DOM-ENG-51404-0000000-INA-000000</v>
      </c>
      <c r="P1758" s="6" t="str">
        <f>IFERROR(__xludf.DUMMYFUNCTION("""COMPUTED_VALUE"""),"PO Closed")</f>
        <v>PO Closed</v>
      </c>
      <c r="Q1758" s="6" t="str">
        <f>IFERROR(__xludf.DUMMYFUNCTION("""COMPUTED_VALUE"""),"GL2203052")</f>
        <v>GL2203052</v>
      </c>
      <c r="R1758" s="57">
        <f>IFERROR(__xludf.DUMMYFUNCTION("""COMPUTED_VALUE"""),44618.0)</f>
        <v>44618</v>
      </c>
      <c r="S1758" s="6" t="str">
        <f>IFERROR(__xludf.DUMMYFUNCTION("""COMPUTED_VALUE"""),"-")</f>
        <v>-</v>
      </c>
      <c r="T1758" s="57">
        <f>IFERROR(__xludf.DUMMYFUNCTION("""COMPUTED_VALUE"""),44659.0)</f>
        <v>44659</v>
      </c>
    </row>
    <row r="1759">
      <c r="A1759" s="6" t="str">
        <f>IFERROR(__xludf.DUMMYFUNCTION("""COMPUTED_VALUE"""),"221750097-5")</f>
        <v>221750097-5</v>
      </c>
      <c r="B1759" s="6" t="str">
        <f>IFERROR(__xludf.DUMMYFUNCTION("""COMPUTED_VALUE"""),"221750097 - Approved")</f>
        <v>221750097 - Approved</v>
      </c>
      <c r="C1759" s="6">
        <f>IFERROR(__xludf.DUMMYFUNCTION("""COMPUTED_VALUE"""),5.0)</f>
        <v>5</v>
      </c>
      <c r="D1759" s="6" t="str">
        <f>IFERROR(__xludf.DUMMYFUNCTION("""COMPUTED_VALUE"""),"T-20123-00")</f>
        <v>T-20123-00</v>
      </c>
      <c r="E1759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759" s="6">
        <f>IFERROR(__xludf.DUMMYFUNCTION("""COMPUTED_VALUE"""),1.0)</f>
        <v>1</v>
      </c>
      <c r="G1759" s="6" t="str">
        <f>IFERROR(__xludf.DUMMYFUNCTION("""COMPUTED_VALUE"""),"Pieces")</f>
        <v>Pieces</v>
      </c>
      <c r="H1759" s="6" t="str">
        <f>IFERROR(__xludf.DUMMYFUNCTION("""COMPUTED_VALUE"""),"IDR")</f>
        <v>IDR</v>
      </c>
      <c r="I1759" s="6">
        <f>IFERROR(__xludf.DUMMYFUNCTION("""COMPUTED_VALUE"""),1.0859355E7)</f>
        <v>10859355</v>
      </c>
      <c r="J1759" s="6">
        <f>IFERROR(__xludf.DUMMYFUNCTION("""COMPUTED_VALUE"""),1.0859355E7)</f>
        <v>10859355</v>
      </c>
      <c r="K1759" s="57">
        <f>IFERROR(__xludf.DUMMYFUNCTION("""COMPUTED_VALUE"""),44645.0)</f>
        <v>44645</v>
      </c>
      <c r="L1759" s="6" t="str">
        <f>IFERROR(__xludf.DUMMYFUNCTION("""COMPUTED_VALUE"""),"FIP General")</f>
        <v>FIP General</v>
      </c>
      <c r="M1759" s="6" t="str">
        <f>IFERROR(__xludf.DUMMYFUNCTION("""COMPUTED_VALUE"""),"Irwan Sopian")</f>
        <v>Irwan Sopian</v>
      </c>
      <c r="N1759" s="6" t="str">
        <f>IFERROR(__xludf.DUMMYFUNCTION("""COMPUTED_VALUE"""),"FIP Engineering")</f>
        <v>FIP Engineering</v>
      </c>
      <c r="O1759" s="6" t="str">
        <f>IFERROR(__xludf.DUMMYFUNCTION("""COMPUTED_VALUE"""),"FIP-DOM-ENG-51505-0000000-INA-000000")</f>
        <v>FIP-DOM-ENG-51505-0000000-INA-000000</v>
      </c>
      <c r="P1759" s="6" t="str">
        <f>IFERROR(__xludf.DUMMYFUNCTION("""COMPUTED_VALUE"""),"PO Closed")</f>
        <v>PO Closed</v>
      </c>
      <c r="Q1759" s="6" t="str">
        <f>IFERROR(__xludf.DUMMYFUNCTION("""COMPUTED_VALUE"""),"GL2204019")</f>
        <v>GL2204019</v>
      </c>
      <c r="R1759" s="57">
        <f>IFERROR(__xludf.DUMMYFUNCTION("""COMPUTED_VALUE"""),44618.0)</f>
        <v>44618</v>
      </c>
      <c r="S1759" s="6" t="str">
        <f>IFERROR(__xludf.DUMMYFUNCTION("""COMPUTED_VALUE"""),"-")</f>
        <v>-</v>
      </c>
      <c r="T1759" s="57">
        <f>IFERROR(__xludf.DUMMYFUNCTION("""COMPUTED_VALUE"""),44680.0)</f>
        <v>44680</v>
      </c>
    </row>
    <row r="1760">
      <c r="A1760" s="6" t="str">
        <f>IFERROR(__xludf.DUMMYFUNCTION("""COMPUTED_VALUE"""),"221750109-1")</f>
        <v>221750109-1</v>
      </c>
      <c r="B1760" s="6" t="str">
        <f>IFERROR(__xludf.DUMMYFUNCTION("""COMPUTED_VALUE"""),"221750109 - Approved")</f>
        <v>221750109 - Approved</v>
      </c>
      <c r="C1760" s="6">
        <f>IFERROR(__xludf.DUMMYFUNCTION("""COMPUTED_VALUE"""),1.0)</f>
        <v>1</v>
      </c>
      <c r="D1760" s="6" t="str">
        <f>IFERROR(__xludf.DUMMYFUNCTION("""COMPUTED_VALUE"""),"R-20002-00")</f>
        <v>R-20002-00</v>
      </c>
      <c r="E1760" s="6" t="str">
        <f>IFERROR(__xludf.DUMMYFUNCTION("""COMPUTED_VALUE"""),"Penambahan 2 Instrument Flowmeter CA dan STEAM di system Equipmon")</f>
        <v>Penambahan 2 Instrument Flowmeter CA dan STEAM di system Equipmon</v>
      </c>
      <c r="F1760" s="6">
        <f>IFERROR(__xludf.DUMMYFUNCTION("""COMPUTED_VALUE"""),2.0)</f>
        <v>2</v>
      </c>
      <c r="G1760" s="6" t="str">
        <f>IFERROR(__xludf.DUMMYFUNCTION("""COMPUTED_VALUE"""),"Unit")</f>
        <v>Unit</v>
      </c>
      <c r="H1760" s="6" t="str">
        <f>IFERROR(__xludf.DUMMYFUNCTION("""COMPUTED_VALUE"""),"IDR")</f>
        <v>IDR</v>
      </c>
      <c r="I1760" s="6">
        <f>IFERROR(__xludf.DUMMYFUNCTION("""COMPUTED_VALUE"""),1750000.0)</f>
        <v>1750000</v>
      </c>
      <c r="J1760" s="6">
        <f>IFERROR(__xludf.DUMMYFUNCTION("""COMPUTED_VALUE"""),3500000.0)</f>
        <v>3500000</v>
      </c>
      <c r="K1760" s="57">
        <f>IFERROR(__xludf.DUMMYFUNCTION("""COMPUTED_VALUE"""),44673.0)</f>
        <v>44673</v>
      </c>
      <c r="L1760" s="6" t="str">
        <f>IFERROR(__xludf.DUMMYFUNCTION("""COMPUTED_VALUE"""),"FIP General")</f>
        <v>FIP General</v>
      </c>
      <c r="M1760" s="6" t="str">
        <f>IFERROR(__xludf.DUMMYFUNCTION("""COMPUTED_VALUE"""),"Kristiawan Sakti Winarno")</f>
        <v>Kristiawan Sakti Winarno</v>
      </c>
      <c r="N1760" s="6" t="str">
        <f>IFERROR(__xludf.DUMMYFUNCTION("""COMPUTED_VALUE"""),"FIP Engineering")</f>
        <v>FIP Engineering</v>
      </c>
      <c r="O1760" s="6" t="str">
        <f>IFERROR(__xludf.DUMMYFUNCTION("""COMPUTED_VALUE"""),"FIP-DOM-ENG-13405-EQ22016-INA-000000")</f>
        <v>FIP-DOM-ENG-13405-EQ22016-INA-000000</v>
      </c>
      <c r="P1760" s="6" t="str">
        <f>IFERROR(__xludf.DUMMYFUNCTION("""COMPUTED_VALUE"""),"PO Closed")</f>
        <v>PO Closed</v>
      </c>
      <c r="Q1760" s="6" t="str">
        <f>IFERROR(__xludf.DUMMYFUNCTION("""COMPUTED_VALUE"""),"GL2204020")</f>
        <v>GL2204020</v>
      </c>
      <c r="R1760" s="57">
        <f>IFERROR(__xludf.DUMMYFUNCTION("""COMPUTED_VALUE"""),44621.0)</f>
        <v>44621</v>
      </c>
      <c r="S1760" s="6" t="str">
        <f>IFERROR(__xludf.DUMMYFUNCTION("""COMPUTED_VALUE"""),"-")</f>
        <v>-</v>
      </c>
      <c r="T1760" s="57">
        <f>IFERROR(__xludf.DUMMYFUNCTION("""COMPUTED_VALUE"""),44676.0)</f>
        <v>44676</v>
      </c>
    </row>
    <row r="1761">
      <c r="A1761" s="6" t="str">
        <f>IFERROR(__xludf.DUMMYFUNCTION("""COMPUTED_VALUE"""),"221750109-2")</f>
        <v>221750109-2</v>
      </c>
      <c r="B1761" s="6" t="str">
        <f>IFERROR(__xludf.DUMMYFUNCTION("""COMPUTED_VALUE"""),"221750109 - Approved")</f>
        <v>221750109 - Approved</v>
      </c>
      <c r="C1761" s="6">
        <f>IFERROR(__xludf.DUMMYFUNCTION("""COMPUTED_VALUE"""),2.0)</f>
        <v>2</v>
      </c>
      <c r="D1761" s="6" t="str">
        <f>IFERROR(__xludf.DUMMYFUNCTION("""COMPUTED_VALUE"""),"R-20002-00")</f>
        <v>R-20002-00</v>
      </c>
      <c r="E1761" s="6" t="str">
        <f>IFERROR(__xludf.DUMMYFUNCTION("""COMPUTED_VALUE"""),"Modul Alarm dan Set Value")</f>
        <v>Modul Alarm dan Set Value</v>
      </c>
      <c r="F1761" s="6">
        <f>IFERROR(__xludf.DUMMYFUNCTION("""COMPUTED_VALUE"""),1.0)</f>
        <v>1</v>
      </c>
      <c r="G1761" s="6" t="str">
        <f>IFERROR(__xludf.DUMMYFUNCTION("""COMPUTED_VALUE"""),"Unit")</f>
        <v>Unit</v>
      </c>
      <c r="H1761" s="6" t="str">
        <f>IFERROR(__xludf.DUMMYFUNCTION("""COMPUTED_VALUE"""),"IDR")</f>
        <v>IDR</v>
      </c>
      <c r="I1761" s="6">
        <f>IFERROR(__xludf.DUMMYFUNCTION("""COMPUTED_VALUE"""),2300000.0)</f>
        <v>2300000</v>
      </c>
      <c r="J1761" s="6">
        <f>IFERROR(__xludf.DUMMYFUNCTION("""COMPUTED_VALUE"""),2300000.0)</f>
        <v>2300000</v>
      </c>
      <c r="K1761" s="57">
        <f>IFERROR(__xludf.DUMMYFUNCTION("""COMPUTED_VALUE"""),44673.0)</f>
        <v>44673</v>
      </c>
      <c r="L1761" s="6" t="str">
        <f>IFERROR(__xludf.DUMMYFUNCTION("""COMPUTED_VALUE"""),"FIP General")</f>
        <v>FIP General</v>
      </c>
      <c r="M1761" s="6" t="str">
        <f>IFERROR(__xludf.DUMMYFUNCTION("""COMPUTED_VALUE"""),"Kristiawan Sakti Winarno")</f>
        <v>Kristiawan Sakti Winarno</v>
      </c>
      <c r="N1761" s="6" t="str">
        <f>IFERROR(__xludf.DUMMYFUNCTION("""COMPUTED_VALUE"""),"FIP Engineering")</f>
        <v>FIP Engineering</v>
      </c>
      <c r="O1761" s="6" t="str">
        <f>IFERROR(__xludf.DUMMYFUNCTION("""COMPUTED_VALUE"""),"FIP-DOM-ENG-13405-EQ22016-INA-000000")</f>
        <v>FIP-DOM-ENG-13405-EQ22016-INA-000000</v>
      </c>
      <c r="P1761" s="6" t="str">
        <f>IFERROR(__xludf.DUMMYFUNCTION("""COMPUTED_VALUE"""),"PO Closed")</f>
        <v>PO Closed</v>
      </c>
      <c r="Q1761" s="6" t="str">
        <f>IFERROR(__xludf.DUMMYFUNCTION("""COMPUTED_VALUE"""),"GL2204020")</f>
        <v>GL2204020</v>
      </c>
      <c r="R1761" s="57">
        <f>IFERROR(__xludf.DUMMYFUNCTION("""COMPUTED_VALUE"""),44621.0)</f>
        <v>44621</v>
      </c>
      <c r="S1761" s="6" t="str">
        <f>IFERROR(__xludf.DUMMYFUNCTION("""COMPUTED_VALUE"""),"-")</f>
        <v>-</v>
      </c>
      <c r="T1761" s="57">
        <f>IFERROR(__xludf.DUMMYFUNCTION("""COMPUTED_VALUE"""),44676.0)</f>
        <v>44676</v>
      </c>
    </row>
    <row r="1762">
      <c r="A1762" s="6" t="str">
        <f>IFERROR(__xludf.DUMMYFUNCTION("""COMPUTED_VALUE"""),"221750108-1")</f>
        <v>221750108-1</v>
      </c>
      <c r="B1762" s="6" t="str">
        <f>IFERROR(__xludf.DUMMYFUNCTION("""COMPUTED_VALUE"""),"221750108 - Approved")</f>
        <v>221750108 - Approved</v>
      </c>
      <c r="C1762" s="6">
        <f>IFERROR(__xludf.DUMMYFUNCTION("""COMPUTED_VALUE"""),1.0)</f>
        <v>1</v>
      </c>
      <c r="D1762" s="6" t="str">
        <f>IFERROR(__xludf.DUMMYFUNCTION("""COMPUTED_VALUE"""),"P-51781-00")</f>
        <v>P-51781-00</v>
      </c>
      <c r="E1762" s="6" t="str">
        <f>IFERROR(__xludf.DUMMYFUNCTION("""COMPUTED_VALUE"""),"Digital Temperature Switch Type : TS2-021 Voltage : 230 VAC Brand: Dwyer")</f>
        <v>Digital Temperature Switch Type : TS2-021 Voltage : 230 VAC Brand: Dwyer</v>
      </c>
      <c r="F1762" s="6">
        <f>IFERROR(__xludf.DUMMYFUNCTION("""COMPUTED_VALUE"""),2.0)</f>
        <v>2</v>
      </c>
      <c r="G1762" s="6" t="str">
        <f>IFERROR(__xludf.DUMMYFUNCTION("""COMPUTED_VALUE"""),"Unit")</f>
        <v>Unit</v>
      </c>
      <c r="H1762" s="6" t="str">
        <f>IFERROR(__xludf.DUMMYFUNCTION("""COMPUTED_VALUE"""),"IDR")</f>
        <v>IDR</v>
      </c>
      <c r="I1762" s="6">
        <f>IFERROR(__xludf.DUMMYFUNCTION("""COMPUTED_VALUE"""),1581000.0)</f>
        <v>1581000</v>
      </c>
      <c r="J1762" s="6">
        <f>IFERROR(__xludf.DUMMYFUNCTION("""COMPUTED_VALUE"""),3162000.0)</f>
        <v>3162000</v>
      </c>
      <c r="K1762" s="57">
        <f>IFERROR(__xludf.DUMMYFUNCTION("""COMPUTED_VALUE"""),44652.0)</f>
        <v>44652</v>
      </c>
      <c r="L1762" s="6" t="str">
        <f>IFERROR(__xludf.DUMMYFUNCTION("""COMPUTED_VALUE"""),"FIP Engineering")</f>
        <v>FIP Engineering</v>
      </c>
      <c r="M1762" s="6" t="str">
        <f>IFERROR(__xludf.DUMMYFUNCTION("""COMPUTED_VALUE"""),"Irwan Sopian")</f>
        <v>Irwan Sopian</v>
      </c>
      <c r="N1762" s="6" t="str">
        <f>IFERROR(__xludf.DUMMYFUNCTION("""COMPUTED_VALUE"""),"FIP Engineering")</f>
        <v>FIP Engineering</v>
      </c>
      <c r="O1762" s="6" t="str">
        <f>IFERROR(__xludf.DUMMYFUNCTION("""COMPUTED_VALUE"""),"FIP-DOM-000-11304-OS00001-INA-000000")</f>
        <v>FIP-DOM-000-11304-OS00001-INA-000000</v>
      </c>
      <c r="P1762" s="6" t="str">
        <f>IFERROR(__xludf.DUMMYFUNCTION("""COMPUTED_VALUE"""),"PO Closed")</f>
        <v>PO Closed</v>
      </c>
      <c r="Q1762" s="6" t="str">
        <f>IFERROR(__xludf.DUMMYFUNCTION("""COMPUTED_VALUE"""),"GL2204044")</f>
        <v>GL2204044</v>
      </c>
      <c r="R1762" s="57">
        <f>IFERROR(__xludf.DUMMYFUNCTION("""COMPUTED_VALUE"""),44621.0)</f>
        <v>44621</v>
      </c>
      <c r="S1762" s="6" t="str">
        <f>IFERROR(__xludf.DUMMYFUNCTION("""COMPUTED_VALUE"""),"-")</f>
        <v>-</v>
      </c>
      <c r="T1762" s="57">
        <f>IFERROR(__xludf.DUMMYFUNCTION("""COMPUTED_VALUE"""),44680.0)</f>
        <v>44680</v>
      </c>
    </row>
    <row r="1763">
      <c r="A1763" s="6" t="str">
        <f>IFERROR(__xludf.DUMMYFUNCTION("""COMPUTED_VALUE"""),"221750107-1")</f>
        <v>221750107-1</v>
      </c>
      <c r="B1763" s="6" t="str">
        <f>IFERROR(__xludf.DUMMYFUNCTION("""COMPUTED_VALUE"""),"221750107 - Approved")</f>
        <v>221750107 - Approved</v>
      </c>
      <c r="C1763" s="6">
        <f>IFERROR(__xludf.DUMMYFUNCTION("""COMPUTED_VALUE"""),1.0)</f>
        <v>1</v>
      </c>
      <c r="D1763" s="6" t="str">
        <f>IFERROR(__xludf.DUMMYFUNCTION("""COMPUTED_VALUE"""),"P-17347-00")</f>
        <v>P-17347-00</v>
      </c>
      <c r="E1763" s="6" t="str">
        <f>IFERROR(__xludf.DUMMYFUNCTION("""COMPUTED_VALUE"""),"Pre Filter G4 2m x 20m x 2mm")</f>
        <v>Pre Filter G4 2m x 20m x 2mm</v>
      </c>
      <c r="F1763" s="6">
        <f>IFERROR(__xludf.DUMMYFUNCTION("""COMPUTED_VALUE"""),1.0)</f>
        <v>1</v>
      </c>
      <c r="G1763" s="6" t="str">
        <f>IFERROR(__xludf.DUMMYFUNCTION("""COMPUTED_VALUE"""),"Pieces")</f>
        <v>Pieces</v>
      </c>
      <c r="H1763" s="6" t="str">
        <f>IFERROR(__xludf.DUMMYFUNCTION("""COMPUTED_VALUE"""),"IDR")</f>
        <v>IDR</v>
      </c>
      <c r="I1763" s="6">
        <f>IFERROR(__xludf.DUMMYFUNCTION("""COMPUTED_VALUE"""),2200000.0)</f>
        <v>2200000</v>
      </c>
      <c r="J1763" s="6">
        <f>IFERROR(__xludf.DUMMYFUNCTION("""COMPUTED_VALUE"""),2200000.0)</f>
        <v>2200000</v>
      </c>
      <c r="K1763" s="57">
        <f>IFERROR(__xludf.DUMMYFUNCTION("""COMPUTED_VALUE"""),44651.0)</f>
        <v>44651</v>
      </c>
      <c r="L1763" s="6" t="str">
        <f>IFERROR(__xludf.DUMMYFUNCTION("""COMPUTED_VALUE"""),"FIP Engineering")</f>
        <v>FIP Engineering</v>
      </c>
      <c r="M1763" s="6" t="str">
        <f>IFERROR(__xludf.DUMMYFUNCTION("""COMPUTED_VALUE"""),"Irwan Sopian")</f>
        <v>Irwan Sopian</v>
      </c>
      <c r="N1763" s="6" t="str">
        <f>IFERROR(__xludf.DUMMYFUNCTION("""COMPUTED_VALUE"""),"FIP Engineering")</f>
        <v>FIP Engineering</v>
      </c>
      <c r="O1763" s="6" t="str">
        <f>IFERROR(__xludf.DUMMYFUNCTION("""COMPUTED_VALUE"""),"FIP-DOM-000-11304-OS00001-INA-000000")</f>
        <v>FIP-DOM-000-11304-OS00001-INA-000000</v>
      </c>
      <c r="P1763" s="6" t="str">
        <f>IFERROR(__xludf.DUMMYFUNCTION("""COMPUTED_VALUE"""),"PO Closed")</f>
        <v>PO Closed</v>
      </c>
      <c r="Q1763" s="6" t="str">
        <f>IFERROR(__xludf.DUMMYFUNCTION("""COMPUTED_VALUE"""),"GL2204002")</f>
        <v>GL2204002</v>
      </c>
      <c r="R1763" s="57">
        <f>IFERROR(__xludf.DUMMYFUNCTION("""COMPUTED_VALUE"""),44621.0)</f>
        <v>44621</v>
      </c>
      <c r="S1763" s="6" t="str">
        <f>IFERROR(__xludf.DUMMYFUNCTION("""COMPUTED_VALUE"""),"-")</f>
        <v>-</v>
      </c>
      <c r="T1763" s="57">
        <f>IFERROR(__xludf.DUMMYFUNCTION("""COMPUTED_VALUE"""),44661.0)</f>
        <v>44661</v>
      </c>
    </row>
    <row r="1764">
      <c r="A1764" s="6" t="str">
        <f>IFERROR(__xludf.DUMMYFUNCTION("""COMPUTED_VALUE"""),"221750106-1")</f>
        <v>221750106-1</v>
      </c>
      <c r="B1764" s="6" t="str">
        <f>IFERROR(__xludf.DUMMYFUNCTION("""COMPUTED_VALUE"""),"221750106 - Approved")</f>
        <v>221750106 - Approved</v>
      </c>
      <c r="C1764" s="6">
        <f>IFERROR(__xludf.DUMMYFUNCTION("""COMPUTED_VALUE"""),1.0)</f>
        <v>1</v>
      </c>
      <c r="D1764" s="6" t="str">
        <f>IFERROR(__xludf.DUMMYFUNCTION("""COMPUTED_VALUE"""),"T-20791-00")</f>
        <v>T-20791-00</v>
      </c>
      <c r="E1764" s="6" t="str">
        <f>IFERROR(__xludf.DUMMYFUNCTION("""COMPUTED_VALUE"""),"Heater/Cooler Engine 2690 Waters700001066")</f>
        <v>Heater/Cooler Engine 2690 Waters700001066</v>
      </c>
      <c r="F1764" s="6">
        <f>IFERROR(__xludf.DUMMYFUNCTION("""COMPUTED_VALUE"""),1.0)</f>
        <v>1</v>
      </c>
      <c r="G1764" s="6" t="str">
        <f>IFERROR(__xludf.DUMMYFUNCTION("""COMPUTED_VALUE"""),"Unit")</f>
        <v>Unit</v>
      </c>
      <c r="H1764" s="6" t="str">
        <f>IFERROR(__xludf.DUMMYFUNCTION("""COMPUTED_VALUE"""),"USD")</f>
        <v>USD</v>
      </c>
      <c r="I1764" s="6">
        <f>IFERROR(__xludf.DUMMYFUNCTION("""COMPUTED_VALUE"""),2097.0)</f>
        <v>2097</v>
      </c>
      <c r="J1764" s="6">
        <f>IFERROR(__xludf.DUMMYFUNCTION("""COMPUTED_VALUE"""),2097.0)</f>
        <v>2097</v>
      </c>
      <c r="K1764" s="57">
        <f>IFERROR(__xludf.DUMMYFUNCTION("""COMPUTED_VALUE"""),44673.0)</f>
        <v>44673</v>
      </c>
      <c r="L1764" s="6" t="str">
        <f>IFERROR(__xludf.DUMMYFUNCTION("""COMPUTED_VALUE"""),"FIP General")</f>
        <v>FIP General</v>
      </c>
      <c r="M1764" s="6" t="str">
        <f>IFERROR(__xludf.DUMMYFUNCTION("""COMPUTED_VALUE"""),"Irwan Sopian")</f>
        <v>Irwan Sopian</v>
      </c>
      <c r="N1764" s="6" t="str">
        <f>IFERROR(__xludf.DUMMYFUNCTION("""COMPUTED_VALUE"""),"FIP Engineering")</f>
        <v>FIP Engineering</v>
      </c>
      <c r="O1764" s="6" t="str">
        <f>IFERROR(__xludf.DUMMYFUNCTION("""COMPUTED_VALUE"""),"FIP-DOM-ENG-51505-0000000-INA-000000")</f>
        <v>FIP-DOM-ENG-51505-0000000-INA-000000</v>
      </c>
      <c r="P1764" s="6" t="str">
        <f>IFERROR(__xludf.DUMMYFUNCTION("""COMPUTED_VALUE"""),"PO Closed")</f>
        <v>PO Closed</v>
      </c>
      <c r="Q1764" s="6" t="str">
        <f>IFERROR(__xludf.DUMMYFUNCTION("""COMPUTED_VALUE"""),"GL2203052")</f>
        <v>GL2203052</v>
      </c>
      <c r="R1764" s="57">
        <f>IFERROR(__xludf.DUMMYFUNCTION("""COMPUTED_VALUE"""),44621.0)</f>
        <v>44621</v>
      </c>
      <c r="S1764" s="6" t="str">
        <f>IFERROR(__xludf.DUMMYFUNCTION("""COMPUTED_VALUE"""),"-")</f>
        <v>-</v>
      </c>
      <c r="T1764" s="57">
        <f>IFERROR(__xludf.DUMMYFUNCTION("""COMPUTED_VALUE"""),44673.0)</f>
        <v>44673</v>
      </c>
    </row>
    <row r="1765">
      <c r="A1765" s="6" t="str">
        <f>IFERROR(__xludf.DUMMYFUNCTION("""COMPUTED_VALUE"""),"221750116-1")</f>
        <v>221750116-1</v>
      </c>
      <c r="B1765" s="6" t="str">
        <f>IFERROR(__xludf.DUMMYFUNCTION("""COMPUTED_VALUE"""),"221750116 - Approved")</f>
        <v>221750116 - Approved</v>
      </c>
      <c r="C1765" s="6">
        <f>IFERROR(__xludf.DUMMYFUNCTION("""COMPUTED_VALUE"""),1.0)</f>
        <v>1</v>
      </c>
      <c r="D1765" s="6" t="str">
        <f>IFERROR(__xludf.DUMMYFUNCTION("""COMPUTED_VALUE"""),"P-13754-00")</f>
        <v>P-13754-00</v>
      </c>
      <c r="E1765" s="6" t="str">
        <f>IFERROR(__xludf.DUMMYFUNCTION("""COMPUTED_VALUE"""),"Electronic Valve Actuator Brand : Siemens P/N : SQS65 Pack Size : pcs")</f>
        <v>Electronic Valve Actuator Brand : Siemens P/N : SQS65 Pack Size : pcs</v>
      </c>
      <c r="F1765" s="6">
        <f>IFERROR(__xludf.DUMMYFUNCTION("""COMPUTED_VALUE"""),2.0)</f>
        <v>2</v>
      </c>
      <c r="G1765" s="6" t="str">
        <f>IFERROR(__xludf.DUMMYFUNCTION("""COMPUTED_VALUE"""),"Unit")</f>
        <v>Unit</v>
      </c>
      <c r="H1765" s="6" t="str">
        <f>IFERROR(__xludf.DUMMYFUNCTION("""COMPUTED_VALUE"""),"IDR")</f>
        <v>IDR</v>
      </c>
      <c r="I1765" s="6">
        <f>IFERROR(__xludf.DUMMYFUNCTION("""COMPUTED_VALUE"""),5350000.0)</f>
        <v>5350000</v>
      </c>
      <c r="J1765" s="6">
        <f>IFERROR(__xludf.DUMMYFUNCTION("""COMPUTED_VALUE"""),1.07E7)</f>
        <v>10700000</v>
      </c>
      <c r="K1765" s="57">
        <f>IFERROR(__xludf.DUMMYFUNCTION("""COMPUTED_VALUE"""),44659.0)</f>
        <v>44659</v>
      </c>
      <c r="L1765" s="6" t="str">
        <f>IFERROR(__xludf.DUMMYFUNCTION("""COMPUTED_VALUE"""),"FIP Engineering")</f>
        <v>FIP Engineering</v>
      </c>
      <c r="M1765" s="6" t="str">
        <f>IFERROR(__xludf.DUMMYFUNCTION("""COMPUTED_VALUE"""),"Irwan Sopian")</f>
        <v>Irwan Sopian</v>
      </c>
      <c r="N1765" s="6" t="str">
        <f>IFERROR(__xludf.DUMMYFUNCTION("""COMPUTED_VALUE"""),"FIP Engineering")</f>
        <v>FIP Engineering</v>
      </c>
      <c r="O1765" s="6" t="str">
        <f>IFERROR(__xludf.DUMMYFUNCTION("""COMPUTED_VALUE"""),"FIP-DOM-000-11304-OS00001-INA-000000")</f>
        <v>FIP-DOM-000-11304-OS00001-INA-000000</v>
      </c>
      <c r="P1765" s="6" t="str">
        <f>IFERROR(__xludf.DUMMYFUNCTION("""COMPUTED_VALUE"""),"PO Closed")</f>
        <v>PO Closed</v>
      </c>
      <c r="Q1765" s="6" t="str">
        <f>IFERROR(__xludf.DUMMYFUNCTION("""COMPUTED_VALUE"""),"GL2204001")</f>
        <v>GL2204001</v>
      </c>
      <c r="R1765" s="57">
        <f>IFERROR(__xludf.DUMMYFUNCTION("""COMPUTED_VALUE"""),44624.0)</f>
        <v>44624</v>
      </c>
      <c r="S1765" s="6" t="str">
        <f>IFERROR(__xludf.DUMMYFUNCTION("""COMPUTED_VALUE"""),"-")</f>
        <v>-</v>
      </c>
      <c r="T1765" s="57">
        <f>IFERROR(__xludf.DUMMYFUNCTION("""COMPUTED_VALUE"""),44686.0)</f>
        <v>44686</v>
      </c>
    </row>
    <row r="1766">
      <c r="A1766" s="6" t="str">
        <f>IFERROR(__xludf.DUMMYFUNCTION("""COMPUTED_VALUE"""),"221750115-1")</f>
        <v>221750115-1</v>
      </c>
      <c r="B1766" s="6" t="str">
        <f>IFERROR(__xludf.DUMMYFUNCTION("""COMPUTED_VALUE"""),"221750115 - Approved")</f>
        <v>221750115 - Approved</v>
      </c>
      <c r="C1766" s="6">
        <f>IFERROR(__xludf.DUMMYFUNCTION("""COMPUTED_VALUE"""),1.0)</f>
        <v>1</v>
      </c>
      <c r="D1766" s="6" t="str">
        <f>IFERROR(__xludf.DUMMYFUNCTION("""COMPUTED_VALUE"""),"P-52214-00")</f>
        <v>P-52214-00</v>
      </c>
      <c r="E1766" s="6" t="str">
        <f>IFERROR(__xludf.DUMMYFUNCTION("""COMPUTED_VALUE"""),"Thermocouple Type PT100 dia. 6x1200mm")</f>
        <v>Thermocouple Type PT100 dia. 6x1200mm</v>
      </c>
      <c r="F1766" s="6">
        <f>IFERROR(__xludf.DUMMYFUNCTION("""COMPUTED_VALUE"""),1.0)</f>
        <v>1</v>
      </c>
      <c r="G1766" s="6" t="str">
        <f>IFERROR(__xludf.DUMMYFUNCTION("""COMPUTED_VALUE"""),"Pieces")</f>
        <v>Pieces</v>
      </c>
      <c r="H1766" s="6" t="str">
        <f>IFERROR(__xludf.DUMMYFUNCTION("""COMPUTED_VALUE"""),"IDR")</f>
        <v>IDR</v>
      </c>
      <c r="I1766" s="6">
        <f>IFERROR(__xludf.DUMMYFUNCTION("""COMPUTED_VALUE"""),950000.0)</f>
        <v>950000</v>
      </c>
      <c r="J1766" s="6">
        <f>IFERROR(__xludf.DUMMYFUNCTION("""COMPUTED_VALUE"""),950000.0)</f>
        <v>950000</v>
      </c>
      <c r="K1766" s="57">
        <f>IFERROR(__xludf.DUMMYFUNCTION("""COMPUTED_VALUE"""),44651.0)</f>
        <v>44651</v>
      </c>
      <c r="L1766" s="6" t="str">
        <f>IFERROR(__xludf.DUMMYFUNCTION("""COMPUTED_VALUE"""),"FIP Engineering")</f>
        <v>FIP Engineering</v>
      </c>
      <c r="M1766" s="6" t="str">
        <f>IFERROR(__xludf.DUMMYFUNCTION("""COMPUTED_VALUE"""),"Irwan Sopian")</f>
        <v>Irwan Sopian</v>
      </c>
      <c r="N1766" s="6" t="str">
        <f>IFERROR(__xludf.DUMMYFUNCTION("""COMPUTED_VALUE"""),"FIP Engineering")</f>
        <v>FIP Engineering</v>
      </c>
      <c r="O1766" s="6" t="str">
        <f>IFERROR(__xludf.DUMMYFUNCTION("""COMPUTED_VALUE"""),"FIP-DOM-000-11304-OS00001-INA-000000")</f>
        <v>FIP-DOM-000-11304-OS00001-INA-000000</v>
      </c>
      <c r="P1766" s="6" t="str">
        <f>IFERROR(__xludf.DUMMYFUNCTION("""COMPUTED_VALUE"""),"PO Closed")</f>
        <v>PO Closed</v>
      </c>
      <c r="Q1766" s="6" t="str">
        <f>IFERROR(__xludf.DUMMYFUNCTION("""COMPUTED_VALUE"""),"GL2204003")</f>
        <v>GL2204003</v>
      </c>
      <c r="R1766" s="57">
        <f>IFERROR(__xludf.DUMMYFUNCTION("""COMPUTED_VALUE"""),44624.0)</f>
        <v>44624</v>
      </c>
      <c r="S1766" s="6" t="str">
        <f>IFERROR(__xludf.DUMMYFUNCTION("""COMPUTED_VALUE"""),"-")</f>
        <v>-</v>
      </c>
      <c r="T1766" s="57">
        <f>IFERROR(__xludf.DUMMYFUNCTION("""COMPUTED_VALUE"""),44661.0)</f>
        <v>44661</v>
      </c>
    </row>
    <row r="1767">
      <c r="A1767" s="6" t="str">
        <f>IFERROR(__xludf.DUMMYFUNCTION("""COMPUTED_VALUE"""),"221750119-1")</f>
        <v>221750119-1</v>
      </c>
      <c r="B1767" s="6" t="str">
        <f>IFERROR(__xludf.DUMMYFUNCTION("""COMPUTED_VALUE"""),"221750119 - Approved")</f>
        <v>221750119 - Approved</v>
      </c>
      <c r="C1767" s="6">
        <f>IFERROR(__xludf.DUMMYFUNCTION("""COMPUTED_VALUE"""),1.0)</f>
        <v>1</v>
      </c>
      <c r="D1767" s="6" t="str">
        <f>IFERROR(__xludf.DUMMYFUNCTION("""COMPUTED_VALUE"""),"O-18348-00")</f>
        <v>O-18348-00</v>
      </c>
      <c r="E1767" s="6" t="str">
        <f>IFERROR(__xludf.DUMMYFUNCTION("""COMPUTED_VALUE"""),"Tunnel ST1L - Connections AISI 304 - 1/8 Inch for Tunnel Inflatable Gasket Substitution Dia. Tube 6")</f>
        <v>Tunnel ST1L - Connections AISI 304 - 1/8 Inch for Tunnel Inflatable Gasket Substitution Dia. Tube 6</v>
      </c>
      <c r="F1767" s="6">
        <f>IFERROR(__xludf.DUMMYFUNCTION("""COMPUTED_VALUE"""),1.0)</f>
        <v>1</v>
      </c>
      <c r="G1767" s="6" t="str">
        <f>IFERROR(__xludf.DUMMYFUNCTION("""COMPUTED_VALUE"""),"Pieces")</f>
        <v>Pieces</v>
      </c>
      <c r="H1767" s="6" t="str">
        <f>IFERROR(__xludf.DUMMYFUNCTION("""COMPUTED_VALUE"""),"EUR")</f>
        <v>EUR</v>
      </c>
      <c r="I1767" s="6">
        <f>IFERROR(__xludf.DUMMYFUNCTION("""COMPUTED_VALUE"""),14.08)</f>
        <v>14.08</v>
      </c>
      <c r="J1767" s="6">
        <f>IFERROR(__xludf.DUMMYFUNCTION("""COMPUTED_VALUE"""),14.08)</f>
        <v>14.08</v>
      </c>
      <c r="K1767" s="57">
        <f>IFERROR(__xludf.DUMMYFUNCTION("""COMPUTED_VALUE"""),44680.0)</f>
        <v>44680</v>
      </c>
      <c r="L1767" s="6" t="str">
        <f>IFERROR(__xludf.DUMMYFUNCTION("""COMPUTED_VALUE"""),"FIP Engineering")</f>
        <v>FIP Engineering</v>
      </c>
      <c r="M1767" s="6" t="str">
        <f>IFERROR(__xludf.DUMMYFUNCTION("""COMPUTED_VALUE"""),"Irwan Sopian")</f>
        <v>Irwan Sopian</v>
      </c>
      <c r="N1767" s="6" t="str">
        <f>IFERROR(__xludf.DUMMYFUNCTION("""COMPUTED_VALUE"""),"FIP Engineering")</f>
        <v>FIP Engineering</v>
      </c>
      <c r="O1767" s="6" t="str">
        <f>IFERROR(__xludf.DUMMYFUNCTION("""COMPUTED_VALUE"""),"FIP-DOM-000-11304-OS00001-INA-000000")</f>
        <v>FIP-DOM-000-11304-OS00001-INA-000000</v>
      </c>
      <c r="P1767" s="6" t="str">
        <f>IFERROR(__xludf.DUMMYFUNCTION("""COMPUTED_VALUE"""),"PO Closed")</f>
        <v>PO Closed</v>
      </c>
      <c r="Q1767" s="6" t="str">
        <f>IFERROR(__xludf.DUMMYFUNCTION("""COMPUTED_VALUE"""),"GL2204017")</f>
        <v>GL2204017</v>
      </c>
      <c r="R1767" s="57">
        <f>IFERROR(__xludf.DUMMYFUNCTION("""COMPUTED_VALUE"""),44627.0)</f>
        <v>44627</v>
      </c>
      <c r="S1767" s="6" t="str">
        <f>IFERROR(__xludf.DUMMYFUNCTION("""COMPUTED_VALUE"""),"-")</f>
        <v>-</v>
      </c>
      <c r="T1767" s="57">
        <f>IFERROR(__xludf.DUMMYFUNCTION("""COMPUTED_VALUE"""),44742.0)</f>
        <v>44742</v>
      </c>
    </row>
    <row r="1768">
      <c r="A1768" s="6" t="str">
        <f>IFERROR(__xludf.DUMMYFUNCTION("""COMPUTED_VALUE"""),"221750119-2")</f>
        <v>221750119-2</v>
      </c>
      <c r="B1768" s="6" t="str">
        <f>IFERROR(__xludf.DUMMYFUNCTION("""COMPUTED_VALUE"""),"221750119 - Approved")</f>
        <v>221750119 - Approved</v>
      </c>
      <c r="C1768" s="6">
        <f>IFERROR(__xludf.DUMMYFUNCTION("""COMPUTED_VALUE"""),2.0)</f>
        <v>2</v>
      </c>
      <c r="D1768" s="6" t="str">
        <f>IFERROR(__xludf.DUMMYFUNCTION("""COMPUTED_VALUE"""),"O-18347-00")</f>
        <v>O-18347-00</v>
      </c>
      <c r="E1768" s="6" t="str">
        <f>IFERROR(__xludf.DUMMYFUNCTION("""COMPUTED_VALUE"""),"Tunnel ST1L - Silicone Inflatable Gasket AIRMATIC AIR 1055 MVQ Centre length:1312 mm")</f>
        <v>Tunnel ST1L - Silicone Inflatable Gasket AIRMATIC AIR 1055 MVQ Centre length:1312 mm</v>
      </c>
      <c r="F1768" s="6">
        <f>IFERROR(__xludf.DUMMYFUNCTION("""COMPUTED_VALUE"""),1.0)</f>
        <v>1</v>
      </c>
      <c r="G1768" s="6" t="str">
        <f>IFERROR(__xludf.DUMMYFUNCTION("""COMPUTED_VALUE"""),"Pieces")</f>
        <v>Pieces</v>
      </c>
      <c r="H1768" s="6" t="str">
        <f>IFERROR(__xludf.DUMMYFUNCTION("""COMPUTED_VALUE"""),"EUR")</f>
        <v>EUR</v>
      </c>
      <c r="I1768" s="6">
        <f>IFERROR(__xludf.DUMMYFUNCTION("""COMPUTED_VALUE"""),663.68)</f>
        <v>663.68</v>
      </c>
      <c r="J1768" s="6">
        <f>IFERROR(__xludf.DUMMYFUNCTION("""COMPUTED_VALUE"""),663.68)</f>
        <v>663.68</v>
      </c>
      <c r="K1768" s="57">
        <f>IFERROR(__xludf.DUMMYFUNCTION("""COMPUTED_VALUE"""),44680.0)</f>
        <v>44680</v>
      </c>
      <c r="L1768" s="6" t="str">
        <f>IFERROR(__xludf.DUMMYFUNCTION("""COMPUTED_VALUE"""),"FIP Engineering")</f>
        <v>FIP Engineering</v>
      </c>
      <c r="M1768" s="6" t="str">
        <f>IFERROR(__xludf.DUMMYFUNCTION("""COMPUTED_VALUE"""),"Irwan Sopian")</f>
        <v>Irwan Sopian</v>
      </c>
      <c r="N1768" s="6" t="str">
        <f>IFERROR(__xludf.DUMMYFUNCTION("""COMPUTED_VALUE"""),"FIP Engineering")</f>
        <v>FIP Engineering</v>
      </c>
      <c r="O1768" s="6" t="str">
        <f>IFERROR(__xludf.DUMMYFUNCTION("""COMPUTED_VALUE"""),"FIP-DOM-000-11304-OS00001-INA-000000")</f>
        <v>FIP-DOM-000-11304-OS00001-INA-000000</v>
      </c>
      <c r="P1768" s="6" t="str">
        <f>IFERROR(__xludf.DUMMYFUNCTION("""COMPUTED_VALUE"""),"PO Closed")</f>
        <v>PO Closed</v>
      </c>
      <c r="Q1768" s="6" t="str">
        <f>IFERROR(__xludf.DUMMYFUNCTION("""COMPUTED_VALUE"""),"GL2204017")</f>
        <v>GL2204017</v>
      </c>
      <c r="R1768" s="57">
        <f>IFERROR(__xludf.DUMMYFUNCTION("""COMPUTED_VALUE"""),44627.0)</f>
        <v>44627</v>
      </c>
      <c r="S1768" s="6" t="str">
        <f>IFERROR(__xludf.DUMMYFUNCTION("""COMPUTED_VALUE"""),"-")</f>
        <v>-</v>
      </c>
      <c r="T1768" s="57">
        <f>IFERROR(__xludf.DUMMYFUNCTION("""COMPUTED_VALUE"""),44742.0)</f>
        <v>44742</v>
      </c>
    </row>
    <row r="1769">
      <c r="A1769" s="6" t="str">
        <f>IFERROR(__xludf.DUMMYFUNCTION("""COMPUTED_VALUE"""),"221750119-3")</f>
        <v>221750119-3</v>
      </c>
      <c r="B1769" s="6" t="str">
        <f>IFERROR(__xludf.DUMMYFUNCTION("""COMPUTED_VALUE"""),"221750119 - Approved")</f>
        <v>221750119 - Approved</v>
      </c>
      <c r="C1769" s="6">
        <f>IFERROR(__xludf.DUMMYFUNCTION("""COMPUTED_VALUE"""),3.0)</f>
        <v>3</v>
      </c>
      <c r="D1769" s="6" t="str">
        <f>IFERROR(__xludf.DUMMYFUNCTION("""COMPUTED_VALUE"""),"O-18346-00")</f>
        <v>O-18346-00</v>
      </c>
      <c r="E1769" s="6" t="str">
        <f>IFERROR(__xludf.DUMMYFUNCTION("""COMPUTED_VALUE"""),"Tunnel ST1L - Junction (15x15mm L=23,5mm) CA system Tight Door; ; ;")</f>
        <v>Tunnel ST1L - Junction (15x15mm L=23,5mm) CA system Tight Door; ; ;</v>
      </c>
      <c r="F1769" s="6">
        <f>IFERROR(__xludf.DUMMYFUNCTION("""COMPUTED_VALUE"""),1.0)</f>
        <v>1</v>
      </c>
      <c r="G1769" s="6" t="str">
        <f>IFERROR(__xludf.DUMMYFUNCTION("""COMPUTED_VALUE"""),"Pieces")</f>
        <v>Pieces</v>
      </c>
      <c r="H1769" s="6" t="str">
        <f>IFERROR(__xludf.DUMMYFUNCTION("""COMPUTED_VALUE"""),"EUR")</f>
        <v>EUR</v>
      </c>
      <c r="I1769" s="6">
        <f>IFERROR(__xludf.DUMMYFUNCTION("""COMPUTED_VALUE"""),35.84)</f>
        <v>35.84</v>
      </c>
      <c r="J1769" s="6">
        <f>IFERROR(__xludf.DUMMYFUNCTION("""COMPUTED_VALUE"""),35.84)</f>
        <v>35.84</v>
      </c>
      <c r="K1769" s="57">
        <f>IFERROR(__xludf.DUMMYFUNCTION("""COMPUTED_VALUE"""),44680.0)</f>
        <v>44680</v>
      </c>
      <c r="L1769" s="6" t="str">
        <f>IFERROR(__xludf.DUMMYFUNCTION("""COMPUTED_VALUE"""),"FIP Engineering")</f>
        <v>FIP Engineering</v>
      </c>
      <c r="M1769" s="6" t="str">
        <f>IFERROR(__xludf.DUMMYFUNCTION("""COMPUTED_VALUE"""),"Irwan Sopian")</f>
        <v>Irwan Sopian</v>
      </c>
      <c r="N1769" s="6" t="str">
        <f>IFERROR(__xludf.DUMMYFUNCTION("""COMPUTED_VALUE"""),"FIP Engineering")</f>
        <v>FIP Engineering</v>
      </c>
      <c r="O1769" s="6" t="str">
        <f>IFERROR(__xludf.DUMMYFUNCTION("""COMPUTED_VALUE"""),"FIP-DOM-000-11304-OS00001-INA-000000")</f>
        <v>FIP-DOM-000-11304-OS00001-INA-000000</v>
      </c>
      <c r="P1769" s="6" t="str">
        <f>IFERROR(__xludf.DUMMYFUNCTION("""COMPUTED_VALUE"""),"PO Closed")</f>
        <v>PO Closed</v>
      </c>
      <c r="Q1769" s="6" t="str">
        <f>IFERROR(__xludf.DUMMYFUNCTION("""COMPUTED_VALUE"""),"GL2204017")</f>
        <v>GL2204017</v>
      </c>
      <c r="R1769" s="57">
        <f>IFERROR(__xludf.DUMMYFUNCTION("""COMPUTED_VALUE"""),44627.0)</f>
        <v>44627</v>
      </c>
      <c r="S1769" s="6" t="str">
        <f>IFERROR(__xludf.DUMMYFUNCTION("""COMPUTED_VALUE"""),"-")</f>
        <v>-</v>
      </c>
      <c r="T1769" s="57">
        <f>IFERROR(__xludf.DUMMYFUNCTION("""COMPUTED_VALUE"""),44742.0)</f>
        <v>44742</v>
      </c>
    </row>
    <row r="1770">
      <c r="A1770" s="6" t="str">
        <f>IFERROR(__xludf.DUMMYFUNCTION("""COMPUTED_VALUE"""),"221750119-4")</f>
        <v>221750119-4</v>
      </c>
      <c r="B1770" s="6" t="str">
        <f>IFERROR(__xludf.DUMMYFUNCTION("""COMPUTED_VALUE"""),"221750119 - Approved")</f>
        <v>221750119 - Approved</v>
      </c>
      <c r="C1770" s="6">
        <f>IFERROR(__xludf.DUMMYFUNCTION("""COMPUTED_VALUE"""),4.0)</f>
        <v>4</v>
      </c>
      <c r="D1770" s="6" t="str">
        <f>IFERROR(__xludf.DUMMYFUNCTION("""COMPUTED_VALUE"""),"O-18345-00")</f>
        <v>O-18345-00</v>
      </c>
      <c r="E1770" s="6" t="str">
        <f>IFERROR(__xludf.DUMMYFUNCTION("""COMPUTED_VALUE"""),"Silicon suction cup 01.11.16 PN: 202082")</f>
        <v>Silicon suction cup 01.11.16 PN: 202082</v>
      </c>
      <c r="F1770" s="6">
        <f>IFERROR(__xludf.DUMMYFUNCTION("""COMPUTED_VALUE"""),20.0)</f>
        <v>20</v>
      </c>
      <c r="G1770" s="6" t="str">
        <f>IFERROR(__xludf.DUMMYFUNCTION("""COMPUTED_VALUE"""),"Pieces")</f>
        <v>Pieces</v>
      </c>
      <c r="H1770" s="6" t="str">
        <f>IFERROR(__xludf.DUMMYFUNCTION("""COMPUTED_VALUE"""),"EUR")</f>
        <v>EUR</v>
      </c>
      <c r="I1770" s="6">
        <f>IFERROR(__xludf.DUMMYFUNCTION("""COMPUTED_VALUE"""),5.12)</f>
        <v>5.12</v>
      </c>
      <c r="J1770" s="6">
        <f>IFERROR(__xludf.DUMMYFUNCTION("""COMPUTED_VALUE"""),102.4)</f>
        <v>102.4</v>
      </c>
      <c r="K1770" s="57">
        <f>IFERROR(__xludf.DUMMYFUNCTION("""COMPUTED_VALUE"""),44680.0)</f>
        <v>44680</v>
      </c>
      <c r="L1770" s="6" t="str">
        <f>IFERROR(__xludf.DUMMYFUNCTION("""COMPUTED_VALUE"""),"FIP Engineering")</f>
        <v>FIP Engineering</v>
      </c>
      <c r="M1770" s="6" t="str">
        <f>IFERROR(__xludf.DUMMYFUNCTION("""COMPUTED_VALUE"""),"Irwan Sopian")</f>
        <v>Irwan Sopian</v>
      </c>
      <c r="N1770" s="6" t="str">
        <f>IFERROR(__xludf.DUMMYFUNCTION("""COMPUTED_VALUE"""),"FIP Engineering")</f>
        <v>FIP Engineering</v>
      </c>
      <c r="O1770" s="6" t="str">
        <f>IFERROR(__xludf.DUMMYFUNCTION("""COMPUTED_VALUE"""),"FIP-DOM-000-11304-OS00001-INA-000000")</f>
        <v>FIP-DOM-000-11304-OS00001-INA-000000</v>
      </c>
      <c r="P1770" s="6" t="str">
        <f>IFERROR(__xludf.DUMMYFUNCTION("""COMPUTED_VALUE"""),"PO Closed")</f>
        <v>PO Closed</v>
      </c>
      <c r="Q1770" s="6" t="str">
        <f>IFERROR(__xludf.DUMMYFUNCTION("""COMPUTED_VALUE"""),"GL2204017")</f>
        <v>GL2204017</v>
      </c>
      <c r="R1770" s="57">
        <f>IFERROR(__xludf.DUMMYFUNCTION("""COMPUTED_VALUE"""),44627.0)</f>
        <v>44627</v>
      </c>
      <c r="S1770" s="6" t="str">
        <f>IFERROR(__xludf.DUMMYFUNCTION("""COMPUTED_VALUE"""),"-")</f>
        <v>-</v>
      </c>
      <c r="T1770" s="57">
        <f>IFERROR(__xludf.DUMMYFUNCTION("""COMPUTED_VALUE"""),44742.0)</f>
        <v>44742</v>
      </c>
    </row>
    <row r="1771">
      <c r="A1771" s="6" t="str">
        <f>IFERROR(__xludf.DUMMYFUNCTION("""COMPUTED_VALUE"""),"221750119-5")</f>
        <v>221750119-5</v>
      </c>
      <c r="B1771" s="6" t="str">
        <f>IFERROR(__xludf.DUMMYFUNCTION("""COMPUTED_VALUE"""),"221750119 - Approved")</f>
        <v>221750119 - Approved</v>
      </c>
      <c r="C1771" s="6">
        <f>IFERROR(__xludf.DUMMYFUNCTION("""COMPUTED_VALUE"""),5.0)</f>
        <v>5</v>
      </c>
      <c r="D1771" s="6" t="str">
        <f>IFERROR(__xludf.DUMMYFUNCTION("""COMPUTED_VALUE"""),"O-18344-00")</f>
        <v>O-18344-00</v>
      </c>
      <c r="E1771" s="6" t="str">
        <f>IFERROR(__xludf.DUMMYFUNCTION("""COMPUTED_VALUE"""),"Capping VCM200 - Roller trimmer D=48X18 inclination=7 for alucap D=20")</f>
        <v>Capping VCM200 - Roller trimmer D=48X18 inclination=7 for alucap D=20</v>
      </c>
      <c r="F1771" s="6">
        <f>IFERROR(__xludf.DUMMYFUNCTION("""COMPUTED_VALUE"""),5.0)</f>
        <v>5</v>
      </c>
      <c r="G1771" s="6" t="str">
        <f>IFERROR(__xludf.DUMMYFUNCTION("""COMPUTED_VALUE"""),"Pieces")</f>
        <v>Pieces</v>
      </c>
      <c r="H1771" s="6" t="str">
        <f>IFERROR(__xludf.DUMMYFUNCTION("""COMPUTED_VALUE"""),"EUR")</f>
        <v>EUR</v>
      </c>
      <c r="I1771" s="6">
        <f>IFERROR(__xludf.DUMMYFUNCTION("""COMPUTED_VALUE"""),352.0)</f>
        <v>352</v>
      </c>
      <c r="J1771" s="6">
        <f>IFERROR(__xludf.DUMMYFUNCTION("""COMPUTED_VALUE"""),1760.0)</f>
        <v>1760</v>
      </c>
      <c r="K1771" s="57">
        <f>IFERROR(__xludf.DUMMYFUNCTION("""COMPUTED_VALUE"""),44680.0)</f>
        <v>44680</v>
      </c>
      <c r="L1771" s="6" t="str">
        <f>IFERROR(__xludf.DUMMYFUNCTION("""COMPUTED_VALUE"""),"FIP Engineering")</f>
        <v>FIP Engineering</v>
      </c>
      <c r="M1771" s="6" t="str">
        <f>IFERROR(__xludf.DUMMYFUNCTION("""COMPUTED_VALUE"""),"Irwan Sopian")</f>
        <v>Irwan Sopian</v>
      </c>
      <c r="N1771" s="6" t="str">
        <f>IFERROR(__xludf.DUMMYFUNCTION("""COMPUTED_VALUE"""),"FIP Engineering")</f>
        <v>FIP Engineering</v>
      </c>
      <c r="O1771" s="6" t="str">
        <f>IFERROR(__xludf.DUMMYFUNCTION("""COMPUTED_VALUE"""),"FIP-DOM-000-11304-OS00001-INA-000000")</f>
        <v>FIP-DOM-000-11304-OS00001-INA-000000</v>
      </c>
      <c r="P1771" s="6" t="str">
        <f>IFERROR(__xludf.DUMMYFUNCTION("""COMPUTED_VALUE"""),"PO Closed")</f>
        <v>PO Closed</v>
      </c>
      <c r="Q1771" s="6" t="str">
        <f>IFERROR(__xludf.DUMMYFUNCTION("""COMPUTED_VALUE"""),"GL2204017")</f>
        <v>GL2204017</v>
      </c>
      <c r="R1771" s="57">
        <f>IFERROR(__xludf.DUMMYFUNCTION("""COMPUTED_VALUE"""),44627.0)</f>
        <v>44627</v>
      </c>
      <c r="S1771" s="6" t="str">
        <f>IFERROR(__xludf.DUMMYFUNCTION("""COMPUTED_VALUE"""),"-")</f>
        <v>-</v>
      </c>
      <c r="T1771" s="57">
        <f>IFERROR(__xludf.DUMMYFUNCTION("""COMPUTED_VALUE"""),44742.0)</f>
        <v>44742</v>
      </c>
    </row>
    <row r="1772">
      <c r="A1772" s="6" t="str">
        <f>IFERROR(__xludf.DUMMYFUNCTION("""COMPUTED_VALUE"""),"221750119-6")</f>
        <v>221750119-6</v>
      </c>
      <c r="B1772" s="6" t="str">
        <f>IFERROR(__xludf.DUMMYFUNCTION("""COMPUTED_VALUE"""),"221750119 - Approved")</f>
        <v>221750119 - Approved</v>
      </c>
      <c r="C1772" s="6">
        <f>IFERROR(__xludf.DUMMYFUNCTION("""COMPUTED_VALUE"""),6.0)</f>
        <v>6</v>
      </c>
      <c r="D1772" s="6" t="str">
        <f>IFERROR(__xludf.DUMMYFUNCTION("""COMPUTED_VALUE"""),"O-15902-00")</f>
        <v>O-15902-00</v>
      </c>
      <c r="E1772" s="6" t="str">
        <f>IFERROR(__xludf.DUMMYFUNCTION("""COMPUTED_VALUE"""),"Suction Cup capping size 6R P/N : 011010")</f>
        <v>Suction Cup capping size 6R P/N : 011010</v>
      </c>
      <c r="F1772" s="6">
        <f>IFERROR(__xludf.DUMMYFUNCTION("""COMPUTED_VALUE"""),100.0)</f>
        <v>100</v>
      </c>
      <c r="G1772" s="6" t="str">
        <f>IFERROR(__xludf.DUMMYFUNCTION("""COMPUTED_VALUE"""),"Pieces")</f>
        <v>Pieces</v>
      </c>
      <c r="H1772" s="6" t="str">
        <f>IFERROR(__xludf.DUMMYFUNCTION("""COMPUTED_VALUE"""),"EUR")</f>
        <v>EUR</v>
      </c>
      <c r="I1772" s="6">
        <f>IFERROR(__xludf.DUMMYFUNCTION("""COMPUTED_VALUE"""),1.92)</f>
        <v>1.92</v>
      </c>
      <c r="J1772" s="6">
        <f>IFERROR(__xludf.DUMMYFUNCTION("""COMPUTED_VALUE"""),192.0)</f>
        <v>192</v>
      </c>
      <c r="K1772" s="57">
        <f>IFERROR(__xludf.DUMMYFUNCTION("""COMPUTED_VALUE"""),44680.0)</f>
        <v>44680</v>
      </c>
      <c r="L1772" s="6" t="str">
        <f>IFERROR(__xludf.DUMMYFUNCTION("""COMPUTED_VALUE"""),"FIP Engineering")</f>
        <v>FIP Engineering</v>
      </c>
      <c r="M1772" s="6" t="str">
        <f>IFERROR(__xludf.DUMMYFUNCTION("""COMPUTED_VALUE"""),"Irwan Sopian")</f>
        <v>Irwan Sopian</v>
      </c>
      <c r="N1772" s="6" t="str">
        <f>IFERROR(__xludf.DUMMYFUNCTION("""COMPUTED_VALUE"""),"FIP Engineering")</f>
        <v>FIP Engineering</v>
      </c>
      <c r="O1772" s="6" t="str">
        <f>IFERROR(__xludf.DUMMYFUNCTION("""COMPUTED_VALUE"""),"FIP-DOM-000-11304-OS00001-INA-000000")</f>
        <v>FIP-DOM-000-11304-OS00001-INA-000000</v>
      </c>
      <c r="P1772" s="6" t="str">
        <f>IFERROR(__xludf.DUMMYFUNCTION("""COMPUTED_VALUE"""),"PO Closed")</f>
        <v>PO Closed</v>
      </c>
      <c r="Q1772" s="6" t="str">
        <f>IFERROR(__xludf.DUMMYFUNCTION("""COMPUTED_VALUE"""),"GL2204017")</f>
        <v>GL2204017</v>
      </c>
      <c r="R1772" s="57">
        <f>IFERROR(__xludf.DUMMYFUNCTION("""COMPUTED_VALUE"""),44627.0)</f>
        <v>44627</v>
      </c>
      <c r="S1772" s="6" t="str">
        <f>IFERROR(__xludf.DUMMYFUNCTION("""COMPUTED_VALUE"""),"-")</f>
        <v>-</v>
      </c>
      <c r="T1772" s="57">
        <f>IFERROR(__xludf.DUMMYFUNCTION("""COMPUTED_VALUE"""),44742.0)</f>
        <v>44742</v>
      </c>
    </row>
    <row r="1773">
      <c r="A1773" s="6" t="str">
        <f>IFERROR(__xludf.DUMMYFUNCTION("""COMPUTED_VALUE"""),"221750119-7")</f>
        <v>221750119-7</v>
      </c>
      <c r="B1773" s="6" t="str">
        <f>IFERROR(__xludf.DUMMYFUNCTION("""COMPUTED_VALUE"""),"221750119 - Approved")</f>
        <v>221750119 - Approved</v>
      </c>
      <c r="C1773" s="6">
        <f>IFERROR(__xludf.DUMMYFUNCTION("""COMPUTED_VALUE"""),7.0)</f>
        <v>7</v>
      </c>
      <c r="D1773" s="6" t="str">
        <f>IFERROR(__xludf.DUMMYFUNCTION("""COMPUTED_VALUE"""),"O-15697-00")</f>
        <v>O-15697-00</v>
      </c>
      <c r="E1773" s="6" t="str">
        <f>IFERROR(__xludf.DUMMYFUNCTION("""COMPUTED_VALUE"""),"SILICONE SUCKER 01.16.20 PART NO :202370")</f>
        <v>SILICONE SUCKER 01.16.20 PART NO :202370</v>
      </c>
      <c r="F1773" s="6">
        <f>IFERROR(__xludf.DUMMYFUNCTION("""COMPUTED_VALUE"""),20.0)</f>
        <v>20</v>
      </c>
      <c r="G1773" s="6" t="str">
        <f>IFERROR(__xludf.DUMMYFUNCTION("""COMPUTED_VALUE"""),"Unit")</f>
        <v>Unit</v>
      </c>
      <c r="H1773" s="6" t="str">
        <f>IFERROR(__xludf.DUMMYFUNCTION("""COMPUTED_VALUE"""),"EUR")</f>
        <v>EUR</v>
      </c>
      <c r="I1773" s="6">
        <f>IFERROR(__xludf.DUMMYFUNCTION("""COMPUTED_VALUE"""),5.12)</f>
        <v>5.12</v>
      </c>
      <c r="J1773" s="6">
        <f>IFERROR(__xludf.DUMMYFUNCTION("""COMPUTED_VALUE"""),102.4)</f>
        <v>102.4</v>
      </c>
      <c r="K1773" s="57">
        <f>IFERROR(__xludf.DUMMYFUNCTION("""COMPUTED_VALUE"""),44680.0)</f>
        <v>44680</v>
      </c>
      <c r="L1773" s="6" t="str">
        <f>IFERROR(__xludf.DUMMYFUNCTION("""COMPUTED_VALUE"""),"FIP Engineering")</f>
        <v>FIP Engineering</v>
      </c>
      <c r="M1773" s="6" t="str">
        <f>IFERROR(__xludf.DUMMYFUNCTION("""COMPUTED_VALUE"""),"Irwan Sopian")</f>
        <v>Irwan Sopian</v>
      </c>
      <c r="N1773" s="6" t="str">
        <f>IFERROR(__xludf.DUMMYFUNCTION("""COMPUTED_VALUE"""),"FIP Engineering")</f>
        <v>FIP Engineering</v>
      </c>
      <c r="O1773" s="6" t="str">
        <f>IFERROR(__xludf.DUMMYFUNCTION("""COMPUTED_VALUE"""),"FIP-DOM-000-11304-OS00001-INA-000000")</f>
        <v>FIP-DOM-000-11304-OS00001-INA-000000</v>
      </c>
      <c r="P1773" s="6" t="str">
        <f>IFERROR(__xludf.DUMMYFUNCTION("""COMPUTED_VALUE"""),"PO Closed")</f>
        <v>PO Closed</v>
      </c>
      <c r="Q1773" s="6" t="str">
        <f>IFERROR(__xludf.DUMMYFUNCTION("""COMPUTED_VALUE"""),"GL2204017")</f>
        <v>GL2204017</v>
      </c>
      <c r="R1773" s="57">
        <f>IFERROR(__xludf.DUMMYFUNCTION("""COMPUTED_VALUE"""),44627.0)</f>
        <v>44627</v>
      </c>
      <c r="S1773" s="6" t="str">
        <f>IFERROR(__xludf.DUMMYFUNCTION("""COMPUTED_VALUE"""),"-")</f>
        <v>-</v>
      </c>
      <c r="T1773" s="57">
        <f>IFERROR(__xludf.DUMMYFUNCTION("""COMPUTED_VALUE"""),44742.0)</f>
        <v>44742</v>
      </c>
    </row>
    <row r="1774">
      <c r="A1774" s="6" t="str">
        <f>IFERROR(__xludf.DUMMYFUNCTION("""COMPUTED_VALUE"""),"221750119-8")</f>
        <v>221750119-8</v>
      </c>
      <c r="B1774" s="6" t="str">
        <f>IFERROR(__xludf.DUMMYFUNCTION("""COMPUTED_VALUE"""),"221750119 - Approved")</f>
        <v>221750119 - Approved</v>
      </c>
      <c r="C1774" s="6">
        <f>IFERROR(__xludf.DUMMYFUNCTION("""COMPUTED_VALUE"""),8.0)</f>
        <v>8</v>
      </c>
      <c r="D1774" s="6" t="str">
        <f>IFERROR(__xludf.DUMMYFUNCTION("""COMPUTED_VALUE"""),"O-51996-00")</f>
        <v>O-51996-00</v>
      </c>
      <c r="E1774" s="6" t="str">
        <f>IFERROR(__xludf.DUMMYFUNCTION("""COMPUTED_VALUE"""),"Pulsed DC Ionising Bar Hyperion 929IPS Length Meech")</f>
        <v>Pulsed DC Ionising Bar Hyperion 929IPS Length Meech</v>
      </c>
      <c r="F1774" s="6">
        <f>IFERROR(__xludf.DUMMYFUNCTION("""COMPUTED_VALUE"""),1.0)</f>
        <v>1</v>
      </c>
      <c r="G1774" s="6" t="str">
        <f>IFERROR(__xludf.DUMMYFUNCTION("""COMPUTED_VALUE"""),"Pieces")</f>
        <v>Pieces</v>
      </c>
      <c r="H1774" s="6" t="str">
        <f>IFERROR(__xludf.DUMMYFUNCTION("""COMPUTED_VALUE"""),"EUR")</f>
        <v>EUR</v>
      </c>
      <c r="I1774" s="6">
        <f>IFERROR(__xludf.DUMMYFUNCTION("""COMPUTED_VALUE"""),1896.32)</f>
        <v>1896.32</v>
      </c>
      <c r="J1774" s="6">
        <f>IFERROR(__xludf.DUMMYFUNCTION("""COMPUTED_VALUE"""),1896.32)</f>
        <v>1896.32</v>
      </c>
      <c r="K1774" s="57">
        <f>IFERROR(__xludf.DUMMYFUNCTION("""COMPUTED_VALUE"""),44680.0)</f>
        <v>44680</v>
      </c>
      <c r="L1774" s="6" t="str">
        <f>IFERROR(__xludf.DUMMYFUNCTION("""COMPUTED_VALUE"""),"FIP Engineering")</f>
        <v>FIP Engineering</v>
      </c>
      <c r="M1774" s="6" t="str">
        <f>IFERROR(__xludf.DUMMYFUNCTION("""COMPUTED_VALUE"""),"Irwan Sopian")</f>
        <v>Irwan Sopian</v>
      </c>
      <c r="N1774" s="6" t="str">
        <f>IFERROR(__xludf.DUMMYFUNCTION("""COMPUTED_VALUE"""),"FIP Engineering")</f>
        <v>FIP Engineering</v>
      </c>
      <c r="O1774" s="6" t="str">
        <f>IFERROR(__xludf.DUMMYFUNCTION("""COMPUTED_VALUE"""),"FIP-DOM-000-11304-OS00001-INA-000000")</f>
        <v>FIP-DOM-000-11304-OS00001-INA-000000</v>
      </c>
      <c r="P1774" s="6" t="str">
        <f>IFERROR(__xludf.DUMMYFUNCTION("""COMPUTED_VALUE"""),"PO Closed")</f>
        <v>PO Closed</v>
      </c>
      <c r="Q1774" s="6" t="str">
        <f>IFERROR(__xludf.DUMMYFUNCTION("""COMPUTED_VALUE"""),"GL2204017")</f>
        <v>GL2204017</v>
      </c>
      <c r="R1774" s="57">
        <f>IFERROR(__xludf.DUMMYFUNCTION("""COMPUTED_VALUE"""),44627.0)</f>
        <v>44627</v>
      </c>
      <c r="S1774" s="6" t="str">
        <f>IFERROR(__xludf.DUMMYFUNCTION("""COMPUTED_VALUE"""),"-")</f>
        <v>-</v>
      </c>
      <c r="T1774" s="57">
        <f>IFERROR(__xludf.DUMMYFUNCTION("""COMPUTED_VALUE"""),44742.0)</f>
        <v>44742</v>
      </c>
    </row>
    <row r="1775">
      <c r="A1775" s="6" t="str">
        <f>IFERROR(__xludf.DUMMYFUNCTION("""COMPUTED_VALUE"""),"221750109-3")</f>
        <v>221750109-3</v>
      </c>
      <c r="B1775" s="6" t="str">
        <f>IFERROR(__xludf.DUMMYFUNCTION("""COMPUTED_VALUE"""),"221750109 - Approved")</f>
        <v>221750109 - Approved</v>
      </c>
      <c r="C1775" s="6">
        <f>IFERROR(__xludf.DUMMYFUNCTION("""COMPUTED_VALUE"""),3.0)</f>
        <v>3</v>
      </c>
      <c r="D1775" s="6" t="str">
        <f>IFERROR(__xludf.DUMMYFUNCTION("""COMPUTED_VALUE"""),"R-20002-00")</f>
        <v>R-20002-00</v>
      </c>
      <c r="E1775" s="6" t="str">
        <f>IFERROR(__xludf.DUMMYFUNCTION("""COMPUTED_VALUE"""),"Power Meter PM5110 Schneider")</f>
        <v>Power Meter PM5110 Schneider</v>
      </c>
      <c r="F1775" s="6">
        <f>IFERROR(__xludf.DUMMYFUNCTION("""COMPUTED_VALUE"""),2.0)</f>
        <v>2</v>
      </c>
      <c r="G1775" s="6" t="str">
        <f>IFERROR(__xludf.DUMMYFUNCTION("""COMPUTED_VALUE"""),"Unit")</f>
        <v>Unit</v>
      </c>
      <c r="H1775" s="6" t="str">
        <f>IFERROR(__xludf.DUMMYFUNCTION("""COMPUTED_VALUE"""),"IDR")</f>
        <v>IDR</v>
      </c>
      <c r="I1775" s="6">
        <f>IFERROR(__xludf.DUMMYFUNCTION("""COMPUTED_VALUE"""),6500000.0)</f>
        <v>6500000</v>
      </c>
      <c r="J1775" s="6">
        <f>IFERROR(__xludf.DUMMYFUNCTION("""COMPUTED_VALUE"""),1.3E7)</f>
        <v>13000000</v>
      </c>
      <c r="K1775" s="57">
        <f>IFERROR(__xludf.DUMMYFUNCTION("""COMPUTED_VALUE"""),44673.0)</f>
        <v>44673</v>
      </c>
      <c r="L1775" s="6" t="str">
        <f>IFERROR(__xludf.DUMMYFUNCTION("""COMPUTED_VALUE"""),"FIP General")</f>
        <v>FIP General</v>
      </c>
      <c r="M1775" s="6" t="str">
        <f>IFERROR(__xludf.DUMMYFUNCTION("""COMPUTED_VALUE"""),"Kristiawan Sakti Winarno")</f>
        <v>Kristiawan Sakti Winarno</v>
      </c>
      <c r="N1775" s="6" t="str">
        <f>IFERROR(__xludf.DUMMYFUNCTION("""COMPUTED_VALUE"""),"FIP Engineering")</f>
        <v>FIP Engineering</v>
      </c>
      <c r="O1775" s="6" t="str">
        <f>IFERROR(__xludf.DUMMYFUNCTION("""COMPUTED_VALUE"""),"FIP-DOM-ENG-13405-EQ22016-INA-000000")</f>
        <v>FIP-DOM-ENG-13405-EQ22016-INA-000000</v>
      </c>
      <c r="P1775" s="6" t="str">
        <f>IFERROR(__xludf.DUMMYFUNCTION("""COMPUTED_VALUE"""),"PO Closed")</f>
        <v>PO Closed</v>
      </c>
      <c r="Q1775" s="6" t="str">
        <f>IFERROR(__xludf.DUMMYFUNCTION("""COMPUTED_VALUE"""),"GL2204042")</f>
        <v>GL2204042</v>
      </c>
      <c r="R1775" s="57">
        <f>IFERROR(__xludf.DUMMYFUNCTION("""COMPUTED_VALUE"""),44631.0)</f>
        <v>44631</v>
      </c>
      <c r="S1775" s="6" t="str">
        <f>IFERROR(__xludf.DUMMYFUNCTION("""COMPUTED_VALUE"""),"-")</f>
        <v>-</v>
      </c>
      <c r="T1775" s="57">
        <f>IFERROR(__xludf.DUMMYFUNCTION("""COMPUTED_VALUE"""),44702.0)</f>
        <v>44702</v>
      </c>
    </row>
    <row r="1776">
      <c r="A1776" s="6" t="str">
        <f>IFERROR(__xludf.DUMMYFUNCTION("""COMPUTED_VALUE"""),"221750109-4")</f>
        <v>221750109-4</v>
      </c>
      <c r="B1776" s="6" t="str">
        <f>IFERROR(__xludf.DUMMYFUNCTION("""COMPUTED_VALUE"""),"221750109 - Approved")</f>
        <v>221750109 - Approved</v>
      </c>
      <c r="C1776" s="6">
        <f>IFERROR(__xludf.DUMMYFUNCTION("""COMPUTED_VALUE"""),4.0)</f>
        <v>4</v>
      </c>
      <c r="D1776" s="6" t="str">
        <f>IFERROR(__xludf.DUMMYFUNCTION("""COMPUTED_VALUE"""),"R-20002-00")</f>
        <v>R-20002-00</v>
      </c>
      <c r="E1776" s="6" t="str">
        <f>IFERROR(__xludf.DUMMYFUNCTION("""COMPUTED_VALUE"""),"Pasang Power Meter 2 Unit (Test &amp; Trial)")</f>
        <v>Pasang Power Meter 2 Unit (Test &amp; Trial)</v>
      </c>
      <c r="F1776" s="6">
        <f>IFERROR(__xludf.DUMMYFUNCTION("""COMPUTED_VALUE"""),1.0)</f>
        <v>1</v>
      </c>
      <c r="G1776" s="6" t="str">
        <f>IFERROR(__xludf.DUMMYFUNCTION("""COMPUTED_VALUE"""),"Unit")</f>
        <v>Unit</v>
      </c>
      <c r="H1776" s="6" t="str">
        <f>IFERROR(__xludf.DUMMYFUNCTION("""COMPUTED_VALUE"""),"IDR")</f>
        <v>IDR</v>
      </c>
      <c r="I1776" s="6">
        <f>IFERROR(__xludf.DUMMYFUNCTION("""COMPUTED_VALUE"""),3000000.0)</f>
        <v>3000000</v>
      </c>
      <c r="J1776" s="6">
        <f>IFERROR(__xludf.DUMMYFUNCTION("""COMPUTED_VALUE"""),3000000.0)</f>
        <v>3000000</v>
      </c>
      <c r="K1776" s="57">
        <f>IFERROR(__xludf.DUMMYFUNCTION("""COMPUTED_VALUE"""),44673.0)</f>
        <v>44673</v>
      </c>
      <c r="L1776" s="6" t="str">
        <f>IFERROR(__xludf.DUMMYFUNCTION("""COMPUTED_VALUE"""),"FIP General")</f>
        <v>FIP General</v>
      </c>
      <c r="M1776" s="6" t="str">
        <f>IFERROR(__xludf.DUMMYFUNCTION("""COMPUTED_VALUE"""),"Kristiawan Sakti Winarno")</f>
        <v>Kristiawan Sakti Winarno</v>
      </c>
      <c r="N1776" s="6" t="str">
        <f>IFERROR(__xludf.DUMMYFUNCTION("""COMPUTED_VALUE"""),"FIP Engineering")</f>
        <v>FIP Engineering</v>
      </c>
      <c r="O1776" s="6" t="str">
        <f>IFERROR(__xludf.DUMMYFUNCTION("""COMPUTED_VALUE"""),"FIP-DOM-ENG-13405-EQ22016-INA-000000")</f>
        <v>FIP-DOM-ENG-13405-EQ22016-INA-000000</v>
      </c>
      <c r="P1776" s="6" t="str">
        <f>IFERROR(__xludf.DUMMYFUNCTION("""COMPUTED_VALUE"""),"PO Closed")</f>
        <v>PO Closed</v>
      </c>
      <c r="Q1776" s="6" t="str">
        <f>IFERROR(__xludf.DUMMYFUNCTION("""COMPUTED_VALUE"""),"GL2204042")</f>
        <v>GL2204042</v>
      </c>
      <c r="R1776" s="57">
        <f>IFERROR(__xludf.DUMMYFUNCTION("""COMPUTED_VALUE"""),44631.0)</f>
        <v>44631</v>
      </c>
      <c r="S1776" s="6" t="str">
        <f>IFERROR(__xludf.DUMMYFUNCTION("""COMPUTED_VALUE"""),"-")</f>
        <v>-</v>
      </c>
      <c r="T1776" s="57">
        <f>IFERROR(__xludf.DUMMYFUNCTION("""COMPUTED_VALUE"""),44702.0)</f>
        <v>44702</v>
      </c>
    </row>
    <row r="1777">
      <c r="A1777" s="6" t="str">
        <f>IFERROR(__xludf.DUMMYFUNCTION("""COMPUTED_VALUE"""),"221750109-5")</f>
        <v>221750109-5</v>
      </c>
      <c r="B1777" s="6" t="str">
        <f>IFERROR(__xludf.DUMMYFUNCTION("""COMPUTED_VALUE"""),"221750109 - Approved")</f>
        <v>221750109 - Approved</v>
      </c>
      <c r="C1777" s="6">
        <f>IFERROR(__xludf.DUMMYFUNCTION("""COMPUTED_VALUE"""),5.0)</f>
        <v>5</v>
      </c>
      <c r="D1777" s="6" t="str">
        <f>IFERROR(__xludf.DUMMYFUNCTION("""COMPUTED_VALUE"""),"R-20002-00")</f>
        <v>R-20002-00</v>
      </c>
      <c r="E1777" s="6" t="str">
        <f>IFERROR(__xludf.DUMMYFUNCTION("""COMPUTED_VALUE"""),"Penambahan 3 Instrumen Power Meter Panel UPS, ASRS di system Equipmon")</f>
        <v>Penambahan 3 Instrumen Power Meter Panel UPS, ASRS di system Equipmon</v>
      </c>
      <c r="F1777" s="6">
        <f>IFERROR(__xludf.DUMMYFUNCTION("""COMPUTED_VALUE"""),3.0)</f>
        <v>3</v>
      </c>
      <c r="G1777" s="6" t="str">
        <f>IFERROR(__xludf.DUMMYFUNCTION("""COMPUTED_VALUE"""),"Unit")</f>
        <v>Unit</v>
      </c>
      <c r="H1777" s="6" t="str">
        <f>IFERROR(__xludf.DUMMYFUNCTION("""COMPUTED_VALUE"""),"IDR")</f>
        <v>IDR</v>
      </c>
      <c r="I1777" s="6">
        <f>IFERROR(__xludf.DUMMYFUNCTION("""COMPUTED_VALUE"""),975000.0)</f>
        <v>975000</v>
      </c>
      <c r="J1777" s="6">
        <f>IFERROR(__xludf.DUMMYFUNCTION("""COMPUTED_VALUE"""),2925000.0)</f>
        <v>2925000</v>
      </c>
      <c r="K1777" s="57">
        <f>IFERROR(__xludf.DUMMYFUNCTION("""COMPUTED_VALUE"""),44673.0)</f>
        <v>44673</v>
      </c>
      <c r="L1777" s="6" t="str">
        <f>IFERROR(__xludf.DUMMYFUNCTION("""COMPUTED_VALUE"""),"FIP General")</f>
        <v>FIP General</v>
      </c>
      <c r="M1777" s="6" t="str">
        <f>IFERROR(__xludf.DUMMYFUNCTION("""COMPUTED_VALUE"""),"Kristiawan Sakti Winarno")</f>
        <v>Kristiawan Sakti Winarno</v>
      </c>
      <c r="N1777" s="6" t="str">
        <f>IFERROR(__xludf.DUMMYFUNCTION("""COMPUTED_VALUE"""),"FIP Engineering")</f>
        <v>FIP Engineering</v>
      </c>
      <c r="O1777" s="6" t="str">
        <f>IFERROR(__xludf.DUMMYFUNCTION("""COMPUTED_VALUE"""),"FIP-DOM-ENG-13405-EQ22016-INA-000000")</f>
        <v>FIP-DOM-ENG-13405-EQ22016-INA-000000</v>
      </c>
      <c r="P1777" s="6" t="str">
        <f>IFERROR(__xludf.DUMMYFUNCTION("""COMPUTED_VALUE"""),"PO Closed")</f>
        <v>PO Closed</v>
      </c>
      <c r="Q1777" s="6" t="str">
        <f>IFERROR(__xludf.DUMMYFUNCTION("""COMPUTED_VALUE"""),"GL2204020")</f>
        <v>GL2204020</v>
      </c>
      <c r="R1777" s="57">
        <f>IFERROR(__xludf.DUMMYFUNCTION("""COMPUTED_VALUE"""),44631.0)</f>
        <v>44631</v>
      </c>
      <c r="S1777" s="6" t="str">
        <f>IFERROR(__xludf.DUMMYFUNCTION("""COMPUTED_VALUE"""),"-")</f>
        <v>-</v>
      </c>
      <c r="T1777" s="57">
        <f>IFERROR(__xludf.DUMMYFUNCTION("""COMPUTED_VALUE"""),44676.0)</f>
        <v>44676</v>
      </c>
    </row>
    <row r="1778">
      <c r="A1778" s="6" t="str">
        <f>IFERROR(__xludf.DUMMYFUNCTION("""COMPUTED_VALUE"""),"221750109-6")</f>
        <v>221750109-6</v>
      </c>
      <c r="B1778" s="6" t="str">
        <f>IFERROR(__xludf.DUMMYFUNCTION("""COMPUTED_VALUE"""),"221750109 - Approved")</f>
        <v>221750109 - Approved</v>
      </c>
      <c r="C1778" s="6">
        <f>IFERROR(__xludf.DUMMYFUNCTION("""COMPUTED_VALUE"""),6.0)</f>
        <v>6</v>
      </c>
      <c r="D1778" s="6" t="str">
        <f>IFERROR(__xludf.DUMMYFUNCTION("""COMPUTED_VALUE"""),"R-20002-00")</f>
        <v>R-20002-00</v>
      </c>
      <c r="E1778" s="6" t="str">
        <f>IFERROR(__xludf.DUMMYFUNCTION("""COMPUTED_VALUE"""),"Kabel Belden AWG 22")</f>
        <v>Kabel Belden AWG 22</v>
      </c>
      <c r="F1778" s="6">
        <f>IFERROR(__xludf.DUMMYFUNCTION("""COMPUTED_VALUE"""),1.0)</f>
        <v>1</v>
      </c>
      <c r="G1778" s="6" t="str">
        <f>IFERROR(__xludf.DUMMYFUNCTION("""COMPUTED_VALUE"""),"Unit")</f>
        <v>Unit</v>
      </c>
      <c r="H1778" s="6" t="str">
        <f>IFERROR(__xludf.DUMMYFUNCTION("""COMPUTED_VALUE"""),"IDR")</f>
        <v>IDR</v>
      </c>
      <c r="I1778" s="6">
        <f>IFERROR(__xludf.DUMMYFUNCTION("""COMPUTED_VALUE"""),3240000.0)</f>
        <v>3240000</v>
      </c>
      <c r="J1778" s="6">
        <f>IFERROR(__xludf.DUMMYFUNCTION("""COMPUTED_VALUE"""),3240000.0)</f>
        <v>3240000</v>
      </c>
      <c r="K1778" s="57">
        <f>IFERROR(__xludf.DUMMYFUNCTION("""COMPUTED_VALUE"""),44673.0)</f>
        <v>44673</v>
      </c>
      <c r="L1778" s="6" t="str">
        <f>IFERROR(__xludf.DUMMYFUNCTION("""COMPUTED_VALUE"""),"FIP General")</f>
        <v>FIP General</v>
      </c>
      <c r="M1778" s="6" t="str">
        <f>IFERROR(__xludf.DUMMYFUNCTION("""COMPUTED_VALUE"""),"Kristiawan Sakti Winarno")</f>
        <v>Kristiawan Sakti Winarno</v>
      </c>
      <c r="N1778" s="6" t="str">
        <f>IFERROR(__xludf.DUMMYFUNCTION("""COMPUTED_VALUE"""),"FIP Engineering")</f>
        <v>FIP Engineering</v>
      </c>
      <c r="O1778" s="6" t="str">
        <f>IFERROR(__xludf.DUMMYFUNCTION("""COMPUTED_VALUE"""),"FIP-DOM-ENG-13405-EQ22016-INA-000000")</f>
        <v>FIP-DOM-ENG-13405-EQ22016-INA-000000</v>
      </c>
      <c r="P1778" s="6" t="str">
        <f>IFERROR(__xludf.DUMMYFUNCTION("""COMPUTED_VALUE"""),"PO Closed")</f>
        <v>PO Closed</v>
      </c>
      <c r="Q1778" s="6" t="str">
        <f>IFERROR(__xludf.DUMMYFUNCTION("""COMPUTED_VALUE"""),"GL2204020")</f>
        <v>GL2204020</v>
      </c>
      <c r="R1778" s="57">
        <f>IFERROR(__xludf.DUMMYFUNCTION("""COMPUTED_VALUE"""),44631.0)</f>
        <v>44631</v>
      </c>
      <c r="S1778" s="6" t="str">
        <f>IFERROR(__xludf.DUMMYFUNCTION("""COMPUTED_VALUE"""),"-")</f>
        <v>-</v>
      </c>
      <c r="T1778" s="57">
        <f>IFERROR(__xludf.DUMMYFUNCTION("""COMPUTED_VALUE"""),44676.0)</f>
        <v>44676</v>
      </c>
    </row>
    <row r="1779">
      <c r="A1779" s="6" t="str">
        <f>IFERROR(__xludf.DUMMYFUNCTION("""COMPUTED_VALUE"""),"221750126-1")</f>
        <v>221750126-1</v>
      </c>
      <c r="B1779" s="6" t="str">
        <f>IFERROR(__xludf.DUMMYFUNCTION("""COMPUTED_VALUE"""),"221750126 - Approved")</f>
        <v>221750126 - Approved</v>
      </c>
      <c r="C1779" s="6">
        <f>IFERROR(__xludf.DUMMYFUNCTION("""COMPUTED_VALUE"""),1.0)</f>
        <v>1</v>
      </c>
      <c r="D1779" s="6" t="str">
        <f>IFERROR(__xludf.DUMMYFUNCTION("""COMPUTED_VALUE"""),"O-18349-00")</f>
        <v>O-18349-00</v>
      </c>
      <c r="E1779" s="6" t="str">
        <f>IFERROR(__xludf.DUMMYFUNCTION("""COMPUTED_VALUE"""),"Gas Spring Stabilus Lift-o-mat 065641 0500N")</f>
        <v>Gas Spring Stabilus Lift-o-mat 065641 0500N</v>
      </c>
      <c r="F1779" s="6">
        <f>IFERROR(__xludf.DUMMYFUNCTION("""COMPUTED_VALUE"""),1.0)</f>
        <v>1</v>
      </c>
      <c r="G1779" s="6" t="str">
        <f>IFERROR(__xludf.DUMMYFUNCTION("""COMPUTED_VALUE"""),"Pieces")</f>
        <v>Pieces</v>
      </c>
      <c r="H1779" s="6" t="str">
        <f>IFERROR(__xludf.DUMMYFUNCTION("""COMPUTED_VALUE"""),"IDR")</f>
        <v>IDR</v>
      </c>
      <c r="I1779" s="6">
        <f>IFERROR(__xludf.DUMMYFUNCTION("""COMPUTED_VALUE"""),550000.0)</f>
        <v>550000</v>
      </c>
      <c r="J1779" s="6">
        <f>IFERROR(__xludf.DUMMYFUNCTION("""COMPUTED_VALUE"""),550000.0)</f>
        <v>550000</v>
      </c>
      <c r="K1779" s="57">
        <f>IFERROR(__xludf.DUMMYFUNCTION("""COMPUTED_VALUE"""),44666.0)</f>
        <v>44666</v>
      </c>
      <c r="L1779" s="6" t="str">
        <f>IFERROR(__xludf.DUMMYFUNCTION("""COMPUTED_VALUE"""),"FIP Engineering")</f>
        <v>FIP Engineering</v>
      </c>
      <c r="M1779" s="6" t="str">
        <f>IFERROR(__xludf.DUMMYFUNCTION("""COMPUTED_VALUE"""),"Irwan Sopian")</f>
        <v>Irwan Sopian</v>
      </c>
      <c r="N1779" s="6" t="str">
        <f>IFERROR(__xludf.DUMMYFUNCTION("""COMPUTED_VALUE"""),"FIP Engineering")</f>
        <v>FIP Engineering</v>
      </c>
      <c r="O1779" s="6" t="str">
        <f>IFERROR(__xludf.DUMMYFUNCTION("""COMPUTED_VALUE"""),"FIP-DOM-000-11304-OS00001-INA-000000")</f>
        <v>FIP-DOM-000-11304-OS00001-INA-000000</v>
      </c>
      <c r="P1779" s="6" t="str">
        <f>IFERROR(__xludf.DUMMYFUNCTION("""COMPUTED_VALUE"""),"PO Closed")</f>
        <v>PO Closed</v>
      </c>
      <c r="Q1779" s="6" t="str">
        <f>IFERROR(__xludf.DUMMYFUNCTION("""COMPUTED_VALUE"""),"GL2204045")</f>
        <v>GL2204045</v>
      </c>
      <c r="R1779" s="57">
        <f>IFERROR(__xludf.DUMMYFUNCTION("""COMPUTED_VALUE"""),44634.0)</f>
        <v>44634</v>
      </c>
      <c r="S1779" s="6" t="str">
        <f>IFERROR(__xludf.DUMMYFUNCTION("""COMPUTED_VALUE"""),"-")</f>
        <v>-</v>
      </c>
      <c r="T1779" s="57">
        <f>IFERROR(__xludf.DUMMYFUNCTION("""COMPUTED_VALUE"""),44778.0)</f>
        <v>44778</v>
      </c>
    </row>
    <row r="1780">
      <c r="A1780" s="6" t="str">
        <f>IFERROR(__xludf.DUMMYFUNCTION("""COMPUTED_VALUE"""),"221750126-2")</f>
        <v>221750126-2</v>
      </c>
      <c r="B1780" s="6" t="str">
        <f>IFERROR(__xludf.DUMMYFUNCTION("""COMPUTED_VALUE"""),"221750126 - Approved")</f>
        <v>221750126 - Approved</v>
      </c>
      <c r="C1780" s="6">
        <f>IFERROR(__xludf.DUMMYFUNCTION("""COMPUTED_VALUE"""),2.0)</f>
        <v>2</v>
      </c>
      <c r="D1780" s="6" t="str">
        <f>IFERROR(__xludf.DUMMYFUNCTION("""COMPUTED_VALUE"""),"Q-10784-00")</f>
        <v>Q-10784-00</v>
      </c>
      <c r="E1780" s="6" t="str">
        <f>IFERROR(__xludf.DUMMYFUNCTION("""COMPUTED_VALUE"""),"Convex Mirror 80 CM (Cermin Cembung)")</f>
        <v>Convex Mirror 80 CM (Cermin Cembung)</v>
      </c>
      <c r="F1780" s="6">
        <f>IFERROR(__xludf.DUMMYFUNCTION("""COMPUTED_VALUE"""),2.0)</f>
        <v>2</v>
      </c>
      <c r="G1780" s="6" t="str">
        <f>IFERROR(__xludf.DUMMYFUNCTION("""COMPUTED_VALUE"""),"Pieces")</f>
        <v>Pieces</v>
      </c>
      <c r="H1780" s="6" t="str">
        <f>IFERROR(__xludf.DUMMYFUNCTION("""COMPUTED_VALUE"""),"IDR")</f>
        <v>IDR</v>
      </c>
      <c r="I1780" s="6">
        <f>IFERROR(__xludf.DUMMYFUNCTION("""COMPUTED_VALUE"""),450000.0)</f>
        <v>450000</v>
      </c>
      <c r="J1780" s="6">
        <f>IFERROR(__xludf.DUMMYFUNCTION("""COMPUTED_VALUE"""),900000.0)</f>
        <v>900000</v>
      </c>
      <c r="K1780" s="57">
        <f>IFERROR(__xludf.DUMMYFUNCTION("""COMPUTED_VALUE"""),44666.0)</f>
        <v>44666</v>
      </c>
      <c r="L1780" s="6" t="str">
        <f>IFERROR(__xludf.DUMMYFUNCTION("""COMPUTED_VALUE"""),"FIP General")</f>
        <v>FIP General</v>
      </c>
      <c r="M1780" s="6" t="str">
        <f>IFERROR(__xludf.DUMMYFUNCTION("""COMPUTED_VALUE"""),"Irwan Sopian")</f>
        <v>Irwan Sopian</v>
      </c>
      <c r="N1780" s="6" t="str">
        <f>IFERROR(__xludf.DUMMYFUNCTION("""COMPUTED_VALUE"""),"FIP Engineering")</f>
        <v>FIP Engineering</v>
      </c>
      <c r="O1780" s="6" t="str">
        <f>IFERROR(__xludf.DUMMYFUNCTION("""COMPUTED_VALUE"""),"FIP-DOM-ENG-51504-0000000-INA-000000")</f>
        <v>FIP-DOM-ENG-51504-0000000-INA-000000</v>
      </c>
      <c r="P1780" s="6" t="str">
        <f>IFERROR(__xludf.DUMMYFUNCTION("""COMPUTED_VALUE"""),"PO Closed")</f>
        <v>PO Closed</v>
      </c>
      <c r="Q1780" s="6" t="str">
        <f>IFERROR(__xludf.DUMMYFUNCTION("""COMPUTED_VALUE"""),"GL2203043")</f>
        <v>GL2203043</v>
      </c>
      <c r="R1780" s="57">
        <f>IFERROR(__xludf.DUMMYFUNCTION("""COMPUTED_VALUE"""),44634.0)</f>
        <v>44634</v>
      </c>
      <c r="S1780" s="6" t="str">
        <f>IFERROR(__xludf.DUMMYFUNCTION("""COMPUTED_VALUE"""),"-")</f>
        <v>-</v>
      </c>
      <c r="T1780" s="57">
        <f>IFERROR(__xludf.DUMMYFUNCTION("""COMPUTED_VALUE"""),44659.0)</f>
        <v>44659</v>
      </c>
    </row>
    <row r="1781">
      <c r="A1781" s="6" t="str">
        <f>IFERROR(__xludf.DUMMYFUNCTION("""COMPUTED_VALUE"""),"221750126-3")</f>
        <v>221750126-3</v>
      </c>
      <c r="B1781" s="6" t="str">
        <f>IFERROR(__xludf.DUMMYFUNCTION("""COMPUTED_VALUE"""),"221750126 - Approved")</f>
        <v>221750126 - Approved</v>
      </c>
      <c r="C1781" s="6">
        <f>IFERROR(__xludf.DUMMYFUNCTION("""COMPUTED_VALUE"""),3.0)</f>
        <v>3</v>
      </c>
      <c r="D1781" s="6" t="str">
        <f>IFERROR(__xludf.DUMMYFUNCTION("""COMPUTED_VALUE"""),"P-52336-00")</f>
        <v>P-52336-00</v>
      </c>
      <c r="E1781" s="6" t="str">
        <f>IFERROR(__xludf.DUMMYFUNCTION("""COMPUTED_VALUE"""),"Saklar Lampu Sensor Gerak Motion Detector Plafon")</f>
        <v>Saklar Lampu Sensor Gerak Motion Detector Plafon</v>
      </c>
      <c r="F1781" s="6">
        <f>IFERROR(__xludf.DUMMYFUNCTION("""COMPUTED_VALUE"""),2.0)</f>
        <v>2</v>
      </c>
      <c r="G1781" s="6" t="str">
        <f>IFERROR(__xludf.DUMMYFUNCTION("""COMPUTED_VALUE"""),"Pieces")</f>
        <v>Pieces</v>
      </c>
      <c r="H1781" s="6" t="str">
        <f>IFERROR(__xludf.DUMMYFUNCTION("""COMPUTED_VALUE"""),"IDR")</f>
        <v>IDR</v>
      </c>
      <c r="I1781" s="6">
        <f>IFERROR(__xludf.DUMMYFUNCTION("""COMPUTED_VALUE"""),100000.0)</f>
        <v>100000</v>
      </c>
      <c r="J1781" s="6">
        <f>IFERROR(__xludf.DUMMYFUNCTION("""COMPUTED_VALUE"""),200000.0)</f>
        <v>200000</v>
      </c>
      <c r="K1781" s="57">
        <f>IFERROR(__xludf.DUMMYFUNCTION("""COMPUTED_VALUE"""),44666.0)</f>
        <v>44666</v>
      </c>
      <c r="L1781" s="6" t="str">
        <f>IFERROR(__xludf.DUMMYFUNCTION("""COMPUTED_VALUE"""),"FIP Engineering")</f>
        <v>FIP Engineering</v>
      </c>
      <c r="M1781" s="6" t="str">
        <f>IFERROR(__xludf.DUMMYFUNCTION("""COMPUTED_VALUE"""),"Irwan Sopian")</f>
        <v>Irwan Sopian</v>
      </c>
      <c r="N1781" s="6" t="str">
        <f>IFERROR(__xludf.DUMMYFUNCTION("""COMPUTED_VALUE"""),"FIP Engineering")</f>
        <v>FIP Engineering</v>
      </c>
      <c r="O1781" s="6" t="str">
        <f>IFERROR(__xludf.DUMMYFUNCTION("""COMPUTED_VALUE"""),"FIP-DOM-000-11304-OS00001-INA-000000")</f>
        <v>FIP-DOM-000-11304-OS00001-INA-000000</v>
      </c>
      <c r="P1781" s="6" t="str">
        <f>IFERROR(__xludf.DUMMYFUNCTION("""COMPUTED_VALUE"""),"PO Closed")</f>
        <v>PO Closed</v>
      </c>
      <c r="Q1781" s="6" t="str">
        <f>IFERROR(__xludf.DUMMYFUNCTION("""COMPUTED_VALUE"""),"GL2204045")</f>
        <v>GL2204045</v>
      </c>
      <c r="R1781" s="57">
        <f>IFERROR(__xludf.DUMMYFUNCTION("""COMPUTED_VALUE"""),44634.0)</f>
        <v>44634</v>
      </c>
      <c r="S1781" s="6" t="str">
        <f>IFERROR(__xludf.DUMMYFUNCTION("""COMPUTED_VALUE"""),"-")</f>
        <v>-</v>
      </c>
      <c r="T1781" s="57">
        <f>IFERROR(__xludf.DUMMYFUNCTION("""COMPUTED_VALUE"""),44680.0)</f>
        <v>44680</v>
      </c>
    </row>
    <row r="1782">
      <c r="A1782" s="6" t="str">
        <f>IFERROR(__xludf.DUMMYFUNCTION("""COMPUTED_VALUE"""),"221750126-4")</f>
        <v>221750126-4</v>
      </c>
      <c r="B1782" s="6" t="str">
        <f>IFERROR(__xludf.DUMMYFUNCTION("""COMPUTED_VALUE"""),"221750126 - Approved")</f>
        <v>221750126 - Approved</v>
      </c>
      <c r="C1782" s="6">
        <f>IFERROR(__xludf.DUMMYFUNCTION("""COMPUTED_VALUE"""),4.0)</f>
        <v>4</v>
      </c>
      <c r="D1782" s="6" t="str">
        <f>IFERROR(__xludf.DUMMYFUNCTION("""COMPUTED_VALUE"""),"Q-10783-00")</f>
        <v>Q-10783-00</v>
      </c>
      <c r="E1782" s="6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F1782" s="6">
        <f>IFERROR(__xludf.DUMMYFUNCTION("""COMPUTED_VALUE"""),1.0)</f>
        <v>1</v>
      </c>
      <c r="G1782" s="6" t="str">
        <f>IFERROR(__xludf.DUMMYFUNCTION("""COMPUTED_VALUE"""),"Unit")</f>
        <v>Unit</v>
      </c>
      <c r="H1782" s="6" t="str">
        <f>IFERROR(__xludf.DUMMYFUNCTION("""COMPUTED_VALUE"""),"IDR")</f>
        <v>IDR</v>
      </c>
      <c r="I1782" s="6">
        <f>IFERROR(__xludf.DUMMYFUNCTION("""COMPUTED_VALUE"""),235000.0)</f>
        <v>235000</v>
      </c>
      <c r="J1782" s="6">
        <f>IFERROR(__xludf.DUMMYFUNCTION("""COMPUTED_VALUE"""),235000.0)</f>
        <v>235000</v>
      </c>
      <c r="K1782" s="57">
        <f>IFERROR(__xludf.DUMMYFUNCTION("""COMPUTED_VALUE"""),44666.0)</f>
        <v>44666</v>
      </c>
      <c r="L1782" s="6" t="str">
        <f>IFERROR(__xludf.DUMMYFUNCTION("""COMPUTED_VALUE"""),"FIP General")</f>
        <v>FIP General</v>
      </c>
      <c r="M1782" s="6" t="str">
        <f>IFERROR(__xludf.DUMMYFUNCTION("""COMPUTED_VALUE"""),"Irwan Sopian")</f>
        <v>Irwan Sopian</v>
      </c>
      <c r="N1782" s="6" t="str">
        <f>IFERROR(__xludf.DUMMYFUNCTION("""COMPUTED_VALUE"""),"FIP Engineering")</f>
        <v>FIP Engineering</v>
      </c>
      <c r="O1782" s="6" t="str">
        <f>IFERROR(__xludf.DUMMYFUNCTION("""COMPUTED_VALUE"""),"FIP-DOM-ENG-51504-0000000-INA-000000")</f>
        <v>FIP-DOM-ENG-51504-0000000-INA-000000</v>
      </c>
      <c r="P1782" s="6" t="str">
        <f>IFERROR(__xludf.DUMMYFUNCTION("""COMPUTED_VALUE"""),"PO Closed")</f>
        <v>PO Closed</v>
      </c>
      <c r="Q1782" s="6" t="str">
        <f>IFERROR(__xludf.DUMMYFUNCTION("""COMPUTED_VALUE"""),"GL2203042")</f>
        <v>GL2203042</v>
      </c>
      <c r="R1782" s="57">
        <f>IFERROR(__xludf.DUMMYFUNCTION("""COMPUTED_VALUE"""),44634.0)</f>
        <v>44634</v>
      </c>
      <c r="S1782" s="6" t="str">
        <f>IFERROR(__xludf.DUMMYFUNCTION("""COMPUTED_VALUE"""),"-")</f>
        <v>-</v>
      </c>
      <c r="T1782" s="57">
        <f>IFERROR(__xludf.DUMMYFUNCTION("""COMPUTED_VALUE"""),44659.0)</f>
        <v>44659</v>
      </c>
    </row>
    <row r="1783">
      <c r="A1783" s="6" t="str">
        <f>IFERROR(__xludf.DUMMYFUNCTION("""COMPUTED_VALUE"""),"221750126-5")</f>
        <v>221750126-5</v>
      </c>
      <c r="B1783" s="6" t="str">
        <f>IFERROR(__xludf.DUMMYFUNCTION("""COMPUTED_VALUE"""),"221750126 - Approved")</f>
        <v>221750126 - Approved</v>
      </c>
      <c r="C1783" s="6">
        <f>IFERROR(__xludf.DUMMYFUNCTION("""COMPUTED_VALUE"""),5.0)</f>
        <v>5</v>
      </c>
      <c r="D1783" s="6" t="str">
        <f>IFERROR(__xludf.DUMMYFUNCTION("""COMPUTED_VALUE"""),"P-52328-00")</f>
        <v>P-52328-00</v>
      </c>
      <c r="E1783" s="6" t="str">
        <f>IFERROR(__xludf.DUMMYFUNCTION("""COMPUTED_VALUE"""),"Fan Panel 9x9x2 CM 12VDC + Adaptor")</f>
        <v>Fan Panel 9x9x2 CM 12VDC + Adaptor</v>
      </c>
      <c r="F1783" s="6">
        <f>IFERROR(__xludf.DUMMYFUNCTION("""COMPUTED_VALUE"""),2.0)</f>
        <v>2</v>
      </c>
      <c r="G1783" s="6" t="str">
        <f>IFERROR(__xludf.DUMMYFUNCTION("""COMPUTED_VALUE"""),"Pieces")</f>
        <v>Pieces</v>
      </c>
      <c r="H1783" s="6" t="str">
        <f>IFERROR(__xludf.DUMMYFUNCTION("""COMPUTED_VALUE"""),"IDR")</f>
        <v>IDR</v>
      </c>
      <c r="I1783" s="6">
        <f>IFERROR(__xludf.DUMMYFUNCTION("""COMPUTED_VALUE"""),75000.0)</f>
        <v>75000</v>
      </c>
      <c r="J1783" s="6">
        <f>IFERROR(__xludf.DUMMYFUNCTION("""COMPUTED_VALUE"""),150000.0)</f>
        <v>150000</v>
      </c>
      <c r="K1783" s="57">
        <f>IFERROR(__xludf.DUMMYFUNCTION("""COMPUTED_VALUE"""),44666.0)</f>
        <v>44666</v>
      </c>
      <c r="L1783" s="6" t="str">
        <f>IFERROR(__xludf.DUMMYFUNCTION("""COMPUTED_VALUE"""),"FIP Engineering")</f>
        <v>FIP Engineering</v>
      </c>
      <c r="M1783" s="6" t="str">
        <f>IFERROR(__xludf.DUMMYFUNCTION("""COMPUTED_VALUE"""),"Irwan Sopian")</f>
        <v>Irwan Sopian</v>
      </c>
      <c r="N1783" s="6" t="str">
        <f>IFERROR(__xludf.DUMMYFUNCTION("""COMPUTED_VALUE"""),"FIP Engineering")</f>
        <v>FIP Engineering</v>
      </c>
      <c r="O1783" s="6" t="str">
        <f>IFERROR(__xludf.DUMMYFUNCTION("""COMPUTED_VALUE"""),"FIP-DOM-000-11304-OS00001-INA-000000")</f>
        <v>FIP-DOM-000-11304-OS00001-INA-000000</v>
      </c>
      <c r="P1783" s="6" t="str">
        <f>IFERROR(__xludf.DUMMYFUNCTION("""COMPUTED_VALUE"""),"PO Closed")</f>
        <v>PO Closed</v>
      </c>
      <c r="Q1783" s="6" t="str">
        <f>IFERROR(__xludf.DUMMYFUNCTION("""COMPUTED_VALUE"""),"GL2204045")</f>
        <v>GL2204045</v>
      </c>
      <c r="R1783" s="57">
        <f>IFERROR(__xludf.DUMMYFUNCTION("""COMPUTED_VALUE"""),44634.0)</f>
        <v>44634</v>
      </c>
      <c r="S1783" s="6" t="str">
        <f>IFERROR(__xludf.DUMMYFUNCTION("""COMPUTED_VALUE"""),"-")</f>
        <v>-</v>
      </c>
      <c r="T1783" s="57">
        <f>IFERROR(__xludf.DUMMYFUNCTION("""COMPUTED_VALUE"""),44680.0)</f>
        <v>44680</v>
      </c>
    </row>
    <row r="1784">
      <c r="A1784" s="6" t="str">
        <f>IFERROR(__xludf.DUMMYFUNCTION("""COMPUTED_VALUE"""),"221750126-6")</f>
        <v>221750126-6</v>
      </c>
      <c r="B1784" s="6" t="str">
        <f>IFERROR(__xludf.DUMMYFUNCTION("""COMPUTED_VALUE"""),"221750126 - Approved")</f>
        <v>221750126 - Approved</v>
      </c>
      <c r="C1784" s="6">
        <f>IFERROR(__xludf.DUMMYFUNCTION("""COMPUTED_VALUE"""),6.0)</f>
        <v>6</v>
      </c>
      <c r="D1784" s="6" t="str">
        <f>IFERROR(__xludf.DUMMYFUNCTION("""COMPUTED_VALUE"""),"P-51891-00")</f>
        <v>P-51891-00</v>
      </c>
      <c r="E1784" s="6" t="str">
        <f>IFERROR(__xludf.DUMMYFUNCTION("""COMPUTED_VALUE"""),"Exhaust Fan Panel 240VAC")</f>
        <v>Exhaust Fan Panel 240VAC</v>
      </c>
      <c r="F1784" s="6">
        <f>IFERROR(__xludf.DUMMYFUNCTION("""COMPUTED_VALUE"""),4.0)</f>
        <v>4</v>
      </c>
      <c r="G1784" s="6" t="str">
        <f>IFERROR(__xludf.DUMMYFUNCTION("""COMPUTED_VALUE"""),"Pieces")</f>
        <v>Pieces</v>
      </c>
      <c r="H1784" s="6" t="str">
        <f>IFERROR(__xludf.DUMMYFUNCTION("""COMPUTED_VALUE"""),"IDR")</f>
        <v>IDR</v>
      </c>
      <c r="I1784" s="6">
        <f>IFERROR(__xludf.DUMMYFUNCTION("""COMPUTED_VALUE"""),150000.0)</f>
        <v>150000</v>
      </c>
      <c r="J1784" s="6">
        <f>IFERROR(__xludf.DUMMYFUNCTION("""COMPUTED_VALUE"""),600000.0)</f>
        <v>600000</v>
      </c>
      <c r="K1784" s="57">
        <f>IFERROR(__xludf.DUMMYFUNCTION("""COMPUTED_VALUE"""),44666.0)</f>
        <v>44666</v>
      </c>
      <c r="L1784" s="6" t="str">
        <f>IFERROR(__xludf.DUMMYFUNCTION("""COMPUTED_VALUE"""),"FIP Engineering")</f>
        <v>FIP Engineering</v>
      </c>
      <c r="M1784" s="6" t="str">
        <f>IFERROR(__xludf.DUMMYFUNCTION("""COMPUTED_VALUE"""),"Irwan Sopian")</f>
        <v>Irwan Sopian</v>
      </c>
      <c r="N1784" s="6" t="str">
        <f>IFERROR(__xludf.DUMMYFUNCTION("""COMPUTED_VALUE"""),"FIP Engineering")</f>
        <v>FIP Engineering</v>
      </c>
      <c r="O1784" s="6" t="str">
        <f>IFERROR(__xludf.DUMMYFUNCTION("""COMPUTED_VALUE"""),"FIP-DOM-000-11304-OS00001-INA-000000")</f>
        <v>FIP-DOM-000-11304-OS00001-INA-000000</v>
      </c>
      <c r="P1784" s="6" t="str">
        <f>IFERROR(__xludf.DUMMYFUNCTION("""COMPUTED_VALUE"""),"PO Closed")</f>
        <v>PO Closed</v>
      </c>
      <c r="Q1784" s="6" t="str">
        <f>IFERROR(__xludf.DUMMYFUNCTION("""COMPUTED_VALUE"""),"GL2204045")</f>
        <v>GL2204045</v>
      </c>
      <c r="R1784" s="57">
        <f>IFERROR(__xludf.DUMMYFUNCTION("""COMPUTED_VALUE"""),44634.0)</f>
        <v>44634</v>
      </c>
      <c r="S1784" s="6" t="str">
        <f>IFERROR(__xludf.DUMMYFUNCTION("""COMPUTED_VALUE"""),"-")</f>
        <v>-</v>
      </c>
      <c r="T1784" s="57">
        <f>IFERROR(__xludf.DUMMYFUNCTION("""COMPUTED_VALUE"""),44680.0)</f>
        <v>44680</v>
      </c>
    </row>
    <row r="1785">
      <c r="A1785" s="6" t="str">
        <f>IFERROR(__xludf.DUMMYFUNCTION("""COMPUTED_VALUE"""),"221750125-1")</f>
        <v>221750125-1</v>
      </c>
      <c r="B1785" s="6" t="str">
        <f>IFERROR(__xludf.DUMMYFUNCTION("""COMPUTED_VALUE"""),"221750125 - Approved")</f>
        <v>221750125 - Approved</v>
      </c>
      <c r="C1785" s="6">
        <f>IFERROR(__xludf.DUMMYFUNCTION("""COMPUTED_VALUE"""),1.0)</f>
        <v>1</v>
      </c>
      <c r="D1785" s="6" t="str">
        <f>IFERROR(__xludf.DUMMYFUNCTION("""COMPUTED_VALUE"""),"P-18066-00")</f>
        <v>P-18066-00</v>
      </c>
      <c r="E1785" s="6" t="str">
        <f>IFERROR(__xludf.DUMMYFUNCTION("""COMPUTED_VALUE"""),"Hepa Filter - H13 ( 99,95% ) Size: 610x610x90; ; ;")</f>
        <v>Hepa Filter - H13 ( 99,95% ) Size: 610x610x90; ; ;</v>
      </c>
      <c r="F1785" s="6">
        <f>IFERROR(__xludf.DUMMYFUNCTION("""COMPUTED_VALUE"""),2.0)</f>
        <v>2</v>
      </c>
      <c r="G1785" s="6" t="str">
        <f>IFERROR(__xludf.DUMMYFUNCTION("""COMPUTED_VALUE"""),"Pieces")</f>
        <v>Pieces</v>
      </c>
      <c r="H1785" s="6" t="str">
        <f>IFERROR(__xludf.DUMMYFUNCTION("""COMPUTED_VALUE"""),"IDR")</f>
        <v>IDR</v>
      </c>
      <c r="I1785" s="6">
        <f>IFERROR(__xludf.DUMMYFUNCTION("""COMPUTED_VALUE"""),2015000.0)</f>
        <v>2015000</v>
      </c>
      <c r="J1785" s="6">
        <f>IFERROR(__xludf.DUMMYFUNCTION("""COMPUTED_VALUE"""),4030000.0)</f>
        <v>4030000</v>
      </c>
      <c r="K1785" s="57">
        <f>IFERROR(__xludf.DUMMYFUNCTION("""COMPUTED_VALUE"""),44666.0)</f>
        <v>44666</v>
      </c>
      <c r="L1785" s="6" t="str">
        <f>IFERROR(__xludf.DUMMYFUNCTION("""COMPUTED_VALUE"""),"FIP Engineering")</f>
        <v>FIP Engineering</v>
      </c>
      <c r="M1785" s="6" t="str">
        <f>IFERROR(__xludf.DUMMYFUNCTION("""COMPUTED_VALUE"""),"Irwan Sopian")</f>
        <v>Irwan Sopian</v>
      </c>
      <c r="N1785" s="6" t="str">
        <f>IFERROR(__xludf.DUMMYFUNCTION("""COMPUTED_VALUE"""),"FIP Engineering")</f>
        <v>FIP Engineering</v>
      </c>
      <c r="O1785" s="6" t="str">
        <f>IFERROR(__xludf.DUMMYFUNCTION("""COMPUTED_VALUE"""),"FIP-DOM-000-11304-OS00001-INA-000000")</f>
        <v>FIP-DOM-000-11304-OS00001-INA-000000</v>
      </c>
      <c r="P1785" s="6" t="str">
        <f>IFERROR(__xludf.DUMMYFUNCTION("""COMPUTED_VALUE"""),"PO Closed")</f>
        <v>PO Closed</v>
      </c>
      <c r="Q1785" s="6" t="str">
        <f>IFERROR(__xludf.DUMMYFUNCTION("""COMPUTED_VALUE"""),"GL2204054")</f>
        <v>GL2204054</v>
      </c>
      <c r="R1785" s="57">
        <f>IFERROR(__xludf.DUMMYFUNCTION("""COMPUTED_VALUE"""),44634.0)</f>
        <v>44634</v>
      </c>
      <c r="S1785" s="6" t="str">
        <f>IFERROR(__xludf.DUMMYFUNCTION("""COMPUTED_VALUE"""),"-")</f>
        <v>-</v>
      </c>
      <c r="T1785" s="57">
        <f>IFERROR(__xludf.DUMMYFUNCTION("""COMPUTED_VALUE"""),44680.0)</f>
        <v>44680</v>
      </c>
    </row>
    <row r="1786">
      <c r="A1786" s="6" t="str">
        <f>IFERROR(__xludf.DUMMYFUNCTION("""COMPUTED_VALUE"""),"221750127-1")</f>
        <v>221750127-1</v>
      </c>
      <c r="B1786" s="6" t="str">
        <f>IFERROR(__xludf.DUMMYFUNCTION("""COMPUTED_VALUE"""),"221750127 - Approved")</f>
        <v>221750127 - Approved</v>
      </c>
      <c r="C1786" s="6">
        <f>IFERROR(__xludf.DUMMYFUNCTION("""COMPUTED_VALUE"""),1.0)</f>
        <v>1</v>
      </c>
      <c r="D1786" s="6" t="str">
        <f>IFERROR(__xludf.DUMMYFUNCTION("""COMPUTED_VALUE"""),"T-25027-00")</f>
        <v>T-25027-00</v>
      </c>
      <c r="E1786" s="6" t="str">
        <f>IFERROR(__xludf.DUMMYFUNCTION("""COMPUTED_VALUE"""),"Fitting, Internal Reducer, 1/16 to 1/32 inch; Agilent; p/n: 0100-2594;")</f>
        <v>Fitting, Internal Reducer, 1/16 to 1/32 inch; Agilent; p/n: 0100-2594;</v>
      </c>
      <c r="F1786" s="6">
        <f>IFERROR(__xludf.DUMMYFUNCTION("""COMPUTED_VALUE"""),2.0)</f>
        <v>2</v>
      </c>
      <c r="G1786" s="6" t="str">
        <f>IFERROR(__xludf.DUMMYFUNCTION("""COMPUTED_VALUE"""),"Pieces")</f>
        <v>Pieces</v>
      </c>
      <c r="H1786" s="6" t="str">
        <f>IFERROR(__xludf.DUMMYFUNCTION("""COMPUTED_VALUE"""),"IDR")</f>
        <v>IDR</v>
      </c>
      <c r="I1786" s="6">
        <f>IFERROR(__xludf.DUMMYFUNCTION("""COMPUTED_VALUE"""),643680.0)</f>
        <v>643680</v>
      </c>
      <c r="J1786" s="6">
        <f>IFERROR(__xludf.DUMMYFUNCTION("""COMPUTED_VALUE"""),1287360.0)</f>
        <v>1287360</v>
      </c>
      <c r="K1786" s="57">
        <f>IFERROR(__xludf.DUMMYFUNCTION("""COMPUTED_VALUE"""),44659.0)</f>
        <v>44659</v>
      </c>
      <c r="L1786" s="6" t="str">
        <f>IFERROR(__xludf.DUMMYFUNCTION("""COMPUTED_VALUE"""),"FIP General")</f>
        <v>FIP General</v>
      </c>
      <c r="M1786" s="6" t="str">
        <f>IFERROR(__xludf.DUMMYFUNCTION("""COMPUTED_VALUE"""),"Irwan Sopian")</f>
        <v>Irwan Sopian</v>
      </c>
      <c r="N1786" s="6" t="str">
        <f>IFERROR(__xludf.DUMMYFUNCTION("""COMPUTED_VALUE"""),"FIP Engineering")</f>
        <v>FIP Engineering</v>
      </c>
      <c r="O1786" s="6" t="str">
        <f>IFERROR(__xludf.DUMMYFUNCTION("""COMPUTED_VALUE"""),"FIP-DOM-ENG-51505-0000000-INA-000000")</f>
        <v>FIP-DOM-ENG-51505-0000000-INA-000000</v>
      </c>
      <c r="P1786" s="6" t="str">
        <f>IFERROR(__xludf.DUMMYFUNCTION("""COMPUTED_VALUE"""),"PO Closed")</f>
        <v>PO Closed</v>
      </c>
      <c r="Q1786" s="6" t="str">
        <f>IFERROR(__xludf.DUMMYFUNCTION("""COMPUTED_VALUE"""),"GL2203032")</f>
        <v>GL2203032</v>
      </c>
      <c r="R1786" s="57">
        <f>IFERROR(__xludf.DUMMYFUNCTION("""COMPUTED_VALUE"""),44635.0)</f>
        <v>44635</v>
      </c>
      <c r="S1786" s="6" t="str">
        <f>IFERROR(__xludf.DUMMYFUNCTION("""COMPUTED_VALUE"""),"-")</f>
        <v>-</v>
      </c>
      <c r="T1786" s="57">
        <f>IFERROR(__xludf.DUMMYFUNCTION("""COMPUTED_VALUE"""),44685.0)</f>
        <v>44685</v>
      </c>
    </row>
    <row r="1787">
      <c r="A1787" s="6" t="str">
        <f>IFERROR(__xludf.DUMMYFUNCTION("""COMPUTED_VALUE"""),"221750131-1")</f>
        <v>221750131-1</v>
      </c>
      <c r="B1787" s="6" t="str">
        <f>IFERROR(__xludf.DUMMYFUNCTION("""COMPUTED_VALUE"""),"221750131 - Approved")</f>
        <v>221750131 - Approved</v>
      </c>
      <c r="C1787" s="6">
        <f>IFERROR(__xludf.DUMMYFUNCTION("""COMPUTED_VALUE"""),1.0)</f>
        <v>1</v>
      </c>
      <c r="D1787" s="6" t="str">
        <f>IFERROR(__xludf.DUMMYFUNCTION("""COMPUTED_VALUE"""),"P-51560-00")</f>
        <v>P-51560-00</v>
      </c>
      <c r="E1787" s="6" t="str">
        <f>IFERROR(__xludf.DUMMYFUNCTION("""COMPUTED_VALUE"""),"Lampu T5 28watt Putih Phillips")</f>
        <v>Lampu T5 28watt Putih Phillips</v>
      </c>
      <c r="F1787" s="6">
        <f>IFERROR(__xludf.DUMMYFUNCTION("""COMPUTED_VALUE"""),30.0)</f>
        <v>30</v>
      </c>
      <c r="G1787" s="6" t="str">
        <f>IFERROR(__xludf.DUMMYFUNCTION("""COMPUTED_VALUE"""),"Pieces")</f>
        <v>Pieces</v>
      </c>
      <c r="H1787" s="6" t="str">
        <f>IFERROR(__xludf.DUMMYFUNCTION("""COMPUTED_VALUE"""),"IDR")</f>
        <v>IDR</v>
      </c>
      <c r="I1787" s="6">
        <f>IFERROR(__xludf.DUMMYFUNCTION("""COMPUTED_VALUE"""),43000.0)</f>
        <v>43000</v>
      </c>
      <c r="J1787" s="6">
        <f>IFERROR(__xludf.DUMMYFUNCTION("""COMPUTED_VALUE"""),1290000.0)</f>
        <v>1290000</v>
      </c>
      <c r="K1787" s="57">
        <f>IFERROR(__xludf.DUMMYFUNCTION("""COMPUTED_VALUE"""),44666.0)</f>
        <v>44666</v>
      </c>
      <c r="L1787" s="6" t="str">
        <f>IFERROR(__xludf.DUMMYFUNCTION("""COMPUTED_VALUE"""),"FIP Engineering")</f>
        <v>FIP Engineering</v>
      </c>
      <c r="M1787" s="6" t="str">
        <f>IFERROR(__xludf.DUMMYFUNCTION("""COMPUTED_VALUE"""),"Irwan Sopian")</f>
        <v>Irwan Sopian</v>
      </c>
      <c r="N1787" s="6" t="str">
        <f>IFERROR(__xludf.DUMMYFUNCTION("""COMPUTED_VALUE"""),"FIP Engineering")</f>
        <v>FIP Engineering</v>
      </c>
      <c r="O1787" s="6" t="str">
        <f>IFERROR(__xludf.DUMMYFUNCTION("""COMPUTED_VALUE"""),"FIP-DOM-000-11304-OS00001-INA-000000")</f>
        <v>FIP-DOM-000-11304-OS00001-INA-000000</v>
      </c>
      <c r="P1787" s="6" t="str">
        <f>IFERROR(__xludf.DUMMYFUNCTION("""COMPUTED_VALUE"""),"PO Closed")</f>
        <v>PO Closed</v>
      </c>
      <c r="Q1787" s="6" t="str">
        <f>IFERROR(__xludf.DUMMYFUNCTION("""COMPUTED_VALUE"""),"GL2204005")</f>
        <v>GL2204005</v>
      </c>
      <c r="R1787" s="57">
        <f>IFERROR(__xludf.DUMMYFUNCTION("""COMPUTED_VALUE"""),44636.0)</f>
        <v>44636</v>
      </c>
      <c r="S1787" s="6" t="str">
        <f>IFERROR(__xludf.DUMMYFUNCTION("""COMPUTED_VALUE"""),"-")</f>
        <v>-</v>
      </c>
      <c r="T1787" s="57">
        <f>IFERROR(__xludf.DUMMYFUNCTION("""COMPUTED_VALUE"""),44666.0)</f>
        <v>44666</v>
      </c>
    </row>
    <row r="1788">
      <c r="A1788" s="6" t="str">
        <f>IFERROR(__xludf.DUMMYFUNCTION("""COMPUTED_VALUE"""),"221750131-2")</f>
        <v>221750131-2</v>
      </c>
      <c r="B1788" s="6" t="str">
        <f>IFERROR(__xludf.DUMMYFUNCTION("""COMPUTED_VALUE"""),"221750131 - Approved")</f>
        <v>221750131 - Approved</v>
      </c>
      <c r="C1788" s="6">
        <f>IFERROR(__xludf.DUMMYFUNCTION("""COMPUTED_VALUE"""),2.0)</f>
        <v>2</v>
      </c>
      <c r="D1788" s="6" t="str">
        <f>IFERROR(__xludf.DUMMYFUNCTION("""COMPUTED_VALUE"""),"P-51559-00")</f>
        <v>P-51559-00</v>
      </c>
      <c r="E1788" s="6" t="str">
        <f>IFERROR(__xludf.DUMMYFUNCTION("""COMPUTED_VALUE"""),"Lampu T5 14watt Putih Phillips")</f>
        <v>Lampu T5 14watt Putih Phillips</v>
      </c>
      <c r="F1788" s="6">
        <f>IFERROR(__xludf.DUMMYFUNCTION("""COMPUTED_VALUE"""),30.0)</f>
        <v>30</v>
      </c>
      <c r="G1788" s="6" t="str">
        <f>IFERROR(__xludf.DUMMYFUNCTION("""COMPUTED_VALUE"""),"Pack")</f>
        <v>Pack</v>
      </c>
      <c r="H1788" s="6" t="str">
        <f>IFERROR(__xludf.DUMMYFUNCTION("""COMPUTED_VALUE"""),"IDR")</f>
        <v>IDR</v>
      </c>
      <c r="I1788" s="6">
        <f>IFERROR(__xludf.DUMMYFUNCTION("""COMPUTED_VALUE"""),38500.0)</f>
        <v>38500</v>
      </c>
      <c r="J1788" s="6">
        <f>IFERROR(__xludf.DUMMYFUNCTION("""COMPUTED_VALUE"""),1155000.0)</f>
        <v>1155000</v>
      </c>
      <c r="K1788" s="57">
        <f>IFERROR(__xludf.DUMMYFUNCTION("""COMPUTED_VALUE"""),44666.0)</f>
        <v>44666</v>
      </c>
      <c r="L1788" s="6" t="str">
        <f>IFERROR(__xludf.DUMMYFUNCTION("""COMPUTED_VALUE"""),"FIP Engineering")</f>
        <v>FIP Engineering</v>
      </c>
      <c r="M1788" s="6" t="str">
        <f>IFERROR(__xludf.DUMMYFUNCTION("""COMPUTED_VALUE"""),"Irwan Sopian")</f>
        <v>Irwan Sopian</v>
      </c>
      <c r="N1788" s="6" t="str">
        <f>IFERROR(__xludf.DUMMYFUNCTION("""COMPUTED_VALUE"""),"FIP Engineering")</f>
        <v>FIP Engineering</v>
      </c>
      <c r="O1788" s="6" t="str">
        <f>IFERROR(__xludf.DUMMYFUNCTION("""COMPUTED_VALUE"""),"FIP-DOM-000-11304-OS00001-INA-000000")</f>
        <v>FIP-DOM-000-11304-OS00001-INA-000000</v>
      </c>
      <c r="P1788" s="6" t="str">
        <f>IFERROR(__xludf.DUMMYFUNCTION("""COMPUTED_VALUE"""),"PO Closed")</f>
        <v>PO Closed</v>
      </c>
      <c r="Q1788" s="6" t="str">
        <f>IFERROR(__xludf.DUMMYFUNCTION("""COMPUTED_VALUE"""),"GL2204005")</f>
        <v>GL2204005</v>
      </c>
      <c r="R1788" s="57">
        <f>IFERROR(__xludf.DUMMYFUNCTION("""COMPUTED_VALUE"""),44636.0)</f>
        <v>44636</v>
      </c>
      <c r="S1788" s="6" t="str">
        <f>IFERROR(__xludf.DUMMYFUNCTION("""COMPUTED_VALUE"""),"-")</f>
        <v>-</v>
      </c>
      <c r="T1788" s="57">
        <f>IFERROR(__xludf.DUMMYFUNCTION("""COMPUTED_VALUE"""),44666.0)</f>
        <v>44666</v>
      </c>
    </row>
    <row r="1789">
      <c r="A1789" s="6" t="str">
        <f>IFERROR(__xludf.DUMMYFUNCTION("""COMPUTED_VALUE"""),"221750131-3")</f>
        <v>221750131-3</v>
      </c>
      <c r="B1789" s="6" t="str">
        <f>IFERROR(__xludf.DUMMYFUNCTION("""COMPUTED_VALUE"""),"221750131 - Approved")</f>
        <v>221750131 - Approved</v>
      </c>
      <c r="C1789" s="6">
        <f>IFERROR(__xludf.DUMMYFUNCTION("""COMPUTED_VALUE"""),3.0)</f>
        <v>3</v>
      </c>
      <c r="D1789" s="6" t="str">
        <f>IFERROR(__xludf.DUMMYFUNCTION("""COMPUTED_VALUE"""),"P-51027-00")</f>
        <v>P-51027-00</v>
      </c>
      <c r="E178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789" s="6">
        <f>IFERROR(__xludf.DUMMYFUNCTION("""COMPUTED_VALUE"""),5.0)</f>
        <v>5</v>
      </c>
      <c r="G1789" s="6" t="str">
        <f>IFERROR(__xludf.DUMMYFUNCTION("""COMPUTED_VALUE"""),"Pieces")</f>
        <v>Pieces</v>
      </c>
      <c r="H1789" s="6" t="str">
        <f>IFERROR(__xludf.DUMMYFUNCTION("""COMPUTED_VALUE"""),"IDR")</f>
        <v>IDR</v>
      </c>
      <c r="I1789" s="6">
        <f>IFERROR(__xludf.DUMMYFUNCTION("""COMPUTED_VALUE"""),47700.0)</f>
        <v>47700</v>
      </c>
      <c r="J1789" s="6">
        <f>IFERROR(__xludf.DUMMYFUNCTION("""COMPUTED_VALUE"""),238500.0)</f>
        <v>238500</v>
      </c>
      <c r="K1789" s="57">
        <f>IFERROR(__xludf.DUMMYFUNCTION("""COMPUTED_VALUE"""),44666.0)</f>
        <v>44666</v>
      </c>
      <c r="L1789" s="6" t="str">
        <f>IFERROR(__xludf.DUMMYFUNCTION("""COMPUTED_VALUE"""),"FIP Engineering")</f>
        <v>FIP Engineering</v>
      </c>
      <c r="M1789" s="6" t="str">
        <f>IFERROR(__xludf.DUMMYFUNCTION("""COMPUTED_VALUE"""),"Irwan Sopian")</f>
        <v>Irwan Sopian</v>
      </c>
      <c r="N1789" s="6" t="str">
        <f>IFERROR(__xludf.DUMMYFUNCTION("""COMPUTED_VALUE"""),"FIP Engineering")</f>
        <v>FIP Engineering</v>
      </c>
      <c r="O1789" s="6" t="str">
        <f>IFERROR(__xludf.DUMMYFUNCTION("""COMPUTED_VALUE"""),"FIP-DOM-000-11304-OS00001-INA-000000")</f>
        <v>FIP-DOM-000-11304-OS00001-INA-000000</v>
      </c>
      <c r="P1789" s="6" t="str">
        <f>IFERROR(__xludf.DUMMYFUNCTION("""COMPUTED_VALUE"""),"PO Closed")</f>
        <v>PO Closed</v>
      </c>
      <c r="Q1789" s="6" t="str">
        <f>IFERROR(__xludf.DUMMYFUNCTION("""COMPUTED_VALUE"""),"GL2204005")</f>
        <v>GL2204005</v>
      </c>
      <c r="R1789" s="57">
        <f>IFERROR(__xludf.DUMMYFUNCTION("""COMPUTED_VALUE"""),44636.0)</f>
        <v>44636</v>
      </c>
      <c r="S1789" s="6" t="str">
        <f>IFERROR(__xludf.DUMMYFUNCTION("""COMPUTED_VALUE"""),"-")</f>
        <v>-</v>
      </c>
      <c r="T1789" s="57">
        <f>IFERROR(__xludf.DUMMYFUNCTION("""COMPUTED_VALUE"""),44666.0)</f>
        <v>44666</v>
      </c>
    </row>
    <row r="1790">
      <c r="A1790" s="6" t="str">
        <f>IFERROR(__xludf.DUMMYFUNCTION("""COMPUTED_VALUE"""),"221750131-4")</f>
        <v>221750131-4</v>
      </c>
      <c r="B1790" s="6" t="str">
        <f>IFERROR(__xludf.DUMMYFUNCTION("""COMPUTED_VALUE"""),"221750131 - Approved")</f>
        <v>221750131 - Approved</v>
      </c>
      <c r="C1790" s="6">
        <f>IFERROR(__xludf.DUMMYFUNCTION("""COMPUTED_VALUE"""),4.0)</f>
        <v>4</v>
      </c>
      <c r="D1790" s="6" t="str">
        <f>IFERROR(__xludf.DUMMYFUNCTION("""COMPUTED_VALUE"""),"O-15931-00")</f>
        <v>O-15931-00</v>
      </c>
      <c r="E1790" s="6" t="str">
        <f>IFERROR(__xludf.DUMMYFUNCTION("""COMPUTED_VALUE"""),"Double Tape 3M 1"" Merah - P/N : - pc")</f>
        <v>Double Tape 3M 1" Merah - P/N : - pc</v>
      </c>
      <c r="F1790" s="6">
        <f>IFERROR(__xludf.DUMMYFUNCTION("""COMPUTED_VALUE"""),4.0)</f>
        <v>4</v>
      </c>
      <c r="G1790" s="6" t="str">
        <f>IFERROR(__xludf.DUMMYFUNCTION("""COMPUTED_VALUE"""),"Pieces")</f>
        <v>Pieces</v>
      </c>
      <c r="H1790" s="6" t="str">
        <f>IFERROR(__xludf.DUMMYFUNCTION("""COMPUTED_VALUE"""),"IDR")</f>
        <v>IDR</v>
      </c>
      <c r="I1790" s="6">
        <f>IFERROR(__xludf.DUMMYFUNCTION("""COMPUTED_VALUE"""),78500.0)</f>
        <v>78500</v>
      </c>
      <c r="J1790" s="6">
        <f>IFERROR(__xludf.DUMMYFUNCTION("""COMPUTED_VALUE"""),314000.0)</f>
        <v>314000</v>
      </c>
      <c r="K1790" s="57">
        <f>IFERROR(__xludf.DUMMYFUNCTION("""COMPUTED_VALUE"""),44666.0)</f>
        <v>44666</v>
      </c>
      <c r="L1790" s="6" t="str">
        <f>IFERROR(__xludf.DUMMYFUNCTION("""COMPUTED_VALUE"""),"FIP Engineering")</f>
        <v>FIP Engineering</v>
      </c>
      <c r="M1790" s="6" t="str">
        <f>IFERROR(__xludf.DUMMYFUNCTION("""COMPUTED_VALUE"""),"Irwan Sopian")</f>
        <v>Irwan Sopian</v>
      </c>
      <c r="N1790" s="6" t="str">
        <f>IFERROR(__xludf.DUMMYFUNCTION("""COMPUTED_VALUE"""),"FIP Engineering")</f>
        <v>FIP Engineering</v>
      </c>
      <c r="O1790" s="6" t="str">
        <f>IFERROR(__xludf.DUMMYFUNCTION("""COMPUTED_VALUE"""),"FIP-DOM-000-11304-OS00001-INA-000000")</f>
        <v>FIP-DOM-000-11304-OS00001-INA-000000</v>
      </c>
      <c r="P1790" s="6" t="str">
        <f>IFERROR(__xludf.DUMMYFUNCTION("""COMPUTED_VALUE"""),"PO Closed")</f>
        <v>PO Closed</v>
      </c>
      <c r="Q1790" s="6" t="str">
        <f>IFERROR(__xludf.DUMMYFUNCTION("""COMPUTED_VALUE"""),"GL2204005")</f>
        <v>GL2204005</v>
      </c>
      <c r="R1790" s="57">
        <f>IFERROR(__xludf.DUMMYFUNCTION("""COMPUTED_VALUE"""),44636.0)</f>
        <v>44636</v>
      </c>
      <c r="S1790" s="6" t="str">
        <f>IFERROR(__xludf.DUMMYFUNCTION("""COMPUTED_VALUE"""),"-")</f>
        <v>-</v>
      </c>
      <c r="T1790" s="57">
        <f>IFERROR(__xludf.DUMMYFUNCTION("""COMPUTED_VALUE"""),44666.0)</f>
        <v>44666</v>
      </c>
    </row>
    <row r="1791">
      <c r="A1791" s="6" t="str">
        <f>IFERROR(__xludf.DUMMYFUNCTION("""COMPUTED_VALUE"""),"221750131-5")</f>
        <v>221750131-5</v>
      </c>
      <c r="B1791" s="6" t="str">
        <f>IFERROR(__xludf.DUMMYFUNCTION("""COMPUTED_VALUE"""),"221750131 - Approved")</f>
        <v>221750131 - Approved</v>
      </c>
      <c r="C1791" s="6">
        <f>IFERROR(__xludf.DUMMYFUNCTION("""COMPUTED_VALUE"""),5.0)</f>
        <v>5</v>
      </c>
      <c r="D1791" s="6" t="str">
        <f>IFERROR(__xludf.DUMMYFUNCTION("""COMPUTED_VALUE"""),"P-15852-00")</f>
        <v>P-15852-00</v>
      </c>
      <c r="E1791" s="6" t="str">
        <f>IFERROR(__xludf.DUMMYFUNCTION("""COMPUTED_VALUE"""),"AMPLAS EAGLE 500")</f>
        <v>AMPLAS EAGLE 500</v>
      </c>
      <c r="F1791" s="6">
        <f>IFERROR(__xludf.DUMMYFUNCTION("""COMPUTED_VALUE"""),10.0)</f>
        <v>10</v>
      </c>
      <c r="G1791" s="6" t="str">
        <f>IFERROR(__xludf.DUMMYFUNCTION("""COMPUTED_VALUE"""),"Pieces")</f>
        <v>Pieces</v>
      </c>
      <c r="H1791" s="6" t="str">
        <f>IFERROR(__xludf.DUMMYFUNCTION("""COMPUTED_VALUE"""),"IDR")</f>
        <v>IDR</v>
      </c>
      <c r="I1791" s="6">
        <f>IFERROR(__xludf.DUMMYFUNCTION("""COMPUTED_VALUE"""),5800.0)</f>
        <v>5800</v>
      </c>
      <c r="J1791" s="6">
        <f>IFERROR(__xludf.DUMMYFUNCTION("""COMPUTED_VALUE"""),58000.0)</f>
        <v>58000</v>
      </c>
      <c r="K1791" s="57">
        <f>IFERROR(__xludf.DUMMYFUNCTION("""COMPUTED_VALUE"""),44666.0)</f>
        <v>44666</v>
      </c>
      <c r="L1791" s="6" t="str">
        <f>IFERROR(__xludf.DUMMYFUNCTION("""COMPUTED_VALUE"""),"FIP Engineering")</f>
        <v>FIP Engineering</v>
      </c>
      <c r="M1791" s="6" t="str">
        <f>IFERROR(__xludf.DUMMYFUNCTION("""COMPUTED_VALUE"""),"Irwan Sopian")</f>
        <v>Irwan Sopian</v>
      </c>
      <c r="N1791" s="6" t="str">
        <f>IFERROR(__xludf.DUMMYFUNCTION("""COMPUTED_VALUE"""),"FIP Engineering")</f>
        <v>FIP Engineering</v>
      </c>
      <c r="O1791" s="6" t="str">
        <f>IFERROR(__xludf.DUMMYFUNCTION("""COMPUTED_VALUE"""),"FIP-DOM-000-11304-OS00001-INA-000000")</f>
        <v>FIP-DOM-000-11304-OS00001-INA-000000</v>
      </c>
      <c r="P1791" s="6" t="str">
        <f>IFERROR(__xludf.DUMMYFUNCTION("""COMPUTED_VALUE"""),"PO Closed")</f>
        <v>PO Closed</v>
      </c>
      <c r="Q1791" s="6" t="str">
        <f>IFERROR(__xludf.DUMMYFUNCTION("""COMPUTED_VALUE"""),"GL2204005")</f>
        <v>GL2204005</v>
      </c>
      <c r="R1791" s="57">
        <f>IFERROR(__xludf.DUMMYFUNCTION("""COMPUTED_VALUE"""),44636.0)</f>
        <v>44636</v>
      </c>
      <c r="S1791" s="6" t="str">
        <f>IFERROR(__xludf.DUMMYFUNCTION("""COMPUTED_VALUE"""),"-")</f>
        <v>-</v>
      </c>
      <c r="T1791" s="57">
        <f>IFERROR(__xludf.DUMMYFUNCTION("""COMPUTED_VALUE"""),44666.0)</f>
        <v>44666</v>
      </c>
    </row>
    <row r="1792">
      <c r="A1792" s="6" t="str">
        <f>IFERROR(__xludf.DUMMYFUNCTION("""COMPUTED_VALUE"""),"221750131-6")</f>
        <v>221750131-6</v>
      </c>
      <c r="B1792" s="6" t="str">
        <f>IFERROR(__xludf.DUMMYFUNCTION("""COMPUTED_VALUE"""),"221750131 - Approved")</f>
        <v>221750131 - Approved</v>
      </c>
      <c r="C1792" s="6">
        <f>IFERROR(__xludf.DUMMYFUNCTION("""COMPUTED_VALUE"""),6.0)</f>
        <v>6</v>
      </c>
      <c r="D1792" s="6" t="str">
        <f>IFERROR(__xludf.DUMMYFUNCTION("""COMPUTED_VALUE"""),"Q-10492-00")</f>
        <v>Q-10492-00</v>
      </c>
      <c r="E1792" s="6" t="str">
        <f>IFERROR(__xludf.DUMMYFUNCTION("""COMPUTED_VALUE"""),"Amplas lembar")</f>
        <v>Amplas lembar</v>
      </c>
      <c r="F1792" s="6">
        <f>IFERROR(__xludf.DUMMYFUNCTION("""COMPUTED_VALUE"""),10.0)</f>
        <v>10</v>
      </c>
      <c r="G1792" s="6" t="str">
        <f>IFERROR(__xludf.DUMMYFUNCTION("""COMPUTED_VALUE"""),"Pieces")</f>
        <v>Pieces</v>
      </c>
      <c r="H1792" s="6" t="str">
        <f>IFERROR(__xludf.DUMMYFUNCTION("""COMPUTED_VALUE"""),"IDR")</f>
        <v>IDR</v>
      </c>
      <c r="I1792" s="6">
        <f>IFERROR(__xludf.DUMMYFUNCTION("""COMPUTED_VALUE"""),5800.0)</f>
        <v>5800</v>
      </c>
      <c r="J1792" s="6">
        <f>IFERROR(__xludf.DUMMYFUNCTION("""COMPUTED_VALUE"""),58000.0)</f>
        <v>58000</v>
      </c>
      <c r="K1792" s="57">
        <f>IFERROR(__xludf.DUMMYFUNCTION("""COMPUTED_VALUE"""),44666.0)</f>
        <v>44666</v>
      </c>
      <c r="L1792" s="6" t="str">
        <f>IFERROR(__xludf.DUMMYFUNCTION("""COMPUTED_VALUE"""),"FIP General")</f>
        <v>FIP General</v>
      </c>
      <c r="M1792" s="6" t="str">
        <f>IFERROR(__xludf.DUMMYFUNCTION("""COMPUTED_VALUE"""),"Irwan Sopian")</f>
        <v>Irwan Sopian</v>
      </c>
      <c r="N1792" s="6" t="str">
        <f>IFERROR(__xludf.DUMMYFUNCTION("""COMPUTED_VALUE"""),"FIP Engineering")</f>
        <v>FIP Engineering</v>
      </c>
      <c r="O1792" s="6" t="str">
        <f>IFERROR(__xludf.DUMMYFUNCTION("""COMPUTED_VALUE"""),"FIP-DOM-ENG-51404-0000000-INA-000000")</f>
        <v>FIP-DOM-ENG-51404-0000000-INA-000000</v>
      </c>
      <c r="P1792" s="6" t="str">
        <f>IFERROR(__xludf.DUMMYFUNCTION("""COMPUTED_VALUE"""),"PO Closed")</f>
        <v>PO Closed</v>
      </c>
      <c r="Q1792" s="6" t="str">
        <f>IFERROR(__xludf.DUMMYFUNCTION("""COMPUTED_VALUE"""),"GL2204005")</f>
        <v>GL2204005</v>
      </c>
      <c r="R1792" s="57">
        <f>IFERROR(__xludf.DUMMYFUNCTION("""COMPUTED_VALUE"""),44636.0)</f>
        <v>44636</v>
      </c>
      <c r="S1792" s="6" t="str">
        <f>IFERROR(__xludf.DUMMYFUNCTION("""COMPUTED_VALUE"""),"-")</f>
        <v>-</v>
      </c>
      <c r="T1792" s="57">
        <f>IFERROR(__xludf.DUMMYFUNCTION("""COMPUTED_VALUE"""),44666.0)</f>
        <v>44666</v>
      </c>
    </row>
    <row r="1793">
      <c r="A1793" s="6" t="str">
        <f>IFERROR(__xludf.DUMMYFUNCTION("""COMPUTED_VALUE"""),"221750131-7")</f>
        <v>221750131-7</v>
      </c>
      <c r="B1793" s="6" t="str">
        <f>IFERROR(__xludf.DUMMYFUNCTION("""COMPUTED_VALUE"""),"221750131 - Approved")</f>
        <v>221750131 - Approved</v>
      </c>
      <c r="C1793" s="6">
        <f>IFERROR(__xludf.DUMMYFUNCTION("""COMPUTED_VALUE"""),7.0)</f>
        <v>7</v>
      </c>
      <c r="D1793" s="6" t="str">
        <f>IFERROR(__xludf.DUMMYFUNCTION("""COMPUTED_VALUE"""),"P-10945-00")</f>
        <v>P-10945-00</v>
      </c>
      <c r="E1793" s="6" t="str">
        <f>IFERROR(__xludf.DUMMYFUNCTION("""COMPUTED_VALUE"""),"Insulation - Seal Tape onda")</f>
        <v>Insulation - Seal Tape onda</v>
      </c>
      <c r="F1793" s="6">
        <f>IFERROR(__xludf.DUMMYFUNCTION("""COMPUTED_VALUE"""),6.0)</f>
        <v>6</v>
      </c>
      <c r="G1793" s="6" t="str">
        <f>IFERROR(__xludf.DUMMYFUNCTION("""COMPUTED_VALUE"""),"Pieces")</f>
        <v>Pieces</v>
      </c>
      <c r="H1793" s="6" t="str">
        <f>IFERROR(__xludf.DUMMYFUNCTION("""COMPUTED_VALUE"""),"IDR")</f>
        <v>IDR</v>
      </c>
      <c r="I1793" s="6">
        <f>IFERROR(__xludf.DUMMYFUNCTION("""COMPUTED_VALUE"""),5000.0)</f>
        <v>5000</v>
      </c>
      <c r="J1793" s="6">
        <f>IFERROR(__xludf.DUMMYFUNCTION("""COMPUTED_VALUE"""),30000.0)</f>
        <v>30000</v>
      </c>
      <c r="K1793" s="57">
        <f>IFERROR(__xludf.DUMMYFUNCTION("""COMPUTED_VALUE"""),44666.0)</f>
        <v>44666</v>
      </c>
      <c r="L1793" s="6" t="str">
        <f>IFERROR(__xludf.DUMMYFUNCTION("""COMPUTED_VALUE"""),"FIP Engineering")</f>
        <v>FIP Engineering</v>
      </c>
      <c r="M1793" s="6" t="str">
        <f>IFERROR(__xludf.DUMMYFUNCTION("""COMPUTED_VALUE"""),"Irwan Sopian")</f>
        <v>Irwan Sopian</v>
      </c>
      <c r="N1793" s="6" t="str">
        <f>IFERROR(__xludf.DUMMYFUNCTION("""COMPUTED_VALUE"""),"FIP Engineering")</f>
        <v>FIP Engineering</v>
      </c>
      <c r="O1793" s="6" t="str">
        <f>IFERROR(__xludf.DUMMYFUNCTION("""COMPUTED_VALUE"""),"FIP-DOM-000-11304-OS00001-INA-000000")</f>
        <v>FIP-DOM-000-11304-OS00001-INA-000000</v>
      </c>
      <c r="P1793" s="6" t="str">
        <f>IFERROR(__xludf.DUMMYFUNCTION("""COMPUTED_VALUE"""),"PO Closed")</f>
        <v>PO Closed</v>
      </c>
      <c r="Q1793" s="6" t="str">
        <f>IFERROR(__xludf.DUMMYFUNCTION("""COMPUTED_VALUE"""),"GL2204005")</f>
        <v>GL2204005</v>
      </c>
      <c r="R1793" s="57">
        <f>IFERROR(__xludf.DUMMYFUNCTION("""COMPUTED_VALUE"""),44636.0)</f>
        <v>44636</v>
      </c>
      <c r="S1793" s="6" t="str">
        <f>IFERROR(__xludf.DUMMYFUNCTION("""COMPUTED_VALUE"""),"-")</f>
        <v>-</v>
      </c>
      <c r="T1793" s="57">
        <f>IFERROR(__xludf.DUMMYFUNCTION("""COMPUTED_VALUE"""),44666.0)</f>
        <v>44666</v>
      </c>
    </row>
    <row r="1794">
      <c r="A1794" s="6" t="str">
        <f>IFERROR(__xludf.DUMMYFUNCTION("""COMPUTED_VALUE"""),"221750130-1")</f>
        <v>221750130-1</v>
      </c>
      <c r="B1794" s="6" t="str">
        <f>IFERROR(__xludf.DUMMYFUNCTION("""COMPUTED_VALUE"""),"221750130 - Approved")</f>
        <v>221750130 - Approved</v>
      </c>
      <c r="C1794" s="6">
        <f>IFERROR(__xludf.DUMMYFUNCTION("""COMPUTED_VALUE"""),1.0)</f>
        <v>1</v>
      </c>
      <c r="D1794" s="6" t="str">
        <f>IFERROR(__xludf.DUMMYFUNCTION("""COMPUTED_VALUE"""),"S-60002-00")</f>
        <v>S-60002-00</v>
      </c>
      <c r="E1794" s="6" t="str">
        <f>IFERROR(__xludf.DUMMYFUNCTION("""COMPUTED_VALUE"""),"Repair Mesin Chamber Cooling Cabinet Wet Lab")</f>
        <v>Repair Mesin Chamber Cooling Cabinet Wet Lab</v>
      </c>
      <c r="F1794" s="6">
        <f>IFERROR(__xludf.DUMMYFUNCTION("""COMPUTED_VALUE"""),1.0)</f>
        <v>1</v>
      </c>
      <c r="G1794" s="6" t="str">
        <f>IFERROR(__xludf.DUMMYFUNCTION("""COMPUTED_VALUE"""),"Lot")</f>
        <v>Lot</v>
      </c>
      <c r="H1794" s="6" t="str">
        <f>IFERROR(__xludf.DUMMYFUNCTION("""COMPUTED_VALUE"""),"IDR")</f>
        <v>IDR</v>
      </c>
      <c r="I1794" s="6">
        <f>IFERROR(__xludf.DUMMYFUNCTION("""COMPUTED_VALUE"""),2250000.0)</f>
        <v>2250000</v>
      </c>
      <c r="J1794" s="6">
        <f>IFERROR(__xludf.DUMMYFUNCTION("""COMPUTED_VALUE"""),2250000.0)</f>
        <v>2250000</v>
      </c>
      <c r="K1794" s="57">
        <f>IFERROR(__xludf.DUMMYFUNCTION("""COMPUTED_VALUE"""),44666.0)</f>
        <v>44666</v>
      </c>
      <c r="L1794" s="6" t="str">
        <f>IFERROR(__xludf.DUMMYFUNCTION("""COMPUTED_VALUE"""),"FIP General")</f>
        <v>FIP General</v>
      </c>
      <c r="M1794" s="6" t="str">
        <f>IFERROR(__xludf.DUMMYFUNCTION("""COMPUTED_VALUE"""),"Irwan Sopian")</f>
        <v>Irwan Sopian</v>
      </c>
      <c r="N1794" s="6" t="str">
        <f>IFERROR(__xludf.DUMMYFUNCTION("""COMPUTED_VALUE"""),"FIP Engineering")</f>
        <v>FIP Engineering</v>
      </c>
      <c r="O1794" s="6" t="str">
        <f>IFERROR(__xludf.DUMMYFUNCTION("""COMPUTED_VALUE"""),"FIP-DOM-ENG-51508-0000000-INA-000000")</f>
        <v>FIP-DOM-ENG-51508-0000000-INA-000000</v>
      </c>
      <c r="P1794" s="6" t="str">
        <f>IFERROR(__xludf.DUMMYFUNCTION("""COMPUTED_VALUE"""),"PO Closed")</f>
        <v>PO Closed</v>
      </c>
      <c r="Q1794" s="6" t="str">
        <f>IFERROR(__xludf.DUMMYFUNCTION("""COMPUTED_VALUE"""),"GL2204057")</f>
        <v>GL2204057</v>
      </c>
      <c r="R1794" s="57">
        <f>IFERROR(__xludf.DUMMYFUNCTION("""COMPUTED_VALUE"""),44636.0)</f>
        <v>44636</v>
      </c>
      <c r="S1794" s="6" t="str">
        <f>IFERROR(__xludf.DUMMYFUNCTION("""COMPUTED_VALUE"""),"-")</f>
        <v>-</v>
      </c>
      <c r="T1794" s="57">
        <f>IFERROR(__xludf.DUMMYFUNCTION("""COMPUTED_VALUE"""),44680.0)</f>
        <v>44680</v>
      </c>
    </row>
    <row r="1795">
      <c r="A1795" s="6" t="str">
        <f>IFERROR(__xludf.DUMMYFUNCTION("""COMPUTED_VALUE"""),"221750129-1")</f>
        <v>221750129-1</v>
      </c>
      <c r="B1795" s="6" t="str">
        <f>IFERROR(__xludf.DUMMYFUNCTION("""COMPUTED_VALUE"""),"221750129 - Approved")</f>
        <v>221750129 - Approved</v>
      </c>
      <c r="C1795" s="6">
        <f>IFERROR(__xludf.DUMMYFUNCTION("""COMPUTED_VALUE"""),1.0)</f>
        <v>1</v>
      </c>
      <c r="D1795" s="6" t="str">
        <f>IFERROR(__xludf.DUMMYFUNCTION("""COMPUTED_VALUE"""),"S-60050-00")</f>
        <v>S-60050-00</v>
      </c>
      <c r="E1795" s="6" t="str">
        <f>IFERROR(__xludf.DUMMYFUNCTION("""COMPUTED_VALUE"""),"Perbaikan Keypad, Power and Battery Status Beckman Coulter dan Service Internal Jumper Power Kabel")</f>
        <v>Perbaikan Keypad, Power and Battery Status Beckman Coulter dan Service Internal Jumper Power Kabel</v>
      </c>
      <c r="F1795" s="6">
        <f>IFERROR(__xludf.DUMMYFUNCTION("""COMPUTED_VALUE"""),1.0)</f>
        <v>1</v>
      </c>
      <c r="G1795" s="6" t="str">
        <f>IFERROR(__xludf.DUMMYFUNCTION("""COMPUTED_VALUE"""),"Pieces")</f>
        <v>Pieces</v>
      </c>
      <c r="H1795" s="6" t="str">
        <f>IFERROR(__xludf.DUMMYFUNCTION("""COMPUTED_VALUE"""),"IDR")</f>
        <v>IDR</v>
      </c>
      <c r="I1795" s="6">
        <f>IFERROR(__xludf.DUMMYFUNCTION("""COMPUTED_VALUE"""),1950000.0)</f>
        <v>1950000</v>
      </c>
      <c r="J1795" s="6">
        <f>IFERROR(__xludf.DUMMYFUNCTION("""COMPUTED_VALUE"""),1950000.0)</f>
        <v>1950000</v>
      </c>
      <c r="K1795" s="57">
        <f>IFERROR(__xludf.DUMMYFUNCTION("""COMPUTED_VALUE"""),44659.0)</f>
        <v>44659</v>
      </c>
      <c r="L1795" s="6" t="str">
        <f>IFERROR(__xludf.DUMMYFUNCTION("""COMPUTED_VALUE"""),"FIP General")</f>
        <v>FIP General</v>
      </c>
      <c r="M1795" s="6" t="str">
        <f>IFERROR(__xludf.DUMMYFUNCTION("""COMPUTED_VALUE"""),"Irwan Sopian")</f>
        <v>Irwan Sopian</v>
      </c>
      <c r="N1795" s="6" t="str">
        <f>IFERROR(__xludf.DUMMYFUNCTION("""COMPUTED_VALUE"""),"FIP Engineering")</f>
        <v>FIP Engineering</v>
      </c>
      <c r="O1795" s="6" t="str">
        <f>IFERROR(__xludf.DUMMYFUNCTION("""COMPUTED_VALUE"""),"FIP-DOM-ENG-51504-0000000-INA-000000")</f>
        <v>FIP-DOM-ENG-51504-0000000-INA-000000</v>
      </c>
      <c r="P1795" s="6" t="str">
        <f>IFERROR(__xludf.DUMMYFUNCTION("""COMPUTED_VALUE"""),"PO Closed")</f>
        <v>PO Closed</v>
      </c>
      <c r="Q1795" s="6" t="str">
        <f>IFERROR(__xludf.DUMMYFUNCTION("""COMPUTED_VALUE"""),"GL2204043")</f>
        <v>GL2204043</v>
      </c>
      <c r="R1795" s="57">
        <f>IFERROR(__xludf.DUMMYFUNCTION("""COMPUTED_VALUE"""),44636.0)</f>
        <v>44636</v>
      </c>
      <c r="S1795" s="6" t="str">
        <f>IFERROR(__xludf.DUMMYFUNCTION("""COMPUTED_VALUE"""),"-")</f>
        <v>-</v>
      </c>
      <c r="T1795" s="57">
        <f>IFERROR(__xludf.DUMMYFUNCTION("""COMPUTED_VALUE"""),44677.0)</f>
        <v>44677</v>
      </c>
    </row>
    <row r="1796">
      <c r="A1796" s="6" t="str">
        <f>IFERROR(__xludf.DUMMYFUNCTION("""COMPUTED_VALUE"""),"221750150-1")</f>
        <v>221750150-1</v>
      </c>
      <c r="B1796" s="6" t="str">
        <f>IFERROR(__xludf.DUMMYFUNCTION("""COMPUTED_VALUE"""),"221750150 - Approved")</f>
        <v>221750150 - Approved</v>
      </c>
      <c r="C1796" s="6">
        <f>IFERROR(__xludf.DUMMYFUNCTION("""COMPUTED_VALUE"""),1.0)</f>
        <v>1</v>
      </c>
      <c r="D1796" s="6" t="str">
        <f>IFERROR(__xludf.DUMMYFUNCTION("""COMPUTED_VALUE"""),"O-16770-00")</f>
        <v>O-16770-00</v>
      </c>
      <c r="E1796" s="6" t="str">
        <f>IFERROR(__xludf.DUMMYFUNCTION("""COMPUTED_VALUE"""),"Oring Silicone Merah 30.3 x 27.2 x 1.75 mm")</f>
        <v>Oring Silicone Merah 30.3 x 27.2 x 1.75 mm</v>
      </c>
      <c r="F1796" s="6">
        <f>IFERROR(__xludf.DUMMYFUNCTION("""COMPUTED_VALUE"""),20.0)</f>
        <v>20</v>
      </c>
      <c r="G1796" s="6" t="str">
        <f>IFERROR(__xludf.DUMMYFUNCTION("""COMPUTED_VALUE"""),"Pieces")</f>
        <v>Pieces</v>
      </c>
      <c r="H1796" s="6" t="str">
        <f>IFERROR(__xludf.DUMMYFUNCTION("""COMPUTED_VALUE"""),"IDR")</f>
        <v>IDR</v>
      </c>
      <c r="I1796" s="6">
        <f>IFERROR(__xludf.DUMMYFUNCTION("""COMPUTED_VALUE"""),27500.0)</f>
        <v>27500</v>
      </c>
      <c r="J1796" s="6">
        <f>IFERROR(__xludf.DUMMYFUNCTION("""COMPUTED_VALUE"""),550000.0)</f>
        <v>550000</v>
      </c>
      <c r="K1796" s="57">
        <f>IFERROR(__xludf.DUMMYFUNCTION("""COMPUTED_VALUE"""),44673.0)</f>
        <v>44673</v>
      </c>
      <c r="L1796" s="6" t="str">
        <f>IFERROR(__xludf.DUMMYFUNCTION("""COMPUTED_VALUE"""),"FIP Engineering")</f>
        <v>FIP Engineering</v>
      </c>
      <c r="M1796" s="6" t="str">
        <f>IFERROR(__xludf.DUMMYFUNCTION("""COMPUTED_VALUE"""),"Irwan Sopian")</f>
        <v>Irwan Sopian</v>
      </c>
      <c r="N1796" s="6" t="str">
        <f>IFERROR(__xludf.DUMMYFUNCTION("""COMPUTED_VALUE"""),"FIP Engineering")</f>
        <v>FIP Engineering</v>
      </c>
      <c r="O1796" s="6" t="str">
        <f>IFERROR(__xludf.DUMMYFUNCTION("""COMPUTED_VALUE"""),"FIP-DOM-000-11304-OS00001-INA-000000")</f>
        <v>FIP-DOM-000-11304-OS00001-INA-000000</v>
      </c>
      <c r="P1796" s="6" t="str">
        <f>IFERROR(__xludf.DUMMYFUNCTION("""COMPUTED_VALUE"""),"PO Closed")</f>
        <v>PO Closed</v>
      </c>
      <c r="Q1796" s="6" t="str">
        <f>IFERROR(__xludf.DUMMYFUNCTION("""COMPUTED_VALUE"""),"GL2204046")</f>
        <v>GL2204046</v>
      </c>
      <c r="R1796" s="57">
        <f>IFERROR(__xludf.DUMMYFUNCTION("""COMPUTED_VALUE"""),44644.0)</f>
        <v>44644</v>
      </c>
      <c r="S1796" s="6" t="str">
        <f>IFERROR(__xludf.DUMMYFUNCTION("""COMPUTED_VALUE"""),"-")</f>
        <v>-</v>
      </c>
      <c r="T1796" s="57">
        <f>IFERROR(__xludf.DUMMYFUNCTION("""COMPUTED_VALUE"""),44680.0)</f>
        <v>44680</v>
      </c>
    </row>
    <row r="1797">
      <c r="A1797" s="6" t="str">
        <f>IFERROR(__xludf.DUMMYFUNCTION("""COMPUTED_VALUE"""),"221750150-2")</f>
        <v>221750150-2</v>
      </c>
      <c r="B1797" s="6" t="str">
        <f>IFERROR(__xludf.DUMMYFUNCTION("""COMPUTED_VALUE"""),"221750150 - Approved")</f>
        <v>221750150 - Approved</v>
      </c>
      <c r="C1797" s="6">
        <f>IFERROR(__xludf.DUMMYFUNCTION("""COMPUTED_VALUE"""),2.0)</f>
        <v>2</v>
      </c>
      <c r="D1797" s="6" t="str">
        <f>IFERROR(__xludf.DUMMYFUNCTION("""COMPUTED_VALUE"""),"O-18350-00")</f>
        <v>O-18350-00</v>
      </c>
      <c r="E1797" s="6" t="str">
        <f>IFERROR(__xludf.DUMMYFUNCTION("""COMPUTED_VALUE"""),"Oring EDM 100x105x2.5 mm")</f>
        <v>Oring EDM 100x105x2.5 mm</v>
      </c>
      <c r="F1797" s="6">
        <f>IFERROR(__xludf.DUMMYFUNCTION("""COMPUTED_VALUE"""),5.0)</f>
        <v>5</v>
      </c>
      <c r="G1797" s="6" t="str">
        <f>IFERROR(__xludf.DUMMYFUNCTION("""COMPUTED_VALUE"""),"Pieces")</f>
        <v>Pieces</v>
      </c>
      <c r="H1797" s="6" t="str">
        <f>IFERROR(__xludf.DUMMYFUNCTION("""COMPUTED_VALUE"""),"IDR")</f>
        <v>IDR</v>
      </c>
      <c r="I1797" s="6">
        <f>IFERROR(__xludf.DUMMYFUNCTION("""COMPUTED_VALUE"""),67500.0)</f>
        <v>67500</v>
      </c>
      <c r="J1797" s="6">
        <f>IFERROR(__xludf.DUMMYFUNCTION("""COMPUTED_VALUE"""),337500.0)</f>
        <v>337500</v>
      </c>
      <c r="K1797" s="57">
        <f>IFERROR(__xludf.DUMMYFUNCTION("""COMPUTED_VALUE"""),44673.0)</f>
        <v>44673</v>
      </c>
      <c r="L1797" s="6" t="str">
        <f>IFERROR(__xludf.DUMMYFUNCTION("""COMPUTED_VALUE"""),"FIP Engineering")</f>
        <v>FIP Engineering</v>
      </c>
      <c r="M1797" s="6" t="str">
        <f>IFERROR(__xludf.DUMMYFUNCTION("""COMPUTED_VALUE"""),"Irwan Sopian")</f>
        <v>Irwan Sopian</v>
      </c>
      <c r="N1797" s="6" t="str">
        <f>IFERROR(__xludf.DUMMYFUNCTION("""COMPUTED_VALUE"""),"FIP Engineering")</f>
        <v>FIP Engineering</v>
      </c>
      <c r="O1797" s="6" t="str">
        <f>IFERROR(__xludf.DUMMYFUNCTION("""COMPUTED_VALUE"""),"FIP-DOM-000-11304-OS00001-INA-000000")</f>
        <v>FIP-DOM-000-11304-OS00001-INA-000000</v>
      </c>
      <c r="P1797" s="6" t="str">
        <f>IFERROR(__xludf.DUMMYFUNCTION("""COMPUTED_VALUE"""),"PO Closed")</f>
        <v>PO Closed</v>
      </c>
      <c r="Q1797" s="6" t="str">
        <f>IFERROR(__xludf.DUMMYFUNCTION("""COMPUTED_VALUE"""),"GL2204046")</f>
        <v>GL2204046</v>
      </c>
      <c r="R1797" s="57">
        <f>IFERROR(__xludf.DUMMYFUNCTION("""COMPUTED_VALUE"""),44644.0)</f>
        <v>44644</v>
      </c>
      <c r="S1797" s="6" t="str">
        <f>IFERROR(__xludf.DUMMYFUNCTION("""COMPUTED_VALUE"""),"-")</f>
        <v>-</v>
      </c>
      <c r="T1797" s="57">
        <f>IFERROR(__xludf.DUMMYFUNCTION("""COMPUTED_VALUE"""),44680.0)</f>
        <v>44680</v>
      </c>
    </row>
    <row r="1798">
      <c r="A1798" s="6" t="str">
        <f>IFERROR(__xludf.DUMMYFUNCTION("""COMPUTED_VALUE"""),"221750150-3")</f>
        <v>221750150-3</v>
      </c>
      <c r="B1798" s="6" t="str">
        <f>IFERROR(__xludf.DUMMYFUNCTION("""COMPUTED_VALUE"""),"221750150 - Approved")</f>
        <v>221750150 - Approved</v>
      </c>
      <c r="C1798" s="6">
        <f>IFERROR(__xludf.DUMMYFUNCTION("""COMPUTED_VALUE"""),3.0)</f>
        <v>3</v>
      </c>
      <c r="D1798" s="6" t="str">
        <f>IFERROR(__xludf.DUMMYFUNCTION("""COMPUTED_VALUE"""),"O-18351-00")</f>
        <v>O-18351-00</v>
      </c>
      <c r="E1798" s="6" t="str">
        <f>IFERROR(__xludf.DUMMYFUNCTION("""COMPUTED_VALUE"""),"Oring Silicone 3.1x19.4x25.6 mm")</f>
        <v>Oring Silicone 3.1x19.4x25.6 mm</v>
      </c>
      <c r="F1798" s="6">
        <f>IFERROR(__xludf.DUMMYFUNCTION("""COMPUTED_VALUE"""),10.0)</f>
        <v>10</v>
      </c>
      <c r="G1798" s="6" t="str">
        <f>IFERROR(__xludf.DUMMYFUNCTION("""COMPUTED_VALUE"""),"Pieces")</f>
        <v>Pieces</v>
      </c>
      <c r="H1798" s="6" t="str">
        <f>IFERROR(__xludf.DUMMYFUNCTION("""COMPUTED_VALUE"""),"IDR")</f>
        <v>IDR</v>
      </c>
      <c r="I1798" s="6">
        <f>IFERROR(__xludf.DUMMYFUNCTION("""COMPUTED_VALUE"""),30000.0)</f>
        <v>30000</v>
      </c>
      <c r="J1798" s="6">
        <f>IFERROR(__xludf.DUMMYFUNCTION("""COMPUTED_VALUE"""),300000.0)</f>
        <v>300000</v>
      </c>
      <c r="K1798" s="57">
        <f>IFERROR(__xludf.DUMMYFUNCTION("""COMPUTED_VALUE"""),44673.0)</f>
        <v>44673</v>
      </c>
      <c r="L1798" s="6" t="str">
        <f>IFERROR(__xludf.DUMMYFUNCTION("""COMPUTED_VALUE"""),"FIP Engineering")</f>
        <v>FIP Engineering</v>
      </c>
      <c r="M1798" s="6" t="str">
        <f>IFERROR(__xludf.DUMMYFUNCTION("""COMPUTED_VALUE"""),"Irwan Sopian")</f>
        <v>Irwan Sopian</v>
      </c>
      <c r="N1798" s="6" t="str">
        <f>IFERROR(__xludf.DUMMYFUNCTION("""COMPUTED_VALUE"""),"FIP Engineering")</f>
        <v>FIP Engineering</v>
      </c>
      <c r="O1798" s="6" t="str">
        <f>IFERROR(__xludf.DUMMYFUNCTION("""COMPUTED_VALUE"""),"FIP-DOM-000-11304-OS00001-INA-000000")</f>
        <v>FIP-DOM-000-11304-OS00001-INA-000000</v>
      </c>
      <c r="P1798" s="6" t="str">
        <f>IFERROR(__xludf.DUMMYFUNCTION("""COMPUTED_VALUE"""),"PO Closed")</f>
        <v>PO Closed</v>
      </c>
      <c r="Q1798" s="6" t="str">
        <f>IFERROR(__xludf.DUMMYFUNCTION("""COMPUTED_VALUE"""),"GL2204046")</f>
        <v>GL2204046</v>
      </c>
      <c r="R1798" s="57">
        <f>IFERROR(__xludf.DUMMYFUNCTION("""COMPUTED_VALUE"""),44644.0)</f>
        <v>44644</v>
      </c>
      <c r="S1798" s="6" t="str">
        <f>IFERROR(__xludf.DUMMYFUNCTION("""COMPUTED_VALUE"""),"-")</f>
        <v>-</v>
      </c>
      <c r="T1798" s="57">
        <f>IFERROR(__xludf.DUMMYFUNCTION("""COMPUTED_VALUE"""),44680.0)</f>
        <v>44680</v>
      </c>
    </row>
    <row r="1799">
      <c r="A1799" s="6" t="str">
        <f>IFERROR(__xludf.DUMMYFUNCTION("""COMPUTED_VALUE"""),"221750147-1")</f>
        <v>221750147-1</v>
      </c>
      <c r="B1799" s="6" t="str">
        <f>IFERROR(__xludf.DUMMYFUNCTION("""COMPUTED_VALUE"""),"221750147 - Approved")</f>
        <v>221750147 - Approved</v>
      </c>
      <c r="C1799" s="6">
        <f>IFERROR(__xludf.DUMMYFUNCTION("""COMPUTED_VALUE"""),1.0)</f>
        <v>1</v>
      </c>
      <c r="D1799" s="6" t="str">
        <f>IFERROR(__xludf.DUMMYFUNCTION("""COMPUTED_VALUE"""),"Q-10712-00")</f>
        <v>Q-10712-00</v>
      </c>
      <c r="E1799" s="6" t="str">
        <f>IFERROR(__xludf.DUMMYFUNCTION("""COMPUTED_VALUE"""),"Elbow PVC Abu Abu AW 4"" Rucika; ; ;")</f>
        <v>Elbow PVC Abu Abu AW 4" Rucika; ; ;</v>
      </c>
      <c r="F1799" s="6">
        <f>IFERROR(__xludf.DUMMYFUNCTION("""COMPUTED_VALUE"""),3.0)</f>
        <v>3</v>
      </c>
      <c r="G1799" s="6" t="str">
        <f>IFERROR(__xludf.DUMMYFUNCTION("""COMPUTED_VALUE"""),"Pieces")</f>
        <v>Pieces</v>
      </c>
      <c r="H1799" s="6" t="str">
        <f>IFERROR(__xludf.DUMMYFUNCTION("""COMPUTED_VALUE"""),"IDR")</f>
        <v>IDR</v>
      </c>
      <c r="I1799" s="6">
        <f>IFERROR(__xludf.DUMMYFUNCTION("""COMPUTED_VALUE"""),45500.0)</f>
        <v>45500</v>
      </c>
      <c r="J1799" s="6">
        <f>IFERROR(__xludf.DUMMYFUNCTION("""COMPUTED_VALUE"""),136500.0)</f>
        <v>136500</v>
      </c>
      <c r="K1799" s="57">
        <f>IFERROR(__xludf.DUMMYFUNCTION("""COMPUTED_VALUE"""),44673.0)</f>
        <v>44673</v>
      </c>
      <c r="L1799" s="6" t="str">
        <f>IFERROR(__xludf.DUMMYFUNCTION("""COMPUTED_VALUE"""),"FIP General")</f>
        <v>FIP General</v>
      </c>
      <c r="M1799" s="6" t="str">
        <f>IFERROR(__xludf.DUMMYFUNCTION("""COMPUTED_VALUE"""),"Irwan Sopian")</f>
        <v>Irwan Sopian</v>
      </c>
      <c r="N1799" s="6" t="str">
        <f>IFERROR(__xludf.DUMMYFUNCTION("""COMPUTED_VALUE"""),"FIP Engineering")</f>
        <v>FIP Engineering</v>
      </c>
      <c r="O1799" s="6" t="str">
        <f>IFERROR(__xludf.DUMMYFUNCTION("""COMPUTED_VALUE"""),"FIP-DOM-ENG-51502-0000000-INA-000000")</f>
        <v>FIP-DOM-ENG-51502-0000000-INA-000000</v>
      </c>
      <c r="P1799" s="6" t="str">
        <f>IFERROR(__xludf.DUMMYFUNCTION("""COMPUTED_VALUE"""),"PO Closed")</f>
        <v>PO Closed</v>
      </c>
      <c r="Q1799" s="6" t="str">
        <f>IFERROR(__xludf.DUMMYFUNCTION("""COMPUTED_VALUE"""),"GL2204007")</f>
        <v>GL2204007</v>
      </c>
      <c r="R1799" s="57">
        <f>IFERROR(__xludf.DUMMYFUNCTION("""COMPUTED_VALUE"""),44644.0)</f>
        <v>44644</v>
      </c>
      <c r="S1799" s="6" t="str">
        <f>IFERROR(__xludf.DUMMYFUNCTION("""COMPUTED_VALUE"""),"-")</f>
        <v>-</v>
      </c>
      <c r="T1799" s="57">
        <f>IFERROR(__xludf.DUMMYFUNCTION("""COMPUTED_VALUE"""),44673.0)</f>
        <v>44673</v>
      </c>
    </row>
    <row r="1800">
      <c r="A1800" s="6" t="str">
        <f>IFERROR(__xludf.DUMMYFUNCTION("""COMPUTED_VALUE"""),"221750147-2")</f>
        <v>221750147-2</v>
      </c>
      <c r="B1800" s="6" t="str">
        <f>IFERROR(__xludf.DUMMYFUNCTION("""COMPUTED_VALUE"""),"221750147 - Approved")</f>
        <v>221750147 - Approved</v>
      </c>
      <c r="C1800" s="6">
        <f>IFERROR(__xludf.DUMMYFUNCTION("""COMPUTED_VALUE"""),2.0)</f>
        <v>2</v>
      </c>
      <c r="D1800" s="6" t="str">
        <f>IFERROR(__xludf.DUMMYFUNCTION("""COMPUTED_VALUE"""),"Q-10711-00")</f>
        <v>Q-10711-00</v>
      </c>
      <c r="E1800" s="6" t="str">
        <f>IFERROR(__xludf.DUMMYFUNCTION("""COMPUTED_VALUE"""),"Pipa PVC Abu Abu AW 4"" Rucika; ; ;")</f>
        <v>Pipa PVC Abu Abu AW 4" Rucika; ; ;</v>
      </c>
      <c r="F1800" s="6">
        <f>IFERROR(__xludf.DUMMYFUNCTION("""COMPUTED_VALUE"""),1.0)</f>
        <v>1</v>
      </c>
      <c r="G1800" s="6" t="str">
        <f>IFERROR(__xludf.DUMMYFUNCTION("""COMPUTED_VALUE"""),"Pieces")</f>
        <v>Pieces</v>
      </c>
      <c r="H1800" s="6" t="str">
        <f>IFERROR(__xludf.DUMMYFUNCTION("""COMPUTED_VALUE"""),"IDR")</f>
        <v>IDR</v>
      </c>
      <c r="I1800" s="6">
        <f>IFERROR(__xludf.DUMMYFUNCTION("""COMPUTED_VALUE"""),266500.0)</f>
        <v>266500</v>
      </c>
      <c r="J1800" s="6">
        <f>IFERROR(__xludf.DUMMYFUNCTION("""COMPUTED_VALUE"""),266500.0)</f>
        <v>266500</v>
      </c>
      <c r="K1800" s="57">
        <f>IFERROR(__xludf.DUMMYFUNCTION("""COMPUTED_VALUE"""),44673.0)</f>
        <v>44673</v>
      </c>
      <c r="L1800" s="6" t="str">
        <f>IFERROR(__xludf.DUMMYFUNCTION("""COMPUTED_VALUE"""),"FIP General")</f>
        <v>FIP General</v>
      </c>
      <c r="M1800" s="6" t="str">
        <f>IFERROR(__xludf.DUMMYFUNCTION("""COMPUTED_VALUE"""),"Irwan Sopian")</f>
        <v>Irwan Sopian</v>
      </c>
      <c r="N1800" s="6" t="str">
        <f>IFERROR(__xludf.DUMMYFUNCTION("""COMPUTED_VALUE"""),"FIP Engineering")</f>
        <v>FIP Engineering</v>
      </c>
      <c r="O1800" s="6" t="str">
        <f>IFERROR(__xludf.DUMMYFUNCTION("""COMPUTED_VALUE"""),"FIP-DOM-ENG-51502-0000000-INA-000000")</f>
        <v>FIP-DOM-ENG-51502-0000000-INA-000000</v>
      </c>
      <c r="P1800" s="6" t="str">
        <f>IFERROR(__xludf.DUMMYFUNCTION("""COMPUTED_VALUE"""),"PO Closed")</f>
        <v>PO Closed</v>
      </c>
      <c r="Q1800" s="6" t="str">
        <f>IFERROR(__xludf.DUMMYFUNCTION("""COMPUTED_VALUE"""),"GL2204007")</f>
        <v>GL2204007</v>
      </c>
      <c r="R1800" s="57">
        <f>IFERROR(__xludf.DUMMYFUNCTION("""COMPUTED_VALUE"""),44644.0)</f>
        <v>44644</v>
      </c>
      <c r="S1800" s="6" t="str">
        <f>IFERROR(__xludf.DUMMYFUNCTION("""COMPUTED_VALUE"""),"-")</f>
        <v>-</v>
      </c>
      <c r="T1800" s="57">
        <f>IFERROR(__xludf.DUMMYFUNCTION("""COMPUTED_VALUE"""),44673.0)</f>
        <v>44673</v>
      </c>
    </row>
    <row r="1801">
      <c r="A1801" s="6" t="str">
        <f>IFERROR(__xludf.DUMMYFUNCTION("""COMPUTED_VALUE"""),"221750147-3")</f>
        <v>221750147-3</v>
      </c>
      <c r="B1801" s="6" t="str">
        <f>IFERROR(__xludf.DUMMYFUNCTION("""COMPUTED_VALUE"""),"221750147 - Approved")</f>
        <v>221750147 - Approved</v>
      </c>
      <c r="C1801" s="6">
        <f>IFERROR(__xludf.DUMMYFUNCTION("""COMPUTED_VALUE"""),3.0)</f>
        <v>3</v>
      </c>
      <c r="D1801" s="6" t="str">
        <f>IFERROR(__xludf.DUMMYFUNCTION("""COMPUTED_VALUE"""),"Q-10750-00")</f>
        <v>Q-10750-00</v>
      </c>
      <c r="E1801" s="6" t="str">
        <f>IFERROR(__xludf.DUMMYFUNCTION("""COMPUTED_VALUE"""),"Hollow Baja Ringan 4x4cm, Tebal 0.5mm, Panjang 4m; ; ;")</f>
        <v>Hollow Baja Ringan 4x4cm, Tebal 0.5mm, Panjang 4m; ; ;</v>
      </c>
      <c r="F1801" s="6">
        <f>IFERROR(__xludf.DUMMYFUNCTION("""COMPUTED_VALUE"""),1.0)</f>
        <v>1</v>
      </c>
      <c r="G1801" s="6" t="str">
        <f>IFERROR(__xludf.DUMMYFUNCTION("""COMPUTED_VALUE"""),"Pieces")</f>
        <v>Pieces</v>
      </c>
      <c r="H1801" s="6" t="str">
        <f>IFERROR(__xludf.DUMMYFUNCTION("""COMPUTED_VALUE"""),"IDR")</f>
        <v>IDR</v>
      </c>
      <c r="I1801" s="6">
        <f>IFERROR(__xludf.DUMMYFUNCTION("""COMPUTED_VALUE"""),423500.0)</f>
        <v>423500</v>
      </c>
      <c r="J1801" s="6">
        <f>IFERROR(__xludf.DUMMYFUNCTION("""COMPUTED_VALUE"""),423500.0)</f>
        <v>423500</v>
      </c>
      <c r="K1801" s="57">
        <f>IFERROR(__xludf.DUMMYFUNCTION("""COMPUTED_VALUE"""),44673.0)</f>
        <v>44673</v>
      </c>
      <c r="L1801" s="6" t="str">
        <f>IFERROR(__xludf.DUMMYFUNCTION("""COMPUTED_VALUE"""),"FIP General")</f>
        <v>FIP General</v>
      </c>
      <c r="M1801" s="6" t="str">
        <f>IFERROR(__xludf.DUMMYFUNCTION("""COMPUTED_VALUE"""),"Irwan Sopian")</f>
        <v>Irwan Sopian</v>
      </c>
      <c r="N1801" s="6" t="str">
        <f>IFERROR(__xludf.DUMMYFUNCTION("""COMPUTED_VALUE"""),"FIP Engineering")</f>
        <v>FIP Engineering</v>
      </c>
      <c r="O1801" s="6" t="str">
        <f>IFERROR(__xludf.DUMMYFUNCTION("""COMPUTED_VALUE"""),"FIP-DOM-ENG-51502-0000000-INA-000000")</f>
        <v>FIP-DOM-ENG-51502-0000000-INA-000000</v>
      </c>
      <c r="P1801" s="6" t="str">
        <f>IFERROR(__xludf.DUMMYFUNCTION("""COMPUTED_VALUE"""),"PO Closed")</f>
        <v>PO Closed</v>
      </c>
      <c r="Q1801" s="6" t="str">
        <f>IFERROR(__xludf.DUMMYFUNCTION("""COMPUTED_VALUE"""),"GL2204007")</f>
        <v>GL2204007</v>
      </c>
      <c r="R1801" s="57">
        <f>IFERROR(__xludf.DUMMYFUNCTION("""COMPUTED_VALUE"""),44644.0)</f>
        <v>44644</v>
      </c>
      <c r="S1801" s="6" t="str">
        <f>IFERROR(__xludf.DUMMYFUNCTION("""COMPUTED_VALUE"""),"-")</f>
        <v>-</v>
      </c>
      <c r="T1801" s="57">
        <f>IFERROR(__xludf.DUMMYFUNCTION("""COMPUTED_VALUE"""),44673.0)</f>
        <v>44673</v>
      </c>
    </row>
    <row r="1802">
      <c r="A1802" s="6" t="str">
        <f>IFERROR(__xludf.DUMMYFUNCTION("""COMPUTED_VALUE"""),"221750147-4")</f>
        <v>221750147-4</v>
      </c>
      <c r="B1802" s="6" t="str">
        <f>IFERROR(__xludf.DUMMYFUNCTION("""COMPUTED_VALUE"""),"221750147 - Approved")</f>
        <v>221750147 - Approved</v>
      </c>
      <c r="C1802" s="6">
        <f>IFERROR(__xludf.DUMMYFUNCTION("""COMPUTED_VALUE"""),4.0)</f>
        <v>4</v>
      </c>
      <c r="D1802" s="6" t="str">
        <f>IFERROR(__xludf.DUMMYFUNCTION("""COMPUTED_VALUE"""),"Q-10785-00")</f>
        <v>Q-10785-00</v>
      </c>
      <c r="E1802" s="6" t="str">
        <f>IFERROR(__xludf.DUMMYFUNCTION("""COMPUTED_VALUE"""),"Hardisk Enclosure Case 3.5 Inch")</f>
        <v>Hardisk Enclosure Case 3.5 Inch</v>
      </c>
      <c r="F1802" s="6">
        <f>IFERROR(__xludf.DUMMYFUNCTION("""COMPUTED_VALUE"""),1.0)</f>
        <v>1</v>
      </c>
      <c r="G1802" s="6" t="str">
        <f>IFERROR(__xludf.DUMMYFUNCTION("""COMPUTED_VALUE"""),"Pieces")</f>
        <v>Pieces</v>
      </c>
      <c r="H1802" s="6" t="str">
        <f>IFERROR(__xludf.DUMMYFUNCTION("""COMPUTED_VALUE"""),"IDR")</f>
        <v>IDR</v>
      </c>
      <c r="I1802" s="6">
        <f>IFERROR(__xludf.DUMMYFUNCTION("""COMPUTED_VALUE"""),398750.0)</f>
        <v>398750</v>
      </c>
      <c r="J1802" s="6">
        <f>IFERROR(__xludf.DUMMYFUNCTION("""COMPUTED_VALUE"""),398750.0)</f>
        <v>398750</v>
      </c>
      <c r="K1802" s="57">
        <f>IFERROR(__xludf.DUMMYFUNCTION("""COMPUTED_VALUE"""),44673.0)</f>
        <v>44673</v>
      </c>
      <c r="L1802" s="6" t="str">
        <f>IFERROR(__xludf.DUMMYFUNCTION("""COMPUTED_VALUE"""),"FIP General")</f>
        <v>FIP General</v>
      </c>
      <c r="M1802" s="6" t="str">
        <f>IFERROR(__xludf.DUMMYFUNCTION("""COMPUTED_VALUE"""),"Irwan Sopian")</f>
        <v>Irwan Sopian</v>
      </c>
      <c r="N1802" s="6" t="str">
        <f>IFERROR(__xludf.DUMMYFUNCTION("""COMPUTED_VALUE"""),"FIP Engineering")</f>
        <v>FIP Engineering</v>
      </c>
      <c r="O1802" s="6" t="str">
        <f>IFERROR(__xludf.DUMMYFUNCTION("""COMPUTED_VALUE"""),"FIP-DOM-ENG-51504-0000000-INA-000000")</f>
        <v>FIP-DOM-ENG-51504-0000000-INA-000000</v>
      </c>
      <c r="P1802" s="6" t="str">
        <f>IFERROR(__xludf.DUMMYFUNCTION("""COMPUTED_VALUE"""),"PO Closed")</f>
        <v>PO Closed</v>
      </c>
      <c r="Q1802" s="6" t="str">
        <f>IFERROR(__xludf.DUMMYFUNCTION("""COMPUTED_VALUE"""),"GL2204007")</f>
        <v>GL2204007</v>
      </c>
      <c r="R1802" s="57">
        <f>IFERROR(__xludf.DUMMYFUNCTION("""COMPUTED_VALUE"""),44644.0)</f>
        <v>44644</v>
      </c>
      <c r="S1802" s="6" t="str">
        <f>IFERROR(__xludf.DUMMYFUNCTION("""COMPUTED_VALUE"""),"-")</f>
        <v>-</v>
      </c>
      <c r="T1802" s="57">
        <f>IFERROR(__xludf.DUMMYFUNCTION("""COMPUTED_VALUE"""),44673.0)</f>
        <v>44673</v>
      </c>
    </row>
    <row r="1803">
      <c r="A1803" s="6" t="str">
        <f>IFERROR(__xludf.DUMMYFUNCTION("""COMPUTED_VALUE"""),"221750156-1")</f>
        <v>221750156-1</v>
      </c>
      <c r="B1803" s="6" t="str">
        <f>IFERROR(__xludf.DUMMYFUNCTION("""COMPUTED_VALUE"""),"221750156 - Approved")</f>
        <v>221750156 - Approved</v>
      </c>
      <c r="C1803" s="6">
        <f>IFERROR(__xludf.DUMMYFUNCTION("""COMPUTED_VALUE"""),1.0)</f>
        <v>1</v>
      </c>
      <c r="D1803" s="6" t="str">
        <f>IFERROR(__xludf.DUMMYFUNCTION("""COMPUTED_VALUE"""),"P-51880-00")</f>
        <v>P-51880-00</v>
      </c>
      <c r="E1803" s="6" t="str">
        <f>IFERROR(__xludf.DUMMYFUNCTION("""COMPUTED_VALUE"""),"Battery 2500mAH 1.2V")</f>
        <v>Battery 2500mAH 1.2V</v>
      </c>
      <c r="F1803" s="6">
        <f>IFERROR(__xludf.DUMMYFUNCTION("""COMPUTED_VALUE"""),9.0)</f>
        <v>9</v>
      </c>
      <c r="G1803" s="6" t="str">
        <f>IFERROR(__xludf.DUMMYFUNCTION("""COMPUTED_VALUE"""),"Set")</f>
        <v>Set</v>
      </c>
      <c r="H1803" s="6" t="str">
        <f>IFERROR(__xludf.DUMMYFUNCTION("""COMPUTED_VALUE"""),"IDR")</f>
        <v>IDR</v>
      </c>
      <c r="I1803" s="6">
        <f>IFERROR(__xludf.DUMMYFUNCTION("""COMPUTED_VALUE"""),585000.0)</f>
        <v>585000</v>
      </c>
      <c r="J1803" s="6">
        <f>IFERROR(__xludf.DUMMYFUNCTION("""COMPUTED_VALUE"""),5265000.0)</f>
        <v>5265000</v>
      </c>
      <c r="K1803" s="57">
        <f>IFERROR(__xludf.DUMMYFUNCTION("""COMPUTED_VALUE"""),44666.0)</f>
        <v>44666</v>
      </c>
      <c r="L1803" s="6" t="str">
        <f>IFERROR(__xludf.DUMMYFUNCTION("""COMPUTED_VALUE"""),"FIP Engineering")</f>
        <v>FIP Engineering</v>
      </c>
      <c r="M1803" s="6" t="str">
        <f>IFERROR(__xludf.DUMMYFUNCTION("""COMPUTED_VALUE"""),"Irwan Sopian")</f>
        <v>Irwan Sopian</v>
      </c>
      <c r="N1803" s="6" t="str">
        <f>IFERROR(__xludf.DUMMYFUNCTION("""COMPUTED_VALUE"""),"FIP Engineering")</f>
        <v>FIP Engineering</v>
      </c>
      <c r="O1803" s="6" t="str">
        <f>IFERROR(__xludf.DUMMYFUNCTION("""COMPUTED_VALUE"""),"FIP-DOM-000-11304-OS00001-INA-000000")</f>
        <v>FIP-DOM-000-11304-OS00001-INA-000000</v>
      </c>
      <c r="P1803" s="6" t="str">
        <f>IFERROR(__xludf.DUMMYFUNCTION("""COMPUTED_VALUE"""),"PO Closed")</f>
        <v>PO Closed</v>
      </c>
      <c r="Q1803" s="6" t="str">
        <f>IFERROR(__xludf.DUMMYFUNCTION("""COMPUTED_VALUE"""),"GL2204045")</f>
        <v>GL2204045</v>
      </c>
      <c r="R1803" s="57">
        <f>IFERROR(__xludf.DUMMYFUNCTION("""COMPUTED_VALUE"""),44649.0)</f>
        <v>44649</v>
      </c>
      <c r="S1803" s="6" t="str">
        <f>IFERROR(__xludf.DUMMYFUNCTION("""COMPUTED_VALUE"""),"-")</f>
        <v>-</v>
      </c>
      <c r="T1803" s="57">
        <f>IFERROR(__xludf.DUMMYFUNCTION("""COMPUTED_VALUE"""),44680.0)</f>
        <v>44680</v>
      </c>
    </row>
    <row r="1804">
      <c r="A1804" s="6" t="str">
        <f>IFERROR(__xludf.DUMMYFUNCTION("""COMPUTED_VALUE"""),"221750160-1")</f>
        <v>221750160-1</v>
      </c>
      <c r="B1804" s="6" t="str">
        <f>IFERROR(__xludf.DUMMYFUNCTION("""COMPUTED_VALUE"""),"221750160 - Approved")</f>
        <v>221750160 - Approved</v>
      </c>
      <c r="C1804" s="6">
        <f>IFERROR(__xludf.DUMMYFUNCTION("""COMPUTED_VALUE"""),1.0)</f>
        <v>1</v>
      </c>
      <c r="D1804" s="6" t="str">
        <f>IFERROR(__xludf.DUMMYFUNCTION("""COMPUTED_VALUE"""),"P-54158-00")</f>
        <v>P-54158-00</v>
      </c>
      <c r="E1804" s="6" t="str">
        <f>IFERROR(__xludf.DUMMYFUNCTION("""COMPUTED_VALUE"""),"Float Level Switch VSS-2FJ-S3-L900-FS40S-0 Flange 2 inch WINGEL")</f>
        <v>Float Level Switch VSS-2FJ-S3-L900-FS40S-0 Flange 2 inch WINGEL</v>
      </c>
      <c r="F1804" s="6">
        <f>IFERROR(__xludf.DUMMYFUNCTION("""COMPUTED_VALUE"""),1.0)</f>
        <v>1</v>
      </c>
      <c r="G1804" s="6" t="str">
        <f>IFERROR(__xludf.DUMMYFUNCTION("""COMPUTED_VALUE"""),"Unit")</f>
        <v>Unit</v>
      </c>
      <c r="H1804" s="6" t="str">
        <f>IFERROR(__xludf.DUMMYFUNCTION("""COMPUTED_VALUE"""),"IDR")</f>
        <v>IDR</v>
      </c>
      <c r="I1804" s="6">
        <f>IFERROR(__xludf.DUMMYFUNCTION("""COMPUTED_VALUE"""),8500000.0)</f>
        <v>8500000</v>
      </c>
      <c r="J1804" s="6">
        <f>IFERROR(__xludf.DUMMYFUNCTION("""COMPUTED_VALUE"""),8500000.0)</f>
        <v>8500000</v>
      </c>
      <c r="K1804" s="57">
        <f>IFERROR(__xludf.DUMMYFUNCTION("""COMPUTED_VALUE"""),44673.0)</f>
        <v>44673</v>
      </c>
      <c r="L1804" s="6" t="str">
        <f>IFERROR(__xludf.DUMMYFUNCTION("""COMPUTED_VALUE"""),"FIP General")</f>
        <v>FIP General</v>
      </c>
      <c r="M1804" s="6" t="str">
        <f>IFERROR(__xludf.DUMMYFUNCTION("""COMPUTED_VALUE"""),"Irwan Sopian")</f>
        <v>Irwan Sopian</v>
      </c>
      <c r="N1804" s="6" t="str">
        <f>IFERROR(__xludf.DUMMYFUNCTION("""COMPUTED_VALUE"""),"FIP Engineering")</f>
        <v>FIP Engineering</v>
      </c>
      <c r="O1804" s="6" t="str">
        <f>IFERROR(__xludf.DUMMYFUNCTION("""COMPUTED_VALUE"""),"FIP-DOM-ENG-51504-0000000-INA-000000")</f>
        <v>FIP-DOM-ENG-51504-0000000-INA-000000</v>
      </c>
      <c r="P1804" s="6" t="str">
        <f>IFERROR(__xludf.DUMMYFUNCTION("""COMPUTED_VALUE"""),"PO Closed")</f>
        <v>PO Closed</v>
      </c>
      <c r="Q1804" s="6" t="str">
        <f>IFERROR(__xludf.DUMMYFUNCTION("""COMPUTED_VALUE"""),"GL2204047")</f>
        <v>GL2204047</v>
      </c>
      <c r="R1804" s="57">
        <f>IFERROR(__xludf.DUMMYFUNCTION("""COMPUTED_VALUE"""),44651.0)</f>
        <v>44651</v>
      </c>
      <c r="S1804" s="6" t="str">
        <f>IFERROR(__xludf.DUMMYFUNCTION("""COMPUTED_VALUE"""),"-")</f>
        <v>-</v>
      </c>
      <c r="T1804" s="57">
        <f>IFERROR(__xludf.DUMMYFUNCTION("""COMPUTED_VALUE"""),44718.0)</f>
        <v>44718</v>
      </c>
    </row>
    <row r="1805">
      <c r="A1805" s="6" t="str">
        <f>IFERROR(__xludf.DUMMYFUNCTION("""COMPUTED_VALUE"""),"221750159-1")</f>
        <v>221750159-1</v>
      </c>
      <c r="B1805" s="6" t="str">
        <f>IFERROR(__xludf.DUMMYFUNCTION("""COMPUTED_VALUE"""),"221750159 - Approved")</f>
        <v>221750159 - Approved</v>
      </c>
      <c r="C1805" s="6">
        <f>IFERROR(__xludf.DUMMYFUNCTION("""COMPUTED_VALUE"""),1.0)</f>
        <v>1</v>
      </c>
      <c r="D1805" s="6" t="str">
        <f>IFERROR(__xludf.DUMMYFUNCTION("""COMPUTED_VALUE"""),"Q-90013-00")</f>
        <v>Q-90013-00</v>
      </c>
      <c r="E1805" s="6" t="str">
        <f>IFERROR(__xludf.DUMMYFUNCTION("""COMPUTED_VALUE"""),"Apar CO2")</f>
        <v>Apar CO2</v>
      </c>
      <c r="F1805" s="6">
        <f>IFERROR(__xludf.DUMMYFUNCTION("""COMPUTED_VALUE"""),4.0)</f>
        <v>4</v>
      </c>
      <c r="G1805" s="6" t="str">
        <f>IFERROR(__xludf.DUMMYFUNCTION("""COMPUTED_VALUE"""),"Kilogram")</f>
        <v>Kilogram</v>
      </c>
      <c r="H1805" s="6" t="str">
        <f>IFERROR(__xludf.DUMMYFUNCTION("""COMPUTED_VALUE"""),"IDR")</f>
        <v>IDR</v>
      </c>
      <c r="I1805" s="6">
        <f>IFERROR(__xludf.DUMMYFUNCTION("""COMPUTED_VALUE"""),900000.0)</f>
        <v>900000</v>
      </c>
      <c r="J1805" s="6">
        <f>IFERROR(__xludf.DUMMYFUNCTION("""COMPUTED_VALUE"""),3600000.0)</f>
        <v>3600000</v>
      </c>
      <c r="K1805" s="57">
        <f>IFERROR(__xludf.DUMMYFUNCTION("""COMPUTED_VALUE"""),44673.0)</f>
        <v>44673</v>
      </c>
      <c r="L1805" s="6" t="str">
        <f>IFERROR(__xludf.DUMMYFUNCTION("""COMPUTED_VALUE"""),"FIP General")</f>
        <v>FIP General</v>
      </c>
      <c r="M1805" s="6" t="str">
        <f>IFERROR(__xludf.DUMMYFUNCTION("""COMPUTED_VALUE"""),"Irwan Sopian")</f>
        <v>Irwan Sopian</v>
      </c>
      <c r="N1805" s="6" t="str">
        <f>IFERROR(__xludf.DUMMYFUNCTION("""COMPUTED_VALUE"""),"FIP Engineering")</f>
        <v>FIP Engineering</v>
      </c>
      <c r="O1805" s="6" t="str">
        <f>IFERROR(__xludf.DUMMYFUNCTION("""COMPUTED_VALUE"""),"FIP-DOM-ENG-51502-0000000-INA-000000")</f>
        <v>FIP-DOM-ENG-51502-0000000-INA-000000</v>
      </c>
      <c r="P1805" s="6" t="str">
        <f>IFERROR(__xludf.DUMMYFUNCTION("""COMPUTED_VALUE"""),"PO Closed")</f>
        <v>PO Closed</v>
      </c>
      <c r="Q1805" s="6" t="str">
        <f>IFERROR(__xludf.DUMMYFUNCTION("""COMPUTED_VALUE"""),"GL2204008")</f>
        <v>GL2204008</v>
      </c>
      <c r="R1805" s="57">
        <f>IFERROR(__xludf.DUMMYFUNCTION("""COMPUTED_VALUE"""),44651.0)</f>
        <v>44651</v>
      </c>
      <c r="S1805" s="6" t="str">
        <f>IFERROR(__xludf.DUMMYFUNCTION("""COMPUTED_VALUE"""),"-")</f>
        <v>-</v>
      </c>
      <c r="T1805" s="57">
        <f>IFERROR(__xludf.DUMMYFUNCTION("""COMPUTED_VALUE"""),44698.0)</f>
        <v>44698</v>
      </c>
    </row>
    <row r="1806">
      <c r="A1806" s="6" t="str">
        <f>IFERROR(__xludf.DUMMYFUNCTION("""COMPUTED_VALUE"""),"221750183-1")</f>
        <v>221750183-1</v>
      </c>
      <c r="B1806" s="6" t="str">
        <f>IFERROR(__xludf.DUMMYFUNCTION("""COMPUTED_VALUE"""),"221750183 - Approved")</f>
        <v>221750183 - Approved</v>
      </c>
      <c r="C1806" s="6">
        <f>IFERROR(__xludf.DUMMYFUNCTION("""COMPUTED_VALUE"""),1.0)</f>
        <v>1</v>
      </c>
      <c r="D1806" s="6" t="str">
        <f>IFERROR(__xludf.DUMMYFUNCTION("""COMPUTED_VALUE"""),"O-51000-00")</f>
        <v>O-51000-00</v>
      </c>
      <c r="E1806" s="6" t="str">
        <f>IFERROR(__xludf.DUMMYFUNCTION("""COMPUTED_VALUE"""),"Colamark - Print Head for Part TTO Domino p/n EPP001359 SP")</f>
        <v>Colamark - Print Head for Part TTO Domino p/n EPP001359 SP</v>
      </c>
      <c r="F1806" s="6">
        <f>IFERROR(__xludf.DUMMYFUNCTION("""COMPUTED_VALUE"""),1.0)</f>
        <v>1</v>
      </c>
      <c r="G1806" s="6" t="str">
        <f>IFERROR(__xludf.DUMMYFUNCTION("""COMPUTED_VALUE"""),"Pieces")</f>
        <v>Pieces</v>
      </c>
      <c r="H1806" s="6" t="str">
        <f>IFERROR(__xludf.DUMMYFUNCTION("""COMPUTED_VALUE"""),"IDR")</f>
        <v>IDR</v>
      </c>
      <c r="I1806" s="6">
        <f>IFERROR(__xludf.DUMMYFUNCTION("""COMPUTED_VALUE"""),1.04558E7)</f>
        <v>10455800</v>
      </c>
      <c r="J1806" s="6">
        <f>IFERROR(__xludf.DUMMYFUNCTION("""COMPUTED_VALUE"""),1.04558E7)</f>
        <v>10455800</v>
      </c>
      <c r="K1806" s="57">
        <f>IFERROR(__xludf.DUMMYFUNCTION("""COMPUTED_VALUE"""),44680.0)</f>
        <v>44680</v>
      </c>
      <c r="L1806" s="6" t="str">
        <f>IFERROR(__xludf.DUMMYFUNCTION("""COMPUTED_VALUE"""),"FIP General")</f>
        <v>FIP General</v>
      </c>
      <c r="M1806" s="6" t="str">
        <f>IFERROR(__xludf.DUMMYFUNCTION("""COMPUTED_VALUE"""),"Irwan Sopian")</f>
        <v>Irwan Sopian</v>
      </c>
      <c r="N1806" s="6" t="str">
        <f>IFERROR(__xludf.DUMMYFUNCTION("""COMPUTED_VALUE"""),"FIP Engineering")</f>
        <v>FIP Engineering</v>
      </c>
      <c r="O1806" s="6" t="str">
        <f>IFERROR(__xludf.DUMMYFUNCTION("""COMPUTED_VALUE"""),"FIP-DOM-ENG-51504-0000000-INA-000000")</f>
        <v>FIP-DOM-ENG-51504-0000000-INA-000000</v>
      </c>
      <c r="P1806" s="6" t="str">
        <f>IFERROR(__xludf.DUMMYFUNCTION("""COMPUTED_VALUE"""),"PO Closed")</f>
        <v>PO Closed</v>
      </c>
      <c r="Q1806" s="6" t="str">
        <f>IFERROR(__xludf.DUMMYFUNCTION("""COMPUTED_VALUE"""),"GL2204058")</f>
        <v>GL2204058</v>
      </c>
      <c r="R1806" s="57">
        <f>IFERROR(__xludf.DUMMYFUNCTION("""COMPUTED_VALUE"""),44662.0)</f>
        <v>44662</v>
      </c>
      <c r="S1806" s="6" t="str">
        <f>IFERROR(__xludf.DUMMYFUNCTION("""COMPUTED_VALUE"""),"-")</f>
        <v>-</v>
      </c>
      <c r="T1806" s="57">
        <f>IFERROR(__xludf.DUMMYFUNCTION("""COMPUTED_VALUE"""),44696.0)</f>
        <v>44696</v>
      </c>
    </row>
    <row r="1807">
      <c r="A1807" s="6" t="str">
        <f>IFERROR(__xludf.DUMMYFUNCTION("""COMPUTED_VALUE"""),"221750182-1")</f>
        <v>221750182-1</v>
      </c>
      <c r="B1807" s="6" t="str">
        <f>IFERROR(__xludf.DUMMYFUNCTION("""COMPUTED_VALUE"""),"221750182 - Approved")</f>
        <v>221750182 - Approved</v>
      </c>
      <c r="C1807" s="6">
        <f>IFERROR(__xludf.DUMMYFUNCTION("""COMPUTED_VALUE"""),1.0)</f>
        <v>1</v>
      </c>
      <c r="D1807" s="6" t="str">
        <f>IFERROR(__xludf.DUMMYFUNCTION("""COMPUTED_VALUE"""),"Q-90013-00")</f>
        <v>Q-90013-00</v>
      </c>
      <c r="E1807" s="6" t="str">
        <f>IFERROR(__xludf.DUMMYFUNCTION("""COMPUTED_VALUE"""),"Apar CO2")</f>
        <v>Apar CO2</v>
      </c>
      <c r="F1807" s="6">
        <f>IFERROR(__xludf.DUMMYFUNCTION("""COMPUTED_VALUE"""),6.0)</f>
        <v>6</v>
      </c>
      <c r="G1807" s="6" t="str">
        <f>IFERROR(__xludf.DUMMYFUNCTION("""COMPUTED_VALUE"""),"Kilogram")</f>
        <v>Kilogram</v>
      </c>
      <c r="H1807" s="6" t="str">
        <f>IFERROR(__xludf.DUMMYFUNCTION("""COMPUTED_VALUE"""),"IDR")</f>
        <v>IDR</v>
      </c>
      <c r="I1807" s="6">
        <f>IFERROR(__xludf.DUMMYFUNCTION("""COMPUTED_VALUE"""),900000.0)</f>
        <v>900000</v>
      </c>
      <c r="J1807" s="6">
        <f>IFERROR(__xludf.DUMMYFUNCTION("""COMPUTED_VALUE"""),5400000.0)</f>
        <v>5400000</v>
      </c>
      <c r="K1807" s="57">
        <f>IFERROR(__xludf.DUMMYFUNCTION("""COMPUTED_VALUE"""),44680.0)</f>
        <v>44680</v>
      </c>
      <c r="L1807" s="6" t="str">
        <f>IFERROR(__xludf.DUMMYFUNCTION("""COMPUTED_VALUE"""),"FIP General")</f>
        <v>FIP General</v>
      </c>
      <c r="M1807" s="6" t="str">
        <f>IFERROR(__xludf.DUMMYFUNCTION("""COMPUTED_VALUE"""),"Irwan Sopian")</f>
        <v>Irwan Sopian</v>
      </c>
      <c r="N1807" s="6" t="str">
        <f>IFERROR(__xludf.DUMMYFUNCTION("""COMPUTED_VALUE"""),"FIP Engineering")</f>
        <v>FIP Engineering</v>
      </c>
      <c r="O1807" s="6" t="str">
        <f>IFERROR(__xludf.DUMMYFUNCTION("""COMPUTED_VALUE"""),"FIP-DOM-ENG-51502-0000000-INA-000000")</f>
        <v>FIP-DOM-ENG-51502-0000000-INA-000000</v>
      </c>
      <c r="P1807" s="6" t="str">
        <f>IFERROR(__xludf.DUMMYFUNCTION("""COMPUTED_VALUE"""),"PO Closed")</f>
        <v>PO Closed</v>
      </c>
      <c r="Q1807" s="6" t="str">
        <f>IFERROR(__xludf.DUMMYFUNCTION("""COMPUTED_VALUE"""),"GL2204052")</f>
        <v>GL2204052</v>
      </c>
      <c r="R1807" s="57">
        <f>IFERROR(__xludf.DUMMYFUNCTION("""COMPUTED_VALUE"""),44662.0)</f>
        <v>44662</v>
      </c>
      <c r="S1807" s="6" t="str">
        <f>IFERROR(__xludf.DUMMYFUNCTION("""COMPUTED_VALUE"""),"-")</f>
        <v>-</v>
      </c>
      <c r="T1807" s="57">
        <f>IFERROR(__xludf.DUMMYFUNCTION("""COMPUTED_VALUE"""),44686.0)</f>
        <v>44686</v>
      </c>
    </row>
    <row r="1808">
      <c r="A1808" s="6" t="str">
        <f>IFERROR(__xludf.DUMMYFUNCTION("""COMPUTED_VALUE"""),"221750189-1")</f>
        <v>221750189-1</v>
      </c>
      <c r="B1808" s="6" t="str">
        <f>IFERROR(__xludf.DUMMYFUNCTION("""COMPUTED_VALUE"""),"221750189 - Approved")</f>
        <v>221750189 - Approved</v>
      </c>
      <c r="C1808" s="6">
        <f>IFERROR(__xludf.DUMMYFUNCTION("""COMPUTED_VALUE"""),1.0)</f>
        <v>1</v>
      </c>
      <c r="D1808" s="6" t="str">
        <f>IFERROR(__xludf.DUMMYFUNCTION("""COMPUTED_VALUE"""),"O-60001-00")</f>
        <v>O-60001-00</v>
      </c>
      <c r="E1808" s="6" t="str">
        <f>IFERROR(__xludf.DUMMYFUNCTION("""COMPUTED_VALUE"""),"Pekerjaan Modifikasi Pipa untuk Mesin Mixing (Pipa PW)")</f>
        <v>Pekerjaan Modifikasi Pipa untuk Mesin Mixing (Pipa PW)</v>
      </c>
      <c r="F1808" s="6">
        <f>IFERROR(__xludf.DUMMYFUNCTION("""COMPUTED_VALUE"""),1.0)</f>
        <v>1</v>
      </c>
      <c r="G1808" s="6" t="str">
        <f>IFERROR(__xludf.DUMMYFUNCTION("""COMPUTED_VALUE"""),"Lot")</f>
        <v>Lot</v>
      </c>
      <c r="H1808" s="6" t="str">
        <f>IFERROR(__xludf.DUMMYFUNCTION("""COMPUTED_VALUE"""),"IDR")</f>
        <v>IDR</v>
      </c>
      <c r="I1808" s="6">
        <f>IFERROR(__xludf.DUMMYFUNCTION("""COMPUTED_VALUE"""),1.41E7)</f>
        <v>14100000</v>
      </c>
      <c r="J1808" s="6">
        <f>IFERROR(__xludf.DUMMYFUNCTION("""COMPUTED_VALUE"""),1.41E7)</f>
        <v>14100000</v>
      </c>
      <c r="K1808" s="57">
        <f>IFERROR(__xludf.DUMMYFUNCTION("""COMPUTED_VALUE"""),44694.0)</f>
        <v>44694</v>
      </c>
      <c r="L1808" s="6" t="str">
        <f>IFERROR(__xludf.DUMMYFUNCTION("""COMPUTED_VALUE"""),"FIP General")</f>
        <v>FIP General</v>
      </c>
      <c r="M1808" s="6" t="str">
        <f>IFERROR(__xludf.DUMMYFUNCTION("""COMPUTED_VALUE"""),"Irwan Sopian")</f>
        <v>Irwan Sopian</v>
      </c>
      <c r="N1808" s="6" t="str">
        <f>IFERROR(__xludf.DUMMYFUNCTION("""COMPUTED_VALUE"""),"FIP Engineering")</f>
        <v>FIP Engineering</v>
      </c>
      <c r="O1808" s="6" t="str">
        <f>IFERROR(__xludf.DUMMYFUNCTION("""COMPUTED_VALUE"""),"FIP-DOM-ENG-51504-0000000-INA-000000")</f>
        <v>FIP-DOM-ENG-51504-0000000-INA-000000</v>
      </c>
      <c r="P1808" s="6" t="str">
        <f>IFERROR(__xludf.DUMMYFUNCTION("""COMPUTED_VALUE"""),"PO Closed")</f>
        <v>PO Closed</v>
      </c>
      <c r="Q1808" s="6" t="str">
        <f>IFERROR(__xludf.DUMMYFUNCTION("""COMPUTED_VALUE"""),"GL2204066")</f>
        <v>GL2204066</v>
      </c>
      <c r="R1808" s="57">
        <f>IFERROR(__xludf.DUMMYFUNCTION("""COMPUTED_VALUE"""),44664.0)</f>
        <v>44664</v>
      </c>
      <c r="S1808" s="6" t="str">
        <f>IFERROR(__xludf.DUMMYFUNCTION("""COMPUTED_VALUE"""),"-")</f>
        <v>-</v>
      </c>
      <c r="T1808" s="57">
        <f>IFERROR(__xludf.DUMMYFUNCTION("""COMPUTED_VALUE"""),44722.0)</f>
        <v>44722</v>
      </c>
    </row>
    <row r="1809">
      <c r="A1809" s="6" t="str">
        <f>IFERROR(__xludf.DUMMYFUNCTION("""COMPUTED_VALUE"""),"221750188-1")</f>
        <v>221750188-1</v>
      </c>
      <c r="B1809" s="6" t="str">
        <f>IFERROR(__xludf.DUMMYFUNCTION("""COMPUTED_VALUE"""),"221750188 - Approved")</f>
        <v>221750188 - Approved</v>
      </c>
      <c r="C1809" s="6">
        <f>IFERROR(__xludf.DUMMYFUNCTION("""COMPUTED_VALUE"""),1.0)</f>
        <v>1</v>
      </c>
      <c r="D1809" s="6" t="str">
        <f>IFERROR(__xludf.DUMMYFUNCTION("""COMPUTED_VALUE"""),"S-60002-00")</f>
        <v>S-60002-00</v>
      </c>
      <c r="E1809" s="6" t="str">
        <f>IFERROR(__xludf.DUMMYFUNCTION("""COMPUTED_VALUE"""),"Service HMI Hitech Model : PWS6A00T-P (N2 Generator)")</f>
        <v>Service HMI Hitech Model : PWS6A00T-P (N2 Generator)</v>
      </c>
      <c r="F1809" s="6">
        <f>IFERROR(__xludf.DUMMYFUNCTION("""COMPUTED_VALUE"""),1.0)</f>
        <v>1</v>
      </c>
      <c r="G1809" s="6" t="str">
        <f>IFERROR(__xludf.DUMMYFUNCTION("""COMPUTED_VALUE"""),"Lot")</f>
        <v>Lot</v>
      </c>
      <c r="H1809" s="6" t="str">
        <f>IFERROR(__xludf.DUMMYFUNCTION("""COMPUTED_VALUE"""),"IDR")</f>
        <v>IDR</v>
      </c>
      <c r="I1809" s="6">
        <f>IFERROR(__xludf.DUMMYFUNCTION("""COMPUTED_VALUE"""),8500000.0)</f>
        <v>8500000</v>
      </c>
      <c r="J1809" s="6">
        <f>IFERROR(__xludf.DUMMYFUNCTION("""COMPUTED_VALUE"""),8500000.0)</f>
        <v>8500000</v>
      </c>
      <c r="K1809" s="57">
        <f>IFERROR(__xludf.DUMMYFUNCTION("""COMPUTED_VALUE"""),44687.0)</f>
        <v>44687</v>
      </c>
      <c r="L1809" s="6" t="str">
        <f>IFERROR(__xludf.DUMMYFUNCTION("""COMPUTED_VALUE"""),"FIP General")</f>
        <v>FIP General</v>
      </c>
      <c r="M1809" s="6" t="str">
        <f>IFERROR(__xludf.DUMMYFUNCTION("""COMPUTED_VALUE"""),"Irwan Sopian")</f>
        <v>Irwan Sopian</v>
      </c>
      <c r="N1809" s="6" t="str">
        <f>IFERROR(__xludf.DUMMYFUNCTION("""COMPUTED_VALUE"""),"FIP Engineering")</f>
        <v>FIP Engineering</v>
      </c>
      <c r="O1809" s="6" t="str">
        <f>IFERROR(__xludf.DUMMYFUNCTION("""COMPUTED_VALUE"""),"FIP-DOM-ENG-51508-0000000-INA-000000")</f>
        <v>FIP-DOM-ENG-51508-0000000-INA-000000</v>
      </c>
      <c r="P1809" s="6" t="str">
        <f>IFERROR(__xludf.DUMMYFUNCTION("""COMPUTED_VALUE"""),"PO Closed")</f>
        <v>PO Closed</v>
      </c>
      <c r="Q1809" s="6" t="str">
        <f>IFERROR(__xludf.DUMMYFUNCTION("""COMPUTED_VALUE"""),"GL2204053")</f>
        <v>GL2204053</v>
      </c>
      <c r="R1809" s="57">
        <f>IFERROR(__xludf.DUMMYFUNCTION("""COMPUTED_VALUE"""),44664.0)</f>
        <v>44664</v>
      </c>
      <c r="S1809" s="6" t="str">
        <f>IFERROR(__xludf.DUMMYFUNCTION("""COMPUTED_VALUE"""),"-")</f>
        <v>-</v>
      </c>
      <c r="T1809" s="57">
        <f>IFERROR(__xludf.DUMMYFUNCTION("""COMPUTED_VALUE"""),44687.0)</f>
        <v>44687</v>
      </c>
    </row>
    <row r="1810">
      <c r="A1810" s="6" t="str">
        <f>IFERROR(__xludf.DUMMYFUNCTION("""COMPUTED_VALUE"""),"221750187-1")</f>
        <v>221750187-1</v>
      </c>
      <c r="B1810" s="6" t="str">
        <f>IFERROR(__xludf.DUMMYFUNCTION("""COMPUTED_VALUE"""),"221750187 - Approved")</f>
        <v>221750187 - Approved</v>
      </c>
      <c r="C1810" s="6">
        <f>IFERROR(__xludf.DUMMYFUNCTION("""COMPUTED_VALUE"""),1.0)</f>
        <v>1</v>
      </c>
      <c r="D1810" s="6" t="str">
        <f>IFERROR(__xludf.DUMMYFUNCTION("""COMPUTED_VALUE"""),"O-17836-00")</f>
        <v>O-17836-00</v>
      </c>
      <c r="E1810" s="6" t="str">
        <f>IFERROR(__xludf.DUMMYFUNCTION("""COMPUTED_VALUE"""),"Manual Actuator SS316L type: 612 GEMU")</f>
        <v>Manual Actuator SS316L type: 612 GEMU</v>
      </c>
      <c r="F1810" s="6">
        <f>IFERROR(__xludf.DUMMYFUNCTION("""COMPUTED_VALUE"""),2.0)</f>
        <v>2</v>
      </c>
      <c r="G1810" s="6" t="str">
        <f>IFERROR(__xludf.DUMMYFUNCTION("""COMPUTED_VALUE"""),"Pieces")</f>
        <v>Pieces</v>
      </c>
      <c r="H1810" s="6" t="str">
        <f>IFERROR(__xludf.DUMMYFUNCTION("""COMPUTED_VALUE"""),"IDR")</f>
        <v>IDR</v>
      </c>
      <c r="I1810" s="6">
        <f>IFERROR(__xludf.DUMMYFUNCTION("""COMPUTED_VALUE"""),3700000.0)</f>
        <v>3700000</v>
      </c>
      <c r="J1810" s="6">
        <f>IFERROR(__xludf.DUMMYFUNCTION("""COMPUTED_VALUE"""),7400000.0)</f>
        <v>7400000</v>
      </c>
      <c r="K1810" s="57">
        <f>IFERROR(__xludf.DUMMYFUNCTION("""COMPUTED_VALUE"""),44694.0)</f>
        <v>44694</v>
      </c>
      <c r="L1810" s="6" t="str">
        <f>IFERROR(__xludf.DUMMYFUNCTION("""COMPUTED_VALUE"""),"FIP Engineering")</f>
        <v>FIP Engineering</v>
      </c>
      <c r="M1810" s="6" t="str">
        <f>IFERROR(__xludf.DUMMYFUNCTION("""COMPUTED_VALUE"""),"Irwan Sopian")</f>
        <v>Irwan Sopian</v>
      </c>
      <c r="N1810" s="6" t="str">
        <f>IFERROR(__xludf.DUMMYFUNCTION("""COMPUTED_VALUE"""),"FIP Engineering")</f>
        <v>FIP Engineering</v>
      </c>
      <c r="O1810" s="6" t="str">
        <f>IFERROR(__xludf.DUMMYFUNCTION("""COMPUTED_VALUE"""),"FIP-DOM-000-11304-OS00001-INA-000000")</f>
        <v>FIP-DOM-000-11304-OS00001-INA-000000</v>
      </c>
      <c r="P1810" s="6" t="str">
        <f>IFERROR(__xludf.DUMMYFUNCTION("""COMPUTED_VALUE"""),"PO Closed")</f>
        <v>PO Closed</v>
      </c>
      <c r="Q1810" s="6" t="str">
        <f>IFERROR(__xludf.DUMMYFUNCTION("""COMPUTED_VALUE"""),"GL2204065")</f>
        <v>GL2204065</v>
      </c>
      <c r="R1810" s="57">
        <f>IFERROR(__xludf.DUMMYFUNCTION("""COMPUTED_VALUE"""),44664.0)</f>
        <v>44664</v>
      </c>
      <c r="S1810" s="6" t="str">
        <f>IFERROR(__xludf.DUMMYFUNCTION("""COMPUTED_VALUE"""),"-")</f>
        <v>-</v>
      </c>
      <c r="T1810" s="57">
        <f>IFERROR(__xludf.DUMMYFUNCTION("""COMPUTED_VALUE"""),44696.0)</f>
        <v>44696</v>
      </c>
    </row>
    <row r="1811">
      <c r="A1811" s="6" t="str">
        <f>IFERROR(__xludf.DUMMYFUNCTION("""COMPUTED_VALUE"""),"221750192-1")</f>
        <v>221750192-1</v>
      </c>
      <c r="B1811" s="6" t="str">
        <f>IFERROR(__xludf.DUMMYFUNCTION("""COMPUTED_VALUE"""),"221750192 - Approved")</f>
        <v>221750192 - Approved</v>
      </c>
      <c r="C1811" s="6">
        <f>IFERROR(__xludf.DUMMYFUNCTION("""COMPUTED_VALUE"""),1.0)</f>
        <v>1</v>
      </c>
      <c r="D1811" s="6" t="str">
        <f>IFERROR(__xludf.DUMMYFUNCTION("""COMPUTED_VALUE"""),"Q-10860-00")</f>
        <v>Q-10860-00</v>
      </c>
      <c r="E1811" s="6" t="str">
        <f>IFERROR(__xludf.DUMMYFUNCTION("""COMPUTED_VALUE"""),"SCHINDLER ELEVATOR - Chime Bell")</f>
        <v>SCHINDLER ELEVATOR - Chime Bell</v>
      </c>
      <c r="F1811" s="6">
        <f>IFERROR(__xludf.DUMMYFUNCTION("""COMPUTED_VALUE"""),1.0)</f>
        <v>1</v>
      </c>
      <c r="G1811" s="6" t="str">
        <f>IFERROR(__xludf.DUMMYFUNCTION("""COMPUTED_VALUE"""),"Pieces")</f>
        <v>Pieces</v>
      </c>
      <c r="H1811" s="6" t="str">
        <f>IFERROR(__xludf.DUMMYFUNCTION("""COMPUTED_VALUE"""),"IDR")</f>
        <v>IDR</v>
      </c>
      <c r="I1811" s="6">
        <f>IFERROR(__xludf.DUMMYFUNCTION("""COMPUTED_VALUE"""),4950000.0)</f>
        <v>4950000</v>
      </c>
      <c r="J1811" s="6">
        <f>IFERROR(__xludf.DUMMYFUNCTION("""COMPUTED_VALUE"""),4950000.0)</f>
        <v>4950000</v>
      </c>
      <c r="K1811" s="57">
        <f>IFERROR(__xludf.DUMMYFUNCTION("""COMPUTED_VALUE"""),44701.0)</f>
        <v>44701</v>
      </c>
      <c r="L1811" s="6" t="str">
        <f>IFERROR(__xludf.DUMMYFUNCTION("""COMPUTED_VALUE"""),"FIP General")</f>
        <v>FIP General</v>
      </c>
      <c r="M1811" s="6" t="str">
        <f>IFERROR(__xludf.DUMMYFUNCTION("""COMPUTED_VALUE"""),"Irwan Sopian")</f>
        <v>Irwan Sopian</v>
      </c>
      <c r="N1811" s="6" t="str">
        <f>IFERROR(__xludf.DUMMYFUNCTION("""COMPUTED_VALUE"""),"FIP Engineering")</f>
        <v>FIP Engineering</v>
      </c>
      <c r="O1811" s="6" t="str">
        <f>IFERROR(__xludf.DUMMYFUNCTION("""COMPUTED_VALUE"""),"FIP-DOM-ENG-51502-0000000-INA-000000")</f>
        <v>FIP-DOM-ENG-51502-0000000-INA-000000</v>
      </c>
      <c r="P1811" s="6" t="str">
        <f>IFERROR(__xludf.DUMMYFUNCTION("""COMPUTED_VALUE"""),"PO Closed")</f>
        <v>PO Closed</v>
      </c>
      <c r="Q1811" s="6" t="str">
        <f>IFERROR(__xludf.DUMMYFUNCTION("""COMPUTED_VALUE"""),"GL2204050")</f>
        <v>GL2204050</v>
      </c>
      <c r="R1811" s="57">
        <f>IFERROR(__xludf.DUMMYFUNCTION("""COMPUTED_VALUE"""),44666.0)</f>
        <v>44666</v>
      </c>
      <c r="S1811" s="6" t="str">
        <f>IFERROR(__xludf.DUMMYFUNCTION("""COMPUTED_VALUE"""),"-")</f>
        <v>-</v>
      </c>
      <c r="T1811" s="57">
        <f>IFERROR(__xludf.DUMMYFUNCTION("""COMPUTED_VALUE"""),44804.0)</f>
        <v>44804</v>
      </c>
    </row>
    <row r="1812">
      <c r="A1812" s="6" t="str">
        <f>IFERROR(__xludf.DUMMYFUNCTION("""COMPUTED_VALUE"""),"221750192-2")</f>
        <v>221750192-2</v>
      </c>
      <c r="B1812" s="6" t="str">
        <f>IFERROR(__xludf.DUMMYFUNCTION("""COMPUTED_VALUE"""),"221750192 - Approved")</f>
        <v>221750192 - Approved</v>
      </c>
      <c r="C1812" s="6">
        <f>IFERROR(__xludf.DUMMYFUNCTION("""COMPUTED_VALUE"""),2.0)</f>
        <v>2</v>
      </c>
      <c r="D1812" s="6" t="str">
        <f>IFERROR(__xludf.DUMMYFUNCTION("""COMPUTED_VALUE"""),"Q-10856-00")</f>
        <v>Q-10856-00</v>
      </c>
      <c r="E1812" s="6" t="str">
        <f>IFERROR(__xludf.DUMMYFUNCTION("""COMPUTED_VALUE"""),"SCHINDLER ELEVATOR - Guide Shoe Oil Box")</f>
        <v>SCHINDLER ELEVATOR - Guide Shoe Oil Box</v>
      </c>
      <c r="F1812" s="6">
        <f>IFERROR(__xludf.DUMMYFUNCTION("""COMPUTED_VALUE"""),2.0)</f>
        <v>2</v>
      </c>
      <c r="G1812" s="6" t="str">
        <f>IFERROR(__xludf.DUMMYFUNCTION("""COMPUTED_VALUE"""),"Pieces")</f>
        <v>Pieces</v>
      </c>
      <c r="H1812" s="6" t="str">
        <f>IFERROR(__xludf.DUMMYFUNCTION("""COMPUTED_VALUE"""),"IDR")</f>
        <v>IDR</v>
      </c>
      <c r="I1812" s="6">
        <f>IFERROR(__xludf.DUMMYFUNCTION("""COMPUTED_VALUE"""),285000.0)</f>
        <v>285000</v>
      </c>
      <c r="J1812" s="6">
        <f>IFERROR(__xludf.DUMMYFUNCTION("""COMPUTED_VALUE"""),570000.0)</f>
        <v>570000</v>
      </c>
      <c r="K1812" s="57">
        <f>IFERROR(__xludf.DUMMYFUNCTION("""COMPUTED_VALUE"""),44701.0)</f>
        <v>44701</v>
      </c>
      <c r="L1812" s="6" t="str">
        <f>IFERROR(__xludf.DUMMYFUNCTION("""COMPUTED_VALUE"""),"FIP General")</f>
        <v>FIP General</v>
      </c>
      <c r="M1812" s="6" t="str">
        <f>IFERROR(__xludf.DUMMYFUNCTION("""COMPUTED_VALUE"""),"Irwan Sopian")</f>
        <v>Irwan Sopian</v>
      </c>
      <c r="N1812" s="6" t="str">
        <f>IFERROR(__xludf.DUMMYFUNCTION("""COMPUTED_VALUE"""),"FIP Engineering")</f>
        <v>FIP Engineering</v>
      </c>
      <c r="O1812" s="6" t="str">
        <f>IFERROR(__xludf.DUMMYFUNCTION("""COMPUTED_VALUE"""),"FIP-DOM-ENG-51502-0000000-INA-000000")</f>
        <v>FIP-DOM-ENG-51502-0000000-INA-000000</v>
      </c>
      <c r="P1812" s="6" t="str">
        <f>IFERROR(__xludf.DUMMYFUNCTION("""COMPUTED_VALUE"""),"PO Closed")</f>
        <v>PO Closed</v>
      </c>
      <c r="Q1812" s="6" t="str">
        <f>IFERROR(__xludf.DUMMYFUNCTION("""COMPUTED_VALUE"""),"GL2204050")</f>
        <v>GL2204050</v>
      </c>
      <c r="R1812" s="57">
        <f>IFERROR(__xludf.DUMMYFUNCTION("""COMPUTED_VALUE"""),44666.0)</f>
        <v>44666</v>
      </c>
      <c r="S1812" s="6" t="str">
        <f>IFERROR(__xludf.DUMMYFUNCTION("""COMPUTED_VALUE"""),"-")</f>
        <v>-</v>
      </c>
      <c r="T1812" s="57">
        <f>IFERROR(__xludf.DUMMYFUNCTION("""COMPUTED_VALUE"""),44728.0)</f>
        <v>44728</v>
      </c>
    </row>
    <row r="1813">
      <c r="A1813" s="6" t="str">
        <f>IFERROR(__xludf.DUMMYFUNCTION("""COMPUTED_VALUE"""),"221750192-3")</f>
        <v>221750192-3</v>
      </c>
      <c r="B1813" s="6" t="str">
        <f>IFERROR(__xludf.DUMMYFUNCTION("""COMPUTED_VALUE"""),"221750192 - Approved")</f>
        <v>221750192 - Approved</v>
      </c>
      <c r="C1813" s="6">
        <f>IFERROR(__xludf.DUMMYFUNCTION("""COMPUTED_VALUE"""),3.0)</f>
        <v>3</v>
      </c>
      <c r="D1813" s="6" t="str">
        <f>IFERROR(__xludf.DUMMYFUNCTION("""COMPUTED_VALUE"""),"P-17899-00")</f>
        <v>P-17899-00</v>
      </c>
      <c r="E1813" s="6" t="str">
        <f>IFERROR(__xludf.DUMMYFUNCTION("""COMPUTED_VALUE"""),"SCHINDLER ELEVATOR - Door Shoe")</f>
        <v>SCHINDLER ELEVATOR - Door Shoe</v>
      </c>
      <c r="F1813" s="6">
        <f>IFERROR(__xludf.DUMMYFUNCTION("""COMPUTED_VALUE"""),4.0)</f>
        <v>4</v>
      </c>
      <c r="G1813" s="6" t="str">
        <f>IFERROR(__xludf.DUMMYFUNCTION("""COMPUTED_VALUE"""),"Pieces")</f>
        <v>Pieces</v>
      </c>
      <c r="H1813" s="6" t="str">
        <f>IFERROR(__xludf.DUMMYFUNCTION("""COMPUTED_VALUE"""),"IDR")</f>
        <v>IDR</v>
      </c>
      <c r="I1813" s="6">
        <f>IFERROR(__xludf.DUMMYFUNCTION("""COMPUTED_VALUE"""),317000.0)</f>
        <v>317000</v>
      </c>
      <c r="J1813" s="6">
        <f>IFERROR(__xludf.DUMMYFUNCTION("""COMPUTED_VALUE"""),1268000.0)</f>
        <v>1268000</v>
      </c>
      <c r="K1813" s="57">
        <f>IFERROR(__xludf.DUMMYFUNCTION("""COMPUTED_VALUE"""),44701.0)</f>
        <v>44701</v>
      </c>
      <c r="L1813" s="6" t="str">
        <f>IFERROR(__xludf.DUMMYFUNCTION("""COMPUTED_VALUE"""),"FIP General")</f>
        <v>FIP General</v>
      </c>
      <c r="M1813" s="6" t="str">
        <f>IFERROR(__xludf.DUMMYFUNCTION("""COMPUTED_VALUE"""),"Irwan Sopian")</f>
        <v>Irwan Sopian</v>
      </c>
      <c r="N1813" s="6" t="str">
        <f>IFERROR(__xludf.DUMMYFUNCTION("""COMPUTED_VALUE"""),"FIP Engineering")</f>
        <v>FIP Engineering</v>
      </c>
      <c r="O1813" s="6" t="str">
        <f>IFERROR(__xludf.DUMMYFUNCTION("""COMPUTED_VALUE"""),"FIP-DOM-ENG-51504-0000000-INA-000000")</f>
        <v>FIP-DOM-ENG-51504-0000000-INA-000000</v>
      </c>
      <c r="P1813" s="6" t="str">
        <f>IFERROR(__xludf.DUMMYFUNCTION("""COMPUTED_VALUE"""),"PO Closed")</f>
        <v>PO Closed</v>
      </c>
      <c r="Q1813" s="6" t="str">
        <f>IFERROR(__xludf.DUMMYFUNCTION("""COMPUTED_VALUE"""),"GL2204069")</f>
        <v>GL2204069</v>
      </c>
      <c r="R1813" s="57">
        <f>IFERROR(__xludf.DUMMYFUNCTION("""COMPUTED_VALUE"""),44666.0)</f>
        <v>44666</v>
      </c>
      <c r="S1813" s="6" t="str">
        <f>IFERROR(__xludf.DUMMYFUNCTION("""COMPUTED_VALUE"""),"-")</f>
        <v>-</v>
      </c>
      <c r="T1813" s="57">
        <f>IFERROR(__xludf.DUMMYFUNCTION("""COMPUTED_VALUE"""),44706.0)</f>
        <v>44706</v>
      </c>
    </row>
    <row r="1814">
      <c r="A1814" s="6" t="str">
        <f>IFERROR(__xludf.DUMMYFUNCTION("""COMPUTED_VALUE"""),"221750191-1")</f>
        <v>221750191-1</v>
      </c>
      <c r="B1814" s="6" t="str">
        <f>IFERROR(__xludf.DUMMYFUNCTION("""COMPUTED_VALUE"""),"221750191 - Approved")</f>
        <v>221750191 - Approved</v>
      </c>
      <c r="C1814" s="6">
        <f>IFERROR(__xludf.DUMMYFUNCTION("""COMPUTED_VALUE"""),1.0)</f>
        <v>1</v>
      </c>
      <c r="D1814" s="6" t="str">
        <f>IFERROR(__xludf.DUMMYFUNCTION("""COMPUTED_VALUE"""),"O-50827-00")</f>
        <v>O-50827-00</v>
      </c>
      <c r="E1814" s="6" t="str">
        <f>IFERROR(__xludf.DUMMYFUNCTION("""COMPUTED_VALUE"""),"OptoCapBT02T Operating Range 8 ppb - 60% O2 Sat P/N 30018857, Measured Pressure Resistance : 0 bar -; ; ;")</f>
        <v>OptoCapBT02T Operating Range 8 ppb - 60% O2 Sat P/N 30018857, Measured Pressure Resistance : 0 bar -; ; ;</v>
      </c>
      <c r="F1814" s="6">
        <f>IFERROR(__xludf.DUMMYFUNCTION("""COMPUTED_VALUE"""),2.0)</f>
        <v>2</v>
      </c>
      <c r="G1814" s="6" t="str">
        <f>IFERROR(__xludf.DUMMYFUNCTION("""COMPUTED_VALUE"""),"Unit")</f>
        <v>Unit</v>
      </c>
      <c r="H1814" s="6" t="str">
        <f>IFERROR(__xludf.DUMMYFUNCTION("""COMPUTED_VALUE"""),"IDR")</f>
        <v>IDR</v>
      </c>
      <c r="I1814" s="6">
        <f>IFERROR(__xludf.DUMMYFUNCTION("""COMPUTED_VALUE"""),1.4238E7)</f>
        <v>14238000</v>
      </c>
      <c r="J1814" s="6">
        <f>IFERROR(__xludf.DUMMYFUNCTION("""COMPUTED_VALUE"""),2.8476E7)</f>
        <v>28476000</v>
      </c>
      <c r="K1814" s="57">
        <f>IFERROR(__xludf.DUMMYFUNCTION("""COMPUTED_VALUE"""),44708.0)</f>
        <v>44708</v>
      </c>
      <c r="L1814" s="6" t="str">
        <f>IFERROR(__xludf.DUMMYFUNCTION("""COMPUTED_VALUE"""),"FIP Engineering")</f>
        <v>FIP Engineering</v>
      </c>
      <c r="M1814" s="6" t="str">
        <f>IFERROR(__xludf.DUMMYFUNCTION("""COMPUTED_VALUE"""),"Irwan Sopian")</f>
        <v>Irwan Sopian</v>
      </c>
      <c r="N1814" s="6" t="str">
        <f>IFERROR(__xludf.DUMMYFUNCTION("""COMPUTED_VALUE"""),"FIP Engineering")</f>
        <v>FIP Engineering</v>
      </c>
      <c r="O1814" s="6" t="str">
        <f>IFERROR(__xludf.DUMMYFUNCTION("""COMPUTED_VALUE"""),"FIP-DOM-000-11304-OS00001-INA-000000")</f>
        <v>FIP-DOM-000-11304-OS00001-INA-000000</v>
      </c>
      <c r="P1814" s="6" t="str">
        <f>IFERROR(__xludf.DUMMYFUNCTION("""COMPUTED_VALUE"""),"PO Closed")</f>
        <v>PO Closed</v>
      </c>
      <c r="Q1814" s="6" t="str">
        <f>IFERROR(__xludf.DUMMYFUNCTION("""COMPUTED_VALUE"""),"GL2204055")</f>
        <v>GL2204055</v>
      </c>
      <c r="R1814" s="57">
        <f>IFERROR(__xludf.DUMMYFUNCTION("""COMPUTED_VALUE"""),44666.0)</f>
        <v>44666</v>
      </c>
      <c r="S1814" s="6" t="str">
        <f>IFERROR(__xludf.DUMMYFUNCTION("""COMPUTED_VALUE"""),"-")</f>
        <v>-</v>
      </c>
      <c r="T1814" s="57">
        <f>IFERROR(__xludf.DUMMYFUNCTION("""COMPUTED_VALUE"""),44708.0)</f>
        <v>44708</v>
      </c>
    </row>
    <row r="1815">
      <c r="A1815" s="6" t="str">
        <f>IFERROR(__xludf.DUMMYFUNCTION("""COMPUTED_VALUE"""),"221750193-1")</f>
        <v>221750193-1</v>
      </c>
      <c r="B1815" s="6" t="str">
        <f>IFERROR(__xludf.DUMMYFUNCTION("""COMPUTED_VALUE"""),"221750193 - Approved")</f>
        <v>221750193 - Approved</v>
      </c>
      <c r="C1815" s="6">
        <f>IFERROR(__xludf.DUMMYFUNCTION("""COMPUTED_VALUE"""),1.0)</f>
        <v>1</v>
      </c>
      <c r="D1815" s="6" t="str">
        <f>IFERROR(__xludf.DUMMYFUNCTION("""COMPUTED_VALUE"""),"O-51967-00")</f>
        <v>O-51967-00</v>
      </c>
      <c r="E1815" s="6" t="str">
        <f>IFERROR(__xludf.DUMMYFUNCTION("""COMPUTED_VALUE"""),"Solid State Relay 3-32 VDC - 330 VAC 25 A")</f>
        <v>Solid State Relay 3-32 VDC - 330 VAC 25 A</v>
      </c>
      <c r="F1815" s="6">
        <f>IFERROR(__xludf.DUMMYFUNCTION("""COMPUTED_VALUE"""),3.0)</f>
        <v>3</v>
      </c>
      <c r="G1815" s="6" t="str">
        <f>IFERROR(__xludf.DUMMYFUNCTION("""COMPUTED_VALUE"""),"Pieces")</f>
        <v>Pieces</v>
      </c>
      <c r="H1815" s="6" t="str">
        <f>IFERROR(__xludf.DUMMYFUNCTION("""COMPUTED_VALUE"""),"IDR")</f>
        <v>IDR</v>
      </c>
      <c r="I1815" s="6">
        <f>IFERROR(__xludf.DUMMYFUNCTION("""COMPUTED_VALUE"""),250000.0)</f>
        <v>250000</v>
      </c>
      <c r="J1815" s="6">
        <f>IFERROR(__xludf.DUMMYFUNCTION("""COMPUTED_VALUE"""),750000.0)</f>
        <v>750000</v>
      </c>
      <c r="K1815" s="57">
        <f>IFERROR(__xludf.DUMMYFUNCTION("""COMPUTED_VALUE"""),44701.0)</f>
        <v>44701</v>
      </c>
      <c r="L1815" s="6" t="str">
        <f>IFERROR(__xludf.DUMMYFUNCTION("""COMPUTED_VALUE"""),"FIP Engineering")</f>
        <v>FIP Engineering</v>
      </c>
      <c r="M1815" s="6" t="str">
        <f>IFERROR(__xludf.DUMMYFUNCTION("""COMPUTED_VALUE"""),"Irwan Sopian")</f>
        <v>Irwan Sopian</v>
      </c>
      <c r="N1815" s="6" t="str">
        <f>IFERROR(__xludf.DUMMYFUNCTION("""COMPUTED_VALUE"""),"FIP Engineering")</f>
        <v>FIP Engineering</v>
      </c>
      <c r="O1815" s="6" t="str">
        <f>IFERROR(__xludf.DUMMYFUNCTION("""COMPUTED_VALUE"""),"FIP-DOM-000-11304-OS00001-INA-000000")</f>
        <v>FIP-DOM-000-11304-OS00001-INA-000000</v>
      </c>
      <c r="P1815" s="6" t="str">
        <f>IFERROR(__xludf.DUMMYFUNCTION("""COMPUTED_VALUE"""),"PO Closed")</f>
        <v>PO Closed</v>
      </c>
      <c r="Q1815" s="6" t="str">
        <f>IFERROR(__xludf.DUMMYFUNCTION("""COMPUTED_VALUE"""),"GL2205011")</f>
        <v>GL2205011</v>
      </c>
      <c r="R1815" s="57">
        <f>IFERROR(__xludf.DUMMYFUNCTION("""COMPUTED_VALUE"""),44669.0)</f>
        <v>44669</v>
      </c>
      <c r="S1815" s="6" t="str">
        <f>IFERROR(__xludf.DUMMYFUNCTION("""COMPUTED_VALUE"""),"-")</f>
        <v>-</v>
      </c>
      <c r="T1815" s="57">
        <f>IFERROR(__xludf.DUMMYFUNCTION("""COMPUTED_VALUE"""),44706.0)</f>
        <v>44706</v>
      </c>
    </row>
    <row r="1816">
      <c r="A1816" s="6" t="str">
        <f>IFERROR(__xludf.DUMMYFUNCTION("""COMPUTED_VALUE"""),"221750193-2")</f>
        <v>221750193-2</v>
      </c>
      <c r="B1816" s="6" t="str">
        <f>IFERROR(__xludf.DUMMYFUNCTION("""COMPUTED_VALUE"""),"221750193 - Approved")</f>
        <v>221750193 - Approved</v>
      </c>
      <c r="C1816" s="6">
        <f>IFERROR(__xludf.DUMMYFUNCTION("""COMPUTED_VALUE"""),2.0)</f>
        <v>2</v>
      </c>
      <c r="D1816" s="6" t="str">
        <f>IFERROR(__xludf.DUMMYFUNCTION("""COMPUTED_VALUE"""),"Q-10859-00")</f>
        <v>Q-10859-00</v>
      </c>
      <c r="E1816" s="6" t="str">
        <f>IFERROR(__xludf.DUMMYFUNCTION("""COMPUTED_VALUE"""),"Gembok 40 mm")</f>
        <v>Gembok 40 mm</v>
      </c>
      <c r="F1816" s="6">
        <f>IFERROR(__xludf.DUMMYFUNCTION("""COMPUTED_VALUE"""),2.0)</f>
        <v>2</v>
      </c>
      <c r="G1816" s="6" t="str">
        <f>IFERROR(__xludf.DUMMYFUNCTION("""COMPUTED_VALUE"""),"Pieces")</f>
        <v>Pieces</v>
      </c>
      <c r="H1816" s="6" t="str">
        <f>IFERROR(__xludf.DUMMYFUNCTION("""COMPUTED_VALUE"""),"IDR")</f>
        <v>IDR</v>
      </c>
      <c r="I1816" s="6">
        <f>IFERROR(__xludf.DUMMYFUNCTION("""COMPUTED_VALUE"""),40000.0)</f>
        <v>40000</v>
      </c>
      <c r="J1816" s="6">
        <f>IFERROR(__xludf.DUMMYFUNCTION("""COMPUTED_VALUE"""),80000.0)</f>
        <v>80000</v>
      </c>
      <c r="K1816" s="57">
        <f>IFERROR(__xludf.DUMMYFUNCTION("""COMPUTED_VALUE"""),44701.0)</f>
        <v>44701</v>
      </c>
      <c r="L1816" s="6" t="str">
        <f>IFERROR(__xludf.DUMMYFUNCTION("""COMPUTED_VALUE"""),"FIP General")</f>
        <v>FIP General</v>
      </c>
      <c r="M1816" s="6" t="str">
        <f>IFERROR(__xludf.DUMMYFUNCTION("""COMPUTED_VALUE"""),"Irwan Sopian")</f>
        <v>Irwan Sopian</v>
      </c>
      <c r="N1816" s="6" t="str">
        <f>IFERROR(__xludf.DUMMYFUNCTION("""COMPUTED_VALUE"""),"FIP Engineering")</f>
        <v>FIP Engineering</v>
      </c>
      <c r="O1816" s="6" t="str">
        <f>IFERROR(__xludf.DUMMYFUNCTION("""COMPUTED_VALUE"""),"FIP-DOM-ENG-51502-0000000-INA-000000")</f>
        <v>FIP-DOM-ENG-51502-0000000-INA-000000</v>
      </c>
      <c r="P1816" s="6" t="str">
        <f>IFERROR(__xludf.DUMMYFUNCTION("""COMPUTED_VALUE"""),"PO Closed")</f>
        <v>PO Closed</v>
      </c>
      <c r="Q1816" s="6" t="str">
        <f>IFERROR(__xludf.DUMMYFUNCTION("""COMPUTED_VALUE"""),"GL2204051")</f>
        <v>GL2204051</v>
      </c>
      <c r="R1816" s="57">
        <f>IFERROR(__xludf.DUMMYFUNCTION("""COMPUTED_VALUE"""),44670.0)</f>
        <v>44670</v>
      </c>
      <c r="S1816" s="6" t="str">
        <f>IFERROR(__xludf.DUMMYFUNCTION("""COMPUTED_VALUE"""),"-")</f>
        <v>-</v>
      </c>
      <c r="T1816" s="57">
        <f>IFERROR(__xludf.DUMMYFUNCTION("""COMPUTED_VALUE"""),44701.0)</f>
        <v>44701</v>
      </c>
    </row>
    <row r="1817">
      <c r="A1817" s="6" t="str">
        <f>IFERROR(__xludf.DUMMYFUNCTION("""COMPUTED_VALUE"""),"221750193-3")</f>
        <v>221750193-3</v>
      </c>
      <c r="B1817" s="6" t="str">
        <f>IFERROR(__xludf.DUMMYFUNCTION("""COMPUTED_VALUE"""),"221750193 - Approved")</f>
        <v>221750193 - Approved</v>
      </c>
      <c r="C1817" s="6">
        <f>IFERROR(__xludf.DUMMYFUNCTION("""COMPUTED_VALUE"""),3.0)</f>
        <v>3</v>
      </c>
      <c r="D1817" s="6" t="str">
        <f>IFERROR(__xludf.DUMMYFUNCTION("""COMPUTED_VALUE"""),"O-51307-00")</f>
        <v>O-51307-00</v>
      </c>
      <c r="E1817" s="6" t="str">
        <f>IFERROR(__xludf.DUMMYFUNCTION("""COMPUTED_VALUE"""),"Selector Switch 22mm On-Off XPB22-22A Fort")</f>
        <v>Selector Switch 22mm On-Off XPB22-22A Fort</v>
      </c>
      <c r="F1817" s="6">
        <f>IFERROR(__xludf.DUMMYFUNCTION("""COMPUTED_VALUE"""),2.0)</f>
        <v>2</v>
      </c>
      <c r="G1817" s="6" t="str">
        <f>IFERROR(__xludf.DUMMYFUNCTION("""COMPUTED_VALUE"""),"Pieces")</f>
        <v>Pieces</v>
      </c>
      <c r="H1817" s="6" t="str">
        <f>IFERROR(__xludf.DUMMYFUNCTION("""COMPUTED_VALUE"""),"IDR")</f>
        <v>IDR</v>
      </c>
      <c r="I1817" s="6">
        <f>IFERROR(__xludf.DUMMYFUNCTION("""COMPUTED_VALUE"""),27500.0)</f>
        <v>27500</v>
      </c>
      <c r="J1817" s="6">
        <f>IFERROR(__xludf.DUMMYFUNCTION("""COMPUTED_VALUE"""),55000.0)</f>
        <v>55000</v>
      </c>
      <c r="K1817" s="57">
        <f>IFERROR(__xludf.DUMMYFUNCTION("""COMPUTED_VALUE"""),44701.0)</f>
        <v>44701</v>
      </c>
      <c r="L1817" s="6" t="str">
        <f>IFERROR(__xludf.DUMMYFUNCTION("""COMPUTED_VALUE"""),"FIP General")</f>
        <v>FIP General</v>
      </c>
      <c r="M1817" s="6" t="str">
        <f>IFERROR(__xludf.DUMMYFUNCTION("""COMPUTED_VALUE"""),"Irwan Sopian")</f>
        <v>Irwan Sopian</v>
      </c>
      <c r="N1817" s="6" t="str">
        <f>IFERROR(__xludf.DUMMYFUNCTION("""COMPUTED_VALUE"""),"FIP Engineering")</f>
        <v>FIP Engineering</v>
      </c>
      <c r="O1817" s="6" t="str">
        <f>IFERROR(__xludf.DUMMYFUNCTION("""COMPUTED_VALUE"""),"FIP-DOM-ENG-51404-0000000-INA-000000")</f>
        <v>FIP-DOM-ENG-51404-0000000-INA-000000</v>
      </c>
      <c r="P1817" s="6" t="str">
        <f>IFERROR(__xludf.DUMMYFUNCTION("""COMPUTED_VALUE"""),"PO Closed")</f>
        <v>PO Closed</v>
      </c>
      <c r="Q1817" s="6" t="str">
        <f>IFERROR(__xludf.DUMMYFUNCTION("""COMPUTED_VALUE"""),"GL2204067")</f>
        <v>GL2204067</v>
      </c>
      <c r="R1817" s="57">
        <f>IFERROR(__xludf.DUMMYFUNCTION("""COMPUTED_VALUE"""),44670.0)</f>
        <v>44670</v>
      </c>
      <c r="S1817" s="6" t="str">
        <f>IFERROR(__xludf.DUMMYFUNCTION("""COMPUTED_VALUE"""),"-")</f>
        <v>-</v>
      </c>
      <c r="T1817" s="57">
        <f>IFERROR(__xludf.DUMMYFUNCTION("""COMPUTED_VALUE"""),44701.0)</f>
        <v>44701</v>
      </c>
    </row>
    <row r="1818">
      <c r="A1818" s="6" t="str">
        <f>IFERROR(__xludf.DUMMYFUNCTION("""COMPUTED_VALUE"""),"221750193-4")</f>
        <v>221750193-4</v>
      </c>
      <c r="B1818" s="6" t="str">
        <f>IFERROR(__xludf.DUMMYFUNCTION("""COMPUTED_VALUE"""),"221750193 - Approved")</f>
        <v>221750193 - Approved</v>
      </c>
      <c r="C1818" s="6">
        <f>IFERROR(__xludf.DUMMYFUNCTION("""COMPUTED_VALUE"""),4.0)</f>
        <v>4</v>
      </c>
      <c r="D1818" s="6" t="str">
        <f>IFERROR(__xludf.DUMMYFUNCTION("""COMPUTED_VALUE"""),"P-15938-00")</f>
        <v>P-15938-00</v>
      </c>
      <c r="E1818" s="6" t="str">
        <f>IFERROR(__xludf.DUMMYFUNCTION("""COMPUTED_VALUE"""),"Water Hardness Test Kit")</f>
        <v>Water Hardness Test Kit</v>
      </c>
      <c r="F1818" s="6">
        <f>IFERROR(__xludf.DUMMYFUNCTION("""COMPUTED_VALUE"""),1.0)</f>
        <v>1</v>
      </c>
      <c r="G1818" s="6" t="str">
        <f>IFERROR(__xludf.DUMMYFUNCTION("""COMPUTED_VALUE"""),"Box")</f>
        <v>Box</v>
      </c>
      <c r="H1818" s="6" t="str">
        <f>IFERROR(__xludf.DUMMYFUNCTION("""COMPUTED_VALUE"""),"IDR")</f>
        <v>IDR</v>
      </c>
      <c r="I1818" s="6">
        <f>IFERROR(__xludf.DUMMYFUNCTION("""COMPUTED_VALUE"""),273500.0)</f>
        <v>273500</v>
      </c>
      <c r="J1818" s="6">
        <f>IFERROR(__xludf.DUMMYFUNCTION("""COMPUTED_VALUE"""),273500.0)</f>
        <v>273500</v>
      </c>
      <c r="K1818" s="57">
        <f>IFERROR(__xludf.DUMMYFUNCTION("""COMPUTED_VALUE"""),44701.0)</f>
        <v>44701</v>
      </c>
      <c r="L1818" s="6" t="str">
        <f>IFERROR(__xludf.DUMMYFUNCTION("""COMPUTED_VALUE"""),"FIP General")</f>
        <v>FIP General</v>
      </c>
      <c r="M1818" s="6" t="str">
        <f>IFERROR(__xludf.DUMMYFUNCTION("""COMPUTED_VALUE"""),"Irwan Sopian")</f>
        <v>Irwan Sopian</v>
      </c>
      <c r="N1818" s="6" t="str">
        <f>IFERROR(__xludf.DUMMYFUNCTION("""COMPUTED_VALUE"""),"FIP Engineering")</f>
        <v>FIP Engineering</v>
      </c>
      <c r="O1818" s="6" t="str">
        <f>IFERROR(__xludf.DUMMYFUNCTION("""COMPUTED_VALUE"""),"FIP-DOM-ENG-51504-0000000-INA-000000")</f>
        <v>FIP-DOM-ENG-51504-0000000-INA-000000</v>
      </c>
      <c r="P1818" s="6" t="str">
        <f>IFERROR(__xludf.DUMMYFUNCTION("""COMPUTED_VALUE"""),"PO Closed")</f>
        <v>PO Closed</v>
      </c>
      <c r="Q1818" s="6" t="str">
        <f>IFERROR(__xludf.DUMMYFUNCTION("""COMPUTED_VALUE"""),"GL2204068")</f>
        <v>GL2204068</v>
      </c>
      <c r="R1818" s="57">
        <f>IFERROR(__xludf.DUMMYFUNCTION("""COMPUTED_VALUE"""),44670.0)</f>
        <v>44670</v>
      </c>
      <c r="S1818" s="6" t="str">
        <f>IFERROR(__xludf.DUMMYFUNCTION("""COMPUTED_VALUE"""),"-")</f>
        <v>-</v>
      </c>
      <c r="T1818" s="57">
        <f>IFERROR(__xludf.DUMMYFUNCTION("""COMPUTED_VALUE"""),44701.0)</f>
        <v>44701</v>
      </c>
    </row>
    <row r="1819">
      <c r="A1819" s="6" t="str">
        <f>IFERROR(__xludf.DUMMYFUNCTION("""COMPUTED_VALUE"""),"221750196-1")</f>
        <v>221750196-1</v>
      </c>
      <c r="B1819" s="6" t="str">
        <f>IFERROR(__xludf.DUMMYFUNCTION("""COMPUTED_VALUE"""),"221750196 - Approved")</f>
        <v>221750196 - Approved</v>
      </c>
      <c r="C1819" s="6">
        <f>IFERROR(__xludf.DUMMYFUNCTION("""COMPUTED_VALUE"""),1.0)</f>
        <v>1</v>
      </c>
      <c r="D1819" s="6" t="str">
        <f>IFERROR(__xludf.DUMMYFUNCTION("""COMPUTED_VALUE"""),"P-10945-00")</f>
        <v>P-10945-00</v>
      </c>
      <c r="E1819" s="6" t="str">
        <f>IFERROR(__xludf.DUMMYFUNCTION("""COMPUTED_VALUE"""),"Insulation - Seal Tape onda")</f>
        <v>Insulation - Seal Tape onda</v>
      </c>
      <c r="F1819" s="6">
        <f>IFERROR(__xludf.DUMMYFUNCTION("""COMPUTED_VALUE"""),8.0)</f>
        <v>8</v>
      </c>
      <c r="G1819" s="6" t="str">
        <f>IFERROR(__xludf.DUMMYFUNCTION("""COMPUTED_VALUE"""),"Pieces")</f>
        <v>Pieces</v>
      </c>
      <c r="H1819" s="6" t="str">
        <f>IFERROR(__xludf.DUMMYFUNCTION("""COMPUTED_VALUE"""),"IDR")</f>
        <v>IDR</v>
      </c>
      <c r="I1819" s="6">
        <f>IFERROR(__xludf.DUMMYFUNCTION("""COMPUTED_VALUE"""),4500.0)</f>
        <v>4500</v>
      </c>
      <c r="J1819" s="6">
        <f>IFERROR(__xludf.DUMMYFUNCTION("""COMPUTED_VALUE"""),36000.0)</f>
        <v>36000</v>
      </c>
      <c r="K1819" s="57">
        <f>IFERROR(__xludf.DUMMYFUNCTION("""COMPUTED_VALUE"""),44697.0)</f>
        <v>44697</v>
      </c>
      <c r="L1819" s="6" t="str">
        <f>IFERROR(__xludf.DUMMYFUNCTION("""COMPUTED_VALUE"""),"FIP Engineering")</f>
        <v>FIP Engineering</v>
      </c>
      <c r="M1819" s="6" t="str">
        <f>IFERROR(__xludf.DUMMYFUNCTION("""COMPUTED_VALUE"""),"Joko Nugroho")</f>
        <v>Joko Nugroho</v>
      </c>
      <c r="N1819" s="6" t="str">
        <f>IFERROR(__xludf.DUMMYFUNCTION("""COMPUTED_VALUE"""),"FIP Engineering")</f>
        <v>FIP Engineering</v>
      </c>
      <c r="O1819" s="6" t="str">
        <f>IFERROR(__xludf.DUMMYFUNCTION("""COMPUTED_VALUE"""),"FIP-DOM-000-11304-OS00001-INA-000000")</f>
        <v>FIP-DOM-000-11304-OS00001-INA-000000</v>
      </c>
      <c r="P1819" s="6" t="str">
        <f>IFERROR(__xludf.DUMMYFUNCTION("""COMPUTED_VALUE"""),"PO Closed")</f>
        <v>PO Closed</v>
      </c>
      <c r="Q1819" s="6" t="str">
        <f>IFERROR(__xludf.DUMMYFUNCTION("""COMPUTED_VALUE"""),"GL2205031")</f>
        <v>GL2205031</v>
      </c>
      <c r="R1819" s="57">
        <f>IFERROR(__xludf.DUMMYFUNCTION("""COMPUTED_VALUE"""),44672.0)</f>
        <v>44672</v>
      </c>
      <c r="S1819" s="6" t="str">
        <f>IFERROR(__xludf.DUMMYFUNCTION("""COMPUTED_VALUE"""),"-")</f>
        <v>-</v>
      </c>
      <c r="T1819" s="57">
        <f>IFERROR(__xludf.DUMMYFUNCTION("""COMPUTED_VALUE"""),44718.0)</f>
        <v>44718</v>
      </c>
    </row>
    <row r="1820">
      <c r="A1820" s="6" t="str">
        <f>IFERROR(__xludf.DUMMYFUNCTION("""COMPUTED_VALUE"""),"221750196-2")</f>
        <v>221750196-2</v>
      </c>
      <c r="B1820" s="6" t="str">
        <f>IFERROR(__xludf.DUMMYFUNCTION("""COMPUTED_VALUE"""),"221750196 - Approved")</f>
        <v>221750196 - Approved</v>
      </c>
      <c r="C1820" s="6">
        <f>IFERROR(__xludf.DUMMYFUNCTION("""COMPUTED_VALUE"""),2.0)</f>
        <v>2</v>
      </c>
      <c r="D1820" s="6" t="str">
        <f>IFERROR(__xludf.DUMMYFUNCTION("""COMPUTED_VALUE"""),"P-15851-00")</f>
        <v>P-15851-00</v>
      </c>
      <c r="E1820" s="6" t="str">
        <f>IFERROR(__xludf.DUMMYFUNCTION("""COMPUTED_VALUE"""),"AMPLAS EAGLE 100")</f>
        <v>AMPLAS EAGLE 100</v>
      </c>
      <c r="F1820" s="6">
        <f>IFERROR(__xludf.DUMMYFUNCTION("""COMPUTED_VALUE"""),5.0)</f>
        <v>5</v>
      </c>
      <c r="G1820" s="6" t="str">
        <f>IFERROR(__xludf.DUMMYFUNCTION("""COMPUTED_VALUE"""),"Pieces")</f>
        <v>Pieces</v>
      </c>
      <c r="H1820" s="6" t="str">
        <f>IFERROR(__xludf.DUMMYFUNCTION("""COMPUTED_VALUE"""),"IDR")</f>
        <v>IDR</v>
      </c>
      <c r="I1820" s="6">
        <f>IFERROR(__xludf.DUMMYFUNCTION("""COMPUTED_VALUE"""),3300.0)</f>
        <v>3300</v>
      </c>
      <c r="J1820" s="6">
        <f>IFERROR(__xludf.DUMMYFUNCTION("""COMPUTED_VALUE"""),16500.0)</f>
        <v>16500</v>
      </c>
      <c r="K1820" s="57">
        <f>IFERROR(__xludf.DUMMYFUNCTION("""COMPUTED_VALUE"""),44697.0)</f>
        <v>44697</v>
      </c>
      <c r="L1820" s="6" t="str">
        <f>IFERROR(__xludf.DUMMYFUNCTION("""COMPUTED_VALUE"""),"FIP Engineering")</f>
        <v>FIP Engineering</v>
      </c>
      <c r="M1820" s="6" t="str">
        <f>IFERROR(__xludf.DUMMYFUNCTION("""COMPUTED_VALUE"""),"Joko Nugroho")</f>
        <v>Joko Nugroho</v>
      </c>
      <c r="N1820" s="6" t="str">
        <f>IFERROR(__xludf.DUMMYFUNCTION("""COMPUTED_VALUE"""),"FIP Engineering")</f>
        <v>FIP Engineering</v>
      </c>
      <c r="O1820" s="6" t="str">
        <f>IFERROR(__xludf.DUMMYFUNCTION("""COMPUTED_VALUE"""),"FIP-DOM-000-11304-OS00001-INA-000000")</f>
        <v>FIP-DOM-000-11304-OS00001-INA-000000</v>
      </c>
      <c r="P1820" s="6" t="str">
        <f>IFERROR(__xludf.DUMMYFUNCTION("""COMPUTED_VALUE"""),"PO Closed")</f>
        <v>PO Closed</v>
      </c>
      <c r="Q1820" s="6" t="str">
        <f>IFERROR(__xludf.DUMMYFUNCTION("""COMPUTED_VALUE"""),"GL2205031")</f>
        <v>GL2205031</v>
      </c>
      <c r="R1820" s="57">
        <f>IFERROR(__xludf.DUMMYFUNCTION("""COMPUTED_VALUE"""),44672.0)</f>
        <v>44672</v>
      </c>
      <c r="S1820" s="6" t="str">
        <f>IFERROR(__xludf.DUMMYFUNCTION("""COMPUTED_VALUE"""),"-")</f>
        <v>-</v>
      </c>
      <c r="T1820" s="57">
        <f>IFERROR(__xludf.DUMMYFUNCTION("""COMPUTED_VALUE"""),44718.0)</f>
        <v>44718</v>
      </c>
    </row>
    <row r="1821">
      <c r="A1821" s="6" t="str">
        <f>IFERROR(__xludf.DUMMYFUNCTION("""COMPUTED_VALUE"""),"221750196-3")</f>
        <v>221750196-3</v>
      </c>
      <c r="B1821" s="6" t="str">
        <f>IFERROR(__xludf.DUMMYFUNCTION("""COMPUTED_VALUE"""),"221750196 - Approved")</f>
        <v>221750196 - Approved</v>
      </c>
      <c r="C1821" s="6">
        <f>IFERROR(__xludf.DUMMYFUNCTION("""COMPUTED_VALUE"""),3.0)</f>
        <v>3</v>
      </c>
      <c r="D1821" s="6" t="str">
        <f>IFERROR(__xludf.DUMMYFUNCTION("""COMPUTED_VALUE"""),"O-54013-00")</f>
        <v>O-54013-00</v>
      </c>
      <c r="E1821" s="6" t="str">
        <f>IFERROR(__xludf.DUMMYFUNCTION("""COMPUTED_VALUE"""),"SOCKET RJ 45")</f>
        <v>SOCKET RJ 45</v>
      </c>
      <c r="F1821" s="6">
        <f>IFERROR(__xludf.DUMMYFUNCTION("""COMPUTED_VALUE"""),1.0)</f>
        <v>1</v>
      </c>
      <c r="G1821" s="6" t="str">
        <f>IFERROR(__xludf.DUMMYFUNCTION("""COMPUTED_VALUE"""),"Pieces")</f>
        <v>Pieces</v>
      </c>
      <c r="H1821" s="6" t="str">
        <f>IFERROR(__xludf.DUMMYFUNCTION("""COMPUTED_VALUE"""),"IDR")</f>
        <v>IDR</v>
      </c>
      <c r="I1821" s="6">
        <f>IFERROR(__xludf.DUMMYFUNCTION("""COMPUTED_VALUE"""),1500.0)</f>
        <v>1500</v>
      </c>
      <c r="J1821" s="6">
        <f>IFERROR(__xludf.DUMMYFUNCTION("""COMPUTED_VALUE"""),1500.0)</f>
        <v>1500</v>
      </c>
      <c r="K1821" s="57">
        <f>IFERROR(__xludf.DUMMYFUNCTION("""COMPUTED_VALUE"""),44697.0)</f>
        <v>44697</v>
      </c>
      <c r="L1821" s="6" t="str">
        <f>IFERROR(__xludf.DUMMYFUNCTION("""COMPUTED_VALUE"""),"FIP Engineering")</f>
        <v>FIP Engineering</v>
      </c>
      <c r="M1821" s="6" t="str">
        <f>IFERROR(__xludf.DUMMYFUNCTION("""COMPUTED_VALUE"""),"Joko Nugroho")</f>
        <v>Joko Nugroho</v>
      </c>
      <c r="N1821" s="6" t="str">
        <f>IFERROR(__xludf.DUMMYFUNCTION("""COMPUTED_VALUE"""),"FIP Engineering")</f>
        <v>FIP Engineering</v>
      </c>
      <c r="O1821" s="6" t="str">
        <f>IFERROR(__xludf.DUMMYFUNCTION("""COMPUTED_VALUE"""),"FIP-DOM-000-11304-OS00001-INA-000000")</f>
        <v>FIP-DOM-000-11304-OS00001-INA-000000</v>
      </c>
      <c r="P1821" s="6" t="str">
        <f>IFERROR(__xludf.DUMMYFUNCTION("""COMPUTED_VALUE"""),"PO Closed")</f>
        <v>PO Closed</v>
      </c>
      <c r="Q1821" s="6" t="str">
        <f>IFERROR(__xludf.DUMMYFUNCTION("""COMPUTED_VALUE"""),"GL2205031")</f>
        <v>GL2205031</v>
      </c>
      <c r="R1821" s="57">
        <f>IFERROR(__xludf.DUMMYFUNCTION("""COMPUTED_VALUE"""),44672.0)</f>
        <v>44672</v>
      </c>
      <c r="S1821" s="6" t="str">
        <f>IFERROR(__xludf.DUMMYFUNCTION("""COMPUTED_VALUE"""),"-")</f>
        <v>-</v>
      </c>
      <c r="T1821" s="57">
        <f>IFERROR(__xludf.DUMMYFUNCTION("""COMPUTED_VALUE"""),44718.0)</f>
        <v>44718</v>
      </c>
    </row>
    <row r="1822">
      <c r="A1822" s="6" t="str">
        <f>IFERROR(__xludf.DUMMYFUNCTION("""COMPUTED_VALUE"""),"221750196-4")</f>
        <v>221750196-4</v>
      </c>
      <c r="B1822" s="6" t="str">
        <f>IFERROR(__xludf.DUMMYFUNCTION("""COMPUTED_VALUE"""),"221750196 - Approved")</f>
        <v>221750196 - Approved</v>
      </c>
      <c r="C1822" s="6">
        <f>IFERROR(__xludf.DUMMYFUNCTION("""COMPUTED_VALUE"""),4.0)</f>
        <v>4</v>
      </c>
      <c r="D1822" s="6" t="str">
        <f>IFERROR(__xludf.DUMMYFUNCTION("""COMPUTED_VALUE"""),"P-53102-00")</f>
        <v>P-53102-00</v>
      </c>
      <c r="E1822" s="6" t="str">
        <f>IFERROR(__xludf.DUMMYFUNCTION("""COMPUTED_VALUE"""),"Lampu PLC 13watt/E27 Putih Phillips")</f>
        <v>Lampu PLC 13watt/E27 Putih Phillips</v>
      </c>
      <c r="F1822" s="6">
        <f>IFERROR(__xludf.DUMMYFUNCTION("""COMPUTED_VALUE"""),30.0)</f>
        <v>30</v>
      </c>
      <c r="G1822" s="6" t="str">
        <f>IFERROR(__xludf.DUMMYFUNCTION("""COMPUTED_VALUE"""),"Pieces")</f>
        <v>Pieces</v>
      </c>
      <c r="H1822" s="6" t="str">
        <f>IFERROR(__xludf.DUMMYFUNCTION("""COMPUTED_VALUE"""),"IDR")</f>
        <v>IDR</v>
      </c>
      <c r="I1822" s="6">
        <f>IFERROR(__xludf.DUMMYFUNCTION("""COMPUTED_VALUE"""),30000.0)</f>
        <v>30000</v>
      </c>
      <c r="J1822" s="6">
        <f>IFERROR(__xludf.DUMMYFUNCTION("""COMPUTED_VALUE"""),900000.0)</f>
        <v>900000</v>
      </c>
      <c r="K1822" s="57">
        <f>IFERROR(__xludf.DUMMYFUNCTION("""COMPUTED_VALUE"""),44697.0)</f>
        <v>44697</v>
      </c>
      <c r="L1822" s="6" t="str">
        <f>IFERROR(__xludf.DUMMYFUNCTION("""COMPUTED_VALUE"""),"FIP Engineering")</f>
        <v>FIP Engineering</v>
      </c>
      <c r="M1822" s="6" t="str">
        <f>IFERROR(__xludf.DUMMYFUNCTION("""COMPUTED_VALUE"""),"Joko Nugroho")</f>
        <v>Joko Nugroho</v>
      </c>
      <c r="N1822" s="6" t="str">
        <f>IFERROR(__xludf.DUMMYFUNCTION("""COMPUTED_VALUE"""),"FIP Engineering")</f>
        <v>FIP Engineering</v>
      </c>
      <c r="O1822" s="6" t="str">
        <f>IFERROR(__xludf.DUMMYFUNCTION("""COMPUTED_VALUE"""),"FIP-DOM-000-11304-OS00001-INA-000000")</f>
        <v>FIP-DOM-000-11304-OS00001-INA-000000</v>
      </c>
      <c r="P1822" s="6" t="str">
        <f>IFERROR(__xludf.DUMMYFUNCTION("""COMPUTED_VALUE"""),"PO Closed")</f>
        <v>PO Closed</v>
      </c>
      <c r="Q1822" s="6" t="str">
        <f>IFERROR(__xludf.DUMMYFUNCTION("""COMPUTED_VALUE"""),"GL2205031")</f>
        <v>GL2205031</v>
      </c>
      <c r="R1822" s="57">
        <f>IFERROR(__xludf.DUMMYFUNCTION("""COMPUTED_VALUE"""),44672.0)</f>
        <v>44672</v>
      </c>
      <c r="S1822" s="6" t="str">
        <f>IFERROR(__xludf.DUMMYFUNCTION("""COMPUTED_VALUE"""),"-")</f>
        <v>-</v>
      </c>
      <c r="T1822" s="57">
        <f>IFERROR(__xludf.DUMMYFUNCTION("""COMPUTED_VALUE"""),44718.0)</f>
        <v>44718</v>
      </c>
    </row>
    <row r="1823">
      <c r="A1823" s="6" t="str">
        <f>IFERROR(__xludf.DUMMYFUNCTION("""COMPUTED_VALUE"""),"221750196-5")</f>
        <v>221750196-5</v>
      </c>
      <c r="B1823" s="6" t="str">
        <f>IFERROR(__xludf.DUMMYFUNCTION("""COMPUTED_VALUE"""),"221750196 - Approved")</f>
        <v>221750196 - Approved</v>
      </c>
      <c r="C1823" s="6">
        <f>IFERROR(__xludf.DUMMYFUNCTION("""COMPUTED_VALUE"""),5.0)</f>
        <v>5</v>
      </c>
      <c r="D1823" s="6" t="str">
        <f>IFERROR(__xludf.DUMMYFUNCTION("""COMPUTED_VALUE"""),"P-51741-00")</f>
        <v>P-51741-00</v>
      </c>
      <c r="E1823" s="6" t="str">
        <f>IFERROR(__xludf.DUMMYFUNCTION("""COMPUTED_VALUE"""),"Lampu Phillips PHP LED 710 7w E27 White 220-240v")</f>
        <v>Lampu Phillips PHP LED 710 7w E27 White 220-240v</v>
      </c>
      <c r="F1823" s="6">
        <f>IFERROR(__xludf.DUMMYFUNCTION("""COMPUTED_VALUE"""),10.0)</f>
        <v>10</v>
      </c>
      <c r="G1823" s="6" t="str">
        <f>IFERROR(__xludf.DUMMYFUNCTION("""COMPUTED_VALUE"""),"Pieces")</f>
        <v>Pieces</v>
      </c>
      <c r="H1823" s="6" t="str">
        <f>IFERROR(__xludf.DUMMYFUNCTION("""COMPUTED_VALUE"""),"IDR")</f>
        <v>IDR</v>
      </c>
      <c r="I1823" s="6">
        <f>IFERROR(__xludf.DUMMYFUNCTION("""COMPUTED_VALUE"""),35500.0)</f>
        <v>35500</v>
      </c>
      <c r="J1823" s="6">
        <f>IFERROR(__xludf.DUMMYFUNCTION("""COMPUTED_VALUE"""),355000.0)</f>
        <v>355000</v>
      </c>
      <c r="K1823" s="57">
        <f>IFERROR(__xludf.DUMMYFUNCTION("""COMPUTED_VALUE"""),44697.0)</f>
        <v>44697</v>
      </c>
      <c r="L1823" s="6" t="str">
        <f>IFERROR(__xludf.DUMMYFUNCTION("""COMPUTED_VALUE"""),"FIP Engineering")</f>
        <v>FIP Engineering</v>
      </c>
      <c r="M1823" s="6" t="str">
        <f>IFERROR(__xludf.DUMMYFUNCTION("""COMPUTED_VALUE"""),"Joko Nugroho")</f>
        <v>Joko Nugroho</v>
      </c>
      <c r="N1823" s="6" t="str">
        <f>IFERROR(__xludf.DUMMYFUNCTION("""COMPUTED_VALUE"""),"FIP Engineering")</f>
        <v>FIP Engineering</v>
      </c>
      <c r="O1823" s="6" t="str">
        <f>IFERROR(__xludf.DUMMYFUNCTION("""COMPUTED_VALUE"""),"FIP-DOM-000-11304-OS00001-INA-000000")</f>
        <v>FIP-DOM-000-11304-OS00001-INA-000000</v>
      </c>
      <c r="P1823" s="6" t="str">
        <f>IFERROR(__xludf.DUMMYFUNCTION("""COMPUTED_VALUE"""),"PO Closed")</f>
        <v>PO Closed</v>
      </c>
      <c r="Q1823" s="6" t="str">
        <f>IFERROR(__xludf.DUMMYFUNCTION("""COMPUTED_VALUE"""),"GL2205031")</f>
        <v>GL2205031</v>
      </c>
      <c r="R1823" s="57">
        <f>IFERROR(__xludf.DUMMYFUNCTION("""COMPUTED_VALUE"""),44672.0)</f>
        <v>44672</v>
      </c>
      <c r="S1823" s="6" t="str">
        <f>IFERROR(__xludf.DUMMYFUNCTION("""COMPUTED_VALUE"""),"-")</f>
        <v>-</v>
      </c>
      <c r="T1823" s="57">
        <f>IFERROR(__xludf.DUMMYFUNCTION("""COMPUTED_VALUE"""),44718.0)</f>
        <v>44718</v>
      </c>
    </row>
    <row r="1824">
      <c r="A1824" s="6" t="str">
        <f>IFERROR(__xludf.DUMMYFUNCTION("""COMPUTED_VALUE"""),"221750196-6")</f>
        <v>221750196-6</v>
      </c>
      <c r="B1824" s="6" t="str">
        <f>IFERROR(__xludf.DUMMYFUNCTION("""COMPUTED_VALUE"""),"221750196 - Approved")</f>
        <v>221750196 - Approved</v>
      </c>
      <c r="C1824" s="6">
        <f>IFERROR(__xludf.DUMMYFUNCTION("""COMPUTED_VALUE"""),6.0)</f>
        <v>6</v>
      </c>
      <c r="D1824" s="6" t="str">
        <f>IFERROR(__xludf.DUMMYFUNCTION("""COMPUTED_VALUE"""),"P-14952-00")</f>
        <v>P-14952-00</v>
      </c>
      <c r="E1824" s="6" t="str">
        <f>IFERROR(__xludf.DUMMYFUNCTION("""COMPUTED_VALUE"""),"Fitting Union Tee KQ2T08-00A")</f>
        <v>Fitting Union Tee KQ2T08-00A</v>
      </c>
      <c r="F1824" s="6">
        <f>IFERROR(__xludf.DUMMYFUNCTION("""COMPUTED_VALUE"""),3.0)</f>
        <v>3</v>
      </c>
      <c r="G1824" s="6" t="str">
        <f>IFERROR(__xludf.DUMMYFUNCTION("""COMPUTED_VALUE"""),"Pieces")</f>
        <v>Pieces</v>
      </c>
      <c r="H1824" s="6" t="str">
        <f>IFERROR(__xludf.DUMMYFUNCTION("""COMPUTED_VALUE"""),"IDR")</f>
        <v>IDR</v>
      </c>
      <c r="I1824" s="6">
        <f>IFERROR(__xludf.DUMMYFUNCTION("""COMPUTED_VALUE"""),44888.0)</f>
        <v>44888</v>
      </c>
      <c r="J1824" s="6">
        <f>IFERROR(__xludf.DUMMYFUNCTION("""COMPUTED_VALUE"""),134664.0)</f>
        <v>134664</v>
      </c>
      <c r="K1824" s="57">
        <f>IFERROR(__xludf.DUMMYFUNCTION("""COMPUTED_VALUE"""),44697.0)</f>
        <v>44697</v>
      </c>
      <c r="L1824" s="6" t="str">
        <f>IFERROR(__xludf.DUMMYFUNCTION("""COMPUTED_VALUE"""),"FIP Engineering")</f>
        <v>FIP Engineering</v>
      </c>
      <c r="M1824" s="6" t="str">
        <f>IFERROR(__xludf.DUMMYFUNCTION("""COMPUTED_VALUE"""),"Joko Nugroho")</f>
        <v>Joko Nugroho</v>
      </c>
      <c r="N1824" s="6" t="str">
        <f>IFERROR(__xludf.DUMMYFUNCTION("""COMPUTED_VALUE"""),"FIP Engineering")</f>
        <v>FIP Engineering</v>
      </c>
      <c r="O1824" s="6" t="str">
        <f>IFERROR(__xludf.DUMMYFUNCTION("""COMPUTED_VALUE"""),"FIP-DOM-000-11304-OS00001-INA-000000")</f>
        <v>FIP-DOM-000-11304-OS00001-INA-000000</v>
      </c>
      <c r="P1824" s="6" t="str">
        <f>IFERROR(__xludf.DUMMYFUNCTION("""COMPUTED_VALUE"""),"PO Closed")</f>
        <v>PO Closed</v>
      </c>
      <c r="Q1824" s="6" t="str">
        <f>IFERROR(__xludf.DUMMYFUNCTION("""COMPUTED_VALUE"""),"GL2206016")</f>
        <v>GL2206016</v>
      </c>
      <c r="R1824" s="57">
        <f>IFERROR(__xludf.DUMMYFUNCTION("""COMPUTED_VALUE"""),44672.0)</f>
        <v>44672</v>
      </c>
      <c r="S1824" s="6" t="str">
        <f>IFERROR(__xludf.DUMMYFUNCTION("""COMPUTED_VALUE"""),"-")</f>
        <v>-</v>
      </c>
      <c r="T1824" s="57">
        <f>IFERROR(__xludf.DUMMYFUNCTION("""COMPUTED_VALUE"""),44742.0)</f>
        <v>44742</v>
      </c>
    </row>
    <row r="1825">
      <c r="A1825" s="6" t="str">
        <f>IFERROR(__xludf.DUMMYFUNCTION("""COMPUTED_VALUE"""),"221750196-7")</f>
        <v>221750196-7</v>
      </c>
      <c r="B1825" s="6" t="str">
        <f>IFERROR(__xludf.DUMMYFUNCTION("""COMPUTED_VALUE"""),"221750196 - Approved")</f>
        <v>221750196 - Approved</v>
      </c>
      <c r="C1825" s="6">
        <f>IFERROR(__xludf.DUMMYFUNCTION("""COMPUTED_VALUE"""),7.0)</f>
        <v>7</v>
      </c>
      <c r="D1825" s="6" t="str">
        <f>IFERROR(__xludf.DUMMYFUNCTION("""COMPUTED_VALUE"""),"P-53211-00")</f>
        <v>P-53211-00</v>
      </c>
      <c r="E1825" s="6" t="str">
        <f>IFERROR(__xludf.DUMMYFUNCTION("""COMPUTED_VALUE"""),"LOCTITE High Temperature @ 50 ml")</f>
        <v>LOCTITE High Temperature @ 50 ml</v>
      </c>
      <c r="F1825" s="6">
        <f>IFERROR(__xludf.DUMMYFUNCTION("""COMPUTED_VALUE"""),1.0)</f>
        <v>1</v>
      </c>
      <c r="G1825" s="6" t="str">
        <f>IFERROR(__xludf.DUMMYFUNCTION("""COMPUTED_VALUE"""),"Pieces")</f>
        <v>Pieces</v>
      </c>
      <c r="H1825" s="6" t="str">
        <f>IFERROR(__xludf.DUMMYFUNCTION("""COMPUTED_VALUE"""),"IDR")</f>
        <v>IDR</v>
      </c>
      <c r="I1825" s="6">
        <f>IFERROR(__xludf.DUMMYFUNCTION("""COMPUTED_VALUE"""),252000.0)</f>
        <v>252000</v>
      </c>
      <c r="J1825" s="6">
        <f>IFERROR(__xludf.DUMMYFUNCTION("""COMPUTED_VALUE"""),252000.0)</f>
        <v>252000</v>
      </c>
      <c r="K1825" s="57">
        <f>IFERROR(__xludf.DUMMYFUNCTION("""COMPUTED_VALUE"""),44697.0)</f>
        <v>44697</v>
      </c>
      <c r="L1825" s="6" t="str">
        <f>IFERROR(__xludf.DUMMYFUNCTION("""COMPUTED_VALUE"""),"FIP Engineering")</f>
        <v>FIP Engineering</v>
      </c>
      <c r="M1825" s="6" t="str">
        <f>IFERROR(__xludf.DUMMYFUNCTION("""COMPUTED_VALUE"""),"Joko Nugroho")</f>
        <v>Joko Nugroho</v>
      </c>
      <c r="N1825" s="6" t="str">
        <f>IFERROR(__xludf.DUMMYFUNCTION("""COMPUTED_VALUE"""),"FIP Engineering")</f>
        <v>FIP Engineering</v>
      </c>
      <c r="O1825" s="6" t="str">
        <f>IFERROR(__xludf.DUMMYFUNCTION("""COMPUTED_VALUE"""),"FIP-DOM-000-11304-OS00001-INA-000000")</f>
        <v>FIP-DOM-000-11304-OS00001-INA-000000</v>
      </c>
      <c r="P1825" s="6" t="str">
        <f>IFERROR(__xludf.DUMMYFUNCTION("""COMPUTED_VALUE"""),"PO Closed")</f>
        <v>PO Closed</v>
      </c>
      <c r="Q1825" s="6" t="str">
        <f>IFERROR(__xludf.DUMMYFUNCTION("""COMPUTED_VALUE"""),"GL2205031")</f>
        <v>GL2205031</v>
      </c>
      <c r="R1825" s="57">
        <f>IFERROR(__xludf.DUMMYFUNCTION("""COMPUTED_VALUE"""),44672.0)</f>
        <v>44672</v>
      </c>
      <c r="S1825" s="6" t="str">
        <f>IFERROR(__xludf.DUMMYFUNCTION("""COMPUTED_VALUE"""),"-")</f>
        <v>-</v>
      </c>
      <c r="T1825" s="57">
        <f>IFERROR(__xludf.DUMMYFUNCTION("""COMPUTED_VALUE"""),44718.0)</f>
        <v>44718</v>
      </c>
    </row>
    <row r="1826">
      <c r="A1826" s="6" t="str">
        <f>IFERROR(__xludf.DUMMYFUNCTION("""COMPUTED_VALUE"""),"221750196-8")</f>
        <v>221750196-8</v>
      </c>
      <c r="B1826" s="6" t="str">
        <f>IFERROR(__xludf.DUMMYFUNCTION("""COMPUTED_VALUE"""),"221750196 - Approved")</f>
        <v>221750196 - Approved</v>
      </c>
      <c r="C1826" s="6">
        <f>IFERROR(__xludf.DUMMYFUNCTION("""COMPUTED_VALUE"""),8.0)</f>
        <v>8</v>
      </c>
      <c r="D1826" s="6" t="str">
        <f>IFERROR(__xludf.DUMMYFUNCTION("""COMPUTED_VALUE"""),"O-54003-00")</f>
        <v>O-54003-00</v>
      </c>
      <c r="E1826" s="6" t="str">
        <f>IFERROR(__xludf.DUMMYFUNCTION("""COMPUTED_VALUE"""),"LAMPU PL-S 2P 11W/865, PHILIPS")</f>
        <v>LAMPU PL-S 2P 11W/865, PHILIPS</v>
      </c>
      <c r="F1826" s="6">
        <f>IFERROR(__xludf.DUMMYFUNCTION("""COMPUTED_VALUE"""),10.0)</f>
        <v>10</v>
      </c>
      <c r="G1826" s="6" t="str">
        <f>IFERROR(__xludf.DUMMYFUNCTION("""COMPUTED_VALUE"""),"Pieces")</f>
        <v>Pieces</v>
      </c>
      <c r="H1826" s="6" t="str">
        <f>IFERROR(__xludf.DUMMYFUNCTION("""COMPUTED_VALUE"""),"IDR")</f>
        <v>IDR</v>
      </c>
      <c r="I1826" s="6">
        <f>IFERROR(__xludf.DUMMYFUNCTION("""COMPUTED_VALUE"""),30000.0)</f>
        <v>30000</v>
      </c>
      <c r="J1826" s="6">
        <f>IFERROR(__xludf.DUMMYFUNCTION("""COMPUTED_VALUE"""),300000.0)</f>
        <v>300000</v>
      </c>
      <c r="K1826" s="57">
        <f>IFERROR(__xludf.DUMMYFUNCTION("""COMPUTED_VALUE"""),44697.0)</f>
        <v>44697</v>
      </c>
      <c r="L1826" s="6" t="str">
        <f>IFERROR(__xludf.DUMMYFUNCTION("""COMPUTED_VALUE"""),"FIP Engineering")</f>
        <v>FIP Engineering</v>
      </c>
      <c r="M1826" s="6" t="str">
        <f>IFERROR(__xludf.DUMMYFUNCTION("""COMPUTED_VALUE"""),"Joko Nugroho")</f>
        <v>Joko Nugroho</v>
      </c>
      <c r="N1826" s="6" t="str">
        <f>IFERROR(__xludf.DUMMYFUNCTION("""COMPUTED_VALUE"""),"FIP Engineering")</f>
        <v>FIP Engineering</v>
      </c>
      <c r="O1826" s="6" t="str">
        <f>IFERROR(__xludf.DUMMYFUNCTION("""COMPUTED_VALUE"""),"FIP-DOM-000-11304-OS00001-INA-000000")</f>
        <v>FIP-DOM-000-11304-OS00001-INA-000000</v>
      </c>
      <c r="P1826" s="6" t="str">
        <f>IFERROR(__xludf.DUMMYFUNCTION("""COMPUTED_VALUE"""),"PO Closed")</f>
        <v>PO Closed</v>
      </c>
      <c r="Q1826" s="6" t="str">
        <f>IFERROR(__xludf.DUMMYFUNCTION("""COMPUTED_VALUE"""),"GL2205031")</f>
        <v>GL2205031</v>
      </c>
      <c r="R1826" s="57">
        <f>IFERROR(__xludf.DUMMYFUNCTION("""COMPUTED_VALUE"""),44672.0)</f>
        <v>44672</v>
      </c>
      <c r="S1826" s="6" t="str">
        <f>IFERROR(__xludf.DUMMYFUNCTION("""COMPUTED_VALUE"""),"-")</f>
        <v>-</v>
      </c>
      <c r="T1826" s="57">
        <f>IFERROR(__xludf.DUMMYFUNCTION("""COMPUTED_VALUE"""),44718.0)</f>
        <v>44718</v>
      </c>
    </row>
    <row r="1827">
      <c r="A1827" s="6" t="str">
        <f>IFERROR(__xludf.DUMMYFUNCTION("""COMPUTED_VALUE"""),"221750196-9")</f>
        <v>221750196-9</v>
      </c>
      <c r="B1827" s="6" t="str">
        <f>IFERROR(__xludf.DUMMYFUNCTION("""COMPUTED_VALUE"""),"221750196 - Approved")</f>
        <v>221750196 - Approved</v>
      </c>
      <c r="C1827" s="6">
        <f>IFERROR(__xludf.DUMMYFUNCTION("""COMPUTED_VALUE"""),9.0)</f>
        <v>9</v>
      </c>
      <c r="D1827" s="6" t="str">
        <f>IFERROR(__xludf.DUMMYFUNCTION("""COMPUTED_VALUE"""),"P-53214-00")</f>
        <v>P-53214-00</v>
      </c>
      <c r="E1827" s="6" t="str">
        <f>IFERROR(__xludf.DUMMYFUNCTION("""COMPUTED_VALUE"""),"Epoxy Adhesive DEXTONE")</f>
        <v>Epoxy Adhesive DEXTONE</v>
      </c>
      <c r="F1827" s="6">
        <f>IFERROR(__xludf.DUMMYFUNCTION("""COMPUTED_VALUE"""),2.0)</f>
        <v>2</v>
      </c>
      <c r="G1827" s="6" t="str">
        <f>IFERROR(__xludf.DUMMYFUNCTION("""COMPUTED_VALUE"""),"Pieces")</f>
        <v>Pieces</v>
      </c>
      <c r="H1827" s="6" t="str">
        <f>IFERROR(__xludf.DUMMYFUNCTION("""COMPUTED_VALUE"""),"IDR")</f>
        <v>IDR</v>
      </c>
      <c r="I1827" s="6">
        <f>IFERROR(__xludf.DUMMYFUNCTION("""COMPUTED_VALUE"""),13500.0)</f>
        <v>13500</v>
      </c>
      <c r="J1827" s="6">
        <f>IFERROR(__xludf.DUMMYFUNCTION("""COMPUTED_VALUE"""),27000.0)</f>
        <v>27000</v>
      </c>
      <c r="K1827" s="57">
        <f>IFERROR(__xludf.DUMMYFUNCTION("""COMPUTED_VALUE"""),44697.0)</f>
        <v>44697</v>
      </c>
      <c r="L1827" s="6" t="str">
        <f>IFERROR(__xludf.DUMMYFUNCTION("""COMPUTED_VALUE"""),"FIP Engineering")</f>
        <v>FIP Engineering</v>
      </c>
      <c r="M1827" s="6" t="str">
        <f>IFERROR(__xludf.DUMMYFUNCTION("""COMPUTED_VALUE"""),"Joko Nugroho")</f>
        <v>Joko Nugroho</v>
      </c>
      <c r="N1827" s="6" t="str">
        <f>IFERROR(__xludf.DUMMYFUNCTION("""COMPUTED_VALUE"""),"FIP Engineering")</f>
        <v>FIP Engineering</v>
      </c>
      <c r="O1827" s="6" t="str">
        <f>IFERROR(__xludf.DUMMYFUNCTION("""COMPUTED_VALUE"""),"FIP-DOM-000-11304-OS00001-INA-000000")</f>
        <v>FIP-DOM-000-11304-OS00001-INA-000000</v>
      </c>
      <c r="P1827" s="6" t="str">
        <f>IFERROR(__xludf.DUMMYFUNCTION("""COMPUTED_VALUE"""),"PO Closed")</f>
        <v>PO Closed</v>
      </c>
      <c r="Q1827" s="6" t="str">
        <f>IFERROR(__xludf.DUMMYFUNCTION("""COMPUTED_VALUE"""),"GL2205031")</f>
        <v>GL2205031</v>
      </c>
      <c r="R1827" s="57">
        <f>IFERROR(__xludf.DUMMYFUNCTION("""COMPUTED_VALUE"""),44672.0)</f>
        <v>44672</v>
      </c>
      <c r="S1827" s="6" t="str">
        <f>IFERROR(__xludf.DUMMYFUNCTION("""COMPUTED_VALUE"""),"-")</f>
        <v>-</v>
      </c>
      <c r="T1827" s="57">
        <f>IFERROR(__xludf.DUMMYFUNCTION("""COMPUTED_VALUE"""),44718.0)</f>
        <v>44718</v>
      </c>
    </row>
    <row r="1828">
      <c r="A1828" s="6" t="str">
        <f>IFERROR(__xludf.DUMMYFUNCTION("""COMPUTED_VALUE"""),"221750196-10")</f>
        <v>221750196-10</v>
      </c>
      <c r="B1828" s="6" t="str">
        <f>IFERROR(__xludf.DUMMYFUNCTION("""COMPUTED_VALUE"""),"221750196 - Approved")</f>
        <v>221750196 - Approved</v>
      </c>
      <c r="C1828" s="6">
        <f>IFERROR(__xludf.DUMMYFUNCTION("""COMPUTED_VALUE"""),10.0)</f>
        <v>10</v>
      </c>
      <c r="D1828" s="6" t="str">
        <f>IFERROR(__xludf.DUMMYFUNCTION("""COMPUTED_VALUE"""),"O-54015-00")</f>
        <v>O-54015-00</v>
      </c>
      <c r="E1828" s="6" t="str">
        <f>IFERROR(__xludf.DUMMYFUNCTION("""COMPUTED_VALUE"""),"STOP KONTAK LUBANG 4, BROCO")</f>
        <v>STOP KONTAK LUBANG 4, BROCO</v>
      </c>
      <c r="F1828" s="6">
        <f>IFERROR(__xludf.DUMMYFUNCTION("""COMPUTED_VALUE"""),2.0)</f>
        <v>2</v>
      </c>
      <c r="G1828" s="6" t="str">
        <f>IFERROR(__xludf.DUMMYFUNCTION("""COMPUTED_VALUE"""),"Unit")</f>
        <v>Unit</v>
      </c>
      <c r="H1828" s="6" t="str">
        <f>IFERROR(__xludf.DUMMYFUNCTION("""COMPUTED_VALUE"""),"IDR")</f>
        <v>IDR</v>
      </c>
      <c r="I1828" s="6">
        <f>IFERROR(__xludf.DUMMYFUNCTION("""COMPUTED_VALUE"""),49000.0)</f>
        <v>49000</v>
      </c>
      <c r="J1828" s="6">
        <f>IFERROR(__xludf.DUMMYFUNCTION("""COMPUTED_VALUE"""),98000.0)</f>
        <v>98000</v>
      </c>
      <c r="K1828" s="57">
        <f>IFERROR(__xludf.DUMMYFUNCTION("""COMPUTED_VALUE"""),44697.0)</f>
        <v>44697</v>
      </c>
      <c r="L1828" s="6" t="str">
        <f>IFERROR(__xludf.DUMMYFUNCTION("""COMPUTED_VALUE"""),"FIP Engineering")</f>
        <v>FIP Engineering</v>
      </c>
      <c r="M1828" s="6" t="str">
        <f>IFERROR(__xludf.DUMMYFUNCTION("""COMPUTED_VALUE"""),"Joko Nugroho")</f>
        <v>Joko Nugroho</v>
      </c>
      <c r="N1828" s="6" t="str">
        <f>IFERROR(__xludf.DUMMYFUNCTION("""COMPUTED_VALUE"""),"FIP Engineering")</f>
        <v>FIP Engineering</v>
      </c>
      <c r="O1828" s="6" t="str">
        <f>IFERROR(__xludf.DUMMYFUNCTION("""COMPUTED_VALUE"""),"FIP-DOM-000-11304-OS00001-INA-000000")</f>
        <v>FIP-DOM-000-11304-OS00001-INA-000000</v>
      </c>
      <c r="P1828" s="6" t="str">
        <f>IFERROR(__xludf.DUMMYFUNCTION("""COMPUTED_VALUE"""),"PO Closed")</f>
        <v>PO Closed</v>
      </c>
      <c r="Q1828" s="6" t="str">
        <f>IFERROR(__xludf.DUMMYFUNCTION("""COMPUTED_VALUE"""),"GL2205031")</f>
        <v>GL2205031</v>
      </c>
      <c r="R1828" s="57">
        <f>IFERROR(__xludf.DUMMYFUNCTION("""COMPUTED_VALUE"""),44672.0)</f>
        <v>44672</v>
      </c>
      <c r="S1828" s="6" t="str">
        <f>IFERROR(__xludf.DUMMYFUNCTION("""COMPUTED_VALUE"""),"-")</f>
        <v>-</v>
      </c>
      <c r="T1828" s="57">
        <f>IFERROR(__xludf.DUMMYFUNCTION("""COMPUTED_VALUE"""),44718.0)</f>
        <v>44718</v>
      </c>
    </row>
    <row r="1829">
      <c r="A1829" s="6" t="str">
        <f>IFERROR(__xludf.DUMMYFUNCTION("""COMPUTED_VALUE"""),"221750196-11")</f>
        <v>221750196-11</v>
      </c>
      <c r="B1829" s="6" t="str">
        <f>IFERROR(__xludf.DUMMYFUNCTION("""COMPUTED_VALUE"""),"221750196 - Approved")</f>
        <v>221750196 - Approved</v>
      </c>
      <c r="C1829" s="6">
        <f>IFERROR(__xludf.DUMMYFUNCTION("""COMPUTED_VALUE"""),11.0)</f>
        <v>11</v>
      </c>
      <c r="D1829" s="6" t="str">
        <f>IFERROR(__xludf.DUMMYFUNCTION("""COMPUTED_VALUE"""),"P-51559-00")</f>
        <v>P-51559-00</v>
      </c>
      <c r="E1829" s="6" t="str">
        <f>IFERROR(__xludf.DUMMYFUNCTION("""COMPUTED_VALUE"""),"Lampu T5 14watt Putih Phillips")</f>
        <v>Lampu T5 14watt Putih Phillips</v>
      </c>
      <c r="F1829" s="6">
        <f>IFERROR(__xludf.DUMMYFUNCTION("""COMPUTED_VALUE"""),10.0)</f>
        <v>10</v>
      </c>
      <c r="G1829" s="6" t="str">
        <f>IFERROR(__xludf.DUMMYFUNCTION("""COMPUTED_VALUE"""),"Pack")</f>
        <v>Pack</v>
      </c>
      <c r="H1829" s="6" t="str">
        <f>IFERROR(__xludf.DUMMYFUNCTION("""COMPUTED_VALUE"""),"IDR")</f>
        <v>IDR</v>
      </c>
      <c r="I1829" s="6">
        <f>IFERROR(__xludf.DUMMYFUNCTION("""COMPUTED_VALUE"""),29700.0)</f>
        <v>29700</v>
      </c>
      <c r="J1829" s="6">
        <f>IFERROR(__xludf.DUMMYFUNCTION("""COMPUTED_VALUE"""),297000.0)</f>
        <v>297000</v>
      </c>
      <c r="K1829" s="57">
        <f>IFERROR(__xludf.DUMMYFUNCTION("""COMPUTED_VALUE"""),44697.0)</f>
        <v>44697</v>
      </c>
      <c r="L1829" s="6" t="str">
        <f>IFERROR(__xludf.DUMMYFUNCTION("""COMPUTED_VALUE"""),"FIP Engineering")</f>
        <v>FIP Engineering</v>
      </c>
      <c r="M1829" s="6" t="str">
        <f>IFERROR(__xludf.DUMMYFUNCTION("""COMPUTED_VALUE"""),"Joko Nugroho")</f>
        <v>Joko Nugroho</v>
      </c>
      <c r="N1829" s="6" t="str">
        <f>IFERROR(__xludf.DUMMYFUNCTION("""COMPUTED_VALUE"""),"FIP Engineering")</f>
        <v>FIP Engineering</v>
      </c>
      <c r="O1829" s="6" t="str">
        <f>IFERROR(__xludf.DUMMYFUNCTION("""COMPUTED_VALUE"""),"FIP-DOM-000-11304-OS00001-INA-000000")</f>
        <v>FIP-DOM-000-11304-OS00001-INA-000000</v>
      </c>
      <c r="P1829" s="6" t="str">
        <f>IFERROR(__xludf.DUMMYFUNCTION("""COMPUTED_VALUE"""),"PO Closed")</f>
        <v>PO Closed</v>
      </c>
      <c r="Q1829" s="6" t="str">
        <f>IFERROR(__xludf.DUMMYFUNCTION("""COMPUTED_VALUE"""),"GL2205031")</f>
        <v>GL2205031</v>
      </c>
      <c r="R1829" s="57">
        <f>IFERROR(__xludf.DUMMYFUNCTION("""COMPUTED_VALUE"""),44672.0)</f>
        <v>44672</v>
      </c>
      <c r="S1829" s="6" t="str">
        <f>IFERROR(__xludf.DUMMYFUNCTION("""COMPUTED_VALUE"""),"-")</f>
        <v>-</v>
      </c>
      <c r="T1829" s="57">
        <f>IFERROR(__xludf.DUMMYFUNCTION("""COMPUTED_VALUE"""),44718.0)</f>
        <v>44718</v>
      </c>
    </row>
    <row r="1830">
      <c r="A1830" s="6" t="str">
        <f>IFERROR(__xludf.DUMMYFUNCTION("""COMPUTED_VALUE"""),"221750196-12")</f>
        <v>221750196-12</v>
      </c>
      <c r="B1830" s="6" t="str">
        <f>IFERROR(__xludf.DUMMYFUNCTION("""COMPUTED_VALUE"""),"221750196 - Approved")</f>
        <v>221750196 - Approved</v>
      </c>
      <c r="C1830" s="6">
        <f>IFERROR(__xludf.DUMMYFUNCTION("""COMPUTED_VALUE"""),12.0)</f>
        <v>12</v>
      </c>
      <c r="D1830" s="6" t="str">
        <f>IFERROR(__xludf.DUMMYFUNCTION("""COMPUTED_VALUE"""),"P-51560-00")</f>
        <v>P-51560-00</v>
      </c>
      <c r="E1830" s="6" t="str">
        <f>IFERROR(__xludf.DUMMYFUNCTION("""COMPUTED_VALUE"""),"Lampu T5 28watt Putih Phillips")</f>
        <v>Lampu T5 28watt Putih Phillips</v>
      </c>
      <c r="F1830" s="6">
        <f>IFERROR(__xludf.DUMMYFUNCTION("""COMPUTED_VALUE"""),10.0)</f>
        <v>10</v>
      </c>
      <c r="G1830" s="6" t="str">
        <f>IFERROR(__xludf.DUMMYFUNCTION("""COMPUTED_VALUE"""),"Pieces")</f>
        <v>Pieces</v>
      </c>
      <c r="H1830" s="6" t="str">
        <f>IFERROR(__xludf.DUMMYFUNCTION("""COMPUTED_VALUE"""),"IDR")</f>
        <v>IDR</v>
      </c>
      <c r="I1830" s="6">
        <f>IFERROR(__xludf.DUMMYFUNCTION("""COMPUTED_VALUE"""),36000.0)</f>
        <v>36000</v>
      </c>
      <c r="J1830" s="6">
        <f>IFERROR(__xludf.DUMMYFUNCTION("""COMPUTED_VALUE"""),360000.0)</f>
        <v>360000</v>
      </c>
      <c r="K1830" s="57">
        <f>IFERROR(__xludf.DUMMYFUNCTION("""COMPUTED_VALUE"""),44697.0)</f>
        <v>44697</v>
      </c>
      <c r="L1830" s="6" t="str">
        <f>IFERROR(__xludf.DUMMYFUNCTION("""COMPUTED_VALUE"""),"FIP Engineering")</f>
        <v>FIP Engineering</v>
      </c>
      <c r="M1830" s="6" t="str">
        <f>IFERROR(__xludf.DUMMYFUNCTION("""COMPUTED_VALUE"""),"Joko Nugroho")</f>
        <v>Joko Nugroho</v>
      </c>
      <c r="N1830" s="6" t="str">
        <f>IFERROR(__xludf.DUMMYFUNCTION("""COMPUTED_VALUE"""),"FIP Engineering")</f>
        <v>FIP Engineering</v>
      </c>
      <c r="O1830" s="6" t="str">
        <f>IFERROR(__xludf.DUMMYFUNCTION("""COMPUTED_VALUE"""),"FIP-DOM-000-11304-OS00001-INA-000000")</f>
        <v>FIP-DOM-000-11304-OS00001-INA-000000</v>
      </c>
      <c r="P1830" s="6" t="str">
        <f>IFERROR(__xludf.DUMMYFUNCTION("""COMPUTED_VALUE"""),"PO Closed")</f>
        <v>PO Closed</v>
      </c>
      <c r="Q1830" s="6" t="str">
        <f>IFERROR(__xludf.DUMMYFUNCTION("""COMPUTED_VALUE"""),"GL2205031")</f>
        <v>GL2205031</v>
      </c>
      <c r="R1830" s="57">
        <f>IFERROR(__xludf.DUMMYFUNCTION("""COMPUTED_VALUE"""),44672.0)</f>
        <v>44672</v>
      </c>
      <c r="S1830" s="6" t="str">
        <f>IFERROR(__xludf.DUMMYFUNCTION("""COMPUTED_VALUE"""),"-")</f>
        <v>-</v>
      </c>
      <c r="T1830" s="57">
        <f>IFERROR(__xludf.DUMMYFUNCTION("""COMPUTED_VALUE"""),44718.0)</f>
        <v>44718</v>
      </c>
    </row>
    <row r="1831">
      <c r="A1831" s="6" t="str">
        <f>IFERROR(__xludf.DUMMYFUNCTION("""COMPUTED_VALUE"""),"221750196-13")</f>
        <v>221750196-13</v>
      </c>
      <c r="B1831" s="6" t="str">
        <f>IFERROR(__xludf.DUMMYFUNCTION("""COMPUTED_VALUE"""),"221750196 - Approved")</f>
        <v>221750196 - Approved</v>
      </c>
      <c r="C1831" s="6">
        <f>IFERROR(__xludf.DUMMYFUNCTION("""COMPUTED_VALUE"""),13.0)</f>
        <v>13</v>
      </c>
      <c r="D1831" s="6" t="str">
        <f>IFERROR(__xludf.DUMMYFUNCTION("""COMPUTED_VALUE"""),"O-54014-00")</f>
        <v>O-54014-00</v>
      </c>
      <c r="E1831" s="6" t="str">
        <f>IFERROR(__xludf.DUMMYFUNCTION("""COMPUTED_VALUE"""),"STEKER 1 PHASE, BROCO")</f>
        <v>STEKER 1 PHASE, BROCO</v>
      </c>
      <c r="F1831" s="6">
        <f>IFERROR(__xludf.DUMMYFUNCTION("""COMPUTED_VALUE"""),5.0)</f>
        <v>5</v>
      </c>
      <c r="G1831" s="6" t="str">
        <f>IFERROR(__xludf.DUMMYFUNCTION("""COMPUTED_VALUE"""),"Pieces")</f>
        <v>Pieces</v>
      </c>
      <c r="H1831" s="6" t="str">
        <f>IFERROR(__xludf.DUMMYFUNCTION("""COMPUTED_VALUE"""),"IDR")</f>
        <v>IDR</v>
      </c>
      <c r="I1831" s="6">
        <f>IFERROR(__xludf.DUMMYFUNCTION("""COMPUTED_VALUE"""),9000.0)</f>
        <v>9000</v>
      </c>
      <c r="J1831" s="6">
        <f>IFERROR(__xludf.DUMMYFUNCTION("""COMPUTED_VALUE"""),45000.0)</f>
        <v>45000</v>
      </c>
      <c r="K1831" s="57">
        <f>IFERROR(__xludf.DUMMYFUNCTION("""COMPUTED_VALUE"""),44697.0)</f>
        <v>44697</v>
      </c>
      <c r="L1831" s="6" t="str">
        <f>IFERROR(__xludf.DUMMYFUNCTION("""COMPUTED_VALUE"""),"FIP Engineering")</f>
        <v>FIP Engineering</v>
      </c>
      <c r="M1831" s="6" t="str">
        <f>IFERROR(__xludf.DUMMYFUNCTION("""COMPUTED_VALUE"""),"Joko Nugroho")</f>
        <v>Joko Nugroho</v>
      </c>
      <c r="N1831" s="6" t="str">
        <f>IFERROR(__xludf.DUMMYFUNCTION("""COMPUTED_VALUE"""),"FIP Engineering")</f>
        <v>FIP Engineering</v>
      </c>
      <c r="O1831" s="6" t="str">
        <f>IFERROR(__xludf.DUMMYFUNCTION("""COMPUTED_VALUE"""),"FIP-DOM-000-11304-OS00001-INA-000000")</f>
        <v>FIP-DOM-000-11304-OS00001-INA-000000</v>
      </c>
      <c r="P1831" s="6" t="str">
        <f>IFERROR(__xludf.DUMMYFUNCTION("""COMPUTED_VALUE"""),"PO Closed")</f>
        <v>PO Closed</v>
      </c>
      <c r="Q1831" s="6" t="str">
        <f>IFERROR(__xludf.DUMMYFUNCTION("""COMPUTED_VALUE"""),"GL2205031")</f>
        <v>GL2205031</v>
      </c>
      <c r="R1831" s="57">
        <f>IFERROR(__xludf.DUMMYFUNCTION("""COMPUTED_VALUE"""),44672.0)</f>
        <v>44672</v>
      </c>
      <c r="S1831" s="6" t="str">
        <f>IFERROR(__xludf.DUMMYFUNCTION("""COMPUTED_VALUE"""),"-")</f>
        <v>-</v>
      </c>
      <c r="T1831" s="57">
        <f>IFERROR(__xludf.DUMMYFUNCTION("""COMPUTED_VALUE"""),44718.0)</f>
        <v>44718</v>
      </c>
    </row>
    <row r="1832">
      <c r="A1832" s="6" t="str">
        <f>IFERROR(__xludf.DUMMYFUNCTION("""COMPUTED_VALUE"""),"221750196-14")</f>
        <v>221750196-14</v>
      </c>
      <c r="B1832" s="6" t="str">
        <f>IFERROR(__xludf.DUMMYFUNCTION("""COMPUTED_VALUE"""),"221750196 - Approved")</f>
        <v>221750196 - Approved</v>
      </c>
      <c r="C1832" s="6">
        <f>IFERROR(__xludf.DUMMYFUNCTION("""COMPUTED_VALUE"""),14.0)</f>
        <v>14</v>
      </c>
      <c r="D1832" s="6" t="str">
        <f>IFERROR(__xludf.DUMMYFUNCTION("""COMPUTED_VALUE"""),"P-13389-00")</f>
        <v>P-13389-00</v>
      </c>
      <c r="E1832" s="6" t="str">
        <f>IFERROR(__xludf.DUMMYFUNCTION("""COMPUTED_VALUE"""),"Scotch Brite 3M")</f>
        <v>Scotch Brite 3M</v>
      </c>
      <c r="F1832" s="6">
        <f>IFERROR(__xludf.DUMMYFUNCTION("""COMPUTED_VALUE"""),3.0)</f>
        <v>3</v>
      </c>
      <c r="G1832" s="6" t="str">
        <f>IFERROR(__xludf.DUMMYFUNCTION("""COMPUTED_VALUE"""),"Pieces")</f>
        <v>Pieces</v>
      </c>
      <c r="H1832" s="6" t="str">
        <f>IFERROR(__xludf.DUMMYFUNCTION("""COMPUTED_VALUE"""),"IDR")</f>
        <v>IDR</v>
      </c>
      <c r="I1832" s="6">
        <f>IFERROR(__xludf.DUMMYFUNCTION("""COMPUTED_VALUE"""),13500.0)</f>
        <v>13500</v>
      </c>
      <c r="J1832" s="6">
        <f>IFERROR(__xludf.DUMMYFUNCTION("""COMPUTED_VALUE"""),40500.0)</f>
        <v>40500</v>
      </c>
      <c r="K1832" s="57">
        <f>IFERROR(__xludf.DUMMYFUNCTION("""COMPUTED_VALUE"""),44697.0)</f>
        <v>44697</v>
      </c>
      <c r="L1832" s="6" t="str">
        <f>IFERROR(__xludf.DUMMYFUNCTION("""COMPUTED_VALUE"""),"FIP Engineering")</f>
        <v>FIP Engineering</v>
      </c>
      <c r="M1832" s="6" t="str">
        <f>IFERROR(__xludf.DUMMYFUNCTION("""COMPUTED_VALUE"""),"Joko Nugroho")</f>
        <v>Joko Nugroho</v>
      </c>
      <c r="N1832" s="6" t="str">
        <f>IFERROR(__xludf.DUMMYFUNCTION("""COMPUTED_VALUE"""),"FIP Engineering")</f>
        <v>FIP Engineering</v>
      </c>
      <c r="O1832" s="6" t="str">
        <f>IFERROR(__xludf.DUMMYFUNCTION("""COMPUTED_VALUE"""),"FIP-DOM-000-11304-OS00001-INA-000000")</f>
        <v>FIP-DOM-000-11304-OS00001-INA-000000</v>
      </c>
      <c r="P1832" s="6" t="str">
        <f>IFERROR(__xludf.DUMMYFUNCTION("""COMPUTED_VALUE"""),"PO Closed")</f>
        <v>PO Closed</v>
      </c>
      <c r="Q1832" s="6" t="str">
        <f>IFERROR(__xludf.DUMMYFUNCTION("""COMPUTED_VALUE"""),"GL2205031")</f>
        <v>GL2205031</v>
      </c>
      <c r="R1832" s="57">
        <f>IFERROR(__xludf.DUMMYFUNCTION("""COMPUTED_VALUE"""),44672.0)</f>
        <v>44672</v>
      </c>
      <c r="S1832" s="6" t="str">
        <f>IFERROR(__xludf.DUMMYFUNCTION("""COMPUTED_VALUE"""),"-")</f>
        <v>-</v>
      </c>
      <c r="T1832" s="57">
        <f>IFERROR(__xludf.DUMMYFUNCTION("""COMPUTED_VALUE"""),44718.0)</f>
        <v>44718</v>
      </c>
    </row>
    <row r="1833">
      <c r="A1833" s="6" t="str">
        <f>IFERROR(__xludf.DUMMYFUNCTION("""COMPUTED_VALUE"""),"221750196-15")</f>
        <v>221750196-15</v>
      </c>
      <c r="B1833" s="6" t="str">
        <f>IFERROR(__xludf.DUMMYFUNCTION("""COMPUTED_VALUE"""),"221750196 - Approved")</f>
        <v>221750196 - Approved</v>
      </c>
      <c r="C1833" s="6">
        <f>IFERROR(__xludf.DUMMYFUNCTION("""COMPUTED_VALUE"""),15.0)</f>
        <v>15</v>
      </c>
      <c r="D1833" s="6" t="str">
        <f>IFERROR(__xludf.DUMMYFUNCTION("""COMPUTED_VALUE"""),"P-51027-00")</f>
        <v>P-51027-00</v>
      </c>
      <c r="E183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833" s="6">
        <f>IFERROR(__xludf.DUMMYFUNCTION("""COMPUTED_VALUE"""),3.0)</f>
        <v>3</v>
      </c>
      <c r="G1833" s="6" t="str">
        <f>IFERROR(__xludf.DUMMYFUNCTION("""COMPUTED_VALUE"""),"Pieces")</f>
        <v>Pieces</v>
      </c>
      <c r="H1833" s="6" t="str">
        <f>IFERROR(__xludf.DUMMYFUNCTION("""COMPUTED_VALUE"""),"IDR")</f>
        <v>IDR</v>
      </c>
      <c r="I1833" s="6">
        <f>IFERROR(__xludf.DUMMYFUNCTION("""COMPUTED_VALUE"""),47700.0)</f>
        <v>47700</v>
      </c>
      <c r="J1833" s="6">
        <f>IFERROR(__xludf.DUMMYFUNCTION("""COMPUTED_VALUE"""),143100.0)</f>
        <v>143100</v>
      </c>
      <c r="K1833" s="57">
        <f>IFERROR(__xludf.DUMMYFUNCTION("""COMPUTED_VALUE"""),44697.0)</f>
        <v>44697</v>
      </c>
      <c r="L1833" s="6" t="str">
        <f>IFERROR(__xludf.DUMMYFUNCTION("""COMPUTED_VALUE"""),"FIP Engineering")</f>
        <v>FIP Engineering</v>
      </c>
      <c r="M1833" s="6" t="str">
        <f>IFERROR(__xludf.DUMMYFUNCTION("""COMPUTED_VALUE"""),"Joko Nugroho")</f>
        <v>Joko Nugroho</v>
      </c>
      <c r="N1833" s="6" t="str">
        <f>IFERROR(__xludf.DUMMYFUNCTION("""COMPUTED_VALUE"""),"FIP Engineering")</f>
        <v>FIP Engineering</v>
      </c>
      <c r="O1833" s="6" t="str">
        <f>IFERROR(__xludf.DUMMYFUNCTION("""COMPUTED_VALUE"""),"FIP-DOM-000-11304-OS00001-INA-000000")</f>
        <v>FIP-DOM-000-11304-OS00001-INA-000000</v>
      </c>
      <c r="P1833" s="6" t="str">
        <f>IFERROR(__xludf.DUMMYFUNCTION("""COMPUTED_VALUE"""),"PO Closed")</f>
        <v>PO Closed</v>
      </c>
      <c r="Q1833" s="6" t="str">
        <f>IFERROR(__xludf.DUMMYFUNCTION("""COMPUTED_VALUE"""),"GL2205031")</f>
        <v>GL2205031</v>
      </c>
      <c r="R1833" s="57">
        <f>IFERROR(__xludf.DUMMYFUNCTION("""COMPUTED_VALUE"""),44672.0)</f>
        <v>44672</v>
      </c>
      <c r="S1833" s="6" t="str">
        <f>IFERROR(__xludf.DUMMYFUNCTION("""COMPUTED_VALUE"""),"-")</f>
        <v>-</v>
      </c>
      <c r="T1833" s="57">
        <f>IFERROR(__xludf.DUMMYFUNCTION("""COMPUTED_VALUE"""),44718.0)</f>
        <v>44718</v>
      </c>
    </row>
    <row r="1834">
      <c r="A1834" s="6" t="str">
        <f>IFERROR(__xludf.DUMMYFUNCTION("""COMPUTED_VALUE"""),"221750207-1")</f>
        <v>221750207-1</v>
      </c>
      <c r="B1834" s="6" t="str">
        <f>IFERROR(__xludf.DUMMYFUNCTION("""COMPUTED_VALUE"""),"221750207 - Approved")</f>
        <v>221750207 - Approved</v>
      </c>
      <c r="C1834" s="6">
        <f>IFERROR(__xludf.DUMMYFUNCTION("""COMPUTED_VALUE"""),1.0)</f>
        <v>1</v>
      </c>
      <c r="D1834" s="6" t="str">
        <f>IFERROR(__xludf.DUMMYFUNCTION("""COMPUTED_VALUE"""),"Q-10863-00")</f>
        <v>Q-10863-00</v>
      </c>
      <c r="E1834" s="6" t="str">
        <f>IFERROR(__xludf.DUMMYFUNCTION("""COMPUTED_VALUE"""),"Wallmount Indorack WR5004S 4U 500MM Singel Door Rack Server")</f>
        <v>Wallmount Indorack WR5004S 4U 500MM Singel Door Rack Server</v>
      </c>
      <c r="F1834" s="6">
        <f>IFERROR(__xludf.DUMMYFUNCTION("""COMPUTED_VALUE"""),1.0)</f>
        <v>1</v>
      </c>
      <c r="G1834" s="6" t="str">
        <f>IFERROR(__xludf.DUMMYFUNCTION("""COMPUTED_VALUE"""),"Unit")</f>
        <v>Unit</v>
      </c>
      <c r="H1834" s="6" t="str">
        <f>IFERROR(__xludf.DUMMYFUNCTION("""COMPUTED_VALUE"""),"IDR")</f>
        <v>IDR</v>
      </c>
      <c r="I1834" s="6">
        <f>IFERROR(__xludf.DUMMYFUNCTION("""COMPUTED_VALUE"""),1665000.0)</f>
        <v>1665000</v>
      </c>
      <c r="J1834" s="6">
        <f>IFERROR(__xludf.DUMMYFUNCTION("""COMPUTED_VALUE"""),1665000.0)</f>
        <v>1665000</v>
      </c>
      <c r="K1834" s="57">
        <f>IFERROR(__xludf.DUMMYFUNCTION("""COMPUTED_VALUE"""),44715.0)</f>
        <v>44715</v>
      </c>
      <c r="L1834" s="6" t="str">
        <f>IFERROR(__xludf.DUMMYFUNCTION("""COMPUTED_VALUE"""),"FIP General")</f>
        <v>FIP General</v>
      </c>
      <c r="M1834" s="6" t="str">
        <f>IFERROR(__xludf.DUMMYFUNCTION("""COMPUTED_VALUE"""),"Irwan Sopian")</f>
        <v>Irwan Sopian</v>
      </c>
      <c r="N1834" s="6" t="str">
        <f>IFERROR(__xludf.DUMMYFUNCTION("""COMPUTED_VALUE"""),"FIP Engineering")</f>
        <v>FIP Engineering</v>
      </c>
      <c r="O1834" s="6" t="str">
        <f>IFERROR(__xludf.DUMMYFUNCTION("""COMPUTED_VALUE"""),"FIP-DOM-ENG-51504-0000000-INA-000000")</f>
        <v>FIP-DOM-ENG-51504-0000000-INA-000000</v>
      </c>
      <c r="P1834" s="6" t="str">
        <f>IFERROR(__xludf.DUMMYFUNCTION("""COMPUTED_VALUE"""),"PO Closed")</f>
        <v>PO Closed</v>
      </c>
      <c r="Q1834" s="6" t="str">
        <f>IFERROR(__xludf.DUMMYFUNCTION("""COMPUTED_VALUE"""),"GL2205023")</f>
        <v>GL2205023</v>
      </c>
      <c r="R1834" s="57">
        <f>IFERROR(__xludf.DUMMYFUNCTION("""COMPUTED_VALUE"""),44678.0)</f>
        <v>44678</v>
      </c>
      <c r="S1834" s="6" t="str">
        <f>IFERROR(__xludf.DUMMYFUNCTION("""COMPUTED_VALUE"""),"-")</f>
        <v>-</v>
      </c>
      <c r="T1834" s="57">
        <f>IFERROR(__xludf.DUMMYFUNCTION("""COMPUTED_VALUE"""),44718.0)</f>
        <v>44718</v>
      </c>
    </row>
    <row r="1835">
      <c r="A1835" s="6" t="str">
        <f>IFERROR(__xludf.DUMMYFUNCTION("""COMPUTED_VALUE"""),"221750207-2")</f>
        <v>221750207-2</v>
      </c>
      <c r="B1835" s="6" t="str">
        <f>IFERROR(__xludf.DUMMYFUNCTION("""COMPUTED_VALUE"""),"221750207 - Approved")</f>
        <v>221750207 - Approved</v>
      </c>
      <c r="C1835" s="6">
        <f>IFERROR(__xludf.DUMMYFUNCTION("""COMPUTED_VALUE"""),2.0)</f>
        <v>2</v>
      </c>
      <c r="D1835" s="6" t="str">
        <f>IFERROR(__xludf.DUMMYFUNCTION("""COMPUTED_VALUE"""),"Q-10862-00")</f>
        <v>Q-10862-00</v>
      </c>
      <c r="E1835" s="6" t="str">
        <f>IFERROR(__xludf.DUMMYFUNCTION("""COMPUTED_VALUE"""),"Bracket TV Monitor LED 32-51 inch")</f>
        <v>Bracket TV Monitor LED 32-51 inch</v>
      </c>
      <c r="F1835" s="6">
        <f>IFERROR(__xludf.DUMMYFUNCTION("""COMPUTED_VALUE"""),1.0)</f>
        <v>1</v>
      </c>
      <c r="G1835" s="6" t="str">
        <f>IFERROR(__xludf.DUMMYFUNCTION("""COMPUTED_VALUE"""),"Pieces")</f>
        <v>Pieces</v>
      </c>
      <c r="H1835" s="6" t="str">
        <f>IFERROR(__xludf.DUMMYFUNCTION("""COMPUTED_VALUE"""),"IDR")</f>
        <v>IDR</v>
      </c>
      <c r="I1835" s="6">
        <f>IFERROR(__xludf.DUMMYFUNCTION("""COMPUTED_VALUE"""),250000.0)</f>
        <v>250000</v>
      </c>
      <c r="J1835" s="6">
        <f>IFERROR(__xludf.DUMMYFUNCTION("""COMPUTED_VALUE"""),250000.0)</f>
        <v>250000</v>
      </c>
      <c r="K1835" s="57">
        <f>IFERROR(__xludf.DUMMYFUNCTION("""COMPUTED_VALUE"""),44715.0)</f>
        <v>44715</v>
      </c>
      <c r="L1835" s="6" t="str">
        <f>IFERROR(__xludf.DUMMYFUNCTION("""COMPUTED_VALUE"""),"FIP General")</f>
        <v>FIP General</v>
      </c>
      <c r="M1835" s="6" t="str">
        <f>IFERROR(__xludf.DUMMYFUNCTION("""COMPUTED_VALUE"""),"Irwan Sopian")</f>
        <v>Irwan Sopian</v>
      </c>
      <c r="N1835" s="6" t="str">
        <f>IFERROR(__xludf.DUMMYFUNCTION("""COMPUTED_VALUE"""),"FIP Engineering")</f>
        <v>FIP Engineering</v>
      </c>
      <c r="O1835" s="6" t="str">
        <f>IFERROR(__xludf.DUMMYFUNCTION("""COMPUTED_VALUE"""),"FIP-DOM-ENG-51504-0000000-INA-000000")</f>
        <v>FIP-DOM-ENG-51504-0000000-INA-000000</v>
      </c>
      <c r="P1835" s="6" t="str">
        <f>IFERROR(__xludf.DUMMYFUNCTION("""COMPUTED_VALUE"""),"PO Closed")</f>
        <v>PO Closed</v>
      </c>
      <c r="Q1835" s="6" t="str">
        <f>IFERROR(__xludf.DUMMYFUNCTION("""COMPUTED_VALUE"""),"GL2205024")</f>
        <v>GL2205024</v>
      </c>
      <c r="R1835" s="57">
        <f>IFERROR(__xludf.DUMMYFUNCTION("""COMPUTED_VALUE"""),44678.0)</f>
        <v>44678</v>
      </c>
      <c r="S1835" s="6" t="str">
        <f>IFERROR(__xludf.DUMMYFUNCTION("""COMPUTED_VALUE"""),"-")</f>
        <v>-</v>
      </c>
      <c r="T1835" s="57">
        <f>IFERROR(__xludf.DUMMYFUNCTION("""COMPUTED_VALUE"""),44715.0)</f>
        <v>44715</v>
      </c>
    </row>
    <row r="1836">
      <c r="A1836" s="6" t="str">
        <f>IFERROR(__xludf.DUMMYFUNCTION("""COMPUTED_VALUE"""),"221750206-1")</f>
        <v>221750206-1</v>
      </c>
      <c r="B1836" s="6" t="str">
        <f>IFERROR(__xludf.DUMMYFUNCTION("""COMPUTED_VALUE"""),"221750206 - Approved")</f>
        <v>221750206 - Approved</v>
      </c>
      <c r="C1836" s="6">
        <f>IFERROR(__xludf.DUMMYFUNCTION("""COMPUTED_VALUE"""),1.0)</f>
        <v>1</v>
      </c>
      <c r="D1836" s="6" t="str">
        <f>IFERROR(__xludf.DUMMYFUNCTION("""COMPUTED_VALUE"""),"P-13641-00")</f>
        <v>P-13641-00</v>
      </c>
      <c r="E1836" s="6" t="str">
        <f>IFERROR(__xludf.DUMMYFUNCTION("""COMPUTED_VALUE"""),"Filter SO 5 micron 30 inch O-ring 222 Bayonet")</f>
        <v>Filter SO 5 micron 30 inch O-ring 222 Bayonet</v>
      </c>
      <c r="F1836" s="6">
        <f>IFERROR(__xludf.DUMMYFUNCTION("""COMPUTED_VALUE"""),5.0)</f>
        <v>5</v>
      </c>
      <c r="G1836" s="6" t="str">
        <f>IFERROR(__xludf.DUMMYFUNCTION("""COMPUTED_VALUE"""),"Pieces")</f>
        <v>Pieces</v>
      </c>
      <c r="H1836" s="6" t="str">
        <f>IFERROR(__xludf.DUMMYFUNCTION("""COMPUTED_VALUE"""),"IDR")</f>
        <v>IDR</v>
      </c>
      <c r="I1836" s="6">
        <f>IFERROR(__xludf.DUMMYFUNCTION("""COMPUTED_VALUE"""),1890000.0)</f>
        <v>1890000</v>
      </c>
      <c r="J1836" s="6">
        <f>IFERROR(__xludf.DUMMYFUNCTION("""COMPUTED_VALUE"""),9450000.0)</f>
        <v>9450000</v>
      </c>
      <c r="K1836" s="57">
        <f>IFERROR(__xludf.DUMMYFUNCTION("""COMPUTED_VALUE"""),44708.0)</f>
        <v>44708</v>
      </c>
      <c r="L1836" s="6" t="str">
        <f>IFERROR(__xludf.DUMMYFUNCTION("""COMPUTED_VALUE"""),"FIP Engineering")</f>
        <v>FIP Engineering</v>
      </c>
      <c r="M1836" s="6" t="str">
        <f>IFERROR(__xludf.DUMMYFUNCTION("""COMPUTED_VALUE"""),"Irwan Sopian")</f>
        <v>Irwan Sopian</v>
      </c>
      <c r="N1836" s="6" t="str">
        <f>IFERROR(__xludf.DUMMYFUNCTION("""COMPUTED_VALUE"""),"FIP Engineering")</f>
        <v>FIP Engineering</v>
      </c>
      <c r="O1836" s="6" t="str">
        <f>IFERROR(__xludf.DUMMYFUNCTION("""COMPUTED_VALUE"""),"FIP-DOM-000-11304-OS00001-INA-000000")</f>
        <v>FIP-DOM-000-11304-OS00001-INA-000000</v>
      </c>
      <c r="P1836" s="6" t="str">
        <f>IFERROR(__xludf.DUMMYFUNCTION("""COMPUTED_VALUE"""),"PO Closed")</f>
        <v>PO Closed</v>
      </c>
      <c r="Q1836" s="6" t="str">
        <f>IFERROR(__xludf.DUMMYFUNCTION("""COMPUTED_VALUE"""),"GL2205034")</f>
        <v>GL2205034</v>
      </c>
      <c r="R1836" s="57">
        <f>IFERROR(__xludf.DUMMYFUNCTION("""COMPUTED_VALUE"""),44678.0)</f>
        <v>44678</v>
      </c>
      <c r="S1836" s="6" t="str">
        <f>IFERROR(__xludf.DUMMYFUNCTION("""COMPUTED_VALUE"""),"-")</f>
        <v>-</v>
      </c>
      <c r="T1836" s="57">
        <f>IFERROR(__xludf.DUMMYFUNCTION("""COMPUTED_VALUE"""),44717.0)</f>
        <v>44717</v>
      </c>
    </row>
    <row r="1837">
      <c r="A1837" s="6" t="str">
        <f>IFERROR(__xludf.DUMMYFUNCTION("""COMPUTED_VALUE"""),"221750205-1")</f>
        <v>221750205-1</v>
      </c>
      <c r="B1837" s="6" t="str">
        <f>IFERROR(__xludf.DUMMYFUNCTION("""COMPUTED_VALUE"""),"221750205 - Approved")</f>
        <v>221750205 - Approved</v>
      </c>
      <c r="C1837" s="6">
        <f>IFERROR(__xludf.DUMMYFUNCTION("""COMPUTED_VALUE"""),1.0)</f>
        <v>1</v>
      </c>
      <c r="D1837" s="6" t="str">
        <f>IFERROR(__xludf.DUMMYFUNCTION("""COMPUTED_VALUE"""),"O-18388-00")</f>
        <v>O-18388-00</v>
      </c>
      <c r="E1837" s="6" t="str">
        <f>IFERROR(__xludf.DUMMYFUNCTION("""COMPUTED_VALUE"""),"Membrane Valve PTFE/EPDM DN15 type 612 GEMU")</f>
        <v>Membrane Valve PTFE/EPDM DN15 type 612 GEMU</v>
      </c>
      <c r="F1837" s="6">
        <f>IFERROR(__xludf.DUMMYFUNCTION("""COMPUTED_VALUE"""),3.0)</f>
        <v>3</v>
      </c>
      <c r="G1837" s="6" t="str">
        <f>IFERROR(__xludf.DUMMYFUNCTION("""COMPUTED_VALUE"""),"Pieces")</f>
        <v>Pieces</v>
      </c>
      <c r="H1837" s="6" t="str">
        <f>IFERROR(__xludf.DUMMYFUNCTION("""COMPUTED_VALUE"""),"IDR")</f>
        <v>IDR</v>
      </c>
      <c r="I1837" s="6">
        <f>IFERROR(__xludf.DUMMYFUNCTION("""COMPUTED_VALUE"""),1800000.0)</f>
        <v>1800000</v>
      </c>
      <c r="J1837" s="6">
        <f>IFERROR(__xludf.DUMMYFUNCTION("""COMPUTED_VALUE"""),5400000.0)</f>
        <v>5400000</v>
      </c>
      <c r="K1837" s="57">
        <f>IFERROR(__xludf.DUMMYFUNCTION("""COMPUTED_VALUE"""),44708.0)</f>
        <v>44708</v>
      </c>
      <c r="L1837" s="6" t="str">
        <f>IFERROR(__xludf.DUMMYFUNCTION("""COMPUTED_VALUE"""),"FIP Engineering")</f>
        <v>FIP Engineering</v>
      </c>
      <c r="M1837" s="6" t="str">
        <f>IFERROR(__xludf.DUMMYFUNCTION("""COMPUTED_VALUE"""),"Irwan Sopian")</f>
        <v>Irwan Sopian</v>
      </c>
      <c r="N1837" s="6" t="str">
        <f>IFERROR(__xludf.DUMMYFUNCTION("""COMPUTED_VALUE"""),"FIP Engineering")</f>
        <v>FIP Engineering</v>
      </c>
      <c r="O1837" s="6" t="str">
        <f>IFERROR(__xludf.DUMMYFUNCTION("""COMPUTED_VALUE"""),"FIP-DOM-000-11304-OS00001-INA-000000")</f>
        <v>FIP-DOM-000-11304-OS00001-INA-000000</v>
      </c>
      <c r="P1837" s="6" t="str">
        <f>IFERROR(__xludf.DUMMYFUNCTION("""COMPUTED_VALUE"""),"PO Closed")</f>
        <v>PO Closed</v>
      </c>
      <c r="Q1837" s="6" t="str">
        <f>IFERROR(__xludf.DUMMYFUNCTION("""COMPUTED_VALUE"""),"GL2205032")</f>
        <v>GL2205032</v>
      </c>
      <c r="R1837" s="57">
        <f>IFERROR(__xludf.DUMMYFUNCTION("""COMPUTED_VALUE"""),44678.0)</f>
        <v>44678</v>
      </c>
      <c r="S1837" s="6" t="str">
        <f>IFERROR(__xludf.DUMMYFUNCTION("""COMPUTED_VALUE"""),"-")</f>
        <v>-</v>
      </c>
      <c r="T1837" s="57">
        <f>IFERROR(__xludf.DUMMYFUNCTION("""COMPUTED_VALUE"""),44725.0)</f>
        <v>44725</v>
      </c>
    </row>
    <row r="1838">
      <c r="A1838" s="6" t="str">
        <f>IFERROR(__xludf.DUMMYFUNCTION("""COMPUTED_VALUE"""),"221750204-1")</f>
        <v>221750204-1</v>
      </c>
      <c r="B1838" s="6" t="str">
        <f>IFERROR(__xludf.DUMMYFUNCTION("""COMPUTED_VALUE"""),"221750204 - Approved")</f>
        <v>221750204 - Approved</v>
      </c>
      <c r="C1838" s="6">
        <f>IFERROR(__xludf.DUMMYFUNCTION("""COMPUTED_VALUE"""),1.0)</f>
        <v>1</v>
      </c>
      <c r="D1838" s="6" t="str">
        <f>IFERROR(__xludf.DUMMYFUNCTION("""COMPUTED_VALUE"""),"O-52597-00")</f>
        <v>O-52597-00</v>
      </c>
      <c r="E1838" s="6" t="str">
        <f>IFERROR(__xludf.DUMMYFUNCTION("""COMPUTED_VALUE"""),"Selenoid Valve VZWD-L-M22C-M-G12-135-1P4-10 Festo")</f>
        <v>Selenoid Valve VZWD-L-M22C-M-G12-135-1P4-10 Festo</v>
      </c>
      <c r="F1838" s="6">
        <f>IFERROR(__xludf.DUMMYFUNCTION("""COMPUTED_VALUE"""),2.0)</f>
        <v>2</v>
      </c>
      <c r="G1838" s="6" t="str">
        <f>IFERROR(__xludf.DUMMYFUNCTION("""COMPUTED_VALUE"""),"Pieces")</f>
        <v>Pieces</v>
      </c>
      <c r="H1838" s="6" t="str">
        <f>IFERROR(__xludf.DUMMYFUNCTION("""COMPUTED_VALUE"""),"IDR")</f>
        <v>IDR</v>
      </c>
      <c r="I1838" s="6">
        <f>IFERROR(__xludf.DUMMYFUNCTION("""COMPUTED_VALUE"""),1079444.0)</f>
        <v>1079444</v>
      </c>
      <c r="J1838" s="6">
        <f>IFERROR(__xludf.DUMMYFUNCTION("""COMPUTED_VALUE"""),2158888.0)</f>
        <v>2158888</v>
      </c>
      <c r="K1838" s="57">
        <f>IFERROR(__xludf.DUMMYFUNCTION("""COMPUTED_VALUE"""),44701.0)</f>
        <v>44701</v>
      </c>
      <c r="L1838" s="6" t="str">
        <f>IFERROR(__xludf.DUMMYFUNCTION("""COMPUTED_VALUE"""),"FIP Engineering")</f>
        <v>FIP Engineering</v>
      </c>
      <c r="M1838" s="6" t="str">
        <f>IFERROR(__xludf.DUMMYFUNCTION("""COMPUTED_VALUE"""),"Irwan Sopian")</f>
        <v>Irwan Sopian</v>
      </c>
      <c r="N1838" s="6" t="str">
        <f>IFERROR(__xludf.DUMMYFUNCTION("""COMPUTED_VALUE"""),"FIP Engineering")</f>
        <v>FIP Engineering</v>
      </c>
      <c r="O1838" s="6" t="str">
        <f>IFERROR(__xludf.DUMMYFUNCTION("""COMPUTED_VALUE"""),"FIP-DOM-000-11304-OS00001-INA-000000")</f>
        <v>FIP-DOM-000-11304-OS00001-INA-000000</v>
      </c>
      <c r="P1838" s="6" t="str">
        <f>IFERROR(__xludf.DUMMYFUNCTION("""COMPUTED_VALUE"""),"PO Closed")</f>
        <v>PO Closed</v>
      </c>
      <c r="Q1838" s="6" t="str">
        <f>IFERROR(__xludf.DUMMYFUNCTION("""COMPUTED_VALUE"""),"GL2205036")</f>
        <v>GL2205036</v>
      </c>
      <c r="R1838" s="57">
        <f>IFERROR(__xludf.DUMMYFUNCTION("""COMPUTED_VALUE"""),44678.0)</f>
        <v>44678</v>
      </c>
      <c r="S1838" s="6" t="str">
        <f>IFERROR(__xludf.DUMMYFUNCTION("""COMPUTED_VALUE"""),"-")</f>
        <v>-</v>
      </c>
      <c r="T1838" s="57">
        <f>IFERROR(__xludf.DUMMYFUNCTION("""COMPUTED_VALUE"""),44732.0)</f>
        <v>44732</v>
      </c>
    </row>
    <row r="1839">
      <c r="A1839" s="6" t="str">
        <f>IFERROR(__xludf.DUMMYFUNCTION("""COMPUTED_VALUE"""),"221750211-1")</f>
        <v>221750211-1</v>
      </c>
      <c r="B1839" s="6" t="str">
        <f>IFERROR(__xludf.DUMMYFUNCTION("""COMPUTED_VALUE"""),"221750211 - Approved")</f>
        <v>221750211 - Approved</v>
      </c>
      <c r="C1839" s="6">
        <f>IFERROR(__xludf.DUMMYFUNCTION("""COMPUTED_VALUE"""),1.0)</f>
        <v>1</v>
      </c>
      <c r="D1839" s="6" t="str">
        <f>IFERROR(__xludf.DUMMYFUNCTION("""COMPUTED_VALUE"""),"Q-10236-00")</f>
        <v>Q-10236-00</v>
      </c>
      <c r="E1839" s="6" t="str">
        <f>IFERROR(__xludf.DUMMYFUNCTION("""COMPUTED_VALUE"""),"Door Closer Dekson 302 NHO")</f>
        <v>Door Closer Dekson 302 NHO</v>
      </c>
      <c r="F1839" s="6">
        <f>IFERROR(__xludf.DUMMYFUNCTION("""COMPUTED_VALUE"""),3.0)</f>
        <v>3</v>
      </c>
      <c r="G1839" s="6" t="str">
        <f>IFERROR(__xludf.DUMMYFUNCTION("""COMPUTED_VALUE"""),"Pieces")</f>
        <v>Pieces</v>
      </c>
      <c r="H1839" s="6" t="str">
        <f>IFERROR(__xludf.DUMMYFUNCTION("""COMPUTED_VALUE"""),"IDR")</f>
        <v>IDR</v>
      </c>
      <c r="I1839" s="6">
        <f>IFERROR(__xludf.DUMMYFUNCTION("""COMPUTED_VALUE"""),285000.0)</f>
        <v>285000</v>
      </c>
      <c r="J1839" s="6">
        <f>IFERROR(__xludf.DUMMYFUNCTION("""COMPUTED_VALUE"""),855000.0)</f>
        <v>855000</v>
      </c>
      <c r="K1839" s="57">
        <f>IFERROR(__xludf.DUMMYFUNCTION("""COMPUTED_VALUE"""),44715.0)</f>
        <v>44715</v>
      </c>
      <c r="L1839" s="6" t="str">
        <f>IFERROR(__xludf.DUMMYFUNCTION("""COMPUTED_VALUE"""),"FIP General")</f>
        <v>FIP General</v>
      </c>
      <c r="M1839" s="6" t="str">
        <f>IFERROR(__xludf.DUMMYFUNCTION("""COMPUTED_VALUE"""),"Irwan Sopian")</f>
        <v>Irwan Sopian</v>
      </c>
      <c r="N1839" s="6" t="str">
        <f>IFERROR(__xludf.DUMMYFUNCTION("""COMPUTED_VALUE"""),"FIP Engineering")</f>
        <v>FIP Engineering</v>
      </c>
      <c r="O1839" s="6" t="str">
        <f>IFERROR(__xludf.DUMMYFUNCTION("""COMPUTED_VALUE"""),"FIP-DOM-ENG-51502-0000000-INA-000000")</f>
        <v>FIP-DOM-ENG-51502-0000000-INA-000000</v>
      </c>
      <c r="P1839" s="6" t="str">
        <f>IFERROR(__xludf.DUMMYFUNCTION("""COMPUTED_VALUE"""),"PO Closed")</f>
        <v>PO Closed</v>
      </c>
      <c r="Q1839" s="6" t="str">
        <f>IFERROR(__xludf.DUMMYFUNCTION("""COMPUTED_VALUE"""),"GL2205014")</f>
        <v>GL2205014</v>
      </c>
      <c r="R1839" s="57">
        <f>IFERROR(__xludf.DUMMYFUNCTION("""COMPUTED_VALUE"""),44679.0)</f>
        <v>44679</v>
      </c>
      <c r="S1839" s="6" t="str">
        <f>IFERROR(__xludf.DUMMYFUNCTION("""COMPUTED_VALUE"""),"-")</f>
        <v>-</v>
      </c>
      <c r="T1839" s="57">
        <f>IFERROR(__xludf.DUMMYFUNCTION("""COMPUTED_VALUE"""),44721.0)</f>
        <v>44721</v>
      </c>
    </row>
    <row r="1840">
      <c r="A1840" s="6" t="str">
        <f>IFERROR(__xludf.DUMMYFUNCTION("""COMPUTED_VALUE"""),"221750211-2")</f>
        <v>221750211-2</v>
      </c>
      <c r="B1840" s="6" t="str">
        <f>IFERROR(__xludf.DUMMYFUNCTION("""COMPUTED_VALUE"""),"221750211 - Approved")</f>
        <v>221750211 - Approved</v>
      </c>
      <c r="C1840" s="6">
        <f>IFERROR(__xludf.DUMMYFUNCTION("""COMPUTED_VALUE"""),2.0)</f>
        <v>2</v>
      </c>
      <c r="D1840" s="6" t="str">
        <f>IFERROR(__xludf.DUMMYFUNCTION("""COMPUTED_VALUE"""),"P-52388-00")</f>
        <v>P-52388-00</v>
      </c>
      <c r="E1840" s="6" t="str">
        <f>IFERROR(__xludf.DUMMYFUNCTION("""COMPUTED_VALUE"""),"Camera Endoscope Wifi Wireles Android Kabel 5M")</f>
        <v>Camera Endoscope Wifi Wireles Android Kabel 5M</v>
      </c>
      <c r="F1840" s="6">
        <f>IFERROR(__xludf.DUMMYFUNCTION("""COMPUTED_VALUE"""),1.0)</f>
        <v>1</v>
      </c>
      <c r="G1840" s="6" t="str">
        <f>IFERROR(__xludf.DUMMYFUNCTION("""COMPUTED_VALUE"""),"Pieces")</f>
        <v>Pieces</v>
      </c>
      <c r="H1840" s="6" t="str">
        <f>IFERROR(__xludf.DUMMYFUNCTION("""COMPUTED_VALUE"""),"IDR")</f>
        <v>IDR</v>
      </c>
      <c r="I1840" s="6">
        <f>IFERROR(__xludf.DUMMYFUNCTION("""COMPUTED_VALUE"""),415000.0)</f>
        <v>415000</v>
      </c>
      <c r="J1840" s="6">
        <f>IFERROR(__xludf.DUMMYFUNCTION("""COMPUTED_VALUE"""),415000.0)</f>
        <v>415000</v>
      </c>
      <c r="K1840" s="57">
        <f>IFERROR(__xludf.DUMMYFUNCTION("""COMPUTED_VALUE"""),44715.0)</f>
        <v>44715</v>
      </c>
      <c r="L1840" s="6" t="str">
        <f>IFERROR(__xludf.DUMMYFUNCTION("""COMPUTED_VALUE"""),"FIP General")</f>
        <v>FIP General</v>
      </c>
      <c r="M1840" s="6" t="str">
        <f>IFERROR(__xludf.DUMMYFUNCTION("""COMPUTED_VALUE"""),"Irwan Sopian")</f>
        <v>Irwan Sopian</v>
      </c>
      <c r="N1840" s="6" t="str">
        <f>IFERROR(__xludf.DUMMYFUNCTION("""COMPUTED_VALUE"""),"FIP Engineering")</f>
        <v>FIP Engineering</v>
      </c>
      <c r="O1840" s="6" t="str">
        <f>IFERROR(__xludf.DUMMYFUNCTION("""COMPUTED_VALUE"""),"FIP-DOM-ENG-51504-0000000-INA-000000")</f>
        <v>FIP-DOM-ENG-51504-0000000-INA-000000</v>
      </c>
      <c r="P1840" s="6" t="str">
        <f>IFERROR(__xludf.DUMMYFUNCTION("""COMPUTED_VALUE"""),"PO Closed")</f>
        <v>PO Closed</v>
      </c>
      <c r="Q1840" s="6" t="str">
        <f>IFERROR(__xludf.DUMMYFUNCTION("""COMPUTED_VALUE"""),"GL2206017")</f>
        <v>GL2206017</v>
      </c>
      <c r="R1840" s="57">
        <f>IFERROR(__xludf.DUMMYFUNCTION("""COMPUTED_VALUE"""),44679.0)</f>
        <v>44679</v>
      </c>
      <c r="S1840" s="6" t="str">
        <f>IFERROR(__xludf.DUMMYFUNCTION("""COMPUTED_VALUE"""),"-")</f>
        <v>-</v>
      </c>
      <c r="T1840" s="57">
        <f>IFERROR(__xludf.DUMMYFUNCTION("""COMPUTED_VALUE"""),44742.0)</f>
        <v>44742</v>
      </c>
    </row>
    <row r="1841">
      <c r="A1841" s="6" t="str">
        <f>IFERROR(__xludf.DUMMYFUNCTION("""COMPUTED_VALUE"""),"221750218-1")</f>
        <v>221750218-1</v>
      </c>
      <c r="B1841" s="6" t="str">
        <f>IFERROR(__xludf.DUMMYFUNCTION("""COMPUTED_VALUE"""),"221750218 - Approved")</f>
        <v>221750218 - Approved</v>
      </c>
      <c r="C1841" s="6">
        <f>IFERROR(__xludf.DUMMYFUNCTION("""COMPUTED_VALUE"""),1.0)</f>
        <v>1</v>
      </c>
      <c r="D1841" s="6" t="str">
        <f>IFERROR(__xludf.DUMMYFUNCTION("""COMPUTED_VALUE"""),"O-51771-00")</f>
        <v>O-51771-00</v>
      </c>
      <c r="E1841" s="6" t="str">
        <f>IFERROR(__xludf.DUMMYFUNCTION("""COMPUTED_VALUE"""),"WAGO 750-501 2-CHANNEL DIGITAL OUTPUT MODULE STD PACK")</f>
        <v>WAGO 750-501 2-CHANNEL DIGITAL OUTPUT MODULE STD PACK</v>
      </c>
      <c r="F1841" s="6">
        <f>IFERROR(__xludf.DUMMYFUNCTION("""COMPUTED_VALUE"""),2.0)</f>
        <v>2</v>
      </c>
      <c r="G1841" s="6" t="str">
        <f>IFERROR(__xludf.DUMMYFUNCTION("""COMPUTED_VALUE"""),"Unit")</f>
        <v>Unit</v>
      </c>
      <c r="H1841" s="6" t="str">
        <f>IFERROR(__xludf.DUMMYFUNCTION("""COMPUTED_VALUE"""),"IDR")</f>
        <v>IDR</v>
      </c>
      <c r="I1841" s="6">
        <f>IFERROR(__xludf.DUMMYFUNCTION("""COMPUTED_VALUE"""),760000.0)</f>
        <v>760000</v>
      </c>
      <c r="J1841" s="6">
        <f>IFERROR(__xludf.DUMMYFUNCTION("""COMPUTED_VALUE"""),1520000.0)</f>
        <v>1520000</v>
      </c>
      <c r="K1841" s="57">
        <f>IFERROR(__xludf.DUMMYFUNCTION("""COMPUTED_VALUE"""),44704.0)</f>
        <v>44704</v>
      </c>
      <c r="L1841" s="6" t="str">
        <f>IFERROR(__xludf.DUMMYFUNCTION("""COMPUTED_VALUE"""),"FIP Engineering")</f>
        <v>FIP Engineering</v>
      </c>
      <c r="M1841" s="6" t="str">
        <f>IFERROR(__xludf.DUMMYFUNCTION("""COMPUTED_VALUE"""),"Joko Nugroho")</f>
        <v>Joko Nugroho</v>
      </c>
      <c r="N1841" s="6" t="str">
        <f>IFERROR(__xludf.DUMMYFUNCTION("""COMPUTED_VALUE"""),"FIP Engineering")</f>
        <v>FIP Engineering</v>
      </c>
      <c r="O1841" s="6" t="str">
        <f>IFERROR(__xludf.DUMMYFUNCTION("""COMPUTED_VALUE"""),"FIP-DOM-000-11304-OS00001-INA-000000")</f>
        <v>FIP-DOM-000-11304-OS00001-INA-000000</v>
      </c>
      <c r="P1841" s="6" t="str">
        <f>IFERROR(__xludf.DUMMYFUNCTION("""COMPUTED_VALUE"""),"PO Closed")</f>
        <v>PO Closed</v>
      </c>
      <c r="Q1841" s="6" t="str">
        <f>IFERROR(__xludf.DUMMYFUNCTION("""COMPUTED_VALUE"""),"GL2205004")</f>
        <v>GL2205004</v>
      </c>
      <c r="R1841" s="57">
        <f>IFERROR(__xludf.DUMMYFUNCTION("""COMPUTED_VALUE"""),44690.0)</f>
        <v>44690</v>
      </c>
      <c r="S1841" s="6" t="str">
        <f>IFERROR(__xludf.DUMMYFUNCTION("""COMPUTED_VALUE"""),"-")</f>
        <v>-</v>
      </c>
      <c r="T1841" s="57">
        <f>IFERROR(__xludf.DUMMYFUNCTION("""COMPUTED_VALUE"""),44704.0)</f>
        <v>44704</v>
      </c>
    </row>
    <row r="1842">
      <c r="A1842" s="6" t="str">
        <f>IFERROR(__xludf.DUMMYFUNCTION("""COMPUTED_VALUE"""),"221750218-2")</f>
        <v>221750218-2</v>
      </c>
      <c r="B1842" s="6" t="str">
        <f>IFERROR(__xludf.DUMMYFUNCTION("""COMPUTED_VALUE"""),"221750218 - Approved")</f>
        <v>221750218 - Approved</v>
      </c>
      <c r="C1842" s="6">
        <f>IFERROR(__xludf.DUMMYFUNCTION("""COMPUTED_VALUE"""),2.0)</f>
        <v>2</v>
      </c>
      <c r="D1842" s="6" t="str">
        <f>IFERROR(__xludf.DUMMYFUNCTION("""COMPUTED_VALUE"""),"O-51774-00")</f>
        <v>O-51774-00</v>
      </c>
      <c r="E1842" s="6" t="str">
        <f>IFERROR(__xludf.DUMMYFUNCTION("""COMPUTED_VALUE"""),"WAGO 750-472 2-CHANNEL ANALOG INPUT MODULE STD PACK")</f>
        <v>WAGO 750-472 2-CHANNEL ANALOG INPUT MODULE STD PACK</v>
      </c>
      <c r="F1842" s="6">
        <f>IFERROR(__xludf.DUMMYFUNCTION("""COMPUTED_VALUE"""),1.0)</f>
        <v>1</v>
      </c>
      <c r="G1842" s="6" t="str">
        <f>IFERROR(__xludf.DUMMYFUNCTION("""COMPUTED_VALUE"""),"Unit")</f>
        <v>Unit</v>
      </c>
      <c r="H1842" s="6" t="str">
        <f>IFERROR(__xludf.DUMMYFUNCTION("""COMPUTED_VALUE"""),"IDR")</f>
        <v>IDR</v>
      </c>
      <c r="I1842" s="6">
        <f>IFERROR(__xludf.DUMMYFUNCTION("""COMPUTED_VALUE"""),3349810.0)</f>
        <v>3349810</v>
      </c>
      <c r="J1842" s="6">
        <f>IFERROR(__xludf.DUMMYFUNCTION("""COMPUTED_VALUE"""),3349810.0)</f>
        <v>3349810</v>
      </c>
      <c r="K1842" s="57">
        <f>IFERROR(__xludf.DUMMYFUNCTION("""COMPUTED_VALUE"""),44704.0)</f>
        <v>44704</v>
      </c>
      <c r="L1842" s="6" t="str">
        <f>IFERROR(__xludf.DUMMYFUNCTION("""COMPUTED_VALUE"""),"FIP Engineering")</f>
        <v>FIP Engineering</v>
      </c>
      <c r="M1842" s="6" t="str">
        <f>IFERROR(__xludf.DUMMYFUNCTION("""COMPUTED_VALUE"""),"Joko Nugroho")</f>
        <v>Joko Nugroho</v>
      </c>
      <c r="N1842" s="6" t="str">
        <f>IFERROR(__xludf.DUMMYFUNCTION("""COMPUTED_VALUE"""),"FIP Engineering")</f>
        <v>FIP Engineering</v>
      </c>
      <c r="O1842" s="6" t="str">
        <f>IFERROR(__xludf.DUMMYFUNCTION("""COMPUTED_VALUE"""),"FIP-DOM-000-11304-OS00001-INA-000000")</f>
        <v>FIP-DOM-000-11304-OS00001-INA-000000</v>
      </c>
      <c r="P1842" s="6" t="str">
        <f>IFERROR(__xludf.DUMMYFUNCTION("""COMPUTED_VALUE"""),"PO Closed")</f>
        <v>PO Closed</v>
      </c>
      <c r="Q1842" s="6" t="str">
        <f>IFERROR(__xludf.DUMMYFUNCTION("""COMPUTED_VALUE"""),"GL2205004")</f>
        <v>GL2205004</v>
      </c>
      <c r="R1842" s="57">
        <f>IFERROR(__xludf.DUMMYFUNCTION("""COMPUTED_VALUE"""),44690.0)</f>
        <v>44690</v>
      </c>
      <c r="S1842" s="6" t="str">
        <f>IFERROR(__xludf.DUMMYFUNCTION("""COMPUTED_VALUE"""),"-")</f>
        <v>-</v>
      </c>
      <c r="T1842" s="57">
        <f>IFERROR(__xludf.DUMMYFUNCTION("""COMPUTED_VALUE"""),44729.0)</f>
        <v>44729</v>
      </c>
    </row>
    <row r="1843">
      <c r="A1843" s="6" t="str">
        <f>IFERROR(__xludf.DUMMYFUNCTION("""COMPUTED_VALUE"""),"221750218-3")</f>
        <v>221750218-3</v>
      </c>
      <c r="B1843" s="6" t="str">
        <f>IFERROR(__xludf.DUMMYFUNCTION("""COMPUTED_VALUE"""),"221750218 - Approved")</f>
        <v>221750218 - Approved</v>
      </c>
      <c r="C1843" s="6">
        <f>IFERROR(__xludf.DUMMYFUNCTION("""COMPUTED_VALUE"""),3.0)</f>
        <v>3</v>
      </c>
      <c r="D1843" s="6" t="str">
        <f>IFERROR(__xludf.DUMMYFUNCTION("""COMPUTED_VALUE"""),"O-51772-00")</f>
        <v>O-51772-00</v>
      </c>
      <c r="E1843" s="6" t="str">
        <f>IFERROR(__xludf.DUMMYFUNCTION("""COMPUTED_VALUE"""),"WAGO 750-402 4-CHANNEL DIGITAL INPUT MODULE STD PACK")</f>
        <v>WAGO 750-402 4-CHANNEL DIGITAL INPUT MODULE STD PACK</v>
      </c>
      <c r="F1843" s="6">
        <f>IFERROR(__xludf.DUMMYFUNCTION("""COMPUTED_VALUE"""),2.0)</f>
        <v>2</v>
      </c>
      <c r="G1843" s="6" t="str">
        <f>IFERROR(__xludf.DUMMYFUNCTION("""COMPUTED_VALUE"""),"Unit")</f>
        <v>Unit</v>
      </c>
      <c r="H1843" s="6" t="str">
        <f>IFERROR(__xludf.DUMMYFUNCTION("""COMPUTED_VALUE"""),"IDR")</f>
        <v>IDR</v>
      </c>
      <c r="I1843" s="6">
        <f>IFERROR(__xludf.DUMMYFUNCTION("""COMPUTED_VALUE"""),592480.0)</f>
        <v>592480</v>
      </c>
      <c r="J1843" s="6">
        <f>IFERROR(__xludf.DUMMYFUNCTION("""COMPUTED_VALUE"""),1184960.0)</f>
        <v>1184960</v>
      </c>
      <c r="K1843" s="57">
        <f>IFERROR(__xludf.DUMMYFUNCTION("""COMPUTED_VALUE"""),44704.0)</f>
        <v>44704</v>
      </c>
      <c r="L1843" s="6" t="str">
        <f>IFERROR(__xludf.DUMMYFUNCTION("""COMPUTED_VALUE"""),"FIP Engineering")</f>
        <v>FIP Engineering</v>
      </c>
      <c r="M1843" s="6" t="str">
        <f>IFERROR(__xludf.DUMMYFUNCTION("""COMPUTED_VALUE"""),"Joko Nugroho")</f>
        <v>Joko Nugroho</v>
      </c>
      <c r="N1843" s="6" t="str">
        <f>IFERROR(__xludf.DUMMYFUNCTION("""COMPUTED_VALUE"""),"FIP Engineering")</f>
        <v>FIP Engineering</v>
      </c>
      <c r="O1843" s="6" t="str">
        <f>IFERROR(__xludf.DUMMYFUNCTION("""COMPUTED_VALUE"""),"FIP-DOM-000-11304-OS00001-INA-000000")</f>
        <v>FIP-DOM-000-11304-OS00001-INA-000000</v>
      </c>
      <c r="P1843" s="6" t="str">
        <f>IFERROR(__xludf.DUMMYFUNCTION("""COMPUTED_VALUE"""),"PO Closed")</f>
        <v>PO Closed</v>
      </c>
      <c r="Q1843" s="6" t="str">
        <f>IFERROR(__xludf.DUMMYFUNCTION("""COMPUTED_VALUE"""),"GL2205004")</f>
        <v>GL2205004</v>
      </c>
      <c r="R1843" s="57">
        <f>IFERROR(__xludf.DUMMYFUNCTION("""COMPUTED_VALUE"""),44690.0)</f>
        <v>44690</v>
      </c>
      <c r="S1843" s="6" t="str">
        <f>IFERROR(__xludf.DUMMYFUNCTION("""COMPUTED_VALUE"""),"-")</f>
        <v>-</v>
      </c>
      <c r="T1843" s="57">
        <f>IFERROR(__xludf.DUMMYFUNCTION("""COMPUTED_VALUE"""),44704.0)</f>
        <v>44704</v>
      </c>
    </row>
    <row r="1844">
      <c r="A1844" s="6" t="str">
        <f>IFERROR(__xludf.DUMMYFUNCTION("""COMPUTED_VALUE"""),"221750218-4")</f>
        <v>221750218-4</v>
      </c>
      <c r="B1844" s="6" t="str">
        <f>IFERROR(__xludf.DUMMYFUNCTION("""COMPUTED_VALUE"""),"221750218 - Approved")</f>
        <v>221750218 - Approved</v>
      </c>
      <c r="C1844" s="6">
        <f>IFERROR(__xludf.DUMMYFUNCTION("""COMPUTED_VALUE"""),4.0)</f>
        <v>4</v>
      </c>
      <c r="D1844" s="6" t="str">
        <f>IFERROR(__xludf.DUMMYFUNCTION("""COMPUTED_VALUE"""),"O-51309-00")</f>
        <v>O-51309-00</v>
      </c>
      <c r="E1844" s="6" t="str">
        <f>IFERROR(__xludf.DUMMYFUNCTION("""COMPUTED_VALUE"""),"WAGO 750-333 I/O SYSTEM PROFIBUS DP/FMS-12 MBAUD-DPV1-COUPL")</f>
        <v>WAGO 750-333 I/O SYSTEM PROFIBUS DP/FMS-12 MBAUD-DPV1-COUPL</v>
      </c>
      <c r="F1844" s="6">
        <f>IFERROR(__xludf.DUMMYFUNCTION("""COMPUTED_VALUE"""),1.0)</f>
        <v>1</v>
      </c>
      <c r="G1844" s="6" t="str">
        <f>IFERROR(__xludf.DUMMYFUNCTION("""COMPUTED_VALUE"""),"Unit")</f>
        <v>Unit</v>
      </c>
      <c r="H1844" s="6" t="str">
        <f>IFERROR(__xludf.DUMMYFUNCTION("""COMPUTED_VALUE"""),"IDR")</f>
        <v>IDR</v>
      </c>
      <c r="I1844" s="6">
        <f>IFERROR(__xludf.DUMMYFUNCTION("""COMPUTED_VALUE"""),6539220.0)</f>
        <v>6539220</v>
      </c>
      <c r="J1844" s="6">
        <f>IFERROR(__xludf.DUMMYFUNCTION("""COMPUTED_VALUE"""),6539220.0)</f>
        <v>6539220</v>
      </c>
      <c r="K1844" s="57">
        <f>IFERROR(__xludf.DUMMYFUNCTION("""COMPUTED_VALUE"""),44704.0)</f>
        <v>44704</v>
      </c>
      <c r="L1844" s="6" t="str">
        <f>IFERROR(__xludf.DUMMYFUNCTION("""COMPUTED_VALUE"""),"FIP Engineering")</f>
        <v>FIP Engineering</v>
      </c>
      <c r="M1844" s="6" t="str">
        <f>IFERROR(__xludf.DUMMYFUNCTION("""COMPUTED_VALUE"""),"Joko Nugroho")</f>
        <v>Joko Nugroho</v>
      </c>
      <c r="N1844" s="6" t="str">
        <f>IFERROR(__xludf.DUMMYFUNCTION("""COMPUTED_VALUE"""),"FIP Engineering")</f>
        <v>FIP Engineering</v>
      </c>
      <c r="O1844" s="6" t="str">
        <f>IFERROR(__xludf.DUMMYFUNCTION("""COMPUTED_VALUE"""),"FIP-DOM-000-11304-OS00001-INA-000000")</f>
        <v>FIP-DOM-000-11304-OS00001-INA-000000</v>
      </c>
      <c r="P1844" s="6" t="str">
        <f>IFERROR(__xludf.DUMMYFUNCTION("""COMPUTED_VALUE"""),"PO Closed")</f>
        <v>PO Closed</v>
      </c>
      <c r="Q1844" s="6" t="str">
        <f>IFERROR(__xludf.DUMMYFUNCTION("""COMPUTED_VALUE"""),"GL2205004")</f>
        <v>GL2205004</v>
      </c>
      <c r="R1844" s="57">
        <f>IFERROR(__xludf.DUMMYFUNCTION("""COMPUTED_VALUE"""),44690.0)</f>
        <v>44690</v>
      </c>
      <c r="S1844" s="6" t="str">
        <f>IFERROR(__xludf.DUMMYFUNCTION("""COMPUTED_VALUE"""),"-")</f>
        <v>-</v>
      </c>
      <c r="T1844" s="57">
        <f>IFERROR(__xludf.DUMMYFUNCTION("""COMPUTED_VALUE"""),44704.0)</f>
        <v>44704</v>
      </c>
    </row>
    <row r="1845">
      <c r="A1845" s="6" t="str">
        <f>IFERROR(__xludf.DUMMYFUNCTION("""COMPUTED_VALUE"""),"221750224-1")</f>
        <v>221750224-1</v>
      </c>
      <c r="B1845" s="6" t="str">
        <f>IFERROR(__xludf.DUMMYFUNCTION("""COMPUTED_VALUE"""),"221750224 - Approved")</f>
        <v>221750224 - Approved</v>
      </c>
      <c r="C1845" s="6">
        <f>IFERROR(__xludf.DUMMYFUNCTION("""COMPUTED_VALUE"""),1.0)</f>
        <v>1</v>
      </c>
      <c r="D1845" s="6" t="str">
        <f>IFERROR(__xludf.DUMMYFUNCTION("""COMPUTED_VALUE"""),"S-60002-00")</f>
        <v>S-60002-00</v>
      </c>
      <c r="E1845" s="6" t="str">
        <f>IFERROR(__xludf.DUMMYFUNCTION("""COMPUTED_VALUE"""),"Service Particle Counter Type : AirNet II 510 S/N : 95576")</f>
        <v>Service Particle Counter Type : AirNet II 510 S/N : 95576</v>
      </c>
      <c r="F1845" s="6">
        <f>IFERROR(__xludf.DUMMYFUNCTION("""COMPUTED_VALUE"""),1.0)</f>
        <v>1</v>
      </c>
      <c r="G1845" s="6" t="str">
        <f>IFERROR(__xludf.DUMMYFUNCTION("""COMPUTED_VALUE"""),"Lot")</f>
        <v>Lot</v>
      </c>
      <c r="H1845" s="6" t="str">
        <f>IFERROR(__xludf.DUMMYFUNCTION("""COMPUTED_VALUE"""),"IDR")</f>
        <v>IDR</v>
      </c>
      <c r="I1845" s="6">
        <f>IFERROR(__xludf.DUMMYFUNCTION("""COMPUTED_VALUE"""),1500000.0)</f>
        <v>1500000</v>
      </c>
      <c r="J1845" s="6">
        <f>IFERROR(__xludf.DUMMYFUNCTION("""COMPUTED_VALUE"""),1500000.0)</f>
        <v>1500000</v>
      </c>
      <c r="K1845" s="57">
        <f>IFERROR(__xludf.DUMMYFUNCTION("""COMPUTED_VALUE"""),44704.0)</f>
        <v>44704</v>
      </c>
      <c r="L1845" s="6" t="str">
        <f>IFERROR(__xludf.DUMMYFUNCTION("""COMPUTED_VALUE"""),"FIP General")</f>
        <v>FIP General</v>
      </c>
      <c r="M1845" s="6" t="str">
        <f>IFERROR(__xludf.DUMMYFUNCTION("""COMPUTED_VALUE"""),"Joko Nugroho")</f>
        <v>Joko Nugroho</v>
      </c>
      <c r="N1845" s="6" t="str">
        <f>IFERROR(__xludf.DUMMYFUNCTION("""COMPUTED_VALUE"""),"FIP Engineering")</f>
        <v>FIP Engineering</v>
      </c>
      <c r="O1845" s="6" t="str">
        <f>IFERROR(__xludf.DUMMYFUNCTION("""COMPUTED_VALUE"""),"FIP-DOM-ENG-51508-0000000-INA-000000")</f>
        <v>FIP-DOM-ENG-51508-0000000-INA-000000</v>
      </c>
      <c r="P1845" s="6" t="str">
        <f>IFERROR(__xludf.DUMMYFUNCTION("""COMPUTED_VALUE"""),"PO Closed")</f>
        <v>PO Closed</v>
      </c>
      <c r="Q1845" s="6" t="str">
        <f>IFERROR(__xludf.DUMMYFUNCTION("""COMPUTED_VALUE"""),"GL2205012")</f>
        <v>GL2205012</v>
      </c>
      <c r="R1845" s="57">
        <f>IFERROR(__xludf.DUMMYFUNCTION("""COMPUTED_VALUE"""),44693.0)</f>
        <v>44693</v>
      </c>
      <c r="S1845" s="6" t="str">
        <f>IFERROR(__xludf.DUMMYFUNCTION("""COMPUTED_VALUE"""),"-")</f>
        <v>-</v>
      </c>
      <c r="T1845" s="57">
        <f>IFERROR(__xludf.DUMMYFUNCTION("""COMPUTED_VALUE"""),44729.0)</f>
        <v>44729</v>
      </c>
    </row>
    <row r="1846">
      <c r="A1846" s="6" t="str">
        <f>IFERROR(__xludf.DUMMYFUNCTION("""COMPUTED_VALUE"""),"221750224-2")</f>
        <v>221750224-2</v>
      </c>
      <c r="B1846" s="6" t="str">
        <f>IFERROR(__xludf.DUMMYFUNCTION("""COMPUTED_VALUE"""),"221750224 - Approved")</f>
        <v>221750224 - Approved</v>
      </c>
      <c r="C1846" s="6">
        <f>IFERROR(__xludf.DUMMYFUNCTION("""COMPUTED_VALUE"""),2.0)</f>
        <v>2</v>
      </c>
      <c r="D1846" s="6" t="str">
        <f>IFERROR(__xludf.DUMMYFUNCTION("""COMPUTED_VALUE"""),"S-60002-00")</f>
        <v>S-60002-00</v>
      </c>
      <c r="E1846" s="6" t="str">
        <f>IFERROR(__xludf.DUMMYFUNCTION("""COMPUTED_VALUE"""),"Part untuk service particle counter; Sparepart for change (96360); P/N : 1000014762 AF, R, VENTURI, 1.0 CFM")</f>
        <v>Part untuk service particle counter; Sparepart for change (96360); P/N : 1000014762 AF, R, VENTURI, 1.0 CFM</v>
      </c>
      <c r="F1846" s="6">
        <f>IFERROR(__xludf.DUMMYFUNCTION("""COMPUTED_VALUE"""),1.0)</f>
        <v>1</v>
      </c>
      <c r="G1846" s="6" t="str">
        <f>IFERROR(__xludf.DUMMYFUNCTION("""COMPUTED_VALUE"""),"Lot")</f>
        <v>Lot</v>
      </c>
      <c r="H1846" s="6" t="str">
        <f>IFERROR(__xludf.DUMMYFUNCTION("""COMPUTED_VALUE"""),"IDR")</f>
        <v>IDR</v>
      </c>
      <c r="I1846" s="6">
        <f>IFERROR(__xludf.DUMMYFUNCTION("""COMPUTED_VALUE"""),1000000.0)</f>
        <v>1000000</v>
      </c>
      <c r="J1846" s="6">
        <f>IFERROR(__xludf.DUMMYFUNCTION("""COMPUTED_VALUE"""),1000000.0)</f>
        <v>1000000</v>
      </c>
      <c r="K1846" s="57">
        <f>IFERROR(__xludf.DUMMYFUNCTION("""COMPUTED_VALUE"""),44704.0)</f>
        <v>44704</v>
      </c>
      <c r="L1846" s="6" t="str">
        <f>IFERROR(__xludf.DUMMYFUNCTION("""COMPUTED_VALUE"""),"FIP General")</f>
        <v>FIP General</v>
      </c>
      <c r="M1846" s="6" t="str">
        <f>IFERROR(__xludf.DUMMYFUNCTION("""COMPUTED_VALUE"""),"Joko Nugroho")</f>
        <v>Joko Nugroho</v>
      </c>
      <c r="N1846" s="6" t="str">
        <f>IFERROR(__xludf.DUMMYFUNCTION("""COMPUTED_VALUE"""),"FIP Engineering")</f>
        <v>FIP Engineering</v>
      </c>
      <c r="O1846" s="6" t="str">
        <f>IFERROR(__xludf.DUMMYFUNCTION("""COMPUTED_VALUE"""),"FIP-DOM-ENG-51508-0000000-INA-000000")</f>
        <v>FIP-DOM-ENG-51508-0000000-INA-000000</v>
      </c>
      <c r="P1846" s="6" t="str">
        <f>IFERROR(__xludf.DUMMYFUNCTION("""COMPUTED_VALUE"""),"PO Closed")</f>
        <v>PO Closed</v>
      </c>
      <c r="Q1846" s="6" t="str">
        <f>IFERROR(__xludf.DUMMYFUNCTION("""COMPUTED_VALUE"""),"GL2205012")</f>
        <v>GL2205012</v>
      </c>
      <c r="R1846" s="57">
        <f>IFERROR(__xludf.DUMMYFUNCTION("""COMPUTED_VALUE"""),44693.0)</f>
        <v>44693</v>
      </c>
      <c r="S1846" s="6" t="str">
        <f>IFERROR(__xludf.DUMMYFUNCTION("""COMPUTED_VALUE"""),"-")</f>
        <v>-</v>
      </c>
      <c r="T1846" s="57">
        <f>IFERROR(__xludf.DUMMYFUNCTION("""COMPUTED_VALUE"""),44729.0)</f>
        <v>44729</v>
      </c>
    </row>
    <row r="1847">
      <c r="A1847" s="6" t="str">
        <f>IFERROR(__xludf.DUMMYFUNCTION("""COMPUTED_VALUE"""),"221750226-1")</f>
        <v>221750226-1</v>
      </c>
      <c r="B1847" s="6" t="str">
        <f>IFERROR(__xludf.DUMMYFUNCTION("""COMPUTED_VALUE"""),"221750226 - Approved")</f>
        <v>221750226 - Approved</v>
      </c>
      <c r="C1847" s="6">
        <f>IFERROR(__xludf.DUMMYFUNCTION("""COMPUTED_VALUE"""),1.0)</f>
        <v>1</v>
      </c>
      <c r="D1847" s="6" t="str">
        <f>IFERROR(__xludf.DUMMYFUNCTION("""COMPUTED_VALUE"""),"O-52250-00")</f>
        <v>O-52250-00</v>
      </c>
      <c r="E1847" s="6" t="str">
        <f>IFERROR(__xludf.DUMMYFUNCTION("""COMPUTED_VALUE"""),"Tunnel ST1L - END Module 750-600 Wago")</f>
        <v>Tunnel ST1L - END Module 750-600 Wago</v>
      </c>
      <c r="F1847" s="6">
        <f>IFERROR(__xludf.DUMMYFUNCTION("""COMPUTED_VALUE"""),1.0)</f>
        <v>1</v>
      </c>
      <c r="G1847" s="6" t="str">
        <f>IFERROR(__xludf.DUMMYFUNCTION("""COMPUTED_VALUE"""),"Pieces")</f>
        <v>Pieces</v>
      </c>
      <c r="H1847" s="6" t="str">
        <f>IFERROR(__xludf.DUMMYFUNCTION("""COMPUTED_VALUE"""),"IDR")</f>
        <v>IDR</v>
      </c>
      <c r="I1847" s="6">
        <f>IFERROR(__xludf.DUMMYFUNCTION("""COMPUTED_VALUE"""),310770.0)</f>
        <v>310770</v>
      </c>
      <c r="J1847" s="6">
        <f>IFERROR(__xludf.DUMMYFUNCTION("""COMPUTED_VALUE"""),310770.0)</f>
        <v>310770</v>
      </c>
      <c r="K1847" s="57">
        <f>IFERROR(__xludf.DUMMYFUNCTION("""COMPUTED_VALUE"""),44704.0)</f>
        <v>44704</v>
      </c>
      <c r="L1847" s="6" t="str">
        <f>IFERROR(__xludf.DUMMYFUNCTION("""COMPUTED_VALUE"""),"FIP Engineering")</f>
        <v>FIP Engineering</v>
      </c>
      <c r="M1847" s="6" t="str">
        <f>IFERROR(__xludf.DUMMYFUNCTION("""COMPUTED_VALUE"""),"Joko Nugroho")</f>
        <v>Joko Nugroho</v>
      </c>
      <c r="N1847" s="6" t="str">
        <f>IFERROR(__xludf.DUMMYFUNCTION("""COMPUTED_VALUE"""),"FIP Engineering")</f>
        <v>FIP Engineering</v>
      </c>
      <c r="O1847" s="6" t="str">
        <f>IFERROR(__xludf.DUMMYFUNCTION("""COMPUTED_VALUE"""),"FIP-DOM-000-11304-OS00001-INA-000000")</f>
        <v>FIP-DOM-000-11304-OS00001-INA-000000</v>
      </c>
      <c r="P1847" s="6" t="str">
        <f>IFERROR(__xludf.DUMMYFUNCTION("""COMPUTED_VALUE"""),"PO Closed")</f>
        <v>PO Closed</v>
      </c>
      <c r="Q1847" s="6" t="str">
        <f>IFERROR(__xludf.DUMMYFUNCTION("""COMPUTED_VALUE"""),"GL2205004")</f>
        <v>GL2205004</v>
      </c>
      <c r="R1847" s="57">
        <f>IFERROR(__xludf.DUMMYFUNCTION("""COMPUTED_VALUE"""),44694.0)</f>
        <v>44694</v>
      </c>
      <c r="S1847" s="6" t="str">
        <f>IFERROR(__xludf.DUMMYFUNCTION("""COMPUTED_VALUE"""),"-")</f>
        <v>-</v>
      </c>
      <c r="T1847" s="57">
        <f>IFERROR(__xludf.DUMMYFUNCTION("""COMPUTED_VALUE"""),44729.0)</f>
        <v>44729</v>
      </c>
    </row>
    <row r="1848">
      <c r="A1848" s="6" t="str">
        <f>IFERROR(__xludf.DUMMYFUNCTION("""COMPUTED_VALUE"""),"221750232-1")</f>
        <v>221750232-1</v>
      </c>
      <c r="B1848" s="6" t="str">
        <f>IFERROR(__xludf.DUMMYFUNCTION("""COMPUTED_VALUE"""),"221750232 - Approved")</f>
        <v>221750232 - Approved</v>
      </c>
      <c r="C1848" s="6">
        <f>IFERROR(__xludf.DUMMYFUNCTION("""COMPUTED_VALUE"""),1.0)</f>
        <v>1</v>
      </c>
      <c r="D1848" s="6" t="str">
        <f>IFERROR(__xludf.DUMMYFUNCTION("""COMPUTED_VALUE"""),"P-18138-00")</f>
        <v>P-18138-00</v>
      </c>
      <c r="E1848" s="6" t="str">
        <f>IFERROR(__xludf.DUMMYFUNCTION("""COMPUTED_VALUE"""),"Baut Hex M5 Machining As Mat SUS 316L")</f>
        <v>Baut Hex M5 Machining As Mat SUS 316L</v>
      </c>
      <c r="F1848" s="6">
        <f>IFERROR(__xludf.DUMMYFUNCTION("""COMPUTED_VALUE"""),5.0)</f>
        <v>5</v>
      </c>
      <c r="G1848" s="6" t="str">
        <f>IFERROR(__xludf.DUMMYFUNCTION("""COMPUTED_VALUE"""),"Pieces")</f>
        <v>Pieces</v>
      </c>
      <c r="H1848" s="6" t="str">
        <f>IFERROR(__xludf.DUMMYFUNCTION("""COMPUTED_VALUE"""),"IDR")</f>
        <v>IDR</v>
      </c>
      <c r="I1848" s="6">
        <f>IFERROR(__xludf.DUMMYFUNCTION("""COMPUTED_VALUE"""),276000.0)</f>
        <v>276000</v>
      </c>
      <c r="J1848" s="6">
        <f>IFERROR(__xludf.DUMMYFUNCTION("""COMPUTED_VALUE"""),1380000.0)</f>
        <v>1380000</v>
      </c>
      <c r="K1848" s="57">
        <f>IFERROR(__xludf.DUMMYFUNCTION("""COMPUTED_VALUE"""),44712.0)</f>
        <v>44712</v>
      </c>
      <c r="L1848" s="6" t="str">
        <f>IFERROR(__xludf.DUMMYFUNCTION("""COMPUTED_VALUE"""),"FIP Engineering")</f>
        <v>FIP Engineering</v>
      </c>
      <c r="M1848" s="6" t="str">
        <f>IFERROR(__xludf.DUMMYFUNCTION("""COMPUTED_VALUE"""),"Joko Nugroho")</f>
        <v>Joko Nugroho</v>
      </c>
      <c r="N1848" s="6" t="str">
        <f>IFERROR(__xludf.DUMMYFUNCTION("""COMPUTED_VALUE"""),"FIP Engineering")</f>
        <v>FIP Engineering</v>
      </c>
      <c r="O1848" s="6" t="str">
        <f>IFERROR(__xludf.DUMMYFUNCTION("""COMPUTED_VALUE"""),"FIP-DOM-000-11304-OS00001-INA-000000")</f>
        <v>FIP-DOM-000-11304-OS00001-INA-000000</v>
      </c>
      <c r="P1848" s="6" t="str">
        <f>IFERROR(__xludf.DUMMYFUNCTION("""COMPUTED_VALUE"""),"PO Closed")</f>
        <v>PO Closed</v>
      </c>
      <c r="Q1848" s="6" t="str">
        <f>IFERROR(__xludf.DUMMYFUNCTION("""COMPUTED_VALUE"""),"GL2206036")</f>
        <v>GL2206036</v>
      </c>
      <c r="R1848" s="57">
        <f>IFERROR(__xludf.DUMMYFUNCTION("""COMPUTED_VALUE"""),44699.0)</f>
        <v>44699</v>
      </c>
      <c r="S1848" s="6" t="str">
        <f>IFERROR(__xludf.DUMMYFUNCTION("""COMPUTED_VALUE"""),"-")</f>
        <v>-</v>
      </c>
      <c r="T1848" s="57">
        <f>IFERROR(__xludf.DUMMYFUNCTION("""COMPUTED_VALUE"""),44747.0)</f>
        <v>44747</v>
      </c>
    </row>
    <row r="1849">
      <c r="A1849" s="6" t="str">
        <f>IFERROR(__xludf.DUMMYFUNCTION("""COMPUTED_VALUE"""),"221750235-1")</f>
        <v>221750235-1</v>
      </c>
      <c r="B1849" s="6" t="str">
        <f>IFERROR(__xludf.DUMMYFUNCTION("""COMPUTED_VALUE"""),"221750235 - Approved")</f>
        <v>221750235 - Approved</v>
      </c>
      <c r="C1849" s="6">
        <f>IFERROR(__xludf.DUMMYFUNCTION("""COMPUTED_VALUE"""),1.0)</f>
        <v>1</v>
      </c>
      <c r="D1849" s="6" t="str">
        <f>IFERROR(__xludf.DUMMYFUNCTION("""COMPUTED_VALUE"""),"R-20002-00")</f>
        <v>R-20002-00</v>
      </c>
      <c r="E1849" s="6" t="str">
        <f>IFERROR(__xludf.DUMMYFUNCTION("""COMPUTED_VALUE"""),"Instalasi Pipa Jalur N2 ke Sampling Dispensing 2")</f>
        <v>Instalasi Pipa Jalur N2 ke Sampling Dispensing 2</v>
      </c>
      <c r="F1849" s="6">
        <f>IFERROR(__xludf.DUMMYFUNCTION("""COMPUTED_VALUE"""),1.0)</f>
        <v>1</v>
      </c>
      <c r="G1849" s="6" t="str">
        <f>IFERROR(__xludf.DUMMYFUNCTION("""COMPUTED_VALUE"""),"Lot")</f>
        <v>Lot</v>
      </c>
      <c r="H1849" s="6" t="str">
        <f>IFERROR(__xludf.DUMMYFUNCTION("""COMPUTED_VALUE"""),"IDR")</f>
        <v>IDR</v>
      </c>
      <c r="I1849" s="6">
        <f>IFERROR(__xludf.DUMMYFUNCTION("""COMPUTED_VALUE"""),2.379E7)</f>
        <v>23790000</v>
      </c>
      <c r="J1849" s="6">
        <f>IFERROR(__xludf.DUMMYFUNCTION("""COMPUTED_VALUE"""),2.379E7)</f>
        <v>23790000</v>
      </c>
      <c r="K1849" s="57">
        <f>IFERROR(__xludf.DUMMYFUNCTION("""COMPUTED_VALUE"""),44725.0)</f>
        <v>44725</v>
      </c>
      <c r="L1849" s="6" t="str">
        <f>IFERROR(__xludf.DUMMYFUNCTION("""COMPUTED_VALUE"""),"FIP General")</f>
        <v>FIP General</v>
      </c>
      <c r="M1849" s="6" t="str">
        <f>IFERROR(__xludf.DUMMYFUNCTION("""COMPUTED_VALUE"""),"Kristiawan Sakti Winarno")</f>
        <v>Kristiawan Sakti Winarno</v>
      </c>
      <c r="N1849" s="6" t="str">
        <f>IFERROR(__xludf.DUMMYFUNCTION("""COMPUTED_VALUE"""),"FIP Engineering")</f>
        <v>FIP Engineering</v>
      </c>
      <c r="O1849" s="6" t="str">
        <f>IFERROR(__xludf.DUMMYFUNCTION("""COMPUTED_VALUE"""),"FIP-DOM-ENG-13405-EQNB224-INA-000000")</f>
        <v>FIP-DOM-ENG-13405-EQNB224-INA-000000</v>
      </c>
      <c r="P1849" s="6" t="str">
        <f>IFERROR(__xludf.DUMMYFUNCTION("""COMPUTED_VALUE"""),"PO Closed")</f>
        <v>PO Closed</v>
      </c>
      <c r="Q1849" s="6" t="str">
        <f>IFERROR(__xludf.DUMMYFUNCTION("""COMPUTED_VALUE"""),"GL2206035")</f>
        <v>GL2206035</v>
      </c>
      <c r="R1849" s="57">
        <f>IFERROR(__xludf.DUMMYFUNCTION("""COMPUTED_VALUE"""),44700.0)</f>
        <v>44700</v>
      </c>
      <c r="S1849" s="6" t="str">
        <f>IFERROR(__xludf.DUMMYFUNCTION("""COMPUTED_VALUE"""),"-")</f>
        <v>-</v>
      </c>
      <c r="T1849" s="57">
        <f>IFERROR(__xludf.DUMMYFUNCTION("""COMPUTED_VALUE"""),44833.0)</f>
        <v>44833</v>
      </c>
    </row>
    <row r="1850">
      <c r="A1850" s="6" t="str">
        <f>IFERROR(__xludf.DUMMYFUNCTION("""COMPUTED_VALUE"""),"221750233-1")</f>
        <v>221750233-1</v>
      </c>
      <c r="B1850" s="6" t="str">
        <f>IFERROR(__xludf.DUMMYFUNCTION("""COMPUTED_VALUE"""),"221750233 - Approved")</f>
        <v>221750233 - Approved</v>
      </c>
      <c r="C1850" s="6">
        <f>IFERROR(__xludf.DUMMYFUNCTION("""COMPUTED_VALUE"""),1.0)</f>
        <v>1</v>
      </c>
      <c r="D1850" s="6" t="str">
        <f>IFERROR(__xludf.DUMMYFUNCTION("""COMPUTED_VALUE"""),"T-20289-00")</f>
        <v>T-20289-00</v>
      </c>
      <c r="E1850" s="6" t="str">
        <f>IFERROR(__xludf.DUMMYFUNCTION("""COMPUTED_VALUE"""),"Ferrule, 1.0 mm graphite 0.53 Col; Agilent; Part No. 5080-8773; 10/pk")</f>
        <v>Ferrule, 1.0 mm graphite 0.53 Col; Agilent; Part No. 5080-8773; 10/pk</v>
      </c>
      <c r="F1850" s="6">
        <f>IFERROR(__xludf.DUMMYFUNCTION("""COMPUTED_VALUE"""),1.0)</f>
        <v>1</v>
      </c>
      <c r="G1850" s="6" t="str">
        <f>IFERROR(__xludf.DUMMYFUNCTION("""COMPUTED_VALUE"""),"Pack")</f>
        <v>Pack</v>
      </c>
      <c r="H1850" s="6" t="str">
        <f>IFERROR(__xludf.DUMMYFUNCTION("""COMPUTED_VALUE"""),"IDR")</f>
        <v>IDR</v>
      </c>
      <c r="I1850" s="6">
        <f>IFERROR(__xludf.DUMMYFUNCTION("""COMPUTED_VALUE"""),906518.0)</f>
        <v>906518</v>
      </c>
      <c r="J1850" s="6">
        <f>IFERROR(__xludf.DUMMYFUNCTION("""COMPUTED_VALUE"""),906518.0)</f>
        <v>906518</v>
      </c>
      <c r="K1850" s="57">
        <f>IFERROR(__xludf.DUMMYFUNCTION("""COMPUTED_VALUE"""),44729.0)</f>
        <v>44729</v>
      </c>
      <c r="L1850" s="6" t="str">
        <f>IFERROR(__xludf.DUMMYFUNCTION("""COMPUTED_VALUE"""),"FIP General")</f>
        <v>FIP General</v>
      </c>
      <c r="M1850" s="6" t="str">
        <f>IFERROR(__xludf.DUMMYFUNCTION("""COMPUTED_VALUE"""),"Irwan Sopian")</f>
        <v>Irwan Sopian</v>
      </c>
      <c r="N1850" s="6" t="str">
        <f>IFERROR(__xludf.DUMMYFUNCTION("""COMPUTED_VALUE"""),"FIP Engineering")</f>
        <v>FIP Engineering</v>
      </c>
      <c r="O1850" s="6" t="str">
        <f>IFERROR(__xludf.DUMMYFUNCTION("""COMPUTED_VALUE"""),"FIP-DOM-ENG-51404-0000000-INA-000000")</f>
        <v>FIP-DOM-ENG-51404-0000000-INA-000000</v>
      </c>
      <c r="P1850" s="6" t="str">
        <f>IFERROR(__xludf.DUMMYFUNCTION("""COMPUTED_VALUE"""),"PO Closed")</f>
        <v>PO Closed</v>
      </c>
      <c r="Q1850" s="6" t="str">
        <f>IFERROR(__xludf.DUMMYFUNCTION("""COMPUTED_VALUE"""),"GL2206300")</f>
        <v>GL2206300</v>
      </c>
      <c r="R1850" s="57">
        <f>IFERROR(__xludf.DUMMYFUNCTION("""COMPUTED_VALUE"""),44700.0)</f>
        <v>44700</v>
      </c>
      <c r="S1850" s="6" t="str">
        <f>IFERROR(__xludf.DUMMYFUNCTION("""COMPUTED_VALUE"""),"-")</f>
        <v>-</v>
      </c>
      <c r="T1850" s="57">
        <f>IFERROR(__xludf.DUMMYFUNCTION("""COMPUTED_VALUE"""),44736.0)</f>
        <v>44736</v>
      </c>
    </row>
    <row r="1851">
      <c r="A1851" s="6" t="str">
        <f>IFERROR(__xludf.DUMMYFUNCTION("""COMPUTED_VALUE"""),"221750241-1")</f>
        <v>221750241-1</v>
      </c>
      <c r="B1851" s="6" t="str">
        <f>IFERROR(__xludf.DUMMYFUNCTION("""COMPUTED_VALUE"""),"221750241 - Approved")</f>
        <v>221750241 - Approved</v>
      </c>
      <c r="C1851" s="6">
        <f>IFERROR(__xludf.DUMMYFUNCTION("""COMPUTED_VALUE"""),1.0)</f>
        <v>1</v>
      </c>
      <c r="D1851" s="6" t="str">
        <f>IFERROR(__xludf.DUMMYFUNCTION("""COMPUTED_VALUE"""),"Q-10855-00")</f>
        <v>Q-10855-00</v>
      </c>
      <c r="E1851" s="6" t="str">
        <f>IFERROR(__xludf.DUMMYFUNCTION("""COMPUTED_VALUE"""),"Apar Termatic Powder")</f>
        <v>Apar Termatic Powder</v>
      </c>
      <c r="F1851" s="6">
        <f>IFERROR(__xludf.DUMMYFUNCTION("""COMPUTED_VALUE"""),2.0)</f>
        <v>2</v>
      </c>
      <c r="G1851" s="6" t="str">
        <f>IFERROR(__xludf.DUMMYFUNCTION("""COMPUTED_VALUE"""),"Unit")</f>
        <v>Unit</v>
      </c>
      <c r="H1851" s="6" t="str">
        <f>IFERROR(__xludf.DUMMYFUNCTION("""COMPUTED_VALUE"""),"IDR")</f>
        <v>IDR</v>
      </c>
      <c r="I1851" s="6">
        <f>IFERROR(__xludf.DUMMYFUNCTION("""COMPUTED_VALUE"""),1500000.0)</f>
        <v>1500000</v>
      </c>
      <c r="J1851" s="6">
        <f>IFERROR(__xludf.DUMMYFUNCTION("""COMPUTED_VALUE"""),3000000.0)</f>
        <v>3000000</v>
      </c>
      <c r="K1851" s="57">
        <f>IFERROR(__xludf.DUMMYFUNCTION("""COMPUTED_VALUE"""),44736.0)</f>
        <v>44736</v>
      </c>
      <c r="L1851" s="6" t="str">
        <f>IFERROR(__xludf.DUMMYFUNCTION("""COMPUTED_VALUE"""),"FIP General")</f>
        <v>FIP General</v>
      </c>
      <c r="M1851" s="6" t="str">
        <f>IFERROR(__xludf.DUMMYFUNCTION("""COMPUTED_VALUE"""),"Irwan Sopian")</f>
        <v>Irwan Sopian</v>
      </c>
      <c r="N1851" s="6" t="str">
        <f>IFERROR(__xludf.DUMMYFUNCTION("""COMPUTED_VALUE"""),"FIP Engineering")</f>
        <v>FIP Engineering</v>
      </c>
      <c r="O1851" s="6" t="str">
        <f>IFERROR(__xludf.DUMMYFUNCTION("""COMPUTED_VALUE"""),"FIP-DOM-ENG-51502-0000000-INA-000000")</f>
        <v>FIP-DOM-ENG-51502-0000000-INA-000000</v>
      </c>
      <c r="P1851" s="6" t="str">
        <f>IFERROR(__xludf.DUMMYFUNCTION("""COMPUTED_VALUE"""),"PO Closed")</f>
        <v>PO Closed</v>
      </c>
      <c r="Q1851" s="6" t="str">
        <f>IFERROR(__xludf.DUMMYFUNCTION("""COMPUTED_VALUE"""),"GL2206002")</f>
        <v>GL2206002</v>
      </c>
      <c r="R1851" s="57">
        <f>IFERROR(__xludf.DUMMYFUNCTION("""COMPUTED_VALUE"""),44704.0)</f>
        <v>44704</v>
      </c>
      <c r="S1851" s="6" t="str">
        <f>IFERROR(__xludf.DUMMYFUNCTION("""COMPUTED_VALUE"""),"-")</f>
        <v>-</v>
      </c>
      <c r="T1851" s="57">
        <f>IFERROR(__xludf.DUMMYFUNCTION("""COMPUTED_VALUE"""),44742.0)</f>
        <v>44742</v>
      </c>
    </row>
    <row r="1852">
      <c r="A1852" s="6" t="str">
        <f>IFERROR(__xludf.DUMMYFUNCTION("""COMPUTED_VALUE"""),"221750240-1")</f>
        <v>221750240-1</v>
      </c>
      <c r="B1852" s="6" t="str">
        <f>IFERROR(__xludf.DUMMYFUNCTION("""COMPUTED_VALUE"""),"221750240 - Approved")</f>
        <v>221750240 - Approved</v>
      </c>
      <c r="C1852" s="6">
        <f>IFERROR(__xludf.DUMMYFUNCTION("""COMPUTED_VALUE"""),1.0)</f>
        <v>1</v>
      </c>
      <c r="D1852" s="6" t="str">
        <f>IFERROR(__xludf.DUMMYFUNCTION("""COMPUTED_VALUE"""),"P-18140-00")</f>
        <v>P-18140-00</v>
      </c>
      <c r="E1852" s="6" t="str">
        <f>IFERROR(__xludf.DUMMYFUNCTION("""COMPUTED_VALUE"""),"Sanitary Diaphragma Pressure Gauge Membrane Conn. Ferrule 1.5 inch Center Back SS 316 0 s/d 10 bar SPV")</f>
        <v>Sanitary Diaphragma Pressure Gauge Membrane Conn. Ferrule 1.5 inch Center Back SS 316 0 s/d 10 bar SPV</v>
      </c>
      <c r="F1852" s="6">
        <f>IFERROR(__xludf.DUMMYFUNCTION("""COMPUTED_VALUE"""),1.0)</f>
        <v>1</v>
      </c>
      <c r="G1852" s="6" t="str">
        <f>IFERROR(__xludf.DUMMYFUNCTION("""COMPUTED_VALUE"""),"Pieces")</f>
        <v>Pieces</v>
      </c>
      <c r="H1852" s="6" t="str">
        <f>IFERROR(__xludf.DUMMYFUNCTION("""COMPUTED_VALUE"""),"IDR")</f>
        <v>IDR</v>
      </c>
      <c r="I1852" s="6">
        <f>IFERROR(__xludf.DUMMYFUNCTION("""COMPUTED_VALUE"""),1621620.0)</f>
        <v>1621620</v>
      </c>
      <c r="J1852" s="6">
        <f>IFERROR(__xludf.DUMMYFUNCTION("""COMPUTED_VALUE"""),1621620.0)</f>
        <v>1621620</v>
      </c>
      <c r="K1852" s="57">
        <f>IFERROR(__xludf.DUMMYFUNCTION("""COMPUTED_VALUE"""),44736.0)</f>
        <v>44736</v>
      </c>
      <c r="L1852" s="6" t="str">
        <f>IFERROR(__xludf.DUMMYFUNCTION("""COMPUTED_VALUE"""),"FIP Engineering")</f>
        <v>FIP Engineering</v>
      </c>
      <c r="M1852" s="6" t="str">
        <f>IFERROR(__xludf.DUMMYFUNCTION("""COMPUTED_VALUE"""),"Irwan Sopian")</f>
        <v>Irwan Sopian</v>
      </c>
      <c r="N1852" s="6" t="str">
        <f>IFERROR(__xludf.DUMMYFUNCTION("""COMPUTED_VALUE"""),"FIP Engineering")</f>
        <v>FIP Engineering</v>
      </c>
      <c r="O1852" s="6" t="str">
        <f>IFERROR(__xludf.DUMMYFUNCTION("""COMPUTED_VALUE"""),"FIP-DOM-000-11304-OS00001-INA-000000")</f>
        <v>FIP-DOM-000-11304-OS00001-INA-000000</v>
      </c>
      <c r="P1852" s="6" t="str">
        <f>IFERROR(__xludf.DUMMYFUNCTION("""COMPUTED_VALUE"""),"PO Closed")</f>
        <v>PO Closed</v>
      </c>
      <c r="Q1852" s="6" t="str">
        <f>IFERROR(__xludf.DUMMYFUNCTION("""COMPUTED_VALUE"""),"GL2206038")</f>
        <v>GL2206038</v>
      </c>
      <c r="R1852" s="57">
        <f>IFERROR(__xludf.DUMMYFUNCTION("""COMPUTED_VALUE"""),44704.0)</f>
        <v>44704</v>
      </c>
      <c r="S1852" s="6" t="str">
        <f>IFERROR(__xludf.DUMMYFUNCTION("""COMPUTED_VALUE"""),"-")</f>
        <v>-</v>
      </c>
      <c r="T1852" s="57">
        <f>IFERROR(__xludf.DUMMYFUNCTION("""COMPUTED_VALUE"""),44753.0)</f>
        <v>44753</v>
      </c>
    </row>
    <row r="1853">
      <c r="A1853" s="6" t="str">
        <f>IFERROR(__xludf.DUMMYFUNCTION("""COMPUTED_VALUE"""),"221750242-1")</f>
        <v>221750242-1</v>
      </c>
      <c r="B1853" s="6" t="str">
        <f>IFERROR(__xludf.DUMMYFUNCTION("""COMPUTED_VALUE"""),"221750242 - Approved")</f>
        <v>221750242 - Approved</v>
      </c>
      <c r="C1853" s="6">
        <f>IFERROR(__xludf.DUMMYFUNCTION("""COMPUTED_VALUE"""),1.0)</f>
        <v>1</v>
      </c>
      <c r="D1853" s="6" t="str">
        <f>IFERROR(__xludf.DUMMYFUNCTION("""COMPUTED_VALUE"""),"P-51999-00")</f>
        <v>P-51999-00</v>
      </c>
      <c r="E1853" s="6" t="str">
        <f>IFERROR(__xludf.DUMMYFUNCTION("""COMPUTED_VALUE"""),"Manifold u/ R410 A dan R 32 Refco Refco")</f>
        <v>Manifold u/ R410 A dan R 32 Refco Refco</v>
      </c>
      <c r="F1853" s="6">
        <f>IFERROR(__xludf.DUMMYFUNCTION("""COMPUTED_VALUE"""),1.0)</f>
        <v>1</v>
      </c>
      <c r="G1853" s="6" t="str">
        <f>IFERROR(__xludf.DUMMYFUNCTION("""COMPUTED_VALUE"""),"Unit")</f>
        <v>Unit</v>
      </c>
      <c r="H1853" s="6" t="str">
        <f>IFERROR(__xludf.DUMMYFUNCTION("""COMPUTED_VALUE"""),"IDR")</f>
        <v>IDR</v>
      </c>
      <c r="I1853" s="6">
        <f>IFERROR(__xludf.DUMMYFUNCTION("""COMPUTED_VALUE"""),1389750.0)</f>
        <v>1389750</v>
      </c>
      <c r="J1853" s="6">
        <f>IFERROR(__xludf.DUMMYFUNCTION("""COMPUTED_VALUE"""),1389750.0)</f>
        <v>1389750</v>
      </c>
      <c r="K1853" s="57">
        <f>IFERROR(__xludf.DUMMYFUNCTION("""COMPUTED_VALUE"""),44736.0)</f>
        <v>44736</v>
      </c>
      <c r="L1853" s="6" t="str">
        <f>IFERROR(__xludf.DUMMYFUNCTION("""COMPUTED_VALUE"""),"FIP General")</f>
        <v>FIP General</v>
      </c>
      <c r="M1853" s="6" t="str">
        <f>IFERROR(__xludf.DUMMYFUNCTION("""COMPUTED_VALUE"""),"Irwan Sopian")</f>
        <v>Irwan Sopian</v>
      </c>
      <c r="N1853" s="6" t="str">
        <f>IFERROR(__xludf.DUMMYFUNCTION("""COMPUTED_VALUE"""),"FIP Engineering")</f>
        <v>FIP Engineering</v>
      </c>
      <c r="O1853" s="6" t="str">
        <f>IFERROR(__xludf.DUMMYFUNCTION("""COMPUTED_VALUE"""),"FIP-DOM-ENG-51504-0000000-INA-000000")</f>
        <v>FIP-DOM-ENG-51504-0000000-INA-000000</v>
      </c>
      <c r="P1853" s="6" t="str">
        <f>IFERROR(__xludf.DUMMYFUNCTION("""COMPUTED_VALUE"""),"PO Closed")</f>
        <v>PO Closed</v>
      </c>
      <c r="Q1853" s="6" t="str">
        <f>IFERROR(__xludf.DUMMYFUNCTION("""COMPUTED_VALUE"""),"GL2206039")</f>
        <v>GL2206039</v>
      </c>
      <c r="R1853" s="57">
        <f>IFERROR(__xludf.DUMMYFUNCTION("""COMPUTED_VALUE"""),44705.0)</f>
        <v>44705</v>
      </c>
      <c r="S1853" s="6" t="str">
        <f>IFERROR(__xludf.DUMMYFUNCTION("""COMPUTED_VALUE"""),"-")</f>
        <v>-</v>
      </c>
      <c r="T1853" s="57">
        <f>IFERROR(__xludf.DUMMYFUNCTION("""COMPUTED_VALUE"""),44742.0)</f>
        <v>44742</v>
      </c>
    </row>
    <row r="1854">
      <c r="A1854" s="6" t="str">
        <f>IFERROR(__xludf.DUMMYFUNCTION("""COMPUTED_VALUE"""),"221750242-2")</f>
        <v>221750242-2</v>
      </c>
      <c r="B1854" s="6" t="str">
        <f>IFERROR(__xludf.DUMMYFUNCTION("""COMPUTED_VALUE"""),"221750242 - Approved")</f>
        <v>221750242 - Approved</v>
      </c>
      <c r="C1854" s="6">
        <f>IFERROR(__xludf.DUMMYFUNCTION("""COMPUTED_VALUE"""),2.0)</f>
        <v>2</v>
      </c>
      <c r="D1854" s="6" t="str">
        <f>IFERROR(__xludf.DUMMYFUNCTION("""COMPUTED_VALUE"""),"Q-60234-00")</f>
        <v>Q-60234-00</v>
      </c>
      <c r="E1854" s="6" t="str">
        <f>IFERROR(__xludf.DUMMYFUNCTION("""COMPUTED_VALUE"""),"Cat F-Talit KF 582, F-Talit, Type Black, pack size per 1 kg")</f>
        <v>Cat F-Talit KF 582, F-Talit, Type Black, pack size per 1 kg</v>
      </c>
      <c r="F1854" s="6">
        <f>IFERROR(__xludf.DUMMYFUNCTION("""COMPUTED_VALUE"""),4.0)</f>
        <v>4</v>
      </c>
      <c r="G1854" s="6" t="str">
        <f>IFERROR(__xludf.DUMMYFUNCTION("""COMPUTED_VALUE"""),"Can")</f>
        <v>Can</v>
      </c>
      <c r="H1854" s="6" t="str">
        <f>IFERROR(__xludf.DUMMYFUNCTION("""COMPUTED_VALUE"""),"IDR")</f>
        <v>IDR</v>
      </c>
      <c r="I1854" s="6">
        <f>IFERROR(__xludf.DUMMYFUNCTION("""COMPUTED_VALUE"""),76250.0)</f>
        <v>76250</v>
      </c>
      <c r="J1854" s="6">
        <f>IFERROR(__xludf.DUMMYFUNCTION("""COMPUTED_VALUE"""),305000.0)</f>
        <v>305000</v>
      </c>
      <c r="K1854" s="57">
        <f>IFERROR(__xludf.DUMMYFUNCTION("""COMPUTED_VALUE"""),44736.0)</f>
        <v>44736</v>
      </c>
      <c r="L1854" s="6" t="str">
        <f>IFERROR(__xludf.DUMMYFUNCTION("""COMPUTED_VALUE"""),"FIP General")</f>
        <v>FIP General</v>
      </c>
      <c r="M1854" s="6" t="str">
        <f>IFERROR(__xludf.DUMMYFUNCTION("""COMPUTED_VALUE"""),"Irwan Sopian")</f>
        <v>Irwan Sopian</v>
      </c>
      <c r="N1854" s="6" t="str">
        <f>IFERROR(__xludf.DUMMYFUNCTION("""COMPUTED_VALUE"""),"FIP Engineering")</f>
        <v>FIP Engineering</v>
      </c>
      <c r="O1854" s="6" t="str">
        <f>IFERROR(__xludf.DUMMYFUNCTION("""COMPUTED_VALUE"""),"FIP-DOM-000-11304-OS00010-INA-000000")</f>
        <v>FIP-DOM-000-11304-OS00010-INA-000000</v>
      </c>
      <c r="P1854" s="6" t="str">
        <f>IFERROR(__xludf.DUMMYFUNCTION("""COMPUTED_VALUE"""),"PO Closed")</f>
        <v>PO Closed</v>
      </c>
      <c r="Q1854" s="6" t="str">
        <f>IFERROR(__xludf.DUMMYFUNCTION("""COMPUTED_VALUE"""),"GL2206001")</f>
        <v>GL2206001</v>
      </c>
      <c r="R1854" s="57">
        <f>IFERROR(__xludf.DUMMYFUNCTION("""COMPUTED_VALUE"""),44705.0)</f>
        <v>44705</v>
      </c>
      <c r="S1854" s="6" t="str">
        <f>IFERROR(__xludf.DUMMYFUNCTION("""COMPUTED_VALUE"""),"-")</f>
        <v>-</v>
      </c>
      <c r="T1854" s="57">
        <f>IFERROR(__xludf.DUMMYFUNCTION("""COMPUTED_VALUE"""),44742.0)</f>
        <v>44742</v>
      </c>
    </row>
    <row r="1855">
      <c r="A1855" s="6" t="str">
        <f>IFERROR(__xludf.DUMMYFUNCTION("""COMPUTED_VALUE"""),"221750242-3")</f>
        <v>221750242-3</v>
      </c>
      <c r="B1855" s="6" t="str">
        <f>IFERROR(__xludf.DUMMYFUNCTION("""COMPUTED_VALUE"""),"221750242 - Approved")</f>
        <v>221750242 - Approved</v>
      </c>
      <c r="C1855" s="6">
        <f>IFERROR(__xludf.DUMMYFUNCTION("""COMPUTED_VALUE"""),3.0)</f>
        <v>3</v>
      </c>
      <c r="D1855" s="6" t="str">
        <f>IFERROR(__xludf.DUMMYFUNCTION("""COMPUTED_VALUE"""),"S-11446-00")</f>
        <v>S-11446-00</v>
      </c>
      <c r="E1855" s="6" t="str">
        <f>IFERROR(__xludf.DUMMYFUNCTION("""COMPUTED_VALUE"""),"Tangga Plastik / Alumunium pc")</f>
        <v>Tangga Plastik / Alumunium pc</v>
      </c>
      <c r="F1855" s="6">
        <f>IFERROR(__xludf.DUMMYFUNCTION("""COMPUTED_VALUE"""),1.0)</f>
        <v>1</v>
      </c>
      <c r="G1855" s="6" t="str">
        <f>IFERROR(__xludf.DUMMYFUNCTION("""COMPUTED_VALUE"""),"Pieces")</f>
        <v>Pieces</v>
      </c>
      <c r="H1855" s="6" t="str">
        <f>IFERROR(__xludf.DUMMYFUNCTION("""COMPUTED_VALUE"""),"IDR")</f>
        <v>IDR</v>
      </c>
      <c r="I1855" s="6">
        <f>IFERROR(__xludf.DUMMYFUNCTION("""COMPUTED_VALUE"""),1080000.0)</f>
        <v>1080000</v>
      </c>
      <c r="J1855" s="6">
        <f>IFERROR(__xludf.DUMMYFUNCTION("""COMPUTED_VALUE"""),1080000.0)</f>
        <v>1080000</v>
      </c>
      <c r="K1855" s="57">
        <f>IFERROR(__xludf.DUMMYFUNCTION("""COMPUTED_VALUE"""),44736.0)</f>
        <v>44736</v>
      </c>
      <c r="L1855" s="6" t="str">
        <f>IFERROR(__xludf.DUMMYFUNCTION("""COMPUTED_VALUE"""),"FIP General")</f>
        <v>FIP General</v>
      </c>
      <c r="M1855" s="6" t="str">
        <f>IFERROR(__xludf.DUMMYFUNCTION("""COMPUTED_VALUE"""),"Irwan Sopian")</f>
        <v>Irwan Sopian</v>
      </c>
      <c r="N1855" s="6" t="str">
        <f>IFERROR(__xludf.DUMMYFUNCTION("""COMPUTED_VALUE"""),"FIP Engineering")</f>
        <v>FIP Engineering</v>
      </c>
      <c r="O1855" s="6" t="str">
        <f>IFERROR(__xludf.DUMMYFUNCTION("""COMPUTED_VALUE"""),"FIP-DOM-ENG-51404-0000000-INA-000000")</f>
        <v>FIP-DOM-ENG-51404-0000000-INA-000000</v>
      </c>
      <c r="P1855" s="6" t="str">
        <f>IFERROR(__xludf.DUMMYFUNCTION("""COMPUTED_VALUE"""),"PO Closed")</f>
        <v>PO Closed</v>
      </c>
      <c r="Q1855" s="6" t="str">
        <f>IFERROR(__xludf.DUMMYFUNCTION("""COMPUTED_VALUE"""),"GL2207004")</f>
        <v>GL2207004</v>
      </c>
      <c r="R1855" s="57">
        <f>IFERROR(__xludf.DUMMYFUNCTION("""COMPUTED_VALUE"""),44705.0)</f>
        <v>44705</v>
      </c>
      <c r="S1855" s="6" t="str">
        <f>IFERROR(__xludf.DUMMYFUNCTION("""COMPUTED_VALUE"""),"-")</f>
        <v>-</v>
      </c>
      <c r="T1855" s="57">
        <f>IFERROR(__xludf.DUMMYFUNCTION("""COMPUTED_VALUE"""),44757.0)</f>
        <v>44757</v>
      </c>
    </row>
    <row r="1856">
      <c r="A1856" s="6" t="str">
        <f>IFERROR(__xludf.DUMMYFUNCTION("""COMPUTED_VALUE"""),"221750242-4")</f>
        <v>221750242-4</v>
      </c>
      <c r="B1856" s="6" t="str">
        <f>IFERROR(__xludf.DUMMYFUNCTION("""COMPUTED_VALUE"""),"221750242 - Approved")</f>
        <v>221750242 - Approved</v>
      </c>
      <c r="C1856" s="6">
        <f>IFERROR(__xludf.DUMMYFUNCTION("""COMPUTED_VALUE"""),4.0)</f>
        <v>4</v>
      </c>
      <c r="D1856" s="6" t="str">
        <f>IFERROR(__xludf.DUMMYFUNCTION("""COMPUTED_VALUE"""),"Q-60104-00")</f>
        <v>Q-60104-00</v>
      </c>
      <c r="E1856" s="6" t="str">
        <f>IFERROR(__xludf.DUMMYFUNCTION("""COMPUTED_VALUE"""),"Cat Hardtop XP PU Jotun")</f>
        <v>Cat Hardtop XP PU Jotun</v>
      </c>
      <c r="F1856" s="6">
        <f>IFERROR(__xludf.DUMMYFUNCTION("""COMPUTED_VALUE"""),1.0)</f>
        <v>1</v>
      </c>
      <c r="G1856" s="6" t="str">
        <f>IFERROR(__xludf.DUMMYFUNCTION("""COMPUTED_VALUE"""),"Can")</f>
        <v>Can</v>
      </c>
      <c r="H1856" s="6" t="str">
        <f>IFERROR(__xludf.DUMMYFUNCTION("""COMPUTED_VALUE"""),"IDR")</f>
        <v>IDR</v>
      </c>
      <c r="I1856" s="6">
        <f>IFERROR(__xludf.DUMMYFUNCTION("""COMPUTED_VALUE"""),2856000.0)</f>
        <v>2856000</v>
      </c>
      <c r="J1856" s="6">
        <f>IFERROR(__xludf.DUMMYFUNCTION("""COMPUTED_VALUE"""),2856000.0)</f>
        <v>2856000</v>
      </c>
      <c r="K1856" s="57">
        <f>IFERROR(__xludf.DUMMYFUNCTION("""COMPUTED_VALUE"""),44736.0)</f>
        <v>44736</v>
      </c>
      <c r="L1856" s="6" t="str">
        <f>IFERROR(__xludf.DUMMYFUNCTION("""COMPUTED_VALUE"""),"FIP Engineering")</f>
        <v>FIP Engineering</v>
      </c>
      <c r="M1856" s="6" t="str">
        <f>IFERROR(__xludf.DUMMYFUNCTION("""COMPUTED_VALUE"""),"Irwan Sopian")</f>
        <v>Irwan Sopian</v>
      </c>
      <c r="N1856" s="6" t="str">
        <f>IFERROR(__xludf.DUMMYFUNCTION("""COMPUTED_VALUE"""),"FIP Engineering")</f>
        <v>FIP Engineering</v>
      </c>
      <c r="O1856" s="6" t="str">
        <f>IFERROR(__xludf.DUMMYFUNCTION("""COMPUTED_VALUE"""),"FIP-DOM-000-11304-OS00001-INA-000000")</f>
        <v>FIP-DOM-000-11304-OS00001-INA-000000</v>
      </c>
      <c r="P1856" s="6" t="str">
        <f>IFERROR(__xludf.DUMMYFUNCTION("""COMPUTED_VALUE"""),"PO Closed")</f>
        <v>PO Closed</v>
      </c>
      <c r="Q1856" s="6" t="str">
        <f>IFERROR(__xludf.DUMMYFUNCTION("""COMPUTED_VALUE"""),"GL2206001")</f>
        <v>GL2206001</v>
      </c>
      <c r="R1856" s="57">
        <f>IFERROR(__xludf.DUMMYFUNCTION("""COMPUTED_VALUE"""),44705.0)</f>
        <v>44705</v>
      </c>
      <c r="S1856" s="6" t="str">
        <f>IFERROR(__xludf.DUMMYFUNCTION("""COMPUTED_VALUE"""),"-")</f>
        <v>-</v>
      </c>
      <c r="T1856" s="57">
        <f>IFERROR(__xludf.DUMMYFUNCTION("""COMPUTED_VALUE"""),44735.0)</f>
        <v>44735</v>
      </c>
    </row>
    <row r="1857">
      <c r="A1857" s="6" t="str">
        <f>IFERROR(__xludf.DUMMYFUNCTION("""COMPUTED_VALUE"""),"221750250-1")</f>
        <v>221750250-1</v>
      </c>
      <c r="B1857" s="6" t="str">
        <f>IFERROR(__xludf.DUMMYFUNCTION("""COMPUTED_VALUE"""),"221750250 - Approved")</f>
        <v>221750250 - Approved</v>
      </c>
      <c r="C1857" s="6">
        <f>IFERROR(__xludf.DUMMYFUNCTION("""COMPUTED_VALUE"""),1.0)</f>
        <v>1</v>
      </c>
      <c r="D1857" s="6" t="str">
        <f>IFERROR(__xludf.DUMMYFUNCTION("""COMPUTED_VALUE"""),"S-60002-00")</f>
        <v>S-60002-00</v>
      </c>
      <c r="E1857" s="6" t="str">
        <f>IFERROR(__xludf.DUMMYFUNCTION("""COMPUTED_VALUE"""),"SVIM Repair Modell 7/9 (X2/X2B)10031223 defect SVIM repaired and sent back")</f>
        <v>SVIM Repair Modell 7/9 (X2/X2B)10031223 defect SVIM repaired and sent back</v>
      </c>
      <c r="F1857" s="6">
        <f>IFERROR(__xludf.DUMMYFUNCTION("""COMPUTED_VALUE"""),1.0)</f>
        <v>1</v>
      </c>
      <c r="G1857" s="6" t="str">
        <f>IFERROR(__xludf.DUMMYFUNCTION("""COMPUTED_VALUE"""),"Lot")</f>
        <v>Lot</v>
      </c>
      <c r="H1857" s="6" t="str">
        <f>IFERROR(__xludf.DUMMYFUNCTION("""COMPUTED_VALUE"""),"EUR")</f>
        <v>EUR</v>
      </c>
      <c r="I1857" s="6">
        <f>IFERROR(__xludf.DUMMYFUNCTION("""COMPUTED_VALUE"""),2600.0)</f>
        <v>2600</v>
      </c>
      <c r="J1857" s="6">
        <f>IFERROR(__xludf.DUMMYFUNCTION("""COMPUTED_VALUE"""),2600.0)</f>
        <v>2600</v>
      </c>
      <c r="K1857" s="57">
        <f>IFERROR(__xludf.DUMMYFUNCTION("""COMPUTED_VALUE"""),44732.0)</f>
        <v>44732</v>
      </c>
      <c r="L1857" s="6" t="str">
        <f>IFERROR(__xludf.DUMMYFUNCTION("""COMPUTED_VALUE"""),"FIP General")</f>
        <v>FIP General</v>
      </c>
      <c r="M1857" s="6" t="str">
        <f>IFERROR(__xludf.DUMMYFUNCTION("""COMPUTED_VALUE"""),"Kristiawan Sakti Winarno")</f>
        <v>Kristiawan Sakti Winarno</v>
      </c>
      <c r="N1857" s="6" t="str">
        <f>IFERROR(__xludf.DUMMYFUNCTION("""COMPUTED_VALUE"""),"FIP Engineering")</f>
        <v>FIP Engineering</v>
      </c>
      <c r="O1857" s="6" t="str">
        <f>IFERROR(__xludf.DUMMYFUNCTION("""COMPUTED_VALUE"""),"FIP-DOM-ENG-51508-0000000-INA-000000")</f>
        <v>FIP-DOM-ENG-51508-0000000-INA-000000</v>
      </c>
      <c r="P1857" s="6" t="str">
        <f>IFERROR(__xludf.DUMMYFUNCTION("""COMPUTED_VALUE"""),"PO Closed")</f>
        <v>PO Closed</v>
      </c>
      <c r="Q1857" s="6" t="str">
        <f>IFERROR(__xludf.DUMMYFUNCTION("""COMPUTED_VALUE"""),"GL2206043")</f>
        <v>GL2206043</v>
      </c>
      <c r="R1857" s="57">
        <f>IFERROR(__xludf.DUMMYFUNCTION("""COMPUTED_VALUE"""),44714.0)</f>
        <v>44714</v>
      </c>
      <c r="S1857" s="6" t="str">
        <f>IFERROR(__xludf.DUMMYFUNCTION("""COMPUTED_VALUE"""),"-")</f>
        <v>-</v>
      </c>
      <c r="T1857" s="57">
        <f>IFERROR(__xludf.DUMMYFUNCTION("""COMPUTED_VALUE"""),44803.0)</f>
        <v>44803</v>
      </c>
    </row>
    <row r="1858">
      <c r="A1858" s="6" t="str">
        <f>IFERROR(__xludf.DUMMYFUNCTION("""COMPUTED_VALUE"""),"221750259-2")</f>
        <v>221750259-2</v>
      </c>
      <c r="B1858" s="6" t="str">
        <f>IFERROR(__xludf.DUMMYFUNCTION("""COMPUTED_VALUE"""),"221750259 - Approved")</f>
        <v>221750259 - Approved</v>
      </c>
      <c r="C1858" s="6">
        <f>IFERROR(__xludf.DUMMYFUNCTION("""COMPUTED_VALUE"""),2.0)</f>
        <v>2</v>
      </c>
      <c r="D1858" s="6" t="str">
        <f>IFERROR(__xludf.DUMMYFUNCTION("""COMPUTED_VALUE"""),"P-52380-00")</f>
        <v>P-52380-00</v>
      </c>
      <c r="E1858" s="6" t="str">
        <f>IFERROR(__xludf.DUMMYFUNCTION("""COMPUTED_VALUE"""),"Adaptor AC Universal Power Supply 12VDC s/d 24VDC")</f>
        <v>Adaptor AC Universal Power Supply 12VDC s/d 24VDC</v>
      </c>
      <c r="F1858" s="6">
        <f>IFERROR(__xludf.DUMMYFUNCTION("""COMPUTED_VALUE"""),2.0)</f>
        <v>2</v>
      </c>
      <c r="G1858" s="6" t="str">
        <f>IFERROR(__xludf.DUMMYFUNCTION("""COMPUTED_VALUE"""),"Pieces")</f>
        <v>Pieces</v>
      </c>
      <c r="H1858" s="6" t="str">
        <f>IFERROR(__xludf.DUMMYFUNCTION("""COMPUTED_VALUE"""),"IDR")</f>
        <v>IDR</v>
      </c>
      <c r="I1858" s="6">
        <f>IFERROR(__xludf.DUMMYFUNCTION("""COMPUTED_VALUE"""),130000.0)</f>
        <v>130000</v>
      </c>
      <c r="J1858" s="6">
        <f>IFERROR(__xludf.DUMMYFUNCTION("""COMPUTED_VALUE"""),260000.0)</f>
        <v>260000</v>
      </c>
      <c r="K1858" s="57">
        <f>IFERROR(__xludf.DUMMYFUNCTION("""COMPUTED_VALUE"""),44742.0)</f>
        <v>44742</v>
      </c>
      <c r="L1858" s="6" t="str">
        <f>IFERROR(__xludf.DUMMYFUNCTION("""COMPUTED_VALUE"""),"FIP General")</f>
        <v>FIP General</v>
      </c>
      <c r="M1858" s="6" t="str">
        <f>IFERROR(__xludf.DUMMYFUNCTION("""COMPUTED_VALUE"""),"Irwan Sopian")</f>
        <v>Irwan Sopian</v>
      </c>
      <c r="N1858" s="6" t="str">
        <f>IFERROR(__xludf.DUMMYFUNCTION("""COMPUTED_VALUE"""),"FIP Engineering")</f>
        <v>FIP Engineering</v>
      </c>
      <c r="O1858" s="6" t="str">
        <f>IFERROR(__xludf.DUMMYFUNCTION("""COMPUTED_VALUE"""),"FIP-DOM-ENG-51504-0000000-INA-000000")</f>
        <v>FIP-DOM-ENG-51504-0000000-INA-000000</v>
      </c>
      <c r="P1858" s="6" t="str">
        <f>IFERROR(__xludf.DUMMYFUNCTION("""COMPUTED_VALUE"""),"PO Closed")</f>
        <v>PO Closed</v>
      </c>
      <c r="Q1858" s="6" t="str">
        <f>IFERROR(__xludf.DUMMYFUNCTION("""COMPUTED_VALUE"""),"GL2206017")</f>
        <v>GL2206017</v>
      </c>
      <c r="R1858" s="57">
        <f>IFERROR(__xludf.DUMMYFUNCTION("""COMPUTED_VALUE"""),44715.0)</f>
        <v>44715</v>
      </c>
      <c r="S1858" s="6" t="str">
        <f>IFERROR(__xludf.DUMMYFUNCTION("""COMPUTED_VALUE"""),"-")</f>
        <v>-</v>
      </c>
      <c r="T1858" s="57">
        <f>IFERROR(__xludf.DUMMYFUNCTION("""COMPUTED_VALUE"""),44742.0)</f>
        <v>44742</v>
      </c>
    </row>
    <row r="1859">
      <c r="A1859" s="6" t="str">
        <f>IFERROR(__xludf.DUMMYFUNCTION("""COMPUTED_VALUE"""),"221750259-3")</f>
        <v>221750259-3</v>
      </c>
      <c r="B1859" s="6" t="str">
        <f>IFERROR(__xludf.DUMMYFUNCTION("""COMPUTED_VALUE"""),"221750259 - Approved")</f>
        <v>221750259 - Approved</v>
      </c>
      <c r="C1859" s="6">
        <f>IFERROR(__xludf.DUMMYFUNCTION("""COMPUTED_VALUE"""),3.0)</f>
        <v>3</v>
      </c>
      <c r="D1859" s="6" t="str">
        <f>IFERROR(__xludf.DUMMYFUNCTION("""COMPUTED_VALUE"""),"Q-10572-00")</f>
        <v>Q-10572-00</v>
      </c>
      <c r="E1859" s="6" t="str">
        <f>IFERROR(__xludf.DUMMYFUNCTION("""COMPUTED_VALUE"""),"PHILIPS - Lampu LED TL T8 120 Cm 16 Watt")</f>
        <v>PHILIPS - Lampu LED TL T8 120 Cm 16 Watt</v>
      </c>
      <c r="F1859" s="6">
        <f>IFERROR(__xludf.DUMMYFUNCTION("""COMPUTED_VALUE"""),12.0)</f>
        <v>12</v>
      </c>
      <c r="G1859" s="6" t="str">
        <f>IFERROR(__xludf.DUMMYFUNCTION("""COMPUTED_VALUE"""),"Pieces")</f>
        <v>Pieces</v>
      </c>
      <c r="H1859" s="6" t="str">
        <f>IFERROR(__xludf.DUMMYFUNCTION("""COMPUTED_VALUE"""),"IDR")</f>
        <v>IDR</v>
      </c>
      <c r="I1859" s="6">
        <f>IFERROR(__xludf.DUMMYFUNCTION("""COMPUTED_VALUE"""),90000.0)</f>
        <v>90000</v>
      </c>
      <c r="J1859" s="6">
        <f>IFERROR(__xludf.DUMMYFUNCTION("""COMPUTED_VALUE"""),1080000.0)</f>
        <v>1080000</v>
      </c>
      <c r="K1859" s="57">
        <f>IFERROR(__xludf.DUMMYFUNCTION("""COMPUTED_VALUE"""),44742.0)</f>
        <v>44742</v>
      </c>
      <c r="L1859" s="6" t="str">
        <f>IFERROR(__xludf.DUMMYFUNCTION("""COMPUTED_VALUE"""),"FIP Engineering")</f>
        <v>FIP Engineering</v>
      </c>
      <c r="M1859" s="6" t="str">
        <f>IFERROR(__xludf.DUMMYFUNCTION("""COMPUTED_VALUE"""),"Irwan Sopian")</f>
        <v>Irwan Sopian</v>
      </c>
      <c r="N1859" s="6" t="str">
        <f>IFERROR(__xludf.DUMMYFUNCTION("""COMPUTED_VALUE"""),"FIP Engineering")</f>
        <v>FIP Engineering</v>
      </c>
      <c r="O1859" s="6" t="str">
        <f>IFERROR(__xludf.DUMMYFUNCTION("""COMPUTED_VALUE"""),"FIP-DOM-000-11304-OS00001-INA-000000")</f>
        <v>FIP-DOM-000-11304-OS00001-INA-000000</v>
      </c>
      <c r="P1859" s="6" t="str">
        <f>IFERROR(__xludf.DUMMYFUNCTION("""COMPUTED_VALUE"""),"PO Closed")</f>
        <v>PO Closed</v>
      </c>
      <c r="Q1859" s="6" t="str">
        <f>IFERROR(__xludf.DUMMYFUNCTION("""COMPUTED_VALUE"""),"GL2206001")</f>
        <v>GL2206001</v>
      </c>
      <c r="R1859" s="57">
        <f>IFERROR(__xludf.DUMMYFUNCTION("""COMPUTED_VALUE"""),44715.0)</f>
        <v>44715</v>
      </c>
      <c r="S1859" s="6" t="str">
        <f>IFERROR(__xludf.DUMMYFUNCTION("""COMPUTED_VALUE"""),"-")</f>
        <v>-</v>
      </c>
      <c r="T1859" s="57">
        <f>IFERROR(__xludf.DUMMYFUNCTION("""COMPUTED_VALUE"""),44735.0)</f>
        <v>44735</v>
      </c>
    </row>
    <row r="1860">
      <c r="A1860" s="6" t="str">
        <f>IFERROR(__xludf.DUMMYFUNCTION("""COMPUTED_VALUE"""),"221750258-1")</f>
        <v>221750258-1</v>
      </c>
      <c r="B1860" s="6" t="str">
        <f>IFERROR(__xludf.DUMMYFUNCTION("""COMPUTED_VALUE"""),"221750258 - Approved")</f>
        <v>221750258 - Approved</v>
      </c>
      <c r="C1860" s="6">
        <f>IFERROR(__xludf.DUMMYFUNCTION("""COMPUTED_VALUE"""),1.0)</f>
        <v>1</v>
      </c>
      <c r="D1860" s="6" t="str">
        <f>IFERROR(__xludf.DUMMYFUNCTION("""COMPUTED_VALUE"""),"S-60002-00")</f>
        <v>S-60002-00</v>
      </c>
      <c r="E1860" s="6" t="str">
        <f>IFERROR(__xludf.DUMMYFUNCTION("""COMPUTED_VALUE"""),"Perbaikan Pipa Cooling Water bocor")</f>
        <v>Perbaikan Pipa Cooling Water bocor</v>
      </c>
      <c r="F1860" s="6">
        <f>IFERROR(__xludf.DUMMYFUNCTION("""COMPUTED_VALUE"""),1.0)</f>
        <v>1</v>
      </c>
      <c r="G1860" s="6" t="str">
        <f>IFERROR(__xludf.DUMMYFUNCTION("""COMPUTED_VALUE"""),"Lot")</f>
        <v>Lot</v>
      </c>
      <c r="H1860" s="6" t="str">
        <f>IFERROR(__xludf.DUMMYFUNCTION("""COMPUTED_VALUE"""),"IDR")</f>
        <v>IDR</v>
      </c>
      <c r="I1860" s="6">
        <f>IFERROR(__xludf.DUMMYFUNCTION("""COMPUTED_VALUE"""),9600000.0)</f>
        <v>9600000</v>
      </c>
      <c r="J1860" s="6">
        <f>IFERROR(__xludf.DUMMYFUNCTION("""COMPUTED_VALUE"""),9600000.0)</f>
        <v>9600000</v>
      </c>
      <c r="K1860" s="57">
        <f>IFERROR(__xludf.DUMMYFUNCTION("""COMPUTED_VALUE"""),44742.0)</f>
        <v>44742</v>
      </c>
      <c r="L1860" s="6" t="str">
        <f>IFERROR(__xludf.DUMMYFUNCTION("""COMPUTED_VALUE"""),"FIP General")</f>
        <v>FIP General</v>
      </c>
      <c r="M1860" s="6" t="str">
        <f>IFERROR(__xludf.DUMMYFUNCTION("""COMPUTED_VALUE"""),"Irwan Sopian")</f>
        <v>Irwan Sopian</v>
      </c>
      <c r="N1860" s="6" t="str">
        <f>IFERROR(__xludf.DUMMYFUNCTION("""COMPUTED_VALUE"""),"FIP Engineering")</f>
        <v>FIP Engineering</v>
      </c>
      <c r="O1860" s="6" t="str">
        <f>IFERROR(__xludf.DUMMYFUNCTION("""COMPUTED_VALUE"""),"FIP-DOM-ENG-51508-0000000-INA-000000")</f>
        <v>FIP-DOM-ENG-51508-0000000-INA-000000</v>
      </c>
      <c r="P1860" s="6" t="str">
        <f>IFERROR(__xludf.DUMMYFUNCTION("""COMPUTED_VALUE"""),"PO Closed")</f>
        <v>PO Closed</v>
      </c>
      <c r="Q1860" s="6" t="str">
        <f>IFERROR(__xludf.DUMMYFUNCTION("""COMPUTED_VALUE"""),"GL2206040")</f>
        <v>GL2206040</v>
      </c>
      <c r="R1860" s="57">
        <f>IFERROR(__xludf.DUMMYFUNCTION("""COMPUTED_VALUE"""),44715.0)</f>
        <v>44715</v>
      </c>
      <c r="S1860" s="6" t="str">
        <f>IFERROR(__xludf.DUMMYFUNCTION("""COMPUTED_VALUE"""),"-")</f>
        <v>-</v>
      </c>
      <c r="T1860" s="57">
        <f>IFERROR(__xludf.DUMMYFUNCTION("""COMPUTED_VALUE"""),44745.0)</f>
        <v>44745</v>
      </c>
    </row>
    <row r="1861">
      <c r="A1861" s="6" t="str">
        <f>IFERROR(__xludf.DUMMYFUNCTION("""COMPUTED_VALUE"""),"221750264-1")</f>
        <v>221750264-1</v>
      </c>
      <c r="B1861" s="6" t="str">
        <f>IFERROR(__xludf.DUMMYFUNCTION("""COMPUTED_VALUE"""),"221750264 - Approved")</f>
        <v>221750264 - Approved</v>
      </c>
      <c r="C1861" s="6">
        <f>IFERROR(__xludf.DUMMYFUNCTION("""COMPUTED_VALUE"""),1.0)</f>
        <v>1</v>
      </c>
      <c r="D1861" s="6" t="str">
        <f>IFERROR(__xludf.DUMMYFUNCTION("""COMPUTED_VALUE"""),"O-52621-00")</f>
        <v>O-52621-00</v>
      </c>
      <c r="E1861" s="6" t="str">
        <f>IFERROR(__xludf.DUMMYFUNCTION("""COMPUTED_VALUE"""),"Printing Mechanism MT2460 CUT+HORIS SUPP p/n : 917EF051700000 CUSTOM")</f>
        <v>Printing Mechanism MT2460 CUT+HORIS SUPP p/n : 917EF051700000 CUSTOM</v>
      </c>
      <c r="F1861" s="6">
        <f>IFERROR(__xludf.DUMMYFUNCTION("""COMPUTED_VALUE"""),1.0)</f>
        <v>1</v>
      </c>
      <c r="G1861" s="6" t="str">
        <f>IFERROR(__xludf.DUMMYFUNCTION("""COMPUTED_VALUE"""),"Unit")</f>
        <v>Unit</v>
      </c>
      <c r="H1861" s="6" t="str">
        <f>IFERROR(__xludf.DUMMYFUNCTION("""COMPUTED_VALUE"""),"IDR")</f>
        <v>IDR</v>
      </c>
      <c r="I1861" s="6">
        <f>IFERROR(__xludf.DUMMYFUNCTION("""COMPUTED_VALUE"""),3850000.0)</f>
        <v>3850000</v>
      </c>
      <c r="J1861" s="6">
        <f>IFERROR(__xludf.DUMMYFUNCTION("""COMPUTED_VALUE"""),3850000.0)</f>
        <v>3850000</v>
      </c>
      <c r="K1861" s="57">
        <f>IFERROR(__xludf.DUMMYFUNCTION("""COMPUTED_VALUE"""),44750.0)</f>
        <v>44750</v>
      </c>
      <c r="L1861" s="6" t="str">
        <f>IFERROR(__xludf.DUMMYFUNCTION("""COMPUTED_VALUE"""),"FIP General")</f>
        <v>FIP General</v>
      </c>
      <c r="M1861" s="6" t="str">
        <f>IFERROR(__xludf.DUMMYFUNCTION("""COMPUTED_VALUE"""),"Irwan Sopian")</f>
        <v>Irwan Sopian</v>
      </c>
      <c r="N1861" s="6" t="str">
        <f>IFERROR(__xludf.DUMMYFUNCTION("""COMPUTED_VALUE"""),"FIP Engineering")</f>
        <v>FIP Engineering</v>
      </c>
      <c r="O1861" s="6" t="str">
        <f>IFERROR(__xludf.DUMMYFUNCTION("""COMPUTED_VALUE"""),"FIP-DOM-000-11304-OS00001-INA-000000")</f>
        <v>FIP-DOM-000-11304-OS00001-INA-000000</v>
      </c>
      <c r="P1861" s="6" t="str">
        <f>IFERROR(__xludf.DUMMYFUNCTION("""COMPUTED_VALUE"""),"PO Closed")</f>
        <v>PO Closed</v>
      </c>
      <c r="Q1861" s="6" t="str">
        <f>IFERROR(__xludf.DUMMYFUNCTION("""COMPUTED_VALUE"""),"GL2207010")</f>
        <v>GL2207010</v>
      </c>
      <c r="R1861" s="57">
        <f>IFERROR(__xludf.DUMMYFUNCTION("""COMPUTED_VALUE"""),44719.0)</f>
        <v>44719</v>
      </c>
      <c r="S1861" s="6" t="str">
        <f>IFERROR(__xludf.DUMMYFUNCTION("""COMPUTED_VALUE"""),"-")</f>
        <v>-</v>
      </c>
      <c r="T1861" s="57">
        <f>IFERROR(__xludf.DUMMYFUNCTION("""COMPUTED_VALUE"""),44783.0)</f>
        <v>44783</v>
      </c>
    </row>
    <row r="1862">
      <c r="A1862" s="6" t="str">
        <f>IFERROR(__xludf.DUMMYFUNCTION("""COMPUTED_VALUE"""),"221750263-1")</f>
        <v>221750263-1</v>
      </c>
      <c r="B1862" s="6" t="str">
        <f>IFERROR(__xludf.DUMMYFUNCTION("""COMPUTED_VALUE"""),"221750263 - Approved")</f>
        <v>221750263 - Approved</v>
      </c>
      <c r="C1862" s="6">
        <f>IFERROR(__xludf.DUMMYFUNCTION("""COMPUTED_VALUE"""),1.0)</f>
        <v>1</v>
      </c>
      <c r="D1862" s="6" t="str">
        <f>IFERROR(__xludf.DUMMYFUNCTION("""COMPUTED_VALUE"""),"P-52420-00")</f>
        <v>P-52420-00</v>
      </c>
      <c r="E1862" s="6" t="str">
        <f>IFERROR(__xludf.DUMMYFUNCTION("""COMPUTED_VALUE"""),"Ceiling Exhaust Fan FV-25TGU5 KDK")</f>
        <v>Ceiling Exhaust Fan FV-25TGU5 KDK</v>
      </c>
      <c r="F1862" s="6">
        <f>IFERROR(__xludf.DUMMYFUNCTION("""COMPUTED_VALUE"""),4.0)</f>
        <v>4</v>
      </c>
      <c r="G1862" s="6" t="str">
        <f>IFERROR(__xludf.DUMMYFUNCTION("""COMPUTED_VALUE"""),"Unit")</f>
        <v>Unit</v>
      </c>
      <c r="H1862" s="6" t="str">
        <f>IFERROR(__xludf.DUMMYFUNCTION("""COMPUTED_VALUE"""),"IDR")</f>
        <v>IDR</v>
      </c>
      <c r="I1862" s="6">
        <f>IFERROR(__xludf.DUMMYFUNCTION("""COMPUTED_VALUE"""),510000.0)</f>
        <v>510000</v>
      </c>
      <c r="J1862" s="6">
        <f>IFERROR(__xludf.DUMMYFUNCTION("""COMPUTED_VALUE"""),2040000.0)</f>
        <v>2040000</v>
      </c>
      <c r="K1862" s="57">
        <f>IFERROR(__xludf.DUMMYFUNCTION("""COMPUTED_VALUE"""),44750.0)</f>
        <v>44750</v>
      </c>
      <c r="L1862" s="6" t="str">
        <f>IFERROR(__xludf.DUMMYFUNCTION("""COMPUTED_VALUE"""),"FIP Engineering")</f>
        <v>FIP Engineering</v>
      </c>
      <c r="M1862" s="6" t="str">
        <f>IFERROR(__xludf.DUMMYFUNCTION("""COMPUTED_VALUE"""),"Irwan Sopian")</f>
        <v>Irwan Sopian</v>
      </c>
      <c r="N1862" s="6" t="str">
        <f>IFERROR(__xludf.DUMMYFUNCTION("""COMPUTED_VALUE"""),"FIP Engineering")</f>
        <v>FIP Engineering</v>
      </c>
      <c r="O1862" s="6" t="str">
        <f>IFERROR(__xludf.DUMMYFUNCTION("""COMPUTED_VALUE"""),"FIP-DOM-000-11304-OS00001-INA-000000")</f>
        <v>FIP-DOM-000-11304-OS00001-INA-000000</v>
      </c>
      <c r="P1862" s="6" t="str">
        <f>IFERROR(__xludf.DUMMYFUNCTION("""COMPUTED_VALUE"""),"PO Closed")</f>
        <v>PO Closed</v>
      </c>
      <c r="Q1862" s="6" t="str">
        <f>IFERROR(__xludf.DUMMYFUNCTION("""COMPUTED_VALUE"""),"GL2206018")</f>
        <v>GL2206018</v>
      </c>
      <c r="R1862" s="57">
        <f>IFERROR(__xludf.DUMMYFUNCTION("""COMPUTED_VALUE"""),44719.0)</f>
        <v>44719</v>
      </c>
      <c r="S1862" s="6" t="str">
        <f>IFERROR(__xludf.DUMMYFUNCTION("""COMPUTED_VALUE"""),"-")</f>
        <v>-</v>
      </c>
      <c r="T1862" s="57">
        <f>IFERROR(__xludf.DUMMYFUNCTION("""COMPUTED_VALUE"""),44750.0)</f>
        <v>44750</v>
      </c>
    </row>
    <row r="1863">
      <c r="A1863" s="6" t="str">
        <f>IFERROR(__xludf.DUMMYFUNCTION("""COMPUTED_VALUE"""),"221750268-1")</f>
        <v>221750268-1</v>
      </c>
      <c r="B1863" s="6" t="str">
        <f>IFERROR(__xludf.DUMMYFUNCTION("""COMPUTED_VALUE"""),"221750268 - Approved")</f>
        <v>221750268 - Approved</v>
      </c>
      <c r="C1863" s="6">
        <f>IFERROR(__xludf.DUMMYFUNCTION("""COMPUTED_VALUE"""),1.0)</f>
        <v>1</v>
      </c>
      <c r="D1863" s="6" t="str">
        <f>IFERROR(__xludf.DUMMYFUNCTION("""COMPUTED_VALUE"""),"Q-10410-00")</f>
        <v>Q-10410-00</v>
      </c>
      <c r="E1863" s="6" t="str">
        <f>IFERROR(__xludf.DUMMYFUNCTION("""COMPUTED_VALUE"""),"Roll Epoxy dia. 9")</f>
        <v>Roll Epoxy dia. 9</v>
      </c>
      <c r="F1863" s="6">
        <f>IFERROR(__xludf.DUMMYFUNCTION("""COMPUTED_VALUE"""),3.0)</f>
        <v>3</v>
      </c>
      <c r="G1863" s="6" t="str">
        <f>IFERROR(__xludf.DUMMYFUNCTION("""COMPUTED_VALUE"""),"Pieces")</f>
        <v>Pieces</v>
      </c>
      <c r="H1863" s="6" t="str">
        <f>IFERROR(__xludf.DUMMYFUNCTION("""COMPUTED_VALUE"""),"IDR")</f>
        <v>IDR</v>
      </c>
      <c r="I1863" s="6">
        <f>IFERROR(__xludf.DUMMYFUNCTION("""COMPUTED_VALUE"""),36000.0)</f>
        <v>36000</v>
      </c>
      <c r="J1863" s="6">
        <f>IFERROR(__xludf.DUMMYFUNCTION("""COMPUTED_VALUE"""),108000.0)</f>
        <v>108000</v>
      </c>
      <c r="K1863" s="57">
        <f>IFERROR(__xludf.DUMMYFUNCTION("""COMPUTED_VALUE"""),44750.0)</f>
        <v>44750</v>
      </c>
      <c r="L1863" s="6" t="str">
        <f>IFERROR(__xludf.DUMMYFUNCTION("""COMPUTED_VALUE"""),"FIP General")</f>
        <v>FIP General</v>
      </c>
      <c r="M1863" s="6" t="str">
        <f>IFERROR(__xludf.DUMMYFUNCTION("""COMPUTED_VALUE"""),"Joko Nugroho")</f>
        <v>Joko Nugroho</v>
      </c>
      <c r="N1863" s="6" t="str">
        <f>IFERROR(__xludf.DUMMYFUNCTION("""COMPUTED_VALUE"""),"FIP Engineering")</f>
        <v>FIP Engineering</v>
      </c>
      <c r="O1863" s="6" t="str">
        <f>IFERROR(__xludf.DUMMYFUNCTION("""COMPUTED_VALUE"""),"FIP-DOM-ENG-51502-0000000-INA-000000")</f>
        <v>FIP-DOM-ENG-51502-0000000-INA-000000</v>
      </c>
      <c r="P1863" s="6" t="str">
        <f>IFERROR(__xludf.DUMMYFUNCTION("""COMPUTED_VALUE"""),"PO Closed")</f>
        <v>PO Closed</v>
      </c>
      <c r="Q1863" s="6" t="str">
        <f>IFERROR(__xludf.DUMMYFUNCTION("""COMPUTED_VALUE"""),"GL2206026")</f>
        <v>GL2206026</v>
      </c>
      <c r="R1863" s="57">
        <f>IFERROR(__xludf.DUMMYFUNCTION("""COMPUTED_VALUE"""),44720.0)</f>
        <v>44720</v>
      </c>
      <c r="S1863" s="6" t="str">
        <f>IFERROR(__xludf.DUMMYFUNCTION("""COMPUTED_VALUE"""),"-")</f>
        <v>-</v>
      </c>
      <c r="T1863" s="57">
        <f>IFERROR(__xludf.DUMMYFUNCTION("""COMPUTED_VALUE"""),44739.0)</f>
        <v>44739</v>
      </c>
    </row>
    <row r="1864">
      <c r="A1864" s="6" t="str">
        <f>IFERROR(__xludf.DUMMYFUNCTION("""COMPUTED_VALUE"""),"221750268-2")</f>
        <v>221750268-2</v>
      </c>
      <c r="B1864" s="6" t="str">
        <f>IFERROR(__xludf.DUMMYFUNCTION("""COMPUTED_VALUE"""),"221750268 - Approved")</f>
        <v>221750268 - Approved</v>
      </c>
      <c r="C1864" s="6">
        <f>IFERROR(__xludf.DUMMYFUNCTION("""COMPUTED_VALUE"""),2.0)</f>
        <v>2</v>
      </c>
      <c r="D1864" s="6" t="str">
        <f>IFERROR(__xludf.DUMMYFUNCTION("""COMPUTED_VALUE"""),"Q-60026-00")</f>
        <v>Q-60026-00</v>
      </c>
      <c r="E1864" s="6" t="str">
        <f>IFERROR(__xludf.DUMMYFUNCTION("""COMPUTED_VALUE"""),"Kuas Eterna 2""")</f>
        <v>Kuas Eterna 2"</v>
      </c>
      <c r="F1864" s="6">
        <f>IFERROR(__xludf.DUMMYFUNCTION("""COMPUTED_VALUE"""),1.0)</f>
        <v>1</v>
      </c>
      <c r="G1864" s="6" t="str">
        <f>IFERROR(__xludf.DUMMYFUNCTION("""COMPUTED_VALUE"""),"Pieces")</f>
        <v>Pieces</v>
      </c>
      <c r="H1864" s="6" t="str">
        <f>IFERROR(__xludf.DUMMYFUNCTION("""COMPUTED_VALUE"""),"IDR")</f>
        <v>IDR</v>
      </c>
      <c r="I1864" s="6">
        <f>IFERROR(__xludf.DUMMYFUNCTION("""COMPUTED_VALUE"""),6000.0)</f>
        <v>6000</v>
      </c>
      <c r="J1864" s="6">
        <f>IFERROR(__xludf.DUMMYFUNCTION("""COMPUTED_VALUE"""),6000.0)</f>
        <v>6000</v>
      </c>
      <c r="K1864" s="57">
        <f>IFERROR(__xludf.DUMMYFUNCTION("""COMPUTED_VALUE"""),44750.0)</f>
        <v>44750</v>
      </c>
      <c r="L1864" s="6" t="str">
        <f>IFERROR(__xludf.DUMMYFUNCTION("""COMPUTED_VALUE"""),"FIP General")</f>
        <v>FIP General</v>
      </c>
      <c r="M1864" s="6" t="str">
        <f>IFERROR(__xludf.DUMMYFUNCTION("""COMPUTED_VALUE"""),"Joko Nugroho")</f>
        <v>Joko Nugroho</v>
      </c>
      <c r="N1864" s="6" t="str">
        <f>IFERROR(__xludf.DUMMYFUNCTION("""COMPUTED_VALUE"""),"FIP Engineering")</f>
        <v>FIP Engineering</v>
      </c>
      <c r="O1864" s="6" t="str">
        <f>IFERROR(__xludf.DUMMYFUNCTION("""COMPUTED_VALUE"""),"FIP-DOM-ENG-51404-0000000-INA-000000")</f>
        <v>FIP-DOM-ENG-51404-0000000-INA-000000</v>
      </c>
      <c r="P1864" s="6" t="str">
        <f>IFERROR(__xludf.DUMMYFUNCTION("""COMPUTED_VALUE"""),"PO Closed")</f>
        <v>PO Closed</v>
      </c>
      <c r="Q1864" s="6" t="str">
        <f>IFERROR(__xludf.DUMMYFUNCTION("""COMPUTED_VALUE"""),"GL2206026")</f>
        <v>GL2206026</v>
      </c>
      <c r="R1864" s="57">
        <f>IFERROR(__xludf.DUMMYFUNCTION("""COMPUTED_VALUE"""),44721.0)</f>
        <v>44721</v>
      </c>
      <c r="S1864" s="6" t="str">
        <f>IFERROR(__xludf.DUMMYFUNCTION("""COMPUTED_VALUE"""),"-")</f>
        <v>-</v>
      </c>
      <c r="T1864" s="57">
        <f>IFERROR(__xludf.DUMMYFUNCTION("""COMPUTED_VALUE"""),44739.0)</f>
        <v>44739</v>
      </c>
    </row>
    <row r="1865">
      <c r="A1865" s="6" t="str">
        <f>IFERROR(__xludf.DUMMYFUNCTION("""COMPUTED_VALUE"""),"221750268-3")</f>
        <v>221750268-3</v>
      </c>
      <c r="B1865" s="6" t="str">
        <f>IFERROR(__xludf.DUMMYFUNCTION("""COMPUTED_VALUE"""),"221750268 - Approved")</f>
        <v>221750268 - Approved</v>
      </c>
      <c r="C1865" s="6">
        <f>IFERROR(__xludf.DUMMYFUNCTION("""COMPUTED_VALUE"""),3.0)</f>
        <v>3</v>
      </c>
      <c r="D1865" s="6" t="str">
        <f>IFERROR(__xludf.DUMMYFUNCTION("""COMPUTED_VALUE"""),"Q-10271-00")</f>
        <v>Q-10271-00</v>
      </c>
      <c r="E1865" s="6" t="str">
        <f>IFERROR(__xludf.DUMMYFUNCTION("""COMPUTED_VALUE"""),"Kuas 3 inch")</f>
        <v>Kuas 3 inch</v>
      </c>
      <c r="F1865" s="6">
        <f>IFERROR(__xludf.DUMMYFUNCTION("""COMPUTED_VALUE"""),1.0)</f>
        <v>1</v>
      </c>
      <c r="G1865" s="6" t="str">
        <f>IFERROR(__xludf.DUMMYFUNCTION("""COMPUTED_VALUE"""),"Pieces")</f>
        <v>Pieces</v>
      </c>
      <c r="H1865" s="6" t="str">
        <f>IFERROR(__xludf.DUMMYFUNCTION("""COMPUTED_VALUE"""),"IDR")</f>
        <v>IDR</v>
      </c>
      <c r="I1865" s="6">
        <f>IFERROR(__xludf.DUMMYFUNCTION("""COMPUTED_VALUE"""),8000.0)</f>
        <v>8000</v>
      </c>
      <c r="J1865" s="6">
        <f>IFERROR(__xludf.DUMMYFUNCTION("""COMPUTED_VALUE"""),8000.0)</f>
        <v>8000</v>
      </c>
      <c r="K1865" s="57">
        <f>IFERROR(__xludf.DUMMYFUNCTION("""COMPUTED_VALUE"""),44750.0)</f>
        <v>44750</v>
      </c>
      <c r="L1865" s="6" t="str">
        <f>IFERROR(__xludf.DUMMYFUNCTION("""COMPUTED_VALUE"""),"FIP General")</f>
        <v>FIP General</v>
      </c>
      <c r="M1865" s="6" t="str">
        <f>IFERROR(__xludf.DUMMYFUNCTION("""COMPUTED_VALUE"""),"Joko Nugroho")</f>
        <v>Joko Nugroho</v>
      </c>
      <c r="N1865" s="6" t="str">
        <f>IFERROR(__xludf.DUMMYFUNCTION("""COMPUTED_VALUE"""),"FIP Engineering")</f>
        <v>FIP Engineering</v>
      </c>
      <c r="O1865" s="6" t="str">
        <f>IFERROR(__xludf.DUMMYFUNCTION("""COMPUTED_VALUE"""),"FIP-DOM-ENG-51502-0000000-INA-000000")</f>
        <v>FIP-DOM-ENG-51502-0000000-INA-000000</v>
      </c>
      <c r="P1865" s="6" t="str">
        <f>IFERROR(__xludf.DUMMYFUNCTION("""COMPUTED_VALUE"""),"PO Closed")</f>
        <v>PO Closed</v>
      </c>
      <c r="Q1865" s="6" t="str">
        <f>IFERROR(__xludf.DUMMYFUNCTION("""COMPUTED_VALUE"""),"GL2206026")</f>
        <v>GL2206026</v>
      </c>
      <c r="R1865" s="57">
        <f>IFERROR(__xludf.DUMMYFUNCTION("""COMPUTED_VALUE"""),44721.0)</f>
        <v>44721</v>
      </c>
      <c r="S1865" s="6" t="str">
        <f>IFERROR(__xludf.DUMMYFUNCTION("""COMPUTED_VALUE"""),"-")</f>
        <v>-</v>
      </c>
      <c r="T1865" s="57">
        <f>IFERROR(__xludf.DUMMYFUNCTION("""COMPUTED_VALUE"""),44739.0)</f>
        <v>44739</v>
      </c>
    </row>
    <row r="1866">
      <c r="A1866" s="6" t="str">
        <f>IFERROR(__xludf.DUMMYFUNCTION("""COMPUTED_VALUE"""),"221750268-4")</f>
        <v>221750268-4</v>
      </c>
      <c r="B1866" s="6" t="str">
        <f>IFERROR(__xludf.DUMMYFUNCTION("""COMPUTED_VALUE"""),"221750268 - Approved")</f>
        <v>221750268 - Approved</v>
      </c>
      <c r="C1866" s="6">
        <f>IFERROR(__xludf.DUMMYFUNCTION("""COMPUTED_VALUE"""),4.0)</f>
        <v>4</v>
      </c>
      <c r="D1866" s="6" t="str">
        <f>IFERROR(__xludf.DUMMYFUNCTION("""COMPUTED_VALUE"""),"Q-10154-00")</f>
        <v>Q-10154-00</v>
      </c>
      <c r="E1866" s="6" t="str">
        <f>IFERROR(__xludf.DUMMYFUNCTION("""COMPUTED_VALUE"""),"Roller cat 230mm")</f>
        <v>Roller cat 230mm</v>
      </c>
      <c r="F1866" s="6">
        <f>IFERROR(__xludf.DUMMYFUNCTION("""COMPUTED_VALUE"""),5.0)</f>
        <v>5</v>
      </c>
      <c r="G1866" s="6" t="str">
        <f>IFERROR(__xludf.DUMMYFUNCTION("""COMPUTED_VALUE"""),"Pieces")</f>
        <v>Pieces</v>
      </c>
      <c r="H1866" s="6" t="str">
        <f>IFERROR(__xludf.DUMMYFUNCTION("""COMPUTED_VALUE"""),"IDR")</f>
        <v>IDR</v>
      </c>
      <c r="I1866" s="6">
        <f>IFERROR(__xludf.DUMMYFUNCTION("""COMPUTED_VALUE"""),12000.0)</f>
        <v>12000</v>
      </c>
      <c r="J1866" s="6">
        <f>IFERROR(__xludf.DUMMYFUNCTION("""COMPUTED_VALUE"""),60000.0)</f>
        <v>60000</v>
      </c>
      <c r="K1866" s="57">
        <f>IFERROR(__xludf.DUMMYFUNCTION("""COMPUTED_VALUE"""),44750.0)</f>
        <v>44750</v>
      </c>
      <c r="L1866" s="6" t="str">
        <f>IFERROR(__xludf.DUMMYFUNCTION("""COMPUTED_VALUE"""),"FIP Engineering")</f>
        <v>FIP Engineering</v>
      </c>
      <c r="M1866" s="6" t="str">
        <f>IFERROR(__xludf.DUMMYFUNCTION("""COMPUTED_VALUE"""),"Joko Nugroho")</f>
        <v>Joko Nugroho</v>
      </c>
      <c r="N1866" s="6" t="str">
        <f>IFERROR(__xludf.DUMMYFUNCTION("""COMPUTED_VALUE"""),"FIP Engineering")</f>
        <v>FIP Engineering</v>
      </c>
      <c r="O1866" s="6" t="str">
        <f>IFERROR(__xludf.DUMMYFUNCTION("""COMPUTED_VALUE"""),"FIP-DOM-000-11304-OS00001-INA-000000")</f>
        <v>FIP-DOM-000-11304-OS00001-INA-000000</v>
      </c>
      <c r="P1866" s="6" t="str">
        <f>IFERROR(__xludf.DUMMYFUNCTION("""COMPUTED_VALUE"""),"PO Closed")</f>
        <v>PO Closed</v>
      </c>
      <c r="Q1866" s="6" t="str">
        <f>IFERROR(__xludf.DUMMYFUNCTION("""COMPUTED_VALUE"""),"GL2206026")</f>
        <v>GL2206026</v>
      </c>
      <c r="R1866" s="57">
        <f>IFERROR(__xludf.DUMMYFUNCTION("""COMPUTED_VALUE"""),44721.0)</f>
        <v>44721</v>
      </c>
      <c r="S1866" s="6" t="str">
        <f>IFERROR(__xludf.DUMMYFUNCTION("""COMPUTED_VALUE"""),"-")</f>
        <v>-</v>
      </c>
      <c r="T1866" s="57">
        <f>IFERROR(__xludf.DUMMYFUNCTION("""COMPUTED_VALUE"""),44750.0)</f>
        <v>44750</v>
      </c>
    </row>
    <row r="1867">
      <c r="A1867" s="6" t="str">
        <f>IFERROR(__xludf.DUMMYFUNCTION("""COMPUTED_VALUE"""),"221750275-1")</f>
        <v>221750275-1</v>
      </c>
      <c r="B1867" s="6" t="str">
        <f>IFERROR(__xludf.DUMMYFUNCTION("""COMPUTED_VALUE"""),"221750275 - Approved")</f>
        <v>221750275 - Approved</v>
      </c>
      <c r="C1867" s="6">
        <f>IFERROR(__xludf.DUMMYFUNCTION("""COMPUTED_VALUE"""),1.0)</f>
        <v>1</v>
      </c>
      <c r="D1867" s="6" t="str">
        <f>IFERROR(__xludf.DUMMYFUNCTION("""COMPUTED_VALUE"""),"P-14877-00")</f>
        <v>P-14877-00</v>
      </c>
      <c r="E1867" s="6" t="str">
        <f>IFERROR(__xludf.DUMMYFUNCTION("""COMPUTED_VALUE"""),"Kabel NYYHY 3x2,5mm; ; ;")</f>
        <v>Kabel NYYHY 3x2,5mm; ; ;</v>
      </c>
      <c r="F1867" s="6">
        <f>IFERROR(__xludf.DUMMYFUNCTION("""COMPUTED_VALUE"""),50.0)</f>
        <v>50</v>
      </c>
      <c r="G1867" s="6" t="str">
        <f>IFERROR(__xludf.DUMMYFUNCTION("""COMPUTED_VALUE"""),"Meter")</f>
        <v>Meter</v>
      </c>
      <c r="H1867" s="6" t="str">
        <f>IFERROR(__xludf.DUMMYFUNCTION("""COMPUTED_VALUE"""),"IDR")</f>
        <v>IDR</v>
      </c>
      <c r="I1867" s="6">
        <f>IFERROR(__xludf.DUMMYFUNCTION("""COMPUTED_VALUE"""),23500.0)</f>
        <v>23500</v>
      </c>
      <c r="J1867" s="6">
        <f>IFERROR(__xludf.DUMMYFUNCTION("""COMPUTED_VALUE"""),1175000.0)</f>
        <v>1175000</v>
      </c>
      <c r="K1867" s="57">
        <f>IFERROR(__xludf.DUMMYFUNCTION("""COMPUTED_VALUE"""),44757.0)</f>
        <v>44757</v>
      </c>
      <c r="L1867" s="6" t="str">
        <f>IFERROR(__xludf.DUMMYFUNCTION("""COMPUTED_VALUE"""),"FIP General")</f>
        <v>FIP General</v>
      </c>
      <c r="M1867" s="6" t="str">
        <f>IFERROR(__xludf.DUMMYFUNCTION("""COMPUTED_VALUE"""),"Irwan Sopian")</f>
        <v>Irwan Sopian</v>
      </c>
      <c r="N1867" s="6" t="str">
        <f>IFERROR(__xludf.DUMMYFUNCTION("""COMPUTED_VALUE"""),"FIP Engineering")</f>
        <v>FIP Engineering</v>
      </c>
      <c r="O1867" s="6" t="str">
        <f>IFERROR(__xludf.DUMMYFUNCTION("""COMPUTED_VALUE"""),"FIP-DOM-ENG-51504-0000000-INA-000000")</f>
        <v>FIP-DOM-ENG-51504-0000000-INA-000000</v>
      </c>
      <c r="P1867" s="6" t="str">
        <f>IFERROR(__xludf.DUMMYFUNCTION("""COMPUTED_VALUE"""),"PO Closed")</f>
        <v>PO Closed</v>
      </c>
      <c r="Q1867" s="6" t="str">
        <f>IFERROR(__xludf.DUMMYFUNCTION("""COMPUTED_VALUE"""),"GL2207022")</f>
        <v>GL2207022</v>
      </c>
      <c r="R1867" s="57">
        <f>IFERROR(__xludf.DUMMYFUNCTION("""COMPUTED_VALUE"""),44726.0)</f>
        <v>44726</v>
      </c>
      <c r="S1867" s="6" t="str">
        <f>IFERROR(__xludf.DUMMYFUNCTION("""COMPUTED_VALUE"""),"-")</f>
        <v>-</v>
      </c>
      <c r="T1867" s="57">
        <f>IFERROR(__xludf.DUMMYFUNCTION("""COMPUTED_VALUE"""),44762.0)</f>
        <v>44762</v>
      </c>
    </row>
    <row r="1868">
      <c r="A1868" s="6" t="str">
        <f>IFERROR(__xludf.DUMMYFUNCTION("""COMPUTED_VALUE"""),"221750275-2")</f>
        <v>221750275-2</v>
      </c>
      <c r="B1868" s="6" t="str">
        <f>IFERROR(__xludf.DUMMYFUNCTION("""COMPUTED_VALUE"""),"221750275 - Approved")</f>
        <v>221750275 - Approved</v>
      </c>
      <c r="C1868" s="6">
        <f>IFERROR(__xludf.DUMMYFUNCTION("""COMPUTED_VALUE"""),2.0)</f>
        <v>2</v>
      </c>
      <c r="D1868" s="6" t="str">
        <f>IFERROR(__xludf.DUMMYFUNCTION("""COMPUTED_VALUE"""),"Q-10510-00")</f>
        <v>Q-10510-00</v>
      </c>
      <c r="E1868" s="6" t="str">
        <f>IFERROR(__xludf.DUMMYFUNCTION("""COMPUTED_VALUE"""),"Junction Box Plastik 12x12x10 cm")</f>
        <v>Junction Box Plastik 12x12x10 cm</v>
      </c>
      <c r="F1868" s="6">
        <f>IFERROR(__xludf.DUMMYFUNCTION("""COMPUTED_VALUE"""),2.0)</f>
        <v>2</v>
      </c>
      <c r="G1868" s="6" t="str">
        <f>IFERROR(__xludf.DUMMYFUNCTION("""COMPUTED_VALUE"""),"Pieces")</f>
        <v>Pieces</v>
      </c>
      <c r="H1868" s="6" t="str">
        <f>IFERROR(__xludf.DUMMYFUNCTION("""COMPUTED_VALUE"""),"IDR")</f>
        <v>IDR</v>
      </c>
      <c r="I1868" s="6">
        <f>IFERROR(__xludf.DUMMYFUNCTION("""COMPUTED_VALUE"""),137750.0)</f>
        <v>137750</v>
      </c>
      <c r="J1868" s="6">
        <f>IFERROR(__xludf.DUMMYFUNCTION("""COMPUTED_VALUE"""),275500.0)</f>
        <v>275500</v>
      </c>
      <c r="K1868" s="57">
        <f>IFERROR(__xludf.DUMMYFUNCTION("""COMPUTED_VALUE"""),44757.0)</f>
        <v>44757</v>
      </c>
      <c r="L1868" s="6" t="str">
        <f>IFERROR(__xludf.DUMMYFUNCTION("""COMPUTED_VALUE"""),"FIP General")</f>
        <v>FIP General</v>
      </c>
      <c r="M1868" s="6" t="str">
        <f>IFERROR(__xludf.DUMMYFUNCTION("""COMPUTED_VALUE"""),"Irwan Sopian")</f>
        <v>Irwan Sopian</v>
      </c>
      <c r="N1868" s="6" t="str">
        <f>IFERROR(__xludf.DUMMYFUNCTION("""COMPUTED_VALUE"""),"FIP Engineering")</f>
        <v>FIP Engineering</v>
      </c>
      <c r="O1868" s="6" t="str">
        <f>IFERROR(__xludf.DUMMYFUNCTION("""COMPUTED_VALUE"""),"FIP-DOM-ENG-51502-0000000-INA-000000")</f>
        <v>FIP-DOM-ENG-51502-0000000-INA-000000</v>
      </c>
      <c r="P1868" s="6" t="str">
        <f>IFERROR(__xludf.DUMMYFUNCTION("""COMPUTED_VALUE"""),"PO Closed")</f>
        <v>PO Closed</v>
      </c>
      <c r="Q1868" s="6" t="str">
        <f>IFERROR(__xludf.DUMMYFUNCTION("""COMPUTED_VALUE"""),"GL2206025")</f>
        <v>GL2206025</v>
      </c>
      <c r="R1868" s="57">
        <f>IFERROR(__xludf.DUMMYFUNCTION("""COMPUTED_VALUE"""),44726.0)</f>
        <v>44726</v>
      </c>
      <c r="S1868" s="6" t="str">
        <f>IFERROR(__xludf.DUMMYFUNCTION("""COMPUTED_VALUE"""),"-")</f>
        <v>-</v>
      </c>
      <c r="T1868" s="57">
        <f>IFERROR(__xludf.DUMMYFUNCTION("""COMPUTED_VALUE"""),44740.0)</f>
        <v>44740</v>
      </c>
    </row>
    <row r="1869">
      <c r="A1869" s="6" t="str">
        <f>IFERROR(__xludf.DUMMYFUNCTION("""COMPUTED_VALUE"""),"221750275-3")</f>
        <v>221750275-3</v>
      </c>
      <c r="B1869" s="6" t="str">
        <f>IFERROR(__xludf.DUMMYFUNCTION("""COMPUTED_VALUE"""),"221750275 - Approved")</f>
        <v>221750275 - Approved</v>
      </c>
      <c r="C1869" s="6">
        <f>IFERROR(__xludf.DUMMYFUNCTION("""COMPUTED_VALUE"""),3.0)</f>
        <v>3</v>
      </c>
      <c r="D1869" s="6" t="str">
        <f>IFERROR(__xludf.DUMMYFUNCTION("""COMPUTED_VALUE"""),"O-15822-00")</f>
        <v>O-15822-00</v>
      </c>
      <c r="E1869" s="6" t="str">
        <f>IFERROR(__xludf.DUMMYFUNCTION("""COMPUTED_VALUE"""),"MCB Schneider C60H 1 phase 1 pole 10 A 100000A GLOBAL MULTIPARTS, PT P/N : - pc")</f>
        <v>MCB Schneider C60H 1 phase 1 pole 10 A 100000A GLOBAL MULTIPARTS, PT P/N : - pc</v>
      </c>
      <c r="F1869" s="6">
        <f>IFERROR(__xludf.DUMMYFUNCTION("""COMPUTED_VALUE"""),2.0)</f>
        <v>2</v>
      </c>
      <c r="G1869" s="6" t="str">
        <f>IFERROR(__xludf.DUMMYFUNCTION("""COMPUTED_VALUE"""),"Pieces")</f>
        <v>Pieces</v>
      </c>
      <c r="H1869" s="6" t="str">
        <f>IFERROR(__xludf.DUMMYFUNCTION("""COMPUTED_VALUE"""),"IDR")</f>
        <v>IDR</v>
      </c>
      <c r="I1869" s="6">
        <f>IFERROR(__xludf.DUMMYFUNCTION("""COMPUTED_VALUE"""),115000.0)</f>
        <v>115000</v>
      </c>
      <c r="J1869" s="6">
        <f>IFERROR(__xludf.DUMMYFUNCTION("""COMPUTED_VALUE"""),230000.0)</f>
        <v>230000</v>
      </c>
      <c r="K1869" s="57">
        <f>IFERROR(__xludf.DUMMYFUNCTION("""COMPUTED_VALUE"""),44757.0)</f>
        <v>44757</v>
      </c>
      <c r="L1869" s="6" t="str">
        <f>IFERROR(__xludf.DUMMYFUNCTION("""COMPUTED_VALUE"""),"FIP Engineering")</f>
        <v>FIP Engineering</v>
      </c>
      <c r="M1869" s="6" t="str">
        <f>IFERROR(__xludf.DUMMYFUNCTION("""COMPUTED_VALUE"""),"Irwan Sopian")</f>
        <v>Irwan Sopian</v>
      </c>
      <c r="N1869" s="6" t="str">
        <f>IFERROR(__xludf.DUMMYFUNCTION("""COMPUTED_VALUE"""),"FIP Engineering")</f>
        <v>FIP Engineering</v>
      </c>
      <c r="O1869" s="6" t="str">
        <f>IFERROR(__xludf.DUMMYFUNCTION("""COMPUTED_VALUE"""),"FIP-DOM-000-11304-OS00001-INA-000000")</f>
        <v>FIP-DOM-000-11304-OS00001-INA-000000</v>
      </c>
      <c r="P1869" s="6" t="str">
        <f>IFERROR(__xludf.DUMMYFUNCTION("""COMPUTED_VALUE"""),"PO Closed")</f>
        <v>PO Closed</v>
      </c>
      <c r="Q1869" s="6" t="str">
        <f>IFERROR(__xludf.DUMMYFUNCTION("""COMPUTED_VALUE"""),"GL2207022")</f>
        <v>GL2207022</v>
      </c>
      <c r="R1869" s="57">
        <f>IFERROR(__xludf.DUMMYFUNCTION("""COMPUTED_VALUE"""),44726.0)</f>
        <v>44726</v>
      </c>
      <c r="S1869" s="6" t="str">
        <f>IFERROR(__xludf.DUMMYFUNCTION("""COMPUTED_VALUE"""),"-")</f>
        <v>-</v>
      </c>
      <c r="T1869" s="57">
        <f>IFERROR(__xludf.DUMMYFUNCTION("""COMPUTED_VALUE"""),44762.0)</f>
        <v>44762</v>
      </c>
    </row>
    <row r="1870">
      <c r="A1870" s="6" t="str">
        <f>IFERROR(__xludf.DUMMYFUNCTION("""COMPUTED_VALUE"""),"221750274-1")</f>
        <v>221750274-1</v>
      </c>
      <c r="B1870" s="6" t="str">
        <f>IFERROR(__xludf.DUMMYFUNCTION("""COMPUTED_VALUE"""),"221750274 - Approved")</f>
        <v>221750274 - Approved</v>
      </c>
      <c r="C1870" s="6">
        <f>IFERROR(__xludf.DUMMYFUNCTION("""COMPUTED_VALUE"""),1.0)</f>
        <v>1</v>
      </c>
      <c r="D1870" s="6" t="str">
        <f>IFERROR(__xludf.DUMMYFUNCTION("""COMPUTED_VALUE"""),"Q-10305-00")</f>
        <v>Q-10305-00</v>
      </c>
      <c r="E1870" s="6" t="str">
        <f>IFERROR(__xludf.DUMMYFUNCTION("""COMPUTED_VALUE"""),"Raven Door Seal (balon) RP48 Brown/White 50mtr x 2")</f>
        <v>Raven Door Seal (balon) RP48 Brown/White 50mtr x 2</v>
      </c>
      <c r="F1870" s="6">
        <f>IFERROR(__xludf.DUMMYFUNCTION("""COMPUTED_VALUE"""),1.0)</f>
        <v>1</v>
      </c>
      <c r="G1870" s="6" t="str">
        <f>IFERROR(__xludf.DUMMYFUNCTION("""COMPUTED_VALUE"""),"Roll")</f>
        <v>Roll</v>
      </c>
      <c r="H1870" s="6" t="str">
        <f>IFERROR(__xludf.DUMMYFUNCTION("""COMPUTED_VALUE"""),"IDR")</f>
        <v>IDR</v>
      </c>
      <c r="I1870" s="6">
        <f>IFERROR(__xludf.DUMMYFUNCTION("""COMPUTED_VALUE"""),1111275.0)</f>
        <v>1111275</v>
      </c>
      <c r="J1870" s="6">
        <f>IFERROR(__xludf.DUMMYFUNCTION("""COMPUTED_VALUE"""),1111275.0)</f>
        <v>1111275</v>
      </c>
      <c r="K1870" s="57">
        <f>IFERROR(__xludf.DUMMYFUNCTION("""COMPUTED_VALUE"""),44757.0)</f>
        <v>44757</v>
      </c>
      <c r="L1870" s="6" t="str">
        <f>IFERROR(__xludf.DUMMYFUNCTION("""COMPUTED_VALUE"""),"FIP General")</f>
        <v>FIP General</v>
      </c>
      <c r="M1870" s="6" t="str">
        <f>IFERROR(__xludf.DUMMYFUNCTION("""COMPUTED_VALUE"""),"Irwan Sopian")</f>
        <v>Irwan Sopian</v>
      </c>
      <c r="N1870" s="6" t="str">
        <f>IFERROR(__xludf.DUMMYFUNCTION("""COMPUTED_VALUE"""),"FIP Engineering")</f>
        <v>FIP Engineering</v>
      </c>
      <c r="O1870" s="6" t="str">
        <f>IFERROR(__xludf.DUMMYFUNCTION("""COMPUTED_VALUE"""),"FIP-DOM-ENG-51502-0000000-INA-000000")</f>
        <v>FIP-DOM-ENG-51502-0000000-INA-000000</v>
      </c>
      <c r="P1870" s="6" t="str">
        <f>IFERROR(__xludf.DUMMYFUNCTION("""COMPUTED_VALUE"""),"PO Closed")</f>
        <v>PO Closed</v>
      </c>
      <c r="Q1870" s="6" t="str">
        <f>IFERROR(__xludf.DUMMYFUNCTION("""COMPUTED_VALUE"""),"GL2206021")</f>
        <v>GL2206021</v>
      </c>
      <c r="R1870" s="57">
        <f>IFERROR(__xludf.DUMMYFUNCTION("""COMPUTED_VALUE"""),44726.0)</f>
        <v>44726</v>
      </c>
      <c r="S1870" s="6" t="str">
        <f>IFERROR(__xludf.DUMMYFUNCTION("""COMPUTED_VALUE"""),"-")</f>
        <v>-</v>
      </c>
      <c r="T1870" s="57">
        <f>IFERROR(__xludf.DUMMYFUNCTION("""COMPUTED_VALUE"""),44743.0)</f>
        <v>44743</v>
      </c>
    </row>
    <row r="1871">
      <c r="A1871" s="6" t="str">
        <f>IFERROR(__xludf.DUMMYFUNCTION("""COMPUTED_VALUE"""),"221750273-1")</f>
        <v>221750273-1</v>
      </c>
      <c r="B1871" s="6" t="str">
        <f>IFERROR(__xludf.DUMMYFUNCTION("""COMPUTED_VALUE"""),"221750273 - Approved")</f>
        <v>221750273 - Approved</v>
      </c>
      <c r="C1871" s="6">
        <f>IFERROR(__xludf.DUMMYFUNCTION("""COMPUTED_VALUE"""),1.0)</f>
        <v>1</v>
      </c>
      <c r="D1871" s="6" t="str">
        <f>IFERROR(__xludf.DUMMYFUNCTION("""COMPUTED_VALUE"""),"O-18428-00")</f>
        <v>O-18428-00</v>
      </c>
      <c r="E1871" s="6" t="str">
        <f>IFERROR(__xludf.DUMMYFUNCTION("""COMPUTED_VALUE"""),"Roda Vertikal Blind Runner and Spacer dan Cor d Driver Runner")</f>
        <v>Roda Vertikal Blind Runner and Spacer dan Cor d Driver Runner</v>
      </c>
      <c r="F1871" s="6">
        <f>IFERROR(__xludf.DUMMYFUNCTION("""COMPUTED_VALUE"""),56.0)</f>
        <v>56</v>
      </c>
      <c r="G1871" s="6" t="str">
        <f>IFERROR(__xludf.DUMMYFUNCTION("""COMPUTED_VALUE"""),"Pieces")</f>
        <v>Pieces</v>
      </c>
      <c r="H1871" s="6" t="str">
        <f>IFERROR(__xludf.DUMMYFUNCTION("""COMPUTED_VALUE"""),"IDR")</f>
        <v>IDR</v>
      </c>
      <c r="I1871" s="6">
        <f>IFERROR(__xludf.DUMMYFUNCTION("""COMPUTED_VALUE"""),7000.0)</f>
        <v>7000</v>
      </c>
      <c r="J1871" s="6">
        <f>IFERROR(__xludf.DUMMYFUNCTION("""COMPUTED_VALUE"""),392000.0)</f>
        <v>392000</v>
      </c>
      <c r="K1871" s="57">
        <f>IFERROR(__xludf.DUMMYFUNCTION("""COMPUTED_VALUE"""),44750.0)</f>
        <v>44750</v>
      </c>
      <c r="L1871" s="6" t="str">
        <f>IFERROR(__xludf.DUMMYFUNCTION("""COMPUTED_VALUE"""),"FIP General")</f>
        <v>FIP General</v>
      </c>
      <c r="M1871" s="6" t="str">
        <f>IFERROR(__xludf.DUMMYFUNCTION("""COMPUTED_VALUE"""),"Irwan Sopian")</f>
        <v>Irwan Sopian</v>
      </c>
      <c r="N1871" s="6" t="str">
        <f>IFERROR(__xludf.DUMMYFUNCTION("""COMPUTED_VALUE"""),"FIP Engineering")</f>
        <v>FIP Engineering</v>
      </c>
      <c r="O1871" s="6" t="str">
        <f>IFERROR(__xludf.DUMMYFUNCTION("""COMPUTED_VALUE"""),"FIP-DOM-ENG-51502-0000000-INA-000000")</f>
        <v>FIP-DOM-ENG-51502-0000000-INA-000000</v>
      </c>
      <c r="P1871" s="6" t="str">
        <f>IFERROR(__xludf.DUMMYFUNCTION("""COMPUTED_VALUE"""),"PO Closed")</f>
        <v>PO Closed</v>
      </c>
      <c r="Q1871" s="6" t="str">
        <f>IFERROR(__xludf.DUMMYFUNCTION("""COMPUTED_VALUE"""),"GL2206026")</f>
        <v>GL2206026</v>
      </c>
      <c r="R1871" s="57">
        <f>IFERROR(__xludf.DUMMYFUNCTION("""COMPUTED_VALUE"""),44726.0)</f>
        <v>44726</v>
      </c>
      <c r="S1871" s="6" t="str">
        <f>IFERROR(__xludf.DUMMYFUNCTION("""COMPUTED_VALUE"""),"-")</f>
        <v>-</v>
      </c>
      <c r="T1871" s="57">
        <f>IFERROR(__xludf.DUMMYFUNCTION("""COMPUTED_VALUE"""),44739.0)</f>
        <v>44739</v>
      </c>
    </row>
    <row r="1872">
      <c r="A1872" s="6" t="str">
        <f>IFERROR(__xludf.DUMMYFUNCTION("""COMPUTED_VALUE"""),"221750273-2")</f>
        <v>221750273-2</v>
      </c>
      <c r="B1872" s="6" t="str">
        <f>IFERROR(__xludf.DUMMYFUNCTION("""COMPUTED_VALUE"""),"221750273 - Approved")</f>
        <v>221750273 - Approved</v>
      </c>
      <c r="C1872" s="6">
        <f>IFERROR(__xludf.DUMMYFUNCTION("""COMPUTED_VALUE"""),2.0)</f>
        <v>2</v>
      </c>
      <c r="D1872" s="6" t="str">
        <f>IFERROR(__xludf.DUMMYFUNCTION("""COMPUTED_VALUE"""),"Q-10880-00")</f>
        <v>Q-10880-00</v>
      </c>
      <c r="E1872" s="6" t="str">
        <f>IFERROR(__xludf.DUMMYFUNCTION("""COMPUTED_VALUE"""),"Holder Vertical Blind Hanger 127 mm")</f>
        <v>Holder Vertical Blind Hanger 127 mm</v>
      </c>
      <c r="F1872" s="6">
        <f>IFERROR(__xludf.DUMMYFUNCTION("""COMPUTED_VALUE"""),30.0)</f>
        <v>30</v>
      </c>
      <c r="G1872" s="6" t="str">
        <f>IFERROR(__xludf.DUMMYFUNCTION("""COMPUTED_VALUE"""),"Pieces")</f>
        <v>Pieces</v>
      </c>
      <c r="H1872" s="6" t="str">
        <f>IFERROR(__xludf.DUMMYFUNCTION("""COMPUTED_VALUE"""),"IDR")</f>
        <v>IDR</v>
      </c>
      <c r="I1872" s="6">
        <f>IFERROR(__xludf.DUMMYFUNCTION("""COMPUTED_VALUE"""),4900.0)</f>
        <v>4900</v>
      </c>
      <c r="J1872" s="6">
        <f>IFERROR(__xludf.DUMMYFUNCTION("""COMPUTED_VALUE"""),147000.0)</f>
        <v>147000</v>
      </c>
      <c r="K1872" s="57">
        <f>IFERROR(__xludf.DUMMYFUNCTION("""COMPUTED_VALUE"""),44750.0)</f>
        <v>44750</v>
      </c>
      <c r="L1872" s="6" t="str">
        <f>IFERROR(__xludf.DUMMYFUNCTION("""COMPUTED_VALUE"""),"FIP General")</f>
        <v>FIP General</v>
      </c>
      <c r="M1872" s="6" t="str">
        <f>IFERROR(__xludf.DUMMYFUNCTION("""COMPUTED_VALUE"""),"Irwan Sopian")</f>
        <v>Irwan Sopian</v>
      </c>
      <c r="N1872" s="6" t="str">
        <f>IFERROR(__xludf.DUMMYFUNCTION("""COMPUTED_VALUE"""),"FIP Engineering")</f>
        <v>FIP Engineering</v>
      </c>
      <c r="O1872" s="6" t="str">
        <f>IFERROR(__xludf.DUMMYFUNCTION("""COMPUTED_VALUE"""),"FIP-DOM-ENG-51504-0000000-INA-000000")</f>
        <v>FIP-DOM-ENG-51504-0000000-INA-000000</v>
      </c>
      <c r="P1872" s="6" t="str">
        <f>IFERROR(__xludf.DUMMYFUNCTION("""COMPUTED_VALUE"""),"PO Closed")</f>
        <v>PO Closed</v>
      </c>
      <c r="Q1872" s="6" t="str">
        <f>IFERROR(__xludf.DUMMYFUNCTION("""COMPUTED_VALUE"""),"GL2206026")</f>
        <v>GL2206026</v>
      </c>
      <c r="R1872" s="57">
        <f>IFERROR(__xludf.DUMMYFUNCTION("""COMPUTED_VALUE"""),44726.0)</f>
        <v>44726</v>
      </c>
      <c r="S1872" s="6" t="str">
        <f>IFERROR(__xludf.DUMMYFUNCTION("""COMPUTED_VALUE"""),"-")</f>
        <v>-</v>
      </c>
      <c r="T1872" s="57">
        <f>IFERROR(__xludf.DUMMYFUNCTION("""COMPUTED_VALUE"""),44739.0)</f>
        <v>44739</v>
      </c>
    </row>
    <row r="1873">
      <c r="A1873" s="6" t="str">
        <f>IFERROR(__xludf.DUMMYFUNCTION("""COMPUTED_VALUE"""),"221750273-3")</f>
        <v>221750273-3</v>
      </c>
      <c r="B1873" s="6" t="str">
        <f>IFERROR(__xludf.DUMMYFUNCTION("""COMPUTED_VALUE"""),"221750273 - Approved")</f>
        <v>221750273 - Approved</v>
      </c>
      <c r="C1873" s="6">
        <f>IFERROR(__xludf.DUMMYFUNCTION("""COMPUTED_VALUE"""),3.0)</f>
        <v>3</v>
      </c>
      <c r="D1873" s="6" t="str">
        <f>IFERROR(__xludf.DUMMYFUNCTION("""COMPUTED_VALUE"""),"S-44000-00")</f>
        <v>S-44000-00</v>
      </c>
      <c r="E1873" s="6" t="str">
        <f>IFERROR(__xludf.DUMMYFUNCTION("""COMPUTED_VALUE"""),"Ongkos Kirim")</f>
        <v>Ongkos Kirim</v>
      </c>
      <c r="F1873" s="6">
        <f>IFERROR(__xludf.DUMMYFUNCTION("""COMPUTED_VALUE"""),1.0)</f>
        <v>1</v>
      </c>
      <c r="G1873" s="6" t="str">
        <f>IFERROR(__xludf.DUMMYFUNCTION("""COMPUTED_VALUE"""),"Lot")</f>
        <v>Lot</v>
      </c>
      <c r="H1873" s="6" t="str">
        <f>IFERROR(__xludf.DUMMYFUNCTION("""COMPUTED_VALUE"""),"IDR")</f>
        <v>IDR</v>
      </c>
      <c r="I1873" s="6">
        <f>IFERROR(__xludf.DUMMYFUNCTION("""COMPUTED_VALUE"""),8000.0)</f>
        <v>8000</v>
      </c>
      <c r="J1873" s="6">
        <f>IFERROR(__xludf.DUMMYFUNCTION("""COMPUTED_VALUE"""),8000.0)</f>
        <v>8000</v>
      </c>
      <c r="K1873" s="57">
        <f>IFERROR(__xludf.DUMMYFUNCTION("""COMPUTED_VALUE"""),44750.0)</f>
        <v>44750</v>
      </c>
      <c r="L1873" s="6" t="str">
        <f>IFERROR(__xludf.DUMMYFUNCTION("""COMPUTED_VALUE"""),"FIP General")</f>
        <v>FIP General</v>
      </c>
      <c r="M1873" s="6" t="str">
        <f>IFERROR(__xludf.DUMMYFUNCTION("""COMPUTED_VALUE"""),"Irwan Sopian")</f>
        <v>Irwan Sopian</v>
      </c>
      <c r="N1873" s="6" t="str">
        <f>IFERROR(__xludf.DUMMYFUNCTION("""COMPUTED_VALUE"""),"FIP Engineering")</f>
        <v>FIP Engineering</v>
      </c>
      <c r="O1873" s="6" t="str">
        <f>IFERROR(__xludf.DUMMYFUNCTION("""COMPUTED_VALUE"""),"FIP-DOM-ENG-51504-0000000-INA-000000")</f>
        <v>FIP-DOM-ENG-51504-0000000-INA-000000</v>
      </c>
      <c r="P1873" s="6" t="str">
        <f>IFERROR(__xludf.DUMMYFUNCTION("""COMPUTED_VALUE"""),"PO Closed")</f>
        <v>PO Closed</v>
      </c>
      <c r="Q1873" s="6" t="str">
        <f>IFERROR(__xludf.DUMMYFUNCTION("""COMPUTED_VALUE"""),"GL2206026")</f>
        <v>GL2206026</v>
      </c>
      <c r="R1873" s="57">
        <f>IFERROR(__xludf.DUMMYFUNCTION("""COMPUTED_VALUE"""),44726.0)</f>
        <v>44726</v>
      </c>
      <c r="S1873" s="6" t="str">
        <f>IFERROR(__xludf.DUMMYFUNCTION("""COMPUTED_VALUE"""),"-")</f>
        <v>-</v>
      </c>
      <c r="T1873" s="57">
        <f>IFERROR(__xludf.DUMMYFUNCTION("""COMPUTED_VALUE"""),44739.0)</f>
        <v>44739</v>
      </c>
    </row>
    <row r="1874">
      <c r="A1874" s="6" t="str">
        <f>IFERROR(__xludf.DUMMYFUNCTION("""COMPUTED_VALUE"""),"221750268-5")</f>
        <v>221750268-5</v>
      </c>
      <c r="B1874" s="6" t="str">
        <f>IFERROR(__xludf.DUMMYFUNCTION("""COMPUTED_VALUE"""),"221750268 - Approved")</f>
        <v>221750268 - Approved</v>
      </c>
      <c r="C1874" s="6">
        <f>IFERROR(__xludf.DUMMYFUNCTION("""COMPUTED_VALUE"""),5.0)</f>
        <v>5</v>
      </c>
      <c r="D1874" s="6" t="str">
        <f>IFERROR(__xludf.DUMMYFUNCTION("""COMPUTED_VALUE"""),"Q-10153-00")</f>
        <v>Q-10153-00</v>
      </c>
      <c r="E1874" s="6" t="str">
        <f>IFERROR(__xludf.DUMMYFUNCTION("""COMPUTED_VALUE"""),"Roller cat 110mm")</f>
        <v>Roller cat 110mm</v>
      </c>
      <c r="F1874" s="6">
        <f>IFERROR(__xludf.DUMMYFUNCTION("""COMPUTED_VALUE"""),5.0)</f>
        <v>5</v>
      </c>
      <c r="G1874" s="6" t="str">
        <f>IFERROR(__xludf.DUMMYFUNCTION("""COMPUTED_VALUE"""),"Pieces")</f>
        <v>Pieces</v>
      </c>
      <c r="H1874" s="6" t="str">
        <f>IFERROR(__xludf.DUMMYFUNCTION("""COMPUTED_VALUE"""),"IDR")</f>
        <v>IDR</v>
      </c>
      <c r="I1874" s="6">
        <f>IFERROR(__xludf.DUMMYFUNCTION("""COMPUTED_VALUE"""),6000.0)</f>
        <v>6000</v>
      </c>
      <c r="J1874" s="6">
        <f>IFERROR(__xludf.DUMMYFUNCTION("""COMPUTED_VALUE"""),30000.0)</f>
        <v>30000</v>
      </c>
      <c r="K1874" s="57">
        <f>IFERROR(__xludf.DUMMYFUNCTION("""COMPUTED_VALUE"""),44750.0)</f>
        <v>44750</v>
      </c>
      <c r="L1874" s="6" t="str">
        <f>IFERROR(__xludf.DUMMYFUNCTION("""COMPUTED_VALUE"""),"FIP Engineering")</f>
        <v>FIP Engineering</v>
      </c>
      <c r="M1874" s="6" t="str">
        <f>IFERROR(__xludf.DUMMYFUNCTION("""COMPUTED_VALUE"""),"Joko Nugroho")</f>
        <v>Joko Nugroho</v>
      </c>
      <c r="N1874" s="6" t="str">
        <f>IFERROR(__xludf.DUMMYFUNCTION("""COMPUTED_VALUE"""),"FIP Engineering")</f>
        <v>FIP Engineering</v>
      </c>
      <c r="O1874" s="6" t="str">
        <f>IFERROR(__xludf.DUMMYFUNCTION("""COMPUTED_VALUE"""),"FIP-DOM-000-11304-OS00001-INA-000000")</f>
        <v>FIP-DOM-000-11304-OS00001-INA-000000</v>
      </c>
      <c r="P1874" s="6" t="str">
        <f>IFERROR(__xludf.DUMMYFUNCTION("""COMPUTED_VALUE"""),"PO Closed")</f>
        <v>PO Closed</v>
      </c>
      <c r="Q1874" s="6" t="str">
        <f>IFERROR(__xludf.DUMMYFUNCTION("""COMPUTED_VALUE"""),"GL2206026")</f>
        <v>GL2206026</v>
      </c>
      <c r="R1874" s="57">
        <f>IFERROR(__xludf.DUMMYFUNCTION("""COMPUTED_VALUE"""),44726.0)</f>
        <v>44726</v>
      </c>
      <c r="S1874" s="6" t="str">
        <f>IFERROR(__xludf.DUMMYFUNCTION("""COMPUTED_VALUE"""),"-")</f>
        <v>-</v>
      </c>
      <c r="T1874" s="57">
        <f>IFERROR(__xludf.DUMMYFUNCTION("""COMPUTED_VALUE"""),44750.0)</f>
        <v>44750</v>
      </c>
    </row>
    <row r="1875">
      <c r="A1875" s="6" t="str">
        <f>IFERROR(__xludf.DUMMYFUNCTION("""COMPUTED_VALUE"""),"221750276-1")</f>
        <v>221750276-1</v>
      </c>
      <c r="B1875" s="6" t="str">
        <f>IFERROR(__xludf.DUMMYFUNCTION("""COMPUTED_VALUE"""),"221750276 - Approved")</f>
        <v>221750276 - Approved</v>
      </c>
      <c r="C1875" s="6">
        <f>IFERROR(__xludf.DUMMYFUNCTION("""COMPUTED_VALUE"""),1.0)</f>
        <v>1</v>
      </c>
      <c r="D1875" s="6" t="str">
        <f>IFERROR(__xludf.DUMMYFUNCTION("""COMPUTED_VALUE"""),"O-12734-00")</f>
        <v>O-12734-00</v>
      </c>
      <c r="E1875" s="6" t="str">
        <f>IFERROR(__xludf.DUMMYFUNCTION("""COMPUTED_VALUE"""),"Tubing Polyurethane TU0805 Clear, SMC, roll SINAR MUTIARA CAKRABUANA, PT P/N : X3 pc")</f>
        <v>Tubing Polyurethane TU0805 Clear, SMC, roll SINAR MUTIARA CAKRABUANA, PT P/N : X3 pc</v>
      </c>
      <c r="F1875" s="6">
        <f>IFERROR(__xludf.DUMMYFUNCTION("""COMPUTED_VALUE"""),150.0)</f>
        <v>150</v>
      </c>
      <c r="G1875" s="6" t="str">
        <f>IFERROR(__xludf.DUMMYFUNCTION("""COMPUTED_VALUE"""),"Roll")</f>
        <v>Roll</v>
      </c>
      <c r="H1875" s="6" t="str">
        <f>IFERROR(__xludf.DUMMYFUNCTION("""COMPUTED_VALUE"""),"IDR")</f>
        <v>IDR</v>
      </c>
      <c r="I1875" s="6">
        <f>IFERROR(__xludf.DUMMYFUNCTION("""COMPUTED_VALUE"""),23000.0)</f>
        <v>23000</v>
      </c>
      <c r="J1875" s="6">
        <f>IFERROR(__xludf.DUMMYFUNCTION("""COMPUTED_VALUE"""),3450000.0)</f>
        <v>3450000</v>
      </c>
      <c r="K1875" s="57">
        <f>IFERROR(__xludf.DUMMYFUNCTION("""COMPUTED_VALUE"""),44750.0)</f>
        <v>44750</v>
      </c>
      <c r="L1875" s="6" t="str">
        <f>IFERROR(__xludf.DUMMYFUNCTION("""COMPUTED_VALUE"""),"FIP General")</f>
        <v>FIP General</v>
      </c>
      <c r="M1875" s="6" t="str">
        <f>IFERROR(__xludf.DUMMYFUNCTION("""COMPUTED_VALUE"""),"Irwan Sopian")</f>
        <v>Irwan Sopian</v>
      </c>
      <c r="N1875" s="6" t="str">
        <f>IFERROR(__xludf.DUMMYFUNCTION("""COMPUTED_VALUE"""),"FIP Engineering")</f>
        <v>FIP Engineering</v>
      </c>
      <c r="O1875" s="6" t="str">
        <f>IFERROR(__xludf.DUMMYFUNCTION("""COMPUTED_VALUE"""),"FIP-DOM-ENG-51404-0000000-INA-000000")</f>
        <v>FIP-DOM-ENG-51404-0000000-INA-000000</v>
      </c>
      <c r="P1875" s="6" t="str">
        <f>IFERROR(__xludf.DUMMYFUNCTION("""COMPUTED_VALUE"""),"PO Closed")</f>
        <v>PO Closed</v>
      </c>
      <c r="Q1875" s="6" t="str">
        <f>IFERROR(__xludf.DUMMYFUNCTION("""COMPUTED_VALUE"""),"GL2207023")</f>
        <v>GL2207023</v>
      </c>
      <c r="R1875" s="57">
        <f>IFERROR(__xludf.DUMMYFUNCTION("""COMPUTED_VALUE"""),44727.0)</f>
        <v>44727</v>
      </c>
      <c r="S1875" s="6" t="str">
        <f>IFERROR(__xludf.DUMMYFUNCTION("""COMPUTED_VALUE"""),"-")</f>
        <v>-</v>
      </c>
      <c r="T1875" s="57">
        <f>IFERROR(__xludf.DUMMYFUNCTION("""COMPUTED_VALUE"""),44764.0)</f>
        <v>44764</v>
      </c>
    </row>
    <row r="1876">
      <c r="A1876" s="6" t="str">
        <f>IFERROR(__xludf.DUMMYFUNCTION("""COMPUTED_VALUE"""),"221750276-2")</f>
        <v>221750276-2</v>
      </c>
      <c r="B1876" s="6" t="str">
        <f>IFERROR(__xludf.DUMMYFUNCTION("""COMPUTED_VALUE"""),"221750276 - Approved")</f>
        <v>221750276 - Approved</v>
      </c>
      <c r="C1876" s="6">
        <f>IFERROR(__xludf.DUMMYFUNCTION("""COMPUTED_VALUE"""),2.0)</f>
        <v>2</v>
      </c>
      <c r="D1876" s="6" t="str">
        <f>IFERROR(__xludf.DUMMYFUNCTION("""COMPUTED_VALUE"""),"P-14952-00")</f>
        <v>P-14952-00</v>
      </c>
      <c r="E1876" s="6" t="str">
        <f>IFERROR(__xludf.DUMMYFUNCTION("""COMPUTED_VALUE"""),"Fitting Union Tee KQ2T08-00A")</f>
        <v>Fitting Union Tee KQ2T08-00A</v>
      </c>
      <c r="F1876" s="6">
        <f>IFERROR(__xludf.DUMMYFUNCTION("""COMPUTED_VALUE"""),30.0)</f>
        <v>30</v>
      </c>
      <c r="G1876" s="6" t="str">
        <f>IFERROR(__xludf.DUMMYFUNCTION("""COMPUTED_VALUE"""),"Pieces")</f>
        <v>Pieces</v>
      </c>
      <c r="H1876" s="6" t="str">
        <f>IFERROR(__xludf.DUMMYFUNCTION("""COMPUTED_VALUE"""),"IDR")</f>
        <v>IDR</v>
      </c>
      <c r="I1876" s="6">
        <f>IFERROR(__xludf.DUMMYFUNCTION("""COMPUTED_VALUE"""),50000.0)</f>
        <v>50000</v>
      </c>
      <c r="J1876" s="6">
        <f>IFERROR(__xludf.DUMMYFUNCTION("""COMPUTED_VALUE"""),1500000.0)</f>
        <v>1500000</v>
      </c>
      <c r="K1876" s="57">
        <f>IFERROR(__xludf.DUMMYFUNCTION("""COMPUTED_VALUE"""),44750.0)</f>
        <v>44750</v>
      </c>
      <c r="L1876" s="6" t="str">
        <f>IFERROR(__xludf.DUMMYFUNCTION("""COMPUTED_VALUE"""),"FIP Engineering")</f>
        <v>FIP Engineering</v>
      </c>
      <c r="M1876" s="6" t="str">
        <f>IFERROR(__xludf.DUMMYFUNCTION("""COMPUTED_VALUE"""),"Irwan Sopian")</f>
        <v>Irwan Sopian</v>
      </c>
      <c r="N1876" s="6" t="str">
        <f>IFERROR(__xludf.DUMMYFUNCTION("""COMPUTED_VALUE"""),"FIP Engineering")</f>
        <v>FIP Engineering</v>
      </c>
      <c r="O1876" s="6" t="str">
        <f>IFERROR(__xludf.DUMMYFUNCTION("""COMPUTED_VALUE"""),"FIP-DOM-000-11304-OS00001-INA-000000")</f>
        <v>FIP-DOM-000-11304-OS00001-INA-000000</v>
      </c>
      <c r="P1876" s="6" t="str">
        <f>IFERROR(__xludf.DUMMYFUNCTION("""COMPUTED_VALUE"""),"PO Closed")</f>
        <v>PO Closed</v>
      </c>
      <c r="Q1876" s="6" t="str">
        <f>IFERROR(__xludf.DUMMYFUNCTION("""COMPUTED_VALUE"""),"GL2207023")</f>
        <v>GL2207023</v>
      </c>
      <c r="R1876" s="57">
        <f>IFERROR(__xludf.DUMMYFUNCTION("""COMPUTED_VALUE"""),44727.0)</f>
        <v>44727</v>
      </c>
      <c r="S1876" s="6" t="str">
        <f>IFERROR(__xludf.DUMMYFUNCTION("""COMPUTED_VALUE"""),"-")</f>
        <v>-</v>
      </c>
      <c r="T1876" s="57">
        <f>IFERROR(__xludf.DUMMYFUNCTION("""COMPUTED_VALUE"""),44764.0)</f>
        <v>44764</v>
      </c>
    </row>
    <row r="1877">
      <c r="A1877" s="6" t="str">
        <f>IFERROR(__xludf.DUMMYFUNCTION("""COMPUTED_VALUE"""),"221750276-3")</f>
        <v>221750276-3</v>
      </c>
      <c r="B1877" s="6" t="str">
        <f>IFERROR(__xludf.DUMMYFUNCTION("""COMPUTED_VALUE"""),"221750276 - Approved")</f>
        <v>221750276 - Approved</v>
      </c>
      <c r="C1877" s="6">
        <f>IFERROR(__xludf.DUMMYFUNCTION("""COMPUTED_VALUE"""),3.0)</f>
        <v>3</v>
      </c>
      <c r="D1877" s="6" t="str">
        <f>IFERROR(__xludf.DUMMYFUNCTION("""COMPUTED_VALUE"""),"P-14957-00")</f>
        <v>P-14957-00</v>
      </c>
      <c r="E1877" s="6" t="str">
        <f>IFERROR(__xludf.DUMMYFUNCTION("""COMPUTED_VALUE"""),"Straight Union KQ2H08-00A")</f>
        <v>Straight Union KQ2H08-00A</v>
      </c>
      <c r="F1877" s="6">
        <f>IFERROR(__xludf.DUMMYFUNCTION("""COMPUTED_VALUE"""),10.0)</f>
        <v>10</v>
      </c>
      <c r="G1877" s="6" t="str">
        <f>IFERROR(__xludf.DUMMYFUNCTION("""COMPUTED_VALUE"""),"Pieces")</f>
        <v>Pieces</v>
      </c>
      <c r="H1877" s="6" t="str">
        <f>IFERROR(__xludf.DUMMYFUNCTION("""COMPUTED_VALUE"""),"IDR")</f>
        <v>IDR</v>
      </c>
      <c r="I1877" s="6">
        <f>IFERROR(__xludf.DUMMYFUNCTION("""COMPUTED_VALUE"""),45000.0)</f>
        <v>45000</v>
      </c>
      <c r="J1877" s="6">
        <f>IFERROR(__xludf.DUMMYFUNCTION("""COMPUTED_VALUE"""),450000.0)</f>
        <v>450000</v>
      </c>
      <c r="K1877" s="57">
        <f>IFERROR(__xludf.DUMMYFUNCTION("""COMPUTED_VALUE"""),44750.0)</f>
        <v>44750</v>
      </c>
      <c r="L1877" s="6" t="str">
        <f>IFERROR(__xludf.DUMMYFUNCTION("""COMPUTED_VALUE"""),"FIP Engineering")</f>
        <v>FIP Engineering</v>
      </c>
      <c r="M1877" s="6" t="str">
        <f>IFERROR(__xludf.DUMMYFUNCTION("""COMPUTED_VALUE"""),"Irwan Sopian")</f>
        <v>Irwan Sopian</v>
      </c>
      <c r="N1877" s="6" t="str">
        <f>IFERROR(__xludf.DUMMYFUNCTION("""COMPUTED_VALUE"""),"FIP Engineering")</f>
        <v>FIP Engineering</v>
      </c>
      <c r="O1877" s="6" t="str">
        <f>IFERROR(__xludf.DUMMYFUNCTION("""COMPUTED_VALUE"""),"FIP-DOM-000-11304-OS00001-INA-000000")</f>
        <v>FIP-DOM-000-11304-OS00001-INA-000000</v>
      </c>
      <c r="P1877" s="6" t="str">
        <f>IFERROR(__xludf.DUMMYFUNCTION("""COMPUTED_VALUE"""),"PO Closed")</f>
        <v>PO Closed</v>
      </c>
      <c r="Q1877" s="6" t="str">
        <f>IFERROR(__xludf.DUMMYFUNCTION("""COMPUTED_VALUE"""),"GL2207023")</f>
        <v>GL2207023</v>
      </c>
      <c r="R1877" s="57">
        <f>IFERROR(__xludf.DUMMYFUNCTION("""COMPUTED_VALUE"""),44727.0)</f>
        <v>44727</v>
      </c>
      <c r="S1877" s="6" t="str">
        <f>IFERROR(__xludf.DUMMYFUNCTION("""COMPUTED_VALUE"""),"-")</f>
        <v>-</v>
      </c>
      <c r="T1877" s="57">
        <f>IFERROR(__xludf.DUMMYFUNCTION("""COMPUTED_VALUE"""),44764.0)</f>
        <v>44764</v>
      </c>
    </row>
    <row r="1878">
      <c r="A1878" s="6" t="str">
        <f>IFERROR(__xludf.DUMMYFUNCTION("""COMPUTED_VALUE"""),"221750281-1")</f>
        <v>221750281-1</v>
      </c>
      <c r="B1878" s="6" t="str">
        <f>IFERROR(__xludf.DUMMYFUNCTION("""COMPUTED_VALUE"""),"221750281 - Approved")</f>
        <v>221750281 - Approved</v>
      </c>
      <c r="C1878" s="6">
        <f>IFERROR(__xludf.DUMMYFUNCTION("""COMPUTED_VALUE"""),1.0)</f>
        <v>1</v>
      </c>
      <c r="D1878" s="6" t="str">
        <f>IFERROR(__xludf.DUMMYFUNCTION("""COMPUTED_VALUE"""),"O-51000-00")</f>
        <v>O-51000-00</v>
      </c>
      <c r="E1878" s="6" t="str">
        <f>IFERROR(__xludf.DUMMYFUNCTION("""COMPUTED_VALUE"""),"Colamark - Print Head for Part TTO Domino p/n EPP001359 SP")</f>
        <v>Colamark - Print Head for Part TTO Domino p/n EPP001359 SP</v>
      </c>
      <c r="F1878" s="6">
        <f>IFERROR(__xludf.DUMMYFUNCTION("""COMPUTED_VALUE"""),1.0)</f>
        <v>1</v>
      </c>
      <c r="G1878" s="6" t="str">
        <f>IFERROR(__xludf.DUMMYFUNCTION("""COMPUTED_VALUE"""),"Pieces")</f>
        <v>Pieces</v>
      </c>
      <c r="H1878" s="6" t="str">
        <f>IFERROR(__xludf.DUMMYFUNCTION("""COMPUTED_VALUE"""),"IDR")</f>
        <v>IDR</v>
      </c>
      <c r="I1878" s="6">
        <f>IFERROR(__xludf.DUMMYFUNCTION("""COMPUTED_VALUE"""),1.04558E7)</f>
        <v>10455800</v>
      </c>
      <c r="J1878" s="6">
        <f>IFERROR(__xludf.DUMMYFUNCTION("""COMPUTED_VALUE"""),1.04558E7)</f>
        <v>10455800</v>
      </c>
      <c r="K1878" s="57">
        <f>IFERROR(__xludf.DUMMYFUNCTION("""COMPUTED_VALUE"""),44771.0)</f>
        <v>44771</v>
      </c>
      <c r="L1878" s="6" t="str">
        <f>IFERROR(__xludf.DUMMYFUNCTION("""COMPUTED_VALUE"""),"FIP General")</f>
        <v>FIP General</v>
      </c>
      <c r="M1878" s="6" t="str">
        <f>IFERROR(__xludf.DUMMYFUNCTION("""COMPUTED_VALUE"""),"Irwan Sopian")</f>
        <v>Irwan Sopian</v>
      </c>
      <c r="N1878" s="6" t="str">
        <f>IFERROR(__xludf.DUMMYFUNCTION("""COMPUTED_VALUE"""),"FIP Engineering")</f>
        <v>FIP Engineering</v>
      </c>
      <c r="O1878" s="6" t="str">
        <f>IFERROR(__xludf.DUMMYFUNCTION("""COMPUTED_VALUE"""),"FIP-DOM-ENG-51504-0000000-INA-000000")</f>
        <v>FIP-DOM-ENG-51504-0000000-INA-000000</v>
      </c>
      <c r="P1878" s="6" t="str">
        <f>IFERROR(__xludf.DUMMYFUNCTION("""COMPUTED_VALUE"""),"PO Closed")</f>
        <v>PO Closed</v>
      </c>
      <c r="Q1878" s="6" t="str">
        <f>IFERROR(__xludf.DUMMYFUNCTION("""COMPUTED_VALUE"""),"GL2207024")</f>
        <v>GL2207024</v>
      </c>
      <c r="R1878" s="57">
        <f>IFERROR(__xludf.DUMMYFUNCTION("""COMPUTED_VALUE"""),44728.0)</f>
        <v>44728</v>
      </c>
      <c r="S1878" s="6" t="str">
        <f>IFERROR(__xludf.DUMMYFUNCTION("""COMPUTED_VALUE"""),"-")</f>
        <v>-</v>
      </c>
      <c r="T1878" s="57">
        <f>IFERROR(__xludf.DUMMYFUNCTION("""COMPUTED_VALUE"""),44771.0)</f>
        <v>44771</v>
      </c>
    </row>
    <row r="1879">
      <c r="A1879" s="6" t="str">
        <f>IFERROR(__xludf.DUMMYFUNCTION("""COMPUTED_VALUE"""),"221750280-1")</f>
        <v>221750280-1</v>
      </c>
      <c r="B1879" s="6" t="str">
        <f>IFERROR(__xludf.DUMMYFUNCTION("""COMPUTED_VALUE"""),"221750280 - Approved")</f>
        <v>221750280 - Approved</v>
      </c>
      <c r="C1879" s="6">
        <f>IFERROR(__xludf.DUMMYFUNCTION("""COMPUTED_VALUE"""),1.0)</f>
        <v>1</v>
      </c>
      <c r="D1879" s="6" t="str">
        <f>IFERROR(__xludf.DUMMYFUNCTION("""COMPUTED_VALUE"""),"P-13641-00")</f>
        <v>P-13641-00</v>
      </c>
      <c r="E1879" s="6" t="str">
        <f>IFERROR(__xludf.DUMMYFUNCTION("""COMPUTED_VALUE"""),"Filter SO 5 micron 30 inch O-ring 222 Bayonet")</f>
        <v>Filter SO 5 micron 30 inch O-ring 222 Bayonet</v>
      </c>
      <c r="F1879" s="6">
        <f>IFERROR(__xludf.DUMMYFUNCTION("""COMPUTED_VALUE"""),5.0)</f>
        <v>5</v>
      </c>
      <c r="G1879" s="6" t="str">
        <f>IFERROR(__xludf.DUMMYFUNCTION("""COMPUTED_VALUE"""),"Pieces")</f>
        <v>Pieces</v>
      </c>
      <c r="H1879" s="6" t="str">
        <f>IFERROR(__xludf.DUMMYFUNCTION("""COMPUTED_VALUE"""),"IDR")</f>
        <v>IDR</v>
      </c>
      <c r="I1879" s="6">
        <f>IFERROR(__xludf.DUMMYFUNCTION("""COMPUTED_VALUE"""),1795000.0)</f>
        <v>1795000</v>
      </c>
      <c r="J1879" s="6">
        <f>IFERROR(__xludf.DUMMYFUNCTION("""COMPUTED_VALUE"""),8975000.0)</f>
        <v>8975000</v>
      </c>
      <c r="K1879" s="57">
        <f>IFERROR(__xludf.DUMMYFUNCTION("""COMPUTED_VALUE"""),44771.0)</f>
        <v>44771</v>
      </c>
      <c r="L1879" s="6" t="str">
        <f>IFERROR(__xludf.DUMMYFUNCTION("""COMPUTED_VALUE"""),"FIP Engineering")</f>
        <v>FIP Engineering</v>
      </c>
      <c r="M1879" s="6" t="str">
        <f>IFERROR(__xludf.DUMMYFUNCTION("""COMPUTED_VALUE"""),"Irwan Sopian")</f>
        <v>Irwan Sopian</v>
      </c>
      <c r="N1879" s="6" t="str">
        <f>IFERROR(__xludf.DUMMYFUNCTION("""COMPUTED_VALUE"""),"FIP Engineering")</f>
        <v>FIP Engineering</v>
      </c>
      <c r="O1879" s="6" t="str">
        <f>IFERROR(__xludf.DUMMYFUNCTION("""COMPUTED_VALUE"""),"FIP-DOM-000-11304-OS00001-INA-000000")</f>
        <v>FIP-DOM-000-11304-OS00001-INA-000000</v>
      </c>
      <c r="P1879" s="6" t="str">
        <f>IFERROR(__xludf.DUMMYFUNCTION("""COMPUTED_VALUE"""),"PO Closed")</f>
        <v>PO Closed</v>
      </c>
      <c r="Q1879" s="6" t="str">
        <f>IFERROR(__xludf.DUMMYFUNCTION("""COMPUTED_VALUE"""),"GL2207025")</f>
        <v>GL2207025</v>
      </c>
      <c r="R1879" s="57">
        <f>IFERROR(__xludf.DUMMYFUNCTION("""COMPUTED_VALUE"""),44728.0)</f>
        <v>44728</v>
      </c>
      <c r="S1879" s="6" t="str">
        <f>IFERROR(__xludf.DUMMYFUNCTION("""COMPUTED_VALUE"""),"-")</f>
        <v>-</v>
      </c>
      <c r="T1879" s="57">
        <f>IFERROR(__xludf.DUMMYFUNCTION("""COMPUTED_VALUE"""),44771.0)</f>
        <v>44771</v>
      </c>
    </row>
    <row r="1880">
      <c r="A1880" s="6" t="str">
        <f>IFERROR(__xludf.DUMMYFUNCTION("""COMPUTED_VALUE"""),"221750279-1")</f>
        <v>221750279-1</v>
      </c>
      <c r="B1880" s="6" t="str">
        <f>IFERROR(__xludf.DUMMYFUNCTION("""COMPUTED_VALUE"""),"221750279 - Approved")</f>
        <v>221750279 - Approved</v>
      </c>
      <c r="C1880" s="6">
        <f>IFERROR(__xludf.DUMMYFUNCTION("""COMPUTED_VALUE"""),1.0)</f>
        <v>1</v>
      </c>
      <c r="D1880" s="6" t="str">
        <f>IFERROR(__xludf.DUMMYFUNCTION("""COMPUTED_VALUE"""),"T-20123-00")</f>
        <v>T-20123-00</v>
      </c>
      <c r="E1880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880" s="6">
        <f>IFERROR(__xludf.DUMMYFUNCTION("""COMPUTED_VALUE"""),2.0)</f>
        <v>2</v>
      </c>
      <c r="G1880" s="6" t="str">
        <f>IFERROR(__xludf.DUMMYFUNCTION("""COMPUTED_VALUE"""),"Pieces")</f>
        <v>Pieces</v>
      </c>
      <c r="H1880" s="6" t="str">
        <f>IFERROR(__xludf.DUMMYFUNCTION("""COMPUTED_VALUE"""),"IDR")</f>
        <v>IDR</v>
      </c>
      <c r="I1880" s="6">
        <f>IFERROR(__xludf.DUMMYFUNCTION("""COMPUTED_VALUE"""),1.0859355E7)</f>
        <v>10859355</v>
      </c>
      <c r="J1880" s="6">
        <f>IFERROR(__xludf.DUMMYFUNCTION("""COMPUTED_VALUE"""),2.171871E7)</f>
        <v>21718710</v>
      </c>
      <c r="K1880" s="57">
        <f>IFERROR(__xludf.DUMMYFUNCTION("""COMPUTED_VALUE"""),44771.0)</f>
        <v>44771</v>
      </c>
      <c r="L1880" s="6" t="str">
        <f>IFERROR(__xludf.DUMMYFUNCTION("""COMPUTED_VALUE"""),"FIP General")</f>
        <v>FIP General</v>
      </c>
      <c r="M1880" s="6" t="str">
        <f>IFERROR(__xludf.DUMMYFUNCTION("""COMPUTED_VALUE"""),"Irwan Sopian")</f>
        <v>Irwan Sopian</v>
      </c>
      <c r="N1880" s="6" t="str">
        <f>IFERROR(__xludf.DUMMYFUNCTION("""COMPUTED_VALUE"""),"FIP Engineering")</f>
        <v>FIP Engineering</v>
      </c>
      <c r="O1880" s="6" t="str">
        <f>IFERROR(__xludf.DUMMYFUNCTION("""COMPUTED_VALUE"""),"FIP-DOM-ENG-51505-0000000-INA-000000")</f>
        <v>FIP-DOM-ENG-51505-0000000-INA-000000</v>
      </c>
      <c r="P1880" s="6" t="str">
        <f>IFERROR(__xludf.DUMMYFUNCTION("""COMPUTED_VALUE"""),"PO Closed")</f>
        <v>PO Closed</v>
      </c>
      <c r="Q1880" s="6" t="str">
        <f>IFERROR(__xludf.DUMMYFUNCTION("""COMPUTED_VALUE"""),"GL2204019")</f>
        <v>GL2204019</v>
      </c>
      <c r="R1880" s="57">
        <f>IFERROR(__xludf.DUMMYFUNCTION("""COMPUTED_VALUE"""),44728.0)</f>
        <v>44728</v>
      </c>
      <c r="S1880" s="6" t="str">
        <f>IFERROR(__xludf.DUMMYFUNCTION("""COMPUTED_VALUE"""),"-")</f>
        <v>-</v>
      </c>
      <c r="T1880" s="57">
        <f>IFERROR(__xludf.DUMMYFUNCTION("""COMPUTED_VALUE"""),44750.0)</f>
        <v>44750</v>
      </c>
    </row>
    <row r="1881">
      <c r="A1881" s="6" t="str">
        <f>IFERROR(__xludf.DUMMYFUNCTION("""COMPUTED_VALUE"""),"221750278-1")</f>
        <v>221750278-1</v>
      </c>
      <c r="B1881" s="6" t="str">
        <f>IFERROR(__xludf.DUMMYFUNCTION("""COMPUTED_VALUE"""),"221750278 - Approved")</f>
        <v>221750278 - Approved</v>
      </c>
      <c r="C1881" s="6">
        <f>IFERROR(__xludf.DUMMYFUNCTION("""COMPUTED_VALUE"""),1.0)</f>
        <v>1</v>
      </c>
      <c r="D1881" s="6" t="str">
        <f>IFERROR(__xludf.DUMMYFUNCTION("""COMPUTED_VALUE"""),"S-60002-00")</f>
        <v>S-60002-00</v>
      </c>
      <c r="E1881" s="6" t="str">
        <f>IFERROR(__xludf.DUMMYFUNCTION("""COMPUTED_VALUE"""),"Service Printer MT2460")</f>
        <v>Service Printer MT2460</v>
      </c>
      <c r="F1881" s="6">
        <f>IFERROR(__xludf.DUMMYFUNCTION("""COMPUTED_VALUE"""),1.0)</f>
        <v>1</v>
      </c>
      <c r="G1881" s="6" t="str">
        <f>IFERROR(__xludf.DUMMYFUNCTION("""COMPUTED_VALUE"""),"Lot")</f>
        <v>Lot</v>
      </c>
      <c r="H1881" s="6" t="str">
        <f>IFERROR(__xludf.DUMMYFUNCTION("""COMPUTED_VALUE"""),"IDR")</f>
        <v>IDR</v>
      </c>
      <c r="I1881" s="6">
        <f>IFERROR(__xludf.DUMMYFUNCTION("""COMPUTED_VALUE"""),575000.0)</f>
        <v>575000</v>
      </c>
      <c r="J1881" s="6">
        <f>IFERROR(__xludf.DUMMYFUNCTION("""COMPUTED_VALUE"""),575000.0)</f>
        <v>575000</v>
      </c>
      <c r="K1881" s="57">
        <f>IFERROR(__xludf.DUMMYFUNCTION("""COMPUTED_VALUE"""),44757.0)</f>
        <v>44757</v>
      </c>
      <c r="L1881" s="6" t="str">
        <f>IFERROR(__xludf.DUMMYFUNCTION("""COMPUTED_VALUE"""),"FIP General")</f>
        <v>FIP General</v>
      </c>
      <c r="M1881" s="6" t="str">
        <f>IFERROR(__xludf.DUMMYFUNCTION("""COMPUTED_VALUE"""),"Irwan Sopian")</f>
        <v>Irwan Sopian</v>
      </c>
      <c r="N1881" s="6" t="str">
        <f>IFERROR(__xludf.DUMMYFUNCTION("""COMPUTED_VALUE"""),"FIP Engineering")</f>
        <v>FIP Engineering</v>
      </c>
      <c r="O1881" s="6" t="str">
        <f>IFERROR(__xludf.DUMMYFUNCTION("""COMPUTED_VALUE"""),"FIP-DOM-ENG-51508-0000000-INA-000000")</f>
        <v>FIP-DOM-ENG-51508-0000000-INA-000000</v>
      </c>
      <c r="P1881" s="6" t="str">
        <f>IFERROR(__xludf.DUMMYFUNCTION("""COMPUTED_VALUE"""),"PO Closed")</f>
        <v>PO Closed</v>
      </c>
      <c r="Q1881" s="6" t="str">
        <f>IFERROR(__xludf.DUMMYFUNCTION("""COMPUTED_VALUE"""),"GL2207022")</f>
        <v>GL2207022</v>
      </c>
      <c r="R1881" s="57">
        <f>IFERROR(__xludf.DUMMYFUNCTION("""COMPUTED_VALUE"""),44728.0)</f>
        <v>44728</v>
      </c>
      <c r="S1881" s="6" t="str">
        <f>IFERROR(__xludf.DUMMYFUNCTION("""COMPUTED_VALUE"""),"-")</f>
        <v>-</v>
      </c>
      <c r="T1881" s="57">
        <f>IFERROR(__xludf.DUMMYFUNCTION("""COMPUTED_VALUE"""),44762.0)</f>
        <v>44762</v>
      </c>
    </row>
    <row r="1882">
      <c r="A1882" s="6" t="str">
        <f>IFERROR(__xludf.DUMMYFUNCTION("""COMPUTED_VALUE"""),"221750285-1")</f>
        <v>221750285-1</v>
      </c>
      <c r="B1882" s="6" t="str">
        <f>IFERROR(__xludf.DUMMYFUNCTION("""COMPUTED_VALUE"""),"221750285 - Approved")</f>
        <v>221750285 - Approved</v>
      </c>
      <c r="C1882" s="6">
        <f>IFERROR(__xludf.DUMMYFUNCTION("""COMPUTED_VALUE"""),1.0)</f>
        <v>1</v>
      </c>
      <c r="D1882" s="6" t="str">
        <f>IFERROR(__xludf.DUMMYFUNCTION("""COMPUTED_VALUE"""),"S-60109-00")</f>
        <v>S-60109-00</v>
      </c>
      <c r="E1882" s="6" t="str">
        <f>IFERROR(__xludf.DUMMYFUNCTION("""COMPUTED_VALUE"""),"Watermur Kuningan Custom Koneksi Pompa cRABS")</f>
        <v>Watermur Kuningan Custom Koneksi Pompa cRABS</v>
      </c>
      <c r="F1882" s="6">
        <f>IFERROR(__xludf.DUMMYFUNCTION("""COMPUTED_VALUE"""),1.0)</f>
        <v>1</v>
      </c>
      <c r="G1882" s="6" t="str">
        <f>IFERROR(__xludf.DUMMYFUNCTION("""COMPUTED_VALUE"""),"Pieces")</f>
        <v>Pieces</v>
      </c>
      <c r="H1882" s="6" t="str">
        <f>IFERROR(__xludf.DUMMYFUNCTION("""COMPUTED_VALUE"""),"IDR")</f>
        <v>IDR</v>
      </c>
      <c r="I1882" s="6">
        <f>IFERROR(__xludf.DUMMYFUNCTION("""COMPUTED_VALUE"""),1588000.0)</f>
        <v>1588000</v>
      </c>
      <c r="J1882" s="6">
        <f>IFERROR(__xludf.DUMMYFUNCTION("""COMPUTED_VALUE"""),1588000.0)</f>
        <v>1588000</v>
      </c>
      <c r="K1882" s="57">
        <f>IFERROR(__xludf.DUMMYFUNCTION("""COMPUTED_VALUE"""),44764.0)</f>
        <v>44764</v>
      </c>
      <c r="L1882" s="6" t="str">
        <f>IFERROR(__xludf.DUMMYFUNCTION("""COMPUTED_VALUE"""),"FIP General")</f>
        <v>FIP General</v>
      </c>
      <c r="M1882" s="6" t="str">
        <f>IFERROR(__xludf.DUMMYFUNCTION("""COMPUTED_VALUE"""),"Irwan Sopian")</f>
        <v>Irwan Sopian</v>
      </c>
      <c r="N1882" s="6" t="str">
        <f>IFERROR(__xludf.DUMMYFUNCTION("""COMPUTED_VALUE"""),"FIP Engineering")</f>
        <v>FIP Engineering</v>
      </c>
      <c r="O1882" s="6" t="str">
        <f>IFERROR(__xludf.DUMMYFUNCTION("""COMPUTED_VALUE"""),"FIP-DOM-ENG-51504-0000000-INA-000000")</f>
        <v>FIP-DOM-ENG-51504-0000000-INA-000000</v>
      </c>
      <c r="P1882" s="6" t="str">
        <f>IFERROR(__xludf.DUMMYFUNCTION("""COMPUTED_VALUE"""),"PO Closed")</f>
        <v>PO Closed</v>
      </c>
      <c r="Q1882" s="6" t="str">
        <f>IFERROR(__xludf.DUMMYFUNCTION("""COMPUTED_VALUE"""),"GL2207056")</f>
        <v>GL2207056</v>
      </c>
      <c r="R1882" s="57">
        <f>IFERROR(__xludf.DUMMYFUNCTION("""COMPUTED_VALUE"""),44729.0)</f>
        <v>44729</v>
      </c>
      <c r="S1882" s="6" t="str">
        <f>IFERROR(__xludf.DUMMYFUNCTION("""COMPUTED_VALUE"""),"-")</f>
        <v>-</v>
      </c>
      <c r="T1882" s="57">
        <f>IFERROR(__xludf.DUMMYFUNCTION("""COMPUTED_VALUE"""),44820.0)</f>
        <v>44820</v>
      </c>
    </row>
    <row r="1883">
      <c r="A1883" s="6" t="str">
        <f>IFERROR(__xludf.DUMMYFUNCTION("""COMPUTED_VALUE"""),"221750284-1")</f>
        <v>221750284-1</v>
      </c>
      <c r="B1883" s="6" t="str">
        <f>IFERROR(__xludf.DUMMYFUNCTION("""COMPUTED_VALUE"""),"221750284 - Approved")</f>
        <v>221750284 - Approved</v>
      </c>
      <c r="C1883" s="6">
        <f>IFERROR(__xludf.DUMMYFUNCTION("""COMPUTED_VALUE"""),1.0)</f>
        <v>1</v>
      </c>
      <c r="D1883" s="6" t="str">
        <f>IFERROR(__xludf.DUMMYFUNCTION("""COMPUTED_VALUE"""),"P-14993-00")</f>
        <v>P-14993-00</v>
      </c>
      <c r="E1883" s="6" t="str">
        <f>IFERROR(__xludf.DUMMYFUNCTION("""COMPUTED_VALUE"""),"Ferrule to Hose 1,5 inch x 7mm; ; ;")</f>
        <v>Ferrule to Hose 1,5 inch x 7mm; ; ;</v>
      </c>
      <c r="F1883" s="6">
        <f>IFERROR(__xludf.DUMMYFUNCTION("""COMPUTED_VALUE"""),8.0)</f>
        <v>8</v>
      </c>
      <c r="G1883" s="6" t="str">
        <f>IFERROR(__xludf.DUMMYFUNCTION("""COMPUTED_VALUE"""),"Pieces")</f>
        <v>Pieces</v>
      </c>
      <c r="H1883" s="6" t="str">
        <f>IFERROR(__xludf.DUMMYFUNCTION("""COMPUTED_VALUE"""),"IDR")</f>
        <v>IDR</v>
      </c>
      <c r="I1883" s="6">
        <f>IFERROR(__xludf.DUMMYFUNCTION("""COMPUTED_VALUE"""),585000.0)</f>
        <v>585000</v>
      </c>
      <c r="J1883" s="6">
        <f>IFERROR(__xludf.DUMMYFUNCTION("""COMPUTED_VALUE"""),4680000.0)</f>
        <v>4680000</v>
      </c>
      <c r="K1883" s="57">
        <f>IFERROR(__xludf.DUMMYFUNCTION("""COMPUTED_VALUE"""),44764.0)</f>
        <v>44764</v>
      </c>
      <c r="L1883" s="6" t="str">
        <f>IFERROR(__xludf.DUMMYFUNCTION("""COMPUTED_VALUE"""),"FIP Engineering")</f>
        <v>FIP Engineering</v>
      </c>
      <c r="M1883" s="6" t="str">
        <f>IFERROR(__xludf.DUMMYFUNCTION("""COMPUTED_VALUE"""),"Irwan Sopian")</f>
        <v>Irwan Sopian</v>
      </c>
      <c r="N1883" s="6" t="str">
        <f>IFERROR(__xludf.DUMMYFUNCTION("""COMPUTED_VALUE"""),"FIP Engineering")</f>
        <v>FIP Engineering</v>
      </c>
      <c r="O1883" s="6" t="str">
        <f>IFERROR(__xludf.DUMMYFUNCTION("""COMPUTED_VALUE"""),"FIP-DOM-000-11304-OS00001-INA-000000")</f>
        <v>FIP-DOM-000-11304-OS00001-INA-000000</v>
      </c>
      <c r="P1883" s="6" t="str">
        <f>IFERROR(__xludf.DUMMYFUNCTION("""COMPUTED_VALUE"""),"PO Closed")</f>
        <v>PO Closed</v>
      </c>
      <c r="Q1883" s="6" t="str">
        <f>IFERROR(__xludf.DUMMYFUNCTION("""COMPUTED_VALUE"""),"GL2208322")</f>
        <v>GL2208322</v>
      </c>
      <c r="R1883" s="57">
        <f>IFERROR(__xludf.DUMMYFUNCTION("""COMPUTED_VALUE"""),44729.0)</f>
        <v>44729</v>
      </c>
      <c r="S1883" s="6" t="str">
        <f>IFERROR(__xludf.DUMMYFUNCTION("""COMPUTED_VALUE"""),"-")</f>
        <v>-</v>
      </c>
      <c r="T1883" s="57">
        <f>IFERROR(__xludf.DUMMYFUNCTION("""COMPUTED_VALUE"""),44803.0)</f>
        <v>44803</v>
      </c>
    </row>
    <row r="1884">
      <c r="A1884" s="6" t="str">
        <f>IFERROR(__xludf.DUMMYFUNCTION("""COMPUTED_VALUE"""),"221750283-1")</f>
        <v>221750283-1</v>
      </c>
      <c r="B1884" s="6" t="str">
        <f>IFERROR(__xludf.DUMMYFUNCTION("""COMPUTED_VALUE"""),"221750283 - Approved")</f>
        <v>221750283 - Approved</v>
      </c>
      <c r="C1884" s="6">
        <f>IFERROR(__xludf.DUMMYFUNCTION("""COMPUTED_VALUE"""),1.0)</f>
        <v>1</v>
      </c>
      <c r="D1884" s="6" t="str">
        <f>IFERROR(__xludf.DUMMYFUNCTION("""COMPUTED_VALUE"""),"O-18445-00")</f>
        <v>O-18445-00</v>
      </c>
      <c r="E1884" s="6" t="str">
        <f>IFERROR(__xludf.DUMMYFUNCTION("""COMPUTED_VALUE"""),"Tunnel ST1L - Oufeed Guide POM White")</f>
        <v>Tunnel ST1L - Oufeed Guide POM White</v>
      </c>
      <c r="F1884" s="6">
        <f>IFERROR(__xludf.DUMMYFUNCTION("""COMPUTED_VALUE"""),2.0)</f>
        <v>2</v>
      </c>
      <c r="G1884" s="6" t="str">
        <f>IFERROR(__xludf.DUMMYFUNCTION("""COMPUTED_VALUE"""),"Pieces")</f>
        <v>Pieces</v>
      </c>
      <c r="H1884" s="6" t="str">
        <f>IFERROR(__xludf.DUMMYFUNCTION("""COMPUTED_VALUE"""),"IDR")</f>
        <v>IDR</v>
      </c>
      <c r="I1884" s="6">
        <f>IFERROR(__xludf.DUMMYFUNCTION("""COMPUTED_VALUE"""),1042000.0)</f>
        <v>1042000</v>
      </c>
      <c r="J1884" s="6">
        <f>IFERROR(__xludf.DUMMYFUNCTION("""COMPUTED_VALUE"""),2084000.0)</f>
        <v>2084000</v>
      </c>
      <c r="K1884" s="57">
        <f>IFERROR(__xludf.DUMMYFUNCTION("""COMPUTED_VALUE"""),44757.0)</f>
        <v>44757</v>
      </c>
      <c r="L1884" s="6" t="str">
        <f>IFERROR(__xludf.DUMMYFUNCTION("""COMPUTED_VALUE"""),"FIP Engineering")</f>
        <v>FIP Engineering</v>
      </c>
      <c r="M1884" s="6" t="str">
        <f>IFERROR(__xludf.DUMMYFUNCTION("""COMPUTED_VALUE"""),"Irwan Sopian")</f>
        <v>Irwan Sopian</v>
      </c>
      <c r="N1884" s="6" t="str">
        <f>IFERROR(__xludf.DUMMYFUNCTION("""COMPUTED_VALUE"""),"FIP Engineering")</f>
        <v>FIP Engineering</v>
      </c>
      <c r="O1884" s="6" t="str">
        <f>IFERROR(__xludf.DUMMYFUNCTION("""COMPUTED_VALUE"""),"FIP-DOM-000-11304-OS00001-INA-000000")</f>
        <v>FIP-DOM-000-11304-OS00001-INA-000000</v>
      </c>
      <c r="P1884" s="6" t="str">
        <f>IFERROR(__xludf.DUMMYFUNCTION("""COMPUTED_VALUE"""),"PO Closed")</f>
        <v>PO Closed</v>
      </c>
      <c r="Q1884" s="6" t="str">
        <f>IFERROR(__xludf.DUMMYFUNCTION("""COMPUTED_VALUE"""),"GL2207026")</f>
        <v>GL2207026</v>
      </c>
      <c r="R1884" s="57">
        <f>IFERROR(__xludf.DUMMYFUNCTION("""COMPUTED_VALUE"""),44729.0)</f>
        <v>44729</v>
      </c>
      <c r="S1884" s="6" t="str">
        <f>IFERROR(__xludf.DUMMYFUNCTION("""COMPUTED_VALUE"""),"-")</f>
        <v>-</v>
      </c>
      <c r="T1884" s="57">
        <f>IFERROR(__xludf.DUMMYFUNCTION("""COMPUTED_VALUE"""),44772.0)</f>
        <v>44772</v>
      </c>
    </row>
    <row r="1885">
      <c r="A1885" s="6" t="str">
        <f>IFERROR(__xludf.DUMMYFUNCTION("""COMPUTED_VALUE"""),"221750283-2")</f>
        <v>221750283-2</v>
      </c>
      <c r="B1885" s="6" t="str">
        <f>IFERROR(__xludf.DUMMYFUNCTION("""COMPUTED_VALUE"""),"221750283 - Approved")</f>
        <v>221750283 - Approved</v>
      </c>
      <c r="C1885" s="6">
        <f>IFERROR(__xludf.DUMMYFUNCTION("""COMPUTED_VALUE"""),2.0)</f>
        <v>2</v>
      </c>
      <c r="D1885" s="6" t="str">
        <f>IFERROR(__xludf.DUMMYFUNCTION("""COMPUTED_VALUE"""),"S-60002-00")</f>
        <v>S-60002-00</v>
      </c>
      <c r="E1885" s="6" t="str">
        <f>IFERROR(__xludf.DUMMYFUNCTION("""COMPUTED_VALUE"""),"Perbaikan - Oufeed Guide POM White")</f>
        <v>Perbaikan - Oufeed Guide POM White</v>
      </c>
      <c r="F1885" s="6">
        <f>IFERROR(__xludf.DUMMYFUNCTION("""COMPUTED_VALUE"""),2.0)</f>
        <v>2</v>
      </c>
      <c r="G1885" s="6" t="str">
        <f>IFERROR(__xludf.DUMMYFUNCTION("""COMPUTED_VALUE"""),"Lot")</f>
        <v>Lot</v>
      </c>
      <c r="H1885" s="6" t="str">
        <f>IFERROR(__xludf.DUMMYFUNCTION("""COMPUTED_VALUE"""),"IDR")</f>
        <v>IDR</v>
      </c>
      <c r="I1885" s="6">
        <f>IFERROR(__xludf.DUMMYFUNCTION("""COMPUTED_VALUE"""),1385000.0)</f>
        <v>1385000</v>
      </c>
      <c r="J1885" s="6">
        <f>IFERROR(__xludf.DUMMYFUNCTION("""COMPUTED_VALUE"""),2770000.0)</f>
        <v>2770000</v>
      </c>
      <c r="K1885" s="57">
        <f>IFERROR(__xludf.DUMMYFUNCTION("""COMPUTED_VALUE"""),44757.0)</f>
        <v>44757</v>
      </c>
      <c r="L1885" s="6" t="str">
        <f>IFERROR(__xludf.DUMMYFUNCTION("""COMPUTED_VALUE"""),"FIP General")</f>
        <v>FIP General</v>
      </c>
      <c r="M1885" s="6" t="str">
        <f>IFERROR(__xludf.DUMMYFUNCTION("""COMPUTED_VALUE"""),"Irwan Sopian")</f>
        <v>Irwan Sopian</v>
      </c>
      <c r="N1885" s="6" t="str">
        <f>IFERROR(__xludf.DUMMYFUNCTION("""COMPUTED_VALUE"""),"FIP Engineering")</f>
        <v>FIP Engineering</v>
      </c>
      <c r="O1885" s="6" t="str">
        <f>IFERROR(__xludf.DUMMYFUNCTION("""COMPUTED_VALUE"""),"FIP-DOM-ENG-51508-0000000-INA-000000")</f>
        <v>FIP-DOM-ENG-51508-0000000-INA-000000</v>
      </c>
      <c r="P1885" s="6" t="str">
        <f>IFERROR(__xludf.DUMMYFUNCTION("""COMPUTED_VALUE"""),"PO Closed")</f>
        <v>PO Closed</v>
      </c>
      <c r="Q1885" s="6" t="str">
        <f>IFERROR(__xludf.DUMMYFUNCTION("""COMPUTED_VALUE"""),"GL2207026")</f>
        <v>GL2207026</v>
      </c>
      <c r="R1885" s="57">
        <f>IFERROR(__xludf.DUMMYFUNCTION("""COMPUTED_VALUE"""),44729.0)</f>
        <v>44729</v>
      </c>
      <c r="S1885" s="6" t="str">
        <f>IFERROR(__xludf.DUMMYFUNCTION("""COMPUTED_VALUE"""),"-")</f>
        <v>-</v>
      </c>
      <c r="T1885" s="57">
        <f>IFERROR(__xludf.DUMMYFUNCTION("""COMPUTED_VALUE"""),44772.0)</f>
        <v>44772</v>
      </c>
    </row>
    <row r="1886">
      <c r="A1886" s="6" t="str">
        <f>IFERROR(__xludf.DUMMYFUNCTION("""COMPUTED_VALUE"""),"221750282-1")</f>
        <v>221750282-1</v>
      </c>
      <c r="B1886" s="6" t="str">
        <f>IFERROR(__xludf.DUMMYFUNCTION("""COMPUTED_VALUE"""),"221750282 - Approved")</f>
        <v>221750282 - Approved</v>
      </c>
      <c r="C1886" s="6">
        <f>IFERROR(__xludf.DUMMYFUNCTION("""COMPUTED_VALUE"""),1.0)</f>
        <v>1</v>
      </c>
      <c r="D1886" s="6" t="str">
        <f>IFERROR(__xludf.DUMMYFUNCTION("""COMPUTED_VALUE"""),"T-25092-00")</f>
        <v>T-25092-00</v>
      </c>
      <c r="E1886" s="6" t="str">
        <f>IFERROR(__xludf.DUMMYFUNCTION("""COMPUTED_VALUE"""),"TSF Battery without Activator for TrackSense Frigo35900061")</f>
        <v>TSF Battery without Activator for TrackSense Frigo35900061</v>
      </c>
      <c r="F1886" s="6">
        <f>IFERROR(__xludf.DUMMYFUNCTION("""COMPUTED_VALUE"""),9.0)</f>
        <v>9</v>
      </c>
      <c r="G1886" s="6" t="str">
        <f>IFERROR(__xludf.DUMMYFUNCTION("""COMPUTED_VALUE"""),"Pieces")</f>
        <v>Pieces</v>
      </c>
      <c r="H1886" s="6" t="str">
        <f>IFERROR(__xludf.DUMMYFUNCTION("""COMPUTED_VALUE"""),"IDR")</f>
        <v>IDR</v>
      </c>
      <c r="I1886" s="6">
        <f>IFERROR(__xludf.DUMMYFUNCTION("""COMPUTED_VALUE"""),1350000.0)</f>
        <v>1350000</v>
      </c>
      <c r="J1886" s="6">
        <f>IFERROR(__xludf.DUMMYFUNCTION("""COMPUTED_VALUE"""),1.215E7)</f>
        <v>12150000</v>
      </c>
      <c r="K1886" s="57">
        <f>IFERROR(__xludf.DUMMYFUNCTION("""COMPUTED_VALUE"""),44757.0)</f>
        <v>44757</v>
      </c>
      <c r="L1886" s="6" t="str">
        <f>IFERROR(__xludf.DUMMYFUNCTION("""COMPUTED_VALUE"""),"FIP General")</f>
        <v>FIP General</v>
      </c>
      <c r="M1886" s="6" t="str">
        <f>IFERROR(__xludf.DUMMYFUNCTION("""COMPUTED_VALUE"""),"Irwan Sopian")</f>
        <v>Irwan Sopian</v>
      </c>
      <c r="N1886" s="6" t="str">
        <f>IFERROR(__xludf.DUMMYFUNCTION("""COMPUTED_VALUE"""),"FIP Engineering")</f>
        <v>FIP Engineering</v>
      </c>
      <c r="O1886" s="6" t="str">
        <f>IFERROR(__xludf.DUMMYFUNCTION("""COMPUTED_VALUE"""),"FIP-DOM-ENG-51404-0000000-INA-000000")</f>
        <v>FIP-DOM-ENG-51404-0000000-INA-000000</v>
      </c>
      <c r="P1886" s="6" t="str">
        <f>IFERROR(__xludf.DUMMYFUNCTION("""COMPUTED_VALUE"""),"PO Closed")</f>
        <v>PO Closed</v>
      </c>
      <c r="Q1886" s="6" t="str">
        <f>IFERROR(__xludf.DUMMYFUNCTION("""COMPUTED_VALUE"""),"GL2207012")</f>
        <v>GL2207012</v>
      </c>
      <c r="R1886" s="57">
        <f>IFERROR(__xludf.DUMMYFUNCTION("""COMPUTED_VALUE"""),44729.0)</f>
        <v>44729</v>
      </c>
      <c r="S1886" s="6" t="str">
        <f>IFERROR(__xludf.DUMMYFUNCTION("""COMPUTED_VALUE"""),"-")</f>
        <v>-</v>
      </c>
      <c r="T1886" s="57">
        <f>IFERROR(__xludf.DUMMYFUNCTION("""COMPUTED_VALUE"""),44820.0)</f>
        <v>44820</v>
      </c>
    </row>
    <row r="1887">
      <c r="A1887" s="6" t="str">
        <f>IFERROR(__xludf.DUMMYFUNCTION("""COMPUTED_VALUE"""),"221750292-1")</f>
        <v>221750292-1</v>
      </c>
      <c r="B1887" s="6" t="str">
        <f>IFERROR(__xludf.DUMMYFUNCTION("""COMPUTED_VALUE"""),"221750292 - Approved")</f>
        <v>221750292 - Approved</v>
      </c>
      <c r="C1887" s="6">
        <f>IFERROR(__xludf.DUMMYFUNCTION("""COMPUTED_VALUE"""),1.0)</f>
        <v>1</v>
      </c>
      <c r="D1887" s="6" t="str">
        <f>IFERROR(__xludf.DUMMYFUNCTION("""COMPUTED_VALUE"""),"P-52017-00")</f>
        <v>P-52017-00</v>
      </c>
      <c r="E1887" s="6" t="str">
        <f>IFERROR(__xludf.DUMMYFUNCTION("""COMPUTED_VALUE"""),"Air Damper Actuators GDB166.1E Siemens")</f>
        <v>Air Damper Actuators GDB166.1E Siemens</v>
      </c>
      <c r="F1887" s="6">
        <f>IFERROR(__xludf.DUMMYFUNCTION("""COMPUTED_VALUE"""),2.0)</f>
        <v>2</v>
      </c>
      <c r="G1887" s="6" t="str">
        <f>IFERROR(__xludf.DUMMYFUNCTION("""COMPUTED_VALUE"""),"Pieces")</f>
        <v>Pieces</v>
      </c>
      <c r="H1887" s="6" t="str">
        <f>IFERROR(__xludf.DUMMYFUNCTION("""COMPUTED_VALUE"""),"IDR")</f>
        <v>IDR</v>
      </c>
      <c r="I1887" s="6">
        <f>IFERROR(__xludf.DUMMYFUNCTION("""COMPUTED_VALUE"""),3040000.0)</f>
        <v>3040000</v>
      </c>
      <c r="J1887" s="6">
        <f>IFERROR(__xludf.DUMMYFUNCTION("""COMPUTED_VALUE"""),6080000.0)</f>
        <v>6080000</v>
      </c>
      <c r="K1887" s="57">
        <f>IFERROR(__xludf.DUMMYFUNCTION("""COMPUTED_VALUE"""),44764.0)</f>
        <v>44764</v>
      </c>
      <c r="L1887" s="6" t="str">
        <f>IFERROR(__xludf.DUMMYFUNCTION("""COMPUTED_VALUE"""),"FIP Engineering")</f>
        <v>FIP Engineering</v>
      </c>
      <c r="M1887" s="6" t="str">
        <f>IFERROR(__xludf.DUMMYFUNCTION("""COMPUTED_VALUE"""),"Irwan Sopian")</f>
        <v>Irwan Sopian</v>
      </c>
      <c r="N1887" s="6" t="str">
        <f>IFERROR(__xludf.DUMMYFUNCTION("""COMPUTED_VALUE"""),"FIP Engineering")</f>
        <v>FIP Engineering</v>
      </c>
      <c r="O1887" s="6" t="str">
        <f>IFERROR(__xludf.DUMMYFUNCTION("""COMPUTED_VALUE"""),"FIP-DOM-000-11304-OS00001-INA-000000")</f>
        <v>FIP-DOM-000-11304-OS00001-INA-000000</v>
      </c>
      <c r="P1887" s="6" t="str">
        <f>IFERROR(__xludf.DUMMYFUNCTION("""COMPUTED_VALUE"""),"PO Closed")</f>
        <v>PO Closed</v>
      </c>
      <c r="Q1887" s="6" t="str">
        <f>IFERROR(__xludf.DUMMYFUNCTION("""COMPUTED_VALUE"""),"GL2207063")</f>
        <v>GL2207063</v>
      </c>
      <c r="R1887" s="57">
        <f>IFERROR(__xludf.DUMMYFUNCTION("""COMPUTED_VALUE"""),44733.0)</f>
        <v>44733</v>
      </c>
      <c r="S1887" s="6" t="str">
        <f>IFERROR(__xludf.DUMMYFUNCTION("""COMPUTED_VALUE"""),"-")</f>
        <v>-</v>
      </c>
      <c r="T1887" s="57">
        <f>IFERROR(__xludf.DUMMYFUNCTION("""COMPUTED_VALUE"""),44793.0)</f>
        <v>44793</v>
      </c>
    </row>
    <row r="1888">
      <c r="A1888" s="6" t="str">
        <f>IFERROR(__xludf.DUMMYFUNCTION("""COMPUTED_VALUE"""),"221750298-1")</f>
        <v>221750298-1</v>
      </c>
      <c r="B1888" s="6" t="str">
        <f>IFERROR(__xludf.DUMMYFUNCTION("""COMPUTED_VALUE"""),"221750298 - Approved")</f>
        <v>221750298 - Approved</v>
      </c>
      <c r="C1888" s="6">
        <f>IFERROR(__xludf.DUMMYFUNCTION("""COMPUTED_VALUE"""),1.0)</f>
        <v>1</v>
      </c>
      <c r="D1888" s="6" t="str">
        <f>IFERROR(__xludf.DUMMYFUNCTION("""COMPUTED_VALUE"""),"P-52421-00")</f>
        <v>P-52421-00</v>
      </c>
      <c r="E1888" s="6" t="str">
        <f>IFERROR(__xludf.DUMMYFUNCTION("""COMPUTED_VALUE"""),"Heater Cold Storage Door 4 mtr 300 Watt 220V")</f>
        <v>Heater Cold Storage Door 4 mtr 300 Watt 220V</v>
      </c>
      <c r="F1888" s="6">
        <f>IFERROR(__xludf.DUMMYFUNCTION("""COMPUTED_VALUE"""),1.0)</f>
        <v>1</v>
      </c>
      <c r="G1888" s="6" t="str">
        <f>IFERROR(__xludf.DUMMYFUNCTION("""COMPUTED_VALUE"""),"Unit")</f>
        <v>Unit</v>
      </c>
      <c r="H1888" s="6" t="str">
        <f>IFERROR(__xludf.DUMMYFUNCTION("""COMPUTED_VALUE"""),"IDR")</f>
        <v>IDR</v>
      </c>
      <c r="I1888" s="6">
        <f>IFERROR(__xludf.DUMMYFUNCTION("""COMPUTED_VALUE"""),7500000.0)</f>
        <v>7500000</v>
      </c>
      <c r="J1888" s="6">
        <f>IFERROR(__xludf.DUMMYFUNCTION("""COMPUTED_VALUE"""),7500000.0)</f>
        <v>7500000</v>
      </c>
      <c r="K1888" s="57">
        <f>IFERROR(__xludf.DUMMYFUNCTION("""COMPUTED_VALUE"""),44764.0)</f>
        <v>44764</v>
      </c>
      <c r="L1888" s="6" t="str">
        <f>IFERROR(__xludf.DUMMYFUNCTION("""COMPUTED_VALUE"""),"FIP Engineering")</f>
        <v>FIP Engineering</v>
      </c>
      <c r="M1888" s="6" t="str">
        <f>IFERROR(__xludf.DUMMYFUNCTION("""COMPUTED_VALUE"""),"Irwan Sopian")</f>
        <v>Irwan Sopian</v>
      </c>
      <c r="N1888" s="6" t="str">
        <f>IFERROR(__xludf.DUMMYFUNCTION("""COMPUTED_VALUE"""),"FIP Engineering")</f>
        <v>FIP Engineering</v>
      </c>
      <c r="O1888" s="6" t="str">
        <f>IFERROR(__xludf.DUMMYFUNCTION("""COMPUTED_VALUE"""),"FIP-DOM-000-11304-OS00001-INA-000000")</f>
        <v>FIP-DOM-000-11304-OS00001-INA-000000</v>
      </c>
      <c r="P1888" s="6" t="str">
        <f>IFERROR(__xludf.DUMMYFUNCTION("""COMPUTED_VALUE"""),"PO Closed")</f>
        <v>PO Closed</v>
      </c>
      <c r="Q1888" s="6" t="str">
        <f>IFERROR(__xludf.DUMMYFUNCTION("""COMPUTED_VALUE"""),"GL2207052")</f>
        <v>GL2207052</v>
      </c>
      <c r="R1888" s="57">
        <f>IFERROR(__xludf.DUMMYFUNCTION("""COMPUTED_VALUE"""),44737.0)</f>
        <v>44737</v>
      </c>
      <c r="S1888" s="6" t="str">
        <f>IFERROR(__xludf.DUMMYFUNCTION("""COMPUTED_VALUE"""),"-")</f>
        <v>-</v>
      </c>
      <c r="T1888" s="57">
        <f>IFERROR(__xludf.DUMMYFUNCTION("""COMPUTED_VALUE"""),44778.0)</f>
        <v>44778</v>
      </c>
    </row>
    <row r="1889">
      <c r="A1889" s="6" t="str">
        <f>IFERROR(__xludf.DUMMYFUNCTION("""COMPUTED_VALUE"""),"221750298-2")</f>
        <v>221750298-2</v>
      </c>
      <c r="B1889" s="6" t="str">
        <f>IFERROR(__xludf.DUMMYFUNCTION("""COMPUTED_VALUE"""),"221750298 - Approved")</f>
        <v>221750298 - Approved</v>
      </c>
      <c r="C1889" s="6">
        <f>IFERROR(__xludf.DUMMYFUNCTION("""COMPUTED_VALUE"""),2.0)</f>
        <v>2</v>
      </c>
      <c r="D1889" s="6" t="str">
        <f>IFERROR(__xludf.DUMMYFUNCTION("""COMPUTED_VALUE"""),"P-52422-00")</f>
        <v>P-52422-00</v>
      </c>
      <c r="E1889" s="6" t="str">
        <f>IFERROR(__xludf.DUMMYFUNCTION("""COMPUTED_VALUE"""),"Thermostat 0 - 100 derajat C")</f>
        <v>Thermostat 0 - 100 derajat C</v>
      </c>
      <c r="F1889" s="6">
        <f>IFERROR(__xludf.DUMMYFUNCTION("""COMPUTED_VALUE"""),1.0)</f>
        <v>1</v>
      </c>
      <c r="G1889" s="6" t="str">
        <f>IFERROR(__xludf.DUMMYFUNCTION("""COMPUTED_VALUE"""),"Pieces")</f>
        <v>Pieces</v>
      </c>
      <c r="H1889" s="6" t="str">
        <f>IFERROR(__xludf.DUMMYFUNCTION("""COMPUTED_VALUE"""),"IDR")</f>
        <v>IDR</v>
      </c>
      <c r="I1889" s="6">
        <f>IFERROR(__xludf.DUMMYFUNCTION("""COMPUTED_VALUE"""),1500000.0)</f>
        <v>1500000</v>
      </c>
      <c r="J1889" s="6">
        <f>IFERROR(__xludf.DUMMYFUNCTION("""COMPUTED_VALUE"""),1500000.0)</f>
        <v>1500000</v>
      </c>
      <c r="K1889" s="57">
        <f>IFERROR(__xludf.DUMMYFUNCTION("""COMPUTED_VALUE"""),44764.0)</f>
        <v>44764</v>
      </c>
      <c r="L1889" s="6" t="str">
        <f>IFERROR(__xludf.DUMMYFUNCTION("""COMPUTED_VALUE"""),"FIP Engineering")</f>
        <v>FIP Engineering</v>
      </c>
      <c r="M1889" s="6" t="str">
        <f>IFERROR(__xludf.DUMMYFUNCTION("""COMPUTED_VALUE"""),"Irwan Sopian")</f>
        <v>Irwan Sopian</v>
      </c>
      <c r="N1889" s="6" t="str">
        <f>IFERROR(__xludf.DUMMYFUNCTION("""COMPUTED_VALUE"""),"FIP Engineering")</f>
        <v>FIP Engineering</v>
      </c>
      <c r="O1889" s="6" t="str">
        <f>IFERROR(__xludf.DUMMYFUNCTION("""COMPUTED_VALUE"""),"FIP-DOM-000-11304-OS00001-INA-000000")</f>
        <v>FIP-DOM-000-11304-OS00001-INA-000000</v>
      </c>
      <c r="P1889" s="6" t="str">
        <f>IFERROR(__xludf.DUMMYFUNCTION("""COMPUTED_VALUE"""),"PO Closed")</f>
        <v>PO Closed</v>
      </c>
      <c r="Q1889" s="6" t="str">
        <f>IFERROR(__xludf.DUMMYFUNCTION("""COMPUTED_VALUE"""),"GL2207052")</f>
        <v>GL2207052</v>
      </c>
      <c r="R1889" s="57">
        <f>IFERROR(__xludf.DUMMYFUNCTION("""COMPUTED_VALUE"""),44737.0)</f>
        <v>44737</v>
      </c>
      <c r="S1889" s="6" t="str">
        <f>IFERROR(__xludf.DUMMYFUNCTION("""COMPUTED_VALUE"""),"-")</f>
        <v>-</v>
      </c>
      <c r="T1889" s="57">
        <f>IFERROR(__xludf.DUMMYFUNCTION("""COMPUTED_VALUE"""),44778.0)</f>
        <v>44778</v>
      </c>
    </row>
    <row r="1890">
      <c r="A1890" s="6" t="str">
        <f>IFERROR(__xludf.DUMMYFUNCTION("""COMPUTED_VALUE"""),"221750297-1")</f>
        <v>221750297-1</v>
      </c>
      <c r="B1890" s="6" t="str">
        <f>IFERROR(__xludf.DUMMYFUNCTION("""COMPUTED_VALUE"""),"221750297 - Approved")</f>
        <v>221750297 - Approved</v>
      </c>
      <c r="C1890" s="6">
        <f>IFERROR(__xludf.DUMMYFUNCTION("""COMPUTED_VALUE"""),1.0)</f>
        <v>1</v>
      </c>
      <c r="D1890" s="6" t="str">
        <f>IFERROR(__xludf.DUMMYFUNCTION("""COMPUTED_VALUE"""),"S-60002-00")</f>
        <v>S-60002-00</v>
      </c>
      <c r="E1890" s="6" t="str">
        <f>IFERROR(__xludf.DUMMYFUNCTION("""COMPUTED_VALUE"""),"Jasa Perbaikan dan Pemeliharaan Mesin Utility")</f>
        <v>Jasa Perbaikan dan Pemeliharaan Mesin Utility</v>
      </c>
      <c r="F1890" s="6">
        <f>IFERROR(__xludf.DUMMYFUNCTION("""COMPUTED_VALUE"""),1.0)</f>
        <v>1</v>
      </c>
      <c r="G1890" s="6" t="str">
        <f>IFERROR(__xludf.DUMMYFUNCTION("""COMPUTED_VALUE"""),"Lot")</f>
        <v>Lot</v>
      </c>
      <c r="H1890" s="6" t="str">
        <f>IFERROR(__xludf.DUMMYFUNCTION("""COMPUTED_VALUE"""),"IDR")</f>
        <v>IDR</v>
      </c>
      <c r="I1890" s="6">
        <f>IFERROR(__xludf.DUMMYFUNCTION("""COMPUTED_VALUE"""),4230000.0)</f>
        <v>4230000</v>
      </c>
      <c r="J1890" s="6">
        <f>IFERROR(__xludf.DUMMYFUNCTION("""COMPUTED_VALUE"""),4230000.0)</f>
        <v>4230000</v>
      </c>
      <c r="K1890" s="57">
        <f>IFERROR(__xludf.DUMMYFUNCTION("""COMPUTED_VALUE"""),44764.0)</f>
        <v>44764</v>
      </c>
      <c r="L1890" s="6" t="str">
        <f>IFERROR(__xludf.DUMMYFUNCTION("""COMPUTED_VALUE"""),"FIP General")</f>
        <v>FIP General</v>
      </c>
      <c r="M1890" s="6" t="str">
        <f>IFERROR(__xludf.DUMMYFUNCTION("""COMPUTED_VALUE"""),"Irwan Sopian")</f>
        <v>Irwan Sopian</v>
      </c>
      <c r="N1890" s="6" t="str">
        <f>IFERROR(__xludf.DUMMYFUNCTION("""COMPUTED_VALUE"""),"FIP Engineering")</f>
        <v>FIP Engineering</v>
      </c>
      <c r="O1890" s="6" t="str">
        <f>IFERROR(__xludf.DUMMYFUNCTION("""COMPUTED_VALUE"""),"FIP-DOM-ENG-51508-0000000-INA-000000")</f>
        <v>FIP-DOM-ENG-51508-0000000-INA-000000</v>
      </c>
      <c r="P1890" s="6" t="str">
        <f>IFERROR(__xludf.DUMMYFUNCTION("""COMPUTED_VALUE"""),"PO Closed")</f>
        <v>PO Closed</v>
      </c>
      <c r="Q1890" s="6" t="str">
        <f>IFERROR(__xludf.DUMMYFUNCTION("""COMPUTED_VALUE"""),"GL2207053")</f>
        <v>GL2207053</v>
      </c>
      <c r="R1890" s="57">
        <f>IFERROR(__xludf.DUMMYFUNCTION("""COMPUTED_VALUE"""),44737.0)</f>
        <v>44737</v>
      </c>
      <c r="S1890" s="6" t="str">
        <f>IFERROR(__xludf.DUMMYFUNCTION("""COMPUTED_VALUE"""),"-")</f>
        <v>-</v>
      </c>
      <c r="T1890" s="57">
        <f>IFERROR(__xludf.DUMMYFUNCTION("""COMPUTED_VALUE"""),44795.0)</f>
        <v>44795</v>
      </c>
    </row>
    <row r="1891">
      <c r="A1891" s="6" t="str">
        <f>IFERROR(__xludf.DUMMYFUNCTION("""COMPUTED_VALUE"""),"221750296-1")</f>
        <v>221750296-1</v>
      </c>
      <c r="B1891" s="6" t="str">
        <f>IFERROR(__xludf.DUMMYFUNCTION("""COMPUTED_VALUE"""),"221750296 - Approved")</f>
        <v>221750296 - Approved</v>
      </c>
      <c r="C1891" s="6">
        <f>IFERROR(__xludf.DUMMYFUNCTION("""COMPUTED_VALUE"""),1.0)</f>
        <v>1</v>
      </c>
      <c r="D1891" s="6" t="str">
        <f>IFERROR(__xludf.DUMMYFUNCTION("""COMPUTED_VALUE"""),"P-51880-00")</f>
        <v>P-51880-00</v>
      </c>
      <c r="E1891" s="6" t="str">
        <f>IFERROR(__xludf.DUMMYFUNCTION("""COMPUTED_VALUE"""),"Battery 2500mAH 1.2V")</f>
        <v>Battery 2500mAH 1.2V</v>
      </c>
      <c r="F1891" s="6">
        <f>IFERROR(__xludf.DUMMYFUNCTION("""COMPUTED_VALUE"""),10.0)</f>
        <v>10</v>
      </c>
      <c r="G1891" s="6" t="str">
        <f>IFERROR(__xludf.DUMMYFUNCTION("""COMPUTED_VALUE"""),"Set")</f>
        <v>Set</v>
      </c>
      <c r="H1891" s="6" t="str">
        <f>IFERROR(__xludf.DUMMYFUNCTION("""COMPUTED_VALUE"""),"IDR")</f>
        <v>IDR</v>
      </c>
      <c r="I1891" s="6">
        <f>IFERROR(__xludf.DUMMYFUNCTION("""COMPUTED_VALUE"""),185000.0)</f>
        <v>185000</v>
      </c>
      <c r="J1891" s="6">
        <f>IFERROR(__xludf.DUMMYFUNCTION("""COMPUTED_VALUE"""),1850000.0)</f>
        <v>1850000</v>
      </c>
      <c r="K1891" s="57">
        <f>IFERROR(__xludf.DUMMYFUNCTION("""COMPUTED_VALUE"""),44764.0)</f>
        <v>44764</v>
      </c>
      <c r="L1891" s="6" t="str">
        <f>IFERROR(__xludf.DUMMYFUNCTION("""COMPUTED_VALUE"""),"FIP Engineering")</f>
        <v>FIP Engineering</v>
      </c>
      <c r="M1891" s="6" t="str">
        <f>IFERROR(__xludf.DUMMYFUNCTION("""COMPUTED_VALUE"""),"Irwan Sopian")</f>
        <v>Irwan Sopian</v>
      </c>
      <c r="N1891" s="6" t="str">
        <f>IFERROR(__xludf.DUMMYFUNCTION("""COMPUTED_VALUE"""),"FIP Engineering")</f>
        <v>FIP Engineering</v>
      </c>
      <c r="O1891" s="6" t="str">
        <f>IFERROR(__xludf.DUMMYFUNCTION("""COMPUTED_VALUE"""),"FIP-DOM-000-11304-OS00001-INA-000000")</f>
        <v>FIP-DOM-000-11304-OS00001-INA-000000</v>
      </c>
      <c r="P1891" s="6" t="str">
        <f>IFERROR(__xludf.DUMMYFUNCTION("""COMPUTED_VALUE"""),"PO Closed")</f>
        <v>PO Closed</v>
      </c>
      <c r="Q1891" s="6" t="str">
        <f>IFERROR(__xludf.DUMMYFUNCTION("""COMPUTED_VALUE"""),"GL2207050")</f>
        <v>GL2207050</v>
      </c>
      <c r="R1891" s="57">
        <f>IFERROR(__xludf.DUMMYFUNCTION("""COMPUTED_VALUE"""),44737.0)</f>
        <v>44737</v>
      </c>
      <c r="S1891" s="6" t="str">
        <f>IFERROR(__xludf.DUMMYFUNCTION("""COMPUTED_VALUE"""),"-")</f>
        <v>-</v>
      </c>
      <c r="T1891" s="57">
        <f>IFERROR(__xludf.DUMMYFUNCTION("""COMPUTED_VALUE"""),44778.0)</f>
        <v>44778</v>
      </c>
    </row>
    <row r="1892">
      <c r="A1892" s="6" t="str">
        <f>IFERROR(__xludf.DUMMYFUNCTION("""COMPUTED_VALUE"""),"221750296-2")</f>
        <v>221750296-2</v>
      </c>
      <c r="B1892" s="6" t="str">
        <f>IFERROR(__xludf.DUMMYFUNCTION("""COMPUTED_VALUE"""),"221750296 - Approved")</f>
        <v>221750296 - Approved</v>
      </c>
      <c r="C1892" s="6">
        <f>IFERROR(__xludf.DUMMYFUNCTION("""COMPUTED_VALUE"""),2.0)</f>
        <v>2</v>
      </c>
      <c r="D1892" s="6" t="str">
        <f>IFERROR(__xludf.DUMMYFUNCTION("""COMPUTED_VALUE"""),"Q-10885-00")</f>
        <v>Q-10885-00</v>
      </c>
      <c r="E1892" s="6" t="str">
        <f>IFERROR(__xludf.DUMMYFUNCTION("""COMPUTED_VALUE"""),"Kunci Grendel SS 1 1/2 Inch")</f>
        <v>Kunci Grendel SS 1 1/2 Inch</v>
      </c>
      <c r="F1892" s="6">
        <f>IFERROR(__xludf.DUMMYFUNCTION("""COMPUTED_VALUE"""),5.0)</f>
        <v>5</v>
      </c>
      <c r="G1892" s="6" t="str">
        <f>IFERROR(__xludf.DUMMYFUNCTION("""COMPUTED_VALUE"""),"Pieces")</f>
        <v>Pieces</v>
      </c>
      <c r="H1892" s="6" t="str">
        <f>IFERROR(__xludf.DUMMYFUNCTION("""COMPUTED_VALUE"""),"IDR")</f>
        <v>IDR</v>
      </c>
      <c r="I1892" s="6">
        <f>IFERROR(__xludf.DUMMYFUNCTION("""COMPUTED_VALUE"""),10000.0)</f>
        <v>10000</v>
      </c>
      <c r="J1892" s="6">
        <f>IFERROR(__xludf.DUMMYFUNCTION("""COMPUTED_VALUE"""),50000.0)</f>
        <v>50000</v>
      </c>
      <c r="K1892" s="57">
        <f>IFERROR(__xludf.DUMMYFUNCTION("""COMPUTED_VALUE"""),44764.0)</f>
        <v>44764</v>
      </c>
      <c r="L1892" s="6" t="str">
        <f>IFERROR(__xludf.DUMMYFUNCTION("""COMPUTED_VALUE"""),"FIP General")</f>
        <v>FIP General</v>
      </c>
      <c r="M1892" s="6" t="str">
        <f>IFERROR(__xludf.DUMMYFUNCTION("""COMPUTED_VALUE"""),"Irwan Sopian")</f>
        <v>Irwan Sopian</v>
      </c>
      <c r="N1892" s="6" t="str">
        <f>IFERROR(__xludf.DUMMYFUNCTION("""COMPUTED_VALUE"""),"FIP Engineering")</f>
        <v>FIP Engineering</v>
      </c>
      <c r="O1892" s="6" t="str">
        <f>IFERROR(__xludf.DUMMYFUNCTION("""COMPUTED_VALUE"""),"FIP-DOM-ENG-51502-0000000-INA-000000")</f>
        <v>FIP-DOM-ENG-51502-0000000-INA-000000</v>
      </c>
      <c r="P1892" s="6" t="str">
        <f>IFERROR(__xludf.DUMMYFUNCTION("""COMPUTED_VALUE"""),"PO Closed")</f>
        <v>PO Closed</v>
      </c>
      <c r="Q1892" s="6" t="str">
        <f>IFERROR(__xludf.DUMMYFUNCTION("""COMPUTED_VALUE"""),"GL2207303")</f>
        <v>GL2207303</v>
      </c>
      <c r="R1892" s="57">
        <f>IFERROR(__xludf.DUMMYFUNCTION("""COMPUTED_VALUE"""),44737.0)</f>
        <v>44737</v>
      </c>
      <c r="S1892" s="6" t="str">
        <f>IFERROR(__xludf.DUMMYFUNCTION("""COMPUTED_VALUE"""),"-")</f>
        <v>-</v>
      </c>
      <c r="T1892" s="57">
        <f>IFERROR(__xludf.DUMMYFUNCTION("""COMPUTED_VALUE"""),44764.0)</f>
        <v>44764</v>
      </c>
    </row>
    <row r="1893">
      <c r="A1893" s="6" t="str">
        <f>IFERROR(__xludf.DUMMYFUNCTION("""COMPUTED_VALUE"""),"221750306-1")</f>
        <v>221750306-1</v>
      </c>
      <c r="B1893" s="6" t="str">
        <f>IFERROR(__xludf.DUMMYFUNCTION("""COMPUTED_VALUE"""),"221750306 - Approved")</f>
        <v>221750306 - Approved</v>
      </c>
      <c r="C1893" s="6">
        <f>IFERROR(__xludf.DUMMYFUNCTION("""COMPUTED_VALUE"""),1.0)</f>
        <v>1</v>
      </c>
      <c r="D1893" s="6" t="str">
        <f>IFERROR(__xludf.DUMMYFUNCTION("""COMPUTED_VALUE"""),"O-18456-00")</f>
        <v>O-18456-00</v>
      </c>
      <c r="E1893" s="6" t="str">
        <f>IFERROR(__xludf.DUMMYFUNCTION("""COMPUTED_VALUE"""),"Oring Material Viton Dia. 170 x 6.99 mm")</f>
        <v>Oring Material Viton Dia. 170 x 6.99 mm</v>
      </c>
      <c r="F1893" s="6">
        <f>IFERROR(__xludf.DUMMYFUNCTION("""COMPUTED_VALUE"""),5.0)</f>
        <v>5</v>
      </c>
      <c r="G1893" s="6" t="str">
        <f>IFERROR(__xludf.DUMMYFUNCTION("""COMPUTED_VALUE"""),"Pieces")</f>
        <v>Pieces</v>
      </c>
      <c r="H1893" s="6" t="str">
        <f>IFERROR(__xludf.DUMMYFUNCTION("""COMPUTED_VALUE"""),"IDR")</f>
        <v>IDR</v>
      </c>
      <c r="I1893" s="6">
        <f>IFERROR(__xludf.DUMMYFUNCTION("""COMPUTED_VALUE"""),325000.0)</f>
        <v>325000</v>
      </c>
      <c r="J1893" s="6">
        <f>IFERROR(__xludf.DUMMYFUNCTION("""COMPUTED_VALUE"""),1625000.0)</f>
        <v>1625000</v>
      </c>
      <c r="K1893" s="57">
        <f>IFERROR(__xludf.DUMMYFUNCTION("""COMPUTED_VALUE"""),44764.0)</f>
        <v>44764</v>
      </c>
      <c r="L1893" s="6" t="str">
        <f>IFERROR(__xludf.DUMMYFUNCTION("""COMPUTED_VALUE"""),"FIP Engineering")</f>
        <v>FIP Engineering</v>
      </c>
      <c r="M1893" s="6" t="str">
        <f>IFERROR(__xludf.DUMMYFUNCTION("""COMPUTED_VALUE"""),"Irwan Sopian")</f>
        <v>Irwan Sopian</v>
      </c>
      <c r="N1893" s="6" t="str">
        <f>IFERROR(__xludf.DUMMYFUNCTION("""COMPUTED_VALUE"""),"FIP Engineering")</f>
        <v>FIP Engineering</v>
      </c>
      <c r="O1893" s="6" t="str">
        <f>IFERROR(__xludf.DUMMYFUNCTION("""COMPUTED_VALUE"""),"FIP-DOM-000-11304-OS00001-INA-000000")</f>
        <v>FIP-DOM-000-11304-OS00001-INA-000000</v>
      </c>
      <c r="P1893" s="6" t="str">
        <f>IFERROR(__xludf.DUMMYFUNCTION("""COMPUTED_VALUE"""),"PO Closed")</f>
        <v>PO Closed</v>
      </c>
      <c r="Q1893" s="6" t="str">
        <f>IFERROR(__xludf.DUMMYFUNCTION("""COMPUTED_VALUE"""),"GL2207054")</f>
        <v>GL2207054</v>
      </c>
      <c r="R1893" s="57">
        <f>IFERROR(__xludf.DUMMYFUNCTION("""COMPUTED_VALUE"""),44740.0)</f>
        <v>44740</v>
      </c>
      <c r="S1893" s="6" t="str">
        <f>IFERROR(__xludf.DUMMYFUNCTION("""COMPUTED_VALUE"""),"-")</f>
        <v>-</v>
      </c>
      <c r="T1893" s="57">
        <f>IFERROR(__xludf.DUMMYFUNCTION("""COMPUTED_VALUE"""),44779.0)</f>
        <v>44779</v>
      </c>
    </row>
    <row r="1894">
      <c r="A1894" s="6" t="str">
        <f>IFERROR(__xludf.DUMMYFUNCTION("""COMPUTED_VALUE"""),"221750305-1")</f>
        <v>221750305-1</v>
      </c>
      <c r="B1894" s="6" t="str">
        <f>IFERROR(__xludf.DUMMYFUNCTION("""COMPUTED_VALUE"""),"221750305 - Approved")</f>
        <v>221750305 - Approved</v>
      </c>
      <c r="C1894" s="6">
        <f>IFERROR(__xludf.DUMMYFUNCTION("""COMPUTED_VALUE"""),1.0)</f>
        <v>1</v>
      </c>
      <c r="D1894" s="6" t="str">
        <f>IFERROR(__xludf.DUMMYFUNCTION("""COMPUTED_VALUE"""),"S-60002-00")</f>
        <v>S-60002-00</v>
      </c>
      <c r="E1894" s="6" t="str">
        <f>IFERROR(__xludf.DUMMYFUNCTION("""COMPUTED_VALUE"""),"Repair Pompa Flux generate partikel")</f>
        <v>Repair Pompa Flux generate partikel</v>
      </c>
      <c r="F1894" s="6">
        <f>IFERROR(__xludf.DUMMYFUNCTION("""COMPUTED_VALUE"""),1.0)</f>
        <v>1</v>
      </c>
      <c r="G1894" s="6" t="str">
        <f>IFERROR(__xludf.DUMMYFUNCTION("""COMPUTED_VALUE"""),"Lot")</f>
        <v>Lot</v>
      </c>
      <c r="H1894" s="6" t="str">
        <f>IFERROR(__xludf.DUMMYFUNCTION("""COMPUTED_VALUE"""),"IDR")</f>
        <v>IDR</v>
      </c>
      <c r="I1894" s="6">
        <f>IFERROR(__xludf.DUMMYFUNCTION("""COMPUTED_VALUE"""),1.25E7)</f>
        <v>12500000</v>
      </c>
      <c r="J1894" s="6">
        <f>IFERROR(__xludf.DUMMYFUNCTION("""COMPUTED_VALUE"""),1.25E7)</f>
        <v>12500000</v>
      </c>
      <c r="K1894" s="57">
        <f>IFERROR(__xludf.DUMMYFUNCTION("""COMPUTED_VALUE"""),44785.0)</f>
        <v>44785</v>
      </c>
      <c r="L1894" s="6" t="str">
        <f>IFERROR(__xludf.DUMMYFUNCTION("""COMPUTED_VALUE"""),"FIP General")</f>
        <v>FIP General</v>
      </c>
      <c r="M1894" s="6" t="str">
        <f>IFERROR(__xludf.DUMMYFUNCTION("""COMPUTED_VALUE"""),"Irwan Sopian")</f>
        <v>Irwan Sopian</v>
      </c>
      <c r="N1894" s="6" t="str">
        <f>IFERROR(__xludf.DUMMYFUNCTION("""COMPUTED_VALUE"""),"FIP Engineering")</f>
        <v>FIP Engineering</v>
      </c>
      <c r="O1894" s="6" t="str">
        <f>IFERROR(__xludf.DUMMYFUNCTION("""COMPUTED_VALUE"""),"FIP-DOM-ENG-51508-0000000-INA-000000")</f>
        <v>FIP-DOM-ENG-51508-0000000-INA-000000</v>
      </c>
      <c r="P1894" s="6" t="str">
        <f>IFERROR(__xludf.DUMMYFUNCTION("""COMPUTED_VALUE"""),"PO Closed")</f>
        <v>PO Closed</v>
      </c>
      <c r="Q1894" s="6" t="str">
        <f>IFERROR(__xludf.DUMMYFUNCTION("""COMPUTED_VALUE"""),"GL2207055")</f>
        <v>GL2207055</v>
      </c>
      <c r="R1894" s="57">
        <f>IFERROR(__xludf.DUMMYFUNCTION("""COMPUTED_VALUE"""),44740.0)</f>
        <v>44740</v>
      </c>
      <c r="S1894" s="6" t="str">
        <f>IFERROR(__xludf.DUMMYFUNCTION("""COMPUTED_VALUE"""),"-")</f>
        <v>-</v>
      </c>
      <c r="T1894" s="57">
        <f>IFERROR(__xludf.DUMMYFUNCTION("""COMPUTED_VALUE"""),44815.0)</f>
        <v>44815</v>
      </c>
    </row>
    <row r="1895">
      <c r="A1895" s="6" t="str">
        <f>IFERROR(__xludf.DUMMYFUNCTION("""COMPUTED_VALUE"""),"221750304-1")</f>
        <v>221750304-1</v>
      </c>
      <c r="B1895" s="6" t="str">
        <f>IFERROR(__xludf.DUMMYFUNCTION("""COMPUTED_VALUE"""),"221750304 - Approved")</f>
        <v>221750304 - Approved</v>
      </c>
      <c r="C1895" s="6">
        <f>IFERROR(__xludf.DUMMYFUNCTION("""COMPUTED_VALUE"""),1.0)</f>
        <v>1</v>
      </c>
      <c r="D1895" s="6" t="str">
        <f>IFERROR(__xludf.DUMMYFUNCTION("""COMPUTED_VALUE"""),"S-42061-00")</f>
        <v>S-42061-00</v>
      </c>
      <c r="E1895" s="6" t="str">
        <f>IFERROR(__xludf.DUMMYFUNCTION("""COMPUTED_VALUE"""),"Seagate BarraCuda Hardisk / HDD Internal PC 1TB SATA III 7200RPM Seagate 1TB SATA III 7200RPM PC")</f>
        <v>Seagate BarraCuda Hardisk / HDD Internal PC 1TB SATA III 7200RPM Seagate 1TB SATA III 7200RPM PC</v>
      </c>
      <c r="F1895" s="6">
        <f>IFERROR(__xludf.DUMMYFUNCTION("""COMPUTED_VALUE"""),3.0)</f>
        <v>3</v>
      </c>
      <c r="G1895" s="6" t="str">
        <f>IFERROR(__xludf.DUMMYFUNCTION("""COMPUTED_VALUE"""),"Pieces")</f>
        <v>Pieces</v>
      </c>
      <c r="H1895" s="6" t="str">
        <f>IFERROR(__xludf.DUMMYFUNCTION("""COMPUTED_VALUE"""),"IDR")</f>
        <v>IDR</v>
      </c>
      <c r="I1895" s="6">
        <f>IFERROR(__xludf.DUMMYFUNCTION("""COMPUTED_VALUE"""),950000.0)</f>
        <v>950000</v>
      </c>
      <c r="J1895" s="6">
        <f>IFERROR(__xludf.DUMMYFUNCTION("""COMPUTED_VALUE"""),2850000.0)</f>
        <v>2850000</v>
      </c>
      <c r="K1895" s="57">
        <f>IFERROR(__xludf.DUMMYFUNCTION("""COMPUTED_VALUE"""),44764.0)</f>
        <v>44764</v>
      </c>
      <c r="L1895" s="6" t="str">
        <f>IFERROR(__xludf.DUMMYFUNCTION("""COMPUTED_VALUE"""),"FIP General")</f>
        <v>FIP General</v>
      </c>
      <c r="M1895" s="6" t="str">
        <f>IFERROR(__xludf.DUMMYFUNCTION("""COMPUTED_VALUE"""),"Irwan Sopian")</f>
        <v>Irwan Sopian</v>
      </c>
      <c r="N1895" s="6" t="str">
        <f>IFERROR(__xludf.DUMMYFUNCTION("""COMPUTED_VALUE"""),"FIP Engineering")</f>
        <v>FIP Engineering</v>
      </c>
      <c r="O1895" s="6" t="str">
        <f>IFERROR(__xludf.DUMMYFUNCTION("""COMPUTED_VALUE"""),"FIP-DOM-ENG-51504-0000000-INA-000000")</f>
        <v>FIP-DOM-ENG-51504-0000000-INA-000000</v>
      </c>
      <c r="P1895" s="6" t="str">
        <f>IFERROR(__xludf.DUMMYFUNCTION("""COMPUTED_VALUE"""),"PO Closed")</f>
        <v>PO Closed</v>
      </c>
      <c r="Q1895" s="6" t="str">
        <f>IFERROR(__xludf.DUMMYFUNCTION("""COMPUTED_VALUE"""),"GL2207003")</f>
        <v>GL2207003</v>
      </c>
      <c r="R1895" s="57">
        <f>IFERROR(__xludf.DUMMYFUNCTION("""COMPUTED_VALUE"""),44740.0)</f>
        <v>44740</v>
      </c>
      <c r="S1895" s="6" t="str">
        <f>IFERROR(__xludf.DUMMYFUNCTION("""COMPUTED_VALUE"""),"-")</f>
        <v>-</v>
      </c>
      <c r="T1895" s="57">
        <f>IFERROR(__xludf.DUMMYFUNCTION("""COMPUTED_VALUE"""),44753.0)</f>
        <v>44753</v>
      </c>
    </row>
    <row r="1896">
      <c r="A1896" s="6" t="str">
        <f>IFERROR(__xludf.DUMMYFUNCTION("""COMPUTED_VALUE"""),"221750303-1")</f>
        <v>221750303-1</v>
      </c>
      <c r="B1896" s="6" t="str">
        <f>IFERROR(__xludf.DUMMYFUNCTION("""COMPUTED_VALUE"""),"221750303 - Approved")</f>
        <v>221750303 - Approved</v>
      </c>
      <c r="C1896" s="6">
        <f>IFERROR(__xludf.DUMMYFUNCTION("""COMPUTED_VALUE"""),1.0)</f>
        <v>1</v>
      </c>
      <c r="D1896" s="6" t="str">
        <f>IFERROR(__xludf.DUMMYFUNCTION("""COMPUTED_VALUE"""),"P-53221-00")</f>
        <v>P-53221-00</v>
      </c>
      <c r="E1896" s="6" t="str">
        <f>IFERROR(__xludf.DUMMYFUNCTION("""COMPUTED_VALUE"""),"Ball Float Steam Trap 3/4 inch connection : Screwed BSP")</f>
        <v>Ball Float Steam Trap 3/4 inch connection : Screwed BSP</v>
      </c>
      <c r="F1896" s="6">
        <f>IFERROR(__xludf.DUMMYFUNCTION("""COMPUTED_VALUE"""),1.0)</f>
        <v>1</v>
      </c>
      <c r="G1896" s="6" t="str">
        <f>IFERROR(__xludf.DUMMYFUNCTION("""COMPUTED_VALUE"""),"Pieces")</f>
        <v>Pieces</v>
      </c>
      <c r="H1896" s="6" t="str">
        <f>IFERROR(__xludf.DUMMYFUNCTION("""COMPUTED_VALUE"""),"IDR")</f>
        <v>IDR</v>
      </c>
      <c r="I1896" s="6">
        <f>IFERROR(__xludf.DUMMYFUNCTION("""COMPUTED_VALUE"""),7300000.0)</f>
        <v>7300000</v>
      </c>
      <c r="J1896" s="6">
        <f>IFERROR(__xludf.DUMMYFUNCTION("""COMPUTED_VALUE"""),7300000.0)</f>
        <v>7300000</v>
      </c>
      <c r="K1896" s="57">
        <f>IFERROR(__xludf.DUMMYFUNCTION("""COMPUTED_VALUE"""),44764.0)</f>
        <v>44764</v>
      </c>
      <c r="L1896" s="6" t="str">
        <f>IFERROR(__xludf.DUMMYFUNCTION("""COMPUTED_VALUE"""),"FIP Engineering")</f>
        <v>FIP Engineering</v>
      </c>
      <c r="M1896" s="6" t="str">
        <f>IFERROR(__xludf.DUMMYFUNCTION("""COMPUTED_VALUE"""),"Irwan Sopian")</f>
        <v>Irwan Sopian</v>
      </c>
      <c r="N1896" s="6" t="str">
        <f>IFERROR(__xludf.DUMMYFUNCTION("""COMPUTED_VALUE"""),"FIP Engineering")</f>
        <v>FIP Engineering</v>
      </c>
      <c r="O1896" s="6" t="str">
        <f>IFERROR(__xludf.DUMMYFUNCTION("""COMPUTED_VALUE"""),"FIP-DOM-000-11304-OS00001-INA-000000")</f>
        <v>FIP-DOM-000-11304-OS00001-INA-000000</v>
      </c>
      <c r="P1896" s="6" t="str">
        <f>IFERROR(__xludf.DUMMYFUNCTION("""COMPUTED_VALUE"""),"PO Closed")</f>
        <v>PO Closed</v>
      </c>
      <c r="Q1896" s="6" t="str">
        <f>IFERROR(__xludf.DUMMYFUNCTION("""COMPUTED_VALUE"""),"GL2206044")</f>
        <v>GL2206044</v>
      </c>
      <c r="R1896" s="57">
        <f>IFERROR(__xludf.DUMMYFUNCTION("""COMPUTED_VALUE"""),44740.0)</f>
        <v>44740</v>
      </c>
      <c r="S1896" s="6" t="str">
        <f>IFERROR(__xludf.DUMMYFUNCTION("""COMPUTED_VALUE"""),"-")</f>
        <v>-</v>
      </c>
      <c r="T1896" s="57">
        <f>IFERROR(__xludf.DUMMYFUNCTION("""COMPUTED_VALUE"""),44757.0)</f>
        <v>44757</v>
      </c>
    </row>
    <row r="1897">
      <c r="A1897" s="6" t="str">
        <f>IFERROR(__xludf.DUMMYFUNCTION("""COMPUTED_VALUE"""),"221750303-2")</f>
        <v>221750303-2</v>
      </c>
      <c r="B1897" s="6" t="str">
        <f>IFERROR(__xludf.DUMMYFUNCTION("""COMPUTED_VALUE"""),"221750303 - Approved")</f>
        <v>221750303 - Approved</v>
      </c>
      <c r="C1897" s="6">
        <f>IFERROR(__xludf.DUMMYFUNCTION("""COMPUTED_VALUE"""),2.0)</f>
        <v>2</v>
      </c>
      <c r="D1897" s="6" t="str">
        <f>IFERROR(__xludf.DUMMYFUNCTION("""COMPUTED_VALUE"""),"P-15413-00")</f>
        <v>P-15413-00</v>
      </c>
      <c r="E1897" s="6" t="str">
        <f>IFERROR(__xludf.DUMMYFUNCTION("""COMPUTED_VALUE"""),"Ball Float Steam Trap 1 inch Screw BSP")</f>
        <v>Ball Float Steam Trap 1 inch Screw BSP</v>
      </c>
      <c r="F1897" s="6">
        <f>IFERROR(__xludf.DUMMYFUNCTION("""COMPUTED_VALUE"""),1.0)</f>
        <v>1</v>
      </c>
      <c r="G1897" s="6" t="str">
        <f>IFERROR(__xludf.DUMMYFUNCTION("""COMPUTED_VALUE"""),"Pieces")</f>
        <v>Pieces</v>
      </c>
      <c r="H1897" s="6" t="str">
        <f>IFERROR(__xludf.DUMMYFUNCTION("""COMPUTED_VALUE"""),"IDR")</f>
        <v>IDR</v>
      </c>
      <c r="I1897" s="6">
        <f>IFERROR(__xludf.DUMMYFUNCTION("""COMPUTED_VALUE"""),8200000.0)</f>
        <v>8200000</v>
      </c>
      <c r="J1897" s="6">
        <f>IFERROR(__xludf.DUMMYFUNCTION("""COMPUTED_VALUE"""),8200000.0)</f>
        <v>8200000</v>
      </c>
      <c r="K1897" s="57">
        <f>IFERROR(__xludf.DUMMYFUNCTION("""COMPUTED_VALUE"""),44764.0)</f>
        <v>44764</v>
      </c>
      <c r="L1897" s="6" t="str">
        <f>IFERROR(__xludf.DUMMYFUNCTION("""COMPUTED_VALUE"""),"FIP Engineering")</f>
        <v>FIP Engineering</v>
      </c>
      <c r="M1897" s="6" t="str">
        <f>IFERROR(__xludf.DUMMYFUNCTION("""COMPUTED_VALUE"""),"Irwan Sopian")</f>
        <v>Irwan Sopian</v>
      </c>
      <c r="N1897" s="6" t="str">
        <f>IFERROR(__xludf.DUMMYFUNCTION("""COMPUTED_VALUE"""),"FIP Engineering")</f>
        <v>FIP Engineering</v>
      </c>
      <c r="O1897" s="6" t="str">
        <f>IFERROR(__xludf.DUMMYFUNCTION("""COMPUTED_VALUE"""),"FIP-DOM-000-11304-OS00001-INA-000000")</f>
        <v>FIP-DOM-000-11304-OS00001-INA-000000</v>
      </c>
      <c r="P1897" s="6" t="str">
        <f>IFERROR(__xludf.DUMMYFUNCTION("""COMPUTED_VALUE"""),"PO Closed")</f>
        <v>PO Closed</v>
      </c>
      <c r="Q1897" s="6" t="str">
        <f>IFERROR(__xludf.DUMMYFUNCTION("""COMPUTED_VALUE"""),"GL2206044")</f>
        <v>GL2206044</v>
      </c>
      <c r="R1897" s="57">
        <f>IFERROR(__xludf.DUMMYFUNCTION("""COMPUTED_VALUE"""),44740.0)</f>
        <v>44740</v>
      </c>
      <c r="S1897" s="6" t="str">
        <f>IFERROR(__xludf.DUMMYFUNCTION("""COMPUTED_VALUE"""),"-")</f>
        <v>-</v>
      </c>
      <c r="T1897" s="57">
        <f>IFERROR(__xludf.DUMMYFUNCTION("""COMPUTED_VALUE"""),44757.0)</f>
        <v>44757</v>
      </c>
    </row>
    <row r="1898">
      <c r="A1898" s="6" t="str">
        <f>IFERROR(__xludf.DUMMYFUNCTION("""COMPUTED_VALUE"""),"221750308-1")</f>
        <v>221750308-1</v>
      </c>
      <c r="B1898" s="6" t="str">
        <f>IFERROR(__xludf.DUMMYFUNCTION("""COMPUTED_VALUE"""),"221750308 - Approved")</f>
        <v>221750308 - Approved</v>
      </c>
      <c r="C1898" s="6">
        <f>IFERROR(__xludf.DUMMYFUNCTION("""COMPUTED_VALUE"""),1.0)</f>
        <v>1</v>
      </c>
      <c r="D1898" s="6" t="str">
        <f>IFERROR(__xludf.DUMMYFUNCTION("""COMPUTED_VALUE"""),"O-54003-00")</f>
        <v>O-54003-00</v>
      </c>
      <c r="E1898" s="6" t="str">
        <f>IFERROR(__xludf.DUMMYFUNCTION("""COMPUTED_VALUE"""),"LAMPU PL-S 2P 11W/865, PHILIPS")</f>
        <v>LAMPU PL-S 2P 11W/865, PHILIPS</v>
      </c>
      <c r="F1898" s="6">
        <f>IFERROR(__xludf.DUMMYFUNCTION("""COMPUTED_VALUE"""),5.0)</f>
        <v>5</v>
      </c>
      <c r="G1898" s="6" t="str">
        <f>IFERROR(__xludf.DUMMYFUNCTION("""COMPUTED_VALUE"""),"Pieces")</f>
        <v>Pieces</v>
      </c>
      <c r="H1898" s="6" t="str">
        <f>IFERROR(__xludf.DUMMYFUNCTION("""COMPUTED_VALUE"""),"IDR")</f>
        <v>IDR</v>
      </c>
      <c r="I1898" s="6">
        <f>IFERROR(__xludf.DUMMYFUNCTION("""COMPUTED_VALUE"""),33500.0)</f>
        <v>33500</v>
      </c>
      <c r="J1898" s="6">
        <f>IFERROR(__xludf.DUMMYFUNCTION("""COMPUTED_VALUE"""),167500.0)</f>
        <v>167500</v>
      </c>
      <c r="K1898" s="57">
        <f>IFERROR(__xludf.DUMMYFUNCTION("""COMPUTED_VALUE"""),44764.0)</f>
        <v>44764</v>
      </c>
      <c r="L1898" s="6" t="str">
        <f>IFERROR(__xludf.DUMMYFUNCTION("""COMPUTED_VALUE"""),"FIP Engineering")</f>
        <v>FIP Engineering</v>
      </c>
      <c r="M1898" s="6" t="str">
        <f>IFERROR(__xludf.DUMMYFUNCTION("""COMPUTED_VALUE"""),"Irwan Sopian")</f>
        <v>Irwan Sopian</v>
      </c>
      <c r="N1898" s="6" t="str">
        <f>IFERROR(__xludf.DUMMYFUNCTION("""COMPUTED_VALUE"""),"FIP Engineering")</f>
        <v>FIP Engineering</v>
      </c>
      <c r="O1898" s="6" t="str">
        <f>IFERROR(__xludf.DUMMYFUNCTION("""COMPUTED_VALUE"""),"FIP-DOM-000-11304-OS00001-INA-000000")</f>
        <v>FIP-DOM-000-11304-OS00001-INA-000000</v>
      </c>
      <c r="P1898" s="6" t="str">
        <f>IFERROR(__xludf.DUMMYFUNCTION("""COMPUTED_VALUE"""),"PO Closed")</f>
        <v>PO Closed</v>
      </c>
      <c r="Q1898" s="6" t="str">
        <f>IFERROR(__xludf.DUMMYFUNCTION("""COMPUTED_VALUE"""),"GL2208004")</f>
        <v>GL2208004</v>
      </c>
      <c r="R1898" s="57">
        <f>IFERROR(__xludf.DUMMYFUNCTION("""COMPUTED_VALUE"""),44742.0)</f>
        <v>44742</v>
      </c>
      <c r="S1898" s="6" t="str">
        <f>IFERROR(__xludf.DUMMYFUNCTION("""COMPUTED_VALUE"""),"-")</f>
        <v>-</v>
      </c>
      <c r="T1898" s="57">
        <f>IFERROR(__xludf.DUMMYFUNCTION("""COMPUTED_VALUE"""),44798.0)</f>
        <v>44798</v>
      </c>
    </row>
    <row r="1899">
      <c r="A1899" s="6" t="str">
        <f>IFERROR(__xludf.DUMMYFUNCTION("""COMPUTED_VALUE"""),"221750308-2")</f>
        <v>221750308-2</v>
      </c>
      <c r="B1899" s="6" t="str">
        <f>IFERROR(__xludf.DUMMYFUNCTION("""COMPUTED_VALUE"""),"221750308 - Approved")</f>
        <v>221750308 - Approved</v>
      </c>
      <c r="C1899" s="6">
        <f>IFERROR(__xludf.DUMMYFUNCTION("""COMPUTED_VALUE"""),2.0)</f>
        <v>2</v>
      </c>
      <c r="D1899" s="6" t="str">
        <f>IFERROR(__xludf.DUMMYFUNCTION("""COMPUTED_VALUE"""),"Q-10249-00")</f>
        <v>Q-10249-00</v>
      </c>
      <c r="E1899" s="6" t="str">
        <f>IFERROR(__xludf.DUMMYFUNCTION("""COMPUTED_VALUE"""),"Lem Power Glue")</f>
        <v>Lem Power Glue</v>
      </c>
      <c r="F1899" s="6">
        <f>IFERROR(__xludf.DUMMYFUNCTION("""COMPUTED_VALUE"""),10.0)</f>
        <v>10</v>
      </c>
      <c r="G1899" s="6" t="str">
        <f>IFERROR(__xludf.DUMMYFUNCTION("""COMPUTED_VALUE"""),"Pieces")</f>
        <v>Pieces</v>
      </c>
      <c r="H1899" s="6" t="str">
        <f>IFERROR(__xludf.DUMMYFUNCTION("""COMPUTED_VALUE"""),"IDR")</f>
        <v>IDR</v>
      </c>
      <c r="I1899" s="6">
        <f>IFERROR(__xludf.DUMMYFUNCTION("""COMPUTED_VALUE"""),5000.0)</f>
        <v>5000</v>
      </c>
      <c r="J1899" s="6">
        <f>IFERROR(__xludf.DUMMYFUNCTION("""COMPUTED_VALUE"""),50000.0)</f>
        <v>50000</v>
      </c>
      <c r="K1899" s="57">
        <f>IFERROR(__xludf.DUMMYFUNCTION("""COMPUTED_VALUE"""),44764.0)</f>
        <v>44764</v>
      </c>
      <c r="L1899" s="6" t="str">
        <f>IFERROR(__xludf.DUMMYFUNCTION("""COMPUTED_VALUE"""),"FIP Engineering")</f>
        <v>FIP Engineering</v>
      </c>
      <c r="M1899" s="6" t="str">
        <f>IFERROR(__xludf.DUMMYFUNCTION("""COMPUTED_VALUE"""),"Irwan Sopian")</f>
        <v>Irwan Sopian</v>
      </c>
      <c r="N1899" s="6" t="str">
        <f>IFERROR(__xludf.DUMMYFUNCTION("""COMPUTED_VALUE"""),"FIP Engineering")</f>
        <v>FIP Engineering</v>
      </c>
      <c r="O1899" s="6" t="str">
        <f>IFERROR(__xludf.DUMMYFUNCTION("""COMPUTED_VALUE"""),"FIP-DOM-000-11304-OS00001-INA-000000")</f>
        <v>FIP-DOM-000-11304-OS00001-INA-000000</v>
      </c>
      <c r="P1899" s="6" t="str">
        <f>IFERROR(__xludf.DUMMYFUNCTION("""COMPUTED_VALUE"""),"PO Closed")</f>
        <v>PO Closed</v>
      </c>
      <c r="Q1899" s="6" t="str">
        <f>IFERROR(__xludf.DUMMYFUNCTION("""COMPUTED_VALUE"""),"GL2207303")</f>
        <v>GL2207303</v>
      </c>
      <c r="R1899" s="57">
        <f>IFERROR(__xludf.DUMMYFUNCTION("""COMPUTED_VALUE"""),44742.0)</f>
        <v>44742</v>
      </c>
      <c r="S1899" s="6" t="str">
        <f>IFERROR(__xludf.DUMMYFUNCTION("""COMPUTED_VALUE"""),"-")</f>
        <v>-</v>
      </c>
      <c r="T1899" s="57">
        <f>IFERROR(__xludf.DUMMYFUNCTION("""COMPUTED_VALUE"""),44764.0)</f>
        <v>44764</v>
      </c>
    </row>
    <row r="1900">
      <c r="A1900" s="6" t="str">
        <f>IFERROR(__xludf.DUMMYFUNCTION("""COMPUTED_VALUE"""),"221750308-3")</f>
        <v>221750308-3</v>
      </c>
      <c r="B1900" s="6" t="str">
        <f>IFERROR(__xludf.DUMMYFUNCTION("""COMPUTED_VALUE"""),"221750308 - Approved")</f>
        <v>221750308 - Approved</v>
      </c>
      <c r="C1900" s="6">
        <f>IFERROR(__xludf.DUMMYFUNCTION("""COMPUTED_VALUE"""),3.0)</f>
        <v>3</v>
      </c>
      <c r="D1900" s="6" t="str">
        <f>IFERROR(__xludf.DUMMYFUNCTION("""COMPUTED_VALUE"""),"P-53212-00")</f>
        <v>P-53212-00</v>
      </c>
      <c r="E1900" s="6" t="str">
        <f>IFERROR(__xludf.DUMMYFUNCTION("""COMPUTED_VALUE"""),"Ballast PHILIPS TL-D 1x36 Watt")</f>
        <v>Ballast PHILIPS TL-D 1x36 Watt</v>
      </c>
      <c r="F1900" s="6">
        <f>IFERROR(__xludf.DUMMYFUNCTION("""COMPUTED_VALUE"""),2.0)</f>
        <v>2</v>
      </c>
      <c r="G1900" s="6" t="str">
        <f>IFERROR(__xludf.DUMMYFUNCTION("""COMPUTED_VALUE"""),"Pieces")</f>
        <v>Pieces</v>
      </c>
      <c r="H1900" s="6" t="str">
        <f>IFERROR(__xludf.DUMMYFUNCTION("""COMPUTED_VALUE"""),"IDR")</f>
        <v>IDR</v>
      </c>
      <c r="I1900" s="6">
        <f>IFERROR(__xludf.DUMMYFUNCTION("""COMPUTED_VALUE"""),44100.0)</f>
        <v>44100</v>
      </c>
      <c r="J1900" s="6">
        <f>IFERROR(__xludf.DUMMYFUNCTION("""COMPUTED_VALUE"""),88200.0)</f>
        <v>88200</v>
      </c>
      <c r="K1900" s="57">
        <f>IFERROR(__xludf.DUMMYFUNCTION("""COMPUTED_VALUE"""),44764.0)</f>
        <v>44764</v>
      </c>
      <c r="L1900" s="6" t="str">
        <f>IFERROR(__xludf.DUMMYFUNCTION("""COMPUTED_VALUE"""),"FIP Engineering")</f>
        <v>FIP Engineering</v>
      </c>
      <c r="M1900" s="6" t="str">
        <f>IFERROR(__xludf.DUMMYFUNCTION("""COMPUTED_VALUE"""),"Irwan Sopian")</f>
        <v>Irwan Sopian</v>
      </c>
      <c r="N1900" s="6" t="str">
        <f>IFERROR(__xludf.DUMMYFUNCTION("""COMPUTED_VALUE"""),"FIP Engineering")</f>
        <v>FIP Engineering</v>
      </c>
      <c r="O1900" s="6" t="str">
        <f>IFERROR(__xludf.DUMMYFUNCTION("""COMPUTED_VALUE"""),"FIP-DOM-000-11304-OS00001-INA-000000")</f>
        <v>FIP-DOM-000-11304-OS00001-INA-000000</v>
      </c>
      <c r="P1900" s="6" t="str">
        <f>IFERROR(__xludf.DUMMYFUNCTION("""COMPUTED_VALUE"""),"PO Closed")</f>
        <v>PO Closed</v>
      </c>
      <c r="Q1900" s="6" t="str">
        <f>IFERROR(__xludf.DUMMYFUNCTION("""COMPUTED_VALUE"""),"GL2208003")</f>
        <v>GL2208003</v>
      </c>
      <c r="R1900" s="57">
        <f>IFERROR(__xludf.DUMMYFUNCTION("""COMPUTED_VALUE"""),44742.0)</f>
        <v>44742</v>
      </c>
      <c r="S1900" s="6" t="str">
        <f>IFERROR(__xludf.DUMMYFUNCTION("""COMPUTED_VALUE"""),"-")</f>
        <v>-</v>
      </c>
      <c r="T1900" s="57">
        <f>IFERROR(__xludf.DUMMYFUNCTION("""COMPUTED_VALUE"""),44785.0)</f>
        <v>44785</v>
      </c>
    </row>
    <row r="1901">
      <c r="A1901" s="6" t="str">
        <f>IFERROR(__xludf.DUMMYFUNCTION("""COMPUTED_VALUE"""),"221750308-4")</f>
        <v>221750308-4</v>
      </c>
      <c r="B1901" s="6" t="str">
        <f>IFERROR(__xludf.DUMMYFUNCTION("""COMPUTED_VALUE"""),"221750308 - Approved")</f>
        <v>221750308 - Approved</v>
      </c>
      <c r="C1901" s="6">
        <f>IFERROR(__xludf.DUMMYFUNCTION("""COMPUTED_VALUE"""),4.0)</f>
        <v>4</v>
      </c>
      <c r="D1901" s="6" t="str">
        <f>IFERROR(__xludf.DUMMYFUNCTION("""COMPUTED_VALUE"""),"P-53171-00")</f>
        <v>P-53171-00</v>
      </c>
      <c r="E1901" s="6" t="str">
        <f>IFERROR(__xludf.DUMMYFUNCTION("""COMPUTED_VALUE"""),"Ballast Electronic EB-C 218 TL5, 2x18W; Phillips; ;")</f>
        <v>Ballast Electronic EB-C 218 TL5, 2x18W; Phillips; ;</v>
      </c>
      <c r="F1901" s="6">
        <f>IFERROR(__xludf.DUMMYFUNCTION("""COMPUTED_VALUE"""),2.0)</f>
        <v>2</v>
      </c>
      <c r="G1901" s="6" t="str">
        <f>IFERROR(__xludf.DUMMYFUNCTION("""COMPUTED_VALUE"""),"Pieces")</f>
        <v>Pieces</v>
      </c>
      <c r="H1901" s="6" t="str">
        <f>IFERROR(__xludf.DUMMYFUNCTION("""COMPUTED_VALUE"""),"IDR")</f>
        <v>IDR</v>
      </c>
      <c r="I1901" s="6">
        <f>IFERROR(__xludf.DUMMYFUNCTION("""COMPUTED_VALUE"""),88500.0)</f>
        <v>88500</v>
      </c>
      <c r="J1901" s="6">
        <f>IFERROR(__xludf.DUMMYFUNCTION("""COMPUTED_VALUE"""),177000.0)</f>
        <v>177000</v>
      </c>
      <c r="K1901" s="57">
        <f>IFERROR(__xludf.DUMMYFUNCTION("""COMPUTED_VALUE"""),44764.0)</f>
        <v>44764</v>
      </c>
      <c r="L1901" s="6" t="str">
        <f>IFERROR(__xludf.DUMMYFUNCTION("""COMPUTED_VALUE"""),"FIP Engineering")</f>
        <v>FIP Engineering</v>
      </c>
      <c r="M1901" s="6" t="str">
        <f>IFERROR(__xludf.DUMMYFUNCTION("""COMPUTED_VALUE"""),"Irwan Sopian")</f>
        <v>Irwan Sopian</v>
      </c>
      <c r="N1901" s="6" t="str">
        <f>IFERROR(__xludf.DUMMYFUNCTION("""COMPUTED_VALUE"""),"FIP Engineering")</f>
        <v>FIP Engineering</v>
      </c>
      <c r="O1901" s="6" t="str">
        <f>IFERROR(__xludf.DUMMYFUNCTION("""COMPUTED_VALUE"""),"FIP-DOM-000-11304-OS00001-INA-000000")</f>
        <v>FIP-DOM-000-11304-OS00001-INA-000000</v>
      </c>
      <c r="P1901" s="6" t="str">
        <f>IFERROR(__xludf.DUMMYFUNCTION("""COMPUTED_VALUE"""),"PO Closed")</f>
        <v>PO Closed</v>
      </c>
      <c r="Q1901" s="6" t="str">
        <f>IFERROR(__xludf.DUMMYFUNCTION("""COMPUTED_VALUE"""),"GL2208003")</f>
        <v>GL2208003</v>
      </c>
      <c r="R1901" s="57">
        <f>IFERROR(__xludf.DUMMYFUNCTION("""COMPUTED_VALUE"""),44742.0)</f>
        <v>44742</v>
      </c>
      <c r="S1901" s="6" t="str">
        <f>IFERROR(__xludf.DUMMYFUNCTION("""COMPUTED_VALUE"""),"-")</f>
        <v>-</v>
      </c>
      <c r="T1901" s="57">
        <f>IFERROR(__xludf.DUMMYFUNCTION("""COMPUTED_VALUE"""),44785.0)</f>
        <v>44785</v>
      </c>
    </row>
    <row r="1902">
      <c r="A1902" s="6" t="str">
        <f>IFERROR(__xludf.DUMMYFUNCTION("""COMPUTED_VALUE"""),"221750308-5")</f>
        <v>221750308-5</v>
      </c>
      <c r="B1902" s="6" t="str">
        <f>IFERROR(__xludf.DUMMYFUNCTION("""COMPUTED_VALUE"""),"221750308 - Approved")</f>
        <v>221750308 - Approved</v>
      </c>
      <c r="C1902" s="6">
        <f>IFERROR(__xludf.DUMMYFUNCTION("""COMPUTED_VALUE"""),5.0)</f>
        <v>5</v>
      </c>
      <c r="D1902" s="6" t="str">
        <f>IFERROR(__xludf.DUMMYFUNCTION("""COMPUTED_VALUE"""),"P-13383-00")</f>
        <v>P-13383-00</v>
      </c>
      <c r="E1902" s="6" t="str">
        <f>IFERROR(__xludf.DUMMYFUNCTION("""COMPUTED_VALUE"""),"Silicone Sealant High Temp Red")</f>
        <v>Silicone Sealant High Temp Red</v>
      </c>
      <c r="F1902" s="6">
        <f>IFERROR(__xludf.DUMMYFUNCTION("""COMPUTED_VALUE"""),2.0)</f>
        <v>2</v>
      </c>
      <c r="G1902" s="6" t="str">
        <f>IFERROR(__xludf.DUMMYFUNCTION("""COMPUTED_VALUE"""),"Pieces")</f>
        <v>Pieces</v>
      </c>
      <c r="H1902" s="6" t="str">
        <f>IFERROR(__xludf.DUMMYFUNCTION("""COMPUTED_VALUE"""),"IDR")</f>
        <v>IDR</v>
      </c>
      <c r="I1902" s="6">
        <f>IFERROR(__xludf.DUMMYFUNCTION("""COMPUTED_VALUE"""),26000.0)</f>
        <v>26000</v>
      </c>
      <c r="J1902" s="6">
        <f>IFERROR(__xludf.DUMMYFUNCTION("""COMPUTED_VALUE"""),52000.0)</f>
        <v>52000</v>
      </c>
      <c r="K1902" s="57">
        <f>IFERROR(__xludf.DUMMYFUNCTION("""COMPUTED_VALUE"""),44764.0)</f>
        <v>44764</v>
      </c>
      <c r="L1902" s="6" t="str">
        <f>IFERROR(__xludf.DUMMYFUNCTION("""COMPUTED_VALUE"""),"FIP Engineering")</f>
        <v>FIP Engineering</v>
      </c>
      <c r="M1902" s="6" t="str">
        <f>IFERROR(__xludf.DUMMYFUNCTION("""COMPUTED_VALUE"""),"Irwan Sopian")</f>
        <v>Irwan Sopian</v>
      </c>
      <c r="N1902" s="6" t="str">
        <f>IFERROR(__xludf.DUMMYFUNCTION("""COMPUTED_VALUE"""),"FIP Engineering")</f>
        <v>FIP Engineering</v>
      </c>
      <c r="O1902" s="6" t="str">
        <f>IFERROR(__xludf.DUMMYFUNCTION("""COMPUTED_VALUE"""),"FIP-DOM-000-11304-OS00001-INA-000000")</f>
        <v>FIP-DOM-000-11304-OS00001-INA-000000</v>
      </c>
      <c r="P1902" s="6" t="str">
        <f>IFERROR(__xludf.DUMMYFUNCTION("""COMPUTED_VALUE"""),"PO Closed")</f>
        <v>PO Closed</v>
      </c>
      <c r="Q1902" s="6" t="str">
        <f>IFERROR(__xludf.DUMMYFUNCTION("""COMPUTED_VALUE"""),"GL2208003")</f>
        <v>GL2208003</v>
      </c>
      <c r="R1902" s="57">
        <f>IFERROR(__xludf.DUMMYFUNCTION("""COMPUTED_VALUE"""),44742.0)</f>
        <v>44742</v>
      </c>
      <c r="S1902" s="6" t="str">
        <f>IFERROR(__xludf.DUMMYFUNCTION("""COMPUTED_VALUE"""),"-")</f>
        <v>-</v>
      </c>
      <c r="T1902" s="57">
        <f>IFERROR(__xludf.DUMMYFUNCTION("""COMPUTED_VALUE"""),44785.0)</f>
        <v>44785</v>
      </c>
    </row>
    <row r="1903">
      <c r="A1903" s="6" t="str">
        <f>IFERROR(__xludf.DUMMYFUNCTION("""COMPUTED_VALUE"""),"221750308-6")</f>
        <v>221750308-6</v>
      </c>
      <c r="B1903" s="6" t="str">
        <f>IFERROR(__xludf.DUMMYFUNCTION("""COMPUTED_VALUE"""),"221750308 - Approved")</f>
        <v>221750308 - Approved</v>
      </c>
      <c r="C1903" s="6">
        <f>IFERROR(__xludf.DUMMYFUNCTION("""COMPUTED_VALUE"""),6.0)</f>
        <v>6</v>
      </c>
      <c r="D1903" s="6" t="str">
        <f>IFERROR(__xludf.DUMMYFUNCTION("""COMPUTED_VALUE"""),"P-15438-00")</f>
        <v>P-15438-00</v>
      </c>
      <c r="E1903" s="6" t="str">
        <f>IFERROR(__xludf.DUMMYFUNCTION("""COMPUTED_VALUE"""),"CABLE SPIRAL WRAPPING, TYPE KS12, BRAND KSS; ; ;")</f>
        <v>CABLE SPIRAL WRAPPING, TYPE KS12, BRAND KSS; ; ;</v>
      </c>
      <c r="F1903" s="6">
        <f>IFERROR(__xludf.DUMMYFUNCTION("""COMPUTED_VALUE"""),1.0)</f>
        <v>1</v>
      </c>
      <c r="G1903" s="6" t="str">
        <f>IFERROR(__xludf.DUMMYFUNCTION("""COMPUTED_VALUE"""),"Pack")</f>
        <v>Pack</v>
      </c>
      <c r="H1903" s="6" t="str">
        <f>IFERROR(__xludf.DUMMYFUNCTION("""COMPUTED_VALUE"""),"IDR")</f>
        <v>IDR</v>
      </c>
      <c r="I1903" s="6">
        <f>IFERROR(__xludf.DUMMYFUNCTION("""COMPUTED_VALUE"""),62000.0)</f>
        <v>62000</v>
      </c>
      <c r="J1903" s="6">
        <f>IFERROR(__xludf.DUMMYFUNCTION("""COMPUTED_VALUE"""),62000.0)</f>
        <v>62000</v>
      </c>
      <c r="K1903" s="57">
        <f>IFERROR(__xludf.DUMMYFUNCTION("""COMPUTED_VALUE"""),44764.0)</f>
        <v>44764</v>
      </c>
      <c r="L1903" s="6" t="str">
        <f>IFERROR(__xludf.DUMMYFUNCTION("""COMPUTED_VALUE"""),"FIP Engineering")</f>
        <v>FIP Engineering</v>
      </c>
      <c r="M1903" s="6" t="str">
        <f>IFERROR(__xludf.DUMMYFUNCTION("""COMPUTED_VALUE"""),"Irwan Sopian")</f>
        <v>Irwan Sopian</v>
      </c>
      <c r="N1903" s="6" t="str">
        <f>IFERROR(__xludf.DUMMYFUNCTION("""COMPUTED_VALUE"""),"FIP Engineering")</f>
        <v>FIP Engineering</v>
      </c>
      <c r="O1903" s="6" t="str">
        <f>IFERROR(__xludf.DUMMYFUNCTION("""COMPUTED_VALUE"""),"FIP-DOM-000-11304-OS00001-INA-000000")</f>
        <v>FIP-DOM-000-11304-OS00001-INA-000000</v>
      </c>
      <c r="P1903" s="6" t="str">
        <f>IFERROR(__xludf.DUMMYFUNCTION("""COMPUTED_VALUE"""),"PO Closed")</f>
        <v>PO Closed</v>
      </c>
      <c r="Q1903" s="6" t="str">
        <f>IFERROR(__xludf.DUMMYFUNCTION("""COMPUTED_VALUE"""),"GL2208003")</f>
        <v>GL2208003</v>
      </c>
      <c r="R1903" s="57">
        <f>IFERROR(__xludf.DUMMYFUNCTION("""COMPUTED_VALUE"""),44742.0)</f>
        <v>44742</v>
      </c>
      <c r="S1903" s="6" t="str">
        <f>IFERROR(__xludf.DUMMYFUNCTION("""COMPUTED_VALUE"""),"-")</f>
        <v>-</v>
      </c>
      <c r="T1903" s="57">
        <f>IFERROR(__xludf.DUMMYFUNCTION("""COMPUTED_VALUE"""),44785.0)</f>
        <v>44785</v>
      </c>
    </row>
    <row r="1904">
      <c r="A1904" s="6" t="str">
        <f>IFERROR(__xludf.DUMMYFUNCTION("""COMPUTED_VALUE"""),"221750308-7")</f>
        <v>221750308-7</v>
      </c>
      <c r="B1904" s="6" t="str">
        <f>IFERROR(__xludf.DUMMYFUNCTION("""COMPUTED_VALUE"""),"221750308 - Approved")</f>
        <v>221750308 - Approved</v>
      </c>
      <c r="C1904" s="6">
        <f>IFERROR(__xludf.DUMMYFUNCTION("""COMPUTED_VALUE"""),7.0)</f>
        <v>7</v>
      </c>
      <c r="D1904" s="6" t="str">
        <f>IFERROR(__xludf.DUMMYFUNCTION("""COMPUTED_VALUE"""),"P-12464-00")</f>
        <v>P-12464-00</v>
      </c>
      <c r="E1904" s="6" t="str">
        <f>IFERROR(__xludf.DUMMYFUNCTION("""COMPUTED_VALUE"""),"Lem Aibon 1 gal/ kaleng")</f>
        <v>Lem Aibon 1 gal/ kaleng</v>
      </c>
      <c r="F1904" s="6">
        <f>IFERROR(__xludf.DUMMYFUNCTION("""COMPUTED_VALUE"""),2.0)</f>
        <v>2</v>
      </c>
      <c r="G1904" s="6" t="str">
        <f>IFERROR(__xludf.DUMMYFUNCTION("""COMPUTED_VALUE"""),"Pieces")</f>
        <v>Pieces</v>
      </c>
      <c r="H1904" s="6" t="str">
        <f>IFERROR(__xludf.DUMMYFUNCTION("""COMPUTED_VALUE"""),"IDR")</f>
        <v>IDR</v>
      </c>
      <c r="I1904" s="6">
        <f>IFERROR(__xludf.DUMMYFUNCTION("""COMPUTED_VALUE"""),10350.0)</f>
        <v>10350</v>
      </c>
      <c r="J1904" s="6">
        <f>IFERROR(__xludf.DUMMYFUNCTION("""COMPUTED_VALUE"""),20700.0)</f>
        <v>20700</v>
      </c>
      <c r="K1904" s="57">
        <f>IFERROR(__xludf.DUMMYFUNCTION("""COMPUTED_VALUE"""),44764.0)</f>
        <v>44764</v>
      </c>
      <c r="L1904" s="6" t="str">
        <f>IFERROR(__xludf.DUMMYFUNCTION("""COMPUTED_VALUE"""),"FIP Engineering")</f>
        <v>FIP Engineering</v>
      </c>
      <c r="M1904" s="6" t="str">
        <f>IFERROR(__xludf.DUMMYFUNCTION("""COMPUTED_VALUE"""),"Irwan Sopian")</f>
        <v>Irwan Sopian</v>
      </c>
      <c r="N1904" s="6" t="str">
        <f>IFERROR(__xludf.DUMMYFUNCTION("""COMPUTED_VALUE"""),"FIP Engineering")</f>
        <v>FIP Engineering</v>
      </c>
      <c r="O1904" s="6" t="str">
        <f>IFERROR(__xludf.DUMMYFUNCTION("""COMPUTED_VALUE"""),"FIP-DOM-000-11304-OS00001-INA-000000")</f>
        <v>FIP-DOM-000-11304-OS00001-INA-000000</v>
      </c>
      <c r="P1904" s="6" t="str">
        <f>IFERROR(__xludf.DUMMYFUNCTION("""COMPUTED_VALUE"""),"PO Closed")</f>
        <v>PO Closed</v>
      </c>
      <c r="Q1904" s="6" t="str">
        <f>IFERROR(__xludf.DUMMYFUNCTION("""COMPUTED_VALUE"""),"GL2208003")</f>
        <v>GL2208003</v>
      </c>
      <c r="R1904" s="57">
        <f>IFERROR(__xludf.DUMMYFUNCTION("""COMPUTED_VALUE"""),44742.0)</f>
        <v>44742</v>
      </c>
      <c r="S1904" s="6" t="str">
        <f>IFERROR(__xludf.DUMMYFUNCTION("""COMPUTED_VALUE"""),"-")</f>
        <v>-</v>
      </c>
      <c r="T1904" s="57">
        <f>IFERROR(__xludf.DUMMYFUNCTION("""COMPUTED_VALUE"""),44785.0)</f>
        <v>44785</v>
      </c>
    </row>
    <row r="1905">
      <c r="A1905" s="6" t="str">
        <f>IFERROR(__xludf.DUMMYFUNCTION("""COMPUTED_VALUE"""),"221750308-8")</f>
        <v>221750308-8</v>
      </c>
      <c r="B1905" s="6" t="str">
        <f>IFERROR(__xludf.DUMMYFUNCTION("""COMPUTED_VALUE"""),"221750308 - Approved")</f>
        <v>221750308 - Approved</v>
      </c>
      <c r="C1905" s="6">
        <f>IFERROR(__xludf.DUMMYFUNCTION("""COMPUTED_VALUE"""),8.0)</f>
        <v>8</v>
      </c>
      <c r="D1905" s="6" t="str">
        <f>IFERROR(__xludf.DUMMYFUNCTION("""COMPUTED_VALUE"""),"P-53102-00")</f>
        <v>P-53102-00</v>
      </c>
      <c r="E1905" s="6" t="str">
        <f>IFERROR(__xludf.DUMMYFUNCTION("""COMPUTED_VALUE"""),"Lampu PLC 13watt/E27 Putih Phillips")</f>
        <v>Lampu PLC 13watt/E27 Putih Phillips</v>
      </c>
      <c r="F1905" s="6">
        <f>IFERROR(__xludf.DUMMYFUNCTION("""COMPUTED_VALUE"""),15.0)</f>
        <v>15</v>
      </c>
      <c r="G1905" s="6" t="str">
        <f>IFERROR(__xludf.DUMMYFUNCTION("""COMPUTED_VALUE"""),"Pieces")</f>
        <v>Pieces</v>
      </c>
      <c r="H1905" s="6" t="str">
        <f>IFERROR(__xludf.DUMMYFUNCTION("""COMPUTED_VALUE"""),"IDR")</f>
        <v>IDR</v>
      </c>
      <c r="I1905" s="6">
        <f>IFERROR(__xludf.DUMMYFUNCTION("""COMPUTED_VALUE"""),26100.0)</f>
        <v>26100</v>
      </c>
      <c r="J1905" s="6">
        <f>IFERROR(__xludf.DUMMYFUNCTION("""COMPUTED_VALUE"""),391500.0)</f>
        <v>391500</v>
      </c>
      <c r="K1905" s="57">
        <f>IFERROR(__xludf.DUMMYFUNCTION("""COMPUTED_VALUE"""),44764.0)</f>
        <v>44764</v>
      </c>
      <c r="L1905" s="6" t="str">
        <f>IFERROR(__xludf.DUMMYFUNCTION("""COMPUTED_VALUE"""),"FIP Engineering")</f>
        <v>FIP Engineering</v>
      </c>
      <c r="M1905" s="6" t="str">
        <f>IFERROR(__xludf.DUMMYFUNCTION("""COMPUTED_VALUE"""),"Irwan Sopian")</f>
        <v>Irwan Sopian</v>
      </c>
      <c r="N1905" s="6" t="str">
        <f>IFERROR(__xludf.DUMMYFUNCTION("""COMPUTED_VALUE"""),"FIP Engineering")</f>
        <v>FIP Engineering</v>
      </c>
      <c r="O1905" s="6" t="str">
        <f>IFERROR(__xludf.DUMMYFUNCTION("""COMPUTED_VALUE"""),"FIP-DOM-000-11304-OS00001-INA-000000")</f>
        <v>FIP-DOM-000-11304-OS00001-INA-000000</v>
      </c>
      <c r="P1905" s="6" t="str">
        <f>IFERROR(__xludf.DUMMYFUNCTION("""COMPUTED_VALUE"""),"PO Closed")</f>
        <v>PO Closed</v>
      </c>
      <c r="Q1905" s="6" t="str">
        <f>IFERROR(__xludf.DUMMYFUNCTION("""COMPUTED_VALUE"""),"GL2208004")</f>
        <v>GL2208004</v>
      </c>
      <c r="R1905" s="57">
        <f>IFERROR(__xludf.DUMMYFUNCTION("""COMPUTED_VALUE"""),44742.0)</f>
        <v>44742</v>
      </c>
      <c r="S1905" s="6" t="str">
        <f>IFERROR(__xludf.DUMMYFUNCTION("""COMPUTED_VALUE"""),"-")</f>
        <v>-</v>
      </c>
      <c r="T1905" s="57">
        <f>IFERROR(__xludf.DUMMYFUNCTION("""COMPUTED_VALUE"""),44798.0)</f>
        <v>44798</v>
      </c>
    </row>
    <row r="1906">
      <c r="A1906" s="6" t="str">
        <f>IFERROR(__xludf.DUMMYFUNCTION("""COMPUTED_VALUE"""),"221750308-9")</f>
        <v>221750308-9</v>
      </c>
      <c r="B1906" s="6" t="str">
        <f>IFERROR(__xludf.DUMMYFUNCTION("""COMPUTED_VALUE"""),"221750308 - Approved")</f>
        <v>221750308 - Approved</v>
      </c>
      <c r="C1906" s="6">
        <f>IFERROR(__xludf.DUMMYFUNCTION("""COMPUTED_VALUE"""),9.0)</f>
        <v>9</v>
      </c>
      <c r="D1906" s="6" t="str">
        <f>IFERROR(__xludf.DUMMYFUNCTION("""COMPUTED_VALUE"""),"P-51559-00")</f>
        <v>P-51559-00</v>
      </c>
      <c r="E1906" s="6" t="str">
        <f>IFERROR(__xludf.DUMMYFUNCTION("""COMPUTED_VALUE"""),"Lampu T5 14watt Putih Phillips")</f>
        <v>Lampu T5 14watt Putih Phillips</v>
      </c>
      <c r="F1906" s="6">
        <f>IFERROR(__xludf.DUMMYFUNCTION("""COMPUTED_VALUE"""),20.0)</f>
        <v>20</v>
      </c>
      <c r="G1906" s="6" t="str">
        <f>IFERROR(__xludf.DUMMYFUNCTION("""COMPUTED_VALUE"""),"Pack")</f>
        <v>Pack</v>
      </c>
      <c r="H1906" s="6" t="str">
        <f>IFERROR(__xludf.DUMMYFUNCTION("""COMPUTED_VALUE"""),"IDR")</f>
        <v>IDR</v>
      </c>
      <c r="I1906" s="6">
        <f>IFERROR(__xludf.DUMMYFUNCTION("""COMPUTED_VALUE"""),29700.0)</f>
        <v>29700</v>
      </c>
      <c r="J1906" s="6">
        <f>IFERROR(__xludf.DUMMYFUNCTION("""COMPUTED_VALUE"""),594000.0)</f>
        <v>594000</v>
      </c>
      <c r="K1906" s="57">
        <f>IFERROR(__xludf.DUMMYFUNCTION("""COMPUTED_VALUE"""),44764.0)</f>
        <v>44764</v>
      </c>
      <c r="L1906" s="6" t="str">
        <f>IFERROR(__xludf.DUMMYFUNCTION("""COMPUTED_VALUE"""),"FIP Engineering")</f>
        <v>FIP Engineering</v>
      </c>
      <c r="M1906" s="6" t="str">
        <f>IFERROR(__xludf.DUMMYFUNCTION("""COMPUTED_VALUE"""),"Irwan Sopian")</f>
        <v>Irwan Sopian</v>
      </c>
      <c r="N1906" s="6" t="str">
        <f>IFERROR(__xludf.DUMMYFUNCTION("""COMPUTED_VALUE"""),"FIP Engineering")</f>
        <v>FIP Engineering</v>
      </c>
      <c r="O1906" s="6" t="str">
        <f>IFERROR(__xludf.DUMMYFUNCTION("""COMPUTED_VALUE"""),"FIP-DOM-000-11304-OS00001-INA-000000")</f>
        <v>FIP-DOM-000-11304-OS00001-INA-000000</v>
      </c>
      <c r="P1906" s="6" t="str">
        <f>IFERROR(__xludf.DUMMYFUNCTION("""COMPUTED_VALUE"""),"PO Closed")</f>
        <v>PO Closed</v>
      </c>
      <c r="Q1906" s="6" t="str">
        <f>IFERROR(__xludf.DUMMYFUNCTION("""COMPUTED_VALUE"""),"GL2208004")</f>
        <v>GL2208004</v>
      </c>
      <c r="R1906" s="57">
        <f>IFERROR(__xludf.DUMMYFUNCTION("""COMPUTED_VALUE"""),44742.0)</f>
        <v>44742</v>
      </c>
      <c r="S1906" s="6" t="str">
        <f>IFERROR(__xludf.DUMMYFUNCTION("""COMPUTED_VALUE"""),"-")</f>
        <v>-</v>
      </c>
      <c r="T1906" s="57">
        <f>IFERROR(__xludf.DUMMYFUNCTION("""COMPUTED_VALUE"""),44798.0)</f>
        <v>44798</v>
      </c>
    </row>
    <row r="1907">
      <c r="A1907" s="6" t="str">
        <f>IFERROR(__xludf.DUMMYFUNCTION("""COMPUTED_VALUE"""),"221750308-11")</f>
        <v>221750308-11</v>
      </c>
      <c r="B1907" s="6" t="str">
        <f>IFERROR(__xludf.DUMMYFUNCTION("""COMPUTED_VALUE"""),"221750308 - Approved")</f>
        <v>221750308 - Approved</v>
      </c>
      <c r="C1907" s="6">
        <f>IFERROR(__xludf.DUMMYFUNCTION("""COMPUTED_VALUE"""),11.0)</f>
        <v>11</v>
      </c>
      <c r="D1907" s="6" t="str">
        <f>IFERROR(__xludf.DUMMYFUNCTION("""COMPUTED_VALUE"""),"P-53214-00")</f>
        <v>P-53214-00</v>
      </c>
      <c r="E1907" s="6" t="str">
        <f>IFERROR(__xludf.DUMMYFUNCTION("""COMPUTED_VALUE"""),"Epoxy Adhesive DEXTONE")</f>
        <v>Epoxy Adhesive DEXTONE</v>
      </c>
      <c r="F1907" s="6">
        <f>IFERROR(__xludf.DUMMYFUNCTION("""COMPUTED_VALUE"""),3.0)</f>
        <v>3</v>
      </c>
      <c r="G1907" s="6" t="str">
        <f>IFERROR(__xludf.DUMMYFUNCTION("""COMPUTED_VALUE"""),"Pieces")</f>
        <v>Pieces</v>
      </c>
      <c r="H1907" s="6" t="str">
        <f>IFERROR(__xludf.DUMMYFUNCTION("""COMPUTED_VALUE"""),"IDR")</f>
        <v>IDR</v>
      </c>
      <c r="I1907" s="6">
        <f>IFERROR(__xludf.DUMMYFUNCTION("""COMPUTED_VALUE"""),11250.0)</f>
        <v>11250</v>
      </c>
      <c r="J1907" s="6">
        <f>IFERROR(__xludf.DUMMYFUNCTION("""COMPUTED_VALUE"""),33750.0)</f>
        <v>33750</v>
      </c>
      <c r="K1907" s="57">
        <f>IFERROR(__xludf.DUMMYFUNCTION("""COMPUTED_VALUE"""),44764.0)</f>
        <v>44764</v>
      </c>
      <c r="L1907" s="6" t="str">
        <f>IFERROR(__xludf.DUMMYFUNCTION("""COMPUTED_VALUE"""),"FIP Engineering")</f>
        <v>FIP Engineering</v>
      </c>
      <c r="M1907" s="6" t="str">
        <f>IFERROR(__xludf.DUMMYFUNCTION("""COMPUTED_VALUE"""),"Irwan Sopian")</f>
        <v>Irwan Sopian</v>
      </c>
      <c r="N1907" s="6" t="str">
        <f>IFERROR(__xludf.DUMMYFUNCTION("""COMPUTED_VALUE"""),"FIP Engineering")</f>
        <v>FIP Engineering</v>
      </c>
      <c r="O1907" s="6" t="str">
        <f>IFERROR(__xludf.DUMMYFUNCTION("""COMPUTED_VALUE"""),"FIP-DOM-000-11304-OS00001-INA-000000")</f>
        <v>FIP-DOM-000-11304-OS00001-INA-000000</v>
      </c>
      <c r="P1907" s="6" t="str">
        <f>IFERROR(__xludf.DUMMYFUNCTION("""COMPUTED_VALUE"""),"PO Closed")</f>
        <v>PO Closed</v>
      </c>
      <c r="Q1907" s="6" t="str">
        <f>IFERROR(__xludf.DUMMYFUNCTION("""COMPUTED_VALUE"""),"GL2208003")</f>
        <v>GL2208003</v>
      </c>
      <c r="R1907" s="57">
        <f>IFERROR(__xludf.DUMMYFUNCTION("""COMPUTED_VALUE"""),44742.0)</f>
        <v>44742</v>
      </c>
      <c r="S1907" s="6" t="str">
        <f>IFERROR(__xludf.DUMMYFUNCTION("""COMPUTED_VALUE"""),"-")</f>
        <v>-</v>
      </c>
      <c r="T1907" s="57">
        <f>IFERROR(__xludf.DUMMYFUNCTION("""COMPUTED_VALUE"""),44785.0)</f>
        <v>44785</v>
      </c>
    </row>
    <row r="1908">
      <c r="A1908" s="6" t="str">
        <f>IFERROR(__xludf.DUMMYFUNCTION("""COMPUTED_VALUE"""),"221750308-12")</f>
        <v>221750308-12</v>
      </c>
      <c r="B1908" s="6" t="str">
        <f>IFERROR(__xludf.DUMMYFUNCTION("""COMPUTED_VALUE"""),"221750308 - Approved")</f>
        <v>221750308 - Approved</v>
      </c>
      <c r="C1908" s="6">
        <f>IFERROR(__xludf.DUMMYFUNCTION("""COMPUTED_VALUE"""),12.0)</f>
        <v>12</v>
      </c>
      <c r="D1908" s="6" t="str">
        <f>IFERROR(__xludf.DUMMYFUNCTION("""COMPUTED_VALUE"""),"O-54015-00")</f>
        <v>O-54015-00</v>
      </c>
      <c r="E1908" s="6" t="str">
        <f>IFERROR(__xludf.DUMMYFUNCTION("""COMPUTED_VALUE"""),"STOP KONTAK LUBANG 4, BROCO")</f>
        <v>STOP KONTAK LUBANG 4, BROCO</v>
      </c>
      <c r="F1908" s="6">
        <f>IFERROR(__xludf.DUMMYFUNCTION("""COMPUTED_VALUE"""),2.0)</f>
        <v>2</v>
      </c>
      <c r="G1908" s="6" t="str">
        <f>IFERROR(__xludf.DUMMYFUNCTION("""COMPUTED_VALUE"""),"Unit")</f>
        <v>Unit</v>
      </c>
      <c r="H1908" s="6" t="str">
        <f>IFERROR(__xludf.DUMMYFUNCTION("""COMPUTED_VALUE"""),"IDR")</f>
        <v>IDR</v>
      </c>
      <c r="I1908" s="6">
        <f>IFERROR(__xludf.DUMMYFUNCTION("""COMPUTED_VALUE"""),49000.0)</f>
        <v>49000</v>
      </c>
      <c r="J1908" s="6">
        <f>IFERROR(__xludf.DUMMYFUNCTION("""COMPUTED_VALUE"""),98000.0)</f>
        <v>98000</v>
      </c>
      <c r="K1908" s="57">
        <f>IFERROR(__xludf.DUMMYFUNCTION("""COMPUTED_VALUE"""),44764.0)</f>
        <v>44764</v>
      </c>
      <c r="L1908" s="6" t="str">
        <f>IFERROR(__xludf.DUMMYFUNCTION("""COMPUTED_VALUE"""),"FIP Engineering")</f>
        <v>FIP Engineering</v>
      </c>
      <c r="M1908" s="6" t="str">
        <f>IFERROR(__xludf.DUMMYFUNCTION("""COMPUTED_VALUE"""),"Irwan Sopian")</f>
        <v>Irwan Sopian</v>
      </c>
      <c r="N1908" s="6" t="str">
        <f>IFERROR(__xludf.DUMMYFUNCTION("""COMPUTED_VALUE"""),"FIP Engineering")</f>
        <v>FIP Engineering</v>
      </c>
      <c r="O1908" s="6" t="str">
        <f>IFERROR(__xludf.DUMMYFUNCTION("""COMPUTED_VALUE"""),"FIP-DOM-000-11304-OS00001-INA-000000")</f>
        <v>FIP-DOM-000-11304-OS00001-INA-000000</v>
      </c>
      <c r="P1908" s="6" t="str">
        <f>IFERROR(__xludf.DUMMYFUNCTION("""COMPUTED_VALUE"""),"PO Closed")</f>
        <v>PO Closed</v>
      </c>
      <c r="Q1908" s="6" t="str">
        <f>IFERROR(__xludf.DUMMYFUNCTION("""COMPUTED_VALUE"""),"GL2208003")</f>
        <v>GL2208003</v>
      </c>
      <c r="R1908" s="57">
        <f>IFERROR(__xludf.DUMMYFUNCTION("""COMPUTED_VALUE"""),44742.0)</f>
        <v>44742</v>
      </c>
      <c r="S1908" s="6" t="str">
        <f>IFERROR(__xludf.DUMMYFUNCTION("""COMPUTED_VALUE"""),"-")</f>
        <v>-</v>
      </c>
      <c r="T1908" s="57">
        <f>IFERROR(__xludf.DUMMYFUNCTION("""COMPUTED_VALUE"""),44785.0)</f>
        <v>44785</v>
      </c>
    </row>
    <row r="1909">
      <c r="A1909" s="6" t="str">
        <f>IFERROR(__xludf.DUMMYFUNCTION("""COMPUTED_VALUE"""),"221750308-13")</f>
        <v>221750308-13</v>
      </c>
      <c r="B1909" s="6" t="str">
        <f>IFERROR(__xludf.DUMMYFUNCTION("""COMPUTED_VALUE"""),"221750308 - Approved")</f>
        <v>221750308 - Approved</v>
      </c>
      <c r="C1909" s="6">
        <f>IFERROR(__xludf.DUMMYFUNCTION("""COMPUTED_VALUE"""),13.0)</f>
        <v>13</v>
      </c>
      <c r="D1909" s="6" t="str">
        <f>IFERROR(__xludf.DUMMYFUNCTION("""COMPUTED_VALUE"""),"P-50506-00")</f>
        <v>P-50506-00</v>
      </c>
      <c r="E1909" s="6" t="str">
        <f>IFERROR(__xludf.DUMMYFUNCTION("""COMPUTED_VALUE"""),"Saklar Tunggal / 250 V / Clipsal")</f>
        <v>Saklar Tunggal / 250 V / Clipsal</v>
      </c>
      <c r="F1909" s="6">
        <f>IFERROR(__xludf.DUMMYFUNCTION("""COMPUTED_VALUE"""),2.0)</f>
        <v>2</v>
      </c>
      <c r="G1909" s="6" t="str">
        <f>IFERROR(__xludf.DUMMYFUNCTION("""COMPUTED_VALUE"""),"Pieces")</f>
        <v>Pieces</v>
      </c>
      <c r="H1909" s="6" t="str">
        <f>IFERROR(__xludf.DUMMYFUNCTION("""COMPUTED_VALUE"""),"IDR")</f>
        <v>IDR</v>
      </c>
      <c r="I1909" s="6">
        <f>IFERROR(__xludf.DUMMYFUNCTION("""COMPUTED_VALUE"""),23000.0)</f>
        <v>23000</v>
      </c>
      <c r="J1909" s="6">
        <f>IFERROR(__xludf.DUMMYFUNCTION("""COMPUTED_VALUE"""),46000.0)</f>
        <v>46000</v>
      </c>
      <c r="K1909" s="57">
        <f>IFERROR(__xludf.DUMMYFUNCTION("""COMPUTED_VALUE"""),44764.0)</f>
        <v>44764</v>
      </c>
      <c r="L1909" s="6" t="str">
        <f>IFERROR(__xludf.DUMMYFUNCTION("""COMPUTED_VALUE"""),"FIP Engineering")</f>
        <v>FIP Engineering</v>
      </c>
      <c r="M1909" s="6" t="str">
        <f>IFERROR(__xludf.DUMMYFUNCTION("""COMPUTED_VALUE"""),"Irwan Sopian")</f>
        <v>Irwan Sopian</v>
      </c>
      <c r="N1909" s="6" t="str">
        <f>IFERROR(__xludf.DUMMYFUNCTION("""COMPUTED_VALUE"""),"FIP Engineering")</f>
        <v>FIP Engineering</v>
      </c>
      <c r="O1909" s="6" t="str">
        <f>IFERROR(__xludf.DUMMYFUNCTION("""COMPUTED_VALUE"""),"FIP-DOM-000-11304-OS00001-INA-000000")</f>
        <v>FIP-DOM-000-11304-OS00001-INA-000000</v>
      </c>
      <c r="P1909" s="6" t="str">
        <f>IFERROR(__xludf.DUMMYFUNCTION("""COMPUTED_VALUE"""),"PO Closed")</f>
        <v>PO Closed</v>
      </c>
      <c r="Q1909" s="6" t="str">
        <f>IFERROR(__xludf.DUMMYFUNCTION("""COMPUTED_VALUE"""),"GL2208003")</f>
        <v>GL2208003</v>
      </c>
      <c r="R1909" s="57">
        <f>IFERROR(__xludf.DUMMYFUNCTION("""COMPUTED_VALUE"""),44742.0)</f>
        <v>44742</v>
      </c>
      <c r="S1909" s="6" t="str">
        <f>IFERROR(__xludf.DUMMYFUNCTION("""COMPUTED_VALUE"""),"-")</f>
        <v>-</v>
      </c>
      <c r="T1909" s="57">
        <f>IFERROR(__xludf.DUMMYFUNCTION("""COMPUTED_VALUE"""),44785.0)</f>
        <v>44785</v>
      </c>
    </row>
    <row r="1910">
      <c r="A1910" s="6" t="str">
        <f>IFERROR(__xludf.DUMMYFUNCTION("""COMPUTED_VALUE"""),"221750308-14")</f>
        <v>221750308-14</v>
      </c>
      <c r="B1910" s="6" t="str">
        <f>IFERROR(__xludf.DUMMYFUNCTION("""COMPUTED_VALUE"""),"221750308 - Approved")</f>
        <v>221750308 - Approved</v>
      </c>
      <c r="C1910" s="6">
        <f>IFERROR(__xludf.DUMMYFUNCTION("""COMPUTED_VALUE"""),14.0)</f>
        <v>14</v>
      </c>
      <c r="D1910" s="6" t="str">
        <f>IFERROR(__xludf.DUMMYFUNCTION("""COMPUTED_VALUE"""),"Q-10154-00")</f>
        <v>Q-10154-00</v>
      </c>
      <c r="E1910" s="6" t="str">
        <f>IFERROR(__xludf.DUMMYFUNCTION("""COMPUTED_VALUE"""),"Roller cat 230mm")</f>
        <v>Roller cat 230mm</v>
      </c>
      <c r="F1910" s="6">
        <f>IFERROR(__xludf.DUMMYFUNCTION("""COMPUTED_VALUE"""),10.0)</f>
        <v>10</v>
      </c>
      <c r="G1910" s="6" t="str">
        <f>IFERROR(__xludf.DUMMYFUNCTION("""COMPUTED_VALUE"""),"Pieces")</f>
        <v>Pieces</v>
      </c>
      <c r="H1910" s="6" t="str">
        <f>IFERROR(__xludf.DUMMYFUNCTION("""COMPUTED_VALUE"""),"IDR")</f>
        <v>IDR</v>
      </c>
      <c r="I1910" s="6">
        <f>IFERROR(__xludf.DUMMYFUNCTION("""COMPUTED_VALUE"""),35000.0)</f>
        <v>35000</v>
      </c>
      <c r="J1910" s="6">
        <f>IFERROR(__xludf.DUMMYFUNCTION("""COMPUTED_VALUE"""),350000.0)</f>
        <v>350000</v>
      </c>
      <c r="K1910" s="57">
        <f>IFERROR(__xludf.DUMMYFUNCTION("""COMPUTED_VALUE"""),44764.0)</f>
        <v>44764</v>
      </c>
      <c r="L1910" s="6" t="str">
        <f>IFERROR(__xludf.DUMMYFUNCTION("""COMPUTED_VALUE"""),"FIP Engineering")</f>
        <v>FIP Engineering</v>
      </c>
      <c r="M1910" s="6" t="str">
        <f>IFERROR(__xludf.DUMMYFUNCTION("""COMPUTED_VALUE"""),"Irwan Sopian")</f>
        <v>Irwan Sopian</v>
      </c>
      <c r="N1910" s="6" t="str">
        <f>IFERROR(__xludf.DUMMYFUNCTION("""COMPUTED_VALUE"""),"FIP Engineering")</f>
        <v>FIP Engineering</v>
      </c>
      <c r="O1910" s="6" t="str">
        <f>IFERROR(__xludf.DUMMYFUNCTION("""COMPUTED_VALUE"""),"FIP-DOM-000-11304-OS00001-INA-000000")</f>
        <v>FIP-DOM-000-11304-OS00001-INA-000000</v>
      </c>
      <c r="P1910" s="6" t="str">
        <f>IFERROR(__xludf.DUMMYFUNCTION("""COMPUTED_VALUE"""),"PO Closed")</f>
        <v>PO Closed</v>
      </c>
      <c r="Q1910" s="6" t="str">
        <f>IFERROR(__xludf.DUMMYFUNCTION("""COMPUTED_VALUE"""),"GL2207303")</f>
        <v>GL2207303</v>
      </c>
      <c r="R1910" s="57">
        <f>IFERROR(__xludf.DUMMYFUNCTION("""COMPUTED_VALUE"""),44742.0)</f>
        <v>44742</v>
      </c>
      <c r="S1910" s="6" t="str">
        <f>IFERROR(__xludf.DUMMYFUNCTION("""COMPUTED_VALUE"""),"-")</f>
        <v>-</v>
      </c>
      <c r="T1910" s="57">
        <f>IFERROR(__xludf.DUMMYFUNCTION("""COMPUTED_VALUE"""),44764.0)</f>
        <v>44764</v>
      </c>
    </row>
    <row r="1911">
      <c r="A1911" s="6" t="str">
        <f>IFERROR(__xludf.DUMMYFUNCTION("""COMPUTED_VALUE"""),"221750308-15")</f>
        <v>221750308-15</v>
      </c>
      <c r="B1911" s="6" t="str">
        <f>IFERROR(__xludf.DUMMYFUNCTION("""COMPUTED_VALUE"""),"221750308 - Approved")</f>
        <v>221750308 - Approved</v>
      </c>
      <c r="C1911" s="6">
        <f>IFERROR(__xludf.DUMMYFUNCTION("""COMPUTED_VALUE"""),15.0)</f>
        <v>15</v>
      </c>
      <c r="D1911" s="6" t="str">
        <f>IFERROR(__xludf.DUMMYFUNCTION("""COMPUTED_VALUE"""),"Q-60025-00")</f>
        <v>Q-60025-00</v>
      </c>
      <c r="E1911" s="6" t="str">
        <f>IFERROR(__xludf.DUMMYFUNCTION("""COMPUTED_VALUE"""),"Kuas Eterna 1""")</f>
        <v>Kuas Eterna 1"</v>
      </c>
      <c r="F1911" s="6">
        <f>IFERROR(__xludf.DUMMYFUNCTION("""COMPUTED_VALUE"""),10.0)</f>
        <v>10</v>
      </c>
      <c r="G1911" s="6" t="str">
        <f>IFERROR(__xludf.DUMMYFUNCTION("""COMPUTED_VALUE"""),"Pieces")</f>
        <v>Pieces</v>
      </c>
      <c r="H1911" s="6" t="str">
        <f>IFERROR(__xludf.DUMMYFUNCTION("""COMPUTED_VALUE"""),"IDR")</f>
        <v>IDR</v>
      </c>
      <c r="I1911" s="6">
        <f>IFERROR(__xludf.DUMMYFUNCTION("""COMPUTED_VALUE"""),6000.0)</f>
        <v>6000</v>
      </c>
      <c r="J1911" s="6">
        <f>IFERROR(__xludf.DUMMYFUNCTION("""COMPUTED_VALUE"""),60000.0)</f>
        <v>60000</v>
      </c>
      <c r="K1911" s="57">
        <f>IFERROR(__xludf.DUMMYFUNCTION("""COMPUTED_VALUE"""),44764.0)</f>
        <v>44764</v>
      </c>
      <c r="L1911" s="6" t="str">
        <f>IFERROR(__xludf.DUMMYFUNCTION("""COMPUTED_VALUE"""),"FIP General")</f>
        <v>FIP General</v>
      </c>
      <c r="M1911" s="6" t="str">
        <f>IFERROR(__xludf.DUMMYFUNCTION("""COMPUTED_VALUE"""),"Irwan Sopian")</f>
        <v>Irwan Sopian</v>
      </c>
      <c r="N1911" s="6" t="str">
        <f>IFERROR(__xludf.DUMMYFUNCTION("""COMPUTED_VALUE"""),"FIP Engineering")</f>
        <v>FIP Engineering</v>
      </c>
      <c r="O1911" s="6" t="str">
        <f>IFERROR(__xludf.DUMMYFUNCTION("""COMPUTED_VALUE"""),"FIP-DOM-ENG-51404-0000000-INA-000000")</f>
        <v>FIP-DOM-ENG-51404-0000000-INA-000000</v>
      </c>
      <c r="P1911" s="6" t="str">
        <f>IFERROR(__xludf.DUMMYFUNCTION("""COMPUTED_VALUE"""),"PO Closed")</f>
        <v>PO Closed</v>
      </c>
      <c r="Q1911" s="6" t="str">
        <f>IFERROR(__xludf.DUMMYFUNCTION("""COMPUTED_VALUE"""),"GL2207303")</f>
        <v>GL2207303</v>
      </c>
      <c r="R1911" s="57">
        <f>IFERROR(__xludf.DUMMYFUNCTION("""COMPUTED_VALUE"""),44742.0)</f>
        <v>44742</v>
      </c>
      <c r="S1911" s="6" t="str">
        <f>IFERROR(__xludf.DUMMYFUNCTION("""COMPUTED_VALUE"""),"-")</f>
        <v>-</v>
      </c>
      <c r="T1911" s="57">
        <f>IFERROR(__xludf.DUMMYFUNCTION("""COMPUTED_VALUE"""),44764.0)</f>
        <v>44764</v>
      </c>
    </row>
    <row r="1912">
      <c r="A1912" s="6" t="str">
        <f>IFERROR(__xludf.DUMMYFUNCTION("""COMPUTED_VALUE"""),"221750308-16")</f>
        <v>221750308-16</v>
      </c>
      <c r="B1912" s="6" t="str">
        <f>IFERROR(__xludf.DUMMYFUNCTION("""COMPUTED_VALUE"""),"221750308 - Approved")</f>
        <v>221750308 - Approved</v>
      </c>
      <c r="C1912" s="6">
        <f>IFERROR(__xludf.DUMMYFUNCTION("""COMPUTED_VALUE"""),16.0)</f>
        <v>16</v>
      </c>
      <c r="D1912" s="6" t="str">
        <f>IFERROR(__xludf.DUMMYFUNCTION("""COMPUTED_VALUE"""),"Q-10128-00")</f>
        <v>Q-10128-00</v>
      </c>
      <c r="E1912" s="6" t="str">
        <f>IFERROR(__xludf.DUMMYFUNCTION("""COMPUTED_VALUE"""),"Thinner Super End/Impala")</f>
        <v>Thinner Super End/Impala</v>
      </c>
      <c r="F1912" s="6">
        <f>IFERROR(__xludf.DUMMYFUNCTION("""COMPUTED_VALUE"""),2.0)</f>
        <v>2</v>
      </c>
      <c r="G1912" s="6" t="str">
        <f>IFERROR(__xludf.DUMMYFUNCTION("""COMPUTED_VALUE"""),"Pieces")</f>
        <v>Pieces</v>
      </c>
      <c r="H1912" s="6" t="str">
        <f>IFERROR(__xludf.DUMMYFUNCTION("""COMPUTED_VALUE"""),"IDR")</f>
        <v>IDR</v>
      </c>
      <c r="I1912" s="6">
        <f>IFERROR(__xludf.DUMMYFUNCTION("""COMPUTED_VALUE"""),110000.0)</f>
        <v>110000</v>
      </c>
      <c r="J1912" s="6">
        <f>IFERROR(__xludf.DUMMYFUNCTION("""COMPUTED_VALUE"""),220000.0)</f>
        <v>220000</v>
      </c>
      <c r="K1912" s="57">
        <f>IFERROR(__xludf.DUMMYFUNCTION("""COMPUTED_VALUE"""),44764.0)</f>
        <v>44764</v>
      </c>
      <c r="L1912" s="6" t="str">
        <f>IFERROR(__xludf.DUMMYFUNCTION("""COMPUTED_VALUE"""),"FIP Engineering")</f>
        <v>FIP Engineering</v>
      </c>
      <c r="M1912" s="6" t="str">
        <f>IFERROR(__xludf.DUMMYFUNCTION("""COMPUTED_VALUE"""),"Irwan Sopian")</f>
        <v>Irwan Sopian</v>
      </c>
      <c r="N1912" s="6" t="str">
        <f>IFERROR(__xludf.DUMMYFUNCTION("""COMPUTED_VALUE"""),"FIP Engineering")</f>
        <v>FIP Engineering</v>
      </c>
      <c r="O1912" s="6" t="str">
        <f>IFERROR(__xludf.DUMMYFUNCTION("""COMPUTED_VALUE"""),"FIP-DOM-000-11304-OS00001-INA-000000")</f>
        <v>FIP-DOM-000-11304-OS00001-INA-000000</v>
      </c>
      <c r="P1912" s="6" t="str">
        <f>IFERROR(__xludf.DUMMYFUNCTION("""COMPUTED_VALUE"""),"PO Closed")</f>
        <v>PO Closed</v>
      </c>
      <c r="Q1912" s="6" t="str">
        <f>IFERROR(__xludf.DUMMYFUNCTION("""COMPUTED_VALUE"""),"GL2207303")</f>
        <v>GL2207303</v>
      </c>
      <c r="R1912" s="57">
        <f>IFERROR(__xludf.DUMMYFUNCTION("""COMPUTED_VALUE"""),44742.0)</f>
        <v>44742</v>
      </c>
      <c r="S1912" s="6" t="str">
        <f>IFERROR(__xludf.DUMMYFUNCTION("""COMPUTED_VALUE"""),"-")</f>
        <v>-</v>
      </c>
      <c r="T1912" s="57">
        <f>IFERROR(__xludf.DUMMYFUNCTION("""COMPUTED_VALUE"""),44764.0)</f>
        <v>44764</v>
      </c>
    </row>
    <row r="1913">
      <c r="A1913" s="6" t="str">
        <f>IFERROR(__xludf.DUMMYFUNCTION("""COMPUTED_VALUE"""),"221750308-17")</f>
        <v>221750308-17</v>
      </c>
      <c r="B1913" s="6" t="str">
        <f>IFERROR(__xludf.DUMMYFUNCTION("""COMPUTED_VALUE"""),"221750308 - Approved")</f>
        <v>221750308 - Approved</v>
      </c>
      <c r="C1913" s="6">
        <f>IFERROR(__xludf.DUMMYFUNCTION("""COMPUTED_VALUE"""),17.0)</f>
        <v>17</v>
      </c>
      <c r="D1913" s="6" t="str">
        <f>IFERROR(__xludf.DUMMYFUNCTION("""COMPUTED_VALUE"""),"P-51560-00")</f>
        <v>P-51560-00</v>
      </c>
      <c r="E1913" s="6" t="str">
        <f>IFERROR(__xludf.DUMMYFUNCTION("""COMPUTED_VALUE"""),"Lampu T5 28watt Putih Phillips")</f>
        <v>Lampu T5 28watt Putih Phillips</v>
      </c>
      <c r="F1913" s="6">
        <f>IFERROR(__xludf.DUMMYFUNCTION("""COMPUTED_VALUE"""),40.0)</f>
        <v>40</v>
      </c>
      <c r="G1913" s="6" t="str">
        <f>IFERROR(__xludf.DUMMYFUNCTION("""COMPUTED_VALUE"""),"Pieces")</f>
        <v>Pieces</v>
      </c>
      <c r="H1913" s="6" t="str">
        <f>IFERROR(__xludf.DUMMYFUNCTION("""COMPUTED_VALUE"""),"IDR")</f>
        <v>IDR</v>
      </c>
      <c r="I1913" s="6">
        <f>IFERROR(__xludf.DUMMYFUNCTION("""COMPUTED_VALUE"""),40000.0)</f>
        <v>40000</v>
      </c>
      <c r="J1913" s="6">
        <f>IFERROR(__xludf.DUMMYFUNCTION("""COMPUTED_VALUE"""),1600000.0)</f>
        <v>1600000</v>
      </c>
      <c r="K1913" s="57">
        <f>IFERROR(__xludf.DUMMYFUNCTION("""COMPUTED_VALUE"""),44764.0)</f>
        <v>44764</v>
      </c>
      <c r="L1913" s="6" t="str">
        <f>IFERROR(__xludf.DUMMYFUNCTION("""COMPUTED_VALUE"""),"FIP Engineering")</f>
        <v>FIP Engineering</v>
      </c>
      <c r="M1913" s="6" t="str">
        <f>IFERROR(__xludf.DUMMYFUNCTION("""COMPUTED_VALUE"""),"Irwan Sopian")</f>
        <v>Irwan Sopian</v>
      </c>
      <c r="N1913" s="6" t="str">
        <f>IFERROR(__xludf.DUMMYFUNCTION("""COMPUTED_VALUE"""),"FIP Engineering")</f>
        <v>FIP Engineering</v>
      </c>
      <c r="O1913" s="6" t="str">
        <f>IFERROR(__xludf.DUMMYFUNCTION("""COMPUTED_VALUE"""),"FIP-DOM-000-11304-OS00001-INA-000000")</f>
        <v>FIP-DOM-000-11304-OS00001-INA-000000</v>
      </c>
      <c r="P1913" s="6" t="str">
        <f>IFERROR(__xludf.DUMMYFUNCTION("""COMPUTED_VALUE"""),"PO Closed")</f>
        <v>PO Closed</v>
      </c>
      <c r="Q1913" s="6" t="str">
        <f>IFERROR(__xludf.DUMMYFUNCTION("""COMPUTED_VALUE"""),"GL2208004")</f>
        <v>GL2208004</v>
      </c>
      <c r="R1913" s="57">
        <f>IFERROR(__xludf.DUMMYFUNCTION("""COMPUTED_VALUE"""),44746.0)</f>
        <v>44746</v>
      </c>
      <c r="S1913" s="6" t="str">
        <f>IFERROR(__xludf.DUMMYFUNCTION("""COMPUTED_VALUE"""),"-")</f>
        <v>-</v>
      </c>
      <c r="T1913" s="57">
        <f>IFERROR(__xludf.DUMMYFUNCTION("""COMPUTED_VALUE"""),44798.0)</f>
        <v>44798</v>
      </c>
    </row>
    <row r="1914">
      <c r="A1914" s="6" t="str">
        <f>IFERROR(__xludf.DUMMYFUNCTION("""COMPUTED_VALUE"""),"221750308-18")</f>
        <v>221750308-18</v>
      </c>
      <c r="B1914" s="6" t="str">
        <f>IFERROR(__xludf.DUMMYFUNCTION("""COMPUTED_VALUE"""),"221750308 - Approved")</f>
        <v>221750308 - Approved</v>
      </c>
      <c r="C1914" s="6">
        <f>IFERROR(__xludf.DUMMYFUNCTION("""COMPUTED_VALUE"""),18.0)</f>
        <v>18</v>
      </c>
      <c r="D1914" s="6" t="str">
        <f>IFERROR(__xludf.DUMMYFUNCTION("""COMPUTED_VALUE"""),"Q-10153-00")</f>
        <v>Q-10153-00</v>
      </c>
      <c r="E1914" s="6" t="str">
        <f>IFERROR(__xludf.DUMMYFUNCTION("""COMPUTED_VALUE"""),"Roller cat 110mm")</f>
        <v>Roller cat 110mm</v>
      </c>
      <c r="F1914" s="6">
        <f>IFERROR(__xludf.DUMMYFUNCTION("""COMPUTED_VALUE"""),10.0)</f>
        <v>10</v>
      </c>
      <c r="G1914" s="6" t="str">
        <f>IFERROR(__xludf.DUMMYFUNCTION("""COMPUTED_VALUE"""),"Pieces")</f>
        <v>Pieces</v>
      </c>
      <c r="H1914" s="6" t="str">
        <f>IFERROR(__xludf.DUMMYFUNCTION("""COMPUTED_VALUE"""),"IDR")</f>
        <v>IDR</v>
      </c>
      <c r="I1914" s="6">
        <f>IFERROR(__xludf.DUMMYFUNCTION("""COMPUTED_VALUE"""),15000.0)</f>
        <v>15000</v>
      </c>
      <c r="J1914" s="6">
        <f>IFERROR(__xludf.DUMMYFUNCTION("""COMPUTED_VALUE"""),150000.0)</f>
        <v>150000</v>
      </c>
      <c r="K1914" s="57">
        <f>IFERROR(__xludf.DUMMYFUNCTION("""COMPUTED_VALUE"""),44764.0)</f>
        <v>44764</v>
      </c>
      <c r="L1914" s="6" t="str">
        <f>IFERROR(__xludf.DUMMYFUNCTION("""COMPUTED_VALUE"""),"FIP Engineering")</f>
        <v>FIP Engineering</v>
      </c>
      <c r="M1914" s="6" t="str">
        <f>IFERROR(__xludf.DUMMYFUNCTION("""COMPUTED_VALUE"""),"Irwan Sopian")</f>
        <v>Irwan Sopian</v>
      </c>
      <c r="N1914" s="6" t="str">
        <f>IFERROR(__xludf.DUMMYFUNCTION("""COMPUTED_VALUE"""),"FIP Engineering")</f>
        <v>FIP Engineering</v>
      </c>
      <c r="O1914" s="6" t="str">
        <f>IFERROR(__xludf.DUMMYFUNCTION("""COMPUTED_VALUE"""),"FIP-DOM-000-11304-OS00001-INA-000000")</f>
        <v>FIP-DOM-000-11304-OS00001-INA-000000</v>
      </c>
      <c r="P1914" s="6" t="str">
        <f>IFERROR(__xludf.DUMMYFUNCTION("""COMPUTED_VALUE"""),"PO Closed")</f>
        <v>PO Closed</v>
      </c>
      <c r="Q1914" s="6" t="str">
        <f>IFERROR(__xludf.DUMMYFUNCTION("""COMPUTED_VALUE"""),"GL2207303")</f>
        <v>GL2207303</v>
      </c>
      <c r="R1914" s="57">
        <f>IFERROR(__xludf.DUMMYFUNCTION("""COMPUTED_VALUE"""),44746.0)</f>
        <v>44746</v>
      </c>
      <c r="S1914" s="6" t="str">
        <f>IFERROR(__xludf.DUMMYFUNCTION("""COMPUTED_VALUE"""),"-")</f>
        <v>-</v>
      </c>
      <c r="T1914" s="57">
        <f>IFERROR(__xludf.DUMMYFUNCTION("""COMPUTED_VALUE"""),44764.0)</f>
        <v>44764</v>
      </c>
    </row>
    <row r="1915">
      <c r="A1915" s="6" t="str">
        <f>IFERROR(__xludf.DUMMYFUNCTION("""COMPUTED_VALUE"""),"221750308-18")</f>
        <v>221750308-18</v>
      </c>
      <c r="B1915" s="6" t="str">
        <f>IFERROR(__xludf.DUMMYFUNCTION("""COMPUTED_VALUE"""),"221750308 - Approved")</f>
        <v>221750308 - Approved</v>
      </c>
      <c r="C1915" s="6">
        <f>IFERROR(__xludf.DUMMYFUNCTION("""COMPUTED_VALUE"""),18.0)</f>
        <v>18</v>
      </c>
      <c r="D1915" s="6" t="str">
        <f>IFERROR(__xludf.DUMMYFUNCTION("""COMPUTED_VALUE"""),"Q-60500-00")</f>
        <v>Q-60500-00</v>
      </c>
      <c r="E1915" s="6" t="str">
        <f>IFERROR(__xludf.DUMMYFUNCTION("""COMPUTED_VALUE"""),"Silicone Sealant, Silglaze, Type N10 Grey, pack size per pcs")</f>
        <v>Silicone Sealant, Silglaze, Type N10 Grey, pack size per pcs</v>
      </c>
      <c r="F1915" s="6">
        <f>IFERROR(__xludf.DUMMYFUNCTION("""COMPUTED_VALUE"""),5.0)</f>
        <v>5</v>
      </c>
      <c r="G1915" s="6" t="str">
        <f>IFERROR(__xludf.DUMMYFUNCTION("""COMPUTED_VALUE"""),"Pieces")</f>
        <v>Pieces</v>
      </c>
      <c r="H1915" s="6" t="str">
        <f>IFERROR(__xludf.DUMMYFUNCTION("""COMPUTED_VALUE"""),"IDR")</f>
        <v>IDR</v>
      </c>
      <c r="I1915" s="6">
        <f>IFERROR(__xludf.DUMMYFUNCTION("""COMPUTED_VALUE"""),58000.0)</f>
        <v>58000</v>
      </c>
      <c r="J1915" s="6">
        <f>IFERROR(__xludf.DUMMYFUNCTION("""COMPUTED_VALUE"""),290000.0)</f>
        <v>290000</v>
      </c>
      <c r="K1915" s="57">
        <f>IFERROR(__xludf.DUMMYFUNCTION("""COMPUTED_VALUE"""),44764.0)</f>
        <v>44764</v>
      </c>
      <c r="L1915" s="6" t="str">
        <f>IFERROR(__xludf.DUMMYFUNCTION("""COMPUTED_VALUE"""),"FIP Engineering")</f>
        <v>FIP Engineering</v>
      </c>
      <c r="M1915" s="6" t="str">
        <f>IFERROR(__xludf.DUMMYFUNCTION("""COMPUTED_VALUE"""),"Irwan Sopian")</f>
        <v>Irwan Sopian</v>
      </c>
      <c r="N1915" s="6" t="str">
        <f>IFERROR(__xludf.DUMMYFUNCTION("""COMPUTED_VALUE"""),"FIP Engineering")</f>
        <v>FIP Engineering</v>
      </c>
      <c r="O1915" s="6" t="str">
        <f>IFERROR(__xludf.DUMMYFUNCTION("""COMPUTED_VALUE"""),"FIP-DOM-000-11304-OS00010-INA-000000")</f>
        <v>FIP-DOM-000-11304-OS00010-INA-000000</v>
      </c>
      <c r="P1915" s="6" t="str">
        <f>IFERROR(__xludf.DUMMYFUNCTION("""COMPUTED_VALUE"""),"PO Closed")</f>
        <v>PO Closed</v>
      </c>
      <c r="Q1915" s="6" t="str">
        <f>IFERROR(__xludf.DUMMYFUNCTION("""COMPUTED_VALUE"""),"GL2207303")</f>
        <v>GL2207303</v>
      </c>
      <c r="R1915" s="57">
        <f>IFERROR(__xludf.DUMMYFUNCTION("""COMPUTED_VALUE"""),44746.0)</f>
        <v>44746</v>
      </c>
      <c r="S1915" s="6" t="str">
        <f>IFERROR(__xludf.DUMMYFUNCTION("""COMPUTED_VALUE"""),"-")</f>
        <v>-</v>
      </c>
      <c r="T1915" s="57">
        <f>IFERROR(__xludf.DUMMYFUNCTION("""COMPUTED_VALUE"""),44764.0)</f>
        <v>44764</v>
      </c>
    </row>
    <row r="1916">
      <c r="A1916" s="6" t="str">
        <f>IFERROR(__xludf.DUMMYFUNCTION("""COMPUTED_VALUE"""),"221750308-19")</f>
        <v>221750308-19</v>
      </c>
      <c r="B1916" s="6" t="str">
        <f>IFERROR(__xludf.DUMMYFUNCTION("""COMPUTED_VALUE"""),"221750308 - Approved")</f>
        <v>221750308 - Approved</v>
      </c>
      <c r="C1916" s="6">
        <f>IFERROR(__xludf.DUMMYFUNCTION("""COMPUTED_VALUE"""),19.0)</f>
        <v>19</v>
      </c>
      <c r="D1916" s="6" t="str">
        <f>IFERROR(__xludf.DUMMYFUNCTION("""COMPUTED_VALUE"""),"Q-60502-00")</f>
        <v>Q-60502-00</v>
      </c>
      <c r="E1916" s="6" t="str">
        <f>IFERROR(__xludf.DUMMYFUNCTION("""COMPUTED_VALUE"""),"Silicone Sealant, Silglaze, Type N10 White, pack size per pcs")</f>
        <v>Silicone Sealant, Silglaze, Type N10 White, pack size per pcs</v>
      </c>
      <c r="F1916" s="6">
        <f>IFERROR(__xludf.DUMMYFUNCTION("""COMPUTED_VALUE"""),10.0)</f>
        <v>10</v>
      </c>
      <c r="G1916" s="6" t="str">
        <f>IFERROR(__xludf.DUMMYFUNCTION("""COMPUTED_VALUE"""),"Pieces")</f>
        <v>Pieces</v>
      </c>
      <c r="H1916" s="6" t="str">
        <f>IFERROR(__xludf.DUMMYFUNCTION("""COMPUTED_VALUE"""),"IDR")</f>
        <v>IDR</v>
      </c>
      <c r="I1916" s="6">
        <f>IFERROR(__xludf.DUMMYFUNCTION("""COMPUTED_VALUE"""),58000.0)</f>
        <v>58000</v>
      </c>
      <c r="J1916" s="6">
        <f>IFERROR(__xludf.DUMMYFUNCTION("""COMPUTED_VALUE"""),580000.0)</f>
        <v>580000</v>
      </c>
      <c r="K1916" s="57">
        <f>IFERROR(__xludf.DUMMYFUNCTION("""COMPUTED_VALUE"""),44764.0)</f>
        <v>44764</v>
      </c>
      <c r="L1916" s="6" t="str">
        <f>IFERROR(__xludf.DUMMYFUNCTION("""COMPUTED_VALUE"""),"FIP Engineering")</f>
        <v>FIP Engineering</v>
      </c>
      <c r="M1916" s="6" t="str">
        <f>IFERROR(__xludf.DUMMYFUNCTION("""COMPUTED_VALUE"""),"Irwan Sopian")</f>
        <v>Irwan Sopian</v>
      </c>
      <c r="N1916" s="6" t="str">
        <f>IFERROR(__xludf.DUMMYFUNCTION("""COMPUTED_VALUE"""),"FIP Engineering")</f>
        <v>FIP Engineering</v>
      </c>
      <c r="O1916" s="6" t="str">
        <f>IFERROR(__xludf.DUMMYFUNCTION("""COMPUTED_VALUE"""),"FIP-DOM-000-11304-OS00010-INA-000000")</f>
        <v>FIP-DOM-000-11304-OS00010-INA-000000</v>
      </c>
      <c r="P1916" s="6" t="str">
        <f>IFERROR(__xludf.DUMMYFUNCTION("""COMPUTED_VALUE"""),"PO Closed")</f>
        <v>PO Closed</v>
      </c>
      <c r="Q1916" s="6" t="str">
        <f>IFERROR(__xludf.DUMMYFUNCTION("""COMPUTED_VALUE"""),"GL2207303")</f>
        <v>GL2207303</v>
      </c>
      <c r="R1916" s="57">
        <f>IFERROR(__xludf.DUMMYFUNCTION("""COMPUTED_VALUE"""),44746.0)</f>
        <v>44746</v>
      </c>
      <c r="S1916" s="6" t="str">
        <f>IFERROR(__xludf.DUMMYFUNCTION("""COMPUTED_VALUE"""),"-")</f>
        <v>-</v>
      </c>
      <c r="T1916" s="57">
        <f>IFERROR(__xludf.DUMMYFUNCTION("""COMPUTED_VALUE"""),44764.0)</f>
        <v>44764</v>
      </c>
    </row>
    <row r="1917">
      <c r="A1917" s="6" t="str">
        <f>IFERROR(__xludf.DUMMYFUNCTION("""COMPUTED_VALUE"""),"221750308-20")</f>
        <v>221750308-20</v>
      </c>
      <c r="B1917" s="6" t="str">
        <f>IFERROR(__xludf.DUMMYFUNCTION("""COMPUTED_VALUE"""),"221750308 - Approved")</f>
        <v>221750308 - Approved</v>
      </c>
      <c r="C1917" s="6">
        <f>IFERROR(__xludf.DUMMYFUNCTION("""COMPUTED_VALUE"""),20.0)</f>
        <v>20</v>
      </c>
      <c r="D1917" s="6" t="str">
        <f>IFERROR(__xludf.DUMMYFUNCTION("""COMPUTED_VALUE"""),"Q-60501-00")</f>
        <v>Q-60501-00</v>
      </c>
      <c r="E1917" s="6" t="str">
        <f>IFERROR(__xludf.DUMMYFUNCTION("""COMPUTED_VALUE"""),"Silicone Sealant, Silglaze, Type N10 Clear, pack size per pcs")</f>
        <v>Silicone Sealant, Silglaze, Type N10 Clear, pack size per pcs</v>
      </c>
      <c r="F1917" s="6">
        <f>IFERROR(__xludf.DUMMYFUNCTION("""COMPUTED_VALUE"""),4.0)</f>
        <v>4</v>
      </c>
      <c r="G1917" s="6" t="str">
        <f>IFERROR(__xludf.DUMMYFUNCTION("""COMPUTED_VALUE"""),"Pieces")</f>
        <v>Pieces</v>
      </c>
      <c r="H1917" s="6" t="str">
        <f>IFERROR(__xludf.DUMMYFUNCTION("""COMPUTED_VALUE"""),"IDR")</f>
        <v>IDR</v>
      </c>
      <c r="I1917" s="6">
        <f>IFERROR(__xludf.DUMMYFUNCTION("""COMPUTED_VALUE"""),58000.0)</f>
        <v>58000</v>
      </c>
      <c r="J1917" s="6">
        <f>IFERROR(__xludf.DUMMYFUNCTION("""COMPUTED_VALUE"""),232000.0)</f>
        <v>232000</v>
      </c>
      <c r="K1917" s="57">
        <f>IFERROR(__xludf.DUMMYFUNCTION("""COMPUTED_VALUE"""),44764.0)</f>
        <v>44764</v>
      </c>
      <c r="L1917" s="6" t="str">
        <f>IFERROR(__xludf.DUMMYFUNCTION("""COMPUTED_VALUE"""),"FIP Engineering")</f>
        <v>FIP Engineering</v>
      </c>
      <c r="M1917" s="6" t="str">
        <f>IFERROR(__xludf.DUMMYFUNCTION("""COMPUTED_VALUE"""),"Irwan Sopian")</f>
        <v>Irwan Sopian</v>
      </c>
      <c r="N1917" s="6" t="str">
        <f>IFERROR(__xludf.DUMMYFUNCTION("""COMPUTED_VALUE"""),"FIP Engineering")</f>
        <v>FIP Engineering</v>
      </c>
      <c r="O1917" s="6" t="str">
        <f>IFERROR(__xludf.DUMMYFUNCTION("""COMPUTED_VALUE"""),"FIP-DOM-000-11304-OS00010-INA-000000")</f>
        <v>FIP-DOM-000-11304-OS00010-INA-000000</v>
      </c>
      <c r="P1917" s="6" t="str">
        <f>IFERROR(__xludf.DUMMYFUNCTION("""COMPUTED_VALUE"""),"PO Closed")</f>
        <v>PO Closed</v>
      </c>
      <c r="Q1917" s="6" t="str">
        <f>IFERROR(__xludf.DUMMYFUNCTION("""COMPUTED_VALUE"""),"GL2207303")</f>
        <v>GL2207303</v>
      </c>
      <c r="R1917" s="57">
        <f>IFERROR(__xludf.DUMMYFUNCTION("""COMPUTED_VALUE"""),44746.0)</f>
        <v>44746</v>
      </c>
      <c r="S1917" s="6" t="str">
        <f>IFERROR(__xludf.DUMMYFUNCTION("""COMPUTED_VALUE"""),"-")</f>
        <v>-</v>
      </c>
      <c r="T1917" s="57">
        <f>IFERROR(__xludf.DUMMYFUNCTION("""COMPUTED_VALUE"""),44764.0)</f>
        <v>44764</v>
      </c>
    </row>
    <row r="1918">
      <c r="A1918" s="6" t="str">
        <f>IFERROR(__xludf.DUMMYFUNCTION("""COMPUTED_VALUE"""),"221750308-21")</f>
        <v>221750308-21</v>
      </c>
      <c r="B1918" s="6" t="str">
        <f>IFERROR(__xludf.DUMMYFUNCTION("""COMPUTED_VALUE"""),"221750308 - Approved")</f>
        <v>221750308 - Approved</v>
      </c>
      <c r="C1918" s="6">
        <f>IFERROR(__xludf.DUMMYFUNCTION("""COMPUTED_VALUE"""),21.0)</f>
        <v>21</v>
      </c>
      <c r="D1918" s="6" t="str">
        <f>IFERROR(__xludf.DUMMYFUNCTION("""COMPUTED_VALUE"""),"Q-10656-00")</f>
        <v>Q-10656-00</v>
      </c>
      <c r="E1918" s="6" t="str">
        <f>IFERROR(__xludf.DUMMYFUNCTION("""COMPUTED_VALUE"""),"Kuas Eterna 5 Inch")</f>
        <v>Kuas Eterna 5 Inch</v>
      </c>
      <c r="F1918" s="6">
        <f>IFERROR(__xludf.DUMMYFUNCTION("""COMPUTED_VALUE"""),5.0)</f>
        <v>5</v>
      </c>
      <c r="G1918" s="6" t="str">
        <f>IFERROR(__xludf.DUMMYFUNCTION("""COMPUTED_VALUE"""),"Pieces")</f>
        <v>Pieces</v>
      </c>
      <c r="H1918" s="6" t="str">
        <f>IFERROR(__xludf.DUMMYFUNCTION("""COMPUTED_VALUE"""),"IDR")</f>
        <v>IDR</v>
      </c>
      <c r="I1918" s="6">
        <f>IFERROR(__xludf.DUMMYFUNCTION("""COMPUTED_VALUE"""),15000.0)</f>
        <v>15000</v>
      </c>
      <c r="J1918" s="6">
        <f>IFERROR(__xludf.DUMMYFUNCTION("""COMPUTED_VALUE"""),75000.0)</f>
        <v>75000</v>
      </c>
      <c r="K1918" s="57">
        <f>IFERROR(__xludf.DUMMYFUNCTION("""COMPUTED_VALUE"""),44764.0)</f>
        <v>44764</v>
      </c>
      <c r="L1918" s="6" t="str">
        <f>IFERROR(__xludf.DUMMYFUNCTION("""COMPUTED_VALUE"""),"FIP Engineering")</f>
        <v>FIP Engineering</v>
      </c>
      <c r="M1918" s="6" t="str">
        <f>IFERROR(__xludf.DUMMYFUNCTION("""COMPUTED_VALUE"""),"Irwan Sopian")</f>
        <v>Irwan Sopian</v>
      </c>
      <c r="N1918" s="6" t="str">
        <f>IFERROR(__xludf.DUMMYFUNCTION("""COMPUTED_VALUE"""),"FIP Engineering")</f>
        <v>FIP Engineering</v>
      </c>
      <c r="O1918" s="6" t="str">
        <f>IFERROR(__xludf.DUMMYFUNCTION("""COMPUTED_VALUE"""),"FIP-DOM-000-11304-OS00001-INA-000000")</f>
        <v>FIP-DOM-000-11304-OS00001-INA-000000</v>
      </c>
      <c r="P1918" s="6" t="str">
        <f>IFERROR(__xludf.DUMMYFUNCTION("""COMPUTED_VALUE"""),"PO Closed")</f>
        <v>PO Closed</v>
      </c>
      <c r="Q1918" s="6" t="str">
        <f>IFERROR(__xludf.DUMMYFUNCTION("""COMPUTED_VALUE"""),"GL2207303")</f>
        <v>GL2207303</v>
      </c>
      <c r="R1918" s="57">
        <f>IFERROR(__xludf.DUMMYFUNCTION("""COMPUTED_VALUE"""),44746.0)</f>
        <v>44746</v>
      </c>
      <c r="S1918" s="6" t="str">
        <f>IFERROR(__xludf.DUMMYFUNCTION("""COMPUTED_VALUE"""),"-")</f>
        <v>-</v>
      </c>
      <c r="T1918" s="57">
        <f>IFERROR(__xludf.DUMMYFUNCTION("""COMPUTED_VALUE"""),44764.0)</f>
        <v>44764</v>
      </c>
    </row>
    <row r="1919">
      <c r="A1919" s="6" t="str">
        <f>IFERROR(__xludf.DUMMYFUNCTION("""COMPUTED_VALUE"""),"221750308-22")</f>
        <v>221750308-22</v>
      </c>
      <c r="B1919" s="6" t="str">
        <f>IFERROR(__xludf.DUMMYFUNCTION("""COMPUTED_VALUE"""),"221750308 - Approved")</f>
        <v>221750308 - Approved</v>
      </c>
      <c r="C1919" s="6">
        <f>IFERROR(__xludf.DUMMYFUNCTION("""COMPUTED_VALUE"""),22.0)</f>
        <v>22</v>
      </c>
      <c r="D1919" s="6" t="str">
        <f>IFERROR(__xludf.DUMMYFUNCTION("""COMPUTED_VALUE"""),"Q-60026-00")</f>
        <v>Q-60026-00</v>
      </c>
      <c r="E1919" s="6" t="str">
        <f>IFERROR(__xludf.DUMMYFUNCTION("""COMPUTED_VALUE"""),"Kuas Eterna 2""")</f>
        <v>Kuas Eterna 2"</v>
      </c>
      <c r="F1919" s="6">
        <f>IFERROR(__xludf.DUMMYFUNCTION("""COMPUTED_VALUE"""),10.0)</f>
        <v>10</v>
      </c>
      <c r="G1919" s="6" t="str">
        <f>IFERROR(__xludf.DUMMYFUNCTION("""COMPUTED_VALUE"""),"Pieces")</f>
        <v>Pieces</v>
      </c>
      <c r="H1919" s="6" t="str">
        <f>IFERROR(__xludf.DUMMYFUNCTION("""COMPUTED_VALUE"""),"IDR")</f>
        <v>IDR</v>
      </c>
      <c r="I1919" s="6">
        <f>IFERROR(__xludf.DUMMYFUNCTION("""COMPUTED_VALUE"""),8000.0)</f>
        <v>8000</v>
      </c>
      <c r="J1919" s="6">
        <f>IFERROR(__xludf.DUMMYFUNCTION("""COMPUTED_VALUE"""),80000.0)</f>
        <v>80000</v>
      </c>
      <c r="K1919" s="57">
        <f>IFERROR(__xludf.DUMMYFUNCTION("""COMPUTED_VALUE"""),44764.0)</f>
        <v>44764</v>
      </c>
      <c r="L1919" s="6" t="str">
        <f>IFERROR(__xludf.DUMMYFUNCTION("""COMPUTED_VALUE"""),"FIP General")</f>
        <v>FIP General</v>
      </c>
      <c r="M1919" s="6" t="str">
        <f>IFERROR(__xludf.DUMMYFUNCTION("""COMPUTED_VALUE"""),"Irwan Sopian")</f>
        <v>Irwan Sopian</v>
      </c>
      <c r="N1919" s="6" t="str">
        <f>IFERROR(__xludf.DUMMYFUNCTION("""COMPUTED_VALUE"""),"FIP Engineering")</f>
        <v>FIP Engineering</v>
      </c>
      <c r="O1919" s="6" t="str">
        <f>IFERROR(__xludf.DUMMYFUNCTION("""COMPUTED_VALUE"""),"FIP-DOM-ENG-51404-0000000-INA-000000")</f>
        <v>FIP-DOM-ENG-51404-0000000-INA-000000</v>
      </c>
      <c r="P1919" s="6" t="str">
        <f>IFERROR(__xludf.DUMMYFUNCTION("""COMPUTED_VALUE"""),"PO Closed")</f>
        <v>PO Closed</v>
      </c>
      <c r="Q1919" s="6" t="str">
        <f>IFERROR(__xludf.DUMMYFUNCTION("""COMPUTED_VALUE"""),"GL2207303")</f>
        <v>GL2207303</v>
      </c>
      <c r="R1919" s="57">
        <f>IFERROR(__xludf.DUMMYFUNCTION("""COMPUTED_VALUE"""),44746.0)</f>
        <v>44746</v>
      </c>
      <c r="S1919" s="6" t="str">
        <f>IFERROR(__xludf.DUMMYFUNCTION("""COMPUTED_VALUE"""),"-")</f>
        <v>-</v>
      </c>
      <c r="T1919" s="57">
        <f>IFERROR(__xludf.DUMMYFUNCTION("""COMPUTED_VALUE"""),44764.0)</f>
        <v>44764</v>
      </c>
    </row>
    <row r="1920">
      <c r="A1920" s="6" t="str">
        <f>IFERROR(__xludf.DUMMYFUNCTION("""COMPUTED_VALUE"""),"221750333-1")</f>
        <v>221750333-1</v>
      </c>
      <c r="B1920" s="6" t="str">
        <f>IFERROR(__xludf.DUMMYFUNCTION("""COMPUTED_VALUE"""),"221750333 - Approved")</f>
        <v>221750333 - Approved</v>
      </c>
      <c r="C1920" s="6">
        <f>IFERROR(__xludf.DUMMYFUNCTION("""COMPUTED_VALUE"""),1.0)</f>
        <v>1</v>
      </c>
      <c r="D1920" s="6" t="str">
        <f>IFERROR(__xludf.DUMMYFUNCTION("""COMPUTED_VALUE"""),"P-51894-00")</f>
        <v>P-51894-00</v>
      </c>
      <c r="E1920" s="6" t="str">
        <f>IFERROR(__xludf.DUMMYFUNCTION("""COMPUTED_VALUE"""),"Philips - Lampu TLD 18W/840 Bright Boost Cool White")</f>
        <v>Philips - Lampu TLD 18W/840 Bright Boost Cool White</v>
      </c>
      <c r="F1920" s="6">
        <f>IFERROR(__xludf.DUMMYFUNCTION("""COMPUTED_VALUE"""),25.0)</f>
        <v>25</v>
      </c>
      <c r="G1920" s="6" t="str">
        <f>IFERROR(__xludf.DUMMYFUNCTION("""COMPUTED_VALUE"""),"Pieces")</f>
        <v>Pieces</v>
      </c>
      <c r="H1920" s="6" t="str">
        <f>IFERROR(__xludf.DUMMYFUNCTION("""COMPUTED_VALUE"""),"IDR")</f>
        <v>IDR</v>
      </c>
      <c r="I1920" s="6">
        <f>IFERROR(__xludf.DUMMYFUNCTION("""COMPUTED_VALUE"""),35000.0)</f>
        <v>35000</v>
      </c>
      <c r="J1920" s="6">
        <f>IFERROR(__xludf.DUMMYFUNCTION("""COMPUTED_VALUE"""),875000.0)</f>
        <v>875000</v>
      </c>
      <c r="K1920" s="57">
        <f>IFERROR(__xludf.DUMMYFUNCTION("""COMPUTED_VALUE"""),44771.0)</f>
        <v>44771</v>
      </c>
      <c r="L1920" s="6" t="str">
        <f>IFERROR(__xludf.DUMMYFUNCTION("""COMPUTED_VALUE"""),"FIP Engineering")</f>
        <v>FIP Engineering</v>
      </c>
      <c r="M1920" s="6" t="str">
        <f>IFERROR(__xludf.DUMMYFUNCTION("""COMPUTED_VALUE"""),"Irwan Sopian")</f>
        <v>Irwan Sopian</v>
      </c>
      <c r="N1920" s="6" t="str">
        <f>IFERROR(__xludf.DUMMYFUNCTION("""COMPUTED_VALUE"""),"FIP Engineering")</f>
        <v>FIP Engineering</v>
      </c>
      <c r="O1920" s="6" t="str">
        <f>IFERROR(__xludf.DUMMYFUNCTION("""COMPUTED_VALUE"""),"FIP-DOM-000-11304-OS00001-INA-000000")</f>
        <v>FIP-DOM-000-11304-OS00001-INA-000000</v>
      </c>
      <c r="P1920" s="6" t="str">
        <f>IFERROR(__xludf.DUMMYFUNCTION("""COMPUTED_VALUE"""),"PO Closed")</f>
        <v>PO Closed</v>
      </c>
      <c r="Q1920" s="6" t="str">
        <f>IFERROR(__xludf.DUMMYFUNCTION("""COMPUTED_VALUE"""),"GL2208322")</f>
        <v>GL2208322</v>
      </c>
      <c r="R1920" s="57">
        <f>IFERROR(__xludf.DUMMYFUNCTION("""COMPUTED_VALUE"""),44754.0)</f>
        <v>44754</v>
      </c>
      <c r="S1920" s="6" t="str">
        <f>IFERROR(__xludf.DUMMYFUNCTION("""COMPUTED_VALUE"""),"-")</f>
        <v>-</v>
      </c>
      <c r="T1920" s="57">
        <f>IFERROR(__xludf.DUMMYFUNCTION("""COMPUTED_VALUE"""),44803.0)</f>
        <v>44803</v>
      </c>
    </row>
    <row r="1921">
      <c r="A1921" s="6" t="str">
        <f>IFERROR(__xludf.DUMMYFUNCTION("""COMPUTED_VALUE"""),"221750333-2")</f>
        <v>221750333-2</v>
      </c>
      <c r="B1921" s="6" t="str">
        <f>IFERROR(__xludf.DUMMYFUNCTION("""COMPUTED_VALUE"""),"221750333 - Approved")</f>
        <v>221750333 - Approved</v>
      </c>
      <c r="C1921" s="6">
        <f>IFERROR(__xludf.DUMMYFUNCTION("""COMPUTED_VALUE"""),2.0)</f>
        <v>2</v>
      </c>
      <c r="D1921" s="6" t="str">
        <f>IFERROR(__xludf.DUMMYFUNCTION("""COMPUTED_VALUE"""),"O-51967-00")</f>
        <v>O-51967-00</v>
      </c>
      <c r="E1921" s="6" t="str">
        <f>IFERROR(__xludf.DUMMYFUNCTION("""COMPUTED_VALUE"""),"Solid State Relay 3-32 VDC - 330 VAC 25 A")</f>
        <v>Solid State Relay 3-32 VDC - 330 VAC 25 A</v>
      </c>
      <c r="F1921" s="6">
        <f>IFERROR(__xludf.DUMMYFUNCTION("""COMPUTED_VALUE"""),2.0)</f>
        <v>2</v>
      </c>
      <c r="G1921" s="6" t="str">
        <f>IFERROR(__xludf.DUMMYFUNCTION("""COMPUTED_VALUE"""),"Pieces")</f>
        <v>Pieces</v>
      </c>
      <c r="H1921" s="6" t="str">
        <f>IFERROR(__xludf.DUMMYFUNCTION("""COMPUTED_VALUE"""),"IDR")</f>
        <v>IDR</v>
      </c>
      <c r="I1921" s="6">
        <f>IFERROR(__xludf.DUMMYFUNCTION("""COMPUTED_VALUE"""),390000.0)</f>
        <v>390000</v>
      </c>
      <c r="J1921" s="6">
        <f>IFERROR(__xludf.DUMMYFUNCTION("""COMPUTED_VALUE"""),780000.0)</f>
        <v>780000</v>
      </c>
      <c r="K1921" s="57">
        <f>IFERROR(__xludf.DUMMYFUNCTION("""COMPUTED_VALUE"""),44771.0)</f>
        <v>44771</v>
      </c>
      <c r="L1921" s="6" t="str">
        <f>IFERROR(__xludf.DUMMYFUNCTION("""COMPUTED_VALUE"""),"FIP Engineering")</f>
        <v>FIP Engineering</v>
      </c>
      <c r="M1921" s="6" t="str">
        <f>IFERROR(__xludf.DUMMYFUNCTION("""COMPUTED_VALUE"""),"Irwan Sopian")</f>
        <v>Irwan Sopian</v>
      </c>
      <c r="N1921" s="6" t="str">
        <f>IFERROR(__xludf.DUMMYFUNCTION("""COMPUTED_VALUE"""),"FIP Engineering")</f>
        <v>FIP Engineering</v>
      </c>
      <c r="O1921" s="6" t="str">
        <f>IFERROR(__xludf.DUMMYFUNCTION("""COMPUTED_VALUE"""),"FIP-DOM-000-11304-OS00001-INA-000000")</f>
        <v>FIP-DOM-000-11304-OS00001-INA-000000</v>
      </c>
      <c r="P1921" s="6" t="str">
        <f>IFERROR(__xludf.DUMMYFUNCTION("""COMPUTED_VALUE"""),"PO Closed")</f>
        <v>PO Closed</v>
      </c>
      <c r="Q1921" s="6" t="str">
        <f>IFERROR(__xludf.DUMMYFUNCTION("""COMPUTED_VALUE"""),"GL2208322")</f>
        <v>GL2208322</v>
      </c>
      <c r="R1921" s="57">
        <f>IFERROR(__xludf.DUMMYFUNCTION("""COMPUTED_VALUE"""),44754.0)</f>
        <v>44754</v>
      </c>
      <c r="S1921" s="6" t="str">
        <f>IFERROR(__xludf.DUMMYFUNCTION("""COMPUTED_VALUE"""),"-")</f>
        <v>-</v>
      </c>
      <c r="T1921" s="57">
        <f>IFERROR(__xludf.DUMMYFUNCTION("""COMPUTED_VALUE"""),44803.0)</f>
        <v>44803</v>
      </c>
    </row>
    <row r="1922">
      <c r="A1922" s="6" t="str">
        <f>IFERROR(__xludf.DUMMYFUNCTION("""COMPUTED_VALUE"""),"221750333-3")</f>
        <v>221750333-3</v>
      </c>
      <c r="B1922" s="6" t="str">
        <f>IFERROR(__xludf.DUMMYFUNCTION("""COMPUTED_VALUE"""),"221750333 - Approved")</f>
        <v>221750333 - Approved</v>
      </c>
      <c r="C1922" s="6">
        <f>IFERROR(__xludf.DUMMYFUNCTION("""COMPUTED_VALUE"""),3.0)</f>
        <v>3</v>
      </c>
      <c r="D1922" s="6" t="str">
        <f>IFERROR(__xludf.DUMMYFUNCTION("""COMPUTED_VALUE"""),"O-14640-00")</f>
        <v>O-14640-00</v>
      </c>
      <c r="E1922" s="6" t="str">
        <f>IFERROR(__xludf.DUMMYFUNCTION("""COMPUTED_VALUE"""),"Silicone Gasket for Ferrule dia. 3/4"" - P/N : - pc")</f>
        <v>Silicone Gasket for Ferrule dia. 3/4" - P/N : - pc</v>
      </c>
      <c r="F1922" s="6">
        <f>IFERROR(__xludf.DUMMYFUNCTION("""COMPUTED_VALUE"""),15.0)</f>
        <v>15</v>
      </c>
      <c r="G1922" s="6" t="str">
        <f>IFERROR(__xludf.DUMMYFUNCTION("""COMPUTED_VALUE"""),"Pieces")</f>
        <v>Pieces</v>
      </c>
      <c r="H1922" s="6" t="str">
        <f>IFERROR(__xludf.DUMMYFUNCTION("""COMPUTED_VALUE"""),"IDR")</f>
        <v>IDR</v>
      </c>
      <c r="I1922" s="6">
        <f>IFERROR(__xludf.DUMMYFUNCTION("""COMPUTED_VALUE"""),18000.0)</f>
        <v>18000</v>
      </c>
      <c r="J1922" s="6">
        <f>IFERROR(__xludf.DUMMYFUNCTION("""COMPUTED_VALUE"""),270000.0)</f>
        <v>270000</v>
      </c>
      <c r="K1922" s="57">
        <f>IFERROR(__xludf.DUMMYFUNCTION("""COMPUTED_VALUE"""),44771.0)</f>
        <v>44771</v>
      </c>
      <c r="L1922" s="6" t="str">
        <f>IFERROR(__xludf.DUMMYFUNCTION("""COMPUTED_VALUE"""),"FIP Engineering")</f>
        <v>FIP Engineering</v>
      </c>
      <c r="M1922" s="6" t="str">
        <f>IFERROR(__xludf.DUMMYFUNCTION("""COMPUTED_VALUE"""),"Irwan Sopian")</f>
        <v>Irwan Sopian</v>
      </c>
      <c r="N1922" s="6" t="str">
        <f>IFERROR(__xludf.DUMMYFUNCTION("""COMPUTED_VALUE"""),"FIP Engineering")</f>
        <v>FIP Engineering</v>
      </c>
      <c r="O1922" s="6" t="str">
        <f>IFERROR(__xludf.DUMMYFUNCTION("""COMPUTED_VALUE"""),"FIP-DOM-000-11304-OS00001-INA-000000")</f>
        <v>FIP-DOM-000-11304-OS00001-INA-000000</v>
      </c>
      <c r="P1922" s="6" t="str">
        <f>IFERROR(__xludf.DUMMYFUNCTION("""COMPUTED_VALUE"""),"PO Closed")</f>
        <v>PO Closed</v>
      </c>
      <c r="Q1922" s="6" t="str">
        <f>IFERROR(__xludf.DUMMYFUNCTION("""COMPUTED_VALUE"""),"GL2208322")</f>
        <v>GL2208322</v>
      </c>
      <c r="R1922" s="57">
        <f>IFERROR(__xludf.DUMMYFUNCTION("""COMPUTED_VALUE"""),44754.0)</f>
        <v>44754</v>
      </c>
      <c r="S1922" s="6" t="str">
        <f>IFERROR(__xludf.DUMMYFUNCTION("""COMPUTED_VALUE"""),"-")</f>
        <v>-</v>
      </c>
      <c r="T1922" s="57">
        <f>IFERROR(__xludf.DUMMYFUNCTION("""COMPUTED_VALUE"""),44803.0)</f>
        <v>44803</v>
      </c>
    </row>
    <row r="1923">
      <c r="A1923" s="6" t="str">
        <f>IFERROR(__xludf.DUMMYFUNCTION("""COMPUTED_VALUE"""),"221750332-1")</f>
        <v>221750332-1</v>
      </c>
      <c r="B1923" s="6" t="str">
        <f>IFERROR(__xludf.DUMMYFUNCTION("""COMPUTED_VALUE"""),"221750332 - Approved")</f>
        <v>221750332 - Approved</v>
      </c>
      <c r="C1923" s="6">
        <f>IFERROR(__xludf.DUMMYFUNCTION("""COMPUTED_VALUE"""),1.0)</f>
        <v>1</v>
      </c>
      <c r="D1923" s="6" t="str">
        <f>IFERROR(__xludf.DUMMYFUNCTION("""COMPUTED_VALUE"""),"P-11350-00")</f>
        <v>P-11350-00</v>
      </c>
      <c r="E1923" s="6" t="str">
        <f>IFERROR(__xludf.DUMMYFUNCTION("""COMPUTED_VALUE"""),"Roda Caster Supo Dia : 4"" ( 100 x 38 mm ) Swivel Flange / Without Breake")</f>
        <v>Roda Caster Supo Dia : 4" ( 100 x 38 mm ) Swivel Flange / Without Breake</v>
      </c>
      <c r="F1923" s="6">
        <f>IFERROR(__xludf.DUMMYFUNCTION("""COMPUTED_VALUE"""),8.0)</f>
        <v>8</v>
      </c>
      <c r="G1923" s="6" t="str">
        <f>IFERROR(__xludf.DUMMYFUNCTION("""COMPUTED_VALUE"""),"Pieces")</f>
        <v>Pieces</v>
      </c>
      <c r="H1923" s="6" t="str">
        <f>IFERROR(__xludf.DUMMYFUNCTION("""COMPUTED_VALUE"""),"IDR")</f>
        <v>IDR</v>
      </c>
      <c r="I1923" s="6">
        <f>IFERROR(__xludf.DUMMYFUNCTION("""COMPUTED_VALUE"""),321000.0)</f>
        <v>321000</v>
      </c>
      <c r="J1923" s="6">
        <f>IFERROR(__xludf.DUMMYFUNCTION("""COMPUTED_VALUE"""),2568000.0)</f>
        <v>2568000</v>
      </c>
      <c r="K1923" s="57">
        <f>IFERROR(__xludf.DUMMYFUNCTION("""COMPUTED_VALUE"""),44771.0)</f>
        <v>44771</v>
      </c>
      <c r="L1923" s="6" t="str">
        <f>IFERROR(__xludf.DUMMYFUNCTION("""COMPUTED_VALUE"""),"FIP Engineering")</f>
        <v>FIP Engineering</v>
      </c>
      <c r="M1923" s="6" t="str">
        <f>IFERROR(__xludf.DUMMYFUNCTION("""COMPUTED_VALUE"""),"Irwan Sopian")</f>
        <v>Irwan Sopian</v>
      </c>
      <c r="N1923" s="6" t="str">
        <f>IFERROR(__xludf.DUMMYFUNCTION("""COMPUTED_VALUE"""),"FIP Engineering")</f>
        <v>FIP Engineering</v>
      </c>
      <c r="O1923" s="6" t="str">
        <f>IFERROR(__xludf.DUMMYFUNCTION("""COMPUTED_VALUE"""),"FIP-DOM-000-11304-OS00001-INA-000000")</f>
        <v>FIP-DOM-000-11304-OS00001-INA-000000</v>
      </c>
      <c r="P1923" s="6" t="str">
        <f>IFERROR(__xludf.DUMMYFUNCTION("""COMPUTED_VALUE"""),"PO Closed")</f>
        <v>PO Closed</v>
      </c>
      <c r="Q1923" s="6" t="str">
        <f>IFERROR(__xludf.DUMMYFUNCTION("""COMPUTED_VALUE"""),"GL2208004")</f>
        <v>GL2208004</v>
      </c>
      <c r="R1923" s="57">
        <f>IFERROR(__xludf.DUMMYFUNCTION("""COMPUTED_VALUE"""),44754.0)</f>
        <v>44754</v>
      </c>
      <c r="S1923" s="6" t="str">
        <f>IFERROR(__xludf.DUMMYFUNCTION("""COMPUTED_VALUE"""),"-")</f>
        <v>-</v>
      </c>
      <c r="T1923" s="57">
        <f>IFERROR(__xludf.DUMMYFUNCTION("""COMPUTED_VALUE"""),44798.0)</f>
        <v>44798</v>
      </c>
    </row>
    <row r="1924">
      <c r="A1924" s="6" t="str">
        <f>IFERROR(__xludf.DUMMYFUNCTION("""COMPUTED_VALUE"""),"221750332-2")</f>
        <v>221750332-2</v>
      </c>
      <c r="B1924" s="6" t="str">
        <f>IFERROR(__xludf.DUMMYFUNCTION("""COMPUTED_VALUE"""),"221750332 - Approved")</f>
        <v>221750332 - Approved</v>
      </c>
      <c r="C1924" s="6">
        <f>IFERROR(__xludf.DUMMYFUNCTION("""COMPUTED_VALUE"""),2.0)</f>
        <v>2</v>
      </c>
      <c r="D1924" s="6" t="str">
        <f>IFERROR(__xludf.DUMMYFUNCTION("""COMPUTED_VALUE"""),"P-12433-00")</f>
        <v>P-12433-00</v>
      </c>
      <c r="E1924" s="6" t="str">
        <f>IFERROR(__xludf.DUMMYFUNCTION("""COMPUTED_VALUE"""),"Isolasi AC- Sansui")</f>
        <v>Isolasi AC- Sansui</v>
      </c>
      <c r="F1924" s="6">
        <f>IFERROR(__xludf.DUMMYFUNCTION("""COMPUTED_VALUE"""),5.0)</f>
        <v>5</v>
      </c>
      <c r="G1924" s="6" t="str">
        <f>IFERROR(__xludf.DUMMYFUNCTION("""COMPUTED_VALUE"""),"Pieces")</f>
        <v>Pieces</v>
      </c>
      <c r="H1924" s="6" t="str">
        <f>IFERROR(__xludf.DUMMYFUNCTION("""COMPUTED_VALUE"""),"IDR")</f>
        <v>IDR</v>
      </c>
      <c r="I1924" s="6">
        <f>IFERROR(__xludf.DUMMYFUNCTION("""COMPUTED_VALUE"""),17500.0)</f>
        <v>17500</v>
      </c>
      <c r="J1924" s="6">
        <f>IFERROR(__xludf.DUMMYFUNCTION("""COMPUTED_VALUE"""),87500.0)</f>
        <v>87500</v>
      </c>
      <c r="K1924" s="57">
        <f>IFERROR(__xludf.DUMMYFUNCTION("""COMPUTED_VALUE"""),44771.0)</f>
        <v>44771</v>
      </c>
      <c r="L1924" s="6" t="str">
        <f>IFERROR(__xludf.DUMMYFUNCTION("""COMPUTED_VALUE"""),"FIP Engineering")</f>
        <v>FIP Engineering</v>
      </c>
      <c r="M1924" s="6" t="str">
        <f>IFERROR(__xludf.DUMMYFUNCTION("""COMPUTED_VALUE"""),"Irwan Sopian")</f>
        <v>Irwan Sopian</v>
      </c>
      <c r="N1924" s="6" t="str">
        <f>IFERROR(__xludf.DUMMYFUNCTION("""COMPUTED_VALUE"""),"FIP Engineering")</f>
        <v>FIP Engineering</v>
      </c>
      <c r="O1924" s="6" t="str">
        <f>IFERROR(__xludf.DUMMYFUNCTION("""COMPUTED_VALUE"""),"FIP-DOM-000-11304-OS00001-INA-000000")</f>
        <v>FIP-DOM-000-11304-OS00001-INA-000000</v>
      </c>
      <c r="P1924" s="6" t="str">
        <f>IFERROR(__xludf.DUMMYFUNCTION("""COMPUTED_VALUE"""),"PO Closed")</f>
        <v>PO Closed</v>
      </c>
      <c r="Q1924" s="6" t="str">
        <f>IFERROR(__xludf.DUMMYFUNCTION("""COMPUTED_VALUE"""),"GL2208004")</f>
        <v>GL2208004</v>
      </c>
      <c r="R1924" s="57">
        <f>IFERROR(__xludf.DUMMYFUNCTION("""COMPUTED_VALUE"""),44754.0)</f>
        <v>44754</v>
      </c>
      <c r="S1924" s="6" t="str">
        <f>IFERROR(__xludf.DUMMYFUNCTION("""COMPUTED_VALUE"""),"-")</f>
        <v>-</v>
      </c>
      <c r="T1924" s="57">
        <f>IFERROR(__xludf.DUMMYFUNCTION("""COMPUTED_VALUE"""),44798.0)</f>
        <v>44798</v>
      </c>
    </row>
    <row r="1925">
      <c r="A1925" s="6" t="str">
        <f>IFERROR(__xludf.DUMMYFUNCTION("""COMPUTED_VALUE"""),"221750332-3")</f>
        <v>221750332-3</v>
      </c>
      <c r="B1925" s="6" t="str">
        <f>IFERROR(__xludf.DUMMYFUNCTION("""COMPUTED_VALUE"""),"221750332 - Approved")</f>
        <v>221750332 - Approved</v>
      </c>
      <c r="C1925" s="6">
        <f>IFERROR(__xludf.DUMMYFUNCTION("""COMPUTED_VALUE"""),3.0)</f>
        <v>3</v>
      </c>
      <c r="D1925" s="6" t="str">
        <f>IFERROR(__xludf.DUMMYFUNCTION("""COMPUTED_VALUE"""),"S-40335-00")</f>
        <v>S-40335-00</v>
      </c>
      <c r="E1925" s="6" t="str">
        <f>IFERROR(__xludf.DUMMYFUNCTION("""COMPUTED_VALUE"""),"Lem Insuflex Insulation")</f>
        <v>Lem Insuflex Insulation</v>
      </c>
      <c r="F1925" s="6">
        <f>IFERROR(__xludf.DUMMYFUNCTION("""COMPUTED_VALUE"""),1.0)</f>
        <v>1</v>
      </c>
      <c r="G1925" s="6" t="str">
        <f>IFERROR(__xludf.DUMMYFUNCTION("""COMPUTED_VALUE"""),"Can")</f>
        <v>Can</v>
      </c>
      <c r="H1925" s="6" t="str">
        <f>IFERROR(__xludf.DUMMYFUNCTION("""COMPUTED_VALUE"""),"IDR")</f>
        <v>IDR</v>
      </c>
      <c r="I1925" s="6">
        <f>IFERROR(__xludf.DUMMYFUNCTION("""COMPUTED_VALUE"""),168750.0)</f>
        <v>168750</v>
      </c>
      <c r="J1925" s="6">
        <f>IFERROR(__xludf.DUMMYFUNCTION("""COMPUTED_VALUE"""),168750.0)</f>
        <v>168750</v>
      </c>
      <c r="K1925" s="57">
        <f>IFERROR(__xludf.DUMMYFUNCTION("""COMPUTED_VALUE"""),44771.0)</f>
        <v>44771</v>
      </c>
      <c r="L1925" s="6" t="str">
        <f>IFERROR(__xludf.DUMMYFUNCTION("""COMPUTED_VALUE"""),"FIP General")</f>
        <v>FIP General</v>
      </c>
      <c r="M1925" s="6" t="str">
        <f>IFERROR(__xludf.DUMMYFUNCTION("""COMPUTED_VALUE"""),"Irwan Sopian")</f>
        <v>Irwan Sopian</v>
      </c>
      <c r="N1925" s="6" t="str">
        <f>IFERROR(__xludf.DUMMYFUNCTION("""COMPUTED_VALUE"""),"FIP Engineering")</f>
        <v>FIP Engineering</v>
      </c>
      <c r="O1925" s="6" t="str">
        <f>IFERROR(__xludf.DUMMYFUNCTION("""COMPUTED_VALUE"""),"FIP-DOM-ENG-51404-0000000-INA-000000")</f>
        <v>FIP-DOM-ENG-51404-0000000-INA-000000</v>
      </c>
      <c r="P1925" s="6" t="str">
        <f>IFERROR(__xludf.DUMMYFUNCTION("""COMPUTED_VALUE"""),"PO Closed")</f>
        <v>PO Closed</v>
      </c>
      <c r="Q1925" s="6" t="str">
        <f>IFERROR(__xludf.DUMMYFUNCTION("""COMPUTED_VALUE"""),"GL2208004")</f>
        <v>GL2208004</v>
      </c>
      <c r="R1925" s="57">
        <f>IFERROR(__xludf.DUMMYFUNCTION("""COMPUTED_VALUE"""),44754.0)</f>
        <v>44754</v>
      </c>
      <c r="S1925" s="6" t="str">
        <f>IFERROR(__xludf.DUMMYFUNCTION("""COMPUTED_VALUE"""),"-")</f>
        <v>-</v>
      </c>
      <c r="T1925" s="57">
        <f>IFERROR(__xludf.DUMMYFUNCTION("""COMPUTED_VALUE"""),44798.0)</f>
        <v>44798</v>
      </c>
    </row>
    <row r="1926">
      <c r="A1926" s="6" t="str">
        <f>IFERROR(__xludf.DUMMYFUNCTION("""COMPUTED_VALUE"""),"221750331-1")</f>
        <v>221750331-1</v>
      </c>
      <c r="B1926" s="6" t="str">
        <f>IFERROR(__xludf.DUMMYFUNCTION("""COMPUTED_VALUE"""),"221750331 - Approved")</f>
        <v>221750331 - Approved</v>
      </c>
      <c r="C1926" s="6">
        <f>IFERROR(__xludf.DUMMYFUNCTION("""COMPUTED_VALUE"""),1.0)</f>
        <v>1</v>
      </c>
      <c r="D1926" s="6" t="str">
        <f>IFERROR(__xludf.DUMMYFUNCTION("""COMPUTED_VALUE"""),"Q-10857-00")</f>
        <v>Q-10857-00</v>
      </c>
      <c r="E1926" s="6" t="str">
        <f>IFERROR(__xludf.DUMMYFUNCTION("""COMPUTED_VALUE"""),"Nitric Acid (HNO3) 68 %")</f>
        <v>Nitric Acid (HNO3) 68 %</v>
      </c>
      <c r="F1926" s="6">
        <f>IFERROR(__xludf.DUMMYFUNCTION("""COMPUTED_VALUE"""),5.0)</f>
        <v>5</v>
      </c>
      <c r="G1926" s="6" t="str">
        <f>IFERROR(__xludf.DUMMYFUNCTION("""COMPUTED_VALUE"""),"Liter")</f>
        <v>Liter</v>
      </c>
      <c r="H1926" s="6" t="str">
        <f>IFERROR(__xludf.DUMMYFUNCTION("""COMPUTED_VALUE"""),"IDR")</f>
        <v>IDR</v>
      </c>
      <c r="I1926" s="6">
        <f>IFERROR(__xludf.DUMMYFUNCTION("""COMPUTED_VALUE"""),45000.0)</f>
        <v>45000</v>
      </c>
      <c r="J1926" s="6">
        <f>IFERROR(__xludf.DUMMYFUNCTION("""COMPUTED_VALUE"""),225000.0)</f>
        <v>225000</v>
      </c>
      <c r="K1926" s="57">
        <f>IFERROR(__xludf.DUMMYFUNCTION("""COMPUTED_VALUE"""),44771.0)</f>
        <v>44771</v>
      </c>
      <c r="L1926" s="6" t="str">
        <f>IFERROR(__xludf.DUMMYFUNCTION("""COMPUTED_VALUE"""),"FIP General")</f>
        <v>FIP General</v>
      </c>
      <c r="M1926" s="6" t="str">
        <f>IFERROR(__xludf.DUMMYFUNCTION("""COMPUTED_VALUE"""),"Irwan Sopian")</f>
        <v>Irwan Sopian</v>
      </c>
      <c r="N1926" s="6" t="str">
        <f>IFERROR(__xludf.DUMMYFUNCTION("""COMPUTED_VALUE"""),"FIP Engineering")</f>
        <v>FIP Engineering</v>
      </c>
      <c r="O1926" s="6" t="str">
        <f>IFERROR(__xludf.DUMMYFUNCTION("""COMPUTED_VALUE"""),"FIP-DOM-ENG-51502-0000000-INA-000000")</f>
        <v>FIP-DOM-ENG-51502-0000000-INA-000000</v>
      </c>
      <c r="P1926" s="6" t="str">
        <f>IFERROR(__xludf.DUMMYFUNCTION("""COMPUTED_VALUE"""),"PO Closed")</f>
        <v>PO Closed</v>
      </c>
      <c r="Q1926" s="6" t="str">
        <f>IFERROR(__xludf.DUMMYFUNCTION("""COMPUTED_VALUE"""),"GL2207041")</f>
        <v>GL2207041</v>
      </c>
      <c r="R1926" s="57">
        <f>IFERROR(__xludf.DUMMYFUNCTION("""COMPUTED_VALUE"""),44754.0)</f>
        <v>44754</v>
      </c>
      <c r="S1926" s="6" t="str">
        <f>IFERROR(__xludf.DUMMYFUNCTION("""COMPUTED_VALUE"""),"-")</f>
        <v>-</v>
      </c>
      <c r="T1926" s="57">
        <f>IFERROR(__xludf.DUMMYFUNCTION("""COMPUTED_VALUE"""),44777.0)</f>
        <v>44777</v>
      </c>
    </row>
    <row r="1927">
      <c r="A1927" s="6" t="str">
        <f>IFERROR(__xludf.DUMMYFUNCTION("""COMPUTED_VALUE"""),"221750331-2")</f>
        <v>221750331-2</v>
      </c>
      <c r="B1927" s="6" t="str">
        <f>IFERROR(__xludf.DUMMYFUNCTION("""COMPUTED_VALUE"""),"221750331 - Approved")</f>
        <v>221750331 - Approved</v>
      </c>
      <c r="C1927" s="6">
        <f>IFERROR(__xludf.DUMMYFUNCTION("""COMPUTED_VALUE"""),2.0)</f>
        <v>2</v>
      </c>
      <c r="D1927" s="6" t="str">
        <f>IFERROR(__xludf.DUMMYFUNCTION("""COMPUTED_VALUE"""),"P-50274-00")</f>
        <v>P-50274-00</v>
      </c>
      <c r="E1927" s="6" t="str">
        <f>IFERROR(__xludf.DUMMYFUNCTION("""COMPUTED_VALUE"""),"Kabel NYAF 0.75 Merah")</f>
        <v>Kabel NYAF 0.75 Merah</v>
      </c>
      <c r="F1927" s="6">
        <f>IFERROR(__xludf.DUMMYFUNCTION("""COMPUTED_VALUE"""),1.0)</f>
        <v>1</v>
      </c>
      <c r="G1927" s="6" t="str">
        <f>IFERROR(__xludf.DUMMYFUNCTION("""COMPUTED_VALUE"""),"Pieces")</f>
        <v>Pieces</v>
      </c>
      <c r="H1927" s="6" t="str">
        <f>IFERROR(__xludf.DUMMYFUNCTION("""COMPUTED_VALUE"""),"IDR")</f>
        <v>IDR</v>
      </c>
      <c r="I1927" s="6">
        <f>IFERROR(__xludf.DUMMYFUNCTION("""COMPUTED_VALUE"""),298000.0)</f>
        <v>298000</v>
      </c>
      <c r="J1927" s="6">
        <f>IFERROR(__xludf.DUMMYFUNCTION("""COMPUTED_VALUE"""),298000.0)</f>
        <v>298000</v>
      </c>
      <c r="K1927" s="57">
        <f>IFERROR(__xludf.DUMMYFUNCTION("""COMPUTED_VALUE"""),44771.0)</f>
        <v>44771</v>
      </c>
      <c r="L1927" s="6" t="str">
        <f>IFERROR(__xludf.DUMMYFUNCTION("""COMPUTED_VALUE"""),"FIP Engineering")</f>
        <v>FIP Engineering</v>
      </c>
      <c r="M1927" s="6" t="str">
        <f>IFERROR(__xludf.DUMMYFUNCTION("""COMPUTED_VALUE"""),"Irwan Sopian")</f>
        <v>Irwan Sopian</v>
      </c>
      <c r="N1927" s="6" t="str">
        <f>IFERROR(__xludf.DUMMYFUNCTION("""COMPUTED_VALUE"""),"FIP Engineering")</f>
        <v>FIP Engineering</v>
      </c>
      <c r="O1927" s="6" t="str">
        <f>IFERROR(__xludf.DUMMYFUNCTION("""COMPUTED_VALUE"""),"FIP-DOM-000-11304-OS00001-INA-000000")</f>
        <v>FIP-DOM-000-11304-OS00001-INA-000000</v>
      </c>
      <c r="P1927" s="6" t="str">
        <f>IFERROR(__xludf.DUMMYFUNCTION("""COMPUTED_VALUE"""),"PO Closed")</f>
        <v>PO Closed</v>
      </c>
      <c r="Q1927" s="6" t="str">
        <f>IFERROR(__xludf.DUMMYFUNCTION("""COMPUTED_VALUE"""),"GL2208004")</f>
        <v>GL2208004</v>
      </c>
      <c r="R1927" s="57">
        <f>IFERROR(__xludf.DUMMYFUNCTION("""COMPUTED_VALUE"""),44754.0)</f>
        <v>44754</v>
      </c>
      <c r="S1927" s="6" t="str">
        <f>IFERROR(__xludf.DUMMYFUNCTION("""COMPUTED_VALUE"""),"-")</f>
        <v>-</v>
      </c>
      <c r="T1927" s="57">
        <f>IFERROR(__xludf.DUMMYFUNCTION("""COMPUTED_VALUE"""),44798.0)</f>
        <v>44798</v>
      </c>
    </row>
    <row r="1928">
      <c r="A1928" s="6" t="str">
        <f>IFERROR(__xludf.DUMMYFUNCTION("""COMPUTED_VALUE"""),"221750331-3")</f>
        <v>221750331-3</v>
      </c>
      <c r="B1928" s="6" t="str">
        <f>IFERROR(__xludf.DUMMYFUNCTION("""COMPUTED_VALUE"""),"221750331 - Approved")</f>
        <v>221750331 - Approved</v>
      </c>
      <c r="C1928" s="6">
        <f>IFERROR(__xludf.DUMMYFUNCTION("""COMPUTED_VALUE"""),3.0)</f>
        <v>3</v>
      </c>
      <c r="D1928" s="6" t="str">
        <f>IFERROR(__xludf.DUMMYFUNCTION("""COMPUTED_VALUE"""),"P-51756-00")</f>
        <v>P-51756-00</v>
      </c>
      <c r="E1928" s="6" t="str">
        <f>IFERROR(__xludf.DUMMYFUNCTION("""COMPUTED_VALUE"""),"Kabel NYYHY 3x0.75mm meter")</f>
        <v>Kabel NYYHY 3x0.75mm meter</v>
      </c>
      <c r="F1928" s="6">
        <f>IFERROR(__xludf.DUMMYFUNCTION("""COMPUTED_VALUE"""),50.0)</f>
        <v>50</v>
      </c>
      <c r="G1928" s="6" t="str">
        <f>IFERROR(__xludf.DUMMYFUNCTION("""COMPUTED_VALUE"""),"Meter")</f>
        <v>Meter</v>
      </c>
      <c r="H1928" s="6" t="str">
        <f>IFERROR(__xludf.DUMMYFUNCTION("""COMPUTED_VALUE"""),"IDR")</f>
        <v>IDR</v>
      </c>
      <c r="I1928" s="6">
        <f>IFERROR(__xludf.DUMMYFUNCTION("""COMPUTED_VALUE"""),11370.0)</f>
        <v>11370</v>
      </c>
      <c r="J1928" s="6">
        <f>IFERROR(__xludf.DUMMYFUNCTION("""COMPUTED_VALUE"""),568500.0)</f>
        <v>568500</v>
      </c>
      <c r="K1928" s="57">
        <f>IFERROR(__xludf.DUMMYFUNCTION("""COMPUTED_VALUE"""),44771.0)</f>
        <v>44771</v>
      </c>
      <c r="L1928" s="6" t="str">
        <f>IFERROR(__xludf.DUMMYFUNCTION("""COMPUTED_VALUE"""),"FIP Engineering")</f>
        <v>FIP Engineering</v>
      </c>
      <c r="M1928" s="6" t="str">
        <f>IFERROR(__xludf.DUMMYFUNCTION("""COMPUTED_VALUE"""),"Irwan Sopian")</f>
        <v>Irwan Sopian</v>
      </c>
      <c r="N1928" s="6" t="str">
        <f>IFERROR(__xludf.DUMMYFUNCTION("""COMPUTED_VALUE"""),"FIP Engineering")</f>
        <v>FIP Engineering</v>
      </c>
      <c r="O1928" s="6" t="str">
        <f>IFERROR(__xludf.DUMMYFUNCTION("""COMPUTED_VALUE"""),"FIP-DOM-000-11304-OS00001-INA-000000")</f>
        <v>FIP-DOM-000-11304-OS00001-INA-000000</v>
      </c>
      <c r="P1928" s="6" t="str">
        <f>IFERROR(__xludf.DUMMYFUNCTION("""COMPUTED_VALUE"""),"PO Closed")</f>
        <v>PO Closed</v>
      </c>
      <c r="Q1928" s="6" t="str">
        <f>IFERROR(__xludf.DUMMYFUNCTION("""COMPUTED_VALUE"""),"GL2208004")</f>
        <v>GL2208004</v>
      </c>
      <c r="R1928" s="57">
        <f>IFERROR(__xludf.DUMMYFUNCTION("""COMPUTED_VALUE"""),44754.0)</f>
        <v>44754</v>
      </c>
      <c r="S1928" s="6" t="str">
        <f>IFERROR(__xludf.DUMMYFUNCTION("""COMPUTED_VALUE"""),"-")</f>
        <v>-</v>
      </c>
      <c r="T1928" s="57">
        <f>IFERROR(__xludf.DUMMYFUNCTION("""COMPUTED_VALUE"""),44820.0)</f>
        <v>44820</v>
      </c>
    </row>
    <row r="1929">
      <c r="A1929" s="6" t="str">
        <f>IFERROR(__xludf.DUMMYFUNCTION("""COMPUTED_VALUE"""),"221750331-4")</f>
        <v>221750331-4</v>
      </c>
      <c r="B1929" s="6" t="str">
        <f>IFERROR(__xludf.DUMMYFUNCTION("""COMPUTED_VALUE"""),"221750331 - Approved")</f>
        <v>221750331 - Approved</v>
      </c>
      <c r="C1929" s="6">
        <f>IFERROR(__xludf.DUMMYFUNCTION("""COMPUTED_VALUE"""),4.0)</f>
        <v>4</v>
      </c>
      <c r="D1929" s="6" t="str">
        <f>IFERROR(__xludf.DUMMYFUNCTION("""COMPUTED_VALUE"""),"P-10860-00")</f>
        <v>P-10860-00</v>
      </c>
      <c r="E1929" s="6" t="str">
        <f>IFERROR(__xludf.DUMMYFUNCTION("""COMPUTED_VALUE"""),"Fitting PVC - Elbow PVC 1""")</f>
        <v>Fitting PVC - Elbow PVC 1"</v>
      </c>
      <c r="F1929" s="6">
        <f>IFERROR(__xludf.DUMMYFUNCTION("""COMPUTED_VALUE"""),2.0)</f>
        <v>2</v>
      </c>
      <c r="G1929" s="6" t="str">
        <f>IFERROR(__xludf.DUMMYFUNCTION("""COMPUTED_VALUE"""),"Pieces")</f>
        <v>Pieces</v>
      </c>
      <c r="H1929" s="6" t="str">
        <f>IFERROR(__xludf.DUMMYFUNCTION("""COMPUTED_VALUE"""),"IDR")</f>
        <v>IDR</v>
      </c>
      <c r="I1929" s="6">
        <f>IFERROR(__xludf.DUMMYFUNCTION("""COMPUTED_VALUE"""),7500.0)</f>
        <v>7500</v>
      </c>
      <c r="J1929" s="6">
        <f>IFERROR(__xludf.DUMMYFUNCTION("""COMPUTED_VALUE"""),15000.0)</f>
        <v>15000</v>
      </c>
      <c r="K1929" s="57">
        <f>IFERROR(__xludf.DUMMYFUNCTION("""COMPUTED_VALUE"""),44771.0)</f>
        <v>44771</v>
      </c>
      <c r="L1929" s="6" t="str">
        <f>IFERROR(__xludf.DUMMYFUNCTION("""COMPUTED_VALUE"""),"FIP Engineering")</f>
        <v>FIP Engineering</v>
      </c>
      <c r="M1929" s="6" t="str">
        <f>IFERROR(__xludf.DUMMYFUNCTION("""COMPUTED_VALUE"""),"Irwan Sopian")</f>
        <v>Irwan Sopian</v>
      </c>
      <c r="N1929" s="6" t="str">
        <f>IFERROR(__xludf.DUMMYFUNCTION("""COMPUTED_VALUE"""),"FIP Engineering")</f>
        <v>FIP Engineering</v>
      </c>
      <c r="O1929" s="6" t="str">
        <f>IFERROR(__xludf.DUMMYFUNCTION("""COMPUTED_VALUE"""),"FIP-DOM-000-11304-OS00001-INA-000000")</f>
        <v>FIP-DOM-000-11304-OS00001-INA-000000</v>
      </c>
      <c r="P1929" s="6" t="str">
        <f>IFERROR(__xludf.DUMMYFUNCTION("""COMPUTED_VALUE"""),"PO Closed")</f>
        <v>PO Closed</v>
      </c>
      <c r="Q1929" s="6" t="str">
        <f>IFERROR(__xludf.DUMMYFUNCTION("""COMPUTED_VALUE"""),"GL2208004")</f>
        <v>GL2208004</v>
      </c>
      <c r="R1929" s="57">
        <f>IFERROR(__xludf.DUMMYFUNCTION("""COMPUTED_VALUE"""),44754.0)</f>
        <v>44754</v>
      </c>
      <c r="S1929" s="6" t="str">
        <f>IFERROR(__xludf.DUMMYFUNCTION("""COMPUTED_VALUE"""),"-")</f>
        <v>-</v>
      </c>
      <c r="T1929" s="57">
        <f>IFERROR(__xludf.DUMMYFUNCTION("""COMPUTED_VALUE"""),44798.0)</f>
        <v>44798</v>
      </c>
    </row>
    <row r="1930">
      <c r="A1930" s="6" t="str">
        <f>IFERROR(__xludf.DUMMYFUNCTION("""COMPUTED_VALUE"""),"221750331-5")</f>
        <v>221750331-5</v>
      </c>
      <c r="B1930" s="6" t="str">
        <f>IFERROR(__xludf.DUMMYFUNCTION("""COMPUTED_VALUE"""),"221750331 - Approved")</f>
        <v>221750331 - Approved</v>
      </c>
      <c r="C1930" s="6">
        <f>IFERROR(__xludf.DUMMYFUNCTION("""COMPUTED_VALUE"""),5.0)</f>
        <v>5</v>
      </c>
      <c r="D1930" s="6" t="str">
        <f>IFERROR(__xludf.DUMMYFUNCTION("""COMPUTED_VALUE"""),"P-12810-00")</f>
        <v>P-12810-00</v>
      </c>
      <c r="E1930" s="6" t="str">
        <f>IFERROR(__xludf.DUMMYFUNCTION("""COMPUTED_VALUE"""),"Sock Drat luar PVC AW dia 1inch")</f>
        <v>Sock Drat luar PVC AW dia 1inch</v>
      </c>
      <c r="F1930" s="6">
        <f>IFERROR(__xludf.DUMMYFUNCTION("""COMPUTED_VALUE"""),2.0)</f>
        <v>2</v>
      </c>
      <c r="G1930" s="6" t="str">
        <f>IFERROR(__xludf.DUMMYFUNCTION("""COMPUTED_VALUE"""),"Pieces")</f>
        <v>Pieces</v>
      </c>
      <c r="H1930" s="6" t="str">
        <f>IFERROR(__xludf.DUMMYFUNCTION("""COMPUTED_VALUE"""),"IDR")</f>
        <v>IDR</v>
      </c>
      <c r="I1930" s="6">
        <f>IFERROR(__xludf.DUMMYFUNCTION("""COMPUTED_VALUE"""),9000.0)</f>
        <v>9000</v>
      </c>
      <c r="J1930" s="6">
        <f>IFERROR(__xludf.DUMMYFUNCTION("""COMPUTED_VALUE"""),18000.0)</f>
        <v>18000</v>
      </c>
      <c r="K1930" s="57">
        <f>IFERROR(__xludf.DUMMYFUNCTION("""COMPUTED_VALUE"""),44771.0)</f>
        <v>44771</v>
      </c>
      <c r="L1930" s="6" t="str">
        <f>IFERROR(__xludf.DUMMYFUNCTION("""COMPUTED_VALUE"""),"FIP Engineering")</f>
        <v>FIP Engineering</v>
      </c>
      <c r="M1930" s="6" t="str">
        <f>IFERROR(__xludf.DUMMYFUNCTION("""COMPUTED_VALUE"""),"Irwan Sopian")</f>
        <v>Irwan Sopian</v>
      </c>
      <c r="N1930" s="6" t="str">
        <f>IFERROR(__xludf.DUMMYFUNCTION("""COMPUTED_VALUE"""),"FIP Engineering")</f>
        <v>FIP Engineering</v>
      </c>
      <c r="O1930" s="6" t="str">
        <f>IFERROR(__xludf.DUMMYFUNCTION("""COMPUTED_VALUE"""),"FIP-DOM-000-11304-OS00001-INA-000000")</f>
        <v>FIP-DOM-000-11304-OS00001-INA-000000</v>
      </c>
      <c r="P1930" s="6" t="str">
        <f>IFERROR(__xludf.DUMMYFUNCTION("""COMPUTED_VALUE"""),"PO Closed")</f>
        <v>PO Closed</v>
      </c>
      <c r="Q1930" s="6" t="str">
        <f>IFERROR(__xludf.DUMMYFUNCTION("""COMPUTED_VALUE"""),"GL2208004")</f>
        <v>GL2208004</v>
      </c>
      <c r="R1930" s="57">
        <f>IFERROR(__xludf.DUMMYFUNCTION("""COMPUTED_VALUE"""),44754.0)</f>
        <v>44754</v>
      </c>
      <c r="S1930" s="6" t="str">
        <f>IFERROR(__xludf.DUMMYFUNCTION("""COMPUTED_VALUE"""),"-")</f>
        <v>-</v>
      </c>
      <c r="T1930" s="57">
        <f>IFERROR(__xludf.DUMMYFUNCTION("""COMPUTED_VALUE"""),44798.0)</f>
        <v>44798</v>
      </c>
    </row>
    <row r="1931">
      <c r="A1931" s="6" t="str">
        <f>IFERROR(__xludf.DUMMYFUNCTION("""COMPUTED_VALUE"""),"221750329-1")</f>
        <v>221750329-1</v>
      </c>
      <c r="B1931" s="6" t="str">
        <f>IFERROR(__xludf.DUMMYFUNCTION("""COMPUTED_VALUE"""),"221750329 - Approved")</f>
        <v>221750329 - Approved</v>
      </c>
      <c r="C1931" s="6">
        <f>IFERROR(__xludf.DUMMYFUNCTION("""COMPUTED_VALUE"""),1.0)</f>
        <v>1</v>
      </c>
      <c r="D1931" s="6" t="str">
        <f>IFERROR(__xludf.DUMMYFUNCTION("""COMPUTED_VALUE"""),"Q-20010-00")</f>
        <v>Q-20010-00</v>
      </c>
      <c r="E1931" s="6" t="str">
        <f>IFERROR(__xludf.DUMMYFUNCTION("""COMPUTED_VALUE"""),"Keramik Granito Warna Ivory")</f>
        <v>Keramik Granito Warna Ivory</v>
      </c>
      <c r="F1931" s="6">
        <f>IFERROR(__xludf.DUMMYFUNCTION("""COMPUTED_VALUE"""),5.0)</f>
        <v>5</v>
      </c>
      <c r="G1931" s="6" t="str">
        <f>IFERROR(__xludf.DUMMYFUNCTION("""COMPUTED_VALUE"""),"Box")</f>
        <v>Box</v>
      </c>
      <c r="H1931" s="6" t="str">
        <f>IFERROR(__xludf.DUMMYFUNCTION("""COMPUTED_VALUE"""),"IDR")</f>
        <v>IDR</v>
      </c>
      <c r="I1931" s="6">
        <f>IFERROR(__xludf.DUMMYFUNCTION("""COMPUTED_VALUE"""),385000.0)</f>
        <v>385000</v>
      </c>
      <c r="J1931" s="6">
        <f>IFERROR(__xludf.DUMMYFUNCTION("""COMPUTED_VALUE"""),1925000.0)</f>
        <v>1925000</v>
      </c>
      <c r="K1931" s="57">
        <f>IFERROR(__xludf.DUMMYFUNCTION("""COMPUTED_VALUE"""),44778.0)</f>
        <v>44778</v>
      </c>
      <c r="L1931" s="6" t="str">
        <f>IFERROR(__xludf.DUMMYFUNCTION("""COMPUTED_VALUE"""),"FIP General")</f>
        <v>FIP General</v>
      </c>
      <c r="M1931" s="6" t="str">
        <f>IFERROR(__xludf.DUMMYFUNCTION("""COMPUTED_VALUE"""),"Irwan Sopian")</f>
        <v>Irwan Sopian</v>
      </c>
      <c r="N1931" s="6" t="str">
        <f>IFERROR(__xludf.DUMMYFUNCTION("""COMPUTED_VALUE"""),"FIP Engineering")</f>
        <v>FIP Engineering</v>
      </c>
      <c r="O1931" s="6" t="str">
        <f>IFERROR(__xludf.DUMMYFUNCTION("""COMPUTED_VALUE"""),"FIP-DOM-ENG-51502-0000000-INA-000000")</f>
        <v>FIP-DOM-ENG-51502-0000000-INA-000000</v>
      </c>
      <c r="P1931" s="6" t="str">
        <f>IFERROR(__xludf.DUMMYFUNCTION("""COMPUTED_VALUE"""),"PO Closed")</f>
        <v>PO Closed</v>
      </c>
      <c r="Q1931" s="6" t="str">
        <f>IFERROR(__xludf.DUMMYFUNCTION("""COMPUTED_VALUE"""),"GL2207303")</f>
        <v>GL2207303</v>
      </c>
      <c r="R1931" s="57">
        <f>IFERROR(__xludf.DUMMYFUNCTION("""COMPUTED_VALUE"""),44754.0)</f>
        <v>44754</v>
      </c>
      <c r="S1931" s="6" t="str">
        <f>IFERROR(__xludf.DUMMYFUNCTION("""COMPUTED_VALUE"""),"-")</f>
        <v>-</v>
      </c>
      <c r="T1931" s="57">
        <f>IFERROR(__xludf.DUMMYFUNCTION("""COMPUTED_VALUE"""),44764.0)</f>
        <v>44764</v>
      </c>
    </row>
    <row r="1932">
      <c r="A1932" s="6" t="str">
        <f>IFERROR(__xludf.DUMMYFUNCTION("""COMPUTED_VALUE"""),"221750331-6")</f>
        <v>221750331-6</v>
      </c>
      <c r="B1932" s="6" t="str">
        <f>IFERROR(__xludf.DUMMYFUNCTION("""COMPUTED_VALUE"""),"221750331 - Approved")</f>
        <v>221750331 - Approved</v>
      </c>
      <c r="C1932" s="6">
        <f>IFERROR(__xludf.DUMMYFUNCTION("""COMPUTED_VALUE"""),6.0)</f>
        <v>6</v>
      </c>
      <c r="D1932" s="6" t="str">
        <f>IFERROR(__xludf.DUMMYFUNCTION("""COMPUTED_VALUE"""),"P-51030-00")</f>
        <v>P-51030-00</v>
      </c>
      <c r="E1932" s="6" t="str">
        <f>IFERROR(__xludf.DUMMYFUNCTION("""COMPUTED_VALUE"""),"Kabel JEMBO NYAF 1x0.75 mm Warna Biru")</f>
        <v>Kabel JEMBO NYAF 1x0.75 mm Warna Biru</v>
      </c>
      <c r="F1932" s="6">
        <f>IFERROR(__xludf.DUMMYFUNCTION("""COMPUTED_VALUE"""),1.0)</f>
        <v>1</v>
      </c>
      <c r="G1932" s="6" t="str">
        <f>IFERROR(__xludf.DUMMYFUNCTION("""COMPUTED_VALUE"""),"Pieces")</f>
        <v>Pieces</v>
      </c>
      <c r="H1932" s="6" t="str">
        <f>IFERROR(__xludf.DUMMYFUNCTION("""COMPUTED_VALUE"""),"IDR")</f>
        <v>IDR</v>
      </c>
      <c r="I1932" s="6">
        <f>IFERROR(__xludf.DUMMYFUNCTION("""COMPUTED_VALUE"""),298000.0)</f>
        <v>298000</v>
      </c>
      <c r="J1932" s="6">
        <f>IFERROR(__xludf.DUMMYFUNCTION("""COMPUTED_VALUE"""),298000.0)</f>
        <v>298000</v>
      </c>
      <c r="K1932" s="57">
        <f>IFERROR(__xludf.DUMMYFUNCTION("""COMPUTED_VALUE"""),44771.0)</f>
        <v>44771</v>
      </c>
      <c r="L1932" s="6" t="str">
        <f>IFERROR(__xludf.DUMMYFUNCTION("""COMPUTED_VALUE"""),"FIP General")</f>
        <v>FIP General</v>
      </c>
      <c r="M1932" s="6" t="str">
        <f>IFERROR(__xludf.DUMMYFUNCTION("""COMPUTED_VALUE"""),"Irwan Sopian")</f>
        <v>Irwan Sopian</v>
      </c>
      <c r="N1932" s="6" t="str">
        <f>IFERROR(__xludf.DUMMYFUNCTION("""COMPUTED_VALUE"""),"FIP Engineering")</f>
        <v>FIP Engineering</v>
      </c>
      <c r="O1932" s="6" t="str">
        <f>IFERROR(__xludf.DUMMYFUNCTION("""COMPUTED_VALUE"""),"FIP-DOM-ENG-51504-0000000-INA-000000")</f>
        <v>FIP-DOM-ENG-51504-0000000-INA-000000</v>
      </c>
      <c r="P1932" s="6" t="str">
        <f>IFERROR(__xludf.DUMMYFUNCTION("""COMPUTED_VALUE"""),"PO Closed")</f>
        <v>PO Closed</v>
      </c>
      <c r="Q1932" s="6" t="str">
        <f>IFERROR(__xludf.DUMMYFUNCTION("""COMPUTED_VALUE"""),"GL2208004")</f>
        <v>GL2208004</v>
      </c>
      <c r="R1932" s="57">
        <f>IFERROR(__xludf.DUMMYFUNCTION("""COMPUTED_VALUE"""),44755.0)</f>
        <v>44755</v>
      </c>
      <c r="S1932" s="6" t="str">
        <f>IFERROR(__xludf.DUMMYFUNCTION("""COMPUTED_VALUE"""),"-")</f>
        <v>-</v>
      </c>
      <c r="T1932" s="57">
        <f>IFERROR(__xludf.DUMMYFUNCTION("""COMPUTED_VALUE"""),44798.0)</f>
        <v>44798</v>
      </c>
    </row>
    <row r="1933">
      <c r="A1933" s="6" t="str">
        <f>IFERROR(__xludf.DUMMYFUNCTION("""COMPUTED_VALUE"""),"221750331-7")</f>
        <v>221750331-7</v>
      </c>
      <c r="B1933" s="6" t="str">
        <f>IFERROR(__xludf.DUMMYFUNCTION("""COMPUTED_VALUE"""),"221750331 - Approved")</f>
        <v>221750331 - Approved</v>
      </c>
      <c r="C1933" s="6">
        <f>IFERROR(__xludf.DUMMYFUNCTION("""COMPUTED_VALUE"""),7.0)</f>
        <v>7</v>
      </c>
      <c r="D1933" s="6" t="str">
        <f>IFERROR(__xludf.DUMMYFUNCTION("""COMPUTED_VALUE"""),"Q-10908-00")</f>
        <v>Q-10908-00</v>
      </c>
      <c r="E1933" s="6" t="str">
        <f>IFERROR(__xludf.DUMMYFUNCTION("""COMPUTED_VALUE"""),"Lan Card PCI Express TG-3468 Gigabit 10/100/1000 Mbps TG-3468 TP-Link")</f>
        <v>Lan Card PCI Express TG-3468 Gigabit 10/100/1000 Mbps TG-3468 TP-Link</v>
      </c>
      <c r="F1933" s="6">
        <f>IFERROR(__xludf.DUMMYFUNCTION("""COMPUTED_VALUE"""),1.0)</f>
        <v>1</v>
      </c>
      <c r="G1933" s="6" t="str">
        <f>IFERROR(__xludf.DUMMYFUNCTION("""COMPUTED_VALUE"""),"Pieces")</f>
        <v>Pieces</v>
      </c>
      <c r="H1933" s="6" t="str">
        <f>IFERROR(__xludf.DUMMYFUNCTION("""COMPUTED_VALUE"""),"IDR")</f>
        <v>IDR</v>
      </c>
      <c r="I1933" s="6">
        <f>IFERROR(__xludf.DUMMYFUNCTION("""COMPUTED_VALUE"""),146750.0)</f>
        <v>146750</v>
      </c>
      <c r="J1933" s="6">
        <f>IFERROR(__xludf.DUMMYFUNCTION("""COMPUTED_VALUE"""),146750.0)</f>
        <v>146750</v>
      </c>
      <c r="K1933" s="57">
        <f>IFERROR(__xludf.DUMMYFUNCTION("""COMPUTED_VALUE"""),44771.0)</f>
        <v>44771</v>
      </c>
      <c r="L1933" s="6" t="str">
        <f>IFERROR(__xludf.DUMMYFUNCTION("""COMPUTED_VALUE"""),"FIP General")</f>
        <v>FIP General</v>
      </c>
      <c r="M1933" s="6" t="str">
        <f>IFERROR(__xludf.DUMMYFUNCTION("""COMPUTED_VALUE"""),"Irwan Sopian")</f>
        <v>Irwan Sopian</v>
      </c>
      <c r="N1933" s="6" t="str">
        <f>IFERROR(__xludf.DUMMYFUNCTION("""COMPUTED_VALUE"""),"FIP Engineering")</f>
        <v>FIP Engineering</v>
      </c>
      <c r="O1933" s="6" t="str">
        <f>IFERROR(__xludf.DUMMYFUNCTION("""COMPUTED_VALUE"""),"FIP-DOM-ENG-51504-0000000-INA-000000")</f>
        <v>FIP-DOM-ENG-51504-0000000-INA-000000</v>
      </c>
      <c r="P1933" s="6" t="str">
        <f>IFERROR(__xludf.DUMMYFUNCTION("""COMPUTED_VALUE"""),"PO Closed")</f>
        <v>PO Closed</v>
      </c>
      <c r="Q1933" s="6" t="str">
        <f>IFERROR(__xludf.DUMMYFUNCTION("""COMPUTED_VALUE"""),"GL2207041")</f>
        <v>GL2207041</v>
      </c>
      <c r="R1933" s="57">
        <f>IFERROR(__xludf.DUMMYFUNCTION("""COMPUTED_VALUE"""),44755.0)</f>
        <v>44755</v>
      </c>
      <c r="S1933" s="6" t="str">
        <f>IFERROR(__xludf.DUMMYFUNCTION("""COMPUTED_VALUE"""),"-")</f>
        <v>-</v>
      </c>
      <c r="T1933" s="57">
        <f>IFERROR(__xludf.DUMMYFUNCTION("""COMPUTED_VALUE"""),44777.0)</f>
        <v>44777</v>
      </c>
    </row>
    <row r="1934">
      <c r="A1934" s="6" t="str">
        <f>IFERROR(__xludf.DUMMYFUNCTION("""COMPUTED_VALUE"""),"221750340-1")</f>
        <v>221750340-1</v>
      </c>
      <c r="B1934" s="6" t="str">
        <f>IFERROR(__xludf.DUMMYFUNCTION("""COMPUTED_VALUE"""),"221750340 - Approved")</f>
        <v>221750340 - Approved</v>
      </c>
      <c r="C1934" s="6">
        <f>IFERROR(__xludf.DUMMYFUNCTION("""COMPUTED_VALUE"""),1.0)</f>
        <v>1</v>
      </c>
      <c r="D1934" s="6" t="str">
        <f>IFERROR(__xludf.DUMMYFUNCTION("""COMPUTED_VALUE"""),"O-18446-00")</f>
        <v>O-18446-00</v>
      </c>
      <c r="E1934" s="6" t="str">
        <f>IFERROR(__xludf.DUMMYFUNCTION("""COMPUTED_VALUE"""),"Silicone Guide Infeed")</f>
        <v>Silicone Guide Infeed</v>
      </c>
      <c r="F1934" s="6">
        <f>IFERROR(__xludf.DUMMYFUNCTION("""COMPUTED_VALUE"""),1.0)</f>
        <v>1</v>
      </c>
      <c r="G1934" s="6" t="str">
        <f>IFERROR(__xludf.DUMMYFUNCTION("""COMPUTED_VALUE"""),"Pieces")</f>
        <v>Pieces</v>
      </c>
      <c r="H1934" s="6" t="str">
        <f>IFERROR(__xludf.DUMMYFUNCTION("""COMPUTED_VALUE"""),"IDR")</f>
        <v>IDR</v>
      </c>
      <c r="I1934" s="6">
        <f>IFERROR(__xludf.DUMMYFUNCTION("""COMPUTED_VALUE"""),7245000.0)</f>
        <v>7245000</v>
      </c>
      <c r="J1934" s="6">
        <f>IFERROR(__xludf.DUMMYFUNCTION("""COMPUTED_VALUE"""),7245000.0)</f>
        <v>7245000</v>
      </c>
      <c r="K1934" s="57">
        <f>IFERROR(__xludf.DUMMYFUNCTION("""COMPUTED_VALUE"""),44792.0)</f>
        <v>44792</v>
      </c>
      <c r="L1934" s="6" t="str">
        <f>IFERROR(__xludf.DUMMYFUNCTION("""COMPUTED_VALUE"""),"FIP Engineering")</f>
        <v>FIP Engineering</v>
      </c>
      <c r="M1934" s="6" t="str">
        <f>IFERROR(__xludf.DUMMYFUNCTION("""COMPUTED_VALUE"""),"Irwan Sopian")</f>
        <v>Irwan Sopian</v>
      </c>
      <c r="N1934" s="6" t="str">
        <f>IFERROR(__xludf.DUMMYFUNCTION("""COMPUTED_VALUE"""),"FIP Engineering")</f>
        <v>FIP Engineering</v>
      </c>
      <c r="O1934" s="6" t="str">
        <f>IFERROR(__xludf.DUMMYFUNCTION("""COMPUTED_VALUE"""),"FIP-DOM-000-11304-OS00001-INA-000000")</f>
        <v>FIP-DOM-000-11304-OS00001-INA-000000</v>
      </c>
      <c r="P1934" s="6" t="str">
        <f>IFERROR(__xludf.DUMMYFUNCTION("""COMPUTED_VALUE"""),"PO Closed")</f>
        <v>PO Closed</v>
      </c>
      <c r="Q1934" s="6" t="str">
        <f>IFERROR(__xludf.DUMMYFUNCTION("""COMPUTED_VALUE"""),"GL2208054")</f>
        <v>GL2208054</v>
      </c>
      <c r="R1934" s="57">
        <f>IFERROR(__xludf.DUMMYFUNCTION("""COMPUTED_VALUE"""),44756.0)</f>
        <v>44756</v>
      </c>
      <c r="S1934" s="6" t="str">
        <f>IFERROR(__xludf.DUMMYFUNCTION("""COMPUTED_VALUE"""),"-")</f>
        <v>-</v>
      </c>
      <c r="T1934" s="57">
        <f>IFERROR(__xludf.DUMMYFUNCTION("""COMPUTED_VALUE"""),44819.0)</f>
        <v>44819</v>
      </c>
    </row>
    <row r="1935">
      <c r="A1935" s="6" t="str">
        <f>IFERROR(__xludf.DUMMYFUNCTION("""COMPUTED_VALUE"""),"221750340-2")</f>
        <v>221750340-2</v>
      </c>
      <c r="B1935" s="6" t="str">
        <f>IFERROR(__xludf.DUMMYFUNCTION("""COMPUTED_VALUE"""),"221750340 - Approved")</f>
        <v>221750340 - Approved</v>
      </c>
      <c r="C1935" s="6">
        <f>IFERROR(__xludf.DUMMYFUNCTION("""COMPUTED_VALUE"""),2.0)</f>
        <v>2</v>
      </c>
      <c r="D1935" s="6" t="str">
        <f>IFERROR(__xludf.DUMMYFUNCTION("""COMPUTED_VALUE"""),"O-18447-00")</f>
        <v>O-18447-00</v>
      </c>
      <c r="E1935" s="6" t="str">
        <f>IFERROR(__xludf.DUMMYFUNCTION("""COMPUTED_VALUE"""),"Silicone Guide Outfeed")</f>
        <v>Silicone Guide Outfeed</v>
      </c>
      <c r="F1935" s="6">
        <f>IFERROR(__xludf.DUMMYFUNCTION("""COMPUTED_VALUE"""),1.0)</f>
        <v>1</v>
      </c>
      <c r="G1935" s="6" t="str">
        <f>IFERROR(__xludf.DUMMYFUNCTION("""COMPUTED_VALUE"""),"Pieces")</f>
        <v>Pieces</v>
      </c>
      <c r="H1935" s="6" t="str">
        <f>IFERROR(__xludf.DUMMYFUNCTION("""COMPUTED_VALUE"""),"IDR")</f>
        <v>IDR</v>
      </c>
      <c r="I1935" s="6">
        <f>IFERROR(__xludf.DUMMYFUNCTION("""COMPUTED_VALUE"""),6870000.0)</f>
        <v>6870000</v>
      </c>
      <c r="J1935" s="6">
        <f>IFERROR(__xludf.DUMMYFUNCTION("""COMPUTED_VALUE"""),6870000.0)</f>
        <v>6870000</v>
      </c>
      <c r="K1935" s="57">
        <f>IFERROR(__xludf.DUMMYFUNCTION("""COMPUTED_VALUE"""),44792.0)</f>
        <v>44792</v>
      </c>
      <c r="L1935" s="6" t="str">
        <f>IFERROR(__xludf.DUMMYFUNCTION("""COMPUTED_VALUE"""),"FIP Engineering")</f>
        <v>FIP Engineering</v>
      </c>
      <c r="M1935" s="6" t="str">
        <f>IFERROR(__xludf.DUMMYFUNCTION("""COMPUTED_VALUE"""),"Irwan Sopian")</f>
        <v>Irwan Sopian</v>
      </c>
      <c r="N1935" s="6" t="str">
        <f>IFERROR(__xludf.DUMMYFUNCTION("""COMPUTED_VALUE"""),"FIP Engineering")</f>
        <v>FIP Engineering</v>
      </c>
      <c r="O1935" s="6" t="str">
        <f>IFERROR(__xludf.DUMMYFUNCTION("""COMPUTED_VALUE"""),"FIP-DOM-000-11304-OS00001-INA-000000")</f>
        <v>FIP-DOM-000-11304-OS00001-INA-000000</v>
      </c>
      <c r="P1935" s="6" t="str">
        <f>IFERROR(__xludf.DUMMYFUNCTION("""COMPUTED_VALUE"""),"PO Closed")</f>
        <v>PO Closed</v>
      </c>
      <c r="Q1935" s="6" t="str">
        <f>IFERROR(__xludf.DUMMYFUNCTION("""COMPUTED_VALUE"""),"GL2208054")</f>
        <v>GL2208054</v>
      </c>
      <c r="R1935" s="57">
        <f>IFERROR(__xludf.DUMMYFUNCTION("""COMPUTED_VALUE"""),44756.0)</f>
        <v>44756</v>
      </c>
      <c r="S1935" s="6" t="str">
        <f>IFERROR(__xludf.DUMMYFUNCTION("""COMPUTED_VALUE"""),"-")</f>
        <v>-</v>
      </c>
      <c r="T1935" s="57">
        <f>IFERROR(__xludf.DUMMYFUNCTION("""COMPUTED_VALUE"""),44819.0)</f>
        <v>44819</v>
      </c>
    </row>
    <row r="1936">
      <c r="A1936" s="6" t="str">
        <f>IFERROR(__xludf.DUMMYFUNCTION("""COMPUTED_VALUE"""),"221750339-1")</f>
        <v>221750339-1</v>
      </c>
      <c r="B1936" s="6" t="str">
        <f>IFERROR(__xludf.DUMMYFUNCTION("""COMPUTED_VALUE"""),"221750339 - Approved")</f>
        <v>221750339 - Approved</v>
      </c>
      <c r="C1936" s="6">
        <f>IFERROR(__xludf.DUMMYFUNCTION("""COMPUTED_VALUE"""),1.0)</f>
        <v>1</v>
      </c>
      <c r="D1936" s="6" t="str">
        <f>IFERROR(__xludf.DUMMYFUNCTION("""COMPUTED_VALUE"""),"P-50495-00")</f>
        <v>P-50495-00</v>
      </c>
      <c r="E1936" s="6" t="str">
        <f>IFERROR(__xludf.DUMMYFUNCTION("""COMPUTED_VALUE"""),"Relay / RXM 2AB2P7 / 230 V / 50-60 Hz / 12 A / 250 VAC")</f>
        <v>Relay / RXM 2AB2P7 / 230 V / 50-60 Hz / 12 A / 250 VAC</v>
      </c>
      <c r="F1936" s="6">
        <f>IFERROR(__xludf.DUMMYFUNCTION("""COMPUTED_VALUE"""),6.0)</f>
        <v>6</v>
      </c>
      <c r="G1936" s="6" t="str">
        <f>IFERROR(__xludf.DUMMYFUNCTION("""COMPUTED_VALUE"""),"Pieces")</f>
        <v>Pieces</v>
      </c>
      <c r="H1936" s="6" t="str">
        <f>IFERROR(__xludf.DUMMYFUNCTION("""COMPUTED_VALUE"""),"IDR")</f>
        <v>IDR</v>
      </c>
      <c r="I1936" s="6">
        <f>IFERROR(__xludf.DUMMYFUNCTION("""COMPUTED_VALUE"""),100000.0)</f>
        <v>100000</v>
      </c>
      <c r="J1936" s="6">
        <f>IFERROR(__xludf.DUMMYFUNCTION("""COMPUTED_VALUE"""),600000.0)</f>
        <v>600000</v>
      </c>
      <c r="K1936" s="57">
        <f>IFERROR(__xludf.DUMMYFUNCTION("""COMPUTED_VALUE"""),44799.0)</f>
        <v>44799</v>
      </c>
      <c r="L1936" s="6" t="str">
        <f>IFERROR(__xludf.DUMMYFUNCTION("""COMPUTED_VALUE"""),"FIP Engineering")</f>
        <v>FIP Engineering</v>
      </c>
      <c r="M1936" s="6" t="str">
        <f>IFERROR(__xludf.DUMMYFUNCTION("""COMPUTED_VALUE"""),"Irwan Sopian")</f>
        <v>Irwan Sopian</v>
      </c>
      <c r="N1936" s="6" t="str">
        <f>IFERROR(__xludf.DUMMYFUNCTION("""COMPUTED_VALUE"""),"FIP Engineering")</f>
        <v>FIP Engineering</v>
      </c>
      <c r="O1936" s="6" t="str">
        <f>IFERROR(__xludf.DUMMYFUNCTION("""COMPUTED_VALUE"""),"FIP-DOM-000-11304-OS00001-INA-000000")</f>
        <v>FIP-DOM-000-11304-OS00001-INA-000000</v>
      </c>
      <c r="P1936" s="6" t="str">
        <f>IFERROR(__xludf.DUMMYFUNCTION("""COMPUTED_VALUE"""),"PO Closed")</f>
        <v>PO Closed</v>
      </c>
      <c r="Q1936" s="6" t="str">
        <f>IFERROR(__xludf.DUMMYFUNCTION("""COMPUTED_VALUE"""),"GL2208004")</f>
        <v>GL2208004</v>
      </c>
      <c r="R1936" s="57">
        <f>IFERROR(__xludf.DUMMYFUNCTION("""COMPUTED_VALUE"""),44756.0)</f>
        <v>44756</v>
      </c>
      <c r="S1936" s="6" t="str">
        <f>IFERROR(__xludf.DUMMYFUNCTION("""COMPUTED_VALUE"""),"-")</f>
        <v>-</v>
      </c>
      <c r="T1936" s="57">
        <f>IFERROR(__xludf.DUMMYFUNCTION("""COMPUTED_VALUE"""),44798.0)</f>
        <v>44798</v>
      </c>
    </row>
    <row r="1937">
      <c r="A1937" s="6" t="str">
        <f>IFERROR(__xludf.DUMMYFUNCTION("""COMPUTED_VALUE"""),"221750337-1")</f>
        <v>221750337-1</v>
      </c>
      <c r="B1937" s="6" t="str">
        <f>IFERROR(__xludf.DUMMYFUNCTION("""COMPUTED_VALUE"""),"221750337 - Approved")</f>
        <v>221750337 - Approved</v>
      </c>
      <c r="C1937" s="6">
        <f>IFERROR(__xludf.DUMMYFUNCTION("""COMPUTED_VALUE"""),1.0)</f>
        <v>1</v>
      </c>
      <c r="D1937" s="6" t="str">
        <f>IFERROR(__xludf.DUMMYFUNCTION("""COMPUTED_VALUE"""),"P-17390-00")</f>
        <v>P-17390-00</v>
      </c>
      <c r="E1937" s="6" t="str">
        <f>IFERROR(__xludf.DUMMYFUNCTION("""COMPUTED_VALUE"""),"PALL - AB1PFR7PVH4, 0.2 um; ; ;")</f>
        <v>PALL - AB1PFR7PVH4, 0.2 um; ; ;</v>
      </c>
      <c r="F1937" s="6">
        <f>IFERROR(__xludf.DUMMYFUNCTION("""COMPUTED_VALUE"""),1.0)</f>
        <v>1</v>
      </c>
      <c r="G1937" s="6" t="str">
        <f>IFERROR(__xludf.DUMMYFUNCTION("""COMPUTED_VALUE"""),"Pieces")</f>
        <v>Pieces</v>
      </c>
      <c r="H1937" s="6" t="str">
        <f>IFERROR(__xludf.DUMMYFUNCTION("""COMPUTED_VALUE"""),"IDR")</f>
        <v>IDR</v>
      </c>
      <c r="I1937" s="6">
        <f>IFERROR(__xludf.DUMMYFUNCTION("""COMPUTED_VALUE"""),5780000.0)</f>
        <v>5780000</v>
      </c>
      <c r="J1937" s="6">
        <f>IFERROR(__xludf.DUMMYFUNCTION("""COMPUTED_VALUE"""),5780000.0)</f>
        <v>5780000</v>
      </c>
      <c r="K1937" s="57">
        <f>IFERROR(__xludf.DUMMYFUNCTION("""COMPUTED_VALUE"""),44792.0)</f>
        <v>44792</v>
      </c>
      <c r="L1937" s="6" t="str">
        <f>IFERROR(__xludf.DUMMYFUNCTION("""COMPUTED_VALUE"""),"FIP Engineering")</f>
        <v>FIP Engineering</v>
      </c>
      <c r="M1937" s="6" t="str">
        <f>IFERROR(__xludf.DUMMYFUNCTION("""COMPUTED_VALUE"""),"Irwan Sopian")</f>
        <v>Irwan Sopian</v>
      </c>
      <c r="N1937" s="6" t="str">
        <f>IFERROR(__xludf.DUMMYFUNCTION("""COMPUTED_VALUE"""),"FIP Engineering")</f>
        <v>FIP Engineering</v>
      </c>
      <c r="O1937" s="6" t="str">
        <f>IFERROR(__xludf.DUMMYFUNCTION("""COMPUTED_VALUE"""),"FIP-DOM-000-11304-OS00001-INA-000000")</f>
        <v>FIP-DOM-000-11304-OS00001-INA-000000</v>
      </c>
      <c r="P1937" s="6" t="str">
        <f>IFERROR(__xludf.DUMMYFUNCTION("""COMPUTED_VALUE"""),"PO Closed")</f>
        <v>PO Closed</v>
      </c>
      <c r="Q1937" s="6" t="str">
        <f>IFERROR(__xludf.DUMMYFUNCTION("""COMPUTED_VALUE"""),"GL2208050")</f>
        <v>GL2208050</v>
      </c>
      <c r="R1937" s="57">
        <f>IFERROR(__xludf.DUMMYFUNCTION("""COMPUTED_VALUE"""),44756.0)</f>
        <v>44756</v>
      </c>
      <c r="S1937" s="6" t="str">
        <f>IFERROR(__xludf.DUMMYFUNCTION("""COMPUTED_VALUE"""),"-")</f>
        <v>-</v>
      </c>
      <c r="T1937" s="57">
        <f>IFERROR(__xludf.DUMMYFUNCTION("""COMPUTED_VALUE"""),44817.0)</f>
        <v>44817</v>
      </c>
    </row>
    <row r="1938">
      <c r="A1938" s="6" t="str">
        <f>IFERROR(__xludf.DUMMYFUNCTION("""COMPUTED_VALUE"""),"221750337-2")</f>
        <v>221750337-2</v>
      </c>
      <c r="B1938" s="6" t="str">
        <f>IFERROR(__xludf.DUMMYFUNCTION("""COMPUTED_VALUE"""),"221750337 - Approved")</f>
        <v>221750337 - Approved</v>
      </c>
      <c r="C1938" s="6">
        <f>IFERROR(__xludf.DUMMYFUNCTION("""COMPUTED_VALUE"""),2.0)</f>
        <v>2</v>
      </c>
      <c r="D1938" s="6" t="str">
        <f>IFERROR(__xludf.DUMMYFUNCTION("""COMPUTED_VALUE"""),"O-12868-00")</f>
        <v>O-12868-00</v>
      </c>
      <c r="E1938" s="6" t="str">
        <f>IFERROR(__xludf.DUMMYFUNCTION("""COMPUTED_VALUE"""),"Emflon PFR Membrane Filter Cartridges 0.2 um PALL P/N : AB05 PFR2 PVH4 pc")</f>
        <v>Emflon PFR Membrane Filter Cartridges 0.2 um PALL P/N : AB05 PFR2 PVH4 pc</v>
      </c>
      <c r="F1938" s="6">
        <f>IFERROR(__xludf.DUMMYFUNCTION("""COMPUTED_VALUE"""),1.0)</f>
        <v>1</v>
      </c>
      <c r="G1938" s="6" t="str">
        <f>IFERROR(__xludf.DUMMYFUNCTION("""COMPUTED_VALUE"""),"Pieces")</f>
        <v>Pieces</v>
      </c>
      <c r="H1938" s="6" t="str">
        <f>IFERROR(__xludf.DUMMYFUNCTION("""COMPUTED_VALUE"""),"IDR")</f>
        <v>IDR</v>
      </c>
      <c r="I1938" s="6">
        <f>IFERROR(__xludf.DUMMYFUNCTION("""COMPUTED_VALUE"""),3850000.0)</f>
        <v>3850000</v>
      </c>
      <c r="J1938" s="6">
        <f>IFERROR(__xludf.DUMMYFUNCTION("""COMPUTED_VALUE"""),3850000.0)</f>
        <v>3850000</v>
      </c>
      <c r="K1938" s="57">
        <f>IFERROR(__xludf.DUMMYFUNCTION("""COMPUTED_VALUE"""),44792.0)</f>
        <v>44792</v>
      </c>
      <c r="L1938" s="6" t="str">
        <f>IFERROR(__xludf.DUMMYFUNCTION("""COMPUTED_VALUE"""),"FIP Engineering")</f>
        <v>FIP Engineering</v>
      </c>
      <c r="M1938" s="6" t="str">
        <f>IFERROR(__xludf.DUMMYFUNCTION("""COMPUTED_VALUE"""),"Irwan Sopian")</f>
        <v>Irwan Sopian</v>
      </c>
      <c r="N1938" s="6" t="str">
        <f>IFERROR(__xludf.DUMMYFUNCTION("""COMPUTED_VALUE"""),"FIP Engineering")</f>
        <v>FIP Engineering</v>
      </c>
      <c r="O1938" s="6" t="str">
        <f>IFERROR(__xludf.DUMMYFUNCTION("""COMPUTED_VALUE"""),"FIP-DOM-000-11304-OS00001-INA-000000")</f>
        <v>FIP-DOM-000-11304-OS00001-INA-000000</v>
      </c>
      <c r="P1938" s="6" t="str">
        <f>IFERROR(__xludf.DUMMYFUNCTION("""COMPUTED_VALUE"""),"PO Closed")</f>
        <v>PO Closed</v>
      </c>
      <c r="Q1938" s="6" t="str">
        <f>IFERROR(__xludf.DUMMYFUNCTION("""COMPUTED_VALUE"""),"GL2208050")</f>
        <v>GL2208050</v>
      </c>
      <c r="R1938" s="57">
        <f>IFERROR(__xludf.DUMMYFUNCTION("""COMPUTED_VALUE"""),44756.0)</f>
        <v>44756</v>
      </c>
      <c r="S1938" s="6" t="str">
        <f>IFERROR(__xludf.DUMMYFUNCTION("""COMPUTED_VALUE"""),"-")</f>
        <v>-</v>
      </c>
      <c r="T1938" s="57">
        <f>IFERROR(__xludf.DUMMYFUNCTION("""COMPUTED_VALUE"""),44817.0)</f>
        <v>44817</v>
      </c>
    </row>
    <row r="1939">
      <c r="A1939" s="6" t="str">
        <f>IFERROR(__xludf.DUMMYFUNCTION("""COMPUTED_VALUE"""),"221750333-4")</f>
        <v>221750333-4</v>
      </c>
      <c r="B1939" s="6" t="str">
        <f>IFERROR(__xludf.DUMMYFUNCTION("""COMPUTED_VALUE"""),"221750333 - Approved")</f>
        <v>221750333 - Approved</v>
      </c>
      <c r="C1939" s="6">
        <f>IFERROR(__xludf.DUMMYFUNCTION("""COMPUTED_VALUE"""),4.0)</f>
        <v>4</v>
      </c>
      <c r="D1939" s="6" t="str">
        <f>IFERROR(__xludf.DUMMYFUNCTION("""COMPUTED_VALUE"""),"P-12419-00")</f>
        <v>P-12419-00</v>
      </c>
      <c r="E1939" s="6" t="str">
        <f>IFERROR(__xludf.DUMMYFUNCTION("""COMPUTED_VALUE"""),"Hole saw u/ stainless stell dia 22 mm ex UNIKA")</f>
        <v>Hole saw u/ stainless stell dia 22 mm ex UNIKA</v>
      </c>
      <c r="F1939" s="6">
        <f>IFERROR(__xludf.DUMMYFUNCTION("""COMPUTED_VALUE"""),1.0)</f>
        <v>1</v>
      </c>
      <c r="G1939" s="6" t="str">
        <f>IFERROR(__xludf.DUMMYFUNCTION("""COMPUTED_VALUE"""),"Pieces")</f>
        <v>Pieces</v>
      </c>
      <c r="H1939" s="6" t="str">
        <f>IFERROR(__xludf.DUMMYFUNCTION("""COMPUTED_VALUE"""),"IDR")</f>
        <v>IDR</v>
      </c>
      <c r="I1939" s="6">
        <f>IFERROR(__xludf.DUMMYFUNCTION("""COMPUTED_VALUE"""),81000.0)</f>
        <v>81000</v>
      </c>
      <c r="J1939" s="6">
        <f>IFERROR(__xludf.DUMMYFUNCTION("""COMPUTED_VALUE"""),81000.0)</f>
        <v>81000</v>
      </c>
      <c r="K1939" s="57">
        <f>IFERROR(__xludf.DUMMYFUNCTION("""COMPUTED_VALUE"""),44771.0)</f>
        <v>44771</v>
      </c>
      <c r="L1939" s="6" t="str">
        <f>IFERROR(__xludf.DUMMYFUNCTION("""COMPUTED_VALUE"""),"FIP Engineering")</f>
        <v>FIP Engineering</v>
      </c>
      <c r="M1939" s="6" t="str">
        <f>IFERROR(__xludf.DUMMYFUNCTION("""COMPUTED_VALUE"""),"Irwan Sopian")</f>
        <v>Irwan Sopian</v>
      </c>
      <c r="N1939" s="6" t="str">
        <f>IFERROR(__xludf.DUMMYFUNCTION("""COMPUTED_VALUE"""),"FIP Engineering")</f>
        <v>FIP Engineering</v>
      </c>
      <c r="O1939" s="6" t="str">
        <f>IFERROR(__xludf.DUMMYFUNCTION("""COMPUTED_VALUE"""),"FIP-DOM-000-11304-OS00001-INA-000000")</f>
        <v>FIP-DOM-000-11304-OS00001-INA-000000</v>
      </c>
      <c r="P1939" s="6" t="str">
        <f>IFERROR(__xludf.DUMMYFUNCTION("""COMPUTED_VALUE"""),"PO Closed")</f>
        <v>PO Closed</v>
      </c>
      <c r="Q1939" s="6" t="str">
        <f>IFERROR(__xludf.DUMMYFUNCTION("""COMPUTED_VALUE"""),"GL2208322")</f>
        <v>GL2208322</v>
      </c>
      <c r="R1939" s="57">
        <f>IFERROR(__xludf.DUMMYFUNCTION("""COMPUTED_VALUE"""),44756.0)</f>
        <v>44756</v>
      </c>
      <c r="S1939" s="6" t="str">
        <f>IFERROR(__xludf.DUMMYFUNCTION("""COMPUTED_VALUE"""),"-")</f>
        <v>-</v>
      </c>
      <c r="T1939" s="57">
        <f>IFERROR(__xludf.DUMMYFUNCTION("""COMPUTED_VALUE"""),44803.0)</f>
        <v>44803</v>
      </c>
    </row>
    <row r="1940">
      <c r="A1940" s="6" t="str">
        <f>IFERROR(__xludf.DUMMYFUNCTION("""COMPUTED_VALUE"""),"221750344-1")</f>
        <v>221750344-1</v>
      </c>
      <c r="B1940" s="6" t="str">
        <f>IFERROR(__xludf.DUMMYFUNCTION("""COMPUTED_VALUE"""),"221750344 - Approved")</f>
        <v>221750344 - Approved</v>
      </c>
      <c r="C1940" s="6">
        <f>IFERROR(__xludf.DUMMYFUNCTION("""COMPUTED_VALUE"""),1.0)</f>
        <v>1</v>
      </c>
      <c r="D1940" s="6" t="str">
        <f>IFERROR(__xludf.DUMMYFUNCTION("""COMPUTED_VALUE"""),"O-52635-00")</f>
        <v>O-52635-00</v>
      </c>
      <c r="E1940" s="6" t="str">
        <f>IFERROR(__xludf.DUMMYFUNCTION("""COMPUTED_VALUE"""),"Danube 45587 - Electrovalvula 230V AC")</f>
        <v>Danube 45587 - Electrovalvula 230V AC</v>
      </c>
      <c r="F1940" s="6">
        <f>IFERROR(__xludf.DUMMYFUNCTION("""COMPUTED_VALUE"""),2.0)</f>
        <v>2</v>
      </c>
      <c r="G1940" s="6" t="str">
        <f>IFERROR(__xludf.DUMMYFUNCTION("""COMPUTED_VALUE"""),"Pieces")</f>
        <v>Pieces</v>
      </c>
      <c r="H1940" s="6" t="str">
        <f>IFERROR(__xludf.DUMMYFUNCTION("""COMPUTED_VALUE"""),"EUR")</f>
        <v>EUR</v>
      </c>
      <c r="I1940" s="6">
        <f>IFERROR(__xludf.DUMMYFUNCTION("""COMPUTED_VALUE"""),380.0)</f>
        <v>380</v>
      </c>
      <c r="J1940" s="6">
        <f>IFERROR(__xludf.DUMMYFUNCTION("""COMPUTED_VALUE"""),760.0)</f>
        <v>760</v>
      </c>
      <c r="K1940" s="57">
        <f>IFERROR(__xludf.DUMMYFUNCTION("""COMPUTED_VALUE"""),44804.0)</f>
        <v>44804</v>
      </c>
      <c r="L1940" s="6" t="str">
        <f>IFERROR(__xludf.DUMMYFUNCTION("""COMPUTED_VALUE"""),"FIP Engineering")</f>
        <v>FIP Engineering</v>
      </c>
      <c r="M1940" s="6" t="str">
        <f>IFERROR(__xludf.DUMMYFUNCTION("""COMPUTED_VALUE"""),"Irwan Sopian")</f>
        <v>Irwan Sopian</v>
      </c>
      <c r="N1940" s="6" t="str">
        <f>IFERROR(__xludf.DUMMYFUNCTION("""COMPUTED_VALUE"""),"FIP Engineering")</f>
        <v>FIP Engineering</v>
      </c>
      <c r="O1940" s="6" t="str">
        <f>IFERROR(__xludf.DUMMYFUNCTION("""COMPUTED_VALUE"""),"FIP-DOM-000-11304-OS00001-INA-000000")</f>
        <v>FIP-DOM-000-11304-OS00001-INA-000000</v>
      </c>
      <c r="P1940" s="6" t="str">
        <f>IFERROR(__xludf.DUMMYFUNCTION("""COMPUTED_VALUE"""),"PO Closed")</f>
        <v>PO Closed</v>
      </c>
      <c r="Q1940" s="6" t="str">
        <f>IFERROR(__xludf.DUMMYFUNCTION("""COMPUTED_VALUE"""),"GL2208055")</f>
        <v>GL2208055</v>
      </c>
      <c r="R1940" s="57">
        <f>IFERROR(__xludf.DUMMYFUNCTION("""COMPUTED_VALUE"""),44762.0)</f>
        <v>44762</v>
      </c>
      <c r="S1940" s="6" t="str">
        <f>IFERROR(__xludf.DUMMYFUNCTION("""COMPUTED_VALUE"""),"-")</f>
        <v>-</v>
      </c>
      <c r="T1940" s="57">
        <f>IFERROR(__xludf.DUMMYFUNCTION("""COMPUTED_VALUE"""),44834.0)</f>
        <v>44834</v>
      </c>
    </row>
    <row r="1941">
      <c r="A1941" s="6" t="str">
        <f>IFERROR(__xludf.DUMMYFUNCTION("""COMPUTED_VALUE"""),"221750343-1")</f>
        <v>221750343-1</v>
      </c>
      <c r="B1941" s="6" t="str">
        <f>IFERROR(__xludf.DUMMYFUNCTION("""COMPUTED_VALUE"""),"221750343 - Approved")</f>
        <v>221750343 - Approved</v>
      </c>
      <c r="C1941" s="6">
        <f>IFERROR(__xludf.DUMMYFUNCTION("""COMPUTED_VALUE"""),1.0)</f>
        <v>1</v>
      </c>
      <c r="D1941" s="6" t="str">
        <f>IFERROR(__xludf.DUMMYFUNCTION("""COMPUTED_VALUE"""),"T-20123-00")</f>
        <v>T-20123-00</v>
      </c>
      <c r="E1941" s="6" t="str">
        <f>IFERROR(__xludf.DUMMYFUNCTION("""COMPUTED_VALUE"""),"Acquity PDA/TUV 2489/2998 Perf Main Kit (lampu HPLC) Waters P/N 201000281 1 pc")</f>
        <v>Acquity PDA/TUV 2489/2998 Perf Main Kit (lampu HPLC) Waters P/N 201000281 1 pc</v>
      </c>
      <c r="F1941" s="6">
        <f>IFERROR(__xludf.DUMMYFUNCTION("""COMPUTED_VALUE"""),2.0)</f>
        <v>2</v>
      </c>
      <c r="G1941" s="6" t="str">
        <f>IFERROR(__xludf.DUMMYFUNCTION("""COMPUTED_VALUE"""),"Pieces")</f>
        <v>Pieces</v>
      </c>
      <c r="H1941" s="6" t="str">
        <f>IFERROR(__xludf.DUMMYFUNCTION("""COMPUTED_VALUE"""),"IDR")</f>
        <v>IDR</v>
      </c>
      <c r="I1941" s="6">
        <f>IFERROR(__xludf.DUMMYFUNCTION("""COMPUTED_VALUE"""),1.0859355E7)</f>
        <v>10859355</v>
      </c>
      <c r="J1941" s="6">
        <f>IFERROR(__xludf.DUMMYFUNCTION("""COMPUTED_VALUE"""),2.171871E7)</f>
        <v>21718710</v>
      </c>
      <c r="K1941" s="57">
        <f>IFERROR(__xludf.DUMMYFUNCTION("""COMPUTED_VALUE"""),44799.0)</f>
        <v>44799</v>
      </c>
      <c r="L1941" s="6" t="str">
        <f>IFERROR(__xludf.DUMMYFUNCTION("""COMPUTED_VALUE"""),"FIP General")</f>
        <v>FIP General</v>
      </c>
      <c r="M1941" s="6" t="str">
        <f>IFERROR(__xludf.DUMMYFUNCTION("""COMPUTED_VALUE"""),"Irwan Sopian")</f>
        <v>Irwan Sopian</v>
      </c>
      <c r="N1941" s="6" t="str">
        <f>IFERROR(__xludf.DUMMYFUNCTION("""COMPUTED_VALUE"""),"FIP Engineering")</f>
        <v>FIP Engineering</v>
      </c>
      <c r="O1941" s="6" t="str">
        <f>IFERROR(__xludf.DUMMYFUNCTION("""COMPUTED_VALUE"""),"FIP-DOM-ENG-51505-0000000-INA-000000")</f>
        <v>FIP-DOM-ENG-51505-0000000-INA-000000</v>
      </c>
      <c r="P1941" s="6" t="str">
        <f>IFERROR(__xludf.DUMMYFUNCTION("""COMPUTED_VALUE"""),"PO Closed")</f>
        <v>PO Closed</v>
      </c>
      <c r="Q1941" s="6" t="str">
        <f>IFERROR(__xludf.DUMMYFUNCTION("""COMPUTED_VALUE"""),"GL2207043")</f>
        <v>GL2207043</v>
      </c>
      <c r="R1941" s="57">
        <f>IFERROR(__xludf.DUMMYFUNCTION("""COMPUTED_VALUE"""),44762.0)</f>
        <v>44762</v>
      </c>
      <c r="S1941" s="6" t="str">
        <f>IFERROR(__xludf.DUMMYFUNCTION("""COMPUTED_VALUE"""),"-")</f>
        <v>-</v>
      </c>
      <c r="T1941" s="57">
        <f>IFERROR(__xludf.DUMMYFUNCTION("""COMPUTED_VALUE"""),44778.0)</f>
        <v>44778</v>
      </c>
    </row>
    <row r="1942">
      <c r="A1942" s="6" t="str">
        <f>IFERROR(__xludf.DUMMYFUNCTION("""COMPUTED_VALUE"""),"221750337-3")</f>
        <v>221750337-3</v>
      </c>
      <c r="B1942" s="6" t="str">
        <f>IFERROR(__xludf.DUMMYFUNCTION("""COMPUTED_VALUE"""),"221750337 - Approved")</f>
        <v>221750337 - Approved</v>
      </c>
      <c r="C1942" s="6">
        <f>IFERROR(__xludf.DUMMYFUNCTION("""COMPUTED_VALUE"""),3.0)</f>
        <v>3</v>
      </c>
      <c r="D1942" s="6" t="str">
        <f>IFERROR(__xludf.DUMMYFUNCTION("""COMPUTED_VALUE"""),"O-16077-00")</f>
        <v>O-16077-00</v>
      </c>
      <c r="E1942" s="6" t="str">
        <f>IFERROR(__xludf.DUMMYFUNCTION("""COMPUTED_VALUE"""),"Kleenpak Emflon PFR 0.2 um PALL Part No. KA2PFRP1 pc")</f>
        <v>Kleenpak Emflon PFR 0.2 um PALL Part No. KA2PFRP1 pc</v>
      </c>
      <c r="F1942" s="6">
        <f>IFERROR(__xludf.DUMMYFUNCTION("""COMPUTED_VALUE"""),1.0)</f>
        <v>1</v>
      </c>
      <c r="G1942" s="6" t="str">
        <f>IFERROR(__xludf.DUMMYFUNCTION("""COMPUTED_VALUE"""),"Pieces")</f>
        <v>Pieces</v>
      </c>
      <c r="H1942" s="6" t="str">
        <f>IFERROR(__xludf.DUMMYFUNCTION("""COMPUTED_VALUE"""),"IDR")</f>
        <v>IDR</v>
      </c>
      <c r="I1942" s="6">
        <f>IFERROR(__xludf.DUMMYFUNCTION("""COMPUTED_VALUE"""),1500000.0)</f>
        <v>1500000</v>
      </c>
      <c r="J1942" s="6">
        <f>IFERROR(__xludf.DUMMYFUNCTION("""COMPUTED_VALUE"""),1500000.0)</f>
        <v>1500000</v>
      </c>
      <c r="K1942" s="57">
        <f>IFERROR(__xludf.DUMMYFUNCTION("""COMPUTED_VALUE"""),44792.0)</f>
        <v>44792</v>
      </c>
      <c r="L1942" s="6" t="str">
        <f>IFERROR(__xludf.DUMMYFUNCTION("""COMPUTED_VALUE"""),"FIP Engineering")</f>
        <v>FIP Engineering</v>
      </c>
      <c r="M1942" s="6" t="str">
        <f>IFERROR(__xludf.DUMMYFUNCTION("""COMPUTED_VALUE"""),"Irwan Sopian")</f>
        <v>Irwan Sopian</v>
      </c>
      <c r="N1942" s="6" t="str">
        <f>IFERROR(__xludf.DUMMYFUNCTION("""COMPUTED_VALUE"""),"FIP Engineering")</f>
        <v>FIP Engineering</v>
      </c>
      <c r="O1942" s="6" t="str">
        <f>IFERROR(__xludf.DUMMYFUNCTION("""COMPUTED_VALUE"""),"FIP-DOM-000-11304-OS00001-INA-000000")</f>
        <v>FIP-DOM-000-11304-OS00001-INA-000000</v>
      </c>
      <c r="P1942" s="6" t="str">
        <f>IFERROR(__xludf.DUMMYFUNCTION("""COMPUTED_VALUE"""),"PO Closed")</f>
        <v>PO Closed</v>
      </c>
      <c r="Q1942" s="6" t="str">
        <f>IFERROR(__xludf.DUMMYFUNCTION("""COMPUTED_VALUE"""),"GL2208050")</f>
        <v>GL2208050</v>
      </c>
      <c r="R1942" s="57">
        <f>IFERROR(__xludf.DUMMYFUNCTION("""COMPUTED_VALUE"""),44762.0)</f>
        <v>44762</v>
      </c>
      <c r="S1942" s="6" t="str">
        <f>IFERROR(__xludf.DUMMYFUNCTION("""COMPUTED_VALUE"""),"-")</f>
        <v>-</v>
      </c>
      <c r="T1942" s="57">
        <f>IFERROR(__xludf.DUMMYFUNCTION("""COMPUTED_VALUE"""),44817.0)</f>
        <v>44817</v>
      </c>
    </row>
    <row r="1943">
      <c r="A1943" s="6" t="str">
        <f>IFERROR(__xludf.DUMMYFUNCTION("""COMPUTED_VALUE"""),"221750347-1")</f>
        <v>221750347-1</v>
      </c>
      <c r="B1943" s="6" t="str">
        <f>IFERROR(__xludf.DUMMYFUNCTION("""COMPUTED_VALUE"""),"221750347 - Approved")</f>
        <v>221750347 - Approved</v>
      </c>
      <c r="C1943" s="6">
        <f>IFERROR(__xludf.DUMMYFUNCTION("""COMPUTED_VALUE"""),1.0)</f>
        <v>1</v>
      </c>
      <c r="D1943" s="6" t="str">
        <f>IFERROR(__xludf.DUMMYFUNCTION("""COMPUTED_VALUE"""),"S-60002-00")</f>
        <v>S-60002-00</v>
      </c>
      <c r="E1943" s="6" t="str">
        <f>IFERROR(__xludf.DUMMYFUNCTION("""COMPUTED_VALUE"""),"Rewending Pompa Groundfos 1.5 kw")</f>
        <v>Rewending Pompa Groundfos 1.5 kw</v>
      </c>
      <c r="F1943" s="6">
        <f>IFERROR(__xludf.DUMMYFUNCTION("""COMPUTED_VALUE"""),2.0)</f>
        <v>2</v>
      </c>
      <c r="G1943" s="6" t="str">
        <f>IFERROR(__xludf.DUMMYFUNCTION("""COMPUTED_VALUE"""),"Lot")</f>
        <v>Lot</v>
      </c>
      <c r="H1943" s="6" t="str">
        <f>IFERROR(__xludf.DUMMYFUNCTION("""COMPUTED_VALUE"""),"IDR")</f>
        <v>IDR</v>
      </c>
      <c r="I1943" s="6">
        <f>IFERROR(__xludf.DUMMYFUNCTION("""COMPUTED_VALUE"""),1100000.0)</f>
        <v>1100000</v>
      </c>
      <c r="J1943" s="6">
        <f>IFERROR(__xludf.DUMMYFUNCTION("""COMPUTED_VALUE"""),2200000.0)</f>
        <v>2200000</v>
      </c>
      <c r="K1943" s="57">
        <f>IFERROR(__xludf.DUMMYFUNCTION("""COMPUTED_VALUE"""),44792.0)</f>
        <v>44792</v>
      </c>
      <c r="L1943" s="6" t="str">
        <f>IFERROR(__xludf.DUMMYFUNCTION("""COMPUTED_VALUE"""),"FIP General")</f>
        <v>FIP General</v>
      </c>
      <c r="M1943" s="6" t="str">
        <f>IFERROR(__xludf.DUMMYFUNCTION("""COMPUTED_VALUE"""),"Irwan Sopian")</f>
        <v>Irwan Sopian</v>
      </c>
      <c r="N1943" s="6" t="str">
        <f>IFERROR(__xludf.DUMMYFUNCTION("""COMPUTED_VALUE"""),"FIP Engineering")</f>
        <v>FIP Engineering</v>
      </c>
      <c r="O1943" s="6" t="str">
        <f>IFERROR(__xludf.DUMMYFUNCTION("""COMPUTED_VALUE"""),"FIP-DOM-ENG-51508-0000000-INA-000000")</f>
        <v>FIP-DOM-ENG-51508-0000000-INA-000000</v>
      </c>
      <c r="P1943" s="6" t="str">
        <f>IFERROR(__xludf.DUMMYFUNCTION("""COMPUTED_VALUE"""),"PO Closed")</f>
        <v>PO Closed</v>
      </c>
      <c r="Q1943" s="6" t="str">
        <f>IFERROR(__xludf.DUMMYFUNCTION("""COMPUTED_VALUE"""),"GL2208010")</f>
        <v>GL2208010</v>
      </c>
      <c r="R1943" s="57">
        <f>IFERROR(__xludf.DUMMYFUNCTION("""COMPUTED_VALUE"""),44767.0)</f>
        <v>44767</v>
      </c>
      <c r="S1943" s="6" t="str">
        <f>IFERROR(__xludf.DUMMYFUNCTION("""COMPUTED_VALUE"""),"-")</f>
        <v>-</v>
      </c>
      <c r="T1943" s="57">
        <f>IFERROR(__xludf.DUMMYFUNCTION("""COMPUTED_VALUE"""),44820.0)</f>
        <v>44820</v>
      </c>
    </row>
    <row r="1944">
      <c r="A1944" s="6" t="str">
        <f>IFERROR(__xludf.DUMMYFUNCTION("""COMPUTED_VALUE"""),"221750347-2")</f>
        <v>221750347-2</v>
      </c>
      <c r="B1944" s="6" t="str">
        <f>IFERROR(__xludf.DUMMYFUNCTION("""COMPUTED_VALUE"""),"221750347 - Approved")</f>
        <v>221750347 - Approved</v>
      </c>
      <c r="C1944" s="6">
        <f>IFERROR(__xludf.DUMMYFUNCTION("""COMPUTED_VALUE"""),2.0)</f>
        <v>2</v>
      </c>
      <c r="D1944" s="6" t="str">
        <f>IFERROR(__xludf.DUMMYFUNCTION("""COMPUTED_VALUE"""),"S-60002-00")</f>
        <v>S-60002-00</v>
      </c>
      <c r="E1944" s="6" t="str">
        <f>IFERROR(__xludf.DUMMYFUNCTION("""COMPUTED_VALUE"""),"Jasa Perbaikan dan Pemeliharaan Mesin Utility")</f>
        <v>Jasa Perbaikan dan Pemeliharaan Mesin Utility</v>
      </c>
      <c r="F1944" s="6">
        <f>IFERROR(__xludf.DUMMYFUNCTION("""COMPUTED_VALUE"""),1.0)</f>
        <v>1</v>
      </c>
      <c r="G1944" s="6" t="str">
        <f>IFERROR(__xludf.DUMMYFUNCTION("""COMPUTED_VALUE"""),"Lot")</f>
        <v>Lot</v>
      </c>
      <c r="H1944" s="6" t="str">
        <f>IFERROR(__xludf.DUMMYFUNCTION("""COMPUTED_VALUE"""),"IDR")</f>
        <v>IDR</v>
      </c>
      <c r="I1944" s="6">
        <f>IFERROR(__xludf.DUMMYFUNCTION("""COMPUTED_VALUE"""),300000.0)</f>
        <v>300000</v>
      </c>
      <c r="J1944" s="6">
        <f>IFERROR(__xludf.DUMMYFUNCTION("""COMPUTED_VALUE"""),300000.0)</f>
        <v>300000</v>
      </c>
      <c r="K1944" s="57">
        <f>IFERROR(__xludf.DUMMYFUNCTION("""COMPUTED_VALUE"""),44792.0)</f>
        <v>44792</v>
      </c>
      <c r="L1944" s="6" t="str">
        <f>IFERROR(__xludf.DUMMYFUNCTION("""COMPUTED_VALUE"""),"FIP General")</f>
        <v>FIP General</v>
      </c>
      <c r="M1944" s="6" t="str">
        <f>IFERROR(__xludf.DUMMYFUNCTION("""COMPUTED_VALUE"""),"Irwan Sopian")</f>
        <v>Irwan Sopian</v>
      </c>
      <c r="N1944" s="6" t="str">
        <f>IFERROR(__xludf.DUMMYFUNCTION("""COMPUTED_VALUE"""),"FIP Engineering")</f>
        <v>FIP Engineering</v>
      </c>
      <c r="O1944" s="6" t="str">
        <f>IFERROR(__xludf.DUMMYFUNCTION("""COMPUTED_VALUE"""),"FIP-DOM-ENG-51508-0000000-INA-000000")</f>
        <v>FIP-DOM-ENG-51508-0000000-INA-000000</v>
      </c>
      <c r="P1944" s="6" t="str">
        <f>IFERROR(__xludf.DUMMYFUNCTION("""COMPUTED_VALUE"""),"PO Closed")</f>
        <v>PO Closed</v>
      </c>
      <c r="Q1944" s="6" t="str">
        <f>IFERROR(__xludf.DUMMYFUNCTION("""COMPUTED_VALUE"""),"GL2208010")</f>
        <v>GL2208010</v>
      </c>
      <c r="R1944" s="57">
        <f>IFERROR(__xludf.DUMMYFUNCTION("""COMPUTED_VALUE"""),44767.0)</f>
        <v>44767</v>
      </c>
      <c r="S1944" s="6" t="str">
        <f>IFERROR(__xludf.DUMMYFUNCTION("""COMPUTED_VALUE"""),"-")</f>
        <v>-</v>
      </c>
      <c r="T1944" s="57">
        <f>IFERROR(__xludf.DUMMYFUNCTION("""COMPUTED_VALUE"""),44820.0)</f>
        <v>44820</v>
      </c>
    </row>
    <row r="1945">
      <c r="A1945" s="6" t="str">
        <f>IFERROR(__xludf.DUMMYFUNCTION("""COMPUTED_VALUE"""),"221750350-1")</f>
        <v>221750350-1</v>
      </c>
      <c r="B1945" s="6" t="str">
        <f>IFERROR(__xludf.DUMMYFUNCTION("""COMPUTED_VALUE"""),"221750350 - Approved")</f>
        <v>221750350 - Approved</v>
      </c>
      <c r="C1945" s="6">
        <f>IFERROR(__xludf.DUMMYFUNCTION("""COMPUTED_VALUE"""),1.0)</f>
        <v>1</v>
      </c>
      <c r="D1945" s="6" t="str">
        <f>IFERROR(__xludf.DUMMYFUNCTION("""COMPUTED_VALUE"""),"Q-10909-00")</f>
        <v>Q-10909-00</v>
      </c>
      <c r="E1945" s="6" t="str">
        <f>IFERROR(__xludf.DUMMYFUNCTION("""COMPUTED_VALUE"""),"Cat Epoxy JOTAFLOOR TC RAL 5012 JOTUN")</f>
        <v>Cat Epoxy JOTAFLOOR TC RAL 5012 JOTUN</v>
      </c>
      <c r="F1945" s="6">
        <f>IFERROR(__xludf.DUMMYFUNCTION("""COMPUTED_VALUE"""),5.0)</f>
        <v>5</v>
      </c>
      <c r="G1945" s="6" t="str">
        <f>IFERROR(__xludf.DUMMYFUNCTION("""COMPUTED_VALUE"""),"Kilogram")</f>
        <v>Kilogram</v>
      </c>
      <c r="H1945" s="6" t="str">
        <f>IFERROR(__xludf.DUMMYFUNCTION("""COMPUTED_VALUE"""),"IDR")</f>
        <v>IDR</v>
      </c>
      <c r="I1945" s="6">
        <f>IFERROR(__xludf.DUMMYFUNCTION("""COMPUTED_VALUE"""),191000.0)</f>
        <v>191000</v>
      </c>
      <c r="J1945" s="6">
        <f>IFERROR(__xludf.DUMMYFUNCTION("""COMPUTED_VALUE"""),955000.0)</f>
        <v>955000</v>
      </c>
      <c r="K1945" s="57">
        <f>IFERROR(__xludf.DUMMYFUNCTION("""COMPUTED_VALUE"""),44792.0)</f>
        <v>44792</v>
      </c>
      <c r="L1945" s="6" t="str">
        <f>IFERROR(__xludf.DUMMYFUNCTION("""COMPUTED_VALUE"""),"FIP General")</f>
        <v>FIP General</v>
      </c>
      <c r="M1945" s="6" t="str">
        <f>IFERROR(__xludf.DUMMYFUNCTION("""COMPUTED_VALUE"""),"Irwan Sopian")</f>
        <v>Irwan Sopian</v>
      </c>
      <c r="N1945" s="6" t="str">
        <f>IFERROR(__xludf.DUMMYFUNCTION("""COMPUTED_VALUE"""),"FIP Engineering")</f>
        <v>FIP Engineering</v>
      </c>
      <c r="O1945" s="6" t="str">
        <f>IFERROR(__xludf.DUMMYFUNCTION("""COMPUTED_VALUE"""),"FIP-DOM-ENG-51502-0000000-INA-000000")</f>
        <v>FIP-DOM-ENG-51502-0000000-INA-000000</v>
      </c>
      <c r="P1945" s="6" t="str">
        <f>IFERROR(__xludf.DUMMYFUNCTION("""COMPUTED_VALUE"""),"PO Closed")</f>
        <v>PO Closed</v>
      </c>
      <c r="Q1945" s="6" t="str">
        <f>IFERROR(__xludf.DUMMYFUNCTION("""COMPUTED_VALUE"""),"GL2208314")</f>
        <v>GL2208314</v>
      </c>
      <c r="R1945" s="57">
        <f>IFERROR(__xludf.DUMMYFUNCTION("""COMPUTED_VALUE"""),44768.0)</f>
        <v>44768</v>
      </c>
      <c r="S1945" s="6" t="str">
        <f>IFERROR(__xludf.DUMMYFUNCTION("""COMPUTED_VALUE"""),"-")</f>
        <v>-</v>
      </c>
      <c r="T1945" s="57">
        <f>IFERROR(__xludf.DUMMYFUNCTION("""COMPUTED_VALUE"""),44789.0)</f>
        <v>44789</v>
      </c>
    </row>
    <row r="1946">
      <c r="A1946" s="6" t="str">
        <f>IFERROR(__xludf.DUMMYFUNCTION("""COMPUTED_VALUE"""),"221750350-2")</f>
        <v>221750350-2</v>
      </c>
      <c r="B1946" s="6" t="str">
        <f>IFERROR(__xludf.DUMMYFUNCTION("""COMPUTED_VALUE"""),"221750350 - Approved")</f>
        <v>221750350 - Approved</v>
      </c>
      <c r="C1946" s="6">
        <f>IFERROR(__xludf.DUMMYFUNCTION("""COMPUTED_VALUE"""),2.0)</f>
        <v>2</v>
      </c>
      <c r="D1946" s="6" t="str">
        <f>IFERROR(__xludf.DUMMYFUNCTION("""COMPUTED_VALUE"""),"Q-10910-00")</f>
        <v>Q-10910-00</v>
      </c>
      <c r="E1946" s="6" t="str">
        <f>IFERROR(__xludf.DUMMYFUNCTION("""COMPUTED_VALUE"""),"Cat Epoxy JOTAFLOOR TC RAL 7035 JOTUN")</f>
        <v>Cat Epoxy JOTAFLOOR TC RAL 7035 JOTUN</v>
      </c>
      <c r="F1946" s="6">
        <f>IFERROR(__xludf.DUMMYFUNCTION("""COMPUTED_VALUE"""),5.0)</f>
        <v>5</v>
      </c>
      <c r="G1946" s="6" t="str">
        <f>IFERROR(__xludf.DUMMYFUNCTION("""COMPUTED_VALUE"""),"Kilogram")</f>
        <v>Kilogram</v>
      </c>
      <c r="H1946" s="6" t="str">
        <f>IFERROR(__xludf.DUMMYFUNCTION("""COMPUTED_VALUE"""),"IDR")</f>
        <v>IDR</v>
      </c>
      <c r="I1946" s="6">
        <f>IFERROR(__xludf.DUMMYFUNCTION("""COMPUTED_VALUE"""),191600.0)</f>
        <v>191600</v>
      </c>
      <c r="J1946" s="6">
        <f>IFERROR(__xludf.DUMMYFUNCTION("""COMPUTED_VALUE"""),958000.0)</f>
        <v>958000</v>
      </c>
      <c r="K1946" s="57">
        <f>IFERROR(__xludf.DUMMYFUNCTION("""COMPUTED_VALUE"""),44792.0)</f>
        <v>44792</v>
      </c>
      <c r="L1946" s="6" t="str">
        <f>IFERROR(__xludf.DUMMYFUNCTION("""COMPUTED_VALUE"""),"FIP General")</f>
        <v>FIP General</v>
      </c>
      <c r="M1946" s="6" t="str">
        <f>IFERROR(__xludf.DUMMYFUNCTION("""COMPUTED_VALUE"""),"Irwan Sopian")</f>
        <v>Irwan Sopian</v>
      </c>
      <c r="N1946" s="6" t="str">
        <f>IFERROR(__xludf.DUMMYFUNCTION("""COMPUTED_VALUE"""),"FIP Engineering")</f>
        <v>FIP Engineering</v>
      </c>
      <c r="O1946" s="6" t="str">
        <f>IFERROR(__xludf.DUMMYFUNCTION("""COMPUTED_VALUE"""),"FIP-DOM-ENG-51502-0000000-INA-000000")</f>
        <v>FIP-DOM-ENG-51502-0000000-INA-000000</v>
      </c>
      <c r="P1946" s="6" t="str">
        <f>IFERROR(__xludf.DUMMYFUNCTION("""COMPUTED_VALUE"""),"PO Closed")</f>
        <v>PO Closed</v>
      </c>
      <c r="Q1946" s="6" t="str">
        <f>IFERROR(__xludf.DUMMYFUNCTION("""COMPUTED_VALUE"""),"GL2208314")</f>
        <v>GL2208314</v>
      </c>
      <c r="R1946" s="57">
        <f>IFERROR(__xludf.DUMMYFUNCTION("""COMPUTED_VALUE"""),44768.0)</f>
        <v>44768</v>
      </c>
      <c r="S1946" s="6" t="str">
        <f>IFERROR(__xludf.DUMMYFUNCTION("""COMPUTED_VALUE"""),"-")</f>
        <v>-</v>
      </c>
      <c r="T1946" s="57">
        <f>IFERROR(__xludf.DUMMYFUNCTION("""COMPUTED_VALUE"""),44789.0)</f>
        <v>44789</v>
      </c>
    </row>
    <row r="1947">
      <c r="A1947" s="6" t="str">
        <f>IFERROR(__xludf.DUMMYFUNCTION("""COMPUTED_VALUE"""),"221750350-3")</f>
        <v>221750350-3</v>
      </c>
      <c r="B1947" s="6" t="str">
        <f>IFERROR(__xludf.DUMMYFUNCTION("""COMPUTED_VALUE"""),"221750350 - Approved")</f>
        <v>221750350 - Approved</v>
      </c>
      <c r="C1947" s="6">
        <f>IFERROR(__xludf.DUMMYFUNCTION("""COMPUTED_VALUE"""),3.0)</f>
        <v>3</v>
      </c>
      <c r="D1947" s="6" t="str">
        <f>IFERROR(__xludf.DUMMYFUNCTION("""COMPUTED_VALUE"""),"Q-10911-00")</f>
        <v>Q-10911-00</v>
      </c>
      <c r="E1947" s="6" t="str">
        <f>IFERROR(__xludf.DUMMYFUNCTION("""COMPUTED_VALUE"""),"Cat Epoxy JOTAFLOOR TC SEALER CLEAR JOTUN")</f>
        <v>Cat Epoxy JOTAFLOOR TC SEALER CLEAR JOTUN</v>
      </c>
      <c r="F1947" s="6">
        <f>IFERROR(__xludf.DUMMYFUNCTION("""COMPUTED_VALUE"""),5.0)</f>
        <v>5</v>
      </c>
      <c r="G1947" s="6" t="str">
        <f>IFERROR(__xludf.DUMMYFUNCTION("""COMPUTED_VALUE"""),"Kilogram")</f>
        <v>Kilogram</v>
      </c>
      <c r="H1947" s="6" t="str">
        <f>IFERROR(__xludf.DUMMYFUNCTION("""COMPUTED_VALUE"""),"IDR")</f>
        <v>IDR</v>
      </c>
      <c r="I1947" s="6">
        <f>IFERROR(__xludf.DUMMYFUNCTION("""COMPUTED_VALUE"""),179000.0)</f>
        <v>179000</v>
      </c>
      <c r="J1947" s="6">
        <f>IFERROR(__xludf.DUMMYFUNCTION("""COMPUTED_VALUE"""),895000.0)</f>
        <v>895000</v>
      </c>
      <c r="K1947" s="57">
        <f>IFERROR(__xludf.DUMMYFUNCTION("""COMPUTED_VALUE"""),44792.0)</f>
        <v>44792</v>
      </c>
      <c r="L1947" s="6" t="str">
        <f>IFERROR(__xludf.DUMMYFUNCTION("""COMPUTED_VALUE"""),"FIP General")</f>
        <v>FIP General</v>
      </c>
      <c r="M1947" s="6" t="str">
        <f>IFERROR(__xludf.DUMMYFUNCTION("""COMPUTED_VALUE"""),"Irwan Sopian")</f>
        <v>Irwan Sopian</v>
      </c>
      <c r="N1947" s="6" t="str">
        <f>IFERROR(__xludf.DUMMYFUNCTION("""COMPUTED_VALUE"""),"FIP Engineering")</f>
        <v>FIP Engineering</v>
      </c>
      <c r="O1947" s="6" t="str">
        <f>IFERROR(__xludf.DUMMYFUNCTION("""COMPUTED_VALUE"""),"FIP-DOM-ENG-51502-0000000-INA-000000")</f>
        <v>FIP-DOM-ENG-51502-0000000-INA-000000</v>
      </c>
      <c r="P1947" s="6" t="str">
        <f>IFERROR(__xludf.DUMMYFUNCTION("""COMPUTED_VALUE"""),"PO Closed")</f>
        <v>PO Closed</v>
      </c>
      <c r="Q1947" s="6" t="str">
        <f>IFERROR(__xludf.DUMMYFUNCTION("""COMPUTED_VALUE"""),"GL2208314")</f>
        <v>GL2208314</v>
      </c>
      <c r="R1947" s="57">
        <f>IFERROR(__xludf.DUMMYFUNCTION("""COMPUTED_VALUE"""),44768.0)</f>
        <v>44768</v>
      </c>
      <c r="S1947" s="6" t="str">
        <f>IFERROR(__xludf.DUMMYFUNCTION("""COMPUTED_VALUE"""),"-")</f>
        <v>-</v>
      </c>
      <c r="T1947" s="57">
        <f>IFERROR(__xludf.DUMMYFUNCTION("""COMPUTED_VALUE"""),44789.0)</f>
        <v>44789</v>
      </c>
    </row>
    <row r="1948">
      <c r="A1948" s="6" t="str">
        <f>IFERROR(__xludf.DUMMYFUNCTION("""COMPUTED_VALUE"""),"221750350-4")</f>
        <v>221750350-4</v>
      </c>
      <c r="B1948" s="6" t="str">
        <f>IFERROR(__xludf.DUMMYFUNCTION("""COMPUTED_VALUE"""),"221750350 - Approved")</f>
        <v>221750350 - Approved</v>
      </c>
      <c r="C1948" s="6">
        <f>IFERROR(__xludf.DUMMYFUNCTION("""COMPUTED_VALUE"""),4.0)</f>
        <v>4</v>
      </c>
      <c r="D1948" s="6" t="str">
        <f>IFERROR(__xludf.DUMMYFUNCTION("""COMPUTED_VALUE"""),"Q-10518-00")</f>
        <v>Q-10518-00</v>
      </c>
      <c r="E1948" s="6" t="str">
        <f>IFERROR(__xludf.DUMMYFUNCTION("""COMPUTED_VALUE"""),"Dempul")</f>
        <v>Dempul</v>
      </c>
      <c r="F1948" s="6">
        <f>IFERROR(__xludf.DUMMYFUNCTION("""COMPUTED_VALUE"""),1.0)</f>
        <v>1</v>
      </c>
      <c r="G1948" s="6" t="str">
        <f>IFERROR(__xludf.DUMMYFUNCTION("""COMPUTED_VALUE"""),"Kilogram")</f>
        <v>Kilogram</v>
      </c>
      <c r="H1948" s="6" t="str">
        <f>IFERROR(__xludf.DUMMYFUNCTION("""COMPUTED_VALUE"""),"IDR")</f>
        <v>IDR</v>
      </c>
      <c r="I1948" s="6">
        <f>IFERROR(__xludf.DUMMYFUNCTION("""COMPUTED_VALUE"""),95000.0)</f>
        <v>95000</v>
      </c>
      <c r="J1948" s="6">
        <f>IFERROR(__xludf.DUMMYFUNCTION("""COMPUTED_VALUE"""),95000.0)</f>
        <v>95000</v>
      </c>
      <c r="K1948" s="57">
        <f>IFERROR(__xludf.DUMMYFUNCTION("""COMPUTED_VALUE"""),44792.0)</f>
        <v>44792</v>
      </c>
      <c r="L1948" s="6" t="str">
        <f>IFERROR(__xludf.DUMMYFUNCTION("""COMPUTED_VALUE"""),"FIP General")</f>
        <v>FIP General</v>
      </c>
      <c r="M1948" s="6" t="str">
        <f>IFERROR(__xludf.DUMMYFUNCTION("""COMPUTED_VALUE"""),"Irwan Sopian")</f>
        <v>Irwan Sopian</v>
      </c>
      <c r="N1948" s="6" t="str">
        <f>IFERROR(__xludf.DUMMYFUNCTION("""COMPUTED_VALUE"""),"FIP Engineering")</f>
        <v>FIP Engineering</v>
      </c>
      <c r="O1948" s="6" t="str">
        <f>IFERROR(__xludf.DUMMYFUNCTION("""COMPUTED_VALUE"""),"FIP-DOM-ENG-51502-0000000-INA-000000")</f>
        <v>FIP-DOM-ENG-51502-0000000-INA-000000</v>
      </c>
      <c r="P1948" s="6" t="str">
        <f>IFERROR(__xludf.DUMMYFUNCTION("""COMPUTED_VALUE"""),"PO Closed")</f>
        <v>PO Closed</v>
      </c>
      <c r="Q1948" s="6" t="str">
        <f>IFERROR(__xludf.DUMMYFUNCTION("""COMPUTED_VALUE"""),"GL2208314")</f>
        <v>GL2208314</v>
      </c>
      <c r="R1948" s="57">
        <f>IFERROR(__xludf.DUMMYFUNCTION("""COMPUTED_VALUE"""),44768.0)</f>
        <v>44768</v>
      </c>
      <c r="S1948" s="6" t="str">
        <f>IFERROR(__xludf.DUMMYFUNCTION("""COMPUTED_VALUE"""),"-")</f>
        <v>-</v>
      </c>
      <c r="T1948" s="57">
        <f>IFERROR(__xludf.DUMMYFUNCTION("""COMPUTED_VALUE"""),44789.0)</f>
        <v>44789</v>
      </c>
    </row>
    <row r="1949">
      <c r="A1949" s="6" t="str">
        <f>IFERROR(__xludf.DUMMYFUNCTION("""COMPUTED_VALUE"""),"221750350-5")</f>
        <v>221750350-5</v>
      </c>
      <c r="B1949" s="6" t="str">
        <f>IFERROR(__xludf.DUMMYFUNCTION("""COMPUTED_VALUE"""),"221750350 - Approved")</f>
        <v>221750350 - Approved</v>
      </c>
      <c r="C1949" s="6">
        <f>IFERROR(__xludf.DUMMYFUNCTION("""COMPUTED_VALUE"""),5.0)</f>
        <v>5</v>
      </c>
      <c r="D1949" s="6" t="str">
        <f>IFERROR(__xludf.DUMMYFUNCTION("""COMPUTED_VALUE"""),"Q-10902-00")</f>
        <v>Q-10902-00</v>
      </c>
      <c r="E1949" s="6" t="str">
        <f>IFERROR(__xludf.DUMMYFUNCTION("""COMPUTED_VALUE"""),"GRC Board 9mm")</f>
        <v>GRC Board 9mm</v>
      </c>
      <c r="F1949" s="6">
        <f>IFERROR(__xludf.DUMMYFUNCTION("""COMPUTED_VALUE"""),2.0)</f>
        <v>2</v>
      </c>
      <c r="G1949" s="6" t="str">
        <f>IFERROR(__xludf.DUMMYFUNCTION("""COMPUTED_VALUE"""),"Pieces")</f>
        <v>Pieces</v>
      </c>
      <c r="H1949" s="6" t="str">
        <f>IFERROR(__xludf.DUMMYFUNCTION("""COMPUTED_VALUE"""),"IDR")</f>
        <v>IDR</v>
      </c>
      <c r="I1949" s="6">
        <f>IFERROR(__xludf.DUMMYFUNCTION("""COMPUTED_VALUE"""),95000.0)</f>
        <v>95000</v>
      </c>
      <c r="J1949" s="6">
        <f>IFERROR(__xludf.DUMMYFUNCTION("""COMPUTED_VALUE"""),190000.0)</f>
        <v>190000</v>
      </c>
      <c r="K1949" s="57">
        <f>IFERROR(__xludf.DUMMYFUNCTION("""COMPUTED_VALUE"""),44792.0)</f>
        <v>44792</v>
      </c>
      <c r="L1949" s="6" t="str">
        <f>IFERROR(__xludf.DUMMYFUNCTION("""COMPUTED_VALUE"""),"FIP General")</f>
        <v>FIP General</v>
      </c>
      <c r="M1949" s="6" t="str">
        <f>IFERROR(__xludf.DUMMYFUNCTION("""COMPUTED_VALUE"""),"Irwan Sopian")</f>
        <v>Irwan Sopian</v>
      </c>
      <c r="N1949" s="6" t="str">
        <f>IFERROR(__xludf.DUMMYFUNCTION("""COMPUTED_VALUE"""),"FIP Engineering")</f>
        <v>FIP Engineering</v>
      </c>
      <c r="O1949" s="6" t="str">
        <f>IFERROR(__xludf.DUMMYFUNCTION("""COMPUTED_VALUE"""),"FIP-DOM-ENG-51502-0000000-INA-000000")</f>
        <v>FIP-DOM-ENG-51502-0000000-INA-000000</v>
      </c>
      <c r="P1949" s="6" t="str">
        <f>IFERROR(__xludf.DUMMYFUNCTION("""COMPUTED_VALUE"""),"PO Closed")</f>
        <v>PO Closed</v>
      </c>
      <c r="Q1949" s="6" t="str">
        <f>IFERROR(__xludf.DUMMYFUNCTION("""COMPUTED_VALUE"""),"GL2208314")</f>
        <v>GL2208314</v>
      </c>
      <c r="R1949" s="57">
        <f>IFERROR(__xludf.DUMMYFUNCTION("""COMPUTED_VALUE"""),44768.0)</f>
        <v>44768</v>
      </c>
      <c r="S1949" s="6" t="str">
        <f>IFERROR(__xludf.DUMMYFUNCTION("""COMPUTED_VALUE"""),"-")</f>
        <v>-</v>
      </c>
      <c r="T1949" s="57">
        <f>IFERROR(__xludf.DUMMYFUNCTION("""COMPUTED_VALUE"""),44789.0)</f>
        <v>44789</v>
      </c>
    </row>
    <row r="1950">
      <c r="A1950" s="6" t="str">
        <f>IFERROR(__xludf.DUMMYFUNCTION("""COMPUTED_VALUE"""),"221750350-6")</f>
        <v>221750350-6</v>
      </c>
      <c r="B1950" s="6" t="str">
        <f>IFERROR(__xludf.DUMMYFUNCTION("""COMPUTED_VALUE"""),"221750350 - Approved")</f>
        <v>221750350 - Approved</v>
      </c>
      <c r="C1950" s="6">
        <f>IFERROR(__xludf.DUMMYFUNCTION("""COMPUTED_VALUE"""),6.0)</f>
        <v>6</v>
      </c>
      <c r="D1950" s="6" t="str">
        <f>IFERROR(__xludf.DUMMYFUNCTION("""COMPUTED_VALUE"""),"Q-10900-00")</f>
        <v>Q-10900-00</v>
      </c>
      <c r="E1950" s="6" t="str">
        <f>IFERROR(__xludf.DUMMYFUNCTION("""COMPUTED_VALUE"""),"Skrup Baja Hitam")</f>
        <v>Skrup Baja Hitam</v>
      </c>
      <c r="F1950" s="6">
        <f>IFERROR(__xludf.DUMMYFUNCTION("""COMPUTED_VALUE"""),1.0)</f>
        <v>1</v>
      </c>
      <c r="G1950" s="6" t="str">
        <f>IFERROR(__xludf.DUMMYFUNCTION("""COMPUTED_VALUE"""),"Pack")</f>
        <v>Pack</v>
      </c>
      <c r="H1950" s="6" t="str">
        <f>IFERROR(__xludf.DUMMYFUNCTION("""COMPUTED_VALUE"""),"IDR")</f>
        <v>IDR</v>
      </c>
      <c r="I1950" s="6">
        <f>IFERROR(__xludf.DUMMYFUNCTION("""COMPUTED_VALUE"""),95000.0)</f>
        <v>95000</v>
      </c>
      <c r="J1950" s="6">
        <f>IFERROR(__xludf.DUMMYFUNCTION("""COMPUTED_VALUE"""),95000.0)</f>
        <v>95000</v>
      </c>
      <c r="K1950" s="57">
        <f>IFERROR(__xludf.DUMMYFUNCTION("""COMPUTED_VALUE"""),44792.0)</f>
        <v>44792</v>
      </c>
      <c r="L1950" s="6" t="str">
        <f>IFERROR(__xludf.DUMMYFUNCTION("""COMPUTED_VALUE"""),"FIP Engineering")</f>
        <v>FIP Engineering</v>
      </c>
      <c r="M1950" s="6" t="str">
        <f>IFERROR(__xludf.DUMMYFUNCTION("""COMPUTED_VALUE"""),"Irwan Sopian")</f>
        <v>Irwan Sopian</v>
      </c>
      <c r="N1950" s="6" t="str">
        <f>IFERROR(__xludf.DUMMYFUNCTION("""COMPUTED_VALUE"""),"FIP Engineering")</f>
        <v>FIP Engineering</v>
      </c>
      <c r="O1950" s="6" t="str">
        <f>IFERROR(__xludf.DUMMYFUNCTION("""COMPUTED_VALUE"""),"FIP-DOM-ENG-51502-0000000-INA-000000")</f>
        <v>FIP-DOM-ENG-51502-0000000-INA-000000</v>
      </c>
      <c r="P1950" s="6" t="str">
        <f>IFERROR(__xludf.DUMMYFUNCTION("""COMPUTED_VALUE"""),"PO Closed")</f>
        <v>PO Closed</v>
      </c>
      <c r="Q1950" s="6" t="str">
        <f>IFERROR(__xludf.DUMMYFUNCTION("""COMPUTED_VALUE"""),"GL2208314")</f>
        <v>GL2208314</v>
      </c>
      <c r="R1950" s="57">
        <f>IFERROR(__xludf.DUMMYFUNCTION("""COMPUTED_VALUE"""),44768.0)</f>
        <v>44768</v>
      </c>
      <c r="S1950" s="6" t="str">
        <f>IFERROR(__xludf.DUMMYFUNCTION("""COMPUTED_VALUE"""),"-")</f>
        <v>-</v>
      </c>
      <c r="T1950" s="57">
        <f>IFERROR(__xludf.DUMMYFUNCTION("""COMPUTED_VALUE"""),44789.0)</f>
        <v>44789</v>
      </c>
    </row>
    <row r="1951">
      <c r="A1951" s="6" t="str">
        <f>IFERROR(__xludf.DUMMYFUNCTION("""COMPUTED_VALUE"""),"221750350-7")</f>
        <v>221750350-7</v>
      </c>
      <c r="B1951" s="6" t="str">
        <f>IFERROR(__xludf.DUMMYFUNCTION("""COMPUTED_VALUE"""),"221750350 - Approved")</f>
        <v>221750350 - Approved</v>
      </c>
      <c r="C1951" s="6">
        <f>IFERROR(__xludf.DUMMYFUNCTION("""COMPUTED_VALUE"""),7.0)</f>
        <v>7</v>
      </c>
      <c r="D1951" s="6" t="str">
        <f>IFERROR(__xludf.DUMMYFUNCTION("""COMPUTED_VALUE"""),"Q-10905-00")</f>
        <v>Q-10905-00</v>
      </c>
      <c r="E1951" s="6" t="str">
        <f>IFERROR(__xludf.DUMMYFUNCTION("""COMPUTED_VALUE"""),"Kanal C Galvalum Baja Ringan 0.75")</f>
        <v>Kanal C Galvalum Baja Ringan 0.75</v>
      </c>
      <c r="F1951" s="6">
        <f>IFERROR(__xludf.DUMMYFUNCTION("""COMPUTED_VALUE"""),1.0)</f>
        <v>1</v>
      </c>
      <c r="G1951" s="6" t="str">
        <f>IFERROR(__xludf.DUMMYFUNCTION("""COMPUTED_VALUE"""),"Pieces")</f>
        <v>Pieces</v>
      </c>
      <c r="H1951" s="6" t="str">
        <f>IFERROR(__xludf.DUMMYFUNCTION("""COMPUTED_VALUE"""),"IDR")</f>
        <v>IDR</v>
      </c>
      <c r="I1951" s="6">
        <f>IFERROR(__xludf.DUMMYFUNCTION("""COMPUTED_VALUE"""),122500.0)</f>
        <v>122500</v>
      </c>
      <c r="J1951" s="6">
        <f>IFERROR(__xludf.DUMMYFUNCTION("""COMPUTED_VALUE"""),122500.0)</f>
        <v>122500</v>
      </c>
      <c r="K1951" s="57">
        <f>IFERROR(__xludf.DUMMYFUNCTION("""COMPUTED_VALUE"""),44792.0)</f>
        <v>44792</v>
      </c>
      <c r="L1951" s="6" t="str">
        <f>IFERROR(__xludf.DUMMYFUNCTION("""COMPUTED_VALUE"""),"FIP General")</f>
        <v>FIP General</v>
      </c>
      <c r="M1951" s="6" t="str">
        <f>IFERROR(__xludf.DUMMYFUNCTION("""COMPUTED_VALUE"""),"Irwan Sopian")</f>
        <v>Irwan Sopian</v>
      </c>
      <c r="N1951" s="6" t="str">
        <f>IFERROR(__xludf.DUMMYFUNCTION("""COMPUTED_VALUE"""),"FIP Engineering")</f>
        <v>FIP Engineering</v>
      </c>
      <c r="O1951" s="6" t="str">
        <f>IFERROR(__xludf.DUMMYFUNCTION("""COMPUTED_VALUE"""),"FIP-DOM-ENG-51502-0000000-INA-000000")</f>
        <v>FIP-DOM-ENG-51502-0000000-INA-000000</v>
      </c>
      <c r="P1951" s="6" t="str">
        <f>IFERROR(__xludf.DUMMYFUNCTION("""COMPUTED_VALUE"""),"PO Closed")</f>
        <v>PO Closed</v>
      </c>
      <c r="Q1951" s="6" t="str">
        <f>IFERROR(__xludf.DUMMYFUNCTION("""COMPUTED_VALUE"""),"GL2208314")</f>
        <v>GL2208314</v>
      </c>
      <c r="R1951" s="57">
        <f>IFERROR(__xludf.DUMMYFUNCTION("""COMPUTED_VALUE"""),44768.0)</f>
        <v>44768</v>
      </c>
      <c r="S1951" s="6" t="str">
        <f>IFERROR(__xludf.DUMMYFUNCTION("""COMPUTED_VALUE"""),"-")</f>
        <v>-</v>
      </c>
      <c r="T1951" s="57">
        <f>IFERROR(__xludf.DUMMYFUNCTION("""COMPUTED_VALUE"""),44789.0)</f>
        <v>44789</v>
      </c>
    </row>
    <row r="1952">
      <c r="A1952" s="6" t="str">
        <f>IFERROR(__xludf.DUMMYFUNCTION("""COMPUTED_VALUE"""),"221750350-8")</f>
        <v>221750350-8</v>
      </c>
      <c r="B1952" s="6" t="str">
        <f>IFERROR(__xludf.DUMMYFUNCTION("""COMPUTED_VALUE"""),"221750350 - Approved")</f>
        <v>221750350 - Approved</v>
      </c>
      <c r="C1952" s="6">
        <f>IFERROR(__xludf.DUMMYFUNCTION("""COMPUTED_VALUE"""),8.0)</f>
        <v>8</v>
      </c>
      <c r="D1952" s="6" t="str">
        <f>IFERROR(__xludf.DUMMYFUNCTION("""COMPUTED_VALUE"""),"Q-10904-00")</f>
        <v>Q-10904-00</v>
      </c>
      <c r="E1952" s="6" t="str">
        <f>IFERROR(__xludf.DUMMYFUNCTION("""COMPUTED_VALUE"""),"Handle Pintu Kaca Deksson DK 82801")</f>
        <v>Handle Pintu Kaca Deksson DK 82801</v>
      </c>
      <c r="F1952" s="6">
        <f>IFERROR(__xludf.DUMMYFUNCTION("""COMPUTED_VALUE"""),5.0)</f>
        <v>5</v>
      </c>
      <c r="G1952" s="6" t="str">
        <f>IFERROR(__xludf.DUMMYFUNCTION("""COMPUTED_VALUE"""),"Pieces")</f>
        <v>Pieces</v>
      </c>
      <c r="H1952" s="6" t="str">
        <f>IFERROR(__xludf.DUMMYFUNCTION("""COMPUTED_VALUE"""),"IDR")</f>
        <v>IDR</v>
      </c>
      <c r="I1952" s="6">
        <f>IFERROR(__xludf.DUMMYFUNCTION("""COMPUTED_VALUE"""),91500.0)</f>
        <v>91500</v>
      </c>
      <c r="J1952" s="6">
        <f>IFERROR(__xludf.DUMMYFUNCTION("""COMPUTED_VALUE"""),457500.0)</f>
        <v>457500</v>
      </c>
      <c r="K1952" s="57">
        <f>IFERROR(__xludf.DUMMYFUNCTION("""COMPUTED_VALUE"""),44792.0)</f>
        <v>44792</v>
      </c>
      <c r="L1952" s="6" t="str">
        <f>IFERROR(__xludf.DUMMYFUNCTION("""COMPUTED_VALUE"""),"FIP General")</f>
        <v>FIP General</v>
      </c>
      <c r="M1952" s="6" t="str">
        <f>IFERROR(__xludf.DUMMYFUNCTION("""COMPUTED_VALUE"""),"Irwan Sopian")</f>
        <v>Irwan Sopian</v>
      </c>
      <c r="N1952" s="6" t="str">
        <f>IFERROR(__xludf.DUMMYFUNCTION("""COMPUTED_VALUE"""),"FIP Engineering")</f>
        <v>FIP Engineering</v>
      </c>
      <c r="O1952" s="6" t="str">
        <f>IFERROR(__xludf.DUMMYFUNCTION("""COMPUTED_VALUE"""),"FIP-DOM-ENG-51502-0000000-INA-000000")</f>
        <v>FIP-DOM-ENG-51502-0000000-INA-000000</v>
      </c>
      <c r="P1952" s="6" t="str">
        <f>IFERROR(__xludf.DUMMYFUNCTION("""COMPUTED_VALUE"""),"PO Closed")</f>
        <v>PO Closed</v>
      </c>
      <c r="Q1952" s="6" t="str">
        <f>IFERROR(__xludf.DUMMYFUNCTION("""COMPUTED_VALUE"""),"GL2208314")</f>
        <v>GL2208314</v>
      </c>
      <c r="R1952" s="57">
        <f>IFERROR(__xludf.DUMMYFUNCTION("""COMPUTED_VALUE"""),44768.0)</f>
        <v>44768</v>
      </c>
      <c r="S1952" s="6" t="str">
        <f>IFERROR(__xludf.DUMMYFUNCTION("""COMPUTED_VALUE"""),"-")</f>
        <v>-</v>
      </c>
      <c r="T1952" s="57">
        <f>IFERROR(__xludf.DUMMYFUNCTION("""COMPUTED_VALUE"""),44789.0)</f>
        <v>44789</v>
      </c>
    </row>
    <row r="1953">
      <c r="A1953" s="6" t="str">
        <f>IFERROR(__xludf.DUMMYFUNCTION("""COMPUTED_VALUE"""),"221750350-10")</f>
        <v>221750350-10</v>
      </c>
      <c r="B1953" s="6" t="str">
        <f>IFERROR(__xludf.DUMMYFUNCTION("""COMPUTED_VALUE"""),"221750350 - Approved")</f>
        <v>221750350 - Approved</v>
      </c>
      <c r="C1953" s="6">
        <f>IFERROR(__xludf.DUMMYFUNCTION("""COMPUTED_VALUE"""),10.0)</f>
        <v>10</v>
      </c>
      <c r="D1953" s="6" t="str">
        <f>IFERROR(__xludf.DUMMYFUNCTION("""COMPUTED_VALUE"""),"Q-10475-00")</f>
        <v>Q-10475-00</v>
      </c>
      <c r="E1953" s="6" t="str">
        <f>IFERROR(__xludf.DUMMYFUNCTION("""COMPUTED_VALUE"""),"Cat Tembok")</f>
        <v>Cat Tembok</v>
      </c>
      <c r="F1953" s="6">
        <f>IFERROR(__xludf.DUMMYFUNCTION("""COMPUTED_VALUE"""),2.0)</f>
        <v>2</v>
      </c>
      <c r="G1953" s="6" t="str">
        <f>IFERROR(__xludf.DUMMYFUNCTION("""COMPUTED_VALUE"""),"Can")</f>
        <v>Can</v>
      </c>
      <c r="H1953" s="6" t="str">
        <f>IFERROR(__xludf.DUMMYFUNCTION("""COMPUTED_VALUE"""),"IDR")</f>
        <v>IDR</v>
      </c>
      <c r="I1953" s="6">
        <f>IFERROR(__xludf.DUMMYFUNCTION("""COMPUTED_VALUE"""),935000.0)</f>
        <v>935000</v>
      </c>
      <c r="J1953" s="6">
        <f>IFERROR(__xludf.DUMMYFUNCTION("""COMPUTED_VALUE"""),1870000.0)</f>
        <v>1870000</v>
      </c>
      <c r="K1953" s="57">
        <f>IFERROR(__xludf.DUMMYFUNCTION("""COMPUTED_VALUE"""),44792.0)</f>
        <v>44792</v>
      </c>
      <c r="L1953" s="6" t="str">
        <f>IFERROR(__xludf.DUMMYFUNCTION("""COMPUTED_VALUE"""),"FIP General")</f>
        <v>FIP General</v>
      </c>
      <c r="M1953" s="6" t="str">
        <f>IFERROR(__xludf.DUMMYFUNCTION("""COMPUTED_VALUE"""),"Irwan Sopian")</f>
        <v>Irwan Sopian</v>
      </c>
      <c r="N1953" s="6" t="str">
        <f>IFERROR(__xludf.DUMMYFUNCTION("""COMPUTED_VALUE"""),"FIP Engineering")</f>
        <v>FIP Engineering</v>
      </c>
      <c r="O1953" s="6" t="str">
        <f>IFERROR(__xludf.DUMMYFUNCTION("""COMPUTED_VALUE"""),"FIP-DOM-ENG-51502-0000000-INA-000000")</f>
        <v>FIP-DOM-ENG-51502-0000000-INA-000000</v>
      </c>
      <c r="P1953" s="6" t="str">
        <f>IFERROR(__xludf.DUMMYFUNCTION("""COMPUTED_VALUE"""),"PO Closed")</f>
        <v>PO Closed</v>
      </c>
      <c r="Q1953" s="6" t="str">
        <f>IFERROR(__xludf.DUMMYFUNCTION("""COMPUTED_VALUE"""),"GL2208314")</f>
        <v>GL2208314</v>
      </c>
      <c r="R1953" s="57">
        <f>IFERROR(__xludf.DUMMYFUNCTION("""COMPUTED_VALUE"""),44768.0)</f>
        <v>44768</v>
      </c>
      <c r="S1953" s="6" t="str">
        <f>IFERROR(__xludf.DUMMYFUNCTION("""COMPUTED_VALUE"""),"-")</f>
        <v>-</v>
      </c>
      <c r="T1953" s="57">
        <f>IFERROR(__xludf.DUMMYFUNCTION("""COMPUTED_VALUE"""),44789.0)</f>
        <v>44789</v>
      </c>
    </row>
    <row r="1954">
      <c r="A1954" s="6" t="str">
        <f>IFERROR(__xludf.DUMMYFUNCTION("""COMPUTED_VALUE"""),"221750350-11")</f>
        <v>221750350-11</v>
      </c>
      <c r="B1954" s="6" t="str">
        <f>IFERROR(__xludf.DUMMYFUNCTION("""COMPUTED_VALUE"""),"221750350 - Approved")</f>
        <v>221750350 - Approved</v>
      </c>
      <c r="C1954" s="6">
        <f>IFERROR(__xludf.DUMMYFUNCTION("""COMPUTED_VALUE"""),11.0)</f>
        <v>11</v>
      </c>
      <c r="D1954" s="6" t="str">
        <f>IFERROR(__xludf.DUMMYFUNCTION("""COMPUTED_VALUE"""),"Q-10475-00")</f>
        <v>Q-10475-00</v>
      </c>
      <c r="E1954" s="6" t="str">
        <f>IFERROR(__xludf.DUMMYFUNCTION("""COMPUTED_VALUE"""),"Cat Tembok")</f>
        <v>Cat Tembok</v>
      </c>
      <c r="F1954" s="6">
        <f>IFERROR(__xludf.DUMMYFUNCTION("""COMPUTED_VALUE"""),1.0)</f>
        <v>1</v>
      </c>
      <c r="G1954" s="6" t="str">
        <f>IFERROR(__xludf.DUMMYFUNCTION("""COMPUTED_VALUE"""),"Can")</f>
        <v>Can</v>
      </c>
      <c r="H1954" s="6" t="str">
        <f>IFERROR(__xludf.DUMMYFUNCTION("""COMPUTED_VALUE"""),"IDR")</f>
        <v>IDR</v>
      </c>
      <c r="I1954" s="6">
        <f>IFERROR(__xludf.DUMMYFUNCTION("""COMPUTED_VALUE"""),2382000.0)</f>
        <v>2382000</v>
      </c>
      <c r="J1954" s="6">
        <f>IFERROR(__xludf.DUMMYFUNCTION("""COMPUTED_VALUE"""),2382000.0)</f>
        <v>2382000</v>
      </c>
      <c r="K1954" s="57">
        <f>IFERROR(__xludf.DUMMYFUNCTION("""COMPUTED_VALUE"""),44792.0)</f>
        <v>44792</v>
      </c>
      <c r="L1954" s="6" t="str">
        <f>IFERROR(__xludf.DUMMYFUNCTION("""COMPUTED_VALUE"""),"FIP General")</f>
        <v>FIP General</v>
      </c>
      <c r="M1954" s="6" t="str">
        <f>IFERROR(__xludf.DUMMYFUNCTION("""COMPUTED_VALUE"""),"Irwan Sopian")</f>
        <v>Irwan Sopian</v>
      </c>
      <c r="N1954" s="6" t="str">
        <f>IFERROR(__xludf.DUMMYFUNCTION("""COMPUTED_VALUE"""),"FIP Engineering")</f>
        <v>FIP Engineering</v>
      </c>
      <c r="O1954" s="6" t="str">
        <f>IFERROR(__xludf.DUMMYFUNCTION("""COMPUTED_VALUE"""),"FIP-DOM-ENG-51502-0000000-INA-000000")</f>
        <v>FIP-DOM-ENG-51502-0000000-INA-000000</v>
      </c>
      <c r="P1954" s="6" t="str">
        <f>IFERROR(__xludf.DUMMYFUNCTION("""COMPUTED_VALUE"""),"PO Closed")</f>
        <v>PO Closed</v>
      </c>
      <c r="Q1954" s="6" t="str">
        <f>IFERROR(__xludf.DUMMYFUNCTION("""COMPUTED_VALUE"""),"GL2208314")</f>
        <v>GL2208314</v>
      </c>
      <c r="R1954" s="57">
        <f>IFERROR(__xludf.DUMMYFUNCTION("""COMPUTED_VALUE"""),44768.0)</f>
        <v>44768</v>
      </c>
      <c r="S1954" s="6" t="str">
        <f>IFERROR(__xludf.DUMMYFUNCTION("""COMPUTED_VALUE"""),"-")</f>
        <v>-</v>
      </c>
      <c r="T1954" s="57">
        <f>IFERROR(__xludf.DUMMYFUNCTION("""COMPUTED_VALUE"""),44789.0)</f>
        <v>44789</v>
      </c>
    </row>
    <row r="1955">
      <c r="A1955" s="6" t="str">
        <f>IFERROR(__xludf.DUMMYFUNCTION("""COMPUTED_VALUE"""),"221750350-12")</f>
        <v>221750350-12</v>
      </c>
      <c r="B1955" s="6" t="str">
        <f>IFERROR(__xludf.DUMMYFUNCTION("""COMPUTED_VALUE"""),"221750350 - Approved")</f>
        <v>221750350 - Approved</v>
      </c>
      <c r="C1955" s="6">
        <f>IFERROR(__xludf.DUMMYFUNCTION("""COMPUTED_VALUE"""),12.0)</f>
        <v>12</v>
      </c>
      <c r="D1955" s="6" t="str">
        <f>IFERROR(__xludf.DUMMYFUNCTION("""COMPUTED_VALUE"""),"Q-10901-00")</f>
        <v>Q-10901-00</v>
      </c>
      <c r="E1955" s="6" t="str">
        <f>IFERROR(__xludf.DUMMYFUNCTION("""COMPUTED_VALUE"""),"Lem Fox Kayu Putih")</f>
        <v>Lem Fox Kayu Putih</v>
      </c>
      <c r="F1955" s="6">
        <f>IFERROR(__xludf.DUMMYFUNCTION("""COMPUTED_VALUE"""),5.0)</f>
        <v>5</v>
      </c>
      <c r="G1955" s="6" t="str">
        <f>IFERROR(__xludf.DUMMYFUNCTION("""COMPUTED_VALUE"""),"Pieces")</f>
        <v>Pieces</v>
      </c>
      <c r="H1955" s="6" t="str">
        <f>IFERROR(__xludf.DUMMYFUNCTION("""COMPUTED_VALUE"""),"IDR")</f>
        <v>IDR</v>
      </c>
      <c r="I1955" s="6">
        <f>IFERROR(__xludf.DUMMYFUNCTION("""COMPUTED_VALUE"""),42500.0)</f>
        <v>42500</v>
      </c>
      <c r="J1955" s="6">
        <f>IFERROR(__xludf.DUMMYFUNCTION("""COMPUTED_VALUE"""),212500.0)</f>
        <v>212500</v>
      </c>
      <c r="K1955" s="57">
        <f>IFERROR(__xludf.DUMMYFUNCTION("""COMPUTED_VALUE"""),44792.0)</f>
        <v>44792</v>
      </c>
      <c r="L1955" s="6" t="str">
        <f>IFERROR(__xludf.DUMMYFUNCTION("""COMPUTED_VALUE"""),"FIP General")</f>
        <v>FIP General</v>
      </c>
      <c r="M1955" s="6" t="str">
        <f>IFERROR(__xludf.DUMMYFUNCTION("""COMPUTED_VALUE"""),"Irwan Sopian")</f>
        <v>Irwan Sopian</v>
      </c>
      <c r="N1955" s="6" t="str">
        <f>IFERROR(__xludf.DUMMYFUNCTION("""COMPUTED_VALUE"""),"FIP Engineering")</f>
        <v>FIP Engineering</v>
      </c>
      <c r="O1955" s="6" t="str">
        <f>IFERROR(__xludf.DUMMYFUNCTION("""COMPUTED_VALUE"""),"FIP-DOM-ENG-51502-0000000-INA-000000")</f>
        <v>FIP-DOM-ENG-51502-0000000-INA-000000</v>
      </c>
      <c r="P1955" s="6" t="str">
        <f>IFERROR(__xludf.DUMMYFUNCTION("""COMPUTED_VALUE"""),"PO Closed")</f>
        <v>PO Closed</v>
      </c>
      <c r="Q1955" s="6" t="str">
        <f>IFERROR(__xludf.DUMMYFUNCTION("""COMPUTED_VALUE"""),"GL2208314")</f>
        <v>GL2208314</v>
      </c>
      <c r="R1955" s="57">
        <f>IFERROR(__xludf.DUMMYFUNCTION("""COMPUTED_VALUE"""),44768.0)</f>
        <v>44768</v>
      </c>
      <c r="S1955" s="6" t="str">
        <f>IFERROR(__xludf.DUMMYFUNCTION("""COMPUTED_VALUE"""),"-")</f>
        <v>-</v>
      </c>
      <c r="T1955" s="57">
        <f>IFERROR(__xludf.DUMMYFUNCTION("""COMPUTED_VALUE"""),44789.0)</f>
        <v>44789</v>
      </c>
    </row>
    <row r="1956">
      <c r="A1956" s="6" t="str">
        <f>IFERROR(__xludf.DUMMYFUNCTION("""COMPUTED_VALUE"""),"221750350-13")</f>
        <v>221750350-13</v>
      </c>
      <c r="B1956" s="6" t="str">
        <f>IFERROR(__xludf.DUMMYFUNCTION("""COMPUTED_VALUE"""),"221750350 - Approved")</f>
        <v>221750350 - Approved</v>
      </c>
      <c r="C1956" s="6">
        <f>IFERROR(__xludf.DUMMYFUNCTION("""COMPUTED_VALUE"""),13.0)</f>
        <v>13</v>
      </c>
      <c r="D1956" s="6" t="str">
        <f>IFERROR(__xludf.DUMMYFUNCTION("""COMPUTED_VALUE"""),"P-11974-00")</f>
        <v>P-11974-00</v>
      </c>
      <c r="E1956" s="6" t="str">
        <f>IFERROR(__xludf.DUMMYFUNCTION("""COMPUTED_VALUE"""),"Besi siku SS 304 40x40x3x6000")</f>
        <v>Besi siku SS 304 40x40x3x6000</v>
      </c>
      <c r="F1956" s="6">
        <f>IFERROR(__xludf.DUMMYFUNCTION("""COMPUTED_VALUE"""),1.0)</f>
        <v>1</v>
      </c>
      <c r="G1956" s="6" t="str">
        <f>IFERROR(__xludf.DUMMYFUNCTION("""COMPUTED_VALUE"""),"Pieces")</f>
        <v>Pieces</v>
      </c>
      <c r="H1956" s="6" t="str">
        <f>IFERROR(__xludf.DUMMYFUNCTION("""COMPUTED_VALUE"""),"IDR")</f>
        <v>IDR</v>
      </c>
      <c r="I1956" s="6">
        <f>IFERROR(__xludf.DUMMYFUNCTION("""COMPUTED_VALUE"""),1500000.0)</f>
        <v>1500000</v>
      </c>
      <c r="J1956" s="6">
        <f>IFERROR(__xludf.DUMMYFUNCTION("""COMPUTED_VALUE"""),1500000.0)</f>
        <v>1500000</v>
      </c>
      <c r="K1956" s="57">
        <f>IFERROR(__xludf.DUMMYFUNCTION("""COMPUTED_VALUE"""),44792.0)</f>
        <v>44792</v>
      </c>
      <c r="L1956" s="6" t="str">
        <f>IFERROR(__xludf.DUMMYFUNCTION("""COMPUTED_VALUE"""),"FIP General")</f>
        <v>FIP General</v>
      </c>
      <c r="M1956" s="6" t="str">
        <f>IFERROR(__xludf.DUMMYFUNCTION("""COMPUTED_VALUE"""),"Irwan Sopian")</f>
        <v>Irwan Sopian</v>
      </c>
      <c r="N1956" s="6" t="str">
        <f>IFERROR(__xludf.DUMMYFUNCTION("""COMPUTED_VALUE"""),"FIP Engineering")</f>
        <v>FIP Engineering</v>
      </c>
      <c r="O1956" s="6" t="str">
        <f>IFERROR(__xludf.DUMMYFUNCTION("""COMPUTED_VALUE"""),"FIP-DOM-ENG-51404-0000000-INA-000000")</f>
        <v>FIP-DOM-ENG-51404-0000000-INA-000000</v>
      </c>
      <c r="P1956" s="6" t="str">
        <f>IFERROR(__xludf.DUMMYFUNCTION("""COMPUTED_VALUE"""),"PO Closed")</f>
        <v>PO Closed</v>
      </c>
      <c r="Q1956" s="6" t="str">
        <f>IFERROR(__xludf.DUMMYFUNCTION("""COMPUTED_VALUE"""),"GL2208004")</f>
        <v>GL2208004</v>
      </c>
      <c r="R1956" s="57">
        <f>IFERROR(__xludf.DUMMYFUNCTION("""COMPUTED_VALUE"""),44768.0)</f>
        <v>44768</v>
      </c>
      <c r="S1956" s="6" t="str">
        <f>IFERROR(__xludf.DUMMYFUNCTION("""COMPUTED_VALUE"""),"-")</f>
        <v>-</v>
      </c>
      <c r="T1956" s="57">
        <f>IFERROR(__xludf.DUMMYFUNCTION("""COMPUTED_VALUE"""),44798.0)</f>
        <v>44798</v>
      </c>
    </row>
    <row r="1957">
      <c r="A1957" s="6" t="str">
        <f>IFERROR(__xludf.DUMMYFUNCTION("""COMPUTED_VALUE"""),"221750350-14")</f>
        <v>221750350-14</v>
      </c>
      <c r="B1957" s="6" t="str">
        <f>IFERROR(__xludf.DUMMYFUNCTION("""COMPUTED_VALUE"""),"221750350 - Approved")</f>
        <v>221750350 - Approved</v>
      </c>
      <c r="C1957" s="6">
        <f>IFERROR(__xludf.DUMMYFUNCTION("""COMPUTED_VALUE"""),14.0)</f>
        <v>14</v>
      </c>
      <c r="D1957" s="6" t="str">
        <f>IFERROR(__xludf.DUMMYFUNCTION("""COMPUTED_VALUE"""),"Q-10154-00")</f>
        <v>Q-10154-00</v>
      </c>
      <c r="E1957" s="6" t="str">
        <f>IFERROR(__xludf.DUMMYFUNCTION("""COMPUTED_VALUE"""),"Roller cat 230mm")</f>
        <v>Roller cat 230mm</v>
      </c>
      <c r="F1957" s="6">
        <f>IFERROR(__xludf.DUMMYFUNCTION("""COMPUTED_VALUE"""),10.0)</f>
        <v>10</v>
      </c>
      <c r="G1957" s="6" t="str">
        <f>IFERROR(__xludf.DUMMYFUNCTION("""COMPUTED_VALUE"""),"Pieces")</f>
        <v>Pieces</v>
      </c>
      <c r="H1957" s="6" t="str">
        <f>IFERROR(__xludf.DUMMYFUNCTION("""COMPUTED_VALUE"""),"IDR")</f>
        <v>IDR</v>
      </c>
      <c r="I1957" s="6">
        <f>IFERROR(__xludf.DUMMYFUNCTION("""COMPUTED_VALUE"""),25000.0)</f>
        <v>25000</v>
      </c>
      <c r="J1957" s="6">
        <f>IFERROR(__xludf.DUMMYFUNCTION("""COMPUTED_VALUE"""),250000.0)</f>
        <v>250000</v>
      </c>
      <c r="K1957" s="57">
        <f>IFERROR(__xludf.DUMMYFUNCTION("""COMPUTED_VALUE"""),44792.0)</f>
        <v>44792</v>
      </c>
      <c r="L1957" s="6" t="str">
        <f>IFERROR(__xludf.DUMMYFUNCTION("""COMPUTED_VALUE"""),"FIP Engineering")</f>
        <v>FIP Engineering</v>
      </c>
      <c r="M1957" s="6" t="str">
        <f>IFERROR(__xludf.DUMMYFUNCTION("""COMPUTED_VALUE"""),"Irwan Sopian")</f>
        <v>Irwan Sopian</v>
      </c>
      <c r="N1957" s="6" t="str">
        <f>IFERROR(__xludf.DUMMYFUNCTION("""COMPUTED_VALUE"""),"FIP Engineering")</f>
        <v>FIP Engineering</v>
      </c>
      <c r="O1957" s="6" t="str">
        <f>IFERROR(__xludf.DUMMYFUNCTION("""COMPUTED_VALUE"""),"FIP-DOM-000-11304-OS00001-INA-000000")</f>
        <v>FIP-DOM-000-11304-OS00001-INA-000000</v>
      </c>
      <c r="P1957" s="6" t="str">
        <f>IFERROR(__xludf.DUMMYFUNCTION("""COMPUTED_VALUE"""),"PO Closed")</f>
        <v>PO Closed</v>
      </c>
      <c r="Q1957" s="6" t="str">
        <f>IFERROR(__xludf.DUMMYFUNCTION("""COMPUTED_VALUE"""),"GL2208314")</f>
        <v>GL2208314</v>
      </c>
      <c r="R1957" s="57">
        <f>IFERROR(__xludf.DUMMYFUNCTION("""COMPUTED_VALUE"""),44768.0)</f>
        <v>44768</v>
      </c>
      <c r="S1957" s="6" t="str">
        <f>IFERROR(__xludf.DUMMYFUNCTION("""COMPUTED_VALUE"""),"-")</f>
        <v>-</v>
      </c>
      <c r="T1957" s="57">
        <f>IFERROR(__xludf.DUMMYFUNCTION("""COMPUTED_VALUE"""),44789.0)</f>
        <v>44789</v>
      </c>
    </row>
    <row r="1958">
      <c r="A1958" s="6" t="str">
        <f>IFERROR(__xludf.DUMMYFUNCTION("""COMPUTED_VALUE"""),"221750350-15")</f>
        <v>221750350-15</v>
      </c>
      <c r="B1958" s="6" t="str">
        <f>IFERROR(__xludf.DUMMYFUNCTION("""COMPUTED_VALUE"""),"221750350 - Approved")</f>
        <v>221750350 - Approved</v>
      </c>
      <c r="C1958" s="6">
        <f>IFERROR(__xludf.DUMMYFUNCTION("""COMPUTED_VALUE"""),15.0)</f>
        <v>15</v>
      </c>
      <c r="D1958" s="6" t="str">
        <f>IFERROR(__xludf.DUMMYFUNCTION("""COMPUTED_VALUE"""),"Q-10153-00")</f>
        <v>Q-10153-00</v>
      </c>
      <c r="E1958" s="6" t="str">
        <f>IFERROR(__xludf.DUMMYFUNCTION("""COMPUTED_VALUE"""),"Roller cat 110mm")</f>
        <v>Roller cat 110mm</v>
      </c>
      <c r="F1958" s="6">
        <f>IFERROR(__xludf.DUMMYFUNCTION("""COMPUTED_VALUE"""),20.0)</f>
        <v>20</v>
      </c>
      <c r="G1958" s="6" t="str">
        <f>IFERROR(__xludf.DUMMYFUNCTION("""COMPUTED_VALUE"""),"Pieces")</f>
        <v>Pieces</v>
      </c>
      <c r="H1958" s="6" t="str">
        <f>IFERROR(__xludf.DUMMYFUNCTION("""COMPUTED_VALUE"""),"IDR")</f>
        <v>IDR</v>
      </c>
      <c r="I1958" s="6">
        <f>IFERROR(__xludf.DUMMYFUNCTION("""COMPUTED_VALUE"""),12000.0)</f>
        <v>12000</v>
      </c>
      <c r="J1958" s="6">
        <f>IFERROR(__xludf.DUMMYFUNCTION("""COMPUTED_VALUE"""),240000.0)</f>
        <v>240000</v>
      </c>
      <c r="K1958" s="57">
        <f>IFERROR(__xludf.DUMMYFUNCTION("""COMPUTED_VALUE"""),44792.0)</f>
        <v>44792</v>
      </c>
      <c r="L1958" s="6" t="str">
        <f>IFERROR(__xludf.DUMMYFUNCTION("""COMPUTED_VALUE"""),"FIP Engineering")</f>
        <v>FIP Engineering</v>
      </c>
      <c r="M1958" s="6" t="str">
        <f>IFERROR(__xludf.DUMMYFUNCTION("""COMPUTED_VALUE"""),"Irwan Sopian")</f>
        <v>Irwan Sopian</v>
      </c>
      <c r="N1958" s="6" t="str">
        <f>IFERROR(__xludf.DUMMYFUNCTION("""COMPUTED_VALUE"""),"FIP Engineering")</f>
        <v>FIP Engineering</v>
      </c>
      <c r="O1958" s="6" t="str">
        <f>IFERROR(__xludf.DUMMYFUNCTION("""COMPUTED_VALUE"""),"FIP-DOM-000-11304-OS00001-INA-000000")</f>
        <v>FIP-DOM-000-11304-OS00001-INA-000000</v>
      </c>
      <c r="P1958" s="6" t="str">
        <f>IFERROR(__xludf.DUMMYFUNCTION("""COMPUTED_VALUE"""),"PO Closed")</f>
        <v>PO Closed</v>
      </c>
      <c r="Q1958" s="6" t="str">
        <f>IFERROR(__xludf.DUMMYFUNCTION("""COMPUTED_VALUE"""),"GL2208314")</f>
        <v>GL2208314</v>
      </c>
      <c r="R1958" s="57">
        <f>IFERROR(__xludf.DUMMYFUNCTION("""COMPUTED_VALUE"""),44768.0)</f>
        <v>44768</v>
      </c>
      <c r="S1958" s="6" t="str">
        <f>IFERROR(__xludf.DUMMYFUNCTION("""COMPUTED_VALUE"""),"-")</f>
        <v>-</v>
      </c>
      <c r="T1958" s="57">
        <f>IFERROR(__xludf.DUMMYFUNCTION("""COMPUTED_VALUE"""),44789.0)</f>
        <v>44789</v>
      </c>
    </row>
    <row r="1959">
      <c r="A1959" s="6" t="str">
        <f>IFERROR(__xludf.DUMMYFUNCTION("""COMPUTED_VALUE"""),"221750350-16")</f>
        <v>221750350-16</v>
      </c>
      <c r="B1959" s="6" t="str">
        <f>IFERROR(__xludf.DUMMYFUNCTION("""COMPUTED_VALUE"""),"221750350 - Approved")</f>
        <v>221750350 - Approved</v>
      </c>
      <c r="C1959" s="6">
        <f>IFERROR(__xludf.DUMMYFUNCTION("""COMPUTED_VALUE"""),16.0)</f>
        <v>16</v>
      </c>
      <c r="D1959" s="6" t="str">
        <f>IFERROR(__xludf.DUMMYFUNCTION("""COMPUTED_VALUE"""),"Q-10379-00")</f>
        <v>Q-10379-00</v>
      </c>
      <c r="E1959" s="6" t="str">
        <f>IFERROR(__xludf.DUMMYFUNCTION("""COMPUTED_VALUE"""),"Bak Cat")</f>
        <v>Bak Cat</v>
      </c>
      <c r="F1959" s="6">
        <f>IFERROR(__xludf.DUMMYFUNCTION("""COMPUTED_VALUE"""),11.0)</f>
        <v>11</v>
      </c>
      <c r="G1959" s="6" t="str">
        <f>IFERROR(__xludf.DUMMYFUNCTION("""COMPUTED_VALUE"""),"Pieces")</f>
        <v>Pieces</v>
      </c>
      <c r="H1959" s="6" t="str">
        <f>IFERROR(__xludf.DUMMYFUNCTION("""COMPUTED_VALUE"""),"IDR")</f>
        <v>IDR</v>
      </c>
      <c r="I1959" s="6">
        <f>IFERROR(__xludf.DUMMYFUNCTION("""COMPUTED_VALUE"""),18000.0)</f>
        <v>18000</v>
      </c>
      <c r="J1959" s="6">
        <f>IFERROR(__xludf.DUMMYFUNCTION("""COMPUTED_VALUE"""),198000.0)</f>
        <v>198000</v>
      </c>
      <c r="K1959" s="57">
        <f>IFERROR(__xludf.DUMMYFUNCTION("""COMPUTED_VALUE"""),44792.0)</f>
        <v>44792</v>
      </c>
      <c r="L1959" s="6" t="str">
        <f>IFERROR(__xludf.DUMMYFUNCTION("""COMPUTED_VALUE"""),"FIP General")</f>
        <v>FIP General</v>
      </c>
      <c r="M1959" s="6" t="str">
        <f>IFERROR(__xludf.DUMMYFUNCTION("""COMPUTED_VALUE"""),"Irwan Sopian")</f>
        <v>Irwan Sopian</v>
      </c>
      <c r="N1959" s="6" t="str">
        <f>IFERROR(__xludf.DUMMYFUNCTION("""COMPUTED_VALUE"""),"FIP Engineering")</f>
        <v>FIP Engineering</v>
      </c>
      <c r="O1959" s="6" t="str">
        <f>IFERROR(__xludf.DUMMYFUNCTION("""COMPUTED_VALUE"""),"FIP-DOM-ENG-51502-0000000-INA-000000")</f>
        <v>FIP-DOM-ENG-51502-0000000-INA-000000</v>
      </c>
      <c r="P1959" s="6" t="str">
        <f>IFERROR(__xludf.DUMMYFUNCTION("""COMPUTED_VALUE"""),"PO Closed")</f>
        <v>PO Closed</v>
      </c>
      <c r="Q1959" s="6" t="str">
        <f>IFERROR(__xludf.DUMMYFUNCTION("""COMPUTED_VALUE"""),"GL2208314")</f>
        <v>GL2208314</v>
      </c>
      <c r="R1959" s="57">
        <f>IFERROR(__xludf.DUMMYFUNCTION("""COMPUTED_VALUE"""),44768.0)</f>
        <v>44768</v>
      </c>
      <c r="S1959" s="6" t="str">
        <f>IFERROR(__xludf.DUMMYFUNCTION("""COMPUTED_VALUE"""),"-")</f>
        <v>-</v>
      </c>
      <c r="T1959" s="57">
        <f>IFERROR(__xludf.DUMMYFUNCTION("""COMPUTED_VALUE"""),44789.0)</f>
        <v>44789</v>
      </c>
    </row>
    <row r="1960">
      <c r="A1960" s="6" t="str">
        <f>IFERROR(__xludf.DUMMYFUNCTION("""COMPUTED_VALUE"""),"221750350-17")</f>
        <v>221750350-17</v>
      </c>
      <c r="B1960" s="6" t="str">
        <f>IFERROR(__xludf.DUMMYFUNCTION("""COMPUTED_VALUE"""),"221750350 - Approved")</f>
        <v>221750350 - Approved</v>
      </c>
      <c r="C1960" s="6">
        <f>IFERROR(__xludf.DUMMYFUNCTION("""COMPUTED_VALUE"""),17.0)</f>
        <v>17</v>
      </c>
      <c r="D1960" s="6" t="str">
        <f>IFERROR(__xludf.DUMMYFUNCTION("""COMPUTED_VALUE"""),"Q-10903-00")</f>
        <v>Q-10903-00</v>
      </c>
      <c r="E1960" s="6" t="str">
        <f>IFERROR(__xludf.DUMMYFUNCTION("""COMPUTED_VALUE"""),"Lem Wall Papper BOSTIK")</f>
        <v>Lem Wall Papper BOSTIK</v>
      </c>
      <c r="F1960" s="6">
        <f>IFERROR(__xludf.DUMMYFUNCTION("""COMPUTED_VALUE"""),1.0)</f>
        <v>1</v>
      </c>
      <c r="G1960" s="6" t="str">
        <f>IFERROR(__xludf.DUMMYFUNCTION("""COMPUTED_VALUE"""),"Pieces")</f>
        <v>Pieces</v>
      </c>
      <c r="H1960" s="6" t="str">
        <f>IFERROR(__xludf.DUMMYFUNCTION("""COMPUTED_VALUE"""),"IDR")</f>
        <v>IDR</v>
      </c>
      <c r="I1960" s="6">
        <f>IFERROR(__xludf.DUMMYFUNCTION("""COMPUTED_VALUE"""),37500.0)</f>
        <v>37500</v>
      </c>
      <c r="J1960" s="6">
        <f>IFERROR(__xludf.DUMMYFUNCTION("""COMPUTED_VALUE"""),37500.0)</f>
        <v>37500</v>
      </c>
      <c r="K1960" s="57">
        <f>IFERROR(__xludf.DUMMYFUNCTION("""COMPUTED_VALUE"""),44792.0)</f>
        <v>44792</v>
      </c>
      <c r="L1960" s="6" t="str">
        <f>IFERROR(__xludf.DUMMYFUNCTION("""COMPUTED_VALUE"""),"FIP General")</f>
        <v>FIP General</v>
      </c>
      <c r="M1960" s="6" t="str">
        <f>IFERROR(__xludf.DUMMYFUNCTION("""COMPUTED_VALUE"""),"Irwan Sopian")</f>
        <v>Irwan Sopian</v>
      </c>
      <c r="N1960" s="6" t="str">
        <f>IFERROR(__xludf.DUMMYFUNCTION("""COMPUTED_VALUE"""),"FIP Engineering")</f>
        <v>FIP Engineering</v>
      </c>
      <c r="O1960" s="6" t="str">
        <f>IFERROR(__xludf.DUMMYFUNCTION("""COMPUTED_VALUE"""),"FIP-DOM-ENG-51502-0000000-INA-000000")</f>
        <v>FIP-DOM-ENG-51502-0000000-INA-000000</v>
      </c>
      <c r="P1960" s="6" t="str">
        <f>IFERROR(__xludf.DUMMYFUNCTION("""COMPUTED_VALUE"""),"PO Closed")</f>
        <v>PO Closed</v>
      </c>
      <c r="Q1960" s="6" t="str">
        <f>IFERROR(__xludf.DUMMYFUNCTION("""COMPUTED_VALUE"""),"GL2208314")</f>
        <v>GL2208314</v>
      </c>
      <c r="R1960" s="57">
        <f>IFERROR(__xludf.DUMMYFUNCTION("""COMPUTED_VALUE"""),44768.0)</f>
        <v>44768</v>
      </c>
      <c r="S1960" s="6" t="str">
        <f>IFERROR(__xludf.DUMMYFUNCTION("""COMPUTED_VALUE"""),"-")</f>
        <v>-</v>
      </c>
      <c r="T1960" s="57">
        <f>IFERROR(__xludf.DUMMYFUNCTION("""COMPUTED_VALUE"""),44789.0)</f>
        <v>44789</v>
      </c>
    </row>
    <row r="1961">
      <c r="A1961" s="6" t="str">
        <f>IFERROR(__xludf.DUMMYFUNCTION("""COMPUTED_VALUE"""),"221750350-17")</f>
        <v>221750350-17</v>
      </c>
      <c r="B1961" s="6" t="str">
        <f>IFERROR(__xludf.DUMMYFUNCTION("""COMPUTED_VALUE"""),"221750350 - Approved")</f>
        <v>221750350 - Approved</v>
      </c>
      <c r="C1961" s="6">
        <f>IFERROR(__xludf.DUMMYFUNCTION("""COMPUTED_VALUE"""),17.0)</f>
        <v>17</v>
      </c>
      <c r="D1961" s="6" t="str">
        <f>IFERROR(__xludf.DUMMYFUNCTION("""COMPUTED_VALUE"""),"Q-60003-00")</f>
        <v>Q-60003-00</v>
      </c>
      <c r="E1961" s="6" t="str">
        <f>IFERROR(__xludf.DUMMYFUNCTION("""COMPUTED_VALUE"""),"Plakband Kertas")</f>
        <v>Plakband Kertas</v>
      </c>
      <c r="F1961" s="6">
        <f>IFERROR(__xludf.DUMMYFUNCTION("""COMPUTED_VALUE"""),15.0)</f>
        <v>15</v>
      </c>
      <c r="G1961" s="6" t="str">
        <f>IFERROR(__xludf.DUMMYFUNCTION("""COMPUTED_VALUE"""),"Roll")</f>
        <v>Roll</v>
      </c>
      <c r="H1961" s="6" t="str">
        <f>IFERROR(__xludf.DUMMYFUNCTION("""COMPUTED_VALUE"""),"IDR")</f>
        <v>IDR</v>
      </c>
      <c r="I1961" s="6">
        <f>IFERROR(__xludf.DUMMYFUNCTION("""COMPUTED_VALUE"""),8500.0)</f>
        <v>8500</v>
      </c>
      <c r="J1961" s="6">
        <f>IFERROR(__xludf.DUMMYFUNCTION("""COMPUTED_VALUE"""),127500.0)</f>
        <v>127500</v>
      </c>
      <c r="K1961" s="57">
        <f>IFERROR(__xludf.DUMMYFUNCTION("""COMPUTED_VALUE"""),44792.0)</f>
        <v>44792</v>
      </c>
      <c r="L1961" s="6" t="str">
        <f>IFERROR(__xludf.DUMMYFUNCTION("""COMPUTED_VALUE"""),"FIP Engineering")</f>
        <v>FIP Engineering</v>
      </c>
      <c r="M1961" s="6" t="str">
        <f>IFERROR(__xludf.DUMMYFUNCTION("""COMPUTED_VALUE"""),"Irwan Sopian")</f>
        <v>Irwan Sopian</v>
      </c>
      <c r="N1961" s="6" t="str">
        <f>IFERROR(__xludf.DUMMYFUNCTION("""COMPUTED_VALUE"""),"FIP Engineering")</f>
        <v>FIP Engineering</v>
      </c>
      <c r="O1961" s="6" t="str">
        <f>IFERROR(__xludf.DUMMYFUNCTION("""COMPUTED_VALUE"""),"FIP-DOM-000-11304-OS00001-INA-000000")</f>
        <v>FIP-DOM-000-11304-OS00001-INA-000000</v>
      </c>
      <c r="P1961" s="6" t="str">
        <f>IFERROR(__xludf.DUMMYFUNCTION("""COMPUTED_VALUE"""),"PO Closed")</f>
        <v>PO Closed</v>
      </c>
      <c r="Q1961" s="6" t="str">
        <f>IFERROR(__xludf.DUMMYFUNCTION("""COMPUTED_VALUE"""),"GL2208314")</f>
        <v>GL2208314</v>
      </c>
      <c r="R1961" s="57">
        <f>IFERROR(__xludf.DUMMYFUNCTION("""COMPUTED_VALUE"""),44768.0)</f>
        <v>44768</v>
      </c>
      <c r="S1961" s="6" t="str">
        <f>IFERROR(__xludf.DUMMYFUNCTION("""COMPUTED_VALUE"""),"-")</f>
        <v>-</v>
      </c>
      <c r="T1961" s="57">
        <f>IFERROR(__xludf.DUMMYFUNCTION("""COMPUTED_VALUE"""),44789.0)</f>
        <v>44789</v>
      </c>
    </row>
    <row r="1962">
      <c r="A1962" s="6" t="str">
        <f>IFERROR(__xludf.DUMMYFUNCTION("""COMPUTED_VALUE"""),"221750349-1")</f>
        <v>221750349-1</v>
      </c>
      <c r="B1962" s="6" t="str">
        <f>IFERROR(__xludf.DUMMYFUNCTION("""COMPUTED_VALUE"""),"221750349 - Approved")</f>
        <v>221750349 - Approved</v>
      </c>
      <c r="C1962" s="6">
        <f>IFERROR(__xludf.DUMMYFUNCTION("""COMPUTED_VALUE"""),1.0)</f>
        <v>1</v>
      </c>
      <c r="D1962" s="6" t="str">
        <f>IFERROR(__xludf.DUMMYFUNCTION("""COMPUTED_VALUE"""),"Q-10172-00")</f>
        <v>Q-10172-00</v>
      </c>
      <c r="E1962" s="6" t="str">
        <f>IFERROR(__xludf.DUMMYFUNCTION("""COMPUTED_VALUE"""),"Polyfloor PFT-213 Light blue @ 20 KG")</f>
        <v>Polyfloor PFT-213 Light blue @ 20 KG</v>
      </c>
      <c r="F1962" s="6">
        <f>IFERROR(__xludf.DUMMYFUNCTION("""COMPUTED_VALUE"""),1.0)</f>
        <v>1</v>
      </c>
      <c r="G1962" s="6" t="str">
        <f>IFERROR(__xludf.DUMMYFUNCTION("""COMPUTED_VALUE"""),"Pieces")</f>
        <v>Pieces</v>
      </c>
      <c r="H1962" s="6" t="str">
        <f>IFERROR(__xludf.DUMMYFUNCTION("""COMPUTED_VALUE"""),"IDR")</f>
        <v>IDR</v>
      </c>
      <c r="I1962" s="6">
        <f>IFERROR(__xludf.DUMMYFUNCTION("""COMPUTED_VALUE"""),3870000.0)</f>
        <v>3870000</v>
      </c>
      <c r="J1962" s="6">
        <f>IFERROR(__xludf.DUMMYFUNCTION("""COMPUTED_VALUE"""),3870000.0)</f>
        <v>3870000</v>
      </c>
      <c r="K1962" s="57">
        <f>IFERROR(__xludf.DUMMYFUNCTION("""COMPUTED_VALUE"""),44799.0)</f>
        <v>44799</v>
      </c>
      <c r="L1962" s="6" t="str">
        <f>IFERROR(__xludf.DUMMYFUNCTION("""COMPUTED_VALUE"""),"FIP Engineering")</f>
        <v>FIP Engineering</v>
      </c>
      <c r="M1962" s="6" t="str">
        <f>IFERROR(__xludf.DUMMYFUNCTION("""COMPUTED_VALUE"""),"Irwan Sopian")</f>
        <v>Irwan Sopian</v>
      </c>
      <c r="N1962" s="6" t="str">
        <f>IFERROR(__xludf.DUMMYFUNCTION("""COMPUTED_VALUE"""),"FIP Engineering")</f>
        <v>FIP Engineering</v>
      </c>
      <c r="O1962" s="6" t="str">
        <f>IFERROR(__xludf.DUMMYFUNCTION("""COMPUTED_VALUE"""),"FIP-DOM-000-11304-OS00001-INA-000000")</f>
        <v>FIP-DOM-000-11304-OS00001-INA-000000</v>
      </c>
      <c r="P1962" s="6" t="str">
        <f>IFERROR(__xludf.DUMMYFUNCTION("""COMPUTED_VALUE"""),"PO Closed")</f>
        <v>PO Closed</v>
      </c>
      <c r="Q1962" s="6" t="str">
        <f>IFERROR(__xludf.DUMMYFUNCTION("""COMPUTED_VALUE"""),"GL2208019")</f>
        <v>GL2208019</v>
      </c>
      <c r="R1962" s="57">
        <f>IFERROR(__xludf.DUMMYFUNCTION("""COMPUTED_VALUE"""),44768.0)</f>
        <v>44768</v>
      </c>
      <c r="S1962" s="6" t="str">
        <f>IFERROR(__xludf.DUMMYFUNCTION("""COMPUTED_VALUE"""),"-")</f>
        <v>-</v>
      </c>
      <c r="T1962" s="57">
        <f>IFERROR(__xludf.DUMMYFUNCTION("""COMPUTED_VALUE"""),44789.0)</f>
        <v>44789</v>
      </c>
    </row>
    <row r="1963">
      <c r="A1963" s="6" t="str">
        <f>IFERROR(__xludf.DUMMYFUNCTION("""COMPUTED_VALUE"""),"221750356-1")</f>
        <v>221750356-1</v>
      </c>
      <c r="B1963" s="6" t="str">
        <f>IFERROR(__xludf.DUMMYFUNCTION("""COMPUTED_VALUE"""),"221750356 - Approved")</f>
        <v>221750356 - Approved</v>
      </c>
      <c r="C1963" s="6">
        <f>IFERROR(__xludf.DUMMYFUNCTION("""COMPUTED_VALUE"""),1.0)</f>
        <v>1</v>
      </c>
      <c r="D1963" s="6" t="str">
        <f>IFERROR(__xludf.DUMMYFUNCTION("""COMPUTED_VALUE"""),"S-60002-00")</f>
        <v>S-60002-00</v>
      </c>
      <c r="E1963" s="6" t="str">
        <f>IFERROR(__xludf.DUMMYFUNCTION("""COMPUTED_VALUE"""),"Pekerjaan Repair tembok,plafon dan cat area AHU")</f>
        <v>Pekerjaan Repair tembok,plafon dan cat area AHU</v>
      </c>
      <c r="F1963" s="6">
        <f>IFERROR(__xludf.DUMMYFUNCTION("""COMPUTED_VALUE"""),1.0)</f>
        <v>1</v>
      </c>
      <c r="G1963" s="6" t="str">
        <f>IFERROR(__xludf.DUMMYFUNCTION("""COMPUTED_VALUE"""),"Lot")</f>
        <v>Lot</v>
      </c>
      <c r="H1963" s="6" t="str">
        <f>IFERROR(__xludf.DUMMYFUNCTION("""COMPUTED_VALUE"""),"IDR")</f>
        <v>IDR</v>
      </c>
      <c r="I1963" s="6">
        <f>IFERROR(__xludf.DUMMYFUNCTION("""COMPUTED_VALUE"""),6080000.0)</f>
        <v>6080000</v>
      </c>
      <c r="J1963" s="6">
        <f>IFERROR(__xludf.DUMMYFUNCTION("""COMPUTED_VALUE"""),6080000.0)</f>
        <v>6080000</v>
      </c>
      <c r="K1963" s="57">
        <f>IFERROR(__xludf.DUMMYFUNCTION("""COMPUTED_VALUE"""),44799.0)</f>
        <v>44799</v>
      </c>
      <c r="L1963" s="6" t="str">
        <f>IFERROR(__xludf.DUMMYFUNCTION("""COMPUTED_VALUE"""),"FIP General")</f>
        <v>FIP General</v>
      </c>
      <c r="M1963" s="6" t="str">
        <f>IFERROR(__xludf.DUMMYFUNCTION("""COMPUTED_VALUE"""),"Irwan Sopian")</f>
        <v>Irwan Sopian</v>
      </c>
      <c r="N1963" s="6" t="str">
        <f>IFERROR(__xludf.DUMMYFUNCTION("""COMPUTED_VALUE"""),"FIP Engineering")</f>
        <v>FIP Engineering</v>
      </c>
      <c r="O1963" s="6" t="str">
        <f>IFERROR(__xludf.DUMMYFUNCTION("""COMPUTED_VALUE"""),"FIP-DOM-ENG-51508-0000000-INA-000000")</f>
        <v>FIP-DOM-ENG-51508-0000000-INA-000000</v>
      </c>
      <c r="P1963" s="6" t="str">
        <f>IFERROR(__xludf.DUMMYFUNCTION("""COMPUTED_VALUE"""),"PO Closed")</f>
        <v>PO Closed</v>
      </c>
      <c r="Q1963" s="6" t="str">
        <f>IFERROR(__xludf.DUMMYFUNCTION("""COMPUTED_VALUE"""),"GL2208033")</f>
        <v>GL2208033</v>
      </c>
      <c r="R1963" s="57">
        <f>IFERROR(__xludf.DUMMYFUNCTION("""COMPUTED_VALUE"""),44769.0)</f>
        <v>44769</v>
      </c>
      <c r="S1963" s="6" t="str">
        <f>IFERROR(__xludf.DUMMYFUNCTION("""COMPUTED_VALUE"""),"-")</f>
        <v>-</v>
      </c>
      <c r="T1963" s="57">
        <f>IFERROR(__xludf.DUMMYFUNCTION("""COMPUTED_VALUE"""),44793.0)</f>
        <v>44793</v>
      </c>
    </row>
    <row r="1964">
      <c r="A1964" s="6" t="str">
        <f>IFERROR(__xludf.DUMMYFUNCTION("""COMPUTED_VALUE"""),"221750355-1")</f>
        <v>221750355-1</v>
      </c>
      <c r="B1964" s="6" t="str">
        <f>IFERROR(__xludf.DUMMYFUNCTION("""COMPUTED_VALUE"""),"221750355 - Approved")</f>
        <v>221750355 - Approved</v>
      </c>
      <c r="C1964" s="6">
        <f>IFERROR(__xludf.DUMMYFUNCTION("""COMPUTED_VALUE"""),1.0)</f>
        <v>1</v>
      </c>
      <c r="D1964" s="6" t="str">
        <f>IFERROR(__xludf.DUMMYFUNCTION("""COMPUTED_VALUE"""),"P-18213-00")</f>
        <v>P-18213-00</v>
      </c>
      <c r="E1964" s="6" t="str">
        <f>IFERROR(__xludf.DUMMYFUNCTION("""COMPUTED_VALUE"""),"Part for Isolator - Breathing Hepa Filter 75D x 75H mm")</f>
        <v>Part for Isolator - Breathing Hepa Filter 75D x 75H mm</v>
      </c>
      <c r="F1964" s="6">
        <f>IFERROR(__xludf.DUMMYFUNCTION("""COMPUTED_VALUE"""),2.0)</f>
        <v>2</v>
      </c>
      <c r="G1964" s="6" t="str">
        <f>IFERROR(__xludf.DUMMYFUNCTION("""COMPUTED_VALUE"""),"Unit")</f>
        <v>Unit</v>
      </c>
      <c r="H1964" s="6" t="str">
        <f>IFERROR(__xludf.DUMMYFUNCTION("""COMPUTED_VALUE"""),"USD")</f>
        <v>USD</v>
      </c>
      <c r="I1964" s="6">
        <f>IFERROR(__xludf.DUMMYFUNCTION("""COMPUTED_VALUE"""),200.0)</f>
        <v>200</v>
      </c>
      <c r="J1964" s="6">
        <f>IFERROR(__xludf.DUMMYFUNCTION("""COMPUTED_VALUE"""),400.0)</f>
        <v>400</v>
      </c>
      <c r="K1964" s="57">
        <f>IFERROR(__xludf.DUMMYFUNCTION("""COMPUTED_VALUE"""),44813.0)</f>
        <v>44813</v>
      </c>
      <c r="L1964" s="6" t="str">
        <f>IFERROR(__xludf.DUMMYFUNCTION("""COMPUTED_VALUE"""),"FIP Engineering")</f>
        <v>FIP Engineering</v>
      </c>
      <c r="M1964" s="6" t="str">
        <f>IFERROR(__xludf.DUMMYFUNCTION("""COMPUTED_VALUE"""),"Irwan Sopian")</f>
        <v>Irwan Sopian</v>
      </c>
      <c r="N1964" s="6" t="str">
        <f>IFERROR(__xludf.DUMMYFUNCTION("""COMPUTED_VALUE"""),"FIP Engineering")</f>
        <v>FIP Engineering</v>
      </c>
      <c r="O1964" s="6" t="str">
        <f>IFERROR(__xludf.DUMMYFUNCTION("""COMPUTED_VALUE"""),"FIP-DOM-000-11304-OS00001-INA-000000")</f>
        <v>FIP-DOM-000-11304-OS00001-INA-000000</v>
      </c>
      <c r="P1964" s="6" t="str">
        <f>IFERROR(__xludf.DUMMYFUNCTION("""COMPUTED_VALUE"""),"PO Closed")</f>
        <v>PO Closed</v>
      </c>
      <c r="Q1964" s="6" t="str">
        <f>IFERROR(__xludf.DUMMYFUNCTION("""COMPUTED_VALUE"""),"GL2208041")</f>
        <v>GL2208041</v>
      </c>
      <c r="R1964" s="57">
        <f>IFERROR(__xludf.DUMMYFUNCTION("""COMPUTED_VALUE"""),44769.0)</f>
        <v>44769</v>
      </c>
      <c r="S1964" s="6" t="str">
        <f>IFERROR(__xludf.DUMMYFUNCTION("""COMPUTED_VALUE"""),"-")</f>
        <v>-</v>
      </c>
      <c r="T1964" s="57">
        <f>IFERROR(__xludf.DUMMYFUNCTION("""COMPUTED_VALUE"""),44822.0)</f>
        <v>44822</v>
      </c>
    </row>
    <row r="1965">
      <c r="A1965" s="6" t="str">
        <f>IFERROR(__xludf.DUMMYFUNCTION("""COMPUTED_VALUE"""),"221750354-1")</f>
        <v>221750354-1</v>
      </c>
      <c r="B1965" s="6" t="str">
        <f>IFERROR(__xludf.DUMMYFUNCTION("""COMPUTED_VALUE"""),"221750354 - Approved")</f>
        <v>221750354 - Approved</v>
      </c>
      <c r="C1965" s="6">
        <f>IFERROR(__xludf.DUMMYFUNCTION("""COMPUTED_VALUE"""),1.0)</f>
        <v>1</v>
      </c>
      <c r="D1965" s="6" t="str">
        <f>IFERROR(__xludf.DUMMYFUNCTION("""COMPUTED_VALUE"""),"P-18214-00")</f>
        <v>P-18214-00</v>
      </c>
      <c r="E1965" s="6" t="str">
        <f>IFERROR(__xludf.DUMMYFUNCTION("""COMPUTED_VALUE"""),"Part for Isolator - RTP 190 mm Alpha port 190 mm dia")</f>
        <v>Part for Isolator - RTP 190 mm Alpha port 190 mm dia</v>
      </c>
      <c r="F1965" s="6">
        <f>IFERROR(__xludf.DUMMYFUNCTION("""COMPUTED_VALUE"""),1.0)</f>
        <v>1</v>
      </c>
      <c r="G1965" s="6" t="str">
        <f>IFERROR(__xludf.DUMMYFUNCTION("""COMPUTED_VALUE"""),"Unit")</f>
        <v>Unit</v>
      </c>
      <c r="H1965" s="6" t="str">
        <f>IFERROR(__xludf.DUMMYFUNCTION("""COMPUTED_VALUE"""),"IDR")</f>
        <v>IDR</v>
      </c>
      <c r="I1965" s="6">
        <f>IFERROR(__xludf.DUMMYFUNCTION("""COMPUTED_VALUE"""),4380000.0)</f>
        <v>4380000</v>
      </c>
      <c r="J1965" s="6">
        <f>IFERROR(__xludf.DUMMYFUNCTION("""COMPUTED_VALUE"""),4380000.0)</f>
        <v>4380000</v>
      </c>
      <c r="K1965" s="57">
        <f>IFERROR(__xludf.DUMMYFUNCTION("""COMPUTED_VALUE"""),44804.0)</f>
        <v>44804</v>
      </c>
      <c r="L1965" s="6" t="str">
        <f>IFERROR(__xludf.DUMMYFUNCTION("""COMPUTED_VALUE"""),"FIP Engineering")</f>
        <v>FIP Engineering</v>
      </c>
      <c r="M1965" s="6" t="str">
        <f>IFERROR(__xludf.DUMMYFUNCTION("""COMPUTED_VALUE"""),"Irwan Sopian")</f>
        <v>Irwan Sopian</v>
      </c>
      <c r="N1965" s="6" t="str">
        <f>IFERROR(__xludf.DUMMYFUNCTION("""COMPUTED_VALUE"""),"FIP Engineering")</f>
        <v>FIP Engineering</v>
      </c>
      <c r="O1965" s="6" t="str">
        <f>IFERROR(__xludf.DUMMYFUNCTION("""COMPUTED_VALUE"""),"FIP-DOM-000-11304-OS00001-INA-000000")</f>
        <v>FIP-DOM-000-11304-OS00001-INA-000000</v>
      </c>
      <c r="P1965" s="6" t="str">
        <f>IFERROR(__xludf.DUMMYFUNCTION("""COMPUTED_VALUE"""),"PO Closed")</f>
        <v>PO Closed</v>
      </c>
      <c r="Q1965" s="6" t="str">
        <f>IFERROR(__xludf.DUMMYFUNCTION("""COMPUTED_VALUE"""),"GL2208023")</f>
        <v>GL2208023</v>
      </c>
      <c r="R1965" s="57">
        <f>IFERROR(__xludf.DUMMYFUNCTION("""COMPUTED_VALUE"""),44769.0)</f>
        <v>44769</v>
      </c>
      <c r="S1965" s="6" t="str">
        <f>IFERROR(__xludf.DUMMYFUNCTION("""COMPUTED_VALUE"""),"-")</f>
        <v>-</v>
      </c>
      <c r="T1965" s="57">
        <f>IFERROR(__xludf.DUMMYFUNCTION("""COMPUTED_VALUE"""),44803.0)</f>
        <v>44803</v>
      </c>
    </row>
    <row r="1966">
      <c r="A1966" s="6" t="str">
        <f>IFERROR(__xludf.DUMMYFUNCTION("""COMPUTED_VALUE"""),"221750353-1")</f>
        <v>221750353-1</v>
      </c>
      <c r="B1966" s="6" t="str">
        <f>IFERROR(__xludf.DUMMYFUNCTION("""COMPUTED_VALUE"""),"221750353 - Approved")</f>
        <v>221750353 - Approved</v>
      </c>
      <c r="C1966" s="6">
        <f>IFERROR(__xludf.DUMMYFUNCTION("""COMPUTED_VALUE"""),1.0)</f>
        <v>1</v>
      </c>
      <c r="D1966" s="6" t="str">
        <f>IFERROR(__xludf.DUMMYFUNCTION("""COMPUTED_VALUE"""),"P-17062-00")</f>
        <v>P-17062-00</v>
      </c>
      <c r="E1966" s="6" t="str">
        <f>IFERROR(__xludf.DUMMYFUNCTION("""COMPUTED_VALUE"""),"Element Filter for N2 Brand : NEXUS P/N : NXE-90-Z Pack Size : pcs")</f>
        <v>Element Filter for N2 Brand : NEXUS P/N : NXE-90-Z Pack Size : pcs</v>
      </c>
      <c r="F1966" s="6">
        <f>IFERROR(__xludf.DUMMYFUNCTION("""COMPUTED_VALUE"""),1.0)</f>
        <v>1</v>
      </c>
      <c r="G1966" s="6" t="str">
        <f>IFERROR(__xludf.DUMMYFUNCTION("""COMPUTED_VALUE"""),"Unit")</f>
        <v>Unit</v>
      </c>
      <c r="H1966" s="6" t="str">
        <f>IFERROR(__xludf.DUMMYFUNCTION("""COMPUTED_VALUE"""),"IDR")</f>
        <v>IDR</v>
      </c>
      <c r="I1966" s="6">
        <f>IFERROR(__xludf.DUMMYFUNCTION("""COMPUTED_VALUE"""),1200000.0)</f>
        <v>1200000</v>
      </c>
      <c r="J1966" s="6">
        <f>IFERROR(__xludf.DUMMYFUNCTION("""COMPUTED_VALUE"""),1200000.0)</f>
        <v>1200000</v>
      </c>
      <c r="K1966" s="57">
        <f>IFERROR(__xludf.DUMMYFUNCTION("""COMPUTED_VALUE"""),44804.0)</f>
        <v>44804</v>
      </c>
      <c r="L1966" s="6" t="str">
        <f>IFERROR(__xludf.DUMMYFUNCTION("""COMPUTED_VALUE"""),"FIP Engineering")</f>
        <v>FIP Engineering</v>
      </c>
      <c r="M1966" s="6" t="str">
        <f>IFERROR(__xludf.DUMMYFUNCTION("""COMPUTED_VALUE"""),"Irwan Sopian")</f>
        <v>Irwan Sopian</v>
      </c>
      <c r="N1966" s="6" t="str">
        <f>IFERROR(__xludf.DUMMYFUNCTION("""COMPUTED_VALUE"""),"FIP Engineering")</f>
        <v>FIP Engineering</v>
      </c>
      <c r="O1966" s="6" t="str">
        <f>IFERROR(__xludf.DUMMYFUNCTION("""COMPUTED_VALUE"""),"FIP-DOM-000-11304-OS00001-INA-000000")</f>
        <v>FIP-DOM-000-11304-OS00001-INA-000000</v>
      </c>
      <c r="P1966" s="6" t="str">
        <f>IFERROR(__xludf.DUMMYFUNCTION("""COMPUTED_VALUE"""),"PO Closed")</f>
        <v>PO Closed</v>
      </c>
      <c r="Q1966" s="6" t="str">
        <f>IFERROR(__xludf.DUMMYFUNCTION("""COMPUTED_VALUE"""),"GL2208053")</f>
        <v>GL2208053</v>
      </c>
      <c r="R1966" s="57">
        <f>IFERROR(__xludf.DUMMYFUNCTION("""COMPUTED_VALUE"""),44769.0)</f>
        <v>44769</v>
      </c>
      <c r="S1966" s="6" t="str">
        <f>IFERROR(__xludf.DUMMYFUNCTION("""COMPUTED_VALUE"""),"-")</f>
        <v>-</v>
      </c>
      <c r="T1966" s="57">
        <f>IFERROR(__xludf.DUMMYFUNCTION("""COMPUTED_VALUE"""),44809.0)</f>
        <v>44809</v>
      </c>
    </row>
    <row r="1967">
      <c r="A1967" s="6" t="str">
        <f>IFERROR(__xludf.DUMMYFUNCTION("""COMPUTED_VALUE"""),"221750353-2")</f>
        <v>221750353-2</v>
      </c>
      <c r="B1967" s="6" t="str">
        <f>IFERROR(__xludf.DUMMYFUNCTION("""COMPUTED_VALUE"""),"221750353 - Approved")</f>
        <v>221750353 - Approved</v>
      </c>
      <c r="C1967" s="6">
        <f>IFERROR(__xludf.DUMMYFUNCTION("""COMPUTED_VALUE"""),2.0)</f>
        <v>2</v>
      </c>
      <c r="D1967" s="6" t="str">
        <f>IFERROR(__xludf.DUMMYFUNCTION("""COMPUTED_VALUE"""),"P-15052-00")</f>
        <v>P-15052-00</v>
      </c>
      <c r="E1967" s="6" t="str">
        <f>IFERROR(__xludf.DUMMYFUNCTION("""COMPUTED_VALUE"""),"Element Filter 1 micron P/N NXE-400-Z")</f>
        <v>Element Filter 1 micron P/N NXE-400-Z</v>
      </c>
      <c r="F1967" s="6">
        <f>IFERROR(__xludf.DUMMYFUNCTION("""COMPUTED_VALUE"""),1.0)</f>
        <v>1</v>
      </c>
      <c r="G1967" s="6" t="str">
        <f>IFERROR(__xludf.DUMMYFUNCTION("""COMPUTED_VALUE"""),"Pieces")</f>
        <v>Pieces</v>
      </c>
      <c r="H1967" s="6" t="str">
        <f>IFERROR(__xludf.DUMMYFUNCTION("""COMPUTED_VALUE"""),"IDR")</f>
        <v>IDR</v>
      </c>
      <c r="I1967" s="6">
        <f>IFERROR(__xludf.DUMMYFUNCTION("""COMPUTED_VALUE"""),2144000.0)</f>
        <v>2144000</v>
      </c>
      <c r="J1967" s="6">
        <f>IFERROR(__xludf.DUMMYFUNCTION("""COMPUTED_VALUE"""),2144000.0)</f>
        <v>2144000</v>
      </c>
      <c r="K1967" s="57">
        <f>IFERROR(__xludf.DUMMYFUNCTION("""COMPUTED_VALUE"""),44804.0)</f>
        <v>44804</v>
      </c>
      <c r="L1967" s="6" t="str">
        <f>IFERROR(__xludf.DUMMYFUNCTION("""COMPUTED_VALUE"""),"FIP Engineering")</f>
        <v>FIP Engineering</v>
      </c>
      <c r="M1967" s="6" t="str">
        <f>IFERROR(__xludf.DUMMYFUNCTION("""COMPUTED_VALUE"""),"Irwan Sopian")</f>
        <v>Irwan Sopian</v>
      </c>
      <c r="N1967" s="6" t="str">
        <f>IFERROR(__xludf.DUMMYFUNCTION("""COMPUTED_VALUE"""),"FIP Engineering")</f>
        <v>FIP Engineering</v>
      </c>
      <c r="O1967" s="6" t="str">
        <f>IFERROR(__xludf.DUMMYFUNCTION("""COMPUTED_VALUE"""),"FIP-DOM-000-11304-OS00001-INA-000000")</f>
        <v>FIP-DOM-000-11304-OS00001-INA-000000</v>
      </c>
      <c r="P1967" s="6" t="str">
        <f>IFERROR(__xludf.DUMMYFUNCTION("""COMPUTED_VALUE"""),"PO Closed")</f>
        <v>PO Closed</v>
      </c>
      <c r="Q1967" s="6" t="str">
        <f>IFERROR(__xludf.DUMMYFUNCTION("""COMPUTED_VALUE"""),"GL2208053")</f>
        <v>GL2208053</v>
      </c>
      <c r="R1967" s="57">
        <f>IFERROR(__xludf.DUMMYFUNCTION("""COMPUTED_VALUE"""),44769.0)</f>
        <v>44769</v>
      </c>
      <c r="S1967" s="6" t="str">
        <f>IFERROR(__xludf.DUMMYFUNCTION("""COMPUTED_VALUE"""),"-")</f>
        <v>-</v>
      </c>
      <c r="T1967" s="57">
        <f>IFERROR(__xludf.DUMMYFUNCTION("""COMPUTED_VALUE"""),44809.0)</f>
        <v>44809</v>
      </c>
    </row>
    <row r="1968">
      <c r="A1968" s="6" t="str">
        <f>IFERROR(__xludf.DUMMYFUNCTION("""COMPUTED_VALUE"""),"221750353-3")</f>
        <v>221750353-3</v>
      </c>
      <c r="B1968" s="6" t="str">
        <f>IFERROR(__xludf.DUMMYFUNCTION("""COMPUTED_VALUE"""),"221750353 - Approved")</f>
        <v>221750353 - Approved</v>
      </c>
      <c r="C1968" s="6">
        <f>IFERROR(__xludf.DUMMYFUNCTION("""COMPUTED_VALUE"""),3.0)</f>
        <v>3</v>
      </c>
      <c r="D1968" s="6" t="str">
        <f>IFERROR(__xludf.DUMMYFUNCTION("""COMPUTED_VALUE"""),"P-15053-00")</f>
        <v>P-15053-00</v>
      </c>
      <c r="E1968" s="6" t="str">
        <f>IFERROR(__xludf.DUMMYFUNCTION("""COMPUTED_VALUE"""),"Element Filter 0.01 micron P/N NXE-400-X")</f>
        <v>Element Filter 0.01 micron P/N NXE-400-X</v>
      </c>
      <c r="F1968" s="6">
        <f>IFERROR(__xludf.DUMMYFUNCTION("""COMPUTED_VALUE"""),1.0)</f>
        <v>1</v>
      </c>
      <c r="G1968" s="6" t="str">
        <f>IFERROR(__xludf.DUMMYFUNCTION("""COMPUTED_VALUE"""),"Pieces")</f>
        <v>Pieces</v>
      </c>
      <c r="H1968" s="6" t="str">
        <f>IFERROR(__xludf.DUMMYFUNCTION("""COMPUTED_VALUE"""),"IDR")</f>
        <v>IDR</v>
      </c>
      <c r="I1968" s="6">
        <f>IFERROR(__xludf.DUMMYFUNCTION("""COMPUTED_VALUE"""),2144000.0)</f>
        <v>2144000</v>
      </c>
      <c r="J1968" s="6">
        <f>IFERROR(__xludf.DUMMYFUNCTION("""COMPUTED_VALUE"""),2144000.0)</f>
        <v>2144000</v>
      </c>
      <c r="K1968" s="57">
        <f>IFERROR(__xludf.DUMMYFUNCTION("""COMPUTED_VALUE"""),44804.0)</f>
        <v>44804</v>
      </c>
      <c r="L1968" s="6" t="str">
        <f>IFERROR(__xludf.DUMMYFUNCTION("""COMPUTED_VALUE"""),"FIP Engineering")</f>
        <v>FIP Engineering</v>
      </c>
      <c r="M1968" s="6" t="str">
        <f>IFERROR(__xludf.DUMMYFUNCTION("""COMPUTED_VALUE"""),"Irwan Sopian")</f>
        <v>Irwan Sopian</v>
      </c>
      <c r="N1968" s="6" t="str">
        <f>IFERROR(__xludf.DUMMYFUNCTION("""COMPUTED_VALUE"""),"FIP Engineering")</f>
        <v>FIP Engineering</v>
      </c>
      <c r="O1968" s="6" t="str">
        <f>IFERROR(__xludf.DUMMYFUNCTION("""COMPUTED_VALUE"""),"FIP-DOM-000-11304-OS00001-INA-000000")</f>
        <v>FIP-DOM-000-11304-OS00001-INA-000000</v>
      </c>
      <c r="P1968" s="6" t="str">
        <f>IFERROR(__xludf.DUMMYFUNCTION("""COMPUTED_VALUE"""),"PO Closed")</f>
        <v>PO Closed</v>
      </c>
      <c r="Q1968" s="6" t="str">
        <f>IFERROR(__xludf.DUMMYFUNCTION("""COMPUTED_VALUE"""),"GL2208053")</f>
        <v>GL2208053</v>
      </c>
      <c r="R1968" s="57">
        <f>IFERROR(__xludf.DUMMYFUNCTION("""COMPUTED_VALUE"""),44769.0)</f>
        <v>44769</v>
      </c>
      <c r="S1968" s="6" t="str">
        <f>IFERROR(__xludf.DUMMYFUNCTION("""COMPUTED_VALUE"""),"-")</f>
        <v>-</v>
      </c>
      <c r="T1968" s="57">
        <f>IFERROR(__xludf.DUMMYFUNCTION("""COMPUTED_VALUE"""),44809.0)</f>
        <v>44809</v>
      </c>
    </row>
    <row r="1969">
      <c r="A1969" s="6" t="str">
        <f>IFERROR(__xludf.DUMMYFUNCTION("""COMPUTED_VALUE"""),"221750339-2")</f>
        <v>221750339-2</v>
      </c>
      <c r="B1969" s="6" t="str">
        <f>IFERROR(__xludf.DUMMYFUNCTION("""COMPUTED_VALUE"""),"221750339 - Approved")</f>
        <v>221750339 - Approved</v>
      </c>
      <c r="C1969" s="6">
        <f>IFERROR(__xludf.DUMMYFUNCTION("""COMPUTED_VALUE"""),2.0)</f>
        <v>2</v>
      </c>
      <c r="D1969" s="6" t="str">
        <f>IFERROR(__xludf.DUMMYFUNCTION("""COMPUTED_VALUE"""),"O-16647-00")</f>
        <v>O-16647-00</v>
      </c>
      <c r="E1969" s="6" t="str">
        <f>IFERROR(__xludf.DUMMYFUNCTION("""COMPUTED_VALUE"""),"Washing RAR4 - Oring Silicone Merah 23x18x2.5 mm")</f>
        <v>Washing RAR4 - Oring Silicone Merah 23x18x2.5 mm</v>
      </c>
      <c r="F1969" s="6">
        <f>IFERROR(__xludf.DUMMYFUNCTION("""COMPUTED_VALUE"""),20.0)</f>
        <v>20</v>
      </c>
      <c r="G1969" s="6" t="str">
        <f>IFERROR(__xludf.DUMMYFUNCTION("""COMPUTED_VALUE"""),"Pieces")</f>
        <v>Pieces</v>
      </c>
      <c r="H1969" s="6" t="str">
        <f>IFERROR(__xludf.DUMMYFUNCTION("""COMPUTED_VALUE"""),"IDR")</f>
        <v>IDR</v>
      </c>
      <c r="I1969" s="6">
        <f>IFERROR(__xludf.DUMMYFUNCTION("""COMPUTED_VALUE"""),35000.0)</f>
        <v>35000</v>
      </c>
      <c r="J1969" s="6">
        <f>IFERROR(__xludf.DUMMYFUNCTION("""COMPUTED_VALUE"""),700000.0)</f>
        <v>700000</v>
      </c>
      <c r="K1969" s="57">
        <f>IFERROR(__xludf.DUMMYFUNCTION("""COMPUTED_VALUE"""),44799.0)</f>
        <v>44799</v>
      </c>
      <c r="L1969" s="6" t="str">
        <f>IFERROR(__xludf.DUMMYFUNCTION("""COMPUTED_VALUE"""),"FIP Engineering")</f>
        <v>FIP Engineering</v>
      </c>
      <c r="M1969" s="6" t="str">
        <f>IFERROR(__xludf.DUMMYFUNCTION("""COMPUTED_VALUE"""),"Irwan Sopian")</f>
        <v>Irwan Sopian</v>
      </c>
      <c r="N1969" s="6" t="str">
        <f>IFERROR(__xludf.DUMMYFUNCTION("""COMPUTED_VALUE"""),"FIP Engineering")</f>
        <v>FIP Engineering</v>
      </c>
      <c r="O1969" s="6" t="str">
        <f>IFERROR(__xludf.DUMMYFUNCTION("""COMPUTED_VALUE"""),"FIP-DOM-000-11304-OS00001-INA-000000")</f>
        <v>FIP-DOM-000-11304-OS00001-INA-000000</v>
      </c>
      <c r="P1969" s="6" t="str">
        <f>IFERROR(__xludf.DUMMYFUNCTION("""COMPUTED_VALUE"""),"PO Closed")</f>
        <v>PO Closed</v>
      </c>
      <c r="Q1969" s="6" t="str">
        <f>IFERROR(__xludf.DUMMYFUNCTION("""COMPUTED_VALUE"""),"GL2208004")</f>
        <v>GL2208004</v>
      </c>
      <c r="R1969" s="57">
        <f>IFERROR(__xludf.DUMMYFUNCTION("""COMPUTED_VALUE"""),44769.0)</f>
        <v>44769</v>
      </c>
      <c r="S1969" s="6" t="str">
        <f>IFERROR(__xludf.DUMMYFUNCTION("""COMPUTED_VALUE"""),"-")</f>
        <v>-</v>
      </c>
      <c r="T1969" s="57">
        <f>IFERROR(__xludf.DUMMYFUNCTION("""COMPUTED_VALUE"""),44798.0)</f>
        <v>44798</v>
      </c>
    </row>
    <row r="1970">
      <c r="A1970" s="6" t="str">
        <f>IFERROR(__xludf.DUMMYFUNCTION("""COMPUTED_VALUE"""),"221750339-3")</f>
        <v>221750339-3</v>
      </c>
      <c r="B1970" s="6" t="str">
        <f>IFERROR(__xludf.DUMMYFUNCTION("""COMPUTED_VALUE"""),"221750339 - Approved")</f>
        <v>221750339 - Approved</v>
      </c>
      <c r="C1970" s="6">
        <f>IFERROR(__xludf.DUMMYFUNCTION("""COMPUTED_VALUE"""),3.0)</f>
        <v>3</v>
      </c>
      <c r="D1970" s="6" t="str">
        <f>IFERROR(__xludf.DUMMYFUNCTION("""COMPUTED_VALUE"""),"P-13383-00")</f>
        <v>P-13383-00</v>
      </c>
      <c r="E1970" s="6" t="str">
        <f>IFERROR(__xludf.DUMMYFUNCTION("""COMPUTED_VALUE"""),"Silicone Sealant High Temp Red")</f>
        <v>Silicone Sealant High Temp Red</v>
      </c>
      <c r="F1970" s="6">
        <f>IFERROR(__xludf.DUMMYFUNCTION("""COMPUTED_VALUE"""),6.0)</f>
        <v>6</v>
      </c>
      <c r="G1970" s="6" t="str">
        <f>IFERROR(__xludf.DUMMYFUNCTION("""COMPUTED_VALUE"""),"Pieces")</f>
        <v>Pieces</v>
      </c>
      <c r="H1970" s="6" t="str">
        <f>IFERROR(__xludf.DUMMYFUNCTION("""COMPUTED_VALUE"""),"IDR")</f>
        <v>IDR</v>
      </c>
      <c r="I1970" s="6">
        <f>IFERROR(__xludf.DUMMYFUNCTION("""COMPUTED_VALUE"""),26000.0)</f>
        <v>26000</v>
      </c>
      <c r="J1970" s="6">
        <f>IFERROR(__xludf.DUMMYFUNCTION("""COMPUTED_VALUE"""),156000.0)</f>
        <v>156000</v>
      </c>
      <c r="K1970" s="57">
        <f>IFERROR(__xludf.DUMMYFUNCTION("""COMPUTED_VALUE"""),44799.0)</f>
        <v>44799</v>
      </c>
      <c r="L1970" s="6" t="str">
        <f>IFERROR(__xludf.DUMMYFUNCTION("""COMPUTED_VALUE"""),"FIP Engineering")</f>
        <v>FIP Engineering</v>
      </c>
      <c r="M1970" s="6" t="str">
        <f>IFERROR(__xludf.DUMMYFUNCTION("""COMPUTED_VALUE"""),"Irwan Sopian")</f>
        <v>Irwan Sopian</v>
      </c>
      <c r="N1970" s="6" t="str">
        <f>IFERROR(__xludf.DUMMYFUNCTION("""COMPUTED_VALUE"""),"FIP Engineering")</f>
        <v>FIP Engineering</v>
      </c>
      <c r="O1970" s="6" t="str">
        <f>IFERROR(__xludf.DUMMYFUNCTION("""COMPUTED_VALUE"""),"FIP-DOM-000-11304-OS00001-INA-000000")</f>
        <v>FIP-DOM-000-11304-OS00001-INA-000000</v>
      </c>
      <c r="P1970" s="6" t="str">
        <f>IFERROR(__xludf.DUMMYFUNCTION("""COMPUTED_VALUE"""),"PO Closed")</f>
        <v>PO Closed</v>
      </c>
      <c r="Q1970" s="6" t="str">
        <f>IFERROR(__xludf.DUMMYFUNCTION("""COMPUTED_VALUE"""),"GL2208004")</f>
        <v>GL2208004</v>
      </c>
      <c r="R1970" s="57">
        <f>IFERROR(__xludf.DUMMYFUNCTION("""COMPUTED_VALUE"""),44769.0)</f>
        <v>44769</v>
      </c>
      <c r="S1970" s="6" t="str">
        <f>IFERROR(__xludf.DUMMYFUNCTION("""COMPUTED_VALUE"""),"-")</f>
        <v>-</v>
      </c>
      <c r="T1970" s="57">
        <f>IFERROR(__xludf.DUMMYFUNCTION("""COMPUTED_VALUE"""),44798.0)</f>
        <v>44798</v>
      </c>
    </row>
    <row r="1971">
      <c r="A1971" s="6" t="str">
        <f>IFERROR(__xludf.DUMMYFUNCTION("""COMPUTED_VALUE"""),"221750339-4")</f>
        <v>221750339-4</v>
      </c>
      <c r="B1971" s="6" t="str">
        <f>IFERROR(__xludf.DUMMYFUNCTION("""COMPUTED_VALUE"""),"221750339 - Approved")</f>
        <v>221750339 - Approved</v>
      </c>
      <c r="C1971" s="6">
        <f>IFERROR(__xludf.DUMMYFUNCTION("""COMPUTED_VALUE"""),4.0)</f>
        <v>4</v>
      </c>
      <c r="D1971" s="6" t="str">
        <f>IFERROR(__xludf.DUMMYFUNCTION("""COMPUTED_VALUE"""),"P-13389-00")</f>
        <v>P-13389-00</v>
      </c>
      <c r="E1971" s="6" t="str">
        <f>IFERROR(__xludf.DUMMYFUNCTION("""COMPUTED_VALUE"""),"Scotch Brite 3M")</f>
        <v>Scotch Brite 3M</v>
      </c>
      <c r="F1971" s="6">
        <f>IFERROR(__xludf.DUMMYFUNCTION("""COMPUTED_VALUE"""),10.0)</f>
        <v>10</v>
      </c>
      <c r="G1971" s="6" t="str">
        <f>IFERROR(__xludf.DUMMYFUNCTION("""COMPUTED_VALUE"""),"Pieces")</f>
        <v>Pieces</v>
      </c>
      <c r="H1971" s="6" t="str">
        <f>IFERROR(__xludf.DUMMYFUNCTION("""COMPUTED_VALUE"""),"IDR")</f>
        <v>IDR</v>
      </c>
      <c r="I1971" s="6">
        <f>IFERROR(__xludf.DUMMYFUNCTION("""COMPUTED_VALUE"""),13500.0)</f>
        <v>13500</v>
      </c>
      <c r="J1971" s="6">
        <f>IFERROR(__xludf.DUMMYFUNCTION("""COMPUTED_VALUE"""),135000.0)</f>
        <v>135000</v>
      </c>
      <c r="K1971" s="57">
        <f>IFERROR(__xludf.DUMMYFUNCTION("""COMPUTED_VALUE"""),44799.0)</f>
        <v>44799</v>
      </c>
      <c r="L1971" s="6" t="str">
        <f>IFERROR(__xludf.DUMMYFUNCTION("""COMPUTED_VALUE"""),"FIP Engineering")</f>
        <v>FIP Engineering</v>
      </c>
      <c r="M1971" s="6" t="str">
        <f>IFERROR(__xludf.DUMMYFUNCTION("""COMPUTED_VALUE"""),"Irwan Sopian")</f>
        <v>Irwan Sopian</v>
      </c>
      <c r="N1971" s="6" t="str">
        <f>IFERROR(__xludf.DUMMYFUNCTION("""COMPUTED_VALUE"""),"FIP Engineering")</f>
        <v>FIP Engineering</v>
      </c>
      <c r="O1971" s="6" t="str">
        <f>IFERROR(__xludf.DUMMYFUNCTION("""COMPUTED_VALUE"""),"FIP-DOM-000-11304-OS00001-INA-000000")</f>
        <v>FIP-DOM-000-11304-OS00001-INA-000000</v>
      </c>
      <c r="P1971" s="6" t="str">
        <f>IFERROR(__xludf.DUMMYFUNCTION("""COMPUTED_VALUE"""),"PO Closed")</f>
        <v>PO Closed</v>
      </c>
      <c r="Q1971" s="6" t="str">
        <f>IFERROR(__xludf.DUMMYFUNCTION("""COMPUTED_VALUE"""),"GL2208004")</f>
        <v>GL2208004</v>
      </c>
      <c r="R1971" s="57">
        <f>IFERROR(__xludf.DUMMYFUNCTION("""COMPUTED_VALUE"""),44769.0)</f>
        <v>44769</v>
      </c>
      <c r="S1971" s="6" t="str">
        <f>IFERROR(__xludf.DUMMYFUNCTION("""COMPUTED_VALUE"""),"-")</f>
        <v>-</v>
      </c>
      <c r="T1971" s="57">
        <f>IFERROR(__xludf.DUMMYFUNCTION("""COMPUTED_VALUE"""),44798.0)</f>
        <v>44798</v>
      </c>
    </row>
    <row r="1972">
      <c r="A1972" s="6" t="str">
        <f>IFERROR(__xludf.DUMMYFUNCTION("""COMPUTED_VALUE"""),"221750339-5")</f>
        <v>221750339-5</v>
      </c>
      <c r="B1972" s="6" t="str">
        <f>IFERROR(__xludf.DUMMYFUNCTION("""COMPUTED_VALUE"""),"221750339 - Approved")</f>
        <v>221750339 - Approved</v>
      </c>
      <c r="C1972" s="6">
        <f>IFERROR(__xludf.DUMMYFUNCTION("""COMPUTED_VALUE"""),5.0)</f>
        <v>5</v>
      </c>
      <c r="D1972" s="6" t="str">
        <f>IFERROR(__xludf.DUMMYFUNCTION("""COMPUTED_VALUE"""),"P-51027-00")</f>
        <v>P-51027-00</v>
      </c>
      <c r="E1972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1972" s="6">
        <f>IFERROR(__xludf.DUMMYFUNCTION("""COMPUTED_VALUE"""),5.0)</f>
        <v>5</v>
      </c>
      <c r="G1972" s="6" t="str">
        <f>IFERROR(__xludf.DUMMYFUNCTION("""COMPUTED_VALUE"""),"Pieces")</f>
        <v>Pieces</v>
      </c>
      <c r="H1972" s="6" t="str">
        <f>IFERROR(__xludf.DUMMYFUNCTION("""COMPUTED_VALUE"""),"IDR")</f>
        <v>IDR</v>
      </c>
      <c r="I1972" s="6">
        <f>IFERROR(__xludf.DUMMYFUNCTION("""COMPUTED_VALUE"""),47700.0)</f>
        <v>47700</v>
      </c>
      <c r="J1972" s="6">
        <f>IFERROR(__xludf.DUMMYFUNCTION("""COMPUTED_VALUE"""),238500.0)</f>
        <v>238500</v>
      </c>
      <c r="K1972" s="57">
        <f>IFERROR(__xludf.DUMMYFUNCTION("""COMPUTED_VALUE"""),44799.0)</f>
        <v>44799</v>
      </c>
      <c r="L1972" s="6" t="str">
        <f>IFERROR(__xludf.DUMMYFUNCTION("""COMPUTED_VALUE"""),"FIP Engineering")</f>
        <v>FIP Engineering</v>
      </c>
      <c r="M1972" s="6" t="str">
        <f>IFERROR(__xludf.DUMMYFUNCTION("""COMPUTED_VALUE"""),"Irwan Sopian")</f>
        <v>Irwan Sopian</v>
      </c>
      <c r="N1972" s="6" t="str">
        <f>IFERROR(__xludf.DUMMYFUNCTION("""COMPUTED_VALUE"""),"FIP Engineering")</f>
        <v>FIP Engineering</v>
      </c>
      <c r="O1972" s="6" t="str">
        <f>IFERROR(__xludf.DUMMYFUNCTION("""COMPUTED_VALUE"""),"FIP-DOM-000-11304-OS00001-INA-000000")</f>
        <v>FIP-DOM-000-11304-OS00001-INA-000000</v>
      </c>
      <c r="P1972" s="6" t="str">
        <f>IFERROR(__xludf.DUMMYFUNCTION("""COMPUTED_VALUE"""),"PO Closed")</f>
        <v>PO Closed</v>
      </c>
      <c r="Q1972" s="6" t="str">
        <f>IFERROR(__xludf.DUMMYFUNCTION("""COMPUTED_VALUE"""),"GL2208004")</f>
        <v>GL2208004</v>
      </c>
      <c r="R1972" s="57">
        <f>IFERROR(__xludf.DUMMYFUNCTION("""COMPUTED_VALUE"""),44769.0)</f>
        <v>44769</v>
      </c>
      <c r="S1972" s="6" t="str">
        <f>IFERROR(__xludf.DUMMYFUNCTION("""COMPUTED_VALUE"""),"-")</f>
        <v>-</v>
      </c>
      <c r="T1972" s="57">
        <f>IFERROR(__xludf.DUMMYFUNCTION("""COMPUTED_VALUE"""),44798.0)</f>
        <v>44798</v>
      </c>
    </row>
    <row r="1973">
      <c r="A1973" s="6" t="str">
        <f>IFERROR(__xludf.DUMMYFUNCTION("""COMPUTED_VALUE"""),"221750339-6")</f>
        <v>221750339-6</v>
      </c>
      <c r="B1973" s="6" t="str">
        <f>IFERROR(__xludf.DUMMYFUNCTION("""COMPUTED_VALUE"""),"221750339 - Approved")</f>
        <v>221750339 - Approved</v>
      </c>
      <c r="C1973" s="6">
        <f>IFERROR(__xludf.DUMMYFUNCTION("""COMPUTED_VALUE"""),6.0)</f>
        <v>6</v>
      </c>
      <c r="D1973" s="6" t="str">
        <f>IFERROR(__xludf.DUMMYFUNCTION("""COMPUTED_VALUE"""),"P-10729-00")</f>
        <v>P-10729-00</v>
      </c>
      <c r="E1973" s="6" t="str">
        <f>IFERROR(__xludf.DUMMYFUNCTION("""COMPUTED_VALUE"""),"Contact cleaner WD 40, 382 gr ; Brand : - ; P/N : - ; Pack Size : pcs")</f>
        <v>Contact cleaner WD 40, 382 gr ; Brand : - ; P/N : - ; Pack Size : pcs</v>
      </c>
      <c r="F1973" s="6">
        <f>IFERROR(__xludf.DUMMYFUNCTION("""COMPUTED_VALUE"""),5.0)</f>
        <v>5</v>
      </c>
      <c r="G1973" s="6" t="str">
        <f>IFERROR(__xludf.DUMMYFUNCTION("""COMPUTED_VALUE"""),"Pieces")</f>
        <v>Pieces</v>
      </c>
      <c r="H1973" s="6" t="str">
        <f>IFERROR(__xludf.DUMMYFUNCTION("""COMPUTED_VALUE"""),"IDR")</f>
        <v>IDR</v>
      </c>
      <c r="I1973" s="6">
        <f>IFERROR(__xludf.DUMMYFUNCTION("""COMPUTED_VALUE"""),60000.0)</f>
        <v>60000</v>
      </c>
      <c r="J1973" s="6">
        <f>IFERROR(__xludf.DUMMYFUNCTION("""COMPUTED_VALUE"""),300000.0)</f>
        <v>300000</v>
      </c>
      <c r="K1973" s="57">
        <f>IFERROR(__xludf.DUMMYFUNCTION("""COMPUTED_VALUE"""),44799.0)</f>
        <v>44799</v>
      </c>
      <c r="L1973" s="6" t="str">
        <f>IFERROR(__xludf.DUMMYFUNCTION("""COMPUTED_VALUE"""),"FIP Engineering")</f>
        <v>FIP Engineering</v>
      </c>
      <c r="M1973" s="6" t="str">
        <f>IFERROR(__xludf.DUMMYFUNCTION("""COMPUTED_VALUE"""),"Irwan Sopian")</f>
        <v>Irwan Sopian</v>
      </c>
      <c r="N1973" s="6" t="str">
        <f>IFERROR(__xludf.DUMMYFUNCTION("""COMPUTED_VALUE"""),"FIP Engineering")</f>
        <v>FIP Engineering</v>
      </c>
      <c r="O1973" s="6" t="str">
        <f>IFERROR(__xludf.DUMMYFUNCTION("""COMPUTED_VALUE"""),"FIP-DOM-000-11304-OS00001-INA-000000")</f>
        <v>FIP-DOM-000-11304-OS00001-INA-000000</v>
      </c>
      <c r="P1973" s="6" t="str">
        <f>IFERROR(__xludf.DUMMYFUNCTION("""COMPUTED_VALUE"""),"PO Closed")</f>
        <v>PO Closed</v>
      </c>
      <c r="Q1973" s="6" t="str">
        <f>IFERROR(__xludf.DUMMYFUNCTION("""COMPUTED_VALUE"""),"GL2208004")</f>
        <v>GL2208004</v>
      </c>
      <c r="R1973" s="57">
        <f>IFERROR(__xludf.DUMMYFUNCTION("""COMPUTED_VALUE"""),44769.0)</f>
        <v>44769</v>
      </c>
      <c r="S1973" s="6" t="str">
        <f>IFERROR(__xludf.DUMMYFUNCTION("""COMPUTED_VALUE"""),"-")</f>
        <v>-</v>
      </c>
      <c r="T1973" s="57">
        <f>IFERROR(__xludf.DUMMYFUNCTION("""COMPUTED_VALUE"""),44798.0)</f>
        <v>44798</v>
      </c>
    </row>
    <row r="1974">
      <c r="A1974" s="6" t="str">
        <f>IFERROR(__xludf.DUMMYFUNCTION("""COMPUTED_VALUE"""),"221750339-7")</f>
        <v>221750339-7</v>
      </c>
      <c r="B1974" s="6" t="str">
        <f>IFERROR(__xludf.DUMMYFUNCTION("""COMPUTED_VALUE"""),"221750339 - Approved")</f>
        <v>221750339 - Approved</v>
      </c>
      <c r="C1974" s="6">
        <f>IFERROR(__xludf.DUMMYFUNCTION("""COMPUTED_VALUE"""),7.0)</f>
        <v>7</v>
      </c>
      <c r="D1974" s="6" t="str">
        <f>IFERROR(__xludf.DUMMYFUNCTION("""COMPUTED_VALUE"""),"P-13887-00")</f>
        <v>P-13887-00</v>
      </c>
      <c r="E1974" s="6" t="str">
        <f>IFERROR(__xludf.DUMMYFUNCTION("""COMPUTED_VALUE"""),"Kawat Seling SS dia 4mm")</f>
        <v>Kawat Seling SS dia 4mm</v>
      </c>
      <c r="F1974" s="6">
        <f>IFERROR(__xludf.DUMMYFUNCTION("""COMPUTED_VALUE"""),40.0)</f>
        <v>40</v>
      </c>
      <c r="G1974" s="6" t="str">
        <f>IFERROR(__xludf.DUMMYFUNCTION("""COMPUTED_VALUE"""),"Meter")</f>
        <v>Meter</v>
      </c>
      <c r="H1974" s="6" t="str">
        <f>IFERROR(__xludf.DUMMYFUNCTION("""COMPUTED_VALUE"""),"IDR")</f>
        <v>IDR</v>
      </c>
      <c r="I1974" s="6">
        <f>IFERROR(__xludf.DUMMYFUNCTION("""COMPUTED_VALUE"""),24500.0)</f>
        <v>24500</v>
      </c>
      <c r="J1974" s="6">
        <f>IFERROR(__xludf.DUMMYFUNCTION("""COMPUTED_VALUE"""),980000.0)</f>
        <v>980000</v>
      </c>
      <c r="K1974" s="57">
        <f>IFERROR(__xludf.DUMMYFUNCTION("""COMPUTED_VALUE"""),44799.0)</f>
        <v>44799</v>
      </c>
      <c r="L1974" s="6" t="str">
        <f>IFERROR(__xludf.DUMMYFUNCTION("""COMPUTED_VALUE"""),"FIP General")</f>
        <v>FIP General</v>
      </c>
      <c r="M1974" s="6" t="str">
        <f>IFERROR(__xludf.DUMMYFUNCTION("""COMPUTED_VALUE"""),"Irwan Sopian")</f>
        <v>Irwan Sopian</v>
      </c>
      <c r="N1974" s="6" t="str">
        <f>IFERROR(__xludf.DUMMYFUNCTION("""COMPUTED_VALUE"""),"FIP Engineering")</f>
        <v>FIP Engineering</v>
      </c>
      <c r="O1974" s="6" t="str">
        <f>IFERROR(__xludf.DUMMYFUNCTION("""COMPUTED_VALUE"""),"FIP-DOM-ENG-51502-0000000-INA-000000")</f>
        <v>FIP-DOM-ENG-51502-0000000-INA-000000</v>
      </c>
      <c r="P1974" s="6" t="str">
        <f>IFERROR(__xludf.DUMMYFUNCTION("""COMPUTED_VALUE"""),"PO Closed")</f>
        <v>PO Closed</v>
      </c>
      <c r="Q1974" s="6" t="str">
        <f>IFERROR(__xludf.DUMMYFUNCTION("""COMPUTED_VALUE"""),"GL2208004")</f>
        <v>GL2208004</v>
      </c>
      <c r="R1974" s="57">
        <f>IFERROR(__xludf.DUMMYFUNCTION("""COMPUTED_VALUE"""),44769.0)</f>
        <v>44769</v>
      </c>
      <c r="S1974" s="6" t="str">
        <f>IFERROR(__xludf.DUMMYFUNCTION("""COMPUTED_VALUE"""),"-")</f>
        <v>-</v>
      </c>
      <c r="T1974" s="57">
        <f>IFERROR(__xludf.DUMMYFUNCTION("""COMPUTED_VALUE"""),44798.0)</f>
        <v>44798</v>
      </c>
    </row>
    <row r="1975">
      <c r="A1975" s="6" t="str">
        <f>IFERROR(__xludf.DUMMYFUNCTION("""COMPUTED_VALUE"""),"221750339-8")</f>
        <v>221750339-8</v>
      </c>
      <c r="B1975" s="6" t="str">
        <f>IFERROR(__xludf.DUMMYFUNCTION("""COMPUTED_VALUE"""),"221750339 - Approved")</f>
        <v>221750339 - Approved</v>
      </c>
      <c r="C1975" s="6">
        <f>IFERROR(__xludf.DUMMYFUNCTION("""COMPUTED_VALUE"""),8.0)</f>
        <v>8</v>
      </c>
      <c r="D1975" s="6" t="str">
        <f>IFERROR(__xludf.DUMMYFUNCTION("""COMPUTED_VALUE"""),"P-12764-00")</f>
        <v>P-12764-00</v>
      </c>
      <c r="E1975" s="6" t="str">
        <f>IFERROR(__xludf.DUMMYFUNCTION("""COMPUTED_VALUE"""),"Silicone gasket for ferrule dia 1/2inch Taiwan")</f>
        <v>Silicone gasket for ferrule dia 1/2inch Taiwan</v>
      </c>
      <c r="F1975" s="6">
        <f>IFERROR(__xludf.DUMMYFUNCTION("""COMPUTED_VALUE"""),20.0)</f>
        <v>20</v>
      </c>
      <c r="G1975" s="6" t="str">
        <f>IFERROR(__xludf.DUMMYFUNCTION("""COMPUTED_VALUE"""),"Pieces")</f>
        <v>Pieces</v>
      </c>
      <c r="H1975" s="6" t="str">
        <f>IFERROR(__xludf.DUMMYFUNCTION("""COMPUTED_VALUE"""),"IDR")</f>
        <v>IDR</v>
      </c>
      <c r="I1975" s="6">
        <f>IFERROR(__xludf.DUMMYFUNCTION("""COMPUTED_VALUE"""),20000.0)</f>
        <v>20000</v>
      </c>
      <c r="J1975" s="6">
        <f>IFERROR(__xludf.DUMMYFUNCTION("""COMPUTED_VALUE"""),400000.0)</f>
        <v>400000</v>
      </c>
      <c r="K1975" s="57">
        <f>IFERROR(__xludf.DUMMYFUNCTION("""COMPUTED_VALUE"""),44799.0)</f>
        <v>44799</v>
      </c>
      <c r="L1975" s="6" t="str">
        <f>IFERROR(__xludf.DUMMYFUNCTION("""COMPUTED_VALUE"""),"FIP Engineering")</f>
        <v>FIP Engineering</v>
      </c>
      <c r="M1975" s="6" t="str">
        <f>IFERROR(__xludf.DUMMYFUNCTION("""COMPUTED_VALUE"""),"Irwan Sopian")</f>
        <v>Irwan Sopian</v>
      </c>
      <c r="N1975" s="6" t="str">
        <f>IFERROR(__xludf.DUMMYFUNCTION("""COMPUTED_VALUE"""),"FIP Engineering")</f>
        <v>FIP Engineering</v>
      </c>
      <c r="O1975" s="6" t="str">
        <f>IFERROR(__xludf.DUMMYFUNCTION("""COMPUTED_VALUE"""),"FIP-DOM-000-11304-OS00001-INA-000000")</f>
        <v>FIP-DOM-000-11304-OS00001-INA-000000</v>
      </c>
      <c r="P1975" s="6" t="str">
        <f>IFERROR(__xludf.DUMMYFUNCTION("""COMPUTED_VALUE"""),"PO Closed")</f>
        <v>PO Closed</v>
      </c>
      <c r="Q1975" s="6" t="str">
        <f>IFERROR(__xludf.DUMMYFUNCTION("""COMPUTED_VALUE"""),"GL2208004")</f>
        <v>GL2208004</v>
      </c>
      <c r="R1975" s="57">
        <f>IFERROR(__xludf.DUMMYFUNCTION("""COMPUTED_VALUE"""),44769.0)</f>
        <v>44769</v>
      </c>
      <c r="S1975" s="6" t="str">
        <f>IFERROR(__xludf.DUMMYFUNCTION("""COMPUTED_VALUE"""),"-")</f>
        <v>-</v>
      </c>
      <c r="T1975" s="57">
        <f>IFERROR(__xludf.DUMMYFUNCTION("""COMPUTED_VALUE"""),44798.0)</f>
        <v>44798</v>
      </c>
    </row>
    <row r="1976">
      <c r="A1976" s="6" t="str">
        <f>IFERROR(__xludf.DUMMYFUNCTION("""COMPUTED_VALUE"""),"221750339-9")</f>
        <v>221750339-9</v>
      </c>
      <c r="B1976" s="6" t="str">
        <f>IFERROR(__xludf.DUMMYFUNCTION("""COMPUTED_VALUE"""),"221750339 - Approved")</f>
        <v>221750339 - Approved</v>
      </c>
      <c r="C1976" s="6">
        <f>IFERROR(__xludf.DUMMYFUNCTION("""COMPUTED_VALUE"""),9.0)</f>
        <v>9</v>
      </c>
      <c r="D1976" s="6" t="str">
        <f>IFERROR(__xludf.DUMMYFUNCTION("""COMPUTED_VALUE"""),"O-15921-00")</f>
        <v>O-15921-00</v>
      </c>
      <c r="E1976" s="6" t="str">
        <f>IFERROR(__xludf.DUMMYFUNCTION("""COMPUTED_VALUE"""),"Clamp Ferrule 1/2""; SS304; ; ;")</f>
        <v>Clamp Ferrule 1/2"; SS304; ; ;</v>
      </c>
      <c r="F1976" s="6">
        <f>IFERROR(__xludf.DUMMYFUNCTION("""COMPUTED_VALUE"""),10.0)</f>
        <v>10</v>
      </c>
      <c r="G1976" s="6" t="str">
        <f>IFERROR(__xludf.DUMMYFUNCTION("""COMPUTED_VALUE"""),"Pieces")</f>
        <v>Pieces</v>
      </c>
      <c r="H1976" s="6" t="str">
        <f>IFERROR(__xludf.DUMMYFUNCTION("""COMPUTED_VALUE"""),"IDR")</f>
        <v>IDR</v>
      </c>
      <c r="I1976" s="6">
        <f>IFERROR(__xludf.DUMMYFUNCTION("""COMPUTED_VALUE"""),150000.0)</f>
        <v>150000</v>
      </c>
      <c r="J1976" s="6">
        <f>IFERROR(__xludf.DUMMYFUNCTION("""COMPUTED_VALUE"""),1500000.0)</f>
        <v>1500000</v>
      </c>
      <c r="K1976" s="57">
        <f>IFERROR(__xludf.DUMMYFUNCTION("""COMPUTED_VALUE"""),44799.0)</f>
        <v>44799</v>
      </c>
      <c r="L1976" s="6" t="str">
        <f>IFERROR(__xludf.DUMMYFUNCTION("""COMPUTED_VALUE"""),"FIP General")</f>
        <v>FIP General</v>
      </c>
      <c r="M1976" s="6" t="str">
        <f>IFERROR(__xludf.DUMMYFUNCTION("""COMPUTED_VALUE"""),"Irwan Sopian")</f>
        <v>Irwan Sopian</v>
      </c>
      <c r="N1976" s="6" t="str">
        <f>IFERROR(__xludf.DUMMYFUNCTION("""COMPUTED_VALUE"""),"FIP Engineering")</f>
        <v>FIP Engineering</v>
      </c>
      <c r="O1976" s="6" t="str">
        <f>IFERROR(__xludf.DUMMYFUNCTION("""COMPUTED_VALUE"""),"FIP-DOM-ENG-51504-0000000-INA-000000")</f>
        <v>FIP-DOM-ENG-51504-0000000-INA-000000</v>
      </c>
      <c r="P1976" s="6" t="str">
        <f>IFERROR(__xludf.DUMMYFUNCTION("""COMPUTED_VALUE"""),"PO Closed")</f>
        <v>PO Closed</v>
      </c>
      <c r="Q1976" s="6" t="str">
        <f>IFERROR(__xludf.DUMMYFUNCTION("""COMPUTED_VALUE"""),"GL2208004")</f>
        <v>GL2208004</v>
      </c>
      <c r="R1976" s="57">
        <f>IFERROR(__xludf.DUMMYFUNCTION("""COMPUTED_VALUE"""),44769.0)</f>
        <v>44769</v>
      </c>
      <c r="S1976" s="6" t="str">
        <f>IFERROR(__xludf.DUMMYFUNCTION("""COMPUTED_VALUE"""),"-")</f>
        <v>-</v>
      </c>
      <c r="T1976" s="57">
        <f>IFERROR(__xludf.DUMMYFUNCTION("""COMPUTED_VALUE"""),44798.0)</f>
        <v>44798</v>
      </c>
    </row>
    <row r="1977">
      <c r="A1977" s="6" t="str">
        <f>IFERROR(__xludf.DUMMYFUNCTION("""COMPUTED_VALUE"""),"221750357-1")</f>
        <v>221750357-1</v>
      </c>
      <c r="B1977" s="6" t="str">
        <f>IFERROR(__xludf.DUMMYFUNCTION("""COMPUTED_VALUE"""),"221750357 - Approved")</f>
        <v>221750357 - Approved</v>
      </c>
      <c r="C1977" s="6">
        <f>IFERROR(__xludf.DUMMYFUNCTION("""COMPUTED_VALUE"""),1.0)</f>
        <v>1</v>
      </c>
      <c r="D1977" s="6" t="str">
        <f>IFERROR(__xludf.DUMMYFUNCTION("""COMPUTED_VALUE"""),"S-60002-00")</f>
        <v>S-60002-00</v>
      </c>
      <c r="E1977" s="6" t="str">
        <f>IFERROR(__xludf.DUMMYFUNCTION("""COMPUTED_VALUE"""),"Remote Service Assistance ( Remote Assistance on equipment CLU s/n EK2046 to check issues during unloading process)")</f>
        <v>Remote Service Assistance ( Remote Assistance on equipment CLU s/n EK2046 to check issues during unloading process)</v>
      </c>
      <c r="F1977" s="6">
        <f>IFERROR(__xludf.DUMMYFUNCTION("""COMPUTED_VALUE"""),1.0)</f>
        <v>1</v>
      </c>
      <c r="G1977" s="6" t="str">
        <f>IFERROR(__xludf.DUMMYFUNCTION("""COMPUTED_VALUE"""),"Lot")</f>
        <v>Lot</v>
      </c>
      <c r="H1977" s="6" t="str">
        <f>IFERROR(__xludf.DUMMYFUNCTION("""COMPUTED_VALUE"""),"EUR")</f>
        <v>EUR</v>
      </c>
      <c r="I1977" s="6">
        <f>IFERROR(__xludf.DUMMYFUNCTION("""COMPUTED_VALUE"""),584.0)</f>
        <v>584</v>
      </c>
      <c r="J1977" s="6">
        <f>IFERROR(__xludf.DUMMYFUNCTION("""COMPUTED_VALUE"""),584.0)</f>
        <v>584</v>
      </c>
      <c r="K1977" s="57">
        <f>IFERROR(__xludf.DUMMYFUNCTION("""COMPUTED_VALUE"""),44799.0)</f>
        <v>44799</v>
      </c>
      <c r="L1977" s="6" t="str">
        <f>IFERROR(__xludf.DUMMYFUNCTION("""COMPUTED_VALUE"""),"FIP General")</f>
        <v>FIP General</v>
      </c>
      <c r="M1977" s="6" t="str">
        <f>IFERROR(__xludf.DUMMYFUNCTION("""COMPUTED_VALUE"""),"Irwan Sopian")</f>
        <v>Irwan Sopian</v>
      </c>
      <c r="N1977" s="6" t="str">
        <f>IFERROR(__xludf.DUMMYFUNCTION("""COMPUTED_VALUE"""),"FIP Engineering")</f>
        <v>FIP Engineering</v>
      </c>
      <c r="O1977" s="6" t="str">
        <f>IFERROR(__xludf.DUMMYFUNCTION("""COMPUTED_VALUE"""),"FIP-DOM-ENG-51508-0000000-INA-000000")</f>
        <v>FIP-DOM-ENG-51508-0000000-INA-000000</v>
      </c>
      <c r="P1977" s="6" t="str">
        <f>IFERROR(__xludf.DUMMYFUNCTION("""COMPUTED_VALUE"""),"PO Closed")</f>
        <v>PO Closed</v>
      </c>
      <c r="Q1977" s="6" t="str">
        <f>IFERROR(__xludf.DUMMYFUNCTION("""COMPUTED_VALUE"""),"GL2208005")</f>
        <v>GL2208005</v>
      </c>
      <c r="R1977" s="57">
        <f>IFERROR(__xludf.DUMMYFUNCTION("""COMPUTED_VALUE"""),44770.0)</f>
        <v>44770</v>
      </c>
      <c r="S1977" s="6" t="str">
        <f>IFERROR(__xludf.DUMMYFUNCTION("""COMPUTED_VALUE"""),"-")</f>
        <v>-</v>
      </c>
      <c r="T1977" s="57">
        <f>IFERROR(__xludf.DUMMYFUNCTION("""COMPUTED_VALUE"""),44803.0)</f>
        <v>44803</v>
      </c>
    </row>
    <row r="1978">
      <c r="A1978" s="6" t="str">
        <f>IFERROR(__xludf.DUMMYFUNCTION("""COMPUTED_VALUE"""),"221750367-1")</f>
        <v>221750367-1</v>
      </c>
      <c r="B1978" s="6" t="str">
        <f>IFERROR(__xludf.DUMMYFUNCTION("""COMPUTED_VALUE"""),"221750367 - Approved")</f>
        <v>221750367 - Approved</v>
      </c>
      <c r="C1978" s="6">
        <f>IFERROR(__xludf.DUMMYFUNCTION("""COMPUTED_VALUE"""),1.0)</f>
        <v>1</v>
      </c>
      <c r="D1978" s="6" t="str">
        <f>IFERROR(__xludf.DUMMYFUNCTION("""COMPUTED_VALUE"""),"Q-10924-00")</f>
        <v>Q-10924-00</v>
      </c>
      <c r="E1978" s="6" t="str">
        <f>IFERROR(__xludf.DUMMYFUNCTION("""COMPUTED_VALUE"""),"Cat Hardtop XP RAL 5018 Turquois Blue Jotun")</f>
        <v>Cat Hardtop XP RAL 5018 Turquois Blue Jotun</v>
      </c>
      <c r="F1978" s="6">
        <f>IFERROR(__xludf.DUMMYFUNCTION("""COMPUTED_VALUE"""),4.0)</f>
        <v>4</v>
      </c>
      <c r="G1978" s="6" t="str">
        <f>IFERROR(__xludf.DUMMYFUNCTION("""COMPUTED_VALUE"""),"Pail")</f>
        <v>Pail</v>
      </c>
      <c r="H1978" s="6" t="str">
        <f>IFERROR(__xludf.DUMMYFUNCTION("""COMPUTED_VALUE"""),"IDR")</f>
        <v>IDR</v>
      </c>
      <c r="I1978" s="6">
        <f>IFERROR(__xludf.DUMMYFUNCTION("""COMPUTED_VALUE"""),2856000.0)</f>
        <v>2856000</v>
      </c>
      <c r="J1978" s="6">
        <f>IFERROR(__xludf.DUMMYFUNCTION("""COMPUTED_VALUE"""),1.1424E7)</f>
        <v>11424000</v>
      </c>
      <c r="K1978" s="57">
        <f>IFERROR(__xludf.DUMMYFUNCTION("""COMPUTED_VALUE"""),44799.0)</f>
        <v>44799</v>
      </c>
      <c r="L1978" s="6" t="str">
        <f>IFERROR(__xludf.DUMMYFUNCTION("""COMPUTED_VALUE"""),"FIP General")</f>
        <v>FIP General</v>
      </c>
      <c r="M1978" s="6" t="str">
        <f>IFERROR(__xludf.DUMMYFUNCTION("""COMPUTED_VALUE"""),"Irwan Sopian")</f>
        <v>Irwan Sopian</v>
      </c>
      <c r="N1978" s="6" t="str">
        <f>IFERROR(__xludf.DUMMYFUNCTION("""COMPUTED_VALUE"""),"FIP Engineering")</f>
        <v>FIP Engineering</v>
      </c>
      <c r="O1978" s="6" t="str">
        <f>IFERROR(__xludf.DUMMYFUNCTION("""COMPUTED_VALUE"""),"FIP-DOM-ENG-51502-0000000-INA-000000")</f>
        <v>FIP-DOM-ENG-51502-0000000-INA-000000</v>
      </c>
      <c r="P1978" s="6" t="str">
        <f>IFERROR(__xludf.DUMMYFUNCTION("""COMPUTED_VALUE"""),"PO Closed")</f>
        <v>PO Closed</v>
      </c>
      <c r="Q1978" s="6" t="str">
        <f>IFERROR(__xludf.DUMMYFUNCTION("""COMPUTED_VALUE"""),"GL2208314")</f>
        <v>GL2208314</v>
      </c>
      <c r="R1978" s="57">
        <f>IFERROR(__xludf.DUMMYFUNCTION("""COMPUTED_VALUE"""),44775.0)</f>
        <v>44775</v>
      </c>
      <c r="S1978" s="6" t="str">
        <f>IFERROR(__xludf.DUMMYFUNCTION("""COMPUTED_VALUE"""),"-")</f>
        <v>-</v>
      </c>
      <c r="T1978" s="57">
        <f>IFERROR(__xludf.DUMMYFUNCTION("""COMPUTED_VALUE"""),44789.0)</f>
        <v>44789</v>
      </c>
    </row>
    <row r="1979">
      <c r="A1979" s="6" t="str">
        <f>IFERROR(__xludf.DUMMYFUNCTION("""COMPUTED_VALUE"""),"221750376-1")</f>
        <v>221750376-1</v>
      </c>
      <c r="B1979" s="6" t="str">
        <f>IFERROR(__xludf.DUMMYFUNCTION("""COMPUTED_VALUE"""),"221750376 - Approved")</f>
        <v>221750376 - Approved</v>
      </c>
      <c r="C1979" s="6">
        <f>IFERROR(__xludf.DUMMYFUNCTION("""COMPUTED_VALUE"""),1.0)</f>
        <v>1</v>
      </c>
      <c r="D1979" s="6" t="str">
        <f>IFERROR(__xludf.DUMMYFUNCTION("""COMPUTED_VALUE"""),"S-60002-00")</f>
        <v>S-60002-00</v>
      </c>
      <c r="E1979" s="6" t="str">
        <f>IFERROR(__xludf.DUMMYFUNCTION("""COMPUTED_VALUE"""),"Jasa Welding (Instalasi Steam Trap Mesin PSG dan WFI)")</f>
        <v>Jasa Welding (Instalasi Steam Trap Mesin PSG dan WFI)</v>
      </c>
      <c r="F1979" s="6">
        <f>IFERROR(__xludf.DUMMYFUNCTION("""COMPUTED_VALUE"""),1.0)</f>
        <v>1</v>
      </c>
      <c r="G1979" s="6" t="str">
        <f>IFERROR(__xludf.DUMMYFUNCTION("""COMPUTED_VALUE"""),"Lot")</f>
        <v>Lot</v>
      </c>
      <c r="H1979" s="6" t="str">
        <f>IFERROR(__xludf.DUMMYFUNCTION("""COMPUTED_VALUE"""),"IDR")</f>
        <v>IDR</v>
      </c>
      <c r="I1979" s="6">
        <f>IFERROR(__xludf.DUMMYFUNCTION("""COMPUTED_VALUE"""),500000.0)</f>
        <v>500000</v>
      </c>
      <c r="J1979" s="6">
        <f>IFERROR(__xludf.DUMMYFUNCTION("""COMPUTED_VALUE"""),500000.0)</f>
        <v>500000</v>
      </c>
      <c r="K1979" s="57">
        <f>IFERROR(__xludf.DUMMYFUNCTION("""COMPUTED_VALUE"""),44804.0)</f>
        <v>44804</v>
      </c>
      <c r="L1979" s="6" t="str">
        <f>IFERROR(__xludf.DUMMYFUNCTION("""COMPUTED_VALUE"""),"FIP General")</f>
        <v>FIP General</v>
      </c>
      <c r="M1979" s="6" t="str">
        <f>IFERROR(__xludf.DUMMYFUNCTION("""COMPUTED_VALUE"""),"Irwan Sopian")</f>
        <v>Irwan Sopian</v>
      </c>
      <c r="N1979" s="6" t="str">
        <f>IFERROR(__xludf.DUMMYFUNCTION("""COMPUTED_VALUE"""),"FIP Engineering")</f>
        <v>FIP Engineering</v>
      </c>
      <c r="O1979" s="6" t="str">
        <f>IFERROR(__xludf.DUMMYFUNCTION("""COMPUTED_VALUE"""),"FIP-DOM-ENG-51508-0000000-INA-000000")</f>
        <v>FIP-DOM-ENG-51508-0000000-INA-000000</v>
      </c>
      <c r="P1979" s="6" t="str">
        <f>IFERROR(__xludf.DUMMYFUNCTION("""COMPUTED_VALUE"""),"PO Closed")</f>
        <v>PO Closed</v>
      </c>
      <c r="Q1979" s="6" t="str">
        <f>IFERROR(__xludf.DUMMYFUNCTION("""COMPUTED_VALUE"""),"GL2208024")</f>
        <v>GL2208024</v>
      </c>
      <c r="R1979" s="57">
        <f>IFERROR(__xludf.DUMMYFUNCTION("""COMPUTED_VALUE"""),44777.0)</f>
        <v>44777</v>
      </c>
      <c r="S1979" s="6" t="str">
        <f>IFERROR(__xludf.DUMMYFUNCTION("""COMPUTED_VALUE"""),"-")</f>
        <v>-</v>
      </c>
      <c r="T1979" s="57">
        <f>IFERROR(__xludf.DUMMYFUNCTION("""COMPUTED_VALUE"""),44798.0)</f>
        <v>44798</v>
      </c>
    </row>
    <row r="1980">
      <c r="A1980" s="6" t="str">
        <f>IFERROR(__xludf.DUMMYFUNCTION("""COMPUTED_VALUE"""),"221750375-1")</f>
        <v>221750375-1</v>
      </c>
      <c r="B1980" s="6" t="str">
        <f>IFERROR(__xludf.DUMMYFUNCTION("""COMPUTED_VALUE"""),"221750375 - Approved")</f>
        <v>221750375 - Approved</v>
      </c>
      <c r="C1980" s="6">
        <f>IFERROR(__xludf.DUMMYFUNCTION("""COMPUTED_VALUE"""),1.0)</f>
        <v>1</v>
      </c>
      <c r="D1980" s="6" t="str">
        <f>IFERROR(__xludf.DUMMYFUNCTION("""COMPUTED_VALUE"""),"P-18267-00")</f>
        <v>P-18267-00</v>
      </c>
      <c r="E1980" s="6" t="str">
        <f>IFERROR(__xludf.DUMMYFUNCTION("""COMPUTED_VALUE"""),"Double Neple SS 304 Ukuran :1/2 inch")</f>
        <v>Double Neple SS 304 Ukuran :1/2 inch</v>
      </c>
      <c r="F1980" s="6">
        <f>IFERROR(__xludf.DUMMYFUNCTION("""COMPUTED_VALUE"""),2.0)</f>
        <v>2</v>
      </c>
      <c r="G1980" s="6" t="str">
        <f>IFERROR(__xludf.DUMMYFUNCTION("""COMPUTED_VALUE"""),"Pieces")</f>
        <v>Pieces</v>
      </c>
      <c r="H1980" s="6" t="str">
        <f>IFERROR(__xludf.DUMMYFUNCTION("""COMPUTED_VALUE"""),"IDR")</f>
        <v>IDR</v>
      </c>
      <c r="I1980" s="6">
        <f>IFERROR(__xludf.DUMMYFUNCTION("""COMPUTED_VALUE"""),55000.0)</f>
        <v>55000</v>
      </c>
      <c r="J1980" s="6">
        <f>IFERROR(__xludf.DUMMYFUNCTION("""COMPUTED_VALUE"""),110000.0)</f>
        <v>110000</v>
      </c>
      <c r="K1980" s="57">
        <f>IFERROR(__xludf.DUMMYFUNCTION("""COMPUTED_VALUE"""),44804.0)</f>
        <v>44804</v>
      </c>
      <c r="L1980" s="6" t="str">
        <f>IFERROR(__xludf.DUMMYFUNCTION("""COMPUTED_VALUE"""),"FIP Engineering")</f>
        <v>FIP Engineering</v>
      </c>
      <c r="M1980" s="6" t="str">
        <f>IFERROR(__xludf.DUMMYFUNCTION("""COMPUTED_VALUE"""),"Irwan Sopian")</f>
        <v>Irwan Sopian</v>
      </c>
      <c r="N1980" s="6" t="str">
        <f>IFERROR(__xludf.DUMMYFUNCTION("""COMPUTED_VALUE"""),"FIP Engineering")</f>
        <v>FIP Engineering</v>
      </c>
      <c r="O1980" s="6" t="str">
        <f>IFERROR(__xludf.DUMMYFUNCTION("""COMPUTED_VALUE"""),"FIP-DOM-000-11304-OS00001-INA-000000")</f>
        <v>FIP-DOM-000-11304-OS00001-INA-000000</v>
      </c>
      <c r="P1980" s="6" t="str">
        <f>IFERROR(__xludf.DUMMYFUNCTION("""COMPUTED_VALUE"""),"PO Closed")</f>
        <v>PO Closed</v>
      </c>
      <c r="Q1980" s="6" t="str">
        <f>IFERROR(__xludf.DUMMYFUNCTION("""COMPUTED_VALUE"""),"GL2208004")</f>
        <v>GL2208004</v>
      </c>
      <c r="R1980" s="57">
        <f>IFERROR(__xludf.DUMMYFUNCTION("""COMPUTED_VALUE"""),44777.0)</f>
        <v>44777</v>
      </c>
      <c r="S1980" s="6" t="str">
        <f>IFERROR(__xludf.DUMMYFUNCTION("""COMPUTED_VALUE"""),"-")</f>
        <v>-</v>
      </c>
      <c r="T1980" s="57">
        <f>IFERROR(__xludf.DUMMYFUNCTION("""COMPUTED_VALUE"""),44798.0)</f>
        <v>44798</v>
      </c>
    </row>
    <row r="1981">
      <c r="A1981" s="6" t="str">
        <f>IFERROR(__xludf.DUMMYFUNCTION("""COMPUTED_VALUE"""),"221750375-2")</f>
        <v>221750375-2</v>
      </c>
      <c r="B1981" s="6" t="str">
        <f>IFERROR(__xludf.DUMMYFUNCTION("""COMPUTED_VALUE"""),"221750375 - Approved")</f>
        <v>221750375 - Approved</v>
      </c>
      <c r="C1981" s="6">
        <f>IFERROR(__xludf.DUMMYFUNCTION("""COMPUTED_VALUE"""),2.0)</f>
        <v>2</v>
      </c>
      <c r="D1981" s="6" t="str">
        <f>IFERROR(__xludf.DUMMYFUNCTION("""COMPUTED_VALUE"""),"P-10393-00")</f>
        <v>P-10393-00</v>
      </c>
      <c r="E1981" s="6" t="str">
        <f>IFERROR(__xludf.DUMMYFUNCTION("""COMPUTED_VALUE"""),"Ball Valve SS 1/2""")</f>
        <v>Ball Valve SS 1/2"</v>
      </c>
      <c r="F1981" s="6">
        <f>IFERROR(__xludf.DUMMYFUNCTION("""COMPUTED_VALUE"""),1.0)</f>
        <v>1</v>
      </c>
      <c r="G1981" s="6" t="str">
        <f>IFERROR(__xludf.DUMMYFUNCTION("""COMPUTED_VALUE"""),"Pieces")</f>
        <v>Pieces</v>
      </c>
      <c r="H1981" s="6" t="str">
        <f>IFERROR(__xludf.DUMMYFUNCTION("""COMPUTED_VALUE"""),"IDR")</f>
        <v>IDR</v>
      </c>
      <c r="I1981" s="6">
        <f>IFERROR(__xludf.DUMMYFUNCTION("""COMPUTED_VALUE"""),85000.0)</f>
        <v>85000</v>
      </c>
      <c r="J1981" s="6">
        <f>IFERROR(__xludf.DUMMYFUNCTION("""COMPUTED_VALUE"""),85000.0)</f>
        <v>85000</v>
      </c>
      <c r="K1981" s="57">
        <f>IFERROR(__xludf.DUMMYFUNCTION("""COMPUTED_VALUE"""),44804.0)</f>
        <v>44804</v>
      </c>
      <c r="L1981" s="6" t="str">
        <f>IFERROR(__xludf.DUMMYFUNCTION("""COMPUTED_VALUE"""),"FIP Engineering")</f>
        <v>FIP Engineering</v>
      </c>
      <c r="M1981" s="6" t="str">
        <f>IFERROR(__xludf.DUMMYFUNCTION("""COMPUTED_VALUE"""),"Irwan Sopian")</f>
        <v>Irwan Sopian</v>
      </c>
      <c r="N1981" s="6" t="str">
        <f>IFERROR(__xludf.DUMMYFUNCTION("""COMPUTED_VALUE"""),"FIP Engineering")</f>
        <v>FIP Engineering</v>
      </c>
      <c r="O1981" s="6" t="str">
        <f>IFERROR(__xludf.DUMMYFUNCTION("""COMPUTED_VALUE"""),"FIP-DOM-000-11304-OS00001-INA-000000")</f>
        <v>FIP-DOM-000-11304-OS00001-INA-000000</v>
      </c>
      <c r="P1981" s="6" t="str">
        <f>IFERROR(__xludf.DUMMYFUNCTION("""COMPUTED_VALUE"""),"PO Closed")</f>
        <v>PO Closed</v>
      </c>
      <c r="Q1981" s="6" t="str">
        <f>IFERROR(__xludf.DUMMYFUNCTION("""COMPUTED_VALUE"""),"GL2208004")</f>
        <v>GL2208004</v>
      </c>
      <c r="R1981" s="57">
        <f>IFERROR(__xludf.DUMMYFUNCTION("""COMPUTED_VALUE"""),44777.0)</f>
        <v>44777</v>
      </c>
      <c r="S1981" s="6" t="str">
        <f>IFERROR(__xludf.DUMMYFUNCTION("""COMPUTED_VALUE"""),"-")</f>
        <v>-</v>
      </c>
      <c r="T1981" s="57">
        <f>IFERROR(__xludf.DUMMYFUNCTION("""COMPUTED_VALUE"""),44798.0)</f>
        <v>44798</v>
      </c>
    </row>
    <row r="1982">
      <c r="A1982" s="6" t="str">
        <f>IFERROR(__xludf.DUMMYFUNCTION("""COMPUTED_VALUE"""),"221750375-3")</f>
        <v>221750375-3</v>
      </c>
      <c r="B1982" s="6" t="str">
        <f>IFERROR(__xludf.DUMMYFUNCTION("""COMPUTED_VALUE"""),"221750375 - Approved")</f>
        <v>221750375 - Approved</v>
      </c>
      <c r="C1982" s="6">
        <f>IFERROR(__xludf.DUMMYFUNCTION("""COMPUTED_VALUE"""),3.0)</f>
        <v>3</v>
      </c>
      <c r="D1982" s="6" t="str">
        <f>IFERROR(__xludf.DUMMYFUNCTION("""COMPUTED_VALUE"""),"P-14407-00")</f>
        <v>P-14407-00</v>
      </c>
      <c r="E1982" s="6" t="str">
        <f>IFERROR(__xludf.DUMMYFUNCTION("""COMPUTED_VALUE"""),"Gate Valve 1/2 inch")</f>
        <v>Gate Valve 1/2 inch</v>
      </c>
      <c r="F1982" s="6">
        <f>IFERROR(__xludf.DUMMYFUNCTION("""COMPUTED_VALUE"""),3.0)</f>
        <v>3</v>
      </c>
      <c r="G1982" s="6" t="str">
        <f>IFERROR(__xludf.DUMMYFUNCTION("""COMPUTED_VALUE"""),"Pieces")</f>
        <v>Pieces</v>
      </c>
      <c r="H1982" s="6" t="str">
        <f>IFERROR(__xludf.DUMMYFUNCTION("""COMPUTED_VALUE"""),"IDR")</f>
        <v>IDR</v>
      </c>
      <c r="I1982" s="6">
        <f>IFERROR(__xludf.DUMMYFUNCTION("""COMPUTED_VALUE"""),223500.0)</f>
        <v>223500</v>
      </c>
      <c r="J1982" s="6">
        <f>IFERROR(__xludf.DUMMYFUNCTION("""COMPUTED_VALUE"""),670500.0)</f>
        <v>670500</v>
      </c>
      <c r="K1982" s="57">
        <f>IFERROR(__xludf.DUMMYFUNCTION("""COMPUTED_VALUE"""),44804.0)</f>
        <v>44804</v>
      </c>
      <c r="L1982" s="6" t="str">
        <f>IFERROR(__xludf.DUMMYFUNCTION("""COMPUTED_VALUE"""),"FIP Engineering")</f>
        <v>FIP Engineering</v>
      </c>
      <c r="M1982" s="6" t="str">
        <f>IFERROR(__xludf.DUMMYFUNCTION("""COMPUTED_VALUE"""),"Irwan Sopian")</f>
        <v>Irwan Sopian</v>
      </c>
      <c r="N1982" s="6" t="str">
        <f>IFERROR(__xludf.DUMMYFUNCTION("""COMPUTED_VALUE"""),"FIP Engineering")</f>
        <v>FIP Engineering</v>
      </c>
      <c r="O1982" s="6" t="str">
        <f>IFERROR(__xludf.DUMMYFUNCTION("""COMPUTED_VALUE"""),"FIP-DOM-000-11304-OS00001-INA-000000")</f>
        <v>FIP-DOM-000-11304-OS00001-INA-000000</v>
      </c>
      <c r="P1982" s="6" t="str">
        <f>IFERROR(__xludf.DUMMYFUNCTION("""COMPUTED_VALUE"""),"PO Closed")</f>
        <v>PO Closed</v>
      </c>
      <c r="Q1982" s="6" t="str">
        <f>IFERROR(__xludf.DUMMYFUNCTION("""COMPUTED_VALUE"""),"GL2208004")</f>
        <v>GL2208004</v>
      </c>
      <c r="R1982" s="57">
        <f>IFERROR(__xludf.DUMMYFUNCTION("""COMPUTED_VALUE"""),44777.0)</f>
        <v>44777</v>
      </c>
      <c r="S1982" s="6" t="str">
        <f>IFERROR(__xludf.DUMMYFUNCTION("""COMPUTED_VALUE"""),"-")</f>
        <v>-</v>
      </c>
      <c r="T1982" s="57">
        <f>IFERROR(__xludf.DUMMYFUNCTION("""COMPUTED_VALUE"""),44798.0)</f>
        <v>44798</v>
      </c>
    </row>
    <row r="1983">
      <c r="A1983" s="6" t="str">
        <f>IFERROR(__xludf.DUMMYFUNCTION("""COMPUTED_VALUE"""),"221750374-1")</f>
        <v>221750374-1</v>
      </c>
      <c r="B1983" s="6" t="str">
        <f>IFERROR(__xludf.DUMMYFUNCTION("""COMPUTED_VALUE"""),"221750374 - Approved")</f>
        <v>221750374 - Approved</v>
      </c>
      <c r="C1983" s="6">
        <f>IFERROR(__xludf.DUMMYFUNCTION("""COMPUTED_VALUE"""),1.0)</f>
        <v>1</v>
      </c>
      <c r="D1983" s="6" t="str">
        <f>IFERROR(__xludf.DUMMYFUNCTION("""COMPUTED_VALUE"""),"O-52561-00")</f>
        <v>O-52561-00</v>
      </c>
      <c r="E1983" s="6" t="str">
        <f>IFERROR(__xludf.DUMMYFUNCTION("""COMPUTED_VALUE"""),"UPS Type I Plug IPG800, Capacity 800 VA; Riello; ;")</f>
        <v>UPS Type I Plug IPG800, Capacity 800 VA; Riello; ;</v>
      </c>
      <c r="F1983" s="6">
        <f>IFERROR(__xludf.DUMMYFUNCTION("""COMPUTED_VALUE"""),1.0)</f>
        <v>1</v>
      </c>
      <c r="G1983" s="6" t="str">
        <f>IFERROR(__xludf.DUMMYFUNCTION("""COMPUTED_VALUE"""),"Unit")</f>
        <v>Unit</v>
      </c>
      <c r="H1983" s="6" t="str">
        <f>IFERROR(__xludf.DUMMYFUNCTION("""COMPUTED_VALUE"""),"IDR")</f>
        <v>IDR</v>
      </c>
      <c r="I1983" s="6">
        <f>IFERROR(__xludf.DUMMYFUNCTION("""COMPUTED_VALUE"""),1750000.0)</f>
        <v>1750000</v>
      </c>
      <c r="J1983" s="6">
        <f>IFERROR(__xludf.DUMMYFUNCTION("""COMPUTED_VALUE"""),1750000.0)</f>
        <v>1750000</v>
      </c>
      <c r="K1983" s="57">
        <f>IFERROR(__xludf.DUMMYFUNCTION("""COMPUTED_VALUE"""),44806.0)</f>
        <v>44806</v>
      </c>
      <c r="L1983" s="6" t="str">
        <f>IFERROR(__xludf.DUMMYFUNCTION("""COMPUTED_VALUE"""),"FIP General")</f>
        <v>FIP General</v>
      </c>
      <c r="M1983" s="6" t="str">
        <f>IFERROR(__xludf.DUMMYFUNCTION("""COMPUTED_VALUE"""),"Irwan Sopian")</f>
        <v>Irwan Sopian</v>
      </c>
      <c r="N1983" s="6" t="str">
        <f>IFERROR(__xludf.DUMMYFUNCTION("""COMPUTED_VALUE"""),"FIP Engineering")</f>
        <v>FIP Engineering</v>
      </c>
      <c r="O1983" s="6" t="str">
        <f>IFERROR(__xludf.DUMMYFUNCTION("""COMPUTED_VALUE"""),"FIP-DOM-ENG-51504-0000000-INA-000000")</f>
        <v>FIP-DOM-ENG-51504-0000000-INA-000000</v>
      </c>
      <c r="P1983" s="6" t="str">
        <f>IFERROR(__xludf.DUMMYFUNCTION("""COMPUTED_VALUE"""),"PO Closed")</f>
        <v>PO Closed</v>
      </c>
      <c r="Q1983" s="6" t="str">
        <f>IFERROR(__xludf.DUMMYFUNCTION("""COMPUTED_VALUE"""),"GL2209014")</f>
        <v>GL2209014</v>
      </c>
      <c r="R1983" s="57">
        <f>IFERROR(__xludf.DUMMYFUNCTION("""COMPUTED_VALUE"""),44777.0)</f>
        <v>44777</v>
      </c>
      <c r="S1983" s="6" t="str">
        <f>IFERROR(__xludf.DUMMYFUNCTION("""COMPUTED_VALUE"""),"-")</f>
        <v>-</v>
      </c>
      <c r="T1983" s="57">
        <f>IFERROR(__xludf.DUMMYFUNCTION("""COMPUTED_VALUE"""),44820.0)</f>
        <v>44820</v>
      </c>
    </row>
    <row r="1984">
      <c r="A1984" s="6" t="str">
        <f>IFERROR(__xludf.DUMMYFUNCTION("""COMPUTED_VALUE"""),"221750373-1")</f>
        <v>221750373-1</v>
      </c>
      <c r="B1984" s="6" t="str">
        <f>IFERROR(__xludf.DUMMYFUNCTION("""COMPUTED_VALUE"""),"221750373 - Approved")</f>
        <v>221750373 - Approved</v>
      </c>
      <c r="C1984" s="6">
        <f>IFERROR(__xludf.DUMMYFUNCTION("""COMPUTED_VALUE"""),1.0)</f>
        <v>1</v>
      </c>
      <c r="D1984" s="6" t="str">
        <f>IFERROR(__xludf.DUMMYFUNCTION("""COMPUTED_VALUE"""),"O-17242-00")</f>
        <v>O-17242-00</v>
      </c>
      <c r="E1984" s="6" t="str">
        <f>IFERROR(__xludf.DUMMYFUNCTION("""COMPUTED_VALUE"""),"Belt HTD 720-5M-95mm + Lapisan Blue Sponge 6mm DIAN BATARA INTI, PT P/N : - set")</f>
        <v>Belt HTD 720-5M-95mm + Lapisan Blue Sponge 6mm DIAN BATARA INTI, PT P/N : - set</v>
      </c>
      <c r="F1984" s="6">
        <f>IFERROR(__xludf.DUMMYFUNCTION("""COMPUTED_VALUE"""),2.0)</f>
        <v>2</v>
      </c>
      <c r="G1984" s="6" t="str">
        <f>IFERROR(__xludf.DUMMYFUNCTION("""COMPUTED_VALUE"""),"Pieces")</f>
        <v>Pieces</v>
      </c>
      <c r="H1984" s="6" t="str">
        <f>IFERROR(__xludf.DUMMYFUNCTION("""COMPUTED_VALUE"""),"IDR")</f>
        <v>IDR</v>
      </c>
      <c r="I1984" s="6">
        <f>IFERROR(__xludf.DUMMYFUNCTION("""COMPUTED_VALUE"""),2638400.0)</f>
        <v>2638400</v>
      </c>
      <c r="J1984" s="6">
        <f>IFERROR(__xludf.DUMMYFUNCTION("""COMPUTED_VALUE"""),5276800.0)</f>
        <v>5276800</v>
      </c>
      <c r="K1984" s="57">
        <f>IFERROR(__xludf.DUMMYFUNCTION("""COMPUTED_VALUE"""),44804.0)</f>
        <v>44804</v>
      </c>
      <c r="L1984" s="6" t="str">
        <f>IFERROR(__xludf.DUMMYFUNCTION("""COMPUTED_VALUE"""),"FIP Engineering")</f>
        <v>FIP Engineering</v>
      </c>
      <c r="M1984" s="6" t="str">
        <f>IFERROR(__xludf.DUMMYFUNCTION("""COMPUTED_VALUE"""),"Irwan Sopian")</f>
        <v>Irwan Sopian</v>
      </c>
      <c r="N1984" s="6" t="str">
        <f>IFERROR(__xludf.DUMMYFUNCTION("""COMPUTED_VALUE"""),"FIP Engineering")</f>
        <v>FIP Engineering</v>
      </c>
      <c r="O1984" s="6" t="str">
        <f>IFERROR(__xludf.DUMMYFUNCTION("""COMPUTED_VALUE"""),"FIP-DOM-000-11304-OS00001-INA-000000")</f>
        <v>FIP-DOM-000-11304-OS00001-INA-000000</v>
      </c>
      <c r="P1984" s="6" t="str">
        <f>IFERROR(__xludf.DUMMYFUNCTION("""COMPUTED_VALUE"""),"PO Closed")</f>
        <v>PO Closed</v>
      </c>
      <c r="Q1984" s="6" t="str">
        <f>IFERROR(__xludf.DUMMYFUNCTION("""COMPUTED_VALUE"""),"GL2208011")</f>
        <v>GL2208011</v>
      </c>
      <c r="R1984" s="57">
        <f>IFERROR(__xludf.DUMMYFUNCTION("""COMPUTED_VALUE"""),44777.0)</f>
        <v>44777</v>
      </c>
      <c r="S1984" s="6" t="str">
        <f>IFERROR(__xludf.DUMMYFUNCTION("""COMPUTED_VALUE"""),"-")</f>
        <v>-</v>
      </c>
      <c r="T1984" s="57">
        <f>IFERROR(__xludf.DUMMYFUNCTION("""COMPUTED_VALUE"""),44789.0)</f>
        <v>44789</v>
      </c>
    </row>
    <row r="1985">
      <c r="A1985" s="6" t="str">
        <f>IFERROR(__xludf.DUMMYFUNCTION("""COMPUTED_VALUE"""),"221750372-1")</f>
        <v>221750372-1</v>
      </c>
      <c r="B1985" s="6" t="str">
        <f>IFERROR(__xludf.DUMMYFUNCTION("""COMPUTED_VALUE"""),"221750372 - Approved")</f>
        <v>221750372 - Approved</v>
      </c>
      <c r="C1985" s="6">
        <f>IFERROR(__xludf.DUMMYFUNCTION("""COMPUTED_VALUE"""),1.0)</f>
        <v>1</v>
      </c>
      <c r="D1985" s="6" t="str">
        <f>IFERROR(__xludf.DUMMYFUNCTION("""COMPUTED_VALUE"""),"S-60002-00")</f>
        <v>S-60002-00</v>
      </c>
      <c r="E1985" s="6" t="str">
        <f>IFERROR(__xludf.DUMMYFUNCTION("""COMPUTED_VALUE"""),"Perbaikan Pipa Sewage yang bocor")</f>
        <v>Perbaikan Pipa Sewage yang bocor</v>
      </c>
      <c r="F1985" s="6">
        <f>IFERROR(__xludf.DUMMYFUNCTION("""COMPUTED_VALUE"""),1.0)</f>
        <v>1</v>
      </c>
      <c r="G1985" s="6" t="str">
        <f>IFERROR(__xludf.DUMMYFUNCTION("""COMPUTED_VALUE"""),"Lot")</f>
        <v>Lot</v>
      </c>
      <c r="H1985" s="6" t="str">
        <f>IFERROR(__xludf.DUMMYFUNCTION("""COMPUTED_VALUE"""),"IDR")</f>
        <v>IDR</v>
      </c>
      <c r="I1985" s="6">
        <f>IFERROR(__xludf.DUMMYFUNCTION("""COMPUTED_VALUE"""),9500000.0)</f>
        <v>9500000</v>
      </c>
      <c r="J1985" s="6">
        <f>IFERROR(__xludf.DUMMYFUNCTION("""COMPUTED_VALUE"""),9500000.0)</f>
        <v>9500000</v>
      </c>
      <c r="K1985" s="57">
        <f>IFERROR(__xludf.DUMMYFUNCTION("""COMPUTED_VALUE"""),44804.0)</f>
        <v>44804</v>
      </c>
      <c r="L1985" s="6" t="str">
        <f>IFERROR(__xludf.DUMMYFUNCTION("""COMPUTED_VALUE"""),"FIP General")</f>
        <v>FIP General</v>
      </c>
      <c r="M1985" s="6" t="str">
        <f>IFERROR(__xludf.DUMMYFUNCTION("""COMPUTED_VALUE"""),"Irwan Sopian")</f>
        <v>Irwan Sopian</v>
      </c>
      <c r="N1985" s="6" t="str">
        <f>IFERROR(__xludf.DUMMYFUNCTION("""COMPUTED_VALUE"""),"FIP Engineering")</f>
        <v>FIP Engineering</v>
      </c>
      <c r="O1985" s="6" t="str">
        <f>IFERROR(__xludf.DUMMYFUNCTION("""COMPUTED_VALUE"""),"FIP-DOM-ENG-51508-0000000-INA-000000")</f>
        <v>FIP-DOM-ENG-51508-0000000-INA-000000</v>
      </c>
      <c r="P1985" s="6" t="str">
        <f>IFERROR(__xludf.DUMMYFUNCTION("""COMPUTED_VALUE"""),"PO Closed")</f>
        <v>PO Closed</v>
      </c>
      <c r="Q1985" s="6" t="str">
        <f>IFERROR(__xludf.DUMMYFUNCTION("""COMPUTED_VALUE"""),"GL2208033")</f>
        <v>GL2208033</v>
      </c>
      <c r="R1985" s="57">
        <f>IFERROR(__xludf.DUMMYFUNCTION("""COMPUTED_VALUE"""),44777.0)</f>
        <v>44777</v>
      </c>
      <c r="S1985" s="6" t="str">
        <f>IFERROR(__xludf.DUMMYFUNCTION("""COMPUTED_VALUE"""),"-")</f>
        <v>-</v>
      </c>
      <c r="T1985" s="57">
        <f>IFERROR(__xludf.DUMMYFUNCTION("""COMPUTED_VALUE"""),44793.0)</f>
        <v>44793</v>
      </c>
    </row>
    <row r="1986">
      <c r="A1986" s="6" t="str">
        <f>IFERROR(__xludf.DUMMYFUNCTION("""COMPUTED_VALUE"""),"221750372-2")</f>
        <v>221750372-2</v>
      </c>
      <c r="B1986" s="6" t="str">
        <f>IFERROR(__xludf.DUMMYFUNCTION("""COMPUTED_VALUE"""),"221750372 - Approved")</f>
        <v>221750372 - Approved</v>
      </c>
      <c r="C1986" s="6">
        <f>IFERROR(__xludf.DUMMYFUNCTION("""COMPUTED_VALUE"""),2.0)</f>
        <v>2</v>
      </c>
      <c r="D1986" s="6" t="str">
        <f>IFERROR(__xludf.DUMMYFUNCTION("""COMPUTED_VALUE"""),"S-60002-00")</f>
        <v>S-60002-00</v>
      </c>
      <c r="E1986" s="6" t="str">
        <f>IFERROR(__xludf.DUMMYFUNCTION("""COMPUTED_VALUE"""),"Kerja tambah : Jasa Welding untuk Jalur Tee-in Jalur pompa air hujan ke WWTP CFM")</f>
        <v>Kerja tambah : Jasa Welding untuk Jalur Tee-in Jalur pompa air hujan ke WWTP CFM</v>
      </c>
      <c r="F1986" s="6">
        <f>IFERROR(__xludf.DUMMYFUNCTION("""COMPUTED_VALUE"""),1.0)</f>
        <v>1</v>
      </c>
      <c r="G1986" s="6" t="str">
        <f>IFERROR(__xludf.DUMMYFUNCTION("""COMPUTED_VALUE"""),"Lot")</f>
        <v>Lot</v>
      </c>
      <c r="H1986" s="6" t="str">
        <f>IFERROR(__xludf.DUMMYFUNCTION("""COMPUTED_VALUE"""),"IDR")</f>
        <v>IDR</v>
      </c>
      <c r="I1986" s="6">
        <f>IFERROR(__xludf.DUMMYFUNCTION("""COMPUTED_VALUE"""),650000.0)</f>
        <v>650000</v>
      </c>
      <c r="J1986" s="6">
        <f>IFERROR(__xludf.DUMMYFUNCTION("""COMPUTED_VALUE"""),650000.0)</f>
        <v>650000</v>
      </c>
      <c r="K1986" s="57">
        <f>IFERROR(__xludf.DUMMYFUNCTION("""COMPUTED_VALUE"""),44804.0)</f>
        <v>44804</v>
      </c>
      <c r="L1986" s="6" t="str">
        <f>IFERROR(__xludf.DUMMYFUNCTION("""COMPUTED_VALUE"""),"FIP General")</f>
        <v>FIP General</v>
      </c>
      <c r="M1986" s="6" t="str">
        <f>IFERROR(__xludf.DUMMYFUNCTION("""COMPUTED_VALUE"""),"Irwan Sopian")</f>
        <v>Irwan Sopian</v>
      </c>
      <c r="N1986" s="6" t="str">
        <f>IFERROR(__xludf.DUMMYFUNCTION("""COMPUTED_VALUE"""),"FIP Engineering")</f>
        <v>FIP Engineering</v>
      </c>
      <c r="O1986" s="6" t="str">
        <f>IFERROR(__xludf.DUMMYFUNCTION("""COMPUTED_VALUE"""),"FIP-DOM-ENG-51508-0000000-INA-000000")</f>
        <v>FIP-DOM-ENG-51508-0000000-INA-000000</v>
      </c>
      <c r="P1986" s="6" t="str">
        <f>IFERROR(__xludf.DUMMYFUNCTION("""COMPUTED_VALUE"""),"PO Closed")</f>
        <v>PO Closed</v>
      </c>
      <c r="Q1986" s="6" t="str">
        <f>IFERROR(__xludf.DUMMYFUNCTION("""COMPUTED_VALUE"""),"GL2208033")</f>
        <v>GL2208033</v>
      </c>
      <c r="R1986" s="57">
        <f>IFERROR(__xludf.DUMMYFUNCTION("""COMPUTED_VALUE"""),44777.0)</f>
        <v>44777</v>
      </c>
      <c r="S1986" s="6" t="str">
        <f>IFERROR(__xludf.DUMMYFUNCTION("""COMPUTED_VALUE"""),"-")</f>
        <v>-</v>
      </c>
      <c r="T1986" s="57">
        <f>IFERROR(__xludf.DUMMYFUNCTION("""COMPUTED_VALUE"""),44793.0)</f>
        <v>44793</v>
      </c>
    </row>
    <row r="1987">
      <c r="A1987" s="6" t="str">
        <f>IFERROR(__xludf.DUMMYFUNCTION("""COMPUTED_VALUE"""),"221750379-1")</f>
        <v>221750379-1</v>
      </c>
      <c r="B1987" s="6" t="str">
        <f>IFERROR(__xludf.DUMMYFUNCTION("""COMPUTED_VALUE"""),"221750379 - Approved")</f>
        <v>221750379 - Approved</v>
      </c>
      <c r="C1987" s="6">
        <f>IFERROR(__xludf.DUMMYFUNCTION("""COMPUTED_VALUE"""),1.0)</f>
        <v>1</v>
      </c>
      <c r="D1987" s="6" t="str">
        <f>IFERROR(__xludf.DUMMYFUNCTION("""COMPUTED_VALUE"""),"S-60002-00")</f>
        <v>S-60002-00</v>
      </c>
      <c r="E1987" s="6" t="str">
        <f>IFERROR(__xludf.DUMMYFUNCTION("""COMPUTED_VALUE"""),"Daily Rate Service (Support Remote CLU)")</f>
        <v>Daily Rate Service (Support Remote CLU)</v>
      </c>
      <c r="F1987" s="6">
        <f>IFERROR(__xludf.DUMMYFUNCTION("""COMPUTED_VALUE"""),1.0)</f>
        <v>1</v>
      </c>
      <c r="G1987" s="6" t="str">
        <f>IFERROR(__xludf.DUMMYFUNCTION("""COMPUTED_VALUE"""),"Lot")</f>
        <v>Lot</v>
      </c>
      <c r="H1987" s="6" t="str">
        <f>IFERROR(__xludf.DUMMYFUNCTION("""COMPUTED_VALUE"""),"IDR")</f>
        <v>IDR</v>
      </c>
      <c r="I1987" s="6">
        <f>IFERROR(__xludf.DUMMYFUNCTION("""COMPUTED_VALUE"""),5000000.0)</f>
        <v>5000000</v>
      </c>
      <c r="J1987" s="6">
        <f>IFERROR(__xludf.DUMMYFUNCTION("""COMPUTED_VALUE"""),5000000.0)</f>
        <v>5000000</v>
      </c>
      <c r="K1987" s="57">
        <f>IFERROR(__xludf.DUMMYFUNCTION("""COMPUTED_VALUE"""),44804.0)</f>
        <v>44804</v>
      </c>
      <c r="L1987" s="6" t="str">
        <f>IFERROR(__xludf.DUMMYFUNCTION("""COMPUTED_VALUE"""),"FIP General")</f>
        <v>FIP General</v>
      </c>
      <c r="M1987" s="6" t="str">
        <f>IFERROR(__xludf.DUMMYFUNCTION("""COMPUTED_VALUE"""),"Irwan Sopian")</f>
        <v>Irwan Sopian</v>
      </c>
      <c r="N1987" s="6" t="str">
        <f>IFERROR(__xludf.DUMMYFUNCTION("""COMPUTED_VALUE"""),"FIP Engineering")</f>
        <v>FIP Engineering</v>
      </c>
      <c r="O1987" s="6" t="str">
        <f>IFERROR(__xludf.DUMMYFUNCTION("""COMPUTED_VALUE"""),"FIP-DOM-ENG-51508-0000000-INA-000000")</f>
        <v>FIP-DOM-ENG-51508-0000000-INA-000000</v>
      </c>
      <c r="P1987" s="6" t="str">
        <f>IFERROR(__xludf.DUMMYFUNCTION("""COMPUTED_VALUE"""),"PO Closed")</f>
        <v>PO Closed</v>
      </c>
      <c r="Q1987" s="6" t="str">
        <f>IFERROR(__xludf.DUMMYFUNCTION("""COMPUTED_VALUE"""),"GL2208034")</f>
        <v>GL2208034</v>
      </c>
      <c r="R1987" s="57">
        <f>IFERROR(__xludf.DUMMYFUNCTION("""COMPUTED_VALUE"""),44781.0)</f>
        <v>44781</v>
      </c>
      <c r="S1987" s="6" t="str">
        <f>IFERROR(__xludf.DUMMYFUNCTION("""COMPUTED_VALUE"""),"-")</f>
        <v>-</v>
      </c>
      <c r="T1987" s="57">
        <f>IFERROR(__xludf.DUMMYFUNCTION("""COMPUTED_VALUE"""),44815.0)</f>
        <v>44815</v>
      </c>
    </row>
    <row r="1988">
      <c r="A1988" s="6" t="str">
        <f>IFERROR(__xludf.DUMMYFUNCTION("""COMPUTED_VALUE"""),"221750384-1")</f>
        <v>221750384-1</v>
      </c>
      <c r="B1988" s="6" t="str">
        <f>IFERROR(__xludf.DUMMYFUNCTION("""COMPUTED_VALUE"""),"221750384 - Approved")</f>
        <v>221750384 - Approved</v>
      </c>
      <c r="C1988" s="6">
        <f>IFERROR(__xludf.DUMMYFUNCTION("""COMPUTED_VALUE"""),1.0)</f>
        <v>1</v>
      </c>
      <c r="D1988" s="6" t="str">
        <f>IFERROR(__xludf.DUMMYFUNCTION("""COMPUTED_VALUE"""),"P-18279-00")</f>
        <v>P-18279-00</v>
      </c>
      <c r="E1988" s="6" t="str">
        <f>IFERROR(__xludf.DUMMYFUNCTION("""COMPUTED_VALUE"""),"Refrigerant R 134 A")</f>
        <v>Refrigerant R 134 A</v>
      </c>
      <c r="F1988" s="6">
        <f>IFERROR(__xludf.DUMMYFUNCTION("""COMPUTED_VALUE"""),1.0)</f>
        <v>1</v>
      </c>
      <c r="G1988" s="6" t="str">
        <f>IFERROR(__xludf.DUMMYFUNCTION("""COMPUTED_VALUE"""),"Can")</f>
        <v>Can</v>
      </c>
      <c r="H1988" s="6" t="str">
        <f>IFERROR(__xludf.DUMMYFUNCTION("""COMPUTED_VALUE"""),"IDR")</f>
        <v>IDR</v>
      </c>
      <c r="I1988" s="6">
        <f>IFERROR(__xludf.DUMMYFUNCTION("""COMPUTED_VALUE"""),1200000.0)</f>
        <v>1200000</v>
      </c>
      <c r="J1988" s="6">
        <f>IFERROR(__xludf.DUMMYFUNCTION("""COMPUTED_VALUE"""),1200000.0)</f>
        <v>1200000</v>
      </c>
      <c r="K1988" s="57">
        <f>IFERROR(__xludf.DUMMYFUNCTION("""COMPUTED_VALUE"""),44806.0)</f>
        <v>44806</v>
      </c>
      <c r="L1988" s="6" t="str">
        <f>IFERROR(__xludf.DUMMYFUNCTION("""COMPUTED_VALUE"""),"FIP Engineering")</f>
        <v>FIP Engineering</v>
      </c>
      <c r="M1988" s="6" t="str">
        <f>IFERROR(__xludf.DUMMYFUNCTION("""COMPUTED_VALUE"""),"Irwan Sopian")</f>
        <v>Irwan Sopian</v>
      </c>
      <c r="N1988" s="6" t="str">
        <f>IFERROR(__xludf.DUMMYFUNCTION("""COMPUTED_VALUE"""),"FIP Engineering")</f>
        <v>FIP Engineering</v>
      </c>
      <c r="O1988" s="6" t="str">
        <f>IFERROR(__xludf.DUMMYFUNCTION("""COMPUTED_VALUE"""),"FIP-DOM-000-11304-OS00001-INA-000000")</f>
        <v>FIP-DOM-000-11304-OS00001-INA-000000</v>
      </c>
      <c r="P1988" s="6" t="str">
        <f>IFERROR(__xludf.DUMMYFUNCTION("""COMPUTED_VALUE"""),"PO Closed")</f>
        <v>PO Closed</v>
      </c>
      <c r="Q1988" s="6" t="str">
        <f>IFERROR(__xludf.DUMMYFUNCTION("""COMPUTED_VALUE"""),"GL2208322")</f>
        <v>GL2208322</v>
      </c>
      <c r="R1988" s="57">
        <f>IFERROR(__xludf.DUMMYFUNCTION("""COMPUTED_VALUE"""),44783.0)</f>
        <v>44783</v>
      </c>
      <c r="S1988" s="6" t="str">
        <f>IFERROR(__xludf.DUMMYFUNCTION("""COMPUTED_VALUE"""),"-")</f>
        <v>-</v>
      </c>
      <c r="T1988" s="57">
        <f>IFERROR(__xludf.DUMMYFUNCTION("""COMPUTED_VALUE"""),44803.0)</f>
        <v>44803</v>
      </c>
    </row>
    <row r="1989">
      <c r="A1989" s="6" t="str">
        <f>IFERROR(__xludf.DUMMYFUNCTION("""COMPUTED_VALUE"""),"221750383-1")</f>
        <v>221750383-1</v>
      </c>
      <c r="B1989" s="6" t="str">
        <f>IFERROR(__xludf.DUMMYFUNCTION("""COMPUTED_VALUE"""),"221750383 - Approved")</f>
        <v>221750383 - Approved</v>
      </c>
      <c r="C1989" s="6">
        <f>IFERROR(__xludf.DUMMYFUNCTION("""COMPUTED_VALUE"""),1.0)</f>
        <v>1</v>
      </c>
      <c r="D1989" s="6" t="str">
        <f>IFERROR(__xludf.DUMMYFUNCTION("""COMPUTED_VALUE"""),"P-18280-00")</f>
        <v>P-18280-00</v>
      </c>
      <c r="E1989" s="6" t="str">
        <f>IFERROR(__xludf.DUMMYFUNCTION("""COMPUTED_VALUE"""),"Mechanical seal CRN 5-32")</f>
        <v>Mechanical seal CRN 5-32</v>
      </c>
      <c r="F1989" s="6">
        <f>IFERROR(__xludf.DUMMYFUNCTION("""COMPUTED_VALUE"""),1.0)</f>
        <v>1</v>
      </c>
      <c r="G1989" s="6" t="str">
        <f>IFERROR(__xludf.DUMMYFUNCTION("""COMPUTED_VALUE"""),"Pieces")</f>
        <v>Pieces</v>
      </c>
      <c r="H1989" s="6" t="str">
        <f>IFERROR(__xludf.DUMMYFUNCTION("""COMPUTED_VALUE"""),"IDR")</f>
        <v>IDR</v>
      </c>
      <c r="I1989" s="6">
        <f>IFERROR(__xludf.DUMMYFUNCTION("""COMPUTED_VALUE"""),2100000.0)</f>
        <v>2100000</v>
      </c>
      <c r="J1989" s="6">
        <f>IFERROR(__xludf.DUMMYFUNCTION("""COMPUTED_VALUE"""),2100000.0)</f>
        <v>2100000</v>
      </c>
      <c r="K1989" s="57">
        <f>IFERROR(__xludf.DUMMYFUNCTION("""COMPUTED_VALUE"""),44806.0)</f>
        <v>44806</v>
      </c>
      <c r="L1989" s="6" t="str">
        <f>IFERROR(__xludf.DUMMYFUNCTION("""COMPUTED_VALUE"""),"FIP Engineering")</f>
        <v>FIP Engineering</v>
      </c>
      <c r="M1989" s="6" t="str">
        <f>IFERROR(__xludf.DUMMYFUNCTION("""COMPUTED_VALUE"""),"Irwan Sopian")</f>
        <v>Irwan Sopian</v>
      </c>
      <c r="N1989" s="6" t="str">
        <f>IFERROR(__xludf.DUMMYFUNCTION("""COMPUTED_VALUE"""),"FIP Engineering")</f>
        <v>FIP Engineering</v>
      </c>
      <c r="O1989" s="6" t="str">
        <f>IFERROR(__xludf.DUMMYFUNCTION("""COMPUTED_VALUE"""),"FIP-DOM-000-11304-OS00001-INA-000000")</f>
        <v>FIP-DOM-000-11304-OS00001-INA-000000</v>
      </c>
      <c r="P1989" s="6" t="str">
        <f>IFERROR(__xludf.DUMMYFUNCTION("""COMPUTED_VALUE"""),"PO Closed")</f>
        <v>PO Closed</v>
      </c>
      <c r="Q1989" s="6" t="str">
        <f>IFERROR(__xludf.DUMMYFUNCTION("""COMPUTED_VALUE"""),"GL2208035")</f>
        <v>GL2208035</v>
      </c>
      <c r="R1989" s="57">
        <f>IFERROR(__xludf.DUMMYFUNCTION("""COMPUTED_VALUE"""),44783.0)</f>
        <v>44783</v>
      </c>
      <c r="S1989" s="6" t="str">
        <f>IFERROR(__xludf.DUMMYFUNCTION("""COMPUTED_VALUE"""),"-")</f>
        <v>-</v>
      </c>
      <c r="T1989" s="57">
        <f>IFERROR(__xludf.DUMMYFUNCTION("""COMPUTED_VALUE"""),44811.0)</f>
        <v>44811</v>
      </c>
    </row>
    <row r="1990">
      <c r="A1990" s="6" t="str">
        <f>IFERROR(__xludf.DUMMYFUNCTION("""COMPUTED_VALUE"""),"221750391-1")</f>
        <v>221750391-1</v>
      </c>
      <c r="B1990" s="6" t="str">
        <f>IFERROR(__xludf.DUMMYFUNCTION("""COMPUTED_VALUE"""),"221750391 - Approved")</f>
        <v>221750391 - Approved</v>
      </c>
      <c r="C1990" s="6">
        <f>IFERROR(__xludf.DUMMYFUNCTION("""COMPUTED_VALUE"""),1.0)</f>
        <v>1</v>
      </c>
      <c r="D1990" s="6" t="str">
        <f>IFERROR(__xludf.DUMMYFUNCTION("""COMPUTED_VALUE"""),"S-60002-00")</f>
        <v>S-60002-00</v>
      </c>
      <c r="E1990" s="6" t="str">
        <f>IFERROR(__xludf.DUMMYFUNCTION("""COMPUTED_VALUE"""),"Pengecatan dinding dan palfon Visitor Lt 2")</f>
        <v>Pengecatan dinding dan palfon Visitor Lt 2</v>
      </c>
      <c r="F1990" s="6">
        <f>IFERROR(__xludf.DUMMYFUNCTION("""COMPUTED_VALUE"""),1.0)</f>
        <v>1</v>
      </c>
      <c r="G1990" s="6" t="str">
        <f>IFERROR(__xludf.DUMMYFUNCTION("""COMPUTED_VALUE"""),"Lot")</f>
        <v>Lot</v>
      </c>
      <c r="H1990" s="6" t="str">
        <f>IFERROR(__xludf.DUMMYFUNCTION("""COMPUTED_VALUE"""),"IDR")</f>
        <v>IDR</v>
      </c>
      <c r="I1990" s="6">
        <f>IFERROR(__xludf.DUMMYFUNCTION("""COMPUTED_VALUE"""),813600.0)</f>
        <v>813600</v>
      </c>
      <c r="J1990" s="6">
        <f>IFERROR(__xludf.DUMMYFUNCTION("""COMPUTED_VALUE"""),813600.0)</f>
        <v>813600</v>
      </c>
      <c r="K1990" s="57">
        <f>IFERROR(__xludf.DUMMYFUNCTION("""COMPUTED_VALUE"""),44806.0)</f>
        <v>44806</v>
      </c>
      <c r="L1990" s="6" t="str">
        <f>IFERROR(__xludf.DUMMYFUNCTION("""COMPUTED_VALUE"""),"FIP General")</f>
        <v>FIP General</v>
      </c>
      <c r="M1990" s="6" t="str">
        <f>IFERROR(__xludf.DUMMYFUNCTION("""COMPUTED_VALUE"""),"Irwan Sopian")</f>
        <v>Irwan Sopian</v>
      </c>
      <c r="N1990" s="6" t="str">
        <f>IFERROR(__xludf.DUMMYFUNCTION("""COMPUTED_VALUE"""),"FIP Engineering")</f>
        <v>FIP Engineering</v>
      </c>
      <c r="O1990" s="6" t="str">
        <f>IFERROR(__xludf.DUMMYFUNCTION("""COMPUTED_VALUE"""),"FIP-DOM-ENG-51508-0000000-INA-000000")</f>
        <v>FIP-DOM-ENG-51508-0000000-INA-000000</v>
      </c>
      <c r="P1990" s="6" t="str">
        <f>IFERROR(__xludf.DUMMYFUNCTION("""COMPUTED_VALUE"""),"PO Closed")</f>
        <v>PO Closed</v>
      </c>
      <c r="Q1990" s="6" t="str">
        <f>IFERROR(__xludf.DUMMYFUNCTION("""COMPUTED_VALUE"""),"GL2209004")</f>
        <v>GL2209004</v>
      </c>
      <c r="R1990" s="57">
        <f>IFERROR(__xludf.DUMMYFUNCTION("""COMPUTED_VALUE"""),44788.0)</f>
        <v>44788</v>
      </c>
      <c r="S1990" s="6" t="str">
        <f>IFERROR(__xludf.DUMMYFUNCTION("""COMPUTED_VALUE"""),"-")</f>
        <v>-</v>
      </c>
      <c r="T1990" s="57">
        <f>IFERROR(__xludf.DUMMYFUNCTION("""COMPUTED_VALUE"""),44811.0)</f>
        <v>44811</v>
      </c>
    </row>
    <row r="1991">
      <c r="A1991" s="6" t="str">
        <f>IFERROR(__xludf.DUMMYFUNCTION("""COMPUTED_VALUE"""),"221750390-1")</f>
        <v>221750390-1</v>
      </c>
      <c r="B1991" s="6" t="str">
        <f>IFERROR(__xludf.DUMMYFUNCTION("""COMPUTED_VALUE"""),"221750390 - Approved")</f>
        <v>221750390 - Approved</v>
      </c>
      <c r="C1991" s="6">
        <f>IFERROR(__xludf.DUMMYFUNCTION("""COMPUTED_VALUE"""),1.0)</f>
        <v>1</v>
      </c>
      <c r="D1991" s="6" t="str">
        <f>IFERROR(__xludf.DUMMYFUNCTION("""COMPUTED_VALUE"""),"S-60002-00")</f>
        <v>S-60002-00</v>
      </c>
      <c r="E1991" s="6" t="str">
        <f>IFERROR(__xludf.DUMMYFUNCTION("""COMPUTED_VALUE"""),"Jasa Repair dan Penegcatan Plafon Packhall dan ganti keramik Lt2,Kantin")</f>
        <v>Jasa Repair dan Penegcatan Plafon Packhall dan ganti keramik Lt2,Kantin</v>
      </c>
      <c r="F1991" s="6">
        <f>IFERROR(__xludf.DUMMYFUNCTION("""COMPUTED_VALUE"""),1.0)</f>
        <v>1</v>
      </c>
      <c r="G1991" s="6" t="str">
        <f>IFERROR(__xludf.DUMMYFUNCTION("""COMPUTED_VALUE"""),"Lot")</f>
        <v>Lot</v>
      </c>
      <c r="H1991" s="6" t="str">
        <f>IFERROR(__xludf.DUMMYFUNCTION("""COMPUTED_VALUE"""),"IDR")</f>
        <v>IDR</v>
      </c>
      <c r="I1991" s="6">
        <f>IFERROR(__xludf.DUMMYFUNCTION("""COMPUTED_VALUE"""),1372800.0)</f>
        <v>1372800</v>
      </c>
      <c r="J1991" s="6">
        <f>IFERROR(__xludf.DUMMYFUNCTION("""COMPUTED_VALUE"""),1372800.0)</f>
        <v>1372800</v>
      </c>
      <c r="K1991" s="57">
        <f>IFERROR(__xludf.DUMMYFUNCTION("""COMPUTED_VALUE"""),44804.0)</f>
        <v>44804</v>
      </c>
      <c r="L1991" s="6" t="str">
        <f>IFERROR(__xludf.DUMMYFUNCTION("""COMPUTED_VALUE"""),"FIP General")</f>
        <v>FIP General</v>
      </c>
      <c r="M1991" s="6" t="str">
        <f>IFERROR(__xludf.DUMMYFUNCTION("""COMPUTED_VALUE"""),"Irwan Sopian")</f>
        <v>Irwan Sopian</v>
      </c>
      <c r="N1991" s="6" t="str">
        <f>IFERROR(__xludf.DUMMYFUNCTION("""COMPUTED_VALUE"""),"FIP Engineering")</f>
        <v>FIP Engineering</v>
      </c>
      <c r="O1991" s="6" t="str">
        <f>IFERROR(__xludf.DUMMYFUNCTION("""COMPUTED_VALUE"""),"FIP-DOM-ENG-51508-0000000-INA-000000")</f>
        <v>FIP-DOM-ENG-51508-0000000-INA-000000</v>
      </c>
      <c r="P1991" s="6" t="str">
        <f>IFERROR(__xludf.DUMMYFUNCTION("""COMPUTED_VALUE"""),"PO Closed")</f>
        <v>PO Closed</v>
      </c>
      <c r="Q1991" s="6" t="str">
        <f>IFERROR(__xludf.DUMMYFUNCTION("""COMPUTED_VALUE"""),"GL2209004")</f>
        <v>GL2209004</v>
      </c>
      <c r="R1991" s="57">
        <f>IFERROR(__xludf.DUMMYFUNCTION("""COMPUTED_VALUE"""),44788.0)</f>
        <v>44788</v>
      </c>
      <c r="S1991" s="6" t="str">
        <f>IFERROR(__xludf.DUMMYFUNCTION("""COMPUTED_VALUE"""),"-")</f>
        <v>-</v>
      </c>
      <c r="T1991" s="57">
        <f>IFERROR(__xludf.DUMMYFUNCTION("""COMPUTED_VALUE"""),44811.0)</f>
        <v>44811</v>
      </c>
    </row>
    <row r="1992">
      <c r="A1992" s="6" t="str">
        <f>IFERROR(__xludf.DUMMYFUNCTION("""COMPUTED_VALUE"""),"221750389-1")</f>
        <v>221750389-1</v>
      </c>
      <c r="B1992" s="6" t="str">
        <f>IFERROR(__xludf.DUMMYFUNCTION("""COMPUTED_VALUE"""),"221750389 - Approved")</f>
        <v>221750389 - Approved</v>
      </c>
      <c r="C1992" s="6">
        <f>IFERROR(__xludf.DUMMYFUNCTION("""COMPUTED_VALUE"""),1.0)</f>
        <v>1</v>
      </c>
      <c r="D1992" s="6" t="str">
        <f>IFERROR(__xludf.DUMMYFUNCTION("""COMPUTED_VALUE"""),"S-60002-00")</f>
        <v>S-60002-00</v>
      </c>
      <c r="E1992" s="6" t="str">
        <f>IFERROR(__xludf.DUMMYFUNCTION("""COMPUTED_VALUE"""),"BATTERY PACK SMART LITHIUM ION")</f>
        <v>BATTERY PACK SMART LITHIUM ION</v>
      </c>
      <c r="F1992" s="6">
        <f>IFERROR(__xludf.DUMMYFUNCTION("""COMPUTED_VALUE"""),1.0)</f>
        <v>1</v>
      </c>
      <c r="G1992" s="6" t="str">
        <f>IFERROR(__xludf.DUMMYFUNCTION("""COMPUTED_VALUE"""),"Lot")</f>
        <v>Lot</v>
      </c>
      <c r="H1992" s="6" t="str">
        <f>IFERROR(__xludf.DUMMYFUNCTION("""COMPUTED_VALUE"""),"IDR")</f>
        <v>IDR</v>
      </c>
      <c r="I1992" s="6">
        <f>IFERROR(__xludf.DUMMYFUNCTION("""COMPUTED_VALUE"""),1.3321E7)</f>
        <v>13321000</v>
      </c>
      <c r="J1992" s="6">
        <f>IFERROR(__xludf.DUMMYFUNCTION("""COMPUTED_VALUE"""),1.3321E7)</f>
        <v>13321000</v>
      </c>
      <c r="K1992" s="57">
        <f>IFERROR(__xludf.DUMMYFUNCTION("""COMPUTED_VALUE"""),44813.0)</f>
        <v>44813</v>
      </c>
      <c r="L1992" s="6" t="str">
        <f>IFERROR(__xludf.DUMMYFUNCTION("""COMPUTED_VALUE"""),"FIP General")</f>
        <v>FIP General</v>
      </c>
      <c r="M1992" s="6" t="str">
        <f>IFERROR(__xludf.DUMMYFUNCTION("""COMPUTED_VALUE"""),"Irwan Sopian")</f>
        <v>Irwan Sopian</v>
      </c>
      <c r="N1992" s="6" t="str">
        <f>IFERROR(__xludf.DUMMYFUNCTION("""COMPUTED_VALUE"""),"FIP Engineering")</f>
        <v>FIP Engineering</v>
      </c>
      <c r="O1992" s="6" t="str">
        <f>IFERROR(__xludf.DUMMYFUNCTION("""COMPUTED_VALUE"""),"FIP-DOM-ENG-51508-0000000-INA-000000")</f>
        <v>FIP-DOM-ENG-51508-0000000-INA-000000</v>
      </c>
      <c r="P1992" s="6" t="str">
        <f>IFERROR(__xludf.DUMMYFUNCTION("""COMPUTED_VALUE"""),"PO Closed")</f>
        <v>PO Closed</v>
      </c>
      <c r="Q1992" s="6" t="str">
        <f>IFERROR(__xludf.DUMMYFUNCTION("""COMPUTED_VALUE"""),"GL2209003")</f>
        <v>GL2209003</v>
      </c>
      <c r="R1992" s="57">
        <f>IFERROR(__xludf.DUMMYFUNCTION("""COMPUTED_VALUE"""),44788.0)</f>
        <v>44788</v>
      </c>
      <c r="S1992" s="6" t="str">
        <f>IFERROR(__xludf.DUMMYFUNCTION("""COMPUTED_VALUE"""),"-")</f>
        <v>-</v>
      </c>
      <c r="T1992" s="57">
        <f>IFERROR(__xludf.DUMMYFUNCTION("""COMPUTED_VALUE"""),44849.0)</f>
        <v>44849</v>
      </c>
    </row>
    <row r="1993">
      <c r="A1993" s="6" t="str">
        <f>IFERROR(__xludf.DUMMYFUNCTION("""COMPUTED_VALUE"""),"221750388-1")</f>
        <v>221750388-1</v>
      </c>
      <c r="B1993" s="6" t="str">
        <f>IFERROR(__xludf.DUMMYFUNCTION("""COMPUTED_VALUE"""),"221750388 - Approved")</f>
        <v>221750388 - Approved</v>
      </c>
      <c r="C1993" s="6">
        <f>IFERROR(__xludf.DUMMYFUNCTION("""COMPUTED_VALUE"""),1.0)</f>
        <v>1</v>
      </c>
      <c r="D1993" s="6" t="str">
        <f>IFERROR(__xludf.DUMMYFUNCTION("""COMPUTED_VALUE"""),"O-18559-00")</f>
        <v>O-18559-00</v>
      </c>
      <c r="E1993" s="6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F1993" s="6">
        <f>IFERROR(__xludf.DUMMYFUNCTION("""COMPUTED_VALUE"""),1.0)</f>
        <v>1</v>
      </c>
      <c r="G1993" s="6" t="str">
        <f>IFERROR(__xludf.DUMMYFUNCTION("""COMPUTED_VALUE"""),"Pieces")</f>
        <v>Pieces</v>
      </c>
      <c r="H1993" s="6" t="str">
        <f>IFERROR(__xludf.DUMMYFUNCTION("""COMPUTED_VALUE"""),"USD")</f>
        <v>USD</v>
      </c>
      <c r="I1993" s="6">
        <f>IFERROR(__xludf.DUMMYFUNCTION("""COMPUTED_VALUE"""),1310.4)</f>
        <v>1310.4</v>
      </c>
      <c r="J1993" s="6">
        <f>IFERROR(__xludf.DUMMYFUNCTION("""COMPUTED_VALUE"""),1310.4)</f>
        <v>1310.4</v>
      </c>
      <c r="K1993" s="57">
        <f>IFERROR(__xludf.DUMMYFUNCTION("""COMPUTED_VALUE"""),44834.0)</f>
        <v>44834</v>
      </c>
      <c r="L1993" s="6" t="str">
        <f>IFERROR(__xludf.DUMMYFUNCTION("""COMPUTED_VALUE"""),"FIP Engineering")</f>
        <v>FIP Engineering</v>
      </c>
      <c r="M1993" s="6" t="str">
        <f>IFERROR(__xludf.DUMMYFUNCTION("""COMPUTED_VALUE"""),"Irwan Sopian")</f>
        <v>Irwan Sopian</v>
      </c>
      <c r="N1993" s="6" t="str">
        <f>IFERROR(__xludf.DUMMYFUNCTION("""COMPUTED_VALUE"""),"FIP Engineering")</f>
        <v>FIP Engineering</v>
      </c>
      <c r="O1993" s="6" t="str">
        <f>IFERROR(__xludf.DUMMYFUNCTION("""COMPUTED_VALUE"""),"FIP-DOM-000-11304-OS00001-INA-000000")</f>
        <v>FIP-DOM-000-11304-OS00001-INA-000000</v>
      </c>
      <c r="P1993" s="6" t="str">
        <f>IFERROR(__xludf.DUMMYFUNCTION("""COMPUTED_VALUE"""),"PO Closed")</f>
        <v>PO Closed</v>
      </c>
      <c r="Q1993" s="6" t="str">
        <f>IFERROR(__xludf.DUMMYFUNCTION("""COMPUTED_VALUE"""),"GL2209012")</f>
        <v>GL2209012</v>
      </c>
      <c r="R1993" s="57">
        <f>IFERROR(__xludf.DUMMYFUNCTION("""COMPUTED_VALUE"""),44788.0)</f>
        <v>44788</v>
      </c>
      <c r="S1993" s="6" t="str">
        <f>IFERROR(__xludf.DUMMYFUNCTION("""COMPUTED_VALUE"""),"-")</f>
        <v>-</v>
      </c>
      <c r="T1993" s="57">
        <f>IFERROR(__xludf.DUMMYFUNCTION("""COMPUTED_VALUE"""),44864.0)</f>
        <v>44864</v>
      </c>
    </row>
    <row r="1994">
      <c r="A1994" s="6" t="str">
        <f>IFERROR(__xludf.DUMMYFUNCTION("""COMPUTED_VALUE"""),"221750388-2")</f>
        <v>221750388-2</v>
      </c>
      <c r="B1994" s="6" t="str">
        <f>IFERROR(__xludf.DUMMYFUNCTION("""COMPUTED_VALUE"""),"221750388 - Approved")</f>
        <v>221750388 - Approved</v>
      </c>
      <c r="C1994" s="6">
        <f>IFERROR(__xludf.DUMMYFUNCTION("""COMPUTED_VALUE"""),2.0)</f>
        <v>2</v>
      </c>
      <c r="D1994" s="6" t="str">
        <f>IFERROR(__xludf.DUMMYFUNCTION("""COMPUTED_VALUE"""),"O-18560-00")</f>
        <v>O-18560-00</v>
      </c>
      <c r="E1994" s="6" t="str">
        <f>IFERROR(__xludf.DUMMYFUNCTION("""COMPUTED_VALUE"""),"FD Lyofast 10 - hydraulically Balanced Valve EB02-00595 Disused:CMB 20/T-N_FLUCOM Replaced by:M8596N")</f>
        <v>FD Lyofast 10 - hydraulically Balanced Valve EB02-00595 Disused:CMB 20/T-N_FLUCOM Replaced by:M8596N</v>
      </c>
      <c r="F1994" s="6">
        <f>IFERROR(__xludf.DUMMYFUNCTION("""COMPUTED_VALUE"""),1.0)</f>
        <v>1</v>
      </c>
      <c r="G1994" s="6" t="str">
        <f>IFERROR(__xludf.DUMMYFUNCTION("""COMPUTED_VALUE"""),"Pieces")</f>
        <v>Pieces</v>
      </c>
      <c r="H1994" s="6" t="str">
        <f>IFERROR(__xludf.DUMMYFUNCTION("""COMPUTED_VALUE"""),"USD")</f>
        <v>USD</v>
      </c>
      <c r="I1994" s="6">
        <f>IFERROR(__xludf.DUMMYFUNCTION("""COMPUTED_VALUE"""),424.31)</f>
        <v>424.31</v>
      </c>
      <c r="J1994" s="6">
        <f>IFERROR(__xludf.DUMMYFUNCTION("""COMPUTED_VALUE"""),424.31)</f>
        <v>424.31</v>
      </c>
      <c r="K1994" s="57">
        <f>IFERROR(__xludf.DUMMYFUNCTION("""COMPUTED_VALUE"""),44834.0)</f>
        <v>44834</v>
      </c>
      <c r="L1994" s="6" t="str">
        <f>IFERROR(__xludf.DUMMYFUNCTION("""COMPUTED_VALUE"""),"FIP Engineering")</f>
        <v>FIP Engineering</v>
      </c>
      <c r="M1994" s="6" t="str">
        <f>IFERROR(__xludf.DUMMYFUNCTION("""COMPUTED_VALUE"""),"Irwan Sopian")</f>
        <v>Irwan Sopian</v>
      </c>
      <c r="N1994" s="6" t="str">
        <f>IFERROR(__xludf.DUMMYFUNCTION("""COMPUTED_VALUE"""),"FIP Engineering")</f>
        <v>FIP Engineering</v>
      </c>
      <c r="O1994" s="6" t="str">
        <f>IFERROR(__xludf.DUMMYFUNCTION("""COMPUTED_VALUE"""),"FIP-DOM-000-11304-OS00001-INA-000000")</f>
        <v>FIP-DOM-000-11304-OS00001-INA-000000</v>
      </c>
      <c r="P1994" s="6" t="str">
        <f>IFERROR(__xludf.DUMMYFUNCTION("""COMPUTED_VALUE"""),"PO Closed")</f>
        <v>PO Closed</v>
      </c>
      <c r="Q1994" s="6" t="str">
        <f>IFERROR(__xludf.DUMMYFUNCTION("""COMPUTED_VALUE"""),"GL2209012")</f>
        <v>GL2209012</v>
      </c>
      <c r="R1994" s="57">
        <f>IFERROR(__xludf.DUMMYFUNCTION("""COMPUTED_VALUE"""),44788.0)</f>
        <v>44788</v>
      </c>
      <c r="S1994" s="6" t="str">
        <f>IFERROR(__xludf.DUMMYFUNCTION("""COMPUTED_VALUE"""),"-")</f>
        <v>-</v>
      </c>
      <c r="T1994" s="57">
        <f>IFERROR(__xludf.DUMMYFUNCTION("""COMPUTED_VALUE"""),44864.0)</f>
        <v>44864</v>
      </c>
    </row>
    <row r="1995">
      <c r="A1995" s="6" t="str">
        <f>IFERROR(__xludf.DUMMYFUNCTION("""COMPUTED_VALUE"""),"221750394-1")</f>
        <v>221750394-1</v>
      </c>
      <c r="B1995" s="6" t="str">
        <f>IFERROR(__xludf.DUMMYFUNCTION("""COMPUTED_VALUE"""),"221750394 - Approved")</f>
        <v>221750394 - Approved</v>
      </c>
      <c r="C1995" s="6">
        <f>IFERROR(__xludf.DUMMYFUNCTION("""COMPUTED_VALUE"""),1.0)</f>
        <v>1</v>
      </c>
      <c r="D1995" s="6" t="str">
        <f>IFERROR(__xludf.DUMMYFUNCTION("""COMPUTED_VALUE"""),"S-60002-00")</f>
        <v>S-60002-00</v>
      </c>
      <c r="E1995" s="6" t="str">
        <f>IFERROR(__xludf.DUMMYFUNCTION("""COMPUTED_VALUE"""),"Perbaikan Pompa Air Hujan")</f>
        <v>Perbaikan Pompa Air Hujan</v>
      </c>
      <c r="F1995" s="6">
        <f>IFERROR(__xludf.DUMMYFUNCTION("""COMPUTED_VALUE"""),1.0)</f>
        <v>1</v>
      </c>
      <c r="G1995" s="6" t="str">
        <f>IFERROR(__xludf.DUMMYFUNCTION("""COMPUTED_VALUE"""),"Lot")</f>
        <v>Lot</v>
      </c>
      <c r="H1995" s="6" t="str">
        <f>IFERROR(__xludf.DUMMYFUNCTION("""COMPUTED_VALUE"""),"IDR")</f>
        <v>IDR</v>
      </c>
      <c r="I1995" s="6">
        <f>IFERROR(__xludf.DUMMYFUNCTION("""COMPUTED_VALUE"""),1374000.0)</f>
        <v>1374000</v>
      </c>
      <c r="J1995" s="6">
        <f>IFERROR(__xludf.DUMMYFUNCTION("""COMPUTED_VALUE"""),1374000.0)</f>
        <v>1374000</v>
      </c>
      <c r="K1995" s="57">
        <f>IFERROR(__xludf.DUMMYFUNCTION("""COMPUTED_VALUE"""),44813.0)</f>
        <v>44813</v>
      </c>
      <c r="L1995" s="6" t="str">
        <f>IFERROR(__xludf.DUMMYFUNCTION("""COMPUTED_VALUE"""),"FIP General")</f>
        <v>FIP General</v>
      </c>
      <c r="M1995" s="6" t="str">
        <f>IFERROR(__xludf.DUMMYFUNCTION("""COMPUTED_VALUE"""),"Irwan Sopian")</f>
        <v>Irwan Sopian</v>
      </c>
      <c r="N1995" s="6" t="str">
        <f>IFERROR(__xludf.DUMMYFUNCTION("""COMPUTED_VALUE"""),"FIP Engineering")</f>
        <v>FIP Engineering</v>
      </c>
      <c r="O1995" s="6" t="str">
        <f>IFERROR(__xludf.DUMMYFUNCTION("""COMPUTED_VALUE"""),"FIP-DOM-ENG-51508-0000000-INA-000000")</f>
        <v>FIP-DOM-ENG-51508-0000000-INA-000000</v>
      </c>
      <c r="P1995" s="6" t="str">
        <f>IFERROR(__xludf.DUMMYFUNCTION("""COMPUTED_VALUE"""),"PO Closed")</f>
        <v>PO Closed</v>
      </c>
      <c r="Q1995" s="6" t="str">
        <f>IFERROR(__xludf.DUMMYFUNCTION("""COMPUTED_VALUE"""),"GL2209005")</f>
        <v>GL2209005</v>
      </c>
      <c r="R1995" s="57">
        <f>IFERROR(__xludf.DUMMYFUNCTION("""COMPUTED_VALUE"""),44789.0)</f>
        <v>44789</v>
      </c>
      <c r="S1995" s="6" t="str">
        <f>IFERROR(__xludf.DUMMYFUNCTION("""COMPUTED_VALUE"""),"-")</f>
        <v>-</v>
      </c>
      <c r="T1995" s="57">
        <f>IFERROR(__xludf.DUMMYFUNCTION("""COMPUTED_VALUE"""),44813.0)</f>
        <v>44813</v>
      </c>
    </row>
    <row r="1996">
      <c r="A1996" s="6" t="str">
        <f>IFERROR(__xludf.DUMMYFUNCTION("""COMPUTED_VALUE"""),"221750394-2")</f>
        <v>221750394-2</v>
      </c>
      <c r="B1996" s="6" t="str">
        <f>IFERROR(__xludf.DUMMYFUNCTION("""COMPUTED_VALUE"""),"221750394 - Approved")</f>
        <v>221750394 - Approved</v>
      </c>
      <c r="C1996" s="6">
        <f>IFERROR(__xludf.DUMMYFUNCTION("""COMPUTED_VALUE"""),2.0)</f>
        <v>2</v>
      </c>
      <c r="D1996" s="6" t="str">
        <f>IFERROR(__xludf.DUMMYFUNCTION("""COMPUTED_VALUE"""),"S-60002-00")</f>
        <v>S-60002-00</v>
      </c>
      <c r="E1996" s="6" t="str">
        <f>IFERROR(__xludf.DUMMYFUNCTION("""COMPUTED_VALUE"""),"Perbaikan Exhaust Fan AHU F3-1")</f>
        <v>Perbaikan Exhaust Fan AHU F3-1</v>
      </c>
      <c r="F1996" s="6">
        <f>IFERROR(__xludf.DUMMYFUNCTION("""COMPUTED_VALUE"""),1.0)</f>
        <v>1</v>
      </c>
      <c r="G1996" s="6" t="str">
        <f>IFERROR(__xludf.DUMMYFUNCTION("""COMPUTED_VALUE"""),"Lot")</f>
        <v>Lot</v>
      </c>
      <c r="H1996" s="6" t="str">
        <f>IFERROR(__xludf.DUMMYFUNCTION("""COMPUTED_VALUE"""),"IDR")</f>
        <v>IDR</v>
      </c>
      <c r="I1996" s="6">
        <f>IFERROR(__xludf.DUMMYFUNCTION("""COMPUTED_VALUE"""),1216000.0)</f>
        <v>1216000</v>
      </c>
      <c r="J1996" s="6">
        <f>IFERROR(__xludf.DUMMYFUNCTION("""COMPUTED_VALUE"""),1216000.0)</f>
        <v>1216000</v>
      </c>
      <c r="K1996" s="57">
        <f>IFERROR(__xludf.DUMMYFUNCTION("""COMPUTED_VALUE"""),44813.0)</f>
        <v>44813</v>
      </c>
      <c r="L1996" s="6" t="str">
        <f>IFERROR(__xludf.DUMMYFUNCTION("""COMPUTED_VALUE"""),"FIP General")</f>
        <v>FIP General</v>
      </c>
      <c r="M1996" s="6" t="str">
        <f>IFERROR(__xludf.DUMMYFUNCTION("""COMPUTED_VALUE"""),"Irwan Sopian")</f>
        <v>Irwan Sopian</v>
      </c>
      <c r="N1996" s="6" t="str">
        <f>IFERROR(__xludf.DUMMYFUNCTION("""COMPUTED_VALUE"""),"FIP Engineering")</f>
        <v>FIP Engineering</v>
      </c>
      <c r="O1996" s="6" t="str">
        <f>IFERROR(__xludf.DUMMYFUNCTION("""COMPUTED_VALUE"""),"FIP-DOM-ENG-51508-0000000-INA-000000")</f>
        <v>FIP-DOM-ENG-51508-0000000-INA-000000</v>
      </c>
      <c r="P1996" s="6" t="str">
        <f>IFERROR(__xludf.DUMMYFUNCTION("""COMPUTED_VALUE"""),"PO Closed")</f>
        <v>PO Closed</v>
      </c>
      <c r="Q1996" s="6" t="str">
        <f>IFERROR(__xludf.DUMMYFUNCTION("""COMPUTED_VALUE"""),"GL2209005")</f>
        <v>GL2209005</v>
      </c>
      <c r="R1996" s="57">
        <f>IFERROR(__xludf.DUMMYFUNCTION("""COMPUTED_VALUE"""),44789.0)</f>
        <v>44789</v>
      </c>
      <c r="S1996" s="6" t="str">
        <f>IFERROR(__xludf.DUMMYFUNCTION("""COMPUTED_VALUE"""),"-")</f>
        <v>-</v>
      </c>
      <c r="T1996" s="57">
        <f>IFERROR(__xludf.DUMMYFUNCTION("""COMPUTED_VALUE"""),44813.0)</f>
        <v>44813</v>
      </c>
    </row>
    <row r="1997">
      <c r="A1997" s="6" t="str">
        <f>IFERROR(__xludf.DUMMYFUNCTION("""COMPUTED_VALUE"""),"221750401-1")</f>
        <v>221750401-1</v>
      </c>
      <c r="B1997" s="6" t="str">
        <f>IFERROR(__xludf.DUMMYFUNCTION("""COMPUTED_VALUE"""),"221750401 - Approved")</f>
        <v>221750401 - Approved</v>
      </c>
      <c r="C1997" s="6">
        <f>IFERROR(__xludf.DUMMYFUNCTION("""COMPUTED_VALUE"""),1.0)</f>
        <v>1</v>
      </c>
      <c r="D1997" s="6" t="str">
        <f>IFERROR(__xludf.DUMMYFUNCTION("""COMPUTED_VALUE"""),"Q-10475-00")</f>
        <v>Q-10475-00</v>
      </c>
      <c r="E1997" s="6" t="str">
        <f>IFERROR(__xludf.DUMMYFUNCTION("""COMPUTED_VALUE"""),"Cat Tembok")</f>
        <v>Cat Tembok</v>
      </c>
      <c r="F1997" s="6">
        <f>IFERROR(__xludf.DUMMYFUNCTION("""COMPUTED_VALUE"""),1.0)</f>
        <v>1</v>
      </c>
      <c r="G1997" s="6" t="str">
        <f>IFERROR(__xludf.DUMMYFUNCTION("""COMPUTED_VALUE"""),"Can")</f>
        <v>Can</v>
      </c>
      <c r="H1997" s="6" t="str">
        <f>IFERROR(__xludf.DUMMYFUNCTION("""COMPUTED_VALUE"""),"IDR")</f>
        <v>IDR</v>
      </c>
      <c r="I1997" s="6">
        <f>IFERROR(__xludf.DUMMYFUNCTION("""COMPUTED_VALUE"""),2311025.0)</f>
        <v>2311025</v>
      </c>
      <c r="J1997" s="6">
        <f>IFERROR(__xludf.DUMMYFUNCTION("""COMPUTED_VALUE"""),2311025.0)</f>
        <v>2311025</v>
      </c>
      <c r="K1997" s="57">
        <f>IFERROR(__xludf.DUMMYFUNCTION("""COMPUTED_VALUE"""),44820.0)</f>
        <v>44820</v>
      </c>
      <c r="L1997" s="6" t="str">
        <f>IFERROR(__xludf.DUMMYFUNCTION("""COMPUTED_VALUE"""),"FIP General")</f>
        <v>FIP General</v>
      </c>
      <c r="M1997" s="6" t="str">
        <f>IFERROR(__xludf.DUMMYFUNCTION("""COMPUTED_VALUE"""),"Irwan Sopian")</f>
        <v>Irwan Sopian</v>
      </c>
      <c r="N1997" s="6" t="str">
        <f>IFERROR(__xludf.DUMMYFUNCTION("""COMPUTED_VALUE"""),"FIP Engineering")</f>
        <v>FIP Engineering</v>
      </c>
      <c r="O1997" s="6" t="str">
        <f>IFERROR(__xludf.DUMMYFUNCTION("""COMPUTED_VALUE"""),"FIP-DOM-ENG-51502-0000000-INA-000000")</f>
        <v>FIP-DOM-ENG-51502-0000000-INA-000000</v>
      </c>
      <c r="P1997" s="6" t="str">
        <f>IFERROR(__xludf.DUMMYFUNCTION("""COMPUTED_VALUE"""),"PO Closed")</f>
        <v>PO Closed</v>
      </c>
      <c r="Q1997" s="6" t="str">
        <f>IFERROR(__xludf.DUMMYFUNCTION("""COMPUTED_VALUE"""),"GL2208317")</f>
        <v>GL2208317</v>
      </c>
      <c r="R1997" s="57">
        <f>IFERROR(__xludf.DUMMYFUNCTION("""COMPUTED_VALUE"""),44791.0)</f>
        <v>44791</v>
      </c>
      <c r="S1997" s="6" t="str">
        <f>IFERROR(__xludf.DUMMYFUNCTION("""COMPUTED_VALUE"""),"-")</f>
        <v>-</v>
      </c>
      <c r="T1997" s="57">
        <f>IFERROR(__xludf.DUMMYFUNCTION("""COMPUTED_VALUE"""),44820.0)</f>
        <v>44820</v>
      </c>
    </row>
    <row r="1998">
      <c r="A1998" s="6" t="str">
        <f>IFERROR(__xludf.DUMMYFUNCTION("""COMPUTED_VALUE"""),"221750401-2")</f>
        <v>221750401-2</v>
      </c>
      <c r="B1998" s="6" t="str">
        <f>IFERROR(__xludf.DUMMYFUNCTION("""COMPUTED_VALUE"""),"221750401 - Approved")</f>
        <v>221750401 - Approved</v>
      </c>
      <c r="C1998" s="6">
        <f>IFERROR(__xludf.DUMMYFUNCTION("""COMPUTED_VALUE"""),2.0)</f>
        <v>2</v>
      </c>
      <c r="D1998" s="6" t="str">
        <f>IFERROR(__xludf.DUMMYFUNCTION("""COMPUTED_VALUE"""),"Q-10128-00")</f>
        <v>Q-10128-00</v>
      </c>
      <c r="E1998" s="6" t="str">
        <f>IFERROR(__xludf.DUMMYFUNCTION("""COMPUTED_VALUE"""),"Thinner Super End/Impala")</f>
        <v>Thinner Super End/Impala</v>
      </c>
      <c r="F1998" s="6">
        <f>IFERROR(__xludf.DUMMYFUNCTION("""COMPUTED_VALUE"""),5.0)</f>
        <v>5</v>
      </c>
      <c r="G1998" s="6" t="str">
        <f>IFERROR(__xludf.DUMMYFUNCTION("""COMPUTED_VALUE"""),"Pieces")</f>
        <v>Pieces</v>
      </c>
      <c r="H1998" s="6" t="str">
        <f>IFERROR(__xludf.DUMMYFUNCTION("""COMPUTED_VALUE"""),"IDR")</f>
        <v>IDR</v>
      </c>
      <c r="I1998" s="6">
        <f>IFERROR(__xludf.DUMMYFUNCTION("""COMPUTED_VALUE"""),110000.0)</f>
        <v>110000</v>
      </c>
      <c r="J1998" s="6">
        <f>IFERROR(__xludf.DUMMYFUNCTION("""COMPUTED_VALUE"""),550000.0)</f>
        <v>550000</v>
      </c>
      <c r="K1998" s="57">
        <f>IFERROR(__xludf.DUMMYFUNCTION("""COMPUTED_VALUE"""),44820.0)</f>
        <v>44820</v>
      </c>
      <c r="L1998" s="6" t="str">
        <f>IFERROR(__xludf.DUMMYFUNCTION("""COMPUTED_VALUE"""),"FIP Engineering")</f>
        <v>FIP Engineering</v>
      </c>
      <c r="M1998" s="6" t="str">
        <f>IFERROR(__xludf.DUMMYFUNCTION("""COMPUTED_VALUE"""),"Irwan Sopian")</f>
        <v>Irwan Sopian</v>
      </c>
      <c r="N1998" s="6" t="str">
        <f>IFERROR(__xludf.DUMMYFUNCTION("""COMPUTED_VALUE"""),"FIP Engineering")</f>
        <v>FIP Engineering</v>
      </c>
      <c r="O1998" s="6" t="str">
        <f>IFERROR(__xludf.DUMMYFUNCTION("""COMPUTED_VALUE"""),"FIP-DOM-000-11304-OS00001-INA-000000")</f>
        <v>FIP-DOM-000-11304-OS00001-INA-000000</v>
      </c>
      <c r="P1998" s="6" t="str">
        <f>IFERROR(__xludf.DUMMYFUNCTION("""COMPUTED_VALUE"""),"PO Closed")</f>
        <v>PO Closed</v>
      </c>
      <c r="Q1998" s="6" t="str">
        <f>IFERROR(__xludf.DUMMYFUNCTION("""COMPUTED_VALUE"""),"GL2208317")</f>
        <v>GL2208317</v>
      </c>
      <c r="R1998" s="57">
        <f>IFERROR(__xludf.DUMMYFUNCTION("""COMPUTED_VALUE"""),44791.0)</f>
        <v>44791</v>
      </c>
      <c r="S1998" s="6" t="str">
        <f>IFERROR(__xludf.DUMMYFUNCTION("""COMPUTED_VALUE"""),"-")</f>
        <v>-</v>
      </c>
      <c r="T1998" s="57">
        <f>IFERROR(__xludf.DUMMYFUNCTION("""COMPUTED_VALUE"""),44820.0)</f>
        <v>44820</v>
      </c>
    </row>
    <row r="1999">
      <c r="A1999" s="6" t="str">
        <f>IFERROR(__xludf.DUMMYFUNCTION("""COMPUTED_VALUE"""),"221750401-3")</f>
        <v>221750401-3</v>
      </c>
      <c r="B1999" s="6" t="str">
        <f>IFERROR(__xludf.DUMMYFUNCTION("""COMPUTED_VALUE"""),"221750401 - Approved")</f>
        <v>221750401 - Approved</v>
      </c>
      <c r="C1999" s="6">
        <f>IFERROR(__xludf.DUMMYFUNCTION("""COMPUTED_VALUE"""),3.0)</f>
        <v>3</v>
      </c>
      <c r="D1999" s="6" t="str">
        <f>IFERROR(__xludf.DUMMYFUNCTION("""COMPUTED_VALUE"""),"Q-10154-00")</f>
        <v>Q-10154-00</v>
      </c>
      <c r="E1999" s="6" t="str">
        <f>IFERROR(__xludf.DUMMYFUNCTION("""COMPUTED_VALUE"""),"Roller cat 230mm")</f>
        <v>Roller cat 230mm</v>
      </c>
      <c r="F1999" s="6">
        <f>IFERROR(__xludf.DUMMYFUNCTION("""COMPUTED_VALUE"""),5.0)</f>
        <v>5</v>
      </c>
      <c r="G1999" s="6" t="str">
        <f>IFERROR(__xludf.DUMMYFUNCTION("""COMPUTED_VALUE"""),"Pieces")</f>
        <v>Pieces</v>
      </c>
      <c r="H1999" s="6" t="str">
        <f>IFERROR(__xludf.DUMMYFUNCTION("""COMPUTED_VALUE"""),"IDR")</f>
        <v>IDR</v>
      </c>
      <c r="I1999" s="6">
        <f>IFERROR(__xludf.DUMMYFUNCTION("""COMPUTED_VALUE"""),24250.0)</f>
        <v>24250</v>
      </c>
      <c r="J1999" s="6">
        <f>IFERROR(__xludf.DUMMYFUNCTION("""COMPUTED_VALUE"""),121250.0)</f>
        <v>121250</v>
      </c>
      <c r="K1999" s="57">
        <f>IFERROR(__xludf.DUMMYFUNCTION("""COMPUTED_VALUE"""),44820.0)</f>
        <v>44820</v>
      </c>
      <c r="L1999" s="6" t="str">
        <f>IFERROR(__xludf.DUMMYFUNCTION("""COMPUTED_VALUE"""),"FIP Engineering")</f>
        <v>FIP Engineering</v>
      </c>
      <c r="M1999" s="6" t="str">
        <f>IFERROR(__xludf.DUMMYFUNCTION("""COMPUTED_VALUE"""),"Irwan Sopian")</f>
        <v>Irwan Sopian</v>
      </c>
      <c r="N1999" s="6" t="str">
        <f>IFERROR(__xludf.DUMMYFUNCTION("""COMPUTED_VALUE"""),"FIP Engineering")</f>
        <v>FIP Engineering</v>
      </c>
      <c r="O1999" s="6" t="str">
        <f>IFERROR(__xludf.DUMMYFUNCTION("""COMPUTED_VALUE"""),"FIP-DOM-000-11304-OS00001-INA-000000")</f>
        <v>FIP-DOM-000-11304-OS00001-INA-000000</v>
      </c>
      <c r="P1999" s="6" t="str">
        <f>IFERROR(__xludf.DUMMYFUNCTION("""COMPUTED_VALUE"""),"PO Closed")</f>
        <v>PO Closed</v>
      </c>
      <c r="Q1999" s="6" t="str">
        <f>IFERROR(__xludf.DUMMYFUNCTION("""COMPUTED_VALUE"""),"GL2208317")</f>
        <v>GL2208317</v>
      </c>
      <c r="R1999" s="57">
        <f>IFERROR(__xludf.DUMMYFUNCTION("""COMPUTED_VALUE"""),44791.0)</f>
        <v>44791</v>
      </c>
      <c r="S1999" s="6" t="str">
        <f>IFERROR(__xludf.DUMMYFUNCTION("""COMPUTED_VALUE"""),"-")</f>
        <v>-</v>
      </c>
      <c r="T1999" s="57">
        <f>IFERROR(__xludf.DUMMYFUNCTION("""COMPUTED_VALUE"""),44820.0)</f>
        <v>44820</v>
      </c>
    </row>
    <row r="2000">
      <c r="A2000" s="6" t="str">
        <f>IFERROR(__xludf.DUMMYFUNCTION("""COMPUTED_VALUE"""),"221750401-4")</f>
        <v>221750401-4</v>
      </c>
      <c r="B2000" s="6" t="str">
        <f>IFERROR(__xludf.DUMMYFUNCTION("""COMPUTED_VALUE"""),"221750401 - Approved")</f>
        <v>221750401 - Approved</v>
      </c>
      <c r="C2000" s="6">
        <f>IFERROR(__xludf.DUMMYFUNCTION("""COMPUTED_VALUE"""),4.0)</f>
        <v>4</v>
      </c>
      <c r="D2000" s="6" t="str">
        <f>IFERROR(__xludf.DUMMYFUNCTION("""COMPUTED_VALUE"""),"Q-10153-00")</f>
        <v>Q-10153-00</v>
      </c>
      <c r="E2000" s="6" t="str">
        <f>IFERROR(__xludf.DUMMYFUNCTION("""COMPUTED_VALUE"""),"Roller cat 110mm")</f>
        <v>Roller cat 110mm</v>
      </c>
      <c r="F2000" s="6">
        <f>IFERROR(__xludf.DUMMYFUNCTION("""COMPUTED_VALUE"""),5.0)</f>
        <v>5</v>
      </c>
      <c r="G2000" s="6" t="str">
        <f>IFERROR(__xludf.DUMMYFUNCTION("""COMPUTED_VALUE"""),"Pieces")</f>
        <v>Pieces</v>
      </c>
      <c r="H2000" s="6" t="str">
        <f>IFERROR(__xludf.DUMMYFUNCTION("""COMPUTED_VALUE"""),"IDR")</f>
        <v>IDR</v>
      </c>
      <c r="I2000" s="6">
        <f>IFERROR(__xludf.DUMMYFUNCTION("""COMPUTED_VALUE"""),11650.0)</f>
        <v>11650</v>
      </c>
      <c r="J2000" s="6">
        <f>IFERROR(__xludf.DUMMYFUNCTION("""COMPUTED_VALUE"""),58250.0)</f>
        <v>58250</v>
      </c>
      <c r="K2000" s="57">
        <f>IFERROR(__xludf.DUMMYFUNCTION("""COMPUTED_VALUE"""),44820.0)</f>
        <v>44820</v>
      </c>
      <c r="L2000" s="6" t="str">
        <f>IFERROR(__xludf.DUMMYFUNCTION("""COMPUTED_VALUE"""),"FIP Engineering")</f>
        <v>FIP Engineering</v>
      </c>
      <c r="M2000" s="6" t="str">
        <f>IFERROR(__xludf.DUMMYFUNCTION("""COMPUTED_VALUE"""),"Irwan Sopian")</f>
        <v>Irwan Sopian</v>
      </c>
      <c r="N2000" s="6" t="str">
        <f>IFERROR(__xludf.DUMMYFUNCTION("""COMPUTED_VALUE"""),"FIP Engineering")</f>
        <v>FIP Engineering</v>
      </c>
      <c r="O2000" s="6" t="str">
        <f>IFERROR(__xludf.DUMMYFUNCTION("""COMPUTED_VALUE"""),"FIP-DOM-000-11304-OS00001-INA-000000")</f>
        <v>FIP-DOM-000-11304-OS00001-INA-000000</v>
      </c>
      <c r="P2000" s="6" t="str">
        <f>IFERROR(__xludf.DUMMYFUNCTION("""COMPUTED_VALUE"""),"PO Closed")</f>
        <v>PO Closed</v>
      </c>
      <c r="Q2000" s="6" t="str">
        <f>IFERROR(__xludf.DUMMYFUNCTION("""COMPUTED_VALUE"""),"GL2208317")</f>
        <v>GL2208317</v>
      </c>
      <c r="R2000" s="57">
        <f>IFERROR(__xludf.DUMMYFUNCTION("""COMPUTED_VALUE"""),44791.0)</f>
        <v>44791</v>
      </c>
      <c r="S2000" s="6" t="str">
        <f>IFERROR(__xludf.DUMMYFUNCTION("""COMPUTED_VALUE"""),"-")</f>
        <v>-</v>
      </c>
      <c r="T2000" s="57">
        <f>IFERROR(__xludf.DUMMYFUNCTION("""COMPUTED_VALUE"""),44820.0)</f>
        <v>44820</v>
      </c>
    </row>
    <row r="2001">
      <c r="A2001" s="6" t="str">
        <f>IFERROR(__xludf.DUMMYFUNCTION("""COMPUTED_VALUE"""),"221750400-1")</f>
        <v>221750400-1</v>
      </c>
      <c r="B2001" s="6" t="str">
        <f>IFERROR(__xludf.DUMMYFUNCTION("""COMPUTED_VALUE"""),"221750400 - Approved")</f>
        <v>221750400 - Approved</v>
      </c>
      <c r="C2001" s="6">
        <f>IFERROR(__xludf.DUMMYFUNCTION("""COMPUTED_VALUE"""),1.0)</f>
        <v>1</v>
      </c>
      <c r="D2001" s="6" t="str">
        <f>IFERROR(__xludf.DUMMYFUNCTION("""COMPUTED_VALUE"""),"P-18274-00")</f>
        <v>P-18274-00</v>
      </c>
      <c r="E2001" s="6" t="str">
        <f>IFERROR(__xludf.DUMMYFUNCTION("""COMPUTED_VALUE"""),"Tee SS 304 Sch 10 welded dia 4 inch")</f>
        <v>Tee SS 304 Sch 10 welded dia 4 inch</v>
      </c>
      <c r="F2001" s="6">
        <f>IFERROR(__xludf.DUMMYFUNCTION("""COMPUTED_VALUE"""),1.0)</f>
        <v>1</v>
      </c>
      <c r="G2001" s="6" t="str">
        <f>IFERROR(__xludf.DUMMYFUNCTION("""COMPUTED_VALUE"""),"Pieces")</f>
        <v>Pieces</v>
      </c>
      <c r="H2001" s="6" t="str">
        <f>IFERROR(__xludf.DUMMYFUNCTION("""COMPUTED_VALUE"""),"IDR")</f>
        <v>IDR</v>
      </c>
      <c r="I2001" s="6">
        <f>IFERROR(__xludf.DUMMYFUNCTION("""COMPUTED_VALUE"""),650000.0)</f>
        <v>650000</v>
      </c>
      <c r="J2001" s="6">
        <f>IFERROR(__xludf.DUMMYFUNCTION("""COMPUTED_VALUE"""),650000.0)</f>
        <v>650000</v>
      </c>
      <c r="K2001" s="57">
        <f>IFERROR(__xludf.DUMMYFUNCTION("""COMPUTED_VALUE"""),44820.0)</f>
        <v>44820</v>
      </c>
      <c r="L2001" s="6" t="str">
        <f>IFERROR(__xludf.DUMMYFUNCTION("""COMPUTED_VALUE"""),"FIP Engineering")</f>
        <v>FIP Engineering</v>
      </c>
      <c r="M2001" s="6" t="str">
        <f>IFERROR(__xludf.DUMMYFUNCTION("""COMPUTED_VALUE"""),"Irwan Sopian")</f>
        <v>Irwan Sopian</v>
      </c>
      <c r="N2001" s="6" t="str">
        <f>IFERROR(__xludf.DUMMYFUNCTION("""COMPUTED_VALUE"""),"FIP Engineering")</f>
        <v>FIP Engineering</v>
      </c>
      <c r="O2001" s="6" t="str">
        <f>IFERROR(__xludf.DUMMYFUNCTION("""COMPUTED_VALUE"""),"FIP-DOM-000-11304-OS00001-INA-000000")</f>
        <v>FIP-DOM-000-11304-OS00001-INA-000000</v>
      </c>
      <c r="P2001" s="6" t="str">
        <f>IFERROR(__xludf.DUMMYFUNCTION("""COMPUTED_VALUE"""),"PO Closed")</f>
        <v>PO Closed</v>
      </c>
      <c r="Q2001" s="6" t="str">
        <f>IFERROR(__xludf.DUMMYFUNCTION("""COMPUTED_VALUE"""),"GL2209011")</f>
        <v>GL2209011</v>
      </c>
      <c r="R2001" s="57">
        <f>IFERROR(__xludf.DUMMYFUNCTION("""COMPUTED_VALUE"""),44791.0)</f>
        <v>44791</v>
      </c>
      <c r="S2001" s="6" t="str">
        <f>IFERROR(__xludf.DUMMYFUNCTION("""COMPUTED_VALUE"""),"-")</f>
        <v>-</v>
      </c>
      <c r="T2001" s="57">
        <f>IFERROR(__xludf.DUMMYFUNCTION("""COMPUTED_VALUE"""),44820.0)</f>
        <v>44820</v>
      </c>
    </row>
    <row r="2002">
      <c r="A2002" s="6" t="str">
        <f>IFERROR(__xludf.DUMMYFUNCTION("""COMPUTED_VALUE"""),"221750400-2")</f>
        <v>221750400-2</v>
      </c>
      <c r="B2002" s="6" t="str">
        <f>IFERROR(__xludf.DUMMYFUNCTION("""COMPUTED_VALUE"""),"221750400 - Approved")</f>
        <v>221750400 - Approved</v>
      </c>
      <c r="C2002" s="6">
        <f>IFERROR(__xludf.DUMMYFUNCTION("""COMPUTED_VALUE"""),2.0)</f>
        <v>2</v>
      </c>
      <c r="D2002" s="6" t="str">
        <f>IFERROR(__xludf.DUMMYFUNCTION("""COMPUTED_VALUE"""),"P-18275-00")</f>
        <v>P-18275-00</v>
      </c>
      <c r="E2002" s="6" t="str">
        <f>IFERROR(__xludf.DUMMYFUNCTION("""COMPUTED_VALUE"""),"Reducer SS 304 Sch 10 welded dia 4x2 inch")</f>
        <v>Reducer SS 304 Sch 10 welded dia 4x2 inch</v>
      </c>
      <c r="F2002" s="6">
        <f>IFERROR(__xludf.DUMMYFUNCTION("""COMPUTED_VALUE"""),1.0)</f>
        <v>1</v>
      </c>
      <c r="G2002" s="6" t="str">
        <f>IFERROR(__xludf.DUMMYFUNCTION("""COMPUTED_VALUE"""),"Pieces")</f>
        <v>Pieces</v>
      </c>
      <c r="H2002" s="6" t="str">
        <f>IFERROR(__xludf.DUMMYFUNCTION("""COMPUTED_VALUE"""),"IDR")</f>
        <v>IDR</v>
      </c>
      <c r="I2002" s="6">
        <f>IFERROR(__xludf.DUMMYFUNCTION("""COMPUTED_VALUE"""),378000.0)</f>
        <v>378000</v>
      </c>
      <c r="J2002" s="6">
        <f>IFERROR(__xludf.DUMMYFUNCTION("""COMPUTED_VALUE"""),378000.0)</f>
        <v>378000</v>
      </c>
      <c r="K2002" s="57">
        <f>IFERROR(__xludf.DUMMYFUNCTION("""COMPUTED_VALUE"""),44820.0)</f>
        <v>44820</v>
      </c>
      <c r="L2002" s="6" t="str">
        <f>IFERROR(__xludf.DUMMYFUNCTION("""COMPUTED_VALUE"""),"FIP Engineering")</f>
        <v>FIP Engineering</v>
      </c>
      <c r="M2002" s="6" t="str">
        <f>IFERROR(__xludf.DUMMYFUNCTION("""COMPUTED_VALUE"""),"Irwan Sopian")</f>
        <v>Irwan Sopian</v>
      </c>
      <c r="N2002" s="6" t="str">
        <f>IFERROR(__xludf.DUMMYFUNCTION("""COMPUTED_VALUE"""),"FIP Engineering")</f>
        <v>FIP Engineering</v>
      </c>
      <c r="O2002" s="6" t="str">
        <f>IFERROR(__xludf.DUMMYFUNCTION("""COMPUTED_VALUE"""),"FIP-DOM-000-11304-OS00001-INA-000000")</f>
        <v>FIP-DOM-000-11304-OS00001-INA-000000</v>
      </c>
      <c r="P2002" s="6" t="str">
        <f>IFERROR(__xludf.DUMMYFUNCTION("""COMPUTED_VALUE"""),"PO Closed")</f>
        <v>PO Closed</v>
      </c>
      <c r="Q2002" s="6" t="str">
        <f>IFERROR(__xludf.DUMMYFUNCTION("""COMPUTED_VALUE"""),"GL2209011")</f>
        <v>GL2209011</v>
      </c>
      <c r="R2002" s="57">
        <f>IFERROR(__xludf.DUMMYFUNCTION("""COMPUTED_VALUE"""),44791.0)</f>
        <v>44791</v>
      </c>
      <c r="S2002" s="6" t="str">
        <f>IFERROR(__xludf.DUMMYFUNCTION("""COMPUTED_VALUE"""),"-")</f>
        <v>-</v>
      </c>
      <c r="T2002" s="57">
        <f>IFERROR(__xludf.DUMMYFUNCTION("""COMPUTED_VALUE"""),44820.0)</f>
        <v>44820</v>
      </c>
    </row>
    <row r="2003">
      <c r="A2003" s="6" t="str">
        <f>IFERROR(__xludf.DUMMYFUNCTION("""COMPUTED_VALUE"""),"221750400-3")</f>
        <v>221750400-3</v>
      </c>
      <c r="B2003" s="6" t="str">
        <f>IFERROR(__xludf.DUMMYFUNCTION("""COMPUTED_VALUE"""),"221750400 - Approved")</f>
        <v>221750400 - Approved</v>
      </c>
      <c r="C2003" s="6">
        <f>IFERROR(__xludf.DUMMYFUNCTION("""COMPUTED_VALUE"""),3.0)</f>
        <v>3</v>
      </c>
      <c r="D2003" s="6" t="str">
        <f>IFERROR(__xludf.DUMMYFUNCTION("""COMPUTED_VALUE"""),"P-18276-00")</f>
        <v>P-18276-00</v>
      </c>
      <c r="E2003" s="6" t="str">
        <f>IFERROR(__xludf.DUMMYFUNCTION("""COMPUTED_VALUE"""),"Sock Drat SS 304 2 inch")</f>
        <v>Sock Drat SS 304 2 inch</v>
      </c>
      <c r="F2003" s="6">
        <f>IFERROR(__xludf.DUMMYFUNCTION("""COMPUTED_VALUE"""),1.0)</f>
        <v>1</v>
      </c>
      <c r="G2003" s="6" t="str">
        <f>IFERROR(__xludf.DUMMYFUNCTION("""COMPUTED_VALUE"""),"Pieces")</f>
        <v>Pieces</v>
      </c>
      <c r="H2003" s="6" t="str">
        <f>IFERROR(__xludf.DUMMYFUNCTION("""COMPUTED_VALUE"""),"IDR")</f>
        <v>IDR</v>
      </c>
      <c r="I2003" s="6">
        <f>IFERROR(__xludf.DUMMYFUNCTION("""COMPUTED_VALUE"""),200000.0)</f>
        <v>200000</v>
      </c>
      <c r="J2003" s="6">
        <f>IFERROR(__xludf.DUMMYFUNCTION("""COMPUTED_VALUE"""),200000.0)</f>
        <v>200000</v>
      </c>
      <c r="K2003" s="57">
        <f>IFERROR(__xludf.DUMMYFUNCTION("""COMPUTED_VALUE"""),44820.0)</f>
        <v>44820</v>
      </c>
      <c r="L2003" s="6" t="str">
        <f>IFERROR(__xludf.DUMMYFUNCTION("""COMPUTED_VALUE"""),"FIP Engineering")</f>
        <v>FIP Engineering</v>
      </c>
      <c r="M2003" s="6" t="str">
        <f>IFERROR(__xludf.DUMMYFUNCTION("""COMPUTED_VALUE"""),"Irwan Sopian")</f>
        <v>Irwan Sopian</v>
      </c>
      <c r="N2003" s="6" t="str">
        <f>IFERROR(__xludf.DUMMYFUNCTION("""COMPUTED_VALUE"""),"FIP Engineering")</f>
        <v>FIP Engineering</v>
      </c>
      <c r="O2003" s="6" t="str">
        <f>IFERROR(__xludf.DUMMYFUNCTION("""COMPUTED_VALUE"""),"FIP-DOM-000-11304-OS00001-INA-000000")</f>
        <v>FIP-DOM-000-11304-OS00001-INA-000000</v>
      </c>
      <c r="P2003" s="6" t="str">
        <f>IFERROR(__xludf.DUMMYFUNCTION("""COMPUTED_VALUE"""),"PO Closed")</f>
        <v>PO Closed</v>
      </c>
      <c r="Q2003" s="6" t="str">
        <f>IFERROR(__xludf.DUMMYFUNCTION("""COMPUTED_VALUE"""),"GL2209011")</f>
        <v>GL2209011</v>
      </c>
      <c r="R2003" s="57">
        <f>IFERROR(__xludf.DUMMYFUNCTION("""COMPUTED_VALUE"""),44791.0)</f>
        <v>44791</v>
      </c>
      <c r="S2003" s="6" t="str">
        <f>IFERROR(__xludf.DUMMYFUNCTION("""COMPUTED_VALUE"""),"-")</f>
        <v>-</v>
      </c>
      <c r="T2003" s="57">
        <f>IFERROR(__xludf.DUMMYFUNCTION("""COMPUTED_VALUE"""),44820.0)</f>
        <v>44820</v>
      </c>
    </row>
    <row r="2004">
      <c r="A2004" s="6" t="str">
        <f>IFERROR(__xludf.DUMMYFUNCTION("""COMPUTED_VALUE"""),"221750400-4")</f>
        <v>221750400-4</v>
      </c>
      <c r="B2004" s="6" t="str">
        <f>IFERROR(__xludf.DUMMYFUNCTION("""COMPUTED_VALUE"""),"221750400 - Approved")</f>
        <v>221750400 - Approved</v>
      </c>
      <c r="C2004" s="6">
        <f>IFERROR(__xludf.DUMMYFUNCTION("""COMPUTED_VALUE"""),4.0)</f>
        <v>4</v>
      </c>
      <c r="D2004" s="6" t="str">
        <f>IFERROR(__xludf.DUMMYFUNCTION("""COMPUTED_VALUE"""),"P-18277-00")</f>
        <v>P-18277-00</v>
      </c>
      <c r="E2004" s="6" t="str">
        <f>IFERROR(__xludf.DUMMYFUNCTION("""COMPUTED_VALUE"""),"Elbow PVC AW 45 deg dia 2 Inch")</f>
        <v>Elbow PVC AW 45 deg dia 2 Inch</v>
      </c>
      <c r="F2004" s="6">
        <f>IFERROR(__xludf.DUMMYFUNCTION("""COMPUTED_VALUE"""),1.0)</f>
        <v>1</v>
      </c>
      <c r="G2004" s="6" t="str">
        <f>IFERROR(__xludf.DUMMYFUNCTION("""COMPUTED_VALUE"""),"Pieces")</f>
        <v>Pieces</v>
      </c>
      <c r="H2004" s="6" t="str">
        <f>IFERROR(__xludf.DUMMYFUNCTION("""COMPUTED_VALUE"""),"IDR")</f>
        <v>IDR</v>
      </c>
      <c r="I2004" s="6">
        <f>IFERROR(__xludf.DUMMYFUNCTION("""COMPUTED_VALUE"""),42000.0)</f>
        <v>42000</v>
      </c>
      <c r="J2004" s="6">
        <f>IFERROR(__xludf.DUMMYFUNCTION("""COMPUTED_VALUE"""),42000.0)</f>
        <v>42000</v>
      </c>
      <c r="K2004" s="57">
        <f>IFERROR(__xludf.DUMMYFUNCTION("""COMPUTED_VALUE"""),44820.0)</f>
        <v>44820</v>
      </c>
      <c r="L2004" s="6" t="str">
        <f>IFERROR(__xludf.DUMMYFUNCTION("""COMPUTED_VALUE"""),"FIP Engineering")</f>
        <v>FIP Engineering</v>
      </c>
      <c r="M2004" s="6" t="str">
        <f>IFERROR(__xludf.DUMMYFUNCTION("""COMPUTED_VALUE"""),"Irwan Sopian")</f>
        <v>Irwan Sopian</v>
      </c>
      <c r="N2004" s="6" t="str">
        <f>IFERROR(__xludf.DUMMYFUNCTION("""COMPUTED_VALUE"""),"FIP Engineering")</f>
        <v>FIP Engineering</v>
      </c>
      <c r="O2004" s="6" t="str">
        <f>IFERROR(__xludf.DUMMYFUNCTION("""COMPUTED_VALUE"""),"FIP-DOM-000-11304-OS00001-INA-000000")</f>
        <v>FIP-DOM-000-11304-OS00001-INA-000000</v>
      </c>
      <c r="P2004" s="6" t="str">
        <f>IFERROR(__xludf.DUMMYFUNCTION("""COMPUTED_VALUE"""),"PO Closed")</f>
        <v>PO Closed</v>
      </c>
      <c r="Q2004" s="6" t="str">
        <f>IFERROR(__xludf.DUMMYFUNCTION("""COMPUTED_VALUE"""),"GL2209011")</f>
        <v>GL2209011</v>
      </c>
      <c r="R2004" s="57">
        <f>IFERROR(__xludf.DUMMYFUNCTION("""COMPUTED_VALUE"""),44791.0)</f>
        <v>44791</v>
      </c>
      <c r="S2004" s="6" t="str">
        <f>IFERROR(__xludf.DUMMYFUNCTION("""COMPUTED_VALUE"""),"-")</f>
        <v>-</v>
      </c>
      <c r="T2004" s="57">
        <f>IFERROR(__xludf.DUMMYFUNCTION("""COMPUTED_VALUE"""),44820.0)</f>
        <v>44820</v>
      </c>
    </row>
    <row r="2005">
      <c r="A2005" s="6" t="str">
        <f>IFERROR(__xludf.DUMMYFUNCTION("""COMPUTED_VALUE"""),"221750400-5")</f>
        <v>221750400-5</v>
      </c>
      <c r="B2005" s="6" t="str">
        <f>IFERROR(__xludf.DUMMYFUNCTION("""COMPUTED_VALUE"""),"221750400 - Approved")</f>
        <v>221750400 - Approved</v>
      </c>
      <c r="C2005" s="6">
        <f>IFERROR(__xludf.DUMMYFUNCTION("""COMPUTED_VALUE"""),5.0)</f>
        <v>5</v>
      </c>
      <c r="D2005" s="6" t="str">
        <f>IFERROR(__xludf.DUMMYFUNCTION("""COMPUTED_VALUE"""),"P-15078-00")</f>
        <v>P-15078-00</v>
      </c>
      <c r="E2005" s="6" t="str">
        <f>IFERROR(__xludf.DUMMYFUNCTION("""COMPUTED_VALUE"""),"ELBOW PVC AW 2"" Rucika; ; ;")</f>
        <v>ELBOW PVC AW 2" Rucika; ; ;</v>
      </c>
      <c r="F2005" s="6">
        <f>IFERROR(__xludf.DUMMYFUNCTION("""COMPUTED_VALUE"""),1.0)</f>
        <v>1</v>
      </c>
      <c r="G2005" s="6" t="str">
        <f>IFERROR(__xludf.DUMMYFUNCTION("""COMPUTED_VALUE"""),"Pieces")</f>
        <v>Pieces</v>
      </c>
      <c r="H2005" s="6" t="str">
        <f>IFERROR(__xludf.DUMMYFUNCTION("""COMPUTED_VALUE"""),"IDR")</f>
        <v>IDR</v>
      </c>
      <c r="I2005" s="6">
        <f>IFERROR(__xludf.DUMMYFUNCTION("""COMPUTED_VALUE"""),26500.0)</f>
        <v>26500</v>
      </c>
      <c r="J2005" s="6">
        <f>IFERROR(__xludf.DUMMYFUNCTION("""COMPUTED_VALUE"""),26500.0)</f>
        <v>26500</v>
      </c>
      <c r="K2005" s="57">
        <f>IFERROR(__xludf.DUMMYFUNCTION("""COMPUTED_VALUE"""),44820.0)</f>
        <v>44820</v>
      </c>
      <c r="L2005" s="6" t="str">
        <f>IFERROR(__xludf.DUMMYFUNCTION("""COMPUTED_VALUE"""),"FIP Engineering")</f>
        <v>FIP Engineering</v>
      </c>
      <c r="M2005" s="6" t="str">
        <f>IFERROR(__xludf.DUMMYFUNCTION("""COMPUTED_VALUE"""),"Irwan Sopian")</f>
        <v>Irwan Sopian</v>
      </c>
      <c r="N2005" s="6" t="str">
        <f>IFERROR(__xludf.DUMMYFUNCTION("""COMPUTED_VALUE"""),"FIP Engineering")</f>
        <v>FIP Engineering</v>
      </c>
      <c r="O2005" s="6" t="str">
        <f>IFERROR(__xludf.DUMMYFUNCTION("""COMPUTED_VALUE"""),"FIP-DOM-000-11304-OS00001-INA-000000")</f>
        <v>FIP-DOM-000-11304-OS00001-INA-000000</v>
      </c>
      <c r="P2005" s="6" t="str">
        <f>IFERROR(__xludf.DUMMYFUNCTION("""COMPUTED_VALUE"""),"PO Closed")</f>
        <v>PO Closed</v>
      </c>
      <c r="Q2005" s="6" t="str">
        <f>IFERROR(__xludf.DUMMYFUNCTION("""COMPUTED_VALUE"""),"GL2209011")</f>
        <v>GL2209011</v>
      </c>
      <c r="R2005" s="57">
        <f>IFERROR(__xludf.DUMMYFUNCTION("""COMPUTED_VALUE"""),44791.0)</f>
        <v>44791</v>
      </c>
      <c r="S2005" s="6" t="str">
        <f>IFERROR(__xludf.DUMMYFUNCTION("""COMPUTED_VALUE"""),"-")</f>
        <v>-</v>
      </c>
      <c r="T2005" s="57">
        <f>IFERROR(__xludf.DUMMYFUNCTION("""COMPUTED_VALUE"""),44820.0)</f>
        <v>44820</v>
      </c>
    </row>
    <row r="2006">
      <c r="A2006" s="6" t="str">
        <f>IFERROR(__xludf.DUMMYFUNCTION("""COMPUTED_VALUE"""),"221750399-1")</f>
        <v>221750399-1</v>
      </c>
      <c r="B2006" s="6" t="str">
        <f>IFERROR(__xludf.DUMMYFUNCTION("""COMPUTED_VALUE"""),"221750399 - Approved")</f>
        <v>221750399 - Approved</v>
      </c>
      <c r="C2006" s="6">
        <f>IFERROR(__xludf.DUMMYFUNCTION("""COMPUTED_VALUE"""),1.0)</f>
        <v>1</v>
      </c>
      <c r="D2006" s="6" t="str">
        <f>IFERROR(__xludf.DUMMYFUNCTION("""COMPUTED_VALUE"""),"P-52477-00")</f>
        <v>P-52477-00</v>
      </c>
      <c r="E2006" s="6" t="str">
        <f>IFERROR(__xludf.DUMMYFUNCTION("""COMPUTED_VALUE"""),"Battery Walkie Talkie Motorola Type IXNN4002B, 4.8V 600 mAh; ; ;")</f>
        <v>Battery Walkie Talkie Motorola Type IXNN4002B, 4.8V 600 mAh; ; ;</v>
      </c>
      <c r="F2006" s="6">
        <f>IFERROR(__xludf.DUMMYFUNCTION("""COMPUTED_VALUE"""),10.0)</f>
        <v>10</v>
      </c>
      <c r="G2006" s="6" t="str">
        <f>IFERROR(__xludf.DUMMYFUNCTION("""COMPUTED_VALUE"""),"Pieces")</f>
        <v>Pieces</v>
      </c>
      <c r="H2006" s="6" t="str">
        <f>IFERROR(__xludf.DUMMYFUNCTION("""COMPUTED_VALUE"""),"IDR")</f>
        <v>IDR</v>
      </c>
      <c r="I2006" s="6">
        <f>IFERROR(__xludf.DUMMYFUNCTION("""COMPUTED_VALUE"""),342500.0)</f>
        <v>342500</v>
      </c>
      <c r="J2006" s="6">
        <f>IFERROR(__xludf.DUMMYFUNCTION("""COMPUTED_VALUE"""),3425000.0)</f>
        <v>3425000</v>
      </c>
      <c r="K2006" s="57">
        <f>IFERROR(__xludf.DUMMYFUNCTION("""COMPUTED_VALUE"""),44820.0)</f>
        <v>44820</v>
      </c>
      <c r="L2006" s="6" t="str">
        <f>IFERROR(__xludf.DUMMYFUNCTION("""COMPUTED_VALUE"""),"FIP Engineering")</f>
        <v>FIP Engineering</v>
      </c>
      <c r="M2006" s="6" t="str">
        <f>IFERROR(__xludf.DUMMYFUNCTION("""COMPUTED_VALUE"""),"Irwan Sopian")</f>
        <v>Irwan Sopian</v>
      </c>
      <c r="N2006" s="6" t="str">
        <f>IFERROR(__xludf.DUMMYFUNCTION("""COMPUTED_VALUE"""),"FIP Engineering")</f>
        <v>FIP Engineering</v>
      </c>
      <c r="O2006" s="6" t="str">
        <f>IFERROR(__xludf.DUMMYFUNCTION("""COMPUTED_VALUE"""),"FIP-DOM-000-11304-OS00001-INA-000000")</f>
        <v>FIP-DOM-000-11304-OS00001-INA-000000</v>
      </c>
      <c r="P2006" s="6" t="str">
        <f>IFERROR(__xludf.DUMMYFUNCTION("""COMPUTED_VALUE"""),"PO Closed")</f>
        <v>PO Closed</v>
      </c>
      <c r="Q2006" s="6" t="str">
        <f>IFERROR(__xludf.DUMMYFUNCTION("""COMPUTED_VALUE"""),"GL2209011")</f>
        <v>GL2209011</v>
      </c>
      <c r="R2006" s="57">
        <f>IFERROR(__xludf.DUMMYFUNCTION("""COMPUTED_VALUE"""),44791.0)</f>
        <v>44791</v>
      </c>
      <c r="S2006" s="6" t="str">
        <f>IFERROR(__xludf.DUMMYFUNCTION("""COMPUTED_VALUE"""),"-")</f>
        <v>-</v>
      </c>
      <c r="T2006" s="57">
        <f>IFERROR(__xludf.DUMMYFUNCTION("""COMPUTED_VALUE"""),44820.0)</f>
        <v>44820</v>
      </c>
    </row>
    <row r="2007">
      <c r="A2007" s="6" t="str">
        <f>IFERROR(__xludf.DUMMYFUNCTION("""COMPUTED_VALUE"""),"221750399-2")</f>
        <v>221750399-2</v>
      </c>
      <c r="B2007" s="6" t="str">
        <f>IFERROR(__xludf.DUMMYFUNCTION("""COMPUTED_VALUE"""),"221750399 - Approved")</f>
        <v>221750399 - Approved</v>
      </c>
      <c r="C2007" s="6">
        <f>IFERROR(__xludf.DUMMYFUNCTION("""COMPUTED_VALUE"""),2.0)</f>
        <v>2</v>
      </c>
      <c r="D2007" s="6" t="str">
        <f>IFERROR(__xludf.DUMMYFUNCTION("""COMPUTED_VALUE"""),"Q-10931-00")</f>
        <v>Q-10931-00</v>
      </c>
      <c r="E2007" s="6" t="str">
        <f>IFERROR(__xludf.DUMMYFUNCTION("""COMPUTED_VALUE"""),"Grendel Slot Pintu Geser")</f>
        <v>Grendel Slot Pintu Geser</v>
      </c>
      <c r="F2007" s="6">
        <f>IFERROR(__xludf.DUMMYFUNCTION("""COMPUTED_VALUE"""),5.0)</f>
        <v>5</v>
      </c>
      <c r="G2007" s="6" t="str">
        <f>IFERROR(__xludf.DUMMYFUNCTION("""COMPUTED_VALUE"""),"Pieces")</f>
        <v>Pieces</v>
      </c>
      <c r="H2007" s="6" t="str">
        <f>IFERROR(__xludf.DUMMYFUNCTION("""COMPUTED_VALUE"""),"IDR")</f>
        <v>IDR</v>
      </c>
      <c r="I2007" s="6">
        <f>IFERROR(__xludf.DUMMYFUNCTION("""COMPUTED_VALUE"""),28500.0)</f>
        <v>28500</v>
      </c>
      <c r="J2007" s="6">
        <f>IFERROR(__xludf.DUMMYFUNCTION("""COMPUTED_VALUE"""),142500.0)</f>
        <v>142500</v>
      </c>
      <c r="K2007" s="57">
        <f>IFERROR(__xludf.DUMMYFUNCTION("""COMPUTED_VALUE"""),44820.0)</f>
        <v>44820</v>
      </c>
      <c r="L2007" s="6" t="str">
        <f>IFERROR(__xludf.DUMMYFUNCTION("""COMPUTED_VALUE"""),"FIP Engineering")</f>
        <v>FIP Engineering</v>
      </c>
      <c r="M2007" s="6" t="str">
        <f>IFERROR(__xludf.DUMMYFUNCTION("""COMPUTED_VALUE"""),"Irwan Sopian")</f>
        <v>Irwan Sopian</v>
      </c>
      <c r="N2007" s="6" t="str">
        <f>IFERROR(__xludf.DUMMYFUNCTION("""COMPUTED_VALUE"""),"FIP Engineering")</f>
        <v>FIP Engineering</v>
      </c>
      <c r="O2007" s="6" t="str">
        <f>IFERROR(__xludf.DUMMYFUNCTION("""COMPUTED_VALUE"""),"FIP-DOM-000-11304-OS00001-INA-000000")</f>
        <v>FIP-DOM-000-11304-OS00001-INA-000000</v>
      </c>
      <c r="P2007" s="6" t="str">
        <f>IFERROR(__xludf.DUMMYFUNCTION("""COMPUTED_VALUE"""),"PO Closed")</f>
        <v>PO Closed</v>
      </c>
      <c r="Q2007" s="6" t="str">
        <f>IFERROR(__xludf.DUMMYFUNCTION("""COMPUTED_VALUE"""),"GL2208317")</f>
        <v>GL2208317</v>
      </c>
      <c r="R2007" s="57">
        <f>IFERROR(__xludf.DUMMYFUNCTION("""COMPUTED_VALUE"""),44791.0)</f>
        <v>44791</v>
      </c>
      <c r="S2007" s="6" t="str">
        <f>IFERROR(__xludf.DUMMYFUNCTION("""COMPUTED_VALUE"""),"-")</f>
        <v>-</v>
      </c>
      <c r="T2007" s="57">
        <f>IFERROR(__xludf.DUMMYFUNCTION("""COMPUTED_VALUE"""),44805.0)</f>
        <v>44805</v>
      </c>
    </row>
    <row r="2008">
      <c r="A2008" s="6" t="str">
        <f>IFERROR(__xludf.DUMMYFUNCTION("""COMPUTED_VALUE"""),"221750399-3")</f>
        <v>221750399-3</v>
      </c>
      <c r="B2008" s="6" t="str">
        <f>IFERROR(__xludf.DUMMYFUNCTION("""COMPUTED_VALUE"""),"221750399 - Approved")</f>
        <v>221750399 - Approved</v>
      </c>
      <c r="C2008" s="6">
        <f>IFERROR(__xludf.DUMMYFUNCTION("""COMPUTED_VALUE"""),3.0)</f>
        <v>3</v>
      </c>
      <c r="D2008" s="6" t="str">
        <f>IFERROR(__xludf.DUMMYFUNCTION("""COMPUTED_VALUE"""),"P-18240-00")</f>
        <v>P-18240-00</v>
      </c>
      <c r="E2008" s="6" t="str">
        <f>IFERROR(__xludf.DUMMYFUNCTION("""COMPUTED_VALUE"""),"Stang Sealant")</f>
        <v>Stang Sealant</v>
      </c>
      <c r="F2008" s="6">
        <f>IFERROR(__xludf.DUMMYFUNCTION("""COMPUTED_VALUE"""),2.0)</f>
        <v>2</v>
      </c>
      <c r="G2008" s="6" t="str">
        <f>IFERROR(__xludf.DUMMYFUNCTION("""COMPUTED_VALUE"""),"Pieces")</f>
        <v>Pieces</v>
      </c>
      <c r="H2008" s="6" t="str">
        <f>IFERROR(__xludf.DUMMYFUNCTION("""COMPUTED_VALUE"""),"IDR")</f>
        <v>IDR</v>
      </c>
      <c r="I2008" s="6">
        <f>IFERROR(__xludf.DUMMYFUNCTION("""COMPUTED_VALUE"""),180000.0)</f>
        <v>180000</v>
      </c>
      <c r="J2008" s="6">
        <f>IFERROR(__xludf.DUMMYFUNCTION("""COMPUTED_VALUE"""),360000.0)</f>
        <v>360000</v>
      </c>
      <c r="K2008" s="57">
        <f>IFERROR(__xludf.DUMMYFUNCTION("""COMPUTED_VALUE"""),44820.0)</f>
        <v>44820</v>
      </c>
      <c r="L2008" s="6" t="str">
        <f>IFERROR(__xludf.DUMMYFUNCTION("""COMPUTED_VALUE"""),"FIP General")</f>
        <v>FIP General</v>
      </c>
      <c r="M2008" s="6" t="str">
        <f>IFERROR(__xludf.DUMMYFUNCTION("""COMPUTED_VALUE"""),"Irwan Sopian")</f>
        <v>Irwan Sopian</v>
      </c>
      <c r="N2008" s="6" t="str">
        <f>IFERROR(__xludf.DUMMYFUNCTION("""COMPUTED_VALUE"""),"FIP Engineering")</f>
        <v>FIP Engineering</v>
      </c>
      <c r="O2008" s="6" t="str">
        <f>IFERROR(__xludf.DUMMYFUNCTION("""COMPUTED_VALUE"""),"FIP-DOM-ENG-51502-0000000-INA-000000")</f>
        <v>FIP-DOM-ENG-51502-0000000-INA-000000</v>
      </c>
      <c r="P2008" s="6" t="str">
        <f>IFERROR(__xludf.DUMMYFUNCTION("""COMPUTED_VALUE"""),"PO Closed")</f>
        <v>PO Closed</v>
      </c>
      <c r="Q2008" s="6" t="str">
        <f>IFERROR(__xludf.DUMMYFUNCTION("""COMPUTED_VALUE"""),"GL2209011")</f>
        <v>GL2209011</v>
      </c>
      <c r="R2008" s="57">
        <f>IFERROR(__xludf.DUMMYFUNCTION("""COMPUTED_VALUE"""),44791.0)</f>
        <v>44791</v>
      </c>
      <c r="S2008" s="6" t="str">
        <f>IFERROR(__xludf.DUMMYFUNCTION("""COMPUTED_VALUE"""),"-")</f>
        <v>-</v>
      </c>
      <c r="T2008" s="57">
        <f>IFERROR(__xludf.DUMMYFUNCTION("""COMPUTED_VALUE"""),44820.0)</f>
        <v>44820</v>
      </c>
    </row>
    <row r="2009">
      <c r="A2009" s="6" t="str">
        <f>IFERROR(__xludf.DUMMYFUNCTION("""COMPUTED_VALUE"""),"221750399-4")</f>
        <v>221750399-4</v>
      </c>
      <c r="B2009" s="6" t="str">
        <f>IFERROR(__xludf.DUMMYFUNCTION("""COMPUTED_VALUE"""),"221750399 - Approved")</f>
        <v>221750399 - Approved</v>
      </c>
      <c r="C2009" s="6">
        <f>IFERROR(__xludf.DUMMYFUNCTION("""COMPUTED_VALUE"""),4.0)</f>
        <v>4</v>
      </c>
      <c r="D2009" s="6" t="str">
        <f>IFERROR(__xludf.DUMMYFUNCTION("""COMPUTED_VALUE"""),"P-53209-00")</f>
        <v>P-53209-00</v>
      </c>
      <c r="E2009" s="6" t="str">
        <f>IFERROR(__xludf.DUMMYFUNCTION("""COMPUTED_VALUE"""),"CAPACITOR 3 uF, 220 V, 2 kutub; ; ;")</f>
        <v>CAPACITOR 3 uF, 220 V, 2 kutub; ; ;</v>
      </c>
      <c r="F2009" s="6">
        <f>IFERROR(__xludf.DUMMYFUNCTION("""COMPUTED_VALUE"""),5.0)</f>
        <v>5</v>
      </c>
      <c r="G2009" s="6" t="str">
        <f>IFERROR(__xludf.DUMMYFUNCTION("""COMPUTED_VALUE"""),"Pieces")</f>
        <v>Pieces</v>
      </c>
      <c r="H2009" s="6" t="str">
        <f>IFERROR(__xludf.DUMMYFUNCTION("""COMPUTED_VALUE"""),"IDR")</f>
        <v>IDR</v>
      </c>
      <c r="I2009" s="6">
        <f>IFERROR(__xludf.DUMMYFUNCTION("""COMPUTED_VALUE"""),20000.0)</f>
        <v>20000</v>
      </c>
      <c r="J2009" s="6">
        <f>IFERROR(__xludf.DUMMYFUNCTION("""COMPUTED_VALUE"""),100000.0)</f>
        <v>100000</v>
      </c>
      <c r="K2009" s="57">
        <f>IFERROR(__xludf.DUMMYFUNCTION("""COMPUTED_VALUE"""),44820.0)</f>
        <v>44820</v>
      </c>
      <c r="L2009" s="6" t="str">
        <f>IFERROR(__xludf.DUMMYFUNCTION("""COMPUTED_VALUE"""),"FIP Engineering")</f>
        <v>FIP Engineering</v>
      </c>
      <c r="M2009" s="6" t="str">
        <f>IFERROR(__xludf.DUMMYFUNCTION("""COMPUTED_VALUE"""),"Irwan Sopian")</f>
        <v>Irwan Sopian</v>
      </c>
      <c r="N2009" s="6" t="str">
        <f>IFERROR(__xludf.DUMMYFUNCTION("""COMPUTED_VALUE"""),"FIP Engineering")</f>
        <v>FIP Engineering</v>
      </c>
      <c r="O2009" s="6" t="str">
        <f>IFERROR(__xludf.DUMMYFUNCTION("""COMPUTED_VALUE"""),"FIP-DOM-000-11304-OS00001-INA-000000")</f>
        <v>FIP-DOM-000-11304-OS00001-INA-000000</v>
      </c>
      <c r="P2009" s="6" t="str">
        <f>IFERROR(__xludf.DUMMYFUNCTION("""COMPUTED_VALUE"""),"PO Closed")</f>
        <v>PO Closed</v>
      </c>
      <c r="Q2009" s="6" t="str">
        <f>IFERROR(__xludf.DUMMYFUNCTION("""COMPUTED_VALUE"""),"GL2209011")</f>
        <v>GL2209011</v>
      </c>
      <c r="R2009" s="57">
        <f>IFERROR(__xludf.DUMMYFUNCTION("""COMPUTED_VALUE"""),44791.0)</f>
        <v>44791</v>
      </c>
      <c r="S2009" s="6" t="str">
        <f>IFERROR(__xludf.DUMMYFUNCTION("""COMPUTED_VALUE"""),"-")</f>
        <v>-</v>
      </c>
      <c r="T2009" s="57">
        <f>IFERROR(__xludf.DUMMYFUNCTION("""COMPUTED_VALUE"""),44820.0)</f>
        <v>44820</v>
      </c>
    </row>
    <row r="2010">
      <c r="A2010" s="6" t="str">
        <f>IFERROR(__xludf.DUMMYFUNCTION("""COMPUTED_VALUE"""),"221750399-5")</f>
        <v>221750399-5</v>
      </c>
      <c r="B2010" s="6" t="str">
        <f>IFERROR(__xludf.DUMMYFUNCTION("""COMPUTED_VALUE"""),"221750399 - Approved")</f>
        <v>221750399 - Approved</v>
      </c>
      <c r="C2010" s="6">
        <f>IFERROR(__xludf.DUMMYFUNCTION("""COMPUTED_VALUE"""),5.0)</f>
        <v>5</v>
      </c>
      <c r="D2010" s="6" t="str">
        <f>IFERROR(__xludf.DUMMYFUNCTION("""COMPUTED_VALUE"""),"Q-10930-00")</f>
        <v>Q-10930-00</v>
      </c>
      <c r="E2010" s="6" t="str">
        <f>IFERROR(__xludf.DUMMYFUNCTION("""COMPUTED_VALUE"""),"PCI Usb Card 4 port usb 2.0 Konektor Panjang")</f>
        <v>PCI Usb Card 4 port usb 2.0 Konektor Panjang</v>
      </c>
      <c r="F2010" s="6">
        <f>IFERROR(__xludf.DUMMYFUNCTION("""COMPUTED_VALUE"""),2.0)</f>
        <v>2</v>
      </c>
      <c r="G2010" s="6" t="str">
        <f>IFERROR(__xludf.DUMMYFUNCTION("""COMPUTED_VALUE"""),"Pieces")</f>
        <v>Pieces</v>
      </c>
      <c r="H2010" s="6" t="str">
        <f>IFERROR(__xludf.DUMMYFUNCTION("""COMPUTED_VALUE"""),"IDR")</f>
        <v>IDR</v>
      </c>
      <c r="I2010" s="6">
        <f>IFERROR(__xludf.DUMMYFUNCTION("""COMPUTED_VALUE"""),150000.0)</f>
        <v>150000</v>
      </c>
      <c r="J2010" s="6">
        <f>IFERROR(__xludf.DUMMYFUNCTION("""COMPUTED_VALUE"""),300000.0)</f>
        <v>300000</v>
      </c>
      <c r="K2010" s="57">
        <f>IFERROR(__xludf.DUMMYFUNCTION("""COMPUTED_VALUE"""),44820.0)</f>
        <v>44820</v>
      </c>
      <c r="L2010" s="6" t="str">
        <f>IFERROR(__xludf.DUMMYFUNCTION("""COMPUTED_VALUE"""),"FIP General")</f>
        <v>FIP General</v>
      </c>
      <c r="M2010" s="6" t="str">
        <f>IFERROR(__xludf.DUMMYFUNCTION("""COMPUTED_VALUE"""),"Irwan Sopian")</f>
        <v>Irwan Sopian</v>
      </c>
      <c r="N2010" s="6" t="str">
        <f>IFERROR(__xludf.DUMMYFUNCTION("""COMPUTED_VALUE"""),"FIP Engineering")</f>
        <v>FIP Engineering</v>
      </c>
      <c r="O2010" s="6" t="str">
        <f>IFERROR(__xludf.DUMMYFUNCTION("""COMPUTED_VALUE"""),"FIP-DOM-ENG-51504-0000000-INA-000000")</f>
        <v>FIP-DOM-ENG-51504-0000000-INA-000000</v>
      </c>
      <c r="P2010" s="6" t="str">
        <f>IFERROR(__xludf.DUMMYFUNCTION("""COMPUTED_VALUE"""),"PO Closed")</f>
        <v>PO Closed</v>
      </c>
      <c r="Q2010" s="6" t="str">
        <f>IFERROR(__xludf.DUMMYFUNCTION("""COMPUTED_VALUE"""),"GL2208317")</f>
        <v>GL2208317</v>
      </c>
      <c r="R2010" s="57">
        <f>IFERROR(__xludf.DUMMYFUNCTION("""COMPUTED_VALUE"""),44791.0)</f>
        <v>44791</v>
      </c>
      <c r="S2010" s="6" t="str">
        <f>IFERROR(__xludf.DUMMYFUNCTION("""COMPUTED_VALUE"""),"-")</f>
        <v>-</v>
      </c>
      <c r="T2010" s="57">
        <f>IFERROR(__xludf.DUMMYFUNCTION("""COMPUTED_VALUE"""),44805.0)</f>
        <v>44805</v>
      </c>
    </row>
    <row r="2011">
      <c r="A2011" s="6" t="str">
        <f>IFERROR(__xludf.DUMMYFUNCTION("""COMPUTED_VALUE"""),"221750399-6")</f>
        <v>221750399-6</v>
      </c>
      <c r="B2011" s="6" t="str">
        <f>IFERROR(__xludf.DUMMYFUNCTION("""COMPUTED_VALUE"""),"221750399 - Approved")</f>
        <v>221750399 - Approved</v>
      </c>
      <c r="C2011" s="6">
        <f>IFERROR(__xludf.DUMMYFUNCTION("""COMPUTED_VALUE"""),6.0)</f>
        <v>6</v>
      </c>
      <c r="D2011" s="6" t="str">
        <f>IFERROR(__xludf.DUMMYFUNCTION("""COMPUTED_VALUE"""),"P-18278-00")</f>
        <v>P-18278-00</v>
      </c>
      <c r="E2011" s="6" t="str">
        <f>IFERROR(__xludf.DUMMYFUNCTION("""COMPUTED_VALUE"""),"Van Belt SPZ 1500 LW Mitshuboshi")</f>
        <v>Van Belt SPZ 1500 LW Mitshuboshi</v>
      </c>
      <c r="F2011" s="6">
        <f>IFERROR(__xludf.DUMMYFUNCTION("""COMPUTED_VALUE"""),2.0)</f>
        <v>2</v>
      </c>
      <c r="G2011" s="6" t="str">
        <f>IFERROR(__xludf.DUMMYFUNCTION("""COMPUTED_VALUE"""),"Pieces")</f>
        <v>Pieces</v>
      </c>
      <c r="H2011" s="6" t="str">
        <f>IFERROR(__xludf.DUMMYFUNCTION("""COMPUTED_VALUE"""),"IDR")</f>
        <v>IDR</v>
      </c>
      <c r="I2011" s="6">
        <f>IFERROR(__xludf.DUMMYFUNCTION("""COMPUTED_VALUE"""),80000.0)</f>
        <v>80000</v>
      </c>
      <c r="J2011" s="6">
        <f>IFERROR(__xludf.DUMMYFUNCTION("""COMPUTED_VALUE"""),160000.0)</f>
        <v>160000</v>
      </c>
      <c r="K2011" s="57">
        <f>IFERROR(__xludf.DUMMYFUNCTION("""COMPUTED_VALUE"""),44820.0)</f>
        <v>44820</v>
      </c>
      <c r="L2011" s="6" t="str">
        <f>IFERROR(__xludf.DUMMYFUNCTION("""COMPUTED_VALUE"""),"FIP Engineering")</f>
        <v>FIP Engineering</v>
      </c>
      <c r="M2011" s="6" t="str">
        <f>IFERROR(__xludf.DUMMYFUNCTION("""COMPUTED_VALUE"""),"Irwan Sopian")</f>
        <v>Irwan Sopian</v>
      </c>
      <c r="N2011" s="6" t="str">
        <f>IFERROR(__xludf.DUMMYFUNCTION("""COMPUTED_VALUE"""),"FIP Engineering")</f>
        <v>FIP Engineering</v>
      </c>
      <c r="O2011" s="6" t="str">
        <f>IFERROR(__xludf.DUMMYFUNCTION("""COMPUTED_VALUE"""),"FIP-DOM-000-11304-OS00001-INA-000000")</f>
        <v>FIP-DOM-000-11304-OS00001-INA-000000</v>
      </c>
      <c r="P2011" s="6" t="str">
        <f>IFERROR(__xludf.DUMMYFUNCTION("""COMPUTED_VALUE"""),"PO Closed")</f>
        <v>PO Closed</v>
      </c>
      <c r="Q2011" s="6" t="str">
        <f>IFERROR(__xludf.DUMMYFUNCTION("""COMPUTED_VALUE"""),"GL2209011")</f>
        <v>GL2209011</v>
      </c>
      <c r="R2011" s="57">
        <f>IFERROR(__xludf.DUMMYFUNCTION("""COMPUTED_VALUE"""),44791.0)</f>
        <v>44791</v>
      </c>
      <c r="S2011" s="6" t="str">
        <f>IFERROR(__xludf.DUMMYFUNCTION("""COMPUTED_VALUE"""),"-")</f>
        <v>-</v>
      </c>
      <c r="T2011" s="57">
        <f>IFERROR(__xludf.DUMMYFUNCTION("""COMPUTED_VALUE"""),44820.0)</f>
        <v>44820</v>
      </c>
    </row>
    <row r="2012">
      <c r="A2012" s="6" t="str">
        <f>IFERROR(__xludf.DUMMYFUNCTION("""COMPUTED_VALUE"""),"221750399-8")</f>
        <v>221750399-8</v>
      </c>
      <c r="B2012" s="6" t="str">
        <f>IFERROR(__xludf.DUMMYFUNCTION("""COMPUTED_VALUE"""),"221750399 - Approved")</f>
        <v>221750399 - Approved</v>
      </c>
      <c r="C2012" s="6">
        <f>IFERROR(__xludf.DUMMYFUNCTION("""COMPUTED_VALUE"""),8.0)</f>
        <v>8</v>
      </c>
      <c r="D2012" s="6" t="str">
        <f>IFERROR(__xludf.DUMMYFUNCTION("""COMPUTED_VALUE"""),"P-53210-00")</f>
        <v>P-53210-00</v>
      </c>
      <c r="E2012" s="6" t="str">
        <f>IFERROR(__xludf.DUMMYFUNCTION("""COMPUTED_VALUE"""),"CAPACITOR 5 uF, 220 V, 2 kutub; ; ;")</f>
        <v>CAPACITOR 5 uF, 220 V, 2 kutub; ; ;</v>
      </c>
      <c r="F2012" s="6">
        <f>IFERROR(__xludf.DUMMYFUNCTION("""COMPUTED_VALUE"""),5.0)</f>
        <v>5</v>
      </c>
      <c r="G2012" s="6" t="str">
        <f>IFERROR(__xludf.DUMMYFUNCTION("""COMPUTED_VALUE"""),"Pieces")</f>
        <v>Pieces</v>
      </c>
      <c r="H2012" s="6" t="str">
        <f>IFERROR(__xludf.DUMMYFUNCTION("""COMPUTED_VALUE"""),"IDR")</f>
        <v>IDR</v>
      </c>
      <c r="I2012" s="6">
        <f>IFERROR(__xludf.DUMMYFUNCTION("""COMPUTED_VALUE"""),50000.0)</f>
        <v>50000</v>
      </c>
      <c r="J2012" s="6">
        <f>IFERROR(__xludf.DUMMYFUNCTION("""COMPUTED_VALUE"""),250000.0)</f>
        <v>250000</v>
      </c>
      <c r="K2012" s="57">
        <f>IFERROR(__xludf.DUMMYFUNCTION("""COMPUTED_VALUE"""),44820.0)</f>
        <v>44820</v>
      </c>
      <c r="L2012" s="6" t="str">
        <f>IFERROR(__xludf.DUMMYFUNCTION("""COMPUTED_VALUE"""),"FIP Engineering")</f>
        <v>FIP Engineering</v>
      </c>
      <c r="M2012" s="6" t="str">
        <f>IFERROR(__xludf.DUMMYFUNCTION("""COMPUTED_VALUE"""),"Irwan Sopian")</f>
        <v>Irwan Sopian</v>
      </c>
      <c r="N2012" s="6" t="str">
        <f>IFERROR(__xludf.DUMMYFUNCTION("""COMPUTED_VALUE"""),"FIP Engineering")</f>
        <v>FIP Engineering</v>
      </c>
      <c r="O2012" s="6" t="str">
        <f>IFERROR(__xludf.DUMMYFUNCTION("""COMPUTED_VALUE"""),"FIP-DOM-000-11304-OS00001-INA-000000")</f>
        <v>FIP-DOM-000-11304-OS00001-INA-000000</v>
      </c>
      <c r="P2012" s="6" t="str">
        <f>IFERROR(__xludf.DUMMYFUNCTION("""COMPUTED_VALUE"""),"PO Closed")</f>
        <v>PO Closed</v>
      </c>
      <c r="Q2012" s="6" t="str">
        <f>IFERROR(__xludf.DUMMYFUNCTION("""COMPUTED_VALUE"""),"GL2209011")</f>
        <v>GL2209011</v>
      </c>
      <c r="R2012" s="57">
        <f>IFERROR(__xludf.DUMMYFUNCTION("""COMPUTED_VALUE"""),44791.0)</f>
        <v>44791</v>
      </c>
      <c r="S2012" s="6" t="str">
        <f>IFERROR(__xludf.DUMMYFUNCTION("""COMPUTED_VALUE"""),"-")</f>
        <v>-</v>
      </c>
      <c r="T2012" s="57">
        <f>IFERROR(__xludf.DUMMYFUNCTION("""COMPUTED_VALUE"""),44820.0)</f>
        <v>44820</v>
      </c>
    </row>
    <row r="2013">
      <c r="A2013" s="6" t="str">
        <f>IFERROR(__xludf.DUMMYFUNCTION("""COMPUTED_VALUE"""),"221750407-1")</f>
        <v>221750407-1</v>
      </c>
      <c r="B2013" s="6" t="str">
        <f>IFERROR(__xludf.DUMMYFUNCTION("""COMPUTED_VALUE"""),"221750407 - Approved")</f>
        <v>221750407 - Approved</v>
      </c>
      <c r="C2013" s="6">
        <f>IFERROR(__xludf.DUMMYFUNCTION("""COMPUTED_VALUE"""),1.0)</f>
        <v>1</v>
      </c>
      <c r="D2013" s="6" t="str">
        <f>IFERROR(__xludf.DUMMYFUNCTION("""COMPUTED_VALUE"""),"S-22001-00")</f>
        <v>S-22001-00</v>
      </c>
      <c r="E2013" s="6" t="str">
        <f>IFERROR(__xludf.DUMMYFUNCTION("""COMPUTED_VALUE"""),"Coverall dengan Topi Produksi, 2 pieces, Taipan Drill, K-923, Hijau, Fonko, size: 2XL")</f>
        <v>Coverall dengan Topi Produksi, 2 pieces, Taipan Drill, K-923, Hijau, Fonko, size: 2XL</v>
      </c>
      <c r="F2013" s="6">
        <f>IFERROR(__xludf.DUMMYFUNCTION("""COMPUTED_VALUE"""),5.0)</f>
        <v>5</v>
      </c>
      <c r="G2013" s="6" t="str">
        <f>IFERROR(__xludf.DUMMYFUNCTION("""COMPUTED_VALUE"""),"Pieces")</f>
        <v>Pieces</v>
      </c>
      <c r="H2013" s="6" t="str">
        <f>IFERROR(__xludf.DUMMYFUNCTION("""COMPUTED_VALUE"""),"IDR")</f>
        <v>IDR</v>
      </c>
      <c r="I2013" s="6">
        <f>IFERROR(__xludf.DUMMYFUNCTION("""COMPUTED_VALUE"""),200000.0)</f>
        <v>200000</v>
      </c>
      <c r="J2013" s="6">
        <f>IFERROR(__xludf.DUMMYFUNCTION("""COMPUTED_VALUE"""),1000000.0)</f>
        <v>1000000</v>
      </c>
      <c r="K2013" s="57">
        <f>IFERROR(__xludf.DUMMYFUNCTION("""COMPUTED_VALUE"""),44820.0)</f>
        <v>44820</v>
      </c>
      <c r="L2013" s="6" t="str">
        <f>IFERROR(__xludf.DUMMYFUNCTION("""COMPUTED_VALUE"""),"FIP General")</f>
        <v>FIP General</v>
      </c>
      <c r="M2013" s="6" t="str">
        <f>IFERROR(__xludf.DUMMYFUNCTION("""COMPUTED_VALUE"""),"Irwan Sopian")</f>
        <v>Irwan Sopian</v>
      </c>
      <c r="N2013" s="6" t="str">
        <f>IFERROR(__xludf.DUMMYFUNCTION("""COMPUTED_VALUE"""),"FIP Engineering")</f>
        <v>FIP Engineering</v>
      </c>
      <c r="O2013" s="6" t="str">
        <f>IFERROR(__xludf.DUMMYFUNCTION("""COMPUTED_VALUE"""),"FIP-DOM-ENG-51202-0000000-INA-000000")</f>
        <v>FIP-DOM-ENG-51202-0000000-INA-000000</v>
      </c>
      <c r="P2013" s="6" t="str">
        <f>IFERROR(__xludf.DUMMYFUNCTION("""COMPUTED_VALUE"""),"PO Closed")</f>
        <v>PO Closed</v>
      </c>
      <c r="Q2013" s="6" t="str">
        <f>IFERROR(__xludf.DUMMYFUNCTION("""COMPUTED_VALUE"""),"GL2208316")</f>
        <v>GL2208316</v>
      </c>
      <c r="R2013" s="57">
        <f>IFERROR(__xludf.DUMMYFUNCTION("""COMPUTED_VALUE"""),44795.0)</f>
        <v>44795</v>
      </c>
      <c r="S2013" s="6" t="str">
        <f>IFERROR(__xludf.DUMMYFUNCTION("""COMPUTED_VALUE"""),"-")</f>
        <v>-</v>
      </c>
      <c r="T2013" s="57">
        <f>IFERROR(__xludf.DUMMYFUNCTION("""COMPUTED_VALUE"""),44837.0)</f>
        <v>44837</v>
      </c>
    </row>
    <row r="2014">
      <c r="A2014" s="6" t="str">
        <f>IFERROR(__xludf.DUMMYFUNCTION("""COMPUTED_VALUE"""),"221750407-2")</f>
        <v>221750407-2</v>
      </c>
      <c r="B2014" s="6" t="str">
        <f>IFERROR(__xludf.DUMMYFUNCTION("""COMPUTED_VALUE"""),"221750407 - Approved")</f>
        <v>221750407 - Approved</v>
      </c>
      <c r="C2014" s="6">
        <f>IFERROR(__xludf.DUMMYFUNCTION("""COMPUTED_VALUE"""),2.0)</f>
        <v>2</v>
      </c>
      <c r="D2014" s="6" t="str">
        <f>IFERROR(__xludf.DUMMYFUNCTION("""COMPUTED_VALUE"""),"S-22001-00")</f>
        <v>S-22001-00</v>
      </c>
      <c r="E2014" s="6" t="str">
        <f>IFERROR(__xludf.DUMMYFUNCTION("""COMPUTED_VALUE"""),"Coverall dengan Topi Produksi, 2 pieces, Taipan Drill, K-923, Hijau, Fonko, size: XL")</f>
        <v>Coverall dengan Topi Produksi, 2 pieces, Taipan Drill, K-923, Hijau, Fonko, size: XL</v>
      </c>
      <c r="F2014" s="6">
        <f>IFERROR(__xludf.DUMMYFUNCTION("""COMPUTED_VALUE"""),5.0)</f>
        <v>5</v>
      </c>
      <c r="G2014" s="6" t="str">
        <f>IFERROR(__xludf.DUMMYFUNCTION("""COMPUTED_VALUE"""),"Pieces")</f>
        <v>Pieces</v>
      </c>
      <c r="H2014" s="6" t="str">
        <f>IFERROR(__xludf.DUMMYFUNCTION("""COMPUTED_VALUE"""),"IDR")</f>
        <v>IDR</v>
      </c>
      <c r="I2014" s="6">
        <f>IFERROR(__xludf.DUMMYFUNCTION("""COMPUTED_VALUE"""),190000.0)</f>
        <v>190000</v>
      </c>
      <c r="J2014" s="6">
        <f>IFERROR(__xludf.DUMMYFUNCTION("""COMPUTED_VALUE"""),950000.0)</f>
        <v>950000</v>
      </c>
      <c r="K2014" s="57">
        <f>IFERROR(__xludf.DUMMYFUNCTION("""COMPUTED_VALUE"""),44820.0)</f>
        <v>44820</v>
      </c>
      <c r="L2014" s="6" t="str">
        <f>IFERROR(__xludf.DUMMYFUNCTION("""COMPUTED_VALUE"""),"FIP General")</f>
        <v>FIP General</v>
      </c>
      <c r="M2014" s="6" t="str">
        <f>IFERROR(__xludf.DUMMYFUNCTION("""COMPUTED_VALUE"""),"Irwan Sopian")</f>
        <v>Irwan Sopian</v>
      </c>
      <c r="N2014" s="6" t="str">
        <f>IFERROR(__xludf.DUMMYFUNCTION("""COMPUTED_VALUE"""),"FIP Engineering")</f>
        <v>FIP Engineering</v>
      </c>
      <c r="O2014" s="6" t="str">
        <f>IFERROR(__xludf.DUMMYFUNCTION("""COMPUTED_VALUE"""),"FIP-DOM-ENG-51202-0000000-INA-000000")</f>
        <v>FIP-DOM-ENG-51202-0000000-INA-000000</v>
      </c>
      <c r="P2014" s="6" t="str">
        <f>IFERROR(__xludf.DUMMYFUNCTION("""COMPUTED_VALUE"""),"PO Closed")</f>
        <v>PO Closed</v>
      </c>
      <c r="Q2014" s="6" t="str">
        <f>IFERROR(__xludf.DUMMYFUNCTION("""COMPUTED_VALUE"""),"GL2208316")</f>
        <v>GL2208316</v>
      </c>
      <c r="R2014" s="57">
        <f>IFERROR(__xludf.DUMMYFUNCTION("""COMPUTED_VALUE"""),44795.0)</f>
        <v>44795</v>
      </c>
      <c r="S2014" s="6" t="str">
        <f>IFERROR(__xludf.DUMMYFUNCTION("""COMPUTED_VALUE"""),"-")</f>
        <v>-</v>
      </c>
      <c r="T2014" s="57">
        <f>IFERROR(__xludf.DUMMYFUNCTION("""COMPUTED_VALUE"""),44837.0)</f>
        <v>44837</v>
      </c>
    </row>
    <row r="2015">
      <c r="A2015" s="6" t="str">
        <f>IFERROR(__xludf.DUMMYFUNCTION("""COMPUTED_VALUE"""),"221750407-3")</f>
        <v>221750407-3</v>
      </c>
      <c r="B2015" s="6" t="str">
        <f>IFERROR(__xludf.DUMMYFUNCTION("""COMPUTED_VALUE"""),"221750407 - Approved")</f>
        <v>221750407 - Approved</v>
      </c>
      <c r="C2015" s="6">
        <f>IFERROR(__xludf.DUMMYFUNCTION("""COMPUTED_VALUE"""),3.0)</f>
        <v>3</v>
      </c>
      <c r="D2015" s="6" t="str">
        <f>IFERROR(__xludf.DUMMYFUNCTION("""COMPUTED_VALUE"""),"S-22001-00")</f>
        <v>S-22001-00</v>
      </c>
      <c r="E2015" s="6" t="str">
        <f>IFERROR(__xludf.DUMMYFUNCTION("""COMPUTED_VALUE"""),"Coverall dengan Topi Produksi, 2 pieces, Taipan Drill, K-923, Hijau, Fonko, size: L")</f>
        <v>Coverall dengan Topi Produksi, 2 pieces, Taipan Drill, K-923, Hijau, Fonko, size: L</v>
      </c>
      <c r="F2015" s="6">
        <f>IFERROR(__xludf.DUMMYFUNCTION("""COMPUTED_VALUE"""),4.0)</f>
        <v>4</v>
      </c>
      <c r="G2015" s="6" t="str">
        <f>IFERROR(__xludf.DUMMYFUNCTION("""COMPUTED_VALUE"""),"Pieces")</f>
        <v>Pieces</v>
      </c>
      <c r="H2015" s="6" t="str">
        <f>IFERROR(__xludf.DUMMYFUNCTION("""COMPUTED_VALUE"""),"IDR")</f>
        <v>IDR</v>
      </c>
      <c r="I2015" s="6">
        <f>IFERROR(__xludf.DUMMYFUNCTION("""COMPUTED_VALUE"""),180000.0)</f>
        <v>180000</v>
      </c>
      <c r="J2015" s="6">
        <f>IFERROR(__xludf.DUMMYFUNCTION("""COMPUTED_VALUE"""),720000.0)</f>
        <v>720000</v>
      </c>
      <c r="K2015" s="57">
        <f>IFERROR(__xludf.DUMMYFUNCTION("""COMPUTED_VALUE"""),44820.0)</f>
        <v>44820</v>
      </c>
      <c r="L2015" s="6" t="str">
        <f>IFERROR(__xludf.DUMMYFUNCTION("""COMPUTED_VALUE"""),"FIP General")</f>
        <v>FIP General</v>
      </c>
      <c r="M2015" s="6" t="str">
        <f>IFERROR(__xludf.DUMMYFUNCTION("""COMPUTED_VALUE"""),"Irwan Sopian")</f>
        <v>Irwan Sopian</v>
      </c>
      <c r="N2015" s="6" t="str">
        <f>IFERROR(__xludf.DUMMYFUNCTION("""COMPUTED_VALUE"""),"FIP Engineering")</f>
        <v>FIP Engineering</v>
      </c>
      <c r="O2015" s="6" t="str">
        <f>IFERROR(__xludf.DUMMYFUNCTION("""COMPUTED_VALUE"""),"FIP-DOM-ENG-51202-0000000-INA-000000")</f>
        <v>FIP-DOM-ENG-51202-0000000-INA-000000</v>
      </c>
      <c r="P2015" s="6" t="str">
        <f>IFERROR(__xludf.DUMMYFUNCTION("""COMPUTED_VALUE"""),"PO Closed")</f>
        <v>PO Closed</v>
      </c>
      <c r="Q2015" s="6" t="str">
        <f>IFERROR(__xludf.DUMMYFUNCTION("""COMPUTED_VALUE"""),"GL2208316")</f>
        <v>GL2208316</v>
      </c>
      <c r="R2015" s="57">
        <f>IFERROR(__xludf.DUMMYFUNCTION("""COMPUTED_VALUE"""),44795.0)</f>
        <v>44795</v>
      </c>
      <c r="S2015" s="6" t="str">
        <f>IFERROR(__xludf.DUMMYFUNCTION("""COMPUTED_VALUE"""),"-")</f>
        <v>-</v>
      </c>
      <c r="T2015" s="57">
        <f>IFERROR(__xludf.DUMMYFUNCTION("""COMPUTED_VALUE"""),44837.0)</f>
        <v>44837</v>
      </c>
    </row>
    <row r="2016">
      <c r="A2016" s="6" t="str">
        <f>IFERROR(__xludf.DUMMYFUNCTION("""COMPUTED_VALUE"""),"221750407-4")</f>
        <v>221750407-4</v>
      </c>
      <c r="B2016" s="6" t="str">
        <f>IFERROR(__xludf.DUMMYFUNCTION("""COMPUTED_VALUE"""),"221750407 - Approved")</f>
        <v>221750407 - Approved</v>
      </c>
      <c r="C2016" s="6">
        <f>IFERROR(__xludf.DUMMYFUNCTION("""COMPUTED_VALUE"""),4.0)</f>
        <v>4</v>
      </c>
      <c r="D2016" s="6" t="str">
        <f>IFERROR(__xludf.DUMMYFUNCTION("""COMPUTED_VALUE"""),"S-22001-00")</f>
        <v>S-22001-00</v>
      </c>
      <c r="E2016" s="6" t="str">
        <f>IFERROR(__xludf.DUMMYFUNCTION("""COMPUTED_VALUE"""),"Coverall dengan Topi Produksi, 2 pieces, Taipan Drill, K-923, Hijau, Fonko, size: M")</f>
        <v>Coverall dengan Topi Produksi, 2 pieces, Taipan Drill, K-923, Hijau, Fonko, size: M</v>
      </c>
      <c r="F2016" s="6">
        <f>IFERROR(__xludf.DUMMYFUNCTION("""COMPUTED_VALUE"""),2.0)</f>
        <v>2</v>
      </c>
      <c r="G2016" s="6" t="str">
        <f>IFERROR(__xludf.DUMMYFUNCTION("""COMPUTED_VALUE"""),"Pieces")</f>
        <v>Pieces</v>
      </c>
      <c r="H2016" s="6" t="str">
        <f>IFERROR(__xludf.DUMMYFUNCTION("""COMPUTED_VALUE"""),"IDR")</f>
        <v>IDR</v>
      </c>
      <c r="I2016" s="6">
        <f>IFERROR(__xludf.DUMMYFUNCTION("""COMPUTED_VALUE"""),170000.0)</f>
        <v>170000</v>
      </c>
      <c r="J2016" s="6">
        <f>IFERROR(__xludf.DUMMYFUNCTION("""COMPUTED_VALUE"""),340000.0)</f>
        <v>340000</v>
      </c>
      <c r="K2016" s="57">
        <f>IFERROR(__xludf.DUMMYFUNCTION("""COMPUTED_VALUE"""),44820.0)</f>
        <v>44820</v>
      </c>
      <c r="L2016" s="6" t="str">
        <f>IFERROR(__xludf.DUMMYFUNCTION("""COMPUTED_VALUE"""),"FIP General")</f>
        <v>FIP General</v>
      </c>
      <c r="M2016" s="6" t="str">
        <f>IFERROR(__xludf.DUMMYFUNCTION("""COMPUTED_VALUE"""),"Irwan Sopian")</f>
        <v>Irwan Sopian</v>
      </c>
      <c r="N2016" s="6" t="str">
        <f>IFERROR(__xludf.DUMMYFUNCTION("""COMPUTED_VALUE"""),"FIP Engineering")</f>
        <v>FIP Engineering</v>
      </c>
      <c r="O2016" s="6" t="str">
        <f>IFERROR(__xludf.DUMMYFUNCTION("""COMPUTED_VALUE"""),"FIP-DOM-ENG-51202-0000000-INA-000000")</f>
        <v>FIP-DOM-ENG-51202-0000000-INA-000000</v>
      </c>
      <c r="P2016" s="6" t="str">
        <f>IFERROR(__xludf.DUMMYFUNCTION("""COMPUTED_VALUE"""),"PO Closed")</f>
        <v>PO Closed</v>
      </c>
      <c r="Q2016" s="6" t="str">
        <f>IFERROR(__xludf.DUMMYFUNCTION("""COMPUTED_VALUE"""),"GL2208316")</f>
        <v>GL2208316</v>
      </c>
      <c r="R2016" s="57">
        <f>IFERROR(__xludf.DUMMYFUNCTION("""COMPUTED_VALUE"""),44795.0)</f>
        <v>44795</v>
      </c>
      <c r="S2016" s="6" t="str">
        <f>IFERROR(__xludf.DUMMYFUNCTION("""COMPUTED_VALUE"""),"-")</f>
        <v>-</v>
      </c>
      <c r="T2016" s="57">
        <f>IFERROR(__xludf.DUMMYFUNCTION("""COMPUTED_VALUE"""),44837.0)</f>
        <v>44837</v>
      </c>
    </row>
    <row r="2017">
      <c r="A2017" s="6" t="str">
        <f>IFERROR(__xludf.DUMMYFUNCTION("""COMPUTED_VALUE"""),"221750407-5")</f>
        <v>221750407-5</v>
      </c>
      <c r="B2017" s="6" t="str">
        <f>IFERROR(__xludf.DUMMYFUNCTION("""COMPUTED_VALUE"""),"221750407 - Approved")</f>
        <v>221750407 - Approved</v>
      </c>
      <c r="C2017" s="6">
        <f>IFERROR(__xludf.DUMMYFUNCTION("""COMPUTED_VALUE"""),5.0)</f>
        <v>5</v>
      </c>
      <c r="D2017" s="6" t="str">
        <f>IFERROR(__xludf.DUMMYFUNCTION("""COMPUTED_VALUE"""),"S-21105-00")</f>
        <v>S-21105-00</v>
      </c>
      <c r="E2017" s="6" t="str">
        <f>IFERROR(__xludf.DUMMYFUNCTION("""COMPUTED_VALUE"""),"Sepatu, Abu-Abu, Kodachi, 8136-K, size: 43")</f>
        <v>Sepatu, Abu-Abu, Kodachi, 8136-K, size: 43</v>
      </c>
      <c r="F2017" s="6">
        <f>IFERROR(__xludf.DUMMYFUNCTION("""COMPUTED_VALUE"""),1.0)</f>
        <v>1</v>
      </c>
      <c r="G2017" s="6" t="str">
        <f>IFERROR(__xludf.DUMMYFUNCTION("""COMPUTED_VALUE"""),"Pair")</f>
        <v>Pair</v>
      </c>
      <c r="H2017" s="6" t="str">
        <f>IFERROR(__xludf.DUMMYFUNCTION("""COMPUTED_VALUE"""),"IDR")</f>
        <v>IDR</v>
      </c>
      <c r="I2017" s="6">
        <f>IFERROR(__xludf.DUMMYFUNCTION("""COMPUTED_VALUE"""),96000.0)</f>
        <v>96000</v>
      </c>
      <c r="J2017" s="6">
        <f>IFERROR(__xludf.DUMMYFUNCTION("""COMPUTED_VALUE"""),96000.0)</f>
        <v>96000</v>
      </c>
      <c r="K2017" s="57">
        <f>IFERROR(__xludf.DUMMYFUNCTION("""COMPUTED_VALUE"""),44820.0)</f>
        <v>44820</v>
      </c>
      <c r="L2017" s="6" t="str">
        <f>IFERROR(__xludf.DUMMYFUNCTION("""COMPUTED_VALUE"""),"FIP General")</f>
        <v>FIP General</v>
      </c>
      <c r="M2017" s="6" t="str">
        <f>IFERROR(__xludf.DUMMYFUNCTION("""COMPUTED_VALUE"""),"Irwan Sopian")</f>
        <v>Irwan Sopian</v>
      </c>
      <c r="N2017" s="6" t="str">
        <f>IFERROR(__xludf.DUMMYFUNCTION("""COMPUTED_VALUE"""),"FIP Engineering")</f>
        <v>FIP Engineering</v>
      </c>
      <c r="O2017" s="6" t="str">
        <f>IFERROR(__xludf.DUMMYFUNCTION("""COMPUTED_VALUE"""),"FIP-DOM-ENG-51202-0000000-INA-000000")</f>
        <v>FIP-DOM-ENG-51202-0000000-INA-000000</v>
      </c>
      <c r="P2017" s="6" t="str">
        <f>IFERROR(__xludf.DUMMYFUNCTION("""COMPUTED_VALUE"""),"PO Closed")</f>
        <v>PO Closed</v>
      </c>
      <c r="Q2017" s="6" t="str">
        <f>IFERROR(__xludf.DUMMYFUNCTION("""COMPUTED_VALUE"""),"GL2208047")</f>
        <v>GL2208047</v>
      </c>
      <c r="R2017" s="57">
        <f>IFERROR(__xludf.DUMMYFUNCTION("""COMPUTED_VALUE"""),44795.0)</f>
        <v>44795</v>
      </c>
      <c r="S2017" s="6" t="str">
        <f>IFERROR(__xludf.DUMMYFUNCTION("""COMPUTED_VALUE"""),"-")</f>
        <v>-</v>
      </c>
      <c r="T2017" s="57">
        <f>IFERROR(__xludf.DUMMYFUNCTION("""COMPUTED_VALUE"""),44837.0)</f>
        <v>44837</v>
      </c>
    </row>
    <row r="2018">
      <c r="A2018" s="6" t="str">
        <f>IFERROR(__xludf.DUMMYFUNCTION("""COMPUTED_VALUE"""),"221750407-6")</f>
        <v>221750407-6</v>
      </c>
      <c r="B2018" s="6" t="str">
        <f>IFERROR(__xludf.DUMMYFUNCTION("""COMPUTED_VALUE"""),"221750407 - Approved")</f>
        <v>221750407 - Approved</v>
      </c>
      <c r="C2018" s="6">
        <f>IFERROR(__xludf.DUMMYFUNCTION("""COMPUTED_VALUE"""),6.0)</f>
        <v>6</v>
      </c>
      <c r="D2018" s="6" t="str">
        <f>IFERROR(__xludf.DUMMYFUNCTION("""COMPUTED_VALUE"""),"S-21105-00")</f>
        <v>S-21105-00</v>
      </c>
      <c r="E2018" s="6" t="str">
        <f>IFERROR(__xludf.DUMMYFUNCTION("""COMPUTED_VALUE"""),"Sepatu, Abu-Abu, Kodachi, 8136-K, size: 42")</f>
        <v>Sepatu, Abu-Abu, Kodachi, 8136-K, size: 42</v>
      </c>
      <c r="F2018" s="6">
        <f>IFERROR(__xludf.DUMMYFUNCTION("""COMPUTED_VALUE"""),7.0)</f>
        <v>7</v>
      </c>
      <c r="G2018" s="6" t="str">
        <f>IFERROR(__xludf.DUMMYFUNCTION("""COMPUTED_VALUE"""),"Pair")</f>
        <v>Pair</v>
      </c>
      <c r="H2018" s="6" t="str">
        <f>IFERROR(__xludf.DUMMYFUNCTION("""COMPUTED_VALUE"""),"IDR")</f>
        <v>IDR</v>
      </c>
      <c r="I2018" s="6">
        <f>IFERROR(__xludf.DUMMYFUNCTION("""COMPUTED_VALUE"""),96000.0)</f>
        <v>96000</v>
      </c>
      <c r="J2018" s="6">
        <f>IFERROR(__xludf.DUMMYFUNCTION("""COMPUTED_VALUE"""),672000.0)</f>
        <v>672000</v>
      </c>
      <c r="K2018" s="57">
        <f>IFERROR(__xludf.DUMMYFUNCTION("""COMPUTED_VALUE"""),44820.0)</f>
        <v>44820</v>
      </c>
      <c r="L2018" s="6" t="str">
        <f>IFERROR(__xludf.DUMMYFUNCTION("""COMPUTED_VALUE"""),"FIP General")</f>
        <v>FIP General</v>
      </c>
      <c r="M2018" s="6" t="str">
        <f>IFERROR(__xludf.DUMMYFUNCTION("""COMPUTED_VALUE"""),"Irwan Sopian")</f>
        <v>Irwan Sopian</v>
      </c>
      <c r="N2018" s="6" t="str">
        <f>IFERROR(__xludf.DUMMYFUNCTION("""COMPUTED_VALUE"""),"FIP Engineering")</f>
        <v>FIP Engineering</v>
      </c>
      <c r="O2018" s="6" t="str">
        <f>IFERROR(__xludf.DUMMYFUNCTION("""COMPUTED_VALUE"""),"FIP-DOM-ENG-51202-0000000-INA-000000")</f>
        <v>FIP-DOM-ENG-51202-0000000-INA-000000</v>
      </c>
      <c r="P2018" s="6" t="str">
        <f>IFERROR(__xludf.DUMMYFUNCTION("""COMPUTED_VALUE"""),"PO Closed")</f>
        <v>PO Closed</v>
      </c>
      <c r="Q2018" s="6" t="str">
        <f>IFERROR(__xludf.DUMMYFUNCTION("""COMPUTED_VALUE"""),"GL2208047")</f>
        <v>GL2208047</v>
      </c>
      <c r="R2018" s="57">
        <f>IFERROR(__xludf.DUMMYFUNCTION("""COMPUTED_VALUE"""),44795.0)</f>
        <v>44795</v>
      </c>
      <c r="S2018" s="6" t="str">
        <f>IFERROR(__xludf.DUMMYFUNCTION("""COMPUTED_VALUE"""),"-")</f>
        <v>-</v>
      </c>
      <c r="T2018" s="57">
        <f>IFERROR(__xludf.DUMMYFUNCTION("""COMPUTED_VALUE"""),44837.0)</f>
        <v>44837</v>
      </c>
    </row>
    <row r="2019">
      <c r="A2019" s="6" t="str">
        <f>IFERROR(__xludf.DUMMYFUNCTION("""COMPUTED_VALUE"""),"221750407-7")</f>
        <v>221750407-7</v>
      </c>
      <c r="B2019" s="6" t="str">
        <f>IFERROR(__xludf.DUMMYFUNCTION("""COMPUTED_VALUE"""),"221750407 - Approved")</f>
        <v>221750407 - Approved</v>
      </c>
      <c r="C2019" s="6">
        <f>IFERROR(__xludf.DUMMYFUNCTION("""COMPUTED_VALUE"""),7.0)</f>
        <v>7</v>
      </c>
      <c r="D2019" s="6" t="str">
        <f>IFERROR(__xludf.DUMMYFUNCTION("""COMPUTED_VALUE"""),"S-21105-00")</f>
        <v>S-21105-00</v>
      </c>
      <c r="E2019" s="6" t="str">
        <f>IFERROR(__xludf.DUMMYFUNCTION("""COMPUTED_VALUE"""),"Sepatu, Abu-Abu, Kodachi, 8136-K, size: 41")</f>
        <v>Sepatu, Abu-Abu, Kodachi, 8136-K, size: 41</v>
      </c>
      <c r="F2019" s="6">
        <f>IFERROR(__xludf.DUMMYFUNCTION("""COMPUTED_VALUE"""),3.0)</f>
        <v>3</v>
      </c>
      <c r="G2019" s="6" t="str">
        <f>IFERROR(__xludf.DUMMYFUNCTION("""COMPUTED_VALUE"""),"Pair")</f>
        <v>Pair</v>
      </c>
      <c r="H2019" s="6" t="str">
        <f>IFERROR(__xludf.DUMMYFUNCTION("""COMPUTED_VALUE"""),"IDR")</f>
        <v>IDR</v>
      </c>
      <c r="I2019" s="6">
        <f>IFERROR(__xludf.DUMMYFUNCTION("""COMPUTED_VALUE"""),96000.0)</f>
        <v>96000</v>
      </c>
      <c r="J2019" s="6">
        <f>IFERROR(__xludf.DUMMYFUNCTION("""COMPUTED_VALUE"""),288000.0)</f>
        <v>288000</v>
      </c>
      <c r="K2019" s="57">
        <f>IFERROR(__xludf.DUMMYFUNCTION("""COMPUTED_VALUE"""),44820.0)</f>
        <v>44820</v>
      </c>
      <c r="L2019" s="6" t="str">
        <f>IFERROR(__xludf.DUMMYFUNCTION("""COMPUTED_VALUE"""),"FIP General")</f>
        <v>FIP General</v>
      </c>
      <c r="M2019" s="6" t="str">
        <f>IFERROR(__xludf.DUMMYFUNCTION("""COMPUTED_VALUE"""),"Irwan Sopian")</f>
        <v>Irwan Sopian</v>
      </c>
      <c r="N2019" s="6" t="str">
        <f>IFERROR(__xludf.DUMMYFUNCTION("""COMPUTED_VALUE"""),"FIP Engineering")</f>
        <v>FIP Engineering</v>
      </c>
      <c r="O2019" s="6" t="str">
        <f>IFERROR(__xludf.DUMMYFUNCTION("""COMPUTED_VALUE"""),"FIP-DOM-ENG-51202-0000000-INA-000000")</f>
        <v>FIP-DOM-ENG-51202-0000000-INA-000000</v>
      </c>
      <c r="P2019" s="6" t="str">
        <f>IFERROR(__xludf.DUMMYFUNCTION("""COMPUTED_VALUE"""),"PO Closed")</f>
        <v>PO Closed</v>
      </c>
      <c r="Q2019" s="6" t="str">
        <f>IFERROR(__xludf.DUMMYFUNCTION("""COMPUTED_VALUE"""),"GL2208047")</f>
        <v>GL2208047</v>
      </c>
      <c r="R2019" s="57">
        <f>IFERROR(__xludf.DUMMYFUNCTION("""COMPUTED_VALUE"""),44795.0)</f>
        <v>44795</v>
      </c>
      <c r="S2019" s="6" t="str">
        <f>IFERROR(__xludf.DUMMYFUNCTION("""COMPUTED_VALUE"""),"-")</f>
        <v>-</v>
      </c>
      <c r="T2019" s="57">
        <f>IFERROR(__xludf.DUMMYFUNCTION("""COMPUTED_VALUE"""),44837.0)</f>
        <v>44837</v>
      </c>
    </row>
    <row r="2020">
      <c r="A2020" s="6" t="str">
        <f>IFERROR(__xludf.DUMMYFUNCTION("""COMPUTED_VALUE"""),"221750407-8")</f>
        <v>221750407-8</v>
      </c>
      <c r="B2020" s="6" t="str">
        <f>IFERROR(__xludf.DUMMYFUNCTION("""COMPUTED_VALUE"""),"221750407 - Approved")</f>
        <v>221750407 - Approved</v>
      </c>
      <c r="C2020" s="6">
        <f>IFERROR(__xludf.DUMMYFUNCTION("""COMPUTED_VALUE"""),8.0)</f>
        <v>8</v>
      </c>
      <c r="D2020" s="6" t="str">
        <f>IFERROR(__xludf.DUMMYFUNCTION("""COMPUTED_VALUE"""),"S-21105-00")</f>
        <v>S-21105-00</v>
      </c>
      <c r="E2020" s="6" t="str">
        <f>IFERROR(__xludf.DUMMYFUNCTION("""COMPUTED_VALUE"""),"Sepatu, Abu-Abu, Kodachi, 8136-K, size: 40")</f>
        <v>Sepatu, Abu-Abu, Kodachi, 8136-K, size: 40</v>
      </c>
      <c r="F2020" s="6">
        <f>IFERROR(__xludf.DUMMYFUNCTION("""COMPUTED_VALUE"""),6.0)</f>
        <v>6</v>
      </c>
      <c r="G2020" s="6" t="str">
        <f>IFERROR(__xludf.DUMMYFUNCTION("""COMPUTED_VALUE"""),"Pair")</f>
        <v>Pair</v>
      </c>
      <c r="H2020" s="6" t="str">
        <f>IFERROR(__xludf.DUMMYFUNCTION("""COMPUTED_VALUE"""),"IDR")</f>
        <v>IDR</v>
      </c>
      <c r="I2020" s="6">
        <f>IFERROR(__xludf.DUMMYFUNCTION("""COMPUTED_VALUE"""),96000.0)</f>
        <v>96000</v>
      </c>
      <c r="J2020" s="6">
        <f>IFERROR(__xludf.DUMMYFUNCTION("""COMPUTED_VALUE"""),576000.0)</f>
        <v>576000</v>
      </c>
      <c r="K2020" s="57">
        <f>IFERROR(__xludf.DUMMYFUNCTION("""COMPUTED_VALUE"""),44820.0)</f>
        <v>44820</v>
      </c>
      <c r="L2020" s="6" t="str">
        <f>IFERROR(__xludf.DUMMYFUNCTION("""COMPUTED_VALUE"""),"FIP General")</f>
        <v>FIP General</v>
      </c>
      <c r="M2020" s="6" t="str">
        <f>IFERROR(__xludf.DUMMYFUNCTION("""COMPUTED_VALUE"""),"Irwan Sopian")</f>
        <v>Irwan Sopian</v>
      </c>
      <c r="N2020" s="6" t="str">
        <f>IFERROR(__xludf.DUMMYFUNCTION("""COMPUTED_VALUE"""),"FIP Engineering")</f>
        <v>FIP Engineering</v>
      </c>
      <c r="O2020" s="6" t="str">
        <f>IFERROR(__xludf.DUMMYFUNCTION("""COMPUTED_VALUE"""),"FIP-DOM-ENG-51202-0000000-INA-000000")</f>
        <v>FIP-DOM-ENG-51202-0000000-INA-000000</v>
      </c>
      <c r="P2020" s="6" t="str">
        <f>IFERROR(__xludf.DUMMYFUNCTION("""COMPUTED_VALUE"""),"PO Closed")</f>
        <v>PO Closed</v>
      </c>
      <c r="Q2020" s="6" t="str">
        <f>IFERROR(__xludf.DUMMYFUNCTION("""COMPUTED_VALUE"""),"GL2208047")</f>
        <v>GL2208047</v>
      </c>
      <c r="R2020" s="57">
        <f>IFERROR(__xludf.DUMMYFUNCTION("""COMPUTED_VALUE"""),44795.0)</f>
        <v>44795</v>
      </c>
      <c r="S2020" s="6" t="str">
        <f>IFERROR(__xludf.DUMMYFUNCTION("""COMPUTED_VALUE"""),"-")</f>
        <v>-</v>
      </c>
      <c r="T2020" s="57">
        <f>IFERROR(__xludf.DUMMYFUNCTION("""COMPUTED_VALUE"""),44837.0)</f>
        <v>44837</v>
      </c>
    </row>
    <row r="2021">
      <c r="A2021" s="6" t="str">
        <f>IFERROR(__xludf.DUMMYFUNCTION("""COMPUTED_VALUE"""),"221750407-9")</f>
        <v>221750407-9</v>
      </c>
      <c r="B2021" s="6" t="str">
        <f>IFERROR(__xludf.DUMMYFUNCTION("""COMPUTED_VALUE"""),"221750407 - Approved")</f>
        <v>221750407 - Approved</v>
      </c>
      <c r="C2021" s="6">
        <f>IFERROR(__xludf.DUMMYFUNCTION("""COMPUTED_VALUE"""),9.0)</f>
        <v>9</v>
      </c>
      <c r="D2021" s="6" t="str">
        <f>IFERROR(__xludf.DUMMYFUNCTION("""COMPUTED_VALUE"""),"S-22018-00")</f>
        <v>S-22018-00</v>
      </c>
      <c r="E2021" s="6" t="str">
        <f>IFERROR(__xludf.DUMMYFUNCTION("""COMPUTED_VALUE"""),"Coverall dengan Topi Staff, 1 piece, Moly Twill, 8A, Navy, Fonko, size: XL")</f>
        <v>Coverall dengan Topi Staff, 1 piece, Moly Twill, 8A, Navy, Fonko, size: XL</v>
      </c>
      <c r="F2021" s="6">
        <f>IFERROR(__xludf.DUMMYFUNCTION("""COMPUTED_VALUE"""),6.0)</f>
        <v>6</v>
      </c>
      <c r="G2021" s="6" t="str">
        <f>IFERROR(__xludf.DUMMYFUNCTION("""COMPUTED_VALUE"""),"Pieces")</f>
        <v>Pieces</v>
      </c>
      <c r="H2021" s="6" t="str">
        <f>IFERROR(__xludf.DUMMYFUNCTION("""COMPUTED_VALUE"""),"IDR")</f>
        <v>IDR</v>
      </c>
      <c r="I2021" s="6">
        <f>IFERROR(__xludf.DUMMYFUNCTION("""COMPUTED_VALUE"""),190000.0)</f>
        <v>190000</v>
      </c>
      <c r="J2021" s="6">
        <f>IFERROR(__xludf.DUMMYFUNCTION("""COMPUTED_VALUE"""),1140000.0)</f>
        <v>1140000</v>
      </c>
      <c r="K2021" s="57">
        <f>IFERROR(__xludf.DUMMYFUNCTION("""COMPUTED_VALUE"""),44820.0)</f>
        <v>44820</v>
      </c>
      <c r="L2021" s="6" t="str">
        <f>IFERROR(__xludf.DUMMYFUNCTION("""COMPUTED_VALUE"""),"FIP General")</f>
        <v>FIP General</v>
      </c>
      <c r="M2021" s="6" t="str">
        <f>IFERROR(__xludf.DUMMYFUNCTION("""COMPUTED_VALUE"""),"Irwan Sopian")</f>
        <v>Irwan Sopian</v>
      </c>
      <c r="N2021" s="6" t="str">
        <f>IFERROR(__xludf.DUMMYFUNCTION("""COMPUTED_VALUE"""),"FIP Engineering")</f>
        <v>FIP Engineering</v>
      </c>
      <c r="O2021" s="6" t="str">
        <f>IFERROR(__xludf.DUMMYFUNCTION("""COMPUTED_VALUE"""),"FIP-DOM-ENG-51202-0000000-INA-000000")</f>
        <v>FIP-DOM-ENG-51202-0000000-INA-000000</v>
      </c>
      <c r="P2021" s="6" t="str">
        <f>IFERROR(__xludf.DUMMYFUNCTION("""COMPUTED_VALUE"""),"PO Closed")</f>
        <v>PO Closed</v>
      </c>
      <c r="Q2021" s="6" t="str">
        <f>IFERROR(__xludf.DUMMYFUNCTION("""COMPUTED_VALUE"""),"GL2208316")</f>
        <v>GL2208316</v>
      </c>
      <c r="R2021" s="57">
        <f>IFERROR(__xludf.DUMMYFUNCTION("""COMPUTED_VALUE"""),44795.0)</f>
        <v>44795</v>
      </c>
      <c r="S2021" s="6" t="str">
        <f>IFERROR(__xludf.DUMMYFUNCTION("""COMPUTED_VALUE"""),"-")</f>
        <v>-</v>
      </c>
      <c r="T2021" s="57">
        <f>IFERROR(__xludf.DUMMYFUNCTION("""COMPUTED_VALUE"""),44837.0)</f>
        <v>44837</v>
      </c>
    </row>
    <row r="2022">
      <c r="A2022" s="6" t="str">
        <f>IFERROR(__xludf.DUMMYFUNCTION("""COMPUTED_VALUE"""),"221750407-10")</f>
        <v>221750407-10</v>
      </c>
      <c r="B2022" s="6" t="str">
        <f>IFERROR(__xludf.DUMMYFUNCTION("""COMPUTED_VALUE"""),"221750407 - Approved")</f>
        <v>221750407 - Approved</v>
      </c>
      <c r="C2022" s="6">
        <f>IFERROR(__xludf.DUMMYFUNCTION("""COMPUTED_VALUE"""),10.0)</f>
        <v>10</v>
      </c>
      <c r="D2022" s="6" t="str">
        <f>IFERROR(__xludf.DUMMYFUNCTION("""COMPUTED_VALUE"""),"S-22018-00")</f>
        <v>S-22018-00</v>
      </c>
      <c r="E2022" s="6" t="str">
        <f>IFERROR(__xludf.DUMMYFUNCTION("""COMPUTED_VALUE"""),"Coverall dengan Topi Staff, 1 piece, Moly Twill, 8A, Navy, Fonko, size: 2XL")</f>
        <v>Coverall dengan Topi Staff, 1 piece, Moly Twill, 8A, Navy, Fonko, size: 2XL</v>
      </c>
      <c r="F2022" s="6">
        <f>IFERROR(__xludf.DUMMYFUNCTION("""COMPUTED_VALUE"""),8.0)</f>
        <v>8</v>
      </c>
      <c r="G2022" s="6" t="str">
        <f>IFERROR(__xludf.DUMMYFUNCTION("""COMPUTED_VALUE"""),"Pieces")</f>
        <v>Pieces</v>
      </c>
      <c r="H2022" s="6" t="str">
        <f>IFERROR(__xludf.DUMMYFUNCTION("""COMPUTED_VALUE"""),"IDR")</f>
        <v>IDR</v>
      </c>
      <c r="I2022" s="6">
        <f>IFERROR(__xludf.DUMMYFUNCTION("""COMPUTED_VALUE"""),200000.0)</f>
        <v>200000</v>
      </c>
      <c r="J2022" s="6">
        <f>IFERROR(__xludf.DUMMYFUNCTION("""COMPUTED_VALUE"""),1600000.0)</f>
        <v>1600000</v>
      </c>
      <c r="K2022" s="57">
        <f>IFERROR(__xludf.DUMMYFUNCTION("""COMPUTED_VALUE"""),44820.0)</f>
        <v>44820</v>
      </c>
      <c r="L2022" s="6" t="str">
        <f>IFERROR(__xludf.DUMMYFUNCTION("""COMPUTED_VALUE"""),"FIP General")</f>
        <v>FIP General</v>
      </c>
      <c r="M2022" s="6" t="str">
        <f>IFERROR(__xludf.DUMMYFUNCTION("""COMPUTED_VALUE"""),"Irwan Sopian")</f>
        <v>Irwan Sopian</v>
      </c>
      <c r="N2022" s="6" t="str">
        <f>IFERROR(__xludf.DUMMYFUNCTION("""COMPUTED_VALUE"""),"FIP Engineering")</f>
        <v>FIP Engineering</v>
      </c>
      <c r="O2022" s="6" t="str">
        <f>IFERROR(__xludf.DUMMYFUNCTION("""COMPUTED_VALUE"""),"FIP-DOM-ENG-51202-0000000-INA-000000")</f>
        <v>FIP-DOM-ENG-51202-0000000-INA-000000</v>
      </c>
      <c r="P2022" s="6" t="str">
        <f>IFERROR(__xludf.DUMMYFUNCTION("""COMPUTED_VALUE"""),"PO Closed")</f>
        <v>PO Closed</v>
      </c>
      <c r="Q2022" s="6" t="str">
        <f>IFERROR(__xludf.DUMMYFUNCTION("""COMPUTED_VALUE"""),"GL2208316")</f>
        <v>GL2208316</v>
      </c>
      <c r="R2022" s="57">
        <f>IFERROR(__xludf.DUMMYFUNCTION("""COMPUTED_VALUE"""),44795.0)</f>
        <v>44795</v>
      </c>
      <c r="S2022" s="6" t="str">
        <f>IFERROR(__xludf.DUMMYFUNCTION("""COMPUTED_VALUE"""),"-")</f>
        <v>-</v>
      </c>
      <c r="T2022" s="57">
        <f>IFERROR(__xludf.DUMMYFUNCTION("""COMPUTED_VALUE"""),44837.0)</f>
        <v>44837</v>
      </c>
    </row>
    <row r="2023">
      <c r="A2023" s="6" t="str">
        <f>IFERROR(__xludf.DUMMYFUNCTION("""COMPUTED_VALUE"""),"221750407-11")</f>
        <v>221750407-11</v>
      </c>
      <c r="B2023" s="6" t="str">
        <f>IFERROR(__xludf.DUMMYFUNCTION("""COMPUTED_VALUE"""),"221750407 - Approved")</f>
        <v>221750407 - Approved</v>
      </c>
      <c r="C2023" s="6">
        <f>IFERROR(__xludf.DUMMYFUNCTION("""COMPUTED_VALUE"""),11.0)</f>
        <v>11</v>
      </c>
      <c r="D2023" s="6" t="str">
        <f>IFERROR(__xludf.DUMMYFUNCTION("""COMPUTED_VALUE"""),"S-22018-00")</f>
        <v>S-22018-00</v>
      </c>
      <c r="E2023" s="6" t="str">
        <f>IFERROR(__xludf.DUMMYFUNCTION("""COMPUTED_VALUE"""),"Coverall dengan Topi Staff, 1 piece, Moly Twill, 8A, Navy, Fonko, size: L")</f>
        <v>Coverall dengan Topi Staff, 1 piece, Moly Twill, 8A, Navy, Fonko, size: L</v>
      </c>
      <c r="F2023" s="6">
        <f>IFERROR(__xludf.DUMMYFUNCTION("""COMPUTED_VALUE"""),2.0)</f>
        <v>2</v>
      </c>
      <c r="G2023" s="6" t="str">
        <f>IFERROR(__xludf.DUMMYFUNCTION("""COMPUTED_VALUE"""),"Pieces")</f>
        <v>Pieces</v>
      </c>
      <c r="H2023" s="6" t="str">
        <f>IFERROR(__xludf.DUMMYFUNCTION("""COMPUTED_VALUE"""),"IDR")</f>
        <v>IDR</v>
      </c>
      <c r="I2023" s="6">
        <f>IFERROR(__xludf.DUMMYFUNCTION("""COMPUTED_VALUE"""),180000.0)</f>
        <v>180000</v>
      </c>
      <c r="J2023" s="6">
        <f>IFERROR(__xludf.DUMMYFUNCTION("""COMPUTED_VALUE"""),360000.0)</f>
        <v>360000</v>
      </c>
      <c r="K2023" s="57">
        <f>IFERROR(__xludf.DUMMYFUNCTION("""COMPUTED_VALUE"""),44820.0)</f>
        <v>44820</v>
      </c>
      <c r="L2023" s="6" t="str">
        <f>IFERROR(__xludf.DUMMYFUNCTION("""COMPUTED_VALUE"""),"FIP General")</f>
        <v>FIP General</v>
      </c>
      <c r="M2023" s="6" t="str">
        <f>IFERROR(__xludf.DUMMYFUNCTION("""COMPUTED_VALUE"""),"Irwan Sopian")</f>
        <v>Irwan Sopian</v>
      </c>
      <c r="N2023" s="6" t="str">
        <f>IFERROR(__xludf.DUMMYFUNCTION("""COMPUTED_VALUE"""),"FIP Engineering")</f>
        <v>FIP Engineering</v>
      </c>
      <c r="O2023" s="6" t="str">
        <f>IFERROR(__xludf.DUMMYFUNCTION("""COMPUTED_VALUE"""),"FIP-DOM-ENG-51202-0000000-INA-000000")</f>
        <v>FIP-DOM-ENG-51202-0000000-INA-000000</v>
      </c>
      <c r="P2023" s="6" t="str">
        <f>IFERROR(__xludf.DUMMYFUNCTION("""COMPUTED_VALUE"""),"PO Closed")</f>
        <v>PO Closed</v>
      </c>
      <c r="Q2023" s="6" t="str">
        <f>IFERROR(__xludf.DUMMYFUNCTION("""COMPUTED_VALUE"""),"GL2208316")</f>
        <v>GL2208316</v>
      </c>
      <c r="R2023" s="57">
        <f>IFERROR(__xludf.DUMMYFUNCTION("""COMPUTED_VALUE"""),44795.0)</f>
        <v>44795</v>
      </c>
      <c r="S2023" s="6" t="str">
        <f>IFERROR(__xludf.DUMMYFUNCTION("""COMPUTED_VALUE"""),"-")</f>
        <v>-</v>
      </c>
      <c r="T2023" s="57">
        <f>IFERROR(__xludf.DUMMYFUNCTION("""COMPUTED_VALUE"""),44837.0)</f>
        <v>44837</v>
      </c>
    </row>
    <row r="2024">
      <c r="A2024" s="6" t="str">
        <f>IFERROR(__xludf.DUMMYFUNCTION("""COMPUTED_VALUE"""),"221750412-1")</f>
        <v>221750412-1</v>
      </c>
      <c r="B2024" s="6" t="str">
        <f>IFERROR(__xludf.DUMMYFUNCTION("""COMPUTED_VALUE"""),"221750412 - Approved")</f>
        <v>221750412 - Approved</v>
      </c>
      <c r="C2024" s="6">
        <f>IFERROR(__xludf.DUMMYFUNCTION("""COMPUTED_VALUE"""),1.0)</f>
        <v>1</v>
      </c>
      <c r="D2024" s="6" t="str">
        <f>IFERROR(__xludf.DUMMYFUNCTION("""COMPUTED_VALUE"""),"Q-10172-00")</f>
        <v>Q-10172-00</v>
      </c>
      <c r="E2024" s="6" t="str">
        <f>IFERROR(__xludf.DUMMYFUNCTION("""COMPUTED_VALUE"""),"Polyfloor PFT-213 Light blue @ 20 KG")</f>
        <v>Polyfloor PFT-213 Light blue @ 20 KG</v>
      </c>
      <c r="F2024" s="6">
        <f>IFERROR(__xludf.DUMMYFUNCTION("""COMPUTED_VALUE"""),1.0)</f>
        <v>1</v>
      </c>
      <c r="G2024" s="6" t="str">
        <f>IFERROR(__xludf.DUMMYFUNCTION("""COMPUTED_VALUE"""),"Pieces")</f>
        <v>Pieces</v>
      </c>
      <c r="H2024" s="6" t="str">
        <f>IFERROR(__xludf.DUMMYFUNCTION("""COMPUTED_VALUE"""),"IDR")</f>
        <v>IDR</v>
      </c>
      <c r="I2024" s="6">
        <f>IFERROR(__xludf.DUMMYFUNCTION("""COMPUTED_VALUE"""),3870000.0)</f>
        <v>3870000</v>
      </c>
      <c r="J2024" s="6">
        <f>IFERROR(__xludf.DUMMYFUNCTION("""COMPUTED_VALUE"""),3870000.0)</f>
        <v>3870000</v>
      </c>
      <c r="K2024" s="57">
        <f>IFERROR(__xludf.DUMMYFUNCTION("""COMPUTED_VALUE"""),44806.0)</f>
        <v>44806</v>
      </c>
      <c r="L2024" s="6" t="str">
        <f>IFERROR(__xludf.DUMMYFUNCTION("""COMPUTED_VALUE"""),"FIP Engineering")</f>
        <v>FIP Engineering</v>
      </c>
      <c r="M2024" s="6" t="str">
        <f>IFERROR(__xludf.DUMMYFUNCTION("""COMPUTED_VALUE"""),"Irwan Sopian")</f>
        <v>Irwan Sopian</v>
      </c>
      <c r="N2024" s="6" t="str">
        <f>IFERROR(__xludf.DUMMYFUNCTION("""COMPUTED_VALUE"""),"FIP Engineering")</f>
        <v>FIP Engineering</v>
      </c>
      <c r="O2024" s="6" t="str">
        <f>IFERROR(__xludf.DUMMYFUNCTION("""COMPUTED_VALUE"""),"FIP-DOM-000-11304-OS00001-INA-000000")</f>
        <v>FIP-DOM-000-11304-OS00001-INA-000000</v>
      </c>
      <c r="P2024" s="6" t="str">
        <f>IFERROR(__xludf.DUMMYFUNCTION("""COMPUTED_VALUE"""),"PO Closed")</f>
        <v>PO Closed</v>
      </c>
      <c r="Q2024" s="6" t="str">
        <f>IFERROR(__xludf.DUMMYFUNCTION("""COMPUTED_VALUE"""),"GL2208320")</f>
        <v>GL2208320</v>
      </c>
      <c r="R2024" s="57">
        <f>IFERROR(__xludf.DUMMYFUNCTION("""COMPUTED_VALUE"""),44796.0)</f>
        <v>44796</v>
      </c>
      <c r="S2024" s="6" t="str">
        <f>IFERROR(__xludf.DUMMYFUNCTION("""COMPUTED_VALUE"""),"-")</f>
        <v>-</v>
      </c>
      <c r="T2024" s="57">
        <f>IFERROR(__xludf.DUMMYFUNCTION("""COMPUTED_VALUE"""),44799.0)</f>
        <v>44799</v>
      </c>
    </row>
    <row r="2025">
      <c r="A2025" s="6" t="str">
        <f>IFERROR(__xludf.DUMMYFUNCTION("""COMPUTED_VALUE"""),"221750414-1")</f>
        <v>221750414-1</v>
      </c>
      <c r="B2025" s="6" t="str">
        <f>IFERROR(__xludf.DUMMYFUNCTION("""COMPUTED_VALUE"""),"221750414 - Approved")</f>
        <v>221750414 - Approved</v>
      </c>
      <c r="C2025" s="6">
        <f>IFERROR(__xludf.DUMMYFUNCTION("""COMPUTED_VALUE"""),1.0)</f>
        <v>1</v>
      </c>
      <c r="D2025" s="6" t="str">
        <f>IFERROR(__xludf.DUMMYFUNCTION("""COMPUTED_VALUE"""),"S-40224-00")</f>
        <v>S-40224-00</v>
      </c>
      <c r="E2025" s="6" t="str">
        <f>IFERROR(__xludf.DUMMYFUNCTION("""COMPUTED_VALUE"""),"Jolly Box JX-3 300 UK : 265x198x145 mm Warna Biru")</f>
        <v>Jolly Box JX-3 300 UK : 265x198x145 mm Warna Biru</v>
      </c>
      <c r="F2025" s="6">
        <f>IFERROR(__xludf.DUMMYFUNCTION("""COMPUTED_VALUE"""),50.0)</f>
        <v>50</v>
      </c>
      <c r="G2025" s="6" t="str">
        <f>IFERROR(__xludf.DUMMYFUNCTION("""COMPUTED_VALUE"""),"Pieces")</f>
        <v>Pieces</v>
      </c>
      <c r="H2025" s="6" t="str">
        <f>IFERROR(__xludf.DUMMYFUNCTION("""COMPUTED_VALUE"""),"IDR")</f>
        <v>IDR</v>
      </c>
      <c r="I2025" s="6">
        <f>IFERROR(__xludf.DUMMYFUNCTION("""COMPUTED_VALUE"""),40000.0)</f>
        <v>40000</v>
      </c>
      <c r="J2025" s="6">
        <f>IFERROR(__xludf.DUMMYFUNCTION("""COMPUTED_VALUE"""),2000000.0)</f>
        <v>2000000</v>
      </c>
      <c r="K2025" s="57">
        <f>IFERROR(__xludf.DUMMYFUNCTION("""COMPUTED_VALUE"""),44820.0)</f>
        <v>44820</v>
      </c>
      <c r="L2025" s="6" t="str">
        <f>IFERROR(__xludf.DUMMYFUNCTION("""COMPUTED_VALUE"""),"FIP General")</f>
        <v>FIP General</v>
      </c>
      <c r="M2025" s="6" t="str">
        <f>IFERROR(__xludf.DUMMYFUNCTION("""COMPUTED_VALUE"""),"Irwan Sopian")</f>
        <v>Irwan Sopian</v>
      </c>
      <c r="N2025" s="6" t="str">
        <f>IFERROR(__xludf.DUMMYFUNCTION("""COMPUTED_VALUE"""),"FIP Engineering")</f>
        <v>FIP Engineering</v>
      </c>
      <c r="O2025" s="6" t="str">
        <f>IFERROR(__xludf.DUMMYFUNCTION("""COMPUTED_VALUE"""),"FIP-DOM-ENG-51404-0000000-INA-000000")</f>
        <v>FIP-DOM-ENG-51404-0000000-INA-000000</v>
      </c>
      <c r="P2025" s="6" t="str">
        <f>IFERROR(__xludf.DUMMYFUNCTION("""COMPUTED_VALUE"""),"PO Closed")</f>
        <v>PO Closed</v>
      </c>
      <c r="Q2025" s="6" t="str">
        <f>IFERROR(__xludf.DUMMYFUNCTION("""COMPUTED_VALUE"""),"GL2209007")</f>
        <v>GL2209007</v>
      </c>
      <c r="R2025" s="57">
        <f>IFERROR(__xludf.DUMMYFUNCTION("""COMPUTED_VALUE"""),44797.0)</f>
        <v>44797</v>
      </c>
      <c r="S2025" s="6" t="str">
        <f>IFERROR(__xludf.DUMMYFUNCTION("""COMPUTED_VALUE"""),"-")</f>
        <v>-</v>
      </c>
      <c r="T2025" s="57">
        <f>IFERROR(__xludf.DUMMYFUNCTION("""COMPUTED_VALUE"""),44820.0)</f>
        <v>44820</v>
      </c>
    </row>
    <row r="2026">
      <c r="A2026" s="6" t="str">
        <f>IFERROR(__xludf.DUMMYFUNCTION("""COMPUTED_VALUE"""),"221750418-1")</f>
        <v>221750418-1</v>
      </c>
      <c r="B2026" s="6" t="str">
        <f>IFERROR(__xludf.DUMMYFUNCTION("""COMPUTED_VALUE"""),"221750418 - Approved")</f>
        <v>221750418 - Approved</v>
      </c>
      <c r="C2026" s="6">
        <f>IFERROR(__xludf.DUMMYFUNCTION("""COMPUTED_VALUE"""),1.0)</f>
        <v>1</v>
      </c>
      <c r="D2026" s="6" t="str">
        <f>IFERROR(__xludf.DUMMYFUNCTION("""COMPUTED_VALUE"""),"Q-10912-00")</f>
        <v>Q-10912-00</v>
      </c>
      <c r="E2026" s="6" t="str">
        <f>IFERROR(__xludf.DUMMYFUNCTION("""COMPUTED_VALUE"""),"Pompa Oil Manual Drum")</f>
        <v>Pompa Oil Manual Drum</v>
      </c>
      <c r="F2026" s="6">
        <f>IFERROR(__xludf.DUMMYFUNCTION("""COMPUTED_VALUE"""),1.0)</f>
        <v>1</v>
      </c>
      <c r="G2026" s="6" t="str">
        <f>IFERROR(__xludf.DUMMYFUNCTION("""COMPUTED_VALUE"""),"Pieces")</f>
        <v>Pieces</v>
      </c>
      <c r="H2026" s="6" t="str">
        <f>IFERROR(__xludf.DUMMYFUNCTION("""COMPUTED_VALUE"""),"IDR")</f>
        <v>IDR</v>
      </c>
      <c r="I2026" s="6">
        <f>IFERROR(__xludf.DUMMYFUNCTION("""COMPUTED_VALUE"""),365000.0)</f>
        <v>365000</v>
      </c>
      <c r="J2026" s="6">
        <f>IFERROR(__xludf.DUMMYFUNCTION("""COMPUTED_VALUE"""),365000.0)</f>
        <v>365000</v>
      </c>
      <c r="K2026" s="57">
        <f>IFERROR(__xludf.DUMMYFUNCTION("""COMPUTED_VALUE"""),44820.0)</f>
        <v>44820</v>
      </c>
      <c r="L2026" s="6" t="str">
        <f>IFERROR(__xludf.DUMMYFUNCTION("""COMPUTED_VALUE"""),"FIP General")</f>
        <v>FIP General</v>
      </c>
      <c r="M2026" s="6" t="str">
        <f>IFERROR(__xludf.DUMMYFUNCTION("""COMPUTED_VALUE"""),"Irwan Sopian")</f>
        <v>Irwan Sopian</v>
      </c>
      <c r="N2026" s="6" t="str">
        <f>IFERROR(__xludf.DUMMYFUNCTION("""COMPUTED_VALUE"""),"FIP Engineering")</f>
        <v>FIP Engineering</v>
      </c>
      <c r="O2026" s="6" t="str">
        <f>IFERROR(__xludf.DUMMYFUNCTION("""COMPUTED_VALUE"""),"FIP-DOM-ENG-51502-0000000-INA-000000")</f>
        <v>FIP-DOM-ENG-51502-0000000-INA-000000</v>
      </c>
      <c r="P2026" s="6" t="str">
        <f>IFERROR(__xludf.DUMMYFUNCTION("""COMPUTED_VALUE"""),"PO Closed")</f>
        <v>PO Closed</v>
      </c>
      <c r="Q2026" s="6" t="str">
        <f>IFERROR(__xludf.DUMMYFUNCTION("""COMPUTED_VALUE"""),"GL2209009")</f>
        <v>GL2209009</v>
      </c>
      <c r="R2026" s="57">
        <f>IFERROR(__xludf.DUMMYFUNCTION("""COMPUTED_VALUE"""),44798.0)</f>
        <v>44798</v>
      </c>
      <c r="S2026" s="6" t="str">
        <f>IFERROR(__xludf.DUMMYFUNCTION("""COMPUTED_VALUE"""),"-")</f>
        <v>-</v>
      </c>
      <c r="T2026" s="57">
        <f>IFERROR(__xludf.DUMMYFUNCTION("""COMPUTED_VALUE"""),44820.0)</f>
        <v>44820</v>
      </c>
    </row>
    <row r="2027">
      <c r="A2027" s="6" t="str">
        <f>IFERROR(__xludf.DUMMYFUNCTION("""COMPUTED_VALUE"""),"221750418-3")</f>
        <v>221750418-3</v>
      </c>
      <c r="B2027" s="6" t="str">
        <f>IFERROR(__xludf.DUMMYFUNCTION("""COMPUTED_VALUE"""),"221750418 - Approved")</f>
        <v>221750418 - Approved</v>
      </c>
      <c r="C2027" s="6">
        <f>IFERROR(__xludf.DUMMYFUNCTION("""COMPUTED_VALUE"""),3.0)</f>
        <v>3</v>
      </c>
      <c r="D2027" s="6" t="str">
        <f>IFERROR(__xludf.DUMMYFUNCTION("""COMPUTED_VALUE"""),"Q-10933-00")</f>
        <v>Q-10933-00</v>
      </c>
      <c r="E2027" s="6" t="str">
        <f>IFERROR(__xludf.DUMMYFUNCTION("""COMPUTED_VALUE"""),"Mesin Amplas GSS-1400 BOSCH")</f>
        <v>Mesin Amplas GSS-1400 BOSCH</v>
      </c>
      <c r="F2027" s="6">
        <f>IFERROR(__xludf.DUMMYFUNCTION("""COMPUTED_VALUE"""),1.0)</f>
        <v>1</v>
      </c>
      <c r="G2027" s="6" t="str">
        <f>IFERROR(__xludf.DUMMYFUNCTION("""COMPUTED_VALUE"""),"Unit")</f>
        <v>Unit</v>
      </c>
      <c r="H2027" s="6" t="str">
        <f>IFERROR(__xludf.DUMMYFUNCTION("""COMPUTED_VALUE"""),"IDR")</f>
        <v>IDR</v>
      </c>
      <c r="I2027" s="6">
        <f>IFERROR(__xludf.DUMMYFUNCTION("""COMPUTED_VALUE"""),1278750.0)</f>
        <v>1278750</v>
      </c>
      <c r="J2027" s="6">
        <f>IFERROR(__xludf.DUMMYFUNCTION("""COMPUTED_VALUE"""),1278750.0)</f>
        <v>1278750</v>
      </c>
      <c r="K2027" s="57">
        <f>IFERROR(__xludf.DUMMYFUNCTION("""COMPUTED_VALUE"""),44820.0)</f>
        <v>44820</v>
      </c>
      <c r="L2027" s="6" t="str">
        <f>IFERROR(__xludf.DUMMYFUNCTION("""COMPUTED_VALUE"""),"FIP General")</f>
        <v>FIP General</v>
      </c>
      <c r="M2027" s="6" t="str">
        <f>IFERROR(__xludf.DUMMYFUNCTION("""COMPUTED_VALUE"""),"Irwan Sopian")</f>
        <v>Irwan Sopian</v>
      </c>
      <c r="N2027" s="6" t="str">
        <f>IFERROR(__xludf.DUMMYFUNCTION("""COMPUTED_VALUE"""),"FIP Engineering")</f>
        <v>FIP Engineering</v>
      </c>
      <c r="O2027" s="6" t="str">
        <f>IFERROR(__xludf.DUMMYFUNCTION("""COMPUTED_VALUE"""),"FIP-DOM-ENG-51504-0000000-INA-000000")</f>
        <v>FIP-DOM-ENG-51504-0000000-INA-000000</v>
      </c>
      <c r="P2027" s="6" t="str">
        <f>IFERROR(__xludf.DUMMYFUNCTION("""COMPUTED_VALUE"""),"PO Closed")</f>
        <v>PO Closed</v>
      </c>
      <c r="Q2027" s="6" t="str">
        <f>IFERROR(__xludf.DUMMYFUNCTION("""COMPUTED_VALUE"""),"GL2209009")</f>
        <v>GL2209009</v>
      </c>
      <c r="R2027" s="57">
        <f>IFERROR(__xludf.DUMMYFUNCTION("""COMPUTED_VALUE"""),44798.0)</f>
        <v>44798</v>
      </c>
      <c r="S2027" s="6" t="str">
        <f>IFERROR(__xludf.DUMMYFUNCTION("""COMPUTED_VALUE"""),"-")</f>
        <v>-</v>
      </c>
      <c r="T2027" s="57">
        <f>IFERROR(__xludf.DUMMYFUNCTION("""COMPUTED_VALUE"""),44820.0)</f>
        <v>44820</v>
      </c>
    </row>
    <row r="2028">
      <c r="A2028" s="6" t="str">
        <f>IFERROR(__xludf.DUMMYFUNCTION("""COMPUTED_VALUE"""),"221750424-1")</f>
        <v>221750424-1</v>
      </c>
      <c r="B2028" s="6" t="str">
        <f>IFERROR(__xludf.DUMMYFUNCTION("""COMPUTED_VALUE"""),"221750424 - Approved")</f>
        <v>221750424 - Approved</v>
      </c>
      <c r="C2028" s="6">
        <f>IFERROR(__xludf.DUMMYFUNCTION("""COMPUTED_VALUE"""),1.0)</f>
        <v>1</v>
      </c>
      <c r="D2028" s="6" t="str">
        <f>IFERROR(__xludf.DUMMYFUNCTION("""COMPUTED_VALUE"""),"T-20601-00")</f>
        <v>T-20601-00</v>
      </c>
      <c r="E2028" s="6" t="str">
        <f>IFERROR(__xludf.DUMMYFUNCTION("""COMPUTED_VALUE"""),"2690 Carousel/Carrier Drive Waters P/N : WAT270928 Waters WAT270928 1 pcs/pack")</f>
        <v>2690 Carousel/Carrier Drive Waters P/N : WAT270928 Waters WAT270928 1 pcs/pack</v>
      </c>
      <c r="F2028" s="6">
        <f>IFERROR(__xludf.DUMMYFUNCTION("""COMPUTED_VALUE"""),1.0)</f>
        <v>1</v>
      </c>
      <c r="G2028" s="6" t="str">
        <f>IFERROR(__xludf.DUMMYFUNCTION("""COMPUTED_VALUE"""),"Pack")</f>
        <v>Pack</v>
      </c>
      <c r="H2028" s="6" t="str">
        <f>IFERROR(__xludf.DUMMYFUNCTION("""COMPUTED_VALUE"""),"USD")</f>
        <v>USD</v>
      </c>
      <c r="I2028" s="6">
        <f>IFERROR(__xludf.DUMMYFUNCTION("""COMPUTED_VALUE"""),3145.0)</f>
        <v>3145</v>
      </c>
      <c r="J2028" s="6">
        <f>IFERROR(__xludf.DUMMYFUNCTION("""COMPUTED_VALUE"""),3145.0)</f>
        <v>3145</v>
      </c>
      <c r="K2028" s="57">
        <f>IFERROR(__xludf.DUMMYFUNCTION("""COMPUTED_VALUE"""),44830.0)</f>
        <v>44830</v>
      </c>
      <c r="L2028" s="6" t="str">
        <f>IFERROR(__xludf.DUMMYFUNCTION("""COMPUTED_VALUE"""),"FIP General")</f>
        <v>FIP General</v>
      </c>
      <c r="M2028" s="6" t="str">
        <f>IFERROR(__xludf.DUMMYFUNCTION("""COMPUTED_VALUE"""),"Irwan Sopian")</f>
        <v>Irwan Sopian</v>
      </c>
      <c r="N2028" s="6" t="str">
        <f>IFERROR(__xludf.DUMMYFUNCTION("""COMPUTED_VALUE"""),"FIP Engineering")</f>
        <v>FIP Engineering</v>
      </c>
      <c r="O2028" s="6" t="str">
        <f>IFERROR(__xludf.DUMMYFUNCTION("""COMPUTED_VALUE"""),"FIP-DOM-ENG-51505-0000000-INA-000000")</f>
        <v>FIP-DOM-ENG-51505-0000000-INA-000000</v>
      </c>
      <c r="P2028" s="6" t="str">
        <f>IFERROR(__xludf.DUMMYFUNCTION("""COMPUTED_VALUE"""),"PO Closed")</f>
        <v>PO Closed</v>
      </c>
      <c r="Q2028" s="6" t="str">
        <f>IFERROR(__xludf.DUMMYFUNCTION("""COMPUTED_VALUE"""),"GL2209001")</f>
        <v>GL2209001</v>
      </c>
      <c r="R2028" s="57">
        <f>IFERROR(__xludf.DUMMYFUNCTION("""COMPUTED_VALUE"""),44804.0)</f>
        <v>44804</v>
      </c>
      <c r="S2028" s="6" t="str">
        <f>IFERROR(__xludf.DUMMYFUNCTION("""COMPUTED_VALUE"""),"-")</f>
        <v>-</v>
      </c>
      <c r="T2028" s="57">
        <f>IFERROR(__xludf.DUMMYFUNCTION("""COMPUTED_VALUE"""),44827.0)</f>
        <v>44827</v>
      </c>
    </row>
    <row r="2029">
      <c r="A2029" s="6" t="str">
        <f>IFERROR(__xludf.DUMMYFUNCTION("""COMPUTED_VALUE"""),"221750422-1")</f>
        <v>221750422-1</v>
      </c>
      <c r="B2029" s="6" t="str">
        <f>IFERROR(__xludf.DUMMYFUNCTION("""COMPUTED_VALUE"""),"221750422 - Approved")</f>
        <v>221750422 - Approved</v>
      </c>
      <c r="C2029" s="6">
        <f>IFERROR(__xludf.DUMMYFUNCTION("""COMPUTED_VALUE"""),1.0)</f>
        <v>1</v>
      </c>
      <c r="D2029" s="6" t="str">
        <f>IFERROR(__xludf.DUMMYFUNCTION("""COMPUTED_VALUE"""),"P-52488-00")</f>
        <v>P-52488-00</v>
      </c>
      <c r="E2029" s="6" t="str">
        <f>IFERROR(__xludf.DUMMYFUNCTION("""COMPUTED_VALUE"""),"Clean Phone Room SHP")</f>
        <v>Clean Phone Room SHP</v>
      </c>
      <c r="F2029" s="6">
        <f>IFERROR(__xludf.DUMMYFUNCTION("""COMPUTED_VALUE"""),2.0)</f>
        <v>2</v>
      </c>
      <c r="G2029" s="6" t="str">
        <f>IFERROR(__xludf.DUMMYFUNCTION("""COMPUTED_VALUE"""),"Pieces")</f>
        <v>Pieces</v>
      </c>
      <c r="H2029" s="6" t="str">
        <f>IFERROR(__xludf.DUMMYFUNCTION("""COMPUTED_VALUE"""),"IDR")</f>
        <v>IDR</v>
      </c>
      <c r="I2029" s="6">
        <f>IFERROR(__xludf.DUMMYFUNCTION("""COMPUTED_VALUE"""),5698000.0)</f>
        <v>5698000</v>
      </c>
      <c r="J2029" s="6">
        <f>IFERROR(__xludf.DUMMYFUNCTION("""COMPUTED_VALUE"""),1.1396E7)</f>
        <v>11396000</v>
      </c>
      <c r="K2029" s="57">
        <f>IFERROR(__xludf.DUMMYFUNCTION("""COMPUTED_VALUE"""),44827.0)</f>
        <v>44827</v>
      </c>
      <c r="L2029" s="6" t="str">
        <f>IFERROR(__xludf.DUMMYFUNCTION("""COMPUTED_VALUE"""),"FIP Engineering")</f>
        <v>FIP Engineering</v>
      </c>
      <c r="M2029" s="6" t="str">
        <f>IFERROR(__xludf.DUMMYFUNCTION("""COMPUTED_VALUE"""),"Irwan Sopian")</f>
        <v>Irwan Sopian</v>
      </c>
      <c r="N2029" s="6" t="str">
        <f>IFERROR(__xludf.DUMMYFUNCTION("""COMPUTED_VALUE"""),"FIP Engineering")</f>
        <v>FIP Engineering</v>
      </c>
      <c r="O2029" s="6" t="str">
        <f>IFERROR(__xludf.DUMMYFUNCTION("""COMPUTED_VALUE"""),"FIP-DOM-000-11304-OS00001-INA-000000")</f>
        <v>FIP-DOM-000-11304-OS00001-INA-000000</v>
      </c>
      <c r="P2029" s="6" t="str">
        <f>IFERROR(__xludf.DUMMYFUNCTION("""COMPUTED_VALUE"""),"PO Closed")</f>
        <v>PO Closed</v>
      </c>
      <c r="Q2029" s="6" t="str">
        <f>IFERROR(__xludf.DUMMYFUNCTION("""COMPUTED_VALUE"""),"GL2209045")</f>
        <v>GL2209045</v>
      </c>
      <c r="R2029" s="57">
        <f>IFERROR(__xludf.DUMMYFUNCTION("""COMPUTED_VALUE"""),44804.0)</f>
        <v>44804</v>
      </c>
      <c r="S2029" s="6" t="str">
        <f>IFERROR(__xludf.DUMMYFUNCTION("""COMPUTED_VALUE"""),"-")</f>
        <v>-</v>
      </c>
      <c r="T2029" s="57">
        <f>IFERROR(__xludf.DUMMYFUNCTION("""COMPUTED_VALUE"""),44849.0)</f>
        <v>44849</v>
      </c>
    </row>
    <row r="2030">
      <c r="A2030" s="6" t="str">
        <f>IFERROR(__xludf.DUMMYFUNCTION("""COMPUTED_VALUE"""),"221750426-1")</f>
        <v>221750426-1</v>
      </c>
      <c r="B2030" s="6" t="str">
        <f>IFERROR(__xludf.DUMMYFUNCTION("""COMPUTED_VALUE"""),"221750426 - Approved")</f>
        <v>221750426 - Approved</v>
      </c>
      <c r="C2030" s="6">
        <f>IFERROR(__xludf.DUMMYFUNCTION("""COMPUTED_VALUE"""),1.0)</f>
        <v>1</v>
      </c>
      <c r="D2030" s="6" t="str">
        <f>IFERROR(__xludf.DUMMYFUNCTION("""COMPUTED_VALUE"""),"O-17535-00")</f>
        <v>O-17535-00</v>
      </c>
      <c r="E2030" s="6" t="str">
        <f>IFERROR(__xludf.DUMMYFUNCTION("""COMPUTED_VALUE"""),"Hepa-Filter, Miele PRIMA INSTRUMENT ANALITIKA, PT P/N : 10083920 pc")</f>
        <v>Hepa-Filter, Miele PRIMA INSTRUMENT ANALITIKA, PT P/N : 10083920 pc</v>
      </c>
      <c r="F2030" s="6">
        <f>IFERROR(__xludf.DUMMYFUNCTION("""COMPUTED_VALUE"""),1.0)</f>
        <v>1</v>
      </c>
      <c r="G2030" s="6" t="str">
        <f>IFERROR(__xludf.DUMMYFUNCTION("""COMPUTED_VALUE"""),"Pieces")</f>
        <v>Pieces</v>
      </c>
      <c r="H2030" s="6" t="str">
        <f>IFERROR(__xludf.DUMMYFUNCTION("""COMPUTED_VALUE"""),"IDR")</f>
        <v>IDR</v>
      </c>
      <c r="I2030" s="6">
        <f>IFERROR(__xludf.DUMMYFUNCTION("""COMPUTED_VALUE"""),2275000.0)</f>
        <v>2275000</v>
      </c>
      <c r="J2030" s="6">
        <f>IFERROR(__xludf.DUMMYFUNCTION("""COMPUTED_VALUE"""),2275000.0)</f>
        <v>2275000</v>
      </c>
      <c r="K2030" s="57">
        <f>IFERROR(__xludf.DUMMYFUNCTION("""COMPUTED_VALUE"""),44834.0)</f>
        <v>44834</v>
      </c>
      <c r="L2030" s="6" t="str">
        <f>IFERROR(__xludf.DUMMYFUNCTION("""COMPUTED_VALUE"""),"FIP Engineering")</f>
        <v>FIP Engineering</v>
      </c>
      <c r="M2030" s="6" t="str">
        <f>IFERROR(__xludf.DUMMYFUNCTION("""COMPUTED_VALUE"""),"Irwan Sopian")</f>
        <v>Irwan Sopian</v>
      </c>
      <c r="N2030" s="6" t="str">
        <f>IFERROR(__xludf.DUMMYFUNCTION("""COMPUTED_VALUE"""),"FIP Engineering")</f>
        <v>FIP Engineering</v>
      </c>
      <c r="O2030" s="6" t="str">
        <f>IFERROR(__xludf.DUMMYFUNCTION("""COMPUTED_VALUE"""),"FIP-DOM-000-11304-OS00001-INA-000000")</f>
        <v>FIP-DOM-000-11304-OS00001-INA-000000</v>
      </c>
      <c r="P2030" s="6" t="str">
        <f>IFERROR(__xludf.DUMMYFUNCTION("""COMPUTED_VALUE"""),"PO Closed")</f>
        <v>PO Closed</v>
      </c>
      <c r="Q2030" s="6" t="str">
        <f>IFERROR(__xludf.DUMMYFUNCTION("""COMPUTED_VALUE"""),"GL2209047")</f>
        <v>GL2209047</v>
      </c>
      <c r="R2030" s="57">
        <f>IFERROR(__xludf.DUMMYFUNCTION("""COMPUTED_VALUE"""),44805.0)</f>
        <v>44805</v>
      </c>
      <c r="S2030" s="6" t="str">
        <f>IFERROR(__xludf.DUMMYFUNCTION("""COMPUTED_VALUE"""),"-")</f>
        <v>-</v>
      </c>
      <c r="T2030" s="57">
        <f>IFERROR(__xludf.DUMMYFUNCTION("""COMPUTED_VALUE"""),44839.0)</f>
        <v>44839</v>
      </c>
    </row>
    <row r="2031">
      <c r="A2031" s="6" t="str">
        <f>IFERROR(__xludf.DUMMYFUNCTION("""COMPUTED_VALUE"""),"221750425-1")</f>
        <v>221750425-1</v>
      </c>
      <c r="B2031" s="6" t="str">
        <f>IFERROR(__xludf.DUMMYFUNCTION("""COMPUTED_VALUE"""),"221750425 - Approved")</f>
        <v>221750425 - Approved</v>
      </c>
      <c r="C2031" s="6">
        <f>IFERROR(__xludf.DUMMYFUNCTION("""COMPUTED_VALUE"""),1.0)</f>
        <v>1</v>
      </c>
      <c r="D2031" s="6" t="str">
        <f>IFERROR(__xludf.DUMMYFUNCTION("""COMPUTED_VALUE"""),"P-14424-00")</f>
        <v>P-14424-00</v>
      </c>
      <c r="E2031" s="6" t="str">
        <f>IFERROR(__xludf.DUMMYFUNCTION("""COMPUTED_VALUE"""),"Garam Kutreat RGN-9800F 25Kg/zak")</f>
        <v>Garam Kutreat RGN-9800F 25Kg/zak</v>
      </c>
      <c r="F2031" s="6">
        <f>IFERROR(__xludf.DUMMYFUNCTION("""COMPUTED_VALUE"""),300.0)</f>
        <v>300</v>
      </c>
      <c r="G2031" s="6" t="str">
        <f>IFERROR(__xludf.DUMMYFUNCTION("""COMPUTED_VALUE"""),"Kilogram")</f>
        <v>Kilogram</v>
      </c>
      <c r="H2031" s="6" t="str">
        <f>IFERROR(__xludf.DUMMYFUNCTION("""COMPUTED_VALUE"""),"IDR")</f>
        <v>IDR</v>
      </c>
      <c r="I2031" s="6">
        <f>IFERROR(__xludf.DUMMYFUNCTION("""COMPUTED_VALUE"""),9500.0)</f>
        <v>9500</v>
      </c>
      <c r="J2031" s="6">
        <f>IFERROR(__xludf.DUMMYFUNCTION("""COMPUTED_VALUE"""),2850000.0)</f>
        <v>2850000</v>
      </c>
      <c r="K2031" s="57">
        <f>IFERROR(__xludf.DUMMYFUNCTION("""COMPUTED_VALUE"""),44834.0)</f>
        <v>44834</v>
      </c>
      <c r="L2031" s="6" t="str">
        <f>IFERROR(__xludf.DUMMYFUNCTION("""COMPUTED_VALUE"""),"FIP Engineering")</f>
        <v>FIP Engineering</v>
      </c>
      <c r="M2031" s="6" t="str">
        <f>IFERROR(__xludf.DUMMYFUNCTION("""COMPUTED_VALUE"""),"Irwan Sopian")</f>
        <v>Irwan Sopian</v>
      </c>
      <c r="N2031" s="6" t="str">
        <f>IFERROR(__xludf.DUMMYFUNCTION("""COMPUTED_VALUE"""),"FIP Engineering")</f>
        <v>FIP Engineering</v>
      </c>
      <c r="O2031" s="6" t="str">
        <f>IFERROR(__xludf.DUMMYFUNCTION("""COMPUTED_VALUE"""),"FIP-DOM-000-11304-OS00001-INA-000000")</f>
        <v>FIP-DOM-000-11304-OS00001-INA-000000</v>
      </c>
      <c r="P2031" s="6" t="str">
        <f>IFERROR(__xludf.DUMMYFUNCTION("""COMPUTED_VALUE"""),"PO Closed")</f>
        <v>PO Closed</v>
      </c>
      <c r="Q2031" s="6" t="str">
        <f>IFERROR(__xludf.DUMMYFUNCTION("""COMPUTED_VALUE"""),"GL2209305")</f>
        <v>GL2209305</v>
      </c>
      <c r="R2031" s="57">
        <f>IFERROR(__xludf.DUMMYFUNCTION("""COMPUTED_VALUE"""),44805.0)</f>
        <v>44805</v>
      </c>
      <c r="S2031" s="6" t="str">
        <f>IFERROR(__xludf.DUMMYFUNCTION("""COMPUTED_VALUE"""),"-")</f>
        <v>-</v>
      </c>
      <c r="T2031" s="57">
        <f>IFERROR(__xludf.DUMMYFUNCTION("""COMPUTED_VALUE"""),44824.0)</f>
        <v>44824</v>
      </c>
    </row>
    <row r="2032">
      <c r="A2032" s="6" t="str">
        <f>IFERROR(__xludf.DUMMYFUNCTION("""COMPUTED_VALUE"""),"221750439-1")</f>
        <v>221750439-1</v>
      </c>
      <c r="B2032" s="6" t="str">
        <f>IFERROR(__xludf.DUMMYFUNCTION("""COMPUTED_VALUE"""),"221750439 - Approved")</f>
        <v>221750439 - Approved</v>
      </c>
      <c r="C2032" s="6">
        <f>IFERROR(__xludf.DUMMYFUNCTION("""COMPUTED_VALUE"""),1.0)</f>
        <v>1</v>
      </c>
      <c r="D2032" s="6" t="str">
        <f>IFERROR(__xludf.DUMMYFUNCTION("""COMPUTED_VALUE"""),"R-50000-00")</f>
        <v>R-50000-00</v>
      </c>
      <c r="E2032" s="6" t="str">
        <f>IFERROR(__xludf.DUMMYFUNCTION("""COMPUTED_VALUE"""),"Step Bench Uk.P 1160 L 400 T 500 mm Material SS 304 (Gowning B-On)")</f>
        <v>Step Bench Uk.P 1160 L 400 T 500 mm Material SS 304 (Gowning B-On)</v>
      </c>
      <c r="F2032" s="6">
        <f>IFERROR(__xludf.DUMMYFUNCTION("""COMPUTED_VALUE"""),1.0)</f>
        <v>1</v>
      </c>
      <c r="G2032" s="6" t="str">
        <f>IFERROR(__xludf.DUMMYFUNCTION("""COMPUTED_VALUE"""),"Unit")</f>
        <v>Unit</v>
      </c>
      <c r="H2032" s="6" t="str">
        <f>IFERROR(__xludf.DUMMYFUNCTION("""COMPUTED_VALUE"""),"IDR")</f>
        <v>IDR</v>
      </c>
      <c r="I2032" s="6">
        <f>IFERROR(__xludf.DUMMYFUNCTION("""COMPUTED_VALUE"""),7920000.0)</f>
        <v>7920000</v>
      </c>
      <c r="J2032" s="6">
        <f>IFERROR(__xludf.DUMMYFUNCTION("""COMPUTED_VALUE"""),7920000.0)</f>
        <v>7920000</v>
      </c>
      <c r="K2032" s="57">
        <f>IFERROR(__xludf.DUMMYFUNCTION("""COMPUTED_VALUE"""),44834.0)</f>
        <v>44834</v>
      </c>
      <c r="L2032" s="6" t="str">
        <f>IFERROR(__xludf.DUMMYFUNCTION("""COMPUTED_VALUE"""),"FIP General")</f>
        <v>FIP General</v>
      </c>
      <c r="M2032" s="6" t="str">
        <f>IFERROR(__xludf.DUMMYFUNCTION("""COMPUTED_VALUE"""),"Kristiawan Sakti Winarno")</f>
        <v>Kristiawan Sakti Winarno</v>
      </c>
      <c r="N2032" s="6" t="str">
        <f>IFERROR(__xludf.DUMMYFUNCTION("""COMPUTED_VALUE"""),"FIP Engineering")</f>
        <v>FIP Engineering</v>
      </c>
      <c r="O2032" s="6" t="str">
        <f>IFERROR(__xludf.DUMMYFUNCTION("""COMPUTED_VALUE"""),"FIP-DOM-ENG-13406-FRNB222-INA-000000")</f>
        <v>FIP-DOM-ENG-13406-FRNB222-INA-000000</v>
      </c>
      <c r="P2032" s="6" t="str">
        <f>IFERROR(__xludf.DUMMYFUNCTION("""COMPUTED_VALUE"""),"PO Closed")</f>
        <v>PO Closed</v>
      </c>
      <c r="Q2032" s="6" t="str">
        <f>IFERROR(__xludf.DUMMYFUNCTION("""COMPUTED_VALUE"""),"GL2209026")</f>
        <v>GL2209026</v>
      </c>
      <c r="R2032" s="57">
        <f>IFERROR(__xludf.DUMMYFUNCTION("""COMPUTED_VALUE"""),44810.0)</f>
        <v>44810</v>
      </c>
      <c r="S2032" s="6" t="str">
        <f>IFERROR(__xludf.DUMMYFUNCTION("""COMPUTED_VALUE"""),"-")</f>
        <v>-</v>
      </c>
      <c r="T2032" s="57">
        <f>IFERROR(__xludf.DUMMYFUNCTION("""COMPUTED_VALUE"""),44848.0)</f>
        <v>44848</v>
      </c>
    </row>
    <row r="2033">
      <c r="A2033" s="6" t="str">
        <f>IFERROR(__xludf.DUMMYFUNCTION("""COMPUTED_VALUE"""),"221750439-2")</f>
        <v>221750439-2</v>
      </c>
      <c r="B2033" s="6" t="str">
        <f>IFERROR(__xludf.DUMMYFUNCTION("""COMPUTED_VALUE"""),"221750439 - Approved")</f>
        <v>221750439 - Approved</v>
      </c>
      <c r="C2033" s="6">
        <f>IFERROR(__xludf.DUMMYFUNCTION("""COMPUTED_VALUE"""),2.0)</f>
        <v>2</v>
      </c>
      <c r="D2033" s="6" t="str">
        <f>IFERROR(__xludf.DUMMYFUNCTION("""COMPUTED_VALUE"""),"R-50000-00")</f>
        <v>R-50000-00</v>
      </c>
      <c r="E2033" s="6" t="str">
        <f>IFERROR(__xludf.DUMMYFUNCTION("""COMPUTED_VALUE"""),"Geser Lemari (Gowning B-On)")</f>
        <v>Geser Lemari (Gowning B-On)</v>
      </c>
      <c r="F2033" s="6">
        <f>IFERROR(__xludf.DUMMYFUNCTION("""COMPUTED_VALUE"""),1.0)</f>
        <v>1</v>
      </c>
      <c r="G2033" s="6" t="str">
        <f>IFERROR(__xludf.DUMMYFUNCTION("""COMPUTED_VALUE"""),"Unit")</f>
        <v>Unit</v>
      </c>
      <c r="H2033" s="6" t="str">
        <f>IFERROR(__xludf.DUMMYFUNCTION("""COMPUTED_VALUE"""),"IDR")</f>
        <v>IDR</v>
      </c>
      <c r="I2033" s="6">
        <f>IFERROR(__xludf.DUMMYFUNCTION("""COMPUTED_VALUE"""),1350000.0)</f>
        <v>1350000</v>
      </c>
      <c r="J2033" s="6">
        <f>IFERROR(__xludf.DUMMYFUNCTION("""COMPUTED_VALUE"""),1350000.0)</f>
        <v>1350000</v>
      </c>
      <c r="K2033" s="57">
        <f>IFERROR(__xludf.DUMMYFUNCTION("""COMPUTED_VALUE"""),44834.0)</f>
        <v>44834</v>
      </c>
      <c r="L2033" s="6" t="str">
        <f>IFERROR(__xludf.DUMMYFUNCTION("""COMPUTED_VALUE"""),"FIP General")</f>
        <v>FIP General</v>
      </c>
      <c r="M2033" s="6" t="str">
        <f>IFERROR(__xludf.DUMMYFUNCTION("""COMPUTED_VALUE"""),"Kristiawan Sakti Winarno")</f>
        <v>Kristiawan Sakti Winarno</v>
      </c>
      <c r="N2033" s="6" t="str">
        <f>IFERROR(__xludf.DUMMYFUNCTION("""COMPUTED_VALUE"""),"FIP Engineering")</f>
        <v>FIP Engineering</v>
      </c>
      <c r="O2033" s="6" t="str">
        <f>IFERROR(__xludf.DUMMYFUNCTION("""COMPUTED_VALUE"""),"FIP-DOM-ENG-13406-FRNB222-INA-000000")</f>
        <v>FIP-DOM-ENG-13406-FRNB222-INA-000000</v>
      </c>
      <c r="P2033" s="6" t="str">
        <f>IFERROR(__xludf.DUMMYFUNCTION("""COMPUTED_VALUE"""),"PO Closed")</f>
        <v>PO Closed</v>
      </c>
      <c r="Q2033" s="6" t="str">
        <f>IFERROR(__xludf.DUMMYFUNCTION("""COMPUTED_VALUE"""),"GL2209026")</f>
        <v>GL2209026</v>
      </c>
      <c r="R2033" s="57">
        <f>IFERROR(__xludf.DUMMYFUNCTION("""COMPUTED_VALUE"""),44810.0)</f>
        <v>44810</v>
      </c>
      <c r="S2033" s="6" t="str">
        <f>IFERROR(__xludf.DUMMYFUNCTION("""COMPUTED_VALUE"""),"-")</f>
        <v>-</v>
      </c>
      <c r="T2033" s="57">
        <f>IFERROR(__xludf.DUMMYFUNCTION("""COMPUTED_VALUE"""),44848.0)</f>
        <v>44848</v>
      </c>
    </row>
    <row r="2034">
      <c r="A2034" s="6" t="str">
        <f>IFERROR(__xludf.DUMMYFUNCTION("""COMPUTED_VALUE"""),"221750439-3")</f>
        <v>221750439-3</v>
      </c>
      <c r="B2034" s="6" t="str">
        <f>IFERROR(__xludf.DUMMYFUNCTION("""COMPUTED_VALUE"""),"221750439 - Approved")</f>
        <v>221750439 - Approved</v>
      </c>
      <c r="C2034" s="6">
        <f>IFERROR(__xludf.DUMMYFUNCTION("""COMPUTED_VALUE"""),3.0)</f>
        <v>3</v>
      </c>
      <c r="D2034" s="6" t="str">
        <f>IFERROR(__xludf.DUMMYFUNCTION("""COMPUTED_VALUE"""),"R-50000-00")</f>
        <v>R-50000-00</v>
      </c>
      <c r="E2034" s="6" t="str">
        <f>IFERROR(__xludf.DUMMYFUNCTION("""COMPUTED_VALUE"""),"Cover Lemari Gowning B (Cover atas,samping,bawah) Material SS304 , Finishing hairline (Gowning B-On)")</f>
        <v>Cover Lemari Gowning B (Cover atas,samping,bawah) Material SS304 , Finishing hairline (Gowning B-On)</v>
      </c>
      <c r="F2034" s="6">
        <f>IFERROR(__xludf.DUMMYFUNCTION("""COMPUTED_VALUE"""),1.0)</f>
        <v>1</v>
      </c>
      <c r="G2034" s="6" t="str">
        <f>IFERROR(__xludf.DUMMYFUNCTION("""COMPUTED_VALUE"""),"Unit")</f>
        <v>Unit</v>
      </c>
      <c r="H2034" s="6" t="str">
        <f>IFERROR(__xludf.DUMMYFUNCTION("""COMPUTED_VALUE"""),"IDR")</f>
        <v>IDR</v>
      </c>
      <c r="I2034" s="6">
        <f>IFERROR(__xludf.DUMMYFUNCTION("""COMPUTED_VALUE"""),5220000.0)</f>
        <v>5220000</v>
      </c>
      <c r="J2034" s="6">
        <f>IFERROR(__xludf.DUMMYFUNCTION("""COMPUTED_VALUE"""),5220000.0)</f>
        <v>5220000</v>
      </c>
      <c r="K2034" s="57">
        <f>IFERROR(__xludf.DUMMYFUNCTION("""COMPUTED_VALUE"""),44834.0)</f>
        <v>44834</v>
      </c>
      <c r="L2034" s="6" t="str">
        <f>IFERROR(__xludf.DUMMYFUNCTION("""COMPUTED_VALUE"""),"FIP General")</f>
        <v>FIP General</v>
      </c>
      <c r="M2034" s="6" t="str">
        <f>IFERROR(__xludf.DUMMYFUNCTION("""COMPUTED_VALUE"""),"Kristiawan Sakti Winarno")</f>
        <v>Kristiawan Sakti Winarno</v>
      </c>
      <c r="N2034" s="6" t="str">
        <f>IFERROR(__xludf.DUMMYFUNCTION("""COMPUTED_VALUE"""),"FIP Engineering")</f>
        <v>FIP Engineering</v>
      </c>
      <c r="O2034" s="6" t="str">
        <f>IFERROR(__xludf.DUMMYFUNCTION("""COMPUTED_VALUE"""),"FIP-DOM-ENG-13406-FRNB222-INA-000000")</f>
        <v>FIP-DOM-ENG-13406-FRNB222-INA-000000</v>
      </c>
      <c r="P2034" s="6" t="str">
        <f>IFERROR(__xludf.DUMMYFUNCTION("""COMPUTED_VALUE"""),"PO Closed")</f>
        <v>PO Closed</v>
      </c>
      <c r="Q2034" s="6" t="str">
        <f>IFERROR(__xludf.DUMMYFUNCTION("""COMPUTED_VALUE"""),"GL2209026")</f>
        <v>GL2209026</v>
      </c>
      <c r="R2034" s="57">
        <f>IFERROR(__xludf.DUMMYFUNCTION("""COMPUTED_VALUE"""),44810.0)</f>
        <v>44810</v>
      </c>
      <c r="S2034" s="6" t="str">
        <f>IFERROR(__xludf.DUMMYFUNCTION("""COMPUTED_VALUE"""),"-")</f>
        <v>-</v>
      </c>
      <c r="T2034" s="57">
        <f>IFERROR(__xludf.DUMMYFUNCTION("""COMPUTED_VALUE"""),44848.0)</f>
        <v>44848</v>
      </c>
    </row>
    <row r="2035">
      <c r="A2035" s="6" t="str">
        <f>IFERROR(__xludf.DUMMYFUNCTION("""COMPUTED_VALUE"""),"221750439-4")</f>
        <v>221750439-4</v>
      </c>
      <c r="B2035" s="6" t="str">
        <f>IFERROR(__xludf.DUMMYFUNCTION("""COMPUTED_VALUE"""),"221750439 - Approved")</f>
        <v>221750439 - Approved</v>
      </c>
      <c r="C2035" s="6">
        <f>IFERROR(__xludf.DUMMYFUNCTION("""COMPUTED_VALUE"""),4.0)</f>
        <v>4</v>
      </c>
      <c r="D2035" s="6" t="str">
        <f>IFERROR(__xludf.DUMMYFUNCTION("""COMPUTED_VALUE"""),"R-50000-00")</f>
        <v>R-50000-00</v>
      </c>
      <c r="E2035" s="6" t="str">
        <f>IFERROR(__xludf.DUMMYFUNCTION("""COMPUTED_VALUE"""),"Shoes Barrier Uk. P 1315 mm L 300 T 150 mm Material SS 304, Finishing hairline (Gowning C Autoclave)")</f>
        <v>Shoes Barrier Uk. P 1315 mm L 300 T 150 mm Material SS 304, Finishing hairline (Gowning C Autoclave)</v>
      </c>
      <c r="F2035" s="6">
        <f>IFERROR(__xludf.DUMMYFUNCTION("""COMPUTED_VALUE"""),1.0)</f>
        <v>1</v>
      </c>
      <c r="G2035" s="6" t="str">
        <f>IFERROR(__xludf.DUMMYFUNCTION("""COMPUTED_VALUE"""),"Unit")</f>
        <v>Unit</v>
      </c>
      <c r="H2035" s="6" t="str">
        <f>IFERROR(__xludf.DUMMYFUNCTION("""COMPUTED_VALUE"""),"IDR")</f>
        <v>IDR</v>
      </c>
      <c r="I2035" s="6">
        <f>IFERROR(__xludf.DUMMYFUNCTION("""COMPUTED_VALUE"""),7920000.0)</f>
        <v>7920000</v>
      </c>
      <c r="J2035" s="6">
        <f>IFERROR(__xludf.DUMMYFUNCTION("""COMPUTED_VALUE"""),7920000.0)</f>
        <v>7920000</v>
      </c>
      <c r="K2035" s="57">
        <f>IFERROR(__xludf.DUMMYFUNCTION("""COMPUTED_VALUE"""),44834.0)</f>
        <v>44834</v>
      </c>
      <c r="L2035" s="6" t="str">
        <f>IFERROR(__xludf.DUMMYFUNCTION("""COMPUTED_VALUE"""),"FIP General")</f>
        <v>FIP General</v>
      </c>
      <c r="M2035" s="6" t="str">
        <f>IFERROR(__xludf.DUMMYFUNCTION("""COMPUTED_VALUE"""),"Kristiawan Sakti Winarno")</f>
        <v>Kristiawan Sakti Winarno</v>
      </c>
      <c r="N2035" s="6" t="str">
        <f>IFERROR(__xludf.DUMMYFUNCTION("""COMPUTED_VALUE"""),"FIP Engineering")</f>
        <v>FIP Engineering</v>
      </c>
      <c r="O2035" s="6" t="str">
        <f>IFERROR(__xludf.DUMMYFUNCTION("""COMPUTED_VALUE"""),"FIP-DOM-ENG-13406-FRNB222-INA-000000")</f>
        <v>FIP-DOM-ENG-13406-FRNB222-INA-000000</v>
      </c>
      <c r="P2035" s="6" t="str">
        <f>IFERROR(__xludf.DUMMYFUNCTION("""COMPUTED_VALUE"""),"PO Closed")</f>
        <v>PO Closed</v>
      </c>
      <c r="Q2035" s="6" t="str">
        <f>IFERROR(__xludf.DUMMYFUNCTION("""COMPUTED_VALUE"""),"GL2209026")</f>
        <v>GL2209026</v>
      </c>
      <c r="R2035" s="57">
        <f>IFERROR(__xludf.DUMMYFUNCTION("""COMPUTED_VALUE"""),44810.0)</f>
        <v>44810</v>
      </c>
      <c r="S2035" s="6" t="str">
        <f>IFERROR(__xludf.DUMMYFUNCTION("""COMPUTED_VALUE"""),"-")</f>
        <v>-</v>
      </c>
      <c r="T2035" s="57">
        <f>IFERROR(__xludf.DUMMYFUNCTION("""COMPUTED_VALUE"""),44848.0)</f>
        <v>44848</v>
      </c>
    </row>
    <row r="2036">
      <c r="A2036" s="6" t="str">
        <f>IFERROR(__xludf.DUMMYFUNCTION("""COMPUTED_VALUE"""),"221750439-5")</f>
        <v>221750439-5</v>
      </c>
      <c r="B2036" s="6" t="str">
        <f>IFERROR(__xludf.DUMMYFUNCTION("""COMPUTED_VALUE"""),"221750439 - Approved")</f>
        <v>221750439 - Approved</v>
      </c>
      <c r="C2036" s="6">
        <f>IFERROR(__xludf.DUMMYFUNCTION("""COMPUTED_VALUE"""),5.0)</f>
        <v>5</v>
      </c>
      <c r="D2036" s="6" t="str">
        <f>IFERROR(__xludf.DUMMYFUNCTION("""COMPUTED_VALUE"""),"R-50000-00")</f>
        <v>R-50000-00</v>
      </c>
      <c r="E2036" s="6" t="str">
        <f>IFERROR(__xludf.DUMMYFUNCTION("""COMPUTED_VALUE"""),"Bongkar Bench Lama (Yang Kecil) dan Sambung Bench Baru P 1315 mm (Sehingga Panjang Bench Menjadi 3625 mm (Gowning C Autoclave)")</f>
        <v>Bongkar Bench Lama (Yang Kecil) dan Sambung Bench Baru P 1315 mm (Sehingga Panjang Bench Menjadi 3625 mm (Gowning C Autoclave)</v>
      </c>
      <c r="F2036" s="6">
        <f>IFERROR(__xludf.DUMMYFUNCTION("""COMPUTED_VALUE"""),1.0)</f>
        <v>1</v>
      </c>
      <c r="G2036" s="6" t="str">
        <f>IFERROR(__xludf.DUMMYFUNCTION("""COMPUTED_VALUE"""),"Unit")</f>
        <v>Unit</v>
      </c>
      <c r="H2036" s="6" t="str">
        <f>IFERROR(__xludf.DUMMYFUNCTION("""COMPUTED_VALUE"""),"IDR")</f>
        <v>IDR</v>
      </c>
      <c r="I2036" s="6">
        <f>IFERROR(__xludf.DUMMYFUNCTION("""COMPUTED_VALUE"""),2655000.0)</f>
        <v>2655000</v>
      </c>
      <c r="J2036" s="6">
        <f>IFERROR(__xludf.DUMMYFUNCTION("""COMPUTED_VALUE"""),2655000.0)</f>
        <v>2655000</v>
      </c>
      <c r="K2036" s="57">
        <f>IFERROR(__xludf.DUMMYFUNCTION("""COMPUTED_VALUE"""),44834.0)</f>
        <v>44834</v>
      </c>
      <c r="L2036" s="6" t="str">
        <f>IFERROR(__xludf.DUMMYFUNCTION("""COMPUTED_VALUE"""),"FIP General")</f>
        <v>FIP General</v>
      </c>
      <c r="M2036" s="6" t="str">
        <f>IFERROR(__xludf.DUMMYFUNCTION("""COMPUTED_VALUE"""),"Kristiawan Sakti Winarno")</f>
        <v>Kristiawan Sakti Winarno</v>
      </c>
      <c r="N2036" s="6" t="str">
        <f>IFERROR(__xludf.DUMMYFUNCTION("""COMPUTED_VALUE"""),"FIP Engineering")</f>
        <v>FIP Engineering</v>
      </c>
      <c r="O2036" s="6" t="str">
        <f>IFERROR(__xludf.DUMMYFUNCTION("""COMPUTED_VALUE"""),"FIP-DOM-ENG-13406-FRNB222-INA-000000")</f>
        <v>FIP-DOM-ENG-13406-FRNB222-INA-000000</v>
      </c>
      <c r="P2036" s="6" t="str">
        <f>IFERROR(__xludf.DUMMYFUNCTION("""COMPUTED_VALUE"""),"PO Closed")</f>
        <v>PO Closed</v>
      </c>
      <c r="Q2036" s="6" t="str">
        <f>IFERROR(__xludf.DUMMYFUNCTION("""COMPUTED_VALUE"""),"GL2209026")</f>
        <v>GL2209026</v>
      </c>
      <c r="R2036" s="57">
        <f>IFERROR(__xludf.DUMMYFUNCTION("""COMPUTED_VALUE"""),44810.0)</f>
        <v>44810</v>
      </c>
      <c r="S2036" s="6" t="str">
        <f>IFERROR(__xludf.DUMMYFUNCTION("""COMPUTED_VALUE"""),"-")</f>
        <v>-</v>
      </c>
      <c r="T2036" s="57">
        <f>IFERROR(__xludf.DUMMYFUNCTION("""COMPUTED_VALUE"""),44848.0)</f>
        <v>44848</v>
      </c>
    </row>
    <row r="2037">
      <c r="A2037" s="6" t="str">
        <f>IFERROR(__xludf.DUMMYFUNCTION("""COMPUTED_VALUE"""),"221750439-6")</f>
        <v>221750439-6</v>
      </c>
      <c r="B2037" s="6" t="str">
        <f>IFERROR(__xludf.DUMMYFUNCTION("""COMPUTED_VALUE"""),"221750439 - Approved")</f>
        <v>221750439 - Approved</v>
      </c>
      <c r="C2037" s="6">
        <f>IFERROR(__xludf.DUMMYFUNCTION("""COMPUTED_VALUE"""),6.0)</f>
        <v>6</v>
      </c>
      <c r="D2037" s="6" t="str">
        <f>IFERROR(__xludf.DUMMYFUNCTION("""COMPUTED_VALUE"""),"R-50000-00")</f>
        <v>R-50000-00</v>
      </c>
      <c r="E2037" s="6" t="str">
        <f>IFERROR(__xludf.DUMMYFUNCTION("""COMPUTED_VALUE"""),"Lemari Baju Uk. P 750 L 350 T 2800 mm Material SS 304, Finishing hairline (Gowning C Autoclave)")</f>
        <v>Lemari Baju Uk. P 750 L 350 T 2800 mm Material SS 304, Finishing hairline (Gowning C Autoclave)</v>
      </c>
      <c r="F2037" s="6">
        <f>IFERROR(__xludf.DUMMYFUNCTION("""COMPUTED_VALUE"""),1.0)</f>
        <v>1</v>
      </c>
      <c r="G2037" s="6" t="str">
        <f>IFERROR(__xludf.DUMMYFUNCTION("""COMPUTED_VALUE"""),"Unit")</f>
        <v>Unit</v>
      </c>
      <c r="H2037" s="6" t="str">
        <f>IFERROR(__xludf.DUMMYFUNCTION("""COMPUTED_VALUE"""),"IDR")</f>
        <v>IDR</v>
      </c>
      <c r="I2037" s="6">
        <f>IFERROR(__xludf.DUMMYFUNCTION("""COMPUTED_VALUE"""),1.62E7)</f>
        <v>16200000</v>
      </c>
      <c r="J2037" s="6">
        <f>IFERROR(__xludf.DUMMYFUNCTION("""COMPUTED_VALUE"""),1.62E7)</f>
        <v>16200000</v>
      </c>
      <c r="K2037" s="57">
        <f>IFERROR(__xludf.DUMMYFUNCTION("""COMPUTED_VALUE"""),44834.0)</f>
        <v>44834</v>
      </c>
      <c r="L2037" s="6" t="str">
        <f>IFERROR(__xludf.DUMMYFUNCTION("""COMPUTED_VALUE"""),"FIP General")</f>
        <v>FIP General</v>
      </c>
      <c r="M2037" s="6" t="str">
        <f>IFERROR(__xludf.DUMMYFUNCTION("""COMPUTED_VALUE"""),"Kristiawan Sakti Winarno")</f>
        <v>Kristiawan Sakti Winarno</v>
      </c>
      <c r="N2037" s="6" t="str">
        <f>IFERROR(__xludf.DUMMYFUNCTION("""COMPUTED_VALUE"""),"FIP Engineering")</f>
        <v>FIP Engineering</v>
      </c>
      <c r="O2037" s="6" t="str">
        <f>IFERROR(__xludf.DUMMYFUNCTION("""COMPUTED_VALUE"""),"FIP-DOM-ENG-13406-FRNB222-INA-000000")</f>
        <v>FIP-DOM-ENG-13406-FRNB222-INA-000000</v>
      </c>
      <c r="P2037" s="6" t="str">
        <f>IFERROR(__xludf.DUMMYFUNCTION("""COMPUTED_VALUE"""),"PO Closed")</f>
        <v>PO Closed</v>
      </c>
      <c r="Q2037" s="6" t="str">
        <f>IFERROR(__xludf.DUMMYFUNCTION("""COMPUTED_VALUE"""),"GL2209026")</f>
        <v>GL2209026</v>
      </c>
      <c r="R2037" s="57">
        <f>IFERROR(__xludf.DUMMYFUNCTION("""COMPUTED_VALUE"""),44810.0)</f>
        <v>44810</v>
      </c>
      <c r="S2037" s="6" t="str">
        <f>IFERROR(__xludf.DUMMYFUNCTION("""COMPUTED_VALUE"""),"-")</f>
        <v>-</v>
      </c>
      <c r="T2037" s="57">
        <f>IFERROR(__xludf.DUMMYFUNCTION("""COMPUTED_VALUE"""),44848.0)</f>
        <v>44848</v>
      </c>
    </row>
    <row r="2038">
      <c r="A2038" s="6" t="str">
        <f>IFERROR(__xludf.DUMMYFUNCTION("""COMPUTED_VALUE"""),"221750439-7")</f>
        <v>221750439-7</v>
      </c>
      <c r="B2038" s="6" t="str">
        <f>IFERROR(__xludf.DUMMYFUNCTION("""COMPUTED_VALUE"""),"221750439 - Approved")</f>
        <v>221750439 - Approved</v>
      </c>
      <c r="C2038" s="6">
        <f>IFERROR(__xludf.DUMMYFUNCTION("""COMPUTED_VALUE"""),7.0)</f>
        <v>7</v>
      </c>
      <c r="D2038" s="6" t="str">
        <f>IFERROR(__xludf.DUMMYFUNCTION("""COMPUTED_VALUE"""),"R-50000-00")</f>
        <v>R-50000-00</v>
      </c>
      <c r="E2038" s="6" t="str">
        <f>IFERROR(__xludf.DUMMYFUNCTION("""COMPUTED_VALUE"""),"Lemari Sepatu Baru UK. P 1000 L 350 T 915 mm Material SS 304, Finishing hairline (Gowning C Autoclave)")</f>
        <v>Lemari Sepatu Baru UK. P 1000 L 350 T 915 mm Material SS 304, Finishing hairline (Gowning C Autoclave)</v>
      </c>
      <c r="F2038" s="6">
        <f>IFERROR(__xludf.DUMMYFUNCTION("""COMPUTED_VALUE"""),1.0)</f>
        <v>1</v>
      </c>
      <c r="G2038" s="6" t="str">
        <f>IFERROR(__xludf.DUMMYFUNCTION("""COMPUTED_VALUE"""),"Unit")</f>
        <v>Unit</v>
      </c>
      <c r="H2038" s="6" t="str">
        <f>IFERROR(__xludf.DUMMYFUNCTION("""COMPUTED_VALUE"""),"IDR")</f>
        <v>IDR</v>
      </c>
      <c r="I2038" s="6">
        <f>IFERROR(__xludf.DUMMYFUNCTION("""COMPUTED_VALUE"""),1.17E7)</f>
        <v>11700000</v>
      </c>
      <c r="J2038" s="6">
        <f>IFERROR(__xludf.DUMMYFUNCTION("""COMPUTED_VALUE"""),1.17E7)</f>
        <v>11700000</v>
      </c>
      <c r="K2038" s="57">
        <f>IFERROR(__xludf.DUMMYFUNCTION("""COMPUTED_VALUE"""),44834.0)</f>
        <v>44834</v>
      </c>
      <c r="L2038" s="6" t="str">
        <f>IFERROR(__xludf.DUMMYFUNCTION("""COMPUTED_VALUE"""),"FIP General")</f>
        <v>FIP General</v>
      </c>
      <c r="M2038" s="6" t="str">
        <f>IFERROR(__xludf.DUMMYFUNCTION("""COMPUTED_VALUE"""),"Kristiawan Sakti Winarno")</f>
        <v>Kristiawan Sakti Winarno</v>
      </c>
      <c r="N2038" s="6" t="str">
        <f>IFERROR(__xludf.DUMMYFUNCTION("""COMPUTED_VALUE"""),"FIP Engineering")</f>
        <v>FIP Engineering</v>
      </c>
      <c r="O2038" s="6" t="str">
        <f>IFERROR(__xludf.DUMMYFUNCTION("""COMPUTED_VALUE"""),"FIP-DOM-ENG-13406-FRNB222-INA-000000")</f>
        <v>FIP-DOM-ENG-13406-FRNB222-INA-000000</v>
      </c>
      <c r="P2038" s="6" t="str">
        <f>IFERROR(__xludf.DUMMYFUNCTION("""COMPUTED_VALUE"""),"PO Closed")</f>
        <v>PO Closed</v>
      </c>
      <c r="Q2038" s="6" t="str">
        <f>IFERROR(__xludf.DUMMYFUNCTION("""COMPUTED_VALUE"""),"GL2209026")</f>
        <v>GL2209026</v>
      </c>
      <c r="R2038" s="57">
        <f>IFERROR(__xludf.DUMMYFUNCTION("""COMPUTED_VALUE"""),44810.0)</f>
        <v>44810</v>
      </c>
      <c r="S2038" s="6" t="str">
        <f>IFERROR(__xludf.DUMMYFUNCTION("""COMPUTED_VALUE"""),"-")</f>
        <v>-</v>
      </c>
      <c r="T2038" s="57">
        <f>IFERROR(__xludf.DUMMYFUNCTION("""COMPUTED_VALUE"""),44848.0)</f>
        <v>44848</v>
      </c>
    </row>
    <row r="2039">
      <c r="A2039" s="6" t="str">
        <f>IFERROR(__xludf.DUMMYFUNCTION("""COMPUTED_VALUE"""),"221750439-8")</f>
        <v>221750439-8</v>
      </c>
      <c r="B2039" s="6" t="str">
        <f>IFERROR(__xludf.DUMMYFUNCTION("""COMPUTED_VALUE"""),"221750439 - Approved")</f>
        <v>221750439 - Approved</v>
      </c>
      <c r="C2039" s="6">
        <f>IFERROR(__xludf.DUMMYFUNCTION("""COMPUTED_VALUE"""),8.0)</f>
        <v>8</v>
      </c>
      <c r="D2039" s="6" t="str">
        <f>IFERROR(__xludf.DUMMYFUNCTION("""COMPUTED_VALUE"""),"R-50000-00")</f>
        <v>R-50000-00</v>
      </c>
      <c r="E2039" s="6" t="str">
        <f>IFERROR(__xludf.DUMMYFUNCTION("""COMPUTED_VALUE"""),"Relokasi Rak Sepatu Lama ke area Class D (Gowning C Autoclave)")</f>
        <v>Relokasi Rak Sepatu Lama ke area Class D (Gowning C Autoclave)</v>
      </c>
      <c r="F2039" s="6">
        <f>IFERROR(__xludf.DUMMYFUNCTION("""COMPUTED_VALUE"""),1.0)</f>
        <v>1</v>
      </c>
      <c r="G2039" s="6" t="str">
        <f>IFERROR(__xludf.DUMMYFUNCTION("""COMPUTED_VALUE"""),"Unit")</f>
        <v>Unit</v>
      </c>
      <c r="H2039" s="6" t="str">
        <f>IFERROR(__xludf.DUMMYFUNCTION("""COMPUTED_VALUE"""),"IDR")</f>
        <v>IDR</v>
      </c>
      <c r="I2039" s="6">
        <f>IFERROR(__xludf.DUMMYFUNCTION("""COMPUTED_VALUE"""),1620000.0)</f>
        <v>1620000</v>
      </c>
      <c r="J2039" s="6">
        <f>IFERROR(__xludf.DUMMYFUNCTION("""COMPUTED_VALUE"""),1620000.0)</f>
        <v>1620000</v>
      </c>
      <c r="K2039" s="57">
        <f>IFERROR(__xludf.DUMMYFUNCTION("""COMPUTED_VALUE"""),44834.0)</f>
        <v>44834</v>
      </c>
      <c r="L2039" s="6" t="str">
        <f>IFERROR(__xludf.DUMMYFUNCTION("""COMPUTED_VALUE"""),"FIP General")</f>
        <v>FIP General</v>
      </c>
      <c r="M2039" s="6" t="str">
        <f>IFERROR(__xludf.DUMMYFUNCTION("""COMPUTED_VALUE"""),"Kristiawan Sakti Winarno")</f>
        <v>Kristiawan Sakti Winarno</v>
      </c>
      <c r="N2039" s="6" t="str">
        <f>IFERROR(__xludf.DUMMYFUNCTION("""COMPUTED_VALUE"""),"FIP Engineering")</f>
        <v>FIP Engineering</v>
      </c>
      <c r="O2039" s="6" t="str">
        <f>IFERROR(__xludf.DUMMYFUNCTION("""COMPUTED_VALUE"""),"FIP-DOM-ENG-13406-FRNB222-INA-000000")</f>
        <v>FIP-DOM-ENG-13406-FRNB222-INA-000000</v>
      </c>
      <c r="P2039" s="6" t="str">
        <f>IFERROR(__xludf.DUMMYFUNCTION("""COMPUTED_VALUE"""),"PO Closed")</f>
        <v>PO Closed</v>
      </c>
      <c r="Q2039" s="6" t="str">
        <f>IFERROR(__xludf.DUMMYFUNCTION("""COMPUTED_VALUE"""),"GL2209026")</f>
        <v>GL2209026</v>
      </c>
      <c r="R2039" s="57">
        <f>IFERROR(__xludf.DUMMYFUNCTION("""COMPUTED_VALUE"""),44810.0)</f>
        <v>44810</v>
      </c>
      <c r="S2039" s="6" t="str">
        <f>IFERROR(__xludf.DUMMYFUNCTION("""COMPUTED_VALUE"""),"-")</f>
        <v>-</v>
      </c>
      <c r="T2039" s="57">
        <f>IFERROR(__xludf.DUMMYFUNCTION("""COMPUTED_VALUE"""),44848.0)</f>
        <v>44848</v>
      </c>
    </row>
    <row r="2040">
      <c r="A2040" s="6" t="str">
        <f>IFERROR(__xludf.DUMMYFUNCTION("""COMPUTED_VALUE"""),"221750439-9")</f>
        <v>221750439-9</v>
      </c>
      <c r="B2040" s="6" t="str">
        <f>IFERROR(__xludf.DUMMYFUNCTION("""COMPUTED_VALUE"""),"221750439 - Approved")</f>
        <v>221750439 - Approved</v>
      </c>
      <c r="C2040" s="6">
        <f>IFERROR(__xludf.DUMMYFUNCTION("""COMPUTED_VALUE"""),9.0)</f>
        <v>9</v>
      </c>
      <c r="D2040" s="6" t="str">
        <f>IFERROR(__xludf.DUMMYFUNCTION("""COMPUTED_VALUE"""),"R-50000-00")</f>
        <v>R-50000-00</v>
      </c>
      <c r="E2040" s="6" t="str">
        <f>IFERROR(__xludf.DUMMYFUNCTION("""COMPUTED_VALUE"""),"Rak Sepatu Mixing &amp; SND2 Material SS 304, Finishing hairline (Gowning C Mixing &amp; SND2)")</f>
        <v>Rak Sepatu Mixing &amp; SND2 Material SS 304, Finishing hairline (Gowning C Mixing &amp; SND2)</v>
      </c>
      <c r="F2040" s="6">
        <f>IFERROR(__xludf.DUMMYFUNCTION("""COMPUTED_VALUE"""),2.0)</f>
        <v>2</v>
      </c>
      <c r="G2040" s="6" t="str">
        <f>IFERROR(__xludf.DUMMYFUNCTION("""COMPUTED_VALUE"""),"Unit")</f>
        <v>Unit</v>
      </c>
      <c r="H2040" s="6" t="str">
        <f>IFERROR(__xludf.DUMMYFUNCTION("""COMPUTED_VALUE"""),"IDR")</f>
        <v>IDR</v>
      </c>
      <c r="I2040" s="6">
        <f>IFERROR(__xludf.DUMMYFUNCTION("""COMPUTED_VALUE"""),1.647E7)</f>
        <v>16470000</v>
      </c>
      <c r="J2040" s="6">
        <f>IFERROR(__xludf.DUMMYFUNCTION("""COMPUTED_VALUE"""),3.294E7)</f>
        <v>32940000</v>
      </c>
      <c r="K2040" s="57">
        <f>IFERROR(__xludf.DUMMYFUNCTION("""COMPUTED_VALUE"""),44834.0)</f>
        <v>44834</v>
      </c>
      <c r="L2040" s="6" t="str">
        <f>IFERROR(__xludf.DUMMYFUNCTION("""COMPUTED_VALUE"""),"FIP General")</f>
        <v>FIP General</v>
      </c>
      <c r="M2040" s="6" t="str">
        <f>IFERROR(__xludf.DUMMYFUNCTION("""COMPUTED_VALUE"""),"Kristiawan Sakti Winarno")</f>
        <v>Kristiawan Sakti Winarno</v>
      </c>
      <c r="N2040" s="6" t="str">
        <f>IFERROR(__xludf.DUMMYFUNCTION("""COMPUTED_VALUE"""),"FIP Engineering")</f>
        <v>FIP Engineering</v>
      </c>
      <c r="O2040" s="6" t="str">
        <f>IFERROR(__xludf.DUMMYFUNCTION("""COMPUTED_VALUE"""),"FIP-DOM-ENG-13406-FRNB222-INA-000000")</f>
        <v>FIP-DOM-ENG-13406-FRNB222-INA-000000</v>
      </c>
      <c r="P2040" s="6" t="str">
        <f>IFERROR(__xludf.DUMMYFUNCTION("""COMPUTED_VALUE"""),"PO Closed")</f>
        <v>PO Closed</v>
      </c>
      <c r="Q2040" s="6" t="str">
        <f>IFERROR(__xludf.DUMMYFUNCTION("""COMPUTED_VALUE"""),"GL2209026")</f>
        <v>GL2209026</v>
      </c>
      <c r="R2040" s="57">
        <f>IFERROR(__xludf.DUMMYFUNCTION("""COMPUTED_VALUE"""),44810.0)</f>
        <v>44810</v>
      </c>
      <c r="S2040" s="6" t="str">
        <f>IFERROR(__xludf.DUMMYFUNCTION("""COMPUTED_VALUE"""),"-")</f>
        <v>-</v>
      </c>
      <c r="T2040" s="57">
        <f>IFERROR(__xludf.DUMMYFUNCTION("""COMPUTED_VALUE"""),44848.0)</f>
        <v>44848</v>
      </c>
    </row>
    <row r="2041">
      <c r="A2041" s="6" t="str">
        <f>IFERROR(__xludf.DUMMYFUNCTION("""COMPUTED_VALUE"""),"221750439-10")</f>
        <v>221750439-10</v>
      </c>
      <c r="B2041" s="6" t="str">
        <f>IFERROR(__xludf.DUMMYFUNCTION("""COMPUTED_VALUE"""),"221750439 - Approved")</f>
        <v>221750439 - Approved</v>
      </c>
      <c r="C2041" s="6">
        <f>IFERROR(__xludf.DUMMYFUNCTION("""COMPUTED_VALUE"""),10.0)</f>
        <v>10</v>
      </c>
      <c r="D2041" s="6" t="str">
        <f>IFERROR(__xludf.DUMMYFUNCTION("""COMPUTED_VALUE"""),"R-50000-00")</f>
        <v>R-50000-00</v>
      </c>
      <c r="E2041" s="6" t="str">
        <f>IFERROR(__xludf.DUMMYFUNCTION("""COMPUTED_VALUE"""),"Relokasi Lemari Baju Kotor+ Cover Samping Agar Rata Depan Antara Shoes Stroge dan Lemari Baju Kotor")</f>
        <v>Relokasi Lemari Baju Kotor+ Cover Samping Agar Rata Depan Antara Shoes Stroge dan Lemari Baju Kotor</v>
      </c>
      <c r="F2041" s="6">
        <f>IFERROR(__xludf.DUMMYFUNCTION("""COMPUTED_VALUE"""),1.0)</f>
        <v>1</v>
      </c>
      <c r="G2041" s="6" t="str">
        <f>IFERROR(__xludf.DUMMYFUNCTION("""COMPUTED_VALUE"""),"Unit")</f>
        <v>Unit</v>
      </c>
      <c r="H2041" s="6" t="str">
        <f>IFERROR(__xludf.DUMMYFUNCTION("""COMPUTED_VALUE"""),"IDR")</f>
        <v>IDR</v>
      </c>
      <c r="I2041" s="6">
        <f>IFERROR(__xludf.DUMMYFUNCTION("""COMPUTED_VALUE"""),4320000.0)</f>
        <v>4320000</v>
      </c>
      <c r="J2041" s="6">
        <f>IFERROR(__xludf.DUMMYFUNCTION("""COMPUTED_VALUE"""),4320000.0)</f>
        <v>4320000</v>
      </c>
      <c r="K2041" s="57">
        <f>IFERROR(__xludf.DUMMYFUNCTION("""COMPUTED_VALUE"""),44834.0)</f>
        <v>44834</v>
      </c>
      <c r="L2041" s="6" t="str">
        <f>IFERROR(__xludf.DUMMYFUNCTION("""COMPUTED_VALUE"""),"FIP General")</f>
        <v>FIP General</v>
      </c>
      <c r="M2041" s="6" t="str">
        <f>IFERROR(__xludf.DUMMYFUNCTION("""COMPUTED_VALUE"""),"Kristiawan Sakti Winarno")</f>
        <v>Kristiawan Sakti Winarno</v>
      </c>
      <c r="N2041" s="6" t="str">
        <f>IFERROR(__xludf.DUMMYFUNCTION("""COMPUTED_VALUE"""),"FIP Engineering")</f>
        <v>FIP Engineering</v>
      </c>
      <c r="O2041" s="6" t="str">
        <f>IFERROR(__xludf.DUMMYFUNCTION("""COMPUTED_VALUE"""),"FIP-DOM-ENG-13406-FRNB222-INA-000000")</f>
        <v>FIP-DOM-ENG-13406-FRNB222-INA-000000</v>
      </c>
      <c r="P2041" s="6" t="str">
        <f>IFERROR(__xludf.DUMMYFUNCTION("""COMPUTED_VALUE"""),"PO Closed")</f>
        <v>PO Closed</v>
      </c>
      <c r="Q2041" s="6" t="str">
        <f>IFERROR(__xludf.DUMMYFUNCTION("""COMPUTED_VALUE"""),"GL2209026")</f>
        <v>GL2209026</v>
      </c>
      <c r="R2041" s="57">
        <f>IFERROR(__xludf.DUMMYFUNCTION("""COMPUTED_VALUE"""),44810.0)</f>
        <v>44810</v>
      </c>
      <c r="S2041" s="6" t="str">
        <f>IFERROR(__xludf.DUMMYFUNCTION("""COMPUTED_VALUE"""),"-")</f>
        <v>-</v>
      </c>
      <c r="T2041" s="57">
        <f>IFERROR(__xludf.DUMMYFUNCTION("""COMPUTED_VALUE"""),44848.0)</f>
        <v>44848</v>
      </c>
    </row>
    <row r="2042">
      <c r="A2042" s="6" t="str">
        <f>IFERROR(__xludf.DUMMYFUNCTION("""COMPUTED_VALUE"""),"221750438-1")</f>
        <v>221750438-1</v>
      </c>
      <c r="B2042" s="6" t="str">
        <f>IFERROR(__xludf.DUMMYFUNCTION("""COMPUTED_VALUE"""),"221750438 - Approved")</f>
        <v>221750438 - Approved</v>
      </c>
      <c r="C2042" s="6">
        <f>IFERROR(__xludf.DUMMYFUNCTION("""COMPUTED_VALUE"""),1.0)</f>
        <v>1</v>
      </c>
      <c r="D2042" s="6" t="str">
        <f>IFERROR(__xludf.DUMMYFUNCTION("""COMPUTED_VALUE"""),"R-50000-00")</f>
        <v>R-50000-00</v>
      </c>
      <c r="E2042" s="6" t="str">
        <f>IFERROR(__xludf.DUMMYFUNCTION("""COMPUTED_VALUE"""),"Cabinet Uniform Lt2 1500 x 600 x 2800")</f>
        <v>Cabinet Uniform Lt2 1500 x 600 x 2800</v>
      </c>
      <c r="F2042" s="6">
        <f>IFERROR(__xludf.DUMMYFUNCTION("""COMPUTED_VALUE"""),3.0)</f>
        <v>3</v>
      </c>
      <c r="G2042" s="6" t="str">
        <f>IFERROR(__xludf.DUMMYFUNCTION("""COMPUTED_VALUE"""),"Unit")</f>
        <v>Unit</v>
      </c>
      <c r="H2042" s="6" t="str">
        <f>IFERROR(__xludf.DUMMYFUNCTION("""COMPUTED_VALUE"""),"IDR")</f>
        <v>IDR</v>
      </c>
      <c r="I2042" s="6">
        <f>IFERROR(__xludf.DUMMYFUNCTION("""COMPUTED_VALUE"""),1.47E7)</f>
        <v>14700000</v>
      </c>
      <c r="J2042" s="6">
        <f>IFERROR(__xludf.DUMMYFUNCTION("""COMPUTED_VALUE"""),4.41E7)</f>
        <v>44100000</v>
      </c>
      <c r="K2042" s="57">
        <f>IFERROR(__xludf.DUMMYFUNCTION("""COMPUTED_VALUE"""),44834.0)</f>
        <v>44834</v>
      </c>
      <c r="L2042" s="6" t="str">
        <f>IFERROR(__xludf.DUMMYFUNCTION("""COMPUTED_VALUE"""),"FIP General")</f>
        <v>FIP General</v>
      </c>
      <c r="M2042" s="6" t="str">
        <f>IFERROR(__xludf.DUMMYFUNCTION("""COMPUTED_VALUE"""),"Kristiawan Sakti Winarno")</f>
        <v>Kristiawan Sakti Winarno</v>
      </c>
      <c r="N2042" s="6" t="str">
        <f>IFERROR(__xludf.DUMMYFUNCTION("""COMPUTED_VALUE"""),"FIP Engineering")</f>
        <v>FIP Engineering</v>
      </c>
      <c r="O2042" s="6" t="str">
        <f>IFERROR(__xludf.DUMMYFUNCTION("""COMPUTED_VALUE"""),"FIP-DOM-ENG-13406-FRNB221-INA-000000")</f>
        <v>FIP-DOM-ENG-13406-FRNB221-INA-000000</v>
      </c>
      <c r="P2042" s="6" t="str">
        <f>IFERROR(__xludf.DUMMYFUNCTION("""COMPUTED_VALUE"""),"PO Closed")</f>
        <v>PO Closed</v>
      </c>
      <c r="Q2042" s="6" t="str">
        <f>IFERROR(__xludf.DUMMYFUNCTION("""COMPUTED_VALUE"""),"GL2209060")</f>
        <v>GL2209060</v>
      </c>
      <c r="R2042" s="57">
        <f>IFERROR(__xludf.DUMMYFUNCTION("""COMPUTED_VALUE"""),44810.0)</f>
        <v>44810</v>
      </c>
      <c r="S2042" s="6" t="str">
        <f>IFERROR(__xludf.DUMMYFUNCTION("""COMPUTED_VALUE"""),"-")</f>
        <v>-</v>
      </c>
      <c r="T2042" s="57">
        <f>IFERROR(__xludf.DUMMYFUNCTION("""COMPUTED_VALUE"""),44860.0)</f>
        <v>44860</v>
      </c>
    </row>
    <row r="2043">
      <c r="A2043" s="6" t="str">
        <f>IFERROR(__xludf.DUMMYFUNCTION("""COMPUTED_VALUE"""),"221750438-2")</f>
        <v>221750438-2</v>
      </c>
      <c r="B2043" s="6" t="str">
        <f>IFERROR(__xludf.DUMMYFUNCTION("""COMPUTED_VALUE"""),"221750438 - Approved")</f>
        <v>221750438 - Approved</v>
      </c>
      <c r="C2043" s="6">
        <f>IFERROR(__xludf.DUMMYFUNCTION("""COMPUTED_VALUE"""),2.0)</f>
        <v>2</v>
      </c>
      <c r="D2043" s="6" t="str">
        <f>IFERROR(__xludf.DUMMYFUNCTION("""COMPUTED_VALUE"""),"R-50000-00")</f>
        <v>R-50000-00</v>
      </c>
      <c r="E2043" s="6" t="str">
        <f>IFERROR(__xludf.DUMMYFUNCTION("""COMPUTED_VALUE"""),"Cabinet Uniform Lt2 1200x600x2800 (Locker Wanita Prosesing)")</f>
        <v>Cabinet Uniform Lt2 1200x600x2800 (Locker Wanita Prosesing)</v>
      </c>
      <c r="F2043" s="6">
        <f>IFERROR(__xludf.DUMMYFUNCTION("""COMPUTED_VALUE"""),1.0)</f>
        <v>1</v>
      </c>
      <c r="G2043" s="6" t="str">
        <f>IFERROR(__xludf.DUMMYFUNCTION("""COMPUTED_VALUE"""),"Unit")</f>
        <v>Unit</v>
      </c>
      <c r="H2043" s="6" t="str">
        <f>IFERROR(__xludf.DUMMYFUNCTION("""COMPUTED_VALUE"""),"IDR")</f>
        <v>IDR</v>
      </c>
      <c r="I2043" s="6">
        <f>IFERROR(__xludf.DUMMYFUNCTION("""COMPUTED_VALUE"""),1.155E7)</f>
        <v>11550000</v>
      </c>
      <c r="J2043" s="6">
        <f>IFERROR(__xludf.DUMMYFUNCTION("""COMPUTED_VALUE"""),1.155E7)</f>
        <v>11550000</v>
      </c>
      <c r="K2043" s="57">
        <f>IFERROR(__xludf.DUMMYFUNCTION("""COMPUTED_VALUE"""),44834.0)</f>
        <v>44834</v>
      </c>
      <c r="L2043" s="6" t="str">
        <f>IFERROR(__xludf.DUMMYFUNCTION("""COMPUTED_VALUE"""),"FIP General")</f>
        <v>FIP General</v>
      </c>
      <c r="M2043" s="6" t="str">
        <f>IFERROR(__xludf.DUMMYFUNCTION("""COMPUTED_VALUE"""),"Kristiawan Sakti Winarno")</f>
        <v>Kristiawan Sakti Winarno</v>
      </c>
      <c r="N2043" s="6" t="str">
        <f>IFERROR(__xludf.DUMMYFUNCTION("""COMPUTED_VALUE"""),"FIP Engineering")</f>
        <v>FIP Engineering</v>
      </c>
      <c r="O2043" s="6" t="str">
        <f>IFERROR(__xludf.DUMMYFUNCTION("""COMPUTED_VALUE"""),"FIP-DOM-ENG-13406-FRNB221-INA-000000")</f>
        <v>FIP-DOM-ENG-13406-FRNB221-INA-000000</v>
      </c>
      <c r="P2043" s="6" t="str">
        <f>IFERROR(__xludf.DUMMYFUNCTION("""COMPUTED_VALUE"""),"PO Closed")</f>
        <v>PO Closed</v>
      </c>
      <c r="Q2043" s="6" t="str">
        <f>IFERROR(__xludf.DUMMYFUNCTION("""COMPUTED_VALUE"""),"GL2209060")</f>
        <v>GL2209060</v>
      </c>
      <c r="R2043" s="57">
        <f>IFERROR(__xludf.DUMMYFUNCTION("""COMPUTED_VALUE"""),44810.0)</f>
        <v>44810</v>
      </c>
      <c r="S2043" s="6" t="str">
        <f>IFERROR(__xludf.DUMMYFUNCTION("""COMPUTED_VALUE"""),"-")</f>
        <v>-</v>
      </c>
      <c r="T2043" s="57">
        <f>IFERROR(__xludf.DUMMYFUNCTION("""COMPUTED_VALUE"""),44860.0)</f>
        <v>44860</v>
      </c>
    </row>
    <row r="2044">
      <c r="A2044" s="6" t="str">
        <f>IFERROR(__xludf.DUMMYFUNCTION("""COMPUTED_VALUE"""),"221750438-3")</f>
        <v>221750438-3</v>
      </c>
      <c r="B2044" s="6" t="str">
        <f>IFERROR(__xludf.DUMMYFUNCTION("""COMPUTED_VALUE"""),"221750438 - Approved")</f>
        <v>221750438 - Approved</v>
      </c>
      <c r="C2044" s="6">
        <f>IFERROR(__xludf.DUMMYFUNCTION("""COMPUTED_VALUE"""),3.0)</f>
        <v>3</v>
      </c>
      <c r="D2044" s="6" t="str">
        <f>IFERROR(__xludf.DUMMYFUNCTION("""COMPUTED_VALUE"""),"R-50000-00")</f>
        <v>R-50000-00</v>
      </c>
      <c r="E2044" s="6" t="str">
        <f>IFERROR(__xludf.DUMMYFUNCTION("""COMPUTED_VALUE"""),"Shoe Barrier+Cabinet Loker Wanita 2200x280x2270")</f>
        <v>Shoe Barrier+Cabinet Loker Wanita 2200x280x2270</v>
      </c>
      <c r="F2044" s="6">
        <f>IFERROR(__xludf.DUMMYFUNCTION("""COMPUTED_VALUE"""),1.0)</f>
        <v>1</v>
      </c>
      <c r="G2044" s="6" t="str">
        <f>IFERROR(__xludf.DUMMYFUNCTION("""COMPUTED_VALUE"""),"Unit")</f>
        <v>Unit</v>
      </c>
      <c r="H2044" s="6" t="str">
        <f>IFERROR(__xludf.DUMMYFUNCTION("""COMPUTED_VALUE"""),"IDR")</f>
        <v>IDR</v>
      </c>
      <c r="I2044" s="6">
        <f>IFERROR(__xludf.DUMMYFUNCTION("""COMPUTED_VALUE"""),6030000.0)</f>
        <v>6030000</v>
      </c>
      <c r="J2044" s="6">
        <f>IFERROR(__xludf.DUMMYFUNCTION("""COMPUTED_VALUE"""),6030000.0)</f>
        <v>6030000</v>
      </c>
      <c r="K2044" s="57">
        <f>IFERROR(__xludf.DUMMYFUNCTION("""COMPUTED_VALUE"""),44834.0)</f>
        <v>44834</v>
      </c>
      <c r="L2044" s="6" t="str">
        <f>IFERROR(__xludf.DUMMYFUNCTION("""COMPUTED_VALUE"""),"FIP General")</f>
        <v>FIP General</v>
      </c>
      <c r="M2044" s="6" t="str">
        <f>IFERROR(__xludf.DUMMYFUNCTION("""COMPUTED_VALUE"""),"Kristiawan Sakti Winarno")</f>
        <v>Kristiawan Sakti Winarno</v>
      </c>
      <c r="N2044" s="6" t="str">
        <f>IFERROR(__xludf.DUMMYFUNCTION("""COMPUTED_VALUE"""),"FIP Engineering")</f>
        <v>FIP Engineering</v>
      </c>
      <c r="O2044" s="6" t="str">
        <f>IFERROR(__xludf.DUMMYFUNCTION("""COMPUTED_VALUE"""),"FIP-DOM-ENG-13406-FRNB221-INA-000000")</f>
        <v>FIP-DOM-ENG-13406-FRNB221-INA-000000</v>
      </c>
      <c r="P2044" s="6" t="str">
        <f>IFERROR(__xludf.DUMMYFUNCTION("""COMPUTED_VALUE"""),"PO Closed")</f>
        <v>PO Closed</v>
      </c>
      <c r="Q2044" s="6" t="str">
        <f>IFERROR(__xludf.DUMMYFUNCTION("""COMPUTED_VALUE"""),"GL2209060")</f>
        <v>GL2209060</v>
      </c>
      <c r="R2044" s="57">
        <f>IFERROR(__xludf.DUMMYFUNCTION("""COMPUTED_VALUE"""),44810.0)</f>
        <v>44810</v>
      </c>
      <c r="S2044" s="6" t="str">
        <f>IFERROR(__xludf.DUMMYFUNCTION("""COMPUTED_VALUE"""),"-")</f>
        <v>-</v>
      </c>
      <c r="T2044" s="57">
        <f>IFERROR(__xludf.DUMMYFUNCTION("""COMPUTED_VALUE"""),44860.0)</f>
        <v>44860</v>
      </c>
    </row>
    <row r="2045">
      <c r="A2045" s="6" t="str">
        <f>IFERROR(__xludf.DUMMYFUNCTION("""COMPUTED_VALUE"""),"221750438-4")</f>
        <v>221750438-4</v>
      </c>
      <c r="B2045" s="6" t="str">
        <f>IFERROR(__xludf.DUMMYFUNCTION("""COMPUTED_VALUE"""),"221750438 - Approved")</f>
        <v>221750438 - Approved</v>
      </c>
      <c r="C2045" s="6">
        <f>IFERROR(__xludf.DUMMYFUNCTION("""COMPUTED_VALUE"""),4.0)</f>
        <v>4</v>
      </c>
      <c r="D2045" s="6" t="str">
        <f>IFERROR(__xludf.DUMMYFUNCTION("""COMPUTED_VALUE"""),"R-50000-00")</f>
        <v>R-50000-00</v>
      </c>
      <c r="E2045" s="6" t="str">
        <f>IFERROR(__xludf.DUMMYFUNCTION("""COMPUTED_VALUE"""),"Shoe Barrier+Cabinet Loker Wanita Prosesing 1295x280x2270")</f>
        <v>Shoe Barrier+Cabinet Loker Wanita Prosesing 1295x280x2270</v>
      </c>
      <c r="F2045" s="6">
        <f>IFERROR(__xludf.DUMMYFUNCTION("""COMPUTED_VALUE"""),1.0)</f>
        <v>1</v>
      </c>
      <c r="G2045" s="6" t="str">
        <f>IFERROR(__xludf.DUMMYFUNCTION("""COMPUTED_VALUE"""),"Unit")</f>
        <v>Unit</v>
      </c>
      <c r="H2045" s="6" t="str">
        <f>IFERROR(__xludf.DUMMYFUNCTION("""COMPUTED_VALUE"""),"IDR")</f>
        <v>IDR</v>
      </c>
      <c r="I2045" s="6">
        <f>IFERROR(__xludf.DUMMYFUNCTION("""COMPUTED_VALUE"""),4680000.0)</f>
        <v>4680000</v>
      </c>
      <c r="J2045" s="6">
        <f>IFERROR(__xludf.DUMMYFUNCTION("""COMPUTED_VALUE"""),4680000.0)</f>
        <v>4680000</v>
      </c>
      <c r="K2045" s="57">
        <f>IFERROR(__xludf.DUMMYFUNCTION("""COMPUTED_VALUE"""),44834.0)</f>
        <v>44834</v>
      </c>
      <c r="L2045" s="6" t="str">
        <f>IFERROR(__xludf.DUMMYFUNCTION("""COMPUTED_VALUE"""),"FIP General")</f>
        <v>FIP General</v>
      </c>
      <c r="M2045" s="6" t="str">
        <f>IFERROR(__xludf.DUMMYFUNCTION("""COMPUTED_VALUE"""),"Kristiawan Sakti Winarno")</f>
        <v>Kristiawan Sakti Winarno</v>
      </c>
      <c r="N2045" s="6" t="str">
        <f>IFERROR(__xludf.DUMMYFUNCTION("""COMPUTED_VALUE"""),"FIP Engineering")</f>
        <v>FIP Engineering</v>
      </c>
      <c r="O2045" s="6" t="str">
        <f>IFERROR(__xludf.DUMMYFUNCTION("""COMPUTED_VALUE"""),"FIP-DOM-ENG-13406-FRNB221-INA-000000")</f>
        <v>FIP-DOM-ENG-13406-FRNB221-INA-000000</v>
      </c>
      <c r="P2045" s="6" t="str">
        <f>IFERROR(__xludf.DUMMYFUNCTION("""COMPUTED_VALUE"""),"PO Closed")</f>
        <v>PO Closed</v>
      </c>
      <c r="Q2045" s="6" t="str">
        <f>IFERROR(__xludf.DUMMYFUNCTION("""COMPUTED_VALUE"""),"GL2209061")</f>
        <v>GL2209061</v>
      </c>
      <c r="R2045" s="57">
        <f>IFERROR(__xludf.DUMMYFUNCTION("""COMPUTED_VALUE"""),44810.0)</f>
        <v>44810</v>
      </c>
      <c r="S2045" s="6" t="str">
        <f>IFERROR(__xludf.DUMMYFUNCTION("""COMPUTED_VALUE"""),"-")</f>
        <v>-</v>
      </c>
      <c r="T2045" s="57">
        <f>IFERROR(__xludf.DUMMYFUNCTION("""COMPUTED_VALUE"""),44860.0)</f>
        <v>44860</v>
      </c>
    </row>
    <row r="2046">
      <c r="A2046" s="6" t="str">
        <f>IFERROR(__xludf.DUMMYFUNCTION("""COMPUTED_VALUE"""),"221750438-5")</f>
        <v>221750438-5</v>
      </c>
      <c r="B2046" s="6" t="str">
        <f>IFERROR(__xludf.DUMMYFUNCTION("""COMPUTED_VALUE"""),"221750438 - Approved")</f>
        <v>221750438 - Approved</v>
      </c>
      <c r="C2046" s="6">
        <f>IFERROR(__xludf.DUMMYFUNCTION("""COMPUTED_VALUE"""),5.0)</f>
        <v>5</v>
      </c>
      <c r="D2046" s="6" t="str">
        <f>IFERROR(__xludf.DUMMYFUNCTION("""COMPUTED_VALUE"""),"R-50000-00")</f>
        <v>R-50000-00</v>
      </c>
      <c r="E2046" s="6" t="str">
        <f>IFERROR(__xludf.DUMMYFUNCTION("""COMPUTED_VALUE"""),"Shoe Barrier+Cabinet Loker Pria 2260x280x2270")</f>
        <v>Shoe Barrier+Cabinet Loker Pria 2260x280x2270</v>
      </c>
      <c r="F2046" s="6">
        <f>IFERROR(__xludf.DUMMYFUNCTION("""COMPUTED_VALUE"""),2.0)</f>
        <v>2</v>
      </c>
      <c r="G2046" s="6" t="str">
        <f>IFERROR(__xludf.DUMMYFUNCTION("""COMPUTED_VALUE"""),"Unit")</f>
        <v>Unit</v>
      </c>
      <c r="H2046" s="6" t="str">
        <f>IFERROR(__xludf.DUMMYFUNCTION("""COMPUTED_VALUE"""),"IDR")</f>
        <v>IDR</v>
      </c>
      <c r="I2046" s="6">
        <f>IFERROR(__xludf.DUMMYFUNCTION("""COMPUTED_VALUE"""),6120000.0)</f>
        <v>6120000</v>
      </c>
      <c r="J2046" s="6">
        <f>IFERROR(__xludf.DUMMYFUNCTION("""COMPUTED_VALUE"""),1.224E7)</f>
        <v>12240000</v>
      </c>
      <c r="K2046" s="57">
        <f>IFERROR(__xludf.DUMMYFUNCTION("""COMPUTED_VALUE"""),44834.0)</f>
        <v>44834</v>
      </c>
      <c r="L2046" s="6" t="str">
        <f>IFERROR(__xludf.DUMMYFUNCTION("""COMPUTED_VALUE"""),"FIP General")</f>
        <v>FIP General</v>
      </c>
      <c r="M2046" s="6" t="str">
        <f>IFERROR(__xludf.DUMMYFUNCTION("""COMPUTED_VALUE"""),"Kristiawan Sakti Winarno")</f>
        <v>Kristiawan Sakti Winarno</v>
      </c>
      <c r="N2046" s="6" t="str">
        <f>IFERROR(__xludf.DUMMYFUNCTION("""COMPUTED_VALUE"""),"FIP Engineering")</f>
        <v>FIP Engineering</v>
      </c>
      <c r="O2046" s="6" t="str">
        <f>IFERROR(__xludf.DUMMYFUNCTION("""COMPUTED_VALUE"""),"FIP-DOM-ENG-13406-FRNB221-INA-000000")</f>
        <v>FIP-DOM-ENG-13406-FRNB221-INA-000000</v>
      </c>
      <c r="P2046" s="6" t="str">
        <f>IFERROR(__xludf.DUMMYFUNCTION("""COMPUTED_VALUE"""),"PO Closed")</f>
        <v>PO Closed</v>
      </c>
      <c r="Q2046" s="6" t="str">
        <f>IFERROR(__xludf.DUMMYFUNCTION("""COMPUTED_VALUE"""),"GL2209030")</f>
        <v>GL2209030</v>
      </c>
      <c r="R2046" s="57">
        <f>IFERROR(__xludf.DUMMYFUNCTION("""COMPUTED_VALUE"""),44810.0)</f>
        <v>44810</v>
      </c>
      <c r="S2046" s="6" t="str">
        <f>IFERROR(__xludf.DUMMYFUNCTION("""COMPUTED_VALUE"""),"-")</f>
        <v>-</v>
      </c>
      <c r="T2046" s="57">
        <f>IFERROR(__xludf.DUMMYFUNCTION("""COMPUTED_VALUE"""),44844.0)</f>
        <v>44844</v>
      </c>
    </row>
    <row r="2047">
      <c r="A2047" s="6" t="str">
        <f>IFERROR(__xludf.DUMMYFUNCTION("""COMPUTED_VALUE"""),"221750438-6")</f>
        <v>221750438-6</v>
      </c>
      <c r="B2047" s="6" t="str">
        <f>IFERROR(__xludf.DUMMYFUNCTION("""COMPUTED_VALUE"""),"221750438 - Approved")</f>
        <v>221750438 - Approved</v>
      </c>
      <c r="C2047" s="6">
        <f>IFERROR(__xludf.DUMMYFUNCTION("""COMPUTED_VALUE"""),6.0)</f>
        <v>6</v>
      </c>
      <c r="D2047" s="6" t="str">
        <f>IFERROR(__xludf.DUMMYFUNCTION("""COMPUTED_VALUE"""),"R-50000-00")</f>
        <v>R-50000-00</v>
      </c>
      <c r="E2047" s="6" t="str">
        <f>IFERROR(__xludf.DUMMYFUNCTION("""COMPUTED_VALUE"""),"Lemari Baju Kotor Gowning Visitor Lt2 600 x 400 x 950")</f>
        <v>Lemari Baju Kotor Gowning Visitor Lt2 600 x 400 x 950</v>
      </c>
      <c r="F2047" s="6">
        <f>IFERROR(__xludf.DUMMYFUNCTION("""COMPUTED_VALUE"""),1.0)</f>
        <v>1</v>
      </c>
      <c r="G2047" s="6" t="str">
        <f>IFERROR(__xludf.DUMMYFUNCTION("""COMPUTED_VALUE"""),"Unit")</f>
        <v>Unit</v>
      </c>
      <c r="H2047" s="6" t="str">
        <f>IFERROR(__xludf.DUMMYFUNCTION("""COMPUTED_VALUE"""),"IDR")</f>
        <v>IDR</v>
      </c>
      <c r="I2047" s="6">
        <f>IFERROR(__xludf.DUMMYFUNCTION("""COMPUTED_VALUE"""),2100000.0)</f>
        <v>2100000</v>
      </c>
      <c r="J2047" s="6">
        <f>IFERROR(__xludf.DUMMYFUNCTION("""COMPUTED_VALUE"""),2100000.0)</f>
        <v>2100000</v>
      </c>
      <c r="K2047" s="57">
        <f>IFERROR(__xludf.DUMMYFUNCTION("""COMPUTED_VALUE"""),44834.0)</f>
        <v>44834</v>
      </c>
      <c r="L2047" s="6" t="str">
        <f>IFERROR(__xludf.DUMMYFUNCTION("""COMPUTED_VALUE"""),"FIP General")</f>
        <v>FIP General</v>
      </c>
      <c r="M2047" s="6" t="str">
        <f>IFERROR(__xludf.DUMMYFUNCTION("""COMPUTED_VALUE"""),"Kristiawan Sakti Winarno")</f>
        <v>Kristiawan Sakti Winarno</v>
      </c>
      <c r="N2047" s="6" t="str">
        <f>IFERROR(__xludf.DUMMYFUNCTION("""COMPUTED_VALUE"""),"FIP Engineering")</f>
        <v>FIP Engineering</v>
      </c>
      <c r="O2047" s="6" t="str">
        <f>IFERROR(__xludf.DUMMYFUNCTION("""COMPUTED_VALUE"""),"FIP-DOM-ENG-13406-FRNB221-INA-000000")</f>
        <v>FIP-DOM-ENG-13406-FRNB221-INA-000000</v>
      </c>
      <c r="P2047" s="6" t="str">
        <f>IFERROR(__xludf.DUMMYFUNCTION("""COMPUTED_VALUE"""),"PO Closed")</f>
        <v>PO Closed</v>
      </c>
      <c r="Q2047" s="6" t="str">
        <f>IFERROR(__xludf.DUMMYFUNCTION("""COMPUTED_VALUE"""),"GL2209030")</f>
        <v>GL2209030</v>
      </c>
      <c r="R2047" s="57">
        <f>IFERROR(__xludf.DUMMYFUNCTION("""COMPUTED_VALUE"""),44810.0)</f>
        <v>44810</v>
      </c>
      <c r="S2047" s="6" t="str">
        <f>IFERROR(__xludf.DUMMYFUNCTION("""COMPUTED_VALUE"""),"-")</f>
        <v>-</v>
      </c>
      <c r="T2047" s="57">
        <f>IFERROR(__xludf.DUMMYFUNCTION("""COMPUTED_VALUE"""),44844.0)</f>
        <v>44844</v>
      </c>
    </row>
    <row r="2048">
      <c r="A2048" s="6" t="str">
        <f>IFERROR(__xludf.DUMMYFUNCTION("""COMPUTED_VALUE"""),"221750438-8")</f>
        <v>221750438-8</v>
      </c>
      <c r="B2048" s="6" t="str">
        <f>IFERROR(__xludf.DUMMYFUNCTION("""COMPUTED_VALUE"""),"221750438 - Approved")</f>
        <v>221750438 - Approved</v>
      </c>
      <c r="C2048" s="6">
        <f>IFERROR(__xludf.DUMMYFUNCTION("""COMPUTED_VALUE"""),8.0)</f>
        <v>8</v>
      </c>
      <c r="D2048" s="6" t="str">
        <f>IFERROR(__xludf.DUMMYFUNCTION("""COMPUTED_VALUE"""),"R-50000-00")</f>
        <v>R-50000-00</v>
      </c>
      <c r="E2048" s="6" t="str">
        <f>IFERROR(__xludf.DUMMYFUNCTION("""COMPUTED_VALUE"""),"Shoe Barrier CNC 3 slot 5370x350x550")</f>
        <v>Shoe Barrier CNC 3 slot 5370x350x550</v>
      </c>
      <c r="F2048" s="6">
        <f>IFERROR(__xludf.DUMMYFUNCTION("""COMPUTED_VALUE"""),1.0)</f>
        <v>1</v>
      </c>
      <c r="G2048" s="6" t="str">
        <f>IFERROR(__xludf.DUMMYFUNCTION("""COMPUTED_VALUE"""),"Unit")</f>
        <v>Unit</v>
      </c>
      <c r="H2048" s="6" t="str">
        <f>IFERROR(__xludf.DUMMYFUNCTION("""COMPUTED_VALUE"""),"IDR")</f>
        <v>IDR</v>
      </c>
      <c r="I2048" s="6">
        <f>IFERROR(__xludf.DUMMYFUNCTION("""COMPUTED_VALUE"""),8480000.0)</f>
        <v>8480000</v>
      </c>
      <c r="J2048" s="6">
        <f>IFERROR(__xludf.DUMMYFUNCTION("""COMPUTED_VALUE"""),8480000.0)</f>
        <v>8480000</v>
      </c>
      <c r="K2048" s="57">
        <f>IFERROR(__xludf.DUMMYFUNCTION("""COMPUTED_VALUE"""),44834.0)</f>
        <v>44834</v>
      </c>
      <c r="L2048" s="6" t="str">
        <f>IFERROR(__xludf.DUMMYFUNCTION("""COMPUTED_VALUE"""),"FIP General")</f>
        <v>FIP General</v>
      </c>
      <c r="M2048" s="6" t="str">
        <f>IFERROR(__xludf.DUMMYFUNCTION("""COMPUTED_VALUE"""),"Kristiawan Sakti Winarno")</f>
        <v>Kristiawan Sakti Winarno</v>
      </c>
      <c r="N2048" s="6" t="str">
        <f>IFERROR(__xludf.DUMMYFUNCTION("""COMPUTED_VALUE"""),"FIP Engineering")</f>
        <v>FIP Engineering</v>
      </c>
      <c r="O2048" s="6" t="str">
        <f>IFERROR(__xludf.DUMMYFUNCTION("""COMPUTED_VALUE"""),"FIP-DOM-ENG-13406-FRNB221-INA-000000")</f>
        <v>FIP-DOM-ENG-13406-FRNB221-INA-000000</v>
      </c>
      <c r="P2048" s="6" t="str">
        <f>IFERROR(__xludf.DUMMYFUNCTION("""COMPUTED_VALUE"""),"PO Closed")</f>
        <v>PO Closed</v>
      </c>
      <c r="Q2048" s="6" t="str">
        <f>IFERROR(__xludf.DUMMYFUNCTION("""COMPUTED_VALUE"""),"GL2209030")</f>
        <v>GL2209030</v>
      </c>
      <c r="R2048" s="57">
        <f>IFERROR(__xludf.DUMMYFUNCTION("""COMPUTED_VALUE"""),44810.0)</f>
        <v>44810</v>
      </c>
      <c r="S2048" s="6" t="str">
        <f>IFERROR(__xludf.DUMMYFUNCTION("""COMPUTED_VALUE"""),"-")</f>
        <v>-</v>
      </c>
      <c r="T2048" s="57">
        <f>IFERROR(__xludf.DUMMYFUNCTION("""COMPUTED_VALUE"""),44844.0)</f>
        <v>44844</v>
      </c>
    </row>
    <row r="2049">
      <c r="A2049" s="6" t="str">
        <f>IFERROR(__xludf.DUMMYFUNCTION("""COMPUTED_VALUE"""),"221750438-9")</f>
        <v>221750438-9</v>
      </c>
      <c r="B2049" s="6" t="str">
        <f>IFERROR(__xludf.DUMMYFUNCTION("""COMPUTED_VALUE"""),"221750438 - Approved")</f>
        <v>221750438 - Approved</v>
      </c>
      <c r="C2049" s="6">
        <f>IFERROR(__xludf.DUMMYFUNCTION("""COMPUTED_VALUE"""),9.0)</f>
        <v>9</v>
      </c>
      <c r="D2049" s="6" t="str">
        <f>IFERROR(__xludf.DUMMYFUNCTION("""COMPUTED_VALUE"""),"R-50000-00")</f>
        <v>R-50000-00</v>
      </c>
      <c r="E2049" s="6" t="str">
        <f>IFERROR(__xludf.DUMMYFUNCTION("""COMPUTED_VALUE"""),"Shoe Barrier dengan 3 slot 4530x350x550")</f>
        <v>Shoe Barrier dengan 3 slot 4530x350x550</v>
      </c>
      <c r="F2049" s="6">
        <f>IFERROR(__xludf.DUMMYFUNCTION("""COMPUTED_VALUE"""),1.0)</f>
        <v>1</v>
      </c>
      <c r="G2049" s="6" t="str">
        <f>IFERROR(__xludf.DUMMYFUNCTION("""COMPUTED_VALUE"""),"Unit")</f>
        <v>Unit</v>
      </c>
      <c r="H2049" s="6" t="str">
        <f>IFERROR(__xludf.DUMMYFUNCTION("""COMPUTED_VALUE"""),"IDR")</f>
        <v>IDR</v>
      </c>
      <c r="I2049" s="6">
        <f>IFERROR(__xludf.DUMMYFUNCTION("""COMPUTED_VALUE"""),8100000.0)</f>
        <v>8100000</v>
      </c>
      <c r="J2049" s="6">
        <f>IFERROR(__xludf.DUMMYFUNCTION("""COMPUTED_VALUE"""),8100000.0)</f>
        <v>8100000</v>
      </c>
      <c r="K2049" s="57">
        <f>IFERROR(__xludf.DUMMYFUNCTION("""COMPUTED_VALUE"""),44834.0)</f>
        <v>44834</v>
      </c>
      <c r="L2049" s="6" t="str">
        <f>IFERROR(__xludf.DUMMYFUNCTION("""COMPUTED_VALUE"""),"FIP General")</f>
        <v>FIP General</v>
      </c>
      <c r="M2049" s="6" t="str">
        <f>IFERROR(__xludf.DUMMYFUNCTION("""COMPUTED_VALUE"""),"Kristiawan Sakti Winarno")</f>
        <v>Kristiawan Sakti Winarno</v>
      </c>
      <c r="N2049" s="6" t="str">
        <f>IFERROR(__xludf.DUMMYFUNCTION("""COMPUTED_VALUE"""),"FIP Engineering")</f>
        <v>FIP Engineering</v>
      </c>
      <c r="O2049" s="6" t="str">
        <f>IFERROR(__xludf.DUMMYFUNCTION("""COMPUTED_VALUE"""),"FIP-DOM-ENG-13406-FRNB221-INA-000000")</f>
        <v>FIP-DOM-ENG-13406-FRNB221-INA-000000</v>
      </c>
      <c r="P2049" s="6" t="str">
        <f>IFERROR(__xludf.DUMMYFUNCTION("""COMPUTED_VALUE"""),"PO Closed")</f>
        <v>PO Closed</v>
      </c>
      <c r="Q2049" s="6" t="str">
        <f>IFERROR(__xludf.DUMMYFUNCTION("""COMPUTED_VALUE"""),"GL2209030")</f>
        <v>GL2209030</v>
      </c>
      <c r="R2049" s="57">
        <f>IFERROR(__xludf.DUMMYFUNCTION("""COMPUTED_VALUE"""),44810.0)</f>
        <v>44810</v>
      </c>
      <c r="S2049" s="6" t="str">
        <f>IFERROR(__xludf.DUMMYFUNCTION("""COMPUTED_VALUE"""),"-")</f>
        <v>-</v>
      </c>
      <c r="T2049" s="57">
        <f>IFERROR(__xludf.DUMMYFUNCTION("""COMPUTED_VALUE"""),44844.0)</f>
        <v>44844</v>
      </c>
    </row>
    <row r="2050">
      <c r="A2050" s="6" t="str">
        <f>IFERROR(__xludf.DUMMYFUNCTION("""COMPUTED_VALUE"""),"221750438-10")</f>
        <v>221750438-10</v>
      </c>
      <c r="B2050" s="6" t="str">
        <f>IFERROR(__xludf.DUMMYFUNCTION("""COMPUTED_VALUE"""),"221750438 - Approved")</f>
        <v>221750438 - Approved</v>
      </c>
      <c r="C2050" s="6">
        <f>IFERROR(__xludf.DUMMYFUNCTION("""COMPUTED_VALUE"""),10.0)</f>
        <v>10</v>
      </c>
      <c r="D2050" s="6" t="str">
        <f>IFERROR(__xludf.DUMMYFUNCTION("""COMPUTED_VALUE"""),"R-50000-00")</f>
        <v>R-50000-00</v>
      </c>
      <c r="E2050" s="6" t="str">
        <f>IFERROR(__xludf.DUMMYFUNCTION("""COMPUTED_VALUE"""),"Lemari Baju Bersih Gowning AHU 450x600x2020")</f>
        <v>Lemari Baju Bersih Gowning AHU 450x600x2020</v>
      </c>
      <c r="F2050" s="6">
        <f>IFERROR(__xludf.DUMMYFUNCTION("""COMPUTED_VALUE"""),1.0)</f>
        <v>1</v>
      </c>
      <c r="G2050" s="6" t="str">
        <f>IFERROR(__xludf.DUMMYFUNCTION("""COMPUTED_VALUE"""),"Unit")</f>
        <v>Unit</v>
      </c>
      <c r="H2050" s="6" t="str">
        <f>IFERROR(__xludf.DUMMYFUNCTION("""COMPUTED_VALUE"""),"IDR")</f>
        <v>IDR</v>
      </c>
      <c r="I2050" s="6">
        <f>IFERROR(__xludf.DUMMYFUNCTION("""COMPUTED_VALUE"""),3876000.0)</f>
        <v>3876000</v>
      </c>
      <c r="J2050" s="6">
        <f>IFERROR(__xludf.DUMMYFUNCTION("""COMPUTED_VALUE"""),3876000.0)</f>
        <v>3876000</v>
      </c>
      <c r="K2050" s="57">
        <f>IFERROR(__xludf.DUMMYFUNCTION("""COMPUTED_VALUE"""),44834.0)</f>
        <v>44834</v>
      </c>
      <c r="L2050" s="6" t="str">
        <f>IFERROR(__xludf.DUMMYFUNCTION("""COMPUTED_VALUE"""),"FIP General")</f>
        <v>FIP General</v>
      </c>
      <c r="M2050" s="6" t="str">
        <f>IFERROR(__xludf.DUMMYFUNCTION("""COMPUTED_VALUE"""),"Kristiawan Sakti Winarno")</f>
        <v>Kristiawan Sakti Winarno</v>
      </c>
      <c r="N2050" s="6" t="str">
        <f>IFERROR(__xludf.DUMMYFUNCTION("""COMPUTED_VALUE"""),"FIP Engineering")</f>
        <v>FIP Engineering</v>
      </c>
      <c r="O2050" s="6" t="str">
        <f>IFERROR(__xludf.DUMMYFUNCTION("""COMPUTED_VALUE"""),"FIP-DOM-ENG-13406-FRNB221-INA-000000")</f>
        <v>FIP-DOM-ENG-13406-FRNB221-INA-000000</v>
      </c>
      <c r="P2050" s="6" t="str">
        <f>IFERROR(__xludf.DUMMYFUNCTION("""COMPUTED_VALUE"""),"PO Closed")</f>
        <v>PO Closed</v>
      </c>
      <c r="Q2050" s="6" t="str">
        <f>IFERROR(__xludf.DUMMYFUNCTION("""COMPUTED_VALUE"""),"GL2209030")</f>
        <v>GL2209030</v>
      </c>
      <c r="R2050" s="57">
        <f>IFERROR(__xludf.DUMMYFUNCTION("""COMPUTED_VALUE"""),44810.0)</f>
        <v>44810</v>
      </c>
      <c r="S2050" s="6" t="str">
        <f>IFERROR(__xludf.DUMMYFUNCTION("""COMPUTED_VALUE"""),"-")</f>
        <v>-</v>
      </c>
      <c r="T2050" s="57">
        <f>IFERROR(__xludf.DUMMYFUNCTION("""COMPUTED_VALUE"""),44844.0)</f>
        <v>44844</v>
      </c>
    </row>
    <row r="2051">
      <c r="A2051" s="6" t="str">
        <f>IFERROR(__xludf.DUMMYFUNCTION("""COMPUTED_VALUE"""),"221750438-11")</f>
        <v>221750438-11</v>
      </c>
      <c r="B2051" s="6" t="str">
        <f>IFERROR(__xludf.DUMMYFUNCTION("""COMPUTED_VALUE"""),"221750438 - Approved")</f>
        <v>221750438 - Approved</v>
      </c>
      <c r="C2051" s="6">
        <f>IFERROR(__xludf.DUMMYFUNCTION("""COMPUTED_VALUE"""),11.0)</f>
        <v>11</v>
      </c>
      <c r="D2051" s="6" t="str">
        <f>IFERROR(__xludf.DUMMYFUNCTION("""COMPUTED_VALUE"""),"R-50000-00")</f>
        <v>R-50000-00</v>
      </c>
      <c r="E2051" s="6" t="str">
        <f>IFERROR(__xludf.DUMMYFUNCTION("""COMPUTED_VALUE"""),"Lemari Baju kotor gowning AHU 600x600x950")</f>
        <v>Lemari Baju kotor gowning AHU 600x600x950</v>
      </c>
      <c r="F2051" s="6">
        <f>IFERROR(__xludf.DUMMYFUNCTION("""COMPUTED_VALUE"""),1.0)</f>
        <v>1</v>
      </c>
      <c r="G2051" s="6" t="str">
        <f>IFERROR(__xludf.DUMMYFUNCTION("""COMPUTED_VALUE"""),"Unit")</f>
        <v>Unit</v>
      </c>
      <c r="H2051" s="6" t="str">
        <f>IFERROR(__xludf.DUMMYFUNCTION("""COMPUTED_VALUE"""),"IDR")</f>
        <v>IDR</v>
      </c>
      <c r="I2051" s="6">
        <f>IFERROR(__xludf.DUMMYFUNCTION("""COMPUTED_VALUE"""),2100000.0)</f>
        <v>2100000</v>
      </c>
      <c r="J2051" s="6">
        <f>IFERROR(__xludf.DUMMYFUNCTION("""COMPUTED_VALUE"""),2100000.0)</f>
        <v>2100000</v>
      </c>
      <c r="K2051" s="57">
        <f>IFERROR(__xludf.DUMMYFUNCTION("""COMPUTED_VALUE"""),44834.0)</f>
        <v>44834</v>
      </c>
      <c r="L2051" s="6" t="str">
        <f>IFERROR(__xludf.DUMMYFUNCTION("""COMPUTED_VALUE"""),"FIP General")</f>
        <v>FIP General</v>
      </c>
      <c r="M2051" s="6" t="str">
        <f>IFERROR(__xludf.DUMMYFUNCTION("""COMPUTED_VALUE"""),"Kristiawan Sakti Winarno")</f>
        <v>Kristiawan Sakti Winarno</v>
      </c>
      <c r="N2051" s="6" t="str">
        <f>IFERROR(__xludf.DUMMYFUNCTION("""COMPUTED_VALUE"""),"FIP Engineering")</f>
        <v>FIP Engineering</v>
      </c>
      <c r="O2051" s="6" t="str">
        <f>IFERROR(__xludf.DUMMYFUNCTION("""COMPUTED_VALUE"""),"FIP-DOM-ENG-13406-FRNB221-INA-000000")</f>
        <v>FIP-DOM-ENG-13406-FRNB221-INA-000000</v>
      </c>
      <c r="P2051" s="6" t="str">
        <f>IFERROR(__xludf.DUMMYFUNCTION("""COMPUTED_VALUE"""),"PO Closed")</f>
        <v>PO Closed</v>
      </c>
      <c r="Q2051" s="6" t="str">
        <f>IFERROR(__xludf.DUMMYFUNCTION("""COMPUTED_VALUE"""),"GL2209030")</f>
        <v>GL2209030</v>
      </c>
      <c r="R2051" s="57">
        <f>IFERROR(__xludf.DUMMYFUNCTION("""COMPUTED_VALUE"""),44810.0)</f>
        <v>44810</v>
      </c>
      <c r="S2051" s="6" t="str">
        <f>IFERROR(__xludf.DUMMYFUNCTION("""COMPUTED_VALUE"""),"-")</f>
        <v>-</v>
      </c>
      <c r="T2051" s="57">
        <f>IFERROR(__xludf.DUMMYFUNCTION("""COMPUTED_VALUE"""),44844.0)</f>
        <v>44844</v>
      </c>
    </row>
    <row r="2052">
      <c r="A2052" s="6" t="str">
        <f>IFERROR(__xludf.DUMMYFUNCTION("""COMPUTED_VALUE"""),"221750438-12")</f>
        <v>221750438-12</v>
      </c>
      <c r="B2052" s="6" t="str">
        <f>IFERROR(__xludf.DUMMYFUNCTION("""COMPUTED_VALUE"""),"221750438 - Approved")</f>
        <v>221750438 - Approved</v>
      </c>
      <c r="C2052" s="6">
        <f>IFERROR(__xludf.DUMMYFUNCTION("""COMPUTED_VALUE"""),12.0)</f>
        <v>12</v>
      </c>
      <c r="D2052" s="6" t="str">
        <f>IFERROR(__xludf.DUMMYFUNCTION("""COMPUTED_VALUE"""),"R-50000-00")</f>
        <v>R-50000-00</v>
      </c>
      <c r="E2052" s="6" t="str">
        <f>IFERROR(__xludf.DUMMYFUNCTION("""COMPUTED_VALUE"""),"Lemari Sepatu Gowning AHU 1020x400x820")</f>
        <v>Lemari Sepatu Gowning AHU 1020x400x820</v>
      </c>
      <c r="F2052" s="6">
        <f>IFERROR(__xludf.DUMMYFUNCTION("""COMPUTED_VALUE"""),1.0)</f>
        <v>1</v>
      </c>
      <c r="G2052" s="6" t="str">
        <f>IFERROR(__xludf.DUMMYFUNCTION("""COMPUTED_VALUE"""),"Unit")</f>
        <v>Unit</v>
      </c>
      <c r="H2052" s="6" t="str">
        <f>IFERROR(__xludf.DUMMYFUNCTION("""COMPUTED_VALUE"""),"IDR")</f>
        <v>IDR</v>
      </c>
      <c r="I2052" s="6">
        <f>IFERROR(__xludf.DUMMYFUNCTION("""COMPUTED_VALUE"""),3570000.0)</f>
        <v>3570000</v>
      </c>
      <c r="J2052" s="6">
        <f>IFERROR(__xludf.DUMMYFUNCTION("""COMPUTED_VALUE"""),3570000.0)</f>
        <v>3570000</v>
      </c>
      <c r="K2052" s="57">
        <f>IFERROR(__xludf.DUMMYFUNCTION("""COMPUTED_VALUE"""),44834.0)</f>
        <v>44834</v>
      </c>
      <c r="L2052" s="6" t="str">
        <f>IFERROR(__xludf.DUMMYFUNCTION("""COMPUTED_VALUE"""),"FIP General")</f>
        <v>FIP General</v>
      </c>
      <c r="M2052" s="6" t="str">
        <f>IFERROR(__xludf.DUMMYFUNCTION("""COMPUTED_VALUE"""),"Kristiawan Sakti Winarno")</f>
        <v>Kristiawan Sakti Winarno</v>
      </c>
      <c r="N2052" s="6" t="str">
        <f>IFERROR(__xludf.DUMMYFUNCTION("""COMPUTED_VALUE"""),"FIP Engineering")</f>
        <v>FIP Engineering</v>
      </c>
      <c r="O2052" s="6" t="str">
        <f>IFERROR(__xludf.DUMMYFUNCTION("""COMPUTED_VALUE"""),"FIP-DOM-ENG-13406-FRNB221-INA-000000")</f>
        <v>FIP-DOM-ENG-13406-FRNB221-INA-000000</v>
      </c>
      <c r="P2052" s="6" t="str">
        <f>IFERROR(__xludf.DUMMYFUNCTION("""COMPUTED_VALUE"""),"PO Closed")</f>
        <v>PO Closed</v>
      </c>
      <c r="Q2052" s="6" t="str">
        <f>IFERROR(__xludf.DUMMYFUNCTION("""COMPUTED_VALUE"""),"GL2209030")</f>
        <v>GL2209030</v>
      </c>
      <c r="R2052" s="57">
        <f>IFERROR(__xludf.DUMMYFUNCTION("""COMPUTED_VALUE"""),44810.0)</f>
        <v>44810</v>
      </c>
      <c r="S2052" s="6" t="str">
        <f>IFERROR(__xludf.DUMMYFUNCTION("""COMPUTED_VALUE"""),"-")</f>
        <v>-</v>
      </c>
      <c r="T2052" s="57">
        <f>IFERROR(__xludf.DUMMYFUNCTION("""COMPUTED_VALUE"""),44844.0)</f>
        <v>44844</v>
      </c>
    </row>
    <row r="2053">
      <c r="A2053" s="6" t="str">
        <f>IFERROR(__xludf.DUMMYFUNCTION("""COMPUTED_VALUE"""),"221750438-13")</f>
        <v>221750438-13</v>
      </c>
      <c r="B2053" s="6" t="str">
        <f>IFERROR(__xludf.DUMMYFUNCTION("""COMPUTED_VALUE"""),"221750438 - Approved")</f>
        <v>221750438 - Approved</v>
      </c>
      <c r="C2053" s="6">
        <f>IFERROR(__xludf.DUMMYFUNCTION("""COMPUTED_VALUE"""),13.0)</f>
        <v>13</v>
      </c>
      <c r="D2053" s="6" t="str">
        <f>IFERROR(__xludf.DUMMYFUNCTION("""COMPUTED_VALUE"""),"R-50000-00")</f>
        <v>R-50000-00</v>
      </c>
      <c r="E2053" s="6" t="str">
        <f>IFERROR(__xludf.DUMMYFUNCTION("""COMPUTED_VALUE"""),"Step Bench AHU (shoes barrier AHU ENG) 2000/1000x380x150")</f>
        <v>Step Bench AHU (shoes barrier AHU ENG) 2000/1000x380x150</v>
      </c>
      <c r="F2053" s="6">
        <f>IFERROR(__xludf.DUMMYFUNCTION("""COMPUTED_VALUE"""),1.0)</f>
        <v>1</v>
      </c>
      <c r="G2053" s="6" t="str">
        <f>IFERROR(__xludf.DUMMYFUNCTION("""COMPUTED_VALUE"""),"Unit")</f>
        <v>Unit</v>
      </c>
      <c r="H2053" s="6" t="str">
        <f>IFERROR(__xludf.DUMMYFUNCTION("""COMPUTED_VALUE"""),"IDR")</f>
        <v>IDR</v>
      </c>
      <c r="I2053" s="6">
        <f>IFERROR(__xludf.DUMMYFUNCTION("""COMPUTED_VALUE"""),1650000.0)</f>
        <v>1650000</v>
      </c>
      <c r="J2053" s="6">
        <f>IFERROR(__xludf.DUMMYFUNCTION("""COMPUTED_VALUE"""),1650000.0)</f>
        <v>1650000</v>
      </c>
      <c r="K2053" s="57">
        <f>IFERROR(__xludf.DUMMYFUNCTION("""COMPUTED_VALUE"""),44834.0)</f>
        <v>44834</v>
      </c>
      <c r="L2053" s="6" t="str">
        <f>IFERROR(__xludf.DUMMYFUNCTION("""COMPUTED_VALUE"""),"FIP General")</f>
        <v>FIP General</v>
      </c>
      <c r="M2053" s="6" t="str">
        <f>IFERROR(__xludf.DUMMYFUNCTION("""COMPUTED_VALUE"""),"Kristiawan Sakti Winarno")</f>
        <v>Kristiawan Sakti Winarno</v>
      </c>
      <c r="N2053" s="6" t="str">
        <f>IFERROR(__xludf.DUMMYFUNCTION("""COMPUTED_VALUE"""),"FIP Engineering")</f>
        <v>FIP Engineering</v>
      </c>
      <c r="O2053" s="6" t="str">
        <f>IFERROR(__xludf.DUMMYFUNCTION("""COMPUTED_VALUE"""),"FIP-DOM-ENG-13406-FRNB221-INA-000000")</f>
        <v>FIP-DOM-ENG-13406-FRNB221-INA-000000</v>
      </c>
      <c r="P2053" s="6" t="str">
        <f>IFERROR(__xludf.DUMMYFUNCTION("""COMPUTED_VALUE"""),"PO Closed")</f>
        <v>PO Closed</v>
      </c>
      <c r="Q2053" s="6" t="str">
        <f>IFERROR(__xludf.DUMMYFUNCTION("""COMPUTED_VALUE"""),"GL2209061")</f>
        <v>GL2209061</v>
      </c>
      <c r="R2053" s="57">
        <f>IFERROR(__xludf.DUMMYFUNCTION("""COMPUTED_VALUE"""),44810.0)</f>
        <v>44810</v>
      </c>
      <c r="S2053" s="6" t="str">
        <f>IFERROR(__xludf.DUMMYFUNCTION("""COMPUTED_VALUE"""),"-")</f>
        <v>-</v>
      </c>
      <c r="T2053" s="57">
        <f>IFERROR(__xludf.DUMMYFUNCTION("""COMPUTED_VALUE"""),44860.0)</f>
        <v>44860</v>
      </c>
    </row>
    <row r="2054">
      <c r="A2054" s="6" t="str">
        <f>IFERROR(__xludf.DUMMYFUNCTION("""COMPUTED_VALUE"""),"221750438-14")</f>
        <v>221750438-14</v>
      </c>
      <c r="B2054" s="6" t="str">
        <f>IFERROR(__xludf.DUMMYFUNCTION("""COMPUTED_VALUE"""),"221750438 - Approved")</f>
        <v>221750438 - Approved</v>
      </c>
      <c r="C2054" s="6">
        <f>IFERROR(__xludf.DUMMYFUNCTION("""COMPUTED_VALUE"""),14.0)</f>
        <v>14</v>
      </c>
      <c r="D2054" s="6" t="str">
        <f>IFERROR(__xludf.DUMMYFUNCTION("""COMPUTED_VALUE"""),"R-50000-00")</f>
        <v>R-50000-00</v>
      </c>
      <c r="E2054" s="6" t="str">
        <f>IFERROR(__xludf.DUMMYFUNCTION("""COMPUTED_VALUE"""),"Step Bench AHU (shoes barrier AHU Lt.4) 1804x136x150")</f>
        <v>Step Bench AHU (shoes barrier AHU Lt.4) 1804x136x150</v>
      </c>
      <c r="F2054" s="6">
        <f>IFERROR(__xludf.DUMMYFUNCTION("""COMPUTED_VALUE"""),1.0)</f>
        <v>1</v>
      </c>
      <c r="G2054" s="6" t="str">
        <f>IFERROR(__xludf.DUMMYFUNCTION("""COMPUTED_VALUE"""),"Unit")</f>
        <v>Unit</v>
      </c>
      <c r="H2054" s="6" t="str">
        <f>IFERROR(__xludf.DUMMYFUNCTION("""COMPUTED_VALUE"""),"IDR")</f>
        <v>IDR</v>
      </c>
      <c r="I2054" s="6">
        <f>IFERROR(__xludf.DUMMYFUNCTION("""COMPUTED_VALUE"""),990000.0)</f>
        <v>990000</v>
      </c>
      <c r="J2054" s="6">
        <f>IFERROR(__xludf.DUMMYFUNCTION("""COMPUTED_VALUE"""),990000.0)</f>
        <v>990000</v>
      </c>
      <c r="K2054" s="57">
        <f>IFERROR(__xludf.DUMMYFUNCTION("""COMPUTED_VALUE"""),44834.0)</f>
        <v>44834</v>
      </c>
      <c r="L2054" s="6" t="str">
        <f>IFERROR(__xludf.DUMMYFUNCTION("""COMPUTED_VALUE"""),"FIP General")</f>
        <v>FIP General</v>
      </c>
      <c r="M2054" s="6" t="str">
        <f>IFERROR(__xludf.DUMMYFUNCTION("""COMPUTED_VALUE"""),"Kristiawan Sakti Winarno")</f>
        <v>Kristiawan Sakti Winarno</v>
      </c>
      <c r="N2054" s="6" t="str">
        <f>IFERROR(__xludf.DUMMYFUNCTION("""COMPUTED_VALUE"""),"FIP Engineering")</f>
        <v>FIP Engineering</v>
      </c>
      <c r="O2054" s="6" t="str">
        <f>IFERROR(__xludf.DUMMYFUNCTION("""COMPUTED_VALUE"""),"FIP-DOM-ENG-13406-FRNB221-INA-000000")</f>
        <v>FIP-DOM-ENG-13406-FRNB221-INA-000000</v>
      </c>
      <c r="P2054" s="6" t="str">
        <f>IFERROR(__xludf.DUMMYFUNCTION("""COMPUTED_VALUE"""),"PO Closed")</f>
        <v>PO Closed</v>
      </c>
      <c r="Q2054" s="6" t="str">
        <f>IFERROR(__xludf.DUMMYFUNCTION("""COMPUTED_VALUE"""),"GL2209061")</f>
        <v>GL2209061</v>
      </c>
      <c r="R2054" s="57">
        <f>IFERROR(__xludf.DUMMYFUNCTION("""COMPUTED_VALUE"""),44810.0)</f>
        <v>44810</v>
      </c>
      <c r="S2054" s="6" t="str">
        <f>IFERROR(__xludf.DUMMYFUNCTION("""COMPUTED_VALUE"""),"-")</f>
        <v>-</v>
      </c>
      <c r="T2054" s="57">
        <f>IFERROR(__xludf.DUMMYFUNCTION("""COMPUTED_VALUE"""),44860.0)</f>
        <v>44860</v>
      </c>
    </row>
    <row r="2055">
      <c r="A2055" s="6" t="str">
        <f>IFERROR(__xludf.DUMMYFUNCTION("""COMPUTED_VALUE"""),"221750438-15")</f>
        <v>221750438-15</v>
      </c>
      <c r="B2055" s="6" t="str">
        <f>IFERROR(__xludf.DUMMYFUNCTION("""COMPUTED_VALUE"""),"221750438 - Approved")</f>
        <v>221750438 - Approved</v>
      </c>
      <c r="C2055" s="6">
        <f>IFERROR(__xludf.DUMMYFUNCTION("""COMPUTED_VALUE"""),15.0)</f>
        <v>15</v>
      </c>
      <c r="D2055" s="6" t="str">
        <f>IFERROR(__xludf.DUMMYFUNCTION("""COMPUTED_VALUE"""),"R-50000-00")</f>
        <v>R-50000-00</v>
      </c>
      <c r="E2055" s="6" t="str">
        <f>IFERROR(__xludf.DUMMYFUNCTION("""COMPUTED_VALUE"""),"Lemari sepatu dan Baju Gowning AHU Lt4 600x400x1700")</f>
        <v>Lemari sepatu dan Baju Gowning AHU Lt4 600x400x1700</v>
      </c>
      <c r="F2055" s="6">
        <f>IFERROR(__xludf.DUMMYFUNCTION("""COMPUTED_VALUE"""),1.0)</f>
        <v>1</v>
      </c>
      <c r="G2055" s="6" t="str">
        <f>IFERROR(__xludf.DUMMYFUNCTION("""COMPUTED_VALUE"""),"Unit")</f>
        <v>Unit</v>
      </c>
      <c r="H2055" s="6" t="str">
        <f>IFERROR(__xludf.DUMMYFUNCTION("""COMPUTED_VALUE"""),"IDR")</f>
        <v>IDR</v>
      </c>
      <c r="I2055" s="6">
        <f>IFERROR(__xludf.DUMMYFUNCTION("""COMPUTED_VALUE"""),3570000.0)</f>
        <v>3570000</v>
      </c>
      <c r="J2055" s="6">
        <f>IFERROR(__xludf.DUMMYFUNCTION("""COMPUTED_VALUE"""),3570000.0)</f>
        <v>3570000</v>
      </c>
      <c r="K2055" s="57">
        <f>IFERROR(__xludf.DUMMYFUNCTION("""COMPUTED_VALUE"""),44834.0)</f>
        <v>44834</v>
      </c>
      <c r="L2055" s="6" t="str">
        <f>IFERROR(__xludf.DUMMYFUNCTION("""COMPUTED_VALUE"""),"FIP General")</f>
        <v>FIP General</v>
      </c>
      <c r="M2055" s="6" t="str">
        <f>IFERROR(__xludf.DUMMYFUNCTION("""COMPUTED_VALUE"""),"Kristiawan Sakti Winarno")</f>
        <v>Kristiawan Sakti Winarno</v>
      </c>
      <c r="N2055" s="6" t="str">
        <f>IFERROR(__xludf.DUMMYFUNCTION("""COMPUTED_VALUE"""),"FIP Engineering")</f>
        <v>FIP Engineering</v>
      </c>
      <c r="O2055" s="6" t="str">
        <f>IFERROR(__xludf.DUMMYFUNCTION("""COMPUTED_VALUE"""),"FIP-DOM-ENG-13406-FRNB221-INA-000000")</f>
        <v>FIP-DOM-ENG-13406-FRNB221-INA-000000</v>
      </c>
      <c r="P2055" s="6" t="str">
        <f>IFERROR(__xludf.DUMMYFUNCTION("""COMPUTED_VALUE"""),"PO Closed")</f>
        <v>PO Closed</v>
      </c>
      <c r="Q2055" s="6" t="str">
        <f>IFERROR(__xludf.DUMMYFUNCTION("""COMPUTED_VALUE"""),"GL2209060")</f>
        <v>GL2209060</v>
      </c>
      <c r="R2055" s="57">
        <f>IFERROR(__xludf.DUMMYFUNCTION("""COMPUTED_VALUE"""),44810.0)</f>
        <v>44810</v>
      </c>
      <c r="S2055" s="6" t="str">
        <f>IFERROR(__xludf.DUMMYFUNCTION("""COMPUTED_VALUE"""),"-")</f>
        <v>-</v>
      </c>
      <c r="T2055" s="57">
        <f>IFERROR(__xludf.DUMMYFUNCTION("""COMPUTED_VALUE"""),44860.0)</f>
        <v>44860</v>
      </c>
    </row>
    <row r="2056">
      <c r="A2056" s="6" t="str">
        <f>IFERROR(__xludf.DUMMYFUNCTION("""COMPUTED_VALUE"""),"221750438-17")</f>
        <v>221750438-17</v>
      </c>
      <c r="B2056" s="6" t="str">
        <f>IFERROR(__xludf.DUMMYFUNCTION("""COMPUTED_VALUE"""),"221750438 - Approved")</f>
        <v>221750438 - Approved</v>
      </c>
      <c r="C2056" s="6">
        <f>IFERROR(__xludf.DUMMYFUNCTION("""COMPUTED_VALUE"""),17.0)</f>
        <v>17</v>
      </c>
      <c r="D2056" s="6" t="str">
        <f>IFERROR(__xludf.DUMMYFUNCTION("""COMPUTED_VALUE"""),"R-50000-00")</f>
        <v>R-50000-00</v>
      </c>
      <c r="E2056" s="6" t="str">
        <f>IFERROR(__xludf.DUMMYFUNCTION("""COMPUTED_VALUE"""),"Relokasi lemari Gowning CNC")</f>
        <v>Relokasi lemari Gowning CNC</v>
      </c>
      <c r="F2056" s="6">
        <f>IFERROR(__xludf.DUMMYFUNCTION("""COMPUTED_VALUE"""),5.0)</f>
        <v>5</v>
      </c>
      <c r="G2056" s="6" t="str">
        <f>IFERROR(__xludf.DUMMYFUNCTION("""COMPUTED_VALUE"""),"Unit")</f>
        <v>Unit</v>
      </c>
      <c r="H2056" s="6" t="str">
        <f>IFERROR(__xludf.DUMMYFUNCTION("""COMPUTED_VALUE"""),"IDR")</f>
        <v>IDR</v>
      </c>
      <c r="I2056" s="6">
        <f>IFERROR(__xludf.DUMMYFUNCTION("""COMPUTED_VALUE"""),700000.0)</f>
        <v>700000</v>
      </c>
      <c r="J2056" s="6">
        <f>IFERROR(__xludf.DUMMYFUNCTION("""COMPUTED_VALUE"""),3500000.0)</f>
        <v>3500000</v>
      </c>
      <c r="K2056" s="57">
        <f>IFERROR(__xludf.DUMMYFUNCTION("""COMPUTED_VALUE"""),44834.0)</f>
        <v>44834</v>
      </c>
      <c r="L2056" s="6" t="str">
        <f>IFERROR(__xludf.DUMMYFUNCTION("""COMPUTED_VALUE"""),"FIP General")</f>
        <v>FIP General</v>
      </c>
      <c r="M2056" s="6" t="str">
        <f>IFERROR(__xludf.DUMMYFUNCTION("""COMPUTED_VALUE"""),"Kristiawan Sakti Winarno")</f>
        <v>Kristiawan Sakti Winarno</v>
      </c>
      <c r="N2056" s="6" t="str">
        <f>IFERROR(__xludf.DUMMYFUNCTION("""COMPUTED_VALUE"""),"FIP Engineering")</f>
        <v>FIP Engineering</v>
      </c>
      <c r="O2056" s="6" t="str">
        <f>IFERROR(__xludf.DUMMYFUNCTION("""COMPUTED_VALUE"""),"FIP-DOM-ENG-13406-FRNB221-INA-000000")</f>
        <v>FIP-DOM-ENG-13406-FRNB221-INA-000000</v>
      </c>
      <c r="P2056" s="6" t="str">
        <f>IFERROR(__xludf.DUMMYFUNCTION("""COMPUTED_VALUE"""),"PO Closed")</f>
        <v>PO Closed</v>
      </c>
      <c r="Q2056" s="6" t="str">
        <f>IFERROR(__xludf.DUMMYFUNCTION("""COMPUTED_VALUE"""),"GL2209060")</f>
        <v>GL2209060</v>
      </c>
      <c r="R2056" s="57">
        <f>IFERROR(__xludf.DUMMYFUNCTION("""COMPUTED_VALUE"""),44810.0)</f>
        <v>44810</v>
      </c>
      <c r="S2056" s="6" t="str">
        <f>IFERROR(__xludf.DUMMYFUNCTION("""COMPUTED_VALUE"""),"-")</f>
        <v>-</v>
      </c>
      <c r="T2056" s="57">
        <f>IFERROR(__xludf.DUMMYFUNCTION("""COMPUTED_VALUE"""),44860.0)</f>
        <v>44860</v>
      </c>
    </row>
    <row r="2057">
      <c r="A2057" s="6" t="str">
        <f>IFERROR(__xludf.DUMMYFUNCTION("""COMPUTED_VALUE"""),"221750438-18")</f>
        <v>221750438-18</v>
      </c>
      <c r="B2057" s="6" t="str">
        <f>IFERROR(__xludf.DUMMYFUNCTION("""COMPUTED_VALUE"""),"221750438 - Approved")</f>
        <v>221750438 - Approved</v>
      </c>
      <c r="C2057" s="6">
        <f>IFERROR(__xludf.DUMMYFUNCTION("""COMPUTED_VALUE"""),18.0)</f>
        <v>18</v>
      </c>
      <c r="D2057" s="6" t="str">
        <f>IFERROR(__xludf.DUMMYFUNCTION("""COMPUTED_VALUE"""),"R-50000-00")</f>
        <v>R-50000-00</v>
      </c>
      <c r="E2057" s="6" t="str">
        <f>IFERROR(__xludf.DUMMYFUNCTION("""COMPUTED_VALUE"""),"Relokasi Lemari Dokument QA,QC,ENG")</f>
        <v>Relokasi Lemari Dokument QA,QC,ENG</v>
      </c>
      <c r="F2057" s="6">
        <f>IFERROR(__xludf.DUMMYFUNCTION("""COMPUTED_VALUE"""),7.0)</f>
        <v>7</v>
      </c>
      <c r="G2057" s="6" t="str">
        <f>IFERROR(__xludf.DUMMYFUNCTION("""COMPUTED_VALUE"""),"Unit")</f>
        <v>Unit</v>
      </c>
      <c r="H2057" s="6" t="str">
        <f>IFERROR(__xludf.DUMMYFUNCTION("""COMPUTED_VALUE"""),"IDR")</f>
        <v>IDR</v>
      </c>
      <c r="I2057" s="6">
        <f>IFERROR(__xludf.DUMMYFUNCTION("""COMPUTED_VALUE"""),800000.0)</f>
        <v>800000</v>
      </c>
      <c r="J2057" s="6">
        <f>IFERROR(__xludf.DUMMYFUNCTION("""COMPUTED_VALUE"""),5600000.0)</f>
        <v>5600000</v>
      </c>
      <c r="K2057" s="57">
        <f>IFERROR(__xludf.DUMMYFUNCTION("""COMPUTED_VALUE"""),44834.0)</f>
        <v>44834</v>
      </c>
      <c r="L2057" s="6" t="str">
        <f>IFERROR(__xludf.DUMMYFUNCTION("""COMPUTED_VALUE"""),"FIP General")</f>
        <v>FIP General</v>
      </c>
      <c r="M2057" s="6" t="str">
        <f>IFERROR(__xludf.DUMMYFUNCTION("""COMPUTED_VALUE"""),"Kristiawan Sakti Winarno")</f>
        <v>Kristiawan Sakti Winarno</v>
      </c>
      <c r="N2057" s="6" t="str">
        <f>IFERROR(__xludf.DUMMYFUNCTION("""COMPUTED_VALUE"""),"FIP Engineering")</f>
        <v>FIP Engineering</v>
      </c>
      <c r="O2057" s="6" t="str">
        <f>IFERROR(__xludf.DUMMYFUNCTION("""COMPUTED_VALUE"""),"FIP-DOM-ENG-13406-FRNB221-INA-000000")</f>
        <v>FIP-DOM-ENG-13406-FRNB221-INA-000000</v>
      </c>
      <c r="P2057" s="6" t="str">
        <f>IFERROR(__xludf.DUMMYFUNCTION("""COMPUTED_VALUE"""),"PO Closed")</f>
        <v>PO Closed</v>
      </c>
      <c r="Q2057" s="6" t="str">
        <f>IFERROR(__xludf.DUMMYFUNCTION("""COMPUTED_VALUE"""),"GL2209060")</f>
        <v>GL2209060</v>
      </c>
      <c r="R2057" s="57">
        <f>IFERROR(__xludf.DUMMYFUNCTION("""COMPUTED_VALUE"""),44810.0)</f>
        <v>44810</v>
      </c>
      <c r="S2057" s="6" t="str">
        <f>IFERROR(__xludf.DUMMYFUNCTION("""COMPUTED_VALUE"""),"-")</f>
        <v>-</v>
      </c>
      <c r="T2057" s="57">
        <f>IFERROR(__xludf.DUMMYFUNCTION("""COMPUTED_VALUE"""),44860.0)</f>
        <v>44860</v>
      </c>
    </row>
    <row r="2058">
      <c r="A2058" s="6" t="str">
        <f>IFERROR(__xludf.DUMMYFUNCTION("""COMPUTED_VALUE"""),"221750438-19")</f>
        <v>221750438-19</v>
      </c>
      <c r="B2058" s="6" t="str">
        <f>IFERROR(__xludf.DUMMYFUNCTION("""COMPUTED_VALUE"""),"221750438 - Approved")</f>
        <v>221750438 - Approved</v>
      </c>
      <c r="C2058" s="6">
        <f>IFERROR(__xludf.DUMMYFUNCTION("""COMPUTED_VALUE"""),19.0)</f>
        <v>19</v>
      </c>
      <c r="D2058" s="6" t="str">
        <f>IFERROR(__xludf.DUMMYFUNCTION("""COMPUTED_VALUE"""),"R-50000-00")</f>
        <v>R-50000-00</v>
      </c>
      <c r="E2058" s="6" t="str">
        <f>IFERROR(__xludf.DUMMYFUNCTION("""COMPUTED_VALUE"""),"Relokasi Meja QA")</f>
        <v>Relokasi Meja QA</v>
      </c>
      <c r="F2058" s="6">
        <f>IFERROR(__xludf.DUMMYFUNCTION("""COMPUTED_VALUE"""),2.0)</f>
        <v>2</v>
      </c>
      <c r="G2058" s="6" t="str">
        <f>IFERROR(__xludf.DUMMYFUNCTION("""COMPUTED_VALUE"""),"Unit")</f>
        <v>Unit</v>
      </c>
      <c r="H2058" s="6" t="str">
        <f>IFERROR(__xludf.DUMMYFUNCTION("""COMPUTED_VALUE"""),"IDR")</f>
        <v>IDR</v>
      </c>
      <c r="I2058" s="6">
        <f>IFERROR(__xludf.DUMMYFUNCTION("""COMPUTED_VALUE"""),500000.0)</f>
        <v>500000</v>
      </c>
      <c r="J2058" s="6">
        <f>IFERROR(__xludf.DUMMYFUNCTION("""COMPUTED_VALUE"""),1000000.0)</f>
        <v>1000000</v>
      </c>
      <c r="K2058" s="57">
        <f>IFERROR(__xludf.DUMMYFUNCTION("""COMPUTED_VALUE"""),44834.0)</f>
        <v>44834</v>
      </c>
      <c r="L2058" s="6" t="str">
        <f>IFERROR(__xludf.DUMMYFUNCTION("""COMPUTED_VALUE"""),"FIP General")</f>
        <v>FIP General</v>
      </c>
      <c r="M2058" s="6" t="str">
        <f>IFERROR(__xludf.DUMMYFUNCTION("""COMPUTED_VALUE"""),"Kristiawan Sakti Winarno")</f>
        <v>Kristiawan Sakti Winarno</v>
      </c>
      <c r="N2058" s="6" t="str">
        <f>IFERROR(__xludf.DUMMYFUNCTION("""COMPUTED_VALUE"""),"FIP Engineering")</f>
        <v>FIP Engineering</v>
      </c>
      <c r="O2058" s="6" t="str">
        <f>IFERROR(__xludf.DUMMYFUNCTION("""COMPUTED_VALUE"""),"FIP-DOM-ENG-13406-FRNB221-INA-000000")</f>
        <v>FIP-DOM-ENG-13406-FRNB221-INA-000000</v>
      </c>
      <c r="P2058" s="6" t="str">
        <f>IFERROR(__xludf.DUMMYFUNCTION("""COMPUTED_VALUE"""),"PO Closed")</f>
        <v>PO Closed</v>
      </c>
      <c r="Q2058" s="6" t="str">
        <f>IFERROR(__xludf.DUMMYFUNCTION("""COMPUTED_VALUE"""),"GL2209060")</f>
        <v>GL2209060</v>
      </c>
      <c r="R2058" s="57">
        <f>IFERROR(__xludf.DUMMYFUNCTION("""COMPUTED_VALUE"""),44810.0)</f>
        <v>44810</v>
      </c>
      <c r="S2058" s="6" t="str">
        <f>IFERROR(__xludf.DUMMYFUNCTION("""COMPUTED_VALUE"""),"-")</f>
        <v>-</v>
      </c>
      <c r="T2058" s="57">
        <f>IFERROR(__xludf.DUMMYFUNCTION("""COMPUTED_VALUE"""),44860.0)</f>
        <v>44860</v>
      </c>
    </row>
    <row r="2059">
      <c r="A2059" s="6" t="str">
        <f>IFERROR(__xludf.DUMMYFUNCTION("""COMPUTED_VALUE"""),"221750447-1")</f>
        <v>221750447-1</v>
      </c>
      <c r="B2059" s="6" t="str">
        <f>IFERROR(__xludf.DUMMYFUNCTION("""COMPUTED_VALUE"""),"221750447 - Approved")</f>
        <v>221750447 - Approved</v>
      </c>
      <c r="C2059" s="6">
        <f>IFERROR(__xludf.DUMMYFUNCTION("""COMPUTED_VALUE"""),1.0)</f>
        <v>1</v>
      </c>
      <c r="D2059" s="6" t="str">
        <f>IFERROR(__xludf.DUMMYFUNCTION("""COMPUTED_VALUE"""),"R-20002-00")</f>
        <v>R-20002-00</v>
      </c>
      <c r="E2059" s="6" t="str">
        <f>IFERROR(__xludf.DUMMYFUNCTION("""COMPUTED_VALUE"""),"PassBox Dynamis")</f>
        <v>PassBox Dynamis</v>
      </c>
      <c r="F2059" s="6">
        <f>IFERROR(__xludf.DUMMYFUNCTION("""COMPUTED_VALUE"""),1.0)</f>
        <v>1</v>
      </c>
      <c r="G2059" s="6" t="str">
        <f>IFERROR(__xludf.DUMMYFUNCTION("""COMPUTED_VALUE"""),"Unit")</f>
        <v>Unit</v>
      </c>
      <c r="H2059" s="6" t="str">
        <f>IFERROR(__xludf.DUMMYFUNCTION("""COMPUTED_VALUE"""),"IDR")</f>
        <v>IDR</v>
      </c>
      <c r="I2059" s="6">
        <f>IFERROR(__xludf.DUMMYFUNCTION("""COMPUTED_VALUE"""),5.89E7)</f>
        <v>58900000</v>
      </c>
      <c r="J2059" s="6">
        <f>IFERROR(__xludf.DUMMYFUNCTION("""COMPUTED_VALUE"""),5.89E7)</f>
        <v>58900000</v>
      </c>
      <c r="K2059" s="57">
        <f>IFERROR(__xludf.DUMMYFUNCTION("""COMPUTED_VALUE"""),44837.0)</f>
        <v>44837</v>
      </c>
      <c r="L2059" s="6" t="str">
        <f>IFERROR(__xludf.DUMMYFUNCTION("""COMPUTED_VALUE"""),"FIP General")</f>
        <v>FIP General</v>
      </c>
      <c r="M2059" s="6" t="str">
        <f>IFERROR(__xludf.DUMMYFUNCTION("""COMPUTED_VALUE"""),"Kristiawan Sakti Winarno")</f>
        <v>Kristiawan Sakti Winarno</v>
      </c>
      <c r="N2059" s="6" t="str">
        <f>IFERROR(__xludf.DUMMYFUNCTION("""COMPUTED_VALUE"""),"FIP Engineering")</f>
        <v>FIP Engineering</v>
      </c>
      <c r="O2059" s="6" t="str">
        <f>IFERROR(__xludf.DUMMYFUNCTION("""COMPUTED_VALUE"""),"FIP-DOM-ENG-13405-EQNB229-INA-000000")</f>
        <v>FIP-DOM-ENG-13405-EQNB229-INA-000000</v>
      </c>
      <c r="P2059" s="6" t="str">
        <f>IFERROR(__xludf.DUMMYFUNCTION("""COMPUTED_VALUE"""),"PO Closed")</f>
        <v>PO Closed</v>
      </c>
      <c r="Q2059" s="6" t="str">
        <f>IFERROR(__xludf.DUMMYFUNCTION("""COMPUTED_VALUE"""),"GL2209023")</f>
        <v>GL2209023</v>
      </c>
      <c r="R2059" s="57">
        <f>IFERROR(__xludf.DUMMYFUNCTION("""COMPUTED_VALUE"""),44811.0)</f>
        <v>44811</v>
      </c>
      <c r="S2059" s="6" t="str">
        <f>IFERROR(__xludf.DUMMYFUNCTION("""COMPUTED_VALUE"""),"-")</f>
        <v>-</v>
      </c>
      <c r="T2059" s="57">
        <f>IFERROR(__xludf.DUMMYFUNCTION("""COMPUTED_VALUE"""),44837.0)</f>
        <v>44837</v>
      </c>
    </row>
    <row r="2060">
      <c r="A2060" s="6" t="str">
        <f>IFERROR(__xludf.DUMMYFUNCTION("""COMPUTED_VALUE"""),"221750447-2")</f>
        <v>221750447-2</v>
      </c>
      <c r="B2060" s="6" t="str">
        <f>IFERROR(__xludf.DUMMYFUNCTION("""COMPUTED_VALUE"""),"221750447 - Approved")</f>
        <v>221750447 - Approved</v>
      </c>
      <c r="C2060" s="6">
        <f>IFERROR(__xludf.DUMMYFUNCTION("""COMPUTED_VALUE"""),2.0)</f>
        <v>2</v>
      </c>
      <c r="D2060" s="6" t="str">
        <f>IFERROR(__xludf.DUMMYFUNCTION("""COMPUTED_VALUE"""),"R-20002-00")</f>
        <v>R-20002-00</v>
      </c>
      <c r="E2060" s="6" t="str">
        <f>IFERROR(__xludf.DUMMYFUNCTION("""COMPUTED_VALUE"""),"Pindah Pas Box Micro Lama")</f>
        <v>Pindah Pas Box Micro Lama</v>
      </c>
      <c r="F2060" s="6">
        <f>IFERROR(__xludf.DUMMYFUNCTION("""COMPUTED_VALUE"""),1.0)</f>
        <v>1</v>
      </c>
      <c r="G2060" s="6" t="str">
        <f>IFERROR(__xludf.DUMMYFUNCTION("""COMPUTED_VALUE"""),"Unit")</f>
        <v>Unit</v>
      </c>
      <c r="H2060" s="6" t="str">
        <f>IFERROR(__xludf.DUMMYFUNCTION("""COMPUTED_VALUE"""),"IDR")</f>
        <v>IDR</v>
      </c>
      <c r="I2060" s="6">
        <f>IFERROR(__xludf.DUMMYFUNCTION("""COMPUTED_VALUE"""),3491250.0)</f>
        <v>3491250</v>
      </c>
      <c r="J2060" s="6">
        <f>IFERROR(__xludf.DUMMYFUNCTION("""COMPUTED_VALUE"""),3491250.0)</f>
        <v>3491250</v>
      </c>
      <c r="K2060" s="57">
        <f>IFERROR(__xludf.DUMMYFUNCTION("""COMPUTED_VALUE"""),44834.0)</f>
        <v>44834</v>
      </c>
      <c r="L2060" s="6" t="str">
        <f>IFERROR(__xludf.DUMMYFUNCTION("""COMPUTED_VALUE"""),"FIP General")</f>
        <v>FIP General</v>
      </c>
      <c r="M2060" s="6" t="str">
        <f>IFERROR(__xludf.DUMMYFUNCTION("""COMPUTED_VALUE"""),"Kristiawan Sakti Winarno")</f>
        <v>Kristiawan Sakti Winarno</v>
      </c>
      <c r="N2060" s="6" t="str">
        <f>IFERROR(__xludf.DUMMYFUNCTION("""COMPUTED_VALUE"""),"FIP Engineering")</f>
        <v>FIP Engineering</v>
      </c>
      <c r="O2060" s="6" t="str">
        <f>IFERROR(__xludf.DUMMYFUNCTION("""COMPUTED_VALUE"""),"FIP-DOM-ENG-13405-EQNB229-INA-000000")</f>
        <v>FIP-DOM-ENG-13405-EQNB229-INA-000000</v>
      </c>
      <c r="P2060" s="6" t="str">
        <f>IFERROR(__xludf.DUMMYFUNCTION("""COMPUTED_VALUE"""),"PO Closed")</f>
        <v>PO Closed</v>
      </c>
      <c r="Q2060" s="6" t="str">
        <f>IFERROR(__xludf.DUMMYFUNCTION("""COMPUTED_VALUE"""),"GL2209025")</f>
        <v>GL2209025</v>
      </c>
      <c r="R2060" s="57">
        <f>IFERROR(__xludf.DUMMYFUNCTION("""COMPUTED_VALUE"""),44811.0)</f>
        <v>44811</v>
      </c>
      <c r="S2060" s="6" t="str">
        <f>IFERROR(__xludf.DUMMYFUNCTION("""COMPUTED_VALUE"""),"-")</f>
        <v>-</v>
      </c>
      <c r="T2060" s="57">
        <f>IFERROR(__xludf.DUMMYFUNCTION("""COMPUTED_VALUE"""),44834.0)</f>
        <v>44834</v>
      </c>
    </row>
    <row r="2061">
      <c r="A2061" s="6" t="str">
        <f>IFERROR(__xludf.DUMMYFUNCTION("""COMPUTED_VALUE"""),"221750446-1")</f>
        <v>221750446-1</v>
      </c>
      <c r="B2061" s="6" t="str">
        <f>IFERROR(__xludf.DUMMYFUNCTION("""COMPUTED_VALUE"""),"221750446 - Approved")</f>
        <v>221750446 - Approved</v>
      </c>
      <c r="C2061" s="6">
        <f>IFERROR(__xludf.DUMMYFUNCTION("""COMPUTED_VALUE"""),1.0)</f>
        <v>1</v>
      </c>
      <c r="D2061" s="6" t="str">
        <f>IFERROR(__xludf.DUMMYFUNCTION("""COMPUTED_VALUE"""),"R-71000-00")</f>
        <v>R-71000-00</v>
      </c>
      <c r="E2061" s="6" t="str">
        <f>IFERROR(__xludf.DUMMYFUNCTION("""COMPUTED_VALUE"""),"Renovasi Ruangan QA")</f>
        <v>Renovasi Ruangan QA</v>
      </c>
      <c r="F2061" s="6">
        <f>IFERROR(__xludf.DUMMYFUNCTION("""COMPUTED_VALUE"""),1.0)</f>
        <v>1</v>
      </c>
      <c r="G2061" s="6" t="str">
        <f>IFERROR(__xludf.DUMMYFUNCTION("""COMPUTED_VALUE"""),"Unit")</f>
        <v>Unit</v>
      </c>
      <c r="H2061" s="6" t="str">
        <f>IFERROR(__xludf.DUMMYFUNCTION("""COMPUTED_VALUE"""),"IDR")</f>
        <v>IDR</v>
      </c>
      <c r="I2061" s="6">
        <f>IFERROR(__xludf.DUMMYFUNCTION("""COMPUTED_VALUE"""),8.1049387E7)</f>
        <v>81049387</v>
      </c>
      <c r="J2061" s="6">
        <f>IFERROR(__xludf.DUMMYFUNCTION("""COMPUTED_VALUE"""),8.1049387E7)</f>
        <v>81049387</v>
      </c>
      <c r="K2061" s="57">
        <f>IFERROR(__xludf.DUMMYFUNCTION("""COMPUTED_VALUE"""),44834.0)</f>
        <v>44834</v>
      </c>
      <c r="L2061" s="6" t="str">
        <f>IFERROR(__xludf.DUMMYFUNCTION("""COMPUTED_VALUE"""),"FIP General")</f>
        <v>FIP General</v>
      </c>
      <c r="M2061" s="6" t="str">
        <f>IFERROR(__xludf.DUMMYFUNCTION("""COMPUTED_VALUE"""),"Kristiawan Sakti Winarno")</f>
        <v>Kristiawan Sakti Winarno</v>
      </c>
      <c r="N2061" s="6" t="str">
        <f>IFERROR(__xludf.DUMMYFUNCTION("""COMPUTED_VALUE"""),"FIP Engineering")</f>
        <v>FIP Engineering</v>
      </c>
      <c r="O2061" s="6" t="str">
        <f>IFERROR(__xludf.DUMMYFUNCTION("""COMPUTED_VALUE"""),"FIP-DOM-ENG-13402-BL22001-INA-000000")</f>
        <v>FIP-DOM-ENG-13402-BL22001-INA-000000</v>
      </c>
      <c r="P2061" s="6" t="str">
        <f>IFERROR(__xludf.DUMMYFUNCTION("""COMPUTED_VALUE"""),"PO Closed")</f>
        <v>PO Closed</v>
      </c>
      <c r="Q2061" s="6" t="str">
        <f>IFERROR(__xludf.DUMMYFUNCTION("""COMPUTED_VALUE"""),"GL2210001")</f>
        <v>GL2210001</v>
      </c>
      <c r="R2061" s="57">
        <f>IFERROR(__xludf.DUMMYFUNCTION("""COMPUTED_VALUE"""),44811.0)</f>
        <v>44811</v>
      </c>
      <c r="S2061" s="6" t="str">
        <f>IFERROR(__xludf.DUMMYFUNCTION("""COMPUTED_VALUE"""),"-")</f>
        <v>-</v>
      </c>
      <c r="T2061" s="6" t="str">
        <f>IFERROR(__xludf.DUMMYFUNCTION("""COMPUTED_VALUE"""),"-")</f>
        <v>-</v>
      </c>
    </row>
    <row r="2062">
      <c r="A2062" s="6" t="str">
        <f>IFERROR(__xludf.DUMMYFUNCTION("""COMPUTED_VALUE"""),"221750446-2")</f>
        <v>221750446-2</v>
      </c>
      <c r="B2062" s="6" t="str">
        <f>IFERROR(__xludf.DUMMYFUNCTION("""COMPUTED_VALUE"""),"221750446 - Approved")</f>
        <v>221750446 - Approved</v>
      </c>
      <c r="C2062" s="6">
        <f>IFERROR(__xludf.DUMMYFUNCTION("""COMPUTED_VALUE"""),2.0)</f>
        <v>2</v>
      </c>
      <c r="D2062" s="6" t="str">
        <f>IFERROR(__xludf.DUMMYFUNCTION("""COMPUTED_VALUE"""),"R-71000-00")</f>
        <v>R-71000-00</v>
      </c>
      <c r="E2062" s="6" t="str">
        <f>IFERROR(__xludf.DUMMYFUNCTION("""COMPUTED_VALUE"""),"Renovasi Ruangan QC &amp; TS")</f>
        <v>Renovasi Ruangan QC &amp; TS</v>
      </c>
      <c r="F2062" s="6">
        <f>IFERROR(__xludf.DUMMYFUNCTION("""COMPUTED_VALUE"""),1.0)</f>
        <v>1</v>
      </c>
      <c r="G2062" s="6" t="str">
        <f>IFERROR(__xludf.DUMMYFUNCTION("""COMPUTED_VALUE"""),"Unit")</f>
        <v>Unit</v>
      </c>
      <c r="H2062" s="6" t="str">
        <f>IFERROR(__xludf.DUMMYFUNCTION("""COMPUTED_VALUE"""),"IDR")</f>
        <v>IDR</v>
      </c>
      <c r="I2062" s="6">
        <f>IFERROR(__xludf.DUMMYFUNCTION("""COMPUTED_VALUE"""),3.232185E7)</f>
        <v>32321850</v>
      </c>
      <c r="J2062" s="6">
        <f>IFERROR(__xludf.DUMMYFUNCTION("""COMPUTED_VALUE"""),3.232185E7)</f>
        <v>32321850</v>
      </c>
      <c r="K2062" s="57">
        <f>IFERROR(__xludf.DUMMYFUNCTION("""COMPUTED_VALUE"""),44834.0)</f>
        <v>44834</v>
      </c>
      <c r="L2062" s="6" t="str">
        <f>IFERROR(__xludf.DUMMYFUNCTION("""COMPUTED_VALUE"""),"FIP General")</f>
        <v>FIP General</v>
      </c>
      <c r="M2062" s="6" t="str">
        <f>IFERROR(__xludf.DUMMYFUNCTION("""COMPUTED_VALUE"""),"Kristiawan Sakti Winarno")</f>
        <v>Kristiawan Sakti Winarno</v>
      </c>
      <c r="N2062" s="6" t="str">
        <f>IFERROR(__xludf.DUMMYFUNCTION("""COMPUTED_VALUE"""),"FIP Engineering")</f>
        <v>FIP Engineering</v>
      </c>
      <c r="O2062" s="6" t="str">
        <f>IFERROR(__xludf.DUMMYFUNCTION("""COMPUTED_VALUE"""),"FIP-DOM-ENG-13402-BL22001-INA-000000")</f>
        <v>FIP-DOM-ENG-13402-BL22001-INA-000000</v>
      </c>
      <c r="P2062" s="6" t="str">
        <f>IFERROR(__xludf.DUMMYFUNCTION("""COMPUTED_VALUE"""),"PO Closed")</f>
        <v>PO Closed</v>
      </c>
      <c r="Q2062" s="6" t="str">
        <f>IFERROR(__xludf.DUMMYFUNCTION("""COMPUTED_VALUE"""),"GL2210001")</f>
        <v>GL2210001</v>
      </c>
      <c r="R2062" s="57">
        <f>IFERROR(__xludf.DUMMYFUNCTION("""COMPUTED_VALUE"""),44811.0)</f>
        <v>44811</v>
      </c>
      <c r="S2062" s="6" t="str">
        <f>IFERROR(__xludf.DUMMYFUNCTION("""COMPUTED_VALUE"""),"-")</f>
        <v>-</v>
      </c>
      <c r="T2062" s="6" t="str">
        <f>IFERROR(__xludf.DUMMYFUNCTION("""COMPUTED_VALUE"""),"-")</f>
        <v>-</v>
      </c>
    </row>
    <row r="2063">
      <c r="A2063" s="6" t="str">
        <f>IFERROR(__xludf.DUMMYFUNCTION("""COMPUTED_VALUE"""),"221750445-1")</f>
        <v>221750445-1</v>
      </c>
      <c r="B2063" s="6" t="str">
        <f>IFERROR(__xludf.DUMMYFUNCTION("""COMPUTED_VALUE"""),"221750445 - Approved")</f>
        <v>221750445 - Approved</v>
      </c>
      <c r="C2063" s="6">
        <f>IFERROR(__xludf.DUMMYFUNCTION("""COMPUTED_VALUE"""),1.0)</f>
        <v>1</v>
      </c>
      <c r="D2063" s="6" t="str">
        <f>IFERROR(__xludf.DUMMYFUNCTION("""COMPUTED_VALUE"""),"S-60002-00")</f>
        <v>S-60002-00</v>
      </c>
      <c r="E2063" s="6" t="str">
        <f>IFERROR(__xludf.DUMMYFUNCTION("""COMPUTED_VALUE"""),"Pengecatan lantai Epoxy Area Washbay")</f>
        <v>Pengecatan lantai Epoxy Area Washbay</v>
      </c>
      <c r="F2063" s="6">
        <f>IFERROR(__xludf.DUMMYFUNCTION("""COMPUTED_VALUE"""),1.0)</f>
        <v>1</v>
      </c>
      <c r="G2063" s="6" t="str">
        <f>IFERROR(__xludf.DUMMYFUNCTION("""COMPUTED_VALUE"""),"Lot")</f>
        <v>Lot</v>
      </c>
      <c r="H2063" s="6" t="str">
        <f>IFERROR(__xludf.DUMMYFUNCTION("""COMPUTED_VALUE"""),"IDR")</f>
        <v>IDR</v>
      </c>
      <c r="I2063" s="6">
        <f>IFERROR(__xludf.DUMMYFUNCTION("""COMPUTED_VALUE"""),4.4544075E7)</f>
        <v>44544075</v>
      </c>
      <c r="J2063" s="6">
        <f>IFERROR(__xludf.DUMMYFUNCTION("""COMPUTED_VALUE"""),4.4544075E7)</f>
        <v>44544075</v>
      </c>
      <c r="K2063" s="57">
        <f>IFERROR(__xludf.DUMMYFUNCTION("""COMPUTED_VALUE"""),44834.0)</f>
        <v>44834</v>
      </c>
      <c r="L2063" s="6" t="str">
        <f>IFERROR(__xludf.DUMMYFUNCTION("""COMPUTED_VALUE"""),"FIP General")</f>
        <v>FIP General</v>
      </c>
      <c r="M2063" s="6" t="str">
        <f>IFERROR(__xludf.DUMMYFUNCTION("""COMPUTED_VALUE"""),"Irwan Sopian")</f>
        <v>Irwan Sopian</v>
      </c>
      <c r="N2063" s="6" t="str">
        <f>IFERROR(__xludf.DUMMYFUNCTION("""COMPUTED_VALUE"""),"FIP Engineering")</f>
        <v>FIP Engineering</v>
      </c>
      <c r="O2063" s="6" t="str">
        <f>IFERROR(__xludf.DUMMYFUNCTION("""COMPUTED_VALUE"""),"FIP-DOM-ENG-51508-0000000-INA-000000")</f>
        <v>FIP-DOM-ENG-51508-0000000-INA-000000</v>
      </c>
      <c r="P2063" s="6" t="str">
        <f>IFERROR(__xludf.DUMMYFUNCTION("""COMPUTED_VALUE"""),"PO Closed")</f>
        <v>PO Closed</v>
      </c>
      <c r="Q2063" s="6" t="str">
        <f>IFERROR(__xludf.DUMMYFUNCTION("""COMPUTED_VALUE"""),"GL2210006")</f>
        <v>GL2210006</v>
      </c>
      <c r="R2063" s="57">
        <f>IFERROR(__xludf.DUMMYFUNCTION("""COMPUTED_VALUE"""),44811.0)</f>
        <v>44811</v>
      </c>
      <c r="S2063" s="6" t="str">
        <f>IFERROR(__xludf.DUMMYFUNCTION("""COMPUTED_VALUE"""),"-")</f>
        <v>-</v>
      </c>
      <c r="T2063" s="6" t="str">
        <f>IFERROR(__xludf.DUMMYFUNCTION("""COMPUTED_VALUE"""),"-")</f>
        <v>-</v>
      </c>
    </row>
    <row r="2064">
      <c r="A2064" s="6" t="str">
        <f>IFERROR(__xludf.DUMMYFUNCTION("""COMPUTED_VALUE"""),"221750445-2")</f>
        <v>221750445-2</v>
      </c>
      <c r="B2064" s="6" t="str">
        <f>IFERROR(__xludf.DUMMYFUNCTION("""COMPUTED_VALUE"""),"221750445 - Approved")</f>
        <v>221750445 - Approved</v>
      </c>
      <c r="C2064" s="6">
        <f>IFERROR(__xludf.DUMMYFUNCTION("""COMPUTED_VALUE"""),2.0)</f>
        <v>2</v>
      </c>
      <c r="D2064" s="6" t="str">
        <f>IFERROR(__xludf.DUMMYFUNCTION("""COMPUTED_VALUE"""),"S-60002-00")</f>
        <v>S-60002-00</v>
      </c>
      <c r="E2064" s="6" t="str">
        <f>IFERROR(__xludf.DUMMYFUNCTION("""COMPUTED_VALUE"""),"Pengecatan lantai Epoxy Area Capping")</f>
        <v>Pengecatan lantai Epoxy Area Capping</v>
      </c>
      <c r="F2064" s="6">
        <f>IFERROR(__xludf.DUMMYFUNCTION("""COMPUTED_VALUE"""),1.0)</f>
        <v>1</v>
      </c>
      <c r="G2064" s="6" t="str">
        <f>IFERROR(__xludf.DUMMYFUNCTION("""COMPUTED_VALUE"""),"Lot")</f>
        <v>Lot</v>
      </c>
      <c r="H2064" s="6" t="str">
        <f>IFERROR(__xludf.DUMMYFUNCTION("""COMPUTED_VALUE"""),"IDR")</f>
        <v>IDR</v>
      </c>
      <c r="I2064" s="6">
        <f>IFERROR(__xludf.DUMMYFUNCTION("""COMPUTED_VALUE"""),2.8896378E7)</f>
        <v>28896378</v>
      </c>
      <c r="J2064" s="6">
        <f>IFERROR(__xludf.DUMMYFUNCTION("""COMPUTED_VALUE"""),2.8896378E7)</f>
        <v>28896378</v>
      </c>
      <c r="K2064" s="57">
        <f>IFERROR(__xludf.DUMMYFUNCTION("""COMPUTED_VALUE"""),44834.0)</f>
        <v>44834</v>
      </c>
      <c r="L2064" s="6" t="str">
        <f>IFERROR(__xludf.DUMMYFUNCTION("""COMPUTED_VALUE"""),"FIP General")</f>
        <v>FIP General</v>
      </c>
      <c r="M2064" s="6" t="str">
        <f>IFERROR(__xludf.DUMMYFUNCTION("""COMPUTED_VALUE"""),"Irwan Sopian")</f>
        <v>Irwan Sopian</v>
      </c>
      <c r="N2064" s="6" t="str">
        <f>IFERROR(__xludf.DUMMYFUNCTION("""COMPUTED_VALUE"""),"FIP Engineering")</f>
        <v>FIP Engineering</v>
      </c>
      <c r="O2064" s="6" t="str">
        <f>IFERROR(__xludf.DUMMYFUNCTION("""COMPUTED_VALUE"""),"FIP-DOM-ENG-51508-0000000-INA-000000")</f>
        <v>FIP-DOM-ENG-51508-0000000-INA-000000</v>
      </c>
      <c r="P2064" s="6" t="str">
        <f>IFERROR(__xludf.DUMMYFUNCTION("""COMPUTED_VALUE"""),"PO Closed")</f>
        <v>PO Closed</v>
      </c>
      <c r="Q2064" s="6" t="str">
        <f>IFERROR(__xludf.DUMMYFUNCTION("""COMPUTED_VALUE"""),"GL2210006")</f>
        <v>GL2210006</v>
      </c>
      <c r="R2064" s="57">
        <f>IFERROR(__xludf.DUMMYFUNCTION("""COMPUTED_VALUE"""),44811.0)</f>
        <v>44811</v>
      </c>
      <c r="S2064" s="6" t="str">
        <f>IFERROR(__xludf.DUMMYFUNCTION("""COMPUTED_VALUE"""),"-")</f>
        <v>-</v>
      </c>
      <c r="T2064" s="6" t="str">
        <f>IFERROR(__xludf.DUMMYFUNCTION("""COMPUTED_VALUE"""),"-")</f>
        <v>-</v>
      </c>
    </row>
    <row r="2065">
      <c r="A2065" s="6" t="str">
        <f>IFERROR(__xludf.DUMMYFUNCTION("""COMPUTED_VALUE"""),"221750445-3")</f>
        <v>221750445-3</v>
      </c>
      <c r="B2065" s="6" t="str">
        <f>IFERROR(__xludf.DUMMYFUNCTION("""COMPUTED_VALUE"""),"221750445 - Approved")</f>
        <v>221750445 - Approved</v>
      </c>
      <c r="C2065" s="6">
        <f>IFERROR(__xludf.DUMMYFUNCTION("""COMPUTED_VALUE"""),3.0)</f>
        <v>3</v>
      </c>
      <c r="D2065" s="6" t="str">
        <f>IFERROR(__xludf.DUMMYFUNCTION("""COMPUTED_VALUE"""),"S-60002-00")</f>
        <v>S-60002-00</v>
      </c>
      <c r="E2065" s="6" t="str">
        <f>IFERROR(__xludf.DUMMYFUNCTION("""COMPUTED_VALUE"""),"Pengecatan lantai Epoxy Area Washing")</f>
        <v>Pengecatan lantai Epoxy Area Washing</v>
      </c>
      <c r="F2065" s="6">
        <f>IFERROR(__xludf.DUMMYFUNCTION("""COMPUTED_VALUE"""),1.0)</f>
        <v>1</v>
      </c>
      <c r="G2065" s="6" t="str">
        <f>IFERROR(__xludf.DUMMYFUNCTION("""COMPUTED_VALUE"""),"Lot")</f>
        <v>Lot</v>
      </c>
      <c r="H2065" s="6" t="str">
        <f>IFERROR(__xludf.DUMMYFUNCTION("""COMPUTED_VALUE"""),"IDR")</f>
        <v>IDR</v>
      </c>
      <c r="I2065" s="6">
        <f>IFERROR(__xludf.DUMMYFUNCTION("""COMPUTED_VALUE"""),2.5430128E7)</f>
        <v>25430128</v>
      </c>
      <c r="J2065" s="6">
        <f>IFERROR(__xludf.DUMMYFUNCTION("""COMPUTED_VALUE"""),2.5430128E7)</f>
        <v>25430128</v>
      </c>
      <c r="K2065" s="57">
        <f>IFERROR(__xludf.DUMMYFUNCTION("""COMPUTED_VALUE"""),44834.0)</f>
        <v>44834</v>
      </c>
      <c r="L2065" s="6" t="str">
        <f>IFERROR(__xludf.DUMMYFUNCTION("""COMPUTED_VALUE"""),"FIP General")</f>
        <v>FIP General</v>
      </c>
      <c r="M2065" s="6" t="str">
        <f>IFERROR(__xludf.DUMMYFUNCTION("""COMPUTED_VALUE"""),"Irwan Sopian")</f>
        <v>Irwan Sopian</v>
      </c>
      <c r="N2065" s="6" t="str">
        <f>IFERROR(__xludf.DUMMYFUNCTION("""COMPUTED_VALUE"""),"FIP Engineering")</f>
        <v>FIP Engineering</v>
      </c>
      <c r="O2065" s="6" t="str">
        <f>IFERROR(__xludf.DUMMYFUNCTION("""COMPUTED_VALUE"""),"FIP-DOM-ENG-51508-0000000-INA-000000")</f>
        <v>FIP-DOM-ENG-51508-0000000-INA-000000</v>
      </c>
      <c r="P2065" s="6" t="str">
        <f>IFERROR(__xludf.DUMMYFUNCTION("""COMPUTED_VALUE"""),"PO Closed")</f>
        <v>PO Closed</v>
      </c>
      <c r="Q2065" s="6" t="str">
        <f>IFERROR(__xludf.DUMMYFUNCTION("""COMPUTED_VALUE"""),"GL2210006")</f>
        <v>GL2210006</v>
      </c>
      <c r="R2065" s="57">
        <f>IFERROR(__xludf.DUMMYFUNCTION("""COMPUTED_VALUE"""),44811.0)</f>
        <v>44811</v>
      </c>
      <c r="S2065" s="6" t="str">
        <f>IFERROR(__xludf.DUMMYFUNCTION("""COMPUTED_VALUE"""),"-")</f>
        <v>-</v>
      </c>
      <c r="T2065" s="6" t="str">
        <f>IFERROR(__xludf.DUMMYFUNCTION("""COMPUTED_VALUE"""),"-")</f>
        <v>-</v>
      </c>
    </row>
    <row r="2066">
      <c r="A2066" s="6" t="str">
        <f>IFERROR(__xludf.DUMMYFUNCTION("""COMPUTED_VALUE"""),"221750445-4")</f>
        <v>221750445-4</v>
      </c>
      <c r="B2066" s="6" t="str">
        <f>IFERROR(__xludf.DUMMYFUNCTION("""COMPUTED_VALUE"""),"221750445 - Approved")</f>
        <v>221750445 - Approved</v>
      </c>
      <c r="C2066" s="6">
        <f>IFERROR(__xludf.DUMMYFUNCTION("""COMPUTED_VALUE"""),4.0)</f>
        <v>4</v>
      </c>
      <c r="D2066" s="6" t="str">
        <f>IFERROR(__xludf.DUMMYFUNCTION("""COMPUTED_VALUE"""),"S-60002-00")</f>
        <v>S-60002-00</v>
      </c>
      <c r="E2066" s="6" t="str">
        <f>IFERROR(__xludf.DUMMYFUNCTION("""COMPUTED_VALUE"""),"Pengecatan lantai Epoxy Area MAL")</f>
        <v>Pengecatan lantai Epoxy Area MAL</v>
      </c>
      <c r="F2066" s="6">
        <f>IFERROR(__xludf.DUMMYFUNCTION("""COMPUTED_VALUE"""),1.0)</f>
        <v>1</v>
      </c>
      <c r="G2066" s="6" t="str">
        <f>IFERROR(__xludf.DUMMYFUNCTION("""COMPUTED_VALUE"""),"Lot")</f>
        <v>Lot</v>
      </c>
      <c r="H2066" s="6" t="str">
        <f>IFERROR(__xludf.DUMMYFUNCTION("""COMPUTED_VALUE"""),"IDR")</f>
        <v>IDR</v>
      </c>
      <c r="I2066" s="6">
        <f>IFERROR(__xludf.DUMMYFUNCTION("""COMPUTED_VALUE"""),1.7463375E7)</f>
        <v>17463375</v>
      </c>
      <c r="J2066" s="6">
        <f>IFERROR(__xludf.DUMMYFUNCTION("""COMPUTED_VALUE"""),1.7463375E7)</f>
        <v>17463375</v>
      </c>
      <c r="K2066" s="57">
        <f>IFERROR(__xludf.DUMMYFUNCTION("""COMPUTED_VALUE"""),44834.0)</f>
        <v>44834</v>
      </c>
      <c r="L2066" s="6" t="str">
        <f>IFERROR(__xludf.DUMMYFUNCTION("""COMPUTED_VALUE"""),"FIP General")</f>
        <v>FIP General</v>
      </c>
      <c r="M2066" s="6" t="str">
        <f>IFERROR(__xludf.DUMMYFUNCTION("""COMPUTED_VALUE"""),"Irwan Sopian")</f>
        <v>Irwan Sopian</v>
      </c>
      <c r="N2066" s="6" t="str">
        <f>IFERROR(__xludf.DUMMYFUNCTION("""COMPUTED_VALUE"""),"FIP Engineering")</f>
        <v>FIP Engineering</v>
      </c>
      <c r="O2066" s="6" t="str">
        <f>IFERROR(__xludf.DUMMYFUNCTION("""COMPUTED_VALUE"""),"FIP-DOM-ENG-51508-0000000-INA-000000")</f>
        <v>FIP-DOM-ENG-51508-0000000-INA-000000</v>
      </c>
      <c r="P2066" s="6" t="str">
        <f>IFERROR(__xludf.DUMMYFUNCTION("""COMPUTED_VALUE"""),"PO Closed")</f>
        <v>PO Closed</v>
      </c>
      <c r="Q2066" s="6" t="str">
        <f>IFERROR(__xludf.DUMMYFUNCTION("""COMPUTED_VALUE"""),"GL2209053")</f>
        <v>GL2209053</v>
      </c>
      <c r="R2066" s="57">
        <f>IFERROR(__xludf.DUMMYFUNCTION("""COMPUTED_VALUE"""),44811.0)</f>
        <v>44811</v>
      </c>
      <c r="S2066" s="6" t="str">
        <f>IFERROR(__xludf.DUMMYFUNCTION("""COMPUTED_VALUE"""),"-")</f>
        <v>-</v>
      </c>
      <c r="T2066" s="6" t="str">
        <f>IFERROR(__xludf.DUMMYFUNCTION("""COMPUTED_VALUE"""),"-")</f>
        <v>-</v>
      </c>
    </row>
    <row r="2067">
      <c r="A2067" s="6" t="str">
        <f>IFERROR(__xludf.DUMMYFUNCTION("""COMPUTED_VALUE"""),"221750445-5")</f>
        <v>221750445-5</v>
      </c>
      <c r="B2067" s="6" t="str">
        <f>IFERROR(__xludf.DUMMYFUNCTION("""COMPUTED_VALUE"""),"221750445 - Approved")</f>
        <v>221750445 - Approved</v>
      </c>
      <c r="C2067" s="6">
        <f>IFERROR(__xludf.DUMMYFUNCTION("""COMPUTED_VALUE"""),5.0)</f>
        <v>5</v>
      </c>
      <c r="D2067" s="6" t="str">
        <f>IFERROR(__xludf.DUMMYFUNCTION("""COMPUTED_VALUE"""),"S-60002-00")</f>
        <v>S-60002-00</v>
      </c>
      <c r="E2067" s="6" t="str">
        <f>IFERROR(__xludf.DUMMYFUNCTION("""COMPUTED_VALUE"""),"Perbaikan expantion joint area produksi (Deletasi Lantai Beton)")</f>
        <v>Perbaikan expantion joint area produksi (Deletasi Lantai Beton)</v>
      </c>
      <c r="F2067" s="6">
        <f>IFERROR(__xludf.DUMMYFUNCTION("""COMPUTED_VALUE"""),1.0)</f>
        <v>1</v>
      </c>
      <c r="G2067" s="6" t="str">
        <f>IFERROR(__xludf.DUMMYFUNCTION("""COMPUTED_VALUE"""),"Lot")</f>
        <v>Lot</v>
      </c>
      <c r="H2067" s="6" t="str">
        <f>IFERROR(__xludf.DUMMYFUNCTION("""COMPUTED_VALUE"""),"IDR")</f>
        <v>IDR</v>
      </c>
      <c r="I2067" s="6">
        <f>IFERROR(__xludf.DUMMYFUNCTION("""COMPUTED_VALUE"""),1.5440944E7)</f>
        <v>15440944</v>
      </c>
      <c r="J2067" s="6">
        <f>IFERROR(__xludf.DUMMYFUNCTION("""COMPUTED_VALUE"""),1.5440944E7)</f>
        <v>15440944</v>
      </c>
      <c r="K2067" s="57">
        <f>IFERROR(__xludf.DUMMYFUNCTION("""COMPUTED_VALUE"""),44834.0)</f>
        <v>44834</v>
      </c>
      <c r="L2067" s="6" t="str">
        <f>IFERROR(__xludf.DUMMYFUNCTION("""COMPUTED_VALUE"""),"FIP General")</f>
        <v>FIP General</v>
      </c>
      <c r="M2067" s="6" t="str">
        <f>IFERROR(__xludf.DUMMYFUNCTION("""COMPUTED_VALUE"""),"Irwan Sopian")</f>
        <v>Irwan Sopian</v>
      </c>
      <c r="N2067" s="6" t="str">
        <f>IFERROR(__xludf.DUMMYFUNCTION("""COMPUTED_VALUE"""),"FIP Engineering")</f>
        <v>FIP Engineering</v>
      </c>
      <c r="O2067" s="6" t="str">
        <f>IFERROR(__xludf.DUMMYFUNCTION("""COMPUTED_VALUE"""),"FIP-DOM-ENG-51508-0000000-INA-000000")</f>
        <v>FIP-DOM-ENG-51508-0000000-INA-000000</v>
      </c>
      <c r="P2067" s="6" t="str">
        <f>IFERROR(__xludf.DUMMYFUNCTION("""COMPUTED_VALUE"""),"PO Closed")</f>
        <v>PO Closed</v>
      </c>
      <c r="Q2067" s="6" t="str">
        <f>IFERROR(__xludf.DUMMYFUNCTION("""COMPUTED_VALUE"""),"GL2209053")</f>
        <v>GL2209053</v>
      </c>
      <c r="R2067" s="57">
        <f>IFERROR(__xludf.DUMMYFUNCTION("""COMPUTED_VALUE"""),44811.0)</f>
        <v>44811</v>
      </c>
      <c r="S2067" s="6" t="str">
        <f>IFERROR(__xludf.DUMMYFUNCTION("""COMPUTED_VALUE"""),"-")</f>
        <v>-</v>
      </c>
      <c r="T2067" s="57">
        <f>IFERROR(__xludf.DUMMYFUNCTION("""COMPUTED_VALUE"""),44839.0)</f>
        <v>44839</v>
      </c>
    </row>
    <row r="2068">
      <c r="A2068" s="6" t="str">
        <f>IFERROR(__xludf.DUMMYFUNCTION("""COMPUTED_VALUE"""),"221750445-6")</f>
        <v>221750445-6</v>
      </c>
      <c r="B2068" s="6" t="str">
        <f>IFERROR(__xludf.DUMMYFUNCTION("""COMPUTED_VALUE"""),"221750445 - Approved")</f>
        <v>221750445 - Approved</v>
      </c>
      <c r="C2068" s="6">
        <f>IFERROR(__xludf.DUMMYFUNCTION("""COMPUTED_VALUE"""),6.0)</f>
        <v>6</v>
      </c>
      <c r="D2068" s="6" t="str">
        <f>IFERROR(__xludf.DUMMYFUNCTION("""COMPUTED_VALUE"""),"S-60002-00")</f>
        <v>S-60002-00</v>
      </c>
      <c r="E2068" s="6" t="str">
        <f>IFERROR(__xludf.DUMMYFUNCTION("""COMPUTED_VALUE"""),"Pasang Pintu Geser di Area Tangga Loby lt.1")</f>
        <v>Pasang Pintu Geser di Area Tangga Loby lt.1</v>
      </c>
      <c r="F2068" s="6">
        <f>IFERROR(__xludf.DUMMYFUNCTION("""COMPUTED_VALUE"""),1.0)</f>
        <v>1</v>
      </c>
      <c r="G2068" s="6" t="str">
        <f>IFERROR(__xludf.DUMMYFUNCTION("""COMPUTED_VALUE"""),"Lot")</f>
        <v>Lot</v>
      </c>
      <c r="H2068" s="6" t="str">
        <f>IFERROR(__xludf.DUMMYFUNCTION("""COMPUTED_VALUE"""),"IDR")</f>
        <v>IDR</v>
      </c>
      <c r="I2068" s="6">
        <f>IFERROR(__xludf.DUMMYFUNCTION("""COMPUTED_VALUE"""),7481250.0)</f>
        <v>7481250</v>
      </c>
      <c r="J2068" s="6">
        <f>IFERROR(__xludf.DUMMYFUNCTION("""COMPUTED_VALUE"""),7481250.0)</f>
        <v>7481250</v>
      </c>
      <c r="K2068" s="57">
        <f>IFERROR(__xludf.DUMMYFUNCTION("""COMPUTED_VALUE"""),44834.0)</f>
        <v>44834</v>
      </c>
      <c r="L2068" s="6" t="str">
        <f>IFERROR(__xludf.DUMMYFUNCTION("""COMPUTED_VALUE"""),"FIP General")</f>
        <v>FIP General</v>
      </c>
      <c r="M2068" s="6" t="str">
        <f>IFERROR(__xludf.DUMMYFUNCTION("""COMPUTED_VALUE"""),"Irwan Sopian")</f>
        <v>Irwan Sopian</v>
      </c>
      <c r="N2068" s="6" t="str">
        <f>IFERROR(__xludf.DUMMYFUNCTION("""COMPUTED_VALUE"""),"FIP Engineering")</f>
        <v>FIP Engineering</v>
      </c>
      <c r="O2068" s="6" t="str">
        <f>IFERROR(__xludf.DUMMYFUNCTION("""COMPUTED_VALUE"""),"FIP-DOM-ENG-51508-0000000-INA-000000")</f>
        <v>FIP-DOM-ENG-51508-0000000-INA-000000</v>
      </c>
      <c r="P2068" s="6" t="str">
        <f>IFERROR(__xludf.DUMMYFUNCTION("""COMPUTED_VALUE"""),"PO Closed")</f>
        <v>PO Closed</v>
      </c>
      <c r="Q2068" s="6" t="str">
        <f>IFERROR(__xludf.DUMMYFUNCTION("""COMPUTED_VALUE"""),"GL2209053")</f>
        <v>GL2209053</v>
      </c>
      <c r="R2068" s="57">
        <f>IFERROR(__xludf.DUMMYFUNCTION("""COMPUTED_VALUE"""),44811.0)</f>
        <v>44811</v>
      </c>
      <c r="S2068" s="6" t="str">
        <f>IFERROR(__xludf.DUMMYFUNCTION("""COMPUTED_VALUE"""),"-")</f>
        <v>-</v>
      </c>
      <c r="T2068" s="6" t="str">
        <f>IFERROR(__xludf.DUMMYFUNCTION("""COMPUTED_VALUE"""),"-")</f>
        <v>-</v>
      </c>
    </row>
    <row r="2069">
      <c r="A2069" s="6" t="str">
        <f>IFERROR(__xludf.DUMMYFUNCTION("""COMPUTED_VALUE"""),"221750445-7")</f>
        <v>221750445-7</v>
      </c>
      <c r="B2069" s="6" t="str">
        <f>IFERROR(__xludf.DUMMYFUNCTION("""COMPUTED_VALUE"""),"221750445 - Approved")</f>
        <v>221750445 - Approved</v>
      </c>
      <c r="C2069" s="6">
        <f>IFERROR(__xludf.DUMMYFUNCTION("""COMPUTED_VALUE"""),7.0)</f>
        <v>7</v>
      </c>
      <c r="D2069" s="6" t="str">
        <f>IFERROR(__xludf.DUMMYFUNCTION("""COMPUTED_VALUE"""),"S-60002-00")</f>
        <v>S-60002-00</v>
      </c>
      <c r="E2069" s="6" t="str">
        <f>IFERROR(__xludf.DUMMYFUNCTION("""COMPUTED_VALUE"""),"Pembuatan Ruang Laktasi ke Sebelah Library")</f>
        <v>Pembuatan Ruang Laktasi ke Sebelah Library</v>
      </c>
      <c r="F2069" s="6">
        <f>IFERROR(__xludf.DUMMYFUNCTION("""COMPUTED_VALUE"""),1.0)</f>
        <v>1</v>
      </c>
      <c r="G2069" s="6" t="str">
        <f>IFERROR(__xludf.DUMMYFUNCTION("""COMPUTED_VALUE"""),"Lot")</f>
        <v>Lot</v>
      </c>
      <c r="H2069" s="6" t="str">
        <f>IFERROR(__xludf.DUMMYFUNCTION("""COMPUTED_VALUE"""),"IDR")</f>
        <v>IDR</v>
      </c>
      <c r="I2069" s="6">
        <f>IFERROR(__xludf.DUMMYFUNCTION("""COMPUTED_VALUE"""),1.5562995E7)</f>
        <v>15562995</v>
      </c>
      <c r="J2069" s="6">
        <f>IFERROR(__xludf.DUMMYFUNCTION("""COMPUTED_VALUE"""),1.5562995E7)</f>
        <v>15562995</v>
      </c>
      <c r="K2069" s="57">
        <f>IFERROR(__xludf.DUMMYFUNCTION("""COMPUTED_VALUE"""),44834.0)</f>
        <v>44834</v>
      </c>
      <c r="L2069" s="6" t="str">
        <f>IFERROR(__xludf.DUMMYFUNCTION("""COMPUTED_VALUE"""),"FIP General")</f>
        <v>FIP General</v>
      </c>
      <c r="M2069" s="6" t="str">
        <f>IFERROR(__xludf.DUMMYFUNCTION("""COMPUTED_VALUE"""),"Irwan Sopian")</f>
        <v>Irwan Sopian</v>
      </c>
      <c r="N2069" s="6" t="str">
        <f>IFERROR(__xludf.DUMMYFUNCTION("""COMPUTED_VALUE"""),"FIP Engineering")</f>
        <v>FIP Engineering</v>
      </c>
      <c r="O2069" s="6" t="str">
        <f>IFERROR(__xludf.DUMMYFUNCTION("""COMPUTED_VALUE"""),"FIP-DOM-ENG-51508-0000000-INA-000000")</f>
        <v>FIP-DOM-ENG-51508-0000000-INA-000000</v>
      </c>
      <c r="P2069" s="6" t="str">
        <f>IFERROR(__xludf.DUMMYFUNCTION("""COMPUTED_VALUE"""),"PO Closed")</f>
        <v>PO Closed</v>
      </c>
      <c r="Q2069" s="6" t="str">
        <f>IFERROR(__xludf.DUMMYFUNCTION("""COMPUTED_VALUE"""),"GL2211029")</f>
        <v>GL2211029</v>
      </c>
      <c r="R2069" s="57">
        <f>IFERROR(__xludf.DUMMYFUNCTION("""COMPUTED_VALUE"""),44811.0)</f>
        <v>44811</v>
      </c>
      <c r="S2069" s="6" t="str">
        <f>IFERROR(__xludf.DUMMYFUNCTION("""COMPUTED_VALUE"""),"-")</f>
        <v>-</v>
      </c>
      <c r="T2069" s="6" t="str">
        <f>IFERROR(__xludf.DUMMYFUNCTION("""COMPUTED_VALUE"""),"-")</f>
        <v>-</v>
      </c>
    </row>
    <row r="2070">
      <c r="A2070" s="6" t="str">
        <f>IFERROR(__xludf.DUMMYFUNCTION("""COMPUTED_VALUE"""),"221750445-8")</f>
        <v>221750445-8</v>
      </c>
      <c r="B2070" s="6" t="str">
        <f>IFERROR(__xludf.DUMMYFUNCTION("""COMPUTED_VALUE"""),"221750445 - Approved")</f>
        <v>221750445 - Approved</v>
      </c>
      <c r="C2070" s="6">
        <f>IFERROR(__xludf.DUMMYFUNCTION("""COMPUTED_VALUE"""),8.0)</f>
        <v>8</v>
      </c>
      <c r="D2070" s="6" t="str">
        <f>IFERROR(__xludf.DUMMYFUNCTION("""COMPUTED_VALUE"""),"S-60002-00")</f>
        <v>S-60002-00</v>
      </c>
      <c r="E2070" s="6" t="str">
        <f>IFERROR(__xludf.DUMMYFUNCTION("""COMPUTED_VALUE"""),"Pengecatan &amp; Perbaikan Retak Dinding Area Tangga")</f>
        <v>Pengecatan &amp; Perbaikan Retak Dinding Area Tangga</v>
      </c>
      <c r="F2070" s="6">
        <f>IFERROR(__xludf.DUMMYFUNCTION("""COMPUTED_VALUE"""),1.0)</f>
        <v>1</v>
      </c>
      <c r="G2070" s="6" t="str">
        <f>IFERROR(__xludf.DUMMYFUNCTION("""COMPUTED_VALUE"""),"Lot")</f>
        <v>Lot</v>
      </c>
      <c r="H2070" s="6" t="str">
        <f>IFERROR(__xludf.DUMMYFUNCTION("""COMPUTED_VALUE"""),"IDR")</f>
        <v>IDR</v>
      </c>
      <c r="I2070" s="6">
        <f>IFERROR(__xludf.DUMMYFUNCTION("""COMPUTED_VALUE"""),2.9795788E7)</f>
        <v>29795788</v>
      </c>
      <c r="J2070" s="6">
        <f>IFERROR(__xludf.DUMMYFUNCTION("""COMPUTED_VALUE"""),2.9795788E7)</f>
        <v>29795788</v>
      </c>
      <c r="K2070" s="57">
        <f>IFERROR(__xludf.DUMMYFUNCTION("""COMPUTED_VALUE"""),44834.0)</f>
        <v>44834</v>
      </c>
      <c r="L2070" s="6" t="str">
        <f>IFERROR(__xludf.DUMMYFUNCTION("""COMPUTED_VALUE"""),"FIP General")</f>
        <v>FIP General</v>
      </c>
      <c r="M2070" s="6" t="str">
        <f>IFERROR(__xludf.DUMMYFUNCTION("""COMPUTED_VALUE"""),"Irwan Sopian")</f>
        <v>Irwan Sopian</v>
      </c>
      <c r="N2070" s="6" t="str">
        <f>IFERROR(__xludf.DUMMYFUNCTION("""COMPUTED_VALUE"""),"FIP Engineering")</f>
        <v>FIP Engineering</v>
      </c>
      <c r="O2070" s="6" t="str">
        <f>IFERROR(__xludf.DUMMYFUNCTION("""COMPUTED_VALUE"""),"FIP-DOM-ENG-51508-0000000-INA-000000")</f>
        <v>FIP-DOM-ENG-51508-0000000-INA-000000</v>
      </c>
      <c r="P2070" s="6" t="str">
        <f>IFERROR(__xludf.DUMMYFUNCTION("""COMPUTED_VALUE"""),"PO Closed")</f>
        <v>PO Closed</v>
      </c>
      <c r="Q2070" s="6" t="str">
        <f>IFERROR(__xludf.DUMMYFUNCTION("""COMPUTED_VALUE"""),"GL2209053")</f>
        <v>GL2209053</v>
      </c>
      <c r="R2070" s="57">
        <f>IFERROR(__xludf.DUMMYFUNCTION("""COMPUTED_VALUE"""),44811.0)</f>
        <v>44811</v>
      </c>
      <c r="S2070" s="6" t="str">
        <f>IFERROR(__xludf.DUMMYFUNCTION("""COMPUTED_VALUE"""),"-")</f>
        <v>-</v>
      </c>
      <c r="T2070" s="57">
        <f>IFERROR(__xludf.DUMMYFUNCTION("""COMPUTED_VALUE"""),44839.0)</f>
        <v>44839</v>
      </c>
    </row>
    <row r="2071">
      <c r="A2071" s="6" t="str">
        <f>IFERROR(__xludf.DUMMYFUNCTION("""COMPUTED_VALUE"""),"221750445-9")</f>
        <v>221750445-9</v>
      </c>
      <c r="B2071" s="6" t="str">
        <f>IFERROR(__xludf.DUMMYFUNCTION("""COMPUTED_VALUE"""),"221750445 - Approved")</f>
        <v>221750445 - Approved</v>
      </c>
      <c r="C2071" s="6">
        <f>IFERROR(__xludf.DUMMYFUNCTION("""COMPUTED_VALUE"""),9.0)</f>
        <v>9</v>
      </c>
      <c r="D2071" s="6" t="str">
        <f>IFERROR(__xludf.DUMMYFUNCTION("""COMPUTED_VALUE"""),"S-60002-00")</f>
        <v>S-60002-00</v>
      </c>
      <c r="E2071" s="6" t="str">
        <f>IFERROR(__xludf.DUMMYFUNCTION("""COMPUTED_VALUE"""),"Pemasangan Pintu Kaca Toilet Lt3")</f>
        <v>Pemasangan Pintu Kaca Toilet Lt3</v>
      </c>
      <c r="F2071" s="6">
        <f>IFERROR(__xludf.DUMMYFUNCTION("""COMPUTED_VALUE"""),1.0)</f>
        <v>1</v>
      </c>
      <c r="G2071" s="6" t="str">
        <f>IFERROR(__xludf.DUMMYFUNCTION("""COMPUTED_VALUE"""),"Lot")</f>
        <v>Lot</v>
      </c>
      <c r="H2071" s="6" t="str">
        <f>IFERROR(__xludf.DUMMYFUNCTION("""COMPUTED_VALUE"""),"IDR")</f>
        <v>IDR</v>
      </c>
      <c r="I2071" s="6">
        <f>IFERROR(__xludf.DUMMYFUNCTION("""COMPUTED_VALUE"""),5500000.0)</f>
        <v>5500000</v>
      </c>
      <c r="J2071" s="6">
        <f>IFERROR(__xludf.DUMMYFUNCTION("""COMPUTED_VALUE"""),5500000.0)</f>
        <v>5500000</v>
      </c>
      <c r="K2071" s="57">
        <f>IFERROR(__xludf.DUMMYFUNCTION("""COMPUTED_VALUE"""),44834.0)</f>
        <v>44834</v>
      </c>
      <c r="L2071" s="6" t="str">
        <f>IFERROR(__xludf.DUMMYFUNCTION("""COMPUTED_VALUE"""),"FIP General")</f>
        <v>FIP General</v>
      </c>
      <c r="M2071" s="6" t="str">
        <f>IFERROR(__xludf.DUMMYFUNCTION("""COMPUTED_VALUE"""),"Irwan Sopian")</f>
        <v>Irwan Sopian</v>
      </c>
      <c r="N2071" s="6" t="str">
        <f>IFERROR(__xludf.DUMMYFUNCTION("""COMPUTED_VALUE"""),"FIP Engineering")</f>
        <v>FIP Engineering</v>
      </c>
      <c r="O2071" s="6" t="str">
        <f>IFERROR(__xludf.DUMMYFUNCTION("""COMPUTED_VALUE"""),"FIP-DOM-ENG-51508-0000000-INA-000000")</f>
        <v>FIP-DOM-ENG-51508-0000000-INA-000000</v>
      </c>
      <c r="P2071" s="6" t="str">
        <f>IFERROR(__xludf.DUMMYFUNCTION("""COMPUTED_VALUE"""),"PO Closed")</f>
        <v>PO Closed</v>
      </c>
      <c r="Q2071" s="6" t="str">
        <f>IFERROR(__xludf.DUMMYFUNCTION("""COMPUTED_VALUE"""),"GL2211029")</f>
        <v>GL2211029</v>
      </c>
      <c r="R2071" s="57">
        <f>IFERROR(__xludf.DUMMYFUNCTION("""COMPUTED_VALUE"""),44811.0)</f>
        <v>44811</v>
      </c>
      <c r="S2071" s="6" t="str">
        <f>IFERROR(__xludf.DUMMYFUNCTION("""COMPUTED_VALUE"""),"-")</f>
        <v>-</v>
      </c>
      <c r="T2071" s="6" t="str">
        <f>IFERROR(__xludf.DUMMYFUNCTION("""COMPUTED_VALUE"""),"-")</f>
        <v>-</v>
      </c>
    </row>
    <row r="2072">
      <c r="A2072" s="6" t="str">
        <f>IFERROR(__xludf.DUMMYFUNCTION("""COMPUTED_VALUE"""),"221750445-10")</f>
        <v>221750445-10</v>
      </c>
      <c r="B2072" s="6" t="str">
        <f>IFERROR(__xludf.DUMMYFUNCTION("""COMPUTED_VALUE"""),"221750445 - Approved")</f>
        <v>221750445 - Approved</v>
      </c>
      <c r="C2072" s="6">
        <f>IFERROR(__xludf.DUMMYFUNCTION("""COMPUTED_VALUE"""),10.0)</f>
        <v>10</v>
      </c>
      <c r="D2072" s="6" t="str">
        <f>IFERROR(__xludf.DUMMYFUNCTION("""COMPUTED_VALUE"""),"S-60002-00")</f>
        <v>S-60002-00</v>
      </c>
      <c r="E2072" s="6" t="str">
        <f>IFERROR(__xludf.DUMMYFUNCTION("""COMPUTED_VALUE"""),"Pengecatan Pintu Area CNC")</f>
        <v>Pengecatan Pintu Area CNC</v>
      </c>
      <c r="F2072" s="6">
        <f>IFERROR(__xludf.DUMMYFUNCTION("""COMPUTED_VALUE"""),44.0)</f>
        <v>44</v>
      </c>
      <c r="G2072" s="6" t="str">
        <f>IFERROR(__xludf.DUMMYFUNCTION("""COMPUTED_VALUE"""),"Lot")</f>
        <v>Lot</v>
      </c>
      <c r="H2072" s="6" t="str">
        <f>IFERROR(__xludf.DUMMYFUNCTION("""COMPUTED_VALUE"""),"IDR")</f>
        <v>IDR</v>
      </c>
      <c r="I2072" s="6">
        <f>IFERROR(__xludf.DUMMYFUNCTION("""COMPUTED_VALUE"""),522500.0)</f>
        <v>522500</v>
      </c>
      <c r="J2072" s="6">
        <f>IFERROR(__xludf.DUMMYFUNCTION("""COMPUTED_VALUE"""),2.299E7)</f>
        <v>22990000</v>
      </c>
      <c r="K2072" s="57">
        <f>IFERROR(__xludf.DUMMYFUNCTION("""COMPUTED_VALUE"""),44834.0)</f>
        <v>44834</v>
      </c>
      <c r="L2072" s="6" t="str">
        <f>IFERROR(__xludf.DUMMYFUNCTION("""COMPUTED_VALUE"""),"FIP General")</f>
        <v>FIP General</v>
      </c>
      <c r="M2072" s="6" t="str">
        <f>IFERROR(__xludf.DUMMYFUNCTION("""COMPUTED_VALUE"""),"Irwan Sopian")</f>
        <v>Irwan Sopian</v>
      </c>
      <c r="N2072" s="6" t="str">
        <f>IFERROR(__xludf.DUMMYFUNCTION("""COMPUTED_VALUE"""),"FIP Engineering")</f>
        <v>FIP Engineering</v>
      </c>
      <c r="O2072" s="6" t="str">
        <f>IFERROR(__xludf.DUMMYFUNCTION("""COMPUTED_VALUE"""),"FIP-DOM-ENG-51508-0000000-INA-000000")</f>
        <v>FIP-DOM-ENG-51508-0000000-INA-000000</v>
      </c>
      <c r="P2072" s="6" t="str">
        <f>IFERROR(__xludf.DUMMYFUNCTION("""COMPUTED_VALUE"""),"PO Closed")</f>
        <v>PO Closed</v>
      </c>
      <c r="Q2072" s="6" t="str">
        <f>IFERROR(__xludf.DUMMYFUNCTION("""COMPUTED_VALUE"""),"GL2209053")</f>
        <v>GL2209053</v>
      </c>
      <c r="R2072" s="57">
        <f>IFERROR(__xludf.DUMMYFUNCTION("""COMPUTED_VALUE"""),44811.0)</f>
        <v>44811</v>
      </c>
      <c r="S2072" s="6" t="str">
        <f>IFERROR(__xludf.DUMMYFUNCTION("""COMPUTED_VALUE"""),"-")</f>
        <v>-</v>
      </c>
      <c r="T2072" s="57">
        <f>IFERROR(__xludf.DUMMYFUNCTION("""COMPUTED_VALUE"""),44839.0)</f>
        <v>44839</v>
      </c>
    </row>
    <row r="2073">
      <c r="A2073" s="6" t="str">
        <f>IFERROR(__xludf.DUMMYFUNCTION("""COMPUTED_VALUE"""),"221750445-11")</f>
        <v>221750445-11</v>
      </c>
      <c r="B2073" s="6" t="str">
        <f>IFERROR(__xludf.DUMMYFUNCTION("""COMPUTED_VALUE"""),"221750445 - Approved")</f>
        <v>221750445 - Approved</v>
      </c>
      <c r="C2073" s="6">
        <f>IFERROR(__xludf.DUMMYFUNCTION("""COMPUTED_VALUE"""),11.0)</f>
        <v>11</v>
      </c>
      <c r="D2073" s="6" t="str">
        <f>IFERROR(__xludf.DUMMYFUNCTION("""COMPUTED_VALUE"""),"S-60002-00")</f>
        <v>S-60002-00</v>
      </c>
      <c r="E2073" s="6" t="str">
        <f>IFERROR(__xludf.DUMMYFUNCTION("""COMPUTED_VALUE"""),"Pengecatan Plafon Koridor Locker Produksi")</f>
        <v>Pengecatan Plafon Koridor Locker Produksi</v>
      </c>
      <c r="F2073" s="6">
        <f>IFERROR(__xludf.DUMMYFUNCTION("""COMPUTED_VALUE"""),1.0)</f>
        <v>1</v>
      </c>
      <c r="G2073" s="6" t="str">
        <f>IFERROR(__xludf.DUMMYFUNCTION("""COMPUTED_VALUE"""),"Lot")</f>
        <v>Lot</v>
      </c>
      <c r="H2073" s="6" t="str">
        <f>IFERROR(__xludf.DUMMYFUNCTION("""COMPUTED_VALUE"""),"IDR")</f>
        <v>IDR</v>
      </c>
      <c r="I2073" s="6">
        <f>IFERROR(__xludf.DUMMYFUNCTION("""COMPUTED_VALUE"""),1039500.0)</f>
        <v>1039500</v>
      </c>
      <c r="J2073" s="6">
        <f>IFERROR(__xludf.DUMMYFUNCTION("""COMPUTED_VALUE"""),1039500.0)</f>
        <v>1039500</v>
      </c>
      <c r="K2073" s="57">
        <f>IFERROR(__xludf.DUMMYFUNCTION("""COMPUTED_VALUE"""),44834.0)</f>
        <v>44834</v>
      </c>
      <c r="L2073" s="6" t="str">
        <f>IFERROR(__xludf.DUMMYFUNCTION("""COMPUTED_VALUE"""),"FIP General")</f>
        <v>FIP General</v>
      </c>
      <c r="M2073" s="6" t="str">
        <f>IFERROR(__xludf.DUMMYFUNCTION("""COMPUTED_VALUE"""),"Irwan Sopian")</f>
        <v>Irwan Sopian</v>
      </c>
      <c r="N2073" s="6" t="str">
        <f>IFERROR(__xludf.DUMMYFUNCTION("""COMPUTED_VALUE"""),"FIP Engineering")</f>
        <v>FIP Engineering</v>
      </c>
      <c r="O2073" s="6" t="str">
        <f>IFERROR(__xludf.DUMMYFUNCTION("""COMPUTED_VALUE"""),"FIP-DOM-ENG-51508-0000000-INA-000000")</f>
        <v>FIP-DOM-ENG-51508-0000000-INA-000000</v>
      </c>
      <c r="P2073" s="6" t="str">
        <f>IFERROR(__xludf.DUMMYFUNCTION("""COMPUTED_VALUE"""),"PO Closed")</f>
        <v>PO Closed</v>
      </c>
      <c r="Q2073" s="6" t="str">
        <f>IFERROR(__xludf.DUMMYFUNCTION("""COMPUTED_VALUE"""),"GL2209053")</f>
        <v>GL2209053</v>
      </c>
      <c r="R2073" s="57">
        <f>IFERROR(__xludf.DUMMYFUNCTION("""COMPUTED_VALUE"""),44811.0)</f>
        <v>44811</v>
      </c>
      <c r="S2073" s="6" t="str">
        <f>IFERROR(__xludf.DUMMYFUNCTION("""COMPUTED_VALUE"""),"-")</f>
        <v>-</v>
      </c>
      <c r="T2073" s="57">
        <f>IFERROR(__xludf.DUMMYFUNCTION("""COMPUTED_VALUE"""),44839.0)</f>
        <v>44839</v>
      </c>
    </row>
    <row r="2074">
      <c r="A2074" s="6" t="str">
        <f>IFERROR(__xludf.DUMMYFUNCTION("""COMPUTED_VALUE"""),"221750439-11")</f>
        <v>221750439-11</v>
      </c>
      <c r="B2074" s="6" t="str">
        <f>IFERROR(__xludf.DUMMYFUNCTION("""COMPUTED_VALUE"""),"221750439 - Approved")</f>
        <v>221750439 - Approved</v>
      </c>
      <c r="C2074" s="6">
        <f>IFERROR(__xludf.DUMMYFUNCTION("""COMPUTED_VALUE"""),11.0)</f>
        <v>11</v>
      </c>
      <c r="D2074" s="6" t="str">
        <f>IFERROR(__xludf.DUMMYFUNCTION("""COMPUTED_VALUE"""),"R-50000-00")</f>
        <v>R-50000-00</v>
      </c>
      <c r="E2074" s="6" t="str">
        <f>IFERROR(__xludf.DUMMYFUNCTION("""COMPUTED_VALUE"""),"Potong Bondor area B-OFF Filling untuk lemari,area C-OFF Mixing untuk rak sepatu dan area C-OFF SND2 untuk rak sepatu")</f>
        <v>Potong Bondor area B-OFF Filling untuk lemari,area C-OFF Mixing untuk rak sepatu dan area C-OFF SND2 untuk rak sepatu</v>
      </c>
      <c r="F2074" s="6">
        <f>IFERROR(__xludf.DUMMYFUNCTION("""COMPUTED_VALUE"""),1.0)</f>
        <v>1</v>
      </c>
      <c r="G2074" s="6" t="str">
        <f>IFERROR(__xludf.DUMMYFUNCTION("""COMPUTED_VALUE"""),"Lot")</f>
        <v>Lot</v>
      </c>
      <c r="H2074" s="6" t="str">
        <f>IFERROR(__xludf.DUMMYFUNCTION("""COMPUTED_VALUE"""),"IDR")</f>
        <v>IDR</v>
      </c>
      <c r="I2074" s="6">
        <f>IFERROR(__xludf.DUMMYFUNCTION("""COMPUTED_VALUE"""),4275000.0)</f>
        <v>4275000</v>
      </c>
      <c r="J2074" s="6">
        <f>IFERROR(__xludf.DUMMYFUNCTION("""COMPUTED_VALUE"""),4275000.0)</f>
        <v>4275000</v>
      </c>
      <c r="K2074" s="57">
        <f>IFERROR(__xludf.DUMMYFUNCTION("""COMPUTED_VALUE"""),44834.0)</f>
        <v>44834</v>
      </c>
      <c r="L2074" s="6" t="str">
        <f>IFERROR(__xludf.DUMMYFUNCTION("""COMPUTED_VALUE"""),"FIP General")</f>
        <v>FIP General</v>
      </c>
      <c r="M2074" s="6" t="str">
        <f>IFERROR(__xludf.DUMMYFUNCTION("""COMPUTED_VALUE"""),"Kristiawan Sakti Winarno")</f>
        <v>Kristiawan Sakti Winarno</v>
      </c>
      <c r="N2074" s="6" t="str">
        <f>IFERROR(__xludf.DUMMYFUNCTION("""COMPUTED_VALUE"""),"FIP Engineering")</f>
        <v>FIP Engineering</v>
      </c>
      <c r="O2074" s="6" t="str">
        <f>IFERROR(__xludf.DUMMYFUNCTION("""COMPUTED_VALUE"""),"FIP-DOM-ENG-13406-FRNB222-INA-000000")</f>
        <v>FIP-DOM-ENG-13406-FRNB222-INA-000000</v>
      </c>
      <c r="P2074" s="6" t="str">
        <f>IFERROR(__xludf.DUMMYFUNCTION("""COMPUTED_VALUE"""),"PO Closed")</f>
        <v>PO Closed</v>
      </c>
      <c r="Q2074" s="6" t="str">
        <f>IFERROR(__xludf.DUMMYFUNCTION("""COMPUTED_VALUE"""),"GL2209053")</f>
        <v>GL2209053</v>
      </c>
      <c r="R2074" s="57">
        <f>IFERROR(__xludf.DUMMYFUNCTION("""COMPUTED_VALUE"""),44811.0)</f>
        <v>44811</v>
      </c>
      <c r="S2074" s="6" t="str">
        <f>IFERROR(__xludf.DUMMYFUNCTION("""COMPUTED_VALUE"""),"-")</f>
        <v>-</v>
      </c>
      <c r="T2074" s="6" t="str">
        <f>IFERROR(__xludf.DUMMYFUNCTION("""COMPUTED_VALUE"""),"-")</f>
        <v>-</v>
      </c>
    </row>
    <row r="2075">
      <c r="A2075" s="6" t="str">
        <f>IFERROR(__xludf.DUMMYFUNCTION("""COMPUTED_VALUE"""),"221750438-20")</f>
        <v>221750438-20</v>
      </c>
      <c r="B2075" s="6" t="str">
        <f>IFERROR(__xludf.DUMMYFUNCTION("""COMPUTED_VALUE"""),"221750438 - Approved")</f>
        <v>221750438 - Approved</v>
      </c>
      <c r="C2075" s="6">
        <f>IFERROR(__xludf.DUMMYFUNCTION("""COMPUTED_VALUE"""),20.0)</f>
        <v>20</v>
      </c>
      <c r="D2075" s="6" t="str">
        <f>IFERROR(__xludf.DUMMYFUNCTION("""COMPUTED_VALUE"""),"R-50000-00")</f>
        <v>R-50000-00</v>
      </c>
      <c r="E2075" s="6" t="str">
        <f>IFERROR(__xludf.DUMMYFUNCTION("""COMPUTED_VALUE"""),"Bongkar Rak Sepatu CNC")</f>
        <v>Bongkar Rak Sepatu CNC</v>
      </c>
      <c r="F2075" s="6">
        <f>IFERROR(__xludf.DUMMYFUNCTION("""COMPUTED_VALUE"""),3.0)</f>
        <v>3</v>
      </c>
      <c r="G2075" s="6" t="str">
        <f>IFERROR(__xludf.DUMMYFUNCTION("""COMPUTED_VALUE"""),"Unit")</f>
        <v>Unit</v>
      </c>
      <c r="H2075" s="6" t="str">
        <f>IFERROR(__xludf.DUMMYFUNCTION("""COMPUTED_VALUE"""),"IDR")</f>
        <v>IDR</v>
      </c>
      <c r="I2075" s="6">
        <f>IFERROR(__xludf.DUMMYFUNCTION("""COMPUTED_VALUE"""),900000.0)</f>
        <v>900000</v>
      </c>
      <c r="J2075" s="6">
        <f>IFERROR(__xludf.DUMMYFUNCTION("""COMPUTED_VALUE"""),2700000.0)</f>
        <v>2700000</v>
      </c>
      <c r="K2075" s="57">
        <f>IFERROR(__xludf.DUMMYFUNCTION("""COMPUTED_VALUE"""),44834.0)</f>
        <v>44834</v>
      </c>
      <c r="L2075" s="6" t="str">
        <f>IFERROR(__xludf.DUMMYFUNCTION("""COMPUTED_VALUE"""),"FIP General")</f>
        <v>FIP General</v>
      </c>
      <c r="M2075" s="6" t="str">
        <f>IFERROR(__xludf.DUMMYFUNCTION("""COMPUTED_VALUE"""),"Kristiawan Sakti Winarno")</f>
        <v>Kristiawan Sakti Winarno</v>
      </c>
      <c r="N2075" s="6" t="str">
        <f>IFERROR(__xludf.DUMMYFUNCTION("""COMPUTED_VALUE"""),"FIP Engineering")</f>
        <v>FIP Engineering</v>
      </c>
      <c r="O2075" s="6" t="str">
        <f>IFERROR(__xludf.DUMMYFUNCTION("""COMPUTED_VALUE"""),"FIP-DOM-ENG-13406-FRNB221-INA-000000")</f>
        <v>FIP-DOM-ENG-13406-FRNB221-INA-000000</v>
      </c>
      <c r="P2075" s="6" t="str">
        <f>IFERROR(__xludf.DUMMYFUNCTION("""COMPUTED_VALUE"""),"PO Closed")</f>
        <v>PO Closed</v>
      </c>
      <c r="Q2075" s="6" t="str">
        <f>IFERROR(__xludf.DUMMYFUNCTION("""COMPUTED_VALUE"""),"GL2209030")</f>
        <v>GL2209030</v>
      </c>
      <c r="R2075" s="57">
        <f>IFERROR(__xludf.DUMMYFUNCTION("""COMPUTED_VALUE"""),44811.0)</f>
        <v>44811</v>
      </c>
      <c r="S2075" s="6" t="str">
        <f>IFERROR(__xludf.DUMMYFUNCTION("""COMPUTED_VALUE"""),"-")</f>
        <v>-</v>
      </c>
      <c r="T2075" s="57">
        <f>IFERROR(__xludf.DUMMYFUNCTION("""COMPUTED_VALUE"""),44844.0)</f>
        <v>44844</v>
      </c>
    </row>
    <row r="2076">
      <c r="A2076" s="6" t="str">
        <f>IFERROR(__xludf.DUMMYFUNCTION("""COMPUTED_VALUE"""),"221750438-21")</f>
        <v>221750438-21</v>
      </c>
      <c r="B2076" s="6" t="str">
        <f>IFERROR(__xludf.DUMMYFUNCTION("""COMPUTED_VALUE"""),"221750438 - Approved")</f>
        <v>221750438 - Approved</v>
      </c>
      <c r="C2076" s="6">
        <f>IFERROR(__xludf.DUMMYFUNCTION("""COMPUTED_VALUE"""),21.0)</f>
        <v>21</v>
      </c>
      <c r="D2076" s="6" t="str">
        <f>IFERROR(__xludf.DUMMYFUNCTION("""COMPUTED_VALUE"""),"R-50000-00")</f>
        <v>R-50000-00</v>
      </c>
      <c r="E2076" s="6" t="str">
        <f>IFERROR(__xludf.DUMMYFUNCTION("""COMPUTED_VALUE"""),"Lemari Baju Kotor Gowning Lt3 490x490x950")</f>
        <v>Lemari Baju Kotor Gowning Lt3 490x490x950</v>
      </c>
      <c r="F2076" s="6">
        <f>IFERROR(__xludf.DUMMYFUNCTION("""COMPUTED_VALUE"""),1.0)</f>
        <v>1</v>
      </c>
      <c r="G2076" s="6" t="str">
        <f>IFERROR(__xludf.DUMMYFUNCTION("""COMPUTED_VALUE"""),"Unit")</f>
        <v>Unit</v>
      </c>
      <c r="H2076" s="6" t="str">
        <f>IFERROR(__xludf.DUMMYFUNCTION("""COMPUTED_VALUE"""),"IDR")</f>
        <v>IDR</v>
      </c>
      <c r="I2076" s="6">
        <f>IFERROR(__xludf.DUMMYFUNCTION("""COMPUTED_VALUE"""),1700000.0)</f>
        <v>1700000</v>
      </c>
      <c r="J2076" s="6">
        <f>IFERROR(__xludf.DUMMYFUNCTION("""COMPUTED_VALUE"""),1700000.0)</f>
        <v>1700000</v>
      </c>
      <c r="K2076" s="57">
        <f>IFERROR(__xludf.DUMMYFUNCTION("""COMPUTED_VALUE"""),44834.0)</f>
        <v>44834</v>
      </c>
      <c r="L2076" s="6" t="str">
        <f>IFERROR(__xludf.DUMMYFUNCTION("""COMPUTED_VALUE"""),"FIP General")</f>
        <v>FIP General</v>
      </c>
      <c r="M2076" s="6" t="str">
        <f>IFERROR(__xludf.DUMMYFUNCTION("""COMPUTED_VALUE"""),"Kristiawan Sakti Winarno")</f>
        <v>Kristiawan Sakti Winarno</v>
      </c>
      <c r="N2076" s="6" t="str">
        <f>IFERROR(__xludf.DUMMYFUNCTION("""COMPUTED_VALUE"""),"FIP Engineering")</f>
        <v>FIP Engineering</v>
      </c>
      <c r="O2076" s="6" t="str">
        <f>IFERROR(__xludf.DUMMYFUNCTION("""COMPUTED_VALUE"""),"FIP-DOM-ENG-13406-FRNB221-INA-000000")</f>
        <v>FIP-DOM-ENG-13406-FRNB221-INA-000000</v>
      </c>
      <c r="P2076" s="6" t="str">
        <f>IFERROR(__xludf.DUMMYFUNCTION("""COMPUTED_VALUE"""),"PO Closed")</f>
        <v>PO Closed</v>
      </c>
      <c r="Q2076" s="6" t="str">
        <f>IFERROR(__xludf.DUMMYFUNCTION("""COMPUTED_VALUE"""),"GL2209030")</f>
        <v>GL2209030</v>
      </c>
      <c r="R2076" s="57">
        <f>IFERROR(__xludf.DUMMYFUNCTION("""COMPUTED_VALUE"""),44811.0)</f>
        <v>44811</v>
      </c>
      <c r="S2076" s="6" t="str">
        <f>IFERROR(__xludf.DUMMYFUNCTION("""COMPUTED_VALUE"""),"-")</f>
        <v>-</v>
      </c>
      <c r="T2076" s="57">
        <f>IFERROR(__xludf.DUMMYFUNCTION("""COMPUTED_VALUE"""),44844.0)</f>
        <v>44844</v>
      </c>
    </row>
    <row r="2077">
      <c r="A2077" s="6" t="str">
        <f>IFERROR(__xludf.DUMMYFUNCTION("""COMPUTED_VALUE"""),"221750438-22")</f>
        <v>221750438-22</v>
      </c>
      <c r="B2077" s="6" t="str">
        <f>IFERROR(__xludf.DUMMYFUNCTION("""COMPUTED_VALUE"""),"221750438 - Approved")</f>
        <v>221750438 - Approved</v>
      </c>
      <c r="C2077" s="6">
        <f>IFERROR(__xludf.DUMMYFUNCTION("""COMPUTED_VALUE"""),22.0)</f>
        <v>22</v>
      </c>
      <c r="D2077" s="6" t="str">
        <f>IFERROR(__xludf.DUMMYFUNCTION("""COMPUTED_VALUE"""),"R-50000-00")</f>
        <v>R-50000-00</v>
      </c>
      <c r="E2077" s="6" t="str">
        <f>IFERROR(__xludf.DUMMYFUNCTION("""COMPUTED_VALUE"""),"Modifikasi Shoes Barrier Existing (Exs shoes barrier gowning prosesing) Potong sekitar 80 mm untuk visitor")</f>
        <v>Modifikasi Shoes Barrier Existing (Exs shoes barrier gowning prosesing) Potong sekitar 80 mm untuk visitor</v>
      </c>
      <c r="F2077" s="6">
        <f>IFERROR(__xludf.DUMMYFUNCTION("""COMPUTED_VALUE"""),1.0)</f>
        <v>1</v>
      </c>
      <c r="G2077" s="6" t="str">
        <f>IFERROR(__xludf.DUMMYFUNCTION("""COMPUTED_VALUE"""),"Unit")</f>
        <v>Unit</v>
      </c>
      <c r="H2077" s="6" t="str">
        <f>IFERROR(__xludf.DUMMYFUNCTION("""COMPUTED_VALUE"""),"IDR")</f>
        <v>IDR</v>
      </c>
      <c r="I2077" s="6">
        <f>IFERROR(__xludf.DUMMYFUNCTION("""COMPUTED_VALUE"""),1200000.0)</f>
        <v>1200000</v>
      </c>
      <c r="J2077" s="6">
        <f>IFERROR(__xludf.DUMMYFUNCTION("""COMPUTED_VALUE"""),1200000.0)</f>
        <v>1200000</v>
      </c>
      <c r="K2077" s="57">
        <f>IFERROR(__xludf.DUMMYFUNCTION("""COMPUTED_VALUE"""),44834.0)</f>
        <v>44834</v>
      </c>
      <c r="L2077" s="6" t="str">
        <f>IFERROR(__xludf.DUMMYFUNCTION("""COMPUTED_VALUE"""),"FIP General")</f>
        <v>FIP General</v>
      </c>
      <c r="M2077" s="6" t="str">
        <f>IFERROR(__xludf.DUMMYFUNCTION("""COMPUTED_VALUE"""),"Kristiawan Sakti Winarno")</f>
        <v>Kristiawan Sakti Winarno</v>
      </c>
      <c r="N2077" s="6" t="str">
        <f>IFERROR(__xludf.DUMMYFUNCTION("""COMPUTED_VALUE"""),"FIP Engineering")</f>
        <v>FIP Engineering</v>
      </c>
      <c r="O2077" s="6" t="str">
        <f>IFERROR(__xludf.DUMMYFUNCTION("""COMPUTED_VALUE"""),"FIP-DOM-ENG-13406-FRNB221-INA-000000")</f>
        <v>FIP-DOM-ENG-13406-FRNB221-INA-000000</v>
      </c>
      <c r="P2077" s="6" t="str">
        <f>IFERROR(__xludf.DUMMYFUNCTION("""COMPUTED_VALUE"""),"PO Closed")</f>
        <v>PO Closed</v>
      </c>
      <c r="Q2077" s="6" t="str">
        <f>IFERROR(__xludf.DUMMYFUNCTION("""COMPUTED_VALUE"""),"GL2209030")</f>
        <v>GL2209030</v>
      </c>
      <c r="R2077" s="57">
        <f>IFERROR(__xludf.DUMMYFUNCTION("""COMPUTED_VALUE"""),44811.0)</f>
        <v>44811</v>
      </c>
      <c r="S2077" s="6" t="str">
        <f>IFERROR(__xludf.DUMMYFUNCTION("""COMPUTED_VALUE"""),"-")</f>
        <v>-</v>
      </c>
      <c r="T2077" s="57">
        <f>IFERROR(__xludf.DUMMYFUNCTION("""COMPUTED_VALUE"""),44844.0)</f>
        <v>44844</v>
      </c>
    </row>
    <row r="2078">
      <c r="A2078" s="6" t="str">
        <f>IFERROR(__xludf.DUMMYFUNCTION("""COMPUTED_VALUE"""),"221750438-23")</f>
        <v>221750438-23</v>
      </c>
      <c r="B2078" s="6" t="str">
        <f>IFERROR(__xludf.DUMMYFUNCTION("""COMPUTED_VALUE"""),"221750438 - Approved")</f>
        <v>221750438 - Approved</v>
      </c>
      <c r="C2078" s="6">
        <f>IFERROR(__xludf.DUMMYFUNCTION("""COMPUTED_VALUE"""),23.0)</f>
        <v>23</v>
      </c>
      <c r="D2078" s="6" t="str">
        <f>IFERROR(__xludf.DUMMYFUNCTION("""COMPUTED_VALUE"""),"R-50000-00")</f>
        <v>R-50000-00</v>
      </c>
      <c r="E2078" s="6" t="str">
        <f>IFERROR(__xludf.DUMMYFUNCTION("""COMPUTED_VALUE"""),"Modifikasi rak Sepatu Rumah Existing (ditambah 1 ambahan)")</f>
        <v>Modifikasi rak Sepatu Rumah Existing (ditambah 1 ambahan)</v>
      </c>
      <c r="F2078" s="6">
        <f>IFERROR(__xludf.DUMMYFUNCTION("""COMPUTED_VALUE"""),2.0)</f>
        <v>2</v>
      </c>
      <c r="G2078" s="6" t="str">
        <f>IFERROR(__xludf.DUMMYFUNCTION("""COMPUTED_VALUE"""),"Unit")</f>
        <v>Unit</v>
      </c>
      <c r="H2078" s="6" t="str">
        <f>IFERROR(__xludf.DUMMYFUNCTION("""COMPUTED_VALUE"""),"IDR")</f>
        <v>IDR</v>
      </c>
      <c r="I2078" s="6">
        <f>IFERROR(__xludf.DUMMYFUNCTION("""COMPUTED_VALUE"""),800000.0)</f>
        <v>800000</v>
      </c>
      <c r="J2078" s="6">
        <f>IFERROR(__xludf.DUMMYFUNCTION("""COMPUTED_VALUE"""),1600000.0)</f>
        <v>1600000</v>
      </c>
      <c r="K2078" s="57">
        <f>IFERROR(__xludf.DUMMYFUNCTION("""COMPUTED_VALUE"""),44834.0)</f>
        <v>44834</v>
      </c>
      <c r="L2078" s="6" t="str">
        <f>IFERROR(__xludf.DUMMYFUNCTION("""COMPUTED_VALUE"""),"FIP General")</f>
        <v>FIP General</v>
      </c>
      <c r="M2078" s="6" t="str">
        <f>IFERROR(__xludf.DUMMYFUNCTION("""COMPUTED_VALUE"""),"Kristiawan Sakti Winarno")</f>
        <v>Kristiawan Sakti Winarno</v>
      </c>
      <c r="N2078" s="6" t="str">
        <f>IFERROR(__xludf.DUMMYFUNCTION("""COMPUTED_VALUE"""),"FIP Engineering")</f>
        <v>FIP Engineering</v>
      </c>
      <c r="O2078" s="6" t="str">
        <f>IFERROR(__xludf.DUMMYFUNCTION("""COMPUTED_VALUE"""),"FIP-DOM-ENG-13406-FRNB221-INA-000000")</f>
        <v>FIP-DOM-ENG-13406-FRNB221-INA-000000</v>
      </c>
      <c r="P2078" s="6" t="str">
        <f>IFERROR(__xludf.DUMMYFUNCTION("""COMPUTED_VALUE"""),"PO Closed")</f>
        <v>PO Closed</v>
      </c>
      <c r="Q2078" s="6" t="str">
        <f>IFERROR(__xludf.DUMMYFUNCTION("""COMPUTED_VALUE"""),"GL2209030")</f>
        <v>GL2209030</v>
      </c>
      <c r="R2078" s="57">
        <f>IFERROR(__xludf.DUMMYFUNCTION("""COMPUTED_VALUE"""),44811.0)</f>
        <v>44811</v>
      </c>
      <c r="S2078" s="6" t="str">
        <f>IFERROR(__xludf.DUMMYFUNCTION("""COMPUTED_VALUE"""),"-")</f>
        <v>-</v>
      </c>
      <c r="T2078" s="57">
        <f>IFERROR(__xludf.DUMMYFUNCTION("""COMPUTED_VALUE"""),44844.0)</f>
        <v>44844</v>
      </c>
    </row>
    <row r="2079">
      <c r="A2079" s="6" t="str">
        <f>IFERROR(__xludf.DUMMYFUNCTION("""COMPUTED_VALUE"""),"221750451-1")</f>
        <v>221750451-1</v>
      </c>
      <c r="B2079" s="6" t="str">
        <f>IFERROR(__xludf.DUMMYFUNCTION("""COMPUTED_VALUE"""),"221750451 - Approved")</f>
        <v>221750451 - Approved</v>
      </c>
      <c r="C2079" s="6">
        <f>IFERROR(__xludf.DUMMYFUNCTION("""COMPUTED_VALUE"""),1.0)</f>
        <v>1</v>
      </c>
      <c r="D2079" s="6" t="str">
        <f>IFERROR(__xludf.DUMMYFUNCTION("""COMPUTED_VALUE"""),"R-50000-00")</f>
        <v>R-50000-00</v>
      </c>
      <c r="E2079" s="6" t="str">
        <f>IFERROR(__xludf.DUMMYFUNCTION("""COMPUTED_VALUE"""),"Renovasi Gowning CNC AHU LT2")</f>
        <v>Renovasi Gowning CNC AHU LT2</v>
      </c>
      <c r="F2079" s="6">
        <f>IFERROR(__xludf.DUMMYFUNCTION("""COMPUTED_VALUE"""),1.0)</f>
        <v>1</v>
      </c>
      <c r="G2079" s="6" t="str">
        <f>IFERROR(__xludf.DUMMYFUNCTION("""COMPUTED_VALUE"""),"Unit")</f>
        <v>Unit</v>
      </c>
      <c r="H2079" s="6" t="str">
        <f>IFERROR(__xludf.DUMMYFUNCTION("""COMPUTED_VALUE"""),"IDR")</f>
        <v>IDR</v>
      </c>
      <c r="I2079" s="6">
        <f>IFERROR(__xludf.DUMMYFUNCTION("""COMPUTED_VALUE"""),2.8013719E7)</f>
        <v>28013719</v>
      </c>
      <c r="J2079" s="6">
        <f>IFERROR(__xludf.DUMMYFUNCTION("""COMPUTED_VALUE"""),2.8013719E7)</f>
        <v>28013719</v>
      </c>
      <c r="K2079" s="57">
        <f>IFERROR(__xludf.DUMMYFUNCTION("""COMPUTED_VALUE"""),44834.0)</f>
        <v>44834</v>
      </c>
      <c r="L2079" s="6" t="str">
        <f>IFERROR(__xludf.DUMMYFUNCTION("""COMPUTED_VALUE"""),"FIP General")</f>
        <v>FIP General</v>
      </c>
      <c r="M2079" s="6" t="str">
        <f>IFERROR(__xludf.DUMMYFUNCTION("""COMPUTED_VALUE"""),"Kristiawan Sakti Winarno")</f>
        <v>Kristiawan Sakti Winarno</v>
      </c>
      <c r="N2079" s="6" t="str">
        <f>IFERROR(__xludf.DUMMYFUNCTION("""COMPUTED_VALUE"""),"FIP Engineering")</f>
        <v>FIP Engineering</v>
      </c>
      <c r="O2079" s="6" t="str">
        <f>IFERROR(__xludf.DUMMYFUNCTION("""COMPUTED_VALUE"""),"FIP-DOM-ENG-13406-FRNB221-INA-000000")</f>
        <v>FIP-DOM-ENG-13406-FRNB221-INA-000000</v>
      </c>
      <c r="P2079" s="6" t="str">
        <f>IFERROR(__xludf.DUMMYFUNCTION("""COMPUTED_VALUE"""),"PO Closed")</f>
        <v>PO Closed</v>
      </c>
      <c r="Q2079" s="6" t="str">
        <f>IFERROR(__xludf.DUMMYFUNCTION("""COMPUTED_VALUE"""),"GL2210001")</f>
        <v>GL2210001</v>
      </c>
      <c r="R2079" s="57">
        <f>IFERROR(__xludf.DUMMYFUNCTION("""COMPUTED_VALUE"""),44813.0)</f>
        <v>44813</v>
      </c>
      <c r="S2079" s="6" t="str">
        <f>IFERROR(__xludf.DUMMYFUNCTION("""COMPUTED_VALUE"""),"-")</f>
        <v>-</v>
      </c>
      <c r="T2079" s="6" t="str">
        <f>IFERROR(__xludf.DUMMYFUNCTION("""COMPUTED_VALUE"""),"-")</f>
        <v>-</v>
      </c>
    </row>
    <row r="2080">
      <c r="A2080" s="6" t="str">
        <f>IFERROR(__xludf.DUMMYFUNCTION("""COMPUTED_VALUE"""),"221750451-2")</f>
        <v>221750451-2</v>
      </c>
      <c r="B2080" s="6" t="str">
        <f>IFERROR(__xludf.DUMMYFUNCTION("""COMPUTED_VALUE"""),"221750451 - Approved")</f>
        <v>221750451 - Approved</v>
      </c>
      <c r="C2080" s="6">
        <f>IFERROR(__xludf.DUMMYFUNCTION("""COMPUTED_VALUE"""),2.0)</f>
        <v>2</v>
      </c>
      <c r="D2080" s="6" t="str">
        <f>IFERROR(__xludf.DUMMYFUNCTION("""COMPUTED_VALUE"""),"R-50000-00")</f>
        <v>R-50000-00</v>
      </c>
      <c r="E2080" s="6" t="str">
        <f>IFERROR(__xludf.DUMMYFUNCTION("""COMPUTED_VALUE"""),"Pemindahan Wastafel area Loker (4 titik)")</f>
        <v>Pemindahan Wastafel area Loker (4 titik)</v>
      </c>
      <c r="F2080" s="6">
        <f>IFERROR(__xludf.DUMMYFUNCTION("""COMPUTED_VALUE"""),1.0)</f>
        <v>1</v>
      </c>
      <c r="G2080" s="6" t="str">
        <f>IFERROR(__xludf.DUMMYFUNCTION("""COMPUTED_VALUE"""),"Unit")</f>
        <v>Unit</v>
      </c>
      <c r="H2080" s="6" t="str">
        <f>IFERROR(__xludf.DUMMYFUNCTION("""COMPUTED_VALUE"""),"IDR")</f>
        <v>IDR</v>
      </c>
      <c r="I2080" s="6">
        <f>IFERROR(__xludf.DUMMYFUNCTION("""COMPUTED_VALUE"""),2.0805E7)</f>
        <v>20805000</v>
      </c>
      <c r="J2080" s="6">
        <f>IFERROR(__xludf.DUMMYFUNCTION("""COMPUTED_VALUE"""),2.0805E7)</f>
        <v>20805000</v>
      </c>
      <c r="K2080" s="57">
        <f>IFERROR(__xludf.DUMMYFUNCTION("""COMPUTED_VALUE"""),44834.0)</f>
        <v>44834</v>
      </c>
      <c r="L2080" s="6" t="str">
        <f>IFERROR(__xludf.DUMMYFUNCTION("""COMPUTED_VALUE"""),"FIP General")</f>
        <v>FIP General</v>
      </c>
      <c r="M2080" s="6" t="str">
        <f>IFERROR(__xludf.DUMMYFUNCTION("""COMPUTED_VALUE"""),"Kristiawan Sakti Winarno")</f>
        <v>Kristiawan Sakti Winarno</v>
      </c>
      <c r="N2080" s="6" t="str">
        <f>IFERROR(__xludf.DUMMYFUNCTION("""COMPUTED_VALUE"""),"FIP Engineering")</f>
        <v>FIP Engineering</v>
      </c>
      <c r="O2080" s="6" t="str">
        <f>IFERROR(__xludf.DUMMYFUNCTION("""COMPUTED_VALUE"""),"FIP-DOM-ENG-13406-FRNB221-INA-000000")</f>
        <v>FIP-DOM-ENG-13406-FRNB221-INA-000000</v>
      </c>
      <c r="P2080" s="6" t="str">
        <f>IFERROR(__xludf.DUMMYFUNCTION("""COMPUTED_VALUE"""),"PO Closed")</f>
        <v>PO Closed</v>
      </c>
      <c r="Q2080" s="6" t="str">
        <f>IFERROR(__xludf.DUMMYFUNCTION("""COMPUTED_VALUE"""),"GL2210001")</f>
        <v>GL2210001</v>
      </c>
      <c r="R2080" s="57">
        <f>IFERROR(__xludf.DUMMYFUNCTION("""COMPUTED_VALUE"""),44813.0)</f>
        <v>44813</v>
      </c>
      <c r="S2080" s="6" t="str">
        <f>IFERROR(__xludf.DUMMYFUNCTION("""COMPUTED_VALUE"""),"-")</f>
        <v>-</v>
      </c>
      <c r="T2080" s="6" t="str">
        <f>IFERROR(__xludf.DUMMYFUNCTION("""COMPUTED_VALUE"""),"-")</f>
        <v>-</v>
      </c>
    </row>
    <row r="2081">
      <c r="A2081" s="6" t="str">
        <f>IFERROR(__xludf.DUMMYFUNCTION("""COMPUTED_VALUE"""),"221750469-1")</f>
        <v>221750469-1</v>
      </c>
      <c r="B2081" s="6" t="str">
        <f>IFERROR(__xludf.DUMMYFUNCTION("""COMPUTED_VALUE"""),"221750469 - Approved")</f>
        <v>221750469 - Approved</v>
      </c>
      <c r="C2081" s="6">
        <f>IFERROR(__xludf.DUMMYFUNCTION("""COMPUTED_VALUE"""),1.0)</f>
        <v>1</v>
      </c>
      <c r="D2081" s="6" t="str">
        <f>IFERROR(__xludf.DUMMYFUNCTION("""COMPUTED_VALUE"""),"Q-10475-00")</f>
        <v>Q-10475-00</v>
      </c>
      <c r="E2081" s="6" t="str">
        <f>IFERROR(__xludf.DUMMYFUNCTION("""COMPUTED_VALUE"""),"Cat Tembok")</f>
        <v>Cat Tembok</v>
      </c>
      <c r="F2081" s="6">
        <f>IFERROR(__xludf.DUMMYFUNCTION("""COMPUTED_VALUE"""),5.0)</f>
        <v>5</v>
      </c>
      <c r="G2081" s="6" t="str">
        <f>IFERROR(__xludf.DUMMYFUNCTION("""COMPUTED_VALUE"""),"Can")</f>
        <v>Can</v>
      </c>
      <c r="H2081" s="6" t="str">
        <f>IFERROR(__xludf.DUMMYFUNCTION("""COMPUTED_VALUE"""),"IDR")</f>
        <v>IDR</v>
      </c>
      <c r="I2081" s="6">
        <f>IFERROR(__xludf.DUMMYFUNCTION("""COMPUTED_VALUE"""),2382500.0)</f>
        <v>2382500</v>
      </c>
      <c r="J2081" s="6">
        <f>IFERROR(__xludf.DUMMYFUNCTION("""COMPUTED_VALUE"""),1.19125E7)</f>
        <v>11912500</v>
      </c>
      <c r="K2081" s="57">
        <f>IFERROR(__xludf.DUMMYFUNCTION("""COMPUTED_VALUE"""),44848.0)</f>
        <v>44848</v>
      </c>
      <c r="L2081" s="6" t="str">
        <f>IFERROR(__xludf.DUMMYFUNCTION("""COMPUTED_VALUE"""),"FIP General")</f>
        <v>FIP General</v>
      </c>
      <c r="M2081" s="6" t="str">
        <f>IFERROR(__xludf.DUMMYFUNCTION("""COMPUTED_VALUE"""),"Irwan Sopian")</f>
        <v>Irwan Sopian</v>
      </c>
      <c r="N2081" s="6" t="str">
        <f>IFERROR(__xludf.DUMMYFUNCTION("""COMPUTED_VALUE"""),"FIP Engineering")</f>
        <v>FIP Engineering</v>
      </c>
      <c r="O2081" s="6" t="str">
        <f>IFERROR(__xludf.DUMMYFUNCTION("""COMPUTED_VALUE"""),"FIP-DOM-ENG-51502-0000000-INA-000000")</f>
        <v>FIP-DOM-ENG-51502-0000000-INA-000000</v>
      </c>
      <c r="P2081" s="6" t="str">
        <f>IFERROR(__xludf.DUMMYFUNCTION("""COMPUTED_VALUE"""),"PO Closed")</f>
        <v>PO Closed</v>
      </c>
      <c r="Q2081" s="6" t="str">
        <f>IFERROR(__xludf.DUMMYFUNCTION("""COMPUTED_VALUE"""),"GL2210308")</f>
        <v>GL2210308</v>
      </c>
      <c r="R2081" s="57">
        <f>IFERROR(__xludf.DUMMYFUNCTION("""COMPUTED_VALUE"""),44824.0)</f>
        <v>44824</v>
      </c>
      <c r="S2081" s="6" t="str">
        <f>IFERROR(__xludf.DUMMYFUNCTION("""COMPUTED_VALUE"""),"-")</f>
        <v>-</v>
      </c>
      <c r="T2081" s="6" t="str">
        <f>IFERROR(__xludf.DUMMYFUNCTION("""COMPUTED_VALUE"""),"-")</f>
        <v>-</v>
      </c>
    </row>
    <row r="2082">
      <c r="A2082" s="6" t="str">
        <f>IFERROR(__xludf.DUMMYFUNCTION("""COMPUTED_VALUE"""),"221750469-2")</f>
        <v>221750469-2</v>
      </c>
      <c r="B2082" s="6" t="str">
        <f>IFERROR(__xludf.DUMMYFUNCTION("""COMPUTED_VALUE"""),"221750469 - Approved")</f>
        <v>221750469 - Approved</v>
      </c>
      <c r="C2082" s="6">
        <f>IFERROR(__xludf.DUMMYFUNCTION("""COMPUTED_VALUE"""),2.0)</f>
        <v>2</v>
      </c>
      <c r="D2082" s="6" t="str">
        <f>IFERROR(__xludf.DUMMYFUNCTION("""COMPUTED_VALUE"""),"Q-10475-00")</f>
        <v>Q-10475-00</v>
      </c>
      <c r="E2082" s="6" t="str">
        <f>IFERROR(__xludf.DUMMYFUNCTION("""COMPUTED_VALUE"""),"Cat Tembok")</f>
        <v>Cat Tembok</v>
      </c>
      <c r="F2082" s="6">
        <f>IFERROR(__xludf.DUMMYFUNCTION("""COMPUTED_VALUE"""),4.0)</f>
        <v>4</v>
      </c>
      <c r="G2082" s="6" t="str">
        <f>IFERROR(__xludf.DUMMYFUNCTION("""COMPUTED_VALUE"""),"Can")</f>
        <v>Can</v>
      </c>
      <c r="H2082" s="6" t="str">
        <f>IFERROR(__xludf.DUMMYFUNCTION("""COMPUTED_VALUE"""),"IDR")</f>
        <v>IDR</v>
      </c>
      <c r="I2082" s="6">
        <f>IFERROR(__xludf.DUMMYFUNCTION("""COMPUTED_VALUE"""),935000.0)</f>
        <v>935000</v>
      </c>
      <c r="J2082" s="6">
        <f>IFERROR(__xludf.DUMMYFUNCTION("""COMPUTED_VALUE"""),3740000.0)</f>
        <v>3740000</v>
      </c>
      <c r="K2082" s="57">
        <f>IFERROR(__xludf.DUMMYFUNCTION("""COMPUTED_VALUE"""),44848.0)</f>
        <v>44848</v>
      </c>
      <c r="L2082" s="6" t="str">
        <f>IFERROR(__xludf.DUMMYFUNCTION("""COMPUTED_VALUE"""),"FIP General")</f>
        <v>FIP General</v>
      </c>
      <c r="M2082" s="6" t="str">
        <f>IFERROR(__xludf.DUMMYFUNCTION("""COMPUTED_VALUE"""),"Irwan Sopian")</f>
        <v>Irwan Sopian</v>
      </c>
      <c r="N2082" s="6" t="str">
        <f>IFERROR(__xludf.DUMMYFUNCTION("""COMPUTED_VALUE"""),"FIP Engineering")</f>
        <v>FIP Engineering</v>
      </c>
      <c r="O2082" s="6" t="str">
        <f>IFERROR(__xludf.DUMMYFUNCTION("""COMPUTED_VALUE"""),"FIP-DOM-ENG-51502-0000000-INA-000000")</f>
        <v>FIP-DOM-ENG-51502-0000000-INA-000000</v>
      </c>
      <c r="P2082" s="6" t="str">
        <f>IFERROR(__xludf.DUMMYFUNCTION("""COMPUTED_VALUE"""),"PO Closed")</f>
        <v>PO Closed</v>
      </c>
      <c r="Q2082" s="6" t="str">
        <f>IFERROR(__xludf.DUMMYFUNCTION("""COMPUTED_VALUE"""),"GL2210308")</f>
        <v>GL2210308</v>
      </c>
      <c r="R2082" s="57">
        <f>IFERROR(__xludf.DUMMYFUNCTION("""COMPUTED_VALUE"""),44824.0)</f>
        <v>44824</v>
      </c>
      <c r="S2082" s="6" t="str">
        <f>IFERROR(__xludf.DUMMYFUNCTION("""COMPUTED_VALUE"""),"-")</f>
        <v>-</v>
      </c>
      <c r="T2082" s="6" t="str">
        <f>IFERROR(__xludf.DUMMYFUNCTION("""COMPUTED_VALUE"""),"-")</f>
        <v>-</v>
      </c>
    </row>
    <row r="2083">
      <c r="A2083" s="6" t="str">
        <f>IFERROR(__xludf.DUMMYFUNCTION("""COMPUTED_VALUE"""),"221750469-4")</f>
        <v>221750469-4</v>
      </c>
      <c r="B2083" s="6" t="str">
        <f>IFERROR(__xludf.DUMMYFUNCTION("""COMPUTED_VALUE"""),"221750469 - Approved")</f>
        <v>221750469 - Approved</v>
      </c>
      <c r="C2083" s="6">
        <f>IFERROR(__xludf.DUMMYFUNCTION("""COMPUTED_VALUE"""),4.0)</f>
        <v>4</v>
      </c>
      <c r="D2083" s="6" t="str">
        <f>IFERROR(__xludf.DUMMYFUNCTION("""COMPUTED_VALUE"""),"Q-10172-00")</f>
        <v>Q-10172-00</v>
      </c>
      <c r="E2083" s="6" t="str">
        <f>IFERROR(__xludf.DUMMYFUNCTION("""COMPUTED_VALUE"""),"Polyfloor PFT-213 Light blue @ 20 KG")</f>
        <v>Polyfloor PFT-213 Light blue @ 20 KG</v>
      </c>
      <c r="F2083" s="6">
        <f>IFERROR(__xludf.DUMMYFUNCTION("""COMPUTED_VALUE"""),1.0)</f>
        <v>1</v>
      </c>
      <c r="G2083" s="6" t="str">
        <f>IFERROR(__xludf.DUMMYFUNCTION("""COMPUTED_VALUE"""),"Pieces")</f>
        <v>Pieces</v>
      </c>
      <c r="H2083" s="6" t="str">
        <f>IFERROR(__xludf.DUMMYFUNCTION("""COMPUTED_VALUE"""),"IDR")</f>
        <v>IDR</v>
      </c>
      <c r="I2083" s="6">
        <f>IFERROR(__xludf.DUMMYFUNCTION("""COMPUTED_VALUE"""),3870000.0)</f>
        <v>3870000</v>
      </c>
      <c r="J2083" s="6">
        <f>IFERROR(__xludf.DUMMYFUNCTION("""COMPUTED_VALUE"""),3870000.0)</f>
        <v>3870000</v>
      </c>
      <c r="K2083" s="57">
        <f>IFERROR(__xludf.DUMMYFUNCTION("""COMPUTED_VALUE"""),44848.0)</f>
        <v>44848</v>
      </c>
      <c r="L2083" s="6" t="str">
        <f>IFERROR(__xludf.DUMMYFUNCTION("""COMPUTED_VALUE"""),"FIP Engineering")</f>
        <v>FIP Engineering</v>
      </c>
      <c r="M2083" s="6" t="str">
        <f>IFERROR(__xludf.DUMMYFUNCTION("""COMPUTED_VALUE"""),"Irwan Sopian")</f>
        <v>Irwan Sopian</v>
      </c>
      <c r="N2083" s="6" t="str">
        <f>IFERROR(__xludf.DUMMYFUNCTION("""COMPUTED_VALUE"""),"FIP Engineering")</f>
        <v>FIP Engineering</v>
      </c>
      <c r="O2083" s="6" t="str">
        <f>IFERROR(__xludf.DUMMYFUNCTION("""COMPUTED_VALUE"""),"FIP-DOM-000-11304-OS00001-INA-000000")</f>
        <v>FIP-DOM-000-11304-OS00001-INA-000000</v>
      </c>
      <c r="P2083" s="6" t="str">
        <f>IFERROR(__xludf.DUMMYFUNCTION("""COMPUTED_VALUE"""),"PO Closed")</f>
        <v>PO Closed</v>
      </c>
      <c r="Q2083" s="6" t="str">
        <f>IFERROR(__xludf.DUMMYFUNCTION("""COMPUTED_VALUE"""),"GL2209033")</f>
        <v>GL2209033</v>
      </c>
      <c r="R2083" s="57">
        <f>IFERROR(__xludf.DUMMYFUNCTION("""COMPUTED_VALUE"""),44824.0)</f>
        <v>44824</v>
      </c>
      <c r="S2083" s="6" t="str">
        <f>IFERROR(__xludf.DUMMYFUNCTION("""COMPUTED_VALUE"""),"-")</f>
        <v>-</v>
      </c>
      <c r="T2083" s="57">
        <f>IFERROR(__xludf.DUMMYFUNCTION("""COMPUTED_VALUE"""),44848.0)</f>
        <v>44848</v>
      </c>
    </row>
    <row r="2084">
      <c r="A2084" s="6" t="str">
        <f>IFERROR(__xludf.DUMMYFUNCTION("""COMPUTED_VALUE"""),"221750469-5")</f>
        <v>221750469-5</v>
      </c>
      <c r="B2084" s="6" t="str">
        <f>IFERROR(__xludf.DUMMYFUNCTION("""COMPUTED_VALUE"""),"221750469 - Approved")</f>
        <v>221750469 - Approved</v>
      </c>
      <c r="C2084" s="6">
        <f>IFERROR(__xludf.DUMMYFUNCTION("""COMPUTED_VALUE"""),5.0)</f>
        <v>5</v>
      </c>
      <c r="D2084" s="6" t="str">
        <f>IFERROR(__xludf.DUMMYFUNCTION("""COMPUTED_VALUE"""),"Q-10905-00")</f>
        <v>Q-10905-00</v>
      </c>
      <c r="E2084" s="6" t="str">
        <f>IFERROR(__xludf.DUMMYFUNCTION("""COMPUTED_VALUE"""),"Kanal C Galvalum Baja Ringan 0.75")</f>
        <v>Kanal C Galvalum Baja Ringan 0.75</v>
      </c>
      <c r="F2084" s="6">
        <f>IFERROR(__xludf.DUMMYFUNCTION("""COMPUTED_VALUE"""),1.0)</f>
        <v>1</v>
      </c>
      <c r="G2084" s="6" t="str">
        <f>IFERROR(__xludf.DUMMYFUNCTION("""COMPUTED_VALUE"""),"Pieces")</f>
        <v>Pieces</v>
      </c>
      <c r="H2084" s="6" t="str">
        <f>IFERROR(__xludf.DUMMYFUNCTION("""COMPUTED_VALUE"""),"IDR")</f>
        <v>IDR</v>
      </c>
      <c r="I2084" s="6">
        <f>IFERROR(__xludf.DUMMYFUNCTION("""COMPUTED_VALUE"""),122500.0)</f>
        <v>122500</v>
      </c>
      <c r="J2084" s="6">
        <f>IFERROR(__xludf.DUMMYFUNCTION("""COMPUTED_VALUE"""),122500.0)</f>
        <v>122500</v>
      </c>
      <c r="K2084" s="57">
        <f>IFERROR(__xludf.DUMMYFUNCTION("""COMPUTED_VALUE"""),44848.0)</f>
        <v>44848</v>
      </c>
      <c r="L2084" s="6" t="str">
        <f>IFERROR(__xludf.DUMMYFUNCTION("""COMPUTED_VALUE"""),"FIP General")</f>
        <v>FIP General</v>
      </c>
      <c r="M2084" s="6" t="str">
        <f>IFERROR(__xludf.DUMMYFUNCTION("""COMPUTED_VALUE"""),"Irwan Sopian")</f>
        <v>Irwan Sopian</v>
      </c>
      <c r="N2084" s="6" t="str">
        <f>IFERROR(__xludf.DUMMYFUNCTION("""COMPUTED_VALUE"""),"FIP Engineering")</f>
        <v>FIP Engineering</v>
      </c>
      <c r="O2084" s="6" t="str">
        <f>IFERROR(__xludf.DUMMYFUNCTION("""COMPUTED_VALUE"""),"FIP-DOM-ENG-51502-0000000-INA-000000")</f>
        <v>FIP-DOM-ENG-51502-0000000-INA-000000</v>
      </c>
      <c r="P2084" s="6" t="str">
        <f>IFERROR(__xludf.DUMMYFUNCTION("""COMPUTED_VALUE"""),"PO Closed")</f>
        <v>PO Closed</v>
      </c>
      <c r="Q2084" s="6" t="str">
        <f>IFERROR(__xludf.DUMMYFUNCTION("""COMPUTED_VALUE"""),"GL2210308")</f>
        <v>GL2210308</v>
      </c>
      <c r="R2084" s="57">
        <f>IFERROR(__xludf.DUMMYFUNCTION("""COMPUTED_VALUE"""),44824.0)</f>
        <v>44824</v>
      </c>
      <c r="S2084" s="6" t="str">
        <f>IFERROR(__xludf.DUMMYFUNCTION("""COMPUTED_VALUE"""),"-")</f>
        <v>-</v>
      </c>
      <c r="T2084" s="6" t="str">
        <f>IFERROR(__xludf.DUMMYFUNCTION("""COMPUTED_VALUE"""),"-")</f>
        <v>-</v>
      </c>
    </row>
    <row r="2085">
      <c r="A2085" s="6" t="str">
        <f>IFERROR(__xludf.DUMMYFUNCTION("""COMPUTED_VALUE"""),"221750469-7")</f>
        <v>221750469-7</v>
      </c>
      <c r="B2085" s="6" t="str">
        <f>IFERROR(__xludf.DUMMYFUNCTION("""COMPUTED_VALUE"""),"221750469 - Approved")</f>
        <v>221750469 - Approved</v>
      </c>
      <c r="C2085" s="6">
        <f>IFERROR(__xludf.DUMMYFUNCTION("""COMPUTED_VALUE"""),7.0)</f>
        <v>7</v>
      </c>
      <c r="D2085" s="6" t="str">
        <f>IFERROR(__xludf.DUMMYFUNCTION("""COMPUTED_VALUE"""),"Q-60003-00")</f>
        <v>Q-60003-00</v>
      </c>
      <c r="E2085" s="6" t="str">
        <f>IFERROR(__xludf.DUMMYFUNCTION("""COMPUTED_VALUE"""),"Plakband Kertas")</f>
        <v>Plakband Kertas</v>
      </c>
      <c r="F2085" s="6">
        <f>IFERROR(__xludf.DUMMYFUNCTION("""COMPUTED_VALUE"""),95.0)</f>
        <v>95</v>
      </c>
      <c r="G2085" s="6" t="str">
        <f>IFERROR(__xludf.DUMMYFUNCTION("""COMPUTED_VALUE"""),"Roll")</f>
        <v>Roll</v>
      </c>
      <c r="H2085" s="6" t="str">
        <f>IFERROR(__xludf.DUMMYFUNCTION("""COMPUTED_VALUE"""),"IDR")</f>
        <v>IDR</v>
      </c>
      <c r="I2085" s="6">
        <f>IFERROR(__xludf.DUMMYFUNCTION("""COMPUTED_VALUE"""),8500.0)</f>
        <v>8500</v>
      </c>
      <c r="J2085" s="6">
        <f>IFERROR(__xludf.DUMMYFUNCTION("""COMPUTED_VALUE"""),807500.0)</f>
        <v>807500</v>
      </c>
      <c r="K2085" s="57">
        <f>IFERROR(__xludf.DUMMYFUNCTION("""COMPUTED_VALUE"""),44848.0)</f>
        <v>44848</v>
      </c>
      <c r="L2085" s="6" t="str">
        <f>IFERROR(__xludf.DUMMYFUNCTION("""COMPUTED_VALUE"""),"FIP Engineering")</f>
        <v>FIP Engineering</v>
      </c>
      <c r="M2085" s="6" t="str">
        <f>IFERROR(__xludf.DUMMYFUNCTION("""COMPUTED_VALUE"""),"Irwan Sopian")</f>
        <v>Irwan Sopian</v>
      </c>
      <c r="N2085" s="6" t="str">
        <f>IFERROR(__xludf.DUMMYFUNCTION("""COMPUTED_VALUE"""),"FIP Engineering")</f>
        <v>FIP Engineering</v>
      </c>
      <c r="O2085" s="6" t="str">
        <f>IFERROR(__xludf.DUMMYFUNCTION("""COMPUTED_VALUE"""),"FIP-DOM-000-11304-OS00001-INA-000000")</f>
        <v>FIP-DOM-000-11304-OS00001-INA-000000</v>
      </c>
      <c r="P2085" s="6" t="str">
        <f>IFERROR(__xludf.DUMMYFUNCTION("""COMPUTED_VALUE"""),"PO Closed")</f>
        <v>PO Closed</v>
      </c>
      <c r="Q2085" s="6" t="str">
        <f>IFERROR(__xludf.DUMMYFUNCTION("""COMPUTED_VALUE"""),"GL2210308")</f>
        <v>GL2210308</v>
      </c>
      <c r="R2085" s="57">
        <f>IFERROR(__xludf.DUMMYFUNCTION("""COMPUTED_VALUE"""),44824.0)</f>
        <v>44824</v>
      </c>
      <c r="S2085" s="6" t="str">
        <f>IFERROR(__xludf.DUMMYFUNCTION("""COMPUTED_VALUE"""),"-")</f>
        <v>-</v>
      </c>
      <c r="T2085" s="6" t="str">
        <f>IFERROR(__xludf.DUMMYFUNCTION("""COMPUTED_VALUE"""),"-")</f>
        <v>-</v>
      </c>
    </row>
    <row r="2086">
      <c r="A2086" s="6" t="str">
        <f>IFERROR(__xludf.DUMMYFUNCTION("""COMPUTED_VALUE"""),"221750469-8")</f>
        <v>221750469-8</v>
      </c>
      <c r="B2086" s="6" t="str">
        <f>IFERROR(__xludf.DUMMYFUNCTION("""COMPUTED_VALUE"""),"221750469 - Approved")</f>
        <v>221750469 - Approved</v>
      </c>
      <c r="C2086" s="6">
        <f>IFERROR(__xludf.DUMMYFUNCTION("""COMPUTED_VALUE"""),8.0)</f>
        <v>8</v>
      </c>
      <c r="D2086" s="6" t="str">
        <f>IFERROR(__xludf.DUMMYFUNCTION("""COMPUTED_VALUE"""),"Q-10517-00")</f>
        <v>Q-10517-00</v>
      </c>
      <c r="E2086" s="6" t="str">
        <f>IFERROR(__xludf.DUMMYFUNCTION("""COMPUTED_VALUE"""),"Scraper / Kape Besi")</f>
        <v>Scraper / Kape Besi</v>
      </c>
      <c r="F2086" s="6">
        <f>IFERROR(__xludf.DUMMYFUNCTION("""COMPUTED_VALUE"""),2.0)</f>
        <v>2</v>
      </c>
      <c r="G2086" s="6" t="str">
        <f>IFERROR(__xludf.DUMMYFUNCTION("""COMPUTED_VALUE"""),"Pieces")</f>
        <v>Pieces</v>
      </c>
      <c r="H2086" s="6" t="str">
        <f>IFERROR(__xludf.DUMMYFUNCTION("""COMPUTED_VALUE"""),"IDR")</f>
        <v>IDR</v>
      </c>
      <c r="I2086" s="6">
        <f>IFERROR(__xludf.DUMMYFUNCTION("""COMPUTED_VALUE"""),22500.0)</f>
        <v>22500</v>
      </c>
      <c r="J2086" s="6">
        <f>IFERROR(__xludf.DUMMYFUNCTION("""COMPUTED_VALUE"""),45000.0)</f>
        <v>45000</v>
      </c>
      <c r="K2086" s="57">
        <f>IFERROR(__xludf.DUMMYFUNCTION("""COMPUTED_VALUE"""),44848.0)</f>
        <v>44848</v>
      </c>
      <c r="L2086" s="6" t="str">
        <f>IFERROR(__xludf.DUMMYFUNCTION("""COMPUTED_VALUE"""),"FIP General")</f>
        <v>FIP General</v>
      </c>
      <c r="M2086" s="6" t="str">
        <f>IFERROR(__xludf.DUMMYFUNCTION("""COMPUTED_VALUE"""),"Irwan Sopian")</f>
        <v>Irwan Sopian</v>
      </c>
      <c r="N2086" s="6" t="str">
        <f>IFERROR(__xludf.DUMMYFUNCTION("""COMPUTED_VALUE"""),"FIP Engineering")</f>
        <v>FIP Engineering</v>
      </c>
      <c r="O2086" s="6" t="str">
        <f>IFERROR(__xludf.DUMMYFUNCTION("""COMPUTED_VALUE"""),"FIP-DOM-ENG-51502-0000000-INA-000000")</f>
        <v>FIP-DOM-ENG-51502-0000000-INA-000000</v>
      </c>
      <c r="P2086" s="6" t="str">
        <f>IFERROR(__xludf.DUMMYFUNCTION("""COMPUTED_VALUE"""),"PO Closed")</f>
        <v>PO Closed</v>
      </c>
      <c r="Q2086" s="6" t="str">
        <f>IFERROR(__xludf.DUMMYFUNCTION("""COMPUTED_VALUE"""),"GL2210308")</f>
        <v>GL2210308</v>
      </c>
      <c r="R2086" s="57">
        <f>IFERROR(__xludf.DUMMYFUNCTION("""COMPUTED_VALUE"""),44824.0)</f>
        <v>44824</v>
      </c>
      <c r="S2086" s="6" t="str">
        <f>IFERROR(__xludf.DUMMYFUNCTION("""COMPUTED_VALUE"""),"-")</f>
        <v>-</v>
      </c>
      <c r="T2086" s="6" t="str">
        <f>IFERROR(__xludf.DUMMYFUNCTION("""COMPUTED_VALUE"""),"-")</f>
        <v>-</v>
      </c>
    </row>
    <row r="2087">
      <c r="A2087" s="6" t="str">
        <f>IFERROR(__xludf.DUMMYFUNCTION("""COMPUTED_VALUE"""),"221750469-9")</f>
        <v>221750469-9</v>
      </c>
      <c r="B2087" s="6" t="str">
        <f>IFERROR(__xludf.DUMMYFUNCTION("""COMPUTED_VALUE"""),"221750469 - Approved")</f>
        <v>221750469 - Approved</v>
      </c>
      <c r="C2087" s="6">
        <f>IFERROR(__xludf.DUMMYFUNCTION("""COMPUTED_VALUE"""),9.0)</f>
        <v>9</v>
      </c>
      <c r="D2087" s="6" t="str">
        <f>IFERROR(__xludf.DUMMYFUNCTION("""COMPUTED_VALUE"""),"Q-10492-00")</f>
        <v>Q-10492-00</v>
      </c>
      <c r="E2087" s="6" t="str">
        <f>IFERROR(__xludf.DUMMYFUNCTION("""COMPUTED_VALUE"""),"Amplas")</f>
        <v>Amplas</v>
      </c>
      <c r="F2087" s="6">
        <f>IFERROR(__xludf.DUMMYFUNCTION("""COMPUTED_VALUE"""),1.0)</f>
        <v>1</v>
      </c>
      <c r="G2087" s="6" t="str">
        <f>IFERROR(__xludf.DUMMYFUNCTION("""COMPUTED_VALUE"""),"Pieces")</f>
        <v>Pieces</v>
      </c>
      <c r="H2087" s="6" t="str">
        <f>IFERROR(__xludf.DUMMYFUNCTION("""COMPUTED_VALUE"""),"IDR")</f>
        <v>IDR</v>
      </c>
      <c r="I2087" s="6">
        <f>IFERROR(__xludf.DUMMYFUNCTION("""COMPUTED_VALUE"""),385000.0)</f>
        <v>385000</v>
      </c>
      <c r="J2087" s="6">
        <f>IFERROR(__xludf.DUMMYFUNCTION("""COMPUTED_VALUE"""),385000.0)</f>
        <v>385000</v>
      </c>
      <c r="K2087" s="57">
        <f>IFERROR(__xludf.DUMMYFUNCTION("""COMPUTED_VALUE"""),44848.0)</f>
        <v>44848</v>
      </c>
      <c r="L2087" s="6" t="str">
        <f>IFERROR(__xludf.DUMMYFUNCTION("""COMPUTED_VALUE"""),"FIP General")</f>
        <v>FIP General</v>
      </c>
      <c r="M2087" s="6" t="str">
        <f>IFERROR(__xludf.DUMMYFUNCTION("""COMPUTED_VALUE"""),"Irwan Sopian")</f>
        <v>Irwan Sopian</v>
      </c>
      <c r="N2087" s="6" t="str">
        <f>IFERROR(__xludf.DUMMYFUNCTION("""COMPUTED_VALUE"""),"FIP Engineering")</f>
        <v>FIP Engineering</v>
      </c>
      <c r="O2087" s="6" t="str">
        <f>IFERROR(__xludf.DUMMYFUNCTION("""COMPUTED_VALUE"""),"FIP-DOM-ENG-51404-0000000-INA-000000")</f>
        <v>FIP-DOM-ENG-51404-0000000-INA-000000</v>
      </c>
      <c r="P2087" s="6" t="str">
        <f>IFERROR(__xludf.DUMMYFUNCTION("""COMPUTED_VALUE"""),"PO Closed")</f>
        <v>PO Closed</v>
      </c>
      <c r="Q2087" s="6" t="str">
        <f>IFERROR(__xludf.DUMMYFUNCTION("""COMPUTED_VALUE"""),"GL2210308")</f>
        <v>GL2210308</v>
      </c>
      <c r="R2087" s="57">
        <f>IFERROR(__xludf.DUMMYFUNCTION("""COMPUTED_VALUE"""),44824.0)</f>
        <v>44824</v>
      </c>
      <c r="S2087" s="6" t="str">
        <f>IFERROR(__xludf.DUMMYFUNCTION("""COMPUTED_VALUE"""),"-")</f>
        <v>-</v>
      </c>
      <c r="T2087" s="6" t="str">
        <f>IFERROR(__xludf.DUMMYFUNCTION("""COMPUTED_VALUE"""),"-")</f>
        <v>-</v>
      </c>
    </row>
    <row r="2088">
      <c r="A2088" s="6" t="str">
        <f>IFERROR(__xludf.DUMMYFUNCTION("""COMPUTED_VALUE"""),"221750469-10")</f>
        <v>221750469-10</v>
      </c>
      <c r="B2088" s="6" t="str">
        <f>IFERROR(__xludf.DUMMYFUNCTION("""COMPUTED_VALUE"""),"221750469 - Approved")</f>
        <v>221750469 - Approved</v>
      </c>
      <c r="C2088" s="6">
        <f>IFERROR(__xludf.DUMMYFUNCTION("""COMPUTED_VALUE"""),10.0)</f>
        <v>10</v>
      </c>
      <c r="D2088" s="6" t="str">
        <f>IFERROR(__xludf.DUMMYFUNCTION("""COMPUTED_VALUE"""),"Q-10271-00")</f>
        <v>Q-10271-00</v>
      </c>
      <c r="E2088" s="6" t="str">
        <f>IFERROR(__xludf.DUMMYFUNCTION("""COMPUTED_VALUE"""),"Kuas 3 inch")</f>
        <v>Kuas 3 inch</v>
      </c>
      <c r="F2088" s="6">
        <f>IFERROR(__xludf.DUMMYFUNCTION("""COMPUTED_VALUE"""),15.0)</f>
        <v>15</v>
      </c>
      <c r="G2088" s="6" t="str">
        <f>IFERROR(__xludf.DUMMYFUNCTION("""COMPUTED_VALUE"""),"Pieces")</f>
        <v>Pieces</v>
      </c>
      <c r="H2088" s="6" t="str">
        <f>IFERROR(__xludf.DUMMYFUNCTION("""COMPUTED_VALUE"""),"IDR")</f>
        <v>IDR</v>
      </c>
      <c r="I2088" s="6">
        <f>IFERROR(__xludf.DUMMYFUNCTION("""COMPUTED_VALUE"""),9500.0)</f>
        <v>9500</v>
      </c>
      <c r="J2088" s="6">
        <f>IFERROR(__xludf.DUMMYFUNCTION("""COMPUTED_VALUE"""),142500.0)</f>
        <v>142500</v>
      </c>
      <c r="K2088" s="57">
        <f>IFERROR(__xludf.DUMMYFUNCTION("""COMPUTED_VALUE"""),44848.0)</f>
        <v>44848</v>
      </c>
      <c r="L2088" s="6" t="str">
        <f>IFERROR(__xludf.DUMMYFUNCTION("""COMPUTED_VALUE"""),"FIP General")</f>
        <v>FIP General</v>
      </c>
      <c r="M2088" s="6" t="str">
        <f>IFERROR(__xludf.DUMMYFUNCTION("""COMPUTED_VALUE"""),"Irwan Sopian")</f>
        <v>Irwan Sopian</v>
      </c>
      <c r="N2088" s="6" t="str">
        <f>IFERROR(__xludf.DUMMYFUNCTION("""COMPUTED_VALUE"""),"FIP Engineering")</f>
        <v>FIP Engineering</v>
      </c>
      <c r="O2088" s="6" t="str">
        <f>IFERROR(__xludf.DUMMYFUNCTION("""COMPUTED_VALUE"""),"FIP-DOM-ENG-51502-0000000-INA-000000")</f>
        <v>FIP-DOM-ENG-51502-0000000-INA-000000</v>
      </c>
      <c r="P2088" s="6" t="str">
        <f>IFERROR(__xludf.DUMMYFUNCTION("""COMPUTED_VALUE"""),"PO Closed")</f>
        <v>PO Closed</v>
      </c>
      <c r="Q2088" s="6" t="str">
        <f>IFERROR(__xludf.DUMMYFUNCTION("""COMPUTED_VALUE"""),"GL2210308")</f>
        <v>GL2210308</v>
      </c>
      <c r="R2088" s="57">
        <f>IFERROR(__xludf.DUMMYFUNCTION("""COMPUTED_VALUE"""),44824.0)</f>
        <v>44824</v>
      </c>
      <c r="S2088" s="6" t="str">
        <f>IFERROR(__xludf.DUMMYFUNCTION("""COMPUTED_VALUE"""),"-")</f>
        <v>-</v>
      </c>
      <c r="T2088" s="6" t="str">
        <f>IFERROR(__xludf.DUMMYFUNCTION("""COMPUTED_VALUE"""),"-")</f>
        <v>-</v>
      </c>
    </row>
    <row r="2089">
      <c r="A2089" s="6" t="str">
        <f>IFERROR(__xludf.DUMMYFUNCTION("""COMPUTED_VALUE"""),"221750469-11")</f>
        <v>221750469-11</v>
      </c>
      <c r="B2089" s="6" t="str">
        <f>IFERROR(__xludf.DUMMYFUNCTION("""COMPUTED_VALUE"""),"221750469 - Approved")</f>
        <v>221750469 - Approved</v>
      </c>
      <c r="C2089" s="6">
        <f>IFERROR(__xludf.DUMMYFUNCTION("""COMPUTED_VALUE"""),11.0)</f>
        <v>11</v>
      </c>
      <c r="D2089" s="6" t="str">
        <f>IFERROR(__xludf.DUMMYFUNCTION("""COMPUTED_VALUE"""),"Q-10154-00")</f>
        <v>Q-10154-00</v>
      </c>
      <c r="E2089" s="6" t="str">
        <f>IFERROR(__xludf.DUMMYFUNCTION("""COMPUTED_VALUE"""),"Roller cat 230mm")</f>
        <v>Roller cat 230mm</v>
      </c>
      <c r="F2089" s="6">
        <f>IFERROR(__xludf.DUMMYFUNCTION("""COMPUTED_VALUE"""),10.0)</f>
        <v>10</v>
      </c>
      <c r="G2089" s="6" t="str">
        <f>IFERROR(__xludf.DUMMYFUNCTION("""COMPUTED_VALUE"""),"Pieces")</f>
        <v>Pieces</v>
      </c>
      <c r="H2089" s="6" t="str">
        <f>IFERROR(__xludf.DUMMYFUNCTION("""COMPUTED_VALUE"""),"IDR")</f>
        <v>IDR</v>
      </c>
      <c r="I2089" s="6">
        <f>IFERROR(__xludf.DUMMYFUNCTION("""COMPUTED_VALUE"""),38000.0)</f>
        <v>38000</v>
      </c>
      <c r="J2089" s="6">
        <f>IFERROR(__xludf.DUMMYFUNCTION("""COMPUTED_VALUE"""),380000.0)</f>
        <v>380000</v>
      </c>
      <c r="K2089" s="57">
        <f>IFERROR(__xludf.DUMMYFUNCTION("""COMPUTED_VALUE"""),44848.0)</f>
        <v>44848</v>
      </c>
      <c r="L2089" s="6" t="str">
        <f>IFERROR(__xludf.DUMMYFUNCTION("""COMPUTED_VALUE"""),"FIP Engineering")</f>
        <v>FIP Engineering</v>
      </c>
      <c r="M2089" s="6" t="str">
        <f>IFERROR(__xludf.DUMMYFUNCTION("""COMPUTED_VALUE"""),"Irwan Sopian")</f>
        <v>Irwan Sopian</v>
      </c>
      <c r="N2089" s="6" t="str">
        <f>IFERROR(__xludf.DUMMYFUNCTION("""COMPUTED_VALUE"""),"FIP Engineering")</f>
        <v>FIP Engineering</v>
      </c>
      <c r="O2089" s="6" t="str">
        <f>IFERROR(__xludf.DUMMYFUNCTION("""COMPUTED_VALUE"""),"FIP-DOM-000-11304-OS00001-INA-000000")</f>
        <v>FIP-DOM-000-11304-OS00001-INA-000000</v>
      </c>
      <c r="P2089" s="6" t="str">
        <f>IFERROR(__xludf.DUMMYFUNCTION("""COMPUTED_VALUE"""),"PO Closed")</f>
        <v>PO Closed</v>
      </c>
      <c r="Q2089" s="6" t="str">
        <f>IFERROR(__xludf.DUMMYFUNCTION("""COMPUTED_VALUE"""),"GL2210308")</f>
        <v>GL2210308</v>
      </c>
      <c r="R2089" s="57">
        <f>IFERROR(__xludf.DUMMYFUNCTION("""COMPUTED_VALUE"""),44824.0)</f>
        <v>44824</v>
      </c>
      <c r="S2089" s="6" t="str">
        <f>IFERROR(__xludf.DUMMYFUNCTION("""COMPUTED_VALUE"""),"-")</f>
        <v>-</v>
      </c>
      <c r="T2089" s="6" t="str">
        <f>IFERROR(__xludf.DUMMYFUNCTION("""COMPUTED_VALUE"""),"-")</f>
        <v>-</v>
      </c>
    </row>
    <row r="2090">
      <c r="A2090" s="6" t="str">
        <f>IFERROR(__xludf.DUMMYFUNCTION("""COMPUTED_VALUE"""),"221750469-12")</f>
        <v>221750469-12</v>
      </c>
      <c r="B2090" s="6" t="str">
        <f>IFERROR(__xludf.DUMMYFUNCTION("""COMPUTED_VALUE"""),"221750469 - Approved")</f>
        <v>221750469 - Approved</v>
      </c>
      <c r="C2090" s="6">
        <f>IFERROR(__xludf.DUMMYFUNCTION("""COMPUTED_VALUE"""),12.0)</f>
        <v>12</v>
      </c>
      <c r="D2090" s="6" t="str">
        <f>IFERROR(__xludf.DUMMYFUNCTION("""COMPUTED_VALUE"""),"Q-10829-00")</f>
        <v>Q-10829-00</v>
      </c>
      <c r="E2090" s="6" t="str">
        <f>IFERROR(__xludf.DUMMYFUNCTION("""COMPUTED_VALUE"""),"Cat Ambiance Lakestone 44537M Tinting Dulux")</f>
        <v>Cat Ambiance Lakestone 44537M Tinting Dulux</v>
      </c>
      <c r="F2090" s="6">
        <f>IFERROR(__xludf.DUMMYFUNCTION("""COMPUTED_VALUE"""),1.0)</f>
        <v>1</v>
      </c>
      <c r="G2090" s="6" t="str">
        <f>IFERROR(__xludf.DUMMYFUNCTION("""COMPUTED_VALUE"""),"Pieces")</f>
        <v>Pieces</v>
      </c>
      <c r="H2090" s="6" t="str">
        <f>IFERROR(__xludf.DUMMYFUNCTION("""COMPUTED_VALUE"""),"IDR")</f>
        <v>IDR</v>
      </c>
      <c r="I2090" s="6">
        <f>IFERROR(__xludf.DUMMYFUNCTION("""COMPUTED_VALUE"""),2382500.0)</f>
        <v>2382500</v>
      </c>
      <c r="J2090" s="6">
        <f>IFERROR(__xludf.DUMMYFUNCTION("""COMPUTED_VALUE"""),2382500.0)</f>
        <v>2382500</v>
      </c>
      <c r="K2090" s="57">
        <f>IFERROR(__xludf.DUMMYFUNCTION("""COMPUTED_VALUE"""),44848.0)</f>
        <v>44848</v>
      </c>
      <c r="L2090" s="6" t="str">
        <f>IFERROR(__xludf.DUMMYFUNCTION("""COMPUTED_VALUE"""),"FIP General")</f>
        <v>FIP General</v>
      </c>
      <c r="M2090" s="6" t="str">
        <f>IFERROR(__xludf.DUMMYFUNCTION("""COMPUTED_VALUE"""),"Irwan Sopian")</f>
        <v>Irwan Sopian</v>
      </c>
      <c r="N2090" s="6" t="str">
        <f>IFERROR(__xludf.DUMMYFUNCTION("""COMPUTED_VALUE"""),"FIP Engineering")</f>
        <v>FIP Engineering</v>
      </c>
      <c r="O2090" s="6" t="str">
        <f>IFERROR(__xludf.DUMMYFUNCTION("""COMPUTED_VALUE"""),"FIP-DOM-ENG-51502-0000000-INA-000000")</f>
        <v>FIP-DOM-ENG-51502-0000000-INA-000000</v>
      </c>
      <c r="P2090" s="6" t="str">
        <f>IFERROR(__xludf.DUMMYFUNCTION("""COMPUTED_VALUE"""),"PO Closed")</f>
        <v>PO Closed</v>
      </c>
      <c r="Q2090" s="6" t="str">
        <f>IFERROR(__xludf.DUMMYFUNCTION("""COMPUTED_VALUE"""),"GL2210308")</f>
        <v>GL2210308</v>
      </c>
      <c r="R2090" s="57">
        <f>IFERROR(__xludf.DUMMYFUNCTION("""COMPUTED_VALUE"""),44824.0)</f>
        <v>44824</v>
      </c>
      <c r="S2090" s="6" t="str">
        <f>IFERROR(__xludf.DUMMYFUNCTION("""COMPUTED_VALUE"""),"-")</f>
        <v>-</v>
      </c>
      <c r="T2090" s="6" t="str">
        <f>IFERROR(__xludf.DUMMYFUNCTION("""COMPUTED_VALUE"""),"-")</f>
        <v>-</v>
      </c>
    </row>
    <row r="2091">
      <c r="A2091" s="6" t="str">
        <f>IFERROR(__xludf.DUMMYFUNCTION("""COMPUTED_VALUE"""),"221750468-1")</f>
        <v>221750468-1</v>
      </c>
      <c r="B2091" s="6" t="str">
        <f>IFERROR(__xludf.DUMMYFUNCTION("""COMPUTED_VALUE"""),"221750468 - Approved")</f>
        <v>221750468 - Approved</v>
      </c>
      <c r="C2091" s="6">
        <f>IFERROR(__xludf.DUMMYFUNCTION("""COMPUTED_VALUE"""),1.0)</f>
        <v>1</v>
      </c>
      <c r="D2091" s="6" t="str">
        <f>IFERROR(__xludf.DUMMYFUNCTION("""COMPUTED_VALUE"""),"S-60002-00")</f>
        <v>S-60002-00</v>
      </c>
      <c r="E2091" s="6" t="str">
        <f>IFERROR(__xludf.DUMMYFUNCTION("""COMPUTED_VALUE"""),"Pekerjaan Polishing &amp; Modifikasi Partisi Existing untuk Mesin MS30")</f>
        <v>Pekerjaan Polishing &amp; Modifikasi Partisi Existing untuk Mesin MS30</v>
      </c>
      <c r="F2091" s="6">
        <f>IFERROR(__xludf.DUMMYFUNCTION("""COMPUTED_VALUE"""),1.0)</f>
        <v>1</v>
      </c>
      <c r="G2091" s="6" t="str">
        <f>IFERROR(__xludf.DUMMYFUNCTION("""COMPUTED_VALUE"""),"Lot")</f>
        <v>Lot</v>
      </c>
      <c r="H2091" s="6" t="str">
        <f>IFERROR(__xludf.DUMMYFUNCTION("""COMPUTED_VALUE"""),"IDR")</f>
        <v>IDR</v>
      </c>
      <c r="I2091" s="6">
        <f>IFERROR(__xludf.DUMMYFUNCTION("""COMPUTED_VALUE"""),1.0E7)</f>
        <v>10000000</v>
      </c>
      <c r="J2091" s="6">
        <f>IFERROR(__xludf.DUMMYFUNCTION("""COMPUTED_VALUE"""),1.0E7)</f>
        <v>10000000</v>
      </c>
      <c r="K2091" s="57">
        <f>IFERROR(__xludf.DUMMYFUNCTION("""COMPUTED_VALUE"""),44841.0)</f>
        <v>44841</v>
      </c>
      <c r="L2091" s="6" t="str">
        <f>IFERROR(__xludf.DUMMYFUNCTION("""COMPUTED_VALUE"""),"FIP General")</f>
        <v>FIP General</v>
      </c>
      <c r="M2091" s="6" t="str">
        <f>IFERROR(__xludf.DUMMYFUNCTION("""COMPUTED_VALUE"""),"Irwan Sopian")</f>
        <v>Irwan Sopian</v>
      </c>
      <c r="N2091" s="6" t="str">
        <f>IFERROR(__xludf.DUMMYFUNCTION("""COMPUTED_VALUE"""),"FIP Engineering")</f>
        <v>FIP Engineering</v>
      </c>
      <c r="O2091" s="6" t="str">
        <f>IFERROR(__xludf.DUMMYFUNCTION("""COMPUTED_VALUE"""),"FIP-DOM-ENG-51508-0000000-INA-000000")</f>
        <v>FIP-DOM-ENG-51508-0000000-INA-000000</v>
      </c>
      <c r="P2091" s="6" t="str">
        <f>IFERROR(__xludf.DUMMYFUNCTION("""COMPUTED_VALUE"""),"PO Closed")</f>
        <v>PO Closed</v>
      </c>
      <c r="Q2091" s="6" t="str">
        <f>IFERROR(__xludf.DUMMYFUNCTION("""COMPUTED_VALUE"""),"GL2209029")</f>
        <v>GL2209029</v>
      </c>
      <c r="R2091" s="57">
        <f>IFERROR(__xludf.DUMMYFUNCTION("""COMPUTED_VALUE"""),44824.0)</f>
        <v>44824</v>
      </c>
      <c r="S2091" s="6" t="str">
        <f>IFERROR(__xludf.DUMMYFUNCTION("""COMPUTED_VALUE"""),"-")</f>
        <v>-</v>
      </c>
      <c r="T2091" s="57">
        <f>IFERROR(__xludf.DUMMYFUNCTION("""COMPUTED_VALUE"""),44834.0)</f>
        <v>44834</v>
      </c>
    </row>
    <row r="2092">
      <c r="A2092" s="6" t="str">
        <f>IFERROR(__xludf.DUMMYFUNCTION("""COMPUTED_VALUE"""),"221750476-1")</f>
        <v>221750476-1</v>
      </c>
      <c r="B2092" s="6" t="str">
        <f>IFERROR(__xludf.DUMMYFUNCTION("""COMPUTED_VALUE"""),"221750476 - Approved")</f>
        <v>221750476 - Approved</v>
      </c>
      <c r="C2092" s="6">
        <f>IFERROR(__xludf.DUMMYFUNCTION("""COMPUTED_VALUE"""),1.0)</f>
        <v>1</v>
      </c>
      <c r="D2092" s="6" t="str">
        <f>IFERROR(__xludf.DUMMYFUNCTION("""COMPUTED_VALUE"""),"P-15942-00")</f>
        <v>P-15942-00</v>
      </c>
      <c r="E2092" s="6" t="str">
        <f>IFERROR(__xludf.DUMMYFUNCTION("""COMPUTED_VALUE"""),"Blind Ferrule SUS304 1.0""; ; ;")</f>
        <v>Blind Ferrule SUS304 1.0"; ; ;</v>
      </c>
      <c r="F2092" s="6">
        <f>IFERROR(__xludf.DUMMYFUNCTION("""COMPUTED_VALUE"""),3.0)</f>
        <v>3</v>
      </c>
      <c r="G2092" s="6" t="str">
        <f>IFERROR(__xludf.DUMMYFUNCTION("""COMPUTED_VALUE"""),"Pieces")</f>
        <v>Pieces</v>
      </c>
      <c r="H2092" s="6" t="str">
        <f>IFERROR(__xludf.DUMMYFUNCTION("""COMPUTED_VALUE"""),"IDR")</f>
        <v>IDR</v>
      </c>
      <c r="I2092" s="6">
        <f>IFERROR(__xludf.DUMMYFUNCTION("""COMPUTED_VALUE"""),130000.0)</f>
        <v>130000</v>
      </c>
      <c r="J2092" s="6">
        <f>IFERROR(__xludf.DUMMYFUNCTION("""COMPUTED_VALUE"""),390000.0)</f>
        <v>390000</v>
      </c>
      <c r="K2092" s="57">
        <f>IFERROR(__xludf.DUMMYFUNCTION("""COMPUTED_VALUE"""),44848.0)</f>
        <v>44848</v>
      </c>
      <c r="L2092" s="6" t="str">
        <f>IFERROR(__xludf.DUMMYFUNCTION("""COMPUTED_VALUE"""),"FIP General")</f>
        <v>FIP General</v>
      </c>
      <c r="M2092" s="6" t="str">
        <f>IFERROR(__xludf.DUMMYFUNCTION("""COMPUTED_VALUE"""),"Irwan Sopian")</f>
        <v>Irwan Sopian</v>
      </c>
      <c r="N2092" s="6" t="str">
        <f>IFERROR(__xludf.DUMMYFUNCTION("""COMPUTED_VALUE"""),"FIP Engineering")</f>
        <v>FIP Engineering</v>
      </c>
      <c r="O2092" s="6" t="str">
        <f>IFERROR(__xludf.DUMMYFUNCTION("""COMPUTED_VALUE"""),"FIP-DOM-ENG-51404-0000000-INA-000000")</f>
        <v>FIP-DOM-ENG-51404-0000000-INA-000000</v>
      </c>
      <c r="P2092" s="6" t="str">
        <f>IFERROR(__xludf.DUMMYFUNCTION("""COMPUTED_VALUE"""),"PO Closed")</f>
        <v>PO Closed</v>
      </c>
      <c r="Q2092" s="6" t="str">
        <f>IFERROR(__xludf.DUMMYFUNCTION("""COMPUTED_VALUE"""),"GL2210316")</f>
        <v>GL2210316</v>
      </c>
      <c r="R2092" s="57">
        <f>IFERROR(__xludf.DUMMYFUNCTION("""COMPUTED_VALUE"""),44827.0)</f>
        <v>44827</v>
      </c>
      <c r="S2092" s="6" t="str">
        <f>IFERROR(__xludf.DUMMYFUNCTION("""COMPUTED_VALUE"""),"-")</f>
        <v>-</v>
      </c>
      <c r="T2092" s="6" t="str">
        <f>IFERROR(__xludf.DUMMYFUNCTION("""COMPUTED_VALUE"""),"-")</f>
        <v>-</v>
      </c>
    </row>
    <row r="2093">
      <c r="A2093" s="6" t="str">
        <f>IFERROR(__xludf.DUMMYFUNCTION("""COMPUTED_VALUE"""),"221750476-2")</f>
        <v>221750476-2</v>
      </c>
      <c r="B2093" s="6" t="str">
        <f>IFERROR(__xludf.DUMMYFUNCTION("""COMPUTED_VALUE"""),"221750476 - Approved")</f>
        <v>221750476 - Approved</v>
      </c>
      <c r="C2093" s="6">
        <f>IFERROR(__xludf.DUMMYFUNCTION("""COMPUTED_VALUE"""),2.0)</f>
        <v>2</v>
      </c>
      <c r="D2093" s="6" t="str">
        <f>IFERROR(__xludf.DUMMYFUNCTION("""COMPUTED_VALUE"""),"P-14977-00")</f>
        <v>P-14977-00</v>
      </c>
      <c r="E2093" s="6" t="str">
        <f>IFERROR(__xludf.DUMMYFUNCTION("""COMPUTED_VALUE"""),"Pipa Sanitary 1"" SS 316; ; ;")</f>
        <v>Pipa Sanitary 1" SS 316; ; ;</v>
      </c>
      <c r="F2093" s="6">
        <f>IFERROR(__xludf.DUMMYFUNCTION("""COMPUTED_VALUE"""),1.0)</f>
        <v>1</v>
      </c>
      <c r="G2093" s="6" t="str">
        <f>IFERROR(__xludf.DUMMYFUNCTION("""COMPUTED_VALUE"""),"Meter")</f>
        <v>Meter</v>
      </c>
      <c r="H2093" s="6" t="str">
        <f>IFERROR(__xludf.DUMMYFUNCTION("""COMPUTED_VALUE"""),"IDR")</f>
        <v>IDR</v>
      </c>
      <c r="I2093" s="6">
        <f>IFERROR(__xludf.DUMMYFUNCTION("""COMPUTED_VALUE"""),1685000.0)</f>
        <v>1685000</v>
      </c>
      <c r="J2093" s="6">
        <f>IFERROR(__xludf.DUMMYFUNCTION("""COMPUTED_VALUE"""),1685000.0)</f>
        <v>1685000</v>
      </c>
      <c r="K2093" s="57">
        <f>IFERROR(__xludf.DUMMYFUNCTION("""COMPUTED_VALUE"""),44848.0)</f>
        <v>44848</v>
      </c>
      <c r="L2093" s="6" t="str">
        <f>IFERROR(__xludf.DUMMYFUNCTION("""COMPUTED_VALUE"""),"FIP General")</f>
        <v>FIP General</v>
      </c>
      <c r="M2093" s="6" t="str">
        <f>IFERROR(__xludf.DUMMYFUNCTION("""COMPUTED_VALUE"""),"Irwan Sopian")</f>
        <v>Irwan Sopian</v>
      </c>
      <c r="N2093" s="6" t="str">
        <f>IFERROR(__xludf.DUMMYFUNCTION("""COMPUTED_VALUE"""),"FIP Engineering")</f>
        <v>FIP Engineering</v>
      </c>
      <c r="O2093" s="6" t="str">
        <f>IFERROR(__xludf.DUMMYFUNCTION("""COMPUTED_VALUE"""),"FIP-DOM-ENG-51504-0000000-INA-000000")</f>
        <v>FIP-DOM-ENG-51504-0000000-INA-000000</v>
      </c>
      <c r="P2093" s="6" t="str">
        <f>IFERROR(__xludf.DUMMYFUNCTION("""COMPUTED_VALUE"""),"PO Closed")</f>
        <v>PO Closed</v>
      </c>
      <c r="Q2093" s="6" t="str">
        <f>IFERROR(__xludf.DUMMYFUNCTION("""COMPUTED_VALUE"""),"GL2210316")</f>
        <v>GL2210316</v>
      </c>
      <c r="R2093" s="57">
        <f>IFERROR(__xludf.DUMMYFUNCTION("""COMPUTED_VALUE"""),44827.0)</f>
        <v>44827</v>
      </c>
      <c r="S2093" s="6" t="str">
        <f>IFERROR(__xludf.DUMMYFUNCTION("""COMPUTED_VALUE"""),"-")</f>
        <v>-</v>
      </c>
      <c r="T2093" s="6" t="str">
        <f>IFERROR(__xludf.DUMMYFUNCTION("""COMPUTED_VALUE"""),"-")</f>
        <v>-</v>
      </c>
    </row>
    <row r="2094">
      <c r="A2094" s="6" t="str">
        <f>IFERROR(__xludf.DUMMYFUNCTION("""COMPUTED_VALUE"""),"221750476-3")</f>
        <v>221750476-3</v>
      </c>
      <c r="B2094" s="6" t="str">
        <f>IFERROR(__xludf.DUMMYFUNCTION("""COMPUTED_VALUE"""),"221750476 - Approved")</f>
        <v>221750476 - Approved</v>
      </c>
      <c r="C2094" s="6">
        <f>IFERROR(__xludf.DUMMYFUNCTION("""COMPUTED_VALUE"""),3.0)</f>
        <v>3</v>
      </c>
      <c r="D2094" s="6" t="str">
        <f>IFERROR(__xludf.DUMMYFUNCTION("""COMPUTED_VALUE"""),"O-15931-00")</f>
        <v>O-15931-00</v>
      </c>
      <c r="E2094" s="6" t="str">
        <f>IFERROR(__xludf.DUMMYFUNCTION("""COMPUTED_VALUE"""),"Double Tape 3M 1"" Merah - P/N : - pc")</f>
        <v>Double Tape 3M 1" Merah - P/N : - pc</v>
      </c>
      <c r="F2094" s="6">
        <f>IFERROR(__xludf.DUMMYFUNCTION("""COMPUTED_VALUE"""),10.0)</f>
        <v>10</v>
      </c>
      <c r="G2094" s="6" t="str">
        <f>IFERROR(__xludf.DUMMYFUNCTION("""COMPUTED_VALUE"""),"Pieces")</f>
        <v>Pieces</v>
      </c>
      <c r="H2094" s="6" t="str">
        <f>IFERROR(__xludf.DUMMYFUNCTION("""COMPUTED_VALUE"""),"IDR")</f>
        <v>IDR</v>
      </c>
      <c r="I2094" s="6">
        <f>IFERROR(__xludf.DUMMYFUNCTION("""COMPUTED_VALUE"""),78500.0)</f>
        <v>78500</v>
      </c>
      <c r="J2094" s="6">
        <f>IFERROR(__xludf.DUMMYFUNCTION("""COMPUTED_VALUE"""),785000.0)</f>
        <v>785000</v>
      </c>
      <c r="K2094" s="57">
        <f>IFERROR(__xludf.DUMMYFUNCTION("""COMPUTED_VALUE"""),44848.0)</f>
        <v>44848</v>
      </c>
      <c r="L2094" s="6" t="str">
        <f>IFERROR(__xludf.DUMMYFUNCTION("""COMPUTED_VALUE"""),"FIP Engineering")</f>
        <v>FIP Engineering</v>
      </c>
      <c r="M2094" s="6" t="str">
        <f>IFERROR(__xludf.DUMMYFUNCTION("""COMPUTED_VALUE"""),"Irwan Sopian")</f>
        <v>Irwan Sopian</v>
      </c>
      <c r="N2094" s="6" t="str">
        <f>IFERROR(__xludf.DUMMYFUNCTION("""COMPUTED_VALUE"""),"FIP Engineering")</f>
        <v>FIP Engineering</v>
      </c>
      <c r="O2094" s="6" t="str">
        <f>IFERROR(__xludf.DUMMYFUNCTION("""COMPUTED_VALUE"""),"FIP-DOM-000-11304-OS00001-INA-000000")</f>
        <v>FIP-DOM-000-11304-OS00001-INA-000000</v>
      </c>
      <c r="P2094" s="6" t="str">
        <f>IFERROR(__xludf.DUMMYFUNCTION("""COMPUTED_VALUE"""),"PO Closed")</f>
        <v>PO Closed</v>
      </c>
      <c r="Q2094" s="6" t="str">
        <f>IFERROR(__xludf.DUMMYFUNCTION("""COMPUTED_VALUE"""),"GL2210316")</f>
        <v>GL2210316</v>
      </c>
      <c r="R2094" s="57">
        <f>IFERROR(__xludf.DUMMYFUNCTION("""COMPUTED_VALUE"""),44827.0)</f>
        <v>44827</v>
      </c>
      <c r="S2094" s="6" t="str">
        <f>IFERROR(__xludf.DUMMYFUNCTION("""COMPUTED_VALUE"""),"-")</f>
        <v>-</v>
      </c>
      <c r="T2094" s="6" t="str">
        <f>IFERROR(__xludf.DUMMYFUNCTION("""COMPUTED_VALUE"""),"-")</f>
        <v>-</v>
      </c>
    </row>
    <row r="2095">
      <c r="A2095" s="6" t="str">
        <f>IFERROR(__xludf.DUMMYFUNCTION("""COMPUTED_VALUE"""),"221750476-4")</f>
        <v>221750476-4</v>
      </c>
      <c r="B2095" s="6" t="str">
        <f>IFERROR(__xludf.DUMMYFUNCTION("""COMPUTED_VALUE"""),"221750476 - Approved")</f>
        <v>221750476 - Approved</v>
      </c>
      <c r="C2095" s="6">
        <f>IFERROR(__xludf.DUMMYFUNCTION("""COMPUTED_VALUE"""),4.0)</f>
        <v>4</v>
      </c>
      <c r="D2095" s="6" t="str">
        <f>IFERROR(__xludf.DUMMYFUNCTION("""COMPUTED_VALUE"""),"P-52489-00")</f>
        <v>P-52489-00</v>
      </c>
      <c r="E2095" s="6" t="str">
        <f>IFERROR(__xludf.DUMMYFUNCTION("""COMPUTED_VALUE"""),"Converter Cleanphone Phone Yeastar")</f>
        <v>Converter Cleanphone Phone Yeastar</v>
      </c>
      <c r="F2095" s="6">
        <f>IFERROR(__xludf.DUMMYFUNCTION("""COMPUTED_VALUE"""),1.0)</f>
        <v>1</v>
      </c>
      <c r="G2095" s="6" t="str">
        <f>IFERROR(__xludf.DUMMYFUNCTION("""COMPUTED_VALUE"""),"Pieces")</f>
        <v>Pieces</v>
      </c>
      <c r="H2095" s="6" t="str">
        <f>IFERROR(__xludf.DUMMYFUNCTION("""COMPUTED_VALUE"""),"IDR")</f>
        <v>IDR</v>
      </c>
      <c r="I2095" s="6">
        <f>IFERROR(__xludf.DUMMYFUNCTION("""COMPUTED_VALUE"""),987500.0)</f>
        <v>987500</v>
      </c>
      <c r="J2095" s="6">
        <f>IFERROR(__xludf.DUMMYFUNCTION("""COMPUTED_VALUE"""),987500.0)</f>
        <v>987500</v>
      </c>
      <c r="K2095" s="57">
        <f>IFERROR(__xludf.DUMMYFUNCTION("""COMPUTED_VALUE"""),44848.0)</f>
        <v>44848</v>
      </c>
      <c r="L2095" s="6" t="str">
        <f>IFERROR(__xludf.DUMMYFUNCTION("""COMPUTED_VALUE"""),"FIP Engineering")</f>
        <v>FIP Engineering</v>
      </c>
      <c r="M2095" s="6" t="str">
        <f>IFERROR(__xludf.DUMMYFUNCTION("""COMPUTED_VALUE"""),"Irwan Sopian")</f>
        <v>Irwan Sopian</v>
      </c>
      <c r="N2095" s="6" t="str">
        <f>IFERROR(__xludf.DUMMYFUNCTION("""COMPUTED_VALUE"""),"FIP Engineering")</f>
        <v>FIP Engineering</v>
      </c>
      <c r="O2095" s="6" t="str">
        <f>IFERROR(__xludf.DUMMYFUNCTION("""COMPUTED_VALUE"""),"FIP-DOM-000-11304-OS00001-INA-000000")</f>
        <v>FIP-DOM-000-11304-OS00001-INA-000000</v>
      </c>
      <c r="P2095" s="6" t="str">
        <f>IFERROR(__xludf.DUMMYFUNCTION("""COMPUTED_VALUE"""),"PO Closed")</f>
        <v>PO Closed</v>
      </c>
      <c r="Q2095" s="6" t="str">
        <f>IFERROR(__xludf.DUMMYFUNCTION("""COMPUTED_VALUE"""),"GL2210316")</f>
        <v>GL2210316</v>
      </c>
      <c r="R2095" s="57">
        <f>IFERROR(__xludf.DUMMYFUNCTION("""COMPUTED_VALUE"""),44827.0)</f>
        <v>44827</v>
      </c>
      <c r="S2095" s="6" t="str">
        <f>IFERROR(__xludf.DUMMYFUNCTION("""COMPUTED_VALUE"""),"-")</f>
        <v>-</v>
      </c>
      <c r="T2095" s="6" t="str">
        <f>IFERROR(__xludf.DUMMYFUNCTION("""COMPUTED_VALUE"""),"-")</f>
        <v>-</v>
      </c>
    </row>
    <row r="2096">
      <c r="A2096" s="6" t="str">
        <f>IFERROR(__xludf.DUMMYFUNCTION("""COMPUTED_VALUE"""),"221750476-5")</f>
        <v>221750476-5</v>
      </c>
      <c r="B2096" s="6" t="str">
        <f>IFERROR(__xludf.DUMMYFUNCTION("""COMPUTED_VALUE"""),"221750476 - Approved")</f>
        <v>221750476 - Approved</v>
      </c>
      <c r="C2096" s="6">
        <f>IFERROR(__xludf.DUMMYFUNCTION("""COMPUTED_VALUE"""),5.0)</f>
        <v>5</v>
      </c>
      <c r="D2096" s="6" t="str">
        <f>IFERROR(__xludf.DUMMYFUNCTION("""COMPUTED_VALUE"""),"P-52513-00")</f>
        <v>P-52513-00</v>
      </c>
      <c r="E2096" s="6" t="str">
        <f>IFERROR(__xludf.DUMMYFUNCTION("""COMPUTED_VALUE"""),"Emergency Stop 22 mm IDEC")</f>
        <v>Emergency Stop 22 mm IDEC</v>
      </c>
      <c r="F2096" s="6">
        <f>IFERROR(__xludf.DUMMYFUNCTION("""COMPUTED_VALUE"""),2.0)</f>
        <v>2</v>
      </c>
      <c r="G2096" s="6" t="str">
        <f>IFERROR(__xludf.DUMMYFUNCTION("""COMPUTED_VALUE"""),"Pieces")</f>
        <v>Pieces</v>
      </c>
      <c r="H2096" s="6" t="str">
        <f>IFERROR(__xludf.DUMMYFUNCTION("""COMPUTED_VALUE"""),"IDR")</f>
        <v>IDR</v>
      </c>
      <c r="I2096" s="6">
        <f>IFERROR(__xludf.DUMMYFUNCTION("""COMPUTED_VALUE"""),85000.0)</f>
        <v>85000</v>
      </c>
      <c r="J2096" s="6">
        <f>IFERROR(__xludf.DUMMYFUNCTION("""COMPUTED_VALUE"""),170000.0)</f>
        <v>170000</v>
      </c>
      <c r="K2096" s="57">
        <f>IFERROR(__xludf.DUMMYFUNCTION("""COMPUTED_VALUE"""),44848.0)</f>
        <v>44848</v>
      </c>
      <c r="L2096" s="6" t="str">
        <f>IFERROR(__xludf.DUMMYFUNCTION("""COMPUTED_VALUE"""),"FIP Engineering")</f>
        <v>FIP Engineering</v>
      </c>
      <c r="M2096" s="6" t="str">
        <f>IFERROR(__xludf.DUMMYFUNCTION("""COMPUTED_VALUE"""),"Irwan Sopian")</f>
        <v>Irwan Sopian</v>
      </c>
      <c r="N2096" s="6" t="str">
        <f>IFERROR(__xludf.DUMMYFUNCTION("""COMPUTED_VALUE"""),"FIP Engineering")</f>
        <v>FIP Engineering</v>
      </c>
      <c r="O2096" s="6" t="str">
        <f>IFERROR(__xludf.DUMMYFUNCTION("""COMPUTED_VALUE"""),"FIP-DOM-000-11304-OS00001-INA-000000")</f>
        <v>FIP-DOM-000-11304-OS00001-INA-000000</v>
      </c>
      <c r="P2096" s="6" t="str">
        <f>IFERROR(__xludf.DUMMYFUNCTION("""COMPUTED_VALUE"""),"PO Closed")</f>
        <v>PO Closed</v>
      </c>
      <c r="Q2096" s="6" t="str">
        <f>IFERROR(__xludf.DUMMYFUNCTION("""COMPUTED_VALUE"""),"GL2210316")</f>
        <v>GL2210316</v>
      </c>
      <c r="R2096" s="57">
        <f>IFERROR(__xludf.DUMMYFUNCTION("""COMPUTED_VALUE"""),44827.0)</f>
        <v>44827</v>
      </c>
      <c r="S2096" s="6" t="str">
        <f>IFERROR(__xludf.DUMMYFUNCTION("""COMPUTED_VALUE"""),"-")</f>
        <v>-</v>
      </c>
      <c r="T2096" s="6" t="str">
        <f>IFERROR(__xludf.DUMMYFUNCTION("""COMPUTED_VALUE"""),"-")</f>
        <v>-</v>
      </c>
    </row>
    <row r="2097">
      <c r="A2097" s="6" t="str">
        <f>IFERROR(__xludf.DUMMYFUNCTION("""COMPUTED_VALUE"""),"221750476-6")</f>
        <v>221750476-6</v>
      </c>
      <c r="B2097" s="6" t="str">
        <f>IFERROR(__xludf.DUMMYFUNCTION("""COMPUTED_VALUE"""),"221750476 - Approved")</f>
        <v>221750476 - Approved</v>
      </c>
      <c r="C2097" s="6">
        <f>IFERROR(__xludf.DUMMYFUNCTION("""COMPUTED_VALUE"""),6.0)</f>
        <v>6</v>
      </c>
      <c r="D2097" s="6" t="str">
        <f>IFERROR(__xludf.DUMMYFUNCTION("""COMPUTED_VALUE"""),"P-18331-00")</f>
        <v>P-18331-00</v>
      </c>
      <c r="E2097" s="6" t="str">
        <f>IFERROR(__xludf.DUMMYFUNCTION("""COMPUTED_VALUE"""),"Double Nepple Kuningan 1/8inch")</f>
        <v>Double Nepple Kuningan 1/8inch</v>
      </c>
      <c r="F2097" s="6">
        <f>IFERROR(__xludf.DUMMYFUNCTION("""COMPUTED_VALUE"""),2.0)</f>
        <v>2</v>
      </c>
      <c r="G2097" s="6" t="str">
        <f>IFERROR(__xludf.DUMMYFUNCTION("""COMPUTED_VALUE"""),"Pieces")</f>
        <v>Pieces</v>
      </c>
      <c r="H2097" s="6" t="str">
        <f>IFERROR(__xludf.DUMMYFUNCTION("""COMPUTED_VALUE"""),"IDR")</f>
        <v>IDR</v>
      </c>
      <c r="I2097" s="6">
        <f>IFERROR(__xludf.DUMMYFUNCTION("""COMPUTED_VALUE"""),18000.0)</f>
        <v>18000</v>
      </c>
      <c r="J2097" s="6">
        <f>IFERROR(__xludf.DUMMYFUNCTION("""COMPUTED_VALUE"""),36000.0)</f>
        <v>36000</v>
      </c>
      <c r="K2097" s="57">
        <f>IFERROR(__xludf.DUMMYFUNCTION("""COMPUTED_VALUE"""),44848.0)</f>
        <v>44848</v>
      </c>
      <c r="L2097" s="6" t="str">
        <f>IFERROR(__xludf.DUMMYFUNCTION("""COMPUTED_VALUE"""),"FIP Engineering")</f>
        <v>FIP Engineering</v>
      </c>
      <c r="M2097" s="6" t="str">
        <f>IFERROR(__xludf.DUMMYFUNCTION("""COMPUTED_VALUE"""),"Irwan Sopian")</f>
        <v>Irwan Sopian</v>
      </c>
      <c r="N2097" s="6" t="str">
        <f>IFERROR(__xludf.DUMMYFUNCTION("""COMPUTED_VALUE"""),"FIP Engineering")</f>
        <v>FIP Engineering</v>
      </c>
      <c r="O2097" s="6" t="str">
        <f>IFERROR(__xludf.DUMMYFUNCTION("""COMPUTED_VALUE"""),"FIP-DOM-000-11304-OS00001-INA-000000")</f>
        <v>FIP-DOM-000-11304-OS00001-INA-000000</v>
      </c>
      <c r="P2097" s="6" t="str">
        <f>IFERROR(__xludf.DUMMYFUNCTION("""COMPUTED_VALUE"""),"PO Closed")</f>
        <v>PO Closed</v>
      </c>
      <c r="Q2097" s="6" t="str">
        <f>IFERROR(__xludf.DUMMYFUNCTION("""COMPUTED_VALUE"""),"GL2210316")</f>
        <v>GL2210316</v>
      </c>
      <c r="R2097" s="57">
        <f>IFERROR(__xludf.DUMMYFUNCTION("""COMPUTED_VALUE"""),44827.0)</f>
        <v>44827</v>
      </c>
      <c r="S2097" s="6" t="str">
        <f>IFERROR(__xludf.DUMMYFUNCTION("""COMPUTED_VALUE"""),"-")</f>
        <v>-</v>
      </c>
      <c r="T2097" s="6" t="str">
        <f>IFERROR(__xludf.DUMMYFUNCTION("""COMPUTED_VALUE"""),"-")</f>
        <v>-</v>
      </c>
    </row>
    <row r="2098">
      <c r="A2098" s="6" t="str">
        <f>IFERROR(__xludf.DUMMYFUNCTION("""COMPUTED_VALUE"""),"221750476-7")</f>
        <v>221750476-7</v>
      </c>
      <c r="B2098" s="6" t="str">
        <f>IFERROR(__xludf.DUMMYFUNCTION("""COMPUTED_VALUE"""),"221750476 - Approved")</f>
        <v>221750476 - Approved</v>
      </c>
      <c r="C2098" s="6">
        <f>IFERROR(__xludf.DUMMYFUNCTION("""COMPUTED_VALUE"""),7.0)</f>
        <v>7</v>
      </c>
      <c r="D2098" s="6" t="str">
        <f>IFERROR(__xludf.DUMMYFUNCTION("""COMPUTED_VALUE"""),"Q-10518-00")</f>
        <v>Q-10518-00</v>
      </c>
      <c r="E2098" s="6" t="str">
        <f>IFERROR(__xludf.DUMMYFUNCTION("""COMPUTED_VALUE"""),"Dempul")</f>
        <v>Dempul</v>
      </c>
      <c r="F2098" s="6">
        <f>IFERROR(__xludf.DUMMYFUNCTION("""COMPUTED_VALUE"""),2.0)</f>
        <v>2</v>
      </c>
      <c r="G2098" s="6" t="str">
        <f>IFERROR(__xludf.DUMMYFUNCTION("""COMPUTED_VALUE"""),"Kilogram")</f>
        <v>Kilogram</v>
      </c>
      <c r="H2098" s="6" t="str">
        <f>IFERROR(__xludf.DUMMYFUNCTION("""COMPUTED_VALUE"""),"IDR")</f>
        <v>IDR</v>
      </c>
      <c r="I2098" s="6">
        <f>IFERROR(__xludf.DUMMYFUNCTION("""COMPUTED_VALUE"""),95000.0)</f>
        <v>95000</v>
      </c>
      <c r="J2098" s="6">
        <f>IFERROR(__xludf.DUMMYFUNCTION("""COMPUTED_VALUE"""),190000.0)</f>
        <v>190000</v>
      </c>
      <c r="K2098" s="57">
        <f>IFERROR(__xludf.DUMMYFUNCTION("""COMPUTED_VALUE"""),44848.0)</f>
        <v>44848</v>
      </c>
      <c r="L2098" s="6" t="str">
        <f>IFERROR(__xludf.DUMMYFUNCTION("""COMPUTED_VALUE"""),"FIP General")</f>
        <v>FIP General</v>
      </c>
      <c r="M2098" s="6" t="str">
        <f>IFERROR(__xludf.DUMMYFUNCTION("""COMPUTED_VALUE"""),"Irwan Sopian")</f>
        <v>Irwan Sopian</v>
      </c>
      <c r="N2098" s="6" t="str">
        <f>IFERROR(__xludf.DUMMYFUNCTION("""COMPUTED_VALUE"""),"FIP Engineering")</f>
        <v>FIP Engineering</v>
      </c>
      <c r="O2098" s="6" t="str">
        <f>IFERROR(__xludf.DUMMYFUNCTION("""COMPUTED_VALUE"""),"FIP-DOM-ENG-51502-0000000-INA-000000")</f>
        <v>FIP-DOM-ENG-51502-0000000-INA-000000</v>
      </c>
      <c r="P2098" s="6" t="str">
        <f>IFERROR(__xludf.DUMMYFUNCTION("""COMPUTED_VALUE"""),"PO Closed")</f>
        <v>PO Closed</v>
      </c>
      <c r="Q2098" s="6" t="str">
        <f>IFERROR(__xludf.DUMMYFUNCTION("""COMPUTED_VALUE"""),"GL2210316")</f>
        <v>GL2210316</v>
      </c>
      <c r="R2098" s="57">
        <f>IFERROR(__xludf.DUMMYFUNCTION("""COMPUTED_VALUE"""),44827.0)</f>
        <v>44827</v>
      </c>
      <c r="S2098" s="6" t="str">
        <f>IFERROR(__xludf.DUMMYFUNCTION("""COMPUTED_VALUE"""),"-")</f>
        <v>-</v>
      </c>
      <c r="T2098" s="6" t="str">
        <f>IFERROR(__xludf.DUMMYFUNCTION("""COMPUTED_VALUE"""),"-")</f>
        <v>-</v>
      </c>
    </row>
    <row r="2099">
      <c r="A2099" s="6" t="str">
        <f>IFERROR(__xludf.DUMMYFUNCTION("""COMPUTED_VALUE"""),"221750476-8")</f>
        <v>221750476-8</v>
      </c>
      <c r="B2099" s="6" t="str">
        <f>IFERROR(__xludf.DUMMYFUNCTION("""COMPUTED_VALUE"""),"221750476 - Approved")</f>
        <v>221750476 - Approved</v>
      </c>
      <c r="C2099" s="6">
        <f>IFERROR(__xludf.DUMMYFUNCTION("""COMPUTED_VALUE"""),8.0)</f>
        <v>8</v>
      </c>
      <c r="D2099" s="6" t="str">
        <f>IFERROR(__xludf.DUMMYFUNCTION("""COMPUTED_VALUE"""),"P-51559-00")</f>
        <v>P-51559-00</v>
      </c>
      <c r="E2099" s="6" t="str">
        <f>IFERROR(__xludf.DUMMYFUNCTION("""COMPUTED_VALUE"""),"Lampu T5 14watt Putih Phillips")</f>
        <v>Lampu T5 14watt Putih Phillips</v>
      </c>
      <c r="F2099" s="6">
        <f>IFERROR(__xludf.DUMMYFUNCTION("""COMPUTED_VALUE"""),40.0)</f>
        <v>40</v>
      </c>
      <c r="G2099" s="6" t="str">
        <f>IFERROR(__xludf.DUMMYFUNCTION("""COMPUTED_VALUE"""),"Pack")</f>
        <v>Pack</v>
      </c>
      <c r="H2099" s="6" t="str">
        <f>IFERROR(__xludf.DUMMYFUNCTION("""COMPUTED_VALUE"""),"IDR")</f>
        <v>IDR</v>
      </c>
      <c r="I2099" s="6">
        <f>IFERROR(__xludf.DUMMYFUNCTION("""COMPUTED_VALUE"""),38500.0)</f>
        <v>38500</v>
      </c>
      <c r="J2099" s="6">
        <f>IFERROR(__xludf.DUMMYFUNCTION("""COMPUTED_VALUE"""),1540000.0)</f>
        <v>1540000</v>
      </c>
      <c r="K2099" s="57">
        <f>IFERROR(__xludf.DUMMYFUNCTION("""COMPUTED_VALUE"""),44848.0)</f>
        <v>44848</v>
      </c>
      <c r="L2099" s="6" t="str">
        <f>IFERROR(__xludf.DUMMYFUNCTION("""COMPUTED_VALUE"""),"FIP Engineering")</f>
        <v>FIP Engineering</v>
      </c>
      <c r="M2099" s="6" t="str">
        <f>IFERROR(__xludf.DUMMYFUNCTION("""COMPUTED_VALUE"""),"Irwan Sopian")</f>
        <v>Irwan Sopian</v>
      </c>
      <c r="N2099" s="6" t="str">
        <f>IFERROR(__xludf.DUMMYFUNCTION("""COMPUTED_VALUE"""),"FIP Engineering")</f>
        <v>FIP Engineering</v>
      </c>
      <c r="O2099" s="6" t="str">
        <f>IFERROR(__xludf.DUMMYFUNCTION("""COMPUTED_VALUE"""),"FIP-DOM-000-11304-OS00001-INA-000000")</f>
        <v>FIP-DOM-000-11304-OS00001-INA-000000</v>
      </c>
      <c r="P2099" s="6" t="str">
        <f>IFERROR(__xludf.DUMMYFUNCTION("""COMPUTED_VALUE"""),"PO Closed")</f>
        <v>PO Closed</v>
      </c>
      <c r="Q2099" s="6" t="str">
        <f>IFERROR(__xludf.DUMMYFUNCTION("""COMPUTED_VALUE"""),"GL2210316")</f>
        <v>GL2210316</v>
      </c>
      <c r="R2099" s="57">
        <f>IFERROR(__xludf.DUMMYFUNCTION("""COMPUTED_VALUE"""),44827.0)</f>
        <v>44827</v>
      </c>
      <c r="S2099" s="6" t="str">
        <f>IFERROR(__xludf.DUMMYFUNCTION("""COMPUTED_VALUE"""),"-")</f>
        <v>-</v>
      </c>
      <c r="T2099" s="6" t="str">
        <f>IFERROR(__xludf.DUMMYFUNCTION("""COMPUTED_VALUE"""),"-")</f>
        <v>-</v>
      </c>
    </row>
    <row r="2100">
      <c r="A2100" s="6" t="str">
        <f>IFERROR(__xludf.DUMMYFUNCTION("""COMPUTED_VALUE"""),"221750476-9")</f>
        <v>221750476-9</v>
      </c>
      <c r="B2100" s="6" t="str">
        <f>IFERROR(__xludf.DUMMYFUNCTION("""COMPUTED_VALUE"""),"221750476 - Approved")</f>
        <v>221750476 - Approved</v>
      </c>
      <c r="C2100" s="6">
        <f>IFERROR(__xludf.DUMMYFUNCTION("""COMPUTED_VALUE"""),9.0)</f>
        <v>9</v>
      </c>
      <c r="D2100" s="6" t="str">
        <f>IFERROR(__xludf.DUMMYFUNCTION("""COMPUTED_VALUE"""),"P-51560-00")</f>
        <v>P-51560-00</v>
      </c>
      <c r="E2100" s="6" t="str">
        <f>IFERROR(__xludf.DUMMYFUNCTION("""COMPUTED_VALUE"""),"Lampu T5 28watt Putih Phillips")</f>
        <v>Lampu T5 28watt Putih Phillips</v>
      </c>
      <c r="F2100" s="6">
        <f>IFERROR(__xludf.DUMMYFUNCTION("""COMPUTED_VALUE"""),40.0)</f>
        <v>40</v>
      </c>
      <c r="G2100" s="6" t="str">
        <f>IFERROR(__xludf.DUMMYFUNCTION("""COMPUTED_VALUE"""),"Pieces")</f>
        <v>Pieces</v>
      </c>
      <c r="H2100" s="6" t="str">
        <f>IFERROR(__xludf.DUMMYFUNCTION("""COMPUTED_VALUE"""),"IDR")</f>
        <v>IDR</v>
      </c>
      <c r="I2100" s="6">
        <f>IFERROR(__xludf.DUMMYFUNCTION("""COMPUTED_VALUE"""),43000.0)</f>
        <v>43000</v>
      </c>
      <c r="J2100" s="6">
        <f>IFERROR(__xludf.DUMMYFUNCTION("""COMPUTED_VALUE"""),1720000.0)</f>
        <v>1720000</v>
      </c>
      <c r="K2100" s="57">
        <f>IFERROR(__xludf.DUMMYFUNCTION("""COMPUTED_VALUE"""),44848.0)</f>
        <v>44848</v>
      </c>
      <c r="L2100" s="6" t="str">
        <f>IFERROR(__xludf.DUMMYFUNCTION("""COMPUTED_VALUE"""),"FIP Engineering")</f>
        <v>FIP Engineering</v>
      </c>
      <c r="M2100" s="6" t="str">
        <f>IFERROR(__xludf.DUMMYFUNCTION("""COMPUTED_VALUE"""),"Irwan Sopian")</f>
        <v>Irwan Sopian</v>
      </c>
      <c r="N2100" s="6" t="str">
        <f>IFERROR(__xludf.DUMMYFUNCTION("""COMPUTED_VALUE"""),"FIP Engineering")</f>
        <v>FIP Engineering</v>
      </c>
      <c r="O2100" s="6" t="str">
        <f>IFERROR(__xludf.DUMMYFUNCTION("""COMPUTED_VALUE"""),"FIP-DOM-000-11304-OS00001-INA-000000")</f>
        <v>FIP-DOM-000-11304-OS00001-INA-000000</v>
      </c>
      <c r="P2100" s="6" t="str">
        <f>IFERROR(__xludf.DUMMYFUNCTION("""COMPUTED_VALUE"""),"PO Closed")</f>
        <v>PO Closed</v>
      </c>
      <c r="Q2100" s="6" t="str">
        <f>IFERROR(__xludf.DUMMYFUNCTION("""COMPUTED_VALUE"""),"GL2210316")</f>
        <v>GL2210316</v>
      </c>
      <c r="R2100" s="57">
        <f>IFERROR(__xludf.DUMMYFUNCTION("""COMPUTED_VALUE"""),44827.0)</f>
        <v>44827</v>
      </c>
      <c r="S2100" s="6" t="str">
        <f>IFERROR(__xludf.DUMMYFUNCTION("""COMPUTED_VALUE"""),"-")</f>
        <v>-</v>
      </c>
      <c r="T2100" s="6" t="str">
        <f>IFERROR(__xludf.DUMMYFUNCTION("""COMPUTED_VALUE"""),"-")</f>
        <v>-</v>
      </c>
    </row>
    <row r="2101">
      <c r="A2101" s="6" t="str">
        <f>IFERROR(__xludf.DUMMYFUNCTION("""COMPUTED_VALUE"""),"221750475-1")</f>
        <v>221750475-1</v>
      </c>
      <c r="B2101" s="6" t="str">
        <f>IFERROR(__xludf.DUMMYFUNCTION("""COMPUTED_VALUE"""),"221750475 - Approved")</f>
        <v>221750475 - Approved</v>
      </c>
      <c r="C2101" s="6">
        <f>IFERROR(__xludf.DUMMYFUNCTION("""COMPUTED_VALUE"""),1.0)</f>
        <v>1</v>
      </c>
      <c r="D2101" s="6" t="str">
        <f>IFERROR(__xludf.DUMMYFUNCTION("""COMPUTED_VALUE"""),"S-60002-00")</f>
        <v>S-60002-00</v>
      </c>
      <c r="E2101" s="6" t="str">
        <f>IFERROR(__xludf.DUMMYFUNCTION("""COMPUTED_VALUE"""),"Pengantian top hpl marmer dan perapihan edging pvc ( conter security fonko lt 1 )")</f>
        <v>Pengantian top hpl marmer dan perapihan edging pvc ( conter security fonko lt 1 )</v>
      </c>
      <c r="F2101" s="6">
        <f>IFERROR(__xludf.DUMMYFUNCTION("""COMPUTED_VALUE"""),1.0)</f>
        <v>1</v>
      </c>
      <c r="G2101" s="6" t="str">
        <f>IFERROR(__xludf.DUMMYFUNCTION("""COMPUTED_VALUE"""),"Lot")</f>
        <v>Lot</v>
      </c>
      <c r="H2101" s="6" t="str">
        <f>IFERROR(__xludf.DUMMYFUNCTION("""COMPUTED_VALUE"""),"IDR")</f>
        <v>IDR</v>
      </c>
      <c r="I2101" s="6">
        <f>IFERROR(__xludf.DUMMYFUNCTION("""COMPUTED_VALUE"""),2700000.0)</f>
        <v>2700000</v>
      </c>
      <c r="J2101" s="6">
        <f>IFERROR(__xludf.DUMMYFUNCTION("""COMPUTED_VALUE"""),2700000.0)</f>
        <v>2700000</v>
      </c>
      <c r="K2101" s="57">
        <f>IFERROR(__xludf.DUMMYFUNCTION("""COMPUTED_VALUE"""),44848.0)</f>
        <v>44848</v>
      </c>
      <c r="L2101" s="6" t="str">
        <f>IFERROR(__xludf.DUMMYFUNCTION("""COMPUTED_VALUE"""),"FIP General")</f>
        <v>FIP General</v>
      </c>
      <c r="M2101" s="6" t="str">
        <f>IFERROR(__xludf.DUMMYFUNCTION("""COMPUTED_VALUE"""),"Irwan Sopian")</f>
        <v>Irwan Sopian</v>
      </c>
      <c r="N2101" s="6" t="str">
        <f>IFERROR(__xludf.DUMMYFUNCTION("""COMPUTED_VALUE"""),"FIP Engineering")</f>
        <v>FIP Engineering</v>
      </c>
      <c r="O2101" s="6" t="str">
        <f>IFERROR(__xludf.DUMMYFUNCTION("""COMPUTED_VALUE"""),"FIP-DOM-ENG-51508-0000000-INA-000000")</f>
        <v>FIP-DOM-ENG-51508-0000000-INA-000000</v>
      </c>
      <c r="P2101" s="6" t="str">
        <f>IFERROR(__xludf.DUMMYFUNCTION("""COMPUTED_VALUE"""),"PO Closed")</f>
        <v>PO Closed</v>
      </c>
      <c r="Q2101" s="6" t="str">
        <f>IFERROR(__xludf.DUMMYFUNCTION("""COMPUTED_VALUE"""),"GL2210012")</f>
        <v>GL2210012</v>
      </c>
      <c r="R2101" s="57">
        <f>IFERROR(__xludf.DUMMYFUNCTION("""COMPUTED_VALUE"""),44827.0)</f>
        <v>44827</v>
      </c>
      <c r="S2101" s="6" t="str">
        <f>IFERROR(__xludf.DUMMYFUNCTION("""COMPUTED_VALUE"""),"-")</f>
        <v>-</v>
      </c>
      <c r="T2101" s="6" t="str">
        <f>IFERROR(__xludf.DUMMYFUNCTION("""COMPUTED_VALUE"""),"-")</f>
        <v>-</v>
      </c>
    </row>
    <row r="2102">
      <c r="A2102" s="6" t="str">
        <f>IFERROR(__xludf.DUMMYFUNCTION("""COMPUTED_VALUE"""),"221750474-1")</f>
        <v>221750474-1</v>
      </c>
      <c r="B2102" s="6" t="str">
        <f>IFERROR(__xludf.DUMMYFUNCTION("""COMPUTED_VALUE"""),"221750474 - Approved")</f>
        <v>221750474 - Approved</v>
      </c>
      <c r="C2102" s="6">
        <f>IFERROR(__xludf.DUMMYFUNCTION("""COMPUTED_VALUE"""),1.0)</f>
        <v>1</v>
      </c>
      <c r="D2102" s="6" t="str">
        <f>IFERROR(__xludf.DUMMYFUNCTION("""COMPUTED_VALUE"""),"S-60002-00")</f>
        <v>S-60002-00</v>
      </c>
      <c r="E2102" s="6" t="str">
        <f>IFERROR(__xludf.DUMMYFUNCTION("""COMPUTED_VALUE"""),"Jasa Pengecatan Ruang Kantin,Watersystem &amp; Tangga Office")</f>
        <v>Jasa Pengecatan Ruang Kantin,Watersystem &amp; Tangga Office</v>
      </c>
      <c r="F2102" s="6">
        <f>IFERROR(__xludf.DUMMYFUNCTION("""COMPUTED_VALUE"""),1.0)</f>
        <v>1</v>
      </c>
      <c r="G2102" s="6" t="str">
        <f>IFERROR(__xludf.DUMMYFUNCTION("""COMPUTED_VALUE"""),"Lot")</f>
        <v>Lot</v>
      </c>
      <c r="H2102" s="6" t="str">
        <f>IFERROR(__xludf.DUMMYFUNCTION("""COMPUTED_VALUE"""),"IDR")</f>
        <v>IDR</v>
      </c>
      <c r="I2102" s="6">
        <f>IFERROR(__xludf.DUMMYFUNCTION("""COMPUTED_VALUE"""),5400000.0)</f>
        <v>5400000</v>
      </c>
      <c r="J2102" s="6">
        <f>IFERROR(__xludf.DUMMYFUNCTION("""COMPUTED_VALUE"""),5400000.0)</f>
        <v>5400000</v>
      </c>
      <c r="K2102" s="57">
        <f>IFERROR(__xludf.DUMMYFUNCTION("""COMPUTED_VALUE"""),44848.0)</f>
        <v>44848</v>
      </c>
      <c r="L2102" s="6" t="str">
        <f>IFERROR(__xludf.DUMMYFUNCTION("""COMPUTED_VALUE"""),"FIP General")</f>
        <v>FIP General</v>
      </c>
      <c r="M2102" s="6" t="str">
        <f>IFERROR(__xludf.DUMMYFUNCTION("""COMPUTED_VALUE"""),"Irwan Sopian")</f>
        <v>Irwan Sopian</v>
      </c>
      <c r="N2102" s="6" t="str">
        <f>IFERROR(__xludf.DUMMYFUNCTION("""COMPUTED_VALUE"""),"FIP Engineering")</f>
        <v>FIP Engineering</v>
      </c>
      <c r="O2102" s="6" t="str">
        <f>IFERROR(__xludf.DUMMYFUNCTION("""COMPUTED_VALUE"""),"FIP-DOM-ENG-51508-0000000-INA-000000")</f>
        <v>FIP-DOM-ENG-51508-0000000-INA-000000</v>
      </c>
      <c r="P2102" s="6" t="str">
        <f>IFERROR(__xludf.DUMMYFUNCTION("""COMPUTED_VALUE"""),"PO Closed")</f>
        <v>PO Closed</v>
      </c>
      <c r="Q2102" s="6" t="str">
        <f>IFERROR(__xludf.DUMMYFUNCTION("""COMPUTED_VALUE"""),"GL2210011")</f>
        <v>GL2210011</v>
      </c>
      <c r="R2102" s="57">
        <f>IFERROR(__xludf.DUMMYFUNCTION("""COMPUTED_VALUE"""),44827.0)</f>
        <v>44827</v>
      </c>
      <c r="S2102" s="6" t="str">
        <f>IFERROR(__xludf.DUMMYFUNCTION("""COMPUTED_VALUE"""),"-")</f>
        <v>-</v>
      </c>
      <c r="T2102" s="6" t="str">
        <f>IFERROR(__xludf.DUMMYFUNCTION("""COMPUTED_VALUE"""),"-")</f>
        <v>-</v>
      </c>
    </row>
    <row r="2103">
      <c r="A2103" s="6" t="str">
        <f>IFERROR(__xludf.DUMMYFUNCTION("""COMPUTED_VALUE"""),"221750474-2")</f>
        <v>221750474-2</v>
      </c>
      <c r="B2103" s="6" t="str">
        <f>IFERROR(__xludf.DUMMYFUNCTION("""COMPUTED_VALUE"""),"221750474 - Approved")</f>
        <v>221750474 - Approved</v>
      </c>
      <c r="C2103" s="6">
        <f>IFERROR(__xludf.DUMMYFUNCTION("""COMPUTED_VALUE"""),2.0)</f>
        <v>2</v>
      </c>
      <c r="D2103" s="6" t="str">
        <f>IFERROR(__xludf.DUMMYFUNCTION("""COMPUTED_VALUE"""),"S-60002-00")</f>
        <v>S-60002-00</v>
      </c>
      <c r="E2103" s="6" t="str">
        <f>IFERROR(__xludf.DUMMYFUNCTION("""COMPUTED_VALUE"""),"Jasa Pengecatan &amp; Repair Dinding Koridor Produksi, Engginering &amp; Area Lab")</f>
        <v>Jasa Pengecatan &amp; Repair Dinding Koridor Produksi, Engginering &amp; Area Lab</v>
      </c>
      <c r="F2103" s="6">
        <f>IFERROR(__xludf.DUMMYFUNCTION("""COMPUTED_VALUE"""),1.0)</f>
        <v>1</v>
      </c>
      <c r="G2103" s="6" t="str">
        <f>IFERROR(__xludf.DUMMYFUNCTION("""COMPUTED_VALUE"""),"Lot")</f>
        <v>Lot</v>
      </c>
      <c r="H2103" s="6" t="str">
        <f>IFERROR(__xludf.DUMMYFUNCTION("""COMPUTED_VALUE"""),"IDR")</f>
        <v>IDR</v>
      </c>
      <c r="I2103" s="6">
        <f>IFERROR(__xludf.DUMMYFUNCTION("""COMPUTED_VALUE"""),3150000.0)</f>
        <v>3150000</v>
      </c>
      <c r="J2103" s="6">
        <f>IFERROR(__xludf.DUMMYFUNCTION("""COMPUTED_VALUE"""),3150000.0)</f>
        <v>3150000</v>
      </c>
      <c r="K2103" s="57">
        <f>IFERROR(__xludf.DUMMYFUNCTION("""COMPUTED_VALUE"""),44848.0)</f>
        <v>44848</v>
      </c>
      <c r="L2103" s="6" t="str">
        <f>IFERROR(__xludf.DUMMYFUNCTION("""COMPUTED_VALUE"""),"FIP General")</f>
        <v>FIP General</v>
      </c>
      <c r="M2103" s="6" t="str">
        <f>IFERROR(__xludf.DUMMYFUNCTION("""COMPUTED_VALUE"""),"Irwan Sopian")</f>
        <v>Irwan Sopian</v>
      </c>
      <c r="N2103" s="6" t="str">
        <f>IFERROR(__xludf.DUMMYFUNCTION("""COMPUTED_VALUE"""),"FIP Engineering")</f>
        <v>FIP Engineering</v>
      </c>
      <c r="O2103" s="6" t="str">
        <f>IFERROR(__xludf.DUMMYFUNCTION("""COMPUTED_VALUE"""),"FIP-DOM-ENG-51508-0000000-INA-000000")</f>
        <v>FIP-DOM-ENG-51508-0000000-INA-000000</v>
      </c>
      <c r="P2103" s="6" t="str">
        <f>IFERROR(__xludf.DUMMYFUNCTION("""COMPUTED_VALUE"""),"PO Closed")</f>
        <v>PO Closed</v>
      </c>
      <c r="Q2103" s="6" t="str">
        <f>IFERROR(__xludf.DUMMYFUNCTION("""COMPUTED_VALUE"""),"GL2210011")</f>
        <v>GL2210011</v>
      </c>
      <c r="R2103" s="57">
        <f>IFERROR(__xludf.DUMMYFUNCTION("""COMPUTED_VALUE"""),44827.0)</f>
        <v>44827</v>
      </c>
      <c r="S2103" s="6" t="str">
        <f>IFERROR(__xludf.DUMMYFUNCTION("""COMPUTED_VALUE"""),"-")</f>
        <v>-</v>
      </c>
      <c r="T2103" s="6" t="str">
        <f>IFERROR(__xludf.DUMMYFUNCTION("""COMPUTED_VALUE"""),"-")</f>
        <v>-</v>
      </c>
    </row>
    <row r="2104">
      <c r="A2104" s="6" t="str">
        <f>IFERROR(__xludf.DUMMYFUNCTION("""COMPUTED_VALUE"""),"221750469-12")</f>
        <v>221750469-12</v>
      </c>
      <c r="B2104" s="6" t="str">
        <f>IFERROR(__xludf.DUMMYFUNCTION("""COMPUTED_VALUE"""),"221750469 - Approved")</f>
        <v>221750469 - Approved</v>
      </c>
      <c r="C2104" s="6">
        <f>IFERROR(__xludf.DUMMYFUNCTION("""COMPUTED_VALUE"""),12.0)</f>
        <v>12</v>
      </c>
      <c r="D2104" s="6" t="str">
        <f>IFERROR(__xludf.DUMMYFUNCTION("""COMPUTED_VALUE"""),"Q-10805-00")</f>
        <v>Q-10805-00</v>
      </c>
      <c r="E2104" s="6" t="str">
        <f>IFERROR(__xludf.DUMMYFUNCTION("""COMPUTED_VALUE"""),"Multipox MX-98 White @ 20 KG PROPAN PAIL")</f>
        <v>Multipox MX-98 White @ 20 KG PROPAN PAIL</v>
      </c>
      <c r="F2104" s="6">
        <f>IFERROR(__xludf.DUMMYFUNCTION("""COMPUTED_VALUE"""),1.0)</f>
        <v>1</v>
      </c>
      <c r="G2104" s="6" t="str">
        <f>IFERROR(__xludf.DUMMYFUNCTION("""COMPUTED_VALUE"""),"Pail")</f>
        <v>Pail</v>
      </c>
      <c r="H2104" s="6" t="str">
        <f>IFERROR(__xludf.DUMMYFUNCTION("""COMPUTED_VALUE"""),"IDR")</f>
        <v>IDR</v>
      </c>
      <c r="I2104" s="6">
        <f>IFERROR(__xludf.DUMMYFUNCTION("""COMPUTED_VALUE"""),3870000.0)</f>
        <v>3870000</v>
      </c>
      <c r="J2104" s="6">
        <f>IFERROR(__xludf.DUMMYFUNCTION("""COMPUTED_VALUE"""),3870000.0)</f>
        <v>3870000</v>
      </c>
      <c r="K2104" s="57">
        <f>IFERROR(__xludf.DUMMYFUNCTION("""COMPUTED_VALUE"""),44848.0)</f>
        <v>44848</v>
      </c>
      <c r="L2104" s="6" t="str">
        <f>IFERROR(__xludf.DUMMYFUNCTION("""COMPUTED_VALUE"""),"FIP Engineering")</f>
        <v>FIP Engineering</v>
      </c>
      <c r="M2104" s="6" t="str">
        <f>IFERROR(__xludf.DUMMYFUNCTION("""COMPUTED_VALUE"""),"Irwan Sopian")</f>
        <v>Irwan Sopian</v>
      </c>
      <c r="N2104" s="6" t="str">
        <f>IFERROR(__xludf.DUMMYFUNCTION("""COMPUTED_VALUE"""),"FIP Engineering")</f>
        <v>FIP Engineering</v>
      </c>
      <c r="O2104" s="6" t="str">
        <f>IFERROR(__xludf.DUMMYFUNCTION("""COMPUTED_VALUE"""),"FIP-DOM-000-11304-OS00001-INA-000000")</f>
        <v>FIP-DOM-000-11304-OS00001-INA-000000</v>
      </c>
      <c r="P2104" s="6" t="str">
        <f>IFERROR(__xludf.DUMMYFUNCTION("""COMPUTED_VALUE"""),"PO Closed")</f>
        <v>PO Closed</v>
      </c>
      <c r="Q2104" s="6" t="str">
        <f>IFERROR(__xludf.DUMMYFUNCTION("""COMPUTED_VALUE"""),"GL2210009")</f>
        <v>GL2210009</v>
      </c>
      <c r="R2104" s="57">
        <f>IFERROR(__xludf.DUMMYFUNCTION("""COMPUTED_VALUE"""),44827.0)</f>
        <v>44827</v>
      </c>
      <c r="S2104" s="6" t="str">
        <f>IFERROR(__xludf.DUMMYFUNCTION("""COMPUTED_VALUE"""),"-")</f>
        <v>-</v>
      </c>
      <c r="T2104" s="6" t="str">
        <f>IFERROR(__xludf.DUMMYFUNCTION("""COMPUTED_VALUE"""),"-")</f>
        <v>-</v>
      </c>
    </row>
    <row r="2105">
      <c r="A2105" s="6" t="str">
        <f>IFERROR(__xludf.DUMMYFUNCTION("""COMPUTED_VALUE"""),"221750469-13")</f>
        <v>221750469-13</v>
      </c>
      <c r="B2105" s="6" t="str">
        <f>IFERROR(__xludf.DUMMYFUNCTION("""COMPUTED_VALUE"""),"221750469 - Approved")</f>
        <v>221750469 - Approved</v>
      </c>
      <c r="C2105" s="6">
        <f>IFERROR(__xludf.DUMMYFUNCTION("""COMPUTED_VALUE"""),13.0)</f>
        <v>13</v>
      </c>
      <c r="D2105" s="6" t="str">
        <f>IFERROR(__xludf.DUMMYFUNCTION("""COMPUTED_VALUE"""),"Q-10805-00")</f>
        <v>Q-10805-00</v>
      </c>
      <c r="E2105" s="6" t="str">
        <f>IFERROR(__xludf.DUMMYFUNCTION("""COMPUTED_VALUE"""),"Multipox MX-98 White @ 20 KG PROPAN PAIL")</f>
        <v>Multipox MX-98 White @ 20 KG PROPAN PAIL</v>
      </c>
      <c r="F2105" s="6">
        <f>IFERROR(__xludf.DUMMYFUNCTION("""COMPUTED_VALUE"""),1.0)</f>
        <v>1</v>
      </c>
      <c r="G2105" s="6" t="str">
        <f>IFERROR(__xludf.DUMMYFUNCTION("""COMPUTED_VALUE"""),"Pail")</f>
        <v>Pail</v>
      </c>
      <c r="H2105" s="6" t="str">
        <f>IFERROR(__xludf.DUMMYFUNCTION("""COMPUTED_VALUE"""),"IDR")</f>
        <v>IDR</v>
      </c>
      <c r="I2105" s="6">
        <f>IFERROR(__xludf.DUMMYFUNCTION("""COMPUTED_VALUE"""),3870000.0)</f>
        <v>3870000</v>
      </c>
      <c r="J2105" s="6">
        <f>IFERROR(__xludf.DUMMYFUNCTION("""COMPUTED_VALUE"""),3870000.0)</f>
        <v>3870000</v>
      </c>
      <c r="K2105" s="57">
        <f>IFERROR(__xludf.DUMMYFUNCTION("""COMPUTED_VALUE"""),44848.0)</f>
        <v>44848</v>
      </c>
      <c r="L2105" s="6" t="str">
        <f>IFERROR(__xludf.DUMMYFUNCTION("""COMPUTED_VALUE"""),"FIP Engineering")</f>
        <v>FIP Engineering</v>
      </c>
      <c r="M2105" s="6" t="str">
        <f>IFERROR(__xludf.DUMMYFUNCTION("""COMPUTED_VALUE"""),"Irwan Sopian")</f>
        <v>Irwan Sopian</v>
      </c>
      <c r="N2105" s="6" t="str">
        <f>IFERROR(__xludf.DUMMYFUNCTION("""COMPUTED_VALUE"""),"FIP Engineering")</f>
        <v>FIP Engineering</v>
      </c>
      <c r="O2105" s="6" t="str">
        <f>IFERROR(__xludf.DUMMYFUNCTION("""COMPUTED_VALUE"""),"FIP-DOM-000-11304-OS00001-INA-000000")</f>
        <v>FIP-DOM-000-11304-OS00001-INA-000000</v>
      </c>
      <c r="P2105" s="6" t="str">
        <f>IFERROR(__xludf.DUMMYFUNCTION("""COMPUTED_VALUE"""),"PO Closed")</f>
        <v>PO Closed</v>
      </c>
      <c r="Q2105" s="6" t="str">
        <f>IFERROR(__xludf.DUMMYFUNCTION("""COMPUTED_VALUE"""),"GL2209033")</f>
        <v>GL2209033</v>
      </c>
      <c r="R2105" s="57">
        <f>IFERROR(__xludf.DUMMYFUNCTION("""COMPUTED_VALUE"""),44827.0)</f>
        <v>44827</v>
      </c>
      <c r="S2105" s="6" t="str">
        <f>IFERROR(__xludf.DUMMYFUNCTION("""COMPUTED_VALUE"""),"-")</f>
        <v>-</v>
      </c>
      <c r="T2105" s="57">
        <f>IFERROR(__xludf.DUMMYFUNCTION("""COMPUTED_VALUE"""),44848.0)</f>
        <v>44848</v>
      </c>
    </row>
    <row r="2106">
      <c r="A2106" s="6" t="str">
        <f>IFERROR(__xludf.DUMMYFUNCTION("""COMPUTED_VALUE"""),"221750477-1")</f>
        <v>221750477-1</v>
      </c>
      <c r="B2106" s="6" t="str">
        <f>IFERROR(__xludf.DUMMYFUNCTION("""COMPUTED_VALUE"""),"221750477 - Approved")</f>
        <v>221750477 - Approved</v>
      </c>
      <c r="C2106" s="6">
        <f>IFERROR(__xludf.DUMMYFUNCTION("""COMPUTED_VALUE"""),1.0)</f>
        <v>1</v>
      </c>
      <c r="D2106" s="6" t="str">
        <f>IFERROR(__xludf.DUMMYFUNCTION("""COMPUTED_VALUE"""),"O-14594-00")</f>
        <v>O-14594-00</v>
      </c>
      <c r="E2106" s="6" t="str">
        <f>IFERROR(__xludf.DUMMYFUNCTION("""COMPUTED_VALUE"""),"Kit, membrane ozone 6510 METTLER TOLEDO INDONESIA, PT P/N : - pc")</f>
        <v>Kit, membrane ozone 6510 METTLER TOLEDO INDONESIA, PT P/N : - pc</v>
      </c>
      <c r="F2106" s="6">
        <f>IFERROR(__xludf.DUMMYFUNCTION("""COMPUTED_VALUE"""),1.0)</f>
        <v>1</v>
      </c>
      <c r="G2106" s="6" t="str">
        <f>IFERROR(__xludf.DUMMYFUNCTION("""COMPUTED_VALUE"""),"Unit")</f>
        <v>Unit</v>
      </c>
      <c r="H2106" s="6" t="str">
        <f>IFERROR(__xludf.DUMMYFUNCTION("""COMPUTED_VALUE"""),"IDR")</f>
        <v>IDR</v>
      </c>
      <c r="I2106" s="6">
        <f>IFERROR(__xludf.DUMMYFUNCTION("""COMPUTED_VALUE"""),1.1754E7)</f>
        <v>11754000</v>
      </c>
      <c r="J2106" s="6">
        <f>IFERROR(__xludf.DUMMYFUNCTION("""COMPUTED_VALUE"""),1.1754E7)</f>
        <v>11754000</v>
      </c>
      <c r="K2106" s="57">
        <f>IFERROR(__xludf.DUMMYFUNCTION("""COMPUTED_VALUE"""),44855.0)</f>
        <v>44855</v>
      </c>
      <c r="L2106" s="6" t="str">
        <f>IFERROR(__xludf.DUMMYFUNCTION("""COMPUTED_VALUE"""),"FIP Engineering")</f>
        <v>FIP Engineering</v>
      </c>
      <c r="M2106" s="6" t="str">
        <f>IFERROR(__xludf.DUMMYFUNCTION("""COMPUTED_VALUE"""),"Irwan Sopian")</f>
        <v>Irwan Sopian</v>
      </c>
      <c r="N2106" s="6" t="str">
        <f>IFERROR(__xludf.DUMMYFUNCTION("""COMPUTED_VALUE"""),"FIP Engineering")</f>
        <v>FIP Engineering</v>
      </c>
      <c r="O2106" s="6" t="str">
        <f>IFERROR(__xludf.DUMMYFUNCTION("""COMPUTED_VALUE"""),"FIP-DOM-000-11304-OS00001-INA-000000")</f>
        <v>FIP-DOM-000-11304-OS00001-INA-000000</v>
      </c>
      <c r="P2106" s="6" t="str">
        <f>IFERROR(__xludf.DUMMYFUNCTION("""COMPUTED_VALUE"""),"PO Closed")</f>
        <v>PO Closed</v>
      </c>
      <c r="Q2106" s="6" t="str">
        <f>IFERROR(__xludf.DUMMYFUNCTION("""COMPUTED_VALUE"""),"GL2211031")</f>
        <v>GL2211031</v>
      </c>
      <c r="R2106" s="57">
        <f>IFERROR(__xludf.DUMMYFUNCTION("""COMPUTED_VALUE"""),44830.0)</f>
        <v>44830</v>
      </c>
      <c r="S2106" s="6" t="str">
        <f>IFERROR(__xludf.DUMMYFUNCTION("""COMPUTED_VALUE"""),"-")</f>
        <v>-</v>
      </c>
      <c r="T2106" s="6" t="str">
        <f>IFERROR(__xludf.DUMMYFUNCTION("""COMPUTED_VALUE"""),"-")</f>
        <v>-</v>
      </c>
    </row>
    <row r="2107">
      <c r="A2107" s="6" t="str">
        <f>IFERROR(__xludf.DUMMYFUNCTION("""COMPUTED_VALUE"""),"221750478-1")</f>
        <v>221750478-1</v>
      </c>
      <c r="B2107" s="6" t="str">
        <f>IFERROR(__xludf.DUMMYFUNCTION("""COMPUTED_VALUE"""),"221750478 - Approved")</f>
        <v>221750478 - Approved</v>
      </c>
      <c r="C2107" s="6">
        <f>IFERROR(__xludf.DUMMYFUNCTION("""COMPUTED_VALUE"""),1.0)</f>
        <v>1</v>
      </c>
      <c r="D2107" s="6" t="str">
        <f>IFERROR(__xludf.DUMMYFUNCTION("""COMPUTED_VALUE"""),"S-22023-00")</f>
        <v>S-22023-00</v>
      </c>
      <c r="E2107" s="6" t="str">
        <f>IFERROR(__xludf.DUMMYFUNCTION("""COMPUTED_VALUE"""),"Bordir Badge Nama")</f>
        <v>Bordir Badge Nama</v>
      </c>
      <c r="F2107" s="6">
        <f>IFERROR(__xludf.DUMMYFUNCTION("""COMPUTED_VALUE"""),16.0)</f>
        <v>16</v>
      </c>
      <c r="G2107" s="6" t="str">
        <f>IFERROR(__xludf.DUMMYFUNCTION("""COMPUTED_VALUE"""),"Pieces")</f>
        <v>Pieces</v>
      </c>
      <c r="H2107" s="6" t="str">
        <f>IFERROR(__xludf.DUMMYFUNCTION("""COMPUTED_VALUE"""),"IDR")</f>
        <v>IDR</v>
      </c>
      <c r="I2107" s="6">
        <f>IFERROR(__xludf.DUMMYFUNCTION("""COMPUTED_VALUE"""),15000.0)</f>
        <v>15000</v>
      </c>
      <c r="J2107" s="6">
        <f>IFERROR(__xludf.DUMMYFUNCTION("""COMPUTED_VALUE"""),240000.0)</f>
        <v>240000</v>
      </c>
      <c r="K2107" s="57">
        <f>IFERROR(__xludf.DUMMYFUNCTION("""COMPUTED_VALUE"""),44848.0)</f>
        <v>44848</v>
      </c>
      <c r="L2107" s="6" t="str">
        <f>IFERROR(__xludf.DUMMYFUNCTION("""COMPUTED_VALUE"""),"FIP General")</f>
        <v>FIP General</v>
      </c>
      <c r="M2107" s="6" t="str">
        <f>IFERROR(__xludf.DUMMYFUNCTION("""COMPUTED_VALUE"""),"Irwan Sopian")</f>
        <v>Irwan Sopian</v>
      </c>
      <c r="N2107" s="6" t="str">
        <f>IFERROR(__xludf.DUMMYFUNCTION("""COMPUTED_VALUE"""),"FIP Engineering")</f>
        <v>FIP Engineering</v>
      </c>
      <c r="O2107" s="6" t="str">
        <f>IFERROR(__xludf.DUMMYFUNCTION("""COMPUTED_VALUE"""),"FIP-DOM-ENG-51202-0000000-INA-000000")</f>
        <v>FIP-DOM-ENG-51202-0000000-INA-000000</v>
      </c>
      <c r="P2107" s="6" t="str">
        <f>IFERROR(__xludf.DUMMYFUNCTION("""COMPUTED_VALUE"""),"PO Closed")</f>
        <v>PO Closed</v>
      </c>
      <c r="Q2107" s="6" t="str">
        <f>IFERROR(__xludf.DUMMYFUNCTION("""COMPUTED_VALUE"""),"GL2209055")</f>
        <v>GL2209055</v>
      </c>
      <c r="R2107" s="57">
        <f>IFERROR(__xludf.DUMMYFUNCTION("""COMPUTED_VALUE"""),44831.0)</f>
        <v>44831</v>
      </c>
      <c r="S2107" s="6" t="str">
        <f>IFERROR(__xludf.DUMMYFUNCTION("""COMPUTED_VALUE"""),"-")</f>
        <v>-</v>
      </c>
      <c r="T2107" s="6" t="str">
        <f>IFERROR(__xludf.DUMMYFUNCTION("""COMPUTED_VALUE"""),"-")</f>
        <v>-</v>
      </c>
    </row>
    <row r="2108">
      <c r="A2108" s="6" t="str">
        <f>IFERROR(__xludf.DUMMYFUNCTION("""COMPUTED_VALUE"""),"221750607-1")</f>
        <v>221750607-1</v>
      </c>
      <c r="B2108" s="6" t="str">
        <f>IFERROR(__xludf.DUMMYFUNCTION("""COMPUTED_VALUE"""),"221750607 - Approved")</f>
        <v>221750607 - Approved</v>
      </c>
      <c r="C2108" s="6">
        <f>IFERROR(__xludf.DUMMYFUNCTION("""COMPUTED_VALUE"""),1.0)</f>
        <v>1</v>
      </c>
      <c r="D2108" s="6" t="str">
        <f>IFERROR(__xludf.DUMMYFUNCTION("""COMPUTED_VALUE"""),"R-50000-00")</f>
        <v>R-50000-00</v>
      </c>
      <c r="E2108" s="6" t="str">
        <f>IFERROR(__xludf.DUMMYFUNCTION("""COMPUTED_VALUE"""),"Furnitures - Lemari Baju Bersih Uk. 300 x 400 x 705 mm Material SS304")</f>
        <v>Furnitures - Lemari Baju Bersih Uk. 300 x 400 x 705 mm Material SS304</v>
      </c>
      <c r="F2108" s="6">
        <f>IFERROR(__xludf.DUMMYFUNCTION("""COMPUTED_VALUE"""),1.0)</f>
        <v>1</v>
      </c>
      <c r="G2108" s="6" t="str">
        <f>IFERROR(__xludf.DUMMYFUNCTION("""COMPUTED_VALUE"""),"Unit")</f>
        <v>Unit</v>
      </c>
      <c r="H2108" s="6" t="str">
        <f>IFERROR(__xludf.DUMMYFUNCTION("""COMPUTED_VALUE"""),"IDR")</f>
        <v>IDR</v>
      </c>
      <c r="I2108" s="11">
        <f>IFERROR(__xludf.DUMMYFUNCTION("""COMPUTED_VALUE"""),9810000.0)</f>
        <v>9810000</v>
      </c>
      <c r="J2108" s="11">
        <f>IFERROR(__xludf.DUMMYFUNCTION("""COMPUTED_VALUE"""),9810000.0)</f>
        <v>9810000</v>
      </c>
      <c r="K2108" s="57">
        <f>IFERROR(__xludf.DUMMYFUNCTION("""COMPUTED_VALUE"""),44870.0)</f>
        <v>44870</v>
      </c>
      <c r="L2108" s="6" t="str">
        <f>IFERROR(__xludf.DUMMYFUNCTION("""COMPUTED_VALUE"""),"FIP General")</f>
        <v>FIP General</v>
      </c>
      <c r="M2108" s="6" t="str">
        <f>IFERROR(__xludf.DUMMYFUNCTION("""COMPUTED_VALUE"""),"Irwan Sopian")</f>
        <v>Irwan Sopian</v>
      </c>
      <c r="N2108" s="6" t="str">
        <f>IFERROR(__xludf.DUMMYFUNCTION("""COMPUTED_VALUE"""),"FIP Engineering")</f>
        <v>FIP Engineering</v>
      </c>
      <c r="O2108" s="6" t="str">
        <f>IFERROR(__xludf.DUMMYFUNCTION("""COMPUTED_VALUE"""),"FIP-DOM-ENG-13406-FRNB222-INA-000000")</f>
        <v>FIP-DOM-ENG-13406-FRNB222-INA-000000</v>
      </c>
      <c r="P2108" s="6" t="str">
        <f>IFERROR(__xludf.DUMMYFUNCTION("""COMPUTED_VALUE"""),"PO Closed")</f>
        <v>PO Closed</v>
      </c>
      <c r="Q2108" s="6" t="str">
        <f>IFERROR(__xludf.DUMMYFUNCTION("""COMPUTED_VALUE"""),"GL2211060")</f>
        <v>GL2211060</v>
      </c>
      <c r="R2108" s="57">
        <f>IFERROR(__xludf.DUMMYFUNCTION("""COMPUTED_VALUE"""),44851.0)</f>
        <v>44851</v>
      </c>
      <c r="S2108" s="57">
        <f>IFERROR(__xludf.DUMMYFUNCTION("""COMPUTED_VALUE"""),44860.0)</f>
        <v>44860</v>
      </c>
      <c r="T2108" s="57">
        <f>IFERROR(__xludf.DUMMYFUNCTION("""COMPUTED_VALUE"""),44897.0)</f>
        <v>44897</v>
      </c>
    </row>
    <row r="2109">
      <c r="A2109" s="6" t="str">
        <f>IFERROR(__xludf.DUMMYFUNCTION("""COMPUTED_VALUE"""),"221750607-2")</f>
        <v>221750607-2</v>
      </c>
      <c r="B2109" s="6" t="str">
        <f>IFERROR(__xludf.DUMMYFUNCTION("""COMPUTED_VALUE"""),"221750607 - Approved")</f>
        <v>221750607 - Approved</v>
      </c>
      <c r="C2109" s="6">
        <f>IFERROR(__xludf.DUMMYFUNCTION("""COMPUTED_VALUE"""),2.0)</f>
        <v>2</v>
      </c>
      <c r="D2109" s="6" t="str">
        <f>IFERROR(__xludf.DUMMYFUNCTION("""COMPUTED_VALUE"""),"R-50000-00")</f>
        <v>R-50000-00</v>
      </c>
      <c r="E2109" s="6" t="str">
        <f>IFERROR(__xludf.DUMMYFUNCTION("""COMPUTED_VALUE"""),"Furnitures - Step Over Bench Uk. 1415 x 300 x 100 mm SS304")</f>
        <v>Furnitures - Step Over Bench Uk. 1415 x 300 x 100 mm SS304</v>
      </c>
      <c r="F2109" s="6">
        <f>IFERROR(__xludf.DUMMYFUNCTION("""COMPUTED_VALUE"""),1.0)</f>
        <v>1</v>
      </c>
      <c r="G2109" s="6" t="str">
        <f>IFERROR(__xludf.DUMMYFUNCTION("""COMPUTED_VALUE"""),"Unit")</f>
        <v>Unit</v>
      </c>
      <c r="H2109" s="6" t="str">
        <f>IFERROR(__xludf.DUMMYFUNCTION("""COMPUTED_VALUE"""),"IDR")</f>
        <v>IDR</v>
      </c>
      <c r="I2109" s="11">
        <f>IFERROR(__xludf.DUMMYFUNCTION("""COMPUTED_VALUE"""),7744000.0)</f>
        <v>7744000</v>
      </c>
      <c r="J2109" s="11">
        <f>IFERROR(__xludf.DUMMYFUNCTION("""COMPUTED_VALUE"""),7744000.0)</f>
        <v>7744000</v>
      </c>
      <c r="K2109" s="57">
        <f>IFERROR(__xludf.DUMMYFUNCTION("""COMPUTED_VALUE"""),44873.0)</f>
        <v>44873</v>
      </c>
      <c r="L2109" s="6" t="str">
        <f>IFERROR(__xludf.DUMMYFUNCTION("""COMPUTED_VALUE"""),"FIP General")</f>
        <v>FIP General</v>
      </c>
      <c r="M2109" s="6" t="str">
        <f>IFERROR(__xludf.DUMMYFUNCTION("""COMPUTED_VALUE"""),"Irwan Sopian")</f>
        <v>Irwan Sopian</v>
      </c>
      <c r="N2109" s="6" t="str">
        <f>IFERROR(__xludf.DUMMYFUNCTION("""COMPUTED_VALUE"""),"FIP Engineering")</f>
        <v>FIP Engineering</v>
      </c>
      <c r="O2109" s="6" t="str">
        <f>IFERROR(__xludf.DUMMYFUNCTION("""COMPUTED_VALUE"""),"FIP-DOM-ENG-13406-FRNB222-INA-000000")</f>
        <v>FIP-DOM-ENG-13406-FRNB222-INA-000000</v>
      </c>
      <c r="P2109" s="6" t="str">
        <f>IFERROR(__xludf.DUMMYFUNCTION("""COMPUTED_VALUE"""),"PO Closed")</f>
        <v>PO Closed</v>
      </c>
      <c r="Q2109" s="6" t="str">
        <f>IFERROR(__xludf.DUMMYFUNCTION("""COMPUTED_VALUE"""),"GL2211060")</f>
        <v>GL2211060</v>
      </c>
      <c r="R2109" s="57">
        <f>IFERROR(__xludf.DUMMYFUNCTION("""COMPUTED_VALUE"""),44851.0)</f>
        <v>44851</v>
      </c>
      <c r="S2109" s="57">
        <f>IFERROR(__xludf.DUMMYFUNCTION("""COMPUTED_VALUE"""),44860.0)</f>
        <v>44860</v>
      </c>
      <c r="T2109" s="57">
        <f>IFERROR(__xludf.DUMMYFUNCTION("""COMPUTED_VALUE"""),44897.0)</f>
        <v>44897</v>
      </c>
    </row>
    <row r="2110">
      <c r="A2110" s="6" t="str">
        <f>IFERROR(__xludf.DUMMYFUNCTION("""COMPUTED_VALUE"""),"221750607-3")</f>
        <v>221750607-3</v>
      </c>
      <c r="B2110" s="6" t="str">
        <f>IFERROR(__xludf.DUMMYFUNCTION("""COMPUTED_VALUE"""),"221750607 - Approved")</f>
        <v>221750607 - Approved</v>
      </c>
      <c r="C2110" s="6">
        <f>IFERROR(__xludf.DUMMYFUNCTION("""COMPUTED_VALUE"""),3.0)</f>
        <v>3</v>
      </c>
      <c r="D2110" s="6" t="str">
        <f>IFERROR(__xludf.DUMMYFUNCTION("""COMPUTED_VALUE"""),"R-50000-00")</f>
        <v>R-50000-00</v>
      </c>
      <c r="E2110" s="6" t="str">
        <f>IFERROR(__xludf.DUMMYFUNCTION("""COMPUTED_VALUE"""),"Furnitures - Lemari Sepatu Uk. 300 x 480 x 1200 mm SS304")</f>
        <v>Furnitures - Lemari Sepatu Uk. 300 x 480 x 1200 mm SS304</v>
      </c>
      <c r="F2110" s="6">
        <f>IFERROR(__xludf.DUMMYFUNCTION("""COMPUTED_VALUE"""),2.0)</f>
        <v>2</v>
      </c>
      <c r="G2110" s="6" t="str">
        <f>IFERROR(__xludf.DUMMYFUNCTION("""COMPUTED_VALUE"""),"Unit")</f>
        <v>Unit</v>
      </c>
      <c r="H2110" s="6" t="str">
        <f>IFERROR(__xludf.DUMMYFUNCTION("""COMPUTED_VALUE"""),"IDR")</f>
        <v>IDR</v>
      </c>
      <c r="I2110" s="11">
        <f>IFERROR(__xludf.DUMMYFUNCTION("""COMPUTED_VALUE"""),1.6104E7)</f>
        <v>16104000</v>
      </c>
      <c r="J2110" s="11">
        <f>IFERROR(__xludf.DUMMYFUNCTION("""COMPUTED_VALUE"""),3.2208E7)</f>
        <v>32208000</v>
      </c>
      <c r="K2110" s="57">
        <f>IFERROR(__xludf.DUMMYFUNCTION("""COMPUTED_VALUE"""),44873.0)</f>
        <v>44873</v>
      </c>
      <c r="L2110" s="6" t="str">
        <f>IFERROR(__xludf.DUMMYFUNCTION("""COMPUTED_VALUE"""),"FIP General")</f>
        <v>FIP General</v>
      </c>
      <c r="M2110" s="6" t="str">
        <f>IFERROR(__xludf.DUMMYFUNCTION("""COMPUTED_VALUE"""),"Irwan Sopian")</f>
        <v>Irwan Sopian</v>
      </c>
      <c r="N2110" s="6" t="str">
        <f>IFERROR(__xludf.DUMMYFUNCTION("""COMPUTED_VALUE"""),"FIP Engineering")</f>
        <v>FIP Engineering</v>
      </c>
      <c r="O2110" s="6" t="str">
        <f>IFERROR(__xludf.DUMMYFUNCTION("""COMPUTED_VALUE"""),"FIP-DOM-ENG-13406-FRNB222-INA-000000")</f>
        <v>FIP-DOM-ENG-13406-FRNB222-INA-000000</v>
      </c>
      <c r="P2110" s="6" t="str">
        <f>IFERROR(__xludf.DUMMYFUNCTION("""COMPUTED_VALUE"""),"PO Closed")</f>
        <v>PO Closed</v>
      </c>
      <c r="Q2110" s="6" t="str">
        <f>IFERROR(__xludf.DUMMYFUNCTION("""COMPUTED_VALUE"""),"GL2211060")</f>
        <v>GL2211060</v>
      </c>
      <c r="R2110" s="57">
        <f>IFERROR(__xludf.DUMMYFUNCTION("""COMPUTED_VALUE"""),44851.0)</f>
        <v>44851</v>
      </c>
      <c r="S2110" s="57">
        <f>IFERROR(__xludf.DUMMYFUNCTION("""COMPUTED_VALUE"""),44860.0)</f>
        <v>44860</v>
      </c>
      <c r="T2110" s="57">
        <f>IFERROR(__xludf.DUMMYFUNCTION("""COMPUTED_VALUE"""),44897.0)</f>
        <v>44897</v>
      </c>
    </row>
    <row r="2111">
      <c r="A2111" s="6" t="str">
        <f>IFERROR(__xludf.DUMMYFUNCTION("""COMPUTED_VALUE"""),"221750607-4")</f>
        <v>221750607-4</v>
      </c>
      <c r="B2111" s="6" t="str">
        <f>IFERROR(__xludf.DUMMYFUNCTION("""COMPUTED_VALUE"""),"221750607 - Approved")</f>
        <v>221750607 - Approved</v>
      </c>
      <c r="C2111" s="6">
        <f>IFERROR(__xludf.DUMMYFUNCTION("""COMPUTED_VALUE"""),4.0)</f>
        <v>4</v>
      </c>
      <c r="D2111" s="6" t="str">
        <f>IFERROR(__xludf.DUMMYFUNCTION("""COMPUTED_VALUE"""),"R-50000-00")</f>
        <v>R-50000-00</v>
      </c>
      <c r="E2111" s="6" t="str">
        <f>IFERROR(__xludf.DUMMYFUNCTION("""COMPUTED_VALUE"""),"Furnitures - Potong bondor sesuai lemari")</f>
        <v>Furnitures - Potong bondor sesuai lemari</v>
      </c>
      <c r="F2111" s="6">
        <f>IFERROR(__xludf.DUMMYFUNCTION("""COMPUTED_VALUE"""),1.0)</f>
        <v>1</v>
      </c>
      <c r="G2111" s="6" t="str">
        <f>IFERROR(__xludf.DUMMYFUNCTION("""COMPUTED_VALUE"""),"Unit")</f>
        <v>Unit</v>
      </c>
      <c r="H2111" s="6" t="str">
        <f>IFERROR(__xludf.DUMMYFUNCTION("""COMPUTED_VALUE"""),"IDR")</f>
        <v>IDR</v>
      </c>
      <c r="I2111" s="11">
        <f>IFERROR(__xludf.DUMMYFUNCTION("""COMPUTED_VALUE"""),1000000.0)</f>
        <v>1000000</v>
      </c>
      <c r="J2111" s="11">
        <f>IFERROR(__xludf.DUMMYFUNCTION("""COMPUTED_VALUE"""),1000000.0)</f>
        <v>1000000</v>
      </c>
      <c r="K2111" s="57">
        <f>IFERROR(__xludf.DUMMYFUNCTION("""COMPUTED_VALUE"""),44873.0)</f>
        <v>44873</v>
      </c>
      <c r="L2111" s="6" t="str">
        <f>IFERROR(__xludf.DUMMYFUNCTION("""COMPUTED_VALUE"""),"FIP General")</f>
        <v>FIP General</v>
      </c>
      <c r="M2111" s="6" t="str">
        <f>IFERROR(__xludf.DUMMYFUNCTION("""COMPUTED_VALUE"""),"Irwan Sopian")</f>
        <v>Irwan Sopian</v>
      </c>
      <c r="N2111" s="6" t="str">
        <f>IFERROR(__xludf.DUMMYFUNCTION("""COMPUTED_VALUE"""),"FIP Engineering")</f>
        <v>FIP Engineering</v>
      </c>
      <c r="O2111" s="6" t="str">
        <f>IFERROR(__xludf.DUMMYFUNCTION("""COMPUTED_VALUE"""),"FIP-DOM-ENG-13406-FRNB222-INA-000000")</f>
        <v>FIP-DOM-ENG-13406-FRNB222-INA-000000</v>
      </c>
      <c r="P2111" s="6" t="str">
        <f>IFERROR(__xludf.DUMMYFUNCTION("""COMPUTED_VALUE"""),"PO Closed")</f>
        <v>PO Closed</v>
      </c>
      <c r="Q2111" s="6" t="str">
        <f>IFERROR(__xludf.DUMMYFUNCTION("""COMPUTED_VALUE"""),"GL2301050")</f>
        <v>GL2301050</v>
      </c>
      <c r="R2111" s="57">
        <f>IFERROR(__xludf.DUMMYFUNCTION("""COMPUTED_VALUE"""),44851.0)</f>
        <v>44851</v>
      </c>
      <c r="S2111" s="57">
        <f>IFERROR(__xludf.DUMMYFUNCTION("""COMPUTED_VALUE"""),44860.0)</f>
        <v>44860</v>
      </c>
      <c r="T2111" s="57">
        <f>IFERROR(__xludf.DUMMYFUNCTION("""COMPUTED_VALUE"""),44967.0)</f>
        <v>44967</v>
      </c>
    </row>
    <row r="2112">
      <c r="A2112" s="6" t="str">
        <f>IFERROR(__xludf.DUMMYFUNCTION("""COMPUTED_VALUE"""),"221750608-1")</f>
        <v>221750608-1</v>
      </c>
      <c r="B2112" s="6" t="str">
        <f>IFERROR(__xludf.DUMMYFUNCTION("""COMPUTED_VALUE"""),"221750608 - Approved")</f>
        <v>221750608 - Approved</v>
      </c>
      <c r="C2112" s="6">
        <f>IFERROR(__xludf.DUMMYFUNCTION("""COMPUTED_VALUE"""),1.0)</f>
        <v>1</v>
      </c>
      <c r="D2112" s="6" t="str">
        <f>IFERROR(__xludf.DUMMYFUNCTION("""COMPUTED_VALUE"""),"T-20572-00")</f>
        <v>T-20572-00</v>
      </c>
      <c r="E2112" s="6" t="str">
        <f>IFERROR(__xludf.DUMMYFUNCTION("""COMPUTED_VALUE"""),"Furnitures - Potong bondor sesuai lemari")</f>
        <v>Furnitures - Potong bondor sesuai lemari</v>
      </c>
      <c r="F2112" s="6">
        <f>IFERROR(__xludf.DUMMYFUNCTION("""COMPUTED_VALUE"""),1.0)</f>
        <v>1</v>
      </c>
      <c r="G2112" s="6" t="str">
        <f>IFERROR(__xludf.DUMMYFUNCTION("""COMPUTED_VALUE"""),"Pieces")</f>
        <v>Pieces</v>
      </c>
      <c r="H2112" s="6" t="str">
        <f>IFERROR(__xludf.DUMMYFUNCTION("""COMPUTED_VALUE"""),"IDR")</f>
        <v>IDR</v>
      </c>
      <c r="I2112" s="11">
        <f>IFERROR(__xludf.DUMMYFUNCTION("""COMPUTED_VALUE"""),1566000.0)</f>
        <v>1566000</v>
      </c>
      <c r="J2112" s="11">
        <f>IFERROR(__xludf.DUMMYFUNCTION("""COMPUTED_VALUE"""),1566000.0)</f>
        <v>1566000</v>
      </c>
      <c r="K2112" s="57">
        <f>IFERROR(__xludf.DUMMYFUNCTION("""COMPUTED_VALUE"""),44873.0)</f>
        <v>44873</v>
      </c>
      <c r="L2112" s="6" t="str">
        <f>IFERROR(__xludf.DUMMYFUNCTION("""COMPUTED_VALUE"""),"FIP General")</f>
        <v>FIP General</v>
      </c>
      <c r="M2112" s="6" t="str">
        <f>IFERROR(__xludf.DUMMYFUNCTION("""COMPUTED_VALUE"""),"Irwan Sopian")</f>
        <v>Irwan Sopian</v>
      </c>
      <c r="N2112" s="6" t="str">
        <f>IFERROR(__xludf.DUMMYFUNCTION("""COMPUTED_VALUE"""),"FPP ENG CIKARANG")</f>
        <v>FPP ENG CIKARANG</v>
      </c>
      <c r="O2112" s="6" t="str">
        <f>IFERROR(__xludf.DUMMYFUNCTION("""COMPUTED_VALUE"""),"FIP-DOM-ENG-51505-0000000-INA-000000")</f>
        <v>FIP-DOM-ENG-51505-0000000-INA-000000</v>
      </c>
      <c r="P2112" s="6" t="str">
        <f>IFERROR(__xludf.DUMMYFUNCTION("""COMPUTED_VALUE"""),"PO Closed")</f>
        <v>PO Closed</v>
      </c>
      <c r="Q2112" s="6" t="str">
        <f>IFERROR(__xludf.DUMMYFUNCTION("""COMPUTED_VALUE"""),"GL2210021")</f>
        <v>GL2210021</v>
      </c>
      <c r="R2112" s="57">
        <f>IFERROR(__xludf.DUMMYFUNCTION("""COMPUTED_VALUE"""),44851.0)</f>
        <v>44851</v>
      </c>
      <c r="S2112" s="57">
        <f>IFERROR(__xludf.DUMMYFUNCTION("""COMPUTED_VALUE"""),44852.0)</f>
        <v>44852</v>
      </c>
      <c r="T2112" s="57">
        <f>IFERROR(__xludf.DUMMYFUNCTION("""COMPUTED_VALUE"""),44918.0)</f>
        <v>44918</v>
      </c>
    </row>
    <row r="2113">
      <c r="A2113" s="6" t="str">
        <f>IFERROR(__xludf.DUMMYFUNCTION("""COMPUTED_VALUE"""),"221750609-1")</f>
        <v>221750609-1</v>
      </c>
      <c r="B2113" s="6" t="str">
        <f>IFERROR(__xludf.DUMMYFUNCTION("""COMPUTED_VALUE"""),"221750609 - Approved")</f>
        <v>221750609 - Approved</v>
      </c>
      <c r="C2113" s="6">
        <f>IFERROR(__xludf.DUMMYFUNCTION("""COMPUTED_VALUE"""),1.0)</f>
        <v>1</v>
      </c>
      <c r="D2113" s="6" t="str">
        <f>IFERROR(__xludf.DUMMYFUNCTION("""COMPUTED_VALUE"""),"T-20002-00")</f>
        <v>T-20002-00</v>
      </c>
      <c r="E2113" s="6" t="str">
        <f>IFERROR(__xludf.DUMMYFUNCTION("""COMPUTED_VALUE"""),"Jasa Perbaikan Alat Lab - Jasa Pemasangan Part WAT270928 Alliance Motor Carousel")</f>
        <v>Jasa Perbaikan Alat Lab - Jasa Pemasangan Part WAT270928 Alliance Motor Carousel</v>
      </c>
      <c r="F2113" s="6">
        <f>IFERROR(__xludf.DUMMYFUNCTION("""COMPUTED_VALUE"""),1.0)</f>
        <v>1</v>
      </c>
      <c r="G2113" s="6" t="str">
        <f>IFERROR(__xludf.DUMMYFUNCTION("""COMPUTED_VALUE"""),"Pieces")</f>
        <v>Pieces</v>
      </c>
      <c r="H2113" s="6" t="str">
        <f>IFERROR(__xludf.DUMMYFUNCTION("""COMPUTED_VALUE"""),"IDR")</f>
        <v>IDR</v>
      </c>
      <c r="I2113" s="11">
        <f>IFERROR(__xludf.DUMMYFUNCTION("""COMPUTED_VALUE"""),1000000.0)</f>
        <v>1000000</v>
      </c>
      <c r="J2113" s="11">
        <f>IFERROR(__xludf.DUMMYFUNCTION("""COMPUTED_VALUE"""),1000000.0)</f>
        <v>1000000</v>
      </c>
      <c r="K2113" s="57">
        <f>IFERROR(__xludf.DUMMYFUNCTION("""COMPUTED_VALUE"""),44865.0)</f>
        <v>44865</v>
      </c>
      <c r="L2113" s="6" t="str">
        <f>IFERROR(__xludf.DUMMYFUNCTION("""COMPUTED_VALUE"""),"FIP General")</f>
        <v>FIP General</v>
      </c>
      <c r="M2113" s="6" t="str">
        <f>IFERROR(__xludf.DUMMYFUNCTION("""COMPUTED_VALUE"""),"Irwan Sopian")</f>
        <v>Irwan Sopian</v>
      </c>
      <c r="N2113" s="6" t="str">
        <f>IFERROR(__xludf.DUMMYFUNCTION("""COMPUTED_VALUE"""),"FIP Engineering")</f>
        <v>FIP Engineering</v>
      </c>
      <c r="O2113" s="6" t="str">
        <f>IFERROR(__xludf.DUMMYFUNCTION("""COMPUTED_VALUE"""),"FIP-DOM-ENG-51505-0000000-INA-000000")</f>
        <v>FIP-DOM-ENG-51505-0000000-INA-000000</v>
      </c>
      <c r="P2113" s="6" t="str">
        <f>IFERROR(__xludf.DUMMYFUNCTION("""COMPUTED_VALUE"""),"PO Closed")</f>
        <v>PO Closed</v>
      </c>
      <c r="Q2113" s="6" t="str">
        <f>IFERROR(__xludf.DUMMYFUNCTION("""COMPUTED_VALUE"""),"GL2210032")</f>
        <v>GL2210032</v>
      </c>
      <c r="R2113" s="57">
        <f>IFERROR(__xludf.DUMMYFUNCTION("""COMPUTED_VALUE"""),44851.0)</f>
        <v>44851</v>
      </c>
      <c r="S2113" s="57">
        <f>IFERROR(__xludf.DUMMYFUNCTION("""COMPUTED_VALUE"""),44852.0)</f>
        <v>44852</v>
      </c>
      <c r="T2113" s="57">
        <f>IFERROR(__xludf.DUMMYFUNCTION("""COMPUTED_VALUE"""),44869.0)</f>
        <v>44869</v>
      </c>
    </row>
    <row r="2114">
      <c r="A2114" s="6" t="str">
        <f>IFERROR(__xludf.DUMMYFUNCTION("""COMPUTED_VALUE"""),"221750617-1")</f>
        <v>221750617-1</v>
      </c>
      <c r="B2114" s="6" t="str">
        <f>IFERROR(__xludf.DUMMYFUNCTION("""COMPUTED_VALUE"""),"221750617 - Approved")</f>
        <v>221750617 - Approved</v>
      </c>
      <c r="C2114" s="6">
        <f>IFERROR(__xludf.DUMMYFUNCTION("""COMPUTED_VALUE"""),1.0)</f>
        <v>1</v>
      </c>
      <c r="D2114" s="6" t="str">
        <f>IFERROR(__xludf.DUMMYFUNCTION("""COMPUTED_VALUE"""),"S-60002-00")</f>
        <v>S-60002-00</v>
      </c>
      <c r="E2114" s="6" t="str">
        <f>IFERROR(__xludf.DUMMYFUNCTION("""COMPUTED_VALUE"""),"Jasa Perbaikan dan Pemeliharaan Mesin Utility - Ganti (bongkar pasang) Curving Area Tangga Produksi &amp; WH-QA")</f>
        <v>Jasa Perbaikan dan Pemeliharaan Mesin Utility - Ganti (bongkar pasang) Curving Area Tangga Produksi &amp; WH-QA</v>
      </c>
      <c r="F2114" s="6">
        <f>IFERROR(__xludf.DUMMYFUNCTION("""COMPUTED_VALUE"""),1.0)</f>
        <v>1</v>
      </c>
      <c r="G2114" s="6" t="str">
        <f>IFERROR(__xludf.DUMMYFUNCTION("""COMPUTED_VALUE"""),"Lot")</f>
        <v>Lot</v>
      </c>
      <c r="H2114" s="6" t="str">
        <f>IFERROR(__xludf.DUMMYFUNCTION("""COMPUTED_VALUE"""),"IDR")</f>
        <v>IDR</v>
      </c>
      <c r="I2114" s="11">
        <f>IFERROR(__xludf.DUMMYFUNCTION("""COMPUTED_VALUE"""),3.26505E7)</f>
        <v>32650500</v>
      </c>
      <c r="J2114" s="11">
        <f>IFERROR(__xludf.DUMMYFUNCTION("""COMPUTED_VALUE"""),3.26505E7)</f>
        <v>32650500</v>
      </c>
      <c r="K2114" s="57">
        <f>IFERROR(__xludf.DUMMYFUNCTION("""COMPUTED_VALUE"""),44867.0)</f>
        <v>44867</v>
      </c>
      <c r="L2114" s="6" t="str">
        <f>IFERROR(__xludf.DUMMYFUNCTION("""COMPUTED_VALUE"""),"FIP General")</f>
        <v>FIP General</v>
      </c>
      <c r="M2114" s="6" t="str">
        <f>IFERROR(__xludf.DUMMYFUNCTION("""COMPUTED_VALUE"""),"Irwan Sopian")</f>
        <v>Irwan Sopian</v>
      </c>
      <c r="N2114" s="6" t="str">
        <f>IFERROR(__xludf.DUMMYFUNCTION("""COMPUTED_VALUE"""),"FIP Engineering")</f>
        <v>FIP Engineering</v>
      </c>
      <c r="O2114" s="6" t="str">
        <f>IFERROR(__xludf.DUMMYFUNCTION("""COMPUTED_VALUE"""),"FIP-DOM-ENG-51508-0000000-INA-000000")</f>
        <v>FIP-DOM-ENG-51508-0000000-INA-000000</v>
      </c>
      <c r="P2114" s="6" t="str">
        <f>IFERROR(__xludf.DUMMYFUNCTION("""COMPUTED_VALUE"""),"PO Closed")</f>
        <v>PO Closed</v>
      </c>
      <c r="Q2114" s="6" t="str">
        <f>IFERROR(__xludf.DUMMYFUNCTION("""COMPUTED_VALUE"""),"GL2211040")</f>
        <v>GL2211040</v>
      </c>
      <c r="R2114" s="57">
        <f>IFERROR(__xludf.DUMMYFUNCTION("""COMPUTED_VALUE"""),44853.0)</f>
        <v>44853</v>
      </c>
      <c r="S2114" s="57">
        <f>IFERROR(__xludf.DUMMYFUNCTION("""COMPUTED_VALUE"""),44859.0)</f>
        <v>44859</v>
      </c>
      <c r="T2114" s="57">
        <f>IFERROR(__xludf.DUMMYFUNCTION("""COMPUTED_VALUE"""),44900.0)</f>
        <v>44900</v>
      </c>
    </row>
    <row r="2115">
      <c r="A2115" s="6" t="str">
        <f>IFERROR(__xludf.DUMMYFUNCTION("""COMPUTED_VALUE"""),"221750621-1")</f>
        <v>221750621-1</v>
      </c>
      <c r="B2115" s="6" t="str">
        <f>IFERROR(__xludf.DUMMYFUNCTION("""COMPUTED_VALUE"""),"221750621 - Approved")</f>
        <v>221750621 - Approved</v>
      </c>
      <c r="C2115" s="6">
        <f>IFERROR(__xludf.DUMMYFUNCTION("""COMPUTED_VALUE"""),1.0)</f>
        <v>1</v>
      </c>
      <c r="D2115" s="6" t="str">
        <f>IFERROR(__xludf.DUMMYFUNCTION("""COMPUTED_VALUE"""),"S-60002-00")</f>
        <v>S-60002-00</v>
      </c>
      <c r="E2115" s="6" t="str">
        <f>IFERROR(__xludf.DUMMYFUNCTION("""COMPUTED_VALUE"""),"Jasa Perbaikan dan Pemeliharaan Mesin Utility - Leak Detector c/w: - Equipment : HLD - Helium Gas: 1 m3 - Standard accessories untuk mesin FD IMA")</f>
        <v>Jasa Perbaikan dan Pemeliharaan Mesin Utility - Leak Detector c/w: - Equipment : HLD - Helium Gas: 1 m3 - Standard accessories untuk mesin FD IMA</v>
      </c>
      <c r="F2115" s="6">
        <f>IFERROR(__xludf.DUMMYFUNCTION("""COMPUTED_VALUE"""),1.0)</f>
        <v>1</v>
      </c>
      <c r="G2115" s="6" t="str">
        <f>IFERROR(__xludf.DUMMYFUNCTION("""COMPUTED_VALUE"""),"Lot")</f>
        <v>Lot</v>
      </c>
      <c r="H2115" s="6" t="str">
        <f>IFERROR(__xludf.DUMMYFUNCTION("""COMPUTED_VALUE"""),"IDR")</f>
        <v>IDR</v>
      </c>
      <c r="I2115" s="11">
        <f>IFERROR(__xludf.DUMMYFUNCTION("""COMPUTED_VALUE"""),1.45E7)</f>
        <v>14500000</v>
      </c>
      <c r="J2115" s="11">
        <f>IFERROR(__xludf.DUMMYFUNCTION("""COMPUTED_VALUE"""),1.45E7)</f>
        <v>14500000</v>
      </c>
      <c r="K2115" s="57">
        <f>IFERROR(__xludf.DUMMYFUNCTION("""COMPUTED_VALUE"""),44877.0)</f>
        <v>44877</v>
      </c>
      <c r="L2115" s="6" t="str">
        <f>IFERROR(__xludf.DUMMYFUNCTION("""COMPUTED_VALUE"""),"FIP General")</f>
        <v>FIP General</v>
      </c>
      <c r="M2115" s="6" t="str">
        <f>IFERROR(__xludf.DUMMYFUNCTION("""COMPUTED_VALUE"""),"Irwan Sopian")</f>
        <v>Irwan Sopian</v>
      </c>
      <c r="N2115" s="6" t="str">
        <f>IFERROR(__xludf.DUMMYFUNCTION("""COMPUTED_VALUE"""),"FIP Engineering")</f>
        <v>FIP Engineering</v>
      </c>
      <c r="O2115" s="6" t="str">
        <f>IFERROR(__xludf.DUMMYFUNCTION("""COMPUTED_VALUE"""),"FIP-DOM-ENG-51508-0000000-INA-000000")</f>
        <v>FIP-DOM-ENG-51508-0000000-INA-000000</v>
      </c>
      <c r="P2115" s="6" t="str">
        <f>IFERROR(__xludf.DUMMYFUNCTION("""COMPUTED_VALUE"""),"PO Closed")</f>
        <v>PO Closed</v>
      </c>
      <c r="Q2115" s="6" t="str">
        <f>IFERROR(__xludf.DUMMYFUNCTION("""COMPUTED_VALUE"""),"GL2211005")</f>
        <v>GL2211005</v>
      </c>
      <c r="R2115" s="57">
        <f>IFERROR(__xludf.DUMMYFUNCTION("""COMPUTED_VALUE"""),44854.0)</f>
        <v>44854</v>
      </c>
      <c r="S2115" s="57">
        <f>IFERROR(__xludf.DUMMYFUNCTION("""COMPUTED_VALUE"""),44865.0)</f>
        <v>44865</v>
      </c>
      <c r="T2115" s="57">
        <f>IFERROR(__xludf.DUMMYFUNCTION("""COMPUTED_VALUE"""),44890.0)</f>
        <v>44890</v>
      </c>
    </row>
    <row r="2116">
      <c r="A2116" s="6" t="str">
        <f>IFERROR(__xludf.DUMMYFUNCTION("""COMPUTED_VALUE"""),"221750623-1")</f>
        <v>221750623-1</v>
      </c>
      <c r="B2116" s="6" t="str">
        <f>IFERROR(__xludf.DUMMYFUNCTION("""COMPUTED_VALUE"""),"221750623 - Approved")</f>
        <v>221750623 - Approved</v>
      </c>
      <c r="C2116" s="6">
        <f>IFERROR(__xludf.DUMMYFUNCTION("""COMPUTED_VALUE"""),1.0)</f>
        <v>1</v>
      </c>
      <c r="D2116" s="6" t="str">
        <f>IFERROR(__xludf.DUMMYFUNCTION("""COMPUTED_VALUE"""),"P-17066-00")</f>
        <v>P-17066-00</v>
      </c>
      <c r="E2116" s="6" t="str">
        <f>IFERROR(__xludf.DUMMYFUNCTION("""COMPUTED_VALUE"""),"Pompa Submersible; ; ; - POMPA SUBMERSIBLE SB 3")</f>
        <v>Pompa Submersible; ; ; - POMPA SUBMERSIBLE SB 3</v>
      </c>
      <c r="F2116" s="6">
        <f>IFERROR(__xludf.DUMMYFUNCTION("""COMPUTED_VALUE"""),1.0)</f>
        <v>1</v>
      </c>
      <c r="G2116" s="6" t="str">
        <f>IFERROR(__xludf.DUMMYFUNCTION("""COMPUTED_VALUE"""),"Unit")</f>
        <v>Unit</v>
      </c>
      <c r="H2116" s="6" t="str">
        <f>IFERROR(__xludf.DUMMYFUNCTION("""COMPUTED_VALUE"""),"IDR")</f>
        <v>IDR</v>
      </c>
      <c r="I2116" s="11">
        <f>IFERROR(__xludf.DUMMYFUNCTION("""COMPUTED_VALUE"""),6500000.0)</f>
        <v>6500000</v>
      </c>
      <c r="J2116" s="11">
        <f>IFERROR(__xludf.DUMMYFUNCTION("""COMPUTED_VALUE"""),6500000.0)</f>
        <v>6500000</v>
      </c>
      <c r="K2116" s="57">
        <f>IFERROR(__xludf.DUMMYFUNCTION("""COMPUTED_VALUE"""),44884.0)</f>
        <v>44884</v>
      </c>
      <c r="L2116" s="6" t="str">
        <f>IFERROR(__xludf.DUMMYFUNCTION("""COMPUTED_VALUE"""),"FIP General")</f>
        <v>FIP General</v>
      </c>
      <c r="M2116" s="6" t="str">
        <f>IFERROR(__xludf.DUMMYFUNCTION("""COMPUTED_VALUE"""),"Irwan Sopian")</f>
        <v>Irwan Sopian</v>
      </c>
      <c r="N2116" s="6" t="str">
        <f>IFERROR(__xludf.DUMMYFUNCTION("""COMPUTED_VALUE"""),"FIP Engineering")</f>
        <v>FIP Engineering</v>
      </c>
      <c r="O2116" s="6" t="str">
        <f>IFERROR(__xludf.DUMMYFUNCTION("""COMPUTED_VALUE"""),"FIP-DOM-ENG-51504-0000000-INA-000000")</f>
        <v>FIP-DOM-ENG-51504-0000000-INA-000000</v>
      </c>
      <c r="P2116" s="6" t="str">
        <f>IFERROR(__xludf.DUMMYFUNCTION("""COMPUTED_VALUE"""),"PO Closed")</f>
        <v>PO Closed</v>
      </c>
      <c r="Q2116" s="6" t="str">
        <f>IFERROR(__xludf.DUMMYFUNCTION("""COMPUTED_VALUE"""),"GL2211046")</f>
        <v>GL2211046</v>
      </c>
      <c r="R2116" s="57">
        <f>IFERROR(__xludf.DUMMYFUNCTION("""COMPUTED_VALUE"""),44854.0)</f>
        <v>44854</v>
      </c>
      <c r="S2116" s="57">
        <f>IFERROR(__xludf.DUMMYFUNCTION("""COMPUTED_VALUE"""),44865.0)</f>
        <v>44865</v>
      </c>
      <c r="T2116" s="57">
        <f>IFERROR(__xludf.DUMMYFUNCTION("""COMPUTED_VALUE"""),45005.0)</f>
        <v>45005</v>
      </c>
    </row>
    <row r="2117">
      <c r="A2117" s="6" t="str">
        <f>IFERROR(__xludf.DUMMYFUNCTION("""COMPUTED_VALUE"""),"221750624-1")</f>
        <v>221750624-1</v>
      </c>
      <c r="B2117" s="6" t="str">
        <f>IFERROR(__xludf.DUMMYFUNCTION("""COMPUTED_VALUE"""),"221750624 - Approved")</f>
        <v>221750624 - Approved</v>
      </c>
      <c r="C2117" s="6">
        <f>IFERROR(__xludf.DUMMYFUNCTION("""COMPUTED_VALUE"""),1.0)</f>
        <v>1</v>
      </c>
      <c r="D2117" s="6" t="str">
        <f>IFERROR(__xludf.DUMMYFUNCTION("""COMPUTED_VALUE"""),"S-60002-00")</f>
        <v>S-60002-00</v>
      </c>
      <c r="E2117" s="6" t="str">
        <f>IFERROR(__xludf.DUMMYFUNCTION("""COMPUTED_VALUE"""),"Jasa Perbaikan dan Pemeliharaan Mesin Utility")</f>
        <v>Jasa Perbaikan dan Pemeliharaan Mesin Utility</v>
      </c>
      <c r="F2117" s="6">
        <f>IFERROR(__xludf.DUMMYFUNCTION("""COMPUTED_VALUE"""),1.0)</f>
        <v>1</v>
      </c>
      <c r="G2117" s="6" t="str">
        <f>IFERROR(__xludf.DUMMYFUNCTION("""COMPUTED_VALUE"""),"Lot")</f>
        <v>Lot</v>
      </c>
      <c r="H2117" s="6" t="str">
        <f>IFERROR(__xludf.DUMMYFUNCTION("""COMPUTED_VALUE"""),"EUR")</f>
        <v>EUR</v>
      </c>
      <c r="I2117" s="6">
        <f>IFERROR(__xludf.DUMMYFUNCTION("""COMPUTED_VALUE"""),850.0)</f>
        <v>850</v>
      </c>
      <c r="J2117" s="6">
        <f>IFERROR(__xludf.DUMMYFUNCTION("""COMPUTED_VALUE"""),850.0)</f>
        <v>850</v>
      </c>
      <c r="K2117" s="57">
        <f>IFERROR(__xludf.DUMMYFUNCTION("""COMPUTED_VALUE"""),44869.0)</f>
        <v>44869</v>
      </c>
      <c r="L2117" s="6" t="str">
        <f>IFERROR(__xludf.DUMMYFUNCTION("""COMPUTED_VALUE"""),"FIP General")</f>
        <v>FIP General</v>
      </c>
      <c r="M2117" s="6" t="str">
        <f>IFERROR(__xludf.DUMMYFUNCTION("""COMPUTED_VALUE"""),"Irwan Sopian")</f>
        <v>Irwan Sopian</v>
      </c>
      <c r="N2117" s="6" t="str">
        <f>IFERROR(__xludf.DUMMYFUNCTION("""COMPUTED_VALUE"""),"FIP Engineering")</f>
        <v>FIP Engineering</v>
      </c>
      <c r="O2117" s="6" t="str">
        <f>IFERROR(__xludf.DUMMYFUNCTION("""COMPUTED_VALUE"""),"FIP-DOM-ENG-51508-0000000-INA-000000")</f>
        <v>FIP-DOM-ENG-51508-0000000-INA-000000</v>
      </c>
      <c r="P2117" s="6" t="str">
        <f>IFERROR(__xludf.DUMMYFUNCTION("""COMPUTED_VALUE"""),"PO Closed")</f>
        <v>PO Closed</v>
      </c>
      <c r="Q2117" s="6" t="str">
        <f>IFERROR(__xludf.DUMMYFUNCTION("""COMPUTED_VALUE"""),"GL2211001")</f>
        <v>GL2211001</v>
      </c>
      <c r="R2117" s="57">
        <f>IFERROR(__xludf.DUMMYFUNCTION("""COMPUTED_VALUE"""),44855.0)</f>
        <v>44855</v>
      </c>
      <c r="S2117" s="57">
        <f>IFERROR(__xludf.DUMMYFUNCTION("""COMPUTED_VALUE"""),44865.0)</f>
        <v>44865</v>
      </c>
      <c r="T2117" s="57">
        <f>IFERROR(__xludf.DUMMYFUNCTION("""COMPUTED_VALUE"""),44900.0)</f>
        <v>44900</v>
      </c>
    </row>
    <row r="2118">
      <c r="A2118" s="6" t="str">
        <f>IFERROR(__xludf.DUMMYFUNCTION("""COMPUTED_VALUE"""),"221750634-1")</f>
        <v>221750634-1</v>
      </c>
      <c r="B2118" s="6" t="str">
        <f>IFERROR(__xludf.DUMMYFUNCTION("""COMPUTED_VALUE"""),"221750634 - Approved")</f>
        <v>221750634 - Approved</v>
      </c>
      <c r="C2118" s="6">
        <f>IFERROR(__xludf.DUMMYFUNCTION("""COMPUTED_VALUE"""),1.0)</f>
        <v>1</v>
      </c>
      <c r="D2118" s="6" t="str">
        <f>IFERROR(__xludf.DUMMYFUNCTION("""COMPUTED_VALUE"""),"O-54123-00")</f>
        <v>O-54123-00</v>
      </c>
      <c r="E2118" s="6" t="str">
        <f>IFERROR(__xludf.DUMMYFUNCTION("""COMPUTED_VALUE"""),"O-RING 132X5.30; Freeze Dryer MBE1207; P/N EB41-00298; pack size per pc")</f>
        <v>O-RING 132X5.30; Freeze Dryer MBE1207; P/N EB41-00298; pack size per pc</v>
      </c>
      <c r="F2118" s="6">
        <f>IFERROR(__xludf.DUMMYFUNCTION("""COMPUTED_VALUE"""),1.0)</f>
        <v>1</v>
      </c>
      <c r="G2118" s="6" t="str">
        <f>IFERROR(__xludf.DUMMYFUNCTION("""COMPUTED_VALUE"""),"Pieces")</f>
        <v>Pieces</v>
      </c>
      <c r="H2118" s="6" t="str">
        <f>IFERROR(__xludf.DUMMYFUNCTION("""COMPUTED_VALUE"""),"USD")</f>
        <v>USD</v>
      </c>
      <c r="I2118" s="6">
        <f>IFERROR(__xludf.DUMMYFUNCTION("""COMPUTED_VALUE"""),3.73)</f>
        <v>3.73</v>
      </c>
      <c r="J2118" s="6">
        <f>IFERROR(__xludf.DUMMYFUNCTION("""COMPUTED_VALUE"""),3.73)</f>
        <v>3.73</v>
      </c>
      <c r="K2118" s="57">
        <f>IFERROR(__xludf.DUMMYFUNCTION("""COMPUTED_VALUE"""),44875.0)</f>
        <v>44875</v>
      </c>
      <c r="L2118" s="6" t="str">
        <f>IFERROR(__xludf.DUMMYFUNCTION("""COMPUTED_VALUE"""),"FIP Engineering")</f>
        <v>FIP Engineering</v>
      </c>
      <c r="M2118" s="6" t="str">
        <f>IFERROR(__xludf.DUMMYFUNCTION("""COMPUTED_VALUE"""),"Irwan Sopian")</f>
        <v>Irwan Sopian</v>
      </c>
      <c r="N2118" s="6" t="str">
        <f>IFERROR(__xludf.DUMMYFUNCTION("""COMPUTED_VALUE"""),"FIP Engineering")</f>
        <v>FIP Engineering</v>
      </c>
      <c r="O2118" s="6" t="str">
        <f>IFERROR(__xludf.DUMMYFUNCTION("""COMPUTED_VALUE"""),"FIP-DOM-000-11304-OS00001-INA-000000")</f>
        <v>FIP-DOM-000-11304-OS00001-INA-000000</v>
      </c>
      <c r="P2118" s="6" t="str">
        <f>IFERROR(__xludf.DUMMYFUNCTION("""COMPUTED_VALUE"""),"PO Closed")</f>
        <v>PO Closed</v>
      </c>
      <c r="Q2118" s="6" t="str">
        <f>IFERROR(__xludf.DUMMYFUNCTION("""COMPUTED_VALUE"""),"GL2211003")</f>
        <v>GL2211003</v>
      </c>
      <c r="R2118" s="57">
        <f>IFERROR(__xludf.DUMMYFUNCTION("""COMPUTED_VALUE"""),44861.0)</f>
        <v>44861</v>
      </c>
      <c r="S2118" s="57">
        <f>IFERROR(__xludf.DUMMYFUNCTION("""COMPUTED_VALUE"""),44861.0)</f>
        <v>44861</v>
      </c>
      <c r="T2118" s="57">
        <f>IFERROR(__xludf.DUMMYFUNCTION("""COMPUTED_VALUE"""),44905.0)</f>
        <v>44905</v>
      </c>
    </row>
    <row r="2119">
      <c r="A2119" s="6" t="str">
        <f>IFERROR(__xludf.DUMMYFUNCTION("""COMPUTED_VALUE"""),"221750634-2")</f>
        <v>221750634-2</v>
      </c>
      <c r="B2119" s="6" t="str">
        <f>IFERROR(__xludf.DUMMYFUNCTION("""COMPUTED_VALUE"""),"221750634 - Approved")</f>
        <v>221750634 - Approved</v>
      </c>
      <c r="C2119" s="6">
        <f>IFERROR(__xludf.DUMMYFUNCTION("""COMPUTED_VALUE"""),2.0)</f>
        <v>2</v>
      </c>
      <c r="D2119" s="6" t="str">
        <f>IFERROR(__xludf.DUMMYFUNCTION("""COMPUTED_VALUE"""),"O-54122-00")</f>
        <v>O-54122-00</v>
      </c>
      <c r="E2119" s="6" t="str">
        <f>IFERROR(__xludf.DUMMYFUNCTION("""COMPUTED_VALUE"""),"O-RING 106X5.30; Freeze Dryer MBE1207; P/N EB41-00292; pack size per pc")</f>
        <v>O-RING 106X5.30; Freeze Dryer MBE1207; P/N EB41-00292; pack size per pc</v>
      </c>
      <c r="F2119" s="6">
        <f>IFERROR(__xludf.DUMMYFUNCTION("""COMPUTED_VALUE"""),1.0)</f>
        <v>1</v>
      </c>
      <c r="G2119" s="6" t="str">
        <f>IFERROR(__xludf.DUMMYFUNCTION("""COMPUTED_VALUE"""),"Pieces")</f>
        <v>Pieces</v>
      </c>
      <c r="H2119" s="6" t="str">
        <f>IFERROR(__xludf.DUMMYFUNCTION("""COMPUTED_VALUE"""),"USD")</f>
        <v>USD</v>
      </c>
      <c r="I2119" s="6">
        <f>IFERROR(__xludf.DUMMYFUNCTION("""COMPUTED_VALUE"""),3.88)</f>
        <v>3.88</v>
      </c>
      <c r="J2119" s="6">
        <f>IFERROR(__xludf.DUMMYFUNCTION("""COMPUTED_VALUE"""),3.88)</f>
        <v>3.88</v>
      </c>
      <c r="K2119" s="57">
        <f>IFERROR(__xludf.DUMMYFUNCTION("""COMPUTED_VALUE"""),44875.0)</f>
        <v>44875</v>
      </c>
      <c r="L2119" s="6" t="str">
        <f>IFERROR(__xludf.DUMMYFUNCTION("""COMPUTED_VALUE"""),"FIP Engineering")</f>
        <v>FIP Engineering</v>
      </c>
      <c r="M2119" s="6" t="str">
        <f>IFERROR(__xludf.DUMMYFUNCTION("""COMPUTED_VALUE"""),"Irwan Sopian")</f>
        <v>Irwan Sopian</v>
      </c>
      <c r="N2119" s="6" t="str">
        <f>IFERROR(__xludf.DUMMYFUNCTION("""COMPUTED_VALUE"""),"FIP Engineering")</f>
        <v>FIP Engineering</v>
      </c>
      <c r="O2119" s="6" t="str">
        <f>IFERROR(__xludf.DUMMYFUNCTION("""COMPUTED_VALUE"""),"FIP-DOM-000-11304-OS00001-INA-000000")</f>
        <v>FIP-DOM-000-11304-OS00001-INA-000000</v>
      </c>
      <c r="P2119" s="6" t="str">
        <f>IFERROR(__xludf.DUMMYFUNCTION("""COMPUTED_VALUE"""),"PO Closed")</f>
        <v>PO Closed</v>
      </c>
      <c r="Q2119" s="6" t="str">
        <f>IFERROR(__xludf.DUMMYFUNCTION("""COMPUTED_VALUE"""),"GL2211003")</f>
        <v>GL2211003</v>
      </c>
      <c r="R2119" s="57">
        <f>IFERROR(__xludf.DUMMYFUNCTION("""COMPUTED_VALUE"""),44861.0)</f>
        <v>44861</v>
      </c>
      <c r="S2119" s="57">
        <f>IFERROR(__xludf.DUMMYFUNCTION("""COMPUTED_VALUE"""),44861.0)</f>
        <v>44861</v>
      </c>
      <c r="T2119" s="57">
        <f>IFERROR(__xludf.DUMMYFUNCTION("""COMPUTED_VALUE"""),44905.0)</f>
        <v>44905</v>
      </c>
    </row>
    <row r="2120">
      <c r="A2120" s="6" t="str">
        <f>IFERROR(__xludf.DUMMYFUNCTION("""COMPUTED_VALUE"""),"221750634-3")</f>
        <v>221750634-3</v>
      </c>
      <c r="B2120" s="6" t="str">
        <f>IFERROR(__xludf.DUMMYFUNCTION("""COMPUTED_VALUE"""),"221750634 - Approved")</f>
        <v>221750634 - Approved</v>
      </c>
      <c r="C2120" s="6">
        <f>IFERROR(__xludf.DUMMYFUNCTION("""COMPUTED_VALUE"""),3.0)</f>
        <v>3</v>
      </c>
      <c r="D2120" s="6" t="str">
        <f>IFERROR(__xludf.DUMMYFUNCTION("""COMPUTED_VALUE"""),"O-54121-00")</f>
        <v>O-54121-00</v>
      </c>
      <c r="E2120" s="6" t="str">
        <f>IFERROR(__xludf.DUMMYFUNCTION("""COMPUTED_VALUE"""),"O-RING 180X3.55; Freeze Dryer MBE1207; P/N EB41-00357; pack size per pc")</f>
        <v>O-RING 180X3.55; Freeze Dryer MBE1207; P/N EB41-00357; pack size per pc</v>
      </c>
      <c r="F2120" s="6">
        <f>IFERROR(__xludf.DUMMYFUNCTION("""COMPUTED_VALUE"""),1.0)</f>
        <v>1</v>
      </c>
      <c r="G2120" s="6" t="str">
        <f>IFERROR(__xludf.DUMMYFUNCTION("""COMPUTED_VALUE"""),"Pieces")</f>
        <v>Pieces</v>
      </c>
      <c r="H2120" s="6" t="str">
        <f>IFERROR(__xludf.DUMMYFUNCTION("""COMPUTED_VALUE"""),"USD")</f>
        <v>USD</v>
      </c>
      <c r="I2120" s="6">
        <f>IFERROR(__xludf.DUMMYFUNCTION("""COMPUTED_VALUE"""),3.99)</f>
        <v>3.99</v>
      </c>
      <c r="J2120" s="6">
        <f>IFERROR(__xludf.DUMMYFUNCTION("""COMPUTED_VALUE"""),3.99)</f>
        <v>3.99</v>
      </c>
      <c r="K2120" s="57">
        <f>IFERROR(__xludf.DUMMYFUNCTION("""COMPUTED_VALUE"""),44875.0)</f>
        <v>44875</v>
      </c>
      <c r="L2120" s="6" t="str">
        <f>IFERROR(__xludf.DUMMYFUNCTION("""COMPUTED_VALUE"""),"FIP Engineering")</f>
        <v>FIP Engineering</v>
      </c>
      <c r="M2120" s="6" t="str">
        <f>IFERROR(__xludf.DUMMYFUNCTION("""COMPUTED_VALUE"""),"Irwan Sopian")</f>
        <v>Irwan Sopian</v>
      </c>
      <c r="N2120" s="6" t="str">
        <f>IFERROR(__xludf.DUMMYFUNCTION("""COMPUTED_VALUE"""),"FIP Engineering")</f>
        <v>FIP Engineering</v>
      </c>
      <c r="O2120" s="6" t="str">
        <f>IFERROR(__xludf.DUMMYFUNCTION("""COMPUTED_VALUE"""),"FIP-DOM-000-11304-OS00001-INA-000000")</f>
        <v>FIP-DOM-000-11304-OS00001-INA-000000</v>
      </c>
      <c r="P2120" s="6" t="str">
        <f>IFERROR(__xludf.DUMMYFUNCTION("""COMPUTED_VALUE"""),"PO Closed")</f>
        <v>PO Closed</v>
      </c>
      <c r="Q2120" s="6" t="str">
        <f>IFERROR(__xludf.DUMMYFUNCTION("""COMPUTED_VALUE"""),"GL2211003")</f>
        <v>GL2211003</v>
      </c>
      <c r="R2120" s="57">
        <f>IFERROR(__xludf.DUMMYFUNCTION("""COMPUTED_VALUE"""),44861.0)</f>
        <v>44861</v>
      </c>
      <c r="S2120" s="57">
        <f>IFERROR(__xludf.DUMMYFUNCTION("""COMPUTED_VALUE"""),44861.0)</f>
        <v>44861</v>
      </c>
      <c r="T2120" s="57">
        <f>IFERROR(__xludf.DUMMYFUNCTION("""COMPUTED_VALUE"""),44905.0)</f>
        <v>44905</v>
      </c>
    </row>
    <row r="2121">
      <c r="A2121" s="6" t="str">
        <f>IFERROR(__xludf.DUMMYFUNCTION("""COMPUTED_VALUE"""),"221750634-4")</f>
        <v>221750634-4</v>
      </c>
      <c r="B2121" s="6" t="str">
        <f>IFERROR(__xludf.DUMMYFUNCTION("""COMPUTED_VALUE"""),"221750634 - Approved")</f>
        <v>221750634 - Approved</v>
      </c>
      <c r="C2121" s="6">
        <f>IFERROR(__xludf.DUMMYFUNCTION("""COMPUTED_VALUE"""),4.0)</f>
        <v>4</v>
      </c>
      <c r="D2121" s="6" t="str">
        <f>IFERROR(__xludf.DUMMYFUNCTION("""COMPUTED_VALUE"""),"O-54120-00")</f>
        <v>O-54120-00</v>
      </c>
      <c r="E2121" s="6" t="str">
        <f>IFERROR(__xludf.DUMMYFUNCTION("""COMPUTED_VALUE"""),"O-RING 8X1.8; Freeze Dryer MBE1207; P/N EB41-00336; pack size per pc")</f>
        <v>O-RING 8X1.8; Freeze Dryer MBE1207; P/N EB41-00336; pack size per pc</v>
      </c>
      <c r="F2121" s="6">
        <f>IFERROR(__xludf.DUMMYFUNCTION("""COMPUTED_VALUE"""),20.0)</f>
        <v>20</v>
      </c>
      <c r="G2121" s="6" t="str">
        <f>IFERROR(__xludf.DUMMYFUNCTION("""COMPUTED_VALUE"""),"Pieces")</f>
        <v>Pieces</v>
      </c>
      <c r="H2121" s="6" t="str">
        <f>IFERROR(__xludf.DUMMYFUNCTION("""COMPUTED_VALUE"""),"USD")</f>
        <v>USD</v>
      </c>
      <c r="I2121" s="6">
        <f>IFERROR(__xludf.DUMMYFUNCTION("""COMPUTED_VALUE"""),0.67)</f>
        <v>0.67</v>
      </c>
      <c r="J2121" s="6">
        <f>IFERROR(__xludf.DUMMYFUNCTION("""COMPUTED_VALUE"""),13.4)</f>
        <v>13.4</v>
      </c>
      <c r="K2121" s="57">
        <f>IFERROR(__xludf.DUMMYFUNCTION("""COMPUTED_VALUE"""),44875.0)</f>
        <v>44875</v>
      </c>
      <c r="L2121" s="6" t="str">
        <f>IFERROR(__xludf.DUMMYFUNCTION("""COMPUTED_VALUE"""),"FIP Engineering")</f>
        <v>FIP Engineering</v>
      </c>
      <c r="M2121" s="6" t="str">
        <f>IFERROR(__xludf.DUMMYFUNCTION("""COMPUTED_VALUE"""),"Irwan Sopian")</f>
        <v>Irwan Sopian</v>
      </c>
      <c r="N2121" s="6" t="str">
        <f>IFERROR(__xludf.DUMMYFUNCTION("""COMPUTED_VALUE"""),"FIP Engineering")</f>
        <v>FIP Engineering</v>
      </c>
      <c r="O2121" s="6" t="str">
        <f>IFERROR(__xludf.DUMMYFUNCTION("""COMPUTED_VALUE"""),"FIP-DOM-000-11304-OS00001-INA-000000")</f>
        <v>FIP-DOM-000-11304-OS00001-INA-000000</v>
      </c>
      <c r="P2121" s="6" t="str">
        <f>IFERROR(__xludf.DUMMYFUNCTION("""COMPUTED_VALUE"""),"PO Closed")</f>
        <v>PO Closed</v>
      </c>
      <c r="Q2121" s="6" t="str">
        <f>IFERROR(__xludf.DUMMYFUNCTION("""COMPUTED_VALUE"""),"GL2211003")</f>
        <v>GL2211003</v>
      </c>
      <c r="R2121" s="57">
        <f>IFERROR(__xludf.DUMMYFUNCTION("""COMPUTED_VALUE"""),44861.0)</f>
        <v>44861</v>
      </c>
      <c r="S2121" s="57">
        <f>IFERROR(__xludf.DUMMYFUNCTION("""COMPUTED_VALUE"""),44861.0)</f>
        <v>44861</v>
      </c>
      <c r="T2121" s="57">
        <f>IFERROR(__xludf.DUMMYFUNCTION("""COMPUTED_VALUE"""),44905.0)</f>
        <v>44905</v>
      </c>
    </row>
    <row r="2122">
      <c r="A2122" s="6" t="str">
        <f>IFERROR(__xludf.DUMMYFUNCTION("""COMPUTED_VALUE"""),"221750634-5")</f>
        <v>221750634-5</v>
      </c>
      <c r="B2122" s="6" t="str">
        <f>IFERROR(__xludf.DUMMYFUNCTION("""COMPUTED_VALUE"""),"221750634 - Approved")</f>
        <v>221750634 - Approved</v>
      </c>
      <c r="C2122" s="6">
        <f>IFERROR(__xludf.DUMMYFUNCTION("""COMPUTED_VALUE"""),5.0)</f>
        <v>5</v>
      </c>
      <c r="D2122" s="6" t="str">
        <f>IFERROR(__xludf.DUMMYFUNCTION("""COMPUTED_VALUE"""),"O-54119-00")</f>
        <v>O-54119-00</v>
      </c>
      <c r="E2122" s="6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F2122" s="6">
        <f>IFERROR(__xludf.DUMMYFUNCTION("""COMPUTED_VALUE"""),1.0)</f>
        <v>1</v>
      </c>
      <c r="G2122" s="6" t="str">
        <f>IFERROR(__xludf.DUMMYFUNCTION("""COMPUTED_VALUE"""),"Unit")</f>
        <v>Unit</v>
      </c>
      <c r="H2122" s="6" t="str">
        <f>IFERROR(__xludf.DUMMYFUNCTION("""COMPUTED_VALUE"""),"USD")</f>
        <v>USD</v>
      </c>
      <c r="I2122" s="11">
        <f>IFERROR(__xludf.DUMMYFUNCTION("""COMPUTED_VALUE"""),10356.21)</f>
        <v>10356.21</v>
      </c>
      <c r="J2122" s="11">
        <f>IFERROR(__xludf.DUMMYFUNCTION("""COMPUTED_VALUE"""),10356.21)</f>
        <v>10356.21</v>
      </c>
      <c r="K2122" s="57">
        <f>IFERROR(__xludf.DUMMYFUNCTION("""COMPUTED_VALUE"""),44875.0)</f>
        <v>44875</v>
      </c>
      <c r="L2122" s="6" t="str">
        <f>IFERROR(__xludf.DUMMYFUNCTION("""COMPUTED_VALUE"""),"FIP Engineering")</f>
        <v>FIP Engineering</v>
      </c>
      <c r="M2122" s="6" t="str">
        <f>IFERROR(__xludf.DUMMYFUNCTION("""COMPUTED_VALUE"""),"Irwan Sopian")</f>
        <v>Irwan Sopian</v>
      </c>
      <c r="N2122" s="6" t="str">
        <f>IFERROR(__xludf.DUMMYFUNCTION("""COMPUTED_VALUE"""),"FIP Engineering")</f>
        <v>FIP Engineering</v>
      </c>
      <c r="O2122" s="6" t="str">
        <f>IFERROR(__xludf.DUMMYFUNCTION("""COMPUTED_VALUE"""),"FIP-DOM-000-11304-OS00001-INA-000000")</f>
        <v>FIP-DOM-000-11304-OS00001-INA-000000</v>
      </c>
      <c r="P2122" s="6" t="str">
        <f>IFERROR(__xludf.DUMMYFUNCTION("""COMPUTED_VALUE"""),"PO Closed")</f>
        <v>PO Closed</v>
      </c>
      <c r="Q2122" s="6" t="str">
        <f>IFERROR(__xludf.DUMMYFUNCTION("""COMPUTED_VALUE"""),"GL2211003")</f>
        <v>GL2211003</v>
      </c>
      <c r="R2122" s="57">
        <f>IFERROR(__xludf.DUMMYFUNCTION("""COMPUTED_VALUE"""),44861.0)</f>
        <v>44861</v>
      </c>
      <c r="S2122" s="57">
        <f>IFERROR(__xludf.DUMMYFUNCTION("""COMPUTED_VALUE"""),44861.0)</f>
        <v>44861</v>
      </c>
      <c r="T2122" s="57">
        <f>IFERROR(__xludf.DUMMYFUNCTION("""COMPUTED_VALUE"""),44905.0)</f>
        <v>44905</v>
      </c>
    </row>
    <row r="2123">
      <c r="A2123" s="6" t="str">
        <f>IFERROR(__xludf.DUMMYFUNCTION("""COMPUTED_VALUE"""),"221750634-6")</f>
        <v>221750634-6</v>
      </c>
      <c r="B2123" s="6" t="str">
        <f>IFERROR(__xludf.DUMMYFUNCTION("""COMPUTED_VALUE"""),"221750634 - Approved")</f>
        <v>221750634 - Approved</v>
      </c>
      <c r="C2123" s="6">
        <f>IFERROR(__xludf.DUMMYFUNCTION("""COMPUTED_VALUE"""),6.0)</f>
        <v>6</v>
      </c>
      <c r="D2123" s="6" t="str">
        <f>IFERROR(__xludf.DUMMYFUNCTION("""COMPUTED_VALUE"""),"O-54124-00")</f>
        <v>O-54124-00</v>
      </c>
      <c r="E2123" s="6" t="str">
        <f>IFERROR(__xludf.DUMMYFUNCTION("""COMPUTED_VALUE"""),"O-RING 345X5.30; Freeze Dryer MBE1207; P/N EB41-00320; pack size per pc")</f>
        <v>O-RING 345X5.30; Freeze Dryer MBE1207; P/N EB41-00320; pack size per pc</v>
      </c>
      <c r="F2123" s="6">
        <f>IFERROR(__xludf.DUMMYFUNCTION("""COMPUTED_VALUE"""),1.0)</f>
        <v>1</v>
      </c>
      <c r="G2123" s="6" t="str">
        <f>IFERROR(__xludf.DUMMYFUNCTION("""COMPUTED_VALUE"""),"Pieces")</f>
        <v>Pieces</v>
      </c>
      <c r="H2123" s="6" t="str">
        <f>IFERROR(__xludf.DUMMYFUNCTION("""COMPUTED_VALUE"""),"USD")</f>
        <v>USD</v>
      </c>
      <c r="I2123" s="6">
        <f>IFERROR(__xludf.DUMMYFUNCTION("""COMPUTED_VALUE"""),5.69)</f>
        <v>5.69</v>
      </c>
      <c r="J2123" s="6">
        <f>IFERROR(__xludf.DUMMYFUNCTION("""COMPUTED_VALUE"""),5.69)</f>
        <v>5.69</v>
      </c>
      <c r="K2123" s="57">
        <f>IFERROR(__xludf.DUMMYFUNCTION("""COMPUTED_VALUE"""),44875.0)</f>
        <v>44875</v>
      </c>
      <c r="L2123" s="6" t="str">
        <f>IFERROR(__xludf.DUMMYFUNCTION("""COMPUTED_VALUE"""),"FIP Engineering")</f>
        <v>FIP Engineering</v>
      </c>
      <c r="M2123" s="6" t="str">
        <f>IFERROR(__xludf.DUMMYFUNCTION("""COMPUTED_VALUE"""),"Irwan Sopian")</f>
        <v>Irwan Sopian</v>
      </c>
      <c r="N2123" s="6" t="str">
        <f>IFERROR(__xludf.DUMMYFUNCTION("""COMPUTED_VALUE"""),"FIP Engineering")</f>
        <v>FIP Engineering</v>
      </c>
      <c r="O2123" s="6" t="str">
        <f>IFERROR(__xludf.DUMMYFUNCTION("""COMPUTED_VALUE"""),"FIP-DOM-000-11304-OS00001-INA-000000")</f>
        <v>FIP-DOM-000-11304-OS00001-INA-000000</v>
      </c>
      <c r="P2123" s="6" t="str">
        <f>IFERROR(__xludf.DUMMYFUNCTION("""COMPUTED_VALUE"""),"PO Closed")</f>
        <v>PO Closed</v>
      </c>
      <c r="Q2123" s="6" t="str">
        <f>IFERROR(__xludf.DUMMYFUNCTION("""COMPUTED_VALUE"""),"GL2211003")</f>
        <v>GL2211003</v>
      </c>
      <c r="R2123" s="57">
        <f>IFERROR(__xludf.DUMMYFUNCTION("""COMPUTED_VALUE"""),44861.0)</f>
        <v>44861</v>
      </c>
      <c r="S2123" s="57">
        <f>IFERROR(__xludf.DUMMYFUNCTION("""COMPUTED_VALUE"""),44861.0)</f>
        <v>44861</v>
      </c>
      <c r="T2123" s="57">
        <f>IFERROR(__xludf.DUMMYFUNCTION("""COMPUTED_VALUE"""),44905.0)</f>
        <v>44905</v>
      </c>
    </row>
    <row r="2124">
      <c r="A2124" s="6" t="str">
        <f>IFERROR(__xludf.DUMMYFUNCTION("""COMPUTED_VALUE"""),"221750637-1")</f>
        <v>221750637-1</v>
      </c>
      <c r="B2124" s="6" t="str">
        <f>IFERROR(__xludf.DUMMYFUNCTION("""COMPUTED_VALUE"""),"221750637 - Approved")</f>
        <v>221750637 - Approved</v>
      </c>
      <c r="C2124" s="6">
        <f>IFERROR(__xludf.DUMMYFUNCTION("""COMPUTED_VALUE"""),1.0)</f>
        <v>1</v>
      </c>
      <c r="D2124" s="6" t="str">
        <f>IFERROR(__xludf.DUMMYFUNCTION("""COMPUTED_VALUE"""),"O-52530-00")</f>
        <v>O-52530-00</v>
      </c>
      <c r="E2124" s="6" t="str">
        <f>IFERROR(__xludf.DUMMYFUNCTION("""COMPUTED_VALUE"""),"Sensor PH Meter Type : InPro3250/120/PT1000 PN. 52002548; Mettler-Toledo; ;")</f>
        <v>Sensor PH Meter Type : InPro3250/120/PT1000 PN. 52002548; Mettler-Toledo; ;</v>
      </c>
      <c r="F2124" s="6">
        <f>IFERROR(__xludf.DUMMYFUNCTION("""COMPUTED_VALUE"""),1.0)</f>
        <v>1</v>
      </c>
      <c r="G2124" s="6" t="str">
        <f>IFERROR(__xludf.DUMMYFUNCTION("""COMPUTED_VALUE"""),"Pieces")</f>
        <v>Pieces</v>
      </c>
      <c r="H2124" s="6" t="str">
        <f>IFERROR(__xludf.DUMMYFUNCTION("""COMPUTED_VALUE"""),"IDR")</f>
        <v>IDR</v>
      </c>
      <c r="I2124" s="11">
        <f>IFERROR(__xludf.DUMMYFUNCTION("""COMPUTED_VALUE"""),1.3072E7)</f>
        <v>13072000</v>
      </c>
      <c r="J2124" s="11">
        <f>IFERROR(__xludf.DUMMYFUNCTION("""COMPUTED_VALUE"""),1.3072E7)</f>
        <v>13072000</v>
      </c>
      <c r="K2124" s="57">
        <f>IFERROR(__xludf.DUMMYFUNCTION("""COMPUTED_VALUE"""),44925.0)</f>
        <v>44925</v>
      </c>
      <c r="L2124" s="6" t="str">
        <f>IFERROR(__xludf.DUMMYFUNCTION("""COMPUTED_VALUE"""),"FIP Engineering")</f>
        <v>FIP Engineering</v>
      </c>
      <c r="M2124" s="6" t="str">
        <f>IFERROR(__xludf.DUMMYFUNCTION("""COMPUTED_VALUE"""),"Irwan Sopian")</f>
        <v>Irwan Sopian</v>
      </c>
      <c r="N2124" s="6" t="str">
        <f>IFERROR(__xludf.DUMMYFUNCTION("""COMPUTED_VALUE"""),"FIP Engineering")</f>
        <v>FIP Engineering</v>
      </c>
      <c r="O2124" s="6" t="str">
        <f>IFERROR(__xludf.DUMMYFUNCTION("""COMPUTED_VALUE"""),"FIP-DOM-000-11304-OS00001-INA-000000")</f>
        <v>FIP-DOM-000-11304-OS00001-INA-000000</v>
      </c>
      <c r="P2124" s="6" t="str">
        <f>IFERROR(__xludf.DUMMYFUNCTION("""COMPUTED_VALUE"""),"PO Closed")</f>
        <v>PO Closed</v>
      </c>
      <c r="Q2124" s="6" t="str">
        <f>IFERROR(__xludf.DUMMYFUNCTION("""COMPUTED_VALUE"""),"GL2211031")</f>
        <v>GL2211031</v>
      </c>
      <c r="R2124" s="57">
        <f>IFERROR(__xludf.DUMMYFUNCTION("""COMPUTED_VALUE"""),44865.0)</f>
        <v>44865</v>
      </c>
      <c r="S2124" s="57">
        <f>IFERROR(__xludf.DUMMYFUNCTION("""COMPUTED_VALUE"""),44866.0)</f>
        <v>44866</v>
      </c>
      <c r="T2124" s="57">
        <f>IFERROR(__xludf.DUMMYFUNCTION("""COMPUTED_VALUE"""),45015.0)</f>
        <v>45015</v>
      </c>
    </row>
    <row r="2125">
      <c r="A2125" s="6" t="str">
        <f>IFERROR(__xludf.DUMMYFUNCTION("""COMPUTED_VALUE"""),"221750638-1")</f>
        <v>221750638-1</v>
      </c>
      <c r="B2125" s="6" t="str">
        <f>IFERROR(__xludf.DUMMYFUNCTION("""COMPUTED_VALUE"""),"221750638 - Approved")</f>
        <v>221750638 - Approved</v>
      </c>
      <c r="C2125" s="6">
        <f>IFERROR(__xludf.DUMMYFUNCTION("""COMPUTED_VALUE"""),1.0)</f>
        <v>1</v>
      </c>
      <c r="D2125" s="6" t="str">
        <f>IFERROR(__xludf.DUMMYFUNCTION("""COMPUTED_VALUE"""),"P-12994-00")</f>
        <v>P-12994-00</v>
      </c>
      <c r="E2125" s="6" t="str">
        <f>IFERROR(__xludf.DUMMYFUNCTION("""COMPUTED_VALUE"""),"Nippon Tape - ASF-110FR")</f>
        <v>Nippon Tape - ASF-110FR</v>
      </c>
      <c r="F2125" s="6">
        <f>IFERROR(__xludf.DUMMYFUNCTION("""COMPUTED_VALUE"""),2.0)</f>
        <v>2</v>
      </c>
      <c r="G2125" s="6" t="str">
        <f>IFERROR(__xludf.DUMMYFUNCTION("""COMPUTED_VALUE"""),"Pieces")</f>
        <v>Pieces</v>
      </c>
      <c r="H2125" s="6" t="str">
        <f>IFERROR(__xludf.DUMMYFUNCTION("""COMPUTED_VALUE"""),"IDR")</f>
        <v>IDR</v>
      </c>
      <c r="I2125" s="11">
        <f>IFERROR(__xludf.DUMMYFUNCTION("""COMPUTED_VALUE"""),600000.0)</f>
        <v>600000</v>
      </c>
      <c r="J2125" s="11">
        <f>IFERROR(__xludf.DUMMYFUNCTION("""COMPUTED_VALUE"""),1200000.0)</f>
        <v>1200000</v>
      </c>
      <c r="K2125" s="57">
        <f>IFERROR(__xludf.DUMMYFUNCTION("""COMPUTED_VALUE"""),44884.0)</f>
        <v>44884</v>
      </c>
      <c r="L2125" s="6" t="str">
        <f>IFERROR(__xludf.DUMMYFUNCTION("""COMPUTED_VALUE"""),"FIP Engineering")</f>
        <v>FIP Engineering</v>
      </c>
      <c r="M2125" s="6" t="str">
        <f>IFERROR(__xludf.DUMMYFUNCTION("""COMPUTED_VALUE"""),"Irwan Sopian")</f>
        <v>Irwan Sopian</v>
      </c>
      <c r="N2125" s="6" t="str">
        <f>IFERROR(__xludf.DUMMYFUNCTION("""COMPUTED_VALUE"""),"FIP Engineering")</f>
        <v>FIP Engineering</v>
      </c>
      <c r="O2125" s="6" t="str">
        <f>IFERROR(__xludf.DUMMYFUNCTION("""COMPUTED_VALUE"""),"FIP-DOM-000-11304-OS00001-INA-000000")</f>
        <v>FIP-DOM-000-11304-OS00001-INA-000000</v>
      </c>
      <c r="P2125" s="6" t="str">
        <f>IFERROR(__xludf.DUMMYFUNCTION("""COMPUTED_VALUE"""),"PO Closed")</f>
        <v>PO Closed</v>
      </c>
      <c r="Q2125" s="6" t="str">
        <f>IFERROR(__xludf.DUMMYFUNCTION("""COMPUTED_VALUE"""),"GL2212008")</f>
        <v>GL2212008</v>
      </c>
      <c r="R2125" s="57">
        <f>IFERROR(__xludf.DUMMYFUNCTION("""COMPUTED_VALUE"""),44866.0)</f>
        <v>44866</v>
      </c>
      <c r="S2125" s="57">
        <f>IFERROR(__xludf.DUMMYFUNCTION("""COMPUTED_VALUE"""),44866.0)</f>
        <v>44866</v>
      </c>
      <c r="T2125" s="57">
        <f>IFERROR(__xludf.DUMMYFUNCTION("""COMPUTED_VALUE"""),44956.0)</f>
        <v>44956</v>
      </c>
    </row>
    <row r="2126">
      <c r="A2126" s="6" t="str">
        <f>IFERROR(__xludf.DUMMYFUNCTION("""COMPUTED_VALUE"""),"221750638-2")</f>
        <v>221750638-2</v>
      </c>
      <c r="B2126" s="6" t="str">
        <f>IFERROR(__xludf.DUMMYFUNCTION("""COMPUTED_VALUE"""),"221750638 - Approved")</f>
        <v>221750638 - Approved</v>
      </c>
      <c r="C2126" s="6">
        <f>IFERROR(__xludf.DUMMYFUNCTION("""COMPUTED_VALUE"""),2.0)</f>
        <v>2</v>
      </c>
      <c r="D2126" s="6" t="str">
        <f>IFERROR(__xludf.DUMMYFUNCTION("""COMPUTED_VALUE"""),"O-15931-00")</f>
        <v>O-15931-00</v>
      </c>
      <c r="E2126" s="6" t="str">
        <f>IFERROR(__xludf.DUMMYFUNCTION("""COMPUTED_VALUE"""),"Double Tape 3M 1"" Merah - P/N : - pc")</f>
        <v>Double Tape 3M 1" Merah - P/N : - pc</v>
      </c>
      <c r="F2126" s="6">
        <f>IFERROR(__xludf.DUMMYFUNCTION("""COMPUTED_VALUE"""),7.0)</f>
        <v>7</v>
      </c>
      <c r="G2126" s="6" t="str">
        <f>IFERROR(__xludf.DUMMYFUNCTION("""COMPUTED_VALUE"""),"Pieces")</f>
        <v>Pieces</v>
      </c>
      <c r="H2126" s="6" t="str">
        <f>IFERROR(__xludf.DUMMYFUNCTION("""COMPUTED_VALUE"""),"IDR")</f>
        <v>IDR</v>
      </c>
      <c r="I2126" s="11">
        <f>IFERROR(__xludf.DUMMYFUNCTION("""COMPUTED_VALUE"""),112500.0)</f>
        <v>112500</v>
      </c>
      <c r="J2126" s="11">
        <f>IFERROR(__xludf.DUMMYFUNCTION("""COMPUTED_VALUE"""),787500.0)</f>
        <v>787500</v>
      </c>
      <c r="K2126" s="57">
        <f>IFERROR(__xludf.DUMMYFUNCTION("""COMPUTED_VALUE"""),44880.0)</f>
        <v>44880</v>
      </c>
      <c r="L2126" s="6" t="str">
        <f>IFERROR(__xludf.DUMMYFUNCTION("""COMPUTED_VALUE"""),"FIP Engineering")</f>
        <v>FIP Engineering</v>
      </c>
      <c r="M2126" s="6" t="str">
        <f>IFERROR(__xludf.DUMMYFUNCTION("""COMPUTED_VALUE"""),"Irwan Sopian")</f>
        <v>Irwan Sopian</v>
      </c>
      <c r="N2126" s="6" t="str">
        <f>IFERROR(__xludf.DUMMYFUNCTION("""COMPUTED_VALUE"""),"FIP Engineering")</f>
        <v>FIP Engineering</v>
      </c>
      <c r="O2126" s="6" t="str">
        <f>IFERROR(__xludf.DUMMYFUNCTION("""COMPUTED_VALUE"""),"FIP-DOM-000-11304-OS00001-INA-000000")</f>
        <v>FIP-DOM-000-11304-OS00001-INA-000000</v>
      </c>
      <c r="P2126" s="6" t="str">
        <f>IFERROR(__xludf.DUMMYFUNCTION("""COMPUTED_VALUE"""),"PO Closed")</f>
        <v>PO Closed</v>
      </c>
      <c r="Q2126" s="6" t="str">
        <f>IFERROR(__xludf.DUMMYFUNCTION("""COMPUTED_VALUE"""),"GL2212008")</f>
        <v>GL2212008</v>
      </c>
      <c r="R2126" s="57">
        <f>IFERROR(__xludf.DUMMYFUNCTION("""COMPUTED_VALUE"""),44866.0)</f>
        <v>44866</v>
      </c>
      <c r="S2126" s="57">
        <f>IFERROR(__xludf.DUMMYFUNCTION("""COMPUTED_VALUE"""),44866.0)</f>
        <v>44866</v>
      </c>
      <c r="T2126" s="57">
        <f>IFERROR(__xludf.DUMMYFUNCTION("""COMPUTED_VALUE"""),44956.0)</f>
        <v>44956</v>
      </c>
    </row>
    <row r="2127">
      <c r="A2127" s="6" t="str">
        <f>IFERROR(__xludf.DUMMYFUNCTION("""COMPUTED_VALUE"""),"221750638-3")</f>
        <v>221750638-3</v>
      </c>
      <c r="B2127" s="6" t="str">
        <f>IFERROR(__xludf.DUMMYFUNCTION("""COMPUTED_VALUE"""),"221750638 - Approved")</f>
        <v>221750638 - Approved</v>
      </c>
      <c r="C2127" s="6">
        <f>IFERROR(__xludf.DUMMYFUNCTION("""COMPUTED_VALUE"""),3.0)</f>
        <v>3</v>
      </c>
      <c r="D2127" s="6" t="str">
        <f>IFERROR(__xludf.DUMMYFUNCTION("""COMPUTED_VALUE"""),"P-13389-00")</f>
        <v>P-13389-00</v>
      </c>
      <c r="E2127" s="6" t="str">
        <f>IFERROR(__xludf.DUMMYFUNCTION("""COMPUTED_VALUE"""),"Scotch Brite 3M; ; ;")</f>
        <v>Scotch Brite 3M; ; ;</v>
      </c>
      <c r="F2127" s="6">
        <f>IFERROR(__xludf.DUMMYFUNCTION("""COMPUTED_VALUE"""),20.0)</f>
        <v>20</v>
      </c>
      <c r="G2127" s="6" t="str">
        <f>IFERROR(__xludf.DUMMYFUNCTION("""COMPUTED_VALUE"""),"Pieces")</f>
        <v>Pieces</v>
      </c>
      <c r="H2127" s="6" t="str">
        <f>IFERROR(__xludf.DUMMYFUNCTION("""COMPUTED_VALUE"""),"IDR")</f>
        <v>IDR</v>
      </c>
      <c r="I2127" s="11">
        <f>IFERROR(__xludf.DUMMYFUNCTION("""COMPUTED_VALUE"""),5000.0)</f>
        <v>5000</v>
      </c>
      <c r="J2127" s="11">
        <f>IFERROR(__xludf.DUMMYFUNCTION("""COMPUTED_VALUE"""),100000.0)</f>
        <v>100000</v>
      </c>
      <c r="K2127" s="57">
        <f>IFERROR(__xludf.DUMMYFUNCTION("""COMPUTED_VALUE"""),44884.0)</f>
        <v>44884</v>
      </c>
      <c r="L2127" s="6" t="str">
        <f>IFERROR(__xludf.DUMMYFUNCTION("""COMPUTED_VALUE"""),"FIP Engineering")</f>
        <v>FIP Engineering</v>
      </c>
      <c r="M2127" s="6" t="str">
        <f>IFERROR(__xludf.DUMMYFUNCTION("""COMPUTED_VALUE"""),"Irwan Sopian")</f>
        <v>Irwan Sopian</v>
      </c>
      <c r="N2127" s="6" t="str">
        <f>IFERROR(__xludf.DUMMYFUNCTION("""COMPUTED_VALUE"""),"FIP Engineering")</f>
        <v>FIP Engineering</v>
      </c>
      <c r="O2127" s="6" t="str">
        <f>IFERROR(__xludf.DUMMYFUNCTION("""COMPUTED_VALUE"""),"FIP-DOM-000-11304-OS00001-INA-000000")</f>
        <v>FIP-DOM-000-11304-OS00001-INA-000000</v>
      </c>
      <c r="P2127" s="6" t="str">
        <f>IFERROR(__xludf.DUMMYFUNCTION("""COMPUTED_VALUE"""),"PO Closed")</f>
        <v>PO Closed</v>
      </c>
      <c r="Q2127" s="6" t="str">
        <f>IFERROR(__xludf.DUMMYFUNCTION("""COMPUTED_VALUE"""),"GL2212008")</f>
        <v>GL2212008</v>
      </c>
      <c r="R2127" s="57">
        <f>IFERROR(__xludf.DUMMYFUNCTION("""COMPUTED_VALUE"""),44866.0)</f>
        <v>44866</v>
      </c>
      <c r="S2127" s="57">
        <f>IFERROR(__xludf.DUMMYFUNCTION("""COMPUTED_VALUE"""),44866.0)</f>
        <v>44866</v>
      </c>
      <c r="T2127" s="57">
        <f>IFERROR(__xludf.DUMMYFUNCTION("""COMPUTED_VALUE"""),44956.0)</f>
        <v>44956</v>
      </c>
    </row>
    <row r="2128">
      <c r="A2128" s="6" t="str">
        <f>IFERROR(__xludf.DUMMYFUNCTION("""COMPUTED_VALUE"""),"221750640-1")</f>
        <v>221750640-1</v>
      </c>
      <c r="B2128" s="6" t="str">
        <f>IFERROR(__xludf.DUMMYFUNCTION("""COMPUTED_VALUE"""),"221750640 - Approved")</f>
        <v>221750640 - Approved</v>
      </c>
      <c r="C2128" s="6">
        <f>IFERROR(__xludf.DUMMYFUNCTION("""COMPUTED_VALUE"""),1.0)</f>
        <v>1</v>
      </c>
      <c r="D2128" s="6" t="str">
        <f>IFERROR(__xludf.DUMMYFUNCTION("""COMPUTED_VALUE"""),"O-17285-00")</f>
        <v>O-17285-00</v>
      </c>
      <c r="E2128" s="6" t="str">
        <f>IFERROR(__xludf.DUMMYFUNCTION("""COMPUTED_VALUE"""),"Freeze Dryer MBE1207 - Main Valve Bellow SUS316L ST105*75; ; ;")</f>
        <v>Freeze Dryer MBE1207 - Main Valve Bellow SUS316L ST105*75; ; ;</v>
      </c>
      <c r="F2128" s="6">
        <f>IFERROR(__xludf.DUMMYFUNCTION("""COMPUTED_VALUE"""),1.0)</f>
        <v>1</v>
      </c>
      <c r="G2128" s="6" t="str">
        <f>IFERROR(__xludf.DUMMYFUNCTION("""COMPUTED_VALUE"""),"Unit")</f>
        <v>Unit</v>
      </c>
      <c r="H2128" s="6" t="str">
        <f>IFERROR(__xludf.DUMMYFUNCTION("""COMPUTED_VALUE"""),"USD")</f>
        <v>USD</v>
      </c>
      <c r="I2128" s="11">
        <f>IFERROR(__xludf.DUMMYFUNCTION("""COMPUTED_VALUE"""),1072.0)</f>
        <v>1072</v>
      </c>
      <c r="J2128" s="11">
        <f>IFERROR(__xludf.DUMMYFUNCTION("""COMPUTED_VALUE"""),1072.0)</f>
        <v>1072</v>
      </c>
      <c r="K2128" s="57">
        <f>IFERROR(__xludf.DUMMYFUNCTION("""COMPUTED_VALUE"""),44925.0)</f>
        <v>44925</v>
      </c>
      <c r="L2128" s="6" t="str">
        <f>IFERROR(__xludf.DUMMYFUNCTION("""COMPUTED_VALUE"""),"FIP Engineering")</f>
        <v>FIP Engineering</v>
      </c>
      <c r="M2128" s="6" t="str">
        <f>IFERROR(__xludf.DUMMYFUNCTION("""COMPUTED_VALUE"""),"Irwan Sopian")</f>
        <v>Irwan Sopian</v>
      </c>
      <c r="N2128" s="6" t="str">
        <f>IFERROR(__xludf.DUMMYFUNCTION("""COMPUTED_VALUE"""),"FIP Engineering")</f>
        <v>FIP Engineering</v>
      </c>
      <c r="O2128" s="6" t="str">
        <f>IFERROR(__xludf.DUMMYFUNCTION("""COMPUTED_VALUE"""),"FIP-DOM-000-11304-OS00001-INA-000000")</f>
        <v>FIP-DOM-000-11304-OS00001-INA-000000</v>
      </c>
      <c r="P2128" s="6" t="str">
        <f>IFERROR(__xludf.DUMMYFUNCTION("""COMPUTED_VALUE"""),"PO Closed")</f>
        <v>PO Closed</v>
      </c>
      <c r="Q2128" s="6" t="str">
        <f>IFERROR(__xludf.DUMMYFUNCTION("""COMPUTED_VALUE"""),"GL2302014")</f>
        <v>GL2302014</v>
      </c>
      <c r="R2128" s="57">
        <f>IFERROR(__xludf.DUMMYFUNCTION("""COMPUTED_VALUE"""),44867.0)</f>
        <v>44867</v>
      </c>
      <c r="S2128" s="57">
        <f>IFERROR(__xludf.DUMMYFUNCTION("""COMPUTED_VALUE"""),44867.0)</f>
        <v>44867</v>
      </c>
      <c r="T2128" s="57">
        <f>IFERROR(__xludf.DUMMYFUNCTION("""COMPUTED_VALUE"""),45021.0)</f>
        <v>45021</v>
      </c>
    </row>
    <row r="2129">
      <c r="A2129" s="6" t="str">
        <f>IFERROR(__xludf.DUMMYFUNCTION("""COMPUTED_VALUE"""),"221750664-1")</f>
        <v>221750664-1</v>
      </c>
      <c r="B2129" s="6" t="str">
        <f>IFERROR(__xludf.DUMMYFUNCTION("""COMPUTED_VALUE"""),"221750664 - Approved")</f>
        <v>221750664 - Approved</v>
      </c>
      <c r="C2129" s="6">
        <f>IFERROR(__xludf.DUMMYFUNCTION("""COMPUTED_VALUE"""),1.0)</f>
        <v>1</v>
      </c>
      <c r="D2129" s="6" t="str">
        <f>IFERROR(__xludf.DUMMYFUNCTION("""COMPUTED_VALUE"""),"S-60002-00")</f>
        <v>S-60002-00</v>
      </c>
      <c r="E2129" s="6" t="str">
        <f>IFERROR(__xludf.DUMMYFUNCTION("""COMPUTED_VALUE"""),"Jasa Perbaikan dan Pemeliharaan Mesin Utility - Pengecekan Kerusakan HMI N2 Generator")</f>
        <v>Jasa Perbaikan dan Pemeliharaan Mesin Utility - Pengecekan Kerusakan HMI N2 Generator</v>
      </c>
      <c r="F2129" s="6">
        <f>IFERROR(__xludf.DUMMYFUNCTION("""COMPUTED_VALUE"""),1.0)</f>
        <v>1</v>
      </c>
      <c r="G2129" s="6" t="str">
        <f>IFERROR(__xludf.DUMMYFUNCTION("""COMPUTED_VALUE"""),"Lot")</f>
        <v>Lot</v>
      </c>
      <c r="H2129" s="6" t="str">
        <f>IFERROR(__xludf.DUMMYFUNCTION("""COMPUTED_VALUE"""),"IDR")</f>
        <v>IDR</v>
      </c>
      <c r="I2129" s="11">
        <f>IFERROR(__xludf.DUMMYFUNCTION("""COMPUTED_VALUE"""),1000000.0)</f>
        <v>1000000</v>
      </c>
      <c r="J2129" s="11">
        <f>IFERROR(__xludf.DUMMYFUNCTION("""COMPUTED_VALUE"""),1000000.0)</f>
        <v>1000000</v>
      </c>
      <c r="K2129" s="57">
        <f>IFERROR(__xludf.DUMMYFUNCTION("""COMPUTED_VALUE"""),44888.0)</f>
        <v>44888</v>
      </c>
      <c r="L2129" s="6" t="str">
        <f>IFERROR(__xludf.DUMMYFUNCTION("""COMPUTED_VALUE"""),"FIP General")</f>
        <v>FIP General</v>
      </c>
      <c r="M2129" s="6" t="str">
        <f>IFERROR(__xludf.DUMMYFUNCTION("""COMPUTED_VALUE"""),"Irwan Sopian")</f>
        <v>Irwan Sopian</v>
      </c>
      <c r="N2129" s="6" t="str">
        <f>IFERROR(__xludf.DUMMYFUNCTION("""COMPUTED_VALUE"""),"FPP ENG CIKARANG")</f>
        <v>FPP ENG CIKARANG</v>
      </c>
      <c r="O2129" s="6" t="str">
        <f>IFERROR(__xludf.DUMMYFUNCTION("""COMPUTED_VALUE"""),"FIP-DOM-ENG-51508-0000000-INA-000000")</f>
        <v>FIP-DOM-ENG-51508-0000000-INA-000000</v>
      </c>
      <c r="P2129" s="6" t="str">
        <f>IFERROR(__xludf.DUMMYFUNCTION("""COMPUTED_VALUE"""),"PO Closed")</f>
        <v>PO Closed</v>
      </c>
      <c r="Q2129" s="6" t="str">
        <f>IFERROR(__xludf.DUMMYFUNCTION("""COMPUTED_VALUE"""),"GL2302015")</f>
        <v>GL2302015</v>
      </c>
      <c r="R2129" s="57">
        <f>IFERROR(__xludf.DUMMYFUNCTION("""COMPUTED_VALUE"""),44869.0)</f>
        <v>44869</v>
      </c>
      <c r="S2129" s="57">
        <f>IFERROR(__xludf.DUMMYFUNCTION("""COMPUTED_VALUE"""),44869.0)</f>
        <v>44869</v>
      </c>
      <c r="T2129" s="57">
        <f>IFERROR(__xludf.DUMMYFUNCTION("""COMPUTED_VALUE"""),44995.0)</f>
        <v>44995</v>
      </c>
    </row>
    <row r="2130">
      <c r="A2130" s="6" t="str">
        <f>IFERROR(__xludf.DUMMYFUNCTION("""COMPUTED_VALUE"""),"221750672-1")</f>
        <v>221750672-1</v>
      </c>
      <c r="B2130" s="6" t="str">
        <f>IFERROR(__xludf.DUMMYFUNCTION("""COMPUTED_VALUE"""),"221750672 - Approved")</f>
        <v>221750672 - Approved</v>
      </c>
      <c r="C2130" s="6">
        <f>IFERROR(__xludf.DUMMYFUNCTION("""COMPUTED_VALUE"""),1.0)</f>
        <v>1</v>
      </c>
      <c r="D2130" s="6" t="str">
        <f>IFERROR(__xludf.DUMMYFUNCTION("""COMPUTED_VALUE"""),"P-14453-00")</f>
        <v>P-14453-00</v>
      </c>
      <c r="E2130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F2130" s="6">
        <f>IFERROR(__xludf.DUMMYFUNCTION("""COMPUTED_VALUE"""),12.0)</f>
        <v>12</v>
      </c>
      <c r="G2130" s="6" t="str">
        <f>IFERROR(__xludf.DUMMYFUNCTION("""COMPUTED_VALUE"""),"Pieces")</f>
        <v>Pieces</v>
      </c>
      <c r="H2130" s="6" t="str">
        <f>IFERROR(__xludf.DUMMYFUNCTION("""COMPUTED_VALUE"""),"IDR")</f>
        <v>IDR</v>
      </c>
      <c r="I2130" s="11">
        <f>IFERROR(__xludf.DUMMYFUNCTION("""COMPUTED_VALUE"""),1190700.0)</f>
        <v>1190700</v>
      </c>
      <c r="J2130" s="11">
        <f>IFERROR(__xludf.DUMMYFUNCTION("""COMPUTED_VALUE"""),1.42884E7)</f>
        <v>14288400</v>
      </c>
      <c r="K2130" s="57">
        <f>IFERROR(__xludf.DUMMYFUNCTION("""COMPUTED_VALUE"""),44888.0)</f>
        <v>44888</v>
      </c>
      <c r="L2130" s="6" t="str">
        <f>IFERROR(__xludf.DUMMYFUNCTION("""COMPUTED_VALUE"""),"FIP Engineering")</f>
        <v>FIP Engineering</v>
      </c>
      <c r="M2130" s="6" t="str">
        <f>IFERROR(__xludf.DUMMYFUNCTION("""COMPUTED_VALUE"""),"Irwan Sopian")</f>
        <v>Irwan Sopian</v>
      </c>
      <c r="N2130" s="6" t="str">
        <f>IFERROR(__xludf.DUMMYFUNCTION("""COMPUTED_VALUE"""),"FIP Engineering")</f>
        <v>FIP Engineering</v>
      </c>
      <c r="O2130" s="6" t="str">
        <f>IFERROR(__xludf.DUMMYFUNCTION("""COMPUTED_VALUE"""),"FIP-DOM-000-11304-OS00001-INA-000000")</f>
        <v>FIP-DOM-000-11304-OS00001-INA-000000</v>
      </c>
      <c r="P2130" s="6" t="str">
        <f>IFERROR(__xludf.DUMMYFUNCTION("""COMPUTED_VALUE"""),"PO Closed")</f>
        <v>PO Closed</v>
      </c>
      <c r="Q2130" s="6" t="str">
        <f>IFERROR(__xludf.DUMMYFUNCTION("""COMPUTED_VALUE"""),"GL2212033")</f>
        <v>GL2212033</v>
      </c>
      <c r="R2130" s="57">
        <f>IFERROR(__xludf.DUMMYFUNCTION("""COMPUTED_VALUE"""),44874.0)</f>
        <v>44874</v>
      </c>
      <c r="S2130" s="57">
        <f>IFERROR(__xludf.DUMMYFUNCTION("""COMPUTED_VALUE"""),44875.0)</f>
        <v>44875</v>
      </c>
      <c r="T2130" s="57">
        <f>IFERROR(__xludf.DUMMYFUNCTION("""COMPUTED_VALUE"""),45015.0)</f>
        <v>45015</v>
      </c>
    </row>
    <row r="2131">
      <c r="A2131" s="6" t="str">
        <f>IFERROR(__xludf.DUMMYFUNCTION("""COMPUTED_VALUE"""),"221750672-2")</f>
        <v>221750672-2</v>
      </c>
      <c r="B2131" s="6" t="str">
        <f>IFERROR(__xludf.DUMMYFUNCTION("""COMPUTED_VALUE"""),"221750672 - Approved")</f>
        <v>221750672 - Approved</v>
      </c>
      <c r="C2131" s="6">
        <f>IFERROR(__xludf.DUMMYFUNCTION("""COMPUTED_VALUE"""),2.0)</f>
        <v>2</v>
      </c>
      <c r="D2131" s="6" t="str">
        <f>IFERROR(__xludf.DUMMYFUNCTION("""COMPUTED_VALUE"""),"P-14458-00")</f>
        <v>P-14458-00</v>
      </c>
      <c r="E2131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2131" s="6">
        <f>IFERROR(__xludf.DUMMYFUNCTION("""COMPUTED_VALUE"""),10.0)</f>
        <v>10</v>
      </c>
      <c r="G2131" s="6" t="str">
        <f>IFERROR(__xludf.DUMMYFUNCTION("""COMPUTED_VALUE"""),"Pieces")</f>
        <v>Pieces</v>
      </c>
      <c r="H2131" s="6" t="str">
        <f>IFERROR(__xludf.DUMMYFUNCTION("""COMPUTED_VALUE"""),"IDR")</f>
        <v>IDR</v>
      </c>
      <c r="I2131" s="11">
        <f>IFERROR(__xludf.DUMMYFUNCTION("""COMPUTED_VALUE"""),952560.0)</f>
        <v>952560</v>
      </c>
      <c r="J2131" s="11">
        <f>IFERROR(__xludf.DUMMYFUNCTION("""COMPUTED_VALUE"""),9525600.0)</f>
        <v>9525600</v>
      </c>
      <c r="K2131" s="57">
        <f>IFERROR(__xludf.DUMMYFUNCTION("""COMPUTED_VALUE"""),44888.0)</f>
        <v>44888</v>
      </c>
      <c r="L2131" s="6" t="str">
        <f>IFERROR(__xludf.DUMMYFUNCTION("""COMPUTED_VALUE"""),"FIP Engineering")</f>
        <v>FIP Engineering</v>
      </c>
      <c r="M2131" s="6" t="str">
        <f>IFERROR(__xludf.DUMMYFUNCTION("""COMPUTED_VALUE"""),"Irwan Sopian")</f>
        <v>Irwan Sopian</v>
      </c>
      <c r="N2131" s="6" t="str">
        <f>IFERROR(__xludf.DUMMYFUNCTION("""COMPUTED_VALUE"""),"FIP Engineering")</f>
        <v>FIP Engineering</v>
      </c>
      <c r="O2131" s="6" t="str">
        <f>IFERROR(__xludf.DUMMYFUNCTION("""COMPUTED_VALUE"""),"FIP-DOM-000-11304-OS00001-INA-000000")</f>
        <v>FIP-DOM-000-11304-OS00001-INA-000000</v>
      </c>
      <c r="P2131" s="6" t="str">
        <f>IFERROR(__xludf.DUMMYFUNCTION("""COMPUTED_VALUE"""),"PO Closed")</f>
        <v>PO Closed</v>
      </c>
      <c r="Q2131" s="6" t="str">
        <f>IFERROR(__xludf.DUMMYFUNCTION("""COMPUTED_VALUE"""),"GL2212033")</f>
        <v>GL2212033</v>
      </c>
      <c r="R2131" s="57">
        <f>IFERROR(__xludf.DUMMYFUNCTION("""COMPUTED_VALUE"""),44874.0)</f>
        <v>44874</v>
      </c>
      <c r="S2131" s="57">
        <f>IFERROR(__xludf.DUMMYFUNCTION("""COMPUTED_VALUE"""),44875.0)</f>
        <v>44875</v>
      </c>
      <c r="T2131" s="57">
        <f>IFERROR(__xludf.DUMMYFUNCTION("""COMPUTED_VALUE"""),44985.0)</f>
        <v>44985</v>
      </c>
    </row>
    <row r="2132">
      <c r="A2132" s="6" t="str">
        <f>IFERROR(__xludf.DUMMYFUNCTION("""COMPUTED_VALUE"""),"221750672-3")</f>
        <v>221750672-3</v>
      </c>
      <c r="B2132" s="6" t="str">
        <f>IFERROR(__xludf.DUMMYFUNCTION("""COMPUTED_VALUE"""),"221750672 - Approved")</f>
        <v>221750672 - Approved</v>
      </c>
      <c r="C2132" s="6">
        <f>IFERROR(__xludf.DUMMYFUNCTION("""COMPUTED_VALUE"""),3.0)</f>
        <v>3</v>
      </c>
      <c r="D2132" s="6" t="str">
        <f>IFERROR(__xludf.DUMMYFUNCTION("""COMPUTED_VALUE"""),"P-14457-00")</f>
        <v>P-14457-00</v>
      </c>
      <c r="E2132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2132" s="6">
        <f>IFERROR(__xludf.DUMMYFUNCTION("""COMPUTED_VALUE"""),10.0)</f>
        <v>10</v>
      </c>
      <c r="G2132" s="6" t="str">
        <f>IFERROR(__xludf.DUMMYFUNCTION("""COMPUTED_VALUE"""),"Pieces")</f>
        <v>Pieces</v>
      </c>
      <c r="H2132" s="6" t="str">
        <f>IFERROR(__xludf.DUMMYFUNCTION("""COMPUTED_VALUE"""),"IDR")</f>
        <v>IDR</v>
      </c>
      <c r="I2132" s="11">
        <f>IFERROR(__xludf.DUMMYFUNCTION("""COMPUTED_VALUE"""),1285956.0)</f>
        <v>1285956</v>
      </c>
      <c r="J2132" s="11">
        <f>IFERROR(__xludf.DUMMYFUNCTION("""COMPUTED_VALUE"""),1.285956E7)</f>
        <v>12859560</v>
      </c>
      <c r="K2132" s="57">
        <f>IFERROR(__xludf.DUMMYFUNCTION("""COMPUTED_VALUE"""),44888.0)</f>
        <v>44888</v>
      </c>
      <c r="L2132" s="6" t="str">
        <f>IFERROR(__xludf.DUMMYFUNCTION("""COMPUTED_VALUE"""),"FIP Engineering")</f>
        <v>FIP Engineering</v>
      </c>
      <c r="M2132" s="6" t="str">
        <f>IFERROR(__xludf.DUMMYFUNCTION("""COMPUTED_VALUE"""),"Irwan Sopian")</f>
        <v>Irwan Sopian</v>
      </c>
      <c r="N2132" s="6" t="str">
        <f>IFERROR(__xludf.DUMMYFUNCTION("""COMPUTED_VALUE"""),"FIP Engineering")</f>
        <v>FIP Engineering</v>
      </c>
      <c r="O2132" s="6" t="str">
        <f>IFERROR(__xludf.DUMMYFUNCTION("""COMPUTED_VALUE"""),"FIP-DOM-000-11304-OS00001-INA-000000")</f>
        <v>FIP-DOM-000-11304-OS00001-INA-000000</v>
      </c>
      <c r="P2132" s="6" t="str">
        <f>IFERROR(__xludf.DUMMYFUNCTION("""COMPUTED_VALUE"""),"PO Closed")</f>
        <v>PO Closed</v>
      </c>
      <c r="Q2132" s="6" t="str">
        <f>IFERROR(__xludf.DUMMYFUNCTION("""COMPUTED_VALUE"""),"GL2212033")</f>
        <v>GL2212033</v>
      </c>
      <c r="R2132" s="57">
        <f>IFERROR(__xludf.DUMMYFUNCTION("""COMPUTED_VALUE"""),44874.0)</f>
        <v>44874</v>
      </c>
      <c r="S2132" s="57">
        <f>IFERROR(__xludf.DUMMYFUNCTION("""COMPUTED_VALUE"""),44875.0)</f>
        <v>44875</v>
      </c>
      <c r="T2132" s="57">
        <f>IFERROR(__xludf.DUMMYFUNCTION("""COMPUTED_VALUE"""),44985.0)</f>
        <v>44985</v>
      </c>
    </row>
    <row r="2133">
      <c r="A2133" s="6" t="str">
        <f>IFERROR(__xludf.DUMMYFUNCTION("""COMPUTED_VALUE"""),"221750672-4")</f>
        <v>221750672-4</v>
      </c>
      <c r="B2133" s="6" t="str">
        <f>IFERROR(__xludf.DUMMYFUNCTION("""COMPUTED_VALUE"""),"221750672 - Approved")</f>
        <v>221750672 - Approved</v>
      </c>
      <c r="C2133" s="6">
        <f>IFERROR(__xludf.DUMMYFUNCTION("""COMPUTED_VALUE"""),4.0)</f>
        <v>4</v>
      </c>
      <c r="D2133" s="6" t="str">
        <f>IFERROR(__xludf.DUMMYFUNCTION("""COMPUTED_VALUE"""),"P-14456-00")</f>
        <v>P-14456-00</v>
      </c>
      <c r="E2133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2133" s="6">
        <f>IFERROR(__xludf.DUMMYFUNCTION("""COMPUTED_VALUE"""),10.0)</f>
        <v>10</v>
      </c>
      <c r="G2133" s="6" t="str">
        <f>IFERROR(__xludf.DUMMYFUNCTION("""COMPUTED_VALUE"""),"Pieces")</f>
        <v>Pieces</v>
      </c>
      <c r="H2133" s="6" t="str">
        <f>IFERROR(__xludf.DUMMYFUNCTION("""COMPUTED_VALUE"""),"IDR")</f>
        <v>IDR</v>
      </c>
      <c r="I2133" s="11">
        <f>IFERROR(__xludf.DUMMYFUNCTION("""COMPUTED_VALUE"""),904932.0)</f>
        <v>904932</v>
      </c>
      <c r="J2133" s="11">
        <f>IFERROR(__xludf.DUMMYFUNCTION("""COMPUTED_VALUE"""),9049320.0)</f>
        <v>9049320</v>
      </c>
      <c r="K2133" s="57">
        <f>IFERROR(__xludf.DUMMYFUNCTION("""COMPUTED_VALUE"""),44888.0)</f>
        <v>44888</v>
      </c>
      <c r="L2133" s="6" t="str">
        <f>IFERROR(__xludf.DUMMYFUNCTION("""COMPUTED_VALUE"""),"FIP Engineering")</f>
        <v>FIP Engineering</v>
      </c>
      <c r="M2133" s="6" t="str">
        <f>IFERROR(__xludf.DUMMYFUNCTION("""COMPUTED_VALUE"""),"Irwan Sopian")</f>
        <v>Irwan Sopian</v>
      </c>
      <c r="N2133" s="6" t="str">
        <f>IFERROR(__xludf.DUMMYFUNCTION("""COMPUTED_VALUE"""),"FIP Engineering")</f>
        <v>FIP Engineering</v>
      </c>
      <c r="O2133" s="6" t="str">
        <f>IFERROR(__xludf.DUMMYFUNCTION("""COMPUTED_VALUE"""),"FIP-DOM-000-11304-OS00001-INA-000000")</f>
        <v>FIP-DOM-000-11304-OS00001-INA-000000</v>
      </c>
      <c r="P2133" s="6" t="str">
        <f>IFERROR(__xludf.DUMMYFUNCTION("""COMPUTED_VALUE"""),"PO Closed")</f>
        <v>PO Closed</v>
      </c>
      <c r="Q2133" s="6" t="str">
        <f>IFERROR(__xludf.DUMMYFUNCTION("""COMPUTED_VALUE"""),"GL2212033")</f>
        <v>GL2212033</v>
      </c>
      <c r="R2133" s="57">
        <f>IFERROR(__xludf.DUMMYFUNCTION("""COMPUTED_VALUE"""),44874.0)</f>
        <v>44874</v>
      </c>
      <c r="S2133" s="57">
        <f>IFERROR(__xludf.DUMMYFUNCTION("""COMPUTED_VALUE"""),44875.0)</f>
        <v>44875</v>
      </c>
      <c r="T2133" s="57">
        <f>IFERROR(__xludf.DUMMYFUNCTION("""COMPUTED_VALUE"""),44985.0)</f>
        <v>44985</v>
      </c>
    </row>
    <row r="2134">
      <c r="A2134" s="6" t="str">
        <f>IFERROR(__xludf.DUMMYFUNCTION("""COMPUTED_VALUE"""),"221750672-5")</f>
        <v>221750672-5</v>
      </c>
      <c r="B2134" s="6" t="str">
        <f>IFERROR(__xludf.DUMMYFUNCTION("""COMPUTED_VALUE"""),"221750672 - Approved")</f>
        <v>221750672 - Approved</v>
      </c>
      <c r="C2134" s="6">
        <f>IFERROR(__xludf.DUMMYFUNCTION("""COMPUTED_VALUE"""),5.0)</f>
        <v>5</v>
      </c>
      <c r="D2134" s="6" t="str">
        <f>IFERROR(__xludf.DUMMYFUNCTION("""COMPUTED_VALUE"""),"P-14455-00")</f>
        <v>P-14455-00</v>
      </c>
      <c r="E2134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2134" s="6">
        <f>IFERROR(__xludf.DUMMYFUNCTION("""COMPUTED_VALUE"""),10.0)</f>
        <v>10</v>
      </c>
      <c r="G2134" s="6" t="str">
        <f>IFERROR(__xludf.DUMMYFUNCTION("""COMPUTED_VALUE"""),"Pieces")</f>
        <v>Pieces</v>
      </c>
      <c r="H2134" s="6" t="str">
        <f>IFERROR(__xludf.DUMMYFUNCTION("""COMPUTED_VALUE"""),"IDR")</f>
        <v>IDR</v>
      </c>
      <c r="I2134" s="11">
        <f>IFERROR(__xludf.DUMMYFUNCTION("""COMPUTED_VALUE"""),1238328.0)</f>
        <v>1238328</v>
      </c>
      <c r="J2134" s="11">
        <f>IFERROR(__xludf.DUMMYFUNCTION("""COMPUTED_VALUE"""),1.238328E7)</f>
        <v>12383280</v>
      </c>
      <c r="K2134" s="57">
        <f>IFERROR(__xludf.DUMMYFUNCTION("""COMPUTED_VALUE"""),44888.0)</f>
        <v>44888</v>
      </c>
      <c r="L2134" s="6" t="str">
        <f>IFERROR(__xludf.DUMMYFUNCTION("""COMPUTED_VALUE"""),"FIP Engineering")</f>
        <v>FIP Engineering</v>
      </c>
      <c r="M2134" s="6" t="str">
        <f>IFERROR(__xludf.DUMMYFUNCTION("""COMPUTED_VALUE"""),"Irwan Sopian")</f>
        <v>Irwan Sopian</v>
      </c>
      <c r="N2134" s="6" t="str">
        <f>IFERROR(__xludf.DUMMYFUNCTION("""COMPUTED_VALUE"""),"FIP Engineering")</f>
        <v>FIP Engineering</v>
      </c>
      <c r="O2134" s="6" t="str">
        <f>IFERROR(__xludf.DUMMYFUNCTION("""COMPUTED_VALUE"""),"FIP-DOM-000-11304-OS00001-INA-000000")</f>
        <v>FIP-DOM-000-11304-OS00001-INA-000000</v>
      </c>
      <c r="P2134" s="6" t="str">
        <f>IFERROR(__xludf.DUMMYFUNCTION("""COMPUTED_VALUE"""),"PO Closed")</f>
        <v>PO Closed</v>
      </c>
      <c r="Q2134" s="6" t="str">
        <f>IFERROR(__xludf.DUMMYFUNCTION("""COMPUTED_VALUE"""),"GL2212033")</f>
        <v>GL2212033</v>
      </c>
      <c r="R2134" s="57">
        <f>IFERROR(__xludf.DUMMYFUNCTION("""COMPUTED_VALUE"""),44874.0)</f>
        <v>44874</v>
      </c>
      <c r="S2134" s="57">
        <f>IFERROR(__xludf.DUMMYFUNCTION("""COMPUTED_VALUE"""),44875.0)</f>
        <v>44875</v>
      </c>
      <c r="T2134" s="57">
        <f>IFERROR(__xludf.DUMMYFUNCTION("""COMPUTED_VALUE"""),45015.0)</f>
        <v>45015</v>
      </c>
    </row>
    <row r="2135">
      <c r="A2135" s="6" t="str">
        <f>IFERROR(__xludf.DUMMYFUNCTION("""COMPUTED_VALUE"""),"221750672-6")</f>
        <v>221750672-6</v>
      </c>
      <c r="B2135" s="6" t="str">
        <f>IFERROR(__xludf.DUMMYFUNCTION("""COMPUTED_VALUE"""),"221750672 - Approved")</f>
        <v>221750672 - Approved</v>
      </c>
      <c r="C2135" s="6">
        <f>IFERROR(__xludf.DUMMYFUNCTION("""COMPUTED_VALUE"""),6.0)</f>
        <v>6</v>
      </c>
      <c r="D2135" s="6" t="str">
        <f>IFERROR(__xludf.DUMMYFUNCTION("""COMPUTED_VALUE"""),"P-14454-00")</f>
        <v>P-14454-00</v>
      </c>
      <c r="E2135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F2135" s="6">
        <f>IFERROR(__xludf.DUMMYFUNCTION("""COMPUTED_VALUE"""),12.0)</f>
        <v>12</v>
      </c>
      <c r="G2135" s="6" t="str">
        <f>IFERROR(__xludf.DUMMYFUNCTION("""COMPUTED_VALUE"""),"Pieces")</f>
        <v>Pieces</v>
      </c>
      <c r="H2135" s="6" t="str">
        <f>IFERROR(__xludf.DUMMYFUNCTION("""COMPUTED_VALUE"""),"IDR")</f>
        <v>IDR</v>
      </c>
      <c r="I2135" s="11">
        <f>IFERROR(__xludf.DUMMYFUNCTION("""COMPUTED_VALUE"""),833490.0)</f>
        <v>833490</v>
      </c>
      <c r="J2135" s="11">
        <f>IFERROR(__xludf.DUMMYFUNCTION("""COMPUTED_VALUE"""),1.000188E7)</f>
        <v>10001880</v>
      </c>
      <c r="K2135" s="57">
        <f>IFERROR(__xludf.DUMMYFUNCTION("""COMPUTED_VALUE"""),44888.0)</f>
        <v>44888</v>
      </c>
      <c r="L2135" s="6" t="str">
        <f>IFERROR(__xludf.DUMMYFUNCTION("""COMPUTED_VALUE"""),"FIP Engineering")</f>
        <v>FIP Engineering</v>
      </c>
      <c r="M2135" s="6" t="str">
        <f>IFERROR(__xludf.DUMMYFUNCTION("""COMPUTED_VALUE"""),"Irwan Sopian")</f>
        <v>Irwan Sopian</v>
      </c>
      <c r="N2135" s="6" t="str">
        <f>IFERROR(__xludf.DUMMYFUNCTION("""COMPUTED_VALUE"""),"FIP Engineering")</f>
        <v>FIP Engineering</v>
      </c>
      <c r="O2135" s="6" t="str">
        <f>IFERROR(__xludf.DUMMYFUNCTION("""COMPUTED_VALUE"""),"FIP-DOM-000-11304-OS00001-INA-000000")</f>
        <v>FIP-DOM-000-11304-OS00001-INA-000000</v>
      </c>
      <c r="P2135" s="6" t="str">
        <f>IFERROR(__xludf.DUMMYFUNCTION("""COMPUTED_VALUE"""),"PO Closed")</f>
        <v>PO Closed</v>
      </c>
      <c r="Q2135" s="6" t="str">
        <f>IFERROR(__xludf.DUMMYFUNCTION("""COMPUTED_VALUE"""),"GL2212033")</f>
        <v>GL2212033</v>
      </c>
      <c r="R2135" s="57">
        <f>IFERROR(__xludf.DUMMYFUNCTION("""COMPUTED_VALUE"""),44874.0)</f>
        <v>44874</v>
      </c>
      <c r="S2135" s="57">
        <f>IFERROR(__xludf.DUMMYFUNCTION("""COMPUTED_VALUE"""),44875.0)</f>
        <v>44875</v>
      </c>
      <c r="T2135" s="57">
        <f>IFERROR(__xludf.DUMMYFUNCTION("""COMPUTED_VALUE"""),45015.0)</f>
        <v>45015</v>
      </c>
    </row>
    <row r="2136">
      <c r="A2136" s="6" t="str">
        <f>IFERROR(__xludf.DUMMYFUNCTION("""COMPUTED_VALUE"""),"221750684-1")</f>
        <v>221750684-1</v>
      </c>
      <c r="B2136" s="6" t="str">
        <f>IFERROR(__xludf.DUMMYFUNCTION("""COMPUTED_VALUE"""),"221750684 - Approved")</f>
        <v>221750684 - Approved</v>
      </c>
      <c r="C2136" s="6">
        <f>IFERROR(__xludf.DUMMYFUNCTION("""COMPUTED_VALUE"""),1.0)</f>
        <v>1</v>
      </c>
      <c r="D2136" s="6" t="str">
        <f>IFERROR(__xludf.DUMMYFUNCTION("""COMPUTED_VALUE"""),"O-18827-00")</f>
        <v>O-18827-00</v>
      </c>
      <c r="E2136" s="6" t="str">
        <f>IFERROR(__xludf.DUMMYFUNCTION("""COMPUTED_VALUE"""),"Side Arms kit; Sanco; P/N : EPT012551;")</f>
        <v>Side Arms kit; Sanco; P/N : EPT012551;</v>
      </c>
      <c r="F2136" s="6">
        <f>IFERROR(__xludf.DUMMYFUNCTION("""COMPUTED_VALUE"""),1.0)</f>
        <v>1</v>
      </c>
      <c r="G2136" s="6" t="str">
        <f>IFERROR(__xludf.DUMMYFUNCTION("""COMPUTED_VALUE"""),"Pieces")</f>
        <v>Pieces</v>
      </c>
      <c r="H2136" s="6" t="str">
        <f>IFERROR(__xludf.DUMMYFUNCTION("""COMPUTED_VALUE"""),"IDR")</f>
        <v>IDR</v>
      </c>
      <c r="I2136" s="11">
        <f>IFERROR(__xludf.DUMMYFUNCTION("""COMPUTED_VALUE"""),3500000.0)</f>
        <v>3500000</v>
      </c>
      <c r="J2136" s="11">
        <f>IFERROR(__xludf.DUMMYFUNCTION("""COMPUTED_VALUE"""),3500000.0)</f>
        <v>3500000</v>
      </c>
      <c r="K2136" s="57">
        <f>IFERROR(__xludf.DUMMYFUNCTION("""COMPUTED_VALUE"""),44897.0)</f>
        <v>44897</v>
      </c>
      <c r="L2136" s="6" t="str">
        <f>IFERROR(__xludf.DUMMYFUNCTION("""COMPUTED_VALUE"""),"FIP Engineering")</f>
        <v>FIP Engineering</v>
      </c>
      <c r="M2136" s="6" t="str">
        <f>IFERROR(__xludf.DUMMYFUNCTION("""COMPUTED_VALUE"""),"Irwan Sopian")</f>
        <v>Irwan Sopian</v>
      </c>
      <c r="N2136" s="6" t="str">
        <f>IFERROR(__xludf.DUMMYFUNCTION("""COMPUTED_VALUE"""),"FIP Engineering")</f>
        <v>FIP Engineering</v>
      </c>
      <c r="O2136" s="6" t="str">
        <f>IFERROR(__xludf.DUMMYFUNCTION("""COMPUTED_VALUE"""),"FIP-DOM-000-11304-OS00001-INA-000000")</f>
        <v>FIP-DOM-000-11304-OS00001-INA-000000</v>
      </c>
      <c r="P2136" s="6" t="str">
        <f>IFERROR(__xludf.DUMMYFUNCTION("""COMPUTED_VALUE"""),"PO Closed")</f>
        <v>PO Closed</v>
      </c>
      <c r="Q2136" s="6" t="str">
        <f>IFERROR(__xludf.DUMMYFUNCTION("""COMPUTED_VALUE"""),"GL2301003")</f>
        <v>GL2301003</v>
      </c>
      <c r="R2136" s="57">
        <f>IFERROR(__xludf.DUMMYFUNCTION("""COMPUTED_VALUE"""),44877.0)</f>
        <v>44877</v>
      </c>
      <c r="S2136" s="57">
        <f>IFERROR(__xludf.DUMMYFUNCTION("""COMPUTED_VALUE"""),44879.0)</f>
        <v>44879</v>
      </c>
      <c r="T2136" s="57">
        <f>IFERROR(__xludf.DUMMYFUNCTION("""COMPUTED_VALUE"""),44962.0)</f>
        <v>44962</v>
      </c>
    </row>
    <row r="2137">
      <c r="A2137" s="6" t="str">
        <f>IFERROR(__xludf.DUMMYFUNCTION("""COMPUTED_VALUE"""),"221750684-2")</f>
        <v>221750684-2</v>
      </c>
      <c r="B2137" s="6" t="str">
        <f>IFERROR(__xludf.DUMMYFUNCTION("""COMPUTED_VALUE"""),"221750684 - Approved")</f>
        <v>221750684 - Approved</v>
      </c>
      <c r="C2137" s="6">
        <f>IFERROR(__xludf.DUMMYFUNCTION("""COMPUTED_VALUE"""),2.0)</f>
        <v>2</v>
      </c>
      <c r="D2137" s="6" t="str">
        <f>IFERROR(__xludf.DUMMYFUNCTION("""COMPUTED_VALUE"""),"P-18435-00")</f>
        <v>P-18435-00</v>
      </c>
      <c r="E2137" s="6" t="str">
        <f>IFERROR(__xludf.DUMMYFUNCTION("""COMPUTED_VALUE"""),"Spring Sidearm Kit; Sanco; P/N : EP001287SP;")</f>
        <v>Spring Sidearm Kit; Sanco; P/N : EP001287SP;</v>
      </c>
      <c r="F2137" s="6">
        <f>IFERROR(__xludf.DUMMYFUNCTION("""COMPUTED_VALUE"""),2.0)</f>
        <v>2</v>
      </c>
      <c r="G2137" s="6" t="str">
        <f>IFERROR(__xludf.DUMMYFUNCTION("""COMPUTED_VALUE"""),"Pieces")</f>
        <v>Pieces</v>
      </c>
      <c r="H2137" s="6" t="str">
        <f>IFERROR(__xludf.DUMMYFUNCTION("""COMPUTED_VALUE"""),"IDR")</f>
        <v>IDR</v>
      </c>
      <c r="I2137" s="11">
        <f>IFERROR(__xludf.DUMMYFUNCTION("""COMPUTED_VALUE"""),120000.0)</f>
        <v>120000</v>
      </c>
      <c r="J2137" s="11">
        <f>IFERROR(__xludf.DUMMYFUNCTION("""COMPUTED_VALUE"""),240000.0)</f>
        <v>240000</v>
      </c>
      <c r="K2137" s="57">
        <f>IFERROR(__xludf.DUMMYFUNCTION("""COMPUTED_VALUE"""),44897.0)</f>
        <v>44897</v>
      </c>
      <c r="L2137" s="6" t="str">
        <f>IFERROR(__xludf.DUMMYFUNCTION("""COMPUTED_VALUE"""),"FIP Engineering")</f>
        <v>FIP Engineering</v>
      </c>
      <c r="M2137" s="6" t="str">
        <f>IFERROR(__xludf.DUMMYFUNCTION("""COMPUTED_VALUE"""),"Irwan Sopian")</f>
        <v>Irwan Sopian</v>
      </c>
      <c r="N2137" s="6" t="str">
        <f>IFERROR(__xludf.DUMMYFUNCTION("""COMPUTED_VALUE"""),"FIP Engineering")</f>
        <v>FIP Engineering</v>
      </c>
      <c r="O2137" s="6" t="str">
        <f>IFERROR(__xludf.DUMMYFUNCTION("""COMPUTED_VALUE"""),"FIP-DOM-000-11304-OS00001-INA-000000")</f>
        <v>FIP-DOM-000-11304-OS00001-INA-000000</v>
      </c>
      <c r="P2137" s="6" t="str">
        <f>IFERROR(__xludf.DUMMYFUNCTION("""COMPUTED_VALUE"""),"PO Closed")</f>
        <v>PO Closed</v>
      </c>
      <c r="Q2137" s="6" t="str">
        <f>IFERROR(__xludf.DUMMYFUNCTION("""COMPUTED_VALUE"""),"GL2301003")</f>
        <v>GL2301003</v>
      </c>
      <c r="R2137" s="57">
        <f>IFERROR(__xludf.DUMMYFUNCTION("""COMPUTED_VALUE"""),44877.0)</f>
        <v>44877</v>
      </c>
      <c r="S2137" s="57">
        <f>IFERROR(__xludf.DUMMYFUNCTION("""COMPUTED_VALUE"""),44879.0)</f>
        <v>44879</v>
      </c>
      <c r="T2137" s="57">
        <f>IFERROR(__xludf.DUMMYFUNCTION("""COMPUTED_VALUE"""),44962.0)</f>
        <v>44962</v>
      </c>
    </row>
    <row r="2138">
      <c r="A2138" s="6" t="str">
        <f>IFERROR(__xludf.DUMMYFUNCTION("""COMPUTED_VALUE"""),"221750685-1")</f>
        <v>221750685-1</v>
      </c>
      <c r="B2138" s="6" t="str">
        <f>IFERROR(__xludf.DUMMYFUNCTION("""COMPUTED_VALUE"""),"221750685 - Approved")</f>
        <v>221750685 - Approved</v>
      </c>
      <c r="C2138" s="6">
        <f>IFERROR(__xludf.DUMMYFUNCTION("""COMPUTED_VALUE"""),1.0)</f>
        <v>1</v>
      </c>
      <c r="D2138" s="6" t="str">
        <f>IFERROR(__xludf.DUMMYFUNCTION("""COMPUTED_VALUE"""),"P-11694-00")</f>
        <v>P-11694-00</v>
      </c>
      <c r="E2138" s="6" t="str">
        <f>IFERROR(__xludf.DUMMYFUNCTION("""COMPUTED_VALUE"""),"Mata Gerinda 4")</f>
        <v>Mata Gerinda 4</v>
      </c>
      <c r="F2138" s="6">
        <f>IFERROR(__xludf.DUMMYFUNCTION("""COMPUTED_VALUE"""),2.0)</f>
        <v>2</v>
      </c>
      <c r="G2138" s="6" t="str">
        <f>IFERROR(__xludf.DUMMYFUNCTION("""COMPUTED_VALUE"""),"Pieces")</f>
        <v>Pieces</v>
      </c>
      <c r="H2138" s="6" t="str">
        <f>IFERROR(__xludf.DUMMYFUNCTION("""COMPUTED_VALUE"""),"IDR")</f>
        <v>IDR</v>
      </c>
      <c r="I2138" s="11">
        <f>IFERROR(__xludf.DUMMYFUNCTION("""COMPUTED_VALUE"""),100000.0)</f>
        <v>100000</v>
      </c>
      <c r="J2138" s="11">
        <f>IFERROR(__xludf.DUMMYFUNCTION("""COMPUTED_VALUE"""),200000.0)</f>
        <v>200000</v>
      </c>
      <c r="K2138" s="57">
        <f>IFERROR(__xludf.DUMMYFUNCTION("""COMPUTED_VALUE"""),44918.0)</f>
        <v>44918</v>
      </c>
      <c r="L2138" s="6" t="str">
        <f>IFERROR(__xludf.DUMMYFUNCTION("""COMPUTED_VALUE"""),"FIP General")</f>
        <v>FIP General</v>
      </c>
      <c r="M2138" s="6" t="str">
        <f>IFERROR(__xludf.DUMMYFUNCTION("""COMPUTED_VALUE"""),"Irwan Sopian")</f>
        <v>Irwan Sopian</v>
      </c>
      <c r="N2138" s="6" t="str">
        <f>IFERROR(__xludf.DUMMYFUNCTION("""COMPUTED_VALUE"""),"FIP Engineering")</f>
        <v>FIP Engineering</v>
      </c>
      <c r="O2138" s="6" t="str">
        <f>IFERROR(__xludf.DUMMYFUNCTION("""COMPUTED_VALUE"""),"FIP-DOM-ENG-51404-0000000-INA-000000")</f>
        <v>FIP-DOM-ENG-51404-0000000-INA-000000</v>
      </c>
      <c r="P2138" s="6" t="str">
        <f>IFERROR(__xludf.DUMMYFUNCTION("""COMPUTED_VALUE"""),"PO Closed")</f>
        <v>PO Closed</v>
      </c>
      <c r="Q2138" s="6" t="str">
        <f>IFERROR(__xludf.DUMMYFUNCTION("""COMPUTED_VALUE"""),"GL2212008")</f>
        <v>GL2212008</v>
      </c>
      <c r="R2138" s="57">
        <f>IFERROR(__xludf.DUMMYFUNCTION("""COMPUTED_VALUE"""),44879.0)</f>
        <v>44879</v>
      </c>
      <c r="S2138" s="57">
        <f>IFERROR(__xludf.DUMMYFUNCTION("""COMPUTED_VALUE"""),44879.0)</f>
        <v>44879</v>
      </c>
      <c r="T2138" s="57">
        <f>IFERROR(__xludf.DUMMYFUNCTION("""COMPUTED_VALUE"""),44956.0)</f>
        <v>44956</v>
      </c>
    </row>
    <row r="2139">
      <c r="A2139" s="6" t="str">
        <f>IFERROR(__xludf.DUMMYFUNCTION("""COMPUTED_VALUE"""),"221750685-2")</f>
        <v>221750685-2</v>
      </c>
      <c r="B2139" s="6" t="str">
        <f>IFERROR(__xludf.DUMMYFUNCTION("""COMPUTED_VALUE"""),"221750685 - Approved")</f>
        <v>221750685 - Approved</v>
      </c>
      <c r="C2139" s="6">
        <f>IFERROR(__xludf.DUMMYFUNCTION("""COMPUTED_VALUE"""),2.0)</f>
        <v>2</v>
      </c>
      <c r="D2139" s="6" t="str">
        <f>IFERROR(__xludf.DUMMYFUNCTION("""COMPUTED_VALUE"""),"Q-10090-00")</f>
        <v>Q-10090-00</v>
      </c>
      <c r="E2139" s="6" t="str">
        <f>IFERROR(__xludf.DUMMYFUNCTION("""COMPUTED_VALUE"""),"GypsumJaya Board")</f>
        <v>GypsumJaya Board</v>
      </c>
      <c r="F2139" s="6">
        <f>IFERROR(__xludf.DUMMYFUNCTION("""COMPUTED_VALUE"""),2.0)</f>
        <v>2</v>
      </c>
      <c r="G2139" s="6" t="str">
        <f>IFERROR(__xludf.DUMMYFUNCTION("""COMPUTED_VALUE"""),"Pieces")</f>
        <v>Pieces</v>
      </c>
      <c r="H2139" s="6" t="str">
        <f>IFERROR(__xludf.DUMMYFUNCTION("""COMPUTED_VALUE"""),"IDR")</f>
        <v>IDR</v>
      </c>
      <c r="I2139" s="11">
        <f>IFERROR(__xludf.DUMMYFUNCTION("""COMPUTED_VALUE"""),90000.0)</f>
        <v>90000</v>
      </c>
      <c r="J2139" s="11">
        <f>IFERROR(__xludf.DUMMYFUNCTION("""COMPUTED_VALUE"""),180000.0)</f>
        <v>180000</v>
      </c>
      <c r="K2139" s="57">
        <f>IFERROR(__xludf.DUMMYFUNCTION("""COMPUTED_VALUE"""),44918.0)</f>
        <v>44918</v>
      </c>
      <c r="L2139" s="6" t="str">
        <f>IFERROR(__xludf.DUMMYFUNCTION("""COMPUTED_VALUE"""),"FIP General")</f>
        <v>FIP General</v>
      </c>
      <c r="M2139" s="6" t="str">
        <f>IFERROR(__xludf.DUMMYFUNCTION("""COMPUTED_VALUE"""),"Irwan Sopian")</f>
        <v>Irwan Sopian</v>
      </c>
      <c r="N2139" s="6" t="str">
        <f>IFERROR(__xludf.DUMMYFUNCTION("""COMPUTED_VALUE"""),"FIP Engineering")</f>
        <v>FIP Engineering</v>
      </c>
      <c r="O2139" s="6" t="str">
        <f>IFERROR(__xludf.DUMMYFUNCTION("""COMPUTED_VALUE"""),"FIP-DOM-ENG-51502-0000000-INA-000000")</f>
        <v>FIP-DOM-ENG-51502-0000000-INA-000000</v>
      </c>
      <c r="P2139" s="6" t="str">
        <f>IFERROR(__xludf.DUMMYFUNCTION("""COMPUTED_VALUE"""),"PO Closed")</f>
        <v>PO Closed</v>
      </c>
      <c r="Q2139" s="6" t="str">
        <f>IFERROR(__xludf.DUMMYFUNCTION("""COMPUTED_VALUE"""),"GL2211324")</f>
        <v>GL2211324</v>
      </c>
      <c r="R2139" s="57">
        <f>IFERROR(__xludf.DUMMYFUNCTION("""COMPUTED_VALUE"""),44879.0)</f>
        <v>44879</v>
      </c>
      <c r="S2139" s="57">
        <f>IFERROR(__xludf.DUMMYFUNCTION("""COMPUTED_VALUE"""),44879.0)</f>
        <v>44879</v>
      </c>
      <c r="T2139" s="57">
        <f>IFERROR(__xludf.DUMMYFUNCTION("""COMPUTED_VALUE"""),44911.0)</f>
        <v>44911</v>
      </c>
    </row>
    <row r="2140">
      <c r="A2140" s="6" t="str">
        <f>IFERROR(__xludf.DUMMYFUNCTION("""COMPUTED_VALUE"""),"221750685-3")</f>
        <v>221750685-3</v>
      </c>
      <c r="B2140" s="6" t="str">
        <f>IFERROR(__xludf.DUMMYFUNCTION("""COMPUTED_VALUE"""),"221750685 - Approved")</f>
        <v>221750685 - Approved</v>
      </c>
      <c r="C2140" s="6">
        <f>IFERROR(__xludf.DUMMYFUNCTION("""COMPUTED_VALUE"""),3.0)</f>
        <v>3</v>
      </c>
      <c r="D2140" s="6" t="str">
        <f>IFERROR(__xludf.DUMMYFUNCTION("""COMPUTED_VALUE"""),"Q-60026-00")</f>
        <v>Q-60026-00</v>
      </c>
      <c r="E2140" s="6" t="str">
        <f>IFERROR(__xludf.DUMMYFUNCTION("""COMPUTED_VALUE"""),"Kuas Eterna 2")</f>
        <v>Kuas Eterna 2</v>
      </c>
      <c r="F2140" s="6">
        <f>IFERROR(__xludf.DUMMYFUNCTION("""COMPUTED_VALUE"""),10.0)</f>
        <v>10</v>
      </c>
      <c r="G2140" s="6" t="str">
        <f>IFERROR(__xludf.DUMMYFUNCTION("""COMPUTED_VALUE"""),"Pieces")</f>
        <v>Pieces</v>
      </c>
      <c r="H2140" s="6" t="str">
        <f>IFERROR(__xludf.DUMMYFUNCTION("""COMPUTED_VALUE"""),"IDR")</f>
        <v>IDR</v>
      </c>
      <c r="I2140" s="11">
        <f>IFERROR(__xludf.DUMMYFUNCTION("""COMPUTED_VALUE"""),11000.0)</f>
        <v>11000</v>
      </c>
      <c r="J2140" s="11">
        <f>IFERROR(__xludf.DUMMYFUNCTION("""COMPUTED_VALUE"""),110000.0)</f>
        <v>110000</v>
      </c>
      <c r="K2140" s="57">
        <f>IFERROR(__xludf.DUMMYFUNCTION("""COMPUTED_VALUE"""),44918.0)</f>
        <v>44918</v>
      </c>
      <c r="L2140" s="6" t="str">
        <f>IFERROR(__xludf.DUMMYFUNCTION("""COMPUTED_VALUE"""),"FIP General")</f>
        <v>FIP General</v>
      </c>
      <c r="M2140" s="6" t="str">
        <f>IFERROR(__xludf.DUMMYFUNCTION("""COMPUTED_VALUE"""),"Irwan Sopian")</f>
        <v>Irwan Sopian</v>
      </c>
      <c r="N2140" s="6" t="str">
        <f>IFERROR(__xludf.DUMMYFUNCTION("""COMPUTED_VALUE"""),"FIP Engineering")</f>
        <v>FIP Engineering</v>
      </c>
      <c r="O2140" s="6" t="str">
        <f>IFERROR(__xludf.DUMMYFUNCTION("""COMPUTED_VALUE"""),"FIP-DOM-ENG-51404-0000000-INA-000000")</f>
        <v>FIP-DOM-ENG-51404-0000000-INA-000000</v>
      </c>
      <c r="P2140" s="6" t="str">
        <f>IFERROR(__xludf.DUMMYFUNCTION("""COMPUTED_VALUE"""),"PO Closed")</f>
        <v>PO Closed</v>
      </c>
      <c r="Q2140" s="6" t="str">
        <f>IFERROR(__xludf.DUMMYFUNCTION("""COMPUTED_VALUE"""),"GL2211324")</f>
        <v>GL2211324</v>
      </c>
      <c r="R2140" s="57">
        <f>IFERROR(__xludf.DUMMYFUNCTION("""COMPUTED_VALUE"""),44879.0)</f>
        <v>44879</v>
      </c>
      <c r="S2140" s="57">
        <f>IFERROR(__xludf.DUMMYFUNCTION("""COMPUTED_VALUE"""),44879.0)</f>
        <v>44879</v>
      </c>
      <c r="T2140" s="57">
        <f>IFERROR(__xludf.DUMMYFUNCTION("""COMPUTED_VALUE"""),44911.0)</f>
        <v>44911</v>
      </c>
    </row>
    <row r="2141">
      <c r="A2141" s="6" t="str">
        <f>IFERROR(__xludf.DUMMYFUNCTION("""COMPUTED_VALUE"""),"221750685-4")</f>
        <v>221750685-4</v>
      </c>
      <c r="B2141" s="6" t="str">
        <f>IFERROR(__xludf.DUMMYFUNCTION("""COMPUTED_VALUE"""),"221750685 - Approved")</f>
        <v>221750685 - Approved</v>
      </c>
      <c r="C2141" s="6">
        <f>IFERROR(__xludf.DUMMYFUNCTION("""COMPUTED_VALUE"""),4.0)</f>
        <v>4</v>
      </c>
      <c r="D2141" s="6" t="str">
        <f>IFERROR(__xludf.DUMMYFUNCTION("""COMPUTED_VALUE"""),"P-18240-00")</f>
        <v>P-18240-00</v>
      </c>
      <c r="E2141" s="6" t="str">
        <f>IFERROR(__xludf.DUMMYFUNCTION("""COMPUTED_VALUE"""),"Stang Sealant; ; ;")</f>
        <v>Stang Sealant; ; ;</v>
      </c>
      <c r="F2141" s="6">
        <f>IFERROR(__xludf.DUMMYFUNCTION("""COMPUTED_VALUE"""),2.0)</f>
        <v>2</v>
      </c>
      <c r="G2141" s="6" t="str">
        <f>IFERROR(__xludf.DUMMYFUNCTION("""COMPUTED_VALUE"""),"Pieces")</f>
        <v>Pieces</v>
      </c>
      <c r="H2141" s="6" t="str">
        <f>IFERROR(__xludf.DUMMYFUNCTION("""COMPUTED_VALUE"""),"IDR")</f>
        <v>IDR</v>
      </c>
      <c r="I2141" s="11">
        <f>IFERROR(__xludf.DUMMYFUNCTION("""COMPUTED_VALUE"""),95000.0)</f>
        <v>95000</v>
      </c>
      <c r="J2141" s="11">
        <f>IFERROR(__xludf.DUMMYFUNCTION("""COMPUTED_VALUE"""),190000.0)</f>
        <v>190000</v>
      </c>
      <c r="K2141" s="57">
        <f>IFERROR(__xludf.DUMMYFUNCTION("""COMPUTED_VALUE"""),44918.0)</f>
        <v>44918</v>
      </c>
      <c r="L2141" s="6" t="str">
        <f>IFERROR(__xludf.DUMMYFUNCTION("""COMPUTED_VALUE"""),"FIP General")</f>
        <v>FIP General</v>
      </c>
      <c r="M2141" s="6" t="str">
        <f>IFERROR(__xludf.DUMMYFUNCTION("""COMPUTED_VALUE"""),"Irwan Sopian")</f>
        <v>Irwan Sopian</v>
      </c>
      <c r="N2141" s="6" t="str">
        <f>IFERROR(__xludf.DUMMYFUNCTION("""COMPUTED_VALUE"""),"FIP Engineering")</f>
        <v>FIP Engineering</v>
      </c>
      <c r="O2141" s="6" t="str">
        <f>IFERROR(__xludf.DUMMYFUNCTION("""COMPUTED_VALUE"""),"FIP-DOM-ENG-51502-0000000-INA-000000")</f>
        <v>FIP-DOM-ENG-51502-0000000-INA-000000</v>
      </c>
      <c r="P2141" s="6" t="str">
        <f>IFERROR(__xludf.DUMMYFUNCTION("""COMPUTED_VALUE"""),"PO Closed")</f>
        <v>PO Closed</v>
      </c>
      <c r="Q2141" s="6" t="str">
        <f>IFERROR(__xludf.DUMMYFUNCTION("""COMPUTED_VALUE"""),"GL2212008")</f>
        <v>GL2212008</v>
      </c>
      <c r="R2141" s="57">
        <f>IFERROR(__xludf.DUMMYFUNCTION("""COMPUTED_VALUE"""),44879.0)</f>
        <v>44879</v>
      </c>
      <c r="S2141" s="57">
        <f>IFERROR(__xludf.DUMMYFUNCTION("""COMPUTED_VALUE"""),44879.0)</f>
        <v>44879</v>
      </c>
      <c r="T2141" s="57">
        <f>IFERROR(__xludf.DUMMYFUNCTION("""COMPUTED_VALUE"""),44956.0)</f>
        <v>44956</v>
      </c>
    </row>
    <row r="2142">
      <c r="A2142" s="6" t="str">
        <f>IFERROR(__xludf.DUMMYFUNCTION("""COMPUTED_VALUE"""),"221750686-1")</f>
        <v>221750686-1</v>
      </c>
      <c r="B2142" s="6" t="str">
        <f>IFERROR(__xludf.DUMMYFUNCTION("""COMPUTED_VALUE"""),"221750686 - Approved")</f>
        <v>221750686 - Approved</v>
      </c>
      <c r="C2142" s="6">
        <f>IFERROR(__xludf.DUMMYFUNCTION("""COMPUTED_VALUE"""),1.0)</f>
        <v>1</v>
      </c>
      <c r="D2142" s="6" t="str">
        <f>IFERROR(__xludf.DUMMYFUNCTION("""COMPUTED_VALUE"""),"P-53173-00")</f>
        <v>P-53173-00</v>
      </c>
      <c r="E2142" s="6" t="str">
        <f>IFERROR(__xludf.DUMMYFUNCTION("""COMPUTED_VALUE"""),"Ballast Electronic EB-C 214 TL5, 2x14W; Phillips; ;")</f>
        <v>Ballast Electronic EB-C 214 TL5, 2x14W; Phillips; ;</v>
      </c>
      <c r="F2142" s="6">
        <f>IFERROR(__xludf.DUMMYFUNCTION("""COMPUTED_VALUE"""),10.0)</f>
        <v>10</v>
      </c>
      <c r="G2142" s="6" t="str">
        <f>IFERROR(__xludf.DUMMYFUNCTION("""COMPUTED_VALUE"""),"Pieces")</f>
        <v>Pieces</v>
      </c>
      <c r="H2142" s="6" t="str">
        <f>IFERROR(__xludf.DUMMYFUNCTION("""COMPUTED_VALUE"""),"IDR")</f>
        <v>IDR</v>
      </c>
      <c r="I2142" s="11">
        <f>IFERROR(__xludf.DUMMYFUNCTION("""COMPUTED_VALUE"""),115000.0)</f>
        <v>115000</v>
      </c>
      <c r="J2142" s="11">
        <f>IFERROR(__xludf.DUMMYFUNCTION("""COMPUTED_VALUE"""),1150000.0)</f>
        <v>1150000</v>
      </c>
      <c r="K2142" s="57">
        <f>IFERROR(__xludf.DUMMYFUNCTION("""COMPUTED_VALUE"""),44918.0)</f>
        <v>44918</v>
      </c>
      <c r="L2142" s="6" t="str">
        <f>IFERROR(__xludf.DUMMYFUNCTION("""COMPUTED_VALUE"""),"FIP Engineering")</f>
        <v>FIP Engineering</v>
      </c>
      <c r="M2142" s="6" t="str">
        <f>IFERROR(__xludf.DUMMYFUNCTION("""COMPUTED_VALUE"""),"Irwan Sopian")</f>
        <v>Irwan Sopian</v>
      </c>
      <c r="N2142" s="6" t="str">
        <f>IFERROR(__xludf.DUMMYFUNCTION("""COMPUTED_VALUE"""),"FIP Engineering")</f>
        <v>FIP Engineering</v>
      </c>
      <c r="O2142" s="6" t="str">
        <f>IFERROR(__xludf.DUMMYFUNCTION("""COMPUTED_VALUE"""),"FIP-DOM-000-11304-OS00001-INA-000000")</f>
        <v>FIP-DOM-000-11304-OS00001-INA-000000</v>
      </c>
      <c r="P2142" s="6" t="str">
        <f>IFERROR(__xludf.DUMMYFUNCTION("""COMPUTED_VALUE"""),"PO Closed")</f>
        <v>PO Closed</v>
      </c>
      <c r="Q2142" s="6" t="str">
        <f>IFERROR(__xludf.DUMMYFUNCTION("""COMPUTED_VALUE"""),"GL2212008")</f>
        <v>GL2212008</v>
      </c>
      <c r="R2142" s="57">
        <f>IFERROR(__xludf.DUMMYFUNCTION("""COMPUTED_VALUE"""),44879.0)</f>
        <v>44879</v>
      </c>
      <c r="S2142" s="57">
        <f>IFERROR(__xludf.DUMMYFUNCTION("""COMPUTED_VALUE"""),44880.0)</f>
        <v>44880</v>
      </c>
      <c r="T2142" s="57">
        <f>IFERROR(__xludf.DUMMYFUNCTION("""COMPUTED_VALUE"""),44956.0)</f>
        <v>44956</v>
      </c>
    </row>
    <row r="2143">
      <c r="A2143" s="6" t="str">
        <f>IFERROR(__xludf.DUMMYFUNCTION("""COMPUTED_VALUE"""),"221750686-2")</f>
        <v>221750686-2</v>
      </c>
      <c r="B2143" s="6" t="str">
        <f>IFERROR(__xludf.DUMMYFUNCTION("""COMPUTED_VALUE"""),"221750686 - Approved")</f>
        <v>221750686 - Approved</v>
      </c>
      <c r="C2143" s="6">
        <f>IFERROR(__xludf.DUMMYFUNCTION("""COMPUTED_VALUE"""),2.0)</f>
        <v>2</v>
      </c>
      <c r="D2143" s="6" t="str">
        <f>IFERROR(__xludf.DUMMYFUNCTION("""COMPUTED_VALUE"""),"P-53169-00")</f>
        <v>P-53169-00</v>
      </c>
      <c r="E2143" s="6" t="str">
        <f>IFERROR(__xludf.DUMMYFUNCTION("""COMPUTED_VALUE"""),"Ballast Electronic EB-C 228 TL5, 2x28W; Phillips; ;")</f>
        <v>Ballast Electronic EB-C 228 TL5, 2x28W; Phillips; ;</v>
      </c>
      <c r="F2143" s="6">
        <f>IFERROR(__xludf.DUMMYFUNCTION("""COMPUTED_VALUE"""),1.0)</f>
        <v>1</v>
      </c>
      <c r="G2143" s="6" t="str">
        <f>IFERROR(__xludf.DUMMYFUNCTION("""COMPUTED_VALUE"""),"Pieces")</f>
        <v>Pieces</v>
      </c>
      <c r="H2143" s="6" t="str">
        <f>IFERROR(__xludf.DUMMYFUNCTION("""COMPUTED_VALUE"""),"IDR")</f>
        <v>IDR</v>
      </c>
      <c r="I2143" s="11">
        <f>IFERROR(__xludf.DUMMYFUNCTION("""COMPUTED_VALUE"""),115000.0)</f>
        <v>115000</v>
      </c>
      <c r="J2143" s="11">
        <f>IFERROR(__xludf.DUMMYFUNCTION("""COMPUTED_VALUE"""),115000.0)</f>
        <v>115000</v>
      </c>
      <c r="K2143" s="57">
        <f>IFERROR(__xludf.DUMMYFUNCTION("""COMPUTED_VALUE"""),44918.0)</f>
        <v>44918</v>
      </c>
      <c r="L2143" s="6" t="str">
        <f>IFERROR(__xludf.DUMMYFUNCTION("""COMPUTED_VALUE"""),"FIP Engineering")</f>
        <v>FIP Engineering</v>
      </c>
      <c r="M2143" s="6" t="str">
        <f>IFERROR(__xludf.DUMMYFUNCTION("""COMPUTED_VALUE"""),"Irwan Sopian")</f>
        <v>Irwan Sopian</v>
      </c>
      <c r="N2143" s="6" t="str">
        <f>IFERROR(__xludf.DUMMYFUNCTION("""COMPUTED_VALUE"""),"FIP Engineering")</f>
        <v>FIP Engineering</v>
      </c>
      <c r="O2143" s="6" t="str">
        <f>IFERROR(__xludf.DUMMYFUNCTION("""COMPUTED_VALUE"""),"FIP-DOM-000-11304-OS00001-INA-000000")</f>
        <v>FIP-DOM-000-11304-OS00001-INA-000000</v>
      </c>
      <c r="P2143" s="6" t="str">
        <f>IFERROR(__xludf.DUMMYFUNCTION("""COMPUTED_VALUE"""),"PO Closed")</f>
        <v>PO Closed</v>
      </c>
      <c r="Q2143" s="6" t="str">
        <f>IFERROR(__xludf.DUMMYFUNCTION("""COMPUTED_VALUE"""),"GL2212008")</f>
        <v>GL2212008</v>
      </c>
      <c r="R2143" s="57">
        <f>IFERROR(__xludf.DUMMYFUNCTION("""COMPUTED_VALUE"""),44879.0)</f>
        <v>44879</v>
      </c>
      <c r="S2143" s="57">
        <f>IFERROR(__xludf.DUMMYFUNCTION("""COMPUTED_VALUE"""),44880.0)</f>
        <v>44880</v>
      </c>
      <c r="T2143" s="57">
        <f>IFERROR(__xludf.DUMMYFUNCTION("""COMPUTED_VALUE"""),44956.0)</f>
        <v>44956</v>
      </c>
    </row>
    <row r="2144">
      <c r="A2144" s="6" t="str">
        <f>IFERROR(__xludf.DUMMYFUNCTION("""COMPUTED_VALUE"""),"221750686-3")</f>
        <v>221750686-3</v>
      </c>
      <c r="B2144" s="6" t="str">
        <f>IFERROR(__xludf.DUMMYFUNCTION("""COMPUTED_VALUE"""),"221750686 - Approved")</f>
        <v>221750686 - Approved</v>
      </c>
      <c r="C2144" s="6">
        <f>IFERROR(__xludf.DUMMYFUNCTION("""COMPUTED_VALUE"""),3.0)</f>
        <v>3</v>
      </c>
      <c r="D2144" s="6" t="str">
        <f>IFERROR(__xludf.DUMMYFUNCTION("""COMPUTED_VALUE"""),"Q-10154-00")</f>
        <v>Q-10154-00</v>
      </c>
      <c r="E2144" s="6" t="str">
        <f>IFERROR(__xludf.DUMMYFUNCTION("""COMPUTED_VALUE"""),"Roller cat 230mm")</f>
        <v>Roller cat 230mm</v>
      </c>
      <c r="F2144" s="6">
        <f>IFERROR(__xludf.DUMMYFUNCTION("""COMPUTED_VALUE"""),15.0)</f>
        <v>15</v>
      </c>
      <c r="G2144" s="6" t="str">
        <f>IFERROR(__xludf.DUMMYFUNCTION("""COMPUTED_VALUE"""),"Pieces")</f>
        <v>Pieces</v>
      </c>
      <c r="H2144" s="6" t="str">
        <f>IFERROR(__xludf.DUMMYFUNCTION("""COMPUTED_VALUE"""),"IDR")</f>
        <v>IDR</v>
      </c>
      <c r="I2144" s="11">
        <f>IFERROR(__xludf.DUMMYFUNCTION("""COMPUTED_VALUE"""),55000.0)</f>
        <v>55000</v>
      </c>
      <c r="J2144" s="11">
        <f>IFERROR(__xludf.DUMMYFUNCTION("""COMPUTED_VALUE"""),825000.0)</f>
        <v>825000</v>
      </c>
      <c r="K2144" s="57">
        <f>IFERROR(__xludf.DUMMYFUNCTION("""COMPUTED_VALUE"""),44918.0)</f>
        <v>44918</v>
      </c>
      <c r="L2144" s="6" t="str">
        <f>IFERROR(__xludf.DUMMYFUNCTION("""COMPUTED_VALUE"""),"FIP Engineering")</f>
        <v>FIP Engineering</v>
      </c>
      <c r="M2144" s="6" t="str">
        <f>IFERROR(__xludf.DUMMYFUNCTION("""COMPUTED_VALUE"""),"Irwan Sopian")</f>
        <v>Irwan Sopian</v>
      </c>
      <c r="N2144" s="6" t="str">
        <f>IFERROR(__xludf.DUMMYFUNCTION("""COMPUTED_VALUE"""),"FIP Engineering")</f>
        <v>FIP Engineering</v>
      </c>
      <c r="O2144" s="6" t="str">
        <f>IFERROR(__xludf.DUMMYFUNCTION("""COMPUTED_VALUE"""),"FIP-DOM-000-11304-OS00001-INA-000000")</f>
        <v>FIP-DOM-000-11304-OS00001-INA-000000</v>
      </c>
      <c r="P2144" s="6" t="str">
        <f>IFERROR(__xludf.DUMMYFUNCTION("""COMPUTED_VALUE"""),"PO Closed")</f>
        <v>PO Closed</v>
      </c>
      <c r="Q2144" s="6" t="str">
        <f>IFERROR(__xludf.DUMMYFUNCTION("""COMPUTED_VALUE"""),"GL2211324")</f>
        <v>GL2211324</v>
      </c>
      <c r="R2144" s="57">
        <f>IFERROR(__xludf.DUMMYFUNCTION("""COMPUTED_VALUE"""),44879.0)</f>
        <v>44879</v>
      </c>
      <c r="S2144" s="57">
        <f>IFERROR(__xludf.DUMMYFUNCTION("""COMPUTED_VALUE"""),44880.0)</f>
        <v>44880</v>
      </c>
      <c r="T2144" s="57">
        <f>IFERROR(__xludf.DUMMYFUNCTION("""COMPUTED_VALUE"""),44918.0)</f>
        <v>44918</v>
      </c>
    </row>
    <row r="2145">
      <c r="A2145" s="6" t="str">
        <f>IFERROR(__xludf.DUMMYFUNCTION("""COMPUTED_VALUE"""),"221750686-4")</f>
        <v>221750686-4</v>
      </c>
      <c r="B2145" s="6" t="str">
        <f>IFERROR(__xludf.DUMMYFUNCTION("""COMPUTED_VALUE"""),"221750686 - Approved")</f>
        <v>221750686 - Approved</v>
      </c>
      <c r="C2145" s="6">
        <f>IFERROR(__xludf.DUMMYFUNCTION("""COMPUTED_VALUE"""),4.0)</f>
        <v>4</v>
      </c>
      <c r="D2145" s="6" t="str">
        <f>IFERROR(__xludf.DUMMYFUNCTION("""COMPUTED_VALUE"""),"Q-10153-00")</f>
        <v>Q-10153-00</v>
      </c>
      <c r="E2145" s="6" t="str">
        <f>IFERROR(__xludf.DUMMYFUNCTION("""COMPUTED_VALUE"""),"Roller cat 110mm")</f>
        <v>Roller cat 110mm</v>
      </c>
      <c r="F2145" s="6">
        <f>IFERROR(__xludf.DUMMYFUNCTION("""COMPUTED_VALUE"""),15.0)</f>
        <v>15</v>
      </c>
      <c r="G2145" s="6" t="str">
        <f>IFERROR(__xludf.DUMMYFUNCTION("""COMPUTED_VALUE"""),"Pieces")</f>
        <v>Pieces</v>
      </c>
      <c r="H2145" s="6" t="str">
        <f>IFERROR(__xludf.DUMMYFUNCTION("""COMPUTED_VALUE"""),"IDR")</f>
        <v>IDR</v>
      </c>
      <c r="I2145" s="11">
        <f>IFERROR(__xludf.DUMMYFUNCTION("""COMPUTED_VALUE"""),12500.0)</f>
        <v>12500</v>
      </c>
      <c r="J2145" s="11">
        <f>IFERROR(__xludf.DUMMYFUNCTION("""COMPUTED_VALUE"""),187500.0)</f>
        <v>187500</v>
      </c>
      <c r="K2145" s="57">
        <f>IFERROR(__xludf.DUMMYFUNCTION("""COMPUTED_VALUE"""),44918.0)</f>
        <v>44918</v>
      </c>
      <c r="L2145" s="6" t="str">
        <f>IFERROR(__xludf.DUMMYFUNCTION("""COMPUTED_VALUE"""),"FIP Engineering")</f>
        <v>FIP Engineering</v>
      </c>
      <c r="M2145" s="6" t="str">
        <f>IFERROR(__xludf.DUMMYFUNCTION("""COMPUTED_VALUE"""),"Irwan Sopian")</f>
        <v>Irwan Sopian</v>
      </c>
      <c r="N2145" s="6" t="str">
        <f>IFERROR(__xludf.DUMMYFUNCTION("""COMPUTED_VALUE"""),"FIP Engineering")</f>
        <v>FIP Engineering</v>
      </c>
      <c r="O2145" s="6" t="str">
        <f>IFERROR(__xludf.DUMMYFUNCTION("""COMPUTED_VALUE"""),"FIP-DOM-000-11304-OS00001-INA-000000")</f>
        <v>FIP-DOM-000-11304-OS00001-INA-000000</v>
      </c>
      <c r="P2145" s="6" t="str">
        <f>IFERROR(__xludf.DUMMYFUNCTION("""COMPUTED_VALUE"""),"PO Closed")</f>
        <v>PO Closed</v>
      </c>
      <c r="Q2145" s="6" t="str">
        <f>IFERROR(__xludf.DUMMYFUNCTION("""COMPUTED_VALUE"""),"GL2211324")</f>
        <v>GL2211324</v>
      </c>
      <c r="R2145" s="57">
        <f>IFERROR(__xludf.DUMMYFUNCTION("""COMPUTED_VALUE"""),44879.0)</f>
        <v>44879</v>
      </c>
      <c r="S2145" s="57">
        <f>IFERROR(__xludf.DUMMYFUNCTION("""COMPUTED_VALUE"""),44880.0)</f>
        <v>44880</v>
      </c>
      <c r="T2145" s="57">
        <f>IFERROR(__xludf.DUMMYFUNCTION("""COMPUTED_VALUE"""),44918.0)</f>
        <v>44918</v>
      </c>
    </row>
    <row r="2146">
      <c r="A2146" s="6" t="str">
        <f>IFERROR(__xludf.DUMMYFUNCTION("""COMPUTED_VALUE"""),"221750686-5")</f>
        <v>221750686-5</v>
      </c>
      <c r="B2146" s="6" t="str">
        <f>IFERROR(__xludf.DUMMYFUNCTION("""COMPUTED_VALUE"""),"221750686 - Approved")</f>
        <v>221750686 - Approved</v>
      </c>
      <c r="C2146" s="6">
        <f>IFERROR(__xludf.DUMMYFUNCTION("""COMPUTED_VALUE"""),5.0)</f>
        <v>5</v>
      </c>
      <c r="D2146" s="6" t="str">
        <f>IFERROR(__xludf.DUMMYFUNCTION("""COMPUTED_VALUE"""),"Q-60003-00")</f>
        <v>Q-60003-00</v>
      </c>
      <c r="E2146" s="6" t="str">
        <f>IFERROR(__xludf.DUMMYFUNCTION("""COMPUTED_VALUE"""),"Plakband Kertas")</f>
        <v>Plakband Kertas</v>
      </c>
      <c r="F2146" s="6">
        <f>IFERROR(__xludf.DUMMYFUNCTION("""COMPUTED_VALUE"""),20.0)</f>
        <v>20</v>
      </c>
      <c r="G2146" s="6" t="str">
        <f>IFERROR(__xludf.DUMMYFUNCTION("""COMPUTED_VALUE"""),"Roll")</f>
        <v>Roll</v>
      </c>
      <c r="H2146" s="6" t="str">
        <f>IFERROR(__xludf.DUMMYFUNCTION("""COMPUTED_VALUE"""),"IDR")</f>
        <v>IDR</v>
      </c>
      <c r="I2146" s="11">
        <f>IFERROR(__xludf.DUMMYFUNCTION("""COMPUTED_VALUE"""),5000.0)</f>
        <v>5000</v>
      </c>
      <c r="J2146" s="11">
        <f>IFERROR(__xludf.DUMMYFUNCTION("""COMPUTED_VALUE"""),100000.0)</f>
        <v>100000</v>
      </c>
      <c r="K2146" s="57">
        <f>IFERROR(__xludf.DUMMYFUNCTION("""COMPUTED_VALUE"""),44918.0)</f>
        <v>44918</v>
      </c>
      <c r="L2146" s="6" t="str">
        <f>IFERROR(__xludf.DUMMYFUNCTION("""COMPUTED_VALUE"""),"FIP Engineering")</f>
        <v>FIP Engineering</v>
      </c>
      <c r="M2146" s="6" t="str">
        <f>IFERROR(__xludf.DUMMYFUNCTION("""COMPUTED_VALUE"""),"Irwan Sopian")</f>
        <v>Irwan Sopian</v>
      </c>
      <c r="N2146" s="6" t="str">
        <f>IFERROR(__xludf.DUMMYFUNCTION("""COMPUTED_VALUE"""),"FIP Engineering")</f>
        <v>FIP Engineering</v>
      </c>
      <c r="O2146" s="6" t="str">
        <f>IFERROR(__xludf.DUMMYFUNCTION("""COMPUTED_VALUE"""),"FIP-DOM-000-11304-OS00001-INA-000000")</f>
        <v>FIP-DOM-000-11304-OS00001-INA-000000</v>
      </c>
      <c r="P2146" s="6" t="str">
        <f>IFERROR(__xludf.DUMMYFUNCTION("""COMPUTED_VALUE"""),"PO Closed")</f>
        <v>PO Closed</v>
      </c>
      <c r="Q2146" s="6" t="str">
        <f>IFERROR(__xludf.DUMMYFUNCTION("""COMPUTED_VALUE"""),"GL2211324")</f>
        <v>GL2211324</v>
      </c>
      <c r="R2146" s="57">
        <f>IFERROR(__xludf.DUMMYFUNCTION("""COMPUTED_VALUE"""),44879.0)</f>
        <v>44879</v>
      </c>
      <c r="S2146" s="57">
        <f>IFERROR(__xludf.DUMMYFUNCTION("""COMPUTED_VALUE"""),44880.0)</f>
        <v>44880</v>
      </c>
      <c r="T2146" s="57">
        <f>IFERROR(__xludf.DUMMYFUNCTION("""COMPUTED_VALUE"""),44918.0)</f>
        <v>44918</v>
      </c>
    </row>
    <row r="2147">
      <c r="A2147" s="6" t="str">
        <f>IFERROR(__xludf.DUMMYFUNCTION("""COMPUTED_VALUE"""),"221750686-6")</f>
        <v>221750686-6</v>
      </c>
      <c r="B2147" s="6" t="str">
        <f>IFERROR(__xludf.DUMMYFUNCTION("""COMPUTED_VALUE"""),"221750686 - Approved")</f>
        <v>221750686 - Approved</v>
      </c>
      <c r="C2147" s="6">
        <f>IFERROR(__xludf.DUMMYFUNCTION("""COMPUTED_VALUE"""),6.0)</f>
        <v>6</v>
      </c>
      <c r="D2147" s="6" t="str">
        <f>IFERROR(__xludf.DUMMYFUNCTION("""COMPUTED_VALUE"""),"P-15390-00")</f>
        <v>P-15390-00</v>
      </c>
      <c r="E2147" s="6" t="str">
        <f>IFERROR(__xludf.DUMMYFUNCTION("""COMPUTED_VALUE"""),"Roda PU (Poliurethane) Uk. 4 inch; ; ;")</f>
        <v>Roda PU (Poliurethane) Uk. 4 inch; ; ;</v>
      </c>
      <c r="F2147" s="6">
        <f>IFERROR(__xludf.DUMMYFUNCTION("""COMPUTED_VALUE"""),4.0)</f>
        <v>4</v>
      </c>
      <c r="G2147" s="6" t="str">
        <f>IFERROR(__xludf.DUMMYFUNCTION("""COMPUTED_VALUE"""),"Pieces")</f>
        <v>Pieces</v>
      </c>
      <c r="H2147" s="6" t="str">
        <f>IFERROR(__xludf.DUMMYFUNCTION("""COMPUTED_VALUE"""),"IDR")</f>
        <v>IDR</v>
      </c>
      <c r="I2147" s="11">
        <f>IFERROR(__xludf.DUMMYFUNCTION("""COMPUTED_VALUE"""),125000.0)</f>
        <v>125000</v>
      </c>
      <c r="J2147" s="11">
        <f>IFERROR(__xludf.DUMMYFUNCTION("""COMPUTED_VALUE"""),500000.0)</f>
        <v>500000</v>
      </c>
      <c r="K2147" s="57">
        <f>IFERROR(__xludf.DUMMYFUNCTION("""COMPUTED_VALUE"""),44918.0)</f>
        <v>44918</v>
      </c>
      <c r="L2147" s="6" t="str">
        <f>IFERROR(__xludf.DUMMYFUNCTION("""COMPUTED_VALUE"""),"FIP Engineering")</f>
        <v>FIP Engineering</v>
      </c>
      <c r="M2147" s="6" t="str">
        <f>IFERROR(__xludf.DUMMYFUNCTION("""COMPUTED_VALUE"""),"Irwan Sopian")</f>
        <v>Irwan Sopian</v>
      </c>
      <c r="N2147" s="6" t="str">
        <f>IFERROR(__xludf.DUMMYFUNCTION("""COMPUTED_VALUE"""),"FIP Engineering")</f>
        <v>FIP Engineering</v>
      </c>
      <c r="O2147" s="6" t="str">
        <f>IFERROR(__xludf.DUMMYFUNCTION("""COMPUTED_VALUE"""),"FIP-DOM-000-11304-OS00001-INA-000000")</f>
        <v>FIP-DOM-000-11304-OS00001-INA-000000</v>
      </c>
      <c r="P2147" s="6" t="str">
        <f>IFERROR(__xludf.DUMMYFUNCTION("""COMPUTED_VALUE"""),"PO Closed")</f>
        <v>PO Closed</v>
      </c>
      <c r="Q2147" s="6" t="str">
        <f>IFERROR(__xludf.DUMMYFUNCTION("""COMPUTED_VALUE"""),"GL2212008")</f>
        <v>GL2212008</v>
      </c>
      <c r="R2147" s="57">
        <f>IFERROR(__xludf.DUMMYFUNCTION("""COMPUTED_VALUE"""),44879.0)</f>
        <v>44879</v>
      </c>
      <c r="S2147" s="57">
        <f>IFERROR(__xludf.DUMMYFUNCTION("""COMPUTED_VALUE"""),44880.0)</f>
        <v>44880</v>
      </c>
      <c r="T2147" s="57">
        <f>IFERROR(__xludf.DUMMYFUNCTION("""COMPUTED_VALUE"""),44956.0)</f>
        <v>44956</v>
      </c>
    </row>
    <row r="2148">
      <c r="A2148" s="6" t="str">
        <f>IFERROR(__xludf.DUMMYFUNCTION("""COMPUTED_VALUE"""),"221750686-7")</f>
        <v>221750686-7</v>
      </c>
      <c r="B2148" s="6" t="str">
        <f>IFERROR(__xludf.DUMMYFUNCTION("""COMPUTED_VALUE"""),"221750686 - Approved")</f>
        <v>221750686 - Approved</v>
      </c>
      <c r="C2148" s="6">
        <f>IFERROR(__xludf.DUMMYFUNCTION("""COMPUTED_VALUE"""),7.0)</f>
        <v>7</v>
      </c>
      <c r="D2148" s="6" t="str">
        <f>IFERROR(__xludf.DUMMYFUNCTION("""COMPUTED_VALUE"""),"P-52328-00")</f>
        <v>P-52328-00</v>
      </c>
      <c r="E2148" s="6" t="str">
        <f>IFERROR(__xludf.DUMMYFUNCTION("""COMPUTED_VALUE"""),"Fan Panel 9x9x2 CM 12VDC + Adaptor; ; ;")</f>
        <v>Fan Panel 9x9x2 CM 12VDC + Adaptor; ; ;</v>
      </c>
      <c r="F2148" s="6">
        <f>IFERROR(__xludf.DUMMYFUNCTION("""COMPUTED_VALUE"""),2.0)</f>
        <v>2</v>
      </c>
      <c r="G2148" s="6" t="str">
        <f>IFERROR(__xludf.DUMMYFUNCTION("""COMPUTED_VALUE"""),"Pieces")</f>
        <v>Pieces</v>
      </c>
      <c r="H2148" s="6" t="str">
        <f>IFERROR(__xludf.DUMMYFUNCTION("""COMPUTED_VALUE"""),"IDR")</f>
        <v>IDR</v>
      </c>
      <c r="I2148" s="11">
        <f>IFERROR(__xludf.DUMMYFUNCTION("""COMPUTED_VALUE"""),96500.0)</f>
        <v>96500</v>
      </c>
      <c r="J2148" s="11">
        <f>IFERROR(__xludf.DUMMYFUNCTION("""COMPUTED_VALUE"""),193000.0)</f>
        <v>193000</v>
      </c>
      <c r="K2148" s="57">
        <f>IFERROR(__xludf.DUMMYFUNCTION("""COMPUTED_VALUE"""),44918.0)</f>
        <v>44918</v>
      </c>
      <c r="L2148" s="6" t="str">
        <f>IFERROR(__xludf.DUMMYFUNCTION("""COMPUTED_VALUE"""),"FIP Engineering")</f>
        <v>FIP Engineering</v>
      </c>
      <c r="M2148" s="6" t="str">
        <f>IFERROR(__xludf.DUMMYFUNCTION("""COMPUTED_VALUE"""),"Irwan Sopian")</f>
        <v>Irwan Sopian</v>
      </c>
      <c r="N2148" s="6" t="str">
        <f>IFERROR(__xludf.DUMMYFUNCTION("""COMPUTED_VALUE"""),"FIP Engineering")</f>
        <v>FIP Engineering</v>
      </c>
      <c r="O2148" s="6" t="str">
        <f>IFERROR(__xludf.DUMMYFUNCTION("""COMPUTED_VALUE"""),"FIP-DOM-000-11304-OS00001-INA-000000")</f>
        <v>FIP-DOM-000-11304-OS00001-INA-000000</v>
      </c>
      <c r="P2148" s="6" t="str">
        <f>IFERROR(__xludf.DUMMYFUNCTION("""COMPUTED_VALUE"""),"PO Closed")</f>
        <v>PO Closed</v>
      </c>
      <c r="Q2148" s="6" t="str">
        <f>IFERROR(__xludf.DUMMYFUNCTION("""COMPUTED_VALUE"""),"GL2212008")</f>
        <v>GL2212008</v>
      </c>
      <c r="R2148" s="57">
        <f>IFERROR(__xludf.DUMMYFUNCTION("""COMPUTED_VALUE"""),44879.0)</f>
        <v>44879</v>
      </c>
      <c r="S2148" s="57">
        <f>IFERROR(__xludf.DUMMYFUNCTION("""COMPUTED_VALUE"""),44880.0)</f>
        <v>44880</v>
      </c>
      <c r="T2148" s="57">
        <f>IFERROR(__xludf.DUMMYFUNCTION("""COMPUTED_VALUE"""),44956.0)</f>
        <v>44956</v>
      </c>
    </row>
    <row r="2149">
      <c r="A2149" s="6" t="str">
        <f>IFERROR(__xludf.DUMMYFUNCTION("""COMPUTED_VALUE"""),"221750686-8")</f>
        <v>221750686-8</v>
      </c>
      <c r="B2149" s="6" t="str">
        <f>IFERROR(__xludf.DUMMYFUNCTION("""COMPUTED_VALUE"""),"221750686 - Approved")</f>
        <v>221750686 - Approved</v>
      </c>
      <c r="C2149" s="6">
        <f>IFERROR(__xludf.DUMMYFUNCTION("""COMPUTED_VALUE"""),8.0)</f>
        <v>8</v>
      </c>
      <c r="D2149" s="6" t="str">
        <f>IFERROR(__xludf.DUMMYFUNCTION("""COMPUTED_VALUE"""),"P-52519-00")</f>
        <v>P-52519-00</v>
      </c>
      <c r="E2149" s="6" t="str">
        <f>IFERROR(__xludf.DUMMYFUNCTION("""COMPUTED_VALUE"""),"CAPACITOR 3.5 uF, 450V, 2 kutub; ; ;")</f>
        <v>CAPACITOR 3.5 uF, 450V, 2 kutub; ; ;</v>
      </c>
      <c r="F2149" s="6">
        <f>IFERROR(__xludf.DUMMYFUNCTION("""COMPUTED_VALUE"""),3.0)</f>
        <v>3</v>
      </c>
      <c r="G2149" s="6" t="str">
        <f>IFERROR(__xludf.DUMMYFUNCTION("""COMPUTED_VALUE"""),"Pieces")</f>
        <v>Pieces</v>
      </c>
      <c r="H2149" s="6" t="str">
        <f>IFERROR(__xludf.DUMMYFUNCTION("""COMPUTED_VALUE"""),"IDR")</f>
        <v>IDR</v>
      </c>
      <c r="I2149" s="11">
        <f>IFERROR(__xludf.DUMMYFUNCTION("""COMPUTED_VALUE"""),35000.0)</f>
        <v>35000</v>
      </c>
      <c r="J2149" s="11">
        <f>IFERROR(__xludf.DUMMYFUNCTION("""COMPUTED_VALUE"""),105000.0)</f>
        <v>105000</v>
      </c>
      <c r="K2149" s="57">
        <f>IFERROR(__xludf.DUMMYFUNCTION("""COMPUTED_VALUE"""),44918.0)</f>
        <v>44918</v>
      </c>
      <c r="L2149" s="6" t="str">
        <f>IFERROR(__xludf.DUMMYFUNCTION("""COMPUTED_VALUE"""),"FIP Engineering")</f>
        <v>FIP Engineering</v>
      </c>
      <c r="M2149" s="6" t="str">
        <f>IFERROR(__xludf.DUMMYFUNCTION("""COMPUTED_VALUE"""),"Irwan Sopian")</f>
        <v>Irwan Sopian</v>
      </c>
      <c r="N2149" s="6" t="str">
        <f>IFERROR(__xludf.DUMMYFUNCTION("""COMPUTED_VALUE"""),"FIP Engineering")</f>
        <v>FIP Engineering</v>
      </c>
      <c r="O2149" s="6" t="str">
        <f>IFERROR(__xludf.DUMMYFUNCTION("""COMPUTED_VALUE"""),"FIP-DOM-000-11304-OS00001-INA-000000")</f>
        <v>FIP-DOM-000-11304-OS00001-INA-000000</v>
      </c>
      <c r="P2149" s="6" t="str">
        <f>IFERROR(__xludf.DUMMYFUNCTION("""COMPUTED_VALUE"""),"PO Closed")</f>
        <v>PO Closed</v>
      </c>
      <c r="Q2149" s="6" t="str">
        <f>IFERROR(__xludf.DUMMYFUNCTION("""COMPUTED_VALUE"""),"GL2212008")</f>
        <v>GL2212008</v>
      </c>
      <c r="R2149" s="57">
        <f>IFERROR(__xludf.DUMMYFUNCTION("""COMPUTED_VALUE"""),44879.0)</f>
        <v>44879</v>
      </c>
      <c r="S2149" s="57">
        <f>IFERROR(__xludf.DUMMYFUNCTION("""COMPUTED_VALUE"""),44880.0)</f>
        <v>44880</v>
      </c>
      <c r="T2149" s="57">
        <f>IFERROR(__xludf.DUMMYFUNCTION("""COMPUTED_VALUE"""),44956.0)</f>
        <v>44956</v>
      </c>
    </row>
    <row r="2150">
      <c r="A2150" s="6" t="str">
        <f>IFERROR(__xludf.DUMMYFUNCTION("""COMPUTED_VALUE"""),"221750686-9")</f>
        <v>221750686-9</v>
      </c>
      <c r="B2150" s="6" t="str">
        <f>IFERROR(__xludf.DUMMYFUNCTION("""COMPUTED_VALUE"""),"221750686 - Approved")</f>
        <v>221750686 - Approved</v>
      </c>
      <c r="C2150" s="6">
        <f>IFERROR(__xludf.DUMMYFUNCTION("""COMPUTED_VALUE"""),9.0)</f>
        <v>9</v>
      </c>
      <c r="D2150" s="6" t="str">
        <f>IFERROR(__xludf.DUMMYFUNCTION("""COMPUTED_VALUE"""),"P-18358-00")</f>
        <v>P-18358-00</v>
      </c>
      <c r="E2150" s="6" t="str">
        <f>IFERROR(__xludf.DUMMYFUNCTION("""COMPUTED_VALUE"""),"Quick Coupler Air Brush 1/8 inch; ; ;")</f>
        <v>Quick Coupler Air Brush 1/8 inch; ; ;</v>
      </c>
      <c r="F2150" s="6">
        <f>IFERROR(__xludf.DUMMYFUNCTION("""COMPUTED_VALUE"""),2.0)</f>
        <v>2</v>
      </c>
      <c r="G2150" s="6" t="str">
        <f>IFERROR(__xludf.DUMMYFUNCTION("""COMPUTED_VALUE"""),"Pieces")</f>
        <v>Pieces</v>
      </c>
      <c r="H2150" s="6" t="str">
        <f>IFERROR(__xludf.DUMMYFUNCTION("""COMPUTED_VALUE"""),"IDR")</f>
        <v>IDR</v>
      </c>
      <c r="I2150" s="11">
        <f>IFERROR(__xludf.DUMMYFUNCTION("""COMPUTED_VALUE"""),105000.0)</f>
        <v>105000</v>
      </c>
      <c r="J2150" s="11">
        <f>IFERROR(__xludf.DUMMYFUNCTION("""COMPUTED_VALUE"""),210000.0)</f>
        <v>210000</v>
      </c>
      <c r="K2150" s="57">
        <f>IFERROR(__xludf.DUMMYFUNCTION("""COMPUTED_VALUE"""),44918.0)</f>
        <v>44918</v>
      </c>
      <c r="L2150" s="6" t="str">
        <f>IFERROR(__xludf.DUMMYFUNCTION("""COMPUTED_VALUE"""),"FIP Engineering")</f>
        <v>FIP Engineering</v>
      </c>
      <c r="M2150" s="6" t="str">
        <f>IFERROR(__xludf.DUMMYFUNCTION("""COMPUTED_VALUE"""),"Irwan Sopian")</f>
        <v>Irwan Sopian</v>
      </c>
      <c r="N2150" s="6" t="str">
        <f>IFERROR(__xludf.DUMMYFUNCTION("""COMPUTED_VALUE"""),"FIP Engineering")</f>
        <v>FIP Engineering</v>
      </c>
      <c r="O2150" s="6" t="str">
        <f>IFERROR(__xludf.DUMMYFUNCTION("""COMPUTED_VALUE"""),"FIP-DOM-000-11304-OS00001-INA-000000")</f>
        <v>FIP-DOM-000-11304-OS00001-INA-000000</v>
      </c>
      <c r="P2150" s="6" t="str">
        <f>IFERROR(__xludf.DUMMYFUNCTION("""COMPUTED_VALUE"""),"PO Closed")</f>
        <v>PO Closed</v>
      </c>
      <c r="Q2150" s="6" t="str">
        <f>IFERROR(__xludf.DUMMYFUNCTION("""COMPUTED_VALUE"""),"GL2212008")</f>
        <v>GL2212008</v>
      </c>
      <c r="R2150" s="57">
        <f>IFERROR(__xludf.DUMMYFUNCTION("""COMPUTED_VALUE"""),44879.0)</f>
        <v>44879</v>
      </c>
      <c r="S2150" s="57">
        <f>IFERROR(__xludf.DUMMYFUNCTION("""COMPUTED_VALUE"""),44880.0)</f>
        <v>44880</v>
      </c>
      <c r="T2150" s="57">
        <f>IFERROR(__xludf.DUMMYFUNCTION("""COMPUTED_VALUE"""),44956.0)</f>
        <v>44956</v>
      </c>
    </row>
    <row r="2151">
      <c r="A2151" s="6" t="str">
        <f>IFERROR(__xludf.DUMMYFUNCTION("""COMPUTED_VALUE"""),"221750688-1")</f>
        <v>221750688-1</v>
      </c>
      <c r="B2151" s="6" t="str">
        <f>IFERROR(__xludf.DUMMYFUNCTION("""COMPUTED_VALUE"""),"221750688 - Approved")</f>
        <v>221750688 - Approved</v>
      </c>
      <c r="C2151" s="6">
        <f>IFERROR(__xludf.DUMMYFUNCTION("""COMPUTED_VALUE"""),1.0)</f>
        <v>1</v>
      </c>
      <c r="D2151" s="6" t="str">
        <f>IFERROR(__xludf.DUMMYFUNCTION("""COMPUTED_VALUE"""),"S-60002-00")</f>
        <v>S-60002-00</v>
      </c>
      <c r="E2151" s="6" t="str">
        <f>IFERROR(__xludf.DUMMYFUNCTION("""COMPUTED_VALUE"""),"Jasa Perbaikan dan Pemeliharaan Mesin Utility - Pengecatan Gedung dan repair retak dinding Bagian Luar Fonko")</f>
        <v>Jasa Perbaikan dan Pemeliharaan Mesin Utility - Pengecatan Gedung dan repair retak dinding Bagian Luar Fonko</v>
      </c>
      <c r="F2151" s="6">
        <f>IFERROR(__xludf.DUMMYFUNCTION("""COMPUTED_VALUE"""),1.0)</f>
        <v>1</v>
      </c>
      <c r="G2151" s="6" t="str">
        <f>IFERROR(__xludf.DUMMYFUNCTION("""COMPUTED_VALUE"""),"Lot")</f>
        <v>Lot</v>
      </c>
      <c r="H2151" s="6" t="str">
        <f>IFERROR(__xludf.DUMMYFUNCTION("""COMPUTED_VALUE"""),"IDR")</f>
        <v>IDR</v>
      </c>
      <c r="I2151" s="11">
        <f>IFERROR(__xludf.DUMMYFUNCTION("""COMPUTED_VALUE"""),2.34655652E8)</f>
        <v>234655652</v>
      </c>
      <c r="J2151" s="11">
        <f>IFERROR(__xludf.DUMMYFUNCTION("""COMPUTED_VALUE"""),2.34655652E8)</f>
        <v>234655652</v>
      </c>
      <c r="K2151" s="57">
        <f>IFERROR(__xludf.DUMMYFUNCTION("""COMPUTED_VALUE"""),44911.0)</f>
        <v>44911</v>
      </c>
      <c r="L2151" s="6" t="str">
        <f>IFERROR(__xludf.DUMMYFUNCTION("""COMPUTED_VALUE"""),"FIP General")</f>
        <v>FIP General</v>
      </c>
      <c r="M2151" s="6" t="str">
        <f>IFERROR(__xludf.DUMMYFUNCTION("""COMPUTED_VALUE"""),"Irwan Sopian")</f>
        <v>Irwan Sopian</v>
      </c>
      <c r="N2151" s="6" t="str">
        <f>IFERROR(__xludf.DUMMYFUNCTION("""COMPUTED_VALUE"""),"FIP Engineering")</f>
        <v>FIP Engineering</v>
      </c>
      <c r="O2151" s="6" t="str">
        <f>IFERROR(__xludf.DUMMYFUNCTION("""COMPUTED_VALUE"""),"FIP-DOM-ENG-51508-0000000-INA-000000")</f>
        <v>FIP-DOM-ENG-51508-0000000-INA-000000</v>
      </c>
      <c r="P2151" s="6" t="str">
        <f>IFERROR(__xludf.DUMMYFUNCTION("""COMPUTED_VALUE"""),"PO Closed")</f>
        <v>PO Closed</v>
      </c>
      <c r="Q2151" s="6" t="str">
        <f>IFERROR(__xludf.DUMMYFUNCTION("""COMPUTED_VALUE"""),"GL2212001")</f>
        <v>GL2212001</v>
      </c>
      <c r="R2151" s="57">
        <f>IFERROR(__xludf.DUMMYFUNCTION("""COMPUTED_VALUE"""),44879.0)</f>
        <v>44879</v>
      </c>
      <c r="S2151" s="57">
        <f>IFERROR(__xludf.DUMMYFUNCTION("""COMPUTED_VALUE"""),44883.0)</f>
        <v>44883</v>
      </c>
      <c r="T2151" s="57">
        <f>IFERROR(__xludf.DUMMYFUNCTION("""COMPUTED_VALUE"""),44941.0)</f>
        <v>44941</v>
      </c>
    </row>
    <row r="2152">
      <c r="A2152" s="6" t="str">
        <f>IFERROR(__xludf.DUMMYFUNCTION("""COMPUTED_VALUE"""),"221750690-1")</f>
        <v>221750690-1</v>
      </c>
      <c r="B2152" s="6" t="str">
        <f>IFERROR(__xludf.DUMMYFUNCTION("""COMPUTED_VALUE"""),"221750690 - Approved")</f>
        <v>221750690 - Approved</v>
      </c>
      <c r="C2152" s="6">
        <f>IFERROR(__xludf.DUMMYFUNCTION("""COMPUTED_VALUE"""),1.0)</f>
        <v>1</v>
      </c>
      <c r="D2152" s="6" t="str">
        <f>IFERROR(__xludf.DUMMYFUNCTION("""COMPUTED_VALUE"""),"R-71000-00")</f>
        <v>R-71000-00</v>
      </c>
      <c r="E2152" s="6" t="str">
        <f>IFERROR(__xludf.DUMMYFUNCTION("""COMPUTED_VALUE"""),"Building - Renovasi WWTP &amp; Pembuatan Sumpit WWTP")</f>
        <v>Building - Renovasi WWTP &amp; Pembuatan Sumpit WWTP</v>
      </c>
      <c r="F2152" s="6">
        <f>IFERROR(__xludf.DUMMYFUNCTION("""COMPUTED_VALUE"""),1.0)</f>
        <v>1</v>
      </c>
      <c r="G2152" s="6" t="str">
        <f>IFERROR(__xludf.DUMMYFUNCTION("""COMPUTED_VALUE"""),"Unit")</f>
        <v>Unit</v>
      </c>
      <c r="H2152" s="6" t="str">
        <f>IFERROR(__xludf.DUMMYFUNCTION("""COMPUTED_VALUE"""),"IDR")</f>
        <v>IDR</v>
      </c>
      <c r="I2152" s="11">
        <f>IFERROR(__xludf.DUMMYFUNCTION("""COMPUTED_VALUE"""),1.2434877E8)</f>
        <v>124348770</v>
      </c>
      <c r="J2152" s="11">
        <f>IFERROR(__xludf.DUMMYFUNCTION("""COMPUTED_VALUE"""),1.2434877E8)</f>
        <v>124348770</v>
      </c>
      <c r="K2152" s="57">
        <f>IFERROR(__xludf.DUMMYFUNCTION("""COMPUTED_VALUE"""),44897.0)</f>
        <v>44897</v>
      </c>
      <c r="L2152" s="6" t="str">
        <f>IFERROR(__xludf.DUMMYFUNCTION("""COMPUTED_VALUE"""),"FIP General")</f>
        <v>FIP General</v>
      </c>
      <c r="M2152" s="6" t="str">
        <f>IFERROR(__xludf.DUMMYFUNCTION("""COMPUTED_VALUE"""),"Irwan Sopian")</f>
        <v>Irwan Sopian</v>
      </c>
      <c r="N2152" s="6" t="str">
        <f>IFERROR(__xludf.DUMMYFUNCTION("""COMPUTED_VALUE"""),"FIP Engineering")</f>
        <v>FIP Engineering</v>
      </c>
      <c r="O2152" s="6" t="str">
        <f>IFERROR(__xludf.DUMMYFUNCTION("""COMPUTED_VALUE"""),"FIP-DOM-ENG-13402-EQNB228-INA-000000")</f>
        <v>FIP-DOM-ENG-13402-EQNB228-INA-000000</v>
      </c>
      <c r="P2152" s="6" t="str">
        <f>IFERROR(__xludf.DUMMYFUNCTION("""COMPUTED_VALUE"""),"PO Closed")</f>
        <v>PO Closed</v>
      </c>
      <c r="Q2152" s="6" t="str">
        <f>IFERROR(__xludf.DUMMYFUNCTION("""COMPUTED_VALUE"""),"GL2211053")</f>
        <v>GL2211053</v>
      </c>
      <c r="R2152" s="57">
        <f>IFERROR(__xludf.DUMMYFUNCTION("""COMPUTED_VALUE"""),44880.0)</f>
        <v>44880</v>
      </c>
      <c r="S2152" s="57">
        <f>IFERROR(__xludf.DUMMYFUNCTION("""COMPUTED_VALUE"""),44888.0)</f>
        <v>44888</v>
      </c>
      <c r="T2152" s="57">
        <f>IFERROR(__xludf.DUMMYFUNCTION("""COMPUTED_VALUE"""),44932.0)</f>
        <v>44932</v>
      </c>
    </row>
    <row r="2153">
      <c r="A2153" s="6" t="str">
        <f>IFERROR(__xludf.DUMMYFUNCTION("""COMPUTED_VALUE"""),"221750690-2")</f>
        <v>221750690-2</v>
      </c>
      <c r="B2153" s="6" t="str">
        <f>IFERROR(__xludf.DUMMYFUNCTION("""COMPUTED_VALUE"""),"221750690 - Approved")</f>
        <v>221750690 - Approved</v>
      </c>
      <c r="C2153" s="6">
        <f>IFERROR(__xludf.DUMMYFUNCTION("""COMPUTED_VALUE"""),2.0)</f>
        <v>2</v>
      </c>
      <c r="D2153" s="6" t="str">
        <f>IFERROR(__xludf.DUMMYFUNCTION("""COMPUTED_VALUE"""),"R-71000-00")</f>
        <v>R-71000-00</v>
      </c>
      <c r="E2153" s="6" t="str">
        <f>IFERROR(__xludf.DUMMYFUNCTION("""COMPUTED_VALUE"""),"Building - Pembuatan Sumpit Ruang Flammable")</f>
        <v>Building - Pembuatan Sumpit Ruang Flammable</v>
      </c>
      <c r="F2153" s="6">
        <f>IFERROR(__xludf.DUMMYFUNCTION("""COMPUTED_VALUE"""),1.0)</f>
        <v>1</v>
      </c>
      <c r="G2153" s="6" t="str">
        <f>IFERROR(__xludf.DUMMYFUNCTION("""COMPUTED_VALUE"""),"Unit")</f>
        <v>Unit</v>
      </c>
      <c r="H2153" s="6" t="str">
        <f>IFERROR(__xludf.DUMMYFUNCTION("""COMPUTED_VALUE"""),"IDR")</f>
        <v>IDR</v>
      </c>
      <c r="I2153" s="11">
        <f>IFERROR(__xludf.DUMMYFUNCTION("""COMPUTED_VALUE"""),9967500.0)</f>
        <v>9967500</v>
      </c>
      <c r="J2153" s="11">
        <f>IFERROR(__xludf.DUMMYFUNCTION("""COMPUTED_VALUE"""),9967500.0)</f>
        <v>9967500</v>
      </c>
      <c r="K2153" s="57">
        <f>IFERROR(__xludf.DUMMYFUNCTION("""COMPUTED_VALUE"""),44897.0)</f>
        <v>44897</v>
      </c>
      <c r="L2153" s="6" t="str">
        <f>IFERROR(__xludf.DUMMYFUNCTION("""COMPUTED_VALUE"""),"FIP General")</f>
        <v>FIP General</v>
      </c>
      <c r="M2153" s="6" t="str">
        <f>IFERROR(__xludf.DUMMYFUNCTION("""COMPUTED_VALUE"""),"Irwan Sopian")</f>
        <v>Irwan Sopian</v>
      </c>
      <c r="N2153" s="6" t="str">
        <f>IFERROR(__xludf.DUMMYFUNCTION("""COMPUTED_VALUE"""),"FIP Engineering")</f>
        <v>FIP Engineering</v>
      </c>
      <c r="O2153" s="6" t="str">
        <f>IFERROR(__xludf.DUMMYFUNCTION("""COMPUTED_VALUE"""),"FIP-DOM-ENG-13402-EQNB228-INA-000000")</f>
        <v>FIP-DOM-ENG-13402-EQNB228-INA-000000</v>
      </c>
      <c r="P2153" s="6" t="str">
        <f>IFERROR(__xludf.DUMMYFUNCTION("""COMPUTED_VALUE"""),"PO Closed")</f>
        <v>PO Closed</v>
      </c>
      <c r="Q2153" s="6" t="str">
        <f>IFERROR(__xludf.DUMMYFUNCTION("""COMPUTED_VALUE"""),"GL2211053")</f>
        <v>GL2211053</v>
      </c>
      <c r="R2153" s="57">
        <f>IFERROR(__xludf.DUMMYFUNCTION("""COMPUTED_VALUE"""),44880.0)</f>
        <v>44880</v>
      </c>
      <c r="S2153" s="57">
        <f>IFERROR(__xludf.DUMMYFUNCTION("""COMPUTED_VALUE"""),44888.0)</f>
        <v>44888</v>
      </c>
      <c r="T2153" s="57">
        <f>IFERROR(__xludf.DUMMYFUNCTION("""COMPUTED_VALUE"""),44932.0)</f>
        <v>44932</v>
      </c>
    </row>
    <row r="2154">
      <c r="A2154" s="6" t="str">
        <f>IFERROR(__xludf.DUMMYFUNCTION("""COMPUTED_VALUE"""),"221750694-1")</f>
        <v>221750694-1</v>
      </c>
      <c r="B2154" s="6" t="str">
        <f>IFERROR(__xludf.DUMMYFUNCTION("""COMPUTED_VALUE"""),"221750694 - Approved")</f>
        <v>221750694 - Approved</v>
      </c>
      <c r="C2154" s="6">
        <f>IFERROR(__xludf.DUMMYFUNCTION("""COMPUTED_VALUE"""),1.0)</f>
        <v>1</v>
      </c>
      <c r="D2154" s="6" t="str">
        <f>IFERROR(__xludf.DUMMYFUNCTION("""COMPUTED_VALUE"""),"S-60050-00")</f>
        <v>S-60050-00</v>
      </c>
      <c r="E2154" s="6" t="str">
        <f>IFERROR(__xludf.DUMMYFUNCTION("""COMPUTED_VALUE"""),"Jasa Perbaikan dan Pemeliharaan Mesin Produksi; ; ; - Material For Jasa OLI COMPRESSOR VG46")</f>
        <v>Jasa Perbaikan dan Pemeliharaan Mesin Produksi; ; ; - Material For Jasa OLI COMPRESSOR VG46</v>
      </c>
      <c r="F2154" s="6">
        <f>IFERROR(__xludf.DUMMYFUNCTION("""COMPUTED_VALUE"""),1.0)</f>
        <v>1</v>
      </c>
      <c r="G2154" s="6" t="str">
        <f>IFERROR(__xludf.DUMMYFUNCTION("""COMPUTED_VALUE"""),"Pieces")</f>
        <v>Pieces</v>
      </c>
      <c r="H2154" s="6" t="str">
        <f>IFERROR(__xludf.DUMMYFUNCTION("""COMPUTED_VALUE"""),"IDR")</f>
        <v>IDR</v>
      </c>
      <c r="I2154" s="11">
        <f>IFERROR(__xludf.DUMMYFUNCTION("""COMPUTED_VALUE"""),1.15E7)</f>
        <v>11500000</v>
      </c>
      <c r="J2154" s="11">
        <f>IFERROR(__xludf.DUMMYFUNCTION("""COMPUTED_VALUE"""),1.15E7)</f>
        <v>11500000</v>
      </c>
      <c r="K2154" s="57">
        <f>IFERROR(__xludf.DUMMYFUNCTION("""COMPUTED_VALUE"""),44911.0)</f>
        <v>44911</v>
      </c>
      <c r="L2154" s="6" t="str">
        <f>IFERROR(__xludf.DUMMYFUNCTION("""COMPUTED_VALUE"""),"FIP General")</f>
        <v>FIP General</v>
      </c>
      <c r="M2154" s="6" t="str">
        <f>IFERROR(__xludf.DUMMYFUNCTION("""COMPUTED_VALUE"""),"Irwan Sopian")</f>
        <v>Irwan Sopian</v>
      </c>
      <c r="N2154" s="6" t="str">
        <f>IFERROR(__xludf.DUMMYFUNCTION("""COMPUTED_VALUE"""),"FIP Engineering")</f>
        <v>FIP Engineering</v>
      </c>
      <c r="O2154" s="6" t="str">
        <f>IFERROR(__xludf.DUMMYFUNCTION("""COMPUTED_VALUE"""),"FIP-DOM-ENG-51504-0000000-INA-000000")</f>
        <v>FIP-DOM-ENG-51504-0000000-INA-000000</v>
      </c>
      <c r="P2154" s="6" t="str">
        <f>IFERROR(__xludf.DUMMYFUNCTION("""COMPUTED_VALUE"""),"PO Closed")</f>
        <v>PO Closed</v>
      </c>
      <c r="Q2154" s="6" t="str">
        <f>IFERROR(__xludf.DUMMYFUNCTION("""COMPUTED_VALUE"""),"GL2212027")</f>
        <v>GL2212027</v>
      </c>
      <c r="R2154" s="57">
        <f>IFERROR(__xludf.DUMMYFUNCTION("""COMPUTED_VALUE"""),44882.0)</f>
        <v>44882</v>
      </c>
      <c r="S2154" s="57">
        <f>IFERROR(__xludf.DUMMYFUNCTION("""COMPUTED_VALUE"""),44883.0)</f>
        <v>44883</v>
      </c>
      <c r="T2154" s="57">
        <f>IFERROR(__xludf.DUMMYFUNCTION("""COMPUTED_VALUE"""),44934.0)</f>
        <v>44934</v>
      </c>
    </row>
    <row r="2155">
      <c r="A2155" s="6" t="str">
        <f>IFERROR(__xludf.DUMMYFUNCTION("""COMPUTED_VALUE"""),"221750694-2")</f>
        <v>221750694-2</v>
      </c>
      <c r="B2155" s="6" t="str">
        <f>IFERROR(__xludf.DUMMYFUNCTION("""COMPUTED_VALUE"""),"221750694 - Approved")</f>
        <v>221750694 - Approved</v>
      </c>
      <c r="C2155" s="6">
        <f>IFERROR(__xludf.DUMMYFUNCTION("""COMPUTED_VALUE"""),2.0)</f>
        <v>2</v>
      </c>
      <c r="D2155" s="6" t="str">
        <f>IFERROR(__xludf.DUMMYFUNCTION("""COMPUTED_VALUE"""),"S-60050-00")</f>
        <v>S-60050-00</v>
      </c>
      <c r="E2155" s="6" t="str">
        <f>IFERROR(__xludf.DUMMYFUNCTION("""COMPUTED_VALUE"""),"Jasa Perbaikan dan Pemeliharaan Mesin Produksi; ; ; - Material For Jasa FREON R507")</f>
        <v>Jasa Perbaikan dan Pemeliharaan Mesin Produksi; ; ; - Material For Jasa FREON R507</v>
      </c>
      <c r="F2155" s="6">
        <f>IFERROR(__xludf.DUMMYFUNCTION("""COMPUTED_VALUE"""),1.0)</f>
        <v>1</v>
      </c>
      <c r="G2155" s="6" t="str">
        <f>IFERROR(__xludf.DUMMYFUNCTION("""COMPUTED_VALUE"""),"Pieces")</f>
        <v>Pieces</v>
      </c>
      <c r="H2155" s="6" t="str">
        <f>IFERROR(__xludf.DUMMYFUNCTION("""COMPUTED_VALUE"""),"IDR")</f>
        <v>IDR</v>
      </c>
      <c r="I2155" s="11">
        <f>IFERROR(__xludf.DUMMYFUNCTION("""COMPUTED_VALUE"""),2500000.0)</f>
        <v>2500000</v>
      </c>
      <c r="J2155" s="11">
        <f>IFERROR(__xludf.DUMMYFUNCTION("""COMPUTED_VALUE"""),2500000.0)</f>
        <v>2500000</v>
      </c>
      <c r="K2155" s="57">
        <f>IFERROR(__xludf.DUMMYFUNCTION("""COMPUTED_VALUE"""),44911.0)</f>
        <v>44911</v>
      </c>
      <c r="L2155" s="6" t="str">
        <f>IFERROR(__xludf.DUMMYFUNCTION("""COMPUTED_VALUE"""),"FIP General")</f>
        <v>FIP General</v>
      </c>
      <c r="M2155" s="6" t="str">
        <f>IFERROR(__xludf.DUMMYFUNCTION("""COMPUTED_VALUE"""),"Irwan Sopian")</f>
        <v>Irwan Sopian</v>
      </c>
      <c r="N2155" s="6" t="str">
        <f>IFERROR(__xludf.DUMMYFUNCTION("""COMPUTED_VALUE"""),"FIP Engineering")</f>
        <v>FIP Engineering</v>
      </c>
      <c r="O2155" s="6" t="str">
        <f>IFERROR(__xludf.DUMMYFUNCTION("""COMPUTED_VALUE"""),"FIP-DOM-ENG-51504-0000000-INA-000000")</f>
        <v>FIP-DOM-ENG-51504-0000000-INA-000000</v>
      </c>
      <c r="P2155" s="6" t="str">
        <f>IFERROR(__xludf.DUMMYFUNCTION("""COMPUTED_VALUE"""),"PO Closed")</f>
        <v>PO Closed</v>
      </c>
      <c r="Q2155" s="6" t="str">
        <f>IFERROR(__xludf.DUMMYFUNCTION("""COMPUTED_VALUE"""),"GL2212027")</f>
        <v>GL2212027</v>
      </c>
      <c r="R2155" s="57">
        <f>IFERROR(__xludf.DUMMYFUNCTION("""COMPUTED_VALUE"""),44882.0)</f>
        <v>44882</v>
      </c>
      <c r="S2155" s="57">
        <f>IFERROR(__xludf.DUMMYFUNCTION("""COMPUTED_VALUE"""),44883.0)</f>
        <v>44883</v>
      </c>
      <c r="T2155" s="57">
        <f>IFERROR(__xludf.DUMMYFUNCTION("""COMPUTED_VALUE"""),44934.0)</f>
        <v>44934</v>
      </c>
    </row>
    <row r="2156">
      <c r="A2156" s="6" t="str">
        <f>IFERROR(__xludf.DUMMYFUNCTION("""COMPUTED_VALUE"""),"221750694-3")</f>
        <v>221750694-3</v>
      </c>
      <c r="B2156" s="6" t="str">
        <f>IFERROR(__xludf.DUMMYFUNCTION("""COMPUTED_VALUE"""),"221750694 - Approved")</f>
        <v>221750694 - Approved</v>
      </c>
      <c r="C2156" s="6">
        <f>IFERROR(__xludf.DUMMYFUNCTION("""COMPUTED_VALUE"""),3.0)</f>
        <v>3</v>
      </c>
      <c r="D2156" s="6" t="str">
        <f>IFERROR(__xludf.DUMMYFUNCTION("""COMPUTED_VALUE"""),"S-60050-00")</f>
        <v>S-60050-00</v>
      </c>
      <c r="E2156" s="6" t="str">
        <f>IFERROR(__xludf.DUMMYFUNCTION("""COMPUTED_VALUE"""),"Jasa Perbaikan dan Pemeliharaan Mesin Produksi; ; ; - Jasa Kerja")</f>
        <v>Jasa Perbaikan dan Pemeliharaan Mesin Produksi; ; ; - Jasa Kerja</v>
      </c>
      <c r="F2156" s="6">
        <f>IFERROR(__xludf.DUMMYFUNCTION("""COMPUTED_VALUE"""),1.0)</f>
        <v>1</v>
      </c>
      <c r="G2156" s="6" t="str">
        <f>IFERROR(__xludf.DUMMYFUNCTION("""COMPUTED_VALUE"""),"Pieces")</f>
        <v>Pieces</v>
      </c>
      <c r="H2156" s="6" t="str">
        <f>IFERROR(__xludf.DUMMYFUNCTION("""COMPUTED_VALUE"""),"IDR")</f>
        <v>IDR</v>
      </c>
      <c r="I2156" s="11">
        <f>IFERROR(__xludf.DUMMYFUNCTION("""COMPUTED_VALUE"""),2500000.0)</f>
        <v>2500000</v>
      </c>
      <c r="J2156" s="11">
        <f>IFERROR(__xludf.DUMMYFUNCTION("""COMPUTED_VALUE"""),2500000.0)</f>
        <v>2500000</v>
      </c>
      <c r="K2156" s="57">
        <f>IFERROR(__xludf.DUMMYFUNCTION("""COMPUTED_VALUE"""),44911.0)</f>
        <v>44911</v>
      </c>
      <c r="L2156" s="6" t="str">
        <f>IFERROR(__xludf.DUMMYFUNCTION("""COMPUTED_VALUE"""),"FIP General")</f>
        <v>FIP General</v>
      </c>
      <c r="M2156" s="6" t="str">
        <f>IFERROR(__xludf.DUMMYFUNCTION("""COMPUTED_VALUE"""),"Irwan Sopian")</f>
        <v>Irwan Sopian</v>
      </c>
      <c r="N2156" s="6" t="str">
        <f>IFERROR(__xludf.DUMMYFUNCTION("""COMPUTED_VALUE"""),"FIP Engineering")</f>
        <v>FIP Engineering</v>
      </c>
      <c r="O2156" s="6" t="str">
        <f>IFERROR(__xludf.DUMMYFUNCTION("""COMPUTED_VALUE"""),"FIP-DOM-ENG-51504-0000000-INA-000000")</f>
        <v>FIP-DOM-ENG-51504-0000000-INA-000000</v>
      </c>
      <c r="P2156" s="6" t="str">
        <f>IFERROR(__xludf.DUMMYFUNCTION("""COMPUTED_VALUE"""),"PO Closed")</f>
        <v>PO Closed</v>
      </c>
      <c r="Q2156" s="6" t="str">
        <f>IFERROR(__xludf.DUMMYFUNCTION("""COMPUTED_VALUE"""),"GL2212027")</f>
        <v>GL2212027</v>
      </c>
      <c r="R2156" s="57">
        <f>IFERROR(__xludf.DUMMYFUNCTION("""COMPUTED_VALUE"""),44882.0)</f>
        <v>44882</v>
      </c>
      <c r="S2156" s="57">
        <f>IFERROR(__xludf.DUMMYFUNCTION("""COMPUTED_VALUE"""),44883.0)</f>
        <v>44883</v>
      </c>
      <c r="T2156" s="57">
        <f>IFERROR(__xludf.DUMMYFUNCTION("""COMPUTED_VALUE"""),44934.0)</f>
        <v>44934</v>
      </c>
    </row>
    <row r="2157">
      <c r="A2157" s="6" t="str">
        <f>IFERROR(__xludf.DUMMYFUNCTION("""COMPUTED_VALUE"""),"221750697-1")</f>
        <v>221750697-1</v>
      </c>
      <c r="B2157" s="6" t="str">
        <f>IFERROR(__xludf.DUMMYFUNCTION("""COMPUTED_VALUE"""),"221750697 - Approved")</f>
        <v>221750697 - Approved</v>
      </c>
      <c r="C2157" s="6">
        <f>IFERROR(__xludf.DUMMYFUNCTION("""COMPUTED_VALUE"""),1.0)</f>
        <v>1</v>
      </c>
      <c r="D2157" s="6" t="str">
        <f>IFERROR(__xludf.DUMMYFUNCTION("""COMPUTED_VALUE"""),"Q-11000-00")</f>
        <v>Q-11000-00</v>
      </c>
      <c r="E2157" s="6" t="str">
        <f>IFERROR(__xludf.DUMMYFUNCTION("""COMPUTED_VALUE"""),"Jasa Perbaikan Gedung; ; ; - Jasa Perapihan Dinding ,Plafon Locker sepatu &amp; gowning CNC")</f>
        <v>Jasa Perbaikan Gedung; ; ; - Jasa Perapihan Dinding ,Plafon Locker sepatu &amp; gowning CNC</v>
      </c>
      <c r="F2157" s="6">
        <f>IFERROR(__xludf.DUMMYFUNCTION("""COMPUTED_VALUE"""),1.0)</f>
        <v>1</v>
      </c>
      <c r="G2157" s="6" t="str">
        <f>IFERROR(__xludf.DUMMYFUNCTION("""COMPUTED_VALUE"""),"Lot")</f>
        <v>Lot</v>
      </c>
      <c r="H2157" s="6" t="str">
        <f>IFERROR(__xludf.DUMMYFUNCTION("""COMPUTED_VALUE"""),"IDR")</f>
        <v>IDR</v>
      </c>
      <c r="I2157" s="11">
        <f>IFERROR(__xludf.DUMMYFUNCTION("""COMPUTED_VALUE"""),1125000.0)</f>
        <v>1125000</v>
      </c>
      <c r="J2157" s="11">
        <f>IFERROR(__xludf.DUMMYFUNCTION("""COMPUTED_VALUE"""),1125000.0)</f>
        <v>1125000</v>
      </c>
      <c r="K2157" s="57">
        <f>IFERROR(__xludf.DUMMYFUNCTION("""COMPUTED_VALUE"""),44911.0)</f>
        <v>44911</v>
      </c>
      <c r="L2157" s="6" t="str">
        <f>IFERROR(__xludf.DUMMYFUNCTION("""COMPUTED_VALUE"""),"FIP General")</f>
        <v>FIP General</v>
      </c>
      <c r="M2157" s="6" t="str">
        <f>IFERROR(__xludf.DUMMYFUNCTION("""COMPUTED_VALUE"""),"Irwan Sopian")</f>
        <v>Irwan Sopian</v>
      </c>
      <c r="N2157" s="6" t="str">
        <f>IFERROR(__xludf.DUMMYFUNCTION("""COMPUTED_VALUE"""),"FIP Engineering")</f>
        <v>FIP Engineering</v>
      </c>
      <c r="O2157" s="6" t="str">
        <f>IFERROR(__xludf.DUMMYFUNCTION("""COMPUTED_VALUE"""),"FIP-DOM-ENG-51502-0000000-INA-000000")</f>
        <v>FIP-DOM-ENG-51502-0000000-INA-000000</v>
      </c>
      <c r="P2157" s="6" t="str">
        <f>IFERROR(__xludf.DUMMYFUNCTION("""COMPUTED_VALUE"""),"PO Closed")</f>
        <v>PO Closed</v>
      </c>
      <c r="Q2157" s="6" t="str">
        <f>IFERROR(__xludf.DUMMYFUNCTION("""COMPUTED_VALUE"""),"GL2211041")</f>
        <v>GL2211041</v>
      </c>
      <c r="R2157" s="57">
        <f>IFERROR(__xludf.DUMMYFUNCTION("""COMPUTED_VALUE"""),44882.0)</f>
        <v>44882</v>
      </c>
      <c r="S2157" s="57">
        <f>IFERROR(__xludf.DUMMYFUNCTION("""COMPUTED_VALUE"""),44883.0)</f>
        <v>44883</v>
      </c>
      <c r="T2157" s="57">
        <f>IFERROR(__xludf.DUMMYFUNCTION("""COMPUTED_VALUE"""),44904.0)</f>
        <v>44904</v>
      </c>
    </row>
    <row r="2158">
      <c r="A2158" s="6" t="str">
        <f>IFERROR(__xludf.DUMMYFUNCTION("""COMPUTED_VALUE"""),"221750697-2")</f>
        <v>221750697-2</v>
      </c>
      <c r="B2158" s="6" t="str">
        <f>IFERROR(__xludf.DUMMYFUNCTION("""COMPUTED_VALUE"""),"221750697 - Approved")</f>
        <v>221750697 - Approved</v>
      </c>
      <c r="C2158" s="6">
        <f>IFERROR(__xludf.DUMMYFUNCTION("""COMPUTED_VALUE"""),2.0)</f>
        <v>2</v>
      </c>
      <c r="D2158" s="6" t="str">
        <f>IFERROR(__xludf.DUMMYFUNCTION("""COMPUTED_VALUE"""),"Q-11000-00")</f>
        <v>Q-11000-00</v>
      </c>
      <c r="E2158" s="6" t="str">
        <f>IFERROR(__xludf.DUMMYFUNCTION("""COMPUTED_VALUE"""),"Jasa Perbaikan Gedung; ; ; - Jasa Perbaikan &amp; Pengecatan Dinding,Lantai &amp; Plafon kantin dan dry lab")</f>
        <v>Jasa Perbaikan Gedung; ; ; - Jasa Perbaikan &amp; Pengecatan Dinding,Lantai &amp; Plafon kantin dan dry lab</v>
      </c>
      <c r="F2158" s="6">
        <f>IFERROR(__xludf.DUMMYFUNCTION("""COMPUTED_VALUE"""),1.0)</f>
        <v>1</v>
      </c>
      <c r="G2158" s="6" t="str">
        <f>IFERROR(__xludf.DUMMYFUNCTION("""COMPUTED_VALUE"""),"Lot")</f>
        <v>Lot</v>
      </c>
      <c r="H2158" s="6" t="str">
        <f>IFERROR(__xludf.DUMMYFUNCTION("""COMPUTED_VALUE"""),"IDR")</f>
        <v>IDR</v>
      </c>
      <c r="I2158" s="11">
        <f>IFERROR(__xludf.DUMMYFUNCTION("""COMPUTED_VALUE"""),2925000.0)</f>
        <v>2925000</v>
      </c>
      <c r="J2158" s="11">
        <f>IFERROR(__xludf.DUMMYFUNCTION("""COMPUTED_VALUE"""),2925000.0)</f>
        <v>2925000</v>
      </c>
      <c r="K2158" s="57">
        <f>IFERROR(__xludf.DUMMYFUNCTION("""COMPUTED_VALUE"""),44911.0)</f>
        <v>44911</v>
      </c>
      <c r="L2158" s="6" t="str">
        <f>IFERROR(__xludf.DUMMYFUNCTION("""COMPUTED_VALUE"""),"FIP General")</f>
        <v>FIP General</v>
      </c>
      <c r="M2158" s="6" t="str">
        <f>IFERROR(__xludf.DUMMYFUNCTION("""COMPUTED_VALUE"""),"Irwan Sopian")</f>
        <v>Irwan Sopian</v>
      </c>
      <c r="N2158" s="6" t="str">
        <f>IFERROR(__xludf.DUMMYFUNCTION("""COMPUTED_VALUE"""),"FIP Engineering")</f>
        <v>FIP Engineering</v>
      </c>
      <c r="O2158" s="6" t="str">
        <f>IFERROR(__xludf.DUMMYFUNCTION("""COMPUTED_VALUE"""),"FIP-DOM-ENG-51502-0000000-INA-000000")</f>
        <v>FIP-DOM-ENG-51502-0000000-INA-000000</v>
      </c>
      <c r="P2158" s="6" t="str">
        <f>IFERROR(__xludf.DUMMYFUNCTION("""COMPUTED_VALUE"""),"PO Closed")</f>
        <v>PO Closed</v>
      </c>
      <c r="Q2158" s="6" t="str">
        <f>IFERROR(__xludf.DUMMYFUNCTION("""COMPUTED_VALUE"""),"GL2211041")</f>
        <v>GL2211041</v>
      </c>
      <c r="R2158" s="57">
        <f>IFERROR(__xludf.DUMMYFUNCTION("""COMPUTED_VALUE"""),44882.0)</f>
        <v>44882</v>
      </c>
      <c r="S2158" s="57">
        <f>IFERROR(__xludf.DUMMYFUNCTION("""COMPUTED_VALUE"""),44883.0)</f>
        <v>44883</v>
      </c>
      <c r="T2158" s="57">
        <f>IFERROR(__xludf.DUMMYFUNCTION("""COMPUTED_VALUE"""),44904.0)</f>
        <v>44904</v>
      </c>
    </row>
    <row r="2159">
      <c r="A2159" s="6" t="str">
        <f>IFERROR(__xludf.DUMMYFUNCTION("""COMPUTED_VALUE"""),"221750697-3")</f>
        <v>221750697-3</v>
      </c>
      <c r="B2159" s="6" t="str">
        <f>IFERROR(__xludf.DUMMYFUNCTION("""COMPUTED_VALUE"""),"221750697 - Approved")</f>
        <v>221750697 - Approved</v>
      </c>
      <c r="C2159" s="6">
        <f>IFERROR(__xludf.DUMMYFUNCTION("""COMPUTED_VALUE"""),3.0)</f>
        <v>3</v>
      </c>
      <c r="D2159" s="6" t="str">
        <f>IFERROR(__xludf.DUMMYFUNCTION("""COMPUTED_VALUE"""),"Q-11000-00")</f>
        <v>Q-11000-00</v>
      </c>
      <c r="E2159" s="6" t="str">
        <f>IFERROR(__xludf.DUMMYFUNCTION("""COMPUTED_VALUE"""),"Jasa Perbaikan Gedung; ; ; - Jasa Repair Plafon Ruang Meeting Elion")</f>
        <v>Jasa Perbaikan Gedung; ; ; - Jasa Repair Plafon Ruang Meeting Elion</v>
      </c>
      <c r="F2159" s="6">
        <f>IFERROR(__xludf.DUMMYFUNCTION("""COMPUTED_VALUE"""),1.0)</f>
        <v>1</v>
      </c>
      <c r="G2159" s="6" t="str">
        <f>IFERROR(__xludf.DUMMYFUNCTION("""COMPUTED_VALUE"""),"Lot")</f>
        <v>Lot</v>
      </c>
      <c r="H2159" s="6" t="str">
        <f>IFERROR(__xludf.DUMMYFUNCTION("""COMPUTED_VALUE"""),"IDR")</f>
        <v>IDR</v>
      </c>
      <c r="I2159" s="11">
        <f>IFERROR(__xludf.DUMMYFUNCTION("""COMPUTED_VALUE"""),1838600.0)</f>
        <v>1838600</v>
      </c>
      <c r="J2159" s="11">
        <f>IFERROR(__xludf.DUMMYFUNCTION("""COMPUTED_VALUE"""),1838600.0)</f>
        <v>1838600</v>
      </c>
      <c r="K2159" s="57">
        <f>IFERROR(__xludf.DUMMYFUNCTION("""COMPUTED_VALUE"""),44911.0)</f>
        <v>44911</v>
      </c>
      <c r="L2159" s="6" t="str">
        <f>IFERROR(__xludf.DUMMYFUNCTION("""COMPUTED_VALUE"""),"FIP General")</f>
        <v>FIP General</v>
      </c>
      <c r="M2159" s="6" t="str">
        <f>IFERROR(__xludf.DUMMYFUNCTION("""COMPUTED_VALUE"""),"Irwan Sopian")</f>
        <v>Irwan Sopian</v>
      </c>
      <c r="N2159" s="6" t="str">
        <f>IFERROR(__xludf.DUMMYFUNCTION("""COMPUTED_VALUE"""),"FIP Engineering")</f>
        <v>FIP Engineering</v>
      </c>
      <c r="O2159" s="6" t="str">
        <f>IFERROR(__xludf.DUMMYFUNCTION("""COMPUTED_VALUE"""),"FIP-DOM-ENG-51502-0000000-INA-000000")</f>
        <v>FIP-DOM-ENG-51502-0000000-INA-000000</v>
      </c>
      <c r="P2159" s="6" t="str">
        <f>IFERROR(__xludf.DUMMYFUNCTION("""COMPUTED_VALUE"""),"PO Closed")</f>
        <v>PO Closed</v>
      </c>
      <c r="Q2159" s="6" t="str">
        <f>IFERROR(__xludf.DUMMYFUNCTION("""COMPUTED_VALUE"""),"GL2211041")</f>
        <v>GL2211041</v>
      </c>
      <c r="R2159" s="57">
        <f>IFERROR(__xludf.DUMMYFUNCTION("""COMPUTED_VALUE"""),44882.0)</f>
        <v>44882</v>
      </c>
      <c r="S2159" s="57">
        <f>IFERROR(__xludf.DUMMYFUNCTION("""COMPUTED_VALUE"""),44883.0)</f>
        <v>44883</v>
      </c>
      <c r="T2159" s="57">
        <f>IFERROR(__xludf.DUMMYFUNCTION("""COMPUTED_VALUE"""),44904.0)</f>
        <v>44904</v>
      </c>
    </row>
    <row r="2160">
      <c r="A2160" s="6" t="str">
        <f>IFERROR(__xludf.DUMMYFUNCTION("""COMPUTED_VALUE"""),"221750699-1")</f>
        <v>221750699-1</v>
      </c>
      <c r="B2160" s="6" t="str">
        <f>IFERROR(__xludf.DUMMYFUNCTION("""COMPUTED_VALUE"""),"221750699 - Approved")</f>
        <v>221750699 - Approved</v>
      </c>
      <c r="C2160" s="6">
        <f>IFERROR(__xludf.DUMMYFUNCTION("""COMPUTED_VALUE"""),1.0)</f>
        <v>1</v>
      </c>
      <c r="D2160" s="6" t="str">
        <f>IFERROR(__xludf.DUMMYFUNCTION("""COMPUTED_VALUE"""),"Q-11000-00")</f>
        <v>Q-11000-00</v>
      </c>
      <c r="E2160" s="6" t="str">
        <f>IFERROR(__xludf.DUMMYFUNCTION("""COMPUTED_VALUE"""),"Jasa Perbaikan Gedung; ; ; - Modifikasi Pintu Ruang MAL")</f>
        <v>Jasa Perbaikan Gedung; ; ; - Modifikasi Pintu Ruang MAL</v>
      </c>
      <c r="F2160" s="6">
        <f>IFERROR(__xludf.DUMMYFUNCTION("""COMPUTED_VALUE"""),1.0)</f>
        <v>1</v>
      </c>
      <c r="G2160" s="6" t="str">
        <f>IFERROR(__xludf.DUMMYFUNCTION("""COMPUTED_VALUE"""),"Lot")</f>
        <v>Lot</v>
      </c>
      <c r="H2160" s="6" t="str">
        <f>IFERROR(__xludf.DUMMYFUNCTION("""COMPUTED_VALUE"""),"IDR")</f>
        <v>IDR</v>
      </c>
      <c r="I2160" s="11">
        <f>IFERROR(__xludf.DUMMYFUNCTION("""COMPUTED_VALUE"""),4950000.0)</f>
        <v>4950000</v>
      </c>
      <c r="J2160" s="11">
        <f>IFERROR(__xludf.DUMMYFUNCTION("""COMPUTED_VALUE"""),4950000.0)</f>
        <v>4950000</v>
      </c>
      <c r="K2160" s="57">
        <f>IFERROR(__xludf.DUMMYFUNCTION("""COMPUTED_VALUE"""),44911.0)</f>
        <v>44911</v>
      </c>
      <c r="L2160" s="6" t="str">
        <f>IFERROR(__xludf.DUMMYFUNCTION("""COMPUTED_VALUE"""),"FIP General")</f>
        <v>FIP General</v>
      </c>
      <c r="M2160" s="6" t="str">
        <f>IFERROR(__xludf.DUMMYFUNCTION("""COMPUTED_VALUE"""),"Irwan Sopian")</f>
        <v>Irwan Sopian</v>
      </c>
      <c r="N2160" s="6" t="str">
        <f>IFERROR(__xludf.DUMMYFUNCTION("""COMPUTED_VALUE"""),"FIP Engineering")</f>
        <v>FIP Engineering</v>
      </c>
      <c r="O2160" s="6" t="str">
        <f>IFERROR(__xludf.DUMMYFUNCTION("""COMPUTED_VALUE"""),"FIP-DOM-ENG-51502-0000000-INA-000000")</f>
        <v>FIP-DOM-ENG-51502-0000000-INA-000000</v>
      </c>
      <c r="P2160" s="6" t="str">
        <f>IFERROR(__xludf.DUMMYFUNCTION("""COMPUTED_VALUE"""),"PO Closed")</f>
        <v>PO Closed</v>
      </c>
      <c r="Q2160" s="6" t="str">
        <f>IFERROR(__xludf.DUMMYFUNCTION("""COMPUTED_VALUE"""),"GL2212003")</f>
        <v>GL2212003</v>
      </c>
      <c r="R2160" s="57">
        <f>IFERROR(__xludf.DUMMYFUNCTION("""COMPUTED_VALUE"""),44882.0)</f>
        <v>44882</v>
      </c>
      <c r="S2160" s="57">
        <f>IFERROR(__xludf.DUMMYFUNCTION("""COMPUTED_VALUE"""),44883.0)</f>
        <v>44883</v>
      </c>
      <c r="T2160" s="57">
        <f>IFERROR(__xludf.DUMMYFUNCTION("""COMPUTED_VALUE"""),44925.0)</f>
        <v>44925</v>
      </c>
    </row>
    <row r="2161">
      <c r="A2161" s="6" t="str">
        <f>IFERROR(__xludf.DUMMYFUNCTION("""COMPUTED_VALUE"""),"221750709-1")</f>
        <v>221750709-1</v>
      </c>
      <c r="B2161" s="6" t="str">
        <f>IFERROR(__xludf.DUMMYFUNCTION("""COMPUTED_VALUE"""),"221750709 - Approved")</f>
        <v>221750709 - Approved</v>
      </c>
      <c r="C2161" s="6">
        <f>IFERROR(__xludf.DUMMYFUNCTION("""COMPUTED_VALUE"""),1.0)</f>
        <v>1</v>
      </c>
      <c r="D2161" s="6" t="str">
        <f>IFERROR(__xludf.DUMMYFUNCTION("""COMPUTED_VALUE"""),"S-60002-00")</f>
        <v>S-60002-00</v>
      </c>
      <c r="E2161" s="6" t="str">
        <f>IFERROR(__xludf.DUMMYFUNCTION("""COMPUTED_VALUE"""),"Jasa Perbaikan dan Pemeliharaan Mesin Utility - Leak Detector c/w: - Equipment : HLD - Helium Gas: 1 m3 - Standard accessories untuk mesin FD IMA")</f>
        <v>Jasa Perbaikan dan Pemeliharaan Mesin Utility - Leak Detector c/w: - Equipment : HLD - Helium Gas: 1 m3 - Standard accessories untuk mesin FD IMA</v>
      </c>
      <c r="F2161" s="6">
        <f>IFERROR(__xludf.DUMMYFUNCTION("""COMPUTED_VALUE"""),1.0)</f>
        <v>1</v>
      </c>
      <c r="G2161" s="6" t="str">
        <f>IFERROR(__xludf.DUMMYFUNCTION("""COMPUTED_VALUE"""),"Lot")</f>
        <v>Lot</v>
      </c>
      <c r="H2161" s="6" t="str">
        <f>IFERROR(__xludf.DUMMYFUNCTION("""COMPUTED_VALUE"""),"IDR")</f>
        <v>IDR</v>
      </c>
      <c r="I2161" s="11">
        <f>IFERROR(__xludf.DUMMYFUNCTION("""COMPUTED_VALUE"""),1.45E7)</f>
        <v>14500000</v>
      </c>
      <c r="J2161" s="11">
        <f>IFERROR(__xludf.DUMMYFUNCTION("""COMPUTED_VALUE"""),1.45E7)</f>
        <v>14500000</v>
      </c>
      <c r="K2161" s="57">
        <f>IFERROR(__xludf.DUMMYFUNCTION("""COMPUTED_VALUE"""),44911.0)</f>
        <v>44911</v>
      </c>
      <c r="L2161" s="6" t="str">
        <f>IFERROR(__xludf.DUMMYFUNCTION("""COMPUTED_VALUE"""),"FIP General")</f>
        <v>FIP General</v>
      </c>
      <c r="M2161" s="6" t="str">
        <f>IFERROR(__xludf.DUMMYFUNCTION("""COMPUTED_VALUE"""),"Irwan Sopian")</f>
        <v>Irwan Sopian</v>
      </c>
      <c r="N2161" s="6" t="str">
        <f>IFERROR(__xludf.DUMMYFUNCTION("""COMPUTED_VALUE"""),"FIP Engineering")</f>
        <v>FIP Engineering</v>
      </c>
      <c r="O2161" s="6" t="str">
        <f>IFERROR(__xludf.DUMMYFUNCTION("""COMPUTED_VALUE"""),"FIP-DOM-ENG-51508-0000000-INA-000000")</f>
        <v>FIP-DOM-ENG-51508-0000000-INA-000000</v>
      </c>
      <c r="P2161" s="6" t="str">
        <f>IFERROR(__xludf.DUMMYFUNCTION("""COMPUTED_VALUE"""),"PO Closed")</f>
        <v>PO Closed</v>
      </c>
      <c r="Q2161" s="6" t="str">
        <f>IFERROR(__xludf.DUMMYFUNCTION("""COMPUTED_VALUE"""),"GL2212026")</f>
        <v>GL2212026</v>
      </c>
      <c r="R2161" s="57">
        <f>IFERROR(__xludf.DUMMYFUNCTION("""COMPUTED_VALUE"""),44883.0)</f>
        <v>44883</v>
      </c>
      <c r="S2161" s="57">
        <f>IFERROR(__xludf.DUMMYFUNCTION("""COMPUTED_VALUE"""),44908.0)</f>
        <v>44908</v>
      </c>
      <c r="T2161" s="57">
        <f>IFERROR(__xludf.DUMMYFUNCTION("""COMPUTED_VALUE"""),44936.0)</f>
        <v>44936</v>
      </c>
    </row>
    <row r="2162">
      <c r="A2162" s="6" t="str">
        <f>IFERROR(__xludf.DUMMYFUNCTION("""COMPUTED_VALUE"""),"221750712-1")</f>
        <v>221750712-1</v>
      </c>
      <c r="B2162" s="6" t="str">
        <f>IFERROR(__xludf.DUMMYFUNCTION("""COMPUTED_VALUE"""),"221750712 - Approved")</f>
        <v>221750712 - Approved</v>
      </c>
      <c r="C2162" s="6">
        <f>IFERROR(__xludf.DUMMYFUNCTION("""COMPUTED_VALUE"""),1.0)</f>
        <v>1</v>
      </c>
      <c r="D2162" s="6" t="str">
        <f>IFERROR(__xludf.DUMMYFUNCTION("""COMPUTED_VALUE"""),"R-71000-00")</f>
        <v>R-71000-00</v>
      </c>
      <c r="E2162" s="6" t="str">
        <f>IFERROR(__xludf.DUMMYFUNCTION("""COMPUTED_VALUE"""),"Building - Renovasi Toilet CNC")</f>
        <v>Building - Renovasi Toilet CNC</v>
      </c>
      <c r="F2162" s="6">
        <f>IFERROR(__xludf.DUMMYFUNCTION("""COMPUTED_VALUE"""),1.0)</f>
        <v>1</v>
      </c>
      <c r="G2162" s="6" t="str">
        <f>IFERROR(__xludf.DUMMYFUNCTION("""COMPUTED_VALUE"""),"Unit")</f>
        <v>Unit</v>
      </c>
      <c r="H2162" s="6" t="str">
        <f>IFERROR(__xludf.DUMMYFUNCTION("""COMPUTED_VALUE"""),"IDR")</f>
        <v>IDR</v>
      </c>
      <c r="I2162" s="11">
        <f>IFERROR(__xludf.DUMMYFUNCTION("""COMPUTED_VALUE"""),5.19455E7)</f>
        <v>51945500</v>
      </c>
      <c r="J2162" s="11">
        <f>IFERROR(__xludf.DUMMYFUNCTION("""COMPUTED_VALUE"""),5.19455E7)</f>
        <v>51945500</v>
      </c>
      <c r="K2162" s="57">
        <f>IFERROR(__xludf.DUMMYFUNCTION("""COMPUTED_VALUE"""),44911.0)</f>
        <v>44911</v>
      </c>
      <c r="L2162" s="6" t="str">
        <f>IFERROR(__xludf.DUMMYFUNCTION("""COMPUTED_VALUE"""),"FIP General")</f>
        <v>FIP General</v>
      </c>
      <c r="M2162" s="6" t="str">
        <f>IFERROR(__xludf.DUMMYFUNCTION("""COMPUTED_VALUE"""),"Irwan Sopian")</f>
        <v>Irwan Sopian</v>
      </c>
      <c r="N2162" s="6" t="str">
        <f>IFERROR(__xludf.DUMMYFUNCTION("""COMPUTED_VALUE"""),"FIP Engineering")</f>
        <v>FIP Engineering</v>
      </c>
      <c r="O2162" s="6" t="str">
        <f>IFERROR(__xludf.DUMMYFUNCTION("""COMPUTED_VALUE"""),"FIP-DOM-ENG-13402-FRNB221-INA-000000")</f>
        <v>FIP-DOM-ENG-13402-FRNB221-INA-000000</v>
      </c>
      <c r="P2162" s="6" t="str">
        <f>IFERROR(__xludf.DUMMYFUNCTION("""COMPUTED_VALUE"""),"PO Closed")</f>
        <v>PO Closed</v>
      </c>
      <c r="Q2162" s="6" t="str">
        <f>IFERROR(__xludf.DUMMYFUNCTION("""COMPUTED_VALUE"""),"GL2212032")</f>
        <v>GL2212032</v>
      </c>
      <c r="R2162" s="57">
        <f>IFERROR(__xludf.DUMMYFUNCTION("""COMPUTED_VALUE"""),44890.0)</f>
        <v>44890</v>
      </c>
      <c r="S2162" s="57">
        <f>IFERROR(__xludf.DUMMYFUNCTION("""COMPUTED_VALUE"""),44903.0)</f>
        <v>44903</v>
      </c>
      <c r="T2162" s="57">
        <f>IFERROR(__xludf.DUMMYFUNCTION("""COMPUTED_VALUE"""),44929.0)</f>
        <v>44929</v>
      </c>
    </row>
    <row r="2163">
      <c r="A2163" s="6" t="str">
        <f>IFERROR(__xludf.DUMMYFUNCTION("""COMPUTED_VALUE"""),"221750713-1")</f>
        <v>221750713-1</v>
      </c>
      <c r="B2163" s="6" t="str">
        <f>IFERROR(__xludf.DUMMYFUNCTION("""COMPUTED_VALUE"""),"221750713 - Approved")</f>
        <v>221750713 - Approved</v>
      </c>
      <c r="C2163" s="6">
        <f>IFERROR(__xludf.DUMMYFUNCTION("""COMPUTED_VALUE"""),1.0)</f>
        <v>1</v>
      </c>
      <c r="D2163" s="6" t="str">
        <f>IFERROR(__xludf.DUMMYFUNCTION("""COMPUTED_VALUE"""),"R-61000-00")</f>
        <v>R-61000-00</v>
      </c>
      <c r="E2163" s="6" t="str">
        <f>IFERROR(__xludf.DUMMYFUNCTION("""COMPUTED_VALUE"""),"Office Equipments - AC 2 PK Inverter DAIKIN")</f>
        <v>Office Equipments - AC 2 PK Inverter DAIKIN</v>
      </c>
      <c r="F2163" s="6">
        <f>IFERROR(__xludf.DUMMYFUNCTION("""COMPUTED_VALUE"""),1.0)</f>
        <v>1</v>
      </c>
      <c r="G2163" s="6" t="str">
        <f>IFERROR(__xludf.DUMMYFUNCTION("""COMPUTED_VALUE"""),"Unit")</f>
        <v>Unit</v>
      </c>
      <c r="H2163" s="6" t="str">
        <f>IFERROR(__xludf.DUMMYFUNCTION("""COMPUTED_VALUE"""),"IDR")</f>
        <v>IDR</v>
      </c>
      <c r="I2163" s="11">
        <f>IFERROR(__xludf.DUMMYFUNCTION("""COMPUTED_VALUE"""),1.2295E7)</f>
        <v>12295000</v>
      </c>
      <c r="J2163" s="11">
        <f>IFERROR(__xludf.DUMMYFUNCTION("""COMPUTED_VALUE"""),1.2295E7)</f>
        <v>12295000</v>
      </c>
      <c r="K2163" s="57">
        <f>IFERROR(__xludf.DUMMYFUNCTION("""COMPUTED_VALUE"""),44918.0)</f>
        <v>44918</v>
      </c>
      <c r="L2163" s="6" t="str">
        <f>IFERROR(__xludf.DUMMYFUNCTION("""COMPUTED_VALUE"""),"FIP General")</f>
        <v>FIP General</v>
      </c>
      <c r="M2163" s="6" t="str">
        <f>IFERROR(__xludf.DUMMYFUNCTION("""COMPUTED_VALUE"""),"Irwan Sopian")</f>
        <v>Irwan Sopian</v>
      </c>
      <c r="N2163" s="6" t="str">
        <f>IFERROR(__xludf.DUMMYFUNCTION("""COMPUTED_VALUE"""),"FIP Engineering")</f>
        <v>FIP Engineering</v>
      </c>
      <c r="O2163" s="6" t="str">
        <f>IFERROR(__xludf.DUMMYFUNCTION("""COMPUTED_VALUE"""),"FIP-DOM-ENG-13405-EQNB239-INA-000000")</f>
        <v>FIP-DOM-ENG-13405-EQNB239-INA-000000</v>
      </c>
      <c r="P2163" s="6" t="str">
        <f>IFERROR(__xludf.DUMMYFUNCTION("""COMPUTED_VALUE"""),"PO Closed")</f>
        <v>PO Closed</v>
      </c>
      <c r="Q2163" s="6" t="str">
        <f>IFERROR(__xludf.DUMMYFUNCTION("""COMPUTED_VALUE"""),"GL2212009")</f>
        <v>GL2212009</v>
      </c>
      <c r="R2163" s="57">
        <f>IFERROR(__xludf.DUMMYFUNCTION("""COMPUTED_VALUE"""),44890.0)</f>
        <v>44890</v>
      </c>
      <c r="S2163" s="57">
        <f>IFERROR(__xludf.DUMMYFUNCTION("""COMPUTED_VALUE"""),44903.0)</f>
        <v>44903</v>
      </c>
      <c r="T2163" s="57">
        <f>IFERROR(__xludf.DUMMYFUNCTION("""COMPUTED_VALUE"""),44923.0)</f>
        <v>44923</v>
      </c>
    </row>
    <row r="2164">
      <c r="A2164" s="6" t="str">
        <f>IFERROR(__xludf.DUMMYFUNCTION("""COMPUTED_VALUE"""),"221750714-1")</f>
        <v>221750714-1</v>
      </c>
      <c r="B2164" s="6" t="str">
        <f>IFERROR(__xludf.DUMMYFUNCTION("""COMPUTED_VALUE"""),"221750714 - Approved")</f>
        <v>221750714 - Approved</v>
      </c>
      <c r="C2164" s="6">
        <f>IFERROR(__xludf.DUMMYFUNCTION("""COMPUTED_VALUE"""),1.0)</f>
        <v>1</v>
      </c>
      <c r="D2164" s="6" t="str">
        <f>IFERROR(__xludf.DUMMYFUNCTION("""COMPUTED_VALUE"""),"P-15938-00")</f>
        <v>P-15938-00</v>
      </c>
      <c r="E2164" s="6" t="str">
        <f>IFERROR(__xludf.DUMMYFUNCTION("""COMPUTED_VALUE"""),"Water Hardness Test Kit; ; ;")</f>
        <v>Water Hardness Test Kit; ; ;</v>
      </c>
      <c r="F2164" s="6">
        <f>IFERROR(__xludf.DUMMYFUNCTION("""COMPUTED_VALUE"""),2.0)</f>
        <v>2</v>
      </c>
      <c r="G2164" s="6" t="str">
        <f>IFERROR(__xludf.DUMMYFUNCTION("""COMPUTED_VALUE"""),"Box")</f>
        <v>Box</v>
      </c>
      <c r="H2164" s="6" t="str">
        <f>IFERROR(__xludf.DUMMYFUNCTION("""COMPUTED_VALUE"""),"IDR")</f>
        <v>IDR</v>
      </c>
      <c r="I2164" s="11">
        <f>IFERROR(__xludf.DUMMYFUNCTION("""COMPUTED_VALUE"""),273500.0)</f>
        <v>273500</v>
      </c>
      <c r="J2164" s="11">
        <f>IFERROR(__xludf.DUMMYFUNCTION("""COMPUTED_VALUE"""),547000.0)</f>
        <v>547000</v>
      </c>
      <c r="K2164" s="57">
        <f>IFERROR(__xludf.DUMMYFUNCTION("""COMPUTED_VALUE"""),44907.0)</f>
        <v>44907</v>
      </c>
      <c r="L2164" s="6" t="str">
        <f>IFERROR(__xludf.DUMMYFUNCTION("""COMPUTED_VALUE"""),"FIP General")</f>
        <v>FIP General</v>
      </c>
      <c r="M2164" s="6" t="str">
        <f>IFERROR(__xludf.DUMMYFUNCTION("""COMPUTED_VALUE"""),"Irwan Sopian")</f>
        <v>Irwan Sopian</v>
      </c>
      <c r="N2164" s="6" t="str">
        <f>IFERROR(__xludf.DUMMYFUNCTION("""COMPUTED_VALUE"""),"FIP Engineering")</f>
        <v>FIP Engineering</v>
      </c>
      <c r="O2164" s="6" t="str">
        <f>IFERROR(__xludf.DUMMYFUNCTION("""COMPUTED_VALUE"""),"FIP-DOM-ENG-51504-0000000-INA-000000")</f>
        <v>FIP-DOM-ENG-51504-0000000-INA-000000</v>
      </c>
      <c r="P2164" s="6" t="str">
        <f>IFERROR(__xludf.DUMMYFUNCTION("""COMPUTED_VALUE"""),"PO Closed")</f>
        <v>PO Closed</v>
      </c>
      <c r="Q2164" s="6" t="str">
        <f>IFERROR(__xludf.DUMMYFUNCTION("""COMPUTED_VALUE"""),"GL2212008")</f>
        <v>GL2212008</v>
      </c>
      <c r="R2164" s="57">
        <f>IFERROR(__xludf.DUMMYFUNCTION("""COMPUTED_VALUE"""),44893.0)</f>
        <v>44893</v>
      </c>
      <c r="S2164" s="57">
        <f>IFERROR(__xludf.DUMMYFUNCTION("""COMPUTED_VALUE"""),44895.0)</f>
        <v>44895</v>
      </c>
      <c r="T2164" s="57">
        <f>IFERROR(__xludf.DUMMYFUNCTION("""COMPUTED_VALUE"""),44956.0)</f>
        <v>44956</v>
      </c>
    </row>
    <row r="2165">
      <c r="A2165" s="6" t="str">
        <f>IFERROR(__xludf.DUMMYFUNCTION("""COMPUTED_VALUE"""),"221750715-1")</f>
        <v>221750715-1</v>
      </c>
      <c r="B2165" s="6" t="str">
        <f>IFERROR(__xludf.DUMMYFUNCTION("""COMPUTED_VALUE"""),"221750715 - Approved")</f>
        <v>221750715 - Approved</v>
      </c>
      <c r="C2165" s="6">
        <f>IFERROR(__xludf.DUMMYFUNCTION("""COMPUTED_VALUE"""),1.0)</f>
        <v>1</v>
      </c>
      <c r="D2165" s="6" t="str">
        <f>IFERROR(__xludf.DUMMYFUNCTION("""COMPUTED_VALUE"""),"P-50140-00")</f>
        <v>P-50140-00</v>
      </c>
      <c r="E2165" s="6" t="str">
        <f>IFERROR(__xludf.DUMMYFUNCTION("""COMPUTED_VALUE"""),"Battery UPS - Battery kering 12V 9 AH")</f>
        <v>Battery UPS - Battery kering 12V 9 AH</v>
      </c>
      <c r="F2165" s="6">
        <f>IFERROR(__xludf.DUMMYFUNCTION("""COMPUTED_VALUE"""),10.0)</f>
        <v>10</v>
      </c>
      <c r="G2165" s="6" t="str">
        <f>IFERROR(__xludf.DUMMYFUNCTION("""COMPUTED_VALUE"""),"Pieces")</f>
        <v>Pieces</v>
      </c>
      <c r="H2165" s="6" t="str">
        <f>IFERROR(__xludf.DUMMYFUNCTION("""COMPUTED_VALUE"""),"IDR")</f>
        <v>IDR</v>
      </c>
      <c r="I2165" s="11">
        <f>IFERROR(__xludf.DUMMYFUNCTION("""COMPUTED_VALUE"""),592500.0)</f>
        <v>592500</v>
      </c>
      <c r="J2165" s="11">
        <f>IFERROR(__xludf.DUMMYFUNCTION("""COMPUTED_VALUE"""),5925000.0)</f>
        <v>5925000</v>
      </c>
      <c r="K2165" s="57">
        <f>IFERROR(__xludf.DUMMYFUNCTION("""COMPUTED_VALUE"""),44907.0)</f>
        <v>44907</v>
      </c>
      <c r="L2165" s="6" t="str">
        <f>IFERROR(__xludf.DUMMYFUNCTION("""COMPUTED_VALUE"""),"FIP Engineering")</f>
        <v>FIP Engineering</v>
      </c>
      <c r="M2165" s="6" t="str">
        <f>IFERROR(__xludf.DUMMYFUNCTION("""COMPUTED_VALUE"""),"Irwan Sopian")</f>
        <v>Irwan Sopian</v>
      </c>
      <c r="N2165" s="6" t="str">
        <f>IFERROR(__xludf.DUMMYFUNCTION("""COMPUTED_VALUE"""),"FIP Engineering")</f>
        <v>FIP Engineering</v>
      </c>
      <c r="O2165" s="6" t="str">
        <f>IFERROR(__xludf.DUMMYFUNCTION("""COMPUTED_VALUE"""),"FIP-DOM-000-11304-OS00001-INA-000000")</f>
        <v>FIP-DOM-000-11304-OS00001-INA-000000</v>
      </c>
      <c r="P2165" s="6" t="str">
        <f>IFERROR(__xludf.DUMMYFUNCTION("""COMPUTED_VALUE"""),"PO Closed")</f>
        <v>PO Closed</v>
      </c>
      <c r="Q2165" s="6" t="str">
        <f>IFERROR(__xludf.DUMMYFUNCTION("""COMPUTED_VALUE"""),"GL2212035")</f>
        <v>GL2212035</v>
      </c>
      <c r="R2165" s="57">
        <f>IFERROR(__xludf.DUMMYFUNCTION("""COMPUTED_VALUE"""),44893.0)</f>
        <v>44893</v>
      </c>
      <c r="S2165" s="57">
        <f>IFERROR(__xludf.DUMMYFUNCTION("""COMPUTED_VALUE"""),44895.0)</f>
        <v>44895</v>
      </c>
      <c r="T2165" s="57">
        <f>IFERROR(__xludf.DUMMYFUNCTION("""COMPUTED_VALUE"""),44962.0)</f>
        <v>44962</v>
      </c>
    </row>
    <row r="2166">
      <c r="A2166" s="6" t="str">
        <f>IFERROR(__xludf.DUMMYFUNCTION("""COMPUTED_VALUE"""),"221750715-2")</f>
        <v>221750715-2</v>
      </c>
      <c r="B2166" s="6" t="str">
        <f>IFERROR(__xludf.DUMMYFUNCTION("""COMPUTED_VALUE"""),"221750715 - Approved")</f>
        <v>221750715 - Approved</v>
      </c>
      <c r="C2166" s="6">
        <f>IFERROR(__xludf.DUMMYFUNCTION("""COMPUTED_VALUE"""),2.0)</f>
        <v>2</v>
      </c>
      <c r="D2166" s="6" t="str">
        <f>IFERROR(__xludf.DUMMYFUNCTION("""COMPUTED_VALUE"""),"P-50781-00")</f>
        <v>P-50781-00</v>
      </c>
      <c r="E2166" s="6" t="str">
        <f>IFERROR(__xludf.DUMMYFUNCTION("""COMPUTED_VALUE"""),"Battery 12V 18AH merk LONG")</f>
        <v>Battery 12V 18AH merk LONG</v>
      </c>
      <c r="F2166" s="6">
        <f>IFERROR(__xludf.DUMMYFUNCTION("""COMPUTED_VALUE"""),2.0)</f>
        <v>2</v>
      </c>
      <c r="G2166" s="6" t="str">
        <f>IFERROR(__xludf.DUMMYFUNCTION("""COMPUTED_VALUE"""),"Pieces")</f>
        <v>Pieces</v>
      </c>
      <c r="H2166" s="6" t="str">
        <f>IFERROR(__xludf.DUMMYFUNCTION("""COMPUTED_VALUE"""),"IDR")</f>
        <v>IDR</v>
      </c>
      <c r="I2166" s="11">
        <f>IFERROR(__xludf.DUMMYFUNCTION("""COMPUTED_VALUE"""),735000.0)</f>
        <v>735000</v>
      </c>
      <c r="J2166" s="11">
        <f>IFERROR(__xludf.DUMMYFUNCTION("""COMPUTED_VALUE"""),1470000.0)</f>
        <v>1470000</v>
      </c>
      <c r="K2166" s="57">
        <f>IFERROR(__xludf.DUMMYFUNCTION("""COMPUTED_VALUE"""),44907.0)</f>
        <v>44907</v>
      </c>
      <c r="L2166" s="6" t="str">
        <f>IFERROR(__xludf.DUMMYFUNCTION("""COMPUTED_VALUE"""),"FIP Engineering")</f>
        <v>FIP Engineering</v>
      </c>
      <c r="M2166" s="6" t="str">
        <f>IFERROR(__xludf.DUMMYFUNCTION("""COMPUTED_VALUE"""),"Irwan Sopian")</f>
        <v>Irwan Sopian</v>
      </c>
      <c r="N2166" s="6" t="str">
        <f>IFERROR(__xludf.DUMMYFUNCTION("""COMPUTED_VALUE"""),"FIP Engineering")</f>
        <v>FIP Engineering</v>
      </c>
      <c r="O2166" s="6" t="str">
        <f>IFERROR(__xludf.DUMMYFUNCTION("""COMPUTED_VALUE"""),"FIP-DOM-000-11304-OS00001-INA-000000")</f>
        <v>FIP-DOM-000-11304-OS00001-INA-000000</v>
      </c>
      <c r="P2166" s="6" t="str">
        <f>IFERROR(__xludf.DUMMYFUNCTION("""COMPUTED_VALUE"""),"PO Closed")</f>
        <v>PO Closed</v>
      </c>
      <c r="Q2166" s="6" t="str">
        <f>IFERROR(__xludf.DUMMYFUNCTION("""COMPUTED_VALUE"""),"GL2212008")</f>
        <v>GL2212008</v>
      </c>
      <c r="R2166" s="57">
        <f>IFERROR(__xludf.DUMMYFUNCTION("""COMPUTED_VALUE"""),44893.0)</f>
        <v>44893</v>
      </c>
      <c r="S2166" s="57">
        <f>IFERROR(__xludf.DUMMYFUNCTION("""COMPUTED_VALUE"""),44895.0)</f>
        <v>44895</v>
      </c>
      <c r="T2166" s="57">
        <f>IFERROR(__xludf.DUMMYFUNCTION("""COMPUTED_VALUE"""),44956.0)</f>
        <v>44956</v>
      </c>
    </row>
    <row r="2167">
      <c r="A2167" s="6" t="str">
        <f>IFERROR(__xludf.DUMMYFUNCTION("""COMPUTED_VALUE"""),"221750716-1")</f>
        <v>221750716-1</v>
      </c>
      <c r="B2167" s="6" t="str">
        <f>IFERROR(__xludf.DUMMYFUNCTION("""COMPUTED_VALUE"""),"221750716 - Approved")</f>
        <v>221750716 - Approved</v>
      </c>
      <c r="C2167" s="6">
        <f>IFERROR(__xludf.DUMMYFUNCTION("""COMPUTED_VALUE"""),1.0)</f>
        <v>1</v>
      </c>
      <c r="D2167" s="6" t="str">
        <f>IFERROR(__xludf.DUMMYFUNCTION("""COMPUTED_VALUE"""),"P-15944-00")</f>
        <v>P-15944-00</v>
      </c>
      <c r="E2167" s="6" t="str">
        <f>IFERROR(__xludf.DUMMYFUNCTION("""COMPUTED_VALUE"""),"Sealing belt (nillon) 1.5 cm x 77cm; ; ;")</f>
        <v>Sealing belt (nillon) 1.5 cm x 77cm; ; ;</v>
      </c>
      <c r="F2167" s="6">
        <f>IFERROR(__xludf.DUMMYFUNCTION("""COMPUTED_VALUE"""),6.0)</f>
        <v>6</v>
      </c>
      <c r="G2167" s="6" t="str">
        <f>IFERROR(__xludf.DUMMYFUNCTION("""COMPUTED_VALUE"""),"Pieces")</f>
        <v>Pieces</v>
      </c>
      <c r="H2167" s="6" t="str">
        <f>IFERROR(__xludf.DUMMYFUNCTION("""COMPUTED_VALUE"""),"IDR")</f>
        <v>IDR</v>
      </c>
      <c r="I2167" s="11">
        <f>IFERROR(__xludf.DUMMYFUNCTION("""COMPUTED_VALUE"""),100000.0)</f>
        <v>100000</v>
      </c>
      <c r="J2167" s="11">
        <f>IFERROR(__xludf.DUMMYFUNCTION("""COMPUTED_VALUE"""),600000.0)</f>
        <v>600000</v>
      </c>
      <c r="K2167" s="57">
        <f>IFERROR(__xludf.DUMMYFUNCTION("""COMPUTED_VALUE"""),44911.0)</f>
        <v>44911</v>
      </c>
      <c r="L2167" s="6" t="str">
        <f>IFERROR(__xludf.DUMMYFUNCTION("""COMPUTED_VALUE"""),"FIP General")</f>
        <v>FIP General</v>
      </c>
      <c r="M2167" s="6" t="str">
        <f>IFERROR(__xludf.DUMMYFUNCTION("""COMPUTED_VALUE"""),"Irwan Sopian")</f>
        <v>Irwan Sopian</v>
      </c>
      <c r="N2167" s="6" t="str">
        <f>IFERROR(__xludf.DUMMYFUNCTION("""COMPUTED_VALUE"""),"FIP Engineering")</f>
        <v>FIP Engineering</v>
      </c>
      <c r="O2167" s="6" t="str">
        <f>IFERROR(__xludf.DUMMYFUNCTION("""COMPUTED_VALUE"""),"FIP-DOM-ENG-51404-0000000-INA-000000")</f>
        <v>FIP-DOM-ENG-51404-0000000-INA-000000</v>
      </c>
      <c r="P2167" s="6" t="str">
        <f>IFERROR(__xludf.DUMMYFUNCTION("""COMPUTED_VALUE"""),"PO Closed")</f>
        <v>PO Closed</v>
      </c>
      <c r="Q2167" s="6" t="str">
        <f>IFERROR(__xludf.DUMMYFUNCTION("""COMPUTED_VALUE"""),"GL2302053")</f>
        <v>GL2302053</v>
      </c>
      <c r="R2167" s="57">
        <f>IFERROR(__xludf.DUMMYFUNCTION("""COMPUTED_VALUE"""),44893.0)</f>
        <v>44893</v>
      </c>
      <c r="S2167" s="57">
        <f>IFERROR(__xludf.DUMMYFUNCTION("""COMPUTED_VALUE"""),44894.0)</f>
        <v>44894</v>
      </c>
      <c r="T2167" s="57">
        <f>IFERROR(__xludf.DUMMYFUNCTION("""COMPUTED_VALUE"""),45046.0)</f>
        <v>45046</v>
      </c>
    </row>
    <row r="2168">
      <c r="A2168" s="6" t="str">
        <f>IFERROR(__xludf.DUMMYFUNCTION("""COMPUTED_VALUE"""),"221750717-1")</f>
        <v>221750717-1</v>
      </c>
      <c r="B2168" s="6" t="str">
        <f>IFERROR(__xludf.DUMMYFUNCTION("""COMPUTED_VALUE"""),"221750717 - Approved")</f>
        <v>221750717 - Approved</v>
      </c>
      <c r="C2168" s="6">
        <f>IFERROR(__xludf.DUMMYFUNCTION("""COMPUTED_VALUE"""),1.0)</f>
        <v>1</v>
      </c>
      <c r="D2168" s="6" t="str">
        <f>IFERROR(__xludf.DUMMYFUNCTION("""COMPUTED_VALUE"""),"O-15591-00")</f>
        <v>O-15591-00</v>
      </c>
      <c r="E2168" s="6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F2168" s="6">
        <f>IFERROR(__xludf.DUMMYFUNCTION("""COMPUTED_VALUE"""),1.0)</f>
        <v>1</v>
      </c>
      <c r="G2168" s="6" t="str">
        <f>IFERROR(__xludf.DUMMYFUNCTION("""COMPUTED_VALUE"""),"Unit")</f>
        <v>Unit</v>
      </c>
      <c r="H2168" s="6" t="str">
        <f>IFERROR(__xludf.DUMMYFUNCTION("""COMPUTED_VALUE"""),"IDR")</f>
        <v>IDR</v>
      </c>
      <c r="I2168" s="11">
        <f>IFERROR(__xludf.DUMMYFUNCTION("""COMPUTED_VALUE"""),3.06E7)</f>
        <v>30600000</v>
      </c>
      <c r="J2168" s="11">
        <f>IFERROR(__xludf.DUMMYFUNCTION("""COMPUTED_VALUE"""),3.06E7)</f>
        <v>30600000</v>
      </c>
      <c r="K2168" s="57">
        <f>IFERROR(__xludf.DUMMYFUNCTION("""COMPUTED_VALUE"""),44946.0)</f>
        <v>44946</v>
      </c>
      <c r="L2168" s="6" t="str">
        <f>IFERROR(__xludf.DUMMYFUNCTION("""COMPUTED_VALUE"""),"FIP Engineering")</f>
        <v>FIP Engineering</v>
      </c>
      <c r="M2168" s="6" t="str">
        <f>IFERROR(__xludf.DUMMYFUNCTION("""COMPUTED_VALUE"""),"Irwan Sopian")</f>
        <v>Irwan Sopian</v>
      </c>
      <c r="N2168" s="6" t="str">
        <f>IFERROR(__xludf.DUMMYFUNCTION("""COMPUTED_VALUE"""),"FIP Engineering")</f>
        <v>FIP Engineering</v>
      </c>
      <c r="O2168" s="6" t="str">
        <f>IFERROR(__xludf.DUMMYFUNCTION("""COMPUTED_VALUE"""),"FIP-DOM-000-11304-OS00001-INA-000000")</f>
        <v>FIP-DOM-000-11304-OS00001-INA-000000</v>
      </c>
      <c r="P2168" s="6" t="str">
        <f>IFERROR(__xludf.DUMMYFUNCTION("""COMPUTED_VALUE"""),"PO Closed")</f>
        <v>PO Closed</v>
      </c>
      <c r="Q2168" s="6" t="str">
        <f>IFERROR(__xludf.DUMMYFUNCTION("""COMPUTED_VALUE"""),"GL2212033")</f>
        <v>GL2212033</v>
      </c>
      <c r="R2168" s="57">
        <f>IFERROR(__xludf.DUMMYFUNCTION("""COMPUTED_VALUE"""),44895.0)</f>
        <v>44895</v>
      </c>
      <c r="S2168" s="57">
        <f>IFERROR(__xludf.DUMMYFUNCTION("""COMPUTED_VALUE"""),44902.0)</f>
        <v>44902</v>
      </c>
      <c r="T2168" s="57">
        <f>IFERROR(__xludf.DUMMYFUNCTION("""COMPUTED_VALUE"""),45015.0)</f>
        <v>45015</v>
      </c>
    </row>
    <row r="2169">
      <c r="A2169" s="6" t="str">
        <f>IFERROR(__xludf.DUMMYFUNCTION("""COMPUTED_VALUE"""),"221750717-2")</f>
        <v>221750717-2</v>
      </c>
      <c r="B2169" s="6" t="str">
        <f>IFERROR(__xludf.DUMMYFUNCTION("""COMPUTED_VALUE"""),"221750717 - Approved")</f>
        <v>221750717 - Approved</v>
      </c>
      <c r="C2169" s="6">
        <f>IFERROR(__xludf.DUMMYFUNCTION("""COMPUTED_VALUE"""),2.0)</f>
        <v>2</v>
      </c>
      <c r="D2169" s="6" t="str">
        <f>IFERROR(__xludf.DUMMYFUNCTION("""COMPUTED_VALUE"""),"O-15592-00")</f>
        <v>O-15592-00</v>
      </c>
      <c r="E2169" s="6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F2169" s="6">
        <f>IFERROR(__xludf.DUMMYFUNCTION("""COMPUTED_VALUE"""),1.0)</f>
        <v>1</v>
      </c>
      <c r="G2169" s="6" t="str">
        <f>IFERROR(__xludf.DUMMYFUNCTION("""COMPUTED_VALUE"""),"Unit")</f>
        <v>Unit</v>
      </c>
      <c r="H2169" s="6" t="str">
        <f>IFERROR(__xludf.DUMMYFUNCTION("""COMPUTED_VALUE"""),"IDR")</f>
        <v>IDR</v>
      </c>
      <c r="I2169" s="11">
        <f>IFERROR(__xludf.DUMMYFUNCTION("""COMPUTED_VALUE"""),2.21E7)</f>
        <v>22100000</v>
      </c>
      <c r="J2169" s="11">
        <f>IFERROR(__xludf.DUMMYFUNCTION("""COMPUTED_VALUE"""),2.21E7)</f>
        <v>22100000</v>
      </c>
      <c r="K2169" s="57">
        <f>IFERROR(__xludf.DUMMYFUNCTION("""COMPUTED_VALUE"""),44946.0)</f>
        <v>44946</v>
      </c>
      <c r="L2169" s="6" t="str">
        <f>IFERROR(__xludf.DUMMYFUNCTION("""COMPUTED_VALUE"""),"FIP Engineering")</f>
        <v>FIP Engineering</v>
      </c>
      <c r="M2169" s="6" t="str">
        <f>IFERROR(__xludf.DUMMYFUNCTION("""COMPUTED_VALUE"""),"Irwan Sopian")</f>
        <v>Irwan Sopian</v>
      </c>
      <c r="N2169" s="6" t="str">
        <f>IFERROR(__xludf.DUMMYFUNCTION("""COMPUTED_VALUE"""),"FIP Engineering")</f>
        <v>FIP Engineering</v>
      </c>
      <c r="O2169" s="6" t="str">
        <f>IFERROR(__xludf.DUMMYFUNCTION("""COMPUTED_VALUE"""),"FIP-DOM-000-11304-OS00001-INA-000000")</f>
        <v>FIP-DOM-000-11304-OS00001-INA-000000</v>
      </c>
      <c r="P2169" s="6" t="str">
        <f>IFERROR(__xludf.DUMMYFUNCTION("""COMPUTED_VALUE"""),"PO Closed")</f>
        <v>PO Closed</v>
      </c>
      <c r="Q2169" s="6" t="str">
        <f>IFERROR(__xludf.DUMMYFUNCTION("""COMPUTED_VALUE"""),"GL2212033")</f>
        <v>GL2212033</v>
      </c>
      <c r="R2169" s="57">
        <f>IFERROR(__xludf.DUMMYFUNCTION("""COMPUTED_VALUE"""),44895.0)</f>
        <v>44895</v>
      </c>
      <c r="S2169" s="57">
        <f>IFERROR(__xludf.DUMMYFUNCTION("""COMPUTED_VALUE"""),44902.0)</f>
        <v>44902</v>
      </c>
      <c r="T2169" s="57">
        <f>IFERROR(__xludf.DUMMYFUNCTION("""COMPUTED_VALUE"""),45015.0)</f>
        <v>45015</v>
      </c>
    </row>
    <row r="2170">
      <c r="A2170" s="6" t="str">
        <f>IFERROR(__xludf.DUMMYFUNCTION("""COMPUTED_VALUE"""),"221750727-1")</f>
        <v>221750727-1</v>
      </c>
      <c r="B2170" s="6" t="str">
        <f>IFERROR(__xludf.DUMMYFUNCTION("""COMPUTED_VALUE"""),"221750727 - Approved")</f>
        <v>221750727 - Approved</v>
      </c>
      <c r="C2170" s="6">
        <f>IFERROR(__xludf.DUMMYFUNCTION("""COMPUTED_VALUE"""),1.0)</f>
        <v>1</v>
      </c>
      <c r="D2170" s="6" t="str">
        <f>IFERROR(__xludf.DUMMYFUNCTION("""COMPUTED_VALUE"""),"T-20136-00")</f>
        <v>T-20136-00</v>
      </c>
      <c r="E2170" s="6" t="str">
        <f>IFERROR(__xludf.DUMMYFUNCTION("""COMPUTED_VALUE"""),"2690 SEAL PACK REBUILD PKG; Waters; c/n WAT271019;")</f>
        <v>2690 SEAL PACK REBUILD PKG; Waters; c/n WAT271019;</v>
      </c>
      <c r="F2170" s="6">
        <f>IFERROR(__xludf.DUMMYFUNCTION("""COMPUTED_VALUE"""),2.0)</f>
        <v>2</v>
      </c>
      <c r="G2170" s="6" t="str">
        <f>IFERROR(__xludf.DUMMYFUNCTION("""COMPUTED_VALUE"""),"Pieces")</f>
        <v>Pieces</v>
      </c>
      <c r="H2170" s="6" t="str">
        <f>IFERROR(__xludf.DUMMYFUNCTION("""COMPUTED_VALUE"""),"IDR")</f>
        <v>IDR</v>
      </c>
      <c r="I2170" s="11">
        <f>IFERROR(__xludf.DUMMYFUNCTION("""COMPUTED_VALUE"""),5377752.0)</f>
        <v>5377752</v>
      </c>
      <c r="J2170" s="11">
        <f>IFERROR(__xludf.DUMMYFUNCTION("""COMPUTED_VALUE"""),1.0755504E7)</f>
        <v>10755504</v>
      </c>
      <c r="K2170" s="57">
        <f>IFERROR(__xludf.DUMMYFUNCTION("""COMPUTED_VALUE"""),44925.0)</f>
        <v>44925</v>
      </c>
      <c r="L2170" s="6" t="str">
        <f>IFERROR(__xludf.DUMMYFUNCTION("""COMPUTED_VALUE"""),"FIP General")</f>
        <v>FIP General</v>
      </c>
      <c r="M2170" s="6" t="str">
        <f>IFERROR(__xludf.DUMMYFUNCTION("""COMPUTED_VALUE"""),"Irwan Sopian")</f>
        <v>Irwan Sopian</v>
      </c>
      <c r="N2170" s="6" t="str">
        <f>IFERROR(__xludf.DUMMYFUNCTION("""COMPUTED_VALUE"""),"FIP Engineering")</f>
        <v>FIP Engineering</v>
      </c>
      <c r="O2170" s="6" t="str">
        <f>IFERROR(__xludf.DUMMYFUNCTION("""COMPUTED_VALUE"""),"FIP-DOM-ENG-51505-0000000-INA-000000")</f>
        <v>FIP-DOM-ENG-51505-0000000-INA-000000</v>
      </c>
      <c r="P2170" s="6" t="str">
        <f>IFERROR(__xludf.DUMMYFUNCTION("""COMPUTED_VALUE"""),"PO Closed")</f>
        <v>PO Closed</v>
      </c>
      <c r="Q2170" s="6" t="str">
        <f>IFERROR(__xludf.DUMMYFUNCTION("""COMPUTED_VALUE"""),"GL2212002")</f>
        <v>GL2212002</v>
      </c>
      <c r="R2170" s="57">
        <f>IFERROR(__xludf.DUMMYFUNCTION("""COMPUTED_VALUE"""),44902.0)</f>
        <v>44902</v>
      </c>
      <c r="S2170" s="57">
        <f>IFERROR(__xludf.DUMMYFUNCTION("""COMPUTED_VALUE"""),44902.0)</f>
        <v>44902</v>
      </c>
      <c r="T2170" s="57">
        <f>IFERROR(__xludf.DUMMYFUNCTION("""COMPUTED_VALUE"""),44925.0)</f>
        <v>44925</v>
      </c>
    </row>
    <row r="2171">
      <c r="A2171" s="6" t="str">
        <f>IFERROR(__xludf.DUMMYFUNCTION("""COMPUTED_VALUE"""),"221750728-1")</f>
        <v>221750728-1</v>
      </c>
      <c r="B2171" s="6" t="str">
        <f>IFERROR(__xludf.DUMMYFUNCTION("""COMPUTED_VALUE"""),"221750728 - Approved")</f>
        <v>221750728 - Approved</v>
      </c>
      <c r="C2171" s="6">
        <f>IFERROR(__xludf.DUMMYFUNCTION("""COMPUTED_VALUE"""),1.0)</f>
        <v>1</v>
      </c>
      <c r="D2171" s="6" t="str">
        <f>IFERROR(__xludf.DUMMYFUNCTION("""COMPUTED_VALUE"""),"S-60002-00")</f>
        <v>S-60002-00</v>
      </c>
      <c r="E2171" s="6" t="str">
        <f>IFERROR(__xludf.DUMMYFUNCTION("""COMPUTED_VALUE"""),"Jasa Perbaikan dan Pemeliharaan Mesin Utility - Jasa Pasang Wheel Brake Cly")</f>
        <v>Jasa Perbaikan dan Pemeliharaan Mesin Utility - Jasa Pasang Wheel Brake Cly</v>
      </c>
      <c r="F2171" s="6">
        <f>IFERROR(__xludf.DUMMYFUNCTION("""COMPUTED_VALUE"""),1.0)</f>
        <v>1</v>
      </c>
      <c r="G2171" s="6" t="str">
        <f>IFERROR(__xludf.DUMMYFUNCTION("""COMPUTED_VALUE"""),"Lot")</f>
        <v>Lot</v>
      </c>
      <c r="H2171" s="6" t="str">
        <f>IFERROR(__xludf.DUMMYFUNCTION("""COMPUTED_VALUE"""),"IDR")</f>
        <v>IDR</v>
      </c>
      <c r="I2171" s="11">
        <f>IFERROR(__xludf.DUMMYFUNCTION("""COMPUTED_VALUE"""),750000.0)</f>
        <v>750000</v>
      </c>
      <c r="J2171" s="11">
        <f>IFERROR(__xludf.DUMMYFUNCTION("""COMPUTED_VALUE"""),750000.0)</f>
        <v>750000</v>
      </c>
      <c r="K2171" s="57">
        <f>IFERROR(__xludf.DUMMYFUNCTION("""COMPUTED_VALUE"""),44925.0)</f>
        <v>44925</v>
      </c>
      <c r="L2171" s="6" t="str">
        <f>IFERROR(__xludf.DUMMYFUNCTION("""COMPUTED_VALUE"""),"FIP General")</f>
        <v>FIP General</v>
      </c>
      <c r="M2171" s="6" t="str">
        <f>IFERROR(__xludf.DUMMYFUNCTION("""COMPUTED_VALUE"""),"Irwan Sopian")</f>
        <v>Irwan Sopian</v>
      </c>
      <c r="N2171" s="6" t="str">
        <f>IFERROR(__xludf.DUMMYFUNCTION("""COMPUTED_VALUE"""),"FIP Engineering")</f>
        <v>FIP Engineering</v>
      </c>
      <c r="O2171" s="6" t="str">
        <f>IFERROR(__xludf.DUMMYFUNCTION("""COMPUTED_VALUE"""),"FIP-DOM-ENG-51508-0000000-INA-000000")</f>
        <v>FIP-DOM-ENG-51508-0000000-INA-000000</v>
      </c>
      <c r="P2171" s="6" t="str">
        <f>IFERROR(__xludf.DUMMYFUNCTION("""COMPUTED_VALUE"""),"PO Closed")</f>
        <v>PO Closed</v>
      </c>
      <c r="Q2171" s="6" t="str">
        <f>IFERROR(__xludf.DUMMYFUNCTION("""COMPUTED_VALUE"""),"GL2301001")</f>
        <v>GL2301001</v>
      </c>
      <c r="R2171" s="57">
        <f>IFERROR(__xludf.DUMMYFUNCTION("""COMPUTED_VALUE"""),44902.0)</f>
        <v>44902</v>
      </c>
      <c r="S2171" s="57">
        <f>IFERROR(__xludf.DUMMYFUNCTION("""COMPUTED_VALUE"""),44902.0)</f>
        <v>44902</v>
      </c>
      <c r="T2171" s="57">
        <f>IFERROR(__xludf.DUMMYFUNCTION("""COMPUTED_VALUE"""),44962.0)</f>
        <v>44962</v>
      </c>
    </row>
    <row r="2172">
      <c r="A2172" s="6" t="str">
        <f>IFERROR(__xludf.DUMMYFUNCTION("""COMPUTED_VALUE"""),"221750728-2")</f>
        <v>221750728-2</v>
      </c>
      <c r="B2172" s="6" t="str">
        <f>IFERROR(__xludf.DUMMYFUNCTION("""COMPUTED_VALUE"""),"221750728 - Approved")</f>
        <v>221750728 - Approved</v>
      </c>
      <c r="C2172" s="6">
        <f>IFERROR(__xludf.DUMMYFUNCTION("""COMPUTED_VALUE"""),2.0)</f>
        <v>2</v>
      </c>
      <c r="D2172" s="6" t="str">
        <f>IFERROR(__xludf.DUMMYFUNCTION("""COMPUTED_VALUE"""),"S-60002-00")</f>
        <v>S-60002-00</v>
      </c>
      <c r="E2172" s="6" t="str">
        <f>IFERROR(__xludf.DUMMYFUNCTION("""COMPUTED_VALUE"""),"Jasa Perbaikan dan Pemeliharaan Mesin Utility - Material For Jasa STILL RX 50-10C - Wheel Brake Cyl")</f>
        <v>Jasa Perbaikan dan Pemeliharaan Mesin Utility - Material For Jasa STILL RX 50-10C - Wheel Brake Cyl</v>
      </c>
      <c r="F2172" s="6">
        <f>IFERROR(__xludf.DUMMYFUNCTION("""COMPUTED_VALUE"""),1.0)</f>
        <v>1</v>
      </c>
      <c r="G2172" s="6" t="str">
        <f>IFERROR(__xludf.DUMMYFUNCTION("""COMPUTED_VALUE"""),"Lot")</f>
        <v>Lot</v>
      </c>
      <c r="H2172" s="6" t="str">
        <f>IFERROR(__xludf.DUMMYFUNCTION("""COMPUTED_VALUE"""),"IDR")</f>
        <v>IDR</v>
      </c>
      <c r="I2172" s="11">
        <f>IFERROR(__xludf.DUMMYFUNCTION("""COMPUTED_VALUE"""),2585000.0)</f>
        <v>2585000</v>
      </c>
      <c r="J2172" s="11">
        <f>IFERROR(__xludf.DUMMYFUNCTION("""COMPUTED_VALUE"""),2585000.0)</f>
        <v>2585000</v>
      </c>
      <c r="K2172" s="57">
        <f>IFERROR(__xludf.DUMMYFUNCTION("""COMPUTED_VALUE"""),44925.0)</f>
        <v>44925</v>
      </c>
      <c r="L2172" s="6" t="str">
        <f>IFERROR(__xludf.DUMMYFUNCTION("""COMPUTED_VALUE"""),"FIP General")</f>
        <v>FIP General</v>
      </c>
      <c r="M2172" s="6" t="str">
        <f>IFERROR(__xludf.DUMMYFUNCTION("""COMPUTED_VALUE"""),"Irwan Sopian")</f>
        <v>Irwan Sopian</v>
      </c>
      <c r="N2172" s="6" t="str">
        <f>IFERROR(__xludf.DUMMYFUNCTION("""COMPUTED_VALUE"""),"FIP Engineering")</f>
        <v>FIP Engineering</v>
      </c>
      <c r="O2172" s="6" t="str">
        <f>IFERROR(__xludf.DUMMYFUNCTION("""COMPUTED_VALUE"""),"FIP-DOM-ENG-51508-0000000-INA-000000")</f>
        <v>FIP-DOM-ENG-51508-0000000-INA-000000</v>
      </c>
      <c r="P2172" s="6" t="str">
        <f>IFERROR(__xludf.DUMMYFUNCTION("""COMPUTED_VALUE"""),"PO Closed")</f>
        <v>PO Closed</v>
      </c>
      <c r="Q2172" s="6" t="str">
        <f>IFERROR(__xludf.DUMMYFUNCTION("""COMPUTED_VALUE"""),"GL2301001")</f>
        <v>GL2301001</v>
      </c>
      <c r="R2172" s="57">
        <f>IFERROR(__xludf.DUMMYFUNCTION("""COMPUTED_VALUE"""),44902.0)</f>
        <v>44902</v>
      </c>
      <c r="S2172" s="57">
        <f>IFERROR(__xludf.DUMMYFUNCTION("""COMPUTED_VALUE"""),44902.0)</f>
        <v>44902</v>
      </c>
      <c r="T2172" s="57">
        <f>IFERROR(__xludf.DUMMYFUNCTION("""COMPUTED_VALUE"""),44962.0)</f>
        <v>44962</v>
      </c>
    </row>
    <row r="2173">
      <c r="A2173" s="6" t="str">
        <f>IFERROR(__xludf.DUMMYFUNCTION("""COMPUTED_VALUE"""),"221750729-1")</f>
        <v>221750729-1</v>
      </c>
      <c r="B2173" s="6" t="str">
        <f>IFERROR(__xludf.DUMMYFUNCTION("""COMPUTED_VALUE"""),"221750729 - Approved")</f>
        <v>221750729 - Approved</v>
      </c>
      <c r="C2173" s="6">
        <f>IFERROR(__xludf.DUMMYFUNCTION("""COMPUTED_VALUE"""),1.0)</f>
        <v>1</v>
      </c>
      <c r="D2173" s="6" t="str">
        <f>IFERROR(__xludf.DUMMYFUNCTION("""COMPUTED_VALUE"""),"S-60002-00")</f>
        <v>S-60002-00</v>
      </c>
      <c r="E2173" s="6" t="str">
        <f>IFERROR(__xludf.DUMMYFUNCTION("""COMPUTED_VALUE"""),"Jasa Perbaikan dan Pemeliharaan Mesin Utility - Relokasi finger print QC")</f>
        <v>Jasa Perbaikan dan Pemeliharaan Mesin Utility - Relokasi finger print QC</v>
      </c>
      <c r="F2173" s="6">
        <f>IFERROR(__xludf.DUMMYFUNCTION("""COMPUTED_VALUE"""),1.0)</f>
        <v>1</v>
      </c>
      <c r="G2173" s="6" t="str">
        <f>IFERROR(__xludf.DUMMYFUNCTION("""COMPUTED_VALUE"""),"Lot")</f>
        <v>Lot</v>
      </c>
      <c r="H2173" s="6" t="str">
        <f>IFERROR(__xludf.DUMMYFUNCTION("""COMPUTED_VALUE"""),"IDR")</f>
        <v>IDR</v>
      </c>
      <c r="I2173" s="11">
        <f>IFERROR(__xludf.DUMMYFUNCTION("""COMPUTED_VALUE"""),675000.0)</f>
        <v>675000</v>
      </c>
      <c r="J2173" s="11">
        <f>IFERROR(__xludf.DUMMYFUNCTION("""COMPUTED_VALUE"""),675000.0)</f>
        <v>675000</v>
      </c>
      <c r="K2173" s="57">
        <f>IFERROR(__xludf.DUMMYFUNCTION("""COMPUTED_VALUE"""),44925.0)</f>
        <v>44925</v>
      </c>
      <c r="L2173" s="6" t="str">
        <f>IFERROR(__xludf.DUMMYFUNCTION("""COMPUTED_VALUE"""),"FIP General")</f>
        <v>FIP General</v>
      </c>
      <c r="M2173" s="6" t="str">
        <f>IFERROR(__xludf.DUMMYFUNCTION("""COMPUTED_VALUE"""),"Irwan Sopian")</f>
        <v>Irwan Sopian</v>
      </c>
      <c r="N2173" s="6" t="str">
        <f>IFERROR(__xludf.DUMMYFUNCTION("""COMPUTED_VALUE"""),"FIP Engineering")</f>
        <v>FIP Engineering</v>
      </c>
      <c r="O2173" s="6" t="str">
        <f>IFERROR(__xludf.DUMMYFUNCTION("""COMPUTED_VALUE"""),"FIP-DOM-ENG-51508-0000000-INA-000000")</f>
        <v>FIP-DOM-ENG-51508-0000000-INA-000000</v>
      </c>
      <c r="P2173" s="6" t="str">
        <f>IFERROR(__xludf.DUMMYFUNCTION("""COMPUTED_VALUE"""),"PO Closed")</f>
        <v>PO Closed</v>
      </c>
      <c r="Q2173" s="6" t="str">
        <f>IFERROR(__xludf.DUMMYFUNCTION("""COMPUTED_VALUE"""),"GL2302003")</f>
        <v>GL2302003</v>
      </c>
      <c r="R2173" s="57">
        <f>IFERROR(__xludf.DUMMYFUNCTION("""COMPUTED_VALUE"""),44902.0)</f>
        <v>44902</v>
      </c>
      <c r="S2173" s="57">
        <f>IFERROR(__xludf.DUMMYFUNCTION("""COMPUTED_VALUE"""),44902.0)</f>
        <v>44902</v>
      </c>
      <c r="T2173" s="57">
        <f>IFERROR(__xludf.DUMMYFUNCTION("""COMPUTED_VALUE"""),44972.0)</f>
        <v>44972</v>
      </c>
    </row>
    <row r="2174">
      <c r="A2174" s="6" t="str">
        <f>IFERROR(__xludf.DUMMYFUNCTION("""COMPUTED_VALUE"""),"221750729-2")</f>
        <v>221750729-2</v>
      </c>
      <c r="B2174" s="6" t="str">
        <f>IFERROR(__xludf.DUMMYFUNCTION("""COMPUTED_VALUE"""),"221750729 - Approved")</f>
        <v>221750729 - Approved</v>
      </c>
      <c r="C2174" s="6">
        <f>IFERROR(__xludf.DUMMYFUNCTION("""COMPUTED_VALUE"""),2.0)</f>
        <v>2</v>
      </c>
      <c r="D2174" s="6" t="str">
        <f>IFERROR(__xludf.DUMMYFUNCTION("""COMPUTED_VALUE"""),"S-60002-00")</f>
        <v>S-60002-00</v>
      </c>
      <c r="E2174" s="6" t="str">
        <f>IFERROR(__xludf.DUMMYFUNCTION("""COMPUTED_VALUE"""),"Jasa Perbaikan dan Pemeliharaan Mesin Utility - Relokasi saklar tunggal QC")</f>
        <v>Jasa Perbaikan dan Pemeliharaan Mesin Utility - Relokasi saklar tunggal QC</v>
      </c>
      <c r="F2174" s="6">
        <f>IFERROR(__xludf.DUMMYFUNCTION("""COMPUTED_VALUE"""),1.0)</f>
        <v>1</v>
      </c>
      <c r="G2174" s="6" t="str">
        <f>IFERROR(__xludf.DUMMYFUNCTION("""COMPUTED_VALUE"""),"Lot")</f>
        <v>Lot</v>
      </c>
      <c r="H2174" s="6" t="str">
        <f>IFERROR(__xludf.DUMMYFUNCTION("""COMPUTED_VALUE"""),"IDR")</f>
        <v>IDR</v>
      </c>
      <c r="I2174" s="11">
        <f>IFERROR(__xludf.DUMMYFUNCTION("""COMPUTED_VALUE"""),675000.0)</f>
        <v>675000</v>
      </c>
      <c r="J2174" s="11">
        <f>IFERROR(__xludf.DUMMYFUNCTION("""COMPUTED_VALUE"""),675000.0)</f>
        <v>675000</v>
      </c>
      <c r="K2174" s="57">
        <f>IFERROR(__xludf.DUMMYFUNCTION("""COMPUTED_VALUE"""),44925.0)</f>
        <v>44925</v>
      </c>
      <c r="L2174" s="6" t="str">
        <f>IFERROR(__xludf.DUMMYFUNCTION("""COMPUTED_VALUE"""),"FIP General")</f>
        <v>FIP General</v>
      </c>
      <c r="M2174" s="6" t="str">
        <f>IFERROR(__xludf.DUMMYFUNCTION("""COMPUTED_VALUE"""),"Irwan Sopian")</f>
        <v>Irwan Sopian</v>
      </c>
      <c r="N2174" s="6" t="str">
        <f>IFERROR(__xludf.DUMMYFUNCTION("""COMPUTED_VALUE"""),"FIP Engineering")</f>
        <v>FIP Engineering</v>
      </c>
      <c r="O2174" s="6" t="str">
        <f>IFERROR(__xludf.DUMMYFUNCTION("""COMPUTED_VALUE"""),"FIP-DOM-ENG-51508-0000000-INA-000000")</f>
        <v>FIP-DOM-ENG-51508-0000000-INA-000000</v>
      </c>
      <c r="P2174" s="6" t="str">
        <f>IFERROR(__xludf.DUMMYFUNCTION("""COMPUTED_VALUE"""),"PO Closed")</f>
        <v>PO Closed</v>
      </c>
      <c r="Q2174" s="6" t="str">
        <f>IFERROR(__xludf.DUMMYFUNCTION("""COMPUTED_VALUE"""),"GL2302003")</f>
        <v>GL2302003</v>
      </c>
      <c r="R2174" s="57">
        <f>IFERROR(__xludf.DUMMYFUNCTION("""COMPUTED_VALUE"""),44902.0)</f>
        <v>44902</v>
      </c>
      <c r="S2174" s="57">
        <f>IFERROR(__xludf.DUMMYFUNCTION("""COMPUTED_VALUE"""),44902.0)</f>
        <v>44902</v>
      </c>
      <c r="T2174" s="57">
        <f>IFERROR(__xludf.DUMMYFUNCTION("""COMPUTED_VALUE"""),44972.0)</f>
        <v>44972</v>
      </c>
    </row>
    <row r="2175">
      <c r="A2175" s="6" t="str">
        <f>IFERROR(__xludf.DUMMYFUNCTION("""COMPUTED_VALUE"""),"221750729-3")</f>
        <v>221750729-3</v>
      </c>
      <c r="B2175" s="6" t="str">
        <f>IFERROR(__xludf.DUMMYFUNCTION("""COMPUTED_VALUE"""),"221750729 - Approved")</f>
        <v>221750729 - Approved</v>
      </c>
      <c r="C2175" s="6">
        <f>IFERROR(__xludf.DUMMYFUNCTION("""COMPUTED_VALUE"""),3.0)</f>
        <v>3</v>
      </c>
      <c r="D2175" s="6" t="str">
        <f>IFERROR(__xludf.DUMMYFUNCTION("""COMPUTED_VALUE"""),"S-60002-00")</f>
        <v>S-60002-00</v>
      </c>
      <c r="E2175" s="6" t="str">
        <f>IFERROR(__xludf.DUMMYFUNCTION("""COMPUTED_VALUE"""),"Jasa Perbaikan dan Pemeliharaan Mesin Utility - Tambah bobokan + perapihan jalur data QA")</f>
        <v>Jasa Perbaikan dan Pemeliharaan Mesin Utility - Tambah bobokan + perapihan jalur data QA</v>
      </c>
      <c r="F2175" s="6">
        <f>IFERROR(__xludf.DUMMYFUNCTION("""COMPUTED_VALUE"""),1.0)</f>
        <v>1</v>
      </c>
      <c r="G2175" s="6" t="str">
        <f>IFERROR(__xludf.DUMMYFUNCTION("""COMPUTED_VALUE"""),"Lot")</f>
        <v>Lot</v>
      </c>
      <c r="H2175" s="6" t="str">
        <f>IFERROR(__xludf.DUMMYFUNCTION("""COMPUTED_VALUE"""),"IDR")</f>
        <v>IDR</v>
      </c>
      <c r="I2175" s="11">
        <f>IFERROR(__xludf.DUMMYFUNCTION("""COMPUTED_VALUE"""),825000.0)</f>
        <v>825000</v>
      </c>
      <c r="J2175" s="11">
        <f>IFERROR(__xludf.DUMMYFUNCTION("""COMPUTED_VALUE"""),825000.0)</f>
        <v>825000</v>
      </c>
      <c r="K2175" s="57">
        <f>IFERROR(__xludf.DUMMYFUNCTION("""COMPUTED_VALUE"""),44925.0)</f>
        <v>44925</v>
      </c>
      <c r="L2175" s="6" t="str">
        <f>IFERROR(__xludf.DUMMYFUNCTION("""COMPUTED_VALUE"""),"FIP General")</f>
        <v>FIP General</v>
      </c>
      <c r="M2175" s="6" t="str">
        <f>IFERROR(__xludf.DUMMYFUNCTION("""COMPUTED_VALUE"""),"Irwan Sopian")</f>
        <v>Irwan Sopian</v>
      </c>
      <c r="N2175" s="6" t="str">
        <f>IFERROR(__xludf.DUMMYFUNCTION("""COMPUTED_VALUE"""),"FIP Engineering")</f>
        <v>FIP Engineering</v>
      </c>
      <c r="O2175" s="6" t="str">
        <f>IFERROR(__xludf.DUMMYFUNCTION("""COMPUTED_VALUE"""),"FIP-DOM-ENG-51508-0000000-INA-000000")</f>
        <v>FIP-DOM-ENG-51508-0000000-INA-000000</v>
      </c>
      <c r="P2175" s="6" t="str">
        <f>IFERROR(__xludf.DUMMYFUNCTION("""COMPUTED_VALUE"""),"PO Closed")</f>
        <v>PO Closed</v>
      </c>
      <c r="Q2175" s="6" t="str">
        <f>IFERROR(__xludf.DUMMYFUNCTION("""COMPUTED_VALUE"""),"GL2302003")</f>
        <v>GL2302003</v>
      </c>
      <c r="R2175" s="57">
        <f>IFERROR(__xludf.DUMMYFUNCTION("""COMPUTED_VALUE"""),44902.0)</f>
        <v>44902</v>
      </c>
      <c r="S2175" s="57">
        <f>IFERROR(__xludf.DUMMYFUNCTION("""COMPUTED_VALUE"""),44902.0)</f>
        <v>44902</v>
      </c>
      <c r="T2175" s="57">
        <f>IFERROR(__xludf.DUMMYFUNCTION("""COMPUTED_VALUE"""),44972.0)</f>
        <v>44972</v>
      </c>
    </row>
    <row r="2176">
      <c r="A2176" s="6" t="str">
        <f>IFERROR(__xludf.DUMMYFUNCTION("""COMPUTED_VALUE"""),"221750730-1")</f>
        <v>221750730-1</v>
      </c>
      <c r="B2176" s="6" t="str">
        <f>IFERROR(__xludf.DUMMYFUNCTION("""COMPUTED_VALUE"""),"221750730 - Approved")</f>
        <v>221750730 - Approved</v>
      </c>
      <c r="C2176" s="6">
        <f>IFERROR(__xludf.DUMMYFUNCTION("""COMPUTED_VALUE"""),1.0)</f>
        <v>1</v>
      </c>
      <c r="D2176" s="6" t="str">
        <f>IFERROR(__xludf.DUMMYFUNCTION("""COMPUTED_VALUE"""),"S-60002-00")</f>
        <v>S-60002-00</v>
      </c>
      <c r="E2176" s="6" t="str">
        <f>IFERROR(__xludf.DUMMYFUNCTION("""COMPUTED_VALUE"""),"Jasa Perbaikan dan Pemeliharaan Mesin Utility - Penambahan Ducting Supply dan Relokasi Return AHU untuk Ruang Laktasi")</f>
        <v>Jasa Perbaikan dan Pemeliharaan Mesin Utility - Penambahan Ducting Supply dan Relokasi Return AHU untuk Ruang Laktasi</v>
      </c>
      <c r="F2176" s="6">
        <f>IFERROR(__xludf.DUMMYFUNCTION("""COMPUTED_VALUE"""),1.0)</f>
        <v>1</v>
      </c>
      <c r="G2176" s="6" t="str">
        <f>IFERROR(__xludf.DUMMYFUNCTION("""COMPUTED_VALUE"""),"Lot")</f>
        <v>Lot</v>
      </c>
      <c r="H2176" s="6" t="str">
        <f>IFERROR(__xludf.DUMMYFUNCTION("""COMPUTED_VALUE"""),"IDR")</f>
        <v>IDR</v>
      </c>
      <c r="I2176" s="11">
        <f>IFERROR(__xludf.DUMMYFUNCTION("""COMPUTED_VALUE"""),7395000.0)</f>
        <v>7395000</v>
      </c>
      <c r="J2176" s="11">
        <f>IFERROR(__xludf.DUMMYFUNCTION("""COMPUTED_VALUE"""),7395000.0)</f>
        <v>7395000</v>
      </c>
      <c r="K2176" s="57">
        <f>IFERROR(__xludf.DUMMYFUNCTION("""COMPUTED_VALUE"""),44925.0)</f>
        <v>44925</v>
      </c>
      <c r="L2176" s="6" t="str">
        <f>IFERROR(__xludf.DUMMYFUNCTION("""COMPUTED_VALUE"""),"FIP General")</f>
        <v>FIP General</v>
      </c>
      <c r="M2176" s="6" t="str">
        <f>IFERROR(__xludf.DUMMYFUNCTION("""COMPUTED_VALUE"""),"Irwan Sopian")</f>
        <v>Irwan Sopian</v>
      </c>
      <c r="N2176" s="6" t="str">
        <f>IFERROR(__xludf.DUMMYFUNCTION("""COMPUTED_VALUE"""),"FIP Engineering")</f>
        <v>FIP Engineering</v>
      </c>
      <c r="O2176" s="6" t="str">
        <f>IFERROR(__xludf.DUMMYFUNCTION("""COMPUTED_VALUE"""),"FIP-DOM-ENG-51508-0000000-INA-000000")</f>
        <v>FIP-DOM-ENG-51508-0000000-INA-000000</v>
      </c>
      <c r="P2176" s="6" t="str">
        <f>IFERROR(__xludf.DUMMYFUNCTION("""COMPUTED_VALUE"""),"PO Closed")</f>
        <v>PO Closed</v>
      </c>
      <c r="Q2176" s="6" t="str">
        <f>IFERROR(__xludf.DUMMYFUNCTION("""COMPUTED_VALUE"""),"GL2302003")</f>
        <v>GL2302003</v>
      </c>
      <c r="R2176" s="57">
        <f>IFERROR(__xludf.DUMMYFUNCTION("""COMPUTED_VALUE"""),44902.0)</f>
        <v>44902</v>
      </c>
      <c r="S2176" s="57">
        <f>IFERROR(__xludf.DUMMYFUNCTION("""COMPUTED_VALUE"""),44902.0)</f>
        <v>44902</v>
      </c>
      <c r="T2176" s="57">
        <f>IFERROR(__xludf.DUMMYFUNCTION("""COMPUTED_VALUE"""),44972.0)</f>
        <v>44972</v>
      </c>
    </row>
    <row r="2177">
      <c r="A2177" s="6" t="str">
        <f>IFERROR(__xludf.DUMMYFUNCTION("""COMPUTED_VALUE"""),"221750732-1")</f>
        <v>221750732-1</v>
      </c>
      <c r="B2177" s="6" t="str">
        <f>IFERROR(__xludf.DUMMYFUNCTION("""COMPUTED_VALUE"""),"221750732 - Approved")</f>
        <v>221750732 - Approved</v>
      </c>
      <c r="C2177" s="6">
        <f>IFERROR(__xludf.DUMMYFUNCTION("""COMPUTED_VALUE"""),1.0)</f>
        <v>1</v>
      </c>
      <c r="D2177" s="6" t="str">
        <f>IFERROR(__xludf.DUMMYFUNCTION("""COMPUTED_VALUE"""),"Q-11000-00")</f>
        <v>Q-11000-00</v>
      </c>
      <c r="E2177" s="6" t="str">
        <f>IFERROR(__xludf.DUMMYFUNCTION("""COMPUTED_VALUE"""),"Jasa Perbaikan Gedung; ; ; - Partisi Loker Wanita Prosesing")</f>
        <v>Jasa Perbaikan Gedung; ; ; - Partisi Loker Wanita Prosesing</v>
      </c>
      <c r="F2177" s="6">
        <f>IFERROR(__xludf.DUMMYFUNCTION("""COMPUTED_VALUE"""),1.0)</f>
        <v>1</v>
      </c>
      <c r="G2177" s="6" t="str">
        <f>IFERROR(__xludf.DUMMYFUNCTION("""COMPUTED_VALUE"""),"Lot")</f>
        <v>Lot</v>
      </c>
      <c r="H2177" s="6" t="str">
        <f>IFERROR(__xludf.DUMMYFUNCTION("""COMPUTED_VALUE"""),"IDR")</f>
        <v>IDR</v>
      </c>
      <c r="I2177" s="11">
        <f>IFERROR(__xludf.DUMMYFUNCTION("""COMPUTED_VALUE"""),4132500.0)</f>
        <v>4132500</v>
      </c>
      <c r="J2177" s="11">
        <f>IFERROR(__xludf.DUMMYFUNCTION("""COMPUTED_VALUE"""),4132500.0)</f>
        <v>4132500</v>
      </c>
      <c r="K2177" s="57">
        <f>IFERROR(__xludf.DUMMYFUNCTION("""COMPUTED_VALUE"""),44925.0)</f>
        <v>44925</v>
      </c>
      <c r="L2177" s="6" t="str">
        <f>IFERROR(__xludf.DUMMYFUNCTION("""COMPUTED_VALUE"""),"FIP General")</f>
        <v>FIP General</v>
      </c>
      <c r="M2177" s="6" t="str">
        <f>IFERROR(__xludf.DUMMYFUNCTION("""COMPUTED_VALUE"""),"Irwan Sopian")</f>
        <v>Irwan Sopian</v>
      </c>
      <c r="N2177" s="6" t="str">
        <f>IFERROR(__xludf.DUMMYFUNCTION("""COMPUTED_VALUE"""),"FIP Engineering")</f>
        <v>FIP Engineering</v>
      </c>
      <c r="O2177" s="6" t="str">
        <f>IFERROR(__xludf.DUMMYFUNCTION("""COMPUTED_VALUE"""),"FIP-DOM-ENG-51502-0000000-INA-000000")</f>
        <v>FIP-DOM-ENG-51502-0000000-INA-000000</v>
      </c>
      <c r="P2177" s="6" t="str">
        <f>IFERROR(__xludf.DUMMYFUNCTION("""COMPUTED_VALUE"""),"PO Closed")</f>
        <v>PO Closed</v>
      </c>
      <c r="Q2177" s="6" t="str">
        <f>IFERROR(__xludf.DUMMYFUNCTION("""COMPUTED_VALUE"""),"GL2302051")</f>
        <v>GL2302051</v>
      </c>
      <c r="R2177" s="57">
        <f>IFERROR(__xludf.DUMMYFUNCTION("""COMPUTED_VALUE"""),44902.0)</f>
        <v>44902</v>
      </c>
      <c r="S2177" s="57">
        <f>IFERROR(__xludf.DUMMYFUNCTION("""COMPUTED_VALUE"""),44902.0)</f>
        <v>44902</v>
      </c>
      <c r="T2177" s="57">
        <f>IFERROR(__xludf.DUMMYFUNCTION("""COMPUTED_VALUE"""),44987.0)</f>
        <v>44987</v>
      </c>
    </row>
    <row r="2178">
      <c r="A2178" s="6" t="str">
        <f>IFERROR(__xludf.DUMMYFUNCTION("""COMPUTED_VALUE"""),"221750732-2")</f>
        <v>221750732-2</v>
      </c>
      <c r="B2178" s="6" t="str">
        <f>IFERROR(__xludf.DUMMYFUNCTION("""COMPUTED_VALUE"""),"221750732 - Approved")</f>
        <v>221750732 - Approved</v>
      </c>
      <c r="C2178" s="6">
        <f>IFERROR(__xludf.DUMMYFUNCTION("""COMPUTED_VALUE"""),2.0)</f>
        <v>2</v>
      </c>
      <c r="D2178" s="6" t="str">
        <f>IFERROR(__xludf.DUMMYFUNCTION("""COMPUTED_VALUE"""),"Q-11000-00")</f>
        <v>Q-11000-00</v>
      </c>
      <c r="E2178" s="6" t="str">
        <f>IFERROR(__xludf.DUMMYFUNCTION("""COMPUTED_VALUE"""),"Jasa Perbaikan Gedung; ; ; - Bongkar Pasang modifikasi arah bukaan Pintu Water System")</f>
        <v>Jasa Perbaikan Gedung; ; ; - Bongkar Pasang modifikasi arah bukaan Pintu Water System</v>
      </c>
      <c r="F2178" s="6">
        <f>IFERROR(__xludf.DUMMYFUNCTION("""COMPUTED_VALUE"""),1.0)</f>
        <v>1</v>
      </c>
      <c r="G2178" s="6" t="str">
        <f>IFERROR(__xludf.DUMMYFUNCTION("""COMPUTED_VALUE"""),"Lot")</f>
        <v>Lot</v>
      </c>
      <c r="H2178" s="6" t="str">
        <f>IFERROR(__xludf.DUMMYFUNCTION("""COMPUTED_VALUE"""),"IDR")</f>
        <v>IDR</v>
      </c>
      <c r="I2178" s="11">
        <f>IFERROR(__xludf.DUMMYFUNCTION("""COMPUTED_VALUE"""),3000000.0)</f>
        <v>3000000</v>
      </c>
      <c r="J2178" s="11">
        <f>IFERROR(__xludf.DUMMYFUNCTION("""COMPUTED_VALUE"""),3000000.0)</f>
        <v>3000000</v>
      </c>
      <c r="K2178" s="57">
        <f>IFERROR(__xludf.DUMMYFUNCTION("""COMPUTED_VALUE"""),44925.0)</f>
        <v>44925</v>
      </c>
      <c r="L2178" s="6" t="str">
        <f>IFERROR(__xludf.DUMMYFUNCTION("""COMPUTED_VALUE"""),"FIP General")</f>
        <v>FIP General</v>
      </c>
      <c r="M2178" s="6" t="str">
        <f>IFERROR(__xludf.DUMMYFUNCTION("""COMPUTED_VALUE"""),"Irwan Sopian")</f>
        <v>Irwan Sopian</v>
      </c>
      <c r="N2178" s="6" t="str">
        <f>IFERROR(__xludf.DUMMYFUNCTION("""COMPUTED_VALUE"""),"FIP Engineering")</f>
        <v>FIP Engineering</v>
      </c>
      <c r="O2178" s="6" t="str">
        <f>IFERROR(__xludf.DUMMYFUNCTION("""COMPUTED_VALUE"""),"FIP-DOM-ENG-51502-0000000-INA-000000")</f>
        <v>FIP-DOM-ENG-51502-0000000-INA-000000</v>
      </c>
      <c r="P2178" s="6" t="str">
        <f>IFERROR(__xludf.DUMMYFUNCTION("""COMPUTED_VALUE"""),"PO Closed")</f>
        <v>PO Closed</v>
      </c>
      <c r="Q2178" s="6" t="str">
        <f>IFERROR(__xludf.DUMMYFUNCTION("""COMPUTED_VALUE"""),"GL2302051")</f>
        <v>GL2302051</v>
      </c>
      <c r="R2178" s="57">
        <f>IFERROR(__xludf.DUMMYFUNCTION("""COMPUTED_VALUE"""),44902.0)</f>
        <v>44902</v>
      </c>
      <c r="S2178" s="57">
        <f>IFERROR(__xludf.DUMMYFUNCTION("""COMPUTED_VALUE"""),44902.0)</f>
        <v>44902</v>
      </c>
      <c r="T2178" s="57">
        <f>IFERROR(__xludf.DUMMYFUNCTION("""COMPUTED_VALUE"""),44987.0)</f>
        <v>44987</v>
      </c>
    </row>
    <row r="2179">
      <c r="A2179" s="6" t="str">
        <f>IFERROR(__xludf.DUMMYFUNCTION("""COMPUTED_VALUE"""),"221750734-1")</f>
        <v>221750734-1</v>
      </c>
      <c r="B2179" s="6" t="str">
        <f>IFERROR(__xludf.DUMMYFUNCTION("""COMPUTED_VALUE"""),"221750734 - Approved")</f>
        <v>221750734 - Approved</v>
      </c>
      <c r="C2179" s="6">
        <f>IFERROR(__xludf.DUMMYFUNCTION("""COMPUTED_VALUE"""),1.0)</f>
        <v>1</v>
      </c>
      <c r="D2179" s="6" t="str">
        <f>IFERROR(__xludf.DUMMYFUNCTION("""COMPUTED_VALUE"""),"P-51559-00")</f>
        <v>P-51559-00</v>
      </c>
      <c r="E2179" s="6" t="str">
        <f>IFERROR(__xludf.DUMMYFUNCTION("""COMPUTED_VALUE"""),"Lampu T5 14watt Putih; Phillips; ;")</f>
        <v>Lampu T5 14watt Putih; Phillips; ;</v>
      </c>
      <c r="F2179" s="6">
        <f>IFERROR(__xludf.DUMMYFUNCTION("""COMPUTED_VALUE"""),40.0)</f>
        <v>40</v>
      </c>
      <c r="G2179" s="6" t="str">
        <f>IFERROR(__xludf.DUMMYFUNCTION("""COMPUTED_VALUE"""),"Pack")</f>
        <v>Pack</v>
      </c>
      <c r="H2179" s="6" t="str">
        <f>IFERROR(__xludf.DUMMYFUNCTION("""COMPUTED_VALUE"""),"IDR")</f>
        <v>IDR</v>
      </c>
      <c r="I2179" s="11">
        <f>IFERROR(__xludf.DUMMYFUNCTION("""COMPUTED_VALUE"""),29700.0)</f>
        <v>29700</v>
      </c>
      <c r="J2179" s="11">
        <f>IFERROR(__xludf.DUMMYFUNCTION("""COMPUTED_VALUE"""),1188000.0)</f>
        <v>1188000</v>
      </c>
      <c r="K2179" s="57">
        <f>IFERROR(__xludf.DUMMYFUNCTION("""COMPUTED_VALUE"""),44925.0)</f>
        <v>44925</v>
      </c>
      <c r="L2179" s="6" t="str">
        <f>IFERROR(__xludf.DUMMYFUNCTION("""COMPUTED_VALUE"""),"FIP Engineering")</f>
        <v>FIP Engineering</v>
      </c>
      <c r="M2179" s="6" t="str">
        <f>IFERROR(__xludf.DUMMYFUNCTION("""COMPUTED_VALUE"""),"Irwan Sopian")</f>
        <v>Irwan Sopian</v>
      </c>
      <c r="N2179" s="6" t="str">
        <f>IFERROR(__xludf.DUMMYFUNCTION("""COMPUTED_VALUE"""),"FIP Engineering")</f>
        <v>FIP Engineering</v>
      </c>
      <c r="O2179" s="6" t="str">
        <f>IFERROR(__xludf.DUMMYFUNCTION("""COMPUTED_VALUE"""),"FIP-DOM-000-11304-OS00001-INA-000000")</f>
        <v>FIP-DOM-000-11304-OS00001-INA-000000</v>
      </c>
      <c r="P2179" s="6" t="str">
        <f>IFERROR(__xludf.DUMMYFUNCTION("""COMPUTED_VALUE"""),"PO Closed")</f>
        <v>PO Closed</v>
      </c>
      <c r="Q2179" s="6" t="str">
        <f>IFERROR(__xludf.DUMMYFUNCTION("""COMPUTED_VALUE"""),"GL2212008")</f>
        <v>GL2212008</v>
      </c>
      <c r="R2179" s="57">
        <f>IFERROR(__xludf.DUMMYFUNCTION("""COMPUTED_VALUE"""),44902.0)</f>
        <v>44902</v>
      </c>
      <c r="S2179" s="57">
        <f>IFERROR(__xludf.DUMMYFUNCTION("""COMPUTED_VALUE"""),44903.0)</f>
        <v>44903</v>
      </c>
      <c r="T2179" s="57">
        <f>IFERROR(__xludf.DUMMYFUNCTION("""COMPUTED_VALUE"""),44956.0)</f>
        <v>44956</v>
      </c>
    </row>
    <row r="2180">
      <c r="A2180" s="6" t="str">
        <f>IFERROR(__xludf.DUMMYFUNCTION("""COMPUTED_VALUE"""),"221750734-2")</f>
        <v>221750734-2</v>
      </c>
      <c r="B2180" s="6" t="str">
        <f>IFERROR(__xludf.DUMMYFUNCTION("""COMPUTED_VALUE"""),"221750734 - Approved")</f>
        <v>221750734 - Approved</v>
      </c>
      <c r="C2180" s="6">
        <f>IFERROR(__xludf.DUMMYFUNCTION("""COMPUTED_VALUE"""),2.0)</f>
        <v>2</v>
      </c>
      <c r="D2180" s="6" t="str">
        <f>IFERROR(__xludf.DUMMYFUNCTION("""COMPUTED_VALUE"""),"P-51560-00")</f>
        <v>P-51560-00</v>
      </c>
      <c r="E2180" s="6" t="str">
        <f>IFERROR(__xludf.DUMMYFUNCTION("""COMPUTED_VALUE"""),"Lampu T5 28watt Putih; Phillips; ;")</f>
        <v>Lampu T5 28watt Putih; Phillips; ;</v>
      </c>
      <c r="F2180" s="6">
        <f>IFERROR(__xludf.DUMMYFUNCTION("""COMPUTED_VALUE"""),20.0)</f>
        <v>20</v>
      </c>
      <c r="G2180" s="6" t="str">
        <f>IFERROR(__xludf.DUMMYFUNCTION("""COMPUTED_VALUE"""),"Pieces")</f>
        <v>Pieces</v>
      </c>
      <c r="H2180" s="6" t="str">
        <f>IFERROR(__xludf.DUMMYFUNCTION("""COMPUTED_VALUE"""),"IDR")</f>
        <v>IDR</v>
      </c>
      <c r="I2180" s="11">
        <f>IFERROR(__xludf.DUMMYFUNCTION("""COMPUTED_VALUE"""),36000.0)</f>
        <v>36000</v>
      </c>
      <c r="J2180" s="11">
        <f>IFERROR(__xludf.DUMMYFUNCTION("""COMPUTED_VALUE"""),720000.0)</f>
        <v>720000</v>
      </c>
      <c r="K2180" s="57">
        <f>IFERROR(__xludf.DUMMYFUNCTION("""COMPUTED_VALUE"""),44925.0)</f>
        <v>44925</v>
      </c>
      <c r="L2180" s="6" t="str">
        <f>IFERROR(__xludf.DUMMYFUNCTION("""COMPUTED_VALUE"""),"FIP Engineering")</f>
        <v>FIP Engineering</v>
      </c>
      <c r="M2180" s="6" t="str">
        <f>IFERROR(__xludf.DUMMYFUNCTION("""COMPUTED_VALUE"""),"Irwan Sopian")</f>
        <v>Irwan Sopian</v>
      </c>
      <c r="N2180" s="6" t="str">
        <f>IFERROR(__xludf.DUMMYFUNCTION("""COMPUTED_VALUE"""),"FIP Engineering")</f>
        <v>FIP Engineering</v>
      </c>
      <c r="O2180" s="6" t="str">
        <f>IFERROR(__xludf.DUMMYFUNCTION("""COMPUTED_VALUE"""),"FIP-DOM-000-11304-OS00001-INA-000000")</f>
        <v>FIP-DOM-000-11304-OS00001-INA-000000</v>
      </c>
      <c r="P2180" s="6" t="str">
        <f>IFERROR(__xludf.DUMMYFUNCTION("""COMPUTED_VALUE"""),"PO Closed")</f>
        <v>PO Closed</v>
      </c>
      <c r="Q2180" s="6" t="str">
        <f>IFERROR(__xludf.DUMMYFUNCTION("""COMPUTED_VALUE"""),"GL2212008")</f>
        <v>GL2212008</v>
      </c>
      <c r="R2180" s="57">
        <f>IFERROR(__xludf.DUMMYFUNCTION("""COMPUTED_VALUE"""),44902.0)</f>
        <v>44902</v>
      </c>
      <c r="S2180" s="57">
        <f>IFERROR(__xludf.DUMMYFUNCTION("""COMPUTED_VALUE"""),44903.0)</f>
        <v>44903</v>
      </c>
      <c r="T2180" s="57">
        <f>IFERROR(__xludf.DUMMYFUNCTION("""COMPUTED_VALUE"""),44956.0)</f>
        <v>44956</v>
      </c>
    </row>
    <row r="2181">
      <c r="A2181" s="6" t="str">
        <f>IFERROR(__xludf.DUMMYFUNCTION("""COMPUTED_VALUE"""),"221750734-3")</f>
        <v>221750734-3</v>
      </c>
      <c r="B2181" s="6" t="str">
        <f>IFERROR(__xludf.DUMMYFUNCTION("""COMPUTED_VALUE"""),"221750734 - Approved")</f>
        <v>221750734 - Approved</v>
      </c>
      <c r="C2181" s="6">
        <f>IFERROR(__xludf.DUMMYFUNCTION("""COMPUTED_VALUE"""),3.0)</f>
        <v>3</v>
      </c>
      <c r="D2181" s="6" t="str">
        <f>IFERROR(__xludf.DUMMYFUNCTION("""COMPUTED_VALUE"""),"P-52569-00")</f>
        <v>P-52569-00</v>
      </c>
      <c r="E2181" s="6" t="str">
        <f>IFERROR(__xludf.DUMMYFUNCTION("""COMPUTED_VALUE"""),"Limit Switch LX19-001 250 VAC; ; ;")</f>
        <v>Limit Switch LX19-001 250 VAC; ; ;</v>
      </c>
      <c r="F2181" s="6">
        <f>IFERROR(__xludf.DUMMYFUNCTION("""COMPUTED_VALUE"""),4.0)</f>
        <v>4</v>
      </c>
      <c r="G2181" s="6" t="str">
        <f>IFERROR(__xludf.DUMMYFUNCTION("""COMPUTED_VALUE"""),"Pieces")</f>
        <v>Pieces</v>
      </c>
      <c r="H2181" s="6" t="str">
        <f>IFERROR(__xludf.DUMMYFUNCTION("""COMPUTED_VALUE"""),"IDR")</f>
        <v>IDR</v>
      </c>
      <c r="I2181" s="11">
        <f>IFERROR(__xludf.DUMMYFUNCTION("""COMPUTED_VALUE"""),78000.0)</f>
        <v>78000</v>
      </c>
      <c r="J2181" s="11">
        <f>IFERROR(__xludf.DUMMYFUNCTION("""COMPUTED_VALUE"""),312000.0)</f>
        <v>312000</v>
      </c>
      <c r="K2181" s="57">
        <f>IFERROR(__xludf.DUMMYFUNCTION("""COMPUTED_VALUE"""),44925.0)</f>
        <v>44925</v>
      </c>
      <c r="L2181" s="6" t="str">
        <f>IFERROR(__xludf.DUMMYFUNCTION("""COMPUTED_VALUE"""),"FIP Engineering")</f>
        <v>FIP Engineering</v>
      </c>
      <c r="M2181" s="6" t="str">
        <f>IFERROR(__xludf.DUMMYFUNCTION("""COMPUTED_VALUE"""),"Irwan Sopian")</f>
        <v>Irwan Sopian</v>
      </c>
      <c r="N2181" s="6" t="str">
        <f>IFERROR(__xludf.DUMMYFUNCTION("""COMPUTED_VALUE"""),"FIP Engineering")</f>
        <v>FIP Engineering</v>
      </c>
      <c r="O2181" s="6" t="str">
        <f>IFERROR(__xludf.DUMMYFUNCTION("""COMPUTED_VALUE"""),"FIP-DOM-000-11304-OS00001-INA-000000")</f>
        <v>FIP-DOM-000-11304-OS00001-INA-000000</v>
      </c>
      <c r="P2181" s="6" t="str">
        <f>IFERROR(__xludf.DUMMYFUNCTION("""COMPUTED_VALUE"""),"PO Closed")</f>
        <v>PO Closed</v>
      </c>
      <c r="Q2181" s="6" t="str">
        <f>IFERROR(__xludf.DUMMYFUNCTION("""COMPUTED_VALUE"""),"GL2212008")</f>
        <v>GL2212008</v>
      </c>
      <c r="R2181" s="57">
        <f>IFERROR(__xludf.DUMMYFUNCTION("""COMPUTED_VALUE"""),44902.0)</f>
        <v>44902</v>
      </c>
      <c r="S2181" s="57">
        <f>IFERROR(__xludf.DUMMYFUNCTION("""COMPUTED_VALUE"""),44903.0)</f>
        <v>44903</v>
      </c>
      <c r="T2181" s="57">
        <f>IFERROR(__xludf.DUMMYFUNCTION("""COMPUTED_VALUE"""),44956.0)</f>
        <v>44956</v>
      </c>
    </row>
    <row r="2182">
      <c r="A2182" s="6" t="str">
        <f>IFERROR(__xludf.DUMMYFUNCTION("""COMPUTED_VALUE"""),"221750735-1")</f>
        <v>221750735-1</v>
      </c>
      <c r="B2182" s="6" t="str">
        <f>IFERROR(__xludf.DUMMYFUNCTION("""COMPUTED_VALUE"""),"221750735 - Approved")</f>
        <v>221750735 - Approved</v>
      </c>
      <c r="C2182" s="6">
        <f>IFERROR(__xludf.DUMMYFUNCTION("""COMPUTED_VALUE"""),1.0)</f>
        <v>1</v>
      </c>
      <c r="D2182" s="6" t="str">
        <f>IFERROR(__xludf.DUMMYFUNCTION("""COMPUTED_VALUE"""),"P-13732-00")</f>
        <v>P-13732-00</v>
      </c>
      <c r="E2182" s="6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F2182" s="6">
        <f>IFERROR(__xludf.DUMMYFUNCTION("""COMPUTED_VALUE"""),1.0)</f>
        <v>1</v>
      </c>
      <c r="G2182" s="6" t="str">
        <f>IFERROR(__xludf.DUMMYFUNCTION("""COMPUTED_VALUE"""),"Unit")</f>
        <v>Unit</v>
      </c>
      <c r="H2182" s="6" t="str">
        <f>IFERROR(__xludf.DUMMYFUNCTION("""COMPUTED_VALUE"""),"IDR")</f>
        <v>IDR</v>
      </c>
      <c r="I2182" s="11">
        <f>IFERROR(__xludf.DUMMYFUNCTION("""COMPUTED_VALUE"""),4.5594E7)</f>
        <v>45594000</v>
      </c>
      <c r="J2182" s="11">
        <f>IFERROR(__xludf.DUMMYFUNCTION("""COMPUTED_VALUE"""),4.5594E7)</f>
        <v>45594000</v>
      </c>
      <c r="K2182" s="57">
        <f>IFERROR(__xludf.DUMMYFUNCTION("""COMPUTED_VALUE"""),44939.0)</f>
        <v>44939</v>
      </c>
      <c r="L2182" s="6" t="str">
        <f>IFERROR(__xludf.DUMMYFUNCTION("""COMPUTED_VALUE"""),"FIP Engineering")</f>
        <v>FIP Engineering</v>
      </c>
      <c r="M2182" s="6" t="str">
        <f>IFERROR(__xludf.DUMMYFUNCTION("""COMPUTED_VALUE"""),"Irwan Sopian")</f>
        <v>Irwan Sopian</v>
      </c>
      <c r="N2182" s="6" t="str">
        <f>IFERROR(__xludf.DUMMYFUNCTION("""COMPUTED_VALUE"""),"FIP Engineering")</f>
        <v>FIP Engineering</v>
      </c>
      <c r="O2182" s="6" t="str">
        <f>IFERROR(__xludf.DUMMYFUNCTION("""COMPUTED_VALUE"""),"FIP-DOM-000-11304-OS00001-INA-000000")</f>
        <v>FIP-DOM-000-11304-OS00001-INA-000000</v>
      </c>
      <c r="P2182" s="6" t="str">
        <f>IFERROR(__xludf.DUMMYFUNCTION("""COMPUTED_VALUE"""),"PO Closed")</f>
        <v>PO Closed</v>
      </c>
      <c r="Q2182" s="6" t="str">
        <f>IFERROR(__xludf.DUMMYFUNCTION("""COMPUTED_VALUE"""),"GL2301002")</f>
        <v>GL2301002</v>
      </c>
      <c r="R2182" s="57">
        <f>IFERROR(__xludf.DUMMYFUNCTION("""COMPUTED_VALUE"""),44902.0)</f>
        <v>44902</v>
      </c>
      <c r="S2182" s="57">
        <f>IFERROR(__xludf.DUMMYFUNCTION("""COMPUTED_VALUE"""),44903.0)</f>
        <v>44903</v>
      </c>
      <c r="T2182" s="57">
        <f>IFERROR(__xludf.DUMMYFUNCTION("""COMPUTED_VALUE"""),45015.0)</f>
        <v>45015</v>
      </c>
    </row>
    <row r="2183">
      <c r="A2183" s="6" t="str">
        <f>IFERROR(__xludf.DUMMYFUNCTION("""COMPUTED_VALUE"""),"221750735-2")</f>
        <v>221750735-2</v>
      </c>
      <c r="B2183" s="6" t="str">
        <f>IFERROR(__xludf.DUMMYFUNCTION("""COMPUTED_VALUE"""),"221750735 - Approved")</f>
        <v>221750735 - Approved</v>
      </c>
      <c r="C2183" s="6">
        <f>IFERROR(__xludf.DUMMYFUNCTION("""COMPUTED_VALUE"""),2.0)</f>
        <v>2</v>
      </c>
      <c r="D2183" s="6" t="str">
        <f>IFERROR(__xludf.DUMMYFUNCTION("""COMPUTED_VALUE"""),"P-10266-00")</f>
        <v>P-10266-00</v>
      </c>
      <c r="E2183" s="6" t="str">
        <f>IFERROR(__xludf.DUMMYFUNCTION("""COMPUTED_VALUE"""),"Valve Bellows sealed globe valve BSA 1/BSA 1T PN 16 size 80mm")</f>
        <v>Valve Bellows sealed globe valve BSA 1/BSA 1T PN 16 size 80mm</v>
      </c>
      <c r="F2183" s="6">
        <f>IFERROR(__xludf.DUMMYFUNCTION("""COMPUTED_VALUE"""),1.0)</f>
        <v>1</v>
      </c>
      <c r="G2183" s="6" t="str">
        <f>IFERROR(__xludf.DUMMYFUNCTION("""COMPUTED_VALUE"""),"Pieces")</f>
        <v>Pieces</v>
      </c>
      <c r="H2183" s="6" t="str">
        <f>IFERROR(__xludf.DUMMYFUNCTION("""COMPUTED_VALUE"""),"IDR")</f>
        <v>IDR</v>
      </c>
      <c r="I2183" s="11">
        <f>IFERROR(__xludf.DUMMYFUNCTION("""COMPUTED_VALUE"""),1.7341E7)</f>
        <v>17341000</v>
      </c>
      <c r="J2183" s="11">
        <f>IFERROR(__xludf.DUMMYFUNCTION("""COMPUTED_VALUE"""),1.7341E7)</f>
        <v>17341000</v>
      </c>
      <c r="K2183" s="57">
        <f>IFERROR(__xludf.DUMMYFUNCTION("""COMPUTED_VALUE"""),44939.0)</f>
        <v>44939</v>
      </c>
      <c r="L2183" s="6" t="str">
        <f>IFERROR(__xludf.DUMMYFUNCTION("""COMPUTED_VALUE"""),"FIP Engineering")</f>
        <v>FIP Engineering</v>
      </c>
      <c r="M2183" s="6" t="str">
        <f>IFERROR(__xludf.DUMMYFUNCTION("""COMPUTED_VALUE"""),"Irwan Sopian")</f>
        <v>Irwan Sopian</v>
      </c>
      <c r="N2183" s="6" t="str">
        <f>IFERROR(__xludf.DUMMYFUNCTION("""COMPUTED_VALUE"""),"FIP Engineering")</f>
        <v>FIP Engineering</v>
      </c>
      <c r="O2183" s="6" t="str">
        <f>IFERROR(__xludf.DUMMYFUNCTION("""COMPUTED_VALUE"""),"FIP-DOM-000-11304-OS00001-INA-000000")</f>
        <v>FIP-DOM-000-11304-OS00001-INA-000000</v>
      </c>
      <c r="P2183" s="6" t="str">
        <f>IFERROR(__xludf.DUMMYFUNCTION("""COMPUTED_VALUE"""),"PO Closed")</f>
        <v>PO Closed</v>
      </c>
      <c r="Q2183" s="6" t="str">
        <f>IFERROR(__xludf.DUMMYFUNCTION("""COMPUTED_VALUE"""),"GL2301002")</f>
        <v>GL2301002</v>
      </c>
      <c r="R2183" s="57">
        <f>IFERROR(__xludf.DUMMYFUNCTION("""COMPUTED_VALUE"""),44902.0)</f>
        <v>44902</v>
      </c>
      <c r="S2183" s="57">
        <f>IFERROR(__xludf.DUMMYFUNCTION("""COMPUTED_VALUE"""),44903.0)</f>
        <v>44903</v>
      </c>
      <c r="T2183" s="57">
        <f>IFERROR(__xludf.DUMMYFUNCTION("""COMPUTED_VALUE"""),45015.0)</f>
        <v>45015</v>
      </c>
    </row>
    <row r="2184">
      <c r="A2184" s="6" t="str">
        <f>IFERROR(__xludf.DUMMYFUNCTION("""COMPUTED_VALUE"""),"221750736-1")</f>
        <v>221750736-1</v>
      </c>
      <c r="B2184" s="6" t="str">
        <f>IFERROR(__xludf.DUMMYFUNCTION("""COMPUTED_VALUE"""),"221750736 - Approved")</f>
        <v>221750736 - Approved</v>
      </c>
      <c r="C2184" s="6">
        <f>IFERROR(__xludf.DUMMYFUNCTION("""COMPUTED_VALUE"""),1.0)</f>
        <v>1</v>
      </c>
      <c r="D2184" s="6" t="str">
        <f>IFERROR(__xludf.DUMMYFUNCTION("""COMPUTED_VALUE"""),"Q-10949-00")</f>
        <v>Q-10949-00</v>
      </c>
      <c r="E2184" s="6" t="str">
        <f>IFERROR(__xludf.DUMMYFUNCTION("""COMPUTED_VALUE"""),"SCHINDLER ELEVATOR - Ceiling Lamp Cover; ; ;")</f>
        <v>SCHINDLER ELEVATOR - Ceiling Lamp Cover; ; ;</v>
      </c>
      <c r="F2184" s="6">
        <f>IFERROR(__xludf.DUMMYFUNCTION("""COMPUTED_VALUE"""),2.0)</f>
        <v>2</v>
      </c>
      <c r="G2184" s="6" t="str">
        <f>IFERROR(__xludf.DUMMYFUNCTION("""COMPUTED_VALUE"""),"Pieces")</f>
        <v>Pieces</v>
      </c>
      <c r="H2184" s="6" t="str">
        <f>IFERROR(__xludf.DUMMYFUNCTION("""COMPUTED_VALUE"""),"IDR")</f>
        <v>IDR</v>
      </c>
      <c r="I2184" s="11">
        <f>IFERROR(__xludf.DUMMYFUNCTION("""COMPUTED_VALUE"""),1203500.0)</f>
        <v>1203500</v>
      </c>
      <c r="J2184" s="11">
        <f>IFERROR(__xludf.DUMMYFUNCTION("""COMPUTED_VALUE"""),2407000.0)</f>
        <v>2407000</v>
      </c>
      <c r="K2184" s="57">
        <f>IFERROR(__xludf.DUMMYFUNCTION("""COMPUTED_VALUE"""),44925.0)</f>
        <v>44925</v>
      </c>
      <c r="L2184" s="6" t="str">
        <f>IFERROR(__xludf.DUMMYFUNCTION("""COMPUTED_VALUE"""),"FIP General")</f>
        <v>FIP General</v>
      </c>
      <c r="M2184" s="6" t="str">
        <f>IFERROR(__xludf.DUMMYFUNCTION("""COMPUTED_VALUE"""),"Irwan Sopian")</f>
        <v>Irwan Sopian</v>
      </c>
      <c r="N2184" s="6" t="str">
        <f>IFERROR(__xludf.DUMMYFUNCTION("""COMPUTED_VALUE"""),"FIP Engineering")</f>
        <v>FIP Engineering</v>
      </c>
      <c r="O2184" s="6" t="str">
        <f>IFERROR(__xludf.DUMMYFUNCTION("""COMPUTED_VALUE"""),"FIP-DOM-ENG-51504-0000000-INA-000000")</f>
        <v>FIP-DOM-ENG-51504-0000000-INA-000000</v>
      </c>
      <c r="P2184" s="6" t="str">
        <f>IFERROR(__xludf.DUMMYFUNCTION("""COMPUTED_VALUE"""),"PO Closed")</f>
        <v>PO Closed</v>
      </c>
      <c r="Q2184" s="6" t="str">
        <f>IFERROR(__xludf.DUMMYFUNCTION("""COMPUTED_VALUE"""),"GL2303051")</f>
        <v>GL2303051</v>
      </c>
      <c r="R2184" s="57">
        <f>IFERROR(__xludf.DUMMYFUNCTION("""COMPUTED_VALUE"""),44902.0)</f>
        <v>44902</v>
      </c>
      <c r="S2184" s="57">
        <f>IFERROR(__xludf.DUMMYFUNCTION("""COMPUTED_VALUE"""),44903.0)</f>
        <v>44903</v>
      </c>
      <c r="T2184" s="57">
        <f>IFERROR(__xludf.DUMMYFUNCTION("""COMPUTED_VALUE"""),45096.0)</f>
        <v>45096</v>
      </c>
    </row>
    <row r="2185">
      <c r="A2185" s="6" t="str">
        <f>IFERROR(__xludf.DUMMYFUNCTION("""COMPUTED_VALUE"""),"221750740-1")</f>
        <v>221750740-1</v>
      </c>
      <c r="B2185" s="6" t="str">
        <f>IFERROR(__xludf.DUMMYFUNCTION("""COMPUTED_VALUE"""),"221750740 - Approved")</f>
        <v>221750740 - Approved</v>
      </c>
      <c r="C2185" s="6">
        <f>IFERROR(__xludf.DUMMYFUNCTION("""COMPUTED_VALUE"""),1.0)</f>
        <v>1</v>
      </c>
      <c r="D2185" s="6" t="str">
        <f>IFERROR(__xludf.DUMMYFUNCTION("""COMPUTED_VALUE"""),"S-60002-00")</f>
        <v>S-60002-00</v>
      </c>
      <c r="E2185" s="6" t="str">
        <f>IFERROR(__xludf.DUMMYFUNCTION("""COMPUTED_VALUE"""),"Jasa Perbaikan dan Pemeliharaan Mesin Utility - TroubleShooting Jaringan Pagging Lt3")</f>
        <v>Jasa Perbaikan dan Pemeliharaan Mesin Utility - TroubleShooting Jaringan Pagging Lt3</v>
      </c>
      <c r="F2185" s="6">
        <f>IFERROR(__xludf.DUMMYFUNCTION("""COMPUTED_VALUE"""),1.0)</f>
        <v>1</v>
      </c>
      <c r="G2185" s="6" t="str">
        <f>IFERROR(__xludf.DUMMYFUNCTION("""COMPUTED_VALUE"""),"Lot")</f>
        <v>Lot</v>
      </c>
      <c r="H2185" s="6" t="str">
        <f>IFERROR(__xludf.DUMMYFUNCTION("""COMPUTED_VALUE"""),"IDR")</f>
        <v>IDR</v>
      </c>
      <c r="I2185" s="11">
        <f>IFERROR(__xludf.DUMMYFUNCTION("""COMPUTED_VALUE"""),2000000.0)</f>
        <v>2000000</v>
      </c>
      <c r="J2185" s="11">
        <f>IFERROR(__xludf.DUMMYFUNCTION("""COMPUTED_VALUE"""),2000000.0)</f>
        <v>2000000</v>
      </c>
      <c r="K2185" s="57">
        <f>IFERROR(__xludf.DUMMYFUNCTION("""COMPUTED_VALUE"""),44923.0)</f>
        <v>44923</v>
      </c>
      <c r="L2185" s="6" t="str">
        <f>IFERROR(__xludf.DUMMYFUNCTION("""COMPUTED_VALUE"""),"FIP General")</f>
        <v>FIP General</v>
      </c>
      <c r="M2185" s="6" t="str">
        <f>IFERROR(__xludf.DUMMYFUNCTION("""COMPUTED_VALUE"""),"Irwan Sopian")</f>
        <v>Irwan Sopian</v>
      </c>
      <c r="N2185" s="6" t="str">
        <f>IFERROR(__xludf.DUMMYFUNCTION("""COMPUTED_VALUE"""),"FIP Engineering")</f>
        <v>FIP Engineering</v>
      </c>
      <c r="O2185" s="6" t="str">
        <f>IFERROR(__xludf.DUMMYFUNCTION("""COMPUTED_VALUE"""),"FIP-DOM-ENG-51508-0000000-INA-000000")</f>
        <v>FIP-DOM-ENG-51508-0000000-INA-000000</v>
      </c>
      <c r="P2185" s="6" t="str">
        <f>IFERROR(__xludf.DUMMYFUNCTION("""COMPUTED_VALUE"""),"PO Closed")</f>
        <v>PO Closed</v>
      </c>
      <c r="Q2185" s="6" t="str">
        <f>IFERROR(__xludf.DUMMYFUNCTION("""COMPUTED_VALUE"""),"GL2212038")</f>
        <v>GL2212038</v>
      </c>
      <c r="R2185" s="57">
        <f>IFERROR(__xludf.DUMMYFUNCTION("""COMPUTED_VALUE"""),44905.0)</f>
        <v>44905</v>
      </c>
      <c r="S2185" s="57">
        <f>IFERROR(__xludf.DUMMYFUNCTION("""COMPUTED_VALUE"""),44915.0)</f>
        <v>44915</v>
      </c>
      <c r="T2185" s="57">
        <f>IFERROR(__xludf.DUMMYFUNCTION("""COMPUTED_VALUE"""),44962.0)</f>
        <v>44962</v>
      </c>
    </row>
    <row r="2186">
      <c r="A2186" s="6" t="str">
        <f>IFERROR(__xludf.DUMMYFUNCTION("""COMPUTED_VALUE"""),"221750763-1")</f>
        <v>221750763-1</v>
      </c>
      <c r="B2186" s="6" t="str">
        <f>IFERROR(__xludf.DUMMYFUNCTION("""COMPUTED_VALUE"""),"221750763 - Approved")</f>
        <v>221750763 - Approved</v>
      </c>
      <c r="C2186" s="6">
        <f>IFERROR(__xludf.DUMMYFUNCTION("""COMPUTED_VALUE"""),1.0)</f>
        <v>1</v>
      </c>
      <c r="D2186" s="6" t="str">
        <f>IFERROR(__xludf.DUMMYFUNCTION("""COMPUTED_VALUE"""),"S-60050-00")</f>
        <v>S-60050-00</v>
      </c>
      <c r="E2186" s="6" t="str">
        <f>IFERROR(__xludf.DUMMYFUNCTION("""COMPUTED_VALUE"""),"Jasa Perbaikan dan Pemeliharaan Mesin Produksi; ; ; - 6SL3244-0BB12-1PA1 SINAMICS G120 CONTROL UNIT CU240E-2 DP E-TYPE SAFETY INTEGRATED STO PROFIBUS DP 6DI, 3DO, 2AI, 2AO, MAX 1F-DI PTC/KTY")</f>
        <v>Jasa Perbaikan dan Pemeliharaan Mesin Produksi; ; ; - 6SL3244-0BB12-1PA1 SINAMICS G120 CONTROL UNIT CU240E-2 DP E-TYPE SAFETY INTEGRATED STO PROFIBUS DP 6DI, 3DO, 2AI, 2AO, MAX 1F-DI PTC/KTY</v>
      </c>
      <c r="F2186" s="6">
        <f>IFERROR(__xludf.DUMMYFUNCTION("""COMPUTED_VALUE"""),1.0)</f>
        <v>1</v>
      </c>
      <c r="G2186" s="6" t="str">
        <f>IFERROR(__xludf.DUMMYFUNCTION("""COMPUTED_VALUE"""),"Pieces")</f>
        <v>Pieces</v>
      </c>
      <c r="H2186" s="6" t="str">
        <f>IFERROR(__xludf.DUMMYFUNCTION("""COMPUTED_VALUE"""),"IDR")</f>
        <v>IDR</v>
      </c>
      <c r="I2186" s="11">
        <f>IFERROR(__xludf.DUMMYFUNCTION("""COMPUTED_VALUE"""),5450000.0)</f>
        <v>5450000</v>
      </c>
      <c r="J2186" s="11">
        <f>IFERROR(__xludf.DUMMYFUNCTION("""COMPUTED_VALUE"""),5450000.0)</f>
        <v>5450000</v>
      </c>
      <c r="K2186" s="57">
        <f>IFERROR(__xludf.DUMMYFUNCTION("""COMPUTED_VALUE"""),44929.0)</f>
        <v>44929</v>
      </c>
      <c r="L2186" s="6" t="str">
        <f>IFERROR(__xludf.DUMMYFUNCTION("""COMPUTED_VALUE"""),"FIP General")</f>
        <v>FIP General</v>
      </c>
      <c r="M2186" s="6" t="str">
        <f>IFERROR(__xludf.DUMMYFUNCTION("""COMPUTED_VALUE"""),"Irwan Sopian")</f>
        <v>Irwan Sopian</v>
      </c>
      <c r="N2186" s="6" t="str">
        <f>IFERROR(__xludf.DUMMYFUNCTION("""COMPUTED_VALUE"""),"FIP Engineering")</f>
        <v>FIP Engineering</v>
      </c>
      <c r="O2186" s="6" t="str">
        <f>IFERROR(__xludf.DUMMYFUNCTION("""COMPUTED_VALUE"""),"FIP-DOM-ENG-51504-0000000-INA-000000")</f>
        <v>FIP-DOM-ENG-51504-0000000-INA-000000</v>
      </c>
      <c r="P2186" s="6" t="str">
        <f>IFERROR(__xludf.DUMMYFUNCTION("""COMPUTED_VALUE"""),"PO Closed")</f>
        <v>PO Closed</v>
      </c>
      <c r="Q2186" s="6" t="str">
        <f>IFERROR(__xludf.DUMMYFUNCTION("""COMPUTED_VALUE"""),"GL2212028")</f>
        <v>GL2212028</v>
      </c>
      <c r="R2186" s="57">
        <f>IFERROR(__xludf.DUMMYFUNCTION("""COMPUTED_VALUE"""),44915.0)</f>
        <v>44915</v>
      </c>
      <c r="S2186" s="57">
        <f>IFERROR(__xludf.DUMMYFUNCTION("""COMPUTED_VALUE"""),44918.0)</f>
        <v>44918</v>
      </c>
      <c r="T2186" s="57">
        <f>IFERROR(__xludf.DUMMYFUNCTION("""COMPUTED_VALUE"""),44927.0)</f>
        <v>44927</v>
      </c>
    </row>
    <row r="2187">
      <c r="A2187" s="6" t="str">
        <f>IFERROR(__xludf.DUMMYFUNCTION("""COMPUTED_VALUE"""),"221750763-2")</f>
        <v>221750763-2</v>
      </c>
      <c r="B2187" s="6" t="str">
        <f>IFERROR(__xludf.DUMMYFUNCTION("""COMPUTED_VALUE"""),"221750763 - Approved")</f>
        <v>221750763 - Approved</v>
      </c>
      <c r="C2187" s="6">
        <f>IFERROR(__xludf.DUMMYFUNCTION("""COMPUTED_VALUE"""),2.0)</f>
        <v>2</v>
      </c>
      <c r="D2187" s="6" t="str">
        <f>IFERROR(__xludf.DUMMYFUNCTION("""COMPUTED_VALUE"""),"S-60050-00")</f>
        <v>S-60050-00</v>
      </c>
      <c r="E2187" s="6" t="str">
        <f>IFERROR(__xludf.DUMMYFUNCTION("""COMPUTED_VALUE"""),"Jasa Perbaikan dan Pemeliharaan Mesin Produksi; ; ; - [6SL3255-0AA00-4CA1] 6SL3255-0AA00-4CA1 SINAMICS G120 BASIC OPERATOR PANEL (BOP-2)")</f>
        <v>Jasa Perbaikan dan Pemeliharaan Mesin Produksi; ; ; - [6SL3255-0AA00-4CA1] 6SL3255-0AA00-4CA1 SINAMICS G120 BASIC OPERATOR PANEL (BOP-2)</v>
      </c>
      <c r="F2187" s="6">
        <f>IFERROR(__xludf.DUMMYFUNCTION("""COMPUTED_VALUE"""),1.0)</f>
        <v>1</v>
      </c>
      <c r="G2187" s="6" t="str">
        <f>IFERROR(__xludf.DUMMYFUNCTION("""COMPUTED_VALUE"""),"Pieces")</f>
        <v>Pieces</v>
      </c>
      <c r="H2187" s="6" t="str">
        <f>IFERROR(__xludf.DUMMYFUNCTION("""COMPUTED_VALUE"""),"IDR")</f>
        <v>IDR</v>
      </c>
      <c r="I2187" s="11">
        <f>IFERROR(__xludf.DUMMYFUNCTION("""COMPUTED_VALUE"""),745000.0)</f>
        <v>745000</v>
      </c>
      <c r="J2187" s="11">
        <f>IFERROR(__xludf.DUMMYFUNCTION("""COMPUTED_VALUE"""),745000.0)</f>
        <v>745000</v>
      </c>
      <c r="K2187" s="57">
        <f>IFERROR(__xludf.DUMMYFUNCTION("""COMPUTED_VALUE"""),44929.0)</f>
        <v>44929</v>
      </c>
      <c r="L2187" s="6" t="str">
        <f>IFERROR(__xludf.DUMMYFUNCTION("""COMPUTED_VALUE"""),"FIP General")</f>
        <v>FIP General</v>
      </c>
      <c r="M2187" s="6" t="str">
        <f>IFERROR(__xludf.DUMMYFUNCTION("""COMPUTED_VALUE"""),"Irwan Sopian")</f>
        <v>Irwan Sopian</v>
      </c>
      <c r="N2187" s="6" t="str">
        <f>IFERROR(__xludf.DUMMYFUNCTION("""COMPUTED_VALUE"""),"FIP Engineering")</f>
        <v>FIP Engineering</v>
      </c>
      <c r="O2187" s="6" t="str">
        <f>IFERROR(__xludf.DUMMYFUNCTION("""COMPUTED_VALUE"""),"FIP-DOM-ENG-51504-0000000-INA-000000")</f>
        <v>FIP-DOM-ENG-51504-0000000-INA-000000</v>
      </c>
      <c r="P2187" s="6" t="str">
        <f>IFERROR(__xludf.DUMMYFUNCTION("""COMPUTED_VALUE"""),"PO Closed")</f>
        <v>PO Closed</v>
      </c>
      <c r="Q2187" s="6" t="str">
        <f>IFERROR(__xludf.DUMMYFUNCTION("""COMPUTED_VALUE"""),"GL2212028")</f>
        <v>GL2212028</v>
      </c>
      <c r="R2187" s="57">
        <f>IFERROR(__xludf.DUMMYFUNCTION("""COMPUTED_VALUE"""),44915.0)</f>
        <v>44915</v>
      </c>
      <c r="S2187" s="57">
        <f>IFERROR(__xludf.DUMMYFUNCTION("""COMPUTED_VALUE"""),44918.0)</f>
        <v>44918</v>
      </c>
      <c r="T2187" s="57">
        <f>IFERROR(__xludf.DUMMYFUNCTION("""COMPUTED_VALUE"""),44927.0)</f>
        <v>44927</v>
      </c>
    </row>
    <row r="2188">
      <c r="A2188" s="6" t="str">
        <f>IFERROR(__xludf.DUMMYFUNCTION("""COMPUTED_VALUE"""),"221750763-3")</f>
        <v>221750763-3</v>
      </c>
      <c r="B2188" s="6" t="str">
        <f>IFERROR(__xludf.DUMMYFUNCTION("""COMPUTED_VALUE"""),"221750763 - Approved")</f>
        <v>221750763 - Approved</v>
      </c>
      <c r="C2188" s="6">
        <f>IFERROR(__xludf.DUMMYFUNCTION("""COMPUTED_VALUE"""),3.0)</f>
        <v>3</v>
      </c>
      <c r="D2188" s="6" t="str">
        <f>IFERROR(__xludf.DUMMYFUNCTION("""COMPUTED_VALUE"""),"S-60050-00")</f>
        <v>S-60050-00</v>
      </c>
      <c r="E2188" s="6" t="str">
        <f>IFERROR(__xludf.DUMMYFUNCTION("""COMPUTED_VALUE"""),"Jasa Perbaikan dan Pemeliharaan Mesin Produksi; ; ; - JASA ENGINEERING")</f>
        <v>Jasa Perbaikan dan Pemeliharaan Mesin Produksi; ; ; - JASA ENGINEERING</v>
      </c>
      <c r="F2188" s="6">
        <f>IFERROR(__xludf.DUMMYFUNCTION("""COMPUTED_VALUE"""),1.0)</f>
        <v>1</v>
      </c>
      <c r="G2188" s="6" t="str">
        <f>IFERROR(__xludf.DUMMYFUNCTION("""COMPUTED_VALUE"""),"Pieces")</f>
        <v>Pieces</v>
      </c>
      <c r="H2188" s="6" t="str">
        <f>IFERROR(__xludf.DUMMYFUNCTION("""COMPUTED_VALUE"""),"IDR")</f>
        <v>IDR</v>
      </c>
      <c r="I2188" s="11">
        <f>IFERROR(__xludf.DUMMYFUNCTION("""COMPUTED_VALUE"""),1.3E7)</f>
        <v>13000000</v>
      </c>
      <c r="J2188" s="11">
        <f>IFERROR(__xludf.DUMMYFUNCTION("""COMPUTED_VALUE"""),1.3E7)</f>
        <v>13000000</v>
      </c>
      <c r="K2188" s="57">
        <f>IFERROR(__xludf.DUMMYFUNCTION("""COMPUTED_VALUE"""),44929.0)</f>
        <v>44929</v>
      </c>
      <c r="L2188" s="6" t="str">
        <f>IFERROR(__xludf.DUMMYFUNCTION("""COMPUTED_VALUE"""),"FIP General")</f>
        <v>FIP General</v>
      </c>
      <c r="M2188" s="6" t="str">
        <f>IFERROR(__xludf.DUMMYFUNCTION("""COMPUTED_VALUE"""),"Irwan Sopian")</f>
        <v>Irwan Sopian</v>
      </c>
      <c r="N2188" s="6" t="str">
        <f>IFERROR(__xludf.DUMMYFUNCTION("""COMPUTED_VALUE"""),"FIP Engineering")</f>
        <v>FIP Engineering</v>
      </c>
      <c r="O2188" s="6" t="str">
        <f>IFERROR(__xludf.DUMMYFUNCTION("""COMPUTED_VALUE"""),"FIP-DOM-ENG-51504-0000000-INA-000000")</f>
        <v>FIP-DOM-ENG-51504-0000000-INA-000000</v>
      </c>
      <c r="P2188" s="6" t="str">
        <f>IFERROR(__xludf.DUMMYFUNCTION("""COMPUTED_VALUE"""),"PO Closed")</f>
        <v>PO Closed</v>
      </c>
      <c r="Q2188" s="6" t="str">
        <f>IFERROR(__xludf.DUMMYFUNCTION("""COMPUTED_VALUE"""),"GL2212028")</f>
        <v>GL2212028</v>
      </c>
      <c r="R2188" s="57">
        <f>IFERROR(__xludf.DUMMYFUNCTION("""COMPUTED_VALUE"""),44915.0)</f>
        <v>44915</v>
      </c>
      <c r="S2188" s="57">
        <f>IFERROR(__xludf.DUMMYFUNCTION("""COMPUTED_VALUE"""),44918.0)</f>
        <v>44918</v>
      </c>
      <c r="T2188" s="57">
        <f>IFERROR(__xludf.DUMMYFUNCTION("""COMPUTED_VALUE"""),44927.0)</f>
        <v>44927</v>
      </c>
    </row>
    <row r="2189">
      <c r="A2189" s="6" t="str">
        <f>IFERROR(__xludf.DUMMYFUNCTION("""COMPUTED_VALUE"""),"221750763-4")</f>
        <v>221750763-4</v>
      </c>
      <c r="B2189" s="6" t="str">
        <f>IFERROR(__xludf.DUMMYFUNCTION("""COMPUTED_VALUE"""),"221750763 - Approved")</f>
        <v>221750763 - Approved</v>
      </c>
      <c r="C2189" s="6">
        <f>IFERROR(__xludf.DUMMYFUNCTION("""COMPUTED_VALUE"""),4.0)</f>
        <v>4</v>
      </c>
      <c r="D2189" s="6" t="str">
        <f>IFERROR(__xludf.DUMMYFUNCTION("""COMPUTED_VALUE"""),"S-60050-00")</f>
        <v>S-60050-00</v>
      </c>
      <c r="E2189" s="6" t="str">
        <f>IFERROR(__xludf.DUMMYFUNCTION("""COMPUTED_VALUE"""),"Jasa Perbaikan dan Pemeliharaan Mesin Produksi; ; ; - Inverter SINAMICS Power Module PM240-2 6SL3210-1PE16-1AL1")</f>
        <v>Jasa Perbaikan dan Pemeliharaan Mesin Produksi; ; ; - Inverter SINAMICS Power Module PM240-2 6SL3210-1PE16-1AL1</v>
      </c>
      <c r="F2189" s="6">
        <f>IFERROR(__xludf.DUMMYFUNCTION("""COMPUTED_VALUE"""),1.0)</f>
        <v>1</v>
      </c>
      <c r="G2189" s="6" t="str">
        <f>IFERROR(__xludf.DUMMYFUNCTION("""COMPUTED_VALUE"""),"Pieces")</f>
        <v>Pieces</v>
      </c>
      <c r="H2189" s="6" t="str">
        <f>IFERROR(__xludf.DUMMYFUNCTION("""COMPUTED_VALUE"""),"IDR")</f>
        <v>IDR</v>
      </c>
      <c r="I2189" s="11">
        <f>IFERROR(__xludf.DUMMYFUNCTION("""COMPUTED_VALUE"""),8786000.0)</f>
        <v>8786000</v>
      </c>
      <c r="J2189" s="11">
        <f>IFERROR(__xludf.DUMMYFUNCTION("""COMPUTED_VALUE"""),8786000.0)</f>
        <v>8786000</v>
      </c>
      <c r="K2189" s="57">
        <f>IFERROR(__xludf.DUMMYFUNCTION("""COMPUTED_VALUE"""),44929.0)</f>
        <v>44929</v>
      </c>
      <c r="L2189" s="6" t="str">
        <f>IFERROR(__xludf.DUMMYFUNCTION("""COMPUTED_VALUE"""),"FIP General")</f>
        <v>FIP General</v>
      </c>
      <c r="M2189" s="6" t="str">
        <f>IFERROR(__xludf.DUMMYFUNCTION("""COMPUTED_VALUE"""),"Irwan Sopian")</f>
        <v>Irwan Sopian</v>
      </c>
      <c r="N2189" s="6" t="str">
        <f>IFERROR(__xludf.DUMMYFUNCTION("""COMPUTED_VALUE"""),"FIP Engineering")</f>
        <v>FIP Engineering</v>
      </c>
      <c r="O2189" s="6" t="str">
        <f>IFERROR(__xludf.DUMMYFUNCTION("""COMPUTED_VALUE"""),"FIP-DOM-ENG-51504-0000000-INA-000000")</f>
        <v>FIP-DOM-ENG-51504-0000000-INA-000000</v>
      </c>
      <c r="P2189" s="6" t="str">
        <f>IFERROR(__xludf.DUMMYFUNCTION("""COMPUTED_VALUE"""),"PO Closed")</f>
        <v>PO Closed</v>
      </c>
      <c r="Q2189" s="6" t="str">
        <f>IFERROR(__xludf.DUMMYFUNCTION("""COMPUTED_VALUE"""),"GL2212028")</f>
        <v>GL2212028</v>
      </c>
      <c r="R2189" s="57">
        <f>IFERROR(__xludf.DUMMYFUNCTION("""COMPUTED_VALUE"""),44915.0)</f>
        <v>44915</v>
      </c>
      <c r="S2189" s="57">
        <f>IFERROR(__xludf.DUMMYFUNCTION("""COMPUTED_VALUE"""),44918.0)</f>
        <v>44918</v>
      </c>
      <c r="T2189" s="57">
        <f>IFERROR(__xludf.DUMMYFUNCTION("""COMPUTED_VALUE"""),44927.0)</f>
        <v>44927</v>
      </c>
    </row>
    <row r="2190">
      <c r="A2190" s="6" t="str">
        <f>IFERROR(__xludf.DUMMYFUNCTION("""COMPUTED_VALUE"""),"221750765-1")</f>
        <v>221750765-1</v>
      </c>
      <c r="B2190" s="6" t="str">
        <f>IFERROR(__xludf.DUMMYFUNCTION("""COMPUTED_VALUE"""),"221750765 - Approved")</f>
        <v>221750765 - Approved</v>
      </c>
      <c r="C2190" s="6">
        <f>IFERROR(__xludf.DUMMYFUNCTION("""COMPUTED_VALUE"""),1.0)</f>
        <v>1</v>
      </c>
      <c r="D2190" s="6" t="str">
        <f>IFERROR(__xludf.DUMMYFUNCTION("""COMPUTED_VALUE"""),"S-60050-00")</f>
        <v>S-60050-00</v>
      </c>
      <c r="E2190" s="6" t="str">
        <f>IFERROR(__xludf.DUMMYFUNCTION("""COMPUTED_VALUE"""),"Jasa Perbaikan dan Pemeliharaan Mesin Produksi; ; ; - Jasa Engineering Configurasi Program Inverter")</f>
        <v>Jasa Perbaikan dan Pemeliharaan Mesin Produksi; ; ; - Jasa Engineering Configurasi Program Inverter</v>
      </c>
      <c r="F2190" s="6">
        <f>IFERROR(__xludf.DUMMYFUNCTION("""COMPUTED_VALUE"""),1.0)</f>
        <v>1</v>
      </c>
      <c r="G2190" s="6" t="str">
        <f>IFERROR(__xludf.DUMMYFUNCTION("""COMPUTED_VALUE"""),"Pieces")</f>
        <v>Pieces</v>
      </c>
      <c r="H2190" s="6" t="str">
        <f>IFERROR(__xludf.DUMMYFUNCTION("""COMPUTED_VALUE"""),"IDR")</f>
        <v>IDR</v>
      </c>
      <c r="I2190" s="11">
        <f>IFERROR(__xludf.DUMMYFUNCTION("""COMPUTED_VALUE"""),3500000.0)</f>
        <v>3500000</v>
      </c>
      <c r="J2190" s="11">
        <f>IFERROR(__xludf.DUMMYFUNCTION("""COMPUTED_VALUE"""),3500000.0)</f>
        <v>3500000</v>
      </c>
      <c r="K2190" s="57">
        <f>IFERROR(__xludf.DUMMYFUNCTION("""COMPUTED_VALUE"""),44931.0)</f>
        <v>44931</v>
      </c>
      <c r="L2190" s="6" t="str">
        <f>IFERROR(__xludf.DUMMYFUNCTION("""COMPUTED_VALUE"""),"FIP General")</f>
        <v>FIP General</v>
      </c>
      <c r="M2190" s="6" t="str">
        <f>IFERROR(__xludf.DUMMYFUNCTION("""COMPUTED_VALUE"""),"Irwan Sopian")</f>
        <v>Irwan Sopian</v>
      </c>
      <c r="N2190" s="6" t="str">
        <f>IFERROR(__xludf.DUMMYFUNCTION("""COMPUTED_VALUE"""),"FIP Engineering")</f>
        <v>FIP Engineering</v>
      </c>
      <c r="O2190" s="6" t="str">
        <f>IFERROR(__xludf.DUMMYFUNCTION("""COMPUTED_VALUE"""),"FIP-DOM-ENG-51504-0000000-INA-000000")</f>
        <v>FIP-DOM-ENG-51504-0000000-INA-000000</v>
      </c>
      <c r="P2190" s="6" t="str">
        <f>IFERROR(__xludf.DUMMYFUNCTION("""COMPUTED_VALUE"""),"PO Closed")</f>
        <v>PO Closed</v>
      </c>
      <c r="Q2190" s="6" t="str">
        <f>IFERROR(__xludf.DUMMYFUNCTION("""COMPUTED_VALUE"""),"GL2212039")</f>
        <v>GL2212039</v>
      </c>
      <c r="R2190" s="57">
        <f>IFERROR(__xludf.DUMMYFUNCTION("""COMPUTED_VALUE"""),44917.0)</f>
        <v>44917</v>
      </c>
      <c r="S2190" s="57">
        <f>IFERROR(__xludf.DUMMYFUNCTION("""COMPUTED_VALUE"""),44924.0)</f>
        <v>44924</v>
      </c>
      <c r="T2190" s="57">
        <f>IFERROR(__xludf.DUMMYFUNCTION("""COMPUTED_VALUE"""),44941.0)</f>
        <v>44941</v>
      </c>
    </row>
    <row r="2191">
      <c r="A2191" s="6" t="str">
        <f>IFERROR(__xludf.DUMMYFUNCTION("""COMPUTED_VALUE"""),"221750766-1")</f>
        <v>221750766-1</v>
      </c>
      <c r="B2191" s="6" t="str">
        <f>IFERROR(__xludf.DUMMYFUNCTION("""COMPUTED_VALUE"""),"221750766 - Approved")</f>
        <v>221750766 - Approved</v>
      </c>
      <c r="C2191" s="6">
        <f>IFERROR(__xludf.DUMMYFUNCTION("""COMPUTED_VALUE"""),1.0)</f>
        <v>1</v>
      </c>
      <c r="D2191" s="6" t="str">
        <f>IFERROR(__xludf.DUMMYFUNCTION("""COMPUTED_VALUE"""),"P-54181-00")</f>
        <v>P-54181-00</v>
      </c>
      <c r="E2191" s="6" t="str">
        <f>IFERROR(__xludf.DUMMYFUNCTION("""COMPUTED_VALUE"""),"UV lamp for TOC Sievers M500; TOC Sievers; ; pack size per pc")</f>
        <v>UV lamp for TOC Sievers M500; TOC Sievers; ; pack size per pc</v>
      </c>
      <c r="F2191" s="6">
        <f>IFERROR(__xludf.DUMMYFUNCTION("""COMPUTED_VALUE"""),1.0)</f>
        <v>1</v>
      </c>
      <c r="G2191" s="6" t="str">
        <f>IFERROR(__xludf.DUMMYFUNCTION("""COMPUTED_VALUE"""),"Pieces")</f>
        <v>Pieces</v>
      </c>
      <c r="H2191" s="6" t="str">
        <f>IFERROR(__xludf.DUMMYFUNCTION("""COMPUTED_VALUE"""),"IDR")</f>
        <v>IDR</v>
      </c>
      <c r="I2191" s="11">
        <f>IFERROR(__xludf.DUMMYFUNCTION("""COMPUTED_VALUE"""),1.429E7)</f>
        <v>14290000</v>
      </c>
      <c r="J2191" s="11">
        <f>IFERROR(__xludf.DUMMYFUNCTION("""COMPUTED_VALUE"""),1.429E7)</f>
        <v>14290000</v>
      </c>
      <c r="K2191" s="57">
        <f>IFERROR(__xludf.DUMMYFUNCTION("""COMPUTED_VALUE"""),44947.0)</f>
        <v>44947</v>
      </c>
      <c r="L2191" s="6" t="str">
        <f>IFERROR(__xludf.DUMMYFUNCTION("""COMPUTED_VALUE"""),"FIP Engineering")</f>
        <v>FIP Engineering</v>
      </c>
      <c r="M2191" s="6" t="str">
        <f>IFERROR(__xludf.DUMMYFUNCTION("""COMPUTED_VALUE"""),"Irwan Sopian")</f>
        <v>Irwan Sopian</v>
      </c>
      <c r="N2191" s="6" t="str">
        <f>IFERROR(__xludf.DUMMYFUNCTION("""COMPUTED_VALUE"""),"FIP Engineering")</f>
        <v>FIP Engineering</v>
      </c>
      <c r="O2191" s="6" t="str">
        <f>IFERROR(__xludf.DUMMYFUNCTION("""COMPUTED_VALUE"""),"FIP-DOM-000-11304-OS00001-INA-000000")</f>
        <v>FIP-DOM-000-11304-OS00001-INA-000000</v>
      </c>
      <c r="P2191" s="6" t="str">
        <f>IFERROR(__xludf.DUMMYFUNCTION("""COMPUTED_VALUE"""),"PO Closed")</f>
        <v>PO Closed</v>
      </c>
      <c r="Q2191" s="6" t="str">
        <f>IFERROR(__xludf.DUMMYFUNCTION("""COMPUTED_VALUE"""),"GL2211039")</f>
        <v>GL2211039</v>
      </c>
      <c r="R2191" s="57">
        <f>IFERROR(__xludf.DUMMYFUNCTION("""COMPUTED_VALUE"""),44917.0)</f>
        <v>44917</v>
      </c>
      <c r="S2191" s="57">
        <f>IFERROR(__xludf.DUMMYFUNCTION("""COMPUTED_VALUE"""),44918.0)</f>
        <v>44918</v>
      </c>
      <c r="T2191" s="57">
        <f>IFERROR(__xludf.DUMMYFUNCTION("""COMPUTED_VALUE"""),45015.0)</f>
        <v>45015</v>
      </c>
    </row>
    <row r="2192">
      <c r="A2192" s="6" t="str">
        <f>IFERROR(__xludf.DUMMYFUNCTION("""COMPUTED_VALUE"""),"221750766-2")</f>
        <v>221750766-2</v>
      </c>
      <c r="B2192" s="6" t="str">
        <f>IFERROR(__xludf.DUMMYFUNCTION("""COMPUTED_VALUE"""),"221750766 - Approved")</f>
        <v>221750766 - Approved</v>
      </c>
      <c r="C2192" s="6">
        <f>IFERROR(__xludf.DUMMYFUNCTION("""COMPUTED_VALUE"""),2.0)</f>
        <v>2</v>
      </c>
      <c r="D2192" s="6" t="str">
        <f>IFERROR(__xludf.DUMMYFUNCTION("""COMPUTED_VALUE"""),"P-18447-00")</f>
        <v>P-18447-00</v>
      </c>
      <c r="E2192" s="6" t="str">
        <f>IFERROR(__xludf.DUMMYFUNCTION("""COMPUTED_VALUE"""),"Sample Pump Head for TOC Sievers M500; ; ;")</f>
        <v>Sample Pump Head for TOC Sievers M500; ; ;</v>
      </c>
      <c r="F2192" s="6">
        <f>IFERROR(__xludf.DUMMYFUNCTION("""COMPUTED_VALUE"""),1.0)</f>
        <v>1</v>
      </c>
      <c r="G2192" s="6" t="str">
        <f>IFERROR(__xludf.DUMMYFUNCTION("""COMPUTED_VALUE"""),"Pieces")</f>
        <v>Pieces</v>
      </c>
      <c r="H2192" s="6" t="str">
        <f>IFERROR(__xludf.DUMMYFUNCTION("""COMPUTED_VALUE"""),"IDR")</f>
        <v>IDR</v>
      </c>
      <c r="I2192" s="11">
        <f>IFERROR(__xludf.DUMMYFUNCTION("""COMPUTED_VALUE"""),5000.0)</f>
        <v>5000</v>
      </c>
      <c r="J2192" s="11">
        <f>IFERROR(__xludf.DUMMYFUNCTION("""COMPUTED_VALUE"""),5000.0)</f>
        <v>5000</v>
      </c>
      <c r="K2192" s="57">
        <f>IFERROR(__xludf.DUMMYFUNCTION("""COMPUTED_VALUE"""),44947.0)</f>
        <v>44947</v>
      </c>
      <c r="L2192" s="6" t="str">
        <f>IFERROR(__xludf.DUMMYFUNCTION("""COMPUTED_VALUE"""),"FIP Engineering")</f>
        <v>FIP Engineering</v>
      </c>
      <c r="M2192" s="6" t="str">
        <f>IFERROR(__xludf.DUMMYFUNCTION("""COMPUTED_VALUE"""),"Irwan Sopian")</f>
        <v>Irwan Sopian</v>
      </c>
      <c r="N2192" s="6" t="str">
        <f>IFERROR(__xludf.DUMMYFUNCTION("""COMPUTED_VALUE"""),"FIP Engineering")</f>
        <v>FIP Engineering</v>
      </c>
      <c r="O2192" s="6" t="str">
        <f>IFERROR(__xludf.DUMMYFUNCTION("""COMPUTED_VALUE"""),"FIP-DOM-000-11304-OS00001-INA-000000")</f>
        <v>FIP-DOM-000-11304-OS00001-INA-000000</v>
      </c>
      <c r="P2192" s="6" t="str">
        <f>IFERROR(__xludf.DUMMYFUNCTION("""COMPUTED_VALUE"""),"PO Closed")</f>
        <v>PO Closed</v>
      </c>
      <c r="Q2192" s="6" t="str">
        <f>IFERROR(__xludf.DUMMYFUNCTION("""COMPUTED_VALUE"""),"GL2211039")</f>
        <v>GL2211039</v>
      </c>
      <c r="R2192" s="57">
        <f>IFERROR(__xludf.DUMMYFUNCTION("""COMPUTED_VALUE"""),44917.0)</f>
        <v>44917</v>
      </c>
      <c r="S2192" s="57">
        <f>IFERROR(__xludf.DUMMYFUNCTION("""COMPUTED_VALUE"""),44918.0)</f>
        <v>44918</v>
      </c>
      <c r="T2192" s="57">
        <f>IFERROR(__xludf.DUMMYFUNCTION("""COMPUTED_VALUE"""),45015.0)</f>
        <v>45015</v>
      </c>
    </row>
    <row r="2193">
      <c r="A2193" s="6" t="str">
        <f>IFERROR(__xludf.DUMMYFUNCTION("""COMPUTED_VALUE"""),"221750766-3")</f>
        <v>221750766-3</v>
      </c>
      <c r="B2193" s="6" t="str">
        <f>IFERROR(__xludf.DUMMYFUNCTION("""COMPUTED_VALUE"""),"221750766 - Approved")</f>
        <v>221750766 - Approved</v>
      </c>
      <c r="C2193" s="6">
        <f>IFERROR(__xludf.DUMMYFUNCTION("""COMPUTED_VALUE"""),3.0)</f>
        <v>3</v>
      </c>
      <c r="D2193" s="6" t="str">
        <f>IFERROR(__xludf.DUMMYFUNCTION("""COMPUTED_VALUE"""),"P-18448-00")</f>
        <v>P-18448-00</v>
      </c>
      <c r="E2193" s="6" t="str">
        <f>IFERROR(__xludf.DUMMYFUNCTION("""COMPUTED_VALUE"""),"Resin Bed Replacement for TOC Sievers M500; ; ;")</f>
        <v>Resin Bed Replacement for TOC Sievers M500; ; ;</v>
      </c>
      <c r="F2193" s="6">
        <f>IFERROR(__xludf.DUMMYFUNCTION("""COMPUTED_VALUE"""),1.0)</f>
        <v>1</v>
      </c>
      <c r="G2193" s="6" t="str">
        <f>IFERROR(__xludf.DUMMYFUNCTION("""COMPUTED_VALUE"""),"Pieces")</f>
        <v>Pieces</v>
      </c>
      <c r="H2193" s="6" t="str">
        <f>IFERROR(__xludf.DUMMYFUNCTION("""COMPUTED_VALUE"""),"IDR")</f>
        <v>IDR</v>
      </c>
      <c r="I2193" s="11">
        <f>IFERROR(__xludf.DUMMYFUNCTION("""COMPUTED_VALUE"""),5000.0)</f>
        <v>5000</v>
      </c>
      <c r="J2193" s="11">
        <f>IFERROR(__xludf.DUMMYFUNCTION("""COMPUTED_VALUE"""),5000.0)</f>
        <v>5000</v>
      </c>
      <c r="K2193" s="57">
        <f>IFERROR(__xludf.DUMMYFUNCTION("""COMPUTED_VALUE"""),44947.0)</f>
        <v>44947</v>
      </c>
      <c r="L2193" s="6" t="str">
        <f>IFERROR(__xludf.DUMMYFUNCTION("""COMPUTED_VALUE"""),"FIP Engineering")</f>
        <v>FIP Engineering</v>
      </c>
      <c r="M2193" s="6" t="str">
        <f>IFERROR(__xludf.DUMMYFUNCTION("""COMPUTED_VALUE"""),"Irwan Sopian")</f>
        <v>Irwan Sopian</v>
      </c>
      <c r="N2193" s="6" t="str">
        <f>IFERROR(__xludf.DUMMYFUNCTION("""COMPUTED_VALUE"""),"FIP Engineering")</f>
        <v>FIP Engineering</v>
      </c>
      <c r="O2193" s="6" t="str">
        <f>IFERROR(__xludf.DUMMYFUNCTION("""COMPUTED_VALUE"""),"FIP-DOM-000-11304-OS00001-INA-000000")</f>
        <v>FIP-DOM-000-11304-OS00001-INA-000000</v>
      </c>
      <c r="P2193" s="6" t="str">
        <f>IFERROR(__xludf.DUMMYFUNCTION("""COMPUTED_VALUE"""),"PO Closed")</f>
        <v>PO Closed</v>
      </c>
      <c r="Q2193" s="6" t="str">
        <f>IFERROR(__xludf.DUMMYFUNCTION("""COMPUTED_VALUE"""),"GL2211039")</f>
        <v>GL2211039</v>
      </c>
      <c r="R2193" s="57">
        <f>IFERROR(__xludf.DUMMYFUNCTION("""COMPUTED_VALUE"""),44917.0)</f>
        <v>44917</v>
      </c>
      <c r="S2193" s="57">
        <f>IFERROR(__xludf.DUMMYFUNCTION("""COMPUTED_VALUE"""),44918.0)</f>
        <v>44918</v>
      </c>
      <c r="T2193" s="57">
        <f>IFERROR(__xludf.DUMMYFUNCTION("""COMPUTED_VALUE"""),45015.0)</f>
        <v>45015</v>
      </c>
    </row>
    <row r="2194">
      <c r="A2194" s="6" t="str">
        <f>IFERROR(__xludf.DUMMYFUNCTION("""COMPUTED_VALUE"""),"221750768-1")</f>
        <v>221750768-1</v>
      </c>
      <c r="B2194" s="6" t="str">
        <f>IFERROR(__xludf.DUMMYFUNCTION("""COMPUTED_VALUE"""),"221750768 - Approved")</f>
        <v>221750768 - Approved</v>
      </c>
      <c r="C2194" s="6">
        <f>IFERROR(__xludf.DUMMYFUNCTION("""COMPUTED_VALUE"""),1.0)</f>
        <v>1</v>
      </c>
      <c r="D2194" s="6" t="str">
        <f>IFERROR(__xludf.DUMMYFUNCTION("""COMPUTED_VALUE"""),"O-18878-00")</f>
        <v>O-18878-00</v>
      </c>
      <c r="E2194" s="6" t="str">
        <f>IFERROR(__xludf.DUMMYFUNCTION("""COMPUTED_VALUE"""),"Filling VFM100 - Load Cell Bridge Holder; ; ;")</f>
        <v>Filling VFM100 - Load Cell Bridge Holder; ; ;</v>
      </c>
      <c r="F2194" s="6">
        <f>IFERROR(__xludf.DUMMYFUNCTION("""COMPUTED_VALUE"""),2.0)</f>
        <v>2</v>
      </c>
      <c r="G2194" s="6" t="str">
        <f>IFERROR(__xludf.DUMMYFUNCTION("""COMPUTED_VALUE"""),"Pieces")</f>
        <v>Pieces</v>
      </c>
      <c r="H2194" s="6" t="str">
        <f>IFERROR(__xludf.DUMMYFUNCTION("""COMPUTED_VALUE"""),"IDR")</f>
        <v>IDR</v>
      </c>
      <c r="I2194" s="11">
        <f>IFERROR(__xludf.DUMMYFUNCTION("""COMPUTED_VALUE"""),1978000.0)</f>
        <v>1978000</v>
      </c>
      <c r="J2194" s="11">
        <f>IFERROR(__xludf.DUMMYFUNCTION("""COMPUTED_VALUE"""),3956000.0)</f>
        <v>3956000</v>
      </c>
      <c r="K2194" s="57">
        <f>IFERROR(__xludf.DUMMYFUNCTION("""COMPUTED_VALUE"""),44946.0)</f>
        <v>44946</v>
      </c>
      <c r="L2194" s="6" t="str">
        <f>IFERROR(__xludf.DUMMYFUNCTION("""COMPUTED_VALUE"""),"FIP Engineering")</f>
        <v>FIP Engineering</v>
      </c>
      <c r="M2194" s="6" t="str">
        <f>IFERROR(__xludf.DUMMYFUNCTION("""COMPUTED_VALUE"""),"Irwan Sopian")</f>
        <v>Irwan Sopian</v>
      </c>
      <c r="N2194" s="6" t="str">
        <f>IFERROR(__xludf.DUMMYFUNCTION("""COMPUTED_VALUE"""),"FIP Engineering")</f>
        <v>FIP Engineering</v>
      </c>
      <c r="O2194" s="6" t="str">
        <f>IFERROR(__xludf.DUMMYFUNCTION("""COMPUTED_VALUE"""),"FIP-DOM-000-11304-OS00001-INA-000000")</f>
        <v>FIP-DOM-000-11304-OS00001-INA-000000</v>
      </c>
      <c r="P2194" s="6" t="str">
        <f>IFERROR(__xludf.DUMMYFUNCTION("""COMPUTED_VALUE"""),"PO Closed")</f>
        <v>PO Closed</v>
      </c>
      <c r="Q2194" s="6" t="str">
        <f>IFERROR(__xludf.DUMMYFUNCTION("""COMPUTED_VALUE"""),"GL2302054")</f>
        <v>GL2302054</v>
      </c>
      <c r="R2194" s="57">
        <f>IFERROR(__xludf.DUMMYFUNCTION("""COMPUTED_VALUE"""),44921.0)</f>
        <v>44921</v>
      </c>
      <c r="S2194" s="57">
        <f>IFERROR(__xludf.DUMMYFUNCTION("""COMPUTED_VALUE"""),44922.0)</f>
        <v>44922</v>
      </c>
      <c r="T2194" s="57">
        <f>IFERROR(__xludf.DUMMYFUNCTION("""COMPUTED_VALUE"""),44995.0)</f>
        <v>44995</v>
      </c>
    </row>
    <row r="2195">
      <c r="A2195" s="6" t="str">
        <f>IFERROR(__xludf.DUMMYFUNCTION("""COMPUTED_VALUE"""),"221750769-1")</f>
        <v>221750769-1</v>
      </c>
      <c r="B2195" s="6" t="str">
        <f>IFERROR(__xludf.DUMMYFUNCTION("""COMPUTED_VALUE"""),"221750769 - Approved")</f>
        <v>221750769 - Approved</v>
      </c>
      <c r="C2195" s="6">
        <f>IFERROR(__xludf.DUMMYFUNCTION("""COMPUTED_VALUE"""),1.0)</f>
        <v>1</v>
      </c>
      <c r="D2195" s="6" t="str">
        <f>IFERROR(__xludf.DUMMYFUNCTION("""COMPUTED_VALUE"""),"O-15931-00")</f>
        <v>O-15931-00</v>
      </c>
      <c r="E2195" s="6" t="str">
        <f>IFERROR(__xludf.DUMMYFUNCTION("""COMPUTED_VALUE"""),"Double Tape 3M 1"" Merah - P/N : - pc")</f>
        <v>Double Tape 3M 1" Merah - P/N : - pc</v>
      </c>
      <c r="F2195" s="6">
        <f>IFERROR(__xludf.DUMMYFUNCTION("""COMPUTED_VALUE"""),5.0)</f>
        <v>5</v>
      </c>
      <c r="G2195" s="6" t="str">
        <f>IFERROR(__xludf.DUMMYFUNCTION("""COMPUTED_VALUE"""),"Pieces")</f>
        <v>Pieces</v>
      </c>
      <c r="H2195" s="6" t="str">
        <f>IFERROR(__xludf.DUMMYFUNCTION("""COMPUTED_VALUE"""),"IDR")</f>
        <v>IDR</v>
      </c>
      <c r="I2195" s="11">
        <f>IFERROR(__xludf.DUMMYFUNCTION("""COMPUTED_VALUE"""),112500.0)</f>
        <v>112500</v>
      </c>
      <c r="J2195" s="11">
        <f>IFERROR(__xludf.DUMMYFUNCTION("""COMPUTED_VALUE"""),562500.0)</f>
        <v>562500</v>
      </c>
      <c r="K2195" s="57">
        <f>IFERROR(__xludf.DUMMYFUNCTION("""COMPUTED_VALUE"""),44939.0)</f>
        <v>44939</v>
      </c>
      <c r="L2195" s="6" t="str">
        <f>IFERROR(__xludf.DUMMYFUNCTION("""COMPUTED_VALUE"""),"FIP Engineering")</f>
        <v>FIP Engineering</v>
      </c>
      <c r="M2195" s="6" t="str">
        <f>IFERROR(__xludf.DUMMYFUNCTION("""COMPUTED_VALUE"""),"Irwan Sopian")</f>
        <v>Irwan Sopian</v>
      </c>
      <c r="N2195" s="6" t="str">
        <f>IFERROR(__xludf.DUMMYFUNCTION("""COMPUTED_VALUE"""),"FIP Engineering")</f>
        <v>FIP Engineering</v>
      </c>
      <c r="O2195" s="6" t="str">
        <f>IFERROR(__xludf.DUMMYFUNCTION("""COMPUTED_VALUE"""),"FIP-DOM-000-11304-OS00001-INA-000000")</f>
        <v>FIP-DOM-000-11304-OS00001-INA-000000</v>
      </c>
      <c r="P2195" s="6" t="str">
        <f>IFERROR(__xludf.DUMMYFUNCTION("""COMPUTED_VALUE"""),"PO Closed")</f>
        <v>PO Closed</v>
      </c>
      <c r="Q2195" s="6" t="str">
        <f>IFERROR(__xludf.DUMMYFUNCTION("""COMPUTED_VALUE"""),"GL2301030")</f>
        <v>GL2301030</v>
      </c>
      <c r="R2195" s="57">
        <f>IFERROR(__xludf.DUMMYFUNCTION("""COMPUTED_VALUE"""),44921.0)</f>
        <v>44921</v>
      </c>
      <c r="S2195" s="57">
        <f>IFERROR(__xludf.DUMMYFUNCTION("""COMPUTED_VALUE"""),44921.0)</f>
        <v>44921</v>
      </c>
      <c r="T2195" s="57">
        <f>IFERROR(__xludf.DUMMYFUNCTION("""COMPUTED_VALUE"""),44972.0)</f>
        <v>44972</v>
      </c>
    </row>
    <row r="2196">
      <c r="A2196" s="6" t="str">
        <f>IFERROR(__xludf.DUMMYFUNCTION("""COMPUTED_VALUE"""),"221750769-2")</f>
        <v>221750769-2</v>
      </c>
      <c r="B2196" s="6" t="str">
        <f>IFERROR(__xludf.DUMMYFUNCTION("""COMPUTED_VALUE"""),"221750769 - Approved")</f>
        <v>221750769 - Approved</v>
      </c>
      <c r="C2196" s="6">
        <f>IFERROR(__xludf.DUMMYFUNCTION("""COMPUTED_VALUE"""),2.0)</f>
        <v>2</v>
      </c>
      <c r="D2196" s="6" t="str">
        <f>IFERROR(__xludf.DUMMYFUNCTION("""COMPUTED_VALUE"""),"P-51741-00")</f>
        <v>P-51741-00</v>
      </c>
      <c r="E2196" s="6" t="str">
        <f>IFERROR(__xludf.DUMMYFUNCTION("""COMPUTED_VALUE"""),"Lampu Phillips PHP LED; 710 7w E27 White 220-240v; ; ;")</f>
        <v>Lampu Phillips PHP LED; 710 7w E27 White 220-240v; ; ;</v>
      </c>
      <c r="F2196" s="6">
        <f>IFERROR(__xludf.DUMMYFUNCTION("""COMPUTED_VALUE"""),20.0)</f>
        <v>20</v>
      </c>
      <c r="G2196" s="6" t="str">
        <f>IFERROR(__xludf.DUMMYFUNCTION("""COMPUTED_VALUE"""),"Pieces")</f>
        <v>Pieces</v>
      </c>
      <c r="H2196" s="6" t="str">
        <f>IFERROR(__xludf.DUMMYFUNCTION("""COMPUTED_VALUE"""),"IDR")</f>
        <v>IDR</v>
      </c>
      <c r="I2196" s="6">
        <f>IFERROR(__xludf.DUMMYFUNCTION("""COMPUTED_VALUE"""),31.0)</f>
        <v>31</v>
      </c>
      <c r="J2196" s="6">
        <f>IFERROR(__xludf.DUMMYFUNCTION("""COMPUTED_VALUE"""),620.0)</f>
        <v>620</v>
      </c>
      <c r="K2196" s="57">
        <f>IFERROR(__xludf.DUMMYFUNCTION("""COMPUTED_VALUE"""),44939.0)</f>
        <v>44939</v>
      </c>
      <c r="L2196" s="6" t="str">
        <f>IFERROR(__xludf.DUMMYFUNCTION("""COMPUTED_VALUE"""),"FIP Engineering")</f>
        <v>FIP Engineering</v>
      </c>
      <c r="M2196" s="6" t="str">
        <f>IFERROR(__xludf.DUMMYFUNCTION("""COMPUTED_VALUE"""),"Irwan Sopian")</f>
        <v>Irwan Sopian</v>
      </c>
      <c r="N2196" s="6" t="str">
        <f>IFERROR(__xludf.DUMMYFUNCTION("""COMPUTED_VALUE"""),"FIP Engineering")</f>
        <v>FIP Engineering</v>
      </c>
      <c r="O2196" s="6" t="str">
        <f>IFERROR(__xludf.DUMMYFUNCTION("""COMPUTED_VALUE"""),"FIP-DOM-000-11304-OS00001-INA-000000")</f>
        <v>FIP-DOM-000-11304-OS00001-INA-000000</v>
      </c>
      <c r="P2196" s="6" t="str">
        <f>IFERROR(__xludf.DUMMYFUNCTION("""COMPUTED_VALUE"""),"PO Closed")</f>
        <v>PO Closed</v>
      </c>
      <c r="Q2196" s="6" t="str">
        <f>IFERROR(__xludf.DUMMYFUNCTION("""COMPUTED_VALUE"""),"GL2301030")</f>
        <v>GL2301030</v>
      </c>
      <c r="R2196" s="57">
        <f>IFERROR(__xludf.DUMMYFUNCTION("""COMPUTED_VALUE"""),44921.0)</f>
        <v>44921</v>
      </c>
      <c r="S2196" s="57">
        <f>IFERROR(__xludf.DUMMYFUNCTION("""COMPUTED_VALUE"""),44921.0)</f>
        <v>44921</v>
      </c>
      <c r="T2196" s="57">
        <f>IFERROR(__xludf.DUMMYFUNCTION("""COMPUTED_VALUE"""),44972.0)</f>
        <v>44972</v>
      </c>
    </row>
    <row r="2197">
      <c r="A2197" s="6" t="str">
        <f>IFERROR(__xludf.DUMMYFUNCTION("""COMPUTED_VALUE"""),"221750769-3")</f>
        <v>221750769-3</v>
      </c>
      <c r="B2197" s="6" t="str">
        <f>IFERROR(__xludf.DUMMYFUNCTION("""COMPUTED_VALUE"""),"221750769 - Approved")</f>
        <v>221750769 - Approved</v>
      </c>
      <c r="C2197" s="6">
        <f>IFERROR(__xludf.DUMMYFUNCTION("""COMPUTED_VALUE"""),3.0)</f>
        <v>3</v>
      </c>
      <c r="D2197" s="6" t="str">
        <f>IFERROR(__xludf.DUMMYFUNCTION("""COMPUTED_VALUE"""),"P-52569-00")</f>
        <v>P-52569-00</v>
      </c>
      <c r="E2197" s="6" t="str">
        <f>IFERROR(__xludf.DUMMYFUNCTION("""COMPUTED_VALUE"""),"Limit Switch LX19-001 250 VAC; ; ;")</f>
        <v>Limit Switch LX19-001 250 VAC; ; ;</v>
      </c>
      <c r="F2197" s="6">
        <f>IFERROR(__xludf.DUMMYFUNCTION("""COMPUTED_VALUE"""),5.0)</f>
        <v>5</v>
      </c>
      <c r="G2197" s="6" t="str">
        <f>IFERROR(__xludf.DUMMYFUNCTION("""COMPUTED_VALUE"""),"Pieces")</f>
        <v>Pieces</v>
      </c>
      <c r="H2197" s="6" t="str">
        <f>IFERROR(__xludf.DUMMYFUNCTION("""COMPUTED_VALUE"""),"IDR")</f>
        <v>IDR</v>
      </c>
      <c r="I2197" s="11">
        <f>IFERROR(__xludf.DUMMYFUNCTION("""COMPUTED_VALUE"""),78000.0)</f>
        <v>78000</v>
      </c>
      <c r="J2197" s="11">
        <f>IFERROR(__xludf.DUMMYFUNCTION("""COMPUTED_VALUE"""),390000.0)</f>
        <v>390000</v>
      </c>
      <c r="K2197" s="57">
        <f>IFERROR(__xludf.DUMMYFUNCTION("""COMPUTED_VALUE"""),44939.0)</f>
        <v>44939</v>
      </c>
      <c r="L2197" s="6" t="str">
        <f>IFERROR(__xludf.DUMMYFUNCTION("""COMPUTED_VALUE"""),"FIP Engineering")</f>
        <v>FIP Engineering</v>
      </c>
      <c r="M2197" s="6" t="str">
        <f>IFERROR(__xludf.DUMMYFUNCTION("""COMPUTED_VALUE"""),"Irwan Sopian")</f>
        <v>Irwan Sopian</v>
      </c>
      <c r="N2197" s="6" t="str">
        <f>IFERROR(__xludf.DUMMYFUNCTION("""COMPUTED_VALUE"""),"FIP Engineering")</f>
        <v>FIP Engineering</v>
      </c>
      <c r="O2197" s="6" t="str">
        <f>IFERROR(__xludf.DUMMYFUNCTION("""COMPUTED_VALUE"""),"FIP-DOM-000-11304-OS00001-INA-000000")</f>
        <v>FIP-DOM-000-11304-OS00001-INA-000000</v>
      </c>
      <c r="P2197" s="6" t="str">
        <f>IFERROR(__xludf.DUMMYFUNCTION("""COMPUTED_VALUE"""),"PO Closed")</f>
        <v>PO Closed</v>
      </c>
      <c r="Q2197" s="6" t="str">
        <f>IFERROR(__xludf.DUMMYFUNCTION("""COMPUTED_VALUE"""),"GL2301030")</f>
        <v>GL2301030</v>
      </c>
      <c r="R2197" s="57">
        <f>IFERROR(__xludf.DUMMYFUNCTION("""COMPUTED_VALUE"""),44921.0)</f>
        <v>44921</v>
      </c>
      <c r="S2197" s="57">
        <f>IFERROR(__xludf.DUMMYFUNCTION("""COMPUTED_VALUE"""),44921.0)</f>
        <v>44921</v>
      </c>
      <c r="T2197" s="57">
        <f>IFERROR(__xludf.DUMMYFUNCTION("""COMPUTED_VALUE"""),44972.0)</f>
        <v>44972</v>
      </c>
    </row>
    <row r="2198">
      <c r="A2198" s="6" t="str">
        <f>IFERROR(__xludf.DUMMYFUNCTION("""COMPUTED_VALUE"""),"221750770-1")</f>
        <v>221750770-1</v>
      </c>
      <c r="B2198" s="6" t="str">
        <f>IFERROR(__xludf.DUMMYFUNCTION("""COMPUTED_VALUE"""),"221750770 - Approved")</f>
        <v>221750770 - Approved</v>
      </c>
      <c r="C2198" s="6">
        <f>IFERROR(__xludf.DUMMYFUNCTION("""COMPUTED_VALUE"""),1.0)</f>
        <v>1</v>
      </c>
      <c r="D2198" s="6" t="str">
        <f>IFERROR(__xludf.DUMMYFUNCTION("""COMPUTED_VALUE"""),"T-20041-00")</f>
        <v>T-20041-00</v>
      </c>
      <c r="E2198" s="6" t="str">
        <f>IFERROR(__xludf.DUMMYFUNCTION("""COMPUTED_VALUE"""),"Fitting SS; WATERS; c/n WAT025604; 5pc per pack")</f>
        <v>Fitting SS; WATERS; c/n WAT025604; 5pc per pack</v>
      </c>
      <c r="F2198" s="6">
        <f>IFERROR(__xludf.DUMMYFUNCTION("""COMPUTED_VALUE"""),1.0)</f>
        <v>1</v>
      </c>
      <c r="G2198" s="6" t="str">
        <f>IFERROR(__xludf.DUMMYFUNCTION("""COMPUTED_VALUE"""),"Pieces")</f>
        <v>Pieces</v>
      </c>
      <c r="H2198" s="6" t="str">
        <f>IFERROR(__xludf.DUMMYFUNCTION("""COMPUTED_VALUE"""),"IDR")</f>
        <v>IDR</v>
      </c>
      <c r="I2198" s="11">
        <f>IFERROR(__xludf.DUMMYFUNCTION("""COMPUTED_VALUE"""),1377500.0)</f>
        <v>1377500</v>
      </c>
      <c r="J2198" s="11">
        <f>IFERROR(__xludf.DUMMYFUNCTION("""COMPUTED_VALUE"""),1377500.0)</f>
        <v>1377500</v>
      </c>
      <c r="K2198" s="57">
        <f>IFERROR(__xludf.DUMMYFUNCTION("""COMPUTED_VALUE"""),44984.0)</f>
        <v>44984</v>
      </c>
      <c r="L2198" s="6" t="str">
        <f>IFERROR(__xludf.DUMMYFUNCTION("""COMPUTED_VALUE"""),"FIP General")</f>
        <v>FIP General</v>
      </c>
      <c r="M2198" s="6" t="str">
        <f>IFERROR(__xludf.DUMMYFUNCTION("""COMPUTED_VALUE"""),"Irwan Sopian")</f>
        <v>Irwan Sopian</v>
      </c>
      <c r="N2198" s="6" t="str">
        <f>IFERROR(__xludf.DUMMYFUNCTION("""COMPUTED_VALUE"""),"FIP Engineering")</f>
        <v>FIP Engineering</v>
      </c>
      <c r="O2198" s="6" t="str">
        <f>IFERROR(__xludf.DUMMYFUNCTION("""COMPUTED_VALUE"""),"FIP-DOM-ENG-51505-0000000-INA-000000")</f>
        <v>FIP-DOM-ENG-51505-0000000-INA-000000</v>
      </c>
      <c r="P2198" s="6" t="str">
        <f>IFERROR(__xludf.DUMMYFUNCTION("""COMPUTED_VALUE"""),"PO Closed")</f>
        <v>PO Closed</v>
      </c>
      <c r="Q2198" s="6" t="str">
        <f>IFERROR(__xludf.DUMMYFUNCTION("""COMPUTED_VALUE"""),"GL2302046")</f>
        <v>GL2302046</v>
      </c>
      <c r="R2198" s="57">
        <f>IFERROR(__xludf.DUMMYFUNCTION("""COMPUTED_VALUE"""),44921.0)</f>
        <v>44921</v>
      </c>
      <c r="S2198" s="57">
        <f>IFERROR(__xludf.DUMMYFUNCTION("""COMPUTED_VALUE"""),44979.0)</f>
        <v>44979</v>
      </c>
      <c r="T2198" s="57">
        <f>IFERROR(__xludf.DUMMYFUNCTION("""COMPUTED_VALUE"""),45044.0)</f>
        <v>45044</v>
      </c>
    </row>
    <row r="2199">
      <c r="A2199" s="6" t="str">
        <f>IFERROR(__xludf.DUMMYFUNCTION("""COMPUTED_VALUE"""),"221750770-2")</f>
        <v>221750770-2</v>
      </c>
      <c r="B2199" s="6" t="str">
        <f>IFERROR(__xludf.DUMMYFUNCTION("""COMPUTED_VALUE"""),"221750770 - Approved")</f>
        <v>221750770 - Approved</v>
      </c>
      <c r="C2199" s="6">
        <f>IFERROR(__xludf.DUMMYFUNCTION("""COMPUTED_VALUE"""),2.0)</f>
        <v>2</v>
      </c>
      <c r="D2199" s="6" t="str">
        <f>IFERROR(__xludf.DUMMYFUNCTION("""COMPUTED_VALUE"""),"T-20851-00")</f>
        <v>T-20851-00</v>
      </c>
      <c r="E2199" s="6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F2199" s="6">
        <f>IFERROR(__xludf.DUMMYFUNCTION("""COMPUTED_VALUE"""),1.0)</f>
        <v>1</v>
      </c>
      <c r="G2199" s="6" t="str">
        <f>IFERROR(__xludf.DUMMYFUNCTION("""COMPUTED_VALUE"""),"Pack")</f>
        <v>Pack</v>
      </c>
      <c r="H2199" s="6" t="str">
        <f>IFERROR(__xludf.DUMMYFUNCTION("""COMPUTED_VALUE"""),"IDR")</f>
        <v>IDR</v>
      </c>
      <c r="I2199" s="11">
        <f>IFERROR(__xludf.DUMMYFUNCTION("""COMPUTED_VALUE"""),3100000.0)</f>
        <v>3100000</v>
      </c>
      <c r="J2199" s="11">
        <f>IFERROR(__xludf.DUMMYFUNCTION("""COMPUTED_VALUE"""),3100000.0)</f>
        <v>3100000</v>
      </c>
      <c r="K2199" s="57">
        <f>IFERROR(__xludf.DUMMYFUNCTION("""COMPUTED_VALUE"""),44984.0)</f>
        <v>44984</v>
      </c>
      <c r="L2199" s="6" t="str">
        <f>IFERROR(__xludf.DUMMYFUNCTION("""COMPUTED_VALUE"""),"FIP General")</f>
        <v>FIP General</v>
      </c>
      <c r="M2199" s="6" t="str">
        <f>IFERROR(__xludf.DUMMYFUNCTION("""COMPUTED_VALUE"""),"Irwan Sopian")</f>
        <v>Irwan Sopian</v>
      </c>
      <c r="N2199" s="6" t="str">
        <f>IFERROR(__xludf.DUMMYFUNCTION("""COMPUTED_VALUE"""),"FIP Engineering")</f>
        <v>FIP Engineering</v>
      </c>
      <c r="O2199" s="6" t="str">
        <f>IFERROR(__xludf.DUMMYFUNCTION("""COMPUTED_VALUE"""),"FIP-DOM-ENG-51404-0000000-INA-000000")</f>
        <v>FIP-DOM-ENG-51404-0000000-INA-000000</v>
      </c>
      <c r="P2199" s="6" t="str">
        <f>IFERROR(__xludf.DUMMYFUNCTION("""COMPUTED_VALUE"""),"PO Closed")</f>
        <v>PO Closed</v>
      </c>
      <c r="Q2199" s="6" t="str">
        <f>IFERROR(__xludf.DUMMYFUNCTION("""COMPUTED_VALUE"""),"GL2302046")</f>
        <v>GL2302046</v>
      </c>
      <c r="R2199" s="57">
        <f>IFERROR(__xludf.DUMMYFUNCTION("""COMPUTED_VALUE"""),44921.0)</f>
        <v>44921</v>
      </c>
      <c r="S2199" s="57">
        <f>IFERROR(__xludf.DUMMYFUNCTION("""COMPUTED_VALUE"""),44979.0)</f>
        <v>44979</v>
      </c>
      <c r="T2199" s="57">
        <f>IFERROR(__xludf.DUMMYFUNCTION("""COMPUTED_VALUE"""),45002.0)</f>
        <v>45002</v>
      </c>
    </row>
    <row r="2200">
      <c r="A2200" s="6" t="str">
        <f>IFERROR(__xludf.DUMMYFUNCTION("""COMPUTED_VALUE"""),"221750771-1")</f>
        <v>221750771-1</v>
      </c>
      <c r="B2200" s="6" t="str">
        <f>IFERROR(__xludf.DUMMYFUNCTION("""COMPUTED_VALUE"""),"221750771 - Approved")</f>
        <v>221750771 - Approved</v>
      </c>
      <c r="C2200" s="6">
        <f>IFERROR(__xludf.DUMMYFUNCTION("""COMPUTED_VALUE"""),1.0)</f>
        <v>1</v>
      </c>
      <c r="D2200" s="6" t="str">
        <f>IFERROR(__xludf.DUMMYFUNCTION("""COMPUTED_VALUE"""),"S-60050-00")</f>
        <v>S-60050-00</v>
      </c>
      <c r="E2200" s="6" t="str">
        <f>IFERROR(__xludf.DUMMYFUNCTION("""COMPUTED_VALUE"""),"Jasa Perbaikan dan Pemeliharaan Mesin Produksi; ; ; - Untuk Repair")</f>
        <v>Jasa Perbaikan dan Pemeliharaan Mesin Produksi; ; ; - Untuk Repair</v>
      </c>
      <c r="F2200" s="6">
        <f>IFERROR(__xludf.DUMMYFUNCTION("""COMPUTED_VALUE"""),2.0)</f>
        <v>2</v>
      </c>
      <c r="G2200" s="6" t="str">
        <f>IFERROR(__xludf.DUMMYFUNCTION("""COMPUTED_VALUE"""),"Pieces")</f>
        <v>Pieces</v>
      </c>
      <c r="H2200" s="6" t="str">
        <f>IFERROR(__xludf.DUMMYFUNCTION("""COMPUTED_VALUE"""),"IDR")</f>
        <v>IDR</v>
      </c>
      <c r="I2200" s="11">
        <f>IFERROR(__xludf.DUMMYFUNCTION("""COMPUTED_VALUE"""),885000.0)</f>
        <v>885000</v>
      </c>
      <c r="J2200" s="11">
        <f>IFERROR(__xludf.DUMMYFUNCTION("""COMPUTED_VALUE"""),1770000.0)</f>
        <v>1770000</v>
      </c>
      <c r="K2200" s="57">
        <f>IFERROR(__xludf.DUMMYFUNCTION("""COMPUTED_VALUE"""),44944.0)</f>
        <v>44944</v>
      </c>
      <c r="L2200" s="6" t="str">
        <f>IFERROR(__xludf.DUMMYFUNCTION("""COMPUTED_VALUE"""),"FIP General")</f>
        <v>FIP General</v>
      </c>
      <c r="M2200" s="6" t="str">
        <f>IFERROR(__xludf.DUMMYFUNCTION("""COMPUTED_VALUE"""),"Irwan Sopian")</f>
        <v>Irwan Sopian</v>
      </c>
      <c r="N2200" s="6" t="str">
        <f>IFERROR(__xludf.DUMMYFUNCTION("""COMPUTED_VALUE"""),"FIP Engineering")</f>
        <v>FIP Engineering</v>
      </c>
      <c r="O2200" s="6" t="str">
        <f>IFERROR(__xludf.DUMMYFUNCTION("""COMPUTED_VALUE"""),"FIP-DOM-ENG-51504-0000000-INA-000000")</f>
        <v>FIP-DOM-ENG-51504-0000000-INA-000000</v>
      </c>
      <c r="P2200" s="6" t="str">
        <f>IFERROR(__xludf.DUMMYFUNCTION("""COMPUTED_VALUE"""),"PO Closed")</f>
        <v>PO Closed</v>
      </c>
      <c r="Q2200" s="6" t="str">
        <f>IFERROR(__xludf.DUMMYFUNCTION("""COMPUTED_VALUE"""),"GL2303001")</f>
        <v>GL2303001</v>
      </c>
      <c r="R2200" s="57">
        <f>IFERROR(__xludf.DUMMYFUNCTION("""COMPUTED_VALUE"""),44922.0)</f>
        <v>44922</v>
      </c>
      <c r="S2200" s="57">
        <f>IFERROR(__xludf.DUMMYFUNCTION("""COMPUTED_VALUE"""),44922.0)</f>
        <v>44922</v>
      </c>
      <c r="T2200" s="57">
        <f>IFERROR(__xludf.DUMMYFUNCTION("""COMPUTED_VALUE"""),45000.0)</f>
        <v>45000</v>
      </c>
    </row>
    <row r="2201">
      <c r="A2201" s="6" t="str">
        <f>IFERROR(__xludf.DUMMYFUNCTION("""COMPUTED_VALUE"""),"221750774-1")</f>
        <v>221750774-1</v>
      </c>
      <c r="B2201" s="6" t="str">
        <f>IFERROR(__xludf.DUMMYFUNCTION("""COMPUTED_VALUE"""),"221750774 - Approved")</f>
        <v>221750774 - Approved</v>
      </c>
      <c r="C2201" s="6">
        <f>IFERROR(__xludf.DUMMYFUNCTION("""COMPUTED_VALUE"""),1.0)</f>
        <v>1</v>
      </c>
      <c r="D2201" s="6" t="str">
        <f>IFERROR(__xludf.DUMMYFUNCTION("""COMPUTED_VALUE"""),"P-18462-00")</f>
        <v>P-18462-00</v>
      </c>
      <c r="E2201" s="6" t="str">
        <f>IFERROR(__xludf.DUMMYFUNCTION("""COMPUTED_VALUE"""),"Oil Seal 10x14x3; ; ;")</f>
        <v>Oil Seal 10x14x3; ; ;</v>
      </c>
      <c r="F2201" s="6">
        <f>IFERROR(__xludf.DUMMYFUNCTION("""COMPUTED_VALUE"""),2.0)</f>
        <v>2</v>
      </c>
      <c r="G2201" s="6" t="str">
        <f>IFERROR(__xludf.DUMMYFUNCTION("""COMPUTED_VALUE"""),"Pieces")</f>
        <v>Pieces</v>
      </c>
      <c r="H2201" s="6" t="str">
        <f>IFERROR(__xludf.DUMMYFUNCTION("""COMPUTED_VALUE"""),"IDR")</f>
        <v>IDR</v>
      </c>
      <c r="I2201" s="11">
        <f>IFERROR(__xludf.DUMMYFUNCTION("""COMPUTED_VALUE"""),27000.0)</f>
        <v>27000</v>
      </c>
      <c r="J2201" s="11">
        <f>IFERROR(__xludf.DUMMYFUNCTION("""COMPUTED_VALUE"""),54000.0)</f>
        <v>54000</v>
      </c>
      <c r="K2201" s="57">
        <f>IFERROR(__xludf.DUMMYFUNCTION("""COMPUTED_VALUE"""),44953.0)</f>
        <v>44953</v>
      </c>
      <c r="L2201" s="6" t="str">
        <f>IFERROR(__xludf.DUMMYFUNCTION("""COMPUTED_VALUE"""),"FIP Engineering")</f>
        <v>FIP Engineering</v>
      </c>
      <c r="M2201" s="6" t="str">
        <f>IFERROR(__xludf.DUMMYFUNCTION("""COMPUTED_VALUE"""),"Irwan Sopian")</f>
        <v>Irwan Sopian</v>
      </c>
      <c r="N2201" s="6" t="str">
        <f>IFERROR(__xludf.DUMMYFUNCTION("""COMPUTED_VALUE"""),"FIP Engineering")</f>
        <v>FIP Engineering</v>
      </c>
      <c r="O2201" s="6" t="str">
        <f>IFERROR(__xludf.DUMMYFUNCTION("""COMPUTED_VALUE"""),"FIP-DOM-000-11304-OS00001-INA-000000")</f>
        <v>FIP-DOM-000-11304-OS00001-INA-000000</v>
      </c>
      <c r="P2201" s="6" t="str">
        <f>IFERROR(__xludf.DUMMYFUNCTION("""COMPUTED_VALUE"""),"PO Closed")</f>
        <v>PO Closed</v>
      </c>
      <c r="Q2201" s="6" t="str">
        <f>IFERROR(__xludf.DUMMYFUNCTION("""COMPUTED_VALUE"""),"GL2302058")</f>
        <v>GL2302058</v>
      </c>
      <c r="R2201" s="57">
        <f>IFERROR(__xludf.DUMMYFUNCTION("""COMPUTED_VALUE"""),44925.0)</f>
        <v>44925</v>
      </c>
      <c r="S2201" s="57">
        <f>IFERROR(__xludf.DUMMYFUNCTION("""COMPUTED_VALUE"""),44931.0)</f>
        <v>44931</v>
      </c>
      <c r="T2201" s="57">
        <f>IFERROR(__xludf.DUMMYFUNCTION("""COMPUTED_VALUE"""),44994.0)</f>
        <v>44994</v>
      </c>
    </row>
    <row r="2202">
      <c r="A2202" s="6" t="str">
        <f>IFERROR(__xludf.DUMMYFUNCTION("""COMPUTED_VALUE"""),"221750774-2")</f>
        <v>221750774-2</v>
      </c>
      <c r="B2202" s="6" t="str">
        <f>IFERROR(__xludf.DUMMYFUNCTION("""COMPUTED_VALUE"""),"221750774 - Approved")</f>
        <v>221750774 - Approved</v>
      </c>
      <c r="C2202" s="6">
        <f>IFERROR(__xludf.DUMMYFUNCTION("""COMPUTED_VALUE"""),2.0)</f>
        <v>2</v>
      </c>
      <c r="D2202" s="6" t="str">
        <f>IFERROR(__xludf.DUMMYFUNCTION("""COMPUTED_VALUE"""),"P-52579-00")</f>
        <v>P-52579-00</v>
      </c>
      <c r="E2202" s="6" t="str">
        <f>IFERROR(__xludf.DUMMYFUNCTION("""COMPUTED_VALUE"""),"Dosing Pump (Peristaltic Pump) 24 VDC 0-19 ml/min RZ1030-BX; ; ;")</f>
        <v>Dosing Pump (Peristaltic Pump) 24 VDC 0-19 ml/min RZ1030-BX; ; ;</v>
      </c>
      <c r="F2202" s="6">
        <f>IFERROR(__xludf.DUMMYFUNCTION("""COMPUTED_VALUE"""),1.0)</f>
        <v>1</v>
      </c>
      <c r="G2202" s="6" t="str">
        <f>IFERROR(__xludf.DUMMYFUNCTION("""COMPUTED_VALUE"""),"Unit")</f>
        <v>Unit</v>
      </c>
      <c r="H2202" s="6" t="str">
        <f>IFERROR(__xludf.DUMMYFUNCTION("""COMPUTED_VALUE"""),"IDR")</f>
        <v>IDR</v>
      </c>
      <c r="I2202" s="11">
        <f>IFERROR(__xludf.DUMMYFUNCTION("""COMPUTED_VALUE"""),4450000.0)</f>
        <v>4450000</v>
      </c>
      <c r="J2202" s="11">
        <f>IFERROR(__xludf.DUMMYFUNCTION("""COMPUTED_VALUE"""),4450000.0)</f>
        <v>4450000</v>
      </c>
      <c r="K2202" s="57">
        <f>IFERROR(__xludf.DUMMYFUNCTION("""COMPUTED_VALUE"""),44967.0)</f>
        <v>44967</v>
      </c>
      <c r="L2202" s="6" t="str">
        <f>IFERROR(__xludf.DUMMYFUNCTION("""COMPUTED_VALUE"""),"FIP Engineering")</f>
        <v>FIP Engineering</v>
      </c>
      <c r="M2202" s="6" t="str">
        <f>IFERROR(__xludf.DUMMYFUNCTION("""COMPUTED_VALUE"""),"Irwan Sopian")</f>
        <v>Irwan Sopian</v>
      </c>
      <c r="N2202" s="6" t="str">
        <f>IFERROR(__xludf.DUMMYFUNCTION("""COMPUTED_VALUE"""),"FIP Engineering")</f>
        <v>FIP Engineering</v>
      </c>
      <c r="O2202" s="6" t="str">
        <f>IFERROR(__xludf.DUMMYFUNCTION("""COMPUTED_VALUE"""),"FIP-DOM-000-11304-OS00001-INA-000000")</f>
        <v>FIP-DOM-000-11304-OS00001-INA-000000</v>
      </c>
      <c r="P2202" s="6" t="str">
        <f>IFERROR(__xludf.DUMMYFUNCTION("""COMPUTED_VALUE"""),"PO Closed")</f>
        <v>PO Closed</v>
      </c>
      <c r="Q2202" s="6" t="str">
        <f>IFERROR(__xludf.DUMMYFUNCTION("""COMPUTED_VALUE"""),"GL2302058")</f>
        <v>GL2302058</v>
      </c>
      <c r="R2202" s="57">
        <f>IFERROR(__xludf.DUMMYFUNCTION("""COMPUTED_VALUE"""),44925.0)</f>
        <v>44925</v>
      </c>
      <c r="S2202" s="57">
        <f>IFERROR(__xludf.DUMMYFUNCTION("""COMPUTED_VALUE"""),44931.0)</f>
        <v>44931</v>
      </c>
      <c r="T2202" s="57">
        <f>IFERROR(__xludf.DUMMYFUNCTION("""COMPUTED_VALUE"""),44994.0)</f>
        <v>44994</v>
      </c>
    </row>
    <row r="2203">
      <c r="A2203" s="6" t="str">
        <f>IFERROR(__xludf.DUMMYFUNCTION("""COMPUTED_VALUE"""),"231750002-1")</f>
        <v>231750002-1</v>
      </c>
      <c r="B2203" s="6" t="str">
        <f>IFERROR(__xludf.DUMMYFUNCTION("""COMPUTED_VALUE"""),"231750002 - Approved")</f>
        <v>231750002 - Approved</v>
      </c>
      <c r="C2203" s="6">
        <f>IFERROR(__xludf.DUMMYFUNCTION("""COMPUTED_VALUE"""),1.0)</f>
        <v>1</v>
      </c>
      <c r="D2203" s="6" t="str">
        <f>IFERROR(__xludf.DUMMYFUNCTION("""COMPUTED_VALUE"""),"P-18368-00")</f>
        <v>P-18368-00</v>
      </c>
      <c r="E2203" s="6" t="str">
        <f>IFERROR(__xludf.DUMMYFUNCTION("""COMPUTED_VALUE"""),"Manual Actuator DN4 - DN15 type: 601 P/n: 9601 8M A 0 TS; GEMU; ;")</f>
        <v>Manual Actuator DN4 - DN15 type: 601 P/n: 9601 8M A 0 TS; GEMU; ;</v>
      </c>
      <c r="F2203" s="6">
        <f>IFERROR(__xludf.DUMMYFUNCTION("""COMPUTED_VALUE"""),2.0)</f>
        <v>2</v>
      </c>
      <c r="G2203" s="6" t="str">
        <f>IFERROR(__xludf.DUMMYFUNCTION("""COMPUTED_VALUE"""),"Pieces")</f>
        <v>Pieces</v>
      </c>
      <c r="H2203" s="6" t="str">
        <f>IFERROR(__xludf.DUMMYFUNCTION("""COMPUTED_VALUE"""),"IDR")</f>
        <v>IDR</v>
      </c>
      <c r="I2203" s="11">
        <f>IFERROR(__xludf.DUMMYFUNCTION("""COMPUTED_VALUE"""),4850000.0)</f>
        <v>4850000</v>
      </c>
      <c r="J2203" s="11">
        <f>IFERROR(__xludf.DUMMYFUNCTION("""COMPUTED_VALUE"""),9700000.0)</f>
        <v>9700000</v>
      </c>
      <c r="K2203" s="57">
        <f>IFERROR(__xludf.DUMMYFUNCTION("""COMPUTED_VALUE"""),44974.0)</f>
        <v>44974</v>
      </c>
      <c r="L2203" s="6" t="str">
        <f>IFERROR(__xludf.DUMMYFUNCTION("""COMPUTED_VALUE"""),"FIP Engineering")</f>
        <v>FIP Engineering</v>
      </c>
      <c r="M2203" s="6" t="str">
        <f>IFERROR(__xludf.DUMMYFUNCTION("""COMPUTED_VALUE"""),"Irwan Sopian")</f>
        <v>Irwan Sopian</v>
      </c>
      <c r="N2203" s="6" t="str">
        <f>IFERROR(__xludf.DUMMYFUNCTION("""COMPUTED_VALUE"""),"FIP Engineering")</f>
        <v>FIP Engineering</v>
      </c>
      <c r="O2203" s="6" t="str">
        <f>IFERROR(__xludf.DUMMYFUNCTION("""COMPUTED_VALUE"""),"FIP-DOM-000-11304-OS00001-INA-000000")</f>
        <v>FIP-DOM-000-11304-OS00001-INA-000000</v>
      </c>
      <c r="P2203" s="6" t="str">
        <f>IFERROR(__xludf.DUMMYFUNCTION("""COMPUTED_VALUE"""),"PO Closed")</f>
        <v>PO Closed</v>
      </c>
      <c r="Q2203" s="6" t="str">
        <f>IFERROR(__xludf.DUMMYFUNCTION("""COMPUTED_VALUE"""),"GL2302059")</f>
        <v>GL2302059</v>
      </c>
      <c r="R2203" s="57">
        <f>IFERROR(__xludf.DUMMYFUNCTION("""COMPUTED_VALUE"""),44929.0)</f>
        <v>44929</v>
      </c>
      <c r="S2203" s="57">
        <f>IFERROR(__xludf.DUMMYFUNCTION("""COMPUTED_VALUE"""),44931.0)</f>
        <v>44931</v>
      </c>
      <c r="T2203" s="57">
        <f>IFERROR(__xludf.DUMMYFUNCTION("""COMPUTED_VALUE"""),44995.0)</f>
        <v>44995</v>
      </c>
    </row>
    <row r="2204">
      <c r="A2204" s="6" t="str">
        <f>IFERROR(__xludf.DUMMYFUNCTION("""COMPUTED_VALUE"""),"231750003-1")</f>
        <v>231750003-1</v>
      </c>
      <c r="B2204" s="6" t="str">
        <f>IFERROR(__xludf.DUMMYFUNCTION("""COMPUTED_VALUE"""),"231750003 - Approved")</f>
        <v>231750003 - Approved</v>
      </c>
      <c r="C2204" s="6">
        <f>IFERROR(__xludf.DUMMYFUNCTION("""COMPUTED_VALUE"""),1.0)</f>
        <v>1</v>
      </c>
      <c r="D2204" s="6" t="str">
        <f>IFERROR(__xludf.DUMMYFUNCTION("""COMPUTED_VALUE"""),"P-51736-00")</f>
        <v>P-51736-00</v>
      </c>
      <c r="E2204" s="6" t="str">
        <f>IFERROR(__xludf.DUMMYFUNCTION("""COMPUTED_VALUE"""),"Kabel UTP isi 8 Cat 5e merk BELDEN; ; ;")</f>
        <v>Kabel UTP isi 8 Cat 5e merk BELDEN; ; ;</v>
      </c>
      <c r="F2204" s="6">
        <f>IFERROR(__xludf.DUMMYFUNCTION("""COMPUTED_VALUE"""),2.0)</f>
        <v>2</v>
      </c>
      <c r="G2204" s="6" t="str">
        <f>IFERROR(__xludf.DUMMYFUNCTION("""COMPUTED_VALUE"""),"Roll")</f>
        <v>Roll</v>
      </c>
      <c r="H2204" s="6" t="str">
        <f>IFERROR(__xludf.DUMMYFUNCTION("""COMPUTED_VALUE"""),"IDR")</f>
        <v>IDR</v>
      </c>
      <c r="I2204" s="11">
        <f>IFERROR(__xludf.DUMMYFUNCTION("""COMPUTED_VALUE"""),2500000.0)</f>
        <v>2500000</v>
      </c>
      <c r="J2204" s="11">
        <f>IFERROR(__xludf.DUMMYFUNCTION("""COMPUTED_VALUE"""),5000000.0)</f>
        <v>5000000</v>
      </c>
      <c r="K2204" s="57">
        <f>IFERROR(__xludf.DUMMYFUNCTION("""COMPUTED_VALUE"""),44967.0)</f>
        <v>44967</v>
      </c>
      <c r="L2204" s="6" t="str">
        <f>IFERROR(__xludf.DUMMYFUNCTION("""COMPUTED_VALUE"""),"FIP Engineering")</f>
        <v>FIP Engineering</v>
      </c>
      <c r="M2204" s="6" t="str">
        <f>IFERROR(__xludf.DUMMYFUNCTION("""COMPUTED_VALUE"""),"Kristiawan Sakti Winarno")</f>
        <v>Kristiawan Sakti Winarno</v>
      </c>
      <c r="N2204" s="6" t="str">
        <f>IFERROR(__xludf.DUMMYFUNCTION("""COMPUTED_VALUE"""),"FIP Engineering")</f>
        <v>FIP Engineering</v>
      </c>
      <c r="O2204" s="6" t="str">
        <f>IFERROR(__xludf.DUMMYFUNCTION("""COMPUTED_VALUE"""),"FIP-DOM-000-11304-OS00001-INA-000000")</f>
        <v>FIP-DOM-000-11304-OS00001-INA-000000</v>
      </c>
      <c r="P2204" s="6" t="str">
        <f>IFERROR(__xludf.DUMMYFUNCTION("""COMPUTED_VALUE"""),"PO Closed")</f>
        <v>PO Closed</v>
      </c>
      <c r="Q2204" s="6" t="str">
        <f>IFERROR(__xludf.DUMMYFUNCTION("""COMPUTED_VALUE"""),"GL2302001")</f>
        <v>GL2302001</v>
      </c>
      <c r="R2204" s="57">
        <f>IFERROR(__xludf.DUMMYFUNCTION("""COMPUTED_VALUE"""),44929.0)</f>
        <v>44929</v>
      </c>
      <c r="S2204" s="57">
        <f>IFERROR(__xludf.DUMMYFUNCTION("""COMPUTED_VALUE"""),44931.0)</f>
        <v>44931</v>
      </c>
      <c r="T2204" s="57">
        <f>IFERROR(__xludf.DUMMYFUNCTION("""COMPUTED_VALUE"""),44985.0)</f>
        <v>44985</v>
      </c>
    </row>
    <row r="2205">
      <c r="A2205" s="6" t="str">
        <f>IFERROR(__xludf.DUMMYFUNCTION("""COMPUTED_VALUE"""),"231750010-1")</f>
        <v>231750010-1</v>
      </c>
      <c r="B2205" s="6" t="str">
        <f>IFERROR(__xludf.DUMMYFUNCTION("""COMPUTED_VALUE"""),"231750010 - Approved")</f>
        <v>231750010 - Approved</v>
      </c>
      <c r="C2205" s="6">
        <f>IFERROR(__xludf.DUMMYFUNCTION("""COMPUTED_VALUE"""),1.0)</f>
        <v>1</v>
      </c>
      <c r="D2205" s="6" t="str">
        <f>IFERROR(__xludf.DUMMYFUNCTION("""COMPUTED_VALUE"""),"O-11154-00")</f>
        <v>O-11154-00</v>
      </c>
      <c r="E2205" s="6" t="str">
        <f>IFERROR(__xludf.DUMMYFUNCTION("""COMPUTED_VALUE"""),"Bearing 6204 2Z SKF")</f>
        <v>Bearing 6204 2Z SKF</v>
      </c>
      <c r="F2205" s="6">
        <f>IFERROR(__xludf.DUMMYFUNCTION("""COMPUTED_VALUE"""),8.0)</f>
        <v>8</v>
      </c>
      <c r="G2205" s="6" t="str">
        <f>IFERROR(__xludf.DUMMYFUNCTION("""COMPUTED_VALUE"""),"Pieces")</f>
        <v>Pieces</v>
      </c>
      <c r="H2205" s="6" t="str">
        <f>IFERROR(__xludf.DUMMYFUNCTION("""COMPUTED_VALUE"""),"IDR")</f>
        <v>IDR</v>
      </c>
      <c r="I2205" s="11">
        <f>IFERROR(__xludf.DUMMYFUNCTION("""COMPUTED_VALUE"""),29500.0)</f>
        <v>29500</v>
      </c>
      <c r="J2205" s="11">
        <f>IFERROR(__xludf.DUMMYFUNCTION("""COMPUTED_VALUE"""),236000.0)</f>
        <v>236000</v>
      </c>
      <c r="K2205" s="57">
        <f>IFERROR(__xludf.DUMMYFUNCTION("""COMPUTED_VALUE"""),44971.0)</f>
        <v>44971</v>
      </c>
      <c r="L2205" s="6" t="str">
        <f>IFERROR(__xludf.DUMMYFUNCTION("""COMPUTED_VALUE"""),"FIP Engineering")</f>
        <v>FIP Engineering</v>
      </c>
      <c r="M2205" s="6" t="str">
        <f>IFERROR(__xludf.DUMMYFUNCTION("""COMPUTED_VALUE"""),"Irwan Sopian")</f>
        <v>Irwan Sopian</v>
      </c>
      <c r="N2205" s="6" t="str">
        <f>IFERROR(__xludf.DUMMYFUNCTION("""COMPUTED_VALUE"""),"FIP Engineering")</f>
        <v>FIP Engineering</v>
      </c>
      <c r="O2205" s="6" t="str">
        <f>IFERROR(__xludf.DUMMYFUNCTION("""COMPUTED_VALUE"""),"FIP-DOM-000-11304-OS00001-INA-000000")</f>
        <v>FIP-DOM-000-11304-OS00001-INA-000000</v>
      </c>
      <c r="P2205" s="6" t="str">
        <f>IFERROR(__xludf.DUMMYFUNCTION("""COMPUTED_VALUE"""),"PO Closed")</f>
        <v>PO Closed</v>
      </c>
      <c r="Q2205" s="6" t="str">
        <f>IFERROR(__xludf.DUMMYFUNCTION("""COMPUTED_VALUE"""),"GL2301028")</f>
        <v>GL2301028</v>
      </c>
      <c r="R2205" s="57">
        <f>IFERROR(__xludf.DUMMYFUNCTION("""COMPUTED_VALUE"""),44930.0)</f>
        <v>44930</v>
      </c>
      <c r="S2205" s="57">
        <f>IFERROR(__xludf.DUMMYFUNCTION("""COMPUTED_VALUE"""),44931.0)</f>
        <v>44931</v>
      </c>
      <c r="T2205" s="57">
        <f>IFERROR(__xludf.DUMMYFUNCTION("""COMPUTED_VALUE"""),44971.0)</f>
        <v>44971</v>
      </c>
    </row>
    <row r="2206">
      <c r="A2206" s="6" t="str">
        <f>IFERROR(__xludf.DUMMYFUNCTION("""COMPUTED_VALUE"""),"231750010-2")</f>
        <v>231750010-2</v>
      </c>
      <c r="B2206" s="6" t="str">
        <f>IFERROR(__xludf.DUMMYFUNCTION("""COMPUTED_VALUE"""),"231750010 - Approved")</f>
        <v>231750010 - Approved</v>
      </c>
      <c r="C2206" s="6">
        <f>IFERROR(__xludf.DUMMYFUNCTION("""COMPUTED_VALUE"""),2.0)</f>
        <v>2</v>
      </c>
      <c r="D2206" s="6" t="str">
        <f>IFERROR(__xludf.DUMMYFUNCTION("""COMPUTED_VALUE"""),"O-11162-00")</f>
        <v>O-11162-00</v>
      </c>
      <c r="E2206" s="6" t="str">
        <f>IFERROR(__xludf.DUMMYFUNCTION("""COMPUTED_VALUE"""),"Bearing 6205 ZZ")</f>
        <v>Bearing 6205 ZZ</v>
      </c>
      <c r="F2206" s="6">
        <f>IFERROR(__xludf.DUMMYFUNCTION("""COMPUTED_VALUE"""),8.0)</f>
        <v>8</v>
      </c>
      <c r="G2206" s="6" t="str">
        <f>IFERROR(__xludf.DUMMYFUNCTION("""COMPUTED_VALUE"""),"Pieces")</f>
        <v>Pieces</v>
      </c>
      <c r="H2206" s="6" t="str">
        <f>IFERROR(__xludf.DUMMYFUNCTION("""COMPUTED_VALUE"""),"IDR")</f>
        <v>IDR</v>
      </c>
      <c r="I2206" s="11">
        <f>IFERROR(__xludf.DUMMYFUNCTION("""COMPUTED_VALUE"""),23500.0)</f>
        <v>23500</v>
      </c>
      <c r="J2206" s="11">
        <f>IFERROR(__xludf.DUMMYFUNCTION("""COMPUTED_VALUE"""),188000.0)</f>
        <v>188000</v>
      </c>
      <c r="K2206" s="57">
        <f>IFERROR(__xludf.DUMMYFUNCTION("""COMPUTED_VALUE"""),44971.0)</f>
        <v>44971</v>
      </c>
      <c r="L2206" s="6" t="str">
        <f>IFERROR(__xludf.DUMMYFUNCTION("""COMPUTED_VALUE"""),"FIP Engineering")</f>
        <v>FIP Engineering</v>
      </c>
      <c r="M2206" s="6" t="str">
        <f>IFERROR(__xludf.DUMMYFUNCTION("""COMPUTED_VALUE"""),"Irwan Sopian")</f>
        <v>Irwan Sopian</v>
      </c>
      <c r="N2206" s="6" t="str">
        <f>IFERROR(__xludf.DUMMYFUNCTION("""COMPUTED_VALUE"""),"FIP Engineering")</f>
        <v>FIP Engineering</v>
      </c>
      <c r="O2206" s="6" t="str">
        <f>IFERROR(__xludf.DUMMYFUNCTION("""COMPUTED_VALUE"""),"FIP-DOM-000-11304-OS00001-INA-000000")</f>
        <v>FIP-DOM-000-11304-OS00001-INA-000000</v>
      </c>
      <c r="P2206" s="6" t="str">
        <f>IFERROR(__xludf.DUMMYFUNCTION("""COMPUTED_VALUE"""),"PO Closed")</f>
        <v>PO Closed</v>
      </c>
      <c r="Q2206" s="6" t="str">
        <f>IFERROR(__xludf.DUMMYFUNCTION("""COMPUTED_VALUE"""),"GL2301028")</f>
        <v>GL2301028</v>
      </c>
      <c r="R2206" s="57">
        <f>IFERROR(__xludf.DUMMYFUNCTION("""COMPUTED_VALUE"""),44930.0)</f>
        <v>44930</v>
      </c>
      <c r="S2206" s="57">
        <f>IFERROR(__xludf.DUMMYFUNCTION("""COMPUTED_VALUE"""),44931.0)</f>
        <v>44931</v>
      </c>
      <c r="T2206" s="57">
        <f>IFERROR(__xludf.DUMMYFUNCTION("""COMPUTED_VALUE"""),44971.0)</f>
        <v>44971</v>
      </c>
    </row>
    <row r="2207">
      <c r="A2207" s="6" t="str">
        <f>IFERROR(__xludf.DUMMYFUNCTION("""COMPUTED_VALUE"""),"231750010-3")</f>
        <v>231750010-3</v>
      </c>
      <c r="B2207" s="6" t="str">
        <f>IFERROR(__xludf.DUMMYFUNCTION("""COMPUTED_VALUE"""),"231750010 - Approved")</f>
        <v>231750010 - Approved</v>
      </c>
      <c r="C2207" s="6">
        <f>IFERROR(__xludf.DUMMYFUNCTION("""COMPUTED_VALUE"""),3.0)</f>
        <v>3</v>
      </c>
      <c r="D2207" s="6" t="str">
        <f>IFERROR(__xludf.DUMMYFUNCTION("""COMPUTED_VALUE"""),"O-11173-00")</f>
        <v>O-11173-00</v>
      </c>
      <c r="E2207" s="6" t="str">
        <f>IFERROR(__xludf.DUMMYFUNCTION("""COMPUTED_VALUE"""),"Bearing 6208 SKF")</f>
        <v>Bearing 6208 SKF</v>
      </c>
      <c r="F2207" s="6">
        <f>IFERROR(__xludf.DUMMYFUNCTION("""COMPUTED_VALUE"""),8.0)</f>
        <v>8</v>
      </c>
      <c r="G2207" s="6" t="str">
        <f>IFERROR(__xludf.DUMMYFUNCTION("""COMPUTED_VALUE"""),"Pieces")</f>
        <v>Pieces</v>
      </c>
      <c r="H2207" s="6" t="str">
        <f>IFERROR(__xludf.DUMMYFUNCTION("""COMPUTED_VALUE"""),"IDR")</f>
        <v>IDR</v>
      </c>
      <c r="I2207" s="11">
        <f>IFERROR(__xludf.DUMMYFUNCTION("""COMPUTED_VALUE"""),90500.0)</f>
        <v>90500</v>
      </c>
      <c r="J2207" s="11">
        <f>IFERROR(__xludf.DUMMYFUNCTION("""COMPUTED_VALUE"""),724000.0)</f>
        <v>724000</v>
      </c>
      <c r="K2207" s="57">
        <f>IFERROR(__xludf.DUMMYFUNCTION("""COMPUTED_VALUE"""),44971.0)</f>
        <v>44971</v>
      </c>
      <c r="L2207" s="6" t="str">
        <f>IFERROR(__xludf.DUMMYFUNCTION("""COMPUTED_VALUE"""),"FIP Engineering")</f>
        <v>FIP Engineering</v>
      </c>
      <c r="M2207" s="6" t="str">
        <f>IFERROR(__xludf.DUMMYFUNCTION("""COMPUTED_VALUE"""),"Irwan Sopian")</f>
        <v>Irwan Sopian</v>
      </c>
      <c r="N2207" s="6" t="str">
        <f>IFERROR(__xludf.DUMMYFUNCTION("""COMPUTED_VALUE"""),"FIP Engineering")</f>
        <v>FIP Engineering</v>
      </c>
      <c r="O2207" s="6" t="str">
        <f>IFERROR(__xludf.DUMMYFUNCTION("""COMPUTED_VALUE"""),"FIP-DOM-000-11304-OS00001-INA-000000")</f>
        <v>FIP-DOM-000-11304-OS00001-INA-000000</v>
      </c>
      <c r="P2207" s="6" t="str">
        <f>IFERROR(__xludf.DUMMYFUNCTION("""COMPUTED_VALUE"""),"PO Closed")</f>
        <v>PO Closed</v>
      </c>
      <c r="Q2207" s="6" t="str">
        <f>IFERROR(__xludf.DUMMYFUNCTION("""COMPUTED_VALUE"""),"GL2301028")</f>
        <v>GL2301028</v>
      </c>
      <c r="R2207" s="57">
        <f>IFERROR(__xludf.DUMMYFUNCTION("""COMPUTED_VALUE"""),44930.0)</f>
        <v>44930</v>
      </c>
      <c r="S2207" s="57">
        <f>IFERROR(__xludf.DUMMYFUNCTION("""COMPUTED_VALUE"""),44931.0)</f>
        <v>44931</v>
      </c>
      <c r="T2207" s="57">
        <f>IFERROR(__xludf.DUMMYFUNCTION("""COMPUTED_VALUE"""),44971.0)</f>
        <v>44971</v>
      </c>
    </row>
    <row r="2208">
      <c r="A2208" s="6" t="str">
        <f>IFERROR(__xludf.DUMMYFUNCTION("""COMPUTED_VALUE"""),"231750010-4")</f>
        <v>231750010-4</v>
      </c>
      <c r="B2208" s="6" t="str">
        <f>IFERROR(__xludf.DUMMYFUNCTION("""COMPUTED_VALUE"""),"231750010 - Approved")</f>
        <v>231750010 - Approved</v>
      </c>
      <c r="C2208" s="6">
        <f>IFERROR(__xludf.DUMMYFUNCTION("""COMPUTED_VALUE"""),4.0)</f>
        <v>4</v>
      </c>
      <c r="D2208" s="6" t="str">
        <f>IFERROR(__xludf.DUMMYFUNCTION("""COMPUTED_VALUE"""),"O-11169-00")</f>
        <v>O-11169-00</v>
      </c>
      <c r="E2208" s="6" t="str">
        <f>IFERROR(__xludf.DUMMYFUNCTION("""COMPUTED_VALUE"""),"Bearing 6207ZZ")</f>
        <v>Bearing 6207ZZ</v>
      </c>
      <c r="F2208" s="6">
        <f>IFERROR(__xludf.DUMMYFUNCTION("""COMPUTED_VALUE"""),8.0)</f>
        <v>8</v>
      </c>
      <c r="G2208" s="6" t="str">
        <f>IFERROR(__xludf.DUMMYFUNCTION("""COMPUTED_VALUE"""),"Pieces")</f>
        <v>Pieces</v>
      </c>
      <c r="H2208" s="6" t="str">
        <f>IFERROR(__xludf.DUMMYFUNCTION("""COMPUTED_VALUE"""),"IDR")</f>
        <v>IDR</v>
      </c>
      <c r="I2208" s="11">
        <f>IFERROR(__xludf.DUMMYFUNCTION("""COMPUTED_VALUE"""),39300.0)</f>
        <v>39300</v>
      </c>
      <c r="J2208" s="11">
        <f>IFERROR(__xludf.DUMMYFUNCTION("""COMPUTED_VALUE"""),314400.0)</f>
        <v>314400</v>
      </c>
      <c r="K2208" s="57">
        <f>IFERROR(__xludf.DUMMYFUNCTION("""COMPUTED_VALUE"""),44971.0)</f>
        <v>44971</v>
      </c>
      <c r="L2208" s="6" t="str">
        <f>IFERROR(__xludf.DUMMYFUNCTION("""COMPUTED_VALUE"""),"FIP Engineering")</f>
        <v>FIP Engineering</v>
      </c>
      <c r="M2208" s="6" t="str">
        <f>IFERROR(__xludf.DUMMYFUNCTION("""COMPUTED_VALUE"""),"Irwan Sopian")</f>
        <v>Irwan Sopian</v>
      </c>
      <c r="N2208" s="6" t="str">
        <f>IFERROR(__xludf.DUMMYFUNCTION("""COMPUTED_VALUE"""),"FIP Engineering")</f>
        <v>FIP Engineering</v>
      </c>
      <c r="O2208" s="6" t="str">
        <f>IFERROR(__xludf.DUMMYFUNCTION("""COMPUTED_VALUE"""),"FIP-DOM-000-11304-OS00001-INA-000000")</f>
        <v>FIP-DOM-000-11304-OS00001-INA-000000</v>
      </c>
      <c r="P2208" s="6" t="str">
        <f>IFERROR(__xludf.DUMMYFUNCTION("""COMPUTED_VALUE"""),"PO Closed")</f>
        <v>PO Closed</v>
      </c>
      <c r="Q2208" s="6" t="str">
        <f>IFERROR(__xludf.DUMMYFUNCTION("""COMPUTED_VALUE"""),"GL2301028")</f>
        <v>GL2301028</v>
      </c>
      <c r="R2208" s="57">
        <f>IFERROR(__xludf.DUMMYFUNCTION("""COMPUTED_VALUE"""),44930.0)</f>
        <v>44930</v>
      </c>
      <c r="S2208" s="57">
        <f>IFERROR(__xludf.DUMMYFUNCTION("""COMPUTED_VALUE"""),44931.0)</f>
        <v>44931</v>
      </c>
      <c r="T2208" s="57">
        <f>IFERROR(__xludf.DUMMYFUNCTION("""COMPUTED_VALUE"""),44971.0)</f>
        <v>44971</v>
      </c>
    </row>
    <row r="2209">
      <c r="A2209" s="6" t="str">
        <f>IFERROR(__xludf.DUMMYFUNCTION("""COMPUTED_VALUE"""),"231750010-5")</f>
        <v>231750010-5</v>
      </c>
      <c r="B2209" s="6" t="str">
        <f>IFERROR(__xludf.DUMMYFUNCTION("""COMPUTED_VALUE"""),"231750010 - Approved")</f>
        <v>231750010 - Approved</v>
      </c>
      <c r="C2209" s="6">
        <f>IFERROR(__xludf.DUMMYFUNCTION("""COMPUTED_VALUE"""),5.0)</f>
        <v>5</v>
      </c>
      <c r="D2209" s="6" t="str">
        <f>IFERROR(__xludf.DUMMYFUNCTION("""COMPUTED_VALUE"""),"O-11166-00")</f>
        <v>O-11166-00</v>
      </c>
      <c r="E2209" s="6" t="str">
        <f>IFERROR(__xludf.DUMMYFUNCTION("""COMPUTED_VALUE"""),"Bearing 6206 ZZ")</f>
        <v>Bearing 6206 ZZ</v>
      </c>
      <c r="F2209" s="6">
        <f>IFERROR(__xludf.DUMMYFUNCTION("""COMPUTED_VALUE"""),8.0)</f>
        <v>8</v>
      </c>
      <c r="G2209" s="6" t="str">
        <f>IFERROR(__xludf.DUMMYFUNCTION("""COMPUTED_VALUE"""),"Pieces")</f>
        <v>Pieces</v>
      </c>
      <c r="H2209" s="6" t="str">
        <f>IFERROR(__xludf.DUMMYFUNCTION("""COMPUTED_VALUE"""),"IDR")</f>
        <v>IDR</v>
      </c>
      <c r="I2209" s="11">
        <f>IFERROR(__xludf.DUMMYFUNCTION("""COMPUTED_VALUE"""),63335.0)</f>
        <v>63335</v>
      </c>
      <c r="J2209" s="11">
        <f>IFERROR(__xludf.DUMMYFUNCTION("""COMPUTED_VALUE"""),506680.0)</f>
        <v>506680</v>
      </c>
      <c r="K2209" s="57">
        <f>IFERROR(__xludf.DUMMYFUNCTION("""COMPUTED_VALUE"""),44971.0)</f>
        <v>44971</v>
      </c>
      <c r="L2209" s="6" t="str">
        <f>IFERROR(__xludf.DUMMYFUNCTION("""COMPUTED_VALUE"""),"FIP Engineering")</f>
        <v>FIP Engineering</v>
      </c>
      <c r="M2209" s="6" t="str">
        <f>IFERROR(__xludf.DUMMYFUNCTION("""COMPUTED_VALUE"""),"Irwan Sopian")</f>
        <v>Irwan Sopian</v>
      </c>
      <c r="N2209" s="6" t="str">
        <f>IFERROR(__xludf.DUMMYFUNCTION("""COMPUTED_VALUE"""),"FIP Engineering")</f>
        <v>FIP Engineering</v>
      </c>
      <c r="O2209" s="6" t="str">
        <f>IFERROR(__xludf.DUMMYFUNCTION("""COMPUTED_VALUE"""),"FIP-DOM-000-11304-OS00001-INA-000000")</f>
        <v>FIP-DOM-000-11304-OS00001-INA-000000</v>
      </c>
      <c r="P2209" s="6" t="str">
        <f>IFERROR(__xludf.DUMMYFUNCTION("""COMPUTED_VALUE"""),"PO Closed")</f>
        <v>PO Closed</v>
      </c>
      <c r="Q2209" s="6" t="str">
        <f>IFERROR(__xludf.DUMMYFUNCTION("""COMPUTED_VALUE"""),"GL2301028")</f>
        <v>GL2301028</v>
      </c>
      <c r="R2209" s="57">
        <f>IFERROR(__xludf.DUMMYFUNCTION("""COMPUTED_VALUE"""),44930.0)</f>
        <v>44930</v>
      </c>
      <c r="S2209" s="57">
        <f>IFERROR(__xludf.DUMMYFUNCTION("""COMPUTED_VALUE"""),44931.0)</f>
        <v>44931</v>
      </c>
      <c r="T2209" s="57">
        <f>IFERROR(__xludf.DUMMYFUNCTION("""COMPUTED_VALUE"""),44971.0)</f>
        <v>44971</v>
      </c>
    </row>
    <row r="2210">
      <c r="A2210" s="6" t="str">
        <f>IFERROR(__xludf.DUMMYFUNCTION("""COMPUTED_VALUE"""),"231750012-1")</f>
        <v>231750012-1</v>
      </c>
      <c r="B2210" s="6" t="str">
        <f>IFERROR(__xludf.DUMMYFUNCTION("""COMPUTED_VALUE"""),"231750012 - Approved")</f>
        <v>231750012 - Approved</v>
      </c>
      <c r="C2210" s="6">
        <f>IFERROR(__xludf.DUMMYFUNCTION("""COMPUTED_VALUE"""),1.0)</f>
        <v>1</v>
      </c>
      <c r="D2210" s="6" t="str">
        <f>IFERROR(__xludf.DUMMYFUNCTION("""COMPUTED_VALUE"""),"O-54014-00")</f>
        <v>O-54014-00</v>
      </c>
      <c r="E2210" s="6" t="str">
        <f>IFERROR(__xludf.DUMMYFUNCTION("""COMPUTED_VALUE"""),"STEKER 1 PHASE, BROCO")</f>
        <v>STEKER 1 PHASE, BROCO</v>
      </c>
      <c r="F2210" s="6">
        <f>IFERROR(__xludf.DUMMYFUNCTION("""COMPUTED_VALUE"""),10.0)</f>
        <v>10</v>
      </c>
      <c r="G2210" s="6" t="str">
        <f>IFERROR(__xludf.DUMMYFUNCTION("""COMPUTED_VALUE"""),"Pieces")</f>
        <v>Pieces</v>
      </c>
      <c r="H2210" s="6" t="str">
        <f>IFERROR(__xludf.DUMMYFUNCTION("""COMPUTED_VALUE"""),"IDR")</f>
        <v>IDR</v>
      </c>
      <c r="I2210" s="11">
        <f>IFERROR(__xludf.DUMMYFUNCTION("""COMPUTED_VALUE"""),10000.0)</f>
        <v>10000</v>
      </c>
      <c r="J2210" s="11">
        <f>IFERROR(__xludf.DUMMYFUNCTION("""COMPUTED_VALUE"""),100000.0)</f>
        <v>100000</v>
      </c>
      <c r="K2210" s="57">
        <f>IFERROR(__xludf.DUMMYFUNCTION("""COMPUTED_VALUE"""),44960.0)</f>
        <v>44960</v>
      </c>
      <c r="L2210" s="6" t="str">
        <f>IFERROR(__xludf.DUMMYFUNCTION("""COMPUTED_VALUE"""),"FIP Engineering")</f>
        <v>FIP Engineering</v>
      </c>
      <c r="M2210" s="6" t="str">
        <f>IFERROR(__xludf.DUMMYFUNCTION("""COMPUTED_VALUE"""),"Irwan Sopian")</f>
        <v>Irwan Sopian</v>
      </c>
      <c r="N2210" s="6" t="str">
        <f>IFERROR(__xludf.DUMMYFUNCTION("""COMPUTED_VALUE"""),"FIP Engineering")</f>
        <v>FIP Engineering</v>
      </c>
      <c r="O2210" s="6" t="str">
        <f>IFERROR(__xludf.DUMMYFUNCTION("""COMPUTED_VALUE"""),"FIP-DOM-000-11304-OS00001-INA-000000")</f>
        <v>FIP-DOM-000-11304-OS00001-INA-000000</v>
      </c>
      <c r="P2210" s="6" t="str">
        <f>IFERROR(__xludf.DUMMYFUNCTION("""COMPUTED_VALUE"""),"PO Closed")</f>
        <v>PO Closed</v>
      </c>
      <c r="Q2210" s="6" t="str">
        <f>IFERROR(__xludf.DUMMYFUNCTION("""COMPUTED_VALUE"""),"GL2302057")</f>
        <v>GL2302057</v>
      </c>
      <c r="R2210" s="57">
        <f>IFERROR(__xludf.DUMMYFUNCTION("""COMPUTED_VALUE"""),44930.0)</f>
        <v>44930</v>
      </c>
      <c r="S2210" s="57">
        <f>IFERROR(__xludf.DUMMYFUNCTION("""COMPUTED_VALUE"""),44931.0)</f>
        <v>44931</v>
      </c>
      <c r="T2210" s="57">
        <f>IFERROR(__xludf.DUMMYFUNCTION("""COMPUTED_VALUE"""),44995.0)</f>
        <v>44995</v>
      </c>
    </row>
    <row r="2211">
      <c r="A2211" s="6" t="str">
        <f>IFERROR(__xludf.DUMMYFUNCTION("""COMPUTED_VALUE"""),"231750012-2")</f>
        <v>231750012-2</v>
      </c>
      <c r="B2211" s="6" t="str">
        <f>IFERROR(__xludf.DUMMYFUNCTION("""COMPUTED_VALUE"""),"231750012 - Approved")</f>
        <v>231750012 - Approved</v>
      </c>
      <c r="C2211" s="6">
        <f>IFERROR(__xludf.DUMMYFUNCTION("""COMPUTED_VALUE"""),2.0)</f>
        <v>2</v>
      </c>
      <c r="D2211" s="6" t="str">
        <f>IFERROR(__xludf.DUMMYFUNCTION("""COMPUTED_VALUE"""),"O-54015-00")</f>
        <v>O-54015-00</v>
      </c>
      <c r="E2211" s="6" t="str">
        <f>IFERROR(__xludf.DUMMYFUNCTION("""COMPUTED_VALUE"""),"STOP KONTAK LUBANG 4, BROCO")</f>
        <v>STOP KONTAK LUBANG 4, BROCO</v>
      </c>
      <c r="F2211" s="6">
        <f>IFERROR(__xludf.DUMMYFUNCTION("""COMPUTED_VALUE"""),5.0)</f>
        <v>5</v>
      </c>
      <c r="G2211" s="6" t="str">
        <f>IFERROR(__xludf.DUMMYFUNCTION("""COMPUTED_VALUE"""),"Unit")</f>
        <v>Unit</v>
      </c>
      <c r="H2211" s="6" t="str">
        <f>IFERROR(__xludf.DUMMYFUNCTION("""COMPUTED_VALUE"""),"IDR")</f>
        <v>IDR</v>
      </c>
      <c r="I2211" s="11">
        <f>IFERROR(__xludf.DUMMYFUNCTION("""COMPUTED_VALUE"""),49000.0)</f>
        <v>49000</v>
      </c>
      <c r="J2211" s="11">
        <f>IFERROR(__xludf.DUMMYFUNCTION("""COMPUTED_VALUE"""),245000.0)</f>
        <v>245000</v>
      </c>
      <c r="K2211" s="57">
        <f>IFERROR(__xludf.DUMMYFUNCTION("""COMPUTED_VALUE"""),44960.0)</f>
        <v>44960</v>
      </c>
      <c r="L2211" s="6" t="str">
        <f>IFERROR(__xludf.DUMMYFUNCTION("""COMPUTED_VALUE"""),"FIP Engineering")</f>
        <v>FIP Engineering</v>
      </c>
      <c r="M2211" s="6" t="str">
        <f>IFERROR(__xludf.DUMMYFUNCTION("""COMPUTED_VALUE"""),"Irwan Sopian")</f>
        <v>Irwan Sopian</v>
      </c>
      <c r="N2211" s="6" t="str">
        <f>IFERROR(__xludf.DUMMYFUNCTION("""COMPUTED_VALUE"""),"FIP Engineering")</f>
        <v>FIP Engineering</v>
      </c>
      <c r="O2211" s="6" t="str">
        <f>IFERROR(__xludf.DUMMYFUNCTION("""COMPUTED_VALUE"""),"FIP-DOM-000-11304-OS00001-INA-000000")</f>
        <v>FIP-DOM-000-11304-OS00001-INA-000000</v>
      </c>
      <c r="P2211" s="6" t="str">
        <f>IFERROR(__xludf.DUMMYFUNCTION("""COMPUTED_VALUE"""),"PO Closed")</f>
        <v>PO Closed</v>
      </c>
      <c r="Q2211" s="6" t="str">
        <f>IFERROR(__xludf.DUMMYFUNCTION("""COMPUTED_VALUE"""),"GL2302001")</f>
        <v>GL2302001</v>
      </c>
      <c r="R2211" s="57">
        <f>IFERROR(__xludf.DUMMYFUNCTION("""COMPUTED_VALUE"""),44930.0)</f>
        <v>44930</v>
      </c>
      <c r="S2211" s="57">
        <f>IFERROR(__xludf.DUMMYFUNCTION("""COMPUTED_VALUE"""),44931.0)</f>
        <v>44931</v>
      </c>
      <c r="T2211" s="57">
        <f>IFERROR(__xludf.DUMMYFUNCTION("""COMPUTED_VALUE"""),44985.0)</f>
        <v>44985</v>
      </c>
    </row>
    <row r="2212">
      <c r="A2212" s="6" t="str">
        <f>IFERROR(__xludf.DUMMYFUNCTION("""COMPUTED_VALUE"""),"231750012-3")</f>
        <v>231750012-3</v>
      </c>
      <c r="B2212" s="6" t="str">
        <f>IFERROR(__xludf.DUMMYFUNCTION("""COMPUTED_VALUE"""),"231750012 - Approved")</f>
        <v>231750012 - Approved</v>
      </c>
      <c r="C2212" s="6">
        <f>IFERROR(__xludf.DUMMYFUNCTION("""COMPUTED_VALUE"""),3.0)</f>
        <v>3</v>
      </c>
      <c r="D2212" s="6" t="str">
        <f>IFERROR(__xludf.DUMMYFUNCTION("""COMPUTED_VALUE"""),"Q-10128-00")</f>
        <v>Q-10128-00</v>
      </c>
      <c r="E2212" s="6" t="str">
        <f>IFERROR(__xludf.DUMMYFUNCTION("""COMPUTED_VALUE"""),"Thinner Super End/Impala")</f>
        <v>Thinner Super End/Impala</v>
      </c>
      <c r="F2212" s="6">
        <f>IFERROR(__xludf.DUMMYFUNCTION("""COMPUTED_VALUE"""),4.0)</f>
        <v>4</v>
      </c>
      <c r="G2212" s="6" t="str">
        <f>IFERROR(__xludf.DUMMYFUNCTION("""COMPUTED_VALUE"""),"Pieces")</f>
        <v>Pieces</v>
      </c>
      <c r="H2212" s="6" t="str">
        <f>IFERROR(__xludf.DUMMYFUNCTION("""COMPUTED_VALUE"""),"IDR")</f>
        <v>IDR</v>
      </c>
      <c r="I2212" s="11">
        <f>IFERROR(__xludf.DUMMYFUNCTION("""COMPUTED_VALUE"""),178000.0)</f>
        <v>178000</v>
      </c>
      <c r="J2212" s="11">
        <f>IFERROR(__xludf.DUMMYFUNCTION("""COMPUTED_VALUE"""),712000.0)</f>
        <v>712000</v>
      </c>
      <c r="K2212" s="57">
        <f>IFERROR(__xludf.DUMMYFUNCTION("""COMPUTED_VALUE"""),44960.0)</f>
        <v>44960</v>
      </c>
      <c r="L2212" s="6" t="str">
        <f>IFERROR(__xludf.DUMMYFUNCTION("""COMPUTED_VALUE"""),"FIP Engineering")</f>
        <v>FIP Engineering</v>
      </c>
      <c r="M2212" s="6" t="str">
        <f>IFERROR(__xludf.DUMMYFUNCTION("""COMPUTED_VALUE"""),"Irwan Sopian")</f>
        <v>Irwan Sopian</v>
      </c>
      <c r="N2212" s="6" t="str">
        <f>IFERROR(__xludf.DUMMYFUNCTION("""COMPUTED_VALUE"""),"FIP Engineering")</f>
        <v>FIP Engineering</v>
      </c>
      <c r="O2212" s="6" t="str">
        <f>IFERROR(__xludf.DUMMYFUNCTION("""COMPUTED_VALUE"""),"FIP-DOM-000-11304-OS00001-INA-000000")</f>
        <v>FIP-DOM-000-11304-OS00001-INA-000000</v>
      </c>
      <c r="P2212" s="6" t="str">
        <f>IFERROR(__xludf.DUMMYFUNCTION("""COMPUTED_VALUE"""),"PO Closed")</f>
        <v>PO Closed</v>
      </c>
      <c r="Q2212" s="6" t="str">
        <f>IFERROR(__xludf.DUMMYFUNCTION("""COMPUTED_VALUE"""),"GL2302001")</f>
        <v>GL2302001</v>
      </c>
      <c r="R2212" s="57">
        <f>IFERROR(__xludf.DUMMYFUNCTION("""COMPUTED_VALUE"""),44930.0)</f>
        <v>44930</v>
      </c>
      <c r="S2212" s="57">
        <f>IFERROR(__xludf.DUMMYFUNCTION("""COMPUTED_VALUE"""),44931.0)</f>
        <v>44931</v>
      </c>
      <c r="T2212" s="57">
        <f>IFERROR(__xludf.DUMMYFUNCTION("""COMPUTED_VALUE"""),44985.0)</f>
        <v>44985</v>
      </c>
    </row>
    <row r="2213">
      <c r="A2213" s="6" t="str">
        <f>IFERROR(__xludf.DUMMYFUNCTION("""COMPUTED_VALUE"""),"231750012-4")</f>
        <v>231750012-4</v>
      </c>
      <c r="B2213" s="6" t="str">
        <f>IFERROR(__xludf.DUMMYFUNCTION("""COMPUTED_VALUE"""),"231750012 - Approved")</f>
        <v>231750012 - Approved</v>
      </c>
      <c r="C2213" s="6">
        <f>IFERROR(__xludf.DUMMYFUNCTION("""COMPUTED_VALUE"""),4.0)</f>
        <v>4</v>
      </c>
      <c r="D2213" s="6" t="str">
        <f>IFERROR(__xludf.DUMMYFUNCTION("""COMPUTED_VALUE"""),"Q-60503-00")</f>
        <v>Q-60503-00</v>
      </c>
      <c r="E2213" s="6" t="str">
        <f>IFERROR(__xludf.DUMMYFUNCTION("""COMPUTED_VALUE"""),"Silicone Sealant, Silglaze, Type N10 Grey, pack size per pcs")</f>
        <v>Silicone Sealant, Silglaze, Type N10 Grey, pack size per pcs</v>
      </c>
      <c r="F2213" s="6">
        <f>IFERROR(__xludf.DUMMYFUNCTION("""COMPUTED_VALUE"""),5.0)</f>
        <v>5</v>
      </c>
      <c r="G2213" s="6" t="str">
        <f>IFERROR(__xludf.DUMMYFUNCTION("""COMPUTED_VALUE"""),"Pieces")</f>
        <v>Pieces</v>
      </c>
      <c r="H2213" s="6" t="str">
        <f>IFERROR(__xludf.DUMMYFUNCTION("""COMPUTED_VALUE"""),"IDR")</f>
        <v>IDR</v>
      </c>
      <c r="I2213" s="11">
        <f>IFERROR(__xludf.DUMMYFUNCTION("""COMPUTED_VALUE"""),62000.0)</f>
        <v>62000</v>
      </c>
      <c r="J2213" s="11">
        <f>IFERROR(__xludf.DUMMYFUNCTION("""COMPUTED_VALUE"""),310000.0)</f>
        <v>310000</v>
      </c>
      <c r="K2213" s="57">
        <f>IFERROR(__xludf.DUMMYFUNCTION("""COMPUTED_VALUE"""),44960.0)</f>
        <v>44960</v>
      </c>
      <c r="L2213" s="6" t="str">
        <f>IFERROR(__xludf.DUMMYFUNCTION("""COMPUTED_VALUE"""),"FIP Engineering")</f>
        <v>FIP Engineering</v>
      </c>
      <c r="M2213" s="6" t="str">
        <f>IFERROR(__xludf.DUMMYFUNCTION("""COMPUTED_VALUE"""),"Irwan Sopian")</f>
        <v>Irwan Sopian</v>
      </c>
      <c r="N2213" s="6" t="str">
        <f>IFERROR(__xludf.DUMMYFUNCTION("""COMPUTED_VALUE"""),"FIP Engineering")</f>
        <v>FIP Engineering</v>
      </c>
      <c r="O2213" s="6" t="str">
        <f>IFERROR(__xludf.DUMMYFUNCTION("""COMPUTED_VALUE"""),"FIP-DOM-000-11304-OS00010-INA-000000")</f>
        <v>FIP-DOM-000-11304-OS00010-INA-000000</v>
      </c>
      <c r="P2213" s="6" t="str">
        <f>IFERROR(__xludf.DUMMYFUNCTION("""COMPUTED_VALUE"""),"PO Closed")</f>
        <v>PO Closed</v>
      </c>
      <c r="Q2213" s="6" t="str">
        <f>IFERROR(__xludf.DUMMYFUNCTION("""COMPUTED_VALUE"""),"GL2302001")</f>
        <v>GL2302001</v>
      </c>
      <c r="R2213" s="57">
        <f>IFERROR(__xludf.DUMMYFUNCTION("""COMPUTED_VALUE"""),44930.0)</f>
        <v>44930</v>
      </c>
      <c r="S2213" s="57">
        <f>IFERROR(__xludf.DUMMYFUNCTION("""COMPUTED_VALUE"""),44931.0)</f>
        <v>44931</v>
      </c>
      <c r="T2213" s="57">
        <f>IFERROR(__xludf.DUMMYFUNCTION("""COMPUTED_VALUE"""),44985.0)</f>
        <v>44985</v>
      </c>
    </row>
    <row r="2214">
      <c r="A2214" s="6" t="str">
        <f>IFERROR(__xludf.DUMMYFUNCTION("""COMPUTED_VALUE"""),"231750012-5")</f>
        <v>231750012-5</v>
      </c>
      <c r="B2214" s="6" t="str">
        <f>IFERROR(__xludf.DUMMYFUNCTION("""COMPUTED_VALUE"""),"231750012 - Approved")</f>
        <v>231750012 - Approved</v>
      </c>
      <c r="C2214" s="6">
        <f>IFERROR(__xludf.DUMMYFUNCTION("""COMPUTED_VALUE"""),5.0)</f>
        <v>5</v>
      </c>
      <c r="D2214" s="6" t="str">
        <f>IFERROR(__xludf.DUMMYFUNCTION("""COMPUTED_VALUE"""),"Q-60502-00")</f>
        <v>Q-60502-00</v>
      </c>
      <c r="E2214" s="6" t="str">
        <f>IFERROR(__xludf.DUMMYFUNCTION("""COMPUTED_VALUE"""),"Silicone Sealant, Silglaze, Type N10 White, pack size per pcs")</f>
        <v>Silicone Sealant, Silglaze, Type N10 White, pack size per pcs</v>
      </c>
      <c r="F2214" s="6">
        <f>IFERROR(__xludf.DUMMYFUNCTION("""COMPUTED_VALUE"""),6.0)</f>
        <v>6</v>
      </c>
      <c r="G2214" s="6" t="str">
        <f>IFERROR(__xludf.DUMMYFUNCTION("""COMPUTED_VALUE"""),"Pieces")</f>
        <v>Pieces</v>
      </c>
      <c r="H2214" s="6" t="str">
        <f>IFERROR(__xludf.DUMMYFUNCTION("""COMPUTED_VALUE"""),"IDR")</f>
        <v>IDR</v>
      </c>
      <c r="I2214" s="11">
        <f>IFERROR(__xludf.DUMMYFUNCTION("""COMPUTED_VALUE"""),62000.0)</f>
        <v>62000</v>
      </c>
      <c r="J2214" s="11">
        <f>IFERROR(__xludf.DUMMYFUNCTION("""COMPUTED_VALUE"""),372000.0)</f>
        <v>372000</v>
      </c>
      <c r="K2214" s="57">
        <f>IFERROR(__xludf.DUMMYFUNCTION("""COMPUTED_VALUE"""),44960.0)</f>
        <v>44960</v>
      </c>
      <c r="L2214" s="6" t="str">
        <f>IFERROR(__xludf.DUMMYFUNCTION("""COMPUTED_VALUE"""),"FIP Engineering")</f>
        <v>FIP Engineering</v>
      </c>
      <c r="M2214" s="6" t="str">
        <f>IFERROR(__xludf.DUMMYFUNCTION("""COMPUTED_VALUE"""),"Irwan Sopian")</f>
        <v>Irwan Sopian</v>
      </c>
      <c r="N2214" s="6" t="str">
        <f>IFERROR(__xludf.DUMMYFUNCTION("""COMPUTED_VALUE"""),"FIP Engineering")</f>
        <v>FIP Engineering</v>
      </c>
      <c r="O2214" s="6" t="str">
        <f>IFERROR(__xludf.DUMMYFUNCTION("""COMPUTED_VALUE"""),"FIP-DOM-000-11304-OS00001-INA-000000")</f>
        <v>FIP-DOM-000-11304-OS00001-INA-000000</v>
      </c>
      <c r="P2214" s="6" t="str">
        <f>IFERROR(__xludf.DUMMYFUNCTION("""COMPUTED_VALUE"""),"PO Closed")</f>
        <v>PO Closed</v>
      </c>
      <c r="Q2214" s="6" t="str">
        <f>IFERROR(__xludf.DUMMYFUNCTION("""COMPUTED_VALUE"""),"GL2302001")</f>
        <v>GL2302001</v>
      </c>
      <c r="R2214" s="57">
        <f>IFERROR(__xludf.DUMMYFUNCTION("""COMPUTED_VALUE"""),44930.0)</f>
        <v>44930</v>
      </c>
      <c r="S2214" s="57">
        <f>IFERROR(__xludf.DUMMYFUNCTION("""COMPUTED_VALUE"""),44931.0)</f>
        <v>44931</v>
      </c>
      <c r="T2214" s="57">
        <f>IFERROR(__xludf.DUMMYFUNCTION("""COMPUTED_VALUE"""),44985.0)</f>
        <v>44985</v>
      </c>
    </row>
    <row r="2215">
      <c r="A2215" s="6" t="str">
        <f>IFERROR(__xludf.DUMMYFUNCTION("""COMPUTED_VALUE"""),"231750012-6")</f>
        <v>231750012-6</v>
      </c>
      <c r="B2215" s="6" t="str">
        <f>IFERROR(__xludf.DUMMYFUNCTION("""COMPUTED_VALUE"""),"231750012 - Approved")</f>
        <v>231750012 - Approved</v>
      </c>
      <c r="C2215" s="6">
        <f>IFERROR(__xludf.DUMMYFUNCTION("""COMPUTED_VALUE"""),6.0)</f>
        <v>6</v>
      </c>
      <c r="D2215" s="6" t="str">
        <f>IFERROR(__xludf.DUMMYFUNCTION("""COMPUTED_VALUE"""),"Q-60501-00")</f>
        <v>Q-60501-00</v>
      </c>
      <c r="E2215" s="6" t="str">
        <f>IFERROR(__xludf.DUMMYFUNCTION("""COMPUTED_VALUE"""),"Silicone Sealant, Silglaze, Type N10 Clear, pack size per pcs")</f>
        <v>Silicone Sealant, Silglaze, Type N10 Clear, pack size per pcs</v>
      </c>
      <c r="F2215" s="6">
        <f>IFERROR(__xludf.DUMMYFUNCTION("""COMPUTED_VALUE"""),1.0)</f>
        <v>1</v>
      </c>
      <c r="G2215" s="6" t="str">
        <f>IFERROR(__xludf.DUMMYFUNCTION("""COMPUTED_VALUE"""),"Pieces")</f>
        <v>Pieces</v>
      </c>
      <c r="H2215" s="6" t="str">
        <f>IFERROR(__xludf.DUMMYFUNCTION("""COMPUTED_VALUE"""),"IDR")</f>
        <v>IDR</v>
      </c>
      <c r="I2215" s="11">
        <f>IFERROR(__xludf.DUMMYFUNCTION("""COMPUTED_VALUE"""),62000.0)</f>
        <v>62000</v>
      </c>
      <c r="J2215" s="11">
        <f>IFERROR(__xludf.DUMMYFUNCTION("""COMPUTED_VALUE"""),62000.0)</f>
        <v>62000</v>
      </c>
      <c r="K2215" s="57">
        <f>IFERROR(__xludf.DUMMYFUNCTION("""COMPUTED_VALUE"""),44960.0)</f>
        <v>44960</v>
      </c>
      <c r="L2215" s="6" t="str">
        <f>IFERROR(__xludf.DUMMYFUNCTION("""COMPUTED_VALUE"""),"FIP Engineering")</f>
        <v>FIP Engineering</v>
      </c>
      <c r="M2215" s="6" t="str">
        <f>IFERROR(__xludf.DUMMYFUNCTION("""COMPUTED_VALUE"""),"Irwan Sopian")</f>
        <v>Irwan Sopian</v>
      </c>
      <c r="N2215" s="6" t="str">
        <f>IFERROR(__xludf.DUMMYFUNCTION("""COMPUTED_VALUE"""),"FIP Engineering")</f>
        <v>FIP Engineering</v>
      </c>
      <c r="O2215" s="6" t="str">
        <f>IFERROR(__xludf.DUMMYFUNCTION("""COMPUTED_VALUE"""),"FIP-DOM-000-11304-OS00001-INA-000000")</f>
        <v>FIP-DOM-000-11304-OS00001-INA-000000</v>
      </c>
      <c r="P2215" s="6" t="str">
        <f>IFERROR(__xludf.DUMMYFUNCTION("""COMPUTED_VALUE"""),"PO Closed")</f>
        <v>PO Closed</v>
      </c>
      <c r="Q2215" s="6" t="str">
        <f>IFERROR(__xludf.DUMMYFUNCTION("""COMPUTED_VALUE"""),"GL2302001")</f>
        <v>GL2302001</v>
      </c>
      <c r="R2215" s="57">
        <f>IFERROR(__xludf.DUMMYFUNCTION("""COMPUTED_VALUE"""),44930.0)</f>
        <v>44930</v>
      </c>
      <c r="S2215" s="57">
        <f>IFERROR(__xludf.DUMMYFUNCTION("""COMPUTED_VALUE"""),44931.0)</f>
        <v>44931</v>
      </c>
      <c r="T2215" s="57">
        <f>IFERROR(__xludf.DUMMYFUNCTION("""COMPUTED_VALUE"""),44985.0)</f>
        <v>44985</v>
      </c>
    </row>
    <row r="2216">
      <c r="A2216" s="6" t="str">
        <f>IFERROR(__xludf.DUMMYFUNCTION("""COMPUTED_VALUE"""),"231750013-1")</f>
        <v>231750013-1</v>
      </c>
      <c r="B2216" s="6" t="str">
        <f>IFERROR(__xludf.DUMMYFUNCTION("""COMPUTED_VALUE"""),"231750013 - Approved")</f>
        <v>231750013 - Approved</v>
      </c>
      <c r="C2216" s="6">
        <f>IFERROR(__xludf.DUMMYFUNCTION("""COMPUTED_VALUE"""),1.0)</f>
        <v>1</v>
      </c>
      <c r="D2216" s="6" t="str">
        <f>IFERROR(__xludf.DUMMYFUNCTION("""COMPUTED_VALUE"""),"P-52590-00")</f>
        <v>P-52590-00</v>
      </c>
      <c r="E2216" s="6" t="str">
        <f>IFERROR(__xludf.DUMMYFUNCTION("""COMPUTED_VALUE"""),"Heater Duchting DIA.11.2 x 300mm 220 V 5000 W; ; ;")</f>
        <v>Heater Duchting DIA.11.2 x 300mm 220 V 5000 W; ; ;</v>
      </c>
      <c r="F2216" s="6">
        <f>IFERROR(__xludf.DUMMYFUNCTION("""COMPUTED_VALUE"""),1.0)</f>
        <v>1</v>
      </c>
      <c r="G2216" s="6" t="str">
        <f>IFERROR(__xludf.DUMMYFUNCTION("""COMPUTED_VALUE"""),"Pieces")</f>
        <v>Pieces</v>
      </c>
      <c r="H2216" s="6" t="str">
        <f>IFERROR(__xludf.DUMMYFUNCTION("""COMPUTED_VALUE"""),"IDR")</f>
        <v>IDR</v>
      </c>
      <c r="I2216" s="11">
        <f>IFERROR(__xludf.DUMMYFUNCTION("""COMPUTED_VALUE"""),1000000.0)</f>
        <v>1000000</v>
      </c>
      <c r="J2216" s="11">
        <f>IFERROR(__xludf.DUMMYFUNCTION("""COMPUTED_VALUE"""),1000000.0)</f>
        <v>1000000</v>
      </c>
      <c r="K2216" s="57">
        <f>IFERROR(__xludf.DUMMYFUNCTION("""COMPUTED_VALUE"""),44958.0)</f>
        <v>44958</v>
      </c>
      <c r="L2216" s="6" t="str">
        <f>IFERROR(__xludf.DUMMYFUNCTION("""COMPUTED_VALUE"""),"FIP Engineering")</f>
        <v>FIP Engineering</v>
      </c>
      <c r="M2216" s="6" t="str">
        <f>IFERROR(__xludf.DUMMYFUNCTION("""COMPUTED_VALUE"""),"Irwan Sopian")</f>
        <v>Irwan Sopian</v>
      </c>
      <c r="N2216" s="6" t="str">
        <f>IFERROR(__xludf.DUMMYFUNCTION("""COMPUTED_VALUE"""),"FIP Engineering")</f>
        <v>FIP Engineering</v>
      </c>
      <c r="O2216" s="6" t="str">
        <f>IFERROR(__xludf.DUMMYFUNCTION("""COMPUTED_VALUE"""),"FIP-DOM-000-11304-OS00001-INA-000000")</f>
        <v>FIP-DOM-000-11304-OS00001-INA-000000</v>
      </c>
      <c r="P2216" s="6" t="str">
        <f>IFERROR(__xludf.DUMMYFUNCTION("""COMPUTED_VALUE"""),"PO Closed")</f>
        <v>PO Closed</v>
      </c>
      <c r="Q2216" s="6" t="str">
        <f>IFERROR(__xludf.DUMMYFUNCTION("""COMPUTED_VALUE"""),"GL2301029")</f>
        <v>GL2301029</v>
      </c>
      <c r="R2216" s="57">
        <f>IFERROR(__xludf.DUMMYFUNCTION("""COMPUTED_VALUE"""),44931.0)</f>
        <v>44931</v>
      </c>
      <c r="S2216" s="57">
        <f>IFERROR(__xludf.DUMMYFUNCTION("""COMPUTED_VALUE"""),44931.0)</f>
        <v>44931</v>
      </c>
      <c r="T2216" s="57">
        <f>IFERROR(__xludf.DUMMYFUNCTION("""COMPUTED_VALUE"""),44962.0)</f>
        <v>44962</v>
      </c>
    </row>
    <row r="2217">
      <c r="A2217" s="6" t="str">
        <f>IFERROR(__xludf.DUMMYFUNCTION("""COMPUTED_VALUE"""),"231750015-1")</f>
        <v>231750015-1</v>
      </c>
      <c r="B2217" s="6" t="str">
        <f>IFERROR(__xludf.DUMMYFUNCTION("""COMPUTED_VALUE"""),"231750015 - Approved")</f>
        <v>231750015 - Approved</v>
      </c>
      <c r="C2217" s="6">
        <f>IFERROR(__xludf.DUMMYFUNCTION("""COMPUTED_VALUE"""),1.0)</f>
        <v>1</v>
      </c>
      <c r="D2217" s="6" t="str">
        <f>IFERROR(__xludf.DUMMYFUNCTION("""COMPUTED_VALUE"""),"P-11819-00")</f>
        <v>P-11819-00</v>
      </c>
      <c r="E2217" s="6" t="str">
        <f>IFERROR(__xludf.DUMMYFUNCTION("""COMPUTED_VALUE"""),"Alumunium duct tape 2 inch")</f>
        <v>Alumunium duct tape 2 inch</v>
      </c>
      <c r="F2217" s="6">
        <f>IFERROR(__xludf.DUMMYFUNCTION("""COMPUTED_VALUE"""),1.0)</f>
        <v>1</v>
      </c>
      <c r="G2217" s="6" t="str">
        <f>IFERROR(__xludf.DUMMYFUNCTION("""COMPUTED_VALUE"""),"Pieces")</f>
        <v>Pieces</v>
      </c>
      <c r="H2217" s="6" t="str">
        <f>IFERROR(__xludf.DUMMYFUNCTION("""COMPUTED_VALUE"""),"IDR")</f>
        <v>IDR</v>
      </c>
      <c r="I2217" s="11">
        <f>IFERROR(__xludf.DUMMYFUNCTION("""COMPUTED_VALUE"""),60000.0)</f>
        <v>60000</v>
      </c>
      <c r="J2217" s="11">
        <f>IFERROR(__xludf.DUMMYFUNCTION("""COMPUTED_VALUE"""),60000.0)</f>
        <v>60000</v>
      </c>
      <c r="K2217" s="57">
        <f>IFERROR(__xludf.DUMMYFUNCTION("""COMPUTED_VALUE"""),44960.0)</f>
        <v>44960</v>
      </c>
      <c r="L2217" s="6" t="str">
        <f>IFERROR(__xludf.DUMMYFUNCTION("""COMPUTED_VALUE"""),"FIP Engineering")</f>
        <v>FIP Engineering</v>
      </c>
      <c r="M2217" s="6" t="str">
        <f>IFERROR(__xludf.DUMMYFUNCTION("""COMPUTED_VALUE"""),"Irwan Sopian")</f>
        <v>Irwan Sopian</v>
      </c>
      <c r="N2217" s="6" t="str">
        <f>IFERROR(__xludf.DUMMYFUNCTION("""COMPUTED_VALUE"""),"FIP Engineering")</f>
        <v>FIP Engineering</v>
      </c>
      <c r="O2217" s="6" t="str">
        <f>IFERROR(__xludf.DUMMYFUNCTION("""COMPUTED_VALUE"""),"FIP-DOM-000-11304-OS00001-INA-000000")</f>
        <v>FIP-DOM-000-11304-OS00001-INA-000000</v>
      </c>
      <c r="P2217" s="6" t="str">
        <f>IFERROR(__xludf.DUMMYFUNCTION("""COMPUTED_VALUE"""),"PO Closed")</f>
        <v>PO Closed</v>
      </c>
      <c r="Q2217" s="6" t="str">
        <f>IFERROR(__xludf.DUMMYFUNCTION("""COMPUTED_VALUE"""),"GL2302001")</f>
        <v>GL2302001</v>
      </c>
      <c r="R2217" s="57">
        <f>IFERROR(__xludf.DUMMYFUNCTION("""COMPUTED_VALUE"""),44931.0)</f>
        <v>44931</v>
      </c>
      <c r="S2217" s="57">
        <f>IFERROR(__xludf.DUMMYFUNCTION("""COMPUTED_VALUE"""),44931.0)</f>
        <v>44931</v>
      </c>
      <c r="T2217" s="57">
        <f>IFERROR(__xludf.DUMMYFUNCTION("""COMPUTED_VALUE"""),44985.0)</f>
        <v>44985</v>
      </c>
    </row>
    <row r="2218">
      <c r="A2218" s="6" t="str">
        <f>IFERROR(__xludf.DUMMYFUNCTION("""COMPUTED_VALUE"""),"231750015-2")</f>
        <v>231750015-2</v>
      </c>
      <c r="B2218" s="6" t="str">
        <f>IFERROR(__xludf.DUMMYFUNCTION("""COMPUTED_VALUE"""),"231750015 - Approved")</f>
        <v>231750015 - Approved</v>
      </c>
      <c r="C2218" s="6">
        <f>IFERROR(__xludf.DUMMYFUNCTION("""COMPUTED_VALUE"""),2.0)</f>
        <v>2</v>
      </c>
      <c r="D2218" s="6" t="str">
        <f>IFERROR(__xludf.DUMMYFUNCTION("""COMPUTED_VALUE"""),"Q-10952-00")</f>
        <v>Q-10952-00</v>
      </c>
      <c r="E2218" s="6" t="str">
        <f>IFERROR(__xludf.DUMMYFUNCTION("""COMPUTED_VALUE"""),"Mesh Uk. 18x0.28mmx1000mm Material SS 304; ; ;")</f>
        <v>Mesh Uk. 18x0.28mmx1000mm Material SS 304; ; ;</v>
      </c>
      <c r="F2218" s="6">
        <f>IFERROR(__xludf.DUMMYFUNCTION("""COMPUTED_VALUE"""),25.0)</f>
        <v>25</v>
      </c>
      <c r="G2218" s="6" t="str">
        <f>IFERROR(__xludf.DUMMYFUNCTION("""COMPUTED_VALUE"""),"Meter")</f>
        <v>Meter</v>
      </c>
      <c r="H2218" s="6" t="str">
        <f>IFERROR(__xludf.DUMMYFUNCTION("""COMPUTED_VALUE"""),"IDR")</f>
        <v>IDR</v>
      </c>
      <c r="I2218" s="11">
        <f>IFERROR(__xludf.DUMMYFUNCTION("""COMPUTED_VALUE"""),145000.0)</f>
        <v>145000</v>
      </c>
      <c r="J2218" s="11">
        <f>IFERROR(__xludf.DUMMYFUNCTION("""COMPUTED_VALUE"""),3625000.0)</f>
        <v>3625000</v>
      </c>
      <c r="K2218" s="57">
        <f>IFERROR(__xludf.DUMMYFUNCTION("""COMPUTED_VALUE"""),44960.0)</f>
        <v>44960</v>
      </c>
      <c r="L2218" s="6" t="str">
        <f>IFERROR(__xludf.DUMMYFUNCTION("""COMPUTED_VALUE"""),"FIP Engineering")</f>
        <v>FIP Engineering</v>
      </c>
      <c r="M2218" s="6" t="str">
        <f>IFERROR(__xludf.DUMMYFUNCTION("""COMPUTED_VALUE"""),"Irwan Sopian")</f>
        <v>Irwan Sopian</v>
      </c>
      <c r="N2218" s="6" t="str">
        <f>IFERROR(__xludf.DUMMYFUNCTION("""COMPUTED_VALUE"""),"FIP Engineering")</f>
        <v>FIP Engineering</v>
      </c>
      <c r="O2218" s="6" t="str">
        <f>IFERROR(__xludf.DUMMYFUNCTION("""COMPUTED_VALUE"""),"FIP-DOM-000-11304-OS00001-INA-000000")</f>
        <v>FIP-DOM-000-11304-OS00001-INA-000000</v>
      </c>
      <c r="P2218" s="6" t="str">
        <f>IFERROR(__xludf.DUMMYFUNCTION("""COMPUTED_VALUE"""),"PO Closed")</f>
        <v>PO Closed</v>
      </c>
      <c r="Q2218" s="6" t="str">
        <f>IFERROR(__xludf.DUMMYFUNCTION("""COMPUTED_VALUE"""),"GL2303052")</f>
        <v>GL2303052</v>
      </c>
      <c r="R2218" s="57">
        <f>IFERROR(__xludf.DUMMYFUNCTION("""COMPUTED_VALUE"""),44931.0)</f>
        <v>44931</v>
      </c>
      <c r="S2218" s="57">
        <f>IFERROR(__xludf.DUMMYFUNCTION("""COMPUTED_VALUE"""),44931.0)</f>
        <v>44931</v>
      </c>
      <c r="T2218" s="57">
        <f>IFERROR(__xludf.DUMMYFUNCTION("""COMPUTED_VALUE"""),45020.0)</f>
        <v>45020</v>
      </c>
    </row>
    <row r="2219">
      <c r="A2219" s="6" t="str">
        <f>IFERROR(__xludf.DUMMYFUNCTION("""COMPUTED_VALUE"""),"231750035-1")</f>
        <v>231750035-1</v>
      </c>
      <c r="B2219" s="6" t="str">
        <f>IFERROR(__xludf.DUMMYFUNCTION("""COMPUTED_VALUE"""),"231750035 - Approved")</f>
        <v>231750035 - Approved</v>
      </c>
      <c r="C2219" s="6">
        <f>IFERROR(__xludf.DUMMYFUNCTION("""COMPUTED_VALUE"""),1.0)</f>
        <v>1</v>
      </c>
      <c r="D2219" s="6" t="str">
        <f>IFERROR(__xludf.DUMMYFUNCTION("""COMPUTED_VALUE"""),"O-52207-00")</f>
        <v>O-52207-00</v>
      </c>
      <c r="E2219" s="6" t="str">
        <f>IFERROR(__xludf.DUMMYFUNCTION("""COMPUTED_VALUE"""),"Filling VFM100 - Laser Photoelectric Sensor Head LV-S62 Keyence; ; ;")</f>
        <v>Filling VFM100 - Laser Photoelectric Sensor Head LV-S62 Keyence; ; ;</v>
      </c>
      <c r="F2219" s="6">
        <f>IFERROR(__xludf.DUMMYFUNCTION("""COMPUTED_VALUE"""),2.0)</f>
        <v>2</v>
      </c>
      <c r="G2219" s="6" t="str">
        <f>IFERROR(__xludf.DUMMYFUNCTION("""COMPUTED_VALUE"""),"Pieces")</f>
        <v>Pieces</v>
      </c>
      <c r="H2219" s="6" t="str">
        <f>IFERROR(__xludf.DUMMYFUNCTION("""COMPUTED_VALUE"""),"IDR")</f>
        <v>IDR</v>
      </c>
      <c r="I2219" s="11">
        <f>IFERROR(__xludf.DUMMYFUNCTION("""COMPUTED_VALUE"""),3533000.0)</f>
        <v>3533000</v>
      </c>
      <c r="J2219" s="11">
        <f>IFERROR(__xludf.DUMMYFUNCTION("""COMPUTED_VALUE"""),7066000.0)</f>
        <v>7066000</v>
      </c>
      <c r="K2219" s="57">
        <f>IFERROR(__xludf.DUMMYFUNCTION("""COMPUTED_VALUE"""),44985.0)</f>
        <v>44985</v>
      </c>
      <c r="L2219" s="6" t="str">
        <f>IFERROR(__xludf.DUMMYFUNCTION("""COMPUTED_VALUE"""),"FIP Engineering")</f>
        <v>FIP Engineering</v>
      </c>
      <c r="M2219" s="6" t="str">
        <f>IFERROR(__xludf.DUMMYFUNCTION("""COMPUTED_VALUE"""),"Irwan Sopian")</f>
        <v>Irwan Sopian</v>
      </c>
      <c r="N2219" s="6" t="str">
        <f>IFERROR(__xludf.DUMMYFUNCTION("""COMPUTED_VALUE"""),"FIP Engineering")</f>
        <v>FIP Engineering</v>
      </c>
      <c r="O2219" s="6" t="str">
        <f>IFERROR(__xludf.DUMMYFUNCTION("""COMPUTED_VALUE"""),"FIP-DOM-000-11304-OS00001-INA-000000")</f>
        <v>FIP-DOM-000-11304-OS00001-INA-000000</v>
      </c>
      <c r="P2219" s="6" t="str">
        <f>IFERROR(__xludf.DUMMYFUNCTION("""COMPUTED_VALUE"""),"PO Closed")</f>
        <v>PO Closed</v>
      </c>
      <c r="Q2219" s="6" t="str">
        <f>IFERROR(__xludf.DUMMYFUNCTION("""COMPUTED_VALUE"""),"GL2302061")</f>
        <v>GL2302061</v>
      </c>
      <c r="R2219" s="57">
        <f>IFERROR(__xludf.DUMMYFUNCTION("""COMPUTED_VALUE"""),44938.0)</f>
        <v>44938</v>
      </c>
      <c r="S2219" s="57">
        <f>IFERROR(__xludf.DUMMYFUNCTION("""COMPUTED_VALUE"""),44942.0)</f>
        <v>44942</v>
      </c>
      <c r="T2219" s="57">
        <f>IFERROR(__xludf.DUMMYFUNCTION("""COMPUTED_VALUE"""),45005.0)</f>
        <v>45005</v>
      </c>
    </row>
    <row r="2220">
      <c r="A2220" s="6" t="str">
        <f>IFERROR(__xludf.DUMMYFUNCTION("""COMPUTED_VALUE"""),"231750036-1")</f>
        <v>231750036-1</v>
      </c>
      <c r="B2220" s="6" t="str">
        <f>IFERROR(__xludf.DUMMYFUNCTION("""COMPUTED_VALUE"""),"231750036 - Approved")</f>
        <v>231750036 - Approved</v>
      </c>
      <c r="C2220" s="6">
        <f>IFERROR(__xludf.DUMMYFUNCTION("""COMPUTED_VALUE"""),1.0)</f>
        <v>1</v>
      </c>
      <c r="D2220" s="6" t="str">
        <f>IFERROR(__xludf.DUMMYFUNCTION("""COMPUTED_VALUE"""),"S-60002-00")</f>
        <v>S-60002-00</v>
      </c>
      <c r="E2220" s="6" t="str">
        <f>IFERROR(__xludf.DUMMYFUNCTION("""COMPUTED_VALUE"""),"Jasa Perbaikan dan Pemeliharaan Mesin Utility - Instalasi Speaker Waterproof diarea Mixing dan Filling")</f>
        <v>Jasa Perbaikan dan Pemeliharaan Mesin Utility - Instalasi Speaker Waterproof diarea Mixing dan Filling</v>
      </c>
      <c r="F2220" s="6">
        <f>IFERROR(__xludf.DUMMYFUNCTION("""COMPUTED_VALUE"""),1.0)</f>
        <v>1</v>
      </c>
      <c r="G2220" s="6" t="str">
        <f>IFERROR(__xludf.DUMMYFUNCTION("""COMPUTED_VALUE"""),"Lot")</f>
        <v>Lot</v>
      </c>
      <c r="H2220" s="6" t="str">
        <f>IFERROR(__xludf.DUMMYFUNCTION("""COMPUTED_VALUE"""),"IDR")</f>
        <v>IDR</v>
      </c>
      <c r="I2220" s="11">
        <f>IFERROR(__xludf.DUMMYFUNCTION("""COMPUTED_VALUE"""),9350000.0)</f>
        <v>9350000</v>
      </c>
      <c r="J2220" s="11">
        <f>IFERROR(__xludf.DUMMYFUNCTION("""COMPUTED_VALUE"""),9350000.0)</f>
        <v>9350000</v>
      </c>
      <c r="K2220" s="57">
        <f>IFERROR(__xludf.DUMMYFUNCTION("""COMPUTED_VALUE"""),44978.0)</f>
        <v>44978</v>
      </c>
      <c r="L2220" s="6" t="str">
        <f>IFERROR(__xludf.DUMMYFUNCTION("""COMPUTED_VALUE"""),"FIP General")</f>
        <v>FIP General</v>
      </c>
      <c r="M2220" s="6" t="str">
        <f>IFERROR(__xludf.DUMMYFUNCTION("""COMPUTED_VALUE"""),"Irwan Sopian")</f>
        <v>Irwan Sopian</v>
      </c>
      <c r="N2220" s="6" t="str">
        <f>IFERROR(__xludf.DUMMYFUNCTION("""COMPUTED_VALUE"""),"FIP Engineering")</f>
        <v>FIP Engineering</v>
      </c>
      <c r="O2220" s="6" t="str">
        <f>IFERROR(__xludf.DUMMYFUNCTION("""COMPUTED_VALUE"""),"FIP-DOM-ENG-51508-0000000-INA-000000")</f>
        <v>FIP-DOM-ENG-51508-0000000-INA-000000</v>
      </c>
      <c r="P2220" s="6" t="str">
        <f>IFERROR(__xludf.DUMMYFUNCTION("""COMPUTED_VALUE"""),"PO Closed")</f>
        <v>PO Closed</v>
      </c>
      <c r="Q2220" s="6" t="str">
        <f>IFERROR(__xludf.DUMMYFUNCTION("""COMPUTED_VALUE"""),"GL2303014")</f>
        <v>GL2303014</v>
      </c>
      <c r="R2220" s="57">
        <f>IFERROR(__xludf.DUMMYFUNCTION("""COMPUTED_VALUE"""),44938.0)</f>
        <v>44938</v>
      </c>
      <c r="S2220" s="57">
        <f>IFERROR(__xludf.DUMMYFUNCTION("""COMPUTED_VALUE"""),44939.0)</f>
        <v>44939</v>
      </c>
      <c r="T2220" s="57">
        <f>IFERROR(__xludf.DUMMYFUNCTION("""COMPUTED_VALUE"""),45021.0)</f>
        <v>45021</v>
      </c>
    </row>
    <row r="2221">
      <c r="A2221" s="6" t="str">
        <f>IFERROR(__xludf.DUMMYFUNCTION("""COMPUTED_VALUE"""),"231750036-1")</f>
        <v>231750036-1</v>
      </c>
      <c r="B2221" s="6" t="str">
        <f>IFERROR(__xludf.DUMMYFUNCTION("""COMPUTED_VALUE"""),"231750036 - Approved")</f>
        <v>231750036 - Approved</v>
      </c>
      <c r="C2221" s="6">
        <f>IFERROR(__xludf.DUMMYFUNCTION("""COMPUTED_VALUE"""),1.0)</f>
        <v>1</v>
      </c>
      <c r="D2221" s="6" t="str">
        <f>IFERROR(__xludf.DUMMYFUNCTION("""COMPUTED_VALUE"""),"S-60002-00")</f>
        <v>S-60002-00</v>
      </c>
      <c r="E2221" s="6" t="str">
        <f>IFERROR(__xludf.DUMMYFUNCTION("""COMPUTED_VALUE"""),"Jasa Perbaikan dan Pemeliharaan Mesin Utility - Instalasi Speaker Waterproof diarea Mixing dan Filling")</f>
        <v>Jasa Perbaikan dan Pemeliharaan Mesin Utility - Instalasi Speaker Waterproof diarea Mixing dan Filling</v>
      </c>
      <c r="F2221" s="6">
        <f>IFERROR(__xludf.DUMMYFUNCTION("""COMPUTED_VALUE"""),1.0)</f>
        <v>1</v>
      </c>
      <c r="G2221" s="6" t="str">
        <f>IFERROR(__xludf.DUMMYFUNCTION("""COMPUTED_VALUE"""),"Lot")</f>
        <v>Lot</v>
      </c>
      <c r="H2221" s="6" t="str">
        <f>IFERROR(__xludf.DUMMYFUNCTION("""COMPUTED_VALUE"""),"IDR")</f>
        <v>IDR</v>
      </c>
      <c r="I2221" s="11">
        <f>IFERROR(__xludf.DUMMYFUNCTION("""COMPUTED_VALUE"""),9350000.0)</f>
        <v>9350000</v>
      </c>
      <c r="J2221" s="11">
        <f>IFERROR(__xludf.DUMMYFUNCTION("""COMPUTED_VALUE"""),9350000.0)</f>
        <v>9350000</v>
      </c>
      <c r="K2221" s="57">
        <f>IFERROR(__xludf.DUMMYFUNCTION("""COMPUTED_VALUE"""),44978.0)</f>
        <v>44978</v>
      </c>
      <c r="L2221" s="6" t="str">
        <f>IFERROR(__xludf.DUMMYFUNCTION("""COMPUTED_VALUE"""),"FIP General")</f>
        <v>FIP General</v>
      </c>
      <c r="M2221" s="6" t="str">
        <f>IFERROR(__xludf.DUMMYFUNCTION("""COMPUTED_VALUE"""),"Irwan Sopian")</f>
        <v>Irwan Sopian</v>
      </c>
      <c r="N2221" s="6" t="str">
        <f>IFERROR(__xludf.DUMMYFUNCTION("""COMPUTED_VALUE"""),"FIP Engineering")</f>
        <v>FIP Engineering</v>
      </c>
      <c r="O2221" s="6" t="str">
        <f>IFERROR(__xludf.DUMMYFUNCTION("""COMPUTED_VALUE"""),"FIP-DOM-ENG-51508-0000000-INA-000000")</f>
        <v>FIP-DOM-ENG-51508-0000000-INA-000000</v>
      </c>
      <c r="P2221" s="6" t="str">
        <f>IFERROR(__xludf.DUMMYFUNCTION("""COMPUTED_VALUE"""),"PO Closed")</f>
        <v>PO Closed</v>
      </c>
      <c r="Q2221" s="6" t="str">
        <f>IFERROR(__xludf.DUMMYFUNCTION("""COMPUTED_VALUE"""),"GL2303014")</f>
        <v>GL2303014</v>
      </c>
      <c r="R2221" s="57">
        <f>IFERROR(__xludf.DUMMYFUNCTION("""COMPUTED_VALUE"""),44938.0)</f>
        <v>44938</v>
      </c>
      <c r="S2221" s="57">
        <f>IFERROR(__xludf.DUMMYFUNCTION("""COMPUTED_VALUE"""),44939.0)</f>
        <v>44939</v>
      </c>
      <c r="T2221" s="57">
        <f>IFERROR(__xludf.DUMMYFUNCTION("""COMPUTED_VALUE"""),45021.0)</f>
        <v>45021</v>
      </c>
    </row>
    <row r="2222">
      <c r="A2222" s="6" t="str">
        <f>IFERROR(__xludf.DUMMYFUNCTION("""COMPUTED_VALUE"""),"231750043-1")</f>
        <v>231750043-1</v>
      </c>
      <c r="B2222" s="6" t="str">
        <f>IFERROR(__xludf.DUMMYFUNCTION("""COMPUTED_VALUE"""),"231750043 - Approved")</f>
        <v>231750043 - Approved</v>
      </c>
      <c r="C2222" s="6">
        <f>IFERROR(__xludf.DUMMYFUNCTION("""COMPUTED_VALUE"""),1.0)</f>
        <v>1</v>
      </c>
      <c r="D2222" s="6" t="str">
        <f>IFERROR(__xludf.DUMMYFUNCTION("""COMPUTED_VALUE"""),"P-18472-00")</f>
        <v>P-18472-00</v>
      </c>
      <c r="E2222" s="6" t="str">
        <f>IFERROR(__xludf.DUMMYFUNCTION("""COMPUTED_VALUE"""),"Thermostatic Steam Trap LV6-CE DN20 Stainless Steel; TLV; ;")</f>
        <v>Thermostatic Steam Trap LV6-CE DN20 Stainless Steel; TLV; ;</v>
      </c>
      <c r="F2222" s="6">
        <f>IFERROR(__xludf.DUMMYFUNCTION("""COMPUTED_VALUE"""),2.0)</f>
        <v>2</v>
      </c>
      <c r="G2222" s="6" t="str">
        <f>IFERROR(__xludf.DUMMYFUNCTION("""COMPUTED_VALUE"""),"Pieces")</f>
        <v>Pieces</v>
      </c>
      <c r="H2222" s="6" t="str">
        <f>IFERROR(__xludf.DUMMYFUNCTION("""COMPUTED_VALUE"""),"IDR")</f>
        <v>IDR</v>
      </c>
      <c r="I2222" s="11">
        <f>IFERROR(__xludf.DUMMYFUNCTION("""COMPUTED_VALUE"""),500000.0)</f>
        <v>500000</v>
      </c>
      <c r="J2222" s="11">
        <f>IFERROR(__xludf.DUMMYFUNCTION("""COMPUTED_VALUE"""),1000000.0)</f>
        <v>1000000</v>
      </c>
      <c r="K2222" s="57">
        <f>IFERROR(__xludf.DUMMYFUNCTION("""COMPUTED_VALUE"""),44985.0)</f>
        <v>44985</v>
      </c>
      <c r="L2222" s="6" t="str">
        <f>IFERROR(__xludf.DUMMYFUNCTION("""COMPUTED_VALUE"""),"FIP Engineering")</f>
        <v>FIP Engineering</v>
      </c>
      <c r="M2222" s="6" t="str">
        <f>IFERROR(__xludf.DUMMYFUNCTION("""COMPUTED_VALUE"""),"Irwan Sopian")</f>
        <v>Irwan Sopian</v>
      </c>
      <c r="N2222" s="6" t="str">
        <f>IFERROR(__xludf.DUMMYFUNCTION("""COMPUTED_VALUE"""),"FIP Engineering")</f>
        <v>FIP Engineering</v>
      </c>
      <c r="O2222" s="6" t="str">
        <f>IFERROR(__xludf.DUMMYFUNCTION("""COMPUTED_VALUE"""),"FIP-DOM-000-11304-OS00001-INA-000000")</f>
        <v>FIP-DOM-000-11304-OS00001-INA-000000</v>
      </c>
      <c r="P2222" s="6" t="str">
        <f>IFERROR(__xludf.DUMMYFUNCTION("""COMPUTED_VALUE"""),"PO Closed")</f>
        <v>PO Closed</v>
      </c>
      <c r="Q2222" s="6" t="str">
        <f>IFERROR(__xludf.DUMMYFUNCTION("""COMPUTED_VALUE"""),"GL2302059")</f>
        <v>GL2302059</v>
      </c>
      <c r="R2222" s="57">
        <f>IFERROR(__xludf.DUMMYFUNCTION("""COMPUTED_VALUE"""),44939.0)</f>
        <v>44939</v>
      </c>
      <c r="S2222" s="57">
        <f>IFERROR(__xludf.DUMMYFUNCTION("""COMPUTED_VALUE"""),44942.0)</f>
        <v>44942</v>
      </c>
      <c r="T2222" s="57">
        <f>IFERROR(__xludf.DUMMYFUNCTION("""COMPUTED_VALUE"""),44995.0)</f>
        <v>44995</v>
      </c>
    </row>
    <row r="2223">
      <c r="A2223" s="6" t="str">
        <f>IFERROR(__xludf.DUMMYFUNCTION("""COMPUTED_VALUE"""),"231750044-1")</f>
        <v>231750044-1</v>
      </c>
      <c r="B2223" s="6" t="str">
        <f>IFERROR(__xludf.DUMMYFUNCTION("""COMPUTED_VALUE"""),"231750044 - Approved")</f>
        <v>231750044 - Approved</v>
      </c>
      <c r="C2223" s="6">
        <f>IFERROR(__xludf.DUMMYFUNCTION("""COMPUTED_VALUE"""),1.0)</f>
        <v>1</v>
      </c>
      <c r="D2223" s="6" t="str">
        <f>IFERROR(__xludf.DUMMYFUNCTION("""COMPUTED_VALUE"""),"P-18470-00")</f>
        <v>P-18470-00</v>
      </c>
      <c r="E2223" s="6" t="str">
        <f>IFERROR(__xludf.DUMMYFUNCTION("""COMPUTED_VALUE"""),"Misumi - HXNHFFLT-SUS-M5-10; ; ;")</f>
        <v>Misumi - HXNHFFLT-SUS-M5-10; ; ;</v>
      </c>
      <c r="F2223" s="6">
        <f>IFERROR(__xludf.DUMMYFUNCTION("""COMPUTED_VALUE"""),30.0)</f>
        <v>30</v>
      </c>
      <c r="G2223" s="6" t="str">
        <f>IFERROR(__xludf.DUMMYFUNCTION("""COMPUTED_VALUE"""),"Pieces")</f>
        <v>Pieces</v>
      </c>
      <c r="H2223" s="6" t="str">
        <f>IFERROR(__xludf.DUMMYFUNCTION("""COMPUTED_VALUE"""),"IDR")</f>
        <v>IDR</v>
      </c>
      <c r="I2223" s="11">
        <f>IFERROR(__xludf.DUMMYFUNCTION("""COMPUTED_VALUE"""),100000.0)</f>
        <v>100000</v>
      </c>
      <c r="J2223" s="11">
        <f>IFERROR(__xludf.DUMMYFUNCTION("""COMPUTED_VALUE"""),3000000.0)</f>
        <v>3000000</v>
      </c>
      <c r="K2223" s="57">
        <f>IFERROR(__xludf.DUMMYFUNCTION("""COMPUTED_VALUE"""),44981.0)</f>
        <v>44981</v>
      </c>
      <c r="L2223" s="6" t="str">
        <f>IFERROR(__xludf.DUMMYFUNCTION("""COMPUTED_VALUE"""),"FIP Engineering")</f>
        <v>FIP Engineering</v>
      </c>
      <c r="M2223" s="6" t="str">
        <f>IFERROR(__xludf.DUMMYFUNCTION("""COMPUTED_VALUE"""),"Irwan Sopian")</f>
        <v>Irwan Sopian</v>
      </c>
      <c r="N2223" s="6" t="str">
        <f>IFERROR(__xludf.DUMMYFUNCTION("""COMPUTED_VALUE"""),"FIP Engineering")</f>
        <v>FIP Engineering</v>
      </c>
      <c r="O2223" s="6" t="str">
        <f>IFERROR(__xludf.DUMMYFUNCTION("""COMPUTED_VALUE"""),"FIP-DOM-000-11304-OS00001-INA-000000")</f>
        <v>FIP-DOM-000-11304-OS00001-INA-000000</v>
      </c>
      <c r="P2223" s="6" t="str">
        <f>IFERROR(__xludf.DUMMYFUNCTION("""COMPUTED_VALUE"""),"PO Closed")</f>
        <v>PO Closed</v>
      </c>
      <c r="Q2223" s="6" t="str">
        <f>IFERROR(__xludf.DUMMYFUNCTION("""COMPUTED_VALUE"""),"GL2302060")</f>
        <v>GL2302060</v>
      </c>
      <c r="R2223" s="57">
        <f>IFERROR(__xludf.DUMMYFUNCTION("""COMPUTED_VALUE"""),44939.0)</f>
        <v>44939</v>
      </c>
      <c r="S2223" s="57">
        <f>IFERROR(__xludf.DUMMYFUNCTION("""COMPUTED_VALUE"""),44939.0)</f>
        <v>44939</v>
      </c>
      <c r="T2223" s="57">
        <f>IFERROR(__xludf.DUMMYFUNCTION("""COMPUTED_VALUE"""),44995.0)</f>
        <v>44995</v>
      </c>
    </row>
    <row r="2224">
      <c r="A2224" s="6" t="str">
        <f>IFERROR(__xludf.DUMMYFUNCTION("""COMPUTED_VALUE"""),"231750045-1")</f>
        <v>231750045-1</v>
      </c>
      <c r="B2224" s="6" t="str">
        <f>IFERROR(__xludf.DUMMYFUNCTION("""COMPUTED_VALUE"""),"231750045 - Approved")</f>
        <v>231750045 - Approved</v>
      </c>
      <c r="C2224" s="6">
        <f>IFERROR(__xludf.DUMMYFUNCTION("""COMPUTED_VALUE"""),1.0)</f>
        <v>1</v>
      </c>
      <c r="D2224" s="6" t="str">
        <f>IFERROR(__xludf.DUMMYFUNCTION("""COMPUTED_VALUE"""),"O-18055-00")</f>
        <v>O-18055-00</v>
      </c>
      <c r="E222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2224" s="6">
        <f>IFERROR(__xludf.DUMMYFUNCTION("""COMPUTED_VALUE"""),20.0)</f>
        <v>20</v>
      </c>
      <c r="G2224" s="6" t="str">
        <f>IFERROR(__xludf.DUMMYFUNCTION("""COMPUTED_VALUE"""),"Pieces")</f>
        <v>Pieces</v>
      </c>
      <c r="H2224" s="6" t="str">
        <f>IFERROR(__xludf.DUMMYFUNCTION("""COMPUTED_VALUE"""),"IDR")</f>
        <v>IDR</v>
      </c>
      <c r="I2224" s="11">
        <f>IFERROR(__xludf.DUMMYFUNCTION("""COMPUTED_VALUE"""),150000.0)</f>
        <v>150000</v>
      </c>
      <c r="J2224" s="11">
        <f>IFERROR(__xludf.DUMMYFUNCTION("""COMPUTED_VALUE"""),3000000.0)</f>
        <v>3000000</v>
      </c>
      <c r="K2224" s="57">
        <f>IFERROR(__xludf.DUMMYFUNCTION("""COMPUTED_VALUE"""),44981.0)</f>
        <v>44981</v>
      </c>
      <c r="L2224" s="6" t="str">
        <f>IFERROR(__xludf.DUMMYFUNCTION("""COMPUTED_VALUE"""),"FIP Engineering")</f>
        <v>FIP Engineering</v>
      </c>
      <c r="M2224" s="6" t="str">
        <f>IFERROR(__xludf.DUMMYFUNCTION("""COMPUTED_VALUE"""),"Irwan Sopian")</f>
        <v>Irwan Sopian</v>
      </c>
      <c r="N2224" s="6" t="str">
        <f>IFERROR(__xludf.DUMMYFUNCTION("""COMPUTED_VALUE"""),"FIP Engineering")</f>
        <v>FIP Engineering</v>
      </c>
      <c r="O2224" s="6" t="str">
        <f>IFERROR(__xludf.DUMMYFUNCTION("""COMPUTED_VALUE"""),"FIP-DOM-000-11304-OS00001-INA-000000")</f>
        <v>FIP-DOM-000-11304-OS00001-INA-000000</v>
      </c>
      <c r="P2224" s="6" t="str">
        <f>IFERROR(__xludf.DUMMYFUNCTION("""COMPUTED_VALUE"""),"PO Closed")</f>
        <v>PO Closed</v>
      </c>
      <c r="Q2224" s="6" t="str">
        <f>IFERROR(__xludf.DUMMYFUNCTION("""COMPUTED_VALUE"""),"GL2302016")</f>
        <v>GL2302016</v>
      </c>
      <c r="R2224" s="57">
        <f>IFERROR(__xludf.DUMMYFUNCTION("""COMPUTED_VALUE"""),44939.0)</f>
        <v>44939</v>
      </c>
      <c r="S2224" s="57">
        <f>IFERROR(__xludf.DUMMYFUNCTION("""COMPUTED_VALUE"""),44942.0)</f>
        <v>44942</v>
      </c>
      <c r="T2224" s="57">
        <f>IFERROR(__xludf.DUMMYFUNCTION("""COMPUTED_VALUE"""),44995.0)</f>
        <v>44995</v>
      </c>
    </row>
    <row r="2225">
      <c r="A2225" s="6" t="str">
        <f>IFERROR(__xludf.DUMMYFUNCTION("""COMPUTED_VALUE"""),"231750047-1")</f>
        <v>231750047-1</v>
      </c>
      <c r="B2225" s="6" t="str">
        <f>IFERROR(__xludf.DUMMYFUNCTION("""COMPUTED_VALUE"""),"231750047 - Approved")</f>
        <v>231750047 - Approved</v>
      </c>
      <c r="C2225" s="6">
        <f>IFERROR(__xludf.DUMMYFUNCTION("""COMPUTED_VALUE"""),1.0)</f>
        <v>1</v>
      </c>
      <c r="D2225" s="6" t="str">
        <f>IFERROR(__xludf.DUMMYFUNCTION("""COMPUTED_VALUE"""),"R-20001-00")</f>
        <v>R-20001-00</v>
      </c>
      <c r="E2225" s="6" t="str">
        <f>IFERROR(__xludf.DUMMYFUNCTION("""COMPUTED_VALUE"""),"Change Parts Machine - 96-111156-GE Factory ref. SVIM.X2B GigE SSD 128GB SVIM with Windows, Acronis Licences P/N: ENG-SEI-96-111156-GE")</f>
        <v>Change Parts Machine - 96-111156-GE Factory ref. SVIM.X2B GigE SSD 128GB SVIM with Windows, Acronis Licences P/N: ENG-SEI-96-111156-GE</v>
      </c>
      <c r="F2225" s="6">
        <f>IFERROR(__xludf.DUMMYFUNCTION("""COMPUTED_VALUE"""),1.0)</f>
        <v>1</v>
      </c>
      <c r="G2225" s="6" t="str">
        <f>IFERROR(__xludf.DUMMYFUNCTION("""COMPUTED_VALUE"""),"Unit")</f>
        <v>Unit</v>
      </c>
      <c r="H2225" s="6" t="str">
        <f>IFERROR(__xludf.DUMMYFUNCTION("""COMPUTED_VALUE"""),"IDR")</f>
        <v>IDR</v>
      </c>
      <c r="I2225" s="11">
        <f>IFERROR(__xludf.DUMMYFUNCTION("""COMPUTED_VALUE"""),2.0259E8)</f>
        <v>202590000</v>
      </c>
      <c r="J2225" s="11">
        <f>IFERROR(__xludf.DUMMYFUNCTION("""COMPUTED_VALUE"""),2.0259E8)</f>
        <v>202590000</v>
      </c>
      <c r="K2225" s="57">
        <f>IFERROR(__xludf.DUMMYFUNCTION("""COMPUTED_VALUE"""),44992.0)</f>
        <v>44992</v>
      </c>
      <c r="L2225" s="6" t="str">
        <f>IFERROR(__xludf.DUMMYFUNCTION("""COMPUTED_VALUE"""),"FIP General")</f>
        <v>FIP General</v>
      </c>
      <c r="M2225" s="6" t="str">
        <f>IFERROR(__xludf.DUMMYFUNCTION("""COMPUTED_VALUE"""),"Irwan Sopian")</f>
        <v>Irwan Sopian</v>
      </c>
      <c r="N2225" s="6" t="str">
        <f>IFERROR(__xludf.DUMMYFUNCTION("""COMPUTED_VALUE"""),"FIP Engineering")</f>
        <v>FIP Engineering</v>
      </c>
      <c r="O2225" s="6" t="str">
        <f>IFERROR(__xludf.DUMMYFUNCTION("""COMPUTED_VALUE"""),"FIP-DOM-ENG-13404-MC23001-INA-000000")</f>
        <v>FIP-DOM-ENG-13404-MC23001-INA-000000</v>
      </c>
      <c r="P2225" s="6" t="str">
        <f>IFERROR(__xludf.DUMMYFUNCTION("""COMPUTED_VALUE"""),"PO Closed")</f>
        <v>PO Closed</v>
      </c>
      <c r="Q2225" s="6" t="str">
        <f>IFERROR(__xludf.DUMMYFUNCTION("""COMPUTED_VALUE"""),"GL2303019")</f>
        <v>GL2303019</v>
      </c>
      <c r="R2225" s="57">
        <f>IFERROR(__xludf.DUMMYFUNCTION("""COMPUTED_VALUE"""),44940.0)</f>
        <v>44940</v>
      </c>
      <c r="S2225" s="57">
        <f>IFERROR(__xludf.DUMMYFUNCTION("""COMPUTED_VALUE"""),44943.0)</f>
        <v>44943</v>
      </c>
      <c r="T2225" s="57">
        <f>IFERROR(__xludf.DUMMYFUNCTION("""COMPUTED_VALUE"""),45058.0)</f>
        <v>45058</v>
      </c>
    </row>
    <row r="2226">
      <c r="A2226" s="6" t="str">
        <f>IFERROR(__xludf.DUMMYFUNCTION("""COMPUTED_VALUE"""),"231750051-1")</f>
        <v>231750051-1</v>
      </c>
      <c r="B2226" s="6" t="str">
        <f>IFERROR(__xludf.DUMMYFUNCTION("""COMPUTED_VALUE"""),"231750051 - Approved")</f>
        <v>231750051 - Approved</v>
      </c>
      <c r="C2226" s="6">
        <f>IFERROR(__xludf.DUMMYFUNCTION("""COMPUTED_VALUE"""),1.0)</f>
        <v>1</v>
      </c>
      <c r="D2226" s="6" t="str">
        <f>IFERROR(__xludf.DUMMYFUNCTION("""COMPUTED_VALUE"""),"P-10945-00")</f>
        <v>P-10945-00</v>
      </c>
      <c r="E2226" s="6" t="str">
        <f>IFERROR(__xludf.DUMMYFUNCTION("""COMPUTED_VALUE"""),"Insulation - Seal Tape onda")</f>
        <v>Insulation - Seal Tape onda</v>
      </c>
      <c r="F2226" s="6">
        <f>IFERROR(__xludf.DUMMYFUNCTION("""COMPUTED_VALUE"""),10.0)</f>
        <v>10</v>
      </c>
      <c r="G2226" s="6" t="str">
        <f>IFERROR(__xludf.DUMMYFUNCTION("""COMPUTED_VALUE"""),"Pieces")</f>
        <v>Pieces</v>
      </c>
      <c r="H2226" s="6" t="str">
        <f>IFERROR(__xludf.DUMMYFUNCTION("""COMPUTED_VALUE"""),"IDR")</f>
        <v>IDR</v>
      </c>
      <c r="I2226" s="11">
        <f>IFERROR(__xludf.DUMMYFUNCTION("""COMPUTED_VALUE"""),5000.0)</f>
        <v>5000</v>
      </c>
      <c r="J2226" s="11">
        <f>IFERROR(__xludf.DUMMYFUNCTION("""COMPUTED_VALUE"""),50000.0)</f>
        <v>50000</v>
      </c>
      <c r="K2226" s="57">
        <f>IFERROR(__xludf.DUMMYFUNCTION("""COMPUTED_VALUE"""),44971.0)</f>
        <v>44971</v>
      </c>
      <c r="L2226" s="6" t="str">
        <f>IFERROR(__xludf.DUMMYFUNCTION("""COMPUTED_VALUE"""),"FIP Engineering")</f>
        <v>FIP Engineering</v>
      </c>
      <c r="M2226" s="6" t="str">
        <f>IFERROR(__xludf.DUMMYFUNCTION("""COMPUTED_VALUE"""),"Irwan Sopian")</f>
        <v>Irwan Sopian</v>
      </c>
      <c r="N2226" s="6" t="str">
        <f>IFERROR(__xludf.DUMMYFUNCTION("""COMPUTED_VALUE"""),"FIP Engineering")</f>
        <v>FIP Engineering</v>
      </c>
      <c r="O2226" s="6" t="str">
        <f>IFERROR(__xludf.DUMMYFUNCTION("""COMPUTED_VALUE"""),"FIP-DOM-000-11304-OS00001-INA-000000")</f>
        <v>FIP-DOM-000-11304-OS00001-INA-000000</v>
      </c>
      <c r="P2226" s="6" t="str">
        <f>IFERROR(__xludf.DUMMYFUNCTION("""COMPUTED_VALUE"""),"PO Closed")</f>
        <v>PO Closed</v>
      </c>
      <c r="Q2226" s="6" t="str">
        <f>IFERROR(__xludf.DUMMYFUNCTION("""COMPUTED_VALUE"""),"GL2302058")</f>
        <v>GL2302058</v>
      </c>
      <c r="R2226" s="57">
        <f>IFERROR(__xludf.DUMMYFUNCTION("""COMPUTED_VALUE"""),44942.0)</f>
        <v>44942</v>
      </c>
      <c r="S2226" s="57">
        <f>IFERROR(__xludf.DUMMYFUNCTION("""COMPUTED_VALUE"""),44942.0)</f>
        <v>44942</v>
      </c>
      <c r="T2226" s="57">
        <f>IFERROR(__xludf.DUMMYFUNCTION("""COMPUTED_VALUE"""),44994.0)</f>
        <v>44994</v>
      </c>
    </row>
    <row r="2227">
      <c r="A2227" s="6" t="str">
        <f>IFERROR(__xludf.DUMMYFUNCTION("""COMPUTED_VALUE"""),"231750051-2")</f>
        <v>231750051-2</v>
      </c>
      <c r="B2227" s="6" t="str">
        <f>IFERROR(__xludf.DUMMYFUNCTION("""COMPUTED_VALUE"""),"231750051 - Approved")</f>
        <v>231750051 - Approved</v>
      </c>
      <c r="C2227" s="6">
        <f>IFERROR(__xludf.DUMMYFUNCTION("""COMPUTED_VALUE"""),2.0)</f>
        <v>2</v>
      </c>
      <c r="D2227" s="6" t="str">
        <f>IFERROR(__xludf.DUMMYFUNCTION("""COMPUTED_VALUE"""),"P-51559-00")</f>
        <v>P-51559-00</v>
      </c>
      <c r="E2227" s="6" t="str">
        <f>IFERROR(__xludf.DUMMYFUNCTION("""COMPUTED_VALUE"""),"Lampu T5 14watt Putih; Phillips; ;")</f>
        <v>Lampu T5 14watt Putih; Phillips; ;</v>
      </c>
      <c r="F2227" s="6">
        <f>IFERROR(__xludf.DUMMYFUNCTION("""COMPUTED_VALUE"""),40.0)</f>
        <v>40</v>
      </c>
      <c r="G2227" s="6" t="str">
        <f>IFERROR(__xludf.DUMMYFUNCTION("""COMPUTED_VALUE"""),"Pack")</f>
        <v>Pack</v>
      </c>
      <c r="H2227" s="6" t="str">
        <f>IFERROR(__xludf.DUMMYFUNCTION("""COMPUTED_VALUE"""),"IDR")</f>
        <v>IDR</v>
      </c>
      <c r="I2227" s="11">
        <f>IFERROR(__xludf.DUMMYFUNCTION("""COMPUTED_VALUE"""),29700.0)</f>
        <v>29700</v>
      </c>
      <c r="J2227" s="11">
        <f>IFERROR(__xludf.DUMMYFUNCTION("""COMPUTED_VALUE"""),1188000.0)</f>
        <v>1188000</v>
      </c>
      <c r="K2227" s="57">
        <f>IFERROR(__xludf.DUMMYFUNCTION("""COMPUTED_VALUE"""),44971.0)</f>
        <v>44971</v>
      </c>
      <c r="L2227" s="6" t="str">
        <f>IFERROR(__xludf.DUMMYFUNCTION("""COMPUTED_VALUE"""),"FIP Engineering")</f>
        <v>FIP Engineering</v>
      </c>
      <c r="M2227" s="6" t="str">
        <f>IFERROR(__xludf.DUMMYFUNCTION("""COMPUTED_VALUE"""),"Irwan Sopian")</f>
        <v>Irwan Sopian</v>
      </c>
      <c r="N2227" s="6" t="str">
        <f>IFERROR(__xludf.DUMMYFUNCTION("""COMPUTED_VALUE"""),"FIP Engineering")</f>
        <v>FIP Engineering</v>
      </c>
      <c r="O2227" s="6" t="str">
        <f>IFERROR(__xludf.DUMMYFUNCTION("""COMPUTED_VALUE"""),"FIP-DOM-000-11304-OS00001-INA-000000")</f>
        <v>FIP-DOM-000-11304-OS00001-INA-000000</v>
      </c>
      <c r="P2227" s="6" t="str">
        <f>IFERROR(__xludf.DUMMYFUNCTION("""COMPUTED_VALUE"""),"PO Closed")</f>
        <v>PO Closed</v>
      </c>
      <c r="Q2227" s="6" t="str">
        <f>IFERROR(__xludf.DUMMYFUNCTION("""COMPUTED_VALUE"""),"GL2302057")</f>
        <v>GL2302057</v>
      </c>
      <c r="R2227" s="57">
        <f>IFERROR(__xludf.DUMMYFUNCTION("""COMPUTED_VALUE"""),44942.0)</f>
        <v>44942</v>
      </c>
      <c r="S2227" s="57">
        <f>IFERROR(__xludf.DUMMYFUNCTION("""COMPUTED_VALUE"""),44942.0)</f>
        <v>44942</v>
      </c>
      <c r="T2227" s="57">
        <f>IFERROR(__xludf.DUMMYFUNCTION("""COMPUTED_VALUE"""),44995.0)</f>
        <v>44995</v>
      </c>
    </row>
    <row r="2228">
      <c r="A2228" s="6" t="str">
        <f>IFERROR(__xludf.DUMMYFUNCTION("""COMPUTED_VALUE"""),"231750051-3")</f>
        <v>231750051-3</v>
      </c>
      <c r="B2228" s="6" t="str">
        <f>IFERROR(__xludf.DUMMYFUNCTION("""COMPUTED_VALUE"""),"231750051 - Approved")</f>
        <v>231750051 - Approved</v>
      </c>
      <c r="C2228" s="6">
        <f>IFERROR(__xludf.DUMMYFUNCTION("""COMPUTED_VALUE"""),3.0)</f>
        <v>3</v>
      </c>
      <c r="D2228" s="6" t="str">
        <f>IFERROR(__xludf.DUMMYFUNCTION("""COMPUTED_VALUE"""),"P-12433-00")</f>
        <v>P-12433-00</v>
      </c>
      <c r="E2228" s="6" t="str">
        <f>IFERROR(__xludf.DUMMYFUNCTION("""COMPUTED_VALUE"""),"Isolasi AC- Sansui")</f>
        <v>Isolasi AC- Sansui</v>
      </c>
      <c r="F2228" s="6">
        <f>IFERROR(__xludf.DUMMYFUNCTION("""COMPUTED_VALUE"""),10.0)</f>
        <v>10</v>
      </c>
      <c r="G2228" s="6" t="str">
        <f>IFERROR(__xludf.DUMMYFUNCTION("""COMPUTED_VALUE"""),"Pieces")</f>
        <v>Pieces</v>
      </c>
      <c r="H2228" s="6" t="str">
        <f>IFERROR(__xludf.DUMMYFUNCTION("""COMPUTED_VALUE"""),"IDR")</f>
        <v>IDR</v>
      </c>
      <c r="I2228" s="11">
        <f>IFERROR(__xludf.DUMMYFUNCTION("""COMPUTED_VALUE"""),10000.0)</f>
        <v>10000</v>
      </c>
      <c r="J2228" s="11">
        <f>IFERROR(__xludf.DUMMYFUNCTION("""COMPUTED_VALUE"""),100000.0)</f>
        <v>100000</v>
      </c>
      <c r="K2228" s="57">
        <f>IFERROR(__xludf.DUMMYFUNCTION("""COMPUTED_VALUE"""),44971.0)</f>
        <v>44971</v>
      </c>
      <c r="L2228" s="6" t="str">
        <f>IFERROR(__xludf.DUMMYFUNCTION("""COMPUTED_VALUE"""),"FIP Engineering")</f>
        <v>FIP Engineering</v>
      </c>
      <c r="M2228" s="6" t="str">
        <f>IFERROR(__xludf.DUMMYFUNCTION("""COMPUTED_VALUE"""),"Irwan Sopian")</f>
        <v>Irwan Sopian</v>
      </c>
      <c r="N2228" s="6" t="str">
        <f>IFERROR(__xludf.DUMMYFUNCTION("""COMPUTED_VALUE"""),"FIP Engineering")</f>
        <v>FIP Engineering</v>
      </c>
      <c r="O2228" s="6" t="str">
        <f>IFERROR(__xludf.DUMMYFUNCTION("""COMPUTED_VALUE"""),"FIP-DOM-000-11304-OS00001-INA-000000")</f>
        <v>FIP-DOM-000-11304-OS00001-INA-000000</v>
      </c>
      <c r="P2228" s="6" t="str">
        <f>IFERROR(__xludf.DUMMYFUNCTION("""COMPUTED_VALUE"""),"PO Closed")</f>
        <v>PO Closed</v>
      </c>
      <c r="Q2228" s="6" t="str">
        <f>IFERROR(__xludf.DUMMYFUNCTION("""COMPUTED_VALUE"""),"GL2302058")</f>
        <v>GL2302058</v>
      </c>
      <c r="R2228" s="57">
        <f>IFERROR(__xludf.DUMMYFUNCTION("""COMPUTED_VALUE"""),44942.0)</f>
        <v>44942</v>
      </c>
      <c r="S2228" s="57">
        <f>IFERROR(__xludf.DUMMYFUNCTION("""COMPUTED_VALUE"""),44942.0)</f>
        <v>44942</v>
      </c>
      <c r="T2228" s="57">
        <f>IFERROR(__xludf.DUMMYFUNCTION("""COMPUTED_VALUE"""),44994.0)</f>
        <v>44994</v>
      </c>
    </row>
    <row r="2229">
      <c r="A2229" s="6" t="str">
        <f>IFERROR(__xludf.DUMMYFUNCTION("""COMPUTED_VALUE"""),"231750051-4")</f>
        <v>231750051-4</v>
      </c>
      <c r="B2229" s="6" t="str">
        <f>IFERROR(__xludf.DUMMYFUNCTION("""COMPUTED_VALUE"""),"231750051 - Approved")</f>
        <v>231750051 - Approved</v>
      </c>
      <c r="C2229" s="6">
        <f>IFERROR(__xludf.DUMMYFUNCTION("""COMPUTED_VALUE"""),4.0)</f>
        <v>4</v>
      </c>
      <c r="D2229" s="6" t="str">
        <f>IFERROR(__xludf.DUMMYFUNCTION("""COMPUTED_VALUE"""),"P-17897-00")</f>
        <v>P-17897-00</v>
      </c>
      <c r="E2229" s="6" t="str">
        <f>IFERROR(__xludf.DUMMYFUNCTION("""COMPUTED_VALUE"""),"Foam Tape Perekat 1 Sisi 3mm x 25mm x 10M; ; ;")</f>
        <v>Foam Tape Perekat 1 Sisi 3mm x 25mm x 10M; ; ;</v>
      </c>
      <c r="F2229" s="6">
        <f>IFERROR(__xludf.DUMMYFUNCTION("""COMPUTED_VALUE"""),2.0)</f>
        <v>2</v>
      </c>
      <c r="G2229" s="6" t="str">
        <f>IFERROR(__xludf.DUMMYFUNCTION("""COMPUTED_VALUE"""),"Pieces")</f>
        <v>Pieces</v>
      </c>
      <c r="H2229" s="6" t="str">
        <f>IFERROR(__xludf.DUMMYFUNCTION("""COMPUTED_VALUE"""),"IDR")</f>
        <v>IDR</v>
      </c>
      <c r="I2229" s="11">
        <f>IFERROR(__xludf.DUMMYFUNCTION("""COMPUTED_VALUE"""),135000.0)</f>
        <v>135000</v>
      </c>
      <c r="J2229" s="11">
        <f>IFERROR(__xludf.DUMMYFUNCTION("""COMPUTED_VALUE"""),270000.0)</f>
        <v>270000</v>
      </c>
      <c r="K2229" s="57">
        <f>IFERROR(__xludf.DUMMYFUNCTION("""COMPUTED_VALUE"""),44971.0)</f>
        <v>44971</v>
      </c>
      <c r="L2229" s="6" t="str">
        <f>IFERROR(__xludf.DUMMYFUNCTION("""COMPUTED_VALUE"""),"FIP Engineering")</f>
        <v>FIP Engineering</v>
      </c>
      <c r="M2229" s="6" t="str">
        <f>IFERROR(__xludf.DUMMYFUNCTION("""COMPUTED_VALUE"""),"Irwan Sopian")</f>
        <v>Irwan Sopian</v>
      </c>
      <c r="N2229" s="6" t="str">
        <f>IFERROR(__xludf.DUMMYFUNCTION("""COMPUTED_VALUE"""),"FIP Engineering")</f>
        <v>FIP Engineering</v>
      </c>
      <c r="O2229" s="6" t="str">
        <f>IFERROR(__xludf.DUMMYFUNCTION("""COMPUTED_VALUE"""),"FIP-DOM-000-11304-OS00001-INA-000000")</f>
        <v>FIP-DOM-000-11304-OS00001-INA-000000</v>
      </c>
      <c r="P2229" s="6" t="str">
        <f>IFERROR(__xludf.DUMMYFUNCTION("""COMPUTED_VALUE"""),"PO Closed")</f>
        <v>PO Closed</v>
      </c>
      <c r="Q2229" s="6" t="str">
        <f>IFERROR(__xludf.DUMMYFUNCTION("""COMPUTED_VALUE"""),"GL2302057")</f>
        <v>GL2302057</v>
      </c>
      <c r="R2229" s="57">
        <f>IFERROR(__xludf.DUMMYFUNCTION("""COMPUTED_VALUE"""),44942.0)</f>
        <v>44942</v>
      </c>
      <c r="S2229" s="57">
        <f>IFERROR(__xludf.DUMMYFUNCTION("""COMPUTED_VALUE"""),44942.0)</f>
        <v>44942</v>
      </c>
      <c r="T2229" s="57">
        <f>IFERROR(__xludf.DUMMYFUNCTION("""COMPUTED_VALUE"""),44995.0)</f>
        <v>44995</v>
      </c>
    </row>
    <row r="2230">
      <c r="A2230" s="6" t="str">
        <f>IFERROR(__xludf.DUMMYFUNCTION("""COMPUTED_VALUE"""),"231750051-5")</f>
        <v>231750051-5</v>
      </c>
      <c r="B2230" s="6" t="str">
        <f>IFERROR(__xludf.DUMMYFUNCTION("""COMPUTED_VALUE"""),"231750051 - Approved")</f>
        <v>231750051 - Approved</v>
      </c>
      <c r="C2230" s="6">
        <f>IFERROR(__xludf.DUMMYFUNCTION("""COMPUTED_VALUE"""),5.0)</f>
        <v>5</v>
      </c>
      <c r="D2230" s="6" t="str">
        <f>IFERROR(__xludf.DUMMYFUNCTION("""COMPUTED_VALUE"""),"P-52336-00")</f>
        <v>P-52336-00</v>
      </c>
      <c r="E2230" s="6" t="str">
        <f>IFERROR(__xludf.DUMMYFUNCTION("""COMPUTED_VALUE"""),"Saklar Lampu Sensor Gerak Motion Detector Plafon; ; ;")</f>
        <v>Saklar Lampu Sensor Gerak Motion Detector Plafon; ; ;</v>
      </c>
      <c r="F2230" s="6">
        <f>IFERROR(__xludf.DUMMYFUNCTION("""COMPUTED_VALUE"""),3.0)</f>
        <v>3</v>
      </c>
      <c r="G2230" s="6" t="str">
        <f>IFERROR(__xludf.DUMMYFUNCTION("""COMPUTED_VALUE"""),"Pieces")</f>
        <v>Pieces</v>
      </c>
      <c r="H2230" s="6" t="str">
        <f>IFERROR(__xludf.DUMMYFUNCTION("""COMPUTED_VALUE"""),"IDR")</f>
        <v>IDR</v>
      </c>
      <c r="I2230" s="11">
        <f>IFERROR(__xludf.DUMMYFUNCTION("""COMPUTED_VALUE"""),100000.0)</f>
        <v>100000</v>
      </c>
      <c r="J2230" s="11">
        <f>IFERROR(__xludf.DUMMYFUNCTION("""COMPUTED_VALUE"""),300000.0)</f>
        <v>300000</v>
      </c>
      <c r="K2230" s="57">
        <f>IFERROR(__xludf.DUMMYFUNCTION("""COMPUTED_VALUE"""),44971.0)</f>
        <v>44971</v>
      </c>
      <c r="L2230" s="6" t="str">
        <f>IFERROR(__xludf.DUMMYFUNCTION("""COMPUTED_VALUE"""),"FIP Engineering")</f>
        <v>FIP Engineering</v>
      </c>
      <c r="M2230" s="6" t="str">
        <f>IFERROR(__xludf.DUMMYFUNCTION("""COMPUTED_VALUE"""),"Irwan Sopian")</f>
        <v>Irwan Sopian</v>
      </c>
      <c r="N2230" s="6" t="str">
        <f>IFERROR(__xludf.DUMMYFUNCTION("""COMPUTED_VALUE"""),"FIP Engineering")</f>
        <v>FIP Engineering</v>
      </c>
      <c r="O2230" s="6" t="str">
        <f>IFERROR(__xludf.DUMMYFUNCTION("""COMPUTED_VALUE"""),"FIP-DOM-000-11304-OS00001-INA-000000")</f>
        <v>FIP-DOM-000-11304-OS00001-INA-000000</v>
      </c>
      <c r="P2230" s="6" t="str">
        <f>IFERROR(__xludf.DUMMYFUNCTION("""COMPUTED_VALUE"""),"PO Closed")</f>
        <v>PO Closed</v>
      </c>
      <c r="Q2230" s="6" t="str">
        <f>IFERROR(__xludf.DUMMYFUNCTION("""COMPUTED_VALUE"""),"GL2302058")</f>
        <v>GL2302058</v>
      </c>
      <c r="R2230" s="57">
        <f>IFERROR(__xludf.DUMMYFUNCTION("""COMPUTED_VALUE"""),44942.0)</f>
        <v>44942</v>
      </c>
      <c r="S2230" s="57">
        <f>IFERROR(__xludf.DUMMYFUNCTION("""COMPUTED_VALUE"""),44942.0)</f>
        <v>44942</v>
      </c>
      <c r="T2230" s="57">
        <f>IFERROR(__xludf.DUMMYFUNCTION("""COMPUTED_VALUE"""),44994.0)</f>
        <v>44994</v>
      </c>
    </row>
    <row r="2231">
      <c r="A2231" s="6" t="str">
        <f>IFERROR(__xludf.DUMMYFUNCTION("""COMPUTED_VALUE"""),"231750053-1")</f>
        <v>231750053-1</v>
      </c>
      <c r="B2231" s="6" t="str">
        <f>IFERROR(__xludf.DUMMYFUNCTION("""COMPUTED_VALUE"""),"231750053 - Approved")</f>
        <v>231750053 - Approved</v>
      </c>
      <c r="C2231" s="6">
        <f>IFERROR(__xludf.DUMMYFUNCTION("""COMPUTED_VALUE"""),1.0)</f>
        <v>1</v>
      </c>
      <c r="D2231" s="6" t="str">
        <f>IFERROR(__xludf.DUMMYFUNCTION("""COMPUTED_VALUE"""),"O-16984-00")</f>
        <v>O-16984-00</v>
      </c>
      <c r="E2231" s="6" t="str">
        <f>IFERROR(__xludf.DUMMYFUNCTION("""COMPUTED_VALUE"""),"Freeze Dryer MBE1207 - Butterfly Valve SS316 DN65 P/n: EB14-00067 BRAY; ; ;")</f>
        <v>Freeze Dryer MBE1207 - Butterfly Valve SS316 DN65 P/n: EB14-00067 BRAY; ; ;</v>
      </c>
      <c r="F2231" s="6">
        <f>IFERROR(__xludf.DUMMYFUNCTION("""COMPUTED_VALUE"""),4.0)</f>
        <v>4</v>
      </c>
      <c r="G2231" s="6" t="str">
        <f>IFERROR(__xludf.DUMMYFUNCTION("""COMPUTED_VALUE"""),"Pieces")</f>
        <v>Pieces</v>
      </c>
      <c r="H2231" s="6" t="str">
        <f>IFERROR(__xludf.DUMMYFUNCTION("""COMPUTED_VALUE"""),"USD")</f>
        <v>USD</v>
      </c>
      <c r="I2231" s="6">
        <f>IFERROR(__xludf.DUMMYFUNCTION("""COMPUTED_VALUE"""),124.63)</f>
        <v>124.63</v>
      </c>
      <c r="J2231" s="6">
        <f>IFERROR(__xludf.DUMMYFUNCTION("""COMPUTED_VALUE"""),498.52)</f>
        <v>498.52</v>
      </c>
      <c r="K2231" s="57">
        <f>IFERROR(__xludf.DUMMYFUNCTION("""COMPUTED_VALUE"""),45016.0)</f>
        <v>45016</v>
      </c>
      <c r="L2231" s="6" t="str">
        <f>IFERROR(__xludf.DUMMYFUNCTION("""COMPUTED_VALUE"""),"FIP Engineering")</f>
        <v>FIP Engineering</v>
      </c>
      <c r="M2231" s="6" t="str">
        <f>IFERROR(__xludf.DUMMYFUNCTION("""COMPUTED_VALUE"""),"Irwan Sopian")</f>
        <v>Irwan Sopian</v>
      </c>
      <c r="N2231" s="6" t="str">
        <f>IFERROR(__xludf.DUMMYFUNCTION("""COMPUTED_VALUE"""),"FIP Engineering")</f>
        <v>FIP Engineering</v>
      </c>
      <c r="O2231" s="6" t="str">
        <f>IFERROR(__xludf.DUMMYFUNCTION("""COMPUTED_VALUE"""),"FIP-DOM-000-11304-OS00001-INA-000000")</f>
        <v>FIP-DOM-000-11304-OS00001-INA-000000</v>
      </c>
      <c r="P2231" s="6" t="str">
        <f>IFERROR(__xludf.DUMMYFUNCTION("""COMPUTED_VALUE"""),"PO Closed")</f>
        <v>PO Closed</v>
      </c>
      <c r="Q2231" s="6" t="str">
        <f>IFERROR(__xludf.DUMMYFUNCTION("""COMPUTED_VALUE"""),"GL2302017")</f>
        <v>GL2302017</v>
      </c>
      <c r="R2231" s="57">
        <f>IFERROR(__xludf.DUMMYFUNCTION("""COMPUTED_VALUE"""),44944.0)</f>
        <v>44944</v>
      </c>
      <c r="S2231" s="57">
        <f>IFERROR(__xludf.DUMMYFUNCTION("""COMPUTED_VALUE"""),44946.0)</f>
        <v>44946</v>
      </c>
      <c r="T2231" s="57">
        <f>IFERROR(__xludf.DUMMYFUNCTION("""COMPUTED_VALUE"""),45169.0)</f>
        <v>45169</v>
      </c>
    </row>
    <row r="2232">
      <c r="A2232" s="6" t="str">
        <f>IFERROR(__xludf.DUMMYFUNCTION("""COMPUTED_VALUE"""),"231750053-2")</f>
        <v>231750053-2</v>
      </c>
      <c r="B2232" s="6" t="str">
        <f>IFERROR(__xludf.DUMMYFUNCTION("""COMPUTED_VALUE"""),"231750053 - Approved")</f>
        <v>231750053 - Approved</v>
      </c>
      <c r="C2232" s="6">
        <f>IFERROR(__xludf.DUMMYFUNCTION("""COMPUTED_VALUE"""),2.0)</f>
        <v>2</v>
      </c>
      <c r="D2232" s="6" t="str">
        <f>IFERROR(__xludf.DUMMYFUNCTION("""COMPUTED_VALUE"""),"O-52656-00")</f>
        <v>O-52656-00</v>
      </c>
      <c r="E2232" s="6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F2232" s="6">
        <f>IFERROR(__xludf.DUMMYFUNCTION("""COMPUTED_VALUE"""),1.0)</f>
        <v>1</v>
      </c>
      <c r="G2232" s="6" t="str">
        <f>IFERROR(__xludf.DUMMYFUNCTION("""COMPUTED_VALUE"""),"Pieces")</f>
        <v>Pieces</v>
      </c>
      <c r="H2232" s="6" t="str">
        <f>IFERROR(__xludf.DUMMYFUNCTION("""COMPUTED_VALUE"""),"IDR")</f>
        <v>IDR</v>
      </c>
      <c r="I2232" s="11">
        <f>IFERROR(__xludf.DUMMYFUNCTION("""COMPUTED_VALUE"""),5000.0)</f>
        <v>5000</v>
      </c>
      <c r="J2232" s="11">
        <f>IFERROR(__xludf.DUMMYFUNCTION("""COMPUTED_VALUE"""),5000.0)</f>
        <v>5000</v>
      </c>
      <c r="K2232" s="57">
        <f>IFERROR(__xludf.DUMMYFUNCTION("""COMPUTED_VALUE"""),45016.0)</f>
        <v>45016</v>
      </c>
      <c r="L2232" s="6" t="str">
        <f>IFERROR(__xludf.DUMMYFUNCTION("""COMPUTED_VALUE"""),"FIP Engineering")</f>
        <v>FIP Engineering</v>
      </c>
      <c r="M2232" s="6" t="str">
        <f>IFERROR(__xludf.DUMMYFUNCTION("""COMPUTED_VALUE"""),"Irwan Sopian")</f>
        <v>Irwan Sopian</v>
      </c>
      <c r="N2232" s="6" t="str">
        <f>IFERROR(__xludf.DUMMYFUNCTION("""COMPUTED_VALUE"""),"FIP Engineering")</f>
        <v>FIP Engineering</v>
      </c>
      <c r="O2232" s="6" t="str">
        <f>IFERROR(__xludf.DUMMYFUNCTION("""COMPUTED_VALUE"""),"FIP-DOM-000-11304-OS00001-INA-000000")</f>
        <v>FIP-DOM-000-11304-OS00001-INA-000000</v>
      </c>
      <c r="P2232" s="6" t="str">
        <f>IFERROR(__xludf.DUMMYFUNCTION("""COMPUTED_VALUE"""),"PO Closed")</f>
        <v>PO Closed</v>
      </c>
      <c r="Q2232" s="6" t="str">
        <f>IFERROR(__xludf.DUMMYFUNCTION("""COMPUTED_VALUE"""),"GL2302017")</f>
        <v>GL2302017</v>
      </c>
      <c r="R2232" s="57">
        <f>IFERROR(__xludf.DUMMYFUNCTION("""COMPUTED_VALUE"""),44944.0)</f>
        <v>44944</v>
      </c>
      <c r="S2232" s="57">
        <f>IFERROR(__xludf.DUMMYFUNCTION("""COMPUTED_VALUE"""),44946.0)</f>
        <v>44946</v>
      </c>
      <c r="T2232" s="57">
        <f>IFERROR(__xludf.DUMMYFUNCTION("""COMPUTED_VALUE"""),45169.0)</f>
        <v>45169</v>
      </c>
    </row>
    <row r="2233">
      <c r="A2233" s="6" t="str">
        <f>IFERROR(__xludf.DUMMYFUNCTION("""COMPUTED_VALUE"""),"231750053-3")</f>
        <v>231750053-3</v>
      </c>
      <c r="B2233" s="6" t="str">
        <f>IFERROR(__xludf.DUMMYFUNCTION("""COMPUTED_VALUE"""),"231750053 - Approved")</f>
        <v>231750053 - Approved</v>
      </c>
      <c r="C2233" s="6">
        <f>IFERROR(__xludf.DUMMYFUNCTION("""COMPUTED_VALUE"""),3.0)</f>
        <v>3</v>
      </c>
      <c r="D2233" s="6" t="str">
        <f>IFERROR(__xludf.DUMMYFUNCTION("""COMPUTED_VALUE"""),"O-18890-00")</f>
        <v>O-18890-00</v>
      </c>
      <c r="E2233" s="6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F2233" s="6">
        <f>IFERROR(__xludf.DUMMYFUNCTION("""COMPUTED_VALUE"""),1.0)</f>
        <v>1</v>
      </c>
      <c r="G2233" s="6" t="str">
        <f>IFERROR(__xludf.DUMMYFUNCTION("""COMPUTED_VALUE"""),"Pieces")</f>
        <v>Pieces</v>
      </c>
      <c r="H2233" s="6" t="str">
        <f>IFERROR(__xludf.DUMMYFUNCTION("""COMPUTED_VALUE"""),"USD")</f>
        <v>USD</v>
      </c>
      <c r="I2233" s="6">
        <f>IFERROR(__xludf.DUMMYFUNCTION("""COMPUTED_VALUE"""),64.42)</f>
        <v>64.42</v>
      </c>
      <c r="J2233" s="6">
        <f>IFERROR(__xludf.DUMMYFUNCTION("""COMPUTED_VALUE"""),64.42)</f>
        <v>64.42</v>
      </c>
      <c r="K2233" s="57">
        <f>IFERROR(__xludf.DUMMYFUNCTION("""COMPUTED_VALUE"""),45016.0)</f>
        <v>45016</v>
      </c>
      <c r="L2233" s="6" t="str">
        <f>IFERROR(__xludf.DUMMYFUNCTION("""COMPUTED_VALUE"""),"FIP Engineering")</f>
        <v>FIP Engineering</v>
      </c>
      <c r="M2233" s="6" t="str">
        <f>IFERROR(__xludf.DUMMYFUNCTION("""COMPUTED_VALUE"""),"Irwan Sopian")</f>
        <v>Irwan Sopian</v>
      </c>
      <c r="N2233" s="6" t="str">
        <f>IFERROR(__xludf.DUMMYFUNCTION("""COMPUTED_VALUE"""),"FIP Engineering")</f>
        <v>FIP Engineering</v>
      </c>
      <c r="O2233" s="6" t="str">
        <f>IFERROR(__xludf.DUMMYFUNCTION("""COMPUTED_VALUE"""),"FIP-DOM-000-11304-OS00001-INA-000000")</f>
        <v>FIP-DOM-000-11304-OS00001-INA-000000</v>
      </c>
      <c r="P2233" s="6" t="str">
        <f>IFERROR(__xludf.DUMMYFUNCTION("""COMPUTED_VALUE"""),"PO Closed")</f>
        <v>PO Closed</v>
      </c>
      <c r="Q2233" s="6" t="str">
        <f>IFERROR(__xludf.DUMMYFUNCTION("""COMPUTED_VALUE"""),"GL2302017")</f>
        <v>GL2302017</v>
      </c>
      <c r="R2233" s="57">
        <f>IFERROR(__xludf.DUMMYFUNCTION("""COMPUTED_VALUE"""),44944.0)</f>
        <v>44944</v>
      </c>
      <c r="S2233" s="57">
        <f>IFERROR(__xludf.DUMMYFUNCTION("""COMPUTED_VALUE"""),44946.0)</f>
        <v>44946</v>
      </c>
      <c r="T2233" s="57">
        <f>IFERROR(__xludf.DUMMYFUNCTION("""COMPUTED_VALUE"""),45169.0)</f>
        <v>45169</v>
      </c>
    </row>
    <row r="2234">
      <c r="A2234" s="6" t="str">
        <f>IFERROR(__xludf.DUMMYFUNCTION("""COMPUTED_VALUE"""),"231750053-4")</f>
        <v>231750053-4</v>
      </c>
      <c r="B2234" s="6" t="str">
        <f>IFERROR(__xludf.DUMMYFUNCTION("""COMPUTED_VALUE"""),"231750053 - Approved")</f>
        <v>231750053 - Approved</v>
      </c>
      <c r="C2234" s="6">
        <f>IFERROR(__xludf.DUMMYFUNCTION("""COMPUTED_VALUE"""),4.0)</f>
        <v>4</v>
      </c>
      <c r="D2234" s="6" t="str">
        <f>IFERROR(__xludf.DUMMYFUNCTION("""COMPUTED_VALUE"""),"O-18891-00")</f>
        <v>O-18891-00</v>
      </c>
      <c r="E2234" s="6" t="str">
        <f>IFERROR(__xludf.DUMMYFUNCTION("""COMPUTED_VALUE"""),"Freeze Dryer MBE1207 - SV102 Coil 018F6857 DC24V p/n: EB15-00306; DANFOSS; ;")</f>
        <v>Freeze Dryer MBE1207 - SV102 Coil 018F6857 DC24V p/n: EB15-00306; DANFOSS; ;</v>
      </c>
      <c r="F2234" s="6">
        <f>IFERROR(__xludf.DUMMYFUNCTION("""COMPUTED_VALUE"""),1.0)</f>
        <v>1</v>
      </c>
      <c r="G2234" s="6" t="str">
        <f>IFERROR(__xludf.DUMMYFUNCTION("""COMPUTED_VALUE"""),"Pieces")</f>
        <v>Pieces</v>
      </c>
      <c r="H2234" s="6" t="str">
        <f>IFERROR(__xludf.DUMMYFUNCTION("""COMPUTED_VALUE"""),"USD")</f>
        <v>USD</v>
      </c>
      <c r="I2234" s="6">
        <f>IFERROR(__xludf.DUMMYFUNCTION("""COMPUTED_VALUE"""),13.86)</f>
        <v>13.86</v>
      </c>
      <c r="J2234" s="6">
        <f>IFERROR(__xludf.DUMMYFUNCTION("""COMPUTED_VALUE"""),13.86)</f>
        <v>13.86</v>
      </c>
      <c r="K2234" s="57">
        <f>IFERROR(__xludf.DUMMYFUNCTION("""COMPUTED_VALUE"""),45016.0)</f>
        <v>45016</v>
      </c>
      <c r="L2234" s="6" t="str">
        <f>IFERROR(__xludf.DUMMYFUNCTION("""COMPUTED_VALUE"""),"FIP Engineering")</f>
        <v>FIP Engineering</v>
      </c>
      <c r="M2234" s="6" t="str">
        <f>IFERROR(__xludf.DUMMYFUNCTION("""COMPUTED_VALUE"""),"Irwan Sopian")</f>
        <v>Irwan Sopian</v>
      </c>
      <c r="N2234" s="6" t="str">
        <f>IFERROR(__xludf.DUMMYFUNCTION("""COMPUTED_VALUE"""),"FIP Engineering")</f>
        <v>FIP Engineering</v>
      </c>
      <c r="O2234" s="6" t="str">
        <f>IFERROR(__xludf.DUMMYFUNCTION("""COMPUTED_VALUE"""),"FIP-DOM-000-11304-OS00001-INA-000000")</f>
        <v>FIP-DOM-000-11304-OS00001-INA-000000</v>
      </c>
      <c r="P2234" s="6" t="str">
        <f>IFERROR(__xludf.DUMMYFUNCTION("""COMPUTED_VALUE"""),"PO Closed")</f>
        <v>PO Closed</v>
      </c>
      <c r="Q2234" s="6" t="str">
        <f>IFERROR(__xludf.DUMMYFUNCTION("""COMPUTED_VALUE"""),"GL2302017")</f>
        <v>GL2302017</v>
      </c>
      <c r="R2234" s="57">
        <f>IFERROR(__xludf.DUMMYFUNCTION("""COMPUTED_VALUE"""),44944.0)</f>
        <v>44944</v>
      </c>
      <c r="S2234" s="57">
        <f>IFERROR(__xludf.DUMMYFUNCTION("""COMPUTED_VALUE"""),44946.0)</f>
        <v>44946</v>
      </c>
      <c r="T2234" s="57">
        <f>IFERROR(__xludf.DUMMYFUNCTION("""COMPUTED_VALUE"""),45169.0)</f>
        <v>45169</v>
      </c>
    </row>
    <row r="2235">
      <c r="A2235" s="6" t="str">
        <f>IFERROR(__xludf.DUMMYFUNCTION("""COMPUTED_VALUE"""),"231750053-5")</f>
        <v>231750053-5</v>
      </c>
      <c r="B2235" s="6" t="str">
        <f>IFERROR(__xludf.DUMMYFUNCTION("""COMPUTED_VALUE"""),"231750053 - Approved")</f>
        <v>231750053 - Approved</v>
      </c>
      <c r="C2235" s="6">
        <f>IFERROR(__xludf.DUMMYFUNCTION("""COMPUTED_VALUE"""),5.0)</f>
        <v>5</v>
      </c>
      <c r="D2235" s="6" t="str">
        <f>IFERROR(__xludf.DUMMYFUNCTION("""COMPUTED_VALUE"""),"O-18892-00")</f>
        <v>O-18892-00</v>
      </c>
      <c r="E2235" s="6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F2235" s="6">
        <f>IFERROR(__xludf.DUMMYFUNCTION("""COMPUTED_VALUE"""),1.0)</f>
        <v>1</v>
      </c>
      <c r="G2235" s="6" t="str">
        <f>IFERROR(__xludf.DUMMYFUNCTION("""COMPUTED_VALUE"""),"Pieces")</f>
        <v>Pieces</v>
      </c>
      <c r="H2235" s="6" t="str">
        <f>IFERROR(__xludf.DUMMYFUNCTION("""COMPUTED_VALUE"""),"USD")</f>
        <v>USD</v>
      </c>
      <c r="I2235" s="6">
        <f>IFERROR(__xludf.DUMMYFUNCTION("""COMPUTED_VALUE"""),13.86)</f>
        <v>13.86</v>
      </c>
      <c r="J2235" s="6">
        <f>IFERROR(__xludf.DUMMYFUNCTION("""COMPUTED_VALUE"""),13.86)</f>
        <v>13.86</v>
      </c>
      <c r="K2235" s="57">
        <f>IFERROR(__xludf.DUMMYFUNCTION("""COMPUTED_VALUE"""),45016.0)</f>
        <v>45016</v>
      </c>
      <c r="L2235" s="6" t="str">
        <f>IFERROR(__xludf.DUMMYFUNCTION("""COMPUTED_VALUE"""),"FIP Engineering")</f>
        <v>FIP Engineering</v>
      </c>
      <c r="M2235" s="6" t="str">
        <f>IFERROR(__xludf.DUMMYFUNCTION("""COMPUTED_VALUE"""),"Irwan Sopian")</f>
        <v>Irwan Sopian</v>
      </c>
      <c r="N2235" s="6" t="str">
        <f>IFERROR(__xludf.DUMMYFUNCTION("""COMPUTED_VALUE"""),"FIP Engineering")</f>
        <v>FIP Engineering</v>
      </c>
      <c r="O2235" s="6" t="str">
        <f>IFERROR(__xludf.DUMMYFUNCTION("""COMPUTED_VALUE"""),"FIP-DOM-000-11304-OS00001-INA-000000")</f>
        <v>FIP-DOM-000-11304-OS00001-INA-000000</v>
      </c>
      <c r="P2235" s="6" t="str">
        <f>IFERROR(__xludf.DUMMYFUNCTION("""COMPUTED_VALUE"""),"PO Closed")</f>
        <v>PO Closed</v>
      </c>
      <c r="Q2235" s="6" t="str">
        <f>IFERROR(__xludf.DUMMYFUNCTION("""COMPUTED_VALUE"""),"GL2302017")</f>
        <v>GL2302017</v>
      </c>
      <c r="R2235" s="57">
        <f>IFERROR(__xludf.DUMMYFUNCTION("""COMPUTED_VALUE"""),44944.0)</f>
        <v>44944</v>
      </c>
      <c r="S2235" s="57">
        <f>IFERROR(__xludf.DUMMYFUNCTION("""COMPUTED_VALUE"""),44946.0)</f>
        <v>44946</v>
      </c>
      <c r="T2235" s="57">
        <f>IFERROR(__xludf.DUMMYFUNCTION("""COMPUTED_VALUE"""),45169.0)</f>
        <v>45169</v>
      </c>
    </row>
    <row r="2236">
      <c r="A2236" s="6" t="str">
        <f>IFERROR(__xludf.DUMMYFUNCTION("""COMPUTED_VALUE"""),"231750053-6")</f>
        <v>231750053-6</v>
      </c>
      <c r="B2236" s="6" t="str">
        <f>IFERROR(__xludf.DUMMYFUNCTION("""COMPUTED_VALUE"""),"231750053 - Approved")</f>
        <v>231750053 - Approved</v>
      </c>
      <c r="C2236" s="6">
        <f>IFERROR(__xludf.DUMMYFUNCTION("""COMPUTED_VALUE"""),6.0)</f>
        <v>6</v>
      </c>
      <c r="D2236" s="6" t="str">
        <f>IFERROR(__xludf.DUMMYFUNCTION("""COMPUTED_VALUE"""),"O-18893-00")</f>
        <v>O-18893-00</v>
      </c>
      <c r="E2236" s="6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F2236" s="6">
        <f>IFERROR(__xludf.DUMMYFUNCTION("""COMPUTED_VALUE"""),1.0)</f>
        <v>1</v>
      </c>
      <c r="G2236" s="6" t="str">
        <f>IFERROR(__xludf.DUMMYFUNCTION("""COMPUTED_VALUE"""),"Pieces")</f>
        <v>Pieces</v>
      </c>
      <c r="H2236" s="6" t="str">
        <f>IFERROR(__xludf.DUMMYFUNCTION("""COMPUTED_VALUE"""),"USD")</f>
        <v>USD</v>
      </c>
      <c r="I2236" s="6">
        <f>IFERROR(__xludf.DUMMYFUNCTION("""COMPUTED_VALUE"""),202.14)</f>
        <v>202.14</v>
      </c>
      <c r="J2236" s="6">
        <f>IFERROR(__xludf.DUMMYFUNCTION("""COMPUTED_VALUE"""),202.14)</f>
        <v>202.14</v>
      </c>
      <c r="K2236" s="57">
        <f>IFERROR(__xludf.DUMMYFUNCTION("""COMPUTED_VALUE"""),45016.0)</f>
        <v>45016</v>
      </c>
      <c r="L2236" s="6" t="str">
        <f>IFERROR(__xludf.DUMMYFUNCTION("""COMPUTED_VALUE"""),"FIP Engineering")</f>
        <v>FIP Engineering</v>
      </c>
      <c r="M2236" s="6" t="str">
        <f>IFERROR(__xludf.DUMMYFUNCTION("""COMPUTED_VALUE"""),"Irwan Sopian")</f>
        <v>Irwan Sopian</v>
      </c>
      <c r="N2236" s="6" t="str">
        <f>IFERROR(__xludf.DUMMYFUNCTION("""COMPUTED_VALUE"""),"FIP Engineering")</f>
        <v>FIP Engineering</v>
      </c>
      <c r="O2236" s="6" t="str">
        <f>IFERROR(__xludf.DUMMYFUNCTION("""COMPUTED_VALUE"""),"FIP-DOM-000-11304-OS00001-INA-000000")</f>
        <v>FIP-DOM-000-11304-OS00001-INA-000000</v>
      </c>
      <c r="P2236" s="6" t="str">
        <f>IFERROR(__xludf.DUMMYFUNCTION("""COMPUTED_VALUE"""),"PO Closed")</f>
        <v>PO Closed</v>
      </c>
      <c r="Q2236" s="6" t="str">
        <f>IFERROR(__xludf.DUMMYFUNCTION("""COMPUTED_VALUE"""),"GL2302017")</f>
        <v>GL2302017</v>
      </c>
      <c r="R2236" s="57">
        <f>IFERROR(__xludf.DUMMYFUNCTION("""COMPUTED_VALUE"""),44944.0)</f>
        <v>44944</v>
      </c>
      <c r="S2236" s="57">
        <f>IFERROR(__xludf.DUMMYFUNCTION("""COMPUTED_VALUE"""),44946.0)</f>
        <v>44946</v>
      </c>
      <c r="T2236" s="57">
        <f>IFERROR(__xludf.DUMMYFUNCTION("""COMPUTED_VALUE"""),45169.0)</f>
        <v>45169</v>
      </c>
    </row>
    <row r="2237">
      <c r="A2237" s="6" t="str">
        <f>IFERROR(__xludf.DUMMYFUNCTION("""COMPUTED_VALUE"""),"231750053-7")</f>
        <v>231750053-7</v>
      </c>
      <c r="B2237" s="6" t="str">
        <f>IFERROR(__xludf.DUMMYFUNCTION("""COMPUTED_VALUE"""),"231750053 - Approved")</f>
        <v>231750053 - Approved</v>
      </c>
      <c r="C2237" s="6">
        <f>IFERROR(__xludf.DUMMYFUNCTION("""COMPUTED_VALUE"""),7.0)</f>
        <v>7</v>
      </c>
      <c r="D2237" s="6" t="str">
        <f>IFERROR(__xludf.DUMMYFUNCTION("""COMPUTED_VALUE"""),"O-52825-00")</f>
        <v>O-52825-00</v>
      </c>
      <c r="E2237" s="6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F2237" s="6">
        <f>IFERROR(__xludf.DUMMYFUNCTION("""COMPUTED_VALUE"""),3.0)</f>
        <v>3</v>
      </c>
      <c r="G2237" s="6" t="str">
        <f>IFERROR(__xludf.DUMMYFUNCTION("""COMPUTED_VALUE"""),"Pieces")</f>
        <v>Pieces</v>
      </c>
      <c r="H2237" s="6" t="str">
        <f>IFERROR(__xludf.DUMMYFUNCTION("""COMPUTED_VALUE"""),"USD")</f>
        <v>USD</v>
      </c>
      <c r="I2237" s="6">
        <f>IFERROR(__xludf.DUMMYFUNCTION("""COMPUTED_VALUE"""),360.46)</f>
        <v>360.46</v>
      </c>
      <c r="J2237" s="11">
        <f>IFERROR(__xludf.DUMMYFUNCTION("""COMPUTED_VALUE"""),1081.38)</f>
        <v>1081.38</v>
      </c>
      <c r="K2237" s="57">
        <f>IFERROR(__xludf.DUMMYFUNCTION("""COMPUTED_VALUE"""),45016.0)</f>
        <v>45016</v>
      </c>
      <c r="L2237" s="6" t="str">
        <f>IFERROR(__xludf.DUMMYFUNCTION("""COMPUTED_VALUE"""),"FIP Engineering")</f>
        <v>FIP Engineering</v>
      </c>
      <c r="M2237" s="6" t="str">
        <f>IFERROR(__xludf.DUMMYFUNCTION("""COMPUTED_VALUE"""),"Irwan Sopian")</f>
        <v>Irwan Sopian</v>
      </c>
      <c r="N2237" s="6" t="str">
        <f>IFERROR(__xludf.DUMMYFUNCTION("""COMPUTED_VALUE"""),"FIP Engineering")</f>
        <v>FIP Engineering</v>
      </c>
      <c r="O2237" s="6" t="str">
        <f>IFERROR(__xludf.DUMMYFUNCTION("""COMPUTED_VALUE"""),"FIP-DOM-000-11304-OS00001-INA-000000")</f>
        <v>FIP-DOM-000-11304-OS00001-INA-000000</v>
      </c>
      <c r="P2237" s="6" t="str">
        <f>IFERROR(__xludf.DUMMYFUNCTION("""COMPUTED_VALUE"""),"PO Closed")</f>
        <v>PO Closed</v>
      </c>
      <c r="Q2237" s="6" t="str">
        <f>IFERROR(__xludf.DUMMYFUNCTION("""COMPUTED_VALUE"""),"GL2302017")</f>
        <v>GL2302017</v>
      </c>
      <c r="R2237" s="57">
        <f>IFERROR(__xludf.DUMMYFUNCTION("""COMPUTED_VALUE"""),44944.0)</f>
        <v>44944</v>
      </c>
      <c r="S2237" s="57">
        <f>IFERROR(__xludf.DUMMYFUNCTION("""COMPUTED_VALUE"""),44946.0)</f>
        <v>44946</v>
      </c>
      <c r="T2237" s="57">
        <f>IFERROR(__xludf.DUMMYFUNCTION("""COMPUTED_VALUE"""),45169.0)</f>
        <v>45169</v>
      </c>
    </row>
    <row r="2238">
      <c r="A2238" s="6" t="str">
        <f>IFERROR(__xludf.DUMMYFUNCTION("""COMPUTED_VALUE"""),"231750053-8")</f>
        <v>231750053-8</v>
      </c>
      <c r="B2238" s="6" t="str">
        <f>IFERROR(__xludf.DUMMYFUNCTION("""COMPUTED_VALUE"""),"231750053 - Approved")</f>
        <v>231750053 - Approved</v>
      </c>
      <c r="C2238" s="6">
        <f>IFERROR(__xludf.DUMMYFUNCTION("""COMPUTED_VALUE"""),8.0)</f>
        <v>8</v>
      </c>
      <c r="D2238" s="6" t="str">
        <f>IFERROR(__xludf.DUMMYFUNCTION("""COMPUTED_VALUE"""),"O-52826-00")</f>
        <v>O-52826-00</v>
      </c>
      <c r="E2238" s="6" t="str">
        <f>IFERROR(__xludf.DUMMYFUNCTION("""COMPUTED_VALUE"""),"Freeze Dryer MBE1207 - SV55 252072 6213 S.S+FKM I/O: NPT1/4 Inch Orifice:10mm Kv=2m3/h NC DC24V p/n; BURKERT; ;")</f>
        <v>Freeze Dryer MBE1207 - SV55 252072 6213 S.S+FKM I/O: NPT1/4 Inch Orifice:10mm Kv=2m3/h NC DC24V p/n; BURKERT; ;</v>
      </c>
      <c r="F2238" s="6">
        <f>IFERROR(__xludf.DUMMYFUNCTION("""COMPUTED_VALUE"""),3.0)</f>
        <v>3</v>
      </c>
      <c r="G2238" s="6" t="str">
        <f>IFERROR(__xludf.DUMMYFUNCTION("""COMPUTED_VALUE"""),"Pieces")</f>
        <v>Pieces</v>
      </c>
      <c r="H2238" s="6" t="str">
        <f>IFERROR(__xludf.DUMMYFUNCTION("""COMPUTED_VALUE"""),"USD")</f>
        <v>USD</v>
      </c>
      <c r="I2238" s="6">
        <f>IFERROR(__xludf.DUMMYFUNCTION("""COMPUTED_VALUE"""),156.45)</f>
        <v>156.45</v>
      </c>
      <c r="J2238" s="6">
        <f>IFERROR(__xludf.DUMMYFUNCTION("""COMPUTED_VALUE"""),469.35)</f>
        <v>469.35</v>
      </c>
      <c r="K2238" s="57">
        <f>IFERROR(__xludf.DUMMYFUNCTION("""COMPUTED_VALUE"""),45016.0)</f>
        <v>45016</v>
      </c>
      <c r="L2238" s="6" t="str">
        <f>IFERROR(__xludf.DUMMYFUNCTION("""COMPUTED_VALUE"""),"FIP Engineering")</f>
        <v>FIP Engineering</v>
      </c>
      <c r="M2238" s="6" t="str">
        <f>IFERROR(__xludf.DUMMYFUNCTION("""COMPUTED_VALUE"""),"Irwan Sopian")</f>
        <v>Irwan Sopian</v>
      </c>
      <c r="N2238" s="6" t="str">
        <f>IFERROR(__xludf.DUMMYFUNCTION("""COMPUTED_VALUE"""),"FIP Engineering")</f>
        <v>FIP Engineering</v>
      </c>
      <c r="O2238" s="6" t="str">
        <f>IFERROR(__xludf.DUMMYFUNCTION("""COMPUTED_VALUE"""),"FIP-DOM-000-11304-OS00001-INA-000000")</f>
        <v>FIP-DOM-000-11304-OS00001-INA-000000</v>
      </c>
      <c r="P2238" s="6" t="str">
        <f>IFERROR(__xludf.DUMMYFUNCTION("""COMPUTED_VALUE"""),"PO Closed")</f>
        <v>PO Closed</v>
      </c>
      <c r="Q2238" s="6" t="str">
        <f>IFERROR(__xludf.DUMMYFUNCTION("""COMPUTED_VALUE"""),"GL2302017")</f>
        <v>GL2302017</v>
      </c>
      <c r="R2238" s="57">
        <f>IFERROR(__xludf.DUMMYFUNCTION("""COMPUTED_VALUE"""),44944.0)</f>
        <v>44944</v>
      </c>
      <c r="S2238" s="57">
        <f>IFERROR(__xludf.DUMMYFUNCTION("""COMPUTED_VALUE"""),44946.0)</f>
        <v>44946</v>
      </c>
      <c r="T2238" s="57">
        <f>IFERROR(__xludf.DUMMYFUNCTION("""COMPUTED_VALUE"""),45169.0)</f>
        <v>45169</v>
      </c>
    </row>
    <row r="2239">
      <c r="A2239" s="6" t="str">
        <f>IFERROR(__xludf.DUMMYFUNCTION("""COMPUTED_VALUE"""),"231750053-9")</f>
        <v>231750053-9</v>
      </c>
      <c r="B2239" s="6" t="str">
        <f>IFERROR(__xludf.DUMMYFUNCTION("""COMPUTED_VALUE"""),"231750053 - Approved")</f>
        <v>231750053 - Approved</v>
      </c>
      <c r="C2239" s="6">
        <f>IFERROR(__xludf.DUMMYFUNCTION("""COMPUTED_VALUE"""),9.0)</f>
        <v>9</v>
      </c>
      <c r="D2239" s="6" t="str">
        <f>IFERROR(__xludf.DUMMYFUNCTION("""COMPUTED_VALUE"""),"O-52831-00")</f>
        <v>O-52831-00</v>
      </c>
      <c r="E2239" s="6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F2239" s="6">
        <f>IFERROR(__xludf.DUMMYFUNCTION("""COMPUTED_VALUE"""),1.0)</f>
        <v>1</v>
      </c>
      <c r="G2239" s="6" t="str">
        <f>IFERROR(__xludf.DUMMYFUNCTION("""COMPUTED_VALUE"""),"Unit")</f>
        <v>Unit</v>
      </c>
      <c r="H2239" s="6" t="str">
        <f>IFERROR(__xludf.DUMMYFUNCTION("""COMPUTED_VALUE"""),"USD")</f>
        <v>USD</v>
      </c>
      <c r="I2239" s="6">
        <f>IFERROR(__xludf.DUMMYFUNCTION("""COMPUTED_VALUE"""),762.14)</f>
        <v>762.14</v>
      </c>
      <c r="J2239" s="6">
        <f>IFERROR(__xludf.DUMMYFUNCTION("""COMPUTED_VALUE"""),762.14)</f>
        <v>762.14</v>
      </c>
      <c r="K2239" s="57">
        <f>IFERROR(__xludf.DUMMYFUNCTION("""COMPUTED_VALUE"""),45016.0)</f>
        <v>45016</v>
      </c>
      <c r="L2239" s="6" t="str">
        <f>IFERROR(__xludf.DUMMYFUNCTION("""COMPUTED_VALUE"""),"FIP Engineering")</f>
        <v>FIP Engineering</v>
      </c>
      <c r="M2239" s="6" t="str">
        <f>IFERROR(__xludf.DUMMYFUNCTION("""COMPUTED_VALUE"""),"Irwan Sopian")</f>
        <v>Irwan Sopian</v>
      </c>
      <c r="N2239" s="6" t="str">
        <f>IFERROR(__xludf.DUMMYFUNCTION("""COMPUTED_VALUE"""),"FIP Engineering")</f>
        <v>FIP Engineering</v>
      </c>
      <c r="O2239" s="6" t="str">
        <f>IFERROR(__xludf.DUMMYFUNCTION("""COMPUTED_VALUE"""),"FIP-DOM-000-11304-OS00001-INA-000000")</f>
        <v>FIP-DOM-000-11304-OS00001-INA-000000</v>
      </c>
      <c r="P2239" s="6" t="str">
        <f>IFERROR(__xludf.DUMMYFUNCTION("""COMPUTED_VALUE"""),"PO Closed")</f>
        <v>PO Closed</v>
      </c>
      <c r="Q2239" s="6" t="str">
        <f>IFERROR(__xludf.DUMMYFUNCTION("""COMPUTED_VALUE"""),"GL2302017")</f>
        <v>GL2302017</v>
      </c>
      <c r="R2239" s="57">
        <f>IFERROR(__xludf.DUMMYFUNCTION("""COMPUTED_VALUE"""),44944.0)</f>
        <v>44944</v>
      </c>
      <c r="S2239" s="57">
        <f>IFERROR(__xludf.DUMMYFUNCTION("""COMPUTED_VALUE"""),44946.0)</f>
        <v>44946</v>
      </c>
      <c r="T2239" s="57">
        <f>IFERROR(__xludf.DUMMYFUNCTION("""COMPUTED_VALUE"""),45169.0)</f>
        <v>45169</v>
      </c>
    </row>
    <row r="2240">
      <c r="A2240" s="6" t="str">
        <f>IFERROR(__xludf.DUMMYFUNCTION("""COMPUTED_VALUE"""),"231750053-10")</f>
        <v>231750053-10</v>
      </c>
      <c r="B2240" s="6" t="str">
        <f>IFERROR(__xludf.DUMMYFUNCTION("""COMPUTED_VALUE"""),"231750053 - Approved")</f>
        <v>231750053 - Approved</v>
      </c>
      <c r="C2240" s="6">
        <f>IFERROR(__xludf.DUMMYFUNCTION("""COMPUTED_VALUE"""),10.0)</f>
        <v>10</v>
      </c>
      <c r="D2240" s="6" t="str">
        <f>IFERROR(__xludf.DUMMYFUNCTION("""COMPUTED_VALUE"""),"O-18912-00")</f>
        <v>O-18912-00</v>
      </c>
      <c r="E2240" s="6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F2240" s="6">
        <f>IFERROR(__xludf.DUMMYFUNCTION("""COMPUTED_VALUE"""),2.0)</f>
        <v>2</v>
      </c>
      <c r="G2240" s="6" t="str">
        <f>IFERROR(__xludf.DUMMYFUNCTION("""COMPUTED_VALUE"""),"Pieces")</f>
        <v>Pieces</v>
      </c>
      <c r="H2240" s="6" t="str">
        <f>IFERROR(__xludf.DUMMYFUNCTION("""COMPUTED_VALUE"""),"USD")</f>
        <v>USD</v>
      </c>
      <c r="I2240" s="6">
        <f>IFERROR(__xludf.DUMMYFUNCTION("""COMPUTED_VALUE"""),111.31)</f>
        <v>111.31</v>
      </c>
      <c r="J2240" s="6">
        <f>IFERROR(__xludf.DUMMYFUNCTION("""COMPUTED_VALUE"""),222.62)</f>
        <v>222.62</v>
      </c>
      <c r="K2240" s="57">
        <f>IFERROR(__xludf.DUMMYFUNCTION("""COMPUTED_VALUE"""),45016.0)</f>
        <v>45016</v>
      </c>
      <c r="L2240" s="6" t="str">
        <f>IFERROR(__xludf.DUMMYFUNCTION("""COMPUTED_VALUE"""),"FIP Engineering")</f>
        <v>FIP Engineering</v>
      </c>
      <c r="M2240" s="6" t="str">
        <f>IFERROR(__xludf.DUMMYFUNCTION("""COMPUTED_VALUE"""),"Irwan Sopian")</f>
        <v>Irwan Sopian</v>
      </c>
      <c r="N2240" s="6" t="str">
        <f>IFERROR(__xludf.DUMMYFUNCTION("""COMPUTED_VALUE"""),"FIP Engineering")</f>
        <v>FIP Engineering</v>
      </c>
      <c r="O2240" s="6" t="str">
        <f>IFERROR(__xludf.DUMMYFUNCTION("""COMPUTED_VALUE"""),"FIP-DOM-000-11304-OS00001-INA-000000")</f>
        <v>FIP-DOM-000-11304-OS00001-INA-000000</v>
      </c>
      <c r="P2240" s="6" t="str">
        <f>IFERROR(__xludf.DUMMYFUNCTION("""COMPUTED_VALUE"""),"PO Closed")</f>
        <v>PO Closed</v>
      </c>
      <c r="Q2240" s="6" t="str">
        <f>IFERROR(__xludf.DUMMYFUNCTION("""COMPUTED_VALUE"""),"GL2302017")</f>
        <v>GL2302017</v>
      </c>
      <c r="R2240" s="57">
        <f>IFERROR(__xludf.DUMMYFUNCTION("""COMPUTED_VALUE"""),44944.0)</f>
        <v>44944</v>
      </c>
      <c r="S2240" s="57">
        <f>IFERROR(__xludf.DUMMYFUNCTION("""COMPUTED_VALUE"""),44946.0)</f>
        <v>44946</v>
      </c>
      <c r="T2240" s="57">
        <f>IFERROR(__xludf.DUMMYFUNCTION("""COMPUTED_VALUE"""),45169.0)</f>
        <v>45169</v>
      </c>
    </row>
    <row r="2241">
      <c r="A2241" s="6" t="str">
        <f>IFERROR(__xludf.DUMMYFUNCTION("""COMPUTED_VALUE"""),"231750053-11")</f>
        <v>231750053-11</v>
      </c>
      <c r="B2241" s="6" t="str">
        <f>IFERROR(__xludf.DUMMYFUNCTION("""COMPUTED_VALUE"""),"231750053 - Approved")</f>
        <v>231750053 - Approved</v>
      </c>
      <c r="C2241" s="6">
        <f>IFERROR(__xludf.DUMMYFUNCTION("""COMPUTED_VALUE"""),11.0)</f>
        <v>11</v>
      </c>
      <c r="D2241" s="6" t="str">
        <f>IFERROR(__xludf.DUMMYFUNCTION("""COMPUTED_VALUE"""),"O-18913-00")</f>
        <v>O-18913-00</v>
      </c>
      <c r="E2241" s="6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F2241" s="6">
        <f>IFERROR(__xludf.DUMMYFUNCTION("""COMPUTED_VALUE"""),4.0)</f>
        <v>4</v>
      </c>
      <c r="G2241" s="6" t="str">
        <f>IFERROR(__xludf.DUMMYFUNCTION("""COMPUTED_VALUE"""),"Pieces")</f>
        <v>Pieces</v>
      </c>
      <c r="H2241" s="6" t="str">
        <f>IFERROR(__xludf.DUMMYFUNCTION("""COMPUTED_VALUE"""),"USD")</f>
        <v>USD</v>
      </c>
      <c r="I2241" s="6">
        <f>IFERROR(__xludf.DUMMYFUNCTION("""COMPUTED_VALUE"""),63.14)</f>
        <v>63.14</v>
      </c>
      <c r="J2241" s="6">
        <f>IFERROR(__xludf.DUMMYFUNCTION("""COMPUTED_VALUE"""),252.56)</f>
        <v>252.56</v>
      </c>
      <c r="K2241" s="57">
        <f>IFERROR(__xludf.DUMMYFUNCTION("""COMPUTED_VALUE"""),45016.0)</f>
        <v>45016</v>
      </c>
      <c r="L2241" s="6" t="str">
        <f>IFERROR(__xludf.DUMMYFUNCTION("""COMPUTED_VALUE"""),"FIP Engineering")</f>
        <v>FIP Engineering</v>
      </c>
      <c r="M2241" s="6" t="str">
        <f>IFERROR(__xludf.DUMMYFUNCTION("""COMPUTED_VALUE"""),"Irwan Sopian")</f>
        <v>Irwan Sopian</v>
      </c>
      <c r="N2241" s="6" t="str">
        <f>IFERROR(__xludf.DUMMYFUNCTION("""COMPUTED_VALUE"""),"FIP Engineering")</f>
        <v>FIP Engineering</v>
      </c>
      <c r="O2241" s="6" t="str">
        <f>IFERROR(__xludf.DUMMYFUNCTION("""COMPUTED_VALUE"""),"FIP-DOM-000-11304-OS00001-INA-000000")</f>
        <v>FIP-DOM-000-11304-OS00001-INA-000000</v>
      </c>
      <c r="P2241" s="6" t="str">
        <f>IFERROR(__xludf.DUMMYFUNCTION("""COMPUTED_VALUE"""),"PO Closed")</f>
        <v>PO Closed</v>
      </c>
      <c r="Q2241" s="6" t="str">
        <f>IFERROR(__xludf.DUMMYFUNCTION("""COMPUTED_VALUE"""),"GL2302017")</f>
        <v>GL2302017</v>
      </c>
      <c r="R2241" s="57">
        <f>IFERROR(__xludf.DUMMYFUNCTION("""COMPUTED_VALUE"""),44944.0)</f>
        <v>44944</v>
      </c>
      <c r="S2241" s="57">
        <f>IFERROR(__xludf.DUMMYFUNCTION("""COMPUTED_VALUE"""),44946.0)</f>
        <v>44946</v>
      </c>
      <c r="T2241" s="57">
        <f>IFERROR(__xludf.DUMMYFUNCTION("""COMPUTED_VALUE"""),45169.0)</f>
        <v>45169</v>
      </c>
    </row>
    <row r="2242">
      <c r="A2242" s="6" t="str">
        <f>IFERROR(__xludf.DUMMYFUNCTION("""COMPUTED_VALUE"""),"231750053-12")</f>
        <v>231750053-12</v>
      </c>
      <c r="B2242" s="6" t="str">
        <f>IFERROR(__xludf.DUMMYFUNCTION("""COMPUTED_VALUE"""),"231750053 - Approved")</f>
        <v>231750053 - Approved</v>
      </c>
      <c r="C2242" s="6">
        <f>IFERROR(__xludf.DUMMYFUNCTION("""COMPUTED_VALUE"""),12.0)</f>
        <v>12</v>
      </c>
      <c r="D2242" s="6" t="str">
        <f>IFERROR(__xludf.DUMMYFUNCTION("""COMPUTED_VALUE"""),"O-18914-00")</f>
        <v>O-18914-00</v>
      </c>
      <c r="E2242" s="6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F2242" s="6">
        <f>IFERROR(__xludf.DUMMYFUNCTION("""COMPUTED_VALUE"""),1.0)</f>
        <v>1</v>
      </c>
      <c r="G2242" s="6" t="str">
        <f>IFERROR(__xludf.DUMMYFUNCTION("""COMPUTED_VALUE"""),"Pieces")</f>
        <v>Pieces</v>
      </c>
      <c r="H2242" s="6" t="str">
        <f>IFERROR(__xludf.DUMMYFUNCTION("""COMPUTED_VALUE"""),"USD")</f>
        <v>USD</v>
      </c>
      <c r="I2242" s="6">
        <f>IFERROR(__xludf.DUMMYFUNCTION("""COMPUTED_VALUE"""),74.3)</f>
        <v>74.3</v>
      </c>
      <c r="J2242" s="6">
        <f>IFERROR(__xludf.DUMMYFUNCTION("""COMPUTED_VALUE"""),74.3)</f>
        <v>74.3</v>
      </c>
      <c r="K2242" s="57">
        <f>IFERROR(__xludf.DUMMYFUNCTION("""COMPUTED_VALUE"""),45016.0)</f>
        <v>45016</v>
      </c>
      <c r="L2242" s="6" t="str">
        <f>IFERROR(__xludf.DUMMYFUNCTION("""COMPUTED_VALUE"""),"FIP Engineering")</f>
        <v>FIP Engineering</v>
      </c>
      <c r="M2242" s="6" t="str">
        <f>IFERROR(__xludf.DUMMYFUNCTION("""COMPUTED_VALUE"""),"Irwan Sopian")</f>
        <v>Irwan Sopian</v>
      </c>
      <c r="N2242" s="6" t="str">
        <f>IFERROR(__xludf.DUMMYFUNCTION("""COMPUTED_VALUE"""),"FIP Engineering")</f>
        <v>FIP Engineering</v>
      </c>
      <c r="O2242" s="6" t="str">
        <f>IFERROR(__xludf.DUMMYFUNCTION("""COMPUTED_VALUE"""),"FIP-DOM-000-11304-OS00001-INA-000000")</f>
        <v>FIP-DOM-000-11304-OS00001-INA-000000</v>
      </c>
      <c r="P2242" s="6" t="str">
        <f>IFERROR(__xludf.DUMMYFUNCTION("""COMPUTED_VALUE"""),"PO Closed")</f>
        <v>PO Closed</v>
      </c>
      <c r="Q2242" s="6" t="str">
        <f>IFERROR(__xludf.DUMMYFUNCTION("""COMPUTED_VALUE"""),"GL2302017")</f>
        <v>GL2302017</v>
      </c>
      <c r="R2242" s="57">
        <f>IFERROR(__xludf.DUMMYFUNCTION("""COMPUTED_VALUE"""),44944.0)</f>
        <v>44944</v>
      </c>
      <c r="S2242" s="57">
        <f>IFERROR(__xludf.DUMMYFUNCTION("""COMPUTED_VALUE"""),44946.0)</f>
        <v>44946</v>
      </c>
      <c r="T2242" s="57">
        <f>IFERROR(__xludf.DUMMYFUNCTION("""COMPUTED_VALUE"""),45169.0)</f>
        <v>45169</v>
      </c>
    </row>
    <row r="2243">
      <c r="A2243" s="6" t="str">
        <f>IFERROR(__xludf.DUMMYFUNCTION("""COMPUTED_VALUE"""),"231750053-13")</f>
        <v>231750053-13</v>
      </c>
      <c r="B2243" s="6" t="str">
        <f>IFERROR(__xludf.DUMMYFUNCTION("""COMPUTED_VALUE"""),"231750053 - Approved")</f>
        <v>231750053 - Approved</v>
      </c>
      <c r="C2243" s="6">
        <f>IFERROR(__xludf.DUMMYFUNCTION("""COMPUTED_VALUE"""),13.0)</f>
        <v>13</v>
      </c>
      <c r="D2243" s="6" t="str">
        <f>IFERROR(__xludf.DUMMYFUNCTION("""COMPUTED_VALUE"""),"O-18915-00")</f>
        <v>O-18915-00</v>
      </c>
      <c r="E2243" s="6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F2243" s="6">
        <f>IFERROR(__xludf.DUMMYFUNCTION("""COMPUTED_VALUE"""),1.0)</f>
        <v>1</v>
      </c>
      <c r="G2243" s="6" t="str">
        <f>IFERROR(__xludf.DUMMYFUNCTION("""COMPUTED_VALUE"""),"Pieces")</f>
        <v>Pieces</v>
      </c>
      <c r="H2243" s="6" t="str">
        <f>IFERROR(__xludf.DUMMYFUNCTION("""COMPUTED_VALUE"""),"USD")</f>
        <v>USD</v>
      </c>
      <c r="I2243" s="6">
        <f>IFERROR(__xludf.DUMMYFUNCTION("""COMPUTED_VALUE"""),165.64)</f>
        <v>165.64</v>
      </c>
      <c r="J2243" s="6">
        <f>IFERROR(__xludf.DUMMYFUNCTION("""COMPUTED_VALUE"""),165.64)</f>
        <v>165.64</v>
      </c>
      <c r="K2243" s="57">
        <f>IFERROR(__xludf.DUMMYFUNCTION("""COMPUTED_VALUE"""),45016.0)</f>
        <v>45016</v>
      </c>
      <c r="L2243" s="6" t="str">
        <f>IFERROR(__xludf.DUMMYFUNCTION("""COMPUTED_VALUE"""),"FIP Engineering")</f>
        <v>FIP Engineering</v>
      </c>
      <c r="M2243" s="6" t="str">
        <f>IFERROR(__xludf.DUMMYFUNCTION("""COMPUTED_VALUE"""),"Irwan Sopian")</f>
        <v>Irwan Sopian</v>
      </c>
      <c r="N2243" s="6" t="str">
        <f>IFERROR(__xludf.DUMMYFUNCTION("""COMPUTED_VALUE"""),"FIP Engineering")</f>
        <v>FIP Engineering</v>
      </c>
      <c r="O2243" s="6" t="str">
        <f>IFERROR(__xludf.DUMMYFUNCTION("""COMPUTED_VALUE"""),"FIP-DOM-000-11304-OS00001-INA-000000")</f>
        <v>FIP-DOM-000-11304-OS00001-INA-000000</v>
      </c>
      <c r="P2243" s="6" t="str">
        <f>IFERROR(__xludf.DUMMYFUNCTION("""COMPUTED_VALUE"""),"PO Closed")</f>
        <v>PO Closed</v>
      </c>
      <c r="Q2243" s="6" t="str">
        <f>IFERROR(__xludf.DUMMYFUNCTION("""COMPUTED_VALUE"""),"GL2302017")</f>
        <v>GL2302017</v>
      </c>
      <c r="R2243" s="57">
        <f>IFERROR(__xludf.DUMMYFUNCTION("""COMPUTED_VALUE"""),44944.0)</f>
        <v>44944</v>
      </c>
      <c r="S2243" s="57">
        <f>IFERROR(__xludf.DUMMYFUNCTION("""COMPUTED_VALUE"""),44946.0)</f>
        <v>44946</v>
      </c>
      <c r="T2243" s="57">
        <f>IFERROR(__xludf.DUMMYFUNCTION("""COMPUTED_VALUE"""),45169.0)</f>
        <v>45169</v>
      </c>
    </row>
    <row r="2244">
      <c r="A2244" s="6" t="str">
        <f>IFERROR(__xludf.DUMMYFUNCTION("""COMPUTED_VALUE"""),"231750053-14")</f>
        <v>231750053-14</v>
      </c>
      <c r="B2244" s="6" t="str">
        <f>IFERROR(__xludf.DUMMYFUNCTION("""COMPUTED_VALUE"""),"231750053 - Approved")</f>
        <v>231750053 - Approved</v>
      </c>
      <c r="C2244" s="6">
        <f>IFERROR(__xludf.DUMMYFUNCTION("""COMPUTED_VALUE"""),14.0)</f>
        <v>14</v>
      </c>
      <c r="D2244" s="6" t="str">
        <f>IFERROR(__xludf.DUMMYFUNCTION("""COMPUTED_VALUE"""),"O-18916-00")</f>
        <v>O-18916-00</v>
      </c>
      <c r="E2244" s="6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F2244" s="6">
        <f>IFERROR(__xludf.DUMMYFUNCTION("""COMPUTED_VALUE"""),1.0)</f>
        <v>1</v>
      </c>
      <c r="G2244" s="6" t="str">
        <f>IFERROR(__xludf.DUMMYFUNCTION("""COMPUTED_VALUE"""),"Pieces")</f>
        <v>Pieces</v>
      </c>
      <c r="H2244" s="6" t="str">
        <f>IFERROR(__xludf.DUMMYFUNCTION("""COMPUTED_VALUE"""),"USD")</f>
        <v>USD</v>
      </c>
      <c r="I2244" s="6">
        <f>IFERROR(__xludf.DUMMYFUNCTION("""COMPUTED_VALUE"""),58.46)</f>
        <v>58.46</v>
      </c>
      <c r="J2244" s="6">
        <f>IFERROR(__xludf.DUMMYFUNCTION("""COMPUTED_VALUE"""),58.46)</f>
        <v>58.46</v>
      </c>
      <c r="K2244" s="57">
        <f>IFERROR(__xludf.DUMMYFUNCTION("""COMPUTED_VALUE"""),45016.0)</f>
        <v>45016</v>
      </c>
      <c r="L2244" s="6" t="str">
        <f>IFERROR(__xludf.DUMMYFUNCTION("""COMPUTED_VALUE"""),"FIP Engineering")</f>
        <v>FIP Engineering</v>
      </c>
      <c r="M2244" s="6" t="str">
        <f>IFERROR(__xludf.DUMMYFUNCTION("""COMPUTED_VALUE"""),"Irwan Sopian")</f>
        <v>Irwan Sopian</v>
      </c>
      <c r="N2244" s="6" t="str">
        <f>IFERROR(__xludf.DUMMYFUNCTION("""COMPUTED_VALUE"""),"FIP Engineering")</f>
        <v>FIP Engineering</v>
      </c>
      <c r="O2244" s="6" t="str">
        <f>IFERROR(__xludf.DUMMYFUNCTION("""COMPUTED_VALUE"""),"FIP-DOM-000-11304-OS00001-INA-000000")</f>
        <v>FIP-DOM-000-11304-OS00001-INA-000000</v>
      </c>
      <c r="P2244" s="6" t="str">
        <f>IFERROR(__xludf.DUMMYFUNCTION("""COMPUTED_VALUE"""),"PO Closed")</f>
        <v>PO Closed</v>
      </c>
      <c r="Q2244" s="6" t="str">
        <f>IFERROR(__xludf.DUMMYFUNCTION("""COMPUTED_VALUE"""),"GL2302017")</f>
        <v>GL2302017</v>
      </c>
      <c r="R2244" s="57">
        <f>IFERROR(__xludf.DUMMYFUNCTION("""COMPUTED_VALUE"""),44944.0)</f>
        <v>44944</v>
      </c>
      <c r="S2244" s="57">
        <f>IFERROR(__xludf.DUMMYFUNCTION("""COMPUTED_VALUE"""),44946.0)</f>
        <v>44946</v>
      </c>
      <c r="T2244" s="57">
        <f>IFERROR(__xludf.DUMMYFUNCTION("""COMPUTED_VALUE"""),45169.0)</f>
        <v>45169</v>
      </c>
    </row>
    <row r="2245">
      <c r="A2245" s="6" t="str">
        <f>IFERROR(__xludf.DUMMYFUNCTION("""COMPUTED_VALUE"""),"231750053-15")</f>
        <v>231750053-15</v>
      </c>
      <c r="B2245" s="6" t="str">
        <f>IFERROR(__xludf.DUMMYFUNCTION("""COMPUTED_VALUE"""),"231750053 - Approved")</f>
        <v>231750053 - Approved</v>
      </c>
      <c r="C2245" s="6">
        <f>IFERROR(__xludf.DUMMYFUNCTION("""COMPUTED_VALUE"""),15.0)</f>
        <v>15</v>
      </c>
      <c r="D2245" s="6" t="str">
        <f>IFERROR(__xludf.DUMMYFUNCTION("""COMPUTED_VALUE"""),"O-18917-00")</f>
        <v>O-18917-00</v>
      </c>
      <c r="E2245" s="6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F2245" s="6">
        <f>IFERROR(__xludf.DUMMYFUNCTION("""COMPUTED_VALUE"""),2.0)</f>
        <v>2</v>
      </c>
      <c r="G2245" s="6" t="str">
        <f>IFERROR(__xludf.DUMMYFUNCTION("""COMPUTED_VALUE"""),"Pieces")</f>
        <v>Pieces</v>
      </c>
      <c r="H2245" s="6" t="str">
        <f>IFERROR(__xludf.DUMMYFUNCTION("""COMPUTED_VALUE"""),"USD")</f>
        <v>USD</v>
      </c>
      <c r="I2245" s="6">
        <f>IFERROR(__xludf.DUMMYFUNCTION("""COMPUTED_VALUE"""),433.73)</f>
        <v>433.73</v>
      </c>
      <c r="J2245" s="6">
        <f>IFERROR(__xludf.DUMMYFUNCTION("""COMPUTED_VALUE"""),867.46)</f>
        <v>867.46</v>
      </c>
      <c r="K2245" s="57">
        <f>IFERROR(__xludf.DUMMYFUNCTION("""COMPUTED_VALUE"""),45016.0)</f>
        <v>45016</v>
      </c>
      <c r="L2245" s="6" t="str">
        <f>IFERROR(__xludf.DUMMYFUNCTION("""COMPUTED_VALUE"""),"FIP Engineering")</f>
        <v>FIP Engineering</v>
      </c>
      <c r="M2245" s="6" t="str">
        <f>IFERROR(__xludf.DUMMYFUNCTION("""COMPUTED_VALUE"""),"Irwan Sopian")</f>
        <v>Irwan Sopian</v>
      </c>
      <c r="N2245" s="6" t="str">
        <f>IFERROR(__xludf.DUMMYFUNCTION("""COMPUTED_VALUE"""),"FIP Engineering")</f>
        <v>FIP Engineering</v>
      </c>
      <c r="O2245" s="6" t="str">
        <f>IFERROR(__xludf.DUMMYFUNCTION("""COMPUTED_VALUE"""),"FIP-DOM-000-11304-OS00001-INA-000000")</f>
        <v>FIP-DOM-000-11304-OS00001-INA-000000</v>
      </c>
      <c r="P2245" s="6" t="str">
        <f>IFERROR(__xludf.DUMMYFUNCTION("""COMPUTED_VALUE"""),"PO Closed")</f>
        <v>PO Closed</v>
      </c>
      <c r="Q2245" s="6" t="str">
        <f>IFERROR(__xludf.DUMMYFUNCTION("""COMPUTED_VALUE"""),"GL2302017")</f>
        <v>GL2302017</v>
      </c>
      <c r="R2245" s="57">
        <f>IFERROR(__xludf.DUMMYFUNCTION("""COMPUTED_VALUE"""),44944.0)</f>
        <v>44944</v>
      </c>
      <c r="S2245" s="57">
        <f>IFERROR(__xludf.DUMMYFUNCTION("""COMPUTED_VALUE"""),44946.0)</f>
        <v>44946</v>
      </c>
      <c r="T2245" s="57">
        <f>IFERROR(__xludf.DUMMYFUNCTION("""COMPUTED_VALUE"""),45169.0)</f>
        <v>45169</v>
      </c>
    </row>
    <row r="2246">
      <c r="A2246" s="6" t="str">
        <f>IFERROR(__xludf.DUMMYFUNCTION("""COMPUTED_VALUE"""),"231750053-16")</f>
        <v>231750053-16</v>
      </c>
      <c r="B2246" s="6" t="str">
        <f>IFERROR(__xludf.DUMMYFUNCTION("""COMPUTED_VALUE"""),"231750053 - Approved")</f>
        <v>231750053 - Approved</v>
      </c>
      <c r="C2246" s="6">
        <f>IFERROR(__xludf.DUMMYFUNCTION("""COMPUTED_VALUE"""),16.0)</f>
        <v>16</v>
      </c>
      <c r="D2246" s="6" t="str">
        <f>IFERROR(__xludf.DUMMYFUNCTION("""COMPUTED_VALUE"""),"O-52841-00")</f>
        <v>O-52841-00</v>
      </c>
      <c r="E2246" s="6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F2246" s="6">
        <f>IFERROR(__xludf.DUMMYFUNCTION("""COMPUTED_VALUE"""),2.0)</f>
        <v>2</v>
      </c>
      <c r="G2246" s="6" t="str">
        <f>IFERROR(__xludf.DUMMYFUNCTION("""COMPUTED_VALUE"""),"Pieces")</f>
        <v>Pieces</v>
      </c>
      <c r="H2246" s="6" t="str">
        <f>IFERROR(__xludf.DUMMYFUNCTION("""COMPUTED_VALUE"""),"USD")</f>
        <v>USD</v>
      </c>
      <c r="I2246" s="6">
        <f>IFERROR(__xludf.DUMMYFUNCTION("""COMPUTED_VALUE"""),85.48)</f>
        <v>85.48</v>
      </c>
      <c r="J2246" s="6">
        <f>IFERROR(__xludf.DUMMYFUNCTION("""COMPUTED_VALUE"""),170.96)</f>
        <v>170.96</v>
      </c>
      <c r="K2246" s="57">
        <f>IFERROR(__xludf.DUMMYFUNCTION("""COMPUTED_VALUE"""),45016.0)</f>
        <v>45016</v>
      </c>
      <c r="L2246" s="6" t="str">
        <f>IFERROR(__xludf.DUMMYFUNCTION("""COMPUTED_VALUE"""),"FIP Engineering")</f>
        <v>FIP Engineering</v>
      </c>
      <c r="M2246" s="6" t="str">
        <f>IFERROR(__xludf.DUMMYFUNCTION("""COMPUTED_VALUE"""),"Irwan Sopian")</f>
        <v>Irwan Sopian</v>
      </c>
      <c r="N2246" s="6" t="str">
        <f>IFERROR(__xludf.DUMMYFUNCTION("""COMPUTED_VALUE"""),"FIP Engineering")</f>
        <v>FIP Engineering</v>
      </c>
      <c r="O2246" s="6" t="str">
        <f>IFERROR(__xludf.DUMMYFUNCTION("""COMPUTED_VALUE"""),"FIP-DOM-000-11304-OS00001-INA-000000")</f>
        <v>FIP-DOM-000-11304-OS00001-INA-000000</v>
      </c>
      <c r="P2246" s="6" t="str">
        <f>IFERROR(__xludf.DUMMYFUNCTION("""COMPUTED_VALUE"""),"PO Closed")</f>
        <v>PO Closed</v>
      </c>
      <c r="Q2246" s="6" t="str">
        <f>IFERROR(__xludf.DUMMYFUNCTION("""COMPUTED_VALUE"""),"GL2302017")</f>
        <v>GL2302017</v>
      </c>
      <c r="R2246" s="57">
        <f>IFERROR(__xludf.DUMMYFUNCTION("""COMPUTED_VALUE"""),44944.0)</f>
        <v>44944</v>
      </c>
      <c r="S2246" s="57">
        <f>IFERROR(__xludf.DUMMYFUNCTION("""COMPUTED_VALUE"""),44946.0)</f>
        <v>44946</v>
      </c>
      <c r="T2246" s="57">
        <f>IFERROR(__xludf.DUMMYFUNCTION("""COMPUTED_VALUE"""),45169.0)</f>
        <v>45169</v>
      </c>
    </row>
    <row r="2247">
      <c r="A2247" s="6" t="str">
        <f>IFERROR(__xludf.DUMMYFUNCTION("""COMPUTED_VALUE"""),"231750053-17")</f>
        <v>231750053-17</v>
      </c>
      <c r="B2247" s="6" t="str">
        <f>IFERROR(__xludf.DUMMYFUNCTION("""COMPUTED_VALUE"""),"231750053 - Approved")</f>
        <v>231750053 - Approved</v>
      </c>
      <c r="C2247" s="6">
        <f>IFERROR(__xludf.DUMMYFUNCTION("""COMPUTED_VALUE"""),17.0)</f>
        <v>17</v>
      </c>
      <c r="D2247" s="6" t="str">
        <f>IFERROR(__xludf.DUMMYFUNCTION("""COMPUTED_VALUE"""),"O-52845-00")</f>
        <v>O-52845-00</v>
      </c>
      <c r="E2247" s="6" t="str">
        <f>IFERROR(__xludf.DUMMYFUNCTION("""COMPUTED_VALUE"""),"Freeze Dryer MBE1207 - SV169 Coil MKC-1 AC220V P/n: EB15-00507; MYCOM; ;")</f>
        <v>Freeze Dryer MBE1207 - SV169 Coil MKC-1 AC220V P/n: EB15-00507; MYCOM; ;</v>
      </c>
      <c r="F2247" s="6">
        <f>IFERROR(__xludf.DUMMYFUNCTION("""COMPUTED_VALUE"""),1.0)</f>
        <v>1</v>
      </c>
      <c r="G2247" s="6" t="str">
        <f>IFERROR(__xludf.DUMMYFUNCTION("""COMPUTED_VALUE"""),"Pieces")</f>
        <v>Pieces</v>
      </c>
      <c r="H2247" s="6" t="str">
        <f>IFERROR(__xludf.DUMMYFUNCTION("""COMPUTED_VALUE"""),"USD")</f>
        <v>USD</v>
      </c>
      <c r="I2247" s="6">
        <f>IFERROR(__xludf.DUMMYFUNCTION("""COMPUTED_VALUE"""),41.73)</f>
        <v>41.73</v>
      </c>
      <c r="J2247" s="6">
        <f>IFERROR(__xludf.DUMMYFUNCTION("""COMPUTED_VALUE"""),41.73)</f>
        <v>41.73</v>
      </c>
      <c r="K2247" s="57">
        <f>IFERROR(__xludf.DUMMYFUNCTION("""COMPUTED_VALUE"""),45016.0)</f>
        <v>45016</v>
      </c>
      <c r="L2247" s="6" t="str">
        <f>IFERROR(__xludf.DUMMYFUNCTION("""COMPUTED_VALUE"""),"FIP Engineering")</f>
        <v>FIP Engineering</v>
      </c>
      <c r="M2247" s="6" t="str">
        <f>IFERROR(__xludf.DUMMYFUNCTION("""COMPUTED_VALUE"""),"Irwan Sopian")</f>
        <v>Irwan Sopian</v>
      </c>
      <c r="N2247" s="6" t="str">
        <f>IFERROR(__xludf.DUMMYFUNCTION("""COMPUTED_VALUE"""),"FIP Engineering")</f>
        <v>FIP Engineering</v>
      </c>
      <c r="O2247" s="6" t="str">
        <f>IFERROR(__xludf.DUMMYFUNCTION("""COMPUTED_VALUE"""),"FIP-DOM-000-11304-OS00001-INA-000000")</f>
        <v>FIP-DOM-000-11304-OS00001-INA-000000</v>
      </c>
      <c r="P2247" s="6" t="str">
        <f>IFERROR(__xludf.DUMMYFUNCTION("""COMPUTED_VALUE"""),"PO Closed")</f>
        <v>PO Closed</v>
      </c>
      <c r="Q2247" s="6" t="str">
        <f>IFERROR(__xludf.DUMMYFUNCTION("""COMPUTED_VALUE"""),"GL2302017")</f>
        <v>GL2302017</v>
      </c>
      <c r="R2247" s="57">
        <f>IFERROR(__xludf.DUMMYFUNCTION("""COMPUTED_VALUE"""),44944.0)</f>
        <v>44944</v>
      </c>
      <c r="S2247" s="57">
        <f>IFERROR(__xludf.DUMMYFUNCTION("""COMPUTED_VALUE"""),44946.0)</f>
        <v>44946</v>
      </c>
      <c r="T2247" s="57">
        <f>IFERROR(__xludf.DUMMYFUNCTION("""COMPUTED_VALUE"""),45169.0)</f>
        <v>45169</v>
      </c>
    </row>
    <row r="2248">
      <c r="A2248" s="6" t="str">
        <f>IFERROR(__xludf.DUMMYFUNCTION("""COMPUTED_VALUE"""),"231750053-18")</f>
        <v>231750053-18</v>
      </c>
      <c r="B2248" s="6" t="str">
        <f>IFERROR(__xludf.DUMMYFUNCTION("""COMPUTED_VALUE"""),"231750053 - Approved")</f>
        <v>231750053 - Approved</v>
      </c>
      <c r="C2248" s="6">
        <f>IFERROR(__xludf.DUMMYFUNCTION("""COMPUTED_VALUE"""),18.0)</f>
        <v>18</v>
      </c>
      <c r="D2248" s="6" t="str">
        <f>IFERROR(__xludf.DUMMYFUNCTION("""COMPUTED_VALUE"""),"O-18918-00")</f>
        <v>O-18918-00</v>
      </c>
      <c r="E2248" s="6" t="str">
        <f>IFERROR(__xludf.DUMMYFUNCTION("""COMPUTED_VALUE"""),"Freeze Dryer MBE1207 - Oil Cooling Heat Exchanger B25THx20/1P-SC-S; SWEP; ;")</f>
        <v>Freeze Dryer MBE1207 - Oil Cooling Heat Exchanger B25THx20/1P-SC-S; SWEP; ;</v>
      </c>
      <c r="F2248" s="6">
        <f>IFERROR(__xludf.DUMMYFUNCTION("""COMPUTED_VALUE"""),2.0)</f>
        <v>2</v>
      </c>
      <c r="G2248" s="6" t="str">
        <f>IFERROR(__xludf.DUMMYFUNCTION("""COMPUTED_VALUE"""),"Unit")</f>
        <v>Unit</v>
      </c>
      <c r="H2248" s="6" t="str">
        <f>IFERROR(__xludf.DUMMYFUNCTION("""COMPUTED_VALUE"""),"USD")</f>
        <v>USD</v>
      </c>
      <c r="I2248" s="6">
        <f>IFERROR(__xludf.DUMMYFUNCTION("""COMPUTED_VALUE"""),403.18)</f>
        <v>403.18</v>
      </c>
      <c r="J2248" s="6">
        <f>IFERROR(__xludf.DUMMYFUNCTION("""COMPUTED_VALUE"""),806.36)</f>
        <v>806.36</v>
      </c>
      <c r="K2248" s="57">
        <f>IFERROR(__xludf.DUMMYFUNCTION("""COMPUTED_VALUE"""),45016.0)</f>
        <v>45016</v>
      </c>
      <c r="L2248" s="6" t="str">
        <f>IFERROR(__xludf.DUMMYFUNCTION("""COMPUTED_VALUE"""),"FIP Engineering")</f>
        <v>FIP Engineering</v>
      </c>
      <c r="M2248" s="6" t="str">
        <f>IFERROR(__xludf.DUMMYFUNCTION("""COMPUTED_VALUE"""),"Irwan Sopian")</f>
        <v>Irwan Sopian</v>
      </c>
      <c r="N2248" s="6" t="str">
        <f>IFERROR(__xludf.DUMMYFUNCTION("""COMPUTED_VALUE"""),"FIP Engineering")</f>
        <v>FIP Engineering</v>
      </c>
      <c r="O2248" s="6" t="str">
        <f>IFERROR(__xludf.DUMMYFUNCTION("""COMPUTED_VALUE"""),"FIP-DOM-000-11304-OS00001-INA-000000")</f>
        <v>FIP-DOM-000-11304-OS00001-INA-000000</v>
      </c>
      <c r="P2248" s="6" t="str">
        <f>IFERROR(__xludf.DUMMYFUNCTION("""COMPUTED_VALUE"""),"PO Closed")</f>
        <v>PO Closed</v>
      </c>
      <c r="Q2248" s="6" t="str">
        <f>IFERROR(__xludf.DUMMYFUNCTION("""COMPUTED_VALUE"""),"GL2302017")</f>
        <v>GL2302017</v>
      </c>
      <c r="R2248" s="57">
        <f>IFERROR(__xludf.DUMMYFUNCTION("""COMPUTED_VALUE"""),44944.0)</f>
        <v>44944</v>
      </c>
      <c r="S2248" s="57">
        <f>IFERROR(__xludf.DUMMYFUNCTION("""COMPUTED_VALUE"""),44946.0)</f>
        <v>44946</v>
      </c>
      <c r="T2248" s="57">
        <f>IFERROR(__xludf.DUMMYFUNCTION("""COMPUTED_VALUE"""),45169.0)</f>
        <v>45169</v>
      </c>
    </row>
    <row r="2249">
      <c r="A2249" s="6" t="str">
        <f>IFERROR(__xludf.DUMMYFUNCTION("""COMPUTED_VALUE"""),"231750067-1")</f>
        <v>231750067-1</v>
      </c>
      <c r="B2249" s="6" t="str">
        <f>IFERROR(__xludf.DUMMYFUNCTION("""COMPUTED_VALUE"""),"231750067 - Approved")</f>
        <v>231750067 - Approved</v>
      </c>
      <c r="C2249" s="6">
        <f>IFERROR(__xludf.DUMMYFUNCTION("""COMPUTED_VALUE"""),1.0)</f>
        <v>1</v>
      </c>
      <c r="D2249" s="6" t="str">
        <f>IFERROR(__xludf.DUMMYFUNCTION("""COMPUTED_VALUE"""),"O-51698-00")</f>
        <v>O-51698-00</v>
      </c>
      <c r="E2249" s="6" t="str">
        <f>IFERROR(__xludf.DUMMYFUNCTION("""COMPUTED_VALUE"""),"OMRON - Relay MY4Z 24VDC; ; ;")</f>
        <v>OMRON - Relay MY4Z 24VDC; ; ;</v>
      </c>
      <c r="F2249" s="6">
        <f>IFERROR(__xludf.DUMMYFUNCTION("""COMPUTED_VALUE"""),6.0)</f>
        <v>6</v>
      </c>
      <c r="G2249" s="6" t="str">
        <f>IFERROR(__xludf.DUMMYFUNCTION("""COMPUTED_VALUE"""),"Pieces")</f>
        <v>Pieces</v>
      </c>
      <c r="H2249" s="6" t="str">
        <f>IFERROR(__xludf.DUMMYFUNCTION("""COMPUTED_VALUE"""),"IDR")</f>
        <v>IDR</v>
      </c>
      <c r="I2249" s="11">
        <f>IFERROR(__xludf.DUMMYFUNCTION("""COMPUTED_VALUE"""),128500.0)</f>
        <v>128500</v>
      </c>
      <c r="J2249" s="11">
        <f>IFERROR(__xludf.DUMMYFUNCTION("""COMPUTED_VALUE"""),771000.0)</f>
        <v>771000</v>
      </c>
      <c r="K2249" s="57">
        <f>IFERROR(__xludf.DUMMYFUNCTION("""COMPUTED_VALUE"""),44985.0)</f>
        <v>44985</v>
      </c>
      <c r="L2249" s="6" t="str">
        <f>IFERROR(__xludf.DUMMYFUNCTION("""COMPUTED_VALUE"""),"FIP Engineering")</f>
        <v>FIP Engineering</v>
      </c>
      <c r="M2249" s="6" t="str">
        <f>IFERROR(__xludf.DUMMYFUNCTION("""COMPUTED_VALUE"""),"Irwan Sopian")</f>
        <v>Irwan Sopian</v>
      </c>
      <c r="N2249" s="6" t="str">
        <f>IFERROR(__xludf.DUMMYFUNCTION("""COMPUTED_VALUE"""),"FIP Engineering")</f>
        <v>FIP Engineering</v>
      </c>
      <c r="O2249" s="6" t="str">
        <f>IFERROR(__xludf.DUMMYFUNCTION("""COMPUTED_VALUE"""),"FIP-DOM-000-11304-OS00001-INA-000000")</f>
        <v>FIP-DOM-000-11304-OS00001-INA-000000</v>
      </c>
      <c r="P2249" s="6" t="str">
        <f>IFERROR(__xludf.DUMMYFUNCTION("""COMPUTED_VALUE"""),"PO Closed")</f>
        <v>PO Closed</v>
      </c>
      <c r="Q2249" s="6" t="str">
        <f>IFERROR(__xludf.DUMMYFUNCTION("""COMPUTED_VALUE"""),"GL2302062")</f>
        <v>GL2302062</v>
      </c>
      <c r="R2249" s="57">
        <f>IFERROR(__xludf.DUMMYFUNCTION("""COMPUTED_VALUE"""),44946.0)</f>
        <v>44946</v>
      </c>
      <c r="S2249" s="57">
        <f>IFERROR(__xludf.DUMMYFUNCTION("""COMPUTED_VALUE"""),44950.0)</f>
        <v>44950</v>
      </c>
      <c r="T2249" s="57">
        <f>IFERROR(__xludf.DUMMYFUNCTION("""COMPUTED_VALUE"""),45046.0)</f>
        <v>45046</v>
      </c>
    </row>
    <row r="2250">
      <c r="A2250" s="6" t="str">
        <f>IFERROR(__xludf.DUMMYFUNCTION("""COMPUTED_VALUE"""),"231750068-1")</f>
        <v>231750068-1</v>
      </c>
      <c r="B2250" s="6" t="str">
        <f>IFERROR(__xludf.DUMMYFUNCTION("""COMPUTED_VALUE"""),"231750068 - Approved")</f>
        <v>231750068 - Approved</v>
      </c>
      <c r="C2250" s="6">
        <f>IFERROR(__xludf.DUMMYFUNCTION("""COMPUTED_VALUE"""),1.0)</f>
        <v>1</v>
      </c>
      <c r="D2250" s="6" t="str">
        <f>IFERROR(__xludf.DUMMYFUNCTION("""COMPUTED_VALUE"""),"Q-11000-00")</f>
        <v>Q-11000-00</v>
      </c>
      <c r="E2250" s="6" t="str">
        <f>IFERROR(__xludf.DUMMYFUNCTION("""COMPUTED_VALUE"""),"Jasa Perbaikan Gedung; ; ; - Untuk pekerjaan repair temua gempa Lt 3 (Ruang Goodman,Micro,QA)")</f>
        <v>Jasa Perbaikan Gedung; ; ; - Untuk pekerjaan repair temua gempa Lt 3 (Ruang Goodman,Micro,QA)</v>
      </c>
      <c r="F2250" s="6">
        <f>IFERROR(__xludf.DUMMYFUNCTION("""COMPUTED_VALUE"""),1.0)</f>
        <v>1</v>
      </c>
      <c r="G2250" s="6" t="str">
        <f>IFERROR(__xludf.DUMMYFUNCTION("""COMPUTED_VALUE"""),"Lot")</f>
        <v>Lot</v>
      </c>
      <c r="H2250" s="6" t="str">
        <f>IFERROR(__xludf.DUMMYFUNCTION("""COMPUTED_VALUE"""),"IDR")</f>
        <v>IDR</v>
      </c>
      <c r="I2250" s="11">
        <f>IFERROR(__xludf.DUMMYFUNCTION("""COMPUTED_VALUE"""),1350000.0)</f>
        <v>1350000</v>
      </c>
      <c r="J2250" s="11">
        <f>IFERROR(__xludf.DUMMYFUNCTION("""COMPUTED_VALUE"""),1350000.0)</f>
        <v>1350000</v>
      </c>
      <c r="K2250" s="57">
        <f>IFERROR(__xludf.DUMMYFUNCTION("""COMPUTED_VALUE"""),44971.0)</f>
        <v>44971</v>
      </c>
      <c r="L2250" s="6" t="str">
        <f>IFERROR(__xludf.DUMMYFUNCTION("""COMPUTED_VALUE"""),"FIP General")</f>
        <v>FIP General</v>
      </c>
      <c r="M2250" s="6" t="str">
        <f>IFERROR(__xludf.DUMMYFUNCTION("""COMPUTED_VALUE"""),"Irwan Sopian")</f>
        <v>Irwan Sopian</v>
      </c>
      <c r="N2250" s="6" t="str">
        <f>IFERROR(__xludf.DUMMYFUNCTION("""COMPUTED_VALUE"""),"FIP Engineering")</f>
        <v>FIP Engineering</v>
      </c>
      <c r="O2250" s="6" t="str">
        <f>IFERROR(__xludf.DUMMYFUNCTION("""COMPUTED_VALUE"""),"FIP-DOM-ENG-51502-0000000-INA-000000")</f>
        <v>FIP-DOM-ENG-51502-0000000-INA-000000</v>
      </c>
      <c r="P2250" s="6" t="str">
        <f>IFERROR(__xludf.DUMMYFUNCTION("""COMPUTED_VALUE"""),"PO Closed")</f>
        <v>PO Closed</v>
      </c>
      <c r="Q2250" s="6" t="str">
        <f>IFERROR(__xludf.DUMMYFUNCTION("""COMPUTED_VALUE"""),"GL2302051")</f>
        <v>GL2302051</v>
      </c>
      <c r="R2250" s="57">
        <f>IFERROR(__xludf.DUMMYFUNCTION("""COMPUTED_VALUE"""),44946.0)</f>
        <v>44946</v>
      </c>
      <c r="S2250" s="57">
        <f>IFERROR(__xludf.DUMMYFUNCTION("""COMPUTED_VALUE"""),44964.0)</f>
        <v>44964</v>
      </c>
      <c r="T2250" s="57">
        <f>IFERROR(__xludf.DUMMYFUNCTION("""COMPUTED_VALUE"""),44987.0)</f>
        <v>44987</v>
      </c>
    </row>
    <row r="2251">
      <c r="A2251" s="6" t="str">
        <f>IFERROR(__xludf.DUMMYFUNCTION("""COMPUTED_VALUE"""),"231750068-2")</f>
        <v>231750068-2</v>
      </c>
      <c r="B2251" s="6" t="str">
        <f>IFERROR(__xludf.DUMMYFUNCTION("""COMPUTED_VALUE"""),"231750068 - Approved")</f>
        <v>231750068 - Approved</v>
      </c>
      <c r="C2251" s="6">
        <f>IFERROR(__xludf.DUMMYFUNCTION("""COMPUTED_VALUE"""),2.0)</f>
        <v>2</v>
      </c>
      <c r="D2251" s="6" t="str">
        <f>IFERROR(__xludf.DUMMYFUNCTION("""COMPUTED_VALUE"""),"Q-11000-00")</f>
        <v>Q-11000-00</v>
      </c>
      <c r="E2251" s="6" t="str">
        <f>IFERROR(__xludf.DUMMYFUNCTION("""COMPUTED_VALUE"""),"Jasa Perbaikan Gedung; ; ; - Perbaikan Temuan Gempa LT 2 ( AHU, Water system dan Office ENG area)")</f>
        <v>Jasa Perbaikan Gedung; ; ; - Perbaikan Temuan Gempa LT 2 ( AHU, Water system dan Office ENG area)</v>
      </c>
      <c r="F2251" s="6">
        <f>IFERROR(__xludf.DUMMYFUNCTION("""COMPUTED_VALUE"""),1.0)</f>
        <v>1</v>
      </c>
      <c r="G2251" s="6" t="str">
        <f>IFERROR(__xludf.DUMMYFUNCTION("""COMPUTED_VALUE"""),"Lot")</f>
        <v>Lot</v>
      </c>
      <c r="H2251" s="6" t="str">
        <f>IFERROR(__xludf.DUMMYFUNCTION("""COMPUTED_VALUE"""),"IDR")</f>
        <v>IDR</v>
      </c>
      <c r="I2251" s="11">
        <f>IFERROR(__xludf.DUMMYFUNCTION("""COMPUTED_VALUE"""),900000.0)</f>
        <v>900000</v>
      </c>
      <c r="J2251" s="11">
        <f>IFERROR(__xludf.DUMMYFUNCTION("""COMPUTED_VALUE"""),900000.0)</f>
        <v>900000</v>
      </c>
      <c r="K2251" s="57">
        <f>IFERROR(__xludf.DUMMYFUNCTION("""COMPUTED_VALUE"""),44971.0)</f>
        <v>44971</v>
      </c>
      <c r="L2251" s="6" t="str">
        <f>IFERROR(__xludf.DUMMYFUNCTION("""COMPUTED_VALUE"""),"FIP General")</f>
        <v>FIP General</v>
      </c>
      <c r="M2251" s="6" t="str">
        <f>IFERROR(__xludf.DUMMYFUNCTION("""COMPUTED_VALUE"""),"Irwan Sopian")</f>
        <v>Irwan Sopian</v>
      </c>
      <c r="N2251" s="6" t="str">
        <f>IFERROR(__xludf.DUMMYFUNCTION("""COMPUTED_VALUE"""),"FIP Engineering")</f>
        <v>FIP Engineering</v>
      </c>
      <c r="O2251" s="6" t="str">
        <f>IFERROR(__xludf.DUMMYFUNCTION("""COMPUTED_VALUE"""),"FIP-DOM-ENG-51502-0000000-INA-000000")</f>
        <v>FIP-DOM-ENG-51502-0000000-INA-000000</v>
      </c>
      <c r="P2251" s="6" t="str">
        <f>IFERROR(__xludf.DUMMYFUNCTION("""COMPUTED_VALUE"""),"PO Closed")</f>
        <v>PO Closed</v>
      </c>
      <c r="Q2251" s="6" t="str">
        <f>IFERROR(__xludf.DUMMYFUNCTION("""COMPUTED_VALUE"""),"GL2302051")</f>
        <v>GL2302051</v>
      </c>
      <c r="R2251" s="57">
        <f>IFERROR(__xludf.DUMMYFUNCTION("""COMPUTED_VALUE"""),44946.0)</f>
        <v>44946</v>
      </c>
      <c r="S2251" s="57">
        <f>IFERROR(__xludf.DUMMYFUNCTION("""COMPUTED_VALUE"""),44964.0)</f>
        <v>44964</v>
      </c>
      <c r="T2251" s="57">
        <f>IFERROR(__xludf.DUMMYFUNCTION("""COMPUTED_VALUE"""),44987.0)</f>
        <v>44987</v>
      </c>
    </row>
    <row r="2252">
      <c r="A2252" s="6" t="str">
        <f>IFERROR(__xludf.DUMMYFUNCTION("""COMPUTED_VALUE"""),"231750068-3")</f>
        <v>231750068-3</v>
      </c>
      <c r="B2252" s="6" t="str">
        <f>IFERROR(__xludf.DUMMYFUNCTION("""COMPUTED_VALUE"""),"231750068 - Approved")</f>
        <v>231750068 - Approved</v>
      </c>
      <c r="C2252" s="6">
        <f>IFERROR(__xludf.DUMMYFUNCTION("""COMPUTED_VALUE"""),3.0)</f>
        <v>3</v>
      </c>
      <c r="D2252" s="6" t="str">
        <f>IFERROR(__xludf.DUMMYFUNCTION("""COMPUTED_VALUE"""),"Q-11000-00")</f>
        <v>Q-11000-00</v>
      </c>
      <c r="E2252" s="6" t="str">
        <f>IFERROR(__xludf.DUMMYFUNCTION("""COMPUTED_VALUE"""),"Jasa Perbaikan Gedung; ; ; - Perbaikan Temuan Gempa Lt 1 Area Produksi (Loundry, Korridor, Staging, eashing dan Control room)")</f>
        <v>Jasa Perbaikan Gedung; ; ; - Perbaikan Temuan Gempa Lt 1 Area Produksi (Loundry, Korridor, Staging, eashing dan Control room)</v>
      </c>
      <c r="F2252" s="6">
        <f>IFERROR(__xludf.DUMMYFUNCTION("""COMPUTED_VALUE"""),1.0)</f>
        <v>1</v>
      </c>
      <c r="G2252" s="6" t="str">
        <f>IFERROR(__xludf.DUMMYFUNCTION("""COMPUTED_VALUE"""),"Lot")</f>
        <v>Lot</v>
      </c>
      <c r="H2252" s="6" t="str">
        <f>IFERROR(__xludf.DUMMYFUNCTION("""COMPUTED_VALUE"""),"IDR")</f>
        <v>IDR</v>
      </c>
      <c r="I2252" s="11">
        <f>IFERROR(__xludf.DUMMYFUNCTION("""COMPUTED_VALUE"""),2025000.0)</f>
        <v>2025000</v>
      </c>
      <c r="J2252" s="11">
        <f>IFERROR(__xludf.DUMMYFUNCTION("""COMPUTED_VALUE"""),2025000.0)</f>
        <v>2025000</v>
      </c>
      <c r="K2252" s="57">
        <f>IFERROR(__xludf.DUMMYFUNCTION("""COMPUTED_VALUE"""),44971.0)</f>
        <v>44971</v>
      </c>
      <c r="L2252" s="6" t="str">
        <f>IFERROR(__xludf.DUMMYFUNCTION("""COMPUTED_VALUE"""),"FIP General")</f>
        <v>FIP General</v>
      </c>
      <c r="M2252" s="6" t="str">
        <f>IFERROR(__xludf.DUMMYFUNCTION("""COMPUTED_VALUE"""),"Irwan Sopian")</f>
        <v>Irwan Sopian</v>
      </c>
      <c r="N2252" s="6" t="str">
        <f>IFERROR(__xludf.DUMMYFUNCTION("""COMPUTED_VALUE"""),"FIP Engineering")</f>
        <v>FIP Engineering</v>
      </c>
      <c r="O2252" s="6" t="str">
        <f>IFERROR(__xludf.DUMMYFUNCTION("""COMPUTED_VALUE"""),"FIP-DOM-ENG-51502-0000000-INA-000000")</f>
        <v>FIP-DOM-ENG-51502-0000000-INA-000000</v>
      </c>
      <c r="P2252" s="6" t="str">
        <f>IFERROR(__xludf.DUMMYFUNCTION("""COMPUTED_VALUE"""),"PO Closed")</f>
        <v>PO Closed</v>
      </c>
      <c r="Q2252" s="6" t="str">
        <f>IFERROR(__xludf.DUMMYFUNCTION("""COMPUTED_VALUE"""),"GL2302051")</f>
        <v>GL2302051</v>
      </c>
      <c r="R2252" s="57">
        <f>IFERROR(__xludf.DUMMYFUNCTION("""COMPUTED_VALUE"""),44946.0)</f>
        <v>44946</v>
      </c>
      <c r="S2252" s="57">
        <f>IFERROR(__xludf.DUMMYFUNCTION("""COMPUTED_VALUE"""),44964.0)</f>
        <v>44964</v>
      </c>
      <c r="T2252" s="57">
        <f>IFERROR(__xludf.DUMMYFUNCTION("""COMPUTED_VALUE"""),44987.0)</f>
        <v>44987</v>
      </c>
    </row>
    <row r="2253">
      <c r="A2253" s="6" t="str">
        <f>IFERROR(__xludf.DUMMYFUNCTION("""COMPUTED_VALUE"""),"231750068-4")</f>
        <v>231750068-4</v>
      </c>
      <c r="B2253" s="6" t="str">
        <f>IFERROR(__xludf.DUMMYFUNCTION("""COMPUTED_VALUE"""),"231750068 - Approved")</f>
        <v>231750068 - Approved</v>
      </c>
      <c r="C2253" s="6">
        <f>IFERROR(__xludf.DUMMYFUNCTION("""COMPUTED_VALUE"""),4.0)</f>
        <v>4</v>
      </c>
      <c r="D2253" s="6" t="str">
        <f>IFERROR(__xludf.DUMMYFUNCTION("""COMPUTED_VALUE"""),"Q-11000-00")</f>
        <v>Q-11000-00</v>
      </c>
      <c r="E2253" s="6" t="str">
        <f>IFERROR(__xludf.DUMMYFUNCTION("""COMPUTED_VALUE"""),"Jasa Perbaikan Gedung; ; ; - Untuk Repair mesh nyamuk Lt4 &amp; Closing EJO Building")</f>
        <v>Jasa Perbaikan Gedung; ; ; - Untuk Repair mesh nyamuk Lt4 &amp; Closing EJO Building</v>
      </c>
      <c r="F2253" s="6">
        <f>IFERROR(__xludf.DUMMYFUNCTION("""COMPUTED_VALUE"""),1.0)</f>
        <v>1</v>
      </c>
      <c r="G2253" s="6" t="str">
        <f>IFERROR(__xludf.DUMMYFUNCTION("""COMPUTED_VALUE"""),"Lot")</f>
        <v>Lot</v>
      </c>
      <c r="H2253" s="6" t="str">
        <f>IFERROR(__xludf.DUMMYFUNCTION("""COMPUTED_VALUE"""),"IDR")</f>
        <v>IDR</v>
      </c>
      <c r="I2253" s="11">
        <f>IFERROR(__xludf.DUMMYFUNCTION("""COMPUTED_VALUE"""),675000.0)</f>
        <v>675000</v>
      </c>
      <c r="J2253" s="11">
        <f>IFERROR(__xludf.DUMMYFUNCTION("""COMPUTED_VALUE"""),675000.0)</f>
        <v>675000</v>
      </c>
      <c r="K2253" s="57">
        <f>IFERROR(__xludf.DUMMYFUNCTION("""COMPUTED_VALUE"""),44971.0)</f>
        <v>44971</v>
      </c>
      <c r="L2253" s="6" t="str">
        <f>IFERROR(__xludf.DUMMYFUNCTION("""COMPUTED_VALUE"""),"FIP General")</f>
        <v>FIP General</v>
      </c>
      <c r="M2253" s="6" t="str">
        <f>IFERROR(__xludf.DUMMYFUNCTION("""COMPUTED_VALUE"""),"Irwan Sopian")</f>
        <v>Irwan Sopian</v>
      </c>
      <c r="N2253" s="6" t="str">
        <f>IFERROR(__xludf.DUMMYFUNCTION("""COMPUTED_VALUE"""),"FIP Engineering")</f>
        <v>FIP Engineering</v>
      </c>
      <c r="O2253" s="6" t="str">
        <f>IFERROR(__xludf.DUMMYFUNCTION("""COMPUTED_VALUE"""),"FIP-DOM-ENG-51502-0000000-INA-000000")</f>
        <v>FIP-DOM-ENG-51502-0000000-INA-000000</v>
      </c>
      <c r="P2253" s="6" t="str">
        <f>IFERROR(__xludf.DUMMYFUNCTION("""COMPUTED_VALUE"""),"PO Closed")</f>
        <v>PO Closed</v>
      </c>
      <c r="Q2253" s="6" t="str">
        <f>IFERROR(__xludf.DUMMYFUNCTION("""COMPUTED_VALUE"""),"GL2302051")</f>
        <v>GL2302051</v>
      </c>
      <c r="R2253" s="57">
        <f>IFERROR(__xludf.DUMMYFUNCTION("""COMPUTED_VALUE"""),44946.0)</f>
        <v>44946</v>
      </c>
      <c r="S2253" s="57">
        <f>IFERROR(__xludf.DUMMYFUNCTION("""COMPUTED_VALUE"""),44964.0)</f>
        <v>44964</v>
      </c>
      <c r="T2253" s="57">
        <f>IFERROR(__xludf.DUMMYFUNCTION("""COMPUTED_VALUE"""),44987.0)</f>
        <v>44987</v>
      </c>
    </row>
    <row r="2254">
      <c r="A2254" s="6" t="str">
        <f>IFERROR(__xludf.DUMMYFUNCTION("""COMPUTED_VALUE"""),"231750068-5")</f>
        <v>231750068-5</v>
      </c>
      <c r="B2254" s="6" t="str">
        <f>IFERROR(__xludf.DUMMYFUNCTION("""COMPUTED_VALUE"""),"231750068 - Approved")</f>
        <v>231750068 - Approved</v>
      </c>
      <c r="C2254" s="6">
        <f>IFERROR(__xludf.DUMMYFUNCTION("""COMPUTED_VALUE"""),5.0)</f>
        <v>5</v>
      </c>
      <c r="D2254" s="6" t="str">
        <f>IFERROR(__xludf.DUMMYFUNCTION("""COMPUTED_VALUE"""),"Q-11000-00")</f>
        <v>Q-11000-00</v>
      </c>
      <c r="E2254" s="6" t="str">
        <f>IFERROR(__xludf.DUMMYFUNCTION("""COMPUTED_VALUE"""),"Jasa Perbaikan Gedung; ; ; - Untuk Repair Mesh Nyamuk dan Ganti Sealing Cerebong")</f>
        <v>Jasa Perbaikan Gedung; ; ; - Untuk Repair Mesh Nyamuk dan Ganti Sealing Cerebong</v>
      </c>
      <c r="F2254" s="6">
        <f>IFERROR(__xludf.DUMMYFUNCTION("""COMPUTED_VALUE"""),1.0)</f>
        <v>1</v>
      </c>
      <c r="G2254" s="6" t="str">
        <f>IFERROR(__xludf.DUMMYFUNCTION("""COMPUTED_VALUE"""),"Lot")</f>
        <v>Lot</v>
      </c>
      <c r="H2254" s="6" t="str">
        <f>IFERROR(__xludf.DUMMYFUNCTION("""COMPUTED_VALUE"""),"IDR")</f>
        <v>IDR</v>
      </c>
      <c r="I2254" s="11">
        <f>IFERROR(__xludf.DUMMYFUNCTION("""COMPUTED_VALUE"""),900000.0)</f>
        <v>900000</v>
      </c>
      <c r="J2254" s="11">
        <f>IFERROR(__xludf.DUMMYFUNCTION("""COMPUTED_VALUE"""),900000.0)</f>
        <v>900000</v>
      </c>
      <c r="K2254" s="57">
        <f>IFERROR(__xludf.DUMMYFUNCTION("""COMPUTED_VALUE"""),44971.0)</f>
        <v>44971</v>
      </c>
      <c r="L2254" s="6" t="str">
        <f>IFERROR(__xludf.DUMMYFUNCTION("""COMPUTED_VALUE"""),"FIP General")</f>
        <v>FIP General</v>
      </c>
      <c r="M2254" s="6" t="str">
        <f>IFERROR(__xludf.DUMMYFUNCTION("""COMPUTED_VALUE"""),"Irwan Sopian")</f>
        <v>Irwan Sopian</v>
      </c>
      <c r="N2254" s="6" t="str">
        <f>IFERROR(__xludf.DUMMYFUNCTION("""COMPUTED_VALUE"""),"FIP Engineering")</f>
        <v>FIP Engineering</v>
      </c>
      <c r="O2254" s="6" t="str">
        <f>IFERROR(__xludf.DUMMYFUNCTION("""COMPUTED_VALUE"""),"FIP-DOM-ENG-51502-0000000-INA-000000")</f>
        <v>FIP-DOM-ENG-51502-0000000-INA-000000</v>
      </c>
      <c r="P2254" s="6" t="str">
        <f>IFERROR(__xludf.DUMMYFUNCTION("""COMPUTED_VALUE"""),"PO Closed")</f>
        <v>PO Closed</v>
      </c>
      <c r="Q2254" s="6" t="str">
        <f>IFERROR(__xludf.DUMMYFUNCTION("""COMPUTED_VALUE"""),"GL2302051")</f>
        <v>GL2302051</v>
      </c>
      <c r="R2254" s="57">
        <f>IFERROR(__xludf.DUMMYFUNCTION("""COMPUTED_VALUE"""),44946.0)</f>
        <v>44946</v>
      </c>
      <c r="S2254" s="57">
        <f>IFERROR(__xludf.DUMMYFUNCTION("""COMPUTED_VALUE"""),44964.0)</f>
        <v>44964</v>
      </c>
      <c r="T2254" s="57">
        <f>IFERROR(__xludf.DUMMYFUNCTION("""COMPUTED_VALUE"""),44987.0)</f>
        <v>44987</v>
      </c>
    </row>
    <row r="2255">
      <c r="A2255" s="6" t="str">
        <f>IFERROR(__xludf.DUMMYFUNCTION("""COMPUTED_VALUE"""),"231750069-1")</f>
        <v>231750069-1</v>
      </c>
      <c r="B2255" s="6" t="str">
        <f>IFERROR(__xludf.DUMMYFUNCTION("""COMPUTED_VALUE"""),"231750069 - Approved")</f>
        <v>231750069 - Approved</v>
      </c>
      <c r="C2255" s="6">
        <f>IFERROR(__xludf.DUMMYFUNCTION("""COMPUTED_VALUE"""),1.0)</f>
        <v>1</v>
      </c>
      <c r="D2255" s="6" t="str">
        <f>IFERROR(__xludf.DUMMYFUNCTION("""COMPUTED_VALUE"""),"P-18500-00")</f>
        <v>P-18500-00</v>
      </c>
      <c r="E2255" s="6" t="str">
        <f>IFERROR(__xludf.DUMMYFUNCTION("""COMPUTED_VALUE"""),"Pipa SS316 1 inch Sch20; ; ;")</f>
        <v>Pipa SS316 1 inch Sch20; ; ;</v>
      </c>
      <c r="F2255" s="6">
        <f>IFERROR(__xludf.DUMMYFUNCTION("""COMPUTED_VALUE"""),3.0)</f>
        <v>3</v>
      </c>
      <c r="G2255" s="6" t="str">
        <f>IFERROR(__xludf.DUMMYFUNCTION("""COMPUTED_VALUE"""),"Pieces")</f>
        <v>Pieces</v>
      </c>
      <c r="H2255" s="6" t="str">
        <f>IFERROR(__xludf.DUMMYFUNCTION("""COMPUTED_VALUE"""),"IDR")</f>
        <v>IDR</v>
      </c>
      <c r="I2255" s="11">
        <f>IFERROR(__xludf.DUMMYFUNCTION("""COMPUTED_VALUE"""),2749433.0)</f>
        <v>2749433</v>
      </c>
      <c r="J2255" s="11">
        <f>IFERROR(__xludf.DUMMYFUNCTION("""COMPUTED_VALUE"""),8248299.0)</f>
        <v>8248299</v>
      </c>
      <c r="K2255" s="57">
        <f>IFERROR(__xludf.DUMMYFUNCTION("""COMPUTED_VALUE"""),44978.0)</f>
        <v>44978</v>
      </c>
      <c r="L2255" s="6" t="str">
        <f>IFERROR(__xludf.DUMMYFUNCTION("""COMPUTED_VALUE"""),"FIP Engineering")</f>
        <v>FIP Engineering</v>
      </c>
      <c r="M2255" s="6" t="str">
        <f>IFERROR(__xludf.DUMMYFUNCTION("""COMPUTED_VALUE"""),"Irwan Sopian")</f>
        <v>Irwan Sopian</v>
      </c>
      <c r="N2255" s="6" t="str">
        <f>IFERROR(__xludf.DUMMYFUNCTION("""COMPUTED_VALUE"""),"FIP Engineering")</f>
        <v>FIP Engineering</v>
      </c>
      <c r="O2255" s="6" t="str">
        <f>IFERROR(__xludf.DUMMYFUNCTION("""COMPUTED_VALUE"""),"FIP-DOM-000-11304-OS00001-INA-000000")</f>
        <v>FIP-DOM-000-11304-OS00001-INA-000000</v>
      </c>
      <c r="P2255" s="6" t="str">
        <f>IFERROR(__xludf.DUMMYFUNCTION("""COMPUTED_VALUE"""),"PO Closed")</f>
        <v>PO Closed</v>
      </c>
      <c r="Q2255" s="6" t="str">
        <f>IFERROR(__xludf.DUMMYFUNCTION("""COMPUTED_VALUE"""),"GL2302045")</f>
        <v>GL2302045</v>
      </c>
      <c r="R2255" s="57">
        <f>IFERROR(__xludf.DUMMYFUNCTION("""COMPUTED_VALUE"""),44946.0)</f>
        <v>44946</v>
      </c>
      <c r="S2255" s="57">
        <f>IFERROR(__xludf.DUMMYFUNCTION("""COMPUTED_VALUE"""),44950.0)</f>
        <v>44950</v>
      </c>
      <c r="T2255" s="57">
        <f>IFERROR(__xludf.DUMMYFUNCTION("""COMPUTED_VALUE"""),44990.0)</f>
        <v>44990</v>
      </c>
    </row>
    <row r="2256">
      <c r="A2256" s="6" t="str">
        <f>IFERROR(__xludf.DUMMYFUNCTION("""COMPUTED_VALUE"""),"231750069-2")</f>
        <v>231750069-2</v>
      </c>
      <c r="B2256" s="6" t="str">
        <f>IFERROR(__xludf.DUMMYFUNCTION("""COMPUTED_VALUE"""),"231750069 - Approved")</f>
        <v>231750069 - Approved</v>
      </c>
      <c r="C2256" s="6">
        <f>IFERROR(__xludf.DUMMYFUNCTION("""COMPUTED_VALUE"""),2.0)</f>
        <v>2</v>
      </c>
      <c r="D2256" s="6" t="str">
        <f>IFERROR(__xludf.DUMMYFUNCTION("""COMPUTED_VALUE"""),"P-18501-00")</f>
        <v>P-18501-00</v>
      </c>
      <c r="E2256" s="6" t="str">
        <f>IFERROR(__xludf.DUMMYFUNCTION("""COMPUTED_VALUE"""),"Elbow SS 316 1inch Sch20; ; ;")</f>
        <v>Elbow SS 316 1inch Sch20; ; ;</v>
      </c>
      <c r="F2256" s="6">
        <f>IFERROR(__xludf.DUMMYFUNCTION("""COMPUTED_VALUE"""),5.0)</f>
        <v>5</v>
      </c>
      <c r="G2256" s="6" t="str">
        <f>IFERROR(__xludf.DUMMYFUNCTION("""COMPUTED_VALUE"""),"Pieces")</f>
        <v>Pieces</v>
      </c>
      <c r="H2256" s="6" t="str">
        <f>IFERROR(__xludf.DUMMYFUNCTION("""COMPUTED_VALUE"""),"IDR")</f>
        <v>IDR</v>
      </c>
      <c r="I2256" s="11">
        <f>IFERROR(__xludf.DUMMYFUNCTION("""COMPUTED_VALUE"""),97200.0)</f>
        <v>97200</v>
      </c>
      <c r="J2256" s="11">
        <f>IFERROR(__xludf.DUMMYFUNCTION("""COMPUTED_VALUE"""),486000.0)</f>
        <v>486000</v>
      </c>
      <c r="K2256" s="57">
        <f>IFERROR(__xludf.DUMMYFUNCTION("""COMPUTED_VALUE"""),44978.0)</f>
        <v>44978</v>
      </c>
      <c r="L2256" s="6" t="str">
        <f>IFERROR(__xludf.DUMMYFUNCTION("""COMPUTED_VALUE"""),"FIP Engineering")</f>
        <v>FIP Engineering</v>
      </c>
      <c r="M2256" s="6" t="str">
        <f>IFERROR(__xludf.DUMMYFUNCTION("""COMPUTED_VALUE"""),"Irwan Sopian")</f>
        <v>Irwan Sopian</v>
      </c>
      <c r="N2256" s="6" t="str">
        <f>IFERROR(__xludf.DUMMYFUNCTION("""COMPUTED_VALUE"""),"FIP Engineering")</f>
        <v>FIP Engineering</v>
      </c>
      <c r="O2256" s="6" t="str">
        <f>IFERROR(__xludf.DUMMYFUNCTION("""COMPUTED_VALUE"""),"FIP-DOM-000-11304-OS00001-INA-000000")</f>
        <v>FIP-DOM-000-11304-OS00001-INA-000000</v>
      </c>
      <c r="P2256" s="6" t="str">
        <f>IFERROR(__xludf.DUMMYFUNCTION("""COMPUTED_VALUE"""),"PO Closed")</f>
        <v>PO Closed</v>
      </c>
      <c r="Q2256" s="6" t="str">
        <f>IFERROR(__xludf.DUMMYFUNCTION("""COMPUTED_VALUE"""),"GL2302045")</f>
        <v>GL2302045</v>
      </c>
      <c r="R2256" s="57">
        <f>IFERROR(__xludf.DUMMYFUNCTION("""COMPUTED_VALUE"""),44946.0)</f>
        <v>44946</v>
      </c>
      <c r="S2256" s="57">
        <f>IFERROR(__xludf.DUMMYFUNCTION("""COMPUTED_VALUE"""),44950.0)</f>
        <v>44950</v>
      </c>
      <c r="T2256" s="57">
        <f>IFERROR(__xludf.DUMMYFUNCTION("""COMPUTED_VALUE"""),44990.0)</f>
        <v>44990</v>
      </c>
    </row>
    <row r="2257">
      <c r="A2257" s="6" t="str">
        <f>IFERROR(__xludf.DUMMYFUNCTION("""COMPUTED_VALUE"""),"231750070-1")</f>
        <v>231750070-1</v>
      </c>
      <c r="B2257" s="6" t="str">
        <f>IFERROR(__xludf.DUMMYFUNCTION("""COMPUTED_VALUE"""),"231750070 - Approved")</f>
        <v>231750070 - Approved</v>
      </c>
      <c r="C2257" s="6">
        <f>IFERROR(__xludf.DUMMYFUNCTION("""COMPUTED_VALUE"""),1.0)</f>
        <v>1</v>
      </c>
      <c r="D2257" s="6" t="str">
        <f>IFERROR(__xludf.DUMMYFUNCTION("""COMPUTED_VALUE"""),"O-16647-00")</f>
        <v>O-16647-00</v>
      </c>
      <c r="E2257" s="6" t="str">
        <f>IFERROR(__xludf.DUMMYFUNCTION("""COMPUTED_VALUE"""),"Washing RAR4 - Oring Silicone Merah 23x18x2.5 mm; ; ;")</f>
        <v>Washing RAR4 - Oring Silicone Merah 23x18x2.5 mm; ; ;</v>
      </c>
      <c r="F2257" s="6">
        <f>IFERROR(__xludf.DUMMYFUNCTION("""COMPUTED_VALUE"""),30.0)</f>
        <v>30</v>
      </c>
      <c r="G2257" s="6" t="str">
        <f>IFERROR(__xludf.DUMMYFUNCTION("""COMPUTED_VALUE"""),"Pieces")</f>
        <v>Pieces</v>
      </c>
      <c r="H2257" s="6" t="str">
        <f>IFERROR(__xludf.DUMMYFUNCTION("""COMPUTED_VALUE"""),"IDR")</f>
        <v>IDR</v>
      </c>
      <c r="I2257" s="11">
        <f>IFERROR(__xludf.DUMMYFUNCTION("""COMPUTED_VALUE"""),35000.0)</f>
        <v>35000</v>
      </c>
      <c r="J2257" s="11">
        <f>IFERROR(__xludf.DUMMYFUNCTION("""COMPUTED_VALUE"""),1050000.0)</f>
        <v>1050000</v>
      </c>
      <c r="K2257" s="57">
        <f>IFERROR(__xludf.DUMMYFUNCTION("""COMPUTED_VALUE"""),44971.0)</f>
        <v>44971</v>
      </c>
      <c r="L2257" s="6" t="str">
        <f>IFERROR(__xludf.DUMMYFUNCTION("""COMPUTED_VALUE"""),"FIP Engineering")</f>
        <v>FIP Engineering</v>
      </c>
      <c r="M2257" s="6" t="str">
        <f>IFERROR(__xludf.DUMMYFUNCTION("""COMPUTED_VALUE"""),"Irwan Sopian")</f>
        <v>Irwan Sopian</v>
      </c>
      <c r="N2257" s="6" t="str">
        <f>IFERROR(__xludf.DUMMYFUNCTION("""COMPUTED_VALUE"""),"FIP Engineering")</f>
        <v>FIP Engineering</v>
      </c>
      <c r="O2257" s="6" t="str">
        <f>IFERROR(__xludf.DUMMYFUNCTION("""COMPUTED_VALUE"""),"FIP-DOM-000-11304-OS00001-INA-000000")</f>
        <v>FIP-DOM-000-11304-OS00001-INA-000000</v>
      </c>
      <c r="P2257" s="6" t="str">
        <f>IFERROR(__xludf.DUMMYFUNCTION("""COMPUTED_VALUE"""),"PO Closed")</f>
        <v>PO Closed</v>
      </c>
      <c r="Q2257" s="6" t="str">
        <f>IFERROR(__xludf.DUMMYFUNCTION("""COMPUTED_VALUE"""),"GL2302057")</f>
        <v>GL2302057</v>
      </c>
      <c r="R2257" s="57">
        <f>IFERROR(__xludf.DUMMYFUNCTION("""COMPUTED_VALUE"""),44946.0)</f>
        <v>44946</v>
      </c>
      <c r="S2257" s="57">
        <f>IFERROR(__xludf.DUMMYFUNCTION("""COMPUTED_VALUE"""),44950.0)</f>
        <v>44950</v>
      </c>
      <c r="T2257" s="57">
        <f>IFERROR(__xludf.DUMMYFUNCTION("""COMPUTED_VALUE"""),44995.0)</f>
        <v>44995</v>
      </c>
    </row>
    <row r="2258">
      <c r="A2258" s="6" t="str">
        <f>IFERROR(__xludf.DUMMYFUNCTION("""COMPUTED_VALUE"""),"231750082-5")</f>
        <v>231750082-5</v>
      </c>
      <c r="B2258" s="6" t="str">
        <f>IFERROR(__xludf.DUMMYFUNCTION("""COMPUTED_VALUE"""),"231750082 - Approved")</f>
        <v>231750082 - Approved</v>
      </c>
      <c r="C2258" s="6">
        <f>IFERROR(__xludf.DUMMYFUNCTION("""COMPUTED_VALUE"""),5.0)</f>
        <v>5</v>
      </c>
      <c r="D2258" s="6" t="str">
        <f>IFERROR(__xludf.DUMMYFUNCTION("""COMPUTED_VALUE"""),"O-16030-00")</f>
        <v>O-16030-00</v>
      </c>
      <c r="E2258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F2258" s="6">
        <f>IFERROR(__xludf.DUMMYFUNCTION("""COMPUTED_VALUE"""),10.0)</f>
        <v>10</v>
      </c>
      <c r="G2258" s="6" t="str">
        <f>IFERROR(__xludf.DUMMYFUNCTION("""COMPUTED_VALUE"""),"Unit")</f>
        <v>Unit</v>
      </c>
      <c r="H2258" s="6" t="str">
        <f>IFERROR(__xludf.DUMMYFUNCTION("""COMPUTED_VALUE"""),"IDR")</f>
        <v>IDR</v>
      </c>
      <c r="I2258" s="11">
        <f>IFERROR(__xludf.DUMMYFUNCTION("""COMPUTED_VALUE"""),1860265.56)</f>
        <v>1860265.56</v>
      </c>
      <c r="J2258" s="11">
        <f>IFERROR(__xludf.DUMMYFUNCTION("""COMPUTED_VALUE"""),1.860265555E7)</f>
        <v>18602655.55</v>
      </c>
      <c r="K2258" s="57">
        <f>IFERROR(__xludf.DUMMYFUNCTION("""COMPUTED_VALUE"""),45020.0)</f>
        <v>45020</v>
      </c>
      <c r="L2258" s="6" t="str">
        <f>IFERROR(__xludf.DUMMYFUNCTION("""COMPUTED_VALUE"""),"FIP Engineering")</f>
        <v>FIP Engineering</v>
      </c>
      <c r="M2258" s="6" t="str">
        <f>IFERROR(__xludf.DUMMYFUNCTION("""COMPUTED_VALUE"""),"Irwan Sopian")</f>
        <v>Irwan Sopian</v>
      </c>
      <c r="N2258" s="6" t="str">
        <f>IFERROR(__xludf.DUMMYFUNCTION("""COMPUTED_VALUE"""),"FIP Engineering")</f>
        <v>FIP Engineering</v>
      </c>
      <c r="O2258" s="6" t="str">
        <f>IFERROR(__xludf.DUMMYFUNCTION("""COMPUTED_VALUE"""),"FIP-DOM-000-11304-OS00001-INA-000000")</f>
        <v>FIP-DOM-000-11304-OS00001-INA-000000</v>
      </c>
      <c r="P2258" s="6" t="str">
        <f>IFERROR(__xludf.DUMMYFUNCTION("""COMPUTED_VALUE"""),"PO Closed")</f>
        <v>PO Closed</v>
      </c>
      <c r="Q2258" s="6" t="str">
        <f>IFERROR(__xludf.DUMMYFUNCTION("""COMPUTED_VALUE"""),"GL2303003")</f>
        <v>GL2303003</v>
      </c>
      <c r="R2258" s="57">
        <f>IFERROR(__xludf.DUMMYFUNCTION("""COMPUTED_VALUE"""),44950.0)</f>
        <v>44950</v>
      </c>
      <c r="S2258" s="57">
        <f>IFERROR(__xludf.DUMMYFUNCTION("""COMPUTED_VALUE"""),44964.0)</f>
        <v>44964</v>
      </c>
      <c r="T2258" s="57">
        <f>IFERROR(__xludf.DUMMYFUNCTION("""COMPUTED_VALUE"""),45046.0)</f>
        <v>45046</v>
      </c>
    </row>
    <row r="2259">
      <c r="A2259" s="6" t="str">
        <f>IFERROR(__xludf.DUMMYFUNCTION("""COMPUTED_VALUE"""),"231750082-7")</f>
        <v>231750082-7</v>
      </c>
      <c r="B2259" s="6" t="str">
        <f>IFERROR(__xludf.DUMMYFUNCTION("""COMPUTED_VALUE"""),"231750082 - Approved")</f>
        <v>231750082 - Approved</v>
      </c>
      <c r="C2259" s="6">
        <f>IFERROR(__xludf.DUMMYFUNCTION("""COMPUTED_VALUE"""),7.0)</f>
        <v>7</v>
      </c>
      <c r="D2259" s="6" t="str">
        <f>IFERROR(__xludf.DUMMYFUNCTION("""COMPUTED_VALUE"""),"O-16033-00")</f>
        <v>O-16033-00</v>
      </c>
      <c r="E225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F2259" s="6">
        <f>IFERROR(__xludf.DUMMYFUNCTION("""COMPUTED_VALUE"""),30.0)</f>
        <v>30</v>
      </c>
      <c r="G2259" s="6" t="str">
        <f>IFERROR(__xludf.DUMMYFUNCTION("""COMPUTED_VALUE"""),"Unit")</f>
        <v>Unit</v>
      </c>
      <c r="H2259" s="6" t="str">
        <f>IFERROR(__xludf.DUMMYFUNCTION("""COMPUTED_VALUE"""),"IDR")</f>
        <v>IDR</v>
      </c>
      <c r="I2259" s="11">
        <f>IFERROR(__xludf.DUMMYFUNCTION("""COMPUTED_VALUE"""),1244079.87)</f>
        <v>1244079.87</v>
      </c>
      <c r="J2259" s="11">
        <f>IFERROR(__xludf.DUMMYFUNCTION("""COMPUTED_VALUE"""),3.732239616E7)</f>
        <v>37322396.16</v>
      </c>
      <c r="K2259" s="57">
        <f>IFERROR(__xludf.DUMMYFUNCTION("""COMPUTED_VALUE"""),45020.0)</f>
        <v>45020</v>
      </c>
      <c r="L2259" s="6" t="str">
        <f>IFERROR(__xludf.DUMMYFUNCTION("""COMPUTED_VALUE"""),"FIP Engineering")</f>
        <v>FIP Engineering</v>
      </c>
      <c r="M2259" s="6" t="str">
        <f>IFERROR(__xludf.DUMMYFUNCTION("""COMPUTED_VALUE"""),"Irwan Sopian")</f>
        <v>Irwan Sopian</v>
      </c>
      <c r="N2259" s="6" t="str">
        <f>IFERROR(__xludf.DUMMYFUNCTION("""COMPUTED_VALUE"""),"FIP Engineering")</f>
        <v>FIP Engineering</v>
      </c>
      <c r="O2259" s="6" t="str">
        <f>IFERROR(__xludf.DUMMYFUNCTION("""COMPUTED_VALUE"""),"FIP-DOM-000-11304-OS00001-INA-000000")</f>
        <v>FIP-DOM-000-11304-OS00001-INA-000000</v>
      </c>
      <c r="P2259" s="6" t="str">
        <f>IFERROR(__xludf.DUMMYFUNCTION("""COMPUTED_VALUE"""),"PO Closed")</f>
        <v>PO Closed</v>
      </c>
      <c r="Q2259" s="6" t="str">
        <f>IFERROR(__xludf.DUMMYFUNCTION("""COMPUTED_VALUE"""),"GL2303003")</f>
        <v>GL2303003</v>
      </c>
      <c r="R2259" s="57">
        <f>IFERROR(__xludf.DUMMYFUNCTION("""COMPUTED_VALUE"""),44950.0)</f>
        <v>44950</v>
      </c>
      <c r="S2259" s="57">
        <f>IFERROR(__xludf.DUMMYFUNCTION("""COMPUTED_VALUE"""),44964.0)</f>
        <v>44964</v>
      </c>
      <c r="T2259" s="57">
        <f>IFERROR(__xludf.DUMMYFUNCTION("""COMPUTED_VALUE"""),45046.0)</f>
        <v>45046</v>
      </c>
    </row>
    <row r="2260">
      <c r="A2260" s="6" t="str">
        <f>IFERROR(__xludf.DUMMYFUNCTION("""COMPUTED_VALUE"""),"231750082-8")</f>
        <v>231750082-8</v>
      </c>
      <c r="B2260" s="6" t="str">
        <f>IFERROR(__xludf.DUMMYFUNCTION("""COMPUTED_VALUE"""),"231750082 - Approved")</f>
        <v>231750082 - Approved</v>
      </c>
      <c r="C2260" s="6">
        <f>IFERROR(__xludf.DUMMYFUNCTION("""COMPUTED_VALUE"""),8.0)</f>
        <v>8</v>
      </c>
      <c r="D2260" s="6" t="str">
        <f>IFERROR(__xludf.DUMMYFUNCTION("""COMPUTED_VALUE"""),"O-16032-00")</f>
        <v>O-16032-00</v>
      </c>
      <c r="E226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F2260" s="6">
        <f>IFERROR(__xludf.DUMMYFUNCTION("""COMPUTED_VALUE"""),30.0)</f>
        <v>30</v>
      </c>
      <c r="G2260" s="6" t="str">
        <f>IFERROR(__xludf.DUMMYFUNCTION("""COMPUTED_VALUE"""),"Unit")</f>
        <v>Unit</v>
      </c>
      <c r="H2260" s="6" t="str">
        <f>IFERROR(__xludf.DUMMYFUNCTION("""COMPUTED_VALUE"""),"IDR")</f>
        <v>IDR</v>
      </c>
      <c r="I2260" s="11">
        <f>IFERROR(__xludf.DUMMYFUNCTION("""COMPUTED_VALUE"""),1877268.71)</f>
        <v>1877268.71</v>
      </c>
      <c r="J2260" s="11">
        <f>IFERROR(__xludf.DUMMYFUNCTION("""COMPUTED_VALUE"""),5.63180613E7)</f>
        <v>56318061.3</v>
      </c>
      <c r="K2260" s="57">
        <f>IFERROR(__xludf.DUMMYFUNCTION("""COMPUTED_VALUE"""),45020.0)</f>
        <v>45020</v>
      </c>
      <c r="L2260" s="6" t="str">
        <f>IFERROR(__xludf.DUMMYFUNCTION("""COMPUTED_VALUE"""),"FIP Engineering")</f>
        <v>FIP Engineering</v>
      </c>
      <c r="M2260" s="6" t="str">
        <f>IFERROR(__xludf.DUMMYFUNCTION("""COMPUTED_VALUE"""),"Irwan Sopian")</f>
        <v>Irwan Sopian</v>
      </c>
      <c r="N2260" s="6" t="str">
        <f>IFERROR(__xludf.DUMMYFUNCTION("""COMPUTED_VALUE"""),"FIP Engineering")</f>
        <v>FIP Engineering</v>
      </c>
      <c r="O2260" s="6" t="str">
        <f>IFERROR(__xludf.DUMMYFUNCTION("""COMPUTED_VALUE"""),"FIP-DOM-000-11304-OS00001-INA-000000")</f>
        <v>FIP-DOM-000-11304-OS00001-INA-000000</v>
      </c>
      <c r="P2260" s="6" t="str">
        <f>IFERROR(__xludf.DUMMYFUNCTION("""COMPUTED_VALUE"""),"PO Closed")</f>
        <v>PO Closed</v>
      </c>
      <c r="Q2260" s="6" t="str">
        <f>IFERROR(__xludf.DUMMYFUNCTION("""COMPUTED_VALUE"""),"GL2303003")</f>
        <v>GL2303003</v>
      </c>
      <c r="R2260" s="57">
        <f>IFERROR(__xludf.DUMMYFUNCTION("""COMPUTED_VALUE"""),44950.0)</f>
        <v>44950</v>
      </c>
      <c r="S2260" s="57">
        <f>IFERROR(__xludf.DUMMYFUNCTION("""COMPUTED_VALUE"""),44964.0)</f>
        <v>44964</v>
      </c>
      <c r="T2260" s="57">
        <f>IFERROR(__xludf.DUMMYFUNCTION("""COMPUTED_VALUE"""),45046.0)</f>
        <v>45046</v>
      </c>
    </row>
    <row r="2261">
      <c r="A2261" s="6" t="str">
        <f>IFERROR(__xludf.DUMMYFUNCTION("""COMPUTED_VALUE"""),"231750087-1")</f>
        <v>231750087-1</v>
      </c>
      <c r="B2261" s="6" t="str">
        <f>IFERROR(__xludf.DUMMYFUNCTION("""COMPUTED_VALUE"""),"231750087 - Approved")</f>
        <v>231750087 - Approved</v>
      </c>
      <c r="C2261" s="6">
        <f>IFERROR(__xludf.DUMMYFUNCTION("""COMPUTED_VALUE"""),1.0)</f>
        <v>1</v>
      </c>
      <c r="D2261" s="6" t="str">
        <f>IFERROR(__xludf.DUMMYFUNCTION("""COMPUTED_VALUE"""),"Q-11000-00")</f>
        <v>Q-11000-00</v>
      </c>
      <c r="E2261" s="6" t="str">
        <f>IFERROR(__xludf.DUMMYFUNCTION("""COMPUTED_VALUE"""),"Jasa Perbaikan Gedung; ; ; - Kerja tambah untuk instalasi atau pengadaan Cubical toilet prosesing")</f>
        <v>Jasa Perbaikan Gedung; ; ; - Kerja tambah untuk instalasi atau pengadaan Cubical toilet prosesing</v>
      </c>
      <c r="F2261" s="6">
        <f>IFERROR(__xludf.DUMMYFUNCTION("""COMPUTED_VALUE"""),1.0)</f>
        <v>1</v>
      </c>
      <c r="G2261" s="6" t="str">
        <f>IFERROR(__xludf.DUMMYFUNCTION("""COMPUTED_VALUE"""),"Lot")</f>
        <v>Lot</v>
      </c>
      <c r="H2261" s="6" t="str">
        <f>IFERROR(__xludf.DUMMYFUNCTION("""COMPUTED_VALUE"""),"IDR")</f>
        <v>IDR</v>
      </c>
      <c r="I2261" s="11">
        <f>IFERROR(__xludf.DUMMYFUNCTION("""COMPUTED_VALUE"""),5090000.0)</f>
        <v>5090000</v>
      </c>
      <c r="J2261" s="11">
        <f>IFERROR(__xludf.DUMMYFUNCTION("""COMPUTED_VALUE"""),5090000.0)</f>
        <v>5090000</v>
      </c>
      <c r="K2261" s="57">
        <f>IFERROR(__xludf.DUMMYFUNCTION("""COMPUTED_VALUE"""),44992.0)</f>
        <v>44992</v>
      </c>
      <c r="L2261" s="6" t="str">
        <f>IFERROR(__xludf.DUMMYFUNCTION("""COMPUTED_VALUE"""),"FIP General")</f>
        <v>FIP General</v>
      </c>
      <c r="M2261" s="6" t="str">
        <f>IFERROR(__xludf.DUMMYFUNCTION("""COMPUTED_VALUE"""),"Irwan Sopian")</f>
        <v>Irwan Sopian</v>
      </c>
      <c r="N2261" s="6" t="str">
        <f>IFERROR(__xludf.DUMMYFUNCTION("""COMPUTED_VALUE"""),"FIP Engineering")</f>
        <v>FIP Engineering</v>
      </c>
      <c r="O2261" s="6" t="str">
        <f>IFERROR(__xludf.DUMMYFUNCTION("""COMPUTED_VALUE"""),"FIP-DOM-ENG-51502-0000000-INA-000000")</f>
        <v>FIP-DOM-ENG-51502-0000000-INA-000000</v>
      </c>
      <c r="P2261" s="6" t="str">
        <f>IFERROR(__xludf.DUMMYFUNCTION("""COMPUTED_VALUE"""),"PO Closed")</f>
        <v>PO Closed</v>
      </c>
      <c r="Q2261" s="6" t="str">
        <f>IFERROR(__xludf.DUMMYFUNCTION("""COMPUTED_VALUE"""),"GL2303020")</f>
        <v>GL2303020</v>
      </c>
      <c r="R2261" s="57">
        <f>IFERROR(__xludf.DUMMYFUNCTION("""COMPUTED_VALUE"""),44952.0)</f>
        <v>44952</v>
      </c>
      <c r="S2261" s="57">
        <f>IFERROR(__xludf.DUMMYFUNCTION("""COMPUTED_VALUE"""),44964.0)</f>
        <v>44964</v>
      </c>
      <c r="T2261" s="57">
        <f>IFERROR(__xludf.DUMMYFUNCTION("""COMPUTED_VALUE"""),45010.0)</f>
        <v>45010</v>
      </c>
    </row>
    <row r="2262">
      <c r="A2262" s="6" t="str">
        <f>IFERROR(__xludf.DUMMYFUNCTION("""COMPUTED_VALUE"""),"231750088-1")</f>
        <v>231750088-1</v>
      </c>
      <c r="B2262" s="6" t="str">
        <f>IFERROR(__xludf.DUMMYFUNCTION("""COMPUTED_VALUE"""),"231750088 - Approved")</f>
        <v>231750088 - Approved</v>
      </c>
      <c r="C2262" s="6">
        <f>IFERROR(__xludf.DUMMYFUNCTION("""COMPUTED_VALUE"""),1.0)</f>
        <v>1</v>
      </c>
      <c r="D2262" s="6" t="str">
        <f>IFERROR(__xludf.DUMMYFUNCTION("""COMPUTED_VALUE"""),"S-60002-00")</f>
        <v>S-60002-00</v>
      </c>
      <c r="E2262" s="6" t="str">
        <f>IFERROR(__xludf.DUMMYFUNCTION("""COMPUTED_VALUE"""),"Jasa Perbaikan dan Pemeliharaan Mesin Utility - REWINDING MOTOR 2,2 KW 3 HP (Exhaust Fan C1-32) untuk SND 2")</f>
        <v>Jasa Perbaikan dan Pemeliharaan Mesin Utility - REWINDING MOTOR 2,2 KW 3 HP (Exhaust Fan C1-32) untuk SND 2</v>
      </c>
      <c r="F2262" s="6">
        <f>IFERROR(__xludf.DUMMYFUNCTION("""COMPUTED_VALUE"""),1.0)</f>
        <v>1</v>
      </c>
      <c r="G2262" s="6" t="str">
        <f>IFERROR(__xludf.DUMMYFUNCTION("""COMPUTED_VALUE"""),"Lot")</f>
        <v>Lot</v>
      </c>
      <c r="H2262" s="6" t="str">
        <f>IFERROR(__xludf.DUMMYFUNCTION("""COMPUTED_VALUE"""),"IDR")</f>
        <v>IDR</v>
      </c>
      <c r="I2262" s="11">
        <f>IFERROR(__xludf.DUMMYFUNCTION("""COMPUTED_VALUE"""),1668000.0)</f>
        <v>1668000</v>
      </c>
      <c r="J2262" s="11">
        <f>IFERROR(__xludf.DUMMYFUNCTION("""COMPUTED_VALUE"""),1668000.0)</f>
        <v>1668000</v>
      </c>
      <c r="K2262" s="57">
        <f>IFERROR(__xludf.DUMMYFUNCTION("""COMPUTED_VALUE"""),44992.0)</f>
        <v>44992</v>
      </c>
      <c r="L2262" s="6" t="str">
        <f>IFERROR(__xludf.DUMMYFUNCTION("""COMPUTED_VALUE"""),"FIP General")</f>
        <v>FIP General</v>
      </c>
      <c r="M2262" s="6" t="str">
        <f>IFERROR(__xludf.DUMMYFUNCTION("""COMPUTED_VALUE"""),"Irwan Sopian")</f>
        <v>Irwan Sopian</v>
      </c>
      <c r="N2262" s="6" t="str">
        <f>IFERROR(__xludf.DUMMYFUNCTION("""COMPUTED_VALUE"""),"FIP Engineering")</f>
        <v>FIP Engineering</v>
      </c>
      <c r="O2262" s="6" t="str">
        <f>IFERROR(__xludf.DUMMYFUNCTION("""COMPUTED_VALUE"""),"FIP-DOM-ENG-51508-0000000-INA-000000")</f>
        <v>FIP-DOM-ENG-51508-0000000-INA-000000</v>
      </c>
      <c r="P2262" s="6" t="str">
        <f>IFERROR(__xludf.DUMMYFUNCTION("""COMPUTED_VALUE"""),"PO Closed")</f>
        <v>PO Closed</v>
      </c>
      <c r="Q2262" s="6" t="str">
        <f>IFERROR(__xludf.DUMMYFUNCTION("""COMPUTED_VALUE"""),"GL2303015")</f>
        <v>GL2303015</v>
      </c>
      <c r="R2262" s="57">
        <f>IFERROR(__xludf.DUMMYFUNCTION("""COMPUTED_VALUE"""),44952.0)</f>
        <v>44952</v>
      </c>
      <c r="S2262" s="57">
        <f>IFERROR(__xludf.DUMMYFUNCTION("""COMPUTED_VALUE"""),44958.0)</f>
        <v>44958</v>
      </c>
      <c r="T2262" s="57">
        <f>IFERROR(__xludf.DUMMYFUNCTION("""COMPUTED_VALUE"""),45021.0)</f>
        <v>45021</v>
      </c>
    </row>
    <row r="2263">
      <c r="A2263" s="6" t="str">
        <f>IFERROR(__xludf.DUMMYFUNCTION("""COMPUTED_VALUE"""),"231750088-2")</f>
        <v>231750088-2</v>
      </c>
      <c r="B2263" s="6" t="str">
        <f>IFERROR(__xludf.DUMMYFUNCTION("""COMPUTED_VALUE"""),"231750088 - Approved")</f>
        <v>231750088 - Approved</v>
      </c>
      <c r="C2263" s="6">
        <f>IFERROR(__xludf.DUMMYFUNCTION("""COMPUTED_VALUE"""),2.0)</f>
        <v>2</v>
      </c>
      <c r="D2263" s="6" t="str">
        <f>IFERROR(__xludf.DUMMYFUNCTION("""COMPUTED_VALUE"""),"S-60002-00")</f>
        <v>S-60002-00</v>
      </c>
      <c r="E2263" s="6" t="str">
        <f>IFERROR(__xludf.DUMMYFUNCTION("""COMPUTED_VALUE"""),"Jasa Perbaikan dan Pemeliharaan Mesin Utility - REWINDING MOTOR FAN 180 WATT MODEL BFS 300 FS 1450 RPM (Exhaust Fan Ruang Flammable WH)")</f>
        <v>Jasa Perbaikan dan Pemeliharaan Mesin Utility - REWINDING MOTOR FAN 180 WATT MODEL BFS 300 FS 1450 RPM (Exhaust Fan Ruang Flammable WH)</v>
      </c>
      <c r="F2263" s="6">
        <f>IFERROR(__xludf.DUMMYFUNCTION("""COMPUTED_VALUE"""),1.0)</f>
        <v>1</v>
      </c>
      <c r="G2263" s="6" t="str">
        <f>IFERROR(__xludf.DUMMYFUNCTION("""COMPUTED_VALUE"""),"Lot")</f>
        <v>Lot</v>
      </c>
      <c r="H2263" s="6" t="str">
        <f>IFERROR(__xludf.DUMMYFUNCTION("""COMPUTED_VALUE"""),"IDR")</f>
        <v>IDR</v>
      </c>
      <c r="I2263" s="11">
        <f>IFERROR(__xludf.DUMMYFUNCTION("""COMPUTED_VALUE"""),680000.0)</f>
        <v>680000</v>
      </c>
      <c r="J2263" s="11">
        <f>IFERROR(__xludf.DUMMYFUNCTION("""COMPUTED_VALUE"""),680000.0)</f>
        <v>680000</v>
      </c>
      <c r="K2263" s="57">
        <f>IFERROR(__xludf.DUMMYFUNCTION("""COMPUTED_VALUE"""),44992.0)</f>
        <v>44992</v>
      </c>
      <c r="L2263" s="6" t="str">
        <f>IFERROR(__xludf.DUMMYFUNCTION("""COMPUTED_VALUE"""),"FIP General")</f>
        <v>FIP General</v>
      </c>
      <c r="M2263" s="6" t="str">
        <f>IFERROR(__xludf.DUMMYFUNCTION("""COMPUTED_VALUE"""),"Irwan Sopian")</f>
        <v>Irwan Sopian</v>
      </c>
      <c r="N2263" s="6" t="str">
        <f>IFERROR(__xludf.DUMMYFUNCTION("""COMPUTED_VALUE"""),"FIP Engineering")</f>
        <v>FIP Engineering</v>
      </c>
      <c r="O2263" s="6" t="str">
        <f>IFERROR(__xludf.DUMMYFUNCTION("""COMPUTED_VALUE"""),"FIP-DOM-ENG-51508-0000000-INA-000000")</f>
        <v>FIP-DOM-ENG-51508-0000000-INA-000000</v>
      </c>
      <c r="P2263" s="6" t="str">
        <f>IFERROR(__xludf.DUMMYFUNCTION("""COMPUTED_VALUE"""),"PO Closed")</f>
        <v>PO Closed</v>
      </c>
      <c r="Q2263" s="6" t="str">
        <f>IFERROR(__xludf.DUMMYFUNCTION("""COMPUTED_VALUE"""),"GL2303015")</f>
        <v>GL2303015</v>
      </c>
      <c r="R2263" s="57">
        <f>IFERROR(__xludf.DUMMYFUNCTION("""COMPUTED_VALUE"""),44952.0)</f>
        <v>44952</v>
      </c>
      <c r="S2263" s="57">
        <f>IFERROR(__xludf.DUMMYFUNCTION("""COMPUTED_VALUE"""),44958.0)</f>
        <v>44958</v>
      </c>
      <c r="T2263" s="57">
        <f>IFERROR(__xludf.DUMMYFUNCTION("""COMPUTED_VALUE"""),45021.0)</f>
        <v>45021</v>
      </c>
    </row>
    <row r="2264">
      <c r="A2264" s="6" t="str">
        <f>IFERROR(__xludf.DUMMYFUNCTION("""COMPUTED_VALUE"""),"231750089-1")</f>
        <v>231750089-1</v>
      </c>
      <c r="B2264" s="6" t="str">
        <f>IFERROR(__xludf.DUMMYFUNCTION("""COMPUTED_VALUE"""),"231750089 - Approved")</f>
        <v>231750089 - Approved</v>
      </c>
      <c r="C2264" s="6">
        <f>IFERROR(__xludf.DUMMYFUNCTION("""COMPUTED_VALUE"""),1.0)</f>
        <v>1</v>
      </c>
      <c r="D2264" s="6" t="str">
        <f>IFERROR(__xludf.DUMMYFUNCTION("""COMPUTED_VALUE"""),"S-60002-00")</f>
        <v>S-60002-00</v>
      </c>
      <c r="E2264" s="6" t="str">
        <f>IFERROR(__xludf.DUMMYFUNCTION("""COMPUTED_VALUE"""),"Jasa Perbaikan dan Pemeliharaan Mesin Utility - Repair Dudukan Ampoule Lab washer")</f>
        <v>Jasa Perbaikan dan Pemeliharaan Mesin Utility - Repair Dudukan Ampoule Lab washer</v>
      </c>
      <c r="F2264" s="6">
        <f>IFERROR(__xludf.DUMMYFUNCTION("""COMPUTED_VALUE"""),1.0)</f>
        <v>1</v>
      </c>
      <c r="G2264" s="6" t="str">
        <f>IFERROR(__xludf.DUMMYFUNCTION("""COMPUTED_VALUE"""),"Lot")</f>
        <v>Lot</v>
      </c>
      <c r="H2264" s="6" t="str">
        <f>IFERROR(__xludf.DUMMYFUNCTION("""COMPUTED_VALUE"""),"IDR")</f>
        <v>IDR</v>
      </c>
      <c r="I2264" s="11">
        <f>IFERROR(__xludf.DUMMYFUNCTION("""COMPUTED_VALUE"""),725000.0)</f>
        <v>725000</v>
      </c>
      <c r="J2264" s="11">
        <f>IFERROR(__xludf.DUMMYFUNCTION("""COMPUTED_VALUE"""),725000.0)</f>
        <v>725000</v>
      </c>
      <c r="K2264" s="57">
        <f>IFERROR(__xludf.DUMMYFUNCTION("""COMPUTED_VALUE"""),44992.0)</f>
        <v>44992</v>
      </c>
      <c r="L2264" s="6" t="str">
        <f>IFERROR(__xludf.DUMMYFUNCTION("""COMPUTED_VALUE"""),"FIP General")</f>
        <v>FIP General</v>
      </c>
      <c r="M2264" s="6" t="str">
        <f>IFERROR(__xludf.DUMMYFUNCTION("""COMPUTED_VALUE"""),"Irwan Sopian")</f>
        <v>Irwan Sopian</v>
      </c>
      <c r="N2264" s="6" t="str">
        <f>IFERROR(__xludf.DUMMYFUNCTION("""COMPUTED_VALUE"""),"FIP Engineering")</f>
        <v>FIP Engineering</v>
      </c>
      <c r="O2264" s="6" t="str">
        <f>IFERROR(__xludf.DUMMYFUNCTION("""COMPUTED_VALUE"""),"FIP-DOM-ENG-51508-0000000-INA-000000")</f>
        <v>FIP-DOM-ENG-51508-0000000-INA-000000</v>
      </c>
      <c r="P2264" s="6" t="str">
        <f>IFERROR(__xludf.DUMMYFUNCTION("""COMPUTED_VALUE"""),"PO Closed")</f>
        <v>PO Closed</v>
      </c>
      <c r="Q2264" s="6" t="str">
        <f>IFERROR(__xludf.DUMMYFUNCTION("""COMPUTED_VALUE"""),"GL2303016")</f>
        <v>GL2303016</v>
      </c>
      <c r="R2264" s="57">
        <f>IFERROR(__xludf.DUMMYFUNCTION("""COMPUTED_VALUE"""),44952.0)</f>
        <v>44952</v>
      </c>
      <c r="S2264" s="57">
        <f>IFERROR(__xludf.DUMMYFUNCTION("""COMPUTED_VALUE"""),44958.0)</f>
        <v>44958</v>
      </c>
      <c r="T2264" s="57">
        <f>IFERROR(__xludf.DUMMYFUNCTION("""COMPUTED_VALUE"""),45007.0)</f>
        <v>45007</v>
      </c>
    </row>
    <row r="2265">
      <c r="A2265" s="6" t="str">
        <f>IFERROR(__xludf.DUMMYFUNCTION("""COMPUTED_VALUE"""),"231750089-2")</f>
        <v>231750089-2</v>
      </c>
      <c r="B2265" s="6" t="str">
        <f>IFERROR(__xludf.DUMMYFUNCTION("""COMPUTED_VALUE"""),"231750089 - Approved")</f>
        <v>231750089 - Approved</v>
      </c>
      <c r="C2265" s="6">
        <f>IFERROR(__xludf.DUMMYFUNCTION("""COMPUTED_VALUE"""),2.0)</f>
        <v>2</v>
      </c>
      <c r="D2265" s="6" t="str">
        <f>IFERROR(__xludf.DUMMYFUNCTION("""COMPUTED_VALUE"""),"S-60002-00")</f>
        <v>S-60002-00</v>
      </c>
      <c r="E2265" s="6" t="str">
        <f>IFERROR(__xludf.DUMMYFUNCTION("""COMPUTED_VALUE"""),"Jasa Perbaikan dan Pemeliharaan Mesin Utility - Repair Clamp untuk Vaccum FD IMA")</f>
        <v>Jasa Perbaikan dan Pemeliharaan Mesin Utility - Repair Clamp untuk Vaccum FD IMA</v>
      </c>
      <c r="F2265" s="6">
        <f>IFERROR(__xludf.DUMMYFUNCTION("""COMPUTED_VALUE"""),1.0)</f>
        <v>1</v>
      </c>
      <c r="G2265" s="6" t="str">
        <f>IFERROR(__xludf.DUMMYFUNCTION("""COMPUTED_VALUE"""),"Lot")</f>
        <v>Lot</v>
      </c>
      <c r="H2265" s="6" t="str">
        <f>IFERROR(__xludf.DUMMYFUNCTION("""COMPUTED_VALUE"""),"IDR")</f>
        <v>IDR</v>
      </c>
      <c r="I2265" s="11">
        <f>IFERROR(__xludf.DUMMYFUNCTION("""COMPUTED_VALUE"""),155000.0)</f>
        <v>155000</v>
      </c>
      <c r="J2265" s="11">
        <f>IFERROR(__xludf.DUMMYFUNCTION("""COMPUTED_VALUE"""),155000.0)</f>
        <v>155000</v>
      </c>
      <c r="K2265" s="57">
        <f>IFERROR(__xludf.DUMMYFUNCTION("""COMPUTED_VALUE"""),44992.0)</f>
        <v>44992</v>
      </c>
      <c r="L2265" s="6" t="str">
        <f>IFERROR(__xludf.DUMMYFUNCTION("""COMPUTED_VALUE"""),"FIP General")</f>
        <v>FIP General</v>
      </c>
      <c r="M2265" s="6" t="str">
        <f>IFERROR(__xludf.DUMMYFUNCTION("""COMPUTED_VALUE"""),"Irwan Sopian")</f>
        <v>Irwan Sopian</v>
      </c>
      <c r="N2265" s="6" t="str">
        <f>IFERROR(__xludf.DUMMYFUNCTION("""COMPUTED_VALUE"""),"FIP Engineering")</f>
        <v>FIP Engineering</v>
      </c>
      <c r="O2265" s="6" t="str">
        <f>IFERROR(__xludf.DUMMYFUNCTION("""COMPUTED_VALUE"""),"FIP-DOM-ENG-51508-0000000-INA-000000")</f>
        <v>FIP-DOM-ENG-51508-0000000-INA-000000</v>
      </c>
      <c r="P2265" s="6" t="str">
        <f>IFERROR(__xludf.DUMMYFUNCTION("""COMPUTED_VALUE"""),"PO Closed")</f>
        <v>PO Closed</v>
      </c>
      <c r="Q2265" s="6" t="str">
        <f>IFERROR(__xludf.DUMMYFUNCTION("""COMPUTED_VALUE"""),"GL2303016")</f>
        <v>GL2303016</v>
      </c>
      <c r="R2265" s="57">
        <f>IFERROR(__xludf.DUMMYFUNCTION("""COMPUTED_VALUE"""),44952.0)</f>
        <v>44952</v>
      </c>
      <c r="S2265" s="57">
        <f>IFERROR(__xludf.DUMMYFUNCTION("""COMPUTED_VALUE"""),44958.0)</f>
        <v>44958</v>
      </c>
      <c r="T2265" s="57">
        <f>IFERROR(__xludf.DUMMYFUNCTION("""COMPUTED_VALUE"""),45007.0)</f>
        <v>45007</v>
      </c>
    </row>
    <row r="2266">
      <c r="A2266" s="6" t="str">
        <f>IFERROR(__xludf.DUMMYFUNCTION("""COMPUTED_VALUE"""),"231750090-1")</f>
        <v>231750090-1</v>
      </c>
      <c r="B2266" s="6" t="str">
        <f>IFERROR(__xludf.DUMMYFUNCTION("""COMPUTED_VALUE"""),"231750090 - Approved")</f>
        <v>231750090 - Approved</v>
      </c>
      <c r="C2266" s="6">
        <f>IFERROR(__xludf.DUMMYFUNCTION("""COMPUTED_VALUE"""),1.0)</f>
        <v>1</v>
      </c>
      <c r="D2266" s="6" t="str">
        <f>IFERROR(__xludf.DUMMYFUNCTION("""COMPUTED_VALUE"""),"S-60002-00")</f>
        <v>S-60002-00</v>
      </c>
      <c r="E2266" s="6" t="str">
        <f>IFERROR(__xludf.DUMMYFUNCTION("""COMPUTED_VALUE"""),"Jasa Perbaikan dan Pemeliharaan Mesin Utility - Modifikasi Cover Conveyor Washing")</f>
        <v>Jasa Perbaikan dan Pemeliharaan Mesin Utility - Modifikasi Cover Conveyor Washing</v>
      </c>
      <c r="F2266" s="6">
        <f>IFERROR(__xludf.DUMMYFUNCTION("""COMPUTED_VALUE"""),1.0)</f>
        <v>1</v>
      </c>
      <c r="G2266" s="6" t="str">
        <f>IFERROR(__xludf.DUMMYFUNCTION("""COMPUTED_VALUE"""),"Lot")</f>
        <v>Lot</v>
      </c>
      <c r="H2266" s="6" t="str">
        <f>IFERROR(__xludf.DUMMYFUNCTION("""COMPUTED_VALUE"""),"IDR")</f>
        <v>IDR</v>
      </c>
      <c r="I2266" s="11">
        <f>IFERROR(__xludf.DUMMYFUNCTION("""COMPUTED_VALUE"""),1785000.0)</f>
        <v>1785000</v>
      </c>
      <c r="J2266" s="11">
        <f>IFERROR(__xludf.DUMMYFUNCTION("""COMPUTED_VALUE"""),1785000.0)</f>
        <v>1785000</v>
      </c>
      <c r="K2266" s="57">
        <f>IFERROR(__xludf.DUMMYFUNCTION("""COMPUTED_VALUE"""),44995.0)</f>
        <v>44995</v>
      </c>
      <c r="L2266" s="6" t="str">
        <f>IFERROR(__xludf.DUMMYFUNCTION("""COMPUTED_VALUE"""),"FIP General")</f>
        <v>FIP General</v>
      </c>
      <c r="M2266" s="6" t="str">
        <f>IFERROR(__xludf.DUMMYFUNCTION("""COMPUTED_VALUE"""),"Irwan Sopian")</f>
        <v>Irwan Sopian</v>
      </c>
      <c r="N2266" s="6" t="str">
        <f>IFERROR(__xludf.DUMMYFUNCTION("""COMPUTED_VALUE"""),"FIP Engineering")</f>
        <v>FIP Engineering</v>
      </c>
      <c r="O2266" s="6" t="str">
        <f>IFERROR(__xludf.DUMMYFUNCTION("""COMPUTED_VALUE"""),"FIP-DOM-ENG-51508-0000000-INA-000000")</f>
        <v>FIP-DOM-ENG-51508-0000000-INA-000000</v>
      </c>
      <c r="P2266" s="6" t="str">
        <f>IFERROR(__xludf.DUMMYFUNCTION("""COMPUTED_VALUE"""),"PO Closed")</f>
        <v>PO Closed</v>
      </c>
      <c r="Q2266" s="6" t="str">
        <f>IFERROR(__xludf.DUMMYFUNCTION("""COMPUTED_VALUE"""),"GL2304040")</f>
        <v>GL2304040</v>
      </c>
      <c r="R2266" s="57">
        <f>IFERROR(__xludf.DUMMYFUNCTION("""COMPUTED_VALUE"""),44952.0)</f>
        <v>44952</v>
      </c>
      <c r="S2266" s="57">
        <f>IFERROR(__xludf.DUMMYFUNCTION("""COMPUTED_VALUE"""),44964.0)</f>
        <v>44964</v>
      </c>
      <c r="T2266" s="57">
        <f>IFERROR(__xludf.DUMMYFUNCTION("""COMPUTED_VALUE"""),45082.0)</f>
        <v>45082</v>
      </c>
    </row>
    <row r="2267">
      <c r="A2267" s="6" t="str">
        <f>IFERROR(__xludf.DUMMYFUNCTION("""COMPUTED_VALUE"""),"231750091-1")</f>
        <v>231750091-1</v>
      </c>
      <c r="B2267" s="6" t="str">
        <f>IFERROR(__xludf.DUMMYFUNCTION("""COMPUTED_VALUE"""),"231750091 - Approved")</f>
        <v>231750091 - Approved</v>
      </c>
      <c r="C2267" s="6">
        <f>IFERROR(__xludf.DUMMYFUNCTION("""COMPUTED_VALUE"""),1.0)</f>
        <v>1</v>
      </c>
      <c r="D2267" s="6" t="str">
        <f>IFERROR(__xludf.DUMMYFUNCTION("""COMPUTED_VALUE"""),"O-18929-00")</f>
        <v>O-18929-00</v>
      </c>
      <c r="E2267" s="6" t="str">
        <f>IFERROR(__xludf.DUMMYFUNCTION("""COMPUTED_VALUE"""),"Freeze Dryer MBE1207 - Compressor Filter Oil; ; ;")</f>
        <v>Freeze Dryer MBE1207 - Compressor Filter Oil; ; ;</v>
      </c>
      <c r="F2267" s="6">
        <f>IFERROR(__xludf.DUMMYFUNCTION("""COMPUTED_VALUE"""),2.0)</f>
        <v>2</v>
      </c>
      <c r="G2267" s="6" t="str">
        <f>IFERROR(__xludf.DUMMYFUNCTION("""COMPUTED_VALUE"""),"Pieces")</f>
        <v>Pieces</v>
      </c>
      <c r="H2267" s="6" t="str">
        <f>IFERROR(__xludf.DUMMYFUNCTION("""COMPUTED_VALUE"""),"USD")</f>
        <v>USD</v>
      </c>
      <c r="I2267" s="6">
        <f>IFERROR(__xludf.DUMMYFUNCTION("""COMPUTED_VALUE"""),79.42)</f>
        <v>79.42</v>
      </c>
      <c r="J2267" s="6">
        <f>IFERROR(__xludf.DUMMYFUNCTION("""COMPUTED_VALUE"""),158.84)</f>
        <v>158.84</v>
      </c>
      <c r="K2267" s="57">
        <f>IFERROR(__xludf.DUMMYFUNCTION("""COMPUTED_VALUE"""),45020.0)</f>
        <v>45020</v>
      </c>
      <c r="L2267" s="6" t="str">
        <f>IFERROR(__xludf.DUMMYFUNCTION("""COMPUTED_VALUE"""),"FIP Engineering")</f>
        <v>FIP Engineering</v>
      </c>
      <c r="M2267" s="6" t="str">
        <f>IFERROR(__xludf.DUMMYFUNCTION("""COMPUTED_VALUE"""),"Irwan Sopian")</f>
        <v>Irwan Sopian</v>
      </c>
      <c r="N2267" s="6" t="str">
        <f>IFERROR(__xludf.DUMMYFUNCTION("""COMPUTED_VALUE"""),"FIP Engineering")</f>
        <v>FIP Engineering</v>
      </c>
      <c r="O2267" s="6" t="str">
        <f>IFERROR(__xludf.DUMMYFUNCTION("""COMPUTED_VALUE"""),"FIP-DOM-000-11304-OS00001-INA-000000")</f>
        <v>FIP-DOM-000-11304-OS00001-INA-000000</v>
      </c>
      <c r="P2267" s="6" t="str">
        <f>IFERROR(__xludf.DUMMYFUNCTION("""COMPUTED_VALUE"""),"PO Closed")</f>
        <v>PO Closed</v>
      </c>
      <c r="Q2267" s="6" t="str">
        <f>IFERROR(__xludf.DUMMYFUNCTION("""COMPUTED_VALUE"""),"GL2302017")</f>
        <v>GL2302017</v>
      </c>
      <c r="R2267" s="57">
        <f>IFERROR(__xludf.DUMMYFUNCTION("""COMPUTED_VALUE"""),44952.0)</f>
        <v>44952</v>
      </c>
      <c r="S2267" s="57">
        <f>IFERROR(__xludf.DUMMYFUNCTION("""COMPUTED_VALUE"""),44963.0)</f>
        <v>44963</v>
      </c>
      <c r="T2267" s="57">
        <f>IFERROR(__xludf.DUMMYFUNCTION("""COMPUTED_VALUE"""),45169.0)</f>
        <v>45169</v>
      </c>
    </row>
    <row r="2268">
      <c r="A2268" s="6" t="str">
        <f>IFERROR(__xludf.DUMMYFUNCTION("""COMPUTED_VALUE"""),"231750092-1")</f>
        <v>231750092-1</v>
      </c>
      <c r="B2268" s="6" t="str">
        <f>IFERROR(__xludf.DUMMYFUNCTION("""COMPUTED_VALUE"""),"231750092 - Approved")</f>
        <v>231750092 - Approved</v>
      </c>
      <c r="C2268" s="6">
        <f>IFERROR(__xludf.DUMMYFUNCTION("""COMPUTED_VALUE"""),1.0)</f>
        <v>1</v>
      </c>
      <c r="D2268" s="6" t="str">
        <f>IFERROR(__xludf.DUMMYFUNCTION("""COMPUTED_VALUE"""),"O-52854-00")</f>
        <v>O-52854-00</v>
      </c>
      <c r="E2268" s="6" t="str">
        <f>IFERROR(__xludf.DUMMYFUNCTION("""COMPUTED_VALUE"""),"Safety Sensor GG505S GIGA-4015-US; IFM; ;")</f>
        <v>Safety Sensor GG505S GIGA-4015-US; IFM; ;</v>
      </c>
      <c r="F2268" s="6">
        <f>IFERROR(__xludf.DUMMYFUNCTION("""COMPUTED_VALUE"""),2.0)</f>
        <v>2</v>
      </c>
      <c r="G2268" s="6" t="str">
        <f>IFERROR(__xludf.DUMMYFUNCTION("""COMPUTED_VALUE"""),"Pieces")</f>
        <v>Pieces</v>
      </c>
      <c r="H2268" s="6" t="str">
        <f>IFERROR(__xludf.DUMMYFUNCTION("""COMPUTED_VALUE"""),"IDR")</f>
        <v>IDR</v>
      </c>
      <c r="I2268" s="11">
        <f>IFERROR(__xludf.DUMMYFUNCTION("""COMPUTED_VALUE"""),2685000.0)</f>
        <v>2685000</v>
      </c>
      <c r="J2268" s="11">
        <f>IFERROR(__xludf.DUMMYFUNCTION("""COMPUTED_VALUE"""),5370000.0)</f>
        <v>5370000</v>
      </c>
      <c r="K2268" s="57">
        <f>IFERROR(__xludf.DUMMYFUNCTION("""COMPUTED_VALUE"""),44985.0)</f>
        <v>44985</v>
      </c>
      <c r="L2268" s="6" t="str">
        <f>IFERROR(__xludf.DUMMYFUNCTION("""COMPUTED_VALUE"""),"FIP Engineering")</f>
        <v>FIP Engineering</v>
      </c>
      <c r="M2268" s="6" t="str">
        <f>IFERROR(__xludf.DUMMYFUNCTION("""COMPUTED_VALUE"""),"Irwan Sopian")</f>
        <v>Irwan Sopian</v>
      </c>
      <c r="N2268" s="6" t="str">
        <f>IFERROR(__xludf.DUMMYFUNCTION("""COMPUTED_VALUE"""),"FIP Engineering")</f>
        <v>FIP Engineering</v>
      </c>
      <c r="O2268" s="6" t="str">
        <f>IFERROR(__xludf.DUMMYFUNCTION("""COMPUTED_VALUE"""),"FIP-DOM-000-11304-OS00001-INA-000000")</f>
        <v>FIP-DOM-000-11304-OS00001-INA-000000</v>
      </c>
      <c r="P2268" s="6" t="str">
        <f>IFERROR(__xludf.DUMMYFUNCTION("""COMPUTED_VALUE"""),"PO Closed")</f>
        <v>PO Closed</v>
      </c>
      <c r="Q2268" s="6" t="str">
        <f>IFERROR(__xludf.DUMMYFUNCTION("""COMPUTED_VALUE"""),"GL2302055")</f>
        <v>GL2302055</v>
      </c>
      <c r="R2268" s="57">
        <f>IFERROR(__xludf.DUMMYFUNCTION("""COMPUTED_VALUE"""),44952.0)</f>
        <v>44952</v>
      </c>
      <c r="S2268" s="57">
        <f>IFERROR(__xludf.DUMMYFUNCTION("""COMPUTED_VALUE"""),44963.0)</f>
        <v>44963</v>
      </c>
      <c r="T2268" s="57">
        <f>IFERROR(__xludf.DUMMYFUNCTION("""COMPUTED_VALUE"""),45036.0)</f>
        <v>45036</v>
      </c>
    </row>
    <row r="2269">
      <c r="A2269" s="6" t="str">
        <f>IFERROR(__xludf.DUMMYFUNCTION("""COMPUTED_VALUE"""),"231750103-1")</f>
        <v>231750103-1</v>
      </c>
      <c r="B2269" s="6" t="str">
        <f>IFERROR(__xludf.DUMMYFUNCTION("""COMPUTED_VALUE"""),"231750103 - Approved")</f>
        <v>231750103 - Approved</v>
      </c>
      <c r="C2269" s="6">
        <f>IFERROR(__xludf.DUMMYFUNCTION("""COMPUTED_VALUE"""),1.0)</f>
        <v>1</v>
      </c>
      <c r="D2269" s="6" t="str">
        <f>IFERROR(__xludf.DUMMYFUNCTION("""COMPUTED_VALUE"""),"P-51027-00")</f>
        <v>P-51027-00</v>
      </c>
      <c r="E226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2269" s="6">
        <f>IFERROR(__xludf.DUMMYFUNCTION("""COMPUTED_VALUE"""),10.0)</f>
        <v>10</v>
      </c>
      <c r="G2269" s="6" t="str">
        <f>IFERROR(__xludf.DUMMYFUNCTION("""COMPUTED_VALUE"""),"Pieces")</f>
        <v>Pieces</v>
      </c>
      <c r="H2269" s="6" t="str">
        <f>IFERROR(__xludf.DUMMYFUNCTION("""COMPUTED_VALUE"""),"IDR")</f>
        <v>IDR</v>
      </c>
      <c r="I2269" s="11">
        <f>IFERROR(__xludf.DUMMYFUNCTION("""COMPUTED_VALUE"""),40500.0)</f>
        <v>40500</v>
      </c>
      <c r="J2269" s="11">
        <f>IFERROR(__xludf.DUMMYFUNCTION("""COMPUTED_VALUE"""),405000.0)</f>
        <v>405000</v>
      </c>
      <c r="K2269" s="57">
        <f>IFERROR(__xludf.DUMMYFUNCTION("""COMPUTED_VALUE"""),44992.0)</f>
        <v>44992</v>
      </c>
      <c r="L2269" s="6" t="str">
        <f>IFERROR(__xludf.DUMMYFUNCTION("""COMPUTED_VALUE"""),"FIP Engineering")</f>
        <v>FIP Engineering</v>
      </c>
      <c r="M2269" s="6" t="str">
        <f>IFERROR(__xludf.DUMMYFUNCTION("""COMPUTED_VALUE"""),"Irwan Sopian")</f>
        <v>Irwan Sopian</v>
      </c>
      <c r="N2269" s="6" t="str">
        <f>IFERROR(__xludf.DUMMYFUNCTION("""COMPUTED_VALUE"""),"FIP Engineering")</f>
        <v>FIP Engineering</v>
      </c>
      <c r="O2269" s="6" t="str">
        <f>IFERROR(__xludf.DUMMYFUNCTION("""COMPUTED_VALUE"""),"FIP-DOM-000-11304-OS00001-INA-000000")</f>
        <v>FIP-DOM-000-11304-OS00001-INA-000000</v>
      </c>
      <c r="P2269" s="6" t="str">
        <f>IFERROR(__xludf.DUMMYFUNCTION("""COMPUTED_VALUE"""),"PO Closed")</f>
        <v>PO Closed</v>
      </c>
      <c r="Q2269" s="6" t="str">
        <f>IFERROR(__xludf.DUMMYFUNCTION("""COMPUTED_VALUE"""),"GL2304004")</f>
        <v>GL2304004</v>
      </c>
      <c r="R2269" s="57">
        <f>IFERROR(__xludf.DUMMYFUNCTION("""COMPUTED_VALUE"""),44958.0)</f>
        <v>44958</v>
      </c>
      <c r="S2269" s="57">
        <f>IFERROR(__xludf.DUMMYFUNCTION("""COMPUTED_VALUE"""),44963.0)</f>
        <v>44963</v>
      </c>
      <c r="T2269" s="57">
        <f>IFERROR(__xludf.DUMMYFUNCTION("""COMPUTED_VALUE"""),45031.0)</f>
        <v>45031</v>
      </c>
    </row>
    <row r="2270">
      <c r="A2270" s="6" t="str">
        <f>IFERROR(__xludf.DUMMYFUNCTION("""COMPUTED_VALUE"""),"231750103-2")</f>
        <v>231750103-2</v>
      </c>
      <c r="B2270" s="6" t="str">
        <f>IFERROR(__xludf.DUMMYFUNCTION("""COMPUTED_VALUE"""),"231750103 - Approved")</f>
        <v>231750103 - Approved</v>
      </c>
      <c r="C2270" s="6">
        <f>IFERROR(__xludf.DUMMYFUNCTION("""COMPUTED_VALUE"""),2.0)</f>
        <v>2</v>
      </c>
      <c r="D2270" s="6" t="str">
        <f>IFERROR(__xludf.DUMMYFUNCTION("""COMPUTED_VALUE"""),"P-52640-00")</f>
        <v>P-52640-00</v>
      </c>
      <c r="E2270" s="6" t="str">
        <f>IFERROR(__xludf.DUMMYFUNCTION("""COMPUTED_VALUE"""),"Bola lampu 220 V 5 Watt for Cartoning Machine; ; ;")</f>
        <v>Bola lampu 220 V 5 Watt for Cartoning Machine; ; ;</v>
      </c>
      <c r="F2270" s="6">
        <f>IFERROR(__xludf.DUMMYFUNCTION("""COMPUTED_VALUE"""),10.0)</f>
        <v>10</v>
      </c>
      <c r="G2270" s="6" t="str">
        <f>IFERROR(__xludf.DUMMYFUNCTION("""COMPUTED_VALUE"""),"Pieces")</f>
        <v>Pieces</v>
      </c>
      <c r="H2270" s="6" t="str">
        <f>IFERROR(__xludf.DUMMYFUNCTION("""COMPUTED_VALUE"""),"IDR")</f>
        <v>IDR</v>
      </c>
      <c r="I2270" s="11">
        <f>IFERROR(__xludf.DUMMYFUNCTION("""COMPUTED_VALUE"""),22500.0)</f>
        <v>22500</v>
      </c>
      <c r="J2270" s="11">
        <f>IFERROR(__xludf.DUMMYFUNCTION("""COMPUTED_VALUE"""),225000.0)</f>
        <v>225000</v>
      </c>
      <c r="K2270" s="57">
        <f>IFERROR(__xludf.DUMMYFUNCTION("""COMPUTED_VALUE"""),44992.0)</f>
        <v>44992</v>
      </c>
      <c r="L2270" s="6" t="str">
        <f>IFERROR(__xludf.DUMMYFUNCTION("""COMPUTED_VALUE"""),"FIP Engineering")</f>
        <v>FIP Engineering</v>
      </c>
      <c r="M2270" s="6" t="str">
        <f>IFERROR(__xludf.DUMMYFUNCTION("""COMPUTED_VALUE"""),"Irwan Sopian")</f>
        <v>Irwan Sopian</v>
      </c>
      <c r="N2270" s="6" t="str">
        <f>IFERROR(__xludf.DUMMYFUNCTION("""COMPUTED_VALUE"""),"FIP Engineering")</f>
        <v>FIP Engineering</v>
      </c>
      <c r="O2270" s="6" t="str">
        <f>IFERROR(__xludf.DUMMYFUNCTION("""COMPUTED_VALUE"""),"FIP-DOM-000-11304-OS00001-INA-000000")</f>
        <v>FIP-DOM-000-11304-OS00001-INA-000000</v>
      </c>
      <c r="P2270" s="6" t="str">
        <f>IFERROR(__xludf.DUMMYFUNCTION("""COMPUTED_VALUE"""),"PO Closed")</f>
        <v>PO Closed</v>
      </c>
      <c r="Q2270" s="6" t="str">
        <f>IFERROR(__xludf.DUMMYFUNCTION("""COMPUTED_VALUE"""),"GL2303304")</f>
        <v>GL2303304</v>
      </c>
      <c r="R2270" s="57">
        <f>IFERROR(__xludf.DUMMYFUNCTION("""COMPUTED_VALUE"""),44958.0)</f>
        <v>44958</v>
      </c>
      <c r="S2270" s="57">
        <f>IFERROR(__xludf.DUMMYFUNCTION("""COMPUTED_VALUE"""),44963.0)</f>
        <v>44963</v>
      </c>
      <c r="T2270" s="57">
        <f>IFERROR(__xludf.DUMMYFUNCTION("""COMPUTED_VALUE"""),45021.0)</f>
        <v>45021</v>
      </c>
    </row>
    <row r="2271">
      <c r="A2271" s="6" t="str">
        <f>IFERROR(__xludf.DUMMYFUNCTION("""COMPUTED_VALUE"""),"231750104-1")</f>
        <v>231750104-1</v>
      </c>
      <c r="B2271" s="6" t="str">
        <f>IFERROR(__xludf.DUMMYFUNCTION("""COMPUTED_VALUE"""),"231750104 - Approved")</f>
        <v>231750104 - Approved</v>
      </c>
      <c r="C2271" s="6">
        <f>IFERROR(__xludf.DUMMYFUNCTION("""COMPUTED_VALUE"""),1.0)</f>
        <v>1</v>
      </c>
      <c r="D2271" s="6" t="str">
        <f>IFERROR(__xludf.DUMMYFUNCTION("""COMPUTED_VALUE"""),"S-60002-00")</f>
        <v>S-60002-00</v>
      </c>
      <c r="E2271" s="6" t="str">
        <f>IFERROR(__xludf.DUMMYFUNCTION("""COMPUTED_VALUE"""),"Jasa Perbaikan dan Pemeliharaan Mesin Utility - Maerial For Jasa Master Brake 55015042200")</f>
        <v>Jasa Perbaikan dan Pemeliharaan Mesin Utility - Maerial For Jasa Master Brake 55015042200</v>
      </c>
      <c r="F2271" s="6">
        <f>IFERROR(__xludf.DUMMYFUNCTION("""COMPUTED_VALUE"""),1.0)</f>
        <v>1</v>
      </c>
      <c r="G2271" s="6" t="str">
        <f>IFERROR(__xludf.DUMMYFUNCTION("""COMPUTED_VALUE"""),"Lot")</f>
        <v>Lot</v>
      </c>
      <c r="H2271" s="6" t="str">
        <f>IFERROR(__xludf.DUMMYFUNCTION("""COMPUTED_VALUE"""),"IDR")</f>
        <v>IDR</v>
      </c>
      <c r="I2271" s="11">
        <f>IFERROR(__xludf.DUMMYFUNCTION("""COMPUTED_VALUE"""),3750000.0)</f>
        <v>3750000</v>
      </c>
      <c r="J2271" s="11">
        <f>IFERROR(__xludf.DUMMYFUNCTION("""COMPUTED_VALUE"""),3750000.0)</f>
        <v>3750000</v>
      </c>
      <c r="K2271" s="57">
        <f>IFERROR(__xludf.DUMMYFUNCTION("""COMPUTED_VALUE"""),44999.0)</f>
        <v>44999</v>
      </c>
      <c r="L2271" s="6" t="str">
        <f>IFERROR(__xludf.DUMMYFUNCTION("""COMPUTED_VALUE"""),"FIP General")</f>
        <v>FIP General</v>
      </c>
      <c r="M2271" s="6" t="str">
        <f>IFERROR(__xludf.DUMMYFUNCTION("""COMPUTED_VALUE"""),"Irwan Sopian")</f>
        <v>Irwan Sopian</v>
      </c>
      <c r="N2271" s="6" t="str">
        <f>IFERROR(__xludf.DUMMYFUNCTION("""COMPUTED_VALUE"""),"FIP Engineering")</f>
        <v>FIP Engineering</v>
      </c>
      <c r="O2271" s="6" t="str">
        <f>IFERROR(__xludf.DUMMYFUNCTION("""COMPUTED_VALUE"""),"FIP-DOM-ENG-51508-0000000-INA-000000")</f>
        <v>FIP-DOM-ENG-51508-0000000-INA-000000</v>
      </c>
      <c r="P2271" s="6" t="str">
        <f>IFERROR(__xludf.DUMMYFUNCTION("""COMPUTED_VALUE"""),"PO Closed")</f>
        <v>PO Closed</v>
      </c>
      <c r="Q2271" s="6" t="str">
        <f>IFERROR(__xludf.DUMMYFUNCTION("""COMPUTED_VALUE"""),"GL2303008")</f>
        <v>GL2303008</v>
      </c>
      <c r="R2271" s="57">
        <f>IFERROR(__xludf.DUMMYFUNCTION("""COMPUTED_VALUE"""),44958.0)</f>
        <v>44958</v>
      </c>
      <c r="S2271" s="57">
        <f>IFERROR(__xludf.DUMMYFUNCTION("""COMPUTED_VALUE"""),44958.0)</f>
        <v>44958</v>
      </c>
      <c r="T2271" s="57">
        <f>IFERROR(__xludf.DUMMYFUNCTION("""COMPUTED_VALUE"""),45007.0)</f>
        <v>45007</v>
      </c>
    </row>
    <row r="2272">
      <c r="A2272" s="6" t="str">
        <f>IFERROR(__xludf.DUMMYFUNCTION("""COMPUTED_VALUE"""),"231750104-2")</f>
        <v>231750104-2</v>
      </c>
      <c r="B2272" s="6" t="str">
        <f>IFERROR(__xludf.DUMMYFUNCTION("""COMPUTED_VALUE"""),"231750104 - Approved")</f>
        <v>231750104 - Approved</v>
      </c>
      <c r="C2272" s="6">
        <f>IFERROR(__xludf.DUMMYFUNCTION("""COMPUTED_VALUE"""),2.0)</f>
        <v>2</v>
      </c>
      <c r="D2272" s="6" t="str">
        <f>IFERROR(__xludf.DUMMYFUNCTION("""COMPUTED_VALUE"""),"S-60002-00")</f>
        <v>S-60002-00</v>
      </c>
      <c r="E2272" s="6" t="str">
        <f>IFERROR(__xludf.DUMMYFUNCTION("""COMPUTED_VALUE"""),"Jasa Perbaikan dan Pemeliharaan Mesin Utility - Jasa Bongkar pasang")</f>
        <v>Jasa Perbaikan dan Pemeliharaan Mesin Utility - Jasa Bongkar pasang</v>
      </c>
      <c r="F2272" s="6">
        <f>IFERROR(__xludf.DUMMYFUNCTION("""COMPUTED_VALUE"""),1.0)</f>
        <v>1</v>
      </c>
      <c r="G2272" s="6" t="str">
        <f>IFERROR(__xludf.DUMMYFUNCTION("""COMPUTED_VALUE"""),"Lot")</f>
        <v>Lot</v>
      </c>
      <c r="H2272" s="6" t="str">
        <f>IFERROR(__xludf.DUMMYFUNCTION("""COMPUTED_VALUE"""),"IDR")</f>
        <v>IDR</v>
      </c>
      <c r="I2272" s="11">
        <f>IFERROR(__xludf.DUMMYFUNCTION("""COMPUTED_VALUE"""),1000000.0)</f>
        <v>1000000</v>
      </c>
      <c r="J2272" s="11">
        <f>IFERROR(__xludf.DUMMYFUNCTION("""COMPUTED_VALUE"""),1000000.0)</f>
        <v>1000000</v>
      </c>
      <c r="K2272" s="57">
        <f>IFERROR(__xludf.DUMMYFUNCTION("""COMPUTED_VALUE"""),45006.0)</f>
        <v>45006</v>
      </c>
      <c r="L2272" s="6" t="str">
        <f>IFERROR(__xludf.DUMMYFUNCTION("""COMPUTED_VALUE"""),"FIP General")</f>
        <v>FIP General</v>
      </c>
      <c r="M2272" s="6" t="str">
        <f>IFERROR(__xludf.DUMMYFUNCTION("""COMPUTED_VALUE"""),"Irwan Sopian")</f>
        <v>Irwan Sopian</v>
      </c>
      <c r="N2272" s="6" t="str">
        <f>IFERROR(__xludf.DUMMYFUNCTION("""COMPUTED_VALUE"""),"FIP Engineering")</f>
        <v>FIP Engineering</v>
      </c>
      <c r="O2272" s="6" t="str">
        <f>IFERROR(__xludf.DUMMYFUNCTION("""COMPUTED_VALUE"""),"FIP-DOM-ENG-51508-0000000-INA-000000")</f>
        <v>FIP-DOM-ENG-51508-0000000-INA-000000</v>
      </c>
      <c r="P2272" s="6" t="str">
        <f>IFERROR(__xludf.DUMMYFUNCTION("""COMPUTED_VALUE"""),"PO Closed")</f>
        <v>PO Closed</v>
      </c>
      <c r="Q2272" s="6" t="str">
        <f>IFERROR(__xludf.DUMMYFUNCTION("""COMPUTED_VALUE"""),"GL2303008")</f>
        <v>GL2303008</v>
      </c>
      <c r="R2272" s="57">
        <f>IFERROR(__xludf.DUMMYFUNCTION("""COMPUTED_VALUE"""),44958.0)</f>
        <v>44958</v>
      </c>
      <c r="S2272" s="57">
        <f>IFERROR(__xludf.DUMMYFUNCTION("""COMPUTED_VALUE"""),44958.0)</f>
        <v>44958</v>
      </c>
      <c r="T2272" s="57">
        <f>IFERROR(__xludf.DUMMYFUNCTION("""COMPUTED_VALUE"""),45007.0)</f>
        <v>45007</v>
      </c>
    </row>
    <row r="2273">
      <c r="A2273" s="6" t="str">
        <f>IFERROR(__xludf.DUMMYFUNCTION("""COMPUTED_VALUE"""),"231750108-1")</f>
        <v>231750108-1</v>
      </c>
      <c r="B2273" s="6" t="str">
        <f>IFERROR(__xludf.DUMMYFUNCTION("""COMPUTED_VALUE"""),"231750108 - Approved")</f>
        <v>231750108 - Approved</v>
      </c>
      <c r="C2273" s="6">
        <f>IFERROR(__xludf.DUMMYFUNCTION("""COMPUTED_VALUE"""),1.0)</f>
        <v>1</v>
      </c>
      <c r="D2273" s="6" t="str">
        <f>IFERROR(__xludf.DUMMYFUNCTION("""COMPUTED_VALUE"""),"P-12420-00")</f>
        <v>P-12420-00</v>
      </c>
      <c r="E2273" s="6" t="str">
        <f>IFERROR(__xludf.DUMMYFUNCTION("""COMPUTED_VALUE"""),"Hole saw u/ stainless stell dia 25 mm ex UNIKA")</f>
        <v>Hole saw u/ stainless stell dia 25 mm ex UNIKA</v>
      </c>
      <c r="F2273" s="6">
        <f>IFERROR(__xludf.DUMMYFUNCTION("""COMPUTED_VALUE"""),1.0)</f>
        <v>1</v>
      </c>
      <c r="G2273" s="6" t="str">
        <f>IFERROR(__xludf.DUMMYFUNCTION("""COMPUTED_VALUE"""),"Pieces")</f>
        <v>Pieces</v>
      </c>
      <c r="H2273" s="6" t="str">
        <f>IFERROR(__xludf.DUMMYFUNCTION("""COMPUTED_VALUE"""),"IDR")</f>
        <v>IDR</v>
      </c>
      <c r="I2273" s="11">
        <f>IFERROR(__xludf.DUMMYFUNCTION("""COMPUTED_VALUE"""),414000.0)</f>
        <v>414000</v>
      </c>
      <c r="J2273" s="11">
        <f>IFERROR(__xludf.DUMMYFUNCTION("""COMPUTED_VALUE"""),414000.0)</f>
        <v>414000</v>
      </c>
      <c r="K2273" s="57">
        <f>IFERROR(__xludf.DUMMYFUNCTION("""COMPUTED_VALUE"""),44999.0)</f>
        <v>44999</v>
      </c>
      <c r="L2273" s="6" t="str">
        <f>IFERROR(__xludf.DUMMYFUNCTION("""COMPUTED_VALUE"""),"FIP Engineering")</f>
        <v>FIP Engineering</v>
      </c>
      <c r="M2273" s="6" t="str">
        <f>IFERROR(__xludf.DUMMYFUNCTION("""COMPUTED_VALUE"""),"Irwan Sopian")</f>
        <v>Irwan Sopian</v>
      </c>
      <c r="N2273" s="6" t="str">
        <f>IFERROR(__xludf.DUMMYFUNCTION("""COMPUTED_VALUE"""),"FIP Engineering")</f>
        <v>FIP Engineering</v>
      </c>
      <c r="O2273" s="6" t="str">
        <f>IFERROR(__xludf.DUMMYFUNCTION("""COMPUTED_VALUE"""),"FIP-DOM-000-11304-OS00001-INA-000000")</f>
        <v>FIP-DOM-000-11304-OS00001-INA-000000</v>
      </c>
      <c r="P2273" s="6" t="str">
        <f>IFERROR(__xludf.DUMMYFUNCTION("""COMPUTED_VALUE"""),"PO Closed")</f>
        <v>PO Closed</v>
      </c>
      <c r="Q2273" s="6" t="str">
        <f>IFERROR(__xludf.DUMMYFUNCTION("""COMPUTED_VALUE"""),"GL2302057")</f>
        <v>GL2302057</v>
      </c>
      <c r="R2273" s="57">
        <f>IFERROR(__xludf.DUMMYFUNCTION("""COMPUTED_VALUE"""),44959.0)</f>
        <v>44959</v>
      </c>
      <c r="S2273" s="57">
        <f>IFERROR(__xludf.DUMMYFUNCTION("""COMPUTED_VALUE"""),44964.0)</f>
        <v>44964</v>
      </c>
      <c r="T2273" s="57">
        <f>IFERROR(__xludf.DUMMYFUNCTION("""COMPUTED_VALUE"""),44999.0)</f>
        <v>44999</v>
      </c>
    </row>
    <row r="2274">
      <c r="A2274" s="6" t="str">
        <f>IFERROR(__xludf.DUMMYFUNCTION("""COMPUTED_VALUE"""),"231750108-2")</f>
        <v>231750108-2</v>
      </c>
      <c r="B2274" s="6" t="str">
        <f>IFERROR(__xludf.DUMMYFUNCTION("""COMPUTED_VALUE"""),"231750108 - Approved")</f>
        <v>231750108 - Approved</v>
      </c>
      <c r="C2274" s="6">
        <f>IFERROR(__xludf.DUMMYFUNCTION("""COMPUTED_VALUE"""),2.0)</f>
        <v>2</v>
      </c>
      <c r="D2274" s="6" t="str">
        <f>IFERROR(__xludf.DUMMYFUNCTION("""COMPUTED_VALUE"""),"Q-10946-00")</f>
        <v>Q-10946-00</v>
      </c>
      <c r="E2274" s="6" t="str">
        <f>IFERROR(__xludf.DUMMYFUNCTION("""COMPUTED_VALUE"""),"Silicone Sealant N10 Light Grey; ; ;")</f>
        <v>Silicone Sealant N10 Light Grey; ; ;</v>
      </c>
      <c r="F2274" s="6">
        <f>IFERROR(__xludf.DUMMYFUNCTION("""COMPUTED_VALUE"""),4.0)</f>
        <v>4</v>
      </c>
      <c r="G2274" s="6" t="str">
        <f>IFERROR(__xludf.DUMMYFUNCTION("""COMPUTED_VALUE"""),"Pieces")</f>
        <v>Pieces</v>
      </c>
      <c r="H2274" s="6" t="str">
        <f>IFERROR(__xludf.DUMMYFUNCTION("""COMPUTED_VALUE"""),"IDR")</f>
        <v>IDR</v>
      </c>
      <c r="I2274" s="11">
        <f>IFERROR(__xludf.DUMMYFUNCTION("""COMPUTED_VALUE"""),65000.0)</f>
        <v>65000</v>
      </c>
      <c r="J2274" s="11">
        <f>IFERROR(__xludf.DUMMYFUNCTION("""COMPUTED_VALUE"""),260000.0)</f>
        <v>260000</v>
      </c>
      <c r="K2274" s="57">
        <f>IFERROR(__xludf.DUMMYFUNCTION("""COMPUTED_VALUE"""),44999.0)</f>
        <v>44999</v>
      </c>
      <c r="L2274" s="6" t="str">
        <f>IFERROR(__xludf.DUMMYFUNCTION("""COMPUTED_VALUE"""),"FIP Engineering")</f>
        <v>FIP Engineering</v>
      </c>
      <c r="M2274" s="6" t="str">
        <f>IFERROR(__xludf.DUMMYFUNCTION("""COMPUTED_VALUE"""),"Irwan Sopian")</f>
        <v>Irwan Sopian</v>
      </c>
      <c r="N2274" s="6" t="str">
        <f>IFERROR(__xludf.DUMMYFUNCTION("""COMPUTED_VALUE"""),"FIP Engineering")</f>
        <v>FIP Engineering</v>
      </c>
      <c r="O2274" s="6" t="str">
        <f>IFERROR(__xludf.DUMMYFUNCTION("""COMPUTED_VALUE"""),"FIP-DOM-000-11304-OS00001-INA-000000")</f>
        <v>FIP-DOM-000-11304-OS00001-INA-000000</v>
      </c>
      <c r="P2274" s="6" t="str">
        <f>IFERROR(__xludf.DUMMYFUNCTION("""COMPUTED_VALUE"""),"PO Closed")</f>
        <v>PO Closed</v>
      </c>
      <c r="Q2274" s="6" t="str">
        <f>IFERROR(__xludf.DUMMYFUNCTION("""COMPUTED_VALUE"""),"GL2302057")</f>
        <v>GL2302057</v>
      </c>
      <c r="R2274" s="57">
        <f>IFERROR(__xludf.DUMMYFUNCTION("""COMPUTED_VALUE"""),44959.0)</f>
        <v>44959</v>
      </c>
      <c r="S2274" s="57">
        <f>IFERROR(__xludf.DUMMYFUNCTION("""COMPUTED_VALUE"""),44964.0)</f>
        <v>44964</v>
      </c>
      <c r="T2274" s="57">
        <f>IFERROR(__xludf.DUMMYFUNCTION("""COMPUTED_VALUE"""),44999.0)</f>
        <v>44999</v>
      </c>
    </row>
    <row r="2275">
      <c r="A2275" s="6" t="str">
        <f>IFERROR(__xludf.DUMMYFUNCTION("""COMPUTED_VALUE"""),"231750108-3")</f>
        <v>231750108-3</v>
      </c>
      <c r="B2275" s="6" t="str">
        <f>IFERROR(__xludf.DUMMYFUNCTION("""COMPUTED_VALUE"""),"231750108 - Approved")</f>
        <v>231750108 - Approved</v>
      </c>
      <c r="C2275" s="6">
        <f>IFERROR(__xludf.DUMMYFUNCTION("""COMPUTED_VALUE"""),3.0)</f>
        <v>3</v>
      </c>
      <c r="D2275" s="6" t="str">
        <f>IFERROR(__xludf.DUMMYFUNCTION("""COMPUTED_VALUE"""),"O-18876-00")</f>
        <v>O-18876-00</v>
      </c>
      <c r="E2275" s="6" t="str">
        <f>IFERROR(__xludf.DUMMYFUNCTION("""COMPUTED_VALUE"""),"Oring Silicone Merah 40.6x37x1.8 mm; ; ;")</f>
        <v>Oring Silicone Merah 40.6x37x1.8 mm; ; ;</v>
      </c>
      <c r="F2275" s="6">
        <f>IFERROR(__xludf.DUMMYFUNCTION("""COMPUTED_VALUE"""),5.0)</f>
        <v>5</v>
      </c>
      <c r="G2275" s="6" t="str">
        <f>IFERROR(__xludf.DUMMYFUNCTION("""COMPUTED_VALUE"""),"Pieces")</f>
        <v>Pieces</v>
      </c>
      <c r="H2275" s="6" t="str">
        <f>IFERROR(__xludf.DUMMYFUNCTION("""COMPUTED_VALUE"""),"IDR")</f>
        <v>IDR</v>
      </c>
      <c r="I2275" s="11">
        <f>IFERROR(__xludf.DUMMYFUNCTION("""COMPUTED_VALUE"""),32500.0)</f>
        <v>32500</v>
      </c>
      <c r="J2275" s="11">
        <f>IFERROR(__xludf.DUMMYFUNCTION("""COMPUTED_VALUE"""),162500.0)</f>
        <v>162500</v>
      </c>
      <c r="K2275" s="57">
        <f>IFERROR(__xludf.DUMMYFUNCTION("""COMPUTED_VALUE"""),44999.0)</f>
        <v>44999</v>
      </c>
      <c r="L2275" s="6" t="str">
        <f>IFERROR(__xludf.DUMMYFUNCTION("""COMPUTED_VALUE"""),"FIP Engineering")</f>
        <v>FIP Engineering</v>
      </c>
      <c r="M2275" s="6" t="str">
        <f>IFERROR(__xludf.DUMMYFUNCTION("""COMPUTED_VALUE"""),"Irwan Sopian")</f>
        <v>Irwan Sopian</v>
      </c>
      <c r="N2275" s="6" t="str">
        <f>IFERROR(__xludf.DUMMYFUNCTION("""COMPUTED_VALUE"""),"FIP Engineering")</f>
        <v>FIP Engineering</v>
      </c>
      <c r="O2275" s="6" t="str">
        <f>IFERROR(__xludf.DUMMYFUNCTION("""COMPUTED_VALUE"""),"FIP-DOM-000-11304-OS00001-INA-000000")</f>
        <v>FIP-DOM-000-11304-OS00001-INA-000000</v>
      </c>
      <c r="P2275" s="6" t="str">
        <f>IFERROR(__xludf.DUMMYFUNCTION("""COMPUTED_VALUE"""),"PO Closed")</f>
        <v>PO Closed</v>
      </c>
      <c r="Q2275" s="6" t="str">
        <f>IFERROR(__xludf.DUMMYFUNCTION("""COMPUTED_VALUE"""),"GL2302057")</f>
        <v>GL2302057</v>
      </c>
      <c r="R2275" s="57">
        <f>IFERROR(__xludf.DUMMYFUNCTION("""COMPUTED_VALUE"""),44959.0)</f>
        <v>44959</v>
      </c>
      <c r="S2275" s="57">
        <f>IFERROR(__xludf.DUMMYFUNCTION("""COMPUTED_VALUE"""),44964.0)</f>
        <v>44964</v>
      </c>
      <c r="T2275" s="57">
        <f>IFERROR(__xludf.DUMMYFUNCTION("""COMPUTED_VALUE"""),44999.0)</f>
        <v>44999</v>
      </c>
    </row>
    <row r="2276">
      <c r="A2276" s="6" t="str">
        <f>IFERROR(__xludf.DUMMYFUNCTION("""COMPUTED_VALUE"""),"231750109-1")</f>
        <v>231750109-1</v>
      </c>
      <c r="B2276" s="6" t="str">
        <f>IFERROR(__xludf.DUMMYFUNCTION("""COMPUTED_VALUE"""),"231750109 - Approved")</f>
        <v>231750109 - Approved</v>
      </c>
      <c r="C2276" s="6">
        <f>IFERROR(__xludf.DUMMYFUNCTION("""COMPUTED_VALUE"""),1.0)</f>
        <v>1</v>
      </c>
      <c r="D2276" s="6" t="str">
        <f>IFERROR(__xludf.DUMMYFUNCTION("""COMPUTED_VALUE"""),"Q-10947-00")</f>
        <v>Q-10947-00</v>
      </c>
      <c r="E2276" s="6" t="str">
        <f>IFERROR(__xludf.DUMMYFUNCTION("""COMPUTED_VALUE"""),"Plastik Cor Bagunan; ; ;")</f>
        <v>Plastik Cor Bagunan; ; ;</v>
      </c>
      <c r="F2276" s="6">
        <f>IFERROR(__xludf.DUMMYFUNCTION("""COMPUTED_VALUE"""),1.0)</f>
        <v>1</v>
      </c>
      <c r="G2276" s="6" t="str">
        <f>IFERROR(__xludf.DUMMYFUNCTION("""COMPUTED_VALUE"""),"Pieces")</f>
        <v>Pieces</v>
      </c>
      <c r="H2276" s="6" t="str">
        <f>IFERROR(__xludf.DUMMYFUNCTION("""COMPUTED_VALUE"""),"IDR")</f>
        <v>IDR</v>
      </c>
      <c r="I2276" s="11">
        <f>IFERROR(__xludf.DUMMYFUNCTION("""COMPUTED_VALUE"""),250000.0)</f>
        <v>250000</v>
      </c>
      <c r="J2276" s="11">
        <f>IFERROR(__xludf.DUMMYFUNCTION("""COMPUTED_VALUE"""),250000.0)</f>
        <v>250000</v>
      </c>
      <c r="K2276" s="57">
        <f>IFERROR(__xludf.DUMMYFUNCTION("""COMPUTED_VALUE"""),44999.0)</f>
        <v>44999</v>
      </c>
      <c r="L2276" s="6" t="str">
        <f>IFERROR(__xludf.DUMMYFUNCTION("""COMPUTED_VALUE"""),"FIP General")</f>
        <v>FIP General</v>
      </c>
      <c r="M2276" s="6" t="str">
        <f>IFERROR(__xludf.DUMMYFUNCTION("""COMPUTED_VALUE"""),"Irwan Sopian")</f>
        <v>Irwan Sopian</v>
      </c>
      <c r="N2276" s="6" t="str">
        <f>IFERROR(__xludf.DUMMYFUNCTION("""COMPUTED_VALUE"""),"FIP Engineering")</f>
        <v>FIP Engineering</v>
      </c>
      <c r="O2276" s="6" t="str">
        <f>IFERROR(__xludf.DUMMYFUNCTION("""COMPUTED_VALUE"""),"FIP-DOM-ENG-51502-0000000-INA-000000")</f>
        <v>FIP-DOM-ENG-51502-0000000-INA-000000</v>
      </c>
      <c r="P2276" s="6" t="str">
        <f>IFERROR(__xludf.DUMMYFUNCTION("""COMPUTED_VALUE"""),"PO Closed")</f>
        <v>PO Closed</v>
      </c>
      <c r="Q2276" s="6" t="str">
        <f>IFERROR(__xludf.DUMMYFUNCTION("""COMPUTED_VALUE"""),"GL2302057")</f>
        <v>GL2302057</v>
      </c>
      <c r="R2276" s="57">
        <f>IFERROR(__xludf.DUMMYFUNCTION("""COMPUTED_VALUE"""),44959.0)</f>
        <v>44959</v>
      </c>
      <c r="S2276" s="57">
        <f>IFERROR(__xludf.DUMMYFUNCTION("""COMPUTED_VALUE"""),44964.0)</f>
        <v>44964</v>
      </c>
      <c r="T2276" s="57">
        <f>IFERROR(__xludf.DUMMYFUNCTION("""COMPUTED_VALUE"""),44995.0)</f>
        <v>44995</v>
      </c>
    </row>
    <row r="2277">
      <c r="A2277" s="6" t="str">
        <f>IFERROR(__xludf.DUMMYFUNCTION("""COMPUTED_VALUE"""),"231750109-2")</f>
        <v>231750109-2</v>
      </c>
      <c r="B2277" s="6" t="str">
        <f>IFERROR(__xludf.DUMMYFUNCTION("""COMPUTED_VALUE"""),"231750109 - Approved")</f>
        <v>231750109 - Approved</v>
      </c>
      <c r="C2277" s="6">
        <f>IFERROR(__xludf.DUMMYFUNCTION("""COMPUTED_VALUE"""),2.0)</f>
        <v>2</v>
      </c>
      <c r="D2277" s="6" t="str">
        <f>IFERROR(__xludf.DUMMYFUNCTION("""COMPUTED_VALUE"""),"S-60169-00")</f>
        <v>S-60169-00</v>
      </c>
      <c r="E2277" s="6" t="str">
        <f>IFERROR(__xludf.DUMMYFUNCTION("""COMPUTED_VALUE"""),"Mangkok STAINLESS 304 Dia.16CM; ; ;")</f>
        <v>Mangkok STAINLESS 304 Dia.16CM; ; ;</v>
      </c>
      <c r="F2277" s="6">
        <f>IFERROR(__xludf.DUMMYFUNCTION("""COMPUTED_VALUE"""),1.0)</f>
        <v>1</v>
      </c>
      <c r="G2277" s="6" t="str">
        <f>IFERROR(__xludf.DUMMYFUNCTION("""COMPUTED_VALUE"""),"Pieces")</f>
        <v>Pieces</v>
      </c>
      <c r="H2277" s="6" t="str">
        <f>IFERROR(__xludf.DUMMYFUNCTION("""COMPUTED_VALUE"""),"IDR")</f>
        <v>IDR</v>
      </c>
      <c r="I2277" s="11">
        <f>IFERROR(__xludf.DUMMYFUNCTION("""COMPUTED_VALUE"""),80000.0)</f>
        <v>80000</v>
      </c>
      <c r="J2277" s="11">
        <f>IFERROR(__xludf.DUMMYFUNCTION("""COMPUTED_VALUE"""),80000.0)</f>
        <v>80000</v>
      </c>
      <c r="K2277" s="57">
        <f>IFERROR(__xludf.DUMMYFUNCTION("""COMPUTED_VALUE"""),44999.0)</f>
        <v>44999</v>
      </c>
      <c r="L2277" s="6" t="str">
        <f>IFERROR(__xludf.DUMMYFUNCTION("""COMPUTED_VALUE"""),"FIP General")</f>
        <v>FIP General</v>
      </c>
      <c r="M2277" s="6" t="str">
        <f>IFERROR(__xludf.DUMMYFUNCTION("""COMPUTED_VALUE"""),"Irwan Sopian")</f>
        <v>Irwan Sopian</v>
      </c>
      <c r="N2277" s="6" t="str">
        <f>IFERROR(__xludf.DUMMYFUNCTION("""COMPUTED_VALUE"""),"FIP Engineering")</f>
        <v>FIP Engineering</v>
      </c>
      <c r="O2277" s="6" t="str">
        <f>IFERROR(__xludf.DUMMYFUNCTION("""COMPUTED_VALUE"""),"FIP-DOM-ENG-51502-0000000-INA-000000")</f>
        <v>FIP-DOM-ENG-51502-0000000-INA-000000</v>
      </c>
      <c r="P2277" s="6" t="str">
        <f>IFERROR(__xludf.DUMMYFUNCTION("""COMPUTED_VALUE"""),"PO Closed")</f>
        <v>PO Closed</v>
      </c>
      <c r="Q2277" s="6" t="str">
        <f>IFERROR(__xludf.DUMMYFUNCTION("""COMPUTED_VALUE"""),"GL2302057")</f>
        <v>GL2302057</v>
      </c>
      <c r="R2277" s="57">
        <f>IFERROR(__xludf.DUMMYFUNCTION("""COMPUTED_VALUE"""),44959.0)</f>
        <v>44959</v>
      </c>
      <c r="S2277" s="57">
        <f>IFERROR(__xludf.DUMMYFUNCTION("""COMPUTED_VALUE"""),44964.0)</f>
        <v>44964</v>
      </c>
      <c r="T2277" s="57">
        <f>IFERROR(__xludf.DUMMYFUNCTION("""COMPUTED_VALUE"""),44995.0)</f>
        <v>44995</v>
      </c>
    </row>
    <row r="2278">
      <c r="A2278" s="6" t="str">
        <f>IFERROR(__xludf.DUMMYFUNCTION("""COMPUTED_VALUE"""),"231750109-3")</f>
        <v>231750109-3</v>
      </c>
      <c r="B2278" s="6" t="str">
        <f>IFERROR(__xludf.DUMMYFUNCTION("""COMPUTED_VALUE"""),"231750109 - Approved")</f>
        <v>231750109 - Approved</v>
      </c>
      <c r="C2278" s="6">
        <f>IFERROR(__xludf.DUMMYFUNCTION("""COMPUTED_VALUE"""),3.0)</f>
        <v>3</v>
      </c>
      <c r="D2278" s="6" t="str">
        <f>IFERROR(__xludf.DUMMYFUNCTION("""COMPUTED_VALUE"""),"S-60170-00")</f>
        <v>S-60170-00</v>
      </c>
      <c r="E2278" s="6" t="str">
        <f>IFERROR(__xludf.DUMMYFUNCTION("""COMPUTED_VALUE"""),"Mata Bor Diamond Glass 10 mm; ; ;")</f>
        <v>Mata Bor Diamond Glass 10 mm; ; ;</v>
      </c>
      <c r="F2278" s="6">
        <f>IFERROR(__xludf.DUMMYFUNCTION("""COMPUTED_VALUE"""),1.0)</f>
        <v>1</v>
      </c>
      <c r="G2278" s="6" t="str">
        <f>IFERROR(__xludf.DUMMYFUNCTION("""COMPUTED_VALUE"""),"Pieces")</f>
        <v>Pieces</v>
      </c>
      <c r="H2278" s="6" t="str">
        <f>IFERROR(__xludf.DUMMYFUNCTION("""COMPUTED_VALUE"""),"IDR")</f>
        <v>IDR</v>
      </c>
      <c r="I2278" s="11">
        <f>IFERROR(__xludf.DUMMYFUNCTION("""COMPUTED_VALUE"""),100000.0)</f>
        <v>100000</v>
      </c>
      <c r="J2278" s="11">
        <f>IFERROR(__xludf.DUMMYFUNCTION("""COMPUTED_VALUE"""),100000.0)</f>
        <v>100000</v>
      </c>
      <c r="K2278" s="57">
        <f>IFERROR(__xludf.DUMMYFUNCTION("""COMPUTED_VALUE"""),44999.0)</f>
        <v>44999</v>
      </c>
      <c r="L2278" s="6" t="str">
        <f>IFERROR(__xludf.DUMMYFUNCTION("""COMPUTED_VALUE"""),"FIP General")</f>
        <v>FIP General</v>
      </c>
      <c r="M2278" s="6" t="str">
        <f>IFERROR(__xludf.DUMMYFUNCTION("""COMPUTED_VALUE"""),"Irwan Sopian")</f>
        <v>Irwan Sopian</v>
      </c>
      <c r="N2278" s="6" t="str">
        <f>IFERROR(__xludf.DUMMYFUNCTION("""COMPUTED_VALUE"""),"FIP Engineering")</f>
        <v>FIP Engineering</v>
      </c>
      <c r="O2278" s="6" t="str">
        <f>IFERROR(__xludf.DUMMYFUNCTION("""COMPUTED_VALUE"""),"FIP-DOM-ENG-51504-0000000-INA-000000")</f>
        <v>FIP-DOM-ENG-51504-0000000-INA-000000</v>
      </c>
      <c r="P2278" s="6" t="str">
        <f>IFERROR(__xludf.DUMMYFUNCTION("""COMPUTED_VALUE"""),"PO Closed")</f>
        <v>PO Closed</v>
      </c>
      <c r="Q2278" s="6" t="str">
        <f>IFERROR(__xludf.DUMMYFUNCTION("""COMPUTED_VALUE"""),"GL2302057")</f>
        <v>GL2302057</v>
      </c>
      <c r="R2278" s="57">
        <f>IFERROR(__xludf.DUMMYFUNCTION("""COMPUTED_VALUE"""),44959.0)</f>
        <v>44959</v>
      </c>
      <c r="S2278" s="57">
        <f>IFERROR(__xludf.DUMMYFUNCTION("""COMPUTED_VALUE"""),44964.0)</f>
        <v>44964</v>
      </c>
      <c r="T2278" s="57">
        <f>IFERROR(__xludf.DUMMYFUNCTION("""COMPUTED_VALUE"""),44995.0)</f>
        <v>44995</v>
      </c>
    </row>
    <row r="2279">
      <c r="A2279" s="6" t="str">
        <f>IFERROR(__xludf.DUMMYFUNCTION("""COMPUTED_VALUE"""),"231750110-1")</f>
        <v>231750110-1</v>
      </c>
      <c r="B2279" s="6" t="str">
        <f>IFERROR(__xludf.DUMMYFUNCTION("""COMPUTED_VALUE"""),"231750110 - Approved")</f>
        <v>231750110 - Approved</v>
      </c>
      <c r="C2279" s="6">
        <f>IFERROR(__xludf.DUMMYFUNCTION("""COMPUTED_VALUE"""),1.0)</f>
        <v>1</v>
      </c>
      <c r="D2279" s="6" t="str">
        <f>IFERROR(__xludf.DUMMYFUNCTION("""COMPUTED_VALUE"""),"P-18067-00")</f>
        <v>P-18067-00</v>
      </c>
      <c r="E2279" s="6" t="str">
        <f>IFERROR(__xludf.DUMMYFUNCTION("""COMPUTED_VALUE"""),"Lampu LED T5 120 CM 16 Watt 6000K; ; ;")</f>
        <v>Lampu LED T5 120 CM 16 Watt 6000K; ; ;</v>
      </c>
      <c r="F2279" s="6">
        <f>IFERROR(__xludf.DUMMYFUNCTION("""COMPUTED_VALUE"""),40.0)</f>
        <v>40</v>
      </c>
      <c r="G2279" s="6" t="str">
        <f>IFERROR(__xludf.DUMMYFUNCTION("""COMPUTED_VALUE"""),"Pieces")</f>
        <v>Pieces</v>
      </c>
      <c r="H2279" s="6" t="str">
        <f>IFERROR(__xludf.DUMMYFUNCTION("""COMPUTED_VALUE"""),"IDR")</f>
        <v>IDR</v>
      </c>
      <c r="I2279" s="11">
        <f>IFERROR(__xludf.DUMMYFUNCTION("""COMPUTED_VALUE"""),100000.0)</f>
        <v>100000</v>
      </c>
      <c r="J2279" s="11">
        <f>IFERROR(__xludf.DUMMYFUNCTION("""COMPUTED_VALUE"""),4000000.0)</f>
        <v>4000000</v>
      </c>
      <c r="K2279" s="57">
        <f>IFERROR(__xludf.DUMMYFUNCTION("""COMPUTED_VALUE"""),45002.0)</f>
        <v>45002</v>
      </c>
      <c r="L2279" s="6" t="str">
        <f>IFERROR(__xludf.DUMMYFUNCTION("""COMPUTED_VALUE"""),"FIP Engineering")</f>
        <v>FIP Engineering</v>
      </c>
      <c r="M2279" s="6" t="str">
        <f>IFERROR(__xludf.DUMMYFUNCTION("""COMPUTED_VALUE"""),"Irwan Sopian")</f>
        <v>Irwan Sopian</v>
      </c>
      <c r="N2279" s="6" t="str">
        <f>IFERROR(__xludf.DUMMYFUNCTION("""COMPUTED_VALUE"""),"FIP Engineering")</f>
        <v>FIP Engineering</v>
      </c>
      <c r="O2279" s="6" t="str">
        <f>IFERROR(__xludf.DUMMYFUNCTION("""COMPUTED_VALUE"""),"FIP-DOM-000-11304-OS00001-INA-000000")</f>
        <v>FIP-DOM-000-11304-OS00001-INA-000000</v>
      </c>
      <c r="P2279" s="6" t="str">
        <f>IFERROR(__xludf.DUMMYFUNCTION("""COMPUTED_VALUE"""),"PO Closed")</f>
        <v>PO Closed</v>
      </c>
      <c r="Q2279" s="6" t="str">
        <f>IFERROR(__xludf.DUMMYFUNCTION("""COMPUTED_VALUE"""),"GL2303010")</f>
        <v>GL2303010</v>
      </c>
      <c r="R2279" s="57">
        <f>IFERROR(__xludf.DUMMYFUNCTION("""COMPUTED_VALUE"""),44959.0)</f>
        <v>44959</v>
      </c>
      <c r="S2279" s="57">
        <f>IFERROR(__xludf.DUMMYFUNCTION("""COMPUTED_VALUE"""),44963.0)</f>
        <v>44963</v>
      </c>
      <c r="T2279" s="57">
        <f>IFERROR(__xludf.DUMMYFUNCTION("""COMPUTED_VALUE"""),45021.0)</f>
        <v>45021</v>
      </c>
    </row>
    <row r="2280">
      <c r="A2280" s="6" t="str">
        <f>IFERROR(__xludf.DUMMYFUNCTION("""COMPUTED_VALUE"""),"231750125-1")</f>
        <v>231750125-1</v>
      </c>
      <c r="B2280" s="6" t="str">
        <f>IFERROR(__xludf.DUMMYFUNCTION("""COMPUTED_VALUE"""),"231750125 - Approved")</f>
        <v>231750125 - Approved</v>
      </c>
      <c r="C2280" s="6">
        <f>IFERROR(__xludf.DUMMYFUNCTION("""COMPUTED_VALUE"""),1.0)</f>
        <v>1</v>
      </c>
      <c r="D2280" s="6" t="str">
        <f>IFERROR(__xludf.DUMMYFUNCTION("""COMPUTED_VALUE"""),"O-18870-00")</f>
        <v>O-18870-00</v>
      </c>
      <c r="E2280" s="6" t="str">
        <f>IFERROR(__xludf.DUMMYFUNCTION("""COMPUTED_VALUE"""),"Oring Silicone Merah 18.4x13x2.7 mm; ; ;")</f>
        <v>Oring Silicone Merah 18.4x13x2.7 mm; ; ;</v>
      </c>
      <c r="F2280" s="6">
        <f>IFERROR(__xludf.DUMMYFUNCTION("""COMPUTED_VALUE"""),10.0)</f>
        <v>10</v>
      </c>
      <c r="G2280" s="6" t="str">
        <f>IFERROR(__xludf.DUMMYFUNCTION("""COMPUTED_VALUE"""),"Pieces")</f>
        <v>Pieces</v>
      </c>
      <c r="H2280" s="6" t="str">
        <f>IFERROR(__xludf.DUMMYFUNCTION("""COMPUTED_VALUE"""),"IDR")</f>
        <v>IDR</v>
      </c>
      <c r="I2280" s="11">
        <f>IFERROR(__xludf.DUMMYFUNCTION("""COMPUTED_VALUE"""),5000.0)</f>
        <v>5000</v>
      </c>
      <c r="J2280" s="11">
        <f>IFERROR(__xludf.DUMMYFUNCTION("""COMPUTED_VALUE"""),50000.0)</f>
        <v>50000</v>
      </c>
      <c r="K2280" s="57">
        <f>IFERROR(__xludf.DUMMYFUNCTION("""COMPUTED_VALUE"""),45006.0)</f>
        <v>45006</v>
      </c>
      <c r="L2280" s="6" t="str">
        <f>IFERROR(__xludf.DUMMYFUNCTION("""COMPUTED_VALUE"""),"FIP Engineering")</f>
        <v>FIP Engineering</v>
      </c>
      <c r="M2280" s="6" t="str">
        <f>IFERROR(__xludf.DUMMYFUNCTION("""COMPUTED_VALUE"""),"Irwan Sopian")</f>
        <v>Irwan Sopian</v>
      </c>
      <c r="N2280" s="6" t="str">
        <f>IFERROR(__xludf.DUMMYFUNCTION("""COMPUTED_VALUE"""),"FIP Engineering")</f>
        <v>FIP Engineering</v>
      </c>
      <c r="O2280" s="6" t="str">
        <f>IFERROR(__xludf.DUMMYFUNCTION("""COMPUTED_VALUE"""),"FIP-DOM-000-11304-OS00001-INA-000000")</f>
        <v>FIP-DOM-000-11304-OS00001-INA-000000</v>
      </c>
      <c r="P2280" s="6" t="str">
        <f>IFERROR(__xludf.DUMMYFUNCTION("""COMPUTED_VALUE"""),"PO Closed")</f>
        <v>PO Closed</v>
      </c>
      <c r="Q2280" s="6" t="str">
        <f>IFERROR(__xludf.DUMMYFUNCTION("""COMPUTED_VALUE"""),"GL2303048")</f>
        <v>GL2303048</v>
      </c>
      <c r="R2280" s="57">
        <f>IFERROR(__xludf.DUMMYFUNCTION("""COMPUTED_VALUE"""),44964.0)</f>
        <v>44964</v>
      </c>
      <c r="S2280" s="57">
        <f>IFERROR(__xludf.DUMMYFUNCTION("""COMPUTED_VALUE"""),44966.0)</f>
        <v>44966</v>
      </c>
      <c r="T2280" s="57">
        <f>IFERROR(__xludf.DUMMYFUNCTION("""COMPUTED_VALUE"""),45026.0)</f>
        <v>45026</v>
      </c>
    </row>
    <row r="2281">
      <c r="A2281" s="6" t="str">
        <f>IFERROR(__xludf.DUMMYFUNCTION("""COMPUTED_VALUE"""),"231750125-2")</f>
        <v>231750125-2</v>
      </c>
      <c r="B2281" s="6" t="str">
        <f>IFERROR(__xludf.DUMMYFUNCTION("""COMPUTED_VALUE"""),"231750125 - Approved")</f>
        <v>231750125 - Approved</v>
      </c>
      <c r="C2281" s="6">
        <f>IFERROR(__xludf.DUMMYFUNCTION("""COMPUTED_VALUE"""),2.0)</f>
        <v>2</v>
      </c>
      <c r="D2281" s="6" t="str">
        <f>IFERROR(__xludf.DUMMYFUNCTION("""COMPUTED_VALUE"""),"O-18897-00")</f>
        <v>O-18897-00</v>
      </c>
      <c r="E2281" s="6" t="str">
        <f>IFERROR(__xludf.DUMMYFUNCTION("""COMPUTED_VALUE"""),"Oring Silicone 50x39.4x5.3 mm; ; ;")</f>
        <v>Oring Silicone 50x39.4x5.3 mm; ; ;</v>
      </c>
      <c r="F2281" s="6">
        <f>IFERROR(__xludf.DUMMYFUNCTION("""COMPUTED_VALUE"""),6.0)</f>
        <v>6</v>
      </c>
      <c r="G2281" s="6" t="str">
        <f>IFERROR(__xludf.DUMMYFUNCTION("""COMPUTED_VALUE"""),"Pieces")</f>
        <v>Pieces</v>
      </c>
      <c r="H2281" s="6" t="str">
        <f>IFERROR(__xludf.DUMMYFUNCTION("""COMPUTED_VALUE"""),"IDR")</f>
        <v>IDR</v>
      </c>
      <c r="I2281" s="11">
        <f>IFERROR(__xludf.DUMMYFUNCTION("""COMPUTED_VALUE"""),60000.0)</f>
        <v>60000</v>
      </c>
      <c r="J2281" s="11">
        <f>IFERROR(__xludf.DUMMYFUNCTION("""COMPUTED_VALUE"""),360000.0)</f>
        <v>360000</v>
      </c>
      <c r="K2281" s="57">
        <f>IFERROR(__xludf.DUMMYFUNCTION("""COMPUTED_VALUE"""),45006.0)</f>
        <v>45006</v>
      </c>
      <c r="L2281" s="6" t="str">
        <f>IFERROR(__xludf.DUMMYFUNCTION("""COMPUTED_VALUE"""),"FIP Engineering")</f>
        <v>FIP Engineering</v>
      </c>
      <c r="M2281" s="6" t="str">
        <f>IFERROR(__xludf.DUMMYFUNCTION("""COMPUTED_VALUE"""),"Irwan Sopian")</f>
        <v>Irwan Sopian</v>
      </c>
      <c r="N2281" s="6" t="str">
        <f>IFERROR(__xludf.DUMMYFUNCTION("""COMPUTED_VALUE"""),"FIP Engineering")</f>
        <v>FIP Engineering</v>
      </c>
      <c r="O2281" s="6" t="str">
        <f>IFERROR(__xludf.DUMMYFUNCTION("""COMPUTED_VALUE"""),"FIP-DOM-000-11304-OS00001-INA-000000")</f>
        <v>FIP-DOM-000-11304-OS00001-INA-000000</v>
      </c>
      <c r="P2281" s="6" t="str">
        <f>IFERROR(__xludf.DUMMYFUNCTION("""COMPUTED_VALUE"""),"PO Closed")</f>
        <v>PO Closed</v>
      </c>
      <c r="Q2281" s="6" t="str">
        <f>IFERROR(__xludf.DUMMYFUNCTION("""COMPUTED_VALUE"""),"GL2303048")</f>
        <v>GL2303048</v>
      </c>
      <c r="R2281" s="57">
        <f>IFERROR(__xludf.DUMMYFUNCTION("""COMPUTED_VALUE"""),44964.0)</f>
        <v>44964</v>
      </c>
      <c r="S2281" s="57">
        <f>IFERROR(__xludf.DUMMYFUNCTION("""COMPUTED_VALUE"""),44966.0)</f>
        <v>44966</v>
      </c>
      <c r="T2281" s="57">
        <f>IFERROR(__xludf.DUMMYFUNCTION("""COMPUTED_VALUE"""),45026.0)</f>
        <v>45026</v>
      </c>
    </row>
    <row r="2282">
      <c r="A2282" s="6" t="str">
        <f>IFERROR(__xludf.DUMMYFUNCTION("""COMPUTED_VALUE"""),"231750126-1")</f>
        <v>231750126-1</v>
      </c>
      <c r="B2282" s="6" t="str">
        <f>IFERROR(__xludf.DUMMYFUNCTION("""COMPUTED_VALUE"""),"231750126 - Approved")</f>
        <v>231750126 - Approved</v>
      </c>
      <c r="C2282" s="6">
        <f>IFERROR(__xludf.DUMMYFUNCTION("""COMPUTED_VALUE"""),1.0)</f>
        <v>1</v>
      </c>
      <c r="D2282" s="6" t="str">
        <f>IFERROR(__xludf.DUMMYFUNCTION("""COMPUTED_VALUE"""),"P-52639-00")</f>
        <v>P-52639-00</v>
      </c>
      <c r="E2282" s="6" t="str">
        <f>IFERROR(__xludf.DUMMYFUNCTION("""COMPUTED_VALUE"""),"ELCB 40A 4P; Schneider; ;")</f>
        <v>ELCB 40A 4P; Schneider; ;</v>
      </c>
      <c r="F2282" s="6">
        <f>IFERROR(__xludf.DUMMYFUNCTION("""COMPUTED_VALUE"""),1.0)</f>
        <v>1</v>
      </c>
      <c r="G2282" s="6" t="str">
        <f>IFERROR(__xludf.DUMMYFUNCTION("""COMPUTED_VALUE"""),"Pieces")</f>
        <v>Pieces</v>
      </c>
      <c r="H2282" s="6" t="str">
        <f>IFERROR(__xludf.DUMMYFUNCTION("""COMPUTED_VALUE"""),"IDR")</f>
        <v>IDR</v>
      </c>
      <c r="I2282" s="11">
        <f>IFERROR(__xludf.DUMMYFUNCTION("""COMPUTED_VALUE"""),900000.0)</f>
        <v>900000</v>
      </c>
      <c r="J2282" s="11">
        <f>IFERROR(__xludf.DUMMYFUNCTION("""COMPUTED_VALUE"""),900000.0)</f>
        <v>900000</v>
      </c>
      <c r="K2282" s="57">
        <f>IFERROR(__xludf.DUMMYFUNCTION("""COMPUTED_VALUE"""),45006.0)</f>
        <v>45006</v>
      </c>
      <c r="L2282" s="6" t="str">
        <f>IFERROR(__xludf.DUMMYFUNCTION("""COMPUTED_VALUE"""),"FIP Engineering")</f>
        <v>FIP Engineering</v>
      </c>
      <c r="M2282" s="6" t="str">
        <f>IFERROR(__xludf.DUMMYFUNCTION("""COMPUTED_VALUE"""),"Irwan Sopian")</f>
        <v>Irwan Sopian</v>
      </c>
      <c r="N2282" s="6" t="str">
        <f>IFERROR(__xludf.DUMMYFUNCTION("""COMPUTED_VALUE"""),"FIP Engineering")</f>
        <v>FIP Engineering</v>
      </c>
      <c r="O2282" s="6" t="str">
        <f>IFERROR(__xludf.DUMMYFUNCTION("""COMPUTED_VALUE"""),"FIP-DOM-000-11304-OS00001-INA-000000")</f>
        <v>FIP-DOM-000-11304-OS00001-INA-000000</v>
      </c>
      <c r="P2282" s="6" t="str">
        <f>IFERROR(__xludf.DUMMYFUNCTION("""COMPUTED_VALUE"""),"PO Closed")</f>
        <v>PO Closed</v>
      </c>
      <c r="Q2282" s="6" t="str">
        <f>IFERROR(__xludf.DUMMYFUNCTION("""COMPUTED_VALUE"""),"GL2303010")</f>
        <v>GL2303010</v>
      </c>
      <c r="R2282" s="57">
        <f>IFERROR(__xludf.DUMMYFUNCTION("""COMPUTED_VALUE"""),44964.0)</f>
        <v>44964</v>
      </c>
      <c r="S2282" s="57">
        <f>IFERROR(__xludf.DUMMYFUNCTION("""COMPUTED_VALUE"""),44965.0)</f>
        <v>44965</v>
      </c>
      <c r="T2282" s="57">
        <f>IFERROR(__xludf.DUMMYFUNCTION("""COMPUTED_VALUE"""),45021.0)</f>
        <v>45021</v>
      </c>
    </row>
    <row r="2283">
      <c r="A2283" s="6" t="str">
        <f>IFERROR(__xludf.DUMMYFUNCTION("""COMPUTED_VALUE"""),"231750127-1")</f>
        <v>231750127-1</v>
      </c>
      <c r="B2283" s="6" t="str">
        <f>IFERROR(__xludf.DUMMYFUNCTION("""COMPUTED_VALUE"""),"231750127 - Approved")</f>
        <v>231750127 - Approved</v>
      </c>
      <c r="C2283" s="6">
        <f>IFERROR(__xludf.DUMMYFUNCTION("""COMPUTED_VALUE"""),1.0)</f>
        <v>1</v>
      </c>
      <c r="D2283" s="6" t="str">
        <f>IFERROR(__xludf.DUMMYFUNCTION("""COMPUTED_VALUE"""),"O-52859-00")</f>
        <v>O-52859-00</v>
      </c>
      <c r="E2283" s="6" t="str">
        <f>IFERROR(__xludf.DUMMYFUNCTION("""COMPUTED_VALUE"""),"Temperature Controller - TK4S- 24RN 100-240 VAC AUTONICS; ; ;")</f>
        <v>Temperature Controller - TK4S- 24RN 100-240 VAC AUTONICS; ; ;</v>
      </c>
      <c r="F2283" s="6">
        <f>IFERROR(__xludf.DUMMYFUNCTION("""COMPUTED_VALUE"""),2.0)</f>
        <v>2</v>
      </c>
      <c r="G2283" s="6" t="str">
        <f>IFERROR(__xludf.DUMMYFUNCTION("""COMPUTED_VALUE"""),"Pieces")</f>
        <v>Pieces</v>
      </c>
      <c r="H2283" s="6" t="str">
        <f>IFERROR(__xludf.DUMMYFUNCTION("""COMPUTED_VALUE"""),"IDR")</f>
        <v>IDR</v>
      </c>
      <c r="I2283" s="11">
        <f>IFERROR(__xludf.DUMMYFUNCTION("""COMPUTED_VALUE"""),810000.0)</f>
        <v>810000</v>
      </c>
      <c r="J2283" s="11">
        <f>IFERROR(__xludf.DUMMYFUNCTION("""COMPUTED_VALUE"""),1620000.0)</f>
        <v>1620000</v>
      </c>
      <c r="K2283" s="57">
        <f>IFERROR(__xludf.DUMMYFUNCTION("""COMPUTED_VALUE"""),44999.0)</f>
        <v>44999</v>
      </c>
      <c r="L2283" s="6" t="str">
        <f>IFERROR(__xludf.DUMMYFUNCTION("""COMPUTED_VALUE"""),"FIP Engineering")</f>
        <v>FIP Engineering</v>
      </c>
      <c r="M2283" s="6" t="str">
        <f>IFERROR(__xludf.DUMMYFUNCTION("""COMPUTED_VALUE"""),"Irwan Sopian")</f>
        <v>Irwan Sopian</v>
      </c>
      <c r="N2283" s="6" t="str">
        <f>IFERROR(__xludf.DUMMYFUNCTION("""COMPUTED_VALUE"""),"FIP Engineering")</f>
        <v>FIP Engineering</v>
      </c>
      <c r="O2283" s="6" t="str">
        <f>IFERROR(__xludf.DUMMYFUNCTION("""COMPUTED_VALUE"""),"FIP-DOM-000-11304-OS00001-INA-000000")</f>
        <v>FIP-DOM-000-11304-OS00001-INA-000000</v>
      </c>
      <c r="P2283" s="6" t="str">
        <f>IFERROR(__xludf.DUMMYFUNCTION("""COMPUTED_VALUE"""),"PO Closed")</f>
        <v>PO Closed</v>
      </c>
      <c r="Q2283" s="6" t="str">
        <f>IFERROR(__xludf.DUMMYFUNCTION("""COMPUTED_VALUE"""),"GL2302012")</f>
        <v>GL2302012</v>
      </c>
      <c r="R2283" s="57">
        <f>IFERROR(__xludf.DUMMYFUNCTION("""COMPUTED_VALUE"""),44964.0)</f>
        <v>44964</v>
      </c>
      <c r="S2283" s="57">
        <f>IFERROR(__xludf.DUMMYFUNCTION("""COMPUTED_VALUE"""),44964.0)</f>
        <v>44964</v>
      </c>
      <c r="T2283" s="57">
        <f>IFERROR(__xludf.DUMMYFUNCTION("""COMPUTED_VALUE"""),44985.0)</f>
        <v>44985</v>
      </c>
    </row>
    <row r="2284">
      <c r="A2284" s="6" t="str">
        <f>IFERROR(__xludf.DUMMYFUNCTION("""COMPUTED_VALUE"""),"231750144-1")</f>
        <v>231750144-1</v>
      </c>
      <c r="B2284" s="6" t="str">
        <f>IFERROR(__xludf.DUMMYFUNCTION("""COMPUTED_VALUE"""),"231750144 - Approved")</f>
        <v>231750144 - Approved</v>
      </c>
      <c r="C2284" s="6">
        <f>IFERROR(__xludf.DUMMYFUNCTION("""COMPUTED_VALUE"""),1.0)</f>
        <v>1</v>
      </c>
      <c r="D2284" s="6" t="str">
        <f>IFERROR(__xludf.DUMMYFUNCTION("""COMPUTED_VALUE"""),"O-18120-00")</f>
        <v>O-18120-00</v>
      </c>
      <c r="E2284" s="6" t="str">
        <f>IFERROR(__xludf.DUMMYFUNCTION("""COMPUTED_VALUE"""),"Capping VCM200 - Lock Nut Cramping; ; ;")</f>
        <v>Capping VCM200 - Lock Nut Cramping; ; ;</v>
      </c>
      <c r="F2284" s="6">
        <f>IFERROR(__xludf.DUMMYFUNCTION("""COMPUTED_VALUE"""),10.0)</f>
        <v>10</v>
      </c>
      <c r="G2284" s="6" t="str">
        <f>IFERROR(__xludf.DUMMYFUNCTION("""COMPUTED_VALUE"""),"Pieces")</f>
        <v>Pieces</v>
      </c>
      <c r="H2284" s="6" t="str">
        <f>IFERROR(__xludf.DUMMYFUNCTION("""COMPUTED_VALUE"""),"IDR")</f>
        <v>IDR</v>
      </c>
      <c r="I2284" s="11">
        <f>IFERROR(__xludf.DUMMYFUNCTION("""COMPUTED_VALUE"""),447000.0)</f>
        <v>447000</v>
      </c>
      <c r="J2284" s="11">
        <f>IFERROR(__xludf.DUMMYFUNCTION("""COMPUTED_VALUE"""),4470000.0)</f>
        <v>4470000</v>
      </c>
      <c r="K2284" s="57">
        <f>IFERROR(__xludf.DUMMYFUNCTION("""COMPUTED_VALUE"""),45013.0)</f>
        <v>45013</v>
      </c>
      <c r="L2284" s="6" t="str">
        <f>IFERROR(__xludf.DUMMYFUNCTION("""COMPUTED_VALUE"""),"FIP Engineering")</f>
        <v>FIP Engineering</v>
      </c>
      <c r="M2284" s="6" t="str">
        <f>IFERROR(__xludf.DUMMYFUNCTION("""COMPUTED_VALUE"""),"Irwan Sopian")</f>
        <v>Irwan Sopian</v>
      </c>
      <c r="N2284" s="6" t="str">
        <f>IFERROR(__xludf.DUMMYFUNCTION("""COMPUTED_VALUE"""),"FIP Engineering")</f>
        <v>FIP Engineering</v>
      </c>
      <c r="O2284" s="6" t="str">
        <f>IFERROR(__xludf.DUMMYFUNCTION("""COMPUTED_VALUE"""),"FIP-DOM-000-11304-OS00001-INA-000000")</f>
        <v>FIP-DOM-000-11304-OS00001-INA-000000</v>
      </c>
      <c r="P2284" s="6" t="str">
        <f>IFERROR(__xludf.DUMMYFUNCTION("""COMPUTED_VALUE"""),"PO Closed")</f>
        <v>PO Closed</v>
      </c>
      <c r="Q2284" s="6" t="str">
        <f>IFERROR(__xludf.DUMMYFUNCTION("""COMPUTED_VALUE"""),"GL2303004")</f>
        <v>GL2303004</v>
      </c>
      <c r="R2284" s="57">
        <f>IFERROR(__xludf.DUMMYFUNCTION("""COMPUTED_VALUE"""),44971.0)</f>
        <v>44971</v>
      </c>
      <c r="S2284" s="57">
        <f>IFERROR(__xludf.DUMMYFUNCTION("""COMPUTED_VALUE"""),44971.0)</f>
        <v>44971</v>
      </c>
      <c r="T2284" s="57">
        <f>IFERROR(__xludf.DUMMYFUNCTION("""COMPUTED_VALUE"""),45013.0)</f>
        <v>45013</v>
      </c>
    </row>
    <row r="2285">
      <c r="A2285" s="6" t="str">
        <f>IFERROR(__xludf.DUMMYFUNCTION("""COMPUTED_VALUE"""),"231750144-2")</f>
        <v>231750144-2</v>
      </c>
      <c r="B2285" s="6" t="str">
        <f>IFERROR(__xludf.DUMMYFUNCTION("""COMPUTED_VALUE"""),"231750144 - Approved")</f>
        <v>231750144 - Approved</v>
      </c>
      <c r="C2285" s="6">
        <f>IFERROR(__xludf.DUMMYFUNCTION("""COMPUTED_VALUE"""),2.0)</f>
        <v>2</v>
      </c>
      <c r="D2285" s="6" t="str">
        <f>IFERROR(__xludf.DUMMYFUNCTION("""COMPUTED_VALUE"""),"O-18961-00")</f>
        <v>O-18961-00</v>
      </c>
      <c r="E2285" s="6" t="str">
        <f>IFERROR(__xludf.DUMMYFUNCTION("""COMPUTED_VALUE"""),"Capping VCM200 - Blade; ; ;")</f>
        <v>Capping VCM200 - Blade; ; ;</v>
      </c>
      <c r="F2285" s="6">
        <f>IFERROR(__xludf.DUMMYFUNCTION("""COMPUTED_VALUE"""),10.0)</f>
        <v>10</v>
      </c>
      <c r="G2285" s="6" t="str">
        <f>IFERROR(__xludf.DUMMYFUNCTION("""COMPUTED_VALUE"""),"Pieces")</f>
        <v>Pieces</v>
      </c>
      <c r="H2285" s="6" t="str">
        <f>IFERROR(__xludf.DUMMYFUNCTION("""COMPUTED_VALUE"""),"IDR")</f>
        <v>IDR</v>
      </c>
      <c r="I2285" s="11">
        <f>IFERROR(__xludf.DUMMYFUNCTION("""COMPUTED_VALUE"""),715000.0)</f>
        <v>715000</v>
      </c>
      <c r="J2285" s="11">
        <f>IFERROR(__xludf.DUMMYFUNCTION("""COMPUTED_VALUE"""),7150000.0)</f>
        <v>7150000</v>
      </c>
      <c r="K2285" s="57">
        <f>IFERROR(__xludf.DUMMYFUNCTION("""COMPUTED_VALUE"""),45013.0)</f>
        <v>45013</v>
      </c>
      <c r="L2285" s="6" t="str">
        <f>IFERROR(__xludf.DUMMYFUNCTION("""COMPUTED_VALUE"""),"FIP Engineering")</f>
        <v>FIP Engineering</v>
      </c>
      <c r="M2285" s="6" t="str">
        <f>IFERROR(__xludf.DUMMYFUNCTION("""COMPUTED_VALUE"""),"Irwan Sopian")</f>
        <v>Irwan Sopian</v>
      </c>
      <c r="N2285" s="6" t="str">
        <f>IFERROR(__xludf.DUMMYFUNCTION("""COMPUTED_VALUE"""),"FIP Engineering")</f>
        <v>FIP Engineering</v>
      </c>
      <c r="O2285" s="6" t="str">
        <f>IFERROR(__xludf.DUMMYFUNCTION("""COMPUTED_VALUE"""),"FIP-DOM-000-11304-OS00001-INA-000000")</f>
        <v>FIP-DOM-000-11304-OS00001-INA-000000</v>
      </c>
      <c r="P2285" s="6" t="str">
        <f>IFERROR(__xludf.DUMMYFUNCTION("""COMPUTED_VALUE"""),"PO Closed")</f>
        <v>PO Closed</v>
      </c>
      <c r="Q2285" s="6" t="str">
        <f>IFERROR(__xludf.DUMMYFUNCTION("""COMPUTED_VALUE"""),"GL2303004")</f>
        <v>GL2303004</v>
      </c>
      <c r="R2285" s="57">
        <f>IFERROR(__xludf.DUMMYFUNCTION("""COMPUTED_VALUE"""),44971.0)</f>
        <v>44971</v>
      </c>
      <c r="S2285" s="57">
        <f>IFERROR(__xludf.DUMMYFUNCTION("""COMPUTED_VALUE"""),44971.0)</f>
        <v>44971</v>
      </c>
      <c r="T2285" s="57">
        <f>IFERROR(__xludf.DUMMYFUNCTION("""COMPUTED_VALUE"""),45013.0)</f>
        <v>45013</v>
      </c>
    </row>
    <row r="2286">
      <c r="A2286" s="6" t="str">
        <f>IFERROR(__xludf.DUMMYFUNCTION("""COMPUTED_VALUE"""),"231750144-3")</f>
        <v>231750144-3</v>
      </c>
      <c r="B2286" s="6" t="str">
        <f>IFERROR(__xludf.DUMMYFUNCTION("""COMPUTED_VALUE"""),"231750144 - Approved")</f>
        <v>231750144 - Approved</v>
      </c>
      <c r="C2286" s="6">
        <f>IFERROR(__xludf.DUMMYFUNCTION("""COMPUTED_VALUE"""),3.0)</f>
        <v>3</v>
      </c>
      <c r="D2286" s="6" t="str">
        <f>IFERROR(__xludf.DUMMYFUNCTION("""COMPUTED_VALUE"""),"O-18962-00")</f>
        <v>O-18962-00</v>
      </c>
      <c r="E2286" s="6" t="str">
        <f>IFERROR(__xludf.DUMMYFUNCTION("""COMPUTED_VALUE"""),"Capping VCM200 - Adjuster Screw Blade; ; ;")</f>
        <v>Capping VCM200 - Adjuster Screw Blade; ; ;</v>
      </c>
      <c r="F2286" s="6">
        <f>IFERROR(__xludf.DUMMYFUNCTION("""COMPUTED_VALUE"""),10.0)</f>
        <v>10</v>
      </c>
      <c r="G2286" s="6" t="str">
        <f>IFERROR(__xludf.DUMMYFUNCTION("""COMPUTED_VALUE"""),"Pieces")</f>
        <v>Pieces</v>
      </c>
      <c r="H2286" s="6" t="str">
        <f>IFERROR(__xludf.DUMMYFUNCTION("""COMPUTED_VALUE"""),"IDR")</f>
        <v>IDR</v>
      </c>
      <c r="I2286" s="11">
        <f>IFERROR(__xludf.DUMMYFUNCTION("""COMPUTED_VALUE"""),460000.0)</f>
        <v>460000</v>
      </c>
      <c r="J2286" s="11">
        <f>IFERROR(__xludf.DUMMYFUNCTION("""COMPUTED_VALUE"""),4600000.0)</f>
        <v>4600000</v>
      </c>
      <c r="K2286" s="57">
        <f>IFERROR(__xludf.DUMMYFUNCTION("""COMPUTED_VALUE"""),45013.0)</f>
        <v>45013</v>
      </c>
      <c r="L2286" s="6" t="str">
        <f>IFERROR(__xludf.DUMMYFUNCTION("""COMPUTED_VALUE"""),"FIP Engineering")</f>
        <v>FIP Engineering</v>
      </c>
      <c r="M2286" s="6" t="str">
        <f>IFERROR(__xludf.DUMMYFUNCTION("""COMPUTED_VALUE"""),"Irwan Sopian")</f>
        <v>Irwan Sopian</v>
      </c>
      <c r="N2286" s="6" t="str">
        <f>IFERROR(__xludf.DUMMYFUNCTION("""COMPUTED_VALUE"""),"FIP Engineering")</f>
        <v>FIP Engineering</v>
      </c>
      <c r="O2286" s="6" t="str">
        <f>IFERROR(__xludf.DUMMYFUNCTION("""COMPUTED_VALUE"""),"FIP-DOM-000-11304-OS00001-INA-000000")</f>
        <v>FIP-DOM-000-11304-OS00001-INA-000000</v>
      </c>
      <c r="P2286" s="6" t="str">
        <f>IFERROR(__xludf.DUMMYFUNCTION("""COMPUTED_VALUE"""),"PO Closed")</f>
        <v>PO Closed</v>
      </c>
      <c r="Q2286" s="6" t="str">
        <f>IFERROR(__xludf.DUMMYFUNCTION("""COMPUTED_VALUE"""),"GL2303004")</f>
        <v>GL2303004</v>
      </c>
      <c r="R2286" s="57">
        <f>IFERROR(__xludf.DUMMYFUNCTION("""COMPUTED_VALUE"""),44971.0)</f>
        <v>44971</v>
      </c>
      <c r="S2286" s="57">
        <f>IFERROR(__xludf.DUMMYFUNCTION("""COMPUTED_VALUE"""),44971.0)</f>
        <v>44971</v>
      </c>
      <c r="T2286" s="57">
        <f>IFERROR(__xludf.DUMMYFUNCTION("""COMPUTED_VALUE"""),45013.0)</f>
        <v>45013</v>
      </c>
    </row>
    <row r="2287">
      <c r="A2287" s="6" t="str">
        <f>IFERROR(__xludf.DUMMYFUNCTION("""COMPUTED_VALUE"""),"231750144-4")</f>
        <v>231750144-4</v>
      </c>
      <c r="B2287" s="6" t="str">
        <f>IFERROR(__xludf.DUMMYFUNCTION("""COMPUTED_VALUE"""),"231750144 - Approved")</f>
        <v>231750144 - Approved</v>
      </c>
      <c r="C2287" s="6">
        <f>IFERROR(__xludf.DUMMYFUNCTION("""COMPUTED_VALUE"""),4.0)</f>
        <v>4</v>
      </c>
      <c r="D2287" s="6" t="str">
        <f>IFERROR(__xludf.DUMMYFUNCTION("""COMPUTED_VALUE"""),"O-18963-00")</f>
        <v>O-18963-00</v>
      </c>
      <c r="E2287" s="6" t="str">
        <f>IFERROR(__xludf.DUMMYFUNCTION("""COMPUTED_VALUE"""),"Capping VCM200 - Clamp Holder; ; ;")</f>
        <v>Capping VCM200 - Clamp Holder; ; ;</v>
      </c>
      <c r="F2287" s="6">
        <f>IFERROR(__xludf.DUMMYFUNCTION("""COMPUTED_VALUE"""),10.0)</f>
        <v>10</v>
      </c>
      <c r="G2287" s="6" t="str">
        <f>IFERROR(__xludf.DUMMYFUNCTION("""COMPUTED_VALUE"""),"Pieces")</f>
        <v>Pieces</v>
      </c>
      <c r="H2287" s="6" t="str">
        <f>IFERROR(__xludf.DUMMYFUNCTION("""COMPUTED_VALUE"""),"IDR")</f>
        <v>IDR</v>
      </c>
      <c r="I2287" s="11">
        <f>IFERROR(__xludf.DUMMYFUNCTION("""COMPUTED_VALUE"""),275000.0)</f>
        <v>275000</v>
      </c>
      <c r="J2287" s="11">
        <f>IFERROR(__xludf.DUMMYFUNCTION("""COMPUTED_VALUE"""),2750000.0)</f>
        <v>2750000</v>
      </c>
      <c r="K2287" s="57">
        <f>IFERROR(__xludf.DUMMYFUNCTION("""COMPUTED_VALUE"""),45013.0)</f>
        <v>45013</v>
      </c>
      <c r="L2287" s="6" t="str">
        <f>IFERROR(__xludf.DUMMYFUNCTION("""COMPUTED_VALUE"""),"FIP Engineering")</f>
        <v>FIP Engineering</v>
      </c>
      <c r="M2287" s="6" t="str">
        <f>IFERROR(__xludf.DUMMYFUNCTION("""COMPUTED_VALUE"""),"Irwan Sopian")</f>
        <v>Irwan Sopian</v>
      </c>
      <c r="N2287" s="6" t="str">
        <f>IFERROR(__xludf.DUMMYFUNCTION("""COMPUTED_VALUE"""),"FIP Engineering")</f>
        <v>FIP Engineering</v>
      </c>
      <c r="O2287" s="6" t="str">
        <f>IFERROR(__xludf.DUMMYFUNCTION("""COMPUTED_VALUE"""),"FIP-DOM-000-11304-OS00001-INA-000000")</f>
        <v>FIP-DOM-000-11304-OS00001-INA-000000</v>
      </c>
      <c r="P2287" s="6" t="str">
        <f>IFERROR(__xludf.DUMMYFUNCTION("""COMPUTED_VALUE"""),"PO Closed")</f>
        <v>PO Closed</v>
      </c>
      <c r="Q2287" s="6" t="str">
        <f>IFERROR(__xludf.DUMMYFUNCTION("""COMPUTED_VALUE"""),"GL2303004")</f>
        <v>GL2303004</v>
      </c>
      <c r="R2287" s="57">
        <f>IFERROR(__xludf.DUMMYFUNCTION("""COMPUTED_VALUE"""),44971.0)</f>
        <v>44971</v>
      </c>
      <c r="S2287" s="57">
        <f>IFERROR(__xludf.DUMMYFUNCTION("""COMPUTED_VALUE"""),44971.0)</f>
        <v>44971</v>
      </c>
      <c r="T2287" s="57">
        <f>IFERROR(__xludf.DUMMYFUNCTION("""COMPUTED_VALUE"""),45013.0)</f>
        <v>45013</v>
      </c>
    </row>
    <row r="2288">
      <c r="A2288" s="6" t="str">
        <f>IFERROR(__xludf.DUMMYFUNCTION("""COMPUTED_VALUE"""),"231750144-5")</f>
        <v>231750144-5</v>
      </c>
      <c r="B2288" s="6" t="str">
        <f>IFERROR(__xludf.DUMMYFUNCTION("""COMPUTED_VALUE"""),"231750144 - Approved")</f>
        <v>231750144 - Approved</v>
      </c>
      <c r="C2288" s="6">
        <f>IFERROR(__xludf.DUMMYFUNCTION("""COMPUTED_VALUE"""),5.0)</f>
        <v>5</v>
      </c>
      <c r="D2288" s="6" t="str">
        <f>IFERROR(__xludf.DUMMYFUNCTION("""COMPUTED_VALUE"""),"O-18964-00")</f>
        <v>O-18964-00</v>
      </c>
      <c r="E2288" s="6" t="str">
        <f>IFERROR(__xludf.DUMMYFUNCTION("""COMPUTED_VALUE"""),"Capping VCM200 - Clamp Holder; ; ;")</f>
        <v>Capping VCM200 - Clamp Holder; ; ;</v>
      </c>
      <c r="F2288" s="6">
        <f>IFERROR(__xludf.DUMMYFUNCTION("""COMPUTED_VALUE"""),10.0)</f>
        <v>10</v>
      </c>
      <c r="G2288" s="6" t="str">
        <f>IFERROR(__xludf.DUMMYFUNCTION("""COMPUTED_VALUE"""),"Pieces")</f>
        <v>Pieces</v>
      </c>
      <c r="H2288" s="6" t="str">
        <f>IFERROR(__xludf.DUMMYFUNCTION("""COMPUTED_VALUE"""),"IDR")</f>
        <v>IDR</v>
      </c>
      <c r="I2288" s="11">
        <f>IFERROR(__xludf.DUMMYFUNCTION("""COMPUTED_VALUE"""),612000.0)</f>
        <v>612000</v>
      </c>
      <c r="J2288" s="11">
        <f>IFERROR(__xludf.DUMMYFUNCTION("""COMPUTED_VALUE"""),6120000.0)</f>
        <v>6120000</v>
      </c>
      <c r="K2288" s="57">
        <f>IFERROR(__xludf.DUMMYFUNCTION("""COMPUTED_VALUE"""),45013.0)</f>
        <v>45013</v>
      </c>
      <c r="L2288" s="6" t="str">
        <f>IFERROR(__xludf.DUMMYFUNCTION("""COMPUTED_VALUE"""),"FIP Engineering")</f>
        <v>FIP Engineering</v>
      </c>
      <c r="M2288" s="6" t="str">
        <f>IFERROR(__xludf.DUMMYFUNCTION("""COMPUTED_VALUE"""),"Irwan Sopian")</f>
        <v>Irwan Sopian</v>
      </c>
      <c r="N2288" s="6" t="str">
        <f>IFERROR(__xludf.DUMMYFUNCTION("""COMPUTED_VALUE"""),"FIP Engineering")</f>
        <v>FIP Engineering</v>
      </c>
      <c r="O2288" s="6" t="str">
        <f>IFERROR(__xludf.DUMMYFUNCTION("""COMPUTED_VALUE"""),"FIP-DOM-000-11304-OS00001-INA-000000")</f>
        <v>FIP-DOM-000-11304-OS00001-INA-000000</v>
      </c>
      <c r="P2288" s="6" t="str">
        <f>IFERROR(__xludf.DUMMYFUNCTION("""COMPUTED_VALUE"""),"PO Closed")</f>
        <v>PO Closed</v>
      </c>
      <c r="Q2288" s="6" t="str">
        <f>IFERROR(__xludf.DUMMYFUNCTION("""COMPUTED_VALUE"""),"GL2303004")</f>
        <v>GL2303004</v>
      </c>
      <c r="R2288" s="57">
        <f>IFERROR(__xludf.DUMMYFUNCTION("""COMPUTED_VALUE"""),44971.0)</f>
        <v>44971</v>
      </c>
      <c r="S2288" s="57">
        <f>IFERROR(__xludf.DUMMYFUNCTION("""COMPUTED_VALUE"""),44971.0)</f>
        <v>44971</v>
      </c>
      <c r="T2288" s="57">
        <f>IFERROR(__xludf.DUMMYFUNCTION("""COMPUTED_VALUE"""),45013.0)</f>
        <v>45013</v>
      </c>
    </row>
    <row r="2289">
      <c r="A2289" s="6" t="str">
        <f>IFERROR(__xludf.DUMMYFUNCTION("""COMPUTED_VALUE"""),"231750144-6")</f>
        <v>231750144-6</v>
      </c>
      <c r="B2289" s="6" t="str">
        <f>IFERROR(__xludf.DUMMYFUNCTION("""COMPUTED_VALUE"""),"231750144 - Approved")</f>
        <v>231750144 - Approved</v>
      </c>
      <c r="C2289" s="6">
        <f>IFERROR(__xludf.DUMMYFUNCTION("""COMPUTED_VALUE"""),6.0)</f>
        <v>6</v>
      </c>
      <c r="D2289" s="6" t="str">
        <f>IFERROR(__xludf.DUMMYFUNCTION("""COMPUTED_VALUE"""),"O-18965-00")</f>
        <v>O-18965-00</v>
      </c>
      <c r="E2289" s="6" t="str">
        <f>IFERROR(__xludf.DUMMYFUNCTION("""COMPUTED_VALUE"""),"Capping VCM200 - Spring Head; ; ;")</f>
        <v>Capping VCM200 - Spring Head; ; ;</v>
      </c>
      <c r="F2289" s="6">
        <f>IFERROR(__xludf.DUMMYFUNCTION("""COMPUTED_VALUE"""),10.0)</f>
        <v>10</v>
      </c>
      <c r="G2289" s="6" t="str">
        <f>IFERROR(__xludf.DUMMYFUNCTION("""COMPUTED_VALUE"""),"Pieces")</f>
        <v>Pieces</v>
      </c>
      <c r="H2289" s="6" t="str">
        <f>IFERROR(__xludf.DUMMYFUNCTION("""COMPUTED_VALUE"""),"IDR")</f>
        <v>IDR</v>
      </c>
      <c r="I2289" s="11">
        <f>IFERROR(__xludf.DUMMYFUNCTION("""COMPUTED_VALUE"""),112000.0)</f>
        <v>112000</v>
      </c>
      <c r="J2289" s="11">
        <f>IFERROR(__xludf.DUMMYFUNCTION("""COMPUTED_VALUE"""),1120000.0)</f>
        <v>1120000</v>
      </c>
      <c r="K2289" s="57">
        <f>IFERROR(__xludf.DUMMYFUNCTION("""COMPUTED_VALUE"""),45013.0)</f>
        <v>45013</v>
      </c>
      <c r="L2289" s="6" t="str">
        <f>IFERROR(__xludf.DUMMYFUNCTION("""COMPUTED_VALUE"""),"FIP Engineering")</f>
        <v>FIP Engineering</v>
      </c>
      <c r="M2289" s="6" t="str">
        <f>IFERROR(__xludf.DUMMYFUNCTION("""COMPUTED_VALUE"""),"Irwan Sopian")</f>
        <v>Irwan Sopian</v>
      </c>
      <c r="N2289" s="6" t="str">
        <f>IFERROR(__xludf.DUMMYFUNCTION("""COMPUTED_VALUE"""),"FIP Engineering")</f>
        <v>FIP Engineering</v>
      </c>
      <c r="O2289" s="6" t="str">
        <f>IFERROR(__xludf.DUMMYFUNCTION("""COMPUTED_VALUE"""),"FIP-DOM-000-11304-OS00001-INA-000000")</f>
        <v>FIP-DOM-000-11304-OS00001-INA-000000</v>
      </c>
      <c r="P2289" s="6" t="str">
        <f>IFERROR(__xludf.DUMMYFUNCTION("""COMPUTED_VALUE"""),"PO Closed")</f>
        <v>PO Closed</v>
      </c>
      <c r="Q2289" s="6" t="str">
        <f>IFERROR(__xludf.DUMMYFUNCTION("""COMPUTED_VALUE"""),"GL2303004")</f>
        <v>GL2303004</v>
      </c>
      <c r="R2289" s="57">
        <f>IFERROR(__xludf.DUMMYFUNCTION("""COMPUTED_VALUE"""),44971.0)</f>
        <v>44971</v>
      </c>
      <c r="S2289" s="57">
        <f>IFERROR(__xludf.DUMMYFUNCTION("""COMPUTED_VALUE"""),44971.0)</f>
        <v>44971</v>
      </c>
      <c r="T2289" s="57">
        <f>IFERROR(__xludf.DUMMYFUNCTION("""COMPUTED_VALUE"""),45013.0)</f>
        <v>45013</v>
      </c>
    </row>
    <row r="2290">
      <c r="A2290" s="6" t="str">
        <f>IFERROR(__xludf.DUMMYFUNCTION("""COMPUTED_VALUE"""),"231750144-7")</f>
        <v>231750144-7</v>
      </c>
      <c r="B2290" s="6" t="str">
        <f>IFERROR(__xludf.DUMMYFUNCTION("""COMPUTED_VALUE"""),"231750144 - Approved")</f>
        <v>231750144 - Approved</v>
      </c>
      <c r="C2290" s="6">
        <f>IFERROR(__xludf.DUMMYFUNCTION("""COMPUTED_VALUE"""),7.0)</f>
        <v>7</v>
      </c>
      <c r="D2290" s="6" t="str">
        <f>IFERROR(__xludf.DUMMYFUNCTION("""COMPUTED_VALUE"""),"O-18966-00")</f>
        <v>O-18966-00</v>
      </c>
      <c r="E2290" s="6" t="str">
        <f>IFERROR(__xludf.DUMMYFUNCTION("""COMPUTED_VALUE"""),"Capping VCM200 - Ring Washer; ; ;")</f>
        <v>Capping VCM200 - Ring Washer; ; ;</v>
      </c>
      <c r="F2290" s="6">
        <f>IFERROR(__xludf.DUMMYFUNCTION("""COMPUTED_VALUE"""),10.0)</f>
        <v>10</v>
      </c>
      <c r="G2290" s="6" t="str">
        <f>IFERROR(__xludf.DUMMYFUNCTION("""COMPUTED_VALUE"""),"Pieces")</f>
        <v>Pieces</v>
      </c>
      <c r="H2290" s="6" t="str">
        <f>IFERROR(__xludf.DUMMYFUNCTION("""COMPUTED_VALUE"""),"IDR")</f>
        <v>IDR</v>
      </c>
      <c r="I2290" s="11">
        <f>IFERROR(__xludf.DUMMYFUNCTION("""COMPUTED_VALUE"""),101000.0)</f>
        <v>101000</v>
      </c>
      <c r="J2290" s="11">
        <f>IFERROR(__xludf.DUMMYFUNCTION("""COMPUTED_VALUE"""),1010000.0)</f>
        <v>1010000</v>
      </c>
      <c r="K2290" s="57">
        <f>IFERROR(__xludf.DUMMYFUNCTION("""COMPUTED_VALUE"""),45013.0)</f>
        <v>45013</v>
      </c>
      <c r="L2290" s="6" t="str">
        <f>IFERROR(__xludf.DUMMYFUNCTION("""COMPUTED_VALUE"""),"FIP Engineering")</f>
        <v>FIP Engineering</v>
      </c>
      <c r="M2290" s="6" t="str">
        <f>IFERROR(__xludf.DUMMYFUNCTION("""COMPUTED_VALUE"""),"Irwan Sopian")</f>
        <v>Irwan Sopian</v>
      </c>
      <c r="N2290" s="6" t="str">
        <f>IFERROR(__xludf.DUMMYFUNCTION("""COMPUTED_VALUE"""),"FIP Engineering")</f>
        <v>FIP Engineering</v>
      </c>
      <c r="O2290" s="6" t="str">
        <f>IFERROR(__xludf.DUMMYFUNCTION("""COMPUTED_VALUE"""),"FIP-DOM-000-11304-OS00001-INA-000000")</f>
        <v>FIP-DOM-000-11304-OS00001-INA-000000</v>
      </c>
      <c r="P2290" s="6" t="str">
        <f>IFERROR(__xludf.DUMMYFUNCTION("""COMPUTED_VALUE"""),"PO Closed")</f>
        <v>PO Closed</v>
      </c>
      <c r="Q2290" s="6" t="str">
        <f>IFERROR(__xludf.DUMMYFUNCTION("""COMPUTED_VALUE"""),"GL2303004")</f>
        <v>GL2303004</v>
      </c>
      <c r="R2290" s="57">
        <f>IFERROR(__xludf.DUMMYFUNCTION("""COMPUTED_VALUE"""),44971.0)</f>
        <v>44971</v>
      </c>
      <c r="S2290" s="57">
        <f>IFERROR(__xludf.DUMMYFUNCTION("""COMPUTED_VALUE"""),44971.0)</f>
        <v>44971</v>
      </c>
      <c r="T2290" s="57">
        <f>IFERROR(__xludf.DUMMYFUNCTION("""COMPUTED_VALUE"""),45013.0)</f>
        <v>45013</v>
      </c>
    </row>
    <row r="2291">
      <c r="A2291" s="6" t="str">
        <f>IFERROR(__xludf.DUMMYFUNCTION("""COMPUTED_VALUE"""),"231750144-8")</f>
        <v>231750144-8</v>
      </c>
      <c r="B2291" s="6" t="str">
        <f>IFERROR(__xludf.DUMMYFUNCTION("""COMPUTED_VALUE"""),"231750144 - Approved")</f>
        <v>231750144 - Approved</v>
      </c>
      <c r="C2291" s="6">
        <f>IFERROR(__xludf.DUMMYFUNCTION("""COMPUTED_VALUE"""),8.0)</f>
        <v>8</v>
      </c>
      <c r="D2291" s="6" t="str">
        <f>IFERROR(__xludf.DUMMYFUNCTION("""COMPUTED_VALUE"""),"O-18967-00")</f>
        <v>O-18967-00</v>
      </c>
      <c r="E2291" s="6" t="str">
        <f>IFERROR(__xludf.DUMMYFUNCTION("""COMPUTED_VALUE"""),"Capping VCM200 - Washer A; ; ;")</f>
        <v>Capping VCM200 - Washer A; ; ;</v>
      </c>
      <c r="F2291" s="6">
        <f>IFERROR(__xludf.DUMMYFUNCTION("""COMPUTED_VALUE"""),10.0)</f>
        <v>10</v>
      </c>
      <c r="G2291" s="6" t="str">
        <f>IFERROR(__xludf.DUMMYFUNCTION("""COMPUTED_VALUE"""),"Pieces")</f>
        <v>Pieces</v>
      </c>
      <c r="H2291" s="6" t="str">
        <f>IFERROR(__xludf.DUMMYFUNCTION("""COMPUTED_VALUE"""),"IDR")</f>
        <v>IDR</v>
      </c>
      <c r="I2291" s="11">
        <f>IFERROR(__xludf.DUMMYFUNCTION("""COMPUTED_VALUE"""),157000.0)</f>
        <v>157000</v>
      </c>
      <c r="J2291" s="11">
        <f>IFERROR(__xludf.DUMMYFUNCTION("""COMPUTED_VALUE"""),1570000.0)</f>
        <v>1570000</v>
      </c>
      <c r="K2291" s="57">
        <f>IFERROR(__xludf.DUMMYFUNCTION("""COMPUTED_VALUE"""),45013.0)</f>
        <v>45013</v>
      </c>
      <c r="L2291" s="6" t="str">
        <f>IFERROR(__xludf.DUMMYFUNCTION("""COMPUTED_VALUE"""),"FIP Engineering")</f>
        <v>FIP Engineering</v>
      </c>
      <c r="M2291" s="6" t="str">
        <f>IFERROR(__xludf.DUMMYFUNCTION("""COMPUTED_VALUE"""),"Irwan Sopian")</f>
        <v>Irwan Sopian</v>
      </c>
      <c r="N2291" s="6" t="str">
        <f>IFERROR(__xludf.DUMMYFUNCTION("""COMPUTED_VALUE"""),"FIP Engineering")</f>
        <v>FIP Engineering</v>
      </c>
      <c r="O2291" s="6" t="str">
        <f>IFERROR(__xludf.DUMMYFUNCTION("""COMPUTED_VALUE"""),"FIP-DOM-000-11304-OS00001-INA-000000")</f>
        <v>FIP-DOM-000-11304-OS00001-INA-000000</v>
      </c>
      <c r="P2291" s="6" t="str">
        <f>IFERROR(__xludf.DUMMYFUNCTION("""COMPUTED_VALUE"""),"PO Closed")</f>
        <v>PO Closed</v>
      </c>
      <c r="Q2291" s="6" t="str">
        <f>IFERROR(__xludf.DUMMYFUNCTION("""COMPUTED_VALUE"""),"GL2303004")</f>
        <v>GL2303004</v>
      </c>
      <c r="R2291" s="57">
        <f>IFERROR(__xludf.DUMMYFUNCTION("""COMPUTED_VALUE"""),44971.0)</f>
        <v>44971</v>
      </c>
      <c r="S2291" s="57">
        <f>IFERROR(__xludf.DUMMYFUNCTION("""COMPUTED_VALUE"""),44971.0)</f>
        <v>44971</v>
      </c>
      <c r="T2291" s="57">
        <f>IFERROR(__xludf.DUMMYFUNCTION("""COMPUTED_VALUE"""),45013.0)</f>
        <v>45013</v>
      </c>
    </row>
    <row r="2292">
      <c r="A2292" s="6" t="str">
        <f>IFERROR(__xludf.DUMMYFUNCTION("""COMPUTED_VALUE"""),"231750144-9")</f>
        <v>231750144-9</v>
      </c>
      <c r="B2292" s="6" t="str">
        <f>IFERROR(__xludf.DUMMYFUNCTION("""COMPUTED_VALUE"""),"231750144 - Approved")</f>
        <v>231750144 - Approved</v>
      </c>
      <c r="C2292" s="6">
        <f>IFERROR(__xludf.DUMMYFUNCTION("""COMPUTED_VALUE"""),9.0)</f>
        <v>9</v>
      </c>
      <c r="D2292" s="6" t="str">
        <f>IFERROR(__xludf.DUMMYFUNCTION("""COMPUTED_VALUE"""),"O-18968-00")</f>
        <v>O-18968-00</v>
      </c>
      <c r="E2292" s="6" t="str">
        <f>IFERROR(__xludf.DUMMYFUNCTION("""COMPUTED_VALUE"""),"Capping VCM200 - Washer B; ; ;")</f>
        <v>Capping VCM200 - Washer B; ; ;</v>
      </c>
      <c r="F2292" s="6">
        <f>IFERROR(__xludf.DUMMYFUNCTION("""COMPUTED_VALUE"""),10.0)</f>
        <v>10</v>
      </c>
      <c r="G2292" s="6" t="str">
        <f>IFERROR(__xludf.DUMMYFUNCTION("""COMPUTED_VALUE"""),"Pieces")</f>
        <v>Pieces</v>
      </c>
      <c r="H2292" s="6" t="str">
        <f>IFERROR(__xludf.DUMMYFUNCTION("""COMPUTED_VALUE"""),"IDR")</f>
        <v>IDR</v>
      </c>
      <c r="I2292" s="11">
        <f>IFERROR(__xludf.DUMMYFUNCTION("""COMPUTED_VALUE"""),157000.0)</f>
        <v>157000</v>
      </c>
      <c r="J2292" s="11">
        <f>IFERROR(__xludf.DUMMYFUNCTION("""COMPUTED_VALUE"""),1570000.0)</f>
        <v>1570000</v>
      </c>
      <c r="K2292" s="57">
        <f>IFERROR(__xludf.DUMMYFUNCTION("""COMPUTED_VALUE"""),45013.0)</f>
        <v>45013</v>
      </c>
      <c r="L2292" s="6" t="str">
        <f>IFERROR(__xludf.DUMMYFUNCTION("""COMPUTED_VALUE"""),"FIP Engineering")</f>
        <v>FIP Engineering</v>
      </c>
      <c r="M2292" s="6" t="str">
        <f>IFERROR(__xludf.DUMMYFUNCTION("""COMPUTED_VALUE"""),"Irwan Sopian")</f>
        <v>Irwan Sopian</v>
      </c>
      <c r="N2292" s="6" t="str">
        <f>IFERROR(__xludf.DUMMYFUNCTION("""COMPUTED_VALUE"""),"FIP Engineering")</f>
        <v>FIP Engineering</v>
      </c>
      <c r="O2292" s="6" t="str">
        <f>IFERROR(__xludf.DUMMYFUNCTION("""COMPUTED_VALUE"""),"FIP-DOM-000-11304-OS00001-INA-000000")</f>
        <v>FIP-DOM-000-11304-OS00001-INA-000000</v>
      </c>
      <c r="P2292" s="6" t="str">
        <f>IFERROR(__xludf.DUMMYFUNCTION("""COMPUTED_VALUE"""),"PO Closed")</f>
        <v>PO Closed</v>
      </c>
      <c r="Q2292" s="6" t="str">
        <f>IFERROR(__xludf.DUMMYFUNCTION("""COMPUTED_VALUE"""),"GL2303004")</f>
        <v>GL2303004</v>
      </c>
      <c r="R2292" s="57">
        <f>IFERROR(__xludf.DUMMYFUNCTION("""COMPUTED_VALUE"""),44971.0)</f>
        <v>44971</v>
      </c>
      <c r="S2292" s="57">
        <f>IFERROR(__xludf.DUMMYFUNCTION("""COMPUTED_VALUE"""),44971.0)</f>
        <v>44971</v>
      </c>
      <c r="T2292" s="57">
        <f>IFERROR(__xludf.DUMMYFUNCTION("""COMPUTED_VALUE"""),45013.0)</f>
        <v>45013</v>
      </c>
    </row>
    <row r="2293">
      <c r="A2293" s="6" t="str">
        <f>IFERROR(__xludf.DUMMYFUNCTION("""COMPUTED_VALUE"""),"231750145-1")</f>
        <v>231750145-1</v>
      </c>
      <c r="B2293" s="6" t="str">
        <f>IFERROR(__xludf.DUMMYFUNCTION("""COMPUTED_VALUE"""),"231750145 - Approved")</f>
        <v>231750145 - Approved</v>
      </c>
      <c r="C2293" s="6">
        <f>IFERROR(__xludf.DUMMYFUNCTION("""COMPUTED_VALUE"""),1.0)</f>
        <v>1</v>
      </c>
      <c r="D2293" s="6" t="str">
        <f>IFERROR(__xludf.DUMMYFUNCTION("""COMPUTED_VALUE"""),"O-18987-00")</f>
        <v>O-18987-00</v>
      </c>
      <c r="E2293" s="6" t="str">
        <f>IFERROR(__xludf.DUMMYFUNCTION("""COMPUTED_VALUE"""),"Freeze Dryer MBE1207 - Oil Compressor RL 46H @5 Liter; EMKARATE; ;")</f>
        <v>Freeze Dryer MBE1207 - Oil Compressor RL 46H @5 Liter; EMKARATE; ;</v>
      </c>
      <c r="F2293" s="6">
        <f>IFERROR(__xludf.DUMMYFUNCTION("""COMPUTED_VALUE"""),4.0)</f>
        <v>4</v>
      </c>
      <c r="G2293" s="6" t="str">
        <f>IFERROR(__xludf.DUMMYFUNCTION("""COMPUTED_VALUE"""),"Can")</f>
        <v>Can</v>
      </c>
      <c r="H2293" s="6" t="str">
        <f>IFERROR(__xludf.DUMMYFUNCTION("""COMPUTED_VALUE"""),"IDR")</f>
        <v>IDR</v>
      </c>
      <c r="I2293" s="11">
        <f>IFERROR(__xludf.DUMMYFUNCTION("""COMPUTED_VALUE"""),2000000.0)</f>
        <v>2000000</v>
      </c>
      <c r="J2293" s="11">
        <f>IFERROR(__xludf.DUMMYFUNCTION("""COMPUTED_VALUE"""),8000000.0)</f>
        <v>8000000</v>
      </c>
      <c r="K2293" s="57">
        <f>IFERROR(__xludf.DUMMYFUNCTION("""COMPUTED_VALUE"""),45013.0)</f>
        <v>45013</v>
      </c>
      <c r="L2293" s="6" t="str">
        <f>IFERROR(__xludf.DUMMYFUNCTION("""COMPUTED_VALUE"""),"FIP Engineering")</f>
        <v>FIP Engineering</v>
      </c>
      <c r="M2293" s="6" t="str">
        <f>IFERROR(__xludf.DUMMYFUNCTION("""COMPUTED_VALUE"""),"Irwan Sopian")</f>
        <v>Irwan Sopian</v>
      </c>
      <c r="N2293" s="6" t="str">
        <f>IFERROR(__xludf.DUMMYFUNCTION("""COMPUTED_VALUE"""),"FIP Engineering")</f>
        <v>FIP Engineering</v>
      </c>
      <c r="O2293" s="6" t="str">
        <f>IFERROR(__xludf.DUMMYFUNCTION("""COMPUTED_VALUE"""),"FIP-DOM-000-11304-OS00001-INA-000000")</f>
        <v>FIP-DOM-000-11304-OS00001-INA-000000</v>
      </c>
      <c r="P2293" s="6" t="str">
        <f>IFERROR(__xludf.DUMMYFUNCTION("""COMPUTED_VALUE"""),"PO Closed")</f>
        <v>PO Closed</v>
      </c>
      <c r="Q2293" s="6" t="str">
        <f>IFERROR(__xludf.DUMMYFUNCTION("""COMPUTED_VALUE"""),"GL2303007")</f>
        <v>GL2303007</v>
      </c>
      <c r="R2293" s="57">
        <f>IFERROR(__xludf.DUMMYFUNCTION("""COMPUTED_VALUE"""),44971.0)</f>
        <v>44971</v>
      </c>
      <c r="S2293" s="57">
        <f>IFERROR(__xludf.DUMMYFUNCTION("""COMPUTED_VALUE"""),44971.0)</f>
        <v>44971</v>
      </c>
      <c r="T2293" s="57">
        <f>IFERROR(__xludf.DUMMYFUNCTION("""COMPUTED_VALUE"""),45077.0)</f>
        <v>45077</v>
      </c>
    </row>
    <row r="2294">
      <c r="A2294" s="6" t="str">
        <f>IFERROR(__xludf.DUMMYFUNCTION("""COMPUTED_VALUE"""),"231750145-3")</f>
        <v>231750145-3</v>
      </c>
      <c r="B2294" s="6" t="str">
        <f>IFERROR(__xludf.DUMMYFUNCTION("""COMPUTED_VALUE"""),"231750145 - Approved")</f>
        <v>231750145 - Approved</v>
      </c>
      <c r="C2294" s="6">
        <f>IFERROR(__xludf.DUMMYFUNCTION("""COMPUTED_VALUE"""),3.0)</f>
        <v>3</v>
      </c>
      <c r="D2294" s="6" t="str">
        <f>IFERROR(__xludf.DUMMYFUNCTION("""COMPUTED_VALUE"""),"P-18504-00")</f>
        <v>P-18504-00</v>
      </c>
      <c r="E2294" s="6" t="str">
        <f>IFERROR(__xludf.DUMMYFUNCTION("""COMPUTED_VALUE"""),"Chemours - Freon 404A;; ; ;")</f>
        <v>Chemours - Freon 404A;; ; ;</v>
      </c>
      <c r="F2294" s="6">
        <f>IFERROR(__xludf.DUMMYFUNCTION("""COMPUTED_VALUE"""),1.0)</f>
        <v>1</v>
      </c>
      <c r="G2294" s="6" t="str">
        <f>IFERROR(__xludf.DUMMYFUNCTION("""COMPUTED_VALUE"""),"Can")</f>
        <v>Can</v>
      </c>
      <c r="H2294" s="6" t="str">
        <f>IFERROR(__xludf.DUMMYFUNCTION("""COMPUTED_VALUE"""),"IDR")</f>
        <v>IDR</v>
      </c>
      <c r="I2294" s="11">
        <f>IFERROR(__xludf.DUMMYFUNCTION("""COMPUTED_VALUE"""),2500000.0)</f>
        <v>2500000</v>
      </c>
      <c r="J2294" s="11">
        <f>IFERROR(__xludf.DUMMYFUNCTION("""COMPUTED_VALUE"""),2500000.0)</f>
        <v>2500000</v>
      </c>
      <c r="K2294" s="57">
        <f>IFERROR(__xludf.DUMMYFUNCTION("""COMPUTED_VALUE"""),45013.0)</f>
        <v>45013</v>
      </c>
      <c r="L2294" s="6" t="str">
        <f>IFERROR(__xludf.DUMMYFUNCTION("""COMPUTED_VALUE"""),"FIP Engineering")</f>
        <v>FIP Engineering</v>
      </c>
      <c r="M2294" s="6" t="str">
        <f>IFERROR(__xludf.DUMMYFUNCTION("""COMPUTED_VALUE"""),"Irwan Sopian")</f>
        <v>Irwan Sopian</v>
      </c>
      <c r="N2294" s="6" t="str">
        <f>IFERROR(__xludf.DUMMYFUNCTION("""COMPUTED_VALUE"""),"FIP Engineering")</f>
        <v>FIP Engineering</v>
      </c>
      <c r="O2294" s="6" t="str">
        <f>IFERROR(__xludf.DUMMYFUNCTION("""COMPUTED_VALUE"""),"FIP-DOM-000-11304-OS00001-INA-000000")</f>
        <v>FIP-DOM-000-11304-OS00001-INA-000000</v>
      </c>
      <c r="P2294" s="6" t="str">
        <f>IFERROR(__xludf.DUMMYFUNCTION("""COMPUTED_VALUE"""),"PO Closed")</f>
        <v>PO Closed</v>
      </c>
      <c r="Q2294" s="6" t="str">
        <f>IFERROR(__xludf.DUMMYFUNCTION("""COMPUTED_VALUE"""),"GL2304013")</f>
        <v>GL2304013</v>
      </c>
      <c r="R2294" s="57">
        <f>IFERROR(__xludf.DUMMYFUNCTION("""COMPUTED_VALUE"""),44971.0)</f>
        <v>44971</v>
      </c>
      <c r="S2294" s="57">
        <f>IFERROR(__xludf.DUMMYFUNCTION("""COMPUTED_VALUE"""),44971.0)</f>
        <v>44971</v>
      </c>
      <c r="T2294" s="57">
        <f>IFERROR(__xludf.DUMMYFUNCTION("""COMPUTED_VALUE"""),45043.0)</f>
        <v>45043</v>
      </c>
    </row>
    <row r="2295">
      <c r="A2295" s="6" t="str">
        <f>IFERROR(__xludf.DUMMYFUNCTION("""COMPUTED_VALUE"""),"231750147-1")</f>
        <v>231750147-1</v>
      </c>
      <c r="B2295" s="6" t="str">
        <f>IFERROR(__xludf.DUMMYFUNCTION("""COMPUTED_VALUE"""),"231750147 - Approved")</f>
        <v>231750147 - Approved</v>
      </c>
      <c r="C2295" s="6">
        <f>IFERROR(__xludf.DUMMYFUNCTION("""COMPUTED_VALUE"""),1.0)</f>
        <v>1</v>
      </c>
      <c r="D2295" s="6" t="str">
        <f>IFERROR(__xludf.DUMMYFUNCTION("""COMPUTED_VALUE"""),"P-12816-00")</f>
        <v>P-12816-00</v>
      </c>
      <c r="E2295" s="6" t="str">
        <f>IFERROR(__xludf.DUMMYFUNCTION("""COMPUTED_VALUE"""),"Sock PVC AW dia 1 1/2inch")</f>
        <v>Sock PVC AW dia 1 1/2inch</v>
      </c>
      <c r="F2295" s="6">
        <f>IFERROR(__xludf.DUMMYFUNCTION("""COMPUTED_VALUE"""),5.0)</f>
        <v>5</v>
      </c>
      <c r="G2295" s="6" t="str">
        <f>IFERROR(__xludf.DUMMYFUNCTION("""COMPUTED_VALUE"""),"Pieces")</f>
        <v>Pieces</v>
      </c>
      <c r="H2295" s="6" t="str">
        <f>IFERROR(__xludf.DUMMYFUNCTION("""COMPUTED_VALUE"""),"IDR")</f>
        <v>IDR</v>
      </c>
      <c r="I2295" s="11">
        <f>IFERROR(__xludf.DUMMYFUNCTION("""COMPUTED_VALUE"""),22500.0)</f>
        <v>22500</v>
      </c>
      <c r="J2295" s="11">
        <f>IFERROR(__xludf.DUMMYFUNCTION("""COMPUTED_VALUE"""),112500.0)</f>
        <v>112500</v>
      </c>
      <c r="K2295" s="57">
        <f>IFERROR(__xludf.DUMMYFUNCTION("""COMPUTED_VALUE"""),44999.0)</f>
        <v>44999</v>
      </c>
      <c r="L2295" s="6" t="str">
        <f>IFERROR(__xludf.DUMMYFUNCTION("""COMPUTED_VALUE"""),"FIP Engineering")</f>
        <v>FIP Engineering</v>
      </c>
      <c r="M2295" s="6" t="str">
        <f>IFERROR(__xludf.DUMMYFUNCTION("""COMPUTED_VALUE"""),"Irwan Sopian")</f>
        <v>Irwan Sopian</v>
      </c>
      <c r="N2295" s="6" t="str">
        <f>IFERROR(__xludf.DUMMYFUNCTION("""COMPUTED_VALUE"""),"FIP Engineering")</f>
        <v>FIP Engineering</v>
      </c>
      <c r="O2295" s="6" t="str">
        <f>IFERROR(__xludf.DUMMYFUNCTION("""COMPUTED_VALUE"""),"FIP-DOM-000-11304-OS00001-INA-000000")</f>
        <v>FIP-DOM-000-11304-OS00001-INA-000000</v>
      </c>
      <c r="P2295" s="6" t="str">
        <f>IFERROR(__xludf.DUMMYFUNCTION("""COMPUTED_VALUE"""),"PO Closed")</f>
        <v>PO Closed</v>
      </c>
      <c r="Q2295" s="6" t="str">
        <f>IFERROR(__xludf.DUMMYFUNCTION("""COMPUTED_VALUE"""),"GL2303047")</f>
        <v>GL2303047</v>
      </c>
      <c r="R2295" s="57">
        <f>IFERROR(__xludf.DUMMYFUNCTION("""COMPUTED_VALUE"""),44971.0)</f>
        <v>44971</v>
      </c>
      <c r="S2295" s="57">
        <f>IFERROR(__xludf.DUMMYFUNCTION("""COMPUTED_VALUE"""),44971.0)</f>
        <v>44971</v>
      </c>
      <c r="T2295" s="57">
        <f>IFERROR(__xludf.DUMMYFUNCTION("""COMPUTED_VALUE"""),45019.0)</f>
        <v>45019</v>
      </c>
    </row>
    <row r="2296">
      <c r="A2296" s="6" t="str">
        <f>IFERROR(__xludf.DUMMYFUNCTION("""COMPUTED_VALUE"""),"231750147-2")</f>
        <v>231750147-2</v>
      </c>
      <c r="B2296" s="6" t="str">
        <f>IFERROR(__xludf.DUMMYFUNCTION("""COMPUTED_VALUE"""),"231750147 - Approved")</f>
        <v>231750147 - Approved</v>
      </c>
      <c r="C2296" s="6">
        <f>IFERROR(__xludf.DUMMYFUNCTION("""COMPUTED_VALUE"""),2.0)</f>
        <v>2</v>
      </c>
      <c r="D2296" s="6" t="str">
        <f>IFERROR(__xludf.DUMMYFUNCTION("""COMPUTED_VALUE"""),"P-12881-00")</f>
        <v>P-12881-00</v>
      </c>
      <c r="E2296" s="6" t="str">
        <f>IFERROR(__xludf.DUMMYFUNCTION("""COMPUTED_VALUE"""),"Tee PVC AW dia 1 1/2inch x 1 1/2inch")</f>
        <v>Tee PVC AW dia 1 1/2inch x 1 1/2inch</v>
      </c>
      <c r="F2296" s="6">
        <f>IFERROR(__xludf.DUMMYFUNCTION("""COMPUTED_VALUE"""),5.0)</f>
        <v>5</v>
      </c>
      <c r="G2296" s="6" t="str">
        <f>IFERROR(__xludf.DUMMYFUNCTION("""COMPUTED_VALUE"""),"Pieces")</f>
        <v>Pieces</v>
      </c>
      <c r="H2296" s="6" t="str">
        <f>IFERROR(__xludf.DUMMYFUNCTION("""COMPUTED_VALUE"""),"IDR")</f>
        <v>IDR</v>
      </c>
      <c r="I2296" s="11">
        <f>IFERROR(__xludf.DUMMYFUNCTION("""COMPUTED_VALUE"""),11500.0)</f>
        <v>11500</v>
      </c>
      <c r="J2296" s="11">
        <f>IFERROR(__xludf.DUMMYFUNCTION("""COMPUTED_VALUE"""),57500.0)</f>
        <v>57500</v>
      </c>
      <c r="K2296" s="57">
        <f>IFERROR(__xludf.DUMMYFUNCTION("""COMPUTED_VALUE"""),44999.0)</f>
        <v>44999</v>
      </c>
      <c r="L2296" s="6" t="str">
        <f>IFERROR(__xludf.DUMMYFUNCTION("""COMPUTED_VALUE"""),"FIP Engineering")</f>
        <v>FIP Engineering</v>
      </c>
      <c r="M2296" s="6" t="str">
        <f>IFERROR(__xludf.DUMMYFUNCTION("""COMPUTED_VALUE"""),"Irwan Sopian")</f>
        <v>Irwan Sopian</v>
      </c>
      <c r="N2296" s="6" t="str">
        <f>IFERROR(__xludf.DUMMYFUNCTION("""COMPUTED_VALUE"""),"FIP Engineering")</f>
        <v>FIP Engineering</v>
      </c>
      <c r="O2296" s="6" t="str">
        <f>IFERROR(__xludf.DUMMYFUNCTION("""COMPUTED_VALUE"""),"FIP-DOM-000-11304-OS00001-INA-000000")</f>
        <v>FIP-DOM-000-11304-OS00001-INA-000000</v>
      </c>
      <c r="P2296" s="6" t="str">
        <f>IFERROR(__xludf.DUMMYFUNCTION("""COMPUTED_VALUE"""),"PO Closed")</f>
        <v>PO Closed</v>
      </c>
      <c r="Q2296" s="6" t="str">
        <f>IFERROR(__xludf.DUMMYFUNCTION("""COMPUTED_VALUE"""),"GL2303047")</f>
        <v>GL2303047</v>
      </c>
      <c r="R2296" s="57">
        <f>IFERROR(__xludf.DUMMYFUNCTION("""COMPUTED_VALUE"""),44971.0)</f>
        <v>44971</v>
      </c>
      <c r="S2296" s="57">
        <f>IFERROR(__xludf.DUMMYFUNCTION("""COMPUTED_VALUE"""),44971.0)</f>
        <v>44971</v>
      </c>
      <c r="T2296" s="57">
        <f>IFERROR(__xludf.DUMMYFUNCTION("""COMPUTED_VALUE"""),45019.0)</f>
        <v>45019</v>
      </c>
    </row>
    <row r="2297">
      <c r="A2297" s="6" t="str">
        <f>IFERROR(__xludf.DUMMYFUNCTION("""COMPUTED_VALUE"""),"231750147-3")</f>
        <v>231750147-3</v>
      </c>
      <c r="B2297" s="6" t="str">
        <f>IFERROR(__xludf.DUMMYFUNCTION("""COMPUTED_VALUE"""),"231750147 - Approved")</f>
        <v>231750147 - Approved</v>
      </c>
      <c r="C2297" s="6">
        <f>IFERROR(__xludf.DUMMYFUNCTION("""COMPUTED_VALUE"""),3.0)</f>
        <v>3</v>
      </c>
      <c r="D2297" s="6" t="str">
        <f>IFERROR(__xludf.DUMMYFUNCTION("""COMPUTED_VALUE"""),"P-10857-00")</f>
        <v>P-10857-00</v>
      </c>
      <c r="E2297" s="6" t="str">
        <f>IFERROR(__xludf.DUMMYFUNCTION("""COMPUTED_VALUE"""),"Fitting PVC - Elbow PVC 1 1/2"" Rucika AW")</f>
        <v>Fitting PVC - Elbow PVC 1 1/2" Rucika AW</v>
      </c>
      <c r="F2297" s="6">
        <f>IFERROR(__xludf.DUMMYFUNCTION("""COMPUTED_VALUE"""),10.0)</f>
        <v>10</v>
      </c>
      <c r="G2297" s="6" t="str">
        <f>IFERROR(__xludf.DUMMYFUNCTION("""COMPUTED_VALUE"""),"Pieces")</f>
        <v>Pieces</v>
      </c>
      <c r="H2297" s="6" t="str">
        <f>IFERROR(__xludf.DUMMYFUNCTION("""COMPUTED_VALUE"""),"IDR")</f>
        <v>IDR</v>
      </c>
      <c r="I2297" s="11">
        <f>IFERROR(__xludf.DUMMYFUNCTION("""COMPUTED_VALUE"""),17500.0)</f>
        <v>17500</v>
      </c>
      <c r="J2297" s="11">
        <f>IFERROR(__xludf.DUMMYFUNCTION("""COMPUTED_VALUE"""),175000.0)</f>
        <v>175000</v>
      </c>
      <c r="K2297" s="57">
        <f>IFERROR(__xludf.DUMMYFUNCTION("""COMPUTED_VALUE"""),44999.0)</f>
        <v>44999</v>
      </c>
      <c r="L2297" s="6" t="str">
        <f>IFERROR(__xludf.DUMMYFUNCTION("""COMPUTED_VALUE"""),"FIP Engineering")</f>
        <v>FIP Engineering</v>
      </c>
      <c r="M2297" s="6" t="str">
        <f>IFERROR(__xludf.DUMMYFUNCTION("""COMPUTED_VALUE"""),"Irwan Sopian")</f>
        <v>Irwan Sopian</v>
      </c>
      <c r="N2297" s="6" t="str">
        <f>IFERROR(__xludf.DUMMYFUNCTION("""COMPUTED_VALUE"""),"FIP Engineering")</f>
        <v>FIP Engineering</v>
      </c>
      <c r="O2297" s="6" t="str">
        <f>IFERROR(__xludf.DUMMYFUNCTION("""COMPUTED_VALUE"""),"FIP-DOM-000-11304-OS00001-INA-000000")</f>
        <v>FIP-DOM-000-11304-OS00001-INA-000000</v>
      </c>
      <c r="P2297" s="6" t="str">
        <f>IFERROR(__xludf.DUMMYFUNCTION("""COMPUTED_VALUE"""),"PO Closed")</f>
        <v>PO Closed</v>
      </c>
      <c r="Q2297" s="6" t="str">
        <f>IFERROR(__xludf.DUMMYFUNCTION("""COMPUTED_VALUE"""),"GL2303047")</f>
        <v>GL2303047</v>
      </c>
      <c r="R2297" s="57">
        <f>IFERROR(__xludf.DUMMYFUNCTION("""COMPUTED_VALUE"""),44971.0)</f>
        <v>44971</v>
      </c>
      <c r="S2297" s="57">
        <f>IFERROR(__xludf.DUMMYFUNCTION("""COMPUTED_VALUE"""),44971.0)</f>
        <v>44971</v>
      </c>
      <c r="T2297" s="57">
        <f>IFERROR(__xludf.DUMMYFUNCTION("""COMPUTED_VALUE"""),45019.0)</f>
        <v>45019</v>
      </c>
    </row>
    <row r="2298">
      <c r="A2298" s="6" t="str">
        <f>IFERROR(__xludf.DUMMYFUNCTION("""COMPUTED_VALUE"""),"231750147-4")</f>
        <v>231750147-4</v>
      </c>
      <c r="B2298" s="6" t="str">
        <f>IFERROR(__xludf.DUMMYFUNCTION("""COMPUTED_VALUE"""),"231750147 - Approved")</f>
        <v>231750147 - Approved</v>
      </c>
      <c r="C2298" s="6">
        <f>IFERROR(__xludf.DUMMYFUNCTION("""COMPUTED_VALUE"""),4.0)</f>
        <v>4</v>
      </c>
      <c r="D2298" s="6" t="str">
        <f>IFERROR(__xludf.DUMMYFUNCTION("""COMPUTED_VALUE"""),"P-12746-00")</f>
        <v>P-12746-00</v>
      </c>
      <c r="E2298" s="6" t="str">
        <f>IFERROR(__xludf.DUMMYFUNCTION("""COMPUTED_VALUE"""),"RUCIKA - Pipa PVC AW dia 1 1/2inch")</f>
        <v>RUCIKA - Pipa PVC AW dia 1 1/2inch</v>
      </c>
      <c r="F2298" s="6">
        <f>IFERROR(__xludf.DUMMYFUNCTION("""COMPUTED_VALUE"""),3.0)</f>
        <v>3</v>
      </c>
      <c r="G2298" s="6" t="str">
        <f>IFERROR(__xludf.DUMMYFUNCTION("""COMPUTED_VALUE"""),"Pieces")</f>
        <v>Pieces</v>
      </c>
      <c r="H2298" s="6" t="str">
        <f>IFERROR(__xludf.DUMMYFUNCTION("""COMPUTED_VALUE"""),"IDR")</f>
        <v>IDR</v>
      </c>
      <c r="I2298" s="11">
        <f>IFERROR(__xludf.DUMMYFUNCTION("""COMPUTED_VALUE"""),180000.0)</f>
        <v>180000</v>
      </c>
      <c r="J2298" s="11">
        <f>IFERROR(__xludf.DUMMYFUNCTION("""COMPUTED_VALUE"""),540000.0)</f>
        <v>540000</v>
      </c>
      <c r="K2298" s="57">
        <f>IFERROR(__xludf.DUMMYFUNCTION("""COMPUTED_VALUE"""),44999.0)</f>
        <v>44999</v>
      </c>
      <c r="L2298" s="6" t="str">
        <f>IFERROR(__xludf.DUMMYFUNCTION("""COMPUTED_VALUE"""),"FIP Engineering")</f>
        <v>FIP Engineering</v>
      </c>
      <c r="M2298" s="6" t="str">
        <f>IFERROR(__xludf.DUMMYFUNCTION("""COMPUTED_VALUE"""),"Irwan Sopian")</f>
        <v>Irwan Sopian</v>
      </c>
      <c r="N2298" s="6" t="str">
        <f>IFERROR(__xludf.DUMMYFUNCTION("""COMPUTED_VALUE"""),"FIP Engineering")</f>
        <v>FIP Engineering</v>
      </c>
      <c r="O2298" s="6" t="str">
        <f>IFERROR(__xludf.DUMMYFUNCTION("""COMPUTED_VALUE"""),"FIP-DOM-000-11304-OS00001-INA-000000")</f>
        <v>FIP-DOM-000-11304-OS00001-INA-000000</v>
      </c>
      <c r="P2298" s="6" t="str">
        <f>IFERROR(__xludf.DUMMYFUNCTION("""COMPUTED_VALUE"""),"PO Closed")</f>
        <v>PO Closed</v>
      </c>
      <c r="Q2298" s="6" t="str">
        <f>IFERROR(__xludf.DUMMYFUNCTION("""COMPUTED_VALUE"""),"GL2303047")</f>
        <v>GL2303047</v>
      </c>
      <c r="R2298" s="57">
        <f>IFERROR(__xludf.DUMMYFUNCTION("""COMPUTED_VALUE"""),44971.0)</f>
        <v>44971</v>
      </c>
      <c r="S2298" s="57">
        <f>IFERROR(__xludf.DUMMYFUNCTION("""COMPUTED_VALUE"""),44971.0)</f>
        <v>44971</v>
      </c>
      <c r="T2298" s="57">
        <f>IFERROR(__xludf.DUMMYFUNCTION("""COMPUTED_VALUE"""),45019.0)</f>
        <v>45019</v>
      </c>
    </row>
    <row r="2299">
      <c r="A2299" s="6" t="str">
        <f>IFERROR(__xludf.DUMMYFUNCTION("""COMPUTED_VALUE"""),"231750151-1")</f>
        <v>231750151-1</v>
      </c>
      <c r="B2299" s="6" t="str">
        <f>IFERROR(__xludf.DUMMYFUNCTION("""COMPUTED_VALUE"""),"231750151 - Approved")</f>
        <v>231750151 - Approved</v>
      </c>
      <c r="C2299" s="6">
        <f>IFERROR(__xludf.DUMMYFUNCTION("""COMPUTED_VALUE"""),1.0)</f>
        <v>1</v>
      </c>
      <c r="D2299" s="6" t="str">
        <f>IFERROR(__xludf.DUMMYFUNCTION("""COMPUTED_VALUE"""),"P-15903-00")</f>
        <v>P-15903-00</v>
      </c>
      <c r="E2299" s="6" t="str">
        <f>IFERROR(__xludf.DUMMYFUNCTION("""COMPUTED_VALUE"""),"Freon Refrigerant Dupon Suva R507; ; ;")</f>
        <v>Freon Refrigerant Dupon Suva R507; ; ;</v>
      </c>
      <c r="F2299" s="6">
        <f>IFERROR(__xludf.DUMMYFUNCTION("""COMPUTED_VALUE"""),3.0)</f>
        <v>3</v>
      </c>
      <c r="G2299" s="6" t="str">
        <f>IFERROR(__xludf.DUMMYFUNCTION("""COMPUTED_VALUE"""),"Unit")</f>
        <v>Unit</v>
      </c>
      <c r="H2299" s="6" t="str">
        <f>IFERROR(__xludf.DUMMYFUNCTION("""COMPUTED_VALUE"""),"IDR")</f>
        <v>IDR</v>
      </c>
      <c r="I2299" s="11">
        <f>IFERROR(__xludf.DUMMYFUNCTION("""COMPUTED_VALUE"""),3750000.0)</f>
        <v>3750000</v>
      </c>
      <c r="J2299" s="11">
        <f>IFERROR(__xludf.DUMMYFUNCTION("""COMPUTED_VALUE"""),1.125E7)</f>
        <v>11250000</v>
      </c>
      <c r="K2299" s="57">
        <f>IFERROR(__xludf.DUMMYFUNCTION("""COMPUTED_VALUE"""),45034.0)</f>
        <v>45034</v>
      </c>
      <c r="L2299" s="6" t="str">
        <f>IFERROR(__xludf.DUMMYFUNCTION("""COMPUTED_VALUE"""),"FIP General")</f>
        <v>FIP General</v>
      </c>
      <c r="M2299" s="6" t="str">
        <f>IFERROR(__xludf.DUMMYFUNCTION("""COMPUTED_VALUE"""),"Irwan Sopian")</f>
        <v>Irwan Sopian</v>
      </c>
      <c r="N2299" s="6" t="str">
        <f>IFERROR(__xludf.DUMMYFUNCTION("""COMPUTED_VALUE"""),"FIP Engineering")</f>
        <v>FIP Engineering</v>
      </c>
      <c r="O2299" s="6" t="str">
        <f>IFERROR(__xludf.DUMMYFUNCTION("""COMPUTED_VALUE"""),"FIP-DOM-ENG-51504-0000000-INA-000000")</f>
        <v>FIP-DOM-ENG-51504-0000000-INA-000000</v>
      </c>
      <c r="P2299" s="6" t="str">
        <f>IFERROR(__xludf.DUMMYFUNCTION("""COMPUTED_VALUE"""),"PO Closed")</f>
        <v>PO Closed</v>
      </c>
      <c r="Q2299" s="6" t="str">
        <f>IFERROR(__xludf.DUMMYFUNCTION("""COMPUTED_VALUE"""),"GL2304013")</f>
        <v>GL2304013</v>
      </c>
      <c r="R2299" s="57">
        <f>IFERROR(__xludf.DUMMYFUNCTION("""COMPUTED_VALUE"""),44972.0)</f>
        <v>44972</v>
      </c>
      <c r="S2299" s="57">
        <f>IFERROR(__xludf.DUMMYFUNCTION("""COMPUTED_VALUE"""),44974.0)</f>
        <v>44974</v>
      </c>
      <c r="T2299" s="57">
        <f>IFERROR(__xludf.DUMMYFUNCTION("""COMPUTED_VALUE"""),45043.0)</f>
        <v>45043</v>
      </c>
    </row>
    <row r="2300">
      <c r="A2300" s="6" t="str">
        <f>IFERROR(__xludf.DUMMYFUNCTION("""COMPUTED_VALUE"""),"231750152-1")</f>
        <v>231750152-1</v>
      </c>
      <c r="B2300" s="6" t="str">
        <f>IFERROR(__xludf.DUMMYFUNCTION("""COMPUTED_VALUE"""),"231750152 - Approved")</f>
        <v>231750152 - Approved</v>
      </c>
      <c r="C2300" s="6">
        <f>IFERROR(__xludf.DUMMYFUNCTION("""COMPUTED_VALUE"""),1.0)</f>
        <v>1</v>
      </c>
      <c r="D2300" s="6" t="str">
        <f>IFERROR(__xludf.DUMMYFUNCTION("""COMPUTED_VALUE"""),"T-20123-00")</f>
        <v>T-20123-00</v>
      </c>
      <c r="E230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300" s="6">
        <f>IFERROR(__xludf.DUMMYFUNCTION("""COMPUTED_VALUE"""),2.0)</f>
        <v>2</v>
      </c>
      <c r="G2300" s="6" t="str">
        <f>IFERROR(__xludf.DUMMYFUNCTION("""COMPUTED_VALUE"""),"Pieces")</f>
        <v>Pieces</v>
      </c>
      <c r="H2300" s="6" t="str">
        <f>IFERROR(__xludf.DUMMYFUNCTION("""COMPUTED_VALUE"""),"IDR")</f>
        <v>IDR</v>
      </c>
      <c r="I2300" s="11">
        <f>IFERROR(__xludf.DUMMYFUNCTION("""COMPUTED_VALUE"""),1.375704E7)</f>
        <v>13757040</v>
      </c>
      <c r="J2300" s="11">
        <f>IFERROR(__xludf.DUMMYFUNCTION("""COMPUTED_VALUE"""),2.751408E7)</f>
        <v>27514080</v>
      </c>
      <c r="K2300" s="57">
        <f>IFERROR(__xludf.DUMMYFUNCTION("""COMPUTED_VALUE"""),44999.0)</f>
        <v>44999</v>
      </c>
      <c r="L2300" s="6" t="str">
        <f>IFERROR(__xludf.DUMMYFUNCTION("""COMPUTED_VALUE"""),"FIP General")</f>
        <v>FIP General</v>
      </c>
      <c r="M2300" s="6" t="str">
        <f>IFERROR(__xludf.DUMMYFUNCTION("""COMPUTED_VALUE"""),"Irwan Sopian")</f>
        <v>Irwan Sopian</v>
      </c>
      <c r="N2300" s="6" t="str">
        <f>IFERROR(__xludf.DUMMYFUNCTION("""COMPUTED_VALUE"""),"FIP Engineering")</f>
        <v>FIP Engineering</v>
      </c>
      <c r="O2300" s="6" t="str">
        <f>IFERROR(__xludf.DUMMYFUNCTION("""COMPUTED_VALUE"""),"FIP-DOM-ENG-51505-0000000-INA-000000")</f>
        <v>FIP-DOM-ENG-51505-0000000-INA-000000</v>
      </c>
      <c r="P2300" s="6" t="str">
        <f>IFERROR(__xludf.DUMMYFUNCTION("""COMPUTED_VALUE"""),"PO Closed")</f>
        <v>PO Closed</v>
      </c>
      <c r="Q2300" s="6" t="str">
        <f>IFERROR(__xludf.DUMMYFUNCTION("""COMPUTED_VALUE"""),"GL2302046")</f>
        <v>GL2302046</v>
      </c>
      <c r="R2300" s="57">
        <f>IFERROR(__xludf.DUMMYFUNCTION("""COMPUTED_VALUE"""),44973.0)</f>
        <v>44973</v>
      </c>
      <c r="S2300" s="57">
        <f>IFERROR(__xludf.DUMMYFUNCTION("""COMPUTED_VALUE"""),44978.0)</f>
        <v>44978</v>
      </c>
      <c r="T2300" s="57">
        <f>IFERROR(__xludf.DUMMYFUNCTION("""COMPUTED_VALUE"""),45002.0)</f>
        <v>45002</v>
      </c>
    </row>
    <row r="2301">
      <c r="A2301" s="6" t="str">
        <f>IFERROR(__xludf.DUMMYFUNCTION("""COMPUTED_VALUE"""),"231750152-2")</f>
        <v>231750152-2</v>
      </c>
      <c r="B2301" s="6" t="str">
        <f>IFERROR(__xludf.DUMMYFUNCTION("""COMPUTED_VALUE"""),"231750152 - Approved")</f>
        <v>231750152 - Approved</v>
      </c>
      <c r="C2301" s="6">
        <f>IFERROR(__xludf.DUMMYFUNCTION("""COMPUTED_VALUE"""),2.0)</f>
        <v>2</v>
      </c>
      <c r="D2301" s="6" t="str">
        <f>IFERROR(__xludf.DUMMYFUNCTION("""COMPUTED_VALUE"""),"T-20139-00")</f>
        <v>T-20139-00</v>
      </c>
      <c r="E2301" s="6" t="str">
        <f>IFERROR(__xludf.DUMMYFUNCTION("""COMPUTED_VALUE"""),"Pump, Vacuum, Degasser; Waters; PN : 700001352; 1 pc")</f>
        <v>Pump, Vacuum, Degasser; Waters; PN : 700001352; 1 pc</v>
      </c>
      <c r="F2301" s="6">
        <f>IFERROR(__xludf.DUMMYFUNCTION("""COMPUTED_VALUE"""),2.0)</f>
        <v>2</v>
      </c>
      <c r="G2301" s="6" t="str">
        <f>IFERROR(__xludf.DUMMYFUNCTION("""COMPUTED_VALUE"""),"Pieces")</f>
        <v>Pieces</v>
      </c>
      <c r="H2301" s="6" t="str">
        <f>IFERROR(__xludf.DUMMYFUNCTION("""COMPUTED_VALUE"""),"IDR")</f>
        <v>IDR</v>
      </c>
      <c r="I2301" s="11">
        <f>IFERROR(__xludf.DUMMYFUNCTION("""COMPUTED_VALUE"""),1.4688E7)</f>
        <v>14688000</v>
      </c>
      <c r="J2301" s="11">
        <f>IFERROR(__xludf.DUMMYFUNCTION("""COMPUTED_VALUE"""),2.9376E7)</f>
        <v>29376000</v>
      </c>
      <c r="K2301" s="57">
        <f>IFERROR(__xludf.DUMMYFUNCTION("""COMPUTED_VALUE"""),45013.0)</f>
        <v>45013</v>
      </c>
      <c r="L2301" s="6" t="str">
        <f>IFERROR(__xludf.DUMMYFUNCTION("""COMPUTED_VALUE"""),"FIP General")</f>
        <v>FIP General</v>
      </c>
      <c r="M2301" s="6" t="str">
        <f>IFERROR(__xludf.DUMMYFUNCTION("""COMPUTED_VALUE"""),"Irwan Sopian")</f>
        <v>Irwan Sopian</v>
      </c>
      <c r="N2301" s="6" t="str">
        <f>IFERROR(__xludf.DUMMYFUNCTION("""COMPUTED_VALUE"""),"FIP Engineering")</f>
        <v>FIP Engineering</v>
      </c>
      <c r="O2301" s="6" t="str">
        <f>IFERROR(__xludf.DUMMYFUNCTION("""COMPUTED_VALUE"""),"FIP-DOM-ENG-51505-0000000-INA-000000")</f>
        <v>FIP-DOM-ENG-51505-0000000-INA-000000</v>
      </c>
      <c r="P2301" s="6" t="str">
        <f>IFERROR(__xludf.DUMMYFUNCTION("""COMPUTED_VALUE"""),"PO Closed")</f>
        <v>PO Closed</v>
      </c>
      <c r="Q2301" s="6" t="str">
        <f>IFERROR(__xludf.DUMMYFUNCTION("""COMPUTED_VALUE"""),"GL2302046")</f>
        <v>GL2302046</v>
      </c>
      <c r="R2301" s="57">
        <f>IFERROR(__xludf.DUMMYFUNCTION("""COMPUTED_VALUE"""),44973.0)</f>
        <v>44973</v>
      </c>
      <c r="S2301" s="57">
        <f>IFERROR(__xludf.DUMMYFUNCTION("""COMPUTED_VALUE"""),44978.0)</f>
        <v>44978</v>
      </c>
      <c r="T2301" s="57">
        <f>IFERROR(__xludf.DUMMYFUNCTION("""COMPUTED_VALUE"""),45002.0)</f>
        <v>45002</v>
      </c>
    </row>
    <row r="2302">
      <c r="A2302" s="6" t="str">
        <f>IFERROR(__xludf.DUMMYFUNCTION("""COMPUTED_VALUE"""),"231750155-1")</f>
        <v>231750155-1</v>
      </c>
      <c r="B2302" s="6" t="str">
        <f>IFERROR(__xludf.DUMMYFUNCTION("""COMPUTED_VALUE"""),"231750155 - Approved")</f>
        <v>231750155 - Approved</v>
      </c>
      <c r="C2302" s="6">
        <f>IFERROR(__xludf.DUMMYFUNCTION("""COMPUTED_VALUE"""),1.0)</f>
        <v>1</v>
      </c>
      <c r="D2302" s="6" t="str">
        <f>IFERROR(__xludf.DUMMYFUNCTION("""COMPUTED_VALUE"""),"S-60050-00")</f>
        <v>S-60050-00</v>
      </c>
      <c r="E2302" s="6" t="str">
        <f>IFERROR(__xludf.DUMMYFUNCTION("""COMPUTED_VALUE"""),"Jasa Perbaikan dan Pemeliharaan Mesin Produksi; ; ; - Pekerjaan Welding Flange Shelf Bellow Mesin FD IMA")</f>
        <v>Jasa Perbaikan dan Pemeliharaan Mesin Produksi; ; ; - Pekerjaan Welding Flange Shelf Bellow Mesin FD IMA</v>
      </c>
      <c r="F2302" s="6">
        <f>IFERROR(__xludf.DUMMYFUNCTION("""COMPUTED_VALUE"""),1.0)</f>
        <v>1</v>
      </c>
      <c r="G2302" s="6" t="str">
        <f>IFERROR(__xludf.DUMMYFUNCTION("""COMPUTED_VALUE"""),"Pieces")</f>
        <v>Pieces</v>
      </c>
      <c r="H2302" s="6" t="str">
        <f>IFERROR(__xludf.DUMMYFUNCTION("""COMPUTED_VALUE"""),"IDR")</f>
        <v>IDR</v>
      </c>
      <c r="I2302" s="11">
        <f>IFERROR(__xludf.DUMMYFUNCTION("""COMPUTED_VALUE"""),2400000.0)</f>
        <v>2400000</v>
      </c>
      <c r="J2302" s="11">
        <f>IFERROR(__xludf.DUMMYFUNCTION("""COMPUTED_VALUE"""),2400000.0)</f>
        <v>2400000</v>
      </c>
      <c r="K2302" s="57">
        <f>IFERROR(__xludf.DUMMYFUNCTION("""COMPUTED_VALUE"""),45006.0)</f>
        <v>45006</v>
      </c>
      <c r="L2302" s="6" t="str">
        <f>IFERROR(__xludf.DUMMYFUNCTION("""COMPUTED_VALUE"""),"FIP General")</f>
        <v>FIP General</v>
      </c>
      <c r="M2302" s="6" t="str">
        <f>IFERROR(__xludf.DUMMYFUNCTION("""COMPUTED_VALUE"""),"Irwan Sopian")</f>
        <v>Irwan Sopian</v>
      </c>
      <c r="N2302" s="6" t="str">
        <f>IFERROR(__xludf.DUMMYFUNCTION("""COMPUTED_VALUE"""),"FIP Engineering")</f>
        <v>FIP Engineering</v>
      </c>
      <c r="O2302" s="6" t="str">
        <f>IFERROR(__xludf.DUMMYFUNCTION("""COMPUTED_VALUE"""),"FIP-DOM-ENG-51504-0000000-INA-000000")</f>
        <v>FIP-DOM-ENG-51504-0000000-INA-000000</v>
      </c>
      <c r="P2302" s="6" t="str">
        <f>IFERROR(__xludf.DUMMYFUNCTION("""COMPUTED_VALUE"""),"PO Closed")</f>
        <v>PO Closed</v>
      </c>
      <c r="Q2302" s="6" t="str">
        <f>IFERROR(__xludf.DUMMYFUNCTION("""COMPUTED_VALUE"""),"GL2303054")</f>
        <v>GL2303054</v>
      </c>
      <c r="R2302" s="57">
        <f>IFERROR(__xludf.DUMMYFUNCTION("""COMPUTED_VALUE"""),44973.0)</f>
        <v>44973</v>
      </c>
      <c r="S2302" s="57">
        <f>IFERROR(__xludf.DUMMYFUNCTION("""COMPUTED_VALUE"""),44974.0)</f>
        <v>44974</v>
      </c>
      <c r="T2302" s="57">
        <f>IFERROR(__xludf.DUMMYFUNCTION("""COMPUTED_VALUE"""),45041.0)</f>
        <v>45041</v>
      </c>
    </row>
    <row r="2303">
      <c r="A2303" s="6" t="str">
        <f>IFERROR(__xludf.DUMMYFUNCTION("""COMPUTED_VALUE"""),"231750161-1")</f>
        <v>231750161-1</v>
      </c>
      <c r="B2303" s="6" t="str">
        <f>IFERROR(__xludf.DUMMYFUNCTION("""COMPUTED_VALUE"""),"231750161 - Approved")</f>
        <v>231750161 - Approved</v>
      </c>
      <c r="C2303" s="6">
        <f>IFERROR(__xludf.DUMMYFUNCTION("""COMPUTED_VALUE"""),1.0)</f>
        <v>1</v>
      </c>
      <c r="D2303" s="6" t="str">
        <f>IFERROR(__xludf.DUMMYFUNCTION("""COMPUTED_VALUE"""),"O-19003-00")</f>
        <v>O-19003-00</v>
      </c>
      <c r="E2303" s="6" t="str">
        <f>IFERROR(__xludf.DUMMYFUNCTION("""COMPUTED_VALUE"""),"Misumi - Oil Free Bush JZF8-6; ; ;")</f>
        <v>Misumi - Oil Free Bush JZF8-6; ; ;</v>
      </c>
      <c r="F2303" s="6">
        <f>IFERROR(__xludf.DUMMYFUNCTION("""COMPUTED_VALUE"""),20.0)</f>
        <v>20</v>
      </c>
      <c r="G2303" s="6" t="str">
        <f>IFERROR(__xludf.DUMMYFUNCTION("""COMPUTED_VALUE"""),"Pieces")</f>
        <v>Pieces</v>
      </c>
      <c r="H2303" s="6" t="str">
        <f>IFERROR(__xludf.DUMMYFUNCTION("""COMPUTED_VALUE"""),"IDR")</f>
        <v>IDR</v>
      </c>
      <c r="I2303" s="11">
        <f>IFERROR(__xludf.DUMMYFUNCTION("""COMPUTED_VALUE"""),33467.0)</f>
        <v>33467</v>
      </c>
      <c r="J2303" s="11">
        <f>IFERROR(__xludf.DUMMYFUNCTION("""COMPUTED_VALUE"""),669340.0)</f>
        <v>669340</v>
      </c>
      <c r="K2303" s="57">
        <f>IFERROR(__xludf.DUMMYFUNCTION("""COMPUTED_VALUE"""),45016.0)</f>
        <v>45016</v>
      </c>
      <c r="L2303" s="6" t="str">
        <f>IFERROR(__xludf.DUMMYFUNCTION("""COMPUTED_VALUE"""),"FIP Engineering")</f>
        <v>FIP Engineering</v>
      </c>
      <c r="M2303" s="6" t="str">
        <f>IFERROR(__xludf.DUMMYFUNCTION("""COMPUTED_VALUE"""),"Irwan Sopian")</f>
        <v>Irwan Sopian</v>
      </c>
      <c r="N2303" s="6" t="str">
        <f>IFERROR(__xludf.DUMMYFUNCTION("""COMPUTED_VALUE"""),"FIP Engineering")</f>
        <v>FIP Engineering</v>
      </c>
      <c r="O2303" s="6" t="str">
        <f>IFERROR(__xludf.DUMMYFUNCTION("""COMPUTED_VALUE"""),"FIP-DOM-000-11304-OS00001-INA-000000")</f>
        <v>FIP-DOM-000-11304-OS00001-INA-000000</v>
      </c>
      <c r="P2303" s="6" t="str">
        <f>IFERROR(__xludf.DUMMYFUNCTION("""COMPUTED_VALUE"""),"PO Closed")</f>
        <v>PO Closed</v>
      </c>
      <c r="Q2303" s="6" t="str">
        <f>IFERROR(__xludf.DUMMYFUNCTION("""COMPUTED_VALUE"""),"GL2303005")</f>
        <v>GL2303005</v>
      </c>
      <c r="R2303" s="57">
        <f>IFERROR(__xludf.DUMMYFUNCTION("""COMPUTED_VALUE"""),44979.0)</f>
        <v>44979</v>
      </c>
      <c r="S2303" s="57">
        <f>IFERROR(__xludf.DUMMYFUNCTION("""COMPUTED_VALUE"""),44980.0)</f>
        <v>44980</v>
      </c>
      <c r="T2303" s="57">
        <f>IFERROR(__xludf.DUMMYFUNCTION("""COMPUTED_VALUE"""),45020.0)</f>
        <v>45020</v>
      </c>
    </row>
    <row r="2304">
      <c r="A2304" s="6" t="str">
        <f>IFERROR(__xludf.DUMMYFUNCTION("""COMPUTED_VALUE"""),"231750161-2")</f>
        <v>231750161-2</v>
      </c>
      <c r="B2304" s="6" t="str">
        <f>IFERROR(__xludf.DUMMYFUNCTION("""COMPUTED_VALUE"""),"231750161 - Approved")</f>
        <v>231750161 - Approved</v>
      </c>
      <c r="C2304" s="6">
        <f>IFERROR(__xludf.DUMMYFUNCTION("""COMPUTED_VALUE"""),2.0)</f>
        <v>2</v>
      </c>
      <c r="D2304" s="6" t="str">
        <f>IFERROR(__xludf.DUMMYFUNCTION("""COMPUTED_VALUE"""),"O-19005-00")</f>
        <v>O-19005-00</v>
      </c>
      <c r="E2304" s="6" t="str">
        <f>IFERROR(__xludf.DUMMYFUNCTION("""COMPUTED_VALUE"""),"Misumi - Linear Shaft PSFAA8-46-F11-P6-M3-N3; ; ;")</f>
        <v>Misumi - Linear Shaft PSFAA8-46-F11-P6-M3-N3; ; ;</v>
      </c>
      <c r="F2304" s="6">
        <f>IFERROR(__xludf.DUMMYFUNCTION("""COMPUTED_VALUE"""),10.0)</f>
        <v>10</v>
      </c>
      <c r="G2304" s="6" t="str">
        <f>IFERROR(__xludf.DUMMYFUNCTION("""COMPUTED_VALUE"""),"Pieces")</f>
        <v>Pieces</v>
      </c>
      <c r="H2304" s="6" t="str">
        <f>IFERROR(__xludf.DUMMYFUNCTION("""COMPUTED_VALUE"""),"IDR")</f>
        <v>IDR</v>
      </c>
      <c r="I2304" s="11">
        <f>IFERROR(__xludf.DUMMYFUNCTION("""COMPUTED_VALUE"""),157962.0)</f>
        <v>157962</v>
      </c>
      <c r="J2304" s="11">
        <f>IFERROR(__xludf.DUMMYFUNCTION("""COMPUTED_VALUE"""),1579620.0)</f>
        <v>1579620</v>
      </c>
      <c r="K2304" s="57">
        <f>IFERROR(__xludf.DUMMYFUNCTION("""COMPUTED_VALUE"""),45016.0)</f>
        <v>45016</v>
      </c>
      <c r="L2304" s="6" t="str">
        <f>IFERROR(__xludf.DUMMYFUNCTION("""COMPUTED_VALUE"""),"FIP Engineering")</f>
        <v>FIP Engineering</v>
      </c>
      <c r="M2304" s="6" t="str">
        <f>IFERROR(__xludf.DUMMYFUNCTION("""COMPUTED_VALUE"""),"Irwan Sopian")</f>
        <v>Irwan Sopian</v>
      </c>
      <c r="N2304" s="6" t="str">
        <f>IFERROR(__xludf.DUMMYFUNCTION("""COMPUTED_VALUE"""),"FIP Engineering")</f>
        <v>FIP Engineering</v>
      </c>
      <c r="O2304" s="6" t="str">
        <f>IFERROR(__xludf.DUMMYFUNCTION("""COMPUTED_VALUE"""),"FIP-DOM-000-11304-OS00001-INA-000000")</f>
        <v>FIP-DOM-000-11304-OS00001-INA-000000</v>
      </c>
      <c r="P2304" s="6" t="str">
        <f>IFERROR(__xludf.DUMMYFUNCTION("""COMPUTED_VALUE"""),"PO Closed")</f>
        <v>PO Closed</v>
      </c>
      <c r="Q2304" s="6" t="str">
        <f>IFERROR(__xludf.DUMMYFUNCTION("""COMPUTED_VALUE"""),"GL2303005")</f>
        <v>GL2303005</v>
      </c>
      <c r="R2304" s="57">
        <f>IFERROR(__xludf.DUMMYFUNCTION("""COMPUTED_VALUE"""),44979.0)</f>
        <v>44979</v>
      </c>
      <c r="S2304" s="57">
        <f>IFERROR(__xludf.DUMMYFUNCTION("""COMPUTED_VALUE"""),44980.0)</f>
        <v>44980</v>
      </c>
      <c r="T2304" s="57">
        <f>IFERROR(__xludf.DUMMYFUNCTION("""COMPUTED_VALUE"""),45021.0)</f>
        <v>45021</v>
      </c>
    </row>
    <row r="2305">
      <c r="A2305" s="6" t="str">
        <f>IFERROR(__xludf.DUMMYFUNCTION("""COMPUTED_VALUE"""),"231750162-1")</f>
        <v>231750162-1</v>
      </c>
      <c r="B2305" s="6" t="str">
        <f>IFERROR(__xludf.DUMMYFUNCTION("""COMPUTED_VALUE"""),"231750162 - Approved")</f>
        <v>231750162 - Approved</v>
      </c>
      <c r="C2305" s="6">
        <f>IFERROR(__xludf.DUMMYFUNCTION("""COMPUTED_VALUE"""),1.0)</f>
        <v>1</v>
      </c>
      <c r="D2305" s="6" t="str">
        <f>IFERROR(__xludf.DUMMYFUNCTION("""COMPUTED_VALUE"""),"P-18556-00")</f>
        <v>P-18556-00</v>
      </c>
      <c r="E2305" s="6" t="str">
        <f>IFERROR(__xludf.DUMMYFUNCTION("""COMPUTED_VALUE"""),"Baut L SS 304 Uk. M3 x 10 mm; ; ;")</f>
        <v>Baut L SS 304 Uk. M3 x 10 mm; ; ;</v>
      </c>
      <c r="F2305" s="6">
        <f>IFERROR(__xludf.DUMMYFUNCTION("""COMPUTED_VALUE"""),30.0)</f>
        <v>30</v>
      </c>
      <c r="G2305" s="6" t="str">
        <f>IFERROR(__xludf.DUMMYFUNCTION("""COMPUTED_VALUE"""),"Pieces")</f>
        <v>Pieces</v>
      </c>
      <c r="H2305" s="6" t="str">
        <f>IFERROR(__xludf.DUMMYFUNCTION("""COMPUTED_VALUE"""),"IDR")</f>
        <v>IDR</v>
      </c>
      <c r="I2305" s="6">
        <f>IFERROR(__xludf.DUMMYFUNCTION("""COMPUTED_VALUE"""),900.0)</f>
        <v>900</v>
      </c>
      <c r="J2305" s="11">
        <f>IFERROR(__xludf.DUMMYFUNCTION("""COMPUTED_VALUE"""),27000.0)</f>
        <v>27000</v>
      </c>
      <c r="K2305" s="57">
        <f>IFERROR(__xludf.DUMMYFUNCTION("""COMPUTED_VALUE"""),45016.0)</f>
        <v>45016</v>
      </c>
      <c r="L2305" s="6" t="str">
        <f>IFERROR(__xludf.DUMMYFUNCTION("""COMPUTED_VALUE"""),"FIP Engineering")</f>
        <v>FIP Engineering</v>
      </c>
      <c r="M2305" s="6" t="str">
        <f>IFERROR(__xludf.DUMMYFUNCTION("""COMPUTED_VALUE"""),"Irwan Sopian")</f>
        <v>Irwan Sopian</v>
      </c>
      <c r="N2305" s="6" t="str">
        <f>IFERROR(__xludf.DUMMYFUNCTION("""COMPUTED_VALUE"""),"FIP Engineering")</f>
        <v>FIP Engineering</v>
      </c>
      <c r="O2305" s="6" t="str">
        <f>IFERROR(__xludf.DUMMYFUNCTION("""COMPUTED_VALUE"""),"FIP-DOM-000-11304-OS00001-INA-000000")</f>
        <v>FIP-DOM-000-11304-OS00001-INA-000000</v>
      </c>
      <c r="P2305" s="6" t="str">
        <f>IFERROR(__xludf.DUMMYFUNCTION("""COMPUTED_VALUE"""),"PO Closed")</f>
        <v>PO Closed</v>
      </c>
      <c r="Q2305" s="6" t="str">
        <f>IFERROR(__xludf.DUMMYFUNCTION("""COMPUTED_VALUE"""),"GL2303006")</f>
        <v>GL2303006</v>
      </c>
      <c r="R2305" s="57">
        <f>IFERROR(__xludf.DUMMYFUNCTION("""COMPUTED_VALUE"""),44979.0)</f>
        <v>44979</v>
      </c>
      <c r="S2305" s="57">
        <f>IFERROR(__xludf.DUMMYFUNCTION("""COMPUTED_VALUE"""),44980.0)</f>
        <v>44980</v>
      </c>
      <c r="T2305" s="57">
        <f>IFERROR(__xludf.DUMMYFUNCTION("""COMPUTED_VALUE"""),45000.0)</f>
        <v>45000</v>
      </c>
    </row>
    <row r="2306">
      <c r="A2306" s="6" t="str">
        <f>IFERROR(__xludf.DUMMYFUNCTION("""COMPUTED_VALUE"""),"231750162-2")</f>
        <v>231750162-2</v>
      </c>
      <c r="B2306" s="6" t="str">
        <f>IFERROR(__xludf.DUMMYFUNCTION("""COMPUTED_VALUE"""),"231750162 - Approved")</f>
        <v>231750162 - Approved</v>
      </c>
      <c r="C2306" s="6">
        <f>IFERROR(__xludf.DUMMYFUNCTION("""COMPUTED_VALUE"""),2.0)</f>
        <v>2</v>
      </c>
      <c r="D2306" s="6" t="str">
        <f>IFERROR(__xludf.DUMMYFUNCTION("""COMPUTED_VALUE"""),"P-18555-00")</f>
        <v>P-18555-00</v>
      </c>
      <c r="E2306" s="6" t="str">
        <f>IFERROR(__xludf.DUMMYFUNCTION("""COMPUTED_VALUE"""),"Baut L SS 304 Uk. M3 x 6 mm; ; ;")</f>
        <v>Baut L SS 304 Uk. M3 x 6 mm; ; ;</v>
      </c>
      <c r="F2306" s="6">
        <f>IFERROR(__xludf.DUMMYFUNCTION("""COMPUTED_VALUE"""),30.0)</f>
        <v>30</v>
      </c>
      <c r="G2306" s="6" t="str">
        <f>IFERROR(__xludf.DUMMYFUNCTION("""COMPUTED_VALUE"""),"Pieces")</f>
        <v>Pieces</v>
      </c>
      <c r="H2306" s="6" t="str">
        <f>IFERROR(__xludf.DUMMYFUNCTION("""COMPUTED_VALUE"""),"IDR")</f>
        <v>IDR</v>
      </c>
      <c r="I2306" s="6">
        <f>IFERROR(__xludf.DUMMYFUNCTION("""COMPUTED_VALUE"""),900.0)</f>
        <v>900</v>
      </c>
      <c r="J2306" s="11">
        <f>IFERROR(__xludf.DUMMYFUNCTION("""COMPUTED_VALUE"""),27000.0)</f>
        <v>27000</v>
      </c>
      <c r="K2306" s="57">
        <f>IFERROR(__xludf.DUMMYFUNCTION("""COMPUTED_VALUE"""),44993.0)</f>
        <v>44993</v>
      </c>
      <c r="L2306" s="6" t="str">
        <f>IFERROR(__xludf.DUMMYFUNCTION("""COMPUTED_VALUE"""),"FIP Engineering")</f>
        <v>FIP Engineering</v>
      </c>
      <c r="M2306" s="6" t="str">
        <f>IFERROR(__xludf.DUMMYFUNCTION("""COMPUTED_VALUE"""),"Irwan Sopian")</f>
        <v>Irwan Sopian</v>
      </c>
      <c r="N2306" s="6" t="str">
        <f>IFERROR(__xludf.DUMMYFUNCTION("""COMPUTED_VALUE"""),"FIP Engineering")</f>
        <v>FIP Engineering</v>
      </c>
      <c r="O2306" s="6" t="str">
        <f>IFERROR(__xludf.DUMMYFUNCTION("""COMPUTED_VALUE"""),"FIP-DOM-000-11304-OS00001-INA-000000")</f>
        <v>FIP-DOM-000-11304-OS00001-INA-000000</v>
      </c>
      <c r="P2306" s="6" t="str">
        <f>IFERROR(__xludf.DUMMYFUNCTION("""COMPUTED_VALUE"""),"PO Closed")</f>
        <v>PO Closed</v>
      </c>
      <c r="Q2306" s="6" t="str">
        <f>IFERROR(__xludf.DUMMYFUNCTION("""COMPUTED_VALUE"""),"GL2303006")</f>
        <v>GL2303006</v>
      </c>
      <c r="R2306" s="57">
        <f>IFERROR(__xludf.DUMMYFUNCTION("""COMPUTED_VALUE"""),44979.0)</f>
        <v>44979</v>
      </c>
      <c r="S2306" s="57">
        <f>IFERROR(__xludf.DUMMYFUNCTION("""COMPUTED_VALUE"""),44980.0)</f>
        <v>44980</v>
      </c>
      <c r="T2306" s="57">
        <f>IFERROR(__xludf.DUMMYFUNCTION("""COMPUTED_VALUE"""),45000.0)</f>
        <v>45000</v>
      </c>
    </row>
    <row r="2307">
      <c r="A2307" s="6" t="str">
        <f>IFERROR(__xludf.DUMMYFUNCTION("""COMPUTED_VALUE"""),"231750162-3")</f>
        <v>231750162-3</v>
      </c>
      <c r="B2307" s="6" t="str">
        <f>IFERROR(__xludf.DUMMYFUNCTION("""COMPUTED_VALUE"""),"231750162 - Approved")</f>
        <v>231750162 - Approved</v>
      </c>
      <c r="C2307" s="6">
        <f>IFERROR(__xludf.DUMMYFUNCTION("""COMPUTED_VALUE"""),3.0)</f>
        <v>3</v>
      </c>
      <c r="D2307" s="6" t="str">
        <f>IFERROR(__xludf.DUMMYFUNCTION("""COMPUTED_VALUE"""),"P-18554-00")</f>
        <v>P-18554-00</v>
      </c>
      <c r="E2307" s="6" t="str">
        <f>IFERROR(__xludf.DUMMYFUNCTION("""COMPUTED_VALUE"""),"Baut Hexagonal SS 304 Uk. M4 x 8; ; ;")</f>
        <v>Baut Hexagonal SS 304 Uk. M4 x 8; ; ;</v>
      </c>
      <c r="F2307" s="6">
        <f>IFERROR(__xludf.DUMMYFUNCTION("""COMPUTED_VALUE"""),30.0)</f>
        <v>30</v>
      </c>
      <c r="G2307" s="6" t="str">
        <f>IFERROR(__xludf.DUMMYFUNCTION("""COMPUTED_VALUE"""),"Pieces")</f>
        <v>Pieces</v>
      </c>
      <c r="H2307" s="6" t="str">
        <f>IFERROR(__xludf.DUMMYFUNCTION("""COMPUTED_VALUE"""),"IDR")</f>
        <v>IDR</v>
      </c>
      <c r="I2307" s="11">
        <f>IFERROR(__xludf.DUMMYFUNCTION("""COMPUTED_VALUE"""),1080.0)</f>
        <v>1080</v>
      </c>
      <c r="J2307" s="11">
        <f>IFERROR(__xludf.DUMMYFUNCTION("""COMPUTED_VALUE"""),32400.0)</f>
        <v>32400</v>
      </c>
      <c r="K2307" s="57">
        <f>IFERROR(__xludf.DUMMYFUNCTION("""COMPUTED_VALUE"""),45016.0)</f>
        <v>45016</v>
      </c>
      <c r="L2307" s="6" t="str">
        <f>IFERROR(__xludf.DUMMYFUNCTION("""COMPUTED_VALUE"""),"FIP Engineering")</f>
        <v>FIP Engineering</v>
      </c>
      <c r="M2307" s="6" t="str">
        <f>IFERROR(__xludf.DUMMYFUNCTION("""COMPUTED_VALUE"""),"Irwan Sopian")</f>
        <v>Irwan Sopian</v>
      </c>
      <c r="N2307" s="6" t="str">
        <f>IFERROR(__xludf.DUMMYFUNCTION("""COMPUTED_VALUE"""),"FIP Engineering")</f>
        <v>FIP Engineering</v>
      </c>
      <c r="O2307" s="6" t="str">
        <f>IFERROR(__xludf.DUMMYFUNCTION("""COMPUTED_VALUE"""),"FIP-DOM-000-11304-OS00001-INA-000000")</f>
        <v>FIP-DOM-000-11304-OS00001-INA-000000</v>
      </c>
      <c r="P2307" s="6" t="str">
        <f>IFERROR(__xludf.DUMMYFUNCTION("""COMPUTED_VALUE"""),"PO Closed")</f>
        <v>PO Closed</v>
      </c>
      <c r="Q2307" s="6" t="str">
        <f>IFERROR(__xludf.DUMMYFUNCTION("""COMPUTED_VALUE"""),"GL2303006")</f>
        <v>GL2303006</v>
      </c>
      <c r="R2307" s="57">
        <f>IFERROR(__xludf.DUMMYFUNCTION("""COMPUTED_VALUE"""),44979.0)</f>
        <v>44979</v>
      </c>
      <c r="S2307" s="57">
        <f>IFERROR(__xludf.DUMMYFUNCTION("""COMPUTED_VALUE"""),44980.0)</f>
        <v>44980</v>
      </c>
      <c r="T2307" s="57">
        <f>IFERROR(__xludf.DUMMYFUNCTION("""COMPUTED_VALUE"""),45000.0)</f>
        <v>45000</v>
      </c>
    </row>
    <row r="2308">
      <c r="A2308" s="6" t="str">
        <f>IFERROR(__xludf.DUMMYFUNCTION("""COMPUTED_VALUE"""),"231750162-4")</f>
        <v>231750162-4</v>
      </c>
      <c r="B2308" s="6" t="str">
        <f>IFERROR(__xludf.DUMMYFUNCTION("""COMPUTED_VALUE"""),"231750162 - Approved")</f>
        <v>231750162 - Approved</v>
      </c>
      <c r="C2308" s="6">
        <f>IFERROR(__xludf.DUMMYFUNCTION("""COMPUTED_VALUE"""),4.0)</f>
        <v>4</v>
      </c>
      <c r="D2308" s="6" t="str">
        <f>IFERROR(__xludf.DUMMYFUNCTION("""COMPUTED_VALUE"""),"P-18557-00")</f>
        <v>P-18557-00</v>
      </c>
      <c r="E2308" s="6" t="str">
        <f>IFERROR(__xludf.DUMMYFUNCTION("""COMPUTED_VALUE"""),"Snap Ring Dalam SS 304 Uk. 19 mm; ; ;")</f>
        <v>Snap Ring Dalam SS 304 Uk. 19 mm; ; ;</v>
      </c>
      <c r="F2308" s="6">
        <f>IFERROR(__xludf.DUMMYFUNCTION("""COMPUTED_VALUE"""),30.0)</f>
        <v>30</v>
      </c>
      <c r="G2308" s="6" t="str">
        <f>IFERROR(__xludf.DUMMYFUNCTION("""COMPUTED_VALUE"""),"Pieces")</f>
        <v>Pieces</v>
      </c>
      <c r="H2308" s="6" t="str">
        <f>IFERROR(__xludf.DUMMYFUNCTION("""COMPUTED_VALUE"""),"IDR")</f>
        <v>IDR</v>
      </c>
      <c r="I2308" s="11">
        <f>IFERROR(__xludf.DUMMYFUNCTION("""COMPUTED_VALUE"""),7200.0)</f>
        <v>7200</v>
      </c>
      <c r="J2308" s="11">
        <f>IFERROR(__xludf.DUMMYFUNCTION("""COMPUTED_VALUE"""),216000.0)</f>
        <v>216000</v>
      </c>
      <c r="K2308" s="57">
        <f>IFERROR(__xludf.DUMMYFUNCTION("""COMPUTED_VALUE"""),45016.0)</f>
        <v>45016</v>
      </c>
      <c r="L2308" s="6" t="str">
        <f>IFERROR(__xludf.DUMMYFUNCTION("""COMPUTED_VALUE"""),"FIP Engineering")</f>
        <v>FIP Engineering</v>
      </c>
      <c r="M2308" s="6" t="str">
        <f>IFERROR(__xludf.DUMMYFUNCTION("""COMPUTED_VALUE"""),"Irwan Sopian")</f>
        <v>Irwan Sopian</v>
      </c>
      <c r="N2308" s="6" t="str">
        <f>IFERROR(__xludf.DUMMYFUNCTION("""COMPUTED_VALUE"""),"FIP Engineering")</f>
        <v>FIP Engineering</v>
      </c>
      <c r="O2308" s="6" t="str">
        <f>IFERROR(__xludf.DUMMYFUNCTION("""COMPUTED_VALUE"""),"FIP-DOM-000-11304-OS00001-INA-000000")</f>
        <v>FIP-DOM-000-11304-OS00001-INA-000000</v>
      </c>
      <c r="P2308" s="6" t="str">
        <f>IFERROR(__xludf.DUMMYFUNCTION("""COMPUTED_VALUE"""),"PO Closed")</f>
        <v>PO Closed</v>
      </c>
      <c r="Q2308" s="6" t="str">
        <f>IFERROR(__xludf.DUMMYFUNCTION("""COMPUTED_VALUE"""),"GL2303006")</f>
        <v>GL2303006</v>
      </c>
      <c r="R2308" s="57">
        <f>IFERROR(__xludf.DUMMYFUNCTION("""COMPUTED_VALUE"""),44979.0)</f>
        <v>44979</v>
      </c>
      <c r="S2308" s="57">
        <f>IFERROR(__xludf.DUMMYFUNCTION("""COMPUTED_VALUE"""),44980.0)</f>
        <v>44980</v>
      </c>
      <c r="T2308" s="57">
        <f>IFERROR(__xludf.DUMMYFUNCTION("""COMPUTED_VALUE"""),45000.0)</f>
        <v>45000</v>
      </c>
    </row>
    <row r="2309">
      <c r="A2309" s="6" t="str">
        <f>IFERROR(__xludf.DUMMYFUNCTION("""COMPUTED_VALUE"""),"231750163-1")</f>
        <v>231750163-1</v>
      </c>
      <c r="B2309" s="6" t="str">
        <f>IFERROR(__xludf.DUMMYFUNCTION("""COMPUTED_VALUE"""),"231750163 - Approved")</f>
        <v>231750163 - Approved</v>
      </c>
      <c r="C2309" s="6">
        <f>IFERROR(__xludf.DUMMYFUNCTION("""COMPUTED_VALUE"""),1.0)</f>
        <v>1</v>
      </c>
      <c r="D2309" s="6" t="str">
        <f>IFERROR(__xludf.DUMMYFUNCTION("""COMPUTED_VALUE"""),"O-52869-00")</f>
        <v>O-52869-00</v>
      </c>
      <c r="E2309" s="6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F2309" s="6">
        <f>IFERROR(__xludf.DUMMYFUNCTION("""COMPUTED_VALUE"""),2.0)</f>
        <v>2</v>
      </c>
      <c r="G2309" s="6" t="str">
        <f>IFERROR(__xludf.DUMMYFUNCTION("""COMPUTED_VALUE"""),"Pieces")</f>
        <v>Pieces</v>
      </c>
      <c r="H2309" s="6" t="str">
        <f>IFERROR(__xludf.DUMMYFUNCTION("""COMPUTED_VALUE"""),"IDR")</f>
        <v>IDR</v>
      </c>
      <c r="I2309" s="11">
        <f>IFERROR(__xludf.DUMMYFUNCTION("""COMPUTED_VALUE"""),1700000.0)</f>
        <v>1700000</v>
      </c>
      <c r="J2309" s="11">
        <f>IFERROR(__xludf.DUMMYFUNCTION("""COMPUTED_VALUE"""),3400000.0)</f>
        <v>3400000</v>
      </c>
      <c r="K2309" s="57">
        <f>IFERROR(__xludf.DUMMYFUNCTION("""COMPUTED_VALUE"""),45016.0)</f>
        <v>45016</v>
      </c>
      <c r="L2309" s="6" t="str">
        <f>IFERROR(__xludf.DUMMYFUNCTION("""COMPUTED_VALUE"""),"FIP Engineering")</f>
        <v>FIP Engineering</v>
      </c>
      <c r="M2309" s="6" t="str">
        <f>IFERROR(__xludf.DUMMYFUNCTION("""COMPUTED_VALUE"""),"Irwan Sopian")</f>
        <v>Irwan Sopian</v>
      </c>
      <c r="N2309" s="6" t="str">
        <f>IFERROR(__xludf.DUMMYFUNCTION("""COMPUTED_VALUE"""),"FIP Engineering")</f>
        <v>FIP Engineering</v>
      </c>
      <c r="O2309" s="6" t="str">
        <f>IFERROR(__xludf.DUMMYFUNCTION("""COMPUTED_VALUE"""),"FIP-DOM-000-11304-OS00001-INA-000000")</f>
        <v>FIP-DOM-000-11304-OS00001-INA-000000</v>
      </c>
      <c r="P2309" s="6" t="str">
        <f>IFERROR(__xludf.DUMMYFUNCTION("""COMPUTED_VALUE"""),"PO Closed")</f>
        <v>PO Closed</v>
      </c>
      <c r="Q2309" s="6" t="str">
        <f>IFERROR(__xludf.DUMMYFUNCTION("""COMPUTED_VALUE"""),"GL2303053")</f>
        <v>GL2303053</v>
      </c>
      <c r="R2309" s="57">
        <f>IFERROR(__xludf.DUMMYFUNCTION("""COMPUTED_VALUE"""),44979.0)</f>
        <v>44979</v>
      </c>
      <c r="S2309" s="57">
        <f>IFERROR(__xludf.DUMMYFUNCTION("""COMPUTED_VALUE"""),44987.0)</f>
        <v>44987</v>
      </c>
      <c r="T2309" s="57">
        <f>IFERROR(__xludf.DUMMYFUNCTION("""COMPUTED_VALUE"""),45016.0)</f>
        <v>45016</v>
      </c>
    </row>
    <row r="2310">
      <c r="A2310" s="6" t="str">
        <f>IFERROR(__xludf.DUMMYFUNCTION("""COMPUTED_VALUE"""),"231750164-1")</f>
        <v>231750164-1</v>
      </c>
      <c r="B2310" s="6" t="str">
        <f>IFERROR(__xludf.DUMMYFUNCTION("""COMPUTED_VALUE"""),"231750164 - Approved")</f>
        <v>231750164 - Approved</v>
      </c>
      <c r="C2310" s="6">
        <f>IFERROR(__xludf.DUMMYFUNCTION("""COMPUTED_VALUE"""),1.0)</f>
        <v>1</v>
      </c>
      <c r="D2310" s="6" t="str">
        <f>IFERROR(__xludf.DUMMYFUNCTION("""COMPUTED_VALUE"""),"O-52868-00")</f>
        <v>O-52868-00</v>
      </c>
      <c r="E2310" s="6" t="str">
        <f>IFERROR(__xludf.DUMMYFUNCTION("""COMPUTED_VALUE"""),"Auto Switch D-A93L SMC; ; ;")</f>
        <v>Auto Switch D-A93L SMC; ; ;</v>
      </c>
      <c r="F2310" s="6">
        <f>IFERROR(__xludf.DUMMYFUNCTION("""COMPUTED_VALUE"""),2.0)</f>
        <v>2</v>
      </c>
      <c r="G2310" s="6" t="str">
        <f>IFERROR(__xludf.DUMMYFUNCTION("""COMPUTED_VALUE"""),"Pieces")</f>
        <v>Pieces</v>
      </c>
      <c r="H2310" s="6" t="str">
        <f>IFERROR(__xludf.DUMMYFUNCTION("""COMPUTED_VALUE"""),"IDR")</f>
        <v>IDR</v>
      </c>
      <c r="I2310" s="11">
        <f>IFERROR(__xludf.DUMMYFUNCTION("""COMPUTED_VALUE"""),275100.0)</f>
        <v>275100</v>
      </c>
      <c r="J2310" s="11">
        <f>IFERROR(__xludf.DUMMYFUNCTION("""COMPUTED_VALUE"""),550200.0)</f>
        <v>550200</v>
      </c>
      <c r="K2310" s="57">
        <f>IFERROR(__xludf.DUMMYFUNCTION("""COMPUTED_VALUE"""),45020.0)</f>
        <v>45020</v>
      </c>
      <c r="L2310" s="6" t="str">
        <f>IFERROR(__xludf.DUMMYFUNCTION("""COMPUTED_VALUE"""),"FIP Engineering")</f>
        <v>FIP Engineering</v>
      </c>
      <c r="M2310" s="6" t="str">
        <f>IFERROR(__xludf.DUMMYFUNCTION("""COMPUTED_VALUE"""),"Irwan Sopian")</f>
        <v>Irwan Sopian</v>
      </c>
      <c r="N2310" s="6" t="str">
        <f>IFERROR(__xludf.DUMMYFUNCTION("""COMPUTED_VALUE"""),"FIP Engineering")</f>
        <v>FIP Engineering</v>
      </c>
      <c r="O2310" s="6" t="str">
        <f>IFERROR(__xludf.DUMMYFUNCTION("""COMPUTED_VALUE"""),"FIP-DOM-000-11304-OS00001-INA-000000")</f>
        <v>FIP-DOM-000-11304-OS00001-INA-000000</v>
      </c>
      <c r="P2310" s="6" t="str">
        <f>IFERROR(__xludf.DUMMYFUNCTION("""COMPUTED_VALUE"""),"PO Closed")</f>
        <v>PO Closed</v>
      </c>
      <c r="Q2310" s="6" t="str">
        <f>IFERROR(__xludf.DUMMYFUNCTION("""COMPUTED_VALUE"""),"GL2303055")</f>
        <v>GL2303055</v>
      </c>
      <c r="R2310" s="57">
        <f>IFERROR(__xludf.DUMMYFUNCTION("""COMPUTED_VALUE"""),44979.0)</f>
        <v>44979</v>
      </c>
      <c r="S2310" s="57">
        <f>IFERROR(__xludf.DUMMYFUNCTION("""COMPUTED_VALUE"""),44980.0)</f>
        <v>44980</v>
      </c>
      <c r="T2310" s="57">
        <f>IFERROR(__xludf.DUMMYFUNCTION("""COMPUTED_VALUE"""),45022.0)</f>
        <v>45022</v>
      </c>
    </row>
    <row r="2311">
      <c r="A2311" s="6" t="str">
        <f>IFERROR(__xludf.DUMMYFUNCTION("""COMPUTED_VALUE"""),"231750165-1")</f>
        <v>231750165-1</v>
      </c>
      <c r="B2311" s="6" t="str">
        <f>IFERROR(__xludf.DUMMYFUNCTION("""COMPUTED_VALUE"""),"231750165 - Approved")</f>
        <v>231750165 - Approved</v>
      </c>
      <c r="C2311" s="6">
        <f>IFERROR(__xludf.DUMMYFUNCTION("""COMPUTED_VALUE"""),1.0)</f>
        <v>1</v>
      </c>
      <c r="D2311" s="6" t="str">
        <f>IFERROR(__xludf.DUMMYFUNCTION("""COMPUTED_VALUE"""),"P-18546-00")</f>
        <v>P-18546-00</v>
      </c>
      <c r="E2311" s="6" t="str">
        <f>IFERROR(__xludf.DUMMYFUNCTION("""COMPUTED_VALUE"""),"Constan Air Volume EN 200x100 with Flow Scale 0-600 CMH; TROX; ;")</f>
        <v>Constan Air Volume EN 200x100 with Flow Scale 0-600 CMH; TROX; ;</v>
      </c>
      <c r="F2311" s="6">
        <f>IFERROR(__xludf.DUMMYFUNCTION("""COMPUTED_VALUE"""),2.0)</f>
        <v>2</v>
      </c>
      <c r="G2311" s="6" t="str">
        <f>IFERROR(__xludf.DUMMYFUNCTION("""COMPUTED_VALUE"""),"Pieces")</f>
        <v>Pieces</v>
      </c>
      <c r="H2311" s="6" t="str">
        <f>IFERROR(__xludf.DUMMYFUNCTION("""COMPUTED_VALUE"""),"USD")</f>
        <v>USD</v>
      </c>
      <c r="I2311" s="6">
        <f>IFERROR(__xludf.DUMMYFUNCTION("""COMPUTED_VALUE"""),425.0)</f>
        <v>425</v>
      </c>
      <c r="J2311" s="6">
        <f>IFERROR(__xludf.DUMMYFUNCTION("""COMPUTED_VALUE"""),850.0)</f>
        <v>850</v>
      </c>
      <c r="K2311" s="57">
        <f>IFERROR(__xludf.DUMMYFUNCTION("""COMPUTED_VALUE"""),45044.0)</f>
        <v>45044</v>
      </c>
      <c r="L2311" s="6" t="str">
        <f>IFERROR(__xludf.DUMMYFUNCTION("""COMPUTED_VALUE"""),"FIP Engineering")</f>
        <v>FIP Engineering</v>
      </c>
      <c r="M2311" s="6" t="str">
        <f>IFERROR(__xludf.DUMMYFUNCTION("""COMPUTED_VALUE"""),"Irwan Sopian")</f>
        <v>Irwan Sopian</v>
      </c>
      <c r="N2311" s="6" t="str">
        <f>IFERROR(__xludf.DUMMYFUNCTION("""COMPUTED_VALUE"""),"FIP Engineering")</f>
        <v>FIP Engineering</v>
      </c>
      <c r="O2311" s="6" t="str">
        <f>IFERROR(__xludf.DUMMYFUNCTION("""COMPUTED_VALUE"""),"FIP-DOM-000-11304-OS00001-INA-000000")</f>
        <v>FIP-DOM-000-11304-OS00001-INA-000000</v>
      </c>
      <c r="P2311" s="6" t="str">
        <f>IFERROR(__xludf.DUMMYFUNCTION("""COMPUTED_VALUE"""),"PO Closed")</f>
        <v>PO Closed</v>
      </c>
      <c r="Q2311" s="6" t="str">
        <f>IFERROR(__xludf.DUMMYFUNCTION("""COMPUTED_VALUE"""),"GL2303060")</f>
        <v>GL2303060</v>
      </c>
      <c r="R2311" s="57">
        <f>IFERROR(__xludf.DUMMYFUNCTION("""COMPUTED_VALUE"""),44979.0)</f>
        <v>44979</v>
      </c>
      <c r="S2311" s="57">
        <f>IFERROR(__xludf.DUMMYFUNCTION("""COMPUTED_VALUE"""),44980.0)</f>
        <v>44980</v>
      </c>
      <c r="T2311" s="57">
        <f>IFERROR(__xludf.DUMMYFUNCTION("""COMPUTED_VALUE"""),45092.0)</f>
        <v>45092</v>
      </c>
    </row>
    <row r="2312">
      <c r="A2312" s="6" t="str">
        <f>IFERROR(__xludf.DUMMYFUNCTION("""COMPUTED_VALUE"""),"231750167-1")</f>
        <v>231750167-1</v>
      </c>
      <c r="B2312" s="6" t="str">
        <f>IFERROR(__xludf.DUMMYFUNCTION("""COMPUTED_VALUE"""),"231750167 - Approved")</f>
        <v>231750167 - Approved</v>
      </c>
      <c r="C2312" s="6">
        <f>IFERROR(__xludf.DUMMYFUNCTION("""COMPUTED_VALUE"""),1.0)</f>
        <v>1</v>
      </c>
      <c r="D2312" s="6" t="str">
        <f>IFERROR(__xludf.DUMMYFUNCTION("""COMPUTED_VALUE"""),"S-60002-00")</f>
        <v>S-60002-00</v>
      </c>
      <c r="E2312" s="6" t="str">
        <f>IFERROR(__xludf.DUMMYFUNCTION("""COMPUTED_VALUE"""),"Jasa Perbaikan dan Pemeliharaan Mesin Utility - Biaya Service Dan Kalibrasi/Ejust, Polarimeter AP 300,Atago, S/n.134142N")</f>
        <v>Jasa Perbaikan dan Pemeliharaan Mesin Utility - Biaya Service Dan Kalibrasi/Ejust, Polarimeter AP 300,Atago, S/n.134142N</v>
      </c>
      <c r="F2312" s="6">
        <f>IFERROR(__xludf.DUMMYFUNCTION("""COMPUTED_VALUE"""),1.0)</f>
        <v>1</v>
      </c>
      <c r="G2312" s="6" t="str">
        <f>IFERROR(__xludf.DUMMYFUNCTION("""COMPUTED_VALUE"""),"Lot")</f>
        <v>Lot</v>
      </c>
      <c r="H2312" s="6" t="str">
        <f>IFERROR(__xludf.DUMMYFUNCTION("""COMPUTED_VALUE"""),"IDR")</f>
        <v>IDR</v>
      </c>
      <c r="I2312" s="11">
        <f>IFERROR(__xludf.DUMMYFUNCTION("""COMPUTED_VALUE"""),3000000.0)</f>
        <v>3000000</v>
      </c>
      <c r="J2312" s="11">
        <f>IFERROR(__xludf.DUMMYFUNCTION("""COMPUTED_VALUE"""),3000000.0)</f>
        <v>3000000</v>
      </c>
      <c r="K2312" s="57">
        <f>IFERROR(__xludf.DUMMYFUNCTION("""COMPUTED_VALUE"""),45035.0)</f>
        <v>45035</v>
      </c>
      <c r="L2312" s="6" t="str">
        <f>IFERROR(__xludf.DUMMYFUNCTION("""COMPUTED_VALUE"""),"FIP General")</f>
        <v>FIP General</v>
      </c>
      <c r="M2312" s="6" t="str">
        <f>IFERROR(__xludf.DUMMYFUNCTION("""COMPUTED_VALUE"""),"Irwan Sopian")</f>
        <v>Irwan Sopian</v>
      </c>
      <c r="N2312" s="6" t="str">
        <f>IFERROR(__xludf.DUMMYFUNCTION("""COMPUTED_VALUE"""),"FIP Engineering")</f>
        <v>FIP Engineering</v>
      </c>
      <c r="O2312" s="6" t="str">
        <f>IFERROR(__xludf.DUMMYFUNCTION("""COMPUTED_VALUE"""),"FIP-DOM-ENG-51508-0000000-INA-000000")</f>
        <v>FIP-DOM-ENG-51508-0000000-INA-000000</v>
      </c>
      <c r="P2312" s="6" t="str">
        <f>IFERROR(__xludf.DUMMYFUNCTION("""COMPUTED_VALUE"""),"PO Closed")</f>
        <v>PO Closed</v>
      </c>
      <c r="Q2312" s="6" t="str">
        <f>IFERROR(__xludf.DUMMYFUNCTION("""COMPUTED_VALUE"""),"GL2305031")</f>
        <v>GL2305031</v>
      </c>
      <c r="R2312" s="57">
        <f>IFERROR(__xludf.DUMMYFUNCTION("""COMPUTED_VALUE"""),44980.0)</f>
        <v>44980</v>
      </c>
      <c r="S2312" s="57">
        <f>IFERROR(__xludf.DUMMYFUNCTION("""COMPUTED_VALUE"""),45019.0)</f>
        <v>45019</v>
      </c>
      <c r="T2312" s="57">
        <f>IFERROR(__xludf.DUMMYFUNCTION("""COMPUTED_VALUE"""),45168.0)</f>
        <v>45168</v>
      </c>
    </row>
    <row r="2313">
      <c r="A2313" s="6" t="str">
        <f>IFERROR(__xludf.DUMMYFUNCTION("""COMPUTED_VALUE"""),"231750167-2")</f>
        <v>231750167-2</v>
      </c>
      <c r="B2313" s="6" t="str">
        <f>IFERROR(__xludf.DUMMYFUNCTION("""COMPUTED_VALUE"""),"231750167 - Approved")</f>
        <v>231750167 - Approved</v>
      </c>
      <c r="C2313" s="6">
        <f>IFERROR(__xludf.DUMMYFUNCTION("""COMPUTED_VALUE"""),2.0)</f>
        <v>2</v>
      </c>
      <c r="D2313" s="6" t="str">
        <f>IFERROR(__xludf.DUMMYFUNCTION("""COMPUTED_VALUE"""),"S-60002-00")</f>
        <v>S-60002-00</v>
      </c>
      <c r="E2313" s="6" t="str">
        <f>IFERROR(__xludf.DUMMYFUNCTION("""COMPUTED_VALUE"""),"Jasa Perbaikan dan Pemeliharaan Mesin Utility - Material For Jasa Hallogen Lamp: RE-74806")</f>
        <v>Jasa Perbaikan dan Pemeliharaan Mesin Utility - Material For Jasa Hallogen Lamp: RE-74806</v>
      </c>
      <c r="F2313" s="6">
        <f>IFERROR(__xludf.DUMMYFUNCTION("""COMPUTED_VALUE"""),1.0)</f>
        <v>1</v>
      </c>
      <c r="G2313" s="6" t="str">
        <f>IFERROR(__xludf.DUMMYFUNCTION("""COMPUTED_VALUE"""),"Lot")</f>
        <v>Lot</v>
      </c>
      <c r="H2313" s="6" t="str">
        <f>IFERROR(__xludf.DUMMYFUNCTION("""COMPUTED_VALUE"""),"IDR")</f>
        <v>IDR</v>
      </c>
      <c r="I2313" s="11">
        <f>IFERROR(__xludf.DUMMYFUNCTION("""COMPUTED_VALUE"""),8500000.0)</f>
        <v>8500000</v>
      </c>
      <c r="J2313" s="11">
        <f>IFERROR(__xludf.DUMMYFUNCTION("""COMPUTED_VALUE"""),8500000.0)</f>
        <v>8500000</v>
      </c>
      <c r="K2313" s="57">
        <f>IFERROR(__xludf.DUMMYFUNCTION("""COMPUTED_VALUE"""),45035.0)</f>
        <v>45035</v>
      </c>
      <c r="L2313" s="6" t="str">
        <f>IFERROR(__xludf.DUMMYFUNCTION("""COMPUTED_VALUE"""),"FIP General")</f>
        <v>FIP General</v>
      </c>
      <c r="M2313" s="6" t="str">
        <f>IFERROR(__xludf.DUMMYFUNCTION("""COMPUTED_VALUE"""),"Irwan Sopian")</f>
        <v>Irwan Sopian</v>
      </c>
      <c r="N2313" s="6" t="str">
        <f>IFERROR(__xludf.DUMMYFUNCTION("""COMPUTED_VALUE"""),"FIP Engineering")</f>
        <v>FIP Engineering</v>
      </c>
      <c r="O2313" s="6" t="str">
        <f>IFERROR(__xludf.DUMMYFUNCTION("""COMPUTED_VALUE"""),"FIP-DOM-ENG-51508-0000000-INA-000000")</f>
        <v>FIP-DOM-ENG-51508-0000000-INA-000000</v>
      </c>
      <c r="P2313" s="6" t="str">
        <f>IFERROR(__xludf.DUMMYFUNCTION("""COMPUTED_VALUE"""),"PO Closed")</f>
        <v>PO Closed</v>
      </c>
      <c r="Q2313" s="6" t="str">
        <f>IFERROR(__xludf.DUMMYFUNCTION("""COMPUTED_VALUE"""),"GL2305031")</f>
        <v>GL2305031</v>
      </c>
      <c r="R2313" s="57">
        <f>IFERROR(__xludf.DUMMYFUNCTION("""COMPUTED_VALUE"""),44980.0)</f>
        <v>44980</v>
      </c>
      <c r="S2313" s="57">
        <f>IFERROR(__xludf.DUMMYFUNCTION("""COMPUTED_VALUE"""),45019.0)</f>
        <v>45019</v>
      </c>
      <c r="T2313" s="57">
        <f>IFERROR(__xludf.DUMMYFUNCTION("""COMPUTED_VALUE"""),45168.0)</f>
        <v>45168</v>
      </c>
    </row>
    <row r="2314">
      <c r="A2314" s="6" t="str">
        <f>IFERROR(__xludf.DUMMYFUNCTION("""COMPUTED_VALUE"""),"231750167-3")</f>
        <v>231750167-3</v>
      </c>
      <c r="B2314" s="6" t="str">
        <f>IFERROR(__xludf.DUMMYFUNCTION("""COMPUTED_VALUE"""),"231750167 - Approved")</f>
        <v>231750167 - Approved</v>
      </c>
      <c r="C2314" s="6">
        <f>IFERROR(__xludf.DUMMYFUNCTION("""COMPUTED_VALUE"""),3.0)</f>
        <v>3</v>
      </c>
      <c r="D2314" s="6" t="str">
        <f>IFERROR(__xludf.DUMMYFUNCTION("""COMPUTED_VALUE"""),"S-60002-00")</f>
        <v>S-60002-00</v>
      </c>
      <c r="E2314" s="6" t="str">
        <f>IFERROR(__xludf.DUMMYFUNCTION("""COMPUTED_VALUE"""),"Jasa Perbaikan dan Pemeliharaan Mesin Utility - Material for Jasa")</f>
        <v>Jasa Perbaikan dan Pemeliharaan Mesin Utility - Material for Jasa</v>
      </c>
      <c r="F2314" s="6">
        <f>IFERROR(__xludf.DUMMYFUNCTION("""COMPUTED_VALUE"""),1.0)</f>
        <v>1</v>
      </c>
      <c r="G2314" s="6" t="str">
        <f>IFERROR(__xludf.DUMMYFUNCTION("""COMPUTED_VALUE"""),"Lot")</f>
        <v>Lot</v>
      </c>
      <c r="H2314" s="6" t="str">
        <f>IFERROR(__xludf.DUMMYFUNCTION("""COMPUTED_VALUE"""),"IDR")</f>
        <v>IDR</v>
      </c>
      <c r="I2314" s="11">
        <f>IFERROR(__xludf.DUMMYFUNCTION("""COMPUTED_VALUE"""),8500000.0)</f>
        <v>8500000</v>
      </c>
      <c r="J2314" s="11">
        <f>IFERROR(__xludf.DUMMYFUNCTION("""COMPUTED_VALUE"""),8500000.0)</f>
        <v>8500000</v>
      </c>
      <c r="K2314" s="57">
        <f>IFERROR(__xludf.DUMMYFUNCTION("""COMPUTED_VALUE"""),45035.0)</f>
        <v>45035</v>
      </c>
      <c r="L2314" s="6" t="str">
        <f>IFERROR(__xludf.DUMMYFUNCTION("""COMPUTED_VALUE"""),"FIP General")</f>
        <v>FIP General</v>
      </c>
      <c r="M2314" s="6" t="str">
        <f>IFERROR(__xludf.DUMMYFUNCTION("""COMPUTED_VALUE"""),"Irwan Sopian")</f>
        <v>Irwan Sopian</v>
      </c>
      <c r="N2314" s="6" t="str">
        <f>IFERROR(__xludf.DUMMYFUNCTION("""COMPUTED_VALUE"""),"FIP Engineering")</f>
        <v>FIP Engineering</v>
      </c>
      <c r="O2314" s="6" t="str">
        <f>IFERROR(__xludf.DUMMYFUNCTION("""COMPUTED_VALUE"""),"FIP-DOM-ENG-51508-0000000-INA-000000")</f>
        <v>FIP-DOM-ENG-51508-0000000-INA-000000</v>
      </c>
      <c r="P2314" s="6" t="str">
        <f>IFERROR(__xludf.DUMMYFUNCTION("""COMPUTED_VALUE"""),"PO Closed")</f>
        <v>PO Closed</v>
      </c>
      <c r="Q2314" s="6" t="str">
        <f>IFERROR(__xludf.DUMMYFUNCTION("""COMPUTED_VALUE"""),"GL2305031")</f>
        <v>GL2305031</v>
      </c>
      <c r="R2314" s="57">
        <f>IFERROR(__xludf.DUMMYFUNCTION("""COMPUTED_VALUE"""),44980.0)</f>
        <v>44980</v>
      </c>
      <c r="S2314" s="57">
        <f>IFERROR(__xludf.DUMMYFUNCTION("""COMPUTED_VALUE"""),45019.0)</f>
        <v>45019</v>
      </c>
      <c r="T2314" s="57">
        <f>IFERROR(__xludf.DUMMYFUNCTION("""COMPUTED_VALUE"""),45168.0)</f>
        <v>45168</v>
      </c>
    </row>
    <row r="2315">
      <c r="A2315" s="6" t="str">
        <f>IFERROR(__xludf.DUMMYFUNCTION("""COMPUTED_VALUE"""),"231750173-1")</f>
        <v>231750173-1</v>
      </c>
      <c r="B2315" s="6" t="str">
        <f>IFERROR(__xludf.DUMMYFUNCTION("""COMPUTED_VALUE"""),"231750173 - Approved")</f>
        <v>231750173 - Approved</v>
      </c>
      <c r="C2315" s="6">
        <f>IFERROR(__xludf.DUMMYFUNCTION("""COMPUTED_VALUE"""),1.0)</f>
        <v>1</v>
      </c>
      <c r="D2315" s="6" t="str">
        <f>IFERROR(__xludf.DUMMYFUNCTION("""COMPUTED_VALUE"""),"P-12764-00")</f>
        <v>P-12764-00</v>
      </c>
      <c r="E2315" s="6" t="str">
        <f>IFERROR(__xludf.DUMMYFUNCTION("""COMPUTED_VALUE"""),"Silicone gasket for ferrule dia 1/2inch Taiwan")</f>
        <v>Silicone gasket for ferrule dia 1/2inch Taiwan</v>
      </c>
      <c r="F2315" s="6">
        <f>IFERROR(__xludf.DUMMYFUNCTION("""COMPUTED_VALUE"""),15.0)</f>
        <v>15</v>
      </c>
      <c r="G2315" s="6" t="str">
        <f>IFERROR(__xludf.DUMMYFUNCTION("""COMPUTED_VALUE"""),"Pieces")</f>
        <v>Pieces</v>
      </c>
      <c r="H2315" s="6" t="str">
        <f>IFERROR(__xludf.DUMMYFUNCTION("""COMPUTED_VALUE"""),"IDR")</f>
        <v>IDR</v>
      </c>
      <c r="I2315" s="11">
        <f>IFERROR(__xludf.DUMMYFUNCTION("""COMPUTED_VALUE"""),8000.0)</f>
        <v>8000</v>
      </c>
      <c r="J2315" s="11">
        <f>IFERROR(__xludf.DUMMYFUNCTION("""COMPUTED_VALUE"""),120000.0)</f>
        <v>120000</v>
      </c>
      <c r="K2315" s="57">
        <f>IFERROR(__xludf.DUMMYFUNCTION("""COMPUTED_VALUE"""),45020.0)</f>
        <v>45020</v>
      </c>
      <c r="L2315" s="6" t="str">
        <f>IFERROR(__xludf.DUMMYFUNCTION("""COMPUTED_VALUE"""),"FIP Engineering")</f>
        <v>FIP Engineering</v>
      </c>
      <c r="M2315" s="6" t="str">
        <f>IFERROR(__xludf.DUMMYFUNCTION("""COMPUTED_VALUE"""),"Irwan Sopian")</f>
        <v>Irwan Sopian</v>
      </c>
      <c r="N2315" s="6" t="str">
        <f>IFERROR(__xludf.DUMMYFUNCTION("""COMPUTED_VALUE"""),"FIP Engineering")</f>
        <v>FIP Engineering</v>
      </c>
      <c r="O2315" s="6" t="str">
        <f>IFERROR(__xludf.DUMMYFUNCTION("""COMPUTED_VALUE"""),"FIP-DOM-000-11304-OS00001-INA-000000")</f>
        <v>FIP-DOM-000-11304-OS00001-INA-000000</v>
      </c>
      <c r="P2315" s="6" t="str">
        <f>IFERROR(__xludf.DUMMYFUNCTION("""COMPUTED_VALUE"""),"PO Closed")</f>
        <v>PO Closed</v>
      </c>
      <c r="Q2315" s="6" t="str">
        <f>IFERROR(__xludf.DUMMYFUNCTION("""COMPUTED_VALUE"""),"GL2303304")</f>
        <v>GL2303304</v>
      </c>
      <c r="R2315" s="57">
        <f>IFERROR(__xludf.DUMMYFUNCTION("""COMPUTED_VALUE"""),44986.0)</f>
        <v>44986</v>
      </c>
      <c r="S2315" s="57">
        <f>IFERROR(__xludf.DUMMYFUNCTION("""COMPUTED_VALUE"""),44987.0)</f>
        <v>44987</v>
      </c>
      <c r="T2315" s="57">
        <f>IFERROR(__xludf.DUMMYFUNCTION("""COMPUTED_VALUE"""),45021.0)</f>
        <v>45021</v>
      </c>
    </row>
    <row r="2316">
      <c r="A2316" s="6" t="str">
        <f>IFERROR(__xludf.DUMMYFUNCTION("""COMPUTED_VALUE"""),"231750173-2")</f>
        <v>231750173-2</v>
      </c>
      <c r="B2316" s="6" t="str">
        <f>IFERROR(__xludf.DUMMYFUNCTION("""COMPUTED_VALUE"""),"231750173 - Approved")</f>
        <v>231750173 - Approved</v>
      </c>
      <c r="C2316" s="6">
        <f>IFERROR(__xludf.DUMMYFUNCTION("""COMPUTED_VALUE"""),2.0)</f>
        <v>2</v>
      </c>
      <c r="D2316" s="6" t="str">
        <f>IFERROR(__xludf.DUMMYFUNCTION("""COMPUTED_VALUE"""),"P-14379-00")</f>
        <v>P-14379-00</v>
      </c>
      <c r="E2316" s="6" t="str">
        <f>IFERROR(__xludf.DUMMYFUNCTION("""COMPUTED_VALUE"""),"Gasket 3/4"" /EPDM; ; ;")</f>
        <v>Gasket 3/4" /EPDM; ; ;</v>
      </c>
      <c r="F2316" s="6">
        <f>IFERROR(__xludf.DUMMYFUNCTION("""COMPUTED_VALUE"""),15.0)</f>
        <v>15</v>
      </c>
      <c r="G2316" s="6" t="str">
        <f>IFERROR(__xludf.DUMMYFUNCTION("""COMPUTED_VALUE"""),"Pieces")</f>
        <v>Pieces</v>
      </c>
      <c r="H2316" s="6" t="str">
        <f>IFERROR(__xludf.DUMMYFUNCTION("""COMPUTED_VALUE"""),"IDR")</f>
        <v>IDR</v>
      </c>
      <c r="I2316" s="11">
        <f>IFERROR(__xludf.DUMMYFUNCTION("""COMPUTED_VALUE"""),6400.0)</f>
        <v>6400</v>
      </c>
      <c r="J2316" s="11">
        <f>IFERROR(__xludf.DUMMYFUNCTION("""COMPUTED_VALUE"""),96000.0)</f>
        <v>96000</v>
      </c>
      <c r="K2316" s="57">
        <f>IFERROR(__xludf.DUMMYFUNCTION("""COMPUTED_VALUE"""),45020.0)</f>
        <v>45020</v>
      </c>
      <c r="L2316" s="6" t="str">
        <f>IFERROR(__xludf.DUMMYFUNCTION("""COMPUTED_VALUE"""),"FIP Engineering")</f>
        <v>FIP Engineering</v>
      </c>
      <c r="M2316" s="6" t="str">
        <f>IFERROR(__xludf.DUMMYFUNCTION("""COMPUTED_VALUE"""),"Irwan Sopian")</f>
        <v>Irwan Sopian</v>
      </c>
      <c r="N2316" s="6" t="str">
        <f>IFERROR(__xludf.DUMMYFUNCTION("""COMPUTED_VALUE"""),"FIP Engineering")</f>
        <v>FIP Engineering</v>
      </c>
      <c r="O2316" s="6" t="str">
        <f>IFERROR(__xludf.DUMMYFUNCTION("""COMPUTED_VALUE"""),"FIP-DOM-000-11304-OS00001-INA-000000")</f>
        <v>FIP-DOM-000-11304-OS00001-INA-000000</v>
      </c>
      <c r="P2316" s="6" t="str">
        <f>IFERROR(__xludf.DUMMYFUNCTION("""COMPUTED_VALUE"""),"PO Closed")</f>
        <v>PO Closed</v>
      </c>
      <c r="Q2316" s="6" t="str">
        <f>IFERROR(__xludf.DUMMYFUNCTION("""COMPUTED_VALUE"""),"GL2303304")</f>
        <v>GL2303304</v>
      </c>
      <c r="R2316" s="57">
        <f>IFERROR(__xludf.DUMMYFUNCTION("""COMPUTED_VALUE"""),44986.0)</f>
        <v>44986</v>
      </c>
      <c r="S2316" s="57">
        <f>IFERROR(__xludf.DUMMYFUNCTION("""COMPUTED_VALUE"""),44987.0)</f>
        <v>44987</v>
      </c>
      <c r="T2316" s="57">
        <f>IFERROR(__xludf.DUMMYFUNCTION("""COMPUTED_VALUE"""),45021.0)</f>
        <v>45021</v>
      </c>
    </row>
    <row r="2317">
      <c r="A2317" s="6" t="str">
        <f>IFERROR(__xludf.DUMMYFUNCTION("""COMPUTED_VALUE"""),"231750173-3")</f>
        <v>231750173-3</v>
      </c>
      <c r="B2317" s="6" t="str">
        <f>IFERROR(__xludf.DUMMYFUNCTION("""COMPUTED_VALUE"""),"231750173 - Approved")</f>
        <v>231750173 - Approved</v>
      </c>
      <c r="C2317" s="6">
        <f>IFERROR(__xludf.DUMMYFUNCTION("""COMPUTED_VALUE"""),3.0)</f>
        <v>3</v>
      </c>
      <c r="D2317" s="6" t="str">
        <f>IFERROR(__xludf.DUMMYFUNCTION("""COMPUTED_VALUE"""),"O-14639-00")</f>
        <v>O-14639-00</v>
      </c>
      <c r="E2317" s="6" t="str">
        <f>IFERROR(__xludf.DUMMYFUNCTION("""COMPUTED_VALUE"""),"EPDM Gasket for Ferrule dia. 1/2")</f>
        <v>EPDM Gasket for Ferrule dia. 1/2</v>
      </c>
      <c r="F2317" s="6">
        <f>IFERROR(__xludf.DUMMYFUNCTION("""COMPUTED_VALUE"""),15.0)</f>
        <v>15</v>
      </c>
      <c r="G2317" s="6" t="str">
        <f>IFERROR(__xludf.DUMMYFUNCTION("""COMPUTED_VALUE"""),"Pieces")</f>
        <v>Pieces</v>
      </c>
      <c r="H2317" s="6" t="str">
        <f>IFERROR(__xludf.DUMMYFUNCTION("""COMPUTED_VALUE"""),"IDR")</f>
        <v>IDR</v>
      </c>
      <c r="I2317" s="11">
        <f>IFERROR(__xludf.DUMMYFUNCTION("""COMPUTED_VALUE"""),8100.0)</f>
        <v>8100</v>
      </c>
      <c r="J2317" s="11">
        <f>IFERROR(__xludf.DUMMYFUNCTION("""COMPUTED_VALUE"""),121500.0)</f>
        <v>121500</v>
      </c>
      <c r="K2317" s="57">
        <f>IFERROR(__xludf.DUMMYFUNCTION("""COMPUTED_VALUE"""),45020.0)</f>
        <v>45020</v>
      </c>
      <c r="L2317" s="6" t="str">
        <f>IFERROR(__xludf.DUMMYFUNCTION("""COMPUTED_VALUE"""),"FIP Engineering")</f>
        <v>FIP Engineering</v>
      </c>
      <c r="M2317" s="6" t="str">
        <f>IFERROR(__xludf.DUMMYFUNCTION("""COMPUTED_VALUE"""),"Irwan Sopian")</f>
        <v>Irwan Sopian</v>
      </c>
      <c r="N2317" s="6" t="str">
        <f>IFERROR(__xludf.DUMMYFUNCTION("""COMPUTED_VALUE"""),"FIP Engineering")</f>
        <v>FIP Engineering</v>
      </c>
      <c r="O2317" s="6" t="str">
        <f>IFERROR(__xludf.DUMMYFUNCTION("""COMPUTED_VALUE"""),"FIP-DOM-000-11304-OS00001-INA-000000")</f>
        <v>FIP-DOM-000-11304-OS00001-INA-000000</v>
      </c>
      <c r="P2317" s="6" t="str">
        <f>IFERROR(__xludf.DUMMYFUNCTION("""COMPUTED_VALUE"""),"PO Closed")</f>
        <v>PO Closed</v>
      </c>
      <c r="Q2317" s="6" t="str">
        <f>IFERROR(__xludf.DUMMYFUNCTION("""COMPUTED_VALUE"""),"GL2303304")</f>
        <v>GL2303304</v>
      </c>
      <c r="R2317" s="57">
        <f>IFERROR(__xludf.DUMMYFUNCTION("""COMPUTED_VALUE"""),44986.0)</f>
        <v>44986</v>
      </c>
      <c r="S2317" s="57">
        <f>IFERROR(__xludf.DUMMYFUNCTION("""COMPUTED_VALUE"""),44987.0)</f>
        <v>44987</v>
      </c>
      <c r="T2317" s="57">
        <f>IFERROR(__xludf.DUMMYFUNCTION("""COMPUTED_VALUE"""),45021.0)</f>
        <v>45021</v>
      </c>
    </row>
    <row r="2318">
      <c r="A2318" s="6" t="str">
        <f>IFERROR(__xludf.DUMMYFUNCTION("""COMPUTED_VALUE"""),"231750173-4")</f>
        <v>231750173-4</v>
      </c>
      <c r="B2318" s="6" t="str">
        <f>IFERROR(__xludf.DUMMYFUNCTION("""COMPUTED_VALUE"""),"231750173 - Approved")</f>
        <v>231750173 - Approved</v>
      </c>
      <c r="C2318" s="6">
        <f>IFERROR(__xludf.DUMMYFUNCTION("""COMPUTED_VALUE"""),4.0)</f>
        <v>4</v>
      </c>
      <c r="D2318" s="6" t="str">
        <f>IFERROR(__xludf.DUMMYFUNCTION("""COMPUTED_VALUE"""),"O-14640-00")</f>
        <v>O-14640-00</v>
      </c>
      <c r="E2318" s="6" t="str">
        <f>IFERROR(__xludf.DUMMYFUNCTION("""COMPUTED_VALUE"""),"Silicone Gasket for Ferrule dia. 3/4"" - P/N : - pc")</f>
        <v>Silicone Gasket for Ferrule dia. 3/4" - P/N : - pc</v>
      </c>
      <c r="F2318" s="6">
        <f>IFERROR(__xludf.DUMMYFUNCTION("""COMPUTED_VALUE"""),15.0)</f>
        <v>15</v>
      </c>
      <c r="G2318" s="6" t="str">
        <f>IFERROR(__xludf.DUMMYFUNCTION("""COMPUTED_VALUE"""),"Pieces")</f>
        <v>Pieces</v>
      </c>
      <c r="H2318" s="6" t="str">
        <f>IFERROR(__xludf.DUMMYFUNCTION("""COMPUTED_VALUE"""),"IDR")</f>
        <v>IDR</v>
      </c>
      <c r="I2318" s="11">
        <f>IFERROR(__xludf.DUMMYFUNCTION("""COMPUTED_VALUE"""),12000.0)</f>
        <v>12000</v>
      </c>
      <c r="J2318" s="11">
        <f>IFERROR(__xludf.DUMMYFUNCTION("""COMPUTED_VALUE"""),180000.0)</f>
        <v>180000</v>
      </c>
      <c r="K2318" s="57">
        <f>IFERROR(__xludf.DUMMYFUNCTION("""COMPUTED_VALUE"""),45020.0)</f>
        <v>45020</v>
      </c>
      <c r="L2318" s="6" t="str">
        <f>IFERROR(__xludf.DUMMYFUNCTION("""COMPUTED_VALUE"""),"FIP Engineering")</f>
        <v>FIP Engineering</v>
      </c>
      <c r="M2318" s="6" t="str">
        <f>IFERROR(__xludf.DUMMYFUNCTION("""COMPUTED_VALUE"""),"Irwan Sopian")</f>
        <v>Irwan Sopian</v>
      </c>
      <c r="N2318" s="6" t="str">
        <f>IFERROR(__xludf.DUMMYFUNCTION("""COMPUTED_VALUE"""),"FIP Engineering")</f>
        <v>FIP Engineering</v>
      </c>
      <c r="O2318" s="6" t="str">
        <f>IFERROR(__xludf.DUMMYFUNCTION("""COMPUTED_VALUE"""),"FIP-DOM-000-11304-OS00001-INA-000000")</f>
        <v>FIP-DOM-000-11304-OS00001-INA-000000</v>
      </c>
      <c r="P2318" s="6" t="str">
        <f>IFERROR(__xludf.DUMMYFUNCTION("""COMPUTED_VALUE"""),"PO Closed")</f>
        <v>PO Closed</v>
      </c>
      <c r="Q2318" s="6" t="str">
        <f>IFERROR(__xludf.DUMMYFUNCTION("""COMPUTED_VALUE"""),"GL2303304")</f>
        <v>GL2303304</v>
      </c>
      <c r="R2318" s="57">
        <f>IFERROR(__xludf.DUMMYFUNCTION("""COMPUTED_VALUE"""),44986.0)</f>
        <v>44986</v>
      </c>
      <c r="S2318" s="57">
        <f>IFERROR(__xludf.DUMMYFUNCTION("""COMPUTED_VALUE"""),44987.0)</f>
        <v>44987</v>
      </c>
      <c r="T2318" s="57">
        <f>IFERROR(__xludf.DUMMYFUNCTION("""COMPUTED_VALUE"""),45021.0)</f>
        <v>45021</v>
      </c>
    </row>
    <row r="2319">
      <c r="A2319" s="6" t="str">
        <f>IFERROR(__xludf.DUMMYFUNCTION("""COMPUTED_VALUE"""),"231750173-5")</f>
        <v>231750173-5</v>
      </c>
      <c r="B2319" s="6" t="str">
        <f>IFERROR(__xludf.DUMMYFUNCTION("""COMPUTED_VALUE"""),"231750173 - Approved")</f>
        <v>231750173 - Approved</v>
      </c>
      <c r="C2319" s="6">
        <f>IFERROR(__xludf.DUMMYFUNCTION("""COMPUTED_VALUE"""),5.0)</f>
        <v>5</v>
      </c>
      <c r="D2319" s="6" t="str">
        <f>IFERROR(__xludf.DUMMYFUNCTION("""COMPUTED_VALUE"""),"O-15492-00")</f>
        <v>O-15492-00</v>
      </c>
      <c r="E2319" s="6" t="str">
        <f>IFERROR(__xludf.DUMMYFUNCTION("""COMPUTED_VALUE"""),"SPA 1132 Brand : Optibelt / Bando Merah - P/N : - pc")</f>
        <v>SPA 1132 Brand : Optibelt / Bando Merah - P/N : - pc</v>
      </c>
      <c r="F2319" s="6">
        <f>IFERROR(__xludf.DUMMYFUNCTION("""COMPUTED_VALUE"""),4.0)</f>
        <v>4</v>
      </c>
      <c r="G2319" s="6" t="str">
        <f>IFERROR(__xludf.DUMMYFUNCTION("""COMPUTED_VALUE"""),"Pieces")</f>
        <v>Pieces</v>
      </c>
      <c r="H2319" s="6" t="str">
        <f>IFERROR(__xludf.DUMMYFUNCTION("""COMPUTED_VALUE"""),"IDR")</f>
        <v>IDR</v>
      </c>
      <c r="I2319" s="11">
        <f>IFERROR(__xludf.DUMMYFUNCTION("""COMPUTED_VALUE"""),40000.0)</f>
        <v>40000</v>
      </c>
      <c r="J2319" s="11">
        <f>IFERROR(__xludf.DUMMYFUNCTION("""COMPUTED_VALUE"""),160000.0)</f>
        <v>160000</v>
      </c>
      <c r="K2319" s="57">
        <f>IFERROR(__xludf.DUMMYFUNCTION("""COMPUTED_VALUE"""),45020.0)</f>
        <v>45020</v>
      </c>
      <c r="L2319" s="6" t="str">
        <f>IFERROR(__xludf.DUMMYFUNCTION("""COMPUTED_VALUE"""),"FIP Engineering")</f>
        <v>FIP Engineering</v>
      </c>
      <c r="M2319" s="6" t="str">
        <f>IFERROR(__xludf.DUMMYFUNCTION("""COMPUTED_VALUE"""),"Irwan Sopian")</f>
        <v>Irwan Sopian</v>
      </c>
      <c r="N2319" s="6" t="str">
        <f>IFERROR(__xludf.DUMMYFUNCTION("""COMPUTED_VALUE"""),"FIP Engineering")</f>
        <v>FIP Engineering</v>
      </c>
      <c r="O2319" s="6" t="str">
        <f>IFERROR(__xludf.DUMMYFUNCTION("""COMPUTED_VALUE"""),"FIP-DOM-000-11304-OS00001-INA-000000")</f>
        <v>FIP-DOM-000-11304-OS00001-INA-000000</v>
      </c>
      <c r="P2319" s="6" t="str">
        <f>IFERROR(__xludf.DUMMYFUNCTION("""COMPUTED_VALUE"""),"PO Closed")</f>
        <v>PO Closed</v>
      </c>
      <c r="Q2319" s="6" t="str">
        <f>IFERROR(__xludf.DUMMYFUNCTION("""COMPUTED_VALUE"""),"GL2302053")</f>
        <v>GL2302053</v>
      </c>
      <c r="R2319" s="57">
        <f>IFERROR(__xludf.DUMMYFUNCTION("""COMPUTED_VALUE"""),44986.0)</f>
        <v>44986</v>
      </c>
      <c r="S2319" s="57">
        <f>IFERROR(__xludf.DUMMYFUNCTION("""COMPUTED_VALUE"""),44987.0)</f>
        <v>44987</v>
      </c>
      <c r="T2319" s="57">
        <f>IFERROR(__xludf.DUMMYFUNCTION("""COMPUTED_VALUE"""),45046.0)</f>
        <v>45046</v>
      </c>
    </row>
    <row r="2320">
      <c r="A2320" s="6" t="str">
        <f>IFERROR(__xludf.DUMMYFUNCTION("""COMPUTED_VALUE"""),"231750173-6")</f>
        <v>231750173-6</v>
      </c>
      <c r="B2320" s="6" t="str">
        <f>IFERROR(__xludf.DUMMYFUNCTION("""COMPUTED_VALUE"""),"231750173 - Approved")</f>
        <v>231750173 - Approved</v>
      </c>
      <c r="C2320" s="6">
        <f>IFERROR(__xludf.DUMMYFUNCTION("""COMPUTED_VALUE"""),6.0)</f>
        <v>6</v>
      </c>
      <c r="D2320" s="6" t="str">
        <f>IFERROR(__xludf.DUMMYFUNCTION("""COMPUTED_VALUE"""),"O-15489-00")</f>
        <v>O-15489-00</v>
      </c>
      <c r="E2320" s="6" t="str">
        <f>IFERROR(__xludf.DUMMYFUNCTION("""COMPUTED_VALUE"""),"SPA 1120 Brand : Optibelt / Bando Merah; Optibelt; ;")</f>
        <v>SPA 1120 Brand : Optibelt / Bando Merah; Optibelt; ;</v>
      </c>
      <c r="F2320" s="6">
        <f>IFERROR(__xludf.DUMMYFUNCTION("""COMPUTED_VALUE"""),4.0)</f>
        <v>4</v>
      </c>
      <c r="G2320" s="6" t="str">
        <f>IFERROR(__xludf.DUMMYFUNCTION("""COMPUTED_VALUE"""),"Pieces")</f>
        <v>Pieces</v>
      </c>
      <c r="H2320" s="6" t="str">
        <f>IFERROR(__xludf.DUMMYFUNCTION("""COMPUTED_VALUE"""),"IDR")</f>
        <v>IDR</v>
      </c>
      <c r="I2320" s="11">
        <f>IFERROR(__xludf.DUMMYFUNCTION("""COMPUTED_VALUE"""),99200.0)</f>
        <v>99200</v>
      </c>
      <c r="J2320" s="11">
        <f>IFERROR(__xludf.DUMMYFUNCTION("""COMPUTED_VALUE"""),396800.0)</f>
        <v>396800</v>
      </c>
      <c r="K2320" s="57">
        <f>IFERROR(__xludf.DUMMYFUNCTION("""COMPUTED_VALUE"""),45000.0)</f>
        <v>45000</v>
      </c>
      <c r="L2320" s="6" t="str">
        <f>IFERROR(__xludf.DUMMYFUNCTION("""COMPUTED_VALUE"""),"FIP Engineering")</f>
        <v>FIP Engineering</v>
      </c>
      <c r="M2320" s="6" t="str">
        <f>IFERROR(__xludf.DUMMYFUNCTION("""COMPUTED_VALUE"""),"Irwan Sopian")</f>
        <v>Irwan Sopian</v>
      </c>
      <c r="N2320" s="6" t="str">
        <f>IFERROR(__xludf.DUMMYFUNCTION("""COMPUTED_VALUE"""),"FIP Engineering")</f>
        <v>FIP Engineering</v>
      </c>
      <c r="O2320" s="6" t="str">
        <f>IFERROR(__xludf.DUMMYFUNCTION("""COMPUTED_VALUE"""),"FIP-DOM-000-11304-OS00001-INA-000000")</f>
        <v>FIP-DOM-000-11304-OS00001-INA-000000</v>
      </c>
      <c r="P2320" s="6" t="str">
        <f>IFERROR(__xludf.DUMMYFUNCTION("""COMPUTED_VALUE"""),"PO Closed")</f>
        <v>PO Closed</v>
      </c>
      <c r="Q2320" s="6" t="str">
        <f>IFERROR(__xludf.DUMMYFUNCTION("""COMPUTED_VALUE"""),"GL2302053")</f>
        <v>GL2302053</v>
      </c>
      <c r="R2320" s="57">
        <f>IFERROR(__xludf.DUMMYFUNCTION("""COMPUTED_VALUE"""),44986.0)</f>
        <v>44986</v>
      </c>
      <c r="S2320" s="57">
        <f>IFERROR(__xludf.DUMMYFUNCTION("""COMPUTED_VALUE"""),44987.0)</f>
        <v>44987</v>
      </c>
      <c r="T2320" s="57">
        <f>IFERROR(__xludf.DUMMYFUNCTION("""COMPUTED_VALUE"""),45046.0)</f>
        <v>45046</v>
      </c>
    </row>
    <row r="2321">
      <c r="A2321" s="6" t="str">
        <f>IFERROR(__xludf.DUMMYFUNCTION("""COMPUTED_VALUE"""),"231750173-7")</f>
        <v>231750173-7</v>
      </c>
      <c r="B2321" s="6" t="str">
        <f>IFERROR(__xludf.DUMMYFUNCTION("""COMPUTED_VALUE"""),"231750173 - Approved")</f>
        <v>231750173 - Approved</v>
      </c>
      <c r="C2321" s="6">
        <f>IFERROR(__xludf.DUMMYFUNCTION("""COMPUTED_VALUE"""),7.0)</f>
        <v>7</v>
      </c>
      <c r="D2321" s="6" t="str">
        <f>IFERROR(__xludf.DUMMYFUNCTION("""COMPUTED_VALUE"""),"P-17830-00")</f>
        <v>P-17830-00</v>
      </c>
      <c r="E2321" s="6" t="str">
        <f>IFERROR(__xludf.DUMMYFUNCTION("""COMPUTED_VALUE"""),"Cleaner Stainless Stell &amp; Polish; 3M; ;")</f>
        <v>Cleaner Stainless Stell &amp; Polish; 3M; ;</v>
      </c>
      <c r="F2321" s="6">
        <f>IFERROR(__xludf.DUMMYFUNCTION("""COMPUTED_VALUE"""),2.0)</f>
        <v>2</v>
      </c>
      <c r="G2321" s="6" t="str">
        <f>IFERROR(__xludf.DUMMYFUNCTION("""COMPUTED_VALUE"""),"Can")</f>
        <v>Can</v>
      </c>
      <c r="H2321" s="6" t="str">
        <f>IFERROR(__xludf.DUMMYFUNCTION("""COMPUTED_VALUE"""),"IDR")</f>
        <v>IDR</v>
      </c>
      <c r="I2321" s="11">
        <f>IFERROR(__xludf.DUMMYFUNCTION("""COMPUTED_VALUE"""),215000.0)</f>
        <v>215000</v>
      </c>
      <c r="J2321" s="11">
        <f>IFERROR(__xludf.DUMMYFUNCTION("""COMPUTED_VALUE"""),430000.0)</f>
        <v>430000</v>
      </c>
      <c r="K2321" s="57">
        <f>IFERROR(__xludf.DUMMYFUNCTION("""COMPUTED_VALUE"""),45027.0)</f>
        <v>45027</v>
      </c>
      <c r="L2321" s="6" t="str">
        <f>IFERROR(__xludf.DUMMYFUNCTION("""COMPUTED_VALUE"""),"FIP Engineering")</f>
        <v>FIP Engineering</v>
      </c>
      <c r="M2321" s="6" t="str">
        <f>IFERROR(__xludf.DUMMYFUNCTION("""COMPUTED_VALUE"""),"Irwan Sopian")</f>
        <v>Irwan Sopian</v>
      </c>
      <c r="N2321" s="6" t="str">
        <f>IFERROR(__xludf.DUMMYFUNCTION("""COMPUTED_VALUE"""),"FIP Engineering")</f>
        <v>FIP Engineering</v>
      </c>
      <c r="O2321" s="6" t="str">
        <f>IFERROR(__xludf.DUMMYFUNCTION("""COMPUTED_VALUE"""),"FIP-DOM-000-11304-OS00001-INA-000000")</f>
        <v>FIP-DOM-000-11304-OS00001-INA-000000</v>
      </c>
      <c r="P2321" s="6" t="str">
        <f>IFERROR(__xludf.DUMMYFUNCTION("""COMPUTED_VALUE"""),"PO Closed")</f>
        <v>PO Closed</v>
      </c>
      <c r="Q2321" s="6" t="str">
        <f>IFERROR(__xludf.DUMMYFUNCTION("""COMPUTED_VALUE"""),"GL2303304")</f>
        <v>GL2303304</v>
      </c>
      <c r="R2321" s="57">
        <f>IFERROR(__xludf.DUMMYFUNCTION("""COMPUTED_VALUE"""),44986.0)</f>
        <v>44986</v>
      </c>
      <c r="S2321" s="57">
        <f>IFERROR(__xludf.DUMMYFUNCTION("""COMPUTED_VALUE"""),44987.0)</f>
        <v>44987</v>
      </c>
      <c r="T2321" s="57">
        <f>IFERROR(__xludf.DUMMYFUNCTION("""COMPUTED_VALUE"""),45021.0)</f>
        <v>45021</v>
      </c>
    </row>
    <row r="2322">
      <c r="A2322" s="6" t="str">
        <f>IFERROR(__xludf.DUMMYFUNCTION("""COMPUTED_VALUE"""),"231750183-1")</f>
        <v>231750183-1</v>
      </c>
      <c r="B2322" s="6" t="str">
        <f>IFERROR(__xludf.DUMMYFUNCTION("""COMPUTED_VALUE"""),"231750183 - Approved")</f>
        <v>231750183 - Approved</v>
      </c>
      <c r="C2322" s="6">
        <f>IFERROR(__xludf.DUMMYFUNCTION("""COMPUTED_VALUE"""),1.0)</f>
        <v>1</v>
      </c>
      <c r="D2322" s="6" t="str">
        <f>IFERROR(__xludf.DUMMYFUNCTION("""COMPUTED_VALUE"""),"P-52662-00")</f>
        <v>P-52662-00</v>
      </c>
      <c r="E2322" s="6" t="str">
        <f>IFERROR(__xludf.DUMMYFUNCTION("""COMPUTED_VALUE"""),"Temperature Controller - TK4S- 14SN 100-240 VAC AUTONICS; ; ;")</f>
        <v>Temperature Controller - TK4S- 14SN 100-240 VAC AUTONICS; ; ;</v>
      </c>
      <c r="F2322" s="6">
        <f>IFERROR(__xludf.DUMMYFUNCTION("""COMPUTED_VALUE"""),2.0)</f>
        <v>2</v>
      </c>
      <c r="G2322" s="6" t="str">
        <f>IFERROR(__xludf.DUMMYFUNCTION("""COMPUTED_VALUE"""),"Pieces")</f>
        <v>Pieces</v>
      </c>
      <c r="H2322" s="6" t="str">
        <f>IFERROR(__xludf.DUMMYFUNCTION("""COMPUTED_VALUE"""),"IDR")</f>
        <v>IDR</v>
      </c>
      <c r="I2322" s="11">
        <f>IFERROR(__xludf.DUMMYFUNCTION("""COMPUTED_VALUE"""),646000.0)</f>
        <v>646000</v>
      </c>
      <c r="J2322" s="11">
        <f>IFERROR(__xludf.DUMMYFUNCTION("""COMPUTED_VALUE"""),1292000.0)</f>
        <v>1292000</v>
      </c>
      <c r="K2322" s="57">
        <f>IFERROR(__xludf.DUMMYFUNCTION("""COMPUTED_VALUE"""),45020.0)</f>
        <v>45020</v>
      </c>
      <c r="L2322" s="6" t="str">
        <f>IFERROR(__xludf.DUMMYFUNCTION("""COMPUTED_VALUE"""),"FIP Engineering")</f>
        <v>FIP Engineering</v>
      </c>
      <c r="M2322" s="6" t="str">
        <f>IFERROR(__xludf.DUMMYFUNCTION("""COMPUTED_VALUE"""),"Irwan Sopian")</f>
        <v>Irwan Sopian</v>
      </c>
      <c r="N2322" s="6" t="str">
        <f>IFERROR(__xludf.DUMMYFUNCTION("""COMPUTED_VALUE"""),"FIP Engineering")</f>
        <v>FIP Engineering</v>
      </c>
      <c r="O2322" s="6" t="str">
        <f>IFERROR(__xludf.DUMMYFUNCTION("""COMPUTED_VALUE"""),"FIP-DOM-000-11304-OS00001-INA-000000")</f>
        <v>FIP-DOM-000-11304-OS00001-INA-000000</v>
      </c>
      <c r="P2322" s="6" t="str">
        <f>IFERROR(__xludf.DUMMYFUNCTION("""COMPUTED_VALUE"""),"PO Closed")</f>
        <v>PO Closed</v>
      </c>
      <c r="Q2322" s="6" t="str">
        <f>IFERROR(__xludf.DUMMYFUNCTION("""COMPUTED_VALUE"""),"GL2303056")</f>
        <v>GL2303056</v>
      </c>
      <c r="R2322" s="57">
        <f>IFERROR(__xludf.DUMMYFUNCTION("""COMPUTED_VALUE"""),44988.0)</f>
        <v>44988</v>
      </c>
      <c r="S2322" s="57">
        <f>IFERROR(__xludf.DUMMYFUNCTION("""COMPUTED_VALUE"""),44991.0)</f>
        <v>44991</v>
      </c>
      <c r="T2322" s="57">
        <f>IFERROR(__xludf.DUMMYFUNCTION("""COMPUTED_VALUE"""),45022.0)</f>
        <v>45022</v>
      </c>
    </row>
    <row r="2323">
      <c r="A2323" s="6" t="str">
        <f>IFERROR(__xludf.DUMMYFUNCTION("""COMPUTED_VALUE"""),"231750183-2")</f>
        <v>231750183-2</v>
      </c>
      <c r="B2323" s="6" t="str">
        <f>IFERROR(__xludf.DUMMYFUNCTION("""COMPUTED_VALUE"""),"231750183 - Approved")</f>
        <v>231750183 - Approved</v>
      </c>
      <c r="C2323" s="6">
        <f>IFERROR(__xludf.DUMMYFUNCTION("""COMPUTED_VALUE"""),2.0)</f>
        <v>2</v>
      </c>
      <c r="D2323" s="6" t="str">
        <f>IFERROR(__xludf.DUMMYFUNCTION("""COMPUTED_VALUE"""),"P-52663-00")</f>
        <v>P-52663-00</v>
      </c>
      <c r="E2323" s="6" t="str">
        <f>IFERROR(__xludf.DUMMYFUNCTION("""COMPUTED_VALUE"""),"Solid State Relay 3-32 VDC 24-330 VAC 40 A; ; ;")</f>
        <v>Solid State Relay 3-32 VDC 24-330 VAC 40 A; ; ;</v>
      </c>
      <c r="F2323" s="6">
        <f>IFERROR(__xludf.DUMMYFUNCTION("""COMPUTED_VALUE"""),2.0)</f>
        <v>2</v>
      </c>
      <c r="G2323" s="6" t="str">
        <f>IFERROR(__xludf.DUMMYFUNCTION("""COMPUTED_VALUE"""),"Pieces")</f>
        <v>Pieces</v>
      </c>
      <c r="H2323" s="6" t="str">
        <f>IFERROR(__xludf.DUMMYFUNCTION("""COMPUTED_VALUE"""),"IDR")</f>
        <v>IDR</v>
      </c>
      <c r="I2323" s="11">
        <f>IFERROR(__xludf.DUMMYFUNCTION("""COMPUTED_VALUE"""),205000.0)</f>
        <v>205000</v>
      </c>
      <c r="J2323" s="11">
        <f>IFERROR(__xludf.DUMMYFUNCTION("""COMPUTED_VALUE"""),410000.0)</f>
        <v>410000</v>
      </c>
      <c r="K2323" s="57">
        <f>IFERROR(__xludf.DUMMYFUNCTION("""COMPUTED_VALUE"""),45027.0)</f>
        <v>45027</v>
      </c>
      <c r="L2323" s="6" t="str">
        <f>IFERROR(__xludf.DUMMYFUNCTION("""COMPUTED_VALUE"""),"FIP Engineering")</f>
        <v>FIP Engineering</v>
      </c>
      <c r="M2323" s="6" t="str">
        <f>IFERROR(__xludf.DUMMYFUNCTION("""COMPUTED_VALUE"""),"Irwan Sopian")</f>
        <v>Irwan Sopian</v>
      </c>
      <c r="N2323" s="6" t="str">
        <f>IFERROR(__xludf.DUMMYFUNCTION("""COMPUTED_VALUE"""),"FIP Engineering")</f>
        <v>FIP Engineering</v>
      </c>
      <c r="O2323" s="6" t="str">
        <f>IFERROR(__xludf.DUMMYFUNCTION("""COMPUTED_VALUE"""),"FIP-DOM-000-11304-OS00001-INA-000000")</f>
        <v>FIP-DOM-000-11304-OS00001-INA-000000</v>
      </c>
      <c r="P2323" s="6" t="str">
        <f>IFERROR(__xludf.DUMMYFUNCTION("""COMPUTED_VALUE"""),"PO Closed")</f>
        <v>PO Closed</v>
      </c>
      <c r="Q2323" s="6" t="str">
        <f>IFERROR(__xludf.DUMMYFUNCTION("""COMPUTED_VALUE"""),"GL2303057")</f>
        <v>GL2303057</v>
      </c>
      <c r="R2323" s="57">
        <f>IFERROR(__xludf.DUMMYFUNCTION("""COMPUTED_VALUE"""),44988.0)</f>
        <v>44988</v>
      </c>
      <c r="S2323" s="57">
        <f>IFERROR(__xludf.DUMMYFUNCTION("""COMPUTED_VALUE"""),44991.0)</f>
        <v>44991</v>
      </c>
      <c r="T2323" s="57">
        <f>IFERROR(__xludf.DUMMYFUNCTION("""COMPUTED_VALUE"""),45184.0)</f>
        <v>45184</v>
      </c>
    </row>
    <row r="2324">
      <c r="A2324" s="6" t="str">
        <f>IFERROR(__xludf.DUMMYFUNCTION("""COMPUTED_VALUE"""),"231750183-3")</f>
        <v>231750183-3</v>
      </c>
      <c r="B2324" s="6" t="str">
        <f>IFERROR(__xludf.DUMMYFUNCTION("""COMPUTED_VALUE"""),"231750183 - Approved")</f>
        <v>231750183 - Approved</v>
      </c>
      <c r="C2324" s="6">
        <f>IFERROR(__xludf.DUMMYFUNCTION("""COMPUTED_VALUE"""),3.0)</f>
        <v>3</v>
      </c>
      <c r="D2324" s="6" t="str">
        <f>IFERROR(__xludf.DUMMYFUNCTION("""COMPUTED_VALUE"""),"O-52878-00")</f>
        <v>O-52878-00</v>
      </c>
      <c r="E2324" s="6" t="str">
        <f>IFERROR(__xludf.DUMMYFUNCTION("""COMPUTED_VALUE"""),"Heat Sink untuk SSR; Fotex; ;")</f>
        <v>Heat Sink untuk SSR; Fotex; ;</v>
      </c>
      <c r="F2324" s="6">
        <f>IFERROR(__xludf.DUMMYFUNCTION("""COMPUTED_VALUE"""),1.0)</f>
        <v>1</v>
      </c>
      <c r="G2324" s="6" t="str">
        <f>IFERROR(__xludf.DUMMYFUNCTION("""COMPUTED_VALUE"""),"Pieces")</f>
        <v>Pieces</v>
      </c>
      <c r="H2324" s="6" t="str">
        <f>IFERROR(__xludf.DUMMYFUNCTION("""COMPUTED_VALUE"""),"IDR")</f>
        <v>IDR</v>
      </c>
      <c r="I2324" s="11">
        <f>IFERROR(__xludf.DUMMYFUNCTION("""COMPUTED_VALUE"""),135000.0)</f>
        <v>135000</v>
      </c>
      <c r="J2324" s="11">
        <f>IFERROR(__xludf.DUMMYFUNCTION("""COMPUTED_VALUE"""),135000.0)</f>
        <v>135000</v>
      </c>
      <c r="K2324" s="57">
        <f>IFERROR(__xludf.DUMMYFUNCTION("""COMPUTED_VALUE"""),45027.0)</f>
        <v>45027</v>
      </c>
      <c r="L2324" s="6" t="str">
        <f>IFERROR(__xludf.DUMMYFUNCTION("""COMPUTED_VALUE"""),"FIP Engineering")</f>
        <v>FIP Engineering</v>
      </c>
      <c r="M2324" s="6" t="str">
        <f>IFERROR(__xludf.DUMMYFUNCTION("""COMPUTED_VALUE"""),"Irwan Sopian")</f>
        <v>Irwan Sopian</v>
      </c>
      <c r="N2324" s="6" t="str">
        <f>IFERROR(__xludf.DUMMYFUNCTION("""COMPUTED_VALUE"""),"FIP Engineering")</f>
        <v>FIP Engineering</v>
      </c>
      <c r="O2324" s="6" t="str">
        <f>IFERROR(__xludf.DUMMYFUNCTION("""COMPUTED_VALUE"""),"FIP-DOM-000-11304-OS00001-INA-000000")</f>
        <v>FIP-DOM-000-11304-OS00001-INA-000000</v>
      </c>
      <c r="P2324" s="6" t="str">
        <f>IFERROR(__xludf.DUMMYFUNCTION("""COMPUTED_VALUE"""),"PO Closed")</f>
        <v>PO Closed</v>
      </c>
      <c r="Q2324" s="6" t="str">
        <f>IFERROR(__xludf.DUMMYFUNCTION("""COMPUTED_VALUE"""),"GL2303057")</f>
        <v>GL2303057</v>
      </c>
      <c r="R2324" s="57">
        <f>IFERROR(__xludf.DUMMYFUNCTION("""COMPUTED_VALUE"""),44988.0)</f>
        <v>44988</v>
      </c>
      <c r="S2324" s="57">
        <f>IFERROR(__xludf.DUMMYFUNCTION("""COMPUTED_VALUE"""),44991.0)</f>
        <v>44991</v>
      </c>
      <c r="T2324" s="57">
        <f>IFERROR(__xludf.DUMMYFUNCTION("""COMPUTED_VALUE"""),45184.0)</f>
        <v>45184</v>
      </c>
    </row>
    <row r="2325">
      <c r="A2325" s="6" t="str">
        <f>IFERROR(__xludf.DUMMYFUNCTION("""COMPUTED_VALUE"""),"231750185-1")</f>
        <v>231750185-1</v>
      </c>
      <c r="B2325" s="6" t="str">
        <f>IFERROR(__xludf.DUMMYFUNCTION("""COMPUTED_VALUE"""),"231750185 - Approved")</f>
        <v>231750185 - Approved</v>
      </c>
      <c r="C2325" s="6">
        <f>IFERROR(__xludf.DUMMYFUNCTION("""COMPUTED_VALUE"""),1.0)</f>
        <v>1</v>
      </c>
      <c r="D2325" s="6" t="str">
        <f>IFERROR(__xludf.DUMMYFUNCTION("""COMPUTED_VALUE"""),"Q-10128-00")</f>
        <v>Q-10128-00</v>
      </c>
      <c r="E2325" s="6" t="str">
        <f>IFERROR(__xludf.DUMMYFUNCTION("""COMPUTED_VALUE"""),"Thinner Super End/Impala")</f>
        <v>Thinner Super End/Impala</v>
      </c>
      <c r="F2325" s="6">
        <f>IFERROR(__xludf.DUMMYFUNCTION("""COMPUTED_VALUE"""),5.0)</f>
        <v>5</v>
      </c>
      <c r="G2325" s="6" t="str">
        <f>IFERROR(__xludf.DUMMYFUNCTION("""COMPUTED_VALUE"""),"Pieces")</f>
        <v>Pieces</v>
      </c>
      <c r="H2325" s="6" t="str">
        <f>IFERROR(__xludf.DUMMYFUNCTION("""COMPUTED_VALUE"""),"IDR")</f>
        <v>IDR</v>
      </c>
      <c r="I2325" s="11">
        <f>IFERROR(__xludf.DUMMYFUNCTION("""COMPUTED_VALUE"""),178000.0)</f>
        <v>178000</v>
      </c>
      <c r="J2325" s="11">
        <f>IFERROR(__xludf.DUMMYFUNCTION("""COMPUTED_VALUE"""),890000.0)</f>
        <v>890000</v>
      </c>
      <c r="K2325" s="57">
        <f>IFERROR(__xludf.DUMMYFUNCTION("""COMPUTED_VALUE"""),45021.0)</f>
        <v>45021</v>
      </c>
      <c r="L2325" s="6" t="str">
        <f>IFERROR(__xludf.DUMMYFUNCTION("""COMPUTED_VALUE"""),"FIP Engineering")</f>
        <v>FIP Engineering</v>
      </c>
      <c r="M2325" s="6" t="str">
        <f>IFERROR(__xludf.DUMMYFUNCTION("""COMPUTED_VALUE"""),"Irwan Sopian")</f>
        <v>Irwan Sopian</v>
      </c>
      <c r="N2325" s="6" t="str">
        <f>IFERROR(__xludf.DUMMYFUNCTION("""COMPUTED_VALUE"""),"FIP Engineering")</f>
        <v>FIP Engineering</v>
      </c>
      <c r="O2325" s="6" t="str">
        <f>IFERROR(__xludf.DUMMYFUNCTION("""COMPUTED_VALUE"""),"FIP-DOM-000-11304-OS00001-INA-000000")</f>
        <v>FIP-DOM-000-11304-OS00001-INA-000000</v>
      </c>
      <c r="P2325" s="6" t="str">
        <f>IFERROR(__xludf.DUMMYFUNCTION("""COMPUTED_VALUE"""),"PO Closed")</f>
        <v>PO Closed</v>
      </c>
      <c r="Q2325" s="6" t="str">
        <f>IFERROR(__xludf.DUMMYFUNCTION("""COMPUTED_VALUE"""),"GL2303059")</f>
        <v>GL2303059</v>
      </c>
      <c r="R2325" s="57">
        <f>IFERROR(__xludf.DUMMYFUNCTION("""COMPUTED_VALUE"""),44991.0)</f>
        <v>44991</v>
      </c>
      <c r="S2325" s="57">
        <f>IFERROR(__xludf.DUMMYFUNCTION("""COMPUTED_VALUE"""),44994.0)</f>
        <v>44994</v>
      </c>
      <c r="T2325" s="57">
        <f>IFERROR(__xludf.DUMMYFUNCTION("""COMPUTED_VALUE"""),45027.0)</f>
        <v>45027</v>
      </c>
    </row>
    <row r="2326">
      <c r="A2326" s="6" t="str">
        <f>IFERROR(__xludf.DUMMYFUNCTION("""COMPUTED_VALUE"""),"231750185-2")</f>
        <v>231750185-2</v>
      </c>
      <c r="B2326" s="6" t="str">
        <f>IFERROR(__xludf.DUMMYFUNCTION("""COMPUTED_VALUE"""),"231750185 - Approved")</f>
        <v>231750185 - Approved</v>
      </c>
      <c r="C2326" s="6">
        <f>IFERROR(__xludf.DUMMYFUNCTION("""COMPUTED_VALUE"""),2.0)</f>
        <v>2</v>
      </c>
      <c r="D2326" s="6" t="str">
        <f>IFERROR(__xludf.DUMMYFUNCTION("""COMPUTED_VALUE"""),"Q-54128-00")</f>
        <v>Q-54128-00</v>
      </c>
      <c r="E2326" s="6" t="str">
        <f>IFERROR(__xludf.DUMMYFUNCTION("""COMPUTED_VALUE"""),"Kuas uk. 2.5 inch; No Brand; ; pack size per pc")</f>
        <v>Kuas uk. 2.5 inch; No Brand; ; pack size per pc</v>
      </c>
      <c r="F2326" s="6">
        <f>IFERROR(__xludf.DUMMYFUNCTION("""COMPUTED_VALUE"""),5.0)</f>
        <v>5</v>
      </c>
      <c r="G2326" s="6" t="str">
        <f>IFERROR(__xludf.DUMMYFUNCTION("""COMPUTED_VALUE"""),"Pieces")</f>
        <v>Pieces</v>
      </c>
      <c r="H2326" s="6" t="str">
        <f>IFERROR(__xludf.DUMMYFUNCTION("""COMPUTED_VALUE"""),"IDR")</f>
        <v>IDR</v>
      </c>
      <c r="I2326" s="11">
        <f>IFERROR(__xludf.DUMMYFUNCTION("""COMPUTED_VALUE"""),15000.0)</f>
        <v>15000</v>
      </c>
      <c r="J2326" s="11">
        <f>IFERROR(__xludf.DUMMYFUNCTION("""COMPUTED_VALUE"""),75000.0)</f>
        <v>75000</v>
      </c>
      <c r="K2326" s="57">
        <f>IFERROR(__xludf.DUMMYFUNCTION("""COMPUTED_VALUE"""),45027.0)</f>
        <v>45027</v>
      </c>
      <c r="L2326" s="6" t="str">
        <f>IFERROR(__xludf.DUMMYFUNCTION("""COMPUTED_VALUE"""),"FIP Engineering")</f>
        <v>FIP Engineering</v>
      </c>
      <c r="M2326" s="6" t="str">
        <f>IFERROR(__xludf.DUMMYFUNCTION("""COMPUTED_VALUE"""),"Irwan Sopian")</f>
        <v>Irwan Sopian</v>
      </c>
      <c r="N2326" s="6" t="str">
        <f>IFERROR(__xludf.DUMMYFUNCTION("""COMPUTED_VALUE"""),"FIP Engineering")</f>
        <v>FIP Engineering</v>
      </c>
      <c r="O2326" s="6" t="str">
        <f>IFERROR(__xludf.DUMMYFUNCTION("""COMPUTED_VALUE"""),"FIP-DOM-000-11304-OS00001-INA-000000")</f>
        <v>FIP-DOM-000-11304-OS00001-INA-000000</v>
      </c>
      <c r="P2326" s="6" t="str">
        <f>IFERROR(__xludf.DUMMYFUNCTION("""COMPUTED_VALUE"""),"PO Closed")</f>
        <v>PO Closed</v>
      </c>
      <c r="Q2326" s="6" t="str">
        <f>IFERROR(__xludf.DUMMYFUNCTION("""COMPUTED_VALUE"""),"GL2303059")</f>
        <v>GL2303059</v>
      </c>
      <c r="R2326" s="57">
        <f>IFERROR(__xludf.DUMMYFUNCTION("""COMPUTED_VALUE"""),44991.0)</f>
        <v>44991</v>
      </c>
      <c r="S2326" s="57">
        <f>IFERROR(__xludf.DUMMYFUNCTION("""COMPUTED_VALUE"""),44994.0)</f>
        <v>44994</v>
      </c>
      <c r="T2326" s="57">
        <f>IFERROR(__xludf.DUMMYFUNCTION("""COMPUTED_VALUE"""),45027.0)</f>
        <v>45027</v>
      </c>
    </row>
    <row r="2327">
      <c r="A2327" s="6" t="str">
        <f>IFERROR(__xludf.DUMMYFUNCTION("""COMPUTED_VALUE"""),"231750194-1")</f>
        <v>231750194-1</v>
      </c>
      <c r="B2327" s="6" t="str">
        <f>IFERROR(__xludf.DUMMYFUNCTION("""COMPUTED_VALUE"""),"231750194 - Approved")</f>
        <v>231750194 - Approved</v>
      </c>
      <c r="C2327" s="6">
        <f>IFERROR(__xludf.DUMMYFUNCTION("""COMPUTED_VALUE"""),1.0)</f>
        <v>1</v>
      </c>
      <c r="D2327" s="6" t="str">
        <f>IFERROR(__xludf.DUMMYFUNCTION("""COMPUTED_VALUE"""),"O-19039-00")</f>
        <v>O-19039-00</v>
      </c>
      <c r="E2327" s="6" t="str">
        <f>IFERROR(__xludf.DUMMYFUNCTION("""COMPUTED_VALUE"""),"Vent Filter Feed Water Tank; KA1V002PV3; KP 1 Emflon II Capsule 0.2 m; KLEENPAK; ; ;")</f>
        <v>Vent Filter Feed Water Tank; KA1V002PV3; KP 1 Emflon II Capsule 0.2 m; KLEENPAK; ; ;</v>
      </c>
      <c r="F2327" s="6">
        <f>IFERROR(__xludf.DUMMYFUNCTION("""COMPUTED_VALUE"""),2.0)</f>
        <v>2</v>
      </c>
      <c r="G2327" s="6" t="str">
        <f>IFERROR(__xludf.DUMMYFUNCTION("""COMPUTED_VALUE"""),"Pieces")</f>
        <v>Pieces</v>
      </c>
      <c r="H2327" s="6" t="str">
        <f>IFERROR(__xludf.DUMMYFUNCTION("""COMPUTED_VALUE"""),"IDR")</f>
        <v>IDR</v>
      </c>
      <c r="I2327" s="11">
        <f>IFERROR(__xludf.DUMMYFUNCTION("""COMPUTED_VALUE"""),4500000.0)</f>
        <v>4500000</v>
      </c>
      <c r="J2327" s="11">
        <f>IFERROR(__xludf.DUMMYFUNCTION("""COMPUTED_VALUE"""),9000000.0)</f>
        <v>9000000</v>
      </c>
      <c r="K2327" s="57">
        <f>IFERROR(__xludf.DUMMYFUNCTION("""COMPUTED_VALUE"""),45044.0)</f>
        <v>45044</v>
      </c>
      <c r="L2327" s="6" t="str">
        <f>IFERROR(__xludf.DUMMYFUNCTION("""COMPUTED_VALUE"""),"FIP Engineering")</f>
        <v>FIP Engineering</v>
      </c>
      <c r="M2327" s="6" t="str">
        <f>IFERROR(__xludf.DUMMYFUNCTION("""COMPUTED_VALUE"""),"Irwan Sopian")</f>
        <v>Irwan Sopian</v>
      </c>
      <c r="N2327" s="6" t="str">
        <f>IFERROR(__xludf.DUMMYFUNCTION("""COMPUTED_VALUE"""),"FIP Engineering")</f>
        <v>FIP Engineering</v>
      </c>
      <c r="O2327" s="6" t="str">
        <f>IFERROR(__xludf.DUMMYFUNCTION("""COMPUTED_VALUE"""),"FIP-DOM-000-11304-OS00001-INA-000000")</f>
        <v>FIP-DOM-000-11304-OS00001-INA-000000</v>
      </c>
      <c r="P2327" s="6" t="str">
        <f>IFERROR(__xludf.DUMMYFUNCTION("""COMPUTED_VALUE"""),"PO Closed")</f>
        <v>PO Closed</v>
      </c>
      <c r="Q2327" s="6" t="str">
        <f>IFERROR(__xludf.DUMMYFUNCTION("""COMPUTED_VALUE"""),"GL2303058")</f>
        <v>GL2303058</v>
      </c>
      <c r="R2327" s="57">
        <f>IFERROR(__xludf.DUMMYFUNCTION("""COMPUTED_VALUE"""),44994.0)</f>
        <v>44994</v>
      </c>
      <c r="S2327" s="57">
        <f>IFERROR(__xludf.DUMMYFUNCTION("""COMPUTED_VALUE"""),44994.0)</f>
        <v>44994</v>
      </c>
      <c r="T2327" s="57">
        <f>IFERROR(__xludf.DUMMYFUNCTION("""COMPUTED_VALUE"""),45093.0)</f>
        <v>45093</v>
      </c>
    </row>
    <row r="2328">
      <c r="A2328" s="6" t="str">
        <f>IFERROR(__xludf.DUMMYFUNCTION("""COMPUTED_VALUE"""),"231750201-1")</f>
        <v>231750201-1</v>
      </c>
      <c r="B2328" s="6" t="str">
        <f>IFERROR(__xludf.DUMMYFUNCTION("""COMPUTED_VALUE"""),"231750201 - Approved")</f>
        <v>231750201 - Approved</v>
      </c>
      <c r="C2328" s="6">
        <f>IFERROR(__xludf.DUMMYFUNCTION("""COMPUTED_VALUE"""),1.0)</f>
        <v>1</v>
      </c>
      <c r="D2328" s="6" t="str">
        <f>IFERROR(__xludf.DUMMYFUNCTION("""COMPUTED_VALUE"""),"Q-10249-00")</f>
        <v>Q-10249-00</v>
      </c>
      <c r="E2328" s="6" t="str">
        <f>IFERROR(__xludf.DUMMYFUNCTION("""COMPUTED_VALUE"""),"Lem Power Glue; ; ;")</f>
        <v>Lem Power Glue; ; ;</v>
      </c>
      <c r="F2328" s="6">
        <f>IFERROR(__xludf.DUMMYFUNCTION("""COMPUTED_VALUE"""),10.0)</f>
        <v>10</v>
      </c>
      <c r="G2328" s="6" t="str">
        <f>IFERROR(__xludf.DUMMYFUNCTION("""COMPUTED_VALUE"""),"Pieces")</f>
        <v>Pieces</v>
      </c>
      <c r="H2328" s="6" t="str">
        <f>IFERROR(__xludf.DUMMYFUNCTION("""COMPUTED_VALUE"""),"IDR")</f>
        <v>IDR</v>
      </c>
      <c r="I2328" s="11">
        <f>IFERROR(__xludf.DUMMYFUNCTION("""COMPUTED_VALUE"""),4050.0)</f>
        <v>4050</v>
      </c>
      <c r="J2328" s="11">
        <f>IFERROR(__xludf.DUMMYFUNCTION("""COMPUTED_VALUE"""),40500.0)</f>
        <v>40500</v>
      </c>
      <c r="K2328" s="57">
        <f>IFERROR(__xludf.DUMMYFUNCTION("""COMPUTED_VALUE"""),45034.0)</f>
        <v>45034</v>
      </c>
      <c r="L2328" s="6" t="str">
        <f>IFERROR(__xludf.DUMMYFUNCTION("""COMPUTED_VALUE"""),"FIP Engineering")</f>
        <v>FIP Engineering</v>
      </c>
      <c r="M2328" s="6" t="str">
        <f>IFERROR(__xludf.DUMMYFUNCTION("""COMPUTED_VALUE"""),"Irwan Sopian")</f>
        <v>Irwan Sopian</v>
      </c>
      <c r="N2328" s="6" t="str">
        <f>IFERROR(__xludf.DUMMYFUNCTION("""COMPUTED_VALUE"""),"FIP Engineering")</f>
        <v>FIP Engineering</v>
      </c>
      <c r="O2328" s="6" t="str">
        <f>IFERROR(__xludf.DUMMYFUNCTION("""COMPUTED_VALUE"""),"FIP-DOM-000-11304-OS00001-INA-000000")</f>
        <v>FIP-DOM-000-11304-OS00001-INA-000000</v>
      </c>
      <c r="P2328" s="6" t="str">
        <f>IFERROR(__xludf.DUMMYFUNCTION("""COMPUTED_VALUE"""),"PO Closed")</f>
        <v>PO Closed</v>
      </c>
      <c r="Q2328" s="6" t="str">
        <f>IFERROR(__xludf.DUMMYFUNCTION("""COMPUTED_VALUE"""),"GL2303059")</f>
        <v>GL2303059</v>
      </c>
      <c r="R2328" s="57">
        <f>IFERROR(__xludf.DUMMYFUNCTION("""COMPUTED_VALUE"""),44998.0)</f>
        <v>44998</v>
      </c>
      <c r="S2328" s="57">
        <f>IFERROR(__xludf.DUMMYFUNCTION("""COMPUTED_VALUE"""),44998.0)</f>
        <v>44998</v>
      </c>
      <c r="T2328" s="57">
        <f>IFERROR(__xludf.DUMMYFUNCTION("""COMPUTED_VALUE"""),45027.0)</f>
        <v>45027</v>
      </c>
    </row>
    <row r="2329">
      <c r="A2329" s="6" t="str">
        <f>IFERROR(__xludf.DUMMYFUNCTION("""COMPUTED_VALUE"""),"231750201-2")</f>
        <v>231750201-2</v>
      </c>
      <c r="B2329" s="6" t="str">
        <f>IFERROR(__xludf.DUMMYFUNCTION("""COMPUTED_VALUE"""),"231750201 - Approved")</f>
        <v>231750201 - Approved</v>
      </c>
      <c r="C2329" s="6">
        <f>IFERROR(__xludf.DUMMYFUNCTION("""COMPUTED_VALUE"""),2.0)</f>
        <v>2</v>
      </c>
      <c r="D2329" s="6" t="str">
        <f>IFERROR(__xludf.DUMMYFUNCTION("""COMPUTED_VALUE"""),"P-50491-00")</f>
        <v>P-50491-00</v>
      </c>
      <c r="E2329" s="6" t="str">
        <f>IFERROR(__xludf.DUMMYFUNCTION("""COMPUTED_VALUE"""),"Relay / MY2N / 24 VDC OMRON")</f>
        <v>Relay / MY2N / 24 VDC OMRON</v>
      </c>
      <c r="F2329" s="6">
        <f>IFERROR(__xludf.DUMMYFUNCTION("""COMPUTED_VALUE"""),10.0)</f>
        <v>10</v>
      </c>
      <c r="G2329" s="6" t="str">
        <f>IFERROR(__xludf.DUMMYFUNCTION("""COMPUTED_VALUE"""),"Pieces")</f>
        <v>Pieces</v>
      </c>
      <c r="H2329" s="6" t="str">
        <f>IFERROR(__xludf.DUMMYFUNCTION("""COMPUTED_VALUE"""),"IDR")</f>
        <v>IDR</v>
      </c>
      <c r="I2329" s="11">
        <f>IFERROR(__xludf.DUMMYFUNCTION("""COMPUTED_VALUE"""),26000.0)</f>
        <v>26000</v>
      </c>
      <c r="J2329" s="11">
        <f>IFERROR(__xludf.DUMMYFUNCTION("""COMPUTED_VALUE"""),260000.0)</f>
        <v>260000</v>
      </c>
      <c r="K2329" s="57">
        <f>IFERROR(__xludf.DUMMYFUNCTION("""COMPUTED_VALUE"""),45034.0)</f>
        <v>45034</v>
      </c>
      <c r="L2329" s="6" t="str">
        <f>IFERROR(__xludf.DUMMYFUNCTION("""COMPUTED_VALUE"""),"FIP Engineering")</f>
        <v>FIP Engineering</v>
      </c>
      <c r="M2329" s="6" t="str">
        <f>IFERROR(__xludf.DUMMYFUNCTION("""COMPUTED_VALUE"""),"Irwan Sopian")</f>
        <v>Irwan Sopian</v>
      </c>
      <c r="N2329" s="6" t="str">
        <f>IFERROR(__xludf.DUMMYFUNCTION("""COMPUTED_VALUE"""),"FIP Engineering")</f>
        <v>FIP Engineering</v>
      </c>
      <c r="O2329" s="6" t="str">
        <f>IFERROR(__xludf.DUMMYFUNCTION("""COMPUTED_VALUE"""),"FIP-DOM-000-11304-OS00001-INA-000000")</f>
        <v>FIP-DOM-000-11304-OS00001-INA-000000</v>
      </c>
      <c r="P2329" s="6" t="str">
        <f>IFERROR(__xludf.DUMMYFUNCTION("""COMPUTED_VALUE"""),"PO Closed")</f>
        <v>PO Closed</v>
      </c>
      <c r="Q2329" s="6" t="str">
        <f>IFERROR(__xludf.DUMMYFUNCTION("""COMPUTED_VALUE"""),"GL2303061")</f>
        <v>GL2303061</v>
      </c>
      <c r="R2329" s="57">
        <f>IFERROR(__xludf.DUMMYFUNCTION("""COMPUTED_VALUE"""),44998.0)</f>
        <v>44998</v>
      </c>
      <c r="S2329" s="57">
        <f>IFERROR(__xludf.DUMMYFUNCTION("""COMPUTED_VALUE"""),44998.0)</f>
        <v>44998</v>
      </c>
      <c r="T2329" s="57">
        <f>IFERROR(__xludf.DUMMYFUNCTION("""COMPUTED_VALUE"""),45028.0)</f>
        <v>45028</v>
      </c>
    </row>
    <row r="2330">
      <c r="A2330" s="6" t="str">
        <f>IFERROR(__xludf.DUMMYFUNCTION("""COMPUTED_VALUE"""),"231750202-1")</f>
        <v>231750202-1</v>
      </c>
      <c r="B2330" s="6" t="str">
        <f>IFERROR(__xludf.DUMMYFUNCTION("""COMPUTED_VALUE"""),"231750202 - Approved")</f>
        <v>231750202 - Approved</v>
      </c>
      <c r="C2330" s="6">
        <f>IFERROR(__xludf.DUMMYFUNCTION("""COMPUTED_VALUE"""),1.0)</f>
        <v>1</v>
      </c>
      <c r="D2330" s="6" t="str">
        <f>IFERROR(__xludf.DUMMYFUNCTION("""COMPUTED_VALUE"""),"R-20001-00")</f>
        <v>R-20001-00</v>
      </c>
      <c r="E2330" s="6" t="str">
        <f>IFERROR(__xludf.DUMMYFUNCTION("""COMPUTED_VALUE"""),"Change Parts Machine - Screw Compressor MHS22H1290SSC Bare type MYCOM")</f>
        <v>Change Parts Machine - Screw Compressor MHS22H1290SSC Bare type MYCOM</v>
      </c>
      <c r="F2330" s="6">
        <f>IFERROR(__xludf.DUMMYFUNCTION("""COMPUTED_VALUE"""),1.0)</f>
        <v>1</v>
      </c>
      <c r="G2330" s="6" t="str">
        <f>IFERROR(__xludf.DUMMYFUNCTION("""COMPUTED_VALUE"""),"Unit")</f>
        <v>Unit</v>
      </c>
      <c r="H2330" s="6" t="str">
        <f>IFERROR(__xludf.DUMMYFUNCTION("""COMPUTED_VALUE"""),"IDR")</f>
        <v>IDR</v>
      </c>
      <c r="I2330" s="11">
        <f>IFERROR(__xludf.DUMMYFUNCTION("""COMPUTED_VALUE"""),4.43251602E8)</f>
        <v>443251602</v>
      </c>
      <c r="J2330" s="11">
        <f>IFERROR(__xludf.DUMMYFUNCTION("""COMPUTED_VALUE"""),4.43251602E8)</f>
        <v>443251602</v>
      </c>
      <c r="K2330" s="57">
        <f>IFERROR(__xludf.DUMMYFUNCTION("""COMPUTED_VALUE"""),45062.0)</f>
        <v>45062</v>
      </c>
      <c r="L2330" s="6" t="str">
        <f>IFERROR(__xludf.DUMMYFUNCTION("""COMPUTED_VALUE"""),"FIP General")</f>
        <v>FIP General</v>
      </c>
      <c r="M2330" s="6" t="str">
        <f>IFERROR(__xludf.DUMMYFUNCTION("""COMPUTED_VALUE"""),"Kristiawan Sakti Winarno")</f>
        <v>Kristiawan Sakti Winarno</v>
      </c>
      <c r="N2330" s="6" t="str">
        <f>IFERROR(__xludf.DUMMYFUNCTION("""COMPUTED_VALUE"""),"FIP Engineering")</f>
        <v>FIP Engineering</v>
      </c>
      <c r="O2330" s="6" t="str">
        <f>IFERROR(__xludf.DUMMYFUNCTION("""COMPUTED_VALUE"""),"FIP-DOM-ENG-13404-MCNB231-INA-000000")</f>
        <v>FIP-DOM-ENG-13404-MCNB231-INA-000000</v>
      </c>
      <c r="P2330" s="6" t="str">
        <f>IFERROR(__xludf.DUMMYFUNCTION("""COMPUTED_VALUE"""),"PO Closed")</f>
        <v>PO Closed</v>
      </c>
      <c r="Q2330" s="6" t="str">
        <f>IFERROR(__xludf.DUMMYFUNCTION("""COMPUTED_VALUE"""),"GL2305002")</f>
        <v>GL2305002</v>
      </c>
      <c r="R2330" s="57">
        <f>IFERROR(__xludf.DUMMYFUNCTION("""COMPUTED_VALUE"""),44998.0)</f>
        <v>44998</v>
      </c>
      <c r="S2330" s="57">
        <f>IFERROR(__xludf.DUMMYFUNCTION("""COMPUTED_VALUE"""),45009.0)</f>
        <v>45009</v>
      </c>
      <c r="T2330" s="57">
        <f>IFERROR(__xludf.DUMMYFUNCTION("""COMPUTED_VALUE"""),45097.0)</f>
        <v>45097</v>
      </c>
    </row>
    <row r="2331">
      <c r="A2331" s="6" t="str">
        <f>IFERROR(__xludf.DUMMYFUNCTION("""COMPUTED_VALUE"""),"231750205-1")</f>
        <v>231750205-1</v>
      </c>
      <c r="B2331" s="6" t="str">
        <f>IFERROR(__xludf.DUMMYFUNCTION("""COMPUTED_VALUE"""),"231750205 - Approved")</f>
        <v>231750205 - Approved</v>
      </c>
      <c r="C2331" s="6">
        <f>IFERROR(__xludf.DUMMYFUNCTION("""COMPUTED_VALUE"""),1.0)</f>
        <v>1</v>
      </c>
      <c r="D2331" s="6" t="str">
        <f>IFERROR(__xludf.DUMMYFUNCTION("""COMPUTED_VALUE"""),"P-12942-00")</f>
        <v>P-12942-00</v>
      </c>
      <c r="E2331" s="6" t="str">
        <f>IFERROR(__xludf.DUMMYFUNCTION("""COMPUTED_VALUE"""),"Water Mur PVC dia 1inch")</f>
        <v>Water Mur PVC dia 1inch</v>
      </c>
      <c r="F2331" s="6">
        <f>IFERROR(__xludf.DUMMYFUNCTION("""COMPUTED_VALUE"""),4.0)</f>
        <v>4</v>
      </c>
      <c r="G2331" s="6" t="str">
        <f>IFERROR(__xludf.DUMMYFUNCTION("""COMPUTED_VALUE"""),"Pieces")</f>
        <v>Pieces</v>
      </c>
      <c r="H2331" s="6" t="str">
        <f>IFERROR(__xludf.DUMMYFUNCTION("""COMPUTED_VALUE"""),"IDR")</f>
        <v>IDR</v>
      </c>
      <c r="I2331" s="11">
        <f>IFERROR(__xludf.DUMMYFUNCTION("""COMPUTED_VALUE"""),52200.0)</f>
        <v>52200</v>
      </c>
      <c r="J2331" s="11">
        <f>IFERROR(__xludf.DUMMYFUNCTION("""COMPUTED_VALUE"""),208800.0)</f>
        <v>208800</v>
      </c>
      <c r="K2331" s="57">
        <f>IFERROR(__xludf.DUMMYFUNCTION("""COMPUTED_VALUE"""),45034.0)</f>
        <v>45034</v>
      </c>
      <c r="L2331" s="6" t="str">
        <f>IFERROR(__xludf.DUMMYFUNCTION("""COMPUTED_VALUE"""),"FIP Engineering")</f>
        <v>FIP Engineering</v>
      </c>
      <c r="M2331" s="6" t="str">
        <f>IFERROR(__xludf.DUMMYFUNCTION("""COMPUTED_VALUE"""),"Irwan Sopian")</f>
        <v>Irwan Sopian</v>
      </c>
      <c r="N2331" s="6" t="str">
        <f>IFERROR(__xludf.DUMMYFUNCTION("""COMPUTED_VALUE"""),"FIP Engineering")</f>
        <v>FIP Engineering</v>
      </c>
      <c r="O2331" s="6" t="str">
        <f>IFERROR(__xludf.DUMMYFUNCTION("""COMPUTED_VALUE"""),"FIP-DOM-000-11304-OS00001-INA-000000")</f>
        <v>FIP-DOM-000-11304-OS00001-INA-000000</v>
      </c>
      <c r="P2331" s="6" t="str">
        <f>IFERROR(__xludf.DUMMYFUNCTION("""COMPUTED_VALUE"""),"PO Closed")</f>
        <v>PO Closed</v>
      </c>
      <c r="Q2331" s="6" t="str">
        <f>IFERROR(__xludf.DUMMYFUNCTION("""COMPUTED_VALUE"""),"GL2303050")</f>
        <v>GL2303050</v>
      </c>
      <c r="R2331" s="57">
        <f>IFERROR(__xludf.DUMMYFUNCTION("""COMPUTED_VALUE"""),44999.0)</f>
        <v>44999</v>
      </c>
      <c r="S2331" s="57">
        <f>IFERROR(__xludf.DUMMYFUNCTION("""COMPUTED_VALUE"""),45000.0)</f>
        <v>45000</v>
      </c>
      <c r="T2331" s="57">
        <f>IFERROR(__xludf.DUMMYFUNCTION("""COMPUTED_VALUE"""),45022.0)</f>
        <v>45022</v>
      </c>
    </row>
    <row r="2332">
      <c r="A2332" s="6" t="str">
        <f>IFERROR(__xludf.DUMMYFUNCTION("""COMPUTED_VALUE"""),"231750205-2")</f>
        <v>231750205-2</v>
      </c>
      <c r="B2332" s="6" t="str">
        <f>IFERROR(__xludf.DUMMYFUNCTION("""COMPUTED_VALUE"""),"231750205 - Approved")</f>
        <v>231750205 - Approved</v>
      </c>
      <c r="C2332" s="6">
        <f>IFERROR(__xludf.DUMMYFUNCTION("""COMPUTED_VALUE"""),2.0)</f>
        <v>2</v>
      </c>
      <c r="D2332" s="6" t="str">
        <f>IFERROR(__xludf.DUMMYFUNCTION("""COMPUTED_VALUE"""),"P-12803-00")</f>
        <v>P-12803-00</v>
      </c>
      <c r="E2332" s="6" t="str">
        <f>IFERROR(__xludf.DUMMYFUNCTION("""COMPUTED_VALUE"""),"Sock Drat dalam PVC AW dia 1 inch")</f>
        <v>Sock Drat dalam PVC AW dia 1 inch</v>
      </c>
      <c r="F2332" s="6">
        <f>IFERROR(__xludf.DUMMYFUNCTION("""COMPUTED_VALUE"""),2.0)</f>
        <v>2</v>
      </c>
      <c r="G2332" s="6" t="str">
        <f>IFERROR(__xludf.DUMMYFUNCTION("""COMPUTED_VALUE"""),"Pieces")</f>
        <v>Pieces</v>
      </c>
      <c r="H2332" s="6" t="str">
        <f>IFERROR(__xludf.DUMMYFUNCTION("""COMPUTED_VALUE"""),"IDR")</f>
        <v>IDR</v>
      </c>
      <c r="I2332" s="11">
        <f>IFERROR(__xludf.DUMMYFUNCTION("""COMPUTED_VALUE"""),5000.0)</f>
        <v>5000</v>
      </c>
      <c r="J2332" s="11">
        <f>IFERROR(__xludf.DUMMYFUNCTION("""COMPUTED_VALUE"""),10000.0)</f>
        <v>10000</v>
      </c>
      <c r="K2332" s="57">
        <f>IFERROR(__xludf.DUMMYFUNCTION("""COMPUTED_VALUE"""),45034.0)</f>
        <v>45034</v>
      </c>
      <c r="L2332" s="6" t="str">
        <f>IFERROR(__xludf.DUMMYFUNCTION("""COMPUTED_VALUE"""),"FIP Engineering")</f>
        <v>FIP Engineering</v>
      </c>
      <c r="M2332" s="6" t="str">
        <f>IFERROR(__xludf.DUMMYFUNCTION("""COMPUTED_VALUE"""),"Irwan Sopian")</f>
        <v>Irwan Sopian</v>
      </c>
      <c r="N2332" s="6" t="str">
        <f>IFERROR(__xludf.DUMMYFUNCTION("""COMPUTED_VALUE"""),"FIP Engineering")</f>
        <v>FIP Engineering</v>
      </c>
      <c r="O2332" s="6" t="str">
        <f>IFERROR(__xludf.DUMMYFUNCTION("""COMPUTED_VALUE"""),"FIP-DOM-000-11304-OS00001-INA-000000")</f>
        <v>FIP-DOM-000-11304-OS00001-INA-000000</v>
      </c>
      <c r="P2332" s="6" t="str">
        <f>IFERROR(__xludf.DUMMYFUNCTION("""COMPUTED_VALUE"""),"PO Closed")</f>
        <v>PO Closed</v>
      </c>
      <c r="Q2332" s="6" t="str">
        <f>IFERROR(__xludf.DUMMYFUNCTION("""COMPUTED_VALUE"""),"GL2303050")</f>
        <v>GL2303050</v>
      </c>
      <c r="R2332" s="57">
        <f>IFERROR(__xludf.DUMMYFUNCTION("""COMPUTED_VALUE"""),44999.0)</f>
        <v>44999</v>
      </c>
      <c r="S2332" s="57">
        <f>IFERROR(__xludf.DUMMYFUNCTION("""COMPUTED_VALUE"""),45000.0)</f>
        <v>45000</v>
      </c>
      <c r="T2332" s="57">
        <f>IFERROR(__xludf.DUMMYFUNCTION("""COMPUTED_VALUE"""),45022.0)</f>
        <v>45022</v>
      </c>
    </row>
    <row r="2333">
      <c r="A2333" s="6" t="str">
        <f>IFERROR(__xludf.DUMMYFUNCTION("""COMPUTED_VALUE"""),"231750205-3")</f>
        <v>231750205-3</v>
      </c>
      <c r="B2333" s="6" t="str">
        <f>IFERROR(__xludf.DUMMYFUNCTION("""COMPUTED_VALUE"""),"231750205 - Approved")</f>
        <v>231750205 - Approved</v>
      </c>
      <c r="C2333" s="6">
        <f>IFERROR(__xludf.DUMMYFUNCTION("""COMPUTED_VALUE"""),3.0)</f>
        <v>3</v>
      </c>
      <c r="D2333" s="6" t="str">
        <f>IFERROR(__xludf.DUMMYFUNCTION("""COMPUTED_VALUE"""),"P-12944-00")</f>
        <v>P-12944-00</v>
      </c>
      <c r="E2333" s="6" t="str">
        <f>IFERROR(__xludf.DUMMYFUNCTION("""COMPUTED_VALUE"""),"Water mur PVC dia 2inch")</f>
        <v>Water mur PVC dia 2inch</v>
      </c>
      <c r="F2333" s="6">
        <f>IFERROR(__xludf.DUMMYFUNCTION("""COMPUTED_VALUE"""),10.0)</f>
        <v>10</v>
      </c>
      <c r="G2333" s="6" t="str">
        <f>IFERROR(__xludf.DUMMYFUNCTION("""COMPUTED_VALUE"""),"Pieces")</f>
        <v>Pieces</v>
      </c>
      <c r="H2333" s="6" t="str">
        <f>IFERROR(__xludf.DUMMYFUNCTION("""COMPUTED_VALUE"""),"IDR")</f>
        <v>IDR</v>
      </c>
      <c r="I2333" s="11">
        <f>IFERROR(__xludf.DUMMYFUNCTION("""COMPUTED_VALUE"""),58000.0)</f>
        <v>58000</v>
      </c>
      <c r="J2333" s="11">
        <f>IFERROR(__xludf.DUMMYFUNCTION("""COMPUTED_VALUE"""),580000.0)</f>
        <v>580000</v>
      </c>
      <c r="K2333" s="57">
        <f>IFERROR(__xludf.DUMMYFUNCTION("""COMPUTED_VALUE"""),45027.0)</f>
        <v>45027</v>
      </c>
      <c r="L2333" s="6" t="str">
        <f>IFERROR(__xludf.DUMMYFUNCTION("""COMPUTED_VALUE"""),"FIP Engineering")</f>
        <v>FIP Engineering</v>
      </c>
      <c r="M2333" s="6" t="str">
        <f>IFERROR(__xludf.DUMMYFUNCTION("""COMPUTED_VALUE"""),"Irwan Sopian")</f>
        <v>Irwan Sopian</v>
      </c>
      <c r="N2333" s="6" t="str">
        <f>IFERROR(__xludf.DUMMYFUNCTION("""COMPUTED_VALUE"""),"FIP Engineering")</f>
        <v>FIP Engineering</v>
      </c>
      <c r="O2333" s="6" t="str">
        <f>IFERROR(__xludf.DUMMYFUNCTION("""COMPUTED_VALUE"""),"FIP-DOM-000-11304-OS00001-INA-000000")</f>
        <v>FIP-DOM-000-11304-OS00001-INA-000000</v>
      </c>
      <c r="P2333" s="6" t="str">
        <f>IFERROR(__xludf.DUMMYFUNCTION("""COMPUTED_VALUE"""),"PO Closed")</f>
        <v>PO Closed</v>
      </c>
      <c r="Q2333" s="6" t="str">
        <f>IFERROR(__xludf.DUMMYFUNCTION("""COMPUTED_VALUE"""),"GL2303050")</f>
        <v>GL2303050</v>
      </c>
      <c r="R2333" s="57">
        <f>IFERROR(__xludf.DUMMYFUNCTION("""COMPUTED_VALUE"""),44999.0)</f>
        <v>44999</v>
      </c>
      <c r="S2333" s="57">
        <f>IFERROR(__xludf.DUMMYFUNCTION("""COMPUTED_VALUE"""),45000.0)</f>
        <v>45000</v>
      </c>
      <c r="T2333" s="57">
        <f>IFERROR(__xludf.DUMMYFUNCTION("""COMPUTED_VALUE"""),45022.0)</f>
        <v>45022</v>
      </c>
    </row>
    <row r="2334">
      <c r="A2334" s="6" t="str">
        <f>IFERROR(__xludf.DUMMYFUNCTION("""COMPUTED_VALUE"""),"231750205-4")</f>
        <v>231750205-4</v>
      </c>
      <c r="B2334" s="6" t="str">
        <f>IFERROR(__xludf.DUMMYFUNCTION("""COMPUTED_VALUE"""),"231750205 - Approved")</f>
        <v>231750205 - Approved</v>
      </c>
      <c r="C2334" s="6">
        <f>IFERROR(__xludf.DUMMYFUNCTION("""COMPUTED_VALUE"""),4.0)</f>
        <v>4</v>
      </c>
      <c r="D2334" s="6" t="str">
        <f>IFERROR(__xludf.DUMMYFUNCTION("""COMPUTED_VALUE"""),"P-10892-00")</f>
        <v>P-10892-00</v>
      </c>
      <c r="E2334" s="6" t="str">
        <f>IFERROR(__xludf.DUMMYFUNCTION("""COMPUTED_VALUE"""),"Fitting PVC - SDL PVC 1""")</f>
        <v>Fitting PVC - SDL PVC 1"</v>
      </c>
      <c r="F2334" s="6">
        <f>IFERROR(__xludf.DUMMYFUNCTION("""COMPUTED_VALUE"""),3.0)</f>
        <v>3</v>
      </c>
      <c r="G2334" s="6" t="str">
        <f>IFERROR(__xludf.DUMMYFUNCTION("""COMPUTED_VALUE"""),"Pieces")</f>
        <v>Pieces</v>
      </c>
      <c r="H2334" s="6" t="str">
        <f>IFERROR(__xludf.DUMMYFUNCTION("""COMPUTED_VALUE"""),"IDR")</f>
        <v>IDR</v>
      </c>
      <c r="I2334" s="11">
        <f>IFERROR(__xludf.DUMMYFUNCTION("""COMPUTED_VALUE"""),3000.0)</f>
        <v>3000</v>
      </c>
      <c r="J2334" s="11">
        <f>IFERROR(__xludf.DUMMYFUNCTION("""COMPUTED_VALUE"""),9000.0)</f>
        <v>9000</v>
      </c>
      <c r="K2334" s="57">
        <f>IFERROR(__xludf.DUMMYFUNCTION("""COMPUTED_VALUE"""),45034.0)</f>
        <v>45034</v>
      </c>
      <c r="L2334" s="6" t="str">
        <f>IFERROR(__xludf.DUMMYFUNCTION("""COMPUTED_VALUE"""),"FIP Engineering")</f>
        <v>FIP Engineering</v>
      </c>
      <c r="M2334" s="6" t="str">
        <f>IFERROR(__xludf.DUMMYFUNCTION("""COMPUTED_VALUE"""),"Irwan Sopian")</f>
        <v>Irwan Sopian</v>
      </c>
      <c r="N2334" s="6" t="str">
        <f>IFERROR(__xludf.DUMMYFUNCTION("""COMPUTED_VALUE"""),"FIP Engineering")</f>
        <v>FIP Engineering</v>
      </c>
      <c r="O2334" s="6" t="str">
        <f>IFERROR(__xludf.DUMMYFUNCTION("""COMPUTED_VALUE"""),"FIP-DOM-000-11304-OS00001-INA-000000")</f>
        <v>FIP-DOM-000-11304-OS00001-INA-000000</v>
      </c>
      <c r="P2334" s="6" t="str">
        <f>IFERROR(__xludf.DUMMYFUNCTION("""COMPUTED_VALUE"""),"PO Closed")</f>
        <v>PO Closed</v>
      </c>
      <c r="Q2334" s="6" t="str">
        <f>IFERROR(__xludf.DUMMYFUNCTION("""COMPUTED_VALUE"""),"GL2303050")</f>
        <v>GL2303050</v>
      </c>
      <c r="R2334" s="57">
        <f>IFERROR(__xludf.DUMMYFUNCTION("""COMPUTED_VALUE"""),44999.0)</f>
        <v>44999</v>
      </c>
      <c r="S2334" s="57">
        <f>IFERROR(__xludf.DUMMYFUNCTION("""COMPUTED_VALUE"""),45000.0)</f>
        <v>45000</v>
      </c>
      <c r="T2334" s="57">
        <f>IFERROR(__xludf.DUMMYFUNCTION("""COMPUTED_VALUE"""),45022.0)</f>
        <v>45022</v>
      </c>
    </row>
    <row r="2335">
      <c r="A2335" s="6" t="str">
        <f>IFERROR(__xludf.DUMMYFUNCTION("""COMPUTED_VALUE"""),"231750205-5")</f>
        <v>231750205-5</v>
      </c>
      <c r="B2335" s="6" t="str">
        <f>IFERROR(__xludf.DUMMYFUNCTION("""COMPUTED_VALUE"""),"231750205 - Approved")</f>
        <v>231750205 - Approved</v>
      </c>
      <c r="C2335" s="6">
        <f>IFERROR(__xludf.DUMMYFUNCTION("""COMPUTED_VALUE"""),5.0)</f>
        <v>5</v>
      </c>
      <c r="D2335" s="6" t="str">
        <f>IFERROR(__xludf.DUMMYFUNCTION("""COMPUTED_VALUE"""),"P-12749-00")</f>
        <v>P-12749-00</v>
      </c>
      <c r="E2335" s="6" t="str">
        <f>IFERROR(__xludf.DUMMYFUNCTION("""COMPUTED_VALUE"""),"RUCIKA - Pipa PVC AW dia 1inch")</f>
        <v>RUCIKA - Pipa PVC AW dia 1inch</v>
      </c>
      <c r="F2335" s="6">
        <f>IFERROR(__xludf.DUMMYFUNCTION("""COMPUTED_VALUE"""),6.0)</f>
        <v>6</v>
      </c>
      <c r="G2335" s="6" t="str">
        <f>IFERROR(__xludf.DUMMYFUNCTION("""COMPUTED_VALUE"""),"Pieces")</f>
        <v>Pieces</v>
      </c>
      <c r="H2335" s="6" t="str">
        <f>IFERROR(__xludf.DUMMYFUNCTION("""COMPUTED_VALUE"""),"IDR")</f>
        <v>IDR</v>
      </c>
      <c r="I2335" s="11">
        <f>IFERROR(__xludf.DUMMYFUNCTION("""COMPUTED_VALUE"""),75500.0)</f>
        <v>75500</v>
      </c>
      <c r="J2335" s="11">
        <f>IFERROR(__xludf.DUMMYFUNCTION("""COMPUTED_VALUE"""),453000.0)</f>
        <v>453000</v>
      </c>
      <c r="K2335" s="57">
        <f>IFERROR(__xludf.DUMMYFUNCTION("""COMPUTED_VALUE"""),45034.0)</f>
        <v>45034</v>
      </c>
      <c r="L2335" s="6" t="str">
        <f>IFERROR(__xludf.DUMMYFUNCTION("""COMPUTED_VALUE"""),"FIP Engineering")</f>
        <v>FIP Engineering</v>
      </c>
      <c r="M2335" s="6" t="str">
        <f>IFERROR(__xludf.DUMMYFUNCTION("""COMPUTED_VALUE"""),"Irwan Sopian")</f>
        <v>Irwan Sopian</v>
      </c>
      <c r="N2335" s="6" t="str">
        <f>IFERROR(__xludf.DUMMYFUNCTION("""COMPUTED_VALUE"""),"FIP Engineering")</f>
        <v>FIP Engineering</v>
      </c>
      <c r="O2335" s="6" t="str">
        <f>IFERROR(__xludf.DUMMYFUNCTION("""COMPUTED_VALUE"""),"FIP-DOM-000-11304-OS00001-INA-000000")</f>
        <v>FIP-DOM-000-11304-OS00001-INA-000000</v>
      </c>
      <c r="P2335" s="6" t="str">
        <f>IFERROR(__xludf.DUMMYFUNCTION("""COMPUTED_VALUE"""),"PO Closed")</f>
        <v>PO Closed</v>
      </c>
      <c r="Q2335" s="6" t="str">
        <f>IFERROR(__xludf.DUMMYFUNCTION("""COMPUTED_VALUE"""),"GL2303050")</f>
        <v>GL2303050</v>
      </c>
      <c r="R2335" s="57">
        <f>IFERROR(__xludf.DUMMYFUNCTION("""COMPUTED_VALUE"""),44999.0)</f>
        <v>44999</v>
      </c>
      <c r="S2335" s="57">
        <f>IFERROR(__xludf.DUMMYFUNCTION("""COMPUTED_VALUE"""),45000.0)</f>
        <v>45000</v>
      </c>
      <c r="T2335" s="57">
        <f>IFERROR(__xludf.DUMMYFUNCTION("""COMPUTED_VALUE"""),45022.0)</f>
        <v>45022</v>
      </c>
    </row>
    <row r="2336">
      <c r="A2336" s="6" t="str">
        <f>IFERROR(__xludf.DUMMYFUNCTION("""COMPUTED_VALUE"""),"231750205-6")</f>
        <v>231750205-6</v>
      </c>
      <c r="B2336" s="6" t="str">
        <f>IFERROR(__xludf.DUMMYFUNCTION("""COMPUTED_VALUE"""),"231750205 - Approved")</f>
        <v>231750205 - Approved</v>
      </c>
      <c r="C2336" s="6">
        <f>IFERROR(__xludf.DUMMYFUNCTION("""COMPUTED_VALUE"""),6.0)</f>
        <v>6</v>
      </c>
      <c r="D2336" s="6" t="str">
        <f>IFERROR(__xludf.DUMMYFUNCTION("""COMPUTED_VALUE"""),"P-12470-00")</f>
        <v>P-12470-00</v>
      </c>
      <c r="E2336" s="6" t="str">
        <f>IFERROR(__xludf.DUMMYFUNCTION("""COMPUTED_VALUE"""),"Lem PVC Isarplas 300 gr/kaleng")</f>
        <v>Lem PVC Isarplas 300 gr/kaleng</v>
      </c>
      <c r="F2336" s="6">
        <f>IFERROR(__xludf.DUMMYFUNCTION("""COMPUTED_VALUE"""),3.0)</f>
        <v>3</v>
      </c>
      <c r="G2336" s="6" t="str">
        <f>IFERROR(__xludf.DUMMYFUNCTION("""COMPUTED_VALUE"""),"Pieces")</f>
        <v>Pieces</v>
      </c>
      <c r="H2336" s="6" t="str">
        <f>IFERROR(__xludf.DUMMYFUNCTION("""COMPUTED_VALUE"""),"IDR")</f>
        <v>IDR</v>
      </c>
      <c r="I2336" s="11">
        <f>IFERROR(__xludf.DUMMYFUNCTION("""COMPUTED_VALUE"""),57500.0)</f>
        <v>57500</v>
      </c>
      <c r="J2336" s="11">
        <f>IFERROR(__xludf.DUMMYFUNCTION("""COMPUTED_VALUE"""),172500.0)</f>
        <v>172500</v>
      </c>
      <c r="K2336" s="57">
        <f>IFERROR(__xludf.DUMMYFUNCTION("""COMPUTED_VALUE"""),45034.0)</f>
        <v>45034</v>
      </c>
      <c r="L2336" s="6" t="str">
        <f>IFERROR(__xludf.DUMMYFUNCTION("""COMPUTED_VALUE"""),"FIP Engineering")</f>
        <v>FIP Engineering</v>
      </c>
      <c r="M2336" s="6" t="str">
        <f>IFERROR(__xludf.DUMMYFUNCTION("""COMPUTED_VALUE"""),"Irwan Sopian")</f>
        <v>Irwan Sopian</v>
      </c>
      <c r="N2336" s="6" t="str">
        <f>IFERROR(__xludf.DUMMYFUNCTION("""COMPUTED_VALUE"""),"FIP Engineering")</f>
        <v>FIP Engineering</v>
      </c>
      <c r="O2336" s="6" t="str">
        <f>IFERROR(__xludf.DUMMYFUNCTION("""COMPUTED_VALUE"""),"FIP-DOM-000-11304-OS00001-INA-000000")</f>
        <v>FIP-DOM-000-11304-OS00001-INA-000000</v>
      </c>
      <c r="P2336" s="6" t="str">
        <f>IFERROR(__xludf.DUMMYFUNCTION("""COMPUTED_VALUE"""),"PO Closed")</f>
        <v>PO Closed</v>
      </c>
      <c r="Q2336" s="6" t="str">
        <f>IFERROR(__xludf.DUMMYFUNCTION("""COMPUTED_VALUE"""),"GL2303050")</f>
        <v>GL2303050</v>
      </c>
      <c r="R2336" s="57">
        <f>IFERROR(__xludf.DUMMYFUNCTION("""COMPUTED_VALUE"""),44999.0)</f>
        <v>44999</v>
      </c>
      <c r="S2336" s="57">
        <f>IFERROR(__xludf.DUMMYFUNCTION("""COMPUTED_VALUE"""),45000.0)</f>
        <v>45000</v>
      </c>
      <c r="T2336" s="57">
        <f>IFERROR(__xludf.DUMMYFUNCTION("""COMPUTED_VALUE"""),45022.0)</f>
        <v>45022</v>
      </c>
    </row>
    <row r="2337">
      <c r="A2337" s="6" t="str">
        <f>IFERROR(__xludf.DUMMYFUNCTION("""COMPUTED_VALUE"""),"231750205-7")</f>
        <v>231750205-7</v>
      </c>
      <c r="B2337" s="6" t="str">
        <f>IFERROR(__xludf.DUMMYFUNCTION("""COMPUTED_VALUE"""),"231750205 - Approved")</f>
        <v>231750205 - Approved</v>
      </c>
      <c r="C2337" s="6">
        <f>IFERROR(__xludf.DUMMYFUNCTION("""COMPUTED_VALUE"""),7.0)</f>
        <v>7</v>
      </c>
      <c r="D2337" s="6" t="str">
        <f>IFERROR(__xludf.DUMMYFUNCTION("""COMPUTED_VALUE"""),"P-13259-00")</f>
        <v>P-13259-00</v>
      </c>
      <c r="E2337" s="6" t="str">
        <f>IFERROR(__xludf.DUMMYFUNCTION("""COMPUTED_VALUE"""),"Sock Drat dalam SS 304 dia 1 inch")</f>
        <v>Sock Drat dalam SS 304 dia 1 inch</v>
      </c>
      <c r="F2337" s="6">
        <f>IFERROR(__xludf.DUMMYFUNCTION("""COMPUTED_VALUE"""),2.0)</f>
        <v>2</v>
      </c>
      <c r="G2337" s="6" t="str">
        <f>IFERROR(__xludf.DUMMYFUNCTION("""COMPUTED_VALUE"""),"Pieces")</f>
        <v>Pieces</v>
      </c>
      <c r="H2337" s="6" t="str">
        <f>IFERROR(__xludf.DUMMYFUNCTION("""COMPUTED_VALUE"""),"IDR")</f>
        <v>IDR</v>
      </c>
      <c r="I2337" s="11">
        <f>IFERROR(__xludf.DUMMYFUNCTION("""COMPUTED_VALUE"""),55000.0)</f>
        <v>55000</v>
      </c>
      <c r="J2337" s="11">
        <f>IFERROR(__xludf.DUMMYFUNCTION("""COMPUTED_VALUE"""),110000.0)</f>
        <v>110000</v>
      </c>
      <c r="K2337" s="57">
        <f>IFERROR(__xludf.DUMMYFUNCTION("""COMPUTED_VALUE"""),45034.0)</f>
        <v>45034</v>
      </c>
      <c r="L2337" s="6" t="str">
        <f>IFERROR(__xludf.DUMMYFUNCTION("""COMPUTED_VALUE"""),"FIP Engineering")</f>
        <v>FIP Engineering</v>
      </c>
      <c r="M2337" s="6" t="str">
        <f>IFERROR(__xludf.DUMMYFUNCTION("""COMPUTED_VALUE"""),"Irwan Sopian")</f>
        <v>Irwan Sopian</v>
      </c>
      <c r="N2337" s="6" t="str">
        <f>IFERROR(__xludf.DUMMYFUNCTION("""COMPUTED_VALUE"""),"FIP Engineering")</f>
        <v>FIP Engineering</v>
      </c>
      <c r="O2337" s="6" t="str">
        <f>IFERROR(__xludf.DUMMYFUNCTION("""COMPUTED_VALUE"""),"FIP-DOM-000-11304-OS00001-INA-000000")</f>
        <v>FIP-DOM-000-11304-OS00001-INA-000000</v>
      </c>
      <c r="P2337" s="6" t="str">
        <f>IFERROR(__xludf.DUMMYFUNCTION("""COMPUTED_VALUE"""),"PO Closed")</f>
        <v>PO Closed</v>
      </c>
      <c r="Q2337" s="6" t="str">
        <f>IFERROR(__xludf.DUMMYFUNCTION("""COMPUTED_VALUE"""),"GL2303050")</f>
        <v>GL2303050</v>
      </c>
      <c r="R2337" s="57">
        <f>IFERROR(__xludf.DUMMYFUNCTION("""COMPUTED_VALUE"""),44999.0)</f>
        <v>44999</v>
      </c>
      <c r="S2337" s="57">
        <f>IFERROR(__xludf.DUMMYFUNCTION("""COMPUTED_VALUE"""),45000.0)</f>
        <v>45000</v>
      </c>
      <c r="T2337" s="57">
        <f>IFERROR(__xludf.DUMMYFUNCTION("""COMPUTED_VALUE"""),45022.0)</f>
        <v>45022</v>
      </c>
    </row>
    <row r="2338">
      <c r="A2338" s="6" t="str">
        <f>IFERROR(__xludf.DUMMYFUNCTION("""COMPUTED_VALUE"""),"231750207-1")</f>
        <v>231750207-1</v>
      </c>
      <c r="B2338" s="6" t="str">
        <f>IFERROR(__xludf.DUMMYFUNCTION("""COMPUTED_VALUE"""),"231750207 - Approved")</f>
        <v>231750207 - Approved</v>
      </c>
      <c r="C2338" s="6">
        <f>IFERROR(__xludf.DUMMYFUNCTION("""COMPUTED_VALUE"""),1.0)</f>
        <v>1</v>
      </c>
      <c r="D2338" s="6" t="str">
        <f>IFERROR(__xludf.DUMMYFUNCTION("""COMPUTED_VALUE"""),"P-10945-00")</f>
        <v>P-10945-00</v>
      </c>
      <c r="E2338" s="6" t="str">
        <f>IFERROR(__xludf.DUMMYFUNCTION("""COMPUTED_VALUE"""),"Insulation - Seal Tape onda")</f>
        <v>Insulation - Seal Tape onda</v>
      </c>
      <c r="F2338" s="6">
        <f>IFERROR(__xludf.DUMMYFUNCTION("""COMPUTED_VALUE"""),10.0)</f>
        <v>10</v>
      </c>
      <c r="G2338" s="6" t="str">
        <f>IFERROR(__xludf.DUMMYFUNCTION("""COMPUTED_VALUE"""),"Pieces")</f>
        <v>Pieces</v>
      </c>
      <c r="H2338" s="6" t="str">
        <f>IFERROR(__xludf.DUMMYFUNCTION("""COMPUTED_VALUE"""),"IDR")</f>
        <v>IDR</v>
      </c>
      <c r="I2338" s="11">
        <f>IFERROR(__xludf.DUMMYFUNCTION("""COMPUTED_VALUE"""),5000.0)</f>
        <v>5000</v>
      </c>
      <c r="J2338" s="11">
        <f>IFERROR(__xludf.DUMMYFUNCTION("""COMPUTED_VALUE"""),50000.0)</f>
        <v>50000</v>
      </c>
      <c r="K2338" s="57">
        <f>IFERROR(__xludf.DUMMYFUNCTION("""COMPUTED_VALUE"""),45034.0)</f>
        <v>45034</v>
      </c>
      <c r="L2338" s="6" t="str">
        <f>IFERROR(__xludf.DUMMYFUNCTION("""COMPUTED_VALUE"""),"FIP General")</f>
        <v>FIP General</v>
      </c>
      <c r="M2338" s="6" t="str">
        <f>IFERROR(__xludf.DUMMYFUNCTION("""COMPUTED_VALUE"""),"Irwan Sopian")</f>
        <v>Irwan Sopian</v>
      </c>
      <c r="N2338" s="6" t="str">
        <f>IFERROR(__xludf.DUMMYFUNCTION("""COMPUTED_VALUE"""),"FIP Engineering")</f>
        <v>FIP Engineering</v>
      </c>
      <c r="O2338" s="6" t="str">
        <f>IFERROR(__xludf.DUMMYFUNCTION("""COMPUTED_VALUE"""),"FIP-DOM-ENG-51404-OS00001-INA-000000")</f>
        <v>FIP-DOM-ENG-51404-OS00001-INA-000000</v>
      </c>
      <c r="P2338" s="6" t="str">
        <f>IFERROR(__xludf.DUMMYFUNCTION("""COMPUTED_VALUE"""),"PO Closed")</f>
        <v>PO Closed</v>
      </c>
      <c r="Q2338" s="6" t="str">
        <f>IFERROR(__xludf.DUMMYFUNCTION("""COMPUTED_VALUE"""),"GL2303050")</f>
        <v>GL2303050</v>
      </c>
      <c r="R2338" s="57">
        <f>IFERROR(__xludf.DUMMYFUNCTION("""COMPUTED_VALUE"""),44999.0)</f>
        <v>44999</v>
      </c>
      <c r="S2338" s="57">
        <f>IFERROR(__xludf.DUMMYFUNCTION("""COMPUTED_VALUE"""),45000.0)</f>
        <v>45000</v>
      </c>
      <c r="T2338" s="57">
        <f>IFERROR(__xludf.DUMMYFUNCTION("""COMPUTED_VALUE"""),45022.0)</f>
        <v>45022</v>
      </c>
    </row>
    <row r="2339">
      <c r="A2339" s="6" t="str">
        <f>IFERROR(__xludf.DUMMYFUNCTION("""COMPUTED_VALUE"""),"231750207-2")</f>
        <v>231750207-2</v>
      </c>
      <c r="B2339" s="6" t="str">
        <f>IFERROR(__xludf.DUMMYFUNCTION("""COMPUTED_VALUE"""),"231750207 - Approved")</f>
        <v>231750207 - Approved</v>
      </c>
      <c r="C2339" s="6">
        <f>IFERROR(__xludf.DUMMYFUNCTION("""COMPUTED_VALUE"""),2.0)</f>
        <v>2</v>
      </c>
      <c r="D2339" s="6" t="str">
        <f>IFERROR(__xludf.DUMMYFUNCTION("""COMPUTED_VALUE"""),"P-10342-00")</f>
        <v>P-10342-00</v>
      </c>
      <c r="E2339" s="6" t="str">
        <f>IFERROR(__xludf.DUMMYFUNCTION("""COMPUTED_VALUE"""),"Alat potong - mata gergaji")</f>
        <v>Alat potong - mata gergaji</v>
      </c>
      <c r="F2339" s="6">
        <f>IFERROR(__xludf.DUMMYFUNCTION("""COMPUTED_VALUE"""),5.0)</f>
        <v>5</v>
      </c>
      <c r="G2339" s="6" t="str">
        <f>IFERROR(__xludf.DUMMYFUNCTION("""COMPUTED_VALUE"""),"Pieces")</f>
        <v>Pieces</v>
      </c>
      <c r="H2339" s="6" t="str">
        <f>IFERROR(__xludf.DUMMYFUNCTION("""COMPUTED_VALUE"""),"IDR")</f>
        <v>IDR</v>
      </c>
      <c r="I2339" s="11">
        <f>IFERROR(__xludf.DUMMYFUNCTION("""COMPUTED_VALUE"""),19500.0)</f>
        <v>19500</v>
      </c>
      <c r="J2339" s="11">
        <f>IFERROR(__xludf.DUMMYFUNCTION("""COMPUTED_VALUE"""),97500.0)</f>
        <v>97500</v>
      </c>
      <c r="K2339" s="57">
        <f>IFERROR(__xludf.DUMMYFUNCTION("""COMPUTED_VALUE"""),45034.0)</f>
        <v>45034</v>
      </c>
      <c r="L2339" s="6" t="str">
        <f>IFERROR(__xludf.DUMMYFUNCTION("""COMPUTED_VALUE"""),"FIP General")</f>
        <v>FIP General</v>
      </c>
      <c r="M2339" s="6" t="str">
        <f>IFERROR(__xludf.DUMMYFUNCTION("""COMPUTED_VALUE"""),"Irwan Sopian")</f>
        <v>Irwan Sopian</v>
      </c>
      <c r="N2339" s="6" t="str">
        <f>IFERROR(__xludf.DUMMYFUNCTION("""COMPUTED_VALUE"""),"FIP Engineering")</f>
        <v>FIP Engineering</v>
      </c>
      <c r="O2339" s="6" t="str">
        <f>IFERROR(__xludf.DUMMYFUNCTION("""COMPUTED_VALUE"""),"FIP-DOM-ENG-51404-OS00001-INA-000000")</f>
        <v>FIP-DOM-ENG-51404-OS00001-INA-000000</v>
      </c>
      <c r="P2339" s="6" t="str">
        <f>IFERROR(__xludf.DUMMYFUNCTION("""COMPUTED_VALUE"""),"PO Closed")</f>
        <v>PO Closed</v>
      </c>
      <c r="Q2339" s="6" t="str">
        <f>IFERROR(__xludf.DUMMYFUNCTION("""COMPUTED_VALUE"""),"GL2303050")</f>
        <v>GL2303050</v>
      </c>
      <c r="R2339" s="57">
        <f>IFERROR(__xludf.DUMMYFUNCTION("""COMPUTED_VALUE"""),44999.0)</f>
        <v>44999</v>
      </c>
      <c r="S2339" s="57">
        <f>IFERROR(__xludf.DUMMYFUNCTION("""COMPUTED_VALUE"""),45000.0)</f>
        <v>45000</v>
      </c>
      <c r="T2339" s="57">
        <f>IFERROR(__xludf.DUMMYFUNCTION("""COMPUTED_VALUE"""),45022.0)</f>
        <v>45022</v>
      </c>
    </row>
    <row r="2340">
      <c r="A2340" s="6" t="str">
        <f>IFERROR(__xludf.DUMMYFUNCTION("""COMPUTED_VALUE"""),"231750207-3")</f>
        <v>231750207-3</v>
      </c>
      <c r="B2340" s="6" t="str">
        <f>IFERROR(__xludf.DUMMYFUNCTION("""COMPUTED_VALUE"""),"231750207 - Approved")</f>
        <v>231750207 - Approved</v>
      </c>
      <c r="C2340" s="6">
        <f>IFERROR(__xludf.DUMMYFUNCTION("""COMPUTED_VALUE"""),3.0)</f>
        <v>3</v>
      </c>
      <c r="D2340" s="6" t="str">
        <f>IFERROR(__xludf.DUMMYFUNCTION("""COMPUTED_VALUE"""),"P-12185-00")</f>
        <v>P-12185-00</v>
      </c>
      <c r="E2340" s="6" t="str">
        <f>IFERROR(__xludf.DUMMYFUNCTION("""COMPUTED_VALUE"""),"Elbow PVC AW 90 deg dia 1inch")</f>
        <v>Elbow PVC AW 90 deg dia 1inch</v>
      </c>
      <c r="F2340" s="6">
        <f>IFERROR(__xludf.DUMMYFUNCTION("""COMPUTED_VALUE"""),15.0)</f>
        <v>15</v>
      </c>
      <c r="G2340" s="6" t="str">
        <f>IFERROR(__xludf.DUMMYFUNCTION("""COMPUTED_VALUE"""),"Pieces")</f>
        <v>Pieces</v>
      </c>
      <c r="H2340" s="6" t="str">
        <f>IFERROR(__xludf.DUMMYFUNCTION("""COMPUTED_VALUE"""),"IDR")</f>
        <v>IDR</v>
      </c>
      <c r="I2340" s="11">
        <f>IFERROR(__xludf.DUMMYFUNCTION("""COMPUTED_VALUE"""),5000.0)</f>
        <v>5000</v>
      </c>
      <c r="J2340" s="11">
        <f>IFERROR(__xludf.DUMMYFUNCTION("""COMPUTED_VALUE"""),75000.0)</f>
        <v>75000</v>
      </c>
      <c r="K2340" s="57">
        <f>IFERROR(__xludf.DUMMYFUNCTION("""COMPUTED_VALUE"""),45034.0)</f>
        <v>45034</v>
      </c>
      <c r="L2340" s="6" t="str">
        <f>IFERROR(__xludf.DUMMYFUNCTION("""COMPUTED_VALUE"""),"FIP General")</f>
        <v>FIP General</v>
      </c>
      <c r="M2340" s="6" t="str">
        <f>IFERROR(__xludf.DUMMYFUNCTION("""COMPUTED_VALUE"""),"Irwan Sopian")</f>
        <v>Irwan Sopian</v>
      </c>
      <c r="N2340" s="6" t="str">
        <f>IFERROR(__xludf.DUMMYFUNCTION("""COMPUTED_VALUE"""),"FIP Engineering")</f>
        <v>FIP Engineering</v>
      </c>
      <c r="O2340" s="6" t="str">
        <f>IFERROR(__xludf.DUMMYFUNCTION("""COMPUTED_VALUE"""),"FIP-DOM-ENG-51404-OS00001-INA-000000")</f>
        <v>FIP-DOM-ENG-51404-OS00001-INA-000000</v>
      </c>
      <c r="P2340" s="6" t="str">
        <f>IFERROR(__xludf.DUMMYFUNCTION("""COMPUTED_VALUE"""),"PO Closed")</f>
        <v>PO Closed</v>
      </c>
      <c r="Q2340" s="6" t="str">
        <f>IFERROR(__xludf.DUMMYFUNCTION("""COMPUTED_VALUE"""),"GL2303050")</f>
        <v>GL2303050</v>
      </c>
      <c r="R2340" s="57">
        <f>IFERROR(__xludf.DUMMYFUNCTION("""COMPUTED_VALUE"""),44999.0)</f>
        <v>44999</v>
      </c>
      <c r="S2340" s="57">
        <f>IFERROR(__xludf.DUMMYFUNCTION("""COMPUTED_VALUE"""),45000.0)</f>
        <v>45000</v>
      </c>
      <c r="T2340" s="57">
        <f>IFERROR(__xludf.DUMMYFUNCTION("""COMPUTED_VALUE"""),45022.0)</f>
        <v>45022</v>
      </c>
    </row>
    <row r="2341">
      <c r="A2341" s="6" t="str">
        <f>IFERROR(__xludf.DUMMYFUNCTION("""COMPUTED_VALUE"""),"231750207-4")</f>
        <v>231750207-4</v>
      </c>
      <c r="B2341" s="6" t="str">
        <f>IFERROR(__xludf.DUMMYFUNCTION("""COMPUTED_VALUE"""),"231750207 - Approved")</f>
        <v>231750207 - Approved</v>
      </c>
      <c r="C2341" s="6">
        <f>IFERROR(__xludf.DUMMYFUNCTION("""COMPUTED_VALUE"""),4.0)</f>
        <v>4</v>
      </c>
      <c r="D2341" s="6" t="str">
        <f>IFERROR(__xludf.DUMMYFUNCTION("""COMPUTED_VALUE"""),"P-12751-00")</f>
        <v>P-12751-00</v>
      </c>
      <c r="E2341" s="6" t="str">
        <f>IFERROR(__xludf.DUMMYFUNCTION("""COMPUTED_VALUE"""),"RUCIKA - Pipa PVC AW dia 2 inch Warna Abu-Abu")</f>
        <v>RUCIKA - Pipa PVC AW dia 2 inch Warna Abu-Abu</v>
      </c>
      <c r="F2341" s="6">
        <f>IFERROR(__xludf.DUMMYFUNCTION("""COMPUTED_VALUE"""),1.0)</f>
        <v>1</v>
      </c>
      <c r="G2341" s="6" t="str">
        <f>IFERROR(__xludf.DUMMYFUNCTION("""COMPUTED_VALUE"""),"Pieces")</f>
        <v>Pieces</v>
      </c>
      <c r="H2341" s="6" t="str">
        <f>IFERROR(__xludf.DUMMYFUNCTION("""COMPUTED_VALUE"""),"IDR")</f>
        <v>IDR</v>
      </c>
      <c r="I2341" s="11">
        <f>IFERROR(__xludf.DUMMYFUNCTION("""COMPUTED_VALUE"""),184000.0)</f>
        <v>184000</v>
      </c>
      <c r="J2341" s="11">
        <f>IFERROR(__xludf.DUMMYFUNCTION("""COMPUTED_VALUE"""),184000.0)</f>
        <v>184000</v>
      </c>
      <c r="K2341" s="57">
        <f>IFERROR(__xludf.DUMMYFUNCTION("""COMPUTED_VALUE"""),45034.0)</f>
        <v>45034</v>
      </c>
      <c r="L2341" s="6" t="str">
        <f>IFERROR(__xludf.DUMMYFUNCTION("""COMPUTED_VALUE"""),"FIP General")</f>
        <v>FIP General</v>
      </c>
      <c r="M2341" s="6" t="str">
        <f>IFERROR(__xludf.DUMMYFUNCTION("""COMPUTED_VALUE"""),"Irwan Sopian")</f>
        <v>Irwan Sopian</v>
      </c>
      <c r="N2341" s="6" t="str">
        <f>IFERROR(__xludf.DUMMYFUNCTION("""COMPUTED_VALUE"""),"FIP Engineering")</f>
        <v>FIP Engineering</v>
      </c>
      <c r="O2341" s="6" t="str">
        <f>IFERROR(__xludf.DUMMYFUNCTION("""COMPUTED_VALUE"""),"FIP-DOM-ENG-51404-OS00001-INA-000000")</f>
        <v>FIP-DOM-ENG-51404-OS00001-INA-000000</v>
      </c>
      <c r="P2341" s="6" t="str">
        <f>IFERROR(__xludf.DUMMYFUNCTION("""COMPUTED_VALUE"""),"PO Closed")</f>
        <v>PO Closed</v>
      </c>
      <c r="Q2341" s="6" t="str">
        <f>IFERROR(__xludf.DUMMYFUNCTION("""COMPUTED_VALUE"""),"GL2303050")</f>
        <v>GL2303050</v>
      </c>
      <c r="R2341" s="57">
        <f>IFERROR(__xludf.DUMMYFUNCTION("""COMPUTED_VALUE"""),44999.0)</f>
        <v>44999</v>
      </c>
      <c r="S2341" s="57">
        <f>IFERROR(__xludf.DUMMYFUNCTION("""COMPUTED_VALUE"""),45000.0)</f>
        <v>45000</v>
      </c>
      <c r="T2341" s="57">
        <f>IFERROR(__xludf.DUMMYFUNCTION("""COMPUTED_VALUE"""),45022.0)</f>
        <v>45022</v>
      </c>
    </row>
    <row r="2342">
      <c r="A2342" s="6" t="str">
        <f>IFERROR(__xludf.DUMMYFUNCTION("""COMPUTED_VALUE"""),"231750210-1")</f>
        <v>231750210-1</v>
      </c>
      <c r="B2342" s="6" t="str">
        <f>IFERROR(__xludf.DUMMYFUNCTION("""COMPUTED_VALUE"""),"231750210 - Approved")</f>
        <v>231750210 - Approved</v>
      </c>
      <c r="C2342" s="6">
        <f>IFERROR(__xludf.DUMMYFUNCTION("""COMPUTED_VALUE"""),1.0)</f>
        <v>1</v>
      </c>
      <c r="D2342" s="6" t="str">
        <f>IFERROR(__xludf.DUMMYFUNCTION("""COMPUTED_VALUE"""),"O-51986-00")</f>
        <v>O-51986-00</v>
      </c>
      <c r="E2342" s="6" t="str">
        <f>IFERROR(__xludf.DUMMYFUNCTION("""COMPUTED_VALUE"""),"Flow Switch 1inch 220V; ; ;")</f>
        <v>Flow Switch 1inch 220V; ; ;</v>
      </c>
      <c r="F2342" s="6">
        <f>IFERROR(__xludf.DUMMYFUNCTION("""COMPUTED_VALUE"""),2.0)</f>
        <v>2</v>
      </c>
      <c r="G2342" s="6" t="str">
        <f>IFERROR(__xludf.DUMMYFUNCTION("""COMPUTED_VALUE"""),"Pieces")</f>
        <v>Pieces</v>
      </c>
      <c r="H2342" s="6" t="str">
        <f>IFERROR(__xludf.DUMMYFUNCTION("""COMPUTED_VALUE"""),"IDR")</f>
        <v>IDR</v>
      </c>
      <c r="I2342" s="11">
        <f>IFERROR(__xludf.DUMMYFUNCTION("""COMPUTED_VALUE"""),198000.0)</f>
        <v>198000</v>
      </c>
      <c r="J2342" s="11">
        <f>IFERROR(__xludf.DUMMYFUNCTION("""COMPUTED_VALUE"""),396000.0)</f>
        <v>396000</v>
      </c>
      <c r="K2342" s="57">
        <f>IFERROR(__xludf.DUMMYFUNCTION("""COMPUTED_VALUE"""),45034.0)</f>
        <v>45034</v>
      </c>
      <c r="L2342" s="6" t="str">
        <f>IFERROR(__xludf.DUMMYFUNCTION("""COMPUTED_VALUE"""),"FIP Engineering")</f>
        <v>FIP Engineering</v>
      </c>
      <c r="M2342" s="6" t="str">
        <f>IFERROR(__xludf.DUMMYFUNCTION("""COMPUTED_VALUE"""),"Irwan Sopian")</f>
        <v>Irwan Sopian</v>
      </c>
      <c r="N2342" s="6" t="str">
        <f>IFERROR(__xludf.DUMMYFUNCTION("""COMPUTED_VALUE"""),"FIP Engineering")</f>
        <v>FIP Engineering</v>
      </c>
      <c r="O2342" s="6" t="str">
        <f>IFERROR(__xludf.DUMMYFUNCTION("""COMPUTED_VALUE"""),"FIP-DOM-000-11304-OS00001-INA-000000")</f>
        <v>FIP-DOM-000-11304-OS00001-INA-000000</v>
      </c>
      <c r="P2342" s="6" t="str">
        <f>IFERROR(__xludf.DUMMYFUNCTION("""COMPUTED_VALUE"""),"PO Closed")</f>
        <v>PO Closed</v>
      </c>
      <c r="Q2342" s="6" t="str">
        <f>IFERROR(__xludf.DUMMYFUNCTION("""COMPUTED_VALUE"""),"GL2303052")</f>
        <v>GL2303052</v>
      </c>
      <c r="R2342" s="57">
        <f>IFERROR(__xludf.DUMMYFUNCTION("""COMPUTED_VALUE"""),45000.0)</f>
        <v>45000</v>
      </c>
      <c r="S2342" s="57">
        <f>IFERROR(__xludf.DUMMYFUNCTION("""COMPUTED_VALUE"""),45006.0)</f>
        <v>45006</v>
      </c>
      <c r="T2342" s="57">
        <f>IFERROR(__xludf.DUMMYFUNCTION("""COMPUTED_VALUE"""),45020.0)</f>
        <v>45020</v>
      </c>
    </row>
    <row r="2343">
      <c r="A2343" s="6" t="str">
        <f>IFERROR(__xludf.DUMMYFUNCTION("""COMPUTED_VALUE"""),"231750217-1")</f>
        <v>231750217-1</v>
      </c>
      <c r="B2343" s="6" t="str">
        <f>IFERROR(__xludf.DUMMYFUNCTION("""COMPUTED_VALUE"""),"231750217 - Approved")</f>
        <v>231750217 - Approved</v>
      </c>
      <c r="C2343" s="6">
        <f>IFERROR(__xludf.DUMMYFUNCTION("""COMPUTED_VALUE"""),1.0)</f>
        <v>1</v>
      </c>
      <c r="D2343" s="6" t="str">
        <f>IFERROR(__xludf.DUMMYFUNCTION("""COMPUTED_VALUE"""),"O-52882-00")</f>
        <v>O-52882-00</v>
      </c>
      <c r="E2343" s="6" t="str">
        <f>IFERROR(__xludf.DUMMYFUNCTION("""COMPUTED_VALUE"""),"Video Jet - Sensor C2DM-11N; ; ;")</f>
        <v>Video Jet - Sensor C2DM-11N; ; ;</v>
      </c>
      <c r="F2343" s="6">
        <f>IFERROR(__xludf.DUMMYFUNCTION("""COMPUTED_VALUE"""),2.0)</f>
        <v>2</v>
      </c>
      <c r="G2343" s="6" t="str">
        <f>IFERROR(__xludf.DUMMYFUNCTION("""COMPUTED_VALUE"""),"Pieces")</f>
        <v>Pieces</v>
      </c>
      <c r="H2343" s="6" t="str">
        <f>IFERROR(__xludf.DUMMYFUNCTION("""COMPUTED_VALUE"""),"IDR")</f>
        <v>IDR</v>
      </c>
      <c r="I2343" s="11">
        <f>IFERROR(__xludf.DUMMYFUNCTION("""COMPUTED_VALUE"""),1000000.0)</f>
        <v>1000000</v>
      </c>
      <c r="J2343" s="11">
        <f>IFERROR(__xludf.DUMMYFUNCTION("""COMPUTED_VALUE"""),2000000.0)</f>
        <v>2000000</v>
      </c>
      <c r="K2343" s="57">
        <f>IFERROR(__xludf.DUMMYFUNCTION("""COMPUTED_VALUE"""),45041.0)</f>
        <v>45041</v>
      </c>
      <c r="L2343" s="6" t="str">
        <f>IFERROR(__xludf.DUMMYFUNCTION("""COMPUTED_VALUE"""),"FIP Engineering")</f>
        <v>FIP Engineering</v>
      </c>
      <c r="M2343" s="6" t="str">
        <f>IFERROR(__xludf.DUMMYFUNCTION("""COMPUTED_VALUE"""),"Irwan Sopian")</f>
        <v>Irwan Sopian</v>
      </c>
      <c r="N2343" s="6" t="str">
        <f>IFERROR(__xludf.DUMMYFUNCTION("""COMPUTED_VALUE"""),"FIP Engineering")</f>
        <v>FIP Engineering</v>
      </c>
      <c r="O2343" s="6" t="str">
        <f>IFERROR(__xludf.DUMMYFUNCTION("""COMPUTED_VALUE"""),"FIP-DOM-000-11304-OS00001-INA-000000")</f>
        <v>FIP-DOM-000-11304-OS00001-INA-000000</v>
      </c>
      <c r="P2343" s="6" t="str">
        <f>IFERROR(__xludf.DUMMYFUNCTION("""COMPUTED_VALUE"""),"PO Closed")</f>
        <v>PO Closed</v>
      </c>
      <c r="Q2343" s="6" t="str">
        <f>IFERROR(__xludf.DUMMYFUNCTION("""COMPUTED_VALUE"""),"GL2304038")</f>
        <v>GL2304038</v>
      </c>
      <c r="R2343" s="57">
        <f>IFERROR(__xludf.DUMMYFUNCTION("""COMPUTED_VALUE"""),45001.0)</f>
        <v>45001</v>
      </c>
      <c r="S2343" s="57">
        <f>IFERROR(__xludf.DUMMYFUNCTION("""COMPUTED_VALUE"""),45012.0)</f>
        <v>45012</v>
      </c>
      <c r="T2343" s="57">
        <f>IFERROR(__xludf.DUMMYFUNCTION("""COMPUTED_VALUE"""),45112.0)</f>
        <v>45112</v>
      </c>
    </row>
    <row r="2344">
      <c r="A2344" s="6" t="str">
        <f>IFERROR(__xludf.DUMMYFUNCTION("""COMPUTED_VALUE"""),"231750218-1")</f>
        <v>231750218-1</v>
      </c>
      <c r="B2344" s="6" t="str">
        <f>IFERROR(__xludf.DUMMYFUNCTION("""COMPUTED_VALUE"""),"231750218 - Approved")</f>
        <v>231750218 - Approved</v>
      </c>
      <c r="C2344" s="6">
        <f>IFERROR(__xludf.DUMMYFUNCTION("""COMPUTED_VALUE"""),1.0)</f>
        <v>1</v>
      </c>
      <c r="D2344" s="6" t="str">
        <f>IFERROR(__xludf.DUMMYFUNCTION("""COMPUTED_VALUE"""),"P-18572-00")</f>
        <v>P-18572-00</v>
      </c>
      <c r="E2344" s="6" t="str">
        <f>IFERROR(__xludf.DUMMYFUNCTION("""COMPUTED_VALUE"""),"Flow assembly for electrodes ORP type 462 5020-40; JUMO; ;")</f>
        <v>Flow assembly for electrodes ORP type 462 5020-40; JUMO; ;</v>
      </c>
      <c r="F2344" s="6">
        <f>IFERROR(__xludf.DUMMYFUNCTION("""COMPUTED_VALUE"""),1.0)</f>
        <v>1</v>
      </c>
      <c r="G2344" s="6" t="str">
        <f>IFERROR(__xludf.DUMMYFUNCTION("""COMPUTED_VALUE"""),"Pieces")</f>
        <v>Pieces</v>
      </c>
      <c r="H2344" s="6" t="str">
        <f>IFERROR(__xludf.DUMMYFUNCTION("""COMPUTED_VALUE"""),"IDR")</f>
        <v>IDR</v>
      </c>
      <c r="I2344" s="11">
        <f>IFERROR(__xludf.DUMMYFUNCTION("""COMPUTED_VALUE"""),8300000.0)</f>
        <v>8300000</v>
      </c>
      <c r="J2344" s="11">
        <f>IFERROR(__xludf.DUMMYFUNCTION("""COMPUTED_VALUE"""),8300000.0)</f>
        <v>8300000</v>
      </c>
      <c r="K2344" s="57">
        <f>IFERROR(__xludf.DUMMYFUNCTION("""COMPUTED_VALUE"""),45041.0)</f>
        <v>45041</v>
      </c>
      <c r="L2344" s="6" t="str">
        <f>IFERROR(__xludf.DUMMYFUNCTION("""COMPUTED_VALUE"""),"FIP Engineering")</f>
        <v>FIP Engineering</v>
      </c>
      <c r="M2344" s="6" t="str">
        <f>IFERROR(__xludf.DUMMYFUNCTION("""COMPUTED_VALUE"""),"Irwan Sopian")</f>
        <v>Irwan Sopian</v>
      </c>
      <c r="N2344" s="6" t="str">
        <f>IFERROR(__xludf.DUMMYFUNCTION("""COMPUTED_VALUE"""),"FIP Engineering")</f>
        <v>FIP Engineering</v>
      </c>
      <c r="O2344" s="6" t="str">
        <f>IFERROR(__xludf.DUMMYFUNCTION("""COMPUTED_VALUE"""),"FIP-DOM-000-11304-OS00001-INA-000000")</f>
        <v>FIP-DOM-000-11304-OS00001-INA-000000</v>
      </c>
      <c r="P2344" s="6" t="str">
        <f>IFERROR(__xludf.DUMMYFUNCTION("""COMPUTED_VALUE"""),"PO Closed")</f>
        <v>PO Closed</v>
      </c>
      <c r="Q2344" s="6" t="str">
        <f>IFERROR(__xludf.DUMMYFUNCTION("""COMPUTED_VALUE"""),"GL2303053")</f>
        <v>GL2303053</v>
      </c>
      <c r="R2344" s="57">
        <f>IFERROR(__xludf.DUMMYFUNCTION("""COMPUTED_VALUE"""),45001.0)</f>
        <v>45001</v>
      </c>
      <c r="S2344" s="57">
        <f>IFERROR(__xludf.DUMMYFUNCTION("""COMPUTED_VALUE"""),45006.0)</f>
        <v>45006</v>
      </c>
      <c r="T2344" s="57">
        <f>IFERROR(__xludf.DUMMYFUNCTION("""COMPUTED_VALUE"""),45041.0)</f>
        <v>45041</v>
      </c>
    </row>
    <row r="2345">
      <c r="A2345" s="6" t="str">
        <f>IFERROR(__xludf.DUMMYFUNCTION("""COMPUTED_VALUE"""),"231750218-2")</f>
        <v>231750218-2</v>
      </c>
      <c r="B2345" s="6" t="str">
        <f>IFERROR(__xludf.DUMMYFUNCTION("""COMPUTED_VALUE"""),"231750218 - Approved")</f>
        <v>231750218 - Approved</v>
      </c>
      <c r="C2345" s="6">
        <f>IFERROR(__xludf.DUMMYFUNCTION("""COMPUTED_VALUE"""),2.0)</f>
        <v>2</v>
      </c>
      <c r="D2345" s="6" t="str">
        <f>IFERROR(__xludf.DUMMYFUNCTION("""COMPUTED_VALUE"""),"P-52694-00")</f>
        <v>P-52694-00</v>
      </c>
      <c r="E2345" s="6" t="str">
        <f>IFERROR(__xludf.DUMMYFUNCTION("""COMPUTED_VALUE"""),"ORP Transmitter (Field mounted) Type: 202551/05-8-01-4-0-00-25/000; JUMO; ;")</f>
        <v>ORP Transmitter (Field mounted) Type: 202551/05-8-01-4-0-00-25/000; JUMO; ;</v>
      </c>
      <c r="F2345" s="6">
        <f>IFERROR(__xludf.DUMMYFUNCTION("""COMPUTED_VALUE"""),1.0)</f>
        <v>1</v>
      </c>
      <c r="G2345" s="6" t="str">
        <f>IFERROR(__xludf.DUMMYFUNCTION("""COMPUTED_VALUE"""),"Pieces")</f>
        <v>Pieces</v>
      </c>
      <c r="H2345" s="6" t="str">
        <f>IFERROR(__xludf.DUMMYFUNCTION("""COMPUTED_VALUE"""),"IDR")</f>
        <v>IDR</v>
      </c>
      <c r="I2345" s="11">
        <f>IFERROR(__xludf.DUMMYFUNCTION("""COMPUTED_VALUE"""),1.6E7)</f>
        <v>16000000</v>
      </c>
      <c r="J2345" s="11">
        <f>IFERROR(__xludf.DUMMYFUNCTION("""COMPUTED_VALUE"""),1.6E7)</f>
        <v>16000000</v>
      </c>
      <c r="K2345" s="57">
        <f>IFERROR(__xludf.DUMMYFUNCTION("""COMPUTED_VALUE"""),45041.0)</f>
        <v>45041</v>
      </c>
      <c r="L2345" s="6" t="str">
        <f>IFERROR(__xludf.DUMMYFUNCTION("""COMPUTED_VALUE"""),"FIP Engineering")</f>
        <v>FIP Engineering</v>
      </c>
      <c r="M2345" s="6" t="str">
        <f>IFERROR(__xludf.DUMMYFUNCTION("""COMPUTED_VALUE"""),"Irwan Sopian")</f>
        <v>Irwan Sopian</v>
      </c>
      <c r="N2345" s="6" t="str">
        <f>IFERROR(__xludf.DUMMYFUNCTION("""COMPUTED_VALUE"""),"FIP Engineering")</f>
        <v>FIP Engineering</v>
      </c>
      <c r="O2345" s="6" t="str">
        <f>IFERROR(__xludf.DUMMYFUNCTION("""COMPUTED_VALUE"""),"FIP-DOM-000-11304-OS00001-INA-000000")</f>
        <v>FIP-DOM-000-11304-OS00001-INA-000000</v>
      </c>
      <c r="P2345" s="6" t="str">
        <f>IFERROR(__xludf.DUMMYFUNCTION("""COMPUTED_VALUE"""),"PO Closed")</f>
        <v>PO Closed</v>
      </c>
      <c r="Q2345" s="6" t="str">
        <f>IFERROR(__xludf.DUMMYFUNCTION("""COMPUTED_VALUE"""),"GL2303053")</f>
        <v>GL2303053</v>
      </c>
      <c r="R2345" s="57">
        <f>IFERROR(__xludf.DUMMYFUNCTION("""COMPUTED_VALUE"""),45001.0)</f>
        <v>45001</v>
      </c>
      <c r="S2345" s="57">
        <f>IFERROR(__xludf.DUMMYFUNCTION("""COMPUTED_VALUE"""),45006.0)</f>
        <v>45006</v>
      </c>
      <c r="T2345" s="57">
        <f>IFERROR(__xludf.DUMMYFUNCTION("""COMPUTED_VALUE"""),45041.0)</f>
        <v>45041</v>
      </c>
    </row>
    <row r="2346">
      <c r="A2346" s="6" t="str">
        <f>IFERROR(__xludf.DUMMYFUNCTION("""COMPUTED_VALUE"""),"231750218-3")</f>
        <v>231750218-3</v>
      </c>
      <c r="B2346" s="6" t="str">
        <f>IFERROR(__xludf.DUMMYFUNCTION("""COMPUTED_VALUE"""),"231750218 - Approved")</f>
        <v>231750218 - Approved</v>
      </c>
      <c r="C2346" s="6">
        <f>IFERROR(__xludf.DUMMYFUNCTION("""COMPUTED_VALUE"""),3.0)</f>
        <v>3</v>
      </c>
      <c r="D2346" s="6" t="str">
        <f>IFERROR(__xludf.DUMMYFUNCTION("""COMPUTED_VALUE"""),"P-52695-00")</f>
        <v>P-52695-00</v>
      </c>
      <c r="E2346" s="6" t="str">
        <f>IFERROR(__xludf.DUMMYFUNCTION("""COMPUTED_VALUE"""),"ORP Electrode Type: 201027/10-22-07-82-120/000; JUMO; ;")</f>
        <v>ORP Electrode Type: 201027/10-22-07-82-120/000; JUMO; ;</v>
      </c>
      <c r="F2346" s="6">
        <f>IFERROR(__xludf.DUMMYFUNCTION("""COMPUTED_VALUE"""),1.0)</f>
        <v>1</v>
      </c>
      <c r="G2346" s="6" t="str">
        <f>IFERROR(__xludf.DUMMYFUNCTION("""COMPUTED_VALUE"""),"Pieces")</f>
        <v>Pieces</v>
      </c>
      <c r="H2346" s="6" t="str">
        <f>IFERROR(__xludf.DUMMYFUNCTION("""COMPUTED_VALUE"""),"IDR")</f>
        <v>IDR</v>
      </c>
      <c r="I2346" s="11">
        <f>IFERROR(__xludf.DUMMYFUNCTION("""COMPUTED_VALUE"""),4800000.0)</f>
        <v>4800000</v>
      </c>
      <c r="J2346" s="11">
        <f>IFERROR(__xludf.DUMMYFUNCTION("""COMPUTED_VALUE"""),4800000.0)</f>
        <v>4800000</v>
      </c>
      <c r="K2346" s="57">
        <f>IFERROR(__xludf.DUMMYFUNCTION("""COMPUTED_VALUE"""),45041.0)</f>
        <v>45041</v>
      </c>
      <c r="L2346" s="6" t="str">
        <f>IFERROR(__xludf.DUMMYFUNCTION("""COMPUTED_VALUE"""),"FIP Engineering")</f>
        <v>FIP Engineering</v>
      </c>
      <c r="M2346" s="6" t="str">
        <f>IFERROR(__xludf.DUMMYFUNCTION("""COMPUTED_VALUE"""),"Irwan Sopian")</f>
        <v>Irwan Sopian</v>
      </c>
      <c r="N2346" s="6" t="str">
        <f>IFERROR(__xludf.DUMMYFUNCTION("""COMPUTED_VALUE"""),"FIP Engineering")</f>
        <v>FIP Engineering</v>
      </c>
      <c r="O2346" s="6" t="str">
        <f>IFERROR(__xludf.DUMMYFUNCTION("""COMPUTED_VALUE"""),"FIP-DOM-000-11304-OS00001-INA-000000")</f>
        <v>FIP-DOM-000-11304-OS00001-INA-000000</v>
      </c>
      <c r="P2346" s="6" t="str">
        <f>IFERROR(__xludf.DUMMYFUNCTION("""COMPUTED_VALUE"""),"PO Closed")</f>
        <v>PO Closed</v>
      </c>
      <c r="Q2346" s="6" t="str">
        <f>IFERROR(__xludf.DUMMYFUNCTION("""COMPUTED_VALUE"""),"GL2303053")</f>
        <v>GL2303053</v>
      </c>
      <c r="R2346" s="57">
        <f>IFERROR(__xludf.DUMMYFUNCTION("""COMPUTED_VALUE"""),45001.0)</f>
        <v>45001</v>
      </c>
      <c r="S2346" s="57">
        <f>IFERROR(__xludf.DUMMYFUNCTION("""COMPUTED_VALUE"""),45006.0)</f>
        <v>45006</v>
      </c>
      <c r="T2346" s="57">
        <f>IFERROR(__xludf.DUMMYFUNCTION("""COMPUTED_VALUE"""),45041.0)</f>
        <v>45041</v>
      </c>
    </row>
    <row r="2347">
      <c r="A2347" s="6" t="str">
        <f>IFERROR(__xludf.DUMMYFUNCTION("""COMPUTED_VALUE"""),"231750218-4")</f>
        <v>231750218-4</v>
      </c>
      <c r="B2347" s="6" t="str">
        <f>IFERROR(__xludf.DUMMYFUNCTION("""COMPUTED_VALUE"""),"231750218 - Approved")</f>
        <v>231750218 - Approved</v>
      </c>
      <c r="C2347" s="6">
        <f>IFERROR(__xludf.DUMMYFUNCTION("""COMPUTED_VALUE"""),4.0)</f>
        <v>4</v>
      </c>
      <c r="D2347" s="6" t="str">
        <f>IFERROR(__xludf.DUMMYFUNCTION("""COMPUTED_VALUE"""),"P-52696-00")</f>
        <v>P-52696-00</v>
      </c>
      <c r="E2347" s="6" t="str">
        <f>IFERROR(__xludf.DUMMYFUNCTION("""COMPUTED_VALUE"""),"ORP Cable Type: 202990/02; JUMO; ;")</f>
        <v>ORP Cable Type: 202990/02; JUMO; ;</v>
      </c>
      <c r="F2347" s="6">
        <f>IFERROR(__xludf.DUMMYFUNCTION("""COMPUTED_VALUE"""),1.0)</f>
        <v>1</v>
      </c>
      <c r="G2347" s="6" t="str">
        <f>IFERROR(__xludf.DUMMYFUNCTION("""COMPUTED_VALUE"""),"Pieces")</f>
        <v>Pieces</v>
      </c>
      <c r="H2347" s="6" t="str">
        <f>IFERROR(__xludf.DUMMYFUNCTION("""COMPUTED_VALUE"""),"IDR")</f>
        <v>IDR</v>
      </c>
      <c r="I2347" s="11">
        <f>IFERROR(__xludf.DUMMYFUNCTION("""COMPUTED_VALUE"""),1600000.0)</f>
        <v>1600000</v>
      </c>
      <c r="J2347" s="11">
        <f>IFERROR(__xludf.DUMMYFUNCTION("""COMPUTED_VALUE"""),1600000.0)</f>
        <v>1600000</v>
      </c>
      <c r="K2347" s="57">
        <f>IFERROR(__xludf.DUMMYFUNCTION("""COMPUTED_VALUE"""),45041.0)</f>
        <v>45041</v>
      </c>
      <c r="L2347" s="6" t="str">
        <f>IFERROR(__xludf.DUMMYFUNCTION("""COMPUTED_VALUE"""),"FIP Engineering")</f>
        <v>FIP Engineering</v>
      </c>
      <c r="M2347" s="6" t="str">
        <f>IFERROR(__xludf.DUMMYFUNCTION("""COMPUTED_VALUE"""),"Irwan Sopian")</f>
        <v>Irwan Sopian</v>
      </c>
      <c r="N2347" s="6" t="str">
        <f>IFERROR(__xludf.DUMMYFUNCTION("""COMPUTED_VALUE"""),"FIP Engineering")</f>
        <v>FIP Engineering</v>
      </c>
      <c r="O2347" s="6" t="str">
        <f>IFERROR(__xludf.DUMMYFUNCTION("""COMPUTED_VALUE"""),"FIP-DOM-000-11304-OS00001-INA-000000")</f>
        <v>FIP-DOM-000-11304-OS00001-INA-000000</v>
      </c>
      <c r="P2347" s="6" t="str">
        <f>IFERROR(__xludf.DUMMYFUNCTION("""COMPUTED_VALUE"""),"PO Closed")</f>
        <v>PO Closed</v>
      </c>
      <c r="Q2347" s="6" t="str">
        <f>IFERROR(__xludf.DUMMYFUNCTION("""COMPUTED_VALUE"""),"GL2303053")</f>
        <v>GL2303053</v>
      </c>
      <c r="R2347" s="57">
        <f>IFERROR(__xludf.DUMMYFUNCTION("""COMPUTED_VALUE"""),45001.0)</f>
        <v>45001</v>
      </c>
      <c r="S2347" s="57">
        <f>IFERROR(__xludf.DUMMYFUNCTION("""COMPUTED_VALUE"""),45006.0)</f>
        <v>45006</v>
      </c>
      <c r="T2347" s="57">
        <f>IFERROR(__xludf.DUMMYFUNCTION("""COMPUTED_VALUE"""),45041.0)</f>
        <v>45041</v>
      </c>
    </row>
    <row r="2348">
      <c r="A2348" s="6" t="str">
        <f>IFERROR(__xludf.DUMMYFUNCTION("""COMPUTED_VALUE"""),"231750219-1")</f>
        <v>231750219-1</v>
      </c>
      <c r="B2348" s="6" t="str">
        <f>IFERROR(__xludf.DUMMYFUNCTION("""COMPUTED_VALUE"""),"231750219 - Approved")</f>
        <v>231750219 - Approved</v>
      </c>
      <c r="C2348" s="6">
        <f>IFERROR(__xludf.DUMMYFUNCTION("""COMPUTED_VALUE"""),1.0)</f>
        <v>1</v>
      </c>
      <c r="D2348" s="6" t="str">
        <f>IFERROR(__xludf.DUMMYFUNCTION("""COMPUTED_VALUE"""),"S-10870-00")</f>
        <v>S-10870-00</v>
      </c>
      <c r="E2348" s="6" t="str">
        <f>IFERROR(__xludf.DUMMYFUNCTION("""COMPUTED_VALUE"""),"Cermin; ; ; - Kaca Cermin 5mm 350 x 1000mm befel 1,5cm 4 lubang +scrup")</f>
        <v>Cermin; ; ; - Kaca Cermin 5mm 350 x 1000mm befel 1,5cm 4 lubang +scrup</v>
      </c>
      <c r="F2348" s="6">
        <f>IFERROR(__xludf.DUMMYFUNCTION("""COMPUTED_VALUE"""),2.0)</f>
        <v>2</v>
      </c>
      <c r="G2348" s="6" t="str">
        <f>IFERROR(__xludf.DUMMYFUNCTION("""COMPUTED_VALUE"""),"Pieces")</f>
        <v>Pieces</v>
      </c>
      <c r="H2348" s="6" t="str">
        <f>IFERROR(__xludf.DUMMYFUNCTION("""COMPUTED_VALUE"""),"IDR")</f>
        <v>IDR</v>
      </c>
      <c r="I2348" s="11">
        <f>IFERROR(__xludf.DUMMYFUNCTION("""COMPUTED_VALUE"""),487500.0)</f>
        <v>487500</v>
      </c>
      <c r="J2348" s="11">
        <f>IFERROR(__xludf.DUMMYFUNCTION("""COMPUTED_VALUE"""),975000.0)</f>
        <v>975000</v>
      </c>
      <c r="K2348" s="57">
        <f>IFERROR(__xludf.DUMMYFUNCTION("""COMPUTED_VALUE"""),45041.0)</f>
        <v>45041</v>
      </c>
      <c r="L2348" s="6" t="str">
        <f>IFERROR(__xludf.DUMMYFUNCTION("""COMPUTED_VALUE"""),"FIP General")</f>
        <v>FIP General</v>
      </c>
      <c r="M2348" s="6" t="str">
        <f>IFERROR(__xludf.DUMMYFUNCTION("""COMPUTED_VALUE"""),"Irwan Sopian")</f>
        <v>Irwan Sopian</v>
      </c>
      <c r="N2348" s="6" t="str">
        <f>IFERROR(__xludf.DUMMYFUNCTION("""COMPUTED_VALUE"""),"FIP Engineering")</f>
        <v>FIP Engineering</v>
      </c>
      <c r="O2348" s="6" t="str">
        <f>IFERROR(__xludf.DUMMYFUNCTION("""COMPUTED_VALUE"""),"FIP-DOM-ENG-51404-0000000-INA-000000")</f>
        <v>FIP-DOM-ENG-51404-0000000-INA-000000</v>
      </c>
      <c r="P2348" s="6" t="str">
        <f>IFERROR(__xludf.DUMMYFUNCTION("""COMPUTED_VALUE"""),"PO Closed")</f>
        <v>PO Closed</v>
      </c>
      <c r="Q2348" s="6" t="str">
        <f>IFERROR(__xludf.DUMMYFUNCTION("""COMPUTED_VALUE"""),"GL2303052")</f>
        <v>GL2303052</v>
      </c>
      <c r="R2348" s="57">
        <f>IFERROR(__xludf.DUMMYFUNCTION("""COMPUTED_VALUE"""),45005.0)</f>
        <v>45005</v>
      </c>
      <c r="S2348" s="57">
        <f>IFERROR(__xludf.DUMMYFUNCTION("""COMPUTED_VALUE"""),45008.0)</f>
        <v>45008</v>
      </c>
      <c r="T2348" s="57">
        <f>IFERROR(__xludf.DUMMYFUNCTION("""COMPUTED_VALUE"""),45020.0)</f>
        <v>45020</v>
      </c>
    </row>
    <row r="2349">
      <c r="A2349" s="6" t="str">
        <f>IFERROR(__xludf.DUMMYFUNCTION("""COMPUTED_VALUE"""),"231750224-1")</f>
        <v>231750224-1</v>
      </c>
      <c r="B2349" s="6" t="str">
        <f>IFERROR(__xludf.DUMMYFUNCTION("""COMPUTED_VALUE"""),"231750224 - Approved")</f>
        <v>231750224 - Approved</v>
      </c>
      <c r="C2349" s="6">
        <f>IFERROR(__xludf.DUMMYFUNCTION("""COMPUTED_VALUE"""),1.0)</f>
        <v>1</v>
      </c>
      <c r="D2349" s="6" t="str">
        <f>IFERROR(__xludf.DUMMYFUNCTION("""COMPUTED_VALUE"""),"O-15911-00")</f>
        <v>O-15911-00</v>
      </c>
      <c r="E2349" s="6" t="str">
        <f>IFERROR(__xludf.DUMMYFUNCTION("""COMPUTED_VALUE"""),"Fedegari FVA2/A1 - TAPPO DN35 ASTM; Code : PM102749; ; ;")</f>
        <v>Fedegari FVA2/A1 - TAPPO DN35 ASTM; Code : PM102749; ; ;</v>
      </c>
      <c r="F2349" s="6">
        <f>IFERROR(__xludf.DUMMYFUNCTION("""COMPUTED_VALUE"""),5.0)</f>
        <v>5</v>
      </c>
      <c r="G2349" s="6" t="str">
        <f>IFERROR(__xludf.DUMMYFUNCTION("""COMPUTED_VALUE"""),"Unit")</f>
        <v>Unit</v>
      </c>
      <c r="H2349" s="6" t="str">
        <f>IFERROR(__xludf.DUMMYFUNCTION("""COMPUTED_VALUE"""),"IDR")</f>
        <v>IDR</v>
      </c>
      <c r="I2349" s="11">
        <f>IFERROR(__xludf.DUMMYFUNCTION("""COMPUTED_VALUE"""),729247.65)</f>
        <v>729247.65</v>
      </c>
      <c r="J2349" s="11">
        <f>IFERROR(__xludf.DUMMYFUNCTION("""COMPUTED_VALUE"""),3646238.23)</f>
        <v>3646238.23</v>
      </c>
      <c r="K2349" s="57">
        <f>IFERROR(__xludf.DUMMYFUNCTION("""COMPUTED_VALUE"""),45072.0)</f>
        <v>45072</v>
      </c>
      <c r="L2349" s="6" t="str">
        <f>IFERROR(__xludf.DUMMYFUNCTION("""COMPUTED_VALUE"""),"FIP Engineering")</f>
        <v>FIP Engineering</v>
      </c>
      <c r="M2349" s="6" t="str">
        <f>IFERROR(__xludf.DUMMYFUNCTION("""COMPUTED_VALUE"""),"Irwan Sopian")</f>
        <v>Irwan Sopian</v>
      </c>
      <c r="N2349" s="6" t="str">
        <f>IFERROR(__xludf.DUMMYFUNCTION("""COMPUTED_VALUE"""),"FIP Engineering")</f>
        <v>FIP Engineering</v>
      </c>
      <c r="O2349" s="6" t="str">
        <f>IFERROR(__xludf.DUMMYFUNCTION("""COMPUTED_VALUE"""),"FIP-DOM-000-11304-OS00001-INA-000000")</f>
        <v>FIP-DOM-000-11304-OS00001-INA-000000</v>
      </c>
      <c r="P2349" s="6" t="str">
        <f>IFERROR(__xludf.DUMMYFUNCTION("""COMPUTED_VALUE"""),"PO Closed")</f>
        <v>PO Closed</v>
      </c>
      <c r="Q2349" s="6" t="str">
        <f>IFERROR(__xludf.DUMMYFUNCTION("""COMPUTED_VALUE"""),"GL2304039")</f>
        <v>GL2304039</v>
      </c>
      <c r="R2349" s="57">
        <f>IFERROR(__xludf.DUMMYFUNCTION("""COMPUTED_VALUE"""),45009.0)</f>
        <v>45009</v>
      </c>
      <c r="S2349" s="57">
        <f>IFERROR(__xludf.DUMMYFUNCTION("""COMPUTED_VALUE"""),45013.0)</f>
        <v>45013</v>
      </c>
      <c r="T2349" s="57">
        <f>IFERROR(__xludf.DUMMYFUNCTION("""COMPUTED_VALUE"""),45153.0)</f>
        <v>45153</v>
      </c>
    </row>
    <row r="2350">
      <c r="A2350" s="6" t="str">
        <f>IFERROR(__xludf.DUMMYFUNCTION("""COMPUTED_VALUE"""),"231750224-2")</f>
        <v>231750224-2</v>
      </c>
      <c r="B2350" s="6" t="str">
        <f>IFERROR(__xludf.DUMMYFUNCTION("""COMPUTED_VALUE"""),"231750224 - Approved")</f>
        <v>231750224 - Approved</v>
      </c>
      <c r="C2350" s="6">
        <f>IFERROR(__xludf.DUMMYFUNCTION("""COMPUTED_VALUE"""),2.0)</f>
        <v>2</v>
      </c>
      <c r="D2350" s="6" t="str">
        <f>IFERROR(__xludf.DUMMYFUNCTION("""COMPUTED_VALUE"""),"O-50831-00")</f>
        <v>O-50831-00</v>
      </c>
      <c r="E2350" s="6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F2350" s="6">
        <f>IFERROR(__xludf.DUMMYFUNCTION("""COMPUTED_VALUE"""),3.0)</f>
        <v>3</v>
      </c>
      <c r="G2350" s="6" t="str">
        <f>IFERROR(__xludf.DUMMYFUNCTION("""COMPUTED_VALUE"""),"Pieces")</f>
        <v>Pieces</v>
      </c>
      <c r="H2350" s="6" t="str">
        <f>IFERROR(__xludf.DUMMYFUNCTION("""COMPUTED_VALUE"""),"IDR")</f>
        <v>IDR</v>
      </c>
      <c r="I2350" s="11">
        <f>IFERROR(__xludf.DUMMYFUNCTION("""COMPUTED_VALUE"""),1393972.48)</f>
        <v>1393972.48</v>
      </c>
      <c r="J2350" s="11">
        <f>IFERROR(__xludf.DUMMYFUNCTION("""COMPUTED_VALUE"""),4181917.44)</f>
        <v>4181917.44</v>
      </c>
      <c r="K2350" s="57">
        <f>IFERROR(__xludf.DUMMYFUNCTION("""COMPUTED_VALUE"""),45072.0)</f>
        <v>45072</v>
      </c>
      <c r="L2350" s="6" t="str">
        <f>IFERROR(__xludf.DUMMYFUNCTION("""COMPUTED_VALUE"""),"FIP Engineering")</f>
        <v>FIP Engineering</v>
      </c>
      <c r="M2350" s="6" t="str">
        <f>IFERROR(__xludf.DUMMYFUNCTION("""COMPUTED_VALUE"""),"Irwan Sopian")</f>
        <v>Irwan Sopian</v>
      </c>
      <c r="N2350" s="6" t="str">
        <f>IFERROR(__xludf.DUMMYFUNCTION("""COMPUTED_VALUE"""),"FIP Engineering")</f>
        <v>FIP Engineering</v>
      </c>
      <c r="O2350" s="6" t="str">
        <f>IFERROR(__xludf.DUMMYFUNCTION("""COMPUTED_VALUE"""),"FIP-DOM-000-11304-OS00001-INA-000000")</f>
        <v>FIP-DOM-000-11304-OS00001-INA-000000</v>
      </c>
      <c r="P2350" s="6" t="str">
        <f>IFERROR(__xludf.DUMMYFUNCTION("""COMPUTED_VALUE"""),"PO Closed")</f>
        <v>PO Closed</v>
      </c>
      <c r="Q2350" s="6" t="str">
        <f>IFERROR(__xludf.DUMMYFUNCTION("""COMPUTED_VALUE"""),"GL2304039")</f>
        <v>GL2304039</v>
      </c>
      <c r="R2350" s="57">
        <f>IFERROR(__xludf.DUMMYFUNCTION("""COMPUTED_VALUE"""),45009.0)</f>
        <v>45009</v>
      </c>
      <c r="S2350" s="57">
        <f>IFERROR(__xludf.DUMMYFUNCTION("""COMPUTED_VALUE"""),45013.0)</f>
        <v>45013</v>
      </c>
      <c r="T2350" s="57">
        <f>IFERROR(__xludf.DUMMYFUNCTION("""COMPUTED_VALUE"""),45153.0)</f>
        <v>45153</v>
      </c>
    </row>
    <row r="2351">
      <c r="A2351" s="6" t="str">
        <f>IFERROR(__xludf.DUMMYFUNCTION("""COMPUTED_VALUE"""),"231750224-3")</f>
        <v>231750224-3</v>
      </c>
      <c r="B2351" s="6" t="str">
        <f>IFERROR(__xludf.DUMMYFUNCTION("""COMPUTED_VALUE"""),"231750224 - Approved")</f>
        <v>231750224 - Approved</v>
      </c>
      <c r="C2351" s="6">
        <f>IFERROR(__xludf.DUMMYFUNCTION("""COMPUTED_VALUE"""),3.0)</f>
        <v>3</v>
      </c>
      <c r="D2351" s="6" t="str">
        <f>IFERROR(__xludf.DUMMYFUNCTION("""COMPUTED_VALUE"""),"O-16732-00")</f>
        <v>O-16732-00</v>
      </c>
      <c r="E2351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F2351" s="6">
        <f>IFERROR(__xludf.DUMMYFUNCTION("""COMPUTED_VALUE"""),10.0)</f>
        <v>10</v>
      </c>
      <c r="G2351" s="6" t="str">
        <f>IFERROR(__xludf.DUMMYFUNCTION("""COMPUTED_VALUE"""),"Pieces")</f>
        <v>Pieces</v>
      </c>
      <c r="H2351" s="6" t="str">
        <f>IFERROR(__xludf.DUMMYFUNCTION("""COMPUTED_VALUE"""),"IDR")</f>
        <v>IDR</v>
      </c>
      <c r="I2351" s="11">
        <f>IFERROR(__xludf.DUMMYFUNCTION("""COMPUTED_VALUE"""),116763.73)</f>
        <v>116763.73</v>
      </c>
      <c r="J2351" s="11">
        <f>IFERROR(__xludf.DUMMYFUNCTION("""COMPUTED_VALUE"""),1167637.27)</f>
        <v>1167637.27</v>
      </c>
      <c r="K2351" s="57">
        <f>IFERROR(__xludf.DUMMYFUNCTION("""COMPUTED_VALUE"""),45072.0)</f>
        <v>45072</v>
      </c>
      <c r="L2351" s="6" t="str">
        <f>IFERROR(__xludf.DUMMYFUNCTION("""COMPUTED_VALUE"""),"FIP Engineering")</f>
        <v>FIP Engineering</v>
      </c>
      <c r="M2351" s="6" t="str">
        <f>IFERROR(__xludf.DUMMYFUNCTION("""COMPUTED_VALUE"""),"Irwan Sopian")</f>
        <v>Irwan Sopian</v>
      </c>
      <c r="N2351" s="6" t="str">
        <f>IFERROR(__xludf.DUMMYFUNCTION("""COMPUTED_VALUE"""),"FIP Engineering")</f>
        <v>FIP Engineering</v>
      </c>
      <c r="O2351" s="6" t="str">
        <f>IFERROR(__xludf.DUMMYFUNCTION("""COMPUTED_VALUE"""),"FIP-DOM-000-11304-OS00001-INA-000000")</f>
        <v>FIP-DOM-000-11304-OS00001-INA-000000</v>
      </c>
      <c r="P2351" s="6" t="str">
        <f>IFERROR(__xludf.DUMMYFUNCTION("""COMPUTED_VALUE"""),"PO Closed")</f>
        <v>PO Closed</v>
      </c>
      <c r="Q2351" s="6" t="str">
        <f>IFERROR(__xludf.DUMMYFUNCTION("""COMPUTED_VALUE"""),"GL2304039")</f>
        <v>GL2304039</v>
      </c>
      <c r="R2351" s="57">
        <f>IFERROR(__xludf.DUMMYFUNCTION("""COMPUTED_VALUE"""),45009.0)</f>
        <v>45009</v>
      </c>
      <c r="S2351" s="57">
        <f>IFERROR(__xludf.DUMMYFUNCTION("""COMPUTED_VALUE"""),45013.0)</f>
        <v>45013</v>
      </c>
      <c r="T2351" s="57">
        <f>IFERROR(__xludf.DUMMYFUNCTION("""COMPUTED_VALUE"""),45153.0)</f>
        <v>45153</v>
      </c>
    </row>
    <row r="2352">
      <c r="A2352" s="6" t="str">
        <f>IFERROR(__xludf.DUMMYFUNCTION("""COMPUTED_VALUE"""),"231750224-4")</f>
        <v>231750224-4</v>
      </c>
      <c r="B2352" s="6" t="str">
        <f>IFERROR(__xludf.DUMMYFUNCTION("""COMPUTED_VALUE"""),"231750224 - Approved")</f>
        <v>231750224 - Approved</v>
      </c>
      <c r="C2352" s="6">
        <f>IFERROR(__xludf.DUMMYFUNCTION("""COMPUTED_VALUE"""),4.0)</f>
        <v>4</v>
      </c>
      <c r="D2352" s="6" t="str">
        <f>IFERROR(__xludf.DUMMYFUNCTION("""COMPUTED_VALUE"""),"O-16731-00")</f>
        <v>O-16731-00</v>
      </c>
      <c r="E2352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F2352" s="6">
        <f>IFERROR(__xludf.DUMMYFUNCTION("""COMPUTED_VALUE"""),10.0)</f>
        <v>10</v>
      </c>
      <c r="G2352" s="6" t="str">
        <f>IFERROR(__xludf.DUMMYFUNCTION("""COMPUTED_VALUE"""),"Pieces")</f>
        <v>Pieces</v>
      </c>
      <c r="H2352" s="6" t="str">
        <f>IFERROR(__xludf.DUMMYFUNCTION("""COMPUTED_VALUE"""),"IDR")</f>
        <v>IDR</v>
      </c>
      <c r="I2352" s="11">
        <f>IFERROR(__xludf.DUMMYFUNCTION("""COMPUTED_VALUE"""),595658.43)</f>
        <v>595658.43</v>
      </c>
      <c r="J2352" s="11">
        <f>IFERROR(__xludf.DUMMYFUNCTION("""COMPUTED_VALUE"""),5956584.32)</f>
        <v>5956584.32</v>
      </c>
      <c r="K2352" s="57">
        <f>IFERROR(__xludf.DUMMYFUNCTION("""COMPUTED_VALUE"""),45072.0)</f>
        <v>45072</v>
      </c>
      <c r="L2352" s="6" t="str">
        <f>IFERROR(__xludf.DUMMYFUNCTION("""COMPUTED_VALUE"""),"FIP Engineering")</f>
        <v>FIP Engineering</v>
      </c>
      <c r="M2352" s="6" t="str">
        <f>IFERROR(__xludf.DUMMYFUNCTION("""COMPUTED_VALUE"""),"Irwan Sopian")</f>
        <v>Irwan Sopian</v>
      </c>
      <c r="N2352" s="6" t="str">
        <f>IFERROR(__xludf.DUMMYFUNCTION("""COMPUTED_VALUE"""),"FIP Engineering")</f>
        <v>FIP Engineering</v>
      </c>
      <c r="O2352" s="6" t="str">
        <f>IFERROR(__xludf.DUMMYFUNCTION("""COMPUTED_VALUE"""),"FIP-DOM-000-11304-OS00001-INA-000000")</f>
        <v>FIP-DOM-000-11304-OS00001-INA-000000</v>
      </c>
      <c r="P2352" s="6" t="str">
        <f>IFERROR(__xludf.DUMMYFUNCTION("""COMPUTED_VALUE"""),"PO Closed")</f>
        <v>PO Closed</v>
      </c>
      <c r="Q2352" s="6" t="str">
        <f>IFERROR(__xludf.DUMMYFUNCTION("""COMPUTED_VALUE"""),"GL2304039")</f>
        <v>GL2304039</v>
      </c>
      <c r="R2352" s="57">
        <f>IFERROR(__xludf.DUMMYFUNCTION("""COMPUTED_VALUE"""),45009.0)</f>
        <v>45009</v>
      </c>
      <c r="S2352" s="57">
        <f>IFERROR(__xludf.DUMMYFUNCTION("""COMPUTED_VALUE"""),45013.0)</f>
        <v>45013</v>
      </c>
      <c r="T2352" s="57">
        <f>IFERROR(__xludf.DUMMYFUNCTION("""COMPUTED_VALUE"""),45153.0)</f>
        <v>45153</v>
      </c>
    </row>
    <row r="2353">
      <c r="A2353" s="6" t="str">
        <f>IFERROR(__xludf.DUMMYFUNCTION("""COMPUTED_VALUE"""),"231750224-5")</f>
        <v>231750224-5</v>
      </c>
      <c r="B2353" s="6" t="str">
        <f>IFERROR(__xludf.DUMMYFUNCTION("""COMPUTED_VALUE"""),"231750224 - Approved")</f>
        <v>231750224 - Approved</v>
      </c>
      <c r="C2353" s="6">
        <f>IFERROR(__xludf.DUMMYFUNCTION("""COMPUTED_VALUE"""),5.0)</f>
        <v>5</v>
      </c>
      <c r="D2353" s="6" t="str">
        <f>IFERROR(__xludf.DUMMYFUNCTION("""COMPUTED_VALUE"""),"O-18694-00")</f>
        <v>O-18694-00</v>
      </c>
      <c r="E2353" s="6" t="str">
        <f>IFERROR(__xludf.DUMMYFUNCTION("""COMPUTED_VALUE"""),"Autoclave Fedegari FVA2/A1 NB2963AT - DN22 Blind CAP P/N: PM102748; ; ;")</f>
        <v>Autoclave Fedegari FVA2/A1 NB2963AT - DN22 Blind CAP P/N: PM102748; ; ;</v>
      </c>
      <c r="F2353" s="6">
        <f>IFERROR(__xludf.DUMMYFUNCTION("""COMPUTED_VALUE"""),3.0)</f>
        <v>3</v>
      </c>
      <c r="G2353" s="6" t="str">
        <f>IFERROR(__xludf.DUMMYFUNCTION("""COMPUTED_VALUE"""),"Pieces")</f>
        <v>Pieces</v>
      </c>
      <c r="H2353" s="6" t="str">
        <f>IFERROR(__xludf.DUMMYFUNCTION("""COMPUTED_VALUE"""),"EUR")</f>
        <v>EUR</v>
      </c>
      <c r="I2353" s="6">
        <f>IFERROR(__xludf.DUMMYFUNCTION("""COMPUTED_VALUE"""),28.87)</f>
        <v>28.87</v>
      </c>
      <c r="J2353" s="6">
        <f>IFERROR(__xludf.DUMMYFUNCTION("""COMPUTED_VALUE"""),86.61)</f>
        <v>86.61</v>
      </c>
      <c r="K2353" s="57">
        <f>IFERROR(__xludf.DUMMYFUNCTION("""COMPUTED_VALUE"""),45072.0)</f>
        <v>45072</v>
      </c>
      <c r="L2353" s="6" t="str">
        <f>IFERROR(__xludf.DUMMYFUNCTION("""COMPUTED_VALUE"""),"FIP Engineering")</f>
        <v>FIP Engineering</v>
      </c>
      <c r="M2353" s="6" t="str">
        <f>IFERROR(__xludf.DUMMYFUNCTION("""COMPUTED_VALUE"""),"Irwan Sopian")</f>
        <v>Irwan Sopian</v>
      </c>
      <c r="N2353" s="6" t="str">
        <f>IFERROR(__xludf.DUMMYFUNCTION("""COMPUTED_VALUE"""),"FIP Engineering")</f>
        <v>FIP Engineering</v>
      </c>
      <c r="O2353" s="6" t="str">
        <f>IFERROR(__xludf.DUMMYFUNCTION("""COMPUTED_VALUE"""),"FIP-DOM-000-11304-OS00001-INA-000000")</f>
        <v>FIP-DOM-000-11304-OS00001-INA-000000</v>
      </c>
      <c r="P2353" s="6" t="str">
        <f>IFERROR(__xludf.DUMMYFUNCTION("""COMPUTED_VALUE"""),"PO Closed")</f>
        <v>PO Closed</v>
      </c>
      <c r="Q2353" s="6" t="str">
        <f>IFERROR(__xludf.DUMMYFUNCTION("""COMPUTED_VALUE"""),"GL2304039")</f>
        <v>GL2304039</v>
      </c>
      <c r="R2353" s="57">
        <f>IFERROR(__xludf.DUMMYFUNCTION("""COMPUTED_VALUE"""),45009.0)</f>
        <v>45009</v>
      </c>
      <c r="S2353" s="57">
        <f>IFERROR(__xludf.DUMMYFUNCTION("""COMPUTED_VALUE"""),45013.0)</f>
        <v>45013</v>
      </c>
      <c r="T2353" s="57">
        <f>IFERROR(__xludf.DUMMYFUNCTION("""COMPUTED_VALUE"""),45153.0)</f>
        <v>45153</v>
      </c>
    </row>
    <row r="2354">
      <c r="A2354" s="6" t="str">
        <f>IFERROR(__xludf.DUMMYFUNCTION("""COMPUTED_VALUE"""),"231750224-6")</f>
        <v>231750224-6</v>
      </c>
      <c r="B2354" s="6" t="str">
        <f>IFERROR(__xludf.DUMMYFUNCTION("""COMPUTED_VALUE"""),"231750224 - Approved")</f>
        <v>231750224 - Approved</v>
      </c>
      <c r="C2354" s="6">
        <f>IFERROR(__xludf.DUMMYFUNCTION("""COMPUTED_VALUE"""),6.0)</f>
        <v>6</v>
      </c>
      <c r="D2354" s="6" t="str">
        <f>IFERROR(__xludf.DUMMYFUNCTION("""COMPUTED_VALUE"""),"O-18693-00")</f>
        <v>O-18693-00</v>
      </c>
      <c r="E2354" s="6" t="str">
        <f>IFERROR(__xludf.DUMMYFUNCTION("""COMPUTED_VALUE"""),"Autoclave Fedegari FVA2/A1 NB2963AT - DN16 Blind CAP P/N:PM102747; ; ;")</f>
        <v>Autoclave Fedegari FVA2/A1 NB2963AT - DN16 Blind CAP P/N:PM102747; ; ;</v>
      </c>
      <c r="F2354" s="6">
        <f>IFERROR(__xludf.DUMMYFUNCTION("""COMPUTED_VALUE"""),3.0)</f>
        <v>3</v>
      </c>
      <c r="G2354" s="6" t="str">
        <f>IFERROR(__xludf.DUMMYFUNCTION("""COMPUTED_VALUE"""),"Pieces")</f>
        <v>Pieces</v>
      </c>
      <c r="H2354" s="6" t="str">
        <f>IFERROR(__xludf.DUMMYFUNCTION("""COMPUTED_VALUE"""),"EUR")</f>
        <v>EUR</v>
      </c>
      <c r="I2354" s="6">
        <f>IFERROR(__xludf.DUMMYFUNCTION("""COMPUTED_VALUE"""),36.54)</f>
        <v>36.54</v>
      </c>
      <c r="J2354" s="6">
        <f>IFERROR(__xludf.DUMMYFUNCTION("""COMPUTED_VALUE"""),109.62)</f>
        <v>109.62</v>
      </c>
      <c r="K2354" s="57">
        <f>IFERROR(__xludf.DUMMYFUNCTION("""COMPUTED_VALUE"""),45072.0)</f>
        <v>45072</v>
      </c>
      <c r="L2354" s="6" t="str">
        <f>IFERROR(__xludf.DUMMYFUNCTION("""COMPUTED_VALUE"""),"FIP Engineering")</f>
        <v>FIP Engineering</v>
      </c>
      <c r="M2354" s="6" t="str">
        <f>IFERROR(__xludf.DUMMYFUNCTION("""COMPUTED_VALUE"""),"Irwan Sopian")</f>
        <v>Irwan Sopian</v>
      </c>
      <c r="N2354" s="6" t="str">
        <f>IFERROR(__xludf.DUMMYFUNCTION("""COMPUTED_VALUE"""),"FIP Engineering")</f>
        <v>FIP Engineering</v>
      </c>
      <c r="O2354" s="6" t="str">
        <f>IFERROR(__xludf.DUMMYFUNCTION("""COMPUTED_VALUE"""),"FIP-DOM-000-11304-OS00001-INA-000000")</f>
        <v>FIP-DOM-000-11304-OS00001-INA-000000</v>
      </c>
      <c r="P2354" s="6" t="str">
        <f>IFERROR(__xludf.DUMMYFUNCTION("""COMPUTED_VALUE"""),"PO Closed")</f>
        <v>PO Closed</v>
      </c>
      <c r="Q2354" s="6" t="str">
        <f>IFERROR(__xludf.DUMMYFUNCTION("""COMPUTED_VALUE"""),"GL2304039")</f>
        <v>GL2304039</v>
      </c>
      <c r="R2354" s="57">
        <f>IFERROR(__xludf.DUMMYFUNCTION("""COMPUTED_VALUE"""),45009.0)</f>
        <v>45009</v>
      </c>
      <c r="S2354" s="57">
        <f>IFERROR(__xludf.DUMMYFUNCTION("""COMPUTED_VALUE"""),45013.0)</f>
        <v>45013</v>
      </c>
      <c r="T2354" s="57">
        <f>IFERROR(__xludf.DUMMYFUNCTION("""COMPUTED_VALUE"""),45153.0)</f>
        <v>45153</v>
      </c>
    </row>
    <row r="2355">
      <c r="A2355" s="6" t="str">
        <f>IFERROR(__xludf.DUMMYFUNCTION("""COMPUTED_VALUE"""),"231750224-7")</f>
        <v>231750224-7</v>
      </c>
      <c r="B2355" s="6" t="str">
        <f>IFERROR(__xludf.DUMMYFUNCTION("""COMPUTED_VALUE"""),"231750224 - Approved")</f>
        <v>231750224 - Approved</v>
      </c>
      <c r="C2355" s="6">
        <f>IFERROR(__xludf.DUMMYFUNCTION("""COMPUTED_VALUE"""),7.0)</f>
        <v>7</v>
      </c>
      <c r="D2355" s="6" t="str">
        <f>IFERROR(__xludf.DUMMYFUNCTION("""COMPUTED_VALUE"""),"O-18692-00")</f>
        <v>O-18692-00</v>
      </c>
      <c r="E2355" s="6" t="str">
        <f>IFERROR(__xludf.DUMMYFUNCTION("""COMPUTED_VALUE"""),"Autoclave Fedegari FVA2/A1 NB2963AT - DN10 Blind CAP P/N: PM102746; ; ;")</f>
        <v>Autoclave Fedegari FVA2/A1 NB2963AT - DN10 Blind CAP P/N: PM102746; ; ;</v>
      </c>
      <c r="F2355" s="6">
        <f>IFERROR(__xludf.DUMMYFUNCTION("""COMPUTED_VALUE"""),3.0)</f>
        <v>3</v>
      </c>
      <c r="G2355" s="6" t="str">
        <f>IFERROR(__xludf.DUMMYFUNCTION("""COMPUTED_VALUE"""),"Pieces")</f>
        <v>Pieces</v>
      </c>
      <c r="H2355" s="6" t="str">
        <f>IFERROR(__xludf.DUMMYFUNCTION("""COMPUTED_VALUE"""),"IDR")</f>
        <v>IDR</v>
      </c>
      <c r="I2355" s="6">
        <f>IFERROR(__xludf.DUMMYFUNCTION("""COMPUTED_VALUE"""),28.87)</f>
        <v>28.87</v>
      </c>
      <c r="J2355" s="6">
        <f>IFERROR(__xludf.DUMMYFUNCTION("""COMPUTED_VALUE"""),86.61)</f>
        <v>86.61</v>
      </c>
      <c r="K2355" s="57">
        <f>IFERROR(__xludf.DUMMYFUNCTION("""COMPUTED_VALUE"""),45072.0)</f>
        <v>45072</v>
      </c>
      <c r="L2355" s="6" t="str">
        <f>IFERROR(__xludf.DUMMYFUNCTION("""COMPUTED_VALUE"""),"FIP Engineering")</f>
        <v>FIP Engineering</v>
      </c>
      <c r="M2355" s="6" t="str">
        <f>IFERROR(__xludf.DUMMYFUNCTION("""COMPUTED_VALUE"""),"Irwan Sopian")</f>
        <v>Irwan Sopian</v>
      </c>
      <c r="N2355" s="6" t="str">
        <f>IFERROR(__xludf.DUMMYFUNCTION("""COMPUTED_VALUE"""),"FIP Engineering")</f>
        <v>FIP Engineering</v>
      </c>
      <c r="O2355" s="6" t="str">
        <f>IFERROR(__xludf.DUMMYFUNCTION("""COMPUTED_VALUE"""),"FIP-DOM-000-11304-OS00001-INA-000000")</f>
        <v>FIP-DOM-000-11304-OS00001-INA-000000</v>
      </c>
      <c r="P2355" s="6" t="str">
        <f>IFERROR(__xludf.DUMMYFUNCTION("""COMPUTED_VALUE"""),"PO Closed")</f>
        <v>PO Closed</v>
      </c>
      <c r="Q2355" s="6" t="str">
        <f>IFERROR(__xludf.DUMMYFUNCTION("""COMPUTED_VALUE"""),"GL2304039")</f>
        <v>GL2304039</v>
      </c>
      <c r="R2355" s="57">
        <f>IFERROR(__xludf.DUMMYFUNCTION("""COMPUTED_VALUE"""),45009.0)</f>
        <v>45009</v>
      </c>
      <c r="S2355" s="57">
        <f>IFERROR(__xludf.DUMMYFUNCTION("""COMPUTED_VALUE"""),45013.0)</f>
        <v>45013</v>
      </c>
      <c r="T2355" s="57">
        <f>IFERROR(__xludf.DUMMYFUNCTION("""COMPUTED_VALUE"""),45153.0)</f>
        <v>45153</v>
      </c>
    </row>
    <row r="2356">
      <c r="A2356" s="6" t="str">
        <f>IFERROR(__xludf.DUMMYFUNCTION("""COMPUTED_VALUE"""),"231750224-8")</f>
        <v>231750224-8</v>
      </c>
      <c r="B2356" s="6" t="str">
        <f>IFERROR(__xludf.DUMMYFUNCTION("""COMPUTED_VALUE"""),"231750224 - Approved")</f>
        <v>231750224 - Approved</v>
      </c>
      <c r="C2356" s="6">
        <f>IFERROR(__xludf.DUMMYFUNCTION("""COMPUTED_VALUE"""),8.0)</f>
        <v>8</v>
      </c>
      <c r="D2356" s="6" t="str">
        <f>IFERROR(__xludf.DUMMYFUNCTION("""COMPUTED_VALUE"""),"O-18691-00")</f>
        <v>O-18691-00</v>
      </c>
      <c r="E2356" s="6" t="str">
        <f>IFERROR(__xludf.DUMMYFUNCTION("""COMPUTED_VALUE"""),"Autoclave Fedegari FVA2/A1 NB2963AT - DN6 Blind CAP P/N: PM101233; ; ;")</f>
        <v>Autoclave Fedegari FVA2/A1 NB2963AT - DN6 Blind CAP P/N: PM101233; ; ;</v>
      </c>
      <c r="F2356" s="6">
        <f>IFERROR(__xludf.DUMMYFUNCTION("""COMPUTED_VALUE"""),3.0)</f>
        <v>3</v>
      </c>
      <c r="G2356" s="6" t="str">
        <f>IFERROR(__xludf.DUMMYFUNCTION("""COMPUTED_VALUE"""),"Pieces")</f>
        <v>Pieces</v>
      </c>
      <c r="H2356" s="6" t="str">
        <f>IFERROR(__xludf.DUMMYFUNCTION("""COMPUTED_VALUE"""),"EUR")</f>
        <v>EUR</v>
      </c>
      <c r="I2356" s="6">
        <f>IFERROR(__xludf.DUMMYFUNCTION("""COMPUTED_VALUE"""),24.37)</f>
        <v>24.37</v>
      </c>
      <c r="J2356" s="6">
        <f>IFERROR(__xludf.DUMMYFUNCTION("""COMPUTED_VALUE"""),73.11)</f>
        <v>73.11</v>
      </c>
      <c r="K2356" s="57">
        <f>IFERROR(__xludf.DUMMYFUNCTION("""COMPUTED_VALUE"""),45072.0)</f>
        <v>45072</v>
      </c>
      <c r="L2356" s="6" t="str">
        <f>IFERROR(__xludf.DUMMYFUNCTION("""COMPUTED_VALUE"""),"FIP Engineering")</f>
        <v>FIP Engineering</v>
      </c>
      <c r="M2356" s="6" t="str">
        <f>IFERROR(__xludf.DUMMYFUNCTION("""COMPUTED_VALUE"""),"Irwan Sopian")</f>
        <v>Irwan Sopian</v>
      </c>
      <c r="N2356" s="6" t="str">
        <f>IFERROR(__xludf.DUMMYFUNCTION("""COMPUTED_VALUE"""),"FIP Engineering")</f>
        <v>FIP Engineering</v>
      </c>
      <c r="O2356" s="6" t="str">
        <f>IFERROR(__xludf.DUMMYFUNCTION("""COMPUTED_VALUE"""),"FIP-DOM-000-11304-OS00001-INA-000000")</f>
        <v>FIP-DOM-000-11304-OS00001-INA-000000</v>
      </c>
      <c r="P2356" s="6" t="str">
        <f>IFERROR(__xludf.DUMMYFUNCTION("""COMPUTED_VALUE"""),"PO Closed")</f>
        <v>PO Closed</v>
      </c>
      <c r="Q2356" s="6" t="str">
        <f>IFERROR(__xludf.DUMMYFUNCTION("""COMPUTED_VALUE"""),"GL2304039")</f>
        <v>GL2304039</v>
      </c>
      <c r="R2356" s="57">
        <f>IFERROR(__xludf.DUMMYFUNCTION("""COMPUTED_VALUE"""),45009.0)</f>
        <v>45009</v>
      </c>
      <c r="S2356" s="57">
        <f>IFERROR(__xludf.DUMMYFUNCTION("""COMPUTED_VALUE"""),45013.0)</f>
        <v>45013</v>
      </c>
      <c r="T2356" s="57">
        <f>IFERROR(__xludf.DUMMYFUNCTION("""COMPUTED_VALUE"""),45153.0)</f>
        <v>45153</v>
      </c>
    </row>
    <row r="2357">
      <c r="A2357" s="6" t="str">
        <f>IFERROR(__xludf.DUMMYFUNCTION("""COMPUTED_VALUE"""),"231750224-9")</f>
        <v>231750224-9</v>
      </c>
      <c r="B2357" s="6" t="str">
        <f>IFERROR(__xludf.DUMMYFUNCTION("""COMPUTED_VALUE"""),"231750224 - Approved")</f>
        <v>231750224 - Approved</v>
      </c>
      <c r="C2357" s="6">
        <f>IFERROR(__xludf.DUMMYFUNCTION("""COMPUTED_VALUE"""),9.0)</f>
        <v>9</v>
      </c>
      <c r="D2357" s="6" t="str">
        <f>IFERROR(__xludf.DUMMYFUNCTION("""COMPUTED_VALUE"""),"O-18690-00")</f>
        <v>O-18690-00</v>
      </c>
      <c r="E2357" s="6" t="str">
        <f>IFERROR(__xludf.DUMMYFUNCTION("""COMPUTED_VALUE"""),"Autoclave Fedegari FVA2/A1 NB2963AT - DN48/DN50 CLAMP P/N: GM100049; ; ;")</f>
        <v>Autoclave Fedegari FVA2/A1 NB2963AT - DN48/DN50 CLAMP P/N: GM100049; ; ;</v>
      </c>
      <c r="F2357" s="6">
        <f>IFERROR(__xludf.DUMMYFUNCTION("""COMPUTED_VALUE"""),5.0)</f>
        <v>5</v>
      </c>
      <c r="G2357" s="6" t="str">
        <f>IFERROR(__xludf.DUMMYFUNCTION("""COMPUTED_VALUE"""),"Pieces")</f>
        <v>Pieces</v>
      </c>
      <c r="H2357" s="6" t="str">
        <f>IFERROR(__xludf.DUMMYFUNCTION("""COMPUTED_VALUE"""),"EUR")</f>
        <v>EUR</v>
      </c>
      <c r="I2357" s="6">
        <f>IFERROR(__xludf.DUMMYFUNCTION("""COMPUTED_VALUE"""),33.81)</f>
        <v>33.81</v>
      </c>
      <c r="J2357" s="6">
        <f>IFERROR(__xludf.DUMMYFUNCTION("""COMPUTED_VALUE"""),169.05)</f>
        <v>169.05</v>
      </c>
      <c r="K2357" s="57">
        <f>IFERROR(__xludf.DUMMYFUNCTION("""COMPUTED_VALUE"""),45072.0)</f>
        <v>45072</v>
      </c>
      <c r="L2357" s="6" t="str">
        <f>IFERROR(__xludf.DUMMYFUNCTION("""COMPUTED_VALUE"""),"FIP Engineering")</f>
        <v>FIP Engineering</v>
      </c>
      <c r="M2357" s="6" t="str">
        <f>IFERROR(__xludf.DUMMYFUNCTION("""COMPUTED_VALUE"""),"Irwan Sopian")</f>
        <v>Irwan Sopian</v>
      </c>
      <c r="N2357" s="6" t="str">
        <f>IFERROR(__xludf.DUMMYFUNCTION("""COMPUTED_VALUE"""),"FIP Engineering")</f>
        <v>FIP Engineering</v>
      </c>
      <c r="O2357" s="6" t="str">
        <f>IFERROR(__xludf.DUMMYFUNCTION("""COMPUTED_VALUE"""),"FIP-DOM-000-11304-OS00001-INA-000000")</f>
        <v>FIP-DOM-000-11304-OS00001-INA-000000</v>
      </c>
      <c r="P2357" s="6" t="str">
        <f>IFERROR(__xludf.DUMMYFUNCTION("""COMPUTED_VALUE"""),"PO Closed")</f>
        <v>PO Closed</v>
      </c>
      <c r="Q2357" s="6" t="str">
        <f>IFERROR(__xludf.DUMMYFUNCTION("""COMPUTED_VALUE"""),"GL2304039")</f>
        <v>GL2304039</v>
      </c>
      <c r="R2357" s="57">
        <f>IFERROR(__xludf.DUMMYFUNCTION("""COMPUTED_VALUE"""),45009.0)</f>
        <v>45009</v>
      </c>
      <c r="S2357" s="57">
        <f>IFERROR(__xludf.DUMMYFUNCTION("""COMPUTED_VALUE"""),45013.0)</f>
        <v>45013</v>
      </c>
      <c r="T2357" s="57">
        <f>IFERROR(__xludf.DUMMYFUNCTION("""COMPUTED_VALUE"""),45153.0)</f>
        <v>45153</v>
      </c>
    </row>
    <row r="2358">
      <c r="A2358" s="6" t="str">
        <f>IFERROR(__xludf.DUMMYFUNCTION("""COMPUTED_VALUE"""),"231750224-10")</f>
        <v>231750224-10</v>
      </c>
      <c r="B2358" s="6" t="str">
        <f>IFERROR(__xludf.DUMMYFUNCTION("""COMPUTED_VALUE"""),"231750224 - Approved")</f>
        <v>231750224 - Approved</v>
      </c>
      <c r="C2358" s="6">
        <f>IFERROR(__xludf.DUMMYFUNCTION("""COMPUTED_VALUE"""),10.0)</f>
        <v>10</v>
      </c>
      <c r="D2358" s="6" t="str">
        <f>IFERROR(__xludf.DUMMYFUNCTION("""COMPUTED_VALUE"""),"O-18688-00")</f>
        <v>O-18688-00</v>
      </c>
      <c r="E2358" s="6" t="str">
        <f>IFERROR(__xludf.DUMMYFUNCTION("""COMPUTED_VALUE"""),"Autoclave Fedegari FVA2/A1 NB2963AT - DN20/DN22 CLAMP P/N: GM100067; ; ;")</f>
        <v>Autoclave Fedegari FVA2/A1 NB2963AT - DN20/DN22 CLAMP P/N: GM100067; ; ;</v>
      </c>
      <c r="F2358" s="6">
        <f>IFERROR(__xludf.DUMMYFUNCTION("""COMPUTED_VALUE"""),5.0)</f>
        <v>5</v>
      </c>
      <c r="G2358" s="6" t="str">
        <f>IFERROR(__xludf.DUMMYFUNCTION("""COMPUTED_VALUE"""),"Pieces")</f>
        <v>Pieces</v>
      </c>
      <c r="H2358" s="6" t="str">
        <f>IFERROR(__xludf.DUMMYFUNCTION("""COMPUTED_VALUE"""),"EUR")</f>
        <v>EUR</v>
      </c>
      <c r="I2358" s="6">
        <f>IFERROR(__xludf.DUMMYFUNCTION("""COMPUTED_VALUE"""),27.08)</f>
        <v>27.08</v>
      </c>
      <c r="J2358" s="6">
        <f>IFERROR(__xludf.DUMMYFUNCTION("""COMPUTED_VALUE"""),135.4)</f>
        <v>135.4</v>
      </c>
      <c r="K2358" s="57">
        <f>IFERROR(__xludf.DUMMYFUNCTION("""COMPUTED_VALUE"""),45072.0)</f>
        <v>45072</v>
      </c>
      <c r="L2358" s="6" t="str">
        <f>IFERROR(__xludf.DUMMYFUNCTION("""COMPUTED_VALUE"""),"FIP Engineering")</f>
        <v>FIP Engineering</v>
      </c>
      <c r="M2358" s="6" t="str">
        <f>IFERROR(__xludf.DUMMYFUNCTION("""COMPUTED_VALUE"""),"Irwan Sopian")</f>
        <v>Irwan Sopian</v>
      </c>
      <c r="N2358" s="6" t="str">
        <f>IFERROR(__xludf.DUMMYFUNCTION("""COMPUTED_VALUE"""),"FIP Engineering")</f>
        <v>FIP Engineering</v>
      </c>
      <c r="O2358" s="6" t="str">
        <f>IFERROR(__xludf.DUMMYFUNCTION("""COMPUTED_VALUE"""),"FIP-DOM-000-11304-OS00001-INA-000000")</f>
        <v>FIP-DOM-000-11304-OS00001-INA-000000</v>
      </c>
      <c r="P2358" s="6" t="str">
        <f>IFERROR(__xludf.DUMMYFUNCTION("""COMPUTED_VALUE"""),"PO Closed")</f>
        <v>PO Closed</v>
      </c>
      <c r="Q2358" s="6" t="str">
        <f>IFERROR(__xludf.DUMMYFUNCTION("""COMPUTED_VALUE"""),"GL2304039")</f>
        <v>GL2304039</v>
      </c>
      <c r="R2358" s="57">
        <f>IFERROR(__xludf.DUMMYFUNCTION("""COMPUTED_VALUE"""),45009.0)</f>
        <v>45009</v>
      </c>
      <c r="S2358" s="57">
        <f>IFERROR(__xludf.DUMMYFUNCTION("""COMPUTED_VALUE"""),45013.0)</f>
        <v>45013</v>
      </c>
      <c r="T2358" s="57">
        <f>IFERROR(__xludf.DUMMYFUNCTION("""COMPUTED_VALUE"""),45153.0)</f>
        <v>45153</v>
      </c>
    </row>
    <row r="2359">
      <c r="A2359" s="6" t="str">
        <f>IFERROR(__xludf.DUMMYFUNCTION("""COMPUTED_VALUE"""),"231750224-11")</f>
        <v>231750224-11</v>
      </c>
      <c r="B2359" s="6" t="str">
        <f>IFERROR(__xludf.DUMMYFUNCTION("""COMPUTED_VALUE"""),"231750224 - Approved")</f>
        <v>231750224 - Approved</v>
      </c>
      <c r="C2359" s="6">
        <f>IFERROR(__xludf.DUMMYFUNCTION("""COMPUTED_VALUE"""),11.0)</f>
        <v>11</v>
      </c>
      <c r="D2359" s="6" t="str">
        <f>IFERROR(__xludf.DUMMYFUNCTION("""COMPUTED_VALUE"""),"O-18687-00")</f>
        <v>O-18687-00</v>
      </c>
      <c r="E2359" s="6" t="str">
        <f>IFERROR(__xludf.DUMMYFUNCTION("""COMPUTED_VALUE"""),"Autoclave Fedegari FVA2/A1 NB2963AT - DN10/DN16 CLAMP P/N: GM100017; ; ;")</f>
        <v>Autoclave Fedegari FVA2/A1 NB2963AT - DN10/DN16 CLAMP P/N: GM100017; ; ;</v>
      </c>
      <c r="F2359" s="6">
        <f>IFERROR(__xludf.DUMMYFUNCTION("""COMPUTED_VALUE"""),8.0)</f>
        <v>8</v>
      </c>
      <c r="G2359" s="6" t="str">
        <f>IFERROR(__xludf.DUMMYFUNCTION("""COMPUTED_VALUE"""),"Pieces")</f>
        <v>Pieces</v>
      </c>
      <c r="H2359" s="6" t="str">
        <f>IFERROR(__xludf.DUMMYFUNCTION("""COMPUTED_VALUE"""),"EUR")</f>
        <v>EUR</v>
      </c>
      <c r="I2359" s="6">
        <f>IFERROR(__xludf.DUMMYFUNCTION("""COMPUTED_VALUE"""),27.08)</f>
        <v>27.08</v>
      </c>
      <c r="J2359" s="6">
        <f>IFERROR(__xludf.DUMMYFUNCTION("""COMPUTED_VALUE"""),216.64)</f>
        <v>216.64</v>
      </c>
      <c r="K2359" s="57">
        <f>IFERROR(__xludf.DUMMYFUNCTION("""COMPUTED_VALUE"""),45072.0)</f>
        <v>45072</v>
      </c>
      <c r="L2359" s="6" t="str">
        <f>IFERROR(__xludf.DUMMYFUNCTION("""COMPUTED_VALUE"""),"FIP Engineering")</f>
        <v>FIP Engineering</v>
      </c>
      <c r="M2359" s="6" t="str">
        <f>IFERROR(__xludf.DUMMYFUNCTION("""COMPUTED_VALUE"""),"Irwan Sopian")</f>
        <v>Irwan Sopian</v>
      </c>
      <c r="N2359" s="6" t="str">
        <f>IFERROR(__xludf.DUMMYFUNCTION("""COMPUTED_VALUE"""),"FIP Engineering")</f>
        <v>FIP Engineering</v>
      </c>
      <c r="O2359" s="6" t="str">
        <f>IFERROR(__xludf.DUMMYFUNCTION("""COMPUTED_VALUE"""),"FIP-DOM-000-11304-OS00001-INA-000000")</f>
        <v>FIP-DOM-000-11304-OS00001-INA-000000</v>
      </c>
      <c r="P2359" s="6" t="str">
        <f>IFERROR(__xludf.DUMMYFUNCTION("""COMPUTED_VALUE"""),"PO Closed")</f>
        <v>PO Closed</v>
      </c>
      <c r="Q2359" s="6" t="str">
        <f>IFERROR(__xludf.DUMMYFUNCTION("""COMPUTED_VALUE"""),"GL2304039")</f>
        <v>GL2304039</v>
      </c>
      <c r="R2359" s="57">
        <f>IFERROR(__xludf.DUMMYFUNCTION("""COMPUTED_VALUE"""),45009.0)</f>
        <v>45009</v>
      </c>
      <c r="S2359" s="57">
        <f>IFERROR(__xludf.DUMMYFUNCTION("""COMPUTED_VALUE"""),45013.0)</f>
        <v>45013</v>
      </c>
      <c r="T2359" s="57">
        <f>IFERROR(__xludf.DUMMYFUNCTION("""COMPUTED_VALUE"""),45153.0)</f>
        <v>45153</v>
      </c>
    </row>
    <row r="2360">
      <c r="A2360" s="6" t="str">
        <f>IFERROR(__xludf.DUMMYFUNCTION("""COMPUTED_VALUE"""),"231750224-12")</f>
        <v>231750224-12</v>
      </c>
      <c r="B2360" s="6" t="str">
        <f>IFERROR(__xludf.DUMMYFUNCTION("""COMPUTED_VALUE"""),"231750224 - Approved")</f>
        <v>231750224 - Approved</v>
      </c>
      <c r="C2360" s="6">
        <f>IFERROR(__xludf.DUMMYFUNCTION("""COMPUTED_VALUE"""),12.0)</f>
        <v>12</v>
      </c>
      <c r="D2360" s="6" t="str">
        <f>IFERROR(__xludf.DUMMYFUNCTION("""COMPUTED_VALUE"""),"O-18686-00")</f>
        <v>O-18686-00</v>
      </c>
      <c r="E2360" s="6" t="str">
        <f>IFERROR(__xludf.DUMMYFUNCTION("""COMPUTED_VALUE"""),"Autoclave Fedegari FVA2/A1 NB2963AT - DN6-8 CLAMP P/N: GM100029; ; ;")</f>
        <v>Autoclave Fedegari FVA2/A1 NB2963AT - DN6-8 CLAMP P/N: GM100029; ; ;</v>
      </c>
      <c r="F2360" s="6">
        <f>IFERROR(__xludf.DUMMYFUNCTION("""COMPUTED_VALUE"""),3.0)</f>
        <v>3</v>
      </c>
      <c r="G2360" s="6" t="str">
        <f>IFERROR(__xludf.DUMMYFUNCTION("""COMPUTED_VALUE"""),"Pieces")</f>
        <v>Pieces</v>
      </c>
      <c r="H2360" s="6" t="str">
        <f>IFERROR(__xludf.DUMMYFUNCTION("""COMPUTED_VALUE"""),"EUR")</f>
        <v>EUR</v>
      </c>
      <c r="I2360" s="6">
        <f>IFERROR(__xludf.DUMMYFUNCTION("""COMPUTED_VALUE"""),27.08)</f>
        <v>27.08</v>
      </c>
      <c r="J2360" s="6">
        <f>IFERROR(__xludf.DUMMYFUNCTION("""COMPUTED_VALUE"""),81.24)</f>
        <v>81.24</v>
      </c>
      <c r="K2360" s="57">
        <f>IFERROR(__xludf.DUMMYFUNCTION("""COMPUTED_VALUE"""),45072.0)</f>
        <v>45072</v>
      </c>
      <c r="L2360" s="6" t="str">
        <f>IFERROR(__xludf.DUMMYFUNCTION("""COMPUTED_VALUE"""),"FIP Engineering")</f>
        <v>FIP Engineering</v>
      </c>
      <c r="M2360" s="6" t="str">
        <f>IFERROR(__xludf.DUMMYFUNCTION("""COMPUTED_VALUE"""),"Irwan Sopian")</f>
        <v>Irwan Sopian</v>
      </c>
      <c r="N2360" s="6" t="str">
        <f>IFERROR(__xludf.DUMMYFUNCTION("""COMPUTED_VALUE"""),"FIP Engineering")</f>
        <v>FIP Engineering</v>
      </c>
      <c r="O2360" s="6" t="str">
        <f>IFERROR(__xludf.DUMMYFUNCTION("""COMPUTED_VALUE"""),"FIP-DOM-000-11304-OS00001-INA-000000")</f>
        <v>FIP-DOM-000-11304-OS00001-INA-000000</v>
      </c>
      <c r="P2360" s="6" t="str">
        <f>IFERROR(__xludf.DUMMYFUNCTION("""COMPUTED_VALUE"""),"PO Closed")</f>
        <v>PO Closed</v>
      </c>
      <c r="Q2360" s="6" t="str">
        <f>IFERROR(__xludf.DUMMYFUNCTION("""COMPUTED_VALUE"""),"GL2304039")</f>
        <v>GL2304039</v>
      </c>
      <c r="R2360" s="57">
        <f>IFERROR(__xludf.DUMMYFUNCTION("""COMPUTED_VALUE"""),45009.0)</f>
        <v>45009</v>
      </c>
      <c r="S2360" s="57">
        <f>IFERROR(__xludf.DUMMYFUNCTION("""COMPUTED_VALUE"""),45013.0)</f>
        <v>45013</v>
      </c>
      <c r="T2360" s="57">
        <f>IFERROR(__xludf.DUMMYFUNCTION("""COMPUTED_VALUE"""),45153.0)</f>
        <v>45153</v>
      </c>
    </row>
    <row r="2361">
      <c r="A2361" s="6" t="str">
        <f>IFERROR(__xludf.DUMMYFUNCTION("""COMPUTED_VALUE"""),"231750228-1")</f>
        <v>231750228-1</v>
      </c>
      <c r="B2361" s="6" t="str">
        <f>IFERROR(__xludf.DUMMYFUNCTION("""COMPUTED_VALUE"""),"231750228 - Approved")</f>
        <v>231750228 - Approved</v>
      </c>
      <c r="C2361" s="6">
        <f>IFERROR(__xludf.DUMMYFUNCTION("""COMPUTED_VALUE"""),1.0)</f>
        <v>1</v>
      </c>
      <c r="D2361" s="6" t="str">
        <f>IFERROR(__xludf.DUMMYFUNCTION("""COMPUTED_VALUE"""),"S-60050-00")</f>
        <v>S-60050-00</v>
      </c>
      <c r="E2361" s="6" t="str">
        <f>IFERROR(__xludf.DUMMYFUNCTION("""COMPUTED_VALUE"""),"Jasa Perbaikan dan Pemeliharaan Mesin Produksi; ; ; - PROGRAMMING PLC &amp; Upgrade Inverter dari micro master ke Sinamic")</f>
        <v>Jasa Perbaikan dan Pemeliharaan Mesin Produksi; ; ; - PROGRAMMING PLC &amp; Upgrade Inverter dari micro master ke Sinamic</v>
      </c>
      <c r="F2361" s="6">
        <f>IFERROR(__xludf.DUMMYFUNCTION("""COMPUTED_VALUE"""),1.0)</f>
        <v>1</v>
      </c>
      <c r="G2361" s="6" t="str">
        <f>IFERROR(__xludf.DUMMYFUNCTION("""COMPUTED_VALUE"""),"Pieces")</f>
        <v>Pieces</v>
      </c>
      <c r="H2361" s="6" t="str">
        <f>IFERROR(__xludf.DUMMYFUNCTION("""COMPUTED_VALUE"""),"IDR")</f>
        <v>IDR</v>
      </c>
      <c r="I2361" s="11">
        <f>IFERROR(__xludf.DUMMYFUNCTION("""COMPUTED_VALUE"""),1.6667E7)</f>
        <v>16667000</v>
      </c>
      <c r="J2361" s="11">
        <f>IFERROR(__xludf.DUMMYFUNCTION("""COMPUTED_VALUE"""),1.6667E7)</f>
        <v>16667000</v>
      </c>
      <c r="K2361" s="57">
        <f>IFERROR(__xludf.DUMMYFUNCTION("""COMPUTED_VALUE"""),45072.0)</f>
        <v>45072</v>
      </c>
      <c r="L2361" s="6" t="str">
        <f>IFERROR(__xludf.DUMMYFUNCTION("""COMPUTED_VALUE"""),"FIP General")</f>
        <v>FIP General</v>
      </c>
      <c r="M2361" s="6" t="str">
        <f>IFERROR(__xludf.DUMMYFUNCTION("""COMPUTED_VALUE"""),"Irwan Sopian")</f>
        <v>Irwan Sopian</v>
      </c>
      <c r="N2361" s="6" t="str">
        <f>IFERROR(__xludf.DUMMYFUNCTION("""COMPUTED_VALUE"""),"FIP Engineering")</f>
        <v>FIP Engineering</v>
      </c>
      <c r="O2361" s="6" t="str">
        <f>IFERROR(__xludf.DUMMYFUNCTION("""COMPUTED_VALUE"""),"FIP-DOM-ENG-51504-0000000-INA-000000")</f>
        <v>FIP-DOM-ENG-51504-0000000-INA-000000</v>
      </c>
      <c r="P2361" s="6" t="str">
        <f>IFERROR(__xludf.DUMMYFUNCTION("""COMPUTED_VALUE"""),"PO Closed")</f>
        <v>PO Closed</v>
      </c>
      <c r="Q2361" s="6" t="str">
        <f>IFERROR(__xludf.DUMMYFUNCTION("""COMPUTED_VALUE"""),"GL2305001")</f>
        <v>GL2305001</v>
      </c>
      <c r="R2361" s="57">
        <f>IFERROR(__xludf.DUMMYFUNCTION("""COMPUTED_VALUE"""),45010.0)</f>
        <v>45010</v>
      </c>
      <c r="S2361" s="57">
        <f>IFERROR(__xludf.DUMMYFUNCTION("""COMPUTED_VALUE"""),45014.0)</f>
        <v>45014</v>
      </c>
      <c r="T2361" s="57">
        <f>IFERROR(__xludf.DUMMYFUNCTION("""COMPUTED_VALUE"""),45082.0)</f>
        <v>45082</v>
      </c>
    </row>
    <row r="2362">
      <c r="A2362" s="6" t="str">
        <f>IFERROR(__xludf.DUMMYFUNCTION("""COMPUTED_VALUE"""),"231750228-2")</f>
        <v>231750228-2</v>
      </c>
      <c r="B2362" s="6" t="str">
        <f>IFERROR(__xludf.DUMMYFUNCTION("""COMPUTED_VALUE"""),"231750228 - Approved")</f>
        <v>231750228 - Approved</v>
      </c>
      <c r="C2362" s="6">
        <f>IFERROR(__xludf.DUMMYFUNCTION("""COMPUTED_VALUE"""),2.0)</f>
        <v>2</v>
      </c>
      <c r="D2362" s="6" t="str">
        <f>IFERROR(__xludf.DUMMYFUNCTION("""COMPUTED_VALUE"""),"S-60050-00")</f>
        <v>S-60050-00</v>
      </c>
      <c r="E2362" s="6" t="str">
        <f>IFERROR(__xludf.DUMMYFUNCTION("""COMPUTED_VALUE"""),"Jasa Perbaikan dan Pemeliharaan Mesin Produksi; ; ; - Materian For Jasa 1. SINAMICS Power Module PM240-2 0.37 KW 2. SINAMIC G120 Control Unit CU250S-2 3. Basic Operator Panel (BOP-2) G120 Sinamatic2")</f>
        <v>Jasa Perbaikan dan Pemeliharaan Mesin Produksi; ; ; - Materian For Jasa 1. SINAMICS Power Module PM240-2 0.37 KW 2. SINAMIC G120 Control Unit CU250S-2 3. Basic Operator Panel (BOP-2) G120 Sinamatic2</v>
      </c>
      <c r="F2362" s="6">
        <f>IFERROR(__xludf.DUMMYFUNCTION("""COMPUTED_VALUE"""),1.0)</f>
        <v>1</v>
      </c>
      <c r="G2362" s="6" t="str">
        <f>IFERROR(__xludf.DUMMYFUNCTION("""COMPUTED_VALUE"""),"Pieces")</f>
        <v>Pieces</v>
      </c>
      <c r="H2362" s="6" t="str">
        <f>IFERROR(__xludf.DUMMYFUNCTION("""COMPUTED_VALUE"""),"IDR")</f>
        <v>IDR</v>
      </c>
      <c r="I2362" s="11">
        <f>IFERROR(__xludf.DUMMYFUNCTION("""COMPUTED_VALUE"""),1.0684E7)</f>
        <v>10684000</v>
      </c>
      <c r="J2362" s="11">
        <f>IFERROR(__xludf.DUMMYFUNCTION("""COMPUTED_VALUE"""),1.0684E7)</f>
        <v>10684000</v>
      </c>
      <c r="K2362" s="57">
        <f>IFERROR(__xludf.DUMMYFUNCTION("""COMPUTED_VALUE"""),45072.0)</f>
        <v>45072</v>
      </c>
      <c r="L2362" s="6" t="str">
        <f>IFERROR(__xludf.DUMMYFUNCTION("""COMPUTED_VALUE"""),"FIP General")</f>
        <v>FIP General</v>
      </c>
      <c r="M2362" s="6" t="str">
        <f>IFERROR(__xludf.DUMMYFUNCTION("""COMPUTED_VALUE"""),"Irwan Sopian")</f>
        <v>Irwan Sopian</v>
      </c>
      <c r="N2362" s="6" t="str">
        <f>IFERROR(__xludf.DUMMYFUNCTION("""COMPUTED_VALUE"""),"FIP Engineering")</f>
        <v>FIP Engineering</v>
      </c>
      <c r="O2362" s="6" t="str">
        <f>IFERROR(__xludf.DUMMYFUNCTION("""COMPUTED_VALUE"""),"FIP-DOM-ENG-51504-0000000-INA-000000")</f>
        <v>FIP-DOM-ENG-51504-0000000-INA-000000</v>
      </c>
      <c r="P2362" s="6" t="str">
        <f>IFERROR(__xludf.DUMMYFUNCTION("""COMPUTED_VALUE"""),"PO Closed")</f>
        <v>PO Closed</v>
      </c>
      <c r="Q2362" s="6" t="str">
        <f>IFERROR(__xludf.DUMMYFUNCTION("""COMPUTED_VALUE"""),"GL2305001")</f>
        <v>GL2305001</v>
      </c>
      <c r="R2362" s="57">
        <f>IFERROR(__xludf.DUMMYFUNCTION("""COMPUTED_VALUE"""),45010.0)</f>
        <v>45010</v>
      </c>
      <c r="S2362" s="57">
        <f>IFERROR(__xludf.DUMMYFUNCTION("""COMPUTED_VALUE"""),45014.0)</f>
        <v>45014</v>
      </c>
      <c r="T2362" s="57">
        <f>IFERROR(__xludf.DUMMYFUNCTION("""COMPUTED_VALUE"""),45082.0)</f>
        <v>45082</v>
      </c>
    </row>
    <row r="2363">
      <c r="A2363" s="6" t="str">
        <f>IFERROR(__xludf.DUMMYFUNCTION("""COMPUTED_VALUE"""),"231750229-1")</f>
        <v>231750229-1</v>
      </c>
      <c r="B2363" s="6" t="str">
        <f>IFERROR(__xludf.DUMMYFUNCTION("""COMPUTED_VALUE"""),"231750229 - Approved")</f>
        <v>231750229 - Approved</v>
      </c>
      <c r="C2363" s="6">
        <f>IFERROR(__xludf.DUMMYFUNCTION("""COMPUTED_VALUE"""),1.0)</f>
        <v>1</v>
      </c>
      <c r="D2363" s="6" t="str">
        <f>IFERROR(__xludf.DUMMYFUNCTION("""COMPUTED_VALUE"""),"R-50000-00")</f>
        <v>R-50000-00</v>
      </c>
      <c r="E2363" s="6" t="str">
        <f>IFERROR(__xludf.DUMMYFUNCTION("""COMPUTED_VALUE"""),"Furnitures - KURSI KANTOR CHAIRMAN (SC 309) HITAM")</f>
        <v>Furnitures - KURSI KANTOR CHAIRMAN (SC 309) HITAM</v>
      </c>
      <c r="F2363" s="6">
        <f>IFERROR(__xludf.DUMMYFUNCTION("""COMPUTED_VALUE"""),8.0)</f>
        <v>8</v>
      </c>
      <c r="G2363" s="6" t="str">
        <f>IFERROR(__xludf.DUMMYFUNCTION("""COMPUTED_VALUE"""),"Unit")</f>
        <v>Unit</v>
      </c>
      <c r="H2363" s="6" t="str">
        <f>IFERROR(__xludf.DUMMYFUNCTION("""COMPUTED_VALUE"""),"IDR")</f>
        <v>IDR</v>
      </c>
      <c r="I2363" s="11">
        <f>IFERROR(__xludf.DUMMYFUNCTION("""COMPUTED_VALUE"""),700000.0)</f>
        <v>700000</v>
      </c>
      <c r="J2363" s="11">
        <f>IFERROR(__xludf.DUMMYFUNCTION("""COMPUTED_VALUE"""),5600000.0)</f>
        <v>5600000</v>
      </c>
      <c r="K2363" s="57">
        <f>IFERROR(__xludf.DUMMYFUNCTION("""COMPUTED_VALUE"""),45062.0)</f>
        <v>45062</v>
      </c>
      <c r="L2363" s="6" t="str">
        <f>IFERROR(__xludf.DUMMYFUNCTION("""COMPUTED_VALUE"""),"FIP General")</f>
        <v>FIP General</v>
      </c>
      <c r="M2363" s="6" t="str">
        <f>IFERROR(__xludf.DUMMYFUNCTION("""COMPUTED_VALUE"""),"Irwan Sopian")</f>
        <v>Irwan Sopian</v>
      </c>
      <c r="N2363" s="6" t="str">
        <f>IFERROR(__xludf.DUMMYFUNCTION("""COMPUTED_VALUE"""),"FIP Engineering")</f>
        <v>FIP Engineering</v>
      </c>
      <c r="O2363" s="6" t="str">
        <f>IFERROR(__xludf.DUMMYFUNCTION("""COMPUTED_VALUE"""),"FIP-DOM-ENG-13406-FR23009-INA-000000")</f>
        <v>FIP-DOM-ENG-13406-FR23009-INA-000000</v>
      </c>
      <c r="P2363" s="6" t="str">
        <f>IFERROR(__xludf.DUMMYFUNCTION("""COMPUTED_VALUE"""),"PO Closed")</f>
        <v>PO Closed</v>
      </c>
      <c r="Q2363" s="6" t="str">
        <f>IFERROR(__xludf.DUMMYFUNCTION("""COMPUTED_VALUE"""),"GL2305045")</f>
        <v>GL2305045</v>
      </c>
      <c r="R2363" s="57">
        <f>IFERROR(__xludf.DUMMYFUNCTION("""COMPUTED_VALUE"""),45010.0)</f>
        <v>45010</v>
      </c>
      <c r="S2363" s="57">
        <f>IFERROR(__xludf.DUMMYFUNCTION("""COMPUTED_VALUE"""),45014.0)</f>
        <v>45014</v>
      </c>
      <c r="T2363" s="57">
        <f>IFERROR(__xludf.DUMMYFUNCTION("""COMPUTED_VALUE"""),45118.0)</f>
        <v>45118</v>
      </c>
    </row>
    <row r="2364">
      <c r="A2364" s="6" t="str">
        <f>IFERROR(__xludf.DUMMYFUNCTION("""COMPUTED_VALUE"""),"231750230-1")</f>
        <v>231750230-1</v>
      </c>
      <c r="B2364" s="6" t="str">
        <f>IFERROR(__xludf.DUMMYFUNCTION("""COMPUTED_VALUE"""),"231750230 - Approved")</f>
        <v>231750230 - Approved</v>
      </c>
      <c r="C2364" s="6">
        <f>IFERROR(__xludf.DUMMYFUNCTION("""COMPUTED_VALUE"""),1.0)</f>
        <v>1</v>
      </c>
      <c r="D2364" s="6" t="str">
        <f>IFERROR(__xludf.DUMMYFUNCTION("""COMPUTED_VALUE"""),"Q-10489-00")</f>
        <v>Q-10489-00</v>
      </c>
      <c r="E2364" s="6" t="str">
        <f>IFERROR(__xludf.DUMMYFUNCTION("""COMPUTED_VALUE"""),"AM 54 CAIRAN; ; ; Can")</f>
        <v>AM 54 CAIRAN; ; ; Can</v>
      </c>
      <c r="F2364" s="6">
        <f>IFERROR(__xludf.DUMMYFUNCTION("""COMPUTED_VALUE"""),2.0)</f>
        <v>2</v>
      </c>
      <c r="G2364" s="6" t="str">
        <f>IFERROR(__xludf.DUMMYFUNCTION("""COMPUTED_VALUE"""),"Can")</f>
        <v>Can</v>
      </c>
      <c r="H2364" s="6" t="str">
        <f>IFERROR(__xludf.DUMMYFUNCTION("""COMPUTED_VALUE"""),"IDR")</f>
        <v>IDR</v>
      </c>
      <c r="I2364" s="11">
        <f>IFERROR(__xludf.DUMMYFUNCTION("""COMPUTED_VALUE"""),33000.0)</f>
        <v>33000</v>
      </c>
      <c r="J2364" s="11">
        <f>IFERROR(__xludf.DUMMYFUNCTION("""COMPUTED_VALUE"""),66000.0)</f>
        <v>66000</v>
      </c>
      <c r="K2364" s="57">
        <f>IFERROR(__xludf.DUMMYFUNCTION("""COMPUTED_VALUE"""),45027.0)</f>
        <v>45027</v>
      </c>
      <c r="L2364" s="6" t="str">
        <f>IFERROR(__xludf.DUMMYFUNCTION("""COMPUTED_VALUE"""),"FIP General")</f>
        <v>FIP General</v>
      </c>
      <c r="M2364" s="6" t="str">
        <f>IFERROR(__xludf.DUMMYFUNCTION("""COMPUTED_VALUE"""),"Irwan Sopian")</f>
        <v>Irwan Sopian</v>
      </c>
      <c r="N2364" s="6" t="str">
        <f>IFERROR(__xludf.DUMMYFUNCTION("""COMPUTED_VALUE"""),"FIP Engineering")</f>
        <v>FIP Engineering</v>
      </c>
      <c r="O2364" s="6" t="str">
        <f>IFERROR(__xludf.DUMMYFUNCTION("""COMPUTED_VALUE"""),"FIP-DOM-ENG-51502-0000000-INA-000000")</f>
        <v>FIP-DOM-ENG-51502-0000000-INA-000000</v>
      </c>
      <c r="P2364" s="6" t="str">
        <f>IFERROR(__xludf.DUMMYFUNCTION("""COMPUTED_VALUE"""),"PO Closed")</f>
        <v>PO Closed</v>
      </c>
      <c r="Q2364" s="6" t="str">
        <f>IFERROR(__xludf.DUMMYFUNCTION("""COMPUTED_VALUE"""),"GL2304001")</f>
        <v>GL2304001</v>
      </c>
      <c r="R2364" s="57">
        <f>IFERROR(__xludf.DUMMYFUNCTION("""COMPUTED_VALUE"""),45012.0)</f>
        <v>45012</v>
      </c>
      <c r="S2364" s="57">
        <f>IFERROR(__xludf.DUMMYFUNCTION("""COMPUTED_VALUE"""),45019.0)</f>
        <v>45019</v>
      </c>
      <c r="T2364" s="57">
        <f>IFERROR(__xludf.DUMMYFUNCTION("""COMPUTED_VALUE"""),45027.0)</f>
        <v>45027</v>
      </c>
    </row>
    <row r="2365">
      <c r="A2365" s="6" t="str">
        <f>IFERROR(__xludf.DUMMYFUNCTION("""COMPUTED_VALUE"""),"231750230-2")</f>
        <v>231750230-2</v>
      </c>
      <c r="B2365" s="6" t="str">
        <f>IFERROR(__xludf.DUMMYFUNCTION("""COMPUTED_VALUE"""),"231750230 - Approved")</f>
        <v>231750230 - Approved</v>
      </c>
      <c r="C2365" s="6">
        <f>IFERROR(__xludf.DUMMYFUNCTION("""COMPUTED_VALUE"""),2.0)</f>
        <v>2</v>
      </c>
      <c r="D2365" s="6" t="str">
        <f>IFERROR(__xludf.DUMMYFUNCTION("""COMPUTED_VALUE"""),"Q-10475-00")</f>
        <v>Q-10475-00</v>
      </c>
      <c r="E2365" s="6" t="str">
        <f>IFERROR(__xludf.DUMMYFUNCTION("""COMPUTED_VALUE"""),"Cat Tembok; ; ; - Cat Dulux Ambiance Brilliant White @ 20 Ltr")</f>
        <v>Cat Tembok; ; ; - Cat Dulux Ambiance Brilliant White @ 20 Ltr</v>
      </c>
      <c r="F2365" s="6">
        <f>IFERROR(__xludf.DUMMYFUNCTION("""COMPUTED_VALUE"""),4.0)</f>
        <v>4</v>
      </c>
      <c r="G2365" s="6" t="str">
        <f>IFERROR(__xludf.DUMMYFUNCTION("""COMPUTED_VALUE"""),"Can")</f>
        <v>Can</v>
      </c>
      <c r="H2365" s="6" t="str">
        <f>IFERROR(__xludf.DUMMYFUNCTION("""COMPUTED_VALUE"""),"IDR")</f>
        <v>IDR</v>
      </c>
      <c r="I2365" s="11">
        <f>IFERROR(__xludf.DUMMYFUNCTION("""COMPUTED_VALUE"""),2382500.0)</f>
        <v>2382500</v>
      </c>
      <c r="J2365" s="11">
        <f>IFERROR(__xludf.DUMMYFUNCTION("""COMPUTED_VALUE"""),9530000.0)</f>
        <v>9530000</v>
      </c>
      <c r="K2365" s="57">
        <f>IFERROR(__xludf.DUMMYFUNCTION("""COMPUTED_VALUE"""),45027.0)</f>
        <v>45027</v>
      </c>
      <c r="L2365" s="6" t="str">
        <f>IFERROR(__xludf.DUMMYFUNCTION("""COMPUTED_VALUE"""),"FIP General")</f>
        <v>FIP General</v>
      </c>
      <c r="M2365" s="6" t="str">
        <f>IFERROR(__xludf.DUMMYFUNCTION("""COMPUTED_VALUE"""),"Irwan Sopian")</f>
        <v>Irwan Sopian</v>
      </c>
      <c r="N2365" s="6" t="str">
        <f>IFERROR(__xludf.DUMMYFUNCTION("""COMPUTED_VALUE"""),"FIP Engineering")</f>
        <v>FIP Engineering</v>
      </c>
      <c r="O2365" s="6" t="str">
        <f>IFERROR(__xludf.DUMMYFUNCTION("""COMPUTED_VALUE"""),"FIP-DOM-ENG-51502-0000000-INA-000000")</f>
        <v>FIP-DOM-ENG-51502-0000000-INA-000000</v>
      </c>
      <c r="P2365" s="6" t="str">
        <f>IFERROR(__xludf.DUMMYFUNCTION("""COMPUTED_VALUE"""),"PO Closed")</f>
        <v>PO Closed</v>
      </c>
      <c r="Q2365" s="6" t="str">
        <f>IFERROR(__xludf.DUMMYFUNCTION("""COMPUTED_VALUE"""),"GL2304001")</f>
        <v>GL2304001</v>
      </c>
      <c r="R2365" s="57">
        <f>IFERROR(__xludf.DUMMYFUNCTION("""COMPUTED_VALUE"""),45012.0)</f>
        <v>45012</v>
      </c>
      <c r="S2365" s="57">
        <f>IFERROR(__xludf.DUMMYFUNCTION("""COMPUTED_VALUE"""),45019.0)</f>
        <v>45019</v>
      </c>
      <c r="T2365" s="57">
        <f>IFERROR(__xludf.DUMMYFUNCTION("""COMPUTED_VALUE"""),45027.0)</f>
        <v>45027</v>
      </c>
    </row>
    <row r="2366">
      <c r="A2366" s="6" t="str">
        <f>IFERROR(__xludf.DUMMYFUNCTION("""COMPUTED_VALUE"""),"231750230-3")</f>
        <v>231750230-3</v>
      </c>
      <c r="B2366" s="6" t="str">
        <f>IFERROR(__xludf.DUMMYFUNCTION("""COMPUTED_VALUE"""),"231750230 - Approved")</f>
        <v>231750230 - Approved</v>
      </c>
      <c r="C2366" s="6">
        <f>IFERROR(__xludf.DUMMYFUNCTION("""COMPUTED_VALUE"""),3.0)</f>
        <v>3</v>
      </c>
      <c r="D2366" s="6" t="str">
        <f>IFERROR(__xludf.DUMMYFUNCTION("""COMPUTED_VALUE"""),"Q-10475-00")</f>
        <v>Q-10475-00</v>
      </c>
      <c r="E2366" s="6" t="str">
        <f>IFERROR(__xludf.DUMMYFUNCTION("""COMPUTED_VALUE"""),"Cat Tembok; ; ; - Cat Dulux Catylax Brilliant White @ 20 Ltr")</f>
        <v>Cat Tembok; ; ; - Cat Dulux Catylax Brilliant White @ 20 Ltr</v>
      </c>
      <c r="F2366" s="6">
        <f>IFERROR(__xludf.DUMMYFUNCTION("""COMPUTED_VALUE"""),4.0)</f>
        <v>4</v>
      </c>
      <c r="G2366" s="6" t="str">
        <f>IFERROR(__xludf.DUMMYFUNCTION("""COMPUTED_VALUE"""),"Can")</f>
        <v>Can</v>
      </c>
      <c r="H2366" s="6" t="str">
        <f>IFERROR(__xludf.DUMMYFUNCTION("""COMPUTED_VALUE"""),"IDR")</f>
        <v>IDR</v>
      </c>
      <c r="I2366" s="11">
        <f>IFERROR(__xludf.DUMMYFUNCTION("""COMPUTED_VALUE"""),935000.0)</f>
        <v>935000</v>
      </c>
      <c r="J2366" s="11">
        <f>IFERROR(__xludf.DUMMYFUNCTION("""COMPUTED_VALUE"""),3740000.0)</f>
        <v>3740000</v>
      </c>
      <c r="K2366" s="57">
        <f>IFERROR(__xludf.DUMMYFUNCTION("""COMPUTED_VALUE"""),45027.0)</f>
        <v>45027</v>
      </c>
      <c r="L2366" s="6" t="str">
        <f>IFERROR(__xludf.DUMMYFUNCTION("""COMPUTED_VALUE"""),"FIP General")</f>
        <v>FIP General</v>
      </c>
      <c r="M2366" s="6" t="str">
        <f>IFERROR(__xludf.DUMMYFUNCTION("""COMPUTED_VALUE"""),"Irwan Sopian")</f>
        <v>Irwan Sopian</v>
      </c>
      <c r="N2366" s="6" t="str">
        <f>IFERROR(__xludf.DUMMYFUNCTION("""COMPUTED_VALUE"""),"FIP Engineering")</f>
        <v>FIP Engineering</v>
      </c>
      <c r="O2366" s="6" t="str">
        <f>IFERROR(__xludf.DUMMYFUNCTION("""COMPUTED_VALUE"""),"FIP-DOM-ENG-51502-0000000-INA-000000")</f>
        <v>FIP-DOM-ENG-51502-0000000-INA-000000</v>
      </c>
      <c r="P2366" s="6" t="str">
        <f>IFERROR(__xludf.DUMMYFUNCTION("""COMPUTED_VALUE"""),"PO Closed")</f>
        <v>PO Closed</v>
      </c>
      <c r="Q2366" s="6" t="str">
        <f>IFERROR(__xludf.DUMMYFUNCTION("""COMPUTED_VALUE"""),"GL2304001")</f>
        <v>GL2304001</v>
      </c>
      <c r="R2366" s="57">
        <f>IFERROR(__xludf.DUMMYFUNCTION("""COMPUTED_VALUE"""),45012.0)</f>
        <v>45012</v>
      </c>
      <c r="S2366" s="57">
        <f>IFERROR(__xludf.DUMMYFUNCTION("""COMPUTED_VALUE"""),45019.0)</f>
        <v>45019</v>
      </c>
      <c r="T2366" s="57">
        <f>IFERROR(__xludf.DUMMYFUNCTION("""COMPUTED_VALUE"""),45027.0)</f>
        <v>45027</v>
      </c>
    </row>
    <row r="2367">
      <c r="A2367" s="6" t="str">
        <f>IFERROR(__xludf.DUMMYFUNCTION("""COMPUTED_VALUE"""),"231750230-4")</f>
        <v>231750230-4</v>
      </c>
      <c r="B2367" s="6" t="str">
        <f>IFERROR(__xludf.DUMMYFUNCTION("""COMPUTED_VALUE"""),"231750230 - Approved")</f>
        <v>231750230 - Approved</v>
      </c>
      <c r="C2367" s="6">
        <f>IFERROR(__xludf.DUMMYFUNCTION("""COMPUTED_VALUE"""),4.0)</f>
        <v>4</v>
      </c>
      <c r="D2367" s="6" t="str">
        <f>IFERROR(__xludf.DUMMYFUNCTION("""COMPUTED_VALUE"""),"Q-60026-00")</f>
        <v>Q-60026-00</v>
      </c>
      <c r="E2367" s="6" t="str">
        <f>IFERROR(__xludf.DUMMYFUNCTION("""COMPUTED_VALUE"""),"Kuas Eterna 2")</f>
        <v>Kuas Eterna 2</v>
      </c>
      <c r="F2367" s="6">
        <f>IFERROR(__xludf.DUMMYFUNCTION("""COMPUTED_VALUE"""),20.0)</f>
        <v>20</v>
      </c>
      <c r="G2367" s="6" t="str">
        <f>IFERROR(__xludf.DUMMYFUNCTION("""COMPUTED_VALUE"""),"Pieces")</f>
        <v>Pieces</v>
      </c>
      <c r="H2367" s="6" t="str">
        <f>IFERROR(__xludf.DUMMYFUNCTION("""COMPUTED_VALUE"""),"IDR")</f>
        <v>IDR</v>
      </c>
      <c r="I2367" s="11">
        <f>IFERROR(__xludf.DUMMYFUNCTION("""COMPUTED_VALUE"""),11000.0)</f>
        <v>11000</v>
      </c>
      <c r="J2367" s="11">
        <f>IFERROR(__xludf.DUMMYFUNCTION("""COMPUTED_VALUE"""),220000.0)</f>
        <v>220000</v>
      </c>
      <c r="K2367" s="57">
        <f>IFERROR(__xludf.DUMMYFUNCTION("""COMPUTED_VALUE"""),45027.0)</f>
        <v>45027</v>
      </c>
      <c r="L2367" s="6" t="str">
        <f>IFERROR(__xludf.DUMMYFUNCTION("""COMPUTED_VALUE"""),"FIP General")</f>
        <v>FIP General</v>
      </c>
      <c r="M2367" s="6" t="str">
        <f>IFERROR(__xludf.DUMMYFUNCTION("""COMPUTED_VALUE"""),"Irwan Sopian")</f>
        <v>Irwan Sopian</v>
      </c>
      <c r="N2367" s="6" t="str">
        <f>IFERROR(__xludf.DUMMYFUNCTION("""COMPUTED_VALUE"""),"FIP Engineering")</f>
        <v>FIP Engineering</v>
      </c>
      <c r="O2367" s="6" t="str">
        <f>IFERROR(__xludf.DUMMYFUNCTION("""COMPUTED_VALUE"""),"FIP-DOM-ENG-51404-0000000-INA-000000")</f>
        <v>FIP-DOM-ENG-51404-0000000-INA-000000</v>
      </c>
      <c r="P2367" s="6" t="str">
        <f>IFERROR(__xludf.DUMMYFUNCTION("""COMPUTED_VALUE"""),"PO Closed")</f>
        <v>PO Closed</v>
      </c>
      <c r="Q2367" s="6" t="str">
        <f>IFERROR(__xludf.DUMMYFUNCTION("""COMPUTED_VALUE"""),"GL2304001")</f>
        <v>GL2304001</v>
      </c>
      <c r="R2367" s="57">
        <f>IFERROR(__xludf.DUMMYFUNCTION("""COMPUTED_VALUE"""),45012.0)</f>
        <v>45012</v>
      </c>
      <c r="S2367" s="57">
        <f>IFERROR(__xludf.DUMMYFUNCTION("""COMPUTED_VALUE"""),45019.0)</f>
        <v>45019</v>
      </c>
      <c r="T2367" s="57">
        <f>IFERROR(__xludf.DUMMYFUNCTION("""COMPUTED_VALUE"""),45027.0)</f>
        <v>45027</v>
      </c>
    </row>
    <row r="2368">
      <c r="A2368" s="6" t="str">
        <f>IFERROR(__xludf.DUMMYFUNCTION("""COMPUTED_VALUE"""),"231750230-5")</f>
        <v>231750230-5</v>
      </c>
      <c r="B2368" s="6" t="str">
        <f>IFERROR(__xludf.DUMMYFUNCTION("""COMPUTED_VALUE"""),"231750230 - Approved")</f>
        <v>231750230 - Approved</v>
      </c>
      <c r="C2368" s="6">
        <f>IFERROR(__xludf.DUMMYFUNCTION("""COMPUTED_VALUE"""),5.0)</f>
        <v>5</v>
      </c>
      <c r="D2368" s="6" t="str">
        <f>IFERROR(__xludf.DUMMYFUNCTION("""COMPUTED_VALUE"""),"Q-10947-00")</f>
        <v>Q-10947-00</v>
      </c>
      <c r="E2368" s="6" t="str">
        <f>IFERROR(__xludf.DUMMYFUNCTION("""COMPUTED_VALUE"""),"Plastik Cor Bagunan; ; ;")</f>
        <v>Plastik Cor Bagunan; ; ;</v>
      </c>
      <c r="F2368" s="6">
        <f>IFERROR(__xludf.DUMMYFUNCTION("""COMPUTED_VALUE"""),1.0)</f>
        <v>1</v>
      </c>
      <c r="G2368" s="6" t="str">
        <f>IFERROR(__xludf.DUMMYFUNCTION("""COMPUTED_VALUE"""),"Pieces")</f>
        <v>Pieces</v>
      </c>
      <c r="H2368" s="6" t="str">
        <f>IFERROR(__xludf.DUMMYFUNCTION("""COMPUTED_VALUE"""),"IDR")</f>
        <v>IDR</v>
      </c>
      <c r="I2368" s="11">
        <f>IFERROR(__xludf.DUMMYFUNCTION("""COMPUTED_VALUE"""),250000.0)</f>
        <v>250000</v>
      </c>
      <c r="J2368" s="11">
        <f>IFERROR(__xludf.DUMMYFUNCTION("""COMPUTED_VALUE"""),250000.0)</f>
        <v>250000</v>
      </c>
      <c r="K2368" s="57">
        <f>IFERROR(__xludf.DUMMYFUNCTION("""COMPUTED_VALUE"""),45027.0)</f>
        <v>45027</v>
      </c>
      <c r="L2368" s="6" t="str">
        <f>IFERROR(__xludf.DUMMYFUNCTION("""COMPUTED_VALUE"""),"FIP General")</f>
        <v>FIP General</v>
      </c>
      <c r="M2368" s="6" t="str">
        <f>IFERROR(__xludf.DUMMYFUNCTION("""COMPUTED_VALUE"""),"Irwan Sopian")</f>
        <v>Irwan Sopian</v>
      </c>
      <c r="N2368" s="6" t="str">
        <f>IFERROR(__xludf.DUMMYFUNCTION("""COMPUTED_VALUE"""),"FIP Engineering")</f>
        <v>FIP Engineering</v>
      </c>
      <c r="O2368" s="6" t="str">
        <f>IFERROR(__xludf.DUMMYFUNCTION("""COMPUTED_VALUE"""),"FIP-DOM-ENG-51502-0000000-INA-000000")</f>
        <v>FIP-DOM-ENG-51502-0000000-INA-000000</v>
      </c>
      <c r="P2368" s="6" t="str">
        <f>IFERROR(__xludf.DUMMYFUNCTION("""COMPUTED_VALUE"""),"PO Closed")</f>
        <v>PO Closed</v>
      </c>
      <c r="Q2368" s="6" t="str">
        <f>IFERROR(__xludf.DUMMYFUNCTION("""COMPUTED_VALUE"""),"GL2304001")</f>
        <v>GL2304001</v>
      </c>
      <c r="R2368" s="57">
        <f>IFERROR(__xludf.DUMMYFUNCTION("""COMPUTED_VALUE"""),45012.0)</f>
        <v>45012</v>
      </c>
      <c r="S2368" s="57">
        <f>IFERROR(__xludf.DUMMYFUNCTION("""COMPUTED_VALUE"""),45019.0)</f>
        <v>45019</v>
      </c>
      <c r="T2368" s="57">
        <f>IFERROR(__xludf.DUMMYFUNCTION("""COMPUTED_VALUE"""),45027.0)</f>
        <v>45027</v>
      </c>
    </row>
    <row r="2369">
      <c r="A2369" s="6" t="str">
        <f>IFERROR(__xludf.DUMMYFUNCTION("""COMPUTED_VALUE"""),"231750230-6")</f>
        <v>231750230-6</v>
      </c>
      <c r="B2369" s="6" t="str">
        <f>IFERROR(__xludf.DUMMYFUNCTION("""COMPUTED_VALUE"""),"231750230 - Approved")</f>
        <v>231750230 - Approved</v>
      </c>
      <c r="C2369" s="6">
        <f>IFERROR(__xludf.DUMMYFUNCTION("""COMPUTED_VALUE"""),6.0)</f>
        <v>6</v>
      </c>
      <c r="D2369" s="6" t="str">
        <f>IFERROR(__xludf.DUMMYFUNCTION("""COMPUTED_VALUE"""),"Q-10967-00")</f>
        <v>Q-10967-00</v>
      </c>
      <c r="E2369" s="6" t="str">
        <f>IFERROR(__xludf.DUMMYFUNCTION("""COMPUTED_VALUE"""),"Nat Keramik AM 53 Cream Lotus; ; ;")</f>
        <v>Nat Keramik AM 53 Cream Lotus; ; ;</v>
      </c>
      <c r="F2369" s="6">
        <f>IFERROR(__xludf.DUMMYFUNCTION("""COMPUTED_VALUE"""),5.0)</f>
        <v>5</v>
      </c>
      <c r="G2369" s="6" t="str">
        <f>IFERROR(__xludf.DUMMYFUNCTION("""COMPUTED_VALUE"""),"Pieces")</f>
        <v>Pieces</v>
      </c>
      <c r="H2369" s="6" t="str">
        <f>IFERROR(__xludf.DUMMYFUNCTION("""COMPUTED_VALUE"""),"IDR")</f>
        <v>IDR</v>
      </c>
      <c r="I2369" s="11">
        <f>IFERROR(__xludf.DUMMYFUNCTION("""COMPUTED_VALUE"""),26000.0)</f>
        <v>26000</v>
      </c>
      <c r="J2369" s="11">
        <f>IFERROR(__xludf.DUMMYFUNCTION("""COMPUTED_VALUE"""),130000.0)</f>
        <v>130000</v>
      </c>
      <c r="K2369" s="57">
        <f>IFERROR(__xludf.DUMMYFUNCTION("""COMPUTED_VALUE"""),45027.0)</f>
        <v>45027</v>
      </c>
      <c r="L2369" s="6" t="str">
        <f>IFERROR(__xludf.DUMMYFUNCTION("""COMPUTED_VALUE"""),"FIP General")</f>
        <v>FIP General</v>
      </c>
      <c r="M2369" s="6" t="str">
        <f>IFERROR(__xludf.DUMMYFUNCTION("""COMPUTED_VALUE"""),"Irwan Sopian")</f>
        <v>Irwan Sopian</v>
      </c>
      <c r="N2369" s="6" t="str">
        <f>IFERROR(__xludf.DUMMYFUNCTION("""COMPUTED_VALUE"""),"FIP Engineering")</f>
        <v>FIP Engineering</v>
      </c>
      <c r="O2369" s="6" t="str">
        <f>IFERROR(__xludf.DUMMYFUNCTION("""COMPUTED_VALUE"""),"FIP-DOM-ENG-51502-0000000-INA-000000")</f>
        <v>FIP-DOM-ENG-51502-0000000-INA-000000</v>
      </c>
      <c r="P2369" s="6" t="str">
        <f>IFERROR(__xludf.DUMMYFUNCTION("""COMPUTED_VALUE"""),"PO Closed")</f>
        <v>PO Closed</v>
      </c>
      <c r="Q2369" s="6" t="str">
        <f>IFERROR(__xludf.DUMMYFUNCTION("""COMPUTED_VALUE"""),"GL2304001")</f>
        <v>GL2304001</v>
      </c>
      <c r="R2369" s="57">
        <f>IFERROR(__xludf.DUMMYFUNCTION("""COMPUTED_VALUE"""),45012.0)</f>
        <v>45012</v>
      </c>
      <c r="S2369" s="57">
        <f>IFERROR(__xludf.DUMMYFUNCTION("""COMPUTED_VALUE"""),45019.0)</f>
        <v>45019</v>
      </c>
      <c r="T2369" s="57">
        <f>IFERROR(__xludf.DUMMYFUNCTION("""COMPUTED_VALUE"""),45027.0)</f>
        <v>45027</v>
      </c>
    </row>
    <row r="2370">
      <c r="A2370" s="6" t="str">
        <f>IFERROR(__xludf.DUMMYFUNCTION("""COMPUTED_VALUE"""),"231750231-1")</f>
        <v>231750231-1</v>
      </c>
      <c r="B2370" s="6" t="str">
        <f>IFERROR(__xludf.DUMMYFUNCTION("""COMPUTED_VALUE"""),"231750231 - Approved")</f>
        <v>231750231 - Approved</v>
      </c>
      <c r="C2370" s="6">
        <f>IFERROR(__xludf.DUMMYFUNCTION("""COMPUTED_VALUE"""),1.0)</f>
        <v>1</v>
      </c>
      <c r="D2370" s="6" t="str">
        <f>IFERROR(__xludf.DUMMYFUNCTION("""COMPUTED_VALUE"""),"Q-10817-00")</f>
        <v>Q-10817-00</v>
      </c>
      <c r="E2370" s="6" t="str">
        <f>IFERROR(__xludf.DUMMYFUNCTION("""COMPUTED_VALUE"""),"Door Closer Type: TS77 Hold Open; DORMA; ;")</f>
        <v>Door Closer Type: TS77 Hold Open; DORMA; ;</v>
      </c>
      <c r="F2370" s="6">
        <f>IFERROR(__xludf.DUMMYFUNCTION("""COMPUTED_VALUE"""),3.0)</f>
        <v>3</v>
      </c>
      <c r="G2370" s="6" t="str">
        <f>IFERROR(__xludf.DUMMYFUNCTION("""COMPUTED_VALUE"""),"Pieces")</f>
        <v>Pieces</v>
      </c>
      <c r="H2370" s="6" t="str">
        <f>IFERROR(__xludf.DUMMYFUNCTION("""COMPUTED_VALUE"""),"IDR")</f>
        <v>IDR</v>
      </c>
      <c r="I2370" s="11">
        <f>IFERROR(__xludf.DUMMYFUNCTION("""COMPUTED_VALUE"""),450000.0)</f>
        <v>450000</v>
      </c>
      <c r="J2370" s="11">
        <f>IFERROR(__xludf.DUMMYFUNCTION("""COMPUTED_VALUE"""),1350000.0)</f>
        <v>1350000</v>
      </c>
      <c r="K2370" s="57">
        <f>IFERROR(__xludf.DUMMYFUNCTION("""COMPUTED_VALUE"""),45026.0)</f>
        <v>45026</v>
      </c>
      <c r="L2370" s="6" t="str">
        <f>IFERROR(__xludf.DUMMYFUNCTION("""COMPUTED_VALUE"""),"FIP Engineering")</f>
        <v>FIP Engineering</v>
      </c>
      <c r="M2370" s="6" t="str">
        <f>IFERROR(__xludf.DUMMYFUNCTION("""COMPUTED_VALUE"""),"Irwan Sopian")</f>
        <v>Irwan Sopian</v>
      </c>
      <c r="N2370" s="6" t="str">
        <f>IFERROR(__xludf.DUMMYFUNCTION("""COMPUTED_VALUE"""),"FIP Engineering")</f>
        <v>FIP Engineering</v>
      </c>
      <c r="O2370" s="6" t="str">
        <f>IFERROR(__xludf.DUMMYFUNCTION("""COMPUTED_VALUE"""),"FIP-DOM-000-11304-OS00001-INA-000000")</f>
        <v>FIP-DOM-000-11304-OS00001-INA-000000</v>
      </c>
      <c r="P2370" s="6" t="str">
        <f>IFERROR(__xludf.DUMMYFUNCTION("""COMPUTED_VALUE"""),"PO Closed")</f>
        <v>PO Closed</v>
      </c>
      <c r="Q2370" s="6" t="str">
        <f>IFERROR(__xludf.DUMMYFUNCTION("""COMPUTED_VALUE"""),"GL2303059")</f>
        <v>GL2303059</v>
      </c>
      <c r="R2370" s="57">
        <f>IFERROR(__xludf.DUMMYFUNCTION("""COMPUTED_VALUE"""),45012.0)</f>
        <v>45012</v>
      </c>
      <c r="S2370" s="57">
        <f>IFERROR(__xludf.DUMMYFUNCTION("""COMPUTED_VALUE"""),45012.0)</f>
        <v>45012</v>
      </c>
      <c r="T2370" s="57">
        <f>IFERROR(__xludf.DUMMYFUNCTION("""COMPUTED_VALUE"""),45027.0)</f>
        <v>45027</v>
      </c>
    </row>
    <row r="2371">
      <c r="A2371" s="6" t="str">
        <f>IFERROR(__xludf.DUMMYFUNCTION("""COMPUTED_VALUE"""),"231750231-2")</f>
        <v>231750231-2</v>
      </c>
      <c r="B2371" s="6" t="str">
        <f>IFERROR(__xludf.DUMMYFUNCTION("""COMPUTED_VALUE"""),"231750231 - Approved")</f>
        <v>231750231 - Approved</v>
      </c>
      <c r="C2371" s="6">
        <f>IFERROR(__xludf.DUMMYFUNCTION("""COMPUTED_VALUE"""),2.0)</f>
        <v>2</v>
      </c>
      <c r="D2371" s="6" t="str">
        <f>IFERROR(__xludf.DUMMYFUNCTION("""COMPUTED_VALUE"""),"Q-10154-00")</f>
        <v>Q-10154-00</v>
      </c>
      <c r="E2371" s="6" t="str">
        <f>IFERROR(__xludf.DUMMYFUNCTION("""COMPUTED_VALUE"""),"Roller cat 230mm")</f>
        <v>Roller cat 230mm</v>
      </c>
      <c r="F2371" s="6">
        <f>IFERROR(__xludf.DUMMYFUNCTION("""COMPUTED_VALUE"""),15.0)</f>
        <v>15</v>
      </c>
      <c r="G2371" s="6" t="str">
        <f>IFERROR(__xludf.DUMMYFUNCTION("""COMPUTED_VALUE"""),"Pieces")</f>
        <v>Pieces</v>
      </c>
      <c r="H2371" s="6" t="str">
        <f>IFERROR(__xludf.DUMMYFUNCTION("""COMPUTED_VALUE"""),"IDR")</f>
        <v>IDR</v>
      </c>
      <c r="I2371" s="11">
        <f>IFERROR(__xludf.DUMMYFUNCTION("""COMPUTED_VALUE"""),55000.0)</f>
        <v>55000</v>
      </c>
      <c r="J2371" s="11">
        <f>IFERROR(__xludf.DUMMYFUNCTION("""COMPUTED_VALUE"""),825000.0)</f>
        <v>825000</v>
      </c>
      <c r="K2371" s="57">
        <f>IFERROR(__xludf.DUMMYFUNCTION("""COMPUTED_VALUE"""),45026.0)</f>
        <v>45026</v>
      </c>
      <c r="L2371" s="6" t="str">
        <f>IFERROR(__xludf.DUMMYFUNCTION("""COMPUTED_VALUE"""),"FIP Engineering")</f>
        <v>FIP Engineering</v>
      </c>
      <c r="M2371" s="6" t="str">
        <f>IFERROR(__xludf.DUMMYFUNCTION("""COMPUTED_VALUE"""),"Irwan Sopian")</f>
        <v>Irwan Sopian</v>
      </c>
      <c r="N2371" s="6" t="str">
        <f>IFERROR(__xludf.DUMMYFUNCTION("""COMPUTED_VALUE"""),"FIP Engineering")</f>
        <v>FIP Engineering</v>
      </c>
      <c r="O2371" s="6" t="str">
        <f>IFERROR(__xludf.DUMMYFUNCTION("""COMPUTED_VALUE"""),"FIP-DOM-000-11304-OS00001-INA-000000")</f>
        <v>FIP-DOM-000-11304-OS00001-INA-000000</v>
      </c>
      <c r="P2371" s="6" t="str">
        <f>IFERROR(__xludf.DUMMYFUNCTION("""COMPUTED_VALUE"""),"PO Closed")</f>
        <v>PO Closed</v>
      </c>
      <c r="Q2371" s="6" t="str">
        <f>IFERROR(__xludf.DUMMYFUNCTION("""COMPUTED_VALUE"""),"GL2303059")</f>
        <v>GL2303059</v>
      </c>
      <c r="R2371" s="57">
        <f>IFERROR(__xludf.DUMMYFUNCTION("""COMPUTED_VALUE"""),45012.0)</f>
        <v>45012</v>
      </c>
      <c r="S2371" s="57">
        <f>IFERROR(__xludf.DUMMYFUNCTION("""COMPUTED_VALUE"""),45012.0)</f>
        <v>45012</v>
      </c>
      <c r="T2371" s="57">
        <f>IFERROR(__xludf.DUMMYFUNCTION("""COMPUTED_VALUE"""),45027.0)</f>
        <v>45027</v>
      </c>
    </row>
    <row r="2372">
      <c r="A2372" s="6" t="str">
        <f>IFERROR(__xludf.DUMMYFUNCTION("""COMPUTED_VALUE"""),"231750231-3")</f>
        <v>231750231-3</v>
      </c>
      <c r="B2372" s="6" t="str">
        <f>IFERROR(__xludf.DUMMYFUNCTION("""COMPUTED_VALUE"""),"231750231 - Approved")</f>
        <v>231750231 - Approved</v>
      </c>
      <c r="C2372" s="6">
        <f>IFERROR(__xludf.DUMMYFUNCTION("""COMPUTED_VALUE"""),3.0)</f>
        <v>3</v>
      </c>
      <c r="D2372" s="6" t="str">
        <f>IFERROR(__xludf.DUMMYFUNCTION("""COMPUTED_VALUE"""),"Q-10172-00")</f>
        <v>Q-10172-00</v>
      </c>
      <c r="E2372" s="6" t="str">
        <f>IFERROR(__xludf.DUMMYFUNCTION("""COMPUTED_VALUE"""),"Polyfloor PFT-213 Light blue @ 20 KG")</f>
        <v>Polyfloor PFT-213 Light blue @ 20 KG</v>
      </c>
      <c r="F2372" s="6">
        <f>IFERROR(__xludf.DUMMYFUNCTION("""COMPUTED_VALUE"""),2.0)</f>
        <v>2</v>
      </c>
      <c r="G2372" s="6" t="str">
        <f>IFERROR(__xludf.DUMMYFUNCTION("""COMPUTED_VALUE"""),"Pieces")</f>
        <v>Pieces</v>
      </c>
      <c r="H2372" s="6" t="str">
        <f>IFERROR(__xludf.DUMMYFUNCTION("""COMPUTED_VALUE"""),"IDR")</f>
        <v>IDR</v>
      </c>
      <c r="I2372" s="11">
        <f>IFERROR(__xludf.DUMMYFUNCTION("""COMPUTED_VALUE"""),2036136.36)</f>
        <v>2036136.36</v>
      </c>
      <c r="J2372" s="11">
        <f>IFERROR(__xludf.DUMMYFUNCTION("""COMPUTED_VALUE"""),4072272.72)</f>
        <v>4072272.72</v>
      </c>
      <c r="K2372" s="57">
        <f>IFERROR(__xludf.DUMMYFUNCTION("""COMPUTED_VALUE"""),45026.0)</f>
        <v>45026</v>
      </c>
      <c r="L2372" s="6" t="str">
        <f>IFERROR(__xludf.DUMMYFUNCTION("""COMPUTED_VALUE"""),"FIP Engineering")</f>
        <v>FIP Engineering</v>
      </c>
      <c r="M2372" s="6" t="str">
        <f>IFERROR(__xludf.DUMMYFUNCTION("""COMPUTED_VALUE"""),"Irwan Sopian")</f>
        <v>Irwan Sopian</v>
      </c>
      <c r="N2372" s="6" t="str">
        <f>IFERROR(__xludf.DUMMYFUNCTION("""COMPUTED_VALUE"""),"FIP Engineering")</f>
        <v>FIP Engineering</v>
      </c>
      <c r="O2372" s="6" t="str">
        <f>IFERROR(__xludf.DUMMYFUNCTION("""COMPUTED_VALUE"""),"FIP-DOM-000-11304-OS00001-INA-000000")</f>
        <v>FIP-DOM-000-11304-OS00001-INA-000000</v>
      </c>
      <c r="P2372" s="6" t="str">
        <f>IFERROR(__xludf.DUMMYFUNCTION("""COMPUTED_VALUE"""),"PO Closed")</f>
        <v>PO Closed</v>
      </c>
      <c r="Q2372" s="6" t="str">
        <f>IFERROR(__xludf.DUMMYFUNCTION("""COMPUTED_VALUE"""),"GL2309016")</f>
        <v>GL2309016</v>
      </c>
      <c r="R2372" s="57">
        <f>IFERROR(__xludf.DUMMYFUNCTION("""COMPUTED_VALUE"""),45012.0)</f>
        <v>45012</v>
      </c>
      <c r="S2372" s="57">
        <f>IFERROR(__xludf.DUMMYFUNCTION("""COMPUTED_VALUE"""),45012.0)</f>
        <v>45012</v>
      </c>
      <c r="T2372" s="57">
        <f>IFERROR(__xludf.DUMMYFUNCTION("""COMPUTED_VALUE"""),45202.0)</f>
        <v>45202</v>
      </c>
    </row>
    <row r="2373">
      <c r="A2373" s="6" t="str">
        <f>IFERROR(__xludf.DUMMYFUNCTION("""COMPUTED_VALUE"""),"231750231-4")</f>
        <v>231750231-4</v>
      </c>
      <c r="B2373" s="6" t="str">
        <f>IFERROR(__xludf.DUMMYFUNCTION("""COMPUTED_VALUE"""),"231750231 - Approved")</f>
        <v>231750231 - Approved</v>
      </c>
      <c r="C2373" s="6">
        <f>IFERROR(__xludf.DUMMYFUNCTION("""COMPUTED_VALUE"""),4.0)</f>
        <v>4</v>
      </c>
      <c r="D2373" s="6" t="str">
        <f>IFERROR(__xludf.DUMMYFUNCTION("""COMPUTED_VALUE"""),"Q-10153-00")</f>
        <v>Q-10153-00</v>
      </c>
      <c r="E2373" s="6" t="str">
        <f>IFERROR(__xludf.DUMMYFUNCTION("""COMPUTED_VALUE"""),"Roller cat 110mm")</f>
        <v>Roller cat 110mm</v>
      </c>
      <c r="F2373" s="6">
        <f>IFERROR(__xludf.DUMMYFUNCTION("""COMPUTED_VALUE"""),15.0)</f>
        <v>15</v>
      </c>
      <c r="G2373" s="6" t="str">
        <f>IFERROR(__xludf.DUMMYFUNCTION("""COMPUTED_VALUE"""),"Pieces")</f>
        <v>Pieces</v>
      </c>
      <c r="H2373" s="6" t="str">
        <f>IFERROR(__xludf.DUMMYFUNCTION("""COMPUTED_VALUE"""),"IDR")</f>
        <v>IDR</v>
      </c>
      <c r="I2373" s="11">
        <f>IFERROR(__xludf.DUMMYFUNCTION("""COMPUTED_VALUE"""),12000.0)</f>
        <v>12000</v>
      </c>
      <c r="J2373" s="11">
        <f>IFERROR(__xludf.DUMMYFUNCTION("""COMPUTED_VALUE"""),180000.0)</f>
        <v>180000</v>
      </c>
      <c r="K2373" s="57">
        <f>IFERROR(__xludf.DUMMYFUNCTION("""COMPUTED_VALUE"""),45026.0)</f>
        <v>45026</v>
      </c>
      <c r="L2373" s="6" t="str">
        <f>IFERROR(__xludf.DUMMYFUNCTION("""COMPUTED_VALUE"""),"FIP Engineering")</f>
        <v>FIP Engineering</v>
      </c>
      <c r="M2373" s="6" t="str">
        <f>IFERROR(__xludf.DUMMYFUNCTION("""COMPUTED_VALUE"""),"Irwan Sopian")</f>
        <v>Irwan Sopian</v>
      </c>
      <c r="N2373" s="6" t="str">
        <f>IFERROR(__xludf.DUMMYFUNCTION("""COMPUTED_VALUE"""),"FIP Engineering")</f>
        <v>FIP Engineering</v>
      </c>
      <c r="O2373" s="6" t="str">
        <f>IFERROR(__xludf.DUMMYFUNCTION("""COMPUTED_VALUE"""),"FIP-DOM-000-11304-OS00001-INA-000000")</f>
        <v>FIP-DOM-000-11304-OS00001-INA-000000</v>
      </c>
      <c r="P2373" s="6" t="str">
        <f>IFERROR(__xludf.DUMMYFUNCTION("""COMPUTED_VALUE"""),"PO Closed")</f>
        <v>PO Closed</v>
      </c>
      <c r="Q2373" s="6" t="str">
        <f>IFERROR(__xludf.DUMMYFUNCTION("""COMPUTED_VALUE"""),"GL2303059")</f>
        <v>GL2303059</v>
      </c>
      <c r="R2373" s="57">
        <f>IFERROR(__xludf.DUMMYFUNCTION("""COMPUTED_VALUE"""),45012.0)</f>
        <v>45012</v>
      </c>
      <c r="S2373" s="57">
        <f>IFERROR(__xludf.DUMMYFUNCTION("""COMPUTED_VALUE"""),45012.0)</f>
        <v>45012</v>
      </c>
      <c r="T2373" s="57">
        <f>IFERROR(__xludf.DUMMYFUNCTION("""COMPUTED_VALUE"""),45027.0)</f>
        <v>45027</v>
      </c>
    </row>
    <row r="2374">
      <c r="A2374" s="6" t="str">
        <f>IFERROR(__xludf.DUMMYFUNCTION("""COMPUTED_VALUE"""),"231750231-5")</f>
        <v>231750231-5</v>
      </c>
      <c r="B2374" s="6" t="str">
        <f>IFERROR(__xludf.DUMMYFUNCTION("""COMPUTED_VALUE"""),"231750231 - Approved")</f>
        <v>231750231 - Approved</v>
      </c>
      <c r="C2374" s="6">
        <f>IFERROR(__xludf.DUMMYFUNCTION("""COMPUTED_VALUE"""),5.0)</f>
        <v>5</v>
      </c>
      <c r="D2374" s="6" t="str">
        <f>IFERROR(__xludf.DUMMYFUNCTION("""COMPUTED_VALUE"""),"Q-10128-00")</f>
        <v>Q-10128-00</v>
      </c>
      <c r="E2374" s="6" t="str">
        <f>IFERROR(__xludf.DUMMYFUNCTION("""COMPUTED_VALUE"""),"Thinner Super End/Impala")</f>
        <v>Thinner Super End/Impala</v>
      </c>
      <c r="F2374" s="6">
        <f>IFERROR(__xludf.DUMMYFUNCTION("""COMPUTED_VALUE"""),3.0)</f>
        <v>3</v>
      </c>
      <c r="G2374" s="6" t="str">
        <f>IFERROR(__xludf.DUMMYFUNCTION("""COMPUTED_VALUE"""),"Pieces")</f>
        <v>Pieces</v>
      </c>
      <c r="H2374" s="6" t="str">
        <f>IFERROR(__xludf.DUMMYFUNCTION("""COMPUTED_VALUE"""),"IDR")</f>
        <v>IDR</v>
      </c>
      <c r="I2374" s="11">
        <f>IFERROR(__xludf.DUMMYFUNCTION("""COMPUTED_VALUE"""),178000.0)</f>
        <v>178000</v>
      </c>
      <c r="J2374" s="11">
        <f>IFERROR(__xludf.DUMMYFUNCTION("""COMPUTED_VALUE"""),534000.0)</f>
        <v>534000</v>
      </c>
      <c r="K2374" s="57">
        <f>IFERROR(__xludf.DUMMYFUNCTION("""COMPUTED_VALUE"""),45026.0)</f>
        <v>45026</v>
      </c>
      <c r="L2374" s="6" t="str">
        <f>IFERROR(__xludf.DUMMYFUNCTION("""COMPUTED_VALUE"""),"FIP Engineering")</f>
        <v>FIP Engineering</v>
      </c>
      <c r="M2374" s="6" t="str">
        <f>IFERROR(__xludf.DUMMYFUNCTION("""COMPUTED_VALUE"""),"Irwan Sopian")</f>
        <v>Irwan Sopian</v>
      </c>
      <c r="N2374" s="6" t="str">
        <f>IFERROR(__xludf.DUMMYFUNCTION("""COMPUTED_VALUE"""),"FIP Engineering")</f>
        <v>FIP Engineering</v>
      </c>
      <c r="O2374" s="6" t="str">
        <f>IFERROR(__xludf.DUMMYFUNCTION("""COMPUTED_VALUE"""),"FIP-DOM-000-11304-OS00001-INA-000000")</f>
        <v>FIP-DOM-000-11304-OS00001-INA-000000</v>
      </c>
      <c r="P2374" s="6" t="str">
        <f>IFERROR(__xludf.DUMMYFUNCTION("""COMPUTED_VALUE"""),"PO Closed")</f>
        <v>PO Closed</v>
      </c>
      <c r="Q2374" s="6" t="str">
        <f>IFERROR(__xludf.DUMMYFUNCTION("""COMPUTED_VALUE"""),"GL2303059")</f>
        <v>GL2303059</v>
      </c>
      <c r="R2374" s="57">
        <f>IFERROR(__xludf.DUMMYFUNCTION("""COMPUTED_VALUE"""),45012.0)</f>
        <v>45012</v>
      </c>
      <c r="S2374" s="57">
        <f>IFERROR(__xludf.DUMMYFUNCTION("""COMPUTED_VALUE"""),45012.0)</f>
        <v>45012</v>
      </c>
      <c r="T2374" s="57">
        <f>IFERROR(__xludf.DUMMYFUNCTION("""COMPUTED_VALUE"""),45027.0)</f>
        <v>45027</v>
      </c>
    </row>
    <row r="2375">
      <c r="A2375" s="6" t="str">
        <f>IFERROR(__xludf.DUMMYFUNCTION("""COMPUTED_VALUE"""),"231750234-1")</f>
        <v>231750234-1</v>
      </c>
      <c r="B2375" s="6" t="str">
        <f>IFERROR(__xludf.DUMMYFUNCTION("""COMPUTED_VALUE"""),"231750234 - Approved")</f>
        <v>231750234 - Approved</v>
      </c>
      <c r="C2375" s="6">
        <f>IFERROR(__xludf.DUMMYFUNCTION("""COMPUTED_VALUE"""),1.0)</f>
        <v>1</v>
      </c>
      <c r="D2375" s="6" t="str">
        <f>IFERROR(__xludf.DUMMYFUNCTION("""COMPUTED_VALUE"""),"R-61000-00")</f>
        <v>R-61000-00</v>
      </c>
      <c r="E2375" s="6" t="str">
        <f>IFERROR(__xludf.DUMMYFUNCTION("""COMPUTED_VALUE"""),"Office Equipments - AC DAIKIN THAILAND 1 PK- FTC25NV14")</f>
        <v>Office Equipments - AC DAIKIN THAILAND 1 PK- FTC25NV14</v>
      </c>
      <c r="F2375" s="6">
        <f>IFERROR(__xludf.DUMMYFUNCTION("""COMPUTED_VALUE"""),1.0)</f>
        <v>1</v>
      </c>
      <c r="G2375" s="6" t="str">
        <f>IFERROR(__xludf.DUMMYFUNCTION("""COMPUTED_VALUE"""),"Unit")</f>
        <v>Unit</v>
      </c>
      <c r="H2375" s="6" t="str">
        <f>IFERROR(__xludf.DUMMYFUNCTION("""COMPUTED_VALUE"""),"IDR")</f>
        <v>IDR</v>
      </c>
      <c r="I2375" s="11">
        <f>IFERROR(__xludf.DUMMYFUNCTION("""COMPUTED_VALUE"""),6823000.0)</f>
        <v>6823000</v>
      </c>
      <c r="J2375" s="11">
        <f>IFERROR(__xludf.DUMMYFUNCTION("""COMPUTED_VALUE"""),6823000.0)</f>
        <v>6823000</v>
      </c>
      <c r="K2375" s="57">
        <f>IFERROR(__xludf.DUMMYFUNCTION("""COMPUTED_VALUE"""),45107.0)</f>
        <v>45107</v>
      </c>
      <c r="L2375" s="6" t="str">
        <f>IFERROR(__xludf.DUMMYFUNCTION("""COMPUTED_VALUE"""),"FIP General")</f>
        <v>FIP General</v>
      </c>
      <c r="M2375" s="6" t="str">
        <f>IFERROR(__xludf.DUMMYFUNCTION("""COMPUTED_VALUE"""),"Kristiawan Sakti Winarno")</f>
        <v>Kristiawan Sakti Winarno</v>
      </c>
      <c r="N2375" s="6" t="str">
        <f>IFERROR(__xludf.DUMMYFUNCTION("""COMPUTED_VALUE"""),"FIP Engineering")</f>
        <v>FIP Engineering</v>
      </c>
      <c r="O2375" s="6" t="str">
        <f>IFERROR(__xludf.DUMMYFUNCTION("""COMPUTED_VALUE"""),"FIP-DOM-ENG-13405-EQ23029-INA-000000")</f>
        <v>FIP-DOM-ENG-13405-EQ23029-INA-000000</v>
      </c>
      <c r="P2375" s="6" t="str">
        <f>IFERROR(__xludf.DUMMYFUNCTION("""COMPUTED_VALUE"""),"PO Closed")</f>
        <v>PO Closed</v>
      </c>
      <c r="Q2375" s="6" t="str">
        <f>IFERROR(__xludf.DUMMYFUNCTION("""COMPUTED_VALUE"""),"GL2307045")</f>
        <v>GL2307045</v>
      </c>
      <c r="R2375" s="57">
        <f>IFERROR(__xludf.DUMMYFUNCTION("""COMPUTED_VALUE"""),45012.0)</f>
        <v>45012</v>
      </c>
      <c r="S2375" s="57">
        <f>IFERROR(__xludf.DUMMYFUNCTION("""COMPUTED_VALUE"""),45099.0)</f>
        <v>45099</v>
      </c>
      <c r="T2375" s="57">
        <f>IFERROR(__xludf.DUMMYFUNCTION("""COMPUTED_VALUE"""),45148.0)</f>
        <v>45148</v>
      </c>
    </row>
    <row r="2376">
      <c r="A2376" s="6" t="str">
        <f>IFERROR(__xludf.DUMMYFUNCTION("""COMPUTED_VALUE"""),"231750235-1")</f>
        <v>231750235-1</v>
      </c>
      <c r="B2376" s="6" t="str">
        <f>IFERROR(__xludf.DUMMYFUNCTION("""COMPUTED_VALUE"""),"231750235 - Approved")</f>
        <v>231750235 - Approved</v>
      </c>
      <c r="C2376" s="6">
        <f>IFERROR(__xludf.DUMMYFUNCTION("""COMPUTED_VALUE"""),1.0)</f>
        <v>1</v>
      </c>
      <c r="D2376" s="6" t="str">
        <f>IFERROR(__xludf.DUMMYFUNCTION("""COMPUTED_VALUE"""),"P-52709-00")</f>
        <v>P-52709-00</v>
      </c>
      <c r="E2376" s="6" t="str">
        <f>IFERROR(__xludf.DUMMYFUNCTION("""COMPUTED_VALUE"""),"Pressure Transmitter TPS30-G27AR2-00 AUTONICS; ; ;")</f>
        <v>Pressure Transmitter TPS30-G27AR2-00 AUTONICS; ; ;</v>
      </c>
      <c r="F2376" s="6">
        <f>IFERROR(__xludf.DUMMYFUNCTION("""COMPUTED_VALUE"""),1.0)</f>
        <v>1</v>
      </c>
      <c r="G2376" s="6" t="str">
        <f>IFERROR(__xludf.DUMMYFUNCTION("""COMPUTED_VALUE"""),"Pieces")</f>
        <v>Pieces</v>
      </c>
      <c r="H2376" s="6" t="str">
        <f>IFERROR(__xludf.DUMMYFUNCTION("""COMPUTED_VALUE"""),"IDR")</f>
        <v>IDR</v>
      </c>
      <c r="I2376" s="11">
        <f>IFERROR(__xludf.DUMMYFUNCTION("""COMPUTED_VALUE"""),1704800.0)</f>
        <v>1704800</v>
      </c>
      <c r="J2376" s="11">
        <f>IFERROR(__xludf.DUMMYFUNCTION("""COMPUTED_VALUE"""),1704800.0)</f>
        <v>1704800</v>
      </c>
      <c r="K2376" s="57">
        <f>IFERROR(__xludf.DUMMYFUNCTION("""COMPUTED_VALUE"""),45041.0)</f>
        <v>45041</v>
      </c>
      <c r="L2376" s="6" t="str">
        <f>IFERROR(__xludf.DUMMYFUNCTION("""COMPUTED_VALUE"""),"FIP Engineering")</f>
        <v>FIP Engineering</v>
      </c>
      <c r="M2376" s="6" t="str">
        <f>IFERROR(__xludf.DUMMYFUNCTION("""COMPUTED_VALUE"""),"Irwan Sopian")</f>
        <v>Irwan Sopian</v>
      </c>
      <c r="N2376" s="6" t="str">
        <f>IFERROR(__xludf.DUMMYFUNCTION("""COMPUTED_VALUE"""),"FIP Engineering")</f>
        <v>FIP Engineering</v>
      </c>
      <c r="O2376" s="6" t="str">
        <f>IFERROR(__xludf.DUMMYFUNCTION("""COMPUTED_VALUE"""),"FIP-DOM-000-11304-OS00001-INA-000000")</f>
        <v>FIP-DOM-000-11304-OS00001-INA-000000</v>
      </c>
      <c r="P2376" s="6" t="str">
        <f>IFERROR(__xludf.DUMMYFUNCTION("""COMPUTED_VALUE"""),"PO Closed")</f>
        <v>PO Closed</v>
      </c>
      <c r="Q2376" s="6" t="str">
        <f>IFERROR(__xludf.DUMMYFUNCTION("""COMPUTED_VALUE"""),"GL2304011")</f>
        <v>GL2304011</v>
      </c>
      <c r="R2376" s="57">
        <f>IFERROR(__xludf.DUMMYFUNCTION("""COMPUTED_VALUE"""),45013.0)</f>
        <v>45013</v>
      </c>
      <c r="S2376" s="57">
        <f>IFERROR(__xludf.DUMMYFUNCTION("""COMPUTED_VALUE"""),45016.0)</f>
        <v>45016</v>
      </c>
      <c r="T2376" s="57">
        <f>IFERROR(__xludf.DUMMYFUNCTION("""COMPUTED_VALUE"""),45087.0)</f>
        <v>45087</v>
      </c>
    </row>
    <row r="2377">
      <c r="A2377" s="6" t="str">
        <f>IFERROR(__xludf.DUMMYFUNCTION("""COMPUTED_VALUE"""),"231750235-2")</f>
        <v>231750235-2</v>
      </c>
      <c r="B2377" s="6" t="str">
        <f>IFERROR(__xludf.DUMMYFUNCTION("""COMPUTED_VALUE"""),"231750235 - Approved")</f>
        <v>231750235 - Approved</v>
      </c>
      <c r="C2377" s="6">
        <f>IFERROR(__xludf.DUMMYFUNCTION("""COMPUTED_VALUE"""),2.0)</f>
        <v>2</v>
      </c>
      <c r="D2377" s="6" t="str">
        <f>IFERROR(__xludf.DUMMYFUNCTION("""COMPUTED_VALUE"""),"P-52731-00")</f>
        <v>P-52731-00</v>
      </c>
      <c r="E2377" s="6" t="str">
        <f>IFERROR(__xludf.DUMMYFUNCTION("""COMPUTED_VALUE"""),"Spliter CN-6100-C2 AUTONICS; ; ;")</f>
        <v>Spliter CN-6100-C2 AUTONICS; ; ;</v>
      </c>
      <c r="F2377" s="6">
        <f>IFERROR(__xludf.DUMMYFUNCTION("""COMPUTED_VALUE"""),1.0)</f>
        <v>1</v>
      </c>
      <c r="G2377" s="6" t="str">
        <f>IFERROR(__xludf.DUMMYFUNCTION("""COMPUTED_VALUE"""),"Pieces")</f>
        <v>Pieces</v>
      </c>
      <c r="H2377" s="6" t="str">
        <f>IFERROR(__xludf.DUMMYFUNCTION("""COMPUTED_VALUE"""),"IDR")</f>
        <v>IDR</v>
      </c>
      <c r="I2377" s="11">
        <f>IFERROR(__xludf.DUMMYFUNCTION("""COMPUTED_VALUE"""),1932000.0)</f>
        <v>1932000</v>
      </c>
      <c r="J2377" s="11">
        <f>IFERROR(__xludf.DUMMYFUNCTION("""COMPUTED_VALUE"""),1932000.0)</f>
        <v>1932000</v>
      </c>
      <c r="K2377" s="57">
        <f>IFERROR(__xludf.DUMMYFUNCTION("""COMPUTED_VALUE"""),45041.0)</f>
        <v>45041</v>
      </c>
      <c r="L2377" s="6" t="str">
        <f>IFERROR(__xludf.DUMMYFUNCTION("""COMPUTED_VALUE"""),"FIP Engineering")</f>
        <v>FIP Engineering</v>
      </c>
      <c r="M2377" s="6" t="str">
        <f>IFERROR(__xludf.DUMMYFUNCTION("""COMPUTED_VALUE"""),"Irwan Sopian")</f>
        <v>Irwan Sopian</v>
      </c>
      <c r="N2377" s="6" t="str">
        <f>IFERROR(__xludf.DUMMYFUNCTION("""COMPUTED_VALUE"""),"FIP Engineering")</f>
        <v>FIP Engineering</v>
      </c>
      <c r="O2377" s="6" t="str">
        <f>IFERROR(__xludf.DUMMYFUNCTION("""COMPUTED_VALUE"""),"FIP-DOM-000-11304-OS00001-INA-000000")</f>
        <v>FIP-DOM-000-11304-OS00001-INA-000000</v>
      </c>
      <c r="P2377" s="6" t="str">
        <f>IFERROR(__xludf.DUMMYFUNCTION("""COMPUTED_VALUE"""),"PO Closed")</f>
        <v>PO Closed</v>
      </c>
      <c r="Q2377" s="6" t="str">
        <f>IFERROR(__xludf.DUMMYFUNCTION("""COMPUTED_VALUE"""),"GL2304011")</f>
        <v>GL2304011</v>
      </c>
      <c r="R2377" s="57">
        <f>IFERROR(__xludf.DUMMYFUNCTION("""COMPUTED_VALUE"""),45013.0)</f>
        <v>45013</v>
      </c>
      <c r="S2377" s="57">
        <f>IFERROR(__xludf.DUMMYFUNCTION("""COMPUTED_VALUE"""),45016.0)</f>
        <v>45016</v>
      </c>
      <c r="T2377" s="57">
        <f>IFERROR(__xludf.DUMMYFUNCTION("""COMPUTED_VALUE"""),45041.0)</f>
        <v>45041</v>
      </c>
    </row>
    <row r="2378">
      <c r="A2378" s="6" t="str">
        <f>IFERROR(__xludf.DUMMYFUNCTION("""COMPUTED_VALUE"""),"231750238-1")</f>
        <v>231750238-1</v>
      </c>
      <c r="B2378" s="6" t="str">
        <f>IFERROR(__xludf.DUMMYFUNCTION("""COMPUTED_VALUE"""),"231750238 - Approved")</f>
        <v>231750238 - Approved</v>
      </c>
      <c r="C2378" s="6">
        <f>IFERROR(__xludf.DUMMYFUNCTION("""COMPUTED_VALUE"""),1.0)</f>
        <v>1</v>
      </c>
      <c r="D2378" s="6" t="str">
        <f>IFERROR(__xludf.DUMMYFUNCTION("""COMPUTED_VALUE"""),"O-19076-00")</f>
        <v>O-19076-00</v>
      </c>
      <c r="E2378" s="6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F2378" s="6">
        <f>IFERROR(__xludf.DUMMYFUNCTION("""COMPUTED_VALUE"""),1.0)</f>
        <v>1</v>
      </c>
      <c r="G2378" s="6" t="str">
        <f>IFERROR(__xludf.DUMMYFUNCTION("""COMPUTED_VALUE"""),"Pieces")</f>
        <v>Pieces</v>
      </c>
      <c r="H2378" s="6" t="str">
        <f>IFERROR(__xludf.DUMMYFUNCTION("""COMPUTED_VALUE"""),"IDR")</f>
        <v>IDR</v>
      </c>
      <c r="I2378" s="11">
        <f>IFERROR(__xludf.DUMMYFUNCTION("""COMPUTED_VALUE"""),5900000.0)</f>
        <v>5900000</v>
      </c>
      <c r="J2378" s="11">
        <f>IFERROR(__xludf.DUMMYFUNCTION("""COMPUTED_VALUE"""),5900000.0)</f>
        <v>5900000</v>
      </c>
      <c r="K2378" s="57">
        <f>IFERROR(__xludf.DUMMYFUNCTION("""COMPUTED_VALUE"""),45044.0)</f>
        <v>45044</v>
      </c>
      <c r="L2378" s="6" t="str">
        <f>IFERROR(__xludf.DUMMYFUNCTION("""COMPUTED_VALUE"""),"FIP Engineering")</f>
        <v>FIP Engineering</v>
      </c>
      <c r="M2378" s="6" t="str">
        <f>IFERROR(__xludf.DUMMYFUNCTION("""COMPUTED_VALUE"""),"Irwan Sopian")</f>
        <v>Irwan Sopian</v>
      </c>
      <c r="N2378" s="6" t="str">
        <f>IFERROR(__xludf.DUMMYFUNCTION("""COMPUTED_VALUE"""),"FIP Engineering")</f>
        <v>FIP Engineering</v>
      </c>
      <c r="O2378" s="6" t="str">
        <f>IFERROR(__xludf.DUMMYFUNCTION("""COMPUTED_VALUE"""),"FIP-DOM-000-11304-OS00001-INA-000000")</f>
        <v>FIP-DOM-000-11304-OS00001-INA-000000</v>
      </c>
      <c r="P2378" s="6" t="str">
        <f>IFERROR(__xludf.DUMMYFUNCTION("""COMPUTED_VALUE"""),"PO Closed")</f>
        <v>PO Closed</v>
      </c>
      <c r="Q2378" s="6" t="str">
        <f>IFERROR(__xludf.DUMMYFUNCTION("""COMPUTED_VALUE"""),"GL2304049")</f>
        <v>GL2304049</v>
      </c>
      <c r="R2378" s="57">
        <f>IFERROR(__xludf.DUMMYFUNCTION("""COMPUTED_VALUE"""),45019.0)</f>
        <v>45019</v>
      </c>
      <c r="S2378" s="57">
        <f>IFERROR(__xludf.DUMMYFUNCTION("""COMPUTED_VALUE"""),45019.0)</f>
        <v>45019</v>
      </c>
      <c r="T2378" s="57">
        <f>IFERROR(__xludf.DUMMYFUNCTION("""COMPUTED_VALUE"""),45077.0)</f>
        <v>45077</v>
      </c>
    </row>
    <row r="2379">
      <c r="A2379" s="6" t="str">
        <f>IFERROR(__xludf.DUMMYFUNCTION("""COMPUTED_VALUE"""),"231750238-2")</f>
        <v>231750238-2</v>
      </c>
      <c r="B2379" s="6" t="str">
        <f>IFERROR(__xludf.DUMMYFUNCTION("""COMPUTED_VALUE"""),"231750238 - Approved")</f>
        <v>231750238 - Approved</v>
      </c>
      <c r="C2379" s="6">
        <f>IFERROR(__xludf.DUMMYFUNCTION("""COMPUTED_VALUE"""),2.0)</f>
        <v>2</v>
      </c>
      <c r="D2379" s="6" t="str">
        <f>IFERROR(__xludf.DUMMYFUNCTION("""COMPUTED_VALUE"""),"O-19075-00")</f>
        <v>O-19075-00</v>
      </c>
      <c r="E2379" s="6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F2379" s="6">
        <f>IFERROR(__xludf.DUMMYFUNCTION("""COMPUTED_VALUE"""),1.0)</f>
        <v>1</v>
      </c>
      <c r="G2379" s="6" t="str">
        <f>IFERROR(__xludf.DUMMYFUNCTION("""COMPUTED_VALUE"""),"Pieces")</f>
        <v>Pieces</v>
      </c>
      <c r="H2379" s="6" t="str">
        <f>IFERROR(__xludf.DUMMYFUNCTION("""COMPUTED_VALUE"""),"IDR")</f>
        <v>IDR</v>
      </c>
      <c r="I2379" s="11">
        <f>IFERROR(__xludf.DUMMYFUNCTION("""COMPUTED_VALUE"""),5750000.0)</f>
        <v>5750000</v>
      </c>
      <c r="J2379" s="11">
        <f>IFERROR(__xludf.DUMMYFUNCTION("""COMPUTED_VALUE"""),5750000.0)</f>
        <v>5750000</v>
      </c>
      <c r="K2379" s="57">
        <f>IFERROR(__xludf.DUMMYFUNCTION("""COMPUTED_VALUE"""),45044.0)</f>
        <v>45044</v>
      </c>
      <c r="L2379" s="6" t="str">
        <f>IFERROR(__xludf.DUMMYFUNCTION("""COMPUTED_VALUE"""),"FIP Engineering")</f>
        <v>FIP Engineering</v>
      </c>
      <c r="M2379" s="6" t="str">
        <f>IFERROR(__xludf.DUMMYFUNCTION("""COMPUTED_VALUE"""),"Irwan Sopian")</f>
        <v>Irwan Sopian</v>
      </c>
      <c r="N2379" s="6" t="str">
        <f>IFERROR(__xludf.DUMMYFUNCTION("""COMPUTED_VALUE"""),"FIP Engineering")</f>
        <v>FIP Engineering</v>
      </c>
      <c r="O2379" s="6" t="str">
        <f>IFERROR(__xludf.DUMMYFUNCTION("""COMPUTED_VALUE"""),"FIP-DOM-000-11304-OS00001-INA-000000")</f>
        <v>FIP-DOM-000-11304-OS00001-INA-000000</v>
      </c>
      <c r="P2379" s="6" t="str">
        <f>IFERROR(__xludf.DUMMYFUNCTION("""COMPUTED_VALUE"""),"PO Closed")</f>
        <v>PO Closed</v>
      </c>
      <c r="Q2379" s="6" t="str">
        <f>IFERROR(__xludf.DUMMYFUNCTION("""COMPUTED_VALUE"""),"GL2304049")</f>
        <v>GL2304049</v>
      </c>
      <c r="R2379" s="57">
        <f>IFERROR(__xludf.DUMMYFUNCTION("""COMPUTED_VALUE"""),45019.0)</f>
        <v>45019</v>
      </c>
      <c r="S2379" s="57">
        <f>IFERROR(__xludf.DUMMYFUNCTION("""COMPUTED_VALUE"""),45019.0)</f>
        <v>45019</v>
      </c>
      <c r="T2379" s="57">
        <f>IFERROR(__xludf.DUMMYFUNCTION("""COMPUTED_VALUE"""),45077.0)</f>
        <v>45077</v>
      </c>
    </row>
    <row r="2380">
      <c r="A2380" s="6" t="str">
        <f>IFERROR(__xludf.DUMMYFUNCTION("""COMPUTED_VALUE"""),"231750238-3")</f>
        <v>231750238-3</v>
      </c>
      <c r="B2380" s="6" t="str">
        <f>IFERROR(__xludf.DUMMYFUNCTION("""COMPUTED_VALUE"""),"231750238 - Approved")</f>
        <v>231750238 - Approved</v>
      </c>
      <c r="C2380" s="6">
        <f>IFERROR(__xludf.DUMMYFUNCTION("""COMPUTED_VALUE"""),3.0)</f>
        <v>3</v>
      </c>
      <c r="D2380" s="6" t="str">
        <f>IFERROR(__xludf.DUMMYFUNCTION("""COMPUTED_VALUE"""),"O-19072-00")</f>
        <v>O-19072-00</v>
      </c>
      <c r="E2380" s="6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F2380" s="6">
        <f>IFERROR(__xludf.DUMMYFUNCTION("""COMPUTED_VALUE"""),1.0)</f>
        <v>1</v>
      </c>
      <c r="G2380" s="6" t="str">
        <f>IFERROR(__xludf.DUMMYFUNCTION("""COMPUTED_VALUE"""),"Pieces")</f>
        <v>Pieces</v>
      </c>
      <c r="H2380" s="6" t="str">
        <f>IFERROR(__xludf.DUMMYFUNCTION("""COMPUTED_VALUE"""),"IDR")</f>
        <v>IDR</v>
      </c>
      <c r="I2380" s="11">
        <f>IFERROR(__xludf.DUMMYFUNCTION("""COMPUTED_VALUE"""),7550000.0)</f>
        <v>7550000</v>
      </c>
      <c r="J2380" s="11">
        <f>IFERROR(__xludf.DUMMYFUNCTION("""COMPUTED_VALUE"""),7550000.0)</f>
        <v>7550000</v>
      </c>
      <c r="K2380" s="57">
        <f>IFERROR(__xludf.DUMMYFUNCTION("""COMPUTED_VALUE"""),45044.0)</f>
        <v>45044</v>
      </c>
      <c r="L2380" s="6" t="str">
        <f>IFERROR(__xludf.DUMMYFUNCTION("""COMPUTED_VALUE"""),"FIP Engineering")</f>
        <v>FIP Engineering</v>
      </c>
      <c r="M2380" s="6" t="str">
        <f>IFERROR(__xludf.DUMMYFUNCTION("""COMPUTED_VALUE"""),"Irwan Sopian")</f>
        <v>Irwan Sopian</v>
      </c>
      <c r="N2380" s="6" t="str">
        <f>IFERROR(__xludf.DUMMYFUNCTION("""COMPUTED_VALUE"""),"FIP Engineering")</f>
        <v>FIP Engineering</v>
      </c>
      <c r="O2380" s="6" t="str">
        <f>IFERROR(__xludf.DUMMYFUNCTION("""COMPUTED_VALUE"""),"FIP-DOM-000-11304-OS00001-INA-000000")</f>
        <v>FIP-DOM-000-11304-OS00001-INA-000000</v>
      </c>
      <c r="P2380" s="6" t="str">
        <f>IFERROR(__xludf.DUMMYFUNCTION("""COMPUTED_VALUE"""),"PO Closed")</f>
        <v>PO Closed</v>
      </c>
      <c r="Q2380" s="6" t="str">
        <f>IFERROR(__xludf.DUMMYFUNCTION("""COMPUTED_VALUE"""),"GL2304049")</f>
        <v>GL2304049</v>
      </c>
      <c r="R2380" s="57">
        <f>IFERROR(__xludf.DUMMYFUNCTION("""COMPUTED_VALUE"""),45019.0)</f>
        <v>45019</v>
      </c>
      <c r="S2380" s="57">
        <f>IFERROR(__xludf.DUMMYFUNCTION("""COMPUTED_VALUE"""),45019.0)</f>
        <v>45019</v>
      </c>
      <c r="T2380" s="57">
        <f>IFERROR(__xludf.DUMMYFUNCTION("""COMPUTED_VALUE"""),45077.0)</f>
        <v>45077</v>
      </c>
    </row>
    <row r="2381">
      <c r="A2381" s="6" t="str">
        <f>IFERROR(__xludf.DUMMYFUNCTION("""COMPUTED_VALUE"""),"231750238-4")</f>
        <v>231750238-4</v>
      </c>
      <c r="B2381" s="6" t="str">
        <f>IFERROR(__xludf.DUMMYFUNCTION("""COMPUTED_VALUE"""),"231750238 - Approved")</f>
        <v>231750238 - Approved</v>
      </c>
      <c r="C2381" s="6">
        <f>IFERROR(__xludf.DUMMYFUNCTION("""COMPUTED_VALUE"""),4.0)</f>
        <v>4</v>
      </c>
      <c r="D2381" s="6" t="str">
        <f>IFERROR(__xludf.DUMMYFUNCTION("""COMPUTED_VALUE"""),"O-19073-00")</f>
        <v>O-19073-00</v>
      </c>
      <c r="E2381" s="6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F2381" s="6">
        <f>IFERROR(__xludf.DUMMYFUNCTION("""COMPUTED_VALUE"""),1.0)</f>
        <v>1</v>
      </c>
      <c r="G2381" s="6" t="str">
        <f>IFERROR(__xludf.DUMMYFUNCTION("""COMPUTED_VALUE"""),"Pieces")</f>
        <v>Pieces</v>
      </c>
      <c r="H2381" s="6" t="str">
        <f>IFERROR(__xludf.DUMMYFUNCTION("""COMPUTED_VALUE"""),"IDR")</f>
        <v>IDR</v>
      </c>
      <c r="I2381" s="11">
        <f>IFERROR(__xludf.DUMMYFUNCTION("""COMPUTED_VALUE"""),7550000.0)</f>
        <v>7550000</v>
      </c>
      <c r="J2381" s="11">
        <f>IFERROR(__xludf.DUMMYFUNCTION("""COMPUTED_VALUE"""),7550000.0)</f>
        <v>7550000</v>
      </c>
      <c r="K2381" s="57">
        <f>IFERROR(__xludf.DUMMYFUNCTION("""COMPUTED_VALUE"""),45044.0)</f>
        <v>45044</v>
      </c>
      <c r="L2381" s="6" t="str">
        <f>IFERROR(__xludf.DUMMYFUNCTION("""COMPUTED_VALUE"""),"FIP Engineering")</f>
        <v>FIP Engineering</v>
      </c>
      <c r="M2381" s="6" t="str">
        <f>IFERROR(__xludf.DUMMYFUNCTION("""COMPUTED_VALUE"""),"Irwan Sopian")</f>
        <v>Irwan Sopian</v>
      </c>
      <c r="N2381" s="6" t="str">
        <f>IFERROR(__xludf.DUMMYFUNCTION("""COMPUTED_VALUE"""),"FIP Engineering")</f>
        <v>FIP Engineering</v>
      </c>
      <c r="O2381" s="6" t="str">
        <f>IFERROR(__xludf.DUMMYFUNCTION("""COMPUTED_VALUE"""),"FIP-DOM-000-11304-OS00001-INA-000000")</f>
        <v>FIP-DOM-000-11304-OS00001-INA-000000</v>
      </c>
      <c r="P2381" s="6" t="str">
        <f>IFERROR(__xludf.DUMMYFUNCTION("""COMPUTED_VALUE"""),"PO Closed")</f>
        <v>PO Closed</v>
      </c>
      <c r="Q2381" s="6" t="str">
        <f>IFERROR(__xludf.DUMMYFUNCTION("""COMPUTED_VALUE"""),"GL2304049")</f>
        <v>GL2304049</v>
      </c>
      <c r="R2381" s="57">
        <f>IFERROR(__xludf.DUMMYFUNCTION("""COMPUTED_VALUE"""),45019.0)</f>
        <v>45019</v>
      </c>
      <c r="S2381" s="57">
        <f>IFERROR(__xludf.DUMMYFUNCTION("""COMPUTED_VALUE"""),45019.0)</f>
        <v>45019</v>
      </c>
      <c r="T2381" s="57">
        <f>IFERROR(__xludf.DUMMYFUNCTION("""COMPUTED_VALUE"""),45077.0)</f>
        <v>45077</v>
      </c>
    </row>
    <row r="2382">
      <c r="A2382" s="6" t="str">
        <f>IFERROR(__xludf.DUMMYFUNCTION("""COMPUTED_VALUE"""),"231750238-5")</f>
        <v>231750238-5</v>
      </c>
      <c r="B2382" s="6" t="str">
        <f>IFERROR(__xludf.DUMMYFUNCTION("""COMPUTED_VALUE"""),"231750238 - Approved")</f>
        <v>231750238 - Approved</v>
      </c>
      <c r="C2382" s="6">
        <f>IFERROR(__xludf.DUMMYFUNCTION("""COMPUTED_VALUE"""),5.0)</f>
        <v>5</v>
      </c>
      <c r="D2382" s="6" t="str">
        <f>IFERROR(__xludf.DUMMYFUNCTION("""COMPUTED_VALUE"""),"O-19074-00")</f>
        <v>O-19074-00</v>
      </c>
      <c r="E2382" s="6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F2382" s="6">
        <f>IFERROR(__xludf.DUMMYFUNCTION("""COMPUTED_VALUE"""),1.0)</f>
        <v>1</v>
      </c>
      <c r="G2382" s="6" t="str">
        <f>IFERROR(__xludf.DUMMYFUNCTION("""COMPUTED_VALUE"""),"Pieces")</f>
        <v>Pieces</v>
      </c>
      <c r="H2382" s="6" t="str">
        <f>IFERROR(__xludf.DUMMYFUNCTION("""COMPUTED_VALUE"""),"IDR")</f>
        <v>IDR</v>
      </c>
      <c r="I2382" s="11">
        <f>IFERROR(__xludf.DUMMYFUNCTION("""COMPUTED_VALUE"""),5650000.0)</f>
        <v>5650000</v>
      </c>
      <c r="J2382" s="11">
        <f>IFERROR(__xludf.DUMMYFUNCTION("""COMPUTED_VALUE"""),5650000.0)</f>
        <v>5650000</v>
      </c>
      <c r="K2382" s="57">
        <f>IFERROR(__xludf.DUMMYFUNCTION("""COMPUTED_VALUE"""),45044.0)</f>
        <v>45044</v>
      </c>
      <c r="L2382" s="6" t="str">
        <f>IFERROR(__xludf.DUMMYFUNCTION("""COMPUTED_VALUE"""),"FIP Engineering")</f>
        <v>FIP Engineering</v>
      </c>
      <c r="M2382" s="6" t="str">
        <f>IFERROR(__xludf.DUMMYFUNCTION("""COMPUTED_VALUE"""),"Irwan Sopian")</f>
        <v>Irwan Sopian</v>
      </c>
      <c r="N2382" s="6" t="str">
        <f>IFERROR(__xludf.DUMMYFUNCTION("""COMPUTED_VALUE"""),"FIP Engineering")</f>
        <v>FIP Engineering</v>
      </c>
      <c r="O2382" s="6" t="str">
        <f>IFERROR(__xludf.DUMMYFUNCTION("""COMPUTED_VALUE"""),"FIP-DOM-000-11304-OS00001-INA-000000")</f>
        <v>FIP-DOM-000-11304-OS00001-INA-000000</v>
      </c>
      <c r="P2382" s="6" t="str">
        <f>IFERROR(__xludf.DUMMYFUNCTION("""COMPUTED_VALUE"""),"PO Closed")</f>
        <v>PO Closed</v>
      </c>
      <c r="Q2382" s="6" t="str">
        <f>IFERROR(__xludf.DUMMYFUNCTION("""COMPUTED_VALUE"""),"GL2304049")</f>
        <v>GL2304049</v>
      </c>
      <c r="R2382" s="57">
        <f>IFERROR(__xludf.DUMMYFUNCTION("""COMPUTED_VALUE"""),45019.0)</f>
        <v>45019</v>
      </c>
      <c r="S2382" s="57">
        <f>IFERROR(__xludf.DUMMYFUNCTION("""COMPUTED_VALUE"""),45019.0)</f>
        <v>45019</v>
      </c>
      <c r="T2382" s="57">
        <f>IFERROR(__xludf.DUMMYFUNCTION("""COMPUTED_VALUE"""),45077.0)</f>
        <v>45077</v>
      </c>
    </row>
    <row r="2383">
      <c r="A2383" s="6" t="str">
        <f>IFERROR(__xludf.DUMMYFUNCTION("""COMPUTED_VALUE"""),"231750243-1")</f>
        <v>231750243-1</v>
      </c>
      <c r="B2383" s="6" t="str">
        <f>IFERROR(__xludf.DUMMYFUNCTION("""COMPUTED_VALUE"""),"231750243 - Approved")</f>
        <v>231750243 - Approved</v>
      </c>
      <c r="C2383" s="6">
        <f>IFERROR(__xludf.DUMMYFUNCTION("""COMPUTED_VALUE"""),1.0)</f>
        <v>1</v>
      </c>
      <c r="D2383" s="6" t="str">
        <f>IFERROR(__xludf.DUMMYFUNCTION("""COMPUTED_VALUE"""),"P-11356-00")</f>
        <v>P-11356-00</v>
      </c>
      <c r="E2383" s="6" t="str">
        <f>IFERROR(__xludf.DUMMYFUNCTION("""COMPUTED_VALUE"""),"Roda Trolly ABUS 4"" ( 100 x 27 ) Without Breake")</f>
        <v>Roda Trolly ABUS 4" ( 100 x 27 ) Without Breake</v>
      </c>
      <c r="F2383" s="6">
        <f>IFERROR(__xludf.DUMMYFUNCTION("""COMPUTED_VALUE"""),4.0)</f>
        <v>4</v>
      </c>
      <c r="G2383" s="6" t="str">
        <f>IFERROR(__xludf.DUMMYFUNCTION("""COMPUTED_VALUE"""),"Pieces")</f>
        <v>Pieces</v>
      </c>
      <c r="H2383" s="6" t="str">
        <f>IFERROR(__xludf.DUMMYFUNCTION("""COMPUTED_VALUE"""),"IDR")</f>
        <v>IDR</v>
      </c>
      <c r="I2383" s="11">
        <f>IFERROR(__xludf.DUMMYFUNCTION("""COMPUTED_VALUE"""),465000.0)</f>
        <v>465000</v>
      </c>
      <c r="J2383" s="11">
        <f>IFERROR(__xludf.DUMMYFUNCTION("""COMPUTED_VALUE"""),1860000.0)</f>
        <v>1860000</v>
      </c>
      <c r="K2383" s="57">
        <f>IFERROR(__xludf.DUMMYFUNCTION("""COMPUTED_VALUE"""),45044.0)</f>
        <v>45044</v>
      </c>
      <c r="L2383" s="6" t="str">
        <f>IFERROR(__xludf.DUMMYFUNCTION("""COMPUTED_VALUE"""),"FIP Engineering")</f>
        <v>FIP Engineering</v>
      </c>
      <c r="M2383" s="6" t="str">
        <f>IFERROR(__xludf.DUMMYFUNCTION("""COMPUTED_VALUE"""),"Irwan Sopian")</f>
        <v>Irwan Sopian</v>
      </c>
      <c r="N2383" s="6" t="str">
        <f>IFERROR(__xludf.DUMMYFUNCTION("""COMPUTED_VALUE"""),"FIP Engineering")</f>
        <v>FIP Engineering</v>
      </c>
      <c r="O2383" s="6" t="str">
        <f>IFERROR(__xludf.DUMMYFUNCTION("""COMPUTED_VALUE"""),"FIP-DOM-000-11304-OS00001-INA-000000")</f>
        <v>FIP-DOM-000-11304-OS00001-INA-000000</v>
      </c>
      <c r="P2383" s="6" t="str">
        <f>IFERROR(__xludf.DUMMYFUNCTION("""COMPUTED_VALUE"""),"PO Closed")</f>
        <v>PO Closed</v>
      </c>
      <c r="Q2383" s="6" t="str">
        <f>IFERROR(__xludf.DUMMYFUNCTION("""COMPUTED_VALUE"""),"GL2305005")</f>
        <v>GL2305005</v>
      </c>
      <c r="R2383" s="57">
        <f>IFERROR(__xludf.DUMMYFUNCTION("""COMPUTED_VALUE"""),45019.0)</f>
        <v>45019</v>
      </c>
      <c r="S2383" s="57">
        <f>IFERROR(__xludf.DUMMYFUNCTION("""COMPUTED_VALUE"""),45019.0)</f>
        <v>45019</v>
      </c>
      <c r="T2383" s="57">
        <f>IFERROR(__xludf.DUMMYFUNCTION("""COMPUTED_VALUE"""),45077.0)</f>
        <v>45077</v>
      </c>
    </row>
    <row r="2384">
      <c r="A2384" s="6" t="str">
        <f>IFERROR(__xludf.DUMMYFUNCTION("""COMPUTED_VALUE"""),"231750245-1")</f>
        <v>231750245-1</v>
      </c>
      <c r="B2384" s="6" t="str">
        <f>IFERROR(__xludf.DUMMYFUNCTION("""COMPUTED_VALUE"""),"231750245 - Approved")</f>
        <v>231750245 - Approved</v>
      </c>
      <c r="C2384" s="6">
        <f>IFERROR(__xludf.DUMMYFUNCTION("""COMPUTED_VALUE"""),1.0)</f>
        <v>1</v>
      </c>
      <c r="D2384" s="6" t="str">
        <f>IFERROR(__xludf.DUMMYFUNCTION("""COMPUTED_VALUE"""),"Q-54156-00")</f>
        <v>Q-54156-00</v>
      </c>
      <c r="E2384" s="6" t="str">
        <f>IFERROR(__xludf.DUMMYFUNCTION("""COMPUTED_VALUE"""),"PCB SCOPMA 5.Q; ; ;")</f>
        <v>PCB SCOPMA 5.Q; ; ;</v>
      </c>
      <c r="F2384" s="6">
        <f>IFERROR(__xludf.DUMMYFUNCTION("""COMPUTED_VALUE"""),1.0)</f>
        <v>1</v>
      </c>
      <c r="G2384" s="6" t="str">
        <f>IFERROR(__xludf.DUMMYFUNCTION("""COMPUTED_VALUE"""),"Unit")</f>
        <v>Unit</v>
      </c>
      <c r="H2384" s="6" t="str">
        <f>IFERROR(__xludf.DUMMYFUNCTION("""COMPUTED_VALUE"""),"IDR")</f>
        <v>IDR</v>
      </c>
      <c r="I2384" s="11">
        <f>IFERROR(__xludf.DUMMYFUNCTION("""COMPUTED_VALUE"""),8635000.0)</f>
        <v>8635000</v>
      </c>
      <c r="J2384" s="11">
        <f>IFERROR(__xludf.DUMMYFUNCTION("""COMPUTED_VALUE"""),8635000.0)</f>
        <v>8635000</v>
      </c>
      <c r="K2384" s="57">
        <f>IFERROR(__xludf.DUMMYFUNCTION("""COMPUTED_VALUE"""),45049.0)</f>
        <v>45049</v>
      </c>
      <c r="L2384" s="6" t="str">
        <f>IFERROR(__xludf.DUMMYFUNCTION("""COMPUTED_VALUE"""),"FIP General")</f>
        <v>FIP General</v>
      </c>
      <c r="M2384" s="6" t="str">
        <f>IFERROR(__xludf.DUMMYFUNCTION("""COMPUTED_VALUE"""),"Irwan Sopian")</f>
        <v>Irwan Sopian</v>
      </c>
      <c r="N2384" s="6" t="str">
        <f>IFERROR(__xludf.DUMMYFUNCTION("""COMPUTED_VALUE"""),"FIP Engineering")</f>
        <v>FIP Engineering</v>
      </c>
      <c r="O2384" s="6" t="str">
        <f>IFERROR(__xludf.DUMMYFUNCTION("""COMPUTED_VALUE"""),"FIP-DOM-ENG-51502-0000000-INA-000000")</f>
        <v>FIP-DOM-ENG-51502-0000000-INA-000000</v>
      </c>
      <c r="P2384" s="6" t="str">
        <f>IFERROR(__xludf.DUMMYFUNCTION("""COMPUTED_VALUE"""),"PO Closed")</f>
        <v>PO Closed</v>
      </c>
      <c r="Q2384" s="6" t="str">
        <f>IFERROR(__xludf.DUMMYFUNCTION("""COMPUTED_VALUE"""),"GL2308040")</f>
        <v>GL2308040</v>
      </c>
      <c r="R2384" s="57">
        <f>IFERROR(__xludf.DUMMYFUNCTION("""COMPUTED_VALUE"""),45019.0)</f>
        <v>45019</v>
      </c>
      <c r="S2384" s="57">
        <f>IFERROR(__xludf.DUMMYFUNCTION("""COMPUTED_VALUE"""),45019.0)</f>
        <v>45019</v>
      </c>
      <c r="T2384" s="57">
        <f>IFERROR(__xludf.DUMMYFUNCTION("""COMPUTED_VALUE"""),45176.0)</f>
        <v>45176</v>
      </c>
    </row>
    <row r="2385">
      <c r="A2385" s="6" t="str">
        <f>IFERROR(__xludf.DUMMYFUNCTION("""COMPUTED_VALUE"""),"231750272-1")</f>
        <v>231750272-1</v>
      </c>
      <c r="B2385" s="6" t="str">
        <f>IFERROR(__xludf.DUMMYFUNCTION("""COMPUTED_VALUE"""),"231750272 - Approved")</f>
        <v>231750272 - Approved</v>
      </c>
      <c r="C2385" s="6">
        <f>IFERROR(__xludf.DUMMYFUNCTION("""COMPUTED_VALUE"""),1.0)</f>
        <v>1</v>
      </c>
      <c r="D2385" s="6" t="str">
        <f>IFERROR(__xludf.DUMMYFUNCTION("""COMPUTED_VALUE"""),"P-18618-00")</f>
        <v>P-18618-00</v>
      </c>
      <c r="E2385" s="6" t="str">
        <f>IFERROR(__xludf.DUMMYFUNCTION("""COMPUTED_VALUE"""),"Chemicals Kuclean HL-351 @20 liter; ; ;")</f>
        <v>Chemicals Kuclean HL-351 @20 liter; ; ;</v>
      </c>
      <c r="F2385" s="6">
        <f>IFERROR(__xludf.DUMMYFUNCTION("""COMPUTED_VALUE"""),40.0)</f>
        <v>40</v>
      </c>
      <c r="G2385" s="6" t="str">
        <f>IFERROR(__xludf.DUMMYFUNCTION("""COMPUTED_VALUE"""),"Unit")</f>
        <v>Unit</v>
      </c>
      <c r="H2385" s="6" t="str">
        <f>IFERROR(__xludf.DUMMYFUNCTION("""COMPUTED_VALUE"""),"IDR")</f>
        <v>IDR</v>
      </c>
      <c r="I2385" s="11">
        <f>IFERROR(__xludf.DUMMYFUNCTION("""COMPUTED_VALUE"""),37000.0)</f>
        <v>37000</v>
      </c>
      <c r="J2385" s="11">
        <f>IFERROR(__xludf.DUMMYFUNCTION("""COMPUTED_VALUE"""),1480000.0)</f>
        <v>1480000</v>
      </c>
      <c r="K2385" s="57">
        <f>IFERROR(__xludf.DUMMYFUNCTION("""COMPUTED_VALUE"""),45044.0)</f>
        <v>45044</v>
      </c>
      <c r="L2385" s="6" t="str">
        <f>IFERROR(__xludf.DUMMYFUNCTION("""COMPUTED_VALUE"""),"FIP Engineering")</f>
        <v>FIP Engineering</v>
      </c>
      <c r="M2385" s="6" t="str">
        <f>IFERROR(__xludf.DUMMYFUNCTION("""COMPUTED_VALUE"""),"Irwan Sopian")</f>
        <v>Irwan Sopian</v>
      </c>
      <c r="N2385" s="6" t="str">
        <f>IFERROR(__xludf.DUMMYFUNCTION("""COMPUTED_VALUE"""),"FIP Engineering")</f>
        <v>FIP Engineering</v>
      </c>
      <c r="O2385" s="6" t="str">
        <f>IFERROR(__xludf.DUMMYFUNCTION("""COMPUTED_VALUE"""),"FIP-DOM-000-11304-OS00001-INA-000000")</f>
        <v>FIP-DOM-000-11304-OS00001-INA-000000</v>
      </c>
      <c r="P2385" s="6" t="str">
        <f>IFERROR(__xludf.DUMMYFUNCTION("""COMPUTED_VALUE"""),"PO Closed")</f>
        <v>PO Closed</v>
      </c>
      <c r="Q2385" s="6" t="str">
        <f>IFERROR(__xludf.DUMMYFUNCTION("""COMPUTED_VALUE"""),"GL2305004")</f>
        <v>GL2305004</v>
      </c>
      <c r="R2385" s="57">
        <f>IFERROR(__xludf.DUMMYFUNCTION("""COMPUTED_VALUE"""),45027.0)</f>
        <v>45027</v>
      </c>
      <c r="S2385" s="57">
        <f>IFERROR(__xludf.DUMMYFUNCTION("""COMPUTED_VALUE"""),45028.0)</f>
        <v>45028</v>
      </c>
      <c r="T2385" s="57">
        <f>IFERROR(__xludf.DUMMYFUNCTION("""COMPUTED_VALUE"""),45066.0)</f>
        <v>45066</v>
      </c>
    </row>
    <row r="2386">
      <c r="A2386" s="6" t="str">
        <f>IFERROR(__xludf.DUMMYFUNCTION("""COMPUTED_VALUE"""),"231750273-1")</f>
        <v>231750273-1</v>
      </c>
      <c r="B2386" s="6" t="str">
        <f>IFERROR(__xludf.DUMMYFUNCTION("""COMPUTED_VALUE"""),"231750273 - Approved")</f>
        <v>231750273 - Approved</v>
      </c>
      <c r="C2386" s="6">
        <f>IFERROR(__xludf.DUMMYFUNCTION("""COMPUTED_VALUE"""),1.0)</f>
        <v>1</v>
      </c>
      <c r="D2386" s="6" t="str">
        <f>IFERROR(__xludf.DUMMYFUNCTION("""COMPUTED_VALUE"""),"P-18619-00")</f>
        <v>P-18619-00</v>
      </c>
      <c r="E2386" s="6" t="str">
        <f>IFERROR(__xludf.DUMMYFUNCTION("""COMPUTED_VALUE"""),"Filling VFM100 - Guide Vial Material SUS 304; ; ;")</f>
        <v>Filling VFM100 - Guide Vial Material SUS 304; ; ;</v>
      </c>
      <c r="F2386" s="6">
        <f>IFERROR(__xludf.DUMMYFUNCTION("""COMPUTED_VALUE"""),1.0)</f>
        <v>1</v>
      </c>
      <c r="G2386" s="6" t="str">
        <f>IFERROR(__xludf.DUMMYFUNCTION("""COMPUTED_VALUE"""),"Unit")</f>
        <v>Unit</v>
      </c>
      <c r="H2386" s="6" t="str">
        <f>IFERROR(__xludf.DUMMYFUNCTION("""COMPUTED_VALUE"""),"IDR")</f>
        <v>IDR</v>
      </c>
      <c r="I2386" s="11">
        <f>IFERROR(__xludf.DUMMYFUNCTION("""COMPUTED_VALUE"""),6087000.0)</f>
        <v>6087000</v>
      </c>
      <c r="J2386" s="11">
        <f>IFERROR(__xludf.DUMMYFUNCTION("""COMPUTED_VALUE"""),6087000.0)</f>
        <v>6087000</v>
      </c>
      <c r="K2386" s="57">
        <f>IFERROR(__xludf.DUMMYFUNCTION("""COMPUTED_VALUE"""),45051.0)</f>
        <v>45051</v>
      </c>
      <c r="L2386" s="6" t="str">
        <f>IFERROR(__xludf.DUMMYFUNCTION("""COMPUTED_VALUE"""),"FIP Engineering")</f>
        <v>FIP Engineering</v>
      </c>
      <c r="M2386" s="6" t="str">
        <f>IFERROR(__xludf.DUMMYFUNCTION("""COMPUTED_VALUE"""),"Irwan Sopian")</f>
        <v>Irwan Sopian</v>
      </c>
      <c r="N2386" s="6" t="str">
        <f>IFERROR(__xludf.DUMMYFUNCTION("""COMPUTED_VALUE"""),"FIP Engineering")</f>
        <v>FIP Engineering</v>
      </c>
      <c r="O2386" s="6" t="str">
        <f>IFERROR(__xludf.DUMMYFUNCTION("""COMPUTED_VALUE"""),"FIP-DOM-000-11304-OS00001-INA-000000")</f>
        <v>FIP-DOM-000-11304-OS00001-INA-000000</v>
      </c>
      <c r="P2386" s="6" t="str">
        <f>IFERROR(__xludf.DUMMYFUNCTION("""COMPUTED_VALUE"""),"PO Closed")</f>
        <v>PO Closed</v>
      </c>
      <c r="Q2386" s="6" t="str">
        <f>IFERROR(__xludf.DUMMYFUNCTION("""COMPUTED_VALUE"""),"GL2305037")</f>
        <v>GL2305037</v>
      </c>
      <c r="R2386" s="57">
        <f>IFERROR(__xludf.DUMMYFUNCTION("""COMPUTED_VALUE"""),45028.0)</f>
        <v>45028</v>
      </c>
      <c r="S2386" s="57">
        <f>IFERROR(__xludf.DUMMYFUNCTION("""COMPUTED_VALUE"""),45030.0)</f>
        <v>45030</v>
      </c>
      <c r="T2386" s="57">
        <f>IFERROR(__xludf.DUMMYFUNCTION("""COMPUTED_VALUE"""),45169.0)</f>
        <v>45169</v>
      </c>
    </row>
    <row r="2387">
      <c r="A2387" s="6" t="str">
        <f>IFERROR(__xludf.DUMMYFUNCTION("""COMPUTED_VALUE"""),"231750273-2")</f>
        <v>231750273-2</v>
      </c>
      <c r="B2387" s="6" t="str">
        <f>IFERROR(__xludf.DUMMYFUNCTION("""COMPUTED_VALUE"""),"231750273 - Approved")</f>
        <v>231750273 - Approved</v>
      </c>
      <c r="C2387" s="6">
        <f>IFERROR(__xludf.DUMMYFUNCTION("""COMPUTED_VALUE"""),2.0)</f>
        <v>2</v>
      </c>
      <c r="D2387" s="6" t="str">
        <f>IFERROR(__xludf.DUMMYFUNCTION("""COMPUTED_VALUE"""),"P-18620-00")</f>
        <v>P-18620-00</v>
      </c>
      <c r="E2387" s="6" t="str">
        <f>IFERROR(__xludf.DUMMYFUNCTION("""COMPUTED_VALUE"""),"Filling VFM100 - Piringan Loadcell Material SUS304; ; ;")</f>
        <v>Filling VFM100 - Piringan Loadcell Material SUS304; ; ;</v>
      </c>
      <c r="F2387" s="6">
        <f>IFERROR(__xludf.DUMMYFUNCTION("""COMPUTED_VALUE"""),4.0)</f>
        <v>4</v>
      </c>
      <c r="G2387" s="6" t="str">
        <f>IFERROR(__xludf.DUMMYFUNCTION("""COMPUTED_VALUE"""),"Pieces")</f>
        <v>Pieces</v>
      </c>
      <c r="H2387" s="6" t="str">
        <f>IFERROR(__xludf.DUMMYFUNCTION("""COMPUTED_VALUE"""),"IDR")</f>
        <v>IDR</v>
      </c>
      <c r="I2387" s="11">
        <f>IFERROR(__xludf.DUMMYFUNCTION("""COMPUTED_VALUE"""),255000.0)</f>
        <v>255000</v>
      </c>
      <c r="J2387" s="11">
        <f>IFERROR(__xludf.DUMMYFUNCTION("""COMPUTED_VALUE"""),1020000.0)</f>
        <v>1020000</v>
      </c>
      <c r="K2387" s="57">
        <f>IFERROR(__xludf.DUMMYFUNCTION("""COMPUTED_VALUE"""),45051.0)</f>
        <v>45051</v>
      </c>
      <c r="L2387" s="6" t="str">
        <f>IFERROR(__xludf.DUMMYFUNCTION("""COMPUTED_VALUE"""),"FIP Engineering")</f>
        <v>FIP Engineering</v>
      </c>
      <c r="M2387" s="6" t="str">
        <f>IFERROR(__xludf.DUMMYFUNCTION("""COMPUTED_VALUE"""),"Irwan Sopian")</f>
        <v>Irwan Sopian</v>
      </c>
      <c r="N2387" s="6" t="str">
        <f>IFERROR(__xludf.DUMMYFUNCTION("""COMPUTED_VALUE"""),"FIP Engineering")</f>
        <v>FIP Engineering</v>
      </c>
      <c r="O2387" s="6" t="str">
        <f>IFERROR(__xludf.DUMMYFUNCTION("""COMPUTED_VALUE"""),"FIP-DOM-000-11304-OS00001-INA-000000")</f>
        <v>FIP-DOM-000-11304-OS00001-INA-000000</v>
      </c>
      <c r="P2387" s="6" t="str">
        <f>IFERROR(__xludf.DUMMYFUNCTION("""COMPUTED_VALUE"""),"PO Closed")</f>
        <v>PO Closed</v>
      </c>
      <c r="Q2387" s="6" t="str">
        <f>IFERROR(__xludf.DUMMYFUNCTION("""COMPUTED_VALUE"""),"GL2305037")</f>
        <v>GL2305037</v>
      </c>
      <c r="R2387" s="57">
        <f>IFERROR(__xludf.DUMMYFUNCTION("""COMPUTED_VALUE"""),45028.0)</f>
        <v>45028</v>
      </c>
      <c r="S2387" s="57">
        <f>IFERROR(__xludf.DUMMYFUNCTION("""COMPUTED_VALUE"""),45030.0)</f>
        <v>45030</v>
      </c>
      <c r="T2387" s="57">
        <f>IFERROR(__xludf.DUMMYFUNCTION("""COMPUTED_VALUE"""),45169.0)</f>
        <v>45169</v>
      </c>
    </row>
    <row r="2388">
      <c r="A2388" s="6" t="str">
        <f>IFERROR(__xludf.DUMMYFUNCTION("""COMPUTED_VALUE"""),"231750274-1")</f>
        <v>231750274-1</v>
      </c>
      <c r="B2388" s="6" t="str">
        <f>IFERROR(__xludf.DUMMYFUNCTION("""COMPUTED_VALUE"""),"231750274 - Approved")</f>
        <v>231750274 - Approved</v>
      </c>
      <c r="C2388" s="6">
        <f>IFERROR(__xludf.DUMMYFUNCTION("""COMPUTED_VALUE"""),1.0)</f>
        <v>1</v>
      </c>
      <c r="D2388" s="6" t="str">
        <f>IFERROR(__xludf.DUMMYFUNCTION("""COMPUTED_VALUE"""),"O-52888-00")</f>
        <v>O-52888-00</v>
      </c>
      <c r="E2388" s="6" t="str">
        <f>IFERROR(__xludf.DUMMYFUNCTION("""COMPUTED_VALUE"""),"AUTONICS - Sensor Capacitive NPN CR18-8DN; ; ;")</f>
        <v>AUTONICS - Sensor Capacitive NPN CR18-8DN; ; ;</v>
      </c>
      <c r="F2388" s="6">
        <f>IFERROR(__xludf.DUMMYFUNCTION("""COMPUTED_VALUE"""),2.0)</f>
        <v>2</v>
      </c>
      <c r="G2388" s="6" t="str">
        <f>IFERROR(__xludf.DUMMYFUNCTION("""COMPUTED_VALUE"""),"Pieces")</f>
        <v>Pieces</v>
      </c>
      <c r="H2388" s="6" t="str">
        <f>IFERROR(__xludf.DUMMYFUNCTION("""COMPUTED_VALUE"""),"IDR")</f>
        <v>IDR</v>
      </c>
      <c r="I2388" s="11">
        <f>IFERROR(__xludf.DUMMYFUNCTION("""COMPUTED_VALUE"""),890000.0)</f>
        <v>890000</v>
      </c>
      <c r="J2388" s="11">
        <f>IFERROR(__xludf.DUMMYFUNCTION("""COMPUTED_VALUE"""),1780000.0)</f>
        <v>1780000</v>
      </c>
      <c r="K2388" s="57">
        <f>IFERROR(__xludf.DUMMYFUNCTION("""COMPUTED_VALUE"""),45051.0)</f>
        <v>45051</v>
      </c>
      <c r="L2388" s="6" t="str">
        <f>IFERROR(__xludf.DUMMYFUNCTION("""COMPUTED_VALUE"""),"FIP Engineering")</f>
        <v>FIP Engineering</v>
      </c>
      <c r="M2388" s="6" t="str">
        <f>IFERROR(__xludf.DUMMYFUNCTION("""COMPUTED_VALUE"""),"Irwan Sopian")</f>
        <v>Irwan Sopian</v>
      </c>
      <c r="N2388" s="6" t="str">
        <f>IFERROR(__xludf.DUMMYFUNCTION("""COMPUTED_VALUE"""),"FIP Engineering")</f>
        <v>FIP Engineering</v>
      </c>
      <c r="O2388" s="6" t="str">
        <f>IFERROR(__xludf.DUMMYFUNCTION("""COMPUTED_VALUE"""),"FIP-DOM-000-11304-OS00001-INA-000000")</f>
        <v>FIP-DOM-000-11304-OS00001-INA-000000</v>
      </c>
      <c r="P2388" s="6" t="str">
        <f>IFERROR(__xludf.DUMMYFUNCTION("""COMPUTED_VALUE"""),"PO Closed")</f>
        <v>PO Closed</v>
      </c>
      <c r="Q2388" s="6" t="str">
        <f>IFERROR(__xludf.DUMMYFUNCTION("""COMPUTED_VALUE"""),"GL2306038")</f>
        <v>GL2306038</v>
      </c>
      <c r="R2388" s="57">
        <f>IFERROR(__xludf.DUMMYFUNCTION("""COMPUTED_VALUE"""),45028.0)</f>
        <v>45028</v>
      </c>
      <c r="S2388" s="57">
        <f>IFERROR(__xludf.DUMMYFUNCTION("""COMPUTED_VALUE"""),45049.0)</f>
        <v>45049</v>
      </c>
      <c r="T2388" s="57">
        <f>IFERROR(__xludf.DUMMYFUNCTION("""COMPUTED_VALUE"""),45127.0)</f>
        <v>45127</v>
      </c>
    </row>
    <row r="2389">
      <c r="A2389" s="6" t="str">
        <f>IFERROR(__xludf.DUMMYFUNCTION("""COMPUTED_VALUE"""),"231750279-1")</f>
        <v>231750279-1</v>
      </c>
      <c r="B2389" s="6" t="str">
        <f>IFERROR(__xludf.DUMMYFUNCTION("""COMPUTED_VALUE"""),"231750279 - Approved")</f>
        <v>231750279 - Approved</v>
      </c>
      <c r="C2389" s="6">
        <f>IFERROR(__xludf.DUMMYFUNCTION("""COMPUTED_VALUE"""),1.0)</f>
        <v>1</v>
      </c>
      <c r="D2389" s="6" t="str">
        <f>IFERROR(__xludf.DUMMYFUNCTION("""COMPUTED_VALUE"""),"S-60002-00")</f>
        <v>S-60002-00</v>
      </c>
      <c r="E2389" s="6" t="str">
        <f>IFERROR(__xludf.DUMMYFUNCTION("""COMPUTED_VALUE"""),"Jasa Perbaikan dan Pemeliharaan Mesin Utility - REWINDING FAN AC 3 SPEED WITH REPLACEMENT BEARING 6202 2 PCS (Exhaust Fan Flammable Warehouse)")</f>
        <v>Jasa Perbaikan dan Pemeliharaan Mesin Utility - REWINDING FAN AC 3 SPEED WITH REPLACEMENT BEARING 6202 2 PCS (Exhaust Fan Flammable Warehouse)</v>
      </c>
      <c r="F2389" s="6">
        <f>IFERROR(__xludf.DUMMYFUNCTION("""COMPUTED_VALUE"""),1.0)</f>
        <v>1</v>
      </c>
      <c r="G2389" s="6" t="str">
        <f>IFERROR(__xludf.DUMMYFUNCTION("""COMPUTED_VALUE"""),"Lot")</f>
        <v>Lot</v>
      </c>
      <c r="H2389" s="6" t="str">
        <f>IFERROR(__xludf.DUMMYFUNCTION("""COMPUTED_VALUE"""),"IDR")</f>
        <v>IDR</v>
      </c>
      <c r="I2389" s="11">
        <f>IFERROR(__xludf.DUMMYFUNCTION("""COMPUTED_VALUE"""),650000.0)</f>
        <v>650000</v>
      </c>
      <c r="J2389" s="11">
        <f>IFERROR(__xludf.DUMMYFUNCTION("""COMPUTED_VALUE"""),650000.0)</f>
        <v>650000</v>
      </c>
      <c r="K2389" s="57">
        <f>IFERROR(__xludf.DUMMYFUNCTION("""COMPUTED_VALUE"""),45058.0)</f>
        <v>45058</v>
      </c>
      <c r="L2389" s="6" t="str">
        <f>IFERROR(__xludf.DUMMYFUNCTION("""COMPUTED_VALUE"""),"FIP General")</f>
        <v>FIP General</v>
      </c>
      <c r="M2389" s="6" t="str">
        <f>IFERROR(__xludf.DUMMYFUNCTION("""COMPUTED_VALUE"""),"Irwan Sopian")</f>
        <v>Irwan Sopian</v>
      </c>
      <c r="N2389" s="6" t="str">
        <f>IFERROR(__xludf.DUMMYFUNCTION("""COMPUTED_VALUE"""),"FIP Engineering")</f>
        <v>FIP Engineering</v>
      </c>
      <c r="O2389" s="6" t="str">
        <f>IFERROR(__xludf.DUMMYFUNCTION("""COMPUTED_VALUE"""),"FIP-DOM-ENG-51508-0000000-INA-000000")</f>
        <v>FIP-DOM-ENG-51508-0000000-INA-000000</v>
      </c>
      <c r="P2389" s="6" t="str">
        <f>IFERROR(__xludf.DUMMYFUNCTION("""COMPUTED_VALUE"""),"PO Closed")</f>
        <v>PO Closed</v>
      </c>
      <c r="Q2389" s="6" t="str">
        <f>IFERROR(__xludf.DUMMYFUNCTION("""COMPUTED_VALUE"""),"GL2306004")</f>
        <v>GL2306004</v>
      </c>
      <c r="R2389" s="57">
        <f>IFERROR(__xludf.DUMMYFUNCTION("""COMPUTED_VALUE"""),45033.0)</f>
        <v>45033</v>
      </c>
      <c r="S2389" s="57">
        <f>IFERROR(__xludf.DUMMYFUNCTION("""COMPUTED_VALUE"""),45043.0)</f>
        <v>45043</v>
      </c>
      <c r="T2389" s="57">
        <f>IFERROR(__xludf.DUMMYFUNCTION("""COMPUTED_VALUE"""),45112.0)</f>
        <v>45112</v>
      </c>
    </row>
    <row r="2390">
      <c r="A2390" s="6" t="str">
        <f>IFERROR(__xludf.DUMMYFUNCTION("""COMPUTED_VALUE"""),"231750279-2")</f>
        <v>231750279-2</v>
      </c>
      <c r="B2390" s="6" t="str">
        <f>IFERROR(__xludf.DUMMYFUNCTION("""COMPUTED_VALUE"""),"231750279 - Approved")</f>
        <v>231750279 - Approved</v>
      </c>
      <c r="C2390" s="6">
        <f>IFERROR(__xludf.DUMMYFUNCTION("""COMPUTED_VALUE"""),2.0)</f>
        <v>2</v>
      </c>
      <c r="D2390" s="6" t="str">
        <f>IFERROR(__xludf.DUMMYFUNCTION("""COMPUTED_VALUE"""),"S-60002-00")</f>
        <v>S-60002-00</v>
      </c>
      <c r="E2390" s="6" t="str">
        <f>IFERROR(__xludf.DUMMYFUNCTION("""COMPUTED_VALUE"""),"Jasa Perbaikan dan Pemeliharaan Mesin Utility - REWINDING MOTOR 0,06 KW/1,5 HP WITH BEARING 6202 , 6201 (Motor Circulation CC)")</f>
        <v>Jasa Perbaikan dan Pemeliharaan Mesin Utility - REWINDING MOTOR 0,06 KW/1,5 HP WITH BEARING 6202 , 6201 (Motor Circulation CC)</v>
      </c>
      <c r="F2390" s="6">
        <f>IFERROR(__xludf.DUMMYFUNCTION("""COMPUTED_VALUE"""),2.0)</f>
        <v>2</v>
      </c>
      <c r="G2390" s="6" t="str">
        <f>IFERROR(__xludf.DUMMYFUNCTION("""COMPUTED_VALUE"""),"Lot")</f>
        <v>Lot</v>
      </c>
      <c r="H2390" s="6" t="str">
        <f>IFERROR(__xludf.DUMMYFUNCTION("""COMPUTED_VALUE"""),"IDR")</f>
        <v>IDR</v>
      </c>
      <c r="I2390" s="11">
        <f>IFERROR(__xludf.DUMMYFUNCTION("""COMPUTED_VALUE"""),750000.0)</f>
        <v>750000</v>
      </c>
      <c r="J2390" s="11">
        <f>IFERROR(__xludf.DUMMYFUNCTION("""COMPUTED_VALUE"""),1500000.0)</f>
        <v>1500000</v>
      </c>
      <c r="K2390" s="57">
        <f>IFERROR(__xludf.DUMMYFUNCTION("""COMPUTED_VALUE"""),45058.0)</f>
        <v>45058</v>
      </c>
      <c r="L2390" s="6" t="str">
        <f>IFERROR(__xludf.DUMMYFUNCTION("""COMPUTED_VALUE"""),"FIP General")</f>
        <v>FIP General</v>
      </c>
      <c r="M2390" s="6" t="str">
        <f>IFERROR(__xludf.DUMMYFUNCTION("""COMPUTED_VALUE"""),"Irwan Sopian")</f>
        <v>Irwan Sopian</v>
      </c>
      <c r="N2390" s="6" t="str">
        <f>IFERROR(__xludf.DUMMYFUNCTION("""COMPUTED_VALUE"""),"FIP Engineering")</f>
        <v>FIP Engineering</v>
      </c>
      <c r="O2390" s="6" t="str">
        <f>IFERROR(__xludf.DUMMYFUNCTION("""COMPUTED_VALUE"""),"FIP-DOM-ENG-51508-0000000-INA-000000")</f>
        <v>FIP-DOM-ENG-51508-0000000-INA-000000</v>
      </c>
      <c r="P2390" s="6" t="str">
        <f>IFERROR(__xludf.DUMMYFUNCTION("""COMPUTED_VALUE"""),"PO Closed")</f>
        <v>PO Closed</v>
      </c>
      <c r="Q2390" s="6" t="str">
        <f>IFERROR(__xludf.DUMMYFUNCTION("""COMPUTED_VALUE"""),"GL2306004")</f>
        <v>GL2306004</v>
      </c>
      <c r="R2390" s="57">
        <f>IFERROR(__xludf.DUMMYFUNCTION("""COMPUTED_VALUE"""),45033.0)</f>
        <v>45033</v>
      </c>
      <c r="S2390" s="57">
        <f>IFERROR(__xludf.DUMMYFUNCTION("""COMPUTED_VALUE"""),45043.0)</f>
        <v>45043</v>
      </c>
      <c r="T2390" s="57">
        <f>IFERROR(__xludf.DUMMYFUNCTION("""COMPUTED_VALUE"""),45112.0)</f>
        <v>45112</v>
      </c>
    </row>
    <row r="2391">
      <c r="A2391" s="6" t="str">
        <f>IFERROR(__xludf.DUMMYFUNCTION("""COMPUTED_VALUE"""),"231750280-1")</f>
        <v>231750280-1</v>
      </c>
      <c r="B2391" s="6" t="str">
        <f>IFERROR(__xludf.DUMMYFUNCTION("""COMPUTED_VALUE"""),"231750280 - Approved")</f>
        <v>231750280 - Approved</v>
      </c>
      <c r="C2391" s="6">
        <f>IFERROR(__xludf.DUMMYFUNCTION("""COMPUTED_VALUE"""),1.0)</f>
        <v>1</v>
      </c>
      <c r="D2391" s="6" t="str">
        <f>IFERROR(__xludf.DUMMYFUNCTION("""COMPUTED_VALUE"""),"T-20212-00")</f>
        <v>T-20212-00</v>
      </c>
      <c r="E2391" s="6" t="str">
        <f>IFERROR(__xludf.DUMMYFUNCTION("""COMPUTED_VALUE"""),"SEAL PLUNGER 2690, Waters, Part No. WAT270938, PKG (2)")</f>
        <v>SEAL PLUNGER 2690, Waters, Part No. WAT270938, PKG (2)</v>
      </c>
      <c r="F2391" s="6">
        <f>IFERROR(__xludf.DUMMYFUNCTION("""COMPUTED_VALUE"""),3.0)</f>
        <v>3</v>
      </c>
      <c r="G2391" s="6" t="str">
        <f>IFERROR(__xludf.DUMMYFUNCTION("""COMPUTED_VALUE"""),"Pieces")</f>
        <v>Pieces</v>
      </c>
      <c r="H2391" s="6" t="str">
        <f>IFERROR(__xludf.DUMMYFUNCTION("""COMPUTED_VALUE"""),"IDR")</f>
        <v>IDR</v>
      </c>
      <c r="I2391" s="11">
        <f>IFERROR(__xludf.DUMMYFUNCTION("""COMPUTED_VALUE"""),1713600.0)</f>
        <v>1713600</v>
      </c>
      <c r="J2391" s="11">
        <f>IFERROR(__xludf.DUMMYFUNCTION("""COMPUTED_VALUE"""),5140800.0)</f>
        <v>5140800</v>
      </c>
      <c r="K2391" s="57">
        <f>IFERROR(__xludf.DUMMYFUNCTION("""COMPUTED_VALUE"""),45058.0)</f>
        <v>45058</v>
      </c>
      <c r="L2391" s="6" t="str">
        <f>IFERROR(__xludf.DUMMYFUNCTION("""COMPUTED_VALUE"""),"FIP General")</f>
        <v>FIP General</v>
      </c>
      <c r="M2391" s="6" t="str">
        <f>IFERROR(__xludf.DUMMYFUNCTION("""COMPUTED_VALUE"""),"Irwan Sopian")</f>
        <v>Irwan Sopian</v>
      </c>
      <c r="N2391" s="6" t="str">
        <f>IFERROR(__xludf.DUMMYFUNCTION("""COMPUTED_VALUE"""),"FIP Engineering")</f>
        <v>FIP Engineering</v>
      </c>
      <c r="O2391" s="6" t="str">
        <f>IFERROR(__xludf.DUMMYFUNCTION("""COMPUTED_VALUE"""),"FIP-DOM-ENG-51505-0000000-INA-000000")</f>
        <v>FIP-DOM-ENG-51505-0000000-INA-000000</v>
      </c>
      <c r="P2391" s="6" t="str">
        <f>IFERROR(__xludf.DUMMYFUNCTION("""COMPUTED_VALUE"""),"PO Closed")</f>
        <v>PO Closed</v>
      </c>
      <c r="Q2391" s="6" t="str">
        <f>IFERROR(__xludf.DUMMYFUNCTION("""COMPUTED_VALUE"""),"GL2306019")</f>
        <v>GL2306019</v>
      </c>
      <c r="R2391" s="57">
        <f>IFERROR(__xludf.DUMMYFUNCTION("""COMPUTED_VALUE"""),45033.0)</f>
        <v>45033</v>
      </c>
      <c r="S2391" s="57">
        <f>IFERROR(__xludf.DUMMYFUNCTION("""COMPUTED_VALUE"""),45043.0)</f>
        <v>45043</v>
      </c>
      <c r="T2391" s="57">
        <f>IFERROR(__xludf.DUMMYFUNCTION("""COMPUTED_VALUE"""),45121.0)</f>
        <v>45121</v>
      </c>
    </row>
    <row r="2392">
      <c r="A2392" s="6" t="str">
        <f>IFERROR(__xludf.DUMMYFUNCTION("""COMPUTED_VALUE"""),"231750280-2")</f>
        <v>231750280-2</v>
      </c>
      <c r="B2392" s="6" t="str">
        <f>IFERROR(__xludf.DUMMYFUNCTION("""COMPUTED_VALUE"""),"231750280 - Approved")</f>
        <v>231750280 - Approved</v>
      </c>
      <c r="C2392" s="6">
        <f>IFERROR(__xludf.DUMMYFUNCTION("""COMPUTED_VALUE"""),2.0)</f>
        <v>2</v>
      </c>
      <c r="D2392" s="6" t="str">
        <f>IFERROR(__xludf.DUMMYFUNCTION("""COMPUTED_VALUE"""),"T-20123-00")</f>
        <v>T-20123-00</v>
      </c>
      <c r="E2392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392" s="6">
        <f>IFERROR(__xludf.DUMMYFUNCTION("""COMPUTED_VALUE"""),2.0)</f>
        <v>2</v>
      </c>
      <c r="G2392" s="6" t="str">
        <f>IFERROR(__xludf.DUMMYFUNCTION("""COMPUTED_VALUE"""),"Pieces")</f>
        <v>Pieces</v>
      </c>
      <c r="H2392" s="6" t="str">
        <f>IFERROR(__xludf.DUMMYFUNCTION("""COMPUTED_VALUE"""),"IDR")</f>
        <v>IDR</v>
      </c>
      <c r="I2392" s="11">
        <f>IFERROR(__xludf.DUMMYFUNCTION("""COMPUTED_VALUE"""),1.375704E7)</f>
        <v>13757040</v>
      </c>
      <c r="J2392" s="11">
        <f>IFERROR(__xludf.DUMMYFUNCTION("""COMPUTED_VALUE"""),2.751408E7)</f>
        <v>27514080</v>
      </c>
      <c r="K2392" s="57">
        <f>IFERROR(__xludf.DUMMYFUNCTION("""COMPUTED_VALUE"""),45058.0)</f>
        <v>45058</v>
      </c>
      <c r="L2392" s="6" t="str">
        <f>IFERROR(__xludf.DUMMYFUNCTION("""COMPUTED_VALUE"""),"FIP General")</f>
        <v>FIP General</v>
      </c>
      <c r="M2392" s="6" t="str">
        <f>IFERROR(__xludf.DUMMYFUNCTION("""COMPUTED_VALUE"""),"Irwan Sopian")</f>
        <v>Irwan Sopian</v>
      </c>
      <c r="N2392" s="6" t="str">
        <f>IFERROR(__xludf.DUMMYFUNCTION("""COMPUTED_VALUE"""),"FIP Engineering")</f>
        <v>FIP Engineering</v>
      </c>
      <c r="O2392" s="6" t="str">
        <f>IFERROR(__xludf.DUMMYFUNCTION("""COMPUTED_VALUE"""),"FIP-DOM-ENG-51505-0000000-INA-000000")</f>
        <v>FIP-DOM-ENG-51505-0000000-INA-000000</v>
      </c>
      <c r="P2392" s="6" t="str">
        <f>IFERROR(__xludf.DUMMYFUNCTION("""COMPUTED_VALUE"""),"PO Closed")</f>
        <v>PO Closed</v>
      </c>
      <c r="Q2392" s="6" t="str">
        <f>IFERROR(__xludf.DUMMYFUNCTION("""COMPUTED_VALUE"""),"GL2306019")</f>
        <v>GL2306019</v>
      </c>
      <c r="R2392" s="57">
        <f>IFERROR(__xludf.DUMMYFUNCTION("""COMPUTED_VALUE"""),45033.0)</f>
        <v>45033</v>
      </c>
      <c r="S2392" s="57">
        <f>IFERROR(__xludf.DUMMYFUNCTION("""COMPUTED_VALUE"""),45043.0)</f>
        <v>45043</v>
      </c>
      <c r="T2392" s="57">
        <f>IFERROR(__xludf.DUMMYFUNCTION("""COMPUTED_VALUE"""),45121.0)</f>
        <v>45121</v>
      </c>
    </row>
    <row r="2393">
      <c r="A2393" s="6" t="str">
        <f>IFERROR(__xludf.DUMMYFUNCTION("""COMPUTED_VALUE"""),"231750282-1")</f>
        <v>231750282-1</v>
      </c>
      <c r="B2393" s="6" t="str">
        <f>IFERROR(__xludf.DUMMYFUNCTION("""COMPUTED_VALUE"""),"231750282 - Approved")</f>
        <v>231750282 - Approved</v>
      </c>
      <c r="C2393" s="6">
        <f>IFERROR(__xludf.DUMMYFUNCTION("""COMPUTED_VALUE"""),1.0)</f>
        <v>1</v>
      </c>
      <c r="D2393" s="6" t="str">
        <f>IFERROR(__xludf.DUMMYFUNCTION("""COMPUTED_VALUE"""),"Q-10305-00")</f>
        <v>Q-10305-00</v>
      </c>
      <c r="E2393" s="6" t="str">
        <f>IFERROR(__xludf.DUMMYFUNCTION("""COMPUTED_VALUE"""),"Raven Door Seal (balon) RP48 Brown/White 50mtr x 2; ; ;")</f>
        <v>Raven Door Seal (balon) RP48 Brown/White 50mtr x 2; ; ;</v>
      </c>
      <c r="F2393" s="6">
        <f>IFERROR(__xludf.DUMMYFUNCTION("""COMPUTED_VALUE"""),2.0)</f>
        <v>2</v>
      </c>
      <c r="G2393" s="6" t="str">
        <f>IFERROR(__xludf.DUMMYFUNCTION("""COMPUTED_VALUE"""),"Roll")</f>
        <v>Roll</v>
      </c>
      <c r="H2393" s="6" t="str">
        <f>IFERROR(__xludf.DUMMYFUNCTION("""COMPUTED_VALUE"""),"IDR")</f>
        <v>IDR</v>
      </c>
      <c r="I2393" s="11">
        <f>IFERROR(__xludf.DUMMYFUNCTION("""COMPUTED_VALUE"""),15000.0)</f>
        <v>15000</v>
      </c>
      <c r="J2393" s="11">
        <f>IFERROR(__xludf.DUMMYFUNCTION("""COMPUTED_VALUE"""),30000.0)</f>
        <v>30000</v>
      </c>
      <c r="K2393" s="57">
        <f>IFERROR(__xludf.DUMMYFUNCTION("""COMPUTED_VALUE"""),45047.0)</f>
        <v>45047</v>
      </c>
      <c r="L2393" s="6" t="str">
        <f>IFERROR(__xludf.DUMMYFUNCTION("""COMPUTED_VALUE"""),"FIP General")</f>
        <v>FIP General</v>
      </c>
      <c r="M2393" s="6" t="str">
        <f>IFERROR(__xludf.DUMMYFUNCTION("""COMPUTED_VALUE"""),"Irwan Sopian")</f>
        <v>Irwan Sopian</v>
      </c>
      <c r="N2393" s="6" t="str">
        <f>IFERROR(__xludf.DUMMYFUNCTION("""COMPUTED_VALUE"""),"FIP Engineering")</f>
        <v>FIP Engineering</v>
      </c>
      <c r="O2393" s="6" t="str">
        <f>IFERROR(__xludf.DUMMYFUNCTION("""COMPUTED_VALUE"""),"FIP-DOM-ENG-51502-0000000-INA-000000")</f>
        <v>FIP-DOM-ENG-51502-0000000-INA-000000</v>
      </c>
      <c r="P2393" s="6" t="str">
        <f>IFERROR(__xludf.DUMMYFUNCTION("""COMPUTED_VALUE"""),"PO Closed")</f>
        <v>PO Closed</v>
      </c>
      <c r="Q2393" s="6" t="str">
        <f>IFERROR(__xludf.DUMMYFUNCTION("""COMPUTED_VALUE"""),"GL2305035")</f>
        <v>GL2305035</v>
      </c>
      <c r="R2393" s="57">
        <f>IFERROR(__xludf.DUMMYFUNCTION("""COMPUTED_VALUE"""),45033.0)</f>
        <v>45033</v>
      </c>
      <c r="S2393" s="57">
        <f>IFERROR(__xludf.DUMMYFUNCTION("""COMPUTED_VALUE"""),45043.0)</f>
        <v>45043</v>
      </c>
      <c r="T2393" s="57">
        <f>IFERROR(__xludf.DUMMYFUNCTION("""COMPUTED_VALUE"""),45078.0)</f>
        <v>45078</v>
      </c>
    </row>
    <row r="2394">
      <c r="A2394" s="6" t="str">
        <f>IFERROR(__xludf.DUMMYFUNCTION("""COMPUTED_VALUE"""),"231750286-1")</f>
        <v>231750286-1</v>
      </c>
      <c r="B2394" s="6" t="str">
        <f>IFERROR(__xludf.DUMMYFUNCTION("""COMPUTED_VALUE"""),"231750286 - Approved")</f>
        <v>231750286 - Approved</v>
      </c>
      <c r="C2394" s="6">
        <f>IFERROR(__xludf.DUMMYFUNCTION("""COMPUTED_VALUE"""),1.0)</f>
        <v>1</v>
      </c>
      <c r="D2394" s="6" t="str">
        <f>IFERROR(__xludf.DUMMYFUNCTION("""COMPUTED_VALUE"""),"P-15903-00")</f>
        <v>P-15903-00</v>
      </c>
      <c r="E2394" s="6" t="str">
        <f>IFERROR(__xludf.DUMMYFUNCTION("""COMPUTED_VALUE"""),"Freon Refrigerant Dupon Suva R507; ; ;")</f>
        <v>Freon Refrigerant Dupon Suva R507; ; ;</v>
      </c>
      <c r="F2394" s="6">
        <f>IFERROR(__xludf.DUMMYFUNCTION("""COMPUTED_VALUE"""),1.0)</f>
        <v>1</v>
      </c>
      <c r="G2394" s="6" t="str">
        <f>IFERROR(__xludf.DUMMYFUNCTION("""COMPUTED_VALUE"""),"Unit")</f>
        <v>Unit</v>
      </c>
      <c r="H2394" s="6" t="str">
        <f>IFERROR(__xludf.DUMMYFUNCTION("""COMPUTED_VALUE"""),"IDR")</f>
        <v>IDR</v>
      </c>
      <c r="I2394" s="11">
        <f>IFERROR(__xludf.DUMMYFUNCTION("""COMPUTED_VALUE"""),3750000.0)</f>
        <v>3750000</v>
      </c>
      <c r="J2394" s="11">
        <f>IFERROR(__xludf.DUMMYFUNCTION("""COMPUTED_VALUE"""),3750000.0)</f>
        <v>3750000</v>
      </c>
      <c r="K2394" s="57">
        <f>IFERROR(__xludf.DUMMYFUNCTION("""COMPUTED_VALUE"""),45058.0)</f>
        <v>45058</v>
      </c>
      <c r="L2394" s="6" t="str">
        <f>IFERROR(__xludf.DUMMYFUNCTION("""COMPUTED_VALUE"""),"FIP General")</f>
        <v>FIP General</v>
      </c>
      <c r="M2394" s="6" t="str">
        <f>IFERROR(__xludf.DUMMYFUNCTION("""COMPUTED_VALUE"""),"Irwan Sopian")</f>
        <v>Irwan Sopian</v>
      </c>
      <c r="N2394" s="6" t="str">
        <f>IFERROR(__xludf.DUMMYFUNCTION("""COMPUTED_VALUE"""),"FIP Engineering")</f>
        <v>FIP Engineering</v>
      </c>
      <c r="O2394" s="6" t="str">
        <f>IFERROR(__xludf.DUMMYFUNCTION("""COMPUTED_VALUE"""),"FIP-DOM-ENG-51504-0000000-INA-000000")</f>
        <v>FIP-DOM-ENG-51504-0000000-INA-000000</v>
      </c>
      <c r="P2394" s="6" t="str">
        <f>IFERROR(__xludf.DUMMYFUNCTION("""COMPUTED_VALUE"""),"PO Closed")</f>
        <v>PO Closed</v>
      </c>
      <c r="Q2394" s="6" t="str">
        <f>IFERROR(__xludf.DUMMYFUNCTION("""COMPUTED_VALUE"""),"GL2307018")</f>
        <v>GL2307018</v>
      </c>
      <c r="R2394" s="57">
        <f>IFERROR(__xludf.DUMMYFUNCTION("""COMPUTED_VALUE"""),45035.0)</f>
        <v>45035</v>
      </c>
      <c r="S2394" s="57">
        <f>IFERROR(__xludf.DUMMYFUNCTION("""COMPUTED_VALUE"""),45051.0)</f>
        <v>45051</v>
      </c>
      <c r="T2394" s="57">
        <f>IFERROR(__xludf.DUMMYFUNCTION("""COMPUTED_VALUE"""),45138.0)</f>
        <v>45138</v>
      </c>
    </row>
    <row r="2395">
      <c r="A2395" s="6" t="str">
        <f>IFERROR(__xludf.DUMMYFUNCTION("""COMPUTED_VALUE"""),"231750287-1")</f>
        <v>231750287-1</v>
      </c>
      <c r="B2395" s="6" t="str">
        <f>IFERROR(__xludf.DUMMYFUNCTION("""COMPUTED_VALUE"""),"231750287 - Approved")</f>
        <v>231750287 - Approved</v>
      </c>
      <c r="C2395" s="6">
        <f>IFERROR(__xludf.DUMMYFUNCTION("""COMPUTED_VALUE"""),1.0)</f>
        <v>1</v>
      </c>
      <c r="D2395" s="6" t="str">
        <f>IFERROR(__xludf.DUMMYFUNCTION("""COMPUTED_VALUE"""),"P-52651-00")</f>
        <v>P-52651-00</v>
      </c>
      <c r="E2395" s="6" t="str">
        <f>IFERROR(__xludf.DUMMYFUNCTION("""COMPUTED_VALUE"""),"Selenoid Valve 1 inch, 220VAC; UNI-D; ;")</f>
        <v>Selenoid Valve 1 inch, 220VAC; UNI-D; ;</v>
      </c>
      <c r="F2395" s="6">
        <f>IFERROR(__xludf.DUMMYFUNCTION("""COMPUTED_VALUE"""),2.0)</f>
        <v>2</v>
      </c>
      <c r="G2395" s="6" t="str">
        <f>IFERROR(__xludf.DUMMYFUNCTION("""COMPUTED_VALUE"""),"Pieces")</f>
        <v>Pieces</v>
      </c>
      <c r="H2395" s="6" t="str">
        <f>IFERROR(__xludf.DUMMYFUNCTION("""COMPUTED_VALUE"""),"IDR")</f>
        <v>IDR</v>
      </c>
      <c r="I2395" s="11">
        <f>IFERROR(__xludf.DUMMYFUNCTION("""COMPUTED_VALUE"""),765000.0)</f>
        <v>765000</v>
      </c>
      <c r="J2395" s="11">
        <f>IFERROR(__xludf.DUMMYFUNCTION("""COMPUTED_VALUE"""),1530000.0)</f>
        <v>1530000</v>
      </c>
      <c r="K2395" s="57">
        <f>IFERROR(__xludf.DUMMYFUNCTION("""COMPUTED_VALUE"""),45065.0)</f>
        <v>45065</v>
      </c>
      <c r="L2395" s="6" t="str">
        <f>IFERROR(__xludf.DUMMYFUNCTION("""COMPUTED_VALUE"""),"FIP Engineering")</f>
        <v>FIP Engineering</v>
      </c>
      <c r="M2395" s="6" t="str">
        <f>IFERROR(__xludf.DUMMYFUNCTION("""COMPUTED_VALUE"""),"Irwan Sopian")</f>
        <v>Irwan Sopian</v>
      </c>
      <c r="N2395" s="6" t="str">
        <f>IFERROR(__xludf.DUMMYFUNCTION("""COMPUTED_VALUE"""),"FIP Engineering")</f>
        <v>FIP Engineering</v>
      </c>
      <c r="O2395" s="6" t="str">
        <f>IFERROR(__xludf.DUMMYFUNCTION("""COMPUTED_VALUE"""),"FIP-DOM-000-11304-OS00001-INA-000000")</f>
        <v>FIP-DOM-000-11304-OS00001-INA-000000</v>
      </c>
      <c r="P2395" s="6" t="str">
        <f>IFERROR(__xludf.DUMMYFUNCTION("""COMPUTED_VALUE"""),"PO Closed")</f>
        <v>PO Closed</v>
      </c>
      <c r="Q2395" s="6" t="str">
        <f>IFERROR(__xludf.DUMMYFUNCTION("""COMPUTED_VALUE"""),"GL2307318")</f>
        <v>GL2307318</v>
      </c>
      <c r="R2395" s="57">
        <f>IFERROR(__xludf.DUMMYFUNCTION("""COMPUTED_VALUE"""),45035.0)</f>
        <v>45035</v>
      </c>
      <c r="S2395" s="57">
        <f>IFERROR(__xludf.DUMMYFUNCTION("""COMPUTED_VALUE"""),45049.0)</f>
        <v>45049</v>
      </c>
      <c r="T2395" s="57">
        <f>IFERROR(__xludf.DUMMYFUNCTION("""COMPUTED_VALUE"""),45138.0)</f>
        <v>45138</v>
      </c>
    </row>
    <row r="2396">
      <c r="A2396" s="6" t="str">
        <f>IFERROR(__xludf.DUMMYFUNCTION("""COMPUTED_VALUE"""),"231750288-1")</f>
        <v>231750288-1</v>
      </c>
      <c r="B2396" s="6" t="str">
        <f>IFERROR(__xludf.DUMMYFUNCTION("""COMPUTED_VALUE"""),"231750288 - Approved")</f>
        <v>231750288 - Approved</v>
      </c>
      <c r="C2396" s="6">
        <f>IFERROR(__xludf.DUMMYFUNCTION("""COMPUTED_VALUE"""),1.0)</f>
        <v>1</v>
      </c>
      <c r="D2396" s="6" t="str">
        <f>IFERROR(__xludf.DUMMYFUNCTION("""COMPUTED_VALUE"""),"P-52710-00")</f>
        <v>P-52710-00</v>
      </c>
      <c r="E2396" s="6" t="str">
        <f>IFERROR(__xludf.DUMMYFUNCTION("""COMPUTED_VALUE"""),"USB Extension Cable Waterproof IP6; ; ;")</f>
        <v>USB Extension Cable Waterproof IP6; ; ;</v>
      </c>
      <c r="F2396" s="6">
        <f>IFERROR(__xludf.DUMMYFUNCTION("""COMPUTED_VALUE"""),2.0)</f>
        <v>2</v>
      </c>
      <c r="G2396" s="6" t="str">
        <f>IFERROR(__xludf.DUMMYFUNCTION("""COMPUTED_VALUE"""),"Pieces")</f>
        <v>Pieces</v>
      </c>
      <c r="H2396" s="6" t="str">
        <f>IFERROR(__xludf.DUMMYFUNCTION("""COMPUTED_VALUE"""),"IDR")</f>
        <v>IDR</v>
      </c>
      <c r="I2396" s="11">
        <f>IFERROR(__xludf.DUMMYFUNCTION("""COMPUTED_VALUE"""),275000.0)</f>
        <v>275000</v>
      </c>
      <c r="J2396" s="11">
        <f>IFERROR(__xludf.DUMMYFUNCTION("""COMPUTED_VALUE"""),550000.0)</f>
        <v>550000</v>
      </c>
      <c r="K2396" s="57">
        <f>IFERROR(__xludf.DUMMYFUNCTION("""COMPUTED_VALUE"""),45107.0)</f>
        <v>45107</v>
      </c>
      <c r="L2396" s="6" t="str">
        <f>IFERROR(__xludf.DUMMYFUNCTION("""COMPUTED_VALUE"""),"FIP Engineering")</f>
        <v>FIP Engineering</v>
      </c>
      <c r="M2396" s="6" t="str">
        <f>IFERROR(__xludf.DUMMYFUNCTION("""COMPUTED_VALUE"""),"Irwan Sopian")</f>
        <v>Irwan Sopian</v>
      </c>
      <c r="N2396" s="6" t="str">
        <f>IFERROR(__xludf.DUMMYFUNCTION("""COMPUTED_VALUE"""),"FIP Engineering")</f>
        <v>FIP Engineering</v>
      </c>
      <c r="O2396" s="6" t="str">
        <f>IFERROR(__xludf.DUMMYFUNCTION("""COMPUTED_VALUE"""),"FIP-DOM-000-11304-OS00001-INA-000000")</f>
        <v>FIP-DOM-000-11304-OS00001-INA-000000</v>
      </c>
      <c r="P2396" s="6" t="str">
        <f>IFERROR(__xludf.DUMMYFUNCTION("""COMPUTED_VALUE"""),"PO Closed")</f>
        <v>PO Closed</v>
      </c>
      <c r="Q2396" s="6" t="str">
        <f>IFERROR(__xludf.DUMMYFUNCTION("""COMPUTED_VALUE"""),"GL2307342")</f>
        <v>GL2307342</v>
      </c>
      <c r="R2396" s="57">
        <f>IFERROR(__xludf.DUMMYFUNCTION("""COMPUTED_VALUE"""),45035.0)</f>
        <v>45035</v>
      </c>
      <c r="S2396" s="57">
        <f>IFERROR(__xludf.DUMMYFUNCTION("""COMPUTED_VALUE"""),45098.0)</f>
        <v>45098</v>
      </c>
      <c r="T2396" s="57">
        <f>IFERROR(__xludf.DUMMYFUNCTION("""COMPUTED_VALUE"""),45179.0)</f>
        <v>45179</v>
      </c>
    </row>
    <row r="2397">
      <c r="A2397" s="6" t="str">
        <f>IFERROR(__xludf.DUMMYFUNCTION("""COMPUTED_VALUE"""),"231750295-1")</f>
        <v>231750295-1</v>
      </c>
      <c r="B2397" s="6" t="str">
        <f>IFERROR(__xludf.DUMMYFUNCTION("""COMPUTED_VALUE"""),"231750295 - Approved")</f>
        <v>231750295 - Approved</v>
      </c>
      <c r="C2397" s="6">
        <f>IFERROR(__xludf.DUMMYFUNCTION("""COMPUTED_VALUE"""),1.0)</f>
        <v>1</v>
      </c>
      <c r="D2397" s="6" t="str">
        <f>IFERROR(__xludf.DUMMYFUNCTION("""COMPUTED_VALUE"""),"S-60050-00")</f>
        <v>S-60050-00</v>
      </c>
      <c r="E2397" s="6" t="str">
        <f>IFERROR(__xludf.DUMMYFUNCTION("""COMPUTED_VALUE"""),"Jasa Perbaikan dan Pemeliharaan Mesin Produksi; ; ; - Material For Jasa : Digicell Board MFR")</f>
        <v>Jasa Perbaikan dan Pemeliharaan Mesin Produksi; ; ; - Material For Jasa : Digicell Board MFR</v>
      </c>
      <c r="F2397" s="6">
        <f>IFERROR(__xludf.DUMMYFUNCTION("""COMPUTED_VALUE"""),1.0)</f>
        <v>1</v>
      </c>
      <c r="G2397" s="6" t="str">
        <f>IFERROR(__xludf.DUMMYFUNCTION("""COMPUTED_VALUE"""),"Pieces")</f>
        <v>Pieces</v>
      </c>
      <c r="H2397" s="6" t="str">
        <f>IFERROR(__xludf.DUMMYFUNCTION("""COMPUTED_VALUE"""),"IDR")</f>
        <v>IDR</v>
      </c>
      <c r="I2397" s="11">
        <f>IFERROR(__xludf.DUMMYFUNCTION("""COMPUTED_VALUE"""),6450000.0)</f>
        <v>6450000</v>
      </c>
      <c r="J2397" s="11">
        <f>IFERROR(__xludf.DUMMYFUNCTION("""COMPUTED_VALUE"""),6450000.0)</f>
        <v>6450000</v>
      </c>
      <c r="K2397" s="57">
        <f>IFERROR(__xludf.DUMMYFUNCTION("""COMPUTED_VALUE"""),45083.0)</f>
        <v>45083</v>
      </c>
      <c r="L2397" s="6" t="str">
        <f>IFERROR(__xludf.DUMMYFUNCTION("""COMPUTED_VALUE"""),"FIP General")</f>
        <v>FIP General</v>
      </c>
      <c r="M2397" s="6" t="str">
        <f>IFERROR(__xludf.DUMMYFUNCTION("""COMPUTED_VALUE"""),"Irwan Sopian")</f>
        <v>Irwan Sopian</v>
      </c>
      <c r="N2397" s="6" t="str">
        <f>IFERROR(__xludf.DUMMYFUNCTION("""COMPUTED_VALUE"""),"FIP Engineering")</f>
        <v>FIP Engineering</v>
      </c>
      <c r="O2397" s="6" t="str">
        <f>IFERROR(__xludf.DUMMYFUNCTION("""COMPUTED_VALUE"""),"FIP-DOM-ENG-51504-0000000-INA-000000")</f>
        <v>FIP-DOM-ENG-51504-0000000-INA-000000</v>
      </c>
      <c r="P2397" s="6" t="str">
        <f>IFERROR(__xludf.DUMMYFUNCTION("""COMPUTED_VALUE"""),"PO Closed")</f>
        <v>PO Closed</v>
      </c>
      <c r="Q2397" s="6" t="str">
        <f>IFERROR(__xludf.DUMMYFUNCTION("""COMPUTED_VALUE"""),"GL2306011")</f>
        <v>GL2306011</v>
      </c>
      <c r="R2397" s="57">
        <f>IFERROR(__xludf.DUMMYFUNCTION("""COMPUTED_VALUE"""),45047.0)</f>
        <v>45047</v>
      </c>
      <c r="S2397" s="57">
        <f>IFERROR(__xludf.DUMMYFUNCTION("""COMPUTED_VALUE"""),45049.0)</f>
        <v>45049</v>
      </c>
      <c r="T2397" s="57">
        <f>IFERROR(__xludf.DUMMYFUNCTION("""COMPUTED_VALUE"""),45153.0)</f>
        <v>45153</v>
      </c>
    </row>
    <row r="2398">
      <c r="A2398" s="6" t="str">
        <f>IFERROR(__xludf.DUMMYFUNCTION("""COMPUTED_VALUE"""),"231750295-2")</f>
        <v>231750295-2</v>
      </c>
      <c r="B2398" s="6" t="str">
        <f>IFERROR(__xludf.DUMMYFUNCTION("""COMPUTED_VALUE"""),"231750295 - Approved")</f>
        <v>231750295 - Approved</v>
      </c>
      <c r="C2398" s="6">
        <f>IFERROR(__xludf.DUMMYFUNCTION("""COMPUTED_VALUE"""),2.0)</f>
        <v>2</v>
      </c>
      <c r="D2398" s="6" t="str">
        <f>IFERROR(__xludf.DUMMYFUNCTION("""COMPUTED_VALUE"""),"S-60050-00")</f>
        <v>S-60050-00</v>
      </c>
      <c r="E2398" s="6" t="str">
        <f>IFERROR(__xludf.DUMMYFUNCTION("""COMPUTED_VALUE"""),"Jasa Perbaikan dan Pemeliharaan Mesin Produksi; ; ; - Standard Industry Service Labour Rate For sparepart installation")</f>
        <v>Jasa Perbaikan dan Pemeliharaan Mesin Produksi; ; ; - Standard Industry Service Labour Rate For sparepart installation</v>
      </c>
      <c r="F2398" s="6">
        <f>IFERROR(__xludf.DUMMYFUNCTION("""COMPUTED_VALUE"""),1.0)</f>
        <v>1</v>
      </c>
      <c r="G2398" s="6" t="str">
        <f>IFERROR(__xludf.DUMMYFUNCTION("""COMPUTED_VALUE"""),"Pieces")</f>
        <v>Pieces</v>
      </c>
      <c r="H2398" s="6" t="str">
        <f>IFERROR(__xludf.DUMMYFUNCTION("""COMPUTED_VALUE"""),"IDR")</f>
        <v>IDR</v>
      </c>
      <c r="I2398" s="11">
        <f>IFERROR(__xludf.DUMMYFUNCTION("""COMPUTED_VALUE"""),4868000.0)</f>
        <v>4868000</v>
      </c>
      <c r="J2398" s="11">
        <f>IFERROR(__xludf.DUMMYFUNCTION("""COMPUTED_VALUE"""),4868000.0)</f>
        <v>4868000</v>
      </c>
      <c r="K2398" s="57">
        <f>IFERROR(__xludf.DUMMYFUNCTION("""COMPUTED_VALUE"""),45083.0)</f>
        <v>45083</v>
      </c>
      <c r="L2398" s="6" t="str">
        <f>IFERROR(__xludf.DUMMYFUNCTION("""COMPUTED_VALUE"""),"FIP General")</f>
        <v>FIP General</v>
      </c>
      <c r="M2398" s="6" t="str">
        <f>IFERROR(__xludf.DUMMYFUNCTION("""COMPUTED_VALUE"""),"Irwan Sopian")</f>
        <v>Irwan Sopian</v>
      </c>
      <c r="N2398" s="6" t="str">
        <f>IFERROR(__xludf.DUMMYFUNCTION("""COMPUTED_VALUE"""),"FIP Engineering")</f>
        <v>FIP Engineering</v>
      </c>
      <c r="O2398" s="6" t="str">
        <f>IFERROR(__xludf.DUMMYFUNCTION("""COMPUTED_VALUE"""),"FIP-DOM-ENG-51504-0000000-INA-000000")</f>
        <v>FIP-DOM-ENG-51504-0000000-INA-000000</v>
      </c>
      <c r="P2398" s="6" t="str">
        <f>IFERROR(__xludf.DUMMYFUNCTION("""COMPUTED_VALUE"""),"PO Closed")</f>
        <v>PO Closed</v>
      </c>
      <c r="Q2398" s="6" t="str">
        <f>IFERROR(__xludf.DUMMYFUNCTION("""COMPUTED_VALUE"""),"GL2306011")</f>
        <v>GL2306011</v>
      </c>
      <c r="R2398" s="57">
        <f>IFERROR(__xludf.DUMMYFUNCTION("""COMPUTED_VALUE"""),45047.0)</f>
        <v>45047</v>
      </c>
      <c r="S2398" s="57">
        <f>IFERROR(__xludf.DUMMYFUNCTION("""COMPUTED_VALUE"""),45049.0)</f>
        <v>45049</v>
      </c>
      <c r="T2398" s="57">
        <f>IFERROR(__xludf.DUMMYFUNCTION("""COMPUTED_VALUE"""),45122.0)</f>
        <v>45122</v>
      </c>
    </row>
    <row r="2399">
      <c r="A2399" s="6" t="str">
        <f>IFERROR(__xludf.DUMMYFUNCTION("""COMPUTED_VALUE"""),"231750295-3")</f>
        <v>231750295-3</v>
      </c>
      <c r="B2399" s="6" t="str">
        <f>IFERROR(__xludf.DUMMYFUNCTION("""COMPUTED_VALUE"""),"231750295 - Approved")</f>
        <v>231750295 - Approved</v>
      </c>
      <c r="C2399" s="6">
        <f>IFERROR(__xludf.DUMMYFUNCTION("""COMPUTED_VALUE"""),3.0)</f>
        <v>3</v>
      </c>
      <c r="D2399" s="6" t="str">
        <f>IFERROR(__xludf.DUMMYFUNCTION("""COMPUTED_VALUE"""),"S-60050-00")</f>
        <v>S-60050-00</v>
      </c>
      <c r="E2399" s="6" t="str">
        <f>IFERROR(__xludf.DUMMYFUNCTION("""COMPUTED_VALUE"""),"Jasa Perbaikan dan Pemeliharaan Mesin Produksi; ; ; - High Precision Scale ISO 17025 Calibration")</f>
        <v>Jasa Perbaikan dan Pemeliharaan Mesin Produksi; ; ; - High Precision Scale ISO 17025 Calibration</v>
      </c>
      <c r="F2399" s="6">
        <f>IFERROR(__xludf.DUMMYFUNCTION("""COMPUTED_VALUE"""),1.0)</f>
        <v>1</v>
      </c>
      <c r="G2399" s="6" t="str">
        <f>IFERROR(__xludf.DUMMYFUNCTION("""COMPUTED_VALUE"""),"Pieces")</f>
        <v>Pieces</v>
      </c>
      <c r="H2399" s="6" t="str">
        <f>IFERROR(__xludf.DUMMYFUNCTION("""COMPUTED_VALUE"""),"IDR")</f>
        <v>IDR</v>
      </c>
      <c r="I2399" s="11">
        <f>IFERROR(__xludf.DUMMYFUNCTION("""COMPUTED_VALUE"""),3469000.0)</f>
        <v>3469000</v>
      </c>
      <c r="J2399" s="11">
        <f>IFERROR(__xludf.DUMMYFUNCTION("""COMPUTED_VALUE"""),3469000.0)</f>
        <v>3469000</v>
      </c>
      <c r="K2399" s="57">
        <f>IFERROR(__xludf.DUMMYFUNCTION("""COMPUTED_VALUE"""),45083.0)</f>
        <v>45083</v>
      </c>
      <c r="L2399" s="6" t="str">
        <f>IFERROR(__xludf.DUMMYFUNCTION("""COMPUTED_VALUE"""),"FIP General")</f>
        <v>FIP General</v>
      </c>
      <c r="M2399" s="6" t="str">
        <f>IFERROR(__xludf.DUMMYFUNCTION("""COMPUTED_VALUE"""),"Irwan Sopian")</f>
        <v>Irwan Sopian</v>
      </c>
      <c r="N2399" s="6" t="str">
        <f>IFERROR(__xludf.DUMMYFUNCTION("""COMPUTED_VALUE"""),"FIP Engineering")</f>
        <v>FIP Engineering</v>
      </c>
      <c r="O2399" s="6" t="str">
        <f>IFERROR(__xludf.DUMMYFUNCTION("""COMPUTED_VALUE"""),"FIP-DOM-ENG-51504-0000000-INA-000000")</f>
        <v>FIP-DOM-ENG-51504-0000000-INA-000000</v>
      </c>
      <c r="P2399" s="6" t="str">
        <f>IFERROR(__xludf.DUMMYFUNCTION("""COMPUTED_VALUE"""),"PO Closed")</f>
        <v>PO Closed</v>
      </c>
      <c r="Q2399" s="6" t="str">
        <f>IFERROR(__xludf.DUMMYFUNCTION("""COMPUTED_VALUE"""),"GL2306011")</f>
        <v>GL2306011</v>
      </c>
      <c r="R2399" s="57">
        <f>IFERROR(__xludf.DUMMYFUNCTION("""COMPUTED_VALUE"""),45047.0)</f>
        <v>45047</v>
      </c>
      <c r="S2399" s="57">
        <f>IFERROR(__xludf.DUMMYFUNCTION("""COMPUTED_VALUE"""),45049.0)</f>
        <v>45049</v>
      </c>
      <c r="T2399" s="57">
        <f>IFERROR(__xludf.DUMMYFUNCTION("""COMPUTED_VALUE"""),45122.0)</f>
        <v>45122</v>
      </c>
    </row>
    <row r="2400">
      <c r="A2400" s="6" t="str">
        <f>IFERROR(__xludf.DUMMYFUNCTION("""COMPUTED_VALUE"""),"231750309-1")</f>
        <v>231750309-1</v>
      </c>
      <c r="B2400" s="6" t="str">
        <f>IFERROR(__xludf.DUMMYFUNCTION("""COMPUTED_VALUE"""),"231750309 - Approved")</f>
        <v>231750309 - Approved</v>
      </c>
      <c r="C2400" s="6">
        <f>IFERROR(__xludf.DUMMYFUNCTION("""COMPUTED_VALUE"""),1.0)</f>
        <v>1</v>
      </c>
      <c r="D2400" s="6" t="str">
        <f>IFERROR(__xludf.DUMMYFUNCTION("""COMPUTED_VALUE"""),"S-60050-00")</f>
        <v>S-60050-00</v>
      </c>
      <c r="E2400" s="6" t="str">
        <f>IFERROR(__xludf.DUMMYFUNCTION("""COMPUTED_VALUE"""),"Jasa Perbaikan dan Pemeliharaan Mesin Produksi; ; ; - Repair Actuator cRABS no.3")</f>
        <v>Jasa Perbaikan dan Pemeliharaan Mesin Produksi; ; ; - Repair Actuator cRABS no.3</v>
      </c>
      <c r="F2400" s="6">
        <f>IFERROR(__xludf.DUMMYFUNCTION("""COMPUTED_VALUE"""),1.0)</f>
        <v>1</v>
      </c>
      <c r="G2400" s="6" t="str">
        <f>IFERROR(__xludf.DUMMYFUNCTION("""COMPUTED_VALUE"""),"Pieces")</f>
        <v>Pieces</v>
      </c>
      <c r="H2400" s="6" t="str">
        <f>IFERROR(__xludf.DUMMYFUNCTION("""COMPUTED_VALUE"""),"IDR")</f>
        <v>IDR</v>
      </c>
      <c r="I2400" s="11">
        <f>IFERROR(__xludf.DUMMYFUNCTION("""COMPUTED_VALUE"""),3010278.0)</f>
        <v>3010278</v>
      </c>
      <c r="J2400" s="11">
        <f>IFERROR(__xludf.DUMMYFUNCTION("""COMPUTED_VALUE"""),3010278.0)</f>
        <v>3010278</v>
      </c>
      <c r="K2400" s="57">
        <f>IFERROR(__xludf.DUMMYFUNCTION("""COMPUTED_VALUE"""),45069.0)</f>
        <v>45069</v>
      </c>
      <c r="L2400" s="6" t="str">
        <f>IFERROR(__xludf.DUMMYFUNCTION("""COMPUTED_VALUE"""),"FIP General")</f>
        <v>FIP General</v>
      </c>
      <c r="M2400" s="6" t="str">
        <f>IFERROR(__xludf.DUMMYFUNCTION("""COMPUTED_VALUE"""),"Irwan Sopian")</f>
        <v>Irwan Sopian</v>
      </c>
      <c r="N2400" s="6" t="str">
        <f>IFERROR(__xludf.DUMMYFUNCTION("""COMPUTED_VALUE"""),"FIP Engineering")</f>
        <v>FIP Engineering</v>
      </c>
      <c r="O2400" s="6" t="str">
        <f>IFERROR(__xludf.DUMMYFUNCTION("""COMPUTED_VALUE"""),"FIP-DOM-ENG-51504-0000000-INA-000000")</f>
        <v>FIP-DOM-ENG-51504-0000000-INA-000000</v>
      </c>
      <c r="P2400" s="6" t="str">
        <f>IFERROR(__xludf.DUMMYFUNCTION("""COMPUTED_VALUE"""),"PO Closed")</f>
        <v>PO Closed</v>
      </c>
      <c r="Q2400" s="6" t="str">
        <f>IFERROR(__xludf.DUMMYFUNCTION("""COMPUTED_VALUE"""),"GL2305057")</f>
        <v>GL2305057</v>
      </c>
      <c r="R2400" s="57">
        <f>IFERROR(__xludf.DUMMYFUNCTION("""COMPUTED_VALUE"""),45053.0)</f>
        <v>45053</v>
      </c>
      <c r="S2400" s="57">
        <f>IFERROR(__xludf.DUMMYFUNCTION("""COMPUTED_VALUE"""),45054.0)</f>
        <v>45054</v>
      </c>
      <c r="T2400" s="57">
        <f>IFERROR(__xludf.DUMMYFUNCTION("""COMPUTED_VALUE"""),45082.0)</f>
        <v>45082</v>
      </c>
    </row>
    <row r="2401">
      <c r="A2401" s="6" t="str">
        <f>IFERROR(__xludf.DUMMYFUNCTION("""COMPUTED_VALUE"""),"231750309-2")</f>
        <v>231750309-2</v>
      </c>
      <c r="B2401" s="6" t="str">
        <f>IFERROR(__xludf.DUMMYFUNCTION("""COMPUTED_VALUE"""),"231750309 - Approved")</f>
        <v>231750309 - Approved</v>
      </c>
      <c r="C2401" s="6">
        <f>IFERROR(__xludf.DUMMYFUNCTION("""COMPUTED_VALUE"""),2.0)</f>
        <v>2</v>
      </c>
      <c r="D2401" s="6" t="str">
        <f>IFERROR(__xludf.DUMMYFUNCTION("""COMPUTED_VALUE"""),"S-60050-00")</f>
        <v>S-60050-00</v>
      </c>
      <c r="E2401" s="6" t="str">
        <f>IFERROR(__xludf.DUMMYFUNCTION("""COMPUTED_VALUE"""),"Jasa Perbaikan dan Pemeliharaan Mesin Produksi; ; ; - Repair Actuator cRABS no.4")</f>
        <v>Jasa Perbaikan dan Pemeliharaan Mesin Produksi; ; ; - Repair Actuator cRABS no.4</v>
      </c>
      <c r="F2401" s="6">
        <f>IFERROR(__xludf.DUMMYFUNCTION("""COMPUTED_VALUE"""),1.0)</f>
        <v>1</v>
      </c>
      <c r="G2401" s="6" t="str">
        <f>IFERROR(__xludf.DUMMYFUNCTION("""COMPUTED_VALUE"""),"Pieces")</f>
        <v>Pieces</v>
      </c>
      <c r="H2401" s="6" t="str">
        <f>IFERROR(__xludf.DUMMYFUNCTION("""COMPUTED_VALUE"""),"IDR")</f>
        <v>IDR</v>
      </c>
      <c r="I2401" s="11">
        <f>IFERROR(__xludf.DUMMYFUNCTION("""COMPUTED_VALUE"""),3512019.0)</f>
        <v>3512019</v>
      </c>
      <c r="J2401" s="11">
        <f>IFERROR(__xludf.DUMMYFUNCTION("""COMPUTED_VALUE"""),3512019.0)</f>
        <v>3512019</v>
      </c>
      <c r="K2401" s="57">
        <f>IFERROR(__xludf.DUMMYFUNCTION("""COMPUTED_VALUE"""),45069.0)</f>
        <v>45069</v>
      </c>
      <c r="L2401" s="6" t="str">
        <f>IFERROR(__xludf.DUMMYFUNCTION("""COMPUTED_VALUE"""),"FIP General")</f>
        <v>FIP General</v>
      </c>
      <c r="M2401" s="6" t="str">
        <f>IFERROR(__xludf.DUMMYFUNCTION("""COMPUTED_VALUE"""),"Irwan Sopian")</f>
        <v>Irwan Sopian</v>
      </c>
      <c r="N2401" s="6" t="str">
        <f>IFERROR(__xludf.DUMMYFUNCTION("""COMPUTED_VALUE"""),"FIP Engineering")</f>
        <v>FIP Engineering</v>
      </c>
      <c r="O2401" s="6" t="str">
        <f>IFERROR(__xludf.DUMMYFUNCTION("""COMPUTED_VALUE"""),"FIP-DOM-ENG-51504-0000000-INA-000000")</f>
        <v>FIP-DOM-ENG-51504-0000000-INA-000000</v>
      </c>
      <c r="P2401" s="6" t="str">
        <f>IFERROR(__xludf.DUMMYFUNCTION("""COMPUTED_VALUE"""),"PO Closed")</f>
        <v>PO Closed</v>
      </c>
      <c r="Q2401" s="6" t="str">
        <f>IFERROR(__xludf.DUMMYFUNCTION("""COMPUTED_VALUE"""),"GL2305057")</f>
        <v>GL2305057</v>
      </c>
      <c r="R2401" s="57">
        <f>IFERROR(__xludf.DUMMYFUNCTION("""COMPUTED_VALUE"""),45053.0)</f>
        <v>45053</v>
      </c>
      <c r="S2401" s="57">
        <f>IFERROR(__xludf.DUMMYFUNCTION("""COMPUTED_VALUE"""),45054.0)</f>
        <v>45054</v>
      </c>
      <c r="T2401" s="57">
        <f>IFERROR(__xludf.DUMMYFUNCTION("""COMPUTED_VALUE"""),45082.0)</f>
        <v>45082</v>
      </c>
    </row>
    <row r="2402">
      <c r="A2402" s="6" t="str">
        <f>IFERROR(__xludf.DUMMYFUNCTION("""COMPUTED_VALUE"""),"231750321-1")</f>
        <v>231750321-1</v>
      </c>
      <c r="B2402" s="6" t="str">
        <f>IFERROR(__xludf.DUMMYFUNCTION("""COMPUTED_VALUE"""),"231750321 - Approved")</f>
        <v>231750321 - Approved</v>
      </c>
      <c r="C2402" s="6">
        <f>IFERROR(__xludf.DUMMYFUNCTION("""COMPUTED_VALUE"""),1.0)</f>
        <v>1</v>
      </c>
      <c r="D2402" s="6" t="str">
        <f>IFERROR(__xludf.DUMMYFUNCTION("""COMPUTED_VALUE"""),"S-60050-00")</f>
        <v>S-60050-00</v>
      </c>
      <c r="E2402" s="6" t="str">
        <f>IFERROR(__xludf.DUMMYFUNCTION("""COMPUTED_VALUE"""),"Jasa Perbaikan dan Pemeliharaan Mesin Produksi; ; ; - Repair Mesin FD IMA (kebocoran di jalur freon)")</f>
        <v>Jasa Perbaikan dan Pemeliharaan Mesin Produksi; ; ; - Repair Mesin FD IMA (kebocoran di jalur freon)</v>
      </c>
      <c r="F2402" s="6">
        <f>IFERROR(__xludf.DUMMYFUNCTION("""COMPUTED_VALUE"""),1.0)</f>
        <v>1</v>
      </c>
      <c r="G2402" s="6" t="str">
        <f>IFERROR(__xludf.DUMMYFUNCTION("""COMPUTED_VALUE"""),"Pieces")</f>
        <v>Pieces</v>
      </c>
      <c r="H2402" s="6" t="str">
        <f>IFERROR(__xludf.DUMMYFUNCTION("""COMPUTED_VALUE"""),"IDR")</f>
        <v>IDR</v>
      </c>
      <c r="I2402" s="11">
        <f>IFERROR(__xludf.DUMMYFUNCTION("""COMPUTED_VALUE"""),1.2E7)</f>
        <v>12000000</v>
      </c>
      <c r="J2402" s="11">
        <f>IFERROR(__xludf.DUMMYFUNCTION("""COMPUTED_VALUE"""),1.2E7)</f>
        <v>12000000</v>
      </c>
      <c r="K2402" s="57">
        <f>IFERROR(__xludf.DUMMYFUNCTION("""COMPUTED_VALUE"""),45076.0)</f>
        <v>45076</v>
      </c>
      <c r="L2402" s="6" t="str">
        <f>IFERROR(__xludf.DUMMYFUNCTION("""COMPUTED_VALUE"""),"FIP General")</f>
        <v>FIP General</v>
      </c>
      <c r="M2402" s="6" t="str">
        <f>IFERROR(__xludf.DUMMYFUNCTION("""COMPUTED_VALUE"""),"Irwan Sopian")</f>
        <v>Irwan Sopian</v>
      </c>
      <c r="N2402" s="6" t="str">
        <f>IFERROR(__xludf.DUMMYFUNCTION("""COMPUTED_VALUE"""),"FIP Engineering")</f>
        <v>FIP Engineering</v>
      </c>
      <c r="O2402" s="6" t="str">
        <f>IFERROR(__xludf.DUMMYFUNCTION("""COMPUTED_VALUE"""),"FIP-DOM-ENG-51504-0000000-INA-000000")</f>
        <v>FIP-DOM-ENG-51504-0000000-INA-000000</v>
      </c>
      <c r="P2402" s="6" t="str">
        <f>IFERROR(__xludf.DUMMYFUNCTION("""COMPUTED_VALUE"""),"PO Closed")</f>
        <v>PO Closed</v>
      </c>
      <c r="Q2402" s="6" t="str">
        <f>IFERROR(__xludf.DUMMYFUNCTION("""COMPUTED_VALUE"""),"GL2305055")</f>
        <v>GL2305055</v>
      </c>
      <c r="R2402" s="57">
        <f>IFERROR(__xludf.DUMMYFUNCTION("""COMPUTED_VALUE"""),45061.0)</f>
        <v>45061</v>
      </c>
      <c r="S2402" s="57">
        <f>IFERROR(__xludf.DUMMYFUNCTION("""COMPUTED_VALUE"""),45063.0)</f>
        <v>45063</v>
      </c>
      <c r="T2402" s="57">
        <f>IFERROR(__xludf.DUMMYFUNCTION("""COMPUTED_VALUE"""),45082.0)</f>
        <v>45082</v>
      </c>
    </row>
    <row r="2403">
      <c r="A2403" s="6" t="str">
        <f>IFERROR(__xludf.DUMMYFUNCTION("""COMPUTED_VALUE"""),"231750322-1")</f>
        <v>231750322-1</v>
      </c>
      <c r="B2403" s="6" t="str">
        <f>IFERROR(__xludf.DUMMYFUNCTION("""COMPUTED_VALUE"""),"231750322 - Approved")</f>
        <v>231750322 - Approved</v>
      </c>
      <c r="C2403" s="6">
        <f>IFERROR(__xludf.DUMMYFUNCTION("""COMPUTED_VALUE"""),1.0)</f>
        <v>1</v>
      </c>
      <c r="D2403" s="6" t="str">
        <f>IFERROR(__xludf.DUMMYFUNCTION("""COMPUTED_VALUE"""),"P-52713-00")</f>
        <v>P-52713-00</v>
      </c>
      <c r="E2403" s="6" t="str">
        <f>IFERROR(__xludf.DUMMYFUNCTION("""COMPUTED_VALUE"""),"Sensor Ammonia 0-50/500 PPM (200 PPM Standard) Type : 00-1010; ATI; ;")</f>
        <v>Sensor Ammonia 0-50/500 PPM (200 PPM Standard) Type : 00-1010; ATI; ;</v>
      </c>
      <c r="F2403" s="6">
        <f>IFERROR(__xludf.DUMMYFUNCTION("""COMPUTED_VALUE"""),1.0)</f>
        <v>1</v>
      </c>
      <c r="G2403" s="6" t="str">
        <f>IFERROR(__xludf.DUMMYFUNCTION("""COMPUTED_VALUE"""),"Pieces")</f>
        <v>Pieces</v>
      </c>
      <c r="H2403" s="6" t="str">
        <f>IFERROR(__xludf.DUMMYFUNCTION("""COMPUTED_VALUE"""),"IDR")</f>
        <v>IDR</v>
      </c>
      <c r="I2403" s="11">
        <f>IFERROR(__xludf.DUMMYFUNCTION("""COMPUTED_VALUE"""),1.13E7)</f>
        <v>11300000</v>
      </c>
      <c r="J2403" s="11">
        <f>IFERROR(__xludf.DUMMYFUNCTION("""COMPUTED_VALUE"""),1.13E7)</f>
        <v>11300000</v>
      </c>
      <c r="K2403" s="57">
        <f>IFERROR(__xludf.DUMMYFUNCTION("""COMPUTED_VALUE"""),45083.0)</f>
        <v>45083</v>
      </c>
      <c r="L2403" s="6" t="str">
        <f>IFERROR(__xludf.DUMMYFUNCTION("""COMPUTED_VALUE"""),"FIP Engineering")</f>
        <v>FIP Engineering</v>
      </c>
      <c r="M2403" s="6" t="str">
        <f>IFERROR(__xludf.DUMMYFUNCTION("""COMPUTED_VALUE"""),"Irwan Sopian")</f>
        <v>Irwan Sopian</v>
      </c>
      <c r="N2403" s="6" t="str">
        <f>IFERROR(__xludf.DUMMYFUNCTION("""COMPUTED_VALUE"""),"FIP Engineering")</f>
        <v>FIP Engineering</v>
      </c>
      <c r="O2403" s="6" t="str">
        <f>IFERROR(__xludf.DUMMYFUNCTION("""COMPUTED_VALUE"""),"FIP-DOM-000-11304-OS00001-INA-000000")</f>
        <v>FIP-DOM-000-11304-OS00001-INA-000000</v>
      </c>
      <c r="P2403" s="6" t="str">
        <f>IFERROR(__xludf.DUMMYFUNCTION("""COMPUTED_VALUE"""),"PO Closed")</f>
        <v>PO Closed</v>
      </c>
      <c r="Q2403" s="6" t="str">
        <f>IFERROR(__xludf.DUMMYFUNCTION("""COMPUTED_VALUE"""),"GL2307329")</f>
        <v>GL2307329</v>
      </c>
      <c r="R2403" s="57">
        <f>IFERROR(__xludf.DUMMYFUNCTION("""COMPUTED_VALUE"""),45062.0)</f>
        <v>45062</v>
      </c>
      <c r="S2403" s="57">
        <f>IFERROR(__xludf.DUMMYFUNCTION("""COMPUTED_VALUE"""),45063.0)</f>
        <v>45063</v>
      </c>
      <c r="T2403" s="57">
        <f>IFERROR(__xludf.DUMMYFUNCTION("""COMPUTED_VALUE"""),45290.0)</f>
        <v>45290</v>
      </c>
    </row>
    <row r="2404">
      <c r="A2404" s="6" t="str">
        <f>IFERROR(__xludf.DUMMYFUNCTION("""COMPUTED_VALUE"""),"231750323-1")</f>
        <v>231750323-1</v>
      </c>
      <c r="B2404" s="6" t="str">
        <f>IFERROR(__xludf.DUMMYFUNCTION("""COMPUTED_VALUE"""),"231750323 - Approved")</f>
        <v>231750323 - Approved</v>
      </c>
      <c r="C2404" s="6">
        <f>IFERROR(__xludf.DUMMYFUNCTION("""COMPUTED_VALUE"""),1.0)</f>
        <v>1</v>
      </c>
      <c r="D2404" s="6" t="str">
        <f>IFERROR(__xludf.DUMMYFUNCTION("""COMPUTED_VALUE"""),"O-52920-00")</f>
        <v>O-52920-00</v>
      </c>
      <c r="E2404" s="6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F2404" s="6">
        <f>IFERROR(__xludf.DUMMYFUNCTION("""COMPUTED_VALUE"""),1.0)</f>
        <v>1</v>
      </c>
      <c r="G2404" s="6" t="str">
        <f>IFERROR(__xludf.DUMMYFUNCTION("""COMPUTED_VALUE"""),"Pieces")</f>
        <v>Pieces</v>
      </c>
      <c r="H2404" s="6" t="str">
        <f>IFERROR(__xludf.DUMMYFUNCTION("""COMPUTED_VALUE"""),"IDR")</f>
        <v>IDR</v>
      </c>
      <c r="I2404" s="11">
        <f>IFERROR(__xludf.DUMMYFUNCTION("""COMPUTED_VALUE"""),5000000.0)</f>
        <v>5000000</v>
      </c>
      <c r="J2404" s="11">
        <f>IFERROR(__xludf.DUMMYFUNCTION("""COMPUTED_VALUE"""),5000000.0)</f>
        <v>5000000</v>
      </c>
      <c r="K2404" s="57">
        <f>IFERROR(__xludf.DUMMYFUNCTION("""COMPUTED_VALUE"""),45097.0)</f>
        <v>45097</v>
      </c>
      <c r="L2404" s="6" t="str">
        <f>IFERROR(__xludf.DUMMYFUNCTION("""COMPUTED_VALUE"""),"FIP Engineering")</f>
        <v>FIP Engineering</v>
      </c>
      <c r="M2404" s="6" t="str">
        <f>IFERROR(__xludf.DUMMYFUNCTION("""COMPUTED_VALUE"""),"Irwan Sopian")</f>
        <v>Irwan Sopian</v>
      </c>
      <c r="N2404" s="6" t="str">
        <f>IFERROR(__xludf.DUMMYFUNCTION("""COMPUTED_VALUE"""),"FIP Engineering")</f>
        <v>FIP Engineering</v>
      </c>
      <c r="O2404" s="6" t="str">
        <f>IFERROR(__xludf.DUMMYFUNCTION("""COMPUTED_VALUE"""),"FIP-DOM-000-11304-OS00001-INA-000000")</f>
        <v>FIP-DOM-000-11304-OS00001-INA-000000</v>
      </c>
      <c r="P2404" s="6" t="str">
        <f>IFERROR(__xludf.DUMMYFUNCTION("""COMPUTED_VALUE"""),"PO Closed")</f>
        <v>PO Closed</v>
      </c>
      <c r="Q2404" s="6" t="str">
        <f>IFERROR(__xludf.DUMMYFUNCTION("""COMPUTED_VALUE"""),"GL2307324")</f>
        <v>GL2307324</v>
      </c>
      <c r="R2404" s="57">
        <f>IFERROR(__xludf.DUMMYFUNCTION("""COMPUTED_VALUE"""),45062.0)</f>
        <v>45062</v>
      </c>
      <c r="S2404" s="57">
        <f>IFERROR(__xludf.DUMMYFUNCTION("""COMPUTED_VALUE"""),45063.0)</f>
        <v>45063</v>
      </c>
      <c r="T2404" s="57">
        <f>IFERROR(__xludf.DUMMYFUNCTION("""COMPUTED_VALUE"""),45168.0)</f>
        <v>45168</v>
      </c>
    </row>
    <row r="2405">
      <c r="A2405" s="6" t="str">
        <f>IFERROR(__xludf.DUMMYFUNCTION("""COMPUTED_VALUE"""),"231750324-1")</f>
        <v>231750324-1</v>
      </c>
      <c r="B2405" s="6" t="str">
        <f>IFERROR(__xludf.DUMMYFUNCTION("""COMPUTED_VALUE"""),"231750324 - Approved")</f>
        <v>231750324 - Approved</v>
      </c>
      <c r="C2405" s="6">
        <f>IFERROR(__xludf.DUMMYFUNCTION("""COMPUTED_VALUE"""),1.0)</f>
        <v>1</v>
      </c>
      <c r="D2405" s="6" t="str">
        <f>IFERROR(__xludf.DUMMYFUNCTION("""COMPUTED_VALUE"""),"O-50994-00")</f>
        <v>O-50994-00</v>
      </c>
      <c r="E2405" s="6" t="str">
        <f>IFERROR(__xludf.DUMMYFUNCTION("""COMPUTED_VALUE"""),"Battery kering 12V 7,2AH; ; ;")</f>
        <v>Battery kering 12V 7,2AH; ; ;</v>
      </c>
      <c r="F2405" s="6">
        <f>IFERROR(__xludf.DUMMYFUNCTION("""COMPUTED_VALUE"""),4.0)</f>
        <v>4</v>
      </c>
      <c r="G2405" s="6" t="str">
        <f>IFERROR(__xludf.DUMMYFUNCTION("""COMPUTED_VALUE"""),"Pieces")</f>
        <v>Pieces</v>
      </c>
      <c r="H2405" s="6" t="str">
        <f>IFERROR(__xludf.DUMMYFUNCTION("""COMPUTED_VALUE"""),"IDR")</f>
        <v>IDR</v>
      </c>
      <c r="I2405" s="11">
        <f>IFERROR(__xludf.DUMMYFUNCTION("""COMPUTED_VALUE"""),351000.0)</f>
        <v>351000</v>
      </c>
      <c r="J2405" s="11">
        <f>IFERROR(__xludf.DUMMYFUNCTION("""COMPUTED_VALUE"""),1404000.0)</f>
        <v>1404000</v>
      </c>
      <c r="K2405" s="57">
        <f>IFERROR(__xludf.DUMMYFUNCTION("""COMPUTED_VALUE"""),45090.0)</f>
        <v>45090</v>
      </c>
      <c r="L2405" s="6" t="str">
        <f>IFERROR(__xludf.DUMMYFUNCTION("""COMPUTED_VALUE"""),"FIP Engineering")</f>
        <v>FIP Engineering</v>
      </c>
      <c r="M2405" s="6" t="str">
        <f>IFERROR(__xludf.DUMMYFUNCTION("""COMPUTED_VALUE"""),"Irwan Sopian")</f>
        <v>Irwan Sopian</v>
      </c>
      <c r="N2405" s="6" t="str">
        <f>IFERROR(__xludf.DUMMYFUNCTION("""COMPUTED_VALUE"""),"FIP Engineering")</f>
        <v>FIP Engineering</v>
      </c>
      <c r="O2405" s="6" t="str">
        <f>IFERROR(__xludf.DUMMYFUNCTION("""COMPUTED_VALUE"""),"FIP-DOM-000-11304-OS00001-INA-000000")</f>
        <v>FIP-DOM-000-11304-OS00001-INA-000000</v>
      </c>
      <c r="P2405" s="6" t="str">
        <f>IFERROR(__xludf.DUMMYFUNCTION("""COMPUTED_VALUE"""),"PO Closed")</f>
        <v>PO Closed</v>
      </c>
      <c r="Q2405" s="6" t="str">
        <f>IFERROR(__xludf.DUMMYFUNCTION("""COMPUTED_VALUE"""),"GL2307342")</f>
        <v>GL2307342</v>
      </c>
      <c r="R2405" s="57">
        <f>IFERROR(__xludf.DUMMYFUNCTION("""COMPUTED_VALUE"""),45062.0)</f>
        <v>45062</v>
      </c>
      <c r="S2405" s="57">
        <f>IFERROR(__xludf.DUMMYFUNCTION("""COMPUTED_VALUE"""),45063.0)</f>
        <v>45063</v>
      </c>
      <c r="T2405" s="57">
        <f>IFERROR(__xludf.DUMMYFUNCTION("""COMPUTED_VALUE"""),45179.0)</f>
        <v>45179</v>
      </c>
    </row>
    <row r="2406">
      <c r="A2406" s="6" t="str">
        <f>IFERROR(__xludf.DUMMYFUNCTION("""COMPUTED_VALUE"""),"231750325-1")</f>
        <v>231750325-1</v>
      </c>
      <c r="B2406" s="6" t="str">
        <f>IFERROR(__xludf.DUMMYFUNCTION("""COMPUTED_VALUE"""),"231750325 - Approved")</f>
        <v>231750325 - Approved</v>
      </c>
      <c r="C2406" s="6">
        <f>IFERROR(__xludf.DUMMYFUNCTION("""COMPUTED_VALUE"""),1.0)</f>
        <v>1</v>
      </c>
      <c r="D2406" s="6" t="str">
        <f>IFERROR(__xludf.DUMMYFUNCTION("""COMPUTED_VALUE"""),"O-52443-00")</f>
        <v>O-52443-00</v>
      </c>
      <c r="E2406" s="6" t="str">
        <f>IFERROR(__xludf.DUMMYFUNCTION("""COMPUTED_VALUE"""),"Analog Input 8 Channel 331-7KF02-0AB0; Siemens; ;")</f>
        <v>Analog Input 8 Channel 331-7KF02-0AB0; Siemens; ;</v>
      </c>
      <c r="F2406" s="6">
        <f>IFERROR(__xludf.DUMMYFUNCTION("""COMPUTED_VALUE"""),1.0)</f>
        <v>1</v>
      </c>
      <c r="G2406" s="6" t="str">
        <f>IFERROR(__xludf.DUMMYFUNCTION("""COMPUTED_VALUE"""),"Pieces")</f>
        <v>Pieces</v>
      </c>
      <c r="H2406" s="6" t="str">
        <f>IFERROR(__xludf.DUMMYFUNCTION("""COMPUTED_VALUE"""),"IDR")</f>
        <v>IDR</v>
      </c>
      <c r="I2406" s="11">
        <f>IFERROR(__xludf.DUMMYFUNCTION("""COMPUTED_VALUE"""),9650000.0)</f>
        <v>9650000</v>
      </c>
      <c r="J2406" s="11">
        <f>IFERROR(__xludf.DUMMYFUNCTION("""COMPUTED_VALUE"""),9650000.0)</f>
        <v>9650000</v>
      </c>
      <c r="K2406" s="57">
        <f>IFERROR(__xludf.DUMMYFUNCTION("""COMPUTED_VALUE"""),45076.0)</f>
        <v>45076</v>
      </c>
      <c r="L2406" s="6" t="str">
        <f>IFERROR(__xludf.DUMMYFUNCTION("""COMPUTED_VALUE"""),"FIP Engineering")</f>
        <v>FIP Engineering</v>
      </c>
      <c r="M2406" s="6" t="str">
        <f>IFERROR(__xludf.DUMMYFUNCTION("""COMPUTED_VALUE"""),"Irwan Sopian")</f>
        <v>Irwan Sopian</v>
      </c>
      <c r="N2406" s="6" t="str">
        <f>IFERROR(__xludf.DUMMYFUNCTION("""COMPUTED_VALUE"""),"FIP Engineering")</f>
        <v>FIP Engineering</v>
      </c>
      <c r="O2406" s="6" t="str">
        <f>IFERROR(__xludf.DUMMYFUNCTION("""COMPUTED_VALUE"""),"FIP-DOM-000-11304-OS00001-INA-000000")</f>
        <v>FIP-DOM-000-11304-OS00001-INA-000000</v>
      </c>
      <c r="P2406" s="6" t="str">
        <f>IFERROR(__xludf.DUMMYFUNCTION("""COMPUTED_VALUE"""),"PO Closed")</f>
        <v>PO Closed</v>
      </c>
      <c r="Q2406" s="6" t="str">
        <f>IFERROR(__xludf.DUMMYFUNCTION("""COMPUTED_VALUE"""),"GL2307330")</f>
        <v>GL2307330</v>
      </c>
      <c r="R2406" s="57">
        <f>IFERROR(__xludf.DUMMYFUNCTION("""COMPUTED_VALUE"""),45062.0)</f>
        <v>45062</v>
      </c>
      <c r="S2406" s="57">
        <f>IFERROR(__xludf.DUMMYFUNCTION("""COMPUTED_VALUE"""),45063.0)</f>
        <v>45063</v>
      </c>
      <c r="T2406" s="57">
        <f>IFERROR(__xludf.DUMMYFUNCTION("""COMPUTED_VALUE"""),45138.0)</f>
        <v>45138</v>
      </c>
    </row>
    <row r="2407">
      <c r="A2407" s="6" t="str">
        <f>IFERROR(__xludf.DUMMYFUNCTION("""COMPUTED_VALUE"""),"231750327-1")</f>
        <v>231750327-1</v>
      </c>
      <c r="B2407" s="6" t="str">
        <f>IFERROR(__xludf.DUMMYFUNCTION("""COMPUTED_VALUE"""),"231750327 - Approved")</f>
        <v>231750327 - Approved</v>
      </c>
      <c r="C2407" s="6">
        <f>IFERROR(__xludf.DUMMYFUNCTION("""COMPUTED_VALUE"""),1.0)</f>
        <v>1</v>
      </c>
      <c r="D2407" s="6" t="str">
        <f>IFERROR(__xludf.DUMMYFUNCTION("""COMPUTED_VALUE"""),"O-18987-00")</f>
        <v>O-18987-00</v>
      </c>
      <c r="E2407" s="6" t="str">
        <f>IFERROR(__xludf.DUMMYFUNCTION("""COMPUTED_VALUE"""),"Freeze Dryer MBE1207 - Oil Compressor RL 46H @5 Liter; EMKARATE; ;")</f>
        <v>Freeze Dryer MBE1207 - Oil Compressor RL 46H @5 Liter; EMKARATE; ;</v>
      </c>
      <c r="F2407" s="6">
        <f>IFERROR(__xludf.DUMMYFUNCTION("""COMPUTED_VALUE"""),4.0)</f>
        <v>4</v>
      </c>
      <c r="G2407" s="6" t="str">
        <f>IFERROR(__xludf.DUMMYFUNCTION("""COMPUTED_VALUE"""),"Can")</f>
        <v>Can</v>
      </c>
      <c r="H2407" s="6" t="str">
        <f>IFERROR(__xludf.DUMMYFUNCTION("""COMPUTED_VALUE"""),"IDR")</f>
        <v>IDR</v>
      </c>
      <c r="I2407" s="11">
        <f>IFERROR(__xludf.DUMMYFUNCTION("""COMPUTED_VALUE"""),2100000.0)</f>
        <v>2100000</v>
      </c>
      <c r="J2407" s="11">
        <f>IFERROR(__xludf.DUMMYFUNCTION("""COMPUTED_VALUE"""),8400000.0)</f>
        <v>8400000</v>
      </c>
      <c r="K2407" s="57">
        <f>IFERROR(__xludf.DUMMYFUNCTION("""COMPUTED_VALUE"""),45090.0)</f>
        <v>45090</v>
      </c>
      <c r="L2407" s="6" t="str">
        <f>IFERROR(__xludf.DUMMYFUNCTION("""COMPUTED_VALUE"""),"FIP Engineering")</f>
        <v>FIP Engineering</v>
      </c>
      <c r="M2407" s="6" t="str">
        <f>IFERROR(__xludf.DUMMYFUNCTION("""COMPUTED_VALUE"""),"Irwan Sopian")</f>
        <v>Irwan Sopian</v>
      </c>
      <c r="N2407" s="6" t="str">
        <f>IFERROR(__xludf.DUMMYFUNCTION("""COMPUTED_VALUE"""),"FIP Engineering")</f>
        <v>FIP Engineering</v>
      </c>
      <c r="O2407" s="6" t="str">
        <f>IFERROR(__xludf.DUMMYFUNCTION("""COMPUTED_VALUE"""),"FIP-DOM-000-11304-OS00001-INA-000000")</f>
        <v>FIP-DOM-000-11304-OS00001-INA-000000</v>
      </c>
      <c r="P2407" s="6" t="str">
        <f>IFERROR(__xludf.DUMMYFUNCTION("""COMPUTED_VALUE"""),"PO Closed")</f>
        <v>PO Closed</v>
      </c>
      <c r="Q2407" s="6" t="str">
        <f>IFERROR(__xludf.DUMMYFUNCTION("""COMPUTED_VALUE"""),"GL2307323")</f>
        <v>GL2307323</v>
      </c>
      <c r="R2407" s="57">
        <f>IFERROR(__xludf.DUMMYFUNCTION("""COMPUTED_VALUE"""),45062.0)</f>
        <v>45062</v>
      </c>
      <c r="S2407" s="57">
        <f>IFERROR(__xludf.DUMMYFUNCTION("""COMPUTED_VALUE"""),45063.0)</f>
        <v>45063</v>
      </c>
      <c r="T2407" s="57">
        <f>IFERROR(__xludf.DUMMYFUNCTION("""COMPUTED_VALUE"""),45138.0)</f>
        <v>45138</v>
      </c>
    </row>
    <row r="2408">
      <c r="A2408" s="6" t="str">
        <f>IFERROR(__xludf.DUMMYFUNCTION("""COMPUTED_VALUE"""),"231750328-1")</f>
        <v>231750328-1</v>
      </c>
      <c r="B2408" s="6" t="str">
        <f>IFERROR(__xludf.DUMMYFUNCTION("""COMPUTED_VALUE"""),"231750328 - Approved")</f>
        <v>231750328 - Approved</v>
      </c>
      <c r="C2408" s="6">
        <f>IFERROR(__xludf.DUMMYFUNCTION("""COMPUTED_VALUE"""),1.0)</f>
        <v>1</v>
      </c>
      <c r="D2408" s="6" t="str">
        <f>IFERROR(__xludf.DUMMYFUNCTION("""COMPUTED_VALUE"""),"O-16980-00")</f>
        <v>O-16980-00</v>
      </c>
      <c r="E2408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F2408" s="6">
        <f>IFERROR(__xludf.DUMMYFUNCTION("""COMPUTED_VALUE"""),10.0)</f>
        <v>10</v>
      </c>
      <c r="G2408" s="6" t="str">
        <f>IFERROR(__xludf.DUMMYFUNCTION("""COMPUTED_VALUE"""),"Pieces")</f>
        <v>Pieces</v>
      </c>
      <c r="H2408" s="6" t="str">
        <f>IFERROR(__xludf.DUMMYFUNCTION("""COMPUTED_VALUE"""),"IDR")</f>
        <v>IDR</v>
      </c>
      <c r="I2408" s="11">
        <f>IFERROR(__xludf.DUMMYFUNCTION("""COMPUTED_VALUE"""),956650.0)</f>
        <v>956650</v>
      </c>
      <c r="J2408" s="11">
        <f>IFERROR(__xludf.DUMMYFUNCTION("""COMPUTED_VALUE"""),9566500.0)</f>
        <v>9566500</v>
      </c>
      <c r="K2408" s="57">
        <f>IFERROR(__xludf.DUMMYFUNCTION("""COMPUTED_VALUE"""),45076.0)</f>
        <v>45076</v>
      </c>
      <c r="L2408" s="6" t="str">
        <f>IFERROR(__xludf.DUMMYFUNCTION("""COMPUTED_VALUE"""),"FIP Engineering")</f>
        <v>FIP Engineering</v>
      </c>
      <c r="M2408" s="6" t="str">
        <f>IFERROR(__xludf.DUMMYFUNCTION("""COMPUTED_VALUE"""),"Irwan Sopian")</f>
        <v>Irwan Sopian</v>
      </c>
      <c r="N2408" s="6" t="str">
        <f>IFERROR(__xludf.DUMMYFUNCTION("""COMPUTED_VALUE"""),"FIP Engineering")</f>
        <v>FIP Engineering</v>
      </c>
      <c r="O2408" s="6" t="str">
        <f>IFERROR(__xludf.DUMMYFUNCTION("""COMPUTED_VALUE"""),"FIP-DOM-000-11304-OS00001-INA-000000")</f>
        <v>FIP-DOM-000-11304-OS00001-INA-000000</v>
      </c>
      <c r="P2408" s="6" t="str">
        <f>IFERROR(__xludf.DUMMYFUNCTION("""COMPUTED_VALUE"""),"PO Closed")</f>
        <v>PO Closed</v>
      </c>
      <c r="Q2408" s="6" t="str">
        <f>IFERROR(__xludf.DUMMYFUNCTION("""COMPUTED_VALUE"""),"GL2307320")</f>
        <v>GL2307320</v>
      </c>
      <c r="R2408" s="57">
        <f>IFERROR(__xludf.DUMMYFUNCTION("""COMPUTED_VALUE"""),45062.0)</f>
        <v>45062</v>
      </c>
      <c r="S2408" s="57">
        <f>IFERROR(__xludf.DUMMYFUNCTION("""COMPUTED_VALUE"""),45063.0)</f>
        <v>45063</v>
      </c>
      <c r="T2408" s="57">
        <f>IFERROR(__xludf.DUMMYFUNCTION("""COMPUTED_VALUE"""),45355.0)</f>
        <v>45355</v>
      </c>
    </row>
    <row r="2409">
      <c r="A2409" s="6" t="str">
        <f>IFERROR(__xludf.DUMMYFUNCTION("""COMPUTED_VALUE"""),"231750328-2")</f>
        <v>231750328-2</v>
      </c>
      <c r="B2409" s="6" t="str">
        <f>IFERROR(__xludf.DUMMYFUNCTION("""COMPUTED_VALUE"""),"231750328 - Approved")</f>
        <v>231750328 - Approved</v>
      </c>
      <c r="C2409" s="6">
        <f>IFERROR(__xludf.DUMMYFUNCTION("""COMPUTED_VALUE"""),2.0)</f>
        <v>2</v>
      </c>
      <c r="D2409" s="6" t="str">
        <f>IFERROR(__xludf.DUMMYFUNCTION("""COMPUTED_VALUE"""),"O-16981-00")</f>
        <v>O-16981-00</v>
      </c>
      <c r="E2409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F2409" s="6">
        <f>IFERROR(__xludf.DUMMYFUNCTION("""COMPUTED_VALUE"""),13.0)</f>
        <v>13</v>
      </c>
      <c r="G2409" s="6" t="str">
        <f>IFERROR(__xludf.DUMMYFUNCTION("""COMPUTED_VALUE"""),"Pieces")</f>
        <v>Pieces</v>
      </c>
      <c r="H2409" s="6" t="str">
        <f>IFERROR(__xludf.DUMMYFUNCTION("""COMPUTED_VALUE"""),"IDR")</f>
        <v>IDR</v>
      </c>
      <c r="I2409" s="11">
        <f>IFERROR(__xludf.DUMMYFUNCTION("""COMPUTED_VALUE"""),594700.0)</f>
        <v>594700</v>
      </c>
      <c r="J2409" s="11">
        <f>IFERROR(__xludf.DUMMYFUNCTION("""COMPUTED_VALUE"""),7731100.0)</f>
        <v>7731100</v>
      </c>
      <c r="K2409" s="57">
        <f>IFERROR(__xludf.DUMMYFUNCTION("""COMPUTED_VALUE"""),45076.0)</f>
        <v>45076</v>
      </c>
      <c r="L2409" s="6" t="str">
        <f>IFERROR(__xludf.DUMMYFUNCTION("""COMPUTED_VALUE"""),"FIP Engineering")</f>
        <v>FIP Engineering</v>
      </c>
      <c r="M2409" s="6" t="str">
        <f>IFERROR(__xludf.DUMMYFUNCTION("""COMPUTED_VALUE"""),"Irwan Sopian")</f>
        <v>Irwan Sopian</v>
      </c>
      <c r="N2409" s="6" t="str">
        <f>IFERROR(__xludf.DUMMYFUNCTION("""COMPUTED_VALUE"""),"FIP Engineering")</f>
        <v>FIP Engineering</v>
      </c>
      <c r="O2409" s="6" t="str">
        <f>IFERROR(__xludf.DUMMYFUNCTION("""COMPUTED_VALUE"""),"FIP-DOM-000-11304-OS00001-INA-000000")</f>
        <v>FIP-DOM-000-11304-OS00001-INA-000000</v>
      </c>
      <c r="P2409" s="6" t="str">
        <f>IFERROR(__xludf.DUMMYFUNCTION("""COMPUTED_VALUE"""),"PO Closed")</f>
        <v>PO Closed</v>
      </c>
      <c r="Q2409" s="6" t="str">
        <f>IFERROR(__xludf.DUMMYFUNCTION("""COMPUTED_VALUE"""),"GL2307320")</f>
        <v>GL2307320</v>
      </c>
      <c r="R2409" s="57">
        <f>IFERROR(__xludf.DUMMYFUNCTION("""COMPUTED_VALUE"""),45062.0)</f>
        <v>45062</v>
      </c>
      <c r="S2409" s="57">
        <f>IFERROR(__xludf.DUMMYFUNCTION("""COMPUTED_VALUE"""),45063.0)</f>
        <v>45063</v>
      </c>
      <c r="T2409" s="57">
        <f>IFERROR(__xludf.DUMMYFUNCTION("""COMPUTED_VALUE"""),45355.0)</f>
        <v>45355</v>
      </c>
    </row>
    <row r="2410">
      <c r="A2410" s="6" t="str">
        <f>IFERROR(__xludf.DUMMYFUNCTION("""COMPUTED_VALUE"""),"231750328-3")</f>
        <v>231750328-3</v>
      </c>
      <c r="B2410" s="6" t="str">
        <f>IFERROR(__xludf.DUMMYFUNCTION("""COMPUTED_VALUE"""),"231750328 - Approved")</f>
        <v>231750328 - Approved</v>
      </c>
      <c r="C2410" s="6">
        <f>IFERROR(__xludf.DUMMYFUNCTION("""COMPUTED_VALUE"""),3.0)</f>
        <v>3</v>
      </c>
      <c r="D2410" s="6" t="str">
        <f>IFERROR(__xludf.DUMMYFUNCTION("""COMPUTED_VALUE"""),"O-16982-00")</f>
        <v>O-16982-00</v>
      </c>
      <c r="E2410" s="6" t="str">
        <f>IFERROR(__xludf.DUMMYFUNCTION("""COMPUTED_VALUE"""),"Freeze Dryer MBE1207 - Diaphrapm DA015E2 M4 Saunders CIPTA SOLUSI ANDALAN, PT P/N : - pc - DP008ER")</f>
        <v>Freeze Dryer MBE1207 - Diaphrapm DA015E2 M4 Saunders CIPTA SOLUSI ANDALAN, PT P/N : - pc - DP008ER</v>
      </c>
      <c r="F2410" s="6">
        <f>IFERROR(__xludf.DUMMYFUNCTION("""COMPUTED_VALUE"""),2.0)</f>
        <v>2</v>
      </c>
      <c r="G2410" s="6" t="str">
        <f>IFERROR(__xludf.DUMMYFUNCTION("""COMPUTED_VALUE"""),"Pieces")</f>
        <v>Pieces</v>
      </c>
      <c r="H2410" s="6" t="str">
        <f>IFERROR(__xludf.DUMMYFUNCTION("""COMPUTED_VALUE"""),"IDR")</f>
        <v>IDR</v>
      </c>
      <c r="I2410" s="11">
        <f>IFERROR(__xludf.DUMMYFUNCTION("""COMPUTED_VALUE"""),365600.0)</f>
        <v>365600</v>
      </c>
      <c r="J2410" s="11">
        <f>IFERROR(__xludf.DUMMYFUNCTION("""COMPUTED_VALUE"""),731200.0)</f>
        <v>731200</v>
      </c>
      <c r="K2410" s="57">
        <f>IFERROR(__xludf.DUMMYFUNCTION("""COMPUTED_VALUE"""),45076.0)</f>
        <v>45076</v>
      </c>
      <c r="L2410" s="6" t="str">
        <f>IFERROR(__xludf.DUMMYFUNCTION("""COMPUTED_VALUE"""),"FIP Engineering")</f>
        <v>FIP Engineering</v>
      </c>
      <c r="M2410" s="6" t="str">
        <f>IFERROR(__xludf.DUMMYFUNCTION("""COMPUTED_VALUE"""),"Irwan Sopian")</f>
        <v>Irwan Sopian</v>
      </c>
      <c r="N2410" s="6" t="str">
        <f>IFERROR(__xludf.DUMMYFUNCTION("""COMPUTED_VALUE"""),"FIP Engineering")</f>
        <v>FIP Engineering</v>
      </c>
      <c r="O2410" s="6" t="str">
        <f>IFERROR(__xludf.DUMMYFUNCTION("""COMPUTED_VALUE"""),"FIP-DOM-000-11304-OS00001-INA-000000")</f>
        <v>FIP-DOM-000-11304-OS00001-INA-000000</v>
      </c>
      <c r="P2410" s="6" t="str">
        <f>IFERROR(__xludf.DUMMYFUNCTION("""COMPUTED_VALUE"""),"PO Closed")</f>
        <v>PO Closed</v>
      </c>
      <c r="Q2410" s="6" t="str">
        <f>IFERROR(__xludf.DUMMYFUNCTION("""COMPUTED_VALUE"""),"GL2307320")</f>
        <v>GL2307320</v>
      </c>
      <c r="R2410" s="57">
        <f>IFERROR(__xludf.DUMMYFUNCTION("""COMPUTED_VALUE"""),45062.0)</f>
        <v>45062</v>
      </c>
      <c r="S2410" s="57">
        <f>IFERROR(__xludf.DUMMYFUNCTION("""COMPUTED_VALUE"""),45063.0)</f>
        <v>45063</v>
      </c>
      <c r="T2410" s="57">
        <f>IFERROR(__xludf.DUMMYFUNCTION("""COMPUTED_VALUE"""),45355.0)</f>
        <v>45355</v>
      </c>
    </row>
    <row r="2411">
      <c r="A2411" s="6" t="str">
        <f>IFERROR(__xludf.DUMMYFUNCTION("""COMPUTED_VALUE"""),"231750334-1")</f>
        <v>231750334-1</v>
      </c>
      <c r="B2411" s="6" t="str">
        <f>IFERROR(__xludf.DUMMYFUNCTION("""COMPUTED_VALUE"""),"231750334 - Approved")</f>
        <v>231750334 - Approved</v>
      </c>
      <c r="C2411" s="6">
        <f>IFERROR(__xludf.DUMMYFUNCTION("""COMPUTED_VALUE"""),1.0)</f>
        <v>1</v>
      </c>
      <c r="D2411" s="6" t="str">
        <f>IFERROR(__xludf.DUMMYFUNCTION("""COMPUTED_VALUE"""),"O-52884-00")</f>
        <v>O-52884-00</v>
      </c>
      <c r="E2411" s="6" t="str">
        <f>IFERROR(__xludf.DUMMYFUNCTION("""COMPUTED_VALUE"""),"Filling VFM100 - Laser Sensor World beam QS18VP6LAF250Q5 10-30 VDC; Banner; ;")</f>
        <v>Filling VFM100 - Laser Sensor World beam QS18VP6LAF250Q5 10-30 VDC; Banner; ;</v>
      </c>
      <c r="F2411" s="6">
        <f>IFERROR(__xludf.DUMMYFUNCTION("""COMPUTED_VALUE"""),2.0)</f>
        <v>2</v>
      </c>
      <c r="G2411" s="6" t="str">
        <f>IFERROR(__xludf.DUMMYFUNCTION("""COMPUTED_VALUE"""),"Pieces")</f>
        <v>Pieces</v>
      </c>
      <c r="H2411" s="6" t="str">
        <f>IFERROR(__xludf.DUMMYFUNCTION("""COMPUTED_VALUE"""),"IDR")</f>
        <v>IDR</v>
      </c>
      <c r="I2411" s="11">
        <f>IFERROR(__xludf.DUMMYFUNCTION("""COMPUTED_VALUE"""),7600000.0)</f>
        <v>7600000</v>
      </c>
      <c r="J2411" s="11">
        <f>IFERROR(__xludf.DUMMYFUNCTION("""COMPUTED_VALUE"""),1.52E7)</f>
        <v>15200000</v>
      </c>
      <c r="K2411" s="57">
        <f>IFERROR(__xludf.DUMMYFUNCTION("""COMPUTED_VALUE"""),45132.0)</f>
        <v>45132</v>
      </c>
      <c r="L2411" s="6" t="str">
        <f>IFERROR(__xludf.DUMMYFUNCTION("""COMPUTED_VALUE"""),"FIP Engineering")</f>
        <v>FIP Engineering</v>
      </c>
      <c r="M2411" s="6" t="str">
        <f>IFERROR(__xludf.DUMMYFUNCTION("""COMPUTED_VALUE"""),"Irwan Sopian")</f>
        <v>Irwan Sopian</v>
      </c>
      <c r="N2411" s="6" t="str">
        <f>IFERROR(__xludf.DUMMYFUNCTION("""COMPUTED_VALUE"""),"FIP Engineering")</f>
        <v>FIP Engineering</v>
      </c>
      <c r="O2411" s="6" t="str">
        <f>IFERROR(__xludf.DUMMYFUNCTION("""COMPUTED_VALUE"""),"FIP-DOM-000-11304-OS00001-INA-000000")</f>
        <v>FIP-DOM-000-11304-OS00001-INA-000000</v>
      </c>
      <c r="P2411" s="6" t="str">
        <f>IFERROR(__xludf.DUMMYFUNCTION("""COMPUTED_VALUE"""),"PO Closed")</f>
        <v>PO Closed</v>
      </c>
      <c r="Q2411" s="6" t="str">
        <f>IFERROR(__xludf.DUMMYFUNCTION("""COMPUTED_VALUE"""),"GL2307326")</f>
        <v>GL2307326</v>
      </c>
      <c r="R2411" s="57">
        <f>IFERROR(__xludf.DUMMYFUNCTION("""COMPUTED_VALUE"""),45068.0)</f>
        <v>45068</v>
      </c>
      <c r="S2411" s="57">
        <f>IFERROR(__xludf.DUMMYFUNCTION("""COMPUTED_VALUE"""),45075.0)</f>
        <v>45075</v>
      </c>
      <c r="T2411" s="57">
        <f>IFERROR(__xludf.DUMMYFUNCTION("""COMPUTED_VALUE"""),45270.0)</f>
        <v>45270</v>
      </c>
    </row>
    <row r="2412">
      <c r="A2412" s="6" t="str">
        <f>IFERROR(__xludf.DUMMYFUNCTION("""COMPUTED_VALUE"""),"231750336-1")</f>
        <v>231750336-1</v>
      </c>
      <c r="B2412" s="6" t="str">
        <f>IFERROR(__xludf.DUMMYFUNCTION("""COMPUTED_VALUE"""),"231750336 - Approved")</f>
        <v>231750336 - Approved</v>
      </c>
      <c r="C2412" s="6">
        <f>IFERROR(__xludf.DUMMYFUNCTION("""COMPUTED_VALUE"""),1.0)</f>
        <v>1</v>
      </c>
      <c r="D2412" s="6" t="str">
        <f>IFERROR(__xludf.DUMMYFUNCTION("""COMPUTED_VALUE"""),"P-14424-00")</f>
        <v>P-14424-00</v>
      </c>
      <c r="E2412" s="6" t="str">
        <f>IFERROR(__xludf.DUMMYFUNCTION("""COMPUTED_VALUE"""),"Garam Kutreat RGN-9800F; ; ; 25Kg/zak")</f>
        <v>Garam Kutreat RGN-9800F; ; ; 25Kg/zak</v>
      </c>
      <c r="F2412" s="6">
        <f>IFERROR(__xludf.DUMMYFUNCTION("""COMPUTED_VALUE"""),300.0)</f>
        <v>300</v>
      </c>
      <c r="G2412" s="6" t="str">
        <f>IFERROR(__xludf.DUMMYFUNCTION("""COMPUTED_VALUE"""),"Kilogram")</f>
        <v>Kilogram</v>
      </c>
      <c r="H2412" s="6" t="str">
        <f>IFERROR(__xludf.DUMMYFUNCTION("""COMPUTED_VALUE"""),"IDR")</f>
        <v>IDR</v>
      </c>
      <c r="I2412" s="11">
        <f>IFERROR(__xludf.DUMMYFUNCTION("""COMPUTED_VALUE"""),9500.0)</f>
        <v>9500</v>
      </c>
      <c r="J2412" s="11">
        <f>IFERROR(__xludf.DUMMYFUNCTION("""COMPUTED_VALUE"""),2850000.0)</f>
        <v>2850000</v>
      </c>
      <c r="K2412" s="57">
        <f>IFERROR(__xludf.DUMMYFUNCTION("""COMPUTED_VALUE"""),45097.0)</f>
        <v>45097</v>
      </c>
      <c r="L2412" s="6" t="str">
        <f>IFERROR(__xludf.DUMMYFUNCTION("""COMPUTED_VALUE"""),"FIP Engineering")</f>
        <v>FIP Engineering</v>
      </c>
      <c r="M2412" s="6" t="str">
        <f>IFERROR(__xludf.DUMMYFUNCTION("""COMPUTED_VALUE"""),"Irwan Sopian")</f>
        <v>Irwan Sopian</v>
      </c>
      <c r="N2412" s="6" t="str">
        <f>IFERROR(__xludf.DUMMYFUNCTION("""COMPUTED_VALUE"""),"FIP Engineering")</f>
        <v>FIP Engineering</v>
      </c>
      <c r="O2412" s="6" t="str">
        <f>IFERROR(__xludf.DUMMYFUNCTION("""COMPUTED_VALUE"""),"FIP-DOM-000-11304-OS00001-INA-000000")</f>
        <v>FIP-DOM-000-11304-OS00001-INA-000000</v>
      </c>
      <c r="P2412" s="6" t="str">
        <f>IFERROR(__xludf.DUMMYFUNCTION("""COMPUTED_VALUE"""),"PO Closed")</f>
        <v>PO Closed</v>
      </c>
      <c r="Q2412" s="6" t="str">
        <f>IFERROR(__xludf.DUMMYFUNCTION("""COMPUTED_VALUE"""),"GL2307317")</f>
        <v>GL2307317</v>
      </c>
      <c r="R2412" s="57">
        <f>IFERROR(__xludf.DUMMYFUNCTION("""COMPUTED_VALUE"""),45073.0)</f>
        <v>45073</v>
      </c>
      <c r="S2412" s="57">
        <f>IFERROR(__xludf.DUMMYFUNCTION("""COMPUTED_VALUE"""),45082.0)</f>
        <v>45082</v>
      </c>
      <c r="T2412" s="57">
        <f>IFERROR(__xludf.DUMMYFUNCTION("""COMPUTED_VALUE"""),45122.0)</f>
        <v>45122</v>
      </c>
    </row>
    <row r="2413">
      <c r="A2413" s="6" t="str">
        <f>IFERROR(__xludf.DUMMYFUNCTION("""COMPUTED_VALUE"""),"231750338-1")</f>
        <v>231750338-1</v>
      </c>
      <c r="B2413" s="6" t="str">
        <f>IFERROR(__xludf.DUMMYFUNCTION("""COMPUTED_VALUE"""),"231750338 - Approved")</f>
        <v>231750338 - Approved</v>
      </c>
      <c r="C2413" s="6">
        <f>IFERROR(__xludf.DUMMYFUNCTION("""COMPUTED_VALUE"""),1.0)</f>
        <v>1</v>
      </c>
      <c r="D2413" s="6" t="str">
        <f>IFERROR(__xludf.DUMMYFUNCTION("""COMPUTED_VALUE"""),"O-17995-00")</f>
        <v>O-17995-00</v>
      </c>
      <c r="E2413" s="6" t="str">
        <f>IFERROR(__xludf.DUMMYFUNCTION("""COMPUTED_VALUE"""),"Freeze Dryer MBE1207 - Slot Door Vacuum Gasket dia.12.7 P/N : EB41-00517; ; ;")</f>
        <v>Freeze Dryer MBE1207 - Slot Door Vacuum Gasket dia.12.7 P/N : EB41-00517; ; ;</v>
      </c>
      <c r="F2413" s="6">
        <f>IFERROR(__xludf.DUMMYFUNCTION("""COMPUTED_VALUE"""),12.0)</f>
        <v>12</v>
      </c>
      <c r="G2413" s="6" t="str">
        <f>IFERROR(__xludf.DUMMYFUNCTION("""COMPUTED_VALUE"""),"Meter")</f>
        <v>Meter</v>
      </c>
      <c r="H2413" s="6" t="str">
        <f>IFERROR(__xludf.DUMMYFUNCTION("""COMPUTED_VALUE"""),"IDR")</f>
        <v>IDR</v>
      </c>
      <c r="I2413" s="11">
        <f>IFERROR(__xludf.DUMMYFUNCTION("""COMPUTED_VALUE"""),438977.88)</f>
        <v>438977.88</v>
      </c>
      <c r="J2413" s="11">
        <f>IFERROR(__xludf.DUMMYFUNCTION("""COMPUTED_VALUE"""),5267734.56)</f>
        <v>5267734.56</v>
      </c>
      <c r="K2413" s="57">
        <f>IFERROR(__xludf.DUMMYFUNCTION("""COMPUTED_VALUE"""),45104.0)</f>
        <v>45104</v>
      </c>
      <c r="L2413" s="6" t="str">
        <f>IFERROR(__xludf.DUMMYFUNCTION("""COMPUTED_VALUE"""),"FIP Engineering")</f>
        <v>FIP Engineering</v>
      </c>
      <c r="M2413" s="6" t="str">
        <f>IFERROR(__xludf.DUMMYFUNCTION("""COMPUTED_VALUE"""),"Irwan Sopian")</f>
        <v>Irwan Sopian</v>
      </c>
      <c r="N2413" s="6" t="str">
        <f>IFERROR(__xludf.DUMMYFUNCTION("""COMPUTED_VALUE"""),"FIP Engineering")</f>
        <v>FIP Engineering</v>
      </c>
      <c r="O2413" s="6" t="str">
        <f>IFERROR(__xludf.DUMMYFUNCTION("""COMPUTED_VALUE"""),"FIP-DOM-000-11304-OS00001-INA-000000")</f>
        <v>FIP-DOM-000-11304-OS00001-INA-000000</v>
      </c>
      <c r="P2413" s="6" t="str">
        <f>IFERROR(__xludf.DUMMYFUNCTION("""COMPUTED_VALUE"""),"PO Closed")</f>
        <v>PO Closed</v>
      </c>
      <c r="Q2413" s="6" t="str">
        <f>IFERROR(__xludf.DUMMYFUNCTION("""COMPUTED_VALUE"""),"GL2306013")</f>
        <v>GL2306013</v>
      </c>
      <c r="R2413" s="57">
        <f>IFERROR(__xludf.DUMMYFUNCTION("""COMPUTED_VALUE"""),45073.0)</f>
        <v>45073</v>
      </c>
      <c r="S2413" s="57">
        <f>IFERROR(__xludf.DUMMYFUNCTION("""COMPUTED_VALUE"""),45082.0)</f>
        <v>45082</v>
      </c>
      <c r="T2413" s="57">
        <f>IFERROR(__xludf.DUMMYFUNCTION("""COMPUTED_VALUE"""),45189.0)</f>
        <v>45189</v>
      </c>
    </row>
    <row r="2414">
      <c r="A2414" s="6" t="str">
        <f>IFERROR(__xludf.DUMMYFUNCTION("""COMPUTED_VALUE"""),"231750338-2")</f>
        <v>231750338-2</v>
      </c>
      <c r="B2414" s="6" t="str">
        <f>IFERROR(__xludf.DUMMYFUNCTION("""COMPUTED_VALUE"""),"231750338 - Approved")</f>
        <v>231750338 - Approved</v>
      </c>
      <c r="C2414" s="6">
        <f>IFERROR(__xludf.DUMMYFUNCTION("""COMPUTED_VALUE"""),2.0)</f>
        <v>2</v>
      </c>
      <c r="D2414" s="6" t="str">
        <f>IFERROR(__xludf.DUMMYFUNCTION("""COMPUTED_VALUE"""),"P-18667-00")</f>
        <v>P-18667-00</v>
      </c>
      <c r="E2414" s="6" t="str">
        <f>IFERROR(__xludf.DUMMYFUNCTION("""COMPUTED_VALUE"""),"Freeze Dryer MBE1207 - Gasket Slot Door Silicone dia 13 mm; ; ;")</f>
        <v>Freeze Dryer MBE1207 - Gasket Slot Door Silicone dia 13 mm; ; ;</v>
      </c>
      <c r="F2414" s="6">
        <f>IFERROR(__xludf.DUMMYFUNCTION("""COMPUTED_VALUE"""),4.0)</f>
        <v>4</v>
      </c>
      <c r="G2414" s="6" t="str">
        <f>IFERROR(__xludf.DUMMYFUNCTION("""COMPUTED_VALUE"""),"Meter")</f>
        <v>Meter</v>
      </c>
      <c r="H2414" s="6" t="str">
        <f>IFERROR(__xludf.DUMMYFUNCTION("""COMPUTED_VALUE"""),"IDR")</f>
        <v>IDR</v>
      </c>
      <c r="I2414" s="11">
        <f>IFERROR(__xludf.DUMMYFUNCTION("""COMPUTED_VALUE"""),500000.0)</f>
        <v>500000</v>
      </c>
      <c r="J2414" s="11">
        <f>IFERROR(__xludf.DUMMYFUNCTION("""COMPUTED_VALUE"""),2000000.0)</f>
        <v>2000000</v>
      </c>
      <c r="K2414" s="57">
        <f>IFERROR(__xludf.DUMMYFUNCTION("""COMPUTED_VALUE"""),45104.0)</f>
        <v>45104</v>
      </c>
      <c r="L2414" s="6" t="str">
        <f>IFERROR(__xludf.DUMMYFUNCTION("""COMPUTED_VALUE"""),"FIP Engineering")</f>
        <v>FIP Engineering</v>
      </c>
      <c r="M2414" s="6" t="str">
        <f>IFERROR(__xludf.DUMMYFUNCTION("""COMPUTED_VALUE"""),"Irwan Sopian")</f>
        <v>Irwan Sopian</v>
      </c>
      <c r="N2414" s="6" t="str">
        <f>IFERROR(__xludf.DUMMYFUNCTION("""COMPUTED_VALUE"""),"FIP Engineering")</f>
        <v>FIP Engineering</v>
      </c>
      <c r="O2414" s="6" t="str">
        <f>IFERROR(__xludf.DUMMYFUNCTION("""COMPUTED_VALUE"""),"FIP-DOM-000-11304-OS00001-INA-000000")</f>
        <v>FIP-DOM-000-11304-OS00001-INA-000000</v>
      </c>
      <c r="P2414" s="6" t="str">
        <f>IFERROR(__xludf.DUMMYFUNCTION("""COMPUTED_VALUE"""),"PO Closed")</f>
        <v>PO Closed</v>
      </c>
      <c r="Q2414" s="6" t="str">
        <f>IFERROR(__xludf.DUMMYFUNCTION("""COMPUTED_VALUE"""),"GL2306013")</f>
        <v>GL2306013</v>
      </c>
      <c r="R2414" s="57">
        <f>IFERROR(__xludf.DUMMYFUNCTION("""COMPUTED_VALUE"""),45073.0)</f>
        <v>45073</v>
      </c>
      <c r="S2414" s="57">
        <f>IFERROR(__xludf.DUMMYFUNCTION("""COMPUTED_VALUE"""),45082.0)</f>
        <v>45082</v>
      </c>
      <c r="T2414" s="57">
        <f>IFERROR(__xludf.DUMMYFUNCTION("""COMPUTED_VALUE"""),45189.0)</f>
        <v>45189</v>
      </c>
    </row>
    <row r="2415">
      <c r="A2415" s="6" t="str">
        <f>IFERROR(__xludf.DUMMYFUNCTION("""COMPUTED_VALUE"""),"231750339-1")</f>
        <v>231750339-1</v>
      </c>
      <c r="B2415" s="6" t="str">
        <f>IFERROR(__xludf.DUMMYFUNCTION("""COMPUTED_VALUE"""),"231750339 - Approved")</f>
        <v>231750339 - Approved</v>
      </c>
      <c r="C2415" s="6">
        <f>IFERROR(__xludf.DUMMYFUNCTION("""COMPUTED_VALUE"""),1.0)</f>
        <v>1</v>
      </c>
      <c r="D2415" s="6" t="str">
        <f>IFERROR(__xludf.DUMMYFUNCTION("""COMPUTED_VALUE"""),"P-15371-00")</f>
        <v>P-15371-00</v>
      </c>
      <c r="E2415" s="6" t="str">
        <f>IFERROR(__xludf.DUMMYFUNCTION("""COMPUTED_VALUE"""),"Fedegari - Seal Door; ; ;")</f>
        <v>Fedegari - Seal Door; ; ;</v>
      </c>
      <c r="F2415" s="6">
        <f>IFERROR(__xludf.DUMMYFUNCTION("""COMPUTED_VALUE"""),5.0)</f>
        <v>5</v>
      </c>
      <c r="G2415" s="6" t="str">
        <f>IFERROR(__xludf.DUMMYFUNCTION("""COMPUTED_VALUE"""),"Pieces")</f>
        <v>Pieces</v>
      </c>
      <c r="H2415" s="6" t="str">
        <f>IFERROR(__xludf.DUMMYFUNCTION("""COMPUTED_VALUE"""),"IDR")</f>
        <v>IDR</v>
      </c>
      <c r="I2415" s="11">
        <f>IFERROR(__xludf.DUMMYFUNCTION("""COMPUTED_VALUE"""),1750000.0)</f>
        <v>1750000</v>
      </c>
      <c r="J2415" s="11">
        <f>IFERROR(__xludf.DUMMYFUNCTION("""COMPUTED_VALUE"""),8750000.0)</f>
        <v>8750000</v>
      </c>
      <c r="K2415" s="57">
        <f>IFERROR(__xludf.DUMMYFUNCTION("""COMPUTED_VALUE"""),45107.0)</f>
        <v>45107</v>
      </c>
      <c r="L2415" s="6" t="str">
        <f>IFERROR(__xludf.DUMMYFUNCTION("""COMPUTED_VALUE"""),"FIP Engineering")</f>
        <v>FIP Engineering</v>
      </c>
      <c r="M2415" s="6" t="str">
        <f>IFERROR(__xludf.DUMMYFUNCTION("""COMPUTED_VALUE"""),"Irwan Sopian")</f>
        <v>Irwan Sopian</v>
      </c>
      <c r="N2415" s="6" t="str">
        <f>IFERROR(__xludf.DUMMYFUNCTION("""COMPUTED_VALUE"""),"FIP Engineering")</f>
        <v>FIP Engineering</v>
      </c>
      <c r="O2415" s="6" t="str">
        <f>IFERROR(__xludf.DUMMYFUNCTION("""COMPUTED_VALUE"""),"FIP-DOM-000-11304-OS00001-INA-000000")</f>
        <v>FIP-DOM-000-11304-OS00001-INA-000000</v>
      </c>
      <c r="P2415" s="6" t="str">
        <f>IFERROR(__xludf.DUMMYFUNCTION("""COMPUTED_VALUE"""),"PO Closed")</f>
        <v>PO Closed</v>
      </c>
      <c r="Q2415" s="6" t="str">
        <f>IFERROR(__xludf.DUMMYFUNCTION("""COMPUTED_VALUE"""),"GL2306013")</f>
        <v>GL2306013</v>
      </c>
      <c r="R2415" s="57">
        <f>IFERROR(__xludf.DUMMYFUNCTION("""COMPUTED_VALUE"""),45073.0)</f>
        <v>45073</v>
      </c>
      <c r="S2415" s="57">
        <f>IFERROR(__xludf.DUMMYFUNCTION("""COMPUTED_VALUE"""),45082.0)</f>
        <v>45082</v>
      </c>
      <c r="T2415" s="57">
        <f>IFERROR(__xludf.DUMMYFUNCTION("""COMPUTED_VALUE"""),45189.0)</f>
        <v>45189</v>
      </c>
    </row>
    <row r="2416">
      <c r="A2416" s="6" t="str">
        <f>IFERROR(__xludf.DUMMYFUNCTION("""COMPUTED_VALUE"""),"231750340-1")</f>
        <v>231750340-1</v>
      </c>
      <c r="B2416" s="6" t="str">
        <f>IFERROR(__xludf.DUMMYFUNCTION("""COMPUTED_VALUE"""),"231750340 - Approved")</f>
        <v>231750340 - Approved</v>
      </c>
      <c r="C2416" s="6">
        <f>IFERROR(__xludf.DUMMYFUNCTION("""COMPUTED_VALUE"""),1.0)</f>
        <v>1</v>
      </c>
      <c r="D2416" s="6" t="str">
        <f>IFERROR(__xludf.DUMMYFUNCTION("""COMPUTED_VALUE"""),"O-51750-00")</f>
        <v>O-51750-00</v>
      </c>
      <c r="E2416" s="6" t="str">
        <f>IFERROR(__xludf.DUMMYFUNCTION("""COMPUTED_VALUE"""),"PHOTOCELL SENSOR WITH REFLECTOR PZ-G62CP WITH R-5 Code: PZ-G62CP+R-5")</f>
        <v>PHOTOCELL SENSOR WITH REFLECTOR PZ-G62CP WITH R-5 Code: PZ-G62CP+R-5</v>
      </c>
      <c r="F2416" s="6">
        <f>IFERROR(__xludf.DUMMYFUNCTION("""COMPUTED_VALUE"""),2.0)</f>
        <v>2</v>
      </c>
      <c r="G2416" s="6" t="str">
        <f>IFERROR(__xludf.DUMMYFUNCTION("""COMPUTED_VALUE"""),"Unit")</f>
        <v>Unit</v>
      </c>
      <c r="H2416" s="6" t="str">
        <f>IFERROR(__xludf.DUMMYFUNCTION("""COMPUTED_VALUE"""),"IDR")</f>
        <v>IDR</v>
      </c>
      <c r="I2416" s="11">
        <f>IFERROR(__xludf.DUMMYFUNCTION("""COMPUTED_VALUE"""),2440000.0)</f>
        <v>2440000</v>
      </c>
      <c r="J2416" s="11">
        <f>IFERROR(__xludf.DUMMYFUNCTION("""COMPUTED_VALUE"""),4880000.0)</f>
        <v>4880000</v>
      </c>
      <c r="K2416" s="57">
        <f>IFERROR(__xludf.DUMMYFUNCTION("""COMPUTED_VALUE"""),45107.0)</f>
        <v>45107</v>
      </c>
      <c r="L2416" s="6" t="str">
        <f>IFERROR(__xludf.DUMMYFUNCTION("""COMPUTED_VALUE"""),"FIP Engineering")</f>
        <v>FIP Engineering</v>
      </c>
      <c r="M2416" s="6" t="str">
        <f>IFERROR(__xludf.DUMMYFUNCTION("""COMPUTED_VALUE"""),"Irwan Sopian")</f>
        <v>Irwan Sopian</v>
      </c>
      <c r="N2416" s="6" t="str">
        <f>IFERROR(__xludf.DUMMYFUNCTION("""COMPUTED_VALUE"""),"FIP Engineering")</f>
        <v>FIP Engineering</v>
      </c>
      <c r="O2416" s="6" t="str">
        <f>IFERROR(__xludf.DUMMYFUNCTION("""COMPUTED_VALUE"""),"FIP-DOM-000-11304-OS00001-INA-000000")</f>
        <v>FIP-DOM-000-11304-OS00001-INA-000000</v>
      </c>
      <c r="P2416" s="6" t="str">
        <f>IFERROR(__xludf.DUMMYFUNCTION("""COMPUTED_VALUE"""),"PO Closed")</f>
        <v>PO Closed</v>
      </c>
      <c r="Q2416" s="6" t="str">
        <f>IFERROR(__xludf.DUMMYFUNCTION("""COMPUTED_VALUE"""),"GL2307322")</f>
        <v>GL2307322</v>
      </c>
      <c r="R2416" s="57">
        <f>IFERROR(__xludf.DUMMYFUNCTION("""COMPUTED_VALUE"""),45073.0)</f>
        <v>45073</v>
      </c>
      <c r="S2416" s="57">
        <f>IFERROR(__xludf.DUMMYFUNCTION("""COMPUTED_VALUE"""),45082.0)</f>
        <v>45082</v>
      </c>
      <c r="T2416" s="57">
        <f>IFERROR(__xludf.DUMMYFUNCTION("""COMPUTED_VALUE"""),45184.0)</f>
        <v>45184</v>
      </c>
    </row>
    <row r="2417">
      <c r="A2417" s="6" t="str">
        <f>IFERROR(__xludf.DUMMYFUNCTION("""COMPUTED_VALUE"""),"231750340-2")</f>
        <v>231750340-2</v>
      </c>
      <c r="B2417" s="6" t="str">
        <f>IFERROR(__xludf.DUMMYFUNCTION("""COMPUTED_VALUE"""),"231750340 - Approved")</f>
        <v>231750340 - Approved</v>
      </c>
      <c r="C2417" s="6">
        <f>IFERROR(__xludf.DUMMYFUNCTION("""COMPUTED_VALUE"""),2.0)</f>
        <v>2</v>
      </c>
      <c r="D2417" s="6" t="str">
        <f>IFERROR(__xludf.DUMMYFUNCTION("""COMPUTED_VALUE"""),"O-54116-00")</f>
        <v>O-54116-00</v>
      </c>
      <c r="E2417" s="6" t="str">
        <f>IFERROR(__xludf.DUMMYFUNCTION("""COMPUTED_VALUE"""),"Fiber Reflective -; KEYENCE; FU-67V;")</f>
        <v>Fiber Reflective -; KEYENCE; FU-67V;</v>
      </c>
      <c r="F2417" s="6">
        <f>IFERROR(__xludf.DUMMYFUNCTION("""COMPUTED_VALUE"""),2.0)</f>
        <v>2</v>
      </c>
      <c r="G2417" s="6" t="str">
        <f>IFERROR(__xludf.DUMMYFUNCTION("""COMPUTED_VALUE"""),"Pieces")</f>
        <v>Pieces</v>
      </c>
      <c r="H2417" s="6" t="str">
        <f>IFERROR(__xludf.DUMMYFUNCTION("""COMPUTED_VALUE"""),"IDR")</f>
        <v>IDR</v>
      </c>
      <c r="I2417" s="11">
        <f>IFERROR(__xludf.DUMMYFUNCTION("""COMPUTED_VALUE"""),894600.0)</f>
        <v>894600</v>
      </c>
      <c r="J2417" s="11">
        <f>IFERROR(__xludf.DUMMYFUNCTION("""COMPUTED_VALUE"""),1789200.0)</f>
        <v>1789200</v>
      </c>
      <c r="K2417" s="57">
        <f>IFERROR(__xludf.DUMMYFUNCTION("""COMPUTED_VALUE"""),45107.0)</f>
        <v>45107</v>
      </c>
      <c r="L2417" s="6" t="str">
        <f>IFERROR(__xludf.DUMMYFUNCTION("""COMPUTED_VALUE"""),"FIP Engineering")</f>
        <v>FIP Engineering</v>
      </c>
      <c r="M2417" s="6" t="str">
        <f>IFERROR(__xludf.DUMMYFUNCTION("""COMPUTED_VALUE"""),"Irwan Sopian")</f>
        <v>Irwan Sopian</v>
      </c>
      <c r="N2417" s="6" t="str">
        <f>IFERROR(__xludf.DUMMYFUNCTION("""COMPUTED_VALUE"""),"FIP Engineering")</f>
        <v>FIP Engineering</v>
      </c>
      <c r="O2417" s="6" t="str">
        <f>IFERROR(__xludf.DUMMYFUNCTION("""COMPUTED_VALUE"""),"FIP-DOM-000-11304-OS00001-INA-000000")</f>
        <v>FIP-DOM-000-11304-OS00001-INA-000000</v>
      </c>
      <c r="P2417" s="6" t="str">
        <f>IFERROR(__xludf.DUMMYFUNCTION("""COMPUTED_VALUE"""),"PO Closed")</f>
        <v>PO Closed</v>
      </c>
      <c r="Q2417" s="6" t="str">
        <f>IFERROR(__xludf.DUMMYFUNCTION("""COMPUTED_VALUE"""),"GL2307322")</f>
        <v>GL2307322</v>
      </c>
      <c r="R2417" s="57">
        <f>IFERROR(__xludf.DUMMYFUNCTION("""COMPUTED_VALUE"""),45073.0)</f>
        <v>45073</v>
      </c>
      <c r="S2417" s="57">
        <f>IFERROR(__xludf.DUMMYFUNCTION("""COMPUTED_VALUE"""),45082.0)</f>
        <v>45082</v>
      </c>
      <c r="T2417" s="57">
        <f>IFERROR(__xludf.DUMMYFUNCTION("""COMPUTED_VALUE"""),45184.0)</f>
        <v>45184</v>
      </c>
    </row>
    <row r="2418">
      <c r="A2418" s="6" t="str">
        <f>IFERROR(__xludf.DUMMYFUNCTION("""COMPUTED_VALUE"""),"231750340-3")</f>
        <v>231750340-3</v>
      </c>
      <c r="B2418" s="6" t="str">
        <f>IFERROR(__xludf.DUMMYFUNCTION("""COMPUTED_VALUE"""),"231750340 - Approved")</f>
        <v>231750340 - Approved</v>
      </c>
      <c r="C2418" s="6">
        <f>IFERROR(__xludf.DUMMYFUNCTION("""COMPUTED_VALUE"""),3.0)</f>
        <v>3</v>
      </c>
      <c r="D2418" s="6" t="str">
        <f>IFERROR(__xludf.DUMMYFUNCTION("""COMPUTED_VALUE"""),"O-54115-00")</f>
        <v>O-54115-00</v>
      </c>
      <c r="E2418" s="6" t="str">
        <f>IFERROR(__xludf.DUMMYFUNCTION("""COMPUTED_VALUE"""),"Fiber Amplifier -; KEYENCE; FS-V31CP;")</f>
        <v>Fiber Amplifier -; KEYENCE; FS-V31CP;</v>
      </c>
      <c r="F2418" s="6">
        <f>IFERROR(__xludf.DUMMYFUNCTION("""COMPUTED_VALUE"""),2.0)</f>
        <v>2</v>
      </c>
      <c r="G2418" s="6" t="str">
        <f>IFERROR(__xludf.DUMMYFUNCTION("""COMPUTED_VALUE"""),"Pieces")</f>
        <v>Pieces</v>
      </c>
      <c r="H2418" s="6" t="str">
        <f>IFERROR(__xludf.DUMMYFUNCTION("""COMPUTED_VALUE"""),"IDR")</f>
        <v>IDR</v>
      </c>
      <c r="I2418" s="11">
        <f>IFERROR(__xludf.DUMMYFUNCTION("""COMPUTED_VALUE"""),2200000.0)</f>
        <v>2200000</v>
      </c>
      <c r="J2418" s="11">
        <f>IFERROR(__xludf.DUMMYFUNCTION("""COMPUTED_VALUE"""),4400000.0)</f>
        <v>4400000</v>
      </c>
      <c r="K2418" s="57">
        <f>IFERROR(__xludf.DUMMYFUNCTION("""COMPUTED_VALUE"""),45107.0)</f>
        <v>45107</v>
      </c>
      <c r="L2418" s="6" t="str">
        <f>IFERROR(__xludf.DUMMYFUNCTION("""COMPUTED_VALUE"""),"FIP Engineering")</f>
        <v>FIP Engineering</v>
      </c>
      <c r="M2418" s="6" t="str">
        <f>IFERROR(__xludf.DUMMYFUNCTION("""COMPUTED_VALUE"""),"Irwan Sopian")</f>
        <v>Irwan Sopian</v>
      </c>
      <c r="N2418" s="6" t="str">
        <f>IFERROR(__xludf.DUMMYFUNCTION("""COMPUTED_VALUE"""),"FIP Engineering")</f>
        <v>FIP Engineering</v>
      </c>
      <c r="O2418" s="6" t="str">
        <f>IFERROR(__xludf.DUMMYFUNCTION("""COMPUTED_VALUE"""),"FIP-DOM-000-11304-OS00001-INA-000000")</f>
        <v>FIP-DOM-000-11304-OS00001-INA-000000</v>
      </c>
      <c r="P2418" s="6" t="str">
        <f>IFERROR(__xludf.DUMMYFUNCTION("""COMPUTED_VALUE"""),"PO Closed")</f>
        <v>PO Closed</v>
      </c>
      <c r="Q2418" s="6" t="str">
        <f>IFERROR(__xludf.DUMMYFUNCTION("""COMPUTED_VALUE"""),"GL2307322")</f>
        <v>GL2307322</v>
      </c>
      <c r="R2418" s="57">
        <f>IFERROR(__xludf.DUMMYFUNCTION("""COMPUTED_VALUE"""),45073.0)</f>
        <v>45073</v>
      </c>
      <c r="S2418" s="57">
        <f>IFERROR(__xludf.DUMMYFUNCTION("""COMPUTED_VALUE"""),45082.0)</f>
        <v>45082</v>
      </c>
      <c r="T2418" s="57">
        <f>IFERROR(__xludf.DUMMYFUNCTION("""COMPUTED_VALUE"""),45184.0)</f>
        <v>45184</v>
      </c>
    </row>
    <row r="2419">
      <c r="A2419" s="6" t="str">
        <f>IFERROR(__xludf.DUMMYFUNCTION("""COMPUTED_VALUE"""),"231750341-1")</f>
        <v>231750341-1</v>
      </c>
      <c r="B2419" s="6" t="str">
        <f>IFERROR(__xludf.DUMMYFUNCTION("""COMPUTED_VALUE"""),"231750341 - Approved")</f>
        <v>231750341 - Approved</v>
      </c>
      <c r="C2419" s="6">
        <f>IFERROR(__xludf.DUMMYFUNCTION("""COMPUTED_VALUE"""),1.0)</f>
        <v>1</v>
      </c>
      <c r="D2419" s="6" t="str">
        <f>IFERROR(__xludf.DUMMYFUNCTION("""COMPUTED_VALUE"""),"O-16658-00")</f>
        <v>O-16658-00</v>
      </c>
      <c r="E2419" s="6" t="str">
        <f>IFERROR(__xludf.DUMMYFUNCTION("""COMPUTED_VALUE"""),"Cylinder Compact ADNGF-16-15-P-A FESTO P/N : 554214 pc")</f>
        <v>Cylinder Compact ADNGF-16-15-P-A FESTO P/N : 554214 pc</v>
      </c>
      <c r="F2419" s="6">
        <f>IFERROR(__xludf.DUMMYFUNCTION("""COMPUTED_VALUE"""),2.0)</f>
        <v>2</v>
      </c>
      <c r="G2419" s="6" t="str">
        <f>IFERROR(__xludf.DUMMYFUNCTION("""COMPUTED_VALUE"""),"Pieces")</f>
        <v>Pieces</v>
      </c>
      <c r="H2419" s="6" t="str">
        <f>IFERROR(__xludf.DUMMYFUNCTION("""COMPUTED_VALUE"""),"IDR")</f>
        <v>IDR</v>
      </c>
      <c r="I2419" s="11">
        <f>IFERROR(__xludf.DUMMYFUNCTION("""COMPUTED_VALUE"""),1081966.0)</f>
        <v>1081966</v>
      </c>
      <c r="J2419" s="11">
        <f>IFERROR(__xludf.DUMMYFUNCTION("""COMPUTED_VALUE"""),2163932.0)</f>
        <v>2163932</v>
      </c>
      <c r="K2419" s="57">
        <f>IFERROR(__xludf.DUMMYFUNCTION("""COMPUTED_VALUE"""),45104.0)</f>
        <v>45104</v>
      </c>
      <c r="L2419" s="6" t="str">
        <f>IFERROR(__xludf.DUMMYFUNCTION("""COMPUTED_VALUE"""),"FIP Engineering")</f>
        <v>FIP Engineering</v>
      </c>
      <c r="M2419" s="6" t="str">
        <f>IFERROR(__xludf.DUMMYFUNCTION("""COMPUTED_VALUE"""),"Irwan Sopian")</f>
        <v>Irwan Sopian</v>
      </c>
      <c r="N2419" s="6" t="str">
        <f>IFERROR(__xludf.DUMMYFUNCTION("""COMPUTED_VALUE"""),"FIP Engineering")</f>
        <v>FIP Engineering</v>
      </c>
      <c r="O2419" s="6" t="str">
        <f>IFERROR(__xludf.DUMMYFUNCTION("""COMPUTED_VALUE"""),"FIP-DOM-000-11304-OS00001-INA-000000")</f>
        <v>FIP-DOM-000-11304-OS00001-INA-000000</v>
      </c>
      <c r="P2419" s="6" t="str">
        <f>IFERROR(__xludf.DUMMYFUNCTION("""COMPUTED_VALUE"""),"PO Closed")</f>
        <v>PO Closed</v>
      </c>
      <c r="Q2419" s="6" t="str">
        <f>IFERROR(__xludf.DUMMYFUNCTION("""COMPUTED_VALUE"""),"GL2308344")</f>
        <v>GL2308344</v>
      </c>
      <c r="R2419" s="57">
        <f>IFERROR(__xludf.DUMMYFUNCTION("""COMPUTED_VALUE"""),45073.0)</f>
        <v>45073</v>
      </c>
      <c r="S2419" s="57">
        <f>IFERROR(__xludf.DUMMYFUNCTION("""COMPUTED_VALUE"""),45082.0)</f>
        <v>45082</v>
      </c>
      <c r="T2419" s="57">
        <f>IFERROR(__xludf.DUMMYFUNCTION("""COMPUTED_VALUE"""),45184.0)</f>
        <v>45184</v>
      </c>
    </row>
    <row r="2420">
      <c r="A2420" s="6" t="str">
        <f>IFERROR(__xludf.DUMMYFUNCTION("""COMPUTED_VALUE"""),"231750349-1")</f>
        <v>231750349-1</v>
      </c>
      <c r="B2420" s="6" t="str">
        <f>IFERROR(__xludf.DUMMYFUNCTION("""COMPUTED_VALUE"""),"231750349 - Approved")</f>
        <v>231750349 - Approved</v>
      </c>
      <c r="C2420" s="6">
        <f>IFERROR(__xludf.DUMMYFUNCTION("""COMPUTED_VALUE"""),1.0)</f>
        <v>1</v>
      </c>
      <c r="D2420" s="6" t="str">
        <f>IFERROR(__xludf.DUMMYFUNCTION("""COMPUTED_VALUE"""),"P-18470-00")</f>
        <v>P-18470-00</v>
      </c>
      <c r="E2420" s="6" t="str">
        <f>IFERROR(__xludf.DUMMYFUNCTION("""COMPUTED_VALUE"""),"Misumi - HXNHFFLT-SUS-M5-10; ; ;")</f>
        <v>Misumi - HXNHFFLT-SUS-M5-10; ; ;</v>
      </c>
      <c r="F2420" s="6">
        <f>IFERROR(__xludf.DUMMYFUNCTION("""COMPUTED_VALUE"""),40.0)</f>
        <v>40</v>
      </c>
      <c r="G2420" s="6" t="str">
        <f>IFERROR(__xludf.DUMMYFUNCTION("""COMPUTED_VALUE"""),"Pieces")</f>
        <v>Pieces</v>
      </c>
      <c r="H2420" s="6" t="str">
        <f>IFERROR(__xludf.DUMMYFUNCTION("""COMPUTED_VALUE"""),"IDR")</f>
        <v>IDR</v>
      </c>
      <c r="I2420" s="11">
        <f>IFERROR(__xludf.DUMMYFUNCTION("""COMPUTED_VALUE"""),100000.0)</f>
        <v>100000</v>
      </c>
      <c r="J2420" s="11">
        <f>IFERROR(__xludf.DUMMYFUNCTION("""COMPUTED_VALUE"""),4000000.0)</f>
        <v>4000000</v>
      </c>
      <c r="K2420" s="57">
        <f>IFERROR(__xludf.DUMMYFUNCTION("""COMPUTED_VALUE"""),45097.0)</f>
        <v>45097</v>
      </c>
      <c r="L2420" s="6" t="str">
        <f>IFERROR(__xludf.DUMMYFUNCTION("""COMPUTED_VALUE"""),"FIP Engineering")</f>
        <v>FIP Engineering</v>
      </c>
      <c r="M2420" s="6" t="str">
        <f>IFERROR(__xludf.DUMMYFUNCTION("""COMPUTED_VALUE"""),"Irwan Sopian")</f>
        <v>Irwan Sopian</v>
      </c>
      <c r="N2420" s="6" t="str">
        <f>IFERROR(__xludf.DUMMYFUNCTION("""COMPUTED_VALUE"""),"FIP Engineering")</f>
        <v>FIP Engineering</v>
      </c>
      <c r="O2420" s="6" t="str">
        <f>IFERROR(__xludf.DUMMYFUNCTION("""COMPUTED_VALUE"""),"FIP-DOM-000-11304-OS00001-INA-000000")</f>
        <v>FIP-DOM-000-11304-OS00001-INA-000000</v>
      </c>
      <c r="P2420" s="6" t="str">
        <f>IFERROR(__xludf.DUMMYFUNCTION("""COMPUTED_VALUE"""),"PO Closed")</f>
        <v>PO Closed</v>
      </c>
      <c r="Q2420" s="6" t="str">
        <f>IFERROR(__xludf.DUMMYFUNCTION("""COMPUTED_VALUE"""),"GL2307325")</f>
        <v>GL2307325</v>
      </c>
      <c r="R2420" s="57">
        <f>IFERROR(__xludf.DUMMYFUNCTION("""COMPUTED_VALUE"""),45078.0)</f>
        <v>45078</v>
      </c>
      <c r="S2420" s="57">
        <f>IFERROR(__xludf.DUMMYFUNCTION("""COMPUTED_VALUE"""),45082.0)</f>
        <v>45082</v>
      </c>
      <c r="T2420" s="57">
        <f>IFERROR(__xludf.DUMMYFUNCTION("""COMPUTED_VALUE"""),45143.0)</f>
        <v>45143</v>
      </c>
    </row>
    <row r="2421">
      <c r="A2421" s="6" t="str">
        <f>IFERROR(__xludf.DUMMYFUNCTION("""COMPUTED_VALUE"""),"231750350-1")</f>
        <v>231750350-1</v>
      </c>
      <c r="B2421" s="6" t="str">
        <f>IFERROR(__xludf.DUMMYFUNCTION("""COMPUTED_VALUE"""),"231750350 - Approved")</f>
        <v>231750350 - Approved</v>
      </c>
      <c r="C2421" s="6">
        <f>IFERROR(__xludf.DUMMYFUNCTION("""COMPUTED_VALUE"""),1.0)</f>
        <v>1</v>
      </c>
      <c r="D2421" s="6" t="str">
        <f>IFERROR(__xludf.DUMMYFUNCTION("""COMPUTED_VALUE"""),"S-60002-00")</f>
        <v>S-60002-00</v>
      </c>
      <c r="E2421" s="6" t="str">
        <f>IFERROR(__xludf.DUMMYFUNCTION("""COMPUTED_VALUE"""),"Jasa Perbaikan dan Pemeliharaan Mesin Utility - Material For Jasa ECM-1000 Electronic Enclosure Cooling Module (AC Panel) 1000 BTU/H 220-240VAC 1PHASE 50HZ")</f>
        <v>Jasa Perbaikan dan Pemeliharaan Mesin Utility - Material For Jasa ECM-1000 Electronic Enclosure Cooling Module (AC Panel) 1000 BTU/H 220-240VAC 1PHASE 50HZ</v>
      </c>
      <c r="F2421" s="6">
        <f>IFERROR(__xludf.DUMMYFUNCTION("""COMPUTED_VALUE"""),1.0)</f>
        <v>1</v>
      </c>
      <c r="G2421" s="6" t="str">
        <f>IFERROR(__xludf.DUMMYFUNCTION("""COMPUTED_VALUE"""),"Lot")</f>
        <v>Lot</v>
      </c>
      <c r="H2421" s="6" t="str">
        <f>IFERROR(__xludf.DUMMYFUNCTION("""COMPUTED_VALUE"""),"IDR")</f>
        <v>IDR</v>
      </c>
      <c r="I2421" s="11">
        <f>IFERROR(__xludf.DUMMYFUNCTION("""COMPUTED_VALUE"""),1.4E7)</f>
        <v>14000000</v>
      </c>
      <c r="J2421" s="11">
        <f>IFERROR(__xludf.DUMMYFUNCTION("""COMPUTED_VALUE"""),1.4E7)</f>
        <v>14000000</v>
      </c>
      <c r="K2421" s="57">
        <f>IFERROR(__xludf.DUMMYFUNCTION("""COMPUTED_VALUE"""),45104.0)</f>
        <v>45104</v>
      </c>
      <c r="L2421" s="6" t="str">
        <f>IFERROR(__xludf.DUMMYFUNCTION("""COMPUTED_VALUE"""),"FIP General")</f>
        <v>FIP General</v>
      </c>
      <c r="M2421" s="6" t="str">
        <f>IFERROR(__xludf.DUMMYFUNCTION("""COMPUTED_VALUE"""),"Irwan Sopian")</f>
        <v>Irwan Sopian</v>
      </c>
      <c r="N2421" s="6" t="str">
        <f>IFERROR(__xludf.DUMMYFUNCTION("""COMPUTED_VALUE"""),"FIP Engineering")</f>
        <v>FIP Engineering</v>
      </c>
      <c r="O2421" s="6" t="str">
        <f>IFERROR(__xludf.DUMMYFUNCTION("""COMPUTED_VALUE"""),"FIP-DOM-ENG-51508-0000000-INA-000000")</f>
        <v>FIP-DOM-ENG-51508-0000000-INA-000000</v>
      </c>
      <c r="P2421" s="6" t="str">
        <f>IFERROR(__xludf.DUMMYFUNCTION("""COMPUTED_VALUE"""),"PO Closed")</f>
        <v>PO Closed</v>
      </c>
      <c r="Q2421" s="6" t="str">
        <f>IFERROR(__xludf.DUMMYFUNCTION("""COMPUTED_VALUE"""),"GL2307041")</f>
        <v>GL2307041</v>
      </c>
      <c r="R2421" s="57">
        <f>IFERROR(__xludf.DUMMYFUNCTION("""COMPUTED_VALUE"""),45078.0)</f>
        <v>45078</v>
      </c>
      <c r="S2421" s="57">
        <f>IFERROR(__xludf.DUMMYFUNCTION("""COMPUTED_VALUE"""),45084.0)</f>
        <v>45084</v>
      </c>
      <c r="T2421" s="57">
        <f>IFERROR(__xludf.DUMMYFUNCTION("""COMPUTED_VALUE"""),45158.0)</f>
        <v>45158</v>
      </c>
    </row>
    <row r="2422">
      <c r="A2422" s="6" t="str">
        <f>IFERROR(__xludf.DUMMYFUNCTION("""COMPUTED_VALUE"""),"231750350-2")</f>
        <v>231750350-2</v>
      </c>
      <c r="B2422" s="6" t="str">
        <f>IFERROR(__xludf.DUMMYFUNCTION("""COMPUTED_VALUE"""),"231750350 - Approved")</f>
        <v>231750350 - Approved</v>
      </c>
      <c r="C2422" s="6">
        <f>IFERROR(__xludf.DUMMYFUNCTION("""COMPUTED_VALUE"""),2.0)</f>
        <v>2</v>
      </c>
      <c r="D2422" s="6" t="str">
        <f>IFERROR(__xludf.DUMMYFUNCTION("""COMPUTED_VALUE"""),"S-60002-00")</f>
        <v>S-60002-00</v>
      </c>
      <c r="E2422" s="6" t="str">
        <f>IFERROR(__xludf.DUMMYFUNCTION("""COMPUTED_VALUE"""),"Jasa Perbaikan dan Pemeliharaan Mesin Utility - Installation ECM-1000")</f>
        <v>Jasa Perbaikan dan Pemeliharaan Mesin Utility - Installation ECM-1000</v>
      </c>
      <c r="F2422" s="6">
        <f>IFERROR(__xludf.DUMMYFUNCTION("""COMPUTED_VALUE"""),1.0)</f>
        <v>1</v>
      </c>
      <c r="G2422" s="6" t="str">
        <f>IFERROR(__xludf.DUMMYFUNCTION("""COMPUTED_VALUE"""),"Lot")</f>
        <v>Lot</v>
      </c>
      <c r="H2422" s="6" t="str">
        <f>IFERROR(__xludf.DUMMYFUNCTION("""COMPUTED_VALUE"""),"IDR")</f>
        <v>IDR</v>
      </c>
      <c r="I2422" s="11">
        <f>IFERROR(__xludf.DUMMYFUNCTION("""COMPUTED_VALUE"""),3500000.0)</f>
        <v>3500000</v>
      </c>
      <c r="J2422" s="11">
        <f>IFERROR(__xludf.DUMMYFUNCTION("""COMPUTED_VALUE"""),3500000.0)</f>
        <v>3500000</v>
      </c>
      <c r="K2422" s="57">
        <f>IFERROR(__xludf.DUMMYFUNCTION("""COMPUTED_VALUE"""),45104.0)</f>
        <v>45104</v>
      </c>
      <c r="L2422" s="6" t="str">
        <f>IFERROR(__xludf.DUMMYFUNCTION("""COMPUTED_VALUE"""),"FIP General")</f>
        <v>FIP General</v>
      </c>
      <c r="M2422" s="6" t="str">
        <f>IFERROR(__xludf.DUMMYFUNCTION("""COMPUTED_VALUE"""),"Irwan Sopian")</f>
        <v>Irwan Sopian</v>
      </c>
      <c r="N2422" s="6" t="str">
        <f>IFERROR(__xludf.DUMMYFUNCTION("""COMPUTED_VALUE"""),"FIP Engineering")</f>
        <v>FIP Engineering</v>
      </c>
      <c r="O2422" s="6" t="str">
        <f>IFERROR(__xludf.DUMMYFUNCTION("""COMPUTED_VALUE"""),"FIP-DOM-ENG-51508-0000000-INA-000000")</f>
        <v>FIP-DOM-ENG-51508-0000000-INA-000000</v>
      </c>
      <c r="P2422" s="6" t="str">
        <f>IFERROR(__xludf.DUMMYFUNCTION("""COMPUTED_VALUE"""),"PO Closed")</f>
        <v>PO Closed</v>
      </c>
      <c r="Q2422" s="6" t="str">
        <f>IFERROR(__xludf.DUMMYFUNCTION("""COMPUTED_VALUE"""),"GL2307041")</f>
        <v>GL2307041</v>
      </c>
      <c r="R2422" s="57">
        <f>IFERROR(__xludf.DUMMYFUNCTION("""COMPUTED_VALUE"""),45078.0)</f>
        <v>45078</v>
      </c>
      <c r="S2422" s="57">
        <f>IFERROR(__xludf.DUMMYFUNCTION("""COMPUTED_VALUE"""),45084.0)</f>
        <v>45084</v>
      </c>
      <c r="T2422" s="57">
        <f>IFERROR(__xludf.DUMMYFUNCTION("""COMPUTED_VALUE"""),45158.0)</f>
        <v>45158</v>
      </c>
    </row>
    <row r="2423">
      <c r="A2423" s="6" t="str">
        <f>IFERROR(__xludf.DUMMYFUNCTION("""COMPUTED_VALUE"""),"231750354-1")</f>
        <v>231750354-1</v>
      </c>
      <c r="B2423" s="6" t="str">
        <f>IFERROR(__xludf.DUMMYFUNCTION("""COMPUTED_VALUE"""),"231750354 - Approved")</f>
        <v>231750354 - Approved</v>
      </c>
      <c r="C2423" s="6">
        <f>IFERROR(__xludf.DUMMYFUNCTION("""COMPUTED_VALUE"""),1.0)</f>
        <v>1</v>
      </c>
      <c r="D2423" s="6" t="str">
        <f>IFERROR(__xludf.DUMMYFUNCTION("""COMPUTED_VALUE"""),"S-65018-00")</f>
        <v>S-65018-00</v>
      </c>
      <c r="E2423" s="6" t="str">
        <f>IFERROR(__xludf.DUMMYFUNCTION("""COMPUTED_VALUE"""),"Digital Clamp Meter FLK-376 1000A TRMS AC/DC CLAMP W/IFLEX; FLUKE; ;")</f>
        <v>Digital Clamp Meter FLK-376 1000A TRMS AC/DC CLAMP W/IFLEX; FLUKE; ;</v>
      </c>
      <c r="F2423" s="6">
        <f>IFERROR(__xludf.DUMMYFUNCTION("""COMPUTED_VALUE"""),1.0)</f>
        <v>1</v>
      </c>
      <c r="G2423" s="6" t="str">
        <f>IFERROR(__xludf.DUMMYFUNCTION("""COMPUTED_VALUE"""),"Unit")</f>
        <v>Unit</v>
      </c>
      <c r="H2423" s="6" t="str">
        <f>IFERROR(__xludf.DUMMYFUNCTION("""COMPUTED_VALUE"""),"IDR")</f>
        <v>IDR</v>
      </c>
      <c r="I2423" s="11">
        <f>IFERROR(__xludf.DUMMYFUNCTION("""COMPUTED_VALUE"""),1.0452E7)</f>
        <v>10452000</v>
      </c>
      <c r="J2423" s="11">
        <f>IFERROR(__xludf.DUMMYFUNCTION("""COMPUTED_VALUE"""),1.0452E7)</f>
        <v>10452000</v>
      </c>
      <c r="K2423" s="57">
        <f>IFERROR(__xludf.DUMMYFUNCTION("""COMPUTED_VALUE"""),45097.0)</f>
        <v>45097</v>
      </c>
      <c r="L2423" s="6" t="str">
        <f>IFERROR(__xludf.DUMMYFUNCTION("""COMPUTED_VALUE"""),"FIP General")</f>
        <v>FIP General</v>
      </c>
      <c r="M2423" s="6" t="str">
        <f>IFERROR(__xludf.DUMMYFUNCTION("""COMPUTED_VALUE"""),"Irwan Sopian")</f>
        <v>Irwan Sopian</v>
      </c>
      <c r="N2423" s="6" t="str">
        <f>IFERROR(__xludf.DUMMYFUNCTION("""COMPUTED_VALUE"""),"FIP Engineering")</f>
        <v>FIP Engineering</v>
      </c>
      <c r="O2423" s="6" t="str">
        <f>IFERROR(__xludf.DUMMYFUNCTION("""COMPUTED_VALUE"""),"FIP-DOM-ENG-51404-0000000-INA-000000")</f>
        <v>FIP-DOM-ENG-51404-0000000-INA-000000</v>
      </c>
      <c r="P2423" s="6" t="str">
        <f>IFERROR(__xludf.DUMMYFUNCTION("""COMPUTED_VALUE"""),"PO Closed")</f>
        <v>PO Closed</v>
      </c>
      <c r="Q2423" s="6" t="str">
        <f>IFERROR(__xludf.DUMMYFUNCTION("""COMPUTED_VALUE"""),"GL2307328")</f>
        <v>GL2307328</v>
      </c>
      <c r="R2423" s="57">
        <f>IFERROR(__xludf.DUMMYFUNCTION("""COMPUTED_VALUE"""),45079.0)</f>
        <v>45079</v>
      </c>
      <c r="S2423" s="57">
        <f>IFERROR(__xludf.DUMMYFUNCTION("""COMPUTED_VALUE"""),45083.0)</f>
        <v>45083</v>
      </c>
      <c r="T2423" s="57">
        <f>IFERROR(__xludf.DUMMYFUNCTION("""COMPUTED_VALUE"""),45190.0)</f>
        <v>45190</v>
      </c>
    </row>
    <row r="2424">
      <c r="A2424" s="6" t="str">
        <f>IFERROR(__xludf.DUMMYFUNCTION("""COMPUTED_VALUE"""),"231750379-1")</f>
        <v>231750379-1</v>
      </c>
      <c r="B2424" s="6" t="str">
        <f>IFERROR(__xludf.DUMMYFUNCTION("""COMPUTED_VALUE"""),"231750379 - Approved")</f>
        <v>231750379 - Approved</v>
      </c>
      <c r="C2424" s="6">
        <f>IFERROR(__xludf.DUMMYFUNCTION("""COMPUTED_VALUE"""),1.0)</f>
        <v>1</v>
      </c>
      <c r="D2424" s="6" t="str">
        <f>IFERROR(__xludf.DUMMYFUNCTION("""COMPUTED_VALUE"""),"P-18214-00")</f>
        <v>P-18214-00</v>
      </c>
      <c r="E2424" s="6" t="str">
        <f>IFERROR(__xludf.DUMMYFUNCTION("""COMPUTED_VALUE"""),"Part for Isolator - RTP 190 mm; Alpha port 190 mm dia; ; ;")</f>
        <v>Part for Isolator - RTP 190 mm; Alpha port 190 mm dia; ; ;</v>
      </c>
      <c r="F2424" s="6">
        <f>IFERROR(__xludf.DUMMYFUNCTION("""COMPUTED_VALUE"""),1.0)</f>
        <v>1</v>
      </c>
      <c r="G2424" s="6" t="str">
        <f>IFERROR(__xludf.DUMMYFUNCTION("""COMPUTED_VALUE"""),"Unit")</f>
        <v>Unit</v>
      </c>
      <c r="H2424" s="6" t="str">
        <f>IFERROR(__xludf.DUMMYFUNCTION("""COMPUTED_VALUE"""),"IDR")</f>
        <v>IDR</v>
      </c>
      <c r="I2424" s="11">
        <f>IFERROR(__xludf.DUMMYFUNCTION("""COMPUTED_VALUE"""),4400000.0)</f>
        <v>4400000</v>
      </c>
      <c r="J2424" s="11">
        <f>IFERROR(__xludf.DUMMYFUNCTION("""COMPUTED_VALUE"""),4400000.0)</f>
        <v>4400000</v>
      </c>
      <c r="K2424" s="57">
        <f>IFERROR(__xludf.DUMMYFUNCTION("""COMPUTED_VALUE"""),45120.0)</f>
        <v>45120</v>
      </c>
      <c r="L2424" s="6" t="str">
        <f>IFERROR(__xludf.DUMMYFUNCTION("""COMPUTED_VALUE"""),"FIP Engineering")</f>
        <v>FIP Engineering</v>
      </c>
      <c r="M2424" s="6" t="str">
        <f>IFERROR(__xludf.DUMMYFUNCTION("""COMPUTED_VALUE"""),"Irwan Sopian")</f>
        <v>Irwan Sopian</v>
      </c>
      <c r="N2424" s="6" t="str">
        <f>IFERROR(__xludf.DUMMYFUNCTION("""COMPUTED_VALUE"""),"FIP Engineering")</f>
        <v>FIP Engineering</v>
      </c>
      <c r="O2424" s="6" t="str">
        <f>IFERROR(__xludf.DUMMYFUNCTION("""COMPUTED_VALUE"""),"FIP-DOM-000-11304-OS00001-INA-000000")</f>
        <v>FIP-DOM-000-11304-OS00001-INA-000000</v>
      </c>
      <c r="P2424" s="6" t="str">
        <f>IFERROR(__xludf.DUMMYFUNCTION("""COMPUTED_VALUE"""),"PO Closed")</f>
        <v>PO Closed</v>
      </c>
      <c r="Q2424" s="6" t="str">
        <f>IFERROR(__xludf.DUMMYFUNCTION("""COMPUTED_VALUE"""),"GL2306037")</f>
        <v>GL2306037</v>
      </c>
      <c r="R2424" s="57">
        <f>IFERROR(__xludf.DUMMYFUNCTION("""COMPUTED_VALUE"""),45091.0)</f>
        <v>45091</v>
      </c>
      <c r="S2424" s="57">
        <f>IFERROR(__xludf.DUMMYFUNCTION("""COMPUTED_VALUE"""),45091.0)</f>
        <v>45091</v>
      </c>
      <c r="T2424" s="57">
        <f>IFERROR(__xludf.DUMMYFUNCTION("""COMPUTED_VALUE"""),45139.0)</f>
        <v>45139</v>
      </c>
    </row>
    <row r="2425">
      <c r="A2425" s="6" t="str">
        <f>IFERROR(__xludf.DUMMYFUNCTION("""COMPUTED_VALUE"""),"231750381-1")</f>
        <v>231750381-1</v>
      </c>
      <c r="B2425" s="6" t="str">
        <f>IFERROR(__xludf.DUMMYFUNCTION("""COMPUTED_VALUE"""),"231750381 - Approved")</f>
        <v>231750381 - Approved</v>
      </c>
      <c r="C2425" s="6">
        <f>IFERROR(__xludf.DUMMYFUNCTION("""COMPUTED_VALUE"""),1.0)</f>
        <v>1</v>
      </c>
      <c r="D2425" s="6" t="str">
        <f>IFERROR(__xludf.DUMMYFUNCTION("""COMPUTED_VALUE"""),"O-52530-00")</f>
        <v>O-52530-00</v>
      </c>
      <c r="E2425" s="6" t="str">
        <f>IFERROR(__xludf.DUMMYFUNCTION("""COMPUTED_VALUE"""),"Sensor PH Meter Type : InPro3250/120/PT1000 PN. 52002548; Mettler-Toledo; ;")</f>
        <v>Sensor PH Meter Type : InPro3250/120/PT1000 PN. 52002548; Mettler-Toledo; ;</v>
      </c>
      <c r="F2425" s="6">
        <f>IFERROR(__xludf.DUMMYFUNCTION("""COMPUTED_VALUE"""),1.0)</f>
        <v>1</v>
      </c>
      <c r="G2425" s="6" t="str">
        <f>IFERROR(__xludf.DUMMYFUNCTION("""COMPUTED_VALUE"""),"Pieces")</f>
        <v>Pieces</v>
      </c>
      <c r="H2425" s="6" t="str">
        <f>IFERROR(__xludf.DUMMYFUNCTION("""COMPUTED_VALUE"""),"IDR")</f>
        <v>IDR</v>
      </c>
      <c r="I2425" s="11">
        <f>IFERROR(__xludf.DUMMYFUNCTION("""COMPUTED_VALUE"""),1.202624E7)</f>
        <v>12026240</v>
      </c>
      <c r="J2425" s="11">
        <f>IFERROR(__xludf.DUMMYFUNCTION("""COMPUTED_VALUE"""),1.202624E7)</f>
        <v>12026240</v>
      </c>
      <c r="K2425" s="57">
        <f>IFERROR(__xludf.DUMMYFUNCTION("""COMPUTED_VALUE"""),45119.0)</f>
        <v>45119</v>
      </c>
      <c r="L2425" s="6" t="str">
        <f>IFERROR(__xludf.DUMMYFUNCTION("""COMPUTED_VALUE"""),"FIP Engineering")</f>
        <v>FIP Engineering</v>
      </c>
      <c r="M2425" s="6" t="str">
        <f>IFERROR(__xludf.DUMMYFUNCTION("""COMPUTED_VALUE"""),"Irwan Sopian")</f>
        <v>Irwan Sopian</v>
      </c>
      <c r="N2425" s="6" t="str">
        <f>IFERROR(__xludf.DUMMYFUNCTION("""COMPUTED_VALUE"""),"FIP Engineering")</f>
        <v>FIP Engineering</v>
      </c>
      <c r="O2425" s="6" t="str">
        <f>IFERROR(__xludf.DUMMYFUNCTION("""COMPUTED_VALUE"""),"FIP-DOM-000-11304-OS00001-INA-000000")</f>
        <v>FIP-DOM-000-11304-OS00001-INA-000000</v>
      </c>
      <c r="P2425" s="6" t="str">
        <f>IFERROR(__xludf.DUMMYFUNCTION("""COMPUTED_VALUE"""),"PO Closed")</f>
        <v>PO Closed</v>
      </c>
      <c r="Q2425" s="6" t="str">
        <f>IFERROR(__xludf.DUMMYFUNCTION("""COMPUTED_VALUE"""),"GL2306011")</f>
        <v>GL2306011</v>
      </c>
      <c r="R2425" s="57">
        <f>IFERROR(__xludf.DUMMYFUNCTION("""COMPUTED_VALUE"""),45091.0)</f>
        <v>45091</v>
      </c>
      <c r="S2425" s="57">
        <f>IFERROR(__xludf.DUMMYFUNCTION("""COMPUTED_VALUE"""),45092.0)</f>
        <v>45092</v>
      </c>
      <c r="T2425" s="57">
        <f>IFERROR(__xludf.DUMMYFUNCTION("""COMPUTED_VALUE"""),45122.0)</f>
        <v>45122</v>
      </c>
    </row>
    <row r="2426">
      <c r="A2426" s="6" t="str">
        <f>IFERROR(__xludf.DUMMYFUNCTION("""COMPUTED_VALUE"""),"231750383-1")</f>
        <v>231750383-1</v>
      </c>
      <c r="B2426" s="6" t="str">
        <f>IFERROR(__xludf.DUMMYFUNCTION("""COMPUTED_VALUE"""),"231750383 - Approved")</f>
        <v>231750383 - Approved</v>
      </c>
      <c r="C2426" s="6">
        <f>IFERROR(__xludf.DUMMYFUNCTION("""COMPUTED_VALUE"""),1.0)</f>
        <v>1</v>
      </c>
      <c r="D2426" s="6" t="str">
        <f>IFERROR(__xludf.DUMMYFUNCTION("""COMPUTED_VALUE"""),"S-60050-00")</f>
        <v>S-60050-00</v>
      </c>
      <c r="E2426" s="6" t="str">
        <f>IFERROR(__xludf.DUMMYFUNCTION("""COMPUTED_VALUE"""),"Jasa Perbaikan dan Pemeliharaan Mesin Produksi; ; ; - Untuk Penggantian Oil Hidrolik dan Filter mesin FD IMA")</f>
        <v>Jasa Perbaikan dan Pemeliharaan Mesin Produksi; ; ; - Untuk Penggantian Oil Hidrolik dan Filter mesin FD IMA</v>
      </c>
      <c r="F2426" s="6">
        <f>IFERROR(__xludf.DUMMYFUNCTION("""COMPUTED_VALUE"""),1.0)</f>
        <v>1</v>
      </c>
      <c r="G2426" s="6" t="str">
        <f>IFERROR(__xludf.DUMMYFUNCTION("""COMPUTED_VALUE"""),"Pieces")</f>
        <v>Pieces</v>
      </c>
      <c r="H2426" s="6" t="str">
        <f>IFERROR(__xludf.DUMMYFUNCTION("""COMPUTED_VALUE"""),"IDR")</f>
        <v>IDR</v>
      </c>
      <c r="I2426" s="11">
        <f>IFERROR(__xludf.DUMMYFUNCTION("""COMPUTED_VALUE"""),1.845E7)</f>
        <v>18450000</v>
      </c>
      <c r="J2426" s="11">
        <f>IFERROR(__xludf.DUMMYFUNCTION("""COMPUTED_VALUE"""),1.845E7)</f>
        <v>18450000</v>
      </c>
      <c r="K2426" s="57">
        <f>IFERROR(__xludf.DUMMYFUNCTION("""COMPUTED_VALUE"""),45125.0)</f>
        <v>45125</v>
      </c>
      <c r="L2426" s="6" t="str">
        <f>IFERROR(__xludf.DUMMYFUNCTION("""COMPUTED_VALUE"""),"FIP General")</f>
        <v>FIP General</v>
      </c>
      <c r="M2426" s="6" t="str">
        <f>IFERROR(__xludf.DUMMYFUNCTION("""COMPUTED_VALUE"""),"Irwan Sopian")</f>
        <v>Irwan Sopian</v>
      </c>
      <c r="N2426" s="6" t="str">
        <f>IFERROR(__xludf.DUMMYFUNCTION("""COMPUTED_VALUE"""),"FIP Engineering")</f>
        <v>FIP Engineering</v>
      </c>
      <c r="O2426" s="6" t="str">
        <f>IFERROR(__xludf.DUMMYFUNCTION("""COMPUTED_VALUE"""),"FIP-DOM-ENG-51504-0000000-INA-000000")</f>
        <v>FIP-DOM-ENG-51504-0000000-INA-000000</v>
      </c>
      <c r="P2426" s="6" t="str">
        <f>IFERROR(__xludf.DUMMYFUNCTION("""COMPUTED_VALUE"""),"PO Closed")</f>
        <v>PO Closed</v>
      </c>
      <c r="Q2426" s="6" t="str">
        <f>IFERROR(__xludf.DUMMYFUNCTION("""COMPUTED_VALUE"""),"GL2308013")</f>
        <v>GL2308013</v>
      </c>
      <c r="R2426" s="57">
        <f>IFERROR(__xludf.DUMMYFUNCTION("""COMPUTED_VALUE"""),45092.0)</f>
        <v>45092</v>
      </c>
      <c r="S2426" s="57">
        <f>IFERROR(__xludf.DUMMYFUNCTION("""COMPUTED_VALUE"""),45092.0)</f>
        <v>45092</v>
      </c>
      <c r="T2426" s="57">
        <f>IFERROR(__xludf.DUMMYFUNCTION("""COMPUTED_VALUE"""),45354.0)</f>
        <v>45354</v>
      </c>
    </row>
    <row r="2427">
      <c r="A2427" s="6" t="str">
        <f>IFERROR(__xludf.DUMMYFUNCTION("""COMPUTED_VALUE"""),"231750384-1")</f>
        <v>231750384-1</v>
      </c>
      <c r="B2427" s="6" t="str">
        <f>IFERROR(__xludf.DUMMYFUNCTION("""COMPUTED_VALUE"""),"231750384 - Approved")</f>
        <v>231750384 - Approved</v>
      </c>
      <c r="C2427" s="6">
        <f>IFERROR(__xludf.DUMMYFUNCTION("""COMPUTED_VALUE"""),1.0)</f>
        <v>1</v>
      </c>
      <c r="D2427" s="6" t="str">
        <f>IFERROR(__xludf.DUMMYFUNCTION("""COMPUTED_VALUE"""),"S-60050-00")</f>
        <v>S-60050-00</v>
      </c>
      <c r="E2427" s="6" t="str">
        <f>IFERROR(__xludf.DUMMYFUNCTION("""COMPUTED_VALUE"""),"Jasa Perbaikan dan Pemeliharaan Mesin Produksi; ; ; - Meterial For Jasa Flow Sensor For Aerosol Photometer ATI 2i PN. : 5300167")</f>
        <v>Jasa Perbaikan dan Pemeliharaan Mesin Produksi; ; ; - Meterial For Jasa Flow Sensor For Aerosol Photometer ATI 2i PN. : 5300167</v>
      </c>
      <c r="F2427" s="6">
        <f>IFERROR(__xludf.DUMMYFUNCTION("""COMPUTED_VALUE"""),1.0)</f>
        <v>1</v>
      </c>
      <c r="G2427" s="6" t="str">
        <f>IFERROR(__xludf.DUMMYFUNCTION("""COMPUTED_VALUE"""),"Pieces")</f>
        <v>Pieces</v>
      </c>
      <c r="H2427" s="6" t="str">
        <f>IFERROR(__xludf.DUMMYFUNCTION("""COMPUTED_VALUE"""),"IDR")</f>
        <v>IDR</v>
      </c>
      <c r="I2427" s="11">
        <f>IFERROR(__xludf.DUMMYFUNCTION("""COMPUTED_VALUE"""),2.975E7)</f>
        <v>29750000</v>
      </c>
      <c r="J2427" s="11">
        <f>IFERROR(__xludf.DUMMYFUNCTION("""COMPUTED_VALUE"""),2.975E7)</f>
        <v>29750000</v>
      </c>
      <c r="K2427" s="57">
        <f>IFERROR(__xludf.DUMMYFUNCTION("""COMPUTED_VALUE"""),45122.0)</f>
        <v>45122</v>
      </c>
      <c r="L2427" s="6" t="str">
        <f>IFERROR(__xludf.DUMMYFUNCTION("""COMPUTED_VALUE"""),"FIP General")</f>
        <v>FIP General</v>
      </c>
      <c r="M2427" s="6" t="str">
        <f>IFERROR(__xludf.DUMMYFUNCTION("""COMPUTED_VALUE"""),"Irwan Sopian")</f>
        <v>Irwan Sopian</v>
      </c>
      <c r="N2427" s="6" t="str">
        <f>IFERROR(__xludf.DUMMYFUNCTION("""COMPUTED_VALUE"""),"FIP Engineering")</f>
        <v>FIP Engineering</v>
      </c>
      <c r="O2427" s="6" t="str">
        <f>IFERROR(__xludf.DUMMYFUNCTION("""COMPUTED_VALUE"""),"FIP-DOM-ENG-51504-0000000-INA-000000")</f>
        <v>FIP-DOM-ENG-51504-0000000-INA-000000</v>
      </c>
      <c r="P2427" s="6" t="str">
        <f>IFERROR(__xludf.DUMMYFUNCTION("""COMPUTED_VALUE"""),"PO Closed")</f>
        <v>PO Closed</v>
      </c>
      <c r="Q2427" s="6" t="str">
        <f>IFERROR(__xludf.DUMMYFUNCTION("""COMPUTED_VALUE"""),"GL2308014")</f>
        <v>GL2308014</v>
      </c>
      <c r="R2427" s="57">
        <f>IFERROR(__xludf.DUMMYFUNCTION("""COMPUTED_VALUE"""),45092.0)</f>
        <v>45092</v>
      </c>
      <c r="S2427" s="57">
        <f>IFERROR(__xludf.DUMMYFUNCTION("""COMPUTED_VALUE"""),45092.0)</f>
        <v>45092</v>
      </c>
      <c r="T2427" s="57">
        <f>IFERROR(__xludf.DUMMYFUNCTION("""COMPUTED_VALUE"""),45229.0)</f>
        <v>45229</v>
      </c>
    </row>
    <row r="2428">
      <c r="A2428" s="6" t="str">
        <f>IFERROR(__xludf.DUMMYFUNCTION("""COMPUTED_VALUE"""),"231750384-2")</f>
        <v>231750384-2</v>
      </c>
      <c r="B2428" s="6" t="str">
        <f>IFERROR(__xludf.DUMMYFUNCTION("""COMPUTED_VALUE"""),"231750384 - Approved")</f>
        <v>231750384 - Approved</v>
      </c>
      <c r="C2428" s="6">
        <f>IFERROR(__xludf.DUMMYFUNCTION("""COMPUTED_VALUE"""),2.0)</f>
        <v>2</v>
      </c>
      <c r="D2428" s="6" t="str">
        <f>IFERROR(__xludf.DUMMYFUNCTION("""COMPUTED_VALUE"""),"S-60050-00")</f>
        <v>S-60050-00</v>
      </c>
      <c r="E2428" s="6" t="str">
        <f>IFERROR(__xludf.DUMMYFUNCTION("""COMPUTED_VALUE"""),"Jasa Perbaikan dan Pemeliharaan Mesin Produksi; ; ; - Material For Jasa Filter LSC For Aerosol Photometer ATI 2i PN. : 5500180")</f>
        <v>Jasa Perbaikan dan Pemeliharaan Mesin Produksi; ; ; - Material For Jasa Filter LSC For Aerosol Photometer ATI 2i PN. : 5500180</v>
      </c>
      <c r="F2428" s="6">
        <f>IFERROR(__xludf.DUMMYFUNCTION("""COMPUTED_VALUE"""),1.0)</f>
        <v>1</v>
      </c>
      <c r="G2428" s="6" t="str">
        <f>IFERROR(__xludf.DUMMYFUNCTION("""COMPUTED_VALUE"""),"Pieces")</f>
        <v>Pieces</v>
      </c>
      <c r="H2428" s="6" t="str">
        <f>IFERROR(__xludf.DUMMYFUNCTION("""COMPUTED_VALUE"""),"IDR")</f>
        <v>IDR</v>
      </c>
      <c r="I2428" s="11">
        <f>IFERROR(__xludf.DUMMYFUNCTION("""COMPUTED_VALUE"""),1.105E7)</f>
        <v>11050000</v>
      </c>
      <c r="J2428" s="11">
        <f>IFERROR(__xludf.DUMMYFUNCTION("""COMPUTED_VALUE"""),1.105E7)</f>
        <v>11050000</v>
      </c>
      <c r="K2428" s="57">
        <f>IFERROR(__xludf.DUMMYFUNCTION("""COMPUTED_VALUE"""),45122.0)</f>
        <v>45122</v>
      </c>
      <c r="L2428" s="6" t="str">
        <f>IFERROR(__xludf.DUMMYFUNCTION("""COMPUTED_VALUE"""),"FIP General")</f>
        <v>FIP General</v>
      </c>
      <c r="M2428" s="6" t="str">
        <f>IFERROR(__xludf.DUMMYFUNCTION("""COMPUTED_VALUE"""),"Irwan Sopian")</f>
        <v>Irwan Sopian</v>
      </c>
      <c r="N2428" s="6" t="str">
        <f>IFERROR(__xludf.DUMMYFUNCTION("""COMPUTED_VALUE"""),"FIP Engineering")</f>
        <v>FIP Engineering</v>
      </c>
      <c r="O2428" s="6" t="str">
        <f>IFERROR(__xludf.DUMMYFUNCTION("""COMPUTED_VALUE"""),"FIP-DOM-ENG-51504-0000000-INA-000000")</f>
        <v>FIP-DOM-ENG-51504-0000000-INA-000000</v>
      </c>
      <c r="P2428" s="6" t="str">
        <f>IFERROR(__xludf.DUMMYFUNCTION("""COMPUTED_VALUE"""),"PO Closed")</f>
        <v>PO Closed</v>
      </c>
      <c r="Q2428" s="6" t="str">
        <f>IFERROR(__xludf.DUMMYFUNCTION("""COMPUTED_VALUE"""),"GL2308014")</f>
        <v>GL2308014</v>
      </c>
      <c r="R2428" s="57">
        <f>IFERROR(__xludf.DUMMYFUNCTION("""COMPUTED_VALUE"""),45092.0)</f>
        <v>45092</v>
      </c>
      <c r="S2428" s="57">
        <f>IFERROR(__xludf.DUMMYFUNCTION("""COMPUTED_VALUE"""),45092.0)</f>
        <v>45092</v>
      </c>
      <c r="T2428" s="57">
        <f>IFERROR(__xludf.DUMMYFUNCTION("""COMPUTED_VALUE"""),45229.0)</f>
        <v>45229</v>
      </c>
    </row>
    <row r="2429">
      <c r="A2429" s="6" t="str">
        <f>IFERROR(__xludf.DUMMYFUNCTION("""COMPUTED_VALUE"""),"231750384-3")</f>
        <v>231750384-3</v>
      </c>
      <c r="B2429" s="6" t="str">
        <f>IFERROR(__xludf.DUMMYFUNCTION("""COMPUTED_VALUE"""),"231750384 - Approved")</f>
        <v>231750384 - Approved</v>
      </c>
      <c r="C2429" s="6">
        <f>IFERROR(__xludf.DUMMYFUNCTION("""COMPUTED_VALUE"""),3.0)</f>
        <v>3</v>
      </c>
      <c r="D2429" s="6" t="str">
        <f>IFERROR(__xludf.DUMMYFUNCTION("""COMPUTED_VALUE"""),"S-60050-00")</f>
        <v>S-60050-00</v>
      </c>
      <c r="E2429" s="6" t="str">
        <f>IFERROR(__xludf.DUMMYFUNCTION("""COMPUTED_VALUE"""),"Jasa Perbaikan dan Pemeliharaan Mesin Produksi; ; ; - Material For Jasa Filter Clear For Aerosol Photometer ATI 2i PN. : 0600424")</f>
        <v>Jasa Perbaikan dan Pemeliharaan Mesin Produksi; ; ; - Material For Jasa Filter Clear For Aerosol Photometer ATI 2i PN. : 0600424</v>
      </c>
      <c r="F2429" s="6">
        <f>IFERROR(__xludf.DUMMYFUNCTION("""COMPUTED_VALUE"""),1.0)</f>
        <v>1</v>
      </c>
      <c r="G2429" s="6" t="str">
        <f>IFERROR(__xludf.DUMMYFUNCTION("""COMPUTED_VALUE"""),"Pieces")</f>
        <v>Pieces</v>
      </c>
      <c r="H2429" s="6" t="str">
        <f>IFERROR(__xludf.DUMMYFUNCTION("""COMPUTED_VALUE"""),"IDR")</f>
        <v>IDR</v>
      </c>
      <c r="I2429" s="11">
        <f>IFERROR(__xludf.DUMMYFUNCTION("""COMPUTED_VALUE"""),1.275E7)</f>
        <v>12750000</v>
      </c>
      <c r="J2429" s="11">
        <f>IFERROR(__xludf.DUMMYFUNCTION("""COMPUTED_VALUE"""),1.275E7)</f>
        <v>12750000</v>
      </c>
      <c r="K2429" s="57">
        <f>IFERROR(__xludf.DUMMYFUNCTION("""COMPUTED_VALUE"""),45122.0)</f>
        <v>45122</v>
      </c>
      <c r="L2429" s="6" t="str">
        <f>IFERROR(__xludf.DUMMYFUNCTION("""COMPUTED_VALUE"""),"FIP General")</f>
        <v>FIP General</v>
      </c>
      <c r="M2429" s="6" t="str">
        <f>IFERROR(__xludf.DUMMYFUNCTION("""COMPUTED_VALUE"""),"Irwan Sopian")</f>
        <v>Irwan Sopian</v>
      </c>
      <c r="N2429" s="6" t="str">
        <f>IFERROR(__xludf.DUMMYFUNCTION("""COMPUTED_VALUE"""),"FIP Engineering")</f>
        <v>FIP Engineering</v>
      </c>
      <c r="O2429" s="6" t="str">
        <f>IFERROR(__xludf.DUMMYFUNCTION("""COMPUTED_VALUE"""),"FIP-DOM-ENG-51504-0000000-INA-000000")</f>
        <v>FIP-DOM-ENG-51504-0000000-INA-000000</v>
      </c>
      <c r="P2429" s="6" t="str">
        <f>IFERROR(__xludf.DUMMYFUNCTION("""COMPUTED_VALUE"""),"PO Closed")</f>
        <v>PO Closed</v>
      </c>
      <c r="Q2429" s="6" t="str">
        <f>IFERROR(__xludf.DUMMYFUNCTION("""COMPUTED_VALUE"""),"GL2308014")</f>
        <v>GL2308014</v>
      </c>
      <c r="R2429" s="57">
        <f>IFERROR(__xludf.DUMMYFUNCTION("""COMPUTED_VALUE"""),45092.0)</f>
        <v>45092</v>
      </c>
      <c r="S2429" s="57">
        <f>IFERROR(__xludf.DUMMYFUNCTION("""COMPUTED_VALUE"""),45092.0)</f>
        <v>45092</v>
      </c>
      <c r="T2429" s="57">
        <f>IFERROR(__xludf.DUMMYFUNCTION("""COMPUTED_VALUE"""),45229.0)</f>
        <v>45229</v>
      </c>
    </row>
    <row r="2430">
      <c r="A2430" s="6" t="str">
        <f>IFERROR(__xludf.DUMMYFUNCTION("""COMPUTED_VALUE"""),"231750385-1")</f>
        <v>231750385-1</v>
      </c>
      <c r="B2430" s="6" t="str">
        <f>IFERROR(__xludf.DUMMYFUNCTION("""COMPUTED_VALUE"""),"231750385 - Approved")</f>
        <v>231750385 - Approved</v>
      </c>
      <c r="C2430" s="6">
        <f>IFERROR(__xludf.DUMMYFUNCTION("""COMPUTED_VALUE"""),1.0)</f>
        <v>1</v>
      </c>
      <c r="D2430" s="6" t="str">
        <f>IFERROR(__xludf.DUMMYFUNCTION("""COMPUTED_VALUE"""),"T-20320-00")</f>
        <v>T-20320-00</v>
      </c>
      <c r="E2430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F2430" s="6">
        <f>IFERROR(__xludf.DUMMYFUNCTION("""COMPUTED_VALUE"""),3.0)</f>
        <v>3</v>
      </c>
      <c r="G2430" s="6" t="str">
        <f>IFERROR(__xludf.DUMMYFUNCTION("""COMPUTED_VALUE"""),"Pieces")</f>
        <v>Pieces</v>
      </c>
      <c r="H2430" s="6" t="str">
        <f>IFERROR(__xludf.DUMMYFUNCTION("""COMPUTED_VALUE"""),"IDR")</f>
        <v>IDR</v>
      </c>
      <c r="I2430" s="11">
        <f>IFERROR(__xludf.DUMMYFUNCTION("""COMPUTED_VALUE"""),975755.0)</f>
        <v>975755</v>
      </c>
      <c r="J2430" s="11">
        <f>IFERROR(__xludf.DUMMYFUNCTION("""COMPUTED_VALUE"""),2927265.0)</f>
        <v>2927265</v>
      </c>
      <c r="K2430" s="57">
        <f>IFERROR(__xludf.DUMMYFUNCTION("""COMPUTED_VALUE"""),45113.0)</f>
        <v>45113</v>
      </c>
      <c r="L2430" s="6" t="str">
        <f>IFERROR(__xludf.DUMMYFUNCTION("""COMPUTED_VALUE"""),"FIP General")</f>
        <v>FIP General</v>
      </c>
      <c r="M2430" s="6" t="str">
        <f>IFERROR(__xludf.DUMMYFUNCTION("""COMPUTED_VALUE"""),"Irwan Sopian")</f>
        <v>Irwan Sopian</v>
      </c>
      <c r="N2430" s="6" t="str">
        <f>IFERROR(__xludf.DUMMYFUNCTION("""COMPUTED_VALUE"""),"FIP Engineering")</f>
        <v>FIP Engineering</v>
      </c>
      <c r="O2430" s="6" t="str">
        <f>IFERROR(__xludf.DUMMYFUNCTION("""COMPUTED_VALUE"""),"FIP-DOM-ENG-51505-0000000-INA-000000")</f>
        <v>FIP-DOM-ENG-51505-0000000-INA-000000</v>
      </c>
      <c r="P2430" s="6" t="str">
        <f>IFERROR(__xludf.DUMMYFUNCTION("""COMPUTED_VALUE"""),"PO Closed")</f>
        <v>PO Closed</v>
      </c>
      <c r="Q2430" s="6" t="str">
        <f>IFERROR(__xludf.DUMMYFUNCTION("""COMPUTED_VALUE"""),"GL2306316")</f>
        <v>GL2306316</v>
      </c>
      <c r="R2430" s="57">
        <f>IFERROR(__xludf.DUMMYFUNCTION("""COMPUTED_VALUE"""),45092.0)</f>
        <v>45092</v>
      </c>
      <c r="S2430" s="57">
        <f>IFERROR(__xludf.DUMMYFUNCTION("""COMPUTED_VALUE"""),45094.0)</f>
        <v>45094</v>
      </c>
      <c r="T2430" s="57">
        <f>IFERROR(__xludf.DUMMYFUNCTION("""COMPUTED_VALUE"""),45142.0)</f>
        <v>45142</v>
      </c>
    </row>
    <row r="2431">
      <c r="A2431" s="6" t="str">
        <f>IFERROR(__xludf.DUMMYFUNCTION("""COMPUTED_VALUE"""),"231750385-2")</f>
        <v>231750385-2</v>
      </c>
      <c r="B2431" s="6" t="str">
        <f>IFERROR(__xludf.DUMMYFUNCTION("""COMPUTED_VALUE"""),"231750385 - Approved")</f>
        <v>231750385 - Approved</v>
      </c>
      <c r="C2431" s="6">
        <f>IFERROR(__xludf.DUMMYFUNCTION("""COMPUTED_VALUE"""),2.0)</f>
        <v>2</v>
      </c>
      <c r="D2431" s="6" t="str">
        <f>IFERROR(__xludf.DUMMYFUNCTION("""COMPUTED_VALUE"""),"T-20447-00")</f>
        <v>T-20447-00</v>
      </c>
      <c r="E2431" s="6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F2431" s="6">
        <f>IFERROR(__xludf.DUMMYFUNCTION("""COMPUTED_VALUE"""),2.0)</f>
        <v>2</v>
      </c>
      <c r="G2431" s="6" t="str">
        <f>IFERROR(__xludf.DUMMYFUNCTION("""COMPUTED_VALUE"""),"Pack")</f>
        <v>Pack</v>
      </c>
      <c r="H2431" s="6" t="str">
        <f>IFERROR(__xludf.DUMMYFUNCTION("""COMPUTED_VALUE"""),"IDR")</f>
        <v>IDR</v>
      </c>
      <c r="I2431" s="11">
        <f>IFERROR(__xludf.DUMMYFUNCTION("""COMPUTED_VALUE"""),540718.1)</f>
        <v>540718.1</v>
      </c>
      <c r="J2431" s="11">
        <f>IFERROR(__xludf.DUMMYFUNCTION("""COMPUTED_VALUE"""),1081436.2)</f>
        <v>1081436.2</v>
      </c>
      <c r="K2431" s="57">
        <f>IFERROR(__xludf.DUMMYFUNCTION("""COMPUTED_VALUE"""),45113.0)</f>
        <v>45113</v>
      </c>
      <c r="L2431" s="6" t="str">
        <f>IFERROR(__xludf.DUMMYFUNCTION("""COMPUTED_VALUE"""),"FIP General")</f>
        <v>FIP General</v>
      </c>
      <c r="M2431" s="6" t="str">
        <f>IFERROR(__xludf.DUMMYFUNCTION("""COMPUTED_VALUE"""),"Irwan Sopian")</f>
        <v>Irwan Sopian</v>
      </c>
      <c r="N2431" s="6" t="str">
        <f>IFERROR(__xludf.DUMMYFUNCTION("""COMPUTED_VALUE"""),"FIP Engineering")</f>
        <v>FIP Engineering</v>
      </c>
      <c r="O2431" s="6" t="str">
        <f>IFERROR(__xludf.DUMMYFUNCTION("""COMPUTED_VALUE"""),"FIP-DOM-ENG-51505-0000000-INA-000000")</f>
        <v>FIP-DOM-ENG-51505-0000000-INA-000000</v>
      </c>
      <c r="P2431" s="6" t="str">
        <f>IFERROR(__xludf.DUMMYFUNCTION("""COMPUTED_VALUE"""),"PO Closed")</f>
        <v>PO Closed</v>
      </c>
      <c r="Q2431" s="6" t="str">
        <f>IFERROR(__xludf.DUMMYFUNCTION("""COMPUTED_VALUE"""),"GL2306316")</f>
        <v>GL2306316</v>
      </c>
      <c r="R2431" s="57">
        <f>IFERROR(__xludf.DUMMYFUNCTION("""COMPUTED_VALUE"""),45092.0)</f>
        <v>45092</v>
      </c>
      <c r="S2431" s="57">
        <f>IFERROR(__xludf.DUMMYFUNCTION("""COMPUTED_VALUE"""),45094.0)</f>
        <v>45094</v>
      </c>
      <c r="T2431" s="57">
        <f>IFERROR(__xludf.DUMMYFUNCTION("""COMPUTED_VALUE"""),45142.0)</f>
        <v>45142</v>
      </c>
    </row>
    <row r="2432">
      <c r="A2432" s="6" t="str">
        <f>IFERROR(__xludf.DUMMYFUNCTION("""COMPUTED_VALUE"""),"231750385-3")</f>
        <v>231750385-3</v>
      </c>
      <c r="B2432" s="6" t="str">
        <f>IFERROR(__xludf.DUMMYFUNCTION("""COMPUTED_VALUE"""),"231750385 - Approved")</f>
        <v>231750385 - Approved</v>
      </c>
      <c r="C2432" s="6">
        <f>IFERROR(__xludf.DUMMYFUNCTION("""COMPUTED_VALUE"""),3.0)</f>
        <v>3</v>
      </c>
      <c r="D2432" s="6" t="str">
        <f>IFERROR(__xludf.DUMMYFUNCTION("""COMPUTED_VALUE"""),"T-21034-00")</f>
        <v>T-21034-00</v>
      </c>
      <c r="E2432" s="6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F2432" s="6">
        <f>IFERROR(__xludf.DUMMYFUNCTION("""COMPUTED_VALUE"""),1.0)</f>
        <v>1</v>
      </c>
      <c r="G2432" s="6" t="str">
        <f>IFERROR(__xludf.DUMMYFUNCTION("""COMPUTED_VALUE"""),"Pieces")</f>
        <v>Pieces</v>
      </c>
      <c r="H2432" s="6" t="str">
        <f>IFERROR(__xludf.DUMMYFUNCTION("""COMPUTED_VALUE"""),"IDR")</f>
        <v>IDR</v>
      </c>
      <c r="I2432" s="11">
        <f>IFERROR(__xludf.DUMMYFUNCTION("""COMPUTED_VALUE"""),1352907.4)</f>
        <v>1352907.4</v>
      </c>
      <c r="J2432" s="11">
        <f>IFERROR(__xludf.DUMMYFUNCTION("""COMPUTED_VALUE"""),1352907.4)</f>
        <v>1352907.4</v>
      </c>
      <c r="K2432" s="57">
        <f>IFERROR(__xludf.DUMMYFUNCTION("""COMPUTED_VALUE"""),45113.0)</f>
        <v>45113</v>
      </c>
      <c r="L2432" s="6" t="str">
        <f>IFERROR(__xludf.DUMMYFUNCTION("""COMPUTED_VALUE"""),"FIP General")</f>
        <v>FIP General</v>
      </c>
      <c r="M2432" s="6" t="str">
        <f>IFERROR(__xludf.DUMMYFUNCTION("""COMPUTED_VALUE"""),"Irwan Sopian")</f>
        <v>Irwan Sopian</v>
      </c>
      <c r="N2432" s="6" t="str">
        <f>IFERROR(__xludf.DUMMYFUNCTION("""COMPUTED_VALUE"""),"FIP Engineering")</f>
        <v>FIP Engineering</v>
      </c>
      <c r="O2432" s="6" t="str">
        <f>IFERROR(__xludf.DUMMYFUNCTION("""COMPUTED_VALUE"""),"FIP-DOM-ENG-51505-0000000-INA-000000")</f>
        <v>FIP-DOM-ENG-51505-0000000-INA-000000</v>
      </c>
      <c r="P2432" s="6" t="str">
        <f>IFERROR(__xludf.DUMMYFUNCTION("""COMPUTED_VALUE"""),"PO Closed")</f>
        <v>PO Closed</v>
      </c>
      <c r="Q2432" s="6" t="str">
        <f>IFERROR(__xludf.DUMMYFUNCTION("""COMPUTED_VALUE"""),"GL2306316")</f>
        <v>GL2306316</v>
      </c>
      <c r="R2432" s="57">
        <f>IFERROR(__xludf.DUMMYFUNCTION("""COMPUTED_VALUE"""),45092.0)</f>
        <v>45092</v>
      </c>
      <c r="S2432" s="57">
        <f>IFERROR(__xludf.DUMMYFUNCTION("""COMPUTED_VALUE"""),45094.0)</f>
        <v>45094</v>
      </c>
      <c r="T2432" s="57">
        <f>IFERROR(__xludf.DUMMYFUNCTION("""COMPUTED_VALUE"""),45142.0)</f>
        <v>45142</v>
      </c>
    </row>
    <row r="2433">
      <c r="A2433" s="6" t="str">
        <f>IFERROR(__xludf.DUMMYFUNCTION("""COMPUTED_VALUE"""),"231750390-1")</f>
        <v>231750390-1</v>
      </c>
      <c r="B2433" s="6" t="str">
        <f>IFERROR(__xludf.DUMMYFUNCTION("""COMPUTED_VALUE"""),"231750390 - Approved")</f>
        <v>231750390 - Approved</v>
      </c>
      <c r="C2433" s="6">
        <f>IFERROR(__xludf.DUMMYFUNCTION("""COMPUTED_VALUE"""),1.0)</f>
        <v>1</v>
      </c>
      <c r="D2433" s="6" t="str">
        <f>IFERROR(__xludf.DUMMYFUNCTION("""COMPUTED_VALUE"""),"P-18725-00")</f>
        <v>P-18725-00</v>
      </c>
      <c r="E2433" s="6" t="str">
        <f>IFERROR(__xludf.DUMMYFUNCTION("""COMPUTED_VALUE"""),"Freon Refrigerant Chemours Suva R507; ; ;")</f>
        <v>Freon Refrigerant Chemours Suva R507; ; ;</v>
      </c>
      <c r="F2433" s="6">
        <f>IFERROR(__xludf.DUMMYFUNCTION("""COMPUTED_VALUE"""),3.0)</f>
        <v>3</v>
      </c>
      <c r="G2433" s="6" t="str">
        <f>IFERROR(__xludf.DUMMYFUNCTION("""COMPUTED_VALUE"""),"Can")</f>
        <v>Can</v>
      </c>
      <c r="H2433" s="6" t="str">
        <f>IFERROR(__xludf.DUMMYFUNCTION("""COMPUTED_VALUE"""),"IDR")</f>
        <v>IDR</v>
      </c>
      <c r="I2433" s="11">
        <f>IFERROR(__xludf.DUMMYFUNCTION("""COMPUTED_VALUE"""),2250000.0)</f>
        <v>2250000</v>
      </c>
      <c r="J2433" s="11">
        <f>IFERROR(__xludf.DUMMYFUNCTION("""COMPUTED_VALUE"""),6750000.0)</f>
        <v>6750000</v>
      </c>
      <c r="K2433" s="57">
        <f>IFERROR(__xludf.DUMMYFUNCTION("""COMPUTED_VALUE"""),45121.0)</f>
        <v>45121</v>
      </c>
      <c r="L2433" s="6" t="str">
        <f>IFERROR(__xludf.DUMMYFUNCTION("""COMPUTED_VALUE"""),"FIP Engineering")</f>
        <v>FIP Engineering</v>
      </c>
      <c r="M2433" s="6" t="str">
        <f>IFERROR(__xludf.DUMMYFUNCTION("""COMPUTED_VALUE"""),"Irwan Sopian")</f>
        <v>Irwan Sopian</v>
      </c>
      <c r="N2433" s="6" t="str">
        <f>IFERROR(__xludf.DUMMYFUNCTION("""COMPUTED_VALUE"""),"FIP Engineering")</f>
        <v>FIP Engineering</v>
      </c>
      <c r="O2433" s="6" t="str">
        <f>IFERROR(__xludf.DUMMYFUNCTION("""COMPUTED_VALUE"""),"FIP-DOM-000-11304-OS00001-INA-000000")</f>
        <v>FIP-DOM-000-11304-OS00001-INA-000000</v>
      </c>
      <c r="P2433" s="6" t="str">
        <f>IFERROR(__xludf.DUMMYFUNCTION("""COMPUTED_VALUE"""),"PO Closed")</f>
        <v>PO Closed</v>
      </c>
      <c r="Q2433" s="6" t="str">
        <f>IFERROR(__xludf.DUMMYFUNCTION("""COMPUTED_VALUE"""),"GL2307318")</f>
        <v>GL2307318</v>
      </c>
      <c r="R2433" s="57">
        <f>IFERROR(__xludf.DUMMYFUNCTION("""COMPUTED_VALUE"""),45094.0)</f>
        <v>45094</v>
      </c>
      <c r="S2433" s="57">
        <f>IFERROR(__xludf.DUMMYFUNCTION("""COMPUTED_VALUE"""),45100.0)</f>
        <v>45100</v>
      </c>
      <c r="T2433" s="57">
        <f>IFERROR(__xludf.DUMMYFUNCTION("""COMPUTED_VALUE"""),45138.0)</f>
        <v>45138</v>
      </c>
    </row>
    <row r="2434">
      <c r="A2434" s="6" t="str">
        <f>IFERROR(__xludf.DUMMYFUNCTION("""COMPUTED_VALUE"""),"231750396-1")</f>
        <v>231750396-1</v>
      </c>
      <c r="B2434" s="6" t="str">
        <f>IFERROR(__xludf.DUMMYFUNCTION("""COMPUTED_VALUE"""),"231750396 - Approved")</f>
        <v>231750396 - Approved</v>
      </c>
      <c r="C2434" s="6">
        <f>IFERROR(__xludf.DUMMYFUNCTION("""COMPUTED_VALUE"""),1.0)</f>
        <v>1</v>
      </c>
      <c r="D2434" s="6" t="str">
        <f>IFERROR(__xludf.DUMMYFUNCTION("""COMPUTED_VALUE"""),"R-62002-00")</f>
        <v>R-62002-00</v>
      </c>
      <c r="E2434" s="6" t="str">
        <f>IFERROR(__xludf.DUMMYFUNCTION("""COMPUTED_VALUE"""),"Computer Notebook - Dell Latitude 3420, CTO 11th Generation Intel Core i7-1165G7")</f>
        <v>Computer Notebook - Dell Latitude 3420, CTO 11th Generation Intel Core i7-1165G7</v>
      </c>
      <c r="F2434" s="6">
        <f>IFERROR(__xludf.DUMMYFUNCTION("""COMPUTED_VALUE"""),1.0)</f>
        <v>1</v>
      </c>
      <c r="G2434" s="6" t="str">
        <f>IFERROR(__xludf.DUMMYFUNCTION("""COMPUTED_VALUE"""),"Unit")</f>
        <v>Unit</v>
      </c>
      <c r="H2434" s="6" t="str">
        <f>IFERROR(__xludf.DUMMYFUNCTION("""COMPUTED_VALUE"""),"IDR")</f>
        <v>IDR</v>
      </c>
      <c r="I2434" s="11">
        <f>IFERROR(__xludf.DUMMYFUNCTION("""COMPUTED_VALUE"""),1.8E7)</f>
        <v>18000000</v>
      </c>
      <c r="J2434" s="11">
        <f>IFERROR(__xludf.DUMMYFUNCTION("""COMPUTED_VALUE"""),1.8E7)</f>
        <v>18000000</v>
      </c>
      <c r="K2434" s="57">
        <f>IFERROR(__xludf.DUMMYFUNCTION("""COMPUTED_VALUE"""),45120.0)</f>
        <v>45120</v>
      </c>
      <c r="L2434" s="6" t="str">
        <f>IFERROR(__xludf.DUMMYFUNCTION("""COMPUTED_VALUE"""),"FIP General")</f>
        <v>FIP General</v>
      </c>
      <c r="M2434" s="6" t="str">
        <f>IFERROR(__xludf.DUMMYFUNCTION("""COMPUTED_VALUE"""),"Kristiawan Sakti Winarno")</f>
        <v>Kristiawan Sakti Winarno</v>
      </c>
      <c r="N2434" s="6" t="str">
        <f>IFERROR(__xludf.DUMMYFUNCTION("""COMPUTED_VALUE"""),"FIP Engineering")</f>
        <v>FIP Engineering</v>
      </c>
      <c r="O2434" s="6" t="str">
        <f>IFERROR(__xludf.DUMMYFUNCTION("""COMPUTED_VALUE"""),"FIP-DOM-ENG-13408-IT23007-INA-000000")</f>
        <v>FIP-DOM-ENG-13408-IT23007-INA-000000</v>
      </c>
      <c r="P2434" s="6" t="str">
        <f>IFERROR(__xludf.DUMMYFUNCTION("""COMPUTED_VALUE"""),"PO Closed")</f>
        <v>PO Closed</v>
      </c>
      <c r="Q2434" s="6" t="str">
        <f>IFERROR(__xludf.DUMMYFUNCTION("""COMPUTED_VALUE"""),"GL2308024")</f>
        <v>GL2308024</v>
      </c>
      <c r="R2434" s="57">
        <f>IFERROR(__xludf.DUMMYFUNCTION("""COMPUTED_VALUE"""),45099.0)</f>
        <v>45099</v>
      </c>
      <c r="S2434" s="57">
        <f>IFERROR(__xludf.DUMMYFUNCTION("""COMPUTED_VALUE"""),45100.0)</f>
        <v>45100</v>
      </c>
      <c r="T2434" s="57">
        <f>IFERROR(__xludf.DUMMYFUNCTION("""COMPUTED_VALUE"""),45160.0)</f>
        <v>45160</v>
      </c>
    </row>
    <row r="2435">
      <c r="A2435" s="6" t="str">
        <f>IFERROR(__xludf.DUMMYFUNCTION("""COMPUTED_VALUE"""),"231750397-1")</f>
        <v>231750397-1</v>
      </c>
      <c r="B2435" s="6" t="str">
        <f>IFERROR(__xludf.DUMMYFUNCTION("""COMPUTED_VALUE"""),"231750397 - Approved")</f>
        <v>231750397 - Approved</v>
      </c>
      <c r="C2435" s="6">
        <f>IFERROR(__xludf.DUMMYFUNCTION("""COMPUTED_VALUE"""),1.0)</f>
        <v>1</v>
      </c>
      <c r="D2435" s="6" t="str">
        <f>IFERROR(__xludf.DUMMYFUNCTION("""COMPUTED_VALUE"""),"S-60050-00")</f>
        <v>S-60050-00</v>
      </c>
      <c r="E2435" s="6" t="str">
        <f>IFERROR(__xludf.DUMMYFUNCTION("""COMPUTED_VALUE"""),"Jasa Perbaikan dan Pemeliharaan Mesin Produksi; ; ; - Repair Nozzle Mesin EDM")</f>
        <v>Jasa Perbaikan dan Pemeliharaan Mesin Produksi; ; ; - Repair Nozzle Mesin EDM</v>
      </c>
      <c r="F2435" s="6">
        <f>IFERROR(__xludf.DUMMYFUNCTION("""COMPUTED_VALUE"""),2.0)</f>
        <v>2</v>
      </c>
      <c r="G2435" s="6" t="str">
        <f>IFERROR(__xludf.DUMMYFUNCTION("""COMPUTED_VALUE"""),"Pieces")</f>
        <v>Pieces</v>
      </c>
      <c r="H2435" s="6" t="str">
        <f>IFERROR(__xludf.DUMMYFUNCTION("""COMPUTED_VALUE"""),"IDR")</f>
        <v>IDR</v>
      </c>
      <c r="I2435" s="11">
        <f>IFERROR(__xludf.DUMMYFUNCTION("""COMPUTED_VALUE"""),885000.0)</f>
        <v>885000</v>
      </c>
      <c r="J2435" s="11">
        <f>IFERROR(__xludf.DUMMYFUNCTION("""COMPUTED_VALUE"""),1770000.0)</f>
        <v>1770000</v>
      </c>
      <c r="K2435" s="57">
        <f>IFERROR(__xludf.DUMMYFUNCTION("""COMPUTED_VALUE"""),45230.0)</f>
        <v>45230</v>
      </c>
      <c r="L2435" s="6" t="str">
        <f>IFERROR(__xludf.DUMMYFUNCTION("""COMPUTED_VALUE"""),"FIP General")</f>
        <v>FIP General</v>
      </c>
      <c r="M2435" s="6" t="str">
        <f>IFERROR(__xludf.DUMMYFUNCTION("""COMPUTED_VALUE"""),"Irwan Sopian")</f>
        <v>Irwan Sopian</v>
      </c>
      <c r="N2435" s="6" t="str">
        <f>IFERROR(__xludf.DUMMYFUNCTION("""COMPUTED_VALUE"""),"FIP Engineering")</f>
        <v>FIP Engineering</v>
      </c>
      <c r="O2435" s="6" t="str">
        <f>IFERROR(__xludf.DUMMYFUNCTION("""COMPUTED_VALUE"""),"FIP-DOM-ENG-51504-0000000-INA-000000")</f>
        <v>FIP-DOM-ENG-51504-0000000-INA-000000</v>
      </c>
      <c r="P2435" s="6" t="str">
        <f>IFERROR(__xludf.DUMMYFUNCTION("""COMPUTED_VALUE"""),"PO Closed")</f>
        <v>PO Closed</v>
      </c>
      <c r="Q2435" s="6" t="str">
        <f>IFERROR(__xludf.DUMMYFUNCTION("""COMPUTED_VALUE"""),"GL2310047")</f>
        <v>GL2310047</v>
      </c>
      <c r="R2435" s="57">
        <f>IFERROR(__xludf.DUMMYFUNCTION("""COMPUTED_VALUE"""),45099.0)</f>
        <v>45099</v>
      </c>
      <c r="S2435" s="57">
        <f>IFERROR(__xludf.DUMMYFUNCTION("""COMPUTED_VALUE"""),45100.0)</f>
        <v>45100</v>
      </c>
      <c r="T2435" s="57">
        <f>IFERROR(__xludf.DUMMYFUNCTION("""COMPUTED_VALUE"""),45240.0)</f>
        <v>45240</v>
      </c>
    </row>
    <row r="2436">
      <c r="A2436" s="6" t="str">
        <f>IFERROR(__xludf.DUMMYFUNCTION("""COMPUTED_VALUE"""),"231750398-1")</f>
        <v>231750398-1</v>
      </c>
      <c r="B2436" s="6" t="str">
        <f>IFERROR(__xludf.DUMMYFUNCTION("""COMPUTED_VALUE"""),"231750398 - Approved")</f>
        <v>231750398 - Approved</v>
      </c>
      <c r="C2436" s="6">
        <f>IFERROR(__xludf.DUMMYFUNCTION("""COMPUTED_VALUE"""),1.0)</f>
        <v>1</v>
      </c>
      <c r="D2436" s="6" t="str">
        <f>IFERROR(__xludf.DUMMYFUNCTION("""COMPUTED_VALUE"""),"Q-10249-00")</f>
        <v>Q-10249-00</v>
      </c>
      <c r="E2436" s="6" t="str">
        <f>IFERROR(__xludf.DUMMYFUNCTION("""COMPUTED_VALUE"""),"Lem Power Glue; ; ;")</f>
        <v>Lem Power Glue; ; ;</v>
      </c>
      <c r="F2436" s="6">
        <f>IFERROR(__xludf.DUMMYFUNCTION("""COMPUTED_VALUE"""),10.0)</f>
        <v>10</v>
      </c>
      <c r="G2436" s="6" t="str">
        <f>IFERROR(__xludf.DUMMYFUNCTION("""COMPUTED_VALUE"""),"Pieces")</f>
        <v>Pieces</v>
      </c>
      <c r="H2436" s="6" t="str">
        <f>IFERROR(__xludf.DUMMYFUNCTION("""COMPUTED_VALUE"""),"IDR")</f>
        <v>IDR</v>
      </c>
      <c r="I2436" s="11">
        <f>IFERROR(__xludf.DUMMYFUNCTION("""COMPUTED_VALUE"""),4050.0)</f>
        <v>4050</v>
      </c>
      <c r="J2436" s="11">
        <f>IFERROR(__xludf.DUMMYFUNCTION("""COMPUTED_VALUE"""),40500.0)</f>
        <v>40500</v>
      </c>
      <c r="K2436" s="57">
        <f>IFERROR(__xludf.DUMMYFUNCTION("""COMPUTED_VALUE"""),45114.0)</f>
        <v>45114</v>
      </c>
      <c r="L2436" s="6" t="str">
        <f>IFERROR(__xludf.DUMMYFUNCTION("""COMPUTED_VALUE"""),"FIP Engineering")</f>
        <v>FIP Engineering</v>
      </c>
      <c r="M2436" s="6" t="str">
        <f>IFERROR(__xludf.DUMMYFUNCTION("""COMPUTED_VALUE"""),"Irwan Sopian")</f>
        <v>Irwan Sopian</v>
      </c>
      <c r="N2436" s="6" t="str">
        <f>IFERROR(__xludf.DUMMYFUNCTION("""COMPUTED_VALUE"""),"FIP Engineering")</f>
        <v>FIP Engineering</v>
      </c>
      <c r="O2436" s="6" t="str">
        <f>IFERROR(__xludf.DUMMYFUNCTION("""COMPUTED_VALUE"""),"FIP-DOM-000-11304-OS00001-INA-000000")</f>
        <v>FIP-DOM-000-11304-OS00001-INA-000000</v>
      </c>
      <c r="P2436" s="6" t="str">
        <f>IFERROR(__xludf.DUMMYFUNCTION("""COMPUTED_VALUE"""),"PO Closed")</f>
        <v>PO Closed</v>
      </c>
      <c r="Q2436" s="6" t="str">
        <f>IFERROR(__xludf.DUMMYFUNCTION("""COMPUTED_VALUE"""),"GL2307021")</f>
        <v>GL2307021</v>
      </c>
      <c r="R2436" s="57">
        <f>IFERROR(__xludf.DUMMYFUNCTION("""COMPUTED_VALUE"""),45100.0)</f>
        <v>45100</v>
      </c>
      <c r="S2436" s="57">
        <f>IFERROR(__xludf.DUMMYFUNCTION("""COMPUTED_VALUE"""),45104.0)</f>
        <v>45104</v>
      </c>
      <c r="T2436" s="57">
        <f>IFERROR(__xludf.DUMMYFUNCTION("""COMPUTED_VALUE"""),45132.0)</f>
        <v>45132</v>
      </c>
    </row>
    <row r="2437">
      <c r="A2437" s="6" t="str">
        <f>IFERROR(__xludf.DUMMYFUNCTION("""COMPUTED_VALUE"""),"231750399-1")</f>
        <v>231750399-1</v>
      </c>
      <c r="B2437" s="6" t="str">
        <f>IFERROR(__xludf.DUMMYFUNCTION("""COMPUTED_VALUE"""),"231750399 - Approved")</f>
        <v>231750399 - Approved</v>
      </c>
      <c r="C2437" s="6">
        <f>IFERROR(__xludf.DUMMYFUNCTION("""COMPUTED_VALUE"""),1.0)</f>
        <v>1</v>
      </c>
      <c r="D2437" s="6" t="str">
        <f>IFERROR(__xludf.DUMMYFUNCTION("""COMPUTED_VALUE"""),"O-19162-00")</f>
        <v>O-19162-00</v>
      </c>
      <c r="E2437" s="6" t="str">
        <f>IFERROR(__xludf.DUMMYFUNCTION("""COMPUTED_VALUE"""),"Shaft Pengunci AlphaPort; Lokal; ;")</f>
        <v>Shaft Pengunci AlphaPort; Lokal; ;</v>
      </c>
      <c r="F2437" s="6">
        <f>IFERROR(__xludf.DUMMYFUNCTION("""COMPUTED_VALUE"""),2.0)</f>
        <v>2</v>
      </c>
      <c r="G2437" s="6" t="str">
        <f>IFERROR(__xludf.DUMMYFUNCTION("""COMPUTED_VALUE"""),"Pieces")</f>
        <v>Pieces</v>
      </c>
      <c r="H2437" s="6" t="str">
        <f>IFERROR(__xludf.DUMMYFUNCTION("""COMPUTED_VALUE"""),"IDR")</f>
        <v>IDR</v>
      </c>
      <c r="I2437" s="11">
        <f>IFERROR(__xludf.DUMMYFUNCTION("""COMPUTED_VALUE"""),235000.0)</f>
        <v>235000</v>
      </c>
      <c r="J2437" s="11">
        <f>IFERROR(__xludf.DUMMYFUNCTION("""COMPUTED_VALUE"""),470000.0)</f>
        <v>470000</v>
      </c>
      <c r="K2437" s="57">
        <f>IFERROR(__xludf.DUMMYFUNCTION("""COMPUTED_VALUE"""),45122.0)</f>
        <v>45122</v>
      </c>
      <c r="L2437" s="6" t="str">
        <f>IFERROR(__xludf.DUMMYFUNCTION("""COMPUTED_VALUE"""),"FIP Engineering")</f>
        <v>FIP Engineering</v>
      </c>
      <c r="M2437" s="6" t="str">
        <f>IFERROR(__xludf.DUMMYFUNCTION("""COMPUTED_VALUE"""),"Irwan Sopian")</f>
        <v>Irwan Sopian</v>
      </c>
      <c r="N2437" s="6" t="str">
        <f>IFERROR(__xludf.DUMMYFUNCTION("""COMPUTED_VALUE"""),"FIP Engineering")</f>
        <v>FIP Engineering</v>
      </c>
      <c r="O2437" s="6" t="str">
        <f>IFERROR(__xludf.DUMMYFUNCTION("""COMPUTED_VALUE"""),"FIP-DOM-000-11304-OS00001-INA-000000")</f>
        <v>FIP-DOM-000-11304-OS00001-INA-000000</v>
      </c>
      <c r="P2437" s="6" t="str">
        <f>IFERROR(__xludf.DUMMYFUNCTION("""COMPUTED_VALUE"""),"PO Closed")</f>
        <v>PO Closed</v>
      </c>
      <c r="Q2437" s="6" t="str">
        <f>IFERROR(__xludf.DUMMYFUNCTION("""COMPUTED_VALUE"""),"GL2308015")</f>
        <v>GL2308015</v>
      </c>
      <c r="R2437" s="57">
        <f>IFERROR(__xludf.DUMMYFUNCTION("""COMPUTED_VALUE"""),45101.0)</f>
        <v>45101</v>
      </c>
      <c r="S2437" s="57">
        <f>IFERROR(__xludf.DUMMYFUNCTION("""COMPUTED_VALUE"""),45104.0)</f>
        <v>45104</v>
      </c>
      <c r="T2437" s="57">
        <f>IFERROR(__xludf.DUMMYFUNCTION("""COMPUTED_VALUE"""),45185.0)</f>
        <v>45185</v>
      </c>
    </row>
    <row r="2438">
      <c r="A2438" s="6" t="str">
        <f>IFERROR(__xludf.DUMMYFUNCTION("""COMPUTED_VALUE"""),"231750400-1")</f>
        <v>231750400-1</v>
      </c>
      <c r="B2438" s="6" t="str">
        <f>IFERROR(__xludf.DUMMYFUNCTION("""COMPUTED_VALUE"""),"231750400 - Approved")</f>
        <v>231750400 - Approved</v>
      </c>
      <c r="C2438" s="6">
        <f>IFERROR(__xludf.DUMMYFUNCTION("""COMPUTED_VALUE"""),1.0)</f>
        <v>1</v>
      </c>
      <c r="D2438" s="6" t="str">
        <f>IFERROR(__xludf.DUMMYFUNCTION("""COMPUTED_VALUE"""),"O-19164-00")</f>
        <v>O-19164-00</v>
      </c>
      <c r="E2438" s="6" t="str">
        <f>IFERROR(__xludf.DUMMYFUNCTION("""COMPUTED_VALUE"""),"LINEAR SHAFT PSSFG12-306; Misumi; ;")</f>
        <v>LINEAR SHAFT PSSFG12-306; Misumi; ;</v>
      </c>
      <c r="F2438" s="6">
        <f>IFERROR(__xludf.DUMMYFUNCTION("""COMPUTED_VALUE"""),1.0)</f>
        <v>1</v>
      </c>
      <c r="G2438" s="6" t="str">
        <f>IFERROR(__xludf.DUMMYFUNCTION("""COMPUTED_VALUE"""),"Pieces")</f>
        <v>Pieces</v>
      </c>
      <c r="H2438" s="6" t="str">
        <f>IFERROR(__xludf.DUMMYFUNCTION("""COMPUTED_VALUE"""),"IDR")</f>
        <v>IDR</v>
      </c>
      <c r="I2438" s="11">
        <f>IFERROR(__xludf.DUMMYFUNCTION("""COMPUTED_VALUE"""),302156.0)</f>
        <v>302156</v>
      </c>
      <c r="J2438" s="11">
        <f>IFERROR(__xludf.DUMMYFUNCTION("""COMPUTED_VALUE"""),302156.0)</f>
        <v>302156</v>
      </c>
      <c r="K2438" s="57">
        <f>IFERROR(__xludf.DUMMYFUNCTION("""COMPUTED_VALUE"""),45122.0)</f>
        <v>45122</v>
      </c>
      <c r="L2438" s="6" t="str">
        <f>IFERROR(__xludf.DUMMYFUNCTION("""COMPUTED_VALUE"""),"FIP Engineering")</f>
        <v>FIP Engineering</v>
      </c>
      <c r="M2438" s="6" t="str">
        <f>IFERROR(__xludf.DUMMYFUNCTION("""COMPUTED_VALUE"""),"Irwan Sopian")</f>
        <v>Irwan Sopian</v>
      </c>
      <c r="N2438" s="6" t="str">
        <f>IFERROR(__xludf.DUMMYFUNCTION("""COMPUTED_VALUE"""),"FIP Engineering")</f>
        <v>FIP Engineering</v>
      </c>
      <c r="O2438" s="6" t="str">
        <f>IFERROR(__xludf.DUMMYFUNCTION("""COMPUTED_VALUE"""),"FIP-DOM-000-11304-OS00001-INA-000000")</f>
        <v>FIP-DOM-000-11304-OS00001-INA-000000</v>
      </c>
      <c r="P2438" s="6" t="str">
        <f>IFERROR(__xludf.DUMMYFUNCTION("""COMPUTED_VALUE"""),"PO Closed")</f>
        <v>PO Closed</v>
      </c>
      <c r="Q2438" s="6" t="str">
        <f>IFERROR(__xludf.DUMMYFUNCTION("""COMPUTED_VALUE"""),"GL2308016")</f>
        <v>GL2308016</v>
      </c>
      <c r="R2438" s="57">
        <f>IFERROR(__xludf.DUMMYFUNCTION("""COMPUTED_VALUE"""),45101.0)</f>
        <v>45101</v>
      </c>
      <c r="S2438" s="57">
        <f>IFERROR(__xludf.DUMMYFUNCTION("""COMPUTED_VALUE"""),45104.0)</f>
        <v>45104</v>
      </c>
      <c r="T2438" s="57">
        <f>IFERROR(__xludf.DUMMYFUNCTION("""COMPUTED_VALUE"""),45185.0)</f>
        <v>45185</v>
      </c>
    </row>
    <row r="2439">
      <c r="A2439" s="6" t="str">
        <f>IFERROR(__xludf.DUMMYFUNCTION("""COMPUTED_VALUE"""),"231750402-1")</f>
        <v>231750402-1</v>
      </c>
      <c r="B2439" s="6" t="str">
        <f>IFERROR(__xludf.DUMMYFUNCTION("""COMPUTED_VALUE"""),"231750402 - Approved")</f>
        <v>231750402 - Approved</v>
      </c>
      <c r="C2439" s="6">
        <f>IFERROR(__xludf.DUMMYFUNCTION("""COMPUTED_VALUE"""),1.0)</f>
        <v>1</v>
      </c>
      <c r="D2439" s="6" t="str">
        <f>IFERROR(__xludf.DUMMYFUNCTION("""COMPUTED_VALUE"""),"O-52941-00")</f>
        <v>O-52941-00</v>
      </c>
      <c r="E2439" s="6" t="str">
        <f>IFERROR(__xludf.DUMMYFUNCTION("""COMPUTED_VALUE"""),"PRINTER/PC INTERFACE-TEMPERATURE-G01A01-NEW (298/08/13-14) 0202PPCT02; ; ;")</f>
        <v>PRINTER/PC INTERFACE-TEMPERATURE-G01A01-NEW (298/08/13-14) 0202PPCT02; ; ;</v>
      </c>
      <c r="F2439" s="6">
        <f>IFERROR(__xludf.DUMMYFUNCTION("""COMPUTED_VALUE"""),2.0)</f>
        <v>2</v>
      </c>
      <c r="G2439" s="6" t="str">
        <f>IFERROR(__xludf.DUMMYFUNCTION("""COMPUTED_VALUE"""),"Pieces")</f>
        <v>Pieces</v>
      </c>
      <c r="H2439" s="6" t="str">
        <f>IFERROR(__xludf.DUMMYFUNCTION("""COMPUTED_VALUE"""),"IDR")</f>
        <v>IDR</v>
      </c>
      <c r="I2439" s="11">
        <f>IFERROR(__xludf.DUMMYFUNCTION("""COMPUTED_VALUE"""),6750000.0)</f>
        <v>6750000</v>
      </c>
      <c r="J2439" s="11">
        <f>IFERROR(__xludf.DUMMYFUNCTION("""COMPUTED_VALUE"""),1.35E7)</f>
        <v>13500000</v>
      </c>
      <c r="K2439" s="57">
        <f>IFERROR(__xludf.DUMMYFUNCTION("""COMPUTED_VALUE"""),45135.0)</f>
        <v>45135</v>
      </c>
      <c r="L2439" s="6" t="str">
        <f>IFERROR(__xludf.DUMMYFUNCTION("""COMPUTED_VALUE"""),"FIP Engineering")</f>
        <v>FIP Engineering</v>
      </c>
      <c r="M2439" s="6" t="str">
        <f>IFERROR(__xludf.DUMMYFUNCTION("""COMPUTED_VALUE"""),"Irwan Sopian")</f>
        <v>Irwan Sopian</v>
      </c>
      <c r="N2439" s="6" t="str">
        <f>IFERROR(__xludf.DUMMYFUNCTION("""COMPUTED_VALUE"""),"FIP Engineering")</f>
        <v>FIP Engineering</v>
      </c>
      <c r="O2439" s="6" t="str">
        <f>IFERROR(__xludf.DUMMYFUNCTION("""COMPUTED_VALUE"""),"FIP-DOM-000-11304-OS00001-INA-000000")</f>
        <v>FIP-DOM-000-11304-OS00001-INA-000000</v>
      </c>
      <c r="P2439" s="6" t="str">
        <f>IFERROR(__xludf.DUMMYFUNCTION("""COMPUTED_VALUE"""),"PO Closed")</f>
        <v>PO Closed</v>
      </c>
      <c r="Q2439" s="6" t="str">
        <f>IFERROR(__xludf.DUMMYFUNCTION("""COMPUTED_VALUE"""),"GL2308017")</f>
        <v>GL2308017</v>
      </c>
      <c r="R2439" s="57">
        <f>IFERROR(__xludf.DUMMYFUNCTION("""COMPUTED_VALUE"""),45101.0)</f>
        <v>45101</v>
      </c>
      <c r="S2439" s="57">
        <f>IFERROR(__xludf.DUMMYFUNCTION("""COMPUTED_VALUE"""),45104.0)</f>
        <v>45104</v>
      </c>
      <c r="T2439" s="57">
        <f>IFERROR(__xludf.DUMMYFUNCTION("""COMPUTED_VALUE"""),45214.0)</f>
        <v>45214</v>
      </c>
    </row>
    <row r="2440">
      <c r="A2440" s="6" t="str">
        <f>IFERROR(__xludf.DUMMYFUNCTION("""COMPUTED_VALUE"""),"231750404-1")</f>
        <v>231750404-1</v>
      </c>
      <c r="B2440" s="6" t="str">
        <f>IFERROR(__xludf.DUMMYFUNCTION("""COMPUTED_VALUE"""),"231750404 - Approved")</f>
        <v>231750404 - Approved</v>
      </c>
      <c r="C2440" s="6">
        <f>IFERROR(__xludf.DUMMYFUNCTION("""COMPUTED_VALUE"""),1.0)</f>
        <v>1</v>
      </c>
      <c r="D2440" s="6" t="str">
        <f>IFERROR(__xludf.DUMMYFUNCTION("""COMPUTED_VALUE"""),"O-52942-00")</f>
        <v>O-52942-00</v>
      </c>
      <c r="E2440" s="6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F2440" s="6">
        <f>IFERROR(__xludf.DUMMYFUNCTION("""COMPUTED_VALUE"""),1.0)</f>
        <v>1</v>
      </c>
      <c r="G2440" s="6" t="str">
        <f>IFERROR(__xludf.DUMMYFUNCTION("""COMPUTED_VALUE"""),"Pieces")</f>
        <v>Pieces</v>
      </c>
      <c r="H2440" s="6" t="str">
        <f>IFERROR(__xludf.DUMMYFUNCTION("""COMPUTED_VALUE"""),"IDR")</f>
        <v>IDR</v>
      </c>
      <c r="I2440" s="11">
        <f>IFERROR(__xludf.DUMMYFUNCTION("""COMPUTED_VALUE"""),1.39E7)</f>
        <v>13900000</v>
      </c>
      <c r="J2440" s="11">
        <f>IFERROR(__xludf.DUMMYFUNCTION("""COMPUTED_VALUE"""),1.39E7)</f>
        <v>13900000</v>
      </c>
      <c r="K2440" s="57">
        <f>IFERROR(__xludf.DUMMYFUNCTION("""COMPUTED_VALUE"""),45153.0)</f>
        <v>45153</v>
      </c>
      <c r="L2440" s="6" t="str">
        <f>IFERROR(__xludf.DUMMYFUNCTION("""COMPUTED_VALUE"""),"FIP Engineering")</f>
        <v>FIP Engineering</v>
      </c>
      <c r="M2440" s="6" t="str">
        <f>IFERROR(__xludf.DUMMYFUNCTION("""COMPUTED_VALUE"""),"Irwan Sopian")</f>
        <v>Irwan Sopian</v>
      </c>
      <c r="N2440" s="6" t="str">
        <f>IFERROR(__xludf.DUMMYFUNCTION("""COMPUTED_VALUE"""),"FIP Engineering")</f>
        <v>FIP Engineering</v>
      </c>
      <c r="O2440" s="6" t="str">
        <f>IFERROR(__xludf.DUMMYFUNCTION("""COMPUTED_VALUE"""),"FIP-DOM-000-11304-OS00001-INA-000000")</f>
        <v>FIP-DOM-000-11304-OS00001-INA-000000</v>
      </c>
      <c r="P2440" s="6" t="str">
        <f>IFERROR(__xludf.DUMMYFUNCTION("""COMPUTED_VALUE"""),"PO Closed")</f>
        <v>PO Closed</v>
      </c>
      <c r="Q2440" s="6" t="str">
        <f>IFERROR(__xludf.DUMMYFUNCTION("""COMPUTED_VALUE"""),"GL2308018")</f>
        <v>GL2308018</v>
      </c>
      <c r="R2440" s="57">
        <f>IFERROR(__xludf.DUMMYFUNCTION("""COMPUTED_VALUE"""),45101.0)</f>
        <v>45101</v>
      </c>
      <c r="S2440" s="57">
        <f>IFERROR(__xludf.DUMMYFUNCTION("""COMPUTED_VALUE"""),45104.0)</f>
        <v>45104</v>
      </c>
      <c r="T2440" s="57">
        <f>IFERROR(__xludf.DUMMYFUNCTION("""COMPUTED_VALUE"""),45442.0)</f>
        <v>45442</v>
      </c>
    </row>
    <row r="2441">
      <c r="A2441" s="6" t="str">
        <f>IFERROR(__xludf.DUMMYFUNCTION("""COMPUTED_VALUE"""),"231750432-1")</f>
        <v>231750432-1</v>
      </c>
      <c r="B2441" s="6" t="str">
        <f>IFERROR(__xludf.DUMMYFUNCTION("""COMPUTED_VALUE"""),"231750432 - Approved")</f>
        <v>231750432 - Approved</v>
      </c>
      <c r="C2441" s="6">
        <f>IFERROR(__xludf.DUMMYFUNCTION("""COMPUTED_VALUE"""),1.0)</f>
        <v>1</v>
      </c>
      <c r="D2441" s="6" t="str">
        <f>IFERROR(__xludf.DUMMYFUNCTION("""COMPUTED_VALUE"""),"O-18108-00")</f>
        <v>O-18108-00</v>
      </c>
      <c r="E2441" s="6" t="str">
        <f>IFERROR(__xludf.DUMMYFUNCTION("""COMPUTED_VALUE"""),"Freeze Dryer MBE1207 - Therm.Exp.Valve TE2 R404A/R507A 068Z3403; DANFOSS; ;")</f>
        <v>Freeze Dryer MBE1207 - Therm.Exp.Valve TE2 R404A/R507A 068Z3403; DANFOSS; ;</v>
      </c>
      <c r="F2441" s="6">
        <f>IFERROR(__xludf.DUMMYFUNCTION("""COMPUTED_VALUE"""),4.0)</f>
        <v>4</v>
      </c>
      <c r="G2441" s="6" t="str">
        <f>IFERROR(__xludf.DUMMYFUNCTION("""COMPUTED_VALUE"""),"Pieces")</f>
        <v>Pieces</v>
      </c>
      <c r="H2441" s="6" t="str">
        <f>IFERROR(__xludf.DUMMYFUNCTION("""COMPUTED_VALUE"""),"IDR")</f>
        <v>IDR</v>
      </c>
      <c r="I2441" s="11">
        <f>IFERROR(__xludf.DUMMYFUNCTION("""COMPUTED_VALUE"""),650000.0)</f>
        <v>650000</v>
      </c>
      <c r="J2441" s="11">
        <f>IFERROR(__xludf.DUMMYFUNCTION("""COMPUTED_VALUE"""),2600000.0)</f>
        <v>2600000</v>
      </c>
      <c r="K2441" s="57">
        <f>IFERROR(__xludf.DUMMYFUNCTION("""COMPUTED_VALUE"""),45132.0)</f>
        <v>45132</v>
      </c>
      <c r="L2441" s="6" t="str">
        <f>IFERROR(__xludf.DUMMYFUNCTION("""COMPUTED_VALUE"""),"FIP Engineering")</f>
        <v>FIP Engineering</v>
      </c>
      <c r="M2441" s="6" t="str">
        <f>IFERROR(__xludf.DUMMYFUNCTION("""COMPUTED_VALUE"""),"Irwan Sopian")</f>
        <v>Irwan Sopian</v>
      </c>
      <c r="N2441" s="6" t="str">
        <f>IFERROR(__xludf.DUMMYFUNCTION("""COMPUTED_VALUE"""),"FIP Engineering")</f>
        <v>FIP Engineering</v>
      </c>
      <c r="O2441" s="6" t="str">
        <f>IFERROR(__xludf.DUMMYFUNCTION("""COMPUTED_VALUE"""),"FIP-DOM-000-11304-OS00001-INA-000000")</f>
        <v>FIP-DOM-000-11304-OS00001-INA-000000</v>
      </c>
      <c r="P2441" s="6" t="str">
        <f>IFERROR(__xludf.DUMMYFUNCTION("""COMPUTED_VALUE"""),"PO Closed")</f>
        <v>PO Closed</v>
      </c>
      <c r="Q2441" s="6" t="str">
        <f>IFERROR(__xludf.DUMMYFUNCTION("""COMPUTED_VALUE"""),"GL2307019")</f>
        <v>GL2307019</v>
      </c>
      <c r="R2441" s="57">
        <f>IFERROR(__xludf.DUMMYFUNCTION("""COMPUTED_VALUE"""),45112.0)</f>
        <v>45112</v>
      </c>
      <c r="S2441" s="57">
        <f>IFERROR(__xludf.DUMMYFUNCTION("""COMPUTED_VALUE"""),45112.0)</f>
        <v>45112</v>
      </c>
      <c r="T2441" s="57">
        <f>IFERROR(__xludf.DUMMYFUNCTION("""COMPUTED_VALUE"""),45132.0)</f>
        <v>45132</v>
      </c>
    </row>
    <row r="2442">
      <c r="A2442" s="6" t="str">
        <f>IFERROR(__xludf.DUMMYFUNCTION("""COMPUTED_VALUE"""),"231750432-2")</f>
        <v>231750432-2</v>
      </c>
      <c r="B2442" s="6" t="str">
        <f>IFERROR(__xludf.DUMMYFUNCTION("""COMPUTED_VALUE"""),"231750432 - Approved")</f>
        <v>231750432 - Approved</v>
      </c>
      <c r="C2442" s="6">
        <f>IFERROR(__xludf.DUMMYFUNCTION("""COMPUTED_VALUE"""),2.0)</f>
        <v>2</v>
      </c>
      <c r="D2442" s="6" t="str">
        <f>IFERROR(__xludf.DUMMYFUNCTION("""COMPUTED_VALUE"""),"O-19211-00")</f>
        <v>O-19211-00</v>
      </c>
      <c r="E2442" s="6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F2442" s="6">
        <f>IFERROR(__xludf.DUMMYFUNCTION("""COMPUTED_VALUE"""),2.0)</f>
        <v>2</v>
      </c>
      <c r="G2442" s="6" t="str">
        <f>IFERROR(__xludf.DUMMYFUNCTION("""COMPUTED_VALUE"""),"Pieces")</f>
        <v>Pieces</v>
      </c>
      <c r="H2442" s="6" t="str">
        <f>IFERROR(__xludf.DUMMYFUNCTION("""COMPUTED_VALUE"""),"IDR")</f>
        <v>IDR</v>
      </c>
      <c r="I2442" s="11">
        <f>IFERROR(__xludf.DUMMYFUNCTION("""COMPUTED_VALUE"""),870000.0)</f>
        <v>870000</v>
      </c>
      <c r="J2442" s="11">
        <f>IFERROR(__xludf.DUMMYFUNCTION("""COMPUTED_VALUE"""),1740000.0)</f>
        <v>1740000</v>
      </c>
      <c r="K2442" s="57">
        <f>IFERROR(__xludf.DUMMYFUNCTION("""COMPUTED_VALUE"""),45132.0)</f>
        <v>45132</v>
      </c>
      <c r="L2442" s="6" t="str">
        <f>IFERROR(__xludf.DUMMYFUNCTION("""COMPUTED_VALUE"""),"FIP Engineering")</f>
        <v>FIP Engineering</v>
      </c>
      <c r="M2442" s="6" t="str">
        <f>IFERROR(__xludf.DUMMYFUNCTION("""COMPUTED_VALUE"""),"Irwan Sopian")</f>
        <v>Irwan Sopian</v>
      </c>
      <c r="N2442" s="6" t="str">
        <f>IFERROR(__xludf.DUMMYFUNCTION("""COMPUTED_VALUE"""),"FIP Engineering")</f>
        <v>FIP Engineering</v>
      </c>
      <c r="O2442" s="6" t="str">
        <f>IFERROR(__xludf.DUMMYFUNCTION("""COMPUTED_VALUE"""),"FIP-DOM-000-11304-OS00001-INA-000000")</f>
        <v>FIP-DOM-000-11304-OS00001-INA-000000</v>
      </c>
      <c r="P2442" s="6" t="str">
        <f>IFERROR(__xludf.DUMMYFUNCTION("""COMPUTED_VALUE"""),"PO Closed")</f>
        <v>PO Closed</v>
      </c>
      <c r="Q2442" s="6" t="str">
        <f>IFERROR(__xludf.DUMMYFUNCTION("""COMPUTED_VALUE"""),"GL2308044")</f>
        <v>GL2308044</v>
      </c>
      <c r="R2442" s="57">
        <f>IFERROR(__xludf.DUMMYFUNCTION("""COMPUTED_VALUE"""),45112.0)</f>
        <v>45112</v>
      </c>
      <c r="S2442" s="57">
        <f>IFERROR(__xludf.DUMMYFUNCTION("""COMPUTED_VALUE"""),45112.0)</f>
        <v>45112</v>
      </c>
      <c r="T2442" s="57">
        <f>IFERROR(__xludf.DUMMYFUNCTION("""COMPUTED_VALUE"""),45186.0)</f>
        <v>45186</v>
      </c>
    </row>
    <row r="2443">
      <c r="A2443" s="6" t="str">
        <f>IFERROR(__xludf.DUMMYFUNCTION("""COMPUTED_VALUE"""),"231750432-3")</f>
        <v>231750432-3</v>
      </c>
      <c r="B2443" s="6" t="str">
        <f>IFERROR(__xludf.DUMMYFUNCTION("""COMPUTED_VALUE"""),"231750432 - Approved")</f>
        <v>231750432 - Approved</v>
      </c>
      <c r="C2443" s="6">
        <f>IFERROR(__xludf.DUMMYFUNCTION("""COMPUTED_VALUE"""),3.0)</f>
        <v>3</v>
      </c>
      <c r="D2443" s="6" t="str">
        <f>IFERROR(__xludf.DUMMYFUNCTION("""COMPUTED_VALUE"""),"O-19212-00")</f>
        <v>O-19212-00</v>
      </c>
      <c r="E2443" s="6" t="str">
        <f>IFERROR(__xludf.DUMMYFUNCTION("""COMPUTED_VALUE"""),"Freeze Dryer MBE1207 - Orifice No. 03 068-2006; Danfoss; ;")</f>
        <v>Freeze Dryer MBE1207 - Orifice No. 03 068-2006; Danfoss; ;</v>
      </c>
      <c r="F2443" s="6">
        <f>IFERROR(__xludf.DUMMYFUNCTION("""COMPUTED_VALUE"""),6.0)</f>
        <v>6</v>
      </c>
      <c r="G2443" s="6" t="str">
        <f>IFERROR(__xludf.DUMMYFUNCTION("""COMPUTED_VALUE"""),"Pieces")</f>
        <v>Pieces</v>
      </c>
      <c r="H2443" s="6" t="str">
        <f>IFERROR(__xludf.DUMMYFUNCTION("""COMPUTED_VALUE"""),"IDR")</f>
        <v>IDR</v>
      </c>
      <c r="I2443" s="11">
        <f>IFERROR(__xludf.DUMMYFUNCTION("""COMPUTED_VALUE"""),130000.0)</f>
        <v>130000</v>
      </c>
      <c r="J2443" s="11">
        <f>IFERROR(__xludf.DUMMYFUNCTION("""COMPUTED_VALUE"""),780000.0)</f>
        <v>780000</v>
      </c>
      <c r="K2443" s="57">
        <f>IFERROR(__xludf.DUMMYFUNCTION("""COMPUTED_VALUE"""),45132.0)</f>
        <v>45132</v>
      </c>
      <c r="L2443" s="6" t="str">
        <f>IFERROR(__xludf.DUMMYFUNCTION("""COMPUTED_VALUE"""),"FIP Engineering")</f>
        <v>FIP Engineering</v>
      </c>
      <c r="M2443" s="6" t="str">
        <f>IFERROR(__xludf.DUMMYFUNCTION("""COMPUTED_VALUE"""),"Irwan Sopian")</f>
        <v>Irwan Sopian</v>
      </c>
      <c r="N2443" s="6" t="str">
        <f>IFERROR(__xludf.DUMMYFUNCTION("""COMPUTED_VALUE"""),"FIP Engineering")</f>
        <v>FIP Engineering</v>
      </c>
      <c r="O2443" s="6" t="str">
        <f>IFERROR(__xludf.DUMMYFUNCTION("""COMPUTED_VALUE"""),"FIP-DOM-000-11304-OS00001-INA-000000")</f>
        <v>FIP-DOM-000-11304-OS00001-INA-000000</v>
      </c>
      <c r="P2443" s="6" t="str">
        <f>IFERROR(__xludf.DUMMYFUNCTION("""COMPUTED_VALUE"""),"PO Closed")</f>
        <v>PO Closed</v>
      </c>
      <c r="Q2443" s="6" t="str">
        <f>IFERROR(__xludf.DUMMYFUNCTION("""COMPUTED_VALUE"""),"GL2307019")</f>
        <v>GL2307019</v>
      </c>
      <c r="R2443" s="57">
        <f>IFERROR(__xludf.DUMMYFUNCTION("""COMPUTED_VALUE"""),45112.0)</f>
        <v>45112</v>
      </c>
      <c r="S2443" s="57">
        <f>IFERROR(__xludf.DUMMYFUNCTION("""COMPUTED_VALUE"""),45112.0)</f>
        <v>45112</v>
      </c>
      <c r="T2443" s="57">
        <f>IFERROR(__xludf.DUMMYFUNCTION("""COMPUTED_VALUE"""),45132.0)</f>
        <v>45132</v>
      </c>
    </row>
    <row r="2444">
      <c r="A2444" s="6" t="str">
        <f>IFERROR(__xludf.DUMMYFUNCTION("""COMPUTED_VALUE"""),"231750432-4")</f>
        <v>231750432-4</v>
      </c>
      <c r="B2444" s="6" t="str">
        <f>IFERROR(__xludf.DUMMYFUNCTION("""COMPUTED_VALUE"""),"231750432 - Approved")</f>
        <v>231750432 - Approved</v>
      </c>
      <c r="C2444" s="6">
        <f>IFERROR(__xludf.DUMMYFUNCTION("""COMPUTED_VALUE"""),4.0)</f>
        <v>4</v>
      </c>
      <c r="D2444" s="6" t="str">
        <f>IFERROR(__xludf.DUMMYFUNCTION("""COMPUTED_VALUE"""),"O-19213-00")</f>
        <v>O-19213-00</v>
      </c>
      <c r="E2444" s="6" t="str">
        <f>IFERROR(__xludf.DUMMYFUNCTION("""COMPUTED_VALUE"""),"Freeze Dryer MBE1207 - Orifice 04 for Expansi Valve TE5 067B2792; Danfoss; ;")</f>
        <v>Freeze Dryer MBE1207 - Orifice 04 for Expansi Valve TE5 067B2792; Danfoss; ;</v>
      </c>
      <c r="F2444" s="6">
        <f>IFERROR(__xludf.DUMMYFUNCTION("""COMPUTED_VALUE"""),2.0)</f>
        <v>2</v>
      </c>
      <c r="G2444" s="6" t="str">
        <f>IFERROR(__xludf.DUMMYFUNCTION("""COMPUTED_VALUE"""),"Pieces")</f>
        <v>Pieces</v>
      </c>
      <c r="H2444" s="6" t="str">
        <f>IFERROR(__xludf.DUMMYFUNCTION("""COMPUTED_VALUE"""),"IDR")</f>
        <v>IDR</v>
      </c>
      <c r="I2444" s="11">
        <f>IFERROR(__xludf.DUMMYFUNCTION("""COMPUTED_VALUE"""),868000.0)</f>
        <v>868000</v>
      </c>
      <c r="J2444" s="11">
        <f>IFERROR(__xludf.DUMMYFUNCTION("""COMPUTED_VALUE"""),1736000.0)</f>
        <v>1736000</v>
      </c>
      <c r="K2444" s="57">
        <f>IFERROR(__xludf.DUMMYFUNCTION("""COMPUTED_VALUE"""),45132.0)</f>
        <v>45132</v>
      </c>
      <c r="L2444" s="6" t="str">
        <f>IFERROR(__xludf.DUMMYFUNCTION("""COMPUTED_VALUE"""),"FIP Engineering")</f>
        <v>FIP Engineering</v>
      </c>
      <c r="M2444" s="6" t="str">
        <f>IFERROR(__xludf.DUMMYFUNCTION("""COMPUTED_VALUE"""),"Irwan Sopian")</f>
        <v>Irwan Sopian</v>
      </c>
      <c r="N2444" s="6" t="str">
        <f>IFERROR(__xludf.DUMMYFUNCTION("""COMPUTED_VALUE"""),"FIP Engineering")</f>
        <v>FIP Engineering</v>
      </c>
      <c r="O2444" s="6" t="str">
        <f>IFERROR(__xludf.DUMMYFUNCTION("""COMPUTED_VALUE"""),"FIP-DOM-000-11304-OS00001-INA-000000")</f>
        <v>FIP-DOM-000-11304-OS00001-INA-000000</v>
      </c>
      <c r="P2444" s="6" t="str">
        <f>IFERROR(__xludf.DUMMYFUNCTION("""COMPUTED_VALUE"""),"PO Closed")</f>
        <v>PO Closed</v>
      </c>
      <c r="Q2444" s="6" t="str">
        <f>IFERROR(__xludf.DUMMYFUNCTION("""COMPUTED_VALUE"""),"GL2308044")</f>
        <v>GL2308044</v>
      </c>
      <c r="R2444" s="57">
        <f>IFERROR(__xludf.DUMMYFUNCTION("""COMPUTED_VALUE"""),45112.0)</f>
        <v>45112</v>
      </c>
      <c r="S2444" s="57">
        <f>IFERROR(__xludf.DUMMYFUNCTION("""COMPUTED_VALUE"""),45112.0)</f>
        <v>45112</v>
      </c>
      <c r="T2444" s="57">
        <f>IFERROR(__xludf.DUMMYFUNCTION("""COMPUTED_VALUE"""),45186.0)</f>
        <v>45186</v>
      </c>
    </row>
    <row r="2445">
      <c r="A2445" s="6" t="str">
        <f>IFERROR(__xludf.DUMMYFUNCTION("""COMPUTED_VALUE"""),"231750432-5")</f>
        <v>231750432-5</v>
      </c>
      <c r="B2445" s="6" t="str">
        <f>IFERROR(__xludf.DUMMYFUNCTION("""COMPUTED_VALUE"""),"231750432 - Approved")</f>
        <v>231750432 - Approved</v>
      </c>
      <c r="C2445" s="6">
        <f>IFERROR(__xludf.DUMMYFUNCTION("""COMPUTED_VALUE"""),5.0)</f>
        <v>5</v>
      </c>
      <c r="D2445" s="6" t="str">
        <f>IFERROR(__xludf.DUMMYFUNCTION("""COMPUTED_VALUE"""),"O-19214-00")</f>
        <v>O-19214-00</v>
      </c>
      <c r="E2445" s="6" t="str">
        <f>IFERROR(__xludf.DUMMYFUNCTION("""COMPUTED_VALUE"""),"Freeze Dryer MBE1207 - Expansi Valve TE 5 067B3343 R404A/R507; Danfoss; ;")</f>
        <v>Freeze Dryer MBE1207 - Expansi Valve TE 5 067B3343 R404A/R507; Danfoss; ;</v>
      </c>
      <c r="F2445" s="6">
        <f>IFERROR(__xludf.DUMMYFUNCTION("""COMPUTED_VALUE"""),2.0)</f>
        <v>2</v>
      </c>
      <c r="G2445" s="6" t="str">
        <f>IFERROR(__xludf.DUMMYFUNCTION("""COMPUTED_VALUE"""),"Pieces")</f>
        <v>Pieces</v>
      </c>
      <c r="H2445" s="6" t="str">
        <f>IFERROR(__xludf.DUMMYFUNCTION("""COMPUTED_VALUE"""),"IDR")</f>
        <v>IDR</v>
      </c>
      <c r="I2445" s="11">
        <f>IFERROR(__xludf.DUMMYFUNCTION("""COMPUTED_VALUE"""),1350000.0)</f>
        <v>1350000</v>
      </c>
      <c r="J2445" s="11">
        <f>IFERROR(__xludf.DUMMYFUNCTION("""COMPUTED_VALUE"""),2700000.0)</f>
        <v>2700000</v>
      </c>
      <c r="K2445" s="57">
        <f>IFERROR(__xludf.DUMMYFUNCTION("""COMPUTED_VALUE"""),45132.0)</f>
        <v>45132</v>
      </c>
      <c r="L2445" s="6" t="str">
        <f>IFERROR(__xludf.DUMMYFUNCTION("""COMPUTED_VALUE"""),"FIP Engineering")</f>
        <v>FIP Engineering</v>
      </c>
      <c r="M2445" s="6" t="str">
        <f>IFERROR(__xludf.DUMMYFUNCTION("""COMPUTED_VALUE"""),"Irwan Sopian")</f>
        <v>Irwan Sopian</v>
      </c>
      <c r="N2445" s="6" t="str">
        <f>IFERROR(__xludf.DUMMYFUNCTION("""COMPUTED_VALUE"""),"FIP Engineering")</f>
        <v>FIP Engineering</v>
      </c>
      <c r="O2445" s="6" t="str">
        <f>IFERROR(__xludf.DUMMYFUNCTION("""COMPUTED_VALUE"""),"FIP-DOM-000-11304-OS00001-INA-000000")</f>
        <v>FIP-DOM-000-11304-OS00001-INA-000000</v>
      </c>
      <c r="P2445" s="6" t="str">
        <f>IFERROR(__xludf.DUMMYFUNCTION("""COMPUTED_VALUE"""),"PO Closed")</f>
        <v>PO Closed</v>
      </c>
      <c r="Q2445" s="6" t="str">
        <f>IFERROR(__xludf.DUMMYFUNCTION("""COMPUTED_VALUE"""),"GL2308044")</f>
        <v>GL2308044</v>
      </c>
      <c r="R2445" s="57">
        <f>IFERROR(__xludf.DUMMYFUNCTION("""COMPUTED_VALUE"""),45112.0)</f>
        <v>45112</v>
      </c>
      <c r="S2445" s="57">
        <f>IFERROR(__xludf.DUMMYFUNCTION("""COMPUTED_VALUE"""),45112.0)</f>
        <v>45112</v>
      </c>
      <c r="T2445" s="57">
        <f>IFERROR(__xludf.DUMMYFUNCTION("""COMPUTED_VALUE"""),45186.0)</f>
        <v>45186</v>
      </c>
    </row>
    <row r="2446">
      <c r="A2446" s="6" t="str">
        <f>IFERROR(__xludf.DUMMYFUNCTION("""COMPUTED_VALUE"""),"231750442-1")</f>
        <v>231750442-1</v>
      </c>
      <c r="B2446" s="6" t="str">
        <f>IFERROR(__xludf.DUMMYFUNCTION("""COMPUTED_VALUE"""),"231750442 - Approved")</f>
        <v>231750442 - Approved</v>
      </c>
      <c r="C2446" s="6">
        <f>IFERROR(__xludf.DUMMYFUNCTION("""COMPUTED_VALUE"""),1.0)</f>
        <v>1</v>
      </c>
      <c r="D2446" s="6" t="str">
        <f>IFERROR(__xludf.DUMMYFUNCTION("""COMPUTED_VALUE"""),"O-51850-00")</f>
        <v>O-51850-00</v>
      </c>
      <c r="E2446" s="6" t="str">
        <f>IFERROR(__xludf.DUMMYFUNCTION("""COMPUTED_VALUE"""),"Power Supply 220 VAC 12 VDC, 3 Ampere; ; ;")</f>
        <v>Power Supply 220 VAC 12 VDC, 3 Ampere; ; ;</v>
      </c>
      <c r="F2446" s="6">
        <f>IFERROR(__xludf.DUMMYFUNCTION("""COMPUTED_VALUE"""),5.0)</f>
        <v>5</v>
      </c>
      <c r="G2446" s="6" t="str">
        <f>IFERROR(__xludf.DUMMYFUNCTION("""COMPUTED_VALUE"""),"Pieces")</f>
        <v>Pieces</v>
      </c>
      <c r="H2446" s="6" t="str">
        <f>IFERROR(__xludf.DUMMYFUNCTION("""COMPUTED_VALUE"""),"IDR")</f>
        <v>IDR</v>
      </c>
      <c r="I2446" s="11">
        <f>IFERROR(__xludf.DUMMYFUNCTION("""COMPUTED_VALUE"""),45000.0)</f>
        <v>45000</v>
      </c>
      <c r="J2446" s="11">
        <f>IFERROR(__xludf.DUMMYFUNCTION("""COMPUTED_VALUE"""),225000.0)</f>
        <v>225000</v>
      </c>
      <c r="K2446" s="57">
        <f>IFERROR(__xludf.DUMMYFUNCTION("""COMPUTED_VALUE"""),45127.0)</f>
        <v>45127</v>
      </c>
      <c r="L2446" s="6" t="str">
        <f>IFERROR(__xludf.DUMMYFUNCTION("""COMPUTED_VALUE"""),"FIP Engineering")</f>
        <v>FIP Engineering</v>
      </c>
      <c r="M2446" s="6" t="str">
        <f>IFERROR(__xludf.DUMMYFUNCTION("""COMPUTED_VALUE"""),"Irwan Sopian")</f>
        <v>Irwan Sopian</v>
      </c>
      <c r="N2446" s="6" t="str">
        <f>IFERROR(__xludf.DUMMYFUNCTION("""COMPUTED_VALUE"""),"FIP Engineering")</f>
        <v>FIP Engineering</v>
      </c>
      <c r="O2446" s="6" t="str">
        <f>IFERROR(__xludf.DUMMYFUNCTION("""COMPUTED_VALUE"""),"FIP-DOM-000-11304-OS00001-INA-000000")</f>
        <v>FIP-DOM-000-11304-OS00001-INA-000000</v>
      </c>
      <c r="P2446" s="6" t="str">
        <f>IFERROR(__xludf.DUMMYFUNCTION("""COMPUTED_VALUE"""),"PO Closed")</f>
        <v>PO Closed</v>
      </c>
      <c r="Q2446" s="6" t="str">
        <f>IFERROR(__xludf.DUMMYFUNCTION("""COMPUTED_VALUE"""),"GL2307342")</f>
        <v>GL2307342</v>
      </c>
      <c r="R2446" s="57">
        <f>IFERROR(__xludf.DUMMYFUNCTION("""COMPUTED_VALUE"""),45114.0)</f>
        <v>45114</v>
      </c>
      <c r="S2446" s="57">
        <f>IFERROR(__xludf.DUMMYFUNCTION("""COMPUTED_VALUE"""),45117.0)</f>
        <v>45117</v>
      </c>
      <c r="T2446" s="57">
        <f>IFERROR(__xludf.DUMMYFUNCTION("""COMPUTED_VALUE"""),45179.0)</f>
        <v>45179</v>
      </c>
    </row>
    <row r="2447">
      <c r="A2447" s="6" t="str">
        <f>IFERROR(__xludf.DUMMYFUNCTION("""COMPUTED_VALUE"""),"231750443-1")</f>
        <v>231750443-1</v>
      </c>
      <c r="B2447" s="6" t="str">
        <f>IFERROR(__xludf.DUMMYFUNCTION("""COMPUTED_VALUE"""),"231750443 - Approved")</f>
        <v>231750443 - Approved</v>
      </c>
      <c r="C2447" s="6">
        <f>IFERROR(__xludf.DUMMYFUNCTION("""COMPUTED_VALUE"""),1.0)</f>
        <v>1</v>
      </c>
      <c r="D2447" s="6" t="str">
        <f>IFERROR(__xludf.DUMMYFUNCTION("""COMPUTED_VALUE"""),"Q-10904-00")</f>
        <v>Q-10904-00</v>
      </c>
      <c r="E2447" s="6" t="str">
        <f>IFERROR(__xludf.DUMMYFUNCTION("""COMPUTED_VALUE"""),"Handle Pintu Kaca Deksson DK 82801; ; ;")</f>
        <v>Handle Pintu Kaca Deksson DK 82801; ; ;</v>
      </c>
      <c r="F2447" s="6">
        <f>IFERROR(__xludf.DUMMYFUNCTION("""COMPUTED_VALUE"""),10.0)</f>
        <v>10</v>
      </c>
      <c r="G2447" s="6" t="str">
        <f>IFERROR(__xludf.DUMMYFUNCTION("""COMPUTED_VALUE"""),"Pieces")</f>
        <v>Pieces</v>
      </c>
      <c r="H2447" s="6" t="str">
        <f>IFERROR(__xludf.DUMMYFUNCTION("""COMPUTED_VALUE"""),"IDR")</f>
        <v>IDR</v>
      </c>
      <c r="I2447" s="6">
        <f>IFERROR(__xludf.DUMMYFUNCTION("""COMPUTED_VALUE"""),1.0)</f>
        <v>1</v>
      </c>
      <c r="J2447" s="6">
        <f>IFERROR(__xludf.DUMMYFUNCTION("""COMPUTED_VALUE"""),10.0)</f>
        <v>10</v>
      </c>
      <c r="K2447" s="57">
        <f>IFERROR(__xludf.DUMMYFUNCTION("""COMPUTED_VALUE"""),45128.0)</f>
        <v>45128</v>
      </c>
      <c r="L2447" s="6" t="str">
        <f>IFERROR(__xludf.DUMMYFUNCTION("""COMPUTED_VALUE"""),"FIP General")</f>
        <v>FIP General</v>
      </c>
      <c r="M2447" s="6" t="str">
        <f>IFERROR(__xludf.DUMMYFUNCTION("""COMPUTED_VALUE"""),"Irwan Sopian")</f>
        <v>Irwan Sopian</v>
      </c>
      <c r="N2447" s="6" t="str">
        <f>IFERROR(__xludf.DUMMYFUNCTION("""COMPUTED_VALUE"""),"FIP Engineering")</f>
        <v>FIP Engineering</v>
      </c>
      <c r="O2447" s="6" t="str">
        <f>IFERROR(__xludf.DUMMYFUNCTION("""COMPUTED_VALUE"""),"FIP-DOM-ENG-51502-0000000-INA-000000")</f>
        <v>FIP-DOM-ENG-51502-0000000-INA-000000</v>
      </c>
      <c r="P2447" s="6" t="str">
        <f>IFERROR(__xludf.DUMMYFUNCTION("""COMPUTED_VALUE"""),"PO Closed")</f>
        <v>PO Closed</v>
      </c>
      <c r="Q2447" s="6" t="str">
        <f>IFERROR(__xludf.DUMMYFUNCTION("""COMPUTED_VALUE"""),"GL2308043")</f>
        <v>GL2308043</v>
      </c>
      <c r="R2447" s="57">
        <f>IFERROR(__xludf.DUMMYFUNCTION("""COMPUTED_VALUE"""),45114.0)</f>
        <v>45114</v>
      </c>
      <c r="S2447" s="57">
        <f>IFERROR(__xludf.DUMMYFUNCTION("""COMPUTED_VALUE"""),45114.0)</f>
        <v>45114</v>
      </c>
      <c r="T2447" s="57">
        <f>IFERROR(__xludf.DUMMYFUNCTION("""COMPUTED_VALUE"""),45191.0)</f>
        <v>45191</v>
      </c>
    </row>
    <row r="2448">
      <c r="A2448" s="6" t="str">
        <f>IFERROR(__xludf.DUMMYFUNCTION("""COMPUTED_VALUE"""),"231750444-1")</f>
        <v>231750444-1</v>
      </c>
      <c r="B2448" s="6" t="str">
        <f>IFERROR(__xludf.DUMMYFUNCTION("""COMPUTED_VALUE"""),"231750444 - Approved")</f>
        <v>231750444 - Approved</v>
      </c>
      <c r="C2448" s="6">
        <f>IFERROR(__xludf.DUMMYFUNCTION("""COMPUTED_VALUE"""),1.0)</f>
        <v>1</v>
      </c>
      <c r="D2448" s="6" t="str">
        <f>IFERROR(__xludf.DUMMYFUNCTION("""COMPUTED_VALUE"""),"Q-10829-00")</f>
        <v>Q-10829-00</v>
      </c>
      <c r="E2448" s="6" t="str">
        <f>IFERROR(__xludf.DUMMYFUNCTION("""COMPUTED_VALUE"""),"Cat Ambiance Lakestone 44537M Tinting; Dulux; ;")</f>
        <v>Cat Ambiance Lakestone 44537M Tinting; Dulux; ;</v>
      </c>
      <c r="F2448" s="6">
        <f>IFERROR(__xludf.DUMMYFUNCTION("""COMPUTED_VALUE"""),2.0)</f>
        <v>2</v>
      </c>
      <c r="G2448" s="6" t="str">
        <f>IFERROR(__xludf.DUMMYFUNCTION("""COMPUTED_VALUE"""),"Pieces")</f>
        <v>Pieces</v>
      </c>
      <c r="H2448" s="6" t="str">
        <f>IFERROR(__xludf.DUMMYFUNCTION("""COMPUTED_VALUE"""),"IDR")</f>
        <v>IDR</v>
      </c>
      <c r="I2448" s="11">
        <f>IFERROR(__xludf.DUMMYFUNCTION("""COMPUTED_VALUE"""),1500000.0)</f>
        <v>1500000</v>
      </c>
      <c r="J2448" s="11">
        <f>IFERROR(__xludf.DUMMYFUNCTION("""COMPUTED_VALUE"""),3000000.0)</f>
        <v>3000000</v>
      </c>
      <c r="K2448" s="57">
        <f>IFERROR(__xludf.DUMMYFUNCTION("""COMPUTED_VALUE"""),45128.0)</f>
        <v>45128</v>
      </c>
      <c r="L2448" s="6" t="str">
        <f>IFERROR(__xludf.DUMMYFUNCTION("""COMPUTED_VALUE"""),"FIP General")</f>
        <v>FIP General</v>
      </c>
      <c r="M2448" s="6" t="str">
        <f>IFERROR(__xludf.DUMMYFUNCTION("""COMPUTED_VALUE"""),"Irwan Sopian")</f>
        <v>Irwan Sopian</v>
      </c>
      <c r="N2448" s="6" t="str">
        <f>IFERROR(__xludf.DUMMYFUNCTION("""COMPUTED_VALUE"""),"FIP Engineering")</f>
        <v>FIP Engineering</v>
      </c>
      <c r="O2448" s="6" t="str">
        <f>IFERROR(__xludf.DUMMYFUNCTION("""COMPUTED_VALUE"""),"FIP-DOM-ENG-51502-0000000-INA-000000")</f>
        <v>FIP-DOM-ENG-51502-0000000-INA-000000</v>
      </c>
      <c r="P2448" s="6" t="str">
        <f>IFERROR(__xludf.DUMMYFUNCTION("""COMPUTED_VALUE"""),"PO Closed")</f>
        <v>PO Closed</v>
      </c>
      <c r="Q2448" s="6" t="str">
        <f>IFERROR(__xludf.DUMMYFUNCTION("""COMPUTED_VALUE"""),"GL2308043")</f>
        <v>GL2308043</v>
      </c>
      <c r="R2448" s="57">
        <f>IFERROR(__xludf.DUMMYFUNCTION("""COMPUTED_VALUE"""),45114.0)</f>
        <v>45114</v>
      </c>
      <c r="S2448" s="57">
        <f>IFERROR(__xludf.DUMMYFUNCTION("""COMPUTED_VALUE"""),45117.0)</f>
        <v>45117</v>
      </c>
      <c r="T2448" s="57">
        <f>IFERROR(__xludf.DUMMYFUNCTION("""COMPUTED_VALUE"""),45191.0)</f>
        <v>45191</v>
      </c>
    </row>
    <row r="2449">
      <c r="A2449" s="6" t="str">
        <f>IFERROR(__xludf.DUMMYFUNCTION("""COMPUTED_VALUE"""),"231750445-1")</f>
        <v>231750445-1</v>
      </c>
      <c r="B2449" s="6" t="str">
        <f>IFERROR(__xludf.DUMMYFUNCTION("""COMPUTED_VALUE"""),"231750445 - Approved")</f>
        <v>231750445 - Approved</v>
      </c>
      <c r="C2449" s="6">
        <f>IFERROR(__xludf.DUMMYFUNCTION("""COMPUTED_VALUE"""),1.0)</f>
        <v>1</v>
      </c>
      <c r="D2449" s="6" t="str">
        <f>IFERROR(__xludf.DUMMYFUNCTION("""COMPUTED_VALUE"""),"O-11181-00")</f>
        <v>O-11181-00</v>
      </c>
      <c r="E2449" s="6" t="str">
        <f>IFERROR(__xludf.DUMMYFUNCTION("""COMPUTED_VALUE"""),"Bearing 626-2Z")</f>
        <v>Bearing 626-2Z</v>
      </c>
      <c r="F2449" s="6">
        <f>IFERROR(__xludf.DUMMYFUNCTION("""COMPUTED_VALUE"""),60.0)</f>
        <v>60</v>
      </c>
      <c r="G2449" s="6" t="str">
        <f>IFERROR(__xludf.DUMMYFUNCTION("""COMPUTED_VALUE"""),"Pieces")</f>
        <v>Pieces</v>
      </c>
      <c r="H2449" s="6" t="str">
        <f>IFERROR(__xludf.DUMMYFUNCTION("""COMPUTED_VALUE"""),"IDR")</f>
        <v>IDR</v>
      </c>
      <c r="I2449" s="11">
        <f>IFERROR(__xludf.DUMMYFUNCTION("""COMPUTED_VALUE"""),45000.0)</f>
        <v>45000</v>
      </c>
      <c r="J2449" s="11">
        <f>IFERROR(__xludf.DUMMYFUNCTION("""COMPUTED_VALUE"""),2700000.0)</f>
        <v>2700000</v>
      </c>
      <c r="K2449" s="57">
        <f>IFERROR(__xludf.DUMMYFUNCTION("""COMPUTED_VALUE"""),45125.0)</f>
        <v>45125</v>
      </c>
      <c r="L2449" s="6" t="str">
        <f>IFERROR(__xludf.DUMMYFUNCTION("""COMPUTED_VALUE"""),"FIP Engineering")</f>
        <v>FIP Engineering</v>
      </c>
      <c r="M2449" s="6" t="str">
        <f>IFERROR(__xludf.DUMMYFUNCTION("""COMPUTED_VALUE"""),"Irwan Sopian")</f>
        <v>Irwan Sopian</v>
      </c>
      <c r="N2449" s="6" t="str">
        <f>IFERROR(__xludf.DUMMYFUNCTION("""COMPUTED_VALUE"""),"FIP Engineering")</f>
        <v>FIP Engineering</v>
      </c>
      <c r="O2449" s="6" t="str">
        <f>IFERROR(__xludf.DUMMYFUNCTION("""COMPUTED_VALUE"""),"FIP-DOM-000-11304-OS00001-INA-000000")</f>
        <v>FIP-DOM-000-11304-OS00001-INA-000000</v>
      </c>
      <c r="P2449" s="6" t="str">
        <f>IFERROR(__xludf.DUMMYFUNCTION("""COMPUTED_VALUE"""),"PO Closed")</f>
        <v>PO Closed</v>
      </c>
      <c r="Q2449" s="6" t="str">
        <f>IFERROR(__xludf.DUMMYFUNCTION("""COMPUTED_VALUE"""),"GL2307337")</f>
        <v>GL2307337</v>
      </c>
      <c r="R2449" s="57">
        <f>IFERROR(__xludf.DUMMYFUNCTION("""COMPUTED_VALUE"""),45114.0)</f>
        <v>45114</v>
      </c>
      <c r="S2449" s="57">
        <f>IFERROR(__xludf.DUMMYFUNCTION("""COMPUTED_VALUE"""),45117.0)</f>
        <v>45117</v>
      </c>
      <c r="T2449" s="57">
        <f>IFERROR(__xludf.DUMMYFUNCTION("""COMPUTED_VALUE"""),45148.0)</f>
        <v>45148</v>
      </c>
    </row>
    <row r="2450">
      <c r="A2450" s="6" t="str">
        <f>IFERROR(__xludf.DUMMYFUNCTION("""COMPUTED_VALUE"""),"231750448-1")</f>
        <v>231750448-1</v>
      </c>
      <c r="B2450" s="6" t="str">
        <f>IFERROR(__xludf.DUMMYFUNCTION("""COMPUTED_VALUE"""),"231750448 - Approved")</f>
        <v>231750448 - Approved</v>
      </c>
      <c r="C2450" s="6">
        <f>IFERROR(__xludf.DUMMYFUNCTION("""COMPUTED_VALUE"""),1.0)</f>
        <v>1</v>
      </c>
      <c r="D2450" s="6" t="str">
        <f>IFERROR(__xludf.DUMMYFUNCTION("""COMPUTED_VALUE"""),"P-14999-00")</f>
        <v>P-14999-00</v>
      </c>
      <c r="E2450" s="6" t="str">
        <f>IFERROR(__xludf.DUMMYFUNCTION("""COMPUTED_VALUE"""),"Room Press. Monitoring, P/N. 547-103A; ; ;")</f>
        <v>Room Press. Monitoring, P/N. 547-103A; ; ;</v>
      </c>
      <c r="F2450" s="6">
        <f>IFERROR(__xludf.DUMMYFUNCTION("""COMPUTED_VALUE"""),1.0)</f>
        <v>1</v>
      </c>
      <c r="G2450" s="6" t="str">
        <f>IFERROR(__xludf.DUMMYFUNCTION("""COMPUTED_VALUE"""),"Unit")</f>
        <v>Unit</v>
      </c>
      <c r="H2450" s="6" t="str">
        <f>IFERROR(__xludf.DUMMYFUNCTION("""COMPUTED_VALUE"""),"IDR")</f>
        <v>IDR</v>
      </c>
      <c r="I2450" s="11">
        <f>IFERROR(__xludf.DUMMYFUNCTION("""COMPUTED_VALUE"""),5000.0)</f>
        <v>5000</v>
      </c>
      <c r="J2450" s="11">
        <f>IFERROR(__xludf.DUMMYFUNCTION("""COMPUTED_VALUE"""),5000.0)</f>
        <v>5000</v>
      </c>
      <c r="K2450" s="57">
        <f>IFERROR(__xludf.DUMMYFUNCTION("""COMPUTED_VALUE"""),45160.0)</f>
        <v>45160</v>
      </c>
      <c r="L2450" s="6" t="str">
        <f>IFERROR(__xludf.DUMMYFUNCTION("""COMPUTED_VALUE"""),"FIP Engineering")</f>
        <v>FIP Engineering</v>
      </c>
      <c r="M2450" s="6" t="str">
        <f>IFERROR(__xludf.DUMMYFUNCTION("""COMPUTED_VALUE"""),"Irwan Sopian")</f>
        <v>Irwan Sopian</v>
      </c>
      <c r="N2450" s="6" t="str">
        <f>IFERROR(__xludf.DUMMYFUNCTION("""COMPUTED_VALUE"""),"FIP Engineering")</f>
        <v>FIP Engineering</v>
      </c>
      <c r="O2450" s="6" t="str">
        <f>IFERROR(__xludf.DUMMYFUNCTION("""COMPUTED_VALUE"""),"FIP-DOM-000-11304-OS00001-INA-000000")</f>
        <v>FIP-DOM-000-11304-OS00001-INA-000000</v>
      </c>
      <c r="P2450" s="6" t="str">
        <f>IFERROR(__xludf.DUMMYFUNCTION("""COMPUTED_VALUE"""),"PO Closed")</f>
        <v>PO Closed</v>
      </c>
      <c r="Q2450" s="6" t="str">
        <f>IFERROR(__xludf.DUMMYFUNCTION("""COMPUTED_VALUE"""),"GL2308054")</f>
        <v>GL2308054</v>
      </c>
      <c r="R2450" s="57">
        <f>IFERROR(__xludf.DUMMYFUNCTION("""COMPUTED_VALUE"""),45119.0)</f>
        <v>45119</v>
      </c>
      <c r="S2450" s="57">
        <f>IFERROR(__xludf.DUMMYFUNCTION("""COMPUTED_VALUE"""),45121.0)</f>
        <v>45121</v>
      </c>
      <c r="T2450" s="57">
        <f>IFERROR(__xludf.DUMMYFUNCTION("""COMPUTED_VALUE"""),45417.0)</f>
        <v>45417</v>
      </c>
    </row>
    <row r="2451">
      <c r="A2451" s="6" t="str">
        <f>IFERROR(__xludf.DUMMYFUNCTION("""COMPUTED_VALUE"""),"231750448-2")</f>
        <v>231750448-2</v>
      </c>
      <c r="B2451" s="6" t="str">
        <f>IFERROR(__xludf.DUMMYFUNCTION("""COMPUTED_VALUE"""),"231750448 - Approved")</f>
        <v>231750448 - Approved</v>
      </c>
      <c r="C2451" s="6">
        <f>IFERROR(__xludf.DUMMYFUNCTION("""COMPUTED_VALUE"""),2.0)</f>
        <v>2</v>
      </c>
      <c r="D2451" s="6" t="str">
        <f>IFERROR(__xludf.DUMMYFUNCTION("""COMPUTED_VALUE"""),"P-14998-00")</f>
        <v>P-14998-00</v>
      </c>
      <c r="E2451" s="6" t="str">
        <f>IFERROR(__xludf.DUMMYFUNCTION("""COMPUTED_VALUE"""),"Room Press. Monitoring, P/N. 547-104A; ; ;")</f>
        <v>Room Press. Monitoring, P/N. 547-104A; ; ;</v>
      </c>
      <c r="F2451" s="6">
        <f>IFERROR(__xludf.DUMMYFUNCTION("""COMPUTED_VALUE"""),1.0)</f>
        <v>1</v>
      </c>
      <c r="G2451" s="6" t="str">
        <f>IFERROR(__xludf.DUMMYFUNCTION("""COMPUTED_VALUE"""),"Unit")</f>
        <v>Unit</v>
      </c>
      <c r="H2451" s="6" t="str">
        <f>IFERROR(__xludf.DUMMYFUNCTION("""COMPUTED_VALUE"""),"IDR")</f>
        <v>IDR</v>
      </c>
      <c r="I2451" s="11">
        <f>IFERROR(__xludf.DUMMYFUNCTION("""COMPUTED_VALUE"""),4.535E7)</f>
        <v>45350000</v>
      </c>
      <c r="J2451" s="11">
        <f>IFERROR(__xludf.DUMMYFUNCTION("""COMPUTED_VALUE"""),4.535E7)</f>
        <v>45350000</v>
      </c>
      <c r="K2451" s="57">
        <f>IFERROR(__xludf.DUMMYFUNCTION("""COMPUTED_VALUE"""),45160.0)</f>
        <v>45160</v>
      </c>
      <c r="L2451" s="6" t="str">
        <f>IFERROR(__xludf.DUMMYFUNCTION("""COMPUTED_VALUE"""),"FIP Engineering")</f>
        <v>FIP Engineering</v>
      </c>
      <c r="M2451" s="6" t="str">
        <f>IFERROR(__xludf.DUMMYFUNCTION("""COMPUTED_VALUE"""),"Irwan Sopian")</f>
        <v>Irwan Sopian</v>
      </c>
      <c r="N2451" s="6" t="str">
        <f>IFERROR(__xludf.DUMMYFUNCTION("""COMPUTED_VALUE"""),"FIP Engineering")</f>
        <v>FIP Engineering</v>
      </c>
      <c r="O2451" s="6" t="str">
        <f>IFERROR(__xludf.DUMMYFUNCTION("""COMPUTED_VALUE"""),"FIP-DOM-000-11304-OS00001-INA-000000")</f>
        <v>FIP-DOM-000-11304-OS00001-INA-000000</v>
      </c>
      <c r="P2451" s="6" t="str">
        <f>IFERROR(__xludf.DUMMYFUNCTION("""COMPUTED_VALUE"""),"PO Closed")</f>
        <v>PO Closed</v>
      </c>
      <c r="Q2451" s="6" t="str">
        <f>IFERROR(__xludf.DUMMYFUNCTION("""COMPUTED_VALUE"""),"GL2308054")</f>
        <v>GL2308054</v>
      </c>
      <c r="R2451" s="57">
        <f>IFERROR(__xludf.DUMMYFUNCTION("""COMPUTED_VALUE"""),45119.0)</f>
        <v>45119</v>
      </c>
      <c r="S2451" s="57">
        <f>IFERROR(__xludf.DUMMYFUNCTION("""COMPUTED_VALUE"""),45121.0)</f>
        <v>45121</v>
      </c>
      <c r="T2451" s="57">
        <f>IFERROR(__xludf.DUMMYFUNCTION("""COMPUTED_VALUE"""),45417.0)</f>
        <v>45417</v>
      </c>
    </row>
    <row r="2452">
      <c r="A2452" s="6" t="str">
        <f>IFERROR(__xludf.DUMMYFUNCTION("""COMPUTED_VALUE"""),"231750452-1")</f>
        <v>231750452-1</v>
      </c>
      <c r="B2452" s="6" t="str">
        <f>IFERROR(__xludf.DUMMYFUNCTION("""COMPUTED_VALUE"""),"231750452 - Approved")</f>
        <v>231750452 - Approved</v>
      </c>
      <c r="C2452" s="6">
        <f>IFERROR(__xludf.DUMMYFUNCTION("""COMPUTED_VALUE"""),1.0)</f>
        <v>1</v>
      </c>
      <c r="D2452" s="6" t="str">
        <f>IFERROR(__xludf.DUMMYFUNCTION("""COMPUTED_VALUE"""),"S-60050-00")</f>
        <v>S-60050-00</v>
      </c>
      <c r="E2452" s="6" t="str">
        <f>IFERROR(__xludf.DUMMYFUNCTION("""COMPUTED_VALUE"""),"Jasa Perbaikan dan Pemeliharaan Mesin Produksi; ; ; - SUPERVISI install TXV condenser dan TXV Phe untuk mesin FD IMA")</f>
        <v>Jasa Perbaikan dan Pemeliharaan Mesin Produksi; ; ; - SUPERVISI install TXV condenser dan TXV Phe untuk mesin FD IMA</v>
      </c>
      <c r="F2452" s="6">
        <f>IFERROR(__xludf.DUMMYFUNCTION("""COMPUTED_VALUE"""),1.0)</f>
        <v>1</v>
      </c>
      <c r="G2452" s="6" t="str">
        <f>IFERROR(__xludf.DUMMYFUNCTION("""COMPUTED_VALUE"""),"Pieces")</f>
        <v>Pieces</v>
      </c>
      <c r="H2452" s="6" t="str">
        <f>IFERROR(__xludf.DUMMYFUNCTION("""COMPUTED_VALUE"""),"IDR")</f>
        <v>IDR</v>
      </c>
      <c r="I2452" s="11">
        <f>IFERROR(__xludf.DUMMYFUNCTION("""COMPUTED_VALUE"""),5000000.0)</f>
        <v>5000000</v>
      </c>
      <c r="J2452" s="11">
        <f>IFERROR(__xludf.DUMMYFUNCTION("""COMPUTED_VALUE"""),5000000.0)</f>
        <v>5000000</v>
      </c>
      <c r="K2452" s="57">
        <f>IFERROR(__xludf.DUMMYFUNCTION("""COMPUTED_VALUE"""),45135.0)</f>
        <v>45135</v>
      </c>
      <c r="L2452" s="6" t="str">
        <f>IFERROR(__xludf.DUMMYFUNCTION("""COMPUTED_VALUE"""),"FIP General")</f>
        <v>FIP General</v>
      </c>
      <c r="M2452" s="6" t="str">
        <f>IFERROR(__xludf.DUMMYFUNCTION("""COMPUTED_VALUE"""),"Irwan Sopian")</f>
        <v>Irwan Sopian</v>
      </c>
      <c r="N2452" s="6" t="str">
        <f>IFERROR(__xludf.DUMMYFUNCTION("""COMPUTED_VALUE"""),"FIP Engineering")</f>
        <v>FIP Engineering</v>
      </c>
      <c r="O2452" s="6" t="str">
        <f>IFERROR(__xludf.DUMMYFUNCTION("""COMPUTED_VALUE"""),"FIP-DOM-ENG-51504-0000000-INA-000000")</f>
        <v>FIP-DOM-ENG-51504-0000000-INA-000000</v>
      </c>
      <c r="P2452" s="6" t="str">
        <f>IFERROR(__xludf.DUMMYFUNCTION("""COMPUTED_VALUE"""),"PO Closed")</f>
        <v>PO Closed</v>
      </c>
      <c r="Q2452" s="6" t="str">
        <f>IFERROR(__xludf.DUMMYFUNCTION("""COMPUTED_VALUE"""),"GL2308025")</f>
        <v>GL2308025</v>
      </c>
      <c r="R2452" s="57">
        <f>IFERROR(__xludf.DUMMYFUNCTION("""COMPUTED_VALUE"""),45119.0)</f>
        <v>45119</v>
      </c>
      <c r="S2452" s="57">
        <f>IFERROR(__xludf.DUMMYFUNCTION("""COMPUTED_VALUE"""),45119.0)</f>
        <v>45119</v>
      </c>
      <c r="T2452" s="57">
        <f>IFERROR(__xludf.DUMMYFUNCTION("""COMPUTED_VALUE"""),45184.0)</f>
        <v>45184</v>
      </c>
    </row>
    <row r="2453">
      <c r="A2453" s="6" t="str">
        <f>IFERROR(__xludf.DUMMYFUNCTION("""COMPUTED_VALUE"""),"231750453-1")</f>
        <v>231750453-1</v>
      </c>
      <c r="B2453" s="6" t="str">
        <f>IFERROR(__xludf.DUMMYFUNCTION("""COMPUTED_VALUE"""),"231750453 - Approved")</f>
        <v>231750453 - Approved</v>
      </c>
      <c r="C2453" s="6">
        <f>IFERROR(__xludf.DUMMYFUNCTION("""COMPUTED_VALUE"""),1.0)</f>
        <v>1</v>
      </c>
      <c r="D2453" s="6" t="str">
        <f>IFERROR(__xludf.DUMMYFUNCTION("""COMPUTED_VALUE"""),"P-52711-00")</f>
        <v>P-52711-00</v>
      </c>
      <c r="E2453" s="6" t="str">
        <f>IFERROR(__xludf.DUMMYFUNCTION("""COMPUTED_VALUE"""),"Accu NS70 (Battery kering) 12V - 65Ah; GS ASTRA; ;")</f>
        <v>Accu NS70 (Battery kering) 12V - 65Ah; GS ASTRA; ;</v>
      </c>
      <c r="F2453" s="6">
        <f>IFERROR(__xludf.DUMMYFUNCTION("""COMPUTED_VALUE"""),2.0)</f>
        <v>2</v>
      </c>
      <c r="G2453" s="6" t="str">
        <f>IFERROR(__xludf.DUMMYFUNCTION("""COMPUTED_VALUE"""),"Pieces")</f>
        <v>Pieces</v>
      </c>
      <c r="H2453" s="6" t="str">
        <f>IFERROR(__xludf.DUMMYFUNCTION("""COMPUTED_VALUE"""),"IDR")</f>
        <v>IDR</v>
      </c>
      <c r="I2453" s="11">
        <f>IFERROR(__xludf.DUMMYFUNCTION("""COMPUTED_VALUE"""),1200000.0)</f>
        <v>1200000</v>
      </c>
      <c r="J2453" s="11">
        <f>IFERROR(__xludf.DUMMYFUNCTION("""COMPUTED_VALUE"""),2400000.0)</f>
        <v>2400000</v>
      </c>
      <c r="K2453" s="57">
        <f>IFERROR(__xludf.DUMMYFUNCTION("""COMPUTED_VALUE"""),45142.0)</f>
        <v>45142</v>
      </c>
      <c r="L2453" s="6" t="str">
        <f>IFERROR(__xludf.DUMMYFUNCTION("""COMPUTED_VALUE"""),"FIP Engineering")</f>
        <v>FIP Engineering</v>
      </c>
      <c r="M2453" s="6" t="str">
        <f>IFERROR(__xludf.DUMMYFUNCTION("""COMPUTED_VALUE"""),"Irwan Sopian")</f>
        <v>Irwan Sopian</v>
      </c>
      <c r="N2453" s="6" t="str">
        <f>IFERROR(__xludf.DUMMYFUNCTION("""COMPUTED_VALUE"""),"FIP Engineering")</f>
        <v>FIP Engineering</v>
      </c>
      <c r="O2453" s="6" t="str">
        <f>IFERROR(__xludf.DUMMYFUNCTION("""COMPUTED_VALUE"""),"FIP-DOM-000-11304-OS00001-INA-000000")</f>
        <v>FIP-DOM-000-11304-OS00001-INA-000000</v>
      </c>
      <c r="P2453" s="6" t="str">
        <f>IFERROR(__xludf.DUMMYFUNCTION("""COMPUTED_VALUE"""),"PO Closed")</f>
        <v>PO Closed</v>
      </c>
      <c r="Q2453" s="6" t="str">
        <f>IFERROR(__xludf.DUMMYFUNCTION("""COMPUTED_VALUE"""),"GL2307337")</f>
        <v>GL2307337</v>
      </c>
      <c r="R2453" s="57">
        <f>IFERROR(__xludf.DUMMYFUNCTION("""COMPUTED_VALUE"""),45119.0)</f>
        <v>45119</v>
      </c>
      <c r="S2453" s="57">
        <f>IFERROR(__xludf.DUMMYFUNCTION("""COMPUTED_VALUE"""),45121.0)</f>
        <v>45121</v>
      </c>
      <c r="T2453" s="57">
        <f>IFERROR(__xludf.DUMMYFUNCTION("""COMPUTED_VALUE"""),45148.0)</f>
        <v>45148</v>
      </c>
    </row>
    <row r="2454">
      <c r="A2454" s="6" t="str">
        <f>IFERROR(__xludf.DUMMYFUNCTION("""COMPUTED_VALUE"""),"231750454-1")</f>
        <v>231750454-1</v>
      </c>
      <c r="B2454" s="6" t="str">
        <f>IFERROR(__xludf.DUMMYFUNCTION("""COMPUTED_VALUE"""),"231750454 - Approved")</f>
        <v>231750454 - Approved</v>
      </c>
      <c r="C2454" s="6">
        <f>IFERROR(__xludf.DUMMYFUNCTION("""COMPUTED_VALUE"""),1.0)</f>
        <v>1</v>
      </c>
      <c r="D2454" s="6" t="str">
        <f>IFERROR(__xludf.DUMMYFUNCTION("""COMPUTED_VALUE"""),"Q-10302-00")</f>
        <v>Q-10302-00</v>
      </c>
      <c r="E2454" s="6" t="str">
        <f>IFERROR(__xludf.DUMMYFUNCTION("""COMPUTED_VALUE"""),"Compound Gypsum; ; ;")</f>
        <v>Compound Gypsum; ; ;</v>
      </c>
      <c r="F2454" s="6">
        <f>IFERROR(__xludf.DUMMYFUNCTION("""COMPUTED_VALUE"""),5.0)</f>
        <v>5</v>
      </c>
      <c r="G2454" s="6" t="str">
        <f>IFERROR(__xludf.DUMMYFUNCTION("""COMPUTED_VALUE"""),"Pack")</f>
        <v>Pack</v>
      </c>
      <c r="H2454" s="6" t="str">
        <f>IFERROR(__xludf.DUMMYFUNCTION("""COMPUTED_VALUE"""),"IDR")</f>
        <v>IDR</v>
      </c>
      <c r="I2454" s="11">
        <f>IFERROR(__xludf.DUMMYFUNCTION("""COMPUTED_VALUE"""),87000.0)</f>
        <v>87000</v>
      </c>
      <c r="J2454" s="11">
        <f>IFERROR(__xludf.DUMMYFUNCTION("""COMPUTED_VALUE"""),435000.0)</f>
        <v>435000</v>
      </c>
      <c r="K2454" s="57">
        <f>IFERROR(__xludf.DUMMYFUNCTION("""COMPUTED_VALUE"""),45134.0)</f>
        <v>45134</v>
      </c>
      <c r="L2454" s="6" t="str">
        <f>IFERROR(__xludf.DUMMYFUNCTION("""COMPUTED_VALUE"""),"FIP General")</f>
        <v>FIP General</v>
      </c>
      <c r="M2454" s="6" t="str">
        <f>IFERROR(__xludf.DUMMYFUNCTION("""COMPUTED_VALUE"""),"Irwan Sopian")</f>
        <v>Irwan Sopian</v>
      </c>
      <c r="N2454" s="6" t="str">
        <f>IFERROR(__xludf.DUMMYFUNCTION("""COMPUTED_VALUE"""),"FIP Engineering")</f>
        <v>FIP Engineering</v>
      </c>
      <c r="O2454" s="6" t="str">
        <f>IFERROR(__xludf.DUMMYFUNCTION("""COMPUTED_VALUE"""),"FIP-DOM-ENG-51502-0000000-INA-000000")</f>
        <v>FIP-DOM-ENG-51502-0000000-INA-000000</v>
      </c>
      <c r="P2454" s="6" t="str">
        <f>IFERROR(__xludf.DUMMYFUNCTION("""COMPUTED_VALUE"""),"PO Closed")</f>
        <v>PO Closed</v>
      </c>
      <c r="Q2454" s="6" t="str">
        <f>IFERROR(__xludf.DUMMYFUNCTION("""COMPUTED_VALUE"""),"GL2308043")</f>
        <v>GL2308043</v>
      </c>
      <c r="R2454" s="57">
        <f>IFERROR(__xludf.DUMMYFUNCTION("""COMPUTED_VALUE"""),45120.0)</f>
        <v>45120</v>
      </c>
      <c r="S2454" s="57">
        <f>IFERROR(__xludf.DUMMYFUNCTION("""COMPUTED_VALUE"""),45121.0)</f>
        <v>45121</v>
      </c>
      <c r="T2454" s="57">
        <f>IFERROR(__xludf.DUMMYFUNCTION("""COMPUTED_VALUE"""),45191.0)</f>
        <v>45191</v>
      </c>
    </row>
    <row r="2455">
      <c r="A2455" s="6" t="str">
        <f>IFERROR(__xludf.DUMMYFUNCTION("""COMPUTED_VALUE"""),"231750455-1")</f>
        <v>231750455-1</v>
      </c>
      <c r="B2455" s="6" t="str">
        <f>IFERROR(__xludf.DUMMYFUNCTION("""COMPUTED_VALUE"""),"231750455 - Approved")</f>
        <v>231750455 - Approved</v>
      </c>
      <c r="C2455" s="6">
        <f>IFERROR(__xludf.DUMMYFUNCTION("""COMPUTED_VALUE"""),1.0)</f>
        <v>1</v>
      </c>
      <c r="D2455" s="6" t="str">
        <f>IFERROR(__xludf.DUMMYFUNCTION("""COMPUTED_VALUE"""),"Q-10963-00")</f>
        <v>Q-10963-00</v>
      </c>
      <c r="E2455" s="6" t="str">
        <f>IFERROR(__xludf.DUMMYFUNCTION("""COMPUTED_VALUE"""),"Keramik Granito Salsa Oasis Warna Ivory 40x40mm; Granito; ;")</f>
        <v>Keramik Granito Salsa Oasis Warna Ivory 40x40mm; Granito; ;</v>
      </c>
      <c r="F2455" s="6">
        <f>IFERROR(__xludf.DUMMYFUNCTION("""COMPUTED_VALUE"""),10.0)</f>
        <v>10</v>
      </c>
      <c r="G2455" s="6" t="str">
        <f>IFERROR(__xludf.DUMMYFUNCTION("""COMPUTED_VALUE"""),"Pack")</f>
        <v>Pack</v>
      </c>
      <c r="H2455" s="6" t="str">
        <f>IFERROR(__xludf.DUMMYFUNCTION("""COMPUTED_VALUE"""),"IDR")</f>
        <v>IDR</v>
      </c>
      <c r="I2455" s="11">
        <f>IFERROR(__xludf.DUMMYFUNCTION("""COMPUTED_VALUE"""),315000.0)</f>
        <v>315000</v>
      </c>
      <c r="J2455" s="11">
        <f>IFERROR(__xludf.DUMMYFUNCTION("""COMPUTED_VALUE"""),3150000.0)</f>
        <v>3150000</v>
      </c>
      <c r="K2455" s="57">
        <f>IFERROR(__xludf.DUMMYFUNCTION("""COMPUTED_VALUE"""),45134.0)</f>
        <v>45134</v>
      </c>
      <c r="L2455" s="6" t="str">
        <f>IFERROR(__xludf.DUMMYFUNCTION("""COMPUTED_VALUE"""),"FIP General")</f>
        <v>FIP General</v>
      </c>
      <c r="M2455" s="6" t="str">
        <f>IFERROR(__xludf.DUMMYFUNCTION("""COMPUTED_VALUE"""),"Irwan Sopian")</f>
        <v>Irwan Sopian</v>
      </c>
      <c r="N2455" s="6" t="str">
        <f>IFERROR(__xludf.DUMMYFUNCTION("""COMPUTED_VALUE"""),"FIP Engineering")</f>
        <v>FIP Engineering</v>
      </c>
      <c r="O2455" s="6" t="str">
        <f>IFERROR(__xludf.DUMMYFUNCTION("""COMPUTED_VALUE"""),"FIP-DOM-ENG-51502-0000000-INA-000000")</f>
        <v>FIP-DOM-ENG-51502-0000000-INA-000000</v>
      </c>
      <c r="P2455" s="6" t="str">
        <f>IFERROR(__xludf.DUMMYFUNCTION("""COMPUTED_VALUE"""),"PO Closed")</f>
        <v>PO Closed</v>
      </c>
      <c r="Q2455" s="6" t="str">
        <f>IFERROR(__xludf.DUMMYFUNCTION("""COMPUTED_VALUE"""),"GL2308043")</f>
        <v>GL2308043</v>
      </c>
      <c r="R2455" s="57">
        <f>IFERROR(__xludf.DUMMYFUNCTION("""COMPUTED_VALUE"""),45120.0)</f>
        <v>45120</v>
      </c>
      <c r="S2455" s="57">
        <f>IFERROR(__xludf.DUMMYFUNCTION("""COMPUTED_VALUE"""),45120.0)</f>
        <v>45120</v>
      </c>
      <c r="T2455" s="57">
        <f>IFERROR(__xludf.DUMMYFUNCTION("""COMPUTED_VALUE"""),45229.0)</f>
        <v>45229</v>
      </c>
    </row>
    <row r="2456">
      <c r="A2456" s="6" t="str">
        <f>IFERROR(__xludf.DUMMYFUNCTION("""COMPUTED_VALUE"""),"231750456-1")</f>
        <v>231750456-1</v>
      </c>
      <c r="B2456" s="6" t="str">
        <f>IFERROR(__xludf.DUMMYFUNCTION("""COMPUTED_VALUE"""),"231750456 - Approved")</f>
        <v>231750456 - Approved</v>
      </c>
      <c r="C2456" s="6">
        <f>IFERROR(__xludf.DUMMYFUNCTION("""COMPUTED_VALUE"""),1.0)</f>
        <v>1</v>
      </c>
      <c r="D2456" s="6" t="str">
        <f>IFERROR(__xludf.DUMMYFUNCTION("""COMPUTED_VALUE"""),"P-18468-00")</f>
        <v>P-18468-00</v>
      </c>
      <c r="E2456" s="6" t="str">
        <f>IFERROR(__xludf.DUMMYFUNCTION("""COMPUTED_VALUE"""),"Pass Box Stickers ZC-A; ; ;")</f>
        <v>Pass Box Stickers ZC-A; ; ;</v>
      </c>
      <c r="F2456" s="6">
        <f>IFERROR(__xludf.DUMMYFUNCTION("""COMPUTED_VALUE"""),30.0)</f>
        <v>30</v>
      </c>
      <c r="G2456" s="6" t="str">
        <f>IFERROR(__xludf.DUMMYFUNCTION("""COMPUTED_VALUE"""),"Pieces")</f>
        <v>Pieces</v>
      </c>
      <c r="H2456" s="6" t="str">
        <f>IFERROR(__xludf.DUMMYFUNCTION("""COMPUTED_VALUE"""),"IDR")</f>
        <v>IDR</v>
      </c>
      <c r="I2456" s="11">
        <f>IFERROR(__xludf.DUMMYFUNCTION("""COMPUTED_VALUE"""),100000.0)</f>
        <v>100000</v>
      </c>
      <c r="J2456" s="11">
        <f>IFERROR(__xludf.DUMMYFUNCTION("""COMPUTED_VALUE"""),3000000.0)</f>
        <v>3000000</v>
      </c>
      <c r="K2456" s="57">
        <f>IFERROR(__xludf.DUMMYFUNCTION("""COMPUTED_VALUE"""),45134.0)</f>
        <v>45134</v>
      </c>
      <c r="L2456" s="6" t="str">
        <f>IFERROR(__xludf.DUMMYFUNCTION("""COMPUTED_VALUE"""),"FIP Engineering")</f>
        <v>FIP Engineering</v>
      </c>
      <c r="M2456" s="6" t="str">
        <f>IFERROR(__xludf.DUMMYFUNCTION("""COMPUTED_VALUE"""),"Irwan Sopian")</f>
        <v>Irwan Sopian</v>
      </c>
      <c r="N2456" s="6" t="str">
        <f>IFERROR(__xludf.DUMMYFUNCTION("""COMPUTED_VALUE"""),"FIP Engineering")</f>
        <v>FIP Engineering</v>
      </c>
      <c r="O2456" s="6" t="str">
        <f>IFERROR(__xludf.DUMMYFUNCTION("""COMPUTED_VALUE"""),"FIP-DOM-000-11304-OS00001-INA-000000")</f>
        <v>FIP-DOM-000-11304-OS00001-INA-000000</v>
      </c>
      <c r="P2456" s="6" t="str">
        <f>IFERROR(__xludf.DUMMYFUNCTION("""COMPUTED_VALUE"""),"PO Closed")</f>
        <v>PO Closed</v>
      </c>
      <c r="Q2456" s="6" t="str">
        <f>IFERROR(__xludf.DUMMYFUNCTION("""COMPUTED_VALUE"""),"GL2308055")</f>
        <v>GL2308055</v>
      </c>
      <c r="R2456" s="57">
        <f>IFERROR(__xludf.DUMMYFUNCTION("""COMPUTED_VALUE"""),45120.0)</f>
        <v>45120</v>
      </c>
      <c r="S2456" s="57">
        <f>IFERROR(__xludf.DUMMYFUNCTION("""COMPUTED_VALUE"""),45121.0)</f>
        <v>45121</v>
      </c>
      <c r="T2456" s="57">
        <f>IFERROR(__xludf.DUMMYFUNCTION("""COMPUTED_VALUE"""),45196.0)</f>
        <v>45196</v>
      </c>
    </row>
    <row r="2457">
      <c r="A2457" s="6" t="str">
        <f>IFERROR(__xludf.DUMMYFUNCTION("""COMPUTED_VALUE"""),"231750456-2")</f>
        <v>231750456-2</v>
      </c>
      <c r="B2457" s="6" t="str">
        <f>IFERROR(__xludf.DUMMYFUNCTION("""COMPUTED_VALUE"""),"231750456 - Approved")</f>
        <v>231750456 - Approved</v>
      </c>
      <c r="C2457" s="6">
        <f>IFERROR(__xludf.DUMMYFUNCTION("""COMPUTED_VALUE"""),2.0)</f>
        <v>2</v>
      </c>
      <c r="D2457" s="6" t="str">
        <f>IFERROR(__xludf.DUMMYFUNCTION("""COMPUTED_VALUE"""),"P-18466-00")</f>
        <v>P-18466-00</v>
      </c>
      <c r="E2457" s="6" t="str">
        <f>IFERROR(__xludf.DUMMYFUNCTION("""COMPUTED_VALUE"""),"Door Stickers T30A; upgraded type; ; ;")</f>
        <v>Door Stickers T30A; upgraded type; ; ;</v>
      </c>
      <c r="F2457" s="6">
        <f>IFERROR(__xludf.DUMMYFUNCTION("""COMPUTED_VALUE"""),5.0)</f>
        <v>5</v>
      </c>
      <c r="G2457" s="6" t="str">
        <f>IFERROR(__xludf.DUMMYFUNCTION("""COMPUTED_VALUE"""),"Pieces")</f>
        <v>Pieces</v>
      </c>
      <c r="H2457" s="6" t="str">
        <f>IFERROR(__xludf.DUMMYFUNCTION("""COMPUTED_VALUE"""),"IDR")</f>
        <v>IDR</v>
      </c>
      <c r="I2457" s="11">
        <f>IFERROR(__xludf.DUMMYFUNCTION("""COMPUTED_VALUE"""),100000.0)</f>
        <v>100000</v>
      </c>
      <c r="J2457" s="11">
        <f>IFERROR(__xludf.DUMMYFUNCTION("""COMPUTED_VALUE"""),500000.0)</f>
        <v>500000</v>
      </c>
      <c r="K2457" s="57">
        <f>IFERROR(__xludf.DUMMYFUNCTION("""COMPUTED_VALUE"""),45134.0)</f>
        <v>45134</v>
      </c>
      <c r="L2457" s="6" t="str">
        <f>IFERROR(__xludf.DUMMYFUNCTION("""COMPUTED_VALUE"""),"FIP Engineering")</f>
        <v>FIP Engineering</v>
      </c>
      <c r="M2457" s="6" t="str">
        <f>IFERROR(__xludf.DUMMYFUNCTION("""COMPUTED_VALUE"""),"Irwan Sopian")</f>
        <v>Irwan Sopian</v>
      </c>
      <c r="N2457" s="6" t="str">
        <f>IFERROR(__xludf.DUMMYFUNCTION("""COMPUTED_VALUE"""),"FIP Engineering")</f>
        <v>FIP Engineering</v>
      </c>
      <c r="O2457" s="6" t="str">
        <f>IFERROR(__xludf.DUMMYFUNCTION("""COMPUTED_VALUE"""),"FIP-DOM-000-11304-OS00001-INA-000000")</f>
        <v>FIP-DOM-000-11304-OS00001-INA-000000</v>
      </c>
      <c r="P2457" s="6" t="str">
        <f>IFERROR(__xludf.DUMMYFUNCTION("""COMPUTED_VALUE"""),"PO Closed")</f>
        <v>PO Closed</v>
      </c>
      <c r="Q2457" s="6" t="str">
        <f>IFERROR(__xludf.DUMMYFUNCTION("""COMPUTED_VALUE"""),"GL2308055")</f>
        <v>GL2308055</v>
      </c>
      <c r="R2457" s="57">
        <f>IFERROR(__xludf.DUMMYFUNCTION("""COMPUTED_VALUE"""),45120.0)</f>
        <v>45120</v>
      </c>
      <c r="S2457" s="57">
        <f>IFERROR(__xludf.DUMMYFUNCTION("""COMPUTED_VALUE"""),45121.0)</f>
        <v>45121</v>
      </c>
      <c r="T2457" s="57">
        <f>IFERROR(__xludf.DUMMYFUNCTION("""COMPUTED_VALUE"""),45265.0)</f>
        <v>45265</v>
      </c>
    </row>
    <row r="2458">
      <c r="A2458" s="6" t="str">
        <f>IFERROR(__xludf.DUMMYFUNCTION("""COMPUTED_VALUE"""),"231750456-3")</f>
        <v>231750456-3</v>
      </c>
      <c r="B2458" s="6" t="str">
        <f>IFERROR(__xludf.DUMMYFUNCTION("""COMPUTED_VALUE"""),"231750456 - Approved")</f>
        <v>231750456 - Approved</v>
      </c>
      <c r="C2458" s="6">
        <f>IFERROR(__xludf.DUMMYFUNCTION("""COMPUTED_VALUE"""),3.0)</f>
        <v>3</v>
      </c>
      <c r="D2458" s="6" t="str">
        <f>IFERROR(__xludf.DUMMYFUNCTION("""COMPUTED_VALUE"""),"P-18467-00")</f>
        <v>P-18467-00</v>
      </c>
      <c r="E2458" s="6" t="str">
        <f>IFERROR(__xludf.DUMMYFUNCTION("""COMPUTED_VALUE"""),"Pass Box Stickers JZC-A Kecil; ; ;")</f>
        <v>Pass Box Stickers JZC-A Kecil; ; ;</v>
      </c>
      <c r="F2458" s="6">
        <f>IFERROR(__xludf.DUMMYFUNCTION("""COMPUTED_VALUE"""),30.0)</f>
        <v>30</v>
      </c>
      <c r="G2458" s="6" t="str">
        <f>IFERROR(__xludf.DUMMYFUNCTION("""COMPUTED_VALUE"""),"Pieces")</f>
        <v>Pieces</v>
      </c>
      <c r="H2458" s="6" t="str">
        <f>IFERROR(__xludf.DUMMYFUNCTION("""COMPUTED_VALUE"""),"IDR")</f>
        <v>IDR</v>
      </c>
      <c r="I2458" s="11">
        <f>IFERROR(__xludf.DUMMYFUNCTION("""COMPUTED_VALUE"""),100000.0)</f>
        <v>100000</v>
      </c>
      <c r="J2458" s="11">
        <f>IFERROR(__xludf.DUMMYFUNCTION("""COMPUTED_VALUE"""),3000000.0)</f>
        <v>3000000</v>
      </c>
      <c r="K2458" s="57">
        <f>IFERROR(__xludf.DUMMYFUNCTION("""COMPUTED_VALUE"""),45134.0)</f>
        <v>45134</v>
      </c>
      <c r="L2458" s="6" t="str">
        <f>IFERROR(__xludf.DUMMYFUNCTION("""COMPUTED_VALUE"""),"FIP Engineering")</f>
        <v>FIP Engineering</v>
      </c>
      <c r="M2458" s="6" t="str">
        <f>IFERROR(__xludf.DUMMYFUNCTION("""COMPUTED_VALUE"""),"Irwan Sopian")</f>
        <v>Irwan Sopian</v>
      </c>
      <c r="N2458" s="6" t="str">
        <f>IFERROR(__xludf.DUMMYFUNCTION("""COMPUTED_VALUE"""),"FIP Engineering")</f>
        <v>FIP Engineering</v>
      </c>
      <c r="O2458" s="6" t="str">
        <f>IFERROR(__xludf.DUMMYFUNCTION("""COMPUTED_VALUE"""),"FIP-DOM-000-11304-OS00001-INA-000000")</f>
        <v>FIP-DOM-000-11304-OS00001-INA-000000</v>
      </c>
      <c r="P2458" s="6" t="str">
        <f>IFERROR(__xludf.DUMMYFUNCTION("""COMPUTED_VALUE"""),"PO Closed")</f>
        <v>PO Closed</v>
      </c>
      <c r="Q2458" s="6" t="str">
        <f>IFERROR(__xludf.DUMMYFUNCTION("""COMPUTED_VALUE"""),"GL2308055")</f>
        <v>GL2308055</v>
      </c>
      <c r="R2458" s="57">
        <f>IFERROR(__xludf.DUMMYFUNCTION("""COMPUTED_VALUE"""),45120.0)</f>
        <v>45120</v>
      </c>
      <c r="S2458" s="57">
        <f>IFERROR(__xludf.DUMMYFUNCTION("""COMPUTED_VALUE"""),45121.0)</f>
        <v>45121</v>
      </c>
      <c r="T2458" s="57">
        <f>IFERROR(__xludf.DUMMYFUNCTION("""COMPUTED_VALUE"""),45265.0)</f>
        <v>45265</v>
      </c>
    </row>
    <row r="2459">
      <c r="A2459" s="6" t="str">
        <f>IFERROR(__xludf.DUMMYFUNCTION("""COMPUTED_VALUE"""),"231750458-1")</f>
        <v>231750458-1</v>
      </c>
      <c r="B2459" s="6" t="str">
        <f>IFERROR(__xludf.DUMMYFUNCTION("""COMPUTED_VALUE"""),"231750458 - Approved")</f>
        <v>231750458 - Approved</v>
      </c>
      <c r="C2459" s="6">
        <f>IFERROR(__xludf.DUMMYFUNCTION("""COMPUTED_VALUE"""),1.0)</f>
        <v>1</v>
      </c>
      <c r="D2459" s="6" t="str">
        <f>IFERROR(__xludf.DUMMYFUNCTION("""COMPUTED_VALUE"""),"P-13429-00")</f>
        <v>P-13429-00</v>
      </c>
      <c r="E2459" s="6" t="str">
        <f>IFERROR(__xludf.DUMMYFUNCTION("""COMPUTED_VALUE"""),"Cable Ducting 25x40mm; ; ;")</f>
        <v>Cable Ducting 25x40mm; ; ;</v>
      </c>
      <c r="F2459" s="6">
        <f>IFERROR(__xludf.DUMMYFUNCTION("""COMPUTED_VALUE"""),25.0)</f>
        <v>25</v>
      </c>
      <c r="G2459" s="6" t="str">
        <f>IFERROR(__xludf.DUMMYFUNCTION("""COMPUTED_VALUE"""),"Pieces")</f>
        <v>Pieces</v>
      </c>
      <c r="H2459" s="6" t="str">
        <f>IFERROR(__xludf.DUMMYFUNCTION("""COMPUTED_VALUE"""),"IDR")</f>
        <v>IDR</v>
      </c>
      <c r="I2459" s="11">
        <f>IFERROR(__xludf.DUMMYFUNCTION("""COMPUTED_VALUE"""),45000.0)</f>
        <v>45000</v>
      </c>
      <c r="J2459" s="11">
        <f>IFERROR(__xludf.DUMMYFUNCTION("""COMPUTED_VALUE"""),1125000.0)</f>
        <v>1125000</v>
      </c>
      <c r="K2459" s="57">
        <f>IFERROR(__xludf.DUMMYFUNCTION("""COMPUTED_VALUE"""),45135.0)</f>
        <v>45135</v>
      </c>
      <c r="L2459" s="6" t="str">
        <f>IFERROR(__xludf.DUMMYFUNCTION("""COMPUTED_VALUE"""),"FIP General")</f>
        <v>FIP General</v>
      </c>
      <c r="M2459" s="6" t="str">
        <f>IFERROR(__xludf.DUMMYFUNCTION("""COMPUTED_VALUE"""),"Irwan Sopian")</f>
        <v>Irwan Sopian</v>
      </c>
      <c r="N2459" s="6" t="str">
        <f>IFERROR(__xludf.DUMMYFUNCTION("""COMPUTED_VALUE"""),"FIP Engineering")</f>
        <v>FIP Engineering</v>
      </c>
      <c r="O2459" s="6" t="str">
        <f>IFERROR(__xludf.DUMMYFUNCTION("""COMPUTED_VALUE"""),"FIP-DOM-ENG-51502-0000000-INA-000000")</f>
        <v>FIP-DOM-ENG-51502-0000000-INA-000000</v>
      </c>
      <c r="P2459" s="6" t="str">
        <f>IFERROR(__xludf.DUMMYFUNCTION("""COMPUTED_VALUE"""),"PO Closed")</f>
        <v>PO Closed</v>
      </c>
      <c r="Q2459" s="6" t="str">
        <f>IFERROR(__xludf.DUMMYFUNCTION("""COMPUTED_VALUE"""),"GL2307337")</f>
        <v>GL2307337</v>
      </c>
      <c r="R2459" s="57">
        <f>IFERROR(__xludf.DUMMYFUNCTION("""COMPUTED_VALUE"""),45121.0)</f>
        <v>45121</v>
      </c>
      <c r="S2459" s="57">
        <f>IFERROR(__xludf.DUMMYFUNCTION("""COMPUTED_VALUE"""),45121.0)</f>
        <v>45121</v>
      </c>
      <c r="T2459" s="57">
        <f>IFERROR(__xludf.DUMMYFUNCTION("""COMPUTED_VALUE"""),45148.0)</f>
        <v>45148</v>
      </c>
    </row>
    <row r="2460">
      <c r="A2460" s="6" t="str">
        <f>IFERROR(__xludf.DUMMYFUNCTION("""COMPUTED_VALUE"""),"231750459-1")</f>
        <v>231750459-1</v>
      </c>
      <c r="B2460" s="6" t="str">
        <f>IFERROR(__xludf.DUMMYFUNCTION("""COMPUTED_VALUE"""),"231750459 - Approved")</f>
        <v>231750459 - Approved</v>
      </c>
      <c r="C2460" s="6">
        <f>IFERROR(__xludf.DUMMYFUNCTION("""COMPUTED_VALUE"""),1.0)</f>
        <v>1</v>
      </c>
      <c r="D2460" s="6" t="str">
        <f>IFERROR(__xludf.DUMMYFUNCTION("""COMPUTED_VALUE"""),"P-54181-00")</f>
        <v>P-54181-00</v>
      </c>
      <c r="E2460" s="6" t="str">
        <f>IFERROR(__xludf.DUMMYFUNCTION("""COMPUTED_VALUE"""),"UV lamp for TOC Sievers M500; TOC Sievers; ; pack size per pc")</f>
        <v>UV lamp for TOC Sievers M500; TOC Sievers; ; pack size per pc</v>
      </c>
      <c r="F2460" s="6">
        <f>IFERROR(__xludf.DUMMYFUNCTION("""COMPUTED_VALUE"""),2.0)</f>
        <v>2</v>
      </c>
      <c r="G2460" s="6" t="str">
        <f>IFERROR(__xludf.DUMMYFUNCTION("""COMPUTED_VALUE"""),"Pieces")</f>
        <v>Pieces</v>
      </c>
      <c r="H2460" s="6" t="str">
        <f>IFERROR(__xludf.DUMMYFUNCTION("""COMPUTED_VALUE"""),"IDR")</f>
        <v>IDR</v>
      </c>
      <c r="I2460" s="11">
        <f>IFERROR(__xludf.DUMMYFUNCTION("""COMPUTED_VALUE"""),100000.0)</f>
        <v>100000</v>
      </c>
      <c r="J2460" s="11">
        <f>IFERROR(__xludf.DUMMYFUNCTION("""COMPUTED_VALUE"""),200000.0)</f>
        <v>200000</v>
      </c>
      <c r="K2460" s="57">
        <f>IFERROR(__xludf.DUMMYFUNCTION("""COMPUTED_VALUE"""),45135.0)</f>
        <v>45135</v>
      </c>
      <c r="L2460" s="6" t="str">
        <f>IFERROR(__xludf.DUMMYFUNCTION("""COMPUTED_VALUE"""),"FIP Engineering")</f>
        <v>FIP Engineering</v>
      </c>
      <c r="M2460" s="6" t="str">
        <f>IFERROR(__xludf.DUMMYFUNCTION("""COMPUTED_VALUE"""),"Irwan Sopian")</f>
        <v>Irwan Sopian</v>
      </c>
      <c r="N2460" s="6" t="str">
        <f>IFERROR(__xludf.DUMMYFUNCTION("""COMPUTED_VALUE"""),"FIP Engineering")</f>
        <v>FIP Engineering</v>
      </c>
      <c r="O2460" s="6" t="str">
        <f>IFERROR(__xludf.DUMMYFUNCTION("""COMPUTED_VALUE"""),"FIP-DOM-000-11304-OS00001-INA-000000")</f>
        <v>FIP-DOM-000-11304-OS00001-INA-000000</v>
      </c>
      <c r="P2460" s="6" t="str">
        <f>IFERROR(__xludf.DUMMYFUNCTION("""COMPUTED_VALUE"""),"PO Closed")</f>
        <v>PO Closed</v>
      </c>
      <c r="Q2460" s="6" t="str">
        <f>IFERROR(__xludf.DUMMYFUNCTION("""COMPUTED_VALUE"""),"GL2309002")</f>
        <v>GL2309002</v>
      </c>
      <c r="R2460" s="57">
        <f>IFERROR(__xludf.DUMMYFUNCTION("""COMPUTED_VALUE"""),45121.0)</f>
        <v>45121</v>
      </c>
      <c r="S2460" s="57">
        <f>IFERROR(__xludf.DUMMYFUNCTION("""COMPUTED_VALUE"""),45124.0)</f>
        <v>45124</v>
      </c>
      <c r="T2460" s="57">
        <f>IFERROR(__xludf.DUMMYFUNCTION("""COMPUTED_VALUE"""),45262.0)</f>
        <v>45262</v>
      </c>
    </row>
    <row r="2461">
      <c r="A2461" s="6" t="str">
        <f>IFERROR(__xludf.DUMMYFUNCTION("""COMPUTED_VALUE"""),"231750460-1")</f>
        <v>231750460-1</v>
      </c>
      <c r="B2461" s="6" t="str">
        <f>IFERROR(__xludf.DUMMYFUNCTION("""COMPUTED_VALUE"""),"231750460 - Approved")</f>
        <v>231750460 - Approved</v>
      </c>
      <c r="C2461" s="6">
        <f>IFERROR(__xludf.DUMMYFUNCTION("""COMPUTED_VALUE"""),1.0)</f>
        <v>1</v>
      </c>
      <c r="D2461" s="6" t="str">
        <f>IFERROR(__xludf.DUMMYFUNCTION("""COMPUTED_VALUE"""),"T-20215-00")</f>
        <v>T-20215-00</v>
      </c>
      <c r="E2461" s="6" t="str">
        <f>IFERROR(__xludf.DUMMYFUNCTION("""COMPUTED_VALUE"""),"ASSY PCB DEGASSER QSPI MULTI-PERS, Waters, Part No. 700002511")</f>
        <v>ASSY PCB DEGASSER QSPI MULTI-PERS, Waters, Part No. 700002511</v>
      </c>
      <c r="F2461" s="6">
        <f>IFERROR(__xludf.DUMMYFUNCTION("""COMPUTED_VALUE"""),2.0)</f>
        <v>2</v>
      </c>
      <c r="G2461" s="6" t="str">
        <f>IFERROR(__xludf.DUMMYFUNCTION("""COMPUTED_VALUE"""),"Pieces")</f>
        <v>Pieces</v>
      </c>
      <c r="H2461" s="6" t="str">
        <f>IFERROR(__xludf.DUMMYFUNCTION("""COMPUTED_VALUE"""),"IDR")</f>
        <v>IDR</v>
      </c>
      <c r="I2461" s="11">
        <f>IFERROR(__xludf.DUMMYFUNCTION("""COMPUTED_VALUE"""),9006618.0)</f>
        <v>9006618</v>
      </c>
      <c r="J2461" s="11">
        <f>IFERROR(__xludf.DUMMYFUNCTION("""COMPUTED_VALUE"""),1.8013236E7)</f>
        <v>18013236</v>
      </c>
      <c r="K2461" s="57">
        <f>IFERROR(__xludf.DUMMYFUNCTION("""COMPUTED_VALUE"""),45135.0)</f>
        <v>45135</v>
      </c>
      <c r="L2461" s="6" t="str">
        <f>IFERROR(__xludf.DUMMYFUNCTION("""COMPUTED_VALUE"""),"FIP General")</f>
        <v>FIP General</v>
      </c>
      <c r="M2461" s="6" t="str">
        <f>IFERROR(__xludf.DUMMYFUNCTION("""COMPUTED_VALUE"""),"Irwan Sopian")</f>
        <v>Irwan Sopian</v>
      </c>
      <c r="N2461" s="6" t="str">
        <f>IFERROR(__xludf.DUMMYFUNCTION("""COMPUTED_VALUE"""),"FIP Engineering")</f>
        <v>FIP Engineering</v>
      </c>
      <c r="O2461" s="6" t="str">
        <f>IFERROR(__xludf.DUMMYFUNCTION("""COMPUTED_VALUE"""),"FIP-DOM-ENG-51505-0000000-INA-000000")</f>
        <v>FIP-DOM-ENG-51505-0000000-INA-000000</v>
      </c>
      <c r="P2461" s="6" t="str">
        <f>IFERROR(__xludf.DUMMYFUNCTION("""COMPUTED_VALUE"""),"PO Closed")</f>
        <v>PO Closed</v>
      </c>
      <c r="Q2461" s="6" t="str">
        <f>IFERROR(__xludf.DUMMYFUNCTION("""COMPUTED_VALUE"""),"GL2307028")</f>
        <v>GL2307028</v>
      </c>
      <c r="R2461" s="57">
        <f>IFERROR(__xludf.DUMMYFUNCTION("""COMPUTED_VALUE"""),45121.0)</f>
        <v>45121</v>
      </c>
      <c r="S2461" s="57">
        <f>IFERROR(__xludf.DUMMYFUNCTION("""COMPUTED_VALUE"""),45124.0)</f>
        <v>45124</v>
      </c>
      <c r="T2461" s="57">
        <f>IFERROR(__xludf.DUMMYFUNCTION("""COMPUTED_VALUE"""),45135.0)</f>
        <v>45135</v>
      </c>
    </row>
    <row r="2462">
      <c r="A2462" s="6" t="str">
        <f>IFERROR(__xludf.DUMMYFUNCTION("""COMPUTED_VALUE"""),"231750461-1")</f>
        <v>231750461-1</v>
      </c>
      <c r="B2462" s="6" t="str">
        <f>IFERROR(__xludf.DUMMYFUNCTION("""COMPUTED_VALUE"""),"231750461 - Approved")</f>
        <v>231750461 - Approved</v>
      </c>
      <c r="C2462" s="6">
        <f>IFERROR(__xludf.DUMMYFUNCTION("""COMPUTED_VALUE"""),1.0)</f>
        <v>1</v>
      </c>
      <c r="D2462" s="6" t="str">
        <f>IFERROR(__xludf.DUMMYFUNCTION("""COMPUTED_VALUE"""),"T-80373-00")</f>
        <v>T-80373-00</v>
      </c>
      <c r="E2462" s="6" t="str">
        <f>IFERROR(__xludf.DUMMYFUNCTION("""COMPUTED_VALUE"""),"Plakband Bening 2 inch")</f>
        <v>Plakband Bening 2 inch</v>
      </c>
      <c r="F2462" s="6">
        <f>IFERROR(__xludf.DUMMYFUNCTION("""COMPUTED_VALUE"""),7.0)</f>
        <v>7</v>
      </c>
      <c r="G2462" s="6" t="str">
        <f>IFERROR(__xludf.DUMMYFUNCTION("""COMPUTED_VALUE"""),"Roll")</f>
        <v>Roll</v>
      </c>
      <c r="H2462" s="6" t="str">
        <f>IFERROR(__xludf.DUMMYFUNCTION("""COMPUTED_VALUE"""),"IDR")</f>
        <v>IDR</v>
      </c>
      <c r="I2462" s="11">
        <f>IFERROR(__xludf.DUMMYFUNCTION("""COMPUTED_VALUE"""),10000.0)</f>
        <v>10000</v>
      </c>
      <c r="J2462" s="11">
        <f>IFERROR(__xludf.DUMMYFUNCTION("""COMPUTED_VALUE"""),70000.0)</f>
        <v>70000</v>
      </c>
      <c r="K2462" s="57">
        <f>IFERROR(__xludf.DUMMYFUNCTION("""COMPUTED_VALUE"""),45139.0)</f>
        <v>45139</v>
      </c>
      <c r="L2462" s="6" t="str">
        <f>IFERROR(__xludf.DUMMYFUNCTION("""COMPUTED_VALUE"""),"FIP General")</f>
        <v>FIP General</v>
      </c>
      <c r="M2462" s="6" t="str">
        <f>IFERROR(__xludf.DUMMYFUNCTION("""COMPUTED_VALUE"""),"Irwan Sopian")</f>
        <v>Irwan Sopian</v>
      </c>
      <c r="N2462" s="6" t="str">
        <f>IFERROR(__xludf.DUMMYFUNCTION("""COMPUTED_VALUE"""),"FIP Engineering")</f>
        <v>FIP Engineering</v>
      </c>
      <c r="O2462" s="6" t="str">
        <f>IFERROR(__xludf.DUMMYFUNCTION("""COMPUTED_VALUE"""),"FIP-DOM-ENG-51411-0000000-INA-000000")</f>
        <v>FIP-DOM-ENG-51411-0000000-INA-000000</v>
      </c>
      <c r="P2462" s="6" t="str">
        <f>IFERROR(__xludf.DUMMYFUNCTION("""COMPUTED_VALUE"""),"PO Closed")</f>
        <v>PO Closed</v>
      </c>
      <c r="Q2462" s="6" t="str">
        <f>IFERROR(__xludf.DUMMYFUNCTION("""COMPUTED_VALUE"""),"GL2309020")</f>
        <v>GL2309020</v>
      </c>
      <c r="R2462" s="57">
        <f>IFERROR(__xludf.DUMMYFUNCTION("""COMPUTED_VALUE"""),45125.0)</f>
        <v>45125</v>
      </c>
      <c r="S2462" s="57">
        <f>IFERROR(__xludf.DUMMYFUNCTION("""COMPUTED_VALUE"""),45125.0)</f>
        <v>45125</v>
      </c>
      <c r="T2462" s="57">
        <f>IFERROR(__xludf.DUMMYFUNCTION("""COMPUTED_VALUE"""),45194.0)</f>
        <v>45194</v>
      </c>
    </row>
    <row r="2463">
      <c r="A2463" s="6" t="str">
        <f>IFERROR(__xludf.DUMMYFUNCTION("""COMPUTED_VALUE"""),"231750461-2")</f>
        <v>231750461-2</v>
      </c>
      <c r="B2463" s="6" t="str">
        <f>IFERROR(__xludf.DUMMYFUNCTION("""COMPUTED_VALUE"""),"231750461 - Approved")</f>
        <v>231750461 - Approved</v>
      </c>
      <c r="C2463" s="6">
        <f>IFERROR(__xludf.DUMMYFUNCTION("""COMPUTED_VALUE"""),2.0)</f>
        <v>2</v>
      </c>
      <c r="D2463" s="6" t="str">
        <f>IFERROR(__xludf.DUMMYFUNCTION("""COMPUTED_VALUE"""),"T-80376-00")</f>
        <v>T-80376-00</v>
      </c>
      <c r="E2463" s="6" t="str">
        <f>IFERROR(__xludf.DUMMYFUNCTION("""COMPUTED_VALUE"""),"Plakban Hitam 2 inch")</f>
        <v>Plakban Hitam 2 inch</v>
      </c>
      <c r="F2463" s="6">
        <f>IFERROR(__xludf.DUMMYFUNCTION("""COMPUTED_VALUE"""),3.0)</f>
        <v>3</v>
      </c>
      <c r="G2463" s="6" t="str">
        <f>IFERROR(__xludf.DUMMYFUNCTION("""COMPUTED_VALUE"""),"Roll")</f>
        <v>Roll</v>
      </c>
      <c r="H2463" s="6" t="str">
        <f>IFERROR(__xludf.DUMMYFUNCTION("""COMPUTED_VALUE"""),"IDR")</f>
        <v>IDR</v>
      </c>
      <c r="I2463" s="11">
        <f>IFERROR(__xludf.DUMMYFUNCTION("""COMPUTED_VALUE"""),16000.0)</f>
        <v>16000</v>
      </c>
      <c r="J2463" s="11">
        <f>IFERROR(__xludf.DUMMYFUNCTION("""COMPUTED_VALUE"""),48000.0)</f>
        <v>48000</v>
      </c>
      <c r="K2463" s="57">
        <f>IFERROR(__xludf.DUMMYFUNCTION("""COMPUTED_VALUE"""),45139.0)</f>
        <v>45139</v>
      </c>
      <c r="L2463" s="6" t="str">
        <f>IFERROR(__xludf.DUMMYFUNCTION("""COMPUTED_VALUE"""),"FIP General")</f>
        <v>FIP General</v>
      </c>
      <c r="M2463" s="6" t="str">
        <f>IFERROR(__xludf.DUMMYFUNCTION("""COMPUTED_VALUE"""),"Irwan Sopian")</f>
        <v>Irwan Sopian</v>
      </c>
      <c r="N2463" s="6" t="str">
        <f>IFERROR(__xludf.DUMMYFUNCTION("""COMPUTED_VALUE"""),"FIP Engineering")</f>
        <v>FIP Engineering</v>
      </c>
      <c r="O2463" s="6" t="str">
        <f>IFERROR(__xludf.DUMMYFUNCTION("""COMPUTED_VALUE"""),"FIP-DOM-ENG-51411-0000000-INA-000000")</f>
        <v>FIP-DOM-ENG-51411-0000000-INA-000000</v>
      </c>
      <c r="P2463" s="6" t="str">
        <f>IFERROR(__xludf.DUMMYFUNCTION("""COMPUTED_VALUE"""),"PO Closed")</f>
        <v>PO Closed</v>
      </c>
      <c r="Q2463" s="6" t="str">
        <f>IFERROR(__xludf.DUMMYFUNCTION("""COMPUTED_VALUE"""),"GL2309020")</f>
        <v>GL2309020</v>
      </c>
      <c r="R2463" s="57">
        <f>IFERROR(__xludf.DUMMYFUNCTION("""COMPUTED_VALUE"""),45125.0)</f>
        <v>45125</v>
      </c>
      <c r="S2463" s="57">
        <f>IFERROR(__xludf.DUMMYFUNCTION("""COMPUTED_VALUE"""),45125.0)</f>
        <v>45125</v>
      </c>
      <c r="T2463" s="57">
        <f>IFERROR(__xludf.DUMMYFUNCTION("""COMPUTED_VALUE"""),45194.0)</f>
        <v>45194</v>
      </c>
    </row>
    <row r="2464">
      <c r="A2464" s="6" t="str">
        <f>IFERROR(__xludf.DUMMYFUNCTION("""COMPUTED_VALUE"""),"231750462-1")</f>
        <v>231750462-1</v>
      </c>
      <c r="B2464" s="6" t="str">
        <f>IFERROR(__xludf.DUMMYFUNCTION("""COMPUTED_VALUE"""),"231750462 - Approved")</f>
        <v>231750462 - Approved</v>
      </c>
      <c r="C2464" s="6">
        <f>IFERROR(__xludf.DUMMYFUNCTION("""COMPUTED_VALUE"""),1.0)</f>
        <v>1</v>
      </c>
      <c r="D2464" s="6" t="str">
        <f>IFERROR(__xludf.DUMMYFUNCTION("""COMPUTED_VALUE"""),"T-20203-00")</f>
        <v>T-20203-00</v>
      </c>
      <c r="E2464" s="6" t="str">
        <f>IFERROR(__xludf.DUMMYFUNCTION("""COMPUTED_VALUE"""),"SEAL, FACE, SEALWASH, PKG (1) 2690, WAT271017")</f>
        <v>SEAL, FACE, SEALWASH, PKG (1) 2690, WAT271017</v>
      </c>
      <c r="F2464" s="6">
        <f>IFERROR(__xludf.DUMMYFUNCTION("""COMPUTED_VALUE"""),6.0)</f>
        <v>6</v>
      </c>
      <c r="G2464" s="6" t="str">
        <f>IFERROR(__xludf.DUMMYFUNCTION("""COMPUTED_VALUE"""),"Pieces")</f>
        <v>Pieces</v>
      </c>
      <c r="H2464" s="6" t="str">
        <f>IFERROR(__xludf.DUMMYFUNCTION("""COMPUTED_VALUE"""),"IDR")</f>
        <v>IDR</v>
      </c>
      <c r="I2464" s="6">
        <f>IFERROR(__xludf.DUMMYFUNCTION("""COMPUTED_VALUE"""),49.59)</f>
        <v>49.59</v>
      </c>
      <c r="J2464" s="6">
        <f>IFERROR(__xludf.DUMMYFUNCTION("""COMPUTED_VALUE"""),297.54)</f>
        <v>297.54</v>
      </c>
      <c r="K2464" s="57">
        <f>IFERROR(__xludf.DUMMYFUNCTION("""COMPUTED_VALUE"""),45139.0)</f>
        <v>45139</v>
      </c>
      <c r="L2464" s="6" t="str">
        <f>IFERROR(__xludf.DUMMYFUNCTION("""COMPUTED_VALUE"""),"FIP General")</f>
        <v>FIP General</v>
      </c>
      <c r="M2464" s="6" t="str">
        <f>IFERROR(__xludf.DUMMYFUNCTION("""COMPUTED_VALUE"""),"Irwan Sopian")</f>
        <v>Irwan Sopian</v>
      </c>
      <c r="N2464" s="6" t="str">
        <f>IFERROR(__xludf.DUMMYFUNCTION("""COMPUTED_VALUE"""),"FIP Engineering")</f>
        <v>FIP Engineering</v>
      </c>
      <c r="O2464" s="6" t="str">
        <f>IFERROR(__xludf.DUMMYFUNCTION("""COMPUTED_VALUE"""),"FIP-DOM-ENG-51505-OS00001-INA-000000")</f>
        <v>FIP-DOM-ENG-51505-OS00001-INA-000000</v>
      </c>
      <c r="P2464" s="6" t="str">
        <f>IFERROR(__xludf.DUMMYFUNCTION("""COMPUTED_VALUE"""),"PO Closed")</f>
        <v>PO Closed</v>
      </c>
      <c r="Q2464" s="6" t="str">
        <f>IFERROR(__xludf.DUMMYFUNCTION("""COMPUTED_VALUE"""),"GL2308045")</f>
        <v>GL2308045</v>
      </c>
      <c r="R2464" s="57">
        <f>IFERROR(__xludf.DUMMYFUNCTION("""COMPUTED_VALUE"""),45125.0)</f>
        <v>45125</v>
      </c>
      <c r="S2464" s="57">
        <f>IFERROR(__xludf.DUMMYFUNCTION("""COMPUTED_VALUE"""),45125.0)</f>
        <v>45125</v>
      </c>
      <c r="T2464" s="57">
        <f>IFERROR(__xludf.DUMMYFUNCTION("""COMPUTED_VALUE"""),45205.0)</f>
        <v>45205</v>
      </c>
    </row>
    <row r="2465">
      <c r="A2465" s="6" t="str">
        <f>IFERROR(__xludf.DUMMYFUNCTION("""COMPUTED_VALUE"""),"231750462-2")</f>
        <v>231750462-2</v>
      </c>
      <c r="B2465" s="6" t="str">
        <f>IFERROR(__xludf.DUMMYFUNCTION("""COMPUTED_VALUE"""),"231750462 - Approved")</f>
        <v>231750462 - Approved</v>
      </c>
      <c r="C2465" s="6">
        <f>IFERROR(__xludf.DUMMYFUNCTION("""COMPUTED_VALUE"""),2.0)</f>
        <v>2</v>
      </c>
      <c r="D2465" s="6" t="str">
        <f>IFERROR(__xludf.DUMMYFUNCTION("""COMPUTED_VALUE"""),"T-20210-00")</f>
        <v>T-20210-00</v>
      </c>
      <c r="E2465" s="6" t="str">
        <f>IFERROR(__xludf.DUMMYFUNCTION("""COMPUTED_VALUE"""),"SEAL FACE 2690, Waters, Part No. WAT270939, PKG (4)")</f>
        <v>SEAL FACE 2690, Waters, Part No. WAT270939, PKG (4)</v>
      </c>
      <c r="F2465" s="6">
        <f>IFERROR(__xludf.DUMMYFUNCTION("""COMPUTED_VALUE"""),2.0)</f>
        <v>2</v>
      </c>
      <c r="G2465" s="6" t="str">
        <f>IFERROR(__xludf.DUMMYFUNCTION("""COMPUTED_VALUE"""),"Pieces")</f>
        <v>Pieces</v>
      </c>
      <c r="H2465" s="6" t="str">
        <f>IFERROR(__xludf.DUMMYFUNCTION("""COMPUTED_VALUE"""),"IDR")</f>
        <v>IDR</v>
      </c>
      <c r="I2465" s="11">
        <f>IFERROR(__xludf.DUMMYFUNCTION("""COMPUTED_VALUE"""),4205000.0)</f>
        <v>4205000</v>
      </c>
      <c r="J2465" s="11">
        <f>IFERROR(__xludf.DUMMYFUNCTION("""COMPUTED_VALUE"""),8410000.0)</f>
        <v>8410000</v>
      </c>
      <c r="K2465" s="57">
        <f>IFERROR(__xludf.DUMMYFUNCTION("""COMPUTED_VALUE"""),45139.0)</f>
        <v>45139</v>
      </c>
      <c r="L2465" s="6" t="str">
        <f>IFERROR(__xludf.DUMMYFUNCTION("""COMPUTED_VALUE"""),"FIP General")</f>
        <v>FIP General</v>
      </c>
      <c r="M2465" s="6" t="str">
        <f>IFERROR(__xludf.DUMMYFUNCTION("""COMPUTED_VALUE"""),"Irwan Sopian")</f>
        <v>Irwan Sopian</v>
      </c>
      <c r="N2465" s="6" t="str">
        <f>IFERROR(__xludf.DUMMYFUNCTION("""COMPUTED_VALUE"""),"FIP Engineering")</f>
        <v>FIP Engineering</v>
      </c>
      <c r="O2465" s="6" t="str">
        <f>IFERROR(__xludf.DUMMYFUNCTION("""COMPUTED_VALUE"""),"FIP-DOM-ENG-51505-OS00001-INA-000000")</f>
        <v>FIP-DOM-ENG-51505-OS00001-INA-000000</v>
      </c>
      <c r="P2465" s="6" t="str">
        <f>IFERROR(__xludf.DUMMYFUNCTION("""COMPUTED_VALUE"""),"PO Closed")</f>
        <v>PO Closed</v>
      </c>
      <c r="Q2465" s="6" t="str">
        <f>IFERROR(__xludf.DUMMYFUNCTION("""COMPUTED_VALUE"""),"GL2308045")</f>
        <v>GL2308045</v>
      </c>
      <c r="R2465" s="57">
        <f>IFERROR(__xludf.DUMMYFUNCTION("""COMPUTED_VALUE"""),45125.0)</f>
        <v>45125</v>
      </c>
      <c r="S2465" s="57">
        <f>IFERROR(__xludf.DUMMYFUNCTION("""COMPUTED_VALUE"""),45125.0)</f>
        <v>45125</v>
      </c>
      <c r="T2465" s="57">
        <f>IFERROR(__xludf.DUMMYFUNCTION("""COMPUTED_VALUE"""),45184.0)</f>
        <v>45184</v>
      </c>
    </row>
    <row r="2466">
      <c r="A2466" s="6" t="str">
        <f>IFERROR(__xludf.DUMMYFUNCTION("""COMPUTED_VALUE"""),"231750462-3")</f>
        <v>231750462-3</v>
      </c>
      <c r="B2466" s="6" t="str">
        <f>IFERROR(__xludf.DUMMYFUNCTION("""COMPUTED_VALUE"""),"231750462 - Approved")</f>
        <v>231750462 - Approved</v>
      </c>
      <c r="C2466" s="6">
        <f>IFERROR(__xludf.DUMMYFUNCTION("""COMPUTED_VALUE"""),3.0)</f>
        <v>3</v>
      </c>
      <c r="D2466" s="6" t="str">
        <f>IFERROR(__xludf.DUMMYFUNCTION("""COMPUTED_VALUE"""),"T-20219-00")</f>
        <v>T-20219-00</v>
      </c>
      <c r="E2466" s="6" t="str">
        <f>IFERROR(__xludf.DUMMYFUNCTION("""COMPUTED_VALUE"""),"2690 WASH TUBE, Waters, Part No. WAT270940, PKG (4)")</f>
        <v>2690 WASH TUBE, Waters, Part No. WAT270940, PKG (4)</v>
      </c>
      <c r="F2466" s="6">
        <f>IFERROR(__xludf.DUMMYFUNCTION("""COMPUTED_VALUE"""),2.0)</f>
        <v>2</v>
      </c>
      <c r="G2466" s="6" t="str">
        <f>IFERROR(__xludf.DUMMYFUNCTION("""COMPUTED_VALUE"""),"Pieces")</f>
        <v>Pieces</v>
      </c>
      <c r="H2466" s="6" t="str">
        <f>IFERROR(__xludf.DUMMYFUNCTION("""COMPUTED_VALUE"""),"IDR")</f>
        <v>IDR</v>
      </c>
      <c r="I2466" s="6">
        <f>IFERROR(__xludf.DUMMYFUNCTION("""COMPUTED_VALUE"""),174.0)</f>
        <v>174</v>
      </c>
      <c r="J2466" s="6">
        <f>IFERROR(__xludf.DUMMYFUNCTION("""COMPUTED_VALUE"""),348.0)</f>
        <v>348</v>
      </c>
      <c r="K2466" s="57">
        <f>IFERROR(__xludf.DUMMYFUNCTION("""COMPUTED_VALUE"""),45139.0)</f>
        <v>45139</v>
      </c>
      <c r="L2466" s="6" t="str">
        <f>IFERROR(__xludf.DUMMYFUNCTION("""COMPUTED_VALUE"""),"FIP General")</f>
        <v>FIP General</v>
      </c>
      <c r="M2466" s="6" t="str">
        <f>IFERROR(__xludf.DUMMYFUNCTION("""COMPUTED_VALUE"""),"Irwan Sopian")</f>
        <v>Irwan Sopian</v>
      </c>
      <c r="N2466" s="6" t="str">
        <f>IFERROR(__xludf.DUMMYFUNCTION("""COMPUTED_VALUE"""),"FIP Engineering")</f>
        <v>FIP Engineering</v>
      </c>
      <c r="O2466" s="6" t="str">
        <f>IFERROR(__xludf.DUMMYFUNCTION("""COMPUTED_VALUE"""),"FIP-DOM-ENG-51505-OS00001-INA-000000")</f>
        <v>FIP-DOM-ENG-51505-OS00001-INA-000000</v>
      </c>
      <c r="P2466" s="6" t="str">
        <f>IFERROR(__xludf.DUMMYFUNCTION("""COMPUTED_VALUE"""),"PO Closed")</f>
        <v>PO Closed</v>
      </c>
      <c r="Q2466" s="6" t="str">
        <f>IFERROR(__xludf.DUMMYFUNCTION("""COMPUTED_VALUE"""),"GL2308045")</f>
        <v>GL2308045</v>
      </c>
      <c r="R2466" s="57">
        <f>IFERROR(__xludf.DUMMYFUNCTION("""COMPUTED_VALUE"""),45125.0)</f>
        <v>45125</v>
      </c>
      <c r="S2466" s="57">
        <f>IFERROR(__xludf.DUMMYFUNCTION("""COMPUTED_VALUE"""),45125.0)</f>
        <v>45125</v>
      </c>
      <c r="T2466" s="57">
        <f>IFERROR(__xludf.DUMMYFUNCTION("""COMPUTED_VALUE"""),45205.0)</f>
        <v>45205</v>
      </c>
    </row>
    <row r="2467">
      <c r="A2467" s="6" t="str">
        <f>IFERROR(__xludf.DUMMYFUNCTION("""COMPUTED_VALUE"""),"231750463-1")</f>
        <v>231750463-1</v>
      </c>
      <c r="B2467" s="6" t="str">
        <f>IFERROR(__xludf.DUMMYFUNCTION("""COMPUTED_VALUE"""),"231750463 - Approved")</f>
        <v>231750463 - Approved</v>
      </c>
      <c r="C2467" s="6">
        <f>IFERROR(__xludf.DUMMYFUNCTION("""COMPUTED_VALUE"""),1.0)</f>
        <v>1</v>
      </c>
      <c r="D2467" s="6" t="str">
        <f>IFERROR(__xludf.DUMMYFUNCTION("""COMPUTED_VALUE"""),"Q-10971-00")</f>
        <v>Q-10971-00</v>
      </c>
      <c r="E2467" s="6" t="str">
        <f>IFERROR(__xludf.DUMMYFUNCTION("""COMPUTED_VALUE"""),"Magnet Kotak Pintu Lemari Small Stainless Steel 1.5x3.6cm; ; ;")</f>
        <v>Magnet Kotak Pintu Lemari Small Stainless Steel 1.5x3.6cm; ; ;</v>
      </c>
      <c r="F2467" s="6">
        <f>IFERROR(__xludf.DUMMYFUNCTION("""COMPUTED_VALUE"""),5.0)</f>
        <v>5</v>
      </c>
      <c r="G2467" s="6" t="str">
        <f>IFERROR(__xludf.DUMMYFUNCTION("""COMPUTED_VALUE"""),"Pieces")</f>
        <v>Pieces</v>
      </c>
      <c r="H2467" s="6" t="str">
        <f>IFERROR(__xludf.DUMMYFUNCTION("""COMPUTED_VALUE"""),"IDR")</f>
        <v>IDR</v>
      </c>
      <c r="I2467" s="11">
        <f>IFERROR(__xludf.DUMMYFUNCTION("""COMPUTED_VALUE"""),10000.0)</f>
        <v>10000</v>
      </c>
      <c r="J2467" s="11">
        <f>IFERROR(__xludf.DUMMYFUNCTION("""COMPUTED_VALUE"""),50000.0)</f>
        <v>50000</v>
      </c>
      <c r="K2467" s="57">
        <f>IFERROR(__xludf.DUMMYFUNCTION("""COMPUTED_VALUE"""),45141.0)</f>
        <v>45141</v>
      </c>
      <c r="L2467" s="6" t="str">
        <f>IFERROR(__xludf.DUMMYFUNCTION("""COMPUTED_VALUE"""),"FIP General")</f>
        <v>FIP General</v>
      </c>
      <c r="M2467" s="6" t="str">
        <f>IFERROR(__xludf.DUMMYFUNCTION("""COMPUTED_VALUE"""),"Irwan Sopian")</f>
        <v>Irwan Sopian</v>
      </c>
      <c r="N2467" s="6" t="str">
        <f>IFERROR(__xludf.DUMMYFUNCTION("""COMPUTED_VALUE"""),"FIP Engineering")</f>
        <v>FIP Engineering</v>
      </c>
      <c r="O2467" s="6" t="str">
        <f>IFERROR(__xludf.DUMMYFUNCTION("""COMPUTED_VALUE"""),"FIP-DOM-ENG-51502-0000000-INA-000000")</f>
        <v>FIP-DOM-ENG-51502-0000000-INA-000000</v>
      </c>
      <c r="P2467" s="6" t="str">
        <f>IFERROR(__xludf.DUMMYFUNCTION("""COMPUTED_VALUE"""),"PO Closed")</f>
        <v>PO Closed</v>
      </c>
      <c r="Q2467" s="6" t="str">
        <f>IFERROR(__xludf.DUMMYFUNCTION("""COMPUTED_VALUE"""),"GL2308043")</f>
        <v>GL2308043</v>
      </c>
      <c r="R2467" s="57">
        <f>IFERROR(__xludf.DUMMYFUNCTION("""COMPUTED_VALUE"""),45127.0)</f>
        <v>45127</v>
      </c>
      <c r="S2467" s="57">
        <f>IFERROR(__xludf.DUMMYFUNCTION("""COMPUTED_VALUE"""),45127.0)</f>
        <v>45127</v>
      </c>
      <c r="T2467" s="57">
        <f>IFERROR(__xludf.DUMMYFUNCTION("""COMPUTED_VALUE"""),45191.0)</f>
        <v>45191</v>
      </c>
    </row>
    <row r="2468">
      <c r="A2468" s="6" t="str">
        <f>IFERROR(__xludf.DUMMYFUNCTION("""COMPUTED_VALUE"""),"231750464-1")</f>
        <v>231750464-1</v>
      </c>
      <c r="B2468" s="6" t="str">
        <f>IFERROR(__xludf.DUMMYFUNCTION("""COMPUTED_VALUE"""),"231750464 - Approved")</f>
        <v>231750464 - Approved</v>
      </c>
      <c r="C2468" s="6">
        <f>IFERROR(__xludf.DUMMYFUNCTION("""COMPUTED_VALUE"""),1.0)</f>
        <v>1</v>
      </c>
      <c r="D2468" s="6" t="str">
        <f>IFERROR(__xludf.DUMMYFUNCTION("""COMPUTED_VALUE"""),"P-15938-00")</f>
        <v>P-15938-00</v>
      </c>
      <c r="E2468" s="6" t="str">
        <f>IFERROR(__xludf.DUMMYFUNCTION("""COMPUTED_VALUE"""),"Water Hardness Test Kit; ; ;")</f>
        <v>Water Hardness Test Kit; ; ;</v>
      </c>
      <c r="F2468" s="6">
        <f>IFERROR(__xludf.DUMMYFUNCTION("""COMPUTED_VALUE"""),2.0)</f>
        <v>2</v>
      </c>
      <c r="G2468" s="6" t="str">
        <f>IFERROR(__xludf.DUMMYFUNCTION("""COMPUTED_VALUE"""),"Box")</f>
        <v>Box</v>
      </c>
      <c r="H2468" s="6" t="str">
        <f>IFERROR(__xludf.DUMMYFUNCTION("""COMPUTED_VALUE"""),"IDR")</f>
        <v>IDR</v>
      </c>
      <c r="I2468" s="11">
        <f>IFERROR(__xludf.DUMMYFUNCTION("""COMPUTED_VALUE"""),273500.0)</f>
        <v>273500</v>
      </c>
      <c r="J2468" s="11">
        <f>IFERROR(__xludf.DUMMYFUNCTION("""COMPUTED_VALUE"""),547000.0)</f>
        <v>547000</v>
      </c>
      <c r="K2468" s="57">
        <f>IFERROR(__xludf.DUMMYFUNCTION("""COMPUTED_VALUE"""),45141.0)</f>
        <v>45141</v>
      </c>
      <c r="L2468" s="6" t="str">
        <f>IFERROR(__xludf.DUMMYFUNCTION("""COMPUTED_VALUE"""),"FIP General")</f>
        <v>FIP General</v>
      </c>
      <c r="M2468" s="6" t="str">
        <f>IFERROR(__xludf.DUMMYFUNCTION("""COMPUTED_VALUE"""),"Irwan Sopian")</f>
        <v>Irwan Sopian</v>
      </c>
      <c r="N2468" s="6" t="str">
        <f>IFERROR(__xludf.DUMMYFUNCTION("""COMPUTED_VALUE"""),"FIP Engineering")</f>
        <v>FIP Engineering</v>
      </c>
      <c r="O2468" s="6" t="str">
        <f>IFERROR(__xludf.DUMMYFUNCTION("""COMPUTED_VALUE"""),"FIP-DOM-ENG-51504-0000000-INA-000000")</f>
        <v>FIP-DOM-ENG-51504-0000000-INA-000000</v>
      </c>
      <c r="P2468" s="6" t="str">
        <f>IFERROR(__xludf.DUMMYFUNCTION("""COMPUTED_VALUE"""),"PO Closed")</f>
        <v>PO Closed</v>
      </c>
      <c r="Q2468" s="6" t="str">
        <f>IFERROR(__xludf.DUMMYFUNCTION("""COMPUTED_VALUE"""),"GL2307342")</f>
        <v>GL2307342</v>
      </c>
      <c r="R2468" s="57">
        <f>IFERROR(__xludf.DUMMYFUNCTION("""COMPUTED_VALUE"""),45127.0)</f>
        <v>45127</v>
      </c>
      <c r="S2468" s="57">
        <f>IFERROR(__xludf.DUMMYFUNCTION("""COMPUTED_VALUE"""),45128.0)</f>
        <v>45128</v>
      </c>
      <c r="T2468" s="57">
        <f>IFERROR(__xludf.DUMMYFUNCTION("""COMPUTED_VALUE"""),45179.0)</f>
        <v>45179</v>
      </c>
    </row>
    <row r="2469">
      <c r="A2469" s="6" t="str">
        <f>IFERROR(__xludf.DUMMYFUNCTION("""COMPUTED_VALUE"""),"231750465-1")</f>
        <v>231750465-1</v>
      </c>
      <c r="B2469" s="6" t="str">
        <f>IFERROR(__xludf.DUMMYFUNCTION("""COMPUTED_VALUE"""),"231750465 - Approved")</f>
        <v>231750465 - Approved</v>
      </c>
      <c r="C2469" s="6">
        <f>IFERROR(__xludf.DUMMYFUNCTION("""COMPUTED_VALUE"""),1.0)</f>
        <v>1</v>
      </c>
      <c r="D2469" s="6" t="str">
        <f>IFERROR(__xludf.DUMMYFUNCTION("""COMPUTED_VALUE"""),"Q-60026-00")</f>
        <v>Q-60026-00</v>
      </c>
      <c r="E2469" s="6" t="str">
        <f>IFERROR(__xludf.DUMMYFUNCTION("""COMPUTED_VALUE"""),"Kuas Eterna 2")</f>
        <v>Kuas Eterna 2</v>
      </c>
      <c r="F2469" s="6">
        <f>IFERROR(__xludf.DUMMYFUNCTION("""COMPUTED_VALUE"""),20.0)</f>
        <v>20</v>
      </c>
      <c r="G2469" s="6" t="str">
        <f>IFERROR(__xludf.DUMMYFUNCTION("""COMPUTED_VALUE"""),"Pieces")</f>
        <v>Pieces</v>
      </c>
      <c r="H2469" s="6" t="str">
        <f>IFERROR(__xludf.DUMMYFUNCTION("""COMPUTED_VALUE"""),"IDR")</f>
        <v>IDR</v>
      </c>
      <c r="I2469" s="11">
        <f>IFERROR(__xludf.DUMMYFUNCTION("""COMPUTED_VALUE"""),11000.0)</f>
        <v>11000</v>
      </c>
      <c r="J2469" s="11">
        <f>IFERROR(__xludf.DUMMYFUNCTION("""COMPUTED_VALUE"""),220000.0)</f>
        <v>220000</v>
      </c>
      <c r="K2469" s="57">
        <f>IFERROR(__xludf.DUMMYFUNCTION("""COMPUTED_VALUE"""),45141.0)</f>
        <v>45141</v>
      </c>
      <c r="L2469" s="6" t="str">
        <f>IFERROR(__xludf.DUMMYFUNCTION("""COMPUTED_VALUE"""),"FIP General")</f>
        <v>FIP General</v>
      </c>
      <c r="M2469" s="6" t="str">
        <f>IFERROR(__xludf.DUMMYFUNCTION("""COMPUTED_VALUE"""),"Irwan Sopian")</f>
        <v>Irwan Sopian</v>
      </c>
      <c r="N2469" s="6" t="str">
        <f>IFERROR(__xludf.DUMMYFUNCTION("""COMPUTED_VALUE"""),"FIP Engineering")</f>
        <v>FIP Engineering</v>
      </c>
      <c r="O2469" s="6" t="str">
        <f>IFERROR(__xludf.DUMMYFUNCTION("""COMPUTED_VALUE"""),"FIP-DOM-ENG-51404-0000000-INA-000000")</f>
        <v>FIP-DOM-ENG-51404-0000000-INA-000000</v>
      </c>
      <c r="P2469" s="6" t="str">
        <f>IFERROR(__xludf.DUMMYFUNCTION("""COMPUTED_VALUE"""),"PO Closed")</f>
        <v>PO Closed</v>
      </c>
      <c r="Q2469" s="6" t="str">
        <f>IFERROR(__xludf.DUMMYFUNCTION("""COMPUTED_VALUE"""),"GL2308347")</f>
        <v>GL2308347</v>
      </c>
      <c r="R2469" s="57">
        <f>IFERROR(__xludf.DUMMYFUNCTION("""COMPUTED_VALUE"""),45127.0)</f>
        <v>45127</v>
      </c>
      <c r="S2469" s="57">
        <f>IFERROR(__xludf.DUMMYFUNCTION("""COMPUTED_VALUE"""),45128.0)</f>
        <v>45128</v>
      </c>
      <c r="T2469" s="57">
        <f>IFERROR(__xludf.DUMMYFUNCTION("""COMPUTED_VALUE"""),45176.0)</f>
        <v>45176</v>
      </c>
    </row>
    <row r="2470">
      <c r="A2470" s="6" t="str">
        <f>IFERROR(__xludf.DUMMYFUNCTION("""COMPUTED_VALUE"""),"231750467-1")</f>
        <v>231750467-1</v>
      </c>
      <c r="B2470" s="6" t="str">
        <f>IFERROR(__xludf.DUMMYFUNCTION("""COMPUTED_VALUE"""),"231750467 - Approved")</f>
        <v>231750467 - Approved</v>
      </c>
      <c r="C2470" s="6">
        <f>IFERROR(__xludf.DUMMYFUNCTION("""COMPUTED_VALUE"""),1.0)</f>
        <v>1</v>
      </c>
      <c r="D2470" s="6" t="str">
        <f>IFERROR(__xludf.DUMMYFUNCTION("""COMPUTED_VALUE"""),"P-52380-00")</f>
        <v>P-52380-00</v>
      </c>
      <c r="E2470" s="6" t="str">
        <f>IFERROR(__xludf.DUMMYFUNCTION("""COMPUTED_VALUE"""),"Adaptor AC Universal Power Supply 12VDC s/d 24VDC; ; ;")</f>
        <v>Adaptor AC Universal Power Supply 12VDC s/d 24VDC; ; ;</v>
      </c>
      <c r="F2470" s="6">
        <f>IFERROR(__xludf.DUMMYFUNCTION("""COMPUTED_VALUE"""),2.0)</f>
        <v>2</v>
      </c>
      <c r="G2470" s="6" t="str">
        <f>IFERROR(__xludf.DUMMYFUNCTION("""COMPUTED_VALUE"""),"Pieces")</f>
        <v>Pieces</v>
      </c>
      <c r="H2470" s="6" t="str">
        <f>IFERROR(__xludf.DUMMYFUNCTION("""COMPUTED_VALUE"""),"IDR")</f>
        <v>IDR</v>
      </c>
      <c r="I2470" s="11">
        <f>IFERROR(__xludf.DUMMYFUNCTION("""COMPUTED_VALUE"""),100000.0)</f>
        <v>100000</v>
      </c>
      <c r="J2470" s="11">
        <f>IFERROR(__xludf.DUMMYFUNCTION("""COMPUTED_VALUE"""),200000.0)</f>
        <v>200000</v>
      </c>
      <c r="K2470" s="57">
        <f>IFERROR(__xludf.DUMMYFUNCTION("""COMPUTED_VALUE"""),45141.0)</f>
        <v>45141</v>
      </c>
      <c r="L2470" s="6" t="str">
        <f>IFERROR(__xludf.DUMMYFUNCTION("""COMPUTED_VALUE"""),"FIP General")</f>
        <v>FIP General</v>
      </c>
      <c r="M2470" s="6" t="str">
        <f>IFERROR(__xludf.DUMMYFUNCTION("""COMPUTED_VALUE"""),"Irwan Sopian")</f>
        <v>Irwan Sopian</v>
      </c>
      <c r="N2470" s="6" t="str">
        <f>IFERROR(__xludf.DUMMYFUNCTION("""COMPUTED_VALUE"""),"FIP Engineering")</f>
        <v>FIP Engineering</v>
      </c>
      <c r="O2470" s="6" t="str">
        <f>IFERROR(__xludf.DUMMYFUNCTION("""COMPUTED_VALUE"""),"FIP-DOM-ENG-51504-0000000-INA-000000")</f>
        <v>FIP-DOM-ENG-51504-0000000-INA-000000</v>
      </c>
      <c r="P2470" s="6" t="str">
        <f>IFERROR(__xludf.DUMMYFUNCTION("""COMPUTED_VALUE"""),"PO Closed")</f>
        <v>PO Closed</v>
      </c>
      <c r="Q2470" s="6" t="str">
        <f>IFERROR(__xludf.DUMMYFUNCTION("""COMPUTED_VALUE"""),"GL2307342")</f>
        <v>GL2307342</v>
      </c>
      <c r="R2470" s="57">
        <f>IFERROR(__xludf.DUMMYFUNCTION("""COMPUTED_VALUE"""),45127.0)</f>
        <v>45127</v>
      </c>
      <c r="S2470" s="57">
        <f>IFERROR(__xludf.DUMMYFUNCTION("""COMPUTED_VALUE"""),45127.0)</f>
        <v>45127</v>
      </c>
      <c r="T2470" s="57">
        <f>IFERROR(__xludf.DUMMYFUNCTION("""COMPUTED_VALUE"""),45179.0)</f>
        <v>45179</v>
      </c>
    </row>
    <row r="2471">
      <c r="A2471" s="6" t="str">
        <f>IFERROR(__xludf.DUMMYFUNCTION("""COMPUTED_VALUE"""),"231750469-1")</f>
        <v>231750469-1</v>
      </c>
      <c r="B2471" s="6" t="str">
        <f>IFERROR(__xludf.DUMMYFUNCTION("""COMPUTED_VALUE"""),"231750469 - Approved")</f>
        <v>231750469 - Approved</v>
      </c>
      <c r="C2471" s="6">
        <f>IFERROR(__xludf.DUMMYFUNCTION("""COMPUTED_VALUE"""),1.0)</f>
        <v>1</v>
      </c>
      <c r="D2471" s="6" t="str">
        <f>IFERROR(__xludf.DUMMYFUNCTION("""COMPUTED_VALUE"""),"Q-10972-00")</f>
        <v>Q-10972-00</v>
      </c>
      <c r="E2471" s="6" t="str">
        <f>IFERROR(__xludf.DUMMYFUNCTION("""COMPUTED_VALUE"""),"Koper Penyimpan Alat Cashing Aluminium Uk. 215x215x655mm; ; ;")</f>
        <v>Koper Penyimpan Alat Cashing Aluminium Uk. 215x215x655mm; ; ;</v>
      </c>
      <c r="F2471" s="6">
        <f>IFERROR(__xludf.DUMMYFUNCTION("""COMPUTED_VALUE"""),2.0)</f>
        <v>2</v>
      </c>
      <c r="G2471" s="6" t="str">
        <f>IFERROR(__xludf.DUMMYFUNCTION("""COMPUTED_VALUE"""),"Pieces")</f>
        <v>Pieces</v>
      </c>
      <c r="H2471" s="6" t="str">
        <f>IFERROR(__xludf.DUMMYFUNCTION("""COMPUTED_VALUE"""),"IDR")</f>
        <v>IDR</v>
      </c>
      <c r="I2471" s="11">
        <f>IFERROR(__xludf.DUMMYFUNCTION("""COMPUTED_VALUE"""),280000.0)</f>
        <v>280000</v>
      </c>
      <c r="J2471" s="11">
        <f>IFERROR(__xludf.DUMMYFUNCTION("""COMPUTED_VALUE"""),560000.0)</f>
        <v>560000</v>
      </c>
      <c r="K2471" s="57">
        <f>IFERROR(__xludf.DUMMYFUNCTION("""COMPUTED_VALUE"""),45141.0)</f>
        <v>45141</v>
      </c>
      <c r="L2471" s="6" t="str">
        <f>IFERROR(__xludf.DUMMYFUNCTION("""COMPUTED_VALUE"""),"FIP General")</f>
        <v>FIP General</v>
      </c>
      <c r="M2471" s="6" t="str">
        <f>IFERROR(__xludf.DUMMYFUNCTION("""COMPUTED_VALUE"""),"Irwan Sopian")</f>
        <v>Irwan Sopian</v>
      </c>
      <c r="N2471" s="6" t="str">
        <f>IFERROR(__xludf.DUMMYFUNCTION("""COMPUTED_VALUE"""),"FIP Engineering")</f>
        <v>FIP Engineering</v>
      </c>
      <c r="O2471" s="6" t="str">
        <f>IFERROR(__xludf.DUMMYFUNCTION("""COMPUTED_VALUE"""),"FIP-DOM-ENG-51502-0000000-INA-000000")</f>
        <v>FIP-DOM-ENG-51502-0000000-INA-000000</v>
      </c>
      <c r="P2471" s="6" t="str">
        <f>IFERROR(__xludf.DUMMYFUNCTION("""COMPUTED_VALUE"""),"PO Closed")</f>
        <v>PO Closed</v>
      </c>
      <c r="Q2471" s="6" t="str">
        <f>IFERROR(__xludf.DUMMYFUNCTION("""COMPUTED_VALUE"""),"GL2308043")</f>
        <v>GL2308043</v>
      </c>
      <c r="R2471" s="57">
        <f>IFERROR(__xludf.DUMMYFUNCTION("""COMPUTED_VALUE"""),45127.0)</f>
        <v>45127</v>
      </c>
      <c r="S2471" s="57">
        <f>IFERROR(__xludf.DUMMYFUNCTION("""COMPUTED_VALUE"""),45131.0)</f>
        <v>45131</v>
      </c>
      <c r="T2471" s="57">
        <f>IFERROR(__xludf.DUMMYFUNCTION("""COMPUTED_VALUE"""),45191.0)</f>
        <v>45191</v>
      </c>
    </row>
    <row r="2472">
      <c r="A2472" s="6" t="str">
        <f>IFERROR(__xludf.DUMMYFUNCTION("""COMPUTED_VALUE"""),"231750470-1")</f>
        <v>231750470-1</v>
      </c>
      <c r="B2472" s="6" t="str">
        <f>IFERROR(__xludf.DUMMYFUNCTION("""COMPUTED_VALUE"""),"231750470 - Approved")</f>
        <v>231750470 - Approved</v>
      </c>
      <c r="C2472" s="6">
        <f>IFERROR(__xludf.DUMMYFUNCTION("""COMPUTED_VALUE"""),1.0)</f>
        <v>1</v>
      </c>
      <c r="D2472" s="6" t="str">
        <f>IFERROR(__xludf.DUMMYFUNCTION("""COMPUTED_VALUE"""),"P-52591-00")</f>
        <v>P-52591-00</v>
      </c>
      <c r="E2472" s="6" t="str">
        <f>IFERROR(__xludf.DUMMYFUNCTION("""COMPUTED_VALUE"""),"Relay APF 30324; Panasonic; ;")</f>
        <v>Relay APF 30324; Panasonic; ;</v>
      </c>
      <c r="F2472" s="6">
        <f>IFERROR(__xludf.DUMMYFUNCTION("""COMPUTED_VALUE"""),5.0)</f>
        <v>5</v>
      </c>
      <c r="G2472" s="6" t="str">
        <f>IFERROR(__xludf.DUMMYFUNCTION("""COMPUTED_VALUE"""),"Pieces")</f>
        <v>Pieces</v>
      </c>
      <c r="H2472" s="6" t="str">
        <f>IFERROR(__xludf.DUMMYFUNCTION("""COMPUTED_VALUE"""),"IDR")</f>
        <v>IDR</v>
      </c>
      <c r="I2472" s="11">
        <f>IFERROR(__xludf.DUMMYFUNCTION("""COMPUTED_VALUE"""),100000.0)</f>
        <v>100000</v>
      </c>
      <c r="J2472" s="11">
        <f>IFERROR(__xludf.DUMMYFUNCTION("""COMPUTED_VALUE"""),500000.0)</f>
        <v>500000</v>
      </c>
      <c r="K2472" s="57">
        <f>IFERROR(__xludf.DUMMYFUNCTION("""COMPUTED_VALUE"""),45142.0)</f>
        <v>45142</v>
      </c>
      <c r="L2472" s="6" t="str">
        <f>IFERROR(__xludf.DUMMYFUNCTION("""COMPUTED_VALUE"""),"FIP Engineering")</f>
        <v>FIP Engineering</v>
      </c>
      <c r="M2472" s="6" t="str">
        <f>IFERROR(__xludf.DUMMYFUNCTION("""COMPUTED_VALUE"""),"Irwan Sopian")</f>
        <v>Irwan Sopian</v>
      </c>
      <c r="N2472" s="6" t="str">
        <f>IFERROR(__xludf.DUMMYFUNCTION("""COMPUTED_VALUE"""),"FIP Engineering")</f>
        <v>FIP Engineering</v>
      </c>
      <c r="O2472" s="6" t="str">
        <f>IFERROR(__xludf.DUMMYFUNCTION("""COMPUTED_VALUE"""),"FIP-DOM-000-11304-OS00001-INA-000000")</f>
        <v>FIP-DOM-000-11304-OS00001-INA-000000</v>
      </c>
      <c r="P2472" s="6" t="str">
        <f>IFERROR(__xludf.DUMMYFUNCTION("""COMPUTED_VALUE"""),"PO Closed")</f>
        <v>PO Closed</v>
      </c>
      <c r="Q2472" s="6" t="str">
        <f>IFERROR(__xludf.DUMMYFUNCTION("""COMPUTED_VALUE"""),"GL2309005")</f>
        <v>GL2309005</v>
      </c>
      <c r="R2472" s="57">
        <f>IFERROR(__xludf.DUMMYFUNCTION("""COMPUTED_VALUE"""),45128.0)</f>
        <v>45128</v>
      </c>
      <c r="S2472" s="57">
        <f>IFERROR(__xludf.DUMMYFUNCTION("""COMPUTED_VALUE"""),45132.0)</f>
        <v>45132</v>
      </c>
      <c r="T2472" s="57">
        <f>IFERROR(__xludf.DUMMYFUNCTION("""COMPUTED_VALUE"""),45280.0)</f>
        <v>45280</v>
      </c>
    </row>
    <row r="2473">
      <c r="A2473" s="6" t="str">
        <f>IFERROR(__xludf.DUMMYFUNCTION("""COMPUTED_VALUE"""),"231750473-1")</f>
        <v>231750473-1</v>
      </c>
      <c r="B2473" s="6" t="str">
        <f>IFERROR(__xludf.DUMMYFUNCTION("""COMPUTED_VALUE"""),"231750473 - Approved")</f>
        <v>231750473 - Approved</v>
      </c>
      <c r="C2473" s="6">
        <f>IFERROR(__xludf.DUMMYFUNCTION("""COMPUTED_VALUE"""),1.0)</f>
        <v>1</v>
      </c>
      <c r="D2473" s="6" t="str">
        <f>IFERROR(__xludf.DUMMYFUNCTION("""COMPUTED_VALUE"""),"S-60050-00")</f>
        <v>S-60050-00</v>
      </c>
      <c r="E2473" s="6" t="str">
        <f>IFERROR(__xludf.DUMMYFUNCTION("""COMPUTED_VALUE"""),"Jasa Perbaikan dan Pemeliharaan Mesin Produksi; ; ; - Untuk repair motor blower crabs no.5")</f>
        <v>Jasa Perbaikan dan Pemeliharaan Mesin Produksi; ; ; - Untuk repair motor blower crabs no.5</v>
      </c>
      <c r="F2473" s="6">
        <f>IFERROR(__xludf.DUMMYFUNCTION("""COMPUTED_VALUE"""),1.0)</f>
        <v>1</v>
      </c>
      <c r="G2473" s="6" t="str">
        <f>IFERROR(__xludf.DUMMYFUNCTION("""COMPUTED_VALUE"""),"Pieces")</f>
        <v>Pieces</v>
      </c>
      <c r="H2473" s="6" t="str">
        <f>IFERROR(__xludf.DUMMYFUNCTION("""COMPUTED_VALUE"""),"IDR")</f>
        <v>IDR</v>
      </c>
      <c r="I2473" s="11">
        <f>IFERROR(__xludf.DUMMYFUNCTION("""COMPUTED_VALUE"""),3570000.0)</f>
        <v>3570000</v>
      </c>
      <c r="J2473" s="11">
        <f>IFERROR(__xludf.DUMMYFUNCTION("""COMPUTED_VALUE"""),3570000.0)</f>
        <v>3570000</v>
      </c>
      <c r="K2473" s="57">
        <f>IFERROR(__xludf.DUMMYFUNCTION("""COMPUTED_VALUE"""),45145.0)</f>
        <v>45145</v>
      </c>
      <c r="L2473" s="6" t="str">
        <f>IFERROR(__xludf.DUMMYFUNCTION("""COMPUTED_VALUE"""),"FIP General")</f>
        <v>FIP General</v>
      </c>
      <c r="M2473" s="6" t="str">
        <f>IFERROR(__xludf.DUMMYFUNCTION("""COMPUTED_VALUE"""),"Irwan Sopian")</f>
        <v>Irwan Sopian</v>
      </c>
      <c r="N2473" s="6" t="str">
        <f>IFERROR(__xludf.DUMMYFUNCTION("""COMPUTED_VALUE"""),"FIP Engineering")</f>
        <v>FIP Engineering</v>
      </c>
      <c r="O2473" s="6" t="str">
        <f>IFERROR(__xludf.DUMMYFUNCTION("""COMPUTED_VALUE"""),"FIP-DOM-ENG-51504-0000000-INA-000000")</f>
        <v>FIP-DOM-ENG-51504-0000000-INA-000000</v>
      </c>
      <c r="P2473" s="6" t="str">
        <f>IFERROR(__xludf.DUMMYFUNCTION("""COMPUTED_VALUE"""),"PO Closed")</f>
        <v>PO Closed</v>
      </c>
      <c r="Q2473" s="6" t="str">
        <f>IFERROR(__xludf.DUMMYFUNCTION("""COMPUTED_VALUE"""),"GL2309003")</f>
        <v>GL2309003</v>
      </c>
      <c r="R2473" s="57">
        <f>IFERROR(__xludf.DUMMYFUNCTION("""COMPUTED_VALUE"""),45131.0)</f>
        <v>45131</v>
      </c>
      <c r="S2473" s="57">
        <f>IFERROR(__xludf.DUMMYFUNCTION("""COMPUTED_VALUE"""),45131.0)</f>
        <v>45131</v>
      </c>
      <c r="T2473" s="57">
        <f>IFERROR(__xludf.DUMMYFUNCTION("""COMPUTED_VALUE"""),45199.0)</f>
        <v>45199</v>
      </c>
    </row>
    <row r="2474">
      <c r="A2474" s="6" t="str">
        <f>IFERROR(__xludf.DUMMYFUNCTION("""COMPUTED_VALUE"""),"231750475-1")</f>
        <v>231750475-1</v>
      </c>
      <c r="B2474" s="6" t="str">
        <f>IFERROR(__xludf.DUMMYFUNCTION("""COMPUTED_VALUE"""),"231750475 - Approved")</f>
        <v>231750475 - Approved</v>
      </c>
      <c r="C2474" s="6">
        <f>IFERROR(__xludf.DUMMYFUNCTION("""COMPUTED_VALUE"""),1.0)</f>
        <v>1</v>
      </c>
      <c r="D2474" s="6" t="str">
        <f>IFERROR(__xludf.DUMMYFUNCTION("""COMPUTED_VALUE"""),"P-13389-00")</f>
        <v>P-13389-00</v>
      </c>
      <c r="E2474" s="6" t="str">
        <f>IFERROR(__xludf.DUMMYFUNCTION("""COMPUTED_VALUE"""),"Scotch Brite 3M; ; ;")</f>
        <v>Scotch Brite 3M; ; ;</v>
      </c>
      <c r="F2474" s="6">
        <f>IFERROR(__xludf.DUMMYFUNCTION("""COMPUTED_VALUE"""),20.0)</f>
        <v>20</v>
      </c>
      <c r="G2474" s="6" t="str">
        <f>IFERROR(__xludf.DUMMYFUNCTION("""COMPUTED_VALUE"""),"Pieces")</f>
        <v>Pieces</v>
      </c>
      <c r="H2474" s="6" t="str">
        <f>IFERROR(__xludf.DUMMYFUNCTION("""COMPUTED_VALUE"""),"IDR")</f>
        <v>IDR</v>
      </c>
      <c r="I2474" s="11">
        <f>IFERROR(__xludf.DUMMYFUNCTION("""COMPUTED_VALUE"""),100000.0)</f>
        <v>100000</v>
      </c>
      <c r="J2474" s="11">
        <f>IFERROR(__xludf.DUMMYFUNCTION("""COMPUTED_VALUE"""),2000000.0)</f>
        <v>2000000</v>
      </c>
      <c r="K2474" s="57">
        <f>IFERROR(__xludf.DUMMYFUNCTION("""COMPUTED_VALUE"""),45146.0)</f>
        <v>45146</v>
      </c>
      <c r="L2474" s="6" t="str">
        <f>IFERROR(__xludf.DUMMYFUNCTION("""COMPUTED_VALUE"""),"FIP Engineering")</f>
        <v>FIP Engineering</v>
      </c>
      <c r="M2474" s="6" t="str">
        <f>IFERROR(__xludf.DUMMYFUNCTION("""COMPUTED_VALUE"""),"Irwan Sopian")</f>
        <v>Irwan Sopian</v>
      </c>
      <c r="N2474" s="6" t="str">
        <f>IFERROR(__xludf.DUMMYFUNCTION("""COMPUTED_VALUE"""),"FIP Engineering")</f>
        <v>FIP Engineering</v>
      </c>
      <c r="O2474" s="6" t="str">
        <f>IFERROR(__xludf.DUMMYFUNCTION("""COMPUTED_VALUE"""),"FIP-DOM-000-11304-OS00001-INA-000000")</f>
        <v>FIP-DOM-000-11304-OS00001-INA-000000</v>
      </c>
      <c r="P2474" s="6" t="str">
        <f>IFERROR(__xludf.DUMMYFUNCTION("""COMPUTED_VALUE"""),"PO Closed")</f>
        <v>PO Closed</v>
      </c>
      <c r="Q2474" s="6" t="str">
        <f>IFERROR(__xludf.DUMMYFUNCTION("""COMPUTED_VALUE"""),"GL2307342")</f>
        <v>GL2307342</v>
      </c>
      <c r="R2474" s="57">
        <f>IFERROR(__xludf.DUMMYFUNCTION("""COMPUTED_VALUE"""),45132.0)</f>
        <v>45132</v>
      </c>
      <c r="S2474" s="57">
        <f>IFERROR(__xludf.DUMMYFUNCTION("""COMPUTED_VALUE"""),45135.0)</f>
        <v>45135</v>
      </c>
      <c r="T2474" s="57">
        <f>IFERROR(__xludf.DUMMYFUNCTION("""COMPUTED_VALUE"""),45179.0)</f>
        <v>45179</v>
      </c>
    </row>
    <row r="2475">
      <c r="A2475" s="6" t="str">
        <f>IFERROR(__xludf.DUMMYFUNCTION("""COMPUTED_VALUE"""),"231750479-1")</f>
        <v>231750479-1</v>
      </c>
      <c r="B2475" s="6" t="str">
        <f>IFERROR(__xludf.DUMMYFUNCTION("""COMPUTED_VALUE"""),"231750479 - Approved")</f>
        <v>231750479 - Approved</v>
      </c>
      <c r="C2475" s="6">
        <f>IFERROR(__xludf.DUMMYFUNCTION("""COMPUTED_VALUE"""),1.0)</f>
        <v>1</v>
      </c>
      <c r="D2475" s="6" t="str">
        <f>IFERROR(__xludf.DUMMYFUNCTION("""COMPUTED_VALUE"""),"P-10398-00")</f>
        <v>P-10398-00</v>
      </c>
      <c r="E2475" s="6" t="str">
        <f>IFERROR(__xludf.DUMMYFUNCTION("""COMPUTED_VALUE"""),"Ball Valve SS 316 1/2")</f>
        <v>Ball Valve SS 316 1/2</v>
      </c>
      <c r="F2475" s="6">
        <f>IFERROR(__xludf.DUMMYFUNCTION("""COMPUTED_VALUE"""),1.0)</f>
        <v>1</v>
      </c>
      <c r="G2475" s="6" t="str">
        <f>IFERROR(__xludf.DUMMYFUNCTION("""COMPUTED_VALUE"""),"Pieces")</f>
        <v>Pieces</v>
      </c>
      <c r="H2475" s="6" t="str">
        <f>IFERROR(__xludf.DUMMYFUNCTION("""COMPUTED_VALUE"""),"IDR")</f>
        <v>IDR</v>
      </c>
      <c r="I2475" s="11">
        <f>IFERROR(__xludf.DUMMYFUNCTION("""COMPUTED_VALUE"""),54000.0)</f>
        <v>54000</v>
      </c>
      <c r="J2475" s="11">
        <f>IFERROR(__xludf.DUMMYFUNCTION("""COMPUTED_VALUE"""),54000.0)</f>
        <v>54000</v>
      </c>
      <c r="K2475" s="57">
        <f>IFERROR(__xludf.DUMMYFUNCTION("""COMPUTED_VALUE"""),45146.0)</f>
        <v>45146</v>
      </c>
      <c r="L2475" s="6" t="str">
        <f>IFERROR(__xludf.DUMMYFUNCTION("""COMPUTED_VALUE"""),"FIP Engineering")</f>
        <v>FIP Engineering</v>
      </c>
      <c r="M2475" s="6" t="str">
        <f>IFERROR(__xludf.DUMMYFUNCTION("""COMPUTED_VALUE"""),"Irwan Sopian")</f>
        <v>Irwan Sopian</v>
      </c>
      <c r="N2475" s="6" t="str">
        <f>IFERROR(__xludf.DUMMYFUNCTION("""COMPUTED_VALUE"""),"FIP Engineering")</f>
        <v>FIP Engineering</v>
      </c>
      <c r="O2475" s="6" t="str">
        <f>IFERROR(__xludf.DUMMYFUNCTION("""COMPUTED_VALUE"""),"FIP-DOM-000-11304-OS00001-INA-000000")</f>
        <v>FIP-DOM-000-11304-OS00001-INA-000000</v>
      </c>
      <c r="P2475" s="6" t="str">
        <f>IFERROR(__xludf.DUMMYFUNCTION("""COMPUTED_VALUE"""),"PO Closed")</f>
        <v>PO Closed</v>
      </c>
      <c r="Q2475" s="6" t="str">
        <f>IFERROR(__xludf.DUMMYFUNCTION("""COMPUTED_VALUE"""),"GL2309007")</f>
        <v>GL2309007</v>
      </c>
      <c r="R2475" s="57">
        <f>IFERROR(__xludf.DUMMYFUNCTION("""COMPUTED_VALUE"""),45132.0)</f>
        <v>45132</v>
      </c>
      <c r="S2475" s="57">
        <f>IFERROR(__xludf.DUMMYFUNCTION("""COMPUTED_VALUE"""),45138.0)</f>
        <v>45138</v>
      </c>
      <c r="T2475" s="57">
        <f>IFERROR(__xludf.DUMMYFUNCTION("""COMPUTED_VALUE"""),45262.0)</f>
        <v>45262</v>
      </c>
    </row>
    <row r="2476">
      <c r="A2476" s="6" t="str">
        <f>IFERROR(__xludf.DUMMYFUNCTION("""COMPUTED_VALUE"""),"231750479-2")</f>
        <v>231750479-2</v>
      </c>
      <c r="B2476" s="6" t="str">
        <f>IFERROR(__xludf.DUMMYFUNCTION("""COMPUTED_VALUE"""),"231750479 - Approved")</f>
        <v>231750479 - Approved</v>
      </c>
      <c r="C2476" s="6">
        <f>IFERROR(__xludf.DUMMYFUNCTION("""COMPUTED_VALUE"""),2.0)</f>
        <v>2</v>
      </c>
      <c r="D2476" s="6" t="str">
        <f>IFERROR(__xludf.DUMMYFUNCTION("""COMPUTED_VALUE"""),"O-19141-00")</f>
        <v>O-19141-00</v>
      </c>
      <c r="E2476" s="6" t="str">
        <f>IFERROR(__xludf.DUMMYFUNCTION("""COMPUTED_VALUE"""),"Fitting Pneumatic QS 6mm x 1/8 inch Female; ; ;")</f>
        <v>Fitting Pneumatic QS 6mm x 1/8 inch Female; ; ;</v>
      </c>
      <c r="F2476" s="6">
        <f>IFERROR(__xludf.DUMMYFUNCTION("""COMPUTED_VALUE"""),1.0)</f>
        <v>1</v>
      </c>
      <c r="G2476" s="6" t="str">
        <f>IFERROR(__xludf.DUMMYFUNCTION("""COMPUTED_VALUE"""),"Pieces")</f>
        <v>Pieces</v>
      </c>
      <c r="H2476" s="6" t="str">
        <f>IFERROR(__xludf.DUMMYFUNCTION("""COMPUTED_VALUE"""),"IDR")</f>
        <v>IDR</v>
      </c>
      <c r="I2476" s="11">
        <f>IFERROR(__xludf.DUMMYFUNCTION("""COMPUTED_VALUE"""),50000.0)</f>
        <v>50000</v>
      </c>
      <c r="J2476" s="11">
        <f>IFERROR(__xludf.DUMMYFUNCTION("""COMPUTED_VALUE"""),50000.0)</f>
        <v>50000</v>
      </c>
      <c r="K2476" s="57">
        <f>IFERROR(__xludf.DUMMYFUNCTION("""COMPUTED_VALUE"""),45146.0)</f>
        <v>45146</v>
      </c>
      <c r="L2476" s="6" t="str">
        <f>IFERROR(__xludf.DUMMYFUNCTION("""COMPUTED_VALUE"""),"FIP Engineering")</f>
        <v>FIP Engineering</v>
      </c>
      <c r="M2476" s="6" t="str">
        <f>IFERROR(__xludf.DUMMYFUNCTION("""COMPUTED_VALUE"""),"Irwan Sopian")</f>
        <v>Irwan Sopian</v>
      </c>
      <c r="N2476" s="6" t="str">
        <f>IFERROR(__xludf.DUMMYFUNCTION("""COMPUTED_VALUE"""),"FIP Engineering")</f>
        <v>FIP Engineering</v>
      </c>
      <c r="O2476" s="6" t="str">
        <f>IFERROR(__xludf.DUMMYFUNCTION("""COMPUTED_VALUE"""),"FIP-DOM-000-11304-OS00001-INA-000000")</f>
        <v>FIP-DOM-000-11304-OS00001-INA-000000</v>
      </c>
      <c r="P2476" s="6" t="str">
        <f>IFERROR(__xludf.DUMMYFUNCTION("""COMPUTED_VALUE"""),"PO Closed")</f>
        <v>PO Closed</v>
      </c>
      <c r="Q2476" s="6" t="str">
        <f>IFERROR(__xludf.DUMMYFUNCTION("""COMPUTED_VALUE"""),"GL2309007")</f>
        <v>GL2309007</v>
      </c>
      <c r="R2476" s="57">
        <f>IFERROR(__xludf.DUMMYFUNCTION("""COMPUTED_VALUE"""),45132.0)</f>
        <v>45132</v>
      </c>
      <c r="S2476" s="57">
        <f>IFERROR(__xludf.DUMMYFUNCTION("""COMPUTED_VALUE"""),45138.0)</f>
        <v>45138</v>
      </c>
      <c r="T2476" s="57">
        <f>IFERROR(__xludf.DUMMYFUNCTION("""COMPUTED_VALUE"""),45262.0)</f>
        <v>45262</v>
      </c>
    </row>
    <row r="2477">
      <c r="A2477" s="6" t="str">
        <f>IFERROR(__xludf.DUMMYFUNCTION("""COMPUTED_VALUE"""),"231750479-3")</f>
        <v>231750479-3</v>
      </c>
      <c r="B2477" s="6" t="str">
        <f>IFERROR(__xludf.DUMMYFUNCTION("""COMPUTED_VALUE"""),"231750479 - Approved")</f>
        <v>231750479 - Approved</v>
      </c>
      <c r="C2477" s="6">
        <f>IFERROR(__xludf.DUMMYFUNCTION("""COMPUTED_VALUE"""),3.0)</f>
        <v>3</v>
      </c>
      <c r="D2477" s="6" t="str">
        <f>IFERROR(__xludf.DUMMYFUNCTION("""COMPUTED_VALUE"""),"P-18666-00")</f>
        <v>P-18666-00</v>
      </c>
      <c r="E2477" s="6" t="str">
        <f>IFERROR(__xludf.DUMMYFUNCTION("""COMPUTED_VALUE"""),"Vlok Ring Kuningan 1 inch x 1/2 inch; ; ;")</f>
        <v>Vlok Ring Kuningan 1 inch x 1/2 inch; ; ;</v>
      </c>
      <c r="F2477" s="6">
        <f>IFERROR(__xludf.DUMMYFUNCTION("""COMPUTED_VALUE"""),2.0)</f>
        <v>2</v>
      </c>
      <c r="G2477" s="6" t="str">
        <f>IFERROR(__xludf.DUMMYFUNCTION("""COMPUTED_VALUE"""),"Pieces")</f>
        <v>Pieces</v>
      </c>
      <c r="H2477" s="6" t="str">
        <f>IFERROR(__xludf.DUMMYFUNCTION("""COMPUTED_VALUE"""),"IDR")</f>
        <v>IDR</v>
      </c>
      <c r="I2477" s="11">
        <f>IFERROR(__xludf.DUMMYFUNCTION("""COMPUTED_VALUE"""),250000.0)</f>
        <v>250000</v>
      </c>
      <c r="J2477" s="11">
        <f>IFERROR(__xludf.DUMMYFUNCTION("""COMPUTED_VALUE"""),500000.0)</f>
        <v>500000</v>
      </c>
      <c r="K2477" s="57">
        <f>IFERROR(__xludf.DUMMYFUNCTION("""COMPUTED_VALUE"""),45146.0)</f>
        <v>45146</v>
      </c>
      <c r="L2477" s="6" t="str">
        <f>IFERROR(__xludf.DUMMYFUNCTION("""COMPUTED_VALUE"""),"FIP Engineering")</f>
        <v>FIP Engineering</v>
      </c>
      <c r="M2477" s="6" t="str">
        <f>IFERROR(__xludf.DUMMYFUNCTION("""COMPUTED_VALUE"""),"Irwan Sopian")</f>
        <v>Irwan Sopian</v>
      </c>
      <c r="N2477" s="6" t="str">
        <f>IFERROR(__xludf.DUMMYFUNCTION("""COMPUTED_VALUE"""),"FIP Engineering")</f>
        <v>FIP Engineering</v>
      </c>
      <c r="O2477" s="6" t="str">
        <f>IFERROR(__xludf.DUMMYFUNCTION("""COMPUTED_VALUE"""),"FIP-DOM-000-11304-OS00001-INA-000000")</f>
        <v>FIP-DOM-000-11304-OS00001-INA-000000</v>
      </c>
      <c r="P2477" s="6" t="str">
        <f>IFERROR(__xludf.DUMMYFUNCTION("""COMPUTED_VALUE"""),"PO Closed")</f>
        <v>PO Closed</v>
      </c>
      <c r="Q2477" s="6" t="str">
        <f>IFERROR(__xludf.DUMMYFUNCTION("""COMPUTED_VALUE"""),"GL2309007")</f>
        <v>GL2309007</v>
      </c>
      <c r="R2477" s="57">
        <f>IFERROR(__xludf.DUMMYFUNCTION("""COMPUTED_VALUE"""),45132.0)</f>
        <v>45132</v>
      </c>
      <c r="S2477" s="57">
        <f>IFERROR(__xludf.DUMMYFUNCTION("""COMPUTED_VALUE"""),45138.0)</f>
        <v>45138</v>
      </c>
      <c r="T2477" s="57">
        <f>IFERROR(__xludf.DUMMYFUNCTION("""COMPUTED_VALUE"""),45262.0)</f>
        <v>45262</v>
      </c>
    </row>
    <row r="2478">
      <c r="A2478" s="6" t="str">
        <f>IFERROR(__xludf.DUMMYFUNCTION("""COMPUTED_VALUE"""),"231750480-1")</f>
        <v>231750480-1</v>
      </c>
      <c r="B2478" s="6" t="str">
        <f>IFERROR(__xludf.DUMMYFUNCTION("""COMPUTED_VALUE"""),"231750480 - Approved")</f>
        <v>231750480 - Approved</v>
      </c>
      <c r="C2478" s="6">
        <f>IFERROR(__xludf.DUMMYFUNCTION("""COMPUTED_VALUE"""),1.0)</f>
        <v>1</v>
      </c>
      <c r="D2478" s="6" t="str">
        <f>IFERROR(__xludf.DUMMYFUNCTION("""COMPUTED_VALUE"""),"P-15964-00")</f>
        <v>P-15964-00</v>
      </c>
      <c r="E2478" s="6" t="str">
        <f>IFERROR(__xludf.DUMMYFUNCTION("""COMPUTED_VALUE"""),"Ball valve kuningan 1 inch KITZ; ; ;")</f>
        <v>Ball valve kuningan 1 inch KITZ; ; ;</v>
      </c>
      <c r="F2478" s="6">
        <f>IFERROR(__xludf.DUMMYFUNCTION("""COMPUTED_VALUE"""),1.0)</f>
        <v>1</v>
      </c>
      <c r="G2478" s="6" t="str">
        <f>IFERROR(__xludf.DUMMYFUNCTION("""COMPUTED_VALUE"""),"Pieces")</f>
        <v>Pieces</v>
      </c>
      <c r="H2478" s="6" t="str">
        <f>IFERROR(__xludf.DUMMYFUNCTION("""COMPUTED_VALUE"""),"IDR")</f>
        <v>IDR</v>
      </c>
      <c r="I2478" s="11">
        <f>IFERROR(__xludf.DUMMYFUNCTION("""COMPUTED_VALUE"""),324000.0)</f>
        <v>324000</v>
      </c>
      <c r="J2478" s="11">
        <f>IFERROR(__xludf.DUMMYFUNCTION("""COMPUTED_VALUE"""),324000.0)</f>
        <v>324000</v>
      </c>
      <c r="K2478" s="57">
        <f>IFERROR(__xludf.DUMMYFUNCTION("""COMPUTED_VALUE"""),45146.0)</f>
        <v>45146</v>
      </c>
      <c r="L2478" s="6" t="str">
        <f>IFERROR(__xludf.DUMMYFUNCTION("""COMPUTED_VALUE"""),"FIP General")</f>
        <v>FIP General</v>
      </c>
      <c r="M2478" s="6" t="str">
        <f>IFERROR(__xludf.DUMMYFUNCTION("""COMPUTED_VALUE"""),"Irwan Sopian")</f>
        <v>Irwan Sopian</v>
      </c>
      <c r="N2478" s="6" t="str">
        <f>IFERROR(__xludf.DUMMYFUNCTION("""COMPUTED_VALUE"""),"FIP Engineering")</f>
        <v>FIP Engineering</v>
      </c>
      <c r="O2478" s="6" t="str">
        <f>IFERROR(__xludf.DUMMYFUNCTION("""COMPUTED_VALUE"""),"FIP-DOM-ENG-51502-0000000-INA-000000")</f>
        <v>FIP-DOM-ENG-51502-0000000-INA-000000</v>
      </c>
      <c r="P2478" s="6" t="str">
        <f>IFERROR(__xludf.DUMMYFUNCTION("""COMPUTED_VALUE"""),"PO Closed")</f>
        <v>PO Closed</v>
      </c>
      <c r="Q2478" s="6" t="str">
        <f>IFERROR(__xludf.DUMMYFUNCTION("""COMPUTED_VALUE"""),"GL2309007")</f>
        <v>GL2309007</v>
      </c>
      <c r="R2478" s="57">
        <f>IFERROR(__xludf.DUMMYFUNCTION("""COMPUTED_VALUE"""),45132.0)</f>
        <v>45132</v>
      </c>
      <c r="S2478" s="57">
        <f>IFERROR(__xludf.DUMMYFUNCTION("""COMPUTED_VALUE"""),45138.0)</f>
        <v>45138</v>
      </c>
      <c r="T2478" s="57">
        <f>IFERROR(__xludf.DUMMYFUNCTION("""COMPUTED_VALUE"""),45262.0)</f>
        <v>45262</v>
      </c>
    </row>
    <row r="2479">
      <c r="A2479" s="6" t="str">
        <f>IFERROR(__xludf.DUMMYFUNCTION("""COMPUTED_VALUE"""),"231750483-1")</f>
        <v>231750483-1</v>
      </c>
      <c r="B2479" s="6" t="str">
        <f>IFERROR(__xludf.DUMMYFUNCTION("""COMPUTED_VALUE"""),"231750483 - Approved")</f>
        <v>231750483 - Approved</v>
      </c>
      <c r="C2479" s="6">
        <f>IFERROR(__xludf.DUMMYFUNCTION("""COMPUTED_VALUE"""),1.0)</f>
        <v>1</v>
      </c>
      <c r="D2479" s="6" t="str">
        <f>IFERROR(__xludf.DUMMYFUNCTION("""COMPUTED_VALUE"""),"P-15438-00")</f>
        <v>P-15438-00</v>
      </c>
      <c r="E2479" s="6" t="str">
        <f>IFERROR(__xludf.DUMMYFUNCTION("""COMPUTED_VALUE"""),"CABLE SPIRAL WRAPPING, TYPE KS12, BRAND KSS; ; ;")</f>
        <v>CABLE SPIRAL WRAPPING, TYPE KS12, BRAND KSS; ; ;</v>
      </c>
      <c r="F2479" s="6">
        <f>IFERROR(__xludf.DUMMYFUNCTION("""COMPUTED_VALUE"""),3.0)</f>
        <v>3</v>
      </c>
      <c r="G2479" s="6" t="str">
        <f>IFERROR(__xludf.DUMMYFUNCTION("""COMPUTED_VALUE"""),"Pack")</f>
        <v>Pack</v>
      </c>
      <c r="H2479" s="6" t="str">
        <f>IFERROR(__xludf.DUMMYFUNCTION("""COMPUTED_VALUE"""),"IDR")</f>
        <v>IDR</v>
      </c>
      <c r="I2479" s="11">
        <f>IFERROR(__xludf.DUMMYFUNCTION("""COMPUTED_VALUE"""),62000.0)</f>
        <v>62000</v>
      </c>
      <c r="J2479" s="11">
        <f>IFERROR(__xludf.DUMMYFUNCTION("""COMPUTED_VALUE"""),186000.0)</f>
        <v>186000</v>
      </c>
      <c r="K2479" s="57">
        <f>IFERROR(__xludf.DUMMYFUNCTION("""COMPUTED_VALUE"""),45147.0)</f>
        <v>45147</v>
      </c>
      <c r="L2479" s="6" t="str">
        <f>IFERROR(__xludf.DUMMYFUNCTION("""COMPUTED_VALUE"""),"FIP Engineering")</f>
        <v>FIP Engineering</v>
      </c>
      <c r="M2479" s="6" t="str">
        <f>IFERROR(__xludf.DUMMYFUNCTION("""COMPUTED_VALUE"""),"Irwan Sopian")</f>
        <v>Irwan Sopian</v>
      </c>
      <c r="N2479" s="6" t="str">
        <f>IFERROR(__xludf.DUMMYFUNCTION("""COMPUTED_VALUE"""),"FIP Engineering")</f>
        <v>FIP Engineering</v>
      </c>
      <c r="O2479" s="6" t="str">
        <f>IFERROR(__xludf.DUMMYFUNCTION("""COMPUTED_VALUE"""),"FIP-DOM-000-11304-OS00001-INA-000000")</f>
        <v>FIP-DOM-000-11304-OS00001-INA-000000</v>
      </c>
      <c r="P2479" s="6" t="str">
        <f>IFERROR(__xludf.DUMMYFUNCTION("""COMPUTED_VALUE"""),"PO Closed")</f>
        <v>PO Closed</v>
      </c>
      <c r="Q2479" s="6" t="str">
        <f>IFERROR(__xludf.DUMMYFUNCTION("""COMPUTED_VALUE"""),"GL2309008")</f>
        <v>GL2309008</v>
      </c>
      <c r="R2479" s="57">
        <f>IFERROR(__xludf.DUMMYFUNCTION("""COMPUTED_VALUE"""),45133.0)</f>
        <v>45133</v>
      </c>
      <c r="S2479" s="57">
        <f>IFERROR(__xludf.DUMMYFUNCTION("""COMPUTED_VALUE"""),45138.0)</f>
        <v>45138</v>
      </c>
      <c r="T2479" s="57">
        <f>IFERROR(__xludf.DUMMYFUNCTION("""COMPUTED_VALUE"""),45245.0)</f>
        <v>45245</v>
      </c>
    </row>
    <row r="2480">
      <c r="A2480" s="6" t="str">
        <f>IFERROR(__xludf.DUMMYFUNCTION("""COMPUTED_VALUE"""),"231750484-1")</f>
        <v>231750484-1</v>
      </c>
      <c r="B2480" s="6" t="str">
        <f>IFERROR(__xludf.DUMMYFUNCTION("""COMPUTED_VALUE"""),"231750484 - Approved")</f>
        <v>231750484 - Approved</v>
      </c>
      <c r="C2480" s="6">
        <f>IFERROR(__xludf.DUMMYFUNCTION("""COMPUTED_VALUE"""),1.0)</f>
        <v>1</v>
      </c>
      <c r="D2480" s="6" t="str">
        <f>IFERROR(__xludf.DUMMYFUNCTION("""COMPUTED_VALUE"""),"P-17562-00")</f>
        <v>P-17562-00</v>
      </c>
      <c r="E2480" s="6" t="str">
        <f>IFERROR(__xludf.DUMMYFUNCTION("""COMPUTED_VALUE"""),"SIGMA - Mounting Base 20x20mm; ; ;")</f>
        <v>SIGMA - Mounting Base 20x20mm; ; ;</v>
      </c>
      <c r="F2480" s="6">
        <f>IFERROR(__xludf.DUMMYFUNCTION("""COMPUTED_VALUE"""),2.0)</f>
        <v>2</v>
      </c>
      <c r="G2480" s="6" t="str">
        <f>IFERROR(__xludf.DUMMYFUNCTION("""COMPUTED_VALUE"""),"Pieces")</f>
        <v>Pieces</v>
      </c>
      <c r="H2480" s="6" t="str">
        <f>IFERROR(__xludf.DUMMYFUNCTION("""COMPUTED_VALUE"""),"IDR")</f>
        <v>IDR</v>
      </c>
      <c r="I2480" s="11">
        <f>IFERROR(__xludf.DUMMYFUNCTION("""COMPUTED_VALUE"""),95000.0)</f>
        <v>95000</v>
      </c>
      <c r="J2480" s="11">
        <f>IFERROR(__xludf.DUMMYFUNCTION("""COMPUTED_VALUE"""),190000.0)</f>
        <v>190000</v>
      </c>
      <c r="K2480" s="57">
        <f>IFERROR(__xludf.DUMMYFUNCTION("""COMPUTED_VALUE"""),45147.0)</f>
        <v>45147</v>
      </c>
      <c r="L2480" s="6" t="str">
        <f>IFERROR(__xludf.DUMMYFUNCTION("""COMPUTED_VALUE"""),"FIP Engineering")</f>
        <v>FIP Engineering</v>
      </c>
      <c r="M2480" s="6" t="str">
        <f>IFERROR(__xludf.DUMMYFUNCTION("""COMPUTED_VALUE"""),"Irwan Sopian")</f>
        <v>Irwan Sopian</v>
      </c>
      <c r="N2480" s="6" t="str">
        <f>IFERROR(__xludf.DUMMYFUNCTION("""COMPUTED_VALUE"""),"FIP Engineering")</f>
        <v>FIP Engineering</v>
      </c>
      <c r="O2480" s="6" t="str">
        <f>IFERROR(__xludf.DUMMYFUNCTION("""COMPUTED_VALUE"""),"FIP-DOM-000-11304-OS00001-INA-000000")</f>
        <v>FIP-DOM-000-11304-OS00001-INA-000000</v>
      </c>
      <c r="P2480" s="6" t="str">
        <f>IFERROR(__xludf.DUMMYFUNCTION("""COMPUTED_VALUE"""),"PO Closed")</f>
        <v>PO Closed</v>
      </c>
      <c r="Q2480" s="6" t="str">
        <f>IFERROR(__xludf.DUMMYFUNCTION("""COMPUTED_VALUE"""),"GL2309007")</f>
        <v>GL2309007</v>
      </c>
      <c r="R2480" s="57">
        <f>IFERROR(__xludf.DUMMYFUNCTION("""COMPUTED_VALUE"""),45133.0)</f>
        <v>45133</v>
      </c>
      <c r="S2480" s="57">
        <f>IFERROR(__xludf.DUMMYFUNCTION("""COMPUTED_VALUE"""),45138.0)</f>
        <v>45138</v>
      </c>
      <c r="T2480" s="57">
        <f>IFERROR(__xludf.DUMMYFUNCTION("""COMPUTED_VALUE"""),45262.0)</f>
        <v>45262</v>
      </c>
    </row>
    <row r="2481">
      <c r="A2481" s="6" t="str">
        <f>IFERROR(__xludf.DUMMYFUNCTION("""COMPUTED_VALUE"""),"231750486-1")</f>
        <v>231750486-1</v>
      </c>
      <c r="B2481" s="6" t="str">
        <f>IFERROR(__xludf.DUMMYFUNCTION("""COMPUTED_VALUE"""),"231750486 - Approved")</f>
        <v>231750486 - Approved</v>
      </c>
      <c r="C2481" s="6">
        <f>IFERROR(__xludf.DUMMYFUNCTION("""COMPUTED_VALUE"""),1.0)</f>
        <v>1</v>
      </c>
      <c r="D2481" s="6" t="str">
        <f>IFERROR(__xludf.DUMMYFUNCTION("""COMPUTED_VALUE"""),"P-51559-00")</f>
        <v>P-51559-00</v>
      </c>
      <c r="E2481" s="6" t="str">
        <f>IFERROR(__xludf.DUMMYFUNCTION("""COMPUTED_VALUE"""),"Lampu T5 14watt Putih; Phillips; ;")</f>
        <v>Lampu T5 14watt Putih; Phillips; ;</v>
      </c>
      <c r="F2481" s="6">
        <f>IFERROR(__xludf.DUMMYFUNCTION("""COMPUTED_VALUE"""),80.0)</f>
        <v>80</v>
      </c>
      <c r="G2481" s="6" t="str">
        <f>IFERROR(__xludf.DUMMYFUNCTION("""COMPUTED_VALUE"""),"Pack")</f>
        <v>Pack</v>
      </c>
      <c r="H2481" s="6" t="str">
        <f>IFERROR(__xludf.DUMMYFUNCTION("""COMPUTED_VALUE"""),"IDR")</f>
        <v>IDR</v>
      </c>
      <c r="I2481" s="11">
        <f>IFERROR(__xludf.DUMMYFUNCTION("""COMPUTED_VALUE"""),29700.0)</f>
        <v>29700</v>
      </c>
      <c r="J2481" s="11">
        <f>IFERROR(__xludf.DUMMYFUNCTION("""COMPUTED_VALUE"""),2376000.0)</f>
        <v>2376000</v>
      </c>
      <c r="K2481" s="57">
        <f>IFERROR(__xludf.DUMMYFUNCTION("""COMPUTED_VALUE"""),45148.0)</f>
        <v>45148</v>
      </c>
      <c r="L2481" s="6" t="str">
        <f>IFERROR(__xludf.DUMMYFUNCTION("""COMPUTED_VALUE"""),"FIP Engineering")</f>
        <v>FIP Engineering</v>
      </c>
      <c r="M2481" s="6" t="str">
        <f>IFERROR(__xludf.DUMMYFUNCTION("""COMPUTED_VALUE"""),"Mochammad Fadhillah Hakim")</f>
        <v>Mochammad Fadhillah Hakim</v>
      </c>
      <c r="N2481" s="6" t="str">
        <f>IFERROR(__xludf.DUMMYFUNCTION("""COMPUTED_VALUE"""),"FIP Engineering")</f>
        <v>FIP Engineering</v>
      </c>
      <c r="O2481" s="6" t="str">
        <f>IFERROR(__xludf.DUMMYFUNCTION("""COMPUTED_VALUE"""),"FIP-DOM-000-11304-OS00001-INA-000000")</f>
        <v>FIP-DOM-000-11304-OS00001-INA-000000</v>
      </c>
      <c r="P2481" s="6" t="str">
        <f>IFERROR(__xludf.DUMMYFUNCTION("""COMPUTED_VALUE"""),"PO Closed")</f>
        <v>PO Closed</v>
      </c>
      <c r="Q2481" s="6" t="str">
        <f>IFERROR(__xludf.DUMMYFUNCTION("""COMPUTED_VALUE"""),"GL2308042")</f>
        <v>GL2308042</v>
      </c>
      <c r="R2481" s="57">
        <f>IFERROR(__xludf.DUMMYFUNCTION("""COMPUTED_VALUE"""),45134.0)</f>
        <v>45134</v>
      </c>
      <c r="S2481" s="57">
        <f>IFERROR(__xludf.DUMMYFUNCTION("""COMPUTED_VALUE"""),45138.0)</f>
        <v>45138</v>
      </c>
      <c r="T2481" s="57">
        <f>IFERROR(__xludf.DUMMYFUNCTION("""COMPUTED_VALUE"""),45184.0)</f>
        <v>45184</v>
      </c>
    </row>
    <row r="2482">
      <c r="A2482" s="6" t="str">
        <f>IFERROR(__xludf.DUMMYFUNCTION("""COMPUTED_VALUE"""),"231750486-2")</f>
        <v>231750486-2</v>
      </c>
      <c r="B2482" s="6" t="str">
        <f>IFERROR(__xludf.DUMMYFUNCTION("""COMPUTED_VALUE"""),"231750486 - Approved")</f>
        <v>231750486 - Approved</v>
      </c>
      <c r="C2482" s="6">
        <f>IFERROR(__xludf.DUMMYFUNCTION("""COMPUTED_VALUE"""),2.0)</f>
        <v>2</v>
      </c>
      <c r="D2482" s="6" t="str">
        <f>IFERROR(__xludf.DUMMYFUNCTION("""COMPUTED_VALUE"""),"P-51560-00")</f>
        <v>P-51560-00</v>
      </c>
      <c r="E2482" s="6" t="str">
        <f>IFERROR(__xludf.DUMMYFUNCTION("""COMPUTED_VALUE"""),"Lampu T5 28watt Putih; Phillips; ;")</f>
        <v>Lampu T5 28watt Putih; Phillips; ;</v>
      </c>
      <c r="F2482" s="6">
        <f>IFERROR(__xludf.DUMMYFUNCTION("""COMPUTED_VALUE"""),40.0)</f>
        <v>40</v>
      </c>
      <c r="G2482" s="6" t="str">
        <f>IFERROR(__xludf.DUMMYFUNCTION("""COMPUTED_VALUE"""),"Pieces")</f>
        <v>Pieces</v>
      </c>
      <c r="H2482" s="6" t="str">
        <f>IFERROR(__xludf.DUMMYFUNCTION("""COMPUTED_VALUE"""),"IDR")</f>
        <v>IDR</v>
      </c>
      <c r="I2482" s="11">
        <f>IFERROR(__xludf.DUMMYFUNCTION("""COMPUTED_VALUE"""),36000.0)</f>
        <v>36000</v>
      </c>
      <c r="J2482" s="11">
        <f>IFERROR(__xludf.DUMMYFUNCTION("""COMPUTED_VALUE"""),1440000.0)</f>
        <v>1440000</v>
      </c>
      <c r="K2482" s="57">
        <f>IFERROR(__xludf.DUMMYFUNCTION("""COMPUTED_VALUE"""),45148.0)</f>
        <v>45148</v>
      </c>
      <c r="L2482" s="6" t="str">
        <f>IFERROR(__xludf.DUMMYFUNCTION("""COMPUTED_VALUE"""),"FIP Engineering")</f>
        <v>FIP Engineering</v>
      </c>
      <c r="M2482" s="6" t="str">
        <f>IFERROR(__xludf.DUMMYFUNCTION("""COMPUTED_VALUE"""),"Mochammad Fadhillah Hakim")</f>
        <v>Mochammad Fadhillah Hakim</v>
      </c>
      <c r="N2482" s="6" t="str">
        <f>IFERROR(__xludf.DUMMYFUNCTION("""COMPUTED_VALUE"""),"FIP Engineering")</f>
        <v>FIP Engineering</v>
      </c>
      <c r="O2482" s="6" t="str">
        <f>IFERROR(__xludf.DUMMYFUNCTION("""COMPUTED_VALUE"""),"FIP-DOM-000-11304-OS00001-INA-000000")</f>
        <v>FIP-DOM-000-11304-OS00001-INA-000000</v>
      </c>
      <c r="P2482" s="6" t="str">
        <f>IFERROR(__xludf.DUMMYFUNCTION("""COMPUTED_VALUE"""),"PO Closed")</f>
        <v>PO Closed</v>
      </c>
      <c r="Q2482" s="6" t="str">
        <f>IFERROR(__xludf.DUMMYFUNCTION("""COMPUTED_VALUE"""),"GL2308042")</f>
        <v>GL2308042</v>
      </c>
      <c r="R2482" s="57">
        <f>IFERROR(__xludf.DUMMYFUNCTION("""COMPUTED_VALUE"""),45134.0)</f>
        <v>45134</v>
      </c>
      <c r="S2482" s="57">
        <f>IFERROR(__xludf.DUMMYFUNCTION("""COMPUTED_VALUE"""),45138.0)</f>
        <v>45138</v>
      </c>
      <c r="T2482" s="57">
        <f>IFERROR(__xludf.DUMMYFUNCTION("""COMPUTED_VALUE"""),45184.0)</f>
        <v>45184</v>
      </c>
    </row>
    <row r="2483">
      <c r="A2483" s="6" t="str">
        <f>IFERROR(__xludf.DUMMYFUNCTION("""COMPUTED_VALUE"""),"231750486-3")</f>
        <v>231750486-3</v>
      </c>
      <c r="B2483" s="6" t="str">
        <f>IFERROR(__xludf.DUMMYFUNCTION("""COMPUTED_VALUE"""),"231750486 - Approved")</f>
        <v>231750486 - Approved</v>
      </c>
      <c r="C2483" s="6">
        <f>IFERROR(__xludf.DUMMYFUNCTION("""COMPUTED_VALUE"""),3.0)</f>
        <v>3</v>
      </c>
      <c r="D2483" s="6" t="str">
        <f>IFERROR(__xludf.DUMMYFUNCTION("""COMPUTED_VALUE"""),"O-54005-00")</f>
        <v>O-54005-00</v>
      </c>
      <c r="E2483" s="6" t="str">
        <f>IFERROR(__xludf.DUMMYFUNCTION("""COMPUTED_VALUE"""),"LAMPU UV 15 WATT, OSRAM - Sesuai gambar pada Attachment")</f>
        <v>LAMPU UV 15 WATT, OSRAM - Sesuai gambar pada Attachment</v>
      </c>
      <c r="F2483" s="6">
        <f>IFERROR(__xludf.DUMMYFUNCTION("""COMPUTED_VALUE"""),2.0)</f>
        <v>2</v>
      </c>
      <c r="G2483" s="6" t="str">
        <f>IFERROR(__xludf.DUMMYFUNCTION("""COMPUTED_VALUE"""),"Pieces")</f>
        <v>Pieces</v>
      </c>
      <c r="H2483" s="6" t="str">
        <f>IFERROR(__xludf.DUMMYFUNCTION("""COMPUTED_VALUE"""),"IDR")</f>
        <v>IDR</v>
      </c>
      <c r="I2483" s="11">
        <f>IFERROR(__xludf.DUMMYFUNCTION("""COMPUTED_VALUE"""),99000.0)</f>
        <v>99000</v>
      </c>
      <c r="J2483" s="11">
        <f>IFERROR(__xludf.DUMMYFUNCTION("""COMPUTED_VALUE"""),198000.0)</f>
        <v>198000</v>
      </c>
      <c r="K2483" s="57">
        <f>IFERROR(__xludf.DUMMYFUNCTION("""COMPUTED_VALUE"""),45148.0)</f>
        <v>45148</v>
      </c>
      <c r="L2483" s="6" t="str">
        <f>IFERROR(__xludf.DUMMYFUNCTION("""COMPUTED_VALUE"""),"FIP Engineering")</f>
        <v>FIP Engineering</v>
      </c>
      <c r="M2483" s="6" t="str">
        <f>IFERROR(__xludf.DUMMYFUNCTION("""COMPUTED_VALUE"""),"Mochammad Fadhillah Hakim")</f>
        <v>Mochammad Fadhillah Hakim</v>
      </c>
      <c r="N2483" s="6" t="str">
        <f>IFERROR(__xludf.DUMMYFUNCTION("""COMPUTED_VALUE"""),"FIP Engineering")</f>
        <v>FIP Engineering</v>
      </c>
      <c r="O2483" s="6" t="str">
        <f>IFERROR(__xludf.DUMMYFUNCTION("""COMPUTED_VALUE"""),"FIP-DOM-000-11304-OS00001-INA-000000")</f>
        <v>FIP-DOM-000-11304-OS00001-INA-000000</v>
      </c>
      <c r="P2483" s="6" t="str">
        <f>IFERROR(__xludf.DUMMYFUNCTION("""COMPUTED_VALUE"""),"PO Closed")</f>
        <v>PO Closed</v>
      </c>
      <c r="Q2483" s="6" t="str">
        <f>IFERROR(__xludf.DUMMYFUNCTION("""COMPUTED_VALUE"""),"GL2310002")</f>
        <v>GL2310002</v>
      </c>
      <c r="R2483" s="57">
        <f>IFERROR(__xludf.DUMMYFUNCTION("""COMPUTED_VALUE"""),45134.0)</f>
        <v>45134</v>
      </c>
      <c r="S2483" s="57">
        <f>IFERROR(__xludf.DUMMYFUNCTION("""COMPUTED_VALUE"""),45138.0)</f>
        <v>45138</v>
      </c>
      <c r="T2483" s="57">
        <f>IFERROR(__xludf.DUMMYFUNCTION("""COMPUTED_VALUE"""),45224.0)</f>
        <v>45224</v>
      </c>
    </row>
    <row r="2484">
      <c r="A2484" s="6" t="str">
        <f>IFERROR(__xludf.DUMMYFUNCTION("""COMPUTED_VALUE"""),"231750488-1")</f>
        <v>231750488-1</v>
      </c>
      <c r="B2484" s="6" t="str">
        <f>IFERROR(__xludf.DUMMYFUNCTION("""COMPUTED_VALUE"""),"231750488 - Approved")</f>
        <v>231750488 - Approved</v>
      </c>
      <c r="C2484" s="6">
        <f>IFERROR(__xludf.DUMMYFUNCTION("""COMPUTED_VALUE"""),1.0)</f>
        <v>1</v>
      </c>
      <c r="D2484" s="6" t="str">
        <f>IFERROR(__xludf.DUMMYFUNCTION("""COMPUTED_VALUE"""),"O-15931-00")</f>
        <v>O-15931-00</v>
      </c>
      <c r="E2484" s="6" t="str">
        <f>IFERROR(__xludf.DUMMYFUNCTION("""COMPUTED_VALUE"""),"Double Tape 3M 1"" Merah - P/N : - pc")</f>
        <v>Double Tape 3M 1" Merah - P/N : - pc</v>
      </c>
      <c r="F2484" s="6">
        <f>IFERROR(__xludf.DUMMYFUNCTION("""COMPUTED_VALUE"""),5.0)</f>
        <v>5</v>
      </c>
      <c r="G2484" s="6" t="str">
        <f>IFERROR(__xludf.DUMMYFUNCTION("""COMPUTED_VALUE"""),"Pieces")</f>
        <v>Pieces</v>
      </c>
      <c r="H2484" s="6" t="str">
        <f>IFERROR(__xludf.DUMMYFUNCTION("""COMPUTED_VALUE"""),"IDR")</f>
        <v>IDR</v>
      </c>
      <c r="I2484" s="11">
        <f>IFERROR(__xludf.DUMMYFUNCTION("""COMPUTED_VALUE"""),112500.0)</f>
        <v>112500</v>
      </c>
      <c r="J2484" s="11">
        <f>IFERROR(__xludf.DUMMYFUNCTION("""COMPUTED_VALUE"""),562500.0)</f>
        <v>562500</v>
      </c>
      <c r="K2484" s="57">
        <f>IFERROR(__xludf.DUMMYFUNCTION("""COMPUTED_VALUE"""),45148.0)</f>
        <v>45148</v>
      </c>
      <c r="L2484" s="6" t="str">
        <f>IFERROR(__xludf.DUMMYFUNCTION("""COMPUTED_VALUE"""),"FIP Engineering")</f>
        <v>FIP Engineering</v>
      </c>
      <c r="M2484" s="6" t="str">
        <f>IFERROR(__xludf.DUMMYFUNCTION("""COMPUTED_VALUE"""),"Mochammad Fadhillah Hakim")</f>
        <v>Mochammad Fadhillah Hakim</v>
      </c>
      <c r="N2484" s="6" t="str">
        <f>IFERROR(__xludf.DUMMYFUNCTION("""COMPUTED_VALUE"""),"FIP Engineering")</f>
        <v>FIP Engineering</v>
      </c>
      <c r="O2484" s="6" t="str">
        <f>IFERROR(__xludf.DUMMYFUNCTION("""COMPUTED_VALUE"""),"FIP-DOM-000-11304-OS00001-INA-000000")</f>
        <v>FIP-DOM-000-11304-OS00001-INA-000000</v>
      </c>
      <c r="P2484" s="6" t="str">
        <f>IFERROR(__xludf.DUMMYFUNCTION("""COMPUTED_VALUE"""),"PO Closed")</f>
        <v>PO Closed</v>
      </c>
      <c r="Q2484" s="6" t="str">
        <f>IFERROR(__xludf.DUMMYFUNCTION("""COMPUTED_VALUE"""),"GL2307342")</f>
        <v>GL2307342</v>
      </c>
      <c r="R2484" s="57">
        <f>IFERROR(__xludf.DUMMYFUNCTION("""COMPUTED_VALUE"""),45134.0)</f>
        <v>45134</v>
      </c>
      <c r="S2484" s="57">
        <f>IFERROR(__xludf.DUMMYFUNCTION("""COMPUTED_VALUE"""),45136.0)</f>
        <v>45136</v>
      </c>
      <c r="T2484" s="57">
        <f>IFERROR(__xludf.DUMMYFUNCTION("""COMPUTED_VALUE"""),45179.0)</f>
        <v>45179</v>
      </c>
    </row>
    <row r="2485">
      <c r="A2485" s="6" t="str">
        <f>IFERROR(__xludf.DUMMYFUNCTION("""COMPUTED_VALUE"""),"231750489-1")</f>
        <v>231750489-1</v>
      </c>
      <c r="B2485" s="6" t="str">
        <f>IFERROR(__xludf.DUMMYFUNCTION("""COMPUTED_VALUE"""),"231750489 - Approved")</f>
        <v>231750489 - Approved</v>
      </c>
      <c r="C2485" s="6">
        <f>IFERROR(__xludf.DUMMYFUNCTION("""COMPUTED_VALUE"""),1.0)</f>
        <v>1</v>
      </c>
      <c r="D2485" s="6" t="str">
        <f>IFERROR(__xludf.DUMMYFUNCTION("""COMPUTED_VALUE"""),"S-42148-00")</f>
        <v>S-42148-00</v>
      </c>
      <c r="E2485" s="6" t="str">
        <f>IFERROR(__xludf.DUMMYFUNCTION("""COMPUTED_VALUE"""),"Plakban Kuning Size 1")</f>
        <v>Plakban Kuning Size 1</v>
      </c>
      <c r="F2485" s="6">
        <f>IFERROR(__xludf.DUMMYFUNCTION("""COMPUTED_VALUE"""),10.0)</f>
        <v>10</v>
      </c>
      <c r="G2485" s="6" t="str">
        <f>IFERROR(__xludf.DUMMYFUNCTION("""COMPUTED_VALUE"""),"Roll")</f>
        <v>Roll</v>
      </c>
      <c r="H2485" s="6" t="str">
        <f>IFERROR(__xludf.DUMMYFUNCTION("""COMPUTED_VALUE"""),"IDR")</f>
        <v>IDR</v>
      </c>
      <c r="I2485" s="11">
        <f>IFERROR(__xludf.DUMMYFUNCTION("""COMPUTED_VALUE"""),8000.0)</f>
        <v>8000</v>
      </c>
      <c r="J2485" s="11">
        <f>IFERROR(__xludf.DUMMYFUNCTION("""COMPUTED_VALUE"""),80000.0)</f>
        <v>80000</v>
      </c>
      <c r="K2485" s="57">
        <f>IFERROR(__xludf.DUMMYFUNCTION("""COMPUTED_VALUE"""),45148.0)</f>
        <v>45148</v>
      </c>
      <c r="L2485" s="6" t="str">
        <f>IFERROR(__xludf.DUMMYFUNCTION("""COMPUTED_VALUE"""),"FIP General")</f>
        <v>FIP General</v>
      </c>
      <c r="M2485" s="6" t="str">
        <f>IFERROR(__xludf.DUMMYFUNCTION("""COMPUTED_VALUE"""),"Mochammad Fadhillah Hakim")</f>
        <v>Mochammad Fadhillah Hakim</v>
      </c>
      <c r="N2485" s="6" t="str">
        <f>IFERROR(__xludf.DUMMYFUNCTION("""COMPUTED_VALUE"""),"FIP Engineering")</f>
        <v>FIP Engineering</v>
      </c>
      <c r="O2485" s="6" t="str">
        <f>IFERROR(__xludf.DUMMYFUNCTION("""COMPUTED_VALUE"""),"FIP-DOM-ENG-51404-0000000-INA-000000")</f>
        <v>FIP-DOM-ENG-51404-0000000-INA-000000</v>
      </c>
      <c r="P2485" s="6" t="str">
        <f>IFERROR(__xludf.DUMMYFUNCTION("""COMPUTED_VALUE"""),"PO Closed")</f>
        <v>PO Closed</v>
      </c>
      <c r="Q2485" s="6" t="str">
        <f>IFERROR(__xludf.DUMMYFUNCTION("""COMPUTED_VALUE"""),"GL2309023")</f>
        <v>GL2309023</v>
      </c>
      <c r="R2485" s="57">
        <f>IFERROR(__xludf.DUMMYFUNCTION("""COMPUTED_VALUE"""),45134.0)</f>
        <v>45134</v>
      </c>
      <c r="S2485" s="57">
        <f>IFERROR(__xludf.DUMMYFUNCTION("""COMPUTED_VALUE"""),45136.0)</f>
        <v>45136</v>
      </c>
      <c r="T2485" s="57">
        <f>IFERROR(__xludf.DUMMYFUNCTION("""COMPUTED_VALUE"""),45194.0)</f>
        <v>45194</v>
      </c>
    </row>
    <row r="2486">
      <c r="A2486" s="6" t="str">
        <f>IFERROR(__xludf.DUMMYFUNCTION("""COMPUTED_VALUE"""),"231750502-1")</f>
        <v>231750502-1</v>
      </c>
      <c r="B2486" s="6" t="str">
        <f>IFERROR(__xludf.DUMMYFUNCTION("""COMPUTED_VALUE"""),"231750502 - Approved")</f>
        <v>231750502 - Approved</v>
      </c>
      <c r="C2486" s="6">
        <f>IFERROR(__xludf.DUMMYFUNCTION("""COMPUTED_VALUE"""),1.0)</f>
        <v>1</v>
      </c>
      <c r="D2486" s="6" t="str">
        <f>IFERROR(__xludf.DUMMYFUNCTION("""COMPUTED_VALUE"""),"S-60002-00")</f>
        <v>S-60002-00</v>
      </c>
      <c r="E2486" s="6" t="str">
        <f>IFERROR(__xludf.DUMMYFUNCTION("""COMPUTED_VALUE"""),"Jasa Perbaikan dan Pemeliharaan Mesin Utility - Untuk service pompa PSG")</f>
        <v>Jasa Perbaikan dan Pemeliharaan Mesin Utility - Untuk service pompa PSG</v>
      </c>
      <c r="F2486" s="6">
        <f>IFERROR(__xludf.DUMMYFUNCTION("""COMPUTED_VALUE"""),1.0)</f>
        <v>1</v>
      </c>
      <c r="G2486" s="6" t="str">
        <f>IFERROR(__xludf.DUMMYFUNCTION("""COMPUTED_VALUE"""),"Lot")</f>
        <v>Lot</v>
      </c>
      <c r="H2486" s="6" t="str">
        <f>IFERROR(__xludf.DUMMYFUNCTION("""COMPUTED_VALUE"""),"IDR")</f>
        <v>IDR</v>
      </c>
      <c r="I2486" s="11">
        <f>IFERROR(__xludf.DUMMYFUNCTION("""COMPUTED_VALUE"""),7875000.0)</f>
        <v>7875000</v>
      </c>
      <c r="J2486" s="11">
        <f>IFERROR(__xludf.DUMMYFUNCTION("""COMPUTED_VALUE"""),7875000.0)</f>
        <v>7875000</v>
      </c>
      <c r="K2486" s="57">
        <f>IFERROR(__xludf.DUMMYFUNCTION("""COMPUTED_VALUE"""),45149.0)</f>
        <v>45149</v>
      </c>
      <c r="L2486" s="6" t="str">
        <f>IFERROR(__xludf.DUMMYFUNCTION("""COMPUTED_VALUE"""),"FIP General")</f>
        <v>FIP General</v>
      </c>
      <c r="M2486" s="6" t="str">
        <f>IFERROR(__xludf.DUMMYFUNCTION("""COMPUTED_VALUE"""),"Mochammad Fadhillah Hakim")</f>
        <v>Mochammad Fadhillah Hakim</v>
      </c>
      <c r="N2486" s="6" t="str">
        <f>IFERROR(__xludf.DUMMYFUNCTION("""COMPUTED_VALUE"""),"FIP Engineering")</f>
        <v>FIP Engineering</v>
      </c>
      <c r="O2486" s="6" t="str">
        <f>IFERROR(__xludf.DUMMYFUNCTION("""COMPUTED_VALUE"""),"FIP-DOM-ENG-51508-0000000-INA-000000")</f>
        <v>FIP-DOM-ENG-51508-0000000-INA-000000</v>
      </c>
      <c r="P2486" s="6" t="str">
        <f>IFERROR(__xludf.DUMMYFUNCTION("""COMPUTED_VALUE"""),"PO Closed")</f>
        <v>PO Closed</v>
      </c>
      <c r="Q2486" s="6" t="str">
        <f>IFERROR(__xludf.DUMMYFUNCTION("""COMPUTED_VALUE"""),"GL2309004")</f>
        <v>GL2309004</v>
      </c>
      <c r="R2486" s="57">
        <f>IFERROR(__xludf.DUMMYFUNCTION("""COMPUTED_VALUE"""),45135.0)</f>
        <v>45135</v>
      </c>
      <c r="S2486" s="57">
        <f>IFERROR(__xludf.DUMMYFUNCTION("""COMPUTED_VALUE"""),45136.0)</f>
        <v>45136</v>
      </c>
      <c r="T2486" s="57">
        <f>IFERROR(__xludf.DUMMYFUNCTION("""COMPUTED_VALUE"""),45199.0)</f>
        <v>45199</v>
      </c>
    </row>
    <row r="2487">
      <c r="A2487" s="6" t="str">
        <f>IFERROR(__xludf.DUMMYFUNCTION("""COMPUTED_VALUE"""),"231750506-1")</f>
        <v>231750506-1</v>
      </c>
      <c r="B2487" s="6" t="str">
        <f>IFERROR(__xludf.DUMMYFUNCTION("""COMPUTED_VALUE"""),"231750506 - Approved")</f>
        <v>231750506 - Approved</v>
      </c>
      <c r="C2487" s="6">
        <f>IFERROR(__xludf.DUMMYFUNCTION("""COMPUTED_VALUE"""),1.0)</f>
        <v>1</v>
      </c>
      <c r="D2487" s="6" t="str">
        <f>IFERROR(__xludf.DUMMYFUNCTION("""COMPUTED_VALUE"""),"P-10945-00")</f>
        <v>P-10945-00</v>
      </c>
      <c r="E2487" s="6" t="str">
        <f>IFERROR(__xludf.DUMMYFUNCTION("""COMPUTED_VALUE"""),"Insulation - Seal Tape onda")</f>
        <v>Insulation - Seal Tape onda</v>
      </c>
      <c r="F2487" s="6">
        <f>IFERROR(__xludf.DUMMYFUNCTION("""COMPUTED_VALUE"""),10.0)</f>
        <v>10</v>
      </c>
      <c r="G2487" s="6" t="str">
        <f>IFERROR(__xludf.DUMMYFUNCTION("""COMPUTED_VALUE"""),"Pieces")</f>
        <v>Pieces</v>
      </c>
      <c r="H2487" s="6" t="str">
        <f>IFERROR(__xludf.DUMMYFUNCTION("""COMPUTED_VALUE"""),"IDR")</f>
        <v>IDR</v>
      </c>
      <c r="I2487" s="11">
        <f>IFERROR(__xludf.DUMMYFUNCTION("""COMPUTED_VALUE"""),5000.0)</f>
        <v>5000</v>
      </c>
      <c r="J2487" s="11">
        <f>IFERROR(__xludf.DUMMYFUNCTION("""COMPUTED_VALUE"""),50000.0)</f>
        <v>50000</v>
      </c>
      <c r="K2487" s="57">
        <f>IFERROR(__xludf.DUMMYFUNCTION("""COMPUTED_VALUE"""),45153.0)</f>
        <v>45153</v>
      </c>
      <c r="L2487" s="6" t="str">
        <f>IFERROR(__xludf.DUMMYFUNCTION("""COMPUTED_VALUE"""),"FIP Engineering")</f>
        <v>FIP Engineering</v>
      </c>
      <c r="M2487" s="6" t="str">
        <f>IFERROR(__xludf.DUMMYFUNCTION("""COMPUTED_VALUE"""),"Mochammad Fadhillah Hakim")</f>
        <v>Mochammad Fadhillah Hakim</v>
      </c>
      <c r="N2487" s="6" t="str">
        <f>IFERROR(__xludf.DUMMYFUNCTION("""COMPUTED_VALUE"""),"FIP Engineering")</f>
        <v>FIP Engineering</v>
      </c>
      <c r="O2487" s="6" t="str">
        <f>IFERROR(__xludf.DUMMYFUNCTION("""COMPUTED_VALUE"""),"FIP-DOM-000-11304-OS00001-INA-000000")</f>
        <v>FIP-DOM-000-11304-OS00001-INA-000000</v>
      </c>
      <c r="P2487" s="6" t="str">
        <f>IFERROR(__xludf.DUMMYFUNCTION("""COMPUTED_VALUE"""),"PO Closed")</f>
        <v>PO Closed</v>
      </c>
      <c r="Q2487" s="6" t="str">
        <f>IFERROR(__xludf.DUMMYFUNCTION("""COMPUTED_VALUE"""),"GL2308042")</f>
        <v>GL2308042</v>
      </c>
      <c r="R2487" s="57">
        <f>IFERROR(__xludf.DUMMYFUNCTION("""COMPUTED_VALUE"""),45139.0)</f>
        <v>45139</v>
      </c>
      <c r="S2487" s="57">
        <f>IFERROR(__xludf.DUMMYFUNCTION("""COMPUTED_VALUE"""),45140.0)</f>
        <v>45140</v>
      </c>
      <c r="T2487" s="57">
        <f>IFERROR(__xludf.DUMMYFUNCTION("""COMPUTED_VALUE"""),45184.0)</f>
        <v>45184</v>
      </c>
    </row>
    <row r="2488">
      <c r="A2488" s="6" t="str">
        <f>IFERROR(__xludf.DUMMYFUNCTION("""COMPUTED_VALUE"""),"231750506-2")</f>
        <v>231750506-2</v>
      </c>
      <c r="B2488" s="6" t="str">
        <f>IFERROR(__xludf.DUMMYFUNCTION("""COMPUTED_VALUE"""),"231750506 - Approved")</f>
        <v>231750506 - Approved</v>
      </c>
      <c r="C2488" s="6">
        <f>IFERROR(__xludf.DUMMYFUNCTION("""COMPUTED_VALUE"""),2.0)</f>
        <v>2</v>
      </c>
      <c r="D2488" s="6" t="str">
        <f>IFERROR(__xludf.DUMMYFUNCTION("""COMPUTED_VALUE"""),"P-12764-00")</f>
        <v>P-12764-00</v>
      </c>
      <c r="E2488" s="6" t="str">
        <f>IFERROR(__xludf.DUMMYFUNCTION("""COMPUTED_VALUE"""),"Silicone gasket for ferrule dia 1/2inch Taiwan")</f>
        <v>Silicone gasket for ferrule dia 1/2inch Taiwan</v>
      </c>
      <c r="F2488" s="6">
        <f>IFERROR(__xludf.DUMMYFUNCTION("""COMPUTED_VALUE"""),20.0)</f>
        <v>20</v>
      </c>
      <c r="G2488" s="6" t="str">
        <f>IFERROR(__xludf.DUMMYFUNCTION("""COMPUTED_VALUE"""),"Pieces")</f>
        <v>Pieces</v>
      </c>
      <c r="H2488" s="6" t="str">
        <f>IFERROR(__xludf.DUMMYFUNCTION("""COMPUTED_VALUE"""),"IDR")</f>
        <v>IDR</v>
      </c>
      <c r="I2488" s="11">
        <f>IFERROR(__xludf.DUMMYFUNCTION("""COMPUTED_VALUE"""),8000.0)</f>
        <v>8000</v>
      </c>
      <c r="J2488" s="11">
        <f>IFERROR(__xludf.DUMMYFUNCTION("""COMPUTED_VALUE"""),160000.0)</f>
        <v>160000</v>
      </c>
      <c r="K2488" s="57">
        <f>IFERROR(__xludf.DUMMYFUNCTION("""COMPUTED_VALUE"""),45153.0)</f>
        <v>45153</v>
      </c>
      <c r="L2488" s="6" t="str">
        <f>IFERROR(__xludf.DUMMYFUNCTION("""COMPUTED_VALUE"""),"FIP Engineering")</f>
        <v>FIP Engineering</v>
      </c>
      <c r="M2488" s="6" t="str">
        <f>IFERROR(__xludf.DUMMYFUNCTION("""COMPUTED_VALUE"""),"Mochammad Fadhillah Hakim")</f>
        <v>Mochammad Fadhillah Hakim</v>
      </c>
      <c r="N2488" s="6" t="str">
        <f>IFERROR(__xludf.DUMMYFUNCTION("""COMPUTED_VALUE"""),"FIP Engineering")</f>
        <v>FIP Engineering</v>
      </c>
      <c r="O2488" s="6" t="str">
        <f>IFERROR(__xludf.DUMMYFUNCTION("""COMPUTED_VALUE"""),"FIP-DOM-000-11304-OS00001-INA-000000")</f>
        <v>FIP-DOM-000-11304-OS00001-INA-000000</v>
      </c>
      <c r="P2488" s="6" t="str">
        <f>IFERROR(__xludf.DUMMYFUNCTION("""COMPUTED_VALUE"""),"PO Closed")</f>
        <v>PO Closed</v>
      </c>
      <c r="Q2488" s="6" t="str">
        <f>IFERROR(__xludf.DUMMYFUNCTION("""COMPUTED_VALUE"""),"GL2308042")</f>
        <v>GL2308042</v>
      </c>
      <c r="R2488" s="57">
        <f>IFERROR(__xludf.DUMMYFUNCTION("""COMPUTED_VALUE"""),45139.0)</f>
        <v>45139</v>
      </c>
      <c r="S2488" s="57">
        <f>IFERROR(__xludf.DUMMYFUNCTION("""COMPUTED_VALUE"""),45140.0)</f>
        <v>45140</v>
      </c>
      <c r="T2488" s="57">
        <f>IFERROR(__xludf.DUMMYFUNCTION("""COMPUTED_VALUE"""),45184.0)</f>
        <v>45184</v>
      </c>
    </row>
    <row r="2489">
      <c r="A2489" s="6" t="str">
        <f>IFERROR(__xludf.DUMMYFUNCTION("""COMPUTED_VALUE"""),"231750506-3")</f>
        <v>231750506-3</v>
      </c>
      <c r="B2489" s="6" t="str">
        <f>IFERROR(__xludf.DUMMYFUNCTION("""COMPUTED_VALUE"""),"231750506 - Approved")</f>
        <v>231750506 - Approved</v>
      </c>
      <c r="C2489" s="6">
        <f>IFERROR(__xludf.DUMMYFUNCTION("""COMPUTED_VALUE"""),3.0)</f>
        <v>3</v>
      </c>
      <c r="D2489" s="6" t="str">
        <f>IFERROR(__xludf.DUMMYFUNCTION("""COMPUTED_VALUE"""),"O-54014-00")</f>
        <v>O-54014-00</v>
      </c>
      <c r="E2489" s="6" t="str">
        <f>IFERROR(__xludf.DUMMYFUNCTION("""COMPUTED_VALUE"""),"STEKER 1 PHASE, BROCO")</f>
        <v>STEKER 1 PHASE, BROCO</v>
      </c>
      <c r="F2489" s="6">
        <f>IFERROR(__xludf.DUMMYFUNCTION("""COMPUTED_VALUE"""),10.0)</f>
        <v>10</v>
      </c>
      <c r="G2489" s="6" t="str">
        <f>IFERROR(__xludf.DUMMYFUNCTION("""COMPUTED_VALUE"""),"Pieces")</f>
        <v>Pieces</v>
      </c>
      <c r="H2489" s="6" t="str">
        <f>IFERROR(__xludf.DUMMYFUNCTION("""COMPUTED_VALUE"""),"IDR")</f>
        <v>IDR</v>
      </c>
      <c r="I2489" s="11">
        <f>IFERROR(__xludf.DUMMYFUNCTION("""COMPUTED_VALUE"""),10000.0)</f>
        <v>10000</v>
      </c>
      <c r="J2489" s="11">
        <f>IFERROR(__xludf.DUMMYFUNCTION("""COMPUTED_VALUE"""),100000.0)</f>
        <v>100000</v>
      </c>
      <c r="K2489" s="57">
        <f>IFERROR(__xludf.DUMMYFUNCTION("""COMPUTED_VALUE"""),45153.0)</f>
        <v>45153</v>
      </c>
      <c r="L2489" s="6" t="str">
        <f>IFERROR(__xludf.DUMMYFUNCTION("""COMPUTED_VALUE"""),"FIP Engineering")</f>
        <v>FIP Engineering</v>
      </c>
      <c r="M2489" s="6" t="str">
        <f>IFERROR(__xludf.DUMMYFUNCTION("""COMPUTED_VALUE"""),"Mochammad Fadhillah Hakim")</f>
        <v>Mochammad Fadhillah Hakim</v>
      </c>
      <c r="N2489" s="6" t="str">
        <f>IFERROR(__xludf.DUMMYFUNCTION("""COMPUTED_VALUE"""),"FIP Engineering")</f>
        <v>FIP Engineering</v>
      </c>
      <c r="O2489" s="6" t="str">
        <f>IFERROR(__xludf.DUMMYFUNCTION("""COMPUTED_VALUE"""),"FIP-DOM-000-11304-OS00001-INA-000000")</f>
        <v>FIP-DOM-000-11304-OS00001-INA-000000</v>
      </c>
      <c r="P2489" s="6" t="str">
        <f>IFERROR(__xludf.DUMMYFUNCTION("""COMPUTED_VALUE"""),"PO Closed")</f>
        <v>PO Closed</v>
      </c>
      <c r="Q2489" s="6" t="str">
        <f>IFERROR(__xludf.DUMMYFUNCTION("""COMPUTED_VALUE"""),"GL2307342")</f>
        <v>GL2307342</v>
      </c>
      <c r="R2489" s="57">
        <f>IFERROR(__xludf.DUMMYFUNCTION("""COMPUTED_VALUE"""),45139.0)</f>
        <v>45139</v>
      </c>
      <c r="S2489" s="57">
        <f>IFERROR(__xludf.DUMMYFUNCTION("""COMPUTED_VALUE"""),45140.0)</f>
        <v>45140</v>
      </c>
      <c r="T2489" s="57">
        <f>IFERROR(__xludf.DUMMYFUNCTION("""COMPUTED_VALUE"""),45179.0)</f>
        <v>45179</v>
      </c>
    </row>
    <row r="2490">
      <c r="A2490" s="6" t="str">
        <f>IFERROR(__xludf.DUMMYFUNCTION("""COMPUTED_VALUE"""),"231750506-4")</f>
        <v>231750506-4</v>
      </c>
      <c r="B2490" s="6" t="str">
        <f>IFERROR(__xludf.DUMMYFUNCTION("""COMPUTED_VALUE"""),"231750506 - Approved")</f>
        <v>231750506 - Approved</v>
      </c>
      <c r="C2490" s="6">
        <f>IFERROR(__xludf.DUMMYFUNCTION("""COMPUTED_VALUE"""),4.0)</f>
        <v>4</v>
      </c>
      <c r="D2490" s="6" t="str">
        <f>IFERROR(__xludf.DUMMYFUNCTION("""COMPUTED_VALUE"""),"O-54015-00")</f>
        <v>O-54015-00</v>
      </c>
      <c r="E2490" s="6" t="str">
        <f>IFERROR(__xludf.DUMMYFUNCTION("""COMPUTED_VALUE"""),"STOP KONTAK LUBANG 4, BROCO")</f>
        <v>STOP KONTAK LUBANG 4, BROCO</v>
      </c>
      <c r="F2490" s="6">
        <f>IFERROR(__xludf.DUMMYFUNCTION("""COMPUTED_VALUE"""),5.0)</f>
        <v>5</v>
      </c>
      <c r="G2490" s="6" t="str">
        <f>IFERROR(__xludf.DUMMYFUNCTION("""COMPUTED_VALUE"""),"Unit")</f>
        <v>Unit</v>
      </c>
      <c r="H2490" s="6" t="str">
        <f>IFERROR(__xludf.DUMMYFUNCTION("""COMPUTED_VALUE"""),"IDR")</f>
        <v>IDR</v>
      </c>
      <c r="I2490" s="11">
        <f>IFERROR(__xludf.DUMMYFUNCTION("""COMPUTED_VALUE"""),49000.0)</f>
        <v>49000</v>
      </c>
      <c r="J2490" s="11">
        <f>IFERROR(__xludf.DUMMYFUNCTION("""COMPUTED_VALUE"""),245000.0)</f>
        <v>245000</v>
      </c>
      <c r="K2490" s="57">
        <f>IFERROR(__xludf.DUMMYFUNCTION("""COMPUTED_VALUE"""),45153.0)</f>
        <v>45153</v>
      </c>
      <c r="L2490" s="6" t="str">
        <f>IFERROR(__xludf.DUMMYFUNCTION("""COMPUTED_VALUE"""),"FIP Engineering")</f>
        <v>FIP Engineering</v>
      </c>
      <c r="M2490" s="6" t="str">
        <f>IFERROR(__xludf.DUMMYFUNCTION("""COMPUTED_VALUE"""),"Mochammad Fadhillah Hakim")</f>
        <v>Mochammad Fadhillah Hakim</v>
      </c>
      <c r="N2490" s="6" t="str">
        <f>IFERROR(__xludf.DUMMYFUNCTION("""COMPUTED_VALUE"""),"FIP Engineering")</f>
        <v>FIP Engineering</v>
      </c>
      <c r="O2490" s="6" t="str">
        <f>IFERROR(__xludf.DUMMYFUNCTION("""COMPUTED_VALUE"""),"FIP-DOM-000-11304-OS00001-INA-000000")</f>
        <v>FIP-DOM-000-11304-OS00001-INA-000000</v>
      </c>
      <c r="P2490" s="6" t="str">
        <f>IFERROR(__xludf.DUMMYFUNCTION("""COMPUTED_VALUE"""),"PO Closed")</f>
        <v>PO Closed</v>
      </c>
      <c r="Q2490" s="6" t="str">
        <f>IFERROR(__xludf.DUMMYFUNCTION("""COMPUTED_VALUE"""),"GL2308042")</f>
        <v>GL2308042</v>
      </c>
      <c r="R2490" s="57">
        <f>IFERROR(__xludf.DUMMYFUNCTION("""COMPUTED_VALUE"""),45139.0)</f>
        <v>45139</v>
      </c>
      <c r="S2490" s="57">
        <f>IFERROR(__xludf.DUMMYFUNCTION("""COMPUTED_VALUE"""),45140.0)</f>
        <v>45140</v>
      </c>
      <c r="T2490" s="57">
        <f>IFERROR(__xludf.DUMMYFUNCTION("""COMPUTED_VALUE"""),45184.0)</f>
        <v>45184</v>
      </c>
    </row>
    <row r="2491">
      <c r="A2491" s="6" t="str">
        <f>IFERROR(__xludf.DUMMYFUNCTION("""COMPUTED_VALUE"""),"231750506-5")</f>
        <v>231750506-5</v>
      </c>
      <c r="B2491" s="6" t="str">
        <f>IFERROR(__xludf.DUMMYFUNCTION("""COMPUTED_VALUE"""),"231750506 - Approved")</f>
        <v>231750506 - Approved</v>
      </c>
      <c r="C2491" s="6">
        <f>IFERROR(__xludf.DUMMYFUNCTION("""COMPUTED_VALUE"""),5.0)</f>
        <v>5</v>
      </c>
      <c r="D2491" s="6" t="str">
        <f>IFERROR(__xludf.DUMMYFUNCTION("""COMPUTED_VALUE"""),"P-12433-00")</f>
        <v>P-12433-00</v>
      </c>
      <c r="E2491" s="6" t="str">
        <f>IFERROR(__xludf.DUMMYFUNCTION("""COMPUTED_VALUE"""),"Isolasi AC- Sansui")</f>
        <v>Isolasi AC- Sansui</v>
      </c>
      <c r="F2491" s="6">
        <f>IFERROR(__xludf.DUMMYFUNCTION("""COMPUTED_VALUE"""),5.0)</f>
        <v>5</v>
      </c>
      <c r="G2491" s="6" t="str">
        <f>IFERROR(__xludf.DUMMYFUNCTION("""COMPUTED_VALUE"""),"Pieces")</f>
        <v>Pieces</v>
      </c>
      <c r="H2491" s="6" t="str">
        <f>IFERROR(__xludf.DUMMYFUNCTION("""COMPUTED_VALUE"""),"IDR")</f>
        <v>IDR</v>
      </c>
      <c r="I2491" s="11">
        <f>IFERROR(__xludf.DUMMYFUNCTION("""COMPUTED_VALUE"""),10000.0)</f>
        <v>10000</v>
      </c>
      <c r="J2491" s="11">
        <f>IFERROR(__xludf.DUMMYFUNCTION("""COMPUTED_VALUE"""),50000.0)</f>
        <v>50000</v>
      </c>
      <c r="K2491" s="57">
        <f>IFERROR(__xludf.DUMMYFUNCTION("""COMPUTED_VALUE"""),45153.0)</f>
        <v>45153</v>
      </c>
      <c r="L2491" s="6" t="str">
        <f>IFERROR(__xludf.DUMMYFUNCTION("""COMPUTED_VALUE"""),"FIP Engineering")</f>
        <v>FIP Engineering</v>
      </c>
      <c r="M2491" s="6" t="str">
        <f>IFERROR(__xludf.DUMMYFUNCTION("""COMPUTED_VALUE"""),"Mochammad Fadhillah Hakim")</f>
        <v>Mochammad Fadhillah Hakim</v>
      </c>
      <c r="N2491" s="6" t="str">
        <f>IFERROR(__xludf.DUMMYFUNCTION("""COMPUTED_VALUE"""),"FIP Engineering")</f>
        <v>FIP Engineering</v>
      </c>
      <c r="O2491" s="6" t="str">
        <f>IFERROR(__xludf.DUMMYFUNCTION("""COMPUTED_VALUE"""),"FIP-DOM-000-11304-OS00001-INA-000000")</f>
        <v>FIP-DOM-000-11304-OS00001-INA-000000</v>
      </c>
      <c r="P2491" s="6" t="str">
        <f>IFERROR(__xludf.DUMMYFUNCTION("""COMPUTED_VALUE"""),"PO Closed")</f>
        <v>PO Closed</v>
      </c>
      <c r="Q2491" s="6" t="str">
        <f>IFERROR(__xludf.DUMMYFUNCTION("""COMPUTED_VALUE"""),"GL2308042")</f>
        <v>GL2308042</v>
      </c>
      <c r="R2491" s="57">
        <f>IFERROR(__xludf.DUMMYFUNCTION("""COMPUTED_VALUE"""),45139.0)</f>
        <v>45139</v>
      </c>
      <c r="S2491" s="57">
        <f>IFERROR(__xludf.DUMMYFUNCTION("""COMPUTED_VALUE"""),45140.0)</f>
        <v>45140</v>
      </c>
      <c r="T2491" s="57">
        <f>IFERROR(__xludf.DUMMYFUNCTION("""COMPUTED_VALUE"""),45184.0)</f>
        <v>45184</v>
      </c>
    </row>
    <row r="2492">
      <c r="A2492" s="6" t="str">
        <f>IFERROR(__xludf.DUMMYFUNCTION("""COMPUTED_VALUE"""),"231750506-6")</f>
        <v>231750506-6</v>
      </c>
      <c r="B2492" s="6" t="str">
        <f>IFERROR(__xludf.DUMMYFUNCTION("""COMPUTED_VALUE"""),"231750506 - Approved")</f>
        <v>231750506 - Approved</v>
      </c>
      <c r="C2492" s="6">
        <f>IFERROR(__xludf.DUMMYFUNCTION("""COMPUTED_VALUE"""),6.0)</f>
        <v>6</v>
      </c>
      <c r="D2492" s="6" t="str">
        <f>IFERROR(__xludf.DUMMYFUNCTION("""COMPUTED_VALUE"""),"P-51736-00")</f>
        <v>P-51736-00</v>
      </c>
      <c r="E2492" s="6" t="str">
        <f>IFERROR(__xludf.DUMMYFUNCTION("""COMPUTED_VALUE"""),"Kabel UTP isi 8 Cat 5e merk BELDEN; ; ;")</f>
        <v>Kabel UTP isi 8 Cat 5e merk BELDEN; ; ;</v>
      </c>
      <c r="F2492" s="6">
        <f>IFERROR(__xludf.DUMMYFUNCTION("""COMPUTED_VALUE"""),2.0)</f>
        <v>2</v>
      </c>
      <c r="G2492" s="6" t="str">
        <f>IFERROR(__xludf.DUMMYFUNCTION("""COMPUTED_VALUE"""),"Roll")</f>
        <v>Roll</v>
      </c>
      <c r="H2492" s="6" t="str">
        <f>IFERROR(__xludf.DUMMYFUNCTION("""COMPUTED_VALUE"""),"IDR")</f>
        <v>IDR</v>
      </c>
      <c r="I2492" s="11">
        <f>IFERROR(__xludf.DUMMYFUNCTION("""COMPUTED_VALUE"""),100000.0)</f>
        <v>100000</v>
      </c>
      <c r="J2492" s="11">
        <f>IFERROR(__xludf.DUMMYFUNCTION("""COMPUTED_VALUE"""),200000.0)</f>
        <v>200000</v>
      </c>
      <c r="K2492" s="57">
        <f>IFERROR(__xludf.DUMMYFUNCTION("""COMPUTED_VALUE"""),45153.0)</f>
        <v>45153</v>
      </c>
      <c r="L2492" s="6" t="str">
        <f>IFERROR(__xludf.DUMMYFUNCTION("""COMPUTED_VALUE"""),"FIP Engineering")</f>
        <v>FIP Engineering</v>
      </c>
      <c r="M2492" s="6" t="str">
        <f>IFERROR(__xludf.DUMMYFUNCTION("""COMPUTED_VALUE"""),"Mochammad Fadhillah Hakim")</f>
        <v>Mochammad Fadhillah Hakim</v>
      </c>
      <c r="N2492" s="6" t="str">
        <f>IFERROR(__xludf.DUMMYFUNCTION("""COMPUTED_VALUE"""),"FIP Engineering")</f>
        <v>FIP Engineering</v>
      </c>
      <c r="O2492" s="6" t="str">
        <f>IFERROR(__xludf.DUMMYFUNCTION("""COMPUTED_VALUE"""),"FIP-DOM-000-11304-OS00001-INA-000000")</f>
        <v>FIP-DOM-000-11304-OS00001-INA-000000</v>
      </c>
      <c r="P2492" s="6" t="str">
        <f>IFERROR(__xludf.DUMMYFUNCTION("""COMPUTED_VALUE"""),"PO Closed")</f>
        <v>PO Closed</v>
      </c>
      <c r="Q2492" s="6" t="str">
        <f>IFERROR(__xludf.DUMMYFUNCTION("""COMPUTED_VALUE"""),"GL2308042")</f>
        <v>GL2308042</v>
      </c>
      <c r="R2492" s="57">
        <f>IFERROR(__xludf.DUMMYFUNCTION("""COMPUTED_VALUE"""),45139.0)</f>
        <v>45139</v>
      </c>
      <c r="S2492" s="57">
        <f>IFERROR(__xludf.DUMMYFUNCTION("""COMPUTED_VALUE"""),45140.0)</f>
        <v>45140</v>
      </c>
      <c r="T2492" s="57">
        <f>IFERROR(__xludf.DUMMYFUNCTION("""COMPUTED_VALUE"""),45184.0)</f>
        <v>45184</v>
      </c>
    </row>
    <row r="2493">
      <c r="A2493" s="6" t="str">
        <f>IFERROR(__xludf.DUMMYFUNCTION("""COMPUTED_VALUE"""),"231750506-7")</f>
        <v>231750506-7</v>
      </c>
      <c r="B2493" s="6" t="str">
        <f>IFERROR(__xludf.DUMMYFUNCTION("""COMPUTED_VALUE"""),"231750506 - Approved")</f>
        <v>231750506 - Approved</v>
      </c>
      <c r="C2493" s="6">
        <f>IFERROR(__xludf.DUMMYFUNCTION("""COMPUTED_VALUE"""),7.0)</f>
        <v>7</v>
      </c>
      <c r="D2493" s="6" t="str">
        <f>IFERROR(__xludf.DUMMYFUNCTION("""COMPUTED_VALUE"""),"O-14640-00")</f>
        <v>O-14640-00</v>
      </c>
      <c r="E2493" s="6" t="str">
        <f>IFERROR(__xludf.DUMMYFUNCTION("""COMPUTED_VALUE"""),"Silicone Gasket for Ferrule dia. 3/4"" - P/N : - pc")</f>
        <v>Silicone Gasket for Ferrule dia. 3/4" - P/N : - pc</v>
      </c>
      <c r="F2493" s="6">
        <f>IFERROR(__xludf.DUMMYFUNCTION("""COMPUTED_VALUE"""),20.0)</f>
        <v>20</v>
      </c>
      <c r="G2493" s="6" t="str">
        <f>IFERROR(__xludf.DUMMYFUNCTION("""COMPUTED_VALUE"""),"Pieces")</f>
        <v>Pieces</v>
      </c>
      <c r="H2493" s="6" t="str">
        <f>IFERROR(__xludf.DUMMYFUNCTION("""COMPUTED_VALUE"""),"IDR")</f>
        <v>IDR</v>
      </c>
      <c r="I2493" s="11">
        <f>IFERROR(__xludf.DUMMYFUNCTION("""COMPUTED_VALUE"""),12000.0)</f>
        <v>12000</v>
      </c>
      <c r="J2493" s="11">
        <f>IFERROR(__xludf.DUMMYFUNCTION("""COMPUTED_VALUE"""),240000.0)</f>
        <v>240000</v>
      </c>
      <c r="K2493" s="57">
        <f>IFERROR(__xludf.DUMMYFUNCTION("""COMPUTED_VALUE"""),45153.0)</f>
        <v>45153</v>
      </c>
      <c r="L2493" s="6" t="str">
        <f>IFERROR(__xludf.DUMMYFUNCTION("""COMPUTED_VALUE"""),"FIP Engineering")</f>
        <v>FIP Engineering</v>
      </c>
      <c r="M2493" s="6" t="str">
        <f>IFERROR(__xludf.DUMMYFUNCTION("""COMPUTED_VALUE"""),"Mochammad Fadhillah Hakim")</f>
        <v>Mochammad Fadhillah Hakim</v>
      </c>
      <c r="N2493" s="6" t="str">
        <f>IFERROR(__xludf.DUMMYFUNCTION("""COMPUTED_VALUE"""),"FIP Engineering")</f>
        <v>FIP Engineering</v>
      </c>
      <c r="O2493" s="6" t="str">
        <f>IFERROR(__xludf.DUMMYFUNCTION("""COMPUTED_VALUE"""),"FIP-DOM-000-11304-OS00001-INA-000000")</f>
        <v>FIP-DOM-000-11304-OS00001-INA-000000</v>
      </c>
      <c r="P2493" s="6" t="str">
        <f>IFERROR(__xludf.DUMMYFUNCTION("""COMPUTED_VALUE"""),"PO Closed")</f>
        <v>PO Closed</v>
      </c>
      <c r="Q2493" s="6" t="str">
        <f>IFERROR(__xludf.DUMMYFUNCTION("""COMPUTED_VALUE"""),"GL2308042")</f>
        <v>GL2308042</v>
      </c>
      <c r="R2493" s="57">
        <f>IFERROR(__xludf.DUMMYFUNCTION("""COMPUTED_VALUE"""),45139.0)</f>
        <v>45139</v>
      </c>
      <c r="S2493" s="57">
        <f>IFERROR(__xludf.DUMMYFUNCTION("""COMPUTED_VALUE"""),45140.0)</f>
        <v>45140</v>
      </c>
      <c r="T2493" s="57">
        <f>IFERROR(__xludf.DUMMYFUNCTION("""COMPUTED_VALUE"""),45184.0)</f>
        <v>45184</v>
      </c>
    </row>
    <row r="2494">
      <c r="A2494" s="6" t="str">
        <f>IFERROR(__xludf.DUMMYFUNCTION("""COMPUTED_VALUE"""),"231750506-8")</f>
        <v>231750506-8</v>
      </c>
      <c r="B2494" s="6" t="str">
        <f>IFERROR(__xludf.DUMMYFUNCTION("""COMPUTED_VALUE"""),"231750506 - Approved")</f>
        <v>231750506 - Approved</v>
      </c>
      <c r="C2494" s="6">
        <f>IFERROR(__xludf.DUMMYFUNCTION("""COMPUTED_VALUE"""),8.0)</f>
        <v>8</v>
      </c>
      <c r="D2494" s="6" t="str">
        <f>IFERROR(__xludf.DUMMYFUNCTION("""COMPUTED_VALUE"""),"P-14980-00")</f>
        <v>P-14980-00</v>
      </c>
      <c r="E2494" s="6" t="str">
        <f>IFERROR(__xludf.DUMMYFUNCTION("""COMPUTED_VALUE"""),"Seal Ferrule Teflon 3/4 inch; ; ;")</f>
        <v>Seal Ferrule Teflon 3/4 inch; ; ;</v>
      </c>
      <c r="F2494" s="6">
        <f>IFERROR(__xludf.DUMMYFUNCTION("""COMPUTED_VALUE"""),10.0)</f>
        <v>10</v>
      </c>
      <c r="G2494" s="6" t="str">
        <f>IFERROR(__xludf.DUMMYFUNCTION("""COMPUTED_VALUE"""),"Pieces")</f>
        <v>Pieces</v>
      </c>
      <c r="H2494" s="6" t="str">
        <f>IFERROR(__xludf.DUMMYFUNCTION("""COMPUTED_VALUE"""),"IDR")</f>
        <v>IDR</v>
      </c>
      <c r="I2494" s="11">
        <f>IFERROR(__xludf.DUMMYFUNCTION("""COMPUTED_VALUE"""),53000.0)</f>
        <v>53000</v>
      </c>
      <c r="J2494" s="11">
        <f>IFERROR(__xludf.DUMMYFUNCTION("""COMPUTED_VALUE"""),530000.0)</f>
        <v>530000</v>
      </c>
      <c r="K2494" s="57">
        <f>IFERROR(__xludf.DUMMYFUNCTION("""COMPUTED_VALUE"""),45153.0)</f>
        <v>45153</v>
      </c>
      <c r="L2494" s="6" t="str">
        <f>IFERROR(__xludf.DUMMYFUNCTION("""COMPUTED_VALUE"""),"FIP Engineering")</f>
        <v>FIP Engineering</v>
      </c>
      <c r="M2494" s="6" t="str">
        <f>IFERROR(__xludf.DUMMYFUNCTION("""COMPUTED_VALUE"""),"Mochammad Fadhillah Hakim")</f>
        <v>Mochammad Fadhillah Hakim</v>
      </c>
      <c r="N2494" s="6" t="str">
        <f>IFERROR(__xludf.DUMMYFUNCTION("""COMPUTED_VALUE"""),"FIP Engineering")</f>
        <v>FIP Engineering</v>
      </c>
      <c r="O2494" s="6" t="str">
        <f>IFERROR(__xludf.DUMMYFUNCTION("""COMPUTED_VALUE"""),"FIP-DOM-000-11304-OS00001-INA-000000")</f>
        <v>FIP-DOM-000-11304-OS00001-INA-000000</v>
      </c>
      <c r="P2494" s="6" t="str">
        <f>IFERROR(__xludf.DUMMYFUNCTION("""COMPUTED_VALUE"""),"PO Closed")</f>
        <v>PO Closed</v>
      </c>
      <c r="Q2494" s="6" t="str">
        <f>IFERROR(__xludf.DUMMYFUNCTION("""COMPUTED_VALUE"""),"GL2307342")</f>
        <v>GL2307342</v>
      </c>
      <c r="R2494" s="57">
        <f>IFERROR(__xludf.DUMMYFUNCTION("""COMPUTED_VALUE"""),45139.0)</f>
        <v>45139</v>
      </c>
      <c r="S2494" s="57">
        <f>IFERROR(__xludf.DUMMYFUNCTION("""COMPUTED_VALUE"""),45140.0)</f>
        <v>45140</v>
      </c>
      <c r="T2494" s="57">
        <f>IFERROR(__xludf.DUMMYFUNCTION("""COMPUTED_VALUE"""),45179.0)</f>
        <v>45179</v>
      </c>
    </row>
    <row r="2495">
      <c r="A2495" s="6" t="str">
        <f>IFERROR(__xludf.DUMMYFUNCTION("""COMPUTED_VALUE"""),"231750506-9")</f>
        <v>231750506-9</v>
      </c>
      <c r="B2495" s="6" t="str">
        <f>IFERROR(__xludf.DUMMYFUNCTION("""COMPUTED_VALUE"""),"231750506 - Approved")</f>
        <v>231750506 - Approved</v>
      </c>
      <c r="C2495" s="6">
        <f>IFERROR(__xludf.DUMMYFUNCTION("""COMPUTED_VALUE"""),9.0)</f>
        <v>9</v>
      </c>
      <c r="D2495" s="6" t="str">
        <f>IFERROR(__xludf.DUMMYFUNCTION("""COMPUTED_VALUE"""),"P-50274-00")</f>
        <v>P-50274-00</v>
      </c>
      <c r="E2495" s="6" t="str">
        <f>IFERROR(__xludf.DUMMYFUNCTION("""COMPUTED_VALUE"""),"Kabel NYAF 0.75 Merah")</f>
        <v>Kabel NYAF 0.75 Merah</v>
      </c>
      <c r="F2495" s="6">
        <f>IFERROR(__xludf.DUMMYFUNCTION("""COMPUTED_VALUE"""),1.0)</f>
        <v>1</v>
      </c>
      <c r="G2495" s="6" t="str">
        <f>IFERROR(__xludf.DUMMYFUNCTION("""COMPUTED_VALUE"""),"Pieces")</f>
        <v>Pieces</v>
      </c>
      <c r="H2495" s="6" t="str">
        <f>IFERROR(__xludf.DUMMYFUNCTION("""COMPUTED_VALUE"""),"IDR")</f>
        <v>IDR</v>
      </c>
      <c r="I2495" s="6">
        <f>IFERROR(__xludf.DUMMYFUNCTION("""COMPUTED_VALUE"""),135.0)</f>
        <v>135</v>
      </c>
      <c r="J2495" s="6">
        <f>IFERROR(__xludf.DUMMYFUNCTION("""COMPUTED_VALUE"""),135.0)</f>
        <v>135</v>
      </c>
      <c r="K2495" s="57">
        <f>IFERROR(__xludf.DUMMYFUNCTION("""COMPUTED_VALUE"""),45153.0)</f>
        <v>45153</v>
      </c>
      <c r="L2495" s="6" t="str">
        <f>IFERROR(__xludf.DUMMYFUNCTION("""COMPUTED_VALUE"""),"FIP Engineering")</f>
        <v>FIP Engineering</v>
      </c>
      <c r="M2495" s="6" t="str">
        <f>IFERROR(__xludf.DUMMYFUNCTION("""COMPUTED_VALUE"""),"Mochammad Fadhillah Hakim")</f>
        <v>Mochammad Fadhillah Hakim</v>
      </c>
      <c r="N2495" s="6" t="str">
        <f>IFERROR(__xludf.DUMMYFUNCTION("""COMPUTED_VALUE"""),"FIP Engineering")</f>
        <v>FIP Engineering</v>
      </c>
      <c r="O2495" s="6" t="str">
        <f>IFERROR(__xludf.DUMMYFUNCTION("""COMPUTED_VALUE"""),"FIP-DOM-000-11304-OS00001-INA-000000")</f>
        <v>FIP-DOM-000-11304-OS00001-INA-000000</v>
      </c>
      <c r="P2495" s="6" t="str">
        <f>IFERROR(__xludf.DUMMYFUNCTION("""COMPUTED_VALUE"""),"PO Closed")</f>
        <v>PO Closed</v>
      </c>
      <c r="Q2495" s="6" t="str">
        <f>IFERROR(__xludf.DUMMYFUNCTION("""COMPUTED_VALUE"""),"GL2308042")</f>
        <v>GL2308042</v>
      </c>
      <c r="R2495" s="57">
        <f>IFERROR(__xludf.DUMMYFUNCTION("""COMPUTED_VALUE"""),45139.0)</f>
        <v>45139</v>
      </c>
      <c r="S2495" s="57">
        <f>IFERROR(__xludf.DUMMYFUNCTION("""COMPUTED_VALUE"""),45140.0)</f>
        <v>45140</v>
      </c>
      <c r="T2495" s="57">
        <f>IFERROR(__xludf.DUMMYFUNCTION("""COMPUTED_VALUE"""),45184.0)</f>
        <v>45184</v>
      </c>
    </row>
    <row r="2496">
      <c r="A2496" s="6" t="str">
        <f>IFERROR(__xludf.DUMMYFUNCTION("""COMPUTED_VALUE"""),"231750506-10")</f>
        <v>231750506-10</v>
      </c>
      <c r="B2496" s="6" t="str">
        <f>IFERROR(__xludf.DUMMYFUNCTION("""COMPUTED_VALUE"""),"231750506 - Approved")</f>
        <v>231750506 - Approved</v>
      </c>
      <c r="C2496" s="6">
        <f>IFERROR(__xludf.DUMMYFUNCTION("""COMPUTED_VALUE"""),10.0)</f>
        <v>10</v>
      </c>
      <c r="D2496" s="6" t="str">
        <f>IFERROR(__xludf.DUMMYFUNCTION("""COMPUTED_VALUE"""),"P-51756-00")</f>
        <v>P-51756-00</v>
      </c>
      <c r="E2496" s="6" t="str">
        <f>IFERROR(__xludf.DUMMYFUNCTION("""COMPUTED_VALUE"""),"Kabel NYYHY 3x0.75mm; ; ; meter")</f>
        <v>Kabel NYYHY 3x0.75mm; ; ; meter</v>
      </c>
      <c r="F2496" s="6">
        <f>IFERROR(__xludf.DUMMYFUNCTION("""COMPUTED_VALUE"""),50.0)</f>
        <v>50</v>
      </c>
      <c r="G2496" s="6" t="str">
        <f>IFERROR(__xludf.DUMMYFUNCTION("""COMPUTED_VALUE"""),"Meter")</f>
        <v>Meter</v>
      </c>
      <c r="H2496" s="6" t="str">
        <f>IFERROR(__xludf.DUMMYFUNCTION("""COMPUTED_VALUE"""),"IDR")</f>
        <v>IDR</v>
      </c>
      <c r="I2496" s="6">
        <f>IFERROR(__xludf.DUMMYFUNCTION("""COMPUTED_VALUE"""),6.0)</f>
        <v>6</v>
      </c>
      <c r="J2496" s="6">
        <f>IFERROR(__xludf.DUMMYFUNCTION("""COMPUTED_VALUE"""),300.0)</f>
        <v>300</v>
      </c>
      <c r="K2496" s="57">
        <f>IFERROR(__xludf.DUMMYFUNCTION("""COMPUTED_VALUE"""),45153.0)</f>
        <v>45153</v>
      </c>
      <c r="L2496" s="6" t="str">
        <f>IFERROR(__xludf.DUMMYFUNCTION("""COMPUTED_VALUE"""),"FIP Engineering")</f>
        <v>FIP Engineering</v>
      </c>
      <c r="M2496" s="6" t="str">
        <f>IFERROR(__xludf.DUMMYFUNCTION("""COMPUTED_VALUE"""),"Mochammad Fadhillah Hakim")</f>
        <v>Mochammad Fadhillah Hakim</v>
      </c>
      <c r="N2496" s="6" t="str">
        <f>IFERROR(__xludf.DUMMYFUNCTION("""COMPUTED_VALUE"""),"FIP Engineering")</f>
        <v>FIP Engineering</v>
      </c>
      <c r="O2496" s="6" t="str">
        <f>IFERROR(__xludf.DUMMYFUNCTION("""COMPUTED_VALUE"""),"FIP-DOM-000-11304-OS00001-INA-000000")</f>
        <v>FIP-DOM-000-11304-OS00001-INA-000000</v>
      </c>
      <c r="P2496" s="6" t="str">
        <f>IFERROR(__xludf.DUMMYFUNCTION("""COMPUTED_VALUE"""),"PO Closed")</f>
        <v>PO Closed</v>
      </c>
      <c r="Q2496" s="6" t="str">
        <f>IFERROR(__xludf.DUMMYFUNCTION("""COMPUTED_VALUE"""),"GL2307342")</f>
        <v>GL2307342</v>
      </c>
      <c r="R2496" s="57">
        <f>IFERROR(__xludf.DUMMYFUNCTION("""COMPUTED_VALUE"""),45139.0)</f>
        <v>45139</v>
      </c>
      <c r="S2496" s="57">
        <f>IFERROR(__xludf.DUMMYFUNCTION("""COMPUTED_VALUE"""),45140.0)</f>
        <v>45140</v>
      </c>
      <c r="T2496" s="57">
        <f>IFERROR(__xludf.DUMMYFUNCTION("""COMPUTED_VALUE"""),45179.0)</f>
        <v>45179</v>
      </c>
    </row>
    <row r="2497">
      <c r="A2497" s="6" t="str">
        <f>IFERROR(__xludf.DUMMYFUNCTION("""COMPUTED_VALUE"""),"231750506-11")</f>
        <v>231750506-11</v>
      </c>
      <c r="B2497" s="6" t="str">
        <f>IFERROR(__xludf.DUMMYFUNCTION("""COMPUTED_VALUE"""),"231750506 - Approved")</f>
        <v>231750506 - Approved</v>
      </c>
      <c r="C2497" s="6">
        <f>IFERROR(__xludf.DUMMYFUNCTION("""COMPUTED_VALUE"""),11.0)</f>
        <v>11</v>
      </c>
      <c r="D2497" s="6" t="str">
        <f>IFERROR(__xludf.DUMMYFUNCTION("""COMPUTED_VALUE"""),"P-17897-00")</f>
        <v>P-17897-00</v>
      </c>
      <c r="E2497" s="6" t="str">
        <f>IFERROR(__xludf.DUMMYFUNCTION("""COMPUTED_VALUE"""),"Foam Tape Perekat 1 Sisi 3mm x 25mm x 10M; ; ;")</f>
        <v>Foam Tape Perekat 1 Sisi 3mm x 25mm x 10M; ; ;</v>
      </c>
      <c r="F2497" s="6">
        <f>IFERROR(__xludf.DUMMYFUNCTION("""COMPUTED_VALUE"""),2.0)</f>
        <v>2</v>
      </c>
      <c r="G2497" s="6" t="str">
        <f>IFERROR(__xludf.DUMMYFUNCTION("""COMPUTED_VALUE"""),"Pieces")</f>
        <v>Pieces</v>
      </c>
      <c r="H2497" s="6" t="str">
        <f>IFERROR(__xludf.DUMMYFUNCTION("""COMPUTED_VALUE"""),"IDR")</f>
        <v>IDR</v>
      </c>
      <c r="I2497" s="11">
        <f>IFERROR(__xludf.DUMMYFUNCTION("""COMPUTED_VALUE"""),100000.0)</f>
        <v>100000</v>
      </c>
      <c r="J2497" s="11">
        <f>IFERROR(__xludf.DUMMYFUNCTION("""COMPUTED_VALUE"""),200000.0)</f>
        <v>200000</v>
      </c>
      <c r="K2497" s="57">
        <f>IFERROR(__xludf.DUMMYFUNCTION("""COMPUTED_VALUE"""),45153.0)</f>
        <v>45153</v>
      </c>
      <c r="L2497" s="6" t="str">
        <f>IFERROR(__xludf.DUMMYFUNCTION("""COMPUTED_VALUE"""),"FIP Engineering")</f>
        <v>FIP Engineering</v>
      </c>
      <c r="M2497" s="6" t="str">
        <f>IFERROR(__xludf.DUMMYFUNCTION("""COMPUTED_VALUE"""),"Mochammad Fadhillah Hakim")</f>
        <v>Mochammad Fadhillah Hakim</v>
      </c>
      <c r="N2497" s="6" t="str">
        <f>IFERROR(__xludf.DUMMYFUNCTION("""COMPUTED_VALUE"""),"FIP Engineering")</f>
        <v>FIP Engineering</v>
      </c>
      <c r="O2497" s="6" t="str">
        <f>IFERROR(__xludf.DUMMYFUNCTION("""COMPUTED_VALUE"""),"FIP-DOM-000-11304-OS00001-INA-000000")</f>
        <v>FIP-DOM-000-11304-OS00001-INA-000000</v>
      </c>
      <c r="P2497" s="6" t="str">
        <f>IFERROR(__xludf.DUMMYFUNCTION("""COMPUTED_VALUE"""),"PO Closed")</f>
        <v>PO Closed</v>
      </c>
      <c r="Q2497" s="6" t="str">
        <f>IFERROR(__xludf.DUMMYFUNCTION("""COMPUTED_VALUE"""),"GL2307342")</f>
        <v>GL2307342</v>
      </c>
      <c r="R2497" s="57">
        <f>IFERROR(__xludf.DUMMYFUNCTION("""COMPUTED_VALUE"""),45139.0)</f>
        <v>45139</v>
      </c>
      <c r="S2497" s="57">
        <f>IFERROR(__xludf.DUMMYFUNCTION("""COMPUTED_VALUE"""),45140.0)</f>
        <v>45140</v>
      </c>
      <c r="T2497" s="57">
        <f>IFERROR(__xludf.DUMMYFUNCTION("""COMPUTED_VALUE"""),45179.0)</f>
        <v>45179</v>
      </c>
    </row>
    <row r="2498">
      <c r="A2498" s="6" t="str">
        <f>IFERROR(__xludf.DUMMYFUNCTION("""COMPUTED_VALUE"""),"231750508-1")</f>
        <v>231750508-1</v>
      </c>
      <c r="B2498" s="6" t="str">
        <f>IFERROR(__xludf.DUMMYFUNCTION("""COMPUTED_VALUE"""),"231750508 - Approved")</f>
        <v>231750508 - Approved</v>
      </c>
      <c r="C2498" s="6">
        <f>IFERROR(__xludf.DUMMYFUNCTION("""COMPUTED_VALUE"""),1.0)</f>
        <v>1</v>
      </c>
      <c r="D2498" s="6" t="str">
        <f>IFERROR(__xludf.DUMMYFUNCTION("""COMPUTED_VALUE"""),"Q-60025-00")</f>
        <v>Q-60025-00</v>
      </c>
      <c r="E2498" s="6" t="str">
        <f>IFERROR(__xludf.DUMMYFUNCTION("""COMPUTED_VALUE"""),"Kuas Eterna 1")</f>
        <v>Kuas Eterna 1</v>
      </c>
      <c r="F2498" s="6">
        <f>IFERROR(__xludf.DUMMYFUNCTION("""COMPUTED_VALUE"""),10.0)</f>
        <v>10</v>
      </c>
      <c r="G2498" s="6" t="str">
        <f>IFERROR(__xludf.DUMMYFUNCTION("""COMPUTED_VALUE"""),"Pieces")</f>
        <v>Pieces</v>
      </c>
      <c r="H2498" s="6" t="str">
        <f>IFERROR(__xludf.DUMMYFUNCTION("""COMPUTED_VALUE"""),"IDR")</f>
        <v>IDR</v>
      </c>
      <c r="I2498" s="11">
        <f>IFERROR(__xludf.DUMMYFUNCTION("""COMPUTED_VALUE"""),5000.0)</f>
        <v>5000</v>
      </c>
      <c r="J2498" s="11">
        <f>IFERROR(__xludf.DUMMYFUNCTION("""COMPUTED_VALUE"""),50000.0)</f>
        <v>50000</v>
      </c>
      <c r="K2498" s="57">
        <f>IFERROR(__xludf.DUMMYFUNCTION("""COMPUTED_VALUE"""),45153.0)</f>
        <v>45153</v>
      </c>
      <c r="L2498" s="6" t="str">
        <f>IFERROR(__xludf.DUMMYFUNCTION("""COMPUTED_VALUE"""),"FIP General")</f>
        <v>FIP General</v>
      </c>
      <c r="M2498" s="6" t="str">
        <f>IFERROR(__xludf.DUMMYFUNCTION("""COMPUTED_VALUE"""),"Mochammad Fadhillah Hakim")</f>
        <v>Mochammad Fadhillah Hakim</v>
      </c>
      <c r="N2498" s="6" t="str">
        <f>IFERROR(__xludf.DUMMYFUNCTION("""COMPUTED_VALUE"""),"FIP Engineering")</f>
        <v>FIP Engineering</v>
      </c>
      <c r="O2498" s="6" t="str">
        <f>IFERROR(__xludf.DUMMYFUNCTION("""COMPUTED_VALUE"""),"FIP-DOM-ENG-51404-0000000-INA-000000")</f>
        <v>FIP-DOM-ENG-51404-0000000-INA-000000</v>
      </c>
      <c r="P2498" s="6" t="str">
        <f>IFERROR(__xludf.DUMMYFUNCTION("""COMPUTED_VALUE"""),"PO Closed")</f>
        <v>PO Closed</v>
      </c>
      <c r="Q2498" s="6" t="str">
        <f>IFERROR(__xludf.DUMMYFUNCTION("""COMPUTED_VALUE"""),"GL2308347")</f>
        <v>GL2308347</v>
      </c>
      <c r="R2498" s="57">
        <f>IFERROR(__xludf.DUMMYFUNCTION("""COMPUTED_VALUE"""),45139.0)</f>
        <v>45139</v>
      </c>
      <c r="S2498" s="57">
        <f>IFERROR(__xludf.DUMMYFUNCTION("""COMPUTED_VALUE"""),45140.0)</f>
        <v>45140</v>
      </c>
      <c r="T2498" s="57">
        <f>IFERROR(__xludf.DUMMYFUNCTION("""COMPUTED_VALUE"""),45176.0)</f>
        <v>45176</v>
      </c>
    </row>
    <row r="2499">
      <c r="A2499" s="6" t="str">
        <f>IFERROR(__xludf.DUMMYFUNCTION("""COMPUTED_VALUE"""),"231750510-1")</f>
        <v>231750510-1</v>
      </c>
      <c r="B2499" s="6" t="str">
        <f>IFERROR(__xludf.DUMMYFUNCTION("""COMPUTED_VALUE"""),"231750510 - Approved")</f>
        <v>231750510 - Approved</v>
      </c>
      <c r="C2499" s="6">
        <f>IFERROR(__xludf.DUMMYFUNCTION("""COMPUTED_VALUE"""),1.0)</f>
        <v>1</v>
      </c>
      <c r="D2499" s="6" t="str">
        <f>IFERROR(__xludf.DUMMYFUNCTION("""COMPUTED_VALUE"""),"O-16647-00")</f>
        <v>O-16647-00</v>
      </c>
      <c r="E2499" s="6" t="str">
        <f>IFERROR(__xludf.DUMMYFUNCTION("""COMPUTED_VALUE"""),"Washing RAR4 - Oring Silicone Merah 23x18x2.5 mm; ; ;")</f>
        <v>Washing RAR4 - Oring Silicone Merah 23x18x2.5 mm; ; ;</v>
      </c>
      <c r="F2499" s="6">
        <f>IFERROR(__xludf.DUMMYFUNCTION("""COMPUTED_VALUE"""),30.0)</f>
        <v>30</v>
      </c>
      <c r="G2499" s="6" t="str">
        <f>IFERROR(__xludf.DUMMYFUNCTION("""COMPUTED_VALUE"""),"Pieces")</f>
        <v>Pieces</v>
      </c>
      <c r="H2499" s="6" t="str">
        <f>IFERROR(__xludf.DUMMYFUNCTION("""COMPUTED_VALUE"""),"IDR")</f>
        <v>IDR</v>
      </c>
      <c r="I2499" s="11">
        <f>IFERROR(__xludf.DUMMYFUNCTION("""COMPUTED_VALUE"""),35000.0)</f>
        <v>35000</v>
      </c>
      <c r="J2499" s="11">
        <f>IFERROR(__xludf.DUMMYFUNCTION("""COMPUTED_VALUE"""),1050000.0)</f>
        <v>1050000</v>
      </c>
      <c r="K2499" s="57">
        <f>IFERROR(__xludf.DUMMYFUNCTION("""COMPUTED_VALUE"""),45153.0)</f>
        <v>45153</v>
      </c>
      <c r="L2499" s="6" t="str">
        <f>IFERROR(__xludf.DUMMYFUNCTION("""COMPUTED_VALUE"""),"FIP Engineering")</f>
        <v>FIP Engineering</v>
      </c>
      <c r="M2499" s="6" t="str">
        <f>IFERROR(__xludf.DUMMYFUNCTION("""COMPUTED_VALUE"""),"Mochammad Fadhillah Hakim")</f>
        <v>Mochammad Fadhillah Hakim</v>
      </c>
      <c r="N2499" s="6" t="str">
        <f>IFERROR(__xludf.DUMMYFUNCTION("""COMPUTED_VALUE"""),"FIP Engineering")</f>
        <v>FIP Engineering</v>
      </c>
      <c r="O2499" s="6" t="str">
        <f>IFERROR(__xludf.DUMMYFUNCTION("""COMPUTED_VALUE"""),"FIP-DOM-000-11304-OS00001-INA-000000")</f>
        <v>FIP-DOM-000-11304-OS00001-INA-000000</v>
      </c>
      <c r="P2499" s="6" t="str">
        <f>IFERROR(__xludf.DUMMYFUNCTION("""COMPUTED_VALUE"""),"PO Closed")</f>
        <v>PO Closed</v>
      </c>
      <c r="Q2499" s="6" t="str">
        <f>IFERROR(__xludf.DUMMYFUNCTION("""COMPUTED_VALUE"""),"GL2309007")</f>
        <v>GL2309007</v>
      </c>
      <c r="R2499" s="57">
        <f>IFERROR(__xludf.DUMMYFUNCTION("""COMPUTED_VALUE"""),45139.0)</f>
        <v>45139</v>
      </c>
      <c r="S2499" s="57">
        <f>IFERROR(__xludf.DUMMYFUNCTION("""COMPUTED_VALUE"""),45140.0)</f>
        <v>45140</v>
      </c>
      <c r="T2499" s="57">
        <f>IFERROR(__xludf.DUMMYFUNCTION("""COMPUTED_VALUE"""),45262.0)</f>
        <v>45262</v>
      </c>
    </row>
    <row r="2500">
      <c r="A2500" s="6" t="str">
        <f>IFERROR(__xludf.DUMMYFUNCTION("""COMPUTED_VALUE"""),"231750511-1")</f>
        <v>231750511-1</v>
      </c>
      <c r="B2500" s="6" t="str">
        <f>IFERROR(__xludf.DUMMYFUNCTION("""COMPUTED_VALUE"""),"231750511 - Approved")</f>
        <v>231750511 - Approved</v>
      </c>
      <c r="C2500" s="6">
        <f>IFERROR(__xludf.DUMMYFUNCTION("""COMPUTED_VALUE"""),1.0)</f>
        <v>1</v>
      </c>
      <c r="D2500" s="6" t="str">
        <f>IFERROR(__xludf.DUMMYFUNCTION("""COMPUTED_VALUE"""),"P-12280-00")</f>
        <v>P-12280-00</v>
      </c>
      <c r="E2500" s="6" t="str">
        <f>IFERROR(__xludf.DUMMYFUNCTION("""COMPUTED_VALUE"""),"FESTO - QS-1/8-8 Push-In fitting p/n 153004")</f>
        <v>FESTO - QS-1/8-8 Push-In fitting p/n 153004</v>
      </c>
      <c r="F2500" s="6">
        <f>IFERROR(__xludf.DUMMYFUNCTION("""COMPUTED_VALUE"""),5.0)</f>
        <v>5</v>
      </c>
      <c r="G2500" s="6" t="str">
        <f>IFERROR(__xludf.DUMMYFUNCTION("""COMPUTED_VALUE"""),"Pieces")</f>
        <v>Pieces</v>
      </c>
      <c r="H2500" s="6" t="str">
        <f>IFERROR(__xludf.DUMMYFUNCTION("""COMPUTED_VALUE"""),"IDR")</f>
        <v>IDR</v>
      </c>
      <c r="I2500" s="11">
        <f>IFERROR(__xludf.DUMMYFUNCTION("""COMPUTED_VALUE"""),30798.0)</f>
        <v>30798</v>
      </c>
      <c r="J2500" s="11">
        <f>IFERROR(__xludf.DUMMYFUNCTION("""COMPUTED_VALUE"""),153990.0)</f>
        <v>153990</v>
      </c>
      <c r="K2500" s="57">
        <f>IFERROR(__xludf.DUMMYFUNCTION("""COMPUTED_VALUE"""),45153.0)</f>
        <v>45153</v>
      </c>
      <c r="L2500" s="6" t="str">
        <f>IFERROR(__xludf.DUMMYFUNCTION("""COMPUTED_VALUE"""),"FIP Engineering")</f>
        <v>FIP Engineering</v>
      </c>
      <c r="M2500" s="6" t="str">
        <f>IFERROR(__xludf.DUMMYFUNCTION("""COMPUTED_VALUE"""),"Mochammad Fadhillah Hakim")</f>
        <v>Mochammad Fadhillah Hakim</v>
      </c>
      <c r="N2500" s="6" t="str">
        <f>IFERROR(__xludf.DUMMYFUNCTION("""COMPUTED_VALUE"""),"FIP Engineering")</f>
        <v>FIP Engineering</v>
      </c>
      <c r="O2500" s="6" t="str">
        <f>IFERROR(__xludf.DUMMYFUNCTION("""COMPUTED_VALUE"""),"FIP-DOM-000-11304-OS00001-INA-000000")</f>
        <v>FIP-DOM-000-11304-OS00001-INA-000000</v>
      </c>
      <c r="P2500" s="6" t="str">
        <f>IFERROR(__xludf.DUMMYFUNCTION("""COMPUTED_VALUE"""),"PO Closed")</f>
        <v>PO Closed</v>
      </c>
      <c r="Q2500" s="6" t="str">
        <f>IFERROR(__xludf.DUMMYFUNCTION("""COMPUTED_VALUE"""),"GL2308344")</f>
        <v>GL2308344</v>
      </c>
      <c r="R2500" s="57">
        <f>IFERROR(__xludf.DUMMYFUNCTION("""COMPUTED_VALUE"""),45139.0)</f>
        <v>45139</v>
      </c>
      <c r="S2500" s="57">
        <f>IFERROR(__xludf.DUMMYFUNCTION("""COMPUTED_VALUE"""),45140.0)</f>
        <v>45140</v>
      </c>
      <c r="T2500" s="57">
        <f>IFERROR(__xludf.DUMMYFUNCTION("""COMPUTED_VALUE"""),45184.0)</f>
        <v>45184</v>
      </c>
    </row>
    <row r="2501">
      <c r="A2501" s="6" t="str">
        <f>IFERROR(__xludf.DUMMYFUNCTION("""COMPUTED_VALUE"""),"231750511-2")</f>
        <v>231750511-2</v>
      </c>
      <c r="B2501" s="6" t="str">
        <f>IFERROR(__xludf.DUMMYFUNCTION("""COMPUTED_VALUE"""),"231750511 - Approved")</f>
        <v>231750511 - Approved</v>
      </c>
      <c r="C2501" s="6">
        <f>IFERROR(__xludf.DUMMYFUNCTION("""COMPUTED_VALUE"""),2.0)</f>
        <v>2</v>
      </c>
      <c r="D2501" s="6" t="str">
        <f>IFERROR(__xludf.DUMMYFUNCTION("""COMPUTED_VALUE"""),"P-12279-00")</f>
        <v>P-12279-00</v>
      </c>
      <c r="E2501" s="6" t="str">
        <f>IFERROR(__xludf.DUMMYFUNCTION("""COMPUTED_VALUE"""),"FESTO - QS-1/8-6 Push-In fitting p/n 153002")</f>
        <v>FESTO - QS-1/8-6 Push-In fitting p/n 153002</v>
      </c>
      <c r="F2501" s="6">
        <f>IFERROR(__xludf.DUMMYFUNCTION("""COMPUTED_VALUE"""),5.0)</f>
        <v>5</v>
      </c>
      <c r="G2501" s="6" t="str">
        <f>IFERROR(__xludf.DUMMYFUNCTION("""COMPUTED_VALUE"""),"Pieces")</f>
        <v>Pieces</v>
      </c>
      <c r="H2501" s="6" t="str">
        <f>IFERROR(__xludf.DUMMYFUNCTION("""COMPUTED_VALUE"""),"IDR")</f>
        <v>IDR</v>
      </c>
      <c r="I2501" s="11">
        <f>IFERROR(__xludf.DUMMYFUNCTION("""COMPUTED_VALUE"""),25198.0)</f>
        <v>25198</v>
      </c>
      <c r="J2501" s="11">
        <f>IFERROR(__xludf.DUMMYFUNCTION("""COMPUTED_VALUE"""),125990.0)</f>
        <v>125990</v>
      </c>
      <c r="K2501" s="57">
        <f>IFERROR(__xludf.DUMMYFUNCTION("""COMPUTED_VALUE"""),45153.0)</f>
        <v>45153</v>
      </c>
      <c r="L2501" s="6" t="str">
        <f>IFERROR(__xludf.DUMMYFUNCTION("""COMPUTED_VALUE"""),"FIP Engineering")</f>
        <v>FIP Engineering</v>
      </c>
      <c r="M2501" s="6" t="str">
        <f>IFERROR(__xludf.DUMMYFUNCTION("""COMPUTED_VALUE"""),"Mochammad Fadhillah Hakim")</f>
        <v>Mochammad Fadhillah Hakim</v>
      </c>
      <c r="N2501" s="6" t="str">
        <f>IFERROR(__xludf.DUMMYFUNCTION("""COMPUTED_VALUE"""),"FIP Engineering")</f>
        <v>FIP Engineering</v>
      </c>
      <c r="O2501" s="6" t="str">
        <f>IFERROR(__xludf.DUMMYFUNCTION("""COMPUTED_VALUE"""),"FIP-DOM-000-11304-OS00001-INA-000000")</f>
        <v>FIP-DOM-000-11304-OS00001-INA-000000</v>
      </c>
      <c r="P2501" s="6" t="str">
        <f>IFERROR(__xludf.DUMMYFUNCTION("""COMPUTED_VALUE"""),"PO Closed")</f>
        <v>PO Closed</v>
      </c>
      <c r="Q2501" s="6" t="str">
        <f>IFERROR(__xludf.DUMMYFUNCTION("""COMPUTED_VALUE"""),"GL2308344")</f>
        <v>GL2308344</v>
      </c>
      <c r="R2501" s="57">
        <f>IFERROR(__xludf.DUMMYFUNCTION("""COMPUTED_VALUE"""),45139.0)</f>
        <v>45139</v>
      </c>
      <c r="S2501" s="57">
        <f>IFERROR(__xludf.DUMMYFUNCTION("""COMPUTED_VALUE"""),45140.0)</f>
        <v>45140</v>
      </c>
      <c r="T2501" s="57">
        <f>IFERROR(__xludf.DUMMYFUNCTION("""COMPUTED_VALUE"""),45184.0)</f>
        <v>45184</v>
      </c>
    </row>
    <row r="2502">
      <c r="A2502" s="6" t="str">
        <f>IFERROR(__xludf.DUMMYFUNCTION("""COMPUTED_VALUE"""),"231750511-3")</f>
        <v>231750511-3</v>
      </c>
      <c r="B2502" s="6" t="str">
        <f>IFERROR(__xludf.DUMMYFUNCTION("""COMPUTED_VALUE"""),"231750511 - Approved")</f>
        <v>231750511 - Approved</v>
      </c>
      <c r="C2502" s="6">
        <f>IFERROR(__xludf.DUMMYFUNCTION("""COMPUTED_VALUE"""),3.0)</f>
        <v>3</v>
      </c>
      <c r="D2502" s="6" t="str">
        <f>IFERROR(__xludf.DUMMYFUNCTION("""COMPUTED_VALUE"""),"P-12287-00")</f>
        <v>P-12287-00</v>
      </c>
      <c r="E2502" s="6" t="str">
        <f>IFERROR(__xludf.DUMMYFUNCTION("""COMPUTED_VALUE"""),"FESTO - QS-1/8-6 Push-In fitting p/n 153002")</f>
        <v>FESTO - QS-1/8-6 Push-In fitting p/n 153002</v>
      </c>
      <c r="F2502" s="6">
        <f>IFERROR(__xludf.DUMMYFUNCTION("""COMPUTED_VALUE"""),5.0)</f>
        <v>5</v>
      </c>
      <c r="G2502" s="6" t="str">
        <f>IFERROR(__xludf.DUMMYFUNCTION("""COMPUTED_VALUE"""),"Pieces")</f>
        <v>Pieces</v>
      </c>
      <c r="H2502" s="6" t="str">
        <f>IFERROR(__xludf.DUMMYFUNCTION("""COMPUTED_VALUE"""),"IDR")</f>
        <v>IDR</v>
      </c>
      <c r="I2502" s="11">
        <f>IFERROR(__xludf.DUMMYFUNCTION("""COMPUTED_VALUE"""),34298.0)</f>
        <v>34298</v>
      </c>
      <c r="J2502" s="11">
        <f>IFERROR(__xludf.DUMMYFUNCTION("""COMPUTED_VALUE"""),171490.0)</f>
        <v>171490</v>
      </c>
      <c r="K2502" s="57">
        <f>IFERROR(__xludf.DUMMYFUNCTION("""COMPUTED_VALUE"""),45153.0)</f>
        <v>45153</v>
      </c>
      <c r="L2502" s="6" t="str">
        <f>IFERROR(__xludf.DUMMYFUNCTION("""COMPUTED_VALUE"""),"FIP Engineering")</f>
        <v>FIP Engineering</v>
      </c>
      <c r="M2502" s="6" t="str">
        <f>IFERROR(__xludf.DUMMYFUNCTION("""COMPUTED_VALUE"""),"Mochammad Fadhillah Hakim")</f>
        <v>Mochammad Fadhillah Hakim</v>
      </c>
      <c r="N2502" s="6" t="str">
        <f>IFERROR(__xludf.DUMMYFUNCTION("""COMPUTED_VALUE"""),"FIP Engineering")</f>
        <v>FIP Engineering</v>
      </c>
      <c r="O2502" s="6" t="str">
        <f>IFERROR(__xludf.DUMMYFUNCTION("""COMPUTED_VALUE"""),"FIP-DOM-000-11304-OS00001-INA-000000")</f>
        <v>FIP-DOM-000-11304-OS00001-INA-000000</v>
      </c>
      <c r="P2502" s="6" t="str">
        <f>IFERROR(__xludf.DUMMYFUNCTION("""COMPUTED_VALUE"""),"PO Closed")</f>
        <v>PO Closed</v>
      </c>
      <c r="Q2502" s="6" t="str">
        <f>IFERROR(__xludf.DUMMYFUNCTION("""COMPUTED_VALUE"""),"GL2308344")</f>
        <v>GL2308344</v>
      </c>
      <c r="R2502" s="57">
        <f>IFERROR(__xludf.DUMMYFUNCTION("""COMPUTED_VALUE"""),45139.0)</f>
        <v>45139</v>
      </c>
      <c r="S2502" s="57">
        <f>IFERROR(__xludf.DUMMYFUNCTION("""COMPUTED_VALUE"""),45140.0)</f>
        <v>45140</v>
      </c>
      <c r="T2502" s="57">
        <f>IFERROR(__xludf.DUMMYFUNCTION("""COMPUTED_VALUE"""),45184.0)</f>
        <v>45184</v>
      </c>
    </row>
    <row r="2503">
      <c r="A2503" s="6" t="str">
        <f>IFERROR(__xludf.DUMMYFUNCTION("""COMPUTED_VALUE"""),"231750511-4")</f>
        <v>231750511-4</v>
      </c>
      <c r="B2503" s="6" t="str">
        <f>IFERROR(__xludf.DUMMYFUNCTION("""COMPUTED_VALUE"""),"231750511 - Approved")</f>
        <v>231750511 - Approved</v>
      </c>
      <c r="C2503" s="6">
        <f>IFERROR(__xludf.DUMMYFUNCTION("""COMPUTED_VALUE"""),4.0)</f>
        <v>4</v>
      </c>
      <c r="D2503" s="6" t="str">
        <f>IFERROR(__xludf.DUMMYFUNCTION("""COMPUTED_VALUE"""),"P-12306-00")</f>
        <v>P-12306-00</v>
      </c>
      <c r="E2503" s="6" t="str">
        <f>IFERROR(__xludf.DUMMYFUNCTION("""COMPUTED_VALUE"""),"FESTO - QST-8 push in t- connection p/n 153130")</f>
        <v>FESTO - QST-8 push in t- connection p/n 153130</v>
      </c>
      <c r="F2503" s="6">
        <f>IFERROR(__xludf.DUMMYFUNCTION("""COMPUTED_VALUE"""),5.0)</f>
        <v>5</v>
      </c>
      <c r="G2503" s="6" t="str">
        <f>IFERROR(__xludf.DUMMYFUNCTION("""COMPUTED_VALUE"""),"Pieces")</f>
        <v>Pieces</v>
      </c>
      <c r="H2503" s="6" t="str">
        <f>IFERROR(__xludf.DUMMYFUNCTION("""COMPUTED_VALUE"""),"IDR")</f>
        <v>IDR</v>
      </c>
      <c r="I2503" s="11">
        <f>IFERROR(__xludf.DUMMYFUNCTION("""COMPUTED_VALUE"""),100000.0)</f>
        <v>100000</v>
      </c>
      <c r="J2503" s="11">
        <f>IFERROR(__xludf.DUMMYFUNCTION("""COMPUTED_VALUE"""),500000.0)</f>
        <v>500000</v>
      </c>
      <c r="K2503" s="57">
        <f>IFERROR(__xludf.DUMMYFUNCTION("""COMPUTED_VALUE"""),45153.0)</f>
        <v>45153</v>
      </c>
      <c r="L2503" s="6" t="str">
        <f>IFERROR(__xludf.DUMMYFUNCTION("""COMPUTED_VALUE"""),"FIP Engineering")</f>
        <v>FIP Engineering</v>
      </c>
      <c r="M2503" s="6" t="str">
        <f>IFERROR(__xludf.DUMMYFUNCTION("""COMPUTED_VALUE"""),"Mochammad Fadhillah Hakim")</f>
        <v>Mochammad Fadhillah Hakim</v>
      </c>
      <c r="N2503" s="6" t="str">
        <f>IFERROR(__xludf.DUMMYFUNCTION("""COMPUTED_VALUE"""),"FIP Engineering")</f>
        <v>FIP Engineering</v>
      </c>
      <c r="O2503" s="6" t="str">
        <f>IFERROR(__xludf.DUMMYFUNCTION("""COMPUTED_VALUE"""),"FIP-DOM-000-11304-OS00001-INA-000000")</f>
        <v>FIP-DOM-000-11304-OS00001-INA-000000</v>
      </c>
      <c r="P2503" s="6" t="str">
        <f>IFERROR(__xludf.DUMMYFUNCTION("""COMPUTED_VALUE"""),"PO Closed")</f>
        <v>PO Closed</v>
      </c>
      <c r="Q2503" s="6" t="str">
        <f>IFERROR(__xludf.DUMMYFUNCTION("""COMPUTED_VALUE"""),"GL2308344")</f>
        <v>GL2308344</v>
      </c>
      <c r="R2503" s="57">
        <f>IFERROR(__xludf.DUMMYFUNCTION("""COMPUTED_VALUE"""),45139.0)</f>
        <v>45139</v>
      </c>
      <c r="S2503" s="57">
        <f>IFERROR(__xludf.DUMMYFUNCTION("""COMPUTED_VALUE"""),45140.0)</f>
        <v>45140</v>
      </c>
      <c r="T2503" s="57">
        <f>IFERROR(__xludf.DUMMYFUNCTION("""COMPUTED_VALUE"""),45184.0)</f>
        <v>45184</v>
      </c>
    </row>
    <row r="2504">
      <c r="A2504" s="6" t="str">
        <f>IFERROR(__xludf.DUMMYFUNCTION("""COMPUTED_VALUE"""),"231750511-5")</f>
        <v>231750511-5</v>
      </c>
      <c r="B2504" s="6" t="str">
        <f>IFERROR(__xludf.DUMMYFUNCTION("""COMPUTED_VALUE"""),"231750511 - Approved")</f>
        <v>231750511 - Approved</v>
      </c>
      <c r="C2504" s="6">
        <f>IFERROR(__xludf.DUMMYFUNCTION("""COMPUTED_VALUE"""),5.0)</f>
        <v>5</v>
      </c>
      <c r="D2504" s="6" t="str">
        <f>IFERROR(__xludf.DUMMYFUNCTION("""COMPUTED_VALUE"""),"P-12305-00")</f>
        <v>P-12305-00</v>
      </c>
      <c r="E2504" s="6" t="str">
        <f>IFERROR(__xludf.DUMMYFUNCTION("""COMPUTED_VALUE"""),"FESTO - QST-6 Push in t-connection p/n 153129")</f>
        <v>FESTO - QST-6 Push in t-connection p/n 153129</v>
      </c>
      <c r="F2504" s="6">
        <f>IFERROR(__xludf.DUMMYFUNCTION("""COMPUTED_VALUE"""),5.0)</f>
        <v>5</v>
      </c>
      <c r="G2504" s="6" t="str">
        <f>IFERROR(__xludf.DUMMYFUNCTION("""COMPUTED_VALUE"""),"Pieces")</f>
        <v>Pieces</v>
      </c>
      <c r="H2504" s="6" t="str">
        <f>IFERROR(__xludf.DUMMYFUNCTION("""COMPUTED_VALUE"""),"IDR")</f>
        <v>IDR</v>
      </c>
      <c r="I2504" s="11">
        <f>IFERROR(__xludf.DUMMYFUNCTION("""COMPUTED_VALUE"""),100000.0)</f>
        <v>100000</v>
      </c>
      <c r="J2504" s="11">
        <f>IFERROR(__xludf.DUMMYFUNCTION("""COMPUTED_VALUE"""),500000.0)</f>
        <v>500000</v>
      </c>
      <c r="K2504" s="57">
        <f>IFERROR(__xludf.DUMMYFUNCTION("""COMPUTED_VALUE"""),45153.0)</f>
        <v>45153</v>
      </c>
      <c r="L2504" s="6" t="str">
        <f>IFERROR(__xludf.DUMMYFUNCTION("""COMPUTED_VALUE"""),"FIP Engineering")</f>
        <v>FIP Engineering</v>
      </c>
      <c r="M2504" s="6" t="str">
        <f>IFERROR(__xludf.DUMMYFUNCTION("""COMPUTED_VALUE"""),"Mochammad Fadhillah Hakim")</f>
        <v>Mochammad Fadhillah Hakim</v>
      </c>
      <c r="N2504" s="6" t="str">
        <f>IFERROR(__xludf.DUMMYFUNCTION("""COMPUTED_VALUE"""),"FIP Engineering")</f>
        <v>FIP Engineering</v>
      </c>
      <c r="O2504" s="6" t="str">
        <f>IFERROR(__xludf.DUMMYFUNCTION("""COMPUTED_VALUE"""),"FIP-DOM-000-11304-OS00001-INA-000000")</f>
        <v>FIP-DOM-000-11304-OS00001-INA-000000</v>
      </c>
      <c r="P2504" s="6" t="str">
        <f>IFERROR(__xludf.DUMMYFUNCTION("""COMPUTED_VALUE"""),"PO Closed")</f>
        <v>PO Closed</v>
      </c>
      <c r="Q2504" s="6" t="str">
        <f>IFERROR(__xludf.DUMMYFUNCTION("""COMPUTED_VALUE"""),"GL2308344")</f>
        <v>GL2308344</v>
      </c>
      <c r="R2504" s="57">
        <f>IFERROR(__xludf.DUMMYFUNCTION("""COMPUTED_VALUE"""),45139.0)</f>
        <v>45139</v>
      </c>
      <c r="S2504" s="57">
        <f>IFERROR(__xludf.DUMMYFUNCTION("""COMPUTED_VALUE"""),45140.0)</f>
        <v>45140</v>
      </c>
      <c r="T2504" s="57">
        <f>IFERROR(__xludf.DUMMYFUNCTION("""COMPUTED_VALUE"""),45184.0)</f>
        <v>45184</v>
      </c>
    </row>
    <row r="2505">
      <c r="A2505" s="6" t="str">
        <f>IFERROR(__xludf.DUMMYFUNCTION("""COMPUTED_VALUE"""),"231750511-6")</f>
        <v>231750511-6</v>
      </c>
      <c r="B2505" s="6" t="str">
        <f>IFERROR(__xludf.DUMMYFUNCTION("""COMPUTED_VALUE"""),"231750511 - Approved")</f>
        <v>231750511 - Approved</v>
      </c>
      <c r="C2505" s="6">
        <f>IFERROR(__xludf.DUMMYFUNCTION("""COMPUTED_VALUE"""),6.0)</f>
        <v>6</v>
      </c>
      <c r="D2505" s="6" t="str">
        <f>IFERROR(__xludf.DUMMYFUNCTION("""COMPUTED_VALUE"""),"P-12276-00")</f>
        <v>P-12276-00</v>
      </c>
      <c r="E2505" s="6" t="str">
        <f>IFERROR(__xludf.DUMMYFUNCTION("""COMPUTED_VALUE"""),"FESTO - QS-1/4-8 Push-In fitting p/n 153005")</f>
        <v>FESTO - QS-1/4-8 Push-In fitting p/n 153005</v>
      </c>
      <c r="F2505" s="6">
        <f>IFERROR(__xludf.DUMMYFUNCTION("""COMPUTED_VALUE"""),5.0)</f>
        <v>5</v>
      </c>
      <c r="G2505" s="6" t="str">
        <f>IFERROR(__xludf.DUMMYFUNCTION("""COMPUTED_VALUE"""),"Pieces")</f>
        <v>Pieces</v>
      </c>
      <c r="H2505" s="6" t="str">
        <f>IFERROR(__xludf.DUMMYFUNCTION("""COMPUTED_VALUE"""),"IDR")</f>
        <v>IDR</v>
      </c>
      <c r="I2505" s="11">
        <f>IFERROR(__xludf.DUMMYFUNCTION("""COMPUTED_VALUE"""),100000.0)</f>
        <v>100000</v>
      </c>
      <c r="J2505" s="11">
        <f>IFERROR(__xludf.DUMMYFUNCTION("""COMPUTED_VALUE"""),500000.0)</f>
        <v>500000</v>
      </c>
      <c r="K2505" s="57">
        <f>IFERROR(__xludf.DUMMYFUNCTION("""COMPUTED_VALUE"""),45153.0)</f>
        <v>45153</v>
      </c>
      <c r="L2505" s="6" t="str">
        <f>IFERROR(__xludf.DUMMYFUNCTION("""COMPUTED_VALUE"""),"FIP Engineering")</f>
        <v>FIP Engineering</v>
      </c>
      <c r="M2505" s="6" t="str">
        <f>IFERROR(__xludf.DUMMYFUNCTION("""COMPUTED_VALUE"""),"Mochammad Fadhillah Hakim")</f>
        <v>Mochammad Fadhillah Hakim</v>
      </c>
      <c r="N2505" s="6" t="str">
        <f>IFERROR(__xludf.DUMMYFUNCTION("""COMPUTED_VALUE"""),"FIP Engineering")</f>
        <v>FIP Engineering</v>
      </c>
      <c r="O2505" s="6" t="str">
        <f>IFERROR(__xludf.DUMMYFUNCTION("""COMPUTED_VALUE"""),"FIP-DOM-000-11304-OS00001-INA-000000")</f>
        <v>FIP-DOM-000-11304-OS00001-INA-000000</v>
      </c>
      <c r="P2505" s="6" t="str">
        <f>IFERROR(__xludf.DUMMYFUNCTION("""COMPUTED_VALUE"""),"PO Closed")</f>
        <v>PO Closed</v>
      </c>
      <c r="Q2505" s="6" t="str">
        <f>IFERROR(__xludf.DUMMYFUNCTION("""COMPUTED_VALUE"""),"GL2308344")</f>
        <v>GL2308344</v>
      </c>
      <c r="R2505" s="57">
        <f>IFERROR(__xludf.DUMMYFUNCTION("""COMPUTED_VALUE"""),45139.0)</f>
        <v>45139</v>
      </c>
      <c r="S2505" s="57">
        <f>IFERROR(__xludf.DUMMYFUNCTION("""COMPUTED_VALUE"""),45140.0)</f>
        <v>45140</v>
      </c>
      <c r="T2505" s="57">
        <f>IFERROR(__xludf.DUMMYFUNCTION("""COMPUTED_VALUE"""),45184.0)</f>
        <v>45184</v>
      </c>
    </row>
    <row r="2506">
      <c r="A2506" s="6" t="str">
        <f>IFERROR(__xludf.DUMMYFUNCTION("""COMPUTED_VALUE"""),"231750511-7")</f>
        <v>231750511-7</v>
      </c>
      <c r="B2506" s="6" t="str">
        <f>IFERROR(__xludf.DUMMYFUNCTION("""COMPUTED_VALUE"""),"231750511 - Approved")</f>
        <v>231750511 - Approved</v>
      </c>
      <c r="C2506" s="6">
        <f>IFERROR(__xludf.DUMMYFUNCTION("""COMPUTED_VALUE"""),7.0)</f>
        <v>7</v>
      </c>
      <c r="D2506" s="6" t="str">
        <f>IFERROR(__xludf.DUMMYFUNCTION("""COMPUTED_VALUE"""),"P-12275-00")</f>
        <v>P-12275-00</v>
      </c>
      <c r="E2506" s="6" t="str">
        <f>IFERROR(__xludf.DUMMYFUNCTION("""COMPUTED_VALUE"""),"FESTO - QS-1/4-6 Push-In fitting p/n 153003")</f>
        <v>FESTO - QS-1/4-6 Push-In fitting p/n 153003</v>
      </c>
      <c r="F2506" s="6">
        <f>IFERROR(__xludf.DUMMYFUNCTION("""COMPUTED_VALUE"""),8.0)</f>
        <v>8</v>
      </c>
      <c r="G2506" s="6" t="str">
        <f>IFERROR(__xludf.DUMMYFUNCTION("""COMPUTED_VALUE"""),"Pieces")</f>
        <v>Pieces</v>
      </c>
      <c r="H2506" s="6" t="str">
        <f>IFERROR(__xludf.DUMMYFUNCTION("""COMPUTED_VALUE"""),"IDR")</f>
        <v>IDR</v>
      </c>
      <c r="I2506" s="11">
        <f>IFERROR(__xludf.DUMMYFUNCTION("""COMPUTED_VALUE"""),100000.0)</f>
        <v>100000</v>
      </c>
      <c r="J2506" s="11">
        <f>IFERROR(__xludf.DUMMYFUNCTION("""COMPUTED_VALUE"""),800000.0)</f>
        <v>800000</v>
      </c>
      <c r="K2506" s="57">
        <f>IFERROR(__xludf.DUMMYFUNCTION("""COMPUTED_VALUE"""),45153.0)</f>
        <v>45153</v>
      </c>
      <c r="L2506" s="6" t="str">
        <f>IFERROR(__xludf.DUMMYFUNCTION("""COMPUTED_VALUE"""),"FIP Engineering")</f>
        <v>FIP Engineering</v>
      </c>
      <c r="M2506" s="6" t="str">
        <f>IFERROR(__xludf.DUMMYFUNCTION("""COMPUTED_VALUE"""),"Mochammad Fadhillah Hakim")</f>
        <v>Mochammad Fadhillah Hakim</v>
      </c>
      <c r="N2506" s="6" t="str">
        <f>IFERROR(__xludf.DUMMYFUNCTION("""COMPUTED_VALUE"""),"FIP Engineering")</f>
        <v>FIP Engineering</v>
      </c>
      <c r="O2506" s="6" t="str">
        <f>IFERROR(__xludf.DUMMYFUNCTION("""COMPUTED_VALUE"""),"FIP-DOM-000-11304-OS00001-INA-000000")</f>
        <v>FIP-DOM-000-11304-OS00001-INA-000000</v>
      </c>
      <c r="P2506" s="6" t="str">
        <f>IFERROR(__xludf.DUMMYFUNCTION("""COMPUTED_VALUE"""),"PO Closed")</f>
        <v>PO Closed</v>
      </c>
      <c r="Q2506" s="6" t="str">
        <f>IFERROR(__xludf.DUMMYFUNCTION("""COMPUTED_VALUE"""),"GL2308344")</f>
        <v>GL2308344</v>
      </c>
      <c r="R2506" s="57">
        <f>IFERROR(__xludf.DUMMYFUNCTION("""COMPUTED_VALUE"""),45139.0)</f>
        <v>45139</v>
      </c>
      <c r="S2506" s="57">
        <f>IFERROR(__xludf.DUMMYFUNCTION("""COMPUTED_VALUE"""),45140.0)</f>
        <v>45140</v>
      </c>
      <c r="T2506" s="57">
        <f>IFERROR(__xludf.DUMMYFUNCTION("""COMPUTED_VALUE"""),45184.0)</f>
        <v>45184</v>
      </c>
    </row>
    <row r="2507">
      <c r="A2507" s="6" t="str">
        <f>IFERROR(__xludf.DUMMYFUNCTION("""COMPUTED_VALUE"""),"231750511-8")</f>
        <v>231750511-8</v>
      </c>
      <c r="B2507" s="6" t="str">
        <f>IFERROR(__xludf.DUMMYFUNCTION("""COMPUTED_VALUE"""),"231750511 - Approved")</f>
        <v>231750511 - Approved</v>
      </c>
      <c r="C2507" s="6">
        <f>IFERROR(__xludf.DUMMYFUNCTION("""COMPUTED_VALUE"""),8.0)</f>
        <v>8</v>
      </c>
      <c r="D2507" s="6" t="str">
        <f>IFERROR(__xludf.DUMMYFUNCTION("""COMPUTED_VALUE"""),"P-12265-00")</f>
        <v>P-12265-00</v>
      </c>
      <c r="E2507" s="6" t="str">
        <f>IFERROR(__xludf.DUMMYFUNCTION("""COMPUTED_VALUE"""),"FESTO - Push In Connector QS-8-6 p/n 153038")</f>
        <v>FESTO - Push In Connector QS-8-6 p/n 153038</v>
      </c>
      <c r="F2507" s="6">
        <f>IFERROR(__xludf.DUMMYFUNCTION("""COMPUTED_VALUE"""),5.0)</f>
        <v>5</v>
      </c>
      <c r="G2507" s="6" t="str">
        <f>IFERROR(__xludf.DUMMYFUNCTION("""COMPUTED_VALUE"""),"Pieces")</f>
        <v>Pieces</v>
      </c>
      <c r="H2507" s="6" t="str">
        <f>IFERROR(__xludf.DUMMYFUNCTION("""COMPUTED_VALUE"""),"IDR")</f>
        <v>IDR</v>
      </c>
      <c r="I2507" s="11">
        <f>IFERROR(__xludf.DUMMYFUNCTION("""COMPUTED_VALUE"""),100000.0)</f>
        <v>100000</v>
      </c>
      <c r="J2507" s="11">
        <f>IFERROR(__xludf.DUMMYFUNCTION("""COMPUTED_VALUE"""),500000.0)</f>
        <v>500000</v>
      </c>
      <c r="K2507" s="57">
        <f>IFERROR(__xludf.DUMMYFUNCTION("""COMPUTED_VALUE"""),45153.0)</f>
        <v>45153</v>
      </c>
      <c r="L2507" s="6" t="str">
        <f>IFERROR(__xludf.DUMMYFUNCTION("""COMPUTED_VALUE"""),"FIP Engineering")</f>
        <v>FIP Engineering</v>
      </c>
      <c r="M2507" s="6" t="str">
        <f>IFERROR(__xludf.DUMMYFUNCTION("""COMPUTED_VALUE"""),"Mochammad Fadhillah Hakim")</f>
        <v>Mochammad Fadhillah Hakim</v>
      </c>
      <c r="N2507" s="6" t="str">
        <f>IFERROR(__xludf.DUMMYFUNCTION("""COMPUTED_VALUE"""),"FIP Engineering")</f>
        <v>FIP Engineering</v>
      </c>
      <c r="O2507" s="6" t="str">
        <f>IFERROR(__xludf.DUMMYFUNCTION("""COMPUTED_VALUE"""),"FIP-DOM-000-11304-OS00001-INA-000000")</f>
        <v>FIP-DOM-000-11304-OS00001-INA-000000</v>
      </c>
      <c r="P2507" s="6" t="str">
        <f>IFERROR(__xludf.DUMMYFUNCTION("""COMPUTED_VALUE"""),"PO Closed")</f>
        <v>PO Closed</v>
      </c>
      <c r="Q2507" s="6" t="str">
        <f>IFERROR(__xludf.DUMMYFUNCTION("""COMPUTED_VALUE"""),"GL2308344")</f>
        <v>GL2308344</v>
      </c>
      <c r="R2507" s="57">
        <f>IFERROR(__xludf.DUMMYFUNCTION("""COMPUTED_VALUE"""),45139.0)</f>
        <v>45139</v>
      </c>
      <c r="S2507" s="57">
        <f>IFERROR(__xludf.DUMMYFUNCTION("""COMPUTED_VALUE"""),45140.0)</f>
        <v>45140</v>
      </c>
      <c r="T2507" s="57">
        <f>IFERROR(__xludf.DUMMYFUNCTION("""COMPUTED_VALUE"""),45184.0)</f>
        <v>45184</v>
      </c>
    </row>
    <row r="2508">
      <c r="A2508" s="6" t="str">
        <f>IFERROR(__xludf.DUMMYFUNCTION("""COMPUTED_VALUE"""),"231750511-9")</f>
        <v>231750511-9</v>
      </c>
      <c r="B2508" s="6" t="str">
        <f>IFERROR(__xludf.DUMMYFUNCTION("""COMPUTED_VALUE"""),"231750511 - Approved")</f>
        <v>231750511 - Approved</v>
      </c>
      <c r="C2508" s="6">
        <f>IFERROR(__xludf.DUMMYFUNCTION("""COMPUTED_VALUE"""),9.0)</f>
        <v>9</v>
      </c>
      <c r="D2508" s="6" t="str">
        <f>IFERROR(__xludf.DUMMYFUNCTION("""COMPUTED_VALUE"""),"P-12263-00")</f>
        <v>P-12263-00</v>
      </c>
      <c r="E2508" s="6" t="str">
        <f>IFERROR(__xludf.DUMMYFUNCTION("""COMPUTED_VALUE"""),"FESTO - Push In Connector QS-8 p/n 153033")</f>
        <v>FESTO - Push In Connector QS-8 p/n 153033</v>
      </c>
      <c r="F2508" s="6">
        <f>IFERROR(__xludf.DUMMYFUNCTION("""COMPUTED_VALUE"""),5.0)</f>
        <v>5</v>
      </c>
      <c r="G2508" s="6" t="str">
        <f>IFERROR(__xludf.DUMMYFUNCTION("""COMPUTED_VALUE"""),"Pieces")</f>
        <v>Pieces</v>
      </c>
      <c r="H2508" s="6" t="str">
        <f>IFERROR(__xludf.DUMMYFUNCTION("""COMPUTED_VALUE"""),"IDR")</f>
        <v>IDR</v>
      </c>
      <c r="I2508" s="11">
        <f>IFERROR(__xludf.DUMMYFUNCTION("""COMPUTED_VALUE"""),100000.0)</f>
        <v>100000</v>
      </c>
      <c r="J2508" s="11">
        <f>IFERROR(__xludf.DUMMYFUNCTION("""COMPUTED_VALUE"""),500000.0)</f>
        <v>500000</v>
      </c>
      <c r="K2508" s="57">
        <f>IFERROR(__xludf.DUMMYFUNCTION("""COMPUTED_VALUE"""),45153.0)</f>
        <v>45153</v>
      </c>
      <c r="L2508" s="6" t="str">
        <f>IFERROR(__xludf.DUMMYFUNCTION("""COMPUTED_VALUE"""),"FIP Engineering")</f>
        <v>FIP Engineering</v>
      </c>
      <c r="M2508" s="6" t="str">
        <f>IFERROR(__xludf.DUMMYFUNCTION("""COMPUTED_VALUE"""),"Mochammad Fadhillah Hakim")</f>
        <v>Mochammad Fadhillah Hakim</v>
      </c>
      <c r="N2508" s="6" t="str">
        <f>IFERROR(__xludf.DUMMYFUNCTION("""COMPUTED_VALUE"""),"FIP Engineering")</f>
        <v>FIP Engineering</v>
      </c>
      <c r="O2508" s="6" t="str">
        <f>IFERROR(__xludf.DUMMYFUNCTION("""COMPUTED_VALUE"""),"FIP-DOM-000-11304-OS00001-INA-000000")</f>
        <v>FIP-DOM-000-11304-OS00001-INA-000000</v>
      </c>
      <c r="P2508" s="6" t="str">
        <f>IFERROR(__xludf.DUMMYFUNCTION("""COMPUTED_VALUE"""),"PO Closed")</f>
        <v>PO Closed</v>
      </c>
      <c r="Q2508" s="6" t="str">
        <f>IFERROR(__xludf.DUMMYFUNCTION("""COMPUTED_VALUE"""),"GL2308344")</f>
        <v>GL2308344</v>
      </c>
      <c r="R2508" s="57">
        <f>IFERROR(__xludf.DUMMYFUNCTION("""COMPUTED_VALUE"""),45139.0)</f>
        <v>45139</v>
      </c>
      <c r="S2508" s="57">
        <f>IFERROR(__xludf.DUMMYFUNCTION("""COMPUTED_VALUE"""),45140.0)</f>
        <v>45140</v>
      </c>
      <c r="T2508" s="57">
        <f>IFERROR(__xludf.DUMMYFUNCTION("""COMPUTED_VALUE"""),45184.0)</f>
        <v>45184</v>
      </c>
    </row>
    <row r="2509">
      <c r="A2509" s="6" t="str">
        <f>IFERROR(__xludf.DUMMYFUNCTION("""COMPUTED_VALUE"""),"231750511-10")</f>
        <v>231750511-10</v>
      </c>
      <c r="B2509" s="6" t="str">
        <f>IFERROR(__xludf.DUMMYFUNCTION("""COMPUTED_VALUE"""),"231750511 - Approved")</f>
        <v>231750511 - Approved</v>
      </c>
      <c r="C2509" s="6">
        <f>IFERROR(__xludf.DUMMYFUNCTION("""COMPUTED_VALUE"""),10.0)</f>
        <v>10</v>
      </c>
      <c r="D2509" s="6" t="str">
        <f>IFERROR(__xludf.DUMMYFUNCTION("""COMPUTED_VALUE"""),"P-12261-00")</f>
        <v>P-12261-00</v>
      </c>
      <c r="E2509" s="6" t="str">
        <f>IFERROR(__xludf.DUMMYFUNCTION("""COMPUTED_VALUE"""),"FESTO - Push In Connector QS-6 p/n 153032")</f>
        <v>FESTO - Push In Connector QS-6 p/n 153032</v>
      </c>
      <c r="F2509" s="6">
        <f>IFERROR(__xludf.DUMMYFUNCTION("""COMPUTED_VALUE"""),5.0)</f>
        <v>5</v>
      </c>
      <c r="G2509" s="6" t="str">
        <f>IFERROR(__xludf.DUMMYFUNCTION("""COMPUTED_VALUE"""),"Pieces")</f>
        <v>Pieces</v>
      </c>
      <c r="H2509" s="6" t="str">
        <f>IFERROR(__xludf.DUMMYFUNCTION("""COMPUTED_VALUE"""),"IDR")</f>
        <v>IDR</v>
      </c>
      <c r="I2509" s="11">
        <f>IFERROR(__xludf.DUMMYFUNCTION("""COMPUTED_VALUE"""),100000.0)</f>
        <v>100000</v>
      </c>
      <c r="J2509" s="11">
        <f>IFERROR(__xludf.DUMMYFUNCTION("""COMPUTED_VALUE"""),500000.0)</f>
        <v>500000</v>
      </c>
      <c r="K2509" s="57">
        <f>IFERROR(__xludf.DUMMYFUNCTION("""COMPUTED_VALUE"""),45153.0)</f>
        <v>45153</v>
      </c>
      <c r="L2509" s="6" t="str">
        <f>IFERROR(__xludf.DUMMYFUNCTION("""COMPUTED_VALUE"""),"FIP Engineering")</f>
        <v>FIP Engineering</v>
      </c>
      <c r="M2509" s="6" t="str">
        <f>IFERROR(__xludf.DUMMYFUNCTION("""COMPUTED_VALUE"""),"Mochammad Fadhillah Hakim")</f>
        <v>Mochammad Fadhillah Hakim</v>
      </c>
      <c r="N2509" s="6" t="str">
        <f>IFERROR(__xludf.DUMMYFUNCTION("""COMPUTED_VALUE"""),"FIP Engineering")</f>
        <v>FIP Engineering</v>
      </c>
      <c r="O2509" s="6" t="str">
        <f>IFERROR(__xludf.DUMMYFUNCTION("""COMPUTED_VALUE"""),"FIP-DOM-000-11304-OS00001-INA-000000")</f>
        <v>FIP-DOM-000-11304-OS00001-INA-000000</v>
      </c>
      <c r="P2509" s="6" t="str">
        <f>IFERROR(__xludf.DUMMYFUNCTION("""COMPUTED_VALUE"""),"PO Closed")</f>
        <v>PO Closed</v>
      </c>
      <c r="Q2509" s="6" t="str">
        <f>IFERROR(__xludf.DUMMYFUNCTION("""COMPUTED_VALUE"""),"GL2308344")</f>
        <v>GL2308344</v>
      </c>
      <c r="R2509" s="57">
        <f>IFERROR(__xludf.DUMMYFUNCTION("""COMPUTED_VALUE"""),45139.0)</f>
        <v>45139</v>
      </c>
      <c r="S2509" s="57">
        <f>IFERROR(__xludf.DUMMYFUNCTION("""COMPUTED_VALUE"""),45140.0)</f>
        <v>45140</v>
      </c>
      <c r="T2509" s="57">
        <f>IFERROR(__xludf.DUMMYFUNCTION("""COMPUTED_VALUE"""),45184.0)</f>
        <v>45184</v>
      </c>
    </row>
    <row r="2510">
      <c r="A2510" s="6" t="str">
        <f>IFERROR(__xludf.DUMMYFUNCTION("""COMPUTED_VALUE"""),"231750513-1")</f>
        <v>231750513-1</v>
      </c>
      <c r="B2510" s="6" t="str">
        <f>IFERROR(__xludf.DUMMYFUNCTION("""COMPUTED_VALUE"""),"231750513 - Approved")</f>
        <v>231750513 - Approved</v>
      </c>
      <c r="C2510" s="6">
        <f>IFERROR(__xludf.DUMMYFUNCTION("""COMPUTED_VALUE"""),1.0)</f>
        <v>1</v>
      </c>
      <c r="D2510" s="6" t="str">
        <f>IFERROR(__xludf.DUMMYFUNCTION("""COMPUTED_VALUE"""),"P-17347-00")</f>
        <v>P-17347-00</v>
      </c>
      <c r="E2510" s="6" t="str">
        <f>IFERROR(__xludf.DUMMYFUNCTION("""COMPUTED_VALUE"""),"Pre Filter G4 2m x 20m x 2mm; ; ;")</f>
        <v>Pre Filter G4 2m x 20m x 2mm; ; ;</v>
      </c>
      <c r="F2510" s="6">
        <f>IFERROR(__xludf.DUMMYFUNCTION("""COMPUTED_VALUE"""),1.0)</f>
        <v>1</v>
      </c>
      <c r="G2510" s="6" t="str">
        <f>IFERROR(__xludf.DUMMYFUNCTION("""COMPUTED_VALUE"""),"Pieces")</f>
        <v>Pieces</v>
      </c>
      <c r="H2510" s="6" t="str">
        <f>IFERROR(__xludf.DUMMYFUNCTION("""COMPUTED_VALUE"""),"IDR")</f>
        <v>IDR</v>
      </c>
      <c r="I2510" s="11">
        <f>IFERROR(__xludf.DUMMYFUNCTION("""COMPUTED_VALUE"""),2145000.0)</f>
        <v>2145000</v>
      </c>
      <c r="J2510" s="11">
        <f>IFERROR(__xludf.DUMMYFUNCTION("""COMPUTED_VALUE"""),2145000.0)</f>
        <v>2145000</v>
      </c>
      <c r="K2510" s="57">
        <f>IFERROR(__xludf.DUMMYFUNCTION("""COMPUTED_VALUE"""),45154.0)</f>
        <v>45154</v>
      </c>
      <c r="L2510" s="6" t="str">
        <f>IFERROR(__xludf.DUMMYFUNCTION("""COMPUTED_VALUE"""),"FIP Engineering")</f>
        <v>FIP Engineering</v>
      </c>
      <c r="M2510" s="6" t="str">
        <f>IFERROR(__xludf.DUMMYFUNCTION("""COMPUTED_VALUE"""),"Mochammad Fadhillah Hakim")</f>
        <v>Mochammad Fadhillah Hakim</v>
      </c>
      <c r="N2510" s="6" t="str">
        <f>IFERROR(__xludf.DUMMYFUNCTION("""COMPUTED_VALUE"""),"FIP Engineering")</f>
        <v>FIP Engineering</v>
      </c>
      <c r="O2510" s="6" t="str">
        <f>IFERROR(__xludf.DUMMYFUNCTION("""COMPUTED_VALUE"""),"FIP-DOM-000-11304-OS00001-INA-000000")</f>
        <v>FIP-DOM-000-11304-OS00001-INA-000000</v>
      </c>
      <c r="P2510" s="6" t="str">
        <f>IFERROR(__xludf.DUMMYFUNCTION("""COMPUTED_VALUE"""),"PO Closed")</f>
        <v>PO Closed</v>
      </c>
      <c r="Q2510" s="6" t="str">
        <f>IFERROR(__xludf.DUMMYFUNCTION("""COMPUTED_VALUE"""),"GL2309048")</f>
        <v>GL2309048</v>
      </c>
      <c r="R2510" s="57">
        <f>IFERROR(__xludf.DUMMYFUNCTION("""COMPUTED_VALUE"""),45140.0)</f>
        <v>45140</v>
      </c>
      <c r="S2510" s="57">
        <f>IFERROR(__xludf.DUMMYFUNCTION("""COMPUTED_VALUE"""),45140.0)</f>
        <v>45140</v>
      </c>
      <c r="T2510" s="57">
        <f>IFERROR(__xludf.DUMMYFUNCTION("""COMPUTED_VALUE"""),45255.0)</f>
        <v>45255</v>
      </c>
    </row>
    <row r="2511">
      <c r="A2511" s="6" t="str">
        <f>IFERROR(__xludf.DUMMYFUNCTION("""COMPUTED_VALUE"""),"231750519-1")</f>
        <v>231750519-1</v>
      </c>
      <c r="B2511" s="6" t="str">
        <f>IFERROR(__xludf.DUMMYFUNCTION("""COMPUTED_VALUE"""),"231750519 - Approved")</f>
        <v>231750519 - Approved</v>
      </c>
      <c r="C2511" s="6">
        <f>IFERROR(__xludf.DUMMYFUNCTION("""COMPUTED_VALUE"""),1.0)</f>
        <v>1</v>
      </c>
      <c r="D2511" s="6" t="str">
        <f>IFERROR(__xludf.DUMMYFUNCTION("""COMPUTED_VALUE"""),"O-19255-00")</f>
        <v>O-19255-00</v>
      </c>
      <c r="E2511" s="6" t="str">
        <f>IFERROR(__xludf.DUMMYFUNCTION("""COMPUTED_VALUE"""),"Spring Tekan SS304 ID 10mm, OD 16mm, Tebal 3mm, Panjang 71.35mm; ; ;")</f>
        <v>Spring Tekan SS304 ID 10mm, OD 16mm, Tebal 3mm, Panjang 71.35mm; ; ;</v>
      </c>
      <c r="F2511" s="6">
        <f>IFERROR(__xludf.DUMMYFUNCTION("""COMPUTED_VALUE"""),10.0)</f>
        <v>10</v>
      </c>
      <c r="G2511" s="6" t="str">
        <f>IFERROR(__xludf.DUMMYFUNCTION("""COMPUTED_VALUE"""),"Pieces")</f>
        <v>Pieces</v>
      </c>
      <c r="H2511" s="6" t="str">
        <f>IFERROR(__xludf.DUMMYFUNCTION("""COMPUTED_VALUE"""),"IDR")</f>
        <v>IDR</v>
      </c>
      <c r="I2511" s="11">
        <f>IFERROR(__xludf.DUMMYFUNCTION("""COMPUTED_VALUE"""),35200.0)</f>
        <v>35200</v>
      </c>
      <c r="J2511" s="11">
        <f>IFERROR(__xludf.DUMMYFUNCTION("""COMPUTED_VALUE"""),352000.0)</f>
        <v>352000</v>
      </c>
      <c r="K2511" s="57">
        <f>IFERROR(__xludf.DUMMYFUNCTION("""COMPUTED_VALUE"""),45155.0)</f>
        <v>45155</v>
      </c>
      <c r="L2511" s="6" t="str">
        <f>IFERROR(__xludf.DUMMYFUNCTION("""COMPUTED_VALUE"""),"FIP Engineering")</f>
        <v>FIP Engineering</v>
      </c>
      <c r="M2511" s="6" t="str">
        <f>IFERROR(__xludf.DUMMYFUNCTION("""COMPUTED_VALUE"""),"Mochammad Fadhillah Hakim")</f>
        <v>Mochammad Fadhillah Hakim</v>
      </c>
      <c r="N2511" s="6" t="str">
        <f>IFERROR(__xludf.DUMMYFUNCTION("""COMPUTED_VALUE"""),"FIP Engineering")</f>
        <v>FIP Engineering</v>
      </c>
      <c r="O2511" s="6" t="str">
        <f>IFERROR(__xludf.DUMMYFUNCTION("""COMPUTED_VALUE"""),"FIP-DOM-000-11304-OS00001-INA-000000")</f>
        <v>FIP-DOM-000-11304-OS00001-INA-000000</v>
      </c>
      <c r="P2511" s="6" t="str">
        <f>IFERROR(__xludf.DUMMYFUNCTION("""COMPUTED_VALUE"""),"PO Closed")</f>
        <v>PO Closed</v>
      </c>
      <c r="Q2511" s="6" t="str">
        <f>IFERROR(__xludf.DUMMYFUNCTION("""COMPUTED_VALUE"""),"GL2308044")</f>
        <v>GL2308044</v>
      </c>
      <c r="R2511" s="57">
        <f>IFERROR(__xludf.DUMMYFUNCTION("""COMPUTED_VALUE"""),45141.0)</f>
        <v>45141</v>
      </c>
      <c r="S2511" s="57">
        <f>IFERROR(__xludf.DUMMYFUNCTION("""COMPUTED_VALUE"""),45142.0)</f>
        <v>45142</v>
      </c>
      <c r="T2511" s="57">
        <f>IFERROR(__xludf.DUMMYFUNCTION("""COMPUTED_VALUE"""),45247.0)</f>
        <v>45247</v>
      </c>
    </row>
    <row r="2512">
      <c r="A2512" s="6" t="str">
        <f>IFERROR(__xludf.DUMMYFUNCTION("""COMPUTED_VALUE"""),"231750519-2")</f>
        <v>231750519-2</v>
      </c>
      <c r="B2512" s="6" t="str">
        <f>IFERROR(__xludf.DUMMYFUNCTION("""COMPUTED_VALUE"""),"231750519 - Approved")</f>
        <v>231750519 - Approved</v>
      </c>
      <c r="C2512" s="6">
        <f>IFERROR(__xludf.DUMMYFUNCTION("""COMPUTED_VALUE"""),2.0)</f>
        <v>2</v>
      </c>
      <c r="D2512" s="6" t="str">
        <f>IFERROR(__xludf.DUMMYFUNCTION("""COMPUTED_VALUE"""),"P-18788-00")</f>
        <v>P-18788-00</v>
      </c>
      <c r="E2512" s="6" t="str">
        <f>IFERROR(__xludf.DUMMYFUNCTION("""COMPUTED_VALUE"""),"Baut SS Hexagon SS M6x55mm + Mur; ; ;")</f>
        <v>Baut SS Hexagon SS M6x55mm + Mur; ; ;</v>
      </c>
      <c r="F2512" s="6">
        <f>IFERROR(__xludf.DUMMYFUNCTION("""COMPUTED_VALUE"""),40.0)</f>
        <v>40</v>
      </c>
      <c r="G2512" s="6" t="str">
        <f>IFERROR(__xludf.DUMMYFUNCTION("""COMPUTED_VALUE"""),"Pieces")</f>
        <v>Pieces</v>
      </c>
      <c r="H2512" s="6" t="str">
        <f>IFERROR(__xludf.DUMMYFUNCTION("""COMPUTED_VALUE"""),"IDR")</f>
        <v>IDR</v>
      </c>
      <c r="I2512" s="11">
        <f>IFERROR(__xludf.DUMMYFUNCTION("""COMPUTED_VALUE"""),3400.0)</f>
        <v>3400</v>
      </c>
      <c r="J2512" s="11">
        <f>IFERROR(__xludf.DUMMYFUNCTION("""COMPUTED_VALUE"""),136000.0)</f>
        <v>136000</v>
      </c>
      <c r="K2512" s="57">
        <f>IFERROR(__xludf.DUMMYFUNCTION("""COMPUTED_VALUE"""),45155.0)</f>
        <v>45155</v>
      </c>
      <c r="L2512" s="6" t="str">
        <f>IFERROR(__xludf.DUMMYFUNCTION("""COMPUTED_VALUE"""),"FIP Engineering")</f>
        <v>FIP Engineering</v>
      </c>
      <c r="M2512" s="6" t="str">
        <f>IFERROR(__xludf.DUMMYFUNCTION("""COMPUTED_VALUE"""),"Mochammad Fadhillah Hakim")</f>
        <v>Mochammad Fadhillah Hakim</v>
      </c>
      <c r="N2512" s="6" t="str">
        <f>IFERROR(__xludf.DUMMYFUNCTION("""COMPUTED_VALUE"""),"FIP Engineering")</f>
        <v>FIP Engineering</v>
      </c>
      <c r="O2512" s="6" t="str">
        <f>IFERROR(__xludf.DUMMYFUNCTION("""COMPUTED_VALUE"""),"FIP-DOM-000-11304-OS00001-INA-000000")</f>
        <v>FIP-DOM-000-11304-OS00001-INA-000000</v>
      </c>
      <c r="P2512" s="6" t="str">
        <f>IFERROR(__xludf.DUMMYFUNCTION("""COMPUTED_VALUE"""),"PO Closed")</f>
        <v>PO Closed</v>
      </c>
      <c r="Q2512" s="6" t="str">
        <f>IFERROR(__xludf.DUMMYFUNCTION("""COMPUTED_VALUE"""),"GL2308044")</f>
        <v>GL2308044</v>
      </c>
      <c r="R2512" s="57">
        <f>IFERROR(__xludf.DUMMYFUNCTION("""COMPUTED_VALUE"""),45141.0)</f>
        <v>45141</v>
      </c>
      <c r="S2512" s="57">
        <f>IFERROR(__xludf.DUMMYFUNCTION("""COMPUTED_VALUE"""),45142.0)</f>
        <v>45142</v>
      </c>
      <c r="T2512" s="57">
        <f>IFERROR(__xludf.DUMMYFUNCTION("""COMPUTED_VALUE"""),45247.0)</f>
        <v>45247</v>
      </c>
    </row>
    <row r="2513">
      <c r="A2513" s="6" t="str">
        <f>IFERROR(__xludf.DUMMYFUNCTION("""COMPUTED_VALUE"""),"231750520-1")</f>
        <v>231750520-1</v>
      </c>
      <c r="B2513" s="6" t="str">
        <f>IFERROR(__xludf.DUMMYFUNCTION("""COMPUTED_VALUE"""),"231750520 - Approved")</f>
        <v>231750520 - Approved</v>
      </c>
      <c r="C2513" s="6">
        <f>IFERROR(__xludf.DUMMYFUNCTION("""COMPUTED_VALUE"""),1.0)</f>
        <v>1</v>
      </c>
      <c r="D2513" s="6" t="str">
        <f>IFERROR(__xludf.DUMMYFUNCTION("""COMPUTED_VALUE"""),"S-60002-00")</f>
        <v>S-60002-00</v>
      </c>
      <c r="E2513" s="6" t="str">
        <f>IFERROR(__xludf.DUMMYFUNCTION("""COMPUTED_VALUE"""),"Jasa Perbaikan dan Pemeliharaan Mesin Utility - Untuk perbaikan UPS")</f>
        <v>Jasa Perbaikan dan Pemeliharaan Mesin Utility - Untuk perbaikan UPS</v>
      </c>
      <c r="F2513" s="6">
        <f>IFERROR(__xludf.DUMMYFUNCTION("""COMPUTED_VALUE"""),1.0)</f>
        <v>1</v>
      </c>
      <c r="G2513" s="6" t="str">
        <f>IFERROR(__xludf.DUMMYFUNCTION("""COMPUTED_VALUE"""),"Lot")</f>
        <v>Lot</v>
      </c>
      <c r="H2513" s="6" t="str">
        <f>IFERROR(__xludf.DUMMYFUNCTION("""COMPUTED_VALUE"""),"IDR")</f>
        <v>IDR</v>
      </c>
      <c r="I2513" s="11">
        <f>IFERROR(__xludf.DUMMYFUNCTION("""COMPUTED_VALUE"""),8500000.0)</f>
        <v>8500000</v>
      </c>
      <c r="J2513" s="11">
        <f>IFERROR(__xludf.DUMMYFUNCTION("""COMPUTED_VALUE"""),8500000.0)</f>
        <v>8500000</v>
      </c>
      <c r="K2513" s="57">
        <f>IFERROR(__xludf.DUMMYFUNCTION("""COMPUTED_VALUE"""),45155.0)</f>
        <v>45155</v>
      </c>
      <c r="L2513" s="6" t="str">
        <f>IFERROR(__xludf.DUMMYFUNCTION("""COMPUTED_VALUE"""),"FIP General")</f>
        <v>FIP General</v>
      </c>
      <c r="M2513" s="6" t="str">
        <f>IFERROR(__xludf.DUMMYFUNCTION("""COMPUTED_VALUE"""),"Mochammad Fadhillah Hakim")</f>
        <v>Mochammad Fadhillah Hakim</v>
      </c>
      <c r="N2513" s="6" t="str">
        <f>IFERROR(__xludf.DUMMYFUNCTION("""COMPUTED_VALUE"""),"FIP Engineering")</f>
        <v>FIP Engineering</v>
      </c>
      <c r="O2513" s="6" t="str">
        <f>IFERROR(__xludf.DUMMYFUNCTION("""COMPUTED_VALUE"""),"FIP-DOM-ENG-51508-0000000-INA-000000")</f>
        <v>FIP-DOM-ENG-51508-0000000-INA-000000</v>
      </c>
      <c r="P2513" s="6" t="str">
        <f>IFERROR(__xludf.DUMMYFUNCTION("""COMPUTED_VALUE"""),"PO Closed")</f>
        <v>PO Closed</v>
      </c>
      <c r="Q2513" s="6" t="str">
        <f>IFERROR(__xludf.DUMMYFUNCTION("""COMPUTED_VALUE"""),"GL2309067")</f>
        <v>GL2309067</v>
      </c>
      <c r="R2513" s="57">
        <f>IFERROR(__xludf.DUMMYFUNCTION("""COMPUTED_VALUE"""),45141.0)</f>
        <v>45141</v>
      </c>
      <c r="S2513" s="57">
        <f>IFERROR(__xludf.DUMMYFUNCTION("""COMPUTED_VALUE"""),45142.0)</f>
        <v>45142</v>
      </c>
      <c r="T2513" s="57">
        <f>IFERROR(__xludf.DUMMYFUNCTION("""COMPUTED_VALUE"""),45260.0)</f>
        <v>45260</v>
      </c>
    </row>
    <row r="2514">
      <c r="A2514" s="6" t="str">
        <f>IFERROR(__xludf.DUMMYFUNCTION("""COMPUTED_VALUE"""),"231750521-1")</f>
        <v>231750521-1</v>
      </c>
      <c r="B2514" s="6" t="str">
        <f>IFERROR(__xludf.DUMMYFUNCTION("""COMPUTED_VALUE"""),"231750521 - Approved")</f>
        <v>231750521 - Approved</v>
      </c>
      <c r="C2514" s="6">
        <f>IFERROR(__xludf.DUMMYFUNCTION("""COMPUTED_VALUE"""),1.0)</f>
        <v>1</v>
      </c>
      <c r="D2514" s="6" t="str">
        <f>IFERROR(__xludf.DUMMYFUNCTION("""COMPUTED_VALUE"""),"O-19256-00")</f>
        <v>O-19256-00</v>
      </c>
      <c r="E2514" s="6" t="str">
        <f>IFERROR(__xludf.DUMMYFUNCTION("""COMPUTED_VALUE"""),"Grendel Pintu Sliding Stanless Steel; ; ;")</f>
        <v>Grendel Pintu Sliding Stanless Steel; ; ;</v>
      </c>
      <c r="F2514" s="6">
        <f>IFERROR(__xludf.DUMMYFUNCTION("""COMPUTED_VALUE"""),5.0)</f>
        <v>5</v>
      </c>
      <c r="G2514" s="6" t="str">
        <f>IFERROR(__xludf.DUMMYFUNCTION("""COMPUTED_VALUE"""),"Pieces")</f>
        <v>Pieces</v>
      </c>
      <c r="H2514" s="6" t="str">
        <f>IFERROR(__xludf.DUMMYFUNCTION("""COMPUTED_VALUE"""),"IDR")</f>
        <v>IDR</v>
      </c>
      <c r="I2514" s="11">
        <f>IFERROR(__xludf.DUMMYFUNCTION("""COMPUTED_VALUE"""),45000.0)</f>
        <v>45000</v>
      </c>
      <c r="J2514" s="11">
        <f>IFERROR(__xludf.DUMMYFUNCTION("""COMPUTED_VALUE"""),225000.0)</f>
        <v>225000</v>
      </c>
      <c r="K2514" s="57">
        <f>IFERROR(__xludf.DUMMYFUNCTION("""COMPUTED_VALUE"""),45155.0)</f>
        <v>45155</v>
      </c>
      <c r="L2514" s="6" t="str">
        <f>IFERROR(__xludf.DUMMYFUNCTION("""COMPUTED_VALUE"""),"FIP Engineering")</f>
        <v>FIP Engineering</v>
      </c>
      <c r="M2514" s="6" t="str">
        <f>IFERROR(__xludf.DUMMYFUNCTION("""COMPUTED_VALUE"""),"Mochammad Fadhillah Hakim")</f>
        <v>Mochammad Fadhillah Hakim</v>
      </c>
      <c r="N2514" s="6" t="str">
        <f>IFERROR(__xludf.DUMMYFUNCTION("""COMPUTED_VALUE"""),"FIP Engineering")</f>
        <v>FIP Engineering</v>
      </c>
      <c r="O2514" s="6" t="str">
        <f>IFERROR(__xludf.DUMMYFUNCTION("""COMPUTED_VALUE"""),"FIP-DOM-000-11304-OS00001-INA-000000")</f>
        <v>FIP-DOM-000-11304-OS00001-INA-000000</v>
      </c>
      <c r="P2514" s="6" t="str">
        <f>IFERROR(__xludf.DUMMYFUNCTION("""COMPUTED_VALUE"""),"PO Closed")</f>
        <v>PO Closed</v>
      </c>
      <c r="Q2514" s="6" t="str">
        <f>IFERROR(__xludf.DUMMYFUNCTION("""COMPUTED_VALUE"""),"GL2309007")</f>
        <v>GL2309007</v>
      </c>
      <c r="R2514" s="57">
        <f>IFERROR(__xludf.DUMMYFUNCTION("""COMPUTED_VALUE"""),45141.0)</f>
        <v>45141</v>
      </c>
      <c r="S2514" s="57">
        <f>IFERROR(__xludf.DUMMYFUNCTION("""COMPUTED_VALUE"""),45145.0)</f>
        <v>45145</v>
      </c>
      <c r="T2514" s="57">
        <f>IFERROR(__xludf.DUMMYFUNCTION("""COMPUTED_VALUE"""),45262.0)</f>
        <v>45262</v>
      </c>
    </row>
    <row r="2515">
      <c r="A2515" s="6" t="str">
        <f>IFERROR(__xludf.DUMMYFUNCTION("""COMPUTED_VALUE"""),"231750522-1")</f>
        <v>231750522-1</v>
      </c>
      <c r="B2515" s="6" t="str">
        <f>IFERROR(__xludf.DUMMYFUNCTION("""COMPUTED_VALUE"""),"231750522 - Approved")</f>
        <v>231750522 - Approved</v>
      </c>
      <c r="C2515" s="6">
        <f>IFERROR(__xludf.DUMMYFUNCTION("""COMPUTED_VALUE"""),1.0)</f>
        <v>1</v>
      </c>
      <c r="D2515" s="6" t="str">
        <f>IFERROR(__xludf.DUMMYFUNCTION("""COMPUTED_VALUE"""),"P-50140-00")</f>
        <v>P-50140-00</v>
      </c>
      <c r="E2515" s="6" t="str">
        <f>IFERROR(__xludf.DUMMYFUNCTION("""COMPUTED_VALUE"""),"Battery UPS")</f>
        <v>Battery UPS</v>
      </c>
      <c r="F2515" s="6">
        <f>IFERROR(__xludf.DUMMYFUNCTION("""COMPUTED_VALUE"""),20.0)</f>
        <v>20</v>
      </c>
      <c r="G2515" s="6" t="str">
        <f>IFERROR(__xludf.DUMMYFUNCTION("""COMPUTED_VALUE"""),"Pieces")</f>
        <v>Pieces</v>
      </c>
      <c r="H2515" s="6" t="str">
        <f>IFERROR(__xludf.DUMMYFUNCTION("""COMPUTED_VALUE"""),"IDR")</f>
        <v>IDR</v>
      </c>
      <c r="I2515" s="11">
        <f>IFERROR(__xludf.DUMMYFUNCTION("""COMPUTED_VALUE"""),100000.0)</f>
        <v>100000</v>
      </c>
      <c r="J2515" s="11">
        <f>IFERROR(__xludf.DUMMYFUNCTION("""COMPUTED_VALUE"""),2000000.0)</f>
        <v>2000000</v>
      </c>
      <c r="K2515" s="57">
        <f>IFERROR(__xludf.DUMMYFUNCTION("""COMPUTED_VALUE"""),45156.0)</f>
        <v>45156</v>
      </c>
      <c r="L2515" s="6" t="str">
        <f>IFERROR(__xludf.DUMMYFUNCTION("""COMPUTED_VALUE"""),"FIP Engineering")</f>
        <v>FIP Engineering</v>
      </c>
      <c r="M2515" s="6" t="str">
        <f>IFERROR(__xludf.DUMMYFUNCTION("""COMPUTED_VALUE"""),"Mochammad Fadhillah Hakim")</f>
        <v>Mochammad Fadhillah Hakim</v>
      </c>
      <c r="N2515" s="6" t="str">
        <f>IFERROR(__xludf.DUMMYFUNCTION("""COMPUTED_VALUE"""),"FIP Engineering")</f>
        <v>FIP Engineering</v>
      </c>
      <c r="O2515" s="6" t="str">
        <f>IFERROR(__xludf.DUMMYFUNCTION("""COMPUTED_VALUE"""),"FIP-DOM-000-11304-OS00001-INA-000000")</f>
        <v>FIP-DOM-000-11304-OS00001-INA-000000</v>
      </c>
      <c r="P2515" s="6" t="str">
        <f>IFERROR(__xludf.DUMMYFUNCTION("""COMPUTED_VALUE"""),"PO Closed")</f>
        <v>PO Closed</v>
      </c>
      <c r="Q2515" s="6" t="str">
        <f>IFERROR(__xludf.DUMMYFUNCTION("""COMPUTED_VALUE"""),"GL2308042")</f>
        <v>GL2308042</v>
      </c>
      <c r="R2515" s="57">
        <f>IFERROR(__xludf.DUMMYFUNCTION("""COMPUTED_VALUE"""),45142.0)</f>
        <v>45142</v>
      </c>
      <c r="S2515" s="57">
        <f>IFERROR(__xludf.DUMMYFUNCTION("""COMPUTED_VALUE"""),45145.0)</f>
        <v>45145</v>
      </c>
      <c r="T2515" s="57">
        <f>IFERROR(__xludf.DUMMYFUNCTION("""COMPUTED_VALUE"""),45184.0)</f>
        <v>45184</v>
      </c>
    </row>
    <row r="2516">
      <c r="A2516" s="6" t="str">
        <f>IFERROR(__xludf.DUMMYFUNCTION("""COMPUTED_VALUE"""),"231750523-1")</f>
        <v>231750523-1</v>
      </c>
      <c r="B2516" s="6" t="str">
        <f>IFERROR(__xludf.DUMMYFUNCTION("""COMPUTED_VALUE"""),"231750523 - Approved")</f>
        <v>231750523 - Approved</v>
      </c>
      <c r="C2516" s="6">
        <f>IFERROR(__xludf.DUMMYFUNCTION("""COMPUTED_VALUE"""),1.0)</f>
        <v>1</v>
      </c>
      <c r="D2516" s="6" t="str">
        <f>IFERROR(__xludf.DUMMYFUNCTION("""COMPUTED_VALUE"""),"P-50288-00")</f>
        <v>P-50288-00</v>
      </c>
      <c r="E2516" s="6" t="str">
        <f>IFERROR(__xludf.DUMMYFUNCTION("""COMPUTED_VALUE"""),"Bola Lampu - Halogen 20 W Osram")</f>
        <v>Bola Lampu - Halogen 20 W Osram</v>
      </c>
      <c r="F2516" s="6">
        <f>IFERROR(__xludf.DUMMYFUNCTION("""COMPUTED_VALUE"""),5.0)</f>
        <v>5</v>
      </c>
      <c r="G2516" s="6" t="str">
        <f>IFERROR(__xludf.DUMMYFUNCTION("""COMPUTED_VALUE"""),"Pieces")</f>
        <v>Pieces</v>
      </c>
      <c r="H2516" s="6" t="str">
        <f>IFERROR(__xludf.DUMMYFUNCTION("""COMPUTED_VALUE"""),"IDR")</f>
        <v>IDR</v>
      </c>
      <c r="I2516" s="6">
        <f>IFERROR(__xludf.DUMMYFUNCTION("""COMPUTED_VALUE"""),54.0)</f>
        <v>54</v>
      </c>
      <c r="J2516" s="6">
        <f>IFERROR(__xludf.DUMMYFUNCTION("""COMPUTED_VALUE"""),270.0)</f>
        <v>270</v>
      </c>
      <c r="K2516" s="57">
        <f>IFERROR(__xludf.DUMMYFUNCTION("""COMPUTED_VALUE"""),45156.0)</f>
        <v>45156</v>
      </c>
      <c r="L2516" s="6" t="str">
        <f>IFERROR(__xludf.DUMMYFUNCTION("""COMPUTED_VALUE"""),"FIP Engineering")</f>
        <v>FIP Engineering</v>
      </c>
      <c r="M2516" s="6" t="str">
        <f>IFERROR(__xludf.DUMMYFUNCTION("""COMPUTED_VALUE"""),"Mochammad Fadhillah Hakim")</f>
        <v>Mochammad Fadhillah Hakim</v>
      </c>
      <c r="N2516" s="6" t="str">
        <f>IFERROR(__xludf.DUMMYFUNCTION("""COMPUTED_VALUE"""),"FIP Engineering")</f>
        <v>FIP Engineering</v>
      </c>
      <c r="O2516" s="6" t="str">
        <f>IFERROR(__xludf.DUMMYFUNCTION("""COMPUTED_VALUE"""),"FIP-DOM-000-11304-OS00001-INA-000000")</f>
        <v>FIP-DOM-000-11304-OS00001-INA-000000</v>
      </c>
      <c r="P2516" s="6" t="str">
        <f>IFERROR(__xludf.DUMMYFUNCTION("""COMPUTED_VALUE"""),"PO Closed")</f>
        <v>PO Closed</v>
      </c>
      <c r="Q2516" s="6" t="str">
        <f>IFERROR(__xludf.DUMMYFUNCTION("""COMPUTED_VALUE"""),"GL2308042")</f>
        <v>GL2308042</v>
      </c>
      <c r="R2516" s="57">
        <f>IFERROR(__xludf.DUMMYFUNCTION("""COMPUTED_VALUE"""),45142.0)</f>
        <v>45142</v>
      </c>
      <c r="S2516" s="57">
        <f>IFERROR(__xludf.DUMMYFUNCTION("""COMPUTED_VALUE"""),45145.0)</f>
        <v>45145</v>
      </c>
      <c r="T2516" s="57">
        <f>IFERROR(__xludf.DUMMYFUNCTION("""COMPUTED_VALUE"""),45184.0)</f>
        <v>45184</v>
      </c>
    </row>
    <row r="2517">
      <c r="A2517" s="6" t="str">
        <f>IFERROR(__xludf.DUMMYFUNCTION("""COMPUTED_VALUE"""),"231750523-2")</f>
        <v>231750523-2</v>
      </c>
      <c r="B2517" s="6" t="str">
        <f>IFERROR(__xludf.DUMMYFUNCTION("""COMPUTED_VALUE"""),"231750523 - Approved")</f>
        <v>231750523 - Approved</v>
      </c>
      <c r="C2517" s="6">
        <f>IFERROR(__xludf.DUMMYFUNCTION("""COMPUTED_VALUE"""),2.0)</f>
        <v>2</v>
      </c>
      <c r="D2517" s="6" t="str">
        <f>IFERROR(__xludf.DUMMYFUNCTION("""COMPUTED_VALUE"""),"O-18870-00")</f>
        <v>O-18870-00</v>
      </c>
      <c r="E2517" s="6" t="str">
        <f>IFERROR(__xludf.DUMMYFUNCTION("""COMPUTED_VALUE"""),"Oring Silicone Merah 18.4x13x2.7 mm; ; ;")</f>
        <v>Oring Silicone Merah 18.4x13x2.7 mm; ; ;</v>
      </c>
      <c r="F2517" s="6">
        <f>IFERROR(__xludf.DUMMYFUNCTION("""COMPUTED_VALUE"""),30.0)</f>
        <v>30</v>
      </c>
      <c r="G2517" s="6" t="str">
        <f>IFERROR(__xludf.DUMMYFUNCTION("""COMPUTED_VALUE"""),"Pieces")</f>
        <v>Pieces</v>
      </c>
      <c r="H2517" s="6" t="str">
        <f>IFERROR(__xludf.DUMMYFUNCTION("""COMPUTED_VALUE"""),"IDR")</f>
        <v>IDR</v>
      </c>
      <c r="I2517" s="11">
        <f>IFERROR(__xludf.DUMMYFUNCTION("""COMPUTED_VALUE"""),5000.0)</f>
        <v>5000</v>
      </c>
      <c r="J2517" s="11">
        <f>IFERROR(__xludf.DUMMYFUNCTION("""COMPUTED_VALUE"""),150000.0)</f>
        <v>150000</v>
      </c>
      <c r="K2517" s="57">
        <f>IFERROR(__xludf.DUMMYFUNCTION("""COMPUTED_VALUE"""),45156.0)</f>
        <v>45156</v>
      </c>
      <c r="L2517" s="6" t="str">
        <f>IFERROR(__xludf.DUMMYFUNCTION("""COMPUTED_VALUE"""),"FIP Engineering")</f>
        <v>FIP Engineering</v>
      </c>
      <c r="M2517" s="6" t="str">
        <f>IFERROR(__xludf.DUMMYFUNCTION("""COMPUTED_VALUE"""),"Mochammad Fadhillah Hakim")</f>
        <v>Mochammad Fadhillah Hakim</v>
      </c>
      <c r="N2517" s="6" t="str">
        <f>IFERROR(__xludf.DUMMYFUNCTION("""COMPUTED_VALUE"""),"FIP Engineering")</f>
        <v>FIP Engineering</v>
      </c>
      <c r="O2517" s="6" t="str">
        <f>IFERROR(__xludf.DUMMYFUNCTION("""COMPUTED_VALUE"""),"FIP-DOM-000-11304-OS00001-INA-000000")</f>
        <v>FIP-DOM-000-11304-OS00001-INA-000000</v>
      </c>
      <c r="P2517" s="6" t="str">
        <f>IFERROR(__xludf.DUMMYFUNCTION("""COMPUTED_VALUE"""),"PO Closed")</f>
        <v>PO Closed</v>
      </c>
      <c r="Q2517" s="6" t="str">
        <f>IFERROR(__xludf.DUMMYFUNCTION("""COMPUTED_VALUE"""),"GL2309049")</f>
        <v>GL2309049</v>
      </c>
      <c r="R2517" s="57">
        <f>IFERROR(__xludf.DUMMYFUNCTION("""COMPUTED_VALUE"""),45142.0)</f>
        <v>45142</v>
      </c>
      <c r="S2517" s="57">
        <f>IFERROR(__xludf.DUMMYFUNCTION("""COMPUTED_VALUE"""),45145.0)</f>
        <v>45145</v>
      </c>
      <c r="T2517" s="57">
        <f>IFERROR(__xludf.DUMMYFUNCTION("""COMPUTED_VALUE"""),45219.0)</f>
        <v>45219</v>
      </c>
    </row>
    <row r="2518">
      <c r="A2518" s="6" t="str">
        <f>IFERROR(__xludf.DUMMYFUNCTION("""COMPUTED_VALUE"""),"231750531-1")</f>
        <v>231750531-1</v>
      </c>
      <c r="B2518" s="6" t="str">
        <f>IFERROR(__xludf.DUMMYFUNCTION("""COMPUTED_VALUE"""),"231750531 - Approved")</f>
        <v>231750531 - Approved</v>
      </c>
      <c r="C2518" s="6">
        <f>IFERROR(__xludf.DUMMYFUNCTION("""COMPUTED_VALUE"""),1.0)</f>
        <v>1</v>
      </c>
      <c r="D2518" s="6" t="str">
        <f>IFERROR(__xludf.DUMMYFUNCTION("""COMPUTED_VALUE"""),"Q-70026-00")</f>
        <v>Q-70026-00</v>
      </c>
      <c r="E2518" s="6" t="str">
        <f>IFERROR(__xludf.DUMMYFUNCTION("""COMPUTED_VALUE"""),"Baterai Tester Micro 200 Pro; Lancol; ;")</f>
        <v>Baterai Tester Micro 200 Pro; Lancol; ;</v>
      </c>
      <c r="F2518" s="6">
        <f>IFERROR(__xludf.DUMMYFUNCTION("""COMPUTED_VALUE"""),1.0)</f>
        <v>1</v>
      </c>
      <c r="G2518" s="6" t="str">
        <f>IFERROR(__xludf.DUMMYFUNCTION("""COMPUTED_VALUE"""),"Set")</f>
        <v>Set</v>
      </c>
      <c r="H2518" s="6" t="str">
        <f>IFERROR(__xludf.DUMMYFUNCTION("""COMPUTED_VALUE"""),"IDR")</f>
        <v>IDR</v>
      </c>
      <c r="I2518" s="11">
        <f>IFERROR(__xludf.DUMMYFUNCTION("""COMPUTED_VALUE"""),415000.0)</f>
        <v>415000</v>
      </c>
      <c r="J2518" s="11">
        <f>IFERROR(__xludf.DUMMYFUNCTION("""COMPUTED_VALUE"""),415000.0)</f>
        <v>415000</v>
      </c>
      <c r="K2518" s="57">
        <f>IFERROR(__xludf.DUMMYFUNCTION("""COMPUTED_VALUE"""),45156.0)</f>
        <v>45156</v>
      </c>
      <c r="L2518" s="6" t="str">
        <f>IFERROR(__xludf.DUMMYFUNCTION("""COMPUTED_VALUE"""),"FIP General")</f>
        <v>FIP General</v>
      </c>
      <c r="M2518" s="6" t="str">
        <f>IFERROR(__xludf.DUMMYFUNCTION("""COMPUTED_VALUE"""),"Mochammad Fadhillah Hakim")</f>
        <v>Mochammad Fadhillah Hakim</v>
      </c>
      <c r="N2518" s="6" t="str">
        <f>IFERROR(__xludf.DUMMYFUNCTION("""COMPUTED_VALUE"""),"FIP Engineering")</f>
        <v>FIP Engineering</v>
      </c>
      <c r="O2518" s="6" t="str">
        <f>IFERROR(__xludf.DUMMYFUNCTION("""COMPUTED_VALUE"""),"FIP-DOM-ENG-51404-0000000-INA-000000")</f>
        <v>FIP-DOM-ENG-51404-0000000-INA-000000</v>
      </c>
      <c r="P2518" s="6" t="str">
        <f>IFERROR(__xludf.DUMMYFUNCTION("""COMPUTED_VALUE"""),"PO Closed")</f>
        <v>PO Closed</v>
      </c>
      <c r="Q2518" s="6" t="str">
        <f>IFERROR(__xludf.DUMMYFUNCTION("""COMPUTED_VALUE"""),"GL2309064")</f>
        <v>GL2309064</v>
      </c>
      <c r="R2518" s="57">
        <f>IFERROR(__xludf.DUMMYFUNCTION("""COMPUTED_VALUE"""),45142.0)</f>
        <v>45142</v>
      </c>
      <c r="S2518" s="57">
        <f>IFERROR(__xludf.DUMMYFUNCTION("""COMPUTED_VALUE"""),45180.0)</f>
        <v>45180</v>
      </c>
      <c r="T2518" s="57">
        <f>IFERROR(__xludf.DUMMYFUNCTION("""COMPUTED_VALUE"""),45218.0)</f>
        <v>45218</v>
      </c>
    </row>
    <row r="2519">
      <c r="A2519" s="6" t="str">
        <f>IFERROR(__xludf.DUMMYFUNCTION("""COMPUTED_VALUE"""),"231750535-1")</f>
        <v>231750535-1</v>
      </c>
      <c r="B2519" s="6" t="str">
        <f>IFERROR(__xludf.DUMMYFUNCTION("""COMPUTED_VALUE"""),"231750535 - Approved")</f>
        <v>231750535 - Approved</v>
      </c>
      <c r="C2519" s="6">
        <f>IFERROR(__xludf.DUMMYFUNCTION("""COMPUTED_VALUE"""),1.0)</f>
        <v>1</v>
      </c>
      <c r="D2519" s="6" t="str">
        <f>IFERROR(__xludf.DUMMYFUNCTION("""COMPUTED_VALUE"""),"S-62036-00")</f>
        <v>S-62036-00</v>
      </c>
      <c r="E2519" s="6" t="str">
        <f>IFERROR(__xludf.DUMMYFUNCTION("""COMPUTED_VALUE"""),"Gas Argon (Ar); 6 M3; Refill; High Purity (HP); Purity ≥ 99.995%")</f>
        <v>Gas Argon (Ar); 6 M3; Refill; High Purity (HP); Purity ≥ 99.995%</v>
      </c>
      <c r="F2519" s="6">
        <f>IFERROR(__xludf.DUMMYFUNCTION("""COMPUTED_VALUE"""),1.0)</f>
        <v>1</v>
      </c>
      <c r="G2519" s="6" t="str">
        <f>IFERROR(__xludf.DUMMYFUNCTION("""COMPUTED_VALUE"""),"Tube")</f>
        <v>Tube</v>
      </c>
      <c r="H2519" s="6" t="str">
        <f>IFERROR(__xludf.DUMMYFUNCTION("""COMPUTED_VALUE"""),"IDR")</f>
        <v>IDR</v>
      </c>
      <c r="I2519" s="11">
        <f>IFERROR(__xludf.DUMMYFUNCTION("""COMPUTED_VALUE"""),250000.0)</f>
        <v>250000</v>
      </c>
      <c r="J2519" s="11">
        <f>IFERROR(__xludf.DUMMYFUNCTION("""COMPUTED_VALUE"""),250000.0)</f>
        <v>250000</v>
      </c>
      <c r="K2519" s="57">
        <f>IFERROR(__xludf.DUMMYFUNCTION("""COMPUTED_VALUE"""),45156.0)</f>
        <v>45156</v>
      </c>
      <c r="L2519" s="6" t="str">
        <f>IFERROR(__xludf.DUMMYFUNCTION("""COMPUTED_VALUE"""),"FIP General")</f>
        <v>FIP General</v>
      </c>
      <c r="M2519" s="6" t="str">
        <f>IFERROR(__xludf.DUMMYFUNCTION("""COMPUTED_VALUE"""),"Mochammad Fadhillah Hakim")</f>
        <v>Mochammad Fadhillah Hakim</v>
      </c>
      <c r="N2519" s="6" t="str">
        <f>IFERROR(__xludf.DUMMYFUNCTION("""COMPUTED_VALUE"""),"FIP Engineering")</f>
        <v>FIP Engineering</v>
      </c>
      <c r="O2519" s="6" t="str">
        <f>IFERROR(__xludf.DUMMYFUNCTION("""COMPUTED_VALUE"""),"FIP-DOM-ENG-51404-0000000-INA-000000")</f>
        <v>FIP-DOM-ENG-51404-0000000-INA-000000</v>
      </c>
      <c r="P2519" s="6" t="str">
        <f>IFERROR(__xludf.DUMMYFUNCTION("""COMPUTED_VALUE"""),"PO Closed")</f>
        <v>PO Closed</v>
      </c>
      <c r="Q2519" s="6" t="str">
        <f>IFERROR(__xludf.DUMMYFUNCTION("""COMPUTED_VALUE"""),"GL2311008")</f>
        <v>GL2311008</v>
      </c>
      <c r="R2519" s="57">
        <f>IFERROR(__xludf.DUMMYFUNCTION("""COMPUTED_VALUE"""),45142.0)</f>
        <v>45142</v>
      </c>
      <c r="S2519" s="57">
        <f>IFERROR(__xludf.DUMMYFUNCTION("""COMPUTED_VALUE"""),45182.0)</f>
        <v>45182</v>
      </c>
      <c r="T2519" s="57">
        <f>IFERROR(__xludf.DUMMYFUNCTION("""COMPUTED_VALUE"""),45240.0)</f>
        <v>45240</v>
      </c>
    </row>
    <row r="2520">
      <c r="A2520" s="6" t="str">
        <f>IFERROR(__xludf.DUMMYFUNCTION("""COMPUTED_VALUE"""),"231750542-1")</f>
        <v>231750542-1</v>
      </c>
      <c r="B2520" s="6" t="str">
        <f>IFERROR(__xludf.DUMMYFUNCTION("""COMPUTED_VALUE"""),"231750542 - Approved")</f>
        <v>231750542 - Approved</v>
      </c>
      <c r="C2520" s="6">
        <f>IFERROR(__xludf.DUMMYFUNCTION("""COMPUTED_VALUE"""),1.0)</f>
        <v>1</v>
      </c>
      <c r="D2520" s="6" t="str">
        <f>IFERROR(__xludf.DUMMYFUNCTION("""COMPUTED_VALUE"""),"P-52515-00")</f>
        <v>P-52515-00</v>
      </c>
      <c r="E2520" s="6" t="str">
        <f>IFERROR(__xludf.DUMMYFUNCTION("""COMPUTED_VALUE"""),"Flow Sensor Type SE30-HT (High Temperature Version); Burkert; ;")</f>
        <v>Flow Sensor Type SE30-HT (High Temperature Version); Burkert; ;</v>
      </c>
      <c r="F2520" s="6">
        <f>IFERROR(__xludf.DUMMYFUNCTION("""COMPUTED_VALUE"""),1.0)</f>
        <v>1</v>
      </c>
      <c r="G2520" s="6" t="str">
        <f>IFERROR(__xludf.DUMMYFUNCTION("""COMPUTED_VALUE"""),"Pieces")</f>
        <v>Pieces</v>
      </c>
      <c r="H2520" s="6" t="str">
        <f>IFERROR(__xludf.DUMMYFUNCTION("""COMPUTED_VALUE"""),"IDR")</f>
        <v>IDR</v>
      </c>
      <c r="I2520" s="11">
        <f>IFERROR(__xludf.DUMMYFUNCTION("""COMPUTED_VALUE"""),100000.0)</f>
        <v>100000</v>
      </c>
      <c r="J2520" s="11">
        <f>IFERROR(__xludf.DUMMYFUNCTION("""COMPUTED_VALUE"""),100000.0)</f>
        <v>100000</v>
      </c>
      <c r="K2520" s="57">
        <f>IFERROR(__xludf.DUMMYFUNCTION("""COMPUTED_VALUE"""),45159.0)</f>
        <v>45159</v>
      </c>
      <c r="L2520" s="6" t="str">
        <f>IFERROR(__xludf.DUMMYFUNCTION("""COMPUTED_VALUE"""),"FIP Engineering")</f>
        <v>FIP Engineering</v>
      </c>
      <c r="M2520" s="6" t="str">
        <f>IFERROR(__xludf.DUMMYFUNCTION("""COMPUTED_VALUE"""),"Mochammad Fadhillah Hakim")</f>
        <v>Mochammad Fadhillah Hakim</v>
      </c>
      <c r="N2520" s="6" t="str">
        <f>IFERROR(__xludf.DUMMYFUNCTION("""COMPUTED_VALUE"""),"FIP Engineering")</f>
        <v>FIP Engineering</v>
      </c>
      <c r="O2520" s="6" t="str">
        <f>IFERROR(__xludf.DUMMYFUNCTION("""COMPUTED_VALUE"""),"FIP-DOM-000-11304-OS00001-INA-000000")</f>
        <v>FIP-DOM-000-11304-OS00001-INA-000000</v>
      </c>
      <c r="P2520" s="6" t="str">
        <f>IFERROR(__xludf.DUMMYFUNCTION("""COMPUTED_VALUE"""),"PO Closed")</f>
        <v>PO Closed</v>
      </c>
      <c r="Q2520" s="6" t="str">
        <f>IFERROR(__xludf.DUMMYFUNCTION("""COMPUTED_VALUE"""),"GL2309050")</f>
        <v>GL2309050</v>
      </c>
      <c r="R2520" s="57">
        <f>IFERROR(__xludf.DUMMYFUNCTION("""COMPUTED_VALUE"""),45145.0)</f>
        <v>45145</v>
      </c>
      <c r="S2520" s="57">
        <f>IFERROR(__xludf.DUMMYFUNCTION("""COMPUTED_VALUE"""),45146.0)</f>
        <v>45146</v>
      </c>
      <c r="T2520" s="57">
        <f>IFERROR(__xludf.DUMMYFUNCTION("""COMPUTED_VALUE"""),45296.0)</f>
        <v>45296</v>
      </c>
    </row>
    <row r="2521">
      <c r="A2521" s="6" t="str">
        <f>IFERROR(__xludf.DUMMYFUNCTION("""COMPUTED_VALUE"""),"231750542-2")</f>
        <v>231750542-2</v>
      </c>
      <c r="B2521" s="6" t="str">
        <f>IFERROR(__xludf.DUMMYFUNCTION("""COMPUTED_VALUE"""),"231750542 - Approved")</f>
        <v>231750542 - Approved</v>
      </c>
      <c r="C2521" s="6">
        <f>IFERROR(__xludf.DUMMYFUNCTION("""COMPUTED_VALUE"""),2.0)</f>
        <v>2</v>
      </c>
      <c r="D2521" s="6" t="str">
        <f>IFERROR(__xludf.DUMMYFUNCTION("""COMPUTED_VALUE"""),"P-52514-00")</f>
        <v>P-52514-00</v>
      </c>
      <c r="E2521" s="6" t="str">
        <f>IFERROR(__xludf.DUMMYFUNCTION("""COMPUTED_VALUE"""),"Flow Transmitter Type 8025 (Remote/Panel Version); Burkert; ;")</f>
        <v>Flow Transmitter Type 8025 (Remote/Panel Version); Burkert; ;</v>
      </c>
      <c r="F2521" s="6">
        <f>IFERROR(__xludf.DUMMYFUNCTION("""COMPUTED_VALUE"""),1.0)</f>
        <v>1</v>
      </c>
      <c r="G2521" s="6" t="str">
        <f>IFERROR(__xludf.DUMMYFUNCTION("""COMPUTED_VALUE"""),"Pieces")</f>
        <v>Pieces</v>
      </c>
      <c r="H2521" s="6" t="str">
        <f>IFERROR(__xludf.DUMMYFUNCTION("""COMPUTED_VALUE"""),"IDR")</f>
        <v>IDR</v>
      </c>
      <c r="I2521" s="11">
        <f>IFERROR(__xludf.DUMMYFUNCTION("""COMPUTED_VALUE"""),100000.0)</f>
        <v>100000</v>
      </c>
      <c r="J2521" s="11">
        <f>IFERROR(__xludf.DUMMYFUNCTION("""COMPUTED_VALUE"""),100000.0)</f>
        <v>100000</v>
      </c>
      <c r="K2521" s="57">
        <f>IFERROR(__xludf.DUMMYFUNCTION("""COMPUTED_VALUE"""),45159.0)</f>
        <v>45159</v>
      </c>
      <c r="L2521" s="6" t="str">
        <f>IFERROR(__xludf.DUMMYFUNCTION("""COMPUTED_VALUE"""),"FIP Engineering")</f>
        <v>FIP Engineering</v>
      </c>
      <c r="M2521" s="6" t="str">
        <f>IFERROR(__xludf.DUMMYFUNCTION("""COMPUTED_VALUE"""),"Mochammad Fadhillah Hakim")</f>
        <v>Mochammad Fadhillah Hakim</v>
      </c>
      <c r="N2521" s="6" t="str">
        <f>IFERROR(__xludf.DUMMYFUNCTION("""COMPUTED_VALUE"""),"FIP Engineering")</f>
        <v>FIP Engineering</v>
      </c>
      <c r="O2521" s="6" t="str">
        <f>IFERROR(__xludf.DUMMYFUNCTION("""COMPUTED_VALUE"""),"FIP-DOM-000-11304-OS00001-INA-000000")</f>
        <v>FIP-DOM-000-11304-OS00001-INA-000000</v>
      </c>
      <c r="P2521" s="6" t="str">
        <f>IFERROR(__xludf.DUMMYFUNCTION("""COMPUTED_VALUE"""),"PO Closed")</f>
        <v>PO Closed</v>
      </c>
      <c r="Q2521" s="6" t="str">
        <f>IFERROR(__xludf.DUMMYFUNCTION("""COMPUTED_VALUE"""),"GL2309050")</f>
        <v>GL2309050</v>
      </c>
      <c r="R2521" s="57">
        <f>IFERROR(__xludf.DUMMYFUNCTION("""COMPUTED_VALUE"""),45145.0)</f>
        <v>45145</v>
      </c>
      <c r="S2521" s="57">
        <f>IFERROR(__xludf.DUMMYFUNCTION("""COMPUTED_VALUE"""),45146.0)</f>
        <v>45146</v>
      </c>
      <c r="T2521" s="57">
        <f>IFERROR(__xludf.DUMMYFUNCTION("""COMPUTED_VALUE"""),45296.0)</f>
        <v>45296</v>
      </c>
    </row>
    <row r="2522">
      <c r="A2522" s="6" t="str">
        <f>IFERROR(__xludf.DUMMYFUNCTION("""COMPUTED_VALUE"""),"231750548-1")</f>
        <v>231750548-1</v>
      </c>
      <c r="B2522" s="6" t="str">
        <f>IFERROR(__xludf.DUMMYFUNCTION("""COMPUTED_VALUE"""),"231750548 - Approved")</f>
        <v>231750548 - Approved</v>
      </c>
      <c r="C2522" s="6">
        <f>IFERROR(__xludf.DUMMYFUNCTION("""COMPUTED_VALUE"""),1.0)</f>
        <v>1</v>
      </c>
      <c r="D2522" s="6" t="str">
        <f>IFERROR(__xludf.DUMMYFUNCTION("""COMPUTED_VALUE"""),"S-40011-00")</f>
        <v>S-40011-00</v>
      </c>
      <c r="E2522" s="6" t="str">
        <f>IFERROR(__xludf.DUMMYFUNCTION("""COMPUTED_VALUE"""),"Battery Lithium 3,6 V LS 14250, Shaft")</f>
        <v>Battery Lithium 3,6 V LS 14250, Shaft</v>
      </c>
      <c r="F2522" s="6">
        <f>IFERROR(__xludf.DUMMYFUNCTION("""COMPUTED_VALUE"""),10.0)</f>
        <v>10</v>
      </c>
      <c r="G2522" s="6" t="str">
        <f>IFERROR(__xludf.DUMMYFUNCTION("""COMPUTED_VALUE"""),"Pieces")</f>
        <v>Pieces</v>
      </c>
      <c r="H2522" s="6" t="str">
        <f>IFERROR(__xludf.DUMMYFUNCTION("""COMPUTED_VALUE"""),"IDR")</f>
        <v>IDR</v>
      </c>
      <c r="I2522" s="11">
        <f>IFERROR(__xludf.DUMMYFUNCTION("""COMPUTED_VALUE"""),315000.0)</f>
        <v>315000</v>
      </c>
      <c r="J2522" s="11">
        <f>IFERROR(__xludf.DUMMYFUNCTION("""COMPUTED_VALUE"""),3150000.0)</f>
        <v>3150000</v>
      </c>
      <c r="K2522" s="57">
        <f>IFERROR(__xludf.DUMMYFUNCTION("""COMPUTED_VALUE"""),45160.0)</f>
        <v>45160</v>
      </c>
      <c r="L2522" s="6" t="str">
        <f>IFERROR(__xludf.DUMMYFUNCTION("""COMPUTED_VALUE"""),"FIP General")</f>
        <v>FIP General</v>
      </c>
      <c r="M2522" s="6" t="str">
        <f>IFERROR(__xludf.DUMMYFUNCTION("""COMPUTED_VALUE"""),"Mochammad Fadhillah Hakim")</f>
        <v>Mochammad Fadhillah Hakim</v>
      </c>
      <c r="N2522" s="6" t="str">
        <f>IFERROR(__xludf.DUMMYFUNCTION("""COMPUTED_VALUE"""),"FIP Engineering")</f>
        <v>FIP Engineering</v>
      </c>
      <c r="O2522" s="6" t="str">
        <f>IFERROR(__xludf.DUMMYFUNCTION("""COMPUTED_VALUE"""),"FIP-DOM-ENG-51504-0000000-INA-000000")</f>
        <v>FIP-DOM-ENG-51504-0000000-INA-000000</v>
      </c>
      <c r="P2522" s="6" t="str">
        <f>IFERROR(__xludf.DUMMYFUNCTION("""COMPUTED_VALUE"""),"PO Closed")</f>
        <v>PO Closed</v>
      </c>
      <c r="Q2522" s="6" t="str">
        <f>IFERROR(__xludf.DUMMYFUNCTION("""COMPUTED_VALUE"""),"GL2308049")</f>
        <v>GL2308049</v>
      </c>
      <c r="R2522" s="57">
        <f>IFERROR(__xludf.DUMMYFUNCTION("""COMPUTED_VALUE"""),45146.0)</f>
        <v>45146</v>
      </c>
      <c r="S2522" s="57">
        <f>IFERROR(__xludf.DUMMYFUNCTION("""COMPUTED_VALUE"""),45146.0)</f>
        <v>45146</v>
      </c>
      <c r="T2522" s="57">
        <f>IFERROR(__xludf.DUMMYFUNCTION("""COMPUTED_VALUE"""),45181.0)</f>
        <v>45181</v>
      </c>
    </row>
    <row r="2523">
      <c r="A2523" s="6" t="str">
        <f>IFERROR(__xludf.DUMMYFUNCTION("""COMPUTED_VALUE"""),"231750551-1")</f>
        <v>231750551-1</v>
      </c>
      <c r="B2523" s="6" t="str">
        <f>IFERROR(__xludf.DUMMYFUNCTION("""COMPUTED_VALUE"""),"231750551 - Approved")</f>
        <v>231750551 - Approved</v>
      </c>
      <c r="C2523" s="6">
        <f>IFERROR(__xludf.DUMMYFUNCTION("""COMPUTED_VALUE"""),1.0)</f>
        <v>1</v>
      </c>
      <c r="D2523" s="6" t="str">
        <f>IFERROR(__xludf.DUMMYFUNCTION("""COMPUTED_VALUE"""),"O-12734-00")</f>
        <v>O-12734-00</v>
      </c>
      <c r="E2523" s="6" t="str">
        <f>IFERROR(__xludf.DUMMYFUNCTION("""COMPUTED_VALUE"""),"Tubing Polyurethane TU0805 Clear, SMC, roll SINAR MUTIARA CAKRABUANA, PT P/N : X3 pc")</f>
        <v>Tubing Polyurethane TU0805 Clear, SMC, roll SINAR MUTIARA CAKRABUANA, PT P/N : X3 pc</v>
      </c>
      <c r="F2523" s="6">
        <f>IFERROR(__xludf.DUMMYFUNCTION("""COMPUTED_VALUE"""),2.0)</f>
        <v>2</v>
      </c>
      <c r="G2523" s="6" t="str">
        <f>IFERROR(__xludf.DUMMYFUNCTION("""COMPUTED_VALUE"""),"Roll")</f>
        <v>Roll</v>
      </c>
      <c r="H2523" s="6" t="str">
        <f>IFERROR(__xludf.DUMMYFUNCTION("""COMPUTED_VALUE"""),"IDR")</f>
        <v>IDR</v>
      </c>
      <c r="I2523" s="11">
        <f>IFERROR(__xludf.DUMMYFUNCTION("""COMPUTED_VALUE"""),460000.0)</f>
        <v>460000</v>
      </c>
      <c r="J2523" s="11">
        <f>IFERROR(__xludf.DUMMYFUNCTION("""COMPUTED_VALUE"""),920000.0)</f>
        <v>920000</v>
      </c>
      <c r="K2523" s="57">
        <f>IFERROR(__xludf.DUMMYFUNCTION("""COMPUTED_VALUE"""),45161.0)</f>
        <v>45161</v>
      </c>
      <c r="L2523" s="6" t="str">
        <f>IFERROR(__xludf.DUMMYFUNCTION("""COMPUTED_VALUE"""),"FIP General")</f>
        <v>FIP General</v>
      </c>
      <c r="M2523" s="6" t="str">
        <f>IFERROR(__xludf.DUMMYFUNCTION("""COMPUTED_VALUE"""),"Mochammad Fadhillah Hakim")</f>
        <v>Mochammad Fadhillah Hakim</v>
      </c>
      <c r="N2523" s="6" t="str">
        <f>IFERROR(__xludf.DUMMYFUNCTION("""COMPUTED_VALUE"""),"FIP Engineering")</f>
        <v>FIP Engineering</v>
      </c>
      <c r="O2523" s="6" t="str">
        <f>IFERROR(__xludf.DUMMYFUNCTION("""COMPUTED_VALUE"""),"FIP-DOM-ENG-51404-0000000-INA-000000")</f>
        <v>FIP-DOM-ENG-51404-0000000-INA-000000</v>
      </c>
      <c r="P2523" s="6" t="str">
        <f>IFERROR(__xludf.DUMMYFUNCTION("""COMPUTED_VALUE"""),"PO Closed")</f>
        <v>PO Closed</v>
      </c>
      <c r="Q2523" s="6" t="str">
        <f>IFERROR(__xludf.DUMMYFUNCTION("""COMPUTED_VALUE"""),"GL2310029")</f>
        <v>GL2310029</v>
      </c>
      <c r="R2523" s="57">
        <f>IFERROR(__xludf.DUMMYFUNCTION("""COMPUTED_VALUE"""),45147.0)</f>
        <v>45147</v>
      </c>
      <c r="S2523" s="57">
        <f>IFERROR(__xludf.DUMMYFUNCTION("""COMPUTED_VALUE"""),45182.0)</f>
        <v>45182</v>
      </c>
      <c r="T2523" s="57">
        <f>IFERROR(__xludf.DUMMYFUNCTION("""COMPUTED_VALUE"""),45280.0)</f>
        <v>45280</v>
      </c>
    </row>
    <row r="2524">
      <c r="A2524" s="6" t="str">
        <f>IFERROR(__xludf.DUMMYFUNCTION("""COMPUTED_VALUE"""),"231750551-2")</f>
        <v>231750551-2</v>
      </c>
      <c r="B2524" s="6" t="str">
        <f>IFERROR(__xludf.DUMMYFUNCTION("""COMPUTED_VALUE"""),"231750551 - Approved")</f>
        <v>231750551 - Approved</v>
      </c>
      <c r="C2524" s="6">
        <f>IFERROR(__xludf.DUMMYFUNCTION("""COMPUTED_VALUE"""),2.0)</f>
        <v>2</v>
      </c>
      <c r="D2524" s="6" t="str">
        <f>IFERROR(__xludf.DUMMYFUNCTION("""COMPUTED_VALUE"""),"O-12735-00")</f>
        <v>O-12735-00</v>
      </c>
      <c r="E2524" s="6" t="str">
        <f>IFERROR(__xludf.DUMMYFUNCTION("""COMPUTED_VALUE"""),"Tubing Polyurethane TU0604 Clear; SMC; Part No. X3; roll")</f>
        <v>Tubing Polyurethane TU0604 Clear; SMC; Part No. X3; roll</v>
      </c>
      <c r="F2524" s="6">
        <f>IFERROR(__xludf.DUMMYFUNCTION("""COMPUTED_VALUE"""),2.0)</f>
        <v>2</v>
      </c>
      <c r="G2524" s="6" t="str">
        <f>IFERROR(__xludf.DUMMYFUNCTION("""COMPUTED_VALUE"""),"Roll")</f>
        <v>Roll</v>
      </c>
      <c r="H2524" s="6" t="str">
        <f>IFERROR(__xludf.DUMMYFUNCTION("""COMPUTED_VALUE"""),"IDR")</f>
        <v>IDR</v>
      </c>
      <c r="I2524" s="11">
        <f>IFERROR(__xludf.DUMMYFUNCTION("""COMPUTED_VALUE"""),220000.0)</f>
        <v>220000</v>
      </c>
      <c r="J2524" s="11">
        <f>IFERROR(__xludf.DUMMYFUNCTION("""COMPUTED_VALUE"""),440000.0)</f>
        <v>440000</v>
      </c>
      <c r="K2524" s="57">
        <f>IFERROR(__xludf.DUMMYFUNCTION("""COMPUTED_VALUE"""),45161.0)</f>
        <v>45161</v>
      </c>
      <c r="L2524" s="6" t="str">
        <f>IFERROR(__xludf.DUMMYFUNCTION("""COMPUTED_VALUE"""),"FIP General")</f>
        <v>FIP General</v>
      </c>
      <c r="M2524" s="6" t="str">
        <f>IFERROR(__xludf.DUMMYFUNCTION("""COMPUTED_VALUE"""),"Mochammad Fadhillah Hakim")</f>
        <v>Mochammad Fadhillah Hakim</v>
      </c>
      <c r="N2524" s="6" t="str">
        <f>IFERROR(__xludf.DUMMYFUNCTION("""COMPUTED_VALUE"""),"FIP Engineering")</f>
        <v>FIP Engineering</v>
      </c>
      <c r="O2524" s="6" t="str">
        <f>IFERROR(__xludf.DUMMYFUNCTION("""COMPUTED_VALUE"""),"FIP-DOM-ENG-51404-0000000-INA-000000")</f>
        <v>FIP-DOM-ENG-51404-0000000-INA-000000</v>
      </c>
      <c r="P2524" s="6" t="str">
        <f>IFERROR(__xludf.DUMMYFUNCTION("""COMPUTED_VALUE"""),"PO Closed")</f>
        <v>PO Closed</v>
      </c>
      <c r="Q2524" s="6" t="str">
        <f>IFERROR(__xludf.DUMMYFUNCTION("""COMPUTED_VALUE"""),"GL2310029")</f>
        <v>GL2310029</v>
      </c>
      <c r="R2524" s="57">
        <f>IFERROR(__xludf.DUMMYFUNCTION("""COMPUTED_VALUE"""),45147.0)</f>
        <v>45147</v>
      </c>
      <c r="S2524" s="57">
        <f>IFERROR(__xludf.DUMMYFUNCTION("""COMPUTED_VALUE"""),45182.0)</f>
        <v>45182</v>
      </c>
      <c r="T2524" s="57">
        <f>IFERROR(__xludf.DUMMYFUNCTION("""COMPUTED_VALUE"""),45280.0)</f>
        <v>45280</v>
      </c>
    </row>
    <row r="2525">
      <c r="A2525" s="6" t="str">
        <f>IFERROR(__xludf.DUMMYFUNCTION("""COMPUTED_VALUE"""),"231750552-1")</f>
        <v>231750552-1</v>
      </c>
      <c r="B2525" s="6" t="str">
        <f>IFERROR(__xludf.DUMMYFUNCTION("""COMPUTED_VALUE"""),"231750552 - Approved")</f>
        <v>231750552 - Approved</v>
      </c>
      <c r="C2525" s="6">
        <f>IFERROR(__xludf.DUMMYFUNCTION("""COMPUTED_VALUE"""),1.0)</f>
        <v>1</v>
      </c>
      <c r="D2525" s="6" t="str">
        <f>IFERROR(__xludf.DUMMYFUNCTION("""COMPUTED_VALUE"""),"T-20055-00")</f>
        <v>T-20055-00</v>
      </c>
      <c r="E2525" s="6" t="str">
        <f>IFERROR(__xludf.DUMMYFUNCTION("""COMPUTED_VALUE"""),"PerformancePlus Check Valve Cartridge; Waters; p/n 700002399")</f>
        <v>PerformancePlus Check Valve Cartridge; Waters; p/n 700002399</v>
      </c>
      <c r="F2525" s="6">
        <f>IFERROR(__xludf.DUMMYFUNCTION("""COMPUTED_VALUE"""),6.0)</f>
        <v>6</v>
      </c>
      <c r="G2525" s="6" t="str">
        <f>IFERROR(__xludf.DUMMYFUNCTION("""COMPUTED_VALUE"""),"Pieces")</f>
        <v>Pieces</v>
      </c>
      <c r="H2525" s="6" t="str">
        <f>IFERROR(__xludf.DUMMYFUNCTION("""COMPUTED_VALUE"""),"IDR")</f>
        <v>IDR</v>
      </c>
      <c r="I2525" s="11">
        <f>IFERROR(__xludf.DUMMYFUNCTION("""COMPUTED_VALUE"""),4377240.0)</f>
        <v>4377240</v>
      </c>
      <c r="J2525" s="11">
        <f>IFERROR(__xludf.DUMMYFUNCTION("""COMPUTED_VALUE"""),2.626344E7)</f>
        <v>26263440</v>
      </c>
      <c r="K2525" s="57">
        <f>IFERROR(__xludf.DUMMYFUNCTION("""COMPUTED_VALUE"""),45161.0)</f>
        <v>45161</v>
      </c>
      <c r="L2525" s="6" t="str">
        <f>IFERROR(__xludf.DUMMYFUNCTION("""COMPUTED_VALUE"""),"FIP General")</f>
        <v>FIP General</v>
      </c>
      <c r="M2525" s="6" t="str">
        <f>IFERROR(__xludf.DUMMYFUNCTION("""COMPUTED_VALUE"""),"Mochammad Fadhillah Hakim")</f>
        <v>Mochammad Fadhillah Hakim</v>
      </c>
      <c r="N2525" s="6" t="str">
        <f>IFERROR(__xludf.DUMMYFUNCTION("""COMPUTED_VALUE"""),"FIP Engineering")</f>
        <v>FIP Engineering</v>
      </c>
      <c r="O2525" s="6" t="str">
        <f>IFERROR(__xludf.DUMMYFUNCTION("""COMPUTED_VALUE"""),"FIP-DOM-ENG-51505-0000000-INA-000000")</f>
        <v>FIP-DOM-ENG-51505-0000000-INA-000000</v>
      </c>
      <c r="P2525" s="6" t="str">
        <f>IFERROR(__xludf.DUMMYFUNCTION("""COMPUTED_VALUE"""),"PO Closed")</f>
        <v>PO Closed</v>
      </c>
      <c r="Q2525" s="6" t="str">
        <f>IFERROR(__xludf.DUMMYFUNCTION("""COMPUTED_VALUE"""),"GL2308045")</f>
        <v>GL2308045</v>
      </c>
      <c r="R2525" s="57">
        <f>IFERROR(__xludf.DUMMYFUNCTION("""COMPUTED_VALUE"""),45147.0)</f>
        <v>45147</v>
      </c>
      <c r="S2525" s="57">
        <f>IFERROR(__xludf.DUMMYFUNCTION("""COMPUTED_VALUE"""),45147.0)</f>
        <v>45147</v>
      </c>
      <c r="T2525" s="57">
        <f>IFERROR(__xludf.DUMMYFUNCTION("""COMPUTED_VALUE"""),45184.0)</f>
        <v>45184</v>
      </c>
    </row>
    <row r="2526">
      <c r="A2526" s="6" t="str">
        <f>IFERROR(__xludf.DUMMYFUNCTION("""COMPUTED_VALUE"""),"231750555-1")</f>
        <v>231750555-1</v>
      </c>
      <c r="B2526" s="6" t="str">
        <f>IFERROR(__xludf.DUMMYFUNCTION("""COMPUTED_VALUE"""),"231750555 - Approved")</f>
        <v>231750555 - Approved</v>
      </c>
      <c r="C2526" s="6">
        <f>IFERROR(__xludf.DUMMYFUNCTION("""COMPUTED_VALUE"""),1.0)</f>
        <v>1</v>
      </c>
      <c r="D2526" s="6" t="str">
        <f>IFERROR(__xludf.DUMMYFUNCTION("""COMPUTED_VALUE"""),"T-20123-00")</f>
        <v>T-20123-00</v>
      </c>
      <c r="E2526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526" s="6">
        <f>IFERROR(__xludf.DUMMYFUNCTION("""COMPUTED_VALUE"""),3.0)</f>
        <v>3</v>
      </c>
      <c r="G2526" s="6" t="str">
        <f>IFERROR(__xludf.DUMMYFUNCTION("""COMPUTED_VALUE"""),"Pieces")</f>
        <v>Pieces</v>
      </c>
      <c r="H2526" s="6" t="str">
        <f>IFERROR(__xludf.DUMMYFUNCTION("""COMPUTED_VALUE"""),"IDR")</f>
        <v>IDR</v>
      </c>
      <c r="I2526" s="11">
        <f>IFERROR(__xludf.DUMMYFUNCTION("""COMPUTED_VALUE"""),1.32E7)</f>
        <v>13200000</v>
      </c>
      <c r="J2526" s="11">
        <f>IFERROR(__xludf.DUMMYFUNCTION("""COMPUTED_VALUE"""),3.96E7)</f>
        <v>39600000</v>
      </c>
      <c r="K2526" s="57">
        <f>IFERROR(__xludf.DUMMYFUNCTION("""COMPUTED_VALUE"""),45161.0)</f>
        <v>45161</v>
      </c>
      <c r="L2526" s="6" t="str">
        <f>IFERROR(__xludf.DUMMYFUNCTION("""COMPUTED_VALUE"""),"FIP General")</f>
        <v>FIP General</v>
      </c>
      <c r="M2526" s="6" t="str">
        <f>IFERROR(__xludf.DUMMYFUNCTION("""COMPUTED_VALUE"""),"Mochammad Fadhillah Hakim")</f>
        <v>Mochammad Fadhillah Hakim</v>
      </c>
      <c r="N2526" s="6" t="str">
        <f>IFERROR(__xludf.DUMMYFUNCTION("""COMPUTED_VALUE"""),"FIP Engineering")</f>
        <v>FIP Engineering</v>
      </c>
      <c r="O2526" s="6" t="str">
        <f>IFERROR(__xludf.DUMMYFUNCTION("""COMPUTED_VALUE"""),"FIP-DOM-ENG-51505-0000000-INA-000000")</f>
        <v>FIP-DOM-ENG-51505-0000000-INA-000000</v>
      </c>
      <c r="P2526" s="6" t="str">
        <f>IFERROR(__xludf.DUMMYFUNCTION("""COMPUTED_VALUE"""),"PO Closed")</f>
        <v>PO Closed</v>
      </c>
      <c r="Q2526" s="6" t="str">
        <f>IFERROR(__xludf.DUMMYFUNCTION("""COMPUTED_VALUE"""),"GL2308045")</f>
        <v>GL2308045</v>
      </c>
      <c r="R2526" s="57">
        <f>IFERROR(__xludf.DUMMYFUNCTION("""COMPUTED_VALUE"""),45147.0)</f>
        <v>45147</v>
      </c>
      <c r="S2526" s="57">
        <f>IFERROR(__xludf.DUMMYFUNCTION("""COMPUTED_VALUE"""),45148.0)</f>
        <v>45148</v>
      </c>
      <c r="T2526" s="57">
        <f>IFERROR(__xludf.DUMMYFUNCTION("""COMPUTED_VALUE"""),45184.0)</f>
        <v>45184</v>
      </c>
    </row>
    <row r="2527">
      <c r="A2527" s="6" t="str">
        <f>IFERROR(__xludf.DUMMYFUNCTION("""COMPUTED_VALUE"""),"231750557-1")</f>
        <v>231750557-1</v>
      </c>
      <c r="B2527" s="6" t="str">
        <f>IFERROR(__xludf.DUMMYFUNCTION("""COMPUTED_VALUE"""),"231750557 - Approved")</f>
        <v>231750557 - Approved</v>
      </c>
      <c r="C2527" s="6">
        <f>IFERROR(__xludf.DUMMYFUNCTION("""COMPUTED_VALUE"""),1.0)</f>
        <v>1</v>
      </c>
      <c r="D2527" s="6" t="str">
        <f>IFERROR(__xludf.DUMMYFUNCTION("""COMPUTED_VALUE"""),"O-14594-00")</f>
        <v>O-14594-00</v>
      </c>
      <c r="E2527" s="6" t="str">
        <f>IFERROR(__xludf.DUMMYFUNCTION("""COMPUTED_VALUE"""),"Kit, membrane ozone 6510 METTLER TOLEDO INDONESIA, PT P/N : - pc")</f>
        <v>Kit, membrane ozone 6510 METTLER TOLEDO INDONESIA, PT P/N : - pc</v>
      </c>
      <c r="F2527" s="6">
        <f>IFERROR(__xludf.DUMMYFUNCTION("""COMPUTED_VALUE"""),1.0)</f>
        <v>1</v>
      </c>
      <c r="G2527" s="6" t="str">
        <f>IFERROR(__xludf.DUMMYFUNCTION("""COMPUTED_VALUE"""),"Unit")</f>
        <v>Unit</v>
      </c>
      <c r="H2527" s="6" t="str">
        <f>IFERROR(__xludf.DUMMYFUNCTION("""COMPUTED_VALUE"""),"IDR")</f>
        <v>IDR</v>
      </c>
      <c r="I2527" s="11">
        <f>IFERROR(__xludf.DUMMYFUNCTION("""COMPUTED_VALUE"""),1.1754E7)</f>
        <v>11754000</v>
      </c>
      <c r="J2527" s="11">
        <f>IFERROR(__xludf.DUMMYFUNCTION("""COMPUTED_VALUE"""),1.1754E7)</f>
        <v>11754000</v>
      </c>
      <c r="K2527" s="57">
        <f>IFERROR(__xludf.DUMMYFUNCTION("""COMPUTED_VALUE"""),45162.0)</f>
        <v>45162</v>
      </c>
      <c r="L2527" s="6" t="str">
        <f>IFERROR(__xludf.DUMMYFUNCTION("""COMPUTED_VALUE"""),"FIP Engineering")</f>
        <v>FIP Engineering</v>
      </c>
      <c r="M2527" s="6" t="str">
        <f>IFERROR(__xludf.DUMMYFUNCTION("""COMPUTED_VALUE"""),"Mochammad Fadhillah Hakim")</f>
        <v>Mochammad Fadhillah Hakim</v>
      </c>
      <c r="N2527" s="6" t="str">
        <f>IFERROR(__xludf.DUMMYFUNCTION("""COMPUTED_VALUE"""),"FIP Engineering")</f>
        <v>FIP Engineering</v>
      </c>
      <c r="O2527" s="6" t="str">
        <f>IFERROR(__xludf.DUMMYFUNCTION("""COMPUTED_VALUE"""),"FIP-DOM-000-11304-OS00001-INA-000000")</f>
        <v>FIP-DOM-000-11304-OS00001-INA-000000</v>
      </c>
      <c r="P2527" s="6" t="str">
        <f>IFERROR(__xludf.DUMMYFUNCTION("""COMPUTED_VALUE"""),"PO Closed")</f>
        <v>PO Closed</v>
      </c>
      <c r="Q2527" s="6" t="str">
        <f>IFERROR(__xludf.DUMMYFUNCTION("""COMPUTED_VALUE"""),"GL2309052")</f>
        <v>GL2309052</v>
      </c>
      <c r="R2527" s="57">
        <f>IFERROR(__xludf.DUMMYFUNCTION("""COMPUTED_VALUE"""),45148.0)</f>
        <v>45148</v>
      </c>
      <c r="S2527" s="57">
        <f>IFERROR(__xludf.DUMMYFUNCTION("""COMPUTED_VALUE"""),45152.0)</f>
        <v>45152</v>
      </c>
      <c r="T2527" s="57">
        <f>IFERROR(__xludf.DUMMYFUNCTION("""COMPUTED_VALUE"""),45270.0)</f>
        <v>45270</v>
      </c>
    </row>
    <row r="2528">
      <c r="A2528" s="6" t="str">
        <f>IFERROR(__xludf.DUMMYFUNCTION("""COMPUTED_VALUE"""),"231750560-1")</f>
        <v>231750560-1</v>
      </c>
      <c r="B2528" s="6" t="str">
        <f>IFERROR(__xludf.DUMMYFUNCTION("""COMPUTED_VALUE"""),"231750560 - Approved")</f>
        <v>231750560 - Approved</v>
      </c>
      <c r="C2528" s="6">
        <f>IFERROR(__xludf.DUMMYFUNCTION("""COMPUTED_VALUE"""),1.0)</f>
        <v>1</v>
      </c>
      <c r="D2528" s="6" t="str">
        <f>IFERROR(__xludf.DUMMYFUNCTION("""COMPUTED_VALUE"""),"S-60050-00")</f>
        <v>S-60050-00</v>
      </c>
      <c r="E2528" s="6" t="str">
        <f>IFERROR(__xludf.DUMMYFUNCTION("""COMPUTED_VALUE"""),"Jasa Perbaikan dan Pemeliharaan Mesin Produksi; ; ; - Jasa Perbakan Sensor H2O2")</f>
        <v>Jasa Perbaikan dan Pemeliharaan Mesin Produksi; ; ; - Jasa Perbakan Sensor H2O2</v>
      </c>
      <c r="F2528" s="6">
        <f>IFERROR(__xludf.DUMMYFUNCTION("""COMPUTED_VALUE"""),1.0)</f>
        <v>1</v>
      </c>
      <c r="G2528" s="6" t="str">
        <f>IFERROR(__xludf.DUMMYFUNCTION("""COMPUTED_VALUE"""),"Pieces")</f>
        <v>Pieces</v>
      </c>
      <c r="H2528" s="6" t="str">
        <f>IFERROR(__xludf.DUMMYFUNCTION("""COMPUTED_VALUE"""),"IDR")</f>
        <v>IDR</v>
      </c>
      <c r="I2528" s="11">
        <f>IFERROR(__xludf.DUMMYFUNCTION("""COMPUTED_VALUE"""),1.685E7)</f>
        <v>16850000</v>
      </c>
      <c r="J2528" s="11">
        <f>IFERROR(__xludf.DUMMYFUNCTION("""COMPUTED_VALUE"""),1.685E7)</f>
        <v>16850000</v>
      </c>
      <c r="K2528" s="57">
        <f>IFERROR(__xludf.DUMMYFUNCTION("""COMPUTED_VALUE"""),45162.0)</f>
        <v>45162</v>
      </c>
      <c r="L2528" s="6" t="str">
        <f>IFERROR(__xludf.DUMMYFUNCTION("""COMPUTED_VALUE"""),"FIP General")</f>
        <v>FIP General</v>
      </c>
      <c r="M2528" s="6" t="str">
        <f>IFERROR(__xludf.DUMMYFUNCTION("""COMPUTED_VALUE"""),"Mochammad Fadhillah Hakim")</f>
        <v>Mochammad Fadhillah Hakim</v>
      </c>
      <c r="N2528" s="6" t="str">
        <f>IFERROR(__xludf.DUMMYFUNCTION("""COMPUTED_VALUE"""),"FIP Engineering")</f>
        <v>FIP Engineering</v>
      </c>
      <c r="O2528" s="6" t="str">
        <f>IFERROR(__xludf.DUMMYFUNCTION("""COMPUTED_VALUE"""),"FIP-DOM-ENG-51504-0000000-INA-000000")</f>
        <v>FIP-DOM-ENG-51504-0000000-INA-000000</v>
      </c>
      <c r="P2528" s="6" t="str">
        <f>IFERROR(__xludf.DUMMYFUNCTION("""COMPUTED_VALUE"""),"PO Closed")</f>
        <v>PO Closed</v>
      </c>
      <c r="Q2528" s="6" t="str">
        <f>IFERROR(__xludf.DUMMYFUNCTION("""COMPUTED_VALUE"""),"GL2309051")</f>
        <v>GL2309051</v>
      </c>
      <c r="R2528" s="57">
        <f>IFERROR(__xludf.DUMMYFUNCTION("""COMPUTED_VALUE"""),45148.0)</f>
        <v>45148</v>
      </c>
      <c r="S2528" s="57">
        <f>IFERROR(__xludf.DUMMYFUNCTION("""COMPUTED_VALUE"""),45148.0)</f>
        <v>45148</v>
      </c>
      <c r="T2528" s="57">
        <f>IFERROR(__xludf.DUMMYFUNCTION("""COMPUTED_VALUE"""),45381.0)</f>
        <v>45381</v>
      </c>
    </row>
    <row r="2529">
      <c r="A2529" s="6" t="str">
        <f>IFERROR(__xludf.DUMMYFUNCTION("""COMPUTED_VALUE"""),"231750562-1")</f>
        <v>231750562-1</v>
      </c>
      <c r="B2529" s="6" t="str">
        <f>IFERROR(__xludf.DUMMYFUNCTION("""COMPUTED_VALUE"""),"231750562 - Approved")</f>
        <v>231750562 - Approved</v>
      </c>
      <c r="C2529" s="6">
        <f>IFERROR(__xludf.DUMMYFUNCTION("""COMPUTED_VALUE"""),1.0)</f>
        <v>1</v>
      </c>
      <c r="D2529" s="6" t="str">
        <f>IFERROR(__xludf.DUMMYFUNCTION("""COMPUTED_VALUE"""),"R-62002-00")</f>
        <v>R-62002-00</v>
      </c>
      <c r="E2529" s="6" t="str">
        <f>IFERROR(__xludf.DUMMYFUNCTION("""COMPUTED_VALUE"""),"Computer Notebook - Notebook ThinkPad E14 Gen 4 Intel 21E4CT")</f>
        <v>Computer Notebook - Notebook ThinkPad E14 Gen 4 Intel 21E4CT</v>
      </c>
      <c r="F2529" s="6">
        <f>IFERROR(__xludf.DUMMYFUNCTION("""COMPUTED_VALUE"""),1.0)</f>
        <v>1</v>
      </c>
      <c r="G2529" s="6" t="str">
        <f>IFERROR(__xludf.DUMMYFUNCTION("""COMPUTED_VALUE"""),"Unit")</f>
        <v>Unit</v>
      </c>
      <c r="H2529" s="6" t="str">
        <f>IFERROR(__xludf.DUMMYFUNCTION("""COMPUTED_VALUE"""),"IDR")</f>
        <v>IDR</v>
      </c>
      <c r="I2529" s="11">
        <f>IFERROR(__xludf.DUMMYFUNCTION("""COMPUTED_VALUE"""),1.315E7)</f>
        <v>13150000</v>
      </c>
      <c r="J2529" s="11">
        <f>IFERROR(__xludf.DUMMYFUNCTION("""COMPUTED_VALUE"""),1.315E7)</f>
        <v>13150000</v>
      </c>
      <c r="K2529" s="57">
        <f>IFERROR(__xludf.DUMMYFUNCTION("""COMPUTED_VALUE"""),45163.0)</f>
        <v>45163</v>
      </c>
      <c r="L2529" s="6" t="str">
        <f>IFERROR(__xludf.DUMMYFUNCTION("""COMPUTED_VALUE"""),"FIP General")</f>
        <v>FIP General</v>
      </c>
      <c r="M2529" s="6" t="str">
        <f>IFERROR(__xludf.DUMMYFUNCTION("""COMPUTED_VALUE"""),"Kristiawan Sakti Winarno")</f>
        <v>Kristiawan Sakti Winarno</v>
      </c>
      <c r="N2529" s="6" t="str">
        <f>IFERROR(__xludf.DUMMYFUNCTION("""COMPUTED_VALUE"""),"FIP Engineering")</f>
        <v>FIP Engineering</v>
      </c>
      <c r="O2529" s="6" t="str">
        <f>IFERROR(__xludf.DUMMYFUNCTION("""COMPUTED_VALUE"""),"FIP-DOM-ENG-13408-IT23006-INA-000000")</f>
        <v>FIP-DOM-ENG-13408-IT23006-INA-000000</v>
      </c>
      <c r="P2529" s="6" t="str">
        <f>IFERROR(__xludf.DUMMYFUNCTION("""COMPUTED_VALUE"""),"PO Closed")</f>
        <v>PO Closed</v>
      </c>
      <c r="Q2529" s="6" t="str">
        <f>IFERROR(__xludf.DUMMYFUNCTION("""COMPUTED_VALUE"""),"GL2308039")</f>
        <v>GL2308039</v>
      </c>
      <c r="R2529" s="57">
        <f>IFERROR(__xludf.DUMMYFUNCTION("""COMPUTED_VALUE"""),45149.0)</f>
        <v>45149</v>
      </c>
      <c r="S2529" s="57">
        <f>IFERROR(__xludf.DUMMYFUNCTION("""COMPUTED_VALUE"""),45153.0)</f>
        <v>45153</v>
      </c>
      <c r="T2529" s="57">
        <f>IFERROR(__xludf.DUMMYFUNCTION("""COMPUTED_VALUE"""),45168.0)</f>
        <v>45168</v>
      </c>
    </row>
    <row r="2530">
      <c r="A2530" s="6" t="str">
        <f>IFERROR(__xludf.DUMMYFUNCTION("""COMPUTED_VALUE"""),"231750567-1")</f>
        <v>231750567-1</v>
      </c>
      <c r="B2530" s="6" t="str">
        <f>IFERROR(__xludf.DUMMYFUNCTION("""COMPUTED_VALUE"""),"231750567 - Approved")</f>
        <v>231750567 - Approved</v>
      </c>
      <c r="C2530" s="6">
        <f>IFERROR(__xludf.DUMMYFUNCTION("""COMPUTED_VALUE"""),1.0)</f>
        <v>1</v>
      </c>
      <c r="D2530" s="6" t="str">
        <f>IFERROR(__xludf.DUMMYFUNCTION("""COMPUTED_VALUE"""),"P-52529-00")</f>
        <v>P-52529-00</v>
      </c>
      <c r="E2530" s="6" t="str">
        <f>IFERROR(__xludf.DUMMYFUNCTION("""COMPUTED_VALUE"""),"HDMI NSH-35 s/n 1308744 P/n: PWS6A00T-P; ; ;")</f>
        <v>HDMI NSH-35 s/n 1308744 P/n: PWS6A00T-P; ; ;</v>
      </c>
      <c r="F2530" s="6">
        <f>IFERROR(__xludf.DUMMYFUNCTION("""COMPUTED_VALUE"""),1.0)</f>
        <v>1</v>
      </c>
      <c r="G2530" s="6" t="str">
        <f>IFERROR(__xludf.DUMMYFUNCTION("""COMPUTED_VALUE"""),"Unit")</f>
        <v>Unit</v>
      </c>
      <c r="H2530" s="6" t="str">
        <f>IFERROR(__xludf.DUMMYFUNCTION("""COMPUTED_VALUE"""),"IDR")</f>
        <v>IDR</v>
      </c>
      <c r="I2530" s="11">
        <f>IFERROR(__xludf.DUMMYFUNCTION("""COMPUTED_VALUE"""),9.1E7)</f>
        <v>91000000</v>
      </c>
      <c r="J2530" s="11">
        <f>IFERROR(__xludf.DUMMYFUNCTION("""COMPUTED_VALUE"""),9.1E7)</f>
        <v>91000000</v>
      </c>
      <c r="K2530" s="57">
        <f>IFERROR(__xludf.DUMMYFUNCTION("""COMPUTED_VALUE"""),45163.0)</f>
        <v>45163</v>
      </c>
      <c r="L2530" s="6" t="str">
        <f>IFERROR(__xludf.DUMMYFUNCTION("""COMPUTED_VALUE"""),"FIP Engineering")</f>
        <v>FIP Engineering</v>
      </c>
      <c r="M2530" s="6" t="str">
        <f>IFERROR(__xludf.DUMMYFUNCTION("""COMPUTED_VALUE"""),"Mochammad Fadhillah Hakim")</f>
        <v>Mochammad Fadhillah Hakim</v>
      </c>
      <c r="N2530" s="6" t="str">
        <f>IFERROR(__xludf.DUMMYFUNCTION("""COMPUTED_VALUE"""),"FIP Engineering")</f>
        <v>FIP Engineering</v>
      </c>
      <c r="O2530" s="6" t="str">
        <f>IFERROR(__xludf.DUMMYFUNCTION("""COMPUTED_VALUE"""),"FIP-DOM-000-11304-OS00001-INA-000000")</f>
        <v>FIP-DOM-000-11304-OS00001-INA-000000</v>
      </c>
      <c r="P2530" s="6" t="str">
        <f>IFERROR(__xludf.DUMMYFUNCTION("""COMPUTED_VALUE"""),"PO Closed")</f>
        <v>PO Closed</v>
      </c>
      <c r="Q2530" s="6" t="str">
        <f>IFERROR(__xludf.DUMMYFUNCTION("""COMPUTED_VALUE"""),"GL2310005")</f>
        <v>GL2310005</v>
      </c>
      <c r="R2530" s="57">
        <f>IFERROR(__xludf.DUMMYFUNCTION("""COMPUTED_VALUE"""),45152.0)</f>
        <v>45152</v>
      </c>
      <c r="S2530" s="57">
        <f>IFERROR(__xludf.DUMMYFUNCTION("""COMPUTED_VALUE"""),45153.0)</f>
        <v>45153</v>
      </c>
      <c r="T2530" s="57">
        <f>IFERROR(__xludf.DUMMYFUNCTION("""COMPUTED_VALUE"""),45321.0)</f>
        <v>45321</v>
      </c>
    </row>
    <row r="2531">
      <c r="A2531" s="6" t="str">
        <f>IFERROR(__xludf.DUMMYFUNCTION("""COMPUTED_VALUE"""),"231750573-1")</f>
        <v>231750573-1</v>
      </c>
      <c r="B2531" s="6" t="str">
        <f>IFERROR(__xludf.DUMMYFUNCTION("""COMPUTED_VALUE"""),"231750573 - Approved")</f>
        <v>231750573 - Approved</v>
      </c>
      <c r="C2531" s="6">
        <f>IFERROR(__xludf.DUMMYFUNCTION("""COMPUTED_VALUE"""),1.0)</f>
        <v>1</v>
      </c>
      <c r="D2531" s="6" t="str">
        <f>IFERROR(__xludf.DUMMYFUNCTION("""COMPUTED_VALUE"""),"P-53169-00")</f>
        <v>P-53169-00</v>
      </c>
      <c r="E2531" s="6" t="str">
        <f>IFERROR(__xludf.DUMMYFUNCTION("""COMPUTED_VALUE"""),"Ballast Electronic EB-C 228 TL5, 2x28W; Phillips; ;")</f>
        <v>Ballast Electronic EB-C 228 TL5, 2x28W; Phillips; ;</v>
      </c>
      <c r="F2531" s="6">
        <f>IFERROR(__xludf.DUMMYFUNCTION("""COMPUTED_VALUE"""),10.0)</f>
        <v>10</v>
      </c>
      <c r="G2531" s="6" t="str">
        <f>IFERROR(__xludf.DUMMYFUNCTION("""COMPUTED_VALUE"""),"Pieces")</f>
        <v>Pieces</v>
      </c>
      <c r="H2531" s="6" t="str">
        <f>IFERROR(__xludf.DUMMYFUNCTION("""COMPUTED_VALUE"""),"IDR")</f>
        <v>IDR</v>
      </c>
      <c r="I2531" s="11">
        <f>IFERROR(__xludf.DUMMYFUNCTION("""COMPUTED_VALUE"""),115000.0)</f>
        <v>115000</v>
      </c>
      <c r="J2531" s="11">
        <f>IFERROR(__xludf.DUMMYFUNCTION("""COMPUTED_VALUE"""),1150000.0)</f>
        <v>1150000</v>
      </c>
      <c r="K2531" s="57">
        <f>IFERROR(__xludf.DUMMYFUNCTION("""COMPUTED_VALUE"""),45167.0)</f>
        <v>45167</v>
      </c>
      <c r="L2531" s="6" t="str">
        <f>IFERROR(__xludf.DUMMYFUNCTION("""COMPUTED_VALUE"""),"FIP Engineering")</f>
        <v>FIP Engineering</v>
      </c>
      <c r="M2531" s="6" t="str">
        <f>IFERROR(__xludf.DUMMYFUNCTION("""COMPUTED_VALUE"""),"Mochammad Fadhillah Hakim")</f>
        <v>Mochammad Fadhillah Hakim</v>
      </c>
      <c r="N2531" s="6" t="str">
        <f>IFERROR(__xludf.DUMMYFUNCTION("""COMPUTED_VALUE"""),"FIP Engineering")</f>
        <v>FIP Engineering</v>
      </c>
      <c r="O2531" s="6" t="str">
        <f>IFERROR(__xludf.DUMMYFUNCTION("""COMPUTED_VALUE"""),"FIP-DOM-000-11304-OS00001-INA-000000")</f>
        <v>FIP-DOM-000-11304-OS00001-INA-000000</v>
      </c>
      <c r="P2531" s="6" t="str">
        <f>IFERROR(__xludf.DUMMYFUNCTION("""COMPUTED_VALUE"""),"PO Closed")</f>
        <v>PO Closed</v>
      </c>
      <c r="Q2531" s="6" t="str">
        <f>IFERROR(__xludf.DUMMYFUNCTION("""COMPUTED_VALUE"""),"GL2310022")</f>
        <v>GL2310022</v>
      </c>
      <c r="R2531" s="57">
        <f>IFERROR(__xludf.DUMMYFUNCTION("""COMPUTED_VALUE"""),45153.0)</f>
        <v>45153</v>
      </c>
      <c r="S2531" s="57">
        <f>IFERROR(__xludf.DUMMYFUNCTION("""COMPUTED_VALUE"""),45161.0)</f>
        <v>45161</v>
      </c>
      <c r="T2531" s="57">
        <f>IFERROR(__xludf.DUMMYFUNCTION("""COMPUTED_VALUE"""),45250.0)</f>
        <v>45250</v>
      </c>
    </row>
    <row r="2532">
      <c r="A2532" s="6" t="str">
        <f>IFERROR(__xludf.DUMMYFUNCTION("""COMPUTED_VALUE"""),"231750573-2")</f>
        <v>231750573-2</v>
      </c>
      <c r="B2532" s="6" t="str">
        <f>IFERROR(__xludf.DUMMYFUNCTION("""COMPUTED_VALUE"""),"231750573 - Approved")</f>
        <v>231750573 - Approved</v>
      </c>
      <c r="C2532" s="6">
        <f>IFERROR(__xludf.DUMMYFUNCTION("""COMPUTED_VALUE"""),2.0)</f>
        <v>2</v>
      </c>
      <c r="D2532" s="6" t="str">
        <f>IFERROR(__xludf.DUMMYFUNCTION("""COMPUTED_VALUE"""),"P-11991-00")</f>
        <v>P-11991-00</v>
      </c>
      <c r="E2532" s="6" t="str">
        <f>IFERROR(__xludf.DUMMYFUNCTION("""COMPUTED_VALUE"""),"Cable ties CS 200L")</f>
        <v>Cable ties CS 200L</v>
      </c>
      <c r="F2532" s="6">
        <f>IFERROR(__xludf.DUMMYFUNCTION("""COMPUTED_VALUE"""),5.0)</f>
        <v>5</v>
      </c>
      <c r="G2532" s="6" t="str">
        <f>IFERROR(__xludf.DUMMYFUNCTION("""COMPUTED_VALUE"""),"Pieces")</f>
        <v>Pieces</v>
      </c>
      <c r="H2532" s="6" t="str">
        <f>IFERROR(__xludf.DUMMYFUNCTION("""COMPUTED_VALUE"""),"IDR")</f>
        <v>IDR</v>
      </c>
      <c r="I2532" s="11">
        <f>IFERROR(__xludf.DUMMYFUNCTION("""COMPUTED_VALUE"""),100000.0)</f>
        <v>100000</v>
      </c>
      <c r="J2532" s="11">
        <f>IFERROR(__xludf.DUMMYFUNCTION("""COMPUTED_VALUE"""),500000.0)</f>
        <v>500000</v>
      </c>
      <c r="K2532" s="57">
        <f>IFERROR(__xludf.DUMMYFUNCTION("""COMPUTED_VALUE"""),45167.0)</f>
        <v>45167</v>
      </c>
      <c r="L2532" s="6" t="str">
        <f>IFERROR(__xludf.DUMMYFUNCTION("""COMPUTED_VALUE"""),"FIP Engineering")</f>
        <v>FIP Engineering</v>
      </c>
      <c r="M2532" s="6" t="str">
        <f>IFERROR(__xludf.DUMMYFUNCTION("""COMPUTED_VALUE"""),"Mochammad Fadhillah Hakim")</f>
        <v>Mochammad Fadhillah Hakim</v>
      </c>
      <c r="N2532" s="6" t="str">
        <f>IFERROR(__xludf.DUMMYFUNCTION("""COMPUTED_VALUE"""),"FIP Engineering")</f>
        <v>FIP Engineering</v>
      </c>
      <c r="O2532" s="6" t="str">
        <f>IFERROR(__xludf.DUMMYFUNCTION("""COMPUTED_VALUE"""),"FIP-DOM-000-11304-OS00001-INA-000000")</f>
        <v>FIP-DOM-000-11304-OS00001-INA-000000</v>
      </c>
      <c r="P2532" s="6" t="str">
        <f>IFERROR(__xludf.DUMMYFUNCTION("""COMPUTED_VALUE"""),"PO Closed")</f>
        <v>PO Closed</v>
      </c>
      <c r="Q2532" s="6" t="str">
        <f>IFERROR(__xludf.DUMMYFUNCTION("""COMPUTED_VALUE"""),"GL2309008")</f>
        <v>GL2309008</v>
      </c>
      <c r="R2532" s="57">
        <f>IFERROR(__xludf.DUMMYFUNCTION("""COMPUTED_VALUE"""),45153.0)</f>
        <v>45153</v>
      </c>
      <c r="S2532" s="57">
        <f>IFERROR(__xludf.DUMMYFUNCTION("""COMPUTED_VALUE"""),45161.0)</f>
        <v>45161</v>
      </c>
      <c r="T2532" s="57">
        <f>IFERROR(__xludf.DUMMYFUNCTION("""COMPUTED_VALUE"""),45245.0)</f>
        <v>45245</v>
      </c>
    </row>
    <row r="2533">
      <c r="A2533" s="6" t="str">
        <f>IFERROR(__xludf.DUMMYFUNCTION("""COMPUTED_VALUE"""),"231750573-3")</f>
        <v>231750573-3</v>
      </c>
      <c r="B2533" s="6" t="str">
        <f>IFERROR(__xludf.DUMMYFUNCTION("""COMPUTED_VALUE"""),"231750573 - Approved")</f>
        <v>231750573 - Approved</v>
      </c>
      <c r="C2533" s="6">
        <f>IFERROR(__xludf.DUMMYFUNCTION("""COMPUTED_VALUE"""),3.0)</f>
        <v>3</v>
      </c>
      <c r="D2533" s="6" t="str">
        <f>IFERROR(__xludf.DUMMYFUNCTION("""COMPUTED_VALUE"""),"Q-60502-00")</f>
        <v>Q-60502-00</v>
      </c>
      <c r="E2533" s="6" t="str">
        <f>IFERROR(__xludf.DUMMYFUNCTION("""COMPUTED_VALUE"""),"Silicone Sealant, Silglaze, Type N10 White, pack size per pcs")</f>
        <v>Silicone Sealant, Silglaze, Type N10 White, pack size per pcs</v>
      </c>
      <c r="F2533" s="6">
        <f>IFERROR(__xludf.DUMMYFUNCTION("""COMPUTED_VALUE"""),6.0)</f>
        <v>6</v>
      </c>
      <c r="G2533" s="6" t="str">
        <f>IFERROR(__xludf.DUMMYFUNCTION("""COMPUTED_VALUE"""),"Pieces")</f>
        <v>Pieces</v>
      </c>
      <c r="H2533" s="6" t="str">
        <f>IFERROR(__xludf.DUMMYFUNCTION("""COMPUTED_VALUE"""),"IDR")</f>
        <v>IDR</v>
      </c>
      <c r="I2533" s="11">
        <f>IFERROR(__xludf.DUMMYFUNCTION("""COMPUTED_VALUE"""),62000.0)</f>
        <v>62000</v>
      </c>
      <c r="J2533" s="11">
        <f>IFERROR(__xludf.DUMMYFUNCTION("""COMPUTED_VALUE"""),372000.0)</f>
        <v>372000</v>
      </c>
      <c r="K2533" s="57">
        <f>IFERROR(__xludf.DUMMYFUNCTION("""COMPUTED_VALUE"""),45167.0)</f>
        <v>45167</v>
      </c>
      <c r="L2533" s="6" t="str">
        <f>IFERROR(__xludf.DUMMYFUNCTION("""COMPUTED_VALUE"""),"FIP Engineering")</f>
        <v>FIP Engineering</v>
      </c>
      <c r="M2533" s="6" t="str">
        <f>IFERROR(__xludf.DUMMYFUNCTION("""COMPUTED_VALUE"""),"Mochammad Fadhillah Hakim")</f>
        <v>Mochammad Fadhillah Hakim</v>
      </c>
      <c r="N2533" s="6" t="str">
        <f>IFERROR(__xludf.DUMMYFUNCTION("""COMPUTED_VALUE"""),"FIP Engineering")</f>
        <v>FIP Engineering</v>
      </c>
      <c r="O2533" s="6" t="str">
        <f>IFERROR(__xludf.DUMMYFUNCTION("""COMPUTED_VALUE"""),"FIP-DOM-000-11304-OS00001-INA-000000")</f>
        <v>FIP-DOM-000-11304-OS00001-INA-000000</v>
      </c>
      <c r="P2533" s="6" t="str">
        <f>IFERROR(__xludf.DUMMYFUNCTION("""COMPUTED_VALUE"""),"PO Closed")</f>
        <v>PO Closed</v>
      </c>
      <c r="Q2533" s="6" t="str">
        <f>IFERROR(__xludf.DUMMYFUNCTION("""COMPUTED_VALUE"""),"GL2309011")</f>
        <v>GL2309011</v>
      </c>
      <c r="R2533" s="57">
        <f>IFERROR(__xludf.DUMMYFUNCTION("""COMPUTED_VALUE"""),45153.0)</f>
        <v>45153</v>
      </c>
      <c r="S2533" s="57">
        <f>IFERROR(__xludf.DUMMYFUNCTION("""COMPUTED_VALUE"""),45161.0)</f>
        <v>45161</v>
      </c>
      <c r="T2533" s="57">
        <f>IFERROR(__xludf.DUMMYFUNCTION("""COMPUTED_VALUE"""),45194.0)</f>
        <v>45194</v>
      </c>
    </row>
    <row r="2534">
      <c r="A2534" s="6" t="str">
        <f>IFERROR(__xludf.DUMMYFUNCTION("""COMPUTED_VALUE"""),"231750574-1")</f>
        <v>231750574-1</v>
      </c>
      <c r="B2534" s="6" t="str">
        <f>IFERROR(__xludf.DUMMYFUNCTION("""COMPUTED_VALUE"""),"231750574 - Approved")</f>
        <v>231750574 - Approved</v>
      </c>
      <c r="C2534" s="6">
        <f>IFERROR(__xludf.DUMMYFUNCTION("""COMPUTED_VALUE"""),1.0)</f>
        <v>1</v>
      </c>
      <c r="D2534" s="6" t="str">
        <f>IFERROR(__xludf.DUMMYFUNCTION("""COMPUTED_VALUE"""),"P-52791-00")</f>
        <v>P-52791-00</v>
      </c>
      <c r="E2534" s="6" t="str">
        <f>IFERROR(__xludf.DUMMYFUNCTION("""COMPUTED_VALUE"""),"IC Components LTC2411IMS; ; ;")</f>
        <v>IC Components LTC2411IMS; ; ;</v>
      </c>
      <c r="F2534" s="6">
        <f>IFERROR(__xludf.DUMMYFUNCTION("""COMPUTED_VALUE"""),5.0)</f>
        <v>5</v>
      </c>
      <c r="G2534" s="6" t="str">
        <f>IFERROR(__xludf.DUMMYFUNCTION("""COMPUTED_VALUE"""),"Pieces")</f>
        <v>Pieces</v>
      </c>
      <c r="H2534" s="6" t="str">
        <f>IFERROR(__xludf.DUMMYFUNCTION("""COMPUTED_VALUE"""),"IDR")</f>
        <v>IDR</v>
      </c>
      <c r="I2534" s="11">
        <f>IFERROR(__xludf.DUMMYFUNCTION("""COMPUTED_VALUE"""),768000.0)</f>
        <v>768000</v>
      </c>
      <c r="J2534" s="11">
        <f>IFERROR(__xludf.DUMMYFUNCTION("""COMPUTED_VALUE"""),3840000.0)</f>
        <v>3840000</v>
      </c>
      <c r="K2534" s="57">
        <f>IFERROR(__xludf.DUMMYFUNCTION("""COMPUTED_VALUE"""),45168.0)</f>
        <v>45168</v>
      </c>
      <c r="L2534" s="6" t="str">
        <f>IFERROR(__xludf.DUMMYFUNCTION("""COMPUTED_VALUE"""),"FIP Engineering")</f>
        <v>FIP Engineering</v>
      </c>
      <c r="M2534" s="6" t="str">
        <f>IFERROR(__xludf.DUMMYFUNCTION("""COMPUTED_VALUE"""),"Mochammad Fadhillah Hakim")</f>
        <v>Mochammad Fadhillah Hakim</v>
      </c>
      <c r="N2534" s="6" t="str">
        <f>IFERROR(__xludf.DUMMYFUNCTION("""COMPUTED_VALUE"""),"FIP Engineering")</f>
        <v>FIP Engineering</v>
      </c>
      <c r="O2534" s="6" t="str">
        <f>IFERROR(__xludf.DUMMYFUNCTION("""COMPUTED_VALUE"""),"FIP-DOM-000-11304-OS00001-INA-000000")</f>
        <v>FIP-DOM-000-11304-OS00001-INA-000000</v>
      </c>
      <c r="P2534" s="6" t="str">
        <f>IFERROR(__xludf.DUMMYFUNCTION("""COMPUTED_VALUE"""),"PO Closed")</f>
        <v>PO Closed</v>
      </c>
      <c r="Q2534" s="6" t="str">
        <f>IFERROR(__xludf.DUMMYFUNCTION("""COMPUTED_VALUE"""),"GL2310040")</f>
        <v>GL2310040</v>
      </c>
      <c r="R2534" s="57">
        <f>IFERROR(__xludf.DUMMYFUNCTION("""COMPUTED_VALUE"""),45154.0)</f>
        <v>45154</v>
      </c>
      <c r="S2534" s="57">
        <f>IFERROR(__xludf.DUMMYFUNCTION("""COMPUTED_VALUE"""),45161.0)</f>
        <v>45161</v>
      </c>
      <c r="T2534" s="57">
        <f>IFERROR(__xludf.DUMMYFUNCTION("""COMPUTED_VALUE"""),45250.0)</f>
        <v>45250</v>
      </c>
    </row>
    <row r="2535">
      <c r="A2535" s="6" t="str">
        <f>IFERROR(__xludf.DUMMYFUNCTION("""COMPUTED_VALUE"""),"231750581-1")</f>
        <v>231750581-1</v>
      </c>
      <c r="B2535" s="6" t="str">
        <f>IFERROR(__xludf.DUMMYFUNCTION("""COMPUTED_VALUE"""),"231750581 - Approved")</f>
        <v>231750581 - Approved</v>
      </c>
      <c r="C2535" s="6">
        <f>IFERROR(__xludf.DUMMYFUNCTION("""COMPUTED_VALUE"""),1.0)</f>
        <v>1</v>
      </c>
      <c r="D2535" s="6" t="str">
        <f>IFERROR(__xludf.DUMMYFUNCTION("""COMPUTED_VALUE"""),"Q-10984-00")</f>
        <v>Q-10984-00</v>
      </c>
      <c r="E2535" s="6" t="str">
        <f>IFERROR(__xludf.DUMMYFUNCTION("""COMPUTED_VALUE"""),"Door Seal Karet Penutup Bawah Pintu Abu 2,5 cm x 1 M; ; ;")</f>
        <v>Door Seal Karet Penutup Bawah Pintu Abu 2,5 cm x 1 M; ; ;</v>
      </c>
      <c r="F2535" s="6">
        <f>IFERROR(__xludf.DUMMYFUNCTION("""COMPUTED_VALUE"""),6.0)</f>
        <v>6</v>
      </c>
      <c r="G2535" s="6" t="str">
        <f>IFERROR(__xludf.DUMMYFUNCTION("""COMPUTED_VALUE"""),"Pieces")</f>
        <v>Pieces</v>
      </c>
      <c r="H2535" s="6" t="str">
        <f>IFERROR(__xludf.DUMMYFUNCTION("""COMPUTED_VALUE"""),"IDR")</f>
        <v>IDR</v>
      </c>
      <c r="I2535" s="11">
        <f>IFERROR(__xludf.DUMMYFUNCTION("""COMPUTED_VALUE"""),26000.0)</f>
        <v>26000</v>
      </c>
      <c r="J2535" s="11">
        <f>IFERROR(__xludf.DUMMYFUNCTION("""COMPUTED_VALUE"""),156000.0)</f>
        <v>156000</v>
      </c>
      <c r="K2535" s="57">
        <f>IFERROR(__xludf.DUMMYFUNCTION("""COMPUTED_VALUE"""),45168.0)</f>
        <v>45168</v>
      </c>
      <c r="L2535" s="6" t="str">
        <f>IFERROR(__xludf.DUMMYFUNCTION("""COMPUTED_VALUE"""),"FIP General")</f>
        <v>FIP General</v>
      </c>
      <c r="M2535" s="6" t="str">
        <f>IFERROR(__xludf.DUMMYFUNCTION("""COMPUTED_VALUE"""),"Mochammad Fadhillah Hakim")</f>
        <v>Mochammad Fadhillah Hakim</v>
      </c>
      <c r="N2535" s="6" t="str">
        <f>IFERROR(__xludf.DUMMYFUNCTION("""COMPUTED_VALUE"""),"FIP Engineering")</f>
        <v>FIP Engineering</v>
      </c>
      <c r="O2535" s="6" t="str">
        <f>IFERROR(__xludf.DUMMYFUNCTION("""COMPUTED_VALUE"""),"FIP-DOM-ENG-51502-0000000-INA-000000")</f>
        <v>FIP-DOM-ENG-51502-0000000-INA-000000</v>
      </c>
      <c r="P2535" s="6" t="str">
        <f>IFERROR(__xludf.DUMMYFUNCTION("""COMPUTED_VALUE"""),"PO Closed")</f>
        <v>PO Closed</v>
      </c>
      <c r="Q2535" s="6" t="str">
        <f>IFERROR(__xludf.DUMMYFUNCTION("""COMPUTED_VALUE"""),"GL2309064")</f>
        <v>GL2309064</v>
      </c>
      <c r="R2535" s="57">
        <f>IFERROR(__xludf.DUMMYFUNCTION("""COMPUTED_VALUE"""),45154.0)</f>
        <v>45154</v>
      </c>
      <c r="S2535" s="57">
        <f>IFERROR(__xludf.DUMMYFUNCTION("""COMPUTED_VALUE"""),45182.0)</f>
        <v>45182</v>
      </c>
      <c r="T2535" s="57">
        <f>IFERROR(__xludf.DUMMYFUNCTION("""COMPUTED_VALUE"""),45218.0)</f>
        <v>45218</v>
      </c>
    </row>
    <row r="2536">
      <c r="A2536" s="6" t="str">
        <f>IFERROR(__xludf.DUMMYFUNCTION("""COMPUTED_VALUE"""),"231750581-3")</f>
        <v>231750581-3</v>
      </c>
      <c r="B2536" s="6" t="str">
        <f>IFERROR(__xludf.DUMMYFUNCTION("""COMPUTED_VALUE"""),"231750581 - Approved")</f>
        <v>231750581 - Approved</v>
      </c>
      <c r="C2536" s="6">
        <f>IFERROR(__xludf.DUMMYFUNCTION("""COMPUTED_VALUE"""),3.0)</f>
        <v>3</v>
      </c>
      <c r="D2536" s="6" t="str">
        <f>IFERROR(__xludf.DUMMYFUNCTION("""COMPUTED_VALUE"""),"Q-10982-00")</f>
        <v>Q-10982-00</v>
      </c>
      <c r="E2536" s="6" t="str">
        <f>IFERROR(__xludf.DUMMYFUNCTION("""COMPUTED_VALUE"""),"Spray Gun CSGLI2001 800cc; INGCO; ;")</f>
        <v>Spray Gun CSGLI2001 800cc; INGCO; ;</v>
      </c>
      <c r="F2536" s="6">
        <f>IFERROR(__xludf.DUMMYFUNCTION("""COMPUTED_VALUE"""),1.0)</f>
        <v>1</v>
      </c>
      <c r="G2536" s="6" t="str">
        <f>IFERROR(__xludf.DUMMYFUNCTION("""COMPUTED_VALUE"""),"Set")</f>
        <v>Set</v>
      </c>
      <c r="H2536" s="6" t="str">
        <f>IFERROR(__xludf.DUMMYFUNCTION("""COMPUTED_VALUE"""),"IDR")</f>
        <v>IDR</v>
      </c>
      <c r="I2536" s="11">
        <f>IFERROR(__xludf.DUMMYFUNCTION("""COMPUTED_VALUE"""),1650000.0)</f>
        <v>1650000</v>
      </c>
      <c r="J2536" s="11">
        <f>IFERROR(__xludf.DUMMYFUNCTION("""COMPUTED_VALUE"""),1650000.0)</f>
        <v>1650000</v>
      </c>
      <c r="K2536" s="57">
        <f>IFERROR(__xludf.DUMMYFUNCTION("""COMPUTED_VALUE"""),45168.0)</f>
        <v>45168</v>
      </c>
      <c r="L2536" s="6" t="str">
        <f>IFERROR(__xludf.DUMMYFUNCTION("""COMPUTED_VALUE"""),"FIP General")</f>
        <v>FIP General</v>
      </c>
      <c r="M2536" s="6" t="str">
        <f>IFERROR(__xludf.DUMMYFUNCTION("""COMPUTED_VALUE"""),"Mochammad Fadhillah Hakim")</f>
        <v>Mochammad Fadhillah Hakim</v>
      </c>
      <c r="N2536" s="6" t="str">
        <f>IFERROR(__xludf.DUMMYFUNCTION("""COMPUTED_VALUE"""),"FIP Engineering")</f>
        <v>FIP Engineering</v>
      </c>
      <c r="O2536" s="6" t="str">
        <f>IFERROR(__xludf.DUMMYFUNCTION("""COMPUTED_VALUE"""),"FIP-DOM-ENG-51502-0000000-INA-000000")</f>
        <v>FIP-DOM-ENG-51502-0000000-INA-000000</v>
      </c>
      <c r="P2536" s="6" t="str">
        <f>IFERROR(__xludf.DUMMYFUNCTION("""COMPUTED_VALUE"""),"PO Closed")</f>
        <v>PO Closed</v>
      </c>
      <c r="Q2536" s="6" t="str">
        <f>IFERROR(__xludf.DUMMYFUNCTION("""COMPUTED_VALUE"""),"GL2309064")</f>
        <v>GL2309064</v>
      </c>
      <c r="R2536" s="57">
        <f>IFERROR(__xludf.DUMMYFUNCTION("""COMPUTED_VALUE"""),45154.0)</f>
        <v>45154</v>
      </c>
      <c r="S2536" s="57">
        <f>IFERROR(__xludf.DUMMYFUNCTION("""COMPUTED_VALUE"""),45182.0)</f>
        <v>45182</v>
      </c>
      <c r="T2536" s="57">
        <f>IFERROR(__xludf.DUMMYFUNCTION("""COMPUTED_VALUE"""),45218.0)</f>
        <v>45218</v>
      </c>
    </row>
    <row r="2537">
      <c r="A2537" s="6" t="str">
        <f>IFERROR(__xludf.DUMMYFUNCTION("""COMPUTED_VALUE"""),"231750581-4")</f>
        <v>231750581-4</v>
      </c>
      <c r="B2537" s="6" t="str">
        <f>IFERROR(__xludf.DUMMYFUNCTION("""COMPUTED_VALUE"""),"231750581 - Approved")</f>
        <v>231750581 - Approved</v>
      </c>
      <c r="C2537" s="6">
        <f>IFERROR(__xludf.DUMMYFUNCTION("""COMPUTED_VALUE"""),4.0)</f>
        <v>4</v>
      </c>
      <c r="D2537" s="6" t="str">
        <f>IFERROR(__xludf.DUMMYFUNCTION("""COMPUTED_VALUE"""),"Q-10985-00")</f>
        <v>Q-10985-00</v>
      </c>
      <c r="E2537" s="6" t="str">
        <f>IFERROR(__xludf.DUMMYFUNCTION("""COMPUTED_VALUE"""),"Keramik Granito Warna Crystal White Sand 60x60; Granito; ;")</f>
        <v>Keramik Granito Warna Crystal White Sand 60x60; Granito; ;</v>
      </c>
      <c r="F2537" s="6">
        <f>IFERROR(__xludf.DUMMYFUNCTION("""COMPUTED_VALUE"""),10.0)</f>
        <v>10</v>
      </c>
      <c r="G2537" s="6" t="str">
        <f>IFERROR(__xludf.DUMMYFUNCTION("""COMPUTED_VALUE"""),"Box")</f>
        <v>Box</v>
      </c>
      <c r="H2537" s="6" t="str">
        <f>IFERROR(__xludf.DUMMYFUNCTION("""COMPUTED_VALUE"""),"IDR")</f>
        <v>IDR</v>
      </c>
      <c r="I2537" s="11">
        <f>IFERROR(__xludf.DUMMYFUNCTION("""COMPUTED_VALUE"""),428000.0)</f>
        <v>428000</v>
      </c>
      <c r="J2537" s="11">
        <f>IFERROR(__xludf.DUMMYFUNCTION("""COMPUTED_VALUE"""),4280000.0)</f>
        <v>4280000</v>
      </c>
      <c r="K2537" s="57">
        <f>IFERROR(__xludf.DUMMYFUNCTION("""COMPUTED_VALUE"""),45168.0)</f>
        <v>45168</v>
      </c>
      <c r="L2537" s="6" t="str">
        <f>IFERROR(__xludf.DUMMYFUNCTION("""COMPUTED_VALUE"""),"FIP General")</f>
        <v>FIP General</v>
      </c>
      <c r="M2537" s="6" t="str">
        <f>IFERROR(__xludf.DUMMYFUNCTION("""COMPUTED_VALUE"""),"Mochammad Fadhillah Hakim")</f>
        <v>Mochammad Fadhillah Hakim</v>
      </c>
      <c r="N2537" s="6" t="str">
        <f>IFERROR(__xludf.DUMMYFUNCTION("""COMPUTED_VALUE"""),"FIP Engineering")</f>
        <v>FIP Engineering</v>
      </c>
      <c r="O2537" s="6" t="str">
        <f>IFERROR(__xludf.DUMMYFUNCTION("""COMPUTED_VALUE"""),"FIP-DOM-ENG-51502-0000000-INA-000000")</f>
        <v>FIP-DOM-ENG-51502-0000000-INA-000000</v>
      </c>
      <c r="P2537" s="6" t="str">
        <f>IFERROR(__xludf.DUMMYFUNCTION("""COMPUTED_VALUE"""),"PO Closed")</f>
        <v>PO Closed</v>
      </c>
      <c r="Q2537" s="6" t="str">
        <f>IFERROR(__xludf.DUMMYFUNCTION("""COMPUTED_VALUE"""),"GL2309064")</f>
        <v>GL2309064</v>
      </c>
      <c r="R2537" s="57">
        <f>IFERROR(__xludf.DUMMYFUNCTION("""COMPUTED_VALUE"""),45154.0)</f>
        <v>45154</v>
      </c>
      <c r="S2537" s="57">
        <f>IFERROR(__xludf.DUMMYFUNCTION("""COMPUTED_VALUE"""),45182.0)</f>
        <v>45182</v>
      </c>
      <c r="T2537" s="57">
        <f>IFERROR(__xludf.DUMMYFUNCTION("""COMPUTED_VALUE"""),45218.0)</f>
        <v>45218</v>
      </c>
    </row>
    <row r="2538">
      <c r="A2538" s="6" t="str">
        <f>IFERROR(__xludf.DUMMYFUNCTION("""COMPUTED_VALUE"""),"231750583-1")</f>
        <v>231750583-1</v>
      </c>
      <c r="B2538" s="6" t="str">
        <f>IFERROR(__xludf.DUMMYFUNCTION("""COMPUTED_VALUE"""),"231750583 - Approved")</f>
        <v>231750583 - Approved</v>
      </c>
      <c r="C2538" s="6">
        <f>IFERROR(__xludf.DUMMYFUNCTION("""COMPUTED_VALUE"""),1.0)</f>
        <v>1</v>
      </c>
      <c r="D2538" s="6" t="str">
        <f>IFERROR(__xludf.DUMMYFUNCTION("""COMPUTED_VALUE"""),"Q-10987-00")</f>
        <v>Q-10987-00</v>
      </c>
      <c r="E2538" s="6" t="str">
        <f>IFERROR(__xludf.DUMMYFUNCTION("""COMPUTED_VALUE"""),"HPL Edging Abu 2.2cm; Taco; ;")</f>
        <v>HPL Edging Abu 2.2cm; Taco; ;</v>
      </c>
      <c r="F2538" s="6">
        <f>IFERROR(__xludf.DUMMYFUNCTION("""COMPUTED_VALUE"""),5.0)</f>
        <v>5</v>
      </c>
      <c r="G2538" s="6" t="str">
        <f>IFERROR(__xludf.DUMMYFUNCTION("""COMPUTED_VALUE"""),"Meter")</f>
        <v>Meter</v>
      </c>
      <c r="H2538" s="6" t="str">
        <f>IFERROR(__xludf.DUMMYFUNCTION("""COMPUTED_VALUE"""),"IDR")</f>
        <v>IDR</v>
      </c>
      <c r="I2538" s="11">
        <f>IFERROR(__xludf.DUMMYFUNCTION("""COMPUTED_VALUE"""),13500.0)</f>
        <v>13500</v>
      </c>
      <c r="J2538" s="11">
        <f>IFERROR(__xludf.DUMMYFUNCTION("""COMPUTED_VALUE"""),67500.0)</f>
        <v>67500</v>
      </c>
      <c r="K2538" s="57">
        <f>IFERROR(__xludf.DUMMYFUNCTION("""COMPUTED_VALUE"""),45168.0)</f>
        <v>45168</v>
      </c>
      <c r="L2538" s="6" t="str">
        <f>IFERROR(__xludf.DUMMYFUNCTION("""COMPUTED_VALUE"""),"FIP Engineering")</f>
        <v>FIP Engineering</v>
      </c>
      <c r="M2538" s="6" t="str">
        <f>IFERROR(__xludf.DUMMYFUNCTION("""COMPUTED_VALUE"""),"Mochammad Fadhillah Hakim")</f>
        <v>Mochammad Fadhillah Hakim</v>
      </c>
      <c r="N2538" s="6" t="str">
        <f>IFERROR(__xludf.DUMMYFUNCTION("""COMPUTED_VALUE"""),"FIP Engineering")</f>
        <v>FIP Engineering</v>
      </c>
      <c r="O2538" s="6" t="str">
        <f>IFERROR(__xludf.DUMMYFUNCTION("""COMPUTED_VALUE"""),"FIP-DOM-ENG-51502-0000000-INA-000000")</f>
        <v>FIP-DOM-ENG-51502-0000000-INA-000000</v>
      </c>
      <c r="P2538" s="6" t="str">
        <f>IFERROR(__xludf.DUMMYFUNCTION("""COMPUTED_VALUE"""),"PO Closed")</f>
        <v>PO Closed</v>
      </c>
      <c r="Q2538" s="6" t="str">
        <f>IFERROR(__xludf.DUMMYFUNCTION("""COMPUTED_VALUE"""),"GL2311018")</f>
        <v>GL2311018</v>
      </c>
      <c r="R2538" s="57">
        <f>IFERROR(__xludf.DUMMYFUNCTION("""COMPUTED_VALUE"""),45154.0)</f>
        <v>45154</v>
      </c>
      <c r="S2538" s="57">
        <f>IFERROR(__xludf.DUMMYFUNCTION("""COMPUTED_VALUE"""),45182.0)</f>
        <v>45182</v>
      </c>
      <c r="T2538" s="57">
        <f>IFERROR(__xludf.DUMMYFUNCTION("""COMPUTED_VALUE"""),45260.0)</f>
        <v>45260</v>
      </c>
    </row>
    <row r="2539">
      <c r="A2539" s="6" t="str">
        <f>IFERROR(__xludf.DUMMYFUNCTION("""COMPUTED_VALUE"""),"231750588-1")</f>
        <v>231750588-1</v>
      </c>
      <c r="B2539" s="6" t="str">
        <f>IFERROR(__xludf.DUMMYFUNCTION("""COMPUTED_VALUE"""),"231750588 - Approved")</f>
        <v>231750588 - Approved</v>
      </c>
      <c r="C2539" s="6">
        <f>IFERROR(__xludf.DUMMYFUNCTION("""COMPUTED_VALUE"""),1.0)</f>
        <v>1</v>
      </c>
      <c r="D2539" s="6" t="str">
        <f>IFERROR(__xludf.DUMMYFUNCTION("""COMPUTED_VALUE"""),"S-60050-00")</f>
        <v>S-60050-00</v>
      </c>
      <c r="E2539" s="6" t="str">
        <f>IFERROR(__xludf.DUMMYFUNCTION("""COMPUTED_VALUE"""),"Jasa Perbaikan dan Pemeliharaan Mesin Produksi; ; ; - Perbaikan Mesain FD")</f>
        <v>Jasa Perbaikan dan Pemeliharaan Mesin Produksi; ; ; - Perbaikan Mesain FD</v>
      </c>
      <c r="F2539" s="6">
        <f>IFERROR(__xludf.DUMMYFUNCTION("""COMPUTED_VALUE"""),1.0)</f>
        <v>1</v>
      </c>
      <c r="G2539" s="6" t="str">
        <f>IFERROR(__xludf.DUMMYFUNCTION("""COMPUTED_VALUE"""),"Pieces")</f>
        <v>Pieces</v>
      </c>
      <c r="H2539" s="6" t="str">
        <f>IFERROR(__xludf.DUMMYFUNCTION("""COMPUTED_VALUE"""),"IDR")</f>
        <v>IDR</v>
      </c>
      <c r="I2539" s="11">
        <f>IFERROR(__xludf.DUMMYFUNCTION("""COMPUTED_VALUE"""),4.380615E7)</f>
        <v>43806150</v>
      </c>
      <c r="J2539" s="11">
        <f>IFERROR(__xludf.DUMMYFUNCTION("""COMPUTED_VALUE"""),4.380615E7)</f>
        <v>43806150</v>
      </c>
      <c r="K2539" s="57">
        <f>IFERROR(__xludf.DUMMYFUNCTION("""COMPUTED_VALUE"""),45173.0)</f>
        <v>45173</v>
      </c>
      <c r="L2539" s="6" t="str">
        <f>IFERROR(__xludf.DUMMYFUNCTION("""COMPUTED_VALUE"""),"FIP General")</f>
        <v>FIP General</v>
      </c>
      <c r="M2539" s="6" t="str">
        <f>IFERROR(__xludf.DUMMYFUNCTION("""COMPUTED_VALUE"""),"Mochammad Fadhillah Hakim")</f>
        <v>Mochammad Fadhillah Hakim</v>
      </c>
      <c r="N2539" s="6" t="str">
        <f>IFERROR(__xludf.DUMMYFUNCTION("""COMPUTED_VALUE"""),"FIP Engineering")</f>
        <v>FIP Engineering</v>
      </c>
      <c r="O2539" s="6" t="str">
        <f>IFERROR(__xludf.DUMMYFUNCTION("""COMPUTED_VALUE"""),"FIP-DOM-ENG-51504-0000000-INA-000000")</f>
        <v>FIP-DOM-ENG-51504-0000000-INA-000000</v>
      </c>
      <c r="P2539" s="6" t="str">
        <f>IFERROR(__xludf.DUMMYFUNCTION("""COMPUTED_VALUE"""),"PO Closed")</f>
        <v>PO Closed</v>
      </c>
      <c r="Q2539" s="6" t="str">
        <f>IFERROR(__xludf.DUMMYFUNCTION("""COMPUTED_VALUE"""),"GL2309027")</f>
        <v>GL2309027</v>
      </c>
      <c r="R2539" s="57">
        <f>IFERROR(__xludf.DUMMYFUNCTION("""COMPUTED_VALUE"""),45159.0)</f>
        <v>45159</v>
      </c>
      <c r="S2539" s="57">
        <f>IFERROR(__xludf.DUMMYFUNCTION("""COMPUTED_VALUE"""),45182.0)</f>
        <v>45182</v>
      </c>
      <c r="T2539" s="57">
        <f>IFERROR(__xludf.DUMMYFUNCTION("""COMPUTED_VALUE"""),45208.0)</f>
        <v>45208</v>
      </c>
    </row>
    <row r="2540">
      <c r="A2540" s="6" t="str">
        <f>IFERROR(__xludf.DUMMYFUNCTION("""COMPUTED_VALUE"""),"231750591-1")</f>
        <v>231750591-1</v>
      </c>
      <c r="B2540" s="6" t="str">
        <f>IFERROR(__xludf.DUMMYFUNCTION("""COMPUTED_VALUE"""),"231750591 - Approved")</f>
        <v>231750591 - Approved</v>
      </c>
      <c r="C2540" s="6">
        <f>IFERROR(__xludf.DUMMYFUNCTION("""COMPUTED_VALUE"""),1.0)</f>
        <v>1</v>
      </c>
      <c r="D2540" s="6" t="str">
        <f>IFERROR(__xludf.DUMMYFUNCTION("""COMPUTED_VALUE"""),"O-16030-00")</f>
        <v>O-16030-00</v>
      </c>
      <c r="E2540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F2540" s="6">
        <f>IFERROR(__xludf.DUMMYFUNCTION("""COMPUTED_VALUE"""),10.0)</f>
        <v>10</v>
      </c>
      <c r="G2540" s="6" t="str">
        <f>IFERROR(__xludf.DUMMYFUNCTION("""COMPUTED_VALUE"""),"Unit")</f>
        <v>Unit</v>
      </c>
      <c r="H2540" s="6" t="str">
        <f>IFERROR(__xludf.DUMMYFUNCTION("""COMPUTED_VALUE"""),"IDR")</f>
        <v>IDR</v>
      </c>
      <c r="I2540" s="11">
        <f>IFERROR(__xludf.DUMMYFUNCTION("""COMPUTED_VALUE"""),1860265.56)</f>
        <v>1860265.56</v>
      </c>
      <c r="J2540" s="11">
        <f>IFERROR(__xludf.DUMMYFUNCTION("""COMPUTED_VALUE"""),1.860265555E7)</f>
        <v>18602655.55</v>
      </c>
      <c r="K2540" s="57">
        <f>IFERROR(__xludf.DUMMYFUNCTION("""COMPUTED_VALUE"""),45174.0)</f>
        <v>45174</v>
      </c>
      <c r="L2540" s="6" t="str">
        <f>IFERROR(__xludf.DUMMYFUNCTION("""COMPUTED_VALUE"""),"FIP Engineering")</f>
        <v>FIP Engineering</v>
      </c>
      <c r="M2540" s="6" t="str">
        <f>IFERROR(__xludf.DUMMYFUNCTION("""COMPUTED_VALUE"""),"Mochammad Fadhillah Hakim")</f>
        <v>Mochammad Fadhillah Hakim</v>
      </c>
      <c r="N2540" s="6" t="str">
        <f>IFERROR(__xludf.DUMMYFUNCTION("""COMPUTED_VALUE"""),"FIP Engineering")</f>
        <v>FIP Engineering</v>
      </c>
      <c r="O2540" s="6" t="str">
        <f>IFERROR(__xludf.DUMMYFUNCTION("""COMPUTED_VALUE"""),"FIP-DOM-000-11304-OS00001-INA-000000")</f>
        <v>FIP-DOM-000-11304-OS00001-INA-000000</v>
      </c>
      <c r="P2540" s="6" t="str">
        <f>IFERROR(__xludf.DUMMYFUNCTION("""COMPUTED_VALUE"""),"PO Closed")</f>
        <v>PO Closed</v>
      </c>
      <c r="Q2540" s="6" t="str">
        <f>IFERROR(__xludf.DUMMYFUNCTION("""COMPUTED_VALUE"""),"GL2309068")</f>
        <v>GL2309068</v>
      </c>
      <c r="R2540" s="57">
        <f>IFERROR(__xludf.DUMMYFUNCTION("""COMPUTED_VALUE"""),45160.0)</f>
        <v>45160</v>
      </c>
      <c r="S2540" s="57">
        <f>IFERROR(__xludf.DUMMYFUNCTION("""COMPUTED_VALUE"""),45161.0)</f>
        <v>45161</v>
      </c>
      <c r="T2540" s="57">
        <f>IFERROR(__xludf.DUMMYFUNCTION("""COMPUTED_VALUE"""),45260.0)</f>
        <v>45260</v>
      </c>
    </row>
    <row r="2541">
      <c r="A2541" s="6" t="str">
        <f>IFERROR(__xludf.DUMMYFUNCTION("""COMPUTED_VALUE"""),"231750591-2")</f>
        <v>231750591-2</v>
      </c>
      <c r="B2541" s="6" t="str">
        <f>IFERROR(__xludf.DUMMYFUNCTION("""COMPUTED_VALUE"""),"231750591 - Approved")</f>
        <v>231750591 - Approved</v>
      </c>
      <c r="C2541" s="6">
        <f>IFERROR(__xludf.DUMMYFUNCTION("""COMPUTED_VALUE"""),2.0)</f>
        <v>2</v>
      </c>
      <c r="D2541" s="6" t="str">
        <f>IFERROR(__xludf.DUMMYFUNCTION("""COMPUTED_VALUE"""),"O-16032-00")</f>
        <v>O-16032-00</v>
      </c>
      <c r="E254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F2541" s="6">
        <f>IFERROR(__xludf.DUMMYFUNCTION("""COMPUTED_VALUE"""),30.0)</f>
        <v>30</v>
      </c>
      <c r="G2541" s="6" t="str">
        <f>IFERROR(__xludf.DUMMYFUNCTION("""COMPUTED_VALUE"""),"Unit")</f>
        <v>Unit</v>
      </c>
      <c r="H2541" s="6" t="str">
        <f>IFERROR(__xludf.DUMMYFUNCTION("""COMPUTED_VALUE"""),"IDR")</f>
        <v>IDR</v>
      </c>
      <c r="I2541" s="11">
        <f>IFERROR(__xludf.DUMMYFUNCTION("""COMPUTED_VALUE"""),1877268.71)</f>
        <v>1877268.71</v>
      </c>
      <c r="J2541" s="11">
        <f>IFERROR(__xludf.DUMMYFUNCTION("""COMPUTED_VALUE"""),5.63180613E7)</f>
        <v>56318061.3</v>
      </c>
      <c r="K2541" s="57">
        <f>IFERROR(__xludf.DUMMYFUNCTION("""COMPUTED_VALUE"""),45174.0)</f>
        <v>45174</v>
      </c>
      <c r="L2541" s="6" t="str">
        <f>IFERROR(__xludf.DUMMYFUNCTION("""COMPUTED_VALUE"""),"FIP Engineering")</f>
        <v>FIP Engineering</v>
      </c>
      <c r="M2541" s="6" t="str">
        <f>IFERROR(__xludf.DUMMYFUNCTION("""COMPUTED_VALUE"""),"Mochammad Fadhillah Hakim")</f>
        <v>Mochammad Fadhillah Hakim</v>
      </c>
      <c r="N2541" s="6" t="str">
        <f>IFERROR(__xludf.DUMMYFUNCTION("""COMPUTED_VALUE"""),"FIP Engineering")</f>
        <v>FIP Engineering</v>
      </c>
      <c r="O2541" s="6" t="str">
        <f>IFERROR(__xludf.DUMMYFUNCTION("""COMPUTED_VALUE"""),"FIP-DOM-000-11304-OS00001-INA-000000")</f>
        <v>FIP-DOM-000-11304-OS00001-INA-000000</v>
      </c>
      <c r="P2541" s="6" t="str">
        <f>IFERROR(__xludf.DUMMYFUNCTION("""COMPUTED_VALUE"""),"PO Closed")</f>
        <v>PO Closed</v>
      </c>
      <c r="Q2541" s="6" t="str">
        <f>IFERROR(__xludf.DUMMYFUNCTION("""COMPUTED_VALUE"""),"GL2309068")</f>
        <v>GL2309068</v>
      </c>
      <c r="R2541" s="57">
        <f>IFERROR(__xludf.DUMMYFUNCTION("""COMPUTED_VALUE"""),45160.0)</f>
        <v>45160</v>
      </c>
      <c r="S2541" s="57">
        <f>IFERROR(__xludf.DUMMYFUNCTION("""COMPUTED_VALUE"""),45161.0)</f>
        <v>45161</v>
      </c>
      <c r="T2541" s="57">
        <f>IFERROR(__xludf.DUMMYFUNCTION("""COMPUTED_VALUE"""),45240.0)</f>
        <v>45240</v>
      </c>
    </row>
    <row r="2542">
      <c r="A2542" s="6" t="str">
        <f>IFERROR(__xludf.DUMMYFUNCTION("""COMPUTED_VALUE"""),"231750591-3")</f>
        <v>231750591-3</v>
      </c>
      <c r="B2542" s="6" t="str">
        <f>IFERROR(__xludf.DUMMYFUNCTION("""COMPUTED_VALUE"""),"231750591 - Approved")</f>
        <v>231750591 - Approved</v>
      </c>
      <c r="C2542" s="6">
        <f>IFERROR(__xludf.DUMMYFUNCTION("""COMPUTED_VALUE"""),3.0)</f>
        <v>3</v>
      </c>
      <c r="D2542" s="6" t="str">
        <f>IFERROR(__xludf.DUMMYFUNCTION("""COMPUTED_VALUE"""),"O-16033-00")</f>
        <v>O-16033-00</v>
      </c>
      <c r="E254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F2542" s="6">
        <f>IFERROR(__xludf.DUMMYFUNCTION("""COMPUTED_VALUE"""),30.0)</f>
        <v>30</v>
      </c>
      <c r="G2542" s="6" t="str">
        <f>IFERROR(__xludf.DUMMYFUNCTION("""COMPUTED_VALUE"""),"Unit")</f>
        <v>Unit</v>
      </c>
      <c r="H2542" s="6" t="str">
        <f>IFERROR(__xludf.DUMMYFUNCTION("""COMPUTED_VALUE"""),"IDR")</f>
        <v>IDR</v>
      </c>
      <c r="I2542" s="11">
        <f>IFERROR(__xludf.DUMMYFUNCTION("""COMPUTED_VALUE"""),1244079.87)</f>
        <v>1244079.87</v>
      </c>
      <c r="J2542" s="11">
        <f>IFERROR(__xludf.DUMMYFUNCTION("""COMPUTED_VALUE"""),3.732239616E7)</f>
        <v>37322396.16</v>
      </c>
      <c r="K2542" s="57">
        <f>IFERROR(__xludf.DUMMYFUNCTION("""COMPUTED_VALUE"""),45174.0)</f>
        <v>45174</v>
      </c>
      <c r="L2542" s="6" t="str">
        <f>IFERROR(__xludf.DUMMYFUNCTION("""COMPUTED_VALUE"""),"FIP Engineering")</f>
        <v>FIP Engineering</v>
      </c>
      <c r="M2542" s="6" t="str">
        <f>IFERROR(__xludf.DUMMYFUNCTION("""COMPUTED_VALUE"""),"Mochammad Fadhillah Hakim")</f>
        <v>Mochammad Fadhillah Hakim</v>
      </c>
      <c r="N2542" s="6" t="str">
        <f>IFERROR(__xludf.DUMMYFUNCTION("""COMPUTED_VALUE"""),"FIP Engineering")</f>
        <v>FIP Engineering</v>
      </c>
      <c r="O2542" s="6" t="str">
        <f>IFERROR(__xludf.DUMMYFUNCTION("""COMPUTED_VALUE"""),"FIP-DOM-000-11304-OS00001-INA-000000")</f>
        <v>FIP-DOM-000-11304-OS00001-INA-000000</v>
      </c>
      <c r="P2542" s="6" t="str">
        <f>IFERROR(__xludf.DUMMYFUNCTION("""COMPUTED_VALUE"""),"PO Closed")</f>
        <v>PO Closed</v>
      </c>
      <c r="Q2542" s="6" t="str">
        <f>IFERROR(__xludf.DUMMYFUNCTION("""COMPUTED_VALUE"""),"GL2309068")</f>
        <v>GL2309068</v>
      </c>
      <c r="R2542" s="57">
        <f>IFERROR(__xludf.DUMMYFUNCTION("""COMPUTED_VALUE"""),45160.0)</f>
        <v>45160</v>
      </c>
      <c r="S2542" s="57">
        <f>IFERROR(__xludf.DUMMYFUNCTION("""COMPUTED_VALUE"""),45161.0)</f>
        <v>45161</v>
      </c>
      <c r="T2542" s="57">
        <f>IFERROR(__xludf.DUMMYFUNCTION("""COMPUTED_VALUE"""),45240.0)</f>
        <v>45240</v>
      </c>
    </row>
    <row r="2543">
      <c r="A2543" s="6" t="str">
        <f>IFERROR(__xludf.DUMMYFUNCTION("""COMPUTED_VALUE"""),"231750593-1")</f>
        <v>231750593-1</v>
      </c>
      <c r="B2543" s="6" t="str">
        <f>IFERROR(__xludf.DUMMYFUNCTION("""COMPUTED_VALUE"""),"231750593 - Approved")</f>
        <v>231750593 - Approved</v>
      </c>
      <c r="C2543" s="6">
        <f>IFERROR(__xludf.DUMMYFUNCTION("""COMPUTED_VALUE"""),1.0)</f>
        <v>1</v>
      </c>
      <c r="D2543" s="6" t="str">
        <f>IFERROR(__xludf.DUMMYFUNCTION("""COMPUTED_VALUE"""),"O-16647-00")</f>
        <v>O-16647-00</v>
      </c>
      <c r="E2543" s="6" t="str">
        <f>IFERROR(__xludf.DUMMYFUNCTION("""COMPUTED_VALUE"""),"Washing RAR4 - Oring Silicone Merah 23x18x2.5 mm; ; ;")</f>
        <v>Washing RAR4 - Oring Silicone Merah 23x18x2.5 mm; ; ;</v>
      </c>
      <c r="F2543" s="6">
        <f>IFERROR(__xludf.DUMMYFUNCTION("""COMPUTED_VALUE"""),30.0)</f>
        <v>30</v>
      </c>
      <c r="G2543" s="6" t="str">
        <f>IFERROR(__xludf.DUMMYFUNCTION("""COMPUTED_VALUE"""),"Pieces")</f>
        <v>Pieces</v>
      </c>
      <c r="H2543" s="6" t="str">
        <f>IFERROR(__xludf.DUMMYFUNCTION("""COMPUTED_VALUE"""),"IDR")</f>
        <v>IDR</v>
      </c>
      <c r="I2543" s="11">
        <f>IFERROR(__xludf.DUMMYFUNCTION("""COMPUTED_VALUE"""),35000.0)</f>
        <v>35000</v>
      </c>
      <c r="J2543" s="11">
        <f>IFERROR(__xludf.DUMMYFUNCTION("""COMPUTED_VALUE"""),1050000.0)</f>
        <v>1050000</v>
      </c>
      <c r="K2543" s="57">
        <f>IFERROR(__xludf.DUMMYFUNCTION("""COMPUTED_VALUE"""),45174.0)</f>
        <v>45174</v>
      </c>
      <c r="L2543" s="6" t="str">
        <f>IFERROR(__xludf.DUMMYFUNCTION("""COMPUTED_VALUE"""),"FIP Engineering")</f>
        <v>FIP Engineering</v>
      </c>
      <c r="M2543" s="6" t="str">
        <f>IFERROR(__xludf.DUMMYFUNCTION("""COMPUTED_VALUE"""),"Mochammad Fadhillah Hakim")</f>
        <v>Mochammad Fadhillah Hakim</v>
      </c>
      <c r="N2543" s="6" t="str">
        <f>IFERROR(__xludf.DUMMYFUNCTION("""COMPUTED_VALUE"""),"FIP Engineering")</f>
        <v>FIP Engineering</v>
      </c>
      <c r="O2543" s="6" t="str">
        <f>IFERROR(__xludf.DUMMYFUNCTION("""COMPUTED_VALUE"""),"FIP-DOM-000-11304-OS00001-INA-000000")</f>
        <v>FIP-DOM-000-11304-OS00001-INA-000000</v>
      </c>
      <c r="P2543" s="6" t="str">
        <f>IFERROR(__xludf.DUMMYFUNCTION("""COMPUTED_VALUE"""),"PO Closed")</f>
        <v>PO Closed</v>
      </c>
      <c r="Q2543" s="6" t="str">
        <f>IFERROR(__xludf.DUMMYFUNCTION("""COMPUTED_VALUE"""),"GL2310022")</f>
        <v>GL2310022</v>
      </c>
      <c r="R2543" s="57">
        <f>IFERROR(__xludf.DUMMYFUNCTION("""COMPUTED_VALUE"""),45160.0)</f>
        <v>45160</v>
      </c>
      <c r="S2543" s="57">
        <f>IFERROR(__xludf.DUMMYFUNCTION("""COMPUTED_VALUE"""),45161.0)</f>
        <v>45161</v>
      </c>
      <c r="T2543" s="57">
        <f>IFERROR(__xludf.DUMMYFUNCTION("""COMPUTED_VALUE"""),45250.0)</f>
        <v>45250</v>
      </c>
    </row>
    <row r="2544">
      <c r="A2544" s="6" t="str">
        <f>IFERROR(__xludf.DUMMYFUNCTION("""COMPUTED_VALUE"""),"231750594-1")</f>
        <v>231750594-1</v>
      </c>
      <c r="B2544" s="6" t="str">
        <f>IFERROR(__xludf.DUMMYFUNCTION("""COMPUTED_VALUE"""),"231750594 - Approved")</f>
        <v>231750594 - Approved</v>
      </c>
      <c r="C2544" s="6">
        <f>IFERROR(__xludf.DUMMYFUNCTION("""COMPUTED_VALUE"""),1.0)</f>
        <v>1</v>
      </c>
      <c r="D2544" s="6" t="str">
        <f>IFERROR(__xludf.DUMMYFUNCTION("""COMPUTED_VALUE"""),"P-12994-00")</f>
        <v>P-12994-00</v>
      </c>
      <c r="E2544" s="6" t="str">
        <f>IFERROR(__xludf.DUMMYFUNCTION("""COMPUTED_VALUE"""),"Nippon Tape - ASF-110FR")</f>
        <v>Nippon Tape - ASF-110FR</v>
      </c>
      <c r="F2544" s="6">
        <f>IFERROR(__xludf.DUMMYFUNCTION("""COMPUTED_VALUE"""),3.0)</f>
        <v>3</v>
      </c>
      <c r="G2544" s="6" t="str">
        <f>IFERROR(__xludf.DUMMYFUNCTION("""COMPUTED_VALUE"""),"Pieces")</f>
        <v>Pieces</v>
      </c>
      <c r="H2544" s="6" t="str">
        <f>IFERROR(__xludf.DUMMYFUNCTION("""COMPUTED_VALUE"""),"IDR")</f>
        <v>IDR</v>
      </c>
      <c r="I2544" s="11">
        <f>IFERROR(__xludf.DUMMYFUNCTION("""COMPUTED_VALUE"""),600000.0)</f>
        <v>600000</v>
      </c>
      <c r="J2544" s="11">
        <f>IFERROR(__xludf.DUMMYFUNCTION("""COMPUTED_VALUE"""),1800000.0)</f>
        <v>1800000</v>
      </c>
      <c r="K2544" s="57">
        <f>IFERROR(__xludf.DUMMYFUNCTION("""COMPUTED_VALUE"""),45174.0)</f>
        <v>45174</v>
      </c>
      <c r="L2544" s="6" t="str">
        <f>IFERROR(__xludf.DUMMYFUNCTION("""COMPUTED_VALUE"""),"FIP Engineering")</f>
        <v>FIP Engineering</v>
      </c>
      <c r="M2544" s="6" t="str">
        <f>IFERROR(__xludf.DUMMYFUNCTION("""COMPUTED_VALUE"""),"Mochammad Fadhillah Hakim")</f>
        <v>Mochammad Fadhillah Hakim</v>
      </c>
      <c r="N2544" s="6" t="str">
        <f>IFERROR(__xludf.DUMMYFUNCTION("""COMPUTED_VALUE"""),"FIP Engineering")</f>
        <v>FIP Engineering</v>
      </c>
      <c r="O2544" s="6" t="str">
        <f>IFERROR(__xludf.DUMMYFUNCTION("""COMPUTED_VALUE"""),"FIP-DOM-000-11304-OS00001-INA-000000")</f>
        <v>FIP-DOM-000-11304-OS00001-INA-000000</v>
      </c>
      <c r="P2544" s="6" t="str">
        <f>IFERROR(__xludf.DUMMYFUNCTION("""COMPUTED_VALUE"""),"PO Closed")</f>
        <v>PO Closed</v>
      </c>
      <c r="Q2544" s="6" t="str">
        <f>IFERROR(__xludf.DUMMYFUNCTION("""COMPUTED_VALUE"""),"GL2309008")</f>
        <v>GL2309008</v>
      </c>
      <c r="R2544" s="57">
        <f>IFERROR(__xludf.DUMMYFUNCTION("""COMPUTED_VALUE"""),45160.0)</f>
        <v>45160</v>
      </c>
      <c r="S2544" s="57">
        <f>IFERROR(__xludf.DUMMYFUNCTION("""COMPUTED_VALUE"""),45161.0)</f>
        <v>45161</v>
      </c>
      <c r="T2544" s="57">
        <f>IFERROR(__xludf.DUMMYFUNCTION("""COMPUTED_VALUE"""),45245.0)</f>
        <v>45245</v>
      </c>
    </row>
    <row r="2545">
      <c r="A2545" s="6" t="str">
        <f>IFERROR(__xludf.DUMMYFUNCTION("""COMPUTED_VALUE"""),"231750600-1")</f>
        <v>231750600-1</v>
      </c>
      <c r="B2545" s="6" t="str">
        <f>IFERROR(__xludf.DUMMYFUNCTION("""COMPUTED_VALUE"""),"231750600 - Approved")</f>
        <v>231750600 - Approved</v>
      </c>
      <c r="C2545" s="6">
        <f>IFERROR(__xludf.DUMMYFUNCTION("""COMPUTED_VALUE"""),1.0)</f>
        <v>1</v>
      </c>
      <c r="D2545" s="6" t="str">
        <f>IFERROR(__xludf.DUMMYFUNCTION("""COMPUTED_VALUE"""),"P-18725-00")</f>
        <v>P-18725-00</v>
      </c>
      <c r="E2545" s="6" t="str">
        <f>IFERROR(__xludf.DUMMYFUNCTION("""COMPUTED_VALUE"""),"Freon Refrigerant Chemours Suva R507; ; ;")</f>
        <v>Freon Refrigerant Chemours Suva R507; ; ;</v>
      </c>
      <c r="F2545" s="6">
        <f>IFERROR(__xludf.DUMMYFUNCTION("""COMPUTED_VALUE"""),12.0)</f>
        <v>12</v>
      </c>
      <c r="G2545" s="6" t="str">
        <f>IFERROR(__xludf.DUMMYFUNCTION("""COMPUTED_VALUE"""),"Can")</f>
        <v>Can</v>
      </c>
      <c r="H2545" s="6" t="str">
        <f>IFERROR(__xludf.DUMMYFUNCTION("""COMPUTED_VALUE"""),"IDR")</f>
        <v>IDR</v>
      </c>
      <c r="I2545" s="11">
        <f>IFERROR(__xludf.DUMMYFUNCTION("""COMPUTED_VALUE"""),2250000.0)</f>
        <v>2250000</v>
      </c>
      <c r="J2545" s="11">
        <f>IFERROR(__xludf.DUMMYFUNCTION("""COMPUTED_VALUE"""),2.7E7)</f>
        <v>27000000</v>
      </c>
      <c r="K2545" s="57">
        <f>IFERROR(__xludf.DUMMYFUNCTION("""COMPUTED_VALUE"""),45176.0)</f>
        <v>45176</v>
      </c>
      <c r="L2545" s="6" t="str">
        <f>IFERROR(__xludf.DUMMYFUNCTION("""COMPUTED_VALUE"""),"FIP Engineering")</f>
        <v>FIP Engineering</v>
      </c>
      <c r="M2545" s="6" t="str">
        <f>IFERROR(__xludf.DUMMYFUNCTION("""COMPUTED_VALUE"""),"Mochammad Fadhillah Hakim")</f>
        <v>Mochammad Fadhillah Hakim</v>
      </c>
      <c r="N2545" s="6" t="str">
        <f>IFERROR(__xludf.DUMMYFUNCTION("""COMPUTED_VALUE"""),"FIP Engineering")</f>
        <v>FIP Engineering</v>
      </c>
      <c r="O2545" s="6" t="str">
        <f>IFERROR(__xludf.DUMMYFUNCTION("""COMPUTED_VALUE"""),"FIP-DOM-000-11304-OS00001-INA-000000")</f>
        <v>FIP-DOM-000-11304-OS00001-INA-000000</v>
      </c>
      <c r="P2545" s="6" t="str">
        <f>IFERROR(__xludf.DUMMYFUNCTION("""COMPUTED_VALUE"""),"PO Closed")</f>
        <v>PO Closed</v>
      </c>
      <c r="Q2545" s="6" t="str">
        <f>IFERROR(__xludf.DUMMYFUNCTION("""COMPUTED_VALUE"""),"GL2308042")</f>
        <v>GL2308042</v>
      </c>
      <c r="R2545" s="57">
        <f>IFERROR(__xludf.DUMMYFUNCTION("""COMPUTED_VALUE"""),45162.0)</f>
        <v>45162</v>
      </c>
      <c r="S2545" s="57">
        <f>IFERROR(__xludf.DUMMYFUNCTION("""COMPUTED_VALUE"""),45162.0)</f>
        <v>45162</v>
      </c>
      <c r="T2545" s="57">
        <f>IFERROR(__xludf.DUMMYFUNCTION("""COMPUTED_VALUE"""),45184.0)</f>
        <v>45184</v>
      </c>
    </row>
    <row r="2546">
      <c r="A2546" s="6" t="str">
        <f>IFERROR(__xludf.DUMMYFUNCTION("""COMPUTED_VALUE"""),"231750606-1")</f>
        <v>231750606-1</v>
      </c>
      <c r="B2546" s="6" t="str">
        <f>IFERROR(__xludf.DUMMYFUNCTION("""COMPUTED_VALUE"""),"231750606 - Approved")</f>
        <v>231750606 - Approved</v>
      </c>
      <c r="C2546" s="6">
        <f>IFERROR(__xludf.DUMMYFUNCTION("""COMPUTED_VALUE"""),1.0)</f>
        <v>1</v>
      </c>
      <c r="D2546" s="6" t="str">
        <f>IFERROR(__xludf.DUMMYFUNCTION("""COMPUTED_VALUE"""),"P-18789-00")</f>
        <v>P-18789-00</v>
      </c>
      <c r="E2546" s="6" t="str">
        <f>IFERROR(__xludf.DUMMYFUNCTION("""COMPUTED_VALUE"""),"Gland Packing Teflon PTFE 4x4 mm; ; ;")</f>
        <v>Gland Packing Teflon PTFE 4x4 mm; ; ;</v>
      </c>
      <c r="F2546" s="6">
        <f>IFERROR(__xludf.DUMMYFUNCTION("""COMPUTED_VALUE"""),10.0)</f>
        <v>10</v>
      </c>
      <c r="G2546" s="6" t="str">
        <f>IFERROR(__xludf.DUMMYFUNCTION("""COMPUTED_VALUE"""),"Meter")</f>
        <v>Meter</v>
      </c>
      <c r="H2546" s="6" t="str">
        <f>IFERROR(__xludf.DUMMYFUNCTION("""COMPUTED_VALUE"""),"IDR")</f>
        <v>IDR</v>
      </c>
      <c r="I2546" s="11">
        <f>IFERROR(__xludf.DUMMYFUNCTION("""COMPUTED_VALUE"""),65000.0)</f>
        <v>65000</v>
      </c>
      <c r="J2546" s="11">
        <f>IFERROR(__xludf.DUMMYFUNCTION("""COMPUTED_VALUE"""),650000.0)</f>
        <v>650000</v>
      </c>
      <c r="K2546" s="57">
        <f>IFERROR(__xludf.DUMMYFUNCTION("""COMPUTED_VALUE"""),45180.0)</f>
        <v>45180</v>
      </c>
      <c r="L2546" s="6" t="str">
        <f>IFERROR(__xludf.DUMMYFUNCTION("""COMPUTED_VALUE"""),"FIP Engineering")</f>
        <v>FIP Engineering</v>
      </c>
      <c r="M2546" s="6" t="str">
        <f>IFERROR(__xludf.DUMMYFUNCTION("""COMPUTED_VALUE"""),"Mochammad Fadhillah Hakim")</f>
        <v>Mochammad Fadhillah Hakim</v>
      </c>
      <c r="N2546" s="6" t="str">
        <f>IFERROR(__xludf.DUMMYFUNCTION("""COMPUTED_VALUE"""),"FIP Engineering")</f>
        <v>FIP Engineering</v>
      </c>
      <c r="O2546" s="6" t="str">
        <f>IFERROR(__xludf.DUMMYFUNCTION("""COMPUTED_VALUE"""),"FIP-DOM-000-11304-OS00001-INA-000000")</f>
        <v>FIP-DOM-000-11304-OS00001-INA-000000</v>
      </c>
      <c r="P2546" s="6" t="str">
        <f>IFERROR(__xludf.DUMMYFUNCTION("""COMPUTED_VALUE"""),"PO Closed")</f>
        <v>PO Closed</v>
      </c>
      <c r="Q2546" s="6" t="str">
        <f>IFERROR(__xludf.DUMMYFUNCTION("""COMPUTED_VALUE"""),"GL2310022")</f>
        <v>GL2310022</v>
      </c>
      <c r="R2546" s="57">
        <f>IFERROR(__xludf.DUMMYFUNCTION("""COMPUTED_VALUE"""),45166.0)</f>
        <v>45166</v>
      </c>
      <c r="S2546" s="57">
        <f>IFERROR(__xludf.DUMMYFUNCTION("""COMPUTED_VALUE"""),45167.0)</f>
        <v>45167</v>
      </c>
      <c r="T2546" s="57">
        <f>IFERROR(__xludf.DUMMYFUNCTION("""COMPUTED_VALUE"""),45250.0)</f>
        <v>45250</v>
      </c>
    </row>
    <row r="2547">
      <c r="A2547" s="6" t="str">
        <f>IFERROR(__xludf.DUMMYFUNCTION("""COMPUTED_VALUE"""),"231750614-1")</f>
        <v>231750614-1</v>
      </c>
      <c r="B2547" s="6" t="str">
        <f>IFERROR(__xludf.DUMMYFUNCTION("""COMPUTED_VALUE"""),"231750614 - Approved")</f>
        <v>231750614 - Approved</v>
      </c>
      <c r="C2547" s="6">
        <f>IFERROR(__xludf.DUMMYFUNCTION("""COMPUTED_VALUE"""),1.0)</f>
        <v>1</v>
      </c>
      <c r="D2547" s="6" t="str">
        <f>IFERROR(__xludf.DUMMYFUNCTION("""COMPUTED_VALUE"""),"S-60002-00")</f>
        <v>S-60002-00</v>
      </c>
      <c r="E2547" s="6" t="str">
        <f>IFERROR(__xludf.DUMMYFUNCTION("""COMPUTED_VALUE"""),"Jasa Perbaikan dan Pemeliharaan Mesin Utility - Repair Pelampung PSG")</f>
        <v>Jasa Perbaikan dan Pemeliharaan Mesin Utility - Repair Pelampung PSG</v>
      </c>
      <c r="F2547" s="6">
        <f>IFERROR(__xludf.DUMMYFUNCTION("""COMPUTED_VALUE"""),1.0)</f>
        <v>1</v>
      </c>
      <c r="G2547" s="6" t="str">
        <f>IFERROR(__xludf.DUMMYFUNCTION("""COMPUTED_VALUE"""),"Lot")</f>
        <v>Lot</v>
      </c>
      <c r="H2547" s="6" t="str">
        <f>IFERROR(__xludf.DUMMYFUNCTION("""COMPUTED_VALUE"""),"IDR")</f>
        <v>IDR</v>
      </c>
      <c r="I2547" s="11">
        <f>IFERROR(__xludf.DUMMYFUNCTION("""COMPUTED_VALUE"""),2150000.0)</f>
        <v>2150000</v>
      </c>
      <c r="J2547" s="11">
        <f>IFERROR(__xludf.DUMMYFUNCTION("""COMPUTED_VALUE"""),2150000.0)</f>
        <v>2150000</v>
      </c>
      <c r="K2547" s="57">
        <f>IFERROR(__xludf.DUMMYFUNCTION("""COMPUTED_VALUE"""),45181.0)</f>
        <v>45181</v>
      </c>
      <c r="L2547" s="6" t="str">
        <f>IFERROR(__xludf.DUMMYFUNCTION("""COMPUTED_VALUE"""),"FIP General")</f>
        <v>FIP General</v>
      </c>
      <c r="M2547" s="6" t="str">
        <f>IFERROR(__xludf.DUMMYFUNCTION("""COMPUTED_VALUE"""),"Mochammad Fadhillah Hakim")</f>
        <v>Mochammad Fadhillah Hakim</v>
      </c>
      <c r="N2547" s="6" t="str">
        <f>IFERROR(__xludf.DUMMYFUNCTION("""COMPUTED_VALUE"""),"FIP Engineering")</f>
        <v>FIP Engineering</v>
      </c>
      <c r="O2547" s="6" t="str">
        <f>IFERROR(__xludf.DUMMYFUNCTION("""COMPUTED_VALUE"""),"FIP-DOM-ENG-51508-0000000-INA-000000")</f>
        <v>FIP-DOM-ENG-51508-0000000-INA-000000</v>
      </c>
      <c r="P2547" s="6" t="str">
        <f>IFERROR(__xludf.DUMMYFUNCTION("""COMPUTED_VALUE"""),"PO Closed")</f>
        <v>PO Closed</v>
      </c>
      <c r="Q2547" s="6" t="str">
        <f>IFERROR(__xludf.DUMMYFUNCTION("""COMPUTED_VALUE"""),"GL2310026")</f>
        <v>GL2310026</v>
      </c>
      <c r="R2547" s="57">
        <f>IFERROR(__xludf.DUMMYFUNCTION("""COMPUTED_VALUE"""),45167.0)</f>
        <v>45167</v>
      </c>
      <c r="S2547" s="57">
        <f>IFERROR(__xludf.DUMMYFUNCTION("""COMPUTED_VALUE"""),45183.0)</f>
        <v>45183</v>
      </c>
      <c r="T2547" s="57">
        <f>IFERROR(__xludf.DUMMYFUNCTION("""COMPUTED_VALUE"""),45240.0)</f>
        <v>45240</v>
      </c>
    </row>
    <row r="2548">
      <c r="A2548" s="6" t="str">
        <f>IFERROR(__xludf.DUMMYFUNCTION("""COMPUTED_VALUE"""),"231750624-1")</f>
        <v>231750624-1</v>
      </c>
      <c r="B2548" s="6" t="str">
        <f>IFERROR(__xludf.DUMMYFUNCTION("""COMPUTED_VALUE"""),"231750624 - Approved")</f>
        <v>231750624 - Approved</v>
      </c>
      <c r="C2548" s="6">
        <f>IFERROR(__xludf.DUMMYFUNCTION("""COMPUTED_VALUE"""),1.0)</f>
        <v>1</v>
      </c>
      <c r="D2548" s="6" t="str">
        <f>IFERROR(__xludf.DUMMYFUNCTION("""COMPUTED_VALUE"""),"P-51559-00")</f>
        <v>P-51559-00</v>
      </c>
      <c r="E2548" s="6" t="str">
        <f>IFERROR(__xludf.DUMMYFUNCTION("""COMPUTED_VALUE"""),"Lampu T5 14watt Putih; Phillips; ;")</f>
        <v>Lampu T5 14watt Putih; Phillips; ;</v>
      </c>
      <c r="F2548" s="6">
        <f>IFERROR(__xludf.DUMMYFUNCTION("""COMPUTED_VALUE"""),40.0)</f>
        <v>40</v>
      </c>
      <c r="G2548" s="6" t="str">
        <f>IFERROR(__xludf.DUMMYFUNCTION("""COMPUTED_VALUE"""),"Pack")</f>
        <v>Pack</v>
      </c>
      <c r="H2548" s="6" t="str">
        <f>IFERROR(__xludf.DUMMYFUNCTION("""COMPUTED_VALUE"""),"IDR")</f>
        <v>IDR</v>
      </c>
      <c r="I2548" s="11">
        <f>IFERROR(__xludf.DUMMYFUNCTION("""COMPUTED_VALUE"""),29700.0)</f>
        <v>29700</v>
      </c>
      <c r="J2548" s="11">
        <f>IFERROR(__xludf.DUMMYFUNCTION("""COMPUTED_VALUE"""),1188000.0)</f>
        <v>1188000</v>
      </c>
      <c r="K2548" s="57">
        <f>IFERROR(__xludf.DUMMYFUNCTION("""COMPUTED_VALUE"""),45183.0)</f>
        <v>45183</v>
      </c>
      <c r="L2548" s="6" t="str">
        <f>IFERROR(__xludf.DUMMYFUNCTION("""COMPUTED_VALUE"""),"FIP Engineering")</f>
        <v>FIP Engineering</v>
      </c>
      <c r="M2548" s="6" t="str">
        <f>IFERROR(__xludf.DUMMYFUNCTION("""COMPUTED_VALUE"""),"Mochammad Fadhillah Hakim")</f>
        <v>Mochammad Fadhillah Hakim</v>
      </c>
      <c r="N2548" s="6" t="str">
        <f>IFERROR(__xludf.DUMMYFUNCTION("""COMPUTED_VALUE"""),"FIP Engineering")</f>
        <v>FIP Engineering</v>
      </c>
      <c r="O2548" s="6" t="str">
        <f>IFERROR(__xludf.DUMMYFUNCTION("""COMPUTED_VALUE"""),"FIP-DOM-000-11304-OS00001-INA-000000")</f>
        <v>FIP-DOM-000-11304-OS00001-INA-000000</v>
      </c>
      <c r="P2548" s="6" t="str">
        <f>IFERROR(__xludf.DUMMYFUNCTION("""COMPUTED_VALUE"""),"PO Closed")</f>
        <v>PO Closed</v>
      </c>
      <c r="Q2548" s="6" t="str">
        <f>IFERROR(__xludf.DUMMYFUNCTION("""COMPUTED_VALUE"""),"GL2309008")</f>
        <v>GL2309008</v>
      </c>
      <c r="R2548" s="57">
        <f>IFERROR(__xludf.DUMMYFUNCTION("""COMPUTED_VALUE"""),45169.0)</f>
        <v>45169</v>
      </c>
      <c r="S2548" s="57">
        <f>IFERROR(__xludf.DUMMYFUNCTION("""COMPUTED_VALUE"""),45170.0)</f>
        <v>45170</v>
      </c>
      <c r="T2548" s="57">
        <f>IFERROR(__xludf.DUMMYFUNCTION("""COMPUTED_VALUE"""),45245.0)</f>
        <v>45245</v>
      </c>
    </row>
    <row r="2549">
      <c r="A2549" s="6" t="str">
        <f>IFERROR(__xludf.DUMMYFUNCTION("""COMPUTED_VALUE"""),"231750624-2")</f>
        <v>231750624-2</v>
      </c>
      <c r="B2549" s="6" t="str">
        <f>IFERROR(__xludf.DUMMYFUNCTION("""COMPUTED_VALUE"""),"231750624 - Approved")</f>
        <v>231750624 - Approved</v>
      </c>
      <c r="C2549" s="6">
        <f>IFERROR(__xludf.DUMMYFUNCTION("""COMPUTED_VALUE"""),2.0)</f>
        <v>2</v>
      </c>
      <c r="D2549" s="6" t="str">
        <f>IFERROR(__xludf.DUMMYFUNCTION("""COMPUTED_VALUE"""),"P-51560-00")</f>
        <v>P-51560-00</v>
      </c>
      <c r="E2549" s="6" t="str">
        <f>IFERROR(__xludf.DUMMYFUNCTION("""COMPUTED_VALUE"""),"Lampu T5 28watt Putih; Phillips; ;")</f>
        <v>Lampu T5 28watt Putih; Phillips; ;</v>
      </c>
      <c r="F2549" s="6">
        <f>IFERROR(__xludf.DUMMYFUNCTION("""COMPUTED_VALUE"""),20.0)</f>
        <v>20</v>
      </c>
      <c r="G2549" s="6" t="str">
        <f>IFERROR(__xludf.DUMMYFUNCTION("""COMPUTED_VALUE"""),"Pieces")</f>
        <v>Pieces</v>
      </c>
      <c r="H2549" s="6" t="str">
        <f>IFERROR(__xludf.DUMMYFUNCTION("""COMPUTED_VALUE"""),"IDR")</f>
        <v>IDR</v>
      </c>
      <c r="I2549" s="11">
        <f>IFERROR(__xludf.DUMMYFUNCTION("""COMPUTED_VALUE"""),36000.0)</f>
        <v>36000</v>
      </c>
      <c r="J2549" s="11">
        <f>IFERROR(__xludf.DUMMYFUNCTION("""COMPUTED_VALUE"""),720000.0)</f>
        <v>720000</v>
      </c>
      <c r="K2549" s="57">
        <f>IFERROR(__xludf.DUMMYFUNCTION("""COMPUTED_VALUE"""),45183.0)</f>
        <v>45183</v>
      </c>
      <c r="L2549" s="6" t="str">
        <f>IFERROR(__xludf.DUMMYFUNCTION("""COMPUTED_VALUE"""),"FIP Engineering")</f>
        <v>FIP Engineering</v>
      </c>
      <c r="M2549" s="6" t="str">
        <f>IFERROR(__xludf.DUMMYFUNCTION("""COMPUTED_VALUE"""),"Mochammad Fadhillah Hakim")</f>
        <v>Mochammad Fadhillah Hakim</v>
      </c>
      <c r="N2549" s="6" t="str">
        <f>IFERROR(__xludf.DUMMYFUNCTION("""COMPUTED_VALUE"""),"FIP Engineering")</f>
        <v>FIP Engineering</v>
      </c>
      <c r="O2549" s="6" t="str">
        <f>IFERROR(__xludf.DUMMYFUNCTION("""COMPUTED_VALUE"""),"FIP-DOM-000-11304-OS00001-INA-000000")</f>
        <v>FIP-DOM-000-11304-OS00001-INA-000000</v>
      </c>
      <c r="P2549" s="6" t="str">
        <f>IFERROR(__xludf.DUMMYFUNCTION("""COMPUTED_VALUE"""),"PO Closed")</f>
        <v>PO Closed</v>
      </c>
      <c r="Q2549" s="6" t="str">
        <f>IFERROR(__xludf.DUMMYFUNCTION("""COMPUTED_VALUE"""),"GL2309008")</f>
        <v>GL2309008</v>
      </c>
      <c r="R2549" s="57">
        <f>IFERROR(__xludf.DUMMYFUNCTION("""COMPUTED_VALUE"""),45169.0)</f>
        <v>45169</v>
      </c>
      <c r="S2549" s="57">
        <f>IFERROR(__xludf.DUMMYFUNCTION("""COMPUTED_VALUE"""),45170.0)</f>
        <v>45170</v>
      </c>
      <c r="T2549" s="57">
        <f>IFERROR(__xludf.DUMMYFUNCTION("""COMPUTED_VALUE"""),45245.0)</f>
        <v>45245</v>
      </c>
    </row>
    <row r="2550">
      <c r="A2550" s="6" t="str">
        <f>IFERROR(__xludf.DUMMYFUNCTION("""COMPUTED_VALUE"""),"231750624-3")</f>
        <v>231750624-3</v>
      </c>
      <c r="B2550" s="6" t="str">
        <f>IFERROR(__xludf.DUMMYFUNCTION("""COMPUTED_VALUE"""),"231750624 - Approved")</f>
        <v>231750624 - Approved</v>
      </c>
      <c r="C2550" s="6">
        <f>IFERROR(__xludf.DUMMYFUNCTION("""COMPUTED_VALUE"""),3.0)</f>
        <v>3</v>
      </c>
      <c r="D2550" s="6" t="str">
        <f>IFERROR(__xludf.DUMMYFUNCTION("""COMPUTED_VALUE"""),"P-53173-00")</f>
        <v>P-53173-00</v>
      </c>
      <c r="E2550" s="6" t="str">
        <f>IFERROR(__xludf.DUMMYFUNCTION("""COMPUTED_VALUE"""),"Ballast Electronic EB-C 214 TL5, 2x14W; Phillips; ;")</f>
        <v>Ballast Electronic EB-C 214 TL5, 2x14W; Phillips; ;</v>
      </c>
      <c r="F2550" s="6">
        <f>IFERROR(__xludf.DUMMYFUNCTION("""COMPUTED_VALUE"""),20.0)</f>
        <v>20</v>
      </c>
      <c r="G2550" s="6" t="str">
        <f>IFERROR(__xludf.DUMMYFUNCTION("""COMPUTED_VALUE"""),"Pieces")</f>
        <v>Pieces</v>
      </c>
      <c r="H2550" s="6" t="str">
        <f>IFERROR(__xludf.DUMMYFUNCTION("""COMPUTED_VALUE"""),"IDR")</f>
        <v>IDR</v>
      </c>
      <c r="I2550" s="11">
        <f>IFERROR(__xludf.DUMMYFUNCTION("""COMPUTED_VALUE"""),115000.0)</f>
        <v>115000</v>
      </c>
      <c r="J2550" s="11">
        <f>IFERROR(__xludf.DUMMYFUNCTION("""COMPUTED_VALUE"""),2300000.0)</f>
        <v>2300000</v>
      </c>
      <c r="K2550" s="57">
        <f>IFERROR(__xludf.DUMMYFUNCTION("""COMPUTED_VALUE"""),45183.0)</f>
        <v>45183</v>
      </c>
      <c r="L2550" s="6" t="str">
        <f>IFERROR(__xludf.DUMMYFUNCTION("""COMPUTED_VALUE"""),"FIP Engineering")</f>
        <v>FIP Engineering</v>
      </c>
      <c r="M2550" s="6" t="str">
        <f>IFERROR(__xludf.DUMMYFUNCTION("""COMPUTED_VALUE"""),"Mochammad Fadhillah Hakim")</f>
        <v>Mochammad Fadhillah Hakim</v>
      </c>
      <c r="N2550" s="6" t="str">
        <f>IFERROR(__xludf.DUMMYFUNCTION("""COMPUTED_VALUE"""),"FIP Engineering")</f>
        <v>FIP Engineering</v>
      </c>
      <c r="O2550" s="6" t="str">
        <f>IFERROR(__xludf.DUMMYFUNCTION("""COMPUTED_VALUE"""),"FIP-DOM-000-11304-OS00001-INA-000000")</f>
        <v>FIP-DOM-000-11304-OS00001-INA-000000</v>
      </c>
      <c r="P2550" s="6" t="str">
        <f>IFERROR(__xludf.DUMMYFUNCTION("""COMPUTED_VALUE"""),"PO Closed")</f>
        <v>PO Closed</v>
      </c>
      <c r="Q2550" s="6" t="str">
        <f>IFERROR(__xludf.DUMMYFUNCTION("""COMPUTED_VALUE"""),"GL2310022")</f>
        <v>GL2310022</v>
      </c>
      <c r="R2550" s="57">
        <f>IFERROR(__xludf.DUMMYFUNCTION("""COMPUTED_VALUE"""),45169.0)</f>
        <v>45169</v>
      </c>
      <c r="S2550" s="57">
        <f>IFERROR(__xludf.DUMMYFUNCTION("""COMPUTED_VALUE"""),45170.0)</f>
        <v>45170</v>
      </c>
      <c r="T2550" s="57">
        <f>IFERROR(__xludf.DUMMYFUNCTION("""COMPUTED_VALUE"""),45250.0)</f>
        <v>45250</v>
      </c>
    </row>
    <row r="2551">
      <c r="A2551" s="6" t="str">
        <f>IFERROR(__xludf.DUMMYFUNCTION("""COMPUTED_VALUE"""),"231750624-4")</f>
        <v>231750624-4</v>
      </c>
      <c r="B2551" s="6" t="str">
        <f>IFERROR(__xludf.DUMMYFUNCTION("""COMPUTED_VALUE"""),"231750624 - Approved")</f>
        <v>231750624 - Approved</v>
      </c>
      <c r="C2551" s="6">
        <f>IFERROR(__xludf.DUMMYFUNCTION("""COMPUTED_VALUE"""),4.0)</f>
        <v>4</v>
      </c>
      <c r="D2551" s="6" t="str">
        <f>IFERROR(__xludf.DUMMYFUNCTION("""COMPUTED_VALUE"""),"P-53169-00")</f>
        <v>P-53169-00</v>
      </c>
      <c r="E2551" s="6" t="str">
        <f>IFERROR(__xludf.DUMMYFUNCTION("""COMPUTED_VALUE"""),"Ballast Electronic EB-C 228 TL5, 2x28W; Phillips; ;")</f>
        <v>Ballast Electronic EB-C 228 TL5, 2x28W; Phillips; ;</v>
      </c>
      <c r="F2551" s="6">
        <f>IFERROR(__xludf.DUMMYFUNCTION("""COMPUTED_VALUE"""),20.0)</f>
        <v>20</v>
      </c>
      <c r="G2551" s="6" t="str">
        <f>IFERROR(__xludf.DUMMYFUNCTION("""COMPUTED_VALUE"""),"Pieces")</f>
        <v>Pieces</v>
      </c>
      <c r="H2551" s="6" t="str">
        <f>IFERROR(__xludf.DUMMYFUNCTION("""COMPUTED_VALUE"""),"IDR")</f>
        <v>IDR</v>
      </c>
      <c r="I2551" s="11">
        <f>IFERROR(__xludf.DUMMYFUNCTION("""COMPUTED_VALUE"""),115000.0)</f>
        <v>115000</v>
      </c>
      <c r="J2551" s="11">
        <f>IFERROR(__xludf.DUMMYFUNCTION("""COMPUTED_VALUE"""),2300000.0)</f>
        <v>2300000</v>
      </c>
      <c r="K2551" s="57">
        <f>IFERROR(__xludf.DUMMYFUNCTION("""COMPUTED_VALUE"""),45183.0)</f>
        <v>45183</v>
      </c>
      <c r="L2551" s="6" t="str">
        <f>IFERROR(__xludf.DUMMYFUNCTION("""COMPUTED_VALUE"""),"FIP Engineering")</f>
        <v>FIP Engineering</v>
      </c>
      <c r="M2551" s="6" t="str">
        <f>IFERROR(__xludf.DUMMYFUNCTION("""COMPUTED_VALUE"""),"Mochammad Fadhillah Hakim")</f>
        <v>Mochammad Fadhillah Hakim</v>
      </c>
      <c r="N2551" s="6" t="str">
        <f>IFERROR(__xludf.DUMMYFUNCTION("""COMPUTED_VALUE"""),"FIP Engineering")</f>
        <v>FIP Engineering</v>
      </c>
      <c r="O2551" s="6" t="str">
        <f>IFERROR(__xludf.DUMMYFUNCTION("""COMPUTED_VALUE"""),"FIP-DOM-000-11304-OS00001-INA-000000")</f>
        <v>FIP-DOM-000-11304-OS00001-INA-000000</v>
      </c>
      <c r="P2551" s="6" t="str">
        <f>IFERROR(__xludf.DUMMYFUNCTION("""COMPUTED_VALUE"""),"PO Closed")</f>
        <v>PO Closed</v>
      </c>
      <c r="Q2551" s="6" t="str">
        <f>IFERROR(__xludf.DUMMYFUNCTION("""COMPUTED_VALUE"""),"GL2310022")</f>
        <v>GL2310022</v>
      </c>
      <c r="R2551" s="57">
        <f>IFERROR(__xludf.DUMMYFUNCTION("""COMPUTED_VALUE"""),45169.0)</f>
        <v>45169</v>
      </c>
      <c r="S2551" s="57">
        <f>IFERROR(__xludf.DUMMYFUNCTION("""COMPUTED_VALUE"""),45170.0)</f>
        <v>45170</v>
      </c>
      <c r="T2551" s="57">
        <f>IFERROR(__xludf.DUMMYFUNCTION("""COMPUTED_VALUE"""),45250.0)</f>
        <v>45250</v>
      </c>
    </row>
    <row r="2552">
      <c r="A2552" s="6" t="str">
        <f>IFERROR(__xludf.DUMMYFUNCTION("""COMPUTED_VALUE"""),"231750624-5")</f>
        <v>231750624-5</v>
      </c>
      <c r="B2552" s="6" t="str">
        <f>IFERROR(__xludf.DUMMYFUNCTION("""COMPUTED_VALUE"""),"231750624 - Approved")</f>
        <v>231750624 - Approved</v>
      </c>
      <c r="C2552" s="6">
        <f>IFERROR(__xludf.DUMMYFUNCTION("""COMPUTED_VALUE"""),5.0)</f>
        <v>5</v>
      </c>
      <c r="D2552" s="6" t="str">
        <f>IFERROR(__xludf.DUMMYFUNCTION("""COMPUTED_VALUE"""),"Q-10249-00")</f>
        <v>Q-10249-00</v>
      </c>
      <c r="E2552" s="6" t="str">
        <f>IFERROR(__xludf.DUMMYFUNCTION("""COMPUTED_VALUE"""),"Lem Power Glue; ; ;")</f>
        <v>Lem Power Glue; ; ;</v>
      </c>
      <c r="F2552" s="6">
        <f>IFERROR(__xludf.DUMMYFUNCTION("""COMPUTED_VALUE"""),30.0)</f>
        <v>30</v>
      </c>
      <c r="G2552" s="6" t="str">
        <f>IFERROR(__xludf.DUMMYFUNCTION("""COMPUTED_VALUE"""),"Pieces")</f>
        <v>Pieces</v>
      </c>
      <c r="H2552" s="6" t="str">
        <f>IFERROR(__xludf.DUMMYFUNCTION("""COMPUTED_VALUE"""),"IDR")</f>
        <v>IDR</v>
      </c>
      <c r="I2552" s="11">
        <f>IFERROR(__xludf.DUMMYFUNCTION("""COMPUTED_VALUE"""),4050.0)</f>
        <v>4050</v>
      </c>
      <c r="J2552" s="11">
        <f>IFERROR(__xludf.DUMMYFUNCTION("""COMPUTED_VALUE"""),121500.0)</f>
        <v>121500</v>
      </c>
      <c r="K2552" s="57">
        <f>IFERROR(__xludf.DUMMYFUNCTION("""COMPUTED_VALUE"""),45183.0)</f>
        <v>45183</v>
      </c>
      <c r="L2552" s="6" t="str">
        <f>IFERROR(__xludf.DUMMYFUNCTION("""COMPUTED_VALUE"""),"FIP Engineering")</f>
        <v>FIP Engineering</v>
      </c>
      <c r="M2552" s="6" t="str">
        <f>IFERROR(__xludf.DUMMYFUNCTION("""COMPUTED_VALUE"""),"Mochammad Fadhillah Hakim")</f>
        <v>Mochammad Fadhillah Hakim</v>
      </c>
      <c r="N2552" s="6" t="str">
        <f>IFERROR(__xludf.DUMMYFUNCTION("""COMPUTED_VALUE"""),"FIP Engineering")</f>
        <v>FIP Engineering</v>
      </c>
      <c r="O2552" s="6" t="str">
        <f>IFERROR(__xludf.DUMMYFUNCTION("""COMPUTED_VALUE"""),"FIP-DOM-000-11304-OS00001-INA-000000")</f>
        <v>FIP-DOM-000-11304-OS00001-INA-000000</v>
      </c>
      <c r="P2552" s="6" t="str">
        <f>IFERROR(__xludf.DUMMYFUNCTION("""COMPUTED_VALUE"""),"PO Closed")</f>
        <v>PO Closed</v>
      </c>
      <c r="Q2552" s="6" t="str">
        <f>IFERROR(__xludf.DUMMYFUNCTION("""COMPUTED_VALUE"""),"GL2309010")</f>
        <v>GL2309010</v>
      </c>
      <c r="R2552" s="57">
        <f>IFERROR(__xludf.DUMMYFUNCTION("""COMPUTED_VALUE"""),45169.0)</f>
        <v>45169</v>
      </c>
      <c r="S2552" s="57">
        <f>IFERROR(__xludf.DUMMYFUNCTION("""COMPUTED_VALUE"""),45170.0)</f>
        <v>45170</v>
      </c>
      <c r="T2552" s="57">
        <f>IFERROR(__xludf.DUMMYFUNCTION("""COMPUTED_VALUE"""),45230.0)</f>
        <v>45230</v>
      </c>
    </row>
    <row r="2553">
      <c r="A2553" s="6" t="str">
        <f>IFERROR(__xludf.DUMMYFUNCTION("""COMPUTED_VALUE"""),"231750624-6")</f>
        <v>231750624-6</v>
      </c>
      <c r="B2553" s="6" t="str">
        <f>IFERROR(__xludf.DUMMYFUNCTION("""COMPUTED_VALUE"""),"231750624 - Approved")</f>
        <v>231750624 - Approved</v>
      </c>
      <c r="C2553" s="6">
        <f>IFERROR(__xludf.DUMMYFUNCTION("""COMPUTED_VALUE"""),6.0)</f>
        <v>6</v>
      </c>
      <c r="D2553" s="6" t="str">
        <f>IFERROR(__xludf.DUMMYFUNCTION("""COMPUTED_VALUE"""),"P-10726-00")</f>
        <v>P-10726-00</v>
      </c>
      <c r="E2553" s="6" t="str">
        <f>IFERROR(__xludf.DUMMYFUNCTION("""COMPUTED_VALUE"""),"Cleaner - Contact Cleaner CRC CO 2016 500 ml")</f>
        <v>Cleaner - Contact Cleaner CRC CO 2016 500 ml</v>
      </c>
      <c r="F2553" s="6">
        <f>IFERROR(__xludf.DUMMYFUNCTION("""COMPUTED_VALUE"""),2.0)</f>
        <v>2</v>
      </c>
      <c r="G2553" s="6" t="str">
        <f>IFERROR(__xludf.DUMMYFUNCTION("""COMPUTED_VALUE"""),"Pieces")</f>
        <v>Pieces</v>
      </c>
      <c r="H2553" s="6" t="str">
        <f>IFERROR(__xludf.DUMMYFUNCTION("""COMPUTED_VALUE"""),"IDR")</f>
        <v>IDR</v>
      </c>
      <c r="I2553" s="11">
        <f>IFERROR(__xludf.DUMMYFUNCTION("""COMPUTED_VALUE"""),90000.0)</f>
        <v>90000</v>
      </c>
      <c r="J2553" s="11">
        <f>IFERROR(__xludf.DUMMYFUNCTION("""COMPUTED_VALUE"""),180000.0)</f>
        <v>180000</v>
      </c>
      <c r="K2553" s="57">
        <f>IFERROR(__xludf.DUMMYFUNCTION("""COMPUTED_VALUE"""),45183.0)</f>
        <v>45183</v>
      </c>
      <c r="L2553" s="6" t="str">
        <f>IFERROR(__xludf.DUMMYFUNCTION("""COMPUTED_VALUE"""),"FIP Engineering")</f>
        <v>FIP Engineering</v>
      </c>
      <c r="M2553" s="6" t="str">
        <f>IFERROR(__xludf.DUMMYFUNCTION("""COMPUTED_VALUE"""),"Mochammad Fadhillah Hakim")</f>
        <v>Mochammad Fadhillah Hakim</v>
      </c>
      <c r="N2553" s="6" t="str">
        <f>IFERROR(__xludf.DUMMYFUNCTION("""COMPUTED_VALUE"""),"FIP Engineering")</f>
        <v>FIP Engineering</v>
      </c>
      <c r="O2553" s="6" t="str">
        <f>IFERROR(__xludf.DUMMYFUNCTION("""COMPUTED_VALUE"""),"FIP-DOM-000-11304-OS00001-INA-000000")</f>
        <v>FIP-DOM-000-11304-OS00001-INA-000000</v>
      </c>
      <c r="P2553" s="6" t="str">
        <f>IFERROR(__xludf.DUMMYFUNCTION("""COMPUTED_VALUE"""),"PO Closed")</f>
        <v>PO Closed</v>
      </c>
      <c r="Q2553" s="6" t="str">
        <f>IFERROR(__xludf.DUMMYFUNCTION("""COMPUTED_VALUE"""),"GL2310022")</f>
        <v>GL2310022</v>
      </c>
      <c r="R2553" s="57">
        <f>IFERROR(__xludf.DUMMYFUNCTION("""COMPUTED_VALUE"""),45169.0)</f>
        <v>45169</v>
      </c>
      <c r="S2553" s="57">
        <f>IFERROR(__xludf.DUMMYFUNCTION("""COMPUTED_VALUE"""),45170.0)</f>
        <v>45170</v>
      </c>
      <c r="T2553" s="57">
        <f>IFERROR(__xludf.DUMMYFUNCTION("""COMPUTED_VALUE"""),45250.0)</f>
        <v>45250</v>
      </c>
    </row>
    <row r="2554">
      <c r="A2554" s="6" t="str">
        <f>IFERROR(__xludf.DUMMYFUNCTION("""COMPUTED_VALUE"""),"231750624-7")</f>
        <v>231750624-7</v>
      </c>
      <c r="B2554" s="6" t="str">
        <f>IFERROR(__xludf.DUMMYFUNCTION("""COMPUTED_VALUE"""),"231750624 - Approved")</f>
        <v>231750624 - Approved</v>
      </c>
      <c r="C2554" s="6">
        <f>IFERROR(__xludf.DUMMYFUNCTION("""COMPUTED_VALUE"""),7.0)</f>
        <v>7</v>
      </c>
      <c r="D2554" s="6" t="str">
        <f>IFERROR(__xludf.DUMMYFUNCTION("""COMPUTED_VALUE"""),"Q-10650-00")</f>
        <v>Q-10650-00</v>
      </c>
      <c r="E2554" s="6" t="str">
        <f>IFERROR(__xludf.DUMMYFUNCTION("""COMPUTED_VALUE"""),"Aquaproof Abu-Abu @4 Kg; ; ;")</f>
        <v>Aquaproof Abu-Abu @4 Kg; ; ;</v>
      </c>
      <c r="F2554" s="6">
        <f>IFERROR(__xludf.DUMMYFUNCTION("""COMPUTED_VALUE"""),2.0)</f>
        <v>2</v>
      </c>
      <c r="G2554" s="6" t="str">
        <f>IFERROR(__xludf.DUMMYFUNCTION("""COMPUTED_VALUE"""),"Can")</f>
        <v>Can</v>
      </c>
      <c r="H2554" s="6" t="str">
        <f>IFERROR(__xludf.DUMMYFUNCTION("""COMPUTED_VALUE"""),"IDR")</f>
        <v>IDR</v>
      </c>
      <c r="I2554" s="11">
        <f>IFERROR(__xludf.DUMMYFUNCTION("""COMPUTED_VALUE"""),230000.0)</f>
        <v>230000</v>
      </c>
      <c r="J2554" s="11">
        <f>IFERROR(__xludf.DUMMYFUNCTION("""COMPUTED_VALUE"""),460000.0)</f>
        <v>460000</v>
      </c>
      <c r="K2554" s="57">
        <f>IFERROR(__xludf.DUMMYFUNCTION("""COMPUTED_VALUE"""),45183.0)</f>
        <v>45183</v>
      </c>
      <c r="L2554" s="6" t="str">
        <f>IFERROR(__xludf.DUMMYFUNCTION("""COMPUTED_VALUE"""),"FIP Engineering")</f>
        <v>FIP Engineering</v>
      </c>
      <c r="M2554" s="6" t="str">
        <f>IFERROR(__xludf.DUMMYFUNCTION("""COMPUTED_VALUE"""),"Mochammad Fadhillah Hakim")</f>
        <v>Mochammad Fadhillah Hakim</v>
      </c>
      <c r="N2554" s="6" t="str">
        <f>IFERROR(__xludf.DUMMYFUNCTION("""COMPUTED_VALUE"""),"FIP Engineering")</f>
        <v>FIP Engineering</v>
      </c>
      <c r="O2554" s="6" t="str">
        <f>IFERROR(__xludf.DUMMYFUNCTION("""COMPUTED_VALUE"""),"FIP-DOM-000-11304-OS00001-INA-000000")</f>
        <v>FIP-DOM-000-11304-OS00001-INA-000000</v>
      </c>
      <c r="P2554" s="6" t="str">
        <f>IFERROR(__xludf.DUMMYFUNCTION("""COMPUTED_VALUE"""),"PO Closed")</f>
        <v>PO Closed</v>
      </c>
      <c r="Q2554" s="6" t="str">
        <f>IFERROR(__xludf.DUMMYFUNCTION("""COMPUTED_VALUE"""),"GL2309010")</f>
        <v>GL2309010</v>
      </c>
      <c r="R2554" s="57">
        <f>IFERROR(__xludf.DUMMYFUNCTION("""COMPUTED_VALUE"""),45169.0)</f>
        <v>45169</v>
      </c>
      <c r="S2554" s="57">
        <f>IFERROR(__xludf.DUMMYFUNCTION("""COMPUTED_VALUE"""),45170.0)</f>
        <v>45170</v>
      </c>
      <c r="T2554" s="57">
        <f>IFERROR(__xludf.DUMMYFUNCTION("""COMPUTED_VALUE"""),45230.0)</f>
        <v>45230</v>
      </c>
    </row>
    <row r="2555">
      <c r="A2555" s="6" t="str">
        <f>IFERROR(__xludf.DUMMYFUNCTION("""COMPUTED_VALUE"""),"231750624-8")</f>
        <v>231750624-8</v>
      </c>
      <c r="B2555" s="6" t="str">
        <f>IFERROR(__xludf.DUMMYFUNCTION("""COMPUTED_VALUE"""),"231750624 - Approved")</f>
        <v>231750624 - Approved</v>
      </c>
      <c r="C2555" s="6">
        <f>IFERROR(__xludf.DUMMYFUNCTION("""COMPUTED_VALUE"""),8.0)</f>
        <v>8</v>
      </c>
      <c r="D2555" s="6" t="str">
        <f>IFERROR(__xludf.DUMMYFUNCTION("""COMPUTED_VALUE"""),"O-15931-00")</f>
        <v>O-15931-00</v>
      </c>
      <c r="E2555" s="6" t="str">
        <f>IFERROR(__xludf.DUMMYFUNCTION("""COMPUTED_VALUE"""),"Double Tape 3M 1"" Merah - P/N : - pc")</f>
        <v>Double Tape 3M 1" Merah - P/N : - pc</v>
      </c>
      <c r="F2555" s="6">
        <f>IFERROR(__xludf.DUMMYFUNCTION("""COMPUTED_VALUE"""),5.0)</f>
        <v>5</v>
      </c>
      <c r="G2555" s="6" t="str">
        <f>IFERROR(__xludf.DUMMYFUNCTION("""COMPUTED_VALUE"""),"Pieces")</f>
        <v>Pieces</v>
      </c>
      <c r="H2555" s="6" t="str">
        <f>IFERROR(__xludf.DUMMYFUNCTION("""COMPUTED_VALUE"""),"IDR")</f>
        <v>IDR</v>
      </c>
      <c r="I2555" s="11">
        <f>IFERROR(__xludf.DUMMYFUNCTION("""COMPUTED_VALUE"""),112500.0)</f>
        <v>112500</v>
      </c>
      <c r="J2555" s="11">
        <f>IFERROR(__xludf.DUMMYFUNCTION("""COMPUTED_VALUE"""),562500.0)</f>
        <v>562500</v>
      </c>
      <c r="K2555" s="57">
        <f>IFERROR(__xludf.DUMMYFUNCTION("""COMPUTED_VALUE"""),45183.0)</f>
        <v>45183</v>
      </c>
      <c r="L2555" s="6" t="str">
        <f>IFERROR(__xludf.DUMMYFUNCTION("""COMPUTED_VALUE"""),"FIP Engineering")</f>
        <v>FIP Engineering</v>
      </c>
      <c r="M2555" s="6" t="str">
        <f>IFERROR(__xludf.DUMMYFUNCTION("""COMPUTED_VALUE"""),"Mochammad Fadhillah Hakim")</f>
        <v>Mochammad Fadhillah Hakim</v>
      </c>
      <c r="N2555" s="6" t="str">
        <f>IFERROR(__xludf.DUMMYFUNCTION("""COMPUTED_VALUE"""),"FIP Engineering")</f>
        <v>FIP Engineering</v>
      </c>
      <c r="O2555" s="6" t="str">
        <f>IFERROR(__xludf.DUMMYFUNCTION("""COMPUTED_VALUE"""),"FIP-DOM-000-11304-OS00001-INA-000000")</f>
        <v>FIP-DOM-000-11304-OS00001-INA-000000</v>
      </c>
      <c r="P2555" s="6" t="str">
        <f>IFERROR(__xludf.DUMMYFUNCTION("""COMPUTED_VALUE"""),"PO Closed")</f>
        <v>PO Closed</v>
      </c>
      <c r="Q2555" s="6" t="str">
        <f>IFERROR(__xludf.DUMMYFUNCTION("""COMPUTED_VALUE"""),"GL2310022")</f>
        <v>GL2310022</v>
      </c>
      <c r="R2555" s="57">
        <f>IFERROR(__xludf.DUMMYFUNCTION("""COMPUTED_VALUE"""),45169.0)</f>
        <v>45169</v>
      </c>
      <c r="S2555" s="57">
        <f>IFERROR(__xludf.DUMMYFUNCTION("""COMPUTED_VALUE"""),45170.0)</f>
        <v>45170</v>
      </c>
      <c r="T2555" s="57">
        <f>IFERROR(__xludf.DUMMYFUNCTION("""COMPUTED_VALUE"""),45250.0)</f>
        <v>45250</v>
      </c>
    </row>
    <row r="2556">
      <c r="A2556" s="6" t="str">
        <f>IFERROR(__xludf.DUMMYFUNCTION("""COMPUTED_VALUE"""),"231750624-9")</f>
        <v>231750624-9</v>
      </c>
      <c r="B2556" s="6" t="str">
        <f>IFERROR(__xludf.DUMMYFUNCTION("""COMPUTED_VALUE"""),"231750624 - Approved")</f>
        <v>231750624 - Approved</v>
      </c>
      <c r="C2556" s="6">
        <f>IFERROR(__xludf.DUMMYFUNCTION("""COMPUTED_VALUE"""),9.0)</f>
        <v>9</v>
      </c>
      <c r="D2556" s="6" t="str">
        <f>IFERROR(__xludf.DUMMYFUNCTION("""COMPUTED_VALUE"""),"Q-10172-00")</f>
        <v>Q-10172-00</v>
      </c>
      <c r="E2556" s="6" t="str">
        <f>IFERROR(__xludf.DUMMYFUNCTION("""COMPUTED_VALUE"""),"Polyfloor PFT-213 Light blue @ 20 KG")</f>
        <v>Polyfloor PFT-213 Light blue @ 20 KG</v>
      </c>
      <c r="F2556" s="6">
        <f>IFERROR(__xludf.DUMMYFUNCTION("""COMPUTED_VALUE"""),2.0)</f>
        <v>2</v>
      </c>
      <c r="G2556" s="6" t="str">
        <f>IFERROR(__xludf.DUMMYFUNCTION("""COMPUTED_VALUE"""),"Pieces")</f>
        <v>Pieces</v>
      </c>
      <c r="H2556" s="6" t="str">
        <f>IFERROR(__xludf.DUMMYFUNCTION("""COMPUTED_VALUE"""),"IDR")</f>
        <v>IDR</v>
      </c>
      <c r="I2556" s="11">
        <f>IFERROR(__xludf.DUMMYFUNCTION("""COMPUTED_VALUE"""),2036136.36)</f>
        <v>2036136.36</v>
      </c>
      <c r="J2556" s="11">
        <f>IFERROR(__xludf.DUMMYFUNCTION("""COMPUTED_VALUE"""),4072272.72)</f>
        <v>4072272.72</v>
      </c>
      <c r="K2556" s="57">
        <f>IFERROR(__xludf.DUMMYFUNCTION("""COMPUTED_VALUE"""),45183.0)</f>
        <v>45183</v>
      </c>
      <c r="L2556" s="6" t="str">
        <f>IFERROR(__xludf.DUMMYFUNCTION("""COMPUTED_VALUE"""),"FIP Engineering")</f>
        <v>FIP Engineering</v>
      </c>
      <c r="M2556" s="6" t="str">
        <f>IFERROR(__xludf.DUMMYFUNCTION("""COMPUTED_VALUE"""),"Mochammad Fadhillah Hakim")</f>
        <v>Mochammad Fadhillah Hakim</v>
      </c>
      <c r="N2556" s="6" t="str">
        <f>IFERROR(__xludf.DUMMYFUNCTION("""COMPUTED_VALUE"""),"FIP Engineering")</f>
        <v>FIP Engineering</v>
      </c>
      <c r="O2556" s="6" t="str">
        <f>IFERROR(__xludf.DUMMYFUNCTION("""COMPUTED_VALUE"""),"FIP-DOM-000-11304-OS00001-INA-000000")</f>
        <v>FIP-DOM-000-11304-OS00001-INA-000000</v>
      </c>
      <c r="P2556" s="6" t="str">
        <f>IFERROR(__xludf.DUMMYFUNCTION("""COMPUTED_VALUE"""),"PO Closed")</f>
        <v>PO Closed</v>
      </c>
      <c r="Q2556" s="6" t="str">
        <f>IFERROR(__xludf.DUMMYFUNCTION("""COMPUTED_VALUE"""),"GL2309016")</f>
        <v>GL2309016</v>
      </c>
      <c r="R2556" s="57">
        <f>IFERROR(__xludf.DUMMYFUNCTION("""COMPUTED_VALUE"""),45169.0)</f>
        <v>45169</v>
      </c>
      <c r="S2556" s="57">
        <f>IFERROR(__xludf.DUMMYFUNCTION("""COMPUTED_VALUE"""),45170.0)</f>
        <v>45170</v>
      </c>
      <c r="T2556" s="57">
        <f>IFERROR(__xludf.DUMMYFUNCTION("""COMPUTED_VALUE"""),45202.0)</f>
        <v>45202</v>
      </c>
    </row>
    <row r="2557">
      <c r="A2557" s="6" t="str">
        <f>IFERROR(__xludf.DUMMYFUNCTION("""COMPUTED_VALUE"""),"231750624-10")</f>
        <v>231750624-10</v>
      </c>
      <c r="B2557" s="6" t="str">
        <f>IFERROR(__xludf.DUMMYFUNCTION("""COMPUTED_VALUE"""),"231750624 - Approved")</f>
        <v>231750624 - Approved</v>
      </c>
      <c r="C2557" s="6">
        <f>IFERROR(__xludf.DUMMYFUNCTION("""COMPUTED_VALUE"""),10.0)</f>
        <v>10</v>
      </c>
      <c r="D2557" s="6" t="str">
        <f>IFERROR(__xludf.DUMMYFUNCTION("""COMPUTED_VALUE"""),"P-51756-00")</f>
        <v>P-51756-00</v>
      </c>
      <c r="E2557" s="6" t="str">
        <f>IFERROR(__xludf.DUMMYFUNCTION("""COMPUTED_VALUE"""),"Kabel NYYHY 3x0.75mm; ; ; meter")</f>
        <v>Kabel NYYHY 3x0.75mm; ; ; meter</v>
      </c>
      <c r="F2557" s="6">
        <f>IFERROR(__xludf.DUMMYFUNCTION("""COMPUTED_VALUE"""),25.0)</f>
        <v>25</v>
      </c>
      <c r="G2557" s="6" t="str">
        <f>IFERROR(__xludf.DUMMYFUNCTION("""COMPUTED_VALUE"""),"Meter")</f>
        <v>Meter</v>
      </c>
      <c r="H2557" s="6" t="str">
        <f>IFERROR(__xludf.DUMMYFUNCTION("""COMPUTED_VALUE"""),"IDR")</f>
        <v>IDR</v>
      </c>
      <c r="I2557" s="6">
        <f>IFERROR(__xludf.DUMMYFUNCTION("""COMPUTED_VALUE"""),6.0)</f>
        <v>6</v>
      </c>
      <c r="J2557" s="6">
        <f>IFERROR(__xludf.DUMMYFUNCTION("""COMPUTED_VALUE"""),150.0)</f>
        <v>150</v>
      </c>
      <c r="K2557" s="57">
        <f>IFERROR(__xludf.DUMMYFUNCTION("""COMPUTED_VALUE"""),45183.0)</f>
        <v>45183</v>
      </c>
      <c r="L2557" s="6" t="str">
        <f>IFERROR(__xludf.DUMMYFUNCTION("""COMPUTED_VALUE"""),"FIP Engineering")</f>
        <v>FIP Engineering</v>
      </c>
      <c r="M2557" s="6" t="str">
        <f>IFERROR(__xludf.DUMMYFUNCTION("""COMPUTED_VALUE"""),"Mochammad Fadhillah Hakim")</f>
        <v>Mochammad Fadhillah Hakim</v>
      </c>
      <c r="N2557" s="6" t="str">
        <f>IFERROR(__xludf.DUMMYFUNCTION("""COMPUTED_VALUE"""),"FIP Engineering")</f>
        <v>FIP Engineering</v>
      </c>
      <c r="O2557" s="6" t="str">
        <f>IFERROR(__xludf.DUMMYFUNCTION("""COMPUTED_VALUE"""),"FIP-DOM-000-11304-OS00001-INA-000000")</f>
        <v>FIP-DOM-000-11304-OS00001-INA-000000</v>
      </c>
      <c r="P2557" s="6" t="str">
        <f>IFERROR(__xludf.DUMMYFUNCTION("""COMPUTED_VALUE"""),"PO Closed")</f>
        <v>PO Closed</v>
      </c>
      <c r="Q2557" s="6" t="str">
        <f>IFERROR(__xludf.DUMMYFUNCTION("""COMPUTED_VALUE"""),"GL2310022")</f>
        <v>GL2310022</v>
      </c>
      <c r="R2557" s="57">
        <f>IFERROR(__xludf.DUMMYFUNCTION("""COMPUTED_VALUE"""),45169.0)</f>
        <v>45169</v>
      </c>
      <c r="S2557" s="57">
        <f>IFERROR(__xludf.DUMMYFUNCTION("""COMPUTED_VALUE"""),45170.0)</f>
        <v>45170</v>
      </c>
      <c r="T2557" s="57">
        <f>IFERROR(__xludf.DUMMYFUNCTION("""COMPUTED_VALUE"""),45250.0)</f>
        <v>45250</v>
      </c>
    </row>
    <row r="2558">
      <c r="A2558" s="6" t="str">
        <f>IFERROR(__xludf.DUMMYFUNCTION("""COMPUTED_VALUE"""),"231750624-11")</f>
        <v>231750624-11</v>
      </c>
      <c r="B2558" s="6" t="str">
        <f>IFERROR(__xludf.DUMMYFUNCTION("""COMPUTED_VALUE"""),"231750624 - Approved")</f>
        <v>231750624 - Approved</v>
      </c>
      <c r="C2558" s="6">
        <f>IFERROR(__xludf.DUMMYFUNCTION("""COMPUTED_VALUE"""),11.0)</f>
        <v>11</v>
      </c>
      <c r="D2558" s="6" t="str">
        <f>IFERROR(__xludf.DUMMYFUNCTION("""COMPUTED_VALUE"""),"Q-60502-00")</f>
        <v>Q-60502-00</v>
      </c>
      <c r="E2558" s="6" t="str">
        <f>IFERROR(__xludf.DUMMYFUNCTION("""COMPUTED_VALUE"""),"Silicone Sealant, Silglaze, Type N10 White, pack size per pcs")</f>
        <v>Silicone Sealant, Silglaze, Type N10 White, pack size per pcs</v>
      </c>
      <c r="F2558" s="6">
        <f>IFERROR(__xludf.DUMMYFUNCTION("""COMPUTED_VALUE"""),10.0)</f>
        <v>10</v>
      </c>
      <c r="G2558" s="6" t="str">
        <f>IFERROR(__xludf.DUMMYFUNCTION("""COMPUTED_VALUE"""),"Pieces")</f>
        <v>Pieces</v>
      </c>
      <c r="H2558" s="6" t="str">
        <f>IFERROR(__xludf.DUMMYFUNCTION("""COMPUTED_VALUE"""),"IDR")</f>
        <v>IDR</v>
      </c>
      <c r="I2558" s="11">
        <f>IFERROR(__xludf.DUMMYFUNCTION("""COMPUTED_VALUE"""),62000.0)</f>
        <v>62000</v>
      </c>
      <c r="J2558" s="11">
        <f>IFERROR(__xludf.DUMMYFUNCTION("""COMPUTED_VALUE"""),620000.0)</f>
        <v>620000</v>
      </c>
      <c r="K2558" s="57">
        <f>IFERROR(__xludf.DUMMYFUNCTION("""COMPUTED_VALUE"""),45183.0)</f>
        <v>45183</v>
      </c>
      <c r="L2558" s="6" t="str">
        <f>IFERROR(__xludf.DUMMYFUNCTION("""COMPUTED_VALUE"""),"FIP Engineering")</f>
        <v>FIP Engineering</v>
      </c>
      <c r="M2558" s="6" t="str">
        <f>IFERROR(__xludf.DUMMYFUNCTION("""COMPUTED_VALUE"""),"Mochammad Fadhillah Hakim")</f>
        <v>Mochammad Fadhillah Hakim</v>
      </c>
      <c r="N2558" s="6" t="str">
        <f>IFERROR(__xludf.DUMMYFUNCTION("""COMPUTED_VALUE"""),"FIP Engineering")</f>
        <v>FIP Engineering</v>
      </c>
      <c r="O2558" s="6" t="str">
        <f>IFERROR(__xludf.DUMMYFUNCTION("""COMPUTED_VALUE"""),"FIP-DOM-000-11304-OS00001-INA-000000")</f>
        <v>FIP-DOM-000-11304-OS00001-INA-000000</v>
      </c>
      <c r="P2558" s="6" t="str">
        <f>IFERROR(__xludf.DUMMYFUNCTION("""COMPUTED_VALUE"""),"PO Closed")</f>
        <v>PO Closed</v>
      </c>
      <c r="Q2558" s="6" t="str">
        <f>IFERROR(__xludf.DUMMYFUNCTION("""COMPUTED_VALUE"""),"GL2309011")</f>
        <v>GL2309011</v>
      </c>
      <c r="R2558" s="57">
        <f>IFERROR(__xludf.DUMMYFUNCTION("""COMPUTED_VALUE"""),45169.0)</f>
        <v>45169</v>
      </c>
      <c r="S2558" s="57">
        <f>IFERROR(__xludf.DUMMYFUNCTION("""COMPUTED_VALUE"""),45170.0)</f>
        <v>45170</v>
      </c>
      <c r="T2558" s="57">
        <f>IFERROR(__xludf.DUMMYFUNCTION("""COMPUTED_VALUE"""),45194.0)</f>
        <v>45194</v>
      </c>
    </row>
    <row r="2559">
      <c r="A2559" s="6" t="str">
        <f>IFERROR(__xludf.DUMMYFUNCTION("""COMPUTED_VALUE"""),"231750624-12")</f>
        <v>231750624-12</v>
      </c>
      <c r="B2559" s="6" t="str">
        <f>IFERROR(__xludf.DUMMYFUNCTION("""COMPUTED_VALUE"""),"231750624 - Approved")</f>
        <v>231750624 - Approved</v>
      </c>
      <c r="C2559" s="6">
        <f>IFERROR(__xludf.DUMMYFUNCTION("""COMPUTED_VALUE"""),12.0)</f>
        <v>12</v>
      </c>
      <c r="D2559" s="6" t="str">
        <f>IFERROR(__xludf.DUMMYFUNCTION("""COMPUTED_VALUE"""),"Q-60501-00")</f>
        <v>Q-60501-00</v>
      </c>
      <c r="E2559" s="6" t="str">
        <f>IFERROR(__xludf.DUMMYFUNCTION("""COMPUTED_VALUE"""),"Silicone Sealant, Silglaze, Type N10 Clear, pack size per pcs")</f>
        <v>Silicone Sealant, Silglaze, Type N10 Clear, pack size per pcs</v>
      </c>
      <c r="F2559" s="6">
        <f>IFERROR(__xludf.DUMMYFUNCTION("""COMPUTED_VALUE"""),5.0)</f>
        <v>5</v>
      </c>
      <c r="G2559" s="6" t="str">
        <f>IFERROR(__xludf.DUMMYFUNCTION("""COMPUTED_VALUE"""),"Pieces")</f>
        <v>Pieces</v>
      </c>
      <c r="H2559" s="6" t="str">
        <f>IFERROR(__xludf.DUMMYFUNCTION("""COMPUTED_VALUE"""),"IDR")</f>
        <v>IDR</v>
      </c>
      <c r="I2559" s="11">
        <f>IFERROR(__xludf.DUMMYFUNCTION("""COMPUTED_VALUE"""),62000.0)</f>
        <v>62000</v>
      </c>
      <c r="J2559" s="11">
        <f>IFERROR(__xludf.DUMMYFUNCTION("""COMPUTED_VALUE"""),310000.0)</f>
        <v>310000</v>
      </c>
      <c r="K2559" s="57">
        <f>IFERROR(__xludf.DUMMYFUNCTION("""COMPUTED_VALUE"""),45183.0)</f>
        <v>45183</v>
      </c>
      <c r="L2559" s="6" t="str">
        <f>IFERROR(__xludf.DUMMYFUNCTION("""COMPUTED_VALUE"""),"FIP Engineering")</f>
        <v>FIP Engineering</v>
      </c>
      <c r="M2559" s="6" t="str">
        <f>IFERROR(__xludf.DUMMYFUNCTION("""COMPUTED_VALUE"""),"Mochammad Fadhillah Hakim")</f>
        <v>Mochammad Fadhillah Hakim</v>
      </c>
      <c r="N2559" s="6" t="str">
        <f>IFERROR(__xludf.DUMMYFUNCTION("""COMPUTED_VALUE"""),"FIP Engineering")</f>
        <v>FIP Engineering</v>
      </c>
      <c r="O2559" s="6" t="str">
        <f>IFERROR(__xludf.DUMMYFUNCTION("""COMPUTED_VALUE"""),"FIP-DOM-000-11304-OS00001-INA-000000")</f>
        <v>FIP-DOM-000-11304-OS00001-INA-000000</v>
      </c>
      <c r="P2559" s="6" t="str">
        <f>IFERROR(__xludf.DUMMYFUNCTION("""COMPUTED_VALUE"""),"PO Closed")</f>
        <v>PO Closed</v>
      </c>
      <c r="Q2559" s="6" t="str">
        <f>IFERROR(__xludf.DUMMYFUNCTION("""COMPUTED_VALUE"""),"GL2309011")</f>
        <v>GL2309011</v>
      </c>
      <c r="R2559" s="57">
        <f>IFERROR(__xludf.DUMMYFUNCTION("""COMPUTED_VALUE"""),45169.0)</f>
        <v>45169</v>
      </c>
      <c r="S2559" s="57">
        <f>IFERROR(__xludf.DUMMYFUNCTION("""COMPUTED_VALUE"""),45170.0)</f>
        <v>45170</v>
      </c>
      <c r="T2559" s="57">
        <f>IFERROR(__xludf.DUMMYFUNCTION("""COMPUTED_VALUE"""),45194.0)</f>
        <v>45194</v>
      </c>
    </row>
    <row r="2560">
      <c r="A2560" s="6" t="str">
        <f>IFERROR(__xludf.DUMMYFUNCTION("""COMPUTED_VALUE"""),"231750624-13")</f>
        <v>231750624-13</v>
      </c>
      <c r="B2560" s="6" t="str">
        <f>IFERROR(__xludf.DUMMYFUNCTION("""COMPUTED_VALUE"""),"231750624 - Approved")</f>
        <v>231750624 - Approved</v>
      </c>
      <c r="C2560" s="6">
        <f>IFERROR(__xludf.DUMMYFUNCTION("""COMPUTED_VALUE"""),13.0)</f>
        <v>13</v>
      </c>
      <c r="D2560" s="6" t="str">
        <f>IFERROR(__xludf.DUMMYFUNCTION("""COMPUTED_VALUE"""),"P-18410-00")</f>
        <v>P-18410-00</v>
      </c>
      <c r="E2560" s="6" t="str">
        <f>IFERROR(__xludf.DUMMYFUNCTION("""COMPUTED_VALUE"""),"Dynabolt M6 x 85mm; ; ;")</f>
        <v>Dynabolt M6 x 85mm; ; ;</v>
      </c>
      <c r="F2560" s="6">
        <f>IFERROR(__xludf.DUMMYFUNCTION("""COMPUTED_VALUE"""),2.0)</f>
        <v>2</v>
      </c>
      <c r="G2560" s="6" t="str">
        <f>IFERROR(__xludf.DUMMYFUNCTION("""COMPUTED_VALUE"""),"Pieces")</f>
        <v>Pieces</v>
      </c>
      <c r="H2560" s="6" t="str">
        <f>IFERROR(__xludf.DUMMYFUNCTION("""COMPUTED_VALUE"""),"IDR")</f>
        <v>IDR</v>
      </c>
      <c r="I2560" s="11">
        <f>IFERROR(__xludf.DUMMYFUNCTION("""COMPUTED_VALUE"""),100000.0)</f>
        <v>100000</v>
      </c>
      <c r="J2560" s="11">
        <f>IFERROR(__xludf.DUMMYFUNCTION("""COMPUTED_VALUE"""),200000.0)</f>
        <v>200000</v>
      </c>
      <c r="K2560" s="57">
        <f>IFERROR(__xludf.DUMMYFUNCTION("""COMPUTED_VALUE"""),45183.0)</f>
        <v>45183</v>
      </c>
      <c r="L2560" s="6" t="str">
        <f>IFERROR(__xludf.DUMMYFUNCTION("""COMPUTED_VALUE"""),"FIP Engineering")</f>
        <v>FIP Engineering</v>
      </c>
      <c r="M2560" s="6" t="str">
        <f>IFERROR(__xludf.DUMMYFUNCTION("""COMPUTED_VALUE"""),"Mochammad Fadhillah Hakim")</f>
        <v>Mochammad Fadhillah Hakim</v>
      </c>
      <c r="N2560" s="6" t="str">
        <f>IFERROR(__xludf.DUMMYFUNCTION("""COMPUTED_VALUE"""),"FIP Engineering")</f>
        <v>FIP Engineering</v>
      </c>
      <c r="O2560" s="6" t="str">
        <f>IFERROR(__xludf.DUMMYFUNCTION("""COMPUTED_VALUE"""),"FIP-DOM-000-11304-OS00001-INA-000000")</f>
        <v>FIP-DOM-000-11304-OS00001-INA-000000</v>
      </c>
      <c r="P2560" s="6" t="str">
        <f>IFERROR(__xludf.DUMMYFUNCTION("""COMPUTED_VALUE"""),"PO Closed")</f>
        <v>PO Closed</v>
      </c>
      <c r="Q2560" s="6" t="str">
        <f>IFERROR(__xludf.DUMMYFUNCTION("""COMPUTED_VALUE"""),"GL2310022")</f>
        <v>GL2310022</v>
      </c>
      <c r="R2560" s="57">
        <f>IFERROR(__xludf.DUMMYFUNCTION("""COMPUTED_VALUE"""),45169.0)</f>
        <v>45169</v>
      </c>
      <c r="S2560" s="57">
        <f>IFERROR(__xludf.DUMMYFUNCTION("""COMPUTED_VALUE"""),45170.0)</f>
        <v>45170</v>
      </c>
      <c r="T2560" s="57">
        <f>IFERROR(__xludf.DUMMYFUNCTION("""COMPUTED_VALUE"""),45250.0)</f>
        <v>45250</v>
      </c>
    </row>
    <row r="2561">
      <c r="A2561" s="6" t="str">
        <f>IFERROR(__xludf.DUMMYFUNCTION("""COMPUTED_VALUE"""),"231750625-1")</f>
        <v>231750625-1</v>
      </c>
      <c r="B2561" s="6" t="str">
        <f>IFERROR(__xludf.DUMMYFUNCTION("""COMPUTED_VALUE"""),"231750625 - Approved")</f>
        <v>231750625 - Approved</v>
      </c>
      <c r="C2561" s="6">
        <f>IFERROR(__xludf.DUMMYFUNCTION("""COMPUTED_VALUE"""),1.0)</f>
        <v>1</v>
      </c>
      <c r="D2561" s="6" t="str">
        <f>IFERROR(__xludf.DUMMYFUNCTION("""COMPUTED_VALUE"""),"O-18055-00")</f>
        <v>O-18055-00</v>
      </c>
      <c r="E2561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2561" s="6">
        <f>IFERROR(__xludf.DUMMYFUNCTION("""COMPUTED_VALUE"""),20.0)</f>
        <v>20</v>
      </c>
      <c r="G2561" s="6" t="str">
        <f>IFERROR(__xludf.DUMMYFUNCTION("""COMPUTED_VALUE"""),"Pieces")</f>
        <v>Pieces</v>
      </c>
      <c r="H2561" s="6" t="str">
        <f>IFERROR(__xludf.DUMMYFUNCTION("""COMPUTED_VALUE"""),"IDR")</f>
        <v>IDR</v>
      </c>
      <c r="I2561" s="11">
        <f>IFERROR(__xludf.DUMMYFUNCTION("""COMPUTED_VALUE"""),100000.0)</f>
        <v>100000</v>
      </c>
      <c r="J2561" s="11">
        <f>IFERROR(__xludf.DUMMYFUNCTION("""COMPUTED_VALUE"""),2000000.0)</f>
        <v>2000000</v>
      </c>
      <c r="K2561" s="57">
        <f>IFERROR(__xludf.DUMMYFUNCTION("""COMPUTED_VALUE"""),45183.0)</f>
        <v>45183</v>
      </c>
      <c r="L2561" s="6" t="str">
        <f>IFERROR(__xludf.DUMMYFUNCTION("""COMPUTED_VALUE"""),"FIP Engineering")</f>
        <v>FIP Engineering</v>
      </c>
      <c r="M2561" s="6" t="str">
        <f>IFERROR(__xludf.DUMMYFUNCTION("""COMPUTED_VALUE"""),"Mochammad Fadhillah Hakim")</f>
        <v>Mochammad Fadhillah Hakim</v>
      </c>
      <c r="N2561" s="6" t="str">
        <f>IFERROR(__xludf.DUMMYFUNCTION("""COMPUTED_VALUE"""),"FIP Engineering")</f>
        <v>FIP Engineering</v>
      </c>
      <c r="O2561" s="6" t="str">
        <f>IFERROR(__xludf.DUMMYFUNCTION("""COMPUTED_VALUE"""),"FIP-DOM-000-11304-OS00001-INA-000000")</f>
        <v>FIP-DOM-000-11304-OS00001-INA-000000</v>
      </c>
      <c r="P2561" s="6" t="str">
        <f>IFERROR(__xludf.DUMMYFUNCTION("""COMPUTED_VALUE"""),"PO Closed")</f>
        <v>PO Closed</v>
      </c>
      <c r="Q2561" s="6" t="str">
        <f>IFERROR(__xludf.DUMMYFUNCTION("""COMPUTED_VALUE"""),"GL2310025")</f>
        <v>GL2310025</v>
      </c>
      <c r="R2561" s="57">
        <f>IFERROR(__xludf.DUMMYFUNCTION("""COMPUTED_VALUE"""),45169.0)</f>
        <v>45169</v>
      </c>
      <c r="S2561" s="57">
        <f>IFERROR(__xludf.DUMMYFUNCTION("""COMPUTED_VALUE"""),45170.0)</f>
        <v>45170</v>
      </c>
      <c r="T2561" s="57">
        <f>IFERROR(__xludf.DUMMYFUNCTION("""COMPUTED_VALUE"""),45233.0)</f>
        <v>45233</v>
      </c>
    </row>
    <row r="2562">
      <c r="A2562" s="6" t="str">
        <f>IFERROR(__xludf.DUMMYFUNCTION("""COMPUTED_VALUE"""),"231750626-1")</f>
        <v>231750626-1</v>
      </c>
      <c r="B2562" s="6" t="str">
        <f>IFERROR(__xludf.DUMMYFUNCTION("""COMPUTED_VALUE"""),"231750626 - Approved")</f>
        <v>231750626 - Approved</v>
      </c>
      <c r="C2562" s="6">
        <f>IFERROR(__xludf.DUMMYFUNCTION("""COMPUTED_VALUE"""),1.0)</f>
        <v>1</v>
      </c>
      <c r="D2562" s="6" t="str">
        <f>IFERROR(__xludf.DUMMYFUNCTION("""COMPUTED_VALUE"""),"O-15619-00")</f>
        <v>O-15619-00</v>
      </c>
      <c r="E2562" s="6" t="str">
        <f>IFERROR(__xludf.DUMMYFUNCTION("""COMPUTED_VALUE"""),"HIGH PRECISION OPTICAL FIBER 10MM WIDTH FU-12, VIALS MAXIMUM LOAD AT OUTFEED SENSOR KEYENCE P/N : - pc")</f>
        <v>HIGH PRECISION OPTICAL FIBER 10MM WIDTH FU-12, VIALS MAXIMUM LOAD AT OUTFEED SENSOR KEYENCE P/N : - pc</v>
      </c>
      <c r="F2562" s="6">
        <f>IFERROR(__xludf.DUMMYFUNCTION("""COMPUTED_VALUE"""),2.0)</f>
        <v>2</v>
      </c>
      <c r="G2562" s="6" t="str">
        <f>IFERROR(__xludf.DUMMYFUNCTION("""COMPUTED_VALUE"""),"Unit")</f>
        <v>Unit</v>
      </c>
      <c r="H2562" s="6" t="str">
        <f>IFERROR(__xludf.DUMMYFUNCTION("""COMPUTED_VALUE"""),"IDR")</f>
        <v>IDR</v>
      </c>
      <c r="I2562" s="11">
        <f>IFERROR(__xludf.DUMMYFUNCTION("""COMPUTED_VALUE"""),2161000.0)</f>
        <v>2161000</v>
      </c>
      <c r="J2562" s="11">
        <f>IFERROR(__xludf.DUMMYFUNCTION("""COMPUTED_VALUE"""),4322000.0)</f>
        <v>4322000</v>
      </c>
      <c r="K2562" s="57">
        <f>IFERROR(__xludf.DUMMYFUNCTION("""COMPUTED_VALUE"""),45183.0)</f>
        <v>45183</v>
      </c>
      <c r="L2562" s="6" t="str">
        <f>IFERROR(__xludf.DUMMYFUNCTION("""COMPUTED_VALUE"""),"FIP Engineering")</f>
        <v>FIP Engineering</v>
      </c>
      <c r="M2562" s="6" t="str">
        <f>IFERROR(__xludf.DUMMYFUNCTION("""COMPUTED_VALUE"""),"Mochammad Fadhillah Hakim")</f>
        <v>Mochammad Fadhillah Hakim</v>
      </c>
      <c r="N2562" s="6" t="str">
        <f>IFERROR(__xludf.DUMMYFUNCTION("""COMPUTED_VALUE"""),"FIP Engineering")</f>
        <v>FIP Engineering</v>
      </c>
      <c r="O2562" s="6" t="str">
        <f>IFERROR(__xludf.DUMMYFUNCTION("""COMPUTED_VALUE"""),"FIP-DOM-000-11304-OS00001-INA-000000")</f>
        <v>FIP-DOM-000-11304-OS00001-INA-000000</v>
      </c>
      <c r="P2562" s="6" t="str">
        <f>IFERROR(__xludf.DUMMYFUNCTION("""COMPUTED_VALUE"""),"PO Closed")</f>
        <v>PO Closed</v>
      </c>
      <c r="Q2562" s="6" t="str">
        <f>IFERROR(__xludf.DUMMYFUNCTION("""COMPUTED_VALUE"""),"GL2310024")</f>
        <v>GL2310024</v>
      </c>
      <c r="R2562" s="57">
        <f>IFERROR(__xludf.DUMMYFUNCTION("""COMPUTED_VALUE"""),45169.0)</f>
        <v>45169</v>
      </c>
      <c r="S2562" s="57">
        <f>IFERROR(__xludf.DUMMYFUNCTION("""COMPUTED_VALUE"""),45170.0)</f>
        <v>45170</v>
      </c>
      <c r="T2562" s="57">
        <f>IFERROR(__xludf.DUMMYFUNCTION("""COMPUTED_VALUE"""),45260.0)</f>
        <v>45260</v>
      </c>
    </row>
    <row r="2563">
      <c r="A2563" s="6" t="str">
        <f>IFERROR(__xludf.DUMMYFUNCTION("""COMPUTED_VALUE"""),"231750633-1")</f>
        <v>231750633-1</v>
      </c>
      <c r="B2563" s="6" t="str">
        <f>IFERROR(__xludf.DUMMYFUNCTION("""COMPUTED_VALUE"""),"231750633 - Approved")</f>
        <v>231750633 - Approved</v>
      </c>
      <c r="C2563" s="6">
        <f>IFERROR(__xludf.DUMMYFUNCTION("""COMPUTED_VALUE"""),1.0)</f>
        <v>1</v>
      </c>
      <c r="D2563" s="6" t="str">
        <f>IFERROR(__xludf.DUMMYFUNCTION("""COMPUTED_VALUE"""),"R-61000-00")</f>
        <v>R-61000-00</v>
      </c>
      <c r="E2563" s="6" t="str">
        <f>IFERROR(__xludf.DUMMYFUNCTION("""COMPUTED_VALUE"""),"Office Equipments - AC Split Daikin 2PK")</f>
        <v>Office Equipments - AC Split Daikin 2PK</v>
      </c>
      <c r="F2563" s="6">
        <f>IFERROR(__xludf.DUMMYFUNCTION("""COMPUTED_VALUE"""),1.0)</f>
        <v>1</v>
      </c>
      <c r="G2563" s="6" t="str">
        <f>IFERROR(__xludf.DUMMYFUNCTION("""COMPUTED_VALUE"""),"Unit")</f>
        <v>Unit</v>
      </c>
      <c r="H2563" s="6" t="str">
        <f>IFERROR(__xludf.DUMMYFUNCTION("""COMPUTED_VALUE"""),"IDR")</f>
        <v>IDR</v>
      </c>
      <c r="I2563" s="11">
        <f>IFERROR(__xludf.DUMMYFUNCTION("""COMPUTED_VALUE"""),1.174E7)</f>
        <v>11740000</v>
      </c>
      <c r="J2563" s="11">
        <f>IFERROR(__xludf.DUMMYFUNCTION("""COMPUTED_VALUE"""),1.174E7)</f>
        <v>11740000</v>
      </c>
      <c r="K2563" s="57">
        <f>IFERROR(__xludf.DUMMYFUNCTION("""COMPUTED_VALUE"""),45184.0)</f>
        <v>45184</v>
      </c>
      <c r="L2563" s="6" t="str">
        <f>IFERROR(__xludf.DUMMYFUNCTION("""COMPUTED_VALUE"""),"FIP General")</f>
        <v>FIP General</v>
      </c>
      <c r="M2563" s="6" t="str">
        <f>IFERROR(__xludf.DUMMYFUNCTION("""COMPUTED_VALUE"""),"Mochammad Fadhillah Hakim")</f>
        <v>Mochammad Fadhillah Hakim</v>
      </c>
      <c r="N2563" s="6" t="str">
        <f>IFERROR(__xludf.DUMMYFUNCTION("""COMPUTED_VALUE"""),"FIP Engineering")</f>
        <v>FIP Engineering</v>
      </c>
      <c r="O2563" s="6" t="str">
        <f>IFERROR(__xludf.DUMMYFUNCTION("""COMPUTED_VALUE"""),"FIP-DOM-ENG-13405-EQNB242-INA-000000")</f>
        <v>FIP-DOM-ENG-13405-EQNB242-INA-000000</v>
      </c>
      <c r="P2563" s="6" t="str">
        <f>IFERROR(__xludf.DUMMYFUNCTION("""COMPUTED_VALUE"""),"PO Closed")</f>
        <v>PO Closed</v>
      </c>
      <c r="Q2563" s="6" t="str">
        <f>IFERROR(__xludf.DUMMYFUNCTION("""COMPUTED_VALUE"""),"GL2310048")</f>
        <v>GL2310048</v>
      </c>
      <c r="R2563" s="57">
        <f>IFERROR(__xludf.DUMMYFUNCTION("""COMPUTED_VALUE"""),45170.0)</f>
        <v>45170</v>
      </c>
      <c r="S2563" s="57">
        <f>IFERROR(__xludf.DUMMYFUNCTION("""COMPUTED_VALUE"""),45184.0)</f>
        <v>45184</v>
      </c>
      <c r="T2563" s="57">
        <f>IFERROR(__xludf.DUMMYFUNCTION("""COMPUTED_VALUE"""),45250.0)</f>
        <v>45250</v>
      </c>
    </row>
    <row r="2564">
      <c r="A2564" s="6" t="str">
        <f>IFERROR(__xludf.DUMMYFUNCTION("""COMPUTED_VALUE"""),"231750634-1")</f>
        <v>231750634-1</v>
      </c>
      <c r="B2564" s="6" t="str">
        <f>IFERROR(__xludf.DUMMYFUNCTION("""COMPUTED_VALUE"""),"231750634 - Approved")</f>
        <v>231750634 - Approved</v>
      </c>
      <c r="C2564" s="6">
        <f>IFERROR(__xludf.DUMMYFUNCTION("""COMPUTED_VALUE"""),1.0)</f>
        <v>1</v>
      </c>
      <c r="D2564" s="6" t="str">
        <f>IFERROR(__xludf.DUMMYFUNCTION("""COMPUTED_VALUE"""),"R-62025-00")</f>
        <v>R-62025-00</v>
      </c>
      <c r="E2564" s="6" t="str">
        <f>IFERROR(__xludf.DUMMYFUNCTION("""COMPUTED_VALUE"""),"Aset UPS")</f>
        <v>Aset UPS</v>
      </c>
      <c r="F2564" s="6">
        <f>IFERROR(__xludf.DUMMYFUNCTION("""COMPUTED_VALUE"""),1.0)</f>
        <v>1</v>
      </c>
      <c r="G2564" s="6" t="str">
        <f>IFERROR(__xludf.DUMMYFUNCTION("""COMPUTED_VALUE"""),"Unit")</f>
        <v>Unit</v>
      </c>
      <c r="H2564" s="6" t="str">
        <f>IFERROR(__xludf.DUMMYFUNCTION("""COMPUTED_VALUE"""),"IDR")</f>
        <v>IDR</v>
      </c>
      <c r="I2564" s="11">
        <f>IFERROR(__xludf.DUMMYFUNCTION("""COMPUTED_VALUE"""),1.35E7)</f>
        <v>13500000</v>
      </c>
      <c r="J2564" s="11">
        <f>IFERROR(__xludf.DUMMYFUNCTION("""COMPUTED_VALUE"""),1.35E7)</f>
        <v>13500000</v>
      </c>
      <c r="K2564" s="57">
        <f>IFERROR(__xludf.DUMMYFUNCTION("""COMPUTED_VALUE"""),45184.0)</f>
        <v>45184</v>
      </c>
      <c r="L2564" s="6" t="str">
        <f>IFERROR(__xludf.DUMMYFUNCTION("""COMPUTED_VALUE"""),"FIP General")</f>
        <v>FIP General</v>
      </c>
      <c r="M2564" s="6" t="str">
        <f>IFERROR(__xludf.DUMMYFUNCTION("""COMPUTED_VALUE"""),"Mochammad Fadhillah Hakim")</f>
        <v>Mochammad Fadhillah Hakim</v>
      </c>
      <c r="N2564" s="6" t="str">
        <f>IFERROR(__xludf.DUMMYFUNCTION("""COMPUTED_VALUE"""),"FIP Engineering")</f>
        <v>FIP Engineering</v>
      </c>
      <c r="O2564" s="6" t="str">
        <f>IFERROR(__xludf.DUMMYFUNCTION("""COMPUTED_VALUE"""),"FIP-DOM-ENG-13408-ITNB207-INA-000000")</f>
        <v>FIP-DOM-ENG-13408-ITNB207-INA-000000</v>
      </c>
      <c r="P2564" s="6" t="str">
        <f>IFERROR(__xludf.DUMMYFUNCTION("""COMPUTED_VALUE"""),"PO Closed")</f>
        <v>PO Closed</v>
      </c>
      <c r="Q2564" s="6" t="str">
        <f>IFERROR(__xludf.DUMMYFUNCTION("""COMPUTED_VALUE"""),"GL2309045")</f>
        <v>GL2309045</v>
      </c>
      <c r="R2564" s="57">
        <f>IFERROR(__xludf.DUMMYFUNCTION("""COMPUTED_VALUE"""),45170.0)</f>
        <v>45170</v>
      </c>
      <c r="S2564" s="57">
        <f>IFERROR(__xludf.DUMMYFUNCTION("""COMPUTED_VALUE"""),45184.0)</f>
        <v>45184</v>
      </c>
      <c r="T2564" s="57">
        <f>IFERROR(__xludf.DUMMYFUNCTION("""COMPUTED_VALUE"""),45201.0)</f>
        <v>45201</v>
      </c>
    </row>
    <row r="2565">
      <c r="A2565" s="6" t="str">
        <f>IFERROR(__xludf.DUMMYFUNCTION("""COMPUTED_VALUE"""),"231750645-1")</f>
        <v>231750645-1</v>
      </c>
      <c r="B2565" s="6" t="str">
        <f>IFERROR(__xludf.DUMMYFUNCTION("""COMPUTED_VALUE"""),"231750645 - Approved")</f>
        <v>231750645 - Approved</v>
      </c>
      <c r="C2565" s="6">
        <f>IFERROR(__xludf.DUMMYFUNCTION("""COMPUTED_VALUE"""),1.0)</f>
        <v>1</v>
      </c>
      <c r="D2565" s="6" t="str">
        <f>IFERROR(__xludf.DUMMYFUNCTION("""COMPUTED_VALUE"""),"P-53102-00")</f>
        <v>P-53102-00</v>
      </c>
      <c r="E2565" s="6" t="str">
        <f>IFERROR(__xludf.DUMMYFUNCTION("""COMPUTED_VALUE"""),"Lampu PLC 13watt/E27 Putih; Phillips; ;")</f>
        <v>Lampu PLC 13watt/E27 Putih; Phillips; ;</v>
      </c>
      <c r="F2565" s="6">
        <f>IFERROR(__xludf.DUMMYFUNCTION("""COMPUTED_VALUE"""),30.0)</f>
        <v>30</v>
      </c>
      <c r="G2565" s="6" t="str">
        <f>IFERROR(__xludf.DUMMYFUNCTION("""COMPUTED_VALUE"""),"Pieces")</f>
        <v>Pieces</v>
      </c>
      <c r="H2565" s="6" t="str">
        <f>IFERROR(__xludf.DUMMYFUNCTION("""COMPUTED_VALUE"""),"IDR")</f>
        <v>IDR</v>
      </c>
      <c r="I2565" s="11">
        <f>IFERROR(__xludf.DUMMYFUNCTION("""COMPUTED_VALUE"""),26100.0)</f>
        <v>26100</v>
      </c>
      <c r="J2565" s="11">
        <f>IFERROR(__xludf.DUMMYFUNCTION("""COMPUTED_VALUE"""),783000.0)</f>
        <v>783000</v>
      </c>
      <c r="K2565" s="57">
        <f>IFERROR(__xludf.DUMMYFUNCTION("""COMPUTED_VALUE"""),45187.0)</f>
        <v>45187</v>
      </c>
      <c r="L2565" s="6" t="str">
        <f>IFERROR(__xludf.DUMMYFUNCTION("""COMPUTED_VALUE"""),"FIP Engineering")</f>
        <v>FIP Engineering</v>
      </c>
      <c r="M2565" s="6" t="str">
        <f>IFERROR(__xludf.DUMMYFUNCTION("""COMPUTED_VALUE"""),"Mochammad Fadhillah Hakim")</f>
        <v>Mochammad Fadhillah Hakim</v>
      </c>
      <c r="N2565" s="6" t="str">
        <f>IFERROR(__xludf.DUMMYFUNCTION("""COMPUTED_VALUE"""),"FIP Engineering")</f>
        <v>FIP Engineering</v>
      </c>
      <c r="O2565" s="6" t="str">
        <f>IFERROR(__xludf.DUMMYFUNCTION("""COMPUTED_VALUE"""),"FIP-DOM-000-11304-OS00001-INA-000000")</f>
        <v>FIP-DOM-000-11304-OS00001-INA-000000</v>
      </c>
      <c r="P2565" s="6" t="str">
        <f>IFERROR(__xludf.DUMMYFUNCTION("""COMPUTED_VALUE"""),"PO Closed")</f>
        <v>PO Closed</v>
      </c>
      <c r="Q2565" s="6" t="str">
        <f>IFERROR(__xludf.DUMMYFUNCTION("""COMPUTED_VALUE"""),"GL2309008")</f>
        <v>GL2309008</v>
      </c>
      <c r="R2565" s="57">
        <f>IFERROR(__xludf.DUMMYFUNCTION("""COMPUTED_VALUE"""),45173.0)</f>
        <v>45173</v>
      </c>
      <c r="S2565" s="57">
        <f>IFERROR(__xludf.DUMMYFUNCTION("""COMPUTED_VALUE"""),45177.0)</f>
        <v>45177</v>
      </c>
      <c r="T2565" s="57">
        <f>IFERROR(__xludf.DUMMYFUNCTION("""COMPUTED_VALUE"""),45245.0)</f>
        <v>45245</v>
      </c>
    </row>
    <row r="2566">
      <c r="A2566" s="6" t="str">
        <f>IFERROR(__xludf.DUMMYFUNCTION("""COMPUTED_VALUE"""),"231750650-1")</f>
        <v>231750650-1</v>
      </c>
      <c r="B2566" s="6" t="str">
        <f>IFERROR(__xludf.DUMMYFUNCTION("""COMPUTED_VALUE"""),"231750650 - Approved")</f>
        <v>231750650 - Approved</v>
      </c>
      <c r="C2566" s="6">
        <f>IFERROR(__xludf.DUMMYFUNCTION("""COMPUTED_VALUE"""),1.0)</f>
        <v>1</v>
      </c>
      <c r="D2566" s="6" t="str">
        <f>IFERROR(__xludf.DUMMYFUNCTION("""COMPUTED_VALUE"""),"S-60050-00")</f>
        <v>S-60050-00</v>
      </c>
      <c r="E2566" s="6" t="str">
        <f>IFERROR(__xludf.DUMMYFUNCTION("""COMPUTED_VALUE"""),"Jasa Perbaikan dan Pemeliharaan Mesin Produksi; ; ; - Jasa Perbaikan Sensor PMS")</f>
        <v>Jasa Perbaikan dan Pemeliharaan Mesin Produksi; ; ; - Jasa Perbaikan Sensor PMS</v>
      </c>
      <c r="F2566" s="6">
        <f>IFERROR(__xludf.DUMMYFUNCTION("""COMPUTED_VALUE"""),1.0)</f>
        <v>1</v>
      </c>
      <c r="G2566" s="6" t="str">
        <f>IFERROR(__xludf.DUMMYFUNCTION("""COMPUTED_VALUE"""),"Pieces")</f>
        <v>Pieces</v>
      </c>
      <c r="H2566" s="6" t="str">
        <f>IFERROR(__xludf.DUMMYFUNCTION("""COMPUTED_VALUE"""),"IDR")</f>
        <v>IDR</v>
      </c>
      <c r="I2566" s="11">
        <f>IFERROR(__xludf.DUMMYFUNCTION("""COMPUTED_VALUE"""),3000000.0)</f>
        <v>3000000</v>
      </c>
      <c r="J2566" s="11">
        <f>IFERROR(__xludf.DUMMYFUNCTION("""COMPUTED_VALUE"""),3000000.0)</f>
        <v>3000000</v>
      </c>
      <c r="K2566" s="57">
        <f>IFERROR(__xludf.DUMMYFUNCTION("""COMPUTED_VALUE"""),45189.0)</f>
        <v>45189</v>
      </c>
      <c r="L2566" s="6" t="str">
        <f>IFERROR(__xludf.DUMMYFUNCTION("""COMPUTED_VALUE"""),"FIP General")</f>
        <v>FIP General</v>
      </c>
      <c r="M2566" s="6" t="str">
        <f>IFERROR(__xludf.DUMMYFUNCTION("""COMPUTED_VALUE"""),"Mochammad Fadhillah Hakim")</f>
        <v>Mochammad Fadhillah Hakim</v>
      </c>
      <c r="N2566" s="6" t="str">
        <f>IFERROR(__xludf.DUMMYFUNCTION("""COMPUTED_VALUE"""),"FIP Engineering")</f>
        <v>FIP Engineering</v>
      </c>
      <c r="O2566" s="6" t="str">
        <f>IFERROR(__xludf.DUMMYFUNCTION("""COMPUTED_VALUE"""),"FIP-DOM-ENG-51504-0000000-INA-000000")</f>
        <v>FIP-DOM-ENG-51504-0000000-INA-000000</v>
      </c>
      <c r="P2566" s="6" t="str">
        <f>IFERROR(__xludf.DUMMYFUNCTION("""COMPUTED_VALUE"""),"PO Closed")</f>
        <v>PO Closed</v>
      </c>
      <c r="Q2566" s="6" t="str">
        <f>IFERROR(__xludf.DUMMYFUNCTION("""COMPUTED_VALUE"""),"GL2310008")</f>
        <v>GL2310008</v>
      </c>
      <c r="R2566" s="57">
        <f>IFERROR(__xludf.DUMMYFUNCTION("""COMPUTED_VALUE"""),45175.0)</f>
        <v>45175</v>
      </c>
      <c r="S2566" s="57">
        <f>IFERROR(__xludf.DUMMYFUNCTION("""COMPUTED_VALUE"""),45176.0)</f>
        <v>45176</v>
      </c>
      <c r="T2566" s="57">
        <f>IFERROR(__xludf.DUMMYFUNCTION("""COMPUTED_VALUE"""),45245.0)</f>
        <v>45245</v>
      </c>
    </row>
    <row r="2567">
      <c r="A2567" s="6" t="str">
        <f>IFERROR(__xludf.DUMMYFUNCTION("""COMPUTED_VALUE"""),"231750652-1")</f>
        <v>231750652-1</v>
      </c>
      <c r="B2567" s="6" t="str">
        <f>IFERROR(__xludf.DUMMYFUNCTION("""COMPUTED_VALUE"""),"231750652 - Approved")</f>
        <v>231750652 - Approved</v>
      </c>
      <c r="C2567" s="6">
        <f>IFERROR(__xludf.DUMMYFUNCTION("""COMPUTED_VALUE"""),1.0)</f>
        <v>1</v>
      </c>
      <c r="D2567" s="6" t="str">
        <f>IFERROR(__xludf.DUMMYFUNCTION("""COMPUTED_VALUE"""),"O-19288-00")</f>
        <v>O-19288-00</v>
      </c>
      <c r="E2567" s="6" t="str">
        <f>IFERROR(__xludf.DUMMYFUNCTION("""COMPUTED_VALUE"""),"Gasket Gloves Leak Tester Port Mixing; GEMA; ;")</f>
        <v>Gasket Gloves Leak Tester Port Mixing; GEMA; ;</v>
      </c>
      <c r="F2567" s="6">
        <f>IFERROR(__xludf.DUMMYFUNCTION("""COMPUTED_VALUE"""),5.0)</f>
        <v>5</v>
      </c>
      <c r="G2567" s="6" t="str">
        <f>IFERROR(__xludf.DUMMYFUNCTION("""COMPUTED_VALUE"""),"Pieces")</f>
        <v>Pieces</v>
      </c>
      <c r="H2567" s="6" t="str">
        <f>IFERROR(__xludf.DUMMYFUNCTION("""COMPUTED_VALUE"""),"IDR")</f>
        <v>IDR</v>
      </c>
      <c r="I2567" s="11">
        <f>IFERROR(__xludf.DUMMYFUNCTION("""COMPUTED_VALUE"""),2150000.0)</f>
        <v>2150000</v>
      </c>
      <c r="J2567" s="11">
        <f>IFERROR(__xludf.DUMMYFUNCTION("""COMPUTED_VALUE"""),1.075E7)</f>
        <v>10750000</v>
      </c>
      <c r="K2567" s="57">
        <f>IFERROR(__xludf.DUMMYFUNCTION("""COMPUTED_VALUE"""),45189.0)</f>
        <v>45189</v>
      </c>
      <c r="L2567" s="6" t="str">
        <f>IFERROR(__xludf.DUMMYFUNCTION("""COMPUTED_VALUE"""),"FIP Engineering")</f>
        <v>FIP Engineering</v>
      </c>
      <c r="M2567" s="6" t="str">
        <f>IFERROR(__xludf.DUMMYFUNCTION("""COMPUTED_VALUE"""),"Mochammad Fadhillah Hakim")</f>
        <v>Mochammad Fadhillah Hakim</v>
      </c>
      <c r="N2567" s="6" t="str">
        <f>IFERROR(__xludf.DUMMYFUNCTION("""COMPUTED_VALUE"""),"FIP Engineering")</f>
        <v>FIP Engineering</v>
      </c>
      <c r="O2567" s="6" t="str">
        <f>IFERROR(__xludf.DUMMYFUNCTION("""COMPUTED_VALUE"""),"FIP-DOM-000-11304-OS00001-INA-000000")</f>
        <v>FIP-DOM-000-11304-OS00001-INA-000000</v>
      </c>
      <c r="P2567" s="6" t="str">
        <f>IFERROR(__xludf.DUMMYFUNCTION("""COMPUTED_VALUE"""),"PO Closed")</f>
        <v>PO Closed</v>
      </c>
      <c r="Q2567" s="6" t="str">
        <f>IFERROR(__xludf.DUMMYFUNCTION("""COMPUTED_VALUE"""),"GL2310027")</f>
        <v>GL2310027</v>
      </c>
      <c r="R2567" s="57">
        <f>IFERROR(__xludf.DUMMYFUNCTION("""COMPUTED_VALUE"""),45175.0)</f>
        <v>45175</v>
      </c>
      <c r="S2567" s="57">
        <f>IFERROR(__xludf.DUMMYFUNCTION("""COMPUTED_VALUE"""),45177.0)</f>
        <v>45177</v>
      </c>
      <c r="T2567" s="57">
        <f>IFERROR(__xludf.DUMMYFUNCTION("""COMPUTED_VALUE"""),45260.0)</f>
        <v>45260</v>
      </c>
    </row>
    <row r="2568">
      <c r="A2568" s="6" t="str">
        <f>IFERROR(__xludf.DUMMYFUNCTION("""COMPUTED_VALUE"""),"231750655-1")</f>
        <v>231750655-1</v>
      </c>
      <c r="B2568" s="6" t="str">
        <f>IFERROR(__xludf.DUMMYFUNCTION("""COMPUTED_VALUE"""),"231750655 - Approved")</f>
        <v>231750655 - Approved</v>
      </c>
      <c r="C2568" s="6">
        <f>IFERROR(__xludf.DUMMYFUNCTION("""COMPUTED_VALUE"""),1.0)</f>
        <v>1</v>
      </c>
      <c r="D2568" s="6" t="str">
        <f>IFERROR(__xludf.DUMMYFUNCTION("""COMPUTED_VALUE"""),"O-54014-00")</f>
        <v>O-54014-00</v>
      </c>
      <c r="E2568" s="6" t="str">
        <f>IFERROR(__xludf.DUMMYFUNCTION("""COMPUTED_VALUE"""),"STEKER 1 PHASE, BROCO")</f>
        <v>STEKER 1 PHASE, BROCO</v>
      </c>
      <c r="F2568" s="6">
        <f>IFERROR(__xludf.DUMMYFUNCTION("""COMPUTED_VALUE"""),1.0)</f>
        <v>1</v>
      </c>
      <c r="G2568" s="6" t="str">
        <f>IFERROR(__xludf.DUMMYFUNCTION("""COMPUTED_VALUE"""),"Pieces")</f>
        <v>Pieces</v>
      </c>
      <c r="H2568" s="6" t="str">
        <f>IFERROR(__xludf.DUMMYFUNCTION("""COMPUTED_VALUE"""),"IDR")</f>
        <v>IDR</v>
      </c>
      <c r="I2568" s="11">
        <f>IFERROR(__xludf.DUMMYFUNCTION("""COMPUTED_VALUE"""),10000.0)</f>
        <v>10000</v>
      </c>
      <c r="J2568" s="11">
        <f>IFERROR(__xludf.DUMMYFUNCTION("""COMPUTED_VALUE"""),10000.0)</f>
        <v>10000</v>
      </c>
      <c r="K2568" s="57">
        <f>IFERROR(__xludf.DUMMYFUNCTION("""COMPUTED_VALUE"""),45189.0)</f>
        <v>45189</v>
      </c>
      <c r="L2568" s="6" t="str">
        <f>IFERROR(__xludf.DUMMYFUNCTION("""COMPUTED_VALUE"""),"FIP Engineering")</f>
        <v>FIP Engineering</v>
      </c>
      <c r="M2568" s="6" t="str">
        <f>IFERROR(__xludf.DUMMYFUNCTION("""COMPUTED_VALUE"""),"Mochammad Fadhillah Hakim")</f>
        <v>Mochammad Fadhillah Hakim</v>
      </c>
      <c r="N2568" s="6" t="str">
        <f>IFERROR(__xludf.DUMMYFUNCTION("""COMPUTED_VALUE"""),"FIP Engineering")</f>
        <v>FIP Engineering</v>
      </c>
      <c r="O2568" s="6" t="str">
        <f>IFERROR(__xludf.DUMMYFUNCTION("""COMPUTED_VALUE"""),"FIP-DOM-000-11304-OS00001-INA-000000")</f>
        <v>FIP-DOM-000-11304-OS00001-INA-000000</v>
      </c>
      <c r="P2568" s="6" t="str">
        <f>IFERROR(__xludf.DUMMYFUNCTION("""COMPUTED_VALUE"""),"PO Closed")</f>
        <v>PO Closed</v>
      </c>
      <c r="Q2568" s="6" t="str">
        <f>IFERROR(__xludf.DUMMYFUNCTION("""COMPUTED_VALUE"""),"GL2310022")</f>
        <v>GL2310022</v>
      </c>
      <c r="R2568" s="57">
        <f>IFERROR(__xludf.DUMMYFUNCTION("""COMPUTED_VALUE"""),45175.0)</f>
        <v>45175</v>
      </c>
      <c r="S2568" s="57">
        <f>IFERROR(__xludf.DUMMYFUNCTION("""COMPUTED_VALUE"""),45177.0)</f>
        <v>45177</v>
      </c>
      <c r="T2568" s="57">
        <f>IFERROR(__xludf.DUMMYFUNCTION("""COMPUTED_VALUE"""),45250.0)</f>
        <v>45250</v>
      </c>
    </row>
    <row r="2569">
      <c r="A2569" s="6" t="str">
        <f>IFERROR(__xludf.DUMMYFUNCTION("""COMPUTED_VALUE"""),"231750655-2")</f>
        <v>231750655-2</v>
      </c>
      <c r="B2569" s="6" t="str">
        <f>IFERROR(__xludf.DUMMYFUNCTION("""COMPUTED_VALUE"""),"231750655 - Approved")</f>
        <v>231750655 - Approved</v>
      </c>
      <c r="C2569" s="6">
        <f>IFERROR(__xludf.DUMMYFUNCTION("""COMPUTED_VALUE"""),2.0)</f>
        <v>2</v>
      </c>
      <c r="D2569" s="6" t="str">
        <f>IFERROR(__xludf.DUMMYFUNCTION("""COMPUTED_VALUE"""),"P-51756-00")</f>
        <v>P-51756-00</v>
      </c>
      <c r="E2569" s="6" t="str">
        <f>IFERROR(__xludf.DUMMYFUNCTION("""COMPUTED_VALUE"""),"Kabel NYYHY 3x0.75mm; ; ; meter")</f>
        <v>Kabel NYYHY 3x0.75mm; ; ; meter</v>
      </c>
      <c r="F2569" s="6">
        <f>IFERROR(__xludf.DUMMYFUNCTION("""COMPUTED_VALUE"""),10.0)</f>
        <v>10</v>
      </c>
      <c r="G2569" s="6" t="str">
        <f>IFERROR(__xludf.DUMMYFUNCTION("""COMPUTED_VALUE"""),"Meter")</f>
        <v>Meter</v>
      </c>
      <c r="H2569" s="6" t="str">
        <f>IFERROR(__xludf.DUMMYFUNCTION("""COMPUTED_VALUE"""),"IDR")</f>
        <v>IDR</v>
      </c>
      <c r="I2569" s="6">
        <f>IFERROR(__xludf.DUMMYFUNCTION("""COMPUTED_VALUE"""),6.0)</f>
        <v>6</v>
      </c>
      <c r="J2569" s="6">
        <f>IFERROR(__xludf.DUMMYFUNCTION("""COMPUTED_VALUE"""),60.0)</f>
        <v>60</v>
      </c>
      <c r="K2569" s="57">
        <f>IFERROR(__xludf.DUMMYFUNCTION("""COMPUTED_VALUE"""),45189.0)</f>
        <v>45189</v>
      </c>
      <c r="L2569" s="6" t="str">
        <f>IFERROR(__xludf.DUMMYFUNCTION("""COMPUTED_VALUE"""),"FIP Engineering")</f>
        <v>FIP Engineering</v>
      </c>
      <c r="M2569" s="6" t="str">
        <f>IFERROR(__xludf.DUMMYFUNCTION("""COMPUTED_VALUE"""),"Mochammad Fadhillah Hakim")</f>
        <v>Mochammad Fadhillah Hakim</v>
      </c>
      <c r="N2569" s="6" t="str">
        <f>IFERROR(__xludf.DUMMYFUNCTION("""COMPUTED_VALUE"""),"FIP Engineering")</f>
        <v>FIP Engineering</v>
      </c>
      <c r="O2569" s="6" t="str">
        <f>IFERROR(__xludf.DUMMYFUNCTION("""COMPUTED_VALUE"""),"FIP-DOM-000-11304-OS00001-INA-000000")</f>
        <v>FIP-DOM-000-11304-OS00001-INA-000000</v>
      </c>
      <c r="P2569" s="6" t="str">
        <f>IFERROR(__xludf.DUMMYFUNCTION("""COMPUTED_VALUE"""),"PO Closed")</f>
        <v>PO Closed</v>
      </c>
      <c r="Q2569" s="6" t="str">
        <f>IFERROR(__xludf.DUMMYFUNCTION("""COMPUTED_VALUE"""),"GL2310022")</f>
        <v>GL2310022</v>
      </c>
      <c r="R2569" s="57">
        <f>IFERROR(__xludf.DUMMYFUNCTION("""COMPUTED_VALUE"""),45175.0)</f>
        <v>45175</v>
      </c>
      <c r="S2569" s="57">
        <f>IFERROR(__xludf.DUMMYFUNCTION("""COMPUTED_VALUE"""),45177.0)</f>
        <v>45177</v>
      </c>
      <c r="T2569" s="57">
        <f>IFERROR(__xludf.DUMMYFUNCTION("""COMPUTED_VALUE"""),45250.0)</f>
        <v>45250</v>
      </c>
    </row>
    <row r="2570">
      <c r="A2570" s="6" t="str">
        <f>IFERROR(__xludf.DUMMYFUNCTION("""COMPUTED_VALUE"""),"231750655-3")</f>
        <v>231750655-3</v>
      </c>
      <c r="B2570" s="6" t="str">
        <f>IFERROR(__xludf.DUMMYFUNCTION("""COMPUTED_VALUE"""),"231750655 - Approved")</f>
        <v>231750655 - Approved</v>
      </c>
      <c r="C2570" s="6">
        <f>IFERROR(__xludf.DUMMYFUNCTION("""COMPUTED_VALUE"""),3.0)</f>
        <v>3</v>
      </c>
      <c r="D2570" s="6" t="str">
        <f>IFERROR(__xludf.DUMMYFUNCTION("""COMPUTED_VALUE"""),"P-52807-00")</f>
        <v>P-52807-00</v>
      </c>
      <c r="E2570" s="6" t="str">
        <f>IFERROR(__xludf.DUMMYFUNCTION("""COMPUTED_VALUE"""),"4"" Inline Hydrophonic Fan 0,04kw 220V; ; ;")</f>
        <v>4" Inline Hydrophonic Fan 0,04kw 220V; ; ;</v>
      </c>
      <c r="F2570" s="6">
        <f>IFERROR(__xludf.DUMMYFUNCTION("""COMPUTED_VALUE"""),1.0)</f>
        <v>1</v>
      </c>
      <c r="G2570" s="6" t="str">
        <f>IFERROR(__xludf.DUMMYFUNCTION("""COMPUTED_VALUE"""),"Pieces")</f>
        <v>Pieces</v>
      </c>
      <c r="H2570" s="6" t="str">
        <f>IFERROR(__xludf.DUMMYFUNCTION("""COMPUTED_VALUE"""),"IDR")</f>
        <v>IDR</v>
      </c>
      <c r="I2570" s="11">
        <f>IFERROR(__xludf.DUMMYFUNCTION("""COMPUTED_VALUE"""),1050000.0)</f>
        <v>1050000</v>
      </c>
      <c r="J2570" s="11">
        <f>IFERROR(__xludf.DUMMYFUNCTION("""COMPUTED_VALUE"""),1050000.0)</f>
        <v>1050000</v>
      </c>
      <c r="K2570" s="57">
        <f>IFERROR(__xludf.DUMMYFUNCTION("""COMPUTED_VALUE"""),45189.0)</f>
        <v>45189</v>
      </c>
      <c r="L2570" s="6" t="str">
        <f>IFERROR(__xludf.DUMMYFUNCTION("""COMPUTED_VALUE"""),"FIP Engineering")</f>
        <v>FIP Engineering</v>
      </c>
      <c r="M2570" s="6" t="str">
        <f>IFERROR(__xludf.DUMMYFUNCTION("""COMPUTED_VALUE"""),"Mochammad Fadhillah Hakim")</f>
        <v>Mochammad Fadhillah Hakim</v>
      </c>
      <c r="N2570" s="6" t="str">
        <f>IFERROR(__xludf.DUMMYFUNCTION("""COMPUTED_VALUE"""),"FIP Engineering")</f>
        <v>FIP Engineering</v>
      </c>
      <c r="O2570" s="6" t="str">
        <f>IFERROR(__xludf.DUMMYFUNCTION("""COMPUTED_VALUE"""),"FIP-DOM-000-11304-OS00001-INA-000000")</f>
        <v>FIP-DOM-000-11304-OS00001-INA-000000</v>
      </c>
      <c r="P2570" s="6" t="str">
        <f>IFERROR(__xludf.DUMMYFUNCTION("""COMPUTED_VALUE"""),"PO Closed")</f>
        <v>PO Closed</v>
      </c>
      <c r="Q2570" s="6" t="str">
        <f>IFERROR(__xludf.DUMMYFUNCTION("""COMPUTED_VALUE"""),"GL2310022")</f>
        <v>GL2310022</v>
      </c>
      <c r="R2570" s="57">
        <f>IFERROR(__xludf.DUMMYFUNCTION("""COMPUTED_VALUE"""),45175.0)</f>
        <v>45175</v>
      </c>
      <c r="S2570" s="57">
        <f>IFERROR(__xludf.DUMMYFUNCTION("""COMPUTED_VALUE"""),45177.0)</f>
        <v>45177</v>
      </c>
      <c r="T2570" s="57">
        <f>IFERROR(__xludf.DUMMYFUNCTION("""COMPUTED_VALUE"""),45250.0)</f>
        <v>45250</v>
      </c>
    </row>
    <row r="2571">
      <c r="A2571" s="6" t="str">
        <f>IFERROR(__xludf.DUMMYFUNCTION("""COMPUTED_VALUE"""),"231750657-1")</f>
        <v>231750657-1</v>
      </c>
      <c r="B2571" s="6" t="str">
        <f>IFERROR(__xludf.DUMMYFUNCTION("""COMPUTED_VALUE"""),"231750657 - Approved")</f>
        <v>231750657 - Approved</v>
      </c>
      <c r="C2571" s="6">
        <f>IFERROR(__xludf.DUMMYFUNCTION("""COMPUTED_VALUE"""),1.0)</f>
        <v>1</v>
      </c>
      <c r="D2571" s="6" t="str">
        <f>IFERROR(__xludf.DUMMYFUNCTION("""COMPUTED_VALUE"""),"P-18835-00")</f>
        <v>P-18835-00</v>
      </c>
      <c r="E2571" s="6" t="str">
        <f>IFERROR(__xludf.DUMMYFUNCTION("""COMPUTED_VALUE"""),"Solenoid Valve Pneumatic UD08E4 Port 1/4"" 2/2 Way 24VDC; EMC; ;")</f>
        <v>Solenoid Valve Pneumatic UD08E4 Port 1/4" 2/2 Way 24VDC; EMC; ;</v>
      </c>
      <c r="F2571" s="6">
        <f>IFERROR(__xludf.DUMMYFUNCTION("""COMPUTED_VALUE"""),2.0)</f>
        <v>2</v>
      </c>
      <c r="G2571" s="6" t="str">
        <f>IFERROR(__xludf.DUMMYFUNCTION("""COMPUTED_VALUE"""),"Pieces")</f>
        <v>Pieces</v>
      </c>
      <c r="H2571" s="6" t="str">
        <f>IFERROR(__xludf.DUMMYFUNCTION("""COMPUTED_VALUE"""),"IDR")</f>
        <v>IDR</v>
      </c>
      <c r="I2571" s="11">
        <f>IFERROR(__xludf.DUMMYFUNCTION("""COMPUTED_VALUE"""),198000.0)</f>
        <v>198000</v>
      </c>
      <c r="J2571" s="11">
        <f>IFERROR(__xludf.DUMMYFUNCTION("""COMPUTED_VALUE"""),396000.0)</f>
        <v>396000</v>
      </c>
      <c r="K2571" s="57">
        <f>IFERROR(__xludf.DUMMYFUNCTION("""COMPUTED_VALUE"""),45189.0)</f>
        <v>45189</v>
      </c>
      <c r="L2571" s="6" t="str">
        <f>IFERROR(__xludf.DUMMYFUNCTION("""COMPUTED_VALUE"""),"FIP Engineering")</f>
        <v>FIP Engineering</v>
      </c>
      <c r="M2571" s="6" t="str">
        <f>IFERROR(__xludf.DUMMYFUNCTION("""COMPUTED_VALUE"""),"Mochammad Fadhillah Hakim")</f>
        <v>Mochammad Fadhillah Hakim</v>
      </c>
      <c r="N2571" s="6" t="str">
        <f>IFERROR(__xludf.DUMMYFUNCTION("""COMPUTED_VALUE"""),"FIP Engineering")</f>
        <v>FIP Engineering</v>
      </c>
      <c r="O2571" s="6" t="str">
        <f>IFERROR(__xludf.DUMMYFUNCTION("""COMPUTED_VALUE"""),"FIP-DOM-000-11304-OS00001-INA-000000")</f>
        <v>FIP-DOM-000-11304-OS00001-INA-000000</v>
      </c>
      <c r="P2571" s="6" t="str">
        <f>IFERROR(__xludf.DUMMYFUNCTION("""COMPUTED_VALUE"""),"PO Closed")</f>
        <v>PO Closed</v>
      </c>
      <c r="Q2571" s="6" t="str">
        <f>IFERROR(__xludf.DUMMYFUNCTION("""COMPUTED_VALUE"""),"GL2309008")</f>
        <v>GL2309008</v>
      </c>
      <c r="R2571" s="57">
        <f>IFERROR(__xludf.DUMMYFUNCTION("""COMPUTED_VALUE"""),45175.0)</f>
        <v>45175</v>
      </c>
      <c r="S2571" s="57">
        <f>IFERROR(__xludf.DUMMYFUNCTION("""COMPUTED_VALUE"""),45177.0)</f>
        <v>45177</v>
      </c>
      <c r="T2571" s="57">
        <f>IFERROR(__xludf.DUMMYFUNCTION("""COMPUTED_VALUE"""),45245.0)</f>
        <v>45245</v>
      </c>
    </row>
    <row r="2572">
      <c r="A2572" s="6" t="str">
        <f>IFERROR(__xludf.DUMMYFUNCTION("""COMPUTED_VALUE"""),"231750660-1")</f>
        <v>231750660-1</v>
      </c>
      <c r="B2572" s="6" t="str">
        <f>IFERROR(__xludf.DUMMYFUNCTION("""COMPUTED_VALUE"""),"231750660 - Approved")</f>
        <v>231750660 - Approved</v>
      </c>
      <c r="C2572" s="6">
        <f>IFERROR(__xludf.DUMMYFUNCTION("""COMPUTED_VALUE"""),1.0)</f>
        <v>1</v>
      </c>
      <c r="D2572" s="6" t="str">
        <f>IFERROR(__xludf.DUMMYFUNCTION("""COMPUTED_VALUE"""),"Q-11000-00")</f>
        <v>Q-11000-00</v>
      </c>
      <c r="E2572" s="6" t="str">
        <f>IFERROR(__xludf.DUMMYFUNCTION("""COMPUTED_VALUE"""),"Jasa Perbaikan Gedung; ; ; - Pengecatan lantai Epoxy Area Autoclave Class C, Pengecatan lantai Epoxy Area Mixing Class C &amp; Pengecatan lantai Epoxy Area Filling Class B")</f>
        <v>Jasa Perbaikan Gedung; ; ; - Pengecatan lantai Epoxy Area Autoclave Class C, Pengecatan lantai Epoxy Area Mixing Class C &amp; Pengecatan lantai Epoxy Area Filling Class B</v>
      </c>
      <c r="F2572" s="6">
        <f>IFERROR(__xludf.DUMMYFUNCTION("""COMPUTED_VALUE"""),1.0)</f>
        <v>1</v>
      </c>
      <c r="G2572" s="6" t="str">
        <f>IFERROR(__xludf.DUMMYFUNCTION("""COMPUTED_VALUE"""),"Lot")</f>
        <v>Lot</v>
      </c>
      <c r="H2572" s="6" t="str">
        <f>IFERROR(__xludf.DUMMYFUNCTION("""COMPUTED_VALUE"""),"IDR")</f>
        <v>IDR</v>
      </c>
      <c r="I2572" s="11">
        <f>IFERROR(__xludf.DUMMYFUNCTION("""COMPUTED_VALUE"""),8.13665E7)</f>
        <v>81366500</v>
      </c>
      <c r="J2572" s="11">
        <f>IFERROR(__xludf.DUMMYFUNCTION("""COMPUTED_VALUE"""),8.13665E7)</f>
        <v>81366500</v>
      </c>
      <c r="K2572" s="57">
        <f>IFERROR(__xludf.DUMMYFUNCTION("""COMPUTED_VALUE"""),45226.0)</f>
        <v>45226</v>
      </c>
      <c r="L2572" s="6" t="str">
        <f>IFERROR(__xludf.DUMMYFUNCTION("""COMPUTED_VALUE"""),"FIP General")</f>
        <v>FIP General</v>
      </c>
      <c r="M2572" s="6" t="str">
        <f>IFERROR(__xludf.DUMMYFUNCTION("""COMPUTED_VALUE"""),"Irwan Sopian")</f>
        <v>Irwan Sopian</v>
      </c>
      <c r="N2572" s="6" t="str">
        <f>IFERROR(__xludf.DUMMYFUNCTION("""COMPUTED_VALUE"""),"FIP Engineering")</f>
        <v>FIP Engineering</v>
      </c>
      <c r="O2572" s="6" t="str">
        <f>IFERROR(__xludf.DUMMYFUNCTION("""COMPUTED_VALUE"""),"FIP-DOM-ENG-51502-0000000-INA-000000")</f>
        <v>FIP-DOM-ENG-51502-0000000-INA-000000</v>
      </c>
      <c r="P2572" s="6" t="str">
        <f>IFERROR(__xludf.DUMMYFUNCTION("""COMPUTED_VALUE"""),"PO Closed")</f>
        <v>PO Closed</v>
      </c>
      <c r="Q2572" s="6" t="str">
        <f>IFERROR(__xludf.DUMMYFUNCTION("""COMPUTED_VALUE"""),"GL2310003")</f>
        <v>GL2310003</v>
      </c>
      <c r="R2572" s="57">
        <f>IFERROR(__xludf.DUMMYFUNCTION("""COMPUTED_VALUE"""),45176.0)</f>
        <v>45176</v>
      </c>
      <c r="S2572" s="57">
        <f>IFERROR(__xludf.DUMMYFUNCTION("""COMPUTED_VALUE"""),45188.0)</f>
        <v>45188</v>
      </c>
      <c r="T2572" s="57">
        <f>IFERROR(__xludf.DUMMYFUNCTION("""COMPUTED_VALUE"""),45230.0)</f>
        <v>45230</v>
      </c>
    </row>
    <row r="2573">
      <c r="A2573" s="6" t="str">
        <f>IFERROR(__xludf.DUMMYFUNCTION("""COMPUTED_VALUE"""),"231750661-1")</f>
        <v>231750661-1</v>
      </c>
      <c r="B2573" s="6" t="str">
        <f>IFERROR(__xludf.DUMMYFUNCTION("""COMPUTED_VALUE"""),"231750661 - Approved")</f>
        <v>231750661 - Approved</v>
      </c>
      <c r="C2573" s="6">
        <f>IFERROR(__xludf.DUMMYFUNCTION("""COMPUTED_VALUE"""),1.0)</f>
        <v>1</v>
      </c>
      <c r="D2573" s="6" t="str">
        <f>IFERROR(__xludf.DUMMYFUNCTION("""COMPUTED_VALUE"""),"O-19287-00")</f>
        <v>O-19287-00</v>
      </c>
      <c r="E2573" s="6" t="str">
        <f>IFERROR(__xludf.DUMMYFUNCTION("""COMPUTED_VALUE"""),"Minihelic Differensial Pressure Gauge Model 2-5000-2KPA; Dwyer; ;")</f>
        <v>Minihelic Differensial Pressure Gauge Model 2-5000-2KPA; Dwyer; ;</v>
      </c>
      <c r="F2573" s="6">
        <f>IFERROR(__xludf.DUMMYFUNCTION("""COMPUTED_VALUE"""),2.0)</f>
        <v>2</v>
      </c>
      <c r="G2573" s="6" t="str">
        <f>IFERROR(__xludf.DUMMYFUNCTION("""COMPUTED_VALUE"""),"Pieces")</f>
        <v>Pieces</v>
      </c>
      <c r="H2573" s="6" t="str">
        <f>IFERROR(__xludf.DUMMYFUNCTION("""COMPUTED_VALUE"""),"IDR")</f>
        <v>IDR</v>
      </c>
      <c r="I2573" s="11">
        <f>IFERROR(__xludf.DUMMYFUNCTION("""COMPUTED_VALUE"""),1800000.0)</f>
        <v>1800000</v>
      </c>
      <c r="J2573" s="11">
        <f>IFERROR(__xludf.DUMMYFUNCTION("""COMPUTED_VALUE"""),3600000.0)</f>
        <v>3600000</v>
      </c>
      <c r="K2573" s="57">
        <f>IFERROR(__xludf.DUMMYFUNCTION("""COMPUTED_VALUE"""),45191.0)</f>
        <v>45191</v>
      </c>
      <c r="L2573" s="6" t="str">
        <f>IFERROR(__xludf.DUMMYFUNCTION("""COMPUTED_VALUE"""),"FIP Engineering")</f>
        <v>FIP Engineering</v>
      </c>
      <c r="M2573" s="6" t="str">
        <f>IFERROR(__xludf.DUMMYFUNCTION("""COMPUTED_VALUE"""),"Mochammad Fadhillah Hakim")</f>
        <v>Mochammad Fadhillah Hakim</v>
      </c>
      <c r="N2573" s="6" t="str">
        <f>IFERROR(__xludf.DUMMYFUNCTION("""COMPUTED_VALUE"""),"FIP Engineering")</f>
        <v>FIP Engineering</v>
      </c>
      <c r="O2573" s="6" t="str">
        <f>IFERROR(__xludf.DUMMYFUNCTION("""COMPUTED_VALUE"""),"FIP-DOM-000-11304-OS00001-INA-000000")</f>
        <v>FIP-DOM-000-11304-OS00001-INA-000000</v>
      </c>
      <c r="P2573" s="6" t="str">
        <f>IFERROR(__xludf.DUMMYFUNCTION("""COMPUTED_VALUE"""),"PO Closed")</f>
        <v>PO Closed</v>
      </c>
      <c r="Q2573" s="6" t="str">
        <f>IFERROR(__xludf.DUMMYFUNCTION("""COMPUTED_VALUE"""),"GL2310028")</f>
        <v>GL2310028</v>
      </c>
      <c r="R2573" s="57">
        <f>IFERROR(__xludf.DUMMYFUNCTION("""COMPUTED_VALUE"""),45177.0)</f>
        <v>45177</v>
      </c>
      <c r="S2573" s="57">
        <f>IFERROR(__xludf.DUMMYFUNCTION("""COMPUTED_VALUE"""),45180.0)</f>
        <v>45180</v>
      </c>
      <c r="T2573" s="57">
        <f>IFERROR(__xludf.DUMMYFUNCTION("""COMPUTED_VALUE"""),45233.0)</f>
        <v>45233</v>
      </c>
    </row>
    <row r="2574">
      <c r="A2574" s="6" t="str">
        <f>IFERROR(__xludf.DUMMYFUNCTION("""COMPUTED_VALUE"""),"231750663-1")</f>
        <v>231750663-1</v>
      </c>
      <c r="B2574" s="6" t="str">
        <f>IFERROR(__xludf.DUMMYFUNCTION("""COMPUTED_VALUE"""),"231750663 - Approved")</f>
        <v>231750663 - Approved</v>
      </c>
      <c r="C2574" s="6">
        <f>IFERROR(__xludf.DUMMYFUNCTION("""COMPUTED_VALUE"""),1.0)</f>
        <v>1</v>
      </c>
      <c r="D2574" s="6" t="str">
        <f>IFERROR(__xludf.DUMMYFUNCTION("""COMPUTED_VALUE"""),"Q-11000-00")</f>
        <v>Q-11000-00</v>
      </c>
      <c r="E2574" s="6" t="str">
        <f>IFERROR(__xludf.DUMMYFUNCTION("""COMPUTED_VALUE"""),"Jasa Perbaikan Gedung; ; ; - Untuk pengadaan Bumper Tembok Produksi")</f>
        <v>Jasa Perbaikan Gedung; ; ; - Untuk pengadaan Bumper Tembok Produksi</v>
      </c>
      <c r="F2574" s="6">
        <f>IFERROR(__xludf.DUMMYFUNCTION("""COMPUTED_VALUE"""),2.0)</f>
        <v>2</v>
      </c>
      <c r="G2574" s="6" t="str">
        <f>IFERROR(__xludf.DUMMYFUNCTION("""COMPUTED_VALUE"""),"Lot")</f>
        <v>Lot</v>
      </c>
      <c r="H2574" s="6" t="str">
        <f>IFERROR(__xludf.DUMMYFUNCTION("""COMPUTED_VALUE"""),"IDR")</f>
        <v>IDR</v>
      </c>
      <c r="I2574" s="11">
        <f>IFERROR(__xludf.DUMMYFUNCTION("""COMPUTED_VALUE"""),2800000.0)</f>
        <v>2800000</v>
      </c>
      <c r="J2574" s="11">
        <f>IFERROR(__xludf.DUMMYFUNCTION("""COMPUTED_VALUE"""),5600000.0)</f>
        <v>5600000</v>
      </c>
      <c r="K2574" s="57">
        <f>IFERROR(__xludf.DUMMYFUNCTION("""COMPUTED_VALUE"""),45191.0)</f>
        <v>45191</v>
      </c>
      <c r="L2574" s="6" t="str">
        <f>IFERROR(__xludf.DUMMYFUNCTION("""COMPUTED_VALUE"""),"FIP General")</f>
        <v>FIP General</v>
      </c>
      <c r="M2574" s="6" t="str">
        <f>IFERROR(__xludf.DUMMYFUNCTION("""COMPUTED_VALUE"""),"Mochammad Fadhillah Hakim")</f>
        <v>Mochammad Fadhillah Hakim</v>
      </c>
      <c r="N2574" s="6" t="str">
        <f>IFERROR(__xludf.DUMMYFUNCTION("""COMPUTED_VALUE"""),"FIP Engineering")</f>
        <v>FIP Engineering</v>
      </c>
      <c r="O2574" s="6" t="str">
        <f>IFERROR(__xludf.DUMMYFUNCTION("""COMPUTED_VALUE"""),"FIP-DOM-ENG-51502-0000000-INA-000000")</f>
        <v>FIP-DOM-ENG-51502-0000000-INA-000000</v>
      </c>
      <c r="P2574" s="6" t="str">
        <f>IFERROR(__xludf.DUMMYFUNCTION("""COMPUTED_VALUE"""),"PO Closed")</f>
        <v>PO Closed</v>
      </c>
      <c r="Q2574" s="6" t="str">
        <f>IFERROR(__xludf.DUMMYFUNCTION("""COMPUTED_VALUE"""),"GL2310004")</f>
        <v>GL2310004</v>
      </c>
      <c r="R2574" s="57">
        <f>IFERROR(__xludf.DUMMYFUNCTION("""COMPUTED_VALUE"""),45177.0)</f>
        <v>45177</v>
      </c>
      <c r="S2574" s="57">
        <f>IFERROR(__xludf.DUMMYFUNCTION("""COMPUTED_VALUE"""),45180.0)</f>
        <v>45180</v>
      </c>
      <c r="T2574" s="57">
        <f>IFERROR(__xludf.DUMMYFUNCTION("""COMPUTED_VALUE"""),45230.0)</f>
        <v>45230</v>
      </c>
    </row>
    <row r="2575">
      <c r="A2575" s="6" t="str">
        <f>IFERROR(__xludf.DUMMYFUNCTION("""COMPUTED_VALUE"""),"231750685-1")</f>
        <v>231750685-1</v>
      </c>
      <c r="B2575" s="6" t="str">
        <f>IFERROR(__xludf.DUMMYFUNCTION("""COMPUTED_VALUE"""),"231750685 - Approved")</f>
        <v>231750685 - Approved</v>
      </c>
      <c r="C2575" s="6">
        <f>IFERROR(__xludf.DUMMYFUNCTION("""COMPUTED_VALUE"""),1.0)</f>
        <v>1</v>
      </c>
      <c r="D2575" s="6" t="str">
        <f>IFERROR(__xludf.DUMMYFUNCTION("""COMPUTED_VALUE"""),"S-60050-00")</f>
        <v>S-60050-00</v>
      </c>
      <c r="E2575" s="6" t="str">
        <f>IFERROR(__xludf.DUMMYFUNCTION("""COMPUTED_VALUE"""),"Jasa Perbaikan dan Pemeliharaan Mesin Produksi; ; ; - Untuk perbaikan pompa circulatiion hubber mixing")</f>
        <v>Jasa Perbaikan dan Pemeliharaan Mesin Produksi; ; ; - Untuk perbaikan pompa circulatiion hubber mixing</v>
      </c>
      <c r="F2575" s="6">
        <f>IFERROR(__xludf.DUMMYFUNCTION("""COMPUTED_VALUE"""),1.0)</f>
        <v>1</v>
      </c>
      <c r="G2575" s="6" t="str">
        <f>IFERROR(__xludf.DUMMYFUNCTION("""COMPUTED_VALUE"""),"Pieces")</f>
        <v>Pieces</v>
      </c>
      <c r="H2575" s="6" t="str">
        <f>IFERROR(__xludf.DUMMYFUNCTION("""COMPUTED_VALUE"""),"IDR")</f>
        <v>IDR</v>
      </c>
      <c r="I2575" s="11">
        <f>IFERROR(__xludf.DUMMYFUNCTION("""COMPUTED_VALUE"""),3675000.0)</f>
        <v>3675000</v>
      </c>
      <c r="J2575" s="11">
        <f>IFERROR(__xludf.DUMMYFUNCTION("""COMPUTED_VALUE"""),3675000.0)</f>
        <v>3675000</v>
      </c>
      <c r="K2575" s="57">
        <f>IFERROR(__xludf.DUMMYFUNCTION("""COMPUTED_VALUE"""),45196.0)</f>
        <v>45196</v>
      </c>
      <c r="L2575" s="6" t="str">
        <f>IFERROR(__xludf.DUMMYFUNCTION("""COMPUTED_VALUE"""),"FIP General")</f>
        <v>FIP General</v>
      </c>
      <c r="M2575" s="6" t="str">
        <f>IFERROR(__xludf.DUMMYFUNCTION("""COMPUTED_VALUE"""),"Mochammad Fadhillah Hakim")</f>
        <v>Mochammad Fadhillah Hakim</v>
      </c>
      <c r="N2575" s="6" t="str">
        <f>IFERROR(__xludf.DUMMYFUNCTION("""COMPUTED_VALUE"""),"FIP Engineering")</f>
        <v>FIP Engineering</v>
      </c>
      <c r="O2575" s="6" t="str">
        <f>IFERROR(__xludf.DUMMYFUNCTION("""COMPUTED_VALUE"""),"FIP-DOM-ENG-51504-0000000-INA-000000")</f>
        <v>FIP-DOM-ENG-51504-0000000-INA-000000</v>
      </c>
      <c r="P2575" s="6" t="str">
        <f>IFERROR(__xludf.DUMMYFUNCTION("""COMPUTED_VALUE"""),"PO Closed")</f>
        <v>PO Closed</v>
      </c>
      <c r="Q2575" s="6" t="str">
        <f>IFERROR(__xludf.DUMMYFUNCTION("""COMPUTED_VALUE"""),"GL2310055")</f>
        <v>GL2310055</v>
      </c>
      <c r="R2575" s="57">
        <f>IFERROR(__xludf.DUMMYFUNCTION("""COMPUTED_VALUE"""),45182.0)</f>
        <v>45182</v>
      </c>
      <c r="S2575" s="57">
        <f>IFERROR(__xludf.DUMMYFUNCTION("""COMPUTED_VALUE"""),45191.0)</f>
        <v>45191</v>
      </c>
      <c r="T2575" s="57">
        <f>IFERROR(__xludf.DUMMYFUNCTION("""COMPUTED_VALUE"""),45250.0)</f>
        <v>45250</v>
      </c>
    </row>
    <row r="2576">
      <c r="A2576" s="6" t="str">
        <f>IFERROR(__xludf.DUMMYFUNCTION("""COMPUTED_VALUE"""),"231750688-1")</f>
        <v>231750688-1</v>
      </c>
      <c r="B2576" s="6" t="str">
        <f>IFERROR(__xludf.DUMMYFUNCTION("""COMPUTED_VALUE"""),"231750688 - Approved")</f>
        <v>231750688 - Approved</v>
      </c>
      <c r="C2576" s="6">
        <f>IFERROR(__xludf.DUMMYFUNCTION("""COMPUTED_VALUE"""),1.0)</f>
        <v>1</v>
      </c>
      <c r="D2576" s="6" t="str">
        <f>IFERROR(__xludf.DUMMYFUNCTION("""COMPUTED_VALUE"""),"R-61000-00")</f>
        <v>R-61000-00</v>
      </c>
      <c r="E2576" s="6" t="str">
        <f>IFERROR(__xludf.DUMMYFUNCTION("""COMPUTED_VALUE"""),"Office Equipments - Tambahan Aksesoris AC QC Storage")</f>
        <v>Office Equipments - Tambahan Aksesoris AC QC Storage</v>
      </c>
      <c r="F2576" s="6">
        <f>IFERROR(__xludf.DUMMYFUNCTION("""COMPUTED_VALUE"""),1.0)</f>
        <v>1</v>
      </c>
      <c r="G2576" s="6" t="str">
        <f>IFERROR(__xludf.DUMMYFUNCTION("""COMPUTED_VALUE"""),"Unit")</f>
        <v>Unit</v>
      </c>
      <c r="H2576" s="6" t="str">
        <f>IFERROR(__xludf.DUMMYFUNCTION("""COMPUTED_VALUE"""),"IDR")</f>
        <v>IDR</v>
      </c>
      <c r="I2576" s="11">
        <f>IFERROR(__xludf.DUMMYFUNCTION("""COMPUTED_VALUE"""),5694050.0)</f>
        <v>5694050</v>
      </c>
      <c r="J2576" s="11">
        <f>IFERROR(__xludf.DUMMYFUNCTION("""COMPUTED_VALUE"""),5694050.0)</f>
        <v>5694050</v>
      </c>
      <c r="K2576" s="57">
        <f>IFERROR(__xludf.DUMMYFUNCTION("""COMPUTED_VALUE"""),45197.0)</f>
        <v>45197</v>
      </c>
      <c r="L2576" s="6" t="str">
        <f>IFERROR(__xludf.DUMMYFUNCTION("""COMPUTED_VALUE"""),"FIP General")</f>
        <v>FIP General</v>
      </c>
      <c r="M2576" s="6" t="str">
        <f>IFERROR(__xludf.DUMMYFUNCTION("""COMPUTED_VALUE"""),"Mochammad Fadhillah Hakim")</f>
        <v>Mochammad Fadhillah Hakim</v>
      </c>
      <c r="N2576" s="6" t="str">
        <f>IFERROR(__xludf.DUMMYFUNCTION("""COMPUTED_VALUE"""),"FIP Engineering")</f>
        <v>FIP Engineering</v>
      </c>
      <c r="O2576" s="6" t="str">
        <f>IFERROR(__xludf.DUMMYFUNCTION("""COMPUTED_VALUE"""),"FIP-DOM-ENG-13405-EQNB242-INA-000000")</f>
        <v>FIP-DOM-ENG-13405-EQNB242-INA-000000</v>
      </c>
      <c r="P2576" s="6" t="str">
        <f>IFERROR(__xludf.DUMMYFUNCTION("""COMPUTED_VALUE"""),"PO Closed")</f>
        <v>PO Closed</v>
      </c>
      <c r="Q2576" s="6" t="str">
        <f>IFERROR(__xludf.DUMMYFUNCTION("""COMPUTED_VALUE"""),"GL2311002")</f>
        <v>GL2311002</v>
      </c>
      <c r="R2576" s="57">
        <f>IFERROR(__xludf.DUMMYFUNCTION("""COMPUTED_VALUE"""),45183.0)</f>
        <v>45183</v>
      </c>
      <c r="S2576" s="57">
        <f>IFERROR(__xludf.DUMMYFUNCTION("""COMPUTED_VALUE"""),45209.0)</f>
        <v>45209</v>
      </c>
      <c r="T2576" s="57">
        <f>IFERROR(__xludf.DUMMYFUNCTION("""COMPUTED_VALUE"""),45245.0)</f>
        <v>45245</v>
      </c>
    </row>
    <row r="2577">
      <c r="A2577" s="6" t="str">
        <f>IFERROR(__xludf.DUMMYFUNCTION("""COMPUTED_VALUE"""),"231750702-1")</f>
        <v>231750702-1</v>
      </c>
      <c r="B2577" s="6" t="str">
        <f>IFERROR(__xludf.DUMMYFUNCTION("""COMPUTED_VALUE"""),"231750702 - Approved")</f>
        <v>231750702 - Approved</v>
      </c>
      <c r="C2577" s="6">
        <f>IFERROR(__xludf.DUMMYFUNCTION("""COMPUTED_VALUE"""),1.0)</f>
        <v>1</v>
      </c>
      <c r="D2577" s="6" t="str">
        <f>IFERROR(__xludf.DUMMYFUNCTION("""COMPUTED_VALUE"""),"P-18504-00")</f>
        <v>P-18504-00</v>
      </c>
      <c r="E2577" s="6" t="str">
        <f>IFERROR(__xludf.DUMMYFUNCTION("""COMPUTED_VALUE"""),"Chemours - Freon 404A;; ; ;")</f>
        <v>Chemours - Freon 404A;; ; ;</v>
      </c>
      <c r="F2577" s="6">
        <f>IFERROR(__xludf.DUMMYFUNCTION("""COMPUTED_VALUE"""),2.0)</f>
        <v>2</v>
      </c>
      <c r="G2577" s="6" t="str">
        <f>IFERROR(__xludf.DUMMYFUNCTION("""COMPUTED_VALUE"""),"Can")</f>
        <v>Can</v>
      </c>
      <c r="H2577" s="6" t="str">
        <f>IFERROR(__xludf.DUMMYFUNCTION("""COMPUTED_VALUE"""),"IDR")</f>
        <v>IDR</v>
      </c>
      <c r="I2577" s="11">
        <f>IFERROR(__xludf.DUMMYFUNCTION("""COMPUTED_VALUE"""),2100000.0)</f>
        <v>2100000</v>
      </c>
      <c r="J2577" s="11">
        <f>IFERROR(__xludf.DUMMYFUNCTION("""COMPUTED_VALUE"""),4200000.0)</f>
        <v>4200000</v>
      </c>
      <c r="K2577" s="57">
        <f>IFERROR(__xludf.DUMMYFUNCTION("""COMPUTED_VALUE"""),45198.0)</f>
        <v>45198</v>
      </c>
      <c r="L2577" s="6" t="str">
        <f>IFERROR(__xludf.DUMMYFUNCTION("""COMPUTED_VALUE"""),"FIP Engineering")</f>
        <v>FIP Engineering</v>
      </c>
      <c r="M2577" s="6" t="str">
        <f>IFERROR(__xludf.DUMMYFUNCTION("""COMPUTED_VALUE"""),"Mochammad Fadhillah Hakim")</f>
        <v>Mochammad Fadhillah Hakim</v>
      </c>
      <c r="N2577" s="6" t="str">
        <f>IFERROR(__xludf.DUMMYFUNCTION("""COMPUTED_VALUE"""),"FIP Engineering")</f>
        <v>FIP Engineering</v>
      </c>
      <c r="O2577" s="6" t="str">
        <f>IFERROR(__xludf.DUMMYFUNCTION("""COMPUTED_VALUE"""),"FIP-DOM-000-11304-OS00001-INA-000000")</f>
        <v>FIP-DOM-000-11304-OS00001-INA-000000</v>
      </c>
      <c r="P2577" s="6" t="str">
        <f>IFERROR(__xludf.DUMMYFUNCTION("""COMPUTED_VALUE"""),"PO Closed")</f>
        <v>PO Closed</v>
      </c>
      <c r="Q2577" s="6" t="str">
        <f>IFERROR(__xludf.DUMMYFUNCTION("""COMPUTED_VALUE"""),"GL2310049")</f>
        <v>GL2310049</v>
      </c>
      <c r="R2577" s="57">
        <f>IFERROR(__xludf.DUMMYFUNCTION("""COMPUTED_VALUE"""),45184.0)</f>
        <v>45184</v>
      </c>
      <c r="S2577" s="57">
        <f>IFERROR(__xludf.DUMMYFUNCTION("""COMPUTED_VALUE"""),45191.0)</f>
        <v>45191</v>
      </c>
      <c r="T2577" s="57">
        <f>IFERROR(__xludf.DUMMYFUNCTION("""COMPUTED_VALUE"""),45240.0)</f>
        <v>45240</v>
      </c>
    </row>
    <row r="2578">
      <c r="A2578" s="6" t="str">
        <f>IFERROR(__xludf.DUMMYFUNCTION("""COMPUTED_VALUE"""),"231750705-1")</f>
        <v>231750705-1</v>
      </c>
      <c r="B2578" s="6" t="str">
        <f>IFERROR(__xludf.DUMMYFUNCTION("""COMPUTED_VALUE"""),"231750705 - Approved")</f>
        <v>231750705 - Approved</v>
      </c>
      <c r="C2578" s="6">
        <f>IFERROR(__xludf.DUMMYFUNCTION("""COMPUTED_VALUE"""),1.0)</f>
        <v>1</v>
      </c>
      <c r="D2578" s="6" t="str">
        <f>IFERROR(__xludf.DUMMYFUNCTION("""COMPUTED_VALUE"""),"S-60050-00")</f>
        <v>S-60050-00</v>
      </c>
      <c r="E2578" s="6" t="str">
        <f>IFERROR(__xludf.DUMMYFUNCTION("""COMPUTED_VALUE"""),"Jasa Perbaikan dan Pemeliharaan Mesin Produksi; ; ; - Untuk Pembuatan Dudukan Sensor PH Mixing MV10")</f>
        <v>Jasa Perbaikan dan Pemeliharaan Mesin Produksi; ; ; - Untuk Pembuatan Dudukan Sensor PH Mixing MV10</v>
      </c>
      <c r="F2578" s="6">
        <f>IFERROR(__xludf.DUMMYFUNCTION("""COMPUTED_VALUE"""),1.0)</f>
        <v>1</v>
      </c>
      <c r="G2578" s="6" t="str">
        <f>IFERROR(__xludf.DUMMYFUNCTION("""COMPUTED_VALUE"""),"Pieces")</f>
        <v>Pieces</v>
      </c>
      <c r="H2578" s="6" t="str">
        <f>IFERROR(__xludf.DUMMYFUNCTION("""COMPUTED_VALUE"""),"IDR")</f>
        <v>IDR</v>
      </c>
      <c r="I2578" s="11">
        <f>IFERROR(__xludf.DUMMYFUNCTION("""COMPUTED_VALUE"""),2975000.0)</f>
        <v>2975000</v>
      </c>
      <c r="J2578" s="11">
        <f>IFERROR(__xludf.DUMMYFUNCTION("""COMPUTED_VALUE"""),2975000.0)</f>
        <v>2975000</v>
      </c>
      <c r="K2578" s="57">
        <f>IFERROR(__xludf.DUMMYFUNCTION("""COMPUTED_VALUE"""),45201.0)</f>
        <v>45201</v>
      </c>
      <c r="L2578" s="6" t="str">
        <f>IFERROR(__xludf.DUMMYFUNCTION("""COMPUTED_VALUE"""),"FIP General")</f>
        <v>FIP General</v>
      </c>
      <c r="M2578" s="6" t="str">
        <f>IFERROR(__xludf.DUMMYFUNCTION("""COMPUTED_VALUE"""),"Mochammad Fadhillah Hakim")</f>
        <v>Mochammad Fadhillah Hakim</v>
      </c>
      <c r="N2578" s="6" t="str">
        <f>IFERROR(__xludf.DUMMYFUNCTION("""COMPUTED_VALUE"""),"FIP Engineering")</f>
        <v>FIP Engineering</v>
      </c>
      <c r="O2578" s="6" t="str">
        <f>IFERROR(__xludf.DUMMYFUNCTION("""COMPUTED_VALUE"""),"FIP-DOM-ENG-51504-0000000-INA-000000")</f>
        <v>FIP-DOM-ENG-51504-0000000-INA-000000</v>
      </c>
      <c r="P2578" s="6" t="str">
        <f>IFERROR(__xludf.DUMMYFUNCTION("""COMPUTED_VALUE"""),"PO Closed")</f>
        <v>PO Closed</v>
      </c>
      <c r="Q2578" s="6" t="str">
        <f>IFERROR(__xludf.DUMMYFUNCTION("""COMPUTED_VALUE"""),"GL2311046")</f>
        <v>GL2311046</v>
      </c>
      <c r="R2578" s="57">
        <f>IFERROR(__xludf.DUMMYFUNCTION("""COMPUTED_VALUE"""),45187.0)</f>
        <v>45187</v>
      </c>
      <c r="S2578" s="57">
        <f>IFERROR(__xludf.DUMMYFUNCTION("""COMPUTED_VALUE"""),45215.0)</f>
        <v>45215</v>
      </c>
      <c r="T2578" s="57">
        <f>IFERROR(__xludf.DUMMYFUNCTION("""COMPUTED_VALUE"""),45306.0)</f>
        <v>45306</v>
      </c>
    </row>
    <row r="2579">
      <c r="A2579" s="6" t="str">
        <f>IFERROR(__xludf.DUMMYFUNCTION("""COMPUTED_VALUE"""),"231750706-1")</f>
        <v>231750706-1</v>
      </c>
      <c r="B2579" s="6" t="str">
        <f>IFERROR(__xludf.DUMMYFUNCTION("""COMPUTED_VALUE"""),"231750706 - Approved")</f>
        <v>231750706 - Approved</v>
      </c>
      <c r="C2579" s="6">
        <f>IFERROR(__xludf.DUMMYFUNCTION("""COMPUTED_VALUE"""),1.0)</f>
        <v>1</v>
      </c>
      <c r="D2579" s="6" t="str">
        <f>IFERROR(__xludf.DUMMYFUNCTION("""COMPUTED_VALUE"""),"S-60050-00")</f>
        <v>S-60050-00</v>
      </c>
      <c r="E2579" s="6" t="str">
        <f>IFERROR(__xludf.DUMMYFUNCTION("""COMPUTED_VALUE"""),"Jasa Perbaikan dan Pemeliharaan Mesin Produksi; ; ; - Untuk Pembuatan Susukan Sensor PH Mixing MV60")</f>
        <v>Jasa Perbaikan dan Pemeliharaan Mesin Produksi; ; ; - Untuk Pembuatan Susukan Sensor PH Mixing MV60</v>
      </c>
      <c r="F2579" s="6">
        <f>IFERROR(__xludf.DUMMYFUNCTION("""COMPUTED_VALUE"""),1.0)</f>
        <v>1</v>
      </c>
      <c r="G2579" s="6" t="str">
        <f>IFERROR(__xludf.DUMMYFUNCTION("""COMPUTED_VALUE"""),"Pieces")</f>
        <v>Pieces</v>
      </c>
      <c r="H2579" s="6" t="str">
        <f>IFERROR(__xludf.DUMMYFUNCTION("""COMPUTED_VALUE"""),"IDR")</f>
        <v>IDR</v>
      </c>
      <c r="I2579" s="11">
        <f>IFERROR(__xludf.DUMMYFUNCTION("""COMPUTED_VALUE"""),2587000.0)</f>
        <v>2587000</v>
      </c>
      <c r="J2579" s="11">
        <f>IFERROR(__xludf.DUMMYFUNCTION("""COMPUTED_VALUE"""),2587000.0)</f>
        <v>2587000</v>
      </c>
      <c r="K2579" s="57">
        <f>IFERROR(__xludf.DUMMYFUNCTION("""COMPUTED_VALUE"""),45201.0)</f>
        <v>45201</v>
      </c>
      <c r="L2579" s="6" t="str">
        <f>IFERROR(__xludf.DUMMYFUNCTION("""COMPUTED_VALUE"""),"FIP General")</f>
        <v>FIP General</v>
      </c>
      <c r="M2579" s="6" t="str">
        <f>IFERROR(__xludf.DUMMYFUNCTION("""COMPUTED_VALUE"""),"Mochammad Fadhillah Hakim")</f>
        <v>Mochammad Fadhillah Hakim</v>
      </c>
      <c r="N2579" s="6" t="str">
        <f>IFERROR(__xludf.DUMMYFUNCTION("""COMPUTED_VALUE"""),"FIP Engineering")</f>
        <v>FIP Engineering</v>
      </c>
      <c r="O2579" s="6" t="str">
        <f>IFERROR(__xludf.DUMMYFUNCTION("""COMPUTED_VALUE"""),"FIP-DOM-ENG-51504-0000000-INA-000000")</f>
        <v>FIP-DOM-ENG-51504-0000000-INA-000000</v>
      </c>
      <c r="P2579" s="6" t="str">
        <f>IFERROR(__xludf.DUMMYFUNCTION("""COMPUTED_VALUE"""),"PO Closed")</f>
        <v>PO Closed</v>
      </c>
      <c r="Q2579" s="6" t="str">
        <f>IFERROR(__xludf.DUMMYFUNCTION("""COMPUTED_VALUE"""),"GL2311012")</f>
        <v>GL2311012</v>
      </c>
      <c r="R2579" s="57">
        <f>IFERROR(__xludf.DUMMYFUNCTION("""COMPUTED_VALUE"""),45187.0)</f>
        <v>45187</v>
      </c>
      <c r="S2579" s="57">
        <f>IFERROR(__xludf.DUMMYFUNCTION("""COMPUTED_VALUE"""),45191.0)</f>
        <v>45191</v>
      </c>
      <c r="T2579" s="57">
        <f>IFERROR(__xludf.DUMMYFUNCTION("""COMPUTED_VALUE"""),45275.0)</f>
        <v>45275</v>
      </c>
    </row>
    <row r="2580">
      <c r="A2580" s="6" t="str">
        <f>IFERROR(__xludf.DUMMYFUNCTION("""COMPUTED_VALUE"""),"231750707-1")</f>
        <v>231750707-1</v>
      </c>
      <c r="B2580" s="6" t="str">
        <f>IFERROR(__xludf.DUMMYFUNCTION("""COMPUTED_VALUE"""),"231750707 - Approved")</f>
        <v>231750707 - Approved</v>
      </c>
      <c r="C2580" s="6">
        <f>IFERROR(__xludf.DUMMYFUNCTION("""COMPUTED_VALUE"""),1.0)</f>
        <v>1</v>
      </c>
      <c r="D2580" s="6" t="str">
        <f>IFERROR(__xludf.DUMMYFUNCTION("""COMPUTED_VALUE"""),"O-17669-00")</f>
        <v>O-17669-00</v>
      </c>
      <c r="E2580" s="6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F2580" s="6">
        <f>IFERROR(__xludf.DUMMYFUNCTION("""COMPUTED_VALUE"""),1.0)</f>
        <v>1</v>
      </c>
      <c r="G2580" s="6" t="str">
        <f>IFERROR(__xludf.DUMMYFUNCTION("""COMPUTED_VALUE"""),"Unit")</f>
        <v>Unit</v>
      </c>
      <c r="H2580" s="6" t="str">
        <f>IFERROR(__xludf.DUMMYFUNCTION("""COMPUTED_VALUE"""),"IDR")</f>
        <v>IDR</v>
      </c>
      <c r="I2580" s="11">
        <f>IFERROR(__xludf.DUMMYFUNCTION("""COMPUTED_VALUE"""),5.75622E7)</f>
        <v>57562200</v>
      </c>
      <c r="J2580" s="11">
        <f>IFERROR(__xludf.DUMMYFUNCTION("""COMPUTED_VALUE"""),5.75622E7)</f>
        <v>57562200</v>
      </c>
      <c r="K2580" s="57">
        <f>IFERROR(__xludf.DUMMYFUNCTION("""COMPUTED_VALUE"""),45201.0)</f>
        <v>45201</v>
      </c>
      <c r="L2580" s="6" t="str">
        <f>IFERROR(__xludf.DUMMYFUNCTION("""COMPUTED_VALUE"""),"FIP Engineering")</f>
        <v>FIP Engineering</v>
      </c>
      <c r="M2580" s="6" t="str">
        <f>IFERROR(__xludf.DUMMYFUNCTION("""COMPUTED_VALUE"""),"Mochammad Fadhillah Hakim")</f>
        <v>Mochammad Fadhillah Hakim</v>
      </c>
      <c r="N2580" s="6" t="str">
        <f>IFERROR(__xludf.DUMMYFUNCTION("""COMPUTED_VALUE"""),"FIP Engineering")</f>
        <v>FIP Engineering</v>
      </c>
      <c r="O2580" s="6" t="str">
        <f>IFERROR(__xludf.DUMMYFUNCTION("""COMPUTED_VALUE"""),"FIP-DOM-000-11304-OS00001-INA-000000")</f>
        <v>FIP-DOM-000-11304-OS00001-INA-000000</v>
      </c>
      <c r="P2580" s="6" t="str">
        <f>IFERROR(__xludf.DUMMYFUNCTION("""COMPUTED_VALUE"""),"PO Closed")</f>
        <v>PO Closed</v>
      </c>
      <c r="Q2580" s="6" t="str">
        <f>IFERROR(__xludf.DUMMYFUNCTION("""COMPUTED_VALUE"""),"GL2310030")</f>
        <v>GL2310030</v>
      </c>
      <c r="R2580" s="57">
        <f>IFERROR(__xludf.DUMMYFUNCTION("""COMPUTED_VALUE"""),45187.0)</f>
        <v>45187</v>
      </c>
      <c r="S2580" s="57">
        <f>IFERROR(__xludf.DUMMYFUNCTION("""COMPUTED_VALUE"""),45190.0)</f>
        <v>45190</v>
      </c>
      <c r="T2580" s="57">
        <f>IFERROR(__xludf.DUMMYFUNCTION("""COMPUTED_VALUE"""),45280.0)</f>
        <v>45280</v>
      </c>
    </row>
    <row r="2581">
      <c r="A2581" s="6" t="str">
        <f>IFERROR(__xludf.DUMMYFUNCTION("""COMPUTED_VALUE"""),"231750707-2")</f>
        <v>231750707-2</v>
      </c>
      <c r="B2581" s="6" t="str">
        <f>IFERROR(__xludf.DUMMYFUNCTION("""COMPUTED_VALUE"""),"231750707 - Approved")</f>
        <v>231750707 - Approved</v>
      </c>
      <c r="C2581" s="6">
        <f>IFERROR(__xludf.DUMMYFUNCTION("""COMPUTED_VALUE"""),2.0)</f>
        <v>2</v>
      </c>
      <c r="D2581" s="6" t="str">
        <f>IFERROR(__xludf.DUMMYFUNCTION("""COMPUTED_VALUE"""),"O-52530-00")</f>
        <v>O-52530-00</v>
      </c>
      <c r="E2581" s="6" t="str">
        <f>IFERROR(__xludf.DUMMYFUNCTION("""COMPUTED_VALUE"""),"Sensor PH Meter Type : InPro3250/120/PT1000 PN. 52002548; Mettler-Toledo; ;")</f>
        <v>Sensor PH Meter Type : InPro3250/120/PT1000 PN. 52002548; Mettler-Toledo; ;</v>
      </c>
      <c r="F2581" s="6">
        <f>IFERROR(__xludf.DUMMYFUNCTION("""COMPUTED_VALUE"""),1.0)</f>
        <v>1</v>
      </c>
      <c r="G2581" s="6" t="str">
        <f>IFERROR(__xludf.DUMMYFUNCTION("""COMPUTED_VALUE"""),"Pieces")</f>
        <v>Pieces</v>
      </c>
      <c r="H2581" s="6" t="str">
        <f>IFERROR(__xludf.DUMMYFUNCTION("""COMPUTED_VALUE"""),"IDR")</f>
        <v>IDR</v>
      </c>
      <c r="I2581" s="11">
        <f>IFERROR(__xludf.DUMMYFUNCTION("""COMPUTED_VALUE"""),1.202624E7)</f>
        <v>12026240</v>
      </c>
      <c r="J2581" s="11">
        <f>IFERROR(__xludf.DUMMYFUNCTION("""COMPUTED_VALUE"""),1.202624E7)</f>
        <v>12026240</v>
      </c>
      <c r="K2581" s="57">
        <f>IFERROR(__xludf.DUMMYFUNCTION("""COMPUTED_VALUE"""),45201.0)</f>
        <v>45201</v>
      </c>
      <c r="L2581" s="6" t="str">
        <f>IFERROR(__xludf.DUMMYFUNCTION("""COMPUTED_VALUE"""),"FIP Engineering")</f>
        <v>FIP Engineering</v>
      </c>
      <c r="M2581" s="6" t="str">
        <f>IFERROR(__xludf.DUMMYFUNCTION("""COMPUTED_VALUE"""),"Mochammad Fadhillah Hakim")</f>
        <v>Mochammad Fadhillah Hakim</v>
      </c>
      <c r="N2581" s="6" t="str">
        <f>IFERROR(__xludf.DUMMYFUNCTION("""COMPUTED_VALUE"""),"FIP Engineering")</f>
        <v>FIP Engineering</v>
      </c>
      <c r="O2581" s="6" t="str">
        <f>IFERROR(__xludf.DUMMYFUNCTION("""COMPUTED_VALUE"""),"FIP-DOM-000-11304-OS00001-INA-000000")</f>
        <v>FIP-DOM-000-11304-OS00001-INA-000000</v>
      </c>
      <c r="P2581" s="6" t="str">
        <f>IFERROR(__xludf.DUMMYFUNCTION("""COMPUTED_VALUE"""),"PO Closed")</f>
        <v>PO Closed</v>
      </c>
      <c r="Q2581" s="6" t="str">
        <f>IFERROR(__xludf.DUMMYFUNCTION("""COMPUTED_VALUE"""),"GL2310030")</f>
        <v>GL2310030</v>
      </c>
      <c r="R2581" s="57">
        <f>IFERROR(__xludf.DUMMYFUNCTION("""COMPUTED_VALUE"""),45187.0)</f>
        <v>45187</v>
      </c>
      <c r="S2581" s="57">
        <f>IFERROR(__xludf.DUMMYFUNCTION("""COMPUTED_VALUE"""),45190.0)</f>
        <v>45190</v>
      </c>
      <c r="T2581" s="57">
        <f>IFERROR(__xludf.DUMMYFUNCTION("""COMPUTED_VALUE"""),45280.0)</f>
        <v>45280</v>
      </c>
    </row>
    <row r="2582">
      <c r="A2582" s="6" t="str">
        <f>IFERROR(__xludf.DUMMYFUNCTION("""COMPUTED_VALUE"""),"231750723-1")</f>
        <v>231750723-1</v>
      </c>
      <c r="B2582" s="6" t="str">
        <f>IFERROR(__xludf.DUMMYFUNCTION("""COMPUTED_VALUE"""),"231750723 - Approved")</f>
        <v>231750723 - Approved</v>
      </c>
      <c r="C2582" s="6">
        <f>IFERROR(__xludf.DUMMYFUNCTION("""COMPUTED_VALUE"""),1.0)</f>
        <v>1</v>
      </c>
      <c r="D2582" s="6" t="str">
        <f>IFERROR(__xludf.DUMMYFUNCTION("""COMPUTED_VALUE"""),"T-30012-00")</f>
        <v>T-30012-00</v>
      </c>
      <c r="E2582" s="6" t="str">
        <f>IFERROR(__xludf.DUMMYFUNCTION("""COMPUTED_VALUE"""),"Bracket Proyektor Gantung Universal 80cm; ; ;")</f>
        <v>Bracket Proyektor Gantung Universal 80cm; ; ;</v>
      </c>
      <c r="F2582" s="6">
        <f>IFERROR(__xludf.DUMMYFUNCTION("""COMPUTED_VALUE"""),3.0)</f>
        <v>3</v>
      </c>
      <c r="G2582" s="6" t="str">
        <f>IFERROR(__xludf.DUMMYFUNCTION("""COMPUTED_VALUE"""),"Pieces")</f>
        <v>Pieces</v>
      </c>
      <c r="H2582" s="6" t="str">
        <f>IFERROR(__xludf.DUMMYFUNCTION("""COMPUTED_VALUE"""),"IDR")</f>
        <v>IDR</v>
      </c>
      <c r="I2582" s="11">
        <f>IFERROR(__xludf.DUMMYFUNCTION("""COMPUTED_VALUE"""),137000.0)</f>
        <v>137000</v>
      </c>
      <c r="J2582" s="11">
        <f>IFERROR(__xludf.DUMMYFUNCTION("""COMPUTED_VALUE"""),411000.0)</f>
        <v>411000</v>
      </c>
      <c r="K2582" s="57">
        <f>IFERROR(__xludf.DUMMYFUNCTION("""COMPUTED_VALUE"""),45204.0)</f>
        <v>45204</v>
      </c>
      <c r="L2582" s="6" t="str">
        <f>IFERROR(__xludf.DUMMYFUNCTION("""COMPUTED_VALUE"""),"FIP General")</f>
        <v>FIP General</v>
      </c>
      <c r="M2582" s="6" t="str">
        <f>IFERROR(__xludf.DUMMYFUNCTION("""COMPUTED_VALUE"""),"Mochammad Fadhillah Hakim")</f>
        <v>Mochammad Fadhillah Hakim</v>
      </c>
      <c r="N2582" s="6" t="str">
        <f>IFERROR(__xludf.DUMMYFUNCTION("""COMPUTED_VALUE"""),"FIP Engineering")</f>
        <v>FIP Engineering</v>
      </c>
      <c r="O2582" s="6" t="str">
        <f>IFERROR(__xludf.DUMMYFUNCTION("""COMPUTED_VALUE"""),"FIP-DOM-ENG-51502-0000000-INA-000000")</f>
        <v>FIP-DOM-ENG-51502-0000000-INA-000000</v>
      </c>
      <c r="P2582" s="6" t="str">
        <f>IFERROR(__xludf.DUMMYFUNCTION("""COMPUTED_VALUE"""),"PO Closed")</f>
        <v>PO Closed</v>
      </c>
      <c r="Q2582" s="6" t="str">
        <f>IFERROR(__xludf.DUMMYFUNCTION("""COMPUTED_VALUE"""),"GL2310001")</f>
        <v>GL2310001</v>
      </c>
      <c r="R2582" s="57">
        <f>IFERROR(__xludf.DUMMYFUNCTION("""COMPUTED_VALUE"""),45190.0)</f>
        <v>45190</v>
      </c>
      <c r="S2582" s="57">
        <f>IFERROR(__xludf.DUMMYFUNCTION("""COMPUTED_VALUE"""),45191.0)</f>
        <v>45191</v>
      </c>
      <c r="T2582" s="57">
        <f>IFERROR(__xludf.DUMMYFUNCTION("""COMPUTED_VALUE"""),45216.0)</f>
        <v>45216</v>
      </c>
    </row>
    <row r="2583">
      <c r="A2583" s="6" t="str">
        <f>IFERROR(__xludf.DUMMYFUNCTION("""COMPUTED_VALUE"""),"231750723-2")</f>
        <v>231750723-2</v>
      </c>
      <c r="B2583" s="6" t="str">
        <f>IFERROR(__xludf.DUMMYFUNCTION("""COMPUTED_VALUE"""),"231750723 - Approved")</f>
        <v>231750723 - Approved</v>
      </c>
      <c r="C2583" s="6">
        <f>IFERROR(__xludf.DUMMYFUNCTION("""COMPUTED_VALUE"""),2.0)</f>
        <v>2</v>
      </c>
      <c r="D2583" s="6" t="str">
        <f>IFERROR(__xludf.DUMMYFUNCTION("""COMPUTED_VALUE"""),"T-30015-00")</f>
        <v>T-30015-00</v>
      </c>
      <c r="E2583" s="6" t="str">
        <f>IFERROR(__xludf.DUMMYFUNCTION("""COMPUTED_VALUE"""),"CPU Case Bracket Stand CPB5; Orico; ;")</f>
        <v>CPU Case Bracket Stand CPB5; Orico; ;</v>
      </c>
      <c r="F2583" s="6">
        <f>IFERROR(__xludf.DUMMYFUNCTION("""COMPUTED_VALUE"""),2.0)</f>
        <v>2</v>
      </c>
      <c r="G2583" s="6" t="str">
        <f>IFERROR(__xludf.DUMMYFUNCTION("""COMPUTED_VALUE"""),"Pieces")</f>
        <v>Pieces</v>
      </c>
      <c r="H2583" s="6" t="str">
        <f>IFERROR(__xludf.DUMMYFUNCTION("""COMPUTED_VALUE"""),"IDR")</f>
        <v>IDR</v>
      </c>
      <c r="I2583" s="11">
        <f>IFERROR(__xludf.DUMMYFUNCTION("""COMPUTED_VALUE"""),260000.0)</f>
        <v>260000</v>
      </c>
      <c r="J2583" s="11">
        <f>IFERROR(__xludf.DUMMYFUNCTION("""COMPUTED_VALUE"""),520000.0)</f>
        <v>520000</v>
      </c>
      <c r="K2583" s="57">
        <f>IFERROR(__xludf.DUMMYFUNCTION("""COMPUTED_VALUE"""),45204.0)</f>
        <v>45204</v>
      </c>
      <c r="L2583" s="6" t="str">
        <f>IFERROR(__xludf.DUMMYFUNCTION("""COMPUTED_VALUE"""),"FIP General")</f>
        <v>FIP General</v>
      </c>
      <c r="M2583" s="6" t="str">
        <f>IFERROR(__xludf.DUMMYFUNCTION("""COMPUTED_VALUE"""),"Mochammad Fadhillah Hakim")</f>
        <v>Mochammad Fadhillah Hakim</v>
      </c>
      <c r="N2583" s="6" t="str">
        <f>IFERROR(__xludf.DUMMYFUNCTION("""COMPUTED_VALUE"""),"FIP Engineering")</f>
        <v>FIP Engineering</v>
      </c>
      <c r="O2583" s="6" t="str">
        <f>IFERROR(__xludf.DUMMYFUNCTION("""COMPUTED_VALUE"""),"FIP-DOM-ENG-51404-0000000-INA-000000")</f>
        <v>FIP-DOM-ENG-51404-0000000-INA-000000</v>
      </c>
      <c r="P2583" s="6" t="str">
        <f>IFERROR(__xludf.DUMMYFUNCTION("""COMPUTED_VALUE"""),"PO Closed")</f>
        <v>PO Closed</v>
      </c>
      <c r="Q2583" s="6" t="str">
        <f>IFERROR(__xludf.DUMMYFUNCTION("""COMPUTED_VALUE"""),"GL2310001")</f>
        <v>GL2310001</v>
      </c>
      <c r="R2583" s="57">
        <f>IFERROR(__xludf.DUMMYFUNCTION("""COMPUTED_VALUE"""),45190.0)</f>
        <v>45190</v>
      </c>
      <c r="S2583" s="57">
        <f>IFERROR(__xludf.DUMMYFUNCTION("""COMPUTED_VALUE"""),45191.0)</f>
        <v>45191</v>
      </c>
      <c r="T2583" s="57">
        <f>IFERROR(__xludf.DUMMYFUNCTION("""COMPUTED_VALUE"""),45216.0)</f>
        <v>45216</v>
      </c>
    </row>
    <row r="2584">
      <c r="A2584" s="6" t="str">
        <f>IFERROR(__xludf.DUMMYFUNCTION("""COMPUTED_VALUE"""),"231750733-1")</f>
        <v>231750733-1</v>
      </c>
      <c r="B2584" s="6" t="str">
        <f>IFERROR(__xludf.DUMMYFUNCTION("""COMPUTED_VALUE"""),"231750733 - Approved")</f>
        <v>231750733 - Approved</v>
      </c>
      <c r="C2584" s="6">
        <f>IFERROR(__xludf.DUMMYFUNCTION("""COMPUTED_VALUE"""),1.0)</f>
        <v>1</v>
      </c>
      <c r="D2584" s="6" t="str">
        <f>IFERROR(__xludf.DUMMYFUNCTION("""COMPUTED_VALUE"""),"Q-11000-00")</f>
        <v>Q-11000-00</v>
      </c>
      <c r="E2584" s="6" t="str">
        <f>IFERROR(__xludf.DUMMYFUNCTION("""COMPUTED_VALUE"""),"Jasa Perbaikan Gedung; ; ; - Untuk Penggantian Pintu Toilet LT 3")</f>
        <v>Jasa Perbaikan Gedung; ; ; - Untuk Penggantian Pintu Toilet LT 3</v>
      </c>
      <c r="F2584" s="6">
        <f>IFERROR(__xludf.DUMMYFUNCTION("""COMPUTED_VALUE"""),1.0)</f>
        <v>1</v>
      </c>
      <c r="G2584" s="6" t="str">
        <f>IFERROR(__xludf.DUMMYFUNCTION("""COMPUTED_VALUE"""),"Lot")</f>
        <v>Lot</v>
      </c>
      <c r="H2584" s="6" t="str">
        <f>IFERROR(__xludf.DUMMYFUNCTION("""COMPUTED_VALUE"""),"IDR")</f>
        <v>IDR</v>
      </c>
      <c r="I2584" s="11">
        <f>IFERROR(__xludf.DUMMYFUNCTION("""COMPUTED_VALUE"""),6975000.0)</f>
        <v>6975000</v>
      </c>
      <c r="J2584" s="11">
        <f>IFERROR(__xludf.DUMMYFUNCTION("""COMPUTED_VALUE"""),6975000.0)</f>
        <v>6975000</v>
      </c>
      <c r="K2584" s="57">
        <f>IFERROR(__xludf.DUMMYFUNCTION("""COMPUTED_VALUE"""),45208.0)</f>
        <v>45208</v>
      </c>
      <c r="L2584" s="6" t="str">
        <f>IFERROR(__xludf.DUMMYFUNCTION("""COMPUTED_VALUE"""),"FIP General")</f>
        <v>FIP General</v>
      </c>
      <c r="M2584" s="6" t="str">
        <f>IFERROR(__xludf.DUMMYFUNCTION("""COMPUTED_VALUE"""),"Mochammad Fadhillah Hakim")</f>
        <v>Mochammad Fadhillah Hakim</v>
      </c>
      <c r="N2584" s="6" t="str">
        <f>IFERROR(__xludf.DUMMYFUNCTION("""COMPUTED_VALUE"""),"FIP Engineering")</f>
        <v>FIP Engineering</v>
      </c>
      <c r="O2584" s="6" t="str">
        <f>IFERROR(__xludf.DUMMYFUNCTION("""COMPUTED_VALUE"""),"FIP-DOM-ENG-51502-0000000-INA-000000")</f>
        <v>FIP-DOM-ENG-51502-0000000-INA-000000</v>
      </c>
      <c r="P2584" s="6" t="str">
        <f>IFERROR(__xludf.DUMMYFUNCTION("""COMPUTED_VALUE"""),"PO Closed")</f>
        <v>PO Closed</v>
      </c>
      <c r="Q2584" s="6" t="str">
        <f>IFERROR(__xludf.DUMMYFUNCTION("""COMPUTED_VALUE"""),"GL2310043")</f>
        <v>GL2310043</v>
      </c>
      <c r="R2584" s="57">
        <f>IFERROR(__xludf.DUMMYFUNCTION("""COMPUTED_VALUE"""),45194.0)</f>
        <v>45194</v>
      </c>
      <c r="S2584" s="57">
        <f>IFERROR(__xludf.DUMMYFUNCTION("""COMPUTED_VALUE"""),45198.0)</f>
        <v>45198</v>
      </c>
      <c r="T2584" s="57">
        <f>IFERROR(__xludf.DUMMYFUNCTION("""COMPUTED_VALUE"""),45260.0)</f>
        <v>45260</v>
      </c>
    </row>
    <row r="2585">
      <c r="A2585" s="6" t="str">
        <f>IFERROR(__xludf.DUMMYFUNCTION("""COMPUTED_VALUE"""),"231750734-1")</f>
        <v>231750734-1</v>
      </c>
      <c r="B2585" s="6" t="str">
        <f>IFERROR(__xludf.DUMMYFUNCTION("""COMPUTED_VALUE"""),"231750734 - Approved")</f>
        <v>231750734 - Approved</v>
      </c>
      <c r="C2585" s="6">
        <f>IFERROR(__xludf.DUMMYFUNCTION("""COMPUTED_VALUE"""),1.0)</f>
        <v>1</v>
      </c>
      <c r="D2585" s="6" t="str">
        <f>IFERROR(__xludf.DUMMYFUNCTION("""COMPUTED_VALUE"""),"S-60002-00")</f>
        <v>S-60002-00</v>
      </c>
      <c r="E2585" s="6" t="str">
        <f>IFERROR(__xludf.DUMMYFUNCTION("""COMPUTED_VALUE"""),"Jasa Perbaikan dan Pemeliharaan Mesin Utility - Untuk Perbaikan Emergency Switch Forklift")</f>
        <v>Jasa Perbaikan dan Pemeliharaan Mesin Utility - Untuk Perbaikan Emergency Switch Forklift</v>
      </c>
      <c r="F2585" s="6">
        <f>IFERROR(__xludf.DUMMYFUNCTION("""COMPUTED_VALUE"""),1.0)</f>
        <v>1</v>
      </c>
      <c r="G2585" s="6" t="str">
        <f>IFERROR(__xludf.DUMMYFUNCTION("""COMPUTED_VALUE"""),"Lot")</f>
        <v>Lot</v>
      </c>
      <c r="H2585" s="6" t="str">
        <f>IFERROR(__xludf.DUMMYFUNCTION("""COMPUTED_VALUE"""),"IDR")</f>
        <v>IDR</v>
      </c>
      <c r="I2585" s="11">
        <f>IFERROR(__xludf.DUMMYFUNCTION("""COMPUTED_VALUE"""),9600000.0)</f>
        <v>9600000</v>
      </c>
      <c r="J2585" s="11">
        <f>IFERROR(__xludf.DUMMYFUNCTION("""COMPUTED_VALUE"""),9600000.0)</f>
        <v>9600000</v>
      </c>
      <c r="K2585" s="57">
        <f>IFERROR(__xludf.DUMMYFUNCTION("""COMPUTED_VALUE"""),45208.0)</f>
        <v>45208</v>
      </c>
      <c r="L2585" s="6" t="str">
        <f>IFERROR(__xludf.DUMMYFUNCTION("""COMPUTED_VALUE"""),"FIP General")</f>
        <v>FIP General</v>
      </c>
      <c r="M2585" s="6" t="str">
        <f>IFERROR(__xludf.DUMMYFUNCTION("""COMPUTED_VALUE"""),"Mochammad Fadhillah Hakim")</f>
        <v>Mochammad Fadhillah Hakim</v>
      </c>
      <c r="N2585" s="6" t="str">
        <f>IFERROR(__xludf.DUMMYFUNCTION("""COMPUTED_VALUE"""),"FIP Engineering")</f>
        <v>FIP Engineering</v>
      </c>
      <c r="O2585" s="6" t="str">
        <f>IFERROR(__xludf.DUMMYFUNCTION("""COMPUTED_VALUE"""),"FIP-DOM-ENG-51508-0000000-INA-000000")</f>
        <v>FIP-DOM-ENG-51508-0000000-INA-000000</v>
      </c>
      <c r="P2585" s="6" t="str">
        <f>IFERROR(__xludf.DUMMYFUNCTION("""COMPUTED_VALUE"""),"PO Closed")</f>
        <v>PO Closed</v>
      </c>
      <c r="Q2585" s="6" t="str">
        <f>IFERROR(__xludf.DUMMYFUNCTION("""COMPUTED_VALUE"""),"GL2311013")</f>
        <v>GL2311013</v>
      </c>
      <c r="R2585" s="57">
        <f>IFERROR(__xludf.DUMMYFUNCTION("""COMPUTED_VALUE"""),45194.0)</f>
        <v>45194</v>
      </c>
      <c r="S2585" s="57">
        <f>IFERROR(__xludf.DUMMYFUNCTION("""COMPUTED_VALUE"""),45197.0)</f>
        <v>45197</v>
      </c>
      <c r="T2585" s="57">
        <f>IFERROR(__xludf.DUMMYFUNCTION("""COMPUTED_VALUE"""),45280.0)</f>
        <v>45280</v>
      </c>
    </row>
    <row r="2586">
      <c r="A2586" s="6" t="str">
        <f>IFERROR(__xludf.DUMMYFUNCTION("""COMPUTED_VALUE"""),"231750736-1")</f>
        <v>231750736-1</v>
      </c>
      <c r="B2586" s="6" t="str">
        <f>IFERROR(__xludf.DUMMYFUNCTION("""COMPUTED_VALUE"""),"231750736 - Approved")</f>
        <v>231750736 - Approved</v>
      </c>
      <c r="C2586" s="6">
        <f>IFERROR(__xludf.DUMMYFUNCTION("""COMPUTED_VALUE"""),1.0)</f>
        <v>1</v>
      </c>
      <c r="D2586" s="6" t="str">
        <f>IFERROR(__xludf.DUMMYFUNCTION("""COMPUTED_VALUE"""),"S-60002-00")</f>
        <v>S-60002-00</v>
      </c>
      <c r="E2586" s="6" t="str">
        <f>IFERROR(__xludf.DUMMYFUNCTION("""COMPUTED_VALUE"""),"Jasa Perbaikan dan Pemeliharaan Mesin Utility - Untuk Pelampung PSG")</f>
        <v>Jasa Perbaikan dan Pemeliharaan Mesin Utility - Untuk Pelampung PSG</v>
      </c>
      <c r="F2586" s="6">
        <f>IFERROR(__xludf.DUMMYFUNCTION("""COMPUTED_VALUE"""),1.0)</f>
        <v>1</v>
      </c>
      <c r="G2586" s="6" t="str">
        <f>IFERROR(__xludf.DUMMYFUNCTION("""COMPUTED_VALUE"""),"Lot")</f>
        <v>Lot</v>
      </c>
      <c r="H2586" s="6" t="str">
        <f>IFERROR(__xludf.DUMMYFUNCTION("""COMPUTED_VALUE"""),"IDR")</f>
        <v>IDR</v>
      </c>
      <c r="I2586" s="11">
        <f>IFERROR(__xludf.DUMMYFUNCTION("""COMPUTED_VALUE"""),1.35E7)</f>
        <v>13500000</v>
      </c>
      <c r="J2586" s="11">
        <f>IFERROR(__xludf.DUMMYFUNCTION("""COMPUTED_VALUE"""),1.35E7)</f>
        <v>13500000</v>
      </c>
      <c r="K2586" s="57">
        <f>IFERROR(__xludf.DUMMYFUNCTION("""COMPUTED_VALUE"""),45208.0)</f>
        <v>45208</v>
      </c>
      <c r="L2586" s="6" t="str">
        <f>IFERROR(__xludf.DUMMYFUNCTION("""COMPUTED_VALUE"""),"FIP General")</f>
        <v>FIP General</v>
      </c>
      <c r="M2586" s="6" t="str">
        <f>IFERROR(__xludf.DUMMYFUNCTION("""COMPUTED_VALUE"""),"Mochammad Fadhillah Hakim")</f>
        <v>Mochammad Fadhillah Hakim</v>
      </c>
      <c r="N2586" s="6" t="str">
        <f>IFERROR(__xludf.DUMMYFUNCTION("""COMPUTED_VALUE"""),"FIP Engineering")</f>
        <v>FIP Engineering</v>
      </c>
      <c r="O2586" s="6" t="str">
        <f>IFERROR(__xludf.DUMMYFUNCTION("""COMPUTED_VALUE"""),"FIP-DOM-ENG-51508-0000000-INA-000000")</f>
        <v>FIP-DOM-ENG-51508-0000000-INA-000000</v>
      </c>
      <c r="P2586" s="6" t="str">
        <f>IFERROR(__xludf.DUMMYFUNCTION("""COMPUTED_VALUE"""),"PO Closed")</f>
        <v>PO Closed</v>
      </c>
      <c r="Q2586" s="6" t="str">
        <f>IFERROR(__xludf.DUMMYFUNCTION("""COMPUTED_VALUE"""),"GL2311014")</f>
        <v>GL2311014</v>
      </c>
      <c r="R2586" s="57">
        <f>IFERROR(__xludf.DUMMYFUNCTION("""COMPUTED_VALUE"""),45194.0)</f>
        <v>45194</v>
      </c>
      <c r="S2586" s="57">
        <f>IFERROR(__xludf.DUMMYFUNCTION("""COMPUTED_VALUE"""),45197.0)</f>
        <v>45197</v>
      </c>
      <c r="T2586" s="57">
        <f>IFERROR(__xludf.DUMMYFUNCTION("""COMPUTED_VALUE"""),45275.0)</f>
        <v>45275</v>
      </c>
    </row>
    <row r="2587">
      <c r="A2587" s="6" t="str">
        <f>IFERROR(__xludf.DUMMYFUNCTION("""COMPUTED_VALUE"""),"231750738-1")</f>
        <v>231750738-1</v>
      </c>
      <c r="B2587" s="6" t="str">
        <f>IFERROR(__xludf.DUMMYFUNCTION("""COMPUTED_VALUE"""),"231750738 - Approved")</f>
        <v>231750738 - Approved</v>
      </c>
      <c r="C2587" s="6">
        <f>IFERROR(__xludf.DUMMYFUNCTION("""COMPUTED_VALUE"""),1.0)</f>
        <v>1</v>
      </c>
      <c r="D2587" s="6" t="str">
        <f>IFERROR(__xludf.DUMMYFUNCTION("""COMPUTED_VALUE"""),"S-60050-00")</f>
        <v>S-60050-00</v>
      </c>
      <c r="E2587" s="6" t="str">
        <f>IFERROR(__xludf.DUMMYFUNCTION("""COMPUTED_VALUE"""),"Jasa Perbaikan dan Pemeliharaan Mesin Produksi; ; ; - Needle PW Mesin EDM")</f>
        <v>Jasa Perbaikan dan Pemeliharaan Mesin Produksi; ; ; - Needle PW Mesin EDM</v>
      </c>
      <c r="F2587" s="6">
        <f>IFERROR(__xludf.DUMMYFUNCTION("""COMPUTED_VALUE"""),2.0)</f>
        <v>2</v>
      </c>
      <c r="G2587" s="6" t="str">
        <f>IFERROR(__xludf.DUMMYFUNCTION("""COMPUTED_VALUE"""),"Pieces")</f>
        <v>Pieces</v>
      </c>
      <c r="H2587" s="6" t="str">
        <f>IFERROR(__xludf.DUMMYFUNCTION("""COMPUTED_VALUE"""),"IDR")</f>
        <v>IDR</v>
      </c>
      <c r="I2587" s="11">
        <f>IFERROR(__xludf.DUMMYFUNCTION("""COMPUTED_VALUE"""),885000.0)</f>
        <v>885000</v>
      </c>
      <c r="J2587" s="11">
        <f>IFERROR(__xludf.DUMMYFUNCTION("""COMPUTED_VALUE"""),1770000.0)</f>
        <v>1770000</v>
      </c>
      <c r="K2587" s="57">
        <f>IFERROR(__xludf.DUMMYFUNCTION("""COMPUTED_VALUE"""),45218.0)</f>
        <v>45218</v>
      </c>
      <c r="L2587" s="6" t="str">
        <f>IFERROR(__xludf.DUMMYFUNCTION("""COMPUTED_VALUE"""),"FIP General")</f>
        <v>FIP General</v>
      </c>
      <c r="M2587" s="6" t="str">
        <f>IFERROR(__xludf.DUMMYFUNCTION("""COMPUTED_VALUE"""),"Irwan Sopian")</f>
        <v>Irwan Sopian</v>
      </c>
      <c r="N2587" s="6" t="str">
        <f>IFERROR(__xludf.DUMMYFUNCTION("""COMPUTED_VALUE"""),"FIP Engineering")</f>
        <v>FIP Engineering</v>
      </c>
      <c r="O2587" s="6" t="str">
        <f>IFERROR(__xludf.DUMMYFUNCTION("""COMPUTED_VALUE"""),"FIP-DOM-ENG-51504-0000000-INA-000000")</f>
        <v>FIP-DOM-ENG-51504-0000000-INA-000000</v>
      </c>
      <c r="P2587" s="6" t="str">
        <f>IFERROR(__xludf.DUMMYFUNCTION("""COMPUTED_VALUE"""),"PO Closed")</f>
        <v>PO Closed</v>
      </c>
      <c r="Q2587" s="6" t="str">
        <f>IFERROR(__xludf.DUMMYFUNCTION("""COMPUTED_VALUE"""),"GL2311010")</f>
        <v>GL2311010</v>
      </c>
      <c r="R2587" s="57">
        <f>IFERROR(__xludf.DUMMYFUNCTION("""COMPUTED_VALUE"""),45197.0)</f>
        <v>45197</v>
      </c>
      <c r="S2587" s="57">
        <f>IFERROR(__xludf.DUMMYFUNCTION("""COMPUTED_VALUE"""),45197.0)</f>
        <v>45197</v>
      </c>
      <c r="T2587" s="57">
        <f>IFERROR(__xludf.DUMMYFUNCTION("""COMPUTED_VALUE"""),45270.0)</f>
        <v>45270</v>
      </c>
    </row>
    <row r="2588">
      <c r="A2588" s="6" t="str">
        <f>IFERROR(__xludf.DUMMYFUNCTION("""COMPUTED_VALUE"""),"231750748-1")</f>
        <v>231750748-1</v>
      </c>
      <c r="B2588" s="6" t="str">
        <f>IFERROR(__xludf.DUMMYFUNCTION("""COMPUTED_VALUE"""),"231750748 - Approved")</f>
        <v>231750748 - Approved</v>
      </c>
      <c r="C2588" s="6">
        <f>IFERROR(__xludf.DUMMYFUNCTION("""COMPUTED_VALUE"""),1.0)</f>
        <v>1</v>
      </c>
      <c r="D2588" s="6" t="str">
        <f>IFERROR(__xludf.DUMMYFUNCTION("""COMPUTED_VALUE"""),"P-12994-00")</f>
        <v>P-12994-00</v>
      </c>
      <c r="E2588" s="6" t="str">
        <f>IFERROR(__xludf.DUMMYFUNCTION("""COMPUTED_VALUE"""),"Nippon Tape - ASF-110FR")</f>
        <v>Nippon Tape - ASF-110FR</v>
      </c>
      <c r="F2588" s="6">
        <f>IFERROR(__xludf.DUMMYFUNCTION("""COMPUTED_VALUE"""),2.0)</f>
        <v>2</v>
      </c>
      <c r="G2588" s="6" t="str">
        <f>IFERROR(__xludf.DUMMYFUNCTION("""COMPUTED_VALUE"""),"Pieces")</f>
        <v>Pieces</v>
      </c>
      <c r="H2588" s="6" t="str">
        <f>IFERROR(__xludf.DUMMYFUNCTION("""COMPUTED_VALUE"""),"IDR")</f>
        <v>IDR</v>
      </c>
      <c r="I2588" s="11">
        <f>IFERROR(__xludf.DUMMYFUNCTION("""COMPUTED_VALUE"""),600000.0)</f>
        <v>600000</v>
      </c>
      <c r="J2588" s="11">
        <f>IFERROR(__xludf.DUMMYFUNCTION("""COMPUTED_VALUE"""),1200000.0)</f>
        <v>1200000</v>
      </c>
      <c r="K2588" s="57">
        <f>IFERROR(__xludf.DUMMYFUNCTION("""COMPUTED_VALUE"""),45215.0)</f>
        <v>45215</v>
      </c>
      <c r="L2588" s="6" t="str">
        <f>IFERROR(__xludf.DUMMYFUNCTION("""COMPUTED_VALUE"""),"FIP Engineering")</f>
        <v>FIP Engineering</v>
      </c>
      <c r="M2588" s="6" t="str">
        <f>IFERROR(__xludf.DUMMYFUNCTION("""COMPUTED_VALUE"""),"Mochammad Fadhillah Hakim")</f>
        <v>Mochammad Fadhillah Hakim</v>
      </c>
      <c r="N2588" s="6" t="str">
        <f>IFERROR(__xludf.DUMMYFUNCTION("""COMPUTED_VALUE"""),"FIP Engineering")</f>
        <v>FIP Engineering</v>
      </c>
      <c r="O2588" s="6" t="str">
        <f>IFERROR(__xludf.DUMMYFUNCTION("""COMPUTED_VALUE"""),"FIP-DOM-000-11304-OS00001-INA-000000")</f>
        <v>FIP-DOM-000-11304-OS00001-INA-000000</v>
      </c>
      <c r="P2588" s="6" t="str">
        <f>IFERROR(__xludf.DUMMYFUNCTION("""COMPUTED_VALUE"""),"PO Closed")</f>
        <v>PO Closed</v>
      </c>
      <c r="Q2588" s="6" t="str">
        <f>IFERROR(__xludf.DUMMYFUNCTION("""COMPUTED_VALUE"""),"GL2311028")</f>
        <v>GL2311028</v>
      </c>
      <c r="R2588" s="57">
        <f>IFERROR(__xludf.DUMMYFUNCTION("""COMPUTED_VALUE"""),45201.0)</f>
        <v>45201</v>
      </c>
      <c r="S2588" s="57">
        <f>IFERROR(__xludf.DUMMYFUNCTION("""COMPUTED_VALUE"""),45202.0)</f>
        <v>45202</v>
      </c>
      <c r="T2588" s="57">
        <f>IFERROR(__xludf.DUMMYFUNCTION("""COMPUTED_VALUE"""),45276.0)</f>
        <v>45276</v>
      </c>
    </row>
    <row r="2589">
      <c r="A2589" s="6" t="str">
        <f>IFERROR(__xludf.DUMMYFUNCTION("""COMPUTED_VALUE"""),"231750748-2")</f>
        <v>231750748-2</v>
      </c>
      <c r="B2589" s="6" t="str">
        <f>IFERROR(__xludf.DUMMYFUNCTION("""COMPUTED_VALUE"""),"231750748 - Approved")</f>
        <v>231750748 - Approved</v>
      </c>
      <c r="C2589" s="6">
        <f>IFERROR(__xludf.DUMMYFUNCTION("""COMPUTED_VALUE"""),2.0)</f>
        <v>2</v>
      </c>
      <c r="D2589" s="6" t="str">
        <f>IFERROR(__xludf.DUMMYFUNCTION("""COMPUTED_VALUE"""),"Q-10249-00")</f>
        <v>Q-10249-00</v>
      </c>
      <c r="E2589" s="6" t="str">
        <f>IFERROR(__xludf.DUMMYFUNCTION("""COMPUTED_VALUE"""),"Lem Power Glue; ; ;")</f>
        <v>Lem Power Glue; ; ;</v>
      </c>
      <c r="F2589" s="6">
        <f>IFERROR(__xludf.DUMMYFUNCTION("""COMPUTED_VALUE"""),10.0)</f>
        <v>10</v>
      </c>
      <c r="G2589" s="6" t="str">
        <f>IFERROR(__xludf.DUMMYFUNCTION("""COMPUTED_VALUE"""),"Pieces")</f>
        <v>Pieces</v>
      </c>
      <c r="H2589" s="6" t="str">
        <f>IFERROR(__xludf.DUMMYFUNCTION("""COMPUTED_VALUE"""),"IDR")</f>
        <v>IDR</v>
      </c>
      <c r="I2589" s="11">
        <f>IFERROR(__xludf.DUMMYFUNCTION("""COMPUTED_VALUE"""),4050.0)</f>
        <v>4050</v>
      </c>
      <c r="J2589" s="11">
        <f>IFERROR(__xludf.DUMMYFUNCTION("""COMPUTED_VALUE"""),40500.0)</f>
        <v>40500</v>
      </c>
      <c r="K2589" s="57">
        <f>IFERROR(__xludf.DUMMYFUNCTION("""COMPUTED_VALUE"""),45215.0)</f>
        <v>45215</v>
      </c>
      <c r="L2589" s="6" t="str">
        <f>IFERROR(__xludf.DUMMYFUNCTION("""COMPUTED_VALUE"""),"FIP Engineering")</f>
        <v>FIP Engineering</v>
      </c>
      <c r="M2589" s="6" t="str">
        <f>IFERROR(__xludf.DUMMYFUNCTION("""COMPUTED_VALUE"""),"Mochammad Fadhillah Hakim")</f>
        <v>Mochammad Fadhillah Hakim</v>
      </c>
      <c r="N2589" s="6" t="str">
        <f>IFERROR(__xludf.DUMMYFUNCTION("""COMPUTED_VALUE"""),"FIP Engineering")</f>
        <v>FIP Engineering</v>
      </c>
      <c r="O2589" s="6" t="str">
        <f>IFERROR(__xludf.DUMMYFUNCTION("""COMPUTED_VALUE"""),"FIP-DOM-000-11304-OS00001-INA-000000")</f>
        <v>FIP-DOM-000-11304-OS00001-INA-000000</v>
      </c>
      <c r="P2589" s="6" t="str">
        <f>IFERROR(__xludf.DUMMYFUNCTION("""COMPUTED_VALUE"""),"PO Closed")</f>
        <v>PO Closed</v>
      </c>
      <c r="Q2589" s="6" t="str">
        <f>IFERROR(__xludf.DUMMYFUNCTION("""COMPUTED_VALUE"""),"GL2310018")</f>
        <v>GL2310018</v>
      </c>
      <c r="R2589" s="57">
        <f>IFERROR(__xludf.DUMMYFUNCTION("""COMPUTED_VALUE"""),45201.0)</f>
        <v>45201</v>
      </c>
      <c r="S2589" s="57">
        <f>IFERROR(__xludf.DUMMYFUNCTION("""COMPUTED_VALUE"""),45202.0)</f>
        <v>45202</v>
      </c>
      <c r="T2589" s="57">
        <f>IFERROR(__xludf.DUMMYFUNCTION("""COMPUTED_VALUE"""),45230.0)</f>
        <v>45230</v>
      </c>
    </row>
    <row r="2590">
      <c r="A2590" s="6" t="str">
        <f>IFERROR(__xludf.DUMMYFUNCTION("""COMPUTED_VALUE"""),"231750748-3")</f>
        <v>231750748-3</v>
      </c>
      <c r="B2590" s="6" t="str">
        <f>IFERROR(__xludf.DUMMYFUNCTION("""COMPUTED_VALUE"""),"231750748 - Approved")</f>
        <v>231750748 - Approved</v>
      </c>
      <c r="C2590" s="6">
        <f>IFERROR(__xludf.DUMMYFUNCTION("""COMPUTED_VALUE"""),3.0)</f>
        <v>3</v>
      </c>
      <c r="D2590" s="6" t="str">
        <f>IFERROR(__xludf.DUMMYFUNCTION("""COMPUTED_VALUE"""),"P-10017-00")</f>
        <v>P-10017-00</v>
      </c>
      <c r="E2590" s="6" t="str">
        <f>IFERROR(__xludf.DUMMYFUNCTION("""COMPUTED_VALUE"""),"Pre Filter G4 size : 24X24X2")</f>
        <v>Pre Filter G4 size : 24X24X2</v>
      </c>
      <c r="F2590" s="6">
        <f>IFERROR(__xludf.DUMMYFUNCTION("""COMPUTED_VALUE"""),30.0)</f>
        <v>30</v>
      </c>
      <c r="G2590" s="6" t="str">
        <f>IFERROR(__xludf.DUMMYFUNCTION("""COMPUTED_VALUE"""),"Unit")</f>
        <v>Unit</v>
      </c>
      <c r="H2590" s="6" t="str">
        <f>IFERROR(__xludf.DUMMYFUNCTION("""COMPUTED_VALUE"""),"IDR")</f>
        <v>IDR</v>
      </c>
      <c r="I2590" s="11">
        <f>IFERROR(__xludf.DUMMYFUNCTION("""COMPUTED_VALUE"""),450000.0)</f>
        <v>450000</v>
      </c>
      <c r="J2590" s="11">
        <f>IFERROR(__xludf.DUMMYFUNCTION("""COMPUTED_VALUE"""),1.35E7)</f>
        <v>13500000</v>
      </c>
      <c r="K2590" s="57">
        <f>IFERROR(__xludf.DUMMYFUNCTION("""COMPUTED_VALUE"""),45215.0)</f>
        <v>45215</v>
      </c>
      <c r="L2590" s="6" t="str">
        <f>IFERROR(__xludf.DUMMYFUNCTION("""COMPUTED_VALUE"""),"FIP Engineering")</f>
        <v>FIP Engineering</v>
      </c>
      <c r="M2590" s="6" t="str">
        <f>IFERROR(__xludf.DUMMYFUNCTION("""COMPUTED_VALUE"""),"Mochammad Fadhillah Hakim")</f>
        <v>Mochammad Fadhillah Hakim</v>
      </c>
      <c r="N2590" s="6" t="str">
        <f>IFERROR(__xludf.DUMMYFUNCTION("""COMPUTED_VALUE"""),"FIP Engineering")</f>
        <v>FIP Engineering</v>
      </c>
      <c r="O2590" s="6" t="str">
        <f>IFERROR(__xludf.DUMMYFUNCTION("""COMPUTED_VALUE"""),"FIP-DOM-000-11304-OS00001-INA-000000")</f>
        <v>FIP-DOM-000-11304-OS00001-INA-000000</v>
      </c>
      <c r="P2590" s="6" t="str">
        <f>IFERROR(__xludf.DUMMYFUNCTION("""COMPUTED_VALUE"""),"PO Closed")</f>
        <v>PO Closed</v>
      </c>
      <c r="Q2590" s="6" t="str">
        <f>IFERROR(__xludf.DUMMYFUNCTION("""COMPUTED_VALUE"""),"GL2311019")</f>
        <v>GL2311019</v>
      </c>
      <c r="R2590" s="57">
        <f>IFERROR(__xludf.DUMMYFUNCTION("""COMPUTED_VALUE"""),45201.0)</f>
        <v>45201</v>
      </c>
      <c r="S2590" s="57">
        <f>IFERROR(__xludf.DUMMYFUNCTION("""COMPUTED_VALUE"""),45202.0)</f>
        <v>45202</v>
      </c>
      <c r="T2590" s="57">
        <f>IFERROR(__xludf.DUMMYFUNCTION("""COMPUTED_VALUE"""),45280.0)</f>
        <v>45280</v>
      </c>
    </row>
    <row r="2591">
      <c r="A2591" s="6" t="str">
        <f>IFERROR(__xludf.DUMMYFUNCTION("""COMPUTED_VALUE"""),"231750748-4")</f>
        <v>231750748-4</v>
      </c>
      <c r="B2591" s="6" t="str">
        <f>IFERROR(__xludf.DUMMYFUNCTION("""COMPUTED_VALUE"""),"231750748 - Approved")</f>
        <v>231750748 - Approved</v>
      </c>
      <c r="C2591" s="6">
        <f>IFERROR(__xludf.DUMMYFUNCTION("""COMPUTED_VALUE"""),4.0)</f>
        <v>4</v>
      </c>
      <c r="D2591" s="6" t="str">
        <f>IFERROR(__xludf.DUMMYFUNCTION("""COMPUTED_VALUE"""),"P-15852-00")</f>
        <v>P-15852-00</v>
      </c>
      <c r="E2591" s="6" t="str">
        <f>IFERROR(__xludf.DUMMYFUNCTION("""COMPUTED_VALUE"""),"AMPLAS EAGLE 500")</f>
        <v>AMPLAS EAGLE 500</v>
      </c>
      <c r="F2591" s="6">
        <f>IFERROR(__xludf.DUMMYFUNCTION("""COMPUTED_VALUE"""),10.0)</f>
        <v>10</v>
      </c>
      <c r="G2591" s="6" t="str">
        <f>IFERROR(__xludf.DUMMYFUNCTION("""COMPUTED_VALUE"""),"Pieces")</f>
        <v>Pieces</v>
      </c>
      <c r="H2591" s="6" t="str">
        <f>IFERROR(__xludf.DUMMYFUNCTION("""COMPUTED_VALUE"""),"IDR")</f>
        <v>IDR</v>
      </c>
      <c r="I2591" s="11">
        <f>IFERROR(__xludf.DUMMYFUNCTION("""COMPUTED_VALUE"""),4500.0)</f>
        <v>4500</v>
      </c>
      <c r="J2591" s="11">
        <f>IFERROR(__xludf.DUMMYFUNCTION("""COMPUTED_VALUE"""),45000.0)</f>
        <v>45000</v>
      </c>
      <c r="K2591" s="57">
        <f>IFERROR(__xludf.DUMMYFUNCTION("""COMPUTED_VALUE"""),45215.0)</f>
        <v>45215</v>
      </c>
      <c r="L2591" s="6" t="str">
        <f>IFERROR(__xludf.DUMMYFUNCTION("""COMPUTED_VALUE"""),"FIP Engineering")</f>
        <v>FIP Engineering</v>
      </c>
      <c r="M2591" s="6" t="str">
        <f>IFERROR(__xludf.DUMMYFUNCTION("""COMPUTED_VALUE"""),"Mochammad Fadhillah Hakim")</f>
        <v>Mochammad Fadhillah Hakim</v>
      </c>
      <c r="N2591" s="6" t="str">
        <f>IFERROR(__xludf.DUMMYFUNCTION("""COMPUTED_VALUE"""),"FIP Engineering")</f>
        <v>FIP Engineering</v>
      </c>
      <c r="O2591" s="6" t="str">
        <f>IFERROR(__xludf.DUMMYFUNCTION("""COMPUTED_VALUE"""),"FIP-DOM-000-11304-OS00001-INA-000000")</f>
        <v>FIP-DOM-000-11304-OS00001-INA-000000</v>
      </c>
      <c r="P2591" s="6" t="str">
        <f>IFERROR(__xludf.DUMMYFUNCTION("""COMPUTED_VALUE"""),"PO Closed")</f>
        <v>PO Closed</v>
      </c>
      <c r="Q2591" s="6" t="str">
        <f>IFERROR(__xludf.DUMMYFUNCTION("""COMPUTED_VALUE"""),"GL2311026")</f>
        <v>GL2311026</v>
      </c>
      <c r="R2591" s="57">
        <f>IFERROR(__xludf.DUMMYFUNCTION("""COMPUTED_VALUE"""),45201.0)</f>
        <v>45201</v>
      </c>
      <c r="S2591" s="57">
        <f>IFERROR(__xludf.DUMMYFUNCTION("""COMPUTED_VALUE"""),45202.0)</f>
        <v>45202</v>
      </c>
      <c r="T2591" s="57">
        <f>IFERROR(__xludf.DUMMYFUNCTION("""COMPUTED_VALUE"""),45275.0)</f>
        <v>45275</v>
      </c>
    </row>
    <row r="2592">
      <c r="A2592" s="6" t="str">
        <f>IFERROR(__xludf.DUMMYFUNCTION("""COMPUTED_VALUE"""),"231750748-5")</f>
        <v>231750748-5</v>
      </c>
      <c r="B2592" s="6" t="str">
        <f>IFERROR(__xludf.DUMMYFUNCTION("""COMPUTED_VALUE"""),"231750748 - Approved")</f>
        <v>231750748 - Approved</v>
      </c>
      <c r="C2592" s="6">
        <f>IFERROR(__xludf.DUMMYFUNCTION("""COMPUTED_VALUE"""),5.0)</f>
        <v>5</v>
      </c>
      <c r="D2592" s="6" t="str">
        <f>IFERROR(__xludf.DUMMYFUNCTION("""COMPUTED_VALUE"""),"P-14453-00")</f>
        <v>P-14453-00</v>
      </c>
      <c r="E2592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F2592" s="6">
        <f>IFERROR(__xludf.DUMMYFUNCTION("""COMPUTED_VALUE"""),10.0)</f>
        <v>10</v>
      </c>
      <c r="G2592" s="6" t="str">
        <f>IFERROR(__xludf.DUMMYFUNCTION("""COMPUTED_VALUE"""),"Pieces")</f>
        <v>Pieces</v>
      </c>
      <c r="H2592" s="6" t="str">
        <f>IFERROR(__xludf.DUMMYFUNCTION("""COMPUTED_VALUE"""),"IDR")</f>
        <v>IDR</v>
      </c>
      <c r="I2592" s="11">
        <f>IFERROR(__xludf.DUMMYFUNCTION("""COMPUTED_VALUE"""),100000.0)</f>
        <v>100000</v>
      </c>
      <c r="J2592" s="11">
        <f>IFERROR(__xludf.DUMMYFUNCTION("""COMPUTED_VALUE"""),1000000.0)</f>
        <v>1000000</v>
      </c>
      <c r="K2592" s="57">
        <f>IFERROR(__xludf.DUMMYFUNCTION("""COMPUTED_VALUE"""),45215.0)</f>
        <v>45215</v>
      </c>
      <c r="L2592" s="6" t="str">
        <f>IFERROR(__xludf.DUMMYFUNCTION("""COMPUTED_VALUE"""),"FIP Engineering")</f>
        <v>FIP Engineering</v>
      </c>
      <c r="M2592" s="6" t="str">
        <f>IFERROR(__xludf.DUMMYFUNCTION("""COMPUTED_VALUE"""),"Mochammad Fadhillah Hakim")</f>
        <v>Mochammad Fadhillah Hakim</v>
      </c>
      <c r="N2592" s="6" t="str">
        <f>IFERROR(__xludf.DUMMYFUNCTION("""COMPUTED_VALUE"""),"FIP Engineering")</f>
        <v>FIP Engineering</v>
      </c>
      <c r="O2592" s="6" t="str">
        <f>IFERROR(__xludf.DUMMYFUNCTION("""COMPUTED_VALUE"""),"FIP-DOM-000-11304-OS00001-INA-000000")</f>
        <v>FIP-DOM-000-11304-OS00001-INA-000000</v>
      </c>
      <c r="P2592" s="6" t="str">
        <f>IFERROR(__xludf.DUMMYFUNCTION("""COMPUTED_VALUE"""),"PO Closed")</f>
        <v>PO Closed</v>
      </c>
      <c r="Q2592" s="6" t="str">
        <f>IFERROR(__xludf.DUMMYFUNCTION("""COMPUTED_VALUE"""),"GL2311019")</f>
        <v>GL2311019</v>
      </c>
      <c r="R2592" s="57">
        <f>IFERROR(__xludf.DUMMYFUNCTION("""COMPUTED_VALUE"""),45201.0)</f>
        <v>45201</v>
      </c>
      <c r="S2592" s="57">
        <f>IFERROR(__xludf.DUMMYFUNCTION("""COMPUTED_VALUE"""),45202.0)</f>
        <v>45202</v>
      </c>
      <c r="T2592" s="57">
        <f>IFERROR(__xludf.DUMMYFUNCTION("""COMPUTED_VALUE"""),45280.0)</f>
        <v>45280</v>
      </c>
    </row>
    <row r="2593">
      <c r="A2593" s="6" t="str">
        <f>IFERROR(__xludf.DUMMYFUNCTION("""COMPUTED_VALUE"""),"231750748-6")</f>
        <v>231750748-6</v>
      </c>
      <c r="B2593" s="6" t="str">
        <f>IFERROR(__xludf.DUMMYFUNCTION("""COMPUTED_VALUE"""),"231750748 - Approved")</f>
        <v>231750748 - Approved</v>
      </c>
      <c r="C2593" s="6">
        <f>IFERROR(__xludf.DUMMYFUNCTION("""COMPUTED_VALUE"""),6.0)</f>
        <v>6</v>
      </c>
      <c r="D2593" s="6" t="str">
        <f>IFERROR(__xludf.DUMMYFUNCTION("""COMPUTED_VALUE"""),"O-18055-00")</f>
        <v>O-18055-00</v>
      </c>
      <c r="E2593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2593" s="6">
        <f>IFERROR(__xludf.DUMMYFUNCTION("""COMPUTED_VALUE"""),20.0)</f>
        <v>20</v>
      </c>
      <c r="G2593" s="6" t="str">
        <f>IFERROR(__xludf.DUMMYFUNCTION("""COMPUTED_VALUE"""),"Pieces")</f>
        <v>Pieces</v>
      </c>
      <c r="H2593" s="6" t="str">
        <f>IFERROR(__xludf.DUMMYFUNCTION("""COMPUTED_VALUE"""),"IDR")</f>
        <v>IDR</v>
      </c>
      <c r="I2593" s="11">
        <f>IFERROR(__xludf.DUMMYFUNCTION("""COMPUTED_VALUE"""),100000.0)</f>
        <v>100000</v>
      </c>
      <c r="J2593" s="11">
        <f>IFERROR(__xludf.DUMMYFUNCTION("""COMPUTED_VALUE"""),2000000.0)</f>
        <v>2000000</v>
      </c>
      <c r="K2593" s="57">
        <f>IFERROR(__xludf.DUMMYFUNCTION("""COMPUTED_VALUE"""),45215.0)</f>
        <v>45215</v>
      </c>
      <c r="L2593" s="6" t="str">
        <f>IFERROR(__xludf.DUMMYFUNCTION("""COMPUTED_VALUE"""),"FIP Engineering")</f>
        <v>FIP Engineering</v>
      </c>
      <c r="M2593" s="6" t="str">
        <f>IFERROR(__xludf.DUMMYFUNCTION("""COMPUTED_VALUE"""),"Mochammad Fadhillah Hakim")</f>
        <v>Mochammad Fadhillah Hakim</v>
      </c>
      <c r="N2593" s="6" t="str">
        <f>IFERROR(__xludf.DUMMYFUNCTION("""COMPUTED_VALUE"""),"FIP Engineering")</f>
        <v>FIP Engineering</v>
      </c>
      <c r="O2593" s="6" t="str">
        <f>IFERROR(__xludf.DUMMYFUNCTION("""COMPUTED_VALUE"""),"FIP-DOM-000-11304-OS00001-INA-000000")</f>
        <v>FIP-DOM-000-11304-OS00001-INA-000000</v>
      </c>
      <c r="P2593" s="6" t="str">
        <f>IFERROR(__xludf.DUMMYFUNCTION("""COMPUTED_VALUE"""),"PO Closed")</f>
        <v>PO Closed</v>
      </c>
      <c r="Q2593" s="6" t="str">
        <f>IFERROR(__xludf.DUMMYFUNCTION("""COMPUTED_VALUE"""),"GL2311027")</f>
        <v>GL2311027</v>
      </c>
      <c r="R2593" s="57">
        <f>IFERROR(__xludf.DUMMYFUNCTION("""COMPUTED_VALUE"""),45201.0)</f>
        <v>45201</v>
      </c>
      <c r="S2593" s="57">
        <f>IFERROR(__xludf.DUMMYFUNCTION("""COMPUTED_VALUE"""),45202.0)</f>
        <v>45202</v>
      </c>
      <c r="T2593" s="57">
        <f>IFERROR(__xludf.DUMMYFUNCTION("""COMPUTED_VALUE"""),45275.0)</f>
        <v>45275</v>
      </c>
    </row>
    <row r="2594">
      <c r="A2594" s="6" t="str">
        <f>IFERROR(__xludf.DUMMYFUNCTION("""COMPUTED_VALUE"""),"231750748-7")</f>
        <v>231750748-7</v>
      </c>
      <c r="B2594" s="6" t="str">
        <f>IFERROR(__xludf.DUMMYFUNCTION("""COMPUTED_VALUE"""),"231750748 - Approved")</f>
        <v>231750748 - Approved</v>
      </c>
      <c r="C2594" s="6">
        <f>IFERROR(__xludf.DUMMYFUNCTION("""COMPUTED_VALUE"""),7.0)</f>
        <v>7</v>
      </c>
      <c r="D2594" s="6" t="str">
        <f>IFERROR(__xludf.DUMMYFUNCTION("""COMPUTED_VALUE"""),"P-51756-00")</f>
        <v>P-51756-00</v>
      </c>
      <c r="E2594" s="6" t="str">
        <f>IFERROR(__xludf.DUMMYFUNCTION("""COMPUTED_VALUE"""),"Kabel NYYHY 3x0.75mm; ; ; meter")</f>
        <v>Kabel NYYHY 3x0.75mm; ; ; meter</v>
      </c>
      <c r="F2594" s="6">
        <f>IFERROR(__xludf.DUMMYFUNCTION("""COMPUTED_VALUE"""),100.0)</f>
        <v>100</v>
      </c>
      <c r="G2594" s="6" t="str">
        <f>IFERROR(__xludf.DUMMYFUNCTION("""COMPUTED_VALUE"""),"Meter")</f>
        <v>Meter</v>
      </c>
      <c r="H2594" s="6" t="str">
        <f>IFERROR(__xludf.DUMMYFUNCTION("""COMPUTED_VALUE"""),"IDR")</f>
        <v>IDR</v>
      </c>
      <c r="I2594" s="6">
        <f>IFERROR(__xludf.DUMMYFUNCTION("""COMPUTED_VALUE"""),6.0)</f>
        <v>6</v>
      </c>
      <c r="J2594" s="6">
        <f>IFERROR(__xludf.DUMMYFUNCTION("""COMPUTED_VALUE"""),600.0)</f>
        <v>600</v>
      </c>
      <c r="K2594" s="57">
        <f>IFERROR(__xludf.DUMMYFUNCTION("""COMPUTED_VALUE"""),45215.0)</f>
        <v>45215</v>
      </c>
      <c r="L2594" s="6" t="str">
        <f>IFERROR(__xludf.DUMMYFUNCTION("""COMPUTED_VALUE"""),"FIP Engineering")</f>
        <v>FIP Engineering</v>
      </c>
      <c r="M2594" s="6" t="str">
        <f>IFERROR(__xludf.DUMMYFUNCTION("""COMPUTED_VALUE"""),"Mochammad Fadhillah Hakim")</f>
        <v>Mochammad Fadhillah Hakim</v>
      </c>
      <c r="N2594" s="6" t="str">
        <f>IFERROR(__xludf.DUMMYFUNCTION("""COMPUTED_VALUE"""),"FIP Engineering")</f>
        <v>FIP Engineering</v>
      </c>
      <c r="O2594" s="6" t="str">
        <f>IFERROR(__xludf.DUMMYFUNCTION("""COMPUTED_VALUE"""),"FIP-DOM-000-11304-OS00001-INA-000000")</f>
        <v>FIP-DOM-000-11304-OS00001-INA-000000</v>
      </c>
      <c r="P2594" s="6" t="str">
        <f>IFERROR(__xludf.DUMMYFUNCTION("""COMPUTED_VALUE"""),"PO Closed")</f>
        <v>PO Closed</v>
      </c>
      <c r="Q2594" s="6" t="str">
        <f>IFERROR(__xludf.DUMMYFUNCTION("""COMPUTED_VALUE"""),"GL2311026")</f>
        <v>GL2311026</v>
      </c>
      <c r="R2594" s="57">
        <f>IFERROR(__xludf.DUMMYFUNCTION("""COMPUTED_VALUE"""),45201.0)</f>
        <v>45201</v>
      </c>
      <c r="S2594" s="57">
        <f>IFERROR(__xludf.DUMMYFUNCTION("""COMPUTED_VALUE"""),45202.0)</f>
        <v>45202</v>
      </c>
      <c r="T2594" s="57">
        <f>IFERROR(__xludf.DUMMYFUNCTION("""COMPUTED_VALUE"""),45275.0)</f>
        <v>45275</v>
      </c>
    </row>
    <row r="2595">
      <c r="A2595" s="6" t="str">
        <f>IFERROR(__xludf.DUMMYFUNCTION("""COMPUTED_VALUE"""),"231750748-8")</f>
        <v>231750748-8</v>
      </c>
      <c r="B2595" s="6" t="str">
        <f>IFERROR(__xludf.DUMMYFUNCTION("""COMPUTED_VALUE"""),"231750748 - Approved")</f>
        <v>231750748 - Approved</v>
      </c>
      <c r="C2595" s="6">
        <f>IFERROR(__xludf.DUMMYFUNCTION("""COMPUTED_VALUE"""),8.0)</f>
        <v>8</v>
      </c>
      <c r="D2595" s="6" t="str">
        <f>IFERROR(__xludf.DUMMYFUNCTION("""COMPUTED_VALUE"""),"P-14458-00")</f>
        <v>P-14458-00</v>
      </c>
      <c r="E2595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2595" s="6">
        <f>IFERROR(__xludf.DUMMYFUNCTION("""COMPUTED_VALUE"""),12.0)</f>
        <v>12</v>
      </c>
      <c r="G2595" s="6" t="str">
        <f>IFERROR(__xludf.DUMMYFUNCTION("""COMPUTED_VALUE"""),"Pieces")</f>
        <v>Pieces</v>
      </c>
      <c r="H2595" s="6" t="str">
        <f>IFERROR(__xludf.DUMMYFUNCTION("""COMPUTED_VALUE"""),"IDR")</f>
        <v>IDR</v>
      </c>
      <c r="I2595" s="11">
        <f>IFERROR(__xludf.DUMMYFUNCTION("""COMPUTED_VALUE"""),100000.0)</f>
        <v>100000</v>
      </c>
      <c r="J2595" s="11">
        <f>IFERROR(__xludf.DUMMYFUNCTION("""COMPUTED_VALUE"""),1200000.0)</f>
        <v>1200000</v>
      </c>
      <c r="K2595" s="57">
        <f>IFERROR(__xludf.DUMMYFUNCTION("""COMPUTED_VALUE"""),45215.0)</f>
        <v>45215</v>
      </c>
      <c r="L2595" s="6" t="str">
        <f>IFERROR(__xludf.DUMMYFUNCTION("""COMPUTED_VALUE"""),"FIP Engineering")</f>
        <v>FIP Engineering</v>
      </c>
      <c r="M2595" s="6" t="str">
        <f>IFERROR(__xludf.DUMMYFUNCTION("""COMPUTED_VALUE"""),"Mochammad Fadhillah Hakim")</f>
        <v>Mochammad Fadhillah Hakim</v>
      </c>
      <c r="N2595" s="6" t="str">
        <f>IFERROR(__xludf.DUMMYFUNCTION("""COMPUTED_VALUE"""),"FIP Engineering")</f>
        <v>FIP Engineering</v>
      </c>
      <c r="O2595" s="6" t="str">
        <f>IFERROR(__xludf.DUMMYFUNCTION("""COMPUTED_VALUE"""),"FIP-DOM-000-11304-OS00001-INA-000000")</f>
        <v>FIP-DOM-000-11304-OS00001-INA-000000</v>
      </c>
      <c r="P2595" s="6" t="str">
        <f>IFERROR(__xludf.DUMMYFUNCTION("""COMPUTED_VALUE"""),"PO Closed")</f>
        <v>PO Closed</v>
      </c>
      <c r="Q2595" s="6" t="str">
        <f>IFERROR(__xludf.DUMMYFUNCTION("""COMPUTED_VALUE"""),"GL2311019")</f>
        <v>GL2311019</v>
      </c>
      <c r="R2595" s="57">
        <f>IFERROR(__xludf.DUMMYFUNCTION("""COMPUTED_VALUE"""),45201.0)</f>
        <v>45201</v>
      </c>
      <c r="S2595" s="57">
        <f>IFERROR(__xludf.DUMMYFUNCTION("""COMPUTED_VALUE"""),45202.0)</f>
        <v>45202</v>
      </c>
      <c r="T2595" s="57">
        <f>IFERROR(__xludf.DUMMYFUNCTION("""COMPUTED_VALUE"""),45280.0)</f>
        <v>45280</v>
      </c>
    </row>
    <row r="2596">
      <c r="A2596" s="6" t="str">
        <f>IFERROR(__xludf.DUMMYFUNCTION("""COMPUTED_VALUE"""),"231750748-9")</f>
        <v>231750748-9</v>
      </c>
      <c r="B2596" s="6" t="str">
        <f>IFERROR(__xludf.DUMMYFUNCTION("""COMPUTED_VALUE"""),"231750748 - Approved")</f>
        <v>231750748 - Approved</v>
      </c>
      <c r="C2596" s="6">
        <f>IFERROR(__xludf.DUMMYFUNCTION("""COMPUTED_VALUE"""),9.0)</f>
        <v>9</v>
      </c>
      <c r="D2596" s="6" t="str">
        <f>IFERROR(__xludf.DUMMYFUNCTION("""COMPUTED_VALUE"""),"P-14457-00")</f>
        <v>P-14457-00</v>
      </c>
      <c r="E2596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2596" s="6">
        <f>IFERROR(__xludf.DUMMYFUNCTION("""COMPUTED_VALUE"""),12.0)</f>
        <v>12</v>
      </c>
      <c r="G2596" s="6" t="str">
        <f>IFERROR(__xludf.DUMMYFUNCTION("""COMPUTED_VALUE"""),"Pieces")</f>
        <v>Pieces</v>
      </c>
      <c r="H2596" s="6" t="str">
        <f>IFERROR(__xludf.DUMMYFUNCTION("""COMPUTED_VALUE"""),"IDR")</f>
        <v>IDR</v>
      </c>
      <c r="I2596" s="11">
        <f>IFERROR(__xludf.DUMMYFUNCTION("""COMPUTED_VALUE"""),100000.0)</f>
        <v>100000</v>
      </c>
      <c r="J2596" s="11">
        <f>IFERROR(__xludf.DUMMYFUNCTION("""COMPUTED_VALUE"""),1200000.0)</f>
        <v>1200000</v>
      </c>
      <c r="K2596" s="57">
        <f>IFERROR(__xludf.DUMMYFUNCTION("""COMPUTED_VALUE"""),45215.0)</f>
        <v>45215</v>
      </c>
      <c r="L2596" s="6" t="str">
        <f>IFERROR(__xludf.DUMMYFUNCTION("""COMPUTED_VALUE"""),"FIP Engineering")</f>
        <v>FIP Engineering</v>
      </c>
      <c r="M2596" s="6" t="str">
        <f>IFERROR(__xludf.DUMMYFUNCTION("""COMPUTED_VALUE"""),"Mochammad Fadhillah Hakim")</f>
        <v>Mochammad Fadhillah Hakim</v>
      </c>
      <c r="N2596" s="6" t="str">
        <f>IFERROR(__xludf.DUMMYFUNCTION("""COMPUTED_VALUE"""),"FIP Engineering")</f>
        <v>FIP Engineering</v>
      </c>
      <c r="O2596" s="6" t="str">
        <f>IFERROR(__xludf.DUMMYFUNCTION("""COMPUTED_VALUE"""),"FIP-DOM-000-11304-OS00001-INA-000000")</f>
        <v>FIP-DOM-000-11304-OS00001-INA-000000</v>
      </c>
      <c r="P2596" s="6" t="str">
        <f>IFERROR(__xludf.DUMMYFUNCTION("""COMPUTED_VALUE"""),"PO Closed")</f>
        <v>PO Closed</v>
      </c>
      <c r="Q2596" s="6" t="str">
        <f>IFERROR(__xludf.DUMMYFUNCTION("""COMPUTED_VALUE"""),"GL2311019")</f>
        <v>GL2311019</v>
      </c>
      <c r="R2596" s="57">
        <f>IFERROR(__xludf.DUMMYFUNCTION("""COMPUTED_VALUE"""),45201.0)</f>
        <v>45201</v>
      </c>
      <c r="S2596" s="57">
        <f>IFERROR(__xludf.DUMMYFUNCTION("""COMPUTED_VALUE"""),45202.0)</f>
        <v>45202</v>
      </c>
      <c r="T2596" s="57">
        <f>IFERROR(__xludf.DUMMYFUNCTION("""COMPUTED_VALUE"""),45280.0)</f>
        <v>45280</v>
      </c>
    </row>
    <row r="2597">
      <c r="A2597" s="6" t="str">
        <f>IFERROR(__xludf.DUMMYFUNCTION("""COMPUTED_VALUE"""),"231750748-10")</f>
        <v>231750748-10</v>
      </c>
      <c r="B2597" s="6" t="str">
        <f>IFERROR(__xludf.DUMMYFUNCTION("""COMPUTED_VALUE"""),"231750748 - Approved")</f>
        <v>231750748 - Approved</v>
      </c>
      <c r="C2597" s="6">
        <f>IFERROR(__xludf.DUMMYFUNCTION("""COMPUTED_VALUE"""),10.0)</f>
        <v>10</v>
      </c>
      <c r="D2597" s="6" t="str">
        <f>IFERROR(__xludf.DUMMYFUNCTION("""COMPUTED_VALUE"""),"P-14456-00")</f>
        <v>P-14456-00</v>
      </c>
      <c r="E2597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2597" s="6">
        <f>IFERROR(__xludf.DUMMYFUNCTION("""COMPUTED_VALUE"""),12.0)</f>
        <v>12</v>
      </c>
      <c r="G2597" s="6" t="str">
        <f>IFERROR(__xludf.DUMMYFUNCTION("""COMPUTED_VALUE"""),"Pieces")</f>
        <v>Pieces</v>
      </c>
      <c r="H2597" s="6" t="str">
        <f>IFERROR(__xludf.DUMMYFUNCTION("""COMPUTED_VALUE"""),"IDR")</f>
        <v>IDR</v>
      </c>
      <c r="I2597" s="11">
        <f>IFERROR(__xludf.DUMMYFUNCTION("""COMPUTED_VALUE"""),100000.0)</f>
        <v>100000</v>
      </c>
      <c r="J2597" s="11">
        <f>IFERROR(__xludf.DUMMYFUNCTION("""COMPUTED_VALUE"""),1200000.0)</f>
        <v>1200000</v>
      </c>
      <c r="K2597" s="57">
        <f>IFERROR(__xludf.DUMMYFUNCTION("""COMPUTED_VALUE"""),45215.0)</f>
        <v>45215</v>
      </c>
      <c r="L2597" s="6" t="str">
        <f>IFERROR(__xludf.DUMMYFUNCTION("""COMPUTED_VALUE"""),"FIP Engineering")</f>
        <v>FIP Engineering</v>
      </c>
      <c r="M2597" s="6" t="str">
        <f>IFERROR(__xludf.DUMMYFUNCTION("""COMPUTED_VALUE"""),"Mochammad Fadhillah Hakim")</f>
        <v>Mochammad Fadhillah Hakim</v>
      </c>
      <c r="N2597" s="6" t="str">
        <f>IFERROR(__xludf.DUMMYFUNCTION("""COMPUTED_VALUE"""),"FIP Engineering")</f>
        <v>FIP Engineering</v>
      </c>
      <c r="O2597" s="6" t="str">
        <f>IFERROR(__xludf.DUMMYFUNCTION("""COMPUTED_VALUE"""),"FIP-DOM-000-11304-OS00001-INA-000000")</f>
        <v>FIP-DOM-000-11304-OS00001-INA-000000</v>
      </c>
      <c r="P2597" s="6" t="str">
        <f>IFERROR(__xludf.DUMMYFUNCTION("""COMPUTED_VALUE"""),"PO Closed")</f>
        <v>PO Closed</v>
      </c>
      <c r="Q2597" s="6" t="str">
        <f>IFERROR(__xludf.DUMMYFUNCTION("""COMPUTED_VALUE"""),"GL2311019")</f>
        <v>GL2311019</v>
      </c>
      <c r="R2597" s="57">
        <f>IFERROR(__xludf.DUMMYFUNCTION("""COMPUTED_VALUE"""),45201.0)</f>
        <v>45201</v>
      </c>
      <c r="S2597" s="57">
        <f>IFERROR(__xludf.DUMMYFUNCTION("""COMPUTED_VALUE"""),45202.0)</f>
        <v>45202</v>
      </c>
      <c r="T2597" s="57">
        <f>IFERROR(__xludf.DUMMYFUNCTION("""COMPUTED_VALUE"""),45280.0)</f>
        <v>45280</v>
      </c>
    </row>
    <row r="2598">
      <c r="A2598" s="6" t="str">
        <f>IFERROR(__xludf.DUMMYFUNCTION("""COMPUTED_VALUE"""),"231750748-11")</f>
        <v>231750748-11</v>
      </c>
      <c r="B2598" s="6" t="str">
        <f>IFERROR(__xludf.DUMMYFUNCTION("""COMPUTED_VALUE"""),"231750748 - Approved")</f>
        <v>231750748 - Approved</v>
      </c>
      <c r="C2598" s="6">
        <f>IFERROR(__xludf.DUMMYFUNCTION("""COMPUTED_VALUE"""),11.0)</f>
        <v>11</v>
      </c>
      <c r="D2598" s="6" t="str">
        <f>IFERROR(__xludf.DUMMYFUNCTION("""COMPUTED_VALUE"""),"P-14455-00")</f>
        <v>P-14455-00</v>
      </c>
      <c r="E2598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2598" s="6">
        <f>IFERROR(__xludf.DUMMYFUNCTION("""COMPUTED_VALUE"""),12.0)</f>
        <v>12</v>
      </c>
      <c r="G2598" s="6" t="str">
        <f>IFERROR(__xludf.DUMMYFUNCTION("""COMPUTED_VALUE"""),"Pieces")</f>
        <v>Pieces</v>
      </c>
      <c r="H2598" s="6" t="str">
        <f>IFERROR(__xludf.DUMMYFUNCTION("""COMPUTED_VALUE"""),"IDR")</f>
        <v>IDR</v>
      </c>
      <c r="I2598" s="11">
        <f>IFERROR(__xludf.DUMMYFUNCTION("""COMPUTED_VALUE"""),100000.0)</f>
        <v>100000</v>
      </c>
      <c r="J2598" s="11">
        <f>IFERROR(__xludf.DUMMYFUNCTION("""COMPUTED_VALUE"""),1200000.0)</f>
        <v>1200000</v>
      </c>
      <c r="K2598" s="57">
        <f>IFERROR(__xludf.DUMMYFUNCTION("""COMPUTED_VALUE"""),45215.0)</f>
        <v>45215</v>
      </c>
      <c r="L2598" s="6" t="str">
        <f>IFERROR(__xludf.DUMMYFUNCTION("""COMPUTED_VALUE"""),"FIP Engineering")</f>
        <v>FIP Engineering</v>
      </c>
      <c r="M2598" s="6" t="str">
        <f>IFERROR(__xludf.DUMMYFUNCTION("""COMPUTED_VALUE"""),"Mochammad Fadhillah Hakim")</f>
        <v>Mochammad Fadhillah Hakim</v>
      </c>
      <c r="N2598" s="6" t="str">
        <f>IFERROR(__xludf.DUMMYFUNCTION("""COMPUTED_VALUE"""),"FIP Engineering")</f>
        <v>FIP Engineering</v>
      </c>
      <c r="O2598" s="6" t="str">
        <f>IFERROR(__xludf.DUMMYFUNCTION("""COMPUTED_VALUE"""),"FIP-DOM-000-11304-OS00001-INA-000000")</f>
        <v>FIP-DOM-000-11304-OS00001-INA-000000</v>
      </c>
      <c r="P2598" s="6" t="str">
        <f>IFERROR(__xludf.DUMMYFUNCTION("""COMPUTED_VALUE"""),"PO Closed")</f>
        <v>PO Closed</v>
      </c>
      <c r="Q2598" s="6" t="str">
        <f>IFERROR(__xludf.DUMMYFUNCTION("""COMPUTED_VALUE"""),"GL2311019")</f>
        <v>GL2311019</v>
      </c>
      <c r="R2598" s="57">
        <f>IFERROR(__xludf.DUMMYFUNCTION("""COMPUTED_VALUE"""),45201.0)</f>
        <v>45201</v>
      </c>
      <c r="S2598" s="57">
        <f>IFERROR(__xludf.DUMMYFUNCTION("""COMPUTED_VALUE"""),45202.0)</f>
        <v>45202</v>
      </c>
      <c r="T2598" s="57">
        <f>IFERROR(__xludf.DUMMYFUNCTION("""COMPUTED_VALUE"""),45280.0)</f>
        <v>45280</v>
      </c>
    </row>
    <row r="2599">
      <c r="A2599" s="6" t="str">
        <f>IFERROR(__xludf.DUMMYFUNCTION("""COMPUTED_VALUE"""),"231750748-12")</f>
        <v>231750748-12</v>
      </c>
      <c r="B2599" s="6" t="str">
        <f>IFERROR(__xludf.DUMMYFUNCTION("""COMPUTED_VALUE"""),"231750748 - Approved")</f>
        <v>231750748 - Approved</v>
      </c>
      <c r="C2599" s="6">
        <f>IFERROR(__xludf.DUMMYFUNCTION("""COMPUTED_VALUE"""),12.0)</f>
        <v>12</v>
      </c>
      <c r="D2599" s="6" t="str">
        <f>IFERROR(__xludf.DUMMYFUNCTION("""COMPUTED_VALUE"""),"P-14454-00")</f>
        <v>P-14454-00</v>
      </c>
      <c r="E2599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F2599" s="6">
        <f>IFERROR(__xludf.DUMMYFUNCTION("""COMPUTED_VALUE"""),10.0)</f>
        <v>10</v>
      </c>
      <c r="G2599" s="6" t="str">
        <f>IFERROR(__xludf.DUMMYFUNCTION("""COMPUTED_VALUE"""),"Pieces")</f>
        <v>Pieces</v>
      </c>
      <c r="H2599" s="6" t="str">
        <f>IFERROR(__xludf.DUMMYFUNCTION("""COMPUTED_VALUE"""),"IDR")</f>
        <v>IDR</v>
      </c>
      <c r="I2599" s="11">
        <f>IFERROR(__xludf.DUMMYFUNCTION("""COMPUTED_VALUE"""),100000.0)</f>
        <v>100000</v>
      </c>
      <c r="J2599" s="11">
        <f>IFERROR(__xludf.DUMMYFUNCTION("""COMPUTED_VALUE"""),1000000.0)</f>
        <v>1000000</v>
      </c>
      <c r="K2599" s="57">
        <f>IFERROR(__xludf.DUMMYFUNCTION("""COMPUTED_VALUE"""),45215.0)</f>
        <v>45215</v>
      </c>
      <c r="L2599" s="6" t="str">
        <f>IFERROR(__xludf.DUMMYFUNCTION("""COMPUTED_VALUE"""),"FIP Engineering")</f>
        <v>FIP Engineering</v>
      </c>
      <c r="M2599" s="6" t="str">
        <f>IFERROR(__xludf.DUMMYFUNCTION("""COMPUTED_VALUE"""),"Mochammad Fadhillah Hakim")</f>
        <v>Mochammad Fadhillah Hakim</v>
      </c>
      <c r="N2599" s="6" t="str">
        <f>IFERROR(__xludf.DUMMYFUNCTION("""COMPUTED_VALUE"""),"FIP Engineering")</f>
        <v>FIP Engineering</v>
      </c>
      <c r="O2599" s="6" t="str">
        <f>IFERROR(__xludf.DUMMYFUNCTION("""COMPUTED_VALUE"""),"FIP-DOM-000-11304-OS00001-INA-000000")</f>
        <v>FIP-DOM-000-11304-OS00001-INA-000000</v>
      </c>
      <c r="P2599" s="6" t="str">
        <f>IFERROR(__xludf.DUMMYFUNCTION("""COMPUTED_VALUE"""),"PO Closed")</f>
        <v>PO Closed</v>
      </c>
      <c r="Q2599" s="6" t="str">
        <f>IFERROR(__xludf.DUMMYFUNCTION("""COMPUTED_VALUE"""),"GL2311019")</f>
        <v>GL2311019</v>
      </c>
      <c r="R2599" s="57">
        <f>IFERROR(__xludf.DUMMYFUNCTION("""COMPUTED_VALUE"""),45201.0)</f>
        <v>45201</v>
      </c>
      <c r="S2599" s="57">
        <f>IFERROR(__xludf.DUMMYFUNCTION("""COMPUTED_VALUE"""),45202.0)</f>
        <v>45202</v>
      </c>
      <c r="T2599" s="57">
        <f>IFERROR(__xludf.DUMMYFUNCTION("""COMPUTED_VALUE"""),45280.0)</f>
        <v>45280</v>
      </c>
    </row>
    <row r="2600">
      <c r="A2600" s="6" t="str">
        <f>IFERROR(__xludf.DUMMYFUNCTION("""COMPUTED_VALUE"""),"231750748-13")</f>
        <v>231750748-13</v>
      </c>
      <c r="B2600" s="6" t="str">
        <f>IFERROR(__xludf.DUMMYFUNCTION("""COMPUTED_VALUE"""),"231750748 - Approved")</f>
        <v>231750748 - Approved</v>
      </c>
      <c r="C2600" s="6">
        <f>IFERROR(__xludf.DUMMYFUNCTION("""COMPUTED_VALUE"""),13.0)</f>
        <v>13</v>
      </c>
      <c r="D2600" s="6" t="str">
        <f>IFERROR(__xludf.DUMMYFUNCTION("""COMPUTED_VALUE"""),"P-50140-00")</f>
        <v>P-50140-00</v>
      </c>
      <c r="E2600" s="6" t="str">
        <f>IFERROR(__xludf.DUMMYFUNCTION("""COMPUTED_VALUE"""),"Battery UPS - Battery kering Merk YUASA 12V 9AH")</f>
        <v>Battery UPS - Battery kering Merk YUASA 12V 9AH</v>
      </c>
      <c r="F2600" s="6">
        <f>IFERROR(__xludf.DUMMYFUNCTION("""COMPUTED_VALUE"""),20.0)</f>
        <v>20</v>
      </c>
      <c r="G2600" s="6" t="str">
        <f>IFERROR(__xludf.DUMMYFUNCTION("""COMPUTED_VALUE"""),"Pieces")</f>
        <v>Pieces</v>
      </c>
      <c r="H2600" s="6" t="str">
        <f>IFERROR(__xludf.DUMMYFUNCTION("""COMPUTED_VALUE"""),"IDR")</f>
        <v>IDR</v>
      </c>
      <c r="I2600" s="11">
        <f>IFERROR(__xludf.DUMMYFUNCTION("""COMPUTED_VALUE"""),100000.0)</f>
        <v>100000</v>
      </c>
      <c r="J2600" s="11">
        <f>IFERROR(__xludf.DUMMYFUNCTION("""COMPUTED_VALUE"""),2000000.0)</f>
        <v>2000000</v>
      </c>
      <c r="K2600" s="57">
        <f>IFERROR(__xludf.DUMMYFUNCTION("""COMPUTED_VALUE"""),45215.0)</f>
        <v>45215</v>
      </c>
      <c r="L2600" s="6" t="str">
        <f>IFERROR(__xludf.DUMMYFUNCTION("""COMPUTED_VALUE"""),"FIP Engineering")</f>
        <v>FIP Engineering</v>
      </c>
      <c r="M2600" s="6" t="str">
        <f>IFERROR(__xludf.DUMMYFUNCTION("""COMPUTED_VALUE"""),"Mochammad Fadhillah Hakim")</f>
        <v>Mochammad Fadhillah Hakim</v>
      </c>
      <c r="N2600" s="6" t="str">
        <f>IFERROR(__xludf.DUMMYFUNCTION("""COMPUTED_VALUE"""),"FIP Engineering")</f>
        <v>FIP Engineering</v>
      </c>
      <c r="O2600" s="6" t="str">
        <f>IFERROR(__xludf.DUMMYFUNCTION("""COMPUTED_VALUE"""),"FIP-DOM-000-11304-OS00001-INA-000000")</f>
        <v>FIP-DOM-000-11304-OS00001-INA-000000</v>
      </c>
      <c r="P2600" s="6" t="str">
        <f>IFERROR(__xludf.DUMMYFUNCTION("""COMPUTED_VALUE"""),"PO Closed")</f>
        <v>PO Closed</v>
      </c>
      <c r="Q2600" s="6" t="str">
        <f>IFERROR(__xludf.DUMMYFUNCTION("""COMPUTED_VALUE"""),"GL2311028")</f>
        <v>GL2311028</v>
      </c>
      <c r="R2600" s="57">
        <f>IFERROR(__xludf.DUMMYFUNCTION("""COMPUTED_VALUE"""),45201.0)</f>
        <v>45201</v>
      </c>
      <c r="S2600" s="57">
        <f>IFERROR(__xludf.DUMMYFUNCTION("""COMPUTED_VALUE"""),45202.0)</f>
        <v>45202</v>
      </c>
      <c r="T2600" s="57">
        <f>IFERROR(__xludf.DUMMYFUNCTION("""COMPUTED_VALUE"""),45276.0)</f>
        <v>45276</v>
      </c>
    </row>
    <row r="2601">
      <c r="A2601" s="6" t="str">
        <f>IFERROR(__xludf.DUMMYFUNCTION("""COMPUTED_VALUE"""),"231750748-14")</f>
        <v>231750748-14</v>
      </c>
      <c r="B2601" s="6" t="str">
        <f>IFERROR(__xludf.DUMMYFUNCTION("""COMPUTED_VALUE"""),"231750748 - Approved")</f>
        <v>231750748 - Approved</v>
      </c>
      <c r="C2601" s="6">
        <f>IFERROR(__xludf.DUMMYFUNCTION("""COMPUTED_VALUE"""),14.0)</f>
        <v>14</v>
      </c>
      <c r="D2601" s="6" t="str">
        <f>IFERROR(__xludf.DUMMYFUNCTION("""COMPUTED_VALUE"""),"P-50781-00")</f>
        <v>P-50781-00</v>
      </c>
      <c r="E2601" s="6" t="str">
        <f>IFERROR(__xludf.DUMMYFUNCTION("""COMPUTED_VALUE"""),"Battery 12V 18AH merk LONG")</f>
        <v>Battery 12V 18AH merk LONG</v>
      </c>
      <c r="F2601" s="6">
        <f>IFERROR(__xludf.DUMMYFUNCTION("""COMPUTED_VALUE"""),3.0)</f>
        <v>3</v>
      </c>
      <c r="G2601" s="6" t="str">
        <f>IFERROR(__xludf.DUMMYFUNCTION("""COMPUTED_VALUE"""),"Pieces")</f>
        <v>Pieces</v>
      </c>
      <c r="H2601" s="6" t="str">
        <f>IFERROR(__xludf.DUMMYFUNCTION("""COMPUTED_VALUE"""),"IDR")</f>
        <v>IDR</v>
      </c>
      <c r="I2601" s="11">
        <f>IFERROR(__xludf.DUMMYFUNCTION("""COMPUTED_VALUE"""),100000.0)</f>
        <v>100000</v>
      </c>
      <c r="J2601" s="11">
        <f>IFERROR(__xludf.DUMMYFUNCTION("""COMPUTED_VALUE"""),300000.0)</f>
        <v>300000</v>
      </c>
      <c r="K2601" s="57">
        <f>IFERROR(__xludf.DUMMYFUNCTION("""COMPUTED_VALUE"""),45215.0)</f>
        <v>45215</v>
      </c>
      <c r="L2601" s="6" t="str">
        <f>IFERROR(__xludf.DUMMYFUNCTION("""COMPUTED_VALUE"""),"FIP Engineering")</f>
        <v>FIP Engineering</v>
      </c>
      <c r="M2601" s="6" t="str">
        <f>IFERROR(__xludf.DUMMYFUNCTION("""COMPUTED_VALUE"""),"Mochammad Fadhillah Hakim")</f>
        <v>Mochammad Fadhillah Hakim</v>
      </c>
      <c r="N2601" s="6" t="str">
        <f>IFERROR(__xludf.DUMMYFUNCTION("""COMPUTED_VALUE"""),"FIP Engineering")</f>
        <v>FIP Engineering</v>
      </c>
      <c r="O2601" s="6" t="str">
        <f>IFERROR(__xludf.DUMMYFUNCTION("""COMPUTED_VALUE"""),"FIP-DOM-000-11304-OS00001-INA-000000")</f>
        <v>FIP-DOM-000-11304-OS00001-INA-000000</v>
      </c>
      <c r="P2601" s="6" t="str">
        <f>IFERROR(__xludf.DUMMYFUNCTION("""COMPUTED_VALUE"""),"PO Closed")</f>
        <v>PO Closed</v>
      </c>
      <c r="Q2601" s="6" t="str">
        <f>IFERROR(__xludf.DUMMYFUNCTION("""COMPUTED_VALUE"""),"GL2311026")</f>
        <v>GL2311026</v>
      </c>
      <c r="R2601" s="57">
        <f>IFERROR(__xludf.DUMMYFUNCTION("""COMPUTED_VALUE"""),45201.0)</f>
        <v>45201</v>
      </c>
      <c r="S2601" s="57">
        <f>IFERROR(__xludf.DUMMYFUNCTION("""COMPUTED_VALUE"""),45202.0)</f>
        <v>45202</v>
      </c>
      <c r="T2601" s="57">
        <f>IFERROR(__xludf.DUMMYFUNCTION("""COMPUTED_VALUE"""),45275.0)</f>
        <v>45275</v>
      </c>
    </row>
    <row r="2602">
      <c r="A2602" s="6" t="str">
        <f>IFERROR(__xludf.DUMMYFUNCTION("""COMPUTED_VALUE"""),"231750748-15")</f>
        <v>231750748-15</v>
      </c>
      <c r="B2602" s="6" t="str">
        <f>IFERROR(__xludf.DUMMYFUNCTION("""COMPUTED_VALUE"""),"231750748 - Approved")</f>
        <v>231750748 - Approved</v>
      </c>
      <c r="C2602" s="6">
        <f>IFERROR(__xludf.DUMMYFUNCTION("""COMPUTED_VALUE"""),15.0)</f>
        <v>15</v>
      </c>
      <c r="D2602" s="6" t="str">
        <f>IFERROR(__xludf.DUMMYFUNCTION("""COMPUTED_VALUE"""),"P-18472-00")</f>
        <v>P-18472-00</v>
      </c>
      <c r="E2602" s="6" t="str">
        <f>IFERROR(__xludf.DUMMYFUNCTION("""COMPUTED_VALUE"""),"Thermostatic Steam Trap LV6-CE DN20 Stainless Steel; TLV; ;")</f>
        <v>Thermostatic Steam Trap LV6-CE DN20 Stainless Steel; TLV; ;</v>
      </c>
      <c r="F2602" s="6">
        <f>IFERROR(__xludf.DUMMYFUNCTION("""COMPUTED_VALUE"""),2.0)</f>
        <v>2</v>
      </c>
      <c r="G2602" s="6" t="str">
        <f>IFERROR(__xludf.DUMMYFUNCTION("""COMPUTED_VALUE"""),"Pieces")</f>
        <v>Pieces</v>
      </c>
      <c r="H2602" s="6" t="str">
        <f>IFERROR(__xludf.DUMMYFUNCTION("""COMPUTED_VALUE"""),"IDR")</f>
        <v>IDR</v>
      </c>
      <c r="I2602" s="11">
        <f>IFERROR(__xludf.DUMMYFUNCTION("""COMPUTED_VALUE"""),500000.0)</f>
        <v>500000</v>
      </c>
      <c r="J2602" s="11">
        <f>IFERROR(__xludf.DUMMYFUNCTION("""COMPUTED_VALUE"""),1000000.0)</f>
        <v>1000000</v>
      </c>
      <c r="K2602" s="57">
        <f>IFERROR(__xludf.DUMMYFUNCTION("""COMPUTED_VALUE"""),45215.0)</f>
        <v>45215</v>
      </c>
      <c r="L2602" s="6" t="str">
        <f>IFERROR(__xludf.DUMMYFUNCTION("""COMPUTED_VALUE"""),"FIP Engineering")</f>
        <v>FIP Engineering</v>
      </c>
      <c r="M2602" s="6" t="str">
        <f>IFERROR(__xludf.DUMMYFUNCTION("""COMPUTED_VALUE"""),"Mochammad Fadhillah Hakim")</f>
        <v>Mochammad Fadhillah Hakim</v>
      </c>
      <c r="N2602" s="6" t="str">
        <f>IFERROR(__xludf.DUMMYFUNCTION("""COMPUTED_VALUE"""),"FIP Engineering")</f>
        <v>FIP Engineering</v>
      </c>
      <c r="O2602" s="6" t="str">
        <f>IFERROR(__xludf.DUMMYFUNCTION("""COMPUTED_VALUE"""),"FIP-DOM-000-11304-OS00001-INA-000000")</f>
        <v>FIP-DOM-000-11304-OS00001-INA-000000</v>
      </c>
      <c r="P2602" s="6" t="str">
        <f>IFERROR(__xludf.DUMMYFUNCTION("""COMPUTED_VALUE"""),"PO Closed")</f>
        <v>PO Closed</v>
      </c>
      <c r="Q2602" s="6" t="str">
        <f>IFERROR(__xludf.DUMMYFUNCTION("""COMPUTED_VALUE"""),"GL2311029")</f>
        <v>GL2311029</v>
      </c>
      <c r="R2602" s="57">
        <f>IFERROR(__xludf.DUMMYFUNCTION("""COMPUTED_VALUE"""),45201.0)</f>
        <v>45201</v>
      </c>
      <c r="S2602" s="57">
        <f>IFERROR(__xludf.DUMMYFUNCTION("""COMPUTED_VALUE"""),45202.0)</f>
        <v>45202</v>
      </c>
      <c r="T2602" s="57">
        <f>IFERROR(__xludf.DUMMYFUNCTION("""COMPUTED_VALUE"""),45381.0)</f>
        <v>45381</v>
      </c>
    </row>
    <row r="2603">
      <c r="A2603" s="6" t="str">
        <f>IFERROR(__xludf.DUMMYFUNCTION("""COMPUTED_VALUE"""),"231750748-16")</f>
        <v>231750748-16</v>
      </c>
      <c r="B2603" s="6" t="str">
        <f>IFERROR(__xludf.DUMMYFUNCTION("""COMPUTED_VALUE"""),"231750748 - Approved")</f>
        <v>231750748 - Approved</v>
      </c>
      <c r="C2603" s="6">
        <f>IFERROR(__xludf.DUMMYFUNCTION("""COMPUTED_VALUE"""),16.0)</f>
        <v>16</v>
      </c>
      <c r="D2603" s="6" t="str">
        <f>IFERROR(__xludf.DUMMYFUNCTION("""COMPUTED_VALUE"""),"P-18788-00")</f>
        <v>P-18788-00</v>
      </c>
      <c r="E2603" s="6" t="str">
        <f>IFERROR(__xludf.DUMMYFUNCTION("""COMPUTED_VALUE"""),"Baut SS Hexagon SS M6x55mm + Mur; ; ;")</f>
        <v>Baut SS Hexagon SS M6x55mm + Mur; ; ;</v>
      </c>
      <c r="F2603" s="6">
        <f>IFERROR(__xludf.DUMMYFUNCTION("""COMPUTED_VALUE"""),100.0)</f>
        <v>100</v>
      </c>
      <c r="G2603" s="6" t="str">
        <f>IFERROR(__xludf.DUMMYFUNCTION("""COMPUTED_VALUE"""),"Pieces")</f>
        <v>Pieces</v>
      </c>
      <c r="H2603" s="6" t="str">
        <f>IFERROR(__xludf.DUMMYFUNCTION("""COMPUTED_VALUE"""),"IDR")</f>
        <v>IDR</v>
      </c>
      <c r="I2603" s="11">
        <f>IFERROR(__xludf.DUMMYFUNCTION("""COMPUTED_VALUE"""),3400.0)</f>
        <v>3400</v>
      </c>
      <c r="J2603" s="11">
        <f>IFERROR(__xludf.DUMMYFUNCTION("""COMPUTED_VALUE"""),340000.0)</f>
        <v>340000</v>
      </c>
      <c r="K2603" s="57">
        <f>IFERROR(__xludf.DUMMYFUNCTION("""COMPUTED_VALUE"""),45215.0)</f>
        <v>45215</v>
      </c>
      <c r="L2603" s="6" t="str">
        <f>IFERROR(__xludf.DUMMYFUNCTION("""COMPUTED_VALUE"""),"FIP Engineering")</f>
        <v>FIP Engineering</v>
      </c>
      <c r="M2603" s="6" t="str">
        <f>IFERROR(__xludf.DUMMYFUNCTION("""COMPUTED_VALUE"""),"Mochammad Fadhillah Hakim")</f>
        <v>Mochammad Fadhillah Hakim</v>
      </c>
      <c r="N2603" s="6" t="str">
        <f>IFERROR(__xludf.DUMMYFUNCTION("""COMPUTED_VALUE"""),"FIP Engineering")</f>
        <v>FIP Engineering</v>
      </c>
      <c r="O2603" s="6" t="str">
        <f>IFERROR(__xludf.DUMMYFUNCTION("""COMPUTED_VALUE"""),"FIP-DOM-000-11304-OS00001-INA-000000")</f>
        <v>FIP-DOM-000-11304-OS00001-INA-000000</v>
      </c>
      <c r="P2603" s="6" t="str">
        <f>IFERROR(__xludf.DUMMYFUNCTION("""COMPUTED_VALUE"""),"PO Closed")</f>
        <v>PO Closed</v>
      </c>
      <c r="Q2603" s="6" t="str">
        <f>IFERROR(__xludf.DUMMYFUNCTION("""COMPUTED_VALUE"""),"GL2311034")</f>
        <v>GL2311034</v>
      </c>
      <c r="R2603" s="57">
        <f>IFERROR(__xludf.DUMMYFUNCTION("""COMPUTED_VALUE"""),45201.0)</f>
        <v>45201</v>
      </c>
      <c r="S2603" s="57">
        <f>IFERROR(__xludf.DUMMYFUNCTION("""COMPUTED_VALUE"""),45202.0)</f>
        <v>45202</v>
      </c>
      <c r="T2603" s="57">
        <f>IFERROR(__xludf.DUMMYFUNCTION("""COMPUTED_VALUE"""),45265.0)</f>
        <v>45265</v>
      </c>
    </row>
    <row r="2604">
      <c r="A2604" s="6" t="str">
        <f>IFERROR(__xludf.DUMMYFUNCTION("""COMPUTED_VALUE"""),"231750758-1")</f>
        <v>231750758-1</v>
      </c>
      <c r="B2604" s="6" t="str">
        <f>IFERROR(__xludf.DUMMYFUNCTION("""COMPUTED_VALUE"""),"231750758 - Approved")</f>
        <v>231750758 - Approved</v>
      </c>
      <c r="C2604" s="6">
        <f>IFERROR(__xludf.DUMMYFUNCTION("""COMPUTED_VALUE"""),1.0)</f>
        <v>1</v>
      </c>
      <c r="D2604" s="6" t="str">
        <f>IFERROR(__xludf.DUMMYFUNCTION("""COMPUTED_VALUE"""),"T-80060-00")</f>
        <v>T-80060-00</v>
      </c>
      <c r="E2604" s="6" t="str">
        <f>IFERROR(__xludf.DUMMYFUNCTION("""COMPUTED_VALUE"""),"Box file F4 4011-01")</f>
        <v>Box file F4 4011-01</v>
      </c>
      <c r="F2604" s="6">
        <f>IFERROR(__xludf.DUMMYFUNCTION("""COMPUTED_VALUE"""),5.0)</f>
        <v>5</v>
      </c>
      <c r="G2604" s="6" t="str">
        <f>IFERROR(__xludf.DUMMYFUNCTION("""COMPUTED_VALUE"""),"Pieces")</f>
        <v>Pieces</v>
      </c>
      <c r="H2604" s="6" t="str">
        <f>IFERROR(__xludf.DUMMYFUNCTION("""COMPUTED_VALUE"""),"IDR")</f>
        <v>IDR</v>
      </c>
      <c r="I2604" s="11">
        <f>IFERROR(__xludf.DUMMYFUNCTION("""COMPUTED_VALUE"""),30952.0)</f>
        <v>30952</v>
      </c>
      <c r="J2604" s="11">
        <f>IFERROR(__xludf.DUMMYFUNCTION("""COMPUTED_VALUE"""),154760.0)</f>
        <v>154760</v>
      </c>
      <c r="K2604" s="57">
        <f>IFERROR(__xludf.DUMMYFUNCTION("""COMPUTED_VALUE"""),45216.0)</f>
        <v>45216</v>
      </c>
      <c r="L2604" s="6" t="str">
        <f>IFERROR(__xludf.DUMMYFUNCTION("""COMPUTED_VALUE"""),"FIP General")</f>
        <v>FIP General</v>
      </c>
      <c r="M2604" s="6" t="str">
        <f>IFERROR(__xludf.DUMMYFUNCTION("""COMPUTED_VALUE"""),"Mochammad Fadhillah Hakim")</f>
        <v>Mochammad Fadhillah Hakim</v>
      </c>
      <c r="N2604" s="6" t="str">
        <f>IFERROR(__xludf.DUMMYFUNCTION("""COMPUTED_VALUE"""),"FIP Engineering")</f>
        <v>FIP Engineering</v>
      </c>
      <c r="O2604" s="6" t="str">
        <f>IFERROR(__xludf.DUMMYFUNCTION("""COMPUTED_VALUE"""),"FIP-DOM-ENG-51411-0000000-INA-000000")</f>
        <v>FIP-DOM-ENG-51411-0000000-INA-000000</v>
      </c>
      <c r="P2604" s="6" t="str">
        <f>IFERROR(__xludf.DUMMYFUNCTION("""COMPUTED_VALUE"""),"PO Closed")</f>
        <v>PO Closed</v>
      </c>
      <c r="Q2604" s="6" t="str">
        <f>IFERROR(__xludf.DUMMYFUNCTION("""COMPUTED_VALUE"""),"GL2311020")</f>
        <v>GL2311020</v>
      </c>
      <c r="R2604" s="57">
        <f>IFERROR(__xludf.DUMMYFUNCTION("""COMPUTED_VALUE"""),45202.0)</f>
        <v>45202</v>
      </c>
      <c r="S2604" s="57">
        <f>IFERROR(__xludf.DUMMYFUNCTION("""COMPUTED_VALUE"""),45215.0)</f>
        <v>45215</v>
      </c>
      <c r="T2604" s="57">
        <f>IFERROR(__xludf.DUMMYFUNCTION("""COMPUTED_VALUE"""),45263.0)</f>
        <v>45263</v>
      </c>
    </row>
    <row r="2605">
      <c r="A2605" s="6" t="str">
        <f>IFERROR(__xludf.DUMMYFUNCTION("""COMPUTED_VALUE"""),"231750758-2")</f>
        <v>231750758-2</v>
      </c>
      <c r="B2605" s="6" t="str">
        <f>IFERROR(__xludf.DUMMYFUNCTION("""COMPUTED_VALUE"""),"231750758 - Approved")</f>
        <v>231750758 - Approved</v>
      </c>
      <c r="C2605" s="6">
        <f>IFERROR(__xludf.DUMMYFUNCTION("""COMPUTED_VALUE"""),2.0)</f>
        <v>2</v>
      </c>
      <c r="D2605" s="6" t="str">
        <f>IFERROR(__xludf.DUMMYFUNCTION("""COMPUTED_VALUE"""),"T-80635-00")</f>
        <v>T-80635-00</v>
      </c>
      <c r="E2605" s="6" t="str">
        <f>IFERROR(__xludf.DUMMYFUNCTION("""COMPUTED_VALUE"""),"Kertas HVS A4 70 gram")</f>
        <v>Kertas HVS A4 70 gram</v>
      </c>
      <c r="F2605" s="6">
        <f>IFERROR(__xludf.DUMMYFUNCTION("""COMPUTED_VALUE"""),10.0)</f>
        <v>10</v>
      </c>
      <c r="G2605" s="6" t="str">
        <f>IFERROR(__xludf.DUMMYFUNCTION("""COMPUTED_VALUE"""),"Rim")</f>
        <v>Rim</v>
      </c>
      <c r="H2605" s="6" t="str">
        <f>IFERROR(__xludf.DUMMYFUNCTION("""COMPUTED_VALUE"""),"IDR")</f>
        <v>IDR</v>
      </c>
      <c r="I2605" s="11">
        <f>IFERROR(__xludf.DUMMYFUNCTION("""COMPUTED_VALUE"""),35585.0)</f>
        <v>35585</v>
      </c>
      <c r="J2605" s="11">
        <f>IFERROR(__xludf.DUMMYFUNCTION("""COMPUTED_VALUE"""),355850.0)</f>
        <v>355850</v>
      </c>
      <c r="K2605" s="57">
        <f>IFERROR(__xludf.DUMMYFUNCTION("""COMPUTED_VALUE"""),45216.0)</f>
        <v>45216</v>
      </c>
      <c r="L2605" s="6" t="str">
        <f>IFERROR(__xludf.DUMMYFUNCTION("""COMPUTED_VALUE"""),"FIP General")</f>
        <v>FIP General</v>
      </c>
      <c r="M2605" s="6" t="str">
        <f>IFERROR(__xludf.DUMMYFUNCTION("""COMPUTED_VALUE"""),"Mochammad Fadhillah Hakim")</f>
        <v>Mochammad Fadhillah Hakim</v>
      </c>
      <c r="N2605" s="6" t="str">
        <f>IFERROR(__xludf.DUMMYFUNCTION("""COMPUTED_VALUE"""),"FIP Engineering")</f>
        <v>FIP Engineering</v>
      </c>
      <c r="O2605" s="6" t="str">
        <f>IFERROR(__xludf.DUMMYFUNCTION("""COMPUTED_VALUE"""),"FIP-DOM-ENG-51411-0000000-INA-000000")</f>
        <v>FIP-DOM-ENG-51411-0000000-INA-000000</v>
      </c>
      <c r="P2605" s="6" t="str">
        <f>IFERROR(__xludf.DUMMYFUNCTION("""COMPUTED_VALUE"""),"PO Closed")</f>
        <v>PO Closed</v>
      </c>
      <c r="Q2605" s="6" t="str">
        <f>IFERROR(__xludf.DUMMYFUNCTION("""COMPUTED_VALUE"""),"GL2311023")</f>
        <v>GL2311023</v>
      </c>
      <c r="R2605" s="57">
        <f>IFERROR(__xludf.DUMMYFUNCTION("""COMPUTED_VALUE"""),45202.0)</f>
        <v>45202</v>
      </c>
      <c r="S2605" s="57">
        <f>IFERROR(__xludf.DUMMYFUNCTION("""COMPUTED_VALUE"""),45215.0)</f>
        <v>45215</v>
      </c>
      <c r="T2605" s="57">
        <f>IFERROR(__xludf.DUMMYFUNCTION("""COMPUTED_VALUE"""),45253.0)</f>
        <v>45253</v>
      </c>
    </row>
    <row r="2606">
      <c r="A2606" s="6" t="str">
        <f>IFERROR(__xludf.DUMMYFUNCTION("""COMPUTED_VALUE"""),"231750758-3")</f>
        <v>231750758-3</v>
      </c>
      <c r="B2606" s="6" t="str">
        <f>IFERROR(__xludf.DUMMYFUNCTION("""COMPUTED_VALUE"""),"231750758 - Approved")</f>
        <v>231750758 - Approved</v>
      </c>
      <c r="C2606" s="6">
        <f>IFERROR(__xludf.DUMMYFUNCTION("""COMPUTED_VALUE"""),3.0)</f>
        <v>3</v>
      </c>
      <c r="D2606" s="6" t="str">
        <f>IFERROR(__xludf.DUMMYFUNCTION("""COMPUTED_VALUE"""),"T-80391-00")</f>
        <v>T-80391-00</v>
      </c>
      <c r="E2606" s="6" t="str">
        <f>IFERROR(__xludf.DUMMYFUNCTION("""COMPUTED_VALUE"""),"Post-It Kecil PRONTO warna warni")</f>
        <v>Post-It Kecil PRONTO warna warni</v>
      </c>
      <c r="F2606" s="6">
        <f>IFERROR(__xludf.DUMMYFUNCTION("""COMPUTED_VALUE"""),3.0)</f>
        <v>3</v>
      </c>
      <c r="G2606" s="6" t="str">
        <f>IFERROR(__xludf.DUMMYFUNCTION("""COMPUTED_VALUE"""),"Pieces")</f>
        <v>Pieces</v>
      </c>
      <c r="H2606" s="6" t="str">
        <f>IFERROR(__xludf.DUMMYFUNCTION("""COMPUTED_VALUE"""),"IDR")</f>
        <v>IDR</v>
      </c>
      <c r="I2606" s="11">
        <f>IFERROR(__xludf.DUMMYFUNCTION("""COMPUTED_VALUE"""),10000.0)</f>
        <v>10000</v>
      </c>
      <c r="J2606" s="11">
        <f>IFERROR(__xludf.DUMMYFUNCTION("""COMPUTED_VALUE"""),30000.0)</f>
        <v>30000</v>
      </c>
      <c r="K2606" s="57">
        <f>IFERROR(__xludf.DUMMYFUNCTION("""COMPUTED_VALUE"""),45216.0)</f>
        <v>45216</v>
      </c>
      <c r="L2606" s="6" t="str">
        <f>IFERROR(__xludf.DUMMYFUNCTION("""COMPUTED_VALUE"""),"FIP General")</f>
        <v>FIP General</v>
      </c>
      <c r="M2606" s="6" t="str">
        <f>IFERROR(__xludf.DUMMYFUNCTION("""COMPUTED_VALUE"""),"Mochammad Fadhillah Hakim")</f>
        <v>Mochammad Fadhillah Hakim</v>
      </c>
      <c r="N2606" s="6" t="str">
        <f>IFERROR(__xludf.DUMMYFUNCTION("""COMPUTED_VALUE"""),"FIP Engineering")</f>
        <v>FIP Engineering</v>
      </c>
      <c r="O2606" s="6" t="str">
        <f>IFERROR(__xludf.DUMMYFUNCTION("""COMPUTED_VALUE"""),"FIP-DOM-ENG-51411-0000000-INA-000000")</f>
        <v>FIP-DOM-ENG-51411-0000000-INA-000000</v>
      </c>
      <c r="P2606" s="6" t="str">
        <f>IFERROR(__xludf.DUMMYFUNCTION("""COMPUTED_VALUE"""),"PO Closed")</f>
        <v>PO Closed</v>
      </c>
      <c r="Q2606" s="6" t="str">
        <f>IFERROR(__xludf.DUMMYFUNCTION("""COMPUTED_VALUE"""),"GL2311021")</f>
        <v>GL2311021</v>
      </c>
      <c r="R2606" s="57">
        <f>IFERROR(__xludf.DUMMYFUNCTION("""COMPUTED_VALUE"""),45202.0)</f>
        <v>45202</v>
      </c>
      <c r="S2606" s="57">
        <f>IFERROR(__xludf.DUMMYFUNCTION("""COMPUTED_VALUE"""),45215.0)</f>
        <v>45215</v>
      </c>
      <c r="T2606" s="57">
        <f>IFERROR(__xludf.DUMMYFUNCTION("""COMPUTED_VALUE"""),45260.0)</f>
        <v>45260</v>
      </c>
    </row>
    <row r="2607">
      <c r="A2607" s="6" t="str">
        <f>IFERROR(__xludf.DUMMYFUNCTION("""COMPUTED_VALUE"""),"231750758-4")</f>
        <v>231750758-4</v>
      </c>
      <c r="B2607" s="6" t="str">
        <f>IFERROR(__xludf.DUMMYFUNCTION("""COMPUTED_VALUE"""),"231750758 - Approved")</f>
        <v>231750758 - Approved</v>
      </c>
      <c r="C2607" s="6">
        <f>IFERROR(__xludf.DUMMYFUNCTION("""COMPUTED_VALUE"""),4.0)</f>
        <v>4</v>
      </c>
      <c r="D2607" s="6" t="str">
        <f>IFERROR(__xludf.DUMMYFUNCTION("""COMPUTED_VALUE"""),"T-80387-00")</f>
        <v>T-80387-00</v>
      </c>
      <c r="E2607" s="6" t="str">
        <f>IFERROR(__xludf.DUMMYFUNCTION("""COMPUTED_VALUE"""),"Post-It 3M Yellow 653")</f>
        <v>Post-It 3M Yellow 653</v>
      </c>
      <c r="F2607" s="6">
        <f>IFERROR(__xludf.DUMMYFUNCTION("""COMPUTED_VALUE"""),4.0)</f>
        <v>4</v>
      </c>
      <c r="G2607" s="6" t="str">
        <f>IFERROR(__xludf.DUMMYFUNCTION("""COMPUTED_VALUE"""),"Pieces")</f>
        <v>Pieces</v>
      </c>
      <c r="H2607" s="6" t="str">
        <f>IFERROR(__xludf.DUMMYFUNCTION("""COMPUTED_VALUE"""),"IDR")</f>
        <v>IDR</v>
      </c>
      <c r="I2607" s="11">
        <f>IFERROR(__xludf.DUMMYFUNCTION("""COMPUTED_VALUE"""),6000.0)</f>
        <v>6000</v>
      </c>
      <c r="J2607" s="11">
        <f>IFERROR(__xludf.DUMMYFUNCTION("""COMPUTED_VALUE"""),24000.0)</f>
        <v>24000</v>
      </c>
      <c r="K2607" s="57">
        <f>IFERROR(__xludf.DUMMYFUNCTION("""COMPUTED_VALUE"""),45216.0)</f>
        <v>45216</v>
      </c>
      <c r="L2607" s="6" t="str">
        <f>IFERROR(__xludf.DUMMYFUNCTION("""COMPUTED_VALUE"""),"FIP General")</f>
        <v>FIP General</v>
      </c>
      <c r="M2607" s="6" t="str">
        <f>IFERROR(__xludf.DUMMYFUNCTION("""COMPUTED_VALUE"""),"Mochammad Fadhillah Hakim")</f>
        <v>Mochammad Fadhillah Hakim</v>
      </c>
      <c r="N2607" s="6" t="str">
        <f>IFERROR(__xludf.DUMMYFUNCTION("""COMPUTED_VALUE"""),"FIP Engineering")</f>
        <v>FIP Engineering</v>
      </c>
      <c r="O2607" s="6" t="str">
        <f>IFERROR(__xludf.DUMMYFUNCTION("""COMPUTED_VALUE"""),"FIP-DOM-ENG-51411-0000000-INA-000000")</f>
        <v>FIP-DOM-ENG-51411-0000000-INA-000000</v>
      </c>
      <c r="P2607" s="6" t="str">
        <f>IFERROR(__xludf.DUMMYFUNCTION("""COMPUTED_VALUE"""),"PO Closed")</f>
        <v>PO Closed</v>
      </c>
      <c r="Q2607" s="6" t="str">
        <f>IFERROR(__xludf.DUMMYFUNCTION("""COMPUTED_VALUE"""),"GL2311022")</f>
        <v>GL2311022</v>
      </c>
      <c r="R2607" s="57">
        <f>IFERROR(__xludf.DUMMYFUNCTION("""COMPUTED_VALUE"""),45202.0)</f>
        <v>45202</v>
      </c>
      <c r="S2607" s="57">
        <f>IFERROR(__xludf.DUMMYFUNCTION("""COMPUTED_VALUE"""),45215.0)</f>
        <v>45215</v>
      </c>
      <c r="T2607" s="57">
        <f>IFERROR(__xludf.DUMMYFUNCTION("""COMPUTED_VALUE"""),45263.0)</f>
        <v>45263</v>
      </c>
    </row>
    <row r="2608">
      <c r="A2608" s="6" t="str">
        <f>IFERROR(__xludf.DUMMYFUNCTION("""COMPUTED_VALUE"""),"231750758-5")</f>
        <v>231750758-5</v>
      </c>
      <c r="B2608" s="6" t="str">
        <f>IFERROR(__xludf.DUMMYFUNCTION("""COMPUTED_VALUE"""),"231750758 - Approved")</f>
        <v>231750758 - Approved</v>
      </c>
      <c r="C2608" s="6">
        <f>IFERROR(__xludf.DUMMYFUNCTION("""COMPUTED_VALUE"""),5.0)</f>
        <v>5</v>
      </c>
      <c r="D2608" s="6" t="str">
        <f>IFERROR(__xludf.DUMMYFUNCTION("""COMPUTED_VALUE"""),"T-80386-00")</f>
        <v>T-80386-00</v>
      </c>
      <c r="E2608" s="6" t="str">
        <f>IFERROR(__xludf.DUMMYFUNCTION("""COMPUTED_VALUE"""),"Post-It 3M sign here")</f>
        <v>Post-It 3M sign here</v>
      </c>
      <c r="F2608" s="6">
        <f>IFERROR(__xludf.DUMMYFUNCTION("""COMPUTED_VALUE"""),2.0)</f>
        <v>2</v>
      </c>
      <c r="G2608" s="6" t="str">
        <f>IFERROR(__xludf.DUMMYFUNCTION("""COMPUTED_VALUE"""),"Pieces")</f>
        <v>Pieces</v>
      </c>
      <c r="H2608" s="6" t="str">
        <f>IFERROR(__xludf.DUMMYFUNCTION("""COMPUTED_VALUE"""),"IDR")</f>
        <v>IDR</v>
      </c>
      <c r="I2608" s="11">
        <f>IFERROR(__xludf.DUMMYFUNCTION("""COMPUTED_VALUE"""),20000.0)</f>
        <v>20000</v>
      </c>
      <c r="J2608" s="11">
        <f>IFERROR(__xludf.DUMMYFUNCTION("""COMPUTED_VALUE"""),40000.0)</f>
        <v>40000</v>
      </c>
      <c r="K2608" s="57">
        <f>IFERROR(__xludf.DUMMYFUNCTION("""COMPUTED_VALUE"""),45216.0)</f>
        <v>45216</v>
      </c>
      <c r="L2608" s="6" t="str">
        <f>IFERROR(__xludf.DUMMYFUNCTION("""COMPUTED_VALUE"""),"FIP General")</f>
        <v>FIP General</v>
      </c>
      <c r="M2608" s="6" t="str">
        <f>IFERROR(__xludf.DUMMYFUNCTION("""COMPUTED_VALUE"""),"Mochammad Fadhillah Hakim")</f>
        <v>Mochammad Fadhillah Hakim</v>
      </c>
      <c r="N2608" s="6" t="str">
        <f>IFERROR(__xludf.DUMMYFUNCTION("""COMPUTED_VALUE"""),"FIP Engineering")</f>
        <v>FIP Engineering</v>
      </c>
      <c r="O2608" s="6" t="str">
        <f>IFERROR(__xludf.DUMMYFUNCTION("""COMPUTED_VALUE"""),"FIP-DOM-ENG-51411-0000000-INA-000000")</f>
        <v>FIP-DOM-ENG-51411-0000000-INA-000000</v>
      </c>
      <c r="P2608" s="6" t="str">
        <f>IFERROR(__xludf.DUMMYFUNCTION("""COMPUTED_VALUE"""),"PO Closed")</f>
        <v>PO Closed</v>
      </c>
      <c r="Q2608" s="6" t="str">
        <f>IFERROR(__xludf.DUMMYFUNCTION("""COMPUTED_VALUE"""),"GL2311021")</f>
        <v>GL2311021</v>
      </c>
      <c r="R2608" s="57">
        <f>IFERROR(__xludf.DUMMYFUNCTION("""COMPUTED_VALUE"""),45202.0)</f>
        <v>45202</v>
      </c>
      <c r="S2608" s="57">
        <f>IFERROR(__xludf.DUMMYFUNCTION("""COMPUTED_VALUE"""),45215.0)</f>
        <v>45215</v>
      </c>
      <c r="T2608" s="57">
        <f>IFERROR(__xludf.DUMMYFUNCTION("""COMPUTED_VALUE"""),45260.0)</f>
        <v>45260</v>
      </c>
    </row>
    <row r="2609">
      <c r="A2609" s="6" t="str">
        <f>IFERROR(__xludf.DUMMYFUNCTION("""COMPUTED_VALUE"""),"231750758-6")</f>
        <v>231750758-6</v>
      </c>
      <c r="B2609" s="6" t="str">
        <f>IFERROR(__xludf.DUMMYFUNCTION("""COMPUTED_VALUE"""),"231750758 - Approved")</f>
        <v>231750758 - Approved</v>
      </c>
      <c r="C2609" s="6">
        <f>IFERROR(__xludf.DUMMYFUNCTION("""COMPUTED_VALUE"""),6.0)</f>
        <v>6</v>
      </c>
      <c r="D2609" s="6" t="str">
        <f>IFERROR(__xludf.DUMMYFUNCTION("""COMPUTED_VALUE"""),"T-80376-00")</f>
        <v>T-80376-00</v>
      </c>
      <c r="E2609" s="6" t="str">
        <f>IFERROR(__xludf.DUMMYFUNCTION("""COMPUTED_VALUE"""),"Plakban Hitam 2 inch")</f>
        <v>Plakban Hitam 2 inch</v>
      </c>
      <c r="F2609" s="6">
        <f>IFERROR(__xludf.DUMMYFUNCTION("""COMPUTED_VALUE"""),5.0)</f>
        <v>5</v>
      </c>
      <c r="G2609" s="6" t="str">
        <f>IFERROR(__xludf.DUMMYFUNCTION("""COMPUTED_VALUE"""),"Roll")</f>
        <v>Roll</v>
      </c>
      <c r="H2609" s="6" t="str">
        <f>IFERROR(__xludf.DUMMYFUNCTION("""COMPUTED_VALUE"""),"IDR")</f>
        <v>IDR</v>
      </c>
      <c r="I2609" s="11">
        <f>IFERROR(__xludf.DUMMYFUNCTION("""COMPUTED_VALUE"""),16000.0)</f>
        <v>16000</v>
      </c>
      <c r="J2609" s="11">
        <f>IFERROR(__xludf.DUMMYFUNCTION("""COMPUTED_VALUE"""),80000.0)</f>
        <v>80000</v>
      </c>
      <c r="K2609" s="57">
        <f>IFERROR(__xludf.DUMMYFUNCTION("""COMPUTED_VALUE"""),45216.0)</f>
        <v>45216</v>
      </c>
      <c r="L2609" s="6" t="str">
        <f>IFERROR(__xludf.DUMMYFUNCTION("""COMPUTED_VALUE"""),"FIP General")</f>
        <v>FIP General</v>
      </c>
      <c r="M2609" s="6" t="str">
        <f>IFERROR(__xludf.DUMMYFUNCTION("""COMPUTED_VALUE"""),"Mochammad Fadhillah Hakim")</f>
        <v>Mochammad Fadhillah Hakim</v>
      </c>
      <c r="N2609" s="6" t="str">
        <f>IFERROR(__xludf.DUMMYFUNCTION("""COMPUTED_VALUE"""),"FIP Engineering")</f>
        <v>FIP Engineering</v>
      </c>
      <c r="O2609" s="6" t="str">
        <f>IFERROR(__xludf.DUMMYFUNCTION("""COMPUTED_VALUE"""),"FIP-DOM-ENG-51411-0000000-INA-000000")</f>
        <v>FIP-DOM-ENG-51411-0000000-INA-000000</v>
      </c>
      <c r="P2609" s="6" t="str">
        <f>IFERROR(__xludf.DUMMYFUNCTION("""COMPUTED_VALUE"""),"PO Closed")</f>
        <v>PO Closed</v>
      </c>
      <c r="Q2609" s="6" t="str">
        <f>IFERROR(__xludf.DUMMYFUNCTION("""COMPUTED_VALUE"""),"GL2311022")</f>
        <v>GL2311022</v>
      </c>
      <c r="R2609" s="57">
        <f>IFERROR(__xludf.DUMMYFUNCTION("""COMPUTED_VALUE"""),45202.0)</f>
        <v>45202</v>
      </c>
      <c r="S2609" s="57">
        <f>IFERROR(__xludf.DUMMYFUNCTION("""COMPUTED_VALUE"""),45215.0)</f>
        <v>45215</v>
      </c>
      <c r="T2609" s="57">
        <f>IFERROR(__xludf.DUMMYFUNCTION("""COMPUTED_VALUE"""),45263.0)</f>
        <v>45263</v>
      </c>
    </row>
    <row r="2610">
      <c r="A2610" s="6" t="str">
        <f>IFERROR(__xludf.DUMMYFUNCTION("""COMPUTED_VALUE"""),"231750758-7")</f>
        <v>231750758-7</v>
      </c>
      <c r="B2610" s="6" t="str">
        <f>IFERROR(__xludf.DUMMYFUNCTION("""COMPUTED_VALUE"""),"231750758 - Approved")</f>
        <v>231750758 - Approved</v>
      </c>
      <c r="C2610" s="6">
        <f>IFERROR(__xludf.DUMMYFUNCTION("""COMPUTED_VALUE"""),7.0)</f>
        <v>7</v>
      </c>
      <c r="D2610" s="6" t="str">
        <f>IFERROR(__xludf.DUMMYFUNCTION("""COMPUTED_VALUE"""),"T-80732-00")</f>
        <v>T-80732-00</v>
      </c>
      <c r="E2610" s="6" t="str">
        <f>IFERROR(__xludf.DUMMYFUNCTION("""COMPUTED_VALUE"""),"Plakban Lantai Merk 3M")</f>
        <v>Plakban Lantai Merk 3M</v>
      </c>
      <c r="F2610" s="6">
        <f>IFERROR(__xludf.DUMMYFUNCTION("""COMPUTED_VALUE"""),5.0)</f>
        <v>5</v>
      </c>
      <c r="G2610" s="6" t="str">
        <f>IFERROR(__xludf.DUMMYFUNCTION("""COMPUTED_VALUE"""),"Roll")</f>
        <v>Roll</v>
      </c>
      <c r="H2610" s="6" t="str">
        <f>IFERROR(__xludf.DUMMYFUNCTION("""COMPUTED_VALUE"""),"IDR")</f>
        <v>IDR</v>
      </c>
      <c r="I2610" s="11">
        <f>IFERROR(__xludf.DUMMYFUNCTION("""COMPUTED_VALUE"""),85000.0)</f>
        <v>85000</v>
      </c>
      <c r="J2610" s="11">
        <f>IFERROR(__xludf.DUMMYFUNCTION("""COMPUTED_VALUE"""),425000.0)</f>
        <v>425000</v>
      </c>
      <c r="K2610" s="57">
        <f>IFERROR(__xludf.DUMMYFUNCTION("""COMPUTED_VALUE"""),45216.0)</f>
        <v>45216</v>
      </c>
      <c r="L2610" s="6" t="str">
        <f>IFERROR(__xludf.DUMMYFUNCTION("""COMPUTED_VALUE"""),"FIP General")</f>
        <v>FIP General</v>
      </c>
      <c r="M2610" s="6" t="str">
        <f>IFERROR(__xludf.DUMMYFUNCTION("""COMPUTED_VALUE"""),"Mochammad Fadhillah Hakim")</f>
        <v>Mochammad Fadhillah Hakim</v>
      </c>
      <c r="N2610" s="6" t="str">
        <f>IFERROR(__xludf.DUMMYFUNCTION("""COMPUTED_VALUE"""),"FIP Engineering")</f>
        <v>FIP Engineering</v>
      </c>
      <c r="O2610" s="6" t="str">
        <f>IFERROR(__xludf.DUMMYFUNCTION("""COMPUTED_VALUE"""),"FIP-DOM-ENG-51411-0000000-INA-000000")</f>
        <v>FIP-DOM-ENG-51411-0000000-INA-000000</v>
      </c>
      <c r="P2610" s="6" t="str">
        <f>IFERROR(__xludf.DUMMYFUNCTION("""COMPUTED_VALUE"""),"PO Closed")</f>
        <v>PO Closed</v>
      </c>
      <c r="Q2610" s="6" t="str">
        <f>IFERROR(__xludf.DUMMYFUNCTION("""COMPUTED_VALUE"""),"GL2311021")</f>
        <v>GL2311021</v>
      </c>
      <c r="R2610" s="57">
        <f>IFERROR(__xludf.DUMMYFUNCTION("""COMPUTED_VALUE"""),45202.0)</f>
        <v>45202</v>
      </c>
      <c r="S2610" s="57">
        <f>IFERROR(__xludf.DUMMYFUNCTION("""COMPUTED_VALUE"""),45215.0)</f>
        <v>45215</v>
      </c>
      <c r="T2610" s="57">
        <f>IFERROR(__xludf.DUMMYFUNCTION("""COMPUTED_VALUE"""),45260.0)</f>
        <v>45260</v>
      </c>
    </row>
    <row r="2611">
      <c r="A2611" s="6" t="str">
        <f>IFERROR(__xludf.DUMMYFUNCTION("""COMPUTED_VALUE"""),"231750758-8")</f>
        <v>231750758-8</v>
      </c>
      <c r="B2611" s="6" t="str">
        <f>IFERROR(__xludf.DUMMYFUNCTION("""COMPUTED_VALUE"""),"231750758 - Approved")</f>
        <v>231750758 - Approved</v>
      </c>
      <c r="C2611" s="6">
        <f>IFERROR(__xludf.DUMMYFUNCTION("""COMPUTED_VALUE"""),8.0)</f>
        <v>8</v>
      </c>
      <c r="D2611" s="6" t="str">
        <f>IFERROR(__xludf.DUMMYFUNCTION("""COMPUTED_VALUE"""),"T-80686-00")</f>
        <v>T-80686-00</v>
      </c>
      <c r="E2611" s="6" t="str">
        <f>IFERROR(__xludf.DUMMYFUNCTION("""COMPUTED_VALUE"""),"Spidol OHP uk. Fine (satuan) - OPF Biru; Snowman; ; Pcs - Biru")</f>
        <v>Spidol OHP uk. Fine (satuan) - OPF Biru; Snowman; ; Pcs - Biru</v>
      </c>
      <c r="F2611" s="6">
        <f>IFERROR(__xludf.DUMMYFUNCTION("""COMPUTED_VALUE"""),2.0)</f>
        <v>2</v>
      </c>
      <c r="G2611" s="6" t="str">
        <f>IFERROR(__xludf.DUMMYFUNCTION("""COMPUTED_VALUE"""),"Pieces")</f>
        <v>Pieces</v>
      </c>
      <c r="H2611" s="6" t="str">
        <f>IFERROR(__xludf.DUMMYFUNCTION("""COMPUTED_VALUE"""),"IDR")</f>
        <v>IDR</v>
      </c>
      <c r="I2611" s="11">
        <f>IFERROR(__xludf.DUMMYFUNCTION("""COMPUTED_VALUE"""),10000.0)</f>
        <v>10000</v>
      </c>
      <c r="J2611" s="11">
        <f>IFERROR(__xludf.DUMMYFUNCTION("""COMPUTED_VALUE"""),20000.0)</f>
        <v>20000</v>
      </c>
      <c r="K2611" s="57">
        <f>IFERROR(__xludf.DUMMYFUNCTION("""COMPUTED_VALUE"""),45216.0)</f>
        <v>45216</v>
      </c>
      <c r="L2611" s="6" t="str">
        <f>IFERROR(__xludf.DUMMYFUNCTION("""COMPUTED_VALUE"""),"FIP General")</f>
        <v>FIP General</v>
      </c>
      <c r="M2611" s="6" t="str">
        <f>IFERROR(__xludf.DUMMYFUNCTION("""COMPUTED_VALUE"""),"Mochammad Fadhillah Hakim")</f>
        <v>Mochammad Fadhillah Hakim</v>
      </c>
      <c r="N2611" s="6" t="str">
        <f>IFERROR(__xludf.DUMMYFUNCTION("""COMPUTED_VALUE"""),"FIP Engineering")</f>
        <v>FIP Engineering</v>
      </c>
      <c r="O2611" s="6" t="str">
        <f>IFERROR(__xludf.DUMMYFUNCTION("""COMPUTED_VALUE"""),"FIP-DOM-ENG-51411-0000000-INA-000000")</f>
        <v>FIP-DOM-ENG-51411-0000000-INA-000000</v>
      </c>
      <c r="P2611" s="6" t="str">
        <f>IFERROR(__xludf.DUMMYFUNCTION("""COMPUTED_VALUE"""),"PO Closed")</f>
        <v>PO Closed</v>
      </c>
      <c r="Q2611" s="6" t="str">
        <f>IFERROR(__xludf.DUMMYFUNCTION("""COMPUTED_VALUE"""),"GL2311022")</f>
        <v>GL2311022</v>
      </c>
      <c r="R2611" s="57">
        <f>IFERROR(__xludf.DUMMYFUNCTION("""COMPUTED_VALUE"""),45202.0)</f>
        <v>45202</v>
      </c>
      <c r="S2611" s="57">
        <f>IFERROR(__xludf.DUMMYFUNCTION("""COMPUTED_VALUE"""),45215.0)</f>
        <v>45215</v>
      </c>
      <c r="T2611" s="57">
        <f>IFERROR(__xludf.DUMMYFUNCTION("""COMPUTED_VALUE"""),45263.0)</f>
        <v>45263</v>
      </c>
    </row>
    <row r="2612">
      <c r="A2612" s="6" t="str">
        <f>IFERROR(__xludf.DUMMYFUNCTION("""COMPUTED_VALUE"""),"231750758-9")</f>
        <v>231750758-9</v>
      </c>
      <c r="B2612" s="6" t="str">
        <f>IFERROR(__xludf.DUMMYFUNCTION("""COMPUTED_VALUE"""),"231750758 - Approved")</f>
        <v>231750758 - Approved</v>
      </c>
      <c r="C2612" s="6">
        <f>IFERROR(__xludf.DUMMYFUNCTION("""COMPUTED_VALUE"""),9.0)</f>
        <v>9</v>
      </c>
      <c r="D2612" s="6" t="str">
        <f>IFERROR(__xludf.DUMMYFUNCTION("""COMPUTED_VALUE"""),"Q-10136-00")</f>
        <v>Q-10136-00</v>
      </c>
      <c r="E2612" s="6" t="str">
        <f>IFERROR(__xludf.DUMMYFUNCTION("""COMPUTED_VALUE"""),"TOTO - Kran T23BQ13N")</f>
        <v>TOTO - Kran T23BQ13N</v>
      </c>
      <c r="F2612" s="6">
        <f>IFERROR(__xludf.DUMMYFUNCTION("""COMPUTED_VALUE"""),3.0)</f>
        <v>3</v>
      </c>
      <c r="G2612" s="6" t="str">
        <f>IFERROR(__xludf.DUMMYFUNCTION("""COMPUTED_VALUE"""),"Pieces")</f>
        <v>Pieces</v>
      </c>
      <c r="H2612" s="6" t="str">
        <f>IFERROR(__xludf.DUMMYFUNCTION("""COMPUTED_VALUE"""),"IDR")</f>
        <v>IDR</v>
      </c>
      <c r="I2612" s="11">
        <f>IFERROR(__xludf.DUMMYFUNCTION("""COMPUTED_VALUE"""),358000.0)</f>
        <v>358000</v>
      </c>
      <c r="J2612" s="11">
        <f>IFERROR(__xludf.DUMMYFUNCTION("""COMPUTED_VALUE"""),1074000.0)</f>
        <v>1074000</v>
      </c>
      <c r="K2612" s="57">
        <f>IFERROR(__xludf.DUMMYFUNCTION("""COMPUTED_VALUE"""),45216.0)</f>
        <v>45216</v>
      </c>
      <c r="L2612" s="6" t="str">
        <f>IFERROR(__xludf.DUMMYFUNCTION("""COMPUTED_VALUE"""),"FIP General")</f>
        <v>FIP General</v>
      </c>
      <c r="M2612" s="6" t="str">
        <f>IFERROR(__xludf.DUMMYFUNCTION("""COMPUTED_VALUE"""),"Mochammad Fadhillah Hakim")</f>
        <v>Mochammad Fadhillah Hakim</v>
      </c>
      <c r="N2612" s="6" t="str">
        <f>IFERROR(__xludf.DUMMYFUNCTION("""COMPUTED_VALUE"""),"FIP Engineering")</f>
        <v>FIP Engineering</v>
      </c>
      <c r="O2612" s="6" t="str">
        <f>IFERROR(__xludf.DUMMYFUNCTION("""COMPUTED_VALUE"""),"FIP-DOM-ENG-51502-0000000-INA-000000")</f>
        <v>FIP-DOM-ENG-51502-0000000-INA-000000</v>
      </c>
      <c r="P2612" s="6" t="str">
        <f>IFERROR(__xludf.DUMMYFUNCTION("""COMPUTED_VALUE"""),"PO Closed")</f>
        <v>PO Closed</v>
      </c>
      <c r="Q2612" s="6" t="str">
        <f>IFERROR(__xludf.DUMMYFUNCTION("""COMPUTED_VALUE"""),"GL2310060")</f>
        <v>GL2310060</v>
      </c>
      <c r="R2612" s="57">
        <f>IFERROR(__xludf.DUMMYFUNCTION("""COMPUTED_VALUE"""),45202.0)</f>
        <v>45202</v>
      </c>
      <c r="S2612" s="57">
        <f>IFERROR(__xludf.DUMMYFUNCTION("""COMPUTED_VALUE"""),45215.0)</f>
        <v>45215</v>
      </c>
      <c r="T2612" s="57">
        <f>IFERROR(__xludf.DUMMYFUNCTION("""COMPUTED_VALUE"""),45247.0)</f>
        <v>45247</v>
      </c>
    </row>
    <row r="2613">
      <c r="A2613" s="6" t="str">
        <f>IFERROR(__xludf.DUMMYFUNCTION("""COMPUTED_VALUE"""),"231750771-1")</f>
        <v>231750771-1</v>
      </c>
      <c r="B2613" s="6" t="str">
        <f>IFERROR(__xludf.DUMMYFUNCTION("""COMPUTED_VALUE"""),"231750771 - Approved")</f>
        <v>231750771 - Approved</v>
      </c>
      <c r="C2613" s="6">
        <f>IFERROR(__xludf.DUMMYFUNCTION("""COMPUTED_VALUE"""),1.0)</f>
        <v>1</v>
      </c>
      <c r="D2613" s="6" t="str">
        <f>IFERROR(__xludf.DUMMYFUNCTION("""COMPUTED_VALUE"""),"P-52844-00")</f>
        <v>P-52844-00</v>
      </c>
      <c r="E2613" s="6" t="str">
        <f>IFERROR(__xludf.DUMMYFUNCTION("""COMPUTED_VALUE"""),"Doshing Pump BT4B Merk Prominent; ; ;")</f>
        <v>Doshing Pump BT4B Merk Prominent; ; ;</v>
      </c>
      <c r="F2613" s="6">
        <f>IFERROR(__xludf.DUMMYFUNCTION("""COMPUTED_VALUE"""),1.0)</f>
        <v>1</v>
      </c>
      <c r="G2613" s="6" t="str">
        <f>IFERROR(__xludf.DUMMYFUNCTION("""COMPUTED_VALUE"""),"Pieces")</f>
        <v>Pieces</v>
      </c>
      <c r="H2613" s="6" t="str">
        <f>IFERROR(__xludf.DUMMYFUNCTION("""COMPUTED_VALUE"""),"IDR")</f>
        <v>IDR</v>
      </c>
      <c r="I2613" s="11">
        <f>IFERROR(__xludf.DUMMYFUNCTION("""COMPUTED_VALUE"""),1.785E7)</f>
        <v>17850000</v>
      </c>
      <c r="J2613" s="11">
        <f>IFERROR(__xludf.DUMMYFUNCTION("""COMPUTED_VALUE"""),1.785E7)</f>
        <v>17850000</v>
      </c>
      <c r="K2613" s="57">
        <f>IFERROR(__xludf.DUMMYFUNCTION("""COMPUTED_VALUE"""),45218.0)</f>
        <v>45218</v>
      </c>
      <c r="L2613" s="6" t="str">
        <f>IFERROR(__xludf.DUMMYFUNCTION("""COMPUTED_VALUE"""),"FIP Engineering")</f>
        <v>FIP Engineering</v>
      </c>
      <c r="M2613" s="6" t="str">
        <f>IFERROR(__xludf.DUMMYFUNCTION("""COMPUTED_VALUE"""),"Mochammad Fadhillah Hakim")</f>
        <v>Mochammad Fadhillah Hakim</v>
      </c>
      <c r="N2613" s="6" t="str">
        <f>IFERROR(__xludf.DUMMYFUNCTION("""COMPUTED_VALUE"""),"FIP Engineering")</f>
        <v>FIP Engineering</v>
      </c>
      <c r="O2613" s="6" t="str">
        <f>IFERROR(__xludf.DUMMYFUNCTION("""COMPUTED_VALUE"""),"FIP-DOM-000-11304-OS00001-INA-000000")</f>
        <v>FIP-DOM-000-11304-OS00001-INA-000000</v>
      </c>
      <c r="P2613" s="6" t="str">
        <f>IFERROR(__xludf.DUMMYFUNCTION("""COMPUTED_VALUE"""),"PO Closed")</f>
        <v>PO Closed</v>
      </c>
      <c r="Q2613" s="6" t="str">
        <f>IFERROR(__xludf.DUMMYFUNCTION("""COMPUTED_VALUE"""),"GL2311026")</f>
        <v>GL2311026</v>
      </c>
      <c r="R2613" s="57">
        <f>IFERROR(__xludf.DUMMYFUNCTION("""COMPUTED_VALUE"""),45204.0)</f>
        <v>45204</v>
      </c>
      <c r="S2613" s="57">
        <f>IFERROR(__xludf.DUMMYFUNCTION("""COMPUTED_VALUE"""),45205.0)</f>
        <v>45205</v>
      </c>
      <c r="T2613" s="57">
        <f>IFERROR(__xludf.DUMMYFUNCTION("""COMPUTED_VALUE"""),45275.0)</f>
        <v>45275</v>
      </c>
    </row>
    <row r="2614">
      <c r="A2614" s="6" t="str">
        <f>IFERROR(__xludf.DUMMYFUNCTION("""COMPUTED_VALUE"""),"231750772-1")</f>
        <v>231750772-1</v>
      </c>
      <c r="B2614" s="6" t="str">
        <f>IFERROR(__xludf.DUMMYFUNCTION("""COMPUTED_VALUE"""),"231750772 - Approved")</f>
        <v>231750772 - Approved</v>
      </c>
      <c r="C2614" s="6">
        <f>IFERROR(__xludf.DUMMYFUNCTION("""COMPUTED_VALUE"""),1.0)</f>
        <v>1</v>
      </c>
      <c r="D2614" s="6" t="str">
        <f>IFERROR(__xludf.DUMMYFUNCTION("""COMPUTED_VALUE"""),"O-19339-00")</f>
        <v>O-19339-00</v>
      </c>
      <c r="E2614" s="6" t="str">
        <f>IFERROR(__xludf.DUMMYFUNCTION("""COMPUTED_VALUE"""),"Oring 2,5x6x11 mm, Material EPDM; ; ;")</f>
        <v>Oring 2,5x6x11 mm, Material EPDM; ; ;</v>
      </c>
      <c r="F2614" s="6">
        <f>IFERROR(__xludf.DUMMYFUNCTION("""COMPUTED_VALUE"""),20.0)</f>
        <v>20</v>
      </c>
      <c r="G2614" s="6" t="str">
        <f>IFERROR(__xludf.DUMMYFUNCTION("""COMPUTED_VALUE"""),"Pieces")</f>
        <v>Pieces</v>
      </c>
      <c r="H2614" s="6" t="str">
        <f>IFERROR(__xludf.DUMMYFUNCTION("""COMPUTED_VALUE"""),"IDR")</f>
        <v>IDR</v>
      </c>
      <c r="I2614" s="11">
        <f>IFERROR(__xludf.DUMMYFUNCTION("""COMPUTED_VALUE"""),25000.0)</f>
        <v>25000</v>
      </c>
      <c r="J2614" s="11">
        <f>IFERROR(__xludf.DUMMYFUNCTION("""COMPUTED_VALUE"""),500000.0)</f>
        <v>500000</v>
      </c>
      <c r="K2614" s="57">
        <f>IFERROR(__xludf.DUMMYFUNCTION("""COMPUTED_VALUE"""),45218.0)</f>
        <v>45218</v>
      </c>
      <c r="L2614" s="6" t="str">
        <f>IFERROR(__xludf.DUMMYFUNCTION("""COMPUTED_VALUE"""),"FIP Engineering")</f>
        <v>FIP Engineering</v>
      </c>
      <c r="M2614" s="6" t="str">
        <f>IFERROR(__xludf.DUMMYFUNCTION("""COMPUTED_VALUE"""),"Mochammad Fadhillah Hakim")</f>
        <v>Mochammad Fadhillah Hakim</v>
      </c>
      <c r="N2614" s="6" t="str">
        <f>IFERROR(__xludf.DUMMYFUNCTION("""COMPUTED_VALUE"""),"FIP Engineering")</f>
        <v>FIP Engineering</v>
      </c>
      <c r="O2614" s="6" t="str">
        <f>IFERROR(__xludf.DUMMYFUNCTION("""COMPUTED_VALUE"""),"FIP-DOM-000-11304-OS00001-INA-000000")</f>
        <v>FIP-DOM-000-11304-OS00001-INA-000000</v>
      </c>
      <c r="P2614" s="6" t="str">
        <f>IFERROR(__xludf.DUMMYFUNCTION("""COMPUTED_VALUE"""),"PO Closed")</f>
        <v>PO Closed</v>
      </c>
      <c r="Q2614" s="6" t="str">
        <f>IFERROR(__xludf.DUMMYFUNCTION("""COMPUTED_VALUE"""),"GL2311030")</f>
        <v>GL2311030</v>
      </c>
      <c r="R2614" s="57">
        <f>IFERROR(__xludf.DUMMYFUNCTION("""COMPUTED_VALUE"""),45204.0)</f>
        <v>45204</v>
      </c>
      <c r="S2614" s="57">
        <f>IFERROR(__xludf.DUMMYFUNCTION("""COMPUTED_VALUE"""),45205.0)</f>
        <v>45205</v>
      </c>
      <c r="T2614" s="57">
        <f>IFERROR(__xludf.DUMMYFUNCTION("""COMPUTED_VALUE"""),45262.0)</f>
        <v>45262</v>
      </c>
    </row>
    <row r="2615">
      <c r="A2615" s="6" t="str">
        <f>IFERROR(__xludf.DUMMYFUNCTION("""COMPUTED_VALUE"""),"231750776-1")</f>
        <v>231750776-1</v>
      </c>
      <c r="B2615" s="6" t="str">
        <f>IFERROR(__xludf.DUMMYFUNCTION("""COMPUTED_VALUE"""),"231750776 - Approved")</f>
        <v>231750776 - Approved</v>
      </c>
      <c r="C2615" s="6">
        <f>IFERROR(__xludf.DUMMYFUNCTION("""COMPUTED_VALUE"""),1.0)</f>
        <v>1</v>
      </c>
      <c r="D2615" s="6" t="str">
        <f>IFERROR(__xludf.DUMMYFUNCTION("""COMPUTED_VALUE"""),"O-17995-00")</f>
        <v>O-17995-00</v>
      </c>
      <c r="E2615" s="6" t="str">
        <f>IFERROR(__xludf.DUMMYFUNCTION("""COMPUTED_VALUE"""),"Freeze Dryer MBE1207 - Slot Door Vacuum Gasket dia.12.7 P/N : EB41-00517; ; ;")</f>
        <v>Freeze Dryer MBE1207 - Slot Door Vacuum Gasket dia.12.7 P/N : EB41-00517; ; ;</v>
      </c>
      <c r="F2615" s="6">
        <f>IFERROR(__xludf.DUMMYFUNCTION("""COMPUTED_VALUE"""),4.0)</f>
        <v>4</v>
      </c>
      <c r="G2615" s="6" t="str">
        <f>IFERROR(__xludf.DUMMYFUNCTION("""COMPUTED_VALUE"""),"Meter")</f>
        <v>Meter</v>
      </c>
      <c r="H2615" s="6" t="str">
        <f>IFERROR(__xludf.DUMMYFUNCTION("""COMPUTED_VALUE"""),"IDR")</f>
        <v>IDR</v>
      </c>
      <c r="I2615" s="11">
        <f>IFERROR(__xludf.DUMMYFUNCTION("""COMPUTED_VALUE"""),438977.88)</f>
        <v>438977.88</v>
      </c>
      <c r="J2615" s="11">
        <f>IFERROR(__xludf.DUMMYFUNCTION("""COMPUTED_VALUE"""),1755911.52)</f>
        <v>1755911.52</v>
      </c>
      <c r="K2615" s="57">
        <f>IFERROR(__xludf.DUMMYFUNCTION("""COMPUTED_VALUE"""),45265.0)</f>
        <v>45265</v>
      </c>
      <c r="L2615" s="6" t="str">
        <f>IFERROR(__xludf.DUMMYFUNCTION("""COMPUTED_VALUE"""),"FIP Engineering")</f>
        <v>FIP Engineering</v>
      </c>
      <c r="M2615" s="6" t="str">
        <f>IFERROR(__xludf.DUMMYFUNCTION("""COMPUTED_VALUE"""),"Irwan Sopian")</f>
        <v>Irwan Sopian</v>
      </c>
      <c r="N2615" s="6" t="str">
        <f>IFERROR(__xludf.DUMMYFUNCTION("""COMPUTED_VALUE"""),"FIP Engineering")</f>
        <v>FIP Engineering</v>
      </c>
      <c r="O2615" s="6" t="str">
        <f>IFERROR(__xludf.DUMMYFUNCTION("""COMPUTED_VALUE"""),"FIP-DOM-000-11304-OS00001-INA-000000")</f>
        <v>FIP-DOM-000-11304-OS00001-INA-000000</v>
      </c>
      <c r="P2615" s="6" t="str">
        <f>IFERROR(__xludf.DUMMYFUNCTION("""COMPUTED_VALUE"""),"PO Closed")</f>
        <v>PO Closed</v>
      </c>
      <c r="Q2615" s="6" t="str">
        <f>IFERROR(__xludf.DUMMYFUNCTION("""COMPUTED_VALUE"""),"GL2311017")</f>
        <v>GL2311017</v>
      </c>
      <c r="R2615" s="57">
        <f>IFERROR(__xludf.DUMMYFUNCTION("""COMPUTED_VALUE"""),45205.0)</f>
        <v>45205</v>
      </c>
      <c r="S2615" s="57">
        <f>IFERROR(__xludf.DUMMYFUNCTION("""COMPUTED_VALUE"""),45212.0)</f>
        <v>45212</v>
      </c>
      <c r="T2615" s="57">
        <f>IFERROR(__xludf.DUMMYFUNCTION("""COMPUTED_VALUE"""),45342.0)</f>
        <v>45342</v>
      </c>
    </row>
    <row r="2616">
      <c r="A2616" s="6" t="str">
        <f>IFERROR(__xludf.DUMMYFUNCTION("""COMPUTED_VALUE"""),"231750776-2")</f>
        <v>231750776-2</v>
      </c>
      <c r="B2616" s="6" t="str">
        <f>IFERROR(__xludf.DUMMYFUNCTION("""COMPUTED_VALUE"""),"231750776 - Approved")</f>
        <v>231750776 - Approved</v>
      </c>
      <c r="C2616" s="6">
        <f>IFERROR(__xludf.DUMMYFUNCTION("""COMPUTED_VALUE"""),2.0)</f>
        <v>2</v>
      </c>
      <c r="D2616" s="6" t="str">
        <f>IFERROR(__xludf.DUMMYFUNCTION("""COMPUTED_VALUE"""),"O-17998-00")</f>
        <v>O-17998-00</v>
      </c>
      <c r="E2616" s="6" t="str">
        <f>IFERROR(__xludf.DUMMYFUNCTION("""COMPUTED_VALUE"""),"Freeze Dryer MBE1207 - Main Door Gasket P/N : EB41-00568; ; ;")</f>
        <v>Freeze Dryer MBE1207 - Main Door Gasket P/N : EB41-00568; ; ;</v>
      </c>
      <c r="F2616" s="6">
        <f>IFERROR(__xludf.DUMMYFUNCTION("""COMPUTED_VALUE"""),8.0)</f>
        <v>8</v>
      </c>
      <c r="G2616" s="6" t="str">
        <f>IFERROR(__xludf.DUMMYFUNCTION("""COMPUTED_VALUE"""),"Meter")</f>
        <v>Meter</v>
      </c>
      <c r="H2616" s="6" t="str">
        <f>IFERROR(__xludf.DUMMYFUNCTION("""COMPUTED_VALUE"""),"IDR")</f>
        <v>IDR</v>
      </c>
      <c r="I2616" s="11">
        <f>IFERROR(__xludf.DUMMYFUNCTION("""COMPUTED_VALUE"""),1123846.68)</f>
        <v>1123846.68</v>
      </c>
      <c r="J2616" s="11">
        <f>IFERROR(__xludf.DUMMYFUNCTION("""COMPUTED_VALUE"""),8990773.44)</f>
        <v>8990773.44</v>
      </c>
      <c r="K2616" s="57">
        <f>IFERROR(__xludf.DUMMYFUNCTION("""COMPUTED_VALUE"""),45265.0)</f>
        <v>45265</v>
      </c>
      <c r="L2616" s="6" t="str">
        <f>IFERROR(__xludf.DUMMYFUNCTION("""COMPUTED_VALUE"""),"FIP Engineering")</f>
        <v>FIP Engineering</v>
      </c>
      <c r="M2616" s="6" t="str">
        <f>IFERROR(__xludf.DUMMYFUNCTION("""COMPUTED_VALUE"""),"Irwan Sopian")</f>
        <v>Irwan Sopian</v>
      </c>
      <c r="N2616" s="6" t="str">
        <f>IFERROR(__xludf.DUMMYFUNCTION("""COMPUTED_VALUE"""),"FIP Engineering")</f>
        <v>FIP Engineering</v>
      </c>
      <c r="O2616" s="6" t="str">
        <f>IFERROR(__xludf.DUMMYFUNCTION("""COMPUTED_VALUE"""),"FIP-DOM-000-11304-OS00001-INA-000000")</f>
        <v>FIP-DOM-000-11304-OS00001-INA-000000</v>
      </c>
      <c r="P2616" s="6" t="str">
        <f>IFERROR(__xludf.DUMMYFUNCTION("""COMPUTED_VALUE"""),"PO Closed")</f>
        <v>PO Closed</v>
      </c>
      <c r="Q2616" s="6" t="str">
        <f>IFERROR(__xludf.DUMMYFUNCTION("""COMPUTED_VALUE"""),"GL2311017")</f>
        <v>GL2311017</v>
      </c>
      <c r="R2616" s="57">
        <f>IFERROR(__xludf.DUMMYFUNCTION("""COMPUTED_VALUE"""),45205.0)</f>
        <v>45205</v>
      </c>
      <c r="S2616" s="57">
        <f>IFERROR(__xludf.DUMMYFUNCTION("""COMPUTED_VALUE"""),45212.0)</f>
        <v>45212</v>
      </c>
      <c r="T2616" s="57">
        <f>IFERROR(__xludf.DUMMYFUNCTION("""COMPUTED_VALUE"""),45342.0)</f>
        <v>45342</v>
      </c>
    </row>
    <row r="2617">
      <c r="A2617" s="6" t="str">
        <f>IFERROR(__xludf.DUMMYFUNCTION("""COMPUTED_VALUE"""),"231750776-3")</f>
        <v>231750776-3</v>
      </c>
      <c r="B2617" s="6" t="str">
        <f>IFERROR(__xludf.DUMMYFUNCTION("""COMPUTED_VALUE"""),"231750776 - Approved")</f>
        <v>231750776 - Approved</v>
      </c>
      <c r="C2617" s="6">
        <f>IFERROR(__xludf.DUMMYFUNCTION("""COMPUTED_VALUE"""),3.0)</f>
        <v>3</v>
      </c>
      <c r="D2617" s="6" t="str">
        <f>IFERROR(__xludf.DUMMYFUNCTION("""COMPUTED_VALUE"""),"O-17997-00")</f>
        <v>O-17997-00</v>
      </c>
      <c r="E2617" s="6" t="str">
        <f>IFERROR(__xludf.DUMMYFUNCTION("""COMPUTED_VALUE"""),"Freeze Dryer MBE1207 - Mushroom Seal P/N : EBSF0005AR0; ; ;")</f>
        <v>Freeze Dryer MBE1207 - Mushroom Seal P/N : EBSF0005AR0; ; ;</v>
      </c>
      <c r="F2617" s="6">
        <f>IFERROR(__xludf.DUMMYFUNCTION("""COMPUTED_VALUE"""),3.0)</f>
        <v>3</v>
      </c>
      <c r="G2617" s="6" t="str">
        <f>IFERROR(__xludf.DUMMYFUNCTION("""COMPUTED_VALUE"""),"Meter")</f>
        <v>Meter</v>
      </c>
      <c r="H2617" s="6" t="str">
        <f>IFERROR(__xludf.DUMMYFUNCTION("""COMPUTED_VALUE"""),"IDR")</f>
        <v>IDR</v>
      </c>
      <c r="I2617" s="11">
        <f>IFERROR(__xludf.DUMMYFUNCTION("""COMPUTED_VALUE"""),386317.8)</f>
        <v>386317.8</v>
      </c>
      <c r="J2617" s="11">
        <f>IFERROR(__xludf.DUMMYFUNCTION("""COMPUTED_VALUE"""),1158953.4)</f>
        <v>1158953.4</v>
      </c>
      <c r="K2617" s="57">
        <f>IFERROR(__xludf.DUMMYFUNCTION("""COMPUTED_VALUE"""),45265.0)</f>
        <v>45265</v>
      </c>
      <c r="L2617" s="6" t="str">
        <f>IFERROR(__xludf.DUMMYFUNCTION("""COMPUTED_VALUE"""),"FIP Engineering")</f>
        <v>FIP Engineering</v>
      </c>
      <c r="M2617" s="6" t="str">
        <f>IFERROR(__xludf.DUMMYFUNCTION("""COMPUTED_VALUE"""),"Irwan Sopian")</f>
        <v>Irwan Sopian</v>
      </c>
      <c r="N2617" s="6" t="str">
        <f>IFERROR(__xludf.DUMMYFUNCTION("""COMPUTED_VALUE"""),"FIP Engineering")</f>
        <v>FIP Engineering</v>
      </c>
      <c r="O2617" s="6" t="str">
        <f>IFERROR(__xludf.DUMMYFUNCTION("""COMPUTED_VALUE"""),"FIP-DOM-000-11304-OS00001-INA-000000")</f>
        <v>FIP-DOM-000-11304-OS00001-INA-000000</v>
      </c>
      <c r="P2617" s="6" t="str">
        <f>IFERROR(__xludf.DUMMYFUNCTION("""COMPUTED_VALUE"""),"PO Closed")</f>
        <v>PO Closed</v>
      </c>
      <c r="Q2617" s="6" t="str">
        <f>IFERROR(__xludf.DUMMYFUNCTION("""COMPUTED_VALUE"""),"GL2311017")</f>
        <v>GL2311017</v>
      </c>
      <c r="R2617" s="57">
        <f>IFERROR(__xludf.DUMMYFUNCTION("""COMPUTED_VALUE"""),45205.0)</f>
        <v>45205</v>
      </c>
      <c r="S2617" s="57">
        <f>IFERROR(__xludf.DUMMYFUNCTION("""COMPUTED_VALUE"""),45212.0)</f>
        <v>45212</v>
      </c>
      <c r="T2617" s="57">
        <f>IFERROR(__xludf.DUMMYFUNCTION("""COMPUTED_VALUE"""),45342.0)</f>
        <v>45342</v>
      </c>
    </row>
    <row r="2618">
      <c r="A2618" s="6" t="str">
        <f>IFERROR(__xludf.DUMMYFUNCTION("""COMPUTED_VALUE"""),"231750776-4")</f>
        <v>231750776-4</v>
      </c>
      <c r="B2618" s="6" t="str">
        <f>IFERROR(__xludf.DUMMYFUNCTION("""COMPUTED_VALUE"""),"231750776 - Approved")</f>
        <v>231750776 - Approved</v>
      </c>
      <c r="C2618" s="6">
        <f>IFERROR(__xludf.DUMMYFUNCTION("""COMPUTED_VALUE"""),4.0)</f>
        <v>4</v>
      </c>
      <c r="D2618" s="6" t="str">
        <f>IFERROR(__xludf.DUMMYFUNCTION("""COMPUTED_VALUE"""),"O-17996-00")</f>
        <v>O-17996-00</v>
      </c>
      <c r="E2618" s="6" t="str">
        <f>IFERROR(__xludf.DUMMYFUNCTION("""COMPUTED_VALUE"""),"Freeze Dryer MBE1207 - Slot Door Pressure Gasket P/N : EDF01-02008; ; ;")</f>
        <v>Freeze Dryer MBE1207 - Slot Door Pressure Gasket P/N : EDF01-02008; ; ;</v>
      </c>
      <c r="F2618" s="6">
        <f>IFERROR(__xludf.DUMMYFUNCTION("""COMPUTED_VALUE"""),1.0)</f>
        <v>1</v>
      </c>
      <c r="G2618" s="6" t="str">
        <f>IFERROR(__xludf.DUMMYFUNCTION("""COMPUTED_VALUE"""),"Unit")</f>
        <v>Unit</v>
      </c>
      <c r="H2618" s="6" t="str">
        <f>IFERROR(__xludf.DUMMYFUNCTION("""COMPUTED_VALUE"""),"IDR")</f>
        <v>IDR</v>
      </c>
      <c r="I2618" s="11">
        <f>IFERROR(__xludf.DUMMYFUNCTION("""COMPUTED_VALUE"""),2001226.92)</f>
        <v>2001226.92</v>
      </c>
      <c r="J2618" s="11">
        <f>IFERROR(__xludf.DUMMYFUNCTION("""COMPUTED_VALUE"""),2001226.92)</f>
        <v>2001226.92</v>
      </c>
      <c r="K2618" s="57">
        <f>IFERROR(__xludf.DUMMYFUNCTION("""COMPUTED_VALUE"""),45219.0)</f>
        <v>45219</v>
      </c>
      <c r="L2618" s="6" t="str">
        <f>IFERROR(__xludf.DUMMYFUNCTION("""COMPUTED_VALUE"""),"FIP Engineering")</f>
        <v>FIP Engineering</v>
      </c>
      <c r="M2618" s="6" t="str">
        <f>IFERROR(__xludf.DUMMYFUNCTION("""COMPUTED_VALUE"""),"Irwan Sopian")</f>
        <v>Irwan Sopian</v>
      </c>
      <c r="N2618" s="6" t="str">
        <f>IFERROR(__xludf.DUMMYFUNCTION("""COMPUTED_VALUE"""),"FIP Engineering")</f>
        <v>FIP Engineering</v>
      </c>
      <c r="O2618" s="6" t="str">
        <f>IFERROR(__xludf.DUMMYFUNCTION("""COMPUTED_VALUE"""),"FIP-DOM-000-11304-OS00001-INA-000000")</f>
        <v>FIP-DOM-000-11304-OS00001-INA-000000</v>
      </c>
      <c r="P2618" s="6" t="str">
        <f>IFERROR(__xludf.DUMMYFUNCTION("""COMPUTED_VALUE"""),"PO Closed")</f>
        <v>PO Closed</v>
      </c>
      <c r="Q2618" s="6" t="str">
        <f>IFERROR(__xludf.DUMMYFUNCTION("""COMPUTED_VALUE"""),"GL2311017")</f>
        <v>GL2311017</v>
      </c>
      <c r="R2618" s="57">
        <f>IFERROR(__xludf.DUMMYFUNCTION("""COMPUTED_VALUE"""),45205.0)</f>
        <v>45205</v>
      </c>
      <c r="S2618" s="57">
        <f>IFERROR(__xludf.DUMMYFUNCTION("""COMPUTED_VALUE"""),45212.0)</f>
        <v>45212</v>
      </c>
      <c r="T2618" s="57">
        <f>IFERROR(__xludf.DUMMYFUNCTION("""COMPUTED_VALUE"""),45342.0)</f>
        <v>45342</v>
      </c>
    </row>
    <row r="2619">
      <c r="A2619" s="6" t="str">
        <f>IFERROR(__xludf.DUMMYFUNCTION("""COMPUTED_VALUE"""),"231750777-1")</f>
        <v>231750777-1</v>
      </c>
      <c r="B2619" s="6" t="str">
        <f>IFERROR(__xludf.DUMMYFUNCTION("""COMPUTED_VALUE"""),"231750777 - Approved")</f>
        <v>231750777 - Approved</v>
      </c>
      <c r="C2619" s="6">
        <f>IFERROR(__xludf.DUMMYFUNCTION("""COMPUTED_VALUE"""),1.0)</f>
        <v>1</v>
      </c>
      <c r="D2619" s="6" t="str">
        <f>IFERROR(__xludf.DUMMYFUNCTION("""COMPUTED_VALUE"""),"O-51942-00")</f>
        <v>O-51942-00</v>
      </c>
      <c r="E2619" s="6" t="str">
        <f>IFERROR(__xludf.DUMMYFUNCTION("""COMPUTED_VALUE"""),"Inverter Sinamics 1,1 kw 6SL3224-0BE21-1UA0; Siemens; ;")</f>
        <v>Inverter Sinamics 1,1 kw 6SL3224-0BE21-1UA0; Siemens; ;</v>
      </c>
      <c r="F2619" s="6">
        <f>IFERROR(__xludf.DUMMYFUNCTION("""COMPUTED_VALUE"""),1.0)</f>
        <v>1</v>
      </c>
      <c r="G2619" s="6" t="str">
        <f>IFERROR(__xludf.DUMMYFUNCTION("""COMPUTED_VALUE"""),"Pieces")</f>
        <v>Pieces</v>
      </c>
      <c r="H2619" s="6" t="str">
        <f>IFERROR(__xludf.DUMMYFUNCTION("""COMPUTED_VALUE"""),"IDR")</f>
        <v>IDR</v>
      </c>
      <c r="I2619" s="11">
        <f>IFERROR(__xludf.DUMMYFUNCTION("""COMPUTED_VALUE"""),100000.0)</f>
        <v>100000</v>
      </c>
      <c r="J2619" s="11">
        <f>IFERROR(__xludf.DUMMYFUNCTION("""COMPUTED_VALUE"""),100000.0)</f>
        <v>100000</v>
      </c>
      <c r="K2619" s="57">
        <f>IFERROR(__xludf.DUMMYFUNCTION("""COMPUTED_VALUE"""),45222.0)</f>
        <v>45222</v>
      </c>
      <c r="L2619" s="6" t="str">
        <f>IFERROR(__xludf.DUMMYFUNCTION("""COMPUTED_VALUE"""),"FIP Engineering")</f>
        <v>FIP Engineering</v>
      </c>
      <c r="M2619" s="6" t="str">
        <f>IFERROR(__xludf.DUMMYFUNCTION("""COMPUTED_VALUE"""),"Mochammad Fadhillah Hakim")</f>
        <v>Mochammad Fadhillah Hakim</v>
      </c>
      <c r="N2619" s="6" t="str">
        <f>IFERROR(__xludf.DUMMYFUNCTION("""COMPUTED_VALUE"""),"FIP Engineering")</f>
        <v>FIP Engineering</v>
      </c>
      <c r="O2619" s="6" t="str">
        <f>IFERROR(__xludf.DUMMYFUNCTION("""COMPUTED_VALUE"""),"FIP-DOM-000-11304-OS00001-INA-000000")</f>
        <v>FIP-DOM-000-11304-OS00001-INA-000000</v>
      </c>
      <c r="P2619" s="6" t="str">
        <f>IFERROR(__xludf.DUMMYFUNCTION("""COMPUTED_VALUE"""),"PO Closed")</f>
        <v>PO Closed</v>
      </c>
      <c r="Q2619" s="6" t="str">
        <f>IFERROR(__xludf.DUMMYFUNCTION("""COMPUTED_VALUE"""),"GL2311044")</f>
        <v>GL2311044</v>
      </c>
      <c r="R2619" s="57">
        <f>IFERROR(__xludf.DUMMYFUNCTION("""COMPUTED_VALUE"""),45208.0)</f>
        <v>45208</v>
      </c>
      <c r="S2619" s="57">
        <f>IFERROR(__xludf.DUMMYFUNCTION("""COMPUTED_VALUE"""),45209.0)</f>
        <v>45209</v>
      </c>
      <c r="T2619" s="57">
        <f>IFERROR(__xludf.DUMMYFUNCTION("""COMPUTED_VALUE"""),45285.0)</f>
        <v>45285</v>
      </c>
    </row>
    <row r="2620">
      <c r="A2620" s="6" t="str">
        <f>IFERROR(__xludf.DUMMYFUNCTION("""COMPUTED_VALUE"""),"231750777-2")</f>
        <v>231750777-2</v>
      </c>
      <c r="B2620" s="6" t="str">
        <f>IFERROR(__xludf.DUMMYFUNCTION("""COMPUTED_VALUE"""),"231750777 - Approved")</f>
        <v>231750777 - Approved</v>
      </c>
      <c r="C2620" s="6">
        <f>IFERROR(__xludf.DUMMYFUNCTION("""COMPUTED_VALUE"""),2.0)</f>
        <v>2</v>
      </c>
      <c r="D2620" s="6" t="str">
        <f>IFERROR(__xludf.DUMMYFUNCTION("""COMPUTED_VALUE"""),"O-52820-00")</f>
        <v>O-52820-00</v>
      </c>
      <c r="E2620" s="6" t="str">
        <f>IFERROR(__xludf.DUMMYFUNCTION("""COMPUTED_VALUE"""),"Basic Operation Panel SINAMICS G120 6SL3255-0AA00-4CA1; Siemens; ;")</f>
        <v>Basic Operation Panel SINAMICS G120 6SL3255-0AA00-4CA1; Siemens; ;</v>
      </c>
      <c r="F2620" s="6">
        <f>IFERROR(__xludf.DUMMYFUNCTION("""COMPUTED_VALUE"""),7.0)</f>
        <v>7</v>
      </c>
      <c r="G2620" s="6" t="str">
        <f>IFERROR(__xludf.DUMMYFUNCTION("""COMPUTED_VALUE"""),"Pieces")</f>
        <v>Pieces</v>
      </c>
      <c r="H2620" s="6" t="str">
        <f>IFERROR(__xludf.DUMMYFUNCTION("""COMPUTED_VALUE"""),"IDR")</f>
        <v>IDR</v>
      </c>
      <c r="I2620" s="11">
        <f>IFERROR(__xludf.DUMMYFUNCTION("""COMPUTED_VALUE"""),35000.0)</f>
        <v>35000</v>
      </c>
      <c r="J2620" s="11">
        <f>IFERROR(__xludf.DUMMYFUNCTION("""COMPUTED_VALUE"""),245000.0)</f>
        <v>245000</v>
      </c>
      <c r="K2620" s="57">
        <f>IFERROR(__xludf.DUMMYFUNCTION("""COMPUTED_VALUE"""),45222.0)</f>
        <v>45222</v>
      </c>
      <c r="L2620" s="6" t="str">
        <f>IFERROR(__xludf.DUMMYFUNCTION("""COMPUTED_VALUE"""),"FIP Engineering")</f>
        <v>FIP Engineering</v>
      </c>
      <c r="M2620" s="6" t="str">
        <f>IFERROR(__xludf.DUMMYFUNCTION("""COMPUTED_VALUE"""),"Mochammad Fadhillah Hakim")</f>
        <v>Mochammad Fadhillah Hakim</v>
      </c>
      <c r="N2620" s="6" t="str">
        <f>IFERROR(__xludf.DUMMYFUNCTION("""COMPUTED_VALUE"""),"FIP Engineering")</f>
        <v>FIP Engineering</v>
      </c>
      <c r="O2620" s="6" t="str">
        <f>IFERROR(__xludf.DUMMYFUNCTION("""COMPUTED_VALUE"""),"FIP-DOM-000-11304-OS00001-INA-000000")</f>
        <v>FIP-DOM-000-11304-OS00001-INA-000000</v>
      </c>
      <c r="P2620" s="6" t="str">
        <f>IFERROR(__xludf.DUMMYFUNCTION("""COMPUTED_VALUE"""),"PO Closed")</f>
        <v>PO Closed</v>
      </c>
      <c r="Q2620" s="6" t="str">
        <f>IFERROR(__xludf.DUMMYFUNCTION("""COMPUTED_VALUE"""),"GL2311044")</f>
        <v>GL2311044</v>
      </c>
      <c r="R2620" s="57">
        <f>IFERROR(__xludf.DUMMYFUNCTION("""COMPUTED_VALUE"""),45208.0)</f>
        <v>45208</v>
      </c>
      <c r="S2620" s="57">
        <f>IFERROR(__xludf.DUMMYFUNCTION("""COMPUTED_VALUE"""),45209.0)</f>
        <v>45209</v>
      </c>
      <c r="T2620" s="57">
        <f>IFERROR(__xludf.DUMMYFUNCTION("""COMPUTED_VALUE"""),45285.0)</f>
        <v>45285</v>
      </c>
    </row>
    <row r="2621">
      <c r="A2621" s="6" t="str">
        <f>IFERROR(__xludf.DUMMYFUNCTION("""COMPUTED_VALUE"""),"231750777-3")</f>
        <v>231750777-3</v>
      </c>
      <c r="B2621" s="6" t="str">
        <f>IFERROR(__xludf.DUMMYFUNCTION("""COMPUTED_VALUE"""),"231750777 - Approved")</f>
        <v>231750777 - Approved</v>
      </c>
      <c r="C2621" s="6">
        <f>IFERROR(__xludf.DUMMYFUNCTION("""COMPUTED_VALUE"""),3.0)</f>
        <v>3</v>
      </c>
      <c r="D2621" s="6" t="str">
        <f>IFERROR(__xludf.DUMMYFUNCTION("""COMPUTED_VALUE"""),"O-52983-00")</f>
        <v>O-52983-00</v>
      </c>
      <c r="E2621" s="6" t="str">
        <f>IFERROR(__xludf.DUMMYFUNCTION("""COMPUTED_VALUE"""),"Inverter Power Module PM240-2 0,37KW Sinamic; Siemens; ;")</f>
        <v>Inverter Power Module PM240-2 0,37KW Sinamic; Siemens; ;</v>
      </c>
      <c r="F2621" s="6">
        <f>IFERROR(__xludf.DUMMYFUNCTION("""COMPUTED_VALUE"""),3.0)</f>
        <v>3</v>
      </c>
      <c r="G2621" s="6" t="str">
        <f>IFERROR(__xludf.DUMMYFUNCTION("""COMPUTED_VALUE"""),"Pieces")</f>
        <v>Pieces</v>
      </c>
      <c r="H2621" s="6" t="str">
        <f>IFERROR(__xludf.DUMMYFUNCTION("""COMPUTED_VALUE"""),"IDR")</f>
        <v>IDR</v>
      </c>
      <c r="I2621" s="11">
        <f>IFERROR(__xludf.DUMMYFUNCTION("""COMPUTED_VALUE"""),3991000.0)</f>
        <v>3991000</v>
      </c>
      <c r="J2621" s="11">
        <f>IFERROR(__xludf.DUMMYFUNCTION("""COMPUTED_VALUE"""),1.1973E7)</f>
        <v>11973000</v>
      </c>
      <c r="K2621" s="57">
        <f>IFERROR(__xludf.DUMMYFUNCTION("""COMPUTED_VALUE"""),45222.0)</f>
        <v>45222</v>
      </c>
      <c r="L2621" s="6" t="str">
        <f>IFERROR(__xludf.DUMMYFUNCTION("""COMPUTED_VALUE"""),"FIP Engineering")</f>
        <v>FIP Engineering</v>
      </c>
      <c r="M2621" s="6" t="str">
        <f>IFERROR(__xludf.DUMMYFUNCTION("""COMPUTED_VALUE"""),"Mochammad Fadhillah Hakim")</f>
        <v>Mochammad Fadhillah Hakim</v>
      </c>
      <c r="N2621" s="6" t="str">
        <f>IFERROR(__xludf.DUMMYFUNCTION("""COMPUTED_VALUE"""),"FIP Engineering")</f>
        <v>FIP Engineering</v>
      </c>
      <c r="O2621" s="6" t="str">
        <f>IFERROR(__xludf.DUMMYFUNCTION("""COMPUTED_VALUE"""),"FIP-DOM-000-11304-OS00001-INA-000000")</f>
        <v>FIP-DOM-000-11304-OS00001-INA-000000</v>
      </c>
      <c r="P2621" s="6" t="str">
        <f>IFERROR(__xludf.DUMMYFUNCTION("""COMPUTED_VALUE"""),"PO Closed")</f>
        <v>PO Closed</v>
      </c>
      <c r="Q2621" s="6" t="str">
        <f>IFERROR(__xludf.DUMMYFUNCTION("""COMPUTED_VALUE"""),"GL2311044")</f>
        <v>GL2311044</v>
      </c>
      <c r="R2621" s="57">
        <f>IFERROR(__xludf.DUMMYFUNCTION("""COMPUTED_VALUE"""),45208.0)</f>
        <v>45208</v>
      </c>
      <c r="S2621" s="57">
        <f>IFERROR(__xludf.DUMMYFUNCTION("""COMPUTED_VALUE"""),45209.0)</f>
        <v>45209</v>
      </c>
      <c r="T2621" s="57">
        <f>IFERROR(__xludf.DUMMYFUNCTION("""COMPUTED_VALUE"""),45285.0)</f>
        <v>45285</v>
      </c>
    </row>
    <row r="2622">
      <c r="A2622" s="6" t="str">
        <f>IFERROR(__xludf.DUMMYFUNCTION("""COMPUTED_VALUE"""),"231750777-4")</f>
        <v>231750777-4</v>
      </c>
      <c r="B2622" s="6" t="str">
        <f>IFERROR(__xludf.DUMMYFUNCTION("""COMPUTED_VALUE"""),"231750777 - Approved")</f>
        <v>231750777 - Approved</v>
      </c>
      <c r="C2622" s="6">
        <f>IFERROR(__xludf.DUMMYFUNCTION("""COMPUTED_VALUE"""),4.0)</f>
        <v>4</v>
      </c>
      <c r="D2622" s="6" t="str">
        <f>IFERROR(__xludf.DUMMYFUNCTION("""COMPUTED_VALUE"""),"O-52985-00")</f>
        <v>O-52985-00</v>
      </c>
      <c r="E2622" s="6" t="str">
        <f>IFERROR(__xludf.DUMMYFUNCTION("""COMPUTED_VALUE"""),"Inverter Power Module PM240-2 7,5KW Sinamic; Siemens; ;")</f>
        <v>Inverter Power Module PM240-2 7,5KW Sinamic; Siemens; ;</v>
      </c>
      <c r="F2622" s="6">
        <f>IFERROR(__xludf.DUMMYFUNCTION("""COMPUTED_VALUE"""),1.0)</f>
        <v>1</v>
      </c>
      <c r="G2622" s="6" t="str">
        <f>IFERROR(__xludf.DUMMYFUNCTION("""COMPUTED_VALUE"""),"Pieces")</f>
        <v>Pieces</v>
      </c>
      <c r="H2622" s="6" t="str">
        <f>IFERROR(__xludf.DUMMYFUNCTION("""COMPUTED_VALUE"""),"IDR")</f>
        <v>IDR</v>
      </c>
      <c r="I2622" s="11">
        <f>IFERROR(__xludf.DUMMYFUNCTION("""COMPUTED_VALUE"""),2.2776E7)</f>
        <v>22776000</v>
      </c>
      <c r="J2622" s="11">
        <f>IFERROR(__xludf.DUMMYFUNCTION("""COMPUTED_VALUE"""),2.2776E7)</f>
        <v>22776000</v>
      </c>
      <c r="K2622" s="57">
        <f>IFERROR(__xludf.DUMMYFUNCTION("""COMPUTED_VALUE"""),45222.0)</f>
        <v>45222</v>
      </c>
      <c r="L2622" s="6" t="str">
        <f>IFERROR(__xludf.DUMMYFUNCTION("""COMPUTED_VALUE"""),"FIP Engineering")</f>
        <v>FIP Engineering</v>
      </c>
      <c r="M2622" s="6" t="str">
        <f>IFERROR(__xludf.DUMMYFUNCTION("""COMPUTED_VALUE"""),"Mochammad Fadhillah Hakim")</f>
        <v>Mochammad Fadhillah Hakim</v>
      </c>
      <c r="N2622" s="6" t="str">
        <f>IFERROR(__xludf.DUMMYFUNCTION("""COMPUTED_VALUE"""),"FIP Engineering")</f>
        <v>FIP Engineering</v>
      </c>
      <c r="O2622" s="6" t="str">
        <f>IFERROR(__xludf.DUMMYFUNCTION("""COMPUTED_VALUE"""),"FIP-DOM-000-11304-OS00001-INA-000000")</f>
        <v>FIP-DOM-000-11304-OS00001-INA-000000</v>
      </c>
      <c r="P2622" s="6" t="str">
        <f>IFERROR(__xludf.DUMMYFUNCTION("""COMPUTED_VALUE"""),"PO Closed")</f>
        <v>PO Closed</v>
      </c>
      <c r="Q2622" s="6" t="str">
        <f>IFERROR(__xludf.DUMMYFUNCTION("""COMPUTED_VALUE"""),"GL2311044")</f>
        <v>GL2311044</v>
      </c>
      <c r="R2622" s="57">
        <f>IFERROR(__xludf.DUMMYFUNCTION("""COMPUTED_VALUE"""),45208.0)</f>
        <v>45208</v>
      </c>
      <c r="S2622" s="57">
        <f>IFERROR(__xludf.DUMMYFUNCTION("""COMPUTED_VALUE"""),45209.0)</f>
        <v>45209</v>
      </c>
      <c r="T2622" s="57">
        <f>IFERROR(__xludf.DUMMYFUNCTION("""COMPUTED_VALUE"""),45285.0)</f>
        <v>45285</v>
      </c>
    </row>
    <row r="2623">
      <c r="A2623" s="6" t="str">
        <f>IFERROR(__xludf.DUMMYFUNCTION("""COMPUTED_VALUE"""),"231750777-5")</f>
        <v>231750777-5</v>
      </c>
      <c r="B2623" s="6" t="str">
        <f>IFERROR(__xludf.DUMMYFUNCTION("""COMPUTED_VALUE"""),"231750777 - Approved")</f>
        <v>231750777 - Approved</v>
      </c>
      <c r="C2623" s="6">
        <f>IFERROR(__xludf.DUMMYFUNCTION("""COMPUTED_VALUE"""),5.0)</f>
        <v>5</v>
      </c>
      <c r="D2623" s="6" t="str">
        <f>IFERROR(__xludf.DUMMYFUNCTION("""COMPUTED_VALUE"""),"O-52984-00")</f>
        <v>O-52984-00</v>
      </c>
      <c r="E2623" s="6" t="str">
        <f>IFERROR(__xludf.DUMMYFUNCTION("""COMPUTED_VALUE"""),"Inverter Power Module PM240-2 2,2KW Sinamic; Siemens; ;")</f>
        <v>Inverter Power Module PM240-2 2,2KW Sinamic; Siemens; ;</v>
      </c>
      <c r="F2623" s="6">
        <f>IFERROR(__xludf.DUMMYFUNCTION("""COMPUTED_VALUE"""),2.0)</f>
        <v>2</v>
      </c>
      <c r="G2623" s="6" t="str">
        <f>IFERROR(__xludf.DUMMYFUNCTION("""COMPUTED_VALUE"""),"Pieces")</f>
        <v>Pieces</v>
      </c>
      <c r="H2623" s="6" t="str">
        <f>IFERROR(__xludf.DUMMYFUNCTION("""COMPUTED_VALUE"""),"IDR")</f>
        <v>IDR</v>
      </c>
      <c r="I2623" s="11">
        <f>IFERROR(__xludf.DUMMYFUNCTION("""COMPUTED_VALUE"""),9355000.0)</f>
        <v>9355000</v>
      </c>
      <c r="J2623" s="11">
        <f>IFERROR(__xludf.DUMMYFUNCTION("""COMPUTED_VALUE"""),1.871E7)</f>
        <v>18710000</v>
      </c>
      <c r="K2623" s="57">
        <f>IFERROR(__xludf.DUMMYFUNCTION("""COMPUTED_VALUE"""),45222.0)</f>
        <v>45222</v>
      </c>
      <c r="L2623" s="6" t="str">
        <f>IFERROR(__xludf.DUMMYFUNCTION("""COMPUTED_VALUE"""),"FIP Engineering")</f>
        <v>FIP Engineering</v>
      </c>
      <c r="M2623" s="6" t="str">
        <f>IFERROR(__xludf.DUMMYFUNCTION("""COMPUTED_VALUE"""),"Mochammad Fadhillah Hakim")</f>
        <v>Mochammad Fadhillah Hakim</v>
      </c>
      <c r="N2623" s="6" t="str">
        <f>IFERROR(__xludf.DUMMYFUNCTION("""COMPUTED_VALUE"""),"FIP Engineering")</f>
        <v>FIP Engineering</v>
      </c>
      <c r="O2623" s="6" t="str">
        <f>IFERROR(__xludf.DUMMYFUNCTION("""COMPUTED_VALUE"""),"FIP-DOM-000-11304-OS00001-INA-000000")</f>
        <v>FIP-DOM-000-11304-OS00001-INA-000000</v>
      </c>
      <c r="P2623" s="6" t="str">
        <f>IFERROR(__xludf.DUMMYFUNCTION("""COMPUTED_VALUE"""),"PO Closed")</f>
        <v>PO Closed</v>
      </c>
      <c r="Q2623" s="6" t="str">
        <f>IFERROR(__xludf.DUMMYFUNCTION("""COMPUTED_VALUE"""),"GL2311044")</f>
        <v>GL2311044</v>
      </c>
      <c r="R2623" s="57">
        <f>IFERROR(__xludf.DUMMYFUNCTION("""COMPUTED_VALUE"""),45208.0)</f>
        <v>45208</v>
      </c>
      <c r="S2623" s="57">
        <f>IFERROR(__xludf.DUMMYFUNCTION("""COMPUTED_VALUE"""),45209.0)</f>
        <v>45209</v>
      </c>
      <c r="T2623" s="57">
        <f>IFERROR(__xludf.DUMMYFUNCTION("""COMPUTED_VALUE"""),45285.0)</f>
        <v>45285</v>
      </c>
    </row>
    <row r="2624">
      <c r="A2624" s="6" t="str">
        <f>IFERROR(__xludf.DUMMYFUNCTION("""COMPUTED_VALUE"""),"231750779-1")</f>
        <v>231750779-1</v>
      </c>
      <c r="B2624" s="6" t="str">
        <f>IFERROR(__xludf.DUMMYFUNCTION("""COMPUTED_VALUE"""),"231750779 - Approved")</f>
        <v>231750779 - Approved</v>
      </c>
      <c r="C2624" s="6">
        <f>IFERROR(__xludf.DUMMYFUNCTION("""COMPUTED_VALUE"""),1.0)</f>
        <v>1</v>
      </c>
      <c r="D2624" s="6" t="str">
        <f>IFERROR(__xludf.DUMMYFUNCTION("""COMPUTED_VALUE"""),"O-19341-00")</f>
        <v>O-19341-00</v>
      </c>
      <c r="E2624" s="6" t="str">
        <f>IFERROR(__xludf.DUMMYFUNCTION("""COMPUTED_VALUE"""),"Washing RAR4 - Set Giude Rell Outfeed, Machining Plate Material Pom Putih; ; ;")</f>
        <v>Washing RAR4 - Set Giude Rell Outfeed, Machining Plate Material Pom Putih; ; ;</v>
      </c>
      <c r="F2624" s="6">
        <f>IFERROR(__xludf.DUMMYFUNCTION("""COMPUTED_VALUE"""),1.0)</f>
        <v>1</v>
      </c>
      <c r="G2624" s="6" t="str">
        <f>IFERROR(__xludf.DUMMYFUNCTION("""COMPUTED_VALUE"""),"Set")</f>
        <v>Set</v>
      </c>
      <c r="H2624" s="6" t="str">
        <f>IFERROR(__xludf.DUMMYFUNCTION("""COMPUTED_VALUE"""),"IDR")</f>
        <v>IDR</v>
      </c>
      <c r="I2624" s="11">
        <f>IFERROR(__xludf.DUMMYFUNCTION("""COMPUTED_VALUE"""),2875000.0)</f>
        <v>2875000</v>
      </c>
      <c r="J2624" s="11">
        <f>IFERROR(__xludf.DUMMYFUNCTION("""COMPUTED_VALUE"""),2875000.0)</f>
        <v>2875000</v>
      </c>
      <c r="K2624" s="57">
        <f>IFERROR(__xludf.DUMMYFUNCTION("""COMPUTED_VALUE"""),45222.0)</f>
        <v>45222</v>
      </c>
      <c r="L2624" s="6" t="str">
        <f>IFERROR(__xludf.DUMMYFUNCTION("""COMPUTED_VALUE"""),"FIP Engineering")</f>
        <v>FIP Engineering</v>
      </c>
      <c r="M2624" s="6" t="str">
        <f>IFERROR(__xludf.DUMMYFUNCTION("""COMPUTED_VALUE"""),"Mochammad Fadhillah Hakim")</f>
        <v>Mochammad Fadhillah Hakim</v>
      </c>
      <c r="N2624" s="6" t="str">
        <f>IFERROR(__xludf.DUMMYFUNCTION("""COMPUTED_VALUE"""),"FIP Engineering")</f>
        <v>FIP Engineering</v>
      </c>
      <c r="O2624" s="6" t="str">
        <f>IFERROR(__xludf.DUMMYFUNCTION("""COMPUTED_VALUE"""),"FIP-DOM-000-11304-OS00001-INA-000000")</f>
        <v>FIP-DOM-000-11304-OS00001-INA-000000</v>
      </c>
      <c r="P2624" s="6" t="str">
        <f>IFERROR(__xludf.DUMMYFUNCTION("""COMPUTED_VALUE"""),"PO Closed")</f>
        <v>PO Closed</v>
      </c>
      <c r="Q2624" s="6" t="str">
        <f>IFERROR(__xludf.DUMMYFUNCTION("""COMPUTED_VALUE"""),"GL2311046")</f>
        <v>GL2311046</v>
      </c>
      <c r="R2624" s="57">
        <f>IFERROR(__xludf.DUMMYFUNCTION("""COMPUTED_VALUE"""),45208.0)</f>
        <v>45208</v>
      </c>
      <c r="S2624" s="57">
        <f>IFERROR(__xludf.DUMMYFUNCTION("""COMPUTED_VALUE"""),45209.0)</f>
        <v>45209</v>
      </c>
      <c r="T2624" s="57">
        <f>IFERROR(__xludf.DUMMYFUNCTION("""COMPUTED_VALUE"""),45306.0)</f>
        <v>45306</v>
      </c>
    </row>
    <row r="2625">
      <c r="A2625" s="6" t="str">
        <f>IFERROR(__xludf.DUMMYFUNCTION("""COMPUTED_VALUE"""),"231750779-2")</f>
        <v>231750779-2</v>
      </c>
      <c r="B2625" s="6" t="str">
        <f>IFERROR(__xludf.DUMMYFUNCTION("""COMPUTED_VALUE"""),"231750779 - Approved")</f>
        <v>231750779 - Approved</v>
      </c>
      <c r="C2625" s="6">
        <f>IFERROR(__xludf.DUMMYFUNCTION("""COMPUTED_VALUE"""),2.0)</f>
        <v>2</v>
      </c>
      <c r="D2625" s="6" t="str">
        <f>IFERROR(__xludf.DUMMYFUNCTION("""COMPUTED_VALUE"""),"O-19342-00")</f>
        <v>O-19342-00</v>
      </c>
      <c r="E2625" s="6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F2625" s="6">
        <f>IFERROR(__xludf.DUMMYFUNCTION("""COMPUTED_VALUE"""),2.0)</f>
        <v>2</v>
      </c>
      <c r="G2625" s="6" t="str">
        <f>IFERROR(__xludf.DUMMYFUNCTION("""COMPUTED_VALUE"""),"Pieces")</f>
        <v>Pieces</v>
      </c>
      <c r="H2625" s="6" t="str">
        <f>IFERROR(__xludf.DUMMYFUNCTION("""COMPUTED_VALUE"""),"IDR")</f>
        <v>IDR</v>
      </c>
      <c r="I2625" s="11">
        <f>IFERROR(__xludf.DUMMYFUNCTION("""COMPUTED_VALUE"""),305000.0)</f>
        <v>305000</v>
      </c>
      <c r="J2625" s="11">
        <f>IFERROR(__xludf.DUMMYFUNCTION("""COMPUTED_VALUE"""),610000.0)</f>
        <v>610000</v>
      </c>
      <c r="K2625" s="57">
        <f>IFERROR(__xludf.DUMMYFUNCTION("""COMPUTED_VALUE"""),45222.0)</f>
        <v>45222</v>
      </c>
      <c r="L2625" s="6" t="str">
        <f>IFERROR(__xludf.DUMMYFUNCTION("""COMPUTED_VALUE"""),"FIP Engineering")</f>
        <v>FIP Engineering</v>
      </c>
      <c r="M2625" s="6" t="str">
        <f>IFERROR(__xludf.DUMMYFUNCTION("""COMPUTED_VALUE"""),"Mochammad Fadhillah Hakim")</f>
        <v>Mochammad Fadhillah Hakim</v>
      </c>
      <c r="N2625" s="6" t="str">
        <f>IFERROR(__xludf.DUMMYFUNCTION("""COMPUTED_VALUE"""),"FIP Engineering")</f>
        <v>FIP Engineering</v>
      </c>
      <c r="O2625" s="6" t="str">
        <f>IFERROR(__xludf.DUMMYFUNCTION("""COMPUTED_VALUE"""),"FIP-DOM-000-11304-OS00001-INA-000000")</f>
        <v>FIP-DOM-000-11304-OS00001-INA-000000</v>
      </c>
      <c r="P2625" s="6" t="str">
        <f>IFERROR(__xludf.DUMMYFUNCTION("""COMPUTED_VALUE"""),"PO Closed")</f>
        <v>PO Closed</v>
      </c>
      <c r="Q2625" s="6" t="str">
        <f>IFERROR(__xludf.DUMMYFUNCTION("""COMPUTED_VALUE"""),"GL2311046")</f>
        <v>GL2311046</v>
      </c>
      <c r="R2625" s="57">
        <f>IFERROR(__xludf.DUMMYFUNCTION("""COMPUTED_VALUE"""),45208.0)</f>
        <v>45208</v>
      </c>
      <c r="S2625" s="57">
        <f>IFERROR(__xludf.DUMMYFUNCTION("""COMPUTED_VALUE"""),45209.0)</f>
        <v>45209</v>
      </c>
      <c r="T2625" s="57">
        <f>IFERROR(__xludf.DUMMYFUNCTION("""COMPUTED_VALUE"""),45306.0)</f>
        <v>45306</v>
      </c>
    </row>
    <row r="2626">
      <c r="A2626" s="6" t="str">
        <f>IFERROR(__xludf.DUMMYFUNCTION("""COMPUTED_VALUE"""),"231750779-3")</f>
        <v>231750779-3</v>
      </c>
      <c r="B2626" s="6" t="str">
        <f>IFERROR(__xludf.DUMMYFUNCTION("""COMPUTED_VALUE"""),"231750779 - Approved")</f>
        <v>231750779 - Approved</v>
      </c>
      <c r="C2626" s="6">
        <f>IFERROR(__xludf.DUMMYFUNCTION("""COMPUTED_VALUE"""),3.0)</f>
        <v>3</v>
      </c>
      <c r="D2626" s="6" t="str">
        <f>IFERROR(__xludf.DUMMYFUNCTION("""COMPUTED_VALUE"""),"O-19340-00")</f>
        <v>O-19340-00</v>
      </c>
      <c r="E2626" s="6" t="str">
        <f>IFERROR(__xludf.DUMMYFUNCTION("""COMPUTED_VALUE"""),"Washing RAR4 - Guide Rell Outfeed, Machining Plate Material Pom Putih; ; ;")</f>
        <v>Washing RAR4 - Guide Rell Outfeed, Machining Plate Material Pom Putih; ; ;</v>
      </c>
      <c r="F2626" s="6">
        <f>IFERROR(__xludf.DUMMYFUNCTION("""COMPUTED_VALUE"""),1.0)</f>
        <v>1</v>
      </c>
      <c r="G2626" s="6" t="str">
        <f>IFERROR(__xludf.DUMMYFUNCTION("""COMPUTED_VALUE"""),"Pieces")</f>
        <v>Pieces</v>
      </c>
      <c r="H2626" s="6" t="str">
        <f>IFERROR(__xludf.DUMMYFUNCTION("""COMPUTED_VALUE"""),"IDR")</f>
        <v>IDR</v>
      </c>
      <c r="I2626" s="11">
        <f>IFERROR(__xludf.DUMMYFUNCTION("""COMPUTED_VALUE"""),875000.0)</f>
        <v>875000</v>
      </c>
      <c r="J2626" s="11">
        <f>IFERROR(__xludf.DUMMYFUNCTION("""COMPUTED_VALUE"""),875000.0)</f>
        <v>875000</v>
      </c>
      <c r="K2626" s="57">
        <f>IFERROR(__xludf.DUMMYFUNCTION("""COMPUTED_VALUE"""),45222.0)</f>
        <v>45222</v>
      </c>
      <c r="L2626" s="6" t="str">
        <f>IFERROR(__xludf.DUMMYFUNCTION("""COMPUTED_VALUE"""),"FIP Engineering")</f>
        <v>FIP Engineering</v>
      </c>
      <c r="M2626" s="6" t="str">
        <f>IFERROR(__xludf.DUMMYFUNCTION("""COMPUTED_VALUE"""),"Mochammad Fadhillah Hakim")</f>
        <v>Mochammad Fadhillah Hakim</v>
      </c>
      <c r="N2626" s="6" t="str">
        <f>IFERROR(__xludf.DUMMYFUNCTION("""COMPUTED_VALUE"""),"FIP Engineering")</f>
        <v>FIP Engineering</v>
      </c>
      <c r="O2626" s="6" t="str">
        <f>IFERROR(__xludf.DUMMYFUNCTION("""COMPUTED_VALUE"""),"FIP-DOM-000-11304-OS00001-INA-000000")</f>
        <v>FIP-DOM-000-11304-OS00001-INA-000000</v>
      </c>
      <c r="P2626" s="6" t="str">
        <f>IFERROR(__xludf.DUMMYFUNCTION("""COMPUTED_VALUE"""),"PO Closed")</f>
        <v>PO Closed</v>
      </c>
      <c r="Q2626" s="6" t="str">
        <f>IFERROR(__xludf.DUMMYFUNCTION("""COMPUTED_VALUE"""),"GL2311046")</f>
        <v>GL2311046</v>
      </c>
      <c r="R2626" s="57">
        <f>IFERROR(__xludf.DUMMYFUNCTION("""COMPUTED_VALUE"""),45208.0)</f>
        <v>45208</v>
      </c>
      <c r="S2626" s="57">
        <f>IFERROR(__xludf.DUMMYFUNCTION("""COMPUTED_VALUE"""),45209.0)</f>
        <v>45209</v>
      </c>
      <c r="T2626" s="57">
        <f>IFERROR(__xludf.DUMMYFUNCTION("""COMPUTED_VALUE"""),45306.0)</f>
        <v>45306</v>
      </c>
    </row>
    <row r="2627">
      <c r="A2627" s="6" t="str">
        <f>IFERROR(__xludf.DUMMYFUNCTION("""COMPUTED_VALUE"""),"231750783-1")</f>
        <v>231750783-1</v>
      </c>
      <c r="B2627" s="6" t="str">
        <f>IFERROR(__xludf.DUMMYFUNCTION("""COMPUTED_VALUE"""),"231750783 - Approved")</f>
        <v>231750783 - Approved</v>
      </c>
      <c r="C2627" s="6">
        <f>IFERROR(__xludf.DUMMYFUNCTION("""COMPUTED_VALUE"""),1.0)</f>
        <v>1</v>
      </c>
      <c r="D2627" s="6" t="str">
        <f>IFERROR(__xludf.DUMMYFUNCTION("""COMPUTED_VALUE"""),"P-52664-00")</f>
        <v>P-52664-00</v>
      </c>
      <c r="E2627" s="6" t="str">
        <f>IFERROR(__xludf.DUMMYFUNCTION("""COMPUTED_VALUE"""),"Pelampung Air Radar Float Switch 2 Meter; ; ;")</f>
        <v>Pelampung Air Radar Float Switch 2 Meter; ; ;</v>
      </c>
      <c r="F2627" s="6">
        <f>IFERROR(__xludf.DUMMYFUNCTION("""COMPUTED_VALUE"""),3.0)</f>
        <v>3</v>
      </c>
      <c r="G2627" s="6" t="str">
        <f>IFERROR(__xludf.DUMMYFUNCTION("""COMPUTED_VALUE"""),"Pieces")</f>
        <v>Pieces</v>
      </c>
      <c r="H2627" s="6" t="str">
        <f>IFERROR(__xludf.DUMMYFUNCTION("""COMPUTED_VALUE"""),"IDR")</f>
        <v>IDR</v>
      </c>
      <c r="I2627" s="11">
        <f>IFERROR(__xludf.DUMMYFUNCTION("""COMPUTED_VALUE"""),100000.0)</f>
        <v>100000</v>
      </c>
      <c r="J2627" s="11">
        <f>IFERROR(__xludf.DUMMYFUNCTION("""COMPUTED_VALUE"""),300000.0)</f>
        <v>300000</v>
      </c>
      <c r="K2627" s="57">
        <f>IFERROR(__xludf.DUMMYFUNCTION("""COMPUTED_VALUE"""),45223.0)</f>
        <v>45223</v>
      </c>
      <c r="L2627" s="6" t="str">
        <f>IFERROR(__xludf.DUMMYFUNCTION("""COMPUTED_VALUE"""),"FIP Engineering")</f>
        <v>FIP Engineering</v>
      </c>
      <c r="M2627" s="6" t="str">
        <f>IFERROR(__xludf.DUMMYFUNCTION("""COMPUTED_VALUE"""),"Mochammad Fadhillah Hakim")</f>
        <v>Mochammad Fadhillah Hakim</v>
      </c>
      <c r="N2627" s="6" t="str">
        <f>IFERROR(__xludf.DUMMYFUNCTION("""COMPUTED_VALUE"""),"FIP Engineering")</f>
        <v>FIP Engineering</v>
      </c>
      <c r="O2627" s="6" t="str">
        <f>IFERROR(__xludf.DUMMYFUNCTION("""COMPUTED_VALUE"""),"FIP-DOM-000-11304-OS00001-INA-000000")</f>
        <v>FIP-DOM-000-11304-OS00001-INA-000000</v>
      </c>
      <c r="P2627" s="6" t="str">
        <f>IFERROR(__xludf.DUMMYFUNCTION("""COMPUTED_VALUE"""),"PO Closed")</f>
        <v>PO Closed</v>
      </c>
      <c r="Q2627" s="6" t="str">
        <f>IFERROR(__xludf.DUMMYFUNCTION("""COMPUTED_VALUE"""),"GL2311026")</f>
        <v>GL2311026</v>
      </c>
      <c r="R2627" s="57">
        <f>IFERROR(__xludf.DUMMYFUNCTION("""COMPUTED_VALUE"""),45209.0)</f>
        <v>45209</v>
      </c>
      <c r="S2627" s="57">
        <f>IFERROR(__xludf.DUMMYFUNCTION("""COMPUTED_VALUE"""),45210.0)</f>
        <v>45210</v>
      </c>
      <c r="T2627" s="57">
        <f>IFERROR(__xludf.DUMMYFUNCTION("""COMPUTED_VALUE"""),45275.0)</f>
        <v>45275</v>
      </c>
    </row>
    <row r="2628">
      <c r="A2628" s="6" t="str">
        <f>IFERROR(__xludf.DUMMYFUNCTION("""COMPUTED_VALUE"""),"231750783-2")</f>
        <v>231750783-2</v>
      </c>
      <c r="B2628" s="6" t="str">
        <f>IFERROR(__xludf.DUMMYFUNCTION("""COMPUTED_VALUE"""),"231750783 - Approved")</f>
        <v>231750783 - Approved</v>
      </c>
      <c r="C2628" s="6">
        <f>IFERROR(__xludf.DUMMYFUNCTION("""COMPUTED_VALUE"""),2.0)</f>
        <v>2</v>
      </c>
      <c r="D2628" s="6" t="str">
        <f>IFERROR(__xludf.DUMMYFUNCTION("""COMPUTED_VALUE"""),"P-52665-00")</f>
        <v>P-52665-00</v>
      </c>
      <c r="E2628" s="6" t="str">
        <f>IFERROR(__xludf.DUMMYFUNCTION("""COMPUTED_VALUE"""),"Buzzer Electronic Siren PW-235; TAB; ;")</f>
        <v>Buzzer Electronic Siren PW-235; TAB; ;</v>
      </c>
      <c r="F2628" s="6">
        <f>IFERROR(__xludf.DUMMYFUNCTION("""COMPUTED_VALUE"""),2.0)</f>
        <v>2</v>
      </c>
      <c r="G2628" s="6" t="str">
        <f>IFERROR(__xludf.DUMMYFUNCTION("""COMPUTED_VALUE"""),"Pieces")</f>
        <v>Pieces</v>
      </c>
      <c r="H2628" s="6" t="str">
        <f>IFERROR(__xludf.DUMMYFUNCTION("""COMPUTED_VALUE"""),"IDR")</f>
        <v>IDR</v>
      </c>
      <c r="I2628" s="11">
        <f>IFERROR(__xludf.DUMMYFUNCTION("""COMPUTED_VALUE"""),100000.0)</f>
        <v>100000</v>
      </c>
      <c r="J2628" s="11">
        <f>IFERROR(__xludf.DUMMYFUNCTION("""COMPUTED_VALUE"""),200000.0)</f>
        <v>200000</v>
      </c>
      <c r="K2628" s="57">
        <f>IFERROR(__xludf.DUMMYFUNCTION("""COMPUTED_VALUE"""),45223.0)</f>
        <v>45223</v>
      </c>
      <c r="L2628" s="6" t="str">
        <f>IFERROR(__xludf.DUMMYFUNCTION("""COMPUTED_VALUE"""),"FIP Engineering")</f>
        <v>FIP Engineering</v>
      </c>
      <c r="M2628" s="6" t="str">
        <f>IFERROR(__xludf.DUMMYFUNCTION("""COMPUTED_VALUE"""),"Mochammad Fadhillah Hakim")</f>
        <v>Mochammad Fadhillah Hakim</v>
      </c>
      <c r="N2628" s="6" t="str">
        <f>IFERROR(__xludf.DUMMYFUNCTION("""COMPUTED_VALUE"""),"FIP Engineering")</f>
        <v>FIP Engineering</v>
      </c>
      <c r="O2628" s="6" t="str">
        <f>IFERROR(__xludf.DUMMYFUNCTION("""COMPUTED_VALUE"""),"FIP-DOM-000-11304-OS00001-INA-000000")</f>
        <v>FIP-DOM-000-11304-OS00001-INA-000000</v>
      </c>
      <c r="P2628" s="6" t="str">
        <f>IFERROR(__xludf.DUMMYFUNCTION("""COMPUTED_VALUE"""),"PO Closed")</f>
        <v>PO Closed</v>
      </c>
      <c r="Q2628" s="6" t="str">
        <f>IFERROR(__xludf.DUMMYFUNCTION("""COMPUTED_VALUE"""),"GL2311026")</f>
        <v>GL2311026</v>
      </c>
      <c r="R2628" s="57">
        <f>IFERROR(__xludf.DUMMYFUNCTION("""COMPUTED_VALUE"""),45209.0)</f>
        <v>45209</v>
      </c>
      <c r="S2628" s="57">
        <f>IFERROR(__xludf.DUMMYFUNCTION("""COMPUTED_VALUE"""),45210.0)</f>
        <v>45210</v>
      </c>
      <c r="T2628" s="57">
        <f>IFERROR(__xludf.DUMMYFUNCTION("""COMPUTED_VALUE"""),45275.0)</f>
        <v>45275</v>
      </c>
    </row>
    <row r="2629">
      <c r="A2629" s="6" t="str">
        <f>IFERROR(__xludf.DUMMYFUNCTION("""COMPUTED_VALUE"""),"231750784-1")</f>
        <v>231750784-1</v>
      </c>
      <c r="B2629" s="6" t="str">
        <f>IFERROR(__xludf.DUMMYFUNCTION("""COMPUTED_VALUE"""),"231750784 - Approved")</f>
        <v>231750784 - Approved</v>
      </c>
      <c r="C2629" s="6">
        <f>IFERROR(__xludf.DUMMYFUNCTION("""COMPUTED_VALUE"""),1.0)</f>
        <v>1</v>
      </c>
      <c r="D2629" s="6" t="str">
        <f>IFERROR(__xludf.DUMMYFUNCTION("""COMPUTED_VALUE"""),"Q-60036-00")</f>
        <v>Q-60036-00</v>
      </c>
      <c r="E2629" s="6" t="str">
        <f>IFERROR(__xludf.DUMMYFUNCTION("""COMPUTED_VALUE"""),"Cat F-Talit KF-611 / Hellay Grey / 115-611 @ 1 KG")</f>
        <v>Cat F-Talit KF-611 / Hellay Grey / 115-611 @ 1 KG</v>
      </c>
      <c r="F2629" s="6">
        <f>IFERROR(__xludf.DUMMYFUNCTION("""COMPUTED_VALUE"""),5.0)</f>
        <v>5</v>
      </c>
      <c r="G2629" s="6" t="str">
        <f>IFERROR(__xludf.DUMMYFUNCTION("""COMPUTED_VALUE"""),"Can")</f>
        <v>Can</v>
      </c>
      <c r="H2629" s="6" t="str">
        <f>IFERROR(__xludf.DUMMYFUNCTION("""COMPUTED_VALUE"""),"IDR")</f>
        <v>IDR</v>
      </c>
      <c r="I2629" s="11">
        <f>IFERROR(__xludf.DUMMYFUNCTION("""COMPUTED_VALUE"""),65000.0)</f>
        <v>65000</v>
      </c>
      <c r="J2629" s="11">
        <f>IFERROR(__xludf.DUMMYFUNCTION("""COMPUTED_VALUE"""),325000.0)</f>
        <v>325000</v>
      </c>
      <c r="K2629" s="57">
        <f>IFERROR(__xludf.DUMMYFUNCTION("""COMPUTED_VALUE"""),45223.0)</f>
        <v>45223</v>
      </c>
      <c r="L2629" s="6" t="str">
        <f>IFERROR(__xludf.DUMMYFUNCTION("""COMPUTED_VALUE"""),"FIP Engineering")</f>
        <v>FIP Engineering</v>
      </c>
      <c r="M2629" s="6" t="str">
        <f>IFERROR(__xludf.DUMMYFUNCTION("""COMPUTED_VALUE"""),"Mochammad Fadhillah Hakim")</f>
        <v>Mochammad Fadhillah Hakim</v>
      </c>
      <c r="N2629" s="6" t="str">
        <f>IFERROR(__xludf.DUMMYFUNCTION("""COMPUTED_VALUE"""),"FIP Engineering")</f>
        <v>FIP Engineering</v>
      </c>
      <c r="O2629" s="6" t="str">
        <f>IFERROR(__xludf.DUMMYFUNCTION("""COMPUTED_VALUE"""),"FIP-DOM-000-11304-OS00001-INA-000000")</f>
        <v>FIP-DOM-000-11304-OS00001-INA-000000</v>
      </c>
      <c r="P2629" s="6" t="str">
        <f>IFERROR(__xludf.DUMMYFUNCTION("""COMPUTED_VALUE"""),"PO Closed")</f>
        <v>PO Closed</v>
      </c>
      <c r="Q2629" s="6" t="str">
        <f>IFERROR(__xludf.DUMMYFUNCTION("""COMPUTED_VALUE"""),"GL2310054")</f>
        <v>GL2310054</v>
      </c>
      <c r="R2629" s="57">
        <f>IFERROR(__xludf.DUMMYFUNCTION("""COMPUTED_VALUE"""),45209.0)</f>
        <v>45209</v>
      </c>
      <c r="S2629" s="57">
        <f>IFERROR(__xludf.DUMMYFUNCTION("""COMPUTED_VALUE"""),45210.0)</f>
        <v>45210</v>
      </c>
      <c r="T2629" s="57">
        <f>IFERROR(__xludf.DUMMYFUNCTION("""COMPUTED_VALUE"""),45243.0)</f>
        <v>45243</v>
      </c>
    </row>
    <row r="2630">
      <c r="A2630" s="6" t="str">
        <f>IFERROR(__xludf.DUMMYFUNCTION("""COMPUTED_VALUE"""),"231750788-1")</f>
        <v>231750788-1</v>
      </c>
      <c r="B2630" s="6" t="str">
        <f>IFERROR(__xludf.DUMMYFUNCTION("""COMPUTED_VALUE"""),"231750788 - Approved")</f>
        <v>231750788 - Approved</v>
      </c>
      <c r="C2630" s="6">
        <f>IFERROR(__xludf.DUMMYFUNCTION("""COMPUTED_VALUE"""),1.0)</f>
        <v>1</v>
      </c>
      <c r="D2630" s="6" t="str">
        <f>IFERROR(__xludf.DUMMYFUNCTION("""COMPUTED_VALUE"""),"O-19343-00")</f>
        <v>O-19343-00</v>
      </c>
      <c r="E2630" s="6" t="str">
        <f>IFERROR(__xludf.DUMMYFUNCTION("""COMPUTED_VALUE"""),"HEPA filter minipleat, size: 915x762x69 Class (EN 1822) : H14 - 99,995% MPPS; ; ;")</f>
        <v>HEPA filter minipleat, size: 915x762x69 Class (EN 1822) : H14 - 99,995% MPPS; ; ;</v>
      </c>
      <c r="F2630" s="6">
        <f>IFERROR(__xludf.DUMMYFUNCTION("""COMPUTED_VALUE"""),1.0)</f>
        <v>1</v>
      </c>
      <c r="G2630" s="6" t="str">
        <f>IFERROR(__xludf.DUMMYFUNCTION("""COMPUTED_VALUE"""),"Pieces")</f>
        <v>Pieces</v>
      </c>
      <c r="H2630" s="6" t="str">
        <f>IFERROR(__xludf.DUMMYFUNCTION("""COMPUTED_VALUE"""),"IDR")</f>
        <v>IDR</v>
      </c>
      <c r="I2630" s="11">
        <f>IFERROR(__xludf.DUMMYFUNCTION("""COMPUTED_VALUE"""),2550000.0)</f>
        <v>2550000</v>
      </c>
      <c r="J2630" s="11">
        <f>IFERROR(__xludf.DUMMYFUNCTION("""COMPUTED_VALUE"""),2550000.0)</f>
        <v>2550000</v>
      </c>
      <c r="K2630" s="57">
        <f>IFERROR(__xludf.DUMMYFUNCTION("""COMPUTED_VALUE"""),45224.0)</f>
        <v>45224</v>
      </c>
      <c r="L2630" s="6" t="str">
        <f>IFERROR(__xludf.DUMMYFUNCTION("""COMPUTED_VALUE"""),"FIP Engineering")</f>
        <v>FIP Engineering</v>
      </c>
      <c r="M2630" s="6" t="str">
        <f>IFERROR(__xludf.DUMMYFUNCTION("""COMPUTED_VALUE"""),"Mochammad Fadhillah Hakim")</f>
        <v>Mochammad Fadhillah Hakim</v>
      </c>
      <c r="N2630" s="6" t="str">
        <f>IFERROR(__xludf.DUMMYFUNCTION("""COMPUTED_VALUE"""),"FIP Engineering")</f>
        <v>FIP Engineering</v>
      </c>
      <c r="O2630" s="6" t="str">
        <f>IFERROR(__xludf.DUMMYFUNCTION("""COMPUTED_VALUE"""),"FIP-DOM-000-11304-OS00001-INA-000000")</f>
        <v>FIP-DOM-000-11304-OS00001-INA-000000</v>
      </c>
      <c r="P2630" s="6" t="str">
        <f>IFERROR(__xludf.DUMMYFUNCTION("""COMPUTED_VALUE"""),"PO Closed")</f>
        <v>PO Closed</v>
      </c>
      <c r="Q2630" s="6" t="str">
        <f>IFERROR(__xludf.DUMMYFUNCTION("""COMPUTED_VALUE"""),"GL2311047")</f>
        <v>GL2311047</v>
      </c>
      <c r="R2630" s="57">
        <f>IFERROR(__xludf.DUMMYFUNCTION("""COMPUTED_VALUE"""),45210.0)</f>
        <v>45210</v>
      </c>
      <c r="S2630" s="57">
        <f>IFERROR(__xludf.DUMMYFUNCTION("""COMPUTED_VALUE"""),45212.0)</f>
        <v>45212</v>
      </c>
      <c r="T2630" s="57">
        <f>IFERROR(__xludf.DUMMYFUNCTION("""COMPUTED_VALUE"""),45283.0)</f>
        <v>45283</v>
      </c>
    </row>
    <row r="2631">
      <c r="A2631" s="6" t="str">
        <f>IFERROR(__xludf.DUMMYFUNCTION("""COMPUTED_VALUE"""),"231750788-2")</f>
        <v>231750788-2</v>
      </c>
      <c r="B2631" s="6" t="str">
        <f>IFERROR(__xludf.DUMMYFUNCTION("""COMPUTED_VALUE"""),"231750788 - Approved")</f>
        <v>231750788 - Approved</v>
      </c>
      <c r="C2631" s="6">
        <f>IFERROR(__xludf.DUMMYFUNCTION("""COMPUTED_VALUE"""),2.0)</f>
        <v>2</v>
      </c>
      <c r="D2631" s="6" t="str">
        <f>IFERROR(__xludf.DUMMYFUNCTION("""COMPUTED_VALUE"""),"O-19345-00")</f>
        <v>O-19345-00</v>
      </c>
      <c r="E2631" s="6" t="str">
        <f>IFERROR(__xludf.DUMMYFUNCTION("""COMPUTED_VALUE"""),"Minipleat filters panel F781, size: 610x305x292 Class (EN 1822) : H14 - 99,995% MPPS; ; ;")</f>
        <v>Minipleat filters panel F781, size: 610x305x292 Class (EN 1822) : H14 - 99,995% MPPS; ; ;</v>
      </c>
      <c r="F2631" s="6">
        <f>IFERROR(__xludf.DUMMYFUNCTION("""COMPUTED_VALUE"""),1.0)</f>
        <v>1</v>
      </c>
      <c r="G2631" s="6" t="str">
        <f>IFERROR(__xludf.DUMMYFUNCTION("""COMPUTED_VALUE"""),"Pieces")</f>
        <v>Pieces</v>
      </c>
      <c r="H2631" s="6" t="str">
        <f>IFERROR(__xludf.DUMMYFUNCTION("""COMPUTED_VALUE"""),"IDR")</f>
        <v>IDR</v>
      </c>
      <c r="I2631" s="11">
        <f>IFERROR(__xludf.DUMMYFUNCTION("""COMPUTED_VALUE"""),1700000.0)</f>
        <v>1700000</v>
      </c>
      <c r="J2631" s="11">
        <f>IFERROR(__xludf.DUMMYFUNCTION("""COMPUTED_VALUE"""),1700000.0)</f>
        <v>1700000</v>
      </c>
      <c r="K2631" s="57">
        <f>IFERROR(__xludf.DUMMYFUNCTION("""COMPUTED_VALUE"""),45224.0)</f>
        <v>45224</v>
      </c>
      <c r="L2631" s="6" t="str">
        <f>IFERROR(__xludf.DUMMYFUNCTION("""COMPUTED_VALUE"""),"FIP Engineering")</f>
        <v>FIP Engineering</v>
      </c>
      <c r="M2631" s="6" t="str">
        <f>IFERROR(__xludf.DUMMYFUNCTION("""COMPUTED_VALUE"""),"Mochammad Fadhillah Hakim")</f>
        <v>Mochammad Fadhillah Hakim</v>
      </c>
      <c r="N2631" s="6" t="str">
        <f>IFERROR(__xludf.DUMMYFUNCTION("""COMPUTED_VALUE"""),"FIP Engineering")</f>
        <v>FIP Engineering</v>
      </c>
      <c r="O2631" s="6" t="str">
        <f>IFERROR(__xludf.DUMMYFUNCTION("""COMPUTED_VALUE"""),"FIP-DOM-000-11304-OS00001-INA-000000")</f>
        <v>FIP-DOM-000-11304-OS00001-INA-000000</v>
      </c>
      <c r="P2631" s="6" t="str">
        <f>IFERROR(__xludf.DUMMYFUNCTION("""COMPUTED_VALUE"""),"PO Closed")</f>
        <v>PO Closed</v>
      </c>
      <c r="Q2631" s="6" t="str">
        <f>IFERROR(__xludf.DUMMYFUNCTION("""COMPUTED_VALUE"""),"GL2311047")</f>
        <v>GL2311047</v>
      </c>
      <c r="R2631" s="57">
        <f>IFERROR(__xludf.DUMMYFUNCTION("""COMPUTED_VALUE"""),45210.0)</f>
        <v>45210</v>
      </c>
      <c r="S2631" s="57">
        <f>IFERROR(__xludf.DUMMYFUNCTION("""COMPUTED_VALUE"""),45212.0)</f>
        <v>45212</v>
      </c>
      <c r="T2631" s="57">
        <f>IFERROR(__xludf.DUMMYFUNCTION("""COMPUTED_VALUE"""),45283.0)</f>
        <v>45283</v>
      </c>
    </row>
    <row r="2632">
      <c r="A2632" s="6" t="str">
        <f>IFERROR(__xludf.DUMMYFUNCTION("""COMPUTED_VALUE"""),"231750788-3")</f>
        <v>231750788-3</v>
      </c>
      <c r="B2632" s="6" t="str">
        <f>IFERROR(__xludf.DUMMYFUNCTION("""COMPUTED_VALUE"""),"231750788 - Approved")</f>
        <v>231750788 - Approved</v>
      </c>
      <c r="C2632" s="6">
        <f>IFERROR(__xludf.DUMMYFUNCTION("""COMPUTED_VALUE"""),3.0)</f>
        <v>3</v>
      </c>
      <c r="D2632" s="6" t="str">
        <f>IFERROR(__xludf.DUMMYFUNCTION("""COMPUTED_VALUE"""),"O-19344-00")</f>
        <v>O-19344-00</v>
      </c>
      <c r="E2632" s="6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F2632" s="6">
        <f>IFERROR(__xludf.DUMMYFUNCTION("""COMPUTED_VALUE"""),7.0)</f>
        <v>7</v>
      </c>
      <c r="G2632" s="6" t="str">
        <f>IFERROR(__xludf.DUMMYFUNCTION("""COMPUTED_VALUE"""),"Pieces")</f>
        <v>Pieces</v>
      </c>
      <c r="H2632" s="6" t="str">
        <f>IFERROR(__xludf.DUMMYFUNCTION("""COMPUTED_VALUE"""),"IDR")</f>
        <v>IDR</v>
      </c>
      <c r="I2632" s="11">
        <f>IFERROR(__xludf.DUMMYFUNCTION("""COMPUTED_VALUE"""),1550000.0)</f>
        <v>1550000</v>
      </c>
      <c r="J2632" s="11">
        <f>IFERROR(__xludf.DUMMYFUNCTION("""COMPUTED_VALUE"""),1.085E7)</f>
        <v>10850000</v>
      </c>
      <c r="K2632" s="57">
        <f>IFERROR(__xludf.DUMMYFUNCTION("""COMPUTED_VALUE"""),45224.0)</f>
        <v>45224</v>
      </c>
      <c r="L2632" s="6" t="str">
        <f>IFERROR(__xludf.DUMMYFUNCTION("""COMPUTED_VALUE"""),"FIP Engineering")</f>
        <v>FIP Engineering</v>
      </c>
      <c r="M2632" s="6" t="str">
        <f>IFERROR(__xludf.DUMMYFUNCTION("""COMPUTED_VALUE"""),"Mochammad Fadhillah Hakim")</f>
        <v>Mochammad Fadhillah Hakim</v>
      </c>
      <c r="N2632" s="6" t="str">
        <f>IFERROR(__xludf.DUMMYFUNCTION("""COMPUTED_VALUE"""),"FIP Engineering")</f>
        <v>FIP Engineering</v>
      </c>
      <c r="O2632" s="6" t="str">
        <f>IFERROR(__xludf.DUMMYFUNCTION("""COMPUTED_VALUE"""),"FIP-DOM-000-11304-OS00001-INA-000000")</f>
        <v>FIP-DOM-000-11304-OS00001-INA-000000</v>
      </c>
      <c r="P2632" s="6" t="str">
        <f>IFERROR(__xludf.DUMMYFUNCTION("""COMPUTED_VALUE"""),"PO Closed")</f>
        <v>PO Closed</v>
      </c>
      <c r="Q2632" s="6" t="str">
        <f>IFERROR(__xludf.DUMMYFUNCTION("""COMPUTED_VALUE"""),"GL2311047")</f>
        <v>GL2311047</v>
      </c>
      <c r="R2632" s="57">
        <f>IFERROR(__xludf.DUMMYFUNCTION("""COMPUTED_VALUE"""),45210.0)</f>
        <v>45210</v>
      </c>
      <c r="S2632" s="57">
        <f>IFERROR(__xludf.DUMMYFUNCTION("""COMPUTED_VALUE"""),45212.0)</f>
        <v>45212</v>
      </c>
      <c r="T2632" s="57">
        <f>IFERROR(__xludf.DUMMYFUNCTION("""COMPUTED_VALUE"""),45283.0)</f>
        <v>45283</v>
      </c>
    </row>
    <row r="2633">
      <c r="A2633" s="6" t="str">
        <f>IFERROR(__xludf.DUMMYFUNCTION("""COMPUTED_VALUE"""),"231750788-4")</f>
        <v>231750788-4</v>
      </c>
      <c r="B2633" s="6" t="str">
        <f>IFERROR(__xludf.DUMMYFUNCTION("""COMPUTED_VALUE"""),"231750788 - Approved")</f>
        <v>231750788 - Approved</v>
      </c>
      <c r="C2633" s="6">
        <f>IFERROR(__xludf.DUMMYFUNCTION("""COMPUTED_VALUE"""),4.0)</f>
        <v>4</v>
      </c>
      <c r="D2633" s="6" t="str">
        <f>IFERROR(__xludf.DUMMYFUNCTION("""COMPUTED_VALUE"""),"O-19347-00")</f>
        <v>O-19347-00</v>
      </c>
      <c r="E2633" s="6" t="str">
        <f>IFERROR(__xludf.DUMMYFUNCTION("""COMPUTED_VALUE"""),"HEPA filter minipleat, size: 1220X610X93 H13; ; ;")</f>
        <v>HEPA filter minipleat, size: 1220X610X93 H13; ; ;</v>
      </c>
      <c r="F2633" s="6">
        <f>IFERROR(__xludf.DUMMYFUNCTION("""COMPUTED_VALUE"""),8.0)</f>
        <v>8</v>
      </c>
      <c r="G2633" s="6" t="str">
        <f>IFERROR(__xludf.DUMMYFUNCTION("""COMPUTED_VALUE"""),"Pieces")</f>
        <v>Pieces</v>
      </c>
      <c r="H2633" s="6" t="str">
        <f>IFERROR(__xludf.DUMMYFUNCTION("""COMPUTED_VALUE"""),"IDR")</f>
        <v>IDR</v>
      </c>
      <c r="I2633" s="11">
        <f>IFERROR(__xludf.DUMMYFUNCTION("""COMPUTED_VALUE"""),1850000.0)</f>
        <v>1850000</v>
      </c>
      <c r="J2633" s="11">
        <f>IFERROR(__xludf.DUMMYFUNCTION("""COMPUTED_VALUE"""),1.48E7)</f>
        <v>14800000</v>
      </c>
      <c r="K2633" s="57">
        <f>IFERROR(__xludf.DUMMYFUNCTION("""COMPUTED_VALUE"""),45224.0)</f>
        <v>45224</v>
      </c>
      <c r="L2633" s="6" t="str">
        <f>IFERROR(__xludf.DUMMYFUNCTION("""COMPUTED_VALUE"""),"FIP Engineering")</f>
        <v>FIP Engineering</v>
      </c>
      <c r="M2633" s="6" t="str">
        <f>IFERROR(__xludf.DUMMYFUNCTION("""COMPUTED_VALUE"""),"Mochammad Fadhillah Hakim")</f>
        <v>Mochammad Fadhillah Hakim</v>
      </c>
      <c r="N2633" s="6" t="str">
        <f>IFERROR(__xludf.DUMMYFUNCTION("""COMPUTED_VALUE"""),"FIP Engineering")</f>
        <v>FIP Engineering</v>
      </c>
      <c r="O2633" s="6" t="str">
        <f>IFERROR(__xludf.DUMMYFUNCTION("""COMPUTED_VALUE"""),"FIP-DOM-000-11304-OS00001-INA-000000")</f>
        <v>FIP-DOM-000-11304-OS00001-INA-000000</v>
      </c>
      <c r="P2633" s="6" t="str">
        <f>IFERROR(__xludf.DUMMYFUNCTION("""COMPUTED_VALUE"""),"PO Closed")</f>
        <v>PO Closed</v>
      </c>
      <c r="Q2633" s="6" t="str">
        <f>IFERROR(__xludf.DUMMYFUNCTION("""COMPUTED_VALUE"""),"GL2311047")</f>
        <v>GL2311047</v>
      </c>
      <c r="R2633" s="57">
        <f>IFERROR(__xludf.DUMMYFUNCTION("""COMPUTED_VALUE"""),45210.0)</f>
        <v>45210</v>
      </c>
      <c r="S2633" s="57">
        <f>IFERROR(__xludf.DUMMYFUNCTION("""COMPUTED_VALUE"""),45212.0)</f>
        <v>45212</v>
      </c>
      <c r="T2633" s="57">
        <f>IFERROR(__xludf.DUMMYFUNCTION("""COMPUTED_VALUE"""),45283.0)</f>
        <v>45283</v>
      </c>
    </row>
    <row r="2634">
      <c r="A2634" s="6" t="str">
        <f>IFERROR(__xludf.DUMMYFUNCTION("""COMPUTED_VALUE"""),"231750788-5")</f>
        <v>231750788-5</v>
      </c>
      <c r="B2634" s="6" t="str">
        <f>IFERROR(__xludf.DUMMYFUNCTION("""COMPUTED_VALUE"""),"231750788 - Approved")</f>
        <v>231750788 - Approved</v>
      </c>
      <c r="C2634" s="6">
        <f>IFERROR(__xludf.DUMMYFUNCTION("""COMPUTED_VALUE"""),5.0)</f>
        <v>5</v>
      </c>
      <c r="D2634" s="6" t="str">
        <f>IFERROR(__xludf.DUMMYFUNCTION("""COMPUTED_VALUE"""),"O-19346-00")</f>
        <v>O-19346-00</v>
      </c>
      <c r="E2634" s="6" t="str">
        <f>IFERROR(__xludf.DUMMYFUNCTION("""COMPUTED_VALUE"""),"HEPA filter minipleat, size: 1220X610X93 H14; ; ;")</f>
        <v>HEPA filter minipleat, size: 1220X610X93 H14; ; ;</v>
      </c>
      <c r="F2634" s="6">
        <f>IFERROR(__xludf.DUMMYFUNCTION("""COMPUTED_VALUE"""),15.0)</f>
        <v>15</v>
      </c>
      <c r="G2634" s="6" t="str">
        <f>IFERROR(__xludf.DUMMYFUNCTION("""COMPUTED_VALUE"""),"Pieces")</f>
        <v>Pieces</v>
      </c>
      <c r="H2634" s="6" t="str">
        <f>IFERROR(__xludf.DUMMYFUNCTION("""COMPUTED_VALUE"""),"IDR")</f>
        <v>IDR</v>
      </c>
      <c r="I2634" s="11">
        <f>IFERROR(__xludf.DUMMYFUNCTION("""COMPUTED_VALUE"""),1850000.0)</f>
        <v>1850000</v>
      </c>
      <c r="J2634" s="11">
        <f>IFERROR(__xludf.DUMMYFUNCTION("""COMPUTED_VALUE"""),2.775E7)</f>
        <v>27750000</v>
      </c>
      <c r="K2634" s="57">
        <f>IFERROR(__xludf.DUMMYFUNCTION("""COMPUTED_VALUE"""),45224.0)</f>
        <v>45224</v>
      </c>
      <c r="L2634" s="6" t="str">
        <f>IFERROR(__xludf.DUMMYFUNCTION("""COMPUTED_VALUE"""),"FIP Engineering")</f>
        <v>FIP Engineering</v>
      </c>
      <c r="M2634" s="6" t="str">
        <f>IFERROR(__xludf.DUMMYFUNCTION("""COMPUTED_VALUE"""),"Mochammad Fadhillah Hakim")</f>
        <v>Mochammad Fadhillah Hakim</v>
      </c>
      <c r="N2634" s="6" t="str">
        <f>IFERROR(__xludf.DUMMYFUNCTION("""COMPUTED_VALUE"""),"FIP Engineering")</f>
        <v>FIP Engineering</v>
      </c>
      <c r="O2634" s="6" t="str">
        <f>IFERROR(__xludf.DUMMYFUNCTION("""COMPUTED_VALUE"""),"FIP-DOM-000-11304-OS00001-INA-000000")</f>
        <v>FIP-DOM-000-11304-OS00001-INA-000000</v>
      </c>
      <c r="P2634" s="6" t="str">
        <f>IFERROR(__xludf.DUMMYFUNCTION("""COMPUTED_VALUE"""),"PO Closed")</f>
        <v>PO Closed</v>
      </c>
      <c r="Q2634" s="6" t="str">
        <f>IFERROR(__xludf.DUMMYFUNCTION("""COMPUTED_VALUE"""),"GL2311047")</f>
        <v>GL2311047</v>
      </c>
      <c r="R2634" s="57">
        <f>IFERROR(__xludf.DUMMYFUNCTION("""COMPUTED_VALUE"""),45210.0)</f>
        <v>45210</v>
      </c>
      <c r="S2634" s="57">
        <f>IFERROR(__xludf.DUMMYFUNCTION("""COMPUTED_VALUE"""),45212.0)</f>
        <v>45212</v>
      </c>
      <c r="T2634" s="57">
        <f>IFERROR(__xludf.DUMMYFUNCTION("""COMPUTED_VALUE"""),45283.0)</f>
        <v>45283</v>
      </c>
    </row>
    <row r="2635">
      <c r="A2635" s="6" t="str">
        <f>IFERROR(__xludf.DUMMYFUNCTION("""COMPUTED_VALUE"""),"231750789-1")</f>
        <v>231750789-1</v>
      </c>
      <c r="B2635" s="6" t="str">
        <f>IFERROR(__xludf.DUMMYFUNCTION("""COMPUTED_VALUE"""),"231750789 - Approved")</f>
        <v>231750789 - Approved</v>
      </c>
      <c r="C2635" s="6">
        <f>IFERROR(__xludf.DUMMYFUNCTION("""COMPUTED_VALUE"""),1.0)</f>
        <v>1</v>
      </c>
      <c r="D2635" s="6" t="str">
        <f>IFERROR(__xludf.DUMMYFUNCTION("""COMPUTED_VALUE"""),"O-15559-00")</f>
        <v>O-15559-00</v>
      </c>
      <c r="E2635" s="6" t="str">
        <f>IFERROR(__xludf.DUMMYFUNCTION("""COMPUTED_VALUE"""),"BEARING INA KH 1428; STERILINE : PART NO :200023")</f>
        <v>BEARING INA KH 1428; STERILINE : PART NO :200023</v>
      </c>
      <c r="F2635" s="6">
        <f>IFERROR(__xludf.DUMMYFUNCTION("""COMPUTED_VALUE"""),5.0)</f>
        <v>5</v>
      </c>
      <c r="G2635" s="6" t="str">
        <f>IFERROR(__xludf.DUMMYFUNCTION("""COMPUTED_VALUE"""),"Unit")</f>
        <v>Unit</v>
      </c>
      <c r="H2635" s="6" t="str">
        <f>IFERROR(__xludf.DUMMYFUNCTION("""COMPUTED_VALUE"""),"IDR")</f>
        <v>IDR</v>
      </c>
      <c r="I2635" s="11">
        <f>IFERROR(__xludf.DUMMYFUNCTION("""COMPUTED_VALUE"""),100000.0)</f>
        <v>100000</v>
      </c>
      <c r="J2635" s="11">
        <f>IFERROR(__xludf.DUMMYFUNCTION("""COMPUTED_VALUE"""),500000.0)</f>
        <v>500000</v>
      </c>
      <c r="K2635" s="57">
        <f>IFERROR(__xludf.DUMMYFUNCTION("""COMPUTED_VALUE"""),45224.0)</f>
        <v>45224</v>
      </c>
      <c r="L2635" s="6" t="str">
        <f>IFERROR(__xludf.DUMMYFUNCTION("""COMPUTED_VALUE"""),"FIP Engineering")</f>
        <v>FIP Engineering</v>
      </c>
      <c r="M2635" s="6" t="str">
        <f>IFERROR(__xludf.DUMMYFUNCTION("""COMPUTED_VALUE"""),"Mochammad Fadhillah Hakim")</f>
        <v>Mochammad Fadhillah Hakim</v>
      </c>
      <c r="N2635" s="6" t="str">
        <f>IFERROR(__xludf.DUMMYFUNCTION("""COMPUTED_VALUE"""),"FIP Engineering")</f>
        <v>FIP Engineering</v>
      </c>
      <c r="O2635" s="6" t="str">
        <f>IFERROR(__xludf.DUMMYFUNCTION("""COMPUTED_VALUE"""),"FIP-DOM-000-11304-OS00001-INA-000000")</f>
        <v>FIP-DOM-000-11304-OS00001-INA-000000</v>
      </c>
      <c r="P2635" s="6" t="str">
        <f>IFERROR(__xludf.DUMMYFUNCTION("""COMPUTED_VALUE"""),"PO Closed")</f>
        <v>PO Closed</v>
      </c>
      <c r="Q2635" s="6" t="str">
        <f>IFERROR(__xludf.DUMMYFUNCTION("""COMPUTED_VALUE"""),"GL2311057")</f>
        <v>GL2311057</v>
      </c>
      <c r="R2635" s="57">
        <f>IFERROR(__xludf.DUMMYFUNCTION("""COMPUTED_VALUE"""),45210.0)</f>
        <v>45210</v>
      </c>
      <c r="S2635" s="57">
        <f>IFERROR(__xludf.DUMMYFUNCTION("""COMPUTED_VALUE"""),45218.0)</f>
        <v>45218</v>
      </c>
      <c r="T2635" s="57">
        <f>IFERROR(__xludf.DUMMYFUNCTION("""COMPUTED_VALUE"""),45275.0)</f>
        <v>45275</v>
      </c>
    </row>
    <row r="2636">
      <c r="A2636" s="6" t="str">
        <f>IFERROR(__xludf.DUMMYFUNCTION("""COMPUTED_VALUE"""),"231750794-1")</f>
        <v>231750794-1</v>
      </c>
      <c r="B2636" s="6" t="str">
        <f>IFERROR(__xludf.DUMMYFUNCTION("""COMPUTED_VALUE"""),"231750794 - Approved")</f>
        <v>231750794 - Approved</v>
      </c>
      <c r="C2636" s="6">
        <f>IFERROR(__xludf.DUMMYFUNCTION("""COMPUTED_VALUE"""),1.0)</f>
        <v>1</v>
      </c>
      <c r="D2636" s="6" t="str">
        <f>IFERROR(__xludf.DUMMYFUNCTION("""COMPUTED_VALUE"""),"P-12810-00")</f>
        <v>P-12810-00</v>
      </c>
      <c r="E2636" s="6" t="str">
        <f>IFERROR(__xludf.DUMMYFUNCTION("""COMPUTED_VALUE"""),"Sock Drat luar PVC AW dia 1inch")</f>
        <v>Sock Drat luar PVC AW dia 1inch</v>
      </c>
      <c r="F2636" s="6">
        <f>IFERROR(__xludf.DUMMYFUNCTION("""COMPUTED_VALUE"""),3.0)</f>
        <v>3</v>
      </c>
      <c r="G2636" s="6" t="str">
        <f>IFERROR(__xludf.DUMMYFUNCTION("""COMPUTED_VALUE"""),"Pieces")</f>
        <v>Pieces</v>
      </c>
      <c r="H2636" s="6" t="str">
        <f>IFERROR(__xludf.DUMMYFUNCTION("""COMPUTED_VALUE"""),"IDR")</f>
        <v>IDR</v>
      </c>
      <c r="I2636" s="11">
        <f>IFERROR(__xludf.DUMMYFUNCTION("""COMPUTED_VALUE"""),3000.0)</f>
        <v>3000</v>
      </c>
      <c r="J2636" s="11">
        <f>IFERROR(__xludf.DUMMYFUNCTION("""COMPUTED_VALUE"""),9000.0)</f>
        <v>9000</v>
      </c>
      <c r="K2636" s="57">
        <f>IFERROR(__xludf.DUMMYFUNCTION("""COMPUTED_VALUE"""),45225.0)</f>
        <v>45225</v>
      </c>
      <c r="L2636" s="6" t="str">
        <f>IFERROR(__xludf.DUMMYFUNCTION("""COMPUTED_VALUE"""),"FIP Engineering")</f>
        <v>FIP Engineering</v>
      </c>
      <c r="M2636" s="6" t="str">
        <f>IFERROR(__xludf.DUMMYFUNCTION("""COMPUTED_VALUE"""),"Mochammad Fadhillah Hakim")</f>
        <v>Mochammad Fadhillah Hakim</v>
      </c>
      <c r="N2636" s="6" t="str">
        <f>IFERROR(__xludf.DUMMYFUNCTION("""COMPUTED_VALUE"""),"FIP Engineering")</f>
        <v>FIP Engineering</v>
      </c>
      <c r="O2636" s="6" t="str">
        <f>IFERROR(__xludf.DUMMYFUNCTION("""COMPUTED_VALUE"""),"FIP-DOM-000-11304-OS00001-INA-000000")</f>
        <v>FIP-DOM-000-11304-OS00001-INA-000000</v>
      </c>
      <c r="P2636" s="6" t="str">
        <f>IFERROR(__xludf.DUMMYFUNCTION("""COMPUTED_VALUE"""),"PO Closed")</f>
        <v>PO Closed</v>
      </c>
      <c r="Q2636" s="6" t="str">
        <f>IFERROR(__xludf.DUMMYFUNCTION("""COMPUTED_VALUE"""),"GL2311032")</f>
        <v>GL2311032</v>
      </c>
      <c r="R2636" s="57">
        <f>IFERROR(__xludf.DUMMYFUNCTION("""COMPUTED_VALUE"""),45211.0)</f>
        <v>45211</v>
      </c>
      <c r="S2636" s="57">
        <f>IFERROR(__xludf.DUMMYFUNCTION("""COMPUTED_VALUE"""),45212.0)</f>
        <v>45212</v>
      </c>
      <c r="T2636" s="57">
        <f>IFERROR(__xludf.DUMMYFUNCTION("""COMPUTED_VALUE"""),45264.0)</f>
        <v>45264</v>
      </c>
    </row>
    <row r="2637">
      <c r="A2637" s="6" t="str">
        <f>IFERROR(__xludf.DUMMYFUNCTION("""COMPUTED_VALUE"""),"231750794-2")</f>
        <v>231750794-2</v>
      </c>
      <c r="B2637" s="6" t="str">
        <f>IFERROR(__xludf.DUMMYFUNCTION("""COMPUTED_VALUE"""),"231750794 - Approved")</f>
        <v>231750794 - Approved</v>
      </c>
      <c r="C2637" s="6">
        <f>IFERROR(__xludf.DUMMYFUNCTION("""COMPUTED_VALUE"""),2.0)</f>
        <v>2</v>
      </c>
      <c r="D2637" s="6" t="str">
        <f>IFERROR(__xludf.DUMMYFUNCTION("""COMPUTED_VALUE"""),"P-12185-00")</f>
        <v>P-12185-00</v>
      </c>
      <c r="E2637" s="6" t="str">
        <f>IFERROR(__xludf.DUMMYFUNCTION("""COMPUTED_VALUE"""),"Elbow PVC AW 90 deg dia 1inch")</f>
        <v>Elbow PVC AW 90 deg dia 1inch</v>
      </c>
      <c r="F2637" s="6">
        <f>IFERROR(__xludf.DUMMYFUNCTION("""COMPUTED_VALUE"""),15.0)</f>
        <v>15</v>
      </c>
      <c r="G2637" s="6" t="str">
        <f>IFERROR(__xludf.DUMMYFUNCTION("""COMPUTED_VALUE"""),"Pieces")</f>
        <v>Pieces</v>
      </c>
      <c r="H2637" s="6" t="str">
        <f>IFERROR(__xludf.DUMMYFUNCTION("""COMPUTED_VALUE"""),"IDR")</f>
        <v>IDR</v>
      </c>
      <c r="I2637" s="11">
        <f>IFERROR(__xludf.DUMMYFUNCTION("""COMPUTED_VALUE"""),5000.0)</f>
        <v>5000</v>
      </c>
      <c r="J2637" s="11">
        <f>IFERROR(__xludf.DUMMYFUNCTION("""COMPUTED_VALUE"""),75000.0)</f>
        <v>75000</v>
      </c>
      <c r="K2637" s="57">
        <f>IFERROR(__xludf.DUMMYFUNCTION("""COMPUTED_VALUE"""),45225.0)</f>
        <v>45225</v>
      </c>
      <c r="L2637" s="6" t="str">
        <f>IFERROR(__xludf.DUMMYFUNCTION("""COMPUTED_VALUE"""),"FIP Engineering")</f>
        <v>FIP Engineering</v>
      </c>
      <c r="M2637" s="6" t="str">
        <f>IFERROR(__xludf.DUMMYFUNCTION("""COMPUTED_VALUE"""),"Mochammad Fadhillah Hakim")</f>
        <v>Mochammad Fadhillah Hakim</v>
      </c>
      <c r="N2637" s="6" t="str">
        <f>IFERROR(__xludf.DUMMYFUNCTION("""COMPUTED_VALUE"""),"FIP Engineering")</f>
        <v>FIP Engineering</v>
      </c>
      <c r="O2637" s="6" t="str">
        <f>IFERROR(__xludf.DUMMYFUNCTION("""COMPUTED_VALUE"""),"FIP-DOM-000-11304-OS00001-INA-000000")</f>
        <v>FIP-DOM-000-11304-OS00001-INA-000000</v>
      </c>
      <c r="P2637" s="6" t="str">
        <f>IFERROR(__xludf.DUMMYFUNCTION("""COMPUTED_VALUE"""),"PO Closed")</f>
        <v>PO Closed</v>
      </c>
      <c r="Q2637" s="6" t="str">
        <f>IFERROR(__xludf.DUMMYFUNCTION("""COMPUTED_VALUE"""),"GL2311032")</f>
        <v>GL2311032</v>
      </c>
      <c r="R2637" s="57">
        <f>IFERROR(__xludf.DUMMYFUNCTION("""COMPUTED_VALUE"""),45211.0)</f>
        <v>45211</v>
      </c>
      <c r="S2637" s="57">
        <f>IFERROR(__xludf.DUMMYFUNCTION("""COMPUTED_VALUE"""),45212.0)</f>
        <v>45212</v>
      </c>
      <c r="T2637" s="57">
        <f>IFERROR(__xludf.DUMMYFUNCTION("""COMPUTED_VALUE"""),45264.0)</f>
        <v>45264</v>
      </c>
    </row>
    <row r="2638">
      <c r="A2638" s="6" t="str">
        <f>IFERROR(__xludf.DUMMYFUNCTION("""COMPUTED_VALUE"""),"231750794-3")</f>
        <v>231750794-3</v>
      </c>
      <c r="B2638" s="6" t="str">
        <f>IFERROR(__xludf.DUMMYFUNCTION("""COMPUTED_VALUE"""),"231750794 - Approved")</f>
        <v>231750794 - Approved</v>
      </c>
      <c r="C2638" s="6">
        <f>IFERROR(__xludf.DUMMYFUNCTION("""COMPUTED_VALUE"""),3.0)</f>
        <v>3</v>
      </c>
      <c r="D2638" s="6" t="str">
        <f>IFERROR(__xludf.DUMMYFUNCTION("""COMPUTED_VALUE"""),"P-12803-00")</f>
        <v>P-12803-00</v>
      </c>
      <c r="E2638" s="6" t="str">
        <f>IFERROR(__xludf.DUMMYFUNCTION("""COMPUTED_VALUE"""),"Sock Drat dalam PVC AW dia 1 inch")</f>
        <v>Sock Drat dalam PVC AW dia 1 inch</v>
      </c>
      <c r="F2638" s="6">
        <f>IFERROR(__xludf.DUMMYFUNCTION("""COMPUTED_VALUE"""),5.0)</f>
        <v>5</v>
      </c>
      <c r="G2638" s="6" t="str">
        <f>IFERROR(__xludf.DUMMYFUNCTION("""COMPUTED_VALUE"""),"Pieces")</f>
        <v>Pieces</v>
      </c>
      <c r="H2638" s="6" t="str">
        <f>IFERROR(__xludf.DUMMYFUNCTION("""COMPUTED_VALUE"""),"IDR")</f>
        <v>IDR</v>
      </c>
      <c r="I2638" s="11">
        <f>IFERROR(__xludf.DUMMYFUNCTION("""COMPUTED_VALUE"""),5000.0)</f>
        <v>5000</v>
      </c>
      <c r="J2638" s="11">
        <f>IFERROR(__xludf.DUMMYFUNCTION("""COMPUTED_VALUE"""),25000.0)</f>
        <v>25000</v>
      </c>
      <c r="K2638" s="57">
        <f>IFERROR(__xludf.DUMMYFUNCTION("""COMPUTED_VALUE"""),45225.0)</f>
        <v>45225</v>
      </c>
      <c r="L2638" s="6" t="str">
        <f>IFERROR(__xludf.DUMMYFUNCTION("""COMPUTED_VALUE"""),"FIP Engineering")</f>
        <v>FIP Engineering</v>
      </c>
      <c r="M2638" s="6" t="str">
        <f>IFERROR(__xludf.DUMMYFUNCTION("""COMPUTED_VALUE"""),"Mochammad Fadhillah Hakim")</f>
        <v>Mochammad Fadhillah Hakim</v>
      </c>
      <c r="N2638" s="6" t="str">
        <f>IFERROR(__xludf.DUMMYFUNCTION("""COMPUTED_VALUE"""),"FIP Engineering")</f>
        <v>FIP Engineering</v>
      </c>
      <c r="O2638" s="6" t="str">
        <f>IFERROR(__xludf.DUMMYFUNCTION("""COMPUTED_VALUE"""),"FIP-DOM-000-11304-OS00001-INA-000000")</f>
        <v>FIP-DOM-000-11304-OS00001-INA-000000</v>
      </c>
      <c r="P2638" s="6" t="str">
        <f>IFERROR(__xludf.DUMMYFUNCTION("""COMPUTED_VALUE"""),"PO Closed")</f>
        <v>PO Closed</v>
      </c>
      <c r="Q2638" s="6" t="str">
        <f>IFERROR(__xludf.DUMMYFUNCTION("""COMPUTED_VALUE"""),"GL2311032")</f>
        <v>GL2311032</v>
      </c>
      <c r="R2638" s="57">
        <f>IFERROR(__xludf.DUMMYFUNCTION("""COMPUTED_VALUE"""),45211.0)</f>
        <v>45211</v>
      </c>
      <c r="S2638" s="57">
        <f>IFERROR(__xludf.DUMMYFUNCTION("""COMPUTED_VALUE"""),45212.0)</f>
        <v>45212</v>
      </c>
      <c r="T2638" s="57">
        <f>IFERROR(__xludf.DUMMYFUNCTION("""COMPUTED_VALUE"""),45264.0)</f>
        <v>45264</v>
      </c>
    </row>
    <row r="2639">
      <c r="A2639" s="6" t="str">
        <f>IFERROR(__xludf.DUMMYFUNCTION("""COMPUTED_VALUE"""),"231750794-4")</f>
        <v>231750794-4</v>
      </c>
      <c r="B2639" s="6" t="str">
        <f>IFERROR(__xludf.DUMMYFUNCTION("""COMPUTED_VALUE"""),"231750794 - Approved")</f>
        <v>231750794 - Approved</v>
      </c>
      <c r="C2639" s="6">
        <f>IFERROR(__xludf.DUMMYFUNCTION("""COMPUTED_VALUE"""),4.0)</f>
        <v>4</v>
      </c>
      <c r="D2639" s="6" t="str">
        <f>IFERROR(__xludf.DUMMYFUNCTION("""COMPUTED_VALUE"""),"P-15078-00")</f>
        <v>P-15078-00</v>
      </c>
      <c r="E2639" s="6" t="str">
        <f>IFERROR(__xludf.DUMMYFUNCTION("""COMPUTED_VALUE"""),"ELBOW PVC AW 2")</f>
        <v>ELBOW PVC AW 2</v>
      </c>
      <c r="F2639" s="6">
        <f>IFERROR(__xludf.DUMMYFUNCTION("""COMPUTED_VALUE"""),3.0)</f>
        <v>3</v>
      </c>
      <c r="G2639" s="6" t="str">
        <f>IFERROR(__xludf.DUMMYFUNCTION("""COMPUTED_VALUE"""),"Pieces")</f>
        <v>Pieces</v>
      </c>
      <c r="H2639" s="6" t="str">
        <f>IFERROR(__xludf.DUMMYFUNCTION("""COMPUTED_VALUE"""),"IDR")</f>
        <v>IDR</v>
      </c>
      <c r="I2639" s="11">
        <f>IFERROR(__xludf.DUMMYFUNCTION("""COMPUTED_VALUE"""),23000.0)</f>
        <v>23000</v>
      </c>
      <c r="J2639" s="11">
        <f>IFERROR(__xludf.DUMMYFUNCTION("""COMPUTED_VALUE"""),69000.0)</f>
        <v>69000</v>
      </c>
      <c r="K2639" s="57">
        <f>IFERROR(__xludf.DUMMYFUNCTION("""COMPUTED_VALUE"""),45225.0)</f>
        <v>45225</v>
      </c>
      <c r="L2639" s="6" t="str">
        <f>IFERROR(__xludf.DUMMYFUNCTION("""COMPUTED_VALUE"""),"FIP Engineering")</f>
        <v>FIP Engineering</v>
      </c>
      <c r="M2639" s="6" t="str">
        <f>IFERROR(__xludf.DUMMYFUNCTION("""COMPUTED_VALUE"""),"Mochammad Fadhillah Hakim")</f>
        <v>Mochammad Fadhillah Hakim</v>
      </c>
      <c r="N2639" s="6" t="str">
        <f>IFERROR(__xludf.DUMMYFUNCTION("""COMPUTED_VALUE"""),"FIP Engineering")</f>
        <v>FIP Engineering</v>
      </c>
      <c r="O2639" s="6" t="str">
        <f>IFERROR(__xludf.DUMMYFUNCTION("""COMPUTED_VALUE"""),"FIP-DOM-000-11304-OS00001-INA-000000")</f>
        <v>FIP-DOM-000-11304-OS00001-INA-000000</v>
      </c>
      <c r="P2639" s="6" t="str">
        <f>IFERROR(__xludf.DUMMYFUNCTION("""COMPUTED_VALUE"""),"PO Closed")</f>
        <v>PO Closed</v>
      </c>
      <c r="Q2639" s="6" t="str">
        <f>IFERROR(__xludf.DUMMYFUNCTION("""COMPUTED_VALUE"""),"GL2311032")</f>
        <v>GL2311032</v>
      </c>
      <c r="R2639" s="57">
        <f>IFERROR(__xludf.DUMMYFUNCTION("""COMPUTED_VALUE"""),45211.0)</f>
        <v>45211</v>
      </c>
      <c r="S2639" s="57">
        <f>IFERROR(__xludf.DUMMYFUNCTION("""COMPUTED_VALUE"""),45212.0)</f>
        <v>45212</v>
      </c>
      <c r="T2639" s="57">
        <f>IFERROR(__xludf.DUMMYFUNCTION("""COMPUTED_VALUE"""),45264.0)</f>
        <v>45264</v>
      </c>
    </row>
    <row r="2640">
      <c r="A2640" s="6" t="str">
        <f>IFERROR(__xludf.DUMMYFUNCTION("""COMPUTED_VALUE"""),"231750794-5")</f>
        <v>231750794-5</v>
      </c>
      <c r="B2640" s="6" t="str">
        <f>IFERROR(__xludf.DUMMYFUNCTION("""COMPUTED_VALUE"""),"231750794 - Approved")</f>
        <v>231750794 - Approved</v>
      </c>
      <c r="C2640" s="6">
        <f>IFERROR(__xludf.DUMMYFUNCTION("""COMPUTED_VALUE"""),5.0)</f>
        <v>5</v>
      </c>
      <c r="D2640" s="6" t="str">
        <f>IFERROR(__xludf.DUMMYFUNCTION("""COMPUTED_VALUE"""),"P-10892-00")</f>
        <v>P-10892-00</v>
      </c>
      <c r="E2640" s="6" t="str">
        <f>IFERROR(__xludf.DUMMYFUNCTION("""COMPUTED_VALUE"""),"Fitting PVC - SDL PVC 1""")</f>
        <v>Fitting PVC - SDL PVC 1"</v>
      </c>
      <c r="F2640" s="6">
        <f>IFERROR(__xludf.DUMMYFUNCTION("""COMPUTED_VALUE"""),5.0)</f>
        <v>5</v>
      </c>
      <c r="G2640" s="6" t="str">
        <f>IFERROR(__xludf.DUMMYFUNCTION("""COMPUTED_VALUE"""),"Pieces")</f>
        <v>Pieces</v>
      </c>
      <c r="H2640" s="6" t="str">
        <f>IFERROR(__xludf.DUMMYFUNCTION("""COMPUTED_VALUE"""),"IDR")</f>
        <v>IDR</v>
      </c>
      <c r="I2640" s="11">
        <f>IFERROR(__xludf.DUMMYFUNCTION("""COMPUTED_VALUE"""),100000.0)</f>
        <v>100000</v>
      </c>
      <c r="J2640" s="11">
        <f>IFERROR(__xludf.DUMMYFUNCTION("""COMPUTED_VALUE"""),500000.0)</f>
        <v>500000</v>
      </c>
      <c r="K2640" s="57">
        <f>IFERROR(__xludf.DUMMYFUNCTION("""COMPUTED_VALUE"""),45225.0)</f>
        <v>45225</v>
      </c>
      <c r="L2640" s="6" t="str">
        <f>IFERROR(__xludf.DUMMYFUNCTION("""COMPUTED_VALUE"""),"FIP Engineering")</f>
        <v>FIP Engineering</v>
      </c>
      <c r="M2640" s="6" t="str">
        <f>IFERROR(__xludf.DUMMYFUNCTION("""COMPUTED_VALUE"""),"Mochammad Fadhillah Hakim")</f>
        <v>Mochammad Fadhillah Hakim</v>
      </c>
      <c r="N2640" s="6" t="str">
        <f>IFERROR(__xludf.DUMMYFUNCTION("""COMPUTED_VALUE"""),"FIP Engineering")</f>
        <v>FIP Engineering</v>
      </c>
      <c r="O2640" s="6" t="str">
        <f>IFERROR(__xludf.DUMMYFUNCTION("""COMPUTED_VALUE"""),"FIP-DOM-000-11304-OS00001-INA-000000")</f>
        <v>FIP-DOM-000-11304-OS00001-INA-000000</v>
      </c>
      <c r="P2640" s="6" t="str">
        <f>IFERROR(__xludf.DUMMYFUNCTION("""COMPUTED_VALUE"""),"PO Closed")</f>
        <v>PO Closed</v>
      </c>
      <c r="Q2640" s="6" t="str">
        <f>IFERROR(__xludf.DUMMYFUNCTION("""COMPUTED_VALUE"""),"GL2311032")</f>
        <v>GL2311032</v>
      </c>
      <c r="R2640" s="57">
        <f>IFERROR(__xludf.DUMMYFUNCTION("""COMPUTED_VALUE"""),45211.0)</f>
        <v>45211</v>
      </c>
      <c r="S2640" s="57">
        <f>IFERROR(__xludf.DUMMYFUNCTION("""COMPUTED_VALUE"""),45212.0)</f>
        <v>45212</v>
      </c>
      <c r="T2640" s="57">
        <f>IFERROR(__xludf.DUMMYFUNCTION("""COMPUTED_VALUE"""),45264.0)</f>
        <v>45264</v>
      </c>
    </row>
    <row r="2641">
      <c r="A2641" s="6" t="str">
        <f>IFERROR(__xludf.DUMMYFUNCTION("""COMPUTED_VALUE"""),"231750795-1")</f>
        <v>231750795-1</v>
      </c>
      <c r="B2641" s="6" t="str">
        <f>IFERROR(__xludf.DUMMYFUNCTION("""COMPUTED_VALUE"""),"231750795 - Approved")</f>
        <v>231750795 - Approved</v>
      </c>
      <c r="C2641" s="6">
        <f>IFERROR(__xludf.DUMMYFUNCTION("""COMPUTED_VALUE"""),1.0)</f>
        <v>1</v>
      </c>
      <c r="D2641" s="6" t="str">
        <f>IFERROR(__xludf.DUMMYFUNCTION("""COMPUTED_VALUE"""),"P-11195-00")</f>
        <v>P-11195-00</v>
      </c>
      <c r="E2641" s="6" t="str">
        <f>IFERROR(__xludf.DUMMYFUNCTION("""COMPUTED_VALUE"""),"Pneumatic Fitting - QSF-G 1/8 - 6 mm / Festo")</f>
        <v>Pneumatic Fitting - QSF-G 1/8 - 6 mm / Festo</v>
      </c>
      <c r="F2641" s="6">
        <f>IFERROR(__xludf.DUMMYFUNCTION("""COMPUTED_VALUE"""),6.0)</f>
        <v>6</v>
      </c>
      <c r="G2641" s="6" t="str">
        <f>IFERROR(__xludf.DUMMYFUNCTION("""COMPUTED_VALUE"""),"Pieces")</f>
        <v>Pieces</v>
      </c>
      <c r="H2641" s="6" t="str">
        <f>IFERROR(__xludf.DUMMYFUNCTION("""COMPUTED_VALUE"""),"IDR")</f>
        <v>IDR</v>
      </c>
      <c r="I2641" s="11">
        <f>IFERROR(__xludf.DUMMYFUNCTION("""COMPUTED_VALUE"""),55280.0)</f>
        <v>55280</v>
      </c>
      <c r="J2641" s="11">
        <f>IFERROR(__xludf.DUMMYFUNCTION("""COMPUTED_VALUE"""),331680.0)</f>
        <v>331680</v>
      </c>
      <c r="K2641" s="57">
        <f>IFERROR(__xludf.DUMMYFUNCTION("""COMPUTED_VALUE"""),45225.0)</f>
        <v>45225</v>
      </c>
      <c r="L2641" s="6" t="str">
        <f>IFERROR(__xludf.DUMMYFUNCTION("""COMPUTED_VALUE"""),"FIP Engineering")</f>
        <v>FIP Engineering</v>
      </c>
      <c r="M2641" s="6" t="str">
        <f>IFERROR(__xludf.DUMMYFUNCTION("""COMPUTED_VALUE"""),"Mochammad Fadhillah Hakim")</f>
        <v>Mochammad Fadhillah Hakim</v>
      </c>
      <c r="N2641" s="6" t="str">
        <f>IFERROR(__xludf.DUMMYFUNCTION("""COMPUTED_VALUE"""),"FIP Engineering")</f>
        <v>FIP Engineering</v>
      </c>
      <c r="O2641" s="6" t="str">
        <f>IFERROR(__xludf.DUMMYFUNCTION("""COMPUTED_VALUE"""),"FIP-DOM-000-11304-OS00001-INA-000000")</f>
        <v>FIP-DOM-000-11304-OS00001-INA-000000</v>
      </c>
      <c r="P2641" s="6" t="str">
        <f>IFERROR(__xludf.DUMMYFUNCTION("""COMPUTED_VALUE"""),"PO Closed")</f>
        <v>PO Closed</v>
      </c>
      <c r="Q2641" s="6" t="str">
        <f>IFERROR(__xludf.DUMMYFUNCTION("""COMPUTED_VALUE"""),"GL2311033")</f>
        <v>GL2311033</v>
      </c>
      <c r="R2641" s="57">
        <f>IFERROR(__xludf.DUMMYFUNCTION("""COMPUTED_VALUE"""),45211.0)</f>
        <v>45211</v>
      </c>
      <c r="S2641" s="57">
        <f>IFERROR(__xludf.DUMMYFUNCTION("""COMPUTED_VALUE"""),45212.0)</f>
        <v>45212</v>
      </c>
      <c r="T2641" s="57">
        <f>IFERROR(__xludf.DUMMYFUNCTION("""COMPUTED_VALUE"""),45264.0)</f>
        <v>45264</v>
      </c>
    </row>
    <row r="2642">
      <c r="A2642" s="6" t="str">
        <f>IFERROR(__xludf.DUMMYFUNCTION("""COMPUTED_VALUE"""),"231750799-1")</f>
        <v>231750799-1</v>
      </c>
      <c r="B2642" s="6" t="str">
        <f>IFERROR(__xludf.DUMMYFUNCTION("""COMPUTED_VALUE"""),"231750799 - Approved")</f>
        <v>231750799 - Approved</v>
      </c>
      <c r="C2642" s="6">
        <f>IFERROR(__xludf.DUMMYFUNCTION("""COMPUTED_VALUE"""),1.0)</f>
        <v>1</v>
      </c>
      <c r="D2642" s="6" t="str">
        <f>IFERROR(__xludf.DUMMYFUNCTION("""COMPUTED_VALUE"""),"P-53174-00")</f>
        <v>P-53174-00</v>
      </c>
      <c r="E2642" s="6" t="str">
        <f>IFERROR(__xludf.DUMMYFUNCTION("""COMPUTED_VALUE"""),"Ballast Electronic EB-C 114 TL5, 1x14W; Phillips; ;")</f>
        <v>Ballast Electronic EB-C 114 TL5, 1x14W; Phillips; ;</v>
      </c>
      <c r="F2642" s="6">
        <f>IFERROR(__xludf.DUMMYFUNCTION("""COMPUTED_VALUE"""),10.0)</f>
        <v>10</v>
      </c>
      <c r="G2642" s="6" t="str">
        <f>IFERROR(__xludf.DUMMYFUNCTION("""COMPUTED_VALUE"""),"Pieces")</f>
        <v>Pieces</v>
      </c>
      <c r="H2642" s="6" t="str">
        <f>IFERROR(__xludf.DUMMYFUNCTION("""COMPUTED_VALUE"""),"IDR")</f>
        <v>IDR</v>
      </c>
      <c r="I2642" s="11">
        <f>IFERROR(__xludf.DUMMYFUNCTION("""COMPUTED_VALUE"""),75000.0)</f>
        <v>75000</v>
      </c>
      <c r="J2642" s="11">
        <f>IFERROR(__xludf.DUMMYFUNCTION("""COMPUTED_VALUE"""),750000.0)</f>
        <v>750000</v>
      </c>
      <c r="K2642" s="57">
        <f>IFERROR(__xludf.DUMMYFUNCTION("""COMPUTED_VALUE"""),45226.0)</f>
        <v>45226</v>
      </c>
      <c r="L2642" s="6" t="str">
        <f>IFERROR(__xludf.DUMMYFUNCTION("""COMPUTED_VALUE"""),"FIP Engineering")</f>
        <v>FIP Engineering</v>
      </c>
      <c r="M2642" s="6" t="str">
        <f>IFERROR(__xludf.DUMMYFUNCTION("""COMPUTED_VALUE"""),"Mochammad Fadhillah Hakim")</f>
        <v>Mochammad Fadhillah Hakim</v>
      </c>
      <c r="N2642" s="6" t="str">
        <f>IFERROR(__xludf.DUMMYFUNCTION("""COMPUTED_VALUE"""),"FIP Engineering")</f>
        <v>FIP Engineering</v>
      </c>
      <c r="O2642" s="6" t="str">
        <f>IFERROR(__xludf.DUMMYFUNCTION("""COMPUTED_VALUE"""),"FIP-DOM-000-11304-OS00001-INA-000000")</f>
        <v>FIP-DOM-000-11304-OS00001-INA-000000</v>
      </c>
      <c r="P2642" s="6" t="str">
        <f>IFERROR(__xludf.DUMMYFUNCTION("""COMPUTED_VALUE"""),"PO Closed")</f>
        <v>PO Closed</v>
      </c>
      <c r="Q2642" s="6" t="str">
        <f>IFERROR(__xludf.DUMMYFUNCTION("""COMPUTED_VALUE"""),"GL2311026")</f>
        <v>GL2311026</v>
      </c>
      <c r="R2642" s="57">
        <f>IFERROR(__xludf.DUMMYFUNCTION("""COMPUTED_VALUE"""),45212.0)</f>
        <v>45212</v>
      </c>
      <c r="S2642" s="57">
        <f>IFERROR(__xludf.DUMMYFUNCTION("""COMPUTED_VALUE"""),45218.0)</f>
        <v>45218</v>
      </c>
      <c r="T2642" s="57">
        <f>IFERROR(__xludf.DUMMYFUNCTION("""COMPUTED_VALUE"""),45275.0)</f>
        <v>45275</v>
      </c>
    </row>
    <row r="2643">
      <c r="A2643" s="6" t="str">
        <f>IFERROR(__xludf.DUMMYFUNCTION("""COMPUTED_VALUE"""),"231750799-2")</f>
        <v>231750799-2</v>
      </c>
      <c r="B2643" s="6" t="str">
        <f>IFERROR(__xludf.DUMMYFUNCTION("""COMPUTED_VALUE"""),"231750799 - Approved")</f>
        <v>231750799 - Approved</v>
      </c>
      <c r="C2643" s="6">
        <f>IFERROR(__xludf.DUMMYFUNCTION("""COMPUTED_VALUE"""),2.0)</f>
        <v>2</v>
      </c>
      <c r="D2643" s="6" t="str">
        <f>IFERROR(__xludf.DUMMYFUNCTION("""COMPUTED_VALUE"""),"P-53170-00")</f>
        <v>P-53170-00</v>
      </c>
      <c r="E2643" s="6" t="str">
        <f>IFERROR(__xludf.DUMMYFUNCTION("""COMPUTED_VALUE"""),"Ballast Electronic EB-C 128 TL5, 1x28W; Phillips; ;")</f>
        <v>Ballast Electronic EB-C 128 TL5, 1x28W; Phillips; ;</v>
      </c>
      <c r="F2643" s="6">
        <f>IFERROR(__xludf.DUMMYFUNCTION("""COMPUTED_VALUE"""),10.0)</f>
        <v>10</v>
      </c>
      <c r="G2643" s="6" t="str">
        <f>IFERROR(__xludf.DUMMYFUNCTION("""COMPUTED_VALUE"""),"Pieces")</f>
        <v>Pieces</v>
      </c>
      <c r="H2643" s="6" t="str">
        <f>IFERROR(__xludf.DUMMYFUNCTION("""COMPUTED_VALUE"""),"IDR")</f>
        <v>IDR</v>
      </c>
      <c r="I2643" s="11">
        <f>IFERROR(__xludf.DUMMYFUNCTION("""COMPUTED_VALUE"""),77500.0)</f>
        <v>77500</v>
      </c>
      <c r="J2643" s="11">
        <f>IFERROR(__xludf.DUMMYFUNCTION("""COMPUTED_VALUE"""),775000.0)</f>
        <v>775000</v>
      </c>
      <c r="K2643" s="57">
        <f>IFERROR(__xludf.DUMMYFUNCTION("""COMPUTED_VALUE"""),45226.0)</f>
        <v>45226</v>
      </c>
      <c r="L2643" s="6" t="str">
        <f>IFERROR(__xludf.DUMMYFUNCTION("""COMPUTED_VALUE"""),"FIP Engineering")</f>
        <v>FIP Engineering</v>
      </c>
      <c r="M2643" s="6" t="str">
        <f>IFERROR(__xludf.DUMMYFUNCTION("""COMPUTED_VALUE"""),"Mochammad Fadhillah Hakim")</f>
        <v>Mochammad Fadhillah Hakim</v>
      </c>
      <c r="N2643" s="6" t="str">
        <f>IFERROR(__xludf.DUMMYFUNCTION("""COMPUTED_VALUE"""),"FIP Engineering")</f>
        <v>FIP Engineering</v>
      </c>
      <c r="O2643" s="6" t="str">
        <f>IFERROR(__xludf.DUMMYFUNCTION("""COMPUTED_VALUE"""),"FIP-DOM-000-11304-OS00001-INA-000000")</f>
        <v>FIP-DOM-000-11304-OS00001-INA-000000</v>
      </c>
      <c r="P2643" s="6" t="str">
        <f>IFERROR(__xludf.DUMMYFUNCTION("""COMPUTED_VALUE"""),"PO Closed")</f>
        <v>PO Closed</v>
      </c>
      <c r="Q2643" s="6" t="str">
        <f>IFERROR(__xludf.DUMMYFUNCTION("""COMPUTED_VALUE"""),"GL2311026")</f>
        <v>GL2311026</v>
      </c>
      <c r="R2643" s="57">
        <f>IFERROR(__xludf.DUMMYFUNCTION("""COMPUTED_VALUE"""),45212.0)</f>
        <v>45212</v>
      </c>
      <c r="S2643" s="57">
        <f>IFERROR(__xludf.DUMMYFUNCTION("""COMPUTED_VALUE"""),45218.0)</f>
        <v>45218</v>
      </c>
      <c r="T2643" s="57">
        <f>IFERROR(__xludf.DUMMYFUNCTION("""COMPUTED_VALUE"""),45275.0)</f>
        <v>45275</v>
      </c>
    </row>
    <row r="2644">
      <c r="A2644" s="6" t="str">
        <f>IFERROR(__xludf.DUMMYFUNCTION("""COMPUTED_VALUE"""),"231750800-1")</f>
        <v>231750800-1</v>
      </c>
      <c r="B2644" s="6" t="str">
        <f>IFERROR(__xludf.DUMMYFUNCTION("""COMPUTED_VALUE"""),"231750800 - Approved")</f>
        <v>231750800 - Approved</v>
      </c>
      <c r="C2644" s="6">
        <f>IFERROR(__xludf.DUMMYFUNCTION("""COMPUTED_VALUE"""),1.0)</f>
        <v>1</v>
      </c>
      <c r="D2644" s="6" t="str">
        <f>IFERROR(__xludf.DUMMYFUNCTION("""COMPUTED_VALUE"""),"S-11400-00")</f>
        <v>S-11400-00</v>
      </c>
      <c r="E2644" s="6" t="str">
        <f>IFERROR(__xludf.DUMMYFUNCTION("""COMPUTED_VALUE"""),"Kain Majun Ex HINGS Class AA; Budhi Supplies")</f>
        <v>Kain Majun Ex HINGS Class AA; Budhi Supplies</v>
      </c>
      <c r="F2644" s="6">
        <f>IFERROR(__xludf.DUMMYFUNCTION("""COMPUTED_VALUE"""),10.0)</f>
        <v>10</v>
      </c>
      <c r="G2644" s="6" t="str">
        <f>IFERROR(__xludf.DUMMYFUNCTION("""COMPUTED_VALUE"""),"Kilogram")</f>
        <v>Kilogram</v>
      </c>
      <c r="H2644" s="6" t="str">
        <f>IFERROR(__xludf.DUMMYFUNCTION("""COMPUTED_VALUE"""),"IDR")</f>
        <v>IDR</v>
      </c>
      <c r="I2644" s="11">
        <f>IFERROR(__xludf.DUMMYFUNCTION("""COMPUTED_VALUE"""),39000.0)</f>
        <v>39000</v>
      </c>
      <c r="J2644" s="11">
        <f>IFERROR(__xludf.DUMMYFUNCTION("""COMPUTED_VALUE"""),390000.0)</f>
        <v>390000</v>
      </c>
      <c r="K2644" s="57">
        <f>IFERROR(__xludf.DUMMYFUNCTION("""COMPUTED_VALUE"""),45226.0)</f>
        <v>45226</v>
      </c>
      <c r="L2644" s="6" t="str">
        <f>IFERROR(__xludf.DUMMYFUNCTION("""COMPUTED_VALUE"""),"FIP General")</f>
        <v>FIP General</v>
      </c>
      <c r="M2644" s="6" t="str">
        <f>IFERROR(__xludf.DUMMYFUNCTION("""COMPUTED_VALUE"""),"Mochammad Fadhillah Hakim")</f>
        <v>Mochammad Fadhillah Hakim</v>
      </c>
      <c r="N2644" s="6" t="str">
        <f>IFERROR(__xludf.DUMMYFUNCTION("""COMPUTED_VALUE"""),"FIP Engineering")</f>
        <v>FIP Engineering</v>
      </c>
      <c r="O2644" s="6" t="str">
        <f>IFERROR(__xludf.DUMMYFUNCTION("""COMPUTED_VALUE"""),"FIP-DOM-ENG-51302-0000000-INA-000000")</f>
        <v>FIP-DOM-ENG-51302-0000000-INA-000000</v>
      </c>
      <c r="P2644" s="6" t="str">
        <f>IFERROR(__xludf.DUMMYFUNCTION("""COMPUTED_VALUE"""),"PO Closed")</f>
        <v>PO Closed</v>
      </c>
      <c r="Q2644" s="6" t="str">
        <f>IFERROR(__xludf.DUMMYFUNCTION("""COMPUTED_VALUE"""),"GL2311309")</f>
        <v>GL2311309</v>
      </c>
      <c r="R2644" s="57">
        <f>IFERROR(__xludf.DUMMYFUNCTION("""COMPUTED_VALUE"""),45212.0)</f>
        <v>45212</v>
      </c>
      <c r="S2644" s="57">
        <f>IFERROR(__xludf.DUMMYFUNCTION("""COMPUTED_VALUE"""),45229.0)</f>
        <v>45229</v>
      </c>
      <c r="T2644" s="57">
        <f>IFERROR(__xludf.DUMMYFUNCTION("""COMPUTED_VALUE"""),45254.0)</f>
        <v>45254</v>
      </c>
    </row>
    <row r="2645">
      <c r="A2645" s="6" t="str">
        <f>IFERROR(__xludf.DUMMYFUNCTION("""COMPUTED_VALUE"""),"231750806-1")</f>
        <v>231750806-1</v>
      </c>
      <c r="B2645" s="6" t="str">
        <f>IFERROR(__xludf.DUMMYFUNCTION("""COMPUTED_VALUE"""),"231750806 - Approved")</f>
        <v>231750806 - Approved</v>
      </c>
      <c r="C2645" s="6">
        <f>IFERROR(__xludf.DUMMYFUNCTION("""COMPUTED_VALUE"""),1.0)</f>
        <v>1</v>
      </c>
      <c r="D2645" s="6" t="str">
        <f>IFERROR(__xludf.DUMMYFUNCTION("""COMPUTED_VALUE"""),"O-51000-00")</f>
        <v>O-51000-00</v>
      </c>
      <c r="E2645" s="6" t="str">
        <f>IFERROR(__xludf.DUMMYFUNCTION("""COMPUTED_VALUE"""),"Colamark - Print Head for Part TTO Domino p/n EPP001359 SP; ; ;")</f>
        <v>Colamark - Print Head for Part TTO Domino p/n EPP001359 SP; ; ;</v>
      </c>
      <c r="F2645" s="6">
        <f>IFERROR(__xludf.DUMMYFUNCTION("""COMPUTED_VALUE"""),1.0)</f>
        <v>1</v>
      </c>
      <c r="G2645" s="6" t="str">
        <f>IFERROR(__xludf.DUMMYFUNCTION("""COMPUTED_VALUE"""),"Pieces")</f>
        <v>Pieces</v>
      </c>
      <c r="H2645" s="6" t="str">
        <f>IFERROR(__xludf.DUMMYFUNCTION("""COMPUTED_VALUE"""),"IDR")</f>
        <v>IDR</v>
      </c>
      <c r="I2645" s="11">
        <f>IFERROR(__xludf.DUMMYFUNCTION("""COMPUTED_VALUE"""),1.09E7)</f>
        <v>10900000</v>
      </c>
      <c r="J2645" s="11">
        <f>IFERROR(__xludf.DUMMYFUNCTION("""COMPUTED_VALUE"""),1.09E7)</f>
        <v>10900000</v>
      </c>
      <c r="K2645" s="57">
        <f>IFERROR(__xludf.DUMMYFUNCTION("""COMPUTED_VALUE"""),45232.0)</f>
        <v>45232</v>
      </c>
      <c r="L2645" s="6" t="str">
        <f>IFERROR(__xludf.DUMMYFUNCTION("""COMPUTED_VALUE"""),"FIP General")</f>
        <v>FIP General</v>
      </c>
      <c r="M2645" s="6" t="str">
        <f>IFERROR(__xludf.DUMMYFUNCTION("""COMPUTED_VALUE"""),"Mochammad Fadhillah Hakim")</f>
        <v>Mochammad Fadhillah Hakim</v>
      </c>
      <c r="N2645" s="6" t="str">
        <f>IFERROR(__xludf.DUMMYFUNCTION("""COMPUTED_VALUE"""),"FIP Engineering")</f>
        <v>FIP Engineering</v>
      </c>
      <c r="O2645" s="6" t="str">
        <f>IFERROR(__xludf.DUMMYFUNCTION("""COMPUTED_VALUE"""),"FIP-DOM-ENG-51504-0000000-INA-000000")</f>
        <v>FIP-DOM-ENG-51504-0000000-INA-000000</v>
      </c>
      <c r="P2645" s="6" t="str">
        <f>IFERROR(__xludf.DUMMYFUNCTION("""COMPUTED_VALUE"""),"PO Closed")</f>
        <v>PO Closed</v>
      </c>
      <c r="Q2645" s="6" t="str">
        <f>IFERROR(__xludf.DUMMYFUNCTION("""COMPUTED_VALUE"""),"GL2311053")</f>
        <v>GL2311053</v>
      </c>
      <c r="R2645" s="57">
        <f>IFERROR(__xludf.DUMMYFUNCTION("""COMPUTED_VALUE"""),45218.0)</f>
        <v>45218</v>
      </c>
      <c r="S2645" s="57">
        <f>IFERROR(__xludf.DUMMYFUNCTION("""COMPUTED_VALUE"""),45219.0)</f>
        <v>45219</v>
      </c>
      <c r="T2645" s="57">
        <f>IFERROR(__xludf.DUMMYFUNCTION("""COMPUTED_VALUE"""),45270.0)</f>
        <v>45270</v>
      </c>
    </row>
    <row r="2646">
      <c r="A2646" s="6" t="str">
        <f>IFERROR(__xludf.DUMMYFUNCTION("""COMPUTED_VALUE"""),"231750807-1")</f>
        <v>231750807-1</v>
      </c>
      <c r="B2646" s="6" t="str">
        <f>IFERROR(__xludf.DUMMYFUNCTION("""COMPUTED_VALUE"""),"231750807 - Approved")</f>
        <v>231750807 - Approved</v>
      </c>
      <c r="C2646" s="6">
        <f>IFERROR(__xludf.DUMMYFUNCTION("""COMPUTED_VALUE"""),1.0)</f>
        <v>1</v>
      </c>
      <c r="D2646" s="6" t="str">
        <f>IFERROR(__xludf.DUMMYFUNCTION("""COMPUTED_VALUE"""),"P-11694-00")</f>
        <v>P-11694-00</v>
      </c>
      <c r="E2646" s="6" t="str">
        <f>IFERROR(__xludf.DUMMYFUNCTION("""COMPUTED_VALUE"""),"Mata Gerinda 4")</f>
        <v>Mata Gerinda 4</v>
      </c>
      <c r="F2646" s="6">
        <f>IFERROR(__xludf.DUMMYFUNCTION("""COMPUTED_VALUE"""),5.0)</f>
        <v>5</v>
      </c>
      <c r="G2646" s="6" t="str">
        <f>IFERROR(__xludf.DUMMYFUNCTION("""COMPUTED_VALUE"""),"Pieces")</f>
        <v>Pieces</v>
      </c>
      <c r="H2646" s="6" t="str">
        <f>IFERROR(__xludf.DUMMYFUNCTION("""COMPUTED_VALUE"""),"IDR")</f>
        <v>IDR</v>
      </c>
      <c r="I2646" s="11">
        <f>IFERROR(__xludf.DUMMYFUNCTION("""COMPUTED_VALUE"""),100000.0)</f>
        <v>100000</v>
      </c>
      <c r="J2646" s="11">
        <f>IFERROR(__xludf.DUMMYFUNCTION("""COMPUTED_VALUE"""),500000.0)</f>
        <v>500000</v>
      </c>
      <c r="K2646" s="57">
        <f>IFERROR(__xludf.DUMMYFUNCTION("""COMPUTED_VALUE"""),45232.0)</f>
        <v>45232</v>
      </c>
      <c r="L2646" s="6" t="str">
        <f>IFERROR(__xludf.DUMMYFUNCTION("""COMPUTED_VALUE"""),"FIP General")</f>
        <v>FIP General</v>
      </c>
      <c r="M2646" s="6" t="str">
        <f>IFERROR(__xludf.DUMMYFUNCTION("""COMPUTED_VALUE"""),"Mochammad Fadhillah Hakim")</f>
        <v>Mochammad Fadhillah Hakim</v>
      </c>
      <c r="N2646" s="6" t="str">
        <f>IFERROR(__xludf.DUMMYFUNCTION("""COMPUTED_VALUE"""),"FIP Engineering")</f>
        <v>FIP Engineering</v>
      </c>
      <c r="O2646" s="6" t="str">
        <f>IFERROR(__xludf.DUMMYFUNCTION("""COMPUTED_VALUE"""),"FIP-DOM-ENG-51404-0000000-INA-000000")</f>
        <v>FIP-DOM-ENG-51404-0000000-INA-000000</v>
      </c>
      <c r="P2646" s="6" t="str">
        <f>IFERROR(__xludf.DUMMYFUNCTION("""COMPUTED_VALUE"""),"PO Closed")</f>
        <v>PO Closed</v>
      </c>
      <c r="Q2646" s="6" t="str">
        <f>IFERROR(__xludf.DUMMYFUNCTION("""COMPUTED_VALUE"""),"GL2311028")</f>
        <v>GL2311028</v>
      </c>
      <c r="R2646" s="57">
        <f>IFERROR(__xludf.DUMMYFUNCTION("""COMPUTED_VALUE"""),45218.0)</f>
        <v>45218</v>
      </c>
      <c r="S2646" s="57">
        <f>IFERROR(__xludf.DUMMYFUNCTION("""COMPUTED_VALUE"""),45219.0)</f>
        <v>45219</v>
      </c>
      <c r="T2646" s="57">
        <f>IFERROR(__xludf.DUMMYFUNCTION("""COMPUTED_VALUE"""),45276.0)</f>
        <v>45276</v>
      </c>
    </row>
    <row r="2647">
      <c r="A2647" s="6" t="str">
        <f>IFERROR(__xludf.DUMMYFUNCTION("""COMPUTED_VALUE"""),"231750808-1")</f>
        <v>231750808-1</v>
      </c>
      <c r="B2647" s="6" t="str">
        <f>IFERROR(__xludf.DUMMYFUNCTION("""COMPUTED_VALUE"""),"231750808 - Approved")</f>
        <v>231750808 - Approved</v>
      </c>
      <c r="C2647" s="6">
        <f>IFERROR(__xludf.DUMMYFUNCTION("""COMPUTED_VALUE"""),1.0)</f>
        <v>1</v>
      </c>
      <c r="D2647" s="6" t="str">
        <f>IFERROR(__xludf.DUMMYFUNCTION("""COMPUTED_VALUE"""),"P-11968-00")</f>
        <v>P-11968-00</v>
      </c>
      <c r="E2647" s="6" t="str">
        <f>IFERROR(__xludf.DUMMYFUNCTION("""COMPUTED_VALUE"""),"Berusynt FGH Spray H1 - Bechem")</f>
        <v>Berusynt FGH Spray H1 - Bechem</v>
      </c>
      <c r="F2647" s="6">
        <f>IFERROR(__xludf.DUMMYFUNCTION("""COMPUTED_VALUE"""),4.0)</f>
        <v>4</v>
      </c>
      <c r="G2647" s="6" t="str">
        <f>IFERROR(__xludf.DUMMYFUNCTION("""COMPUTED_VALUE"""),"Pieces")</f>
        <v>Pieces</v>
      </c>
      <c r="H2647" s="6" t="str">
        <f>IFERROR(__xludf.DUMMYFUNCTION("""COMPUTED_VALUE"""),"IDR")</f>
        <v>IDR</v>
      </c>
      <c r="I2647" s="11">
        <f>IFERROR(__xludf.DUMMYFUNCTION("""COMPUTED_VALUE"""),100000.0)</f>
        <v>100000</v>
      </c>
      <c r="J2647" s="11">
        <f>IFERROR(__xludf.DUMMYFUNCTION("""COMPUTED_VALUE"""),400000.0)</f>
        <v>400000</v>
      </c>
      <c r="K2647" s="57">
        <f>IFERROR(__xludf.DUMMYFUNCTION("""COMPUTED_VALUE"""),45232.0)</f>
        <v>45232</v>
      </c>
      <c r="L2647" s="6" t="str">
        <f>IFERROR(__xludf.DUMMYFUNCTION("""COMPUTED_VALUE"""),"FIP Engineering")</f>
        <v>FIP Engineering</v>
      </c>
      <c r="M2647" s="6" t="str">
        <f>IFERROR(__xludf.DUMMYFUNCTION("""COMPUTED_VALUE"""),"Mochammad Fadhillah Hakim")</f>
        <v>Mochammad Fadhillah Hakim</v>
      </c>
      <c r="N2647" s="6" t="str">
        <f>IFERROR(__xludf.DUMMYFUNCTION("""COMPUTED_VALUE"""),"FIP Engineering")</f>
        <v>FIP Engineering</v>
      </c>
      <c r="O2647" s="6" t="str">
        <f>IFERROR(__xludf.DUMMYFUNCTION("""COMPUTED_VALUE"""),"FIP-DOM-000-11304-OS00001-INA-000000")</f>
        <v>FIP-DOM-000-11304-OS00001-INA-000000</v>
      </c>
      <c r="P2647" s="6" t="str">
        <f>IFERROR(__xludf.DUMMYFUNCTION("""COMPUTED_VALUE"""),"PO Closed")</f>
        <v>PO Closed</v>
      </c>
      <c r="Q2647" s="6" t="str">
        <f>IFERROR(__xludf.DUMMYFUNCTION("""COMPUTED_VALUE"""),"GL2311048")</f>
        <v>GL2311048</v>
      </c>
      <c r="R2647" s="57">
        <f>IFERROR(__xludf.DUMMYFUNCTION("""COMPUTED_VALUE"""),45218.0)</f>
        <v>45218</v>
      </c>
      <c r="S2647" s="57">
        <f>IFERROR(__xludf.DUMMYFUNCTION("""COMPUTED_VALUE"""),45219.0)</f>
        <v>45219</v>
      </c>
      <c r="T2647" s="57">
        <f>IFERROR(__xludf.DUMMYFUNCTION("""COMPUTED_VALUE"""),45265.0)</f>
        <v>45265</v>
      </c>
    </row>
    <row r="2648">
      <c r="A2648" s="6" t="str">
        <f>IFERROR(__xludf.DUMMYFUNCTION("""COMPUTED_VALUE"""),"231750819-1")</f>
        <v>231750819-1</v>
      </c>
      <c r="B2648" s="6" t="str">
        <f>IFERROR(__xludf.DUMMYFUNCTION("""COMPUTED_VALUE"""),"231750819 - Approved")</f>
        <v>231750819 - Approved</v>
      </c>
      <c r="C2648" s="6">
        <f>IFERROR(__xludf.DUMMYFUNCTION("""COMPUTED_VALUE"""),1.0)</f>
        <v>1</v>
      </c>
      <c r="D2648" s="6" t="str">
        <f>IFERROR(__xludf.DUMMYFUNCTION("""COMPUTED_VALUE"""),"P-52328-00")</f>
        <v>P-52328-00</v>
      </c>
      <c r="E2648" s="6" t="str">
        <f>IFERROR(__xludf.DUMMYFUNCTION("""COMPUTED_VALUE"""),"c")</f>
        <v>c</v>
      </c>
      <c r="F2648" s="6">
        <f>IFERROR(__xludf.DUMMYFUNCTION("""COMPUTED_VALUE"""),3.0)</f>
        <v>3</v>
      </c>
      <c r="G2648" s="6" t="str">
        <f>IFERROR(__xludf.DUMMYFUNCTION("""COMPUTED_VALUE"""),"Pieces")</f>
        <v>Pieces</v>
      </c>
      <c r="H2648" s="6" t="str">
        <f>IFERROR(__xludf.DUMMYFUNCTION("""COMPUTED_VALUE"""),"IDR")</f>
        <v>IDR</v>
      </c>
      <c r="I2648" s="11">
        <f>IFERROR(__xludf.DUMMYFUNCTION("""COMPUTED_VALUE"""),100000.0)</f>
        <v>100000</v>
      </c>
      <c r="J2648" s="11">
        <f>IFERROR(__xludf.DUMMYFUNCTION("""COMPUTED_VALUE"""),300000.0)</f>
        <v>300000</v>
      </c>
      <c r="K2648" s="57">
        <f>IFERROR(__xludf.DUMMYFUNCTION("""COMPUTED_VALUE"""),45254.0)</f>
        <v>45254</v>
      </c>
      <c r="L2648" s="6" t="str">
        <f>IFERROR(__xludf.DUMMYFUNCTION("""COMPUTED_VALUE"""),"FIP Engineering")</f>
        <v>FIP Engineering</v>
      </c>
      <c r="M2648" s="6" t="str">
        <f>IFERROR(__xludf.DUMMYFUNCTION("""COMPUTED_VALUE"""),"Irwan Sopian")</f>
        <v>Irwan Sopian</v>
      </c>
      <c r="N2648" s="6" t="str">
        <f>IFERROR(__xludf.DUMMYFUNCTION("""COMPUTED_VALUE"""),"FIP Engineering")</f>
        <v>FIP Engineering</v>
      </c>
      <c r="O2648" s="6" t="str">
        <f>IFERROR(__xludf.DUMMYFUNCTION("""COMPUTED_VALUE"""),"FIP-DOM-000-11304-OS00001-INA-000000")</f>
        <v>FIP-DOM-000-11304-OS00001-INA-000000</v>
      </c>
      <c r="P2648" s="6" t="str">
        <f>IFERROR(__xludf.DUMMYFUNCTION("""COMPUTED_VALUE"""),"PO Closed")</f>
        <v>PO Closed</v>
      </c>
      <c r="Q2648" s="6" t="str">
        <f>IFERROR(__xludf.DUMMYFUNCTION("""COMPUTED_VALUE"""),"GL2311026")</f>
        <v>GL2311026</v>
      </c>
      <c r="R2648" s="57">
        <f>IFERROR(__xludf.DUMMYFUNCTION("""COMPUTED_VALUE"""),45223.0)</f>
        <v>45223</v>
      </c>
      <c r="S2648" s="57">
        <f>IFERROR(__xludf.DUMMYFUNCTION("""COMPUTED_VALUE"""),45223.0)</f>
        <v>45223</v>
      </c>
      <c r="T2648" s="57">
        <f>IFERROR(__xludf.DUMMYFUNCTION("""COMPUTED_VALUE"""),45275.0)</f>
        <v>45275</v>
      </c>
    </row>
    <row r="2649">
      <c r="A2649" s="6" t="str">
        <f>IFERROR(__xludf.DUMMYFUNCTION("""COMPUTED_VALUE"""),"231750819-2")</f>
        <v>231750819-2</v>
      </c>
      <c r="B2649" s="6" t="str">
        <f>IFERROR(__xludf.DUMMYFUNCTION("""COMPUTED_VALUE"""),"231750819 - Approved")</f>
        <v>231750819 - Approved</v>
      </c>
      <c r="C2649" s="6">
        <f>IFERROR(__xludf.DUMMYFUNCTION("""COMPUTED_VALUE"""),2.0)</f>
        <v>2</v>
      </c>
      <c r="D2649" s="6" t="str">
        <f>IFERROR(__xludf.DUMMYFUNCTION("""COMPUTED_VALUE"""),"O-19372-00")</f>
        <v>O-19372-00</v>
      </c>
      <c r="E2649" s="6" t="str">
        <f>IFERROR(__xludf.DUMMYFUNCTION("""COMPUTED_VALUE"""),"Washing RAR4 - Needle PW, OD.15mmx123mm, Material SS 319; ; ;")</f>
        <v>Washing RAR4 - Needle PW, OD.15mmx123mm, Material SS 319; ; ;</v>
      </c>
      <c r="F2649" s="6">
        <f>IFERROR(__xludf.DUMMYFUNCTION("""COMPUTED_VALUE"""),1.0)</f>
        <v>1</v>
      </c>
      <c r="G2649" s="6" t="str">
        <f>IFERROR(__xludf.DUMMYFUNCTION("""COMPUTED_VALUE"""),"Pieces")</f>
        <v>Pieces</v>
      </c>
      <c r="H2649" s="6" t="str">
        <f>IFERROR(__xludf.DUMMYFUNCTION("""COMPUTED_VALUE"""),"IDR")</f>
        <v>IDR</v>
      </c>
      <c r="I2649" s="11">
        <f>IFERROR(__xludf.DUMMYFUNCTION("""COMPUTED_VALUE"""),1750000.0)</f>
        <v>1750000</v>
      </c>
      <c r="J2649" s="11">
        <f>IFERROR(__xludf.DUMMYFUNCTION("""COMPUTED_VALUE"""),1750000.0)</f>
        <v>1750000</v>
      </c>
      <c r="K2649" s="57">
        <f>IFERROR(__xludf.DUMMYFUNCTION("""COMPUTED_VALUE"""),45254.0)</f>
        <v>45254</v>
      </c>
      <c r="L2649" s="6" t="str">
        <f>IFERROR(__xludf.DUMMYFUNCTION("""COMPUTED_VALUE"""),"FIP Engineering")</f>
        <v>FIP Engineering</v>
      </c>
      <c r="M2649" s="6" t="str">
        <f>IFERROR(__xludf.DUMMYFUNCTION("""COMPUTED_VALUE"""),"Irwan Sopian")</f>
        <v>Irwan Sopian</v>
      </c>
      <c r="N2649" s="6" t="str">
        <f>IFERROR(__xludf.DUMMYFUNCTION("""COMPUTED_VALUE"""),"FIP Engineering")</f>
        <v>FIP Engineering</v>
      </c>
      <c r="O2649" s="6" t="str">
        <f>IFERROR(__xludf.DUMMYFUNCTION("""COMPUTED_VALUE"""),"FIP-DOM-000-11304-OS00001-INA-000000")</f>
        <v>FIP-DOM-000-11304-OS00001-INA-000000</v>
      </c>
      <c r="P2649" s="6" t="str">
        <f>IFERROR(__xludf.DUMMYFUNCTION("""COMPUTED_VALUE"""),"PO Closed")</f>
        <v>PO Closed</v>
      </c>
      <c r="Q2649" s="6" t="str">
        <f>IFERROR(__xludf.DUMMYFUNCTION("""COMPUTED_VALUE"""),"GL2311016")</f>
        <v>GL2311016</v>
      </c>
      <c r="R2649" s="57">
        <f>IFERROR(__xludf.DUMMYFUNCTION("""COMPUTED_VALUE"""),45223.0)</f>
        <v>45223</v>
      </c>
      <c r="S2649" s="57">
        <f>IFERROR(__xludf.DUMMYFUNCTION("""COMPUTED_VALUE"""),45223.0)</f>
        <v>45223</v>
      </c>
      <c r="T2649" s="57">
        <f>IFERROR(__xludf.DUMMYFUNCTION("""COMPUTED_VALUE"""),45270.0)</f>
        <v>45270</v>
      </c>
    </row>
    <row r="2650">
      <c r="A2650" s="6" t="str">
        <f>IFERROR(__xludf.DUMMYFUNCTION("""COMPUTED_VALUE"""),"231750819-3")</f>
        <v>231750819-3</v>
      </c>
      <c r="B2650" s="6" t="str">
        <f>IFERROR(__xludf.DUMMYFUNCTION("""COMPUTED_VALUE"""),"231750819 - Approved")</f>
        <v>231750819 - Approved</v>
      </c>
      <c r="C2650" s="6">
        <f>IFERROR(__xludf.DUMMYFUNCTION("""COMPUTED_VALUE"""),3.0)</f>
        <v>3</v>
      </c>
      <c r="D2650" s="6" t="str">
        <f>IFERROR(__xludf.DUMMYFUNCTION("""COMPUTED_VALUE"""),"O-19373-00")</f>
        <v>O-19373-00</v>
      </c>
      <c r="E2650" s="6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F2650" s="6">
        <f>IFERROR(__xludf.DUMMYFUNCTION("""COMPUTED_VALUE"""),1.0)</f>
        <v>1</v>
      </c>
      <c r="G2650" s="6" t="str">
        <f>IFERROR(__xludf.DUMMYFUNCTION("""COMPUTED_VALUE"""),"Pieces")</f>
        <v>Pieces</v>
      </c>
      <c r="H2650" s="6" t="str">
        <f>IFERROR(__xludf.DUMMYFUNCTION("""COMPUTED_VALUE"""),"IDR")</f>
        <v>IDR</v>
      </c>
      <c r="I2650" s="11">
        <f>IFERROR(__xludf.DUMMYFUNCTION("""COMPUTED_VALUE"""),1450000.0)</f>
        <v>1450000</v>
      </c>
      <c r="J2650" s="11">
        <f>IFERROR(__xludf.DUMMYFUNCTION("""COMPUTED_VALUE"""),1450000.0)</f>
        <v>1450000</v>
      </c>
      <c r="K2650" s="57">
        <f>IFERROR(__xludf.DUMMYFUNCTION("""COMPUTED_VALUE"""),45254.0)</f>
        <v>45254</v>
      </c>
      <c r="L2650" s="6" t="str">
        <f>IFERROR(__xludf.DUMMYFUNCTION("""COMPUTED_VALUE"""),"FIP Engineering")</f>
        <v>FIP Engineering</v>
      </c>
      <c r="M2650" s="6" t="str">
        <f>IFERROR(__xludf.DUMMYFUNCTION("""COMPUTED_VALUE"""),"Irwan Sopian")</f>
        <v>Irwan Sopian</v>
      </c>
      <c r="N2650" s="6" t="str">
        <f>IFERROR(__xludf.DUMMYFUNCTION("""COMPUTED_VALUE"""),"FIP Engineering")</f>
        <v>FIP Engineering</v>
      </c>
      <c r="O2650" s="6" t="str">
        <f>IFERROR(__xludf.DUMMYFUNCTION("""COMPUTED_VALUE"""),"FIP-DOM-000-11304-OS00001-INA-000000")</f>
        <v>FIP-DOM-000-11304-OS00001-INA-000000</v>
      </c>
      <c r="P2650" s="6" t="str">
        <f>IFERROR(__xludf.DUMMYFUNCTION("""COMPUTED_VALUE"""),"PO Closed")</f>
        <v>PO Closed</v>
      </c>
      <c r="Q2650" s="6" t="str">
        <f>IFERROR(__xludf.DUMMYFUNCTION("""COMPUTED_VALUE"""),"GL2311016")</f>
        <v>GL2311016</v>
      </c>
      <c r="R2650" s="57">
        <f>IFERROR(__xludf.DUMMYFUNCTION("""COMPUTED_VALUE"""),45223.0)</f>
        <v>45223</v>
      </c>
      <c r="S2650" s="57">
        <f>IFERROR(__xludf.DUMMYFUNCTION("""COMPUTED_VALUE"""),45223.0)</f>
        <v>45223</v>
      </c>
      <c r="T2650" s="57">
        <f>IFERROR(__xludf.DUMMYFUNCTION("""COMPUTED_VALUE"""),45270.0)</f>
        <v>45270</v>
      </c>
    </row>
    <row r="2651">
      <c r="A2651" s="6" t="str">
        <f>IFERROR(__xludf.DUMMYFUNCTION("""COMPUTED_VALUE"""),"231750820-1")</f>
        <v>231750820-1</v>
      </c>
      <c r="B2651" s="6" t="str">
        <f>IFERROR(__xludf.DUMMYFUNCTION("""COMPUTED_VALUE"""),"231750820 - Approved")</f>
        <v>231750820 - Approved</v>
      </c>
      <c r="C2651" s="6">
        <f>IFERROR(__xludf.DUMMYFUNCTION("""COMPUTED_VALUE"""),1.0)</f>
        <v>1</v>
      </c>
      <c r="D2651" s="6" t="str">
        <f>IFERROR(__xludf.DUMMYFUNCTION("""COMPUTED_VALUE"""),"O-52241-00")</f>
        <v>O-52241-00</v>
      </c>
      <c r="E2651" s="6" t="str">
        <f>IFERROR(__xludf.DUMMYFUNCTION("""COMPUTED_VALUE"""),"Tunnel ST1L - Potensio 10K; ; ;")</f>
        <v>Tunnel ST1L - Potensio 10K; ; ;</v>
      </c>
      <c r="F2651" s="6">
        <f>IFERROR(__xludf.DUMMYFUNCTION("""COMPUTED_VALUE"""),3.0)</f>
        <v>3</v>
      </c>
      <c r="G2651" s="6" t="str">
        <f>IFERROR(__xludf.DUMMYFUNCTION("""COMPUTED_VALUE"""),"Pieces")</f>
        <v>Pieces</v>
      </c>
      <c r="H2651" s="6" t="str">
        <f>IFERROR(__xludf.DUMMYFUNCTION("""COMPUTED_VALUE"""),"IDR")</f>
        <v>IDR</v>
      </c>
      <c r="I2651" s="11">
        <f>IFERROR(__xludf.DUMMYFUNCTION("""COMPUTED_VALUE"""),387000.0)</f>
        <v>387000</v>
      </c>
      <c r="J2651" s="11">
        <f>IFERROR(__xludf.DUMMYFUNCTION("""COMPUTED_VALUE"""),1161000.0)</f>
        <v>1161000</v>
      </c>
      <c r="K2651" s="57">
        <f>IFERROR(__xludf.DUMMYFUNCTION("""COMPUTED_VALUE"""),45236.0)</f>
        <v>45236</v>
      </c>
      <c r="L2651" s="6" t="str">
        <f>IFERROR(__xludf.DUMMYFUNCTION("""COMPUTED_VALUE"""),"FIP Engineering")</f>
        <v>FIP Engineering</v>
      </c>
      <c r="M2651" s="6" t="str">
        <f>IFERROR(__xludf.DUMMYFUNCTION("""COMPUTED_VALUE"""),"Mochammad Fadhillah Hakim")</f>
        <v>Mochammad Fadhillah Hakim</v>
      </c>
      <c r="N2651" s="6" t="str">
        <f>IFERROR(__xludf.DUMMYFUNCTION("""COMPUTED_VALUE"""),"FIP Engineering")</f>
        <v>FIP Engineering</v>
      </c>
      <c r="O2651" s="6" t="str">
        <f>IFERROR(__xludf.DUMMYFUNCTION("""COMPUTED_VALUE"""),"FIP-DOM-000-11304-OS00001-INA-000000")</f>
        <v>FIP-DOM-000-11304-OS00001-INA-000000</v>
      </c>
      <c r="P2651" s="6" t="str">
        <f>IFERROR(__xludf.DUMMYFUNCTION("""COMPUTED_VALUE"""),"PO Closed")</f>
        <v>PO Closed</v>
      </c>
      <c r="Q2651" s="6" t="str">
        <f>IFERROR(__xludf.DUMMYFUNCTION("""COMPUTED_VALUE"""),"GL2312001")</f>
        <v>GL2312001</v>
      </c>
      <c r="R2651" s="57">
        <f>IFERROR(__xludf.DUMMYFUNCTION("""COMPUTED_VALUE"""),45223.0)</f>
        <v>45223</v>
      </c>
      <c r="S2651" s="57">
        <f>IFERROR(__xludf.DUMMYFUNCTION("""COMPUTED_VALUE"""),45224.0)</f>
        <v>45224</v>
      </c>
      <c r="T2651" s="57">
        <f>IFERROR(__xludf.DUMMYFUNCTION("""COMPUTED_VALUE"""),45275.0)</f>
        <v>45275</v>
      </c>
    </row>
    <row r="2652">
      <c r="A2652" s="6" t="str">
        <f>IFERROR(__xludf.DUMMYFUNCTION("""COMPUTED_VALUE"""),"231750822-1")</f>
        <v>231750822-1</v>
      </c>
      <c r="B2652" s="6" t="str">
        <f>IFERROR(__xludf.DUMMYFUNCTION("""COMPUTED_VALUE"""),"231750822 - Approved")</f>
        <v>231750822 - Approved</v>
      </c>
      <c r="C2652" s="6">
        <f>IFERROR(__xludf.DUMMYFUNCTION("""COMPUTED_VALUE"""),1.0)</f>
        <v>1</v>
      </c>
      <c r="D2652" s="6" t="str">
        <f>IFERROR(__xludf.DUMMYFUNCTION("""COMPUTED_VALUE"""),"P-13598-00")</f>
        <v>P-13598-00</v>
      </c>
      <c r="E2652" s="6" t="str">
        <f>IFERROR(__xludf.DUMMYFUNCTION("""COMPUTED_VALUE"""),"Regulator Hydrogen 96A-10M Morris; ; ;")</f>
        <v>Regulator Hydrogen 96A-10M Morris; ; ;</v>
      </c>
      <c r="F2652" s="6">
        <f>IFERROR(__xludf.DUMMYFUNCTION("""COMPUTED_VALUE"""),1.0)</f>
        <v>1</v>
      </c>
      <c r="G2652" s="6" t="str">
        <f>IFERROR(__xludf.DUMMYFUNCTION("""COMPUTED_VALUE"""),"Pieces")</f>
        <v>Pieces</v>
      </c>
      <c r="H2652" s="6" t="str">
        <f>IFERROR(__xludf.DUMMYFUNCTION("""COMPUTED_VALUE"""),"IDR")</f>
        <v>IDR</v>
      </c>
      <c r="I2652" s="11">
        <f>IFERROR(__xludf.DUMMYFUNCTION("""COMPUTED_VALUE"""),1440000.0)</f>
        <v>1440000</v>
      </c>
      <c r="J2652" s="11">
        <f>IFERROR(__xludf.DUMMYFUNCTION("""COMPUTED_VALUE"""),1440000.0)</f>
        <v>1440000</v>
      </c>
      <c r="K2652" s="57">
        <f>IFERROR(__xludf.DUMMYFUNCTION("""COMPUTED_VALUE"""),45237.0)</f>
        <v>45237</v>
      </c>
      <c r="L2652" s="6" t="str">
        <f>IFERROR(__xludf.DUMMYFUNCTION("""COMPUTED_VALUE"""),"FIP Engineering")</f>
        <v>FIP Engineering</v>
      </c>
      <c r="M2652" s="6" t="str">
        <f>IFERROR(__xludf.DUMMYFUNCTION("""COMPUTED_VALUE"""),"Mochammad Fadhillah Hakim")</f>
        <v>Mochammad Fadhillah Hakim</v>
      </c>
      <c r="N2652" s="6" t="str">
        <f>IFERROR(__xludf.DUMMYFUNCTION("""COMPUTED_VALUE"""),"FIP Engineering")</f>
        <v>FIP Engineering</v>
      </c>
      <c r="O2652" s="6" t="str">
        <f>IFERROR(__xludf.DUMMYFUNCTION("""COMPUTED_VALUE"""),"FIP-DOM-000-11304-OS00001-INA-000000")</f>
        <v>FIP-DOM-000-11304-OS00001-INA-000000</v>
      </c>
      <c r="P2652" s="6" t="str">
        <f>IFERROR(__xludf.DUMMYFUNCTION("""COMPUTED_VALUE"""),"PO Closed")</f>
        <v>PO Closed</v>
      </c>
      <c r="Q2652" s="6" t="str">
        <f>IFERROR(__xludf.DUMMYFUNCTION("""COMPUTED_VALUE"""),"GL2311026")</f>
        <v>GL2311026</v>
      </c>
      <c r="R2652" s="57">
        <f>IFERROR(__xludf.DUMMYFUNCTION("""COMPUTED_VALUE"""),45223.0)</f>
        <v>45223</v>
      </c>
      <c r="S2652" s="57">
        <f>IFERROR(__xludf.DUMMYFUNCTION("""COMPUTED_VALUE"""),45224.0)</f>
        <v>45224</v>
      </c>
      <c r="T2652" s="57">
        <f>IFERROR(__xludf.DUMMYFUNCTION("""COMPUTED_VALUE"""),45275.0)</f>
        <v>45275</v>
      </c>
    </row>
    <row r="2653">
      <c r="A2653" s="6" t="str">
        <f>IFERROR(__xludf.DUMMYFUNCTION("""COMPUTED_VALUE"""),"231750823-1")</f>
        <v>231750823-1</v>
      </c>
      <c r="B2653" s="6" t="str">
        <f>IFERROR(__xludf.DUMMYFUNCTION("""COMPUTED_VALUE"""),"231750823 - Approved")</f>
        <v>231750823 - Approved</v>
      </c>
      <c r="C2653" s="6">
        <f>IFERROR(__xludf.DUMMYFUNCTION("""COMPUTED_VALUE"""),1.0)</f>
        <v>1</v>
      </c>
      <c r="D2653" s="6" t="str">
        <f>IFERROR(__xludf.DUMMYFUNCTION("""COMPUTED_VALUE"""),"O-52530-00")</f>
        <v>O-52530-00</v>
      </c>
      <c r="E2653" s="6" t="str">
        <f>IFERROR(__xludf.DUMMYFUNCTION("""COMPUTED_VALUE"""),"Sensor PH Meter Type : InPro3250/120/PT1000 PN. 52002548; Mettler-Toledo; ;")</f>
        <v>Sensor PH Meter Type : InPro3250/120/PT1000 PN. 52002548; Mettler-Toledo; ;</v>
      </c>
      <c r="F2653" s="6">
        <f>IFERROR(__xludf.DUMMYFUNCTION("""COMPUTED_VALUE"""),2.0)</f>
        <v>2</v>
      </c>
      <c r="G2653" s="6" t="str">
        <f>IFERROR(__xludf.DUMMYFUNCTION("""COMPUTED_VALUE"""),"Pieces")</f>
        <v>Pieces</v>
      </c>
      <c r="H2653" s="6" t="str">
        <f>IFERROR(__xludf.DUMMYFUNCTION("""COMPUTED_VALUE"""),"IDR")</f>
        <v>IDR</v>
      </c>
      <c r="I2653" s="11">
        <f>IFERROR(__xludf.DUMMYFUNCTION("""COMPUTED_VALUE"""),1.202624E7)</f>
        <v>12026240</v>
      </c>
      <c r="J2653" s="11">
        <f>IFERROR(__xludf.DUMMYFUNCTION("""COMPUTED_VALUE"""),2.405248E7)</f>
        <v>24052480</v>
      </c>
      <c r="K2653" s="57">
        <f>IFERROR(__xludf.DUMMYFUNCTION("""COMPUTED_VALUE"""),45237.0)</f>
        <v>45237</v>
      </c>
      <c r="L2653" s="6" t="str">
        <f>IFERROR(__xludf.DUMMYFUNCTION("""COMPUTED_VALUE"""),"FIP Engineering")</f>
        <v>FIP Engineering</v>
      </c>
      <c r="M2653" s="6" t="str">
        <f>IFERROR(__xludf.DUMMYFUNCTION("""COMPUTED_VALUE"""),"Mochammad Fadhillah Hakim")</f>
        <v>Mochammad Fadhillah Hakim</v>
      </c>
      <c r="N2653" s="6" t="str">
        <f>IFERROR(__xludf.DUMMYFUNCTION("""COMPUTED_VALUE"""),"FIP Engineering")</f>
        <v>FIP Engineering</v>
      </c>
      <c r="O2653" s="6" t="str">
        <f>IFERROR(__xludf.DUMMYFUNCTION("""COMPUTED_VALUE"""),"FIP-DOM-000-11304-OS00001-INA-000000")</f>
        <v>FIP-DOM-000-11304-OS00001-INA-000000</v>
      </c>
      <c r="P2653" s="6" t="str">
        <f>IFERROR(__xludf.DUMMYFUNCTION("""COMPUTED_VALUE"""),"PO Closed")</f>
        <v>PO Closed</v>
      </c>
      <c r="Q2653" s="6" t="str">
        <f>IFERROR(__xludf.DUMMYFUNCTION("""COMPUTED_VALUE"""),"GL2311054")</f>
        <v>GL2311054</v>
      </c>
      <c r="R2653" s="57">
        <f>IFERROR(__xludf.DUMMYFUNCTION("""COMPUTED_VALUE"""),45223.0)</f>
        <v>45223</v>
      </c>
      <c r="S2653" s="57">
        <f>IFERROR(__xludf.DUMMYFUNCTION("""COMPUTED_VALUE"""),45224.0)</f>
        <v>45224</v>
      </c>
      <c r="T2653" s="57">
        <f>IFERROR(__xludf.DUMMYFUNCTION("""COMPUTED_VALUE"""),45275.0)</f>
        <v>45275</v>
      </c>
    </row>
    <row r="2654">
      <c r="A2654" s="6" t="str">
        <f>IFERROR(__xludf.DUMMYFUNCTION("""COMPUTED_VALUE"""),"231750828-1")</f>
        <v>231750828-1</v>
      </c>
      <c r="B2654" s="6" t="str">
        <f>IFERROR(__xludf.DUMMYFUNCTION("""COMPUTED_VALUE"""),"231750828 - Approved")</f>
        <v>231750828 - Approved</v>
      </c>
      <c r="C2654" s="6">
        <f>IFERROR(__xludf.DUMMYFUNCTION("""COMPUTED_VALUE"""),1.0)</f>
        <v>1</v>
      </c>
      <c r="D2654" s="6" t="str">
        <f>IFERROR(__xludf.DUMMYFUNCTION("""COMPUTED_VALUE"""),"R-20001-00")</f>
        <v>R-20001-00</v>
      </c>
      <c r="E2654" s="6" t="str">
        <f>IFERROR(__xludf.DUMMYFUNCTION("""COMPUTED_VALUE"""),"Change Parts Machine - Vacuum Pump GV80 IE3 P/N A70216940 Edwards")</f>
        <v>Change Parts Machine - Vacuum Pump GV80 IE3 P/N A70216940 Edwards</v>
      </c>
      <c r="F2654" s="6">
        <f>IFERROR(__xludf.DUMMYFUNCTION("""COMPUTED_VALUE"""),1.0)</f>
        <v>1</v>
      </c>
      <c r="G2654" s="6" t="str">
        <f>IFERROR(__xludf.DUMMYFUNCTION("""COMPUTED_VALUE"""),"Unit")</f>
        <v>Unit</v>
      </c>
      <c r="H2654" s="6" t="str">
        <f>IFERROR(__xludf.DUMMYFUNCTION("""COMPUTED_VALUE"""),"IDR")</f>
        <v>IDR</v>
      </c>
      <c r="I2654" s="11">
        <f>IFERROR(__xludf.DUMMYFUNCTION("""COMPUTED_VALUE"""),2.342E8)</f>
        <v>234200000</v>
      </c>
      <c r="J2654" s="11">
        <f>IFERROR(__xludf.DUMMYFUNCTION("""COMPUTED_VALUE"""),2.342E8)</f>
        <v>234200000</v>
      </c>
      <c r="K2654" s="57">
        <f>IFERROR(__xludf.DUMMYFUNCTION("""COMPUTED_VALUE"""),45239.0)</f>
        <v>45239</v>
      </c>
      <c r="L2654" s="6" t="str">
        <f>IFERROR(__xludf.DUMMYFUNCTION("""COMPUTED_VALUE"""),"FIP General")</f>
        <v>FIP General</v>
      </c>
      <c r="M2654" s="6" t="str">
        <f>IFERROR(__xludf.DUMMYFUNCTION("""COMPUTED_VALUE"""),"Kristiawan Sakti Winarno")</f>
        <v>Kristiawan Sakti Winarno</v>
      </c>
      <c r="N2654" s="6" t="str">
        <f>IFERROR(__xludf.DUMMYFUNCTION("""COMPUTED_VALUE"""),"FIP Engineering")</f>
        <v>FIP Engineering</v>
      </c>
      <c r="O2654" s="6" t="str">
        <f>IFERROR(__xludf.DUMMYFUNCTION("""COMPUTED_VALUE"""),"FIP-DOM-ENG-13404-MCNB232-INA-000000")</f>
        <v>FIP-DOM-ENG-13404-MCNB232-INA-000000</v>
      </c>
      <c r="P2654" s="6" t="str">
        <f>IFERROR(__xludf.DUMMYFUNCTION("""COMPUTED_VALUE"""),"PO Closed")</f>
        <v>PO Closed</v>
      </c>
      <c r="Q2654" s="6" t="str">
        <f>IFERROR(__xludf.DUMMYFUNCTION("""COMPUTED_VALUE"""),"GL2311004")</f>
        <v>GL2311004</v>
      </c>
      <c r="R2654" s="57">
        <f>IFERROR(__xludf.DUMMYFUNCTION("""COMPUTED_VALUE"""),45225.0)</f>
        <v>45225</v>
      </c>
      <c r="S2654" s="57">
        <f>IFERROR(__xludf.DUMMYFUNCTION("""COMPUTED_VALUE"""),45232.0)</f>
        <v>45232</v>
      </c>
      <c r="T2654" s="57">
        <f>IFERROR(__xludf.DUMMYFUNCTION("""COMPUTED_VALUE"""),45260.0)</f>
        <v>45260</v>
      </c>
    </row>
    <row r="2655">
      <c r="A2655" s="6" t="str">
        <f>IFERROR(__xludf.DUMMYFUNCTION("""COMPUTED_VALUE"""),"231750831-1")</f>
        <v>231750831-1</v>
      </c>
      <c r="B2655" s="6" t="str">
        <f>IFERROR(__xludf.DUMMYFUNCTION("""COMPUTED_VALUE"""),"231750831 - Approved")</f>
        <v>231750831 - Approved</v>
      </c>
      <c r="C2655" s="6">
        <f>IFERROR(__xludf.DUMMYFUNCTION("""COMPUTED_VALUE"""),1.0)</f>
        <v>1</v>
      </c>
      <c r="D2655" s="6" t="str">
        <f>IFERROR(__xludf.DUMMYFUNCTION("""COMPUTED_VALUE"""),"P-12492-00")</f>
        <v>P-12492-00</v>
      </c>
      <c r="E2655" s="6" t="str">
        <f>IFERROR(__xludf.DUMMYFUNCTION("""COMPUTED_VALUE"""),"Mata Bor besi dia 6.5 mm ex NACHI")</f>
        <v>Mata Bor besi dia 6.5 mm ex NACHI</v>
      </c>
      <c r="F2655" s="6">
        <f>IFERROR(__xludf.DUMMYFUNCTION("""COMPUTED_VALUE"""),2.0)</f>
        <v>2</v>
      </c>
      <c r="G2655" s="6" t="str">
        <f>IFERROR(__xludf.DUMMYFUNCTION("""COMPUTED_VALUE"""),"Pieces")</f>
        <v>Pieces</v>
      </c>
      <c r="H2655" s="6" t="str">
        <f>IFERROR(__xludf.DUMMYFUNCTION("""COMPUTED_VALUE"""),"IDR")</f>
        <v>IDR</v>
      </c>
      <c r="I2655" s="11">
        <f>IFERROR(__xludf.DUMMYFUNCTION("""COMPUTED_VALUE"""),30000.0)</f>
        <v>30000</v>
      </c>
      <c r="J2655" s="11">
        <f>IFERROR(__xludf.DUMMYFUNCTION("""COMPUTED_VALUE"""),60000.0)</f>
        <v>60000</v>
      </c>
      <c r="K2655" s="57">
        <f>IFERROR(__xludf.DUMMYFUNCTION("""COMPUTED_VALUE"""),45240.0)</f>
        <v>45240</v>
      </c>
      <c r="L2655" s="6" t="str">
        <f>IFERROR(__xludf.DUMMYFUNCTION("""COMPUTED_VALUE"""),"FIP Engineering")</f>
        <v>FIP Engineering</v>
      </c>
      <c r="M2655" s="6" t="str">
        <f>IFERROR(__xludf.DUMMYFUNCTION("""COMPUTED_VALUE"""),"Mochammad Fadhillah Hakim")</f>
        <v>Mochammad Fadhillah Hakim</v>
      </c>
      <c r="N2655" s="6" t="str">
        <f>IFERROR(__xludf.DUMMYFUNCTION("""COMPUTED_VALUE"""),"FIP Engineering")</f>
        <v>FIP Engineering</v>
      </c>
      <c r="O2655" s="6" t="str">
        <f>IFERROR(__xludf.DUMMYFUNCTION("""COMPUTED_VALUE"""),"FIP-DOM-000-11304-OS00001-INA-000000")</f>
        <v>FIP-DOM-000-11304-OS00001-INA-000000</v>
      </c>
      <c r="P2655" s="6" t="str">
        <f>IFERROR(__xludf.DUMMYFUNCTION("""COMPUTED_VALUE"""),"PO Closed")</f>
        <v>PO Closed</v>
      </c>
      <c r="Q2655" s="6" t="str">
        <f>IFERROR(__xludf.DUMMYFUNCTION("""COMPUTED_VALUE"""),"GL2311028")</f>
        <v>GL2311028</v>
      </c>
      <c r="R2655" s="57">
        <f>IFERROR(__xludf.DUMMYFUNCTION("""COMPUTED_VALUE"""),45226.0)</f>
        <v>45226</v>
      </c>
      <c r="S2655" s="57">
        <f>IFERROR(__xludf.DUMMYFUNCTION("""COMPUTED_VALUE"""),45232.0)</f>
        <v>45232</v>
      </c>
      <c r="T2655" s="57">
        <f>IFERROR(__xludf.DUMMYFUNCTION("""COMPUTED_VALUE"""),45276.0)</f>
        <v>45276</v>
      </c>
    </row>
    <row r="2656">
      <c r="A2656" s="6" t="str">
        <f>IFERROR(__xludf.DUMMYFUNCTION("""COMPUTED_VALUE"""),"231750831-2")</f>
        <v>231750831-2</v>
      </c>
      <c r="B2656" s="6" t="str">
        <f>IFERROR(__xludf.DUMMYFUNCTION("""COMPUTED_VALUE"""),"231750831 - Approved")</f>
        <v>231750831 - Approved</v>
      </c>
      <c r="C2656" s="6">
        <f>IFERROR(__xludf.DUMMYFUNCTION("""COMPUTED_VALUE"""),2.0)</f>
        <v>2</v>
      </c>
      <c r="D2656" s="6" t="str">
        <f>IFERROR(__xludf.DUMMYFUNCTION("""COMPUTED_VALUE"""),"P-12495-00")</f>
        <v>P-12495-00</v>
      </c>
      <c r="E2656" s="6" t="str">
        <f>IFERROR(__xludf.DUMMYFUNCTION("""COMPUTED_VALUE"""),"Mata Bor besi dia 7.5 mm ex NACHI")</f>
        <v>Mata Bor besi dia 7.5 mm ex NACHI</v>
      </c>
      <c r="F2656" s="6">
        <f>IFERROR(__xludf.DUMMYFUNCTION("""COMPUTED_VALUE"""),2.0)</f>
        <v>2</v>
      </c>
      <c r="G2656" s="6" t="str">
        <f>IFERROR(__xludf.DUMMYFUNCTION("""COMPUTED_VALUE"""),"Pieces")</f>
        <v>Pieces</v>
      </c>
      <c r="H2656" s="6" t="str">
        <f>IFERROR(__xludf.DUMMYFUNCTION("""COMPUTED_VALUE"""),"IDR")</f>
        <v>IDR</v>
      </c>
      <c r="I2656" s="11">
        <f>IFERROR(__xludf.DUMMYFUNCTION("""COMPUTED_VALUE"""),38000.0)</f>
        <v>38000</v>
      </c>
      <c r="J2656" s="11">
        <f>IFERROR(__xludf.DUMMYFUNCTION("""COMPUTED_VALUE"""),76000.0)</f>
        <v>76000</v>
      </c>
      <c r="K2656" s="57">
        <f>IFERROR(__xludf.DUMMYFUNCTION("""COMPUTED_VALUE"""),45240.0)</f>
        <v>45240</v>
      </c>
      <c r="L2656" s="6" t="str">
        <f>IFERROR(__xludf.DUMMYFUNCTION("""COMPUTED_VALUE"""),"FIP Engineering")</f>
        <v>FIP Engineering</v>
      </c>
      <c r="M2656" s="6" t="str">
        <f>IFERROR(__xludf.DUMMYFUNCTION("""COMPUTED_VALUE"""),"Mochammad Fadhillah Hakim")</f>
        <v>Mochammad Fadhillah Hakim</v>
      </c>
      <c r="N2656" s="6" t="str">
        <f>IFERROR(__xludf.DUMMYFUNCTION("""COMPUTED_VALUE"""),"FIP Engineering")</f>
        <v>FIP Engineering</v>
      </c>
      <c r="O2656" s="6" t="str">
        <f>IFERROR(__xludf.DUMMYFUNCTION("""COMPUTED_VALUE"""),"FIP-DOM-000-11304-OS00001-INA-000000")</f>
        <v>FIP-DOM-000-11304-OS00001-INA-000000</v>
      </c>
      <c r="P2656" s="6" t="str">
        <f>IFERROR(__xludf.DUMMYFUNCTION("""COMPUTED_VALUE"""),"PO Closed")</f>
        <v>PO Closed</v>
      </c>
      <c r="Q2656" s="6" t="str">
        <f>IFERROR(__xludf.DUMMYFUNCTION("""COMPUTED_VALUE"""),"GL2311028")</f>
        <v>GL2311028</v>
      </c>
      <c r="R2656" s="57">
        <f>IFERROR(__xludf.DUMMYFUNCTION("""COMPUTED_VALUE"""),45226.0)</f>
        <v>45226</v>
      </c>
      <c r="S2656" s="57">
        <f>IFERROR(__xludf.DUMMYFUNCTION("""COMPUTED_VALUE"""),45232.0)</f>
        <v>45232</v>
      </c>
      <c r="T2656" s="57">
        <f>IFERROR(__xludf.DUMMYFUNCTION("""COMPUTED_VALUE"""),45276.0)</f>
        <v>45276</v>
      </c>
    </row>
    <row r="2657">
      <c r="A2657" s="6" t="str">
        <f>IFERROR(__xludf.DUMMYFUNCTION("""COMPUTED_VALUE"""),"231750831-3")</f>
        <v>231750831-3</v>
      </c>
      <c r="B2657" s="6" t="str">
        <f>IFERROR(__xludf.DUMMYFUNCTION("""COMPUTED_VALUE"""),"231750831 - Approved")</f>
        <v>231750831 - Approved</v>
      </c>
      <c r="C2657" s="6">
        <f>IFERROR(__xludf.DUMMYFUNCTION("""COMPUTED_VALUE"""),3.0)</f>
        <v>3</v>
      </c>
      <c r="D2657" s="6" t="str">
        <f>IFERROR(__xludf.DUMMYFUNCTION("""COMPUTED_VALUE"""),"P-12476-00")</f>
        <v>P-12476-00</v>
      </c>
      <c r="E2657" s="6" t="str">
        <f>IFERROR(__xludf.DUMMYFUNCTION("""COMPUTED_VALUE"""),"Mata Bor besi dia 10 mm ex NACHI")</f>
        <v>Mata Bor besi dia 10 mm ex NACHI</v>
      </c>
      <c r="F2657" s="6">
        <f>IFERROR(__xludf.DUMMYFUNCTION("""COMPUTED_VALUE"""),2.0)</f>
        <v>2</v>
      </c>
      <c r="G2657" s="6" t="str">
        <f>IFERROR(__xludf.DUMMYFUNCTION("""COMPUTED_VALUE"""),"Pieces")</f>
        <v>Pieces</v>
      </c>
      <c r="H2657" s="6" t="str">
        <f>IFERROR(__xludf.DUMMYFUNCTION("""COMPUTED_VALUE"""),"IDR")</f>
        <v>IDR</v>
      </c>
      <c r="I2657" s="11">
        <f>IFERROR(__xludf.DUMMYFUNCTION("""COMPUTED_VALUE"""),95400.0)</f>
        <v>95400</v>
      </c>
      <c r="J2657" s="11">
        <f>IFERROR(__xludf.DUMMYFUNCTION("""COMPUTED_VALUE"""),190800.0)</f>
        <v>190800</v>
      </c>
      <c r="K2657" s="57">
        <f>IFERROR(__xludf.DUMMYFUNCTION("""COMPUTED_VALUE"""),45240.0)</f>
        <v>45240</v>
      </c>
      <c r="L2657" s="6" t="str">
        <f>IFERROR(__xludf.DUMMYFUNCTION("""COMPUTED_VALUE"""),"FIP Engineering")</f>
        <v>FIP Engineering</v>
      </c>
      <c r="M2657" s="6" t="str">
        <f>IFERROR(__xludf.DUMMYFUNCTION("""COMPUTED_VALUE"""),"Mochammad Fadhillah Hakim")</f>
        <v>Mochammad Fadhillah Hakim</v>
      </c>
      <c r="N2657" s="6" t="str">
        <f>IFERROR(__xludf.DUMMYFUNCTION("""COMPUTED_VALUE"""),"FIP Engineering")</f>
        <v>FIP Engineering</v>
      </c>
      <c r="O2657" s="6" t="str">
        <f>IFERROR(__xludf.DUMMYFUNCTION("""COMPUTED_VALUE"""),"FIP-DOM-000-11304-OS00001-INA-000000")</f>
        <v>FIP-DOM-000-11304-OS00001-INA-000000</v>
      </c>
      <c r="P2657" s="6" t="str">
        <f>IFERROR(__xludf.DUMMYFUNCTION("""COMPUTED_VALUE"""),"PO Closed")</f>
        <v>PO Closed</v>
      </c>
      <c r="Q2657" s="6" t="str">
        <f>IFERROR(__xludf.DUMMYFUNCTION("""COMPUTED_VALUE"""),"GL2311028")</f>
        <v>GL2311028</v>
      </c>
      <c r="R2657" s="57">
        <f>IFERROR(__xludf.DUMMYFUNCTION("""COMPUTED_VALUE"""),45226.0)</f>
        <v>45226</v>
      </c>
      <c r="S2657" s="57">
        <f>IFERROR(__xludf.DUMMYFUNCTION("""COMPUTED_VALUE"""),45232.0)</f>
        <v>45232</v>
      </c>
      <c r="T2657" s="57">
        <f>IFERROR(__xludf.DUMMYFUNCTION("""COMPUTED_VALUE"""),45276.0)</f>
        <v>45276</v>
      </c>
    </row>
    <row r="2658">
      <c r="A2658" s="6" t="str">
        <f>IFERROR(__xludf.DUMMYFUNCTION("""COMPUTED_VALUE"""),"231750831-4")</f>
        <v>231750831-4</v>
      </c>
      <c r="B2658" s="6" t="str">
        <f>IFERROR(__xludf.DUMMYFUNCTION("""COMPUTED_VALUE"""),"231750831 - Approved")</f>
        <v>231750831 - Approved</v>
      </c>
      <c r="C2658" s="6">
        <f>IFERROR(__xludf.DUMMYFUNCTION("""COMPUTED_VALUE"""),4.0)</f>
        <v>4</v>
      </c>
      <c r="D2658" s="6" t="str">
        <f>IFERROR(__xludf.DUMMYFUNCTION("""COMPUTED_VALUE"""),"P-12490-00")</f>
        <v>P-12490-00</v>
      </c>
      <c r="E2658" s="6" t="str">
        <f>IFERROR(__xludf.DUMMYFUNCTION("""COMPUTED_VALUE"""),"Mata bor besi dia 5 mm ex NACHI")</f>
        <v>Mata bor besi dia 5 mm ex NACHI</v>
      </c>
      <c r="F2658" s="6">
        <f>IFERROR(__xludf.DUMMYFUNCTION("""COMPUTED_VALUE"""),2.0)</f>
        <v>2</v>
      </c>
      <c r="G2658" s="6" t="str">
        <f>IFERROR(__xludf.DUMMYFUNCTION("""COMPUTED_VALUE"""),"Pieces")</f>
        <v>Pieces</v>
      </c>
      <c r="H2658" s="6" t="str">
        <f>IFERROR(__xludf.DUMMYFUNCTION("""COMPUTED_VALUE"""),"IDR")</f>
        <v>IDR</v>
      </c>
      <c r="I2658" s="11">
        <f>IFERROR(__xludf.DUMMYFUNCTION("""COMPUTED_VALUE"""),100000.0)</f>
        <v>100000</v>
      </c>
      <c r="J2658" s="11">
        <f>IFERROR(__xludf.DUMMYFUNCTION("""COMPUTED_VALUE"""),200000.0)</f>
        <v>200000</v>
      </c>
      <c r="K2658" s="57">
        <f>IFERROR(__xludf.DUMMYFUNCTION("""COMPUTED_VALUE"""),45240.0)</f>
        <v>45240</v>
      </c>
      <c r="L2658" s="6" t="str">
        <f>IFERROR(__xludf.DUMMYFUNCTION("""COMPUTED_VALUE"""),"FIP Engineering")</f>
        <v>FIP Engineering</v>
      </c>
      <c r="M2658" s="6" t="str">
        <f>IFERROR(__xludf.DUMMYFUNCTION("""COMPUTED_VALUE"""),"Mochammad Fadhillah Hakim")</f>
        <v>Mochammad Fadhillah Hakim</v>
      </c>
      <c r="N2658" s="6" t="str">
        <f>IFERROR(__xludf.DUMMYFUNCTION("""COMPUTED_VALUE"""),"FIP Engineering")</f>
        <v>FIP Engineering</v>
      </c>
      <c r="O2658" s="6" t="str">
        <f>IFERROR(__xludf.DUMMYFUNCTION("""COMPUTED_VALUE"""),"FIP-DOM-000-11304-OS00001-INA-000000")</f>
        <v>FIP-DOM-000-11304-OS00001-INA-000000</v>
      </c>
      <c r="P2658" s="6" t="str">
        <f>IFERROR(__xludf.DUMMYFUNCTION("""COMPUTED_VALUE"""),"PO Closed")</f>
        <v>PO Closed</v>
      </c>
      <c r="Q2658" s="6" t="str">
        <f>IFERROR(__xludf.DUMMYFUNCTION("""COMPUTED_VALUE"""),"GL2311028")</f>
        <v>GL2311028</v>
      </c>
      <c r="R2658" s="57">
        <f>IFERROR(__xludf.DUMMYFUNCTION("""COMPUTED_VALUE"""),45226.0)</f>
        <v>45226</v>
      </c>
      <c r="S2658" s="57">
        <f>IFERROR(__xludf.DUMMYFUNCTION("""COMPUTED_VALUE"""),45232.0)</f>
        <v>45232</v>
      </c>
      <c r="T2658" s="57">
        <f>IFERROR(__xludf.DUMMYFUNCTION("""COMPUTED_VALUE"""),45276.0)</f>
        <v>45276</v>
      </c>
    </row>
    <row r="2659">
      <c r="A2659" s="6" t="str">
        <f>IFERROR(__xludf.DUMMYFUNCTION("""COMPUTED_VALUE"""),"231750831-5")</f>
        <v>231750831-5</v>
      </c>
      <c r="B2659" s="6" t="str">
        <f>IFERROR(__xludf.DUMMYFUNCTION("""COMPUTED_VALUE"""),"231750831 - Approved")</f>
        <v>231750831 - Approved</v>
      </c>
      <c r="C2659" s="6">
        <f>IFERROR(__xludf.DUMMYFUNCTION("""COMPUTED_VALUE"""),5.0)</f>
        <v>5</v>
      </c>
      <c r="D2659" s="6" t="str">
        <f>IFERROR(__xludf.DUMMYFUNCTION("""COMPUTED_VALUE"""),"P-12488-00")</f>
        <v>P-12488-00</v>
      </c>
      <c r="E2659" s="6" t="str">
        <f>IFERROR(__xludf.DUMMYFUNCTION("""COMPUTED_VALUE"""),"Mata bor besi dia 4 mm ex NACHI")</f>
        <v>Mata bor besi dia 4 mm ex NACHI</v>
      </c>
      <c r="F2659" s="6">
        <f>IFERROR(__xludf.DUMMYFUNCTION("""COMPUTED_VALUE"""),2.0)</f>
        <v>2</v>
      </c>
      <c r="G2659" s="6" t="str">
        <f>IFERROR(__xludf.DUMMYFUNCTION("""COMPUTED_VALUE"""),"Pieces")</f>
        <v>Pieces</v>
      </c>
      <c r="H2659" s="6" t="str">
        <f>IFERROR(__xludf.DUMMYFUNCTION("""COMPUTED_VALUE"""),"IDR")</f>
        <v>IDR</v>
      </c>
      <c r="I2659" s="11">
        <f>IFERROR(__xludf.DUMMYFUNCTION("""COMPUTED_VALUE"""),100000.0)</f>
        <v>100000</v>
      </c>
      <c r="J2659" s="11">
        <f>IFERROR(__xludf.DUMMYFUNCTION("""COMPUTED_VALUE"""),200000.0)</f>
        <v>200000</v>
      </c>
      <c r="K2659" s="57">
        <f>IFERROR(__xludf.DUMMYFUNCTION("""COMPUTED_VALUE"""),45240.0)</f>
        <v>45240</v>
      </c>
      <c r="L2659" s="6" t="str">
        <f>IFERROR(__xludf.DUMMYFUNCTION("""COMPUTED_VALUE"""),"FIP Engineering")</f>
        <v>FIP Engineering</v>
      </c>
      <c r="M2659" s="6" t="str">
        <f>IFERROR(__xludf.DUMMYFUNCTION("""COMPUTED_VALUE"""),"Mochammad Fadhillah Hakim")</f>
        <v>Mochammad Fadhillah Hakim</v>
      </c>
      <c r="N2659" s="6" t="str">
        <f>IFERROR(__xludf.DUMMYFUNCTION("""COMPUTED_VALUE"""),"FIP Engineering")</f>
        <v>FIP Engineering</v>
      </c>
      <c r="O2659" s="6" t="str">
        <f>IFERROR(__xludf.DUMMYFUNCTION("""COMPUTED_VALUE"""),"FIP-DOM-000-11304-OS00001-INA-000000")</f>
        <v>FIP-DOM-000-11304-OS00001-INA-000000</v>
      </c>
      <c r="P2659" s="6" t="str">
        <f>IFERROR(__xludf.DUMMYFUNCTION("""COMPUTED_VALUE"""),"PO Closed")</f>
        <v>PO Closed</v>
      </c>
      <c r="Q2659" s="6" t="str">
        <f>IFERROR(__xludf.DUMMYFUNCTION("""COMPUTED_VALUE"""),"GL2311028")</f>
        <v>GL2311028</v>
      </c>
      <c r="R2659" s="57">
        <f>IFERROR(__xludf.DUMMYFUNCTION("""COMPUTED_VALUE"""),45226.0)</f>
        <v>45226</v>
      </c>
      <c r="S2659" s="57">
        <f>IFERROR(__xludf.DUMMYFUNCTION("""COMPUTED_VALUE"""),45232.0)</f>
        <v>45232</v>
      </c>
      <c r="T2659" s="57">
        <f>IFERROR(__xludf.DUMMYFUNCTION("""COMPUTED_VALUE"""),45276.0)</f>
        <v>45276</v>
      </c>
    </row>
    <row r="2660">
      <c r="A2660" s="6" t="str">
        <f>IFERROR(__xludf.DUMMYFUNCTION("""COMPUTED_VALUE"""),"231750837-1")</f>
        <v>231750837-1</v>
      </c>
      <c r="B2660" s="6" t="str">
        <f>IFERROR(__xludf.DUMMYFUNCTION("""COMPUTED_VALUE"""),"231750837 - Approved")</f>
        <v>231750837 - Approved</v>
      </c>
      <c r="C2660" s="6">
        <f>IFERROR(__xludf.DUMMYFUNCTION("""COMPUTED_VALUE"""),1.0)</f>
        <v>1</v>
      </c>
      <c r="D2660" s="6" t="str">
        <f>IFERROR(__xludf.DUMMYFUNCTION("""COMPUTED_VALUE"""),"T-21034-00")</f>
        <v>T-21034-00</v>
      </c>
      <c r="E2660" s="6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F2660" s="6">
        <f>IFERROR(__xludf.DUMMYFUNCTION("""COMPUTED_VALUE"""),1.0)</f>
        <v>1</v>
      </c>
      <c r="G2660" s="6" t="str">
        <f>IFERROR(__xludf.DUMMYFUNCTION("""COMPUTED_VALUE"""),"Pieces")</f>
        <v>Pieces</v>
      </c>
      <c r="H2660" s="6" t="str">
        <f>IFERROR(__xludf.DUMMYFUNCTION("""COMPUTED_VALUE"""),"IDR")</f>
        <v>IDR</v>
      </c>
      <c r="I2660" s="11">
        <f>IFERROR(__xludf.DUMMYFUNCTION("""COMPUTED_VALUE"""),1352907.4)</f>
        <v>1352907.4</v>
      </c>
      <c r="J2660" s="11">
        <f>IFERROR(__xludf.DUMMYFUNCTION("""COMPUTED_VALUE"""),1352907.4)</f>
        <v>1352907.4</v>
      </c>
      <c r="K2660" s="57">
        <f>IFERROR(__xludf.DUMMYFUNCTION("""COMPUTED_VALUE"""),45244.0)</f>
        <v>45244</v>
      </c>
      <c r="L2660" s="6" t="str">
        <f>IFERROR(__xludf.DUMMYFUNCTION("""COMPUTED_VALUE"""),"FIP General")</f>
        <v>FIP General</v>
      </c>
      <c r="M2660" s="6" t="str">
        <f>IFERROR(__xludf.DUMMYFUNCTION("""COMPUTED_VALUE"""),"Mochammad Fadhillah Hakim")</f>
        <v>Mochammad Fadhillah Hakim</v>
      </c>
      <c r="N2660" s="6" t="str">
        <f>IFERROR(__xludf.DUMMYFUNCTION("""COMPUTED_VALUE"""),"FIP Engineering")</f>
        <v>FIP Engineering</v>
      </c>
      <c r="O2660" s="6" t="str">
        <f>IFERROR(__xludf.DUMMYFUNCTION("""COMPUTED_VALUE"""),"FIP-DOM-ENG-51505-0000000-INA-000000")</f>
        <v>FIP-DOM-ENG-51505-0000000-INA-000000</v>
      </c>
      <c r="P2660" s="6" t="str">
        <f>IFERROR(__xludf.DUMMYFUNCTION("""COMPUTED_VALUE"""),"PO Closed")</f>
        <v>PO Closed</v>
      </c>
      <c r="Q2660" s="6" t="str">
        <f>IFERROR(__xludf.DUMMYFUNCTION("""COMPUTED_VALUE"""),"GL2311039")</f>
        <v>GL2311039</v>
      </c>
      <c r="R2660" s="57">
        <f>IFERROR(__xludf.DUMMYFUNCTION("""COMPUTED_VALUE"""),45230.0)</f>
        <v>45230</v>
      </c>
      <c r="S2660" s="57">
        <f>IFERROR(__xludf.DUMMYFUNCTION("""COMPUTED_VALUE"""),45237.0)</f>
        <v>45237</v>
      </c>
      <c r="T2660" s="57">
        <f>IFERROR(__xludf.DUMMYFUNCTION("""COMPUTED_VALUE"""),45289.0)</f>
        <v>45289</v>
      </c>
    </row>
    <row r="2661">
      <c r="A2661" s="6" t="str">
        <f>IFERROR(__xludf.DUMMYFUNCTION("""COMPUTED_VALUE"""),"231750837-2")</f>
        <v>231750837-2</v>
      </c>
      <c r="B2661" s="6" t="str">
        <f>IFERROR(__xludf.DUMMYFUNCTION("""COMPUTED_VALUE"""),"231750837 - Approved")</f>
        <v>231750837 - Approved</v>
      </c>
      <c r="C2661" s="6">
        <f>IFERROR(__xludf.DUMMYFUNCTION("""COMPUTED_VALUE"""),2.0)</f>
        <v>2</v>
      </c>
      <c r="D2661" s="6" t="str">
        <f>IFERROR(__xludf.DUMMYFUNCTION("""COMPUTED_VALUE"""),"O-12733-00")</f>
        <v>O-12733-00</v>
      </c>
      <c r="E2661" s="6" t="str">
        <f>IFERROR(__xludf.DUMMYFUNCTION("""COMPUTED_VALUE"""),"Tubing Polyurethane TU1065 Clear, SMC, roll SINAR MUTIARA CAKRABUANA, PT P/N : X3 pc")</f>
        <v>Tubing Polyurethane TU1065 Clear, SMC, roll SINAR MUTIARA CAKRABUANA, PT P/N : X3 pc</v>
      </c>
      <c r="F2661" s="6">
        <f>IFERROR(__xludf.DUMMYFUNCTION("""COMPUTED_VALUE"""),1.0)</f>
        <v>1</v>
      </c>
      <c r="G2661" s="6" t="str">
        <f>IFERROR(__xludf.DUMMYFUNCTION("""COMPUTED_VALUE"""),"Roll")</f>
        <v>Roll</v>
      </c>
      <c r="H2661" s="6" t="str">
        <f>IFERROR(__xludf.DUMMYFUNCTION("""COMPUTED_VALUE"""),"IDR")</f>
        <v>IDR</v>
      </c>
      <c r="I2661" s="11">
        <f>IFERROR(__xludf.DUMMYFUNCTION("""COMPUTED_VALUE"""),760000.0)</f>
        <v>760000</v>
      </c>
      <c r="J2661" s="11">
        <f>IFERROR(__xludf.DUMMYFUNCTION("""COMPUTED_VALUE"""),760000.0)</f>
        <v>760000</v>
      </c>
      <c r="K2661" s="57">
        <f>IFERROR(__xludf.DUMMYFUNCTION("""COMPUTED_VALUE"""),45244.0)</f>
        <v>45244</v>
      </c>
      <c r="L2661" s="6" t="str">
        <f>IFERROR(__xludf.DUMMYFUNCTION("""COMPUTED_VALUE"""),"FIP General")</f>
        <v>FIP General</v>
      </c>
      <c r="M2661" s="6" t="str">
        <f>IFERROR(__xludf.DUMMYFUNCTION("""COMPUTED_VALUE"""),"Mochammad Fadhillah Hakim")</f>
        <v>Mochammad Fadhillah Hakim</v>
      </c>
      <c r="N2661" s="6" t="str">
        <f>IFERROR(__xludf.DUMMYFUNCTION("""COMPUTED_VALUE"""),"FIP Engineering")</f>
        <v>FIP Engineering</v>
      </c>
      <c r="O2661" s="6" t="str">
        <f>IFERROR(__xludf.DUMMYFUNCTION("""COMPUTED_VALUE"""),"FIP-DOM-ENG-51404-0000000-INA-000000")</f>
        <v>FIP-DOM-ENG-51404-0000000-INA-000000</v>
      </c>
      <c r="P2661" s="6" t="str">
        <f>IFERROR(__xludf.DUMMYFUNCTION("""COMPUTED_VALUE"""),"PO Closed")</f>
        <v>PO Closed</v>
      </c>
      <c r="Q2661" s="6" t="str">
        <f>IFERROR(__xludf.DUMMYFUNCTION("""COMPUTED_VALUE"""),"GL2312021")</f>
        <v>GL2312021</v>
      </c>
      <c r="R2661" s="57">
        <f>IFERROR(__xludf.DUMMYFUNCTION("""COMPUTED_VALUE"""),45230.0)</f>
        <v>45230</v>
      </c>
      <c r="S2661" s="57">
        <f>IFERROR(__xludf.DUMMYFUNCTION("""COMPUTED_VALUE"""),45237.0)</f>
        <v>45237</v>
      </c>
      <c r="T2661" s="57">
        <f>IFERROR(__xludf.DUMMYFUNCTION("""COMPUTED_VALUE"""),45301.0)</f>
        <v>45301</v>
      </c>
    </row>
    <row r="2662">
      <c r="A2662" s="6" t="str">
        <f>IFERROR(__xludf.DUMMYFUNCTION("""COMPUTED_VALUE"""),"231750837-3")</f>
        <v>231750837-3</v>
      </c>
      <c r="B2662" s="6" t="str">
        <f>IFERROR(__xludf.DUMMYFUNCTION("""COMPUTED_VALUE"""),"231750837 - Approved")</f>
        <v>231750837 - Approved</v>
      </c>
      <c r="C2662" s="6">
        <f>IFERROR(__xludf.DUMMYFUNCTION("""COMPUTED_VALUE"""),3.0)</f>
        <v>3</v>
      </c>
      <c r="D2662" s="6" t="str">
        <f>IFERROR(__xludf.DUMMYFUNCTION("""COMPUTED_VALUE"""),"P-13429-00")</f>
        <v>P-13429-00</v>
      </c>
      <c r="E2662" s="6" t="str">
        <f>IFERROR(__xludf.DUMMYFUNCTION("""COMPUTED_VALUE"""),"Cable Ducting 25x40mm; ; ;")</f>
        <v>Cable Ducting 25x40mm; ; ;</v>
      </c>
      <c r="F2662" s="6">
        <f>IFERROR(__xludf.DUMMYFUNCTION("""COMPUTED_VALUE"""),5.0)</f>
        <v>5</v>
      </c>
      <c r="G2662" s="6" t="str">
        <f>IFERROR(__xludf.DUMMYFUNCTION("""COMPUTED_VALUE"""),"Pieces")</f>
        <v>Pieces</v>
      </c>
      <c r="H2662" s="6" t="str">
        <f>IFERROR(__xludf.DUMMYFUNCTION("""COMPUTED_VALUE"""),"IDR")</f>
        <v>IDR</v>
      </c>
      <c r="I2662" s="11">
        <f>IFERROR(__xludf.DUMMYFUNCTION("""COMPUTED_VALUE"""),45000.0)</f>
        <v>45000</v>
      </c>
      <c r="J2662" s="11">
        <f>IFERROR(__xludf.DUMMYFUNCTION("""COMPUTED_VALUE"""),225000.0)</f>
        <v>225000</v>
      </c>
      <c r="K2662" s="57">
        <f>IFERROR(__xludf.DUMMYFUNCTION("""COMPUTED_VALUE"""),45265.0)</f>
        <v>45265</v>
      </c>
      <c r="L2662" s="6" t="str">
        <f>IFERROR(__xludf.DUMMYFUNCTION("""COMPUTED_VALUE"""),"FIP General")</f>
        <v>FIP General</v>
      </c>
      <c r="M2662" s="6" t="str">
        <f>IFERROR(__xludf.DUMMYFUNCTION("""COMPUTED_VALUE"""),"Mochammad Fadhillah Hakim")</f>
        <v>Mochammad Fadhillah Hakim</v>
      </c>
      <c r="N2662" s="6" t="str">
        <f>IFERROR(__xludf.DUMMYFUNCTION("""COMPUTED_VALUE"""),"FIP Engineering")</f>
        <v>FIP Engineering</v>
      </c>
      <c r="O2662" s="6" t="str">
        <f>IFERROR(__xludf.DUMMYFUNCTION("""COMPUTED_VALUE"""),"FIP-DOM-ENG-51502-0000000-INA-000000")</f>
        <v>FIP-DOM-ENG-51502-0000000-INA-000000</v>
      </c>
      <c r="P2662" s="6" t="str">
        <f>IFERROR(__xludf.DUMMYFUNCTION("""COMPUTED_VALUE"""),"PO Closed")</f>
        <v>PO Closed</v>
      </c>
      <c r="Q2662" s="6" t="str">
        <f>IFERROR(__xludf.DUMMYFUNCTION("""COMPUTED_VALUE"""),"GL2312022")</f>
        <v>GL2312022</v>
      </c>
      <c r="R2662" s="57">
        <f>IFERROR(__xludf.DUMMYFUNCTION("""COMPUTED_VALUE"""),45230.0)</f>
        <v>45230</v>
      </c>
      <c r="S2662" s="57">
        <f>IFERROR(__xludf.DUMMYFUNCTION("""COMPUTED_VALUE"""),45237.0)</f>
        <v>45237</v>
      </c>
      <c r="T2662" s="57">
        <f>IFERROR(__xludf.DUMMYFUNCTION("""COMPUTED_VALUE"""),45306.0)</f>
        <v>45306</v>
      </c>
    </row>
    <row r="2663">
      <c r="A2663" s="6" t="str">
        <f>IFERROR(__xludf.DUMMYFUNCTION("""COMPUTED_VALUE"""),"231750841-1")</f>
        <v>231750841-1</v>
      </c>
      <c r="B2663" s="6" t="str">
        <f>IFERROR(__xludf.DUMMYFUNCTION("""COMPUTED_VALUE"""),"231750841 - Approved")</f>
        <v>231750841 - Approved</v>
      </c>
      <c r="C2663" s="6">
        <f>IFERROR(__xludf.DUMMYFUNCTION("""COMPUTED_VALUE"""),1.0)</f>
        <v>1</v>
      </c>
      <c r="D2663" s="6" t="str">
        <f>IFERROR(__xludf.DUMMYFUNCTION("""COMPUTED_VALUE"""),"P-53173-00")</f>
        <v>P-53173-00</v>
      </c>
      <c r="E2663" s="6" t="str">
        <f>IFERROR(__xludf.DUMMYFUNCTION("""COMPUTED_VALUE"""),"Ballast Electronic EB-C 214 TL5, 2x14W; Phillips; ;")</f>
        <v>Ballast Electronic EB-C 214 TL5, 2x14W; Phillips; ;</v>
      </c>
      <c r="F2663" s="6">
        <f>IFERROR(__xludf.DUMMYFUNCTION("""COMPUTED_VALUE"""),5.0)</f>
        <v>5</v>
      </c>
      <c r="G2663" s="6" t="str">
        <f>IFERROR(__xludf.DUMMYFUNCTION("""COMPUTED_VALUE"""),"Pieces")</f>
        <v>Pieces</v>
      </c>
      <c r="H2663" s="6" t="str">
        <f>IFERROR(__xludf.DUMMYFUNCTION("""COMPUTED_VALUE"""),"IDR")</f>
        <v>IDR</v>
      </c>
      <c r="I2663" s="11">
        <f>IFERROR(__xludf.DUMMYFUNCTION("""COMPUTED_VALUE"""),115000.0)</f>
        <v>115000</v>
      </c>
      <c r="J2663" s="11">
        <f>IFERROR(__xludf.DUMMYFUNCTION("""COMPUTED_VALUE"""),575000.0)</f>
        <v>575000</v>
      </c>
      <c r="K2663" s="57">
        <f>IFERROR(__xludf.DUMMYFUNCTION("""COMPUTED_VALUE"""),45245.0)</f>
        <v>45245</v>
      </c>
      <c r="L2663" s="6" t="str">
        <f>IFERROR(__xludf.DUMMYFUNCTION("""COMPUTED_VALUE"""),"FIP Engineering")</f>
        <v>FIP Engineering</v>
      </c>
      <c r="M2663" s="6" t="str">
        <f>IFERROR(__xludf.DUMMYFUNCTION("""COMPUTED_VALUE"""),"Mochammad Fadhillah Hakim")</f>
        <v>Mochammad Fadhillah Hakim</v>
      </c>
      <c r="N2663" s="6" t="str">
        <f>IFERROR(__xludf.DUMMYFUNCTION("""COMPUTED_VALUE"""),"FIP Engineering")</f>
        <v>FIP Engineering</v>
      </c>
      <c r="O2663" s="6" t="str">
        <f>IFERROR(__xludf.DUMMYFUNCTION("""COMPUTED_VALUE"""),"FIP-DOM-000-11304-OS00001-INA-000000")</f>
        <v>FIP-DOM-000-11304-OS00001-INA-000000</v>
      </c>
      <c r="P2663" s="6" t="str">
        <f>IFERROR(__xludf.DUMMYFUNCTION("""COMPUTED_VALUE"""),"PO Closed")</f>
        <v>PO Closed</v>
      </c>
      <c r="Q2663" s="6" t="str">
        <f>IFERROR(__xludf.DUMMYFUNCTION("""COMPUTED_VALUE"""),"GL2311026")</f>
        <v>GL2311026</v>
      </c>
      <c r="R2663" s="57">
        <f>IFERROR(__xludf.DUMMYFUNCTION("""COMPUTED_VALUE"""),45231.0)</f>
        <v>45231</v>
      </c>
      <c r="S2663" s="57">
        <f>IFERROR(__xludf.DUMMYFUNCTION("""COMPUTED_VALUE"""),45232.0)</f>
        <v>45232</v>
      </c>
      <c r="T2663" s="57">
        <f>IFERROR(__xludf.DUMMYFUNCTION("""COMPUTED_VALUE"""),45311.0)</f>
        <v>45311</v>
      </c>
    </row>
    <row r="2664">
      <c r="A2664" s="6" t="str">
        <f>IFERROR(__xludf.DUMMYFUNCTION("""COMPUTED_VALUE"""),"231750841-2")</f>
        <v>231750841-2</v>
      </c>
      <c r="B2664" s="6" t="str">
        <f>IFERROR(__xludf.DUMMYFUNCTION("""COMPUTED_VALUE"""),"231750841 - Approved")</f>
        <v>231750841 - Approved</v>
      </c>
      <c r="C2664" s="6">
        <f>IFERROR(__xludf.DUMMYFUNCTION("""COMPUTED_VALUE"""),2.0)</f>
        <v>2</v>
      </c>
      <c r="D2664" s="6" t="str">
        <f>IFERROR(__xludf.DUMMYFUNCTION("""COMPUTED_VALUE"""),"P-53169-00")</f>
        <v>P-53169-00</v>
      </c>
      <c r="E2664" s="6" t="str">
        <f>IFERROR(__xludf.DUMMYFUNCTION("""COMPUTED_VALUE"""),"Ballast Electronic EB-C 228 TL5, 2x28W; Phillips; ;")</f>
        <v>Ballast Electronic EB-C 228 TL5, 2x28W; Phillips; ;</v>
      </c>
      <c r="F2664" s="6">
        <f>IFERROR(__xludf.DUMMYFUNCTION("""COMPUTED_VALUE"""),5.0)</f>
        <v>5</v>
      </c>
      <c r="G2664" s="6" t="str">
        <f>IFERROR(__xludf.DUMMYFUNCTION("""COMPUTED_VALUE"""),"Pieces")</f>
        <v>Pieces</v>
      </c>
      <c r="H2664" s="6" t="str">
        <f>IFERROR(__xludf.DUMMYFUNCTION("""COMPUTED_VALUE"""),"IDR")</f>
        <v>IDR</v>
      </c>
      <c r="I2664" s="11">
        <f>IFERROR(__xludf.DUMMYFUNCTION("""COMPUTED_VALUE"""),115000.0)</f>
        <v>115000</v>
      </c>
      <c r="J2664" s="11">
        <f>IFERROR(__xludf.DUMMYFUNCTION("""COMPUTED_VALUE"""),575000.0)</f>
        <v>575000</v>
      </c>
      <c r="K2664" s="57">
        <f>IFERROR(__xludf.DUMMYFUNCTION("""COMPUTED_VALUE"""),45245.0)</f>
        <v>45245</v>
      </c>
      <c r="L2664" s="6" t="str">
        <f>IFERROR(__xludf.DUMMYFUNCTION("""COMPUTED_VALUE"""),"FIP Engineering")</f>
        <v>FIP Engineering</v>
      </c>
      <c r="M2664" s="6" t="str">
        <f>IFERROR(__xludf.DUMMYFUNCTION("""COMPUTED_VALUE"""),"Mochammad Fadhillah Hakim")</f>
        <v>Mochammad Fadhillah Hakim</v>
      </c>
      <c r="N2664" s="6" t="str">
        <f>IFERROR(__xludf.DUMMYFUNCTION("""COMPUTED_VALUE"""),"FIP Engineering")</f>
        <v>FIP Engineering</v>
      </c>
      <c r="O2664" s="6" t="str">
        <f>IFERROR(__xludf.DUMMYFUNCTION("""COMPUTED_VALUE"""),"FIP-DOM-000-11304-OS00001-INA-000000")</f>
        <v>FIP-DOM-000-11304-OS00001-INA-000000</v>
      </c>
      <c r="P2664" s="6" t="str">
        <f>IFERROR(__xludf.DUMMYFUNCTION("""COMPUTED_VALUE"""),"PO Closed")</f>
        <v>PO Closed</v>
      </c>
      <c r="Q2664" s="6" t="str">
        <f>IFERROR(__xludf.DUMMYFUNCTION("""COMPUTED_VALUE"""),"GL2311026")</f>
        <v>GL2311026</v>
      </c>
      <c r="R2664" s="57">
        <f>IFERROR(__xludf.DUMMYFUNCTION("""COMPUTED_VALUE"""),45231.0)</f>
        <v>45231</v>
      </c>
      <c r="S2664" s="57">
        <f>IFERROR(__xludf.DUMMYFUNCTION("""COMPUTED_VALUE"""),45232.0)</f>
        <v>45232</v>
      </c>
      <c r="T2664" s="57">
        <f>IFERROR(__xludf.DUMMYFUNCTION("""COMPUTED_VALUE"""),45311.0)</f>
        <v>45311</v>
      </c>
    </row>
    <row r="2665">
      <c r="A2665" s="6" t="str">
        <f>IFERROR(__xludf.DUMMYFUNCTION("""COMPUTED_VALUE"""),"231750841-3")</f>
        <v>231750841-3</v>
      </c>
      <c r="B2665" s="6" t="str">
        <f>IFERROR(__xludf.DUMMYFUNCTION("""COMPUTED_VALUE"""),"231750841 - Approved")</f>
        <v>231750841 - Approved</v>
      </c>
      <c r="C2665" s="6">
        <f>IFERROR(__xludf.DUMMYFUNCTION("""COMPUTED_VALUE"""),3.0)</f>
        <v>3</v>
      </c>
      <c r="D2665" s="6" t="str">
        <f>IFERROR(__xludf.DUMMYFUNCTION("""COMPUTED_VALUE"""),"O-54014-00")</f>
        <v>O-54014-00</v>
      </c>
      <c r="E2665" s="6" t="str">
        <f>IFERROR(__xludf.DUMMYFUNCTION("""COMPUTED_VALUE"""),"STEKER 1 PHASE, BROCO")</f>
        <v>STEKER 1 PHASE, BROCO</v>
      </c>
      <c r="F2665" s="6">
        <f>IFERROR(__xludf.DUMMYFUNCTION("""COMPUTED_VALUE"""),5.0)</f>
        <v>5</v>
      </c>
      <c r="G2665" s="6" t="str">
        <f>IFERROR(__xludf.DUMMYFUNCTION("""COMPUTED_VALUE"""),"Pieces")</f>
        <v>Pieces</v>
      </c>
      <c r="H2665" s="6" t="str">
        <f>IFERROR(__xludf.DUMMYFUNCTION("""COMPUTED_VALUE"""),"IDR")</f>
        <v>IDR</v>
      </c>
      <c r="I2665" s="11">
        <f>IFERROR(__xludf.DUMMYFUNCTION("""COMPUTED_VALUE"""),10000.0)</f>
        <v>10000</v>
      </c>
      <c r="J2665" s="11">
        <f>IFERROR(__xludf.DUMMYFUNCTION("""COMPUTED_VALUE"""),50000.0)</f>
        <v>50000</v>
      </c>
      <c r="K2665" s="57">
        <f>IFERROR(__xludf.DUMMYFUNCTION("""COMPUTED_VALUE"""),45245.0)</f>
        <v>45245</v>
      </c>
      <c r="L2665" s="6" t="str">
        <f>IFERROR(__xludf.DUMMYFUNCTION("""COMPUTED_VALUE"""),"FIP Engineering")</f>
        <v>FIP Engineering</v>
      </c>
      <c r="M2665" s="6" t="str">
        <f>IFERROR(__xludf.DUMMYFUNCTION("""COMPUTED_VALUE"""),"Mochammad Fadhillah Hakim")</f>
        <v>Mochammad Fadhillah Hakim</v>
      </c>
      <c r="N2665" s="6" t="str">
        <f>IFERROR(__xludf.DUMMYFUNCTION("""COMPUTED_VALUE"""),"FIP Engineering")</f>
        <v>FIP Engineering</v>
      </c>
      <c r="O2665" s="6" t="str">
        <f>IFERROR(__xludf.DUMMYFUNCTION("""COMPUTED_VALUE"""),"FIP-DOM-000-11304-OS00001-INA-000000")</f>
        <v>FIP-DOM-000-11304-OS00001-INA-000000</v>
      </c>
      <c r="P2665" s="6" t="str">
        <f>IFERROR(__xludf.DUMMYFUNCTION("""COMPUTED_VALUE"""),"PO Closed")</f>
        <v>PO Closed</v>
      </c>
      <c r="Q2665" s="6" t="str">
        <f>IFERROR(__xludf.DUMMYFUNCTION("""COMPUTED_VALUE"""),"GL2311026")</f>
        <v>GL2311026</v>
      </c>
      <c r="R2665" s="57">
        <f>IFERROR(__xludf.DUMMYFUNCTION("""COMPUTED_VALUE"""),45231.0)</f>
        <v>45231</v>
      </c>
      <c r="S2665" s="57">
        <f>IFERROR(__xludf.DUMMYFUNCTION("""COMPUTED_VALUE"""),45232.0)</f>
        <v>45232</v>
      </c>
      <c r="T2665" s="57">
        <f>IFERROR(__xludf.DUMMYFUNCTION("""COMPUTED_VALUE"""),45275.0)</f>
        <v>45275</v>
      </c>
    </row>
    <row r="2666">
      <c r="A2666" s="6" t="str">
        <f>IFERROR(__xludf.DUMMYFUNCTION("""COMPUTED_VALUE"""),"231750841-4")</f>
        <v>231750841-4</v>
      </c>
      <c r="B2666" s="6" t="str">
        <f>IFERROR(__xludf.DUMMYFUNCTION("""COMPUTED_VALUE"""),"231750841 - Approved")</f>
        <v>231750841 - Approved</v>
      </c>
      <c r="C2666" s="6">
        <f>IFERROR(__xludf.DUMMYFUNCTION("""COMPUTED_VALUE"""),4.0)</f>
        <v>4</v>
      </c>
      <c r="D2666" s="6" t="str">
        <f>IFERROR(__xludf.DUMMYFUNCTION("""COMPUTED_VALUE"""),"O-54015-00")</f>
        <v>O-54015-00</v>
      </c>
      <c r="E2666" s="6" t="str">
        <f>IFERROR(__xludf.DUMMYFUNCTION("""COMPUTED_VALUE"""),"STOP KONTAK LUBANG 4, BROCO")</f>
        <v>STOP KONTAK LUBANG 4, BROCO</v>
      </c>
      <c r="F2666" s="6">
        <f>IFERROR(__xludf.DUMMYFUNCTION("""COMPUTED_VALUE"""),5.0)</f>
        <v>5</v>
      </c>
      <c r="G2666" s="6" t="str">
        <f>IFERROR(__xludf.DUMMYFUNCTION("""COMPUTED_VALUE"""),"Unit")</f>
        <v>Unit</v>
      </c>
      <c r="H2666" s="6" t="str">
        <f>IFERROR(__xludf.DUMMYFUNCTION("""COMPUTED_VALUE"""),"IDR")</f>
        <v>IDR</v>
      </c>
      <c r="I2666" s="11">
        <f>IFERROR(__xludf.DUMMYFUNCTION("""COMPUTED_VALUE"""),49000.0)</f>
        <v>49000</v>
      </c>
      <c r="J2666" s="11">
        <f>IFERROR(__xludf.DUMMYFUNCTION("""COMPUTED_VALUE"""),245000.0)</f>
        <v>245000</v>
      </c>
      <c r="K2666" s="57">
        <f>IFERROR(__xludf.DUMMYFUNCTION("""COMPUTED_VALUE"""),45245.0)</f>
        <v>45245</v>
      </c>
      <c r="L2666" s="6" t="str">
        <f>IFERROR(__xludf.DUMMYFUNCTION("""COMPUTED_VALUE"""),"FIP Engineering")</f>
        <v>FIP Engineering</v>
      </c>
      <c r="M2666" s="6" t="str">
        <f>IFERROR(__xludf.DUMMYFUNCTION("""COMPUTED_VALUE"""),"Mochammad Fadhillah Hakim")</f>
        <v>Mochammad Fadhillah Hakim</v>
      </c>
      <c r="N2666" s="6" t="str">
        <f>IFERROR(__xludf.DUMMYFUNCTION("""COMPUTED_VALUE"""),"FIP Engineering")</f>
        <v>FIP Engineering</v>
      </c>
      <c r="O2666" s="6" t="str">
        <f>IFERROR(__xludf.DUMMYFUNCTION("""COMPUTED_VALUE"""),"FIP-DOM-000-11304-OS00001-INA-000000")</f>
        <v>FIP-DOM-000-11304-OS00001-INA-000000</v>
      </c>
      <c r="P2666" s="6" t="str">
        <f>IFERROR(__xludf.DUMMYFUNCTION("""COMPUTED_VALUE"""),"PO Closed")</f>
        <v>PO Closed</v>
      </c>
      <c r="Q2666" s="6" t="str">
        <f>IFERROR(__xludf.DUMMYFUNCTION("""COMPUTED_VALUE"""),"GL2311028")</f>
        <v>GL2311028</v>
      </c>
      <c r="R2666" s="57">
        <f>IFERROR(__xludf.DUMMYFUNCTION("""COMPUTED_VALUE"""),45231.0)</f>
        <v>45231</v>
      </c>
      <c r="S2666" s="57">
        <f>IFERROR(__xludf.DUMMYFUNCTION("""COMPUTED_VALUE"""),45232.0)</f>
        <v>45232</v>
      </c>
      <c r="T2666" s="57">
        <f>IFERROR(__xludf.DUMMYFUNCTION("""COMPUTED_VALUE"""),45276.0)</f>
        <v>45276</v>
      </c>
    </row>
    <row r="2667">
      <c r="A2667" s="6" t="str">
        <f>IFERROR(__xludf.DUMMYFUNCTION("""COMPUTED_VALUE"""),"231750841-5")</f>
        <v>231750841-5</v>
      </c>
      <c r="B2667" s="6" t="str">
        <f>IFERROR(__xludf.DUMMYFUNCTION("""COMPUTED_VALUE"""),"231750841 - Approved")</f>
        <v>231750841 - Approved</v>
      </c>
      <c r="C2667" s="6">
        <f>IFERROR(__xludf.DUMMYFUNCTION("""COMPUTED_VALUE"""),5.0)</f>
        <v>5</v>
      </c>
      <c r="D2667" s="6" t="str">
        <f>IFERROR(__xludf.DUMMYFUNCTION("""COMPUTED_VALUE"""),"P-12433-00")</f>
        <v>P-12433-00</v>
      </c>
      <c r="E2667" s="6" t="str">
        <f>IFERROR(__xludf.DUMMYFUNCTION("""COMPUTED_VALUE"""),"Isolasi AC- Sansui")</f>
        <v>Isolasi AC- Sansui</v>
      </c>
      <c r="F2667" s="6">
        <f>IFERROR(__xludf.DUMMYFUNCTION("""COMPUTED_VALUE"""),5.0)</f>
        <v>5</v>
      </c>
      <c r="G2667" s="6" t="str">
        <f>IFERROR(__xludf.DUMMYFUNCTION("""COMPUTED_VALUE"""),"Pieces")</f>
        <v>Pieces</v>
      </c>
      <c r="H2667" s="6" t="str">
        <f>IFERROR(__xludf.DUMMYFUNCTION("""COMPUTED_VALUE"""),"IDR")</f>
        <v>IDR</v>
      </c>
      <c r="I2667" s="11">
        <f>IFERROR(__xludf.DUMMYFUNCTION("""COMPUTED_VALUE"""),10000.0)</f>
        <v>10000</v>
      </c>
      <c r="J2667" s="11">
        <f>IFERROR(__xludf.DUMMYFUNCTION("""COMPUTED_VALUE"""),50000.0)</f>
        <v>50000</v>
      </c>
      <c r="K2667" s="57">
        <f>IFERROR(__xludf.DUMMYFUNCTION("""COMPUTED_VALUE"""),45245.0)</f>
        <v>45245</v>
      </c>
      <c r="L2667" s="6" t="str">
        <f>IFERROR(__xludf.DUMMYFUNCTION("""COMPUTED_VALUE"""),"FIP Engineering")</f>
        <v>FIP Engineering</v>
      </c>
      <c r="M2667" s="6" t="str">
        <f>IFERROR(__xludf.DUMMYFUNCTION("""COMPUTED_VALUE"""),"Mochammad Fadhillah Hakim")</f>
        <v>Mochammad Fadhillah Hakim</v>
      </c>
      <c r="N2667" s="6" t="str">
        <f>IFERROR(__xludf.DUMMYFUNCTION("""COMPUTED_VALUE"""),"FIP Engineering")</f>
        <v>FIP Engineering</v>
      </c>
      <c r="O2667" s="6" t="str">
        <f>IFERROR(__xludf.DUMMYFUNCTION("""COMPUTED_VALUE"""),"FIP-DOM-000-11304-OS00001-INA-000000")</f>
        <v>FIP-DOM-000-11304-OS00001-INA-000000</v>
      </c>
      <c r="P2667" s="6" t="str">
        <f>IFERROR(__xludf.DUMMYFUNCTION("""COMPUTED_VALUE"""),"PO Closed")</f>
        <v>PO Closed</v>
      </c>
      <c r="Q2667" s="6" t="str">
        <f>IFERROR(__xludf.DUMMYFUNCTION("""COMPUTED_VALUE"""),"GL2311028")</f>
        <v>GL2311028</v>
      </c>
      <c r="R2667" s="57">
        <f>IFERROR(__xludf.DUMMYFUNCTION("""COMPUTED_VALUE"""),45231.0)</f>
        <v>45231</v>
      </c>
      <c r="S2667" s="57">
        <f>IFERROR(__xludf.DUMMYFUNCTION("""COMPUTED_VALUE"""),45232.0)</f>
        <v>45232</v>
      </c>
      <c r="T2667" s="57">
        <f>IFERROR(__xludf.DUMMYFUNCTION("""COMPUTED_VALUE"""),45276.0)</f>
        <v>45276</v>
      </c>
    </row>
    <row r="2668">
      <c r="A2668" s="6" t="str">
        <f>IFERROR(__xludf.DUMMYFUNCTION("""COMPUTED_VALUE"""),"231750841-6")</f>
        <v>231750841-6</v>
      </c>
      <c r="B2668" s="6" t="str">
        <f>IFERROR(__xludf.DUMMYFUNCTION("""COMPUTED_VALUE"""),"231750841 - Approved")</f>
        <v>231750841 - Approved</v>
      </c>
      <c r="C2668" s="6">
        <f>IFERROR(__xludf.DUMMYFUNCTION("""COMPUTED_VALUE"""),6.0)</f>
        <v>6</v>
      </c>
      <c r="D2668" s="6" t="str">
        <f>IFERROR(__xludf.DUMMYFUNCTION("""COMPUTED_VALUE"""),"P-10726-00")</f>
        <v>P-10726-00</v>
      </c>
      <c r="E2668" s="6" t="str">
        <f>IFERROR(__xludf.DUMMYFUNCTION("""COMPUTED_VALUE"""),"Cleaner - Contact Cleaner CRC CO 2016 500 ml")</f>
        <v>Cleaner - Contact Cleaner CRC CO 2016 500 ml</v>
      </c>
      <c r="F2668" s="6">
        <f>IFERROR(__xludf.DUMMYFUNCTION("""COMPUTED_VALUE"""),1.0)</f>
        <v>1</v>
      </c>
      <c r="G2668" s="6" t="str">
        <f>IFERROR(__xludf.DUMMYFUNCTION("""COMPUTED_VALUE"""),"Pieces")</f>
        <v>Pieces</v>
      </c>
      <c r="H2668" s="6" t="str">
        <f>IFERROR(__xludf.DUMMYFUNCTION("""COMPUTED_VALUE"""),"IDR")</f>
        <v>IDR</v>
      </c>
      <c r="I2668" s="11">
        <f>IFERROR(__xludf.DUMMYFUNCTION("""COMPUTED_VALUE"""),90000.0)</f>
        <v>90000</v>
      </c>
      <c r="J2668" s="11">
        <f>IFERROR(__xludf.DUMMYFUNCTION("""COMPUTED_VALUE"""),90000.0)</f>
        <v>90000</v>
      </c>
      <c r="K2668" s="57">
        <f>IFERROR(__xludf.DUMMYFUNCTION("""COMPUTED_VALUE"""),45245.0)</f>
        <v>45245</v>
      </c>
      <c r="L2668" s="6" t="str">
        <f>IFERROR(__xludf.DUMMYFUNCTION("""COMPUTED_VALUE"""),"FIP Engineering")</f>
        <v>FIP Engineering</v>
      </c>
      <c r="M2668" s="6" t="str">
        <f>IFERROR(__xludf.DUMMYFUNCTION("""COMPUTED_VALUE"""),"Mochammad Fadhillah Hakim")</f>
        <v>Mochammad Fadhillah Hakim</v>
      </c>
      <c r="N2668" s="6" t="str">
        <f>IFERROR(__xludf.DUMMYFUNCTION("""COMPUTED_VALUE"""),"FIP Engineering")</f>
        <v>FIP Engineering</v>
      </c>
      <c r="O2668" s="6" t="str">
        <f>IFERROR(__xludf.DUMMYFUNCTION("""COMPUTED_VALUE"""),"FIP-DOM-000-11304-OS00001-INA-000000")</f>
        <v>FIP-DOM-000-11304-OS00001-INA-000000</v>
      </c>
      <c r="P2668" s="6" t="str">
        <f>IFERROR(__xludf.DUMMYFUNCTION("""COMPUTED_VALUE"""),"PO Closed")</f>
        <v>PO Closed</v>
      </c>
      <c r="Q2668" s="6" t="str">
        <f>IFERROR(__xludf.DUMMYFUNCTION("""COMPUTED_VALUE"""),"GL2311026")</f>
        <v>GL2311026</v>
      </c>
      <c r="R2668" s="57">
        <f>IFERROR(__xludf.DUMMYFUNCTION("""COMPUTED_VALUE"""),45231.0)</f>
        <v>45231</v>
      </c>
      <c r="S2668" s="57">
        <f>IFERROR(__xludf.DUMMYFUNCTION("""COMPUTED_VALUE"""),45232.0)</f>
        <v>45232</v>
      </c>
      <c r="T2668" s="57">
        <f>IFERROR(__xludf.DUMMYFUNCTION("""COMPUTED_VALUE"""),45275.0)</f>
        <v>45275</v>
      </c>
    </row>
    <row r="2669">
      <c r="A2669" s="6" t="str">
        <f>IFERROR(__xludf.DUMMYFUNCTION("""COMPUTED_VALUE"""),"231750841-7")</f>
        <v>231750841-7</v>
      </c>
      <c r="B2669" s="6" t="str">
        <f>IFERROR(__xludf.DUMMYFUNCTION("""COMPUTED_VALUE"""),"231750841 - Approved")</f>
        <v>231750841 - Approved</v>
      </c>
      <c r="C2669" s="6">
        <f>IFERROR(__xludf.DUMMYFUNCTION("""COMPUTED_VALUE"""),7.0)</f>
        <v>7</v>
      </c>
      <c r="D2669" s="6" t="str">
        <f>IFERROR(__xludf.DUMMYFUNCTION("""COMPUTED_VALUE"""),"P-15852-00")</f>
        <v>P-15852-00</v>
      </c>
      <c r="E2669" s="6" t="str">
        <f>IFERROR(__xludf.DUMMYFUNCTION("""COMPUTED_VALUE"""),"AMPLAS EAGLE 500")</f>
        <v>AMPLAS EAGLE 500</v>
      </c>
      <c r="F2669" s="6">
        <f>IFERROR(__xludf.DUMMYFUNCTION("""COMPUTED_VALUE"""),10.0)</f>
        <v>10</v>
      </c>
      <c r="G2669" s="6" t="str">
        <f>IFERROR(__xludf.DUMMYFUNCTION("""COMPUTED_VALUE"""),"Pieces")</f>
        <v>Pieces</v>
      </c>
      <c r="H2669" s="6" t="str">
        <f>IFERROR(__xludf.DUMMYFUNCTION("""COMPUTED_VALUE"""),"IDR")</f>
        <v>IDR</v>
      </c>
      <c r="I2669" s="11">
        <f>IFERROR(__xludf.DUMMYFUNCTION("""COMPUTED_VALUE"""),4500.0)</f>
        <v>4500</v>
      </c>
      <c r="J2669" s="11">
        <f>IFERROR(__xludf.DUMMYFUNCTION("""COMPUTED_VALUE"""),45000.0)</f>
        <v>45000</v>
      </c>
      <c r="K2669" s="57">
        <f>IFERROR(__xludf.DUMMYFUNCTION("""COMPUTED_VALUE"""),45245.0)</f>
        <v>45245</v>
      </c>
      <c r="L2669" s="6" t="str">
        <f>IFERROR(__xludf.DUMMYFUNCTION("""COMPUTED_VALUE"""),"FIP Engineering")</f>
        <v>FIP Engineering</v>
      </c>
      <c r="M2669" s="6" t="str">
        <f>IFERROR(__xludf.DUMMYFUNCTION("""COMPUTED_VALUE"""),"Mochammad Fadhillah Hakim")</f>
        <v>Mochammad Fadhillah Hakim</v>
      </c>
      <c r="N2669" s="6" t="str">
        <f>IFERROR(__xludf.DUMMYFUNCTION("""COMPUTED_VALUE"""),"FIP Engineering")</f>
        <v>FIP Engineering</v>
      </c>
      <c r="O2669" s="6" t="str">
        <f>IFERROR(__xludf.DUMMYFUNCTION("""COMPUTED_VALUE"""),"FIP-DOM-000-11304-OS00001-INA-000000")</f>
        <v>FIP-DOM-000-11304-OS00001-INA-000000</v>
      </c>
      <c r="P2669" s="6" t="str">
        <f>IFERROR(__xludf.DUMMYFUNCTION("""COMPUTED_VALUE"""),"PO Closed")</f>
        <v>PO Closed</v>
      </c>
      <c r="Q2669" s="6" t="str">
        <f>IFERROR(__xludf.DUMMYFUNCTION("""COMPUTED_VALUE"""),"GL2311026")</f>
        <v>GL2311026</v>
      </c>
      <c r="R2669" s="57">
        <f>IFERROR(__xludf.DUMMYFUNCTION("""COMPUTED_VALUE"""),45231.0)</f>
        <v>45231</v>
      </c>
      <c r="S2669" s="57">
        <f>IFERROR(__xludf.DUMMYFUNCTION("""COMPUTED_VALUE"""),45232.0)</f>
        <v>45232</v>
      </c>
      <c r="T2669" s="57">
        <f>IFERROR(__xludf.DUMMYFUNCTION("""COMPUTED_VALUE"""),45275.0)</f>
        <v>45275</v>
      </c>
    </row>
    <row r="2670">
      <c r="A2670" s="6" t="str">
        <f>IFERROR(__xludf.DUMMYFUNCTION("""COMPUTED_VALUE"""),"231750841-8")</f>
        <v>231750841-8</v>
      </c>
      <c r="B2670" s="6" t="str">
        <f>IFERROR(__xludf.DUMMYFUNCTION("""COMPUTED_VALUE"""),"231750841 - Approved")</f>
        <v>231750841 - Approved</v>
      </c>
      <c r="C2670" s="6">
        <f>IFERROR(__xludf.DUMMYFUNCTION("""COMPUTED_VALUE"""),8.0)</f>
        <v>8</v>
      </c>
      <c r="D2670" s="6" t="str">
        <f>IFERROR(__xludf.DUMMYFUNCTION("""COMPUTED_VALUE"""),"P-11991-00")</f>
        <v>P-11991-00</v>
      </c>
      <c r="E2670" s="6" t="str">
        <f>IFERROR(__xludf.DUMMYFUNCTION("""COMPUTED_VALUE"""),"Cable ties CS 200L")</f>
        <v>Cable ties CS 200L</v>
      </c>
      <c r="F2670" s="6">
        <f>IFERROR(__xludf.DUMMYFUNCTION("""COMPUTED_VALUE"""),3.0)</f>
        <v>3</v>
      </c>
      <c r="G2670" s="6" t="str">
        <f>IFERROR(__xludf.DUMMYFUNCTION("""COMPUTED_VALUE"""),"Pieces")</f>
        <v>Pieces</v>
      </c>
      <c r="H2670" s="6" t="str">
        <f>IFERROR(__xludf.DUMMYFUNCTION("""COMPUTED_VALUE"""),"IDR")</f>
        <v>IDR</v>
      </c>
      <c r="I2670" s="11">
        <f>IFERROR(__xludf.DUMMYFUNCTION("""COMPUTED_VALUE"""),100000.0)</f>
        <v>100000</v>
      </c>
      <c r="J2670" s="11">
        <f>IFERROR(__xludf.DUMMYFUNCTION("""COMPUTED_VALUE"""),300000.0)</f>
        <v>300000</v>
      </c>
      <c r="K2670" s="57">
        <f>IFERROR(__xludf.DUMMYFUNCTION("""COMPUTED_VALUE"""),45245.0)</f>
        <v>45245</v>
      </c>
      <c r="L2670" s="6" t="str">
        <f>IFERROR(__xludf.DUMMYFUNCTION("""COMPUTED_VALUE"""),"FIP Engineering")</f>
        <v>FIP Engineering</v>
      </c>
      <c r="M2670" s="6" t="str">
        <f>IFERROR(__xludf.DUMMYFUNCTION("""COMPUTED_VALUE"""),"Mochammad Fadhillah Hakim")</f>
        <v>Mochammad Fadhillah Hakim</v>
      </c>
      <c r="N2670" s="6" t="str">
        <f>IFERROR(__xludf.DUMMYFUNCTION("""COMPUTED_VALUE"""),"FIP Engineering")</f>
        <v>FIP Engineering</v>
      </c>
      <c r="O2670" s="6" t="str">
        <f>IFERROR(__xludf.DUMMYFUNCTION("""COMPUTED_VALUE"""),"FIP-DOM-000-11304-OS00001-INA-000000")</f>
        <v>FIP-DOM-000-11304-OS00001-INA-000000</v>
      </c>
      <c r="P2670" s="6" t="str">
        <f>IFERROR(__xludf.DUMMYFUNCTION("""COMPUTED_VALUE"""),"PO Closed")</f>
        <v>PO Closed</v>
      </c>
      <c r="Q2670" s="6" t="str">
        <f>IFERROR(__xludf.DUMMYFUNCTION("""COMPUTED_VALUE"""),"GL2311028")</f>
        <v>GL2311028</v>
      </c>
      <c r="R2670" s="57">
        <f>IFERROR(__xludf.DUMMYFUNCTION("""COMPUTED_VALUE"""),45231.0)</f>
        <v>45231</v>
      </c>
      <c r="S2670" s="57">
        <f>IFERROR(__xludf.DUMMYFUNCTION("""COMPUTED_VALUE"""),45232.0)</f>
        <v>45232</v>
      </c>
      <c r="T2670" s="57">
        <f>IFERROR(__xludf.DUMMYFUNCTION("""COMPUTED_VALUE"""),45276.0)</f>
        <v>45276</v>
      </c>
    </row>
    <row r="2671">
      <c r="A2671" s="6" t="str">
        <f>IFERROR(__xludf.DUMMYFUNCTION("""COMPUTED_VALUE"""),"231750843-1")</f>
        <v>231750843-1</v>
      </c>
      <c r="B2671" s="6" t="str">
        <f>IFERROR(__xludf.DUMMYFUNCTION("""COMPUTED_VALUE"""),"231750843 - Approved")</f>
        <v>231750843 - Approved</v>
      </c>
      <c r="C2671" s="6">
        <f>IFERROR(__xludf.DUMMYFUNCTION("""COMPUTED_VALUE"""),1.0)</f>
        <v>1</v>
      </c>
      <c r="D2671" s="6" t="str">
        <f>IFERROR(__xludf.DUMMYFUNCTION("""COMPUTED_VALUE"""),"P-17389-00")</f>
        <v>P-17389-00</v>
      </c>
      <c r="E2671" s="6" t="str">
        <f>IFERROR(__xludf.DUMMYFUNCTION("""COMPUTED_VALUE"""),"Kawat las SS316 dia 3.2; ; ;")</f>
        <v>Kawat las SS316 dia 3.2; ; ;</v>
      </c>
      <c r="F2671" s="6">
        <f>IFERROR(__xludf.DUMMYFUNCTION("""COMPUTED_VALUE"""),25.0)</f>
        <v>25</v>
      </c>
      <c r="G2671" s="6" t="str">
        <f>IFERROR(__xludf.DUMMYFUNCTION("""COMPUTED_VALUE"""),"Pieces")</f>
        <v>Pieces</v>
      </c>
      <c r="H2671" s="6" t="str">
        <f>IFERROR(__xludf.DUMMYFUNCTION("""COMPUTED_VALUE"""),"IDR")</f>
        <v>IDR</v>
      </c>
      <c r="I2671" s="11">
        <f>IFERROR(__xludf.DUMMYFUNCTION("""COMPUTED_VALUE"""),18000.0)</f>
        <v>18000</v>
      </c>
      <c r="J2671" s="11">
        <f>IFERROR(__xludf.DUMMYFUNCTION("""COMPUTED_VALUE"""),450000.0)</f>
        <v>450000</v>
      </c>
      <c r="K2671" s="57">
        <f>IFERROR(__xludf.DUMMYFUNCTION("""COMPUTED_VALUE"""),45245.0)</f>
        <v>45245</v>
      </c>
      <c r="L2671" s="6" t="str">
        <f>IFERROR(__xludf.DUMMYFUNCTION("""COMPUTED_VALUE"""),"FIP Engineering")</f>
        <v>FIP Engineering</v>
      </c>
      <c r="M2671" s="6" t="str">
        <f>IFERROR(__xludf.DUMMYFUNCTION("""COMPUTED_VALUE"""),"Mochammad Fadhillah Hakim")</f>
        <v>Mochammad Fadhillah Hakim</v>
      </c>
      <c r="N2671" s="6" t="str">
        <f>IFERROR(__xludf.DUMMYFUNCTION("""COMPUTED_VALUE"""),"FIP Engineering")</f>
        <v>FIP Engineering</v>
      </c>
      <c r="O2671" s="6" t="str">
        <f>IFERROR(__xludf.DUMMYFUNCTION("""COMPUTED_VALUE"""),"FIP-DOM-000-11304-OS00001-INA-000000")</f>
        <v>FIP-DOM-000-11304-OS00001-INA-000000</v>
      </c>
      <c r="P2671" s="6" t="str">
        <f>IFERROR(__xludf.DUMMYFUNCTION("""COMPUTED_VALUE"""),"PO Closed")</f>
        <v>PO Closed</v>
      </c>
      <c r="Q2671" s="6" t="str">
        <f>IFERROR(__xludf.DUMMYFUNCTION("""COMPUTED_VALUE"""),"GL2312019")</f>
        <v>GL2312019</v>
      </c>
      <c r="R2671" s="57">
        <f>IFERROR(__xludf.DUMMYFUNCTION("""COMPUTED_VALUE"""),45231.0)</f>
        <v>45231</v>
      </c>
      <c r="S2671" s="57">
        <f>IFERROR(__xludf.DUMMYFUNCTION("""COMPUTED_VALUE"""),45237.0)</f>
        <v>45237</v>
      </c>
      <c r="T2671" s="57">
        <f>IFERROR(__xludf.DUMMYFUNCTION("""COMPUTED_VALUE"""),45291.0)</f>
        <v>45291</v>
      </c>
    </row>
    <row r="2672">
      <c r="A2672" s="6" t="str">
        <f>IFERROR(__xludf.DUMMYFUNCTION("""COMPUTED_VALUE"""),"231750843-2")</f>
        <v>231750843-2</v>
      </c>
      <c r="B2672" s="6" t="str">
        <f>IFERROR(__xludf.DUMMYFUNCTION("""COMPUTED_VALUE"""),"231750843 - Approved")</f>
        <v>231750843 - Approved</v>
      </c>
      <c r="C2672" s="6">
        <f>IFERROR(__xludf.DUMMYFUNCTION("""COMPUTED_VALUE"""),2.0)</f>
        <v>2</v>
      </c>
      <c r="D2672" s="6" t="str">
        <f>IFERROR(__xludf.DUMMYFUNCTION("""COMPUTED_VALUE"""),"P-11886-00")</f>
        <v>P-11886-00</v>
      </c>
      <c r="E2672" s="6" t="str">
        <f>IFERROR(__xludf.DUMMYFUNCTION("""COMPUTED_VALUE"""),"Baut SS L countersunk M 4x0.7x10mm + Mur")</f>
        <v>Baut SS L countersunk M 4x0.7x10mm + Mur</v>
      </c>
      <c r="F2672" s="6">
        <f>IFERROR(__xludf.DUMMYFUNCTION("""COMPUTED_VALUE"""),100.0)</f>
        <v>100</v>
      </c>
      <c r="G2672" s="6" t="str">
        <f>IFERROR(__xludf.DUMMYFUNCTION("""COMPUTED_VALUE"""),"Pieces")</f>
        <v>Pieces</v>
      </c>
      <c r="H2672" s="6" t="str">
        <f>IFERROR(__xludf.DUMMYFUNCTION("""COMPUTED_VALUE"""),"IDR")</f>
        <v>IDR</v>
      </c>
      <c r="I2672" s="11">
        <f>IFERROR(__xludf.DUMMYFUNCTION("""COMPUTED_VALUE"""),1000.0)</f>
        <v>1000</v>
      </c>
      <c r="J2672" s="11">
        <f>IFERROR(__xludf.DUMMYFUNCTION("""COMPUTED_VALUE"""),100000.0)</f>
        <v>100000</v>
      </c>
      <c r="K2672" s="57">
        <f>IFERROR(__xludf.DUMMYFUNCTION("""COMPUTED_VALUE"""),45245.0)</f>
        <v>45245</v>
      </c>
      <c r="L2672" s="6" t="str">
        <f>IFERROR(__xludf.DUMMYFUNCTION("""COMPUTED_VALUE"""),"FIP Engineering")</f>
        <v>FIP Engineering</v>
      </c>
      <c r="M2672" s="6" t="str">
        <f>IFERROR(__xludf.DUMMYFUNCTION("""COMPUTED_VALUE"""),"Mochammad Fadhillah Hakim")</f>
        <v>Mochammad Fadhillah Hakim</v>
      </c>
      <c r="N2672" s="6" t="str">
        <f>IFERROR(__xludf.DUMMYFUNCTION("""COMPUTED_VALUE"""),"FIP Engineering")</f>
        <v>FIP Engineering</v>
      </c>
      <c r="O2672" s="6" t="str">
        <f>IFERROR(__xludf.DUMMYFUNCTION("""COMPUTED_VALUE"""),"FIP-DOM-000-11304-OS00001-INA-000000")</f>
        <v>FIP-DOM-000-11304-OS00001-INA-000000</v>
      </c>
      <c r="P2672" s="6" t="str">
        <f>IFERROR(__xludf.DUMMYFUNCTION("""COMPUTED_VALUE"""),"PO Closed")</f>
        <v>PO Closed</v>
      </c>
      <c r="Q2672" s="6" t="str">
        <f>IFERROR(__xludf.DUMMYFUNCTION("""COMPUTED_VALUE"""),"GL2312019")</f>
        <v>GL2312019</v>
      </c>
      <c r="R2672" s="57">
        <f>IFERROR(__xludf.DUMMYFUNCTION("""COMPUTED_VALUE"""),45231.0)</f>
        <v>45231</v>
      </c>
      <c r="S2672" s="57">
        <f>IFERROR(__xludf.DUMMYFUNCTION("""COMPUTED_VALUE"""),45237.0)</f>
        <v>45237</v>
      </c>
      <c r="T2672" s="57">
        <f>IFERROR(__xludf.DUMMYFUNCTION("""COMPUTED_VALUE"""),45291.0)</f>
        <v>45291</v>
      </c>
    </row>
    <row r="2673">
      <c r="A2673" s="6" t="str">
        <f>IFERROR(__xludf.DUMMYFUNCTION("""COMPUTED_VALUE"""),"231750843-3")</f>
        <v>231750843-3</v>
      </c>
      <c r="B2673" s="6" t="str">
        <f>IFERROR(__xludf.DUMMYFUNCTION("""COMPUTED_VALUE"""),"231750843 - Approved")</f>
        <v>231750843 - Approved</v>
      </c>
      <c r="C2673" s="6">
        <f>IFERROR(__xludf.DUMMYFUNCTION("""COMPUTED_VALUE"""),3.0)</f>
        <v>3</v>
      </c>
      <c r="D2673" s="6" t="str">
        <f>IFERROR(__xludf.DUMMYFUNCTION("""COMPUTED_VALUE"""),"P-13641-00")</f>
        <v>P-13641-00</v>
      </c>
      <c r="E2673" s="6" t="str">
        <f>IFERROR(__xludf.DUMMYFUNCTION("""COMPUTED_VALUE"""),"Filter SO 5 micron 30 inch O-ring 222 Bayonet; ; ;")</f>
        <v>Filter SO 5 micron 30 inch O-ring 222 Bayonet; ; ;</v>
      </c>
      <c r="F2673" s="6">
        <f>IFERROR(__xludf.DUMMYFUNCTION("""COMPUTED_VALUE"""),5.0)</f>
        <v>5</v>
      </c>
      <c r="G2673" s="6" t="str">
        <f>IFERROR(__xludf.DUMMYFUNCTION("""COMPUTED_VALUE"""),"Pieces")</f>
        <v>Pieces</v>
      </c>
      <c r="H2673" s="6" t="str">
        <f>IFERROR(__xludf.DUMMYFUNCTION("""COMPUTED_VALUE"""),"IDR")</f>
        <v>IDR</v>
      </c>
      <c r="I2673" s="11">
        <f>IFERROR(__xludf.DUMMYFUNCTION("""COMPUTED_VALUE"""),1890000.0)</f>
        <v>1890000</v>
      </c>
      <c r="J2673" s="11">
        <f>IFERROR(__xludf.DUMMYFUNCTION("""COMPUTED_VALUE"""),9450000.0)</f>
        <v>9450000</v>
      </c>
      <c r="K2673" s="57">
        <f>IFERROR(__xludf.DUMMYFUNCTION("""COMPUTED_VALUE"""),45245.0)</f>
        <v>45245</v>
      </c>
      <c r="L2673" s="6" t="str">
        <f>IFERROR(__xludf.DUMMYFUNCTION("""COMPUTED_VALUE"""),"FIP Engineering")</f>
        <v>FIP Engineering</v>
      </c>
      <c r="M2673" s="6" t="str">
        <f>IFERROR(__xludf.DUMMYFUNCTION("""COMPUTED_VALUE"""),"Mochammad Fadhillah Hakim")</f>
        <v>Mochammad Fadhillah Hakim</v>
      </c>
      <c r="N2673" s="6" t="str">
        <f>IFERROR(__xludf.DUMMYFUNCTION("""COMPUTED_VALUE"""),"FIP Engineering")</f>
        <v>FIP Engineering</v>
      </c>
      <c r="O2673" s="6" t="str">
        <f>IFERROR(__xludf.DUMMYFUNCTION("""COMPUTED_VALUE"""),"FIP-DOM-000-11304-OS00001-INA-000000")</f>
        <v>FIP-DOM-000-11304-OS00001-INA-000000</v>
      </c>
      <c r="P2673" s="6" t="str">
        <f>IFERROR(__xludf.DUMMYFUNCTION("""COMPUTED_VALUE"""),"PO Closed")</f>
        <v>PO Closed</v>
      </c>
      <c r="Q2673" s="6" t="str">
        <f>IFERROR(__xludf.DUMMYFUNCTION("""COMPUTED_VALUE"""),"GL2312023")</f>
        <v>GL2312023</v>
      </c>
      <c r="R2673" s="57">
        <f>IFERROR(__xludf.DUMMYFUNCTION("""COMPUTED_VALUE"""),45231.0)</f>
        <v>45231</v>
      </c>
      <c r="S2673" s="57">
        <f>IFERROR(__xludf.DUMMYFUNCTION("""COMPUTED_VALUE"""),45237.0)</f>
        <v>45237</v>
      </c>
      <c r="T2673" s="57">
        <f>IFERROR(__xludf.DUMMYFUNCTION("""COMPUTED_VALUE"""),45303.0)</f>
        <v>45303</v>
      </c>
    </row>
    <row r="2674">
      <c r="A2674" s="6" t="str">
        <f>IFERROR(__xludf.DUMMYFUNCTION("""COMPUTED_VALUE"""),"231750843-4")</f>
        <v>231750843-4</v>
      </c>
      <c r="B2674" s="6" t="str">
        <f>IFERROR(__xludf.DUMMYFUNCTION("""COMPUTED_VALUE"""),"231750843 - Approved")</f>
        <v>231750843 - Approved</v>
      </c>
      <c r="C2674" s="6">
        <f>IFERROR(__xludf.DUMMYFUNCTION("""COMPUTED_VALUE"""),4.0)</f>
        <v>4</v>
      </c>
      <c r="D2674" s="6" t="str">
        <f>IFERROR(__xludf.DUMMYFUNCTION("""COMPUTED_VALUE"""),"Q-10572-00")</f>
        <v>Q-10572-00</v>
      </c>
      <c r="E2674" s="6" t="str">
        <f>IFERROR(__xludf.DUMMYFUNCTION("""COMPUTED_VALUE"""),"PHILIPS - Lampu LED TL T8 120 Cm 16 Watt; ; ;")</f>
        <v>PHILIPS - Lampu LED TL T8 120 Cm 16 Watt; ; ;</v>
      </c>
      <c r="F2674" s="6">
        <f>IFERROR(__xludf.DUMMYFUNCTION("""COMPUTED_VALUE"""),8.0)</f>
        <v>8</v>
      </c>
      <c r="G2674" s="6" t="str">
        <f>IFERROR(__xludf.DUMMYFUNCTION("""COMPUTED_VALUE"""),"Pieces")</f>
        <v>Pieces</v>
      </c>
      <c r="H2674" s="6" t="str">
        <f>IFERROR(__xludf.DUMMYFUNCTION("""COMPUTED_VALUE"""),"IDR")</f>
        <v>IDR</v>
      </c>
      <c r="I2674" s="11">
        <f>IFERROR(__xludf.DUMMYFUNCTION("""COMPUTED_VALUE"""),66200.0)</f>
        <v>66200</v>
      </c>
      <c r="J2674" s="11">
        <f>IFERROR(__xludf.DUMMYFUNCTION("""COMPUTED_VALUE"""),529600.0)</f>
        <v>529600</v>
      </c>
      <c r="K2674" s="57">
        <f>IFERROR(__xludf.DUMMYFUNCTION("""COMPUTED_VALUE"""),45245.0)</f>
        <v>45245</v>
      </c>
      <c r="L2674" s="6" t="str">
        <f>IFERROR(__xludf.DUMMYFUNCTION("""COMPUTED_VALUE"""),"FIP Engineering")</f>
        <v>FIP Engineering</v>
      </c>
      <c r="M2674" s="6" t="str">
        <f>IFERROR(__xludf.DUMMYFUNCTION("""COMPUTED_VALUE"""),"Mochammad Fadhillah Hakim")</f>
        <v>Mochammad Fadhillah Hakim</v>
      </c>
      <c r="N2674" s="6" t="str">
        <f>IFERROR(__xludf.DUMMYFUNCTION("""COMPUTED_VALUE"""),"FIP Engineering")</f>
        <v>FIP Engineering</v>
      </c>
      <c r="O2674" s="6" t="str">
        <f>IFERROR(__xludf.DUMMYFUNCTION("""COMPUTED_VALUE"""),"FIP-DOM-000-11304-OS00001-INA-000000")</f>
        <v>FIP-DOM-000-11304-OS00001-INA-000000</v>
      </c>
      <c r="P2674" s="6" t="str">
        <f>IFERROR(__xludf.DUMMYFUNCTION("""COMPUTED_VALUE"""),"PO Closed")</f>
        <v>PO Closed</v>
      </c>
      <c r="Q2674" s="6" t="str">
        <f>IFERROR(__xludf.DUMMYFUNCTION("""COMPUTED_VALUE"""),"GL2311323")</f>
        <v>GL2311323</v>
      </c>
      <c r="R2674" s="57">
        <f>IFERROR(__xludf.DUMMYFUNCTION("""COMPUTED_VALUE"""),45231.0)</f>
        <v>45231</v>
      </c>
      <c r="S2674" s="57">
        <f>IFERROR(__xludf.DUMMYFUNCTION("""COMPUTED_VALUE"""),45237.0)</f>
        <v>45237</v>
      </c>
      <c r="T2674" s="57">
        <f>IFERROR(__xludf.DUMMYFUNCTION("""COMPUTED_VALUE"""),45275.0)</f>
        <v>45275</v>
      </c>
    </row>
    <row r="2675">
      <c r="A2675" s="6" t="str">
        <f>IFERROR(__xludf.DUMMYFUNCTION("""COMPUTED_VALUE"""),"231750843-5")</f>
        <v>231750843-5</v>
      </c>
      <c r="B2675" s="6" t="str">
        <f>IFERROR(__xludf.DUMMYFUNCTION("""COMPUTED_VALUE"""),"231750843 - Approved")</f>
        <v>231750843 - Approved</v>
      </c>
      <c r="C2675" s="6">
        <f>IFERROR(__xludf.DUMMYFUNCTION("""COMPUTED_VALUE"""),5.0)</f>
        <v>5</v>
      </c>
      <c r="D2675" s="6" t="str">
        <f>IFERROR(__xludf.DUMMYFUNCTION("""COMPUTED_VALUE"""),"O-54013-00")</f>
        <v>O-54013-00</v>
      </c>
      <c r="E2675" s="6" t="str">
        <f>IFERROR(__xludf.DUMMYFUNCTION("""COMPUTED_VALUE"""),"SOCKET RJ 45")</f>
        <v>SOCKET RJ 45</v>
      </c>
      <c r="F2675" s="6">
        <f>IFERROR(__xludf.DUMMYFUNCTION("""COMPUTED_VALUE"""),20.0)</f>
        <v>20</v>
      </c>
      <c r="G2675" s="6" t="str">
        <f>IFERROR(__xludf.DUMMYFUNCTION("""COMPUTED_VALUE"""),"Pieces")</f>
        <v>Pieces</v>
      </c>
      <c r="H2675" s="6" t="str">
        <f>IFERROR(__xludf.DUMMYFUNCTION("""COMPUTED_VALUE"""),"IDR")</f>
        <v>IDR</v>
      </c>
      <c r="I2675" s="11">
        <f>IFERROR(__xludf.DUMMYFUNCTION("""COMPUTED_VALUE"""),1500.0)</f>
        <v>1500</v>
      </c>
      <c r="J2675" s="11">
        <f>IFERROR(__xludf.DUMMYFUNCTION("""COMPUTED_VALUE"""),30000.0)</f>
        <v>30000</v>
      </c>
      <c r="K2675" s="57">
        <f>IFERROR(__xludf.DUMMYFUNCTION("""COMPUTED_VALUE"""),45245.0)</f>
        <v>45245</v>
      </c>
      <c r="L2675" s="6" t="str">
        <f>IFERROR(__xludf.DUMMYFUNCTION("""COMPUTED_VALUE"""),"FIP Engineering")</f>
        <v>FIP Engineering</v>
      </c>
      <c r="M2675" s="6" t="str">
        <f>IFERROR(__xludf.DUMMYFUNCTION("""COMPUTED_VALUE"""),"Mochammad Fadhillah Hakim")</f>
        <v>Mochammad Fadhillah Hakim</v>
      </c>
      <c r="N2675" s="6" t="str">
        <f>IFERROR(__xludf.DUMMYFUNCTION("""COMPUTED_VALUE"""),"FIP Engineering")</f>
        <v>FIP Engineering</v>
      </c>
      <c r="O2675" s="6" t="str">
        <f>IFERROR(__xludf.DUMMYFUNCTION("""COMPUTED_VALUE"""),"FIP-DOM-000-11304-OS00001-INA-000000")</f>
        <v>FIP-DOM-000-11304-OS00001-INA-000000</v>
      </c>
      <c r="P2675" s="6" t="str">
        <f>IFERROR(__xludf.DUMMYFUNCTION("""COMPUTED_VALUE"""),"PO Closed")</f>
        <v>PO Closed</v>
      </c>
      <c r="Q2675" s="6" t="str">
        <f>IFERROR(__xludf.DUMMYFUNCTION("""COMPUTED_VALUE"""),"GL2312019")</f>
        <v>GL2312019</v>
      </c>
      <c r="R2675" s="57">
        <f>IFERROR(__xludf.DUMMYFUNCTION("""COMPUTED_VALUE"""),45231.0)</f>
        <v>45231</v>
      </c>
      <c r="S2675" s="57">
        <f>IFERROR(__xludf.DUMMYFUNCTION("""COMPUTED_VALUE"""),45237.0)</f>
        <v>45237</v>
      </c>
      <c r="T2675" s="57">
        <f>IFERROR(__xludf.DUMMYFUNCTION("""COMPUTED_VALUE"""),45291.0)</f>
        <v>45291</v>
      </c>
    </row>
    <row r="2676">
      <c r="A2676" s="6" t="str">
        <f>IFERROR(__xludf.DUMMYFUNCTION("""COMPUTED_VALUE"""),"231750843-6")</f>
        <v>231750843-6</v>
      </c>
      <c r="B2676" s="6" t="str">
        <f>IFERROR(__xludf.DUMMYFUNCTION("""COMPUTED_VALUE"""),"231750843 - Approved")</f>
        <v>231750843 - Approved</v>
      </c>
      <c r="C2676" s="6">
        <f>IFERROR(__xludf.DUMMYFUNCTION("""COMPUTED_VALUE"""),6.0)</f>
        <v>6</v>
      </c>
      <c r="D2676" s="6" t="str">
        <f>IFERROR(__xludf.DUMMYFUNCTION("""COMPUTED_VALUE"""),"P-15351-00")</f>
        <v>P-15351-00</v>
      </c>
      <c r="E2676" s="6" t="str">
        <f>IFERROR(__xludf.DUMMYFUNCTION("""COMPUTED_VALUE"""),"FESTO - Plastic tubing PUN-10x1,5-BL (Blue) p/n 159668; ; ;")</f>
        <v>FESTO - Plastic tubing PUN-10x1,5-BL (Blue) p/n 159668; ; ;</v>
      </c>
      <c r="F2676" s="6">
        <f>IFERROR(__xludf.DUMMYFUNCTION("""COMPUTED_VALUE"""),1.0)</f>
        <v>1</v>
      </c>
      <c r="G2676" s="6" t="str">
        <f>IFERROR(__xludf.DUMMYFUNCTION("""COMPUTED_VALUE"""),"Pieces")</f>
        <v>Pieces</v>
      </c>
      <c r="H2676" s="6" t="str">
        <f>IFERROR(__xludf.DUMMYFUNCTION("""COMPUTED_VALUE"""),"IDR")</f>
        <v>IDR</v>
      </c>
      <c r="I2676" s="11">
        <f>IFERROR(__xludf.DUMMYFUNCTION("""COMPUTED_VALUE"""),100000.0)</f>
        <v>100000</v>
      </c>
      <c r="J2676" s="11">
        <f>IFERROR(__xludf.DUMMYFUNCTION("""COMPUTED_VALUE"""),100000.0)</f>
        <v>100000</v>
      </c>
      <c r="K2676" s="57">
        <f>IFERROR(__xludf.DUMMYFUNCTION("""COMPUTED_VALUE"""),45245.0)</f>
        <v>45245</v>
      </c>
      <c r="L2676" s="6" t="str">
        <f>IFERROR(__xludf.DUMMYFUNCTION("""COMPUTED_VALUE"""),"FIP Engineering")</f>
        <v>FIP Engineering</v>
      </c>
      <c r="M2676" s="6" t="str">
        <f>IFERROR(__xludf.DUMMYFUNCTION("""COMPUTED_VALUE"""),"Mochammad Fadhillah Hakim")</f>
        <v>Mochammad Fadhillah Hakim</v>
      </c>
      <c r="N2676" s="6" t="str">
        <f>IFERROR(__xludf.DUMMYFUNCTION("""COMPUTED_VALUE"""),"FIP Engineering")</f>
        <v>FIP Engineering</v>
      </c>
      <c r="O2676" s="6" t="str">
        <f>IFERROR(__xludf.DUMMYFUNCTION("""COMPUTED_VALUE"""),"FIP-DOM-000-11304-OS00001-INA-000000")</f>
        <v>FIP-DOM-000-11304-OS00001-INA-000000</v>
      </c>
      <c r="P2676" s="6" t="str">
        <f>IFERROR(__xludf.DUMMYFUNCTION("""COMPUTED_VALUE"""),"PO Closed")</f>
        <v>PO Closed</v>
      </c>
      <c r="Q2676" s="6" t="str">
        <f>IFERROR(__xludf.DUMMYFUNCTION("""COMPUTED_VALUE"""),"GL2312321")</f>
        <v>GL2312321</v>
      </c>
      <c r="R2676" s="57">
        <f>IFERROR(__xludf.DUMMYFUNCTION("""COMPUTED_VALUE"""),45231.0)</f>
        <v>45231</v>
      </c>
      <c r="S2676" s="57">
        <f>IFERROR(__xludf.DUMMYFUNCTION("""COMPUTED_VALUE"""),45237.0)</f>
        <v>45237</v>
      </c>
      <c r="T2676" s="57">
        <f>IFERROR(__xludf.DUMMYFUNCTION("""COMPUTED_VALUE"""),45309.0)</f>
        <v>45309</v>
      </c>
    </row>
    <row r="2677">
      <c r="A2677" s="6" t="str">
        <f>IFERROR(__xludf.DUMMYFUNCTION("""COMPUTED_VALUE"""),"231750843-7")</f>
        <v>231750843-7</v>
      </c>
      <c r="B2677" s="6" t="str">
        <f>IFERROR(__xludf.DUMMYFUNCTION("""COMPUTED_VALUE"""),"231750843 - Approved")</f>
        <v>231750843 - Approved</v>
      </c>
      <c r="C2677" s="6">
        <f>IFERROR(__xludf.DUMMYFUNCTION("""COMPUTED_VALUE"""),7.0)</f>
        <v>7</v>
      </c>
      <c r="D2677" s="6" t="str">
        <f>IFERROR(__xludf.DUMMYFUNCTION("""COMPUTED_VALUE"""),"P-12306-00")</f>
        <v>P-12306-00</v>
      </c>
      <c r="E2677" s="6" t="str">
        <f>IFERROR(__xludf.DUMMYFUNCTION("""COMPUTED_VALUE"""),"FESTO - QST-8 push in t- connection p/n 153130")</f>
        <v>FESTO - QST-8 push in t- connection p/n 153130</v>
      </c>
      <c r="F2677" s="6">
        <f>IFERROR(__xludf.DUMMYFUNCTION("""COMPUTED_VALUE"""),5.0)</f>
        <v>5</v>
      </c>
      <c r="G2677" s="6" t="str">
        <f>IFERROR(__xludf.DUMMYFUNCTION("""COMPUTED_VALUE"""),"Pieces")</f>
        <v>Pieces</v>
      </c>
      <c r="H2677" s="6" t="str">
        <f>IFERROR(__xludf.DUMMYFUNCTION("""COMPUTED_VALUE"""),"IDR")</f>
        <v>IDR</v>
      </c>
      <c r="I2677" s="11">
        <f>IFERROR(__xludf.DUMMYFUNCTION("""COMPUTED_VALUE"""),100000.0)</f>
        <v>100000</v>
      </c>
      <c r="J2677" s="11">
        <f>IFERROR(__xludf.DUMMYFUNCTION("""COMPUTED_VALUE"""),500000.0)</f>
        <v>500000</v>
      </c>
      <c r="K2677" s="57">
        <f>IFERROR(__xludf.DUMMYFUNCTION("""COMPUTED_VALUE"""),45245.0)</f>
        <v>45245</v>
      </c>
      <c r="L2677" s="6" t="str">
        <f>IFERROR(__xludf.DUMMYFUNCTION("""COMPUTED_VALUE"""),"FIP Engineering")</f>
        <v>FIP Engineering</v>
      </c>
      <c r="M2677" s="6" t="str">
        <f>IFERROR(__xludf.DUMMYFUNCTION("""COMPUTED_VALUE"""),"Mochammad Fadhillah Hakim")</f>
        <v>Mochammad Fadhillah Hakim</v>
      </c>
      <c r="N2677" s="6" t="str">
        <f>IFERROR(__xludf.DUMMYFUNCTION("""COMPUTED_VALUE"""),"FIP Engineering")</f>
        <v>FIP Engineering</v>
      </c>
      <c r="O2677" s="6" t="str">
        <f>IFERROR(__xludf.DUMMYFUNCTION("""COMPUTED_VALUE"""),"FIP-DOM-000-11304-OS00001-INA-000000")</f>
        <v>FIP-DOM-000-11304-OS00001-INA-000000</v>
      </c>
      <c r="P2677" s="6" t="str">
        <f>IFERROR(__xludf.DUMMYFUNCTION("""COMPUTED_VALUE"""),"PO Closed")</f>
        <v>PO Closed</v>
      </c>
      <c r="Q2677" s="6" t="str">
        <f>IFERROR(__xludf.DUMMYFUNCTION("""COMPUTED_VALUE"""),"GL2312321")</f>
        <v>GL2312321</v>
      </c>
      <c r="R2677" s="57">
        <f>IFERROR(__xludf.DUMMYFUNCTION("""COMPUTED_VALUE"""),45231.0)</f>
        <v>45231</v>
      </c>
      <c r="S2677" s="57">
        <f>IFERROR(__xludf.DUMMYFUNCTION("""COMPUTED_VALUE"""),45237.0)</f>
        <v>45237</v>
      </c>
      <c r="T2677" s="57">
        <f>IFERROR(__xludf.DUMMYFUNCTION("""COMPUTED_VALUE"""),45309.0)</f>
        <v>45309</v>
      </c>
    </row>
    <row r="2678">
      <c r="A2678" s="6" t="str">
        <f>IFERROR(__xludf.DUMMYFUNCTION("""COMPUTED_VALUE"""),"231750843-8")</f>
        <v>231750843-8</v>
      </c>
      <c r="B2678" s="6" t="str">
        <f>IFERROR(__xludf.DUMMYFUNCTION("""COMPUTED_VALUE"""),"231750843 - Approved")</f>
        <v>231750843 - Approved</v>
      </c>
      <c r="C2678" s="6">
        <f>IFERROR(__xludf.DUMMYFUNCTION("""COMPUTED_VALUE"""),8.0)</f>
        <v>8</v>
      </c>
      <c r="D2678" s="6" t="str">
        <f>IFERROR(__xludf.DUMMYFUNCTION("""COMPUTED_VALUE"""),"P-52710-00")</f>
        <v>P-52710-00</v>
      </c>
      <c r="E2678" s="6" t="str">
        <f>IFERROR(__xludf.DUMMYFUNCTION("""COMPUTED_VALUE"""),"USB Extension Cable Waterproof IP6; ; ;")</f>
        <v>USB Extension Cable Waterproof IP6; ; ;</v>
      </c>
      <c r="F2678" s="6">
        <f>IFERROR(__xludf.DUMMYFUNCTION("""COMPUTED_VALUE"""),2.0)</f>
        <v>2</v>
      </c>
      <c r="G2678" s="6" t="str">
        <f>IFERROR(__xludf.DUMMYFUNCTION("""COMPUTED_VALUE"""),"Pieces")</f>
        <v>Pieces</v>
      </c>
      <c r="H2678" s="6" t="str">
        <f>IFERROR(__xludf.DUMMYFUNCTION("""COMPUTED_VALUE"""),"IDR")</f>
        <v>IDR</v>
      </c>
      <c r="I2678" s="11">
        <f>IFERROR(__xludf.DUMMYFUNCTION("""COMPUTED_VALUE"""),100000.0)</f>
        <v>100000</v>
      </c>
      <c r="J2678" s="11">
        <f>IFERROR(__xludf.DUMMYFUNCTION("""COMPUTED_VALUE"""),200000.0)</f>
        <v>200000</v>
      </c>
      <c r="K2678" s="57">
        <f>IFERROR(__xludf.DUMMYFUNCTION("""COMPUTED_VALUE"""),45245.0)</f>
        <v>45245</v>
      </c>
      <c r="L2678" s="6" t="str">
        <f>IFERROR(__xludf.DUMMYFUNCTION("""COMPUTED_VALUE"""),"FIP Engineering")</f>
        <v>FIP Engineering</v>
      </c>
      <c r="M2678" s="6" t="str">
        <f>IFERROR(__xludf.DUMMYFUNCTION("""COMPUTED_VALUE"""),"Mochammad Fadhillah Hakim")</f>
        <v>Mochammad Fadhillah Hakim</v>
      </c>
      <c r="N2678" s="6" t="str">
        <f>IFERROR(__xludf.DUMMYFUNCTION("""COMPUTED_VALUE"""),"FIP Engineering")</f>
        <v>FIP Engineering</v>
      </c>
      <c r="O2678" s="6" t="str">
        <f>IFERROR(__xludf.DUMMYFUNCTION("""COMPUTED_VALUE"""),"FIP-DOM-000-11304-OS00001-INA-000000")</f>
        <v>FIP-DOM-000-11304-OS00001-INA-000000</v>
      </c>
      <c r="P2678" s="6" t="str">
        <f>IFERROR(__xludf.DUMMYFUNCTION("""COMPUTED_VALUE"""),"PO Closed")</f>
        <v>PO Closed</v>
      </c>
      <c r="Q2678" s="6" t="str">
        <f>IFERROR(__xludf.DUMMYFUNCTION("""COMPUTED_VALUE"""),"GL2312037")</f>
        <v>GL2312037</v>
      </c>
      <c r="R2678" s="57">
        <f>IFERROR(__xludf.DUMMYFUNCTION("""COMPUTED_VALUE"""),45231.0)</f>
        <v>45231</v>
      </c>
      <c r="S2678" s="57">
        <f>IFERROR(__xludf.DUMMYFUNCTION("""COMPUTED_VALUE"""),45237.0)</f>
        <v>45237</v>
      </c>
      <c r="T2678" s="57">
        <f>IFERROR(__xludf.DUMMYFUNCTION("""COMPUTED_VALUE"""),45311.0)</f>
        <v>45311</v>
      </c>
    </row>
    <row r="2679">
      <c r="A2679" s="6" t="str">
        <f>IFERROR(__xludf.DUMMYFUNCTION("""COMPUTED_VALUE"""),"231750845-1")</f>
        <v>231750845-1</v>
      </c>
      <c r="B2679" s="6" t="str">
        <f>IFERROR(__xludf.DUMMYFUNCTION("""COMPUTED_VALUE"""),"231750845 - Approved")</f>
        <v>231750845 - Approved</v>
      </c>
      <c r="C2679" s="6">
        <f>IFERROR(__xludf.DUMMYFUNCTION("""COMPUTED_VALUE"""),1.0)</f>
        <v>1</v>
      </c>
      <c r="D2679" s="6" t="str">
        <f>IFERROR(__xludf.DUMMYFUNCTION("""COMPUTED_VALUE"""),"Q-10656-00")</f>
        <v>Q-10656-00</v>
      </c>
      <c r="E2679" s="6" t="str">
        <f>IFERROR(__xludf.DUMMYFUNCTION("""COMPUTED_VALUE"""),"Kuas Eterna 5 Inch; ; ;")</f>
        <v>Kuas Eterna 5 Inch; ; ;</v>
      </c>
      <c r="F2679" s="6">
        <f>IFERROR(__xludf.DUMMYFUNCTION("""COMPUTED_VALUE"""),5.0)</f>
        <v>5</v>
      </c>
      <c r="G2679" s="6" t="str">
        <f>IFERROR(__xludf.DUMMYFUNCTION("""COMPUTED_VALUE"""),"Pieces")</f>
        <v>Pieces</v>
      </c>
      <c r="H2679" s="6" t="str">
        <f>IFERROR(__xludf.DUMMYFUNCTION("""COMPUTED_VALUE"""),"IDR")</f>
        <v>IDR</v>
      </c>
      <c r="I2679" s="11">
        <f>IFERROR(__xludf.DUMMYFUNCTION("""COMPUTED_VALUE"""),30000.0)</f>
        <v>30000</v>
      </c>
      <c r="J2679" s="11">
        <f>IFERROR(__xludf.DUMMYFUNCTION("""COMPUTED_VALUE"""),150000.0)</f>
        <v>150000</v>
      </c>
      <c r="K2679" s="57">
        <f>IFERROR(__xludf.DUMMYFUNCTION("""COMPUTED_VALUE"""),45245.0)</f>
        <v>45245</v>
      </c>
      <c r="L2679" s="6" t="str">
        <f>IFERROR(__xludf.DUMMYFUNCTION("""COMPUTED_VALUE"""),"FIP Engineering")</f>
        <v>FIP Engineering</v>
      </c>
      <c r="M2679" s="6" t="str">
        <f>IFERROR(__xludf.DUMMYFUNCTION("""COMPUTED_VALUE"""),"Mochammad Fadhillah Hakim")</f>
        <v>Mochammad Fadhillah Hakim</v>
      </c>
      <c r="N2679" s="6" t="str">
        <f>IFERROR(__xludf.DUMMYFUNCTION("""COMPUTED_VALUE"""),"FIP Engineering")</f>
        <v>FIP Engineering</v>
      </c>
      <c r="O2679" s="6" t="str">
        <f>IFERROR(__xludf.DUMMYFUNCTION("""COMPUTED_VALUE"""),"FIP-DOM-000-11304-OS00001-INA-000000")</f>
        <v>FIP-DOM-000-11304-OS00001-INA-000000</v>
      </c>
      <c r="P2679" s="6" t="str">
        <f>IFERROR(__xludf.DUMMYFUNCTION("""COMPUTED_VALUE"""),"PO Closed")</f>
        <v>PO Closed</v>
      </c>
      <c r="Q2679" s="6" t="str">
        <f>IFERROR(__xludf.DUMMYFUNCTION("""COMPUTED_VALUE"""),"GL2311323")</f>
        <v>GL2311323</v>
      </c>
      <c r="R2679" s="57">
        <f>IFERROR(__xludf.DUMMYFUNCTION("""COMPUTED_VALUE"""),45231.0)</f>
        <v>45231</v>
      </c>
      <c r="S2679" s="57">
        <f>IFERROR(__xludf.DUMMYFUNCTION("""COMPUTED_VALUE"""),45237.0)</f>
        <v>45237</v>
      </c>
      <c r="T2679" s="57">
        <f>IFERROR(__xludf.DUMMYFUNCTION("""COMPUTED_VALUE"""),45275.0)</f>
        <v>45275</v>
      </c>
    </row>
    <row r="2680">
      <c r="A2680" s="6" t="str">
        <f>IFERROR(__xludf.DUMMYFUNCTION("""COMPUTED_VALUE"""),"231750845-2")</f>
        <v>231750845-2</v>
      </c>
      <c r="B2680" s="6" t="str">
        <f>IFERROR(__xludf.DUMMYFUNCTION("""COMPUTED_VALUE"""),"231750845 - Approved")</f>
        <v>231750845 - Approved</v>
      </c>
      <c r="C2680" s="6">
        <f>IFERROR(__xludf.DUMMYFUNCTION("""COMPUTED_VALUE"""),2.0)</f>
        <v>2</v>
      </c>
      <c r="D2680" s="6" t="str">
        <f>IFERROR(__xludf.DUMMYFUNCTION("""COMPUTED_VALUE"""),"O-17073-00")</f>
        <v>O-17073-00</v>
      </c>
      <c r="E2680" s="6" t="str">
        <f>IFERROR(__xludf.DUMMYFUNCTION("""COMPUTED_VALUE"""),"Capping VCM200 - Plate HARRISA CIPTARINDO ENGINEERING, CV. P/N : 307790 pc")</f>
        <v>Capping VCM200 - Plate HARRISA CIPTARINDO ENGINEERING, CV. P/N : 307790 pc</v>
      </c>
      <c r="F2680" s="6">
        <f>IFERROR(__xludf.DUMMYFUNCTION("""COMPUTED_VALUE"""),2.0)</f>
        <v>2</v>
      </c>
      <c r="G2680" s="6" t="str">
        <f>IFERROR(__xludf.DUMMYFUNCTION("""COMPUTED_VALUE"""),"Pieces")</f>
        <v>Pieces</v>
      </c>
      <c r="H2680" s="6" t="str">
        <f>IFERROR(__xludf.DUMMYFUNCTION("""COMPUTED_VALUE"""),"IDR")</f>
        <v>IDR</v>
      </c>
      <c r="I2680" s="11">
        <f>IFERROR(__xludf.DUMMYFUNCTION("""COMPUTED_VALUE"""),530000.0)</f>
        <v>530000</v>
      </c>
      <c r="J2680" s="11">
        <f>IFERROR(__xludf.DUMMYFUNCTION("""COMPUTED_VALUE"""),1060000.0)</f>
        <v>1060000</v>
      </c>
      <c r="K2680" s="57">
        <f>IFERROR(__xludf.DUMMYFUNCTION("""COMPUTED_VALUE"""),45245.0)</f>
        <v>45245</v>
      </c>
      <c r="L2680" s="6" t="str">
        <f>IFERROR(__xludf.DUMMYFUNCTION("""COMPUTED_VALUE"""),"FIP Engineering")</f>
        <v>FIP Engineering</v>
      </c>
      <c r="M2680" s="6" t="str">
        <f>IFERROR(__xludf.DUMMYFUNCTION("""COMPUTED_VALUE"""),"Mochammad Fadhillah Hakim")</f>
        <v>Mochammad Fadhillah Hakim</v>
      </c>
      <c r="N2680" s="6" t="str">
        <f>IFERROR(__xludf.DUMMYFUNCTION("""COMPUTED_VALUE"""),"FIP Engineering")</f>
        <v>FIP Engineering</v>
      </c>
      <c r="O2680" s="6" t="str">
        <f>IFERROR(__xludf.DUMMYFUNCTION("""COMPUTED_VALUE"""),"FIP-DOM-000-11304-OS00001-INA-000000")</f>
        <v>FIP-DOM-000-11304-OS00001-INA-000000</v>
      </c>
      <c r="P2680" s="6" t="str">
        <f>IFERROR(__xludf.DUMMYFUNCTION("""COMPUTED_VALUE"""),"PO Closed")</f>
        <v>PO Closed</v>
      </c>
      <c r="Q2680" s="6" t="str">
        <f>IFERROR(__xludf.DUMMYFUNCTION("""COMPUTED_VALUE"""),"GL2312039")</f>
        <v>GL2312039</v>
      </c>
      <c r="R2680" s="57">
        <f>IFERROR(__xludf.DUMMYFUNCTION("""COMPUTED_VALUE"""),45231.0)</f>
        <v>45231</v>
      </c>
      <c r="S2680" s="57">
        <f>IFERROR(__xludf.DUMMYFUNCTION("""COMPUTED_VALUE"""),45237.0)</f>
        <v>45237</v>
      </c>
      <c r="T2680" s="57">
        <f>IFERROR(__xludf.DUMMYFUNCTION("""COMPUTED_VALUE"""),45350.0)</f>
        <v>45350</v>
      </c>
    </row>
    <row r="2681">
      <c r="A2681" s="6" t="str">
        <f>IFERROR(__xludf.DUMMYFUNCTION("""COMPUTED_VALUE"""),"231750845-3")</f>
        <v>231750845-3</v>
      </c>
      <c r="B2681" s="6" t="str">
        <f>IFERROR(__xludf.DUMMYFUNCTION("""COMPUTED_VALUE"""),"231750845 - Approved")</f>
        <v>231750845 - Approved</v>
      </c>
      <c r="C2681" s="6">
        <f>IFERROR(__xludf.DUMMYFUNCTION("""COMPUTED_VALUE"""),3.0)</f>
        <v>3</v>
      </c>
      <c r="D2681" s="6" t="str">
        <f>IFERROR(__xludf.DUMMYFUNCTION("""COMPUTED_VALUE"""),"P-13650-00")</f>
        <v>P-13650-00</v>
      </c>
      <c r="E2681" s="6" t="str">
        <f>IFERROR(__xludf.DUMMYFUNCTION("""COMPUTED_VALUE"""),"Manual Valve HE-2-QS-6; FESTO; ;")</f>
        <v>Manual Valve HE-2-QS-6; FESTO; ;</v>
      </c>
      <c r="F2681" s="6">
        <f>IFERROR(__xludf.DUMMYFUNCTION("""COMPUTED_VALUE"""),3.0)</f>
        <v>3</v>
      </c>
      <c r="G2681" s="6" t="str">
        <f>IFERROR(__xludf.DUMMYFUNCTION("""COMPUTED_VALUE"""),"Pieces")</f>
        <v>Pieces</v>
      </c>
      <c r="H2681" s="6" t="str">
        <f>IFERROR(__xludf.DUMMYFUNCTION("""COMPUTED_VALUE"""),"IDR")</f>
        <v>IDR</v>
      </c>
      <c r="I2681" s="11">
        <f>IFERROR(__xludf.DUMMYFUNCTION("""COMPUTED_VALUE"""),234010.0)</f>
        <v>234010</v>
      </c>
      <c r="J2681" s="11">
        <f>IFERROR(__xludf.DUMMYFUNCTION("""COMPUTED_VALUE"""),702030.0)</f>
        <v>702030</v>
      </c>
      <c r="K2681" s="57">
        <f>IFERROR(__xludf.DUMMYFUNCTION("""COMPUTED_VALUE"""),45245.0)</f>
        <v>45245</v>
      </c>
      <c r="L2681" s="6" t="str">
        <f>IFERROR(__xludf.DUMMYFUNCTION("""COMPUTED_VALUE"""),"FIP Engineering")</f>
        <v>FIP Engineering</v>
      </c>
      <c r="M2681" s="6" t="str">
        <f>IFERROR(__xludf.DUMMYFUNCTION("""COMPUTED_VALUE"""),"Mochammad Fadhillah Hakim")</f>
        <v>Mochammad Fadhillah Hakim</v>
      </c>
      <c r="N2681" s="6" t="str">
        <f>IFERROR(__xludf.DUMMYFUNCTION("""COMPUTED_VALUE"""),"FIP Engineering")</f>
        <v>FIP Engineering</v>
      </c>
      <c r="O2681" s="6" t="str">
        <f>IFERROR(__xludf.DUMMYFUNCTION("""COMPUTED_VALUE"""),"FIP-DOM-000-11304-OS00001-INA-000000")</f>
        <v>FIP-DOM-000-11304-OS00001-INA-000000</v>
      </c>
      <c r="P2681" s="6" t="str">
        <f>IFERROR(__xludf.DUMMYFUNCTION("""COMPUTED_VALUE"""),"PO Closed")</f>
        <v>PO Closed</v>
      </c>
      <c r="Q2681" s="6" t="str">
        <f>IFERROR(__xludf.DUMMYFUNCTION("""COMPUTED_VALUE"""),"GL2312321")</f>
        <v>GL2312321</v>
      </c>
      <c r="R2681" s="57">
        <f>IFERROR(__xludf.DUMMYFUNCTION("""COMPUTED_VALUE"""),45231.0)</f>
        <v>45231</v>
      </c>
      <c r="S2681" s="57">
        <f>IFERROR(__xludf.DUMMYFUNCTION("""COMPUTED_VALUE"""),45237.0)</f>
        <v>45237</v>
      </c>
      <c r="T2681" s="57">
        <f>IFERROR(__xludf.DUMMYFUNCTION("""COMPUTED_VALUE"""),45309.0)</f>
        <v>45309</v>
      </c>
    </row>
    <row r="2682">
      <c r="A2682" s="6" t="str">
        <f>IFERROR(__xludf.DUMMYFUNCTION("""COMPUTED_VALUE"""),"231750845-4")</f>
        <v>231750845-4</v>
      </c>
      <c r="B2682" s="6" t="str">
        <f>IFERROR(__xludf.DUMMYFUNCTION("""COMPUTED_VALUE"""),"231750845 - Approved")</f>
        <v>231750845 - Approved</v>
      </c>
      <c r="C2682" s="6">
        <f>IFERROR(__xludf.DUMMYFUNCTION("""COMPUTED_VALUE"""),4.0)</f>
        <v>4</v>
      </c>
      <c r="D2682" s="6" t="str">
        <f>IFERROR(__xludf.DUMMYFUNCTION("""COMPUTED_VALUE"""),"P-50961-00")</f>
        <v>P-50961-00</v>
      </c>
      <c r="E2682" s="6" t="str">
        <f>IFERROR(__xludf.DUMMYFUNCTION("""COMPUTED_VALUE"""),"Fuse kaca 5 A 5x20")</f>
        <v>Fuse kaca 5 A 5x20</v>
      </c>
      <c r="F2682" s="6">
        <f>IFERROR(__xludf.DUMMYFUNCTION("""COMPUTED_VALUE"""),20.0)</f>
        <v>20</v>
      </c>
      <c r="G2682" s="6" t="str">
        <f>IFERROR(__xludf.DUMMYFUNCTION("""COMPUTED_VALUE"""),"Pieces")</f>
        <v>Pieces</v>
      </c>
      <c r="H2682" s="6" t="str">
        <f>IFERROR(__xludf.DUMMYFUNCTION("""COMPUTED_VALUE"""),"IDR")</f>
        <v>IDR</v>
      </c>
      <c r="I2682" s="11">
        <f>IFERROR(__xludf.DUMMYFUNCTION("""COMPUTED_VALUE"""),100000.0)</f>
        <v>100000</v>
      </c>
      <c r="J2682" s="11">
        <f>IFERROR(__xludf.DUMMYFUNCTION("""COMPUTED_VALUE"""),2000000.0)</f>
        <v>2000000</v>
      </c>
      <c r="K2682" s="57">
        <f>IFERROR(__xludf.DUMMYFUNCTION("""COMPUTED_VALUE"""),45245.0)</f>
        <v>45245</v>
      </c>
      <c r="L2682" s="6" t="str">
        <f>IFERROR(__xludf.DUMMYFUNCTION("""COMPUTED_VALUE"""),"FIP Engineering")</f>
        <v>FIP Engineering</v>
      </c>
      <c r="M2682" s="6" t="str">
        <f>IFERROR(__xludf.DUMMYFUNCTION("""COMPUTED_VALUE"""),"Mochammad Fadhillah Hakim")</f>
        <v>Mochammad Fadhillah Hakim</v>
      </c>
      <c r="N2682" s="6" t="str">
        <f>IFERROR(__xludf.DUMMYFUNCTION("""COMPUTED_VALUE"""),"FIP Engineering")</f>
        <v>FIP Engineering</v>
      </c>
      <c r="O2682" s="6" t="str">
        <f>IFERROR(__xludf.DUMMYFUNCTION("""COMPUTED_VALUE"""),"FIP-DOM-000-11304-OS00001-INA-000000")</f>
        <v>FIP-DOM-000-11304-OS00001-INA-000000</v>
      </c>
      <c r="P2682" s="6" t="str">
        <f>IFERROR(__xludf.DUMMYFUNCTION("""COMPUTED_VALUE"""),"PO Closed")</f>
        <v>PO Closed</v>
      </c>
      <c r="Q2682" s="6" t="str">
        <f>IFERROR(__xludf.DUMMYFUNCTION("""COMPUTED_VALUE"""),"GL2312019")</f>
        <v>GL2312019</v>
      </c>
      <c r="R2682" s="57">
        <f>IFERROR(__xludf.DUMMYFUNCTION("""COMPUTED_VALUE"""),45231.0)</f>
        <v>45231</v>
      </c>
      <c r="S2682" s="57">
        <f>IFERROR(__xludf.DUMMYFUNCTION("""COMPUTED_VALUE"""),45237.0)</f>
        <v>45237</v>
      </c>
      <c r="T2682" s="57">
        <f>IFERROR(__xludf.DUMMYFUNCTION("""COMPUTED_VALUE"""),45291.0)</f>
        <v>45291</v>
      </c>
    </row>
    <row r="2683">
      <c r="A2683" s="6" t="str">
        <f>IFERROR(__xludf.DUMMYFUNCTION("""COMPUTED_VALUE"""),"231750845-5")</f>
        <v>231750845-5</v>
      </c>
      <c r="B2683" s="6" t="str">
        <f>IFERROR(__xludf.DUMMYFUNCTION("""COMPUTED_VALUE"""),"231750845 - Approved")</f>
        <v>231750845 - Approved</v>
      </c>
      <c r="C2683" s="6">
        <f>IFERROR(__xludf.DUMMYFUNCTION("""COMPUTED_VALUE"""),5.0)</f>
        <v>5</v>
      </c>
      <c r="D2683" s="6" t="str">
        <f>IFERROR(__xludf.DUMMYFUNCTION("""COMPUTED_VALUE"""),"P-51299-00")</f>
        <v>P-51299-00</v>
      </c>
      <c r="E2683" s="6" t="str">
        <f>IFERROR(__xludf.DUMMYFUNCTION("""COMPUTED_VALUE"""),"Terminal plastik dia 6 mm")</f>
        <v>Terminal plastik dia 6 mm</v>
      </c>
      <c r="F2683" s="6">
        <f>IFERROR(__xludf.DUMMYFUNCTION("""COMPUTED_VALUE"""),10.0)</f>
        <v>10</v>
      </c>
      <c r="G2683" s="6" t="str">
        <f>IFERROR(__xludf.DUMMYFUNCTION("""COMPUTED_VALUE"""),"Pieces")</f>
        <v>Pieces</v>
      </c>
      <c r="H2683" s="6" t="str">
        <f>IFERROR(__xludf.DUMMYFUNCTION("""COMPUTED_VALUE"""),"IDR")</f>
        <v>IDR</v>
      </c>
      <c r="I2683" s="6">
        <f>IFERROR(__xludf.DUMMYFUNCTION("""COMPUTED_VALUE"""),239.0)</f>
        <v>239</v>
      </c>
      <c r="J2683" s="11">
        <f>IFERROR(__xludf.DUMMYFUNCTION("""COMPUTED_VALUE"""),2390.0)</f>
        <v>2390</v>
      </c>
      <c r="K2683" s="57">
        <f>IFERROR(__xludf.DUMMYFUNCTION("""COMPUTED_VALUE"""),45245.0)</f>
        <v>45245</v>
      </c>
      <c r="L2683" s="6" t="str">
        <f>IFERROR(__xludf.DUMMYFUNCTION("""COMPUTED_VALUE"""),"FIP Engineering")</f>
        <v>FIP Engineering</v>
      </c>
      <c r="M2683" s="6" t="str">
        <f>IFERROR(__xludf.DUMMYFUNCTION("""COMPUTED_VALUE"""),"Mochammad Fadhillah Hakim")</f>
        <v>Mochammad Fadhillah Hakim</v>
      </c>
      <c r="N2683" s="6" t="str">
        <f>IFERROR(__xludf.DUMMYFUNCTION("""COMPUTED_VALUE"""),"FIP Engineering")</f>
        <v>FIP Engineering</v>
      </c>
      <c r="O2683" s="6" t="str">
        <f>IFERROR(__xludf.DUMMYFUNCTION("""COMPUTED_VALUE"""),"FIP-DOM-000-11304-OS00001-INA-000000")</f>
        <v>FIP-DOM-000-11304-OS00001-INA-000000</v>
      </c>
      <c r="P2683" s="6" t="str">
        <f>IFERROR(__xludf.DUMMYFUNCTION("""COMPUTED_VALUE"""),"PO Closed")</f>
        <v>PO Closed</v>
      </c>
      <c r="Q2683" s="6" t="str">
        <f>IFERROR(__xludf.DUMMYFUNCTION("""COMPUTED_VALUE"""),"GL2312019")</f>
        <v>GL2312019</v>
      </c>
      <c r="R2683" s="57">
        <f>IFERROR(__xludf.DUMMYFUNCTION("""COMPUTED_VALUE"""),45231.0)</f>
        <v>45231</v>
      </c>
      <c r="S2683" s="57">
        <f>IFERROR(__xludf.DUMMYFUNCTION("""COMPUTED_VALUE"""),45237.0)</f>
        <v>45237</v>
      </c>
      <c r="T2683" s="57">
        <f>IFERROR(__xludf.DUMMYFUNCTION("""COMPUTED_VALUE"""),45291.0)</f>
        <v>45291</v>
      </c>
    </row>
    <row r="2684">
      <c r="A2684" s="6" t="str">
        <f>IFERROR(__xludf.DUMMYFUNCTION("""COMPUTED_VALUE"""),"231750845-6")</f>
        <v>231750845-6</v>
      </c>
      <c r="B2684" s="6" t="str">
        <f>IFERROR(__xludf.DUMMYFUNCTION("""COMPUTED_VALUE"""),"231750845 - Approved")</f>
        <v>231750845 - Approved</v>
      </c>
      <c r="C2684" s="6">
        <f>IFERROR(__xludf.DUMMYFUNCTION("""COMPUTED_VALUE"""),6.0)</f>
        <v>6</v>
      </c>
      <c r="D2684" s="6" t="str">
        <f>IFERROR(__xludf.DUMMYFUNCTION("""COMPUTED_VALUE"""),"P-52110-00")</f>
        <v>P-52110-00</v>
      </c>
      <c r="E2684" s="6" t="str">
        <f>IFERROR(__xludf.DUMMYFUNCTION("""COMPUTED_VALUE"""),"CAPACITOR 5 uF, 500 V, 50/60 Hz; ; ;")</f>
        <v>CAPACITOR 5 uF, 500 V, 50/60 Hz; ; ;</v>
      </c>
      <c r="F2684" s="6">
        <f>IFERROR(__xludf.DUMMYFUNCTION("""COMPUTED_VALUE"""),5.0)</f>
        <v>5</v>
      </c>
      <c r="G2684" s="6" t="str">
        <f>IFERROR(__xludf.DUMMYFUNCTION("""COMPUTED_VALUE"""),"Pieces")</f>
        <v>Pieces</v>
      </c>
      <c r="H2684" s="6" t="str">
        <f>IFERROR(__xludf.DUMMYFUNCTION("""COMPUTED_VALUE"""),"IDR")</f>
        <v>IDR</v>
      </c>
      <c r="I2684" s="6">
        <f>IFERROR(__xludf.DUMMYFUNCTION("""COMPUTED_VALUE"""),20.0)</f>
        <v>20</v>
      </c>
      <c r="J2684" s="6">
        <f>IFERROR(__xludf.DUMMYFUNCTION("""COMPUTED_VALUE"""),100.0)</f>
        <v>100</v>
      </c>
      <c r="K2684" s="57">
        <f>IFERROR(__xludf.DUMMYFUNCTION("""COMPUTED_VALUE"""),45245.0)</f>
        <v>45245</v>
      </c>
      <c r="L2684" s="6" t="str">
        <f>IFERROR(__xludf.DUMMYFUNCTION("""COMPUTED_VALUE"""),"FIP Engineering")</f>
        <v>FIP Engineering</v>
      </c>
      <c r="M2684" s="6" t="str">
        <f>IFERROR(__xludf.DUMMYFUNCTION("""COMPUTED_VALUE"""),"Mochammad Fadhillah Hakim")</f>
        <v>Mochammad Fadhillah Hakim</v>
      </c>
      <c r="N2684" s="6" t="str">
        <f>IFERROR(__xludf.DUMMYFUNCTION("""COMPUTED_VALUE"""),"FIP Engineering")</f>
        <v>FIP Engineering</v>
      </c>
      <c r="O2684" s="6" t="str">
        <f>IFERROR(__xludf.DUMMYFUNCTION("""COMPUTED_VALUE"""),"FIP-DOM-000-11304-OS00001-INA-000000")</f>
        <v>FIP-DOM-000-11304-OS00001-INA-000000</v>
      </c>
      <c r="P2684" s="6" t="str">
        <f>IFERROR(__xludf.DUMMYFUNCTION("""COMPUTED_VALUE"""),"PO Closed")</f>
        <v>PO Closed</v>
      </c>
      <c r="Q2684" s="6" t="str">
        <f>IFERROR(__xludf.DUMMYFUNCTION("""COMPUTED_VALUE"""),"GL2312019")</f>
        <v>GL2312019</v>
      </c>
      <c r="R2684" s="57">
        <f>IFERROR(__xludf.DUMMYFUNCTION("""COMPUTED_VALUE"""),45231.0)</f>
        <v>45231</v>
      </c>
      <c r="S2684" s="57">
        <f>IFERROR(__xludf.DUMMYFUNCTION("""COMPUTED_VALUE"""),45237.0)</f>
        <v>45237</v>
      </c>
      <c r="T2684" s="57">
        <f>IFERROR(__xludf.DUMMYFUNCTION("""COMPUTED_VALUE"""),45291.0)</f>
        <v>45291</v>
      </c>
    </row>
    <row r="2685">
      <c r="A2685" s="6" t="str">
        <f>IFERROR(__xludf.DUMMYFUNCTION("""COMPUTED_VALUE"""),"231750845-7")</f>
        <v>231750845-7</v>
      </c>
      <c r="B2685" s="6" t="str">
        <f>IFERROR(__xludf.DUMMYFUNCTION("""COMPUTED_VALUE"""),"231750845 - Approved")</f>
        <v>231750845 - Approved</v>
      </c>
      <c r="C2685" s="6">
        <f>IFERROR(__xludf.DUMMYFUNCTION("""COMPUTED_VALUE"""),7.0)</f>
        <v>7</v>
      </c>
      <c r="D2685" s="6" t="str">
        <f>IFERROR(__xludf.DUMMYFUNCTION("""COMPUTED_VALUE"""),"O-51157-00")</f>
        <v>O-51157-00</v>
      </c>
      <c r="E2685" s="6" t="str">
        <f>IFERROR(__xludf.DUMMYFUNCTION("""COMPUTED_VALUE"""),"Fuse Keramik 6A 10x38; ; ;")</f>
        <v>Fuse Keramik 6A 10x38; ; ;</v>
      </c>
      <c r="F2685" s="6">
        <f>IFERROR(__xludf.DUMMYFUNCTION("""COMPUTED_VALUE"""),5.0)</f>
        <v>5</v>
      </c>
      <c r="G2685" s="6" t="str">
        <f>IFERROR(__xludf.DUMMYFUNCTION("""COMPUTED_VALUE"""),"Pieces")</f>
        <v>Pieces</v>
      </c>
      <c r="H2685" s="6" t="str">
        <f>IFERROR(__xludf.DUMMYFUNCTION("""COMPUTED_VALUE"""),"IDR")</f>
        <v>IDR</v>
      </c>
      <c r="I2685" s="11">
        <f>IFERROR(__xludf.DUMMYFUNCTION("""COMPUTED_VALUE"""),10000.0)</f>
        <v>10000</v>
      </c>
      <c r="J2685" s="11">
        <f>IFERROR(__xludf.DUMMYFUNCTION("""COMPUTED_VALUE"""),50000.0)</f>
        <v>50000</v>
      </c>
      <c r="K2685" s="57">
        <f>IFERROR(__xludf.DUMMYFUNCTION("""COMPUTED_VALUE"""),45245.0)</f>
        <v>45245</v>
      </c>
      <c r="L2685" s="6" t="str">
        <f>IFERROR(__xludf.DUMMYFUNCTION("""COMPUTED_VALUE"""),"FIP Engineering")</f>
        <v>FIP Engineering</v>
      </c>
      <c r="M2685" s="6" t="str">
        <f>IFERROR(__xludf.DUMMYFUNCTION("""COMPUTED_VALUE"""),"Mochammad Fadhillah Hakim")</f>
        <v>Mochammad Fadhillah Hakim</v>
      </c>
      <c r="N2685" s="6" t="str">
        <f>IFERROR(__xludf.DUMMYFUNCTION("""COMPUTED_VALUE"""),"FIP Engineering")</f>
        <v>FIP Engineering</v>
      </c>
      <c r="O2685" s="6" t="str">
        <f>IFERROR(__xludf.DUMMYFUNCTION("""COMPUTED_VALUE"""),"FIP-DOM-000-11304-OS00001-INA-000000")</f>
        <v>FIP-DOM-000-11304-OS00001-INA-000000</v>
      </c>
      <c r="P2685" s="6" t="str">
        <f>IFERROR(__xludf.DUMMYFUNCTION("""COMPUTED_VALUE"""),"PO Closed")</f>
        <v>PO Closed</v>
      </c>
      <c r="Q2685" s="6" t="str">
        <f>IFERROR(__xludf.DUMMYFUNCTION("""COMPUTED_VALUE"""),"GL2312019")</f>
        <v>GL2312019</v>
      </c>
      <c r="R2685" s="57">
        <f>IFERROR(__xludf.DUMMYFUNCTION("""COMPUTED_VALUE"""),45231.0)</f>
        <v>45231</v>
      </c>
      <c r="S2685" s="57">
        <f>IFERROR(__xludf.DUMMYFUNCTION("""COMPUTED_VALUE"""),45237.0)</f>
        <v>45237</v>
      </c>
      <c r="T2685" s="57">
        <f>IFERROR(__xludf.DUMMYFUNCTION("""COMPUTED_VALUE"""),45291.0)</f>
        <v>45291</v>
      </c>
    </row>
    <row r="2686">
      <c r="A2686" s="6" t="str">
        <f>IFERROR(__xludf.DUMMYFUNCTION("""COMPUTED_VALUE"""),"231750845-8")</f>
        <v>231750845-8</v>
      </c>
      <c r="B2686" s="6" t="str">
        <f>IFERROR(__xludf.DUMMYFUNCTION("""COMPUTED_VALUE"""),"231750845 - Approved")</f>
        <v>231750845 - Approved</v>
      </c>
      <c r="C2686" s="6">
        <f>IFERROR(__xludf.DUMMYFUNCTION("""COMPUTED_VALUE"""),8.0)</f>
        <v>8</v>
      </c>
      <c r="D2686" s="6" t="str">
        <f>IFERROR(__xludf.DUMMYFUNCTION("""COMPUTED_VALUE"""),"O-52224-00")</f>
        <v>O-52224-00</v>
      </c>
      <c r="E2686" s="6" t="str">
        <f>IFERROR(__xludf.DUMMYFUNCTION("""COMPUTED_VALUE"""),"Tunnel ST1L - Fuse Keramik 22x58 40A 200kA; ; ;")</f>
        <v>Tunnel ST1L - Fuse Keramik 22x58 40A 200kA; ; ;</v>
      </c>
      <c r="F2686" s="6">
        <f>IFERROR(__xludf.DUMMYFUNCTION("""COMPUTED_VALUE"""),2.0)</f>
        <v>2</v>
      </c>
      <c r="G2686" s="6" t="str">
        <f>IFERROR(__xludf.DUMMYFUNCTION("""COMPUTED_VALUE"""),"Pieces")</f>
        <v>Pieces</v>
      </c>
      <c r="H2686" s="6" t="str">
        <f>IFERROR(__xludf.DUMMYFUNCTION("""COMPUTED_VALUE"""),"IDR")</f>
        <v>IDR</v>
      </c>
      <c r="I2686" s="11">
        <f>IFERROR(__xludf.DUMMYFUNCTION("""COMPUTED_VALUE"""),545000.0)</f>
        <v>545000</v>
      </c>
      <c r="J2686" s="11">
        <f>IFERROR(__xludf.DUMMYFUNCTION("""COMPUTED_VALUE"""),1090000.0)</f>
        <v>1090000</v>
      </c>
      <c r="K2686" s="57">
        <f>IFERROR(__xludf.DUMMYFUNCTION("""COMPUTED_VALUE"""),45245.0)</f>
        <v>45245</v>
      </c>
      <c r="L2686" s="6" t="str">
        <f>IFERROR(__xludf.DUMMYFUNCTION("""COMPUTED_VALUE"""),"FIP Engineering")</f>
        <v>FIP Engineering</v>
      </c>
      <c r="M2686" s="6" t="str">
        <f>IFERROR(__xludf.DUMMYFUNCTION("""COMPUTED_VALUE"""),"Mochammad Fadhillah Hakim")</f>
        <v>Mochammad Fadhillah Hakim</v>
      </c>
      <c r="N2686" s="6" t="str">
        <f>IFERROR(__xludf.DUMMYFUNCTION("""COMPUTED_VALUE"""),"FIP Engineering")</f>
        <v>FIP Engineering</v>
      </c>
      <c r="O2686" s="6" t="str">
        <f>IFERROR(__xludf.DUMMYFUNCTION("""COMPUTED_VALUE"""),"FIP-DOM-000-11304-OS00001-INA-000000")</f>
        <v>FIP-DOM-000-11304-OS00001-INA-000000</v>
      </c>
      <c r="P2686" s="6" t="str">
        <f>IFERROR(__xludf.DUMMYFUNCTION("""COMPUTED_VALUE"""),"PO Closed")</f>
        <v>PO Closed</v>
      </c>
      <c r="Q2686" s="6" t="str">
        <f>IFERROR(__xludf.DUMMYFUNCTION("""COMPUTED_VALUE"""),"GL2312017")</f>
        <v>GL2312017</v>
      </c>
      <c r="R2686" s="57">
        <f>IFERROR(__xludf.DUMMYFUNCTION("""COMPUTED_VALUE"""),45231.0)</f>
        <v>45231</v>
      </c>
      <c r="S2686" s="57">
        <f>IFERROR(__xludf.DUMMYFUNCTION("""COMPUTED_VALUE"""),45237.0)</f>
        <v>45237</v>
      </c>
      <c r="T2686" s="57">
        <f>IFERROR(__xludf.DUMMYFUNCTION("""COMPUTED_VALUE"""),45285.0)</f>
        <v>45285</v>
      </c>
    </row>
    <row r="2687">
      <c r="A2687" s="6" t="str">
        <f>IFERROR(__xludf.DUMMYFUNCTION("""COMPUTED_VALUE"""),"231750845-9")</f>
        <v>231750845-9</v>
      </c>
      <c r="B2687" s="6" t="str">
        <f>IFERROR(__xludf.DUMMYFUNCTION("""COMPUTED_VALUE"""),"231750845 - Approved")</f>
        <v>231750845 - Approved</v>
      </c>
      <c r="C2687" s="6">
        <f>IFERROR(__xludf.DUMMYFUNCTION("""COMPUTED_VALUE"""),9.0)</f>
        <v>9</v>
      </c>
      <c r="D2687" s="6" t="str">
        <f>IFERROR(__xludf.DUMMYFUNCTION("""COMPUTED_VALUE"""),"P-52254-00")</f>
        <v>P-52254-00</v>
      </c>
      <c r="E2687" s="6" t="str">
        <f>IFERROR(__xludf.DUMMYFUNCTION("""COMPUTED_VALUE"""),"Capasitor 40 mF 400/450 VAC; ; ;")</f>
        <v>Capasitor 40 mF 400/450 VAC; ; ;</v>
      </c>
      <c r="F2687" s="6">
        <f>IFERROR(__xludf.DUMMYFUNCTION("""COMPUTED_VALUE"""),1.0)</f>
        <v>1</v>
      </c>
      <c r="G2687" s="6" t="str">
        <f>IFERROR(__xludf.DUMMYFUNCTION("""COMPUTED_VALUE"""),"Pieces")</f>
        <v>Pieces</v>
      </c>
      <c r="H2687" s="6" t="str">
        <f>IFERROR(__xludf.DUMMYFUNCTION("""COMPUTED_VALUE"""),"IDR")</f>
        <v>IDR</v>
      </c>
      <c r="I2687" s="11">
        <f>IFERROR(__xludf.DUMMYFUNCTION("""COMPUTED_VALUE"""),100000.0)</f>
        <v>100000</v>
      </c>
      <c r="J2687" s="11">
        <f>IFERROR(__xludf.DUMMYFUNCTION("""COMPUTED_VALUE"""),100000.0)</f>
        <v>100000</v>
      </c>
      <c r="K2687" s="57">
        <f>IFERROR(__xludf.DUMMYFUNCTION("""COMPUTED_VALUE"""),45245.0)</f>
        <v>45245</v>
      </c>
      <c r="L2687" s="6" t="str">
        <f>IFERROR(__xludf.DUMMYFUNCTION("""COMPUTED_VALUE"""),"FIP Engineering")</f>
        <v>FIP Engineering</v>
      </c>
      <c r="M2687" s="6" t="str">
        <f>IFERROR(__xludf.DUMMYFUNCTION("""COMPUTED_VALUE"""),"Mochammad Fadhillah Hakim")</f>
        <v>Mochammad Fadhillah Hakim</v>
      </c>
      <c r="N2687" s="6" t="str">
        <f>IFERROR(__xludf.DUMMYFUNCTION("""COMPUTED_VALUE"""),"FIP Engineering")</f>
        <v>FIP Engineering</v>
      </c>
      <c r="O2687" s="6" t="str">
        <f>IFERROR(__xludf.DUMMYFUNCTION("""COMPUTED_VALUE"""),"FIP-DOM-000-11304-OS00001-INA-000000")</f>
        <v>FIP-DOM-000-11304-OS00001-INA-000000</v>
      </c>
      <c r="P2687" s="6" t="str">
        <f>IFERROR(__xludf.DUMMYFUNCTION("""COMPUTED_VALUE"""),"PO Closed")</f>
        <v>PO Closed</v>
      </c>
      <c r="Q2687" s="6" t="str">
        <f>IFERROR(__xludf.DUMMYFUNCTION("""COMPUTED_VALUE"""),"GL2312037")</f>
        <v>GL2312037</v>
      </c>
      <c r="R2687" s="57">
        <f>IFERROR(__xludf.DUMMYFUNCTION("""COMPUTED_VALUE"""),45231.0)</f>
        <v>45231</v>
      </c>
      <c r="S2687" s="57">
        <f>IFERROR(__xludf.DUMMYFUNCTION("""COMPUTED_VALUE"""),45237.0)</f>
        <v>45237</v>
      </c>
      <c r="T2687" s="57">
        <f>IFERROR(__xludf.DUMMYFUNCTION("""COMPUTED_VALUE"""),45311.0)</f>
        <v>45311</v>
      </c>
    </row>
    <row r="2688">
      <c r="A2688" s="6" t="str">
        <f>IFERROR(__xludf.DUMMYFUNCTION("""COMPUTED_VALUE"""),"231750845-10")</f>
        <v>231750845-10</v>
      </c>
      <c r="B2688" s="6" t="str">
        <f>IFERROR(__xludf.DUMMYFUNCTION("""COMPUTED_VALUE"""),"231750845 - Approved")</f>
        <v>231750845 - Approved</v>
      </c>
      <c r="C2688" s="6">
        <f>IFERROR(__xludf.DUMMYFUNCTION("""COMPUTED_VALUE"""),10.0)</f>
        <v>10</v>
      </c>
      <c r="D2688" s="6" t="str">
        <f>IFERROR(__xludf.DUMMYFUNCTION("""COMPUTED_VALUE"""),"P-52278-00")</f>
        <v>P-52278-00</v>
      </c>
      <c r="E2688" s="6" t="str">
        <f>IFERROR(__xludf.DUMMYFUNCTION("""COMPUTED_VALUE"""),"Capacitor 50F 250VAC 25A 5% Screw (KMT) P/N : 6R 01502010; ; ;")</f>
        <v>Capacitor 50F 250VAC 25A 5% Screw (KMT) P/N : 6R 01502010; ; ;</v>
      </c>
      <c r="F2688" s="6">
        <f>IFERROR(__xludf.DUMMYFUNCTION("""COMPUTED_VALUE"""),2.0)</f>
        <v>2</v>
      </c>
      <c r="G2688" s="6" t="str">
        <f>IFERROR(__xludf.DUMMYFUNCTION("""COMPUTED_VALUE"""),"Pieces")</f>
        <v>Pieces</v>
      </c>
      <c r="H2688" s="6" t="str">
        <f>IFERROR(__xludf.DUMMYFUNCTION("""COMPUTED_VALUE"""),"IDR")</f>
        <v>IDR</v>
      </c>
      <c r="I2688" s="11">
        <f>IFERROR(__xludf.DUMMYFUNCTION("""COMPUTED_VALUE"""),100000.0)</f>
        <v>100000</v>
      </c>
      <c r="J2688" s="11">
        <f>IFERROR(__xludf.DUMMYFUNCTION("""COMPUTED_VALUE"""),200000.0)</f>
        <v>200000</v>
      </c>
      <c r="K2688" s="57">
        <f>IFERROR(__xludf.DUMMYFUNCTION("""COMPUTED_VALUE"""),45245.0)</f>
        <v>45245</v>
      </c>
      <c r="L2688" s="6" t="str">
        <f>IFERROR(__xludf.DUMMYFUNCTION("""COMPUTED_VALUE"""),"FIP Engineering")</f>
        <v>FIP Engineering</v>
      </c>
      <c r="M2688" s="6" t="str">
        <f>IFERROR(__xludf.DUMMYFUNCTION("""COMPUTED_VALUE"""),"Mochammad Fadhillah Hakim")</f>
        <v>Mochammad Fadhillah Hakim</v>
      </c>
      <c r="N2688" s="6" t="str">
        <f>IFERROR(__xludf.DUMMYFUNCTION("""COMPUTED_VALUE"""),"FIP Engineering")</f>
        <v>FIP Engineering</v>
      </c>
      <c r="O2688" s="6" t="str">
        <f>IFERROR(__xludf.DUMMYFUNCTION("""COMPUTED_VALUE"""),"FIP-DOM-000-11304-OS00001-INA-000000")</f>
        <v>FIP-DOM-000-11304-OS00001-INA-000000</v>
      </c>
      <c r="P2688" s="6" t="str">
        <f>IFERROR(__xludf.DUMMYFUNCTION("""COMPUTED_VALUE"""),"PO Closed")</f>
        <v>PO Closed</v>
      </c>
      <c r="Q2688" s="6" t="str">
        <f>IFERROR(__xludf.DUMMYFUNCTION("""COMPUTED_VALUE"""),"GL2312028")</f>
        <v>GL2312028</v>
      </c>
      <c r="R2688" s="57">
        <f>IFERROR(__xludf.DUMMYFUNCTION("""COMPUTED_VALUE"""),45231.0)</f>
        <v>45231</v>
      </c>
      <c r="S2688" s="57">
        <f>IFERROR(__xludf.DUMMYFUNCTION("""COMPUTED_VALUE"""),45237.0)</f>
        <v>45237</v>
      </c>
      <c r="T2688" s="57">
        <f>IFERROR(__xludf.DUMMYFUNCTION("""COMPUTED_VALUE"""),45311.0)</f>
        <v>45311</v>
      </c>
    </row>
    <row r="2689">
      <c r="A2689" s="6" t="str">
        <f>IFERROR(__xludf.DUMMYFUNCTION("""COMPUTED_VALUE"""),"231750846-1")</f>
        <v>231750846-1</v>
      </c>
      <c r="B2689" s="6" t="str">
        <f>IFERROR(__xludf.DUMMYFUNCTION("""COMPUTED_VALUE"""),"231750846 - Approved")</f>
        <v>231750846 - Approved</v>
      </c>
      <c r="C2689" s="6">
        <f>IFERROR(__xludf.DUMMYFUNCTION("""COMPUTED_VALUE"""),1.0)</f>
        <v>1</v>
      </c>
      <c r="D2689" s="6" t="str">
        <f>IFERROR(__xludf.DUMMYFUNCTION("""COMPUTED_VALUE"""),"P-50248-00")</f>
        <v>P-50248-00</v>
      </c>
      <c r="E2689" s="6" t="str">
        <f>IFERROR(__xludf.DUMMYFUNCTION("""COMPUTED_VALUE"""),"Fuse Keramik 13 A 250 V")</f>
        <v>Fuse Keramik 13 A 250 V</v>
      </c>
      <c r="F2689" s="6">
        <f>IFERROR(__xludf.DUMMYFUNCTION("""COMPUTED_VALUE"""),2.0)</f>
        <v>2</v>
      </c>
      <c r="G2689" s="6" t="str">
        <f>IFERROR(__xludf.DUMMYFUNCTION("""COMPUTED_VALUE"""),"Pieces")</f>
        <v>Pieces</v>
      </c>
      <c r="H2689" s="6" t="str">
        <f>IFERROR(__xludf.DUMMYFUNCTION("""COMPUTED_VALUE"""),"IDR")</f>
        <v>IDR</v>
      </c>
      <c r="I2689" s="6">
        <f>IFERROR(__xludf.DUMMYFUNCTION("""COMPUTED_VALUE"""),3.0)</f>
        <v>3</v>
      </c>
      <c r="J2689" s="6">
        <f>IFERROR(__xludf.DUMMYFUNCTION("""COMPUTED_VALUE"""),6.0)</f>
        <v>6</v>
      </c>
      <c r="K2689" s="57">
        <f>IFERROR(__xludf.DUMMYFUNCTION("""COMPUTED_VALUE"""),45245.0)</f>
        <v>45245</v>
      </c>
      <c r="L2689" s="6" t="str">
        <f>IFERROR(__xludf.DUMMYFUNCTION("""COMPUTED_VALUE"""),"FIP Engineering")</f>
        <v>FIP Engineering</v>
      </c>
      <c r="M2689" s="6" t="str">
        <f>IFERROR(__xludf.DUMMYFUNCTION("""COMPUTED_VALUE"""),"Mochammad Fadhillah Hakim")</f>
        <v>Mochammad Fadhillah Hakim</v>
      </c>
      <c r="N2689" s="6" t="str">
        <f>IFERROR(__xludf.DUMMYFUNCTION("""COMPUTED_VALUE"""),"FIP Engineering")</f>
        <v>FIP Engineering</v>
      </c>
      <c r="O2689" s="6" t="str">
        <f>IFERROR(__xludf.DUMMYFUNCTION("""COMPUTED_VALUE"""),"FIP-DOM-000-11304-OS00001-INA-000000")</f>
        <v>FIP-DOM-000-11304-OS00001-INA-000000</v>
      </c>
      <c r="P2689" s="6" t="str">
        <f>IFERROR(__xludf.DUMMYFUNCTION("""COMPUTED_VALUE"""),"PO Closed")</f>
        <v>PO Closed</v>
      </c>
      <c r="Q2689" s="6" t="str">
        <f>IFERROR(__xludf.DUMMYFUNCTION("""COMPUTED_VALUE"""),"GL2312022")</f>
        <v>GL2312022</v>
      </c>
      <c r="R2689" s="57">
        <f>IFERROR(__xludf.DUMMYFUNCTION("""COMPUTED_VALUE"""),45231.0)</f>
        <v>45231</v>
      </c>
      <c r="S2689" s="57">
        <f>IFERROR(__xludf.DUMMYFUNCTION("""COMPUTED_VALUE"""),45237.0)</f>
        <v>45237</v>
      </c>
      <c r="T2689" s="57">
        <f>IFERROR(__xludf.DUMMYFUNCTION("""COMPUTED_VALUE"""),45306.0)</f>
        <v>45306</v>
      </c>
    </row>
    <row r="2690">
      <c r="A2690" s="6" t="str">
        <f>IFERROR(__xludf.DUMMYFUNCTION("""COMPUTED_VALUE"""),"231750846-2")</f>
        <v>231750846-2</v>
      </c>
      <c r="B2690" s="6" t="str">
        <f>IFERROR(__xludf.DUMMYFUNCTION("""COMPUTED_VALUE"""),"231750846 - Approved")</f>
        <v>231750846 - Approved</v>
      </c>
      <c r="C2690" s="6">
        <f>IFERROR(__xludf.DUMMYFUNCTION("""COMPUTED_VALUE"""),2.0)</f>
        <v>2</v>
      </c>
      <c r="D2690" s="6" t="str">
        <f>IFERROR(__xludf.DUMMYFUNCTION("""COMPUTED_VALUE"""),"P-51302-00")</f>
        <v>P-51302-00</v>
      </c>
      <c r="E2690" s="6" t="str">
        <f>IFERROR(__xludf.DUMMYFUNCTION("""COMPUTED_VALUE"""),"Timah Solder dia 1 mm")</f>
        <v>Timah Solder dia 1 mm</v>
      </c>
      <c r="F2690" s="6">
        <f>IFERROR(__xludf.DUMMYFUNCTION("""COMPUTED_VALUE"""),2.0)</f>
        <v>2</v>
      </c>
      <c r="G2690" s="6" t="str">
        <f>IFERROR(__xludf.DUMMYFUNCTION("""COMPUTED_VALUE"""),"Pieces")</f>
        <v>Pieces</v>
      </c>
      <c r="H2690" s="6" t="str">
        <f>IFERROR(__xludf.DUMMYFUNCTION("""COMPUTED_VALUE"""),"IDR")</f>
        <v>IDR</v>
      </c>
      <c r="I2690" s="11">
        <f>IFERROR(__xludf.DUMMYFUNCTION("""COMPUTED_VALUE"""),20000.0)</f>
        <v>20000</v>
      </c>
      <c r="J2690" s="11">
        <f>IFERROR(__xludf.DUMMYFUNCTION("""COMPUTED_VALUE"""),40000.0)</f>
        <v>40000</v>
      </c>
      <c r="K2690" s="57">
        <f>IFERROR(__xludf.DUMMYFUNCTION("""COMPUTED_VALUE"""),45245.0)</f>
        <v>45245</v>
      </c>
      <c r="L2690" s="6" t="str">
        <f>IFERROR(__xludf.DUMMYFUNCTION("""COMPUTED_VALUE"""),"FIP Engineering")</f>
        <v>FIP Engineering</v>
      </c>
      <c r="M2690" s="6" t="str">
        <f>IFERROR(__xludf.DUMMYFUNCTION("""COMPUTED_VALUE"""),"Mochammad Fadhillah Hakim")</f>
        <v>Mochammad Fadhillah Hakim</v>
      </c>
      <c r="N2690" s="6" t="str">
        <f>IFERROR(__xludf.DUMMYFUNCTION("""COMPUTED_VALUE"""),"FIP Engineering")</f>
        <v>FIP Engineering</v>
      </c>
      <c r="O2690" s="6" t="str">
        <f>IFERROR(__xludf.DUMMYFUNCTION("""COMPUTED_VALUE"""),"FIP-DOM-000-11304-OS00001-INA-000000")</f>
        <v>FIP-DOM-000-11304-OS00001-INA-000000</v>
      </c>
      <c r="P2690" s="6" t="str">
        <f>IFERROR(__xludf.DUMMYFUNCTION("""COMPUTED_VALUE"""),"PO Closed")</f>
        <v>PO Closed</v>
      </c>
      <c r="Q2690" s="6" t="str">
        <f>IFERROR(__xludf.DUMMYFUNCTION("""COMPUTED_VALUE"""),"GL2312022")</f>
        <v>GL2312022</v>
      </c>
      <c r="R2690" s="57">
        <f>IFERROR(__xludf.DUMMYFUNCTION("""COMPUTED_VALUE"""),45231.0)</f>
        <v>45231</v>
      </c>
      <c r="S2690" s="57">
        <f>IFERROR(__xludf.DUMMYFUNCTION("""COMPUTED_VALUE"""),45237.0)</f>
        <v>45237</v>
      </c>
      <c r="T2690" s="57">
        <f>IFERROR(__xludf.DUMMYFUNCTION("""COMPUTED_VALUE"""),45306.0)</f>
        <v>45306</v>
      </c>
    </row>
    <row r="2691">
      <c r="A2691" s="6" t="str">
        <f>IFERROR(__xludf.DUMMYFUNCTION("""COMPUTED_VALUE"""),"231750846-3")</f>
        <v>231750846-3</v>
      </c>
      <c r="B2691" s="6" t="str">
        <f>IFERROR(__xludf.DUMMYFUNCTION("""COMPUTED_VALUE"""),"231750846 - Approved")</f>
        <v>231750846 - Approved</v>
      </c>
      <c r="C2691" s="6">
        <f>IFERROR(__xludf.DUMMYFUNCTION("""COMPUTED_VALUE"""),3.0)</f>
        <v>3</v>
      </c>
      <c r="D2691" s="6" t="str">
        <f>IFERROR(__xludf.DUMMYFUNCTION("""COMPUTED_VALUE"""),"P-17898-00")</f>
        <v>P-17898-00</v>
      </c>
      <c r="E2691" s="6" t="str">
        <f>IFERROR(__xludf.DUMMYFUNCTION("""COMPUTED_VALUE"""),"Baut SS hexagonal M12x100 mm + mur; ; ;")</f>
        <v>Baut SS hexagonal M12x100 mm + mur; ; ;</v>
      </c>
      <c r="F2691" s="6">
        <f>IFERROR(__xludf.DUMMYFUNCTION("""COMPUTED_VALUE"""),50.0)</f>
        <v>50</v>
      </c>
      <c r="G2691" s="6" t="str">
        <f>IFERROR(__xludf.DUMMYFUNCTION("""COMPUTED_VALUE"""),"Pieces")</f>
        <v>Pieces</v>
      </c>
      <c r="H2691" s="6" t="str">
        <f>IFERROR(__xludf.DUMMYFUNCTION("""COMPUTED_VALUE"""),"IDR")</f>
        <v>IDR</v>
      </c>
      <c r="I2691" s="11">
        <f>IFERROR(__xludf.DUMMYFUNCTION("""COMPUTED_VALUE"""),16500.0)</f>
        <v>16500</v>
      </c>
      <c r="J2691" s="11">
        <f>IFERROR(__xludf.DUMMYFUNCTION("""COMPUTED_VALUE"""),825000.0)</f>
        <v>825000</v>
      </c>
      <c r="K2691" s="57">
        <f>IFERROR(__xludf.DUMMYFUNCTION("""COMPUTED_VALUE"""),45245.0)</f>
        <v>45245</v>
      </c>
      <c r="L2691" s="6" t="str">
        <f>IFERROR(__xludf.DUMMYFUNCTION("""COMPUTED_VALUE"""),"FIP Engineering")</f>
        <v>FIP Engineering</v>
      </c>
      <c r="M2691" s="6" t="str">
        <f>IFERROR(__xludf.DUMMYFUNCTION("""COMPUTED_VALUE"""),"Mochammad Fadhillah Hakim")</f>
        <v>Mochammad Fadhillah Hakim</v>
      </c>
      <c r="N2691" s="6" t="str">
        <f>IFERROR(__xludf.DUMMYFUNCTION("""COMPUTED_VALUE"""),"FIP Engineering")</f>
        <v>FIP Engineering</v>
      </c>
      <c r="O2691" s="6" t="str">
        <f>IFERROR(__xludf.DUMMYFUNCTION("""COMPUTED_VALUE"""),"FIP-DOM-000-11304-OS00001-INA-000000")</f>
        <v>FIP-DOM-000-11304-OS00001-INA-000000</v>
      </c>
      <c r="P2691" s="6" t="str">
        <f>IFERROR(__xludf.DUMMYFUNCTION("""COMPUTED_VALUE"""),"PO Closed")</f>
        <v>PO Closed</v>
      </c>
      <c r="Q2691" s="6" t="str">
        <f>IFERROR(__xludf.DUMMYFUNCTION("""COMPUTED_VALUE"""),"GL2312022")</f>
        <v>GL2312022</v>
      </c>
      <c r="R2691" s="57">
        <f>IFERROR(__xludf.DUMMYFUNCTION("""COMPUTED_VALUE"""),45231.0)</f>
        <v>45231</v>
      </c>
      <c r="S2691" s="57">
        <f>IFERROR(__xludf.DUMMYFUNCTION("""COMPUTED_VALUE"""),45237.0)</f>
        <v>45237</v>
      </c>
      <c r="T2691" s="57">
        <f>IFERROR(__xludf.DUMMYFUNCTION("""COMPUTED_VALUE"""),45306.0)</f>
        <v>45306</v>
      </c>
    </row>
    <row r="2692">
      <c r="A2692" s="6" t="str">
        <f>IFERROR(__xludf.DUMMYFUNCTION("""COMPUTED_VALUE"""),"231750846-4")</f>
        <v>231750846-4</v>
      </c>
      <c r="B2692" s="6" t="str">
        <f>IFERROR(__xludf.DUMMYFUNCTION("""COMPUTED_VALUE"""),"231750846 - Approved")</f>
        <v>231750846 - Approved</v>
      </c>
      <c r="C2692" s="6">
        <f>IFERROR(__xludf.DUMMYFUNCTION("""COMPUTED_VALUE"""),4.0)</f>
        <v>4</v>
      </c>
      <c r="D2692" s="6" t="str">
        <f>IFERROR(__xludf.DUMMYFUNCTION("""COMPUTED_VALUE"""),"P-18066-00")</f>
        <v>P-18066-00</v>
      </c>
      <c r="E2692" s="6" t="str">
        <f>IFERROR(__xludf.DUMMYFUNCTION("""COMPUTED_VALUE"""),"Hepa Filter - H13 ( 99,95% ) Size: 610x610x90; ; ;")</f>
        <v>Hepa Filter - H13 ( 99,95% ) Size: 610x610x90; ; ;</v>
      </c>
      <c r="F2692" s="6">
        <f>IFERROR(__xludf.DUMMYFUNCTION("""COMPUTED_VALUE"""),2.0)</f>
        <v>2</v>
      </c>
      <c r="G2692" s="6" t="str">
        <f>IFERROR(__xludf.DUMMYFUNCTION("""COMPUTED_VALUE"""),"Pieces")</f>
        <v>Pieces</v>
      </c>
      <c r="H2692" s="6" t="str">
        <f>IFERROR(__xludf.DUMMYFUNCTION("""COMPUTED_VALUE"""),"IDR")</f>
        <v>IDR</v>
      </c>
      <c r="I2692" s="11">
        <f>IFERROR(__xludf.DUMMYFUNCTION("""COMPUTED_VALUE"""),2015000.0)</f>
        <v>2015000</v>
      </c>
      <c r="J2692" s="11">
        <f>IFERROR(__xludf.DUMMYFUNCTION("""COMPUTED_VALUE"""),4030000.0)</f>
        <v>4030000</v>
      </c>
      <c r="K2692" s="57">
        <f>IFERROR(__xludf.DUMMYFUNCTION("""COMPUTED_VALUE"""),45245.0)</f>
        <v>45245</v>
      </c>
      <c r="L2692" s="6" t="str">
        <f>IFERROR(__xludf.DUMMYFUNCTION("""COMPUTED_VALUE"""),"FIP Engineering")</f>
        <v>FIP Engineering</v>
      </c>
      <c r="M2692" s="6" t="str">
        <f>IFERROR(__xludf.DUMMYFUNCTION("""COMPUTED_VALUE"""),"Mochammad Fadhillah Hakim")</f>
        <v>Mochammad Fadhillah Hakim</v>
      </c>
      <c r="N2692" s="6" t="str">
        <f>IFERROR(__xludf.DUMMYFUNCTION("""COMPUTED_VALUE"""),"FIP Engineering")</f>
        <v>FIP Engineering</v>
      </c>
      <c r="O2692" s="6" t="str">
        <f>IFERROR(__xludf.DUMMYFUNCTION("""COMPUTED_VALUE"""),"FIP-DOM-000-11304-OS00001-INA-000000")</f>
        <v>FIP-DOM-000-11304-OS00001-INA-000000</v>
      </c>
      <c r="P2692" s="6" t="str">
        <f>IFERROR(__xludf.DUMMYFUNCTION("""COMPUTED_VALUE"""),"PO Closed")</f>
        <v>PO Closed</v>
      </c>
      <c r="Q2692" s="6" t="str">
        <f>IFERROR(__xludf.DUMMYFUNCTION("""COMPUTED_VALUE"""),"GL2312024")</f>
        <v>GL2312024</v>
      </c>
      <c r="R2692" s="57">
        <f>IFERROR(__xludf.DUMMYFUNCTION("""COMPUTED_VALUE"""),45231.0)</f>
        <v>45231</v>
      </c>
      <c r="S2692" s="57">
        <f>IFERROR(__xludf.DUMMYFUNCTION("""COMPUTED_VALUE"""),45237.0)</f>
        <v>45237</v>
      </c>
      <c r="T2692" s="57">
        <f>IFERROR(__xludf.DUMMYFUNCTION("""COMPUTED_VALUE"""),45305.0)</f>
        <v>45305</v>
      </c>
    </row>
    <row r="2693">
      <c r="A2693" s="6" t="str">
        <f>IFERROR(__xludf.DUMMYFUNCTION("""COMPUTED_VALUE"""),"231750846-5")</f>
        <v>231750846-5</v>
      </c>
      <c r="B2693" s="6" t="str">
        <f>IFERROR(__xludf.DUMMYFUNCTION("""COMPUTED_VALUE"""),"231750846 - Approved")</f>
        <v>231750846 - Approved</v>
      </c>
      <c r="C2693" s="6">
        <f>IFERROR(__xludf.DUMMYFUNCTION("""COMPUTED_VALUE"""),5.0)</f>
        <v>5</v>
      </c>
      <c r="D2693" s="6" t="str">
        <f>IFERROR(__xludf.DUMMYFUNCTION("""COMPUTED_VALUE"""),"P-18554-00")</f>
        <v>P-18554-00</v>
      </c>
      <c r="E2693" s="6" t="str">
        <f>IFERROR(__xludf.DUMMYFUNCTION("""COMPUTED_VALUE"""),"Baut Hexagonal SS 304 Uk. M4 x 8; ; ;")</f>
        <v>Baut Hexagonal SS 304 Uk. M4 x 8; ; ;</v>
      </c>
      <c r="F2693" s="6">
        <f>IFERROR(__xludf.DUMMYFUNCTION("""COMPUTED_VALUE"""),100.0)</f>
        <v>100</v>
      </c>
      <c r="G2693" s="6" t="str">
        <f>IFERROR(__xludf.DUMMYFUNCTION("""COMPUTED_VALUE"""),"Pieces")</f>
        <v>Pieces</v>
      </c>
      <c r="H2693" s="6" t="str">
        <f>IFERROR(__xludf.DUMMYFUNCTION("""COMPUTED_VALUE"""),"IDR")</f>
        <v>IDR</v>
      </c>
      <c r="I2693" s="11">
        <f>IFERROR(__xludf.DUMMYFUNCTION("""COMPUTED_VALUE"""),1080.0)</f>
        <v>1080</v>
      </c>
      <c r="J2693" s="11">
        <f>IFERROR(__xludf.DUMMYFUNCTION("""COMPUTED_VALUE"""),108000.0)</f>
        <v>108000</v>
      </c>
      <c r="K2693" s="57">
        <f>IFERROR(__xludf.DUMMYFUNCTION("""COMPUTED_VALUE"""),45245.0)</f>
        <v>45245</v>
      </c>
      <c r="L2693" s="6" t="str">
        <f>IFERROR(__xludf.DUMMYFUNCTION("""COMPUTED_VALUE"""),"FIP Engineering")</f>
        <v>FIP Engineering</v>
      </c>
      <c r="M2693" s="6" t="str">
        <f>IFERROR(__xludf.DUMMYFUNCTION("""COMPUTED_VALUE"""),"Mochammad Fadhillah Hakim")</f>
        <v>Mochammad Fadhillah Hakim</v>
      </c>
      <c r="N2693" s="6" t="str">
        <f>IFERROR(__xludf.DUMMYFUNCTION("""COMPUTED_VALUE"""),"FIP Engineering")</f>
        <v>FIP Engineering</v>
      </c>
      <c r="O2693" s="6" t="str">
        <f>IFERROR(__xludf.DUMMYFUNCTION("""COMPUTED_VALUE"""),"FIP-DOM-000-11304-OS00001-INA-000000")</f>
        <v>FIP-DOM-000-11304-OS00001-INA-000000</v>
      </c>
      <c r="P2693" s="6" t="str">
        <f>IFERROR(__xludf.DUMMYFUNCTION("""COMPUTED_VALUE"""),"PO Closed")</f>
        <v>PO Closed</v>
      </c>
      <c r="Q2693" s="6" t="str">
        <f>IFERROR(__xludf.DUMMYFUNCTION("""COMPUTED_VALUE"""),"GL2312022")</f>
        <v>GL2312022</v>
      </c>
      <c r="R2693" s="57">
        <f>IFERROR(__xludf.DUMMYFUNCTION("""COMPUTED_VALUE"""),45231.0)</f>
        <v>45231</v>
      </c>
      <c r="S2693" s="57">
        <f>IFERROR(__xludf.DUMMYFUNCTION("""COMPUTED_VALUE"""),45237.0)</f>
        <v>45237</v>
      </c>
      <c r="T2693" s="57">
        <f>IFERROR(__xludf.DUMMYFUNCTION("""COMPUTED_VALUE"""),45306.0)</f>
        <v>45306</v>
      </c>
    </row>
    <row r="2694">
      <c r="A2694" s="6" t="str">
        <f>IFERROR(__xludf.DUMMYFUNCTION("""COMPUTED_VALUE"""),"231750846-6")</f>
        <v>231750846-6</v>
      </c>
      <c r="B2694" s="6" t="str">
        <f>IFERROR(__xludf.DUMMYFUNCTION("""COMPUTED_VALUE"""),"231750846 - Approved")</f>
        <v>231750846 - Approved</v>
      </c>
      <c r="C2694" s="6">
        <f>IFERROR(__xludf.DUMMYFUNCTION("""COMPUTED_VALUE"""),6.0)</f>
        <v>6</v>
      </c>
      <c r="D2694" s="6" t="str">
        <f>IFERROR(__xludf.DUMMYFUNCTION("""COMPUTED_VALUE"""),"P-18555-00")</f>
        <v>P-18555-00</v>
      </c>
      <c r="E2694" s="6" t="str">
        <f>IFERROR(__xludf.DUMMYFUNCTION("""COMPUTED_VALUE"""),"Baut L SS 304 Uk. M3 x 6 mm; ; ;")</f>
        <v>Baut L SS 304 Uk. M3 x 6 mm; ; ;</v>
      </c>
      <c r="F2694" s="6">
        <f>IFERROR(__xludf.DUMMYFUNCTION("""COMPUTED_VALUE"""),100.0)</f>
        <v>100</v>
      </c>
      <c r="G2694" s="6" t="str">
        <f>IFERROR(__xludf.DUMMYFUNCTION("""COMPUTED_VALUE"""),"Pieces")</f>
        <v>Pieces</v>
      </c>
      <c r="H2694" s="6" t="str">
        <f>IFERROR(__xludf.DUMMYFUNCTION("""COMPUTED_VALUE"""),"IDR")</f>
        <v>IDR</v>
      </c>
      <c r="I2694" s="6">
        <f>IFERROR(__xludf.DUMMYFUNCTION("""COMPUTED_VALUE"""),900.0)</f>
        <v>900</v>
      </c>
      <c r="J2694" s="11">
        <f>IFERROR(__xludf.DUMMYFUNCTION("""COMPUTED_VALUE"""),90000.0)</f>
        <v>90000</v>
      </c>
      <c r="K2694" s="57">
        <f>IFERROR(__xludf.DUMMYFUNCTION("""COMPUTED_VALUE"""),45245.0)</f>
        <v>45245</v>
      </c>
      <c r="L2694" s="6" t="str">
        <f>IFERROR(__xludf.DUMMYFUNCTION("""COMPUTED_VALUE"""),"FIP Engineering")</f>
        <v>FIP Engineering</v>
      </c>
      <c r="M2694" s="6" t="str">
        <f>IFERROR(__xludf.DUMMYFUNCTION("""COMPUTED_VALUE"""),"Mochammad Fadhillah Hakim")</f>
        <v>Mochammad Fadhillah Hakim</v>
      </c>
      <c r="N2694" s="6" t="str">
        <f>IFERROR(__xludf.DUMMYFUNCTION("""COMPUTED_VALUE"""),"FIP Engineering")</f>
        <v>FIP Engineering</v>
      </c>
      <c r="O2694" s="6" t="str">
        <f>IFERROR(__xludf.DUMMYFUNCTION("""COMPUTED_VALUE"""),"FIP-DOM-000-11304-OS00001-INA-000000")</f>
        <v>FIP-DOM-000-11304-OS00001-INA-000000</v>
      </c>
      <c r="P2694" s="6" t="str">
        <f>IFERROR(__xludf.DUMMYFUNCTION("""COMPUTED_VALUE"""),"PO Closed")</f>
        <v>PO Closed</v>
      </c>
      <c r="Q2694" s="6" t="str">
        <f>IFERROR(__xludf.DUMMYFUNCTION("""COMPUTED_VALUE"""),"GL2312022")</f>
        <v>GL2312022</v>
      </c>
      <c r="R2694" s="57">
        <f>IFERROR(__xludf.DUMMYFUNCTION("""COMPUTED_VALUE"""),45231.0)</f>
        <v>45231</v>
      </c>
      <c r="S2694" s="57">
        <f>IFERROR(__xludf.DUMMYFUNCTION("""COMPUTED_VALUE"""),45237.0)</f>
        <v>45237</v>
      </c>
      <c r="T2694" s="57">
        <f>IFERROR(__xludf.DUMMYFUNCTION("""COMPUTED_VALUE"""),45306.0)</f>
        <v>45306</v>
      </c>
    </row>
    <row r="2695">
      <c r="A2695" s="6" t="str">
        <f>IFERROR(__xludf.DUMMYFUNCTION("""COMPUTED_VALUE"""),"231750846-7")</f>
        <v>231750846-7</v>
      </c>
      <c r="B2695" s="6" t="str">
        <f>IFERROR(__xludf.DUMMYFUNCTION("""COMPUTED_VALUE"""),"231750846 - Approved")</f>
        <v>231750846 - Approved</v>
      </c>
      <c r="C2695" s="6">
        <f>IFERROR(__xludf.DUMMYFUNCTION("""COMPUTED_VALUE"""),7.0)</f>
        <v>7</v>
      </c>
      <c r="D2695" s="6" t="str">
        <f>IFERROR(__xludf.DUMMYFUNCTION("""COMPUTED_VALUE"""),"P-18556-00")</f>
        <v>P-18556-00</v>
      </c>
      <c r="E2695" s="6" t="str">
        <f>IFERROR(__xludf.DUMMYFUNCTION("""COMPUTED_VALUE"""),"Baut L SS 304 Uk. M3 x 10 mm; ; ;")</f>
        <v>Baut L SS 304 Uk. M3 x 10 mm; ; ;</v>
      </c>
      <c r="F2695" s="6">
        <f>IFERROR(__xludf.DUMMYFUNCTION("""COMPUTED_VALUE"""),100.0)</f>
        <v>100</v>
      </c>
      <c r="G2695" s="6" t="str">
        <f>IFERROR(__xludf.DUMMYFUNCTION("""COMPUTED_VALUE"""),"Pieces")</f>
        <v>Pieces</v>
      </c>
      <c r="H2695" s="6" t="str">
        <f>IFERROR(__xludf.DUMMYFUNCTION("""COMPUTED_VALUE"""),"IDR")</f>
        <v>IDR</v>
      </c>
      <c r="I2695" s="6">
        <f>IFERROR(__xludf.DUMMYFUNCTION("""COMPUTED_VALUE"""),900.0)</f>
        <v>900</v>
      </c>
      <c r="J2695" s="11">
        <f>IFERROR(__xludf.DUMMYFUNCTION("""COMPUTED_VALUE"""),90000.0)</f>
        <v>90000</v>
      </c>
      <c r="K2695" s="57">
        <f>IFERROR(__xludf.DUMMYFUNCTION("""COMPUTED_VALUE"""),45245.0)</f>
        <v>45245</v>
      </c>
      <c r="L2695" s="6" t="str">
        <f>IFERROR(__xludf.DUMMYFUNCTION("""COMPUTED_VALUE"""),"FIP Engineering")</f>
        <v>FIP Engineering</v>
      </c>
      <c r="M2695" s="6" t="str">
        <f>IFERROR(__xludf.DUMMYFUNCTION("""COMPUTED_VALUE"""),"Mochammad Fadhillah Hakim")</f>
        <v>Mochammad Fadhillah Hakim</v>
      </c>
      <c r="N2695" s="6" t="str">
        <f>IFERROR(__xludf.DUMMYFUNCTION("""COMPUTED_VALUE"""),"FIP Engineering")</f>
        <v>FIP Engineering</v>
      </c>
      <c r="O2695" s="6" t="str">
        <f>IFERROR(__xludf.DUMMYFUNCTION("""COMPUTED_VALUE"""),"FIP-DOM-000-11304-OS00001-INA-000000")</f>
        <v>FIP-DOM-000-11304-OS00001-INA-000000</v>
      </c>
      <c r="P2695" s="6" t="str">
        <f>IFERROR(__xludf.DUMMYFUNCTION("""COMPUTED_VALUE"""),"PO Closed")</f>
        <v>PO Closed</v>
      </c>
      <c r="Q2695" s="6" t="str">
        <f>IFERROR(__xludf.DUMMYFUNCTION("""COMPUTED_VALUE"""),"GL2312022")</f>
        <v>GL2312022</v>
      </c>
      <c r="R2695" s="57">
        <f>IFERROR(__xludf.DUMMYFUNCTION("""COMPUTED_VALUE"""),45231.0)</f>
        <v>45231</v>
      </c>
      <c r="S2695" s="57">
        <f>IFERROR(__xludf.DUMMYFUNCTION("""COMPUTED_VALUE"""),45237.0)</f>
        <v>45237</v>
      </c>
      <c r="T2695" s="57">
        <f>IFERROR(__xludf.DUMMYFUNCTION("""COMPUTED_VALUE"""),45306.0)</f>
        <v>45306</v>
      </c>
    </row>
    <row r="2696">
      <c r="A2696" s="6" t="str">
        <f>IFERROR(__xludf.DUMMYFUNCTION("""COMPUTED_VALUE"""),"231750851-1")</f>
        <v>231750851-1</v>
      </c>
      <c r="B2696" s="6" t="str">
        <f>IFERROR(__xludf.DUMMYFUNCTION("""COMPUTED_VALUE"""),"231750851 - Approved")</f>
        <v>231750851 - Approved</v>
      </c>
      <c r="C2696" s="6">
        <f>IFERROR(__xludf.DUMMYFUNCTION("""COMPUTED_VALUE"""),1.0)</f>
        <v>1</v>
      </c>
      <c r="D2696" s="6" t="str">
        <f>IFERROR(__xludf.DUMMYFUNCTION("""COMPUTED_VALUE"""),"P-18906-00")</f>
        <v>P-18906-00</v>
      </c>
      <c r="E2696" s="6" t="str">
        <f>IFERROR(__xludf.DUMMYFUNCTION("""COMPUTED_VALUE"""),"Float Valve D14 mm AI SI 316L; Lokal; ;")</f>
        <v>Float Valve D14 mm AI SI 316L; Lokal; ;</v>
      </c>
      <c r="F2696" s="6">
        <f>IFERROR(__xludf.DUMMYFUNCTION("""COMPUTED_VALUE"""),1.0)</f>
        <v>1</v>
      </c>
      <c r="G2696" s="6" t="str">
        <f>IFERROR(__xludf.DUMMYFUNCTION("""COMPUTED_VALUE"""),"Pieces")</f>
        <v>Pieces</v>
      </c>
      <c r="H2696" s="6" t="str">
        <f>IFERROR(__xludf.DUMMYFUNCTION("""COMPUTED_VALUE"""),"IDR")</f>
        <v>IDR</v>
      </c>
      <c r="I2696" s="11">
        <f>IFERROR(__xludf.DUMMYFUNCTION("""COMPUTED_VALUE"""),9.1E7)</f>
        <v>91000000</v>
      </c>
      <c r="J2696" s="11">
        <f>IFERROR(__xludf.DUMMYFUNCTION("""COMPUTED_VALUE"""),9.1E7)</f>
        <v>91000000</v>
      </c>
      <c r="K2696" s="57">
        <f>IFERROR(__xludf.DUMMYFUNCTION("""COMPUTED_VALUE"""),45246.0)</f>
        <v>45246</v>
      </c>
      <c r="L2696" s="6" t="str">
        <f>IFERROR(__xludf.DUMMYFUNCTION("""COMPUTED_VALUE"""),"FIP Engineering")</f>
        <v>FIP Engineering</v>
      </c>
      <c r="M2696" s="6" t="str">
        <f>IFERROR(__xludf.DUMMYFUNCTION("""COMPUTED_VALUE"""),"Mochammad Fadhillah Hakim")</f>
        <v>Mochammad Fadhillah Hakim</v>
      </c>
      <c r="N2696" s="6" t="str">
        <f>IFERROR(__xludf.DUMMYFUNCTION("""COMPUTED_VALUE"""),"FIP Engineering")</f>
        <v>FIP Engineering</v>
      </c>
      <c r="O2696" s="6" t="str">
        <f>IFERROR(__xludf.DUMMYFUNCTION("""COMPUTED_VALUE"""),"FIP-DOM-000-11304-OS00001-INA-000000")</f>
        <v>FIP-DOM-000-11304-OS00001-INA-000000</v>
      </c>
      <c r="P2696" s="6" t="str">
        <f>IFERROR(__xludf.DUMMYFUNCTION("""COMPUTED_VALUE"""),"PO Closed")</f>
        <v>PO Closed</v>
      </c>
      <c r="Q2696" s="6" t="str">
        <f>IFERROR(__xludf.DUMMYFUNCTION("""COMPUTED_VALUE"""),"GL2311058")</f>
        <v>GL2311058</v>
      </c>
      <c r="R2696" s="57">
        <f>IFERROR(__xludf.DUMMYFUNCTION("""COMPUTED_VALUE"""),45232.0)</f>
        <v>45232</v>
      </c>
      <c r="S2696" s="57">
        <f>IFERROR(__xludf.DUMMYFUNCTION("""COMPUTED_VALUE"""),45233.0)</f>
        <v>45233</v>
      </c>
      <c r="T2696" s="57">
        <f>IFERROR(__xludf.DUMMYFUNCTION("""COMPUTED_VALUE"""),45361.0)</f>
        <v>45361</v>
      </c>
    </row>
    <row r="2697">
      <c r="A2697" s="6" t="str">
        <f>IFERROR(__xludf.DUMMYFUNCTION("""COMPUTED_VALUE"""),"231750856-1")</f>
        <v>231750856-1</v>
      </c>
      <c r="B2697" s="6" t="str">
        <f>IFERROR(__xludf.DUMMYFUNCTION("""COMPUTED_VALUE"""),"231750856 - Approved")</f>
        <v>231750856 - Approved</v>
      </c>
      <c r="C2697" s="6">
        <f>IFERROR(__xludf.DUMMYFUNCTION("""COMPUTED_VALUE"""),1.0)</f>
        <v>1</v>
      </c>
      <c r="D2697" s="6" t="str">
        <f>IFERROR(__xludf.DUMMYFUNCTION("""COMPUTED_VALUE"""),"O-19396-00")</f>
        <v>O-19396-00</v>
      </c>
      <c r="E2697" s="6" t="str">
        <f>IFERROR(__xludf.DUMMYFUNCTION("""COMPUTED_VALUE"""),"Capping VCM200 - Bracket Dudukan Sensor; ; ;")</f>
        <v>Capping VCM200 - Bracket Dudukan Sensor; ; ;</v>
      </c>
      <c r="F2697" s="6">
        <f>IFERROR(__xludf.DUMMYFUNCTION("""COMPUTED_VALUE"""),1.0)</f>
        <v>1</v>
      </c>
      <c r="G2697" s="6" t="str">
        <f>IFERROR(__xludf.DUMMYFUNCTION("""COMPUTED_VALUE"""),"Pieces")</f>
        <v>Pieces</v>
      </c>
      <c r="H2697" s="6" t="str">
        <f>IFERROR(__xludf.DUMMYFUNCTION("""COMPUTED_VALUE"""),"IDR")</f>
        <v>IDR</v>
      </c>
      <c r="I2697" s="11">
        <f>IFERROR(__xludf.DUMMYFUNCTION("""COMPUTED_VALUE"""),1455000.0)</f>
        <v>1455000</v>
      </c>
      <c r="J2697" s="11">
        <f>IFERROR(__xludf.DUMMYFUNCTION("""COMPUTED_VALUE"""),1455000.0)</f>
        <v>1455000</v>
      </c>
      <c r="K2697" s="57">
        <f>IFERROR(__xludf.DUMMYFUNCTION("""COMPUTED_VALUE"""),45246.0)</f>
        <v>45246</v>
      </c>
      <c r="L2697" s="6" t="str">
        <f>IFERROR(__xludf.DUMMYFUNCTION("""COMPUTED_VALUE"""),"FIP Engineering")</f>
        <v>FIP Engineering</v>
      </c>
      <c r="M2697" s="6" t="str">
        <f>IFERROR(__xludf.DUMMYFUNCTION("""COMPUTED_VALUE"""),"Mochammad Fadhillah Hakim")</f>
        <v>Mochammad Fadhillah Hakim</v>
      </c>
      <c r="N2697" s="6" t="str">
        <f>IFERROR(__xludf.DUMMYFUNCTION("""COMPUTED_VALUE"""),"FIP Engineering")</f>
        <v>FIP Engineering</v>
      </c>
      <c r="O2697" s="6" t="str">
        <f>IFERROR(__xludf.DUMMYFUNCTION("""COMPUTED_VALUE"""),"FIP-DOM-000-11304-OS00001-INA-000000")</f>
        <v>FIP-DOM-000-11304-OS00001-INA-000000</v>
      </c>
      <c r="P2697" s="6" t="str">
        <f>IFERROR(__xludf.DUMMYFUNCTION("""COMPUTED_VALUE"""),"PO Closed")</f>
        <v>PO Closed</v>
      </c>
      <c r="Q2697" s="6" t="str">
        <f>IFERROR(__xludf.DUMMYFUNCTION("""COMPUTED_VALUE"""),"GL2312002")</f>
        <v>GL2312002</v>
      </c>
      <c r="R2697" s="57">
        <f>IFERROR(__xludf.DUMMYFUNCTION("""COMPUTED_VALUE"""),45232.0)</f>
        <v>45232</v>
      </c>
      <c r="S2697" s="57">
        <f>IFERROR(__xludf.DUMMYFUNCTION("""COMPUTED_VALUE"""),45237.0)</f>
        <v>45237</v>
      </c>
      <c r="T2697" s="57">
        <f>IFERROR(__xludf.DUMMYFUNCTION("""COMPUTED_VALUE"""),45301.0)</f>
        <v>45301</v>
      </c>
    </row>
    <row r="2698">
      <c r="A2698" s="6" t="str">
        <f>IFERROR(__xludf.DUMMYFUNCTION("""COMPUTED_VALUE"""),"231750858-1")</f>
        <v>231750858-1</v>
      </c>
      <c r="B2698" s="6" t="str">
        <f>IFERROR(__xludf.DUMMYFUNCTION("""COMPUTED_VALUE"""),"231750858 - Approved")</f>
        <v>231750858 - Approved</v>
      </c>
      <c r="C2698" s="6">
        <f>IFERROR(__xludf.DUMMYFUNCTION("""COMPUTED_VALUE"""),1.0)</f>
        <v>1</v>
      </c>
      <c r="D2698" s="6" t="str">
        <f>IFERROR(__xludf.DUMMYFUNCTION("""COMPUTED_VALUE"""),"O-54130-00")</f>
        <v>O-54130-00</v>
      </c>
      <c r="E2698" s="6" t="str">
        <f>IFERROR(__xludf.DUMMYFUNCTION("""COMPUTED_VALUE"""),"Circuit Breake For Motor Protection 3RV1011-1HA10 5.5 - 8 A; SIEMENS; ;")</f>
        <v>Circuit Breake For Motor Protection 3RV1011-1HA10 5.5 - 8 A; SIEMENS; ;</v>
      </c>
      <c r="F2698" s="6">
        <f>IFERROR(__xludf.DUMMYFUNCTION("""COMPUTED_VALUE"""),2.0)</f>
        <v>2</v>
      </c>
      <c r="G2698" s="6" t="str">
        <f>IFERROR(__xludf.DUMMYFUNCTION("""COMPUTED_VALUE"""),"Pieces")</f>
        <v>Pieces</v>
      </c>
      <c r="H2698" s="6" t="str">
        <f>IFERROR(__xludf.DUMMYFUNCTION("""COMPUTED_VALUE"""),"IDR")</f>
        <v>IDR</v>
      </c>
      <c r="I2698" s="11">
        <f>IFERROR(__xludf.DUMMYFUNCTION("""COMPUTED_VALUE"""),1320500.0)</f>
        <v>1320500</v>
      </c>
      <c r="J2698" s="11">
        <f>IFERROR(__xludf.DUMMYFUNCTION("""COMPUTED_VALUE"""),2641000.0)</f>
        <v>2641000</v>
      </c>
      <c r="K2698" s="57">
        <f>IFERROR(__xludf.DUMMYFUNCTION("""COMPUTED_VALUE"""),45246.0)</f>
        <v>45246</v>
      </c>
      <c r="L2698" s="6" t="str">
        <f>IFERROR(__xludf.DUMMYFUNCTION("""COMPUTED_VALUE"""),"FIP Engineering")</f>
        <v>FIP Engineering</v>
      </c>
      <c r="M2698" s="6" t="str">
        <f>IFERROR(__xludf.DUMMYFUNCTION("""COMPUTED_VALUE"""),"Mochammad Fadhillah Hakim")</f>
        <v>Mochammad Fadhillah Hakim</v>
      </c>
      <c r="N2698" s="6" t="str">
        <f>IFERROR(__xludf.DUMMYFUNCTION("""COMPUTED_VALUE"""),"FIP Engineering")</f>
        <v>FIP Engineering</v>
      </c>
      <c r="O2698" s="6" t="str">
        <f>IFERROR(__xludf.DUMMYFUNCTION("""COMPUTED_VALUE"""),"FIP-DOM-000-11304-OS00001-INA-000000")</f>
        <v>FIP-DOM-000-11304-OS00001-INA-000000</v>
      </c>
      <c r="P2698" s="6" t="str">
        <f>IFERROR(__xludf.DUMMYFUNCTION("""COMPUTED_VALUE"""),"PO Closed")</f>
        <v>PO Closed</v>
      </c>
      <c r="Q2698" s="6" t="str">
        <f>IFERROR(__xludf.DUMMYFUNCTION("""COMPUTED_VALUE"""),"GL2311034")</f>
        <v>GL2311034</v>
      </c>
      <c r="R2698" s="57">
        <f>IFERROR(__xludf.DUMMYFUNCTION("""COMPUTED_VALUE"""),45232.0)</f>
        <v>45232</v>
      </c>
      <c r="S2698" s="57">
        <f>IFERROR(__xludf.DUMMYFUNCTION("""COMPUTED_VALUE"""),45233.0)</f>
        <v>45233</v>
      </c>
      <c r="T2698" s="57">
        <f>IFERROR(__xludf.DUMMYFUNCTION("""COMPUTED_VALUE"""),45265.0)</f>
        <v>45265</v>
      </c>
    </row>
    <row r="2699">
      <c r="A2699" s="6" t="str">
        <f>IFERROR(__xludf.DUMMYFUNCTION("""COMPUTED_VALUE"""),"231750859-1")</f>
        <v>231750859-1</v>
      </c>
      <c r="B2699" s="6" t="str">
        <f>IFERROR(__xludf.DUMMYFUNCTION("""COMPUTED_VALUE"""),"231750859 - Approved")</f>
        <v>231750859 - Approved</v>
      </c>
      <c r="C2699" s="6">
        <f>IFERROR(__xludf.DUMMYFUNCTION("""COMPUTED_VALUE"""),1.0)</f>
        <v>1</v>
      </c>
      <c r="D2699" s="6" t="str">
        <f>IFERROR(__xludf.DUMMYFUNCTION("""COMPUTED_VALUE"""),"P-52033-00")</f>
        <v>P-52033-00</v>
      </c>
      <c r="E2699" s="6" t="str">
        <f>IFERROR(__xludf.DUMMYFUNCTION("""COMPUTED_VALUE"""),"Inverter HVAC Drives FC-102 2,2 kw 380-480 V Danfoss; ; ;")</f>
        <v>Inverter HVAC Drives FC-102 2,2 kw 380-480 V Danfoss; ; ;</v>
      </c>
      <c r="F2699" s="6">
        <f>IFERROR(__xludf.DUMMYFUNCTION("""COMPUTED_VALUE"""),1.0)</f>
        <v>1</v>
      </c>
      <c r="G2699" s="6" t="str">
        <f>IFERROR(__xludf.DUMMYFUNCTION("""COMPUTED_VALUE"""),"Unit")</f>
        <v>Unit</v>
      </c>
      <c r="H2699" s="6" t="str">
        <f>IFERROR(__xludf.DUMMYFUNCTION("""COMPUTED_VALUE"""),"IDR")</f>
        <v>IDR</v>
      </c>
      <c r="I2699" s="11">
        <f>IFERROR(__xludf.DUMMYFUNCTION("""COMPUTED_VALUE"""),1.29E7)</f>
        <v>12900000</v>
      </c>
      <c r="J2699" s="11">
        <f>IFERROR(__xludf.DUMMYFUNCTION("""COMPUTED_VALUE"""),1.29E7)</f>
        <v>12900000</v>
      </c>
      <c r="K2699" s="57">
        <f>IFERROR(__xludf.DUMMYFUNCTION("""COMPUTED_VALUE"""),45246.0)</f>
        <v>45246</v>
      </c>
      <c r="L2699" s="6" t="str">
        <f>IFERROR(__xludf.DUMMYFUNCTION("""COMPUTED_VALUE"""),"FIP Engineering")</f>
        <v>FIP Engineering</v>
      </c>
      <c r="M2699" s="6" t="str">
        <f>IFERROR(__xludf.DUMMYFUNCTION("""COMPUTED_VALUE"""),"Mochammad Fadhillah Hakim")</f>
        <v>Mochammad Fadhillah Hakim</v>
      </c>
      <c r="N2699" s="6" t="str">
        <f>IFERROR(__xludf.DUMMYFUNCTION("""COMPUTED_VALUE"""),"FIP Engineering")</f>
        <v>FIP Engineering</v>
      </c>
      <c r="O2699" s="6" t="str">
        <f>IFERROR(__xludf.DUMMYFUNCTION("""COMPUTED_VALUE"""),"FIP-DOM-000-11304-OS00001-INA-000000")</f>
        <v>FIP-DOM-000-11304-OS00001-INA-000000</v>
      </c>
      <c r="P2699" s="6" t="str">
        <f>IFERROR(__xludf.DUMMYFUNCTION("""COMPUTED_VALUE"""),"PO Closed")</f>
        <v>PO Closed</v>
      </c>
      <c r="Q2699" s="6" t="str">
        <f>IFERROR(__xludf.DUMMYFUNCTION("""COMPUTED_VALUE"""),"GL2311031")</f>
        <v>GL2311031</v>
      </c>
      <c r="R2699" s="57">
        <f>IFERROR(__xludf.DUMMYFUNCTION("""COMPUTED_VALUE"""),45232.0)</f>
        <v>45232</v>
      </c>
      <c r="S2699" s="57">
        <f>IFERROR(__xludf.DUMMYFUNCTION("""COMPUTED_VALUE"""),45233.0)</f>
        <v>45233</v>
      </c>
      <c r="T2699" s="57">
        <f>IFERROR(__xludf.DUMMYFUNCTION("""COMPUTED_VALUE"""),45270.0)</f>
        <v>45270</v>
      </c>
    </row>
    <row r="2700">
      <c r="A2700" s="6" t="str">
        <f>IFERROR(__xludf.DUMMYFUNCTION("""COMPUTED_VALUE"""),"231750859-2")</f>
        <v>231750859-2</v>
      </c>
      <c r="B2700" s="6" t="str">
        <f>IFERROR(__xludf.DUMMYFUNCTION("""COMPUTED_VALUE"""),"231750859 - Approved")</f>
        <v>231750859 - Approved</v>
      </c>
      <c r="C2700" s="6">
        <f>IFERROR(__xludf.DUMMYFUNCTION("""COMPUTED_VALUE"""),2.0)</f>
        <v>2</v>
      </c>
      <c r="D2700" s="6" t="str">
        <f>IFERROR(__xludf.DUMMYFUNCTION("""COMPUTED_VALUE"""),"P-52708-00")</f>
        <v>P-52708-00</v>
      </c>
      <c r="E2700" s="6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F2700" s="6">
        <f>IFERROR(__xludf.DUMMYFUNCTION("""COMPUTED_VALUE"""),1.0)</f>
        <v>1</v>
      </c>
      <c r="G2700" s="6" t="str">
        <f>IFERROR(__xludf.DUMMYFUNCTION("""COMPUTED_VALUE"""),"Pieces")</f>
        <v>Pieces</v>
      </c>
      <c r="H2700" s="6" t="str">
        <f>IFERROR(__xludf.DUMMYFUNCTION("""COMPUTED_VALUE"""),"IDR")</f>
        <v>IDR</v>
      </c>
      <c r="I2700" s="11">
        <f>IFERROR(__xludf.DUMMYFUNCTION("""COMPUTED_VALUE"""),1.5339E7)</f>
        <v>15339000</v>
      </c>
      <c r="J2700" s="11">
        <f>IFERROR(__xludf.DUMMYFUNCTION("""COMPUTED_VALUE"""),1.5339E7)</f>
        <v>15339000</v>
      </c>
      <c r="K2700" s="57">
        <f>IFERROR(__xludf.DUMMYFUNCTION("""COMPUTED_VALUE"""),45246.0)</f>
        <v>45246</v>
      </c>
      <c r="L2700" s="6" t="str">
        <f>IFERROR(__xludf.DUMMYFUNCTION("""COMPUTED_VALUE"""),"FIP Engineering")</f>
        <v>FIP Engineering</v>
      </c>
      <c r="M2700" s="6" t="str">
        <f>IFERROR(__xludf.DUMMYFUNCTION("""COMPUTED_VALUE"""),"Mochammad Fadhillah Hakim")</f>
        <v>Mochammad Fadhillah Hakim</v>
      </c>
      <c r="N2700" s="6" t="str">
        <f>IFERROR(__xludf.DUMMYFUNCTION("""COMPUTED_VALUE"""),"FIP Engineering")</f>
        <v>FIP Engineering</v>
      </c>
      <c r="O2700" s="6" t="str">
        <f>IFERROR(__xludf.DUMMYFUNCTION("""COMPUTED_VALUE"""),"FIP-DOM-000-11304-OS00001-INA-000000")</f>
        <v>FIP-DOM-000-11304-OS00001-INA-000000</v>
      </c>
      <c r="P2700" s="6" t="str">
        <f>IFERROR(__xludf.DUMMYFUNCTION("""COMPUTED_VALUE"""),"PO Closed")</f>
        <v>PO Closed</v>
      </c>
      <c r="Q2700" s="6" t="str">
        <f>IFERROR(__xludf.DUMMYFUNCTION("""COMPUTED_VALUE"""),"GL2311031")</f>
        <v>GL2311031</v>
      </c>
      <c r="R2700" s="57">
        <f>IFERROR(__xludf.DUMMYFUNCTION("""COMPUTED_VALUE"""),45232.0)</f>
        <v>45232</v>
      </c>
      <c r="S2700" s="57">
        <f>IFERROR(__xludf.DUMMYFUNCTION("""COMPUTED_VALUE"""),45233.0)</f>
        <v>45233</v>
      </c>
      <c r="T2700" s="57">
        <f>IFERROR(__xludf.DUMMYFUNCTION("""COMPUTED_VALUE"""),45270.0)</f>
        <v>45270</v>
      </c>
    </row>
    <row r="2701">
      <c r="A2701" s="6" t="str">
        <f>IFERROR(__xludf.DUMMYFUNCTION("""COMPUTED_VALUE"""),"231750861-1")</f>
        <v>231750861-1</v>
      </c>
      <c r="B2701" s="6" t="str">
        <f>IFERROR(__xludf.DUMMYFUNCTION("""COMPUTED_VALUE"""),"231750861 - Approved")</f>
        <v>231750861 - Approved</v>
      </c>
      <c r="C2701" s="6">
        <f>IFERROR(__xludf.DUMMYFUNCTION("""COMPUTED_VALUE"""),1.0)</f>
        <v>1</v>
      </c>
      <c r="D2701" s="6" t="str">
        <f>IFERROR(__xludf.DUMMYFUNCTION("""COMPUTED_VALUE"""),"O-54128-00")</f>
        <v>O-54128-00</v>
      </c>
      <c r="E2701" s="6" t="str">
        <f>IFERROR(__xludf.DUMMYFUNCTION("""COMPUTED_VALUE"""),"Thermocouple 4 Channel 4 HTI HT-9815; Lokal; ;")</f>
        <v>Thermocouple 4 Channel 4 HTI HT-9815; Lokal; ;</v>
      </c>
      <c r="F2701" s="6">
        <f>IFERROR(__xludf.DUMMYFUNCTION("""COMPUTED_VALUE"""),1.0)</f>
        <v>1</v>
      </c>
      <c r="G2701" s="6" t="str">
        <f>IFERROR(__xludf.DUMMYFUNCTION("""COMPUTED_VALUE"""),"Unit")</f>
        <v>Unit</v>
      </c>
      <c r="H2701" s="6" t="str">
        <f>IFERROR(__xludf.DUMMYFUNCTION("""COMPUTED_VALUE"""),"IDR")</f>
        <v>IDR</v>
      </c>
      <c r="I2701" s="11">
        <f>IFERROR(__xludf.DUMMYFUNCTION("""COMPUTED_VALUE"""),850000.0)</f>
        <v>850000</v>
      </c>
      <c r="J2701" s="11">
        <f>IFERROR(__xludf.DUMMYFUNCTION("""COMPUTED_VALUE"""),850000.0)</f>
        <v>850000</v>
      </c>
      <c r="K2701" s="57">
        <f>IFERROR(__xludf.DUMMYFUNCTION("""COMPUTED_VALUE"""),45246.0)</f>
        <v>45246</v>
      </c>
      <c r="L2701" s="6" t="str">
        <f>IFERROR(__xludf.DUMMYFUNCTION("""COMPUTED_VALUE"""),"FIP Engineering")</f>
        <v>FIP Engineering</v>
      </c>
      <c r="M2701" s="6" t="str">
        <f>IFERROR(__xludf.DUMMYFUNCTION("""COMPUTED_VALUE"""),"Mochammad Fadhillah Hakim")</f>
        <v>Mochammad Fadhillah Hakim</v>
      </c>
      <c r="N2701" s="6" t="str">
        <f>IFERROR(__xludf.DUMMYFUNCTION("""COMPUTED_VALUE"""),"FIP Engineering")</f>
        <v>FIP Engineering</v>
      </c>
      <c r="O2701" s="6" t="str">
        <f>IFERROR(__xludf.DUMMYFUNCTION("""COMPUTED_VALUE"""),"FIP-DOM-000-11304-OS00001-INA-000000")</f>
        <v>FIP-DOM-000-11304-OS00001-INA-000000</v>
      </c>
      <c r="P2701" s="6" t="str">
        <f>IFERROR(__xludf.DUMMYFUNCTION("""COMPUTED_VALUE"""),"PO Closed")</f>
        <v>PO Closed</v>
      </c>
      <c r="Q2701" s="6" t="str">
        <f>IFERROR(__xludf.DUMMYFUNCTION("""COMPUTED_VALUE"""),"GL2312019")</f>
        <v>GL2312019</v>
      </c>
      <c r="R2701" s="57">
        <f>IFERROR(__xludf.DUMMYFUNCTION("""COMPUTED_VALUE"""),45232.0)</f>
        <v>45232</v>
      </c>
      <c r="S2701" s="57">
        <f>IFERROR(__xludf.DUMMYFUNCTION("""COMPUTED_VALUE"""),45237.0)</f>
        <v>45237</v>
      </c>
      <c r="T2701" s="57">
        <f>IFERROR(__xludf.DUMMYFUNCTION("""COMPUTED_VALUE"""),45291.0)</f>
        <v>45291</v>
      </c>
    </row>
    <row r="2702">
      <c r="A2702" s="6" t="str">
        <f>IFERROR(__xludf.DUMMYFUNCTION("""COMPUTED_VALUE"""),"231750863-1")</f>
        <v>231750863-1</v>
      </c>
      <c r="B2702" s="6" t="str">
        <f>IFERROR(__xludf.DUMMYFUNCTION("""COMPUTED_VALUE"""),"231750863 - Approved")</f>
        <v>231750863 - Approved</v>
      </c>
      <c r="C2702" s="6">
        <f>IFERROR(__xludf.DUMMYFUNCTION("""COMPUTED_VALUE"""),1.0)</f>
        <v>1</v>
      </c>
      <c r="D2702" s="6" t="str">
        <f>IFERROR(__xludf.DUMMYFUNCTION("""COMPUTED_VALUE"""),"P-50138-00")</f>
        <v>P-50138-00</v>
      </c>
      <c r="E2702" s="6" t="str">
        <f>IFERROR(__xludf.DUMMYFUNCTION("""COMPUTED_VALUE"""),"Battery Lithium / Buffer TL-2150 size 1/2 AA")</f>
        <v>Battery Lithium / Buffer TL-2150 size 1/2 AA</v>
      </c>
      <c r="F2702" s="6">
        <f>IFERROR(__xludf.DUMMYFUNCTION("""COMPUTED_VALUE"""),10.0)</f>
        <v>10</v>
      </c>
      <c r="G2702" s="6" t="str">
        <f>IFERROR(__xludf.DUMMYFUNCTION("""COMPUTED_VALUE"""),"Pieces")</f>
        <v>Pieces</v>
      </c>
      <c r="H2702" s="6" t="str">
        <f>IFERROR(__xludf.DUMMYFUNCTION("""COMPUTED_VALUE"""),"IDR")</f>
        <v>IDR</v>
      </c>
      <c r="I2702" s="11">
        <f>IFERROR(__xludf.DUMMYFUNCTION("""COMPUTED_VALUE"""),297000.0)</f>
        <v>297000</v>
      </c>
      <c r="J2702" s="11">
        <f>IFERROR(__xludf.DUMMYFUNCTION("""COMPUTED_VALUE"""),2970000.0)</f>
        <v>2970000</v>
      </c>
      <c r="K2702" s="57">
        <f>IFERROR(__xludf.DUMMYFUNCTION("""COMPUTED_VALUE"""),45246.0)</f>
        <v>45246</v>
      </c>
      <c r="L2702" s="6" t="str">
        <f>IFERROR(__xludf.DUMMYFUNCTION("""COMPUTED_VALUE"""),"FIP Engineering")</f>
        <v>FIP Engineering</v>
      </c>
      <c r="M2702" s="6" t="str">
        <f>IFERROR(__xludf.DUMMYFUNCTION("""COMPUTED_VALUE"""),"Mochammad Fadhillah Hakim")</f>
        <v>Mochammad Fadhillah Hakim</v>
      </c>
      <c r="N2702" s="6" t="str">
        <f>IFERROR(__xludf.DUMMYFUNCTION("""COMPUTED_VALUE"""),"FIP Engineering")</f>
        <v>FIP Engineering</v>
      </c>
      <c r="O2702" s="6" t="str">
        <f>IFERROR(__xludf.DUMMYFUNCTION("""COMPUTED_VALUE"""),"FIP-DOM-000-11304-OS00001-INA-000000")</f>
        <v>FIP-DOM-000-11304-OS00001-INA-000000</v>
      </c>
      <c r="P2702" s="6" t="str">
        <f>IFERROR(__xludf.DUMMYFUNCTION("""COMPUTED_VALUE"""),"PO Closed")</f>
        <v>PO Closed</v>
      </c>
      <c r="Q2702" s="6" t="str">
        <f>IFERROR(__xludf.DUMMYFUNCTION("""COMPUTED_VALUE"""),"GL2311028")</f>
        <v>GL2311028</v>
      </c>
      <c r="R2702" s="57">
        <f>IFERROR(__xludf.DUMMYFUNCTION("""COMPUTED_VALUE"""),45232.0)</f>
        <v>45232</v>
      </c>
      <c r="S2702" s="57">
        <f>IFERROR(__xludf.DUMMYFUNCTION("""COMPUTED_VALUE"""),45233.0)</f>
        <v>45233</v>
      </c>
      <c r="T2702" s="57">
        <f>IFERROR(__xludf.DUMMYFUNCTION("""COMPUTED_VALUE"""),45276.0)</f>
        <v>45276</v>
      </c>
    </row>
    <row r="2703">
      <c r="A2703" s="6" t="str">
        <f>IFERROR(__xludf.DUMMYFUNCTION("""COMPUTED_VALUE"""),"231750864-1")</f>
        <v>231750864-1</v>
      </c>
      <c r="B2703" s="6" t="str">
        <f>IFERROR(__xludf.DUMMYFUNCTION("""COMPUTED_VALUE"""),"231750864 - Approved")</f>
        <v>231750864 - Approved</v>
      </c>
      <c r="C2703" s="6">
        <f>IFERROR(__xludf.DUMMYFUNCTION("""COMPUTED_VALUE"""),1.0)</f>
        <v>1</v>
      </c>
      <c r="D2703" s="6" t="str">
        <f>IFERROR(__xludf.DUMMYFUNCTION("""COMPUTED_VALUE"""),"O-19379-00")</f>
        <v>O-19379-00</v>
      </c>
      <c r="E2703" s="6" t="str">
        <f>IFERROR(__xludf.DUMMYFUNCTION("""COMPUTED_VALUE"""),"Oli Refrigeration; Xaerus; XR 534-46;")</f>
        <v>Oli Refrigeration; Xaerus; XR 534-46;</v>
      </c>
      <c r="F2703" s="6">
        <f>IFERROR(__xludf.DUMMYFUNCTION("""COMPUTED_VALUE"""),10.0)</f>
        <v>10</v>
      </c>
      <c r="G2703" s="6" t="str">
        <f>IFERROR(__xludf.DUMMYFUNCTION("""COMPUTED_VALUE"""),"Can")</f>
        <v>Can</v>
      </c>
      <c r="H2703" s="6" t="str">
        <f>IFERROR(__xludf.DUMMYFUNCTION("""COMPUTED_VALUE"""),"IDR")</f>
        <v>IDR</v>
      </c>
      <c r="I2703" s="11">
        <f>IFERROR(__xludf.DUMMYFUNCTION("""COMPUTED_VALUE"""),1800000.0)</f>
        <v>1800000</v>
      </c>
      <c r="J2703" s="11">
        <f>IFERROR(__xludf.DUMMYFUNCTION("""COMPUTED_VALUE"""),1.8E7)</f>
        <v>18000000</v>
      </c>
      <c r="K2703" s="57">
        <f>IFERROR(__xludf.DUMMYFUNCTION("""COMPUTED_VALUE"""),45247.0)</f>
        <v>45247</v>
      </c>
      <c r="L2703" s="6" t="str">
        <f>IFERROR(__xludf.DUMMYFUNCTION("""COMPUTED_VALUE"""),"FIP Engineering")</f>
        <v>FIP Engineering</v>
      </c>
      <c r="M2703" s="6" t="str">
        <f>IFERROR(__xludf.DUMMYFUNCTION("""COMPUTED_VALUE"""),"Mochammad Fadhillah Hakim")</f>
        <v>Mochammad Fadhillah Hakim</v>
      </c>
      <c r="N2703" s="6" t="str">
        <f>IFERROR(__xludf.DUMMYFUNCTION("""COMPUTED_VALUE"""),"FIP Engineering")</f>
        <v>FIP Engineering</v>
      </c>
      <c r="O2703" s="6" t="str">
        <f>IFERROR(__xludf.DUMMYFUNCTION("""COMPUTED_VALUE"""),"FIP-DOM-000-11304-OS00001-INA-000000")</f>
        <v>FIP-DOM-000-11304-OS00001-INA-000000</v>
      </c>
      <c r="P2703" s="6" t="str">
        <f>IFERROR(__xludf.DUMMYFUNCTION("""COMPUTED_VALUE"""),"PO Closed")</f>
        <v>PO Closed</v>
      </c>
      <c r="Q2703" s="6" t="str">
        <f>IFERROR(__xludf.DUMMYFUNCTION("""COMPUTED_VALUE"""),"GL2312016")</f>
        <v>GL2312016</v>
      </c>
      <c r="R2703" s="57">
        <f>IFERROR(__xludf.DUMMYFUNCTION("""COMPUTED_VALUE"""),45233.0)</f>
        <v>45233</v>
      </c>
      <c r="S2703" s="57">
        <f>IFERROR(__xludf.DUMMYFUNCTION("""COMPUTED_VALUE"""),45240.0)</f>
        <v>45240</v>
      </c>
      <c r="T2703" s="57">
        <f>IFERROR(__xludf.DUMMYFUNCTION("""COMPUTED_VALUE"""),45280.0)</f>
        <v>45280</v>
      </c>
    </row>
    <row r="2704">
      <c r="A2704" s="6" t="str">
        <f>IFERROR(__xludf.DUMMYFUNCTION("""COMPUTED_VALUE"""),"231750877-1")</f>
        <v>231750877-1</v>
      </c>
      <c r="B2704" s="6" t="str">
        <f>IFERROR(__xludf.DUMMYFUNCTION("""COMPUTED_VALUE"""),"231750877 - Approved")</f>
        <v>231750877 - Approved</v>
      </c>
      <c r="C2704" s="6">
        <f>IFERROR(__xludf.DUMMYFUNCTION("""COMPUTED_VALUE"""),1.0)</f>
        <v>1</v>
      </c>
      <c r="D2704" s="6" t="str">
        <f>IFERROR(__xludf.DUMMYFUNCTION("""COMPUTED_VALUE"""),"P-12830-00")</f>
        <v>P-12830-00</v>
      </c>
      <c r="E2704" s="6" t="str">
        <f>IFERROR(__xludf.DUMMYFUNCTION("""COMPUTED_VALUE"""),"Sodium metabisulfit")</f>
        <v>Sodium metabisulfit</v>
      </c>
      <c r="F2704" s="6">
        <f>IFERROR(__xludf.DUMMYFUNCTION("""COMPUTED_VALUE"""),4.0)</f>
        <v>4</v>
      </c>
      <c r="G2704" s="6" t="str">
        <f>IFERROR(__xludf.DUMMYFUNCTION("""COMPUTED_VALUE"""),"Pieces")</f>
        <v>Pieces</v>
      </c>
      <c r="H2704" s="6" t="str">
        <f>IFERROR(__xludf.DUMMYFUNCTION("""COMPUTED_VALUE"""),"IDR")</f>
        <v>IDR</v>
      </c>
      <c r="I2704" s="11">
        <f>IFERROR(__xludf.DUMMYFUNCTION("""COMPUTED_VALUE"""),550000.0)</f>
        <v>550000</v>
      </c>
      <c r="J2704" s="11">
        <f>IFERROR(__xludf.DUMMYFUNCTION("""COMPUTED_VALUE"""),2200000.0)</f>
        <v>2200000</v>
      </c>
      <c r="K2704" s="57">
        <f>IFERROR(__xludf.DUMMYFUNCTION("""COMPUTED_VALUE"""),45253.0)</f>
        <v>45253</v>
      </c>
      <c r="L2704" s="6" t="str">
        <f>IFERROR(__xludf.DUMMYFUNCTION("""COMPUTED_VALUE"""),"FIP Engineering")</f>
        <v>FIP Engineering</v>
      </c>
      <c r="M2704" s="6" t="str">
        <f>IFERROR(__xludf.DUMMYFUNCTION("""COMPUTED_VALUE"""),"Mochammad Fadhillah Hakim")</f>
        <v>Mochammad Fadhillah Hakim</v>
      </c>
      <c r="N2704" s="6" t="str">
        <f>IFERROR(__xludf.DUMMYFUNCTION("""COMPUTED_VALUE"""),"FIP Engineering")</f>
        <v>FIP Engineering</v>
      </c>
      <c r="O2704" s="6" t="str">
        <f>IFERROR(__xludf.DUMMYFUNCTION("""COMPUTED_VALUE"""),"FIP-DOM-000-11304-OS00001-INA-000000")</f>
        <v>FIP-DOM-000-11304-OS00001-INA-000000</v>
      </c>
      <c r="P2704" s="6" t="str">
        <f>IFERROR(__xludf.DUMMYFUNCTION("""COMPUTED_VALUE"""),"PO Closed")</f>
        <v>PO Closed</v>
      </c>
      <c r="Q2704" s="6" t="str">
        <f>IFERROR(__xludf.DUMMYFUNCTION("""COMPUTED_VALUE"""),"GL2312038")</f>
        <v>GL2312038</v>
      </c>
      <c r="R2704" s="57">
        <f>IFERROR(__xludf.DUMMYFUNCTION("""COMPUTED_VALUE"""),45239.0)</f>
        <v>45239</v>
      </c>
      <c r="S2704" s="57">
        <f>IFERROR(__xludf.DUMMYFUNCTION("""COMPUTED_VALUE"""),45240.0)</f>
        <v>45240</v>
      </c>
      <c r="T2704" s="57">
        <f>IFERROR(__xludf.DUMMYFUNCTION("""COMPUTED_VALUE"""),45291.0)</f>
        <v>45291</v>
      </c>
    </row>
    <row r="2705">
      <c r="A2705" s="6" t="str">
        <f>IFERROR(__xludf.DUMMYFUNCTION("""COMPUTED_VALUE"""),"231750879-1")</f>
        <v>231750879-1</v>
      </c>
      <c r="B2705" s="6" t="str">
        <f>IFERROR(__xludf.DUMMYFUNCTION("""COMPUTED_VALUE"""),"231750879 - Approved")</f>
        <v>231750879 - Approved</v>
      </c>
      <c r="C2705" s="6">
        <f>IFERROR(__xludf.DUMMYFUNCTION("""COMPUTED_VALUE"""),1.0)</f>
        <v>1</v>
      </c>
      <c r="D2705" s="6" t="str">
        <f>IFERROR(__xludf.DUMMYFUNCTION("""COMPUTED_VALUE"""),"S-60002-00")</f>
        <v>S-60002-00</v>
      </c>
      <c r="E2705" s="6" t="str">
        <f>IFERROR(__xludf.DUMMYFUNCTION("""COMPUTED_VALUE"""),"Jasa Perbaikan dan Pemeliharaan Mesin Utility - Repair Pompa Condensat")</f>
        <v>Jasa Perbaikan dan Pemeliharaan Mesin Utility - Repair Pompa Condensat</v>
      </c>
      <c r="F2705" s="6">
        <f>IFERROR(__xludf.DUMMYFUNCTION("""COMPUTED_VALUE"""),1.0)</f>
        <v>1</v>
      </c>
      <c r="G2705" s="6" t="str">
        <f>IFERROR(__xludf.DUMMYFUNCTION("""COMPUTED_VALUE"""),"Lot")</f>
        <v>Lot</v>
      </c>
      <c r="H2705" s="6" t="str">
        <f>IFERROR(__xludf.DUMMYFUNCTION("""COMPUTED_VALUE"""),"IDR")</f>
        <v>IDR</v>
      </c>
      <c r="I2705" s="11">
        <f>IFERROR(__xludf.DUMMYFUNCTION("""COMPUTED_VALUE"""),3520000.0)</f>
        <v>3520000</v>
      </c>
      <c r="J2705" s="11">
        <f>IFERROR(__xludf.DUMMYFUNCTION("""COMPUTED_VALUE"""),3520000.0)</f>
        <v>3520000</v>
      </c>
      <c r="K2705" s="57">
        <f>IFERROR(__xludf.DUMMYFUNCTION("""COMPUTED_VALUE"""),45254.0)</f>
        <v>45254</v>
      </c>
      <c r="L2705" s="6" t="str">
        <f>IFERROR(__xludf.DUMMYFUNCTION("""COMPUTED_VALUE"""),"FIP General")</f>
        <v>FIP General</v>
      </c>
      <c r="M2705" s="6" t="str">
        <f>IFERROR(__xludf.DUMMYFUNCTION("""COMPUTED_VALUE"""),"Mochammad Fadhillah Hakim")</f>
        <v>Mochammad Fadhillah Hakim</v>
      </c>
      <c r="N2705" s="6" t="str">
        <f>IFERROR(__xludf.DUMMYFUNCTION("""COMPUTED_VALUE"""),"FIP Engineering")</f>
        <v>FIP Engineering</v>
      </c>
      <c r="O2705" s="6" t="str">
        <f>IFERROR(__xludf.DUMMYFUNCTION("""COMPUTED_VALUE"""),"FIP-DOM-ENG-51508-0000000-INA-000000")</f>
        <v>FIP-DOM-ENG-51508-0000000-INA-000000</v>
      </c>
      <c r="P2705" s="6" t="str">
        <f>IFERROR(__xludf.DUMMYFUNCTION("""COMPUTED_VALUE"""),"PO Closed")</f>
        <v>PO Closed</v>
      </c>
      <c r="Q2705" s="6" t="str">
        <f>IFERROR(__xludf.DUMMYFUNCTION("""COMPUTED_VALUE"""),"GL2312041")</f>
        <v>GL2312041</v>
      </c>
      <c r="R2705" s="57">
        <f>IFERROR(__xludf.DUMMYFUNCTION("""COMPUTED_VALUE"""),45240.0)</f>
        <v>45240</v>
      </c>
      <c r="S2705" s="57">
        <f>IFERROR(__xludf.DUMMYFUNCTION("""COMPUTED_VALUE"""),45247.0)</f>
        <v>45247</v>
      </c>
      <c r="T2705" s="57">
        <f>IFERROR(__xludf.DUMMYFUNCTION("""COMPUTED_VALUE"""),45296.0)</f>
        <v>45296</v>
      </c>
    </row>
    <row r="2706">
      <c r="A2706" s="6" t="str">
        <f>IFERROR(__xludf.DUMMYFUNCTION("""COMPUTED_VALUE"""),"231750880-1")</f>
        <v>231750880-1</v>
      </c>
      <c r="B2706" s="6" t="str">
        <f>IFERROR(__xludf.DUMMYFUNCTION("""COMPUTED_VALUE"""),"231750880 - Approved")</f>
        <v>231750880 - Approved</v>
      </c>
      <c r="C2706" s="6">
        <f>IFERROR(__xludf.DUMMYFUNCTION("""COMPUTED_VALUE"""),1.0)</f>
        <v>1</v>
      </c>
      <c r="D2706" s="6" t="str">
        <f>IFERROR(__xludf.DUMMYFUNCTION("""COMPUTED_VALUE"""),"S-60050-00")</f>
        <v>S-60050-00</v>
      </c>
      <c r="E2706" s="6" t="str">
        <f>IFERROR(__xludf.DUMMYFUNCTION("""COMPUTED_VALUE"""),"Jasa Perbaikan dan Pemeliharaan Mesin Produksi; ; ; - Untuk repair fan condenser CC stability")</f>
        <v>Jasa Perbaikan dan Pemeliharaan Mesin Produksi; ; ; - Untuk repair fan condenser CC stability</v>
      </c>
      <c r="F2706" s="6">
        <f>IFERROR(__xludf.DUMMYFUNCTION("""COMPUTED_VALUE"""),1.0)</f>
        <v>1</v>
      </c>
      <c r="G2706" s="6" t="str">
        <f>IFERROR(__xludf.DUMMYFUNCTION("""COMPUTED_VALUE"""),"Pieces")</f>
        <v>Pieces</v>
      </c>
      <c r="H2706" s="6" t="str">
        <f>IFERROR(__xludf.DUMMYFUNCTION("""COMPUTED_VALUE"""),"IDR")</f>
        <v>IDR</v>
      </c>
      <c r="I2706" s="11">
        <f>IFERROR(__xludf.DUMMYFUNCTION("""COMPUTED_VALUE"""),450000.0)</f>
        <v>450000</v>
      </c>
      <c r="J2706" s="11">
        <f>IFERROR(__xludf.DUMMYFUNCTION("""COMPUTED_VALUE"""),450000.0)</f>
        <v>450000</v>
      </c>
      <c r="K2706" s="57">
        <f>IFERROR(__xludf.DUMMYFUNCTION("""COMPUTED_VALUE"""),45254.0)</f>
        <v>45254</v>
      </c>
      <c r="L2706" s="6" t="str">
        <f>IFERROR(__xludf.DUMMYFUNCTION("""COMPUTED_VALUE"""),"FIP General")</f>
        <v>FIP General</v>
      </c>
      <c r="M2706" s="6" t="str">
        <f>IFERROR(__xludf.DUMMYFUNCTION("""COMPUTED_VALUE"""),"Mochammad Fadhillah Hakim")</f>
        <v>Mochammad Fadhillah Hakim</v>
      </c>
      <c r="N2706" s="6" t="str">
        <f>IFERROR(__xludf.DUMMYFUNCTION("""COMPUTED_VALUE"""),"FIP Engineering")</f>
        <v>FIP Engineering</v>
      </c>
      <c r="O2706" s="6" t="str">
        <f>IFERROR(__xludf.DUMMYFUNCTION("""COMPUTED_VALUE"""),"FIP-DOM-ENG-51504-0000000-INA-000000")</f>
        <v>FIP-DOM-ENG-51504-0000000-INA-000000</v>
      </c>
      <c r="P2706" s="6" t="str">
        <f>IFERROR(__xludf.DUMMYFUNCTION("""COMPUTED_VALUE"""),"PO Closed")</f>
        <v>PO Closed</v>
      </c>
      <c r="Q2706" s="6" t="str">
        <f>IFERROR(__xludf.DUMMYFUNCTION("""COMPUTED_VALUE"""),"GL2312041")</f>
        <v>GL2312041</v>
      </c>
      <c r="R2706" s="57">
        <f>IFERROR(__xludf.DUMMYFUNCTION("""COMPUTED_VALUE"""),45240.0)</f>
        <v>45240</v>
      </c>
      <c r="S2706" s="57">
        <f>IFERROR(__xludf.DUMMYFUNCTION("""COMPUTED_VALUE"""),45247.0)</f>
        <v>45247</v>
      </c>
      <c r="T2706" s="57">
        <f>IFERROR(__xludf.DUMMYFUNCTION("""COMPUTED_VALUE"""),45296.0)</f>
        <v>45296</v>
      </c>
    </row>
    <row r="2707">
      <c r="A2707" s="6" t="str">
        <f>IFERROR(__xludf.DUMMYFUNCTION("""COMPUTED_VALUE"""),"231750881-1")</f>
        <v>231750881-1</v>
      </c>
      <c r="B2707" s="6" t="str">
        <f>IFERROR(__xludf.DUMMYFUNCTION("""COMPUTED_VALUE"""),"231750881 - Approved")</f>
        <v>231750881 - Approved</v>
      </c>
      <c r="C2707" s="6">
        <f>IFERROR(__xludf.DUMMYFUNCTION("""COMPUTED_VALUE"""),1.0)</f>
        <v>1</v>
      </c>
      <c r="D2707" s="6" t="str">
        <f>IFERROR(__xludf.DUMMYFUNCTION("""COMPUTED_VALUE"""),"Q-10134-00")</f>
        <v>Q-10134-00</v>
      </c>
      <c r="E2707" s="6" t="str">
        <f>IFERROR(__xludf.DUMMYFUNCTION("""COMPUTED_VALUE"""),"Jasa Perbaikan dan Pemeliharaan Mesin Produksi; ; ; - Untuk repair fan condenser CC stability")</f>
        <v>Jasa Perbaikan dan Pemeliharaan Mesin Produksi; ; ; - Untuk repair fan condenser CC stability</v>
      </c>
      <c r="F2707" s="6">
        <f>IFERROR(__xludf.DUMMYFUNCTION("""COMPUTED_VALUE"""),10.0)</f>
        <v>10</v>
      </c>
      <c r="G2707" s="6" t="str">
        <f>IFERROR(__xludf.DUMMYFUNCTION("""COMPUTED_VALUE"""),"Pieces")</f>
        <v>Pieces</v>
      </c>
      <c r="H2707" s="6" t="str">
        <f>IFERROR(__xludf.DUMMYFUNCTION("""COMPUTED_VALUE"""),"IDR")</f>
        <v>IDR</v>
      </c>
      <c r="I2707" s="11">
        <f>IFERROR(__xludf.DUMMYFUNCTION("""COMPUTED_VALUE"""),469000.0)</f>
        <v>469000</v>
      </c>
      <c r="J2707" s="11">
        <f>IFERROR(__xludf.DUMMYFUNCTION("""COMPUTED_VALUE"""),4690000.0)</f>
        <v>4690000</v>
      </c>
      <c r="K2707" s="57">
        <f>IFERROR(__xludf.DUMMYFUNCTION("""COMPUTED_VALUE"""),45254.0)</f>
        <v>45254</v>
      </c>
      <c r="L2707" s="6" t="str">
        <f>IFERROR(__xludf.DUMMYFUNCTION("""COMPUTED_VALUE"""),"FIP Engineering")</f>
        <v>FIP Engineering</v>
      </c>
      <c r="M2707" s="6" t="str">
        <f>IFERROR(__xludf.DUMMYFUNCTION("""COMPUTED_VALUE"""),"Mochammad Fadhillah Hakim")</f>
        <v>Mochammad Fadhillah Hakim</v>
      </c>
      <c r="N2707" s="6" t="str">
        <f>IFERROR(__xludf.DUMMYFUNCTION("""COMPUTED_VALUE"""),"FIP Engineering")</f>
        <v>FIP Engineering</v>
      </c>
      <c r="O2707" s="6" t="str">
        <f>IFERROR(__xludf.DUMMYFUNCTION("""COMPUTED_VALUE"""),"FIP-DOM-000-11304-OS00001-INA-000000")</f>
        <v>FIP-DOM-000-11304-OS00001-INA-000000</v>
      </c>
      <c r="P2707" s="6" t="str">
        <f>IFERROR(__xludf.DUMMYFUNCTION("""COMPUTED_VALUE"""),"PO Closed")</f>
        <v>PO Closed</v>
      </c>
      <c r="Q2707" s="6" t="str">
        <f>IFERROR(__xludf.DUMMYFUNCTION("""COMPUTED_VALUE"""),"GL2311323")</f>
        <v>GL2311323</v>
      </c>
      <c r="R2707" s="57">
        <f>IFERROR(__xludf.DUMMYFUNCTION("""COMPUTED_VALUE"""),45240.0)</f>
        <v>45240</v>
      </c>
      <c r="S2707" s="57">
        <f>IFERROR(__xludf.DUMMYFUNCTION("""COMPUTED_VALUE"""),45244.0)</f>
        <v>45244</v>
      </c>
      <c r="T2707" s="57">
        <f>IFERROR(__xludf.DUMMYFUNCTION("""COMPUTED_VALUE"""),45275.0)</f>
        <v>45275</v>
      </c>
    </row>
    <row r="2708">
      <c r="A2708" s="6" t="str">
        <f>IFERROR(__xludf.DUMMYFUNCTION("""COMPUTED_VALUE"""),"231750883-1")</f>
        <v>231750883-1</v>
      </c>
      <c r="B2708" s="6" t="str">
        <f>IFERROR(__xludf.DUMMYFUNCTION("""COMPUTED_VALUE"""),"231750883 - Approved")</f>
        <v>231750883 - Approved</v>
      </c>
      <c r="C2708" s="6">
        <f>IFERROR(__xludf.DUMMYFUNCTION("""COMPUTED_VALUE"""),1.0)</f>
        <v>1</v>
      </c>
      <c r="D2708" s="6" t="str">
        <f>IFERROR(__xludf.DUMMYFUNCTION("""COMPUTED_VALUE"""),"S-60050-00")</f>
        <v>S-60050-00</v>
      </c>
      <c r="E2708" s="6" t="str">
        <f>IFERROR(__xludf.DUMMYFUNCTION("""COMPUTED_VALUE"""),"Jasa Perbaikan dan Pemeliharaan Mesin Produksi; ; ; - Untuk modifikasi lemari roller area capping")</f>
        <v>Jasa Perbaikan dan Pemeliharaan Mesin Produksi; ; ; - Untuk modifikasi lemari roller area capping</v>
      </c>
      <c r="F2708" s="6">
        <f>IFERROR(__xludf.DUMMYFUNCTION("""COMPUTED_VALUE"""),1.0)</f>
        <v>1</v>
      </c>
      <c r="G2708" s="6" t="str">
        <f>IFERROR(__xludf.DUMMYFUNCTION("""COMPUTED_VALUE"""),"Pieces")</f>
        <v>Pieces</v>
      </c>
      <c r="H2708" s="6" t="str">
        <f>IFERROR(__xludf.DUMMYFUNCTION("""COMPUTED_VALUE"""),"IDR")</f>
        <v>IDR</v>
      </c>
      <c r="I2708" s="11">
        <f>IFERROR(__xludf.DUMMYFUNCTION("""COMPUTED_VALUE"""),3275000.0)</f>
        <v>3275000</v>
      </c>
      <c r="J2708" s="11">
        <f>IFERROR(__xludf.DUMMYFUNCTION("""COMPUTED_VALUE"""),3275000.0)</f>
        <v>3275000</v>
      </c>
      <c r="K2708" s="57">
        <f>IFERROR(__xludf.DUMMYFUNCTION("""COMPUTED_VALUE"""),45254.0)</f>
        <v>45254</v>
      </c>
      <c r="L2708" s="6" t="str">
        <f>IFERROR(__xludf.DUMMYFUNCTION("""COMPUTED_VALUE"""),"FIP General")</f>
        <v>FIP General</v>
      </c>
      <c r="M2708" s="6" t="str">
        <f>IFERROR(__xludf.DUMMYFUNCTION("""COMPUTED_VALUE"""),"Mochammad Fadhillah Hakim")</f>
        <v>Mochammad Fadhillah Hakim</v>
      </c>
      <c r="N2708" s="6" t="str">
        <f>IFERROR(__xludf.DUMMYFUNCTION("""COMPUTED_VALUE"""),"FIP Engineering")</f>
        <v>FIP Engineering</v>
      </c>
      <c r="O2708" s="6" t="str">
        <f>IFERROR(__xludf.DUMMYFUNCTION("""COMPUTED_VALUE"""),"FIP-DOM-ENG-51504-0000000-INA-000000")</f>
        <v>FIP-DOM-ENG-51504-0000000-INA-000000</v>
      </c>
      <c r="P2708" s="6" t="str">
        <f>IFERROR(__xludf.DUMMYFUNCTION("""COMPUTED_VALUE"""),"PO Closed")</f>
        <v>PO Closed</v>
      </c>
      <c r="Q2708" s="6" t="str">
        <f>IFERROR(__xludf.DUMMYFUNCTION("""COMPUTED_VALUE"""),"GL2312049")</f>
        <v>GL2312049</v>
      </c>
      <c r="R2708" s="57">
        <f>IFERROR(__xludf.DUMMYFUNCTION("""COMPUTED_VALUE"""),45240.0)</f>
        <v>45240</v>
      </c>
      <c r="S2708" s="57">
        <f>IFERROR(__xludf.DUMMYFUNCTION("""COMPUTED_VALUE"""),45260.0)</f>
        <v>45260</v>
      </c>
      <c r="T2708" s="57">
        <f>IFERROR(__xludf.DUMMYFUNCTION("""COMPUTED_VALUE"""),45322.0)</f>
        <v>45322</v>
      </c>
    </row>
    <row r="2709">
      <c r="A2709" s="6" t="str">
        <f>IFERROR(__xludf.DUMMYFUNCTION("""COMPUTED_VALUE"""),"231750884-1")</f>
        <v>231750884-1</v>
      </c>
      <c r="B2709" s="6" t="str">
        <f>IFERROR(__xludf.DUMMYFUNCTION("""COMPUTED_VALUE"""),"231750884 - Approved")</f>
        <v>231750884 - Approved</v>
      </c>
      <c r="C2709" s="6">
        <f>IFERROR(__xludf.DUMMYFUNCTION("""COMPUTED_VALUE"""),1.0)</f>
        <v>1</v>
      </c>
      <c r="D2709" s="6" t="str">
        <f>IFERROR(__xludf.DUMMYFUNCTION("""COMPUTED_VALUE"""),"P-12944-00")</f>
        <v>P-12944-00</v>
      </c>
      <c r="E2709" s="6" t="str">
        <f>IFERROR(__xludf.DUMMYFUNCTION("""COMPUTED_VALUE"""),"Water mur PVC dia 2inch")</f>
        <v>Water mur PVC dia 2inch</v>
      </c>
      <c r="F2709" s="6">
        <f>IFERROR(__xludf.DUMMYFUNCTION("""COMPUTED_VALUE"""),20.0)</f>
        <v>20</v>
      </c>
      <c r="G2709" s="6" t="str">
        <f>IFERROR(__xludf.DUMMYFUNCTION("""COMPUTED_VALUE"""),"Pieces")</f>
        <v>Pieces</v>
      </c>
      <c r="H2709" s="6" t="str">
        <f>IFERROR(__xludf.DUMMYFUNCTION("""COMPUTED_VALUE"""),"IDR")</f>
        <v>IDR</v>
      </c>
      <c r="I2709" s="11">
        <f>IFERROR(__xludf.DUMMYFUNCTION("""COMPUTED_VALUE"""),58000.0)</f>
        <v>58000</v>
      </c>
      <c r="J2709" s="11">
        <f>IFERROR(__xludf.DUMMYFUNCTION("""COMPUTED_VALUE"""),1160000.0)</f>
        <v>1160000</v>
      </c>
      <c r="K2709" s="57">
        <f>IFERROR(__xludf.DUMMYFUNCTION("""COMPUTED_VALUE"""),45257.0)</f>
        <v>45257</v>
      </c>
      <c r="L2709" s="6" t="str">
        <f>IFERROR(__xludf.DUMMYFUNCTION("""COMPUTED_VALUE"""),"FIP Engineering")</f>
        <v>FIP Engineering</v>
      </c>
      <c r="M2709" s="6" t="str">
        <f>IFERROR(__xludf.DUMMYFUNCTION("""COMPUTED_VALUE"""),"Mochammad Fadhillah Hakim")</f>
        <v>Mochammad Fadhillah Hakim</v>
      </c>
      <c r="N2709" s="6" t="str">
        <f>IFERROR(__xludf.DUMMYFUNCTION("""COMPUTED_VALUE"""),"FIP Engineering")</f>
        <v>FIP Engineering</v>
      </c>
      <c r="O2709" s="6" t="str">
        <f>IFERROR(__xludf.DUMMYFUNCTION("""COMPUTED_VALUE"""),"FIP-DOM-000-11304-OS00001-INA-000000")</f>
        <v>FIP-DOM-000-11304-OS00001-INA-000000</v>
      </c>
      <c r="P2709" s="6" t="str">
        <f>IFERROR(__xludf.DUMMYFUNCTION("""COMPUTED_VALUE"""),"PO Closed")</f>
        <v>PO Closed</v>
      </c>
      <c r="Q2709" s="6" t="str">
        <f>IFERROR(__xludf.DUMMYFUNCTION("""COMPUTED_VALUE"""),"GL2312031")</f>
        <v>GL2312031</v>
      </c>
      <c r="R2709" s="57">
        <f>IFERROR(__xludf.DUMMYFUNCTION("""COMPUTED_VALUE"""),45243.0)</f>
        <v>45243</v>
      </c>
      <c r="S2709" s="57">
        <f>IFERROR(__xludf.DUMMYFUNCTION("""COMPUTED_VALUE"""),45244.0)</f>
        <v>45244</v>
      </c>
      <c r="T2709" s="57">
        <f>IFERROR(__xludf.DUMMYFUNCTION("""COMPUTED_VALUE"""),45291.0)</f>
        <v>45291</v>
      </c>
    </row>
    <row r="2710">
      <c r="A2710" s="6" t="str">
        <f>IFERROR(__xludf.DUMMYFUNCTION("""COMPUTED_VALUE"""),"231750884-2")</f>
        <v>231750884-2</v>
      </c>
      <c r="B2710" s="6" t="str">
        <f>IFERROR(__xludf.DUMMYFUNCTION("""COMPUTED_VALUE"""),"231750884 - Approved")</f>
        <v>231750884 - Approved</v>
      </c>
      <c r="C2710" s="6">
        <f>IFERROR(__xludf.DUMMYFUNCTION("""COMPUTED_VALUE"""),2.0)</f>
        <v>2</v>
      </c>
      <c r="D2710" s="6" t="str">
        <f>IFERROR(__xludf.DUMMYFUNCTION("""COMPUTED_VALUE"""),"P-12751-00")</f>
        <v>P-12751-00</v>
      </c>
      <c r="E2710" s="6" t="str">
        <f>IFERROR(__xludf.DUMMYFUNCTION("""COMPUTED_VALUE"""),"RUCIKA - Pipa PVC AW dia 2 inch Warna Abu-Abu")</f>
        <v>RUCIKA - Pipa PVC AW dia 2 inch Warna Abu-Abu</v>
      </c>
      <c r="F2710" s="6">
        <f>IFERROR(__xludf.DUMMYFUNCTION("""COMPUTED_VALUE"""),4.0)</f>
        <v>4</v>
      </c>
      <c r="G2710" s="6" t="str">
        <f>IFERROR(__xludf.DUMMYFUNCTION("""COMPUTED_VALUE"""),"Pieces")</f>
        <v>Pieces</v>
      </c>
      <c r="H2710" s="6" t="str">
        <f>IFERROR(__xludf.DUMMYFUNCTION("""COMPUTED_VALUE"""),"IDR")</f>
        <v>IDR</v>
      </c>
      <c r="I2710" s="11">
        <f>IFERROR(__xludf.DUMMYFUNCTION("""COMPUTED_VALUE"""),184000.0)</f>
        <v>184000</v>
      </c>
      <c r="J2710" s="11">
        <f>IFERROR(__xludf.DUMMYFUNCTION("""COMPUTED_VALUE"""),736000.0)</f>
        <v>736000</v>
      </c>
      <c r="K2710" s="57">
        <f>IFERROR(__xludf.DUMMYFUNCTION("""COMPUTED_VALUE"""),45257.0)</f>
        <v>45257</v>
      </c>
      <c r="L2710" s="6" t="str">
        <f>IFERROR(__xludf.DUMMYFUNCTION("""COMPUTED_VALUE"""),"FIP Engineering")</f>
        <v>FIP Engineering</v>
      </c>
      <c r="M2710" s="6" t="str">
        <f>IFERROR(__xludf.DUMMYFUNCTION("""COMPUTED_VALUE"""),"Mochammad Fadhillah Hakim")</f>
        <v>Mochammad Fadhillah Hakim</v>
      </c>
      <c r="N2710" s="6" t="str">
        <f>IFERROR(__xludf.DUMMYFUNCTION("""COMPUTED_VALUE"""),"FIP Engineering")</f>
        <v>FIP Engineering</v>
      </c>
      <c r="O2710" s="6" t="str">
        <f>IFERROR(__xludf.DUMMYFUNCTION("""COMPUTED_VALUE"""),"FIP-DOM-000-11304-OS00001-INA-000000")</f>
        <v>FIP-DOM-000-11304-OS00001-INA-000000</v>
      </c>
      <c r="P2710" s="6" t="str">
        <f>IFERROR(__xludf.DUMMYFUNCTION("""COMPUTED_VALUE"""),"PO Closed")</f>
        <v>PO Closed</v>
      </c>
      <c r="Q2710" s="6" t="str">
        <f>IFERROR(__xludf.DUMMYFUNCTION("""COMPUTED_VALUE"""),"GL2312031")</f>
        <v>GL2312031</v>
      </c>
      <c r="R2710" s="57">
        <f>IFERROR(__xludf.DUMMYFUNCTION("""COMPUTED_VALUE"""),45243.0)</f>
        <v>45243</v>
      </c>
      <c r="S2710" s="57">
        <f>IFERROR(__xludf.DUMMYFUNCTION("""COMPUTED_VALUE"""),45244.0)</f>
        <v>45244</v>
      </c>
      <c r="T2710" s="57">
        <f>IFERROR(__xludf.DUMMYFUNCTION("""COMPUTED_VALUE"""),45291.0)</f>
        <v>45291</v>
      </c>
    </row>
    <row r="2711">
      <c r="A2711" s="6" t="str">
        <f>IFERROR(__xludf.DUMMYFUNCTION("""COMPUTED_VALUE"""),"231750885-1")</f>
        <v>231750885-1</v>
      </c>
      <c r="B2711" s="6" t="str">
        <f>IFERROR(__xludf.DUMMYFUNCTION("""COMPUTED_VALUE"""),"231750885 - Approved")</f>
        <v>231750885 - Approved</v>
      </c>
      <c r="C2711" s="6">
        <f>IFERROR(__xludf.DUMMYFUNCTION("""COMPUTED_VALUE"""),1.0)</f>
        <v>1</v>
      </c>
      <c r="D2711" s="6" t="str">
        <f>IFERROR(__xludf.DUMMYFUNCTION("""COMPUTED_VALUE"""),"P-53362-00")</f>
        <v>P-53362-00</v>
      </c>
      <c r="E2711" s="6" t="str">
        <f>IFERROR(__xludf.DUMMYFUNCTION("""COMPUTED_VALUE"""),"Contactor Schneider LC1D09M7 Coil 220 VAC; ; ;")</f>
        <v>Contactor Schneider LC1D09M7 Coil 220 VAC; ; ;</v>
      </c>
      <c r="F2711" s="6">
        <f>IFERROR(__xludf.DUMMYFUNCTION("""COMPUTED_VALUE"""),1.0)</f>
        <v>1</v>
      </c>
      <c r="G2711" s="6" t="str">
        <f>IFERROR(__xludf.DUMMYFUNCTION("""COMPUTED_VALUE"""),"Pieces")</f>
        <v>Pieces</v>
      </c>
      <c r="H2711" s="6" t="str">
        <f>IFERROR(__xludf.DUMMYFUNCTION("""COMPUTED_VALUE"""),"IDR")</f>
        <v>IDR</v>
      </c>
      <c r="I2711" s="11">
        <f>IFERROR(__xludf.DUMMYFUNCTION("""COMPUTED_VALUE"""),152250.0)</f>
        <v>152250</v>
      </c>
      <c r="J2711" s="11">
        <f>IFERROR(__xludf.DUMMYFUNCTION("""COMPUTED_VALUE"""),152250.0)</f>
        <v>152250</v>
      </c>
      <c r="K2711" s="57">
        <f>IFERROR(__xludf.DUMMYFUNCTION("""COMPUTED_VALUE"""),45257.0)</f>
        <v>45257</v>
      </c>
      <c r="L2711" s="6" t="str">
        <f>IFERROR(__xludf.DUMMYFUNCTION("""COMPUTED_VALUE"""),"FIP Engineering")</f>
        <v>FIP Engineering</v>
      </c>
      <c r="M2711" s="6" t="str">
        <f>IFERROR(__xludf.DUMMYFUNCTION("""COMPUTED_VALUE"""),"Mochammad Fadhillah Hakim")</f>
        <v>Mochammad Fadhillah Hakim</v>
      </c>
      <c r="N2711" s="6" t="str">
        <f>IFERROR(__xludf.DUMMYFUNCTION("""COMPUTED_VALUE"""),"FIP Engineering")</f>
        <v>FIP Engineering</v>
      </c>
      <c r="O2711" s="6" t="str">
        <f>IFERROR(__xludf.DUMMYFUNCTION("""COMPUTED_VALUE"""),"FIP-DOM-000-11304-OS00001-INA-000000")</f>
        <v>FIP-DOM-000-11304-OS00001-INA-000000</v>
      </c>
      <c r="P2711" s="6" t="str">
        <f>IFERROR(__xludf.DUMMYFUNCTION("""COMPUTED_VALUE"""),"PO Closed")</f>
        <v>PO Closed</v>
      </c>
      <c r="Q2711" s="6" t="str">
        <f>IFERROR(__xludf.DUMMYFUNCTION("""COMPUTED_VALUE"""),"GL2312019")</f>
        <v>GL2312019</v>
      </c>
      <c r="R2711" s="57">
        <f>IFERROR(__xludf.DUMMYFUNCTION("""COMPUTED_VALUE"""),45243.0)</f>
        <v>45243</v>
      </c>
      <c r="S2711" s="57">
        <f>IFERROR(__xludf.DUMMYFUNCTION("""COMPUTED_VALUE"""),45244.0)</f>
        <v>45244</v>
      </c>
      <c r="T2711" s="57">
        <f>IFERROR(__xludf.DUMMYFUNCTION("""COMPUTED_VALUE"""),45291.0)</f>
        <v>45291</v>
      </c>
    </row>
    <row r="2712">
      <c r="A2712" s="6" t="str">
        <f>IFERROR(__xludf.DUMMYFUNCTION("""COMPUTED_VALUE"""),"231750887-1")</f>
        <v>231750887-1</v>
      </c>
      <c r="B2712" s="6" t="str">
        <f>IFERROR(__xludf.DUMMYFUNCTION("""COMPUTED_VALUE"""),"231750887 - Approved")</f>
        <v>231750887 - Approved</v>
      </c>
      <c r="C2712" s="6">
        <f>IFERROR(__xludf.DUMMYFUNCTION("""COMPUTED_VALUE"""),1.0)</f>
        <v>1</v>
      </c>
      <c r="D2712" s="6" t="str">
        <f>IFERROR(__xludf.DUMMYFUNCTION("""COMPUTED_VALUE"""),"P-52489-00")</f>
        <v>P-52489-00</v>
      </c>
      <c r="E2712" s="6" t="str">
        <f>IFERROR(__xludf.DUMMYFUNCTION("""COMPUTED_VALUE"""),"Converter Cleanphone Phone; Yeastar; ;")</f>
        <v>Converter Cleanphone Phone; Yeastar; ;</v>
      </c>
      <c r="F2712" s="6">
        <f>IFERROR(__xludf.DUMMYFUNCTION("""COMPUTED_VALUE"""),2.0)</f>
        <v>2</v>
      </c>
      <c r="G2712" s="6" t="str">
        <f>IFERROR(__xludf.DUMMYFUNCTION("""COMPUTED_VALUE"""),"Pieces")</f>
        <v>Pieces</v>
      </c>
      <c r="H2712" s="6" t="str">
        <f>IFERROR(__xludf.DUMMYFUNCTION("""COMPUTED_VALUE"""),"IDR")</f>
        <v>IDR</v>
      </c>
      <c r="I2712" s="11">
        <f>IFERROR(__xludf.DUMMYFUNCTION("""COMPUTED_VALUE"""),987500.0)</f>
        <v>987500</v>
      </c>
      <c r="J2712" s="11">
        <f>IFERROR(__xludf.DUMMYFUNCTION("""COMPUTED_VALUE"""),1975000.0)</f>
        <v>1975000</v>
      </c>
      <c r="K2712" s="57">
        <f>IFERROR(__xludf.DUMMYFUNCTION("""COMPUTED_VALUE"""),45275.0)</f>
        <v>45275</v>
      </c>
      <c r="L2712" s="6" t="str">
        <f>IFERROR(__xludf.DUMMYFUNCTION("""COMPUTED_VALUE"""),"FIP Engineering")</f>
        <v>FIP Engineering</v>
      </c>
      <c r="M2712" s="6" t="str">
        <f>IFERROR(__xludf.DUMMYFUNCTION("""COMPUTED_VALUE"""),"Irwan Sopian")</f>
        <v>Irwan Sopian</v>
      </c>
      <c r="N2712" s="6" t="str">
        <f>IFERROR(__xludf.DUMMYFUNCTION("""COMPUTED_VALUE"""),"FIP Engineering")</f>
        <v>FIP Engineering</v>
      </c>
      <c r="O2712" s="6" t="str">
        <f>IFERROR(__xludf.DUMMYFUNCTION("""COMPUTED_VALUE"""),"FIP-DOM-000-11304-OS00001-INA-000000")</f>
        <v>FIP-DOM-000-11304-OS00001-INA-000000</v>
      </c>
      <c r="P2712" s="6" t="str">
        <f>IFERROR(__xludf.DUMMYFUNCTION("""COMPUTED_VALUE"""),"PO Closed")</f>
        <v>PO Closed</v>
      </c>
      <c r="Q2712" s="6" t="str">
        <f>IFERROR(__xludf.DUMMYFUNCTION("""COMPUTED_VALUE"""),"GL2312037")</f>
        <v>GL2312037</v>
      </c>
      <c r="R2712" s="57">
        <f>IFERROR(__xludf.DUMMYFUNCTION("""COMPUTED_VALUE"""),45244.0)</f>
        <v>45244</v>
      </c>
      <c r="S2712" s="57">
        <f>IFERROR(__xludf.DUMMYFUNCTION("""COMPUTED_VALUE"""),45247.0)</f>
        <v>45247</v>
      </c>
      <c r="T2712" s="57">
        <f>IFERROR(__xludf.DUMMYFUNCTION("""COMPUTED_VALUE"""),45311.0)</f>
        <v>45311</v>
      </c>
    </row>
    <row r="2713">
      <c r="A2713" s="6" t="str">
        <f>IFERROR(__xludf.DUMMYFUNCTION("""COMPUTED_VALUE"""),"231750895-1")</f>
        <v>231750895-1</v>
      </c>
      <c r="B2713" s="6" t="str">
        <f>IFERROR(__xludf.DUMMYFUNCTION("""COMPUTED_VALUE"""),"231750895 - Approved")</f>
        <v>231750895 - Approved</v>
      </c>
      <c r="C2713" s="6">
        <f>IFERROR(__xludf.DUMMYFUNCTION("""COMPUTED_VALUE"""),1.0)</f>
        <v>1</v>
      </c>
      <c r="D2713" s="6" t="str">
        <f>IFERROR(__xludf.DUMMYFUNCTION("""COMPUTED_VALUE"""),"O-54139-00")</f>
        <v>O-54139-00</v>
      </c>
      <c r="E2713" s="6" t="str">
        <f>IFERROR(__xludf.DUMMYFUNCTION("""COMPUTED_VALUE"""),"Lampu PLC 4U 45W; Hannochs; ;")</f>
        <v>Lampu PLC 4U 45W; Hannochs; ;</v>
      </c>
      <c r="F2713" s="6">
        <f>IFERROR(__xludf.DUMMYFUNCTION("""COMPUTED_VALUE"""),6.0)</f>
        <v>6</v>
      </c>
      <c r="G2713" s="6" t="str">
        <f>IFERROR(__xludf.DUMMYFUNCTION("""COMPUTED_VALUE"""),"Pieces")</f>
        <v>Pieces</v>
      </c>
      <c r="H2713" s="6" t="str">
        <f>IFERROR(__xludf.DUMMYFUNCTION("""COMPUTED_VALUE"""),"IDR")</f>
        <v>IDR</v>
      </c>
      <c r="I2713" s="11">
        <f>IFERROR(__xludf.DUMMYFUNCTION("""COMPUTED_VALUE"""),92500.0)</f>
        <v>92500</v>
      </c>
      <c r="J2713" s="11">
        <f>IFERROR(__xludf.DUMMYFUNCTION("""COMPUTED_VALUE"""),555000.0)</f>
        <v>555000</v>
      </c>
      <c r="K2713" s="57">
        <f>IFERROR(__xludf.DUMMYFUNCTION("""COMPUTED_VALUE"""),45261.0)</f>
        <v>45261</v>
      </c>
      <c r="L2713" s="6" t="str">
        <f>IFERROR(__xludf.DUMMYFUNCTION("""COMPUTED_VALUE"""),"FIP Engineering")</f>
        <v>FIP Engineering</v>
      </c>
      <c r="M2713" s="6" t="str">
        <f>IFERROR(__xludf.DUMMYFUNCTION("""COMPUTED_VALUE"""),"Mochammad Fadhillah Hakim")</f>
        <v>Mochammad Fadhillah Hakim</v>
      </c>
      <c r="N2713" s="6" t="str">
        <f>IFERROR(__xludf.DUMMYFUNCTION("""COMPUTED_VALUE"""),"FIP Engineering")</f>
        <v>FIP Engineering</v>
      </c>
      <c r="O2713" s="6" t="str">
        <f>IFERROR(__xludf.DUMMYFUNCTION("""COMPUTED_VALUE"""),"FIP-DOM-000-11304-OS00001-INA-000000")</f>
        <v>FIP-DOM-000-11304-OS00001-INA-000000</v>
      </c>
      <c r="P2713" s="6" t="str">
        <f>IFERROR(__xludf.DUMMYFUNCTION("""COMPUTED_VALUE"""),"PO Closed")</f>
        <v>PO Closed</v>
      </c>
      <c r="Q2713" s="6" t="str">
        <f>IFERROR(__xludf.DUMMYFUNCTION("""COMPUTED_VALUE"""),"GL2312037")</f>
        <v>GL2312037</v>
      </c>
      <c r="R2713" s="57">
        <f>IFERROR(__xludf.DUMMYFUNCTION("""COMPUTED_VALUE"""),45247.0)</f>
        <v>45247</v>
      </c>
      <c r="S2713" s="57">
        <f>IFERROR(__xludf.DUMMYFUNCTION("""COMPUTED_VALUE"""),45251.0)</f>
        <v>45251</v>
      </c>
      <c r="T2713" s="57">
        <f>IFERROR(__xludf.DUMMYFUNCTION("""COMPUTED_VALUE"""),45311.0)</f>
        <v>45311</v>
      </c>
    </row>
    <row r="2714">
      <c r="A2714" s="6" t="str">
        <f>IFERROR(__xludf.DUMMYFUNCTION("""COMPUTED_VALUE"""),"231750896-5")</f>
        <v>231750896-5</v>
      </c>
      <c r="B2714" s="6" t="str">
        <f>IFERROR(__xludf.DUMMYFUNCTION("""COMPUTED_VALUE"""),"231750896 - Approved")</f>
        <v>231750896 - Approved</v>
      </c>
      <c r="C2714" s="6">
        <f>IFERROR(__xludf.DUMMYFUNCTION("""COMPUTED_VALUE"""),5.0)</f>
        <v>5</v>
      </c>
      <c r="D2714" s="6" t="str">
        <f>IFERROR(__xludf.DUMMYFUNCTION("""COMPUTED_VALUE"""),"O-16922-00")</f>
        <v>O-16922-00</v>
      </c>
      <c r="E2714" s="6" t="str">
        <f>IFERROR(__xludf.DUMMYFUNCTION("""COMPUTED_VALUE"""),"Marchesini MA155-P/N. 018090090 Shaft; ; ;")</f>
        <v>Marchesini MA155-P/N. 018090090 Shaft; ; ;</v>
      </c>
      <c r="F2714" s="6">
        <f>IFERROR(__xludf.DUMMYFUNCTION("""COMPUTED_VALUE"""),1.0)</f>
        <v>1</v>
      </c>
      <c r="G2714" s="6" t="str">
        <f>IFERROR(__xludf.DUMMYFUNCTION("""COMPUTED_VALUE"""),"Pieces")</f>
        <v>Pieces</v>
      </c>
      <c r="H2714" s="6" t="str">
        <f>IFERROR(__xludf.DUMMYFUNCTION("""COMPUTED_VALUE"""),"IDR")</f>
        <v>IDR</v>
      </c>
      <c r="I2714" s="11">
        <f>IFERROR(__xludf.DUMMYFUNCTION("""COMPUTED_VALUE"""),2.421556064E7)</f>
        <v>24215560.64</v>
      </c>
      <c r="J2714" s="11">
        <f>IFERROR(__xludf.DUMMYFUNCTION("""COMPUTED_VALUE"""),2.421556064E7)</f>
        <v>24215560.64</v>
      </c>
      <c r="K2714" s="57">
        <f>IFERROR(__xludf.DUMMYFUNCTION("""COMPUTED_VALUE"""),45264.0)</f>
        <v>45264</v>
      </c>
      <c r="L2714" s="6" t="str">
        <f>IFERROR(__xludf.DUMMYFUNCTION("""COMPUTED_VALUE"""),"FIP Engineering")</f>
        <v>FIP Engineering</v>
      </c>
      <c r="M2714" s="6" t="str">
        <f>IFERROR(__xludf.DUMMYFUNCTION("""COMPUTED_VALUE"""),"Mochammad Fadhillah Hakim")</f>
        <v>Mochammad Fadhillah Hakim</v>
      </c>
      <c r="N2714" s="6" t="str">
        <f>IFERROR(__xludf.DUMMYFUNCTION("""COMPUTED_VALUE"""),"FIP Engineering")</f>
        <v>FIP Engineering</v>
      </c>
      <c r="O2714" s="6" t="str">
        <f>IFERROR(__xludf.DUMMYFUNCTION("""COMPUTED_VALUE"""),"FIP-DOM-000-11304-OS00001-INA-000000")</f>
        <v>FIP-DOM-000-11304-OS00001-INA-000000</v>
      </c>
      <c r="P2714" s="6" t="str">
        <f>IFERROR(__xludf.DUMMYFUNCTION("""COMPUTED_VALUE"""),"PO Closed")</f>
        <v>PO Closed</v>
      </c>
      <c r="Q2714" s="6" t="str">
        <f>IFERROR(__xludf.DUMMYFUNCTION("""COMPUTED_VALUE"""),"GL2402021")</f>
        <v>GL2402021</v>
      </c>
      <c r="R2714" s="57">
        <f>IFERROR(__xludf.DUMMYFUNCTION("""COMPUTED_VALUE"""),45250.0)</f>
        <v>45250</v>
      </c>
      <c r="S2714" s="57">
        <f>IFERROR(__xludf.DUMMYFUNCTION("""COMPUTED_VALUE"""),45280.0)</f>
        <v>45280</v>
      </c>
      <c r="T2714" s="57">
        <f>IFERROR(__xludf.DUMMYFUNCTION("""COMPUTED_VALUE"""),45081.0)</f>
        <v>45081</v>
      </c>
    </row>
    <row r="2715">
      <c r="A2715" s="6" t="str">
        <f>IFERROR(__xludf.DUMMYFUNCTION("""COMPUTED_VALUE"""),"231750896-6")</f>
        <v>231750896-6</v>
      </c>
      <c r="B2715" s="6" t="str">
        <f>IFERROR(__xludf.DUMMYFUNCTION("""COMPUTED_VALUE"""),"231750896 - Approved")</f>
        <v>231750896 - Approved</v>
      </c>
      <c r="C2715" s="6">
        <f>IFERROR(__xludf.DUMMYFUNCTION("""COMPUTED_VALUE"""),6.0)</f>
        <v>6</v>
      </c>
      <c r="D2715" s="6" t="str">
        <f>IFERROR(__xludf.DUMMYFUNCTION("""COMPUTED_VALUE"""),"O-50578-00")</f>
        <v>O-50578-00</v>
      </c>
      <c r="E2715" s="6" t="str">
        <f>IFERROR(__xludf.DUMMYFUNCTION("""COMPUTED_VALUE"""),"MARCHESINI ML616/MA155 - E32022021230 FOTOC.SSP/AP/1H (EX SSC/AP/1H); ; ; pc")</f>
        <v>MARCHESINI ML616/MA155 - E32022021230 FOTOC.SSP/AP/1H (EX SSC/AP/1H); ; ; pc</v>
      </c>
      <c r="F2715" s="6">
        <f>IFERROR(__xludf.DUMMYFUNCTION("""COMPUTED_VALUE"""),1.0)</f>
        <v>1</v>
      </c>
      <c r="G2715" s="6" t="str">
        <f>IFERROR(__xludf.DUMMYFUNCTION("""COMPUTED_VALUE"""),"Pieces")</f>
        <v>Pieces</v>
      </c>
      <c r="H2715" s="6" t="str">
        <f>IFERROR(__xludf.DUMMYFUNCTION("""COMPUTED_VALUE"""),"IDR")</f>
        <v>IDR</v>
      </c>
      <c r="I2715" s="11">
        <f>IFERROR(__xludf.DUMMYFUNCTION("""COMPUTED_VALUE"""),1258000.0)</f>
        <v>1258000</v>
      </c>
      <c r="J2715" s="11">
        <f>IFERROR(__xludf.DUMMYFUNCTION("""COMPUTED_VALUE"""),1258000.0)</f>
        <v>1258000</v>
      </c>
      <c r="K2715" s="57">
        <f>IFERROR(__xludf.DUMMYFUNCTION("""COMPUTED_VALUE"""),45264.0)</f>
        <v>45264</v>
      </c>
      <c r="L2715" s="6" t="str">
        <f>IFERROR(__xludf.DUMMYFUNCTION("""COMPUTED_VALUE"""),"FIP Engineering")</f>
        <v>FIP Engineering</v>
      </c>
      <c r="M2715" s="6" t="str">
        <f>IFERROR(__xludf.DUMMYFUNCTION("""COMPUTED_VALUE"""),"Mochammad Fadhillah Hakim")</f>
        <v>Mochammad Fadhillah Hakim</v>
      </c>
      <c r="N2715" s="6" t="str">
        <f>IFERROR(__xludf.DUMMYFUNCTION("""COMPUTED_VALUE"""),"FIP Engineering")</f>
        <v>FIP Engineering</v>
      </c>
      <c r="O2715" s="6" t="str">
        <f>IFERROR(__xludf.DUMMYFUNCTION("""COMPUTED_VALUE"""),"FIP-DOM-000-11304-OS00001-INA-000000")</f>
        <v>FIP-DOM-000-11304-OS00001-INA-000000</v>
      </c>
      <c r="P2715" s="6" t="str">
        <f>IFERROR(__xludf.DUMMYFUNCTION("""COMPUTED_VALUE"""),"PO Closed")</f>
        <v>PO Closed</v>
      </c>
      <c r="Q2715" s="6" t="str">
        <f>IFERROR(__xludf.DUMMYFUNCTION("""COMPUTED_VALUE"""),"GL2402021")</f>
        <v>GL2402021</v>
      </c>
      <c r="R2715" s="57">
        <f>IFERROR(__xludf.DUMMYFUNCTION("""COMPUTED_VALUE"""),45250.0)</f>
        <v>45250</v>
      </c>
      <c r="S2715" s="57">
        <f>IFERROR(__xludf.DUMMYFUNCTION("""COMPUTED_VALUE"""),45280.0)</f>
        <v>45280</v>
      </c>
      <c r="T2715" s="57">
        <f>IFERROR(__xludf.DUMMYFUNCTION("""COMPUTED_VALUE"""),45081.0)</f>
        <v>45081</v>
      </c>
    </row>
    <row r="2716">
      <c r="A2716" s="6" t="str">
        <f>IFERROR(__xludf.DUMMYFUNCTION("""COMPUTED_VALUE"""),"231750896-7")</f>
        <v>231750896-7</v>
      </c>
      <c r="B2716" s="6" t="str">
        <f>IFERROR(__xludf.DUMMYFUNCTION("""COMPUTED_VALUE"""),"231750896 - Approved")</f>
        <v>231750896 - Approved</v>
      </c>
      <c r="C2716" s="6">
        <f>IFERROR(__xludf.DUMMYFUNCTION("""COMPUTED_VALUE"""),7.0)</f>
        <v>7</v>
      </c>
      <c r="D2716" s="6" t="str">
        <f>IFERROR(__xludf.DUMMYFUNCTION("""COMPUTED_VALUE"""),"O-50710-00")</f>
        <v>O-50710-00</v>
      </c>
      <c r="E2716" s="6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F2716" s="6">
        <f>IFERROR(__xludf.DUMMYFUNCTION("""COMPUTED_VALUE"""),1.0)</f>
        <v>1</v>
      </c>
      <c r="G2716" s="6" t="str">
        <f>IFERROR(__xludf.DUMMYFUNCTION("""COMPUTED_VALUE"""),"Pieces")</f>
        <v>Pieces</v>
      </c>
      <c r="H2716" s="6" t="str">
        <f>IFERROR(__xludf.DUMMYFUNCTION("""COMPUTED_VALUE"""),"IDR")</f>
        <v>IDR</v>
      </c>
      <c r="I2716" s="11">
        <f>IFERROR(__xludf.DUMMYFUNCTION("""COMPUTED_VALUE"""),400000.0)</f>
        <v>400000</v>
      </c>
      <c r="J2716" s="11">
        <f>IFERROR(__xludf.DUMMYFUNCTION("""COMPUTED_VALUE"""),400000.0)</f>
        <v>400000</v>
      </c>
      <c r="K2716" s="57">
        <f>IFERROR(__xludf.DUMMYFUNCTION("""COMPUTED_VALUE"""),45264.0)</f>
        <v>45264</v>
      </c>
      <c r="L2716" s="6" t="str">
        <f>IFERROR(__xludf.DUMMYFUNCTION("""COMPUTED_VALUE"""),"FIP Engineering")</f>
        <v>FIP Engineering</v>
      </c>
      <c r="M2716" s="6" t="str">
        <f>IFERROR(__xludf.DUMMYFUNCTION("""COMPUTED_VALUE"""),"Mochammad Fadhillah Hakim")</f>
        <v>Mochammad Fadhillah Hakim</v>
      </c>
      <c r="N2716" s="6" t="str">
        <f>IFERROR(__xludf.DUMMYFUNCTION("""COMPUTED_VALUE"""),"FIP Engineering")</f>
        <v>FIP Engineering</v>
      </c>
      <c r="O2716" s="6" t="str">
        <f>IFERROR(__xludf.DUMMYFUNCTION("""COMPUTED_VALUE"""),"FIP-DOM-000-11304-OS00001-INA-000000")</f>
        <v>FIP-DOM-000-11304-OS00001-INA-000000</v>
      </c>
      <c r="P2716" s="6" t="str">
        <f>IFERROR(__xludf.DUMMYFUNCTION("""COMPUTED_VALUE"""),"PO Closed")</f>
        <v>PO Closed</v>
      </c>
      <c r="Q2716" s="6" t="str">
        <f>IFERROR(__xludf.DUMMYFUNCTION("""COMPUTED_VALUE"""),"GL2402021")</f>
        <v>GL2402021</v>
      </c>
      <c r="R2716" s="57">
        <f>IFERROR(__xludf.DUMMYFUNCTION("""COMPUTED_VALUE"""),45250.0)</f>
        <v>45250</v>
      </c>
      <c r="S2716" s="57">
        <f>IFERROR(__xludf.DUMMYFUNCTION("""COMPUTED_VALUE"""),45280.0)</f>
        <v>45280</v>
      </c>
      <c r="T2716" s="57">
        <f>IFERROR(__xludf.DUMMYFUNCTION("""COMPUTED_VALUE"""),45081.0)</f>
        <v>45081</v>
      </c>
    </row>
    <row r="2717">
      <c r="A2717" s="6" t="str">
        <f>IFERROR(__xludf.DUMMYFUNCTION("""COMPUTED_VALUE"""),"231750896-8")</f>
        <v>231750896-8</v>
      </c>
      <c r="B2717" s="6" t="str">
        <f>IFERROR(__xludf.DUMMYFUNCTION("""COMPUTED_VALUE"""),"231750896 - Approved")</f>
        <v>231750896 - Approved</v>
      </c>
      <c r="C2717" s="6">
        <f>IFERROR(__xludf.DUMMYFUNCTION("""COMPUTED_VALUE"""),8.0)</f>
        <v>8</v>
      </c>
      <c r="D2717" s="6" t="str">
        <f>IFERROR(__xludf.DUMMYFUNCTION("""COMPUTED_VALUE"""),"O-19393-00")</f>
        <v>O-19393-00</v>
      </c>
      <c r="E2717" s="6" t="str">
        <f>IFERROR(__xludf.DUMMYFUNCTION("""COMPUTED_VALUE"""),"Marchesini MA155 - BOCC. Scorrim. Antirotaz. D. 12 Bushing; ; A108121820;")</f>
        <v>Marchesini MA155 - BOCC. Scorrim. Antirotaz. D. 12 Bushing; ; A108121820;</v>
      </c>
      <c r="F2717" s="6">
        <f>IFERROR(__xludf.DUMMYFUNCTION("""COMPUTED_VALUE"""),4.0)</f>
        <v>4</v>
      </c>
      <c r="G2717" s="6" t="str">
        <f>IFERROR(__xludf.DUMMYFUNCTION("""COMPUTED_VALUE"""),"Pieces")</f>
        <v>Pieces</v>
      </c>
      <c r="H2717" s="6" t="str">
        <f>IFERROR(__xludf.DUMMYFUNCTION("""COMPUTED_VALUE"""),"IDR")</f>
        <v>IDR</v>
      </c>
      <c r="I2717" s="11">
        <f>IFERROR(__xludf.DUMMYFUNCTION("""COMPUTED_VALUE"""),389424.0)</f>
        <v>389424</v>
      </c>
      <c r="J2717" s="11">
        <f>IFERROR(__xludf.DUMMYFUNCTION("""COMPUTED_VALUE"""),1557696.0)</f>
        <v>1557696</v>
      </c>
      <c r="K2717" s="57">
        <f>IFERROR(__xludf.DUMMYFUNCTION("""COMPUTED_VALUE"""),45264.0)</f>
        <v>45264</v>
      </c>
      <c r="L2717" s="6" t="str">
        <f>IFERROR(__xludf.DUMMYFUNCTION("""COMPUTED_VALUE"""),"FIP Engineering")</f>
        <v>FIP Engineering</v>
      </c>
      <c r="M2717" s="6" t="str">
        <f>IFERROR(__xludf.DUMMYFUNCTION("""COMPUTED_VALUE"""),"Mochammad Fadhillah Hakim")</f>
        <v>Mochammad Fadhillah Hakim</v>
      </c>
      <c r="N2717" s="6" t="str">
        <f>IFERROR(__xludf.DUMMYFUNCTION("""COMPUTED_VALUE"""),"FIP Engineering")</f>
        <v>FIP Engineering</v>
      </c>
      <c r="O2717" s="6" t="str">
        <f>IFERROR(__xludf.DUMMYFUNCTION("""COMPUTED_VALUE"""),"FIP-DOM-000-11304-OS00001-INA-000000")</f>
        <v>FIP-DOM-000-11304-OS00001-INA-000000</v>
      </c>
      <c r="P2717" s="6" t="str">
        <f>IFERROR(__xludf.DUMMYFUNCTION("""COMPUTED_VALUE"""),"PO Closed")</f>
        <v>PO Closed</v>
      </c>
      <c r="Q2717" s="6" t="str">
        <f>IFERROR(__xludf.DUMMYFUNCTION("""COMPUTED_VALUE"""),"GL2402021")</f>
        <v>GL2402021</v>
      </c>
      <c r="R2717" s="57">
        <f>IFERROR(__xludf.DUMMYFUNCTION("""COMPUTED_VALUE"""),45250.0)</f>
        <v>45250</v>
      </c>
      <c r="S2717" s="57">
        <f>IFERROR(__xludf.DUMMYFUNCTION("""COMPUTED_VALUE"""),45280.0)</f>
        <v>45280</v>
      </c>
      <c r="T2717" s="57">
        <f>IFERROR(__xludf.DUMMYFUNCTION("""COMPUTED_VALUE"""),45081.0)</f>
        <v>45081</v>
      </c>
    </row>
    <row r="2718">
      <c r="A2718" s="6" t="str">
        <f>IFERROR(__xludf.DUMMYFUNCTION("""COMPUTED_VALUE"""),"231750896-9")</f>
        <v>231750896-9</v>
      </c>
      <c r="B2718" s="6" t="str">
        <f>IFERROR(__xludf.DUMMYFUNCTION("""COMPUTED_VALUE"""),"231750896 - Approved")</f>
        <v>231750896 - Approved</v>
      </c>
      <c r="C2718" s="6">
        <f>IFERROR(__xludf.DUMMYFUNCTION("""COMPUTED_VALUE"""),9.0)</f>
        <v>9</v>
      </c>
      <c r="D2718" s="6" t="str">
        <f>IFERROR(__xludf.DUMMYFUNCTION("""COMPUTED_VALUE"""),"O-19394-00")</f>
        <v>O-19394-00</v>
      </c>
      <c r="E2718" s="6" t="str">
        <f>IFERROR(__xludf.DUMMYFUNCTION("""COMPUTED_VALUE"""),"Marchesini MA155 - Testina Spingitore Head at Size; ; 3M0YI010003;")</f>
        <v>Marchesini MA155 - Testina Spingitore Head at Size; ; 3M0YI010003;</v>
      </c>
      <c r="F2718" s="6">
        <f>IFERROR(__xludf.DUMMYFUNCTION("""COMPUTED_VALUE"""),1.0)</f>
        <v>1</v>
      </c>
      <c r="G2718" s="6" t="str">
        <f>IFERROR(__xludf.DUMMYFUNCTION("""COMPUTED_VALUE"""),"Pieces")</f>
        <v>Pieces</v>
      </c>
      <c r="H2718" s="6" t="str">
        <f>IFERROR(__xludf.DUMMYFUNCTION("""COMPUTED_VALUE"""),"IDR")</f>
        <v>IDR</v>
      </c>
      <c r="I2718" s="11">
        <f>IFERROR(__xludf.DUMMYFUNCTION("""COMPUTED_VALUE"""),2.0442744E7)</f>
        <v>20442744</v>
      </c>
      <c r="J2718" s="11">
        <f>IFERROR(__xludf.DUMMYFUNCTION("""COMPUTED_VALUE"""),2.0442744E7)</f>
        <v>20442744</v>
      </c>
      <c r="K2718" s="57">
        <f>IFERROR(__xludf.DUMMYFUNCTION("""COMPUTED_VALUE"""),45264.0)</f>
        <v>45264</v>
      </c>
      <c r="L2718" s="6" t="str">
        <f>IFERROR(__xludf.DUMMYFUNCTION("""COMPUTED_VALUE"""),"FIP Engineering")</f>
        <v>FIP Engineering</v>
      </c>
      <c r="M2718" s="6" t="str">
        <f>IFERROR(__xludf.DUMMYFUNCTION("""COMPUTED_VALUE"""),"Mochammad Fadhillah Hakim")</f>
        <v>Mochammad Fadhillah Hakim</v>
      </c>
      <c r="N2718" s="6" t="str">
        <f>IFERROR(__xludf.DUMMYFUNCTION("""COMPUTED_VALUE"""),"FIP Engineering")</f>
        <v>FIP Engineering</v>
      </c>
      <c r="O2718" s="6" t="str">
        <f>IFERROR(__xludf.DUMMYFUNCTION("""COMPUTED_VALUE"""),"FIP-DOM-000-11304-OS00001-INA-000000")</f>
        <v>FIP-DOM-000-11304-OS00001-INA-000000</v>
      </c>
      <c r="P2718" s="6" t="str">
        <f>IFERROR(__xludf.DUMMYFUNCTION("""COMPUTED_VALUE"""),"PO Closed")</f>
        <v>PO Closed</v>
      </c>
      <c r="Q2718" s="6" t="str">
        <f>IFERROR(__xludf.DUMMYFUNCTION("""COMPUTED_VALUE"""),"GL2402021")</f>
        <v>GL2402021</v>
      </c>
      <c r="R2718" s="57">
        <f>IFERROR(__xludf.DUMMYFUNCTION("""COMPUTED_VALUE"""),45250.0)</f>
        <v>45250</v>
      </c>
      <c r="S2718" s="57">
        <f>IFERROR(__xludf.DUMMYFUNCTION("""COMPUTED_VALUE"""),45280.0)</f>
        <v>45280</v>
      </c>
      <c r="T2718" s="57">
        <f>IFERROR(__xludf.DUMMYFUNCTION("""COMPUTED_VALUE"""),45081.0)</f>
        <v>45081</v>
      </c>
    </row>
    <row r="2719">
      <c r="A2719" s="6" t="str">
        <f>IFERROR(__xludf.DUMMYFUNCTION("""COMPUTED_VALUE"""),"231750896-10")</f>
        <v>231750896-10</v>
      </c>
      <c r="B2719" s="6" t="str">
        <f>IFERROR(__xludf.DUMMYFUNCTION("""COMPUTED_VALUE"""),"231750896 - Approved")</f>
        <v>231750896 - Approved</v>
      </c>
      <c r="C2719" s="6">
        <f>IFERROR(__xludf.DUMMYFUNCTION("""COMPUTED_VALUE"""),10.0)</f>
        <v>10</v>
      </c>
      <c r="D2719" s="6" t="str">
        <f>IFERROR(__xludf.DUMMYFUNCTION("""COMPUTED_VALUE"""),"O-19395-00")</f>
        <v>O-19395-00</v>
      </c>
      <c r="E2719" s="6" t="str">
        <f>IFERROR(__xludf.DUMMYFUNCTION("""COMPUTED_VALUE"""),"Marchesini MA155 - STGM. Lama-Portalama Pusher Blade; ; 3M0YI040010;")</f>
        <v>Marchesini MA155 - STGM. Lama-Portalama Pusher Blade; ; 3M0YI040010;</v>
      </c>
      <c r="F2719" s="6">
        <f>IFERROR(__xludf.DUMMYFUNCTION("""COMPUTED_VALUE"""),1.0)</f>
        <v>1</v>
      </c>
      <c r="G2719" s="6" t="str">
        <f>IFERROR(__xludf.DUMMYFUNCTION("""COMPUTED_VALUE"""),"Pieces")</f>
        <v>Pieces</v>
      </c>
      <c r="H2719" s="6" t="str">
        <f>IFERROR(__xludf.DUMMYFUNCTION("""COMPUTED_VALUE"""),"IDR")</f>
        <v>IDR</v>
      </c>
      <c r="I2719" s="11">
        <f>IFERROR(__xludf.DUMMYFUNCTION("""COMPUTED_VALUE"""),2.3363256E7)</f>
        <v>23363256</v>
      </c>
      <c r="J2719" s="11">
        <f>IFERROR(__xludf.DUMMYFUNCTION("""COMPUTED_VALUE"""),2.3363256E7)</f>
        <v>23363256</v>
      </c>
      <c r="K2719" s="57">
        <f>IFERROR(__xludf.DUMMYFUNCTION("""COMPUTED_VALUE"""),45264.0)</f>
        <v>45264</v>
      </c>
      <c r="L2719" s="6" t="str">
        <f>IFERROR(__xludf.DUMMYFUNCTION("""COMPUTED_VALUE"""),"FIP Engineering")</f>
        <v>FIP Engineering</v>
      </c>
      <c r="M2719" s="6" t="str">
        <f>IFERROR(__xludf.DUMMYFUNCTION("""COMPUTED_VALUE"""),"Mochammad Fadhillah Hakim")</f>
        <v>Mochammad Fadhillah Hakim</v>
      </c>
      <c r="N2719" s="6" t="str">
        <f>IFERROR(__xludf.DUMMYFUNCTION("""COMPUTED_VALUE"""),"FIP Engineering")</f>
        <v>FIP Engineering</v>
      </c>
      <c r="O2719" s="6" t="str">
        <f>IFERROR(__xludf.DUMMYFUNCTION("""COMPUTED_VALUE"""),"FIP-DOM-000-11304-OS00001-INA-000000")</f>
        <v>FIP-DOM-000-11304-OS00001-INA-000000</v>
      </c>
      <c r="P2719" s="6" t="str">
        <f>IFERROR(__xludf.DUMMYFUNCTION("""COMPUTED_VALUE"""),"PO Closed")</f>
        <v>PO Closed</v>
      </c>
      <c r="Q2719" s="6" t="str">
        <f>IFERROR(__xludf.DUMMYFUNCTION("""COMPUTED_VALUE"""),"GL2402021")</f>
        <v>GL2402021</v>
      </c>
      <c r="R2719" s="57">
        <f>IFERROR(__xludf.DUMMYFUNCTION("""COMPUTED_VALUE"""),45250.0)</f>
        <v>45250</v>
      </c>
      <c r="S2719" s="57">
        <f>IFERROR(__xludf.DUMMYFUNCTION("""COMPUTED_VALUE"""),45280.0)</f>
        <v>45280</v>
      </c>
      <c r="T2719" s="57">
        <f>IFERROR(__xludf.DUMMYFUNCTION("""COMPUTED_VALUE"""),45081.0)</f>
        <v>45081</v>
      </c>
    </row>
    <row r="2720">
      <c r="A2720" s="6" t="str">
        <f>IFERROR(__xludf.DUMMYFUNCTION("""COMPUTED_VALUE"""),"231750903-1")</f>
        <v>231750903-1</v>
      </c>
      <c r="B2720" s="6" t="str">
        <f>IFERROR(__xludf.DUMMYFUNCTION("""COMPUTED_VALUE"""),"231750903 - Approved")</f>
        <v>231750903 - Approved</v>
      </c>
      <c r="C2720" s="6">
        <f>IFERROR(__xludf.DUMMYFUNCTION("""COMPUTED_VALUE"""),1.0)</f>
        <v>1</v>
      </c>
      <c r="D2720" s="6" t="str">
        <f>IFERROR(__xludf.DUMMYFUNCTION("""COMPUTED_VALUE"""),"P-54186-00")</f>
        <v>P-54186-00</v>
      </c>
      <c r="E2720" s="6" t="str">
        <f>IFERROR(__xludf.DUMMYFUNCTION("""COMPUTED_VALUE"""),"Vacuum Pump 1HP 220V 12CFM; Value; ;")</f>
        <v>Vacuum Pump 1HP 220V 12CFM; Value; ;</v>
      </c>
      <c r="F2720" s="6">
        <f>IFERROR(__xludf.DUMMYFUNCTION("""COMPUTED_VALUE"""),1.0)</f>
        <v>1</v>
      </c>
      <c r="G2720" s="6" t="str">
        <f>IFERROR(__xludf.DUMMYFUNCTION("""COMPUTED_VALUE"""),"Unit")</f>
        <v>Unit</v>
      </c>
      <c r="H2720" s="6" t="str">
        <f>IFERROR(__xludf.DUMMYFUNCTION("""COMPUTED_VALUE"""),"IDR")</f>
        <v>IDR</v>
      </c>
      <c r="I2720" s="11">
        <f>IFERROR(__xludf.DUMMYFUNCTION("""COMPUTED_VALUE"""),4850000.0)</f>
        <v>4850000</v>
      </c>
      <c r="J2720" s="11">
        <f>IFERROR(__xludf.DUMMYFUNCTION("""COMPUTED_VALUE"""),4850000.0)</f>
        <v>4850000</v>
      </c>
      <c r="K2720" s="57">
        <f>IFERROR(__xludf.DUMMYFUNCTION("""COMPUTED_VALUE"""),45265.0)</f>
        <v>45265</v>
      </c>
      <c r="L2720" s="6" t="str">
        <f>IFERROR(__xludf.DUMMYFUNCTION("""COMPUTED_VALUE"""),"FIP Engineering")</f>
        <v>FIP Engineering</v>
      </c>
      <c r="M2720" s="6" t="str">
        <f>IFERROR(__xludf.DUMMYFUNCTION("""COMPUTED_VALUE"""),"Mochammad Fadhillah Hakim")</f>
        <v>Mochammad Fadhillah Hakim</v>
      </c>
      <c r="N2720" s="6" t="str">
        <f>IFERROR(__xludf.DUMMYFUNCTION("""COMPUTED_VALUE"""),"FIP Engineering")</f>
        <v>FIP Engineering</v>
      </c>
      <c r="O2720" s="6" t="str">
        <f>IFERROR(__xludf.DUMMYFUNCTION("""COMPUTED_VALUE"""),"FIP-DOM-000-11304-OS00001-INA-000000")</f>
        <v>FIP-DOM-000-11304-OS00001-INA-000000</v>
      </c>
      <c r="P2720" s="6" t="str">
        <f>IFERROR(__xludf.DUMMYFUNCTION("""COMPUTED_VALUE"""),"PO Closed")</f>
        <v>PO Closed</v>
      </c>
      <c r="Q2720" s="6" t="str">
        <f>IFERROR(__xludf.DUMMYFUNCTION("""COMPUTED_VALUE"""),"GL2312030")</f>
        <v>GL2312030</v>
      </c>
      <c r="R2720" s="57">
        <f>IFERROR(__xludf.DUMMYFUNCTION("""COMPUTED_VALUE"""),45251.0)</f>
        <v>45251</v>
      </c>
      <c r="S2720" s="57">
        <f>IFERROR(__xludf.DUMMYFUNCTION("""COMPUTED_VALUE"""),45257.0)</f>
        <v>45257</v>
      </c>
      <c r="T2720" s="57">
        <f>IFERROR(__xludf.DUMMYFUNCTION("""COMPUTED_VALUE"""),45290.0)</f>
        <v>45290</v>
      </c>
    </row>
    <row r="2721">
      <c r="A2721" s="6" t="str">
        <f>IFERROR(__xludf.DUMMYFUNCTION("""COMPUTED_VALUE"""),"231750903-2")</f>
        <v>231750903-2</v>
      </c>
      <c r="B2721" s="6" t="str">
        <f>IFERROR(__xludf.DUMMYFUNCTION("""COMPUTED_VALUE"""),"231750903 - Approved")</f>
        <v>231750903 - Approved</v>
      </c>
      <c r="C2721" s="6">
        <f>IFERROR(__xludf.DUMMYFUNCTION("""COMPUTED_VALUE"""),2.0)</f>
        <v>2</v>
      </c>
      <c r="D2721" s="6" t="str">
        <f>IFERROR(__xludf.DUMMYFUNCTION("""COMPUTED_VALUE"""),"O-19419-00")</f>
        <v>O-19419-00</v>
      </c>
      <c r="E2721" s="6" t="str">
        <f>IFERROR(__xludf.DUMMYFUNCTION("""COMPUTED_VALUE"""),"Oli Vacuum Pump 330ml; Value; ;")</f>
        <v>Oli Vacuum Pump 330ml; Value; ;</v>
      </c>
      <c r="F2721" s="6">
        <f>IFERROR(__xludf.DUMMYFUNCTION("""COMPUTED_VALUE"""),3.0)</f>
        <v>3</v>
      </c>
      <c r="G2721" s="6" t="str">
        <f>IFERROR(__xludf.DUMMYFUNCTION("""COMPUTED_VALUE"""),"Can")</f>
        <v>Can</v>
      </c>
      <c r="H2721" s="6" t="str">
        <f>IFERROR(__xludf.DUMMYFUNCTION("""COMPUTED_VALUE"""),"IDR")</f>
        <v>IDR</v>
      </c>
      <c r="I2721" s="11">
        <f>IFERROR(__xludf.DUMMYFUNCTION("""COMPUTED_VALUE"""),90000.0)</f>
        <v>90000</v>
      </c>
      <c r="J2721" s="11">
        <f>IFERROR(__xludf.DUMMYFUNCTION("""COMPUTED_VALUE"""),270000.0)</f>
        <v>270000</v>
      </c>
      <c r="K2721" s="57">
        <f>IFERROR(__xludf.DUMMYFUNCTION("""COMPUTED_VALUE"""),45265.0)</f>
        <v>45265</v>
      </c>
      <c r="L2721" s="6" t="str">
        <f>IFERROR(__xludf.DUMMYFUNCTION("""COMPUTED_VALUE"""),"FIP Engineering")</f>
        <v>FIP Engineering</v>
      </c>
      <c r="M2721" s="6" t="str">
        <f>IFERROR(__xludf.DUMMYFUNCTION("""COMPUTED_VALUE"""),"Mochammad Fadhillah Hakim")</f>
        <v>Mochammad Fadhillah Hakim</v>
      </c>
      <c r="N2721" s="6" t="str">
        <f>IFERROR(__xludf.DUMMYFUNCTION("""COMPUTED_VALUE"""),"FIP Engineering")</f>
        <v>FIP Engineering</v>
      </c>
      <c r="O2721" s="6" t="str">
        <f>IFERROR(__xludf.DUMMYFUNCTION("""COMPUTED_VALUE"""),"FIP-DOM-000-11304-OS00001-INA-000000")</f>
        <v>FIP-DOM-000-11304-OS00001-INA-000000</v>
      </c>
      <c r="P2721" s="6" t="str">
        <f>IFERROR(__xludf.DUMMYFUNCTION("""COMPUTED_VALUE"""),"PO Closed")</f>
        <v>PO Closed</v>
      </c>
      <c r="Q2721" s="6" t="str">
        <f>IFERROR(__xludf.DUMMYFUNCTION("""COMPUTED_VALUE"""),"GL2312030")</f>
        <v>GL2312030</v>
      </c>
      <c r="R2721" s="57">
        <f>IFERROR(__xludf.DUMMYFUNCTION("""COMPUTED_VALUE"""),45251.0)</f>
        <v>45251</v>
      </c>
      <c r="S2721" s="57">
        <f>IFERROR(__xludf.DUMMYFUNCTION("""COMPUTED_VALUE"""),45257.0)</f>
        <v>45257</v>
      </c>
      <c r="T2721" s="57">
        <f>IFERROR(__xludf.DUMMYFUNCTION("""COMPUTED_VALUE"""),45290.0)</f>
        <v>45290</v>
      </c>
    </row>
    <row r="2722">
      <c r="A2722" s="6" t="str">
        <f>IFERROR(__xludf.DUMMYFUNCTION("""COMPUTED_VALUE"""),"231750904-1")</f>
        <v>231750904-1</v>
      </c>
      <c r="B2722" s="6" t="str">
        <f>IFERROR(__xludf.DUMMYFUNCTION("""COMPUTED_VALUE"""),"231750904 - Approved")</f>
        <v>231750904 - Approved</v>
      </c>
      <c r="C2722" s="6">
        <f>IFERROR(__xludf.DUMMYFUNCTION("""COMPUTED_VALUE"""),1.0)</f>
        <v>1</v>
      </c>
      <c r="D2722" s="6" t="str">
        <f>IFERROR(__xludf.DUMMYFUNCTION("""COMPUTED_VALUE"""),"S-60050-00")</f>
        <v>S-60050-00</v>
      </c>
      <c r="E2722" s="6" t="str">
        <f>IFERROR(__xludf.DUMMYFUNCTION("""COMPUTED_VALUE"""),"Jasa Perbaikan dan Pemeliharaan Mesin Produksi; ; ; - Untuk Perbaikan Lab Washer Miele")</f>
        <v>Jasa Perbaikan dan Pemeliharaan Mesin Produksi; ; ; - Untuk Perbaikan Lab Washer Miele</v>
      </c>
      <c r="F2722" s="6">
        <f>IFERROR(__xludf.DUMMYFUNCTION("""COMPUTED_VALUE"""),1.0)</f>
        <v>1</v>
      </c>
      <c r="G2722" s="6" t="str">
        <f>IFERROR(__xludf.DUMMYFUNCTION("""COMPUTED_VALUE"""),"Pieces")</f>
        <v>Pieces</v>
      </c>
      <c r="H2722" s="6" t="str">
        <f>IFERROR(__xludf.DUMMYFUNCTION("""COMPUTED_VALUE"""),"IDR")</f>
        <v>IDR</v>
      </c>
      <c r="I2722" s="11">
        <f>IFERROR(__xludf.DUMMYFUNCTION("""COMPUTED_VALUE"""),1000000.0)</f>
        <v>1000000</v>
      </c>
      <c r="J2722" s="11">
        <f>IFERROR(__xludf.DUMMYFUNCTION("""COMPUTED_VALUE"""),1000000.0)</f>
        <v>1000000</v>
      </c>
      <c r="K2722" s="57">
        <f>IFERROR(__xludf.DUMMYFUNCTION("""COMPUTED_VALUE"""),45265.0)</f>
        <v>45265</v>
      </c>
      <c r="L2722" s="6" t="str">
        <f>IFERROR(__xludf.DUMMYFUNCTION("""COMPUTED_VALUE"""),"FIP General")</f>
        <v>FIP General</v>
      </c>
      <c r="M2722" s="6" t="str">
        <f>IFERROR(__xludf.DUMMYFUNCTION("""COMPUTED_VALUE"""),"Mochammad Fadhillah Hakim")</f>
        <v>Mochammad Fadhillah Hakim</v>
      </c>
      <c r="N2722" s="6" t="str">
        <f>IFERROR(__xludf.DUMMYFUNCTION("""COMPUTED_VALUE"""),"FIP Engineering")</f>
        <v>FIP Engineering</v>
      </c>
      <c r="O2722" s="6" t="str">
        <f>IFERROR(__xludf.DUMMYFUNCTION("""COMPUTED_VALUE"""),"FIP-DOM-ENG-51504-0000000-INA-000000")</f>
        <v>FIP-DOM-ENG-51504-0000000-INA-000000</v>
      </c>
      <c r="P2722" s="6" t="str">
        <f>IFERROR(__xludf.DUMMYFUNCTION("""COMPUTED_VALUE"""),"PO Closed")</f>
        <v>PO Closed</v>
      </c>
      <c r="Q2722" s="6" t="str">
        <f>IFERROR(__xludf.DUMMYFUNCTION("""COMPUTED_VALUE"""),"GL2312048")</f>
        <v>GL2312048</v>
      </c>
      <c r="R2722" s="57">
        <f>IFERROR(__xludf.DUMMYFUNCTION("""COMPUTED_VALUE"""),45251.0)</f>
        <v>45251</v>
      </c>
      <c r="S2722" s="57">
        <f>IFERROR(__xludf.DUMMYFUNCTION("""COMPUTED_VALUE"""),45253.0)</f>
        <v>45253</v>
      </c>
      <c r="T2722" s="57">
        <f>IFERROR(__xludf.DUMMYFUNCTION("""COMPUTED_VALUE"""),45265.0)</f>
        <v>45265</v>
      </c>
    </row>
    <row r="2723">
      <c r="A2723" s="6" t="str">
        <f>IFERROR(__xludf.DUMMYFUNCTION("""COMPUTED_VALUE"""),"231750908-1")</f>
        <v>231750908-1</v>
      </c>
      <c r="B2723" s="6" t="str">
        <f>IFERROR(__xludf.DUMMYFUNCTION("""COMPUTED_VALUE"""),"231750908 - Approved")</f>
        <v>231750908 - Approved</v>
      </c>
      <c r="C2723" s="6">
        <f>IFERROR(__xludf.DUMMYFUNCTION("""COMPUTED_VALUE"""),1.0)</f>
        <v>1</v>
      </c>
      <c r="D2723" s="6" t="str">
        <f>IFERROR(__xludf.DUMMYFUNCTION("""COMPUTED_VALUE"""),"S-60050-00")</f>
        <v>S-60050-00</v>
      </c>
      <c r="E2723" s="6" t="str">
        <f>IFERROR(__xludf.DUMMYFUNCTION("""COMPUTED_VALUE"""),"Jasa Perbaikan dan Pemeliharaan Mesin Produksi; ; ; - Kalibrasi Conductivity Meter")</f>
        <v>Jasa Perbaikan dan Pemeliharaan Mesin Produksi; ; ; - Kalibrasi Conductivity Meter</v>
      </c>
      <c r="F2723" s="6">
        <f>IFERROR(__xludf.DUMMYFUNCTION("""COMPUTED_VALUE"""),1.0)</f>
        <v>1</v>
      </c>
      <c r="G2723" s="6" t="str">
        <f>IFERROR(__xludf.DUMMYFUNCTION("""COMPUTED_VALUE"""),"Pieces")</f>
        <v>Pieces</v>
      </c>
      <c r="H2723" s="6" t="str">
        <f>IFERROR(__xludf.DUMMYFUNCTION("""COMPUTED_VALUE"""),"IDR")</f>
        <v>IDR</v>
      </c>
      <c r="I2723" s="11">
        <f>IFERROR(__xludf.DUMMYFUNCTION("""COMPUTED_VALUE"""),2400000.0)</f>
        <v>2400000</v>
      </c>
      <c r="J2723" s="11">
        <f>IFERROR(__xludf.DUMMYFUNCTION("""COMPUTED_VALUE"""),2400000.0)</f>
        <v>2400000</v>
      </c>
      <c r="K2723" s="57">
        <f>IFERROR(__xludf.DUMMYFUNCTION("""COMPUTED_VALUE"""),45266.0)</f>
        <v>45266</v>
      </c>
      <c r="L2723" s="6" t="str">
        <f>IFERROR(__xludf.DUMMYFUNCTION("""COMPUTED_VALUE"""),"FIP General")</f>
        <v>FIP General</v>
      </c>
      <c r="M2723" s="6" t="str">
        <f>IFERROR(__xludf.DUMMYFUNCTION("""COMPUTED_VALUE"""),"Mochammad Fadhillah Hakim")</f>
        <v>Mochammad Fadhillah Hakim</v>
      </c>
      <c r="N2723" s="6" t="str">
        <f>IFERROR(__xludf.DUMMYFUNCTION("""COMPUTED_VALUE"""),"FIP Engineering")</f>
        <v>FIP Engineering</v>
      </c>
      <c r="O2723" s="6" t="str">
        <f>IFERROR(__xludf.DUMMYFUNCTION("""COMPUTED_VALUE"""),"FIP-DOM-ENG-51504-0000000-INA-000000")</f>
        <v>FIP-DOM-ENG-51504-0000000-INA-000000</v>
      </c>
      <c r="P2723" s="6" t="str">
        <f>IFERROR(__xludf.DUMMYFUNCTION("""COMPUTED_VALUE"""),"PO Closed")</f>
        <v>PO Closed</v>
      </c>
      <c r="Q2723" s="6" t="str">
        <f>IFERROR(__xludf.DUMMYFUNCTION("""COMPUTED_VALUE"""),"GL2312042")</f>
        <v>GL2312042</v>
      </c>
      <c r="R2723" s="57">
        <f>IFERROR(__xludf.DUMMYFUNCTION("""COMPUTED_VALUE"""),45252.0)</f>
        <v>45252</v>
      </c>
      <c r="S2723" s="57">
        <f>IFERROR(__xludf.DUMMYFUNCTION("""COMPUTED_VALUE"""),45253.0)</f>
        <v>45253</v>
      </c>
      <c r="T2723" s="57">
        <f>IFERROR(__xludf.DUMMYFUNCTION("""COMPUTED_VALUE"""),45301.0)</f>
        <v>45301</v>
      </c>
    </row>
    <row r="2724">
      <c r="A2724" s="6" t="str">
        <f>IFERROR(__xludf.DUMMYFUNCTION("""COMPUTED_VALUE"""),"231750911-1")</f>
        <v>231750911-1</v>
      </c>
      <c r="B2724" s="6" t="str">
        <f>IFERROR(__xludf.DUMMYFUNCTION("""COMPUTED_VALUE"""),"231750911 - Approved")</f>
        <v>231750911 - Approved</v>
      </c>
      <c r="C2724" s="6">
        <f>IFERROR(__xludf.DUMMYFUNCTION("""COMPUTED_VALUE"""),1.0)</f>
        <v>1</v>
      </c>
      <c r="D2724" s="6" t="str">
        <f>IFERROR(__xludf.DUMMYFUNCTION("""COMPUTED_VALUE"""),"S-40851-00")</f>
        <v>S-40851-00</v>
      </c>
      <c r="E2724" s="6" t="str">
        <f>IFERROR(__xludf.DUMMYFUNCTION("""COMPUTED_VALUE"""),"Flashdisk 4GB; Sandisk; ;")</f>
        <v>Flashdisk 4GB; Sandisk; ;</v>
      </c>
      <c r="F2724" s="6">
        <f>IFERROR(__xludf.DUMMYFUNCTION("""COMPUTED_VALUE"""),4.0)</f>
        <v>4</v>
      </c>
      <c r="G2724" s="6" t="str">
        <f>IFERROR(__xludf.DUMMYFUNCTION("""COMPUTED_VALUE"""),"Pieces")</f>
        <v>Pieces</v>
      </c>
      <c r="H2724" s="6" t="str">
        <f>IFERROR(__xludf.DUMMYFUNCTION("""COMPUTED_VALUE"""),"IDR")</f>
        <v>IDR</v>
      </c>
      <c r="I2724" s="11">
        <f>IFERROR(__xludf.DUMMYFUNCTION("""COMPUTED_VALUE"""),50000.0)</f>
        <v>50000</v>
      </c>
      <c r="J2724" s="11">
        <f>IFERROR(__xludf.DUMMYFUNCTION("""COMPUTED_VALUE"""),200000.0)</f>
        <v>200000</v>
      </c>
      <c r="K2724" s="57">
        <f>IFERROR(__xludf.DUMMYFUNCTION("""COMPUTED_VALUE"""),45267.0)</f>
        <v>45267</v>
      </c>
      <c r="L2724" s="6" t="str">
        <f>IFERROR(__xludf.DUMMYFUNCTION("""COMPUTED_VALUE"""),"FIP Engineering")</f>
        <v>FIP Engineering</v>
      </c>
      <c r="M2724" s="6" t="str">
        <f>IFERROR(__xludf.DUMMYFUNCTION("""COMPUTED_VALUE"""),"Mochammad Fadhillah Hakim")</f>
        <v>Mochammad Fadhillah Hakim</v>
      </c>
      <c r="N2724" s="6" t="str">
        <f>IFERROR(__xludf.DUMMYFUNCTION("""COMPUTED_VALUE"""),"FIP Engineering")</f>
        <v>FIP Engineering</v>
      </c>
      <c r="O2724" s="6" t="str">
        <f>IFERROR(__xludf.DUMMYFUNCTION("""COMPUTED_VALUE"""),"FIP-DOM-000-11304-OS00001-INA-000000")</f>
        <v>FIP-DOM-000-11304-OS00001-INA-000000</v>
      </c>
      <c r="P2724" s="6" t="str">
        <f>IFERROR(__xludf.DUMMYFUNCTION("""COMPUTED_VALUE"""),"PO Closed")</f>
        <v>PO Closed</v>
      </c>
      <c r="Q2724" s="6" t="str">
        <f>IFERROR(__xludf.DUMMYFUNCTION("""COMPUTED_VALUE"""),"GL2312007")</f>
        <v>GL2312007</v>
      </c>
      <c r="R2724" s="57">
        <f>IFERROR(__xludf.DUMMYFUNCTION("""COMPUTED_VALUE"""),45253.0)</f>
        <v>45253</v>
      </c>
      <c r="S2724" s="57">
        <f>IFERROR(__xludf.DUMMYFUNCTION("""COMPUTED_VALUE"""),45257.0)</f>
        <v>45257</v>
      </c>
      <c r="T2724" s="57">
        <f>IFERROR(__xludf.DUMMYFUNCTION("""COMPUTED_VALUE"""),45288.0)</f>
        <v>45288</v>
      </c>
    </row>
    <row r="2725">
      <c r="A2725" s="6" t="str">
        <f>IFERROR(__xludf.DUMMYFUNCTION("""COMPUTED_VALUE"""),"231750914-1")</f>
        <v>231750914-1</v>
      </c>
      <c r="B2725" s="6" t="str">
        <f>IFERROR(__xludf.DUMMYFUNCTION("""COMPUTED_VALUE"""),"231750914 - Approved")</f>
        <v>231750914 - Approved</v>
      </c>
      <c r="C2725" s="6">
        <f>IFERROR(__xludf.DUMMYFUNCTION("""COMPUTED_VALUE"""),1.0)</f>
        <v>1</v>
      </c>
      <c r="D2725" s="6" t="str">
        <f>IFERROR(__xludf.DUMMYFUNCTION("""COMPUTED_VALUE"""),"Q-10715-00")</f>
        <v>Q-10715-00</v>
      </c>
      <c r="E2725" s="6" t="str">
        <f>IFERROR(__xludf.DUMMYFUNCTION("""COMPUTED_VALUE"""),"Lem PVC Isarplas Kuas @400gr; ; ;")</f>
        <v>Lem PVC Isarplas Kuas @400gr; ; ;</v>
      </c>
      <c r="F2725" s="6">
        <f>IFERROR(__xludf.DUMMYFUNCTION("""COMPUTED_VALUE"""),3.0)</f>
        <v>3</v>
      </c>
      <c r="G2725" s="6" t="str">
        <f>IFERROR(__xludf.DUMMYFUNCTION("""COMPUTED_VALUE"""),"Pieces")</f>
        <v>Pieces</v>
      </c>
      <c r="H2725" s="6" t="str">
        <f>IFERROR(__xludf.DUMMYFUNCTION("""COMPUTED_VALUE"""),"IDR")</f>
        <v>IDR</v>
      </c>
      <c r="I2725" s="11">
        <f>IFERROR(__xludf.DUMMYFUNCTION("""COMPUTED_VALUE"""),55000.0)</f>
        <v>55000</v>
      </c>
      <c r="J2725" s="11">
        <f>IFERROR(__xludf.DUMMYFUNCTION("""COMPUTED_VALUE"""),165000.0)</f>
        <v>165000</v>
      </c>
      <c r="K2725" s="57">
        <f>IFERROR(__xludf.DUMMYFUNCTION("""COMPUTED_VALUE"""),45271.0)</f>
        <v>45271</v>
      </c>
      <c r="L2725" s="6" t="str">
        <f>IFERROR(__xludf.DUMMYFUNCTION("""COMPUTED_VALUE"""),"FIP General")</f>
        <v>FIP General</v>
      </c>
      <c r="M2725" s="6" t="str">
        <f>IFERROR(__xludf.DUMMYFUNCTION("""COMPUTED_VALUE"""),"Mochammad Fadhillah Hakim")</f>
        <v>Mochammad Fadhillah Hakim</v>
      </c>
      <c r="N2725" s="6" t="str">
        <f>IFERROR(__xludf.DUMMYFUNCTION("""COMPUTED_VALUE"""),"FIP Engineering")</f>
        <v>FIP Engineering</v>
      </c>
      <c r="O2725" s="6" t="str">
        <f>IFERROR(__xludf.DUMMYFUNCTION("""COMPUTED_VALUE"""),"FIP-DOM-ENG-51502-0000000-INA-000000")</f>
        <v>FIP-DOM-ENG-51502-0000000-INA-000000</v>
      </c>
      <c r="P2725" s="6" t="str">
        <f>IFERROR(__xludf.DUMMYFUNCTION("""COMPUTED_VALUE"""),"PO Closed")</f>
        <v>PO Closed</v>
      </c>
      <c r="Q2725" s="6" t="str">
        <f>IFERROR(__xludf.DUMMYFUNCTION("""COMPUTED_VALUE"""),"GL2312050")</f>
        <v>GL2312050</v>
      </c>
      <c r="R2725" s="57">
        <f>IFERROR(__xludf.DUMMYFUNCTION("""COMPUTED_VALUE"""),45257.0)</f>
        <v>45257</v>
      </c>
      <c r="S2725" s="57">
        <f>IFERROR(__xludf.DUMMYFUNCTION("""COMPUTED_VALUE"""),45264.0)</f>
        <v>45264</v>
      </c>
      <c r="T2725" s="57">
        <f>IFERROR(__xludf.DUMMYFUNCTION("""COMPUTED_VALUE"""),45289.0)</f>
        <v>45289</v>
      </c>
    </row>
    <row r="2726">
      <c r="A2726" s="6" t="str">
        <f>IFERROR(__xludf.DUMMYFUNCTION("""COMPUTED_VALUE"""),"231750914-2")</f>
        <v>231750914-2</v>
      </c>
      <c r="B2726" s="6" t="str">
        <f>IFERROR(__xludf.DUMMYFUNCTION("""COMPUTED_VALUE"""),"231750914 - Approved")</f>
        <v>231750914 - Approved</v>
      </c>
      <c r="C2726" s="6">
        <f>IFERROR(__xludf.DUMMYFUNCTION("""COMPUTED_VALUE"""),2.0)</f>
        <v>2</v>
      </c>
      <c r="D2726" s="6" t="str">
        <f>IFERROR(__xludf.DUMMYFUNCTION("""COMPUTED_VALUE"""),"P-14877-00")</f>
        <v>P-14877-00</v>
      </c>
      <c r="E2726" s="6" t="str">
        <f>IFERROR(__xludf.DUMMYFUNCTION("""COMPUTED_VALUE"""),"Kabel NYYHY 3x2,5mm; ; ;")</f>
        <v>Kabel NYYHY 3x2,5mm; ; ;</v>
      </c>
      <c r="F2726" s="6">
        <f>IFERROR(__xludf.DUMMYFUNCTION("""COMPUTED_VALUE"""),50.0)</f>
        <v>50</v>
      </c>
      <c r="G2726" s="6" t="str">
        <f>IFERROR(__xludf.DUMMYFUNCTION("""COMPUTED_VALUE"""),"Meter")</f>
        <v>Meter</v>
      </c>
      <c r="H2726" s="6" t="str">
        <f>IFERROR(__xludf.DUMMYFUNCTION("""COMPUTED_VALUE"""),"IDR")</f>
        <v>IDR</v>
      </c>
      <c r="I2726" s="11">
        <f>IFERROR(__xludf.DUMMYFUNCTION("""COMPUTED_VALUE"""),100000.0)</f>
        <v>100000</v>
      </c>
      <c r="J2726" s="11">
        <f>IFERROR(__xludf.DUMMYFUNCTION("""COMPUTED_VALUE"""),5000000.0)</f>
        <v>5000000</v>
      </c>
      <c r="K2726" s="57">
        <f>IFERROR(__xludf.DUMMYFUNCTION("""COMPUTED_VALUE"""),45271.0)</f>
        <v>45271</v>
      </c>
      <c r="L2726" s="6" t="str">
        <f>IFERROR(__xludf.DUMMYFUNCTION("""COMPUTED_VALUE"""),"FIP General")</f>
        <v>FIP General</v>
      </c>
      <c r="M2726" s="6" t="str">
        <f>IFERROR(__xludf.DUMMYFUNCTION("""COMPUTED_VALUE"""),"Mochammad Fadhillah Hakim")</f>
        <v>Mochammad Fadhillah Hakim</v>
      </c>
      <c r="N2726" s="6" t="str">
        <f>IFERROR(__xludf.DUMMYFUNCTION("""COMPUTED_VALUE"""),"FIP Engineering")</f>
        <v>FIP Engineering</v>
      </c>
      <c r="O2726" s="6" t="str">
        <f>IFERROR(__xludf.DUMMYFUNCTION("""COMPUTED_VALUE"""),"FIP-DOM-ENG-51504-0000000-INA-000000")</f>
        <v>FIP-DOM-ENG-51504-0000000-INA-000000</v>
      </c>
      <c r="P2726" s="6" t="str">
        <f>IFERROR(__xludf.DUMMYFUNCTION("""COMPUTED_VALUE"""),"PO Closed")</f>
        <v>PO Closed</v>
      </c>
      <c r="Q2726" s="6" t="str">
        <f>IFERROR(__xludf.DUMMYFUNCTION("""COMPUTED_VALUE"""),"GL2312051")</f>
        <v>GL2312051</v>
      </c>
      <c r="R2726" s="57">
        <f>IFERROR(__xludf.DUMMYFUNCTION("""COMPUTED_VALUE"""),45257.0)</f>
        <v>45257</v>
      </c>
      <c r="S2726" s="57">
        <f>IFERROR(__xludf.DUMMYFUNCTION("""COMPUTED_VALUE"""),45264.0)</f>
        <v>45264</v>
      </c>
      <c r="T2726" s="57">
        <f>IFERROR(__xludf.DUMMYFUNCTION("""COMPUTED_VALUE"""),45311.0)</f>
        <v>45311</v>
      </c>
    </row>
    <row r="2727">
      <c r="A2727" s="6" t="str">
        <f>IFERROR(__xludf.DUMMYFUNCTION("""COMPUTED_VALUE"""),"231750914-3")</f>
        <v>231750914-3</v>
      </c>
      <c r="B2727" s="6" t="str">
        <f>IFERROR(__xludf.DUMMYFUNCTION("""COMPUTED_VALUE"""),"231750914 - Approved")</f>
        <v>231750914 - Approved</v>
      </c>
      <c r="C2727" s="6">
        <f>IFERROR(__xludf.DUMMYFUNCTION("""COMPUTED_VALUE"""),3.0)</f>
        <v>3</v>
      </c>
      <c r="D2727" s="6" t="str">
        <f>IFERROR(__xludf.DUMMYFUNCTION("""COMPUTED_VALUE"""),"S-63036-00")</f>
        <v>S-63036-00</v>
      </c>
      <c r="E2727" s="6" t="str">
        <f>IFERROR(__xludf.DUMMYFUNCTION("""COMPUTED_VALUE"""),"Sticker White Doff Viny; ; ;")</f>
        <v>Sticker White Doff Viny; ; ;</v>
      </c>
      <c r="F2727" s="6">
        <f>IFERROR(__xludf.DUMMYFUNCTION("""COMPUTED_VALUE"""),2.0)</f>
        <v>2</v>
      </c>
      <c r="G2727" s="6" t="str">
        <f>IFERROR(__xludf.DUMMYFUNCTION("""COMPUTED_VALUE"""),"Pieces")</f>
        <v>Pieces</v>
      </c>
      <c r="H2727" s="6" t="str">
        <f>IFERROR(__xludf.DUMMYFUNCTION("""COMPUTED_VALUE"""),"IDR")</f>
        <v>IDR</v>
      </c>
      <c r="I2727" s="11">
        <f>IFERROR(__xludf.DUMMYFUNCTION("""COMPUTED_VALUE"""),100000.0)</f>
        <v>100000</v>
      </c>
      <c r="J2727" s="11">
        <f>IFERROR(__xludf.DUMMYFUNCTION("""COMPUTED_VALUE"""),200000.0)</f>
        <v>200000</v>
      </c>
      <c r="K2727" s="57">
        <f>IFERROR(__xludf.DUMMYFUNCTION("""COMPUTED_VALUE"""),45271.0)</f>
        <v>45271</v>
      </c>
      <c r="L2727" s="6" t="str">
        <f>IFERROR(__xludf.DUMMYFUNCTION("""COMPUTED_VALUE"""),"FIP General")</f>
        <v>FIP General</v>
      </c>
      <c r="M2727" s="6" t="str">
        <f>IFERROR(__xludf.DUMMYFUNCTION("""COMPUTED_VALUE"""),"Mochammad Fadhillah Hakim")</f>
        <v>Mochammad Fadhillah Hakim</v>
      </c>
      <c r="N2727" s="6" t="str">
        <f>IFERROR(__xludf.DUMMYFUNCTION("""COMPUTED_VALUE"""),"FIP Engineering")</f>
        <v>FIP Engineering</v>
      </c>
      <c r="O2727" s="6" t="str">
        <f>IFERROR(__xludf.DUMMYFUNCTION("""COMPUTED_VALUE"""),"FIP-DOM-ENG-51504-0000000-INA-000000")</f>
        <v>FIP-DOM-ENG-51504-0000000-INA-000000</v>
      </c>
      <c r="P2727" s="6" t="str">
        <f>IFERROR(__xludf.DUMMYFUNCTION("""COMPUTED_VALUE"""),"PO Closed")</f>
        <v>PO Closed</v>
      </c>
      <c r="Q2727" s="6" t="str">
        <f>IFERROR(__xludf.DUMMYFUNCTION("""COMPUTED_VALUE"""),"GL2312051")</f>
        <v>GL2312051</v>
      </c>
      <c r="R2727" s="57">
        <f>IFERROR(__xludf.DUMMYFUNCTION("""COMPUTED_VALUE"""),45257.0)</f>
        <v>45257</v>
      </c>
      <c r="S2727" s="57">
        <f>IFERROR(__xludf.DUMMYFUNCTION("""COMPUTED_VALUE"""),45264.0)</f>
        <v>45264</v>
      </c>
      <c r="T2727" s="57">
        <f>IFERROR(__xludf.DUMMYFUNCTION("""COMPUTED_VALUE"""),45311.0)</f>
        <v>45311</v>
      </c>
    </row>
    <row r="2728">
      <c r="A2728" s="6" t="str">
        <f>IFERROR(__xludf.DUMMYFUNCTION("""COMPUTED_VALUE"""),"231750914-4")</f>
        <v>231750914-4</v>
      </c>
      <c r="B2728" s="6" t="str">
        <f>IFERROR(__xludf.DUMMYFUNCTION("""COMPUTED_VALUE"""),"231750914 - Approved")</f>
        <v>231750914 - Approved</v>
      </c>
      <c r="C2728" s="6">
        <f>IFERROR(__xludf.DUMMYFUNCTION("""COMPUTED_VALUE"""),4.0)</f>
        <v>4</v>
      </c>
      <c r="D2728" s="6" t="str">
        <f>IFERROR(__xludf.DUMMYFUNCTION("""COMPUTED_VALUE"""),"S-42148-00")</f>
        <v>S-42148-00</v>
      </c>
      <c r="E2728" s="6" t="str">
        <f>IFERROR(__xludf.DUMMYFUNCTION("""COMPUTED_VALUE"""),"Plakban Kuning Size 1")</f>
        <v>Plakban Kuning Size 1</v>
      </c>
      <c r="F2728" s="6">
        <f>IFERROR(__xludf.DUMMYFUNCTION("""COMPUTED_VALUE"""),10.0)</f>
        <v>10</v>
      </c>
      <c r="G2728" s="6" t="str">
        <f>IFERROR(__xludf.DUMMYFUNCTION("""COMPUTED_VALUE"""),"Roll")</f>
        <v>Roll</v>
      </c>
      <c r="H2728" s="6" t="str">
        <f>IFERROR(__xludf.DUMMYFUNCTION("""COMPUTED_VALUE"""),"IDR")</f>
        <v>IDR</v>
      </c>
      <c r="I2728" s="11">
        <f>IFERROR(__xludf.DUMMYFUNCTION("""COMPUTED_VALUE"""),8000.0)</f>
        <v>8000</v>
      </c>
      <c r="J2728" s="11">
        <f>IFERROR(__xludf.DUMMYFUNCTION("""COMPUTED_VALUE"""),80000.0)</f>
        <v>80000</v>
      </c>
      <c r="K2728" s="57">
        <f>IFERROR(__xludf.DUMMYFUNCTION("""COMPUTED_VALUE"""),45271.0)</f>
        <v>45271</v>
      </c>
      <c r="L2728" s="6" t="str">
        <f>IFERROR(__xludf.DUMMYFUNCTION("""COMPUTED_VALUE"""),"FIP General")</f>
        <v>FIP General</v>
      </c>
      <c r="M2728" s="6" t="str">
        <f>IFERROR(__xludf.DUMMYFUNCTION("""COMPUTED_VALUE"""),"Mochammad Fadhillah Hakim")</f>
        <v>Mochammad Fadhillah Hakim</v>
      </c>
      <c r="N2728" s="6" t="str">
        <f>IFERROR(__xludf.DUMMYFUNCTION("""COMPUTED_VALUE"""),"FIP Engineering")</f>
        <v>FIP Engineering</v>
      </c>
      <c r="O2728" s="6" t="str">
        <f>IFERROR(__xludf.DUMMYFUNCTION("""COMPUTED_VALUE"""),"FIP-DOM-ENG-51404-0000000-INA-000000")</f>
        <v>FIP-DOM-ENG-51404-0000000-INA-000000</v>
      </c>
      <c r="P2728" s="6" t="str">
        <f>IFERROR(__xludf.DUMMYFUNCTION("""COMPUTED_VALUE"""),"PO Closed")</f>
        <v>PO Closed</v>
      </c>
      <c r="Q2728" s="6" t="str">
        <f>IFERROR(__xludf.DUMMYFUNCTION("""COMPUTED_VALUE"""),"GL2312013")</f>
        <v>GL2312013</v>
      </c>
      <c r="R2728" s="57">
        <f>IFERROR(__xludf.DUMMYFUNCTION("""COMPUTED_VALUE"""),45257.0)</f>
        <v>45257</v>
      </c>
      <c r="S2728" s="57">
        <f>IFERROR(__xludf.DUMMYFUNCTION("""COMPUTED_VALUE"""),45264.0)</f>
        <v>45264</v>
      </c>
      <c r="T2728" s="57">
        <f>IFERROR(__xludf.DUMMYFUNCTION("""COMPUTED_VALUE"""),45288.0)</f>
        <v>45288</v>
      </c>
    </row>
    <row r="2729">
      <c r="A2729" s="6" t="str">
        <f>IFERROR(__xludf.DUMMYFUNCTION("""COMPUTED_VALUE"""),"231750914-5")</f>
        <v>231750914-5</v>
      </c>
      <c r="B2729" s="6" t="str">
        <f>IFERROR(__xludf.DUMMYFUNCTION("""COMPUTED_VALUE"""),"231750914 - Approved")</f>
        <v>231750914 - Approved</v>
      </c>
      <c r="C2729" s="6">
        <f>IFERROR(__xludf.DUMMYFUNCTION("""COMPUTED_VALUE"""),5.0)</f>
        <v>5</v>
      </c>
      <c r="D2729" s="6" t="str">
        <f>IFERROR(__xludf.DUMMYFUNCTION("""COMPUTED_VALUE"""),"Q-70040-00")</f>
        <v>Q-70040-00</v>
      </c>
      <c r="E2729" s="6" t="str">
        <f>IFERROR(__xludf.DUMMYFUNCTION("""COMPUTED_VALUE"""),"Tang Potong ukuran 6 inch, Merk : Tekiro; ; ;")</f>
        <v>Tang Potong ukuran 6 inch, Merk : Tekiro; ; ;</v>
      </c>
      <c r="F2729" s="6">
        <f>IFERROR(__xludf.DUMMYFUNCTION("""COMPUTED_VALUE"""),2.0)</f>
        <v>2</v>
      </c>
      <c r="G2729" s="6" t="str">
        <f>IFERROR(__xludf.DUMMYFUNCTION("""COMPUTED_VALUE"""),"Pieces")</f>
        <v>Pieces</v>
      </c>
      <c r="H2729" s="6" t="str">
        <f>IFERROR(__xludf.DUMMYFUNCTION("""COMPUTED_VALUE"""),"IDR")</f>
        <v>IDR</v>
      </c>
      <c r="I2729" s="11">
        <f>IFERROR(__xludf.DUMMYFUNCTION("""COMPUTED_VALUE"""),65000.0)</f>
        <v>65000</v>
      </c>
      <c r="J2729" s="11">
        <f>IFERROR(__xludf.DUMMYFUNCTION("""COMPUTED_VALUE"""),130000.0)</f>
        <v>130000</v>
      </c>
      <c r="K2729" s="57">
        <f>IFERROR(__xludf.DUMMYFUNCTION("""COMPUTED_VALUE"""),45271.0)</f>
        <v>45271</v>
      </c>
      <c r="L2729" s="6" t="str">
        <f>IFERROR(__xludf.DUMMYFUNCTION("""COMPUTED_VALUE"""),"FIP General")</f>
        <v>FIP General</v>
      </c>
      <c r="M2729" s="6" t="str">
        <f>IFERROR(__xludf.DUMMYFUNCTION("""COMPUTED_VALUE"""),"Mochammad Fadhillah Hakim")</f>
        <v>Mochammad Fadhillah Hakim</v>
      </c>
      <c r="N2729" s="6" t="str">
        <f>IFERROR(__xludf.DUMMYFUNCTION("""COMPUTED_VALUE"""),"FIP Engineering")</f>
        <v>FIP Engineering</v>
      </c>
      <c r="O2729" s="6" t="str">
        <f>IFERROR(__xludf.DUMMYFUNCTION("""COMPUTED_VALUE"""),"FIP-DOM-ENG-51404-0000000-INA-000000")</f>
        <v>FIP-DOM-ENG-51404-0000000-INA-000000</v>
      </c>
      <c r="P2729" s="6" t="str">
        <f>IFERROR(__xludf.DUMMYFUNCTION("""COMPUTED_VALUE"""),"PO Closed")</f>
        <v>PO Closed</v>
      </c>
      <c r="Q2729" s="6" t="str">
        <f>IFERROR(__xludf.DUMMYFUNCTION("""COMPUTED_VALUE"""),"GL2312050")</f>
        <v>GL2312050</v>
      </c>
      <c r="R2729" s="57">
        <f>IFERROR(__xludf.DUMMYFUNCTION("""COMPUTED_VALUE"""),45257.0)</f>
        <v>45257</v>
      </c>
      <c r="S2729" s="57">
        <f>IFERROR(__xludf.DUMMYFUNCTION("""COMPUTED_VALUE"""),45264.0)</f>
        <v>45264</v>
      </c>
      <c r="T2729" s="57">
        <f>IFERROR(__xludf.DUMMYFUNCTION("""COMPUTED_VALUE"""),45289.0)</f>
        <v>45289</v>
      </c>
    </row>
    <row r="2730">
      <c r="A2730" s="6" t="str">
        <f>IFERROR(__xludf.DUMMYFUNCTION("""COMPUTED_VALUE"""),"231750915-1")</f>
        <v>231750915-1</v>
      </c>
      <c r="B2730" s="6" t="str">
        <f>IFERROR(__xludf.DUMMYFUNCTION("""COMPUTED_VALUE"""),"231750915 - Approved")</f>
        <v>231750915 - Approved</v>
      </c>
      <c r="C2730" s="6">
        <f>IFERROR(__xludf.DUMMYFUNCTION("""COMPUTED_VALUE"""),1.0)</f>
        <v>1</v>
      </c>
      <c r="D2730" s="6" t="str">
        <f>IFERROR(__xludf.DUMMYFUNCTION("""COMPUTED_VALUE"""),"T-20123-00")</f>
        <v>T-20123-00</v>
      </c>
      <c r="E273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730" s="6">
        <f>IFERROR(__xludf.DUMMYFUNCTION("""COMPUTED_VALUE"""),2.0)</f>
        <v>2</v>
      </c>
      <c r="G2730" s="6" t="str">
        <f>IFERROR(__xludf.DUMMYFUNCTION("""COMPUTED_VALUE"""),"Pieces")</f>
        <v>Pieces</v>
      </c>
      <c r="H2730" s="6" t="str">
        <f>IFERROR(__xludf.DUMMYFUNCTION("""COMPUTED_VALUE"""),"IDR")</f>
        <v>IDR</v>
      </c>
      <c r="I2730" s="11">
        <f>IFERROR(__xludf.DUMMYFUNCTION("""COMPUTED_VALUE"""),1.32E7)</f>
        <v>13200000</v>
      </c>
      <c r="J2730" s="11">
        <f>IFERROR(__xludf.DUMMYFUNCTION("""COMPUTED_VALUE"""),2.64E7)</f>
        <v>26400000</v>
      </c>
      <c r="K2730" s="57">
        <f>IFERROR(__xludf.DUMMYFUNCTION("""COMPUTED_VALUE"""),45271.0)</f>
        <v>45271</v>
      </c>
      <c r="L2730" s="6" t="str">
        <f>IFERROR(__xludf.DUMMYFUNCTION("""COMPUTED_VALUE"""),"FIP General")</f>
        <v>FIP General</v>
      </c>
      <c r="M2730" s="6" t="str">
        <f>IFERROR(__xludf.DUMMYFUNCTION("""COMPUTED_VALUE"""),"Mochammad Fadhillah Hakim")</f>
        <v>Mochammad Fadhillah Hakim</v>
      </c>
      <c r="N2730" s="6" t="str">
        <f>IFERROR(__xludf.DUMMYFUNCTION("""COMPUTED_VALUE"""),"FIP Engineering")</f>
        <v>FIP Engineering</v>
      </c>
      <c r="O2730" s="6" t="str">
        <f>IFERROR(__xludf.DUMMYFUNCTION("""COMPUTED_VALUE"""),"FIP-DOM-ENG-51505-0000000-INA-000000")</f>
        <v>FIP-DOM-ENG-51505-0000000-INA-000000</v>
      </c>
      <c r="P2730" s="6" t="str">
        <f>IFERROR(__xludf.DUMMYFUNCTION("""COMPUTED_VALUE"""),"PO Closed")</f>
        <v>PO Closed</v>
      </c>
      <c r="Q2730" s="6" t="str">
        <f>IFERROR(__xludf.DUMMYFUNCTION("""COMPUTED_VALUE"""),"GL2312329")</f>
        <v>GL2312329</v>
      </c>
      <c r="R2730" s="57">
        <f>IFERROR(__xludf.DUMMYFUNCTION("""COMPUTED_VALUE"""),45257.0)</f>
        <v>45257</v>
      </c>
      <c r="S2730" s="57">
        <f>IFERROR(__xludf.DUMMYFUNCTION("""COMPUTED_VALUE"""),45264.0)</f>
        <v>45264</v>
      </c>
      <c r="T2730" s="57">
        <f>IFERROR(__xludf.DUMMYFUNCTION("""COMPUTED_VALUE"""),45310.0)</f>
        <v>45310</v>
      </c>
    </row>
    <row r="2731">
      <c r="A2731" s="6" t="str">
        <f>IFERROR(__xludf.DUMMYFUNCTION("""COMPUTED_VALUE"""),"231750916-1")</f>
        <v>231750916-1</v>
      </c>
      <c r="B2731" s="6" t="str">
        <f>IFERROR(__xludf.DUMMYFUNCTION("""COMPUTED_VALUE"""),"231750916 - Approved")</f>
        <v>231750916 - Approved</v>
      </c>
      <c r="C2731" s="6">
        <f>IFERROR(__xludf.DUMMYFUNCTION("""COMPUTED_VALUE"""),1.0)</f>
        <v>1</v>
      </c>
      <c r="D2731" s="6" t="str">
        <f>IFERROR(__xludf.DUMMYFUNCTION("""COMPUTED_VALUE"""),"O-14641-00")</f>
        <v>O-14641-00</v>
      </c>
      <c r="E2731" s="6" t="str">
        <f>IFERROR(__xludf.DUMMYFUNCTION("""COMPUTED_VALUE"""),"Silicone Gasket for Ferrule dia. 1""; ; ;")</f>
        <v>Silicone Gasket for Ferrule dia. 1"; ; ;</v>
      </c>
      <c r="F2731" s="6">
        <f>IFERROR(__xludf.DUMMYFUNCTION("""COMPUTED_VALUE"""),15.0)</f>
        <v>15</v>
      </c>
      <c r="G2731" s="6" t="str">
        <f>IFERROR(__xludf.DUMMYFUNCTION("""COMPUTED_VALUE"""),"Pieces")</f>
        <v>Pieces</v>
      </c>
      <c r="H2731" s="6" t="str">
        <f>IFERROR(__xludf.DUMMYFUNCTION("""COMPUTED_VALUE"""),"IDR")</f>
        <v>IDR</v>
      </c>
      <c r="I2731" s="11">
        <f>IFERROR(__xludf.DUMMYFUNCTION("""COMPUTED_VALUE"""),9600.0)</f>
        <v>9600</v>
      </c>
      <c r="J2731" s="11">
        <f>IFERROR(__xludf.DUMMYFUNCTION("""COMPUTED_VALUE"""),144000.0)</f>
        <v>144000</v>
      </c>
      <c r="K2731" s="57">
        <f>IFERROR(__xludf.DUMMYFUNCTION("""COMPUTED_VALUE"""),45271.0)</f>
        <v>45271</v>
      </c>
      <c r="L2731" s="6" t="str">
        <f>IFERROR(__xludf.DUMMYFUNCTION("""COMPUTED_VALUE"""),"FIP Engineering")</f>
        <v>FIP Engineering</v>
      </c>
      <c r="M2731" s="6" t="str">
        <f>IFERROR(__xludf.DUMMYFUNCTION("""COMPUTED_VALUE"""),"Mochammad Fadhillah Hakim")</f>
        <v>Mochammad Fadhillah Hakim</v>
      </c>
      <c r="N2731" s="6" t="str">
        <f>IFERROR(__xludf.DUMMYFUNCTION("""COMPUTED_VALUE"""),"FIP Engineering")</f>
        <v>FIP Engineering</v>
      </c>
      <c r="O2731" s="6" t="str">
        <f>IFERROR(__xludf.DUMMYFUNCTION("""COMPUTED_VALUE"""),"FIP-DOM-000-11304-OS00001-INA-000000")</f>
        <v>FIP-DOM-000-11304-OS00001-INA-000000</v>
      </c>
      <c r="P2731" s="6" t="str">
        <f>IFERROR(__xludf.DUMMYFUNCTION("""COMPUTED_VALUE"""),"PO Closed")</f>
        <v>PO Closed</v>
      </c>
      <c r="Q2731" s="6" t="str">
        <f>IFERROR(__xludf.DUMMYFUNCTION("""COMPUTED_VALUE"""),"GL2312017")</f>
        <v>GL2312017</v>
      </c>
      <c r="R2731" s="57">
        <f>IFERROR(__xludf.DUMMYFUNCTION("""COMPUTED_VALUE"""),45257.0)</f>
        <v>45257</v>
      </c>
      <c r="S2731" s="57">
        <f>IFERROR(__xludf.DUMMYFUNCTION("""COMPUTED_VALUE"""),45264.0)</f>
        <v>45264</v>
      </c>
      <c r="T2731" s="57">
        <f>IFERROR(__xludf.DUMMYFUNCTION("""COMPUTED_VALUE"""),45285.0)</f>
        <v>45285</v>
      </c>
    </row>
    <row r="2732">
      <c r="A2732" s="6" t="str">
        <f>IFERROR(__xludf.DUMMYFUNCTION("""COMPUTED_VALUE"""),"231750916-2")</f>
        <v>231750916-2</v>
      </c>
      <c r="B2732" s="6" t="str">
        <f>IFERROR(__xludf.DUMMYFUNCTION("""COMPUTED_VALUE"""),"231750916 - Approved")</f>
        <v>231750916 - Approved</v>
      </c>
      <c r="C2732" s="6">
        <f>IFERROR(__xludf.DUMMYFUNCTION("""COMPUTED_VALUE"""),2.0)</f>
        <v>2</v>
      </c>
      <c r="D2732" s="6" t="str">
        <f>IFERROR(__xludf.DUMMYFUNCTION("""COMPUTED_VALUE"""),"O-54014-00")</f>
        <v>O-54014-00</v>
      </c>
      <c r="E2732" s="6" t="str">
        <f>IFERROR(__xludf.DUMMYFUNCTION("""COMPUTED_VALUE"""),"STEKER 1 PHASE, BROCO")</f>
        <v>STEKER 1 PHASE, BROCO</v>
      </c>
      <c r="F2732" s="6">
        <f>IFERROR(__xludf.DUMMYFUNCTION("""COMPUTED_VALUE"""),10.0)</f>
        <v>10</v>
      </c>
      <c r="G2732" s="6" t="str">
        <f>IFERROR(__xludf.DUMMYFUNCTION("""COMPUTED_VALUE"""),"Pieces")</f>
        <v>Pieces</v>
      </c>
      <c r="H2732" s="6" t="str">
        <f>IFERROR(__xludf.DUMMYFUNCTION("""COMPUTED_VALUE"""),"IDR")</f>
        <v>IDR</v>
      </c>
      <c r="I2732" s="11">
        <f>IFERROR(__xludf.DUMMYFUNCTION("""COMPUTED_VALUE"""),10000.0)</f>
        <v>10000</v>
      </c>
      <c r="J2732" s="11">
        <f>IFERROR(__xludf.DUMMYFUNCTION("""COMPUTED_VALUE"""),100000.0)</f>
        <v>100000</v>
      </c>
      <c r="K2732" s="57">
        <f>IFERROR(__xludf.DUMMYFUNCTION("""COMPUTED_VALUE"""),45271.0)</f>
        <v>45271</v>
      </c>
      <c r="L2732" s="6" t="str">
        <f>IFERROR(__xludf.DUMMYFUNCTION("""COMPUTED_VALUE"""),"FIP Engineering")</f>
        <v>FIP Engineering</v>
      </c>
      <c r="M2732" s="6" t="str">
        <f>IFERROR(__xludf.DUMMYFUNCTION("""COMPUTED_VALUE"""),"Mochammad Fadhillah Hakim")</f>
        <v>Mochammad Fadhillah Hakim</v>
      </c>
      <c r="N2732" s="6" t="str">
        <f>IFERROR(__xludf.DUMMYFUNCTION("""COMPUTED_VALUE"""),"FIP Engineering")</f>
        <v>FIP Engineering</v>
      </c>
      <c r="O2732" s="6" t="str">
        <f>IFERROR(__xludf.DUMMYFUNCTION("""COMPUTED_VALUE"""),"FIP-DOM-000-11304-OS00001-INA-000000")</f>
        <v>FIP-DOM-000-11304-OS00001-INA-000000</v>
      </c>
      <c r="P2732" s="6" t="str">
        <f>IFERROR(__xludf.DUMMYFUNCTION("""COMPUTED_VALUE"""),"PO Closed")</f>
        <v>PO Closed</v>
      </c>
      <c r="Q2732" s="6" t="str">
        <f>IFERROR(__xludf.DUMMYFUNCTION("""COMPUTED_VALUE"""),"GL2312017")</f>
        <v>GL2312017</v>
      </c>
      <c r="R2732" s="57">
        <f>IFERROR(__xludf.DUMMYFUNCTION("""COMPUTED_VALUE"""),45257.0)</f>
        <v>45257</v>
      </c>
      <c r="S2732" s="57">
        <f>IFERROR(__xludf.DUMMYFUNCTION("""COMPUTED_VALUE"""),45264.0)</f>
        <v>45264</v>
      </c>
      <c r="T2732" s="57">
        <f>IFERROR(__xludf.DUMMYFUNCTION("""COMPUTED_VALUE"""),45285.0)</f>
        <v>45285</v>
      </c>
    </row>
    <row r="2733">
      <c r="A2733" s="6" t="str">
        <f>IFERROR(__xludf.DUMMYFUNCTION("""COMPUTED_VALUE"""),"231750916-3")</f>
        <v>231750916-3</v>
      </c>
      <c r="B2733" s="6" t="str">
        <f>IFERROR(__xludf.DUMMYFUNCTION("""COMPUTED_VALUE"""),"231750916 - Approved")</f>
        <v>231750916 - Approved</v>
      </c>
      <c r="C2733" s="6">
        <f>IFERROR(__xludf.DUMMYFUNCTION("""COMPUTED_VALUE"""),3.0)</f>
        <v>3</v>
      </c>
      <c r="D2733" s="6" t="str">
        <f>IFERROR(__xludf.DUMMYFUNCTION("""COMPUTED_VALUE"""),"P-51027-00")</f>
        <v>P-51027-00</v>
      </c>
      <c r="E273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F2733" s="6">
        <f>IFERROR(__xludf.DUMMYFUNCTION("""COMPUTED_VALUE"""),10.0)</f>
        <v>10</v>
      </c>
      <c r="G2733" s="6" t="str">
        <f>IFERROR(__xludf.DUMMYFUNCTION("""COMPUTED_VALUE"""),"Pieces")</f>
        <v>Pieces</v>
      </c>
      <c r="H2733" s="6" t="str">
        <f>IFERROR(__xludf.DUMMYFUNCTION("""COMPUTED_VALUE"""),"IDR")</f>
        <v>IDR</v>
      </c>
      <c r="I2733" s="11">
        <f>IFERROR(__xludf.DUMMYFUNCTION("""COMPUTED_VALUE"""),40500.0)</f>
        <v>40500</v>
      </c>
      <c r="J2733" s="11">
        <f>IFERROR(__xludf.DUMMYFUNCTION("""COMPUTED_VALUE"""),405000.0)</f>
        <v>405000</v>
      </c>
      <c r="K2733" s="57">
        <f>IFERROR(__xludf.DUMMYFUNCTION("""COMPUTED_VALUE"""),45271.0)</f>
        <v>45271</v>
      </c>
      <c r="L2733" s="6" t="str">
        <f>IFERROR(__xludf.DUMMYFUNCTION("""COMPUTED_VALUE"""),"FIP Engineering")</f>
        <v>FIP Engineering</v>
      </c>
      <c r="M2733" s="6" t="str">
        <f>IFERROR(__xludf.DUMMYFUNCTION("""COMPUTED_VALUE"""),"Mochammad Fadhillah Hakim")</f>
        <v>Mochammad Fadhillah Hakim</v>
      </c>
      <c r="N2733" s="6" t="str">
        <f>IFERROR(__xludf.DUMMYFUNCTION("""COMPUTED_VALUE"""),"FIP Engineering")</f>
        <v>FIP Engineering</v>
      </c>
      <c r="O2733" s="6" t="str">
        <f>IFERROR(__xludf.DUMMYFUNCTION("""COMPUTED_VALUE"""),"FIP-DOM-000-11304-OS00001-INA-000000")</f>
        <v>FIP-DOM-000-11304-OS00001-INA-000000</v>
      </c>
      <c r="P2733" s="6" t="str">
        <f>IFERROR(__xludf.DUMMYFUNCTION("""COMPUTED_VALUE"""),"PO Closed")</f>
        <v>PO Closed</v>
      </c>
      <c r="Q2733" s="6" t="str">
        <f>IFERROR(__xludf.DUMMYFUNCTION("""COMPUTED_VALUE"""),"GL2312017")</f>
        <v>GL2312017</v>
      </c>
      <c r="R2733" s="57">
        <f>IFERROR(__xludf.DUMMYFUNCTION("""COMPUTED_VALUE"""),45257.0)</f>
        <v>45257</v>
      </c>
      <c r="S2733" s="57">
        <f>IFERROR(__xludf.DUMMYFUNCTION("""COMPUTED_VALUE"""),45264.0)</f>
        <v>45264</v>
      </c>
      <c r="T2733" s="57">
        <f>IFERROR(__xludf.DUMMYFUNCTION("""COMPUTED_VALUE"""),45285.0)</f>
        <v>45285</v>
      </c>
    </row>
    <row r="2734">
      <c r="A2734" s="6" t="str">
        <f>IFERROR(__xludf.DUMMYFUNCTION("""COMPUTED_VALUE"""),"231750916-4")</f>
        <v>231750916-4</v>
      </c>
      <c r="B2734" s="6" t="str">
        <f>IFERROR(__xludf.DUMMYFUNCTION("""COMPUTED_VALUE"""),"231750916 - Approved")</f>
        <v>231750916 - Approved</v>
      </c>
      <c r="C2734" s="6">
        <f>IFERROR(__xludf.DUMMYFUNCTION("""COMPUTED_VALUE"""),4.0)</f>
        <v>4</v>
      </c>
      <c r="D2734" s="6" t="str">
        <f>IFERROR(__xludf.DUMMYFUNCTION("""COMPUTED_VALUE"""),"P-12258-00")</f>
        <v>P-12258-00</v>
      </c>
      <c r="E2734" s="6" t="str">
        <f>IFERROR(__xludf.DUMMYFUNCTION("""COMPUTED_VALUE"""),"FESTO - Push In Connector QS-10-10")</f>
        <v>FESTO - Push In Connector QS-10-10</v>
      </c>
      <c r="F2734" s="6">
        <f>IFERROR(__xludf.DUMMYFUNCTION("""COMPUTED_VALUE"""),10.0)</f>
        <v>10</v>
      </c>
      <c r="G2734" s="6" t="str">
        <f>IFERROR(__xludf.DUMMYFUNCTION("""COMPUTED_VALUE"""),"Pieces")</f>
        <v>Pieces</v>
      </c>
      <c r="H2734" s="6" t="str">
        <f>IFERROR(__xludf.DUMMYFUNCTION("""COMPUTED_VALUE"""),"IDR")</f>
        <v>IDR</v>
      </c>
      <c r="I2734" s="11">
        <f>IFERROR(__xludf.DUMMYFUNCTION("""COMPUTED_VALUE"""),64222.0)</f>
        <v>64222</v>
      </c>
      <c r="J2734" s="11">
        <f>IFERROR(__xludf.DUMMYFUNCTION("""COMPUTED_VALUE"""),642220.0)</f>
        <v>642220</v>
      </c>
      <c r="K2734" s="57">
        <f>IFERROR(__xludf.DUMMYFUNCTION("""COMPUTED_VALUE"""),45271.0)</f>
        <v>45271</v>
      </c>
      <c r="L2734" s="6" t="str">
        <f>IFERROR(__xludf.DUMMYFUNCTION("""COMPUTED_VALUE"""),"FIP Engineering")</f>
        <v>FIP Engineering</v>
      </c>
      <c r="M2734" s="6" t="str">
        <f>IFERROR(__xludf.DUMMYFUNCTION("""COMPUTED_VALUE"""),"Mochammad Fadhillah Hakim")</f>
        <v>Mochammad Fadhillah Hakim</v>
      </c>
      <c r="N2734" s="6" t="str">
        <f>IFERROR(__xludf.DUMMYFUNCTION("""COMPUTED_VALUE"""),"FIP Engineering")</f>
        <v>FIP Engineering</v>
      </c>
      <c r="O2734" s="6" t="str">
        <f>IFERROR(__xludf.DUMMYFUNCTION("""COMPUTED_VALUE"""),"FIP-DOM-000-11304-OS00001-INA-000000")</f>
        <v>FIP-DOM-000-11304-OS00001-INA-000000</v>
      </c>
      <c r="P2734" s="6" t="str">
        <f>IFERROR(__xludf.DUMMYFUNCTION("""COMPUTED_VALUE"""),"PO Closed")</f>
        <v>PO Closed</v>
      </c>
      <c r="Q2734" s="6" t="str">
        <f>IFERROR(__xludf.DUMMYFUNCTION("""COMPUTED_VALUE"""),"GL2312321")</f>
        <v>GL2312321</v>
      </c>
      <c r="R2734" s="57">
        <f>IFERROR(__xludf.DUMMYFUNCTION("""COMPUTED_VALUE"""),45257.0)</f>
        <v>45257</v>
      </c>
      <c r="S2734" s="57">
        <f>IFERROR(__xludf.DUMMYFUNCTION("""COMPUTED_VALUE"""),45264.0)</f>
        <v>45264</v>
      </c>
      <c r="T2734" s="57">
        <f>IFERROR(__xludf.DUMMYFUNCTION("""COMPUTED_VALUE"""),45309.0)</f>
        <v>45309</v>
      </c>
    </row>
    <row r="2735">
      <c r="A2735" s="6" t="str">
        <f>IFERROR(__xludf.DUMMYFUNCTION("""COMPUTED_VALUE"""),"231750916-5")</f>
        <v>231750916-5</v>
      </c>
      <c r="B2735" s="6" t="str">
        <f>IFERROR(__xludf.DUMMYFUNCTION("""COMPUTED_VALUE"""),"231750916 - Approved")</f>
        <v>231750916 - Approved</v>
      </c>
      <c r="C2735" s="6">
        <f>IFERROR(__xludf.DUMMYFUNCTION("""COMPUTED_VALUE"""),5.0)</f>
        <v>5</v>
      </c>
      <c r="D2735" s="6" t="str">
        <f>IFERROR(__xludf.DUMMYFUNCTION("""COMPUTED_VALUE"""),"O-15931-00")</f>
        <v>O-15931-00</v>
      </c>
      <c r="E2735" s="6" t="str">
        <f>IFERROR(__xludf.DUMMYFUNCTION("""COMPUTED_VALUE"""),"Double Tape 3M 1"" Merah - P/N : - pc")</f>
        <v>Double Tape 3M 1" Merah - P/N : - pc</v>
      </c>
      <c r="F2735" s="6">
        <f>IFERROR(__xludf.DUMMYFUNCTION("""COMPUTED_VALUE"""),5.0)</f>
        <v>5</v>
      </c>
      <c r="G2735" s="6" t="str">
        <f>IFERROR(__xludf.DUMMYFUNCTION("""COMPUTED_VALUE"""),"Pieces")</f>
        <v>Pieces</v>
      </c>
      <c r="H2735" s="6" t="str">
        <f>IFERROR(__xludf.DUMMYFUNCTION("""COMPUTED_VALUE"""),"IDR")</f>
        <v>IDR</v>
      </c>
      <c r="I2735" s="11">
        <f>IFERROR(__xludf.DUMMYFUNCTION("""COMPUTED_VALUE"""),112500.0)</f>
        <v>112500</v>
      </c>
      <c r="J2735" s="11">
        <f>IFERROR(__xludf.DUMMYFUNCTION("""COMPUTED_VALUE"""),562500.0)</f>
        <v>562500</v>
      </c>
      <c r="K2735" s="57">
        <f>IFERROR(__xludf.DUMMYFUNCTION("""COMPUTED_VALUE"""),45271.0)</f>
        <v>45271</v>
      </c>
      <c r="L2735" s="6" t="str">
        <f>IFERROR(__xludf.DUMMYFUNCTION("""COMPUTED_VALUE"""),"FIP Engineering")</f>
        <v>FIP Engineering</v>
      </c>
      <c r="M2735" s="6" t="str">
        <f>IFERROR(__xludf.DUMMYFUNCTION("""COMPUTED_VALUE"""),"Mochammad Fadhillah Hakim")</f>
        <v>Mochammad Fadhillah Hakim</v>
      </c>
      <c r="N2735" s="6" t="str">
        <f>IFERROR(__xludf.DUMMYFUNCTION("""COMPUTED_VALUE"""),"FIP Engineering")</f>
        <v>FIP Engineering</v>
      </c>
      <c r="O2735" s="6" t="str">
        <f>IFERROR(__xludf.DUMMYFUNCTION("""COMPUTED_VALUE"""),"FIP-DOM-000-11304-OS00001-INA-000000")</f>
        <v>FIP-DOM-000-11304-OS00001-INA-000000</v>
      </c>
      <c r="P2735" s="6" t="str">
        <f>IFERROR(__xludf.DUMMYFUNCTION("""COMPUTED_VALUE"""),"PO Closed")</f>
        <v>PO Closed</v>
      </c>
      <c r="Q2735" s="6" t="str">
        <f>IFERROR(__xludf.DUMMYFUNCTION("""COMPUTED_VALUE"""),"GL2312017")</f>
        <v>GL2312017</v>
      </c>
      <c r="R2735" s="57">
        <f>IFERROR(__xludf.DUMMYFUNCTION("""COMPUTED_VALUE"""),45257.0)</f>
        <v>45257</v>
      </c>
      <c r="S2735" s="57">
        <f>IFERROR(__xludf.DUMMYFUNCTION("""COMPUTED_VALUE"""),45264.0)</f>
        <v>45264</v>
      </c>
      <c r="T2735" s="57">
        <f>IFERROR(__xludf.DUMMYFUNCTION("""COMPUTED_VALUE"""),45285.0)</f>
        <v>45285</v>
      </c>
    </row>
    <row r="2736">
      <c r="A2736" s="6" t="str">
        <f>IFERROR(__xludf.DUMMYFUNCTION("""COMPUTED_VALUE"""),"231750916-6")</f>
        <v>231750916-6</v>
      </c>
      <c r="B2736" s="6" t="str">
        <f>IFERROR(__xludf.DUMMYFUNCTION("""COMPUTED_VALUE"""),"231750916 - Approved")</f>
        <v>231750916 - Approved</v>
      </c>
      <c r="C2736" s="6">
        <f>IFERROR(__xludf.DUMMYFUNCTION("""COMPUTED_VALUE"""),6.0)</f>
        <v>6</v>
      </c>
      <c r="D2736" s="6" t="str">
        <f>IFERROR(__xludf.DUMMYFUNCTION("""COMPUTED_VALUE"""),"P-15852-00")</f>
        <v>P-15852-00</v>
      </c>
      <c r="E2736" s="6" t="str">
        <f>IFERROR(__xludf.DUMMYFUNCTION("""COMPUTED_VALUE"""),"AMPLAS EAGLE 500")</f>
        <v>AMPLAS EAGLE 500</v>
      </c>
      <c r="F2736" s="6">
        <f>IFERROR(__xludf.DUMMYFUNCTION("""COMPUTED_VALUE"""),10.0)</f>
        <v>10</v>
      </c>
      <c r="G2736" s="6" t="str">
        <f>IFERROR(__xludf.DUMMYFUNCTION("""COMPUTED_VALUE"""),"Pieces")</f>
        <v>Pieces</v>
      </c>
      <c r="H2736" s="6" t="str">
        <f>IFERROR(__xludf.DUMMYFUNCTION("""COMPUTED_VALUE"""),"IDR")</f>
        <v>IDR</v>
      </c>
      <c r="I2736" s="11">
        <f>IFERROR(__xludf.DUMMYFUNCTION("""COMPUTED_VALUE"""),4500.0)</f>
        <v>4500</v>
      </c>
      <c r="J2736" s="11">
        <f>IFERROR(__xludf.DUMMYFUNCTION("""COMPUTED_VALUE"""),45000.0)</f>
        <v>45000</v>
      </c>
      <c r="K2736" s="57">
        <f>IFERROR(__xludf.DUMMYFUNCTION("""COMPUTED_VALUE"""),45271.0)</f>
        <v>45271</v>
      </c>
      <c r="L2736" s="6" t="str">
        <f>IFERROR(__xludf.DUMMYFUNCTION("""COMPUTED_VALUE"""),"FIP Engineering")</f>
        <v>FIP Engineering</v>
      </c>
      <c r="M2736" s="6" t="str">
        <f>IFERROR(__xludf.DUMMYFUNCTION("""COMPUTED_VALUE"""),"Mochammad Fadhillah Hakim")</f>
        <v>Mochammad Fadhillah Hakim</v>
      </c>
      <c r="N2736" s="6" t="str">
        <f>IFERROR(__xludf.DUMMYFUNCTION("""COMPUTED_VALUE"""),"FIP Engineering")</f>
        <v>FIP Engineering</v>
      </c>
      <c r="O2736" s="6" t="str">
        <f>IFERROR(__xludf.DUMMYFUNCTION("""COMPUTED_VALUE"""),"FIP-DOM-000-11304-OS00001-INA-000000")</f>
        <v>FIP-DOM-000-11304-OS00001-INA-000000</v>
      </c>
      <c r="P2736" s="6" t="str">
        <f>IFERROR(__xludf.DUMMYFUNCTION("""COMPUTED_VALUE"""),"PO Closed")</f>
        <v>PO Closed</v>
      </c>
      <c r="Q2736" s="6" t="str">
        <f>IFERROR(__xludf.DUMMYFUNCTION("""COMPUTED_VALUE"""),"GL2312017")</f>
        <v>GL2312017</v>
      </c>
      <c r="R2736" s="57">
        <f>IFERROR(__xludf.DUMMYFUNCTION("""COMPUTED_VALUE"""),45257.0)</f>
        <v>45257</v>
      </c>
      <c r="S2736" s="57">
        <f>IFERROR(__xludf.DUMMYFUNCTION("""COMPUTED_VALUE"""),45264.0)</f>
        <v>45264</v>
      </c>
      <c r="T2736" s="57">
        <f>IFERROR(__xludf.DUMMYFUNCTION("""COMPUTED_VALUE"""),45285.0)</f>
        <v>45285</v>
      </c>
    </row>
    <row r="2737">
      <c r="A2737" s="6" t="str">
        <f>IFERROR(__xludf.DUMMYFUNCTION("""COMPUTED_VALUE"""),"231750916-7")</f>
        <v>231750916-7</v>
      </c>
      <c r="B2737" s="6" t="str">
        <f>IFERROR(__xludf.DUMMYFUNCTION("""COMPUTED_VALUE"""),"231750916 - Approved")</f>
        <v>231750916 - Approved</v>
      </c>
      <c r="C2737" s="6">
        <f>IFERROR(__xludf.DUMMYFUNCTION("""COMPUTED_VALUE"""),7.0)</f>
        <v>7</v>
      </c>
      <c r="D2737" s="6" t="str">
        <f>IFERROR(__xludf.DUMMYFUNCTION("""COMPUTED_VALUE"""),"P-12223-00")</f>
        <v>P-12223-00</v>
      </c>
      <c r="E2737" s="6" t="str">
        <f>IFERROR(__xludf.DUMMYFUNCTION("""COMPUTED_VALUE"""),"FESTO - Blanking plug QSC-6H p/n 153268")</f>
        <v>FESTO - Blanking plug QSC-6H p/n 153268</v>
      </c>
      <c r="F2737" s="6">
        <f>IFERROR(__xludf.DUMMYFUNCTION("""COMPUTED_VALUE"""),10.0)</f>
        <v>10</v>
      </c>
      <c r="G2737" s="6" t="str">
        <f>IFERROR(__xludf.DUMMYFUNCTION("""COMPUTED_VALUE"""),"Pieces")</f>
        <v>Pieces</v>
      </c>
      <c r="H2737" s="6" t="str">
        <f>IFERROR(__xludf.DUMMYFUNCTION("""COMPUTED_VALUE"""),"IDR")</f>
        <v>IDR</v>
      </c>
      <c r="I2737" s="11">
        <f>IFERROR(__xludf.DUMMYFUNCTION("""COMPUTED_VALUE"""),15574.0)</f>
        <v>15574</v>
      </c>
      <c r="J2737" s="11">
        <f>IFERROR(__xludf.DUMMYFUNCTION("""COMPUTED_VALUE"""),155740.0)</f>
        <v>155740</v>
      </c>
      <c r="K2737" s="57">
        <f>IFERROR(__xludf.DUMMYFUNCTION("""COMPUTED_VALUE"""),45271.0)</f>
        <v>45271</v>
      </c>
      <c r="L2737" s="6" t="str">
        <f>IFERROR(__xludf.DUMMYFUNCTION("""COMPUTED_VALUE"""),"FIP Engineering")</f>
        <v>FIP Engineering</v>
      </c>
      <c r="M2737" s="6" t="str">
        <f>IFERROR(__xludf.DUMMYFUNCTION("""COMPUTED_VALUE"""),"Mochammad Fadhillah Hakim")</f>
        <v>Mochammad Fadhillah Hakim</v>
      </c>
      <c r="N2737" s="6" t="str">
        <f>IFERROR(__xludf.DUMMYFUNCTION("""COMPUTED_VALUE"""),"FIP Engineering")</f>
        <v>FIP Engineering</v>
      </c>
      <c r="O2737" s="6" t="str">
        <f>IFERROR(__xludf.DUMMYFUNCTION("""COMPUTED_VALUE"""),"FIP-DOM-000-11304-OS00001-INA-000000")</f>
        <v>FIP-DOM-000-11304-OS00001-INA-000000</v>
      </c>
      <c r="P2737" s="6" t="str">
        <f>IFERROR(__xludf.DUMMYFUNCTION("""COMPUTED_VALUE"""),"PO Closed")</f>
        <v>PO Closed</v>
      </c>
      <c r="Q2737" s="6" t="str">
        <f>IFERROR(__xludf.DUMMYFUNCTION("""COMPUTED_VALUE"""),"GL2312321")</f>
        <v>GL2312321</v>
      </c>
      <c r="R2737" s="57">
        <f>IFERROR(__xludf.DUMMYFUNCTION("""COMPUTED_VALUE"""),45257.0)</f>
        <v>45257</v>
      </c>
      <c r="S2737" s="57">
        <f>IFERROR(__xludf.DUMMYFUNCTION("""COMPUTED_VALUE"""),45264.0)</f>
        <v>45264</v>
      </c>
      <c r="T2737" s="57">
        <f>IFERROR(__xludf.DUMMYFUNCTION("""COMPUTED_VALUE"""),45309.0)</f>
        <v>45309</v>
      </c>
    </row>
    <row r="2738">
      <c r="A2738" s="6" t="str">
        <f>IFERROR(__xludf.DUMMYFUNCTION("""COMPUTED_VALUE"""),"231750916-8")</f>
        <v>231750916-8</v>
      </c>
      <c r="B2738" s="6" t="str">
        <f>IFERROR(__xludf.DUMMYFUNCTION("""COMPUTED_VALUE"""),"231750916 - Approved")</f>
        <v>231750916 - Approved</v>
      </c>
      <c r="C2738" s="6">
        <f>IFERROR(__xludf.DUMMYFUNCTION("""COMPUTED_VALUE"""),8.0)</f>
        <v>8</v>
      </c>
      <c r="D2738" s="6" t="str">
        <f>IFERROR(__xludf.DUMMYFUNCTION("""COMPUTED_VALUE"""),"P-14245-00")</f>
        <v>P-14245-00</v>
      </c>
      <c r="E2738" s="6" t="str">
        <f>IFERROR(__xludf.DUMMYFUNCTION("""COMPUTED_VALUE"""),"Manual valve HE-2-QS-8 FESTO; ; ;")</f>
        <v>Manual valve HE-2-QS-8 FESTO; ; ;</v>
      </c>
      <c r="F2738" s="6">
        <f>IFERROR(__xludf.DUMMYFUNCTION("""COMPUTED_VALUE"""),5.0)</f>
        <v>5</v>
      </c>
      <c r="G2738" s="6" t="str">
        <f>IFERROR(__xludf.DUMMYFUNCTION("""COMPUTED_VALUE"""),"Pieces")</f>
        <v>Pieces</v>
      </c>
      <c r="H2738" s="6" t="str">
        <f>IFERROR(__xludf.DUMMYFUNCTION("""COMPUTED_VALUE"""),"IDR")</f>
        <v>IDR</v>
      </c>
      <c r="I2738" s="11">
        <f>IFERROR(__xludf.DUMMYFUNCTION("""COMPUTED_VALUE"""),253835.0)</f>
        <v>253835</v>
      </c>
      <c r="J2738" s="11">
        <f>IFERROR(__xludf.DUMMYFUNCTION("""COMPUTED_VALUE"""),1269175.0)</f>
        <v>1269175</v>
      </c>
      <c r="K2738" s="57">
        <f>IFERROR(__xludf.DUMMYFUNCTION("""COMPUTED_VALUE"""),45271.0)</f>
        <v>45271</v>
      </c>
      <c r="L2738" s="6" t="str">
        <f>IFERROR(__xludf.DUMMYFUNCTION("""COMPUTED_VALUE"""),"FIP Engineering")</f>
        <v>FIP Engineering</v>
      </c>
      <c r="M2738" s="6" t="str">
        <f>IFERROR(__xludf.DUMMYFUNCTION("""COMPUTED_VALUE"""),"Mochammad Fadhillah Hakim")</f>
        <v>Mochammad Fadhillah Hakim</v>
      </c>
      <c r="N2738" s="6" t="str">
        <f>IFERROR(__xludf.DUMMYFUNCTION("""COMPUTED_VALUE"""),"FIP Engineering")</f>
        <v>FIP Engineering</v>
      </c>
      <c r="O2738" s="6" t="str">
        <f>IFERROR(__xludf.DUMMYFUNCTION("""COMPUTED_VALUE"""),"FIP-DOM-000-11304-OS00001-INA-000000")</f>
        <v>FIP-DOM-000-11304-OS00001-INA-000000</v>
      </c>
      <c r="P2738" s="6" t="str">
        <f>IFERROR(__xludf.DUMMYFUNCTION("""COMPUTED_VALUE"""),"PO Closed")</f>
        <v>PO Closed</v>
      </c>
      <c r="Q2738" s="6" t="str">
        <f>IFERROR(__xludf.DUMMYFUNCTION("""COMPUTED_VALUE"""),"GL2312321")</f>
        <v>GL2312321</v>
      </c>
      <c r="R2738" s="57">
        <f>IFERROR(__xludf.DUMMYFUNCTION("""COMPUTED_VALUE"""),45257.0)</f>
        <v>45257</v>
      </c>
      <c r="S2738" s="57">
        <f>IFERROR(__xludf.DUMMYFUNCTION("""COMPUTED_VALUE"""),45264.0)</f>
        <v>45264</v>
      </c>
      <c r="T2738" s="57">
        <f>IFERROR(__xludf.DUMMYFUNCTION("""COMPUTED_VALUE"""),45309.0)</f>
        <v>45309</v>
      </c>
    </row>
    <row r="2739">
      <c r="A2739" s="6" t="str">
        <f>IFERROR(__xludf.DUMMYFUNCTION("""COMPUTED_VALUE"""),"231750916-9")</f>
        <v>231750916-9</v>
      </c>
      <c r="B2739" s="6" t="str">
        <f>IFERROR(__xludf.DUMMYFUNCTION("""COMPUTED_VALUE"""),"231750916 - Approved")</f>
        <v>231750916 - Approved</v>
      </c>
      <c r="C2739" s="6">
        <f>IFERROR(__xludf.DUMMYFUNCTION("""COMPUTED_VALUE"""),9.0)</f>
        <v>9</v>
      </c>
      <c r="D2739" s="6" t="str">
        <f>IFERROR(__xludf.DUMMYFUNCTION("""COMPUTED_VALUE"""),"O-54103-00")</f>
        <v>O-54103-00</v>
      </c>
      <c r="E2739" s="6" t="str">
        <f>IFERROR(__xludf.DUMMYFUNCTION("""COMPUTED_VALUE"""),"Zelio Electromechanical Relays;RXM2AB2BD;Schneider")</f>
        <v>Zelio Electromechanical Relays;RXM2AB2BD;Schneider</v>
      </c>
      <c r="F2739" s="6">
        <f>IFERROR(__xludf.DUMMYFUNCTION("""COMPUTED_VALUE"""),2.0)</f>
        <v>2</v>
      </c>
      <c r="G2739" s="6" t="str">
        <f>IFERROR(__xludf.DUMMYFUNCTION("""COMPUTED_VALUE"""),"Pieces")</f>
        <v>Pieces</v>
      </c>
      <c r="H2739" s="6" t="str">
        <f>IFERROR(__xludf.DUMMYFUNCTION("""COMPUTED_VALUE"""),"IDR")</f>
        <v>IDR</v>
      </c>
      <c r="I2739" s="11">
        <f>IFERROR(__xludf.DUMMYFUNCTION("""COMPUTED_VALUE"""),76500.0)</f>
        <v>76500</v>
      </c>
      <c r="J2739" s="11">
        <f>IFERROR(__xludf.DUMMYFUNCTION("""COMPUTED_VALUE"""),153000.0)</f>
        <v>153000</v>
      </c>
      <c r="K2739" s="57">
        <f>IFERROR(__xludf.DUMMYFUNCTION("""COMPUTED_VALUE"""),45271.0)</f>
        <v>45271</v>
      </c>
      <c r="L2739" s="6" t="str">
        <f>IFERROR(__xludf.DUMMYFUNCTION("""COMPUTED_VALUE"""),"FIP Engineering")</f>
        <v>FIP Engineering</v>
      </c>
      <c r="M2739" s="6" t="str">
        <f>IFERROR(__xludf.DUMMYFUNCTION("""COMPUTED_VALUE"""),"Mochammad Fadhillah Hakim")</f>
        <v>Mochammad Fadhillah Hakim</v>
      </c>
      <c r="N2739" s="6" t="str">
        <f>IFERROR(__xludf.DUMMYFUNCTION("""COMPUTED_VALUE"""),"FIP Engineering")</f>
        <v>FIP Engineering</v>
      </c>
      <c r="O2739" s="6" t="str">
        <f>IFERROR(__xludf.DUMMYFUNCTION("""COMPUTED_VALUE"""),"FIP-DOM-000-11304-OS00001-INA-000000")</f>
        <v>FIP-DOM-000-11304-OS00001-INA-000000</v>
      </c>
      <c r="P2739" s="6" t="str">
        <f>IFERROR(__xludf.DUMMYFUNCTION("""COMPUTED_VALUE"""),"PO Closed")</f>
        <v>PO Closed</v>
      </c>
      <c r="Q2739" s="6" t="str">
        <f>IFERROR(__xludf.DUMMYFUNCTION("""COMPUTED_VALUE"""),"GL2312017")</f>
        <v>GL2312017</v>
      </c>
      <c r="R2739" s="57">
        <f>IFERROR(__xludf.DUMMYFUNCTION("""COMPUTED_VALUE"""),45257.0)</f>
        <v>45257</v>
      </c>
      <c r="S2739" s="57">
        <f>IFERROR(__xludf.DUMMYFUNCTION("""COMPUTED_VALUE"""),45264.0)</f>
        <v>45264</v>
      </c>
      <c r="T2739" s="57">
        <f>IFERROR(__xludf.DUMMYFUNCTION("""COMPUTED_VALUE"""),45285.0)</f>
        <v>45285</v>
      </c>
    </row>
    <row r="2740">
      <c r="A2740" s="6" t="str">
        <f>IFERROR(__xludf.DUMMYFUNCTION("""COMPUTED_VALUE"""),"231750916-10")</f>
        <v>231750916-10</v>
      </c>
      <c r="B2740" s="6" t="str">
        <f>IFERROR(__xludf.DUMMYFUNCTION("""COMPUTED_VALUE"""),"231750916 - Approved")</f>
        <v>231750916 - Approved</v>
      </c>
      <c r="C2740" s="6">
        <f>IFERROR(__xludf.DUMMYFUNCTION("""COMPUTED_VALUE"""),10.0)</f>
        <v>10</v>
      </c>
      <c r="D2740" s="6" t="str">
        <f>IFERROR(__xludf.DUMMYFUNCTION("""COMPUTED_VALUE"""),"P-52642-00")</f>
        <v>P-52642-00</v>
      </c>
      <c r="E2740" s="6" t="str">
        <f>IFERROR(__xludf.DUMMYFUNCTION("""COMPUTED_VALUE"""),"Kabel NYYHY 2 x 0.75 mm Merk Supreme; ; ;")</f>
        <v>Kabel NYYHY 2 x 0.75 mm Merk Supreme; ; ;</v>
      </c>
      <c r="F2740" s="6">
        <f>IFERROR(__xludf.DUMMYFUNCTION("""COMPUTED_VALUE"""),25.0)</f>
        <v>25</v>
      </c>
      <c r="G2740" s="6" t="str">
        <f>IFERROR(__xludf.DUMMYFUNCTION("""COMPUTED_VALUE"""),"Meter")</f>
        <v>Meter</v>
      </c>
      <c r="H2740" s="6" t="str">
        <f>IFERROR(__xludf.DUMMYFUNCTION("""COMPUTED_VALUE"""),"IDR")</f>
        <v>IDR</v>
      </c>
      <c r="I2740" s="11">
        <f>IFERROR(__xludf.DUMMYFUNCTION("""COMPUTED_VALUE"""),100000.0)</f>
        <v>100000</v>
      </c>
      <c r="J2740" s="11">
        <f>IFERROR(__xludf.DUMMYFUNCTION("""COMPUTED_VALUE"""),2500000.0)</f>
        <v>2500000</v>
      </c>
      <c r="K2740" s="57">
        <f>IFERROR(__xludf.DUMMYFUNCTION("""COMPUTED_VALUE"""),45271.0)</f>
        <v>45271</v>
      </c>
      <c r="L2740" s="6" t="str">
        <f>IFERROR(__xludf.DUMMYFUNCTION("""COMPUTED_VALUE"""),"FIP Engineering")</f>
        <v>FIP Engineering</v>
      </c>
      <c r="M2740" s="6" t="str">
        <f>IFERROR(__xludf.DUMMYFUNCTION("""COMPUTED_VALUE"""),"Mochammad Fadhillah Hakim")</f>
        <v>Mochammad Fadhillah Hakim</v>
      </c>
      <c r="N2740" s="6" t="str">
        <f>IFERROR(__xludf.DUMMYFUNCTION("""COMPUTED_VALUE"""),"FIP Engineering")</f>
        <v>FIP Engineering</v>
      </c>
      <c r="O2740" s="6" t="str">
        <f>IFERROR(__xludf.DUMMYFUNCTION("""COMPUTED_VALUE"""),"FIP-DOM-000-11304-OS00001-INA-000000")</f>
        <v>FIP-DOM-000-11304-OS00001-INA-000000</v>
      </c>
      <c r="P2740" s="6" t="str">
        <f>IFERROR(__xludf.DUMMYFUNCTION("""COMPUTED_VALUE"""),"PO Closed")</f>
        <v>PO Closed</v>
      </c>
      <c r="Q2740" s="6" t="str">
        <f>IFERROR(__xludf.DUMMYFUNCTION("""COMPUTED_VALUE"""),"GL2312019")</f>
        <v>GL2312019</v>
      </c>
      <c r="R2740" s="57">
        <f>IFERROR(__xludf.DUMMYFUNCTION("""COMPUTED_VALUE"""),45257.0)</f>
        <v>45257</v>
      </c>
      <c r="S2740" s="57">
        <f>IFERROR(__xludf.DUMMYFUNCTION("""COMPUTED_VALUE"""),45264.0)</f>
        <v>45264</v>
      </c>
      <c r="T2740" s="57">
        <f>IFERROR(__xludf.DUMMYFUNCTION("""COMPUTED_VALUE"""),45291.0)</f>
        <v>45291</v>
      </c>
    </row>
    <row r="2741">
      <c r="A2741" s="6" t="str">
        <f>IFERROR(__xludf.DUMMYFUNCTION("""COMPUTED_VALUE"""),"231750917-1")</f>
        <v>231750917-1</v>
      </c>
      <c r="B2741" s="6" t="str">
        <f>IFERROR(__xludf.DUMMYFUNCTION("""COMPUTED_VALUE"""),"231750917 - Approved")</f>
        <v>231750917 - Approved</v>
      </c>
      <c r="C2741" s="6">
        <f>IFERROR(__xludf.DUMMYFUNCTION("""COMPUTED_VALUE"""),1.0)</f>
        <v>1</v>
      </c>
      <c r="D2741" s="6" t="str">
        <f>IFERROR(__xludf.DUMMYFUNCTION("""COMPUTED_VALUE"""),"P-16250-00")</f>
        <v>P-16250-00</v>
      </c>
      <c r="E2741" s="6" t="str">
        <f>IFERROR(__xludf.DUMMYFUNCTION("""COMPUTED_VALUE"""),"Cutting Wheel Nippon Resibon A-46S BF dia. 105 mm")</f>
        <v>Cutting Wheel Nippon Resibon A-46S BF dia. 105 mm</v>
      </c>
      <c r="F2741" s="6">
        <f>IFERROR(__xludf.DUMMYFUNCTION("""COMPUTED_VALUE"""),5.0)</f>
        <v>5</v>
      </c>
      <c r="G2741" s="6" t="str">
        <f>IFERROR(__xludf.DUMMYFUNCTION("""COMPUTED_VALUE"""),"Pieces")</f>
        <v>Pieces</v>
      </c>
      <c r="H2741" s="6" t="str">
        <f>IFERROR(__xludf.DUMMYFUNCTION("""COMPUTED_VALUE"""),"IDR")</f>
        <v>IDR</v>
      </c>
      <c r="I2741" s="11">
        <f>IFERROR(__xludf.DUMMYFUNCTION("""COMPUTED_VALUE"""),17500.0)</f>
        <v>17500</v>
      </c>
      <c r="J2741" s="11">
        <f>IFERROR(__xludf.DUMMYFUNCTION("""COMPUTED_VALUE"""),87500.0)</f>
        <v>87500</v>
      </c>
      <c r="K2741" s="57">
        <f>IFERROR(__xludf.DUMMYFUNCTION("""COMPUTED_VALUE"""),45271.0)</f>
        <v>45271</v>
      </c>
      <c r="L2741" s="6" t="str">
        <f>IFERROR(__xludf.DUMMYFUNCTION("""COMPUTED_VALUE"""),"FIP Engineering")</f>
        <v>FIP Engineering</v>
      </c>
      <c r="M2741" s="6" t="str">
        <f>IFERROR(__xludf.DUMMYFUNCTION("""COMPUTED_VALUE"""),"Mochammad Fadhillah Hakim")</f>
        <v>Mochammad Fadhillah Hakim</v>
      </c>
      <c r="N2741" s="6" t="str">
        <f>IFERROR(__xludf.DUMMYFUNCTION("""COMPUTED_VALUE"""),"FIP Engineering")</f>
        <v>FIP Engineering</v>
      </c>
      <c r="O2741" s="6" t="str">
        <f>IFERROR(__xludf.DUMMYFUNCTION("""COMPUTED_VALUE"""),"FIP-DOM-000-11304-OS00001-INA-000000")</f>
        <v>FIP-DOM-000-11304-OS00001-INA-000000</v>
      </c>
      <c r="P2741" s="6" t="str">
        <f>IFERROR(__xludf.DUMMYFUNCTION("""COMPUTED_VALUE"""),"PO Closed")</f>
        <v>PO Closed</v>
      </c>
      <c r="Q2741" s="6" t="str">
        <f>IFERROR(__xludf.DUMMYFUNCTION("""COMPUTED_VALUE"""),"GL2312022")</f>
        <v>GL2312022</v>
      </c>
      <c r="R2741" s="57">
        <f>IFERROR(__xludf.DUMMYFUNCTION("""COMPUTED_VALUE"""),45257.0)</f>
        <v>45257</v>
      </c>
      <c r="S2741" s="57">
        <f>IFERROR(__xludf.DUMMYFUNCTION("""COMPUTED_VALUE"""),45258.0)</f>
        <v>45258</v>
      </c>
      <c r="T2741" s="57">
        <f>IFERROR(__xludf.DUMMYFUNCTION("""COMPUTED_VALUE"""),45306.0)</f>
        <v>45306</v>
      </c>
    </row>
    <row r="2742">
      <c r="A2742" s="6" t="str">
        <f>IFERROR(__xludf.DUMMYFUNCTION("""COMPUTED_VALUE"""),"231750917-2")</f>
        <v>231750917-2</v>
      </c>
      <c r="B2742" s="6" t="str">
        <f>IFERROR(__xludf.DUMMYFUNCTION("""COMPUTED_VALUE"""),"231750917 - Approved")</f>
        <v>231750917 - Approved</v>
      </c>
      <c r="C2742" s="6">
        <f>IFERROR(__xludf.DUMMYFUNCTION("""COMPUTED_VALUE"""),2.0)</f>
        <v>2</v>
      </c>
      <c r="D2742" s="6" t="str">
        <f>IFERROR(__xludf.DUMMYFUNCTION("""COMPUTED_VALUE"""),"P-50506-00")</f>
        <v>P-50506-00</v>
      </c>
      <c r="E2742" s="6" t="str">
        <f>IFERROR(__xludf.DUMMYFUNCTION("""COMPUTED_VALUE"""),"Saklar Tunggal / 250 V / Clipsal")</f>
        <v>Saklar Tunggal / 250 V / Clipsal</v>
      </c>
      <c r="F2742" s="6">
        <f>IFERROR(__xludf.DUMMYFUNCTION("""COMPUTED_VALUE"""),2.0)</f>
        <v>2</v>
      </c>
      <c r="G2742" s="6" t="str">
        <f>IFERROR(__xludf.DUMMYFUNCTION("""COMPUTED_VALUE"""),"Pieces")</f>
        <v>Pieces</v>
      </c>
      <c r="H2742" s="6" t="str">
        <f>IFERROR(__xludf.DUMMYFUNCTION("""COMPUTED_VALUE"""),"IDR")</f>
        <v>IDR</v>
      </c>
      <c r="I2742" s="11">
        <f>IFERROR(__xludf.DUMMYFUNCTION("""COMPUTED_VALUE"""),23000.0)</f>
        <v>23000</v>
      </c>
      <c r="J2742" s="11">
        <f>IFERROR(__xludf.DUMMYFUNCTION("""COMPUTED_VALUE"""),46000.0)</f>
        <v>46000</v>
      </c>
      <c r="K2742" s="57">
        <f>IFERROR(__xludf.DUMMYFUNCTION("""COMPUTED_VALUE"""),45271.0)</f>
        <v>45271</v>
      </c>
      <c r="L2742" s="6" t="str">
        <f>IFERROR(__xludf.DUMMYFUNCTION("""COMPUTED_VALUE"""),"FIP Engineering")</f>
        <v>FIP Engineering</v>
      </c>
      <c r="M2742" s="6" t="str">
        <f>IFERROR(__xludf.DUMMYFUNCTION("""COMPUTED_VALUE"""),"Mochammad Fadhillah Hakim")</f>
        <v>Mochammad Fadhillah Hakim</v>
      </c>
      <c r="N2742" s="6" t="str">
        <f>IFERROR(__xludf.DUMMYFUNCTION("""COMPUTED_VALUE"""),"FIP Engineering")</f>
        <v>FIP Engineering</v>
      </c>
      <c r="O2742" s="6" t="str">
        <f>IFERROR(__xludf.DUMMYFUNCTION("""COMPUTED_VALUE"""),"FIP-DOM-000-11304-OS00001-INA-000000")</f>
        <v>FIP-DOM-000-11304-OS00001-INA-000000</v>
      </c>
      <c r="P2742" s="6" t="str">
        <f>IFERROR(__xludf.DUMMYFUNCTION("""COMPUTED_VALUE"""),"PO Closed")</f>
        <v>PO Closed</v>
      </c>
      <c r="Q2742" s="6" t="str">
        <f>IFERROR(__xludf.DUMMYFUNCTION("""COMPUTED_VALUE"""),"GL2312022")</f>
        <v>GL2312022</v>
      </c>
      <c r="R2742" s="57">
        <f>IFERROR(__xludf.DUMMYFUNCTION("""COMPUTED_VALUE"""),45257.0)</f>
        <v>45257</v>
      </c>
      <c r="S2742" s="57">
        <f>IFERROR(__xludf.DUMMYFUNCTION("""COMPUTED_VALUE"""),45258.0)</f>
        <v>45258</v>
      </c>
      <c r="T2742" s="57">
        <f>IFERROR(__xludf.DUMMYFUNCTION("""COMPUTED_VALUE"""),45306.0)</f>
        <v>45306</v>
      </c>
    </row>
    <row r="2743">
      <c r="A2743" s="6" t="str">
        <f>IFERROR(__xludf.DUMMYFUNCTION("""COMPUTED_VALUE"""),"231750917-3")</f>
        <v>231750917-3</v>
      </c>
      <c r="B2743" s="6" t="str">
        <f>IFERROR(__xludf.DUMMYFUNCTION("""COMPUTED_VALUE"""),"231750917 - Approved")</f>
        <v>231750917 - Approved</v>
      </c>
      <c r="C2743" s="6">
        <f>IFERROR(__xludf.DUMMYFUNCTION("""COMPUTED_VALUE"""),3.0)</f>
        <v>3</v>
      </c>
      <c r="D2743" s="6" t="str">
        <f>IFERROR(__xludf.DUMMYFUNCTION("""COMPUTED_VALUE"""),"P-11990-00")</f>
        <v>P-11990-00</v>
      </c>
      <c r="E2743" s="6" t="str">
        <f>IFERROR(__xludf.DUMMYFUNCTION("""COMPUTED_VALUE"""),"Cable ties CS 100L")</f>
        <v>Cable ties CS 100L</v>
      </c>
      <c r="F2743" s="6">
        <f>IFERROR(__xludf.DUMMYFUNCTION("""COMPUTED_VALUE"""),5.0)</f>
        <v>5</v>
      </c>
      <c r="G2743" s="6" t="str">
        <f>IFERROR(__xludf.DUMMYFUNCTION("""COMPUTED_VALUE"""),"Pieces")</f>
        <v>Pieces</v>
      </c>
      <c r="H2743" s="6" t="str">
        <f>IFERROR(__xludf.DUMMYFUNCTION("""COMPUTED_VALUE"""),"IDR")</f>
        <v>IDR</v>
      </c>
      <c r="I2743" s="11">
        <f>IFERROR(__xludf.DUMMYFUNCTION("""COMPUTED_VALUE"""),100000.0)</f>
        <v>100000</v>
      </c>
      <c r="J2743" s="11">
        <f>IFERROR(__xludf.DUMMYFUNCTION("""COMPUTED_VALUE"""),500000.0)</f>
        <v>500000</v>
      </c>
      <c r="K2743" s="57">
        <f>IFERROR(__xludf.DUMMYFUNCTION("""COMPUTED_VALUE"""),45271.0)</f>
        <v>45271</v>
      </c>
      <c r="L2743" s="6" t="str">
        <f>IFERROR(__xludf.DUMMYFUNCTION("""COMPUTED_VALUE"""),"FIP Engineering")</f>
        <v>FIP Engineering</v>
      </c>
      <c r="M2743" s="6" t="str">
        <f>IFERROR(__xludf.DUMMYFUNCTION("""COMPUTED_VALUE"""),"Mochammad Fadhillah Hakim")</f>
        <v>Mochammad Fadhillah Hakim</v>
      </c>
      <c r="N2743" s="6" t="str">
        <f>IFERROR(__xludf.DUMMYFUNCTION("""COMPUTED_VALUE"""),"FIP Engineering")</f>
        <v>FIP Engineering</v>
      </c>
      <c r="O2743" s="6" t="str">
        <f>IFERROR(__xludf.DUMMYFUNCTION("""COMPUTED_VALUE"""),"FIP-DOM-000-11304-OS00001-INA-000000")</f>
        <v>FIP-DOM-000-11304-OS00001-INA-000000</v>
      </c>
      <c r="P2743" s="6" t="str">
        <f>IFERROR(__xludf.DUMMYFUNCTION("""COMPUTED_VALUE"""),"PO Closed")</f>
        <v>PO Closed</v>
      </c>
      <c r="Q2743" s="6" t="str">
        <f>IFERROR(__xludf.DUMMYFUNCTION("""COMPUTED_VALUE"""),"GL2312022")</f>
        <v>GL2312022</v>
      </c>
      <c r="R2743" s="57">
        <f>IFERROR(__xludf.DUMMYFUNCTION("""COMPUTED_VALUE"""),45257.0)</f>
        <v>45257</v>
      </c>
      <c r="S2743" s="57">
        <f>IFERROR(__xludf.DUMMYFUNCTION("""COMPUTED_VALUE"""),45258.0)</f>
        <v>45258</v>
      </c>
      <c r="T2743" s="57">
        <f>IFERROR(__xludf.DUMMYFUNCTION("""COMPUTED_VALUE"""),45306.0)</f>
        <v>45306</v>
      </c>
    </row>
    <row r="2744">
      <c r="A2744" s="6" t="str">
        <f>IFERROR(__xludf.DUMMYFUNCTION("""COMPUTED_VALUE"""),"231750918-1")</f>
        <v>231750918-1</v>
      </c>
      <c r="B2744" s="6" t="str">
        <f>IFERROR(__xludf.DUMMYFUNCTION("""COMPUTED_VALUE"""),"231750918 - Approved")</f>
        <v>231750918 - Approved</v>
      </c>
      <c r="C2744" s="6">
        <f>IFERROR(__xludf.DUMMYFUNCTION("""COMPUTED_VALUE"""),1.0)</f>
        <v>1</v>
      </c>
      <c r="D2744" s="6" t="str">
        <f>IFERROR(__xludf.DUMMYFUNCTION("""COMPUTED_VALUE"""),"P-16136-00")</f>
        <v>P-16136-00</v>
      </c>
      <c r="E2744" s="6" t="str">
        <f>IFERROR(__xludf.DUMMYFUNCTION("""COMPUTED_VALUE"""),"Baut SS L M6 x 20 mm + Mur + Ring; ; ;; ; ;")</f>
        <v>Baut SS L M6 x 20 mm + Mur + Ring; ; ;; ; ;</v>
      </c>
      <c r="F2744" s="6">
        <f>IFERROR(__xludf.DUMMYFUNCTION("""COMPUTED_VALUE"""),50.0)</f>
        <v>50</v>
      </c>
      <c r="G2744" s="6" t="str">
        <f>IFERROR(__xludf.DUMMYFUNCTION("""COMPUTED_VALUE"""),"Pieces")</f>
        <v>Pieces</v>
      </c>
      <c r="H2744" s="6" t="str">
        <f>IFERROR(__xludf.DUMMYFUNCTION("""COMPUTED_VALUE"""),"IDR")</f>
        <v>IDR</v>
      </c>
      <c r="I2744" s="11">
        <f>IFERROR(__xludf.DUMMYFUNCTION("""COMPUTED_VALUE"""),4250.0)</f>
        <v>4250</v>
      </c>
      <c r="J2744" s="11">
        <f>IFERROR(__xludf.DUMMYFUNCTION("""COMPUTED_VALUE"""),212500.0)</f>
        <v>212500</v>
      </c>
      <c r="K2744" s="57">
        <f>IFERROR(__xludf.DUMMYFUNCTION("""COMPUTED_VALUE"""),45271.0)</f>
        <v>45271</v>
      </c>
      <c r="L2744" s="6" t="str">
        <f>IFERROR(__xludf.DUMMYFUNCTION("""COMPUTED_VALUE"""),"FIP Engineering")</f>
        <v>FIP Engineering</v>
      </c>
      <c r="M2744" s="6" t="str">
        <f>IFERROR(__xludf.DUMMYFUNCTION("""COMPUTED_VALUE"""),"Mochammad Fadhillah Hakim")</f>
        <v>Mochammad Fadhillah Hakim</v>
      </c>
      <c r="N2744" s="6" t="str">
        <f>IFERROR(__xludf.DUMMYFUNCTION("""COMPUTED_VALUE"""),"FIP Engineering")</f>
        <v>FIP Engineering</v>
      </c>
      <c r="O2744" s="6" t="str">
        <f>IFERROR(__xludf.DUMMYFUNCTION("""COMPUTED_VALUE"""),"FIP-DOM-000-11304-OS00001-INA-000000")</f>
        <v>FIP-DOM-000-11304-OS00001-INA-000000</v>
      </c>
      <c r="P2744" s="6" t="str">
        <f>IFERROR(__xludf.DUMMYFUNCTION("""COMPUTED_VALUE"""),"PO Closed")</f>
        <v>PO Closed</v>
      </c>
      <c r="Q2744" s="6" t="str">
        <f>IFERROR(__xludf.DUMMYFUNCTION("""COMPUTED_VALUE"""),"GL2312037")</f>
        <v>GL2312037</v>
      </c>
      <c r="R2744" s="57">
        <f>IFERROR(__xludf.DUMMYFUNCTION("""COMPUTED_VALUE"""),45257.0)</f>
        <v>45257</v>
      </c>
      <c r="S2744" s="57">
        <f>IFERROR(__xludf.DUMMYFUNCTION("""COMPUTED_VALUE"""),45258.0)</f>
        <v>45258</v>
      </c>
      <c r="T2744" s="57">
        <f>IFERROR(__xludf.DUMMYFUNCTION("""COMPUTED_VALUE"""),45271.0)</f>
        <v>45271</v>
      </c>
    </row>
    <row r="2745">
      <c r="A2745" s="6" t="str">
        <f>IFERROR(__xludf.DUMMYFUNCTION("""COMPUTED_VALUE"""),"231750918-2")</f>
        <v>231750918-2</v>
      </c>
      <c r="B2745" s="6" t="str">
        <f>IFERROR(__xludf.DUMMYFUNCTION("""COMPUTED_VALUE"""),"231750918 - Approved")</f>
        <v>231750918 - Approved</v>
      </c>
      <c r="C2745" s="6">
        <f>IFERROR(__xludf.DUMMYFUNCTION("""COMPUTED_VALUE"""),2.0)</f>
        <v>2</v>
      </c>
      <c r="D2745" s="6" t="str">
        <f>IFERROR(__xludf.DUMMYFUNCTION("""COMPUTED_VALUE"""),"P-16137-00")</f>
        <v>P-16137-00</v>
      </c>
      <c r="E2745" s="6" t="str">
        <f>IFERROR(__xludf.DUMMYFUNCTION("""COMPUTED_VALUE"""),"Baut SS L M6 x 30 mm + Mur + Ring; ; ;; ; ;")</f>
        <v>Baut SS L M6 x 30 mm + Mur + Ring; ; ;; ; ;</v>
      </c>
      <c r="F2745" s="6">
        <f>IFERROR(__xludf.DUMMYFUNCTION("""COMPUTED_VALUE"""),50.0)</f>
        <v>50</v>
      </c>
      <c r="G2745" s="6" t="str">
        <f>IFERROR(__xludf.DUMMYFUNCTION("""COMPUTED_VALUE"""),"Pieces")</f>
        <v>Pieces</v>
      </c>
      <c r="H2745" s="6" t="str">
        <f>IFERROR(__xludf.DUMMYFUNCTION("""COMPUTED_VALUE"""),"IDR")</f>
        <v>IDR</v>
      </c>
      <c r="I2745" s="11">
        <f>IFERROR(__xludf.DUMMYFUNCTION("""COMPUTED_VALUE"""),4500.0)</f>
        <v>4500</v>
      </c>
      <c r="J2745" s="11">
        <f>IFERROR(__xludf.DUMMYFUNCTION("""COMPUTED_VALUE"""),225000.0)</f>
        <v>225000</v>
      </c>
      <c r="K2745" s="57">
        <f>IFERROR(__xludf.DUMMYFUNCTION("""COMPUTED_VALUE"""),45271.0)</f>
        <v>45271</v>
      </c>
      <c r="L2745" s="6" t="str">
        <f>IFERROR(__xludf.DUMMYFUNCTION("""COMPUTED_VALUE"""),"FIP Engineering")</f>
        <v>FIP Engineering</v>
      </c>
      <c r="M2745" s="6" t="str">
        <f>IFERROR(__xludf.DUMMYFUNCTION("""COMPUTED_VALUE"""),"Mochammad Fadhillah Hakim")</f>
        <v>Mochammad Fadhillah Hakim</v>
      </c>
      <c r="N2745" s="6" t="str">
        <f>IFERROR(__xludf.DUMMYFUNCTION("""COMPUTED_VALUE"""),"FIP Engineering")</f>
        <v>FIP Engineering</v>
      </c>
      <c r="O2745" s="6" t="str">
        <f>IFERROR(__xludf.DUMMYFUNCTION("""COMPUTED_VALUE"""),"FIP-DOM-000-11304-OS00001-INA-000000")</f>
        <v>FIP-DOM-000-11304-OS00001-INA-000000</v>
      </c>
      <c r="P2745" s="6" t="str">
        <f>IFERROR(__xludf.DUMMYFUNCTION("""COMPUTED_VALUE"""),"PO Closed")</f>
        <v>PO Closed</v>
      </c>
      <c r="Q2745" s="6" t="str">
        <f>IFERROR(__xludf.DUMMYFUNCTION("""COMPUTED_VALUE"""),"GL2312037")</f>
        <v>GL2312037</v>
      </c>
      <c r="R2745" s="57">
        <f>IFERROR(__xludf.DUMMYFUNCTION("""COMPUTED_VALUE"""),45257.0)</f>
        <v>45257</v>
      </c>
      <c r="S2745" s="57">
        <f>IFERROR(__xludf.DUMMYFUNCTION("""COMPUTED_VALUE"""),45258.0)</f>
        <v>45258</v>
      </c>
      <c r="T2745" s="57">
        <f>IFERROR(__xludf.DUMMYFUNCTION("""COMPUTED_VALUE"""),45271.0)</f>
        <v>45271</v>
      </c>
    </row>
    <row r="2746">
      <c r="A2746" s="6" t="str">
        <f>IFERROR(__xludf.DUMMYFUNCTION("""COMPUTED_VALUE"""),"231750918-3")</f>
        <v>231750918-3</v>
      </c>
      <c r="B2746" s="6" t="str">
        <f>IFERROR(__xludf.DUMMYFUNCTION("""COMPUTED_VALUE"""),"231750918 - Approved")</f>
        <v>231750918 - Approved</v>
      </c>
      <c r="C2746" s="6">
        <f>IFERROR(__xludf.DUMMYFUNCTION("""COMPUTED_VALUE"""),3.0)</f>
        <v>3</v>
      </c>
      <c r="D2746" s="6" t="str">
        <f>IFERROR(__xludf.DUMMYFUNCTION("""COMPUTED_VALUE"""),"O-19425-00")</f>
        <v>O-19425-00</v>
      </c>
      <c r="E2746" s="6" t="str">
        <f>IFERROR(__xludf.DUMMYFUNCTION("""COMPUTED_VALUE"""),"Baut SS L M6 x 30 mm + Mur + Ring; ; ;; ; ;")</f>
        <v>Baut SS L M6 x 30 mm + Mur + Ring; ; ;; ; ;</v>
      </c>
      <c r="F2746" s="6">
        <f>IFERROR(__xludf.DUMMYFUNCTION("""COMPUTED_VALUE"""),50.0)</f>
        <v>50</v>
      </c>
      <c r="G2746" s="6" t="str">
        <f>IFERROR(__xludf.DUMMYFUNCTION("""COMPUTED_VALUE"""),"Pieces")</f>
        <v>Pieces</v>
      </c>
      <c r="H2746" s="6" t="str">
        <f>IFERROR(__xludf.DUMMYFUNCTION("""COMPUTED_VALUE"""),"IDR")</f>
        <v>IDR</v>
      </c>
      <c r="I2746" s="11">
        <f>IFERROR(__xludf.DUMMYFUNCTION("""COMPUTED_VALUE"""),4500.0)</f>
        <v>4500</v>
      </c>
      <c r="J2746" s="11">
        <f>IFERROR(__xludf.DUMMYFUNCTION("""COMPUTED_VALUE"""),225000.0)</f>
        <v>225000</v>
      </c>
      <c r="K2746" s="57">
        <f>IFERROR(__xludf.DUMMYFUNCTION("""COMPUTED_VALUE"""),45271.0)</f>
        <v>45271</v>
      </c>
      <c r="L2746" s="6" t="str">
        <f>IFERROR(__xludf.DUMMYFUNCTION("""COMPUTED_VALUE"""),"FIP Engineering")</f>
        <v>FIP Engineering</v>
      </c>
      <c r="M2746" s="6" t="str">
        <f>IFERROR(__xludf.DUMMYFUNCTION("""COMPUTED_VALUE"""),"Mochammad Fadhillah Hakim")</f>
        <v>Mochammad Fadhillah Hakim</v>
      </c>
      <c r="N2746" s="6" t="str">
        <f>IFERROR(__xludf.DUMMYFUNCTION("""COMPUTED_VALUE"""),"FIP Engineering")</f>
        <v>FIP Engineering</v>
      </c>
      <c r="O2746" s="6" t="str">
        <f>IFERROR(__xludf.DUMMYFUNCTION("""COMPUTED_VALUE"""),"FIP-DOM-000-11304-OS00001-INA-000000")</f>
        <v>FIP-DOM-000-11304-OS00001-INA-000000</v>
      </c>
      <c r="P2746" s="6" t="str">
        <f>IFERROR(__xludf.DUMMYFUNCTION("""COMPUTED_VALUE"""),"PO Closed")</f>
        <v>PO Closed</v>
      </c>
      <c r="Q2746" s="6" t="str">
        <f>IFERROR(__xludf.DUMMYFUNCTION("""COMPUTED_VALUE"""),"GL2312037")</f>
        <v>GL2312037</v>
      </c>
      <c r="R2746" s="57">
        <f>IFERROR(__xludf.DUMMYFUNCTION("""COMPUTED_VALUE"""),45257.0)</f>
        <v>45257</v>
      </c>
      <c r="S2746" s="57">
        <f>IFERROR(__xludf.DUMMYFUNCTION("""COMPUTED_VALUE"""),45258.0)</f>
        <v>45258</v>
      </c>
      <c r="T2746" s="57">
        <f>IFERROR(__xludf.DUMMYFUNCTION("""COMPUTED_VALUE"""),45271.0)</f>
        <v>45271</v>
      </c>
    </row>
    <row r="2747">
      <c r="A2747" s="6" t="str">
        <f>IFERROR(__xludf.DUMMYFUNCTION("""COMPUTED_VALUE"""),"231750918-4")</f>
        <v>231750918-4</v>
      </c>
      <c r="B2747" s="6" t="str">
        <f>IFERROR(__xludf.DUMMYFUNCTION("""COMPUTED_VALUE"""),"231750918 - Approved")</f>
        <v>231750918 - Approved</v>
      </c>
      <c r="C2747" s="6">
        <f>IFERROR(__xludf.DUMMYFUNCTION("""COMPUTED_VALUE"""),4.0)</f>
        <v>4</v>
      </c>
      <c r="D2747" s="6" t="str">
        <f>IFERROR(__xludf.DUMMYFUNCTION("""COMPUTED_VALUE"""),"O-19426-00")</f>
        <v>O-19426-00</v>
      </c>
      <c r="E2747" s="6" t="str">
        <f>IFERROR(__xludf.DUMMYFUNCTION("""COMPUTED_VALUE"""),"Baut SS L M3 x 20 mm + Mur + Ring; ; ;; ; ;")</f>
        <v>Baut SS L M3 x 20 mm + Mur + Ring; ; ;; ; ;</v>
      </c>
      <c r="F2747" s="6">
        <f>IFERROR(__xludf.DUMMYFUNCTION("""COMPUTED_VALUE"""),100.0)</f>
        <v>100</v>
      </c>
      <c r="G2747" s="6" t="str">
        <f>IFERROR(__xludf.DUMMYFUNCTION("""COMPUTED_VALUE"""),"Pieces")</f>
        <v>Pieces</v>
      </c>
      <c r="H2747" s="6" t="str">
        <f>IFERROR(__xludf.DUMMYFUNCTION("""COMPUTED_VALUE"""),"IDR")</f>
        <v>IDR</v>
      </c>
      <c r="I2747" s="11">
        <f>IFERROR(__xludf.DUMMYFUNCTION("""COMPUTED_VALUE"""),1750.0)</f>
        <v>1750</v>
      </c>
      <c r="J2747" s="11">
        <f>IFERROR(__xludf.DUMMYFUNCTION("""COMPUTED_VALUE"""),175000.0)</f>
        <v>175000</v>
      </c>
      <c r="K2747" s="57">
        <f>IFERROR(__xludf.DUMMYFUNCTION("""COMPUTED_VALUE"""),45271.0)</f>
        <v>45271</v>
      </c>
      <c r="L2747" s="6" t="str">
        <f>IFERROR(__xludf.DUMMYFUNCTION("""COMPUTED_VALUE"""),"FIP Engineering")</f>
        <v>FIP Engineering</v>
      </c>
      <c r="M2747" s="6" t="str">
        <f>IFERROR(__xludf.DUMMYFUNCTION("""COMPUTED_VALUE"""),"Mochammad Fadhillah Hakim")</f>
        <v>Mochammad Fadhillah Hakim</v>
      </c>
      <c r="N2747" s="6" t="str">
        <f>IFERROR(__xludf.DUMMYFUNCTION("""COMPUTED_VALUE"""),"FIP Engineering")</f>
        <v>FIP Engineering</v>
      </c>
      <c r="O2747" s="6" t="str">
        <f>IFERROR(__xludf.DUMMYFUNCTION("""COMPUTED_VALUE"""),"FIP-DOM-000-11304-OS00001-INA-000000")</f>
        <v>FIP-DOM-000-11304-OS00001-INA-000000</v>
      </c>
      <c r="P2747" s="6" t="str">
        <f>IFERROR(__xludf.DUMMYFUNCTION("""COMPUTED_VALUE"""),"PO Closed")</f>
        <v>PO Closed</v>
      </c>
      <c r="Q2747" s="6" t="str">
        <f>IFERROR(__xludf.DUMMYFUNCTION("""COMPUTED_VALUE"""),"GL2312037")</f>
        <v>GL2312037</v>
      </c>
      <c r="R2747" s="57">
        <f>IFERROR(__xludf.DUMMYFUNCTION("""COMPUTED_VALUE"""),45257.0)</f>
        <v>45257</v>
      </c>
      <c r="S2747" s="57">
        <f>IFERROR(__xludf.DUMMYFUNCTION("""COMPUTED_VALUE"""),45258.0)</f>
        <v>45258</v>
      </c>
      <c r="T2747" s="57">
        <f>IFERROR(__xludf.DUMMYFUNCTION("""COMPUTED_VALUE"""),45271.0)</f>
        <v>45271</v>
      </c>
    </row>
    <row r="2748">
      <c r="A2748" s="6" t="str">
        <f>IFERROR(__xludf.DUMMYFUNCTION("""COMPUTED_VALUE"""),"231750918-5")</f>
        <v>231750918-5</v>
      </c>
      <c r="B2748" s="6" t="str">
        <f>IFERROR(__xludf.DUMMYFUNCTION("""COMPUTED_VALUE"""),"231750918 - Approved")</f>
        <v>231750918 - Approved</v>
      </c>
      <c r="C2748" s="6">
        <f>IFERROR(__xludf.DUMMYFUNCTION("""COMPUTED_VALUE"""),5.0)</f>
        <v>5</v>
      </c>
      <c r="D2748" s="6" t="str">
        <f>IFERROR(__xludf.DUMMYFUNCTION("""COMPUTED_VALUE"""),"O-19427-00")</f>
        <v>O-19427-00</v>
      </c>
      <c r="E2748" s="6" t="str">
        <f>IFERROR(__xludf.DUMMYFUNCTION("""COMPUTED_VALUE"""),"Baut SS L M3 x 30 mm + Mur + Ring; ; ;; ; ;")</f>
        <v>Baut SS L M3 x 30 mm + Mur + Ring; ; ;; ; ;</v>
      </c>
      <c r="F2748" s="6">
        <f>IFERROR(__xludf.DUMMYFUNCTION("""COMPUTED_VALUE"""),100.0)</f>
        <v>100</v>
      </c>
      <c r="G2748" s="6" t="str">
        <f>IFERROR(__xludf.DUMMYFUNCTION("""COMPUTED_VALUE"""),"Pieces")</f>
        <v>Pieces</v>
      </c>
      <c r="H2748" s="6" t="str">
        <f>IFERROR(__xludf.DUMMYFUNCTION("""COMPUTED_VALUE"""),"IDR")</f>
        <v>IDR</v>
      </c>
      <c r="I2748" s="11">
        <f>IFERROR(__xludf.DUMMYFUNCTION("""COMPUTED_VALUE"""),2000.0)</f>
        <v>2000</v>
      </c>
      <c r="J2748" s="11">
        <f>IFERROR(__xludf.DUMMYFUNCTION("""COMPUTED_VALUE"""),200000.0)</f>
        <v>200000</v>
      </c>
      <c r="K2748" s="57">
        <f>IFERROR(__xludf.DUMMYFUNCTION("""COMPUTED_VALUE"""),45271.0)</f>
        <v>45271</v>
      </c>
      <c r="L2748" s="6" t="str">
        <f>IFERROR(__xludf.DUMMYFUNCTION("""COMPUTED_VALUE"""),"FIP Engineering")</f>
        <v>FIP Engineering</v>
      </c>
      <c r="M2748" s="6" t="str">
        <f>IFERROR(__xludf.DUMMYFUNCTION("""COMPUTED_VALUE"""),"Mochammad Fadhillah Hakim")</f>
        <v>Mochammad Fadhillah Hakim</v>
      </c>
      <c r="N2748" s="6" t="str">
        <f>IFERROR(__xludf.DUMMYFUNCTION("""COMPUTED_VALUE"""),"FIP Engineering")</f>
        <v>FIP Engineering</v>
      </c>
      <c r="O2748" s="6" t="str">
        <f>IFERROR(__xludf.DUMMYFUNCTION("""COMPUTED_VALUE"""),"FIP-DOM-000-11304-OS00001-INA-000000")</f>
        <v>FIP-DOM-000-11304-OS00001-INA-000000</v>
      </c>
      <c r="P2748" s="6" t="str">
        <f>IFERROR(__xludf.DUMMYFUNCTION("""COMPUTED_VALUE"""),"PO Closed")</f>
        <v>PO Closed</v>
      </c>
      <c r="Q2748" s="6" t="str">
        <f>IFERROR(__xludf.DUMMYFUNCTION("""COMPUTED_VALUE"""),"GL2312037")</f>
        <v>GL2312037</v>
      </c>
      <c r="R2748" s="57">
        <f>IFERROR(__xludf.DUMMYFUNCTION("""COMPUTED_VALUE"""),45257.0)</f>
        <v>45257</v>
      </c>
      <c r="S2748" s="57">
        <f>IFERROR(__xludf.DUMMYFUNCTION("""COMPUTED_VALUE"""),45258.0)</f>
        <v>45258</v>
      </c>
      <c r="T2748" s="57">
        <f>IFERROR(__xludf.DUMMYFUNCTION("""COMPUTED_VALUE"""),45271.0)</f>
        <v>45271</v>
      </c>
    </row>
    <row r="2749">
      <c r="A2749" s="6" t="str">
        <f>IFERROR(__xludf.DUMMYFUNCTION("""COMPUTED_VALUE"""),"231750918-6")</f>
        <v>231750918-6</v>
      </c>
      <c r="B2749" s="6" t="str">
        <f>IFERROR(__xludf.DUMMYFUNCTION("""COMPUTED_VALUE"""),"231750918 - Approved")</f>
        <v>231750918 - Approved</v>
      </c>
      <c r="C2749" s="6">
        <f>IFERROR(__xludf.DUMMYFUNCTION("""COMPUTED_VALUE"""),6.0)</f>
        <v>6</v>
      </c>
      <c r="D2749" s="6" t="str">
        <f>IFERROR(__xludf.DUMMYFUNCTION("""COMPUTED_VALUE"""),"O-19428-00")</f>
        <v>O-19428-00</v>
      </c>
      <c r="E2749" s="6" t="str">
        <f>IFERROR(__xludf.DUMMYFUNCTION("""COMPUTED_VALUE"""),"Baut SS L M4 x 20 mm + Mur + Ring; ; ;; ; ;; ; ;")</f>
        <v>Baut SS L M4 x 20 mm + Mur + Ring; ; ;; ; ;; ; ;</v>
      </c>
      <c r="F2749" s="6">
        <f>IFERROR(__xludf.DUMMYFUNCTION("""COMPUTED_VALUE"""),100.0)</f>
        <v>100</v>
      </c>
      <c r="G2749" s="6" t="str">
        <f>IFERROR(__xludf.DUMMYFUNCTION("""COMPUTED_VALUE"""),"Pieces")</f>
        <v>Pieces</v>
      </c>
      <c r="H2749" s="6" t="str">
        <f>IFERROR(__xludf.DUMMYFUNCTION("""COMPUTED_VALUE"""),"IDR")</f>
        <v>IDR</v>
      </c>
      <c r="I2749" s="11">
        <f>IFERROR(__xludf.DUMMYFUNCTION("""COMPUTED_VALUE"""),2000.0)</f>
        <v>2000</v>
      </c>
      <c r="J2749" s="11">
        <f>IFERROR(__xludf.DUMMYFUNCTION("""COMPUTED_VALUE"""),200000.0)</f>
        <v>200000</v>
      </c>
      <c r="K2749" s="57">
        <f>IFERROR(__xludf.DUMMYFUNCTION("""COMPUTED_VALUE"""),45271.0)</f>
        <v>45271</v>
      </c>
      <c r="L2749" s="6" t="str">
        <f>IFERROR(__xludf.DUMMYFUNCTION("""COMPUTED_VALUE"""),"FIP Engineering")</f>
        <v>FIP Engineering</v>
      </c>
      <c r="M2749" s="6" t="str">
        <f>IFERROR(__xludf.DUMMYFUNCTION("""COMPUTED_VALUE"""),"Mochammad Fadhillah Hakim")</f>
        <v>Mochammad Fadhillah Hakim</v>
      </c>
      <c r="N2749" s="6" t="str">
        <f>IFERROR(__xludf.DUMMYFUNCTION("""COMPUTED_VALUE"""),"FIP Engineering")</f>
        <v>FIP Engineering</v>
      </c>
      <c r="O2749" s="6" t="str">
        <f>IFERROR(__xludf.DUMMYFUNCTION("""COMPUTED_VALUE"""),"FIP-DOM-000-11304-OS00001-INA-000000")</f>
        <v>FIP-DOM-000-11304-OS00001-INA-000000</v>
      </c>
      <c r="P2749" s="6" t="str">
        <f>IFERROR(__xludf.DUMMYFUNCTION("""COMPUTED_VALUE"""),"PO Closed")</f>
        <v>PO Closed</v>
      </c>
      <c r="Q2749" s="6" t="str">
        <f>IFERROR(__xludf.DUMMYFUNCTION("""COMPUTED_VALUE"""),"GL2312037")</f>
        <v>GL2312037</v>
      </c>
      <c r="R2749" s="57">
        <f>IFERROR(__xludf.DUMMYFUNCTION("""COMPUTED_VALUE"""),45257.0)</f>
        <v>45257</v>
      </c>
      <c r="S2749" s="57">
        <f>IFERROR(__xludf.DUMMYFUNCTION("""COMPUTED_VALUE"""),45258.0)</f>
        <v>45258</v>
      </c>
      <c r="T2749" s="57">
        <f>IFERROR(__xludf.DUMMYFUNCTION("""COMPUTED_VALUE"""),45271.0)</f>
        <v>45271</v>
      </c>
    </row>
    <row r="2750">
      <c r="A2750" s="6" t="str">
        <f>IFERROR(__xludf.DUMMYFUNCTION("""COMPUTED_VALUE"""),"231750918-7")</f>
        <v>231750918-7</v>
      </c>
      <c r="B2750" s="6" t="str">
        <f>IFERROR(__xludf.DUMMYFUNCTION("""COMPUTED_VALUE"""),"231750918 - Approved")</f>
        <v>231750918 - Approved</v>
      </c>
      <c r="C2750" s="6">
        <f>IFERROR(__xludf.DUMMYFUNCTION("""COMPUTED_VALUE"""),7.0)</f>
        <v>7</v>
      </c>
      <c r="D2750" s="6" t="str">
        <f>IFERROR(__xludf.DUMMYFUNCTION("""COMPUTED_VALUE"""),"O-19429-00")</f>
        <v>O-19429-00</v>
      </c>
      <c r="E2750" s="6" t="str">
        <f>IFERROR(__xludf.DUMMYFUNCTION("""COMPUTED_VALUE"""),"Baut SS L M4 x 10 mm + Mur + Ring; ; ;; ; ;; ; ;")</f>
        <v>Baut SS L M4 x 10 mm + Mur + Ring; ; ;; ; ;; ; ;</v>
      </c>
      <c r="F2750" s="6">
        <f>IFERROR(__xludf.DUMMYFUNCTION("""COMPUTED_VALUE"""),100.0)</f>
        <v>100</v>
      </c>
      <c r="G2750" s="6" t="str">
        <f>IFERROR(__xludf.DUMMYFUNCTION("""COMPUTED_VALUE"""),"Pieces")</f>
        <v>Pieces</v>
      </c>
      <c r="H2750" s="6" t="str">
        <f>IFERROR(__xludf.DUMMYFUNCTION("""COMPUTED_VALUE"""),"IDR")</f>
        <v>IDR</v>
      </c>
      <c r="I2750" s="11">
        <f>IFERROR(__xludf.DUMMYFUNCTION("""COMPUTED_VALUE"""),2000.0)</f>
        <v>2000</v>
      </c>
      <c r="J2750" s="11">
        <f>IFERROR(__xludf.DUMMYFUNCTION("""COMPUTED_VALUE"""),200000.0)</f>
        <v>200000</v>
      </c>
      <c r="K2750" s="57">
        <f>IFERROR(__xludf.DUMMYFUNCTION("""COMPUTED_VALUE"""),45271.0)</f>
        <v>45271</v>
      </c>
      <c r="L2750" s="6" t="str">
        <f>IFERROR(__xludf.DUMMYFUNCTION("""COMPUTED_VALUE"""),"FIP Engineering")</f>
        <v>FIP Engineering</v>
      </c>
      <c r="M2750" s="6" t="str">
        <f>IFERROR(__xludf.DUMMYFUNCTION("""COMPUTED_VALUE"""),"Mochammad Fadhillah Hakim")</f>
        <v>Mochammad Fadhillah Hakim</v>
      </c>
      <c r="N2750" s="6" t="str">
        <f>IFERROR(__xludf.DUMMYFUNCTION("""COMPUTED_VALUE"""),"FIP Engineering")</f>
        <v>FIP Engineering</v>
      </c>
      <c r="O2750" s="6" t="str">
        <f>IFERROR(__xludf.DUMMYFUNCTION("""COMPUTED_VALUE"""),"FIP-DOM-000-11304-OS00001-INA-000000")</f>
        <v>FIP-DOM-000-11304-OS00001-INA-000000</v>
      </c>
      <c r="P2750" s="6" t="str">
        <f>IFERROR(__xludf.DUMMYFUNCTION("""COMPUTED_VALUE"""),"PO Closed")</f>
        <v>PO Closed</v>
      </c>
      <c r="Q2750" s="6" t="str">
        <f>IFERROR(__xludf.DUMMYFUNCTION("""COMPUTED_VALUE"""),"GL2312037")</f>
        <v>GL2312037</v>
      </c>
      <c r="R2750" s="57">
        <f>IFERROR(__xludf.DUMMYFUNCTION("""COMPUTED_VALUE"""),45257.0)</f>
        <v>45257</v>
      </c>
      <c r="S2750" s="57">
        <f>IFERROR(__xludf.DUMMYFUNCTION("""COMPUTED_VALUE"""),45258.0)</f>
        <v>45258</v>
      </c>
      <c r="T2750" s="57">
        <f>IFERROR(__xludf.DUMMYFUNCTION("""COMPUTED_VALUE"""),45271.0)</f>
        <v>45271</v>
      </c>
    </row>
    <row r="2751">
      <c r="A2751" s="6" t="str">
        <f>IFERROR(__xludf.DUMMYFUNCTION("""COMPUTED_VALUE"""),"231750918-8")</f>
        <v>231750918-8</v>
      </c>
      <c r="B2751" s="6" t="str">
        <f>IFERROR(__xludf.DUMMYFUNCTION("""COMPUTED_VALUE"""),"231750918 - Approved")</f>
        <v>231750918 - Approved</v>
      </c>
      <c r="C2751" s="6">
        <f>IFERROR(__xludf.DUMMYFUNCTION("""COMPUTED_VALUE"""),8.0)</f>
        <v>8</v>
      </c>
      <c r="D2751" s="6" t="str">
        <f>IFERROR(__xludf.DUMMYFUNCTION("""COMPUTED_VALUE"""),"O-19430-00")</f>
        <v>O-19430-00</v>
      </c>
      <c r="E2751" s="6" t="str">
        <f>IFERROR(__xludf.DUMMYFUNCTION("""COMPUTED_VALUE"""),"Baut SS L M5 x 20 mm + Mur + Ring; ; ;; ; ;; ; ;")</f>
        <v>Baut SS L M5 x 20 mm + Mur + Ring; ; ;; ; ;; ; ;</v>
      </c>
      <c r="F2751" s="6">
        <f>IFERROR(__xludf.DUMMYFUNCTION("""COMPUTED_VALUE"""),100.0)</f>
        <v>100</v>
      </c>
      <c r="G2751" s="6" t="str">
        <f>IFERROR(__xludf.DUMMYFUNCTION("""COMPUTED_VALUE"""),"Pieces")</f>
        <v>Pieces</v>
      </c>
      <c r="H2751" s="6" t="str">
        <f>IFERROR(__xludf.DUMMYFUNCTION("""COMPUTED_VALUE"""),"IDR")</f>
        <v>IDR</v>
      </c>
      <c r="I2751" s="11">
        <f>IFERROR(__xludf.DUMMYFUNCTION("""COMPUTED_VALUE"""),3000.0)</f>
        <v>3000</v>
      </c>
      <c r="J2751" s="11">
        <f>IFERROR(__xludf.DUMMYFUNCTION("""COMPUTED_VALUE"""),300000.0)</f>
        <v>300000</v>
      </c>
      <c r="K2751" s="57">
        <f>IFERROR(__xludf.DUMMYFUNCTION("""COMPUTED_VALUE"""),45271.0)</f>
        <v>45271</v>
      </c>
      <c r="L2751" s="6" t="str">
        <f>IFERROR(__xludf.DUMMYFUNCTION("""COMPUTED_VALUE"""),"FIP Engineering")</f>
        <v>FIP Engineering</v>
      </c>
      <c r="M2751" s="6" t="str">
        <f>IFERROR(__xludf.DUMMYFUNCTION("""COMPUTED_VALUE"""),"Mochammad Fadhillah Hakim")</f>
        <v>Mochammad Fadhillah Hakim</v>
      </c>
      <c r="N2751" s="6" t="str">
        <f>IFERROR(__xludf.DUMMYFUNCTION("""COMPUTED_VALUE"""),"FIP Engineering")</f>
        <v>FIP Engineering</v>
      </c>
      <c r="O2751" s="6" t="str">
        <f>IFERROR(__xludf.DUMMYFUNCTION("""COMPUTED_VALUE"""),"FIP-DOM-000-11304-OS00001-INA-000000")</f>
        <v>FIP-DOM-000-11304-OS00001-INA-000000</v>
      </c>
      <c r="P2751" s="6" t="str">
        <f>IFERROR(__xludf.DUMMYFUNCTION("""COMPUTED_VALUE"""),"PO Closed")</f>
        <v>PO Closed</v>
      </c>
      <c r="Q2751" s="6" t="str">
        <f>IFERROR(__xludf.DUMMYFUNCTION("""COMPUTED_VALUE"""),"GL2312037")</f>
        <v>GL2312037</v>
      </c>
      <c r="R2751" s="57">
        <f>IFERROR(__xludf.DUMMYFUNCTION("""COMPUTED_VALUE"""),45257.0)</f>
        <v>45257</v>
      </c>
      <c r="S2751" s="57">
        <f>IFERROR(__xludf.DUMMYFUNCTION("""COMPUTED_VALUE"""),45258.0)</f>
        <v>45258</v>
      </c>
      <c r="T2751" s="57">
        <f>IFERROR(__xludf.DUMMYFUNCTION("""COMPUTED_VALUE"""),45271.0)</f>
        <v>45271</v>
      </c>
    </row>
    <row r="2752">
      <c r="A2752" s="6" t="str">
        <f>IFERROR(__xludf.DUMMYFUNCTION("""COMPUTED_VALUE"""),"231750918-9")</f>
        <v>231750918-9</v>
      </c>
      <c r="B2752" s="6" t="str">
        <f>IFERROR(__xludf.DUMMYFUNCTION("""COMPUTED_VALUE"""),"231750918 - Approved")</f>
        <v>231750918 - Approved</v>
      </c>
      <c r="C2752" s="6">
        <f>IFERROR(__xludf.DUMMYFUNCTION("""COMPUTED_VALUE"""),9.0)</f>
        <v>9</v>
      </c>
      <c r="D2752" s="6" t="str">
        <f>IFERROR(__xludf.DUMMYFUNCTION("""COMPUTED_VALUE"""),"O-19431-00")</f>
        <v>O-19431-00</v>
      </c>
      <c r="E2752" s="6" t="str">
        <f>IFERROR(__xludf.DUMMYFUNCTION("""COMPUTED_VALUE"""),"Baut SS L M8 x 30 mm + Mur + Ring; ; ;; ; ;; ; ;")</f>
        <v>Baut SS L M8 x 30 mm + Mur + Ring; ; ;; ; ;; ; ;</v>
      </c>
      <c r="F2752" s="6">
        <f>IFERROR(__xludf.DUMMYFUNCTION("""COMPUTED_VALUE"""),50.0)</f>
        <v>50</v>
      </c>
      <c r="G2752" s="6" t="str">
        <f>IFERROR(__xludf.DUMMYFUNCTION("""COMPUTED_VALUE"""),"Pieces")</f>
        <v>Pieces</v>
      </c>
      <c r="H2752" s="6" t="str">
        <f>IFERROR(__xludf.DUMMYFUNCTION("""COMPUTED_VALUE"""),"IDR")</f>
        <v>IDR</v>
      </c>
      <c r="I2752" s="11">
        <f>IFERROR(__xludf.DUMMYFUNCTION("""COMPUTED_VALUE"""),5300.0)</f>
        <v>5300</v>
      </c>
      <c r="J2752" s="11">
        <f>IFERROR(__xludf.DUMMYFUNCTION("""COMPUTED_VALUE"""),265000.0)</f>
        <v>265000</v>
      </c>
      <c r="K2752" s="57">
        <f>IFERROR(__xludf.DUMMYFUNCTION("""COMPUTED_VALUE"""),45271.0)</f>
        <v>45271</v>
      </c>
      <c r="L2752" s="6" t="str">
        <f>IFERROR(__xludf.DUMMYFUNCTION("""COMPUTED_VALUE"""),"FIP Engineering")</f>
        <v>FIP Engineering</v>
      </c>
      <c r="M2752" s="6" t="str">
        <f>IFERROR(__xludf.DUMMYFUNCTION("""COMPUTED_VALUE"""),"Mochammad Fadhillah Hakim")</f>
        <v>Mochammad Fadhillah Hakim</v>
      </c>
      <c r="N2752" s="6" t="str">
        <f>IFERROR(__xludf.DUMMYFUNCTION("""COMPUTED_VALUE"""),"FIP Engineering")</f>
        <v>FIP Engineering</v>
      </c>
      <c r="O2752" s="6" t="str">
        <f>IFERROR(__xludf.DUMMYFUNCTION("""COMPUTED_VALUE"""),"FIP-DOM-000-11304-OS00001-INA-000000")</f>
        <v>FIP-DOM-000-11304-OS00001-INA-000000</v>
      </c>
      <c r="P2752" s="6" t="str">
        <f>IFERROR(__xludf.DUMMYFUNCTION("""COMPUTED_VALUE"""),"PO Closed")</f>
        <v>PO Closed</v>
      </c>
      <c r="Q2752" s="6" t="str">
        <f>IFERROR(__xludf.DUMMYFUNCTION("""COMPUTED_VALUE"""),"GL2312037")</f>
        <v>GL2312037</v>
      </c>
      <c r="R2752" s="57">
        <f>IFERROR(__xludf.DUMMYFUNCTION("""COMPUTED_VALUE"""),45257.0)</f>
        <v>45257</v>
      </c>
      <c r="S2752" s="57">
        <f>IFERROR(__xludf.DUMMYFUNCTION("""COMPUTED_VALUE"""),45258.0)</f>
        <v>45258</v>
      </c>
      <c r="T2752" s="57">
        <f>IFERROR(__xludf.DUMMYFUNCTION("""COMPUTED_VALUE"""),45271.0)</f>
        <v>45271</v>
      </c>
    </row>
    <row r="2753">
      <c r="A2753" s="6" t="str">
        <f>IFERROR(__xludf.DUMMYFUNCTION("""COMPUTED_VALUE"""),"231750918-10")</f>
        <v>231750918-10</v>
      </c>
      <c r="B2753" s="6" t="str">
        <f>IFERROR(__xludf.DUMMYFUNCTION("""COMPUTED_VALUE"""),"231750918 - Approved")</f>
        <v>231750918 - Approved</v>
      </c>
      <c r="C2753" s="6">
        <f>IFERROR(__xludf.DUMMYFUNCTION("""COMPUTED_VALUE"""),10.0)</f>
        <v>10</v>
      </c>
      <c r="D2753" s="6" t="str">
        <f>IFERROR(__xludf.DUMMYFUNCTION("""COMPUTED_VALUE"""),"O-19432-00")</f>
        <v>O-19432-00</v>
      </c>
      <c r="E2753" s="6" t="str">
        <f>IFERROR(__xludf.DUMMYFUNCTION("""COMPUTED_VALUE"""),"Baut SS L M8 x 20 mm + Mur + Ring; ; ;; ; ;; ; ;")</f>
        <v>Baut SS L M8 x 20 mm + Mur + Ring; ; ;; ; ;; ; ;</v>
      </c>
      <c r="F2753" s="6">
        <f>IFERROR(__xludf.DUMMYFUNCTION("""COMPUTED_VALUE"""),50.0)</f>
        <v>50</v>
      </c>
      <c r="G2753" s="6" t="str">
        <f>IFERROR(__xludf.DUMMYFUNCTION("""COMPUTED_VALUE"""),"Pieces")</f>
        <v>Pieces</v>
      </c>
      <c r="H2753" s="6" t="str">
        <f>IFERROR(__xludf.DUMMYFUNCTION("""COMPUTED_VALUE"""),"IDR")</f>
        <v>IDR</v>
      </c>
      <c r="I2753" s="11">
        <f>IFERROR(__xludf.DUMMYFUNCTION("""COMPUTED_VALUE"""),5000.0)</f>
        <v>5000</v>
      </c>
      <c r="J2753" s="11">
        <f>IFERROR(__xludf.DUMMYFUNCTION("""COMPUTED_VALUE"""),250000.0)</f>
        <v>250000</v>
      </c>
      <c r="K2753" s="57">
        <f>IFERROR(__xludf.DUMMYFUNCTION("""COMPUTED_VALUE"""),45271.0)</f>
        <v>45271</v>
      </c>
      <c r="L2753" s="6" t="str">
        <f>IFERROR(__xludf.DUMMYFUNCTION("""COMPUTED_VALUE"""),"FIP Engineering")</f>
        <v>FIP Engineering</v>
      </c>
      <c r="M2753" s="6" t="str">
        <f>IFERROR(__xludf.DUMMYFUNCTION("""COMPUTED_VALUE"""),"Mochammad Fadhillah Hakim")</f>
        <v>Mochammad Fadhillah Hakim</v>
      </c>
      <c r="N2753" s="6" t="str">
        <f>IFERROR(__xludf.DUMMYFUNCTION("""COMPUTED_VALUE"""),"FIP Engineering")</f>
        <v>FIP Engineering</v>
      </c>
      <c r="O2753" s="6" t="str">
        <f>IFERROR(__xludf.DUMMYFUNCTION("""COMPUTED_VALUE"""),"FIP-DOM-000-11304-OS00001-INA-000000")</f>
        <v>FIP-DOM-000-11304-OS00001-INA-000000</v>
      </c>
      <c r="P2753" s="6" t="str">
        <f>IFERROR(__xludf.DUMMYFUNCTION("""COMPUTED_VALUE"""),"PO Closed")</f>
        <v>PO Closed</v>
      </c>
      <c r="Q2753" s="6" t="str">
        <f>IFERROR(__xludf.DUMMYFUNCTION("""COMPUTED_VALUE"""),"GL2312037")</f>
        <v>GL2312037</v>
      </c>
      <c r="R2753" s="57">
        <f>IFERROR(__xludf.DUMMYFUNCTION("""COMPUTED_VALUE"""),45257.0)</f>
        <v>45257</v>
      </c>
      <c r="S2753" s="57">
        <f>IFERROR(__xludf.DUMMYFUNCTION("""COMPUTED_VALUE"""),45258.0)</f>
        <v>45258</v>
      </c>
      <c r="T2753" s="57">
        <f>IFERROR(__xludf.DUMMYFUNCTION("""COMPUTED_VALUE"""),45271.0)</f>
        <v>45271</v>
      </c>
    </row>
    <row r="2754">
      <c r="A2754" s="6" t="str">
        <f>IFERROR(__xludf.DUMMYFUNCTION("""COMPUTED_VALUE"""),"231750920-1")</f>
        <v>231750920-1</v>
      </c>
      <c r="B2754" s="6" t="str">
        <f>IFERROR(__xludf.DUMMYFUNCTION("""COMPUTED_VALUE"""),"231750920 - Approved")</f>
        <v>231750920 - Approved</v>
      </c>
      <c r="C2754" s="6">
        <f>IFERROR(__xludf.DUMMYFUNCTION("""COMPUTED_VALUE"""),1.0)</f>
        <v>1</v>
      </c>
      <c r="D2754" s="6" t="str">
        <f>IFERROR(__xludf.DUMMYFUNCTION("""COMPUTED_VALUE"""),"P-10907-00")</f>
        <v>P-10907-00</v>
      </c>
      <c r="E2754" s="6" t="str">
        <f>IFERROR(__xludf.DUMMYFUNCTION("""COMPUTED_VALUE"""),"Fitting PVC - Tee PVC 2")</f>
        <v>Fitting PVC - Tee PVC 2</v>
      </c>
      <c r="F2754" s="6">
        <f>IFERROR(__xludf.DUMMYFUNCTION("""COMPUTED_VALUE"""),8.0)</f>
        <v>8</v>
      </c>
      <c r="G2754" s="6" t="str">
        <f>IFERROR(__xludf.DUMMYFUNCTION("""COMPUTED_VALUE"""),"Pieces")</f>
        <v>Pieces</v>
      </c>
      <c r="H2754" s="6" t="str">
        <f>IFERROR(__xludf.DUMMYFUNCTION("""COMPUTED_VALUE"""),"IDR")</f>
        <v>IDR</v>
      </c>
      <c r="I2754" s="11">
        <f>IFERROR(__xludf.DUMMYFUNCTION("""COMPUTED_VALUE"""),22500.0)</f>
        <v>22500</v>
      </c>
      <c r="J2754" s="11">
        <f>IFERROR(__xludf.DUMMYFUNCTION("""COMPUTED_VALUE"""),180000.0)</f>
        <v>180000</v>
      </c>
      <c r="K2754" s="57">
        <f>IFERROR(__xludf.DUMMYFUNCTION("""COMPUTED_VALUE"""),45272.0)</f>
        <v>45272</v>
      </c>
      <c r="L2754" s="6" t="str">
        <f>IFERROR(__xludf.DUMMYFUNCTION("""COMPUTED_VALUE"""),"FIP Engineering")</f>
        <v>FIP Engineering</v>
      </c>
      <c r="M2754" s="6" t="str">
        <f>IFERROR(__xludf.DUMMYFUNCTION("""COMPUTED_VALUE"""),"Mochammad Fadhillah Hakim")</f>
        <v>Mochammad Fadhillah Hakim</v>
      </c>
      <c r="N2754" s="6" t="str">
        <f>IFERROR(__xludf.DUMMYFUNCTION("""COMPUTED_VALUE"""),"FIP Engineering")</f>
        <v>FIP Engineering</v>
      </c>
      <c r="O2754" s="6" t="str">
        <f>IFERROR(__xludf.DUMMYFUNCTION("""COMPUTED_VALUE"""),"FIP-DOM-000-11304-OS00001-INA-000000")</f>
        <v>FIP-DOM-000-11304-OS00001-INA-000000</v>
      </c>
      <c r="P2754" s="6" t="str">
        <f>IFERROR(__xludf.DUMMYFUNCTION("""COMPUTED_VALUE"""),"PO Closed")</f>
        <v>PO Closed</v>
      </c>
      <c r="Q2754" s="6" t="str">
        <f>IFERROR(__xludf.DUMMYFUNCTION("""COMPUTED_VALUE"""),"GL2312031")</f>
        <v>GL2312031</v>
      </c>
      <c r="R2754" s="57">
        <f>IFERROR(__xludf.DUMMYFUNCTION("""COMPUTED_VALUE"""),45258.0)</f>
        <v>45258</v>
      </c>
      <c r="S2754" s="57">
        <f>IFERROR(__xludf.DUMMYFUNCTION("""COMPUTED_VALUE"""),45264.0)</f>
        <v>45264</v>
      </c>
      <c r="T2754" s="57">
        <f>IFERROR(__xludf.DUMMYFUNCTION("""COMPUTED_VALUE"""),45291.0)</f>
        <v>45291</v>
      </c>
    </row>
    <row r="2755">
      <c r="A2755" s="6" t="str">
        <f>IFERROR(__xludf.DUMMYFUNCTION("""COMPUTED_VALUE"""),"231750920-2")</f>
        <v>231750920-2</v>
      </c>
      <c r="B2755" s="6" t="str">
        <f>IFERROR(__xludf.DUMMYFUNCTION("""COMPUTED_VALUE"""),"231750920 - Approved")</f>
        <v>231750920 - Approved</v>
      </c>
      <c r="C2755" s="6">
        <f>IFERROR(__xludf.DUMMYFUNCTION("""COMPUTED_VALUE"""),2.0)</f>
        <v>2</v>
      </c>
      <c r="D2755" s="6" t="str">
        <f>IFERROR(__xludf.DUMMYFUNCTION("""COMPUTED_VALUE"""),"P-12156-00")</f>
        <v>P-12156-00</v>
      </c>
      <c r="E2755" s="6" t="str">
        <f>IFERROR(__xludf.DUMMYFUNCTION("""COMPUTED_VALUE"""),"Dynabolt dia M 10x50 mm")</f>
        <v>Dynabolt dia M 10x50 mm</v>
      </c>
      <c r="F2755" s="6">
        <f>IFERROR(__xludf.DUMMYFUNCTION("""COMPUTED_VALUE"""),100.0)</f>
        <v>100</v>
      </c>
      <c r="G2755" s="6" t="str">
        <f>IFERROR(__xludf.DUMMYFUNCTION("""COMPUTED_VALUE"""),"Pieces")</f>
        <v>Pieces</v>
      </c>
      <c r="H2755" s="6" t="str">
        <f>IFERROR(__xludf.DUMMYFUNCTION("""COMPUTED_VALUE"""),"IDR")</f>
        <v>IDR</v>
      </c>
      <c r="I2755" s="11">
        <f>IFERROR(__xludf.DUMMYFUNCTION("""COMPUTED_VALUE"""),1680.0)</f>
        <v>1680</v>
      </c>
      <c r="J2755" s="11">
        <f>IFERROR(__xludf.DUMMYFUNCTION("""COMPUTED_VALUE"""),168000.0)</f>
        <v>168000</v>
      </c>
      <c r="K2755" s="57">
        <f>IFERROR(__xludf.DUMMYFUNCTION("""COMPUTED_VALUE"""),45272.0)</f>
        <v>45272</v>
      </c>
      <c r="L2755" s="6" t="str">
        <f>IFERROR(__xludf.DUMMYFUNCTION("""COMPUTED_VALUE"""),"FIP Engineering")</f>
        <v>FIP Engineering</v>
      </c>
      <c r="M2755" s="6" t="str">
        <f>IFERROR(__xludf.DUMMYFUNCTION("""COMPUTED_VALUE"""),"Mochammad Fadhillah Hakim")</f>
        <v>Mochammad Fadhillah Hakim</v>
      </c>
      <c r="N2755" s="6" t="str">
        <f>IFERROR(__xludf.DUMMYFUNCTION("""COMPUTED_VALUE"""),"FIP Engineering")</f>
        <v>FIP Engineering</v>
      </c>
      <c r="O2755" s="6" t="str">
        <f>IFERROR(__xludf.DUMMYFUNCTION("""COMPUTED_VALUE"""),"FIP-DOM-000-11304-OS00001-INA-000000")</f>
        <v>FIP-DOM-000-11304-OS00001-INA-000000</v>
      </c>
      <c r="P2755" s="6" t="str">
        <f>IFERROR(__xludf.DUMMYFUNCTION("""COMPUTED_VALUE"""),"PO Closed")</f>
        <v>PO Closed</v>
      </c>
      <c r="Q2755" s="6" t="str">
        <f>IFERROR(__xludf.DUMMYFUNCTION("""COMPUTED_VALUE"""),"GL2312022")</f>
        <v>GL2312022</v>
      </c>
      <c r="R2755" s="57">
        <f>IFERROR(__xludf.DUMMYFUNCTION("""COMPUTED_VALUE"""),45258.0)</f>
        <v>45258</v>
      </c>
      <c r="S2755" s="57">
        <f>IFERROR(__xludf.DUMMYFUNCTION("""COMPUTED_VALUE"""),45264.0)</f>
        <v>45264</v>
      </c>
      <c r="T2755" s="57">
        <f>IFERROR(__xludf.DUMMYFUNCTION("""COMPUTED_VALUE"""),45306.0)</f>
        <v>45306</v>
      </c>
    </row>
    <row r="2756">
      <c r="A2756" s="6" t="str">
        <f>IFERROR(__xludf.DUMMYFUNCTION("""COMPUTED_VALUE"""),"231750920-3")</f>
        <v>231750920-3</v>
      </c>
      <c r="B2756" s="6" t="str">
        <f>IFERROR(__xludf.DUMMYFUNCTION("""COMPUTED_VALUE"""),"231750920 - Approved")</f>
        <v>231750920 - Approved</v>
      </c>
      <c r="C2756" s="6">
        <f>IFERROR(__xludf.DUMMYFUNCTION("""COMPUTED_VALUE"""),3.0)</f>
        <v>3</v>
      </c>
      <c r="D2756" s="6" t="str">
        <f>IFERROR(__xludf.DUMMYFUNCTION("""COMPUTED_VALUE"""),"P-12158-00")</f>
        <v>P-12158-00</v>
      </c>
      <c r="E2756" s="6" t="str">
        <f>IFERROR(__xludf.DUMMYFUNCTION("""COMPUTED_VALUE"""),"Dynabolt m 8 x 30 mm / m8 x 50 mm")</f>
        <v>Dynabolt m 8 x 30 mm / m8 x 50 mm</v>
      </c>
      <c r="F2756" s="6">
        <f>IFERROR(__xludf.DUMMYFUNCTION("""COMPUTED_VALUE"""),4.0)</f>
        <v>4</v>
      </c>
      <c r="G2756" s="6" t="str">
        <f>IFERROR(__xludf.DUMMYFUNCTION("""COMPUTED_VALUE"""),"Pieces")</f>
        <v>Pieces</v>
      </c>
      <c r="H2756" s="6" t="str">
        <f>IFERROR(__xludf.DUMMYFUNCTION("""COMPUTED_VALUE"""),"IDR")</f>
        <v>IDR</v>
      </c>
      <c r="I2756" s="11">
        <f>IFERROR(__xludf.DUMMYFUNCTION("""COMPUTED_VALUE"""),90000.0)</f>
        <v>90000</v>
      </c>
      <c r="J2756" s="11">
        <f>IFERROR(__xludf.DUMMYFUNCTION("""COMPUTED_VALUE"""),360000.0)</f>
        <v>360000</v>
      </c>
      <c r="K2756" s="57">
        <f>IFERROR(__xludf.DUMMYFUNCTION("""COMPUTED_VALUE"""),45272.0)</f>
        <v>45272</v>
      </c>
      <c r="L2756" s="6" t="str">
        <f>IFERROR(__xludf.DUMMYFUNCTION("""COMPUTED_VALUE"""),"FIP Engineering")</f>
        <v>FIP Engineering</v>
      </c>
      <c r="M2756" s="6" t="str">
        <f>IFERROR(__xludf.DUMMYFUNCTION("""COMPUTED_VALUE"""),"Mochammad Fadhillah Hakim")</f>
        <v>Mochammad Fadhillah Hakim</v>
      </c>
      <c r="N2756" s="6" t="str">
        <f>IFERROR(__xludf.DUMMYFUNCTION("""COMPUTED_VALUE"""),"FIP Engineering")</f>
        <v>FIP Engineering</v>
      </c>
      <c r="O2756" s="6" t="str">
        <f>IFERROR(__xludf.DUMMYFUNCTION("""COMPUTED_VALUE"""),"FIP-DOM-000-11304-OS00001-INA-000000")</f>
        <v>FIP-DOM-000-11304-OS00001-INA-000000</v>
      </c>
      <c r="P2756" s="6" t="str">
        <f>IFERROR(__xludf.DUMMYFUNCTION("""COMPUTED_VALUE"""),"PO Closed")</f>
        <v>PO Closed</v>
      </c>
      <c r="Q2756" s="6" t="str">
        <f>IFERROR(__xludf.DUMMYFUNCTION("""COMPUTED_VALUE"""),"GL2312022")</f>
        <v>GL2312022</v>
      </c>
      <c r="R2756" s="57">
        <f>IFERROR(__xludf.DUMMYFUNCTION("""COMPUTED_VALUE"""),45258.0)</f>
        <v>45258</v>
      </c>
      <c r="S2756" s="57">
        <f>IFERROR(__xludf.DUMMYFUNCTION("""COMPUTED_VALUE"""),45264.0)</f>
        <v>45264</v>
      </c>
      <c r="T2756" s="57">
        <f>IFERROR(__xludf.DUMMYFUNCTION("""COMPUTED_VALUE"""),45306.0)</f>
        <v>45306</v>
      </c>
    </row>
    <row r="2757">
      <c r="A2757" s="6" t="str">
        <f>IFERROR(__xludf.DUMMYFUNCTION("""COMPUTED_VALUE"""),"231750920-4")</f>
        <v>231750920-4</v>
      </c>
      <c r="B2757" s="6" t="str">
        <f>IFERROR(__xludf.DUMMYFUNCTION("""COMPUTED_VALUE"""),"231750920 - Approved")</f>
        <v>231750920 - Approved</v>
      </c>
      <c r="C2757" s="6">
        <f>IFERROR(__xludf.DUMMYFUNCTION("""COMPUTED_VALUE"""),4.0)</f>
        <v>4</v>
      </c>
      <c r="D2757" s="6" t="str">
        <f>IFERROR(__xludf.DUMMYFUNCTION("""COMPUTED_VALUE"""),"P-52069-00")</f>
        <v>P-52069-00</v>
      </c>
      <c r="E2757" s="6" t="str">
        <f>IFERROR(__xludf.DUMMYFUNCTION("""COMPUTED_VALUE"""),"Over Load Schneider LRD08; ; ; pcs")</f>
        <v>Over Load Schneider LRD08; ; ; pcs</v>
      </c>
      <c r="F2757" s="6">
        <f>IFERROR(__xludf.DUMMYFUNCTION("""COMPUTED_VALUE"""),2.0)</f>
        <v>2</v>
      </c>
      <c r="G2757" s="6" t="str">
        <f>IFERROR(__xludf.DUMMYFUNCTION("""COMPUTED_VALUE"""),"Pieces")</f>
        <v>Pieces</v>
      </c>
      <c r="H2757" s="6" t="str">
        <f>IFERROR(__xludf.DUMMYFUNCTION("""COMPUTED_VALUE"""),"IDR")</f>
        <v>IDR</v>
      </c>
      <c r="I2757" s="11">
        <f>IFERROR(__xludf.DUMMYFUNCTION("""COMPUTED_VALUE"""),100000.0)</f>
        <v>100000</v>
      </c>
      <c r="J2757" s="11">
        <f>IFERROR(__xludf.DUMMYFUNCTION("""COMPUTED_VALUE"""),200000.0)</f>
        <v>200000</v>
      </c>
      <c r="K2757" s="57">
        <f>IFERROR(__xludf.DUMMYFUNCTION("""COMPUTED_VALUE"""),45272.0)</f>
        <v>45272</v>
      </c>
      <c r="L2757" s="6" t="str">
        <f>IFERROR(__xludf.DUMMYFUNCTION("""COMPUTED_VALUE"""),"FIP Engineering")</f>
        <v>FIP Engineering</v>
      </c>
      <c r="M2757" s="6" t="str">
        <f>IFERROR(__xludf.DUMMYFUNCTION("""COMPUTED_VALUE"""),"Mochammad Fadhillah Hakim")</f>
        <v>Mochammad Fadhillah Hakim</v>
      </c>
      <c r="N2757" s="6" t="str">
        <f>IFERROR(__xludf.DUMMYFUNCTION("""COMPUTED_VALUE"""),"FIP Engineering")</f>
        <v>FIP Engineering</v>
      </c>
      <c r="O2757" s="6" t="str">
        <f>IFERROR(__xludf.DUMMYFUNCTION("""COMPUTED_VALUE"""),"FIP-DOM-000-11304-OS00001-INA-000000")</f>
        <v>FIP-DOM-000-11304-OS00001-INA-000000</v>
      </c>
      <c r="P2757" s="6" t="str">
        <f>IFERROR(__xludf.DUMMYFUNCTION("""COMPUTED_VALUE"""),"PO Closed")</f>
        <v>PO Closed</v>
      </c>
      <c r="Q2757" s="6" t="str">
        <f>IFERROR(__xludf.DUMMYFUNCTION("""COMPUTED_VALUE"""),"GL2312022")</f>
        <v>GL2312022</v>
      </c>
      <c r="R2757" s="57">
        <f>IFERROR(__xludf.DUMMYFUNCTION("""COMPUTED_VALUE"""),45258.0)</f>
        <v>45258</v>
      </c>
      <c r="S2757" s="57">
        <f>IFERROR(__xludf.DUMMYFUNCTION("""COMPUTED_VALUE"""),45264.0)</f>
        <v>45264</v>
      </c>
      <c r="T2757" s="57">
        <f>IFERROR(__xludf.DUMMYFUNCTION("""COMPUTED_VALUE"""),45306.0)</f>
        <v>45306</v>
      </c>
    </row>
    <row r="2758">
      <c r="A2758" s="6" t="str">
        <f>IFERROR(__xludf.DUMMYFUNCTION("""COMPUTED_VALUE"""),"231750920-5")</f>
        <v>231750920-5</v>
      </c>
      <c r="B2758" s="6" t="str">
        <f>IFERROR(__xludf.DUMMYFUNCTION("""COMPUTED_VALUE"""),"231750920 - Approved")</f>
        <v>231750920 - Approved</v>
      </c>
      <c r="C2758" s="6">
        <f>IFERROR(__xludf.DUMMYFUNCTION("""COMPUTED_VALUE"""),5.0)</f>
        <v>5</v>
      </c>
      <c r="D2758" s="6" t="str">
        <f>IFERROR(__xludf.DUMMYFUNCTION("""COMPUTED_VALUE"""),"P-51216-00")</f>
        <v>P-51216-00</v>
      </c>
      <c r="E2758" s="6" t="str">
        <f>IFERROR(__xludf.DUMMYFUNCTION("""COMPUTED_VALUE"""),"Pipa conduit 20mm")</f>
        <v>Pipa conduit 20mm</v>
      </c>
      <c r="F2758" s="6">
        <f>IFERROR(__xludf.DUMMYFUNCTION("""COMPUTED_VALUE"""),3.0)</f>
        <v>3</v>
      </c>
      <c r="G2758" s="6" t="str">
        <f>IFERROR(__xludf.DUMMYFUNCTION("""COMPUTED_VALUE"""),"Pieces")</f>
        <v>Pieces</v>
      </c>
      <c r="H2758" s="6" t="str">
        <f>IFERROR(__xludf.DUMMYFUNCTION("""COMPUTED_VALUE"""),"IDR")</f>
        <v>IDR</v>
      </c>
      <c r="I2758" s="11">
        <f>IFERROR(__xludf.DUMMYFUNCTION("""COMPUTED_VALUE"""),22000.0)</f>
        <v>22000</v>
      </c>
      <c r="J2758" s="11">
        <f>IFERROR(__xludf.DUMMYFUNCTION("""COMPUTED_VALUE"""),66000.0)</f>
        <v>66000</v>
      </c>
      <c r="K2758" s="57">
        <f>IFERROR(__xludf.DUMMYFUNCTION("""COMPUTED_VALUE"""),45272.0)</f>
        <v>45272</v>
      </c>
      <c r="L2758" s="6" t="str">
        <f>IFERROR(__xludf.DUMMYFUNCTION("""COMPUTED_VALUE"""),"FIP Engineering")</f>
        <v>FIP Engineering</v>
      </c>
      <c r="M2758" s="6" t="str">
        <f>IFERROR(__xludf.DUMMYFUNCTION("""COMPUTED_VALUE"""),"Mochammad Fadhillah Hakim")</f>
        <v>Mochammad Fadhillah Hakim</v>
      </c>
      <c r="N2758" s="6" t="str">
        <f>IFERROR(__xludf.DUMMYFUNCTION("""COMPUTED_VALUE"""),"FIP Engineering")</f>
        <v>FIP Engineering</v>
      </c>
      <c r="O2758" s="6" t="str">
        <f>IFERROR(__xludf.DUMMYFUNCTION("""COMPUTED_VALUE"""),"FIP-DOM-000-11304-OS00001-INA-000000")</f>
        <v>FIP-DOM-000-11304-OS00001-INA-000000</v>
      </c>
      <c r="P2758" s="6" t="str">
        <f>IFERROR(__xludf.DUMMYFUNCTION("""COMPUTED_VALUE"""),"PO Closed")</f>
        <v>PO Closed</v>
      </c>
      <c r="Q2758" s="6" t="str">
        <f>IFERROR(__xludf.DUMMYFUNCTION("""COMPUTED_VALUE"""),"GL2312022")</f>
        <v>GL2312022</v>
      </c>
      <c r="R2758" s="57">
        <f>IFERROR(__xludf.DUMMYFUNCTION("""COMPUTED_VALUE"""),45258.0)</f>
        <v>45258</v>
      </c>
      <c r="S2758" s="57">
        <f>IFERROR(__xludf.DUMMYFUNCTION("""COMPUTED_VALUE"""),45264.0)</f>
        <v>45264</v>
      </c>
      <c r="T2758" s="57">
        <f>IFERROR(__xludf.DUMMYFUNCTION("""COMPUTED_VALUE"""),45306.0)</f>
        <v>45306</v>
      </c>
    </row>
    <row r="2759">
      <c r="A2759" s="6" t="str">
        <f>IFERROR(__xludf.DUMMYFUNCTION("""COMPUTED_VALUE"""),"231750920-6")</f>
        <v>231750920-6</v>
      </c>
      <c r="B2759" s="6" t="str">
        <f>IFERROR(__xludf.DUMMYFUNCTION("""COMPUTED_VALUE"""),"231750920 - Approved")</f>
        <v>231750920 - Approved</v>
      </c>
      <c r="C2759" s="6">
        <f>IFERROR(__xludf.DUMMYFUNCTION("""COMPUTED_VALUE"""),6.0)</f>
        <v>6</v>
      </c>
      <c r="D2759" s="6" t="str">
        <f>IFERROR(__xludf.DUMMYFUNCTION("""COMPUTED_VALUE"""),"P-51856-00")</f>
        <v>P-51856-00</v>
      </c>
      <c r="E2759" s="6" t="str">
        <f>IFERROR(__xludf.DUMMYFUNCTION("""COMPUTED_VALUE"""),"Key Selector Switch S2KR-4CK2AM Autonics; ; ;")</f>
        <v>Key Selector Switch S2KR-4CK2AM Autonics; ; ;</v>
      </c>
      <c r="F2759" s="6">
        <f>IFERROR(__xludf.DUMMYFUNCTION("""COMPUTED_VALUE"""),2.0)</f>
        <v>2</v>
      </c>
      <c r="G2759" s="6" t="str">
        <f>IFERROR(__xludf.DUMMYFUNCTION("""COMPUTED_VALUE"""),"Pieces")</f>
        <v>Pieces</v>
      </c>
      <c r="H2759" s="6" t="str">
        <f>IFERROR(__xludf.DUMMYFUNCTION("""COMPUTED_VALUE"""),"IDR")</f>
        <v>IDR</v>
      </c>
      <c r="I2759" s="11">
        <f>IFERROR(__xludf.DUMMYFUNCTION("""COMPUTED_VALUE"""),97000.0)</f>
        <v>97000</v>
      </c>
      <c r="J2759" s="11">
        <f>IFERROR(__xludf.DUMMYFUNCTION("""COMPUTED_VALUE"""),194000.0)</f>
        <v>194000</v>
      </c>
      <c r="K2759" s="57">
        <f>IFERROR(__xludf.DUMMYFUNCTION("""COMPUTED_VALUE"""),45272.0)</f>
        <v>45272</v>
      </c>
      <c r="L2759" s="6" t="str">
        <f>IFERROR(__xludf.DUMMYFUNCTION("""COMPUTED_VALUE"""),"FIP Engineering")</f>
        <v>FIP Engineering</v>
      </c>
      <c r="M2759" s="6" t="str">
        <f>IFERROR(__xludf.DUMMYFUNCTION("""COMPUTED_VALUE"""),"Mochammad Fadhillah Hakim")</f>
        <v>Mochammad Fadhillah Hakim</v>
      </c>
      <c r="N2759" s="6" t="str">
        <f>IFERROR(__xludf.DUMMYFUNCTION("""COMPUTED_VALUE"""),"FIP Engineering")</f>
        <v>FIP Engineering</v>
      </c>
      <c r="O2759" s="6" t="str">
        <f>IFERROR(__xludf.DUMMYFUNCTION("""COMPUTED_VALUE"""),"FIP-DOM-000-11304-OS00001-INA-000000")</f>
        <v>FIP-DOM-000-11304-OS00001-INA-000000</v>
      </c>
      <c r="P2759" s="6" t="str">
        <f>IFERROR(__xludf.DUMMYFUNCTION("""COMPUTED_VALUE"""),"PO Closed")</f>
        <v>PO Closed</v>
      </c>
      <c r="Q2759" s="6" t="str">
        <f>IFERROR(__xludf.DUMMYFUNCTION("""COMPUTED_VALUE"""),"GL2312043")</f>
        <v>GL2312043</v>
      </c>
      <c r="R2759" s="57">
        <f>IFERROR(__xludf.DUMMYFUNCTION("""COMPUTED_VALUE"""),45258.0)</f>
        <v>45258</v>
      </c>
      <c r="S2759" s="57">
        <f>IFERROR(__xludf.DUMMYFUNCTION("""COMPUTED_VALUE"""),45264.0)</f>
        <v>45264</v>
      </c>
      <c r="T2759" s="57">
        <f>IFERROR(__xludf.DUMMYFUNCTION("""COMPUTED_VALUE"""),45301.0)</f>
        <v>45301</v>
      </c>
    </row>
    <row r="2760">
      <c r="A2760" s="6" t="str">
        <f>IFERROR(__xludf.DUMMYFUNCTION("""COMPUTED_VALUE"""),"231750920-7")</f>
        <v>231750920-7</v>
      </c>
      <c r="B2760" s="6" t="str">
        <f>IFERROR(__xludf.DUMMYFUNCTION("""COMPUTED_VALUE"""),"231750920 - Approved")</f>
        <v>231750920 - Approved</v>
      </c>
      <c r="C2760" s="6">
        <f>IFERROR(__xludf.DUMMYFUNCTION("""COMPUTED_VALUE"""),7.0)</f>
        <v>7</v>
      </c>
      <c r="D2760" s="6" t="str">
        <f>IFERROR(__xludf.DUMMYFUNCTION("""COMPUTED_VALUE"""),"P-10863-00")</f>
        <v>P-10863-00</v>
      </c>
      <c r="E2760" s="6" t="str">
        <f>IFERROR(__xludf.DUMMYFUNCTION("""COMPUTED_VALUE"""),"Fitting PVC - Elbow PVC 2""")</f>
        <v>Fitting PVC - Elbow PVC 2"</v>
      </c>
      <c r="F2760" s="6">
        <f>IFERROR(__xludf.DUMMYFUNCTION("""COMPUTED_VALUE"""),20.0)</f>
        <v>20</v>
      </c>
      <c r="G2760" s="6" t="str">
        <f>IFERROR(__xludf.DUMMYFUNCTION("""COMPUTED_VALUE"""),"Pieces")</f>
        <v>Pieces</v>
      </c>
      <c r="H2760" s="6" t="str">
        <f>IFERROR(__xludf.DUMMYFUNCTION("""COMPUTED_VALUE"""),"IDR")</f>
        <v>IDR</v>
      </c>
      <c r="I2760" s="11">
        <f>IFERROR(__xludf.DUMMYFUNCTION("""COMPUTED_VALUE"""),100000.0)</f>
        <v>100000</v>
      </c>
      <c r="J2760" s="11">
        <f>IFERROR(__xludf.DUMMYFUNCTION("""COMPUTED_VALUE"""),2000000.0)</f>
        <v>2000000</v>
      </c>
      <c r="K2760" s="57">
        <f>IFERROR(__xludf.DUMMYFUNCTION("""COMPUTED_VALUE"""),45272.0)</f>
        <v>45272</v>
      </c>
      <c r="L2760" s="6" t="str">
        <f>IFERROR(__xludf.DUMMYFUNCTION("""COMPUTED_VALUE"""),"FIP Engineering")</f>
        <v>FIP Engineering</v>
      </c>
      <c r="M2760" s="6" t="str">
        <f>IFERROR(__xludf.DUMMYFUNCTION("""COMPUTED_VALUE"""),"Mochammad Fadhillah Hakim")</f>
        <v>Mochammad Fadhillah Hakim</v>
      </c>
      <c r="N2760" s="6" t="str">
        <f>IFERROR(__xludf.DUMMYFUNCTION("""COMPUTED_VALUE"""),"FIP Engineering")</f>
        <v>FIP Engineering</v>
      </c>
      <c r="O2760" s="6" t="str">
        <f>IFERROR(__xludf.DUMMYFUNCTION("""COMPUTED_VALUE"""),"FIP-DOM-000-11304-OS00001-INA-000000")</f>
        <v>FIP-DOM-000-11304-OS00001-INA-000000</v>
      </c>
      <c r="P2760" s="6" t="str">
        <f>IFERROR(__xludf.DUMMYFUNCTION("""COMPUTED_VALUE"""),"PO Closed")</f>
        <v>PO Closed</v>
      </c>
      <c r="Q2760" s="6" t="str">
        <f>IFERROR(__xludf.DUMMYFUNCTION("""COMPUTED_VALUE"""),"GL2312031")</f>
        <v>GL2312031</v>
      </c>
      <c r="R2760" s="57">
        <f>IFERROR(__xludf.DUMMYFUNCTION("""COMPUTED_VALUE"""),45258.0)</f>
        <v>45258</v>
      </c>
      <c r="S2760" s="57">
        <f>IFERROR(__xludf.DUMMYFUNCTION("""COMPUTED_VALUE"""),45264.0)</f>
        <v>45264</v>
      </c>
      <c r="T2760" s="57">
        <f>IFERROR(__xludf.DUMMYFUNCTION("""COMPUTED_VALUE"""),45291.0)</f>
        <v>45291</v>
      </c>
    </row>
    <row r="2761">
      <c r="A2761" s="6" t="str">
        <f>IFERROR(__xludf.DUMMYFUNCTION("""COMPUTED_VALUE"""),"231750920-8")</f>
        <v>231750920-8</v>
      </c>
      <c r="B2761" s="6" t="str">
        <f>IFERROR(__xludf.DUMMYFUNCTION("""COMPUTED_VALUE"""),"231750920 - Approved")</f>
        <v>231750920 - Approved</v>
      </c>
      <c r="C2761" s="6">
        <f>IFERROR(__xludf.DUMMYFUNCTION("""COMPUTED_VALUE"""),8.0)</f>
        <v>8</v>
      </c>
      <c r="D2761" s="6" t="str">
        <f>IFERROR(__xludf.DUMMYFUNCTION("""COMPUTED_VALUE"""),"P-52662-00")</f>
        <v>P-52662-00</v>
      </c>
      <c r="E2761" s="6" t="str">
        <f>IFERROR(__xludf.DUMMYFUNCTION("""COMPUTED_VALUE"""),"Temperature Controller - TK4S- 14SN 100-240 VAC AUTONICS; ; ;")</f>
        <v>Temperature Controller - TK4S- 14SN 100-240 VAC AUTONICS; ; ;</v>
      </c>
      <c r="F2761" s="6">
        <f>IFERROR(__xludf.DUMMYFUNCTION("""COMPUTED_VALUE"""),2.0)</f>
        <v>2</v>
      </c>
      <c r="G2761" s="6" t="str">
        <f>IFERROR(__xludf.DUMMYFUNCTION("""COMPUTED_VALUE"""),"Pieces")</f>
        <v>Pieces</v>
      </c>
      <c r="H2761" s="6" t="str">
        <f>IFERROR(__xludf.DUMMYFUNCTION("""COMPUTED_VALUE"""),"IDR")</f>
        <v>IDR</v>
      </c>
      <c r="I2761" s="11">
        <f>IFERROR(__xludf.DUMMYFUNCTION("""COMPUTED_VALUE"""),646000.0)</f>
        <v>646000</v>
      </c>
      <c r="J2761" s="11">
        <f>IFERROR(__xludf.DUMMYFUNCTION("""COMPUTED_VALUE"""),1292000.0)</f>
        <v>1292000</v>
      </c>
      <c r="K2761" s="57">
        <f>IFERROR(__xludf.DUMMYFUNCTION("""COMPUTED_VALUE"""),45272.0)</f>
        <v>45272</v>
      </c>
      <c r="L2761" s="6" t="str">
        <f>IFERROR(__xludf.DUMMYFUNCTION("""COMPUTED_VALUE"""),"FIP Engineering")</f>
        <v>FIP Engineering</v>
      </c>
      <c r="M2761" s="6" t="str">
        <f>IFERROR(__xludf.DUMMYFUNCTION("""COMPUTED_VALUE"""),"Mochammad Fadhillah Hakim")</f>
        <v>Mochammad Fadhillah Hakim</v>
      </c>
      <c r="N2761" s="6" t="str">
        <f>IFERROR(__xludf.DUMMYFUNCTION("""COMPUTED_VALUE"""),"FIP Engineering")</f>
        <v>FIP Engineering</v>
      </c>
      <c r="O2761" s="6" t="str">
        <f>IFERROR(__xludf.DUMMYFUNCTION("""COMPUTED_VALUE"""),"FIP-DOM-000-11304-OS00001-INA-000000")</f>
        <v>FIP-DOM-000-11304-OS00001-INA-000000</v>
      </c>
      <c r="P2761" s="6" t="str">
        <f>IFERROR(__xludf.DUMMYFUNCTION("""COMPUTED_VALUE"""),"PO Closed")</f>
        <v>PO Closed</v>
      </c>
      <c r="Q2761" s="6" t="str">
        <f>IFERROR(__xludf.DUMMYFUNCTION("""COMPUTED_VALUE"""),"GL2312043")</f>
        <v>GL2312043</v>
      </c>
      <c r="R2761" s="57">
        <f>IFERROR(__xludf.DUMMYFUNCTION("""COMPUTED_VALUE"""),45258.0)</f>
        <v>45258</v>
      </c>
      <c r="S2761" s="57">
        <f>IFERROR(__xludf.DUMMYFUNCTION("""COMPUTED_VALUE"""),45264.0)</f>
        <v>45264</v>
      </c>
      <c r="T2761" s="57">
        <f>IFERROR(__xludf.DUMMYFUNCTION("""COMPUTED_VALUE"""),45342.0)</f>
        <v>45342</v>
      </c>
    </row>
    <row r="2762">
      <c r="A2762" s="6" t="str">
        <f>IFERROR(__xludf.DUMMYFUNCTION("""COMPUTED_VALUE"""),"231750936-1")</f>
        <v>231750936-1</v>
      </c>
      <c r="B2762" s="6" t="str">
        <f>IFERROR(__xludf.DUMMYFUNCTION("""COMPUTED_VALUE"""),"231750936 - Approved")</f>
        <v>231750936 - Approved</v>
      </c>
      <c r="C2762" s="6">
        <f>IFERROR(__xludf.DUMMYFUNCTION("""COMPUTED_VALUE"""),1.0)</f>
        <v>1</v>
      </c>
      <c r="D2762" s="6" t="str">
        <f>IFERROR(__xludf.DUMMYFUNCTION("""COMPUTED_VALUE"""),"Q-11000-00")</f>
        <v>Q-11000-00</v>
      </c>
      <c r="E2762" s="6" t="str">
        <f>IFERROR(__xludf.DUMMYFUNCTION("""COMPUTED_VALUE"""),"Jasa Perbaikan Gedung; ; ; - Pemindahan Hydrant dan Pintu Warehouse")</f>
        <v>Jasa Perbaikan Gedung; ; ; - Pemindahan Hydrant dan Pintu Warehouse</v>
      </c>
      <c r="F2762" s="6">
        <f>IFERROR(__xludf.DUMMYFUNCTION("""COMPUTED_VALUE"""),1.0)</f>
        <v>1</v>
      </c>
      <c r="G2762" s="6" t="str">
        <f>IFERROR(__xludf.DUMMYFUNCTION("""COMPUTED_VALUE"""),"Lot")</f>
        <v>Lot</v>
      </c>
      <c r="H2762" s="6" t="str">
        <f>IFERROR(__xludf.DUMMYFUNCTION("""COMPUTED_VALUE"""),"IDR")</f>
        <v>IDR</v>
      </c>
      <c r="I2762" s="11">
        <f>IFERROR(__xludf.DUMMYFUNCTION("""COMPUTED_VALUE"""),1.7681376E7)</f>
        <v>17681376</v>
      </c>
      <c r="J2762" s="11">
        <f>IFERROR(__xludf.DUMMYFUNCTION("""COMPUTED_VALUE"""),1.7681376E7)</f>
        <v>17681376</v>
      </c>
      <c r="K2762" s="57">
        <f>IFERROR(__xludf.DUMMYFUNCTION("""COMPUTED_VALUE"""),45278.0)</f>
        <v>45278</v>
      </c>
      <c r="L2762" s="6" t="str">
        <f>IFERROR(__xludf.DUMMYFUNCTION("""COMPUTED_VALUE"""),"FIP General")</f>
        <v>FIP General</v>
      </c>
      <c r="M2762" s="6" t="str">
        <f>IFERROR(__xludf.DUMMYFUNCTION("""COMPUTED_VALUE"""),"Mochammad Fadhillah Hakim")</f>
        <v>Mochammad Fadhillah Hakim</v>
      </c>
      <c r="N2762" s="6" t="str">
        <f>IFERROR(__xludf.DUMMYFUNCTION("""COMPUTED_VALUE"""),"FIP Engineering")</f>
        <v>FIP Engineering</v>
      </c>
      <c r="O2762" s="6" t="str">
        <f>IFERROR(__xludf.DUMMYFUNCTION("""COMPUTED_VALUE"""),"FIP-DOM-ENG-51502-0000000-INA-000000")</f>
        <v>FIP-DOM-ENG-51502-0000000-INA-000000</v>
      </c>
      <c r="P2762" s="6" t="str">
        <f>IFERROR(__xludf.DUMMYFUNCTION("""COMPUTED_VALUE"""),"PO Closed")</f>
        <v>PO Closed</v>
      </c>
      <c r="Q2762" s="6" t="str">
        <f>IFERROR(__xludf.DUMMYFUNCTION("""COMPUTED_VALUE"""),"GL2312053")</f>
        <v>GL2312053</v>
      </c>
      <c r="R2762" s="57">
        <f>IFERROR(__xludf.DUMMYFUNCTION("""COMPUTED_VALUE"""),45264.0)</f>
        <v>45264</v>
      </c>
      <c r="S2762" s="57">
        <f>IFERROR(__xludf.DUMMYFUNCTION("""COMPUTED_VALUE"""),45264.0)</f>
        <v>45264</v>
      </c>
      <c r="T2762" s="57">
        <f>IFERROR(__xludf.DUMMYFUNCTION("""COMPUTED_VALUE"""),45295.0)</f>
        <v>45295</v>
      </c>
    </row>
    <row r="2763">
      <c r="A2763" s="6" t="str">
        <f>IFERROR(__xludf.DUMMYFUNCTION("""COMPUTED_VALUE"""),"231750937-1")</f>
        <v>231750937-1</v>
      </c>
      <c r="B2763" s="6" t="str">
        <f>IFERROR(__xludf.DUMMYFUNCTION("""COMPUTED_VALUE"""),"231750937 - Approved")</f>
        <v>231750937 - Approved</v>
      </c>
      <c r="C2763" s="6">
        <f>IFERROR(__xludf.DUMMYFUNCTION("""COMPUTED_VALUE"""),1.0)</f>
        <v>1</v>
      </c>
      <c r="D2763" s="6" t="str">
        <f>IFERROR(__xludf.DUMMYFUNCTION("""COMPUTED_VALUE"""),"S-62032-00")</f>
        <v>S-62032-00</v>
      </c>
      <c r="E2763" s="6" t="str">
        <f>IFERROR(__xludf.DUMMYFUNCTION("""COMPUTED_VALUE"""),"Gas Argon (Ar); 1.5 M3; Refill; Industrial Grade; Purity ≥ 99.95%")</f>
        <v>Gas Argon (Ar); 1.5 M3; Refill; Industrial Grade; Purity ≥ 99.95%</v>
      </c>
      <c r="F2763" s="6">
        <f>IFERROR(__xludf.DUMMYFUNCTION("""COMPUTED_VALUE"""),1.0)</f>
        <v>1</v>
      </c>
      <c r="G2763" s="6" t="str">
        <f>IFERROR(__xludf.DUMMYFUNCTION("""COMPUTED_VALUE"""),"Tube")</f>
        <v>Tube</v>
      </c>
      <c r="H2763" s="6" t="str">
        <f>IFERROR(__xludf.DUMMYFUNCTION("""COMPUTED_VALUE"""),"IDR")</f>
        <v>IDR</v>
      </c>
      <c r="I2763" s="11">
        <f>IFERROR(__xludf.DUMMYFUNCTION("""COMPUTED_VALUE"""),155000.0)</f>
        <v>155000</v>
      </c>
      <c r="J2763" s="11">
        <f>IFERROR(__xludf.DUMMYFUNCTION("""COMPUTED_VALUE"""),155000.0)</f>
        <v>155000</v>
      </c>
      <c r="K2763" s="57">
        <f>IFERROR(__xludf.DUMMYFUNCTION("""COMPUTED_VALUE"""),45278.0)</f>
        <v>45278</v>
      </c>
      <c r="L2763" s="6" t="str">
        <f>IFERROR(__xludf.DUMMYFUNCTION("""COMPUTED_VALUE"""),"FIP General")</f>
        <v>FIP General</v>
      </c>
      <c r="M2763" s="6" t="str">
        <f>IFERROR(__xludf.DUMMYFUNCTION("""COMPUTED_VALUE"""),"Mochammad Fadhillah Hakim")</f>
        <v>Mochammad Fadhillah Hakim</v>
      </c>
      <c r="N2763" s="6" t="str">
        <f>IFERROR(__xludf.DUMMYFUNCTION("""COMPUTED_VALUE"""),"FIP Engineering")</f>
        <v>FIP Engineering</v>
      </c>
      <c r="O2763" s="6" t="str">
        <f>IFERROR(__xludf.DUMMYFUNCTION("""COMPUTED_VALUE"""),"FIP-DOM-ENG-51404-0000000-INA-000000")</f>
        <v>FIP-DOM-ENG-51404-0000000-INA-000000</v>
      </c>
      <c r="P2763" s="6" t="str">
        <f>IFERROR(__xludf.DUMMYFUNCTION("""COMPUTED_VALUE"""),"PO Closed")</f>
        <v>PO Closed</v>
      </c>
      <c r="Q2763" s="6" t="str">
        <f>IFERROR(__xludf.DUMMYFUNCTION("""COMPUTED_VALUE"""),"GL2403006")</f>
        <v>GL2403006</v>
      </c>
      <c r="R2763" s="57">
        <f>IFERROR(__xludf.DUMMYFUNCTION("""COMPUTED_VALUE"""),45264.0)</f>
        <v>45264</v>
      </c>
      <c r="S2763" s="57">
        <f>IFERROR(__xludf.DUMMYFUNCTION("""COMPUTED_VALUE"""),45264.0)</f>
        <v>45264</v>
      </c>
      <c r="T2763" s="57">
        <f>IFERROR(__xludf.DUMMYFUNCTION("""COMPUTED_VALUE"""),45358.0)</f>
        <v>45358</v>
      </c>
    </row>
    <row r="2764">
      <c r="A2764" s="6" t="str">
        <f>IFERROR(__xludf.DUMMYFUNCTION("""COMPUTED_VALUE"""),"231750937-2")</f>
        <v>231750937-2</v>
      </c>
      <c r="B2764" s="6" t="str">
        <f>IFERROR(__xludf.DUMMYFUNCTION("""COMPUTED_VALUE"""),"231750937 - Approved")</f>
        <v>231750937 - Approved</v>
      </c>
      <c r="C2764" s="6">
        <f>IFERROR(__xludf.DUMMYFUNCTION("""COMPUTED_VALUE"""),2.0)</f>
        <v>2</v>
      </c>
      <c r="D2764" s="6" t="str">
        <f>IFERROR(__xludf.DUMMYFUNCTION("""COMPUTED_VALUE"""),"S-62053-00")</f>
        <v>S-62053-00</v>
      </c>
      <c r="E2764" s="6" t="str">
        <f>IFERROR(__xludf.DUMMYFUNCTION("""COMPUTED_VALUE"""),"Hidrotest Tabung Argon 1,5m3; ; ;")</f>
        <v>Hidrotest Tabung Argon 1,5m3; ; ;</v>
      </c>
      <c r="F2764" s="6">
        <f>IFERROR(__xludf.DUMMYFUNCTION("""COMPUTED_VALUE"""),1.0)</f>
        <v>1</v>
      </c>
      <c r="G2764" s="6" t="str">
        <f>IFERROR(__xludf.DUMMYFUNCTION("""COMPUTED_VALUE"""),"Tube")</f>
        <v>Tube</v>
      </c>
      <c r="H2764" s="6" t="str">
        <f>IFERROR(__xludf.DUMMYFUNCTION("""COMPUTED_VALUE"""),"IDR")</f>
        <v>IDR</v>
      </c>
      <c r="I2764" s="11">
        <f>IFERROR(__xludf.DUMMYFUNCTION("""COMPUTED_VALUE"""),100000.0)</f>
        <v>100000</v>
      </c>
      <c r="J2764" s="11">
        <f>IFERROR(__xludf.DUMMYFUNCTION("""COMPUTED_VALUE"""),100000.0)</f>
        <v>100000</v>
      </c>
      <c r="K2764" s="57">
        <f>IFERROR(__xludf.DUMMYFUNCTION("""COMPUTED_VALUE"""),45278.0)</f>
        <v>45278</v>
      </c>
      <c r="L2764" s="6" t="str">
        <f>IFERROR(__xludf.DUMMYFUNCTION("""COMPUTED_VALUE"""),"FIP General")</f>
        <v>FIP General</v>
      </c>
      <c r="M2764" s="6" t="str">
        <f>IFERROR(__xludf.DUMMYFUNCTION("""COMPUTED_VALUE"""),"Mochammad Fadhillah Hakim")</f>
        <v>Mochammad Fadhillah Hakim</v>
      </c>
      <c r="N2764" s="6" t="str">
        <f>IFERROR(__xludf.DUMMYFUNCTION("""COMPUTED_VALUE"""),"FIP Engineering")</f>
        <v>FIP Engineering</v>
      </c>
      <c r="O2764" s="6" t="str">
        <f>IFERROR(__xludf.DUMMYFUNCTION("""COMPUTED_VALUE"""),"FIP-DOM-ENG-51404-0000000-INA-000000")</f>
        <v>FIP-DOM-ENG-51404-0000000-INA-000000</v>
      </c>
      <c r="P2764" s="6" t="str">
        <f>IFERROR(__xludf.DUMMYFUNCTION("""COMPUTED_VALUE"""),"PO Closed")</f>
        <v>PO Closed</v>
      </c>
      <c r="Q2764" s="6" t="str">
        <f>IFERROR(__xludf.DUMMYFUNCTION("""COMPUTED_VALUE"""),"GL2312322")</f>
        <v>GL2312322</v>
      </c>
      <c r="R2764" s="57">
        <f>IFERROR(__xludf.DUMMYFUNCTION("""COMPUTED_VALUE"""),45264.0)</f>
        <v>45264</v>
      </c>
      <c r="S2764" s="57">
        <f>IFERROR(__xludf.DUMMYFUNCTION("""COMPUTED_VALUE"""),45264.0)</f>
        <v>45264</v>
      </c>
      <c r="T2764" s="57">
        <f>IFERROR(__xludf.DUMMYFUNCTION("""COMPUTED_VALUE"""),45282.0)</f>
        <v>45282</v>
      </c>
    </row>
    <row r="2765">
      <c r="A2765" s="6" t="str">
        <f>IFERROR(__xludf.DUMMYFUNCTION("""COMPUTED_VALUE"""),"231750939-1")</f>
        <v>231750939-1</v>
      </c>
      <c r="B2765" s="6" t="str">
        <f>IFERROR(__xludf.DUMMYFUNCTION("""COMPUTED_VALUE"""),"231750939 - Approved")</f>
        <v>231750939 - Approved</v>
      </c>
      <c r="C2765" s="6">
        <f>IFERROR(__xludf.DUMMYFUNCTION("""COMPUTED_VALUE"""),1.0)</f>
        <v>1</v>
      </c>
      <c r="D2765" s="6" t="str">
        <f>IFERROR(__xludf.DUMMYFUNCTION("""COMPUTED_VALUE"""),"S-60050-00")</f>
        <v>S-60050-00</v>
      </c>
      <c r="E2765" s="6" t="str">
        <f>IFERROR(__xludf.DUMMYFUNCTION("""COMPUTED_VALUE"""),"Jasa Perbaikan dan Pemeliharaan Mesin Produksi; ; ; - Untuk Kalibrasi Frigo")</f>
        <v>Jasa Perbaikan dan Pemeliharaan Mesin Produksi; ; ; - Untuk Kalibrasi Frigo</v>
      </c>
      <c r="F2765" s="6">
        <f>IFERROR(__xludf.DUMMYFUNCTION("""COMPUTED_VALUE"""),3.0)</f>
        <v>3</v>
      </c>
      <c r="G2765" s="6" t="str">
        <f>IFERROR(__xludf.DUMMYFUNCTION("""COMPUTED_VALUE"""),"Pieces")</f>
        <v>Pieces</v>
      </c>
      <c r="H2765" s="6" t="str">
        <f>IFERROR(__xludf.DUMMYFUNCTION("""COMPUTED_VALUE"""),"IDR")</f>
        <v>IDR</v>
      </c>
      <c r="I2765" s="11">
        <f>IFERROR(__xludf.DUMMYFUNCTION("""COMPUTED_VALUE"""),7653000.0)</f>
        <v>7653000</v>
      </c>
      <c r="J2765" s="11">
        <f>IFERROR(__xludf.DUMMYFUNCTION("""COMPUTED_VALUE"""),2.2959E7)</f>
        <v>22959000</v>
      </c>
      <c r="K2765" s="57">
        <f>IFERROR(__xludf.DUMMYFUNCTION("""COMPUTED_VALUE"""),45278.0)</f>
        <v>45278</v>
      </c>
      <c r="L2765" s="6" t="str">
        <f>IFERROR(__xludf.DUMMYFUNCTION("""COMPUTED_VALUE"""),"FIP General")</f>
        <v>FIP General</v>
      </c>
      <c r="M2765" s="6" t="str">
        <f>IFERROR(__xludf.DUMMYFUNCTION("""COMPUTED_VALUE"""),"Mochammad Fadhillah Hakim")</f>
        <v>Mochammad Fadhillah Hakim</v>
      </c>
      <c r="N2765" s="6" t="str">
        <f>IFERROR(__xludf.DUMMYFUNCTION("""COMPUTED_VALUE"""),"FIP Engineering")</f>
        <v>FIP Engineering</v>
      </c>
      <c r="O2765" s="6" t="str">
        <f>IFERROR(__xludf.DUMMYFUNCTION("""COMPUTED_VALUE"""),"FIP-DOM-ENG-51504-0000000-INA-000000")</f>
        <v>FIP-DOM-ENG-51504-0000000-INA-000000</v>
      </c>
      <c r="P2765" s="6" t="str">
        <f>IFERROR(__xludf.DUMMYFUNCTION("""COMPUTED_VALUE"""),"PO Closed")</f>
        <v>PO Closed</v>
      </c>
      <c r="Q2765" s="6" t="str">
        <f>IFERROR(__xludf.DUMMYFUNCTION("""COMPUTED_VALUE"""),"GL2312015")</f>
        <v>GL2312015</v>
      </c>
      <c r="R2765" s="57">
        <f>IFERROR(__xludf.DUMMYFUNCTION("""COMPUTED_VALUE"""),45264.0)</f>
        <v>45264</v>
      </c>
      <c r="S2765" s="57">
        <f>IFERROR(__xludf.DUMMYFUNCTION("""COMPUTED_VALUE"""),45264.0)</f>
        <v>45264</v>
      </c>
      <c r="T2765" s="57">
        <f>IFERROR(__xludf.DUMMYFUNCTION("""COMPUTED_VALUE"""),45301.0)</f>
        <v>45301</v>
      </c>
    </row>
    <row r="2766">
      <c r="A2766" s="6" t="str">
        <f>IFERROR(__xludf.DUMMYFUNCTION("""COMPUTED_VALUE"""),"231750956-1")</f>
        <v>231750956-1</v>
      </c>
      <c r="B2766" s="6" t="str">
        <f>IFERROR(__xludf.DUMMYFUNCTION("""COMPUTED_VALUE"""),"231750956 - Approved")</f>
        <v>231750956 - Approved</v>
      </c>
      <c r="C2766" s="6">
        <f>IFERROR(__xludf.DUMMYFUNCTION("""COMPUTED_VALUE"""),1.0)</f>
        <v>1</v>
      </c>
      <c r="D2766" s="6" t="str">
        <f>IFERROR(__xludf.DUMMYFUNCTION("""COMPUTED_VALUE"""),"T-80053-00")</f>
        <v>T-80053-00</v>
      </c>
      <c r="E2766" s="6" t="str">
        <f>IFERROR(__xludf.DUMMYFUNCTION("""COMPUTED_VALUE"""),"Binder CLIP 107 - 19 mm")</f>
        <v>Binder CLIP 107 - 19 mm</v>
      </c>
      <c r="F2766" s="6">
        <f>IFERROR(__xludf.DUMMYFUNCTION("""COMPUTED_VALUE"""),4.0)</f>
        <v>4</v>
      </c>
      <c r="G2766" s="6" t="str">
        <f>IFERROR(__xludf.DUMMYFUNCTION("""COMPUTED_VALUE"""),"Box")</f>
        <v>Box</v>
      </c>
      <c r="H2766" s="6" t="str">
        <f>IFERROR(__xludf.DUMMYFUNCTION("""COMPUTED_VALUE"""),"IDR")</f>
        <v>IDR</v>
      </c>
      <c r="I2766" s="11">
        <f>IFERROR(__xludf.DUMMYFUNCTION("""COMPUTED_VALUE"""),3000.0)</f>
        <v>3000</v>
      </c>
      <c r="J2766" s="11">
        <f>IFERROR(__xludf.DUMMYFUNCTION("""COMPUTED_VALUE"""),12000.0)</f>
        <v>12000</v>
      </c>
      <c r="K2766" s="57">
        <f>IFERROR(__xludf.DUMMYFUNCTION("""COMPUTED_VALUE"""),45278.0)</f>
        <v>45278</v>
      </c>
      <c r="L2766" s="6" t="str">
        <f>IFERROR(__xludf.DUMMYFUNCTION("""COMPUTED_VALUE"""),"FIP General")</f>
        <v>FIP General</v>
      </c>
      <c r="M2766" s="6" t="str">
        <f>IFERROR(__xludf.DUMMYFUNCTION("""COMPUTED_VALUE"""),"Mochammad Fadhillah Hakim")</f>
        <v>Mochammad Fadhillah Hakim</v>
      </c>
      <c r="N2766" s="6" t="str">
        <f>IFERROR(__xludf.DUMMYFUNCTION("""COMPUTED_VALUE"""),"FIP Engineering")</f>
        <v>FIP Engineering</v>
      </c>
      <c r="O2766" s="6" t="str">
        <f>IFERROR(__xludf.DUMMYFUNCTION("""COMPUTED_VALUE"""),"FIP-DOM-ENG-51411-0000000-INA-000000")</f>
        <v>FIP-DOM-ENG-51411-0000000-INA-000000</v>
      </c>
      <c r="P2766" s="6" t="str">
        <f>IFERROR(__xludf.DUMMYFUNCTION("""COMPUTED_VALUE"""),"PO Closed")</f>
        <v>PO Closed</v>
      </c>
      <c r="Q2766" s="6" t="str">
        <f>IFERROR(__xludf.DUMMYFUNCTION("""COMPUTED_VALUE"""),"GL2312033")</f>
        <v>GL2312033</v>
      </c>
      <c r="R2766" s="57">
        <f>IFERROR(__xludf.DUMMYFUNCTION("""COMPUTED_VALUE"""),45264.0)</f>
        <v>45264</v>
      </c>
      <c r="S2766" s="57">
        <f>IFERROR(__xludf.DUMMYFUNCTION("""COMPUTED_VALUE"""),45278.0)</f>
        <v>45278</v>
      </c>
      <c r="T2766" s="57">
        <f>IFERROR(__xludf.DUMMYFUNCTION("""COMPUTED_VALUE"""),45327.0)</f>
        <v>45327</v>
      </c>
    </row>
    <row r="2767">
      <c r="A2767" s="6" t="str">
        <f>IFERROR(__xludf.DUMMYFUNCTION("""COMPUTED_VALUE"""),"231750956-2")</f>
        <v>231750956-2</v>
      </c>
      <c r="B2767" s="6" t="str">
        <f>IFERROR(__xludf.DUMMYFUNCTION("""COMPUTED_VALUE"""),"231750956 - Approved")</f>
        <v>231750956 - Approved</v>
      </c>
      <c r="C2767" s="6">
        <f>IFERROR(__xludf.DUMMYFUNCTION("""COMPUTED_VALUE"""),2.0)</f>
        <v>2</v>
      </c>
      <c r="D2767" s="6" t="str">
        <f>IFERROR(__xludf.DUMMYFUNCTION("""COMPUTED_VALUE"""),"T-80054-00")</f>
        <v>T-80054-00</v>
      </c>
      <c r="E2767" s="6" t="str">
        <f>IFERROR(__xludf.DUMMYFUNCTION("""COMPUTED_VALUE"""),"Binder CLIP 111 - 25 mm")</f>
        <v>Binder CLIP 111 - 25 mm</v>
      </c>
      <c r="F2767" s="6">
        <f>IFERROR(__xludf.DUMMYFUNCTION("""COMPUTED_VALUE"""),4.0)</f>
        <v>4</v>
      </c>
      <c r="G2767" s="6" t="str">
        <f>IFERROR(__xludf.DUMMYFUNCTION("""COMPUTED_VALUE"""),"Box")</f>
        <v>Box</v>
      </c>
      <c r="H2767" s="6" t="str">
        <f>IFERROR(__xludf.DUMMYFUNCTION("""COMPUTED_VALUE"""),"IDR")</f>
        <v>IDR</v>
      </c>
      <c r="I2767" s="11">
        <f>IFERROR(__xludf.DUMMYFUNCTION("""COMPUTED_VALUE"""),5000.0)</f>
        <v>5000</v>
      </c>
      <c r="J2767" s="11">
        <f>IFERROR(__xludf.DUMMYFUNCTION("""COMPUTED_VALUE"""),20000.0)</f>
        <v>20000</v>
      </c>
      <c r="K2767" s="57">
        <f>IFERROR(__xludf.DUMMYFUNCTION("""COMPUTED_VALUE"""),45278.0)</f>
        <v>45278</v>
      </c>
      <c r="L2767" s="6" t="str">
        <f>IFERROR(__xludf.DUMMYFUNCTION("""COMPUTED_VALUE"""),"FIP General")</f>
        <v>FIP General</v>
      </c>
      <c r="M2767" s="6" t="str">
        <f>IFERROR(__xludf.DUMMYFUNCTION("""COMPUTED_VALUE"""),"Mochammad Fadhillah Hakim")</f>
        <v>Mochammad Fadhillah Hakim</v>
      </c>
      <c r="N2767" s="6" t="str">
        <f>IFERROR(__xludf.DUMMYFUNCTION("""COMPUTED_VALUE"""),"FIP Engineering")</f>
        <v>FIP Engineering</v>
      </c>
      <c r="O2767" s="6" t="str">
        <f>IFERROR(__xludf.DUMMYFUNCTION("""COMPUTED_VALUE"""),"FIP-DOM-ENG-51411-0000000-INA-000000")</f>
        <v>FIP-DOM-ENG-51411-0000000-INA-000000</v>
      </c>
      <c r="P2767" s="6" t="str">
        <f>IFERROR(__xludf.DUMMYFUNCTION("""COMPUTED_VALUE"""),"PO Closed")</f>
        <v>PO Closed</v>
      </c>
      <c r="Q2767" s="6" t="str">
        <f>IFERROR(__xludf.DUMMYFUNCTION("""COMPUTED_VALUE"""),"GL2312033")</f>
        <v>GL2312033</v>
      </c>
      <c r="R2767" s="57">
        <f>IFERROR(__xludf.DUMMYFUNCTION("""COMPUTED_VALUE"""),45264.0)</f>
        <v>45264</v>
      </c>
      <c r="S2767" s="57">
        <f>IFERROR(__xludf.DUMMYFUNCTION("""COMPUTED_VALUE"""),45278.0)</f>
        <v>45278</v>
      </c>
      <c r="T2767" s="57">
        <f>IFERROR(__xludf.DUMMYFUNCTION("""COMPUTED_VALUE"""),45327.0)</f>
        <v>45327</v>
      </c>
    </row>
    <row r="2768">
      <c r="A2768" s="6" t="str">
        <f>IFERROR(__xludf.DUMMYFUNCTION("""COMPUTED_VALUE"""),"231750956-3")</f>
        <v>231750956-3</v>
      </c>
      <c r="B2768" s="6" t="str">
        <f>IFERROR(__xludf.DUMMYFUNCTION("""COMPUTED_VALUE"""),"231750956 - Approved")</f>
        <v>231750956 - Approved</v>
      </c>
      <c r="C2768" s="6">
        <f>IFERROR(__xludf.DUMMYFUNCTION("""COMPUTED_VALUE"""),3.0)</f>
        <v>3</v>
      </c>
      <c r="D2768" s="6" t="str">
        <f>IFERROR(__xludf.DUMMYFUNCTION("""COMPUTED_VALUE"""),"T-80057-00")</f>
        <v>T-80057-00</v>
      </c>
      <c r="E2768" s="6" t="str">
        <f>IFERROR(__xludf.DUMMYFUNCTION("""COMPUTED_VALUE"""),"Binder CLIP 260 - 51 mm")</f>
        <v>Binder CLIP 260 - 51 mm</v>
      </c>
      <c r="F2768" s="6">
        <f>IFERROR(__xludf.DUMMYFUNCTION("""COMPUTED_VALUE"""),1.0)</f>
        <v>1</v>
      </c>
      <c r="G2768" s="6" t="str">
        <f>IFERROR(__xludf.DUMMYFUNCTION("""COMPUTED_VALUE"""),"Box")</f>
        <v>Box</v>
      </c>
      <c r="H2768" s="6" t="str">
        <f>IFERROR(__xludf.DUMMYFUNCTION("""COMPUTED_VALUE"""),"IDR")</f>
        <v>IDR</v>
      </c>
      <c r="I2768" s="11">
        <f>IFERROR(__xludf.DUMMYFUNCTION("""COMPUTED_VALUE"""),16000.0)</f>
        <v>16000</v>
      </c>
      <c r="J2768" s="11">
        <f>IFERROR(__xludf.DUMMYFUNCTION("""COMPUTED_VALUE"""),16000.0)</f>
        <v>16000</v>
      </c>
      <c r="K2768" s="57">
        <f>IFERROR(__xludf.DUMMYFUNCTION("""COMPUTED_VALUE"""),45278.0)</f>
        <v>45278</v>
      </c>
      <c r="L2768" s="6" t="str">
        <f>IFERROR(__xludf.DUMMYFUNCTION("""COMPUTED_VALUE"""),"FIP General")</f>
        <v>FIP General</v>
      </c>
      <c r="M2768" s="6" t="str">
        <f>IFERROR(__xludf.DUMMYFUNCTION("""COMPUTED_VALUE"""),"Mochammad Fadhillah Hakim")</f>
        <v>Mochammad Fadhillah Hakim</v>
      </c>
      <c r="N2768" s="6" t="str">
        <f>IFERROR(__xludf.DUMMYFUNCTION("""COMPUTED_VALUE"""),"FIP Engineering")</f>
        <v>FIP Engineering</v>
      </c>
      <c r="O2768" s="6" t="str">
        <f>IFERROR(__xludf.DUMMYFUNCTION("""COMPUTED_VALUE"""),"FIP-DOM-ENG-51411-0000000-INA-000000")</f>
        <v>FIP-DOM-ENG-51411-0000000-INA-000000</v>
      </c>
      <c r="P2768" s="6" t="str">
        <f>IFERROR(__xludf.DUMMYFUNCTION("""COMPUTED_VALUE"""),"PO Closed")</f>
        <v>PO Closed</v>
      </c>
      <c r="Q2768" s="6" t="str">
        <f>IFERROR(__xludf.DUMMYFUNCTION("""COMPUTED_VALUE"""),"GL2312033")</f>
        <v>GL2312033</v>
      </c>
      <c r="R2768" s="57">
        <f>IFERROR(__xludf.DUMMYFUNCTION("""COMPUTED_VALUE"""),45264.0)</f>
        <v>45264</v>
      </c>
      <c r="S2768" s="57">
        <f>IFERROR(__xludf.DUMMYFUNCTION("""COMPUTED_VALUE"""),45278.0)</f>
        <v>45278</v>
      </c>
      <c r="T2768" s="57">
        <f>IFERROR(__xludf.DUMMYFUNCTION("""COMPUTED_VALUE"""),45327.0)</f>
        <v>45327</v>
      </c>
    </row>
    <row r="2769">
      <c r="A2769" s="6" t="str">
        <f>IFERROR(__xludf.DUMMYFUNCTION("""COMPUTED_VALUE"""),"231750956-4")</f>
        <v>231750956-4</v>
      </c>
      <c r="B2769" s="6" t="str">
        <f>IFERROR(__xludf.DUMMYFUNCTION("""COMPUTED_VALUE"""),"231750956 - Approved")</f>
        <v>231750956 - Approved</v>
      </c>
      <c r="C2769" s="6">
        <f>IFERROR(__xludf.DUMMYFUNCTION("""COMPUTED_VALUE"""),4.0)</f>
        <v>4</v>
      </c>
      <c r="D2769" s="6" t="str">
        <f>IFERROR(__xludf.DUMMYFUNCTION("""COMPUTED_VALUE"""),"T-80635-00")</f>
        <v>T-80635-00</v>
      </c>
      <c r="E2769" s="6" t="str">
        <f>IFERROR(__xludf.DUMMYFUNCTION("""COMPUTED_VALUE"""),"Kertas HVS A4 70 gram")</f>
        <v>Kertas HVS A4 70 gram</v>
      </c>
      <c r="F2769" s="6">
        <f>IFERROR(__xludf.DUMMYFUNCTION("""COMPUTED_VALUE"""),5.0)</f>
        <v>5</v>
      </c>
      <c r="G2769" s="6" t="str">
        <f>IFERROR(__xludf.DUMMYFUNCTION("""COMPUTED_VALUE"""),"Rim")</f>
        <v>Rim</v>
      </c>
      <c r="H2769" s="6" t="str">
        <f>IFERROR(__xludf.DUMMYFUNCTION("""COMPUTED_VALUE"""),"IDR")</f>
        <v>IDR</v>
      </c>
      <c r="I2769" s="11">
        <f>IFERROR(__xludf.DUMMYFUNCTION("""COMPUTED_VALUE"""),35585.0)</f>
        <v>35585</v>
      </c>
      <c r="J2769" s="11">
        <f>IFERROR(__xludf.DUMMYFUNCTION("""COMPUTED_VALUE"""),177925.0)</f>
        <v>177925</v>
      </c>
      <c r="K2769" s="57">
        <f>IFERROR(__xludf.DUMMYFUNCTION("""COMPUTED_VALUE"""),45278.0)</f>
        <v>45278</v>
      </c>
      <c r="L2769" s="6" t="str">
        <f>IFERROR(__xludf.DUMMYFUNCTION("""COMPUTED_VALUE"""),"FIP General")</f>
        <v>FIP General</v>
      </c>
      <c r="M2769" s="6" t="str">
        <f>IFERROR(__xludf.DUMMYFUNCTION("""COMPUTED_VALUE"""),"Mochammad Fadhillah Hakim")</f>
        <v>Mochammad Fadhillah Hakim</v>
      </c>
      <c r="N2769" s="6" t="str">
        <f>IFERROR(__xludf.DUMMYFUNCTION("""COMPUTED_VALUE"""),"FIP Engineering")</f>
        <v>FIP Engineering</v>
      </c>
      <c r="O2769" s="6" t="str">
        <f>IFERROR(__xludf.DUMMYFUNCTION("""COMPUTED_VALUE"""),"FIP-DOM-ENG-51411-0000000-INA-000000")</f>
        <v>FIP-DOM-ENG-51411-0000000-INA-000000</v>
      </c>
      <c r="P2769" s="6" t="str">
        <f>IFERROR(__xludf.DUMMYFUNCTION("""COMPUTED_VALUE"""),"PO Closed")</f>
        <v>PO Closed</v>
      </c>
      <c r="Q2769" s="6" t="str">
        <f>IFERROR(__xludf.DUMMYFUNCTION("""COMPUTED_VALUE"""),"GL2401006")</f>
        <v>GL2401006</v>
      </c>
      <c r="R2769" s="57">
        <f>IFERROR(__xludf.DUMMYFUNCTION("""COMPUTED_VALUE"""),45264.0)</f>
        <v>45264</v>
      </c>
      <c r="S2769" s="57">
        <f>IFERROR(__xludf.DUMMYFUNCTION("""COMPUTED_VALUE"""),45278.0)</f>
        <v>45278</v>
      </c>
      <c r="T2769" s="57">
        <f>IFERROR(__xludf.DUMMYFUNCTION("""COMPUTED_VALUE"""),45323.0)</f>
        <v>45323</v>
      </c>
    </row>
    <row r="2770">
      <c r="A2770" s="6" t="str">
        <f>IFERROR(__xludf.DUMMYFUNCTION("""COMPUTED_VALUE"""),"231750956-5")</f>
        <v>231750956-5</v>
      </c>
      <c r="B2770" s="6" t="str">
        <f>IFERROR(__xludf.DUMMYFUNCTION("""COMPUTED_VALUE"""),"231750956 - Approved")</f>
        <v>231750956 - Approved</v>
      </c>
      <c r="C2770" s="6">
        <f>IFERROR(__xludf.DUMMYFUNCTION("""COMPUTED_VALUE"""),5.0)</f>
        <v>5</v>
      </c>
      <c r="D2770" s="6" t="str">
        <f>IFERROR(__xludf.DUMMYFUNCTION("""COMPUTED_VALUE"""),"T-80373-00")</f>
        <v>T-80373-00</v>
      </c>
      <c r="E2770" s="6" t="str">
        <f>IFERROR(__xludf.DUMMYFUNCTION("""COMPUTED_VALUE"""),"Plakband Bening 2 inch")</f>
        <v>Plakband Bening 2 inch</v>
      </c>
      <c r="F2770" s="6">
        <f>IFERROR(__xludf.DUMMYFUNCTION("""COMPUTED_VALUE"""),7.0)</f>
        <v>7</v>
      </c>
      <c r="G2770" s="6" t="str">
        <f>IFERROR(__xludf.DUMMYFUNCTION("""COMPUTED_VALUE"""),"Roll")</f>
        <v>Roll</v>
      </c>
      <c r="H2770" s="6" t="str">
        <f>IFERROR(__xludf.DUMMYFUNCTION("""COMPUTED_VALUE"""),"IDR")</f>
        <v>IDR</v>
      </c>
      <c r="I2770" s="11">
        <f>IFERROR(__xludf.DUMMYFUNCTION("""COMPUTED_VALUE"""),8000.0)</f>
        <v>8000</v>
      </c>
      <c r="J2770" s="11">
        <f>IFERROR(__xludf.DUMMYFUNCTION("""COMPUTED_VALUE"""),56000.0)</f>
        <v>56000</v>
      </c>
      <c r="K2770" s="57">
        <f>IFERROR(__xludf.DUMMYFUNCTION("""COMPUTED_VALUE"""),45278.0)</f>
        <v>45278</v>
      </c>
      <c r="L2770" s="6" t="str">
        <f>IFERROR(__xludf.DUMMYFUNCTION("""COMPUTED_VALUE"""),"FIP General")</f>
        <v>FIP General</v>
      </c>
      <c r="M2770" s="6" t="str">
        <f>IFERROR(__xludf.DUMMYFUNCTION("""COMPUTED_VALUE"""),"Mochammad Fadhillah Hakim")</f>
        <v>Mochammad Fadhillah Hakim</v>
      </c>
      <c r="N2770" s="6" t="str">
        <f>IFERROR(__xludf.DUMMYFUNCTION("""COMPUTED_VALUE"""),"FIP Engineering")</f>
        <v>FIP Engineering</v>
      </c>
      <c r="O2770" s="6" t="str">
        <f>IFERROR(__xludf.DUMMYFUNCTION("""COMPUTED_VALUE"""),"FIP-DOM-ENG-51411-0000000-INA-000000")</f>
        <v>FIP-DOM-ENG-51411-0000000-INA-000000</v>
      </c>
      <c r="P2770" s="6" t="str">
        <f>IFERROR(__xludf.DUMMYFUNCTION("""COMPUTED_VALUE"""),"PO Closed")</f>
        <v>PO Closed</v>
      </c>
      <c r="Q2770" s="6" t="str">
        <f>IFERROR(__xludf.DUMMYFUNCTION("""COMPUTED_VALUE"""),"GL2312033")</f>
        <v>GL2312033</v>
      </c>
      <c r="R2770" s="57">
        <f>IFERROR(__xludf.DUMMYFUNCTION("""COMPUTED_VALUE"""),45264.0)</f>
        <v>45264</v>
      </c>
      <c r="S2770" s="57">
        <f>IFERROR(__xludf.DUMMYFUNCTION("""COMPUTED_VALUE"""),45278.0)</f>
        <v>45278</v>
      </c>
      <c r="T2770" s="57">
        <f>IFERROR(__xludf.DUMMYFUNCTION("""COMPUTED_VALUE"""),45327.0)</f>
        <v>45327</v>
      </c>
    </row>
    <row r="2771">
      <c r="A2771" s="6" t="str">
        <f>IFERROR(__xludf.DUMMYFUNCTION("""COMPUTED_VALUE"""),"231750956-6")</f>
        <v>231750956-6</v>
      </c>
      <c r="B2771" s="6" t="str">
        <f>IFERROR(__xludf.DUMMYFUNCTION("""COMPUTED_VALUE"""),"231750956 - Approved")</f>
        <v>231750956 - Approved</v>
      </c>
      <c r="C2771" s="6">
        <f>IFERROR(__xludf.DUMMYFUNCTION("""COMPUTED_VALUE"""),6.0)</f>
        <v>6</v>
      </c>
      <c r="D2771" s="6" t="str">
        <f>IFERROR(__xludf.DUMMYFUNCTION("""COMPUTED_VALUE"""),"S-11400-00")</f>
        <v>S-11400-00</v>
      </c>
      <c r="E2771" s="6" t="str">
        <f>IFERROR(__xludf.DUMMYFUNCTION("""COMPUTED_VALUE"""),"Kain Majun Ex HINGS Class AA - Re Order GL2311309")</f>
        <v>Kain Majun Ex HINGS Class AA - Re Order GL2311309</v>
      </c>
      <c r="F2771" s="6">
        <f>IFERROR(__xludf.DUMMYFUNCTION("""COMPUTED_VALUE"""),30.0)</f>
        <v>30</v>
      </c>
      <c r="G2771" s="6" t="str">
        <f>IFERROR(__xludf.DUMMYFUNCTION("""COMPUTED_VALUE"""),"Kilogram")</f>
        <v>Kilogram</v>
      </c>
      <c r="H2771" s="6" t="str">
        <f>IFERROR(__xludf.DUMMYFUNCTION("""COMPUTED_VALUE"""),"IDR")</f>
        <v>IDR</v>
      </c>
      <c r="I2771" s="11">
        <f>IFERROR(__xludf.DUMMYFUNCTION("""COMPUTED_VALUE"""),39000.0)</f>
        <v>39000</v>
      </c>
      <c r="J2771" s="11">
        <f>IFERROR(__xludf.DUMMYFUNCTION("""COMPUTED_VALUE"""),1170000.0)</f>
        <v>1170000</v>
      </c>
      <c r="K2771" s="57">
        <f>IFERROR(__xludf.DUMMYFUNCTION("""COMPUTED_VALUE"""),45278.0)</f>
        <v>45278</v>
      </c>
      <c r="L2771" s="6" t="str">
        <f>IFERROR(__xludf.DUMMYFUNCTION("""COMPUTED_VALUE"""),"FIP General")</f>
        <v>FIP General</v>
      </c>
      <c r="M2771" s="6" t="str">
        <f>IFERROR(__xludf.DUMMYFUNCTION("""COMPUTED_VALUE"""),"Mochammad Fadhillah Hakim")</f>
        <v>Mochammad Fadhillah Hakim</v>
      </c>
      <c r="N2771" s="6" t="str">
        <f>IFERROR(__xludf.DUMMYFUNCTION("""COMPUTED_VALUE"""),"FIP Engineering")</f>
        <v>FIP Engineering</v>
      </c>
      <c r="O2771" s="6" t="str">
        <f>IFERROR(__xludf.DUMMYFUNCTION("""COMPUTED_VALUE"""),"FIP-DOM-ENG-51302-0000000-INA-000000")</f>
        <v>FIP-DOM-ENG-51302-0000000-INA-000000</v>
      </c>
      <c r="P2771" s="6" t="str">
        <f>IFERROR(__xludf.DUMMYFUNCTION("""COMPUTED_VALUE"""),"PO Closed")</f>
        <v>PO Closed</v>
      </c>
      <c r="Q2771" s="6" t="str">
        <f>IFERROR(__xludf.DUMMYFUNCTION("""COMPUTED_VALUE"""),"GL2312314")</f>
        <v>GL2312314</v>
      </c>
      <c r="R2771" s="57">
        <f>IFERROR(__xludf.DUMMYFUNCTION("""COMPUTED_VALUE"""),45264.0)</f>
        <v>45264</v>
      </c>
      <c r="S2771" s="57">
        <f>IFERROR(__xludf.DUMMYFUNCTION("""COMPUTED_VALUE"""),45278.0)</f>
        <v>45278</v>
      </c>
      <c r="T2771" s="57">
        <f>IFERROR(__xludf.DUMMYFUNCTION("""COMPUTED_VALUE"""),45289.0)</f>
        <v>45289</v>
      </c>
    </row>
    <row r="2772">
      <c r="A2772" s="6" t="str">
        <f>IFERROR(__xludf.DUMMYFUNCTION("""COMPUTED_VALUE"""),"231750956-7")</f>
        <v>231750956-7</v>
      </c>
      <c r="B2772" s="6" t="str">
        <f>IFERROR(__xludf.DUMMYFUNCTION("""COMPUTED_VALUE"""),"231750956 - Approved")</f>
        <v>231750956 - Approved</v>
      </c>
      <c r="C2772" s="6">
        <f>IFERROR(__xludf.DUMMYFUNCTION("""COMPUTED_VALUE"""),7.0)</f>
        <v>7</v>
      </c>
      <c r="D2772" s="6" t="str">
        <f>IFERROR(__xludf.DUMMYFUNCTION("""COMPUTED_VALUE"""),"T-80028-00")</f>
        <v>T-80028-00</v>
      </c>
      <c r="E2772" s="6" t="str">
        <f>IFERROR(__xludf.DUMMYFUNCTION("""COMPUTED_VALUE"""),"Ballpoint Snowman V1 Hitam/Biru/Merah - Biru")</f>
        <v>Ballpoint Snowman V1 Hitam/Biru/Merah - Biru</v>
      </c>
      <c r="F2772" s="6">
        <f>IFERROR(__xludf.DUMMYFUNCTION("""COMPUTED_VALUE"""),20.0)</f>
        <v>20</v>
      </c>
      <c r="G2772" s="6" t="str">
        <f>IFERROR(__xludf.DUMMYFUNCTION("""COMPUTED_VALUE"""),"Pieces")</f>
        <v>Pieces</v>
      </c>
      <c r="H2772" s="6" t="str">
        <f>IFERROR(__xludf.DUMMYFUNCTION("""COMPUTED_VALUE"""),"IDR")</f>
        <v>IDR</v>
      </c>
      <c r="I2772" s="11">
        <f>IFERROR(__xludf.DUMMYFUNCTION("""COMPUTED_VALUE"""),2500.0)</f>
        <v>2500</v>
      </c>
      <c r="J2772" s="11">
        <f>IFERROR(__xludf.DUMMYFUNCTION("""COMPUTED_VALUE"""),50000.0)</f>
        <v>50000</v>
      </c>
      <c r="K2772" s="57">
        <f>IFERROR(__xludf.DUMMYFUNCTION("""COMPUTED_VALUE"""),45278.0)</f>
        <v>45278</v>
      </c>
      <c r="L2772" s="6" t="str">
        <f>IFERROR(__xludf.DUMMYFUNCTION("""COMPUTED_VALUE"""),"FIP General")</f>
        <v>FIP General</v>
      </c>
      <c r="M2772" s="6" t="str">
        <f>IFERROR(__xludf.DUMMYFUNCTION("""COMPUTED_VALUE"""),"Mochammad Fadhillah Hakim")</f>
        <v>Mochammad Fadhillah Hakim</v>
      </c>
      <c r="N2772" s="6" t="str">
        <f>IFERROR(__xludf.DUMMYFUNCTION("""COMPUTED_VALUE"""),"FIP Engineering")</f>
        <v>FIP Engineering</v>
      </c>
      <c r="O2772" s="6" t="str">
        <f>IFERROR(__xludf.DUMMYFUNCTION("""COMPUTED_VALUE"""),"FIP-DOM-ENG-51411-0000000-INA-000000")</f>
        <v>FIP-DOM-ENG-51411-0000000-INA-000000</v>
      </c>
      <c r="P2772" s="6" t="str">
        <f>IFERROR(__xludf.DUMMYFUNCTION("""COMPUTED_VALUE"""),"PO Closed")</f>
        <v>PO Closed</v>
      </c>
      <c r="Q2772" s="6" t="str">
        <f>IFERROR(__xludf.DUMMYFUNCTION("""COMPUTED_VALUE"""),"GL2312033")</f>
        <v>GL2312033</v>
      </c>
      <c r="R2772" s="57">
        <f>IFERROR(__xludf.DUMMYFUNCTION("""COMPUTED_VALUE"""),45264.0)</f>
        <v>45264</v>
      </c>
      <c r="S2772" s="57">
        <f>IFERROR(__xludf.DUMMYFUNCTION("""COMPUTED_VALUE"""),45278.0)</f>
        <v>45278</v>
      </c>
      <c r="T2772" s="57">
        <f>IFERROR(__xludf.DUMMYFUNCTION("""COMPUTED_VALUE"""),45327.0)</f>
        <v>45327</v>
      </c>
    </row>
    <row r="2773">
      <c r="A2773" s="6" t="str">
        <f>IFERROR(__xludf.DUMMYFUNCTION("""COMPUTED_VALUE"""),"231750977-1")</f>
        <v>231750977-1</v>
      </c>
      <c r="B2773" s="6" t="str">
        <f>IFERROR(__xludf.DUMMYFUNCTION("""COMPUTED_VALUE"""),"231750977 - Approved")</f>
        <v>231750977 - Approved</v>
      </c>
      <c r="C2773" s="6">
        <f>IFERROR(__xludf.DUMMYFUNCTION("""COMPUTED_VALUE"""),1.0)</f>
        <v>1</v>
      </c>
      <c r="D2773" s="6" t="str">
        <f>IFERROR(__xludf.DUMMYFUNCTION("""COMPUTED_VALUE"""),"P-53362-00")</f>
        <v>P-53362-00</v>
      </c>
      <c r="E2773" s="6" t="str">
        <f>IFERROR(__xludf.DUMMYFUNCTION("""COMPUTED_VALUE"""),"Contactor Schneider LC1D09M7 Coil 220 VAC; ; ;")</f>
        <v>Contactor Schneider LC1D09M7 Coil 220 VAC; ; ;</v>
      </c>
      <c r="F2773" s="6">
        <f>IFERROR(__xludf.DUMMYFUNCTION("""COMPUTED_VALUE"""),1.0)</f>
        <v>1</v>
      </c>
      <c r="G2773" s="6" t="str">
        <f>IFERROR(__xludf.DUMMYFUNCTION("""COMPUTED_VALUE"""),"Pieces")</f>
        <v>Pieces</v>
      </c>
      <c r="H2773" s="6" t="str">
        <f>IFERROR(__xludf.DUMMYFUNCTION("""COMPUTED_VALUE"""),"IDR")</f>
        <v>IDR</v>
      </c>
      <c r="I2773" s="11">
        <f>IFERROR(__xludf.DUMMYFUNCTION("""COMPUTED_VALUE"""),152250.0)</f>
        <v>152250</v>
      </c>
      <c r="J2773" s="11">
        <f>IFERROR(__xludf.DUMMYFUNCTION("""COMPUTED_VALUE"""),152250.0)</f>
        <v>152250</v>
      </c>
      <c r="K2773" s="57">
        <f>IFERROR(__xludf.DUMMYFUNCTION("""COMPUTED_VALUE"""),45287.0)</f>
        <v>45287</v>
      </c>
      <c r="L2773" s="6" t="str">
        <f>IFERROR(__xludf.DUMMYFUNCTION("""COMPUTED_VALUE"""),"FIP Engineering")</f>
        <v>FIP Engineering</v>
      </c>
      <c r="M2773" s="6" t="str">
        <f>IFERROR(__xludf.DUMMYFUNCTION("""COMPUTED_VALUE"""),"Mochammad Fadhillah Hakim")</f>
        <v>Mochammad Fadhillah Hakim</v>
      </c>
      <c r="N2773" s="6" t="str">
        <f>IFERROR(__xludf.DUMMYFUNCTION("""COMPUTED_VALUE"""),"FIP Engineering")</f>
        <v>FIP Engineering</v>
      </c>
      <c r="O2773" s="6" t="str">
        <f>IFERROR(__xludf.DUMMYFUNCTION("""COMPUTED_VALUE"""),"FIP-DOM-000-11304-OS00001-INA-000000")</f>
        <v>FIP-DOM-000-11304-OS00001-INA-000000</v>
      </c>
      <c r="P2773" s="6" t="str">
        <f>IFERROR(__xludf.DUMMYFUNCTION("""COMPUTED_VALUE"""),"PO Closed")</f>
        <v>PO Closed</v>
      </c>
      <c r="Q2773" s="6" t="str">
        <f>IFERROR(__xludf.DUMMYFUNCTION("""COMPUTED_VALUE"""),"GL2401014")</f>
        <v>GL2401014</v>
      </c>
      <c r="R2773" s="57">
        <f>IFERROR(__xludf.DUMMYFUNCTION("""COMPUTED_VALUE"""),45273.0)</f>
        <v>45273</v>
      </c>
      <c r="S2773" s="57">
        <f>IFERROR(__xludf.DUMMYFUNCTION("""COMPUTED_VALUE"""),45274.0)</f>
        <v>45274</v>
      </c>
      <c r="T2773" s="57">
        <f>IFERROR(__xludf.DUMMYFUNCTION("""COMPUTED_VALUE"""),45325.0)</f>
        <v>45325</v>
      </c>
    </row>
    <row r="2774">
      <c r="A2774" s="6" t="str">
        <f>IFERROR(__xludf.DUMMYFUNCTION("""COMPUTED_VALUE"""),"231750977-2")</f>
        <v>231750977-2</v>
      </c>
      <c r="B2774" s="6" t="str">
        <f>IFERROR(__xludf.DUMMYFUNCTION("""COMPUTED_VALUE"""),"231750977 - Approved")</f>
        <v>231750977 - Approved</v>
      </c>
      <c r="C2774" s="6">
        <f>IFERROR(__xludf.DUMMYFUNCTION("""COMPUTED_VALUE"""),2.0)</f>
        <v>2</v>
      </c>
      <c r="D2774" s="6" t="str">
        <f>IFERROR(__xludf.DUMMYFUNCTION("""COMPUTED_VALUE"""),"P-10958-00")</f>
        <v>P-10958-00</v>
      </c>
      <c r="E2774" s="6" t="str">
        <f>IFERROR(__xludf.DUMMYFUNCTION("""COMPUTED_VALUE"""),"Kawat Las Tembaga Dia = 3,2 X 350 mm Harris")</f>
        <v>Kawat Las Tembaga Dia = 3,2 X 350 mm Harris</v>
      </c>
      <c r="F2774" s="6">
        <f>IFERROR(__xludf.DUMMYFUNCTION("""COMPUTED_VALUE"""),20.0)</f>
        <v>20</v>
      </c>
      <c r="G2774" s="6" t="str">
        <f>IFERROR(__xludf.DUMMYFUNCTION("""COMPUTED_VALUE"""),"Pieces")</f>
        <v>Pieces</v>
      </c>
      <c r="H2774" s="6" t="str">
        <f>IFERROR(__xludf.DUMMYFUNCTION("""COMPUTED_VALUE"""),"IDR")</f>
        <v>IDR</v>
      </c>
      <c r="I2774" s="11">
        <f>IFERROR(__xludf.DUMMYFUNCTION("""COMPUTED_VALUE"""),5400.0)</f>
        <v>5400</v>
      </c>
      <c r="J2774" s="11">
        <f>IFERROR(__xludf.DUMMYFUNCTION("""COMPUTED_VALUE"""),108000.0)</f>
        <v>108000</v>
      </c>
      <c r="K2774" s="57">
        <f>IFERROR(__xludf.DUMMYFUNCTION("""COMPUTED_VALUE"""),45287.0)</f>
        <v>45287</v>
      </c>
      <c r="L2774" s="6" t="str">
        <f>IFERROR(__xludf.DUMMYFUNCTION("""COMPUTED_VALUE"""),"FIP Engineering")</f>
        <v>FIP Engineering</v>
      </c>
      <c r="M2774" s="6" t="str">
        <f>IFERROR(__xludf.DUMMYFUNCTION("""COMPUTED_VALUE"""),"Mochammad Fadhillah Hakim")</f>
        <v>Mochammad Fadhillah Hakim</v>
      </c>
      <c r="N2774" s="6" t="str">
        <f>IFERROR(__xludf.DUMMYFUNCTION("""COMPUTED_VALUE"""),"FIP Engineering")</f>
        <v>FIP Engineering</v>
      </c>
      <c r="O2774" s="6" t="str">
        <f>IFERROR(__xludf.DUMMYFUNCTION("""COMPUTED_VALUE"""),"FIP-DOM-000-11304-OS00001-INA-000000")</f>
        <v>FIP-DOM-000-11304-OS00001-INA-000000</v>
      </c>
      <c r="P2774" s="6" t="str">
        <f>IFERROR(__xludf.DUMMYFUNCTION("""COMPUTED_VALUE"""),"PO Closed")</f>
        <v>PO Closed</v>
      </c>
      <c r="Q2774" s="6" t="str">
        <f>IFERROR(__xludf.DUMMYFUNCTION("""COMPUTED_VALUE"""),"GL2401012")</f>
        <v>GL2401012</v>
      </c>
      <c r="R2774" s="57">
        <f>IFERROR(__xludf.DUMMYFUNCTION("""COMPUTED_VALUE"""),45273.0)</f>
        <v>45273</v>
      </c>
      <c r="S2774" s="57">
        <f>IFERROR(__xludf.DUMMYFUNCTION("""COMPUTED_VALUE"""),45274.0)</f>
        <v>45274</v>
      </c>
      <c r="T2774" s="57">
        <f>IFERROR(__xludf.DUMMYFUNCTION("""COMPUTED_VALUE"""),45322.0)</f>
        <v>45322</v>
      </c>
    </row>
    <row r="2775">
      <c r="A2775" s="6" t="str">
        <f>IFERROR(__xludf.DUMMYFUNCTION("""COMPUTED_VALUE"""),"231750977-3")</f>
        <v>231750977-3</v>
      </c>
      <c r="B2775" s="6" t="str">
        <f>IFERROR(__xludf.DUMMYFUNCTION("""COMPUTED_VALUE"""),"231750977 - Approved")</f>
        <v>231750977 - Approved</v>
      </c>
      <c r="C2775" s="6">
        <f>IFERROR(__xludf.DUMMYFUNCTION("""COMPUTED_VALUE"""),3.0)</f>
        <v>3</v>
      </c>
      <c r="D2775" s="6" t="str">
        <f>IFERROR(__xludf.DUMMYFUNCTION("""COMPUTED_VALUE"""),"O-54129-00")</f>
        <v>O-54129-00</v>
      </c>
      <c r="E2775" s="6" t="str">
        <f>IFERROR(__xludf.DUMMYFUNCTION("""COMPUTED_VALUE"""),"Digital Vacuum Gauge VMV-1 0 - 75000 Microns; VALUE; ;")</f>
        <v>Digital Vacuum Gauge VMV-1 0 - 75000 Microns; VALUE; ;</v>
      </c>
      <c r="F2775" s="6">
        <f>IFERROR(__xludf.DUMMYFUNCTION("""COMPUTED_VALUE"""),1.0)</f>
        <v>1</v>
      </c>
      <c r="G2775" s="6" t="str">
        <f>IFERROR(__xludf.DUMMYFUNCTION("""COMPUTED_VALUE"""),"Pieces")</f>
        <v>Pieces</v>
      </c>
      <c r="H2775" s="6" t="str">
        <f>IFERROR(__xludf.DUMMYFUNCTION("""COMPUTED_VALUE"""),"IDR")</f>
        <v>IDR</v>
      </c>
      <c r="I2775" s="11">
        <f>IFERROR(__xludf.DUMMYFUNCTION("""COMPUTED_VALUE"""),2450000.0)</f>
        <v>2450000</v>
      </c>
      <c r="J2775" s="11">
        <f>IFERROR(__xludf.DUMMYFUNCTION("""COMPUTED_VALUE"""),2450000.0)</f>
        <v>2450000</v>
      </c>
      <c r="K2775" s="57">
        <f>IFERROR(__xludf.DUMMYFUNCTION("""COMPUTED_VALUE"""),45287.0)</f>
        <v>45287</v>
      </c>
      <c r="L2775" s="6" t="str">
        <f>IFERROR(__xludf.DUMMYFUNCTION("""COMPUTED_VALUE"""),"FIP Engineering")</f>
        <v>FIP Engineering</v>
      </c>
      <c r="M2775" s="6" t="str">
        <f>IFERROR(__xludf.DUMMYFUNCTION("""COMPUTED_VALUE"""),"Mochammad Fadhillah Hakim")</f>
        <v>Mochammad Fadhillah Hakim</v>
      </c>
      <c r="N2775" s="6" t="str">
        <f>IFERROR(__xludf.DUMMYFUNCTION("""COMPUTED_VALUE"""),"FIP Engineering")</f>
        <v>FIP Engineering</v>
      </c>
      <c r="O2775" s="6" t="str">
        <f>IFERROR(__xludf.DUMMYFUNCTION("""COMPUTED_VALUE"""),"FIP-DOM-000-11304-OS00001-INA-000000")</f>
        <v>FIP-DOM-000-11304-OS00001-INA-000000</v>
      </c>
      <c r="P2775" s="6" t="str">
        <f>IFERROR(__xludf.DUMMYFUNCTION("""COMPUTED_VALUE"""),"PO Closed")</f>
        <v>PO Closed</v>
      </c>
      <c r="Q2775" s="6" t="str">
        <f>IFERROR(__xludf.DUMMYFUNCTION("""COMPUTED_VALUE"""),"GL2401014")</f>
        <v>GL2401014</v>
      </c>
      <c r="R2775" s="57">
        <f>IFERROR(__xludf.DUMMYFUNCTION("""COMPUTED_VALUE"""),45273.0)</f>
        <v>45273</v>
      </c>
      <c r="S2775" s="57">
        <f>IFERROR(__xludf.DUMMYFUNCTION("""COMPUTED_VALUE"""),45274.0)</f>
        <v>45274</v>
      </c>
      <c r="T2775" s="57">
        <f>IFERROR(__xludf.DUMMYFUNCTION("""COMPUTED_VALUE"""),45325.0)</f>
        <v>45325</v>
      </c>
    </row>
    <row r="2776">
      <c r="A2776" s="6" t="str">
        <f>IFERROR(__xludf.DUMMYFUNCTION("""COMPUTED_VALUE"""),"231750977-4")</f>
        <v>231750977-4</v>
      </c>
      <c r="B2776" s="6" t="str">
        <f>IFERROR(__xludf.DUMMYFUNCTION("""COMPUTED_VALUE"""),"231750977 - Approved")</f>
        <v>231750977 - Approved</v>
      </c>
      <c r="C2776" s="6">
        <f>IFERROR(__xludf.DUMMYFUNCTION("""COMPUTED_VALUE"""),4.0)</f>
        <v>4</v>
      </c>
      <c r="D2776" s="6" t="str">
        <f>IFERROR(__xludf.DUMMYFUNCTION("""COMPUTED_VALUE"""),"O-19511-00")</f>
        <v>O-19511-00</v>
      </c>
      <c r="E2776" s="6" t="str">
        <f>IFERROR(__xludf.DUMMYFUNCTION("""COMPUTED_VALUE"""),"Reducer Tembaga 1 3/8 Inch x 7/8 Inch; Lokal; ; 1 Pcs")</f>
        <v>Reducer Tembaga 1 3/8 Inch x 7/8 Inch; Lokal; ; 1 Pcs</v>
      </c>
      <c r="F2776" s="6">
        <f>IFERROR(__xludf.DUMMYFUNCTION("""COMPUTED_VALUE"""),2.0)</f>
        <v>2</v>
      </c>
      <c r="G2776" s="6" t="str">
        <f>IFERROR(__xludf.DUMMYFUNCTION("""COMPUTED_VALUE"""),"Pieces")</f>
        <v>Pieces</v>
      </c>
      <c r="H2776" s="6" t="str">
        <f>IFERROR(__xludf.DUMMYFUNCTION("""COMPUTED_VALUE"""),"IDR")</f>
        <v>IDR</v>
      </c>
      <c r="I2776" s="11">
        <f>IFERROR(__xludf.DUMMYFUNCTION("""COMPUTED_VALUE"""),49700.0)</f>
        <v>49700</v>
      </c>
      <c r="J2776" s="11">
        <f>IFERROR(__xludf.DUMMYFUNCTION("""COMPUTED_VALUE"""),99400.0)</f>
        <v>99400</v>
      </c>
      <c r="K2776" s="57">
        <f>IFERROR(__xludf.DUMMYFUNCTION("""COMPUTED_VALUE"""),45287.0)</f>
        <v>45287</v>
      </c>
      <c r="L2776" s="6" t="str">
        <f>IFERROR(__xludf.DUMMYFUNCTION("""COMPUTED_VALUE"""),"FIP Engineering")</f>
        <v>FIP Engineering</v>
      </c>
      <c r="M2776" s="6" t="str">
        <f>IFERROR(__xludf.DUMMYFUNCTION("""COMPUTED_VALUE"""),"Mochammad Fadhillah Hakim")</f>
        <v>Mochammad Fadhillah Hakim</v>
      </c>
      <c r="N2776" s="6" t="str">
        <f>IFERROR(__xludf.DUMMYFUNCTION("""COMPUTED_VALUE"""),"FIP Engineering")</f>
        <v>FIP Engineering</v>
      </c>
      <c r="O2776" s="6" t="str">
        <f>IFERROR(__xludf.DUMMYFUNCTION("""COMPUTED_VALUE"""),"FIP-DOM-000-11304-OS00001-INA-000000")</f>
        <v>FIP-DOM-000-11304-OS00001-INA-000000</v>
      </c>
      <c r="P2776" s="6" t="str">
        <f>IFERROR(__xludf.DUMMYFUNCTION("""COMPUTED_VALUE"""),"PO Closed")</f>
        <v>PO Closed</v>
      </c>
      <c r="Q2776" s="6" t="str">
        <f>IFERROR(__xludf.DUMMYFUNCTION("""COMPUTED_VALUE"""),"GL2401012")</f>
        <v>GL2401012</v>
      </c>
      <c r="R2776" s="57">
        <f>IFERROR(__xludf.DUMMYFUNCTION("""COMPUTED_VALUE"""),45273.0)</f>
        <v>45273</v>
      </c>
      <c r="S2776" s="57">
        <f>IFERROR(__xludf.DUMMYFUNCTION("""COMPUTED_VALUE"""),45274.0)</f>
        <v>45274</v>
      </c>
      <c r="T2776" s="57">
        <f>IFERROR(__xludf.DUMMYFUNCTION("""COMPUTED_VALUE"""),45322.0)</f>
        <v>45322</v>
      </c>
    </row>
    <row r="2777">
      <c r="A2777" s="6" t="str">
        <f>IFERROR(__xludf.DUMMYFUNCTION("""COMPUTED_VALUE"""),"231750977-5")</f>
        <v>231750977-5</v>
      </c>
      <c r="B2777" s="6" t="str">
        <f>IFERROR(__xludf.DUMMYFUNCTION("""COMPUTED_VALUE"""),"231750977 - Approved")</f>
        <v>231750977 - Approved</v>
      </c>
      <c r="C2777" s="6">
        <f>IFERROR(__xludf.DUMMYFUNCTION("""COMPUTED_VALUE"""),5.0)</f>
        <v>5</v>
      </c>
      <c r="D2777" s="6" t="str">
        <f>IFERROR(__xludf.DUMMYFUNCTION("""COMPUTED_VALUE"""),"P-18966-00")</f>
        <v>P-18966-00</v>
      </c>
      <c r="E2777" s="6" t="str">
        <f>IFERROR(__xludf.DUMMYFUNCTION("""COMPUTED_VALUE"""),"Kawat Perak Las 40%; Merk Grilot-7; ; ;")</f>
        <v>Kawat Perak Las 40%; Merk Grilot-7; ; ;</v>
      </c>
      <c r="F2777" s="6">
        <f>IFERROR(__xludf.DUMMYFUNCTION("""COMPUTED_VALUE"""),5.0)</f>
        <v>5</v>
      </c>
      <c r="G2777" s="6" t="str">
        <f>IFERROR(__xludf.DUMMYFUNCTION("""COMPUTED_VALUE"""),"Pieces")</f>
        <v>Pieces</v>
      </c>
      <c r="H2777" s="6" t="str">
        <f>IFERROR(__xludf.DUMMYFUNCTION("""COMPUTED_VALUE"""),"IDR")</f>
        <v>IDR</v>
      </c>
      <c r="I2777" s="11">
        <f>IFERROR(__xludf.DUMMYFUNCTION("""COMPUTED_VALUE"""),163300.0)</f>
        <v>163300</v>
      </c>
      <c r="J2777" s="11">
        <f>IFERROR(__xludf.DUMMYFUNCTION("""COMPUTED_VALUE"""),816500.0)</f>
        <v>816500</v>
      </c>
      <c r="K2777" s="57">
        <f>IFERROR(__xludf.DUMMYFUNCTION("""COMPUTED_VALUE"""),45287.0)</f>
        <v>45287</v>
      </c>
      <c r="L2777" s="6" t="str">
        <f>IFERROR(__xludf.DUMMYFUNCTION("""COMPUTED_VALUE"""),"FIP Engineering")</f>
        <v>FIP Engineering</v>
      </c>
      <c r="M2777" s="6" t="str">
        <f>IFERROR(__xludf.DUMMYFUNCTION("""COMPUTED_VALUE"""),"Mochammad Fadhillah Hakim")</f>
        <v>Mochammad Fadhillah Hakim</v>
      </c>
      <c r="N2777" s="6" t="str">
        <f>IFERROR(__xludf.DUMMYFUNCTION("""COMPUTED_VALUE"""),"FIP Engineering")</f>
        <v>FIP Engineering</v>
      </c>
      <c r="O2777" s="6" t="str">
        <f>IFERROR(__xludf.DUMMYFUNCTION("""COMPUTED_VALUE"""),"FIP-DOM-000-11304-OS00001-INA-000000")</f>
        <v>FIP-DOM-000-11304-OS00001-INA-000000</v>
      </c>
      <c r="P2777" s="6" t="str">
        <f>IFERROR(__xludf.DUMMYFUNCTION("""COMPUTED_VALUE"""),"PO Closed")</f>
        <v>PO Closed</v>
      </c>
      <c r="Q2777" s="6" t="str">
        <f>IFERROR(__xludf.DUMMYFUNCTION("""COMPUTED_VALUE"""),"GL2401012")</f>
        <v>GL2401012</v>
      </c>
      <c r="R2777" s="57">
        <f>IFERROR(__xludf.DUMMYFUNCTION("""COMPUTED_VALUE"""),45273.0)</f>
        <v>45273</v>
      </c>
      <c r="S2777" s="57">
        <f>IFERROR(__xludf.DUMMYFUNCTION("""COMPUTED_VALUE"""),45274.0)</f>
        <v>45274</v>
      </c>
      <c r="T2777" s="57">
        <f>IFERROR(__xludf.DUMMYFUNCTION("""COMPUTED_VALUE"""),45322.0)</f>
        <v>45322</v>
      </c>
    </row>
    <row r="2778">
      <c r="A2778" s="6" t="str">
        <f>IFERROR(__xludf.DUMMYFUNCTION("""COMPUTED_VALUE"""),"231750977-6")</f>
        <v>231750977-6</v>
      </c>
      <c r="B2778" s="6" t="str">
        <f>IFERROR(__xludf.DUMMYFUNCTION("""COMPUTED_VALUE"""),"231750977 - Approved")</f>
        <v>231750977 - Approved</v>
      </c>
      <c r="C2778" s="6">
        <f>IFERROR(__xludf.DUMMYFUNCTION("""COMPUTED_VALUE"""),6.0)</f>
        <v>6</v>
      </c>
      <c r="D2778" s="6" t="str">
        <f>IFERROR(__xludf.DUMMYFUNCTION("""COMPUTED_VALUE"""),"O-19512-00")</f>
        <v>O-19512-00</v>
      </c>
      <c r="E2778" s="6" t="str">
        <f>IFERROR(__xludf.DUMMYFUNCTION("""COMPUTED_VALUE"""),"Gasket Uk. 1,5 mm x 100 cm x 100 cm; Klingersil; C-4400;")</f>
        <v>Gasket Uk. 1,5 mm x 100 cm x 100 cm; Klingersil; C-4400;</v>
      </c>
      <c r="F2778" s="6">
        <f>IFERROR(__xludf.DUMMYFUNCTION("""COMPUTED_VALUE"""),1.0)</f>
        <v>1</v>
      </c>
      <c r="G2778" s="6" t="str">
        <f>IFERROR(__xludf.DUMMYFUNCTION("""COMPUTED_VALUE"""),"Pieces")</f>
        <v>Pieces</v>
      </c>
      <c r="H2778" s="6" t="str">
        <f>IFERROR(__xludf.DUMMYFUNCTION("""COMPUTED_VALUE"""),"IDR")</f>
        <v>IDR</v>
      </c>
      <c r="I2778" s="11">
        <f>IFERROR(__xludf.DUMMYFUNCTION("""COMPUTED_VALUE"""),3780000.0)</f>
        <v>3780000</v>
      </c>
      <c r="J2778" s="11">
        <f>IFERROR(__xludf.DUMMYFUNCTION("""COMPUTED_VALUE"""),3780000.0)</f>
        <v>3780000</v>
      </c>
      <c r="K2778" s="57">
        <f>IFERROR(__xludf.DUMMYFUNCTION("""COMPUTED_VALUE"""),45287.0)</f>
        <v>45287</v>
      </c>
      <c r="L2778" s="6" t="str">
        <f>IFERROR(__xludf.DUMMYFUNCTION("""COMPUTED_VALUE"""),"FIP Engineering")</f>
        <v>FIP Engineering</v>
      </c>
      <c r="M2778" s="6" t="str">
        <f>IFERROR(__xludf.DUMMYFUNCTION("""COMPUTED_VALUE"""),"Mochammad Fadhillah Hakim")</f>
        <v>Mochammad Fadhillah Hakim</v>
      </c>
      <c r="N2778" s="6" t="str">
        <f>IFERROR(__xludf.DUMMYFUNCTION("""COMPUTED_VALUE"""),"FIP Engineering")</f>
        <v>FIP Engineering</v>
      </c>
      <c r="O2778" s="6" t="str">
        <f>IFERROR(__xludf.DUMMYFUNCTION("""COMPUTED_VALUE"""),"FIP-DOM-000-11304-OS00001-INA-000000")</f>
        <v>FIP-DOM-000-11304-OS00001-INA-000000</v>
      </c>
      <c r="P2778" s="6" t="str">
        <f>IFERROR(__xludf.DUMMYFUNCTION("""COMPUTED_VALUE"""),"PO Closed")</f>
        <v>PO Closed</v>
      </c>
      <c r="Q2778" s="6" t="str">
        <f>IFERROR(__xludf.DUMMYFUNCTION("""COMPUTED_VALUE"""),"GL2401012")</f>
        <v>GL2401012</v>
      </c>
      <c r="R2778" s="57">
        <f>IFERROR(__xludf.DUMMYFUNCTION("""COMPUTED_VALUE"""),45273.0)</f>
        <v>45273</v>
      </c>
      <c r="S2778" s="57">
        <f>IFERROR(__xludf.DUMMYFUNCTION("""COMPUTED_VALUE"""),45274.0)</f>
        <v>45274</v>
      </c>
      <c r="T2778" s="57">
        <f>IFERROR(__xludf.DUMMYFUNCTION("""COMPUTED_VALUE"""),45322.0)</f>
        <v>45322</v>
      </c>
    </row>
    <row r="2779">
      <c r="A2779" s="6" t="str">
        <f>IFERROR(__xludf.DUMMYFUNCTION("""COMPUTED_VALUE"""),"231750981-1")</f>
        <v>231750981-1</v>
      </c>
      <c r="B2779" s="6" t="str">
        <f>IFERROR(__xludf.DUMMYFUNCTION("""COMPUTED_VALUE"""),"231750981 - Approved")</f>
        <v>231750981 - Approved</v>
      </c>
      <c r="C2779" s="6">
        <f>IFERROR(__xludf.DUMMYFUNCTION("""COMPUTED_VALUE"""),1.0)</f>
        <v>1</v>
      </c>
      <c r="D2779" s="6" t="str">
        <f>IFERROR(__xludf.DUMMYFUNCTION("""COMPUTED_VALUE"""),"O-18125-00")</f>
        <v>O-18125-00</v>
      </c>
      <c r="E2779" s="6" t="str">
        <f>IFERROR(__xludf.DUMMYFUNCTION("""COMPUTED_VALUE"""),"Mixing Tank Adam - USM T60 Male Bearing Pin 20mm Silicon Carbide, G20-008; ; ;")</f>
        <v>Mixing Tank Adam - USM T60 Male Bearing Pin 20mm Silicon Carbide, G20-008; ; ;</v>
      </c>
      <c r="F2779" s="6">
        <f>IFERROR(__xludf.DUMMYFUNCTION("""COMPUTED_VALUE"""),1.0)</f>
        <v>1</v>
      </c>
      <c r="G2779" s="6" t="str">
        <f>IFERROR(__xludf.DUMMYFUNCTION("""COMPUTED_VALUE"""),"Pieces")</f>
        <v>Pieces</v>
      </c>
      <c r="H2779" s="6" t="str">
        <f>IFERROR(__xludf.DUMMYFUNCTION("""COMPUTED_VALUE"""),"IDR")</f>
        <v>IDR</v>
      </c>
      <c r="I2779" s="11">
        <f>IFERROR(__xludf.DUMMYFUNCTION("""COMPUTED_VALUE"""),2.29908E7)</f>
        <v>22990800</v>
      </c>
      <c r="J2779" s="11">
        <f>IFERROR(__xludf.DUMMYFUNCTION("""COMPUTED_VALUE"""),2.29908E7)</f>
        <v>22990800</v>
      </c>
      <c r="K2779" s="57">
        <f>IFERROR(__xludf.DUMMYFUNCTION("""COMPUTED_VALUE"""),45288.0)</f>
        <v>45288</v>
      </c>
      <c r="L2779" s="6" t="str">
        <f>IFERROR(__xludf.DUMMYFUNCTION("""COMPUTED_VALUE"""),"FIP Engineering")</f>
        <v>FIP Engineering</v>
      </c>
      <c r="M2779" s="6" t="str">
        <f>IFERROR(__xludf.DUMMYFUNCTION("""COMPUTED_VALUE"""),"Mochammad Fadhillah Hakim")</f>
        <v>Mochammad Fadhillah Hakim</v>
      </c>
      <c r="N2779" s="6" t="str">
        <f>IFERROR(__xludf.DUMMYFUNCTION("""COMPUTED_VALUE"""),"FIP Engineering")</f>
        <v>FIP Engineering</v>
      </c>
      <c r="O2779" s="6" t="str">
        <f>IFERROR(__xludf.DUMMYFUNCTION("""COMPUTED_VALUE"""),"FIP-DOM-000-11304-OS00001-INA-000000")</f>
        <v>FIP-DOM-000-11304-OS00001-INA-000000</v>
      </c>
      <c r="P2779" s="6" t="str">
        <f>IFERROR(__xludf.DUMMYFUNCTION("""COMPUTED_VALUE"""),"PO Closed")</f>
        <v>PO Closed</v>
      </c>
      <c r="Q2779" s="6" t="str">
        <f>IFERROR(__xludf.DUMMYFUNCTION("""COMPUTED_VALUE"""),"GL2401033")</f>
        <v>GL2401033</v>
      </c>
      <c r="R2779" s="57">
        <f>IFERROR(__xludf.DUMMYFUNCTION("""COMPUTED_VALUE"""),45274.0)</f>
        <v>45274</v>
      </c>
      <c r="S2779" s="57">
        <f>IFERROR(__xludf.DUMMYFUNCTION("""COMPUTED_VALUE"""),45280.0)</f>
        <v>45280</v>
      </c>
      <c r="T2779" s="57">
        <f>IFERROR(__xludf.DUMMYFUNCTION("""COMPUTED_VALUE"""),45327.0)</f>
        <v>45327</v>
      </c>
    </row>
    <row r="2780">
      <c r="A2780" s="6" t="str">
        <f>IFERROR(__xludf.DUMMYFUNCTION("""COMPUTED_VALUE"""),"231750981-2")</f>
        <v>231750981-2</v>
      </c>
      <c r="B2780" s="6" t="str">
        <f>IFERROR(__xludf.DUMMYFUNCTION("""COMPUTED_VALUE"""),"231750981 - Approved")</f>
        <v>231750981 - Approved</v>
      </c>
      <c r="C2780" s="6">
        <f>IFERROR(__xludf.DUMMYFUNCTION("""COMPUTED_VALUE"""),2.0)</f>
        <v>2</v>
      </c>
      <c r="D2780" s="6" t="str">
        <f>IFERROR(__xludf.DUMMYFUNCTION("""COMPUTED_VALUE"""),"O-18124-00")</f>
        <v>O-18124-00</v>
      </c>
      <c r="E2780" s="6" t="str">
        <f>IFERROR(__xludf.DUMMYFUNCTION("""COMPUTED_VALUE"""),"Mixing Tank Adam - USM T60 Impeller with 20mm Silicon Carbide, G10-012; ; ;")</f>
        <v>Mixing Tank Adam - USM T60 Impeller with 20mm Silicon Carbide, G10-012; ; ;</v>
      </c>
      <c r="F2780" s="6">
        <f>IFERROR(__xludf.DUMMYFUNCTION("""COMPUTED_VALUE"""),1.0)</f>
        <v>1</v>
      </c>
      <c r="G2780" s="6" t="str">
        <f>IFERROR(__xludf.DUMMYFUNCTION("""COMPUTED_VALUE"""),"Pieces")</f>
        <v>Pieces</v>
      </c>
      <c r="H2780" s="6" t="str">
        <f>IFERROR(__xludf.DUMMYFUNCTION("""COMPUTED_VALUE"""),"IDR")</f>
        <v>IDR</v>
      </c>
      <c r="I2780" s="11">
        <f>IFERROR(__xludf.DUMMYFUNCTION("""COMPUTED_VALUE"""),5.7E7)</f>
        <v>57000000</v>
      </c>
      <c r="J2780" s="11">
        <f>IFERROR(__xludf.DUMMYFUNCTION("""COMPUTED_VALUE"""),5.7E7)</f>
        <v>57000000</v>
      </c>
      <c r="K2780" s="57">
        <f>IFERROR(__xludf.DUMMYFUNCTION("""COMPUTED_VALUE"""),45288.0)</f>
        <v>45288</v>
      </c>
      <c r="L2780" s="6" t="str">
        <f>IFERROR(__xludf.DUMMYFUNCTION("""COMPUTED_VALUE"""),"FIP Engineering")</f>
        <v>FIP Engineering</v>
      </c>
      <c r="M2780" s="6" t="str">
        <f>IFERROR(__xludf.DUMMYFUNCTION("""COMPUTED_VALUE"""),"Mochammad Fadhillah Hakim")</f>
        <v>Mochammad Fadhillah Hakim</v>
      </c>
      <c r="N2780" s="6" t="str">
        <f>IFERROR(__xludf.DUMMYFUNCTION("""COMPUTED_VALUE"""),"FIP Engineering")</f>
        <v>FIP Engineering</v>
      </c>
      <c r="O2780" s="6" t="str">
        <f>IFERROR(__xludf.DUMMYFUNCTION("""COMPUTED_VALUE"""),"FIP-DOM-000-11304-OS00001-INA-000000")</f>
        <v>FIP-DOM-000-11304-OS00001-INA-000000</v>
      </c>
      <c r="P2780" s="6" t="str">
        <f>IFERROR(__xludf.DUMMYFUNCTION("""COMPUTED_VALUE"""),"PO Closed")</f>
        <v>PO Closed</v>
      </c>
      <c r="Q2780" s="6" t="str">
        <f>IFERROR(__xludf.DUMMYFUNCTION("""COMPUTED_VALUE"""),"GL2402010")</f>
        <v>GL2402010</v>
      </c>
      <c r="R2780" s="57">
        <f>IFERROR(__xludf.DUMMYFUNCTION("""COMPUTED_VALUE"""),45274.0)</f>
        <v>45274</v>
      </c>
      <c r="S2780" s="57">
        <f>IFERROR(__xludf.DUMMYFUNCTION("""COMPUTED_VALUE"""),45280.0)</f>
        <v>45280</v>
      </c>
      <c r="T2780" s="57">
        <f>IFERROR(__xludf.DUMMYFUNCTION("""COMPUTED_VALUE"""),45476.0)</f>
        <v>45476</v>
      </c>
    </row>
    <row r="2781">
      <c r="A2781" s="6" t="str">
        <f>IFERROR(__xludf.DUMMYFUNCTION("""COMPUTED_VALUE"""),"231750982-1")</f>
        <v>231750982-1</v>
      </c>
      <c r="B2781" s="6" t="str">
        <f>IFERROR(__xludf.DUMMYFUNCTION("""COMPUTED_VALUE"""),"231750982 - Approved")</f>
        <v>231750982 - Approved</v>
      </c>
      <c r="C2781" s="6">
        <f>IFERROR(__xludf.DUMMYFUNCTION("""COMPUTED_VALUE"""),1.0)</f>
        <v>1</v>
      </c>
      <c r="D2781" s="6" t="str">
        <f>IFERROR(__xludf.DUMMYFUNCTION("""COMPUTED_VALUE"""),"P-50943-00")</f>
        <v>P-50943-00</v>
      </c>
      <c r="E2781" s="6" t="str">
        <f>IFERROR(__xludf.DUMMYFUNCTION("""COMPUTED_VALUE"""),"Flexible conduit dia 20 mm")</f>
        <v>Flexible conduit dia 20 mm</v>
      </c>
      <c r="F2781" s="6">
        <f>IFERROR(__xludf.DUMMYFUNCTION("""COMPUTED_VALUE"""),5.0)</f>
        <v>5</v>
      </c>
      <c r="G2781" s="6" t="str">
        <f>IFERROR(__xludf.DUMMYFUNCTION("""COMPUTED_VALUE"""),"Pieces")</f>
        <v>Pieces</v>
      </c>
      <c r="H2781" s="6" t="str">
        <f>IFERROR(__xludf.DUMMYFUNCTION("""COMPUTED_VALUE"""),"IDR")</f>
        <v>IDR</v>
      </c>
      <c r="I2781" s="11">
        <f>IFERROR(__xludf.DUMMYFUNCTION("""COMPUTED_VALUE"""),10000.0)</f>
        <v>10000</v>
      </c>
      <c r="J2781" s="11">
        <f>IFERROR(__xludf.DUMMYFUNCTION("""COMPUTED_VALUE"""),50000.0)</f>
        <v>50000</v>
      </c>
      <c r="K2781" s="57">
        <f>IFERROR(__xludf.DUMMYFUNCTION("""COMPUTED_VALUE"""),45288.0)</f>
        <v>45288</v>
      </c>
      <c r="L2781" s="6" t="str">
        <f>IFERROR(__xludf.DUMMYFUNCTION("""COMPUTED_VALUE"""),"FIP Engineering")</f>
        <v>FIP Engineering</v>
      </c>
      <c r="M2781" s="6" t="str">
        <f>IFERROR(__xludf.DUMMYFUNCTION("""COMPUTED_VALUE"""),"Mochammad Fadhillah Hakim")</f>
        <v>Mochammad Fadhillah Hakim</v>
      </c>
      <c r="N2781" s="6" t="str">
        <f>IFERROR(__xludf.DUMMYFUNCTION("""COMPUTED_VALUE"""),"FIP Engineering")</f>
        <v>FIP Engineering</v>
      </c>
      <c r="O2781" s="6" t="str">
        <f>IFERROR(__xludf.DUMMYFUNCTION("""COMPUTED_VALUE"""),"FIP-DOM-000-11304-OS00001-INA-000000")</f>
        <v>FIP-DOM-000-11304-OS00001-INA-000000</v>
      </c>
      <c r="P2781" s="6" t="str">
        <f>IFERROR(__xludf.DUMMYFUNCTION("""COMPUTED_VALUE"""),"PO Closed")</f>
        <v>PO Closed</v>
      </c>
      <c r="Q2781" s="6" t="str">
        <f>IFERROR(__xludf.DUMMYFUNCTION("""COMPUTED_VALUE"""),"GL2401007")</f>
        <v>GL2401007</v>
      </c>
      <c r="R2781" s="57">
        <f>IFERROR(__xludf.DUMMYFUNCTION("""COMPUTED_VALUE"""),45274.0)</f>
        <v>45274</v>
      </c>
      <c r="S2781" s="57">
        <f>IFERROR(__xludf.DUMMYFUNCTION("""COMPUTED_VALUE"""),45280.0)</f>
        <v>45280</v>
      </c>
      <c r="T2781" s="57">
        <f>IFERROR(__xludf.DUMMYFUNCTION("""COMPUTED_VALUE"""),45322.0)</f>
        <v>45322</v>
      </c>
    </row>
    <row r="2782">
      <c r="A2782" s="6" t="str">
        <f>IFERROR(__xludf.DUMMYFUNCTION("""COMPUTED_VALUE"""),"231750982-2")</f>
        <v>231750982-2</v>
      </c>
      <c r="B2782" s="6" t="str">
        <f>IFERROR(__xludf.DUMMYFUNCTION("""COMPUTED_VALUE"""),"231750982 - Approved")</f>
        <v>231750982 - Approved</v>
      </c>
      <c r="C2782" s="6">
        <f>IFERROR(__xludf.DUMMYFUNCTION("""COMPUTED_VALUE"""),2.0)</f>
        <v>2</v>
      </c>
      <c r="D2782" s="6" t="str">
        <f>IFERROR(__xludf.DUMMYFUNCTION("""COMPUTED_VALUE"""),"P-51216-00")</f>
        <v>P-51216-00</v>
      </c>
      <c r="E2782" s="6" t="str">
        <f>IFERROR(__xludf.DUMMYFUNCTION("""COMPUTED_VALUE"""),"Pipa conduit 20mm")</f>
        <v>Pipa conduit 20mm</v>
      </c>
      <c r="F2782" s="6">
        <f>IFERROR(__xludf.DUMMYFUNCTION("""COMPUTED_VALUE"""),2.0)</f>
        <v>2</v>
      </c>
      <c r="G2782" s="6" t="str">
        <f>IFERROR(__xludf.DUMMYFUNCTION("""COMPUTED_VALUE"""),"Pieces")</f>
        <v>Pieces</v>
      </c>
      <c r="H2782" s="6" t="str">
        <f>IFERROR(__xludf.DUMMYFUNCTION("""COMPUTED_VALUE"""),"IDR")</f>
        <v>IDR</v>
      </c>
      <c r="I2782" s="11">
        <f>IFERROR(__xludf.DUMMYFUNCTION("""COMPUTED_VALUE"""),22000.0)</f>
        <v>22000</v>
      </c>
      <c r="J2782" s="11">
        <f>IFERROR(__xludf.DUMMYFUNCTION("""COMPUTED_VALUE"""),44000.0)</f>
        <v>44000</v>
      </c>
      <c r="K2782" s="57">
        <f>IFERROR(__xludf.DUMMYFUNCTION("""COMPUTED_VALUE"""),45288.0)</f>
        <v>45288</v>
      </c>
      <c r="L2782" s="6" t="str">
        <f>IFERROR(__xludf.DUMMYFUNCTION("""COMPUTED_VALUE"""),"FIP Engineering")</f>
        <v>FIP Engineering</v>
      </c>
      <c r="M2782" s="6" t="str">
        <f>IFERROR(__xludf.DUMMYFUNCTION("""COMPUTED_VALUE"""),"Mochammad Fadhillah Hakim")</f>
        <v>Mochammad Fadhillah Hakim</v>
      </c>
      <c r="N2782" s="6" t="str">
        <f>IFERROR(__xludf.DUMMYFUNCTION("""COMPUTED_VALUE"""),"FIP Engineering")</f>
        <v>FIP Engineering</v>
      </c>
      <c r="O2782" s="6" t="str">
        <f>IFERROR(__xludf.DUMMYFUNCTION("""COMPUTED_VALUE"""),"FIP-DOM-000-11304-OS00001-INA-000000")</f>
        <v>FIP-DOM-000-11304-OS00001-INA-000000</v>
      </c>
      <c r="P2782" s="6" t="str">
        <f>IFERROR(__xludf.DUMMYFUNCTION("""COMPUTED_VALUE"""),"PO Closed")</f>
        <v>PO Closed</v>
      </c>
      <c r="Q2782" s="6" t="str">
        <f>IFERROR(__xludf.DUMMYFUNCTION("""COMPUTED_VALUE"""),"GL2401007")</f>
        <v>GL2401007</v>
      </c>
      <c r="R2782" s="57">
        <f>IFERROR(__xludf.DUMMYFUNCTION("""COMPUTED_VALUE"""),45274.0)</f>
        <v>45274</v>
      </c>
      <c r="S2782" s="57">
        <f>IFERROR(__xludf.DUMMYFUNCTION("""COMPUTED_VALUE"""),45280.0)</f>
        <v>45280</v>
      </c>
      <c r="T2782" s="57">
        <f>IFERROR(__xludf.DUMMYFUNCTION("""COMPUTED_VALUE"""),45322.0)</f>
        <v>45322</v>
      </c>
    </row>
    <row r="2783">
      <c r="A2783" s="6" t="str">
        <f>IFERROR(__xludf.DUMMYFUNCTION("""COMPUTED_VALUE"""),"231750982-3")</f>
        <v>231750982-3</v>
      </c>
      <c r="B2783" s="6" t="str">
        <f>IFERROR(__xludf.DUMMYFUNCTION("""COMPUTED_VALUE"""),"231750982 - Approved")</f>
        <v>231750982 - Approved</v>
      </c>
      <c r="C2783" s="6">
        <f>IFERROR(__xludf.DUMMYFUNCTION("""COMPUTED_VALUE"""),3.0)</f>
        <v>3</v>
      </c>
      <c r="D2783" s="6" t="str">
        <f>IFERROR(__xludf.DUMMYFUNCTION("""COMPUTED_VALUE"""),"P-50286-00")</f>
        <v>P-50286-00</v>
      </c>
      <c r="E2783" s="6" t="str">
        <f>IFERROR(__xludf.DUMMYFUNCTION("""COMPUTED_VALUE"""),"Kabel NYYHY 3 x 1,5 mm")</f>
        <v>Kabel NYYHY 3 x 1,5 mm</v>
      </c>
      <c r="F2783" s="6">
        <f>IFERROR(__xludf.DUMMYFUNCTION("""COMPUTED_VALUE"""),10.0)</f>
        <v>10</v>
      </c>
      <c r="G2783" s="6" t="str">
        <f>IFERROR(__xludf.DUMMYFUNCTION("""COMPUTED_VALUE"""),"Pieces")</f>
        <v>Pieces</v>
      </c>
      <c r="H2783" s="6" t="str">
        <f>IFERROR(__xludf.DUMMYFUNCTION("""COMPUTED_VALUE"""),"IDR")</f>
        <v>IDR</v>
      </c>
      <c r="I2783" s="11">
        <f>IFERROR(__xludf.DUMMYFUNCTION("""COMPUTED_VALUE"""),100000.0)</f>
        <v>100000</v>
      </c>
      <c r="J2783" s="11">
        <f>IFERROR(__xludf.DUMMYFUNCTION("""COMPUTED_VALUE"""),1000000.0)</f>
        <v>1000000</v>
      </c>
      <c r="K2783" s="57">
        <f>IFERROR(__xludf.DUMMYFUNCTION("""COMPUTED_VALUE"""),45288.0)</f>
        <v>45288</v>
      </c>
      <c r="L2783" s="6" t="str">
        <f>IFERROR(__xludf.DUMMYFUNCTION("""COMPUTED_VALUE"""),"FIP Engineering")</f>
        <v>FIP Engineering</v>
      </c>
      <c r="M2783" s="6" t="str">
        <f>IFERROR(__xludf.DUMMYFUNCTION("""COMPUTED_VALUE"""),"Mochammad Fadhillah Hakim")</f>
        <v>Mochammad Fadhillah Hakim</v>
      </c>
      <c r="N2783" s="6" t="str">
        <f>IFERROR(__xludf.DUMMYFUNCTION("""COMPUTED_VALUE"""),"FIP Engineering")</f>
        <v>FIP Engineering</v>
      </c>
      <c r="O2783" s="6" t="str">
        <f>IFERROR(__xludf.DUMMYFUNCTION("""COMPUTED_VALUE"""),"FIP-DOM-000-11304-OS00001-INA-000000")</f>
        <v>FIP-DOM-000-11304-OS00001-INA-000000</v>
      </c>
      <c r="P2783" s="6" t="str">
        <f>IFERROR(__xludf.DUMMYFUNCTION("""COMPUTED_VALUE"""),"PO Closed")</f>
        <v>PO Closed</v>
      </c>
      <c r="Q2783" s="6" t="str">
        <f>IFERROR(__xludf.DUMMYFUNCTION("""COMPUTED_VALUE"""),"GL2401007")</f>
        <v>GL2401007</v>
      </c>
      <c r="R2783" s="57">
        <f>IFERROR(__xludf.DUMMYFUNCTION("""COMPUTED_VALUE"""),45274.0)</f>
        <v>45274</v>
      </c>
      <c r="S2783" s="57">
        <f>IFERROR(__xludf.DUMMYFUNCTION("""COMPUTED_VALUE"""),45280.0)</f>
        <v>45280</v>
      </c>
      <c r="T2783" s="57">
        <f>IFERROR(__xludf.DUMMYFUNCTION("""COMPUTED_VALUE"""),45322.0)</f>
        <v>45322</v>
      </c>
    </row>
    <row r="2784">
      <c r="A2784" s="6" t="str">
        <f>IFERROR(__xludf.DUMMYFUNCTION("""COMPUTED_VALUE"""),"231750982-4")</f>
        <v>231750982-4</v>
      </c>
      <c r="B2784" s="6" t="str">
        <f>IFERROR(__xludf.DUMMYFUNCTION("""COMPUTED_VALUE"""),"231750982 - Approved")</f>
        <v>231750982 - Approved</v>
      </c>
      <c r="C2784" s="6">
        <f>IFERROR(__xludf.DUMMYFUNCTION("""COMPUTED_VALUE"""),4.0)</f>
        <v>4</v>
      </c>
      <c r="D2784" s="6" t="str">
        <f>IFERROR(__xludf.DUMMYFUNCTION("""COMPUTED_VALUE"""),"P-54190-00")</f>
        <v>P-54190-00</v>
      </c>
      <c r="E2784" s="6" t="str">
        <f>IFERROR(__xludf.DUMMYFUNCTION("""COMPUTED_VALUE"""),"Stop Kontak IP55 16A; Legrand; ;")</f>
        <v>Stop Kontak IP55 16A; Legrand; ;</v>
      </c>
      <c r="F2784" s="6">
        <f>IFERROR(__xludf.DUMMYFUNCTION("""COMPUTED_VALUE"""),1.0)</f>
        <v>1</v>
      </c>
      <c r="G2784" s="6" t="str">
        <f>IFERROR(__xludf.DUMMYFUNCTION("""COMPUTED_VALUE"""),"Pieces")</f>
        <v>Pieces</v>
      </c>
      <c r="H2784" s="6" t="str">
        <f>IFERROR(__xludf.DUMMYFUNCTION("""COMPUTED_VALUE"""),"IDR")</f>
        <v>IDR</v>
      </c>
      <c r="I2784" s="11">
        <f>IFERROR(__xludf.DUMMYFUNCTION("""COMPUTED_VALUE"""),185000.0)</f>
        <v>185000</v>
      </c>
      <c r="J2784" s="11">
        <f>IFERROR(__xludf.DUMMYFUNCTION("""COMPUTED_VALUE"""),185000.0)</f>
        <v>185000</v>
      </c>
      <c r="K2784" s="57">
        <f>IFERROR(__xludf.DUMMYFUNCTION("""COMPUTED_VALUE"""),45288.0)</f>
        <v>45288</v>
      </c>
      <c r="L2784" s="6" t="str">
        <f>IFERROR(__xludf.DUMMYFUNCTION("""COMPUTED_VALUE"""),"FIP Engineering")</f>
        <v>FIP Engineering</v>
      </c>
      <c r="M2784" s="6" t="str">
        <f>IFERROR(__xludf.DUMMYFUNCTION("""COMPUTED_VALUE"""),"Mochammad Fadhillah Hakim")</f>
        <v>Mochammad Fadhillah Hakim</v>
      </c>
      <c r="N2784" s="6" t="str">
        <f>IFERROR(__xludf.DUMMYFUNCTION("""COMPUTED_VALUE"""),"FIP Engineering")</f>
        <v>FIP Engineering</v>
      </c>
      <c r="O2784" s="6" t="str">
        <f>IFERROR(__xludf.DUMMYFUNCTION("""COMPUTED_VALUE"""),"FIP-DOM-000-11304-OS00001-INA-000000")</f>
        <v>FIP-DOM-000-11304-OS00001-INA-000000</v>
      </c>
      <c r="P2784" s="6" t="str">
        <f>IFERROR(__xludf.DUMMYFUNCTION("""COMPUTED_VALUE"""),"PO Closed")</f>
        <v>PO Closed</v>
      </c>
      <c r="Q2784" s="6" t="str">
        <f>IFERROR(__xludf.DUMMYFUNCTION("""COMPUTED_VALUE"""),"GL2401007")</f>
        <v>GL2401007</v>
      </c>
      <c r="R2784" s="57">
        <f>IFERROR(__xludf.DUMMYFUNCTION("""COMPUTED_VALUE"""),45274.0)</f>
        <v>45274</v>
      </c>
      <c r="S2784" s="57">
        <f>IFERROR(__xludf.DUMMYFUNCTION("""COMPUTED_VALUE"""),45280.0)</f>
        <v>45280</v>
      </c>
      <c r="T2784" s="57">
        <f>IFERROR(__xludf.DUMMYFUNCTION("""COMPUTED_VALUE"""),45322.0)</f>
        <v>45322</v>
      </c>
    </row>
    <row r="2785">
      <c r="A2785" s="6" t="str">
        <f>IFERROR(__xludf.DUMMYFUNCTION("""COMPUTED_VALUE"""),"231750982-5")</f>
        <v>231750982-5</v>
      </c>
      <c r="B2785" s="6" t="str">
        <f>IFERROR(__xludf.DUMMYFUNCTION("""COMPUTED_VALUE"""),"231750982 - Approved")</f>
        <v>231750982 - Approved</v>
      </c>
      <c r="C2785" s="6">
        <f>IFERROR(__xludf.DUMMYFUNCTION("""COMPUTED_VALUE"""),5.0)</f>
        <v>5</v>
      </c>
      <c r="D2785" s="6" t="str">
        <f>IFERROR(__xludf.DUMMYFUNCTION("""COMPUTED_VALUE"""),"P-18963-00")</f>
        <v>P-18963-00</v>
      </c>
      <c r="E2785" s="6" t="str">
        <f>IFERROR(__xludf.DUMMYFUNCTION("""COMPUTED_VALUE"""),"Tubing Nylon Putih 6x8; ; ;")</f>
        <v>Tubing Nylon Putih 6x8; ; ;</v>
      </c>
      <c r="F2785" s="6">
        <f>IFERROR(__xludf.DUMMYFUNCTION("""COMPUTED_VALUE"""),10.0)</f>
        <v>10</v>
      </c>
      <c r="G2785" s="6" t="str">
        <f>IFERROR(__xludf.DUMMYFUNCTION("""COMPUTED_VALUE"""),"Pieces")</f>
        <v>Pieces</v>
      </c>
      <c r="H2785" s="6" t="str">
        <f>IFERROR(__xludf.DUMMYFUNCTION("""COMPUTED_VALUE"""),"IDR")</f>
        <v>IDR</v>
      </c>
      <c r="I2785" s="11">
        <f>IFERROR(__xludf.DUMMYFUNCTION("""COMPUTED_VALUE"""),14000.0)</f>
        <v>14000</v>
      </c>
      <c r="J2785" s="11">
        <f>IFERROR(__xludf.DUMMYFUNCTION("""COMPUTED_VALUE"""),140000.0)</f>
        <v>140000</v>
      </c>
      <c r="K2785" s="57">
        <f>IFERROR(__xludf.DUMMYFUNCTION("""COMPUTED_VALUE"""),45288.0)</f>
        <v>45288</v>
      </c>
      <c r="L2785" s="6" t="str">
        <f>IFERROR(__xludf.DUMMYFUNCTION("""COMPUTED_VALUE"""),"FIP Engineering")</f>
        <v>FIP Engineering</v>
      </c>
      <c r="M2785" s="6" t="str">
        <f>IFERROR(__xludf.DUMMYFUNCTION("""COMPUTED_VALUE"""),"Mochammad Fadhillah Hakim")</f>
        <v>Mochammad Fadhillah Hakim</v>
      </c>
      <c r="N2785" s="6" t="str">
        <f>IFERROR(__xludf.DUMMYFUNCTION("""COMPUTED_VALUE"""),"FIP Engineering")</f>
        <v>FIP Engineering</v>
      </c>
      <c r="O2785" s="6" t="str">
        <f>IFERROR(__xludf.DUMMYFUNCTION("""COMPUTED_VALUE"""),"FIP-DOM-000-11304-OS00001-INA-000000")</f>
        <v>FIP-DOM-000-11304-OS00001-INA-000000</v>
      </c>
      <c r="P2785" s="6" t="str">
        <f>IFERROR(__xludf.DUMMYFUNCTION("""COMPUTED_VALUE"""),"PO Closed")</f>
        <v>PO Closed</v>
      </c>
      <c r="Q2785" s="6" t="str">
        <f>IFERROR(__xludf.DUMMYFUNCTION("""COMPUTED_VALUE"""),"GL2401007")</f>
        <v>GL2401007</v>
      </c>
      <c r="R2785" s="57">
        <f>IFERROR(__xludf.DUMMYFUNCTION("""COMPUTED_VALUE"""),45274.0)</f>
        <v>45274</v>
      </c>
      <c r="S2785" s="57">
        <f>IFERROR(__xludf.DUMMYFUNCTION("""COMPUTED_VALUE"""),45280.0)</f>
        <v>45280</v>
      </c>
      <c r="T2785" s="57">
        <f>IFERROR(__xludf.DUMMYFUNCTION("""COMPUTED_VALUE"""),45322.0)</f>
        <v>45322</v>
      </c>
    </row>
    <row r="2786">
      <c r="A2786" s="6" t="str">
        <f>IFERROR(__xludf.DUMMYFUNCTION("""COMPUTED_VALUE"""),"231750982-6")</f>
        <v>231750982-6</v>
      </c>
      <c r="B2786" s="6" t="str">
        <f>IFERROR(__xludf.DUMMYFUNCTION("""COMPUTED_VALUE"""),"231750982 - Approved")</f>
        <v>231750982 - Approved</v>
      </c>
      <c r="C2786" s="6">
        <f>IFERROR(__xludf.DUMMYFUNCTION("""COMPUTED_VALUE"""),6.0)</f>
        <v>6</v>
      </c>
      <c r="D2786" s="6" t="str">
        <f>IFERROR(__xludf.DUMMYFUNCTION("""COMPUTED_VALUE"""),"P-54199-00")</f>
        <v>P-54199-00</v>
      </c>
      <c r="E2786" s="6" t="str">
        <f>IFERROR(__xludf.DUMMYFUNCTION("""COMPUTED_VALUE"""),"Stop Kontak AC Kaki 3 Broco; Broco; ;")</f>
        <v>Stop Kontak AC Kaki 3 Broco; Broco; ;</v>
      </c>
      <c r="F2786" s="6">
        <f>IFERROR(__xludf.DUMMYFUNCTION("""COMPUTED_VALUE"""),1.0)</f>
        <v>1</v>
      </c>
      <c r="G2786" s="6" t="str">
        <f>IFERROR(__xludf.DUMMYFUNCTION("""COMPUTED_VALUE"""),"Set")</f>
        <v>Set</v>
      </c>
      <c r="H2786" s="6" t="str">
        <f>IFERROR(__xludf.DUMMYFUNCTION("""COMPUTED_VALUE"""),"IDR")</f>
        <v>IDR</v>
      </c>
      <c r="I2786" s="11">
        <f>IFERROR(__xludf.DUMMYFUNCTION("""COMPUTED_VALUE"""),70000.0)</f>
        <v>70000</v>
      </c>
      <c r="J2786" s="11">
        <f>IFERROR(__xludf.DUMMYFUNCTION("""COMPUTED_VALUE"""),70000.0)</f>
        <v>70000</v>
      </c>
      <c r="K2786" s="57">
        <f>IFERROR(__xludf.DUMMYFUNCTION("""COMPUTED_VALUE"""),45288.0)</f>
        <v>45288</v>
      </c>
      <c r="L2786" s="6" t="str">
        <f>IFERROR(__xludf.DUMMYFUNCTION("""COMPUTED_VALUE"""),"FIP Engineering")</f>
        <v>FIP Engineering</v>
      </c>
      <c r="M2786" s="6" t="str">
        <f>IFERROR(__xludf.DUMMYFUNCTION("""COMPUTED_VALUE"""),"Mochammad Fadhillah Hakim")</f>
        <v>Mochammad Fadhillah Hakim</v>
      </c>
      <c r="N2786" s="6" t="str">
        <f>IFERROR(__xludf.DUMMYFUNCTION("""COMPUTED_VALUE"""),"FIP Engineering")</f>
        <v>FIP Engineering</v>
      </c>
      <c r="O2786" s="6" t="str">
        <f>IFERROR(__xludf.DUMMYFUNCTION("""COMPUTED_VALUE"""),"FIP-DOM-000-11304-OS00001-INA-000000")</f>
        <v>FIP-DOM-000-11304-OS00001-INA-000000</v>
      </c>
      <c r="P2786" s="6" t="str">
        <f>IFERROR(__xludf.DUMMYFUNCTION("""COMPUTED_VALUE"""),"PO Closed")</f>
        <v>PO Closed</v>
      </c>
      <c r="Q2786" s="6" t="str">
        <f>IFERROR(__xludf.DUMMYFUNCTION("""COMPUTED_VALUE"""),"GL2401007")</f>
        <v>GL2401007</v>
      </c>
      <c r="R2786" s="57">
        <f>IFERROR(__xludf.DUMMYFUNCTION("""COMPUTED_VALUE"""),45274.0)</f>
        <v>45274</v>
      </c>
      <c r="S2786" s="57">
        <f>IFERROR(__xludf.DUMMYFUNCTION("""COMPUTED_VALUE"""),45280.0)</f>
        <v>45280</v>
      </c>
      <c r="T2786" s="57">
        <f>IFERROR(__xludf.DUMMYFUNCTION("""COMPUTED_VALUE"""),45322.0)</f>
        <v>45322</v>
      </c>
    </row>
    <row r="2787">
      <c r="A2787" s="6" t="str">
        <f>IFERROR(__xludf.DUMMYFUNCTION("""COMPUTED_VALUE"""),"231750982-7")</f>
        <v>231750982-7</v>
      </c>
      <c r="B2787" s="6" t="str">
        <f>IFERROR(__xludf.DUMMYFUNCTION("""COMPUTED_VALUE"""),"231750982 - Approved")</f>
        <v>231750982 - Approved</v>
      </c>
      <c r="C2787" s="6">
        <f>IFERROR(__xludf.DUMMYFUNCTION("""COMPUTED_VALUE"""),7.0)</f>
        <v>7</v>
      </c>
      <c r="D2787" s="6" t="str">
        <f>IFERROR(__xludf.DUMMYFUNCTION("""COMPUTED_VALUE"""),"P-18964-00")</f>
        <v>P-18964-00</v>
      </c>
      <c r="E2787" s="6" t="str">
        <f>IFERROR(__xludf.DUMMYFUNCTION("""COMPUTED_VALUE"""),"Check Valve Aquarium; Lokal; ;")</f>
        <v>Check Valve Aquarium; Lokal; ;</v>
      </c>
      <c r="F2787" s="6">
        <f>IFERROR(__xludf.DUMMYFUNCTION("""COMPUTED_VALUE"""),1.0)</f>
        <v>1</v>
      </c>
      <c r="G2787" s="6" t="str">
        <f>IFERROR(__xludf.DUMMYFUNCTION("""COMPUTED_VALUE"""),"Pieces")</f>
        <v>Pieces</v>
      </c>
      <c r="H2787" s="6" t="str">
        <f>IFERROR(__xludf.DUMMYFUNCTION("""COMPUTED_VALUE"""),"IDR")</f>
        <v>IDR</v>
      </c>
      <c r="I2787" s="11">
        <f>IFERROR(__xludf.DUMMYFUNCTION("""COMPUTED_VALUE"""),20000.0)</f>
        <v>20000</v>
      </c>
      <c r="J2787" s="11">
        <f>IFERROR(__xludf.DUMMYFUNCTION("""COMPUTED_VALUE"""),20000.0)</f>
        <v>20000</v>
      </c>
      <c r="K2787" s="57">
        <f>IFERROR(__xludf.DUMMYFUNCTION("""COMPUTED_VALUE"""),45288.0)</f>
        <v>45288</v>
      </c>
      <c r="L2787" s="6" t="str">
        <f>IFERROR(__xludf.DUMMYFUNCTION("""COMPUTED_VALUE"""),"FIP Engineering")</f>
        <v>FIP Engineering</v>
      </c>
      <c r="M2787" s="6" t="str">
        <f>IFERROR(__xludf.DUMMYFUNCTION("""COMPUTED_VALUE"""),"Mochammad Fadhillah Hakim")</f>
        <v>Mochammad Fadhillah Hakim</v>
      </c>
      <c r="N2787" s="6" t="str">
        <f>IFERROR(__xludf.DUMMYFUNCTION("""COMPUTED_VALUE"""),"FIP Engineering")</f>
        <v>FIP Engineering</v>
      </c>
      <c r="O2787" s="6" t="str">
        <f>IFERROR(__xludf.DUMMYFUNCTION("""COMPUTED_VALUE"""),"FIP-DOM-000-11304-OS00001-INA-000000")</f>
        <v>FIP-DOM-000-11304-OS00001-INA-000000</v>
      </c>
      <c r="P2787" s="6" t="str">
        <f>IFERROR(__xludf.DUMMYFUNCTION("""COMPUTED_VALUE"""),"PO Closed")</f>
        <v>PO Closed</v>
      </c>
      <c r="Q2787" s="6" t="str">
        <f>IFERROR(__xludf.DUMMYFUNCTION("""COMPUTED_VALUE"""),"GL2401007")</f>
        <v>GL2401007</v>
      </c>
      <c r="R2787" s="57">
        <f>IFERROR(__xludf.DUMMYFUNCTION("""COMPUTED_VALUE"""),45274.0)</f>
        <v>45274</v>
      </c>
      <c r="S2787" s="57">
        <f>IFERROR(__xludf.DUMMYFUNCTION("""COMPUTED_VALUE"""),45280.0)</f>
        <v>45280</v>
      </c>
      <c r="T2787" s="57">
        <f>IFERROR(__xludf.DUMMYFUNCTION("""COMPUTED_VALUE"""),45322.0)</f>
        <v>45322</v>
      </c>
    </row>
    <row r="2788">
      <c r="A2788" s="6" t="str">
        <f>IFERROR(__xludf.DUMMYFUNCTION("""COMPUTED_VALUE"""),"231750984-1")</f>
        <v>231750984-1</v>
      </c>
      <c r="B2788" s="6" t="str">
        <f>IFERROR(__xludf.DUMMYFUNCTION("""COMPUTED_VALUE"""),"231750984 - Approved")</f>
        <v>231750984 - Approved</v>
      </c>
      <c r="C2788" s="6">
        <f>IFERROR(__xludf.DUMMYFUNCTION("""COMPUTED_VALUE"""),1.0)</f>
        <v>1</v>
      </c>
      <c r="D2788" s="6" t="str">
        <f>IFERROR(__xludf.DUMMYFUNCTION("""COMPUTED_VALUE"""),"P-18965-00")</f>
        <v>P-18965-00</v>
      </c>
      <c r="E2788" s="6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F2788" s="6">
        <f>IFERROR(__xludf.DUMMYFUNCTION("""COMPUTED_VALUE"""),2.0)</f>
        <v>2</v>
      </c>
      <c r="G2788" s="6" t="str">
        <f>IFERROR(__xludf.DUMMYFUNCTION("""COMPUTED_VALUE"""),"Pieces")</f>
        <v>Pieces</v>
      </c>
      <c r="H2788" s="6" t="str">
        <f>IFERROR(__xludf.DUMMYFUNCTION("""COMPUTED_VALUE"""),"IDR")</f>
        <v>IDR</v>
      </c>
      <c r="I2788" s="11">
        <f>IFERROR(__xludf.DUMMYFUNCTION("""COMPUTED_VALUE"""),2.6015E7)</f>
        <v>26015000</v>
      </c>
      <c r="J2788" s="11">
        <f>IFERROR(__xludf.DUMMYFUNCTION("""COMPUTED_VALUE"""),5.203E7)</f>
        <v>52030000</v>
      </c>
      <c r="K2788" s="57">
        <f>IFERROR(__xludf.DUMMYFUNCTION("""COMPUTED_VALUE"""),45288.0)</f>
        <v>45288</v>
      </c>
      <c r="L2788" s="6" t="str">
        <f>IFERROR(__xludf.DUMMYFUNCTION("""COMPUTED_VALUE"""),"FIP Engineering")</f>
        <v>FIP Engineering</v>
      </c>
      <c r="M2788" s="6" t="str">
        <f>IFERROR(__xludf.DUMMYFUNCTION("""COMPUTED_VALUE"""),"Mochammad Fadhillah Hakim")</f>
        <v>Mochammad Fadhillah Hakim</v>
      </c>
      <c r="N2788" s="6" t="str">
        <f>IFERROR(__xludf.DUMMYFUNCTION("""COMPUTED_VALUE"""),"FIP Engineering")</f>
        <v>FIP Engineering</v>
      </c>
      <c r="O2788" s="6" t="str">
        <f>IFERROR(__xludf.DUMMYFUNCTION("""COMPUTED_VALUE"""),"FIP-DOM-000-11304-OS00001-INA-000000")</f>
        <v>FIP-DOM-000-11304-OS00001-INA-000000</v>
      </c>
      <c r="P2788" s="6" t="str">
        <f>IFERROR(__xludf.DUMMYFUNCTION("""COMPUTED_VALUE"""),"PO Closed")</f>
        <v>PO Closed</v>
      </c>
      <c r="Q2788" s="6" t="str">
        <f>IFERROR(__xludf.DUMMYFUNCTION("""COMPUTED_VALUE"""),"GL2401029")</f>
        <v>GL2401029</v>
      </c>
      <c r="R2788" s="57">
        <f>IFERROR(__xludf.DUMMYFUNCTION("""COMPUTED_VALUE"""),45274.0)</f>
        <v>45274</v>
      </c>
      <c r="S2788" s="57">
        <f>IFERROR(__xludf.DUMMYFUNCTION("""COMPUTED_VALUE"""),45278.0)</f>
        <v>45278</v>
      </c>
      <c r="T2788" s="57">
        <f>IFERROR(__xludf.DUMMYFUNCTION("""COMPUTED_VALUE"""),45347.0)</f>
        <v>45347</v>
      </c>
    </row>
    <row r="2789">
      <c r="A2789" s="6" t="str">
        <f>IFERROR(__xludf.DUMMYFUNCTION("""COMPUTED_VALUE"""),"231750985-1")</f>
        <v>231750985-1</v>
      </c>
      <c r="B2789" s="6" t="str">
        <f>IFERROR(__xludf.DUMMYFUNCTION("""COMPUTED_VALUE"""),"231750985 - Approved")</f>
        <v>231750985 - Approved</v>
      </c>
      <c r="C2789" s="6">
        <f>IFERROR(__xludf.DUMMYFUNCTION("""COMPUTED_VALUE"""),1.0)</f>
        <v>1</v>
      </c>
      <c r="D2789" s="6" t="str">
        <f>IFERROR(__xludf.DUMMYFUNCTION("""COMPUTED_VALUE"""),"P-14877-00")</f>
        <v>P-14877-00</v>
      </c>
      <c r="E2789" s="6" t="str">
        <f>IFERROR(__xludf.DUMMYFUNCTION("""COMPUTED_VALUE"""),"Kabel NYYHY 3x2,5mm; ; ;")</f>
        <v>Kabel NYYHY 3x2,5mm; ; ;</v>
      </c>
      <c r="F2789" s="6">
        <f>IFERROR(__xludf.DUMMYFUNCTION("""COMPUTED_VALUE"""),50.0)</f>
        <v>50</v>
      </c>
      <c r="G2789" s="6" t="str">
        <f>IFERROR(__xludf.DUMMYFUNCTION("""COMPUTED_VALUE"""),"Meter")</f>
        <v>Meter</v>
      </c>
      <c r="H2789" s="6" t="str">
        <f>IFERROR(__xludf.DUMMYFUNCTION("""COMPUTED_VALUE"""),"IDR")</f>
        <v>IDR</v>
      </c>
      <c r="I2789" s="11">
        <f>IFERROR(__xludf.DUMMYFUNCTION("""COMPUTED_VALUE"""),23500.0)</f>
        <v>23500</v>
      </c>
      <c r="J2789" s="11">
        <f>IFERROR(__xludf.DUMMYFUNCTION("""COMPUTED_VALUE"""),1175000.0)</f>
        <v>1175000</v>
      </c>
      <c r="K2789" s="57">
        <f>IFERROR(__xludf.DUMMYFUNCTION("""COMPUTED_VALUE"""),45288.0)</f>
        <v>45288</v>
      </c>
      <c r="L2789" s="6" t="str">
        <f>IFERROR(__xludf.DUMMYFUNCTION("""COMPUTED_VALUE"""),"FIP General")</f>
        <v>FIP General</v>
      </c>
      <c r="M2789" s="6" t="str">
        <f>IFERROR(__xludf.DUMMYFUNCTION("""COMPUTED_VALUE"""),"Mochammad Fadhillah Hakim")</f>
        <v>Mochammad Fadhillah Hakim</v>
      </c>
      <c r="N2789" s="6" t="str">
        <f>IFERROR(__xludf.DUMMYFUNCTION("""COMPUTED_VALUE"""),"FIP Engineering")</f>
        <v>FIP Engineering</v>
      </c>
      <c r="O2789" s="6" t="str">
        <f>IFERROR(__xludf.DUMMYFUNCTION("""COMPUTED_VALUE"""),"FIP-DOM-ENG-51504-0000000-INA-000000")</f>
        <v>FIP-DOM-ENG-51504-0000000-INA-000000</v>
      </c>
      <c r="P2789" s="6" t="str">
        <f>IFERROR(__xludf.DUMMYFUNCTION("""COMPUTED_VALUE"""),"PO Closed")</f>
        <v>PO Closed</v>
      </c>
      <c r="Q2789" s="6" t="str">
        <f>IFERROR(__xludf.DUMMYFUNCTION("""COMPUTED_VALUE"""),"GL2312037")</f>
        <v>GL2312037</v>
      </c>
      <c r="R2789" s="57">
        <f>IFERROR(__xludf.DUMMYFUNCTION("""COMPUTED_VALUE"""),45274.0)</f>
        <v>45274</v>
      </c>
      <c r="S2789" s="57">
        <f>IFERROR(__xludf.DUMMYFUNCTION("""COMPUTED_VALUE"""),45274.0)</f>
        <v>45274</v>
      </c>
      <c r="T2789" s="57">
        <f>IFERROR(__xludf.DUMMYFUNCTION("""COMPUTED_VALUE"""),45288.0)</f>
        <v>45288</v>
      </c>
    </row>
    <row r="2790">
      <c r="A2790" s="6" t="str">
        <f>IFERROR(__xludf.DUMMYFUNCTION("""COMPUTED_VALUE"""),"231750986-1")</f>
        <v>231750986-1</v>
      </c>
      <c r="B2790" s="6" t="str">
        <f>IFERROR(__xludf.DUMMYFUNCTION("""COMPUTED_VALUE"""),"231750986 - Approved")</f>
        <v>231750986 - Approved</v>
      </c>
      <c r="C2790" s="6">
        <f>IFERROR(__xludf.DUMMYFUNCTION("""COMPUTED_VALUE"""),1.0)</f>
        <v>1</v>
      </c>
      <c r="D2790" s="6" t="str">
        <f>IFERROR(__xludf.DUMMYFUNCTION("""COMPUTED_VALUE"""),"T-20113-00")</f>
        <v>T-20113-00</v>
      </c>
      <c r="E2790" s="6" t="str">
        <f>IFERROR(__xludf.DUMMYFUNCTION("""COMPUTED_VALUE"""),"900 UV lamp; Sievers; P/N CARK35010-01; 1 pc")</f>
        <v>900 UV lamp; Sievers; P/N CARK35010-01; 1 pc</v>
      </c>
      <c r="F2790" s="6">
        <f>IFERROR(__xludf.DUMMYFUNCTION("""COMPUTED_VALUE"""),1.0)</f>
        <v>1</v>
      </c>
      <c r="G2790" s="6" t="str">
        <f>IFERROR(__xludf.DUMMYFUNCTION("""COMPUTED_VALUE"""),"Pieces")</f>
        <v>Pieces</v>
      </c>
      <c r="H2790" s="6" t="str">
        <f>IFERROR(__xludf.DUMMYFUNCTION("""COMPUTED_VALUE"""),"IDR")</f>
        <v>IDR</v>
      </c>
      <c r="I2790" s="11">
        <f>IFERROR(__xludf.DUMMYFUNCTION("""COMPUTED_VALUE"""),1.42421E7)</f>
        <v>14242100</v>
      </c>
      <c r="J2790" s="11">
        <f>IFERROR(__xludf.DUMMYFUNCTION("""COMPUTED_VALUE"""),1.42421E7)</f>
        <v>14242100</v>
      </c>
      <c r="K2790" s="57">
        <f>IFERROR(__xludf.DUMMYFUNCTION("""COMPUTED_VALUE"""),45288.0)</f>
        <v>45288</v>
      </c>
      <c r="L2790" s="6" t="str">
        <f>IFERROR(__xludf.DUMMYFUNCTION("""COMPUTED_VALUE"""),"FIP General")</f>
        <v>FIP General</v>
      </c>
      <c r="M2790" s="6" t="str">
        <f>IFERROR(__xludf.DUMMYFUNCTION("""COMPUTED_VALUE"""),"Mochammad Fadhillah Hakim")</f>
        <v>Mochammad Fadhillah Hakim</v>
      </c>
      <c r="N2790" s="6" t="str">
        <f>IFERROR(__xludf.DUMMYFUNCTION("""COMPUTED_VALUE"""),"FIP Engineering")</f>
        <v>FIP Engineering</v>
      </c>
      <c r="O2790" s="6" t="str">
        <f>IFERROR(__xludf.DUMMYFUNCTION("""COMPUTED_VALUE"""),"FIP-DOM-ENG-51505-0000000-INA-000000")</f>
        <v>FIP-DOM-ENG-51505-0000000-INA-000000</v>
      </c>
      <c r="P2790" s="6" t="str">
        <f>IFERROR(__xludf.DUMMYFUNCTION("""COMPUTED_VALUE"""),"PO Closed")</f>
        <v>PO Closed</v>
      </c>
      <c r="Q2790" s="6" t="str">
        <f>IFERROR(__xludf.DUMMYFUNCTION("""COMPUTED_VALUE"""),"GL2312034")</f>
        <v>GL2312034</v>
      </c>
      <c r="R2790" s="57">
        <f>IFERROR(__xludf.DUMMYFUNCTION("""COMPUTED_VALUE"""),45274.0)</f>
        <v>45274</v>
      </c>
      <c r="S2790" s="57">
        <f>IFERROR(__xludf.DUMMYFUNCTION("""COMPUTED_VALUE"""),45281.0)</f>
        <v>45281</v>
      </c>
      <c r="T2790" s="57">
        <f>IFERROR(__xludf.DUMMYFUNCTION("""COMPUTED_VALUE"""),45303.0)</f>
        <v>45303</v>
      </c>
    </row>
    <row r="2791">
      <c r="A2791" s="6" t="str">
        <f>IFERROR(__xludf.DUMMYFUNCTION("""COMPUTED_VALUE"""),"231750994-1")</f>
        <v>231750994-1</v>
      </c>
      <c r="B2791" s="6" t="str">
        <f>IFERROR(__xludf.DUMMYFUNCTION("""COMPUTED_VALUE"""),"231750994 - Approved")</f>
        <v>231750994 - Approved</v>
      </c>
      <c r="C2791" s="6">
        <f>IFERROR(__xludf.DUMMYFUNCTION("""COMPUTED_VALUE"""),1.0)</f>
        <v>1</v>
      </c>
      <c r="D2791" s="6" t="str">
        <f>IFERROR(__xludf.DUMMYFUNCTION("""COMPUTED_VALUE"""),"P-10945-00")</f>
        <v>P-10945-00</v>
      </c>
      <c r="E2791" s="6" t="str">
        <f>IFERROR(__xludf.DUMMYFUNCTION("""COMPUTED_VALUE"""),"Insulation - Seal Tape onda")</f>
        <v>Insulation - Seal Tape onda</v>
      </c>
      <c r="F2791" s="6">
        <f>IFERROR(__xludf.DUMMYFUNCTION("""COMPUTED_VALUE"""),10.0)</f>
        <v>10</v>
      </c>
      <c r="G2791" s="6" t="str">
        <f>IFERROR(__xludf.DUMMYFUNCTION("""COMPUTED_VALUE"""),"Pieces")</f>
        <v>Pieces</v>
      </c>
      <c r="H2791" s="6" t="str">
        <f>IFERROR(__xludf.DUMMYFUNCTION("""COMPUTED_VALUE"""),"IDR")</f>
        <v>IDR</v>
      </c>
      <c r="I2791" s="11">
        <f>IFERROR(__xludf.DUMMYFUNCTION("""COMPUTED_VALUE"""),5000.0)</f>
        <v>5000</v>
      </c>
      <c r="J2791" s="11">
        <f>IFERROR(__xludf.DUMMYFUNCTION("""COMPUTED_VALUE"""),50000.0)</f>
        <v>50000</v>
      </c>
      <c r="K2791" s="57">
        <f>IFERROR(__xludf.DUMMYFUNCTION("""COMPUTED_VALUE"""),45290.0)</f>
        <v>45290</v>
      </c>
      <c r="L2791" s="6" t="str">
        <f>IFERROR(__xludf.DUMMYFUNCTION("""COMPUTED_VALUE"""),"FIP Engineering")</f>
        <v>FIP Engineering</v>
      </c>
      <c r="M2791" s="6" t="str">
        <f>IFERROR(__xludf.DUMMYFUNCTION("""COMPUTED_VALUE"""),"Mochammad Fadhillah Hakim")</f>
        <v>Mochammad Fadhillah Hakim</v>
      </c>
      <c r="N2791" s="6" t="str">
        <f>IFERROR(__xludf.DUMMYFUNCTION("""COMPUTED_VALUE"""),"FIP Engineering")</f>
        <v>FIP Engineering</v>
      </c>
      <c r="O2791" s="6" t="str">
        <f>IFERROR(__xludf.DUMMYFUNCTION("""COMPUTED_VALUE"""),"FIP-DOM-000-11304-OS00001-INA-000000")</f>
        <v>FIP-DOM-000-11304-OS00001-INA-000000</v>
      </c>
      <c r="P2791" s="6" t="str">
        <f>IFERROR(__xludf.DUMMYFUNCTION("""COMPUTED_VALUE"""),"PO Closed")</f>
        <v>PO Closed</v>
      </c>
      <c r="Q2791" s="6" t="str">
        <f>IFERROR(__xludf.DUMMYFUNCTION("""COMPUTED_VALUE"""),"GL2401014")</f>
        <v>GL2401014</v>
      </c>
      <c r="R2791" s="57">
        <f>IFERROR(__xludf.DUMMYFUNCTION("""COMPUTED_VALUE"""),45276.0)</f>
        <v>45276</v>
      </c>
      <c r="S2791" s="57">
        <f>IFERROR(__xludf.DUMMYFUNCTION("""COMPUTED_VALUE"""),45280.0)</f>
        <v>45280</v>
      </c>
      <c r="T2791" s="57">
        <f>IFERROR(__xludf.DUMMYFUNCTION("""COMPUTED_VALUE"""),45325.0)</f>
        <v>45325</v>
      </c>
    </row>
    <row r="2792">
      <c r="A2792" s="6" t="str">
        <f>IFERROR(__xludf.DUMMYFUNCTION("""COMPUTED_VALUE"""),"231750994-2")</f>
        <v>231750994-2</v>
      </c>
      <c r="B2792" s="6" t="str">
        <f>IFERROR(__xludf.DUMMYFUNCTION("""COMPUTED_VALUE"""),"231750994 - Approved")</f>
        <v>231750994 - Approved</v>
      </c>
      <c r="C2792" s="6">
        <f>IFERROR(__xludf.DUMMYFUNCTION("""COMPUTED_VALUE"""),2.0)</f>
        <v>2</v>
      </c>
      <c r="D2792" s="6" t="str">
        <f>IFERROR(__xludf.DUMMYFUNCTION("""COMPUTED_VALUE"""),"P-51889-00")</f>
        <v>P-51889-00</v>
      </c>
      <c r="E2792" s="6" t="str">
        <f>IFERROR(__xludf.DUMMYFUNCTION("""COMPUTED_VALUE"""),"Autonics - Power Supply SPA-050-24VDC; ; ;")</f>
        <v>Autonics - Power Supply SPA-050-24VDC; ; ;</v>
      </c>
      <c r="F2792" s="6">
        <f>IFERROR(__xludf.DUMMYFUNCTION("""COMPUTED_VALUE"""),2.0)</f>
        <v>2</v>
      </c>
      <c r="G2792" s="6" t="str">
        <f>IFERROR(__xludf.DUMMYFUNCTION("""COMPUTED_VALUE"""),"Pieces")</f>
        <v>Pieces</v>
      </c>
      <c r="H2792" s="6" t="str">
        <f>IFERROR(__xludf.DUMMYFUNCTION("""COMPUTED_VALUE"""),"IDR")</f>
        <v>IDR</v>
      </c>
      <c r="I2792" s="11">
        <f>IFERROR(__xludf.DUMMYFUNCTION("""COMPUTED_VALUE"""),508000.0)</f>
        <v>508000</v>
      </c>
      <c r="J2792" s="11">
        <f>IFERROR(__xludf.DUMMYFUNCTION("""COMPUTED_VALUE"""),1016000.0)</f>
        <v>1016000</v>
      </c>
      <c r="K2792" s="57">
        <f>IFERROR(__xludf.DUMMYFUNCTION("""COMPUTED_VALUE"""),45290.0)</f>
        <v>45290</v>
      </c>
      <c r="L2792" s="6" t="str">
        <f>IFERROR(__xludf.DUMMYFUNCTION("""COMPUTED_VALUE"""),"FIP Engineering")</f>
        <v>FIP Engineering</v>
      </c>
      <c r="M2792" s="6" t="str">
        <f>IFERROR(__xludf.DUMMYFUNCTION("""COMPUTED_VALUE"""),"Mochammad Fadhillah Hakim")</f>
        <v>Mochammad Fadhillah Hakim</v>
      </c>
      <c r="N2792" s="6" t="str">
        <f>IFERROR(__xludf.DUMMYFUNCTION("""COMPUTED_VALUE"""),"FIP Engineering")</f>
        <v>FIP Engineering</v>
      </c>
      <c r="O2792" s="6" t="str">
        <f>IFERROR(__xludf.DUMMYFUNCTION("""COMPUTED_VALUE"""),"FIP-DOM-000-11304-OS00001-INA-000000")</f>
        <v>FIP-DOM-000-11304-OS00001-INA-000000</v>
      </c>
      <c r="P2792" s="6" t="str">
        <f>IFERROR(__xludf.DUMMYFUNCTION("""COMPUTED_VALUE"""),"PO Closed")</f>
        <v>PO Closed</v>
      </c>
      <c r="Q2792" s="6" t="str">
        <f>IFERROR(__xludf.DUMMYFUNCTION("""COMPUTED_VALUE"""),"GL2402011")</f>
        <v>GL2402011</v>
      </c>
      <c r="R2792" s="57">
        <f>IFERROR(__xludf.DUMMYFUNCTION("""COMPUTED_VALUE"""),45276.0)</f>
        <v>45276</v>
      </c>
      <c r="S2792" s="57">
        <f>IFERROR(__xludf.DUMMYFUNCTION("""COMPUTED_VALUE"""),45280.0)</f>
        <v>45280</v>
      </c>
      <c r="T2792" s="57">
        <f>IFERROR(__xludf.DUMMYFUNCTION("""COMPUTED_VALUE"""),45350.0)</f>
        <v>45350</v>
      </c>
    </row>
    <row r="2793">
      <c r="A2793" s="6" t="str">
        <f>IFERROR(__xludf.DUMMYFUNCTION("""COMPUTED_VALUE"""),"231750994-3")</f>
        <v>231750994-3</v>
      </c>
      <c r="B2793" s="6" t="str">
        <f>IFERROR(__xludf.DUMMYFUNCTION("""COMPUTED_VALUE"""),"231750994 - Approved")</f>
        <v>231750994 - Approved</v>
      </c>
      <c r="C2793" s="6">
        <f>IFERROR(__xludf.DUMMYFUNCTION("""COMPUTED_VALUE"""),3.0)</f>
        <v>3</v>
      </c>
      <c r="D2793" s="6" t="str">
        <f>IFERROR(__xludf.DUMMYFUNCTION("""COMPUTED_VALUE"""),"P-18512-00")</f>
        <v>P-18512-00</v>
      </c>
      <c r="E2793" s="6" t="str">
        <f>IFERROR(__xludf.DUMMYFUNCTION("""COMPUTED_VALUE"""),"Pipa Tembaga AC Uk. 1 3/8 inch; ; ;")</f>
        <v>Pipa Tembaga AC Uk. 1 3/8 inch; ; ;</v>
      </c>
      <c r="F2793" s="6">
        <f>IFERROR(__xludf.DUMMYFUNCTION("""COMPUTED_VALUE"""),1.0)</f>
        <v>1</v>
      </c>
      <c r="G2793" s="6" t="str">
        <f>IFERROR(__xludf.DUMMYFUNCTION("""COMPUTED_VALUE"""),"Pieces")</f>
        <v>Pieces</v>
      </c>
      <c r="H2793" s="6" t="str">
        <f>IFERROR(__xludf.DUMMYFUNCTION("""COMPUTED_VALUE"""),"IDR")</f>
        <v>IDR</v>
      </c>
      <c r="I2793" s="11">
        <f>IFERROR(__xludf.DUMMYFUNCTION("""COMPUTED_VALUE"""),100000.0)</f>
        <v>100000</v>
      </c>
      <c r="J2793" s="11">
        <f>IFERROR(__xludf.DUMMYFUNCTION("""COMPUTED_VALUE"""),100000.0)</f>
        <v>100000</v>
      </c>
      <c r="K2793" s="57">
        <f>IFERROR(__xludf.DUMMYFUNCTION("""COMPUTED_VALUE"""),45290.0)</f>
        <v>45290</v>
      </c>
      <c r="L2793" s="6" t="str">
        <f>IFERROR(__xludf.DUMMYFUNCTION("""COMPUTED_VALUE"""),"FIP Engineering")</f>
        <v>FIP Engineering</v>
      </c>
      <c r="M2793" s="6" t="str">
        <f>IFERROR(__xludf.DUMMYFUNCTION("""COMPUTED_VALUE"""),"Mochammad Fadhillah Hakim")</f>
        <v>Mochammad Fadhillah Hakim</v>
      </c>
      <c r="N2793" s="6" t="str">
        <f>IFERROR(__xludf.DUMMYFUNCTION("""COMPUTED_VALUE"""),"FIP Engineering")</f>
        <v>FIP Engineering</v>
      </c>
      <c r="O2793" s="6" t="str">
        <f>IFERROR(__xludf.DUMMYFUNCTION("""COMPUTED_VALUE"""),"FIP-DOM-000-11304-OS00001-INA-000000")</f>
        <v>FIP-DOM-000-11304-OS00001-INA-000000</v>
      </c>
      <c r="P2793" s="6" t="str">
        <f>IFERROR(__xludf.DUMMYFUNCTION("""COMPUTED_VALUE"""),"PO Closed")</f>
        <v>PO Closed</v>
      </c>
      <c r="Q2793" s="6" t="str">
        <f>IFERROR(__xludf.DUMMYFUNCTION("""COMPUTED_VALUE"""),"GL2401012")</f>
        <v>GL2401012</v>
      </c>
      <c r="R2793" s="57">
        <f>IFERROR(__xludf.DUMMYFUNCTION("""COMPUTED_VALUE"""),45276.0)</f>
        <v>45276</v>
      </c>
      <c r="S2793" s="57">
        <f>IFERROR(__xludf.DUMMYFUNCTION("""COMPUTED_VALUE"""),45280.0)</f>
        <v>45280</v>
      </c>
      <c r="T2793" s="57">
        <f>IFERROR(__xludf.DUMMYFUNCTION("""COMPUTED_VALUE"""),45322.0)</f>
        <v>45322</v>
      </c>
    </row>
    <row r="2794">
      <c r="A2794" s="6" t="str">
        <f>IFERROR(__xludf.DUMMYFUNCTION("""COMPUTED_VALUE"""),"231750994-4")</f>
        <v>231750994-4</v>
      </c>
      <c r="B2794" s="6" t="str">
        <f>IFERROR(__xludf.DUMMYFUNCTION("""COMPUTED_VALUE"""),"231750994 - Approved")</f>
        <v>231750994 - Approved</v>
      </c>
      <c r="C2794" s="6">
        <f>IFERROR(__xludf.DUMMYFUNCTION("""COMPUTED_VALUE"""),4.0)</f>
        <v>4</v>
      </c>
      <c r="D2794" s="6" t="str">
        <f>IFERROR(__xludf.DUMMYFUNCTION("""COMPUTED_VALUE"""),"O-19379-00")</f>
        <v>O-19379-00</v>
      </c>
      <c r="E2794" s="6" t="str">
        <f>IFERROR(__xludf.DUMMYFUNCTION("""COMPUTED_VALUE"""),"Oli Refrigeration; Xaerus; XR 534-46;")</f>
        <v>Oli Refrigeration; Xaerus; XR 534-46;</v>
      </c>
      <c r="F2794" s="6">
        <f>IFERROR(__xludf.DUMMYFUNCTION("""COMPUTED_VALUE"""),8.0)</f>
        <v>8</v>
      </c>
      <c r="G2794" s="6" t="str">
        <f>IFERROR(__xludf.DUMMYFUNCTION("""COMPUTED_VALUE"""),"Can")</f>
        <v>Can</v>
      </c>
      <c r="H2794" s="6" t="str">
        <f>IFERROR(__xludf.DUMMYFUNCTION("""COMPUTED_VALUE"""),"IDR")</f>
        <v>IDR</v>
      </c>
      <c r="I2794" s="11">
        <f>IFERROR(__xludf.DUMMYFUNCTION("""COMPUTED_VALUE"""),1800000.0)</f>
        <v>1800000</v>
      </c>
      <c r="J2794" s="11">
        <f>IFERROR(__xludf.DUMMYFUNCTION("""COMPUTED_VALUE"""),1.44E7)</f>
        <v>14400000</v>
      </c>
      <c r="K2794" s="57">
        <f>IFERROR(__xludf.DUMMYFUNCTION("""COMPUTED_VALUE"""),45290.0)</f>
        <v>45290</v>
      </c>
      <c r="L2794" s="6" t="str">
        <f>IFERROR(__xludf.DUMMYFUNCTION("""COMPUTED_VALUE"""),"FIP Engineering")</f>
        <v>FIP Engineering</v>
      </c>
      <c r="M2794" s="6" t="str">
        <f>IFERROR(__xludf.DUMMYFUNCTION("""COMPUTED_VALUE"""),"Mochammad Fadhillah Hakim")</f>
        <v>Mochammad Fadhillah Hakim</v>
      </c>
      <c r="N2794" s="6" t="str">
        <f>IFERROR(__xludf.DUMMYFUNCTION("""COMPUTED_VALUE"""),"FIP Engineering")</f>
        <v>FIP Engineering</v>
      </c>
      <c r="O2794" s="6" t="str">
        <f>IFERROR(__xludf.DUMMYFUNCTION("""COMPUTED_VALUE"""),"FIP-DOM-000-11304-OS00001-INA-000000")</f>
        <v>FIP-DOM-000-11304-OS00001-INA-000000</v>
      </c>
      <c r="P2794" s="6" t="str">
        <f>IFERROR(__xludf.DUMMYFUNCTION("""COMPUTED_VALUE"""),"PO Closed")</f>
        <v>PO Closed</v>
      </c>
      <c r="Q2794" s="6" t="str">
        <f>IFERROR(__xludf.DUMMYFUNCTION("""COMPUTED_VALUE"""),"GL2401014")</f>
        <v>GL2401014</v>
      </c>
      <c r="R2794" s="57">
        <f>IFERROR(__xludf.DUMMYFUNCTION("""COMPUTED_VALUE"""),45276.0)</f>
        <v>45276</v>
      </c>
      <c r="S2794" s="57">
        <f>IFERROR(__xludf.DUMMYFUNCTION("""COMPUTED_VALUE"""),45280.0)</f>
        <v>45280</v>
      </c>
      <c r="T2794" s="57">
        <f>IFERROR(__xludf.DUMMYFUNCTION("""COMPUTED_VALUE"""),45325.0)</f>
        <v>45325</v>
      </c>
    </row>
    <row r="2795">
      <c r="A2795" s="6" t="str">
        <f>IFERROR(__xludf.DUMMYFUNCTION("""COMPUTED_VALUE"""),"231750995-1")</f>
        <v>231750995-1</v>
      </c>
      <c r="B2795" s="6" t="str">
        <f>IFERROR(__xludf.DUMMYFUNCTION("""COMPUTED_VALUE"""),"231750995 - Approved")</f>
        <v>231750995 - Approved</v>
      </c>
      <c r="C2795" s="6">
        <f>IFERROR(__xludf.DUMMYFUNCTION("""COMPUTED_VALUE"""),1.0)</f>
        <v>1</v>
      </c>
      <c r="D2795" s="6" t="str">
        <f>IFERROR(__xludf.DUMMYFUNCTION("""COMPUTED_VALUE"""),"S-60050-00")</f>
        <v>S-60050-00</v>
      </c>
      <c r="E2795" s="6" t="str">
        <f>IFERROR(__xludf.DUMMYFUNCTION("""COMPUTED_VALUE"""),"Jasa Perbaikan dan Pemeliharaan Mesin Produksi; ; ; - Untuk repair memban cRABS")</f>
        <v>Jasa Perbaikan dan Pemeliharaan Mesin Produksi; ; ; - Untuk repair memban cRABS</v>
      </c>
      <c r="F2795" s="6">
        <f>IFERROR(__xludf.DUMMYFUNCTION("""COMPUTED_VALUE"""),1.0)</f>
        <v>1</v>
      </c>
      <c r="G2795" s="6" t="str">
        <f>IFERROR(__xludf.DUMMYFUNCTION("""COMPUTED_VALUE"""),"Pieces")</f>
        <v>Pieces</v>
      </c>
      <c r="H2795" s="6" t="str">
        <f>IFERROR(__xludf.DUMMYFUNCTION("""COMPUTED_VALUE"""),"IDR")</f>
        <v>IDR</v>
      </c>
      <c r="I2795" s="11">
        <f>IFERROR(__xludf.DUMMYFUNCTION("""COMPUTED_VALUE"""),1.17E7)</f>
        <v>11700000</v>
      </c>
      <c r="J2795" s="11">
        <f>IFERROR(__xludf.DUMMYFUNCTION("""COMPUTED_VALUE"""),1.17E7)</f>
        <v>11700000</v>
      </c>
      <c r="K2795" s="57">
        <f>IFERROR(__xludf.DUMMYFUNCTION("""COMPUTED_VALUE"""),45290.0)</f>
        <v>45290</v>
      </c>
      <c r="L2795" s="6" t="str">
        <f>IFERROR(__xludf.DUMMYFUNCTION("""COMPUTED_VALUE"""),"FIP General")</f>
        <v>FIP General</v>
      </c>
      <c r="M2795" s="6" t="str">
        <f>IFERROR(__xludf.DUMMYFUNCTION("""COMPUTED_VALUE"""),"Mochammad Fadhillah Hakim")</f>
        <v>Mochammad Fadhillah Hakim</v>
      </c>
      <c r="N2795" s="6" t="str">
        <f>IFERROR(__xludf.DUMMYFUNCTION("""COMPUTED_VALUE"""),"FIP Engineering")</f>
        <v>FIP Engineering</v>
      </c>
      <c r="O2795" s="6" t="str">
        <f>IFERROR(__xludf.DUMMYFUNCTION("""COMPUTED_VALUE"""),"FIP-DOM-ENG-51504-0000000-INA-000000")</f>
        <v>FIP-DOM-ENG-51504-0000000-INA-000000</v>
      </c>
      <c r="P2795" s="6" t="str">
        <f>IFERROR(__xludf.DUMMYFUNCTION("""COMPUTED_VALUE"""),"PO Closed")</f>
        <v>PO Closed</v>
      </c>
      <c r="Q2795" s="6" t="str">
        <f>IFERROR(__xludf.DUMMYFUNCTION("""COMPUTED_VALUE"""),"GL2401020")</f>
        <v>GL2401020</v>
      </c>
      <c r="R2795" s="57">
        <f>IFERROR(__xludf.DUMMYFUNCTION("""COMPUTED_VALUE"""),45276.0)</f>
        <v>45276</v>
      </c>
      <c r="S2795" s="57">
        <f>IFERROR(__xludf.DUMMYFUNCTION("""COMPUTED_VALUE"""),45278.0)</f>
        <v>45278</v>
      </c>
      <c r="T2795" s="57">
        <f>IFERROR(__xludf.DUMMYFUNCTION("""COMPUTED_VALUE"""),45327.0)</f>
        <v>45327</v>
      </c>
    </row>
    <row r="2796">
      <c r="A2796" s="6" t="str">
        <f>IFERROR(__xludf.DUMMYFUNCTION("""COMPUTED_VALUE"""),"231750999-1")</f>
        <v>231750999-1</v>
      </c>
      <c r="B2796" s="6" t="str">
        <f>IFERROR(__xludf.DUMMYFUNCTION("""COMPUTED_VALUE"""),"231750999 - Approved")</f>
        <v>231750999 - Approved</v>
      </c>
      <c r="C2796" s="6">
        <f>IFERROR(__xludf.DUMMYFUNCTION("""COMPUTED_VALUE"""),1.0)</f>
        <v>1</v>
      </c>
      <c r="D2796" s="6" t="str">
        <f>IFERROR(__xludf.DUMMYFUNCTION("""COMPUTED_VALUE"""),"T-20215-00")</f>
        <v>T-20215-00</v>
      </c>
      <c r="E2796" s="6" t="str">
        <f>IFERROR(__xludf.DUMMYFUNCTION("""COMPUTED_VALUE"""),"ASSY PCB DEGASSER QSPI MULTI-PERS, Waters, Part No. 700002511")</f>
        <v>ASSY PCB DEGASSER QSPI MULTI-PERS, Waters, Part No. 700002511</v>
      </c>
      <c r="F2796" s="6">
        <f>IFERROR(__xludf.DUMMYFUNCTION("""COMPUTED_VALUE"""),2.0)</f>
        <v>2</v>
      </c>
      <c r="G2796" s="6" t="str">
        <f>IFERROR(__xludf.DUMMYFUNCTION("""COMPUTED_VALUE"""),"Pieces")</f>
        <v>Pieces</v>
      </c>
      <c r="H2796" s="6" t="str">
        <f>IFERROR(__xludf.DUMMYFUNCTION("""COMPUTED_VALUE"""),"IDR")</f>
        <v>IDR</v>
      </c>
      <c r="I2796" s="11">
        <f>IFERROR(__xludf.DUMMYFUNCTION("""COMPUTED_VALUE"""),9006618.0)</f>
        <v>9006618</v>
      </c>
      <c r="J2796" s="11">
        <f>IFERROR(__xludf.DUMMYFUNCTION("""COMPUTED_VALUE"""),1.8013236E7)</f>
        <v>18013236</v>
      </c>
      <c r="K2796" s="57">
        <f>IFERROR(__xludf.DUMMYFUNCTION("""COMPUTED_VALUE"""),45293.0)</f>
        <v>45293</v>
      </c>
      <c r="L2796" s="6" t="str">
        <f>IFERROR(__xludf.DUMMYFUNCTION("""COMPUTED_VALUE"""),"FIP General")</f>
        <v>FIP General</v>
      </c>
      <c r="M2796" s="6" t="str">
        <f>IFERROR(__xludf.DUMMYFUNCTION("""COMPUTED_VALUE"""),"Mochammad Fadhillah Hakim")</f>
        <v>Mochammad Fadhillah Hakim</v>
      </c>
      <c r="N2796" s="6" t="str">
        <f>IFERROR(__xludf.DUMMYFUNCTION("""COMPUTED_VALUE"""),"FIP Engineering")</f>
        <v>FIP Engineering</v>
      </c>
      <c r="O2796" s="6" t="str">
        <f>IFERROR(__xludf.DUMMYFUNCTION("""COMPUTED_VALUE"""),"FIP-DOM-ENG-51505-0000000-INA-000000")</f>
        <v>FIP-DOM-ENG-51505-0000000-INA-000000</v>
      </c>
      <c r="P2796" s="6" t="str">
        <f>IFERROR(__xludf.DUMMYFUNCTION("""COMPUTED_VALUE"""),"PO Closed")</f>
        <v>PO Closed</v>
      </c>
      <c r="Q2796" s="6" t="str">
        <f>IFERROR(__xludf.DUMMYFUNCTION("""COMPUTED_VALUE"""),"GL2312329")</f>
        <v>GL2312329</v>
      </c>
      <c r="R2796" s="57">
        <f>IFERROR(__xludf.DUMMYFUNCTION("""COMPUTED_VALUE"""),45279.0)</f>
        <v>45279</v>
      </c>
      <c r="S2796" s="57">
        <f>IFERROR(__xludf.DUMMYFUNCTION("""COMPUTED_VALUE"""),45281.0)</f>
        <v>45281</v>
      </c>
      <c r="T2796" s="57">
        <f>IFERROR(__xludf.DUMMYFUNCTION("""COMPUTED_VALUE"""),45345.0)</f>
        <v>45345</v>
      </c>
    </row>
    <row r="2797">
      <c r="A2797" s="6" t="str">
        <f>IFERROR(__xludf.DUMMYFUNCTION("""COMPUTED_VALUE"""),"231750999-2")</f>
        <v>231750999-2</v>
      </c>
      <c r="B2797" s="6" t="str">
        <f>IFERROR(__xludf.DUMMYFUNCTION("""COMPUTED_VALUE"""),"231750999 - Approved")</f>
        <v>231750999 - Approved</v>
      </c>
      <c r="C2797" s="6">
        <f>IFERROR(__xludf.DUMMYFUNCTION("""COMPUTED_VALUE"""),2.0)</f>
        <v>2</v>
      </c>
      <c r="D2797" s="6" t="str">
        <f>IFERROR(__xludf.DUMMYFUNCTION("""COMPUTED_VALUE"""),"T-20118-00")</f>
        <v>T-20118-00</v>
      </c>
      <c r="E2797" s="6" t="str">
        <f>IFERROR(__xludf.DUMMYFUNCTION("""COMPUTED_VALUE"""),"FILTER INSERT ASSY; Waters; P/N WAT088084")</f>
        <v>FILTER INSERT ASSY; Waters; P/N WAT088084</v>
      </c>
      <c r="F2797" s="6">
        <f>IFERROR(__xludf.DUMMYFUNCTION("""COMPUTED_VALUE"""),3.0)</f>
        <v>3</v>
      </c>
      <c r="G2797" s="6" t="str">
        <f>IFERROR(__xludf.DUMMYFUNCTION("""COMPUTED_VALUE"""),"Pieces")</f>
        <v>Pieces</v>
      </c>
      <c r="H2797" s="6" t="str">
        <f>IFERROR(__xludf.DUMMYFUNCTION("""COMPUTED_VALUE"""),"IDR")</f>
        <v>IDR</v>
      </c>
      <c r="I2797" s="11">
        <f>IFERROR(__xludf.DUMMYFUNCTION("""COMPUTED_VALUE"""),325166.0)</f>
        <v>325166</v>
      </c>
      <c r="J2797" s="11">
        <f>IFERROR(__xludf.DUMMYFUNCTION("""COMPUTED_VALUE"""),975498.0)</f>
        <v>975498</v>
      </c>
      <c r="K2797" s="57">
        <f>IFERROR(__xludf.DUMMYFUNCTION("""COMPUTED_VALUE"""),45293.0)</f>
        <v>45293</v>
      </c>
      <c r="L2797" s="6" t="str">
        <f>IFERROR(__xludf.DUMMYFUNCTION("""COMPUTED_VALUE"""),"FIP General")</f>
        <v>FIP General</v>
      </c>
      <c r="M2797" s="6" t="str">
        <f>IFERROR(__xludf.DUMMYFUNCTION("""COMPUTED_VALUE"""),"Mochammad Fadhillah Hakim")</f>
        <v>Mochammad Fadhillah Hakim</v>
      </c>
      <c r="N2797" s="6" t="str">
        <f>IFERROR(__xludf.DUMMYFUNCTION("""COMPUTED_VALUE"""),"FIP Engineering")</f>
        <v>FIP Engineering</v>
      </c>
      <c r="O2797" s="6" t="str">
        <f>IFERROR(__xludf.DUMMYFUNCTION("""COMPUTED_VALUE"""),"FIP-DOM-ENG-51505-0000000-INA-000000")</f>
        <v>FIP-DOM-ENG-51505-0000000-INA-000000</v>
      </c>
      <c r="P2797" s="6" t="str">
        <f>IFERROR(__xludf.DUMMYFUNCTION("""COMPUTED_VALUE"""),"PO Closed")</f>
        <v>PO Closed</v>
      </c>
      <c r="Q2797" s="6" t="str">
        <f>IFERROR(__xludf.DUMMYFUNCTION("""COMPUTED_VALUE"""),"GL2312329")</f>
        <v>GL2312329</v>
      </c>
      <c r="R2797" s="57">
        <f>IFERROR(__xludf.DUMMYFUNCTION("""COMPUTED_VALUE"""),45279.0)</f>
        <v>45279</v>
      </c>
      <c r="S2797" s="57">
        <f>IFERROR(__xludf.DUMMYFUNCTION("""COMPUTED_VALUE"""),45281.0)</f>
        <v>45281</v>
      </c>
      <c r="T2797" s="57">
        <f>IFERROR(__xludf.DUMMYFUNCTION("""COMPUTED_VALUE"""),45345.0)</f>
        <v>45345</v>
      </c>
    </row>
    <row r="2798">
      <c r="A2798" s="6" t="str">
        <f>IFERROR(__xludf.DUMMYFUNCTION("""COMPUTED_VALUE"""),"231750999-3")</f>
        <v>231750999-3</v>
      </c>
      <c r="B2798" s="6" t="str">
        <f>IFERROR(__xludf.DUMMYFUNCTION("""COMPUTED_VALUE"""),"231750999 - Approved")</f>
        <v>231750999 - Approved</v>
      </c>
      <c r="C2798" s="6">
        <f>IFERROR(__xludf.DUMMYFUNCTION("""COMPUTED_VALUE"""),3.0)</f>
        <v>3</v>
      </c>
      <c r="D2798" s="6" t="str">
        <f>IFERROR(__xludf.DUMMYFUNCTION("""COMPUTED_VALUE"""),"T-20591-00")</f>
        <v>T-20591-00</v>
      </c>
      <c r="E2798" s="6" t="str">
        <f>IFERROR(__xludf.DUMMYFUNCTION("""COMPUTED_VALUE"""),"Kit, Performance PLUS seal pack rebuild; Waters; 700011783; 1 pieces / pack")</f>
        <v>Kit, Performance PLUS seal pack rebuild; Waters; 700011783; 1 pieces / pack</v>
      </c>
      <c r="F2798" s="6">
        <f>IFERROR(__xludf.DUMMYFUNCTION("""COMPUTED_VALUE"""),1.0)</f>
        <v>1</v>
      </c>
      <c r="G2798" s="6" t="str">
        <f>IFERROR(__xludf.DUMMYFUNCTION("""COMPUTED_VALUE"""),"Pieces")</f>
        <v>Pieces</v>
      </c>
      <c r="H2798" s="6" t="str">
        <f>IFERROR(__xludf.DUMMYFUNCTION("""COMPUTED_VALUE"""),"IDR")</f>
        <v>IDR</v>
      </c>
      <c r="I2798" s="11">
        <f>IFERROR(__xludf.DUMMYFUNCTION("""COMPUTED_VALUE"""),5107770.0)</f>
        <v>5107770</v>
      </c>
      <c r="J2798" s="11">
        <f>IFERROR(__xludf.DUMMYFUNCTION("""COMPUTED_VALUE"""),5107770.0)</f>
        <v>5107770</v>
      </c>
      <c r="K2798" s="57">
        <f>IFERROR(__xludf.DUMMYFUNCTION("""COMPUTED_VALUE"""),45293.0)</f>
        <v>45293</v>
      </c>
      <c r="L2798" s="6" t="str">
        <f>IFERROR(__xludf.DUMMYFUNCTION("""COMPUTED_VALUE"""),"FIP General")</f>
        <v>FIP General</v>
      </c>
      <c r="M2798" s="6" t="str">
        <f>IFERROR(__xludf.DUMMYFUNCTION("""COMPUTED_VALUE"""),"Mochammad Fadhillah Hakim")</f>
        <v>Mochammad Fadhillah Hakim</v>
      </c>
      <c r="N2798" s="6" t="str">
        <f>IFERROR(__xludf.DUMMYFUNCTION("""COMPUTED_VALUE"""),"FIP Engineering")</f>
        <v>FIP Engineering</v>
      </c>
      <c r="O2798" s="6" t="str">
        <f>IFERROR(__xludf.DUMMYFUNCTION("""COMPUTED_VALUE"""),"FIP-DOM-ENG-51505-0000000-INA-000000")</f>
        <v>FIP-DOM-ENG-51505-0000000-INA-000000</v>
      </c>
      <c r="P2798" s="6" t="str">
        <f>IFERROR(__xludf.DUMMYFUNCTION("""COMPUTED_VALUE"""),"PO Closed")</f>
        <v>PO Closed</v>
      </c>
      <c r="Q2798" s="6" t="str">
        <f>IFERROR(__xludf.DUMMYFUNCTION("""COMPUTED_VALUE"""),"GL2312329")</f>
        <v>GL2312329</v>
      </c>
      <c r="R2798" s="57">
        <f>IFERROR(__xludf.DUMMYFUNCTION("""COMPUTED_VALUE"""),45279.0)</f>
        <v>45279</v>
      </c>
      <c r="S2798" s="57">
        <f>IFERROR(__xludf.DUMMYFUNCTION("""COMPUTED_VALUE"""),45281.0)</f>
        <v>45281</v>
      </c>
      <c r="T2798" s="57">
        <f>IFERROR(__xludf.DUMMYFUNCTION("""COMPUTED_VALUE"""),45345.0)</f>
        <v>45345</v>
      </c>
    </row>
    <row r="2799">
      <c r="A2799" s="6" t="str">
        <f>IFERROR(__xludf.DUMMYFUNCTION("""COMPUTED_VALUE"""),"231751011-1")</f>
        <v>231751011-1</v>
      </c>
      <c r="B2799" s="6" t="str">
        <f>IFERROR(__xludf.DUMMYFUNCTION("""COMPUTED_VALUE"""),"231751011 - Approved")</f>
        <v>231751011 - Approved</v>
      </c>
      <c r="C2799" s="6">
        <f>IFERROR(__xludf.DUMMYFUNCTION("""COMPUTED_VALUE"""),1.0)</f>
        <v>1</v>
      </c>
      <c r="D2799" s="6" t="str">
        <f>IFERROR(__xludf.DUMMYFUNCTION("""COMPUTED_VALUE"""),"T-20105-00")</f>
        <v>T-20105-00</v>
      </c>
      <c r="E2799" s="6" t="str">
        <f>IFERROR(__xludf.DUMMYFUNCTION("""COMPUTED_VALUE"""),"900 Resin Bed for TOC Sievers; ; ;")</f>
        <v>900 Resin Bed for TOC Sievers; ; ;</v>
      </c>
      <c r="F2799" s="6">
        <f>IFERROR(__xludf.DUMMYFUNCTION("""COMPUTED_VALUE"""),1.0)</f>
        <v>1</v>
      </c>
      <c r="G2799" s="6" t="str">
        <f>IFERROR(__xludf.DUMMYFUNCTION("""COMPUTED_VALUE"""),"Pieces")</f>
        <v>Pieces</v>
      </c>
      <c r="H2799" s="6" t="str">
        <f>IFERROR(__xludf.DUMMYFUNCTION("""COMPUTED_VALUE"""),"IDR")</f>
        <v>IDR</v>
      </c>
      <c r="I2799" s="11">
        <f>IFERROR(__xludf.DUMMYFUNCTION("""COMPUTED_VALUE"""),1.0192056E7)</f>
        <v>10192056</v>
      </c>
      <c r="J2799" s="11">
        <f>IFERROR(__xludf.DUMMYFUNCTION("""COMPUTED_VALUE"""),1.0192056E7)</f>
        <v>10192056</v>
      </c>
      <c r="K2799" s="57">
        <f>IFERROR(__xludf.DUMMYFUNCTION("""COMPUTED_VALUE"""),45295.0)</f>
        <v>45295</v>
      </c>
      <c r="L2799" s="6" t="str">
        <f>IFERROR(__xludf.DUMMYFUNCTION("""COMPUTED_VALUE"""),"FIP General")</f>
        <v>FIP General</v>
      </c>
      <c r="M2799" s="6" t="str">
        <f>IFERROR(__xludf.DUMMYFUNCTION("""COMPUTED_VALUE"""),"Mochammad Fadhillah Hakim")</f>
        <v>Mochammad Fadhillah Hakim</v>
      </c>
      <c r="N2799" s="6" t="str">
        <f>IFERROR(__xludf.DUMMYFUNCTION("""COMPUTED_VALUE"""),"FIP Engineering")</f>
        <v>FIP Engineering</v>
      </c>
      <c r="O2799" s="6" t="str">
        <f>IFERROR(__xludf.DUMMYFUNCTION("""COMPUTED_VALUE"""),"FIP-DOM-ENG-51505-0000000-INA-000000")</f>
        <v>FIP-DOM-ENG-51505-0000000-INA-000000</v>
      </c>
      <c r="P2799" s="6" t="str">
        <f>IFERROR(__xludf.DUMMYFUNCTION("""COMPUTED_VALUE"""),"PO Closed")</f>
        <v>PO Closed</v>
      </c>
      <c r="Q2799" s="6" t="str">
        <f>IFERROR(__xludf.DUMMYFUNCTION("""COMPUTED_VALUE"""),"GL2312034")</f>
        <v>GL2312034</v>
      </c>
      <c r="R2799" s="57">
        <f>IFERROR(__xludf.DUMMYFUNCTION("""COMPUTED_VALUE"""),45281.0)</f>
        <v>45281</v>
      </c>
      <c r="S2799" s="57">
        <f>IFERROR(__xludf.DUMMYFUNCTION("""COMPUTED_VALUE"""),45281.0)</f>
        <v>45281</v>
      </c>
      <c r="T2799" s="57">
        <f>IFERROR(__xludf.DUMMYFUNCTION("""COMPUTED_VALUE"""),45303.0)</f>
        <v>45303</v>
      </c>
    </row>
    <row r="2800">
      <c r="A2800" s="6" t="str">
        <f>IFERROR(__xludf.DUMMYFUNCTION("""COMPUTED_VALUE"""),"231751019-1")</f>
        <v>231751019-1</v>
      </c>
      <c r="B2800" s="6" t="str">
        <f>IFERROR(__xludf.DUMMYFUNCTION("""COMPUTED_VALUE"""),"231751019 - Approved")</f>
        <v>231751019 - Approved</v>
      </c>
      <c r="C2800" s="6">
        <f>IFERROR(__xludf.DUMMYFUNCTION("""COMPUTED_VALUE"""),1.0)</f>
        <v>1</v>
      </c>
      <c r="D2800" s="6" t="str">
        <f>IFERROR(__xludf.DUMMYFUNCTION("""COMPUTED_VALUE"""),"O-54007-00")</f>
        <v>O-54007-00</v>
      </c>
      <c r="E2800" s="6" t="str">
        <f>IFERROR(__xludf.DUMMYFUNCTION("""COMPUTED_VALUE"""),"MCB 1 PHASE, SCHNEIDER ELECTRIC, IC60H 10Ka 16 AMPERE")</f>
        <v>MCB 1 PHASE, SCHNEIDER ELECTRIC, IC60H 10Ka 16 AMPERE</v>
      </c>
      <c r="F2800" s="6">
        <f>IFERROR(__xludf.DUMMYFUNCTION("""COMPUTED_VALUE"""),1.0)</f>
        <v>1</v>
      </c>
      <c r="G2800" s="6" t="str">
        <f>IFERROR(__xludf.DUMMYFUNCTION("""COMPUTED_VALUE"""),"Pieces")</f>
        <v>Pieces</v>
      </c>
      <c r="H2800" s="6" t="str">
        <f>IFERROR(__xludf.DUMMYFUNCTION("""COMPUTED_VALUE"""),"IDR")</f>
        <v>IDR</v>
      </c>
      <c r="I2800" s="11">
        <f>IFERROR(__xludf.DUMMYFUNCTION("""COMPUTED_VALUE"""),179550.0)</f>
        <v>179550</v>
      </c>
      <c r="J2800" s="11">
        <f>IFERROR(__xludf.DUMMYFUNCTION("""COMPUTED_VALUE"""),179550.0)</f>
        <v>179550</v>
      </c>
      <c r="K2800" s="57">
        <f>IFERROR(__xludf.DUMMYFUNCTION("""COMPUTED_VALUE"""),45296.0)</f>
        <v>45296</v>
      </c>
      <c r="L2800" s="6" t="str">
        <f>IFERROR(__xludf.DUMMYFUNCTION("""COMPUTED_VALUE"""),"FIP Engineering")</f>
        <v>FIP Engineering</v>
      </c>
      <c r="M2800" s="6" t="str">
        <f>IFERROR(__xludf.DUMMYFUNCTION("""COMPUTED_VALUE"""),"Mochammad Fadhillah Hakim")</f>
        <v>Mochammad Fadhillah Hakim</v>
      </c>
      <c r="N2800" s="6" t="str">
        <f>IFERROR(__xludf.DUMMYFUNCTION("""COMPUTED_VALUE"""),"FIP Engineering")</f>
        <v>FIP Engineering</v>
      </c>
      <c r="O2800" s="6" t="str">
        <f>IFERROR(__xludf.DUMMYFUNCTION("""COMPUTED_VALUE"""),"FIP-DOM-000-11304-OS00001-INA-000000")</f>
        <v>FIP-DOM-000-11304-OS00001-INA-000000</v>
      </c>
      <c r="P2800" s="6" t="str">
        <f>IFERROR(__xludf.DUMMYFUNCTION("""COMPUTED_VALUE"""),"PO Closed")</f>
        <v>PO Closed</v>
      </c>
      <c r="Q2800" s="6" t="str">
        <f>IFERROR(__xludf.DUMMYFUNCTION("""COMPUTED_VALUE"""),"GL2401007")</f>
        <v>GL2401007</v>
      </c>
      <c r="R2800" s="57">
        <f>IFERROR(__xludf.DUMMYFUNCTION("""COMPUTED_VALUE"""),45282.0)</f>
        <v>45282</v>
      </c>
      <c r="S2800" s="57">
        <f>IFERROR(__xludf.DUMMYFUNCTION("""COMPUTED_VALUE"""),45286.0)</f>
        <v>45286</v>
      </c>
      <c r="T2800" s="57">
        <f>IFERROR(__xludf.DUMMYFUNCTION("""COMPUTED_VALUE"""),45322.0)</f>
        <v>45322</v>
      </c>
    </row>
    <row r="2801">
      <c r="A2801" s="6" t="str">
        <f>IFERROR(__xludf.DUMMYFUNCTION("""COMPUTED_VALUE"""),"231751019-2")</f>
        <v>231751019-2</v>
      </c>
      <c r="B2801" s="6" t="str">
        <f>IFERROR(__xludf.DUMMYFUNCTION("""COMPUTED_VALUE"""),"231751019 - Approved")</f>
        <v>231751019 - Approved</v>
      </c>
      <c r="C2801" s="6">
        <f>IFERROR(__xludf.DUMMYFUNCTION("""COMPUTED_VALUE"""),2.0)</f>
        <v>2</v>
      </c>
      <c r="D2801" s="6" t="str">
        <f>IFERROR(__xludf.DUMMYFUNCTION("""COMPUTED_VALUE"""),"P-52766-00")</f>
        <v>P-52766-00</v>
      </c>
      <c r="E2801" s="6" t="str">
        <f>IFERROR(__xludf.DUMMYFUNCTION("""COMPUTED_VALUE"""),"Drain Pump AC M1 Merk Value; ; -; 1 pcs")</f>
        <v>Drain Pump AC M1 Merk Value; ; -; 1 pcs</v>
      </c>
      <c r="F2801" s="6">
        <f>IFERROR(__xludf.DUMMYFUNCTION("""COMPUTED_VALUE"""),1.0)</f>
        <v>1</v>
      </c>
      <c r="G2801" s="6" t="str">
        <f>IFERROR(__xludf.DUMMYFUNCTION("""COMPUTED_VALUE"""),"Pieces")</f>
        <v>Pieces</v>
      </c>
      <c r="H2801" s="6" t="str">
        <f>IFERROR(__xludf.DUMMYFUNCTION("""COMPUTED_VALUE"""),"IDR")</f>
        <v>IDR</v>
      </c>
      <c r="I2801" s="11">
        <f>IFERROR(__xludf.DUMMYFUNCTION("""COMPUTED_VALUE"""),479000.0)</f>
        <v>479000</v>
      </c>
      <c r="J2801" s="11">
        <f>IFERROR(__xludf.DUMMYFUNCTION("""COMPUTED_VALUE"""),479000.0)</f>
        <v>479000</v>
      </c>
      <c r="K2801" s="57">
        <f>IFERROR(__xludf.DUMMYFUNCTION("""COMPUTED_VALUE"""),45296.0)</f>
        <v>45296</v>
      </c>
      <c r="L2801" s="6" t="str">
        <f>IFERROR(__xludf.DUMMYFUNCTION("""COMPUTED_VALUE"""),"FIP Engineering")</f>
        <v>FIP Engineering</v>
      </c>
      <c r="M2801" s="6" t="str">
        <f>IFERROR(__xludf.DUMMYFUNCTION("""COMPUTED_VALUE"""),"Mochammad Fadhillah Hakim")</f>
        <v>Mochammad Fadhillah Hakim</v>
      </c>
      <c r="N2801" s="6" t="str">
        <f>IFERROR(__xludf.DUMMYFUNCTION("""COMPUTED_VALUE"""),"FIP Engineering")</f>
        <v>FIP Engineering</v>
      </c>
      <c r="O2801" s="6" t="str">
        <f>IFERROR(__xludf.DUMMYFUNCTION("""COMPUTED_VALUE"""),"FIP-DOM-000-11304-OS00001-INA-000000")</f>
        <v>FIP-DOM-000-11304-OS00001-INA-000000</v>
      </c>
      <c r="P2801" s="6" t="str">
        <f>IFERROR(__xludf.DUMMYFUNCTION("""COMPUTED_VALUE"""),"PO Closed")</f>
        <v>PO Closed</v>
      </c>
      <c r="Q2801" s="6" t="str">
        <f>IFERROR(__xludf.DUMMYFUNCTION("""COMPUTED_VALUE"""),"GL2401007")</f>
        <v>GL2401007</v>
      </c>
      <c r="R2801" s="57">
        <f>IFERROR(__xludf.DUMMYFUNCTION("""COMPUTED_VALUE"""),45282.0)</f>
        <v>45282</v>
      </c>
      <c r="S2801" s="57">
        <f>IFERROR(__xludf.DUMMYFUNCTION("""COMPUTED_VALUE"""),45286.0)</f>
        <v>45286</v>
      </c>
      <c r="T2801" s="57">
        <f>IFERROR(__xludf.DUMMYFUNCTION("""COMPUTED_VALUE"""),45322.0)</f>
        <v>45322</v>
      </c>
    </row>
    <row r="2802">
      <c r="A2802" s="6" t="str">
        <f>IFERROR(__xludf.DUMMYFUNCTION("""COMPUTED_VALUE"""),"231751028-1")</f>
        <v>231751028-1</v>
      </c>
      <c r="B2802" s="6" t="str">
        <f>IFERROR(__xludf.DUMMYFUNCTION("""COMPUTED_VALUE"""),"231751028 - Approved")</f>
        <v>231751028 - Approved</v>
      </c>
      <c r="C2802" s="6">
        <f>IFERROR(__xludf.DUMMYFUNCTION("""COMPUTED_VALUE"""),1.0)</f>
        <v>1</v>
      </c>
      <c r="D2802" s="6" t="str">
        <f>IFERROR(__xludf.DUMMYFUNCTION("""COMPUTED_VALUE"""),"O-14639-00")</f>
        <v>O-14639-00</v>
      </c>
      <c r="E2802" s="6" t="str">
        <f>IFERROR(__xludf.DUMMYFUNCTION("""COMPUTED_VALUE"""),"EPDM Gasket for Ferrule dia. 1/2")</f>
        <v>EPDM Gasket for Ferrule dia. 1/2</v>
      </c>
      <c r="F2802" s="6">
        <f>IFERROR(__xludf.DUMMYFUNCTION("""COMPUTED_VALUE"""),20.0)</f>
        <v>20</v>
      </c>
      <c r="G2802" s="6" t="str">
        <f>IFERROR(__xludf.DUMMYFUNCTION("""COMPUTED_VALUE"""),"Pieces")</f>
        <v>Pieces</v>
      </c>
      <c r="H2802" s="6" t="str">
        <f>IFERROR(__xludf.DUMMYFUNCTION("""COMPUTED_VALUE"""),"IDR")</f>
        <v>IDR</v>
      </c>
      <c r="I2802" s="11">
        <f>IFERROR(__xludf.DUMMYFUNCTION("""COMPUTED_VALUE"""),8100.0)</f>
        <v>8100</v>
      </c>
      <c r="J2802" s="11">
        <f>IFERROR(__xludf.DUMMYFUNCTION("""COMPUTED_VALUE"""),162000.0)</f>
        <v>162000</v>
      </c>
      <c r="K2802" s="57">
        <f>IFERROR(__xludf.DUMMYFUNCTION("""COMPUTED_VALUE"""),45300.0)</f>
        <v>45300</v>
      </c>
      <c r="L2802" s="6" t="str">
        <f>IFERROR(__xludf.DUMMYFUNCTION("""COMPUTED_VALUE"""),"FIP Engineering")</f>
        <v>FIP Engineering</v>
      </c>
      <c r="M2802" s="6" t="str">
        <f>IFERROR(__xludf.DUMMYFUNCTION("""COMPUTED_VALUE"""),"Mochammad Fadhillah Hakim")</f>
        <v>Mochammad Fadhillah Hakim</v>
      </c>
      <c r="N2802" s="6" t="str">
        <f>IFERROR(__xludf.DUMMYFUNCTION("""COMPUTED_VALUE"""),"FIP Engineering")</f>
        <v>FIP Engineering</v>
      </c>
      <c r="O2802" s="6" t="str">
        <f>IFERROR(__xludf.DUMMYFUNCTION("""COMPUTED_VALUE"""),"FIP-DOM-000-11304-OS00001-INA-000000")</f>
        <v>FIP-DOM-000-11304-OS00001-INA-000000</v>
      </c>
      <c r="P2802" s="6" t="str">
        <f>IFERROR(__xludf.DUMMYFUNCTION("""COMPUTED_VALUE"""),"PO Closed")</f>
        <v>PO Closed</v>
      </c>
      <c r="Q2802" s="6" t="str">
        <f>IFERROR(__xludf.DUMMYFUNCTION("""COMPUTED_VALUE"""),"GL2402005")</f>
        <v>GL2402005</v>
      </c>
      <c r="R2802" s="57">
        <f>IFERROR(__xludf.DUMMYFUNCTION("""COMPUTED_VALUE"""),45286.0)</f>
        <v>45286</v>
      </c>
      <c r="S2802" s="57">
        <f>IFERROR(__xludf.DUMMYFUNCTION("""COMPUTED_VALUE"""),45287.0)</f>
        <v>45287</v>
      </c>
      <c r="T2802" s="57">
        <f>IFERROR(__xludf.DUMMYFUNCTION("""COMPUTED_VALUE"""),45350.0)</f>
        <v>45350</v>
      </c>
    </row>
    <row r="2803">
      <c r="A2803" s="6" t="str">
        <f>IFERROR(__xludf.DUMMYFUNCTION("""COMPUTED_VALUE"""),"231751028-2")</f>
        <v>231751028-2</v>
      </c>
      <c r="B2803" s="6" t="str">
        <f>IFERROR(__xludf.DUMMYFUNCTION("""COMPUTED_VALUE"""),"231751028 - Approved")</f>
        <v>231751028 - Approved</v>
      </c>
      <c r="C2803" s="6">
        <f>IFERROR(__xludf.DUMMYFUNCTION("""COMPUTED_VALUE"""),2.0)</f>
        <v>2</v>
      </c>
      <c r="D2803" s="6" t="str">
        <f>IFERROR(__xludf.DUMMYFUNCTION("""COMPUTED_VALUE"""),"P-13087-00")</f>
        <v>P-13087-00</v>
      </c>
      <c r="E2803" s="6" t="str">
        <f>IFERROR(__xludf.DUMMYFUNCTION("""COMPUTED_VALUE"""),"Fitting Bronze - Sock 1 5/8")</f>
        <v>Fitting Bronze - Sock 1 5/8</v>
      </c>
      <c r="F2803" s="6">
        <f>IFERROR(__xludf.DUMMYFUNCTION("""COMPUTED_VALUE"""),10.0)</f>
        <v>10</v>
      </c>
      <c r="G2803" s="6" t="str">
        <f>IFERROR(__xludf.DUMMYFUNCTION("""COMPUTED_VALUE"""),"Pieces")</f>
        <v>Pieces</v>
      </c>
      <c r="H2803" s="6" t="str">
        <f>IFERROR(__xludf.DUMMYFUNCTION("""COMPUTED_VALUE"""),"IDR")</f>
        <v>IDR</v>
      </c>
      <c r="I2803" s="11">
        <f>IFERROR(__xludf.DUMMYFUNCTION("""COMPUTED_VALUE"""),24000.0)</f>
        <v>24000</v>
      </c>
      <c r="J2803" s="11">
        <f>IFERROR(__xludf.DUMMYFUNCTION("""COMPUTED_VALUE"""),240000.0)</f>
        <v>240000</v>
      </c>
      <c r="K2803" s="57">
        <f>IFERROR(__xludf.DUMMYFUNCTION("""COMPUTED_VALUE"""),45300.0)</f>
        <v>45300</v>
      </c>
      <c r="L2803" s="6" t="str">
        <f>IFERROR(__xludf.DUMMYFUNCTION("""COMPUTED_VALUE"""),"FIP Engineering")</f>
        <v>FIP Engineering</v>
      </c>
      <c r="M2803" s="6" t="str">
        <f>IFERROR(__xludf.DUMMYFUNCTION("""COMPUTED_VALUE"""),"Mochammad Fadhillah Hakim")</f>
        <v>Mochammad Fadhillah Hakim</v>
      </c>
      <c r="N2803" s="6" t="str">
        <f>IFERROR(__xludf.DUMMYFUNCTION("""COMPUTED_VALUE"""),"FIP Engineering")</f>
        <v>FIP Engineering</v>
      </c>
      <c r="O2803" s="6" t="str">
        <f>IFERROR(__xludf.DUMMYFUNCTION("""COMPUTED_VALUE"""),"FIP-DOM-000-11304-OS00001-INA-000000")</f>
        <v>FIP-DOM-000-11304-OS00001-INA-000000</v>
      </c>
      <c r="P2803" s="6" t="str">
        <f>IFERROR(__xludf.DUMMYFUNCTION("""COMPUTED_VALUE"""),"PO Closed")</f>
        <v>PO Closed</v>
      </c>
      <c r="Q2803" s="6" t="str">
        <f>IFERROR(__xludf.DUMMYFUNCTION("""COMPUTED_VALUE"""),"GL2401039")</f>
        <v>GL2401039</v>
      </c>
      <c r="R2803" s="57">
        <f>IFERROR(__xludf.DUMMYFUNCTION("""COMPUTED_VALUE"""),45286.0)</f>
        <v>45286</v>
      </c>
      <c r="S2803" s="57">
        <f>IFERROR(__xludf.DUMMYFUNCTION("""COMPUTED_VALUE"""),45287.0)</f>
        <v>45287</v>
      </c>
      <c r="T2803" s="57">
        <f>IFERROR(__xludf.DUMMYFUNCTION("""COMPUTED_VALUE"""),45327.0)</f>
        <v>45327</v>
      </c>
    </row>
    <row r="2804">
      <c r="A2804" s="6" t="str">
        <f>IFERROR(__xludf.DUMMYFUNCTION("""COMPUTED_VALUE"""),"231751028-3")</f>
        <v>231751028-3</v>
      </c>
      <c r="B2804" s="6" t="str">
        <f>IFERROR(__xludf.DUMMYFUNCTION("""COMPUTED_VALUE"""),"231751028 - Approved")</f>
        <v>231751028 - Approved</v>
      </c>
      <c r="C2804" s="6">
        <f>IFERROR(__xludf.DUMMYFUNCTION("""COMPUTED_VALUE"""),3.0)</f>
        <v>3</v>
      </c>
      <c r="D2804" s="6" t="str">
        <f>IFERROR(__xludf.DUMMYFUNCTION("""COMPUTED_VALUE"""),"P-54214-00")</f>
        <v>P-54214-00</v>
      </c>
      <c r="E2804" s="6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F2804" s="6">
        <f>IFERROR(__xludf.DUMMYFUNCTION("""COMPUTED_VALUE"""),1.0)</f>
        <v>1</v>
      </c>
      <c r="G2804" s="6" t="str">
        <f>IFERROR(__xludf.DUMMYFUNCTION("""COMPUTED_VALUE"""),"Unit")</f>
        <v>Unit</v>
      </c>
      <c r="H2804" s="6" t="str">
        <f>IFERROR(__xludf.DUMMYFUNCTION("""COMPUTED_VALUE"""),"IDR")</f>
        <v>IDR</v>
      </c>
      <c r="I2804" s="11">
        <f>IFERROR(__xludf.DUMMYFUNCTION("""COMPUTED_VALUE"""),1.044E7)</f>
        <v>10440000</v>
      </c>
      <c r="J2804" s="11">
        <f>IFERROR(__xludf.DUMMYFUNCTION("""COMPUTED_VALUE"""),1.044E7)</f>
        <v>10440000</v>
      </c>
      <c r="K2804" s="57">
        <f>IFERROR(__xludf.DUMMYFUNCTION("""COMPUTED_VALUE"""),45300.0)</f>
        <v>45300</v>
      </c>
      <c r="L2804" s="6" t="str">
        <f>IFERROR(__xludf.DUMMYFUNCTION("""COMPUTED_VALUE"""),"FIP Engineering")</f>
        <v>FIP Engineering</v>
      </c>
      <c r="M2804" s="6" t="str">
        <f>IFERROR(__xludf.DUMMYFUNCTION("""COMPUTED_VALUE"""),"Mochammad Fadhillah Hakim")</f>
        <v>Mochammad Fadhillah Hakim</v>
      </c>
      <c r="N2804" s="6" t="str">
        <f>IFERROR(__xludf.DUMMYFUNCTION("""COMPUTED_VALUE"""),"FIP Engineering")</f>
        <v>FIP Engineering</v>
      </c>
      <c r="O2804" s="6" t="str">
        <f>IFERROR(__xludf.DUMMYFUNCTION("""COMPUTED_VALUE"""),"FIP-DOM-000-11304-OS00001-INA-000000")</f>
        <v>FIP-DOM-000-11304-OS00001-INA-000000</v>
      </c>
      <c r="P2804" s="6" t="str">
        <f>IFERROR(__xludf.DUMMYFUNCTION("""COMPUTED_VALUE"""),"PO Closed")</f>
        <v>PO Closed</v>
      </c>
      <c r="Q2804" s="6" t="str">
        <f>IFERROR(__xludf.DUMMYFUNCTION("""COMPUTED_VALUE"""),"GL2401039")</f>
        <v>GL2401039</v>
      </c>
      <c r="R2804" s="57">
        <f>IFERROR(__xludf.DUMMYFUNCTION("""COMPUTED_VALUE"""),45286.0)</f>
        <v>45286</v>
      </c>
      <c r="S2804" s="57">
        <f>IFERROR(__xludf.DUMMYFUNCTION("""COMPUTED_VALUE"""),45287.0)</f>
        <v>45287</v>
      </c>
      <c r="T2804" s="57">
        <f>IFERROR(__xludf.DUMMYFUNCTION("""COMPUTED_VALUE"""),45327.0)</f>
        <v>45327</v>
      </c>
    </row>
    <row r="2805">
      <c r="A2805" s="6" t="str">
        <f>IFERROR(__xludf.DUMMYFUNCTION("""COMPUTED_VALUE"""),"231751029-1")</f>
        <v>231751029-1</v>
      </c>
      <c r="B2805" s="6" t="str">
        <f>IFERROR(__xludf.DUMMYFUNCTION("""COMPUTED_VALUE"""),"231751029 - Approved")</f>
        <v>231751029 - Approved</v>
      </c>
      <c r="C2805" s="6">
        <f>IFERROR(__xludf.DUMMYFUNCTION("""COMPUTED_VALUE"""),1.0)</f>
        <v>1</v>
      </c>
      <c r="D2805" s="6" t="str">
        <f>IFERROR(__xludf.DUMMYFUNCTION("""COMPUTED_VALUE"""),"P-11391-00")</f>
        <v>P-11391-00</v>
      </c>
      <c r="E2805" s="6" t="str">
        <f>IFERROR(__xludf.DUMMYFUNCTION("""COMPUTED_VALUE"""),"Seal Ferrule EPDM 1.5"" (35 x 53 x 9)")</f>
        <v>Seal Ferrule EPDM 1.5" (35 x 53 x 9)</v>
      </c>
      <c r="F2805" s="6">
        <f>IFERROR(__xludf.DUMMYFUNCTION("""COMPUTED_VALUE"""),20.0)</f>
        <v>20</v>
      </c>
      <c r="G2805" s="6" t="str">
        <f>IFERROR(__xludf.DUMMYFUNCTION("""COMPUTED_VALUE"""),"Pieces")</f>
        <v>Pieces</v>
      </c>
      <c r="H2805" s="6" t="str">
        <f>IFERROR(__xludf.DUMMYFUNCTION("""COMPUTED_VALUE"""),"IDR")</f>
        <v>IDR</v>
      </c>
      <c r="I2805" s="11">
        <f>IFERROR(__xludf.DUMMYFUNCTION("""COMPUTED_VALUE"""),55800.0)</f>
        <v>55800</v>
      </c>
      <c r="J2805" s="11">
        <f>IFERROR(__xludf.DUMMYFUNCTION("""COMPUTED_VALUE"""),1116000.0)</f>
        <v>1116000</v>
      </c>
      <c r="K2805" s="57">
        <f>IFERROR(__xludf.DUMMYFUNCTION("""COMPUTED_VALUE"""),45300.0)</f>
        <v>45300</v>
      </c>
      <c r="L2805" s="6" t="str">
        <f>IFERROR(__xludf.DUMMYFUNCTION("""COMPUTED_VALUE"""),"FIP Engineering")</f>
        <v>FIP Engineering</v>
      </c>
      <c r="M2805" s="6" t="str">
        <f>IFERROR(__xludf.DUMMYFUNCTION("""COMPUTED_VALUE"""),"Mochammad Fadhillah Hakim")</f>
        <v>Mochammad Fadhillah Hakim</v>
      </c>
      <c r="N2805" s="6" t="str">
        <f>IFERROR(__xludf.DUMMYFUNCTION("""COMPUTED_VALUE"""),"FIP Engineering")</f>
        <v>FIP Engineering</v>
      </c>
      <c r="O2805" s="6" t="str">
        <f>IFERROR(__xludf.DUMMYFUNCTION("""COMPUTED_VALUE"""),"FIP-DOM-000-11304-OS00001-INA-000000")</f>
        <v>FIP-DOM-000-11304-OS00001-INA-000000</v>
      </c>
      <c r="P2805" s="6" t="str">
        <f>IFERROR(__xludf.DUMMYFUNCTION("""COMPUTED_VALUE"""),"PO Closed")</f>
        <v>PO Closed</v>
      </c>
      <c r="Q2805" s="6" t="str">
        <f>IFERROR(__xludf.DUMMYFUNCTION("""COMPUTED_VALUE"""),"GL2402005")</f>
        <v>GL2402005</v>
      </c>
      <c r="R2805" s="57">
        <f>IFERROR(__xludf.DUMMYFUNCTION("""COMPUTED_VALUE"""),45286.0)</f>
        <v>45286</v>
      </c>
      <c r="S2805" s="57">
        <f>IFERROR(__xludf.DUMMYFUNCTION("""COMPUTED_VALUE"""),45287.0)</f>
        <v>45287</v>
      </c>
      <c r="T2805" s="57">
        <f>IFERROR(__xludf.DUMMYFUNCTION("""COMPUTED_VALUE"""),45350.0)</f>
        <v>45350</v>
      </c>
    </row>
    <row r="2806">
      <c r="A2806" s="6" t="str">
        <f>IFERROR(__xludf.DUMMYFUNCTION("""COMPUTED_VALUE"""),"231751029-2")</f>
        <v>231751029-2</v>
      </c>
      <c r="B2806" s="6" t="str">
        <f>IFERROR(__xludf.DUMMYFUNCTION("""COMPUTED_VALUE"""),"231751029 - Approved")</f>
        <v>231751029 - Approved</v>
      </c>
      <c r="C2806" s="6">
        <f>IFERROR(__xludf.DUMMYFUNCTION("""COMPUTED_VALUE"""),2.0)</f>
        <v>2</v>
      </c>
      <c r="D2806" s="6" t="str">
        <f>IFERROR(__xludf.DUMMYFUNCTION("""COMPUTED_VALUE"""),"P-11393-00")</f>
        <v>P-11393-00</v>
      </c>
      <c r="E2806" s="6" t="str">
        <f>IFERROR(__xludf.DUMMYFUNCTION("""COMPUTED_VALUE"""),"Seal Ferrule EPDM 3""")</f>
        <v>Seal Ferrule EPDM 3"</v>
      </c>
      <c r="F2806" s="6">
        <f>IFERROR(__xludf.DUMMYFUNCTION("""COMPUTED_VALUE"""),5.0)</f>
        <v>5</v>
      </c>
      <c r="G2806" s="6" t="str">
        <f>IFERROR(__xludf.DUMMYFUNCTION("""COMPUTED_VALUE"""),"Pieces")</f>
        <v>Pieces</v>
      </c>
      <c r="H2806" s="6" t="str">
        <f>IFERROR(__xludf.DUMMYFUNCTION("""COMPUTED_VALUE"""),"IDR")</f>
        <v>IDR</v>
      </c>
      <c r="I2806" s="11">
        <f>IFERROR(__xludf.DUMMYFUNCTION("""COMPUTED_VALUE"""),140250.0)</f>
        <v>140250</v>
      </c>
      <c r="J2806" s="11">
        <f>IFERROR(__xludf.DUMMYFUNCTION("""COMPUTED_VALUE"""),701250.0)</f>
        <v>701250</v>
      </c>
      <c r="K2806" s="57">
        <f>IFERROR(__xludf.DUMMYFUNCTION("""COMPUTED_VALUE"""),45300.0)</f>
        <v>45300</v>
      </c>
      <c r="L2806" s="6" t="str">
        <f>IFERROR(__xludf.DUMMYFUNCTION("""COMPUTED_VALUE"""),"FIP Engineering")</f>
        <v>FIP Engineering</v>
      </c>
      <c r="M2806" s="6" t="str">
        <f>IFERROR(__xludf.DUMMYFUNCTION("""COMPUTED_VALUE"""),"Mochammad Fadhillah Hakim")</f>
        <v>Mochammad Fadhillah Hakim</v>
      </c>
      <c r="N2806" s="6" t="str">
        <f>IFERROR(__xludf.DUMMYFUNCTION("""COMPUTED_VALUE"""),"FIP Engineering")</f>
        <v>FIP Engineering</v>
      </c>
      <c r="O2806" s="6" t="str">
        <f>IFERROR(__xludf.DUMMYFUNCTION("""COMPUTED_VALUE"""),"FIP-DOM-000-11304-OS00001-INA-000000")</f>
        <v>FIP-DOM-000-11304-OS00001-INA-000000</v>
      </c>
      <c r="P2806" s="6" t="str">
        <f>IFERROR(__xludf.DUMMYFUNCTION("""COMPUTED_VALUE"""),"PO Closed")</f>
        <v>PO Closed</v>
      </c>
      <c r="Q2806" s="6" t="str">
        <f>IFERROR(__xludf.DUMMYFUNCTION("""COMPUTED_VALUE"""),"GL2402005")</f>
        <v>GL2402005</v>
      </c>
      <c r="R2806" s="57">
        <f>IFERROR(__xludf.DUMMYFUNCTION("""COMPUTED_VALUE"""),45286.0)</f>
        <v>45286</v>
      </c>
      <c r="S2806" s="57">
        <f>IFERROR(__xludf.DUMMYFUNCTION("""COMPUTED_VALUE"""),45287.0)</f>
        <v>45287</v>
      </c>
      <c r="T2806" s="57">
        <f>IFERROR(__xludf.DUMMYFUNCTION("""COMPUTED_VALUE"""),45350.0)</f>
        <v>45350</v>
      </c>
    </row>
    <row r="2807">
      <c r="A2807" s="6" t="str">
        <f>IFERROR(__xludf.DUMMYFUNCTION("""COMPUTED_VALUE"""),"231751031-1")</f>
        <v>231751031-1</v>
      </c>
      <c r="B2807" s="6" t="str">
        <f>IFERROR(__xludf.DUMMYFUNCTION("""COMPUTED_VALUE"""),"231751031 - Approved")</f>
        <v>231751031 - Approved</v>
      </c>
      <c r="C2807" s="6">
        <f>IFERROR(__xludf.DUMMYFUNCTION("""COMPUTED_VALUE"""),1.0)</f>
        <v>1</v>
      </c>
      <c r="D2807" s="6" t="str">
        <f>IFERROR(__xludf.DUMMYFUNCTION("""COMPUTED_VALUE"""),"T-25417-00")</f>
        <v>T-25417-00</v>
      </c>
      <c r="E2807" s="6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F2807" s="6">
        <f>IFERROR(__xludf.DUMMYFUNCTION("""COMPUTED_VALUE"""),1.0)</f>
        <v>1</v>
      </c>
      <c r="G2807" s="6" t="str">
        <f>IFERROR(__xludf.DUMMYFUNCTION("""COMPUTED_VALUE"""),"Pieces")</f>
        <v>Pieces</v>
      </c>
      <c r="H2807" s="6" t="str">
        <f>IFERROR(__xludf.DUMMYFUNCTION("""COMPUTED_VALUE"""),"IDR")</f>
        <v>IDR</v>
      </c>
      <c r="I2807" s="11">
        <f>IFERROR(__xludf.DUMMYFUNCTION("""COMPUTED_VALUE"""),7565850.0)</f>
        <v>7565850</v>
      </c>
      <c r="J2807" s="11">
        <f>IFERROR(__xludf.DUMMYFUNCTION("""COMPUTED_VALUE"""),7565850.0)</f>
        <v>7565850</v>
      </c>
      <c r="K2807" s="57">
        <f>IFERROR(__xludf.DUMMYFUNCTION("""COMPUTED_VALUE"""),45301.0)</f>
        <v>45301</v>
      </c>
      <c r="L2807" s="6" t="str">
        <f>IFERROR(__xludf.DUMMYFUNCTION("""COMPUTED_VALUE"""),"FIP General")</f>
        <v>FIP General</v>
      </c>
      <c r="M2807" s="6" t="str">
        <f>IFERROR(__xludf.DUMMYFUNCTION("""COMPUTED_VALUE"""),"Mochammad Fadhillah Hakim")</f>
        <v>Mochammad Fadhillah Hakim</v>
      </c>
      <c r="N2807" s="6" t="str">
        <f>IFERROR(__xludf.DUMMYFUNCTION("""COMPUTED_VALUE"""),"FIP Engineering")</f>
        <v>FIP Engineering</v>
      </c>
      <c r="O2807" s="6" t="str">
        <f>IFERROR(__xludf.DUMMYFUNCTION("""COMPUTED_VALUE"""),"FIP-DOM-ENG-51505-0000000-INA-000000")</f>
        <v>FIP-DOM-ENG-51505-0000000-INA-000000</v>
      </c>
      <c r="P2807" s="6" t="str">
        <f>IFERROR(__xludf.DUMMYFUNCTION("""COMPUTED_VALUE"""),"PO Closed")</f>
        <v>PO Closed</v>
      </c>
      <c r="Q2807" s="6" t="str">
        <f>IFERROR(__xludf.DUMMYFUNCTION("""COMPUTED_VALUE"""),"GL2401023")</f>
        <v>GL2401023</v>
      </c>
      <c r="R2807" s="57">
        <f>IFERROR(__xludf.DUMMYFUNCTION("""COMPUTED_VALUE"""),45287.0)</f>
        <v>45287</v>
      </c>
      <c r="S2807" s="57">
        <f>IFERROR(__xludf.DUMMYFUNCTION("""COMPUTED_VALUE"""),45287.0)</f>
        <v>45287</v>
      </c>
      <c r="T2807" s="57">
        <f>IFERROR(__xludf.DUMMYFUNCTION("""COMPUTED_VALUE"""),45366.0)</f>
        <v>45366</v>
      </c>
    </row>
    <row r="2808">
      <c r="A2808" s="6" t="str">
        <f>IFERROR(__xludf.DUMMYFUNCTION("""COMPUTED_VALUE"""),"231751032-1")</f>
        <v>231751032-1</v>
      </c>
      <c r="B2808" s="6" t="str">
        <f>IFERROR(__xludf.DUMMYFUNCTION("""COMPUTED_VALUE"""),"231751032 - Approved")</f>
        <v>231751032 - Approved</v>
      </c>
      <c r="C2808" s="6">
        <f>IFERROR(__xludf.DUMMYFUNCTION("""COMPUTED_VALUE"""),1.0)</f>
        <v>1</v>
      </c>
      <c r="D2808" s="6" t="str">
        <f>IFERROR(__xludf.DUMMYFUNCTION("""COMPUTED_VALUE"""),"T-20146-00")</f>
        <v>T-20146-00</v>
      </c>
      <c r="E2808" s="6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F2808" s="6">
        <f>IFERROR(__xludf.DUMMYFUNCTION("""COMPUTED_VALUE"""),1.0)</f>
        <v>1</v>
      </c>
      <c r="G2808" s="6" t="str">
        <f>IFERROR(__xludf.DUMMYFUNCTION("""COMPUTED_VALUE"""),"Pieces")</f>
        <v>Pieces</v>
      </c>
      <c r="H2808" s="6" t="str">
        <f>IFERROR(__xludf.DUMMYFUNCTION("""COMPUTED_VALUE"""),"IDR")</f>
        <v>IDR</v>
      </c>
      <c r="I2808" s="11">
        <f>IFERROR(__xludf.DUMMYFUNCTION("""COMPUTED_VALUE"""),1804000.0)</f>
        <v>1804000</v>
      </c>
      <c r="J2808" s="11">
        <f>IFERROR(__xludf.DUMMYFUNCTION("""COMPUTED_VALUE"""),1804000.0)</f>
        <v>1804000</v>
      </c>
      <c r="K2808" s="57">
        <f>IFERROR(__xludf.DUMMYFUNCTION("""COMPUTED_VALUE"""),45301.0)</f>
        <v>45301</v>
      </c>
      <c r="L2808" s="6" t="str">
        <f>IFERROR(__xludf.DUMMYFUNCTION("""COMPUTED_VALUE"""),"FIP Engineering")</f>
        <v>FIP Engineering</v>
      </c>
      <c r="M2808" s="6" t="str">
        <f>IFERROR(__xludf.DUMMYFUNCTION("""COMPUTED_VALUE"""),"Mochammad Fadhillah Hakim")</f>
        <v>Mochammad Fadhillah Hakim</v>
      </c>
      <c r="N2808" s="6" t="str">
        <f>IFERROR(__xludf.DUMMYFUNCTION("""COMPUTED_VALUE"""),"FIP Engineering")</f>
        <v>FIP Engineering</v>
      </c>
      <c r="O2808" s="6" t="str">
        <f>IFERROR(__xludf.DUMMYFUNCTION("""COMPUTED_VALUE"""),"FIP-DOM-000-11304-OS00001-INA-000000")</f>
        <v>FIP-DOM-000-11304-OS00001-INA-000000</v>
      </c>
      <c r="P2808" s="6" t="str">
        <f>IFERROR(__xludf.DUMMYFUNCTION("""COMPUTED_VALUE"""),"PO Closed")</f>
        <v>PO Closed</v>
      </c>
      <c r="Q2808" s="6" t="str">
        <f>IFERROR(__xludf.DUMMYFUNCTION("""COMPUTED_VALUE"""),"GL2401023")</f>
        <v>GL2401023</v>
      </c>
      <c r="R2808" s="57">
        <f>IFERROR(__xludf.DUMMYFUNCTION("""COMPUTED_VALUE"""),45287.0)</f>
        <v>45287</v>
      </c>
      <c r="S2808" s="57">
        <f>IFERROR(__xludf.DUMMYFUNCTION("""COMPUTED_VALUE"""),45287.0)</f>
        <v>45287</v>
      </c>
      <c r="T2808" s="57">
        <f>IFERROR(__xludf.DUMMYFUNCTION("""COMPUTED_VALUE"""),45366.0)</f>
        <v>45366</v>
      </c>
    </row>
    <row r="2809">
      <c r="A2809" s="6" t="str">
        <f>IFERROR(__xludf.DUMMYFUNCTION("""COMPUTED_VALUE"""),"231751036-1")</f>
        <v>231751036-1</v>
      </c>
      <c r="B2809" s="6" t="str">
        <f>IFERROR(__xludf.DUMMYFUNCTION("""COMPUTED_VALUE"""),"231751036 - Approved")</f>
        <v>231751036 - Approved</v>
      </c>
      <c r="C2809" s="6">
        <f>IFERROR(__xludf.DUMMYFUNCTION("""COMPUTED_VALUE"""),1.0)</f>
        <v>1</v>
      </c>
      <c r="D2809" s="6" t="str">
        <f>IFERROR(__xludf.DUMMYFUNCTION("""COMPUTED_VALUE"""),"O-16647-00")</f>
        <v>O-16647-00</v>
      </c>
      <c r="E2809" s="6" t="str">
        <f>IFERROR(__xludf.DUMMYFUNCTION("""COMPUTED_VALUE"""),"Washing RAR4 - Oring Silicone Merah 23x18x2.5 mm; ; ;")</f>
        <v>Washing RAR4 - Oring Silicone Merah 23x18x2.5 mm; ; ;</v>
      </c>
      <c r="F2809" s="6">
        <f>IFERROR(__xludf.DUMMYFUNCTION("""COMPUTED_VALUE"""),60.0)</f>
        <v>60</v>
      </c>
      <c r="G2809" s="6" t="str">
        <f>IFERROR(__xludf.DUMMYFUNCTION("""COMPUTED_VALUE"""),"Pieces")</f>
        <v>Pieces</v>
      </c>
      <c r="H2809" s="6" t="str">
        <f>IFERROR(__xludf.DUMMYFUNCTION("""COMPUTED_VALUE"""),"IDR")</f>
        <v>IDR</v>
      </c>
      <c r="I2809" s="11">
        <f>IFERROR(__xludf.DUMMYFUNCTION("""COMPUTED_VALUE"""),35000.0)</f>
        <v>35000</v>
      </c>
      <c r="J2809" s="11">
        <f>IFERROR(__xludf.DUMMYFUNCTION("""COMPUTED_VALUE"""),2100000.0)</f>
        <v>2100000</v>
      </c>
      <c r="K2809" s="57">
        <f>IFERROR(__xludf.DUMMYFUNCTION("""COMPUTED_VALUE"""),45301.0)</f>
        <v>45301</v>
      </c>
      <c r="L2809" s="6" t="str">
        <f>IFERROR(__xludf.DUMMYFUNCTION("""COMPUTED_VALUE"""),"FIP Engineering")</f>
        <v>FIP Engineering</v>
      </c>
      <c r="M2809" s="6" t="str">
        <f>IFERROR(__xludf.DUMMYFUNCTION("""COMPUTED_VALUE"""),"Mochammad Fadhillah Hakim")</f>
        <v>Mochammad Fadhillah Hakim</v>
      </c>
      <c r="N2809" s="6" t="str">
        <f>IFERROR(__xludf.DUMMYFUNCTION("""COMPUTED_VALUE"""),"FIP Engineering")</f>
        <v>FIP Engineering</v>
      </c>
      <c r="O2809" s="6" t="str">
        <f>IFERROR(__xludf.DUMMYFUNCTION("""COMPUTED_VALUE"""),"FIP-DOM-000-11304-OS00001-INA-000000")</f>
        <v>FIP-DOM-000-11304-OS00001-INA-000000</v>
      </c>
      <c r="P2809" s="6" t="str">
        <f>IFERROR(__xludf.DUMMYFUNCTION("""COMPUTED_VALUE"""),"PO Closed")</f>
        <v>PO Closed</v>
      </c>
      <c r="Q2809" s="6" t="str">
        <f>IFERROR(__xludf.DUMMYFUNCTION("""COMPUTED_VALUE"""),"GL2402012")</f>
        <v>GL2402012</v>
      </c>
      <c r="R2809" s="57">
        <f>IFERROR(__xludf.DUMMYFUNCTION("""COMPUTED_VALUE"""),45287.0)</f>
        <v>45287</v>
      </c>
      <c r="S2809" s="57">
        <f>IFERROR(__xludf.DUMMYFUNCTION("""COMPUTED_VALUE"""),45287.0)</f>
        <v>45287</v>
      </c>
      <c r="T2809" s="57">
        <f>IFERROR(__xludf.DUMMYFUNCTION("""COMPUTED_VALUE"""),45350.0)</f>
        <v>45350</v>
      </c>
    </row>
    <row r="2810">
      <c r="A2810" s="6" t="str">
        <f>IFERROR(__xludf.DUMMYFUNCTION("""COMPUTED_VALUE"""),"231751036-2")</f>
        <v>231751036-2</v>
      </c>
      <c r="B2810" s="6" t="str">
        <f>IFERROR(__xludf.DUMMYFUNCTION("""COMPUTED_VALUE"""),"231751036 - Approved")</f>
        <v>231751036 - Approved</v>
      </c>
      <c r="C2810" s="6">
        <f>IFERROR(__xludf.DUMMYFUNCTION("""COMPUTED_VALUE"""),2.0)</f>
        <v>2</v>
      </c>
      <c r="D2810" s="6" t="str">
        <f>IFERROR(__xludf.DUMMYFUNCTION("""COMPUTED_VALUE"""),"O-18504-00")</f>
        <v>O-18504-00</v>
      </c>
      <c r="E2810" s="6" t="str">
        <f>IFERROR(__xludf.DUMMYFUNCTION("""COMPUTED_VALUE"""),"Baut hexagonal ss M6x15mm+Mur+Ring; ; ;")</f>
        <v>Baut hexagonal ss M6x15mm+Mur+Ring; ; ;</v>
      </c>
      <c r="F2810" s="6">
        <f>IFERROR(__xludf.DUMMYFUNCTION("""COMPUTED_VALUE"""),100.0)</f>
        <v>100</v>
      </c>
      <c r="G2810" s="6" t="str">
        <f>IFERROR(__xludf.DUMMYFUNCTION("""COMPUTED_VALUE"""),"Set")</f>
        <v>Set</v>
      </c>
      <c r="H2810" s="6" t="str">
        <f>IFERROR(__xludf.DUMMYFUNCTION("""COMPUTED_VALUE"""),"IDR")</f>
        <v>IDR</v>
      </c>
      <c r="I2810" s="11">
        <f>IFERROR(__xludf.DUMMYFUNCTION("""COMPUTED_VALUE"""),1800.0)</f>
        <v>1800</v>
      </c>
      <c r="J2810" s="11">
        <f>IFERROR(__xludf.DUMMYFUNCTION("""COMPUTED_VALUE"""),180000.0)</f>
        <v>180000</v>
      </c>
      <c r="K2810" s="57">
        <f>IFERROR(__xludf.DUMMYFUNCTION("""COMPUTED_VALUE"""),45301.0)</f>
        <v>45301</v>
      </c>
      <c r="L2810" s="6" t="str">
        <f>IFERROR(__xludf.DUMMYFUNCTION("""COMPUTED_VALUE"""),"FIP Engineering")</f>
        <v>FIP Engineering</v>
      </c>
      <c r="M2810" s="6" t="str">
        <f>IFERROR(__xludf.DUMMYFUNCTION("""COMPUTED_VALUE"""),"Mochammad Fadhillah Hakim")</f>
        <v>Mochammad Fadhillah Hakim</v>
      </c>
      <c r="N2810" s="6" t="str">
        <f>IFERROR(__xludf.DUMMYFUNCTION("""COMPUTED_VALUE"""),"FIP Engineering")</f>
        <v>FIP Engineering</v>
      </c>
      <c r="O2810" s="6" t="str">
        <f>IFERROR(__xludf.DUMMYFUNCTION("""COMPUTED_VALUE"""),"FIP-DOM-000-11304-OS00001-INA-000000")</f>
        <v>FIP-DOM-000-11304-OS00001-INA-000000</v>
      </c>
      <c r="P2810" s="6" t="str">
        <f>IFERROR(__xludf.DUMMYFUNCTION("""COMPUTED_VALUE"""),"PO Closed")</f>
        <v>PO Closed</v>
      </c>
      <c r="Q2810" s="6" t="str">
        <f>IFERROR(__xludf.DUMMYFUNCTION("""COMPUTED_VALUE"""),"GL2402012")</f>
        <v>GL2402012</v>
      </c>
      <c r="R2810" s="57">
        <f>IFERROR(__xludf.DUMMYFUNCTION("""COMPUTED_VALUE"""),45287.0)</f>
        <v>45287</v>
      </c>
      <c r="S2810" s="57">
        <f>IFERROR(__xludf.DUMMYFUNCTION("""COMPUTED_VALUE"""),45287.0)</f>
        <v>45287</v>
      </c>
      <c r="T2810" s="57">
        <f>IFERROR(__xludf.DUMMYFUNCTION("""COMPUTED_VALUE"""),45350.0)</f>
        <v>45350</v>
      </c>
    </row>
    <row r="2811">
      <c r="A2811" s="6" t="str">
        <f>IFERROR(__xludf.DUMMYFUNCTION("""COMPUTED_VALUE"""),"231751036-3")</f>
        <v>231751036-3</v>
      </c>
      <c r="B2811" s="6" t="str">
        <f>IFERROR(__xludf.DUMMYFUNCTION("""COMPUTED_VALUE"""),"231751036 - Approved")</f>
        <v>231751036 - Approved</v>
      </c>
      <c r="C2811" s="6">
        <f>IFERROR(__xludf.DUMMYFUNCTION("""COMPUTED_VALUE"""),3.0)</f>
        <v>3</v>
      </c>
      <c r="D2811" s="6" t="str">
        <f>IFERROR(__xludf.DUMMYFUNCTION("""COMPUTED_VALUE"""),"P-53661-00")</f>
        <v>P-53661-00</v>
      </c>
      <c r="E2811" s="6" t="str">
        <f>IFERROR(__xludf.DUMMYFUNCTION("""COMPUTED_VALUE"""),"Heat Shrink dia. 4 mm Warna Hitam (1 roll = 100 mtr)")</f>
        <v>Heat Shrink dia. 4 mm Warna Hitam (1 roll = 100 mtr)</v>
      </c>
      <c r="F2811" s="6">
        <f>IFERROR(__xludf.DUMMYFUNCTION("""COMPUTED_VALUE"""),1.0)</f>
        <v>1</v>
      </c>
      <c r="G2811" s="6" t="str">
        <f>IFERROR(__xludf.DUMMYFUNCTION("""COMPUTED_VALUE"""),"Pieces")</f>
        <v>Pieces</v>
      </c>
      <c r="H2811" s="6" t="str">
        <f>IFERROR(__xludf.DUMMYFUNCTION("""COMPUTED_VALUE"""),"IDR")</f>
        <v>IDR</v>
      </c>
      <c r="I2811" s="11">
        <f>IFERROR(__xludf.DUMMYFUNCTION("""COMPUTED_VALUE"""),345000.0)</f>
        <v>345000</v>
      </c>
      <c r="J2811" s="11">
        <f>IFERROR(__xludf.DUMMYFUNCTION("""COMPUTED_VALUE"""),345000.0)</f>
        <v>345000</v>
      </c>
      <c r="K2811" s="57">
        <f>IFERROR(__xludf.DUMMYFUNCTION("""COMPUTED_VALUE"""),45301.0)</f>
        <v>45301</v>
      </c>
      <c r="L2811" s="6" t="str">
        <f>IFERROR(__xludf.DUMMYFUNCTION("""COMPUTED_VALUE"""),"FIP Engineering")</f>
        <v>FIP Engineering</v>
      </c>
      <c r="M2811" s="6" t="str">
        <f>IFERROR(__xludf.DUMMYFUNCTION("""COMPUTED_VALUE"""),"Mochammad Fadhillah Hakim")</f>
        <v>Mochammad Fadhillah Hakim</v>
      </c>
      <c r="N2811" s="6" t="str">
        <f>IFERROR(__xludf.DUMMYFUNCTION("""COMPUTED_VALUE"""),"FIP Engineering")</f>
        <v>FIP Engineering</v>
      </c>
      <c r="O2811" s="6" t="str">
        <f>IFERROR(__xludf.DUMMYFUNCTION("""COMPUTED_VALUE"""),"FIP-DOM-000-11304-OS00001-INA-000000")</f>
        <v>FIP-DOM-000-11304-OS00001-INA-000000</v>
      </c>
      <c r="P2811" s="6" t="str">
        <f>IFERROR(__xludf.DUMMYFUNCTION("""COMPUTED_VALUE"""),"PO Closed")</f>
        <v>PO Closed</v>
      </c>
      <c r="Q2811" s="6" t="str">
        <f>IFERROR(__xludf.DUMMYFUNCTION("""COMPUTED_VALUE"""),"GL2402012")</f>
        <v>GL2402012</v>
      </c>
      <c r="R2811" s="57">
        <f>IFERROR(__xludf.DUMMYFUNCTION("""COMPUTED_VALUE"""),45287.0)</f>
        <v>45287</v>
      </c>
      <c r="S2811" s="57">
        <f>IFERROR(__xludf.DUMMYFUNCTION("""COMPUTED_VALUE"""),45287.0)</f>
        <v>45287</v>
      </c>
      <c r="T2811" s="57">
        <f>IFERROR(__xludf.DUMMYFUNCTION("""COMPUTED_VALUE"""),45350.0)</f>
        <v>45350</v>
      </c>
    </row>
    <row r="2812">
      <c r="A2812" s="6" t="str">
        <f>IFERROR(__xludf.DUMMYFUNCTION("""COMPUTED_VALUE"""),"231751036-4")</f>
        <v>231751036-4</v>
      </c>
      <c r="B2812" s="6" t="str">
        <f>IFERROR(__xludf.DUMMYFUNCTION("""COMPUTED_VALUE"""),"231751036 - Approved")</f>
        <v>231751036 - Approved</v>
      </c>
      <c r="C2812" s="6">
        <f>IFERROR(__xludf.DUMMYFUNCTION("""COMPUTED_VALUE"""),4.0)</f>
        <v>4</v>
      </c>
      <c r="D2812" s="6" t="str">
        <f>IFERROR(__xludf.DUMMYFUNCTION("""COMPUTED_VALUE"""),"P-14269-00")</f>
        <v>P-14269-00</v>
      </c>
      <c r="E2812" s="6" t="str">
        <f>IFERROR(__xludf.DUMMYFUNCTION("""COMPUTED_VALUE"""),"Baut hexagonal SS M4x10mm+Mur+Ring; ; ;")</f>
        <v>Baut hexagonal SS M4x10mm+Mur+Ring; ; ;</v>
      </c>
      <c r="F2812" s="6">
        <f>IFERROR(__xludf.DUMMYFUNCTION("""COMPUTED_VALUE"""),100.0)</f>
        <v>100</v>
      </c>
      <c r="G2812" s="6" t="str">
        <f>IFERROR(__xludf.DUMMYFUNCTION("""COMPUTED_VALUE"""),"Pieces")</f>
        <v>Pieces</v>
      </c>
      <c r="H2812" s="6" t="str">
        <f>IFERROR(__xludf.DUMMYFUNCTION("""COMPUTED_VALUE"""),"IDR")</f>
        <v>IDR</v>
      </c>
      <c r="I2812" s="11">
        <f>IFERROR(__xludf.DUMMYFUNCTION("""COMPUTED_VALUE"""),2250.0)</f>
        <v>2250</v>
      </c>
      <c r="J2812" s="11">
        <f>IFERROR(__xludf.DUMMYFUNCTION("""COMPUTED_VALUE"""),225000.0)</f>
        <v>225000</v>
      </c>
      <c r="K2812" s="57">
        <f>IFERROR(__xludf.DUMMYFUNCTION("""COMPUTED_VALUE"""),45301.0)</f>
        <v>45301</v>
      </c>
      <c r="L2812" s="6" t="str">
        <f>IFERROR(__xludf.DUMMYFUNCTION("""COMPUTED_VALUE"""),"FIP Engineering")</f>
        <v>FIP Engineering</v>
      </c>
      <c r="M2812" s="6" t="str">
        <f>IFERROR(__xludf.DUMMYFUNCTION("""COMPUTED_VALUE"""),"Mochammad Fadhillah Hakim")</f>
        <v>Mochammad Fadhillah Hakim</v>
      </c>
      <c r="N2812" s="6" t="str">
        <f>IFERROR(__xludf.DUMMYFUNCTION("""COMPUTED_VALUE"""),"FIP Engineering")</f>
        <v>FIP Engineering</v>
      </c>
      <c r="O2812" s="6" t="str">
        <f>IFERROR(__xludf.DUMMYFUNCTION("""COMPUTED_VALUE"""),"FIP-DOM-000-11304-OS00001-INA-000000")</f>
        <v>FIP-DOM-000-11304-OS00001-INA-000000</v>
      </c>
      <c r="P2812" s="6" t="str">
        <f>IFERROR(__xludf.DUMMYFUNCTION("""COMPUTED_VALUE"""),"PO Closed")</f>
        <v>PO Closed</v>
      </c>
      <c r="Q2812" s="6" t="str">
        <f>IFERROR(__xludf.DUMMYFUNCTION("""COMPUTED_VALUE"""),"GL2402012")</f>
        <v>GL2402012</v>
      </c>
      <c r="R2812" s="57">
        <f>IFERROR(__xludf.DUMMYFUNCTION("""COMPUTED_VALUE"""),45287.0)</f>
        <v>45287</v>
      </c>
      <c r="S2812" s="57">
        <f>IFERROR(__xludf.DUMMYFUNCTION("""COMPUTED_VALUE"""),45287.0)</f>
        <v>45287</v>
      </c>
      <c r="T2812" s="57">
        <f>IFERROR(__xludf.DUMMYFUNCTION("""COMPUTED_VALUE"""),45350.0)</f>
        <v>45350</v>
      </c>
    </row>
    <row r="2813">
      <c r="A2813" s="6" t="str">
        <f>IFERROR(__xludf.DUMMYFUNCTION("""COMPUTED_VALUE"""),"231751036-5")</f>
        <v>231751036-5</v>
      </c>
      <c r="B2813" s="6" t="str">
        <f>IFERROR(__xludf.DUMMYFUNCTION("""COMPUTED_VALUE"""),"231751036 - Approved")</f>
        <v>231751036 - Approved</v>
      </c>
      <c r="C2813" s="6">
        <f>IFERROR(__xludf.DUMMYFUNCTION("""COMPUTED_VALUE"""),5.0)</f>
        <v>5</v>
      </c>
      <c r="D2813" s="6" t="str">
        <f>IFERROR(__xludf.DUMMYFUNCTION("""COMPUTED_VALUE"""),"P-14268-00")</f>
        <v>P-14268-00</v>
      </c>
      <c r="E2813" s="6" t="str">
        <f>IFERROR(__xludf.DUMMYFUNCTION("""COMPUTED_VALUE"""),"Baut hexagonal SS M4x20mm+Mur+Ring; ; ;")</f>
        <v>Baut hexagonal SS M4x20mm+Mur+Ring; ; ;</v>
      </c>
      <c r="F2813" s="6">
        <f>IFERROR(__xludf.DUMMYFUNCTION("""COMPUTED_VALUE"""),100.0)</f>
        <v>100</v>
      </c>
      <c r="G2813" s="6" t="str">
        <f>IFERROR(__xludf.DUMMYFUNCTION("""COMPUTED_VALUE"""),"Pieces")</f>
        <v>Pieces</v>
      </c>
      <c r="H2813" s="6" t="str">
        <f>IFERROR(__xludf.DUMMYFUNCTION("""COMPUTED_VALUE"""),"IDR")</f>
        <v>IDR</v>
      </c>
      <c r="I2813" s="11">
        <f>IFERROR(__xludf.DUMMYFUNCTION("""COMPUTED_VALUE"""),1750.0)</f>
        <v>1750</v>
      </c>
      <c r="J2813" s="11">
        <f>IFERROR(__xludf.DUMMYFUNCTION("""COMPUTED_VALUE"""),175000.0)</f>
        <v>175000</v>
      </c>
      <c r="K2813" s="57">
        <f>IFERROR(__xludf.DUMMYFUNCTION("""COMPUTED_VALUE"""),45301.0)</f>
        <v>45301</v>
      </c>
      <c r="L2813" s="6" t="str">
        <f>IFERROR(__xludf.DUMMYFUNCTION("""COMPUTED_VALUE"""),"FIP Engineering")</f>
        <v>FIP Engineering</v>
      </c>
      <c r="M2813" s="6" t="str">
        <f>IFERROR(__xludf.DUMMYFUNCTION("""COMPUTED_VALUE"""),"Mochammad Fadhillah Hakim")</f>
        <v>Mochammad Fadhillah Hakim</v>
      </c>
      <c r="N2813" s="6" t="str">
        <f>IFERROR(__xludf.DUMMYFUNCTION("""COMPUTED_VALUE"""),"FIP Engineering")</f>
        <v>FIP Engineering</v>
      </c>
      <c r="O2813" s="6" t="str">
        <f>IFERROR(__xludf.DUMMYFUNCTION("""COMPUTED_VALUE"""),"FIP-DOM-000-11304-OS00001-INA-000000")</f>
        <v>FIP-DOM-000-11304-OS00001-INA-000000</v>
      </c>
      <c r="P2813" s="6" t="str">
        <f>IFERROR(__xludf.DUMMYFUNCTION("""COMPUTED_VALUE"""),"PO Closed")</f>
        <v>PO Closed</v>
      </c>
      <c r="Q2813" s="6" t="str">
        <f>IFERROR(__xludf.DUMMYFUNCTION("""COMPUTED_VALUE"""),"GL2402012")</f>
        <v>GL2402012</v>
      </c>
      <c r="R2813" s="57">
        <f>IFERROR(__xludf.DUMMYFUNCTION("""COMPUTED_VALUE"""),45287.0)</f>
        <v>45287</v>
      </c>
      <c r="S2813" s="57">
        <f>IFERROR(__xludf.DUMMYFUNCTION("""COMPUTED_VALUE"""),45287.0)</f>
        <v>45287</v>
      </c>
      <c r="T2813" s="57">
        <f>IFERROR(__xludf.DUMMYFUNCTION("""COMPUTED_VALUE"""),45350.0)</f>
        <v>45350</v>
      </c>
    </row>
    <row r="2814">
      <c r="A2814" s="6" t="str">
        <f>IFERROR(__xludf.DUMMYFUNCTION("""COMPUTED_VALUE"""),"231751036-6")</f>
        <v>231751036-6</v>
      </c>
      <c r="B2814" s="6" t="str">
        <f>IFERROR(__xludf.DUMMYFUNCTION("""COMPUTED_VALUE"""),"231751036 - Approved")</f>
        <v>231751036 - Approved</v>
      </c>
      <c r="C2814" s="6">
        <f>IFERROR(__xludf.DUMMYFUNCTION("""COMPUTED_VALUE"""),6.0)</f>
        <v>6</v>
      </c>
      <c r="D2814" s="6" t="str">
        <f>IFERROR(__xludf.DUMMYFUNCTION("""COMPUTED_VALUE"""),"P-14519-00")</f>
        <v>P-14519-00</v>
      </c>
      <c r="E2814" s="6" t="str">
        <f>IFERROR(__xludf.DUMMYFUNCTION("""COMPUTED_VALUE"""),"Baut Hexagonal SS M8x30mm+Mur+Ring; ; ;")</f>
        <v>Baut Hexagonal SS M8x30mm+Mur+Ring; ; ;</v>
      </c>
      <c r="F2814" s="6">
        <f>IFERROR(__xludf.DUMMYFUNCTION("""COMPUTED_VALUE"""),100.0)</f>
        <v>100</v>
      </c>
      <c r="G2814" s="6" t="str">
        <f>IFERROR(__xludf.DUMMYFUNCTION("""COMPUTED_VALUE"""),"Pieces")</f>
        <v>Pieces</v>
      </c>
      <c r="H2814" s="6" t="str">
        <f>IFERROR(__xludf.DUMMYFUNCTION("""COMPUTED_VALUE"""),"IDR")</f>
        <v>IDR</v>
      </c>
      <c r="I2814" s="11">
        <f>IFERROR(__xludf.DUMMYFUNCTION("""COMPUTED_VALUE"""),4700.0)</f>
        <v>4700</v>
      </c>
      <c r="J2814" s="11">
        <f>IFERROR(__xludf.DUMMYFUNCTION("""COMPUTED_VALUE"""),470000.0)</f>
        <v>470000</v>
      </c>
      <c r="K2814" s="57">
        <f>IFERROR(__xludf.DUMMYFUNCTION("""COMPUTED_VALUE"""),45301.0)</f>
        <v>45301</v>
      </c>
      <c r="L2814" s="6" t="str">
        <f>IFERROR(__xludf.DUMMYFUNCTION("""COMPUTED_VALUE"""),"FIP Engineering")</f>
        <v>FIP Engineering</v>
      </c>
      <c r="M2814" s="6" t="str">
        <f>IFERROR(__xludf.DUMMYFUNCTION("""COMPUTED_VALUE"""),"Mochammad Fadhillah Hakim")</f>
        <v>Mochammad Fadhillah Hakim</v>
      </c>
      <c r="N2814" s="6" t="str">
        <f>IFERROR(__xludf.DUMMYFUNCTION("""COMPUTED_VALUE"""),"FIP Engineering")</f>
        <v>FIP Engineering</v>
      </c>
      <c r="O2814" s="6" t="str">
        <f>IFERROR(__xludf.DUMMYFUNCTION("""COMPUTED_VALUE"""),"FIP-DOM-000-11304-OS00001-INA-000000")</f>
        <v>FIP-DOM-000-11304-OS00001-INA-000000</v>
      </c>
      <c r="P2814" s="6" t="str">
        <f>IFERROR(__xludf.DUMMYFUNCTION("""COMPUTED_VALUE"""),"PO Closed")</f>
        <v>PO Closed</v>
      </c>
      <c r="Q2814" s="6" t="str">
        <f>IFERROR(__xludf.DUMMYFUNCTION("""COMPUTED_VALUE"""),"GL2402012")</f>
        <v>GL2402012</v>
      </c>
      <c r="R2814" s="57">
        <f>IFERROR(__xludf.DUMMYFUNCTION("""COMPUTED_VALUE"""),45287.0)</f>
        <v>45287</v>
      </c>
      <c r="S2814" s="57">
        <f>IFERROR(__xludf.DUMMYFUNCTION("""COMPUTED_VALUE"""),45287.0)</f>
        <v>45287</v>
      </c>
      <c r="T2814" s="57">
        <f>IFERROR(__xludf.DUMMYFUNCTION("""COMPUTED_VALUE"""),45350.0)</f>
        <v>45350</v>
      </c>
    </row>
    <row r="2815">
      <c r="A2815" s="6" t="str">
        <f>IFERROR(__xludf.DUMMYFUNCTION("""COMPUTED_VALUE"""),"231751036-7")</f>
        <v>231751036-7</v>
      </c>
      <c r="B2815" s="6" t="str">
        <f>IFERROR(__xludf.DUMMYFUNCTION("""COMPUTED_VALUE"""),"231751036 - Approved")</f>
        <v>231751036 - Approved</v>
      </c>
      <c r="C2815" s="6">
        <f>IFERROR(__xludf.DUMMYFUNCTION("""COMPUTED_VALUE"""),7.0)</f>
        <v>7</v>
      </c>
      <c r="D2815" s="6" t="str">
        <f>IFERROR(__xludf.DUMMYFUNCTION("""COMPUTED_VALUE"""),"P-14249-00")</f>
        <v>P-14249-00</v>
      </c>
      <c r="E2815" s="6" t="str">
        <f>IFERROR(__xludf.DUMMYFUNCTION("""COMPUTED_VALUE"""),"Baut SS L M4 x 30 mm + Mur + Ring; ; ;; ; ;")</f>
        <v>Baut SS L M4 x 30 mm + Mur + Ring; ; ;; ; ;</v>
      </c>
      <c r="F2815" s="6">
        <f>IFERROR(__xludf.DUMMYFUNCTION("""COMPUTED_VALUE"""),100.0)</f>
        <v>100</v>
      </c>
      <c r="G2815" s="6" t="str">
        <f>IFERROR(__xludf.DUMMYFUNCTION("""COMPUTED_VALUE"""),"Pieces")</f>
        <v>Pieces</v>
      </c>
      <c r="H2815" s="6" t="str">
        <f>IFERROR(__xludf.DUMMYFUNCTION("""COMPUTED_VALUE"""),"IDR")</f>
        <v>IDR</v>
      </c>
      <c r="I2815" s="11">
        <f>IFERROR(__xludf.DUMMYFUNCTION("""COMPUTED_VALUE"""),2250.0)</f>
        <v>2250</v>
      </c>
      <c r="J2815" s="11">
        <f>IFERROR(__xludf.DUMMYFUNCTION("""COMPUTED_VALUE"""),225000.0)</f>
        <v>225000</v>
      </c>
      <c r="K2815" s="57">
        <f>IFERROR(__xludf.DUMMYFUNCTION("""COMPUTED_VALUE"""),45301.0)</f>
        <v>45301</v>
      </c>
      <c r="L2815" s="6" t="str">
        <f>IFERROR(__xludf.DUMMYFUNCTION("""COMPUTED_VALUE"""),"FIP Engineering")</f>
        <v>FIP Engineering</v>
      </c>
      <c r="M2815" s="6" t="str">
        <f>IFERROR(__xludf.DUMMYFUNCTION("""COMPUTED_VALUE"""),"Mochammad Fadhillah Hakim")</f>
        <v>Mochammad Fadhillah Hakim</v>
      </c>
      <c r="N2815" s="6" t="str">
        <f>IFERROR(__xludf.DUMMYFUNCTION("""COMPUTED_VALUE"""),"FIP Engineering")</f>
        <v>FIP Engineering</v>
      </c>
      <c r="O2815" s="6" t="str">
        <f>IFERROR(__xludf.DUMMYFUNCTION("""COMPUTED_VALUE"""),"FIP-DOM-000-11304-OS00001-INA-000000")</f>
        <v>FIP-DOM-000-11304-OS00001-INA-000000</v>
      </c>
      <c r="P2815" s="6" t="str">
        <f>IFERROR(__xludf.DUMMYFUNCTION("""COMPUTED_VALUE"""),"PO Closed")</f>
        <v>PO Closed</v>
      </c>
      <c r="Q2815" s="6" t="str">
        <f>IFERROR(__xludf.DUMMYFUNCTION("""COMPUTED_VALUE"""),"GL2402012")</f>
        <v>GL2402012</v>
      </c>
      <c r="R2815" s="57">
        <f>IFERROR(__xludf.DUMMYFUNCTION("""COMPUTED_VALUE"""),45287.0)</f>
        <v>45287</v>
      </c>
      <c r="S2815" s="57">
        <f>IFERROR(__xludf.DUMMYFUNCTION("""COMPUTED_VALUE"""),45287.0)</f>
        <v>45287</v>
      </c>
      <c r="T2815" s="57">
        <f>IFERROR(__xludf.DUMMYFUNCTION("""COMPUTED_VALUE"""),45350.0)</f>
        <v>45350</v>
      </c>
    </row>
    <row r="2816">
      <c r="A2816" s="6" t="str">
        <f>IFERROR(__xludf.DUMMYFUNCTION("""COMPUTED_VALUE"""),"231751036-8")</f>
        <v>231751036-8</v>
      </c>
      <c r="B2816" s="6" t="str">
        <f>IFERROR(__xludf.DUMMYFUNCTION("""COMPUTED_VALUE"""),"231751036 - Approved")</f>
        <v>231751036 - Approved</v>
      </c>
      <c r="C2816" s="6">
        <f>IFERROR(__xludf.DUMMYFUNCTION("""COMPUTED_VALUE"""),8.0)</f>
        <v>8</v>
      </c>
      <c r="D2816" s="6" t="str">
        <f>IFERROR(__xludf.DUMMYFUNCTION("""COMPUTED_VALUE"""),"P-14522-00")</f>
        <v>P-14522-00</v>
      </c>
      <c r="E2816" s="6" t="str">
        <f>IFERROR(__xludf.DUMMYFUNCTION("""COMPUTED_VALUE"""),"Dynabolt M12x60mm; ; ;")</f>
        <v>Dynabolt M12x60mm; ; ;</v>
      </c>
      <c r="F2816" s="6">
        <f>IFERROR(__xludf.DUMMYFUNCTION("""COMPUTED_VALUE"""),100.0)</f>
        <v>100</v>
      </c>
      <c r="G2816" s="6" t="str">
        <f>IFERROR(__xludf.DUMMYFUNCTION("""COMPUTED_VALUE"""),"Pieces")</f>
        <v>Pieces</v>
      </c>
      <c r="H2816" s="6" t="str">
        <f>IFERROR(__xludf.DUMMYFUNCTION("""COMPUTED_VALUE"""),"IDR")</f>
        <v>IDR</v>
      </c>
      <c r="I2816" s="11">
        <f>IFERROR(__xludf.DUMMYFUNCTION("""COMPUTED_VALUE"""),4000.0)</f>
        <v>4000</v>
      </c>
      <c r="J2816" s="11">
        <f>IFERROR(__xludf.DUMMYFUNCTION("""COMPUTED_VALUE"""),400000.0)</f>
        <v>400000</v>
      </c>
      <c r="K2816" s="57">
        <f>IFERROR(__xludf.DUMMYFUNCTION("""COMPUTED_VALUE"""),45301.0)</f>
        <v>45301</v>
      </c>
      <c r="L2816" s="6" t="str">
        <f>IFERROR(__xludf.DUMMYFUNCTION("""COMPUTED_VALUE"""),"FIP Engineering")</f>
        <v>FIP Engineering</v>
      </c>
      <c r="M2816" s="6" t="str">
        <f>IFERROR(__xludf.DUMMYFUNCTION("""COMPUTED_VALUE"""),"Mochammad Fadhillah Hakim")</f>
        <v>Mochammad Fadhillah Hakim</v>
      </c>
      <c r="N2816" s="6" t="str">
        <f>IFERROR(__xludf.DUMMYFUNCTION("""COMPUTED_VALUE"""),"FIP Engineering")</f>
        <v>FIP Engineering</v>
      </c>
      <c r="O2816" s="6" t="str">
        <f>IFERROR(__xludf.DUMMYFUNCTION("""COMPUTED_VALUE"""),"FIP-DOM-000-11304-OS00001-INA-000000")</f>
        <v>FIP-DOM-000-11304-OS00001-INA-000000</v>
      </c>
      <c r="P2816" s="6" t="str">
        <f>IFERROR(__xludf.DUMMYFUNCTION("""COMPUTED_VALUE"""),"PO Closed")</f>
        <v>PO Closed</v>
      </c>
      <c r="Q2816" s="6" t="str">
        <f>IFERROR(__xludf.DUMMYFUNCTION("""COMPUTED_VALUE"""),"GL2402012")</f>
        <v>GL2402012</v>
      </c>
      <c r="R2816" s="57">
        <f>IFERROR(__xludf.DUMMYFUNCTION("""COMPUTED_VALUE"""),45287.0)</f>
        <v>45287</v>
      </c>
      <c r="S2816" s="57">
        <f>IFERROR(__xludf.DUMMYFUNCTION("""COMPUTED_VALUE"""),45287.0)</f>
        <v>45287</v>
      </c>
      <c r="T2816" s="57">
        <f>IFERROR(__xludf.DUMMYFUNCTION("""COMPUTED_VALUE"""),45350.0)</f>
        <v>45350</v>
      </c>
    </row>
    <row r="2817">
      <c r="A2817" s="6" t="str">
        <f>IFERROR(__xludf.DUMMYFUNCTION("""COMPUTED_VALUE"""),"231751038-1")</f>
        <v>231751038-1</v>
      </c>
      <c r="B2817" s="6" t="str">
        <f>IFERROR(__xludf.DUMMYFUNCTION("""COMPUTED_VALUE"""),"231751038 - Approved")</f>
        <v>231751038 - Approved</v>
      </c>
      <c r="C2817" s="6">
        <f>IFERROR(__xludf.DUMMYFUNCTION("""COMPUTED_VALUE"""),1.0)</f>
        <v>1</v>
      </c>
      <c r="D2817" s="6" t="str">
        <f>IFERROR(__xludf.DUMMYFUNCTION("""COMPUTED_VALUE"""),"Q-10817-00")</f>
        <v>Q-10817-00</v>
      </c>
      <c r="E2817" s="6" t="str">
        <f>IFERROR(__xludf.DUMMYFUNCTION("""COMPUTED_VALUE"""),"Door Closer Type: TS77 Hold Open; DORMA; ;")</f>
        <v>Door Closer Type: TS77 Hold Open; DORMA; ;</v>
      </c>
      <c r="F2817" s="6">
        <f>IFERROR(__xludf.DUMMYFUNCTION("""COMPUTED_VALUE"""),5.0)</f>
        <v>5</v>
      </c>
      <c r="G2817" s="6" t="str">
        <f>IFERROR(__xludf.DUMMYFUNCTION("""COMPUTED_VALUE"""),"Pieces")</f>
        <v>Pieces</v>
      </c>
      <c r="H2817" s="6" t="str">
        <f>IFERROR(__xludf.DUMMYFUNCTION("""COMPUTED_VALUE"""),"IDR")</f>
        <v>IDR</v>
      </c>
      <c r="I2817" s="11">
        <f>IFERROR(__xludf.DUMMYFUNCTION("""COMPUTED_VALUE"""),450000.0)</f>
        <v>450000</v>
      </c>
      <c r="J2817" s="11">
        <f>IFERROR(__xludf.DUMMYFUNCTION("""COMPUTED_VALUE"""),2250000.0)</f>
        <v>2250000</v>
      </c>
      <c r="K2817" s="57">
        <f>IFERROR(__xludf.DUMMYFUNCTION("""COMPUTED_VALUE"""),45301.0)</f>
        <v>45301</v>
      </c>
      <c r="L2817" s="6" t="str">
        <f>IFERROR(__xludf.DUMMYFUNCTION("""COMPUTED_VALUE"""),"FIP Engineering")</f>
        <v>FIP Engineering</v>
      </c>
      <c r="M2817" s="6" t="str">
        <f>IFERROR(__xludf.DUMMYFUNCTION("""COMPUTED_VALUE"""),"Mochammad Fadhillah Hakim")</f>
        <v>Mochammad Fadhillah Hakim</v>
      </c>
      <c r="N2817" s="6" t="str">
        <f>IFERROR(__xludf.DUMMYFUNCTION("""COMPUTED_VALUE"""),"FIP Engineering")</f>
        <v>FIP Engineering</v>
      </c>
      <c r="O2817" s="6" t="str">
        <f>IFERROR(__xludf.DUMMYFUNCTION("""COMPUTED_VALUE"""),"FIP-DOM-000-11304-OS00001-INA-000000")</f>
        <v>FIP-DOM-000-11304-OS00001-INA-000000</v>
      </c>
      <c r="P2817" s="6" t="str">
        <f>IFERROR(__xludf.DUMMYFUNCTION("""COMPUTED_VALUE"""),"PO Closed")</f>
        <v>PO Closed</v>
      </c>
      <c r="Q2817" s="6" t="str">
        <f>IFERROR(__xludf.DUMMYFUNCTION("""COMPUTED_VALUE"""),"GL2401032")</f>
        <v>GL2401032</v>
      </c>
      <c r="R2817" s="57">
        <f>IFERROR(__xludf.DUMMYFUNCTION("""COMPUTED_VALUE"""),45287.0)</f>
        <v>45287</v>
      </c>
      <c r="S2817" s="57">
        <f>IFERROR(__xludf.DUMMYFUNCTION("""COMPUTED_VALUE"""),45287.0)</f>
        <v>45287</v>
      </c>
      <c r="T2817" s="57">
        <f>IFERROR(__xludf.DUMMYFUNCTION("""COMPUTED_VALUE"""),45324.0)</f>
        <v>45324</v>
      </c>
    </row>
    <row r="2818">
      <c r="A2818" s="6" t="str">
        <f>IFERROR(__xludf.DUMMYFUNCTION("""COMPUTED_VALUE"""),"231751038-2")</f>
        <v>231751038-2</v>
      </c>
      <c r="B2818" s="6" t="str">
        <f>IFERROR(__xludf.DUMMYFUNCTION("""COMPUTED_VALUE"""),"231751038 - Approved")</f>
        <v>231751038 - Approved</v>
      </c>
      <c r="C2818" s="6">
        <f>IFERROR(__xludf.DUMMYFUNCTION("""COMPUTED_VALUE"""),2.0)</f>
        <v>2</v>
      </c>
      <c r="D2818" s="6" t="str">
        <f>IFERROR(__xludf.DUMMYFUNCTION("""COMPUTED_VALUE"""),"P-52003-00")</f>
        <v>P-52003-00</v>
      </c>
      <c r="E2818" s="6" t="str">
        <f>IFERROR(__xludf.DUMMYFUNCTION("""COMPUTED_VALUE"""),"Klem Pipa Conduit Merk. Clipsal Warna Putih Uk. 20 mm; Clipsal; ; pack")</f>
        <v>Klem Pipa Conduit Merk. Clipsal Warna Putih Uk. 20 mm; Clipsal; ; pack</v>
      </c>
      <c r="F2818" s="6">
        <f>IFERROR(__xludf.DUMMYFUNCTION("""COMPUTED_VALUE"""),30.0)</f>
        <v>30</v>
      </c>
      <c r="G2818" s="6" t="str">
        <f>IFERROR(__xludf.DUMMYFUNCTION("""COMPUTED_VALUE"""),"Pack")</f>
        <v>Pack</v>
      </c>
      <c r="H2818" s="6" t="str">
        <f>IFERROR(__xludf.DUMMYFUNCTION("""COMPUTED_VALUE"""),"IDR")</f>
        <v>IDR</v>
      </c>
      <c r="I2818" s="6">
        <f>IFERROR(__xludf.DUMMYFUNCTION("""COMPUTED_VALUE"""),80.0)</f>
        <v>80</v>
      </c>
      <c r="J2818" s="11">
        <f>IFERROR(__xludf.DUMMYFUNCTION("""COMPUTED_VALUE"""),2400.0)</f>
        <v>2400</v>
      </c>
      <c r="K2818" s="57">
        <f>IFERROR(__xludf.DUMMYFUNCTION("""COMPUTED_VALUE"""),45301.0)</f>
        <v>45301</v>
      </c>
      <c r="L2818" s="6" t="str">
        <f>IFERROR(__xludf.DUMMYFUNCTION("""COMPUTED_VALUE"""),"FIP Engineering")</f>
        <v>FIP Engineering</v>
      </c>
      <c r="M2818" s="6" t="str">
        <f>IFERROR(__xludf.DUMMYFUNCTION("""COMPUTED_VALUE"""),"Mochammad Fadhillah Hakim")</f>
        <v>Mochammad Fadhillah Hakim</v>
      </c>
      <c r="N2818" s="6" t="str">
        <f>IFERROR(__xludf.DUMMYFUNCTION("""COMPUTED_VALUE"""),"FIP Engineering")</f>
        <v>FIP Engineering</v>
      </c>
      <c r="O2818" s="6" t="str">
        <f>IFERROR(__xludf.DUMMYFUNCTION("""COMPUTED_VALUE"""),"FIP-DOM-000-11304-OS00001-INA-000000")</f>
        <v>FIP-DOM-000-11304-OS00001-INA-000000</v>
      </c>
      <c r="P2818" s="6" t="str">
        <f>IFERROR(__xludf.DUMMYFUNCTION("""COMPUTED_VALUE"""),"PO Closed")</f>
        <v>PO Closed</v>
      </c>
      <c r="Q2818" s="6" t="str">
        <f>IFERROR(__xludf.DUMMYFUNCTION("""COMPUTED_VALUE"""),"GL2402057")</f>
        <v>GL2402057</v>
      </c>
      <c r="R2818" s="57">
        <f>IFERROR(__xludf.DUMMYFUNCTION("""COMPUTED_VALUE"""),45287.0)</f>
        <v>45287</v>
      </c>
      <c r="S2818" s="57">
        <f>IFERROR(__xludf.DUMMYFUNCTION("""COMPUTED_VALUE"""),45287.0)</f>
        <v>45287</v>
      </c>
      <c r="T2818" s="57">
        <f>IFERROR(__xludf.DUMMYFUNCTION("""COMPUTED_VALUE"""),45366.0)</f>
        <v>45366</v>
      </c>
    </row>
    <row r="2819">
      <c r="A2819" s="6" t="str">
        <f>IFERROR(__xludf.DUMMYFUNCTION("""COMPUTED_VALUE"""),"231751038-3")</f>
        <v>231751038-3</v>
      </c>
      <c r="B2819" s="6" t="str">
        <f>IFERROR(__xludf.DUMMYFUNCTION("""COMPUTED_VALUE"""),"231751038 - Approved")</f>
        <v>231751038 - Approved</v>
      </c>
      <c r="C2819" s="6">
        <f>IFERROR(__xludf.DUMMYFUNCTION("""COMPUTED_VALUE"""),3.0)</f>
        <v>3</v>
      </c>
      <c r="D2819" s="6" t="str">
        <f>IFERROR(__xludf.DUMMYFUNCTION("""COMPUTED_VALUE"""),"P-53209-00")</f>
        <v>P-53209-00</v>
      </c>
      <c r="E2819" s="6" t="str">
        <f>IFERROR(__xludf.DUMMYFUNCTION("""COMPUTED_VALUE"""),"CAPACITOR 3 uF, 220 V, 2 kutub; ; ;")</f>
        <v>CAPACITOR 3 uF, 220 V, 2 kutub; ; ;</v>
      </c>
      <c r="F2819" s="6">
        <f>IFERROR(__xludf.DUMMYFUNCTION("""COMPUTED_VALUE"""),7.0)</f>
        <v>7</v>
      </c>
      <c r="G2819" s="6" t="str">
        <f>IFERROR(__xludf.DUMMYFUNCTION("""COMPUTED_VALUE"""),"Pieces")</f>
        <v>Pieces</v>
      </c>
      <c r="H2819" s="6" t="str">
        <f>IFERROR(__xludf.DUMMYFUNCTION("""COMPUTED_VALUE"""),"IDR")</f>
        <v>IDR</v>
      </c>
      <c r="I2819" s="11">
        <f>IFERROR(__xludf.DUMMYFUNCTION("""COMPUTED_VALUE"""),20000.0)</f>
        <v>20000</v>
      </c>
      <c r="J2819" s="11">
        <f>IFERROR(__xludf.DUMMYFUNCTION("""COMPUTED_VALUE"""),140000.0)</f>
        <v>140000</v>
      </c>
      <c r="K2819" s="57">
        <f>IFERROR(__xludf.DUMMYFUNCTION("""COMPUTED_VALUE"""),45301.0)</f>
        <v>45301</v>
      </c>
      <c r="L2819" s="6" t="str">
        <f>IFERROR(__xludf.DUMMYFUNCTION("""COMPUTED_VALUE"""),"FIP Engineering")</f>
        <v>FIP Engineering</v>
      </c>
      <c r="M2819" s="6" t="str">
        <f>IFERROR(__xludf.DUMMYFUNCTION("""COMPUTED_VALUE"""),"Mochammad Fadhillah Hakim")</f>
        <v>Mochammad Fadhillah Hakim</v>
      </c>
      <c r="N2819" s="6" t="str">
        <f>IFERROR(__xludf.DUMMYFUNCTION("""COMPUTED_VALUE"""),"FIP Engineering")</f>
        <v>FIP Engineering</v>
      </c>
      <c r="O2819" s="6" t="str">
        <f>IFERROR(__xludf.DUMMYFUNCTION("""COMPUTED_VALUE"""),"FIP-DOM-000-11304-OS00001-INA-000000")</f>
        <v>FIP-DOM-000-11304-OS00001-INA-000000</v>
      </c>
      <c r="P2819" s="6" t="str">
        <f>IFERROR(__xludf.DUMMYFUNCTION("""COMPUTED_VALUE"""),"PO Closed")</f>
        <v>PO Closed</v>
      </c>
      <c r="Q2819" s="6" t="str">
        <f>IFERROR(__xludf.DUMMYFUNCTION("""COMPUTED_VALUE"""),"GL2402057")</f>
        <v>GL2402057</v>
      </c>
      <c r="R2819" s="57">
        <f>IFERROR(__xludf.DUMMYFUNCTION("""COMPUTED_VALUE"""),45287.0)</f>
        <v>45287</v>
      </c>
      <c r="S2819" s="57">
        <f>IFERROR(__xludf.DUMMYFUNCTION("""COMPUTED_VALUE"""),45287.0)</f>
        <v>45287</v>
      </c>
      <c r="T2819" s="57">
        <f>IFERROR(__xludf.DUMMYFUNCTION("""COMPUTED_VALUE"""),45366.0)</f>
        <v>45366</v>
      </c>
    </row>
    <row r="2820">
      <c r="A2820" s="6" t="str">
        <f>IFERROR(__xludf.DUMMYFUNCTION("""COMPUTED_VALUE"""),"231751039-1")</f>
        <v>231751039-1</v>
      </c>
      <c r="B2820" s="6" t="str">
        <f>IFERROR(__xludf.DUMMYFUNCTION("""COMPUTED_VALUE"""),"231751039 - Approved")</f>
        <v>231751039 - Approved</v>
      </c>
      <c r="C2820" s="6">
        <f>IFERROR(__xludf.DUMMYFUNCTION("""COMPUTED_VALUE"""),1.0)</f>
        <v>1</v>
      </c>
      <c r="D2820" s="6" t="str">
        <f>IFERROR(__xludf.DUMMYFUNCTION("""COMPUTED_VALUE"""),"P-10729-00")</f>
        <v>P-10729-00</v>
      </c>
      <c r="E2820" s="6" t="str">
        <f>IFERROR(__xludf.DUMMYFUNCTION("""COMPUTED_VALUE"""),"Contact cleaner WD 40, 382 gr ; Brand : - ; P/N : - ; Pack Size : pcs")</f>
        <v>Contact cleaner WD 40, 382 gr ; Brand : - ; P/N : - ; Pack Size : pcs</v>
      </c>
      <c r="F2820" s="6">
        <f>IFERROR(__xludf.DUMMYFUNCTION("""COMPUTED_VALUE"""),5.0)</f>
        <v>5</v>
      </c>
      <c r="G2820" s="6" t="str">
        <f>IFERROR(__xludf.DUMMYFUNCTION("""COMPUTED_VALUE"""),"Pieces")</f>
        <v>Pieces</v>
      </c>
      <c r="H2820" s="6" t="str">
        <f>IFERROR(__xludf.DUMMYFUNCTION("""COMPUTED_VALUE"""),"IDR")</f>
        <v>IDR</v>
      </c>
      <c r="I2820" s="11">
        <f>IFERROR(__xludf.DUMMYFUNCTION("""COMPUTED_VALUE"""),72000.0)</f>
        <v>72000</v>
      </c>
      <c r="J2820" s="11">
        <f>IFERROR(__xludf.DUMMYFUNCTION("""COMPUTED_VALUE"""),360000.0)</f>
        <v>360000</v>
      </c>
      <c r="K2820" s="57">
        <f>IFERROR(__xludf.DUMMYFUNCTION("""COMPUTED_VALUE"""),45302.0)</f>
        <v>45302</v>
      </c>
      <c r="L2820" s="6" t="str">
        <f>IFERROR(__xludf.DUMMYFUNCTION("""COMPUTED_VALUE"""),"FIP Engineering")</f>
        <v>FIP Engineering</v>
      </c>
      <c r="M2820" s="6" t="str">
        <f>IFERROR(__xludf.DUMMYFUNCTION("""COMPUTED_VALUE"""),"Mochammad Fadhillah Hakim")</f>
        <v>Mochammad Fadhillah Hakim</v>
      </c>
      <c r="N2820" s="6" t="str">
        <f>IFERROR(__xludf.DUMMYFUNCTION("""COMPUTED_VALUE"""),"FIP Engineering")</f>
        <v>FIP Engineering</v>
      </c>
      <c r="O2820" s="6" t="str">
        <f>IFERROR(__xludf.DUMMYFUNCTION("""COMPUTED_VALUE"""),"FIP-DOM-000-11304-OS00001-INA-000000")</f>
        <v>FIP-DOM-000-11304-OS00001-INA-000000</v>
      </c>
      <c r="P2820" s="6" t="str">
        <f>IFERROR(__xludf.DUMMYFUNCTION("""COMPUTED_VALUE"""),"PO Closed")</f>
        <v>PO Closed</v>
      </c>
      <c r="Q2820" s="6" t="str">
        <f>IFERROR(__xludf.DUMMYFUNCTION("""COMPUTED_VALUE"""),"GL2401014")</f>
        <v>GL2401014</v>
      </c>
      <c r="R2820" s="57">
        <f>IFERROR(__xludf.DUMMYFUNCTION("""COMPUTED_VALUE"""),45288.0)</f>
        <v>45288</v>
      </c>
      <c r="S2820" s="57">
        <f>IFERROR(__xludf.DUMMYFUNCTION("""COMPUTED_VALUE"""),45293.0)</f>
        <v>45293</v>
      </c>
      <c r="T2820" s="57">
        <f>IFERROR(__xludf.DUMMYFUNCTION("""COMPUTED_VALUE"""),45325.0)</f>
        <v>45325</v>
      </c>
    </row>
    <row r="2821">
      <c r="A2821" s="6" t="str">
        <f>IFERROR(__xludf.DUMMYFUNCTION("""COMPUTED_VALUE"""),"231751039-2")</f>
        <v>231751039-2</v>
      </c>
      <c r="B2821" s="6" t="str">
        <f>IFERROR(__xludf.DUMMYFUNCTION("""COMPUTED_VALUE"""),"231751039 - Approved")</f>
        <v>231751039 - Approved</v>
      </c>
      <c r="C2821" s="6">
        <f>IFERROR(__xludf.DUMMYFUNCTION("""COMPUTED_VALUE"""),2.0)</f>
        <v>2</v>
      </c>
      <c r="D2821" s="6" t="str">
        <f>IFERROR(__xludf.DUMMYFUNCTION("""COMPUTED_VALUE"""),"P-12764-00")</f>
        <v>P-12764-00</v>
      </c>
      <c r="E2821" s="6" t="str">
        <f>IFERROR(__xludf.DUMMYFUNCTION("""COMPUTED_VALUE"""),"Silicone gasket for ferrule dia 1/2inch Taiwan")</f>
        <v>Silicone gasket for ferrule dia 1/2inch Taiwan</v>
      </c>
      <c r="F2821" s="6">
        <f>IFERROR(__xludf.DUMMYFUNCTION("""COMPUTED_VALUE"""),20.0)</f>
        <v>20</v>
      </c>
      <c r="G2821" s="6" t="str">
        <f>IFERROR(__xludf.DUMMYFUNCTION("""COMPUTED_VALUE"""),"Pieces")</f>
        <v>Pieces</v>
      </c>
      <c r="H2821" s="6" t="str">
        <f>IFERROR(__xludf.DUMMYFUNCTION("""COMPUTED_VALUE"""),"IDR")</f>
        <v>IDR</v>
      </c>
      <c r="I2821" s="11">
        <f>IFERROR(__xludf.DUMMYFUNCTION("""COMPUTED_VALUE"""),8000.0)</f>
        <v>8000</v>
      </c>
      <c r="J2821" s="11">
        <f>IFERROR(__xludf.DUMMYFUNCTION("""COMPUTED_VALUE"""),160000.0)</f>
        <v>160000</v>
      </c>
      <c r="K2821" s="57">
        <f>IFERROR(__xludf.DUMMYFUNCTION("""COMPUTED_VALUE"""),45302.0)</f>
        <v>45302</v>
      </c>
      <c r="L2821" s="6" t="str">
        <f>IFERROR(__xludf.DUMMYFUNCTION("""COMPUTED_VALUE"""),"FIP Engineering")</f>
        <v>FIP Engineering</v>
      </c>
      <c r="M2821" s="6" t="str">
        <f>IFERROR(__xludf.DUMMYFUNCTION("""COMPUTED_VALUE"""),"Mochammad Fadhillah Hakim")</f>
        <v>Mochammad Fadhillah Hakim</v>
      </c>
      <c r="N2821" s="6" t="str">
        <f>IFERROR(__xludf.DUMMYFUNCTION("""COMPUTED_VALUE"""),"FIP Engineering")</f>
        <v>FIP Engineering</v>
      </c>
      <c r="O2821" s="6" t="str">
        <f>IFERROR(__xludf.DUMMYFUNCTION("""COMPUTED_VALUE"""),"FIP-DOM-000-11304-OS00001-INA-000000")</f>
        <v>FIP-DOM-000-11304-OS00001-INA-000000</v>
      </c>
      <c r="P2821" s="6" t="str">
        <f>IFERROR(__xludf.DUMMYFUNCTION("""COMPUTED_VALUE"""),"PO Closed")</f>
        <v>PO Closed</v>
      </c>
      <c r="Q2821" s="6" t="str">
        <f>IFERROR(__xludf.DUMMYFUNCTION("""COMPUTED_VALUE"""),"GL2402005")</f>
        <v>GL2402005</v>
      </c>
      <c r="R2821" s="57">
        <f>IFERROR(__xludf.DUMMYFUNCTION("""COMPUTED_VALUE"""),45288.0)</f>
        <v>45288</v>
      </c>
      <c r="S2821" s="57">
        <f>IFERROR(__xludf.DUMMYFUNCTION("""COMPUTED_VALUE"""),45293.0)</f>
        <v>45293</v>
      </c>
      <c r="T2821" s="57">
        <f>IFERROR(__xludf.DUMMYFUNCTION("""COMPUTED_VALUE"""),45350.0)</f>
        <v>45350</v>
      </c>
    </row>
    <row r="2822">
      <c r="A2822" s="6" t="str">
        <f>IFERROR(__xludf.DUMMYFUNCTION("""COMPUTED_VALUE"""),"231751039-3")</f>
        <v>231751039-3</v>
      </c>
      <c r="B2822" s="6" t="str">
        <f>IFERROR(__xludf.DUMMYFUNCTION("""COMPUTED_VALUE"""),"231751039 - Approved")</f>
        <v>231751039 - Approved</v>
      </c>
      <c r="C2822" s="6">
        <f>IFERROR(__xludf.DUMMYFUNCTION("""COMPUTED_VALUE"""),3.0)</f>
        <v>3</v>
      </c>
      <c r="D2822" s="6" t="str">
        <f>IFERROR(__xludf.DUMMYFUNCTION("""COMPUTED_VALUE"""),"P-14379-00")</f>
        <v>P-14379-00</v>
      </c>
      <c r="E2822" s="6" t="str">
        <f>IFERROR(__xludf.DUMMYFUNCTION("""COMPUTED_VALUE"""),"Gasket 3/4"" /EPDM; ; ;")</f>
        <v>Gasket 3/4" /EPDM; ; ;</v>
      </c>
      <c r="F2822" s="6">
        <f>IFERROR(__xludf.DUMMYFUNCTION("""COMPUTED_VALUE"""),20.0)</f>
        <v>20</v>
      </c>
      <c r="G2822" s="6" t="str">
        <f>IFERROR(__xludf.DUMMYFUNCTION("""COMPUTED_VALUE"""),"Pieces")</f>
        <v>Pieces</v>
      </c>
      <c r="H2822" s="6" t="str">
        <f>IFERROR(__xludf.DUMMYFUNCTION("""COMPUTED_VALUE"""),"IDR")</f>
        <v>IDR</v>
      </c>
      <c r="I2822" s="11">
        <f>IFERROR(__xludf.DUMMYFUNCTION("""COMPUTED_VALUE"""),6400.0)</f>
        <v>6400</v>
      </c>
      <c r="J2822" s="11">
        <f>IFERROR(__xludf.DUMMYFUNCTION("""COMPUTED_VALUE"""),128000.0)</f>
        <v>128000</v>
      </c>
      <c r="K2822" s="57">
        <f>IFERROR(__xludf.DUMMYFUNCTION("""COMPUTED_VALUE"""),45302.0)</f>
        <v>45302</v>
      </c>
      <c r="L2822" s="6" t="str">
        <f>IFERROR(__xludf.DUMMYFUNCTION("""COMPUTED_VALUE"""),"FIP Engineering")</f>
        <v>FIP Engineering</v>
      </c>
      <c r="M2822" s="6" t="str">
        <f>IFERROR(__xludf.DUMMYFUNCTION("""COMPUTED_VALUE"""),"Mochammad Fadhillah Hakim")</f>
        <v>Mochammad Fadhillah Hakim</v>
      </c>
      <c r="N2822" s="6" t="str">
        <f>IFERROR(__xludf.DUMMYFUNCTION("""COMPUTED_VALUE"""),"FIP Engineering")</f>
        <v>FIP Engineering</v>
      </c>
      <c r="O2822" s="6" t="str">
        <f>IFERROR(__xludf.DUMMYFUNCTION("""COMPUTED_VALUE"""),"FIP-DOM-000-11304-OS00001-INA-000000")</f>
        <v>FIP-DOM-000-11304-OS00001-INA-000000</v>
      </c>
      <c r="P2822" s="6" t="str">
        <f>IFERROR(__xludf.DUMMYFUNCTION("""COMPUTED_VALUE"""),"PO Closed")</f>
        <v>PO Closed</v>
      </c>
      <c r="Q2822" s="6" t="str">
        <f>IFERROR(__xludf.DUMMYFUNCTION("""COMPUTED_VALUE"""),"GL2401014")</f>
        <v>GL2401014</v>
      </c>
      <c r="R2822" s="57">
        <f>IFERROR(__xludf.DUMMYFUNCTION("""COMPUTED_VALUE"""),45288.0)</f>
        <v>45288</v>
      </c>
      <c r="S2822" s="57">
        <f>IFERROR(__xludf.DUMMYFUNCTION("""COMPUTED_VALUE"""),45293.0)</f>
        <v>45293</v>
      </c>
      <c r="T2822" s="57">
        <f>IFERROR(__xludf.DUMMYFUNCTION("""COMPUTED_VALUE"""),45325.0)</f>
        <v>45325</v>
      </c>
    </row>
    <row r="2823">
      <c r="A2823" s="6" t="str">
        <f>IFERROR(__xludf.DUMMYFUNCTION("""COMPUTED_VALUE"""),"231751039-4")</f>
        <v>231751039-4</v>
      </c>
      <c r="B2823" s="6" t="str">
        <f>IFERROR(__xludf.DUMMYFUNCTION("""COMPUTED_VALUE"""),"231751039 - Approved")</f>
        <v>231751039 - Approved</v>
      </c>
      <c r="C2823" s="6">
        <f>IFERROR(__xludf.DUMMYFUNCTION("""COMPUTED_VALUE"""),4.0)</f>
        <v>4</v>
      </c>
      <c r="D2823" s="6" t="str">
        <f>IFERROR(__xludf.DUMMYFUNCTION("""COMPUTED_VALUE"""),"P-53214-00")</f>
        <v>P-53214-00</v>
      </c>
      <c r="E2823" s="6" t="str">
        <f>IFERROR(__xludf.DUMMYFUNCTION("""COMPUTED_VALUE"""),"Epoxy Adhesive DEXTONE; ; ;")</f>
        <v>Epoxy Adhesive DEXTONE; ; ;</v>
      </c>
      <c r="F2823" s="6">
        <f>IFERROR(__xludf.DUMMYFUNCTION("""COMPUTED_VALUE"""),3.0)</f>
        <v>3</v>
      </c>
      <c r="G2823" s="6" t="str">
        <f>IFERROR(__xludf.DUMMYFUNCTION("""COMPUTED_VALUE"""),"Pieces")</f>
        <v>Pieces</v>
      </c>
      <c r="H2823" s="6" t="str">
        <f>IFERROR(__xludf.DUMMYFUNCTION("""COMPUTED_VALUE"""),"IDR")</f>
        <v>IDR</v>
      </c>
      <c r="I2823" s="11">
        <f>IFERROR(__xludf.DUMMYFUNCTION("""COMPUTED_VALUE"""),13500.0)</f>
        <v>13500</v>
      </c>
      <c r="J2823" s="11">
        <f>IFERROR(__xludf.DUMMYFUNCTION("""COMPUTED_VALUE"""),40500.0)</f>
        <v>40500</v>
      </c>
      <c r="K2823" s="57">
        <f>IFERROR(__xludf.DUMMYFUNCTION("""COMPUTED_VALUE"""),45302.0)</f>
        <v>45302</v>
      </c>
      <c r="L2823" s="6" t="str">
        <f>IFERROR(__xludf.DUMMYFUNCTION("""COMPUTED_VALUE"""),"FIP Engineering")</f>
        <v>FIP Engineering</v>
      </c>
      <c r="M2823" s="6" t="str">
        <f>IFERROR(__xludf.DUMMYFUNCTION("""COMPUTED_VALUE"""),"Mochammad Fadhillah Hakim")</f>
        <v>Mochammad Fadhillah Hakim</v>
      </c>
      <c r="N2823" s="6" t="str">
        <f>IFERROR(__xludf.DUMMYFUNCTION("""COMPUTED_VALUE"""),"FIP Engineering")</f>
        <v>FIP Engineering</v>
      </c>
      <c r="O2823" s="6" t="str">
        <f>IFERROR(__xludf.DUMMYFUNCTION("""COMPUTED_VALUE"""),"FIP-DOM-000-11304-OS00001-INA-000000")</f>
        <v>FIP-DOM-000-11304-OS00001-INA-000000</v>
      </c>
      <c r="P2823" s="6" t="str">
        <f>IFERROR(__xludf.DUMMYFUNCTION("""COMPUTED_VALUE"""),"PO Closed")</f>
        <v>PO Closed</v>
      </c>
      <c r="Q2823" s="6" t="str">
        <f>IFERROR(__xludf.DUMMYFUNCTION("""COMPUTED_VALUE"""),"GL2401014")</f>
        <v>GL2401014</v>
      </c>
      <c r="R2823" s="57">
        <f>IFERROR(__xludf.DUMMYFUNCTION("""COMPUTED_VALUE"""),45288.0)</f>
        <v>45288</v>
      </c>
      <c r="S2823" s="57">
        <f>IFERROR(__xludf.DUMMYFUNCTION("""COMPUTED_VALUE"""),45293.0)</f>
        <v>45293</v>
      </c>
      <c r="T2823" s="57">
        <f>IFERROR(__xludf.DUMMYFUNCTION("""COMPUTED_VALUE"""),45325.0)</f>
        <v>45325</v>
      </c>
    </row>
    <row r="2824">
      <c r="A2824" s="6" t="str">
        <f>IFERROR(__xludf.DUMMYFUNCTION("""COMPUTED_VALUE"""),"231751039-5")</f>
        <v>231751039-5</v>
      </c>
      <c r="B2824" s="6" t="str">
        <f>IFERROR(__xludf.DUMMYFUNCTION("""COMPUTED_VALUE"""),"231751039 - Approved")</f>
        <v>231751039 - Approved</v>
      </c>
      <c r="C2824" s="6">
        <f>IFERROR(__xludf.DUMMYFUNCTION("""COMPUTED_VALUE"""),5.0)</f>
        <v>5</v>
      </c>
      <c r="D2824" s="6" t="str">
        <f>IFERROR(__xludf.DUMMYFUNCTION("""COMPUTED_VALUE"""),"O-54015-00")</f>
        <v>O-54015-00</v>
      </c>
      <c r="E2824" s="6" t="str">
        <f>IFERROR(__xludf.DUMMYFUNCTION("""COMPUTED_VALUE"""),"STOP KONTAK LUBANG 4, BROCO")</f>
        <v>STOP KONTAK LUBANG 4, BROCO</v>
      </c>
      <c r="F2824" s="6">
        <f>IFERROR(__xludf.DUMMYFUNCTION("""COMPUTED_VALUE"""),3.0)</f>
        <v>3</v>
      </c>
      <c r="G2824" s="6" t="str">
        <f>IFERROR(__xludf.DUMMYFUNCTION("""COMPUTED_VALUE"""),"Unit")</f>
        <v>Unit</v>
      </c>
      <c r="H2824" s="6" t="str">
        <f>IFERROR(__xludf.DUMMYFUNCTION("""COMPUTED_VALUE"""),"IDR")</f>
        <v>IDR</v>
      </c>
      <c r="I2824" s="11">
        <f>IFERROR(__xludf.DUMMYFUNCTION("""COMPUTED_VALUE"""),49000.0)</f>
        <v>49000</v>
      </c>
      <c r="J2824" s="11">
        <f>IFERROR(__xludf.DUMMYFUNCTION("""COMPUTED_VALUE"""),147000.0)</f>
        <v>147000</v>
      </c>
      <c r="K2824" s="57">
        <f>IFERROR(__xludf.DUMMYFUNCTION("""COMPUTED_VALUE"""),45302.0)</f>
        <v>45302</v>
      </c>
      <c r="L2824" s="6" t="str">
        <f>IFERROR(__xludf.DUMMYFUNCTION("""COMPUTED_VALUE"""),"FIP Engineering")</f>
        <v>FIP Engineering</v>
      </c>
      <c r="M2824" s="6" t="str">
        <f>IFERROR(__xludf.DUMMYFUNCTION("""COMPUTED_VALUE"""),"Mochammad Fadhillah Hakim")</f>
        <v>Mochammad Fadhillah Hakim</v>
      </c>
      <c r="N2824" s="6" t="str">
        <f>IFERROR(__xludf.DUMMYFUNCTION("""COMPUTED_VALUE"""),"FIP Engineering")</f>
        <v>FIP Engineering</v>
      </c>
      <c r="O2824" s="6" t="str">
        <f>IFERROR(__xludf.DUMMYFUNCTION("""COMPUTED_VALUE"""),"FIP-DOM-000-11304-OS00001-INA-000000")</f>
        <v>FIP-DOM-000-11304-OS00001-INA-000000</v>
      </c>
      <c r="P2824" s="6" t="str">
        <f>IFERROR(__xludf.DUMMYFUNCTION("""COMPUTED_VALUE"""),"PO Closed")</f>
        <v>PO Closed</v>
      </c>
      <c r="Q2824" s="6" t="str">
        <f>IFERROR(__xludf.DUMMYFUNCTION("""COMPUTED_VALUE"""),"GL2401014")</f>
        <v>GL2401014</v>
      </c>
      <c r="R2824" s="57">
        <f>IFERROR(__xludf.DUMMYFUNCTION("""COMPUTED_VALUE"""),45288.0)</f>
        <v>45288</v>
      </c>
      <c r="S2824" s="57">
        <f>IFERROR(__xludf.DUMMYFUNCTION("""COMPUTED_VALUE"""),45293.0)</f>
        <v>45293</v>
      </c>
      <c r="T2824" s="57">
        <f>IFERROR(__xludf.DUMMYFUNCTION("""COMPUTED_VALUE"""),45325.0)</f>
        <v>45325</v>
      </c>
    </row>
    <row r="2825">
      <c r="A2825" s="6" t="str">
        <f>IFERROR(__xludf.DUMMYFUNCTION("""COMPUTED_VALUE"""),"231751039-6")</f>
        <v>231751039-6</v>
      </c>
      <c r="B2825" s="6" t="str">
        <f>IFERROR(__xludf.DUMMYFUNCTION("""COMPUTED_VALUE"""),"231751039 - Approved")</f>
        <v>231751039 - Approved</v>
      </c>
      <c r="C2825" s="6">
        <f>IFERROR(__xludf.DUMMYFUNCTION("""COMPUTED_VALUE"""),6.0)</f>
        <v>6</v>
      </c>
      <c r="D2825" s="6" t="str">
        <f>IFERROR(__xludf.DUMMYFUNCTION("""COMPUTED_VALUE"""),"P-17272-00")</f>
        <v>P-17272-00</v>
      </c>
      <c r="E2825" s="6" t="str">
        <f>IFERROR(__xludf.DUMMYFUNCTION("""COMPUTED_VALUE"""),"O-ring Epdm 9 x 4 x 2,5 mm ; Brand : - ; P/N : - ; Pack Size : pcs")</f>
        <v>O-ring Epdm 9 x 4 x 2,5 mm ; Brand : - ; P/N : - ; Pack Size : pcs</v>
      </c>
      <c r="F2825" s="6">
        <f>IFERROR(__xludf.DUMMYFUNCTION("""COMPUTED_VALUE"""),20.0)</f>
        <v>20</v>
      </c>
      <c r="G2825" s="6" t="str">
        <f>IFERROR(__xludf.DUMMYFUNCTION("""COMPUTED_VALUE"""),"Pieces")</f>
        <v>Pieces</v>
      </c>
      <c r="H2825" s="6" t="str">
        <f>IFERROR(__xludf.DUMMYFUNCTION("""COMPUTED_VALUE"""),"IDR")</f>
        <v>IDR</v>
      </c>
      <c r="I2825" s="11">
        <f>IFERROR(__xludf.DUMMYFUNCTION("""COMPUTED_VALUE"""),27500.0)</f>
        <v>27500</v>
      </c>
      <c r="J2825" s="11">
        <f>IFERROR(__xludf.DUMMYFUNCTION("""COMPUTED_VALUE"""),550000.0)</f>
        <v>550000</v>
      </c>
      <c r="K2825" s="57">
        <f>IFERROR(__xludf.DUMMYFUNCTION("""COMPUTED_VALUE"""),45302.0)</f>
        <v>45302</v>
      </c>
      <c r="L2825" s="6" t="str">
        <f>IFERROR(__xludf.DUMMYFUNCTION("""COMPUTED_VALUE"""),"FIP Engineering")</f>
        <v>FIP Engineering</v>
      </c>
      <c r="M2825" s="6" t="str">
        <f>IFERROR(__xludf.DUMMYFUNCTION("""COMPUTED_VALUE"""),"Mochammad Fadhillah Hakim")</f>
        <v>Mochammad Fadhillah Hakim</v>
      </c>
      <c r="N2825" s="6" t="str">
        <f>IFERROR(__xludf.DUMMYFUNCTION("""COMPUTED_VALUE"""),"FIP Engineering")</f>
        <v>FIP Engineering</v>
      </c>
      <c r="O2825" s="6" t="str">
        <f>IFERROR(__xludf.DUMMYFUNCTION("""COMPUTED_VALUE"""),"FIP-DOM-000-11304-OS00001-INA-000000")</f>
        <v>FIP-DOM-000-11304-OS00001-INA-000000</v>
      </c>
      <c r="P2825" s="6" t="str">
        <f>IFERROR(__xludf.DUMMYFUNCTION("""COMPUTED_VALUE"""),"PO Closed")</f>
        <v>PO Closed</v>
      </c>
      <c r="Q2825" s="6" t="str">
        <f>IFERROR(__xludf.DUMMYFUNCTION("""COMPUTED_VALUE"""),"GL2402070")</f>
        <v>GL2402070</v>
      </c>
      <c r="R2825" s="57">
        <f>IFERROR(__xludf.DUMMYFUNCTION("""COMPUTED_VALUE"""),45288.0)</f>
        <v>45288</v>
      </c>
      <c r="S2825" s="57">
        <f>IFERROR(__xludf.DUMMYFUNCTION("""COMPUTED_VALUE"""),45293.0)</f>
        <v>45293</v>
      </c>
      <c r="T2825" s="57">
        <f>IFERROR(__xludf.DUMMYFUNCTION("""COMPUTED_VALUE"""),45371.0)</f>
        <v>45371</v>
      </c>
    </row>
    <row r="2826">
      <c r="A2826" s="6" t="str">
        <f>IFERROR(__xludf.DUMMYFUNCTION("""COMPUTED_VALUE"""),"231751039-7")</f>
        <v>231751039-7</v>
      </c>
      <c r="B2826" s="6" t="str">
        <f>IFERROR(__xludf.DUMMYFUNCTION("""COMPUTED_VALUE"""),"231751039 - Approved")</f>
        <v>231751039 - Approved</v>
      </c>
      <c r="C2826" s="6">
        <f>IFERROR(__xludf.DUMMYFUNCTION("""COMPUTED_VALUE"""),7.0)</f>
        <v>7</v>
      </c>
      <c r="D2826" s="6" t="str">
        <f>IFERROR(__xludf.DUMMYFUNCTION("""COMPUTED_VALUE"""),"Q-10154-00")</f>
        <v>Q-10154-00</v>
      </c>
      <c r="E2826" s="6" t="str">
        <f>IFERROR(__xludf.DUMMYFUNCTION("""COMPUTED_VALUE"""),"Roller cat 230mm")</f>
        <v>Roller cat 230mm</v>
      </c>
      <c r="F2826" s="6">
        <f>IFERROR(__xludf.DUMMYFUNCTION("""COMPUTED_VALUE"""),5.0)</f>
        <v>5</v>
      </c>
      <c r="G2826" s="6" t="str">
        <f>IFERROR(__xludf.DUMMYFUNCTION("""COMPUTED_VALUE"""),"Pieces")</f>
        <v>Pieces</v>
      </c>
      <c r="H2826" s="6" t="str">
        <f>IFERROR(__xludf.DUMMYFUNCTION("""COMPUTED_VALUE"""),"IDR")</f>
        <v>IDR</v>
      </c>
      <c r="I2826" s="11">
        <f>IFERROR(__xludf.DUMMYFUNCTION("""COMPUTED_VALUE"""),55000.0)</f>
        <v>55000</v>
      </c>
      <c r="J2826" s="11">
        <f>IFERROR(__xludf.DUMMYFUNCTION("""COMPUTED_VALUE"""),275000.0)</f>
        <v>275000</v>
      </c>
      <c r="K2826" s="57">
        <f>IFERROR(__xludf.DUMMYFUNCTION("""COMPUTED_VALUE"""),45302.0)</f>
        <v>45302</v>
      </c>
      <c r="L2826" s="6" t="str">
        <f>IFERROR(__xludf.DUMMYFUNCTION("""COMPUTED_VALUE"""),"FIP Engineering")</f>
        <v>FIP Engineering</v>
      </c>
      <c r="M2826" s="6" t="str">
        <f>IFERROR(__xludf.DUMMYFUNCTION("""COMPUTED_VALUE"""),"Mochammad Fadhillah Hakim")</f>
        <v>Mochammad Fadhillah Hakim</v>
      </c>
      <c r="N2826" s="6" t="str">
        <f>IFERROR(__xludf.DUMMYFUNCTION("""COMPUTED_VALUE"""),"FIP Engineering")</f>
        <v>FIP Engineering</v>
      </c>
      <c r="O2826" s="6" t="str">
        <f>IFERROR(__xludf.DUMMYFUNCTION("""COMPUTED_VALUE"""),"FIP-DOM-000-11304-OS00001-INA-000000")</f>
        <v>FIP-DOM-000-11304-OS00001-INA-000000</v>
      </c>
      <c r="P2826" s="6" t="str">
        <f>IFERROR(__xludf.DUMMYFUNCTION("""COMPUTED_VALUE"""),"PO Closed")</f>
        <v>PO Closed</v>
      </c>
      <c r="Q2826" s="6" t="str">
        <f>IFERROR(__xludf.DUMMYFUNCTION("""COMPUTED_VALUE"""),"GL2401032")</f>
        <v>GL2401032</v>
      </c>
      <c r="R2826" s="57">
        <f>IFERROR(__xludf.DUMMYFUNCTION("""COMPUTED_VALUE"""),45288.0)</f>
        <v>45288</v>
      </c>
      <c r="S2826" s="57">
        <f>IFERROR(__xludf.DUMMYFUNCTION("""COMPUTED_VALUE"""),45293.0)</f>
        <v>45293</v>
      </c>
      <c r="T2826" s="57">
        <f>IFERROR(__xludf.DUMMYFUNCTION("""COMPUTED_VALUE"""),45324.0)</f>
        <v>45324</v>
      </c>
    </row>
    <row r="2827">
      <c r="A2827" s="6" t="str">
        <f>IFERROR(__xludf.DUMMYFUNCTION("""COMPUTED_VALUE"""),"231751039-8")</f>
        <v>231751039-8</v>
      </c>
      <c r="B2827" s="6" t="str">
        <f>IFERROR(__xludf.DUMMYFUNCTION("""COMPUTED_VALUE"""),"231751039 - Approved")</f>
        <v>231751039 - Approved</v>
      </c>
      <c r="C2827" s="6">
        <f>IFERROR(__xludf.DUMMYFUNCTION("""COMPUTED_VALUE"""),8.0)</f>
        <v>8</v>
      </c>
      <c r="D2827" s="6" t="str">
        <f>IFERROR(__xludf.DUMMYFUNCTION("""COMPUTED_VALUE"""),"Q-10153-00")</f>
        <v>Q-10153-00</v>
      </c>
      <c r="E2827" s="6" t="str">
        <f>IFERROR(__xludf.DUMMYFUNCTION("""COMPUTED_VALUE"""),"Roller cat 110mm")</f>
        <v>Roller cat 110mm</v>
      </c>
      <c r="F2827" s="6">
        <f>IFERROR(__xludf.DUMMYFUNCTION("""COMPUTED_VALUE"""),5.0)</f>
        <v>5</v>
      </c>
      <c r="G2827" s="6" t="str">
        <f>IFERROR(__xludf.DUMMYFUNCTION("""COMPUTED_VALUE"""),"Pieces")</f>
        <v>Pieces</v>
      </c>
      <c r="H2827" s="6" t="str">
        <f>IFERROR(__xludf.DUMMYFUNCTION("""COMPUTED_VALUE"""),"IDR")</f>
        <v>IDR</v>
      </c>
      <c r="I2827" s="11">
        <f>IFERROR(__xludf.DUMMYFUNCTION("""COMPUTED_VALUE"""),12000.0)</f>
        <v>12000</v>
      </c>
      <c r="J2827" s="11">
        <f>IFERROR(__xludf.DUMMYFUNCTION("""COMPUTED_VALUE"""),60000.0)</f>
        <v>60000</v>
      </c>
      <c r="K2827" s="57">
        <f>IFERROR(__xludf.DUMMYFUNCTION("""COMPUTED_VALUE"""),45302.0)</f>
        <v>45302</v>
      </c>
      <c r="L2827" s="6" t="str">
        <f>IFERROR(__xludf.DUMMYFUNCTION("""COMPUTED_VALUE"""),"FIP Engineering")</f>
        <v>FIP Engineering</v>
      </c>
      <c r="M2827" s="6" t="str">
        <f>IFERROR(__xludf.DUMMYFUNCTION("""COMPUTED_VALUE"""),"Mochammad Fadhillah Hakim")</f>
        <v>Mochammad Fadhillah Hakim</v>
      </c>
      <c r="N2827" s="6" t="str">
        <f>IFERROR(__xludf.DUMMYFUNCTION("""COMPUTED_VALUE"""),"FIP Engineering")</f>
        <v>FIP Engineering</v>
      </c>
      <c r="O2827" s="6" t="str">
        <f>IFERROR(__xludf.DUMMYFUNCTION("""COMPUTED_VALUE"""),"FIP-DOM-000-11304-OS00001-INA-000000")</f>
        <v>FIP-DOM-000-11304-OS00001-INA-000000</v>
      </c>
      <c r="P2827" s="6" t="str">
        <f>IFERROR(__xludf.DUMMYFUNCTION("""COMPUTED_VALUE"""),"PO Closed")</f>
        <v>PO Closed</v>
      </c>
      <c r="Q2827" s="6" t="str">
        <f>IFERROR(__xludf.DUMMYFUNCTION("""COMPUTED_VALUE"""),"GL2401032")</f>
        <v>GL2401032</v>
      </c>
      <c r="R2827" s="57">
        <f>IFERROR(__xludf.DUMMYFUNCTION("""COMPUTED_VALUE"""),45288.0)</f>
        <v>45288</v>
      </c>
      <c r="S2827" s="57">
        <f>IFERROR(__xludf.DUMMYFUNCTION("""COMPUTED_VALUE"""),45293.0)</f>
        <v>45293</v>
      </c>
      <c r="T2827" s="57">
        <f>IFERROR(__xludf.DUMMYFUNCTION("""COMPUTED_VALUE"""),45324.0)</f>
        <v>45324</v>
      </c>
    </row>
    <row r="2828">
      <c r="A2828" s="6" t="str">
        <f>IFERROR(__xludf.DUMMYFUNCTION("""COMPUTED_VALUE"""),"231751039-9")</f>
        <v>231751039-9</v>
      </c>
      <c r="B2828" s="6" t="str">
        <f>IFERROR(__xludf.DUMMYFUNCTION("""COMPUTED_VALUE"""),"231751039 - Approved")</f>
        <v>231751039 - Approved</v>
      </c>
      <c r="C2828" s="6">
        <f>IFERROR(__xludf.DUMMYFUNCTION("""COMPUTED_VALUE"""),9.0)</f>
        <v>9</v>
      </c>
      <c r="D2828" s="6" t="str">
        <f>IFERROR(__xludf.DUMMYFUNCTION("""COMPUTED_VALUE"""),"P-50140-00")</f>
        <v>P-50140-00</v>
      </c>
      <c r="E2828" s="6" t="str">
        <f>IFERROR(__xludf.DUMMYFUNCTION("""COMPUTED_VALUE"""),"Battery UPS - Battery kering Merk YUASA 12V 9AH")</f>
        <v>Battery UPS - Battery kering Merk YUASA 12V 9AH</v>
      </c>
      <c r="F2828" s="6">
        <f>IFERROR(__xludf.DUMMYFUNCTION("""COMPUTED_VALUE"""),20.0)</f>
        <v>20</v>
      </c>
      <c r="G2828" s="6" t="str">
        <f>IFERROR(__xludf.DUMMYFUNCTION("""COMPUTED_VALUE"""),"Pieces")</f>
        <v>Pieces</v>
      </c>
      <c r="H2828" s="6" t="str">
        <f>IFERROR(__xludf.DUMMYFUNCTION("""COMPUTED_VALUE"""),"IDR")</f>
        <v>IDR</v>
      </c>
      <c r="I2828" s="11">
        <f>IFERROR(__xludf.DUMMYFUNCTION("""COMPUTED_VALUE"""),200000.0)</f>
        <v>200000</v>
      </c>
      <c r="J2828" s="11">
        <f>IFERROR(__xludf.DUMMYFUNCTION("""COMPUTED_VALUE"""),4000000.0)</f>
        <v>4000000</v>
      </c>
      <c r="K2828" s="57">
        <f>IFERROR(__xludf.DUMMYFUNCTION("""COMPUTED_VALUE"""),45302.0)</f>
        <v>45302</v>
      </c>
      <c r="L2828" s="6" t="str">
        <f>IFERROR(__xludf.DUMMYFUNCTION("""COMPUTED_VALUE"""),"FIP Engineering")</f>
        <v>FIP Engineering</v>
      </c>
      <c r="M2828" s="6" t="str">
        <f>IFERROR(__xludf.DUMMYFUNCTION("""COMPUTED_VALUE"""),"Mochammad Fadhillah Hakim")</f>
        <v>Mochammad Fadhillah Hakim</v>
      </c>
      <c r="N2828" s="6" t="str">
        <f>IFERROR(__xludf.DUMMYFUNCTION("""COMPUTED_VALUE"""),"FIP Engineering")</f>
        <v>FIP Engineering</v>
      </c>
      <c r="O2828" s="6" t="str">
        <f>IFERROR(__xludf.DUMMYFUNCTION("""COMPUTED_VALUE"""),"FIP-DOM-000-11304-OS00001-INA-000000")</f>
        <v>FIP-DOM-000-11304-OS00001-INA-000000</v>
      </c>
      <c r="P2828" s="6" t="str">
        <f>IFERROR(__xludf.DUMMYFUNCTION("""COMPUTED_VALUE"""),"PO Closed")</f>
        <v>PO Closed</v>
      </c>
      <c r="Q2828" s="6" t="str">
        <f>IFERROR(__xludf.DUMMYFUNCTION("""COMPUTED_VALUE"""),"GL2401014")</f>
        <v>GL2401014</v>
      </c>
      <c r="R2828" s="57">
        <f>IFERROR(__xludf.DUMMYFUNCTION("""COMPUTED_VALUE"""),45288.0)</f>
        <v>45288</v>
      </c>
      <c r="S2828" s="57">
        <f>IFERROR(__xludf.DUMMYFUNCTION("""COMPUTED_VALUE"""),45293.0)</f>
        <v>45293</v>
      </c>
      <c r="T2828" s="57">
        <f>IFERROR(__xludf.DUMMYFUNCTION("""COMPUTED_VALUE"""),45325.0)</f>
        <v>45325</v>
      </c>
    </row>
    <row r="2829">
      <c r="A2829" s="6" t="str">
        <f>IFERROR(__xludf.DUMMYFUNCTION("""COMPUTED_VALUE"""),"231751039-10")</f>
        <v>231751039-10</v>
      </c>
      <c r="B2829" s="6" t="str">
        <f>IFERROR(__xludf.DUMMYFUNCTION("""COMPUTED_VALUE"""),"231751039 - Approved")</f>
        <v>231751039 - Approved</v>
      </c>
      <c r="C2829" s="6">
        <f>IFERROR(__xludf.DUMMYFUNCTION("""COMPUTED_VALUE"""),10.0)</f>
        <v>10</v>
      </c>
      <c r="D2829" s="6" t="str">
        <f>IFERROR(__xludf.DUMMYFUNCTION("""COMPUTED_VALUE"""),"Q-60501-00")</f>
        <v>Q-60501-00</v>
      </c>
      <c r="E2829" s="6" t="str">
        <f>IFERROR(__xludf.DUMMYFUNCTION("""COMPUTED_VALUE"""),"Silicone Sealant, Silglaze, Type N10 Clear, pack size per pcs")</f>
        <v>Silicone Sealant, Silglaze, Type N10 Clear, pack size per pcs</v>
      </c>
      <c r="F2829" s="6">
        <f>IFERROR(__xludf.DUMMYFUNCTION("""COMPUTED_VALUE"""),5.0)</f>
        <v>5</v>
      </c>
      <c r="G2829" s="6" t="str">
        <f>IFERROR(__xludf.DUMMYFUNCTION("""COMPUTED_VALUE"""),"Pieces")</f>
        <v>Pieces</v>
      </c>
      <c r="H2829" s="6" t="str">
        <f>IFERROR(__xludf.DUMMYFUNCTION("""COMPUTED_VALUE"""),"IDR")</f>
        <v>IDR</v>
      </c>
      <c r="I2829" s="11">
        <f>IFERROR(__xludf.DUMMYFUNCTION("""COMPUTED_VALUE"""),56000.0)</f>
        <v>56000</v>
      </c>
      <c r="J2829" s="11">
        <f>IFERROR(__xludf.DUMMYFUNCTION("""COMPUTED_VALUE"""),280000.0)</f>
        <v>280000</v>
      </c>
      <c r="K2829" s="57">
        <f>IFERROR(__xludf.DUMMYFUNCTION("""COMPUTED_VALUE"""),45302.0)</f>
        <v>45302</v>
      </c>
      <c r="L2829" s="6" t="str">
        <f>IFERROR(__xludf.DUMMYFUNCTION("""COMPUTED_VALUE"""),"FIP Engineering")</f>
        <v>FIP Engineering</v>
      </c>
      <c r="M2829" s="6" t="str">
        <f>IFERROR(__xludf.DUMMYFUNCTION("""COMPUTED_VALUE"""),"Mochammad Fadhillah Hakim")</f>
        <v>Mochammad Fadhillah Hakim</v>
      </c>
      <c r="N2829" s="6" t="str">
        <f>IFERROR(__xludf.DUMMYFUNCTION("""COMPUTED_VALUE"""),"FIP Engineering")</f>
        <v>FIP Engineering</v>
      </c>
      <c r="O2829" s="6" t="str">
        <f>IFERROR(__xludf.DUMMYFUNCTION("""COMPUTED_VALUE"""),"FIP-DOM-000-11304-OS00001-INA-000000")</f>
        <v>FIP-DOM-000-11304-OS00001-INA-000000</v>
      </c>
      <c r="P2829" s="6" t="str">
        <f>IFERROR(__xludf.DUMMYFUNCTION("""COMPUTED_VALUE"""),"PO Closed")</f>
        <v>PO Closed</v>
      </c>
      <c r="Q2829" s="6" t="str">
        <f>IFERROR(__xludf.DUMMYFUNCTION("""COMPUTED_VALUE"""),"GL2401038")</f>
        <v>GL2401038</v>
      </c>
      <c r="R2829" s="57">
        <f>IFERROR(__xludf.DUMMYFUNCTION("""COMPUTED_VALUE"""),45288.0)</f>
        <v>45288</v>
      </c>
      <c r="S2829" s="57">
        <f>IFERROR(__xludf.DUMMYFUNCTION("""COMPUTED_VALUE"""),45293.0)</f>
        <v>45293</v>
      </c>
      <c r="T2829" s="57">
        <f>IFERROR(__xludf.DUMMYFUNCTION("""COMPUTED_VALUE"""),45324.0)</f>
        <v>45324</v>
      </c>
    </row>
    <row r="2830">
      <c r="A2830" s="6" t="str">
        <f>IFERROR(__xludf.DUMMYFUNCTION("""COMPUTED_VALUE"""),"241750002-1")</f>
        <v>241750002-1</v>
      </c>
      <c r="B2830" s="6" t="str">
        <f>IFERROR(__xludf.DUMMYFUNCTION("""COMPUTED_VALUE"""),"241750002 - Approved")</f>
        <v>241750002 - Approved</v>
      </c>
      <c r="C2830" s="6">
        <f>IFERROR(__xludf.DUMMYFUNCTION("""COMPUTED_VALUE"""),1.0)</f>
        <v>1</v>
      </c>
      <c r="D2830" s="6" t="str">
        <f>IFERROR(__xludf.DUMMYFUNCTION("""COMPUTED_VALUE"""),"S-60002-00")</f>
        <v>S-60002-00</v>
      </c>
      <c r="E2830" s="6" t="str">
        <f>IFERROR(__xludf.DUMMYFUNCTION("""COMPUTED_VALUE"""),"Jasa Perbaikan dan Pemeliharaan Mesin Utility - Untuk Pemasangan Emergency Switch")</f>
        <v>Jasa Perbaikan dan Pemeliharaan Mesin Utility - Untuk Pemasangan Emergency Switch</v>
      </c>
      <c r="F2830" s="6">
        <f>IFERROR(__xludf.DUMMYFUNCTION("""COMPUTED_VALUE"""),1.0)</f>
        <v>1</v>
      </c>
      <c r="G2830" s="6" t="str">
        <f>IFERROR(__xludf.DUMMYFUNCTION("""COMPUTED_VALUE"""),"Lot")</f>
        <v>Lot</v>
      </c>
      <c r="H2830" s="6" t="str">
        <f>IFERROR(__xludf.DUMMYFUNCTION("""COMPUTED_VALUE"""),"IDR")</f>
        <v>IDR</v>
      </c>
      <c r="I2830" s="11">
        <f>IFERROR(__xludf.DUMMYFUNCTION("""COMPUTED_VALUE"""),2100000.0)</f>
        <v>2100000</v>
      </c>
      <c r="J2830" s="11">
        <f>IFERROR(__xludf.DUMMYFUNCTION("""COMPUTED_VALUE"""),2100000.0)</f>
        <v>2100000</v>
      </c>
      <c r="K2830" s="57">
        <f>IFERROR(__xludf.DUMMYFUNCTION("""COMPUTED_VALUE"""),45308.0)</f>
        <v>45308</v>
      </c>
      <c r="L2830" s="6" t="str">
        <f>IFERROR(__xludf.DUMMYFUNCTION("""COMPUTED_VALUE"""),"FIP General")</f>
        <v>FIP General</v>
      </c>
      <c r="M2830" s="6" t="str">
        <f>IFERROR(__xludf.DUMMYFUNCTION("""COMPUTED_VALUE"""),"Mochammad Fadhillah Hakim")</f>
        <v>Mochammad Fadhillah Hakim</v>
      </c>
      <c r="N2830" s="6" t="str">
        <f>IFERROR(__xludf.DUMMYFUNCTION("""COMPUTED_VALUE"""),"FIP Engineering")</f>
        <v>FIP Engineering</v>
      </c>
      <c r="O2830" s="6" t="str">
        <f>IFERROR(__xludf.DUMMYFUNCTION("""COMPUTED_VALUE"""),"FIP-DOM-ENG-51508-0000000-INA-000000")</f>
        <v>FIP-DOM-ENG-51508-0000000-INA-000000</v>
      </c>
      <c r="P2830" s="6" t="str">
        <f>IFERROR(__xludf.DUMMYFUNCTION("""COMPUTED_VALUE"""),"PO Closed")</f>
        <v>PO Closed</v>
      </c>
      <c r="Q2830" s="6" t="str">
        <f>IFERROR(__xludf.DUMMYFUNCTION("""COMPUTED_VALUE"""),"GL2403032")</f>
        <v>GL2403032</v>
      </c>
      <c r="R2830" s="57">
        <f>IFERROR(__xludf.DUMMYFUNCTION("""COMPUTED_VALUE"""),45294.0)</f>
        <v>45294</v>
      </c>
      <c r="S2830" s="57">
        <f>IFERROR(__xludf.DUMMYFUNCTION("""COMPUTED_VALUE"""),45296.0)</f>
        <v>45296</v>
      </c>
      <c r="T2830" s="57">
        <f>IFERROR(__xludf.DUMMYFUNCTION("""COMPUTED_VALUE"""),45373.0)</f>
        <v>45373</v>
      </c>
    </row>
    <row r="2831">
      <c r="A2831" s="6" t="str">
        <f>IFERROR(__xludf.DUMMYFUNCTION("""COMPUTED_VALUE"""),"241750003-1")</f>
        <v>241750003-1</v>
      </c>
      <c r="B2831" s="6" t="str">
        <f>IFERROR(__xludf.DUMMYFUNCTION("""COMPUTED_VALUE"""),"241750003 - Approved")</f>
        <v>241750003 - Approved</v>
      </c>
      <c r="C2831" s="6">
        <f>IFERROR(__xludf.DUMMYFUNCTION("""COMPUTED_VALUE"""),1.0)</f>
        <v>1</v>
      </c>
      <c r="D2831" s="6" t="str">
        <f>IFERROR(__xludf.DUMMYFUNCTION("""COMPUTED_VALUE"""),"Q-11000-00")</f>
        <v>Q-11000-00</v>
      </c>
      <c r="E2831" s="6" t="str">
        <f>IFERROR(__xludf.DUMMYFUNCTION("""COMPUTED_VALUE"""),"Jasa Perbaikan Gedung; ; ; - Untuk Cover Plafon Stanless Steel")</f>
        <v>Jasa Perbaikan Gedung; ; ; - Untuk Cover Plafon Stanless Steel</v>
      </c>
      <c r="F2831" s="6">
        <f>IFERROR(__xludf.DUMMYFUNCTION("""COMPUTED_VALUE"""),1.0)</f>
        <v>1</v>
      </c>
      <c r="G2831" s="6" t="str">
        <f>IFERROR(__xludf.DUMMYFUNCTION("""COMPUTED_VALUE"""),"Lot")</f>
        <v>Lot</v>
      </c>
      <c r="H2831" s="6" t="str">
        <f>IFERROR(__xludf.DUMMYFUNCTION("""COMPUTED_VALUE"""),"IDR")</f>
        <v>IDR</v>
      </c>
      <c r="I2831" s="11">
        <f>IFERROR(__xludf.DUMMYFUNCTION("""COMPUTED_VALUE"""),4095000.0)</f>
        <v>4095000</v>
      </c>
      <c r="J2831" s="11">
        <f>IFERROR(__xludf.DUMMYFUNCTION("""COMPUTED_VALUE"""),4095000.0)</f>
        <v>4095000</v>
      </c>
      <c r="K2831" s="57">
        <f>IFERROR(__xludf.DUMMYFUNCTION("""COMPUTED_VALUE"""),45308.0)</f>
        <v>45308</v>
      </c>
      <c r="L2831" s="6" t="str">
        <f>IFERROR(__xludf.DUMMYFUNCTION("""COMPUTED_VALUE"""),"FIP General")</f>
        <v>FIP General</v>
      </c>
      <c r="M2831" s="6" t="str">
        <f>IFERROR(__xludf.DUMMYFUNCTION("""COMPUTED_VALUE"""),"Mochammad Fadhillah Hakim")</f>
        <v>Mochammad Fadhillah Hakim</v>
      </c>
      <c r="N2831" s="6" t="str">
        <f>IFERROR(__xludf.DUMMYFUNCTION("""COMPUTED_VALUE"""),"FIP Engineering")</f>
        <v>FIP Engineering</v>
      </c>
      <c r="O2831" s="6" t="str">
        <f>IFERROR(__xludf.DUMMYFUNCTION("""COMPUTED_VALUE"""),"FIP-DOM-ENG-51502-0000000-INA-000000")</f>
        <v>FIP-DOM-ENG-51502-0000000-INA-000000</v>
      </c>
      <c r="P2831" s="6" t="str">
        <f>IFERROR(__xludf.DUMMYFUNCTION("""COMPUTED_VALUE"""),"PO Closed")</f>
        <v>PO Closed</v>
      </c>
      <c r="Q2831" s="6" t="str">
        <f>IFERROR(__xludf.DUMMYFUNCTION("""COMPUTED_VALUE"""),"GL2403007")</f>
        <v>GL2403007</v>
      </c>
      <c r="R2831" s="57">
        <f>IFERROR(__xludf.DUMMYFUNCTION("""COMPUTED_VALUE"""),45294.0)</f>
        <v>45294</v>
      </c>
      <c r="S2831" s="57">
        <f>IFERROR(__xludf.DUMMYFUNCTION("""COMPUTED_VALUE"""),45296.0)</f>
        <v>45296</v>
      </c>
      <c r="T2831" s="57">
        <f>IFERROR(__xludf.DUMMYFUNCTION("""COMPUTED_VALUE"""),45370.0)</f>
        <v>45370</v>
      </c>
    </row>
    <row r="2832">
      <c r="A2832" s="6" t="str">
        <f>IFERROR(__xludf.DUMMYFUNCTION("""COMPUTED_VALUE"""),"241750011-1")</f>
        <v>241750011-1</v>
      </c>
      <c r="B2832" s="6" t="str">
        <f>IFERROR(__xludf.DUMMYFUNCTION("""COMPUTED_VALUE"""),"241750011 - Approved")</f>
        <v>241750011 - Approved</v>
      </c>
      <c r="C2832" s="6">
        <f>IFERROR(__xludf.DUMMYFUNCTION("""COMPUTED_VALUE"""),1.0)</f>
        <v>1</v>
      </c>
      <c r="D2832" s="6" t="str">
        <f>IFERROR(__xludf.DUMMYFUNCTION("""COMPUTED_VALUE"""),"S-62027-00")</f>
        <v>S-62027-00</v>
      </c>
      <c r="E2832" s="6" t="str">
        <f>IFERROR(__xludf.DUMMYFUNCTION("""COMPUTED_VALUE"""),"Gas Nitrogen (N2); 6 M3; Refill; Ultra High Purity (UHP); Purity &gt;= 99.999%")</f>
        <v>Gas Nitrogen (N2); 6 M3; Refill; Ultra High Purity (UHP); Purity &gt;= 99.999%</v>
      </c>
      <c r="F2832" s="6">
        <f>IFERROR(__xludf.DUMMYFUNCTION("""COMPUTED_VALUE"""),2.0)</f>
        <v>2</v>
      </c>
      <c r="G2832" s="6" t="str">
        <f>IFERROR(__xludf.DUMMYFUNCTION("""COMPUTED_VALUE"""),"Tube")</f>
        <v>Tube</v>
      </c>
      <c r="H2832" s="6" t="str">
        <f>IFERROR(__xludf.DUMMYFUNCTION("""COMPUTED_VALUE"""),"IDR")</f>
        <v>IDR</v>
      </c>
      <c r="I2832" s="11">
        <f>IFERROR(__xludf.DUMMYFUNCTION("""COMPUTED_VALUE"""),225000.0)</f>
        <v>225000</v>
      </c>
      <c r="J2832" s="11">
        <f>IFERROR(__xludf.DUMMYFUNCTION("""COMPUTED_VALUE"""),450000.0)</f>
        <v>450000</v>
      </c>
      <c r="K2832" s="57">
        <f>IFERROR(__xludf.DUMMYFUNCTION("""COMPUTED_VALUE"""),45308.0)</f>
        <v>45308</v>
      </c>
      <c r="L2832" s="6" t="str">
        <f>IFERROR(__xludf.DUMMYFUNCTION("""COMPUTED_VALUE"""),"FIP General")</f>
        <v>FIP General</v>
      </c>
      <c r="M2832" s="6" t="str">
        <f>IFERROR(__xludf.DUMMYFUNCTION("""COMPUTED_VALUE"""),"Mochammad Fadhillah Hakim")</f>
        <v>Mochammad Fadhillah Hakim</v>
      </c>
      <c r="N2832" s="6" t="str">
        <f>IFERROR(__xludf.DUMMYFUNCTION("""COMPUTED_VALUE"""),"FIP Engineering")</f>
        <v>FIP Engineering</v>
      </c>
      <c r="O2832" s="6" t="str">
        <f>IFERROR(__xludf.DUMMYFUNCTION("""COMPUTED_VALUE"""),"FIP-DOM-ENG-51409-0000000-INA-000000")</f>
        <v>FIP-DOM-ENG-51409-0000000-INA-000000</v>
      </c>
      <c r="P2832" s="6" t="str">
        <f>IFERROR(__xludf.DUMMYFUNCTION("""COMPUTED_VALUE"""),"PO Closed")</f>
        <v>PO Closed</v>
      </c>
      <c r="Q2832" s="6" t="str">
        <f>IFERROR(__xludf.DUMMYFUNCTION("""COMPUTED_VALUE"""),"GL2402302")</f>
        <v>GL2402302</v>
      </c>
      <c r="R2832" s="57">
        <f>IFERROR(__xludf.DUMMYFUNCTION("""COMPUTED_VALUE"""),45294.0)</f>
        <v>45294</v>
      </c>
      <c r="S2832" s="57">
        <f>IFERROR(__xludf.DUMMYFUNCTION("""COMPUTED_VALUE"""),45296.0)</f>
        <v>45296</v>
      </c>
      <c r="T2832" s="57">
        <f>IFERROR(__xludf.DUMMYFUNCTION("""COMPUTED_VALUE"""),45334.0)</f>
        <v>45334</v>
      </c>
    </row>
    <row r="2833">
      <c r="A2833" s="6" t="str">
        <f>IFERROR(__xludf.DUMMYFUNCTION("""COMPUTED_VALUE"""),"241750011-2")</f>
        <v>241750011-2</v>
      </c>
      <c r="B2833" s="6" t="str">
        <f>IFERROR(__xludf.DUMMYFUNCTION("""COMPUTED_VALUE"""),"241750011 - Approved")</f>
        <v>241750011 - Approved</v>
      </c>
      <c r="C2833" s="6">
        <f>IFERROR(__xludf.DUMMYFUNCTION("""COMPUTED_VALUE"""),2.0)</f>
        <v>2</v>
      </c>
      <c r="D2833" s="6" t="str">
        <f>IFERROR(__xludf.DUMMYFUNCTION("""COMPUTED_VALUE"""),"S-62023-00")</f>
        <v>S-62023-00</v>
      </c>
      <c r="E2833" s="6" t="str">
        <f>IFERROR(__xludf.DUMMYFUNCTION("""COMPUTED_VALUE"""),"Gas Nitrogen ; Alphagaz; 9.5 M3/cyl;")</f>
        <v>Gas Nitrogen ; Alphagaz; 9.5 M3/cyl;</v>
      </c>
      <c r="F2833" s="6">
        <f>IFERROR(__xludf.DUMMYFUNCTION("""COMPUTED_VALUE"""),1.0)</f>
        <v>1</v>
      </c>
      <c r="G2833" s="6" t="str">
        <f>IFERROR(__xludf.DUMMYFUNCTION("""COMPUTED_VALUE"""),"Unit")</f>
        <v>Unit</v>
      </c>
      <c r="H2833" s="6" t="str">
        <f>IFERROR(__xludf.DUMMYFUNCTION("""COMPUTED_VALUE"""),"IDR")</f>
        <v>IDR</v>
      </c>
      <c r="I2833" s="11">
        <f>IFERROR(__xludf.DUMMYFUNCTION("""COMPUTED_VALUE"""),370000.0)</f>
        <v>370000</v>
      </c>
      <c r="J2833" s="11">
        <f>IFERROR(__xludf.DUMMYFUNCTION("""COMPUTED_VALUE"""),370000.0)</f>
        <v>370000</v>
      </c>
      <c r="K2833" s="57">
        <f>IFERROR(__xludf.DUMMYFUNCTION("""COMPUTED_VALUE"""),45308.0)</f>
        <v>45308</v>
      </c>
      <c r="L2833" s="6" t="str">
        <f>IFERROR(__xludf.DUMMYFUNCTION("""COMPUTED_VALUE"""),"FIP General")</f>
        <v>FIP General</v>
      </c>
      <c r="M2833" s="6" t="str">
        <f>IFERROR(__xludf.DUMMYFUNCTION("""COMPUTED_VALUE"""),"Mochammad Fadhillah Hakim")</f>
        <v>Mochammad Fadhillah Hakim</v>
      </c>
      <c r="N2833" s="6" t="str">
        <f>IFERROR(__xludf.DUMMYFUNCTION("""COMPUTED_VALUE"""),"FIP Engineering")</f>
        <v>FIP Engineering</v>
      </c>
      <c r="O2833" s="6" t="str">
        <f>IFERROR(__xludf.DUMMYFUNCTION("""COMPUTED_VALUE"""),"FIP-DOM-ENG-51409-0000000-INA-000000")</f>
        <v>FIP-DOM-ENG-51409-0000000-INA-000000</v>
      </c>
      <c r="P2833" s="6" t="str">
        <f>IFERROR(__xludf.DUMMYFUNCTION("""COMPUTED_VALUE"""),"PO Closed")</f>
        <v>PO Closed</v>
      </c>
      <c r="Q2833" s="6" t="str">
        <f>IFERROR(__xludf.DUMMYFUNCTION("""COMPUTED_VALUE"""),"GL2401044")</f>
        <v>GL2401044</v>
      </c>
      <c r="R2833" s="57">
        <f>IFERROR(__xludf.DUMMYFUNCTION("""COMPUTED_VALUE"""),45294.0)</f>
        <v>45294</v>
      </c>
      <c r="S2833" s="57">
        <f>IFERROR(__xludf.DUMMYFUNCTION("""COMPUTED_VALUE"""),45296.0)</f>
        <v>45296</v>
      </c>
      <c r="T2833" s="57">
        <f>IFERROR(__xludf.DUMMYFUNCTION("""COMPUTED_VALUE"""),45323.0)</f>
        <v>45323</v>
      </c>
    </row>
    <row r="2834">
      <c r="A2834" s="6" t="str">
        <f>IFERROR(__xludf.DUMMYFUNCTION("""COMPUTED_VALUE"""),"241750018-1")</f>
        <v>241750018-1</v>
      </c>
      <c r="B2834" s="6" t="str">
        <f>IFERROR(__xludf.DUMMYFUNCTION("""COMPUTED_VALUE"""),"241750018 - Approved")</f>
        <v>241750018 - Approved</v>
      </c>
      <c r="C2834" s="6">
        <f>IFERROR(__xludf.DUMMYFUNCTION("""COMPUTED_VALUE"""),1.0)</f>
        <v>1</v>
      </c>
      <c r="D2834" s="6" t="str">
        <f>IFERROR(__xludf.DUMMYFUNCTION("""COMPUTED_VALUE"""),"Q-60401-00")</f>
        <v>Q-60401-00</v>
      </c>
      <c r="E2834" s="6" t="str">
        <f>IFERROR(__xludf.DUMMYFUNCTION("""COMPUTED_VALUE"""),"Handle Pintu Bulat, Elbow Press Lock; Meroni; N13NE TB127;")</f>
        <v>Handle Pintu Bulat, Elbow Press Lock; Meroni; N13NE TB127;</v>
      </c>
      <c r="F2834" s="6">
        <f>IFERROR(__xludf.DUMMYFUNCTION("""COMPUTED_VALUE"""),6.0)</f>
        <v>6</v>
      </c>
      <c r="G2834" s="6" t="str">
        <f>IFERROR(__xludf.DUMMYFUNCTION("""COMPUTED_VALUE"""),"Pieces")</f>
        <v>Pieces</v>
      </c>
      <c r="H2834" s="6" t="str">
        <f>IFERROR(__xludf.DUMMYFUNCTION("""COMPUTED_VALUE"""),"IDR")</f>
        <v>IDR</v>
      </c>
      <c r="I2834" s="11">
        <f>IFERROR(__xludf.DUMMYFUNCTION("""COMPUTED_VALUE"""),4584956.0)</f>
        <v>4584956</v>
      </c>
      <c r="J2834" s="11">
        <f>IFERROR(__xludf.DUMMYFUNCTION("""COMPUTED_VALUE"""),2.7509736E7)</f>
        <v>27509736</v>
      </c>
      <c r="K2834" s="57">
        <f>IFERROR(__xludf.DUMMYFUNCTION("""COMPUTED_VALUE"""),45309.0)</f>
        <v>45309</v>
      </c>
      <c r="L2834" s="6" t="str">
        <f>IFERROR(__xludf.DUMMYFUNCTION("""COMPUTED_VALUE"""),"FIP Engineering")</f>
        <v>FIP Engineering</v>
      </c>
      <c r="M2834" s="6" t="str">
        <f>IFERROR(__xludf.DUMMYFUNCTION("""COMPUTED_VALUE"""),"Mochammad Fadhillah Hakim")</f>
        <v>Mochammad Fadhillah Hakim</v>
      </c>
      <c r="N2834" s="6" t="str">
        <f>IFERROR(__xludf.DUMMYFUNCTION("""COMPUTED_VALUE"""),"FIP Engineering")</f>
        <v>FIP Engineering</v>
      </c>
      <c r="O2834" s="6" t="str">
        <f>IFERROR(__xludf.DUMMYFUNCTION("""COMPUTED_VALUE"""),"FIP-DOM-000-11304-OS00001-INA-000000")</f>
        <v>FIP-DOM-000-11304-OS00001-INA-000000</v>
      </c>
      <c r="P2834" s="6" t="str">
        <f>IFERROR(__xludf.DUMMYFUNCTION("""COMPUTED_VALUE"""),"PO Closed")</f>
        <v>PO Closed</v>
      </c>
      <c r="Q2834" s="6" t="str">
        <f>IFERROR(__xludf.DUMMYFUNCTION("""COMPUTED_VALUE"""),"GL2402019")</f>
        <v>GL2402019</v>
      </c>
      <c r="R2834" s="57">
        <f>IFERROR(__xludf.DUMMYFUNCTION("""COMPUTED_VALUE"""),45295.0)</f>
        <v>45295</v>
      </c>
      <c r="S2834" s="57">
        <f>IFERROR(__xludf.DUMMYFUNCTION("""COMPUTED_VALUE"""),45296.0)</f>
        <v>45296</v>
      </c>
      <c r="T2834" s="57">
        <f>IFERROR(__xludf.DUMMYFUNCTION("""COMPUTED_VALUE"""),45355.0)</f>
        <v>45355</v>
      </c>
    </row>
    <row r="2835">
      <c r="A2835" s="6" t="str">
        <f>IFERROR(__xludf.DUMMYFUNCTION("""COMPUTED_VALUE"""),"241750019-1")</f>
        <v>241750019-1</v>
      </c>
      <c r="B2835" s="6" t="str">
        <f>IFERROR(__xludf.DUMMYFUNCTION("""COMPUTED_VALUE"""),"241750019 - Approved")</f>
        <v>241750019 - Approved</v>
      </c>
      <c r="C2835" s="6">
        <f>IFERROR(__xludf.DUMMYFUNCTION("""COMPUTED_VALUE"""),1.0)</f>
        <v>1</v>
      </c>
      <c r="D2835" s="6" t="str">
        <f>IFERROR(__xludf.DUMMYFUNCTION("""COMPUTED_VALUE"""),"P-53363-00")</f>
        <v>P-53363-00</v>
      </c>
      <c r="E2835" s="6" t="str">
        <f>IFERROR(__xludf.DUMMYFUNCTION("""COMPUTED_VALUE"""),"Contactor Schneider LC1D12M7 Coil 220 VAC; ; ;")</f>
        <v>Contactor Schneider LC1D12M7 Coil 220 VAC; ; ;</v>
      </c>
      <c r="F2835" s="6">
        <f>IFERROR(__xludf.DUMMYFUNCTION("""COMPUTED_VALUE"""),4.0)</f>
        <v>4</v>
      </c>
      <c r="G2835" s="6" t="str">
        <f>IFERROR(__xludf.DUMMYFUNCTION("""COMPUTED_VALUE"""),"Pieces")</f>
        <v>Pieces</v>
      </c>
      <c r="H2835" s="6" t="str">
        <f>IFERROR(__xludf.DUMMYFUNCTION("""COMPUTED_VALUE"""),"IDR")</f>
        <v>IDR</v>
      </c>
      <c r="I2835" s="11">
        <f>IFERROR(__xludf.DUMMYFUNCTION("""COMPUTED_VALUE"""),185000.0)</f>
        <v>185000</v>
      </c>
      <c r="J2835" s="11">
        <f>IFERROR(__xludf.DUMMYFUNCTION("""COMPUTED_VALUE"""),740000.0)</f>
        <v>740000</v>
      </c>
      <c r="K2835" s="57">
        <f>IFERROR(__xludf.DUMMYFUNCTION("""COMPUTED_VALUE"""),45309.0)</f>
        <v>45309</v>
      </c>
      <c r="L2835" s="6" t="str">
        <f>IFERROR(__xludf.DUMMYFUNCTION("""COMPUTED_VALUE"""),"FIP Engineering")</f>
        <v>FIP Engineering</v>
      </c>
      <c r="M2835" s="6" t="str">
        <f>IFERROR(__xludf.DUMMYFUNCTION("""COMPUTED_VALUE"""),"Mochammad Fadhillah Hakim")</f>
        <v>Mochammad Fadhillah Hakim</v>
      </c>
      <c r="N2835" s="6" t="str">
        <f>IFERROR(__xludf.DUMMYFUNCTION("""COMPUTED_VALUE"""),"FIP Engineering")</f>
        <v>FIP Engineering</v>
      </c>
      <c r="O2835" s="6" t="str">
        <f>IFERROR(__xludf.DUMMYFUNCTION("""COMPUTED_VALUE"""),"FIP-DOM-000-11304-OS00001-INA-000000")</f>
        <v>FIP-DOM-000-11304-OS00001-INA-000000</v>
      </c>
      <c r="P2835" s="6" t="str">
        <f>IFERROR(__xludf.DUMMYFUNCTION("""COMPUTED_VALUE"""),"PO Closed")</f>
        <v>PO Closed</v>
      </c>
      <c r="Q2835" s="6" t="str">
        <f>IFERROR(__xludf.DUMMYFUNCTION("""COMPUTED_VALUE"""),"GL2401008")</f>
        <v>GL2401008</v>
      </c>
      <c r="R2835" s="57">
        <f>IFERROR(__xludf.DUMMYFUNCTION("""COMPUTED_VALUE"""),45295.0)</f>
        <v>45295</v>
      </c>
      <c r="S2835" s="57">
        <f>IFERROR(__xludf.DUMMYFUNCTION("""COMPUTED_VALUE"""),45296.0)</f>
        <v>45296</v>
      </c>
      <c r="T2835" s="57">
        <f>IFERROR(__xludf.DUMMYFUNCTION("""COMPUTED_VALUE"""),45364.0)</f>
        <v>45364</v>
      </c>
    </row>
    <row r="2836">
      <c r="A2836" s="6" t="str">
        <f>IFERROR(__xludf.DUMMYFUNCTION("""COMPUTED_VALUE"""),"241750019-2")</f>
        <v>241750019-2</v>
      </c>
      <c r="B2836" s="6" t="str">
        <f>IFERROR(__xludf.DUMMYFUNCTION("""COMPUTED_VALUE"""),"241750019 - Approved")</f>
        <v>241750019 - Approved</v>
      </c>
      <c r="C2836" s="6">
        <f>IFERROR(__xludf.DUMMYFUNCTION("""COMPUTED_VALUE"""),2.0)</f>
        <v>2</v>
      </c>
      <c r="D2836" s="6" t="str">
        <f>IFERROR(__xludf.DUMMYFUNCTION("""COMPUTED_VALUE"""),"O-54007-00")</f>
        <v>O-54007-00</v>
      </c>
      <c r="E2836" s="6" t="str">
        <f>IFERROR(__xludf.DUMMYFUNCTION("""COMPUTED_VALUE"""),"MCB 1 PHASE, SCHNEIDER ELECTRIC, IC60H 10Ka 16 AMPERE")</f>
        <v>MCB 1 PHASE, SCHNEIDER ELECTRIC, IC60H 10Ka 16 AMPERE</v>
      </c>
      <c r="F2836" s="6">
        <f>IFERROR(__xludf.DUMMYFUNCTION("""COMPUTED_VALUE"""),4.0)</f>
        <v>4</v>
      </c>
      <c r="G2836" s="6" t="str">
        <f>IFERROR(__xludf.DUMMYFUNCTION("""COMPUTED_VALUE"""),"Pieces")</f>
        <v>Pieces</v>
      </c>
      <c r="H2836" s="6" t="str">
        <f>IFERROR(__xludf.DUMMYFUNCTION("""COMPUTED_VALUE"""),"IDR")</f>
        <v>IDR</v>
      </c>
      <c r="I2836" s="11">
        <f>IFERROR(__xludf.DUMMYFUNCTION("""COMPUTED_VALUE"""),179550.0)</f>
        <v>179550</v>
      </c>
      <c r="J2836" s="11">
        <f>IFERROR(__xludf.DUMMYFUNCTION("""COMPUTED_VALUE"""),718200.0)</f>
        <v>718200</v>
      </c>
      <c r="K2836" s="57">
        <f>IFERROR(__xludf.DUMMYFUNCTION("""COMPUTED_VALUE"""),45309.0)</f>
        <v>45309</v>
      </c>
      <c r="L2836" s="6" t="str">
        <f>IFERROR(__xludf.DUMMYFUNCTION("""COMPUTED_VALUE"""),"FIP Engineering")</f>
        <v>FIP Engineering</v>
      </c>
      <c r="M2836" s="6" t="str">
        <f>IFERROR(__xludf.DUMMYFUNCTION("""COMPUTED_VALUE"""),"Mochammad Fadhillah Hakim")</f>
        <v>Mochammad Fadhillah Hakim</v>
      </c>
      <c r="N2836" s="6" t="str">
        <f>IFERROR(__xludf.DUMMYFUNCTION("""COMPUTED_VALUE"""),"FIP Engineering")</f>
        <v>FIP Engineering</v>
      </c>
      <c r="O2836" s="6" t="str">
        <f>IFERROR(__xludf.DUMMYFUNCTION("""COMPUTED_VALUE"""),"FIP-DOM-000-11304-OS00001-INA-000000")</f>
        <v>FIP-DOM-000-11304-OS00001-INA-000000</v>
      </c>
      <c r="P2836" s="6" t="str">
        <f>IFERROR(__xludf.DUMMYFUNCTION("""COMPUTED_VALUE"""),"PO Closed")</f>
        <v>PO Closed</v>
      </c>
      <c r="Q2836" s="6" t="str">
        <f>IFERROR(__xludf.DUMMYFUNCTION("""COMPUTED_VALUE"""),"GL2401008")</f>
        <v>GL2401008</v>
      </c>
      <c r="R2836" s="57">
        <f>IFERROR(__xludf.DUMMYFUNCTION("""COMPUTED_VALUE"""),45295.0)</f>
        <v>45295</v>
      </c>
      <c r="S2836" s="57">
        <f>IFERROR(__xludf.DUMMYFUNCTION("""COMPUTED_VALUE"""),45296.0)</f>
        <v>45296</v>
      </c>
      <c r="T2836" s="57">
        <f>IFERROR(__xludf.DUMMYFUNCTION("""COMPUTED_VALUE"""),45364.0)</f>
        <v>45364</v>
      </c>
    </row>
    <row r="2837">
      <c r="A2837" s="6" t="str">
        <f>IFERROR(__xludf.DUMMYFUNCTION("""COMPUTED_VALUE"""),"241750019-3")</f>
        <v>241750019-3</v>
      </c>
      <c r="B2837" s="6" t="str">
        <f>IFERROR(__xludf.DUMMYFUNCTION("""COMPUTED_VALUE"""),"241750019 - Approved")</f>
        <v>241750019 - Approved</v>
      </c>
      <c r="C2837" s="6">
        <f>IFERROR(__xludf.DUMMYFUNCTION("""COMPUTED_VALUE"""),3.0)</f>
        <v>3</v>
      </c>
      <c r="D2837" s="6" t="str">
        <f>IFERROR(__xludf.DUMMYFUNCTION("""COMPUTED_VALUE"""),"P-52501-00")</f>
        <v>P-52501-00</v>
      </c>
      <c r="E2837" s="6" t="str">
        <f>IFERROR(__xludf.DUMMYFUNCTION("""COMPUTED_VALUE"""),"OMRON - TIMER H3CR- A8 220 VAC; ; ;")</f>
        <v>OMRON - TIMER H3CR- A8 220 VAC; ; ;</v>
      </c>
      <c r="F2837" s="6">
        <f>IFERROR(__xludf.DUMMYFUNCTION("""COMPUTED_VALUE"""),3.0)</f>
        <v>3</v>
      </c>
      <c r="G2837" s="6" t="str">
        <f>IFERROR(__xludf.DUMMYFUNCTION("""COMPUTED_VALUE"""),"Pieces")</f>
        <v>Pieces</v>
      </c>
      <c r="H2837" s="6" t="str">
        <f>IFERROR(__xludf.DUMMYFUNCTION("""COMPUTED_VALUE"""),"IDR")</f>
        <v>IDR</v>
      </c>
      <c r="I2837" s="11">
        <f>IFERROR(__xludf.DUMMYFUNCTION("""COMPUTED_VALUE"""),207500.0)</f>
        <v>207500</v>
      </c>
      <c r="J2837" s="11">
        <f>IFERROR(__xludf.DUMMYFUNCTION("""COMPUTED_VALUE"""),622500.0)</f>
        <v>622500</v>
      </c>
      <c r="K2837" s="57">
        <f>IFERROR(__xludf.DUMMYFUNCTION("""COMPUTED_VALUE"""),45309.0)</f>
        <v>45309</v>
      </c>
      <c r="L2837" s="6" t="str">
        <f>IFERROR(__xludf.DUMMYFUNCTION("""COMPUTED_VALUE"""),"FIP Engineering")</f>
        <v>FIP Engineering</v>
      </c>
      <c r="M2837" s="6" t="str">
        <f>IFERROR(__xludf.DUMMYFUNCTION("""COMPUTED_VALUE"""),"Mochammad Fadhillah Hakim")</f>
        <v>Mochammad Fadhillah Hakim</v>
      </c>
      <c r="N2837" s="6" t="str">
        <f>IFERROR(__xludf.DUMMYFUNCTION("""COMPUTED_VALUE"""),"FIP Engineering")</f>
        <v>FIP Engineering</v>
      </c>
      <c r="O2837" s="6" t="str">
        <f>IFERROR(__xludf.DUMMYFUNCTION("""COMPUTED_VALUE"""),"FIP-DOM-000-11304-OS00001-INA-000000")</f>
        <v>FIP-DOM-000-11304-OS00001-INA-000000</v>
      </c>
      <c r="P2837" s="6" t="str">
        <f>IFERROR(__xludf.DUMMYFUNCTION("""COMPUTED_VALUE"""),"PO Closed")</f>
        <v>PO Closed</v>
      </c>
      <c r="Q2837" s="6" t="str">
        <f>IFERROR(__xludf.DUMMYFUNCTION("""COMPUTED_VALUE"""),"GL2401005")</f>
        <v>GL2401005</v>
      </c>
      <c r="R2837" s="57">
        <f>IFERROR(__xludf.DUMMYFUNCTION("""COMPUTED_VALUE"""),45295.0)</f>
        <v>45295</v>
      </c>
      <c r="S2837" s="57">
        <f>IFERROR(__xludf.DUMMYFUNCTION("""COMPUTED_VALUE"""),45296.0)</f>
        <v>45296</v>
      </c>
      <c r="T2837" s="57">
        <f>IFERROR(__xludf.DUMMYFUNCTION("""COMPUTED_VALUE"""),45324.0)</f>
        <v>45324</v>
      </c>
    </row>
    <row r="2838">
      <c r="A2838" s="6" t="str">
        <f>IFERROR(__xludf.DUMMYFUNCTION("""COMPUTED_VALUE"""),"241750019-4")</f>
        <v>241750019-4</v>
      </c>
      <c r="B2838" s="6" t="str">
        <f>IFERROR(__xludf.DUMMYFUNCTION("""COMPUTED_VALUE"""),"241750019 - Approved")</f>
        <v>241750019 - Approved</v>
      </c>
      <c r="C2838" s="6">
        <f>IFERROR(__xludf.DUMMYFUNCTION("""COMPUTED_VALUE"""),4.0)</f>
        <v>4</v>
      </c>
      <c r="D2838" s="6" t="str">
        <f>IFERROR(__xludf.DUMMYFUNCTION("""COMPUTED_VALUE"""),"P-14519-00")</f>
        <v>P-14519-00</v>
      </c>
      <c r="E2838" s="6" t="str">
        <f>IFERROR(__xludf.DUMMYFUNCTION("""COMPUTED_VALUE"""),"Baut Hexagonal SS M8x30mm+Mur+Ring; ; ;")</f>
        <v>Baut Hexagonal SS M8x30mm+Mur+Ring; ; ;</v>
      </c>
      <c r="F2838" s="6">
        <f>IFERROR(__xludf.DUMMYFUNCTION("""COMPUTED_VALUE"""),100.0)</f>
        <v>100</v>
      </c>
      <c r="G2838" s="6" t="str">
        <f>IFERROR(__xludf.DUMMYFUNCTION("""COMPUTED_VALUE"""),"Pieces")</f>
        <v>Pieces</v>
      </c>
      <c r="H2838" s="6" t="str">
        <f>IFERROR(__xludf.DUMMYFUNCTION("""COMPUTED_VALUE"""),"IDR")</f>
        <v>IDR</v>
      </c>
      <c r="I2838" s="11">
        <f>IFERROR(__xludf.DUMMYFUNCTION("""COMPUTED_VALUE"""),4700.0)</f>
        <v>4700</v>
      </c>
      <c r="J2838" s="11">
        <f>IFERROR(__xludf.DUMMYFUNCTION("""COMPUTED_VALUE"""),470000.0)</f>
        <v>470000</v>
      </c>
      <c r="K2838" s="57">
        <f>IFERROR(__xludf.DUMMYFUNCTION("""COMPUTED_VALUE"""),45309.0)</f>
        <v>45309</v>
      </c>
      <c r="L2838" s="6" t="str">
        <f>IFERROR(__xludf.DUMMYFUNCTION("""COMPUTED_VALUE"""),"FIP Engineering")</f>
        <v>FIP Engineering</v>
      </c>
      <c r="M2838" s="6" t="str">
        <f>IFERROR(__xludf.DUMMYFUNCTION("""COMPUTED_VALUE"""),"Mochammad Fadhillah Hakim")</f>
        <v>Mochammad Fadhillah Hakim</v>
      </c>
      <c r="N2838" s="6" t="str">
        <f>IFERROR(__xludf.DUMMYFUNCTION("""COMPUTED_VALUE"""),"FIP Engineering")</f>
        <v>FIP Engineering</v>
      </c>
      <c r="O2838" s="6" t="str">
        <f>IFERROR(__xludf.DUMMYFUNCTION("""COMPUTED_VALUE"""),"FIP-DOM-000-11304-OS00001-INA-000000")</f>
        <v>FIP-DOM-000-11304-OS00001-INA-000000</v>
      </c>
      <c r="P2838" s="6" t="str">
        <f>IFERROR(__xludf.DUMMYFUNCTION("""COMPUTED_VALUE"""),"PO Closed")</f>
        <v>PO Closed</v>
      </c>
      <c r="Q2838" s="6" t="str">
        <f>IFERROR(__xludf.DUMMYFUNCTION("""COMPUTED_VALUE"""),"GL2401008")</f>
        <v>GL2401008</v>
      </c>
      <c r="R2838" s="57">
        <f>IFERROR(__xludf.DUMMYFUNCTION("""COMPUTED_VALUE"""),45295.0)</f>
        <v>45295</v>
      </c>
      <c r="S2838" s="57">
        <f>IFERROR(__xludf.DUMMYFUNCTION("""COMPUTED_VALUE"""),45296.0)</f>
        <v>45296</v>
      </c>
      <c r="T2838" s="57">
        <f>IFERROR(__xludf.DUMMYFUNCTION("""COMPUTED_VALUE"""),45364.0)</f>
        <v>45364</v>
      </c>
    </row>
    <row r="2839">
      <c r="A2839" s="6" t="str">
        <f>IFERROR(__xludf.DUMMYFUNCTION("""COMPUTED_VALUE"""),"241750020-1")</f>
        <v>241750020-1</v>
      </c>
      <c r="B2839" s="6" t="str">
        <f>IFERROR(__xludf.DUMMYFUNCTION("""COMPUTED_VALUE"""),"241750020 - Approved")</f>
        <v>241750020 - Approved</v>
      </c>
      <c r="C2839" s="6">
        <f>IFERROR(__xludf.DUMMYFUNCTION("""COMPUTED_VALUE"""),1.0)</f>
        <v>1</v>
      </c>
      <c r="D2839" s="6" t="str">
        <f>IFERROR(__xludf.DUMMYFUNCTION("""COMPUTED_VALUE"""),"P-18713-00")</f>
        <v>P-18713-00</v>
      </c>
      <c r="E2839" s="6" t="str">
        <f>IFERROR(__xludf.DUMMYFUNCTION("""COMPUTED_VALUE"""),"Screw Extractor Merek Tekiro (1 set = 6 pcs); ; ;")</f>
        <v>Screw Extractor Merek Tekiro (1 set = 6 pcs); ; ;</v>
      </c>
      <c r="F2839" s="6">
        <f>IFERROR(__xludf.DUMMYFUNCTION("""COMPUTED_VALUE"""),1.0)</f>
        <v>1</v>
      </c>
      <c r="G2839" s="6" t="str">
        <f>IFERROR(__xludf.DUMMYFUNCTION("""COMPUTED_VALUE"""),"Set")</f>
        <v>Set</v>
      </c>
      <c r="H2839" s="6" t="str">
        <f>IFERROR(__xludf.DUMMYFUNCTION("""COMPUTED_VALUE"""),"IDR")</f>
        <v>IDR</v>
      </c>
      <c r="I2839" s="11">
        <f>IFERROR(__xludf.DUMMYFUNCTION("""COMPUTED_VALUE"""),110000.0)</f>
        <v>110000</v>
      </c>
      <c r="J2839" s="11">
        <f>IFERROR(__xludf.DUMMYFUNCTION("""COMPUTED_VALUE"""),110000.0)</f>
        <v>110000</v>
      </c>
      <c r="K2839" s="57">
        <f>IFERROR(__xludf.DUMMYFUNCTION("""COMPUTED_VALUE"""),45309.0)</f>
        <v>45309</v>
      </c>
      <c r="L2839" s="6" t="str">
        <f>IFERROR(__xludf.DUMMYFUNCTION("""COMPUTED_VALUE"""),"FIP General")</f>
        <v>FIP General</v>
      </c>
      <c r="M2839" s="6" t="str">
        <f>IFERROR(__xludf.DUMMYFUNCTION("""COMPUTED_VALUE"""),"Mochammad Fadhillah Hakim")</f>
        <v>Mochammad Fadhillah Hakim</v>
      </c>
      <c r="N2839" s="6" t="str">
        <f>IFERROR(__xludf.DUMMYFUNCTION("""COMPUTED_VALUE"""),"FIP Engineering")</f>
        <v>FIP Engineering</v>
      </c>
      <c r="O2839" s="6" t="str">
        <f>IFERROR(__xludf.DUMMYFUNCTION("""COMPUTED_VALUE"""),"FIP-DOM-ENG-51404-0000000-INA-000000")</f>
        <v>FIP-DOM-ENG-51404-0000000-INA-000000</v>
      </c>
      <c r="P2839" s="6" t="str">
        <f>IFERROR(__xludf.DUMMYFUNCTION("""COMPUTED_VALUE"""),"PO Closed")</f>
        <v>PO Closed</v>
      </c>
      <c r="Q2839" s="6" t="str">
        <f>IFERROR(__xludf.DUMMYFUNCTION("""COMPUTED_VALUE"""),"GL2402073")</f>
        <v>GL2402073</v>
      </c>
      <c r="R2839" s="57">
        <f>IFERROR(__xludf.DUMMYFUNCTION("""COMPUTED_VALUE"""),45295.0)</f>
        <v>45295</v>
      </c>
      <c r="S2839" s="57">
        <f>IFERROR(__xludf.DUMMYFUNCTION("""COMPUTED_VALUE"""),45296.0)</f>
        <v>45296</v>
      </c>
      <c r="T2839" s="57">
        <f>IFERROR(__xludf.DUMMYFUNCTION("""COMPUTED_VALUE"""),45371.0)</f>
        <v>45371</v>
      </c>
    </row>
    <row r="2840">
      <c r="A2840" s="6" t="str">
        <f>IFERROR(__xludf.DUMMYFUNCTION("""COMPUTED_VALUE"""),"241750022-2")</f>
        <v>241750022-2</v>
      </c>
      <c r="B2840" s="6" t="str">
        <f>IFERROR(__xludf.DUMMYFUNCTION("""COMPUTED_VALUE"""),"241750022 - Approved")</f>
        <v>241750022 - Approved</v>
      </c>
      <c r="C2840" s="6">
        <f>IFERROR(__xludf.DUMMYFUNCTION("""COMPUTED_VALUE"""),2.0)</f>
        <v>2</v>
      </c>
      <c r="D2840" s="6" t="str">
        <f>IFERROR(__xludf.DUMMYFUNCTION("""COMPUTED_VALUE"""),"O-16317-00")</f>
        <v>O-16317-00</v>
      </c>
      <c r="E2840" s="6" t="str">
        <f>IFERROR(__xludf.DUMMYFUNCTION("""COMPUTED_VALUE"""),"FD Lyofast 10 - Oli Vaccum Ultragrade 20 Edwards; ; ;")</f>
        <v>FD Lyofast 10 - Oli Vaccum Ultragrade 20 Edwards; ; ;</v>
      </c>
      <c r="F2840" s="6">
        <f>IFERROR(__xludf.DUMMYFUNCTION("""COMPUTED_VALUE"""),1.0)</f>
        <v>1</v>
      </c>
      <c r="G2840" s="6" t="str">
        <f>IFERROR(__xludf.DUMMYFUNCTION("""COMPUTED_VALUE"""),"Liter")</f>
        <v>Liter</v>
      </c>
      <c r="H2840" s="6" t="str">
        <f>IFERROR(__xludf.DUMMYFUNCTION("""COMPUTED_VALUE"""),"IDR")</f>
        <v>IDR</v>
      </c>
      <c r="I2840" s="11">
        <f>IFERROR(__xludf.DUMMYFUNCTION("""COMPUTED_VALUE"""),100000.0)</f>
        <v>100000</v>
      </c>
      <c r="J2840" s="11">
        <f>IFERROR(__xludf.DUMMYFUNCTION("""COMPUTED_VALUE"""),100000.0)</f>
        <v>100000</v>
      </c>
      <c r="K2840" s="57">
        <f>IFERROR(__xludf.DUMMYFUNCTION("""COMPUTED_VALUE"""),45309.0)</f>
        <v>45309</v>
      </c>
      <c r="L2840" s="6" t="str">
        <f>IFERROR(__xludf.DUMMYFUNCTION("""COMPUTED_VALUE"""),"FIP Engineering")</f>
        <v>FIP Engineering</v>
      </c>
      <c r="M2840" s="6" t="str">
        <f>IFERROR(__xludf.DUMMYFUNCTION("""COMPUTED_VALUE"""),"Mochammad Fadhillah Hakim")</f>
        <v>Mochammad Fadhillah Hakim</v>
      </c>
      <c r="N2840" s="6" t="str">
        <f>IFERROR(__xludf.DUMMYFUNCTION("""COMPUTED_VALUE"""),"FIP Engineering")</f>
        <v>FIP Engineering</v>
      </c>
      <c r="O2840" s="6" t="str">
        <f>IFERROR(__xludf.DUMMYFUNCTION("""COMPUTED_VALUE"""),"FIP-DOM-000-11304-OS00001-INA-000000")</f>
        <v>FIP-DOM-000-11304-OS00001-INA-000000</v>
      </c>
      <c r="P2840" s="6" t="str">
        <f>IFERROR(__xludf.DUMMYFUNCTION("""COMPUTED_VALUE"""),"PO Closed")</f>
        <v>PO Closed</v>
      </c>
      <c r="Q2840" s="6" t="str">
        <f>IFERROR(__xludf.DUMMYFUNCTION("""COMPUTED_VALUE"""),"GL2402013")</f>
        <v>GL2402013</v>
      </c>
      <c r="R2840" s="57">
        <f>IFERROR(__xludf.DUMMYFUNCTION("""COMPUTED_VALUE"""),45295.0)</f>
        <v>45295</v>
      </c>
      <c r="S2840" s="57">
        <f>IFERROR(__xludf.DUMMYFUNCTION("""COMPUTED_VALUE"""),45296.0)</f>
        <v>45296</v>
      </c>
      <c r="T2840" s="57">
        <f>IFERROR(__xludf.DUMMYFUNCTION("""COMPUTED_VALUE"""),45350.0)</f>
        <v>45350</v>
      </c>
    </row>
    <row r="2841">
      <c r="A2841" s="6" t="str">
        <f>IFERROR(__xludf.DUMMYFUNCTION("""COMPUTED_VALUE"""),"241750022-3")</f>
        <v>241750022-3</v>
      </c>
      <c r="B2841" s="6" t="str">
        <f>IFERROR(__xludf.DUMMYFUNCTION("""COMPUTED_VALUE"""),"241750022 - Approved")</f>
        <v>241750022 - Approved</v>
      </c>
      <c r="C2841" s="6">
        <f>IFERROR(__xludf.DUMMYFUNCTION("""COMPUTED_VALUE"""),3.0)</f>
        <v>3</v>
      </c>
      <c r="D2841" s="6" t="str">
        <f>IFERROR(__xludf.DUMMYFUNCTION("""COMPUTED_VALUE"""),"P-11392-00")</f>
        <v>P-11392-00</v>
      </c>
      <c r="E2841" s="6" t="str">
        <f>IFERROR(__xludf.DUMMYFUNCTION("""COMPUTED_VALUE"""),"Seal Ferrule EPDM 2""")</f>
        <v>Seal Ferrule EPDM 2"</v>
      </c>
      <c r="F2841" s="6">
        <f>IFERROR(__xludf.DUMMYFUNCTION("""COMPUTED_VALUE"""),30.0)</f>
        <v>30</v>
      </c>
      <c r="G2841" s="6" t="str">
        <f>IFERROR(__xludf.DUMMYFUNCTION("""COMPUTED_VALUE"""),"Pieces")</f>
        <v>Pieces</v>
      </c>
      <c r="H2841" s="6" t="str">
        <f>IFERROR(__xludf.DUMMYFUNCTION("""COMPUTED_VALUE"""),"IDR")</f>
        <v>IDR</v>
      </c>
      <c r="I2841" s="11">
        <f>IFERROR(__xludf.DUMMYFUNCTION("""COMPUTED_VALUE"""),23200.0)</f>
        <v>23200</v>
      </c>
      <c r="J2841" s="11">
        <f>IFERROR(__xludf.DUMMYFUNCTION("""COMPUTED_VALUE"""),696000.0)</f>
        <v>696000</v>
      </c>
      <c r="K2841" s="57">
        <f>IFERROR(__xludf.DUMMYFUNCTION("""COMPUTED_VALUE"""),45309.0)</f>
        <v>45309</v>
      </c>
      <c r="L2841" s="6" t="str">
        <f>IFERROR(__xludf.DUMMYFUNCTION("""COMPUTED_VALUE"""),"FIP Engineering")</f>
        <v>FIP Engineering</v>
      </c>
      <c r="M2841" s="6" t="str">
        <f>IFERROR(__xludf.DUMMYFUNCTION("""COMPUTED_VALUE"""),"Mochammad Fadhillah Hakim")</f>
        <v>Mochammad Fadhillah Hakim</v>
      </c>
      <c r="N2841" s="6" t="str">
        <f>IFERROR(__xludf.DUMMYFUNCTION("""COMPUTED_VALUE"""),"FIP Engineering")</f>
        <v>FIP Engineering</v>
      </c>
      <c r="O2841" s="6" t="str">
        <f>IFERROR(__xludf.DUMMYFUNCTION("""COMPUTED_VALUE"""),"FIP-DOM-000-11304-OS00001-INA-000000")</f>
        <v>FIP-DOM-000-11304-OS00001-INA-000000</v>
      </c>
      <c r="P2841" s="6" t="str">
        <f>IFERROR(__xludf.DUMMYFUNCTION("""COMPUTED_VALUE"""),"PO Closed")</f>
        <v>PO Closed</v>
      </c>
      <c r="Q2841" s="6" t="str">
        <f>IFERROR(__xludf.DUMMYFUNCTION("""COMPUTED_VALUE"""),"GL2402005")</f>
        <v>GL2402005</v>
      </c>
      <c r="R2841" s="57">
        <f>IFERROR(__xludf.DUMMYFUNCTION("""COMPUTED_VALUE"""),45295.0)</f>
        <v>45295</v>
      </c>
      <c r="S2841" s="57">
        <f>IFERROR(__xludf.DUMMYFUNCTION("""COMPUTED_VALUE"""),45296.0)</f>
        <v>45296</v>
      </c>
      <c r="T2841" s="57">
        <f>IFERROR(__xludf.DUMMYFUNCTION("""COMPUTED_VALUE"""),45350.0)</f>
        <v>45350</v>
      </c>
    </row>
    <row r="2842">
      <c r="A2842" s="6" t="str">
        <f>IFERROR(__xludf.DUMMYFUNCTION("""COMPUTED_VALUE"""),"241750022-6")</f>
        <v>241750022-6</v>
      </c>
      <c r="B2842" s="6" t="str">
        <f>IFERROR(__xludf.DUMMYFUNCTION("""COMPUTED_VALUE"""),"241750022 - Approved")</f>
        <v>241750022 - Approved</v>
      </c>
      <c r="C2842" s="6">
        <f>IFERROR(__xludf.DUMMYFUNCTION("""COMPUTED_VALUE"""),6.0)</f>
        <v>6</v>
      </c>
      <c r="D2842" s="6" t="str">
        <f>IFERROR(__xludf.DUMMYFUNCTION("""COMPUTED_VALUE"""),"O-18892-00")</f>
        <v>O-18892-00</v>
      </c>
      <c r="E2842" s="6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F2842" s="6">
        <f>IFERROR(__xludf.DUMMYFUNCTION("""COMPUTED_VALUE"""),2.0)</f>
        <v>2</v>
      </c>
      <c r="G2842" s="6" t="str">
        <f>IFERROR(__xludf.DUMMYFUNCTION("""COMPUTED_VALUE"""),"Pieces")</f>
        <v>Pieces</v>
      </c>
      <c r="H2842" s="6" t="str">
        <f>IFERROR(__xludf.DUMMYFUNCTION("""COMPUTED_VALUE"""),"IDR")</f>
        <v>IDR</v>
      </c>
      <c r="I2842" s="6">
        <f>IFERROR(__xludf.DUMMYFUNCTION("""COMPUTED_VALUE"""),13.86)</f>
        <v>13.86</v>
      </c>
      <c r="J2842" s="6">
        <f>IFERROR(__xludf.DUMMYFUNCTION("""COMPUTED_VALUE"""),27.72)</f>
        <v>27.72</v>
      </c>
      <c r="K2842" s="57">
        <f>IFERROR(__xludf.DUMMYFUNCTION("""COMPUTED_VALUE"""),45309.0)</f>
        <v>45309</v>
      </c>
      <c r="L2842" s="6" t="str">
        <f>IFERROR(__xludf.DUMMYFUNCTION("""COMPUTED_VALUE"""),"FIP Engineering")</f>
        <v>FIP Engineering</v>
      </c>
      <c r="M2842" s="6" t="str">
        <f>IFERROR(__xludf.DUMMYFUNCTION("""COMPUTED_VALUE"""),"Mochammad Fadhillah Hakim")</f>
        <v>Mochammad Fadhillah Hakim</v>
      </c>
      <c r="N2842" s="6" t="str">
        <f>IFERROR(__xludf.DUMMYFUNCTION("""COMPUTED_VALUE"""),"FIP Engineering")</f>
        <v>FIP Engineering</v>
      </c>
      <c r="O2842" s="6" t="str">
        <f>IFERROR(__xludf.DUMMYFUNCTION("""COMPUTED_VALUE"""),"FIP-DOM-000-11304-OS00001-INA-000000")</f>
        <v>FIP-DOM-000-11304-OS00001-INA-000000</v>
      </c>
      <c r="P2842" s="6" t="str">
        <f>IFERROR(__xludf.DUMMYFUNCTION("""COMPUTED_VALUE"""),"PO Closed")</f>
        <v>PO Closed</v>
      </c>
      <c r="Q2842" s="6" t="str">
        <f>IFERROR(__xludf.DUMMYFUNCTION("""COMPUTED_VALUE"""),"GL2401039")</f>
        <v>GL2401039</v>
      </c>
      <c r="R2842" s="57">
        <f>IFERROR(__xludf.DUMMYFUNCTION("""COMPUTED_VALUE"""),45295.0)</f>
        <v>45295</v>
      </c>
      <c r="S2842" s="57">
        <f>IFERROR(__xludf.DUMMYFUNCTION("""COMPUTED_VALUE"""),45296.0)</f>
        <v>45296</v>
      </c>
      <c r="T2842" s="57">
        <f>IFERROR(__xludf.DUMMYFUNCTION("""COMPUTED_VALUE"""),45327.0)</f>
        <v>45327</v>
      </c>
    </row>
    <row r="2843">
      <c r="A2843" s="6" t="str">
        <f>IFERROR(__xludf.DUMMYFUNCTION("""COMPUTED_VALUE"""),"241750022-7")</f>
        <v>241750022-7</v>
      </c>
      <c r="B2843" s="6" t="str">
        <f>IFERROR(__xludf.DUMMYFUNCTION("""COMPUTED_VALUE"""),"241750022 - Approved")</f>
        <v>241750022 - Approved</v>
      </c>
      <c r="C2843" s="6">
        <f>IFERROR(__xludf.DUMMYFUNCTION("""COMPUTED_VALUE"""),7.0)</f>
        <v>7</v>
      </c>
      <c r="D2843" s="6" t="str">
        <f>IFERROR(__xludf.DUMMYFUNCTION("""COMPUTED_VALUE"""),"O-18893-00")</f>
        <v>O-18893-00</v>
      </c>
      <c r="E2843" s="6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F2843" s="6">
        <f>IFERROR(__xludf.DUMMYFUNCTION("""COMPUTED_VALUE"""),2.0)</f>
        <v>2</v>
      </c>
      <c r="G2843" s="6" t="str">
        <f>IFERROR(__xludf.DUMMYFUNCTION("""COMPUTED_VALUE"""),"Pieces")</f>
        <v>Pieces</v>
      </c>
      <c r="H2843" s="6" t="str">
        <f>IFERROR(__xludf.DUMMYFUNCTION("""COMPUTED_VALUE"""),"IDR")</f>
        <v>IDR</v>
      </c>
      <c r="I2843" s="6">
        <f>IFERROR(__xludf.DUMMYFUNCTION("""COMPUTED_VALUE"""),202.14)</f>
        <v>202.14</v>
      </c>
      <c r="J2843" s="6">
        <f>IFERROR(__xludf.DUMMYFUNCTION("""COMPUTED_VALUE"""),404.28)</f>
        <v>404.28</v>
      </c>
      <c r="K2843" s="57">
        <f>IFERROR(__xludf.DUMMYFUNCTION("""COMPUTED_VALUE"""),45309.0)</f>
        <v>45309</v>
      </c>
      <c r="L2843" s="6" t="str">
        <f>IFERROR(__xludf.DUMMYFUNCTION("""COMPUTED_VALUE"""),"FIP Engineering")</f>
        <v>FIP Engineering</v>
      </c>
      <c r="M2843" s="6" t="str">
        <f>IFERROR(__xludf.DUMMYFUNCTION("""COMPUTED_VALUE"""),"Mochammad Fadhillah Hakim")</f>
        <v>Mochammad Fadhillah Hakim</v>
      </c>
      <c r="N2843" s="6" t="str">
        <f>IFERROR(__xludf.DUMMYFUNCTION("""COMPUTED_VALUE"""),"FIP Engineering")</f>
        <v>FIP Engineering</v>
      </c>
      <c r="O2843" s="6" t="str">
        <f>IFERROR(__xludf.DUMMYFUNCTION("""COMPUTED_VALUE"""),"FIP-DOM-000-11304-OS00001-INA-000000")</f>
        <v>FIP-DOM-000-11304-OS00001-INA-000000</v>
      </c>
      <c r="P2843" s="6" t="str">
        <f>IFERROR(__xludf.DUMMYFUNCTION("""COMPUTED_VALUE"""),"PO Closed")</f>
        <v>PO Closed</v>
      </c>
      <c r="Q2843" s="6" t="str">
        <f>IFERROR(__xludf.DUMMYFUNCTION("""COMPUTED_VALUE"""),"GL2401039")</f>
        <v>GL2401039</v>
      </c>
      <c r="R2843" s="57">
        <f>IFERROR(__xludf.DUMMYFUNCTION("""COMPUTED_VALUE"""),45295.0)</f>
        <v>45295</v>
      </c>
      <c r="S2843" s="57">
        <f>IFERROR(__xludf.DUMMYFUNCTION("""COMPUTED_VALUE"""),45296.0)</f>
        <v>45296</v>
      </c>
      <c r="T2843" s="57">
        <f>IFERROR(__xludf.DUMMYFUNCTION("""COMPUTED_VALUE"""),45327.0)</f>
        <v>45327</v>
      </c>
    </row>
    <row r="2844">
      <c r="A2844" s="6" t="str">
        <f>IFERROR(__xludf.DUMMYFUNCTION("""COMPUTED_VALUE"""),"241750022-8")</f>
        <v>241750022-8</v>
      </c>
      <c r="B2844" s="6" t="str">
        <f>IFERROR(__xludf.DUMMYFUNCTION("""COMPUTED_VALUE"""),"241750022 - Approved")</f>
        <v>241750022 - Approved</v>
      </c>
      <c r="C2844" s="6">
        <f>IFERROR(__xludf.DUMMYFUNCTION("""COMPUTED_VALUE"""),8.0)</f>
        <v>8</v>
      </c>
      <c r="D2844" s="6" t="str">
        <f>IFERROR(__xludf.DUMMYFUNCTION("""COMPUTED_VALUE"""),"P-18725-00")</f>
        <v>P-18725-00</v>
      </c>
      <c r="E2844" s="6" t="str">
        <f>IFERROR(__xludf.DUMMYFUNCTION("""COMPUTED_VALUE"""),"Freon Refrigerant Chemours Suva R507; ; ;")</f>
        <v>Freon Refrigerant Chemours Suva R507; ; ;</v>
      </c>
      <c r="F2844" s="6">
        <f>IFERROR(__xludf.DUMMYFUNCTION("""COMPUTED_VALUE"""),5.0)</f>
        <v>5</v>
      </c>
      <c r="G2844" s="6" t="str">
        <f>IFERROR(__xludf.DUMMYFUNCTION("""COMPUTED_VALUE"""),"Can")</f>
        <v>Can</v>
      </c>
      <c r="H2844" s="6" t="str">
        <f>IFERROR(__xludf.DUMMYFUNCTION("""COMPUTED_VALUE"""),"IDR")</f>
        <v>IDR</v>
      </c>
      <c r="I2844" s="11">
        <f>IFERROR(__xludf.DUMMYFUNCTION("""COMPUTED_VALUE"""),2250000.0)</f>
        <v>2250000</v>
      </c>
      <c r="J2844" s="11">
        <f>IFERROR(__xludf.DUMMYFUNCTION("""COMPUTED_VALUE"""),1.125E7)</f>
        <v>11250000</v>
      </c>
      <c r="K2844" s="57">
        <f>IFERROR(__xludf.DUMMYFUNCTION("""COMPUTED_VALUE"""),45309.0)</f>
        <v>45309</v>
      </c>
      <c r="L2844" s="6" t="str">
        <f>IFERROR(__xludf.DUMMYFUNCTION("""COMPUTED_VALUE"""),"FIP Engineering")</f>
        <v>FIP Engineering</v>
      </c>
      <c r="M2844" s="6" t="str">
        <f>IFERROR(__xludf.DUMMYFUNCTION("""COMPUTED_VALUE"""),"Mochammad Fadhillah Hakim")</f>
        <v>Mochammad Fadhillah Hakim</v>
      </c>
      <c r="N2844" s="6" t="str">
        <f>IFERROR(__xludf.DUMMYFUNCTION("""COMPUTED_VALUE"""),"FIP Engineering")</f>
        <v>FIP Engineering</v>
      </c>
      <c r="O2844" s="6" t="str">
        <f>IFERROR(__xludf.DUMMYFUNCTION("""COMPUTED_VALUE"""),"FIP-DOM-000-11304-OS00001-INA-000000")</f>
        <v>FIP-DOM-000-11304-OS00001-INA-000000</v>
      </c>
      <c r="P2844" s="6" t="str">
        <f>IFERROR(__xludf.DUMMYFUNCTION("""COMPUTED_VALUE"""),"PO Closed")</f>
        <v>PO Closed</v>
      </c>
      <c r="Q2844" s="6" t="str">
        <f>IFERROR(__xludf.DUMMYFUNCTION("""COMPUTED_VALUE"""),"GL2401014")</f>
        <v>GL2401014</v>
      </c>
      <c r="R2844" s="57">
        <f>IFERROR(__xludf.DUMMYFUNCTION("""COMPUTED_VALUE"""),45295.0)</f>
        <v>45295</v>
      </c>
      <c r="S2844" s="57">
        <f>IFERROR(__xludf.DUMMYFUNCTION("""COMPUTED_VALUE"""),45296.0)</f>
        <v>45296</v>
      </c>
      <c r="T2844" s="57">
        <f>IFERROR(__xludf.DUMMYFUNCTION("""COMPUTED_VALUE"""),45325.0)</f>
        <v>45325</v>
      </c>
    </row>
    <row r="2845">
      <c r="A2845" s="6" t="str">
        <f>IFERROR(__xludf.DUMMYFUNCTION("""COMPUTED_VALUE"""),"241750022-9")</f>
        <v>241750022-9</v>
      </c>
      <c r="B2845" s="6" t="str">
        <f>IFERROR(__xludf.DUMMYFUNCTION("""COMPUTED_VALUE"""),"241750022 - Approved")</f>
        <v>241750022 - Approved</v>
      </c>
      <c r="C2845" s="6">
        <f>IFERROR(__xludf.DUMMYFUNCTION("""COMPUTED_VALUE"""),9.0)</f>
        <v>9</v>
      </c>
      <c r="D2845" s="6" t="str">
        <f>IFERROR(__xludf.DUMMYFUNCTION("""COMPUTED_VALUE"""),"O-19510-00")</f>
        <v>O-19510-00</v>
      </c>
      <c r="E2845" s="6" t="str">
        <f>IFERROR(__xludf.DUMMYFUNCTION("""COMPUTED_VALUE"""),"Reducer Tembaga 1 5/8 Inch x 1 3/8 Inch; Lokal; ; 1 Pcs")</f>
        <v>Reducer Tembaga 1 5/8 Inch x 1 3/8 Inch; Lokal; ; 1 Pcs</v>
      </c>
      <c r="F2845" s="6">
        <f>IFERROR(__xludf.DUMMYFUNCTION("""COMPUTED_VALUE"""),2.0)</f>
        <v>2</v>
      </c>
      <c r="G2845" s="6" t="str">
        <f>IFERROR(__xludf.DUMMYFUNCTION("""COMPUTED_VALUE"""),"Pieces")</f>
        <v>Pieces</v>
      </c>
      <c r="H2845" s="6" t="str">
        <f>IFERROR(__xludf.DUMMYFUNCTION("""COMPUTED_VALUE"""),"IDR")</f>
        <v>IDR</v>
      </c>
      <c r="I2845" s="11">
        <f>IFERROR(__xludf.DUMMYFUNCTION("""COMPUTED_VALUE"""),46860.0)</f>
        <v>46860</v>
      </c>
      <c r="J2845" s="11">
        <f>IFERROR(__xludf.DUMMYFUNCTION("""COMPUTED_VALUE"""),93720.0)</f>
        <v>93720</v>
      </c>
      <c r="K2845" s="57">
        <f>IFERROR(__xludf.DUMMYFUNCTION("""COMPUTED_VALUE"""),45309.0)</f>
        <v>45309</v>
      </c>
      <c r="L2845" s="6" t="str">
        <f>IFERROR(__xludf.DUMMYFUNCTION("""COMPUTED_VALUE"""),"FIP Engineering")</f>
        <v>FIP Engineering</v>
      </c>
      <c r="M2845" s="6" t="str">
        <f>IFERROR(__xludf.DUMMYFUNCTION("""COMPUTED_VALUE"""),"Mochammad Fadhillah Hakim")</f>
        <v>Mochammad Fadhillah Hakim</v>
      </c>
      <c r="N2845" s="6" t="str">
        <f>IFERROR(__xludf.DUMMYFUNCTION("""COMPUTED_VALUE"""),"FIP Engineering")</f>
        <v>FIP Engineering</v>
      </c>
      <c r="O2845" s="6" t="str">
        <f>IFERROR(__xludf.DUMMYFUNCTION("""COMPUTED_VALUE"""),"FIP-DOM-000-11304-OS00001-INA-000000")</f>
        <v>FIP-DOM-000-11304-OS00001-INA-000000</v>
      </c>
      <c r="P2845" s="6" t="str">
        <f>IFERROR(__xludf.DUMMYFUNCTION("""COMPUTED_VALUE"""),"PO Closed")</f>
        <v>PO Closed</v>
      </c>
      <c r="Q2845" s="6" t="str">
        <f>IFERROR(__xludf.DUMMYFUNCTION("""COMPUTED_VALUE"""),"GL2401039")</f>
        <v>GL2401039</v>
      </c>
      <c r="R2845" s="57">
        <f>IFERROR(__xludf.DUMMYFUNCTION("""COMPUTED_VALUE"""),45295.0)</f>
        <v>45295</v>
      </c>
      <c r="S2845" s="57">
        <f>IFERROR(__xludf.DUMMYFUNCTION("""COMPUTED_VALUE"""),45296.0)</f>
        <v>45296</v>
      </c>
      <c r="T2845" s="57">
        <f>IFERROR(__xludf.DUMMYFUNCTION("""COMPUTED_VALUE"""),45327.0)</f>
        <v>45327</v>
      </c>
    </row>
    <row r="2846">
      <c r="A2846" s="6" t="str">
        <f>IFERROR(__xludf.DUMMYFUNCTION("""COMPUTED_VALUE"""),"241750022-10")</f>
        <v>241750022-10</v>
      </c>
      <c r="B2846" s="6" t="str">
        <f>IFERROR(__xludf.DUMMYFUNCTION("""COMPUTED_VALUE"""),"241750022 - Approved")</f>
        <v>241750022 - Approved</v>
      </c>
      <c r="C2846" s="6">
        <f>IFERROR(__xludf.DUMMYFUNCTION("""COMPUTED_VALUE"""),10.0)</f>
        <v>10</v>
      </c>
      <c r="D2846" s="6" t="str">
        <f>IFERROR(__xludf.DUMMYFUNCTION("""COMPUTED_VALUE"""),"O-19521-00")</f>
        <v>O-19521-00</v>
      </c>
      <c r="E2846" s="6" t="str">
        <f>IFERROR(__xludf.DUMMYFUNCTION("""COMPUTED_VALUE"""),"Ball Valve 7/8 inch; Castel; ;")</f>
        <v>Ball Valve 7/8 inch; Castel; ;</v>
      </c>
      <c r="F2846" s="6">
        <f>IFERROR(__xludf.DUMMYFUNCTION("""COMPUTED_VALUE"""),4.0)</f>
        <v>4</v>
      </c>
      <c r="G2846" s="6" t="str">
        <f>IFERROR(__xludf.DUMMYFUNCTION("""COMPUTED_VALUE"""),"Pieces")</f>
        <v>Pieces</v>
      </c>
      <c r="H2846" s="6" t="str">
        <f>IFERROR(__xludf.DUMMYFUNCTION("""COMPUTED_VALUE"""),"IDR")</f>
        <v>IDR</v>
      </c>
      <c r="I2846" s="11">
        <f>IFERROR(__xludf.DUMMYFUNCTION("""COMPUTED_VALUE"""),837000.0)</f>
        <v>837000</v>
      </c>
      <c r="J2846" s="11">
        <f>IFERROR(__xludf.DUMMYFUNCTION("""COMPUTED_VALUE"""),3348000.0)</f>
        <v>3348000</v>
      </c>
      <c r="K2846" s="57">
        <f>IFERROR(__xludf.DUMMYFUNCTION("""COMPUTED_VALUE"""),45309.0)</f>
        <v>45309</v>
      </c>
      <c r="L2846" s="6" t="str">
        <f>IFERROR(__xludf.DUMMYFUNCTION("""COMPUTED_VALUE"""),"FIP Engineering")</f>
        <v>FIP Engineering</v>
      </c>
      <c r="M2846" s="6" t="str">
        <f>IFERROR(__xludf.DUMMYFUNCTION("""COMPUTED_VALUE"""),"Mochammad Fadhillah Hakim")</f>
        <v>Mochammad Fadhillah Hakim</v>
      </c>
      <c r="N2846" s="6" t="str">
        <f>IFERROR(__xludf.DUMMYFUNCTION("""COMPUTED_VALUE"""),"FIP Engineering")</f>
        <v>FIP Engineering</v>
      </c>
      <c r="O2846" s="6" t="str">
        <f>IFERROR(__xludf.DUMMYFUNCTION("""COMPUTED_VALUE"""),"FIP-DOM-000-11304-OS00001-INA-000000")</f>
        <v>FIP-DOM-000-11304-OS00001-INA-000000</v>
      </c>
      <c r="P2846" s="6" t="str">
        <f>IFERROR(__xludf.DUMMYFUNCTION("""COMPUTED_VALUE"""),"PO Closed")</f>
        <v>PO Closed</v>
      </c>
      <c r="Q2846" s="6" t="str">
        <f>IFERROR(__xludf.DUMMYFUNCTION("""COMPUTED_VALUE"""),"GL2401039")</f>
        <v>GL2401039</v>
      </c>
      <c r="R2846" s="57">
        <f>IFERROR(__xludf.DUMMYFUNCTION("""COMPUTED_VALUE"""),45295.0)</f>
        <v>45295</v>
      </c>
      <c r="S2846" s="57">
        <f>IFERROR(__xludf.DUMMYFUNCTION("""COMPUTED_VALUE"""),45296.0)</f>
        <v>45296</v>
      </c>
      <c r="T2846" s="57">
        <f>IFERROR(__xludf.DUMMYFUNCTION("""COMPUTED_VALUE"""),45327.0)</f>
        <v>45327</v>
      </c>
    </row>
    <row r="2847">
      <c r="A2847" s="6" t="str">
        <f>IFERROR(__xludf.DUMMYFUNCTION("""COMPUTED_VALUE"""),"241750023-1")</f>
        <v>241750023-1</v>
      </c>
      <c r="B2847" s="6" t="str">
        <f>IFERROR(__xludf.DUMMYFUNCTION("""COMPUTED_VALUE"""),"241750023 - Approved")</f>
        <v>241750023 - Approved</v>
      </c>
      <c r="C2847" s="6">
        <f>IFERROR(__xludf.DUMMYFUNCTION("""COMPUTED_VALUE"""),1.0)</f>
        <v>1</v>
      </c>
      <c r="D2847" s="6" t="str">
        <f>IFERROR(__xludf.DUMMYFUNCTION("""COMPUTED_VALUE"""),"O-16570-00")</f>
        <v>O-16570-00</v>
      </c>
      <c r="E2847" s="6" t="str">
        <f>IFERROR(__xludf.DUMMYFUNCTION("""COMPUTED_VALUE"""),"Marchesini MA155 - Conveyor Belt TS10 720 x 40 Habasit p/n:C720007240")</f>
        <v>Marchesini MA155 - Conveyor Belt TS10 720 x 40 Habasit p/n:C720007240</v>
      </c>
      <c r="F2847" s="6">
        <f>IFERROR(__xludf.DUMMYFUNCTION("""COMPUTED_VALUE"""),2.0)</f>
        <v>2</v>
      </c>
      <c r="G2847" s="6" t="str">
        <f>IFERROR(__xludf.DUMMYFUNCTION("""COMPUTED_VALUE"""),"Pieces")</f>
        <v>Pieces</v>
      </c>
      <c r="H2847" s="6" t="str">
        <f>IFERROR(__xludf.DUMMYFUNCTION("""COMPUTED_VALUE"""),"IDR")</f>
        <v>IDR</v>
      </c>
      <c r="I2847" s="11">
        <f>IFERROR(__xludf.DUMMYFUNCTION("""COMPUTED_VALUE"""),100000.0)</f>
        <v>100000</v>
      </c>
      <c r="J2847" s="11">
        <f>IFERROR(__xludf.DUMMYFUNCTION("""COMPUTED_VALUE"""),200000.0)</f>
        <v>200000</v>
      </c>
      <c r="K2847" s="57">
        <f>IFERROR(__xludf.DUMMYFUNCTION("""COMPUTED_VALUE"""),45309.0)</f>
        <v>45309</v>
      </c>
      <c r="L2847" s="6" t="str">
        <f>IFERROR(__xludf.DUMMYFUNCTION("""COMPUTED_VALUE"""),"FIP Engineering")</f>
        <v>FIP Engineering</v>
      </c>
      <c r="M2847" s="6" t="str">
        <f>IFERROR(__xludf.DUMMYFUNCTION("""COMPUTED_VALUE"""),"Mochammad Fadhillah Hakim")</f>
        <v>Mochammad Fadhillah Hakim</v>
      </c>
      <c r="N2847" s="6" t="str">
        <f>IFERROR(__xludf.DUMMYFUNCTION("""COMPUTED_VALUE"""),"FIP Engineering")</f>
        <v>FIP Engineering</v>
      </c>
      <c r="O2847" s="6" t="str">
        <f>IFERROR(__xludf.DUMMYFUNCTION("""COMPUTED_VALUE"""),"FIP-DOM-000-11304-OS00001-INA-000000")</f>
        <v>FIP-DOM-000-11304-OS00001-INA-000000</v>
      </c>
      <c r="P2847" s="6" t="str">
        <f>IFERROR(__xludf.DUMMYFUNCTION("""COMPUTED_VALUE"""),"PO Closed")</f>
        <v>PO Closed</v>
      </c>
      <c r="Q2847" s="6" t="str">
        <f>IFERROR(__xludf.DUMMYFUNCTION("""COMPUTED_VALUE"""),"GL2402021")</f>
        <v>GL2402021</v>
      </c>
      <c r="R2847" s="57">
        <f>IFERROR(__xludf.DUMMYFUNCTION("""COMPUTED_VALUE"""),45295.0)</f>
        <v>45295</v>
      </c>
      <c r="S2847" s="57">
        <f>IFERROR(__xludf.DUMMYFUNCTION("""COMPUTED_VALUE"""),45296.0)</f>
        <v>45296</v>
      </c>
      <c r="T2847" s="57">
        <f>IFERROR(__xludf.DUMMYFUNCTION("""COMPUTED_VALUE"""),45081.0)</f>
        <v>45081</v>
      </c>
    </row>
    <row r="2848">
      <c r="A2848" s="6" t="str">
        <f>IFERROR(__xludf.DUMMYFUNCTION("""COMPUTED_VALUE"""),"241750023-2")</f>
        <v>241750023-2</v>
      </c>
      <c r="B2848" s="6" t="str">
        <f>IFERROR(__xludf.DUMMYFUNCTION("""COMPUTED_VALUE"""),"241750023 - Approved")</f>
        <v>241750023 - Approved</v>
      </c>
      <c r="C2848" s="6">
        <f>IFERROR(__xludf.DUMMYFUNCTION("""COMPUTED_VALUE"""),2.0)</f>
        <v>2</v>
      </c>
      <c r="D2848" s="6" t="str">
        <f>IFERROR(__xludf.DUMMYFUNCTION("""COMPUTED_VALUE"""),"O-16571-00")</f>
        <v>O-16571-00</v>
      </c>
      <c r="E2848" s="6" t="str">
        <f>IFERROR(__xludf.DUMMYFUNCTION("""COMPUTED_VALUE"""),"Marchesini MA155 - Conveyor Belt TS10 570 x 40 Habasit p/n:C720005740")</f>
        <v>Marchesini MA155 - Conveyor Belt TS10 570 x 40 Habasit p/n:C720005740</v>
      </c>
      <c r="F2848" s="6">
        <f>IFERROR(__xludf.DUMMYFUNCTION("""COMPUTED_VALUE"""),2.0)</f>
        <v>2</v>
      </c>
      <c r="G2848" s="6" t="str">
        <f>IFERROR(__xludf.DUMMYFUNCTION("""COMPUTED_VALUE"""),"Pieces")</f>
        <v>Pieces</v>
      </c>
      <c r="H2848" s="6" t="str">
        <f>IFERROR(__xludf.DUMMYFUNCTION("""COMPUTED_VALUE"""),"IDR")</f>
        <v>IDR</v>
      </c>
      <c r="I2848" s="11">
        <f>IFERROR(__xludf.DUMMYFUNCTION("""COMPUTED_VALUE"""),100000.0)</f>
        <v>100000</v>
      </c>
      <c r="J2848" s="11">
        <f>IFERROR(__xludf.DUMMYFUNCTION("""COMPUTED_VALUE"""),200000.0)</f>
        <v>200000</v>
      </c>
      <c r="K2848" s="57">
        <f>IFERROR(__xludf.DUMMYFUNCTION("""COMPUTED_VALUE"""),45309.0)</f>
        <v>45309</v>
      </c>
      <c r="L2848" s="6" t="str">
        <f>IFERROR(__xludf.DUMMYFUNCTION("""COMPUTED_VALUE"""),"FIP Engineering")</f>
        <v>FIP Engineering</v>
      </c>
      <c r="M2848" s="6" t="str">
        <f>IFERROR(__xludf.DUMMYFUNCTION("""COMPUTED_VALUE"""),"Mochammad Fadhillah Hakim")</f>
        <v>Mochammad Fadhillah Hakim</v>
      </c>
      <c r="N2848" s="6" t="str">
        <f>IFERROR(__xludf.DUMMYFUNCTION("""COMPUTED_VALUE"""),"FIP Engineering")</f>
        <v>FIP Engineering</v>
      </c>
      <c r="O2848" s="6" t="str">
        <f>IFERROR(__xludf.DUMMYFUNCTION("""COMPUTED_VALUE"""),"FIP-DOM-000-11304-OS00001-INA-000000")</f>
        <v>FIP-DOM-000-11304-OS00001-INA-000000</v>
      </c>
      <c r="P2848" s="6" t="str">
        <f>IFERROR(__xludf.DUMMYFUNCTION("""COMPUTED_VALUE"""),"PO Closed")</f>
        <v>PO Closed</v>
      </c>
      <c r="Q2848" s="6" t="str">
        <f>IFERROR(__xludf.DUMMYFUNCTION("""COMPUTED_VALUE"""),"GL2402021")</f>
        <v>GL2402021</v>
      </c>
      <c r="R2848" s="57">
        <f>IFERROR(__xludf.DUMMYFUNCTION("""COMPUTED_VALUE"""),45295.0)</f>
        <v>45295</v>
      </c>
      <c r="S2848" s="57">
        <f>IFERROR(__xludf.DUMMYFUNCTION("""COMPUTED_VALUE"""),45296.0)</f>
        <v>45296</v>
      </c>
      <c r="T2848" s="57">
        <f>IFERROR(__xludf.DUMMYFUNCTION("""COMPUTED_VALUE"""),45081.0)</f>
        <v>45081</v>
      </c>
    </row>
    <row r="2849">
      <c r="A2849" s="6" t="str">
        <f>IFERROR(__xludf.DUMMYFUNCTION("""COMPUTED_VALUE"""),"241750023-3")</f>
        <v>241750023-3</v>
      </c>
      <c r="B2849" s="6" t="str">
        <f>IFERROR(__xludf.DUMMYFUNCTION("""COMPUTED_VALUE"""),"241750023 - Approved")</f>
        <v>241750023 - Approved</v>
      </c>
      <c r="C2849" s="6">
        <f>IFERROR(__xludf.DUMMYFUNCTION("""COMPUTED_VALUE"""),3.0)</f>
        <v>3</v>
      </c>
      <c r="D2849" s="6" t="str">
        <f>IFERROR(__xludf.DUMMYFUNCTION("""COMPUTED_VALUE"""),"O-16572-00")</f>
        <v>O-16572-00</v>
      </c>
      <c r="E2849" s="6" t="str">
        <f>IFERROR(__xludf.DUMMYFUNCTION("""COMPUTED_VALUE"""),"Marchesini MA155 - Conveyor Belt TS10 520 x 40 Habasit p/n:C720005240")</f>
        <v>Marchesini MA155 - Conveyor Belt TS10 520 x 40 Habasit p/n:C720005240</v>
      </c>
      <c r="F2849" s="6">
        <f>IFERROR(__xludf.DUMMYFUNCTION("""COMPUTED_VALUE"""),2.0)</f>
        <v>2</v>
      </c>
      <c r="G2849" s="6" t="str">
        <f>IFERROR(__xludf.DUMMYFUNCTION("""COMPUTED_VALUE"""),"Pieces")</f>
        <v>Pieces</v>
      </c>
      <c r="H2849" s="6" t="str">
        <f>IFERROR(__xludf.DUMMYFUNCTION("""COMPUTED_VALUE"""),"IDR")</f>
        <v>IDR</v>
      </c>
      <c r="I2849" s="11">
        <f>IFERROR(__xludf.DUMMYFUNCTION("""COMPUTED_VALUE"""),100000.0)</f>
        <v>100000</v>
      </c>
      <c r="J2849" s="11">
        <f>IFERROR(__xludf.DUMMYFUNCTION("""COMPUTED_VALUE"""),200000.0)</f>
        <v>200000</v>
      </c>
      <c r="K2849" s="57">
        <f>IFERROR(__xludf.DUMMYFUNCTION("""COMPUTED_VALUE"""),45309.0)</f>
        <v>45309</v>
      </c>
      <c r="L2849" s="6" t="str">
        <f>IFERROR(__xludf.DUMMYFUNCTION("""COMPUTED_VALUE"""),"FIP Engineering")</f>
        <v>FIP Engineering</v>
      </c>
      <c r="M2849" s="6" t="str">
        <f>IFERROR(__xludf.DUMMYFUNCTION("""COMPUTED_VALUE"""),"Mochammad Fadhillah Hakim")</f>
        <v>Mochammad Fadhillah Hakim</v>
      </c>
      <c r="N2849" s="6" t="str">
        <f>IFERROR(__xludf.DUMMYFUNCTION("""COMPUTED_VALUE"""),"FIP Engineering")</f>
        <v>FIP Engineering</v>
      </c>
      <c r="O2849" s="6" t="str">
        <f>IFERROR(__xludf.DUMMYFUNCTION("""COMPUTED_VALUE"""),"FIP-DOM-000-11304-OS00001-INA-000000")</f>
        <v>FIP-DOM-000-11304-OS00001-INA-000000</v>
      </c>
      <c r="P2849" s="6" t="str">
        <f>IFERROR(__xludf.DUMMYFUNCTION("""COMPUTED_VALUE"""),"PO Closed")</f>
        <v>PO Closed</v>
      </c>
      <c r="Q2849" s="6" t="str">
        <f>IFERROR(__xludf.DUMMYFUNCTION("""COMPUTED_VALUE"""),"GL2402021")</f>
        <v>GL2402021</v>
      </c>
      <c r="R2849" s="57">
        <f>IFERROR(__xludf.DUMMYFUNCTION("""COMPUTED_VALUE"""),45295.0)</f>
        <v>45295</v>
      </c>
      <c r="S2849" s="57">
        <f>IFERROR(__xludf.DUMMYFUNCTION("""COMPUTED_VALUE"""),45296.0)</f>
        <v>45296</v>
      </c>
      <c r="T2849" s="57">
        <f>IFERROR(__xludf.DUMMYFUNCTION("""COMPUTED_VALUE"""),45081.0)</f>
        <v>45081</v>
      </c>
    </row>
    <row r="2850">
      <c r="A2850" s="6" t="str">
        <f>IFERROR(__xludf.DUMMYFUNCTION("""COMPUTED_VALUE"""),"241750023-4")</f>
        <v>241750023-4</v>
      </c>
      <c r="B2850" s="6" t="str">
        <f>IFERROR(__xludf.DUMMYFUNCTION("""COMPUTED_VALUE"""),"241750023 - Approved")</f>
        <v>241750023 - Approved</v>
      </c>
      <c r="C2850" s="6">
        <f>IFERROR(__xludf.DUMMYFUNCTION("""COMPUTED_VALUE"""),4.0)</f>
        <v>4</v>
      </c>
      <c r="D2850" s="6" t="str">
        <f>IFERROR(__xludf.DUMMYFUNCTION("""COMPUTED_VALUE"""),"O-16573-00")</f>
        <v>O-16573-00</v>
      </c>
      <c r="E2850" s="6" t="str">
        <f>IFERROR(__xludf.DUMMYFUNCTION("""COMPUTED_VALUE"""),"Marchesini MA155 - Conveyor Belt TS10 290 x 40 Habasit p/n:C720002940")</f>
        <v>Marchesini MA155 - Conveyor Belt TS10 290 x 40 Habasit p/n:C720002940</v>
      </c>
      <c r="F2850" s="6">
        <f>IFERROR(__xludf.DUMMYFUNCTION("""COMPUTED_VALUE"""),2.0)</f>
        <v>2</v>
      </c>
      <c r="G2850" s="6" t="str">
        <f>IFERROR(__xludf.DUMMYFUNCTION("""COMPUTED_VALUE"""),"Pieces")</f>
        <v>Pieces</v>
      </c>
      <c r="H2850" s="6" t="str">
        <f>IFERROR(__xludf.DUMMYFUNCTION("""COMPUTED_VALUE"""),"IDR")</f>
        <v>IDR</v>
      </c>
      <c r="I2850" s="11">
        <f>IFERROR(__xludf.DUMMYFUNCTION("""COMPUTED_VALUE"""),100000.0)</f>
        <v>100000</v>
      </c>
      <c r="J2850" s="11">
        <f>IFERROR(__xludf.DUMMYFUNCTION("""COMPUTED_VALUE"""),200000.0)</f>
        <v>200000</v>
      </c>
      <c r="K2850" s="57">
        <f>IFERROR(__xludf.DUMMYFUNCTION("""COMPUTED_VALUE"""),45309.0)</f>
        <v>45309</v>
      </c>
      <c r="L2850" s="6" t="str">
        <f>IFERROR(__xludf.DUMMYFUNCTION("""COMPUTED_VALUE"""),"FIP Engineering")</f>
        <v>FIP Engineering</v>
      </c>
      <c r="M2850" s="6" t="str">
        <f>IFERROR(__xludf.DUMMYFUNCTION("""COMPUTED_VALUE"""),"Mochammad Fadhillah Hakim")</f>
        <v>Mochammad Fadhillah Hakim</v>
      </c>
      <c r="N2850" s="6" t="str">
        <f>IFERROR(__xludf.DUMMYFUNCTION("""COMPUTED_VALUE"""),"FIP Engineering")</f>
        <v>FIP Engineering</v>
      </c>
      <c r="O2850" s="6" t="str">
        <f>IFERROR(__xludf.DUMMYFUNCTION("""COMPUTED_VALUE"""),"FIP-DOM-000-11304-OS00001-INA-000000")</f>
        <v>FIP-DOM-000-11304-OS00001-INA-000000</v>
      </c>
      <c r="P2850" s="6" t="str">
        <f>IFERROR(__xludf.DUMMYFUNCTION("""COMPUTED_VALUE"""),"PO Closed")</f>
        <v>PO Closed</v>
      </c>
      <c r="Q2850" s="6" t="str">
        <f>IFERROR(__xludf.DUMMYFUNCTION("""COMPUTED_VALUE"""),"GL2402021")</f>
        <v>GL2402021</v>
      </c>
      <c r="R2850" s="57">
        <f>IFERROR(__xludf.DUMMYFUNCTION("""COMPUTED_VALUE"""),45295.0)</f>
        <v>45295</v>
      </c>
      <c r="S2850" s="57">
        <f>IFERROR(__xludf.DUMMYFUNCTION("""COMPUTED_VALUE"""),45296.0)</f>
        <v>45296</v>
      </c>
      <c r="T2850" s="57">
        <f>IFERROR(__xludf.DUMMYFUNCTION("""COMPUTED_VALUE"""),45081.0)</f>
        <v>45081</v>
      </c>
    </row>
    <row r="2851">
      <c r="A2851" s="6" t="str">
        <f>IFERROR(__xludf.DUMMYFUNCTION("""COMPUTED_VALUE"""),"121701051-1")</f>
        <v>121701051-1</v>
      </c>
      <c r="B2851" s="6" t="str">
        <f>IFERROR(__xludf.DUMMYFUNCTION("""COMPUTED_VALUE"""),"121701051 - APPROVED")</f>
        <v>121701051 - APPROVED</v>
      </c>
      <c r="C2851" s="6">
        <f>IFERROR(__xludf.DUMMYFUNCTION("""COMPUTED_VALUE"""),1.0)</f>
        <v>1</v>
      </c>
      <c r="D2851" s="6" t="str">
        <f>IFERROR(__xludf.DUMMYFUNCTION("""COMPUTED_VALUE"""),"P-14377-00")</f>
        <v>P-14377-00</v>
      </c>
      <c r="E2851" s="6" t="str">
        <f>IFERROR(__xludf.DUMMYFUNCTION("""COMPUTED_VALUE"""),"Gasket 1"" /EPDM; ; ;")</f>
        <v>Gasket 1" /EPDM; ; ;</v>
      </c>
      <c r="F2851" s="6">
        <f>IFERROR(__xludf.DUMMYFUNCTION("""COMPUTED_VALUE"""),30.0)</f>
        <v>30</v>
      </c>
      <c r="G2851" s="6" t="str">
        <f>IFERROR(__xludf.DUMMYFUNCTION("""COMPUTED_VALUE"""),"Pieces")</f>
        <v>Pieces</v>
      </c>
      <c r="H2851" s="6" t="str">
        <f>IFERROR(__xludf.DUMMYFUNCTION("""COMPUTED_VALUE"""),"IDR")</f>
        <v>IDR</v>
      </c>
      <c r="I2851" s="6">
        <f>IFERROR(__xludf.DUMMYFUNCTION("""COMPUTED_VALUE"""),38340.0)</f>
        <v>38340</v>
      </c>
      <c r="J2851" s="6">
        <f>IFERROR(__xludf.DUMMYFUNCTION("""COMPUTED_VALUE"""),1150200.0)</f>
        <v>1150200</v>
      </c>
      <c r="K2851" s="57">
        <f>IFERROR(__xludf.DUMMYFUNCTION("""COMPUTED_VALUE"""),45305.0)</f>
        <v>45305</v>
      </c>
      <c r="L2851" s="6" t="str">
        <f>IFERROR(__xludf.DUMMYFUNCTION("""COMPUTED_VALUE"""),"FIP Engineering")</f>
        <v>FIP Engineering</v>
      </c>
      <c r="M2851" s="6" t="str">
        <f>IFERROR(__xludf.DUMMYFUNCTION("""COMPUTED_VALUE"""),"Mochammad Fadhillah Hakim,")</f>
        <v>Mochammad Fadhillah Hakim,</v>
      </c>
      <c r="N2851" s="6" t="str">
        <f>IFERROR(__xludf.DUMMYFUNCTION("""COMPUTED_VALUE"""),"FIP Engineering")</f>
        <v>FIP Engineering</v>
      </c>
      <c r="O2851" s="6" t="str">
        <f>IFERROR(__xludf.DUMMYFUNCTION("""COMPUTED_VALUE"""),"FIP-DOM-000-11304-OS00001-INA-000000")</f>
        <v>FIP-DOM-000-11304-OS00001-INA-000000</v>
      </c>
      <c r="P2851" s="6" t="str">
        <f>IFERROR(__xludf.DUMMYFUNCTION("""COMPUTED_VALUE"""),"PO Closed")</f>
        <v>PO Closed</v>
      </c>
      <c r="Q2851" s="6" t="str">
        <f>IFERROR(__xludf.DUMMYFUNCTION("""COMPUTED_VALUE"""),"GL2403051")</f>
        <v>GL2403051</v>
      </c>
      <c r="R2851" s="57">
        <f>IFERROR(__xludf.DUMMYFUNCTION("""COMPUTED_VALUE"""),45303.0)</f>
        <v>45303</v>
      </c>
      <c r="S2851" s="57">
        <f>IFERROR(__xludf.DUMMYFUNCTION("""COMPUTED_VALUE"""),45309.0)</f>
        <v>45309</v>
      </c>
      <c r="T2851" s="57">
        <f>IFERROR(__xludf.DUMMYFUNCTION("""COMPUTED_VALUE"""),45412.0)</f>
        <v>45412</v>
      </c>
    </row>
    <row r="2852">
      <c r="A2852" s="6" t="str">
        <f>IFERROR(__xludf.DUMMYFUNCTION("""COMPUTED_VALUE"""),"121701051-2")</f>
        <v>121701051-2</v>
      </c>
      <c r="B2852" s="6" t="str">
        <f>IFERROR(__xludf.DUMMYFUNCTION("""COMPUTED_VALUE"""),"121701051 - APPROVED")</f>
        <v>121701051 - APPROVED</v>
      </c>
      <c r="C2852" s="6">
        <f>IFERROR(__xludf.DUMMYFUNCTION("""COMPUTED_VALUE"""),2.0)</f>
        <v>2</v>
      </c>
      <c r="D2852" s="6" t="str">
        <f>IFERROR(__xludf.DUMMYFUNCTION("""COMPUTED_VALUE"""),"O-13522-00")</f>
        <v>O-13522-00</v>
      </c>
      <c r="E2852" s="6" t="str">
        <f>IFERROR(__xludf.DUMMYFUNCTION("""COMPUTED_VALUE"""),"gasket 2"" / EPDM; ; ;")</f>
        <v>gasket 2" / EPDM; ; ;</v>
      </c>
      <c r="F2852" s="6">
        <f>IFERROR(__xludf.DUMMYFUNCTION("""COMPUTED_VALUE"""),30.0)</f>
        <v>30</v>
      </c>
      <c r="G2852" s="6" t="str">
        <f>IFERROR(__xludf.DUMMYFUNCTION("""COMPUTED_VALUE"""),"Pieces")</f>
        <v>Pieces</v>
      </c>
      <c r="H2852" s="6" t="str">
        <f>IFERROR(__xludf.DUMMYFUNCTION("""COMPUTED_VALUE"""),"IDR")</f>
        <v>IDR</v>
      </c>
      <c r="I2852" s="6">
        <f>IFERROR(__xludf.DUMMYFUNCTION("""COMPUTED_VALUE"""),60750.0)</f>
        <v>60750</v>
      </c>
      <c r="J2852" s="6">
        <f>IFERROR(__xludf.DUMMYFUNCTION("""COMPUTED_VALUE"""),1822500.0)</f>
        <v>1822500</v>
      </c>
      <c r="K2852" s="57">
        <f>IFERROR(__xludf.DUMMYFUNCTION("""COMPUTED_VALUE"""),45305.0)</f>
        <v>45305</v>
      </c>
      <c r="L2852" s="6" t="str">
        <f>IFERROR(__xludf.DUMMYFUNCTION("""COMPUTED_VALUE"""),"FIP Engineering")</f>
        <v>FIP Engineering</v>
      </c>
      <c r="M2852" s="6" t="str">
        <f>IFERROR(__xludf.DUMMYFUNCTION("""COMPUTED_VALUE"""),"Mochammad Fadhillah Hakim,")</f>
        <v>Mochammad Fadhillah Hakim,</v>
      </c>
      <c r="N2852" s="6" t="str">
        <f>IFERROR(__xludf.DUMMYFUNCTION("""COMPUTED_VALUE"""),"FIP Engineering")</f>
        <v>FIP Engineering</v>
      </c>
      <c r="O2852" s="6" t="str">
        <f>IFERROR(__xludf.DUMMYFUNCTION("""COMPUTED_VALUE"""),"FIP-DOM-000-11304-OS00001-INA-000000")</f>
        <v>FIP-DOM-000-11304-OS00001-INA-000000</v>
      </c>
      <c r="P2852" s="6" t="str">
        <f>IFERROR(__xludf.DUMMYFUNCTION("""COMPUTED_VALUE"""),"PO Closed")</f>
        <v>PO Closed</v>
      </c>
      <c r="Q2852" s="6" t="str">
        <f>IFERROR(__xludf.DUMMYFUNCTION("""COMPUTED_VALUE"""),"GL2403051")</f>
        <v>GL2403051</v>
      </c>
      <c r="R2852" s="57">
        <f>IFERROR(__xludf.DUMMYFUNCTION("""COMPUTED_VALUE"""),45303.0)</f>
        <v>45303</v>
      </c>
      <c r="S2852" s="57">
        <f>IFERROR(__xludf.DUMMYFUNCTION("""COMPUTED_VALUE"""),45309.0)</f>
        <v>45309</v>
      </c>
      <c r="T2852" s="57">
        <f>IFERROR(__xludf.DUMMYFUNCTION("""COMPUTED_VALUE"""),45412.0)</f>
        <v>45412</v>
      </c>
    </row>
    <row r="2853">
      <c r="A2853" s="6" t="str">
        <f>IFERROR(__xludf.DUMMYFUNCTION("""COMPUTED_VALUE"""),"121701051-3")</f>
        <v>121701051-3</v>
      </c>
      <c r="B2853" s="6" t="str">
        <f>IFERROR(__xludf.DUMMYFUNCTION("""COMPUTED_VALUE"""),"121701051 - APPROVED")</f>
        <v>121701051 - APPROVED</v>
      </c>
      <c r="C2853" s="6">
        <f>IFERROR(__xludf.DUMMYFUNCTION("""COMPUTED_VALUE"""),3.0)</f>
        <v>3</v>
      </c>
      <c r="D2853" s="6" t="str">
        <f>IFERROR(__xludf.DUMMYFUNCTION("""COMPUTED_VALUE"""),"P-13660-00")</f>
        <v>P-13660-00</v>
      </c>
      <c r="E2853" s="6" t="str">
        <f>IFERROR(__xludf.DUMMYFUNCTION("""COMPUTED_VALUE"""),"Sock Tembaga 7/8 inch; ; ;")</f>
        <v>Sock Tembaga 7/8 inch; ; ;</v>
      </c>
      <c r="F2853" s="6">
        <f>IFERROR(__xludf.DUMMYFUNCTION("""COMPUTED_VALUE"""),5.0)</f>
        <v>5</v>
      </c>
      <c r="G2853" s="6" t="str">
        <f>IFERROR(__xludf.DUMMYFUNCTION("""COMPUTED_VALUE"""),"Pieces")</f>
        <v>Pieces</v>
      </c>
      <c r="H2853" s="6" t="str">
        <f>IFERROR(__xludf.DUMMYFUNCTION("""COMPUTED_VALUE"""),"IDR")</f>
        <v>IDR</v>
      </c>
      <c r="I2853" s="6">
        <f>IFERROR(__xludf.DUMMYFUNCTION("""COMPUTED_VALUE"""),29700.0)</f>
        <v>29700</v>
      </c>
      <c r="J2853" s="6">
        <f>IFERROR(__xludf.DUMMYFUNCTION("""COMPUTED_VALUE"""),148500.0)</f>
        <v>148500</v>
      </c>
      <c r="K2853" s="57">
        <f>IFERROR(__xludf.DUMMYFUNCTION("""COMPUTED_VALUE"""),45305.0)</f>
        <v>45305</v>
      </c>
      <c r="L2853" s="6" t="str">
        <f>IFERROR(__xludf.DUMMYFUNCTION("""COMPUTED_VALUE"""),"FIP Engineering")</f>
        <v>FIP Engineering</v>
      </c>
      <c r="M2853" s="6" t="str">
        <f>IFERROR(__xludf.DUMMYFUNCTION("""COMPUTED_VALUE"""),"Mochammad Fadhillah Hakim,")</f>
        <v>Mochammad Fadhillah Hakim,</v>
      </c>
      <c r="N2853" s="6" t="str">
        <f>IFERROR(__xludf.DUMMYFUNCTION("""COMPUTED_VALUE"""),"FIP Engineering")</f>
        <v>FIP Engineering</v>
      </c>
      <c r="O2853" s="6" t="str">
        <f>IFERROR(__xludf.DUMMYFUNCTION("""COMPUTED_VALUE"""),"FIP-DOM-000-11304-OS00001-INA-000000")</f>
        <v>FIP-DOM-000-11304-OS00001-INA-000000</v>
      </c>
      <c r="P2853" s="6" t="str">
        <f>IFERROR(__xludf.DUMMYFUNCTION("""COMPUTED_VALUE"""),"PO Closed")</f>
        <v>PO Closed</v>
      </c>
      <c r="Q2853" s="6" t="str">
        <f>IFERROR(__xludf.DUMMYFUNCTION("""COMPUTED_VALUE"""),"GL2403012")</f>
        <v>GL2403012</v>
      </c>
      <c r="R2853" s="57">
        <f>IFERROR(__xludf.DUMMYFUNCTION("""COMPUTED_VALUE"""),45303.0)</f>
        <v>45303</v>
      </c>
      <c r="S2853" s="57">
        <f>IFERROR(__xludf.DUMMYFUNCTION("""COMPUTED_VALUE"""),45309.0)</f>
        <v>45309</v>
      </c>
      <c r="T2853" s="57">
        <f>IFERROR(__xludf.DUMMYFUNCTION("""COMPUTED_VALUE"""),45417.0)</f>
        <v>45417</v>
      </c>
    </row>
    <row r="2854">
      <c r="A2854" s="6" t="str">
        <f>IFERROR(__xludf.DUMMYFUNCTION("""COMPUTED_VALUE"""),"121701051-4")</f>
        <v>121701051-4</v>
      </c>
      <c r="B2854" s="6" t="str">
        <f>IFERROR(__xludf.DUMMYFUNCTION("""COMPUTED_VALUE"""),"121701051 - APPROVED")</f>
        <v>121701051 - APPROVED</v>
      </c>
      <c r="C2854" s="6">
        <f>IFERROR(__xludf.DUMMYFUNCTION("""COMPUTED_VALUE"""),4.0)</f>
        <v>4</v>
      </c>
      <c r="D2854" s="6" t="str">
        <f>IFERROR(__xludf.DUMMYFUNCTION("""COMPUTED_VALUE"""),"P-13087-00")</f>
        <v>P-13087-00</v>
      </c>
      <c r="E2854" s="6" t="str">
        <f>IFERROR(__xludf.DUMMYFUNCTION("""COMPUTED_VALUE"""),"Sock Tembaga 1 5/8 inch")</f>
        <v>Sock Tembaga 1 5/8 inch</v>
      </c>
      <c r="F2854" s="6">
        <f>IFERROR(__xludf.DUMMYFUNCTION("""COMPUTED_VALUE"""),10.0)</f>
        <v>10</v>
      </c>
      <c r="G2854" s="6" t="str">
        <f>IFERROR(__xludf.DUMMYFUNCTION("""COMPUTED_VALUE"""),"Pieces")</f>
        <v>Pieces</v>
      </c>
      <c r="H2854" s="6" t="str">
        <f>IFERROR(__xludf.DUMMYFUNCTION("""COMPUTED_VALUE"""),"IDR")</f>
        <v>IDR</v>
      </c>
      <c r="I2854" s="6">
        <f>IFERROR(__xludf.DUMMYFUNCTION("""COMPUTED_VALUE"""),36920.0)</f>
        <v>36920</v>
      </c>
      <c r="J2854" s="6">
        <f>IFERROR(__xludf.DUMMYFUNCTION("""COMPUTED_VALUE"""),369200.0)</f>
        <v>369200</v>
      </c>
      <c r="K2854" s="57">
        <f>IFERROR(__xludf.DUMMYFUNCTION("""COMPUTED_VALUE"""),45305.0)</f>
        <v>45305</v>
      </c>
      <c r="L2854" s="6" t="str">
        <f>IFERROR(__xludf.DUMMYFUNCTION("""COMPUTED_VALUE"""),"FIP Engineering")</f>
        <v>FIP Engineering</v>
      </c>
      <c r="M2854" s="6" t="str">
        <f>IFERROR(__xludf.DUMMYFUNCTION("""COMPUTED_VALUE"""),"Mochammad Fadhillah Hakim,")</f>
        <v>Mochammad Fadhillah Hakim,</v>
      </c>
      <c r="N2854" s="6" t="str">
        <f>IFERROR(__xludf.DUMMYFUNCTION("""COMPUTED_VALUE"""),"FIP Engineering")</f>
        <v>FIP Engineering</v>
      </c>
      <c r="O2854" s="6" t="str">
        <f>IFERROR(__xludf.DUMMYFUNCTION("""COMPUTED_VALUE"""),"FIP-DOM-000-11304-OS00001-INA-000000")</f>
        <v>FIP-DOM-000-11304-OS00001-INA-000000</v>
      </c>
      <c r="P2854" s="6" t="str">
        <f>IFERROR(__xludf.DUMMYFUNCTION("""COMPUTED_VALUE"""),"PO Closed")</f>
        <v>PO Closed</v>
      </c>
      <c r="Q2854" s="6" t="str">
        <f>IFERROR(__xludf.DUMMYFUNCTION("""COMPUTED_VALUE"""),"GL2403012")</f>
        <v>GL2403012</v>
      </c>
      <c r="R2854" s="57">
        <f>IFERROR(__xludf.DUMMYFUNCTION("""COMPUTED_VALUE"""),45303.0)</f>
        <v>45303</v>
      </c>
      <c r="S2854" s="57">
        <f>IFERROR(__xludf.DUMMYFUNCTION("""COMPUTED_VALUE"""),45309.0)</f>
        <v>45309</v>
      </c>
      <c r="T2854" s="57">
        <f>IFERROR(__xludf.DUMMYFUNCTION("""COMPUTED_VALUE"""),45417.0)</f>
        <v>45417</v>
      </c>
    </row>
    <row r="2855">
      <c r="A2855" s="6" t="str">
        <f>IFERROR(__xludf.DUMMYFUNCTION("""COMPUTED_VALUE"""),"121701051-5")</f>
        <v>121701051-5</v>
      </c>
      <c r="B2855" s="6" t="str">
        <f>IFERROR(__xludf.DUMMYFUNCTION("""COMPUTED_VALUE"""),"121701051 - APPROVED")</f>
        <v>121701051 - APPROVED</v>
      </c>
      <c r="C2855" s="6">
        <f>IFERROR(__xludf.DUMMYFUNCTION("""COMPUTED_VALUE"""),5.0)</f>
        <v>5</v>
      </c>
      <c r="D2855" s="6" t="str">
        <f>IFERROR(__xludf.DUMMYFUNCTION("""COMPUTED_VALUE"""),"P-13657-00")</f>
        <v>P-13657-00</v>
      </c>
      <c r="E2855" s="6" t="str">
        <f>IFERROR(__xludf.DUMMYFUNCTION("""COMPUTED_VALUE"""),"Sock Tembaga 5/8 inch; ; ;")</f>
        <v>Sock Tembaga 5/8 inch; ; ;</v>
      </c>
      <c r="F2855" s="6">
        <f>IFERROR(__xludf.DUMMYFUNCTION("""COMPUTED_VALUE"""),2.0)</f>
        <v>2</v>
      </c>
      <c r="G2855" s="6" t="str">
        <f>IFERROR(__xludf.DUMMYFUNCTION("""COMPUTED_VALUE"""),"Pieces")</f>
        <v>Pieces</v>
      </c>
      <c r="H2855" s="6" t="str">
        <f>IFERROR(__xludf.DUMMYFUNCTION("""COMPUTED_VALUE"""),"IDR")</f>
        <v>IDR</v>
      </c>
      <c r="I2855" s="6">
        <f>IFERROR(__xludf.DUMMYFUNCTION("""COMPUTED_VALUE"""),28400.0)</f>
        <v>28400</v>
      </c>
      <c r="J2855" s="6">
        <f>IFERROR(__xludf.DUMMYFUNCTION("""COMPUTED_VALUE"""),56800.0)</f>
        <v>56800</v>
      </c>
      <c r="K2855" s="57">
        <f>IFERROR(__xludf.DUMMYFUNCTION("""COMPUTED_VALUE"""),45305.0)</f>
        <v>45305</v>
      </c>
      <c r="L2855" s="6" t="str">
        <f>IFERROR(__xludf.DUMMYFUNCTION("""COMPUTED_VALUE"""),"FIP Engineering")</f>
        <v>FIP Engineering</v>
      </c>
      <c r="M2855" s="6" t="str">
        <f>IFERROR(__xludf.DUMMYFUNCTION("""COMPUTED_VALUE"""),"Mochammad Fadhillah Hakim,")</f>
        <v>Mochammad Fadhillah Hakim,</v>
      </c>
      <c r="N2855" s="6" t="str">
        <f>IFERROR(__xludf.DUMMYFUNCTION("""COMPUTED_VALUE"""),"FIP Engineering")</f>
        <v>FIP Engineering</v>
      </c>
      <c r="O2855" s="6" t="str">
        <f>IFERROR(__xludf.DUMMYFUNCTION("""COMPUTED_VALUE"""),"FIP-DOM-000-11304-OS00001-INA-000000")</f>
        <v>FIP-DOM-000-11304-OS00001-INA-000000</v>
      </c>
      <c r="P2855" s="6" t="str">
        <f>IFERROR(__xludf.DUMMYFUNCTION("""COMPUTED_VALUE"""),"PO Closed")</f>
        <v>PO Closed</v>
      </c>
      <c r="Q2855" s="6" t="str">
        <f>IFERROR(__xludf.DUMMYFUNCTION("""COMPUTED_VALUE"""),"GL2403012")</f>
        <v>GL2403012</v>
      </c>
      <c r="R2855" s="57">
        <f>IFERROR(__xludf.DUMMYFUNCTION("""COMPUTED_VALUE"""),45303.0)</f>
        <v>45303</v>
      </c>
      <c r="S2855" s="57">
        <f>IFERROR(__xludf.DUMMYFUNCTION("""COMPUTED_VALUE"""),45309.0)</f>
        <v>45309</v>
      </c>
      <c r="T2855" s="57">
        <f>IFERROR(__xludf.DUMMYFUNCTION("""COMPUTED_VALUE"""),45417.0)</f>
        <v>45417</v>
      </c>
    </row>
    <row r="2856">
      <c r="A2856" s="6" t="str">
        <f>IFERROR(__xludf.DUMMYFUNCTION("""COMPUTED_VALUE"""),"121701051-6")</f>
        <v>121701051-6</v>
      </c>
      <c r="B2856" s="6" t="str">
        <f>IFERROR(__xludf.DUMMYFUNCTION("""COMPUTED_VALUE"""),"121701051 - APPROVED")</f>
        <v>121701051 - APPROVED</v>
      </c>
      <c r="C2856" s="6">
        <f>IFERROR(__xludf.DUMMYFUNCTION("""COMPUTED_VALUE"""),6.0)</f>
        <v>6</v>
      </c>
      <c r="D2856" s="6" t="str">
        <f>IFERROR(__xludf.DUMMYFUNCTION("""COMPUTED_VALUE"""),"P-18821-00")</f>
        <v>P-18821-00</v>
      </c>
      <c r="E2856" s="6" t="str">
        <f>IFERROR(__xludf.DUMMYFUNCTION("""COMPUTED_VALUE"""),"Neppel Pentil Pengisian Freon Uk. 1/4""; ; ;")</f>
        <v>Neppel Pentil Pengisian Freon Uk. 1/4"; ; ;</v>
      </c>
      <c r="F2856" s="6">
        <f>IFERROR(__xludf.DUMMYFUNCTION("""COMPUTED_VALUE"""),5.0)</f>
        <v>5</v>
      </c>
      <c r="G2856" s="6" t="str">
        <f>IFERROR(__xludf.DUMMYFUNCTION("""COMPUTED_VALUE"""),"Pieces")</f>
        <v>Pieces</v>
      </c>
      <c r="H2856" s="6" t="str">
        <f>IFERROR(__xludf.DUMMYFUNCTION("""COMPUTED_VALUE"""),"IDR")</f>
        <v>IDR</v>
      </c>
      <c r="I2856" s="6">
        <f>IFERROR(__xludf.DUMMYFUNCTION("""COMPUTED_VALUE"""),7100.0)</f>
        <v>7100</v>
      </c>
      <c r="J2856" s="6">
        <f>IFERROR(__xludf.DUMMYFUNCTION("""COMPUTED_VALUE"""),35500.0)</f>
        <v>35500</v>
      </c>
      <c r="K2856" s="57">
        <f>IFERROR(__xludf.DUMMYFUNCTION("""COMPUTED_VALUE"""),45305.0)</f>
        <v>45305</v>
      </c>
      <c r="L2856" s="6" t="str">
        <f>IFERROR(__xludf.DUMMYFUNCTION("""COMPUTED_VALUE"""),"FIP Engineering")</f>
        <v>FIP Engineering</v>
      </c>
      <c r="M2856" s="6" t="str">
        <f>IFERROR(__xludf.DUMMYFUNCTION("""COMPUTED_VALUE"""),"Mochammad Fadhillah Hakim,")</f>
        <v>Mochammad Fadhillah Hakim,</v>
      </c>
      <c r="N2856" s="6" t="str">
        <f>IFERROR(__xludf.DUMMYFUNCTION("""COMPUTED_VALUE"""),"FIP Engineering")</f>
        <v>FIP Engineering</v>
      </c>
      <c r="O2856" s="6" t="str">
        <f>IFERROR(__xludf.DUMMYFUNCTION("""COMPUTED_VALUE"""),"FIP-DOM-000-11304-OS00001-INA-000000")</f>
        <v>FIP-DOM-000-11304-OS00001-INA-000000</v>
      </c>
      <c r="P2856" s="6" t="str">
        <f>IFERROR(__xludf.DUMMYFUNCTION("""COMPUTED_VALUE"""),"PO Closed")</f>
        <v>PO Closed</v>
      </c>
      <c r="Q2856" s="6" t="str">
        <f>IFERROR(__xludf.DUMMYFUNCTION("""COMPUTED_VALUE"""),"GL2403012")</f>
        <v>GL2403012</v>
      </c>
      <c r="R2856" s="57">
        <f>IFERROR(__xludf.DUMMYFUNCTION("""COMPUTED_VALUE"""),45303.0)</f>
        <v>45303</v>
      </c>
      <c r="S2856" s="57">
        <f>IFERROR(__xludf.DUMMYFUNCTION("""COMPUTED_VALUE"""),45309.0)</f>
        <v>45309</v>
      </c>
      <c r="T2856" s="57">
        <f>IFERROR(__xludf.DUMMYFUNCTION("""COMPUTED_VALUE"""),45417.0)</f>
        <v>45417</v>
      </c>
    </row>
    <row r="2857">
      <c r="A2857" s="6" t="str">
        <f>IFERROR(__xludf.DUMMYFUNCTION("""COMPUTED_VALUE"""),"121701052-1")</f>
        <v>121701052-1</v>
      </c>
      <c r="B2857" s="6" t="str">
        <f>IFERROR(__xludf.DUMMYFUNCTION("""COMPUTED_VALUE"""),"121701052 - APPROVED")</f>
        <v>121701052 - APPROVED</v>
      </c>
      <c r="C2857" s="6">
        <f>IFERROR(__xludf.DUMMYFUNCTION("""COMPUTED_VALUE"""),1.0)</f>
        <v>1</v>
      </c>
      <c r="D2857" s="6" t="str">
        <f>IFERROR(__xludf.DUMMYFUNCTION("""COMPUTED_VALUE"""),"O-54127-00")</f>
        <v>O-54127-00</v>
      </c>
      <c r="E2857" s="6" t="str">
        <f>IFERROR(__xludf.DUMMYFUNCTION("""COMPUTED_VALUE"""),"Control Unit G120 CU240E-2 DP E-type safety, Sinamics; Siemens; ;")</f>
        <v>Control Unit G120 CU240E-2 DP E-type safety, Sinamics; Siemens; ;</v>
      </c>
      <c r="F2857" s="6">
        <f>IFERROR(__xludf.DUMMYFUNCTION("""COMPUTED_VALUE"""),7.0)</f>
        <v>7</v>
      </c>
      <c r="G2857" s="6" t="str">
        <f>IFERROR(__xludf.DUMMYFUNCTION("""COMPUTED_VALUE"""),"Pieces")</f>
        <v>Pieces</v>
      </c>
      <c r="H2857" s="6" t="str">
        <f>IFERROR(__xludf.DUMMYFUNCTION("""COMPUTED_VALUE"""),"IDR")</f>
        <v>IDR</v>
      </c>
      <c r="I2857" s="6">
        <f>IFERROR(__xludf.DUMMYFUNCTION("""COMPUTED_VALUE"""),4585000.0)</f>
        <v>4585000</v>
      </c>
      <c r="J2857" s="6">
        <f>IFERROR(__xludf.DUMMYFUNCTION("""COMPUTED_VALUE"""),3.2095E7)</f>
        <v>32095000</v>
      </c>
      <c r="K2857" s="57">
        <f>IFERROR(__xludf.DUMMYFUNCTION("""COMPUTED_VALUE"""),45305.0)</f>
        <v>45305</v>
      </c>
      <c r="L2857" s="6" t="str">
        <f>IFERROR(__xludf.DUMMYFUNCTION("""COMPUTED_VALUE"""),"FIP Engineering")</f>
        <v>FIP Engineering</v>
      </c>
      <c r="M2857" s="6" t="str">
        <f>IFERROR(__xludf.DUMMYFUNCTION("""COMPUTED_VALUE"""),"Mochammad Fadhillah Hakim,")</f>
        <v>Mochammad Fadhillah Hakim,</v>
      </c>
      <c r="N2857" s="6" t="str">
        <f>IFERROR(__xludf.DUMMYFUNCTION("""COMPUTED_VALUE"""),"FIP Engineering")</f>
        <v>FIP Engineering</v>
      </c>
      <c r="O2857" s="6" t="str">
        <f>IFERROR(__xludf.DUMMYFUNCTION("""COMPUTED_VALUE"""),"FIP-DOM-000-11304-OS00001-INA-000000")</f>
        <v>FIP-DOM-000-11304-OS00001-INA-000000</v>
      </c>
      <c r="P2857" s="6" t="str">
        <f>IFERROR(__xludf.DUMMYFUNCTION("""COMPUTED_VALUE"""),"PO Closed")</f>
        <v>PO Closed</v>
      </c>
      <c r="Q2857" s="6" t="str">
        <f>IFERROR(__xludf.DUMMYFUNCTION("""COMPUTED_VALUE"""),"GL2403019")</f>
        <v>GL2403019</v>
      </c>
      <c r="R2857" s="57">
        <f>IFERROR(__xludf.DUMMYFUNCTION("""COMPUTED_VALUE"""),45303.0)</f>
        <v>45303</v>
      </c>
      <c r="S2857" s="57">
        <f>IFERROR(__xludf.DUMMYFUNCTION("""COMPUTED_VALUE"""),45307.0)</f>
        <v>45307</v>
      </c>
      <c r="T2857" s="57">
        <f>IFERROR(__xludf.DUMMYFUNCTION("""COMPUTED_VALUE"""),45381.0)</f>
        <v>45381</v>
      </c>
    </row>
    <row r="2858">
      <c r="A2858" s="6" t="str">
        <f>IFERROR(__xludf.DUMMYFUNCTION("""COMPUTED_VALUE"""),"121701057-1")</f>
        <v>121701057-1</v>
      </c>
      <c r="B2858" s="6" t="str">
        <f>IFERROR(__xludf.DUMMYFUNCTION("""COMPUTED_VALUE"""),"121701057 - APPROVED")</f>
        <v>121701057 - APPROVED</v>
      </c>
      <c r="C2858" s="6">
        <f>IFERROR(__xludf.DUMMYFUNCTION("""COMPUTED_VALUE"""),1.0)</f>
        <v>1</v>
      </c>
      <c r="D2858" s="6" t="str">
        <f>IFERROR(__xludf.DUMMYFUNCTION("""COMPUTED_VALUE"""),"O-54161-00")</f>
        <v>O-54161-00</v>
      </c>
      <c r="E2858" s="6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F2858" s="6">
        <f>IFERROR(__xludf.DUMMYFUNCTION("""COMPUTED_VALUE"""),1.0)</f>
        <v>1</v>
      </c>
      <c r="G2858" s="6" t="str">
        <f>IFERROR(__xludf.DUMMYFUNCTION("""COMPUTED_VALUE"""),"Unit")</f>
        <v>Unit</v>
      </c>
      <c r="H2858" s="6" t="str">
        <f>IFERROR(__xludf.DUMMYFUNCTION("""COMPUTED_VALUE"""),"IDR")</f>
        <v>IDR</v>
      </c>
      <c r="I2858" s="6">
        <f>IFERROR(__xludf.DUMMYFUNCTION("""COMPUTED_VALUE"""),3.375E7)</f>
        <v>33750000</v>
      </c>
      <c r="J2858" s="6">
        <f>IFERROR(__xludf.DUMMYFUNCTION("""COMPUTED_VALUE"""),3.375E7)</f>
        <v>33750000</v>
      </c>
      <c r="K2858" s="57">
        <f>IFERROR(__xludf.DUMMYFUNCTION("""COMPUTED_VALUE"""),45308.0)</f>
        <v>45308</v>
      </c>
      <c r="L2858" s="6" t="str">
        <f>IFERROR(__xludf.DUMMYFUNCTION("""COMPUTED_VALUE"""),"FIP Engineering")</f>
        <v>FIP Engineering</v>
      </c>
      <c r="M2858" s="6" t="str">
        <f>IFERROR(__xludf.DUMMYFUNCTION("""COMPUTED_VALUE"""),"Mochammad Fadhillah Hakim,")</f>
        <v>Mochammad Fadhillah Hakim,</v>
      </c>
      <c r="N2858" s="6" t="str">
        <f>IFERROR(__xludf.DUMMYFUNCTION("""COMPUTED_VALUE"""),"FIP Engineering")</f>
        <v>FIP Engineering</v>
      </c>
      <c r="O2858" s="6" t="str">
        <f>IFERROR(__xludf.DUMMYFUNCTION("""COMPUTED_VALUE"""),"FIP-DOM-000-11304-OS00001-INA-000000")</f>
        <v>FIP-DOM-000-11304-OS00001-INA-000000</v>
      </c>
      <c r="P2858" s="6" t="str">
        <f>IFERROR(__xludf.DUMMYFUNCTION("""COMPUTED_VALUE"""),"PO Closed")</f>
        <v>PO Closed</v>
      </c>
      <c r="Q2858" s="6" t="str">
        <f>IFERROR(__xludf.DUMMYFUNCTION("""COMPUTED_VALUE"""),"GL2401035")</f>
        <v>GL2401035</v>
      </c>
      <c r="R2858" s="57">
        <f>IFERROR(__xludf.DUMMYFUNCTION("""COMPUTED_VALUE"""),45306.0)</f>
        <v>45306</v>
      </c>
      <c r="S2858" s="57">
        <f>IFERROR(__xludf.DUMMYFUNCTION("""COMPUTED_VALUE"""),45307.0)</f>
        <v>45307</v>
      </c>
      <c r="T2858" s="57">
        <f>IFERROR(__xludf.DUMMYFUNCTION("""COMPUTED_VALUE"""),45478.0)</f>
        <v>45478</v>
      </c>
    </row>
    <row r="2859">
      <c r="A2859" s="6" t="str">
        <f>IFERROR(__xludf.DUMMYFUNCTION("""COMPUTED_VALUE"""),"121701060-1")</f>
        <v>121701060-1</v>
      </c>
      <c r="B2859" s="6" t="str">
        <f>IFERROR(__xludf.DUMMYFUNCTION("""COMPUTED_VALUE"""),"121701060 - APPROVED")</f>
        <v>121701060 - APPROVED</v>
      </c>
      <c r="C2859" s="6">
        <f>IFERROR(__xludf.DUMMYFUNCTION("""COMPUTED_VALUE"""),1.0)</f>
        <v>1</v>
      </c>
      <c r="D2859" s="6" t="str">
        <f>IFERROR(__xludf.DUMMYFUNCTION("""COMPUTED_VALUE"""),"S-42148-00")</f>
        <v>S-42148-00</v>
      </c>
      <c r="E2859" s="6" t="str">
        <f>IFERROR(__xludf.DUMMYFUNCTION("""COMPUTED_VALUE"""),"Plakban Kuning Size 1""; Sazanami; ; pack size per pack 6 roll")</f>
        <v>Plakban Kuning Size 1"; Sazanami; ; pack size per pack 6 roll</v>
      </c>
      <c r="F2859" s="6">
        <f>IFERROR(__xludf.DUMMYFUNCTION("""COMPUTED_VALUE"""),30.0)</f>
        <v>30</v>
      </c>
      <c r="G2859" s="6" t="str">
        <f>IFERROR(__xludf.DUMMYFUNCTION("""COMPUTED_VALUE"""),"Roll")</f>
        <v>Roll</v>
      </c>
      <c r="H2859" s="6" t="str">
        <f>IFERROR(__xludf.DUMMYFUNCTION("""COMPUTED_VALUE"""),"IDR")</f>
        <v>IDR</v>
      </c>
      <c r="I2859" s="6">
        <f>IFERROR(__xludf.DUMMYFUNCTION("""COMPUTED_VALUE"""),15000.0)</f>
        <v>15000</v>
      </c>
      <c r="J2859" s="6">
        <f>IFERROR(__xludf.DUMMYFUNCTION("""COMPUTED_VALUE"""),450000.0)</f>
        <v>450000</v>
      </c>
      <c r="K2859" s="57">
        <f>IFERROR(__xludf.DUMMYFUNCTION("""COMPUTED_VALUE"""),45309.0)</f>
        <v>45309</v>
      </c>
      <c r="L2859" s="6" t="str">
        <f>IFERROR(__xludf.DUMMYFUNCTION("""COMPUTED_VALUE"""),"FIP General")</f>
        <v>FIP General</v>
      </c>
      <c r="M2859" s="6" t="str">
        <f>IFERROR(__xludf.DUMMYFUNCTION("""COMPUTED_VALUE"""),"Mochammad Fadhillah Hakim,")</f>
        <v>Mochammad Fadhillah Hakim,</v>
      </c>
      <c r="N2859" s="6" t="str">
        <f>IFERROR(__xludf.DUMMYFUNCTION("""COMPUTED_VALUE"""),"FIP Engineering")</f>
        <v>FIP Engineering</v>
      </c>
      <c r="O2859" s="6" t="str">
        <f>IFERROR(__xludf.DUMMYFUNCTION("""COMPUTED_VALUE"""),"FIP-DOM-ENG-51404-0000000-INA-000000")</f>
        <v>FIP-DOM-ENG-51404-0000000-INA-000000</v>
      </c>
      <c r="P2859" s="6" t="str">
        <f>IFERROR(__xludf.DUMMYFUNCTION("""COMPUTED_VALUE"""),"PO Closed")</f>
        <v>PO Closed</v>
      </c>
      <c r="Q2859" s="6" t="str">
        <f>IFERROR(__xludf.DUMMYFUNCTION("""COMPUTED_VALUE"""),"GL2402031")</f>
        <v>GL2402031</v>
      </c>
      <c r="R2859" s="57">
        <f>IFERROR(__xludf.DUMMYFUNCTION("""COMPUTED_VALUE"""),45307.0)</f>
        <v>45307</v>
      </c>
      <c r="S2859" s="57">
        <f>IFERROR(__xludf.DUMMYFUNCTION("""COMPUTED_VALUE"""),45328.0)</f>
        <v>45328</v>
      </c>
      <c r="T2859" s="6"/>
    </row>
    <row r="2860">
      <c r="A2860" s="6" t="str">
        <f>IFERROR(__xludf.DUMMYFUNCTION("""COMPUTED_VALUE"""),"121701060-2")</f>
        <v>121701060-2</v>
      </c>
      <c r="B2860" s="6" t="str">
        <f>IFERROR(__xludf.DUMMYFUNCTION("""COMPUTED_VALUE"""),"121701060 - APPROVED")</f>
        <v>121701060 - APPROVED</v>
      </c>
      <c r="C2860" s="6">
        <f>IFERROR(__xludf.DUMMYFUNCTION("""COMPUTED_VALUE"""),2.0)</f>
        <v>2</v>
      </c>
      <c r="D2860" s="6" t="str">
        <f>IFERROR(__xludf.DUMMYFUNCTION("""COMPUTED_VALUE"""),"P-18170-00")</f>
        <v>P-18170-00</v>
      </c>
      <c r="E2860" s="6" t="str">
        <f>IFERROR(__xludf.DUMMYFUNCTION("""COMPUTED_VALUE"""),"Kunci pas ring 22 mm; ; ;")</f>
        <v>Kunci pas ring 22 mm; ; ;</v>
      </c>
      <c r="F2860" s="6">
        <f>IFERROR(__xludf.DUMMYFUNCTION("""COMPUTED_VALUE"""),1.0)</f>
        <v>1</v>
      </c>
      <c r="G2860" s="6" t="str">
        <f>IFERROR(__xludf.DUMMYFUNCTION("""COMPUTED_VALUE"""),"Pieces")</f>
        <v>Pieces</v>
      </c>
      <c r="H2860" s="6" t="str">
        <f>IFERROR(__xludf.DUMMYFUNCTION("""COMPUTED_VALUE"""),"IDR")</f>
        <v>IDR</v>
      </c>
      <c r="I2860" s="6">
        <f>IFERROR(__xludf.DUMMYFUNCTION("""COMPUTED_VALUE"""),100000.0)</f>
        <v>100000</v>
      </c>
      <c r="J2860" s="6">
        <f>IFERROR(__xludf.DUMMYFUNCTION("""COMPUTED_VALUE"""),100000.0)</f>
        <v>100000</v>
      </c>
      <c r="K2860" s="57">
        <f>IFERROR(__xludf.DUMMYFUNCTION("""COMPUTED_VALUE"""),45309.0)</f>
        <v>45309</v>
      </c>
      <c r="L2860" s="6" t="str">
        <f>IFERROR(__xludf.DUMMYFUNCTION("""COMPUTED_VALUE"""),"FIP General")</f>
        <v>FIP General</v>
      </c>
      <c r="M2860" s="6" t="str">
        <f>IFERROR(__xludf.DUMMYFUNCTION("""COMPUTED_VALUE"""),"Mochammad Fadhillah Hakim,")</f>
        <v>Mochammad Fadhillah Hakim,</v>
      </c>
      <c r="N2860" s="6" t="str">
        <f>IFERROR(__xludf.DUMMYFUNCTION("""COMPUTED_VALUE"""),"FIP Engineering")</f>
        <v>FIP Engineering</v>
      </c>
      <c r="O2860" s="6" t="str">
        <f>IFERROR(__xludf.DUMMYFUNCTION("""COMPUTED_VALUE"""),"FIP-DOM-ENG-51404-0000000-INA-000000")</f>
        <v>FIP-DOM-ENG-51404-0000000-INA-000000</v>
      </c>
      <c r="P2860" s="6" t="str">
        <f>IFERROR(__xludf.DUMMYFUNCTION("""COMPUTED_VALUE"""),"PO Closed")</f>
        <v>PO Closed</v>
      </c>
      <c r="Q2860" s="6" t="str">
        <f>IFERROR(__xludf.DUMMYFUNCTION("""COMPUTED_VALUE"""),"GL2403002")</f>
        <v>GL2403002</v>
      </c>
      <c r="R2860" s="57">
        <f>IFERROR(__xludf.DUMMYFUNCTION("""COMPUTED_VALUE"""),45307.0)</f>
        <v>45307</v>
      </c>
      <c r="S2860" s="57">
        <f>IFERROR(__xludf.DUMMYFUNCTION("""COMPUTED_VALUE"""),45328.0)</f>
        <v>45328</v>
      </c>
      <c r="T2860" s="57">
        <f>IFERROR(__xludf.DUMMYFUNCTION("""COMPUTED_VALUE"""),45412.0)</f>
        <v>45412</v>
      </c>
    </row>
    <row r="2861">
      <c r="A2861" s="6" t="str">
        <f>IFERROR(__xludf.DUMMYFUNCTION("""COMPUTED_VALUE"""),"121701060-3")</f>
        <v>121701060-3</v>
      </c>
      <c r="B2861" s="6" t="str">
        <f>IFERROR(__xludf.DUMMYFUNCTION("""COMPUTED_VALUE"""),"121701060 - APPROVED")</f>
        <v>121701060 - APPROVED</v>
      </c>
      <c r="C2861" s="6">
        <f>IFERROR(__xludf.DUMMYFUNCTION("""COMPUTED_VALUE"""),3.0)</f>
        <v>3</v>
      </c>
      <c r="D2861" s="6" t="str">
        <f>IFERROR(__xludf.DUMMYFUNCTION("""COMPUTED_VALUE"""),"P-18171-00")</f>
        <v>P-18171-00</v>
      </c>
      <c r="E2861" s="6" t="str">
        <f>IFERROR(__xludf.DUMMYFUNCTION("""COMPUTED_VALUE"""),"Kunci pas ring 24 mm; ; ;")</f>
        <v>Kunci pas ring 24 mm; ; ;</v>
      </c>
      <c r="F2861" s="6">
        <f>IFERROR(__xludf.DUMMYFUNCTION("""COMPUTED_VALUE"""),1.0)</f>
        <v>1</v>
      </c>
      <c r="G2861" s="6" t="str">
        <f>IFERROR(__xludf.DUMMYFUNCTION("""COMPUTED_VALUE"""),"Pieces")</f>
        <v>Pieces</v>
      </c>
      <c r="H2861" s="6" t="str">
        <f>IFERROR(__xludf.DUMMYFUNCTION("""COMPUTED_VALUE"""),"IDR")</f>
        <v>IDR</v>
      </c>
      <c r="I2861" s="6">
        <f>IFERROR(__xludf.DUMMYFUNCTION("""COMPUTED_VALUE"""),100000.0)</f>
        <v>100000</v>
      </c>
      <c r="J2861" s="6">
        <f>IFERROR(__xludf.DUMMYFUNCTION("""COMPUTED_VALUE"""),100000.0)</f>
        <v>100000</v>
      </c>
      <c r="K2861" s="57">
        <f>IFERROR(__xludf.DUMMYFUNCTION("""COMPUTED_VALUE"""),45309.0)</f>
        <v>45309</v>
      </c>
      <c r="L2861" s="6" t="str">
        <f>IFERROR(__xludf.DUMMYFUNCTION("""COMPUTED_VALUE"""),"FIP General")</f>
        <v>FIP General</v>
      </c>
      <c r="M2861" s="6" t="str">
        <f>IFERROR(__xludf.DUMMYFUNCTION("""COMPUTED_VALUE"""),"Mochammad Fadhillah Hakim,")</f>
        <v>Mochammad Fadhillah Hakim,</v>
      </c>
      <c r="N2861" s="6" t="str">
        <f>IFERROR(__xludf.DUMMYFUNCTION("""COMPUTED_VALUE"""),"FIP Engineering")</f>
        <v>FIP Engineering</v>
      </c>
      <c r="O2861" s="6" t="str">
        <f>IFERROR(__xludf.DUMMYFUNCTION("""COMPUTED_VALUE"""),"FIP-DOM-ENG-51404-0000000-INA-000000")</f>
        <v>FIP-DOM-ENG-51404-0000000-INA-000000</v>
      </c>
      <c r="P2861" s="6" t="str">
        <f>IFERROR(__xludf.DUMMYFUNCTION("""COMPUTED_VALUE"""),"PO Closed")</f>
        <v>PO Closed</v>
      </c>
      <c r="Q2861" s="6" t="str">
        <f>IFERROR(__xludf.DUMMYFUNCTION("""COMPUTED_VALUE"""),"GL2403002")</f>
        <v>GL2403002</v>
      </c>
      <c r="R2861" s="57">
        <f>IFERROR(__xludf.DUMMYFUNCTION("""COMPUTED_VALUE"""),45307.0)</f>
        <v>45307</v>
      </c>
      <c r="S2861" s="57">
        <f>IFERROR(__xludf.DUMMYFUNCTION("""COMPUTED_VALUE"""),45328.0)</f>
        <v>45328</v>
      </c>
      <c r="T2861" s="57">
        <f>IFERROR(__xludf.DUMMYFUNCTION("""COMPUTED_VALUE"""),45412.0)</f>
        <v>45412</v>
      </c>
    </row>
    <row r="2862">
      <c r="A2862" s="6" t="str">
        <f>IFERROR(__xludf.DUMMYFUNCTION("""COMPUTED_VALUE"""),"121701060-4")</f>
        <v>121701060-4</v>
      </c>
      <c r="B2862" s="6" t="str">
        <f>IFERROR(__xludf.DUMMYFUNCTION("""COMPUTED_VALUE"""),"121701060 - APPROVED")</f>
        <v>121701060 - APPROVED</v>
      </c>
      <c r="C2862" s="6">
        <f>IFERROR(__xludf.DUMMYFUNCTION("""COMPUTED_VALUE"""),4.0)</f>
        <v>4</v>
      </c>
      <c r="D2862" s="6" t="str">
        <f>IFERROR(__xludf.DUMMYFUNCTION("""COMPUTED_VALUE"""),"S-60205-00")</f>
        <v>S-60205-00</v>
      </c>
      <c r="E2862" s="6" t="str">
        <f>IFERROR(__xludf.DUMMYFUNCTION("""COMPUTED_VALUE"""),"Tang Kombinasi 7 inch; Tekiro; ;")</f>
        <v>Tang Kombinasi 7 inch; Tekiro; ;</v>
      </c>
      <c r="F2862" s="6">
        <f>IFERROR(__xludf.DUMMYFUNCTION("""COMPUTED_VALUE"""),1.0)</f>
        <v>1</v>
      </c>
      <c r="G2862" s="6" t="str">
        <f>IFERROR(__xludf.DUMMYFUNCTION("""COMPUTED_VALUE"""),"Pieces")</f>
        <v>Pieces</v>
      </c>
      <c r="H2862" s="6" t="str">
        <f>IFERROR(__xludf.DUMMYFUNCTION("""COMPUTED_VALUE"""),"IDR")</f>
        <v>IDR</v>
      </c>
      <c r="I2862" s="6">
        <f>IFERROR(__xludf.DUMMYFUNCTION("""COMPUTED_VALUE"""),150000.0)</f>
        <v>150000</v>
      </c>
      <c r="J2862" s="6">
        <f>IFERROR(__xludf.DUMMYFUNCTION("""COMPUTED_VALUE"""),150000.0)</f>
        <v>150000</v>
      </c>
      <c r="K2862" s="57">
        <f>IFERROR(__xludf.DUMMYFUNCTION("""COMPUTED_VALUE"""),45309.0)</f>
        <v>45309</v>
      </c>
      <c r="L2862" s="6" t="str">
        <f>IFERROR(__xludf.DUMMYFUNCTION("""COMPUTED_VALUE"""),"FIP General")</f>
        <v>FIP General</v>
      </c>
      <c r="M2862" s="6" t="str">
        <f>IFERROR(__xludf.DUMMYFUNCTION("""COMPUTED_VALUE"""),"Mochammad Fadhillah Hakim,")</f>
        <v>Mochammad Fadhillah Hakim,</v>
      </c>
      <c r="N2862" s="6" t="str">
        <f>IFERROR(__xludf.DUMMYFUNCTION("""COMPUTED_VALUE"""),"FIP Engineering")</f>
        <v>FIP Engineering</v>
      </c>
      <c r="O2862" s="6" t="str">
        <f>IFERROR(__xludf.DUMMYFUNCTION("""COMPUTED_VALUE"""),"FIP-DOM-ENG-51404-0000000-INA-000000")</f>
        <v>FIP-DOM-ENG-51404-0000000-INA-000000</v>
      </c>
      <c r="P2862" s="6" t="str">
        <f>IFERROR(__xludf.DUMMYFUNCTION("""COMPUTED_VALUE"""),"PO Closed")</f>
        <v>PO Closed</v>
      </c>
      <c r="Q2862" s="6" t="str">
        <f>IFERROR(__xludf.DUMMYFUNCTION("""COMPUTED_VALUE"""),"GL2403002")</f>
        <v>GL2403002</v>
      </c>
      <c r="R2862" s="57">
        <f>IFERROR(__xludf.DUMMYFUNCTION("""COMPUTED_VALUE"""),45307.0)</f>
        <v>45307</v>
      </c>
      <c r="S2862" s="57">
        <f>IFERROR(__xludf.DUMMYFUNCTION("""COMPUTED_VALUE"""),45328.0)</f>
        <v>45328</v>
      </c>
      <c r="T2862" s="57">
        <f>IFERROR(__xludf.DUMMYFUNCTION("""COMPUTED_VALUE"""),45412.0)</f>
        <v>45412</v>
      </c>
    </row>
    <row r="2863">
      <c r="A2863" s="6" t="str">
        <f>IFERROR(__xludf.DUMMYFUNCTION("""COMPUTED_VALUE"""),"121701060-6")</f>
        <v>121701060-6</v>
      </c>
      <c r="B2863" s="6" t="str">
        <f>IFERROR(__xludf.DUMMYFUNCTION("""COMPUTED_VALUE"""),"121701060 - APPROVED")</f>
        <v>121701060 - APPROVED</v>
      </c>
      <c r="C2863" s="6">
        <f>IFERROR(__xludf.DUMMYFUNCTION("""COMPUTED_VALUE"""),6.0)</f>
        <v>6</v>
      </c>
      <c r="D2863" s="6" t="str">
        <f>IFERROR(__xludf.DUMMYFUNCTION("""COMPUTED_VALUE"""),"P-53210-00")</f>
        <v>P-53210-00</v>
      </c>
      <c r="E2863" s="6" t="str">
        <f>IFERROR(__xludf.DUMMYFUNCTION("""COMPUTED_VALUE"""),"CAPACITOR 5 uF, 220 V, 2 kutub; ; ;")</f>
        <v>CAPACITOR 5 uF, 220 V, 2 kutub; ; ;</v>
      </c>
      <c r="F2863" s="6">
        <f>IFERROR(__xludf.DUMMYFUNCTION("""COMPUTED_VALUE"""),5.0)</f>
        <v>5</v>
      </c>
      <c r="G2863" s="6" t="str">
        <f>IFERROR(__xludf.DUMMYFUNCTION("""COMPUTED_VALUE"""),"Pieces")</f>
        <v>Pieces</v>
      </c>
      <c r="H2863" s="6" t="str">
        <f>IFERROR(__xludf.DUMMYFUNCTION("""COMPUTED_VALUE"""),"IDR")</f>
        <v>IDR</v>
      </c>
      <c r="I2863" s="6">
        <f>IFERROR(__xludf.DUMMYFUNCTION("""COMPUTED_VALUE"""),50000.0)</f>
        <v>50000</v>
      </c>
      <c r="J2863" s="6">
        <f>IFERROR(__xludf.DUMMYFUNCTION("""COMPUTED_VALUE"""),250000.0)</f>
        <v>250000</v>
      </c>
      <c r="K2863" s="57">
        <f>IFERROR(__xludf.DUMMYFUNCTION("""COMPUTED_VALUE"""),45309.0)</f>
        <v>45309</v>
      </c>
      <c r="L2863" s="6" t="str">
        <f>IFERROR(__xludf.DUMMYFUNCTION("""COMPUTED_VALUE"""),"FIP Engineering")</f>
        <v>FIP Engineering</v>
      </c>
      <c r="M2863" s="6" t="str">
        <f>IFERROR(__xludf.DUMMYFUNCTION("""COMPUTED_VALUE"""),"Mochammad Fadhillah Hakim,")</f>
        <v>Mochammad Fadhillah Hakim,</v>
      </c>
      <c r="N2863" s="6" t="str">
        <f>IFERROR(__xludf.DUMMYFUNCTION("""COMPUTED_VALUE"""),"FIP Engineering")</f>
        <v>FIP Engineering</v>
      </c>
      <c r="O2863" s="6" t="str">
        <f>IFERROR(__xludf.DUMMYFUNCTION("""COMPUTED_VALUE"""),"FIP-DOM-000-11304-OS00001-INA-000000")</f>
        <v>FIP-DOM-000-11304-OS00001-INA-000000</v>
      </c>
      <c r="P2863" s="6" t="str">
        <f>IFERROR(__xludf.DUMMYFUNCTION("""COMPUTED_VALUE"""),"PO Closed")</f>
        <v>PO Closed</v>
      </c>
      <c r="Q2863" s="6" t="str">
        <f>IFERROR(__xludf.DUMMYFUNCTION("""COMPUTED_VALUE"""),"GL2403002")</f>
        <v>GL2403002</v>
      </c>
      <c r="R2863" s="57">
        <f>IFERROR(__xludf.DUMMYFUNCTION("""COMPUTED_VALUE"""),45307.0)</f>
        <v>45307</v>
      </c>
      <c r="S2863" s="57">
        <f>IFERROR(__xludf.DUMMYFUNCTION("""COMPUTED_VALUE"""),45328.0)</f>
        <v>45328</v>
      </c>
      <c r="T2863" s="57">
        <f>IFERROR(__xludf.DUMMYFUNCTION("""COMPUTED_VALUE"""),45412.0)</f>
        <v>45412</v>
      </c>
    </row>
    <row r="2864">
      <c r="A2864" s="6" t="str">
        <f>IFERROR(__xludf.DUMMYFUNCTION("""COMPUTED_VALUE"""),"121701060-7")</f>
        <v>121701060-7</v>
      </c>
      <c r="B2864" s="6" t="str">
        <f>IFERROR(__xludf.DUMMYFUNCTION("""COMPUTED_VALUE"""),"121701060 - APPROVED")</f>
        <v>121701060 - APPROVED</v>
      </c>
      <c r="C2864" s="6">
        <f>IFERROR(__xludf.DUMMYFUNCTION("""COMPUTED_VALUE"""),7.0)</f>
        <v>7</v>
      </c>
      <c r="D2864" s="6" t="str">
        <f>IFERROR(__xludf.DUMMYFUNCTION("""COMPUTED_VALUE"""),"P-13389-00")</f>
        <v>P-13389-00</v>
      </c>
      <c r="E2864" s="6" t="str">
        <f>IFERROR(__xludf.DUMMYFUNCTION("""COMPUTED_VALUE"""),"Scotch Brite 3M; ; ;")</f>
        <v>Scotch Brite 3M; ; ;</v>
      </c>
      <c r="F2864" s="6">
        <f>IFERROR(__xludf.DUMMYFUNCTION("""COMPUTED_VALUE"""),20.0)</f>
        <v>20</v>
      </c>
      <c r="G2864" s="6" t="str">
        <f>IFERROR(__xludf.DUMMYFUNCTION("""COMPUTED_VALUE"""),"Pieces")</f>
        <v>Pieces</v>
      </c>
      <c r="H2864" s="6" t="str">
        <f>IFERROR(__xludf.DUMMYFUNCTION("""COMPUTED_VALUE"""),"IDR")</f>
        <v>IDR</v>
      </c>
      <c r="I2864" s="6">
        <f>IFERROR(__xludf.DUMMYFUNCTION("""COMPUTED_VALUE"""),13500.0)</f>
        <v>13500</v>
      </c>
      <c r="J2864" s="6">
        <f>IFERROR(__xludf.DUMMYFUNCTION("""COMPUTED_VALUE"""),270000.0)</f>
        <v>270000</v>
      </c>
      <c r="K2864" s="57">
        <f>IFERROR(__xludf.DUMMYFUNCTION("""COMPUTED_VALUE"""),45309.0)</f>
        <v>45309</v>
      </c>
      <c r="L2864" s="6" t="str">
        <f>IFERROR(__xludf.DUMMYFUNCTION("""COMPUTED_VALUE"""),"FIP Engineering")</f>
        <v>FIP Engineering</v>
      </c>
      <c r="M2864" s="6" t="str">
        <f>IFERROR(__xludf.DUMMYFUNCTION("""COMPUTED_VALUE"""),"Mochammad Fadhillah Hakim,")</f>
        <v>Mochammad Fadhillah Hakim,</v>
      </c>
      <c r="N2864" s="6" t="str">
        <f>IFERROR(__xludf.DUMMYFUNCTION("""COMPUTED_VALUE"""),"FIP Engineering")</f>
        <v>FIP Engineering</v>
      </c>
      <c r="O2864" s="6" t="str">
        <f>IFERROR(__xludf.DUMMYFUNCTION("""COMPUTED_VALUE"""),"FIP-DOM-000-11304-OS00001-INA-000000")</f>
        <v>FIP-DOM-000-11304-OS00001-INA-000000</v>
      </c>
      <c r="P2864" s="6" t="str">
        <f>IFERROR(__xludf.DUMMYFUNCTION("""COMPUTED_VALUE"""),"PO Closed")</f>
        <v>PO Closed</v>
      </c>
      <c r="Q2864" s="6" t="str">
        <f>IFERROR(__xludf.DUMMYFUNCTION("""COMPUTED_VALUE"""),"GL2403002")</f>
        <v>GL2403002</v>
      </c>
      <c r="R2864" s="57">
        <f>IFERROR(__xludf.DUMMYFUNCTION("""COMPUTED_VALUE"""),45307.0)</f>
        <v>45307</v>
      </c>
      <c r="S2864" s="57">
        <f>IFERROR(__xludf.DUMMYFUNCTION("""COMPUTED_VALUE"""),45328.0)</f>
        <v>45328</v>
      </c>
      <c r="T2864" s="57">
        <f>IFERROR(__xludf.DUMMYFUNCTION("""COMPUTED_VALUE"""),45412.0)</f>
        <v>45412</v>
      </c>
    </row>
    <row r="2865">
      <c r="A2865" s="6" t="str">
        <f>IFERROR(__xludf.DUMMYFUNCTION("""COMPUTED_VALUE"""),"121701060-8")</f>
        <v>121701060-8</v>
      </c>
      <c r="B2865" s="6" t="str">
        <f>IFERROR(__xludf.DUMMYFUNCTION("""COMPUTED_VALUE"""),"121701060 - APPROVED")</f>
        <v>121701060 - APPROVED</v>
      </c>
      <c r="C2865" s="6">
        <f>IFERROR(__xludf.DUMMYFUNCTION("""COMPUTED_VALUE"""),8.0)</f>
        <v>8</v>
      </c>
      <c r="D2865" s="6" t="str">
        <f>IFERROR(__xludf.DUMMYFUNCTION("""COMPUTED_VALUE"""),"P-52519-00")</f>
        <v>P-52519-00</v>
      </c>
      <c r="E2865" s="6" t="str">
        <f>IFERROR(__xludf.DUMMYFUNCTION("""COMPUTED_VALUE"""),"CAPACITOR 3.5 uF, 450V, 2 kutub; ; ;")</f>
        <v>CAPACITOR 3.5 uF, 450V, 2 kutub; ; ;</v>
      </c>
      <c r="F2865" s="6">
        <f>IFERROR(__xludf.DUMMYFUNCTION("""COMPUTED_VALUE"""),5.0)</f>
        <v>5</v>
      </c>
      <c r="G2865" s="6" t="str">
        <f>IFERROR(__xludf.DUMMYFUNCTION("""COMPUTED_VALUE"""),"Pieces")</f>
        <v>Pieces</v>
      </c>
      <c r="H2865" s="6" t="str">
        <f>IFERROR(__xludf.DUMMYFUNCTION("""COMPUTED_VALUE"""),"IDR")</f>
        <v>IDR</v>
      </c>
      <c r="I2865" s="6">
        <f>IFERROR(__xludf.DUMMYFUNCTION("""COMPUTED_VALUE"""),72000.0)</f>
        <v>72000</v>
      </c>
      <c r="J2865" s="6">
        <f>IFERROR(__xludf.DUMMYFUNCTION("""COMPUTED_VALUE"""),360000.0)</f>
        <v>360000</v>
      </c>
      <c r="K2865" s="57">
        <f>IFERROR(__xludf.DUMMYFUNCTION("""COMPUTED_VALUE"""),45309.0)</f>
        <v>45309</v>
      </c>
      <c r="L2865" s="6" t="str">
        <f>IFERROR(__xludf.DUMMYFUNCTION("""COMPUTED_VALUE"""),"FIP Engineering")</f>
        <v>FIP Engineering</v>
      </c>
      <c r="M2865" s="6" t="str">
        <f>IFERROR(__xludf.DUMMYFUNCTION("""COMPUTED_VALUE"""),"Mochammad Fadhillah Hakim,")</f>
        <v>Mochammad Fadhillah Hakim,</v>
      </c>
      <c r="N2865" s="6" t="str">
        <f>IFERROR(__xludf.DUMMYFUNCTION("""COMPUTED_VALUE"""),"FIP Engineering")</f>
        <v>FIP Engineering</v>
      </c>
      <c r="O2865" s="6" t="str">
        <f>IFERROR(__xludf.DUMMYFUNCTION("""COMPUTED_VALUE"""),"FIP-DOM-000-11304-OS00001-INA-000000")</f>
        <v>FIP-DOM-000-11304-OS00001-INA-000000</v>
      </c>
      <c r="P2865" s="6" t="str">
        <f>IFERROR(__xludf.DUMMYFUNCTION("""COMPUTED_VALUE"""),"PO Closed")</f>
        <v>PO Closed</v>
      </c>
      <c r="Q2865" s="6" t="str">
        <f>IFERROR(__xludf.DUMMYFUNCTION("""COMPUTED_VALUE"""),"GL2403002")</f>
        <v>GL2403002</v>
      </c>
      <c r="R2865" s="57">
        <f>IFERROR(__xludf.DUMMYFUNCTION("""COMPUTED_VALUE"""),45307.0)</f>
        <v>45307</v>
      </c>
      <c r="S2865" s="57">
        <f>IFERROR(__xludf.DUMMYFUNCTION("""COMPUTED_VALUE"""),45328.0)</f>
        <v>45328</v>
      </c>
      <c r="T2865" s="57">
        <f>IFERROR(__xludf.DUMMYFUNCTION("""COMPUTED_VALUE"""),45412.0)</f>
        <v>45412</v>
      </c>
    </row>
    <row r="2866">
      <c r="A2866" s="6" t="str">
        <f>IFERROR(__xludf.DUMMYFUNCTION("""COMPUTED_VALUE"""),"121701062-1")</f>
        <v>121701062-1</v>
      </c>
      <c r="B2866" s="6" t="str">
        <f>IFERROR(__xludf.DUMMYFUNCTION("""COMPUTED_VALUE"""),"121701062 - APPROVED")</f>
        <v>121701062 - APPROVED</v>
      </c>
      <c r="C2866" s="6">
        <f>IFERROR(__xludf.DUMMYFUNCTION("""COMPUTED_VALUE"""),1.0)</f>
        <v>1</v>
      </c>
      <c r="D2866" s="6" t="str">
        <f>IFERROR(__xludf.DUMMYFUNCTION("""COMPUTED_VALUE"""),"P-51559-00")</f>
        <v>P-51559-00</v>
      </c>
      <c r="E2866" s="6" t="str">
        <f>IFERROR(__xludf.DUMMYFUNCTION("""COMPUTED_VALUE"""),"Lampu T5 14watt Putih; Phillips; ;")</f>
        <v>Lampu T5 14watt Putih; Phillips; ;</v>
      </c>
      <c r="F2866" s="6">
        <f>IFERROR(__xludf.DUMMYFUNCTION("""COMPUTED_VALUE"""),80.0)</f>
        <v>80</v>
      </c>
      <c r="G2866" s="6" t="str">
        <f>IFERROR(__xludf.DUMMYFUNCTION("""COMPUTED_VALUE"""),"Pack")</f>
        <v>Pack</v>
      </c>
      <c r="H2866" s="6" t="str">
        <f>IFERROR(__xludf.DUMMYFUNCTION("""COMPUTED_VALUE"""),"IDR")</f>
        <v>IDR</v>
      </c>
      <c r="I2866" s="6">
        <f>IFERROR(__xludf.DUMMYFUNCTION("""COMPUTED_VALUE"""),29700.0)</f>
        <v>29700</v>
      </c>
      <c r="J2866" s="6">
        <f>IFERROR(__xludf.DUMMYFUNCTION("""COMPUTED_VALUE"""),2376000.0)</f>
        <v>2376000</v>
      </c>
      <c r="K2866" s="57">
        <f>IFERROR(__xludf.DUMMYFUNCTION("""COMPUTED_VALUE"""),45309.0)</f>
        <v>45309</v>
      </c>
      <c r="L2866" s="6" t="str">
        <f>IFERROR(__xludf.DUMMYFUNCTION("""COMPUTED_VALUE"""),"FIP Engineering")</f>
        <v>FIP Engineering</v>
      </c>
      <c r="M2866" s="6" t="str">
        <f>IFERROR(__xludf.DUMMYFUNCTION("""COMPUTED_VALUE"""),"Mochammad Fadhillah Hakim,")</f>
        <v>Mochammad Fadhillah Hakim,</v>
      </c>
      <c r="N2866" s="6" t="str">
        <f>IFERROR(__xludf.DUMMYFUNCTION("""COMPUTED_VALUE"""),"FIP Engineering")</f>
        <v>FIP Engineering</v>
      </c>
      <c r="O2866" s="6" t="str">
        <f>IFERROR(__xludf.DUMMYFUNCTION("""COMPUTED_VALUE"""),"FIP-DOM-000-11304-OS00001-INA-000000")</f>
        <v>FIP-DOM-000-11304-OS00001-INA-000000</v>
      </c>
      <c r="P2866" s="6" t="str">
        <f>IFERROR(__xludf.DUMMYFUNCTION("""COMPUTED_VALUE"""),"PO Closed")</f>
        <v>PO Closed</v>
      </c>
      <c r="Q2866" s="6" t="str">
        <f>IFERROR(__xludf.DUMMYFUNCTION("""COMPUTED_VALUE"""),"GL2402057")</f>
        <v>GL2402057</v>
      </c>
      <c r="R2866" s="57">
        <f>IFERROR(__xludf.DUMMYFUNCTION("""COMPUTED_VALUE"""),45307.0)</f>
        <v>45307</v>
      </c>
      <c r="S2866" s="57">
        <f>IFERROR(__xludf.DUMMYFUNCTION("""COMPUTED_VALUE"""),45328.0)</f>
        <v>45328</v>
      </c>
      <c r="T2866" s="6"/>
    </row>
    <row r="2867">
      <c r="A2867" s="6" t="str">
        <f>IFERROR(__xludf.DUMMYFUNCTION("""COMPUTED_VALUE"""),"121701062-2")</f>
        <v>121701062-2</v>
      </c>
      <c r="B2867" s="6" t="str">
        <f>IFERROR(__xludf.DUMMYFUNCTION("""COMPUTED_VALUE"""),"121701062 - APPROVED")</f>
        <v>121701062 - APPROVED</v>
      </c>
      <c r="C2867" s="6">
        <f>IFERROR(__xludf.DUMMYFUNCTION("""COMPUTED_VALUE"""),2.0)</f>
        <v>2</v>
      </c>
      <c r="D2867" s="6" t="str">
        <f>IFERROR(__xludf.DUMMYFUNCTION("""COMPUTED_VALUE"""),"O-19256-00")</f>
        <v>O-19256-00</v>
      </c>
      <c r="E2867" s="6" t="str">
        <f>IFERROR(__xludf.DUMMYFUNCTION("""COMPUTED_VALUE"""),"Grendel Pintu Sliding Stanless Steel; ; ;")</f>
        <v>Grendel Pintu Sliding Stanless Steel; ; ;</v>
      </c>
      <c r="F2867" s="6">
        <f>IFERROR(__xludf.DUMMYFUNCTION("""COMPUTED_VALUE"""),10.0)</f>
        <v>10</v>
      </c>
      <c r="G2867" s="6" t="str">
        <f>IFERROR(__xludf.DUMMYFUNCTION("""COMPUTED_VALUE"""),"Pieces")</f>
        <v>Pieces</v>
      </c>
      <c r="H2867" s="6" t="str">
        <f>IFERROR(__xludf.DUMMYFUNCTION("""COMPUTED_VALUE"""),"IDR")</f>
        <v>IDR</v>
      </c>
      <c r="I2867" s="6">
        <f>IFERROR(__xludf.DUMMYFUNCTION("""COMPUTED_VALUE"""),45000.0)</f>
        <v>45000</v>
      </c>
      <c r="J2867" s="6">
        <f>IFERROR(__xludf.DUMMYFUNCTION("""COMPUTED_VALUE"""),450000.0)</f>
        <v>450000</v>
      </c>
      <c r="K2867" s="57">
        <f>IFERROR(__xludf.DUMMYFUNCTION("""COMPUTED_VALUE"""),45309.0)</f>
        <v>45309</v>
      </c>
      <c r="L2867" s="6" t="str">
        <f>IFERROR(__xludf.DUMMYFUNCTION("""COMPUTED_VALUE"""),"FIP Engineering")</f>
        <v>FIP Engineering</v>
      </c>
      <c r="M2867" s="6" t="str">
        <f>IFERROR(__xludf.DUMMYFUNCTION("""COMPUTED_VALUE"""),"Mochammad Fadhillah Hakim,")</f>
        <v>Mochammad Fadhillah Hakim,</v>
      </c>
      <c r="N2867" s="6" t="str">
        <f>IFERROR(__xludf.DUMMYFUNCTION("""COMPUTED_VALUE"""),"FIP Engineering")</f>
        <v>FIP Engineering</v>
      </c>
      <c r="O2867" s="6" t="str">
        <f>IFERROR(__xludf.DUMMYFUNCTION("""COMPUTED_VALUE"""),"FIP-DOM-000-11304-OS00001-INA-000000")</f>
        <v>FIP-DOM-000-11304-OS00001-INA-000000</v>
      </c>
      <c r="P2867" s="6" t="str">
        <f>IFERROR(__xludf.DUMMYFUNCTION("""COMPUTED_VALUE"""),"PO Closed")</f>
        <v>PO Closed</v>
      </c>
      <c r="Q2867" s="6" t="str">
        <f>IFERROR(__xludf.DUMMYFUNCTION("""COMPUTED_VALUE"""),"GL2403002")</f>
        <v>GL2403002</v>
      </c>
      <c r="R2867" s="57">
        <f>IFERROR(__xludf.DUMMYFUNCTION("""COMPUTED_VALUE"""),45307.0)</f>
        <v>45307</v>
      </c>
      <c r="S2867" s="57">
        <f>IFERROR(__xludf.DUMMYFUNCTION("""COMPUTED_VALUE"""),45328.0)</f>
        <v>45328</v>
      </c>
      <c r="T2867" s="57">
        <f>IFERROR(__xludf.DUMMYFUNCTION("""COMPUTED_VALUE"""),45412.0)</f>
        <v>45412</v>
      </c>
    </row>
    <row r="2868">
      <c r="A2868" s="6" t="str">
        <f>IFERROR(__xludf.DUMMYFUNCTION("""COMPUTED_VALUE"""),"121701062-3")</f>
        <v>121701062-3</v>
      </c>
      <c r="B2868" s="6" t="str">
        <f>IFERROR(__xludf.DUMMYFUNCTION("""COMPUTED_VALUE"""),"121701062 - APPROVED")</f>
        <v>121701062 - APPROVED</v>
      </c>
      <c r="C2868" s="6">
        <f>IFERROR(__xludf.DUMMYFUNCTION("""COMPUTED_VALUE"""),3.0)</f>
        <v>3</v>
      </c>
      <c r="D2868" s="6" t="str">
        <f>IFERROR(__xludf.DUMMYFUNCTION("""COMPUTED_VALUE"""),"T-20118-00")</f>
        <v>T-20118-00</v>
      </c>
      <c r="E2868" s="6" t="str">
        <f>IFERROR(__xludf.DUMMYFUNCTION("""COMPUTED_VALUE"""),"FILTER INSERT ASSY; Waters; P/N WAT088084; 1 pc")</f>
        <v>FILTER INSERT ASSY; Waters; P/N WAT088084; 1 pc</v>
      </c>
      <c r="F2868" s="6">
        <f>IFERROR(__xludf.DUMMYFUNCTION("""COMPUTED_VALUE"""),2.0)</f>
        <v>2</v>
      </c>
      <c r="G2868" s="6" t="str">
        <f>IFERROR(__xludf.DUMMYFUNCTION("""COMPUTED_VALUE"""),"Pieces")</f>
        <v>Pieces</v>
      </c>
      <c r="H2868" s="6" t="str">
        <f>IFERROR(__xludf.DUMMYFUNCTION("""COMPUTED_VALUE"""),"IDR")</f>
        <v>IDR</v>
      </c>
      <c r="I2868" s="6">
        <f>IFERROR(__xludf.DUMMYFUNCTION("""COMPUTED_VALUE"""),325166.0)</f>
        <v>325166</v>
      </c>
      <c r="J2868" s="6">
        <f>IFERROR(__xludf.DUMMYFUNCTION("""COMPUTED_VALUE"""),650332.0)</f>
        <v>650332</v>
      </c>
      <c r="K2868" s="57">
        <f>IFERROR(__xludf.DUMMYFUNCTION("""COMPUTED_VALUE"""),45309.0)</f>
        <v>45309</v>
      </c>
      <c r="L2868" s="6" t="str">
        <f>IFERROR(__xludf.DUMMYFUNCTION("""COMPUTED_VALUE"""),"FIP General")</f>
        <v>FIP General</v>
      </c>
      <c r="M2868" s="6" t="str">
        <f>IFERROR(__xludf.DUMMYFUNCTION("""COMPUTED_VALUE"""),"Mochammad Fadhillah Hakim,")</f>
        <v>Mochammad Fadhillah Hakim,</v>
      </c>
      <c r="N2868" s="6" t="str">
        <f>IFERROR(__xludf.DUMMYFUNCTION("""COMPUTED_VALUE"""),"FIP Engineering")</f>
        <v>FIP Engineering</v>
      </c>
      <c r="O2868" s="6" t="str">
        <f>IFERROR(__xludf.DUMMYFUNCTION("""COMPUTED_VALUE"""),"FIP-DOM-ENG-51505-0000000-INA-000000")</f>
        <v>FIP-DOM-ENG-51505-0000000-INA-000000</v>
      </c>
      <c r="P2868" s="6" t="str">
        <f>IFERROR(__xludf.DUMMYFUNCTION("""COMPUTED_VALUE"""),"PO Closed")</f>
        <v>PO Closed</v>
      </c>
      <c r="Q2868" s="6" t="str">
        <f>IFERROR(__xludf.DUMMYFUNCTION("""COMPUTED_VALUE"""),"GL2402307")</f>
        <v>GL2402307</v>
      </c>
      <c r="R2868" s="57">
        <f>IFERROR(__xludf.DUMMYFUNCTION("""COMPUTED_VALUE"""),45307.0)</f>
        <v>45307</v>
      </c>
      <c r="S2868" s="57">
        <f>IFERROR(__xludf.DUMMYFUNCTION("""COMPUTED_VALUE"""),45328.0)</f>
        <v>45328</v>
      </c>
      <c r="T2868" s="57">
        <f>IFERROR(__xludf.DUMMYFUNCTION("""COMPUTED_VALUE"""),45359.0)</f>
        <v>45359</v>
      </c>
    </row>
    <row r="2869">
      <c r="A2869" s="6" t="str">
        <f>IFERROR(__xludf.DUMMYFUNCTION("""COMPUTED_VALUE"""),"121701062-4")</f>
        <v>121701062-4</v>
      </c>
      <c r="B2869" s="6" t="str">
        <f>IFERROR(__xludf.DUMMYFUNCTION("""COMPUTED_VALUE"""),"121701062 - APPROVED")</f>
        <v>121701062 - APPROVED</v>
      </c>
      <c r="C2869" s="6">
        <f>IFERROR(__xludf.DUMMYFUNCTION("""COMPUTED_VALUE"""),4.0)</f>
        <v>4</v>
      </c>
      <c r="D2869" s="6" t="str">
        <f>IFERROR(__xludf.DUMMYFUNCTION("""COMPUTED_VALUE"""),"P-52807-00")</f>
        <v>P-52807-00</v>
      </c>
      <c r="E2869" s="6" t="str">
        <f>IFERROR(__xludf.DUMMYFUNCTION("""COMPUTED_VALUE"""),"4"" Inline Hydrophonic Fan 0,04kw 220V; ; ;")</f>
        <v>4" Inline Hydrophonic Fan 0,04kw 220V; ; ;</v>
      </c>
      <c r="F2869" s="6">
        <f>IFERROR(__xludf.DUMMYFUNCTION("""COMPUTED_VALUE"""),1.0)</f>
        <v>1</v>
      </c>
      <c r="G2869" s="6" t="str">
        <f>IFERROR(__xludf.DUMMYFUNCTION("""COMPUTED_VALUE"""),"Pieces")</f>
        <v>Pieces</v>
      </c>
      <c r="H2869" s="6" t="str">
        <f>IFERROR(__xludf.DUMMYFUNCTION("""COMPUTED_VALUE"""),"IDR")</f>
        <v>IDR</v>
      </c>
      <c r="I2869" s="6">
        <f>IFERROR(__xludf.DUMMYFUNCTION("""COMPUTED_VALUE"""),1050000.0)</f>
        <v>1050000</v>
      </c>
      <c r="J2869" s="6">
        <f>IFERROR(__xludf.DUMMYFUNCTION("""COMPUTED_VALUE"""),1050000.0)</f>
        <v>1050000</v>
      </c>
      <c r="K2869" s="57">
        <f>IFERROR(__xludf.DUMMYFUNCTION("""COMPUTED_VALUE"""),45309.0)</f>
        <v>45309</v>
      </c>
      <c r="L2869" s="6" t="str">
        <f>IFERROR(__xludf.DUMMYFUNCTION("""COMPUTED_VALUE"""),"FIP Engineering")</f>
        <v>FIP Engineering</v>
      </c>
      <c r="M2869" s="6" t="str">
        <f>IFERROR(__xludf.DUMMYFUNCTION("""COMPUTED_VALUE"""),"Mochammad Fadhillah Hakim,")</f>
        <v>Mochammad Fadhillah Hakim,</v>
      </c>
      <c r="N2869" s="6" t="str">
        <f>IFERROR(__xludf.DUMMYFUNCTION("""COMPUTED_VALUE"""),"FIP Engineering")</f>
        <v>FIP Engineering</v>
      </c>
      <c r="O2869" s="6" t="str">
        <f>IFERROR(__xludf.DUMMYFUNCTION("""COMPUTED_VALUE"""),"FIP-DOM-000-11304-OS00001-INA-000000")</f>
        <v>FIP-DOM-000-11304-OS00001-INA-000000</v>
      </c>
      <c r="P2869" s="6" t="str">
        <f>IFERROR(__xludf.DUMMYFUNCTION("""COMPUTED_VALUE"""),"PO Closed")</f>
        <v>PO Closed</v>
      </c>
      <c r="Q2869" s="6" t="str">
        <f>IFERROR(__xludf.DUMMYFUNCTION("""COMPUTED_VALUE"""),"GL2403002")</f>
        <v>GL2403002</v>
      </c>
      <c r="R2869" s="57">
        <f>IFERROR(__xludf.DUMMYFUNCTION("""COMPUTED_VALUE"""),45307.0)</f>
        <v>45307</v>
      </c>
      <c r="S2869" s="57">
        <f>IFERROR(__xludf.DUMMYFUNCTION("""COMPUTED_VALUE"""),45328.0)</f>
        <v>45328</v>
      </c>
      <c r="T2869" s="57">
        <f>IFERROR(__xludf.DUMMYFUNCTION("""COMPUTED_VALUE"""),45412.0)</f>
        <v>45412</v>
      </c>
    </row>
    <row r="2870">
      <c r="A2870" s="6" t="str">
        <f>IFERROR(__xludf.DUMMYFUNCTION("""COMPUTED_VALUE"""),"121701066-1")</f>
        <v>121701066-1</v>
      </c>
      <c r="B2870" s="6" t="str">
        <f>IFERROR(__xludf.DUMMYFUNCTION("""COMPUTED_VALUE"""),"121701066 - APPROVED")</f>
        <v>121701066 - APPROVED</v>
      </c>
      <c r="C2870" s="6">
        <f>IFERROR(__xludf.DUMMYFUNCTION("""COMPUTED_VALUE"""),1.0)</f>
        <v>1</v>
      </c>
      <c r="D2870" s="6" t="str">
        <f>IFERROR(__xludf.DUMMYFUNCTION("""COMPUTED_VALUE"""),"S-60050-00")</f>
        <v>S-60050-00</v>
      </c>
      <c r="E2870" s="6" t="str">
        <f>IFERROR(__xludf.DUMMYFUNCTION("""COMPUTED_VALUE"""),"Jasa Perbaikan dan Pemeliharaan Mesin Produksi; ; ;")</f>
        <v>Jasa Perbaikan dan Pemeliharaan Mesin Produksi; ; ;</v>
      </c>
      <c r="F2870" s="6">
        <f>IFERROR(__xludf.DUMMYFUNCTION("""COMPUTED_VALUE"""),1.0)</f>
        <v>1</v>
      </c>
      <c r="G2870" s="6" t="str">
        <f>IFERROR(__xludf.DUMMYFUNCTION("""COMPUTED_VALUE"""),"Pieces")</f>
        <v>Pieces</v>
      </c>
      <c r="H2870" s="6" t="str">
        <f>IFERROR(__xludf.DUMMYFUNCTION("""COMPUTED_VALUE"""),"IDR")</f>
        <v>IDR</v>
      </c>
      <c r="I2870" s="6">
        <f>IFERROR(__xludf.DUMMYFUNCTION("""COMPUTED_VALUE"""),1975000.0)</f>
        <v>1975000</v>
      </c>
      <c r="J2870" s="6">
        <f>IFERROR(__xludf.DUMMYFUNCTION("""COMPUTED_VALUE"""),1975000.0)</f>
        <v>1975000</v>
      </c>
      <c r="K2870" s="57">
        <f>IFERROR(__xludf.DUMMYFUNCTION("""COMPUTED_VALUE"""),45310.0)</f>
        <v>45310</v>
      </c>
      <c r="L2870" s="6" t="str">
        <f>IFERROR(__xludf.DUMMYFUNCTION("""COMPUTED_VALUE"""),"FIP General")</f>
        <v>FIP General</v>
      </c>
      <c r="M2870" s="6" t="str">
        <f>IFERROR(__xludf.DUMMYFUNCTION("""COMPUTED_VALUE"""),"Mochammad Fadhillah Hakim,")</f>
        <v>Mochammad Fadhillah Hakim,</v>
      </c>
      <c r="N2870" s="6" t="str">
        <f>IFERROR(__xludf.DUMMYFUNCTION("""COMPUTED_VALUE"""),"FIP Engineering")</f>
        <v>FIP Engineering</v>
      </c>
      <c r="O2870" s="6" t="str">
        <f>IFERROR(__xludf.DUMMYFUNCTION("""COMPUTED_VALUE"""),"FIP-DOM-ENG-51504-0000000-INA-000000")</f>
        <v>FIP-DOM-ENG-51504-0000000-INA-000000</v>
      </c>
      <c r="P2870" s="6" t="str">
        <f>IFERROR(__xludf.DUMMYFUNCTION("""COMPUTED_VALUE"""),"PO Closed")</f>
        <v>PO Closed</v>
      </c>
      <c r="Q2870" s="6" t="str">
        <f>IFERROR(__xludf.DUMMYFUNCTION("""COMPUTED_VALUE"""),"GL2402033")</f>
        <v>GL2402033</v>
      </c>
      <c r="R2870" s="57">
        <f>IFERROR(__xludf.DUMMYFUNCTION("""COMPUTED_VALUE"""),45308.0)</f>
        <v>45308</v>
      </c>
      <c r="S2870" s="57">
        <f>IFERROR(__xludf.DUMMYFUNCTION("""COMPUTED_VALUE"""),45315.0)</f>
        <v>45315</v>
      </c>
      <c r="T2870" s="57">
        <f>IFERROR(__xludf.DUMMYFUNCTION("""COMPUTED_VALUE"""),45380.0)</f>
        <v>45380</v>
      </c>
    </row>
    <row r="2871">
      <c r="A2871" s="6" t="str">
        <f>IFERROR(__xludf.DUMMYFUNCTION("""COMPUTED_VALUE"""),"121701090-1")</f>
        <v>121701090-1</v>
      </c>
      <c r="B2871" s="6" t="str">
        <f>IFERROR(__xludf.DUMMYFUNCTION("""COMPUTED_VALUE"""),"121701090 - APPROVED")</f>
        <v>121701090 - APPROVED</v>
      </c>
      <c r="C2871" s="6">
        <f>IFERROR(__xludf.DUMMYFUNCTION("""COMPUTED_VALUE"""),1.0)</f>
        <v>1</v>
      </c>
      <c r="D2871" s="6" t="str">
        <f>IFERROR(__xludf.DUMMYFUNCTION("""COMPUTED_VALUE"""),"O-54165-00")</f>
        <v>O-54165-00</v>
      </c>
      <c r="E2871" s="6" t="str">
        <f>IFERROR(__xludf.DUMMYFUNCTION("""COMPUTED_VALUE"""),"Electronic Expansion Valve ESS2U; Parker; ;")</f>
        <v>Electronic Expansion Valve ESS2U; Parker; ;</v>
      </c>
      <c r="F2871" s="6">
        <f>IFERROR(__xludf.DUMMYFUNCTION("""COMPUTED_VALUE"""),5.0)</f>
        <v>5</v>
      </c>
      <c r="G2871" s="6" t="str">
        <f>IFERROR(__xludf.DUMMYFUNCTION("""COMPUTED_VALUE"""),"Pieces")</f>
        <v>Pieces</v>
      </c>
      <c r="H2871" s="6" t="str">
        <f>IFERROR(__xludf.DUMMYFUNCTION("""COMPUTED_VALUE"""),"IDR")</f>
        <v>IDR</v>
      </c>
      <c r="I2871" s="6">
        <f>IFERROR(__xludf.DUMMYFUNCTION("""COMPUTED_VALUE"""),1488000.0)</f>
        <v>1488000</v>
      </c>
      <c r="J2871" s="6">
        <f>IFERROR(__xludf.DUMMYFUNCTION("""COMPUTED_VALUE"""),7440000.0)</f>
        <v>7440000</v>
      </c>
      <c r="K2871" s="57">
        <f>IFERROR(__xludf.DUMMYFUNCTION("""COMPUTED_VALUE"""),45316.0)</f>
        <v>45316</v>
      </c>
      <c r="L2871" s="6" t="str">
        <f>IFERROR(__xludf.DUMMYFUNCTION("""COMPUTED_VALUE"""),"FIP Engineering")</f>
        <v>FIP Engineering</v>
      </c>
      <c r="M2871" s="6" t="str">
        <f>IFERROR(__xludf.DUMMYFUNCTION("""COMPUTED_VALUE"""),"Mochammad Fadhillah Hakim,")</f>
        <v>Mochammad Fadhillah Hakim,</v>
      </c>
      <c r="N2871" s="6" t="str">
        <f>IFERROR(__xludf.DUMMYFUNCTION("""COMPUTED_VALUE"""),"FIP Engineering")</f>
        <v>FIP Engineering</v>
      </c>
      <c r="O2871" s="6" t="str">
        <f>IFERROR(__xludf.DUMMYFUNCTION("""COMPUTED_VALUE"""),"FIP-DOM-000-11304-OS00001-INA-000000")</f>
        <v>FIP-DOM-000-11304-OS00001-INA-000000</v>
      </c>
      <c r="P2871" s="6" t="str">
        <f>IFERROR(__xludf.DUMMYFUNCTION("""COMPUTED_VALUE"""),"PO Closed")</f>
        <v>PO Closed</v>
      </c>
      <c r="Q2871" s="6" t="str">
        <f>IFERROR(__xludf.DUMMYFUNCTION("""COMPUTED_VALUE"""),"GL2401049")</f>
        <v>GL2401049</v>
      </c>
      <c r="R2871" s="57">
        <f>IFERROR(__xludf.DUMMYFUNCTION("""COMPUTED_VALUE"""),45314.0)</f>
        <v>45314</v>
      </c>
      <c r="S2871" s="57">
        <f>IFERROR(__xludf.DUMMYFUNCTION("""COMPUTED_VALUE"""),45314.0)</f>
        <v>45314</v>
      </c>
      <c r="T2871" s="6"/>
    </row>
    <row r="2872">
      <c r="A2872" s="6" t="str">
        <f>IFERROR(__xludf.DUMMYFUNCTION("""COMPUTED_VALUE"""),"121701092-1")</f>
        <v>121701092-1</v>
      </c>
      <c r="B2872" s="6" t="str">
        <f>IFERROR(__xludf.DUMMYFUNCTION("""COMPUTED_VALUE"""),"121701092 - APPROVED")</f>
        <v>121701092 - APPROVED</v>
      </c>
      <c r="C2872" s="6">
        <f>IFERROR(__xludf.DUMMYFUNCTION("""COMPUTED_VALUE"""),1.0)</f>
        <v>1</v>
      </c>
      <c r="D2872" s="6" t="str">
        <f>IFERROR(__xludf.DUMMYFUNCTION("""COMPUTED_VALUE"""),"P-54218-00")</f>
        <v>P-54218-00</v>
      </c>
      <c r="E2872" s="6" t="str">
        <f>IFERROR(__xludf.DUMMYFUNCTION("""COMPUTED_VALUE"""),"Vertical Float Level Switch VSS-2FJ-S4-L720-FS45-HT; Wingel; ;")</f>
        <v>Vertical Float Level Switch VSS-2FJ-S4-L720-FS45-HT; Wingel; ;</v>
      </c>
      <c r="F2872" s="6">
        <f>IFERROR(__xludf.DUMMYFUNCTION("""COMPUTED_VALUE"""),1.0)</f>
        <v>1</v>
      </c>
      <c r="G2872" s="6" t="str">
        <f>IFERROR(__xludf.DUMMYFUNCTION("""COMPUTED_VALUE"""),"Pieces")</f>
        <v>Pieces</v>
      </c>
      <c r="H2872" s="6" t="str">
        <f>IFERROR(__xludf.DUMMYFUNCTION("""COMPUTED_VALUE"""),"IDR")</f>
        <v>IDR</v>
      </c>
      <c r="I2872" s="6">
        <f>IFERROR(__xludf.DUMMYFUNCTION("""COMPUTED_VALUE"""),6000000.0)</f>
        <v>6000000</v>
      </c>
      <c r="J2872" s="6">
        <f>IFERROR(__xludf.DUMMYFUNCTION("""COMPUTED_VALUE"""),6000000.0)</f>
        <v>6000000</v>
      </c>
      <c r="K2872" s="57">
        <f>IFERROR(__xludf.DUMMYFUNCTION("""COMPUTED_VALUE"""),45316.0)</f>
        <v>45316</v>
      </c>
      <c r="L2872" s="6" t="str">
        <f>IFERROR(__xludf.DUMMYFUNCTION("""COMPUTED_VALUE"""),"FIP Engineering")</f>
        <v>FIP Engineering</v>
      </c>
      <c r="M2872" s="6" t="str">
        <f>IFERROR(__xludf.DUMMYFUNCTION("""COMPUTED_VALUE"""),"Mochammad Fadhillah Hakim,")</f>
        <v>Mochammad Fadhillah Hakim,</v>
      </c>
      <c r="N2872" s="6" t="str">
        <f>IFERROR(__xludf.DUMMYFUNCTION("""COMPUTED_VALUE"""),"FIP Engineering")</f>
        <v>FIP Engineering</v>
      </c>
      <c r="O2872" s="6" t="str">
        <f>IFERROR(__xludf.DUMMYFUNCTION("""COMPUTED_VALUE"""),"FIP-DOM-000-11304-OS00001-INA-000000")</f>
        <v>FIP-DOM-000-11304-OS00001-INA-000000</v>
      </c>
      <c r="P2872" s="6" t="str">
        <f>IFERROR(__xludf.DUMMYFUNCTION("""COMPUTED_VALUE"""),"PO Closed")</f>
        <v>PO Closed</v>
      </c>
      <c r="Q2872" s="6" t="str">
        <f>IFERROR(__xludf.DUMMYFUNCTION("""COMPUTED_VALUE"""),"GL2402042")</f>
        <v>GL2402042</v>
      </c>
      <c r="R2872" s="57">
        <f>IFERROR(__xludf.DUMMYFUNCTION("""COMPUTED_VALUE"""),45314.0)</f>
        <v>45314</v>
      </c>
      <c r="S2872" s="57">
        <f>IFERROR(__xludf.DUMMYFUNCTION("""COMPUTED_VALUE"""),45316.0)</f>
        <v>45316</v>
      </c>
      <c r="T2872" s="57">
        <f>IFERROR(__xludf.DUMMYFUNCTION("""COMPUTED_VALUE"""),45371.0)</f>
        <v>45371</v>
      </c>
    </row>
    <row r="2873">
      <c r="A2873" s="6" t="str">
        <f>IFERROR(__xludf.DUMMYFUNCTION("""COMPUTED_VALUE"""),"121701099-1")</f>
        <v>121701099-1</v>
      </c>
      <c r="B2873" s="6" t="str">
        <f>IFERROR(__xludf.DUMMYFUNCTION("""COMPUTED_VALUE"""),"121701099 - APPROVED")</f>
        <v>121701099 - APPROVED</v>
      </c>
      <c r="C2873" s="6">
        <f>IFERROR(__xludf.DUMMYFUNCTION("""COMPUTED_VALUE"""),1.0)</f>
        <v>1</v>
      </c>
      <c r="D2873" s="6" t="str">
        <f>IFERROR(__xludf.DUMMYFUNCTION("""COMPUTED_VALUE"""),"P-14899-00")</f>
        <v>P-14899-00</v>
      </c>
      <c r="E2873" s="6" t="str">
        <f>IFERROR(__xludf.DUMMYFUNCTION("""COMPUTED_VALUE"""),"Electrode Set Ozone Generator; Ozonia MKIV; ;")</f>
        <v>Electrode Set Ozone Generator; Ozonia MKIV; ;</v>
      </c>
      <c r="F2873" s="6">
        <f>IFERROR(__xludf.DUMMYFUNCTION("""COMPUTED_VALUE"""),1.0)</f>
        <v>1</v>
      </c>
      <c r="G2873" s="6" t="str">
        <f>IFERROR(__xludf.DUMMYFUNCTION("""COMPUTED_VALUE"""),"Unit")</f>
        <v>Unit</v>
      </c>
      <c r="H2873" s="6" t="str">
        <f>IFERROR(__xludf.DUMMYFUNCTION("""COMPUTED_VALUE"""),"IDR")</f>
        <v>IDR</v>
      </c>
      <c r="I2873" s="6">
        <f>IFERROR(__xludf.DUMMYFUNCTION("""COMPUTED_VALUE"""),5.1E7)</f>
        <v>51000000</v>
      </c>
      <c r="J2873" s="6">
        <f>IFERROR(__xludf.DUMMYFUNCTION("""COMPUTED_VALUE"""),5.1E7)</f>
        <v>51000000</v>
      </c>
      <c r="K2873" s="57">
        <f>IFERROR(__xludf.DUMMYFUNCTION("""COMPUTED_VALUE"""),45316.0)</f>
        <v>45316</v>
      </c>
      <c r="L2873" s="6" t="str">
        <f>IFERROR(__xludf.DUMMYFUNCTION("""COMPUTED_VALUE"""),"FIP Engineering")</f>
        <v>FIP Engineering</v>
      </c>
      <c r="M2873" s="6" t="str">
        <f>IFERROR(__xludf.DUMMYFUNCTION("""COMPUTED_VALUE"""),"Mochammad Fadhillah Hakim,")</f>
        <v>Mochammad Fadhillah Hakim,</v>
      </c>
      <c r="N2873" s="6" t="str">
        <f>IFERROR(__xludf.DUMMYFUNCTION("""COMPUTED_VALUE"""),"FIP Engineering")</f>
        <v>FIP Engineering</v>
      </c>
      <c r="O2873" s="6" t="str">
        <f>IFERROR(__xludf.DUMMYFUNCTION("""COMPUTED_VALUE"""),"FIP-DOM-000-11304-OS00001-INA-000000")</f>
        <v>FIP-DOM-000-11304-OS00001-INA-000000</v>
      </c>
      <c r="P2873" s="6" t="str">
        <f>IFERROR(__xludf.DUMMYFUNCTION("""COMPUTED_VALUE"""),"PO Closed")</f>
        <v>PO Closed</v>
      </c>
      <c r="Q2873" s="6" t="str">
        <f>IFERROR(__xludf.DUMMYFUNCTION("""COMPUTED_VALUE"""),"GL2402061")</f>
        <v>GL2402061</v>
      </c>
      <c r="R2873" s="57">
        <f>IFERROR(__xludf.DUMMYFUNCTION("""COMPUTED_VALUE"""),45314.0)</f>
        <v>45314</v>
      </c>
      <c r="S2873" s="57">
        <f>IFERROR(__xludf.DUMMYFUNCTION("""COMPUTED_VALUE"""),45314.0)</f>
        <v>45314</v>
      </c>
      <c r="T2873" s="6"/>
    </row>
    <row r="2874">
      <c r="A2874" s="6" t="str">
        <f>IFERROR(__xludf.DUMMYFUNCTION("""COMPUTED_VALUE"""),"121701106-1")</f>
        <v>121701106-1</v>
      </c>
      <c r="B2874" s="6" t="str">
        <f>IFERROR(__xludf.DUMMYFUNCTION("""COMPUTED_VALUE"""),"121701106 - APPROVED")</f>
        <v>121701106 - APPROVED</v>
      </c>
      <c r="C2874" s="6">
        <f>IFERROR(__xludf.DUMMYFUNCTION("""COMPUTED_VALUE"""),1.0)</f>
        <v>1</v>
      </c>
      <c r="D2874" s="6" t="str">
        <f>IFERROR(__xludf.DUMMYFUNCTION("""COMPUTED_VALUE"""),"S-60050-00")</f>
        <v>S-60050-00</v>
      </c>
      <c r="E2874" s="6" t="str">
        <f>IFERROR(__xludf.DUMMYFUNCTION("""COMPUTED_VALUE"""),"Jasa Perbaikan dan Pemeliharaan Mesin Produksi; ; ;")</f>
        <v>Jasa Perbaikan dan Pemeliharaan Mesin Produksi; ; ;</v>
      </c>
      <c r="F2874" s="6">
        <f>IFERROR(__xludf.DUMMYFUNCTION("""COMPUTED_VALUE"""),1.0)</f>
        <v>1</v>
      </c>
      <c r="G2874" s="6" t="str">
        <f>IFERROR(__xludf.DUMMYFUNCTION("""COMPUTED_VALUE"""),"Pieces")</f>
        <v>Pieces</v>
      </c>
      <c r="H2874" s="6" t="str">
        <f>IFERROR(__xludf.DUMMYFUNCTION("""COMPUTED_VALUE"""),"IDR")</f>
        <v>IDR</v>
      </c>
      <c r="I2874" s="6">
        <f>IFERROR(__xludf.DUMMYFUNCTION("""COMPUTED_VALUE"""),1000000.0)</f>
        <v>1000000</v>
      </c>
      <c r="J2874" s="6">
        <f>IFERROR(__xludf.DUMMYFUNCTION("""COMPUTED_VALUE"""),1000000.0)</f>
        <v>1000000</v>
      </c>
      <c r="K2874" s="57">
        <f>IFERROR(__xludf.DUMMYFUNCTION("""COMPUTED_VALUE"""),45317.0)</f>
        <v>45317</v>
      </c>
      <c r="L2874" s="6" t="str">
        <f>IFERROR(__xludf.DUMMYFUNCTION("""COMPUTED_VALUE"""),"FIP General")</f>
        <v>FIP General</v>
      </c>
      <c r="M2874" s="6" t="str">
        <f>IFERROR(__xludf.DUMMYFUNCTION("""COMPUTED_VALUE"""),"Mochammad Fadhillah Hakim,")</f>
        <v>Mochammad Fadhillah Hakim,</v>
      </c>
      <c r="N2874" s="6" t="str">
        <f>IFERROR(__xludf.DUMMYFUNCTION("""COMPUTED_VALUE"""),"FIP Engineering")</f>
        <v>FIP Engineering</v>
      </c>
      <c r="O2874" s="6" t="str">
        <f>IFERROR(__xludf.DUMMYFUNCTION("""COMPUTED_VALUE"""),"FIP-DOM-ENG-51504-0000000-INA-000000")</f>
        <v>FIP-DOM-ENG-51504-0000000-INA-000000</v>
      </c>
      <c r="P2874" s="6" t="str">
        <f>IFERROR(__xludf.DUMMYFUNCTION("""COMPUTED_VALUE"""),"PO Closed")</f>
        <v>PO Closed</v>
      </c>
      <c r="Q2874" s="6" t="str">
        <f>IFERROR(__xludf.DUMMYFUNCTION("""COMPUTED_VALUE"""),"GL2403033")</f>
        <v>GL2403033</v>
      </c>
      <c r="R2874" s="57">
        <f>IFERROR(__xludf.DUMMYFUNCTION("""COMPUTED_VALUE"""),45315.0)</f>
        <v>45315</v>
      </c>
      <c r="S2874" s="57">
        <f>IFERROR(__xludf.DUMMYFUNCTION("""COMPUTED_VALUE"""),45315.0)</f>
        <v>45315</v>
      </c>
      <c r="T2874" s="57">
        <f>IFERROR(__xludf.DUMMYFUNCTION("""COMPUTED_VALUE"""),45373.0)</f>
        <v>45373</v>
      </c>
    </row>
    <row r="2875">
      <c r="A2875" s="6" t="str">
        <f>IFERROR(__xludf.DUMMYFUNCTION("""COMPUTED_VALUE"""),"121701110-1")</f>
        <v>121701110-1</v>
      </c>
      <c r="B2875" s="6" t="str">
        <f>IFERROR(__xludf.DUMMYFUNCTION("""COMPUTED_VALUE"""),"121701110 - APPROVED")</f>
        <v>121701110 - APPROVED</v>
      </c>
      <c r="C2875" s="6">
        <f>IFERROR(__xludf.DUMMYFUNCTION("""COMPUTED_VALUE"""),1.0)</f>
        <v>1</v>
      </c>
      <c r="D2875" s="6" t="str">
        <f>IFERROR(__xludf.DUMMYFUNCTION("""COMPUTED_VALUE"""),"T-20129-00")</f>
        <v>T-20129-00</v>
      </c>
      <c r="E2875" s="6" t="str">
        <f>IFERROR(__xludf.DUMMYFUNCTION("""COMPUTED_VALUE"""),"Deuterium Lamp L6380 80V; Shimadzu; c/n 062-65055-05; 1 pc")</f>
        <v>Deuterium Lamp L6380 80V; Shimadzu; c/n 062-65055-05; 1 pc</v>
      </c>
      <c r="F2875" s="6">
        <f>IFERROR(__xludf.DUMMYFUNCTION("""COMPUTED_VALUE"""),1.0)</f>
        <v>1</v>
      </c>
      <c r="G2875" s="6" t="str">
        <f>IFERROR(__xludf.DUMMYFUNCTION("""COMPUTED_VALUE"""),"Pieces")</f>
        <v>Pieces</v>
      </c>
      <c r="H2875" s="6" t="str">
        <f>IFERROR(__xludf.DUMMYFUNCTION("""COMPUTED_VALUE"""),"IDR")</f>
        <v>IDR</v>
      </c>
      <c r="I2875" s="6">
        <f>IFERROR(__xludf.DUMMYFUNCTION("""COMPUTED_VALUE"""),1.091E7)</f>
        <v>10910000</v>
      </c>
      <c r="J2875" s="6">
        <f>IFERROR(__xludf.DUMMYFUNCTION("""COMPUTED_VALUE"""),1.091E7)</f>
        <v>10910000</v>
      </c>
      <c r="K2875" s="57">
        <f>IFERROR(__xludf.DUMMYFUNCTION("""COMPUTED_VALUE"""),45317.0)</f>
        <v>45317</v>
      </c>
      <c r="L2875" s="6" t="str">
        <f>IFERROR(__xludf.DUMMYFUNCTION("""COMPUTED_VALUE"""),"FIP General")</f>
        <v>FIP General</v>
      </c>
      <c r="M2875" s="6" t="str">
        <f>IFERROR(__xludf.DUMMYFUNCTION("""COMPUTED_VALUE"""),"Mochammad Fadhillah Hakim,")</f>
        <v>Mochammad Fadhillah Hakim,</v>
      </c>
      <c r="N2875" s="6" t="str">
        <f>IFERROR(__xludf.DUMMYFUNCTION("""COMPUTED_VALUE"""),"FIP Engineering")</f>
        <v>FIP Engineering</v>
      </c>
      <c r="O2875" s="6" t="str">
        <f>IFERROR(__xludf.DUMMYFUNCTION("""COMPUTED_VALUE"""),"FIP-DOM-ENG-51505-0000000-INA-000000")</f>
        <v>FIP-DOM-ENG-51505-0000000-INA-000000</v>
      </c>
      <c r="P2875" s="6" t="str">
        <f>IFERROR(__xludf.DUMMYFUNCTION("""COMPUTED_VALUE"""),"PO Closed")</f>
        <v>PO Closed</v>
      </c>
      <c r="Q2875" s="6" t="str">
        <f>IFERROR(__xludf.DUMMYFUNCTION("""COMPUTED_VALUE"""),"GL2402304")</f>
        <v>GL2402304</v>
      </c>
      <c r="R2875" s="57">
        <f>IFERROR(__xludf.DUMMYFUNCTION("""COMPUTED_VALUE"""),45315.0)</f>
        <v>45315</v>
      </c>
      <c r="S2875" s="57">
        <f>IFERROR(__xludf.DUMMYFUNCTION("""COMPUTED_VALUE"""),45320.0)</f>
        <v>45320</v>
      </c>
      <c r="T2875" s="57">
        <f>IFERROR(__xludf.DUMMYFUNCTION("""COMPUTED_VALUE"""),45351.0)</f>
        <v>45351</v>
      </c>
    </row>
    <row r="2876">
      <c r="A2876" s="6" t="str">
        <f>IFERROR(__xludf.DUMMYFUNCTION("""COMPUTED_VALUE"""),"121701110-2")</f>
        <v>121701110-2</v>
      </c>
      <c r="B2876" s="6" t="str">
        <f>IFERROR(__xludf.DUMMYFUNCTION("""COMPUTED_VALUE"""),"121701110 - APPROVED")</f>
        <v>121701110 - APPROVED</v>
      </c>
      <c r="C2876" s="6">
        <f>IFERROR(__xludf.DUMMYFUNCTION("""COMPUTED_VALUE"""),2.0)</f>
        <v>2</v>
      </c>
      <c r="D2876" s="6" t="str">
        <f>IFERROR(__xludf.DUMMYFUNCTION("""COMPUTED_VALUE"""),"T-20381-00")</f>
        <v>T-20381-00</v>
      </c>
      <c r="E2876" s="6" t="str">
        <f>IFERROR(__xludf.DUMMYFUNCTION("""COMPUTED_VALUE"""),"Halogen Lamp NA55917 12V; Shimadzu; Part No. 062-65005; 1")</f>
        <v>Halogen Lamp NA55917 12V; Shimadzu; Part No. 062-65005; 1</v>
      </c>
      <c r="F2876" s="6">
        <f>IFERROR(__xludf.DUMMYFUNCTION("""COMPUTED_VALUE"""),1.0)</f>
        <v>1</v>
      </c>
      <c r="G2876" s="6" t="str">
        <f>IFERROR(__xludf.DUMMYFUNCTION("""COMPUTED_VALUE"""),"Pieces")</f>
        <v>Pieces</v>
      </c>
      <c r="H2876" s="6" t="str">
        <f>IFERROR(__xludf.DUMMYFUNCTION("""COMPUTED_VALUE"""),"IDR")</f>
        <v>IDR</v>
      </c>
      <c r="I2876" s="6">
        <f>IFERROR(__xludf.DUMMYFUNCTION("""COMPUTED_VALUE"""),1300000.0)</f>
        <v>1300000</v>
      </c>
      <c r="J2876" s="6">
        <f>IFERROR(__xludf.DUMMYFUNCTION("""COMPUTED_VALUE"""),1300000.0)</f>
        <v>1300000</v>
      </c>
      <c r="K2876" s="57">
        <f>IFERROR(__xludf.DUMMYFUNCTION("""COMPUTED_VALUE"""),45317.0)</f>
        <v>45317</v>
      </c>
      <c r="L2876" s="6" t="str">
        <f>IFERROR(__xludf.DUMMYFUNCTION("""COMPUTED_VALUE"""),"FIP General")</f>
        <v>FIP General</v>
      </c>
      <c r="M2876" s="6" t="str">
        <f>IFERROR(__xludf.DUMMYFUNCTION("""COMPUTED_VALUE"""),"Mochammad Fadhillah Hakim,")</f>
        <v>Mochammad Fadhillah Hakim,</v>
      </c>
      <c r="N2876" s="6" t="str">
        <f>IFERROR(__xludf.DUMMYFUNCTION("""COMPUTED_VALUE"""),"FIP Engineering")</f>
        <v>FIP Engineering</v>
      </c>
      <c r="O2876" s="6" t="str">
        <f>IFERROR(__xludf.DUMMYFUNCTION("""COMPUTED_VALUE"""),"FIP-DOM-ENG-51505-0000000-INA-000000")</f>
        <v>FIP-DOM-ENG-51505-0000000-INA-000000</v>
      </c>
      <c r="P2876" s="6" t="str">
        <f>IFERROR(__xludf.DUMMYFUNCTION("""COMPUTED_VALUE"""),"PO Closed")</f>
        <v>PO Closed</v>
      </c>
      <c r="Q2876" s="6" t="str">
        <f>IFERROR(__xludf.DUMMYFUNCTION("""COMPUTED_VALUE"""),"GL2402304")</f>
        <v>GL2402304</v>
      </c>
      <c r="R2876" s="57">
        <f>IFERROR(__xludf.DUMMYFUNCTION("""COMPUTED_VALUE"""),45315.0)</f>
        <v>45315</v>
      </c>
      <c r="S2876" s="57">
        <f>IFERROR(__xludf.DUMMYFUNCTION("""COMPUTED_VALUE"""),45320.0)</f>
        <v>45320</v>
      </c>
      <c r="T2876" s="57">
        <f>IFERROR(__xludf.DUMMYFUNCTION("""COMPUTED_VALUE"""),45351.0)</f>
        <v>45351</v>
      </c>
    </row>
    <row r="2877">
      <c r="A2877" s="6" t="str">
        <f>IFERROR(__xludf.DUMMYFUNCTION("""COMPUTED_VALUE"""),"121701111-1")</f>
        <v>121701111-1</v>
      </c>
      <c r="B2877" s="6" t="str">
        <f>IFERROR(__xludf.DUMMYFUNCTION("""COMPUTED_VALUE"""),"121701111 - APPROVED")</f>
        <v>121701111 - APPROVED</v>
      </c>
      <c r="C2877" s="6">
        <f>IFERROR(__xludf.DUMMYFUNCTION("""COMPUTED_VALUE"""),1.0)</f>
        <v>1</v>
      </c>
      <c r="D2877" s="6" t="str">
        <f>IFERROR(__xludf.DUMMYFUNCTION("""COMPUTED_VALUE"""),"T-20532-00")</f>
        <v>T-20532-00</v>
      </c>
      <c r="E2877" s="6" t="str">
        <f>IFERROR(__xludf.DUMMYFUNCTION("""COMPUTED_VALUE"""),"Silica Gel 10GRMSX30PCS; Shimadzu; Part No. 200-53655; 10 gr per pack")</f>
        <v>Silica Gel 10GRMSX30PCS; Shimadzu; Part No. 200-53655; 10 gr per pack</v>
      </c>
      <c r="F2877" s="6">
        <f>IFERROR(__xludf.DUMMYFUNCTION("""COMPUTED_VALUE"""),2.0)</f>
        <v>2</v>
      </c>
      <c r="G2877" s="6" t="str">
        <f>IFERROR(__xludf.DUMMYFUNCTION("""COMPUTED_VALUE"""),"Pack")</f>
        <v>Pack</v>
      </c>
      <c r="H2877" s="6" t="str">
        <f>IFERROR(__xludf.DUMMYFUNCTION("""COMPUTED_VALUE"""),"IDR")</f>
        <v>IDR</v>
      </c>
      <c r="I2877" s="6">
        <f>IFERROR(__xludf.DUMMYFUNCTION("""COMPUTED_VALUE"""),752000.0)</f>
        <v>752000</v>
      </c>
      <c r="J2877" s="6">
        <f>IFERROR(__xludf.DUMMYFUNCTION("""COMPUTED_VALUE"""),1504000.0)</f>
        <v>1504000</v>
      </c>
      <c r="K2877" s="57">
        <f>IFERROR(__xludf.DUMMYFUNCTION("""COMPUTED_VALUE"""),45317.0)</f>
        <v>45317</v>
      </c>
      <c r="L2877" s="6" t="str">
        <f>IFERROR(__xludf.DUMMYFUNCTION("""COMPUTED_VALUE"""),"FIP General")</f>
        <v>FIP General</v>
      </c>
      <c r="M2877" s="6" t="str">
        <f>IFERROR(__xludf.DUMMYFUNCTION("""COMPUTED_VALUE"""),"Mochammad Fadhillah Hakim,")</f>
        <v>Mochammad Fadhillah Hakim,</v>
      </c>
      <c r="N2877" s="6" t="str">
        <f>IFERROR(__xludf.DUMMYFUNCTION("""COMPUTED_VALUE"""),"FIP Engineering")</f>
        <v>FIP Engineering</v>
      </c>
      <c r="O2877" s="6" t="str">
        <f>IFERROR(__xludf.DUMMYFUNCTION("""COMPUTED_VALUE"""),"FIP-DOM-ENG-51505-0000000-INA-000000")</f>
        <v>FIP-DOM-ENG-51505-0000000-INA-000000</v>
      </c>
      <c r="P2877" s="6" t="str">
        <f>IFERROR(__xludf.DUMMYFUNCTION("""COMPUTED_VALUE"""),"PO Closed")</f>
        <v>PO Closed</v>
      </c>
      <c r="Q2877" s="6" t="str">
        <f>IFERROR(__xludf.DUMMYFUNCTION("""COMPUTED_VALUE"""),"GL2402304")</f>
        <v>GL2402304</v>
      </c>
      <c r="R2877" s="57">
        <f>IFERROR(__xludf.DUMMYFUNCTION("""COMPUTED_VALUE"""),45315.0)</f>
        <v>45315</v>
      </c>
      <c r="S2877" s="57">
        <f>IFERROR(__xludf.DUMMYFUNCTION("""COMPUTED_VALUE"""),45316.0)</f>
        <v>45316</v>
      </c>
      <c r="T2877" s="57">
        <f>IFERROR(__xludf.DUMMYFUNCTION("""COMPUTED_VALUE"""),45394.0)</f>
        <v>45394</v>
      </c>
    </row>
    <row r="2878">
      <c r="A2878" s="6" t="str">
        <f>IFERROR(__xludf.DUMMYFUNCTION("""COMPUTED_VALUE"""),"121701117-1")</f>
        <v>121701117-1</v>
      </c>
      <c r="B2878" s="6" t="str">
        <f>IFERROR(__xludf.DUMMYFUNCTION("""COMPUTED_VALUE"""),"121701117 - APPROVED")</f>
        <v>121701117 - APPROVED</v>
      </c>
      <c r="C2878" s="6">
        <f>IFERROR(__xludf.DUMMYFUNCTION("""COMPUTED_VALUE"""),1.0)</f>
        <v>1</v>
      </c>
      <c r="D2878" s="6" t="str">
        <f>IFERROR(__xludf.DUMMYFUNCTION("""COMPUTED_VALUE"""),"S-60050-00")</f>
        <v>S-60050-00</v>
      </c>
      <c r="E2878" s="6" t="str">
        <f>IFERROR(__xludf.DUMMYFUNCTION("""COMPUTED_VALUE"""),"Jasa Perbaikan dan Pemeliharaan Mesin Produksi; ; ;")</f>
        <v>Jasa Perbaikan dan Pemeliharaan Mesin Produksi; ; ;</v>
      </c>
      <c r="F2878" s="6">
        <f>IFERROR(__xludf.DUMMYFUNCTION("""COMPUTED_VALUE"""),1.0)</f>
        <v>1</v>
      </c>
      <c r="G2878" s="6" t="str">
        <f>IFERROR(__xludf.DUMMYFUNCTION("""COMPUTED_VALUE"""),"Pieces")</f>
        <v>Pieces</v>
      </c>
      <c r="H2878" s="6" t="str">
        <f>IFERROR(__xludf.DUMMYFUNCTION("""COMPUTED_VALUE"""),"IDR")</f>
        <v>IDR</v>
      </c>
      <c r="I2878" s="6">
        <f>IFERROR(__xludf.DUMMYFUNCTION("""COMPUTED_VALUE"""),800000.0)</f>
        <v>800000</v>
      </c>
      <c r="J2878" s="6">
        <f>IFERROR(__xludf.DUMMYFUNCTION("""COMPUTED_VALUE"""),800000.0)</f>
        <v>800000</v>
      </c>
      <c r="K2878" s="57">
        <f>IFERROR(__xludf.DUMMYFUNCTION("""COMPUTED_VALUE"""),45319.0)</f>
        <v>45319</v>
      </c>
      <c r="L2878" s="6" t="str">
        <f>IFERROR(__xludf.DUMMYFUNCTION("""COMPUTED_VALUE"""),"FIP General")</f>
        <v>FIP General</v>
      </c>
      <c r="M2878" s="6" t="str">
        <f>IFERROR(__xludf.DUMMYFUNCTION("""COMPUTED_VALUE"""),"Mochammad Fadhillah Hakim,")</f>
        <v>Mochammad Fadhillah Hakim,</v>
      </c>
      <c r="N2878" s="6" t="str">
        <f>IFERROR(__xludf.DUMMYFUNCTION("""COMPUTED_VALUE"""),"FIP Engineering")</f>
        <v>FIP Engineering</v>
      </c>
      <c r="O2878" s="6" t="str">
        <f>IFERROR(__xludf.DUMMYFUNCTION("""COMPUTED_VALUE"""),"FIP-DOM-ENG-51504-0000000-INA-000000")</f>
        <v>FIP-DOM-ENG-51504-0000000-INA-000000</v>
      </c>
      <c r="P2878" s="6" t="str">
        <f>IFERROR(__xludf.DUMMYFUNCTION("""COMPUTED_VALUE"""),"PO Closed")</f>
        <v>PO Closed</v>
      </c>
      <c r="Q2878" s="6" t="str">
        <f>IFERROR(__xludf.DUMMYFUNCTION("""COMPUTED_VALUE"""),"GL2403029")</f>
        <v>GL2403029</v>
      </c>
      <c r="R2878" s="57">
        <f>IFERROR(__xludf.DUMMYFUNCTION("""COMPUTED_VALUE"""),45317.0)</f>
        <v>45317</v>
      </c>
      <c r="S2878" s="57">
        <f>IFERROR(__xludf.DUMMYFUNCTION("""COMPUTED_VALUE"""),45320.0)</f>
        <v>45320</v>
      </c>
      <c r="T2878" s="57">
        <f>IFERROR(__xludf.DUMMYFUNCTION("""COMPUTED_VALUE"""),45373.0)</f>
        <v>45373</v>
      </c>
    </row>
    <row r="2879">
      <c r="A2879" s="6" t="str">
        <f>IFERROR(__xludf.DUMMYFUNCTION("""COMPUTED_VALUE"""),"121701119-1")</f>
        <v>121701119-1</v>
      </c>
      <c r="B2879" s="6" t="str">
        <f>IFERROR(__xludf.DUMMYFUNCTION("""COMPUTED_VALUE"""),"121701119 - APPROVED")</f>
        <v>121701119 - APPROVED</v>
      </c>
      <c r="C2879" s="6">
        <f>IFERROR(__xludf.DUMMYFUNCTION("""COMPUTED_VALUE"""),1.0)</f>
        <v>1</v>
      </c>
      <c r="D2879" s="6" t="str">
        <f>IFERROR(__xludf.DUMMYFUNCTION("""COMPUTED_VALUE"""),"P-17390-00")</f>
        <v>P-17390-00</v>
      </c>
      <c r="E2879" s="6" t="str">
        <f>IFERROR(__xludf.DUMMYFUNCTION("""COMPUTED_VALUE"""),"PALL - AB1PFR7PVH4, 0.2 um; ; ;")</f>
        <v>PALL - AB1PFR7PVH4, 0.2 um; ; ;</v>
      </c>
      <c r="F2879" s="6">
        <f>IFERROR(__xludf.DUMMYFUNCTION("""COMPUTED_VALUE"""),1.0)</f>
        <v>1</v>
      </c>
      <c r="G2879" s="6" t="str">
        <f>IFERROR(__xludf.DUMMYFUNCTION("""COMPUTED_VALUE"""),"Pieces")</f>
        <v>Pieces</v>
      </c>
      <c r="H2879" s="6" t="str">
        <f>IFERROR(__xludf.DUMMYFUNCTION("""COMPUTED_VALUE"""),"IDR")</f>
        <v>IDR</v>
      </c>
      <c r="I2879" s="6">
        <f>IFERROR(__xludf.DUMMYFUNCTION("""COMPUTED_VALUE"""),6612000.0)</f>
        <v>6612000</v>
      </c>
      <c r="J2879" s="6">
        <f>IFERROR(__xludf.DUMMYFUNCTION("""COMPUTED_VALUE"""),6612000.0)</f>
        <v>6612000</v>
      </c>
      <c r="K2879" s="57">
        <f>IFERROR(__xludf.DUMMYFUNCTION("""COMPUTED_VALUE"""),45397.0)</f>
        <v>45397</v>
      </c>
      <c r="L2879" s="6" t="str">
        <f>IFERROR(__xludf.DUMMYFUNCTION("""COMPUTED_VALUE"""),"FIP Engineering")</f>
        <v>FIP Engineering</v>
      </c>
      <c r="M2879" s="6" t="str">
        <f>IFERROR(__xludf.DUMMYFUNCTION("""COMPUTED_VALUE"""),"Mochammad Fadhillah Hakim,")</f>
        <v>Mochammad Fadhillah Hakim,</v>
      </c>
      <c r="N2879" s="6" t="str">
        <f>IFERROR(__xludf.DUMMYFUNCTION("""COMPUTED_VALUE"""),"FIP Engineering")</f>
        <v>FIP Engineering</v>
      </c>
      <c r="O2879" s="6" t="str">
        <f>IFERROR(__xludf.DUMMYFUNCTION("""COMPUTED_VALUE"""),"FIP-DOM-000-11304-OS00001-INA-000000")</f>
        <v>FIP-DOM-000-11304-OS00001-INA-000000</v>
      </c>
      <c r="P2879" s="6" t="str">
        <f>IFERROR(__xludf.DUMMYFUNCTION("""COMPUTED_VALUE"""),"PO Closed")</f>
        <v>PO Closed</v>
      </c>
      <c r="Q2879" s="6" t="str">
        <f>IFERROR(__xludf.DUMMYFUNCTION("""COMPUTED_VALUE"""),"GL2403036")</f>
        <v>GL2403036</v>
      </c>
      <c r="R2879" s="57">
        <f>IFERROR(__xludf.DUMMYFUNCTION("""COMPUTED_VALUE"""),45317.0)</f>
        <v>45317</v>
      </c>
      <c r="S2879" s="57">
        <f>IFERROR(__xludf.DUMMYFUNCTION("""COMPUTED_VALUE"""),45370.0)</f>
        <v>45370</v>
      </c>
      <c r="T2879" s="57">
        <f>IFERROR(__xludf.DUMMYFUNCTION("""COMPUTED_VALUE"""),45432.0)</f>
        <v>45432</v>
      </c>
    </row>
    <row r="2880">
      <c r="A2880" s="6" t="str">
        <f>IFERROR(__xludf.DUMMYFUNCTION("""COMPUTED_VALUE"""),"121701119-2")</f>
        <v>121701119-2</v>
      </c>
      <c r="B2880" s="6" t="str">
        <f>IFERROR(__xludf.DUMMYFUNCTION("""COMPUTED_VALUE"""),"121701119 - APPROVED")</f>
        <v>121701119 - APPROVED</v>
      </c>
      <c r="C2880" s="6">
        <f>IFERROR(__xludf.DUMMYFUNCTION("""COMPUTED_VALUE"""),2.0)</f>
        <v>2</v>
      </c>
      <c r="D2880" s="6" t="str">
        <f>IFERROR(__xludf.DUMMYFUNCTION("""COMPUTED_VALUE"""),"O-13062-00")</f>
        <v>O-13062-00</v>
      </c>
      <c r="E2880" s="6" t="str">
        <f>IFERROR(__xludf.DUMMYFUNCTION("""COMPUTED_VALUE"""),"AUTOCLAVE Lab Mikro - PALL Emflon Filter 0,2um p/n C3PFRP1")</f>
        <v>AUTOCLAVE Lab Mikro - PALL Emflon Filter 0,2um p/n C3PFRP1</v>
      </c>
      <c r="F2880" s="6">
        <f>IFERROR(__xludf.DUMMYFUNCTION("""COMPUTED_VALUE"""),1.0)</f>
        <v>1</v>
      </c>
      <c r="G2880" s="6" t="str">
        <f>IFERROR(__xludf.DUMMYFUNCTION("""COMPUTED_VALUE"""),"Pieces")</f>
        <v>Pieces</v>
      </c>
      <c r="H2880" s="6" t="str">
        <f>IFERROR(__xludf.DUMMYFUNCTION("""COMPUTED_VALUE"""),"IDR")</f>
        <v>IDR</v>
      </c>
      <c r="I2880" s="6">
        <f>IFERROR(__xludf.DUMMYFUNCTION("""COMPUTED_VALUE"""),5765000.0)</f>
        <v>5765000</v>
      </c>
      <c r="J2880" s="6">
        <f>IFERROR(__xludf.DUMMYFUNCTION("""COMPUTED_VALUE"""),5765000.0)</f>
        <v>5765000</v>
      </c>
      <c r="K2880" s="57">
        <f>IFERROR(__xludf.DUMMYFUNCTION("""COMPUTED_VALUE"""),45398.0)</f>
        <v>45398</v>
      </c>
      <c r="L2880" s="6" t="str">
        <f>IFERROR(__xludf.DUMMYFUNCTION("""COMPUTED_VALUE"""),"FIP Engineering")</f>
        <v>FIP Engineering</v>
      </c>
      <c r="M2880" s="6" t="str">
        <f>IFERROR(__xludf.DUMMYFUNCTION("""COMPUTED_VALUE"""),"Mochammad Fadhillah Hakim,")</f>
        <v>Mochammad Fadhillah Hakim,</v>
      </c>
      <c r="N2880" s="6" t="str">
        <f>IFERROR(__xludf.DUMMYFUNCTION("""COMPUTED_VALUE"""),"FIP Engineering")</f>
        <v>FIP Engineering</v>
      </c>
      <c r="O2880" s="6" t="str">
        <f>IFERROR(__xludf.DUMMYFUNCTION("""COMPUTED_VALUE"""),"FIP-DOM-000-11304-OS00001-INA-000000")</f>
        <v>FIP-DOM-000-11304-OS00001-INA-000000</v>
      </c>
      <c r="P2880" s="6" t="str">
        <f>IFERROR(__xludf.DUMMYFUNCTION("""COMPUTED_VALUE"""),"PO Closed")</f>
        <v>PO Closed</v>
      </c>
      <c r="Q2880" s="6" t="str">
        <f>IFERROR(__xludf.DUMMYFUNCTION("""COMPUTED_VALUE"""),"GL2403036")</f>
        <v>GL2403036</v>
      </c>
      <c r="R2880" s="57">
        <f>IFERROR(__xludf.DUMMYFUNCTION("""COMPUTED_VALUE"""),45317.0)</f>
        <v>45317</v>
      </c>
      <c r="S2880" s="57">
        <f>IFERROR(__xludf.DUMMYFUNCTION("""COMPUTED_VALUE"""),45370.0)</f>
        <v>45370</v>
      </c>
      <c r="T2880" s="57">
        <f>IFERROR(__xludf.DUMMYFUNCTION("""COMPUTED_VALUE"""),45432.0)</f>
        <v>45432</v>
      </c>
    </row>
    <row r="2881">
      <c r="A2881" s="6" t="str">
        <f>IFERROR(__xludf.DUMMYFUNCTION("""COMPUTED_VALUE"""),"121701119-3")</f>
        <v>121701119-3</v>
      </c>
      <c r="B2881" s="6" t="str">
        <f>IFERROR(__xludf.DUMMYFUNCTION("""COMPUTED_VALUE"""),"121701119 - APPROVED")</f>
        <v>121701119 - APPROVED</v>
      </c>
      <c r="C2881" s="6">
        <f>IFERROR(__xludf.DUMMYFUNCTION("""COMPUTED_VALUE"""),3.0)</f>
        <v>3</v>
      </c>
      <c r="D2881" s="6" t="str">
        <f>IFERROR(__xludf.DUMMYFUNCTION("""COMPUTED_VALUE"""),"O-12868-00")</f>
        <v>O-12868-00</v>
      </c>
      <c r="E2881" s="6" t="str">
        <f>IFERROR(__xludf.DUMMYFUNCTION("""COMPUTED_VALUE"""),"Emflon PFR Membrane Filter Cartridges 0.2 um PALL P/N : AB05 PFR2 PVH4 pc")</f>
        <v>Emflon PFR Membrane Filter Cartridges 0.2 um PALL P/N : AB05 PFR2 PVH4 pc</v>
      </c>
      <c r="F2881" s="6">
        <f>IFERROR(__xludf.DUMMYFUNCTION("""COMPUTED_VALUE"""),1.0)</f>
        <v>1</v>
      </c>
      <c r="G2881" s="6" t="str">
        <f>IFERROR(__xludf.DUMMYFUNCTION("""COMPUTED_VALUE"""),"Pieces")</f>
        <v>Pieces</v>
      </c>
      <c r="H2881" s="6" t="str">
        <f>IFERROR(__xludf.DUMMYFUNCTION("""COMPUTED_VALUE"""),"IDR")</f>
        <v>IDR</v>
      </c>
      <c r="I2881" s="6">
        <f>IFERROR(__xludf.DUMMYFUNCTION("""COMPUTED_VALUE"""),4892000.0)</f>
        <v>4892000</v>
      </c>
      <c r="J2881" s="6">
        <f>IFERROR(__xludf.DUMMYFUNCTION("""COMPUTED_VALUE"""),4892000.0)</f>
        <v>4892000</v>
      </c>
      <c r="K2881" s="57">
        <f>IFERROR(__xludf.DUMMYFUNCTION("""COMPUTED_VALUE"""),45398.0)</f>
        <v>45398</v>
      </c>
      <c r="L2881" s="6" t="str">
        <f>IFERROR(__xludf.DUMMYFUNCTION("""COMPUTED_VALUE"""),"FIP Engineering")</f>
        <v>FIP Engineering</v>
      </c>
      <c r="M2881" s="6" t="str">
        <f>IFERROR(__xludf.DUMMYFUNCTION("""COMPUTED_VALUE"""),"Mochammad Fadhillah Hakim,")</f>
        <v>Mochammad Fadhillah Hakim,</v>
      </c>
      <c r="N2881" s="6" t="str">
        <f>IFERROR(__xludf.DUMMYFUNCTION("""COMPUTED_VALUE"""),"FIP Engineering")</f>
        <v>FIP Engineering</v>
      </c>
      <c r="O2881" s="6" t="str">
        <f>IFERROR(__xludf.DUMMYFUNCTION("""COMPUTED_VALUE"""),"FIP-DOM-000-11304-OS00001-INA-000000")</f>
        <v>FIP-DOM-000-11304-OS00001-INA-000000</v>
      </c>
      <c r="P2881" s="6" t="str">
        <f>IFERROR(__xludf.DUMMYFUNCTION("""COMPUTED_VALUE"""),"PO Closed")</f>
        <v>PO Closed</v>
      </c>
      <c r="Q2881" s="6" t="str">
        <f>IFERROR(__xludf.DUMMYFUNCTION("""COMPUTED_VALUE"""),"GL2403036")</f>
        <v>GL2403036</v>
      </c>
      <c r="R2881" s="57">
        <f>IFERROR(__xludf.DUMMYFUNCTION("""COMPUTED_VALUE"""),45317.0)</f>
        <v>45317</v>
      </c>
      <c r="S2881" s="57">
        <f>IFERROR(__xludf.DUMMYFUNCTION("""COMPUTED_VALUE"""),45370.0)</f>
        <v>45370</v>
      </c>
      <c r="T2881" s="57">
        <f>IFERROR(__xludf.DUMMYFUNCTION("""COMPUTED_VALUE"""),45432.0)</f>
        <v>45432</v>
      </c>
    </row>
    <row r="2882">
      <c r="A2882" s="6" t="str">
        <f>IFERROR(__xludf.DUMMYFUNCTION("""COMPUTED_VALUE"""),"121701119-4")</f>
        <v>121701119-4</v>
      </c>
      <c r="B2882" s="6" t="str">
        <f>IFERROR(__xludf.DUMMYFUNCTION("""COMPUTED_VALUE"""),"121701119 - APPROVED")</f>
        <v>121701119 - APPROVED</v>
      </c>
      <c r="C2882" s="6">
        <f>IFERROR(__xludf.DUMMYFUNCTION("""COMPUTED_VALUE"""),4.0)</f>
        <v>4</v>
      </c>
      <c r="D2882" s="6" t="str">
        <f>IFERROR(__xludf.DUMMYFUNCTION("""COMPUTED_VALUE"""),"O-11287-00")</f>
        <v>O-11287-00</v>
      </c>
      <c r="E2882" s="6" t="str">
        <f>IFERROR(__xludf.DUMMYFUNCTION("""COMPUTED_VALUE"""),"F200 - Pall Filter p/n KA3PFRP1")</f>
        <v>F200 - Pall Filter p/n KA3PFRP1</v>
      </c>
      <c r="F2882" s="6">
        <f>IFERROR(__xludf.DUMMYFUNCTION("""COMPUTED_VALUE"""),1.0)</f>
        <v>1</v>
      </c>
      <c r="G2882" s="6" t="str">
        <f>IFERROR(__xludf.DUMMYFUNCTION("""COMPUTED_VALUE"""),"Pieces")</f>
        <v>Pieces</v>
      </c>
      <c r="H2882" s="6" t="str">
        <f>IFERROR(__xludf.DUMMYFUNCTION("""COMPUTED_VALUE"""),"IDR")</f>
        <v>IDR</v>
      </c>
      <c r="I2882" s="6">
        <f>IFERROR(__xludf.DUMMYFUNCTION("""COMPUTED_VALUE"""),4500000.0)</f>
        <v>4500000</v>
      </c>
      <c r="J2882" s="6">
        <f>IFERROR(__xludf.DUMMYFUNCTION("""COMPUTED_VALUE"""),4500000.0)</f>
        <v>4500000</v>
      </c>
      <c r="K2882" s="57">
        <f>IFERROR(__xludf.DUMMYFUNCTION("""COMPUTED_VALUE"""),45371.0)</f>
        <v>45371</v>
      </c>
      <c r="L2882" s="6" t="str">
        <f>IFERROR(__xludf.DUMMYFUNCTION("""COMPUTED_VALUE"""),"FIP Engineering")</f>
        <v>FIP Engineering</v>
      </c>
      <c r="M2882" s="6" t="str">
        <f>IFERROR(__xludf.DUMMYFUNCTION("""COMPUTED_VALUE"""),"Mochammad Fadhillah Hakim,")</f>
        <v>Mochammad Fadhillah Hakim,</v>
      </c>
      <c r="N2882" s="6" t="str">
        <f>IFERROR(__xludf.DUMMYFUNCTION("""COMPUTED_VALUE"""),"FIP Engineering")</f>
        <v>FIP Engineering</v>
      </c>
      <c r="O2882" s="6" t="str">
        <f>IFERROR(__xludf.DUMMYFUNCTION("""COMPUTED_VALUE"""),"FIP-DOM-000-11304-OS00001-INA-000000")</f>
        <v>FIP-DOM-000-11304-OS00001-INA-000000</v>
      </c>
      <c r="P2882" s="6" t="str">
        <f>IFERROR(__xludf.DUMMYFUNCTION("""COMPUTED_VALUE"""),"PO Closed")</f>
        <v>PO Closed</v>
      </c>
      <c r="Q2882" s="6" t="str">
        <f>IFERROR(__xludf.DUMMYFUNCTION("""COMPUTED_VALUE"""),"GL2403036")</f>
        <v>GL2403036</v>
      </c>
      <c r="R2882" s="57">
        <f>IFERROR(__xludf.DUMMYFUNCTION("""COMPUTED_VALUE"""),45317.0)</f>
        <v>45317</v>
      </c>
      <c r="S2882" s="57">
        <f>IFERROR(__xludf.DUMMYFUNCTION("""COMPUTED_VALUE"""),45370.0)</f>
        <v>45370</v>
      </c>
      <c r="T2882" s="57">
        <f>IFERROR(__xludf.DUMMYFUNCTION("""COMPUTED_VALUE"""),45432.0)</f>
        <v>45432</v>
      </c>
    </row>
    <row r="2883">
      <c r="A2883" s="6" t="str">
        <f>IFERROR(__xludf.DUMMYFUNCTION("""COMPUTED_VALUE"""),"121701124-1")</f>
        <v>121701124-1</v>
      </c>
      <c r="B2883" s="6" t="str">
        <f>IFERROR(__xludf.DUMMYFUNCTION("""COMPUTED_VALUE"""),"121701124 - APPROVED")</f>
        <v>121701124 - APPROVED</v>
      </c>
      <c r="C2883" s="6">
        <f>IFERROR(__xludf.DUMMYFUNCTION("""COMPUTED_VALUE"""),1.0)</f>
        <v>1</v>
      </c>
      <c r="D2883" s="6" t="str">
        <f>IFERROR(__xludf.DUMMYFUNCTION("""COMPUTED_VALUE"""),"P-51559-00")</f>
        <v>P-51559-00</v>
      </c>
      <c r="E2883" s="6" t="str">
        <f>IFERROR(__xludf.DUMMYFUNCTION("""COMPUTED_VALUE"""),"Lampu T5 14watt Putih; Phillips; ;")</f>
        <v>Lampu T5 14watt Putih; Phillips; ;</v>
      </c>
      <c r="F2883" s="6">
        <f>IFERROR(__xludf.DUMMYFUNCTION("""COMPUTED_VALUE"""),120.0)</f>
        <v>120</v>
      </c>
      <c r="G2883" s="6" t="str">
        <f>IFERROR(__xludf.DUMMYFUNCTION("""COMPUTED_VALUE"""),"Pack")</f>
        <v>Pack</v>
      </c>
      <c r="H2883" s="6" t="str">
        <f>IFERROR(__xludf.DUMMYFUNCTION("""COMPUTED_VALUE"""),"IDR")</f>
        <v>IDR</v>
      </c>
      <c r="I2883" s="6">
        <f>IFERROR(__xludf.DUMMYFUNCTION("""COMPUTED_VALUE"""),29700.0)</f>
        <v>29700</v>
      </c>
      <c r="J2883" s="6">
        <f>IFERROR(__xludf.DUMMYFUNCTION("""COMPUTED_VALUE"""),3564000.0)</f>
        <v>3564000</v>
      </c>
      <c r="K2883" s="57">
        <f>IFERROR(__xludf.DUMMYFUNCTION("""COMPUTED_VALUE"""),45322.0)</f>
        <v>45322</v>
      </c>
      <c r="L2883" s="6" t="str">
        <f>IFERROR(__xludf.DUMMYFUNCTION("""COMPUTED_VALUE"""),"FIP Engineering")</f>
        <v>FIP Engineering</v>
      </c>
      <c r="M2883" s="6" t="str">
        <f>IFERROR(__xludf.DUMMYFUNCTION("""COMPUTED_VALUE"""),"Mochammad Fadhillah Hakim,")</f>
        <v>Mochammad Fadhillah Hakim,</v>
      </c>
      <c r="N2883" s="6" t="str">
        <f>IFERROR(__xludf.DUMMYFUNCTION("""COMPUTED_VALUE"""),"FIP Engineering")</f>
        <v>FIP Engineering</v>
      </c>
      <c r="O2883" s="6" t="str">
        <f>IFERROR(__xludf.DUMMYFUNCTION("""COMPUTED_VALUE"""),"FIP-DOM-000-11304-OS00001-INA-000000")</f>
        <v>FIP-DOM-000-11304-OS00001-INA-000000</v>
      </c>
      <c r="P2883" s="6" t="str">
        <f>IFERROR(__xludf.DUMMYFUNCTION("""COMPUTED_VALUE"""),"PO Closed")</f>
        <v>PO Closed</v>
      </c>
      <c r="Q2883" s="6" t="str">
        <f>IFERROR(__xludf.DUMMYFUNCTION("""COMPUTED_VALUE"""),"GL2402057")</f>
        <v>GL2402057</v>
      </c>
      <c r="R2883" s="57">
        <f>IFERROR(__xludf.DUMMYFUNCTION("""COMPUTED_VALUE"""),45320.0)</f>
        <v>45320</v>
      </c>
      <c r="S2883" s="57">
        <f>IFERROR(__xludf.DUMMYFUNCTION("""COMPUTED_VALUE"""),45321.0)</f>
        <v>45321</v>
      </c>
      <c r="T2883" s="6"/>
    </row>
    <row r="2884">
      <c r="A2884" s="6" t="str">
        <f>IFERROR(__xludf.DUMMYFUNCTION("""COMPUTED_VALUE"""),"121701124-2")</f>
        <v>121701124-2</v>
      </c>
      <c r="B2884" s="6" t="str">
        <f>IFERROR(__xludf.DUMMYFUNCTION("""COMPUTED_VALUE"""),"121701124 - APPROVED")</f>
        <v>121701124 - APPROVED</v>
      </c>
      <c r="C2884" s="6">
        <f>IFERROR(__xludf.DUMMYFUNCTION("""COMPUTED_VALUE"""),2.0)</f>
        <v>2</v>
      </c>
      <c r="D2884" s="6" t="str">
        <f>IFERROR(__xludf.DUMMYFUNCTION("""COMPUTED_VALUE"""),"P-51560-00")</f>
        <v>P-51560-00</v>
      </c>
      <c r="E2884" s="6" t="str">
        <f>IFERROR(__xludf.DUMMYFUNCTION("""COMPUTED_VALUE"""),"Lampu T5 28watt Putih; Phillips; ;")</f>
        <v>Lampu T5 28watt Putih; Phillips; ;</v>
      </c>
      <c r="F2884" s="6">
        <f>IFERROR(__xludf.DUMMYFUNCTION("""COMPUTED_VALUE"""),40.0)</f>
        <v>40</v>
      </c>
      <c r="G2884" s="6" t="str">
        <f>IFERROR(__xludf.DUMMYFUNCTION("""COMPUTED_VALUE"""),"Pieces")</f>
        <v>Pieces</v>
      </c>
      <c r="H2884" s="6" t="str">
        <f>IFERROR(__xludf.DUMMYFUNCTION("""COMPUTED_VALUE"""),"IDR")</f>
        <v>IDR</v>
      </c>
      <c r="I2884" s="6">
        <f>IFERROR(__xludf.DUMMYFUNCTION("""COMPUTED_VALUE"""),36000.0)</f>
        <v>36000</v>
      </c>
      <c r="J2884" s="6">
        <f>IFERROR(__xludf.DUMMYFUNCTION("""COMPUTED_VALUE"""),1440000.0)</f>
        <v>1440000</v>
      </c>
      <c r="K2884" s="57">
        <f>IFERROR(__xludf.DUMMYFUNCTION("""COMPUTED_VALUE"""),45322.0)</f>
        <v>45322</v>
      </c>
      <c r="L2884" s="6" t="str">
        <f>IFERROR(__xludf.DUMMYFUNCTION("""COMPUTED_VALUE"""),"FIP Engineering")</f>
        <v>FIP Engineering</v>
      </c>
      <c r="M2884" s="6" t="str">
        <f>IFERROR(__xludf.DUMMYFUNCTION("""COMPUTED_VALUE"""),"Mochammad Fadhillah Hakim,")</f>
        <v>Mochammad Fadhillah Hakim,</v>
      </c>
      <c r="N2884" s="6" t="str">
        <f>IFERROR(__xludf.DUMMYFUNCTION("""COMPUTED_VALUE"""),"FIP Engineering")</f>
        <v>FIP Engineering</v>
      </c>
      <c r="O2884" s="6" t="str">
        <f>IFERROR(__xludf.DUMMYFUNCTION("""COMPUTED_VALUE"""),"FIP-DOM-000-11304-OS00001-INA-000000")</f>
        <v>FIP-DOM-000-11304-OS00001-INA-000000</v>
      </c>
      <c r="P2884" s="6" t="str">
        <f>IFERROR(__xludf.DUMMYFUNCTION("""COMPUTED_VALUE"""),"PO Closed")</f>
        <v>PO Closed</v>
      </c>
      <c r="Q2884" s="6" t="str">
        <f>IFERROR(__xludf.DUMMYFUNCTION("""COMPUTED_VALUE"""),"GL2402057")</f>
        <v>GL2402057</v>
      </c>
      <c r="R2884" s="57">
        <f>IFERROR(__xludf.DUMMYFUNCTION("""COMPUTED_VALUE"""),45320.0)</f>
        <v>45320</v>
      </c>
      <c r="S2884" s="57">
        <f>IFERROR(__xludf.DUMMYFUNCTION("""COMPUTED_VALUE"""),45321.0)</f>
        <v>45321</v>
      </c>
      <c r="T2884" s="6"/>
    </row>
    <row r="2885">
      <c r="A2885" s="6" t="str">
        <f>IFERROR(__xludf.DUMMYFUNCTION("""COMPUTED_VALUE"""),"121701124-3")</f>
        <v>121701124-3</v>
      </c>
      <c r="B2885" s="6" t="str">
        <f>IFERROR(__xludf.DUMMYFUNCTION("""COMPUTED_VALUE"""),"121701124 - APPROVED")</f>
        <v>121701124 - APPROVED</v>
      </c>
      <c r="C2885" s="6">
        <f>IFERROR(__xludf.DUMMYFUNCTION("""COMPUTED_VALUE"""),3.0)</f>
        <v>3</v>
      </c>
      <c r="D2885" s="6" t="str">
        <f>IFERROR(__xludf.DUMMYFUNCTION("""COMPUTED_VALUE"""),"P-53102-00")</f>
        <v>P-53102-00</v>
      </c>
      <c r="E2885" s="6" t="str">
        <f>IFERROR(__xludf.DUMMYFUNCTION("""COMPUTED_VALUE"""),"Lampu PLC 13watt/E27 Putih; Phillips; ;")</f>
        <v>Lampu PLC 13watt/E27 Putih; Phillips; ;</v>
      </c>
      <c r="F2885" s="6">
        <f>IFERROR(__xludf.DUMMYFUNCTION("""COMPUTED_VALUE"""),20.0)</f>
        <v>20</v>
      </c>
      <c r="G2885" s="6" t="str">
        <f>IFERROR(__xludf.DUMMYFUNCTION("""COMPUTED_VALUE"""),"Pieces")</f>
        <v>Pieces</v>
      </c>
      <c r="H2885" s="6" t="str">
        <f>IFERROR(__xludf.DUMMYFUNCTION("""COMPUTED_VALUE"""),"IDR")</f>
        <v>IDR</v>
      </c>
      <c r="I2885" s="6">
        <f>IFERROR(__xludf.DUMMYFUNCTION("""COMPUTED_VALUE"""),26100.0)</f>
        <v>26100</v>
      </c>
      <c r="J2885" s="6">
        <f>IFERROR(__xludf.DUMMYFUNCTION("""COMPUTED_VALUE"""),522000.0)</f>
        <v>522000</v>
      </c>
      <c r="K2885" s="57">
        <f>IFERROR(__xludf.DUMMYFUNCTION("""COMPUTED_VALUE"""),45322.0)</f>
        <v>45322</v>
      </c>
      <c r="L2885" s="6" t="str">
        <f>IFERROR(__xludf.DUMMYFUNCTION("""COMPUTED_VALUE"""),"FIP Engineering")</f>
        <v>FIP Engineering</v>
      </c>
      <c r="M2885" s="6" t="str">
        <f>IFERROR(__xludf.DUMMYFUNCTION("""COMPUTED_VALUE"""),"Mochammad Fadhillah Hakim,")</f>
        <v>Mochammad Fadhillah Hakim,</v>
      </c>
      <c r="N2885" s="6" t="str">
        <f>IFERROR(__xludf.DUMMYFUNCTION("""COMPUTED_VALUE"""),"FIP Engineering")</f>
        <v>FIP Engineering</v>
      </c>
      <c r="O2885" s="6" t="str">
        <f>IFERROR(__xludf.DUMMYFUNCTION("""COMPUTED_VALUE"""),"FIP-DOM-000-11304-OS00001-INA-000000")</f>
        <v>FIP-DOM-000-11304-OS00001-INA-000000</v>
      </c>
      <c r="P2885" s="6" t="str">
        <f>IFERROR(__xludf.DUMMYFUNCTION("""COMPUTED_VALUE"""),"PO Closed")</f>
        <v>PO Closed</v>
      </c>
      <c r="Q2885" s="6" t="str">
        <f>IFERROR(__xludf.DUMMYFUNCTION("""COMPUTED_VALUE"""),"GL2402057")</f>
        <v>GL2402057</v>
      </c>
      <c r="R2885" s="57">
        <f>IFERROR(__xludf.DUMMYFUNCTION("""COMPUTED_VALUE"""),45320.0)</f>
        <v>45320</v>
      </c>
      <c r="S2885" s="57">
        <f>IFERROR(__xludf.DUMMYFUNCTION("""COMPUTED_VALUE"""),45321.0)</f>
        <v>45321</v>
      </c>
      <c r="T2885" s="6"/>
    </row>
    <row r="2886">
      <c r="A2886" s="6" t="str">
        <f>IFERROR(__xludf.DUMMYFUNCTION("""COMPUTED_VALUE"""),"121701124-4")</f>
        <v>121701124-4</v>
      </c>
      <c r="B2886" s="6" t="str">
        <f>IFERROR(__xludf.DUMMYFUNCTION("""COMPUTED_VALUE"""),"121701124 - APPROVED")</f>
        <v>121701124 - APPROVED</v>
      </c>
      <c r="C2886" s="6">
        <f>IFERROR(__xludf.DUMMYFUNCTION("""COMPUTED_VALUE"""),4.0)</f>
        <v>4</v>
      </c>
      <c r="D2886" s="6" t="str">
        <f>IFERROR(__xludf.DUMMYFUNCTION("""COMPUTED_VALUE"""),"O-16647-00")</f>
        <v>O-16647-00</v>
      </c>
      <c r="E2886" s="6" t="str">
        <f>IFERROR(__xludf.DUMMYFUNCTION("""COMPUTED_VALUE"""),"Washing RAR4 - Oring Silicone Merah 23x18x2.5 mm; ; ;")</f>
        <v>Washing RAR4 - Oring Silicone Merah 23x18x2.5 mm; ; ;</v>
      </c>
      <c r="F2886" s="6">
        <f>IFERROR(__xludf.DUMMYFUNCTION("""COMPUTED_VALUE"""),90.0)</f>
        <v>90</v>
      </c>
      <c r="G2886" s="6" t="str">
        <f>IFERROR(__xludf.DUMMYFUNCTION("""COMPUTED_VALUE"""),"Pieces")</f>
        <v>Pieces</v>
      </c>
      <c r="H2886" s="6" t="str">
        <f>IFERROR(__xludf.DUMMYFUNCTION("""COMPUTED_VALUE"""),"IDR")</f>
        <v>IDR</v>
      </c>
      <c r="I2886" s="6">
        <f>IFERROR(__xludf.DUMMYFUNCTION("""COMPUTED_VALUE"""),35000.0)</f>
        <v>35000</v>
      </c>
      <c r="J2886" s="6">
        <f>IFERROR(__xludf.DUMMYFUNCTION("""COMPUTED_VALUE"""),3150000.0)</f>
        <v>3150000</v>
      </c>
      <c r="K2886" s="57">
        <f>IFERROR(__xludf.DUMMYFUNCTION("""COMPUTED_VALUE"""),45322.0)</f>
        <v>45322</v>
      </c>
      <c r="L2886" s="6" t="str">
        <f>IFERROR(__xludf.DUMMYFUNCTION("""COMPUTED_VALUE"""),"FIP Engineering")</f>
        <v>FIP Engineering</v>
      </c>
      <c r="M2886" s="6" t="str">
        <f>IFERROR(__xludf.DUMMYFUNCTION("""COMPUTED_VALUE"""),"Mochammad Fadhillah Hakim,")</f>
        <v>Mochammad Fadhillah Hakim,</v>
      </c>
      <c r="N2886" s="6" t="str">
        <f>IFERROR(__xludf.DUMMYFUNCTION("""COMPUTED_VALUE"""),"FIP Engineering")</f>
        <v>FIP Engineering</v>
      </c>
      <c r="O2886" s="6" t="str">
        <f>IFERROR(__xludf.DUMMYFUNCTION("""COMPUTED_VALUE"""),"FIP-DOM-000-11304-OS00001-INA-000000")</f>
        <v>FIP-DOM-000-11304-OS00001-INA-000000</v>
      </c>
      <c r="P2886" s="6" t="str">
        <f>IFERROR(__xludf.DUMMYFUNCTION("""COMPUTED_VALUE"""),"PO Closed")</f>
        <v>PO Closed</v>
      </c>
      <c r="Q2886" s="6" t="str">
        <f>IFERROR(__xludf.DUMMYFUNCTION("""COMPUTED_VALUE"""),"GL2403002")</f>
        <v>GL2403002</v>
      </c>
      <c r="R2886" s="57">
        <f>IFERROR(__xludf.DUMMYFUNCTION("""COMPUTED_VALUE"""),45320.0)</f>
        <v>45320</v>
      </c>
      <c r="S2886" s="57">
        <f>IFERROR(__xludf.DUMMYFUNCTION("""COMPUTED_VALUE"""),45321.0)</f>
        <v>45321</v>
      </c>
      <c r="T2886" s="57">
        <f>IFERROR(__xludf.DUMMYFUNCTION("""COMPUTED_VALUE"""),45412.0)</f>
        <v>45412</v>
      </c>
    </row>
    <row r="2887">
      <c r="A2887" s="6" t="str">
        <f>IFERROR(__xludf.DUMMYFUNCTION("""COMPUTED_VALUE"""),"121701124-5")</f>
        <v>121701124-5</v>
      </c>
      <c r="B2887" s="6" t="str">
        <f>IFERROR(__xludf.DUMMYFUNCTION("""COMPUTED_VALUE"""),"121701124 - APPROVED")</f>
        <v>121701124 - APPROVED</v>
      </c>
      <c r="C2887" s="6">
        <f>IFERROR(__xludf.DUMMYFUNCTION("""COMPUTED_VALUE"""),5.0)</f>
        <v>5</v>
      </c>
      <c r="D2887" s="6" t="str">
        <f>IFERROR(__xludf.DUMMYFUNCTION("""COMPUTED_VALUE"""),"O-11181-00")</f>
        <v>O-11181-00</v>
      </c>
      <c r="E2887" s="6" t="str">
        <f>IFERROR(__xludf.DUMMYFUNCTION("""COMPUTED_VALUE"""),"Bearing 626-2Z")</f>
        <v>Bearing 626-2Z</v>
      </c>
      <c r="F2887" s="6">
        <f>IFERROR(__xludf.DUMMYFUNCTION("""COMPUTED_VALUE"""),30.0)</f>
        <v>30</v>
      </c>
      <c r="G2887" s="6" t="str">
        <f>IFERROR(__xludf.DUMMYFUNCTION("""COMPUTED_VALUE"""),"Pieces")</f>
        <v>Pieces</v>
      </c>
      <c r="H2887" s="6" t="str">
        <f>IFERROR(__xludf.DUMMYFUNCTION("""COMPUTED_VALUE"""),"IDR")</f>
        <v>IDR</v>
      </c>
      <c r="I2887" s="6">
        <f>IFERROR(__xludf.DUMMYFUNCTION("""COMPUTED_VALUE"""),45000.0)</f>
        <v>45000</v>
      </c>
      <c r="J2887" s="6">
        <f>IFERROR(__xludf.DUMMYFUNCTION("""COMPUTED_VALUE"""),1350000.0)</f>
        <v>1350000</v>
      </c>
      <c r="K2887" s="57">
        <f>IFERROR(__xludf.DUMMYFUNCTION("""COMPUTED_VALUE"""),45322.0)</f>
        <v>45322</v>
      </c>
      <c r="L2887" s="6" t="str">
        <f>IFERROR(__xludf.DUMMYFUNCTION("""COMPUTED_VALUE"""),"FIP Engineering")</f>
        <v>FIP Engineering</v>
      </c>
      <c r="M2887" s="6" t="str">
        <f>IFERROR(__xludf.DUMMYFUNCTION("""COMPUTED_VALUE"""),"Mochammad Fadhillah Hakim,")</f>
        <v>Mochammad Fadhillah Hakim,</v>
      </c>
      <c r="N2887" s="6" t="str">
        <f>IFERROR(__xludf.DUMMYFUNCTION("""COMPUTED_VALUE"""),"FIP Engineering")</f>
        <v>FIP Engineering</v>
      </c>
      <c r="O2887" s="6" t="str">
        <f>IFERROR(__xludf.DUMMYFUNCTION("""COMPUTED_VALUE"""),"FIP-DOM-000-11304-OS00001-INA-000000")</f>
        <v>FIP-DOM-000-11304-OS00001-INA-000000</v>
      </c>
      <c r="P2887" s="6" t="str">
        <f>IFERROR(__xludf.DUMMYFUNCTION("""COMPUTED_VALUE"""),"PO Closed")</f>
        <v>PO Closed</v>
      </c>
      <c r="Q2887" s="6" t="str">
        <f>IFERROR(__xludf.DUMMYFUNCTION("""COMPUTED_VALUE"""),"GL2402057")</f>
        <v>GL2402057</v>
      </c>
      <c r="R2887" s="57">
        <f>IFERROR(__xludf.DUMMYFUNCTION("""COMPUTED_VALUE"""),45320.0)</f>
        <v>45320</v>
      </c>
      <c r="S2887" s="57">
        <f>IFERROR(__xludf.DUMMYFUNCTION("""COMPUTED_VALUE"""),45321.0)</f>
        <v>45321</v>
      </c>
      <c r="T2887" s="6"/>
    </row>
    <row r="2888">
      <c r="A2888" s="6" t="str">
        <f>IFERROR(__xludf.DUMMYFUNCTION("""COMPUTED_VALUE"""),"121701126-1")</f>
        <v>121701126-1</v>
      </c>
      <c r="B2888" s="6" t="str">
        <f>IFERROR(__xludf.DUMMYFUNCTION("""COMPUTED_VALUE"""),"121701126 - APPROVED")</f>
        <v>121701126 - APPROVED</v>
      </c>
      <c r="C2888" s="6">
        <f>IFERROR(__xludf.DUMMYFUNCTION("""COMPUTED_VALUE"""),1.0)</f>
        <v>1</v>
      </c>
      <c r="D2888" s="6" t="str">
        <f>IFERROR(__xludf.DUMMYFUNCTION("""COMPUTED_VALUE"""),"P-50140-00")</f>
        <v>P-50140-00</v>
      </c>
      <c r="E2888" s="6" t="str">
        <f>IFERROR(__xludf.DUMMYFUNCTION("""COMPUTED_VALUE"""),"Battery UPS - Battery kering Merk YUASA 12V 9AH")</f>
        <v>Battery UPS - Battery kering Merk YUASA 12V 9AH</v>
      </c>
      <c r="F2888" s="6">
        <f>IFERROR(__xludf.DUMMYFUNCTION("""COMPUTED_VALUE"""),2.0)</f>
        <v>2</v>
      </c>
      <c r="G2888" s="6" t="str">
        <f>IFERROR(__xludf.DUMMYFUNCTION("""COMPUTED_VALUE"""),"Pieces")</f>
        <v>Pieces</v>
      </c>
      <c r="H2888" s="6" t="str">
        <f>IFERROR(__xludf.DUMMYFUNCTION("""COMPUTED_VALUE"""),"IDR")</f>
        <v>IDR</v>
      </c>
      <c r="I2888" s="6">
        <f>IFERROR(__xludf.DUMMYFUNCTION("""COMPUTED_VALUE"""),200000.0)</f>
        <v>200000</v>
      </c>
      <c r="J2888" s="6">
        <f>IFERROR(__xludf.DUMMYFUNCTION("""COMPUTED_VALUE"""),400000.0)</f>
        <v>400000</v>
      </c>
      <c r="K2888" s="57">
        <f>IFERROR(__xludf.DUMMYFUNCTION("""COMPUTED_VALUE"""),45322.0)</f>
        <v>45322</v>
      </c>
      <c r="L2888" s="6" t="str">
        <f>IFERROR(__xludf.DUMMYFUNCTION("""COMPUTED_VALUE"""),"FIP Engineering")</f>
        <v>FIP Engineering</v>
      </c>
      <c r="M2888" s="6" t="str">
        <f>IFERROR(__xludf.DUMMYFUNCTION("""COMPUTED_VALUE"""),"Mochammad Fadhillah Hakim,")</f>
        <v>Mochammad Fadhillah Hakim,</v>
      </c>
      <c r="N2888" s="6" t="str">
        <f>IFERROR(__xludf.DUMMYFUNCTION("""COMPUTED_VALUE"""),"FIP Engineering")</f>
        <v>FIP Engineering</v>
      </c>
      <c r="O2888" s="6" t="str">
        <f>IFERROR(__xludf.DUMMYFUNCTION("""COMPUTED_VALUE"""),"FIP-DOM-000-11304-OS00001-INA-000000")</f>
        <v>FIP-DOM-000-11304-OS00001-INA-000000</v>
      </c>
      <c r="P2888" s="6" t="str">
        <f>IFERROR(__xludf.DUMMYFUNCTION("""COMPUTED_VALUE"""),"PO Closed")</f>
        <v>PO Closed</v>
      </c>
      <c r="Q2888" s="6" t="str">
        <f>IFERROR(__xludf.DUMMYFUNCTION("""COMPUTED_VALUE"""),"GL2402057")</f>
        <v>GL2402057</v>
      </c>
      <c r="R2888" s="57">
        <f>IFERROR(__xludf.DUMMYFUNCTION("""COMPUTED_VALUE"""),45320.0)</f>
        <v>45320</v>
      </c>
      <c r="S2888" s="57">
        <f>IFERROR(__xludf.DUMMYFUNCTION("""COMPUTED_VALUE"""),45323.0)</f>
        <v>45323</v>
      </c>
      <c r="T2888" s="6"/>
    </row>
    <row r="2889">
      <c r="A2889" s="6" t="str">
        <f>IFERROR(__xludf.DUMMYFUNCTION("""COMPUTED_VALUE"""),"121701126-2")</f>
        <v>121701126-2</v>
      </c>
      <c r="B2889" s="6" t="str">
        <f>IFERROR(__xludf.DUMMYFUNCTION("""COMPUTED_VALUE"""),"121701126 - APPROVED")</f>
        <v>121701126 - APPROVED</v>
      </c>
      <c r="C2889" s="6">
        <f>IFERROR(__xludf.DUMMYFUNCTION("""COMPUTED_VALUE"""),2.0)</f>
        <v>2</v>
      </c>
      <c r="D2889" s="6" t="str">
        <f>IFERROR(__xludf.DUMMYFUNCTION("""COMPUTED_VALUE"""),"P-12764-00")</f>
        <v>P-12764-00</v>
      </c>
      <c r="E2889" s="6" t="str">
        <f>IFERROR(__xludf.DUMMYFUNCTION("""COMPUTED_VALUE"""),"Silicone gasket for ferrule dia 1/2inch Taiwan")</f>
        <v>Silicone gasket for ferrule dia 1/2inch Taiwan</v>
      </c>
      <c r="F2889" s="6">
        <f>IFERROR(__xludf.DUMMYFUNCTION("""COMPUTED_VALUE"""),10.0)</f>
        <v>10</v>
      </c>
      <c r="G2889" s="6" t="str">
        <f>IFERROR(__xludf.DUMMYFUNCTION("""COMPUTED_VALUE"""),"Pieces")</f>
        <v>Pieces</v>
      </c>
      <c r="H2889" s="6" t="str">
        <f>IFERROR(__xludf.DUMMYFUNCTION("""COMPUTED_VALUE"""),"IDR")</f>
        <v>IDR</v>
      </c>
      <c r="I2889" s="6">
        <f>IFERROR(__xludf.DUMMYFUNCTION("""COMPUTED_VALUE"""),8000.0)</f>
        <v>8000</v>
      </c>
      <c r="J2889" s="6">
        <f>IFERROR(__xludf.DUMMYFUNCTION("""COMPUTED_VALUE"""),80000.0)</f>
        <v>80000</v>
      </c>
      <c r="K2889" s="57">
        <f>IFERROR(__xludf.DUMMYFUNCTION("""COMPUTED_VALUE"""),45322.0)</f>
        <v>45322</v>
      </c>
      <c r="L2889" s="6" t="str">
        <f>IFERROR(__xludf.DUMMYFUNCTION("""COMPUTED_VALUE"""),"FIP Engineering")</f>
        <v>FIP Engineering</v>
      </c>
      <c r="M2889" s="6" t="str">
        <f>IFERROR(__xludf.DUMMYFUNCTION("""COMPUTED_VALUE"""),"Mochammad Fadhillah Hakim,")</f>
        <v>Mochammad Fadhillah Hakim,</v>
      </c>
      <c r="N2889" s="6" t="str">
        <f>IFERROR(__xludf.DUMMYFUNCTION("""COMPUTED_VALUE"""),"FIP Engineering")</f>
        <v>FIP Engineering</v>
      </c>
      <c r="O2889" s="6" t="str">
        <f>IFERROR(__xludf.DUMMYFUNCTION("""COMPUTED_VALUE"""),"FIP-DOM-000-11304-OS00001-INA-000000")</f>
        <v>FIP-DOM-000-11304-OS00001-INA-000000</v>
      </c>
      <c r="P2889" s="6" t="str">
        <f>IFERROR(__xludf.DUMMYFUNCTION("""COMPUTED_VALUE"""),"PO Closed")</f>
        <v>PO Closed</v>
      </c>
      <c r="Q2889" s="6" t="str">
        <f>IFERROR(__xludf.DUMMYFUNCTION("""COMPUTED_VALUE"""),"GL2403044")</f>
        <v>GL2403044</v>
      </c>
      <c r="R2889" s="57">
        <f>IFERROR(__xludf.DUMMYFUNCTION("""COMPUTED_VALUE"""),45320.0)</f>
        <v>45320</v>
      </c>
      <c r="S2889" s="57">
        <f>IFERROR(__xludf.DUMMYFUNCTION("""COMPUTED_VALUE"""),45323.0)</f>
        <v>45323</v>
      </c>
      <c r="T2889" s="57">
        <f>IFERROR(__xludf.DUMMYFUNCTION("""COMPUTED_VALUE"""),45415.0)</f>
        <v>45415</v>
      </c>
    </row>
    <row r="2890">
      <c r="A2890" s="6" t="str">
        <f>IFERROR(__xludf.DUMMYFUNCTION("""COMPUTED_VALUE"""),"121701126-3")</f>
        <v>121701126-3</v>
      </c>
      <c r="B2890" s="6" t="str">
        <f>IFERROR(__xludf.DUMMYFUNCTION("""COMPUTED_VALUE"""),"121701126 - APPROVED")</f>
        <v>121701126 - APPROVED</v>
      </c>
      <c r="C2890" s="6">
        <f>IFERROR(__xludf.DUMMYFUNCTION("""COMPUTED_VALUE"""),3.0)</f>
        <v>3</v>
      </c>
      <c r="D2890" s="6" t="str">
        <f>IFERROR(__xludf.DUMMYFUNCTION("""COMPUTED_VALUE"""),"Q-60503-00")</f>
        <v>Q-60503-00</v>
      </c>
      <c r="E2890" s="6" t="str">
        <f>IFERROR(__xludf.DUMMYFUNCTION("""COMPUTED_VALUE"""),"Silicone Sealant, Silglaze, Type N10 Grey, pack size per pcs")</f>
        <v>Silicone Sealant, Silglaze, Type N10 Grey, pack size per pcs</v>
      </c>
      <c r="F2890" s="6">
        <f>IFERROR(__xludf.DUMMYFUNCTION("""COMPUTED_VALUE"""),4.0)</f>
        <v>4</v>
      </c>
      <c r="G2890" s="6" t="str">
        <f>IFERROR(__xludf.DUMMYFUNCTION("""COMPUTED_VALUE"""),"Pieces")</f>
        <v>Pieces</v>
      </c>
      <c r="H2890" s="6" t="str">
        <f>IFERROR(__xludf.DUMMYFUNCTION("""COMPUTED_VALUE"""),"IDR")</f>
        <v>IDR</v>
      </c>
      <c r="I2890" s="6">
        <f>IFERROR(__xludf.DUMMYFUNCTION("""COMPUTED_VALUE"""),62000.0)</f>
        <v>62000</v>
      </c>
      <c r="J2890" s="6">
        <f>IFERROR(__xludf.DUMMYFUNCTION("""COMPUTED_VALUE"""),248000.0)</f>
        <v>248000</v>
      </c>
      <c r="K2890" s="57">
        <f>IFERROR(__xludf.DUMMYFUNCTION("""COMPUTED_VALUE"""),45323.0)</f>
        <v>45323</v>
      </c>
      <c r="L2890" s="6" t="str">
        <f>IFERROR(__xludf.DUMMYFUNCTION("""COMPUTED_VALUE"""),"FIP Engineering")</f>
        <v>FIP Engineering</v>
      </c>
      <c r="M2890" s="6" t="str">
        <f>IFERROR(__xludf.DUMMYFUNCTION("""COMPUTED_VALUE"""),"Mochammad Fadhillah Hakim,")</f>
        <v>Mochammad Fadhillah Hakim,</v>
      </c>
      <c r="N2890" s="6" t="str">
        <f>IFERROR(__xludf.DUMMYFUNCTION("""COMPUTED_VALUE"""),"FIP Engineering")</f>
        <v>FIP Engineering</v>
      </c>
      <c r="O2890" s="6" t="str">
        <f>IFERROR(__xludf.DUMMYFUNCTION("""COMPUTED_VALUE"""),"FIP-DOM-000-11304-OS00001-INA-000000")</f>
        <v>FIP-DOM-000-11304-OS00001-INA-000000</v>
      </c>
      <c r="P2890" s="6" t="str">
        <f>IFERROR(__xludf.DUMMYFUNCTION("""COMPUTED_VALUE"""),"PO Closed")</f>
        <v>PO Closed</v>
      </c>
      <c r="Q2890" s="6" t="str">
        <f>IFERROR(__xludf.DUMMYFUNCTION("""COMPUTED_VALUE"""),"GL2403017")</f>
        <v>GL2403017</v>
      </c>
      <c r="R2890" s="57">
        <f>IFERROR(__xludf.DUMMYFUNCTION("""COMPUTED_VALUE"""),45320.0)</f>
        <v>45320</v>
      </c>
      <c r="S2890" s="57">
        <f>IFERROR(__xludf.DUMMYFUNCTION("""COMPUTED_VALUE"""),45323.0)</f>
        <v>45323</v>
      </c>
      <c r="T2890" s="57">
        <f>IFERROR(__xludf.DUMMYFUNCTION("""COMPUTED_VALUE"""),45376.0)</f>
        <v>45376</v>
      </c>
    </row>
    <row r="2891">
      <c r="A2891" s="6" t="str">
        <f>IFERROR(__xludf.DUMMYFUNCTION("""COMPUTED_VALUE"""),"121701126-4")</f>
        <v>121701126-4</v>
      </c>
      <c r="B2891" s="6" t="str">
        <f>IFERROR(__xludf.DUMMYFUNCTION("""COMPUTED_VALUE"""),"121701126 - APPROVED")</f>
        <v>121701126 - APPROVED</v>
      </c>
      <c r="C2891" s="6">
        <f>IFERROR(__xludf.DUMMYFUNCTION("""COMPUTED_VALUE"""),4.0)</f>
        <v>4</v>
      </c>
      <c r="D2891" s="6" t="str">
        <f>IFERROR(__xludf.DUMMYFUNCTION("""COMPUTED_VALUE"""),"P-51027-00")</f>
        <v>P-51027-00</v>
      </c>
      <c r="E2891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2891" s="6">
        <f>IFERROR(__xludf.DUMMYFUNCTION("""COMPUTED_VALUE"""),6.0)</f>
        <v>6</v>
      </c>
      <c r="G2891" s="6" t="str">
        <f>IFERROR(__xludf.DUMMYFUNCTION("""COMPUTED_VALUE"""),"Pieces")</f>
        <v>Pieces</v>
      </c>
      <c r="H2891" s="6" t="str">
        <f>IFERROR(__xludf.DUMMYFUNCTION("""COMPUTED_VALUE"""),"IDR")</f>
        <v>IDR</v>
      </c>
      <c r="I2891" s="6">
        <f>IFERROR(__xludf.DUMMYFUNCTION("""COMPUTED_VALUE"""),40500.0)</f>
        <v>40500</v>
      </c>
      <c r="J2891" s="6">
        <f>IFERROR(__xludf.DUMMYFUNCTION("""COMPUTED_VALUE"""),243000.0)</f>
        <v>243000</v>
      </c>
      <c r="K2891" s="57">
        <f>IFERROR(__xludf.DUMMYFUNCTION("""COMPUTED_VALUE"""),45323.0)</f>
        <v>45323</v>
      </c>
      <c r="L2891" s="6" t="str">
        <f>IFERROR(__xludf.DUMMYFUNCTION("""COMPUTED_VALUE"""),"FIP Engineering")</f>
        <v>FIP Engineering</v>
      </c>
      <c r="M2891" s="6" t="str">
        <f>IFERROR(__xludf.DUMMYFUNCTION("""COMPUTED_VALUE"""),"Mochammad Fadhillah Hakim,")</f>
        <v>Mochammad Fadhillah Hakim,</v>
      </c>
      <c r="N2891" s="6" t="str">
        <f>IFERROR(__xludf.DUMMYFUNCTION("""COMPUTED_VALUE"""),"FIP Engineering")</f>
        <v>FIP Engineering</v>
      </c>
      <c r="O2891" s="6" t="str">
        <f>IFERROR(__xludf.DUMMYFUNCTION("""COMPUTED_VALUE"""),"FIP-DOM-000-11304-OS00001-INA-000000")</f>
        <v>FIP-DOM-000-11304-OS00001-INA-000000</v>
      </c>
      <c r="P2891" s="6" t="str">
        <f>IFERROR(__xludf.DUMMYFUNCTION("""COMPUTED_VALUE"""),"PO Closed")</f>
        <v>PO Closed</v>
      </c>
      <c r="Q2891" s="6" t="str">
        <f>IFERROR(__xludf.DUMMYFUNCTION("""COMPUTED_VALUE"""),"GL2403002")</f>
        <v>GL2403002</v>
      </c>
      <c r="R2891" s="57">
        <f>IFERROR(__xludf.DUMMYFUNCTION("""COMPUTED_VALUE"""),45320.0)</f>
        <v>45320</v>
      </c>
      <c r="S2891" s="57">
        <f>IFERROR(__xludf.DUMMYFUNCTION("""COMPUTED_VALUE"""),45323.0)</f>
        <v>45323</v>
      </c>
      <c r="T2891" s="57">
        <f>IFERROR(__xludf.DUMMYFUNCTION("""COMPUTED_VALUE"""),45412.0)</f>
        <v>45412</v>
      </c>
    </row>
    <row r="2892">
      <c r="A2892" s="6" t="str">
        <f>IFERROR(__xludf.DUMMYFUNCTION("""COMPUTED_VALUE"""),"121701126-5")</f>
        <v>121701126-5</v>
      </c>
      <c r="B2892" s="6" t="str">
        <f>IFERROR(__xludf.DUMMYFUNCTION("""COMPUTED_VALUE"""),"121701126 - APPROVED")</f>
        <v>121701126 - APPROVED</v>
      </c>
      <c r="C2892" s="6">
        <f>IFERROR(__xludf.DUMMYFUNCTION("""COMPUTED_VALUE"""),5.0)</f>
        <v>5</v>
      </c>
      <c r="D2892" s="6" t="str">
        <f>IFERROR(__xludf.DUMMYFUNCTION("""COMPUTED_VALUE"""),"P-12433-00")</f>
        <v>P-12433-00</v>
      </c>
      <c r="E2892" s="6" t="str">
        <f>IFERROR(__xludf.DUMMYFUNCTION("""COMPUTED_VALUE"""),"Isolasi AC- Sansui")</f>
        <v>Isolasi AC- Sansui</v>
      </c>
      <c r="F2892" s="6">
        <f>IFERROR(__xludf.DUMMYFUNCTION("""COMPUTED_VALUE"""),4.0)</f>
        <v>4</v>
      </c>
      <c r="G2892" s="6" t="str">
        <f>IFERROR(__xludf.DUMMYFUNCTION("""COMPUTED_VALUE"""),"Pieces")</f>
        <v>Pieces</v>
      </c>
      <c r="H2892" s="6" t="str">
        <f>IFERROR(__xludf.DUMMYFUNCTION("""COMPUTED_VALUE"""),"IDR")</f>
        <v>IDR</v>
      </c>
      <c r="I2892" s="6">
        <f>IFERROR(__xludf.DUMMYFUNCTION("""COMPUTED_VALUE"""),10000.0)</f>
        <v>10000</v>
      </c>
      <c r="J2892" s="6">
        <f>IFERROR(__xludf.DUMMYFUNCTION("""COMPUTED_VALUE"""),40000.0)</f>
        <v>40000</v>
      </c>
      <c r="K2892" s="57">
        <f>IFERROR(__xludf.DUMMYFUNCTION("""COMPUTED_VALUE"""),45323.0)</f>
        <v>45323</v>
      </c>
      <c r="L2892" s="6" t="str">
        <f>IFERROR(__xludf.DUMMYFUNCTION("""COMPUTED_VALUE"""),"FIP Engineering")</f>
        <v>FIP Engineering</v>
      </c>
      <c r="M2892" s="6" t="str">
        <f>IFERROR(__xludf.DUMMYFUNCTION("""COMPUTED_VALUE"""),"Mochammad Fadhillah Hakim,")</f>
        <v>Mochammad Fadhillah Hakim,</v>
      </c>
      <c r="N2892" s="6" t="str">
        <f>IFERROR(__xludf.DUMMYFUNCTION("""COMPUTED_VALUE"""),"FIP Engineering")</f>
        <v>FIP Engineering</v>
      </c>
      <c r="O2892" s="6" t="str">
        <f>IFERROR(__xludf.DUMMYFUNCTION("""COMPUTED_VALUE"""),"FIP-DOM-000-11304-OS00001-INA-000000")</f>
        <v>FIP-DOM-000-11304-OS00001-INA-000000</v>
      </c>
      <c r="P2892" s="6" t="str">
        <f>IFERROR(__xludf.DUMMYFUNCTION("""COMPUTED_VALUE"""),"PO Closed")</f>
        <v>PO Closed</v>
      </c>
      <c r="Q2892" s="6" t="str">
        <f>IFERROR(__xludf.DUMMYFUNCTION("""COMPUTED_VALUE"""),"GL2402057")</f>
        <v>GL2402057</v>
      </c>
      <c r="R2892" s="57">
        <f>IFERROR(__xludf.DUMMYFUNCTION("""COMPUTED_VALUE"""),45320.0)</f>
        <v>45320</v>
      </c>
      <c r="S2892" s="57">
        <f>IFERROR(__xludf.DUMMYFUNCTION("""COMPUTED_VALUE"""),45323.0)</f>
        <v>45323</v>
      </c>
      <c r="T2892" s="6"/>
    </row>
    <row r="2893">
      <c r="A2893" s="6" t="str">
        <f>IFERROR(__xludf.DUMMYFUNCTION("""COMPUTED_VALUE"""),"121701126-6")</f>
        <v>121701126-6</v>
      </c>
      <c r="B2893" s="6" t="str">
        <f>IFERROR(__xludf.DUMMYFUNCTION("""COMPUTED_VALUE"""),"121701126 - APPROVED")</f>
        <v>121701126 - APPROVED</v>
      </c>
      <c r="C2893" s="6">
        <f>IFERROR(__xludf.DUMMYFUNCTION("""COMPUTED_VALUE"""),6.0)</f>
        <v>6</v>
      </c>
      <c r="D2893" s="6" t="str">
        <f>IFERROR(__xludf.DUMMYFUNCTION("""COMPUTED_VALUE"""),"O-54015-00")</f>
        <v>O-54015-00</v>
      </c>
      <c r="E2893" s="6" t="str">
        <f>IFERROR(__xludf.DUMMYFUNCTION("""COMPUTED_VALUE"""),"STOP KONTAK LUBANG 4, BROCO")</f>
        <v>STOP KONTAK LUBANG 4, BROCO</v>
      </c>
      <c r="F2893" s="6">
        <f>IFERROR(__xludf.DUMMYFUNCTION("""COMPUTED_VALUE"""),3.0)</f>
        <v>3</v>
      </c>
      <c r="G2893" s="6" t="str">
        <f>IFERROR(__xludf.DUMMYFUNCTION("""COMPUTED_VALUE"""),"Unit")</f>
        <v>Unit</v>
      </c>
      <c r="H2893" s="6" t="str">
        <f>IFERROR(__xludf.DUMMYFUNCTION("""COMPUTED_VALUE"""),"IDR")</f>
        <v>IDR</v>
      </c>
      <c r="I2893" s="6">
        <f>IFERROR(__xludf.DUMMYFUNCTION("""COMPUTED_VALUE"""),49000.0)</f>
        <v>49000</v>
      </c>
      <c r="J2893" s="6">
        <f>IFERROR(__xludf.DUMMYFUNCTION("""COMPUTED_VALUE"""),147000.0)</f>
        <v>147000</v>
      </c>
      <c r="K2893" s="57">
        <f>IFERROR(__xludf.DUMMYFUNCTION("""COMPUTED_VALUE"""),45323.0)</f>
        <v>45323</v>
      </c>
      <c r="L2893" s="6" t="str">
        <f>IFERROR(__xludf.DUMMYFUNCTION("""COMPUTED_VALUE"""),"FIP Engineering")</f>
        <v>FIP Engineering</v>
      </c>
      <c r="M2893" s="6" t="str">
        <f>IFERROR(__xludf.DUMMYFUNCTION("""COMPUTED_VALUE"""),"Mochammad Fadhillah Hakim,")</f>
        <v>Mochammad Fadhillah Hakim,</v>
      </c>
      <c r="N2893" s="6" t="str">
        <f>IFERROR(__xludf.DUMMYFUNCTION("""COMPUTED_VALUE"""),"FIP Engineering")</f>
        <v>FIP Engineering</v>
      </c>
      <c r="O2893" s="6" t="str">
        <f>IFERROR(__xludf.DUMMYFUNCTION("""COMPUTED_VALUE"""),"FIP-DOM-000-11304-OS00001-INA-000000")</f>
        <v>FIP-DOM-000-11304-OS00001-INA-000000</v>
      </c>
      <c r="P2893" s="6" t="str">
        <f>IFERROR(__xludf.DUMMYFUNCTION("""COMPUTED_VALUE"""),"PO Closed")</f>
        <v>PO Closed</v>
      </c>
      <c r="Q2893" s="6" t="str">
        <f>IFERROR(__xludf.DUMMYFUNCTION("""COMPUTED_VALUE"""),"GL2402057")</f>
        <v>GL2402057</v>
      </c>
      <c r="R2893" s="57">
        <f>IFERROR(__xludf.DUMMYFUNCTION("""COMPUTED_VALUE"""),45320.0)</f>
        <v>45320</v>
      </c>
      <c r="S2893" s="57">
        <f>IFERROR(__xludf.DUMMYFUNCTION("""COMPUTED_VALUE"""),45323.0)</f>
        <v>45323</v>
      </c>
      <c r="T2893" s="6"/>
    </row>
    <row r="2894">
      <c r="A2894" s="6" t="str">
        <f>IFERROR(__xludf.DUMMYFUNCTION("""COMPUTED_VALUE"""),"121701126-7")</f>
        <v>121701126-7</v>
      </c>
      <c r="B2894" s="6" t="str">
        <f>IFERROR(__xludf.DUMMYFUNCTION("""COMPUTED_VALUE"""),"121701126 - APPROVED")</f>
        <v>121701126 - APPROVED</v>
      </c>
      <c r="C2894" s="6">
        <f>IFERROR(__xludf.DUMMYFUNCTION("""COMPUTED_VALUE"""),7.0)</f>
        <v>7</v>
      </c>
      <c r="D2894" s="6" t="str">
        <f>IFERROR(__xludf.DUMMYFUNCTION("""COMPUTED_VALUE"""),"P-14980-00")</f>
        <v>P-14980-00</v>
      </c>
      <c r="E2894" s="6" t="str">
        <f>IFERROR(__xludf.DUMMYFUNCTION("""COMPUTED_VALUE"""),"Seal Ferrule Teflon 3/4 inch; ; ;")</f>
        <v>Seal Ferrule Teflon 3/4 inch; ; ;</v>
      </c>
      <c r="F2894" s="6">
        <f>IFERROR(__xludf.DUMMYFUNCTION("""COMPUTED_VALUE"""),6.0)</f>
        <v>6</v>
      </c>
      <c r="G2894" s="6" t="str">
        <f>IFERROR(__xludf.DUMMYFUNCTION("""COMPUTED_VALUE"""),"Pieces")</f>
        <v>Pieces</v>
      </c>
      <c r="H2894" s="6" t="str">
        <f>IFERROR(__xludf.DUMMYFUNCTION("""COMPUTED_VALUE"""),"IDR")</f>
        <v>IDR</v>
      </c>
      <c r="I2894" s="6">
        <f>IFERROR(__xludf.DUMMYFUNCTION("""COMPUTED_VALUE"""),53000.0)</f>
        <v>53000</v>
      </c>
      <c r="J2894" s="6">
        <f>IFERROR(__xludf.DUMMYFUNCTION("""COMPUTED_VALUE"""),318000.0)</f>
        <v>318000</v>
      </c>
      <c r="K2894" s="57">
        <f>IFERROR(__xludf.DUMMYFUNCTION("""COMPUTED_VALUE"""),45323.0)</f>
        <v>45323</v>
      </c>
      <c r="L2894" s="6" t="str">
        <f>IFERROR(__xludf.DUMMYFUNCTION("""COMPUTED_VALUE"""),"FIP Engineering")</f>
        <v>FIP Engineering</v>
      </c>
      <c r="M2894" s="6" t="str">
        <f>IFERROR(__xludf.DUMMYFUNCTION("""COMPUTED_VALUE"""),"Mochammad Fadhillah Hakim,")</f>
        <v>Mochammad Fadhillah Hakim,</v>
      </c>
      <c r="N2894" s="6" t="str">
        <f>IFERROR(__xludf.DUMMYFUNCTION("""COMPUTED_VALUE"""),"FIP Engineering")</f>
        <v>FIP Engineering</v>
      </c>
      <c r="O2894" s="6" t="str">
        <f>IFERROR(__xludf.DUMMYFUNCTION("""COMPUTED_VALUE"""),"FIP-DOM-000-11304-OS00001-INA-000000")</f>
        <v>FIP-DOM-000-11304-OS00001-INA-000000</v>
      </c>
      <c r="P2894" s="6" t="str">
        <f>IFERROR(__xludf.DUMMYFUNCTION("""COMPUTED_VALUE"""),"PO Closed")</f>
        <v>PO Closed</v>
      </c>
      <c r="Q2894" s="6" t="str">
        <f>IFERROR(__xludf.DUMMYFUNCTION("""COMPUTED_VALUE"""),"GL2403044")</f>
        <v>GL2403044</v>
      </c>
      <c r="R2894" s="57">
        <f>IFERROR(__xludf.DUMMYFUNCTION("""COMPUTED_VALUE"""),45320.0)</f>
        <v>45320</v>
      </c>
      <c r="S2894" s="57">
        <f>IFERROR(__xludf.DUMMYFUNCTION("""COMPUTED_VALUE"""),45323.0)</f>
        <v>45323</v>
      </c>
      <c r="T2894" s="57">
        <f>IFERROR(__xludf.DUMMYFUNCTION("""COMPUTED_VALUE"""),45415.0)</f>
        <v>45415</v>
      </c>
    </row>
    <row r="2895">
      <c r="A2895" s="6" t="str">
        <f>IFERROR(__xludf.DUMMYFUNCTION("""COMPUTED_VALUE"""),"121701129-1")</f>
        <v>121701129-1</v>
      </c>
      <c r="B2895" s="6" t="str">
        <f>IFERROR(__xludf.DUMMYFUNCTION("""COMPUTED_VALUE"""),"121701129 - APPROVED")</f>
        <v>121701129 - APPROVED</v>
      </c>
      <c r="C2895" s="6">
        <f>IFERROR(__xludf.DUMMYFUNCTION("""COMPUTED_VALUE"""),1.0)</f>
        <v>1</v>
      </c>
      <c r="D2895" s="6" t="str">
        <f>IFERROR(__xludf.DUMMYFUNCTION("""COMPUTED_VALUE"""),"T-20123-00")</f>
        <v>T-20123-00</v>
      </c>
      <c r="E2895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895" s="6">
        <f>IFERROR(__xludf.DUMMYFUNCTION("""COMPUTED_VALUE"""),3.0)</f>
        <v>3</v>
      </c>
      <c r="G2895" s="6" t="str">
        <f>IFERROR(__xludf.DUMMYFUNCTION("""COMPUTED_VALUE"""),"Pieces")</f>
        <v>Pieces</v>
      </c>
      <c r="H2895" s="6" t="str">
        <f>IFERROR(__xludf.DUMMYFUNCTION("""COMPUTED_VALUE"""),"IDR")</f>
        <v>IDR</v>
      </c>
      <c r="I2895" s="6">
        <f>IFERROR(__xludf.DUMMYFUNCTION("""COMPUTED_VALUE"""),1.32E7)</f>
        <v>13200000</v>
      </c>
      <c r="J2895" s="6">
        <f>IFERROR(__xludf.DUMMYFUNCTION("""COMPUTED_VALUE"""),3.96E7)</f>
        <v>39600000</v>
      </c>
      <c r="K2895" s="57">
        <f>IFERROR(__xludf.DUMMYFUNCTION("""COMPUTED_VALUE"""),45323.0)</f>
        <v>45323</v>
      </c>
      <c r="L2895" s="6" t="str">
        <f>IFERROR(__xludf.DUMMYFUNCTION("""COMPUTED_VALUE"""),"FIP General")</f>
        <v>FIP General</v>
      </c>
      <c r="M2895" s="6" t="str">
        <f>IFERROR(__xludf.DUMMYFUNCTION("""COMPUTED_VALUE"""),"Mochammad Fadhillah Hakim,")</f>
        <v>Mochammad Fadhillah Hakim,</v>
      </c>
      <c r="N2895" s="6" t="str">
        <f>IFERROR(__xludf.DUMMYFUNCTION("""COMPUTED_VALUE"""),"FIP Engineering")</f>
        <v>FIP Engineering</v>
      </c>
      <c r="O2895" s="6" t="str">
        <f>IFERROR(__xludf.DUMMYFUNCTION("""COMPUTED_VALUE"""),"FIP-DOM-ENG-51505-0000000-INA-000000")</f>
        <v>FIP-DOM-ENG-51505-0000000-INA-000000</v>
      </c>
      <c r="P2895" s="6" t="str">
        <f>IFERROR(__xludf.DUMMYFUNCTION("""COMPUTED_VALUE"""),"PO Closed")</f>
        <v>PO Closed</v>
      </c>
      <c r="Q2895" s="6" t="str">
        <f>IFERROR(__xludf.DUMMYFUNCTION("""COMPUTED_VALUE"""),"GL2402307")</f>
        <v>GL2402307</v>
      </c>
      <c r="R2895" s="57">
        <f>IFERROR(__xludf.DUMMYFUNCTION("""COMPUTED_VALUE"""),45321.0)</f>
        <v>45321</v>
      </c>
      <c r="S2895" s="57">
        <f>IFERROR(__xludf.DUMMYFUNCTION("""COMPUTED_VALUE"""),45323.0)</f>
        <v>45323</v>
      </c>
      <c r="T2895" s="57">
        <f>IFERROR(__xludf.DUMMYFUNCTION("""COMPUTED_VALUE"""),45359.0)</f>
        <v>45359</v>
      </c>
    </row>
    <row r="2896">
      <c r="A2896" s="6" t="str">
        <f>IFERROR(__xludf.DUMMYFUNCTION("""COMPUTED_VALUE"""),"121701131-1")</f>
        <v>121701131-1</v>
      </c>
      <c r="B2896" s="6" t="str">
        <f>IFERROR(__xludf.DUMMYFUNCTION("""COMPUTED_VALUE"""),"121701131 - APPROVED")</f>
        <v>121701131 - APPROVED</v>
      </c>
      <c r="C2896" s="6">
        <f>IFERROR(__xludf.DUMMYFUNCTION("""COMPUTED_VALUE"""),1.0)</f>
        <v>1</v>
      </c>
      <c r="D2896" s="6" t="str">
        <f>IFERROR(__xludf.DUMMYFUNCTION("""COMPUTED_VALUE"""),"O-54166-00")</f>
        <v>O-54166-00</v>
      </c>
      <c r="E2896" s="6" t="str">
        <f>IFERROR(__xludf.DUMMYFUNCTION("""COMPUTED_VALUE"""),"Coil Magnet 018F0091; Danfoss; ;")</f>
        <v>Coil Magnet 018F0091; Danfoss; ;</v>
      </c>
      <c r="F2896" s="6">
        <f>IFERROR(__xludf.DUMMYFUNCTION("""COMPUTED_VALUE"""),4.0)</f>
        <v>4</v>
      </c>
      <c r="G2896" s="6" t="str">
        <f>IFERROR(__xludf.DUMMYFUNCTION("""COMPUTED_VALUE"""),"Pieces")</f>
        <v>Pieces</v>
      </c>
      <c r="H2896" s="6" t="str">
        <f>IFERROR(__xludf.DUMMYFUNCTION("""COMPUTED_VALUE"""),"IDR")</f>
        <v>IDR</v>
      </c>
      <c r="I2896" s="6">
        <f>IFERROR(__xludf.DUMMYFUNCTION("""COMPUTED_VALUE"""),3100000.0)</f>
        <v>3100000</v>
      </c>
      <c r="J2896" s="6">
        <f>IFERROR(__xludf.DUMMYFUNCTION("""COMPUTED_VALUE"""),1.24E7)</f>
        <v>12400000</v>
      </c>
      <c r="K2896" s="57">
        <f>IFERROR(__xludf.DUMMYFUNCTION("""COMPUTED_VALUE"""),45323.0)</f>
        <v>45323</v>
      </c>
      <c r="L2896" s="6" t="str">
        <f>IFERROR(__xludf.DUMMYFUNCTION("""COMPUTED_VALUE"""),"FIP Engineering")</f>
        <v>FIP Engineering</v>
      </c>
      <c r="M2896" s="6" t="str">
        <f>IFERROR(__xludf.DUMMYFUNCTION("""COMPUTED_VALUE"""),"Mochammad Fadhillah Hakim,")</f>
        <v>Mochammad Fadhillah Hakim,</v>
      </c>
      <c r="N2896" s="6" t="str">
        <f>IFERROR(__xludf.DUMMYFUNCTION("""COMPUTED_VALUE"""),"FIP Engineering")</f>
        <v>FIP Engineering</v>
      </c>
      <c r="O2896" s="6" t="str">
        <f>IFERROR(__xludf.DUMMYFUNCTION("""COMPUTED_VALUE"""),"FIP-DOM-000-11304-OS00001-INA-000000")</f>
        <v>FIP-DOM-000-11304-OS00001-INA-000000</v>
      </c>
      <c r="P2896" s="6" t="str">
        <f>IFERROR(__xludf.DUMMYFUNCTION("""COMPUTED_VALUE"""),"PO Closed")</f>
        <v>PO Closed</v>
      </c>
      <c r="Q2896" s="6" t="str">
        <f>IFERROR(__xludf.DUMMYFUNCTION("""COMPUTED_VALUE"""),"GL2403012")</f>
        <v>GL2403012</v>
      </c>
      <c r="R2896" s="57">
        <f>IFERROR(__xludf.DUMMYFUNCTION("""COMPUTED_VALUE"""),45321.0)</f>
        <v>45321</v>
      </c>
      <c r="S2896" s="57">
        <f>IFERROR(__xludf.DUMMYFUNCTION("""COMPUTED_VALUE"""),45327.0)</f>
        <v>45327</v>
      </c>
      <c r="T2896" s="57">
        <f>IFERROR(__xludf.DUMMYFUNCTION("""COMPUTED_VALUE"""),45417.0)</f>
        <v>45417</v>
      </c>
    </row>
    <row r="2897">
      <c r="A2897" s="6" t="str">
        <f>IFERROR(__xludf.DUMMYFUNCTION("""COMPUTED_VALUE"""),"121701131-2")</f>
        <v>121701131-2</v>
      </c>
      <c r="B2897" s="6" t="str">
        <f>IFERROR(__xludf.DUMMYFUNCTION("""COMPUTED_VALUE"""),"121701131 - APPROVED")</f>
        <v>121701131 - APPROVED</v>
      </c>
      <c r="C2897" s="6">
        <f>IFERROR(__xludf.DUMMYFUNCTION("""COMPUTED_VALUE"""),2.0)</f>
        <v>2</v>
      </c>
      <c r="D2897" s="6" t="str">
        <f>IFERROR(__xludf.DUMMYFUNCTION("""COMPUTED_VALUE"""),"O-19588-00")</f>
        <v>O-19588-00</v>
      </c>
      <c r="E2897" s="6" t="str">
        <f>IFERROR(__xludf.DUMMYFUNCTION("""COMPUTED_VALUE"""),"Press Gauge 0-250 psi, Dia 2,5 inch, Drat 1/4 inch; No Brand; ;")</f>
        <v>Press Gauge 0-250 psi, Dia 2,5 inch, Drat 1/4 inch; No Brand; ;</v>
      </c>
      <c r="F2897" s="6">
        <f>IFERROR(__xludf.DUMMYFUNCTION("""COMPUTED_VALUE"""),2.0)</f>
        <v>2</v>
      </c>
      <c r="G2897" s="6" t="str">
        <f>IFERROR(__xludf.DUMMYFUNCTION("""COMPUTED_VALUE"""),"Pieces")</f>
        <v>Pieces</v>
      </c>
      <c r="H2897" s="6" t="str">
        <f>IFERROR(__xludf.DUMMYFUNCTION("""COMPUTED_VALUE"""),"IDR")</f>
        <v>IDR</v>
      </c>
      <c r="I2897" s="6">
        <f>IFERROR(__xludf.DUMMYFUNCTION("""COMPUTED_VALUE"""),383400.0)</f>
        <v>383400</v>
      </c>
      <c r="J2897" s="6">
        <f>IFERROR(__xludf.DUMMYFUNCTION("""COMPUTED_VALUE"""),766800.0)</f>
        <v>766800</v>
      </c>
      <c r="K2897" s="57">
        <f>IFERROR(__xludf.DUMMYFUNCTION("""COMPUTED_VALUE"""),45323.0)</f>
        <v>45323</v>
      </c>
      <c r="L2897" s="6" t="str">
        <f>IFERROR(__xludf.DUMMYFUNCTION("""COMPUTED_VALUE"""),"FIP Engineering")</f>
        <v>FIP Engineering</v>
      </c>
      <c r="M2897" s="6" t="str">
        <f>IFERROR(__xludf.DUMMYFUNCTION("""COMPUTED_VALUE"""),"Mochammad Fadhillah Hakim,")</f>
        <v>Mochammad Fadhillah Hakim,</v>
      </c>
      <c r="N2897" s="6" t="str">
        <f>IFERROR(__xludf.DUMMYFUNCTION("""COMPUTED_VALUE"""),"FIP Engineering")</f>
        <v>FIP Engineering</v>
      </c>
      <c r="O2897" s="6" t="str">
        <f>IFERROR(__xludf.DUMMYFUNCTION("""COMPUTED_VALUE"""),"FIP-DOM-000-11304-OS00001-INA-000000")</f>
        <v>FIP-DOM-000-11304-OS00001-INA-000000</v>
      </c>
      <c r="P2897" s="6" t="str">
        <f>IFERROR(__xludf.DUMMYFUNCTION("""COMPUTED_VALUE"""),"PO Closed")</f>
        <v>PO Closed</v>
      </c>
      <c r="Q2897" s="6" t="str">
        <f>IFERROR(__xludf.DUMMYFUNCTION("""COMPUTED_VALUE"""),"GL2403012")</f>
        <v>GL2403012</v>
      </c>
      <c r="R2897" s="57">
        <f>IFERROR(__xludf.DUMMYFUNCTION("""COMPUTED_VALUE"""),45321.0)</f>
        <v>45321</v>
      </c>
      <c r="S2897" s="57">
        <f>IFERROR(__xludf.DUMMYFUNCTION("""COMPUTED_VALUE"""),45327.0)</f>
        <v>45327</v>
      </c>
      <c r="T2897" s="57">
        <f>IFERROR(__xludf.DUMMYFUNCTION("""COMPUTED_VALUE"""),45417.0)</f>
        <v>45417</v>
      </c>
    </row>
    <row r="2898">
      <c r="A2898" s="6" t="str">
        <f>IFERROR(__xludf.DUMMYFUNCTION("""COMPUTED_VALUE"""),"121701131-3")</f>
        <v>121701131-3</v>
      </c>
      <c r="B2898" s="6" t="str">
        <f>IFERROR(__xludf.DUMMYFUNCTION("""COMPUTED_VALUE"""),"121701131 - APPROVED")</f>
        <v>121701131 - APPROVED</v>
      </c>
      <c r="C2898" s="6">
        <f>IFERROR(__xludf.DUMMYFUNCTION("""COMPUTED_VALUE"""),3.0)</f>
        <v>3</v>
      </c>
      <c r="D2898" s="6" t="str">
        <f>IFERROR(__xludf.DUMMYFUNCTION("""COMPUTED_VALUE"""),"O-19591-00")</f>
        <v>O-19591-00</v>
      </c>
      <c r="E2898" s="6" t="str">
        <f>IFERROR(__xludf.DUMMYFUNCTION("""COMPUTED_VALUE"""),"Grease for High Vacuum GR AR555; Kluber; ;")</f>
        <v>Grease for High Vacuum GR AR555; Kluber; ;</v>
      </c>
      <c r="F2898" s="6">
        <f>IFERROR(__xludf.DUMMYFUNCTION("""COMPUTED_VALUE"""),1.0)</f>
        <v>1</v>
      </c>
      <c r="G2898" s="6" t="str">
        <f>IFERROR(__xludf.DUMMYFUNCTION("""COMPUTED_VALUE"""),"Can")</f>
        <v>Can</v>
      </c>
      <c r="H2898" s="6" t="str">
        <f>IFERROR(__xludf.DUMMYFUNCTION("""COMPUTED_VALUE"""),"IDR")</f>
        <v>IDR</v>
      </c>
      <c r="I2898" s="6">
        <f>IFERROR(__xludf.DUMMYFUNCTION("""COMPUTED_VALUE"""),1.485E7)</f>
        <v>14850000</v>
      </c>
      <c r="J2898" s="6">
        <f>IFERROR(__xludf.DUMMYFUNCTION("""COMPUTED_VALUE"""),1.485E7)</f>
        <v>14850000</v>
      </c>
      <c r="K2898" s="57">
        <f>IFERROR(__xludf.DUMMYFUNCTION("""COMPUTED_VALUE"""),45323.0)</f>
        <v>45323</v>
      </c>
      <c r="L2898" s="6" t="str">
        <f>IFERROR(__xludf.DUMMYFUNCTION("""COMPUTED_VALUE"""),"FIP Engineering")</f>
        <v>FIP Engineering</v>
      </c>
      <c r="M2898" s="6" t="str">
        <f>IFERROR(__xludf.DUMMYFUNCTION("""COMPUTED_VALUE"""),"Mochammad Fadhillah Hakim,")</f>
        <v>Mochammad Fadhillah Hakim,</v>
      </c>
      <c r="N2898" s="6" t="str">
        <f>IFERROR(__xludf.DUMMYFUNCTION("""COMPUTED_VALUE"""),"FIP Engineering")</f>
        <v>FIP Engineering</v>
      </c>
      <c r="O2898" s="6" t="str">
        <f>IFERROR(__xludf.DUMMYFUNCTION("""COMPUTED_VALUE"""),"FIP-DOM-000-11304-OS00001-INA-000000")</f>
        <v>FIP-DOM-000-11304-OS00001-INA-000000</v>
      </c>
      <c r="P2898" s="6" t="str">
        <f>IFERROR(__xludf.DUMMYFUNCTION("""COMPUTED_VALUE"""),"PO Closed")</f>
        <v>PO Closed</v>
      </c>
      <c r="Q2898" s="6" t="str">
        <f>IFERROR(__xludf.DUMMYFUNCTION("""COMPUTED_VALUE"""),"GL2403012")</f>
        <v>GL2403012</v>
      </c>
      <c r="R2898" s="57">
        <f>IFERROR(__xludf.DUMMYFUNCTION("""COMPUTED_VALUE"""),45321.0)</f>
        <v>45321</v>
      </c>
      <c r="S2898" s="57">
        <f>IFERROR(__xludf.DUMMYFUNCTION("""COMPUTED_VALUE"""),45327.0)</f>
        <v>45327</v>
      </c>
      <c r="T2898" s="57">
        <f>IFERROR(__xludf.DUMMYFUNCTION("""COMPUTED_VALUE"""),45417.0)</f>
        <v>45417</v>
      </c>
    </row>
    <row r="2899">
      <c r="A2899" s="6" t="str">
        <f>IFERROR(__xludf.DUMMYFUNCTION("""COMPUTED_VALUE"""),"121701131-4")</f>
        <v>121701131-4</v>
      </c>
      <c r="B2899" s="6" t="str">
        <f>IFERROR(__xludf.DUMMYFUNCTION("""COMPUTED_VALUE"""),"121701131 - APPROVED")</f>
        <v>121701131 - APPROVED</v>
      </c>
      <c r="C2899" s="6">
        <f>IFERROR(__xludf.DUMMYFUNCTION("""COMPUTED_VALUE"""),4.0)</f>
        <v>4</v>
      </c>
      <c r="D2899" s="6" t="str">
        <f>IFERROR(__xludf.DUMMYFUNCTION("""COMPUTED_VALUE"""),"P-54185-00")</f>
        <v>P-54185-00</v>
      </c>
      <c r="E2899" s="6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F2899" s="6">
        <f>IFERROR(__xludf.DUMMYFUNCTION("""COMPUTED_VALUE"""),1.0)</f>
        <v>1</v>
      </c>
      <c r="G2899" s="6" t="str">
        <f>IFERROR(__xludf.DUMMYFUNCTION("""COMPUTED_VALUE"""),"Unit")</f>
        <v>Unit</v>
      </c>
      <c r="H2899" s="6" t="str">
        <f>IFERROR(__xludf.DUMMYFUNCTION("""COMPUTED_VALUE"""),"IDR")</f>
        <v>IDR</v>
      </c>
      <c r="I2899" s="6">
        <f>IFERROR(__xludf.DUMMYFUNCTION("""COMPUTED_VALUE"""),4950000.0)</f>
        <v>4950000</v>
      </c>
      <c r="J2899" s="6">
        <f>IFERROR(__xludf.DUMMYFUNCTION("""COMPUTED_VALUE"""),4950000.0)</f>
        <v>4950000</v>
      </c>
      <c r="K2899" s="57">
        <f>IFERROR(__xludf.DUMMYFUNCTION("""COMPUTED_VALUE"""),45325.0)</f>
        <v>45325</v>
      </c>
      <c r="L2899" s="6" t="str">
        <f>IFERROR(__xludf.DUMMYFUNCTION("""COMPUTED_VALUE"""),"FIP Engineering")</f>
        <v>FIP Engineering</v>
      </c>
      <c r="M2899" s="6" t="str">
        <f>IFERROR(__xludf.DUMMYFUNCTION("""COMPUTED_VALUE"""),"Mochammad Fadhillah Hakim,")</f>
        <v>Mochammad Fadhillah Hakim,</v>
      </c>
      <c r="N2899" s="6" t="str">
        <f>IFERROR(__xludf.DUMMYFUNCTION("""COMPUTED_VALUE"""),"FIP Engineering")</f>
        <v>FIP Engineering</v>
      </c>
      <c r="O2899" s="6" t="str">
        <f>IFERROR(__xludf.DUMMYFUNCTION("""COMPUTED_VALUE"""),"FIP-DOM-000-11304-OS00001-INA-000000")</f>
        <v>FIP-DOM-000-11304-OS00001-INA-000000</v>
      </c>
      <c r="P2899" s="6" t="str">
        <f>IFERROR(__xludf.DUMMYFUNCTION("""COMPUTED_VALUE"""),"PO Closed")</f>
        <v>PO Closed</v>
      </c>
      <c r="Q2899" s="6" t="str">
        <f>IFERROR(__xludf.DUMMYFUNCTION("""COMPUTED_VALUE"""),"GL2403012")</f>
        <v>GL2403012</v>
      </c>
      <c r="R2899" s="57">
        <f>IFERROR(__xludf.DUMMYFUNCTION("""COMPUTED_VALUE"""),45321.0)</f>
        <v>45321</v>
      </c>
      <c r="S2899" s="57">
        <f>IFERROR(__xludf.DUMMYFUNCTION("""COMPUTED_VALUE"""),45327.0)</f>
        <v>45327</v>
      </c>
      <c r="T2899" s="57">
        <f>IFERROR(__xludf.DUMMYFUNCTION("""COMPUTED_VALUE"""),45417.0)</f>
        <v>45417</v>
      </c>
    </row>
    <row r="2900">
      <c r="A2900" s="6" t="str">
        <f>IFERROR(__xludf.DUMMYFUNCTION("""COMPUTED_VALUE"""),"121701131-5")</f>
        <v>121701131-5</v>
      </c>
      <c r="B2900" s="6" t="str">
        <f>IFERROR(__xludf.DUMMYFUNCTION("""COMPUTED_VALUE"""),"121701131 - APPROVED")</f>
        <v>121701131 - APPROVED</v>
      </c>
      <c r="C2900" s="6">
        <f>IFERROR(__xludf.DUMMYFUNCTION("""COMPUTED_VALUE"""),5.0)</f>
        <v>5</v>
      </c>
      <c r="D2900" s="6" t="str">
        <f>IFERROR(__xludf.DUMMYFUNCTION("""COMPUTED_VALUE"""),"P-18909-00")</f>
        <v>P-18909-00</v>
      </c>
      <c r="E2900" s="6" t="str">
        <f>IFERROR(__xludf.DUMMYFUNCTION("""COMPUTED_VALUE"""),"Refrigerant Recovery Tank Cld-30Y 13 L , 30 Lbs , 13.6Kg; ORION; ;")</f>
        <v>Refrigerant Recovery Tank Cld-30Y 13 L , 30 Lbs , 13.6Kg; ORION; ;</v>
      </c>
      <c r="F2900" s="6">
        <f>IFERROR(__xludf.DUMMYFUNCTION("""COMPUTED_VALUE"""),6.0)</f>
        <v>6</v>
      </c>
      <c r="G2900" s="6" t="str">
        <f>IFERROR(__xludf.DUMMYFUNCTION("""COMPUTED_VALUE"""),"Unit")</f>
        <v>Unit</v>
      </c>
      <c r="H2900" s="6" t="str">
        <f>IFERROR(__xludf.DUMMYFUNCTION("""COMPUTED_VALUE"""),"IDR")</f>
        <v>IDR</v>
      </c>
      <c r="I2900" s="6">
        <f>IFERROR(__xludf.DUMMYFUNCTION("""COMPUTED_VALUE"""),3150000.0)</f>
        <v>3150000</v>
      </c>
      <c r="J2900" s="6">
        <f>IFERROR(__xludf.DUMMYFUNCTION("""COMPUTED_VALUE"""),1.89E7)</f>
        <v>18900000</v>
      </c>
      <c r="K2900" s="57">
        <f>IFERROR(__xludf.DUMMYFUNCTION("""COMPUTED_VALUE"""),45325.0)</f>
        <v>45325</v>
      </c>
      <c r="L2900" s="6" t="str">
        <f>IFERROR(__xludf.DUMMYFUNCTION("""COMPUTED_VALUE"""),"FIP Engineering")</f>
        <v>FIP Engineering</v>
      </c>
      <c r="M2900" s="6" t="str">
        <f>IFERROR(__xludf.DUMMYFUNCTION("""COMPUTED_VALUE"""),"Mochammad Fadhillah Hakim,")</f>
        <v>Mochammad Fadhillah Hakim,</v>
      </c>
      <c r="N2900" s="6" t="str">
        <f>IFERROR(__xludf.DUMMYFUNCTION("""COMPUTED_VALUE"""),"FIP Engineering")</f>
        <v>FIP Engineering</v>
      </c>
      <c r="O2900" s="6" t="str">
        <f>IFERROR(__xludf.DUMMYFUNCTION("""COMPUTED_VALUE"""),"FIP-DOM-000-11304-OS00001-INA-000000")</f>
        <v>FIP-DOM-000-11304-OS00001-INA-000000</v>
      </c>
      <c r="P2900" s="6" t="str">
        <f>IFERROR(__xludf.DUMMYFUNCTION("""COMPUTED_VALUE"""),"PO Closed")</f>
        <v>PO Closed</v>
      </c>
      <c r="Q2900" s="6" t="str">
        <f>IFERROR(__xludf.DUMMYFUNCTION("""COMPUTED_VALUE"""),"GL2403012")</f>
        <v>GL2403012</v>
      </c>
      <c r="R2900" s="57">
        <f>IFERROR(__xludf.DUMMYFUNCTION("""COMPUTED_VALUE"""),45321.0)</f>
        <v>45321</v>
      </c>
      <c r="S2900" s="57">
        <f>IFERROR(__xludf.DUMMYFUNCTION("""COMPUTED_VALUE"""),45327.0)</f>
        <v>45327</v>
      </c>
      <c r="T2900" s="57">
        <f>IFERROR(__xludf.DUMMYFUNCTION("""COMPUTED_VALUE"""),45417.0)</f>
        <v>45417</v>
      </c>
    </row>
    <row r="2901">
      <c r="A2901" s="6" t="str">
        <f>IFERROR(__xludf.DUMMYFUNCTION("""COMPUTED_VALUE"""),"121701131-6")</f>
        <v>121701131-6</v>
      </c>
      <c r="B2901" s="6" t="str">
        <f>IFERROR(__xludf.DUMMYFUNCTION("""COMPUTED_VALUE"""),"121701131 - APPROVED")</f>
        <v>121701131 - APPROVED</v>
      </c>
      <c r="C2901" s="6">
        <f>IFERROR(__xludf.DUMMYFUNCTION("""COMPUTED_VALUE"""),6.0)</f>
        <v>6</v>
      </c>
      <c r="D2901" s="6" t="str">
        <f>IFERROR(__xludf.DUMMYFUNCTION("""COMPUTED_VALUE"""),"O-19589-00")</f>
        <v>O-19589-00</v>
      </c>
      <c r="E2901" s="6" t="str">
        <f>IFERROR(__xludf.DUMMYFUNCTION("""COMPUTED_VALUE"""),"Press Gauge 0-500 Psi, Dia 2.5 Inch, Drat 1/4 Inch; No Brand; ;")</f>
        <v>Press Gauge 0-500 Psi, Dia 2.5 Inch, Drat 1/4 Inch; No Brand; ;</v>
      </c>
      <c r="F2901" s="6">
        <f>IFERROR(__xludf.DUMMYFUNCTION("""COMPUTED_VALUE"""),2.0)</f>
        <v>2</v>
      </c>
      <c r="G2901" s="6" t="str">
        <f>IFERROR(__xludf.DUMMYFUNCTION("""COMPUTED_VALUE"""),"Pieces")</f>
        <v>Pieces</v>
      </c>
      <c r="H2901" s="6" t="str">
        <f>IFERROR(__xludf.DUMMYFUNCTION("""COMPUTED_VALUE"""),"IDR")</f>
        <v>IDR</v>
      </c>
      <c r="I2901" s="6">
        <f>IFERROR(__xludf.DUMMYFUNCTION("""COMPUTED_VALUE"""),383400.0)</f>
        <v>383400</v>
      </c>
      <c r="J2901" s="6">
        <f>IFERROR(__xludf.DUMMYFUNCTION("""COMPUTED_VALUE"""),766800.0)</f>
        <v>766800</v>
      </c>
      <c r="K2901" s="57">
        <f>IFERROR(__xludf.DUMMYFUNCTION("""COMPUTED_VALUE"""),45325.0)</f>
        <v>45325</v>
      </c>
      <c r="L2901" s="6" t="str">
        <f>IFERROR(__xludf.DUMMYFUNCTION("""COMPUTED_VALUE"""),"FIP Engineering")</f>
        <v>FIP Engineering</v>
      </c>
      <c r="M2901" s="6" t="str">
        <f>IFERROR(__xludf.DUMMYFUNCTION("""COMPUTED_VALUE"""),"Mochammad Fadhillah Hakim,")</f>
        <v>Mochammad Fadhillah Hakim,</v>
      </c>
      <c r="N2901" s="6" t="str">
        <f>IFERROR(__xludf.DUMMYFUNCTION("""COMPUTED_VALUE"""),"FIP Engineering")</f>
        <v>FIP Engineering</v>
      </c>
      <c r="O2901" s="6" t="str">
        <f>IFERROR(__xludf.DUMMYFUNCTION("""COMPUTED_VALUE"""),"FIP-DOM-000-11304-OS00001-INA-000000")</f>
        <v>FIP-DOM-000-11304-OS00001-INA-000000</v>
      </c>
      <c r="P2901" s="6" t="str">
        <f>IFERROR(__xludf.DUMMYFUNCTION("""COMPUTED_VALUE"""),"PO Closed")</f>
        <v>PO Closed</v>
      </c>
      <c r="Q2901" s="6" t="str">
        <f>IFERROR(__xludf.DUMMYFUNCTION("""COMPUTED_VALUE"""),"GL2403012")</f>
        <v>GL2403012</v>
      </c>
      <c r="R2901" s="57">
        <f>IFERROR(__xludf.DUMMYFUNCTION("""COMPUTED_VALUE"""),45321.0)</f>
        <v>45321</v>
      </c>
      <c r="S2901" s="57">
        <f>IFERROR(__xludf.DUMMYFUNCTION("""COMPUTED_VALUE"""),45327.0)</f>
        <v>45327</v>
      </c>
      <c r="T2901" s="57">
        <f>IFERROR(__xludf.DUMMYFUNCTION("""COMPUTED_VALUE"""),45417.0)</f>
        <v>45417</v>
      </c>
    </row>
    <row r="2902">
      <c r="A2902" s="6" t="str">
        <f>IFERROR(__xludf.DUMMYFUNCTION("""COMPUTED_VALUE"""),"121701133-1")</f>
        <v>121701133-1</v>
      </c>
      <c r="B2902" s="6" t="str">
        <f>IFERROR(__xludf.DUMMYFUNCTION("""COMPUTED_VALUE"""),"121701133 - APPROVED")</f>
        <v>121701133 - APPROVED</v>
      </c>
      <c r="C2902" s="6">
        <f>IFERROR(__xludf.DUMMYFUNCTION("""COMPUTED_VALUE"""),1.0)</f>
        <v>1</v>
      </c>
      <c r="D2902" s="6" t="str">
        <f>IFERROR(__xludf.DUMMYFUNCTION("""COMPUTED_VALUE"""),"P-12476-00")</f>
        <v>P-12476-00</v>
      </c>
      <c r="E2902" s="6" t="str">
        <f>IFERROR(__xludf.DUMMYFUNCTION("""COMPUTED_VALUE"""),"Mata Bor besi dia 10 mm ex NACHI")</f>
        <v>Mata Bor besi dia 10 mm ex NACHI</v>
      </c>
      <c r="F2902" s="6">
        <f>IFERROR(__xludf.DUMMYFUNCTION("""COMPUTED_VALUE"""),2.0)</f>
        <v>2</v>
      </c>
      <c r="G2902" s="6" t="str">
        <f>IFERROR(__xludf.DUMMYFUNCTION("""COMPUTED_VALUE"""),"Pieces")</f>
        <v>Pieces</v>
      </c>
      <c r="H2902" s="6" t="str">
        <f>IFERROR(__xludf.DUMMYFUNCTION("""COMPUTED_VALUE"""),"IDR")</f>
        <v>IDR</v>
      </c>
      <c r="I2902" s="6">
        <f>IFERROR(__xludf.DUMMYFUNCTION("""COMPUTED_VALUE"""),95400.0)</f>
        <v>95400</v>
      </c>
      <c r="J2902" s="6">
        <f>IFERROR(__xludf.DUMMYFUNCTION("""COMPUTED_VALUE"""),190800.0)</f>
        <v>190800</v>
      </c>
      <c r="K2902" s="57">
        <f>IFERROR(__xludf.DUMMYFUNCTION("""COMPUTED_VALUE"""),45323.0)</f>
        <v>45323</v>
      </c>
      <c r="L2902" s="6" t="str">
        <f>IFERROR(__xludf.DUMMYFUNCTION("""COMPUTED_VALUE"""),"FIP Engineering")</f>
        <v>FIP Engineering</v>
      </c>
      <c r="M2902" s="6" t="str">
        <f>IFERROR(__xludf.DUMMYFUNCTION("""COMPUTED_VALUE"""),"Mochammad Fadhillah Hakim,")</f>
        <v>Mochammad Fadhillah Hakim,</v>
      </c>
      <c r="N2902" s="6" t="str">
        <f>IFERROR(__xludf.DUMMYFUNCTION("""COMPUTED_VALUE"""),"FIP Engineering")</f>
        <v>FIP Engineering</v>
      </c>
      <c r="O2902" s="6" t="str">
        <f>IFERROR(__xludf.DUMMYFUNCTION("""COMPUTED_VALUE"""),"FIP-DOM-000-11304-OS00001-INA-000000")</f>
        <v>FIP-DOM-000-11304-OS00001-INA-000000</v>
      </c>
      <c r="P2902" s="6" t="str">
        <f>IFERROR(__xludf.DUMMYFUNCTION("""COMPUTED_VALUE"""),"PO Closed")</f>
        <v>PO Closed</v>
      </c>
      <c r="Q2902" s="6" t="str">
        <f>IFERROR(__xludf.DUMMYFUNCTION("""COMPUTED_VALUE"""),"GL2402057")</f>
        <v>GL2402057</v>
      </c>
      <c r="R2902" s="57">
        <f>IFERROR(__xludf.DUMMYFUNCTION("""COMPUTED_VALUE"""),45321.0)</f>
        <v>45321</v>
      </c>
      <c r="S2902" s="57">
        <f>IFERROR(__xludf.DUMMYFUNCTION("""COMPUTED_VALUE"""),45323.0)</f>
        <v>45323</v>
      </c>
      <c r="T2902" s="6"/>
    </row>
    <row r="2903">
      <c r="A2903" s="6" t="str">
        <f>IFERROR(__xludf.DUMMYFUNCTION("""COMPUTED_VALUE"""),"121701133-2")</f>
        <v>121701133-2</v>
      </c>
      <c r="B2903" s="6" t="str">
        <f>IFERROR(__xludf.DUMMYFUNCTION("""COMPUTED_VALUE"""),"121701133 - APPROVED")</f>
        <v>121701133 - APPROVED</v>
      </c>
      <c r="C2903" s="6">
        <f>IFERROR(__xludf.DUMMYFUNCTION("""COMPUTED_VALUE"""),2.0)</f>
        <v>2</v>
      </c>
      <c r="D2903" s="6" t="str">
        <f>IFERROR(__xludf.DUMMYFUNCTION("""COMPUTED_VALUE"""),"P-52709-00")</f>
        <v>P-52709-00</v>
      </c>
      <c r="E2903" s="6" t="str">
        <f>IFERROR(__xludf.DUMMYFUNCTION("""COMPUTED_VALUE"""),"Pressure Transmitter TPS30-G27AR2-00 AUTONICS; ; ;")</f>
        <v>Pressure Transmitter TPS30-G27AR2-00 AUTONICS; ; ;</v>
      </c>
      <c r="F2903" s="6">
        <f>IFERROR(__xludf.DUMMYFUNCTION("""COMPUTED_VALUE"""),1.0)</f>
        <v>1</v>
      </c>
      <c r="G2903" s="6" t="str">
        <f>IFERROR(__xludf.DUMMYFUNCTION("""COMPUTED_VALUE"""),"Pieces")</f>
        <v>Pieces</v>
      </c>
      <c r="H2903" s="6" t="str">
        <f>IFERROR(__xludf.DUMMYFUNCTION("""COMPUTED_VALUE"""),"IDR")</f>
        <v>IDR</v>
      </c>
      <c r="I2903" s="6">
        <f>IFERROR(__xludf.DUMMYFUNCTION("""COMPUTED_VALUE"""),1704800.0)</f>
        <v>1704800</v>
      </c>
      <c r="J2903" s="6">
        <f>IFERROR(__xludf.DUMMYFUNCTION("""COMPUTED_VALUE"""),1704800.0)</f>
        <v>1704800</v>
      </c>
      <c r="K2903" s="57">
        <f>IFERROR(__xludf.DUMMYFUNCTION("""COMPUTED_VALUE"""),45324.0)</f>
        <v>45324</v>
      </c>
      <c r="L2903" s="6" t="str">
        <f>IFERROR(__xludf.DUMMYFUNCTION("""COMPUTED_VALUE"""),"FIP Engineering")</f>
        <v>FIP Engineering</v>
      </c>
      <c r="M2903" s="6" t="str">
        <f>IFERROR(__xludf.DUMMYFUNCTION("""COMPUTED_VALUE"""),"Mochammad Fadhillah Hakim,")</f>
        <v>Mochammad Fadhillah Hakim,</v>
      </c>
      <c r="N2903" s="6" t="str">
        <f>IFERROR(__xludf.DUMMYFUNCTION("""COMPUTED_VALUE"""),"FIP Engineering")</f>
        <v>FIP Engineering</v>
      </c>
      <c r="O2903" s="6" t="str">
        <f>IFERROR(__xludf.DUMMYFUNCTION("""COMPUTED_VALUE"""),"FIP-DOM-000-11304-OS00001-INA-000000")</f>
        <v>FIP-DOM-000-11304-OS00001-INA-000000</v>
      </c>
      <c r="P2903" s="6" t="str">
        <f>IFERROR(__xludf.DUMMYFUNCTION("""COMPUTED_VALUE"""),"PO Closed")</f>
        <v>PO Closed</v>
      </c>
      <c r="Q2903" s="6" t="str">
        <f>IFERROR(__xludf.DUMMYFUNCTION("""COMPUTED_VALUE"""),"GL2403043")</f>
        <v>GL2403043</v>
      </c>
      <c r="R2903" s="57">
        <f>IFERROR(__xludf.DUMMYFUNCTION("""COMPUTED_VALUE"""),45321.0)</f>
        <v>45321</v>
      </c>
      <c r="S2903" s="57">
        <f>IFERROR(__xludf.DUMMYFUNCTION("""COMPUTED_VALUE"""),45323.0)</f>
        <v>45323</v>
      </c>
      <c r="T2903" s="57">
        <f>IFERROR(__xludf.DUMMYFUNCTION("""COMPUTED_VALUE"""),45422.0)</f>
        <v>45422</v>
      </c>
    </row>
    <row r="2904">
      <c r="A2904" s="6" t="str">
        <f>IFERROR(__xludf.DUMMYFUNCTION("""COMPUTED_VALUE"""),"121701133-3")</f>
        <v>121701133-3</v>
      </c>
      <c r="B2904" s="6" t="str">
        <f>IFERROR(__xludf.DUMMYFUNCTION("""COMPUTED_VALUE"""),"121701133 - APPROVED")</f>
        <v>121701133 - APPROVED</v>
      </c>
      <c r="C2904" s="6">
        <f>IFERROR(__xludf.DUMMYFUNCTION("""COMPUTED_VALUE"""),3.0)</f>
        <v>3</v>
      </c>
      <c r="D2904" s="6" t="str">
        <f>IFERROR(__xludf.DUMMYFUNCTION("""COMPUTED_VALUE"""),"P-52662-00")</f>
        <v>P-52662-00</v>
      </c>
      <c r="E2904" s="6" t="str">
        <f>IFERROR(__xludf.DUMMYFUNCTION("""COMPUTED_VALUE"""),"Temperature Controller - TK4S- 14SN 100-240 VAC AUTONICS; ; ;")</f>
        <v>Temperature Controller - TK4S- 14SN 100-240 VAC AUTONICS; ; ;</v>
      </c>
      <c r="F2904" s="6">
        <f>IFERROR(__xludf.DUMMYFUNCTION("""COMPUTED_VALUE"""),4.0)</f>
        <v>4</v>
      </c>
      <c r="G2904" s="6" t="str">
        <f>IFERROR(__xludf.DUMMYFUNCTION("""COMPUTED_VALUE"""),"Pieces")</f>
        <v>Pieces</v>
      </c>
      <c r="H2904" s="6" t="str">
        <f>IFERROR(__xludf.DUMMYFUNCTION("""COMPUTED_VALUE"""),"IDR")</f>
        <v>IDR</v>
      </c>
      <c r="I2904" s="6">
        <f>IFERROR(__xludf.DUMMYFUNCTION("""COMPUTED_VALUE"""),645000.0)</f>
        <v>645000</v>
      </c>
      <c r="J2904" s="6">
        <f>IFERROR(__xludf.DUMMYFUNCTION("""COMPUTED_VALUE"""),2580000.0)</f>
        <v>2580000</v>
      </c>
      <c r="K2904" s="57">
        <f>IFERROR(__xludf.DUMMYFUNCTION("""COMPUTED_VALUE"""),45324.0)</f>
        <v>45324</v>
      </c>
      <c r="L2904" s="6" t="str">
        <f>IFERROR(__xludf.DUMMYFUNCTION("""COMPUTED_VALUE"""),"FIP Engineering")</f>
        <v>FIP Engineering</v>
      </c>
      <c r="M2904" s="6" t="str">
        <f>IFERROR(__xludf.DUMMYFUNCTION("""COMPUTED_VALUE"""),"Mochammad Fadhillah Hakim,")</f>
        <v>Mochammad Fadhillah Hakim,</v>
      </c>
      <c r="N2904" s="6" t="str">
        <f>IFERROR(__xludf.DUMMYFUNCTION("""COMPUTED_VALUE"""),"FIP Engineering")</f>
        <v>FIP Engineering</v>
      </c>
      <c r="O2904" s="6" t="str">
        <f>IFERROR(__xludf.DUMMYFUNCTION("""COMPUTED_VALUE"""),"FIP-DOM-000-11304-OS00001-INA-000000")</f>
        <v>FIP-DOM-000-11304-OS00001-INA-000000</v>
      </c>
      <c r="P2904" s="6" t="str">
        <f>IFERROR(__xludf.DUMMYFUNCTION("""COMPUTED_VALUE"""),"PO Closed")</f>
        <v>PO Closed</v>
      </c>
      <c r="Q2904" s="6" t="str">
        <f>IFERROR(__xludf.DUMMYFUNCTION("""COMPUTED_VALUE"""),"GL2403043")</f>
        <v>GL2403043</v>
      </c>
      <c r="R2904" s="57">
        <f>IFERROR(__xludf.DUMMYFUNCTION("""COMPUTED_VALUE"""),45321.0)</f>
        <v>45321</v>
      </c>
      <c r="S2904" s="57">
        <f>IFERROR(__xludf.DUMMYFUNCTION("""COMPUTED_VALUE"""),45323.0)</f>
        <v>45323</v>
      </c>
      <c r="T2904" s="57">
        <f>IFERROR(__xludf.DUMMYFUNCTION("""COMPUTED_VALUE"""),45422.0)</f>
        <v>45422</v>
      </c>
    </row>
    <row r="2905">
      <c r="A2905" s="6" t="str">
        <f>IFERROR(__xludf.DUMMYFUNCTION("""COMPUTED_VALUE"""),"121701133-4")</f>
        <v>121701133-4</v>
      </c>
      <c r="B2905" s="6" t="str">
        <f>IFERROR(__xludf.DUMMYFUNCTION("""COMPUTED_VALUE"""),"121701133 - APPROVED")</f>
        <v>121701133 - APPROVED</v>
      </c>
      <c r="C2905" s="6">
        <f>IFERROR(__xludf.DUMMYFUNCTION("""COMPUTED_VALUE"""),4.0)</f>
        <v>4</v>
      </c>
      <c r="D2905" s="6" t="str">
        <f>IFERROR(__xludf.DUMMYFUNCTION("""COMPUTED_VALUE"""),"P-17272-00")</f>
        <v>P-17272-00</v>
      </c>
      <c r="E2905" s="6" t="str">
        <f>IFERROR(__xludf.DUMMYFUNCTION("""COMPUTED_VALUE"""),"O-ring Epdm 9 x 4 x 2,5 mm ; Brand : - ; P/N : - ; Pack Size : pcs")</f>
        <v>O-ring Epdm 9 x 4 x 2,5 mm ; Brand : - ; P/N : - ; Pack Size : pcs</v>
      </c>
      <c r="F2905" s="6">
        <f>IFERROR(__xludf.DUMMYFUNCTION("""COMPUTED_VALUE"""),20.0)</f>
        <v>20</v>
      </c>
      <c r="G2905" s="6" t="str">
        <f>IFERROR(__xludf.DUMMYFUNCTION("""COMPUTED_VALUE"""),"Pieces")</f>
        <v>Pieces</v>
      </c>
      <c r="H2905" s="6" t="str">
        <f>IFERROR(__xludf.DUMMYFUNCTION("""COMPUTED_VALUE"""),"IDR")</f>
        <v>IDR</v>
      </c>
      <c r="I2905" s="6">
        <f>IFERROR(__xludf.DUMMYFUNCTION("""COMPUTED_VALUE"""),27500.0)</f>
        <v>27500</v>
      </c>
      <c r="J2905" s="6">
        <f>IFERROR(__xludf.DUMMYFUNCTION("""COMPUTED_VALUE"""),550000.0)</f>
        <v>550000</v>
      </c>
      <c r="K2905" s="57">
        <f>IFERROR(__xludf.DUMMYFUNCTION("""COMPUTED_VALUE"""),45324.0)</f>
        <v>45324</v>
      </c>
      <c r="L2905" s="6" t="str">
        <f>IFERROR(__xludf.DUMMYFUNCTION("""COMPUTED_VALUE"""),"FIP Engineering")</f>
        <v>FIP Engineering</v>
      </c>
      <c r="M2905" s="6" t="str">
        <f>IFERROR(__xludf.DUMMYFUNCTION("""COMPUTED_VALUE"""),"Mochammad Fadhillah Hakim,")</f>
        <v>Mochammad Fadhillah Hakim,</v>
      </c>
      <c r="N2905" s="6" t="str">
        <f>IFERROR(__xludf.DUMMYFUNCTION("""COMPUTED_VALUE"""),"FIP Engineering")</f>
        <v>FIP Engineering</v>
      </c>
      <c r="O2905" s="6" t="str">
        <f>IFERROR(__xludf.DUMMYFUNCTION("""COMPUTED_VALUE"""),"FIP-DOM-000-11304-OS00001-INA-000000")</f>
        <v>FIP-DOM-000-11304-OS00001-INA-000000</v>
      </c>
      <c r="P2905" s="6" t="str">
        <f>IFERROR(__xludf.DUMMYFUNCTION("""COMPUTED_VALUE"""),"PO Closed")</f>
        <v>PO Closed</v>
      </c>
      <c r="Q2905" s="6" t="str">
        <f>IFERROR(__xludf.DUMMYFUNCTION("""COMPUTED_VALUE"""),"GL2403042")</f>
        <v>GL2403042</v>
      </c>
      <c r="R2905" s="57">
        <f>IFERROR(__xludf.DUMMYFUNCTION("""COMPUTED_VALUE"""),45321.0)</f>
        <v>45321</v>
      </c>
      <c r="S2905" s="57">
        <f>IFERROR(__xludf.DUMMYFUNCTION("""COMPUTED_VALUE"""),45323.0)</f>
        <v>45323</v>
      </c>
      <c r="T2905" s="57">
        <f>IFERROR(__xludf.DUMMYFUNCTION("""COMPUTED_VALUE"""),45324.0)</f>
        <v>45324</v>
      </c>
    </row>
    <row r="2906">
      <c r="A2906" s="6" t="str">
        <f>IFERROR(__xludf.DUMMYFUNCTION("""COMPUTED_VALUE"""),"121701133-5")</f>
        <v>121701133-5</v>
      </c>
      <c r="B2906" s="6" t="str">
        <f>IFERROR(__xludf.DUMMYFUNCTION("""COMPUTED_VALUE"""),"121701133 - APPROVED")</f>
        <v>121701133 - APPROVED</v>
      </c>
      <c r="C2906" s="6">
        <f>IFERROR(__xludf.DUMMYFUNCTION("""COMPUTED_VALUE"""),5.0)</f>
        <v>5</v>
      </c>
      <c r="D2906" s="6" t="str">
        <f>IFERROR(__xludf.DUMMYFUNCTION("""COMPUTED_VALUE"""),"P-52833-00")</f>
        <v>P-52833-00</v>
      </c>
      <c r="E2906" s="6" t="str">
        <f>IFERROR(__xludf.DUMMYFUNCTION("""COMPUTED_VALUE"""),"MCB Merek Schneider Type : IC60H 25A 3 Phase; ; ;")</f>
        <v>MCB Merek Schneider Type : IC60H 25A 3 Phase; ; ;</v>
      </c>
      <c r="F2906" s="6">
        <f>IFERROR(__xludf.DUMMYFUNCTION("""COMPUTED_VALUE"""),2.0)</f>
        <v>2</v>
      </c>
      <c r="G2906" s="6" t="str">
        <f>IFERROR(__xludf.DUMMYFUNCTION("""COMPUTED_VALUE"""),"Pieces")</f>
        <v>Pieces</v>
      </c>
      <c r="H2906" s="6" t="str">
        <f>IFERROR(__xludf.DUMMYFUNCTION("""COMPUTED_VALUE"""),"IDR")</f>
        <v>IDR</v>
      </c>
      <c r="I2906" s="6">
        <f>IFERROR(__xludf.DUMMYFUNCTION("""COMPUTED_VALUE"""),596550.0)</f>
        <v>596550</v>
      </c>
      <c r="J2906" s="6">
        <f>IFERROR(__xludf.DUMMYFUNCTION("""COMPUTED_VALUE"""),1193100.0)</f>
        <v>1193100</v>
      </c>
      <c r="K2906" s="57">
        <f>IFERROR(__xludf.DUMMYFUNCTION("""COMPUTED_VALUE"""),45324.0)</f>
        <v>45324</v>
      </c>
      <c r="L2906" s="6" t="str">
        <f>IFERROR(__xludf.DUMMYFUNCTION("""COMPUTED_VALUE"""),"FIP Engineering")</f>
        <v>FIP Engineering</v>
      </c>
      <c r="M2906" s="6" t="str">
        <f>IFERROR(__xludf.DUMMYFUNCTION("""COMPUTED_VALUE"""),"Mochammad Fadhillah Hakim,")</f>
        <v>Mochammad Fadhillah Hakim,</v>
      </c>
      <c r="N2906" s="6" t="str">
        <f>IFERROR(__xludf.DUMMYFUNCTION("""COMPUTED_VALUE"""),"FIP Engineering")</f>
        <v>FIP Engineering</v>
      </c>
      <c r="O2906" s="6" t="str">
        <f>IFERROR(__xludf.DUMMYFUNCTION("""COMPUTED_VALUE"""),"FIP-DOM-000-11304-OS00001-INA-000000")</f>
        <v>FIP-DOM-000-11304-OS00001-INA-000000</v>
      </c>
      <c r="P2906" s="6" t="str">
        <f>IFERROR(__xludf.DUMMYFUNCTION("""COMPUTED_VALUE"""),"PO Closed")</f>
        <v>PO Closed</v>
      </c>
      <c r="Q2906" s="6" t="str">
        <f>IFERROR(__xludf.DUMMYFUNCTION("""COMPUTED_VALUE"""),"GL2403002")</f>
        <v>GL2403002</v>
      </c>
      <c r="R2906" s="57">
        <f>IFERROR(__xludf.DUMMYFUNCTION("""COMPUTED_VALUE"""),45321.0)</f>
        <v>45321</v>
      </c>
      <c r="S2906" s="57">
        <f>IFERROR(__xludf.DUMMYFUNCTION("""COMPUTED_VALUE"""),45323.0)</f>
        <v>45323</v>
      </c>
      <c r="T2906" s="57">
        <f>IFERROR(__xludf.DUMMYFUNCTION("""COMPUTED_VALUE"""),45412.0)</f>
        <v>45412</v>
      </c>
    </row>
    <row r="2907">
      <c r="A2907" s="6" t="str">
        <f>IFERROR(__xludf.DUMMYFUNCTION("""COMPUTED_VALUE"""),"121701133-6")</f>
        <v>121701133-6</v>
      </c>
      <c r="B2907" s="6" t="str">
        <f>IFERROR(__xludf.DUMMYFUNCTION("""COMPUTED_VALUE"""),"121701133 - APPROVED")</f>
        <v>121701133 - APPROVED</v>
      </c>
      <c r="C2907" s="6">
        <f>IFERROR(__xludf.DUMMYFUNCTION("""COMPUTED_VALUE"""),6.0)</f>
        <v>6</v>
      </c>
      <c r="D2907" s="6" t="str">
        <f>IFERROR(__xludf.DUMMYFUNCTION("""COMPUTED_VALUE"""),"Q-70065-00")</f>
        <v>Q-70065-00</v>
      </c>
      <c r="E2907" s="6" t="str">
        <f>IFERROR(__xludf.DUMMYFUNCTION("""COMPUTED_VALUE"""),"Dynabolt Beton M8x60; M8; M8x60;")</f>
        <v>Dynabolt Beton M8x60; M8; M8x60;</v>
      </c>
      <c r="F2907" s="6">
        <f>IFERROR(__xludf.DUMMYFUNCTION("""COMPUTED_VALUE"""),100.0)</f>
        <v>100</v>
      </c>
      <c r="G2907" s="6" t="str">
        <f>IFERROR(__xludf.DUMMYFUNCTION("""COMPUTED_VALUE"""),"Pieces")</f>
        <v>Pieces</v>
      </c>
      <c r="H2907" s="6" t="str">
        <f>IFERROR(__xludf.DUMMYFUNCTION("""COMPUTED_VALUE"""),"IDR")</f>
        <v>IDR</v>
      </c>
      <c r="I2907" s="6">
        <f>IFERROR(__xludf.DUMMYFUNCTION("""COMPUTED_VALUE"""),1850.0)</f>
        <v>1850</v>
      </c>
      <c r="J2907" s="6">
        <f>IFERROR(__xludf.DUMMYFUNCTION("""COMPUTED_VALUE"""),185000.0)</f>
        <v>185000</v>
      </c>
      <c r="K2907" s="57">
        <f>IFERROR(__xludf.DUMMYFUNCTION("""COMPUTED_VALUE"""),45324.0)</f>
        <v>45324</v>
      </c>
      <c r="L2907" s="6" t="str">
        <f>IFERROR(__xludf.DUMMYFUNCTION("""COMPUTED_VALUE"""),"FIP Engineering")</f>
        <v>FIP Engineering</v>
      </c>
      <c r="M2907" s="6" t="str">
        <f>IFERROR(__xludf.DUMMYFUNCTION("""COMPUTED_VALUE"""),"Mochammad Fadhillah Hakim,")</f>
        <v>Mochammad Fadhillah Hakim,</v>
      </c>
      <c r="N2907" s="6" t="str">
        <f>IFERROR(__xludf.DUMMYFUNCTION("""COMPUTED_VALUE"""),"FIP Engineering")</f>
        <v>FIP Engineering</v>
      </c>
      <c r="O2907" s="6" t="str">
        <f>IFERROR(__xludf.DUMMYFUNCTION("""COMPUTED_VALUE"""),"FIP-DOM-000-11304-OS00001-INA-000000")</f>
        <v>FIP-DOM-000-11304-OS00001-INA-000000</v>
      </c>
      <c r="P2907" s="6" t="str">
        <f>IFERROR(__xludf.DUMMYFUNCTION("""COMPUTED_VALUE"""),"PO Closed")</f>
        <v>PO Closed</v>
      </c>
      <c r="Q2907" s="6" t="str">
        <f>IFERROR(__xludf.DUMMYFUNCTION("""COMPUTED_VALUE"""),"GL2403018")</f>
        <v>GL2403018</v>
      </c>
      <c r="R2907" s="57">
        <f>IFERROR(__xludf.DUMMYFUNCTION("""COMPUTED_VALUE"""),45321.0)</f>
        <v>45321</v>
      </c>
      <c r="S2907" s="57">
        <f>IFERROR(__xludf.DUMMYFUNCTION("""COMPUTED_VALUE"""),45323.0)</f>
        <v>45323</v>
      </c>
      <c r="T2907" s="6"/>
    </row>
    <row r="2908">
      <c r="A2908" s="6" t="str">
        <f>IFERROR(__xludf.DUMMYFUNCTION("""COMPUTED_VALUE"""),"121701133-7")</f>
        <v>121701133-7</v>
      </c>
      <c r="B2908" s="6" t="str">
        <f>IFERROR(__xludf.DUMMYFUNCTION("""COMPUTED_VALUE"""),"121701133 - APPROVED")</f>
        <v>121701133 - APPROVED</v>
      </c>
      <c r="C2908" s="6">
        <f>IFERROR(__xludf.DUMMYFUNCTION("""COMPUTED_VALUE"""),7.0)</f>
        <v>7</v>
      </c>
      <c r="D2908" s="6" t="str">
        <f>IFERROR(__xludf.DUMMYFUNCTION("""COMPUTED_VALUE"""),"Q-70068-00")</f>
        <v>Q-70068-00</v>
      </c>
      <c r="E2908" s="6" t="str">
        <f>IFERROR(__xludf.DUMMYFUNCTION("""COMPUTED_VALUE"""),"Dynabolt Beton M10x60; M10; M10x60;")</f>
        <v>Dynabolt Beton M10x60; M10; M10x60;</v>
      </c>
      <c r="F2908" s="6">
        <f>IFERROR(__xludf.DUMMYFUNCTION("""COMPUTED_VALUE"""),50.0)</f>
        <v>50</v>
      </c>
      <c r="G2908" s="6" t="str">
        <f>IFERROR(__xludf.DUMMYFUNCTION("""COMPUTED_VALUE"""),"Pieces")</f>
        <v>Pieces</v>
      </c>
      <c r="H2908" s="6" t="str">
        <f>IFERROR(__xludf.DUMMYFUNCTION("""COMPUTED_VALUE"""),"IDR")</f>
        <v>IDR</v>
      </c>
      <c r="I2908" s="6">
        <f>IFERROR(__xludf.DUMMYFUNCTION("""COMPUTED_VALUE"""),3150.0)</f>
        <v>3150</v>
      </c>
      <c r="J2908" s="6">
        <f>IFERROR(__xludf.DUMMYFUNCTION("""COMPUTED_VALUE"""),157500.0)</f>
        <v>157500</v>
      </c>
      <c r="K2908" s="57">
        <f>IFERROR(__xludf.DUMMYFUNCTION("""COMPUTED_VALUE"""),45324.0)</f>
        <v>45324</v>
      </c>
      <c r="L2908" s="6" t="str">
        <f>IFERROR(__xludf.DUMMYFUNCTION("""COMPUTED_VALUE"""),"FIP Engineering")</f>
        <v>FIP Engineering</v>
      </c>
      <c r="M2908" s="6" t="str">
        <f>IFERROR(__xludf.DUMMYFUNCTION("""COMPUTED_VALUE"""),"Mochammad Fadhillah Hakim,")</f>
        <v>Mochammad Fadhillah Hakim,</v>
      </c>
      <c r="N2908" s="6" t="str">
        <f>IFERROR(__xludf.DUMMYFUNCTION("""COMPUTED_VALUE"""),"FIP Engineering")</f>
        <v>FIP Engineering</v>
      </c>
      <c r="O2908" s="6" t="str">
        <f>IFERROR(__xludf.DUMMYFUNCTION("""COMPUTED_VALUE"""),"FIP-DOM-000-11304-OS00001-INA-000000")</f>
        <v>FIP-DOM-000-11304-OS00001-INA-000000</v>
      </c>
      <c r="P2908" s="6" t="str">
        <f>IFERROR(__xludf.DUMMYFUNCTION("""COMPUTED_VALUE"""),"PO Closed")</f>
        <v>PO Closed</v>
      </c>
      <c r="Q2908" s="6" t="str">
        <f>IFERROR(__xludf.DUMMYFUNCTION("""COMPUTED_VALUE"""),"GL2403018")</f>
        <v>GL2403018</v>
      </c>
      <c r="R2908" s="57">
        <f>IFERROR(__xludf.DUMMYFUNCTION("""COMPUTED_VALUE"""),45321.0)</f>
        <v>45321</v>
      </c>
      <c r="S2908" s="57">
        <f>IFERROR(__xludf.DUMMYFUNCTION("""COMPUTED_VALUE"""),45323.0)</f>
        <v>45323</v>
      </c>
      <c r="T2908" s="6"/>
    </row>
    <row r="2909">
      <c r="A2909" s="6" t="str">
        <f>IFERROR(__xludf.DUMMYFUNCTION("""COMPUTED_VALUE"""),"121701133-8")</f>
        <v>121701133-8</v>
      </c>
      <c r="B2909" s="6" t="str">
        <f>IFERROR(__xludf.DUMMYFUNCTION("""COMPUTED_VALUE"""),"121701133 - APPROVED")</f>
        <v>121701133 - APPROVED</v>
      </c>
      <c r="C2909" s="6">
        <f>IFERROR(__xludf.DUMMYFUNCTION("""COMPUTED_VALUE"""),8.0)</f>
        <v>8</v>
      </c>
      <c r="D2909" s="6" t="str">
        <f>IFERROR(__xludf.DUMMYFUNCTION("""COMPUTED_VALUE"""),"Q-70069-00")</f>
        <v>Q-70069-00</v>
      </c>
      <c r="E2909" s="6" t="str">
        <f>IFERROR(__xludf.DUMMYFUNCTION("""COMPUTED_VALUE"""),"Dynabolt Beton M10x70; M10; M10x70;")</f>
        <v>Dynabolt Beton M10x70; M10; M10x70;</v>
      </c>
      <c r="F2909" s="6">
        <f>IFERROR(__xludf.DUMMYFUNCTION("""COMPUTED_VALUE"""),50.0)</f>
        <v>50</v>
      </c>
      <c r="G2909" s="6" t="str">
        <f>IFERROR(__xludf.DUMMYFUNCTION("""COMPUTED_VALUE"""),"Pieces")</f>
        <v>Pieces</v>
      </c>
      <c r="H2909" s="6" t="str">
        <f>IFERROR(__xludf.DUMMYFUNCTION("""COMPUTED_VALUE"""),"IDR")</f>
        <v>IDR</v>
      </c>
      <c r="I2909" s="6">
        <f>IFERROR(__xludf.DUMMYFUNCTION("""COMPUTED_VALUE"""),3500.0)</f>
        <v>3500</v>
      </c>
      <c r="J2909" s="6">
        <f>IFERROR(__xludf.DUMMYFUNCTION("""COMPUTED_VALUE"""),175000.0)</f>
        <v>175000</v>
      </c>
      <c r="K2909" s="57">
        <f>IFERROR(__xludf.DUMMYFUNCTION("""COMPUTED_VALUE"""),45324.0)</f>
        <v>45324</v>
      </c>
      <c r="L2909" s="6" t="str">
        <f>IFERROR(__xludf.DUMMYFUNCTION("""COMPUTED_VALUE"""),"FIP Engineering")</f>
        <v>FIP Engineering</v>
      </c>
      <c r="M2909" s="6" t="str">
        <f>IFERROR(__xludf.DUMMYFUNCTION("""COMPUTED_VALUE"""),"Mochammad Fadhillah Hakim,")</f>
        <v>Mochammad Fadhillah Hakim,</v>
      </c>
      <c r="N2909" s="6" t="str">
        <f>IFERROR(__xludf.DUMMYFUNCTION("""COMPUTED_VALUE"""),"FIP Engineering")</f>
        <v>FIP Engineering</v>
      </c>
      <c r="O2909" s="6" t="str">
        <f>IFERROR(__xludf.DUMMYFUNCTION("""COMPUTED_VALUE"""),"FIP-DOM-000-11304-OS00001-INA-000000")</f>
        <v>FIP-DOM-000-11304-OS00001-INA-000000</v>
      </c>
      <c r="P2909" s="6" t="str">
        <f>IFERROR(__xludf.DUMMYFUNCTION("""COMPUTED_VALUE"""),"PO Closed")</f>
        <v>PO Closed</v>
      </c>
      <c r="Q2909" s="6" t="str">
        <f>IFERROR(__xludf.DUMMYFUNCTION("""COMPUTED_VALUE"""),"GL2403018")</f>
        <v>GL2403018</v>
      </c>
      <c r="R2909" s="57">
        <f>IFERROR(__xludf.DUMMYFUNCTION("""COMPUTED_VALUE"""),45321.0)</f>
        <v>45321</v>
      </c>
      <c r="S2909" s="57">
        <f>IFERROR(__xludf.DUMMYFUNCTION("""COMPUTED_VALUE"""),45323.0)</f>
        <v>45323</v>
      </c>
      <c r="T2909" s="6"/>
    </row>
    <row r="2910">
      <c r="A2910" s="6" t="str">
        <f>IFERROR(__xludf.DUMMYFUNCTION("""COMPUTED_VALUE"""),"121701133-9")</f>
        <v>121701133-9</v>
      </c>
      <c r="B2910" s="6" t="str">
        <f>IFERROR(__xludf.DUMMYFUNCTION("""COMPUTED_VALUE"""),"121701133 - APPROVED")</f>
        <v>121701133 - APPROVED</v>
      </c>
      <c r="C2910" s="6">
        <f>IFERROR(__xludf.DUMMYFUNCTION("""COMPUTED_VALUE"""),9.0)</f>
        <v>9</v>
      </c>
      <c r="D2910" s="6" t="str">
        <f>IFERROR(__xludf.DUMMYFUNCTION("""COMPUTED_VALUE"""),"Q-70072-00")</f>
        <v>Q-70072-00</v>
      </c>
      <c r="E2910" s="6" t="str">
        <f>IFERROR(__xludf.DUMMYFUNCTION("""COMPUTED_VALUE"""),"Dynabolt Beton M12x70; M12; M12x70;")</f>
        <v>Dynabolt Beton M12x70; M12; M12x70;</v>
      </c>
      <c r="F2910" s="6">
        <f>IFERROR(__xludf.DUMMYFUNCTION("""COMPUTED_VALUE"""),30.0)</f>
        <v>30</v>
      </c>
      <c r="G2910" s="6" t="str">
        <f>IFERROR(__xludf.DUMMYFUNCTION("""COMPUTED_VALUE"""),"Pieces")</f>
        <v>Pieces</v>
      </c>
      <c r="H2910" s="6" t="str">
        <f>IFERROR(__xludf.DUMMYFUNCTION("""COMPUTED_VALUE"""),"IDR")</f>
        <v>IDR</v>
      </c>
      <c r="I2910" s="6">
        <f>IFERROR(__xludf.DUMMYFUNCTION("""COMPUTED_VALUE"""),4500.0)</f>
        <v>4500</v>
      </c>
      <c r="J2910" s="6">
        <f>IFERROR(__xludf.DUMMYFUNCTION("""COMPUTED_VALUE"""),135000.0)</f>
        <v>135000</v>
      </c>
      <c r="K2910" s="57">
        <f>IFERROR(__xludf.DUMMYFUNCTION("""COMPUTED_VALUE"""),45324.0)</f>
        <v>45324</v>
      </c>
      <c r="L2910" s="6" t="str">
        <f>IFERROR(__xludf.DUMMYFUNCTION("""COMPUTED_VALUE"""),"FIP Engineering")</f>
        <v>FIP Engineering</v>
      </c>
      <c r="M2910" s="6" t="str">
        <f>IFERROR(__xludf.DUMMYFUNCTION("""COMPUTED_VALUE"""),"Mochammad Fadhillah Hakim,")</f>
        <v>Mochammad Fadhillah Hakim,</v>
      </c>
      <c r="N2910" s="6" t="str">
        <f>IFERROR(__xludf.DUMMYFUNCTION("""COMPUTED_VALUE"""),"FIP Engineering")</f>
        <v>FIP Engineering</v>
      </c>
      <c r="O2910" s="6" t="str">
        <f>IFERROR(__xludf.DUMMYFUNCTION("""COMPUTED_VALUE"""),"FIP-DOM-000-11304-OS00001-INA-000000")</f>
        <v>FIP-DOM-000-11304-OS00001-INA-000000</v>
      </c>
      <c r="P2910" s="6" t="str">
        <f>IFERROR(__xludf.DUMMYFUNCTION("""COMPUTED_VALUE"""),"PO Closed")</f>
        <v>PO Closed</v>
      </c>
      <c r="Q2910" s="6" t="str">
        <f>IFERROR(__xludf.DUMMYFUNCTION("""COMPUTED_VALUE"""),"GL2403018")</f>
        <v>GL2403018</v>
      </c>
      <c r="R2910" s="57">
        <f>IFERROR(__xludf.DUMMYFUNCTION("""COMPUTED_VALUE"""),45321.0)</f>
        <v>45321</v>
      </c>
      <c r="S2910" s="57">
        <f>IFERROR(__xludf.DUMMYFUNCTION("""COMPUTED_VALUE"""),45323.0)</f>
        <v>45323</v>
      </c>
      <c r="T2910" s="6"/>
    </row>
    <row r="2911">
      <c r="A2911" s="6" t="str">
        <f>IFERROR(__xludf.DUMMYFUNCTION("""COMPUTED_VALUE"""),"121701133-10")</f>
        <v>121701133-10</v>
      </c>
      <c r="B2911" s="6" t="str">
        <f>IFERROR(__xludf.DUMMYFUNCTION("""COMPUTED_VALUE"""),"121701133 - APPROVED")</f>
        <v>121701133 - APPROVED</v>
      </c>
      <c r="C2911" s="6">
        <f>IFERROR(__xludf.DUMMYFUNCTION("""COMPUTED_VALUE"""),10.0)</f>
        <v>10</v>
      </c>
      <c r="D2911" s="6" t="str">
        <f>IFERROR(__xludf.DUMMYFUNCTION("""COMPUTED_VALUE"""),"T-12225-00")</f>
        <v>T-12225-00</v>
      </c>
      <c r="E2911" s="6" t="str">
        <f>IFERROR(__xludf.DUMMYFUNCTION("""COMPUTED_VALUE"""),"SSD 1TB WD Blue SA510 1,5 Inch; SATA; ;")</f>
        <v>SSD 1TB WD Blue SA510 1,5 Inch; SATA; ;</v>
      </c>
      <c r="F2911" s="6">
        <f>IFERROR(__xludf.DUMMYFUNCTION("""COMPUTED_VALUE"""),2.0)</f>
        <v>2</v>
      </c>
      <c r="G2911" s="6" t="str">
        <f>IFERROR(__xludf.DUMMYFUNCTION("""COMPUTED_VALUE"""),"Pieces")</f>
        <v>Pieces</v>
      </c>
      <c r="H2911" s="6" t="str">
        <f>IFERROR(__xludf.DUMMYFUNCTION("""COMPUTED_VALUE"""),"IDR")</f>
        <v>IDR</v>
      </c>
      <c r="I2911" s="6">
        <f>IFERROR(__xludf.DUMMYFUNCTION("""COMPUTED_VALUE"""),1400000.0)</f>
        <v>1400000</v>
      </c>
      <c r="J2911" s="6">
        <f>IFERROR(__xludf.DUMMYFUNCTION("""COMPUTED_VALUE"""),2800000.0)</f>
        <v>2800000</v>
      </c>
      <c r="K2911" s="57">
        <f>IFERROR(__xludf.DUMMYFUNCTION("""COMPUTED_VALUE"""),45324.0)</f>
        <v>45324</v>
      </c>
      <c r="L2911" s="6" t="str">
        <f>IFERROR(__xludf.DUMMYFUNCTION("""COMPUTED_VALUE"""),"FIP General")</f>
        <v>FIP General</v>
      </c>
      <c r="M2911" s="6" t="str">
        <f>IFERROR(__xludf.DUMMYFUNCTION("""COMPUTED_VALUE"""),"Mochammad Fadhillah Hakim,")</f>
        <v>Mochammad Fadhillah Hakim,</v>
      </c>
      <c r="N2911" s="6" t="str">
        <f>IFERROR(__xludf.DUMMYFUNCTION("""COMPUTED_VALUE"""),"FIP Engineering")</f>
        <v>FIP Engineering</v>
      </c>
      <c r="O2911" s="6" t="str">
        <f>IFERROR(__xludf.DUMMYFUNCTION("""COMPUTED_VALUE"""),"FIP-DOM-ENG-51404-0000000-INA-000000")</f>
        <v>FIP-DOM-ENG-51404-0000000-INA-000000</v>
      </c>
      <c r="P2911" s="6" t="str">
        <f>IFERROR(__xludf.DUMMYFUNCTION("""COMPUTED_VALUE"""),"PO Closed")</f>
        <v>PO Closed</v>
      </c>
      <c r="Q2911" s="6" t="str">
        <f>IFERROR(__xludf.DUMMYFUNCTION("""COMPUTED_VALUE"""),"GL2402048")</f>
        <v>GL2402048</v>
      </c>
      <c r="R2911" s="57">
        <f>IFERROR(__xludf.DUMMYFUNCTION("""COMPUTED_VALUE"""),45321.0)</f>
        <v>45321</v>
      </c>
      <c r="S2911" s="57">
        <f>IFERROR(__xludf.DUMMYFUNCTION("""COMPUTED_VALUE"""),45323.0)</f>
        <v>45323</v>
      </c>
      <c r="T2911" s="6"/>
    </row>
    <row r="2912">
      <c r="A2912" s="6" t="str">
        <f>IFERROR(__xludf.DUMMYFUNCTION("""COMPUTED_VALUE"""),"121701136-2")</f>
        <v>121701136-2</v>
      </c>
      <c r="B2912" s="6" t="str">
        <f>IFERROR(__xludf.DUMMYFUNCTION("""COMPUTED_VALUE"""),"121701136 - APPROVED")</f>
        <v>121701136 - APPROVED</v>
      </c>
      <c r="C2912" s="6">
        <f>IFERROR(__xludf.DUMMYFUNCTION("""COMPUTED_VALUE"""),2.0)</f>
        <v>2</v>
      </c>
      <c r="D2912" s="6" t="str">
        <f>IFERROR(__xludf.DUMMYFUNCTION("""COMPUTED_VALUE"""),"O-19039-00")</f>
        <v>O-19039-00</v>
      </c>
      <c r="E2912" s="6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F2912" s="6">
        <f>IFERROR(__xludf.DUMMYFUNCTION("""COMPUTED_VALUE"""),1.0)</f>
        <v>1</v>
      </c>
      <c r="G2912" s="6" t="str">
        <f>IFERROR(__xludf.DUMMYFUNCTION("""COMPUTED_VALUE"""),"Pieces")</f>
        <v>Pieces</v>
      </c>
      <c r="H2912" s="6" t="str">
        <f>IFERROR(__xludf.DUMMYFUNCTION("""COMPUTED_VALUE"""),"IDR")</f>
        <v>IDR</v>
      </c>
      <c r="I2912" s="6">
        <f>IFERROR(__xludf.DUMMYFUNCTION("""COMPUTED_VALUE"""),4500000.0)</f>
        <v>4500000</v>
      </c>
      <c r="J2912" s="6">
        <f>IFERROR(__xludf.DUMMYFUNCTION("""COMPUTED_VALUE"""),4500000.0)</f>
        <v>4500000</v>
      </c>
      <c r="K2912" s="57">
        <f>IFERROR(__xludf.DUMMYFUNCTION("""COMPUTED_VALUE"""),45324.0)</f>
        <v>45324</v>
      </c>
      <c r="L2912" s="6" t="str">
        <f>IFERROR(__xludf.DUMMYFUNCTION("""COMPUTED_VALUE"""),"FIP Engineering")</f>
        <v>FIP Engineering</v>
      </c>
      <c r="M2912" s="6" t="str">
        <f>IFERROR(__xludf.DUMMYFUNCTION("""COMPUTED_VALUE"""),"Mochammad Fadhillah Hakim,")</f>
        <v>Mochammad Fadhillah Hakim,</v>
      </c>
      <c r="N2912" s="6" t="str">
        <f>IFERROR(__xludf.DUMMYFUNCTION("""COMPUTED_VALUE"""),"FIP Engineering")</f>
        <v>FIP Engineering</v>
      </c>
      <c r="O2912" s="6" t="str">
        <f>IFERROR(__xludf.DUMMYFUNCTION("""COMPUTED_VALUE"""),"FIP-DOM-000-11304-OS00001-INA-000000")</f>
        <v>FIP-DOM-000-11304-OS00001-INA-000000</v>
      </c>
      <c r="P2912" s="6" t="str">
        <f>IFERROR(__xludf.DUMMYFUNCTION("""COMPUTED_VALUE"""),"PO Closed")</f>
        <v>PO Closed</v>
      </c>
      <c r="Q2912" s="6" t="str">
        <f>IFERROR(__xludf.DUMMYFUNCTION("""COMPUTED_VALUE"""),"GL2404024")</f>
        <v>GL2404024</v>
      </c>
      <c r="R2912" s="57">
        <f>IFERROR(__xludf.DUMMYFUNCTION("""COMPUTED_VALUE"""),45322.0)</f>
        <v>45322</v>
      </c>
      <c r="S2912" s="57">
        <f>IFERROR(__xludf.DUMMYFUNCTION("""COMPUTED_VALUE"""),45323.0)</f>
        <v>45323</v>
      </c>
      <c r="T2912" s="57">
        <f>IFERROR(__xludf.DUMMYFUNCTION("""COMPUTED_VALUE"""),45506.0)</f>
        <v>45506</v>
      </c>
    </row>
    <row r="2913">
      <c r="A2913" s="6" t="str">
        <f>IFERROR(__xludf.DUMMYFUNCTION("""COMPUTED_VALUE"""),"121701140-1")</f>
        <v>121701140-1</v>
      </c>
      <c r="B2913" s="6" t="str">
        <f>IFERROR(__xludf.DUMMYFUNCTION("""COMPUTED_VALUE"""),"121701140 - APPROVED")</f>
        <v>121701140 - APPROVED</v>
      </c>
      <c r="C2913" s="6">
        <f>IFERROR(__xludf.DUMMYFUNCTION("""COMPUTED_VALUE"""),1.0)</f>
        <v>1</v>
      </c>
      <c r="D2913" s="6" t="str">
        <f>IFERROR(__xludf.DUMMYFUNCTION("""COMPUTED_VALUE"""),"S-60050-00")</f>
        <v>S-60050-00</v>
      </c>
      <c r="E2913" s="6" t="str">
        <f>IFERROR(__xludf.DUMMYFUNCTION("""COMPUTED_VALUE"""),"Jasa Perbaikan dan Pemeliharaan Mesin Produksi; ; ;")</f>
        <v>Jasa Perbaikan dan Pemeliharaan Mesin Produksi; ; ;</v>
      </c>
      <c r="F2913" s="6">
        <f>IFERROR(__xludf.DUMMYFUNCTION("""COMPUTED_VALUE"""),1.0)</f>
        <v>1</v>
      </c>
      <c r="G2913" s="6" t="str">
        <f>IFERROR(__xludf.DUMMYFUNCTION("""COMPUTED_VALUE"""),"Pieces")</f>
        <v>Pieces</v>
      </c>
      <c r="H2913" s="6" t="str">
        <f>IFERROR(__xludf.DUMMYFUNCTION("""COMPUTED_VALUE"""),"IDR")</f>
        <v>IDR</v>
      </c>
      <c r="I2913" s="6">
        <f>IFERROR(__xludf.DUMMYFUNCTION("""COMPUTED_VALUE"""),7050000.0)</f>
        <v>7050000</v>
      </c>
      <c r="J2913" s="6">
        <f>IFERROR(__xludf.DUMMYFUNCTION("""COMPUTED_VALUE"""),7050000.0)</f>
        <v>7050000</v>
      </c>
      <c r="K2913" s="57">
        <f>IFERROR(__xludf.DUMMYFUNCTION("""COMPUTED_VALUE"""),45324.0)</f>
        <v>45324</v>
      </c>
      <c r="L2913" s="6" t="str">
        <f>IFERROR(__xludf.DUMMYFUNCTION("""COMPUTED_VALUE"""),"FIP General")</f>
        <v>FIP General</v>
      </c>
      <c r="M2913" s="6" t="str">
        <f>IFERROR(__xludf.DUMMYFUNCTION("""COMPUTED_VALUE"""),"Mochammad Fadhillah Hakim,")</f>
        <v>Mochammad Fadhillah Hakim,</v>
      </c>
      <c r="N2913" s="6" t="str">
        <f>IFERROR(__xludf.DUMMYFUNCTION("""COMPUTED_VALUE"""),"FIP Engineering")</f>
        <v>FIP Engineering</v>
      </c>
      <c r="O2913" s="6" t="str">
        <f>IFERROR(__xludf.DUMMYFUNCTION("""COMPUTED_VALUE"""),"FIP-DOM-ENG-51504-0000000-INA-000000")</f>
        <v>FIP-DOM-ENG-51504-0000000-INA-000000</v>
      </c>
      <c r="P2913" s="6" t="str">
        <f>IFERROR(__xludf.DUMMYFUNCTION("""COMPUTED_VALUE"""),"PO Closed")</f>
        <v>PO Closed</v>
      </c>
      <c r="Q2913" s="6" t="str">
        <f>IFERROR(__xludf.DUMMYFUNCTION("""COMPUTED_VALUE"""),"GL2402052")</f>
        <v>GL2402052</v>
      </c>
      <c r="R2913" s="57">
        <f>IFERROR(__xludf.DUMMYFUNCTION("""COMPUTED_VALUE"""),45322.0)</f>
        <v>45322</v>
      </c>
      <c r="S2913" s="57">
        <f>IFERROR(__xludf.DUMMYFUNCTION("""COMPUTED_VALUE"""),45323.0)</f>
        <v>45323</v>
      </c>
      <c r="T2913" s="6"/>
    </row>
    <row r="2914">
      <c r="A2914" s="6" t="str">
        <f>IFERROR(__xludf.DUMMYFUNCTION("""COMPUTED_VALUE"""),"121701153-1")</f>
        <v>121701153-1</v>
      </c>
      <c r="B2914" s="6" t="str">
        <f>IFERROR(__xludf.DUMMYFUNCTION("""COMPUTED_VALUE"""),"121701153 - APPROVED")</f>
        <v>121701153 - APPROVED</v>
      </c>
      <c r="C2914" s="6">
        <f>IFERROR(__xludf.DUMMYFUNCTION("""COMPUTED_VALUE"""),1.0)</f>
        <v>1</v>
      </c>
      <c r="D2914" s="6" t="str">
        <f>IFERROR(__xludf.DUMMYFUNCTION("""COMPUTED_VALUE"""),"P-52865-00")</f>
        <v>P-52865-00</v>
      </c>
      <c r="E2914" s="6" t="str">
        <f>IFERROR(__xludf.DUMMYFUNCTION("""COMPUTED_VALUE"""),"Vacuum Pump 2 Stage 8,9 Cfm (252 liter/menit), 220V; Tasco; Type : TA150XL;")</f>
        <v>Vacuum Pump 2 Stage 8,9 Cfm (252 liter/menit), 220V; Tasco; Type : TA150XL;</v>
      </c>
      <c r="F2914" s="6">
        <f>IFERROR(__xludf.DUMMYFUNCTION("""COMPUTED_VALUE"""),1.0)</f>
        <v>1</v>
      </c>
      <c r="G2914" s="6" t="str">
        <f>IFERROR(__xludf.DUMMYFUNCTION("""COMPUTED_VALUE"""),"Unit")</f>
        <v>Unit</v>
      </c>
      <c r="H2914" s="6" t="str">
        <f>IFERROR(__xludf.DUMMYFUNCTION("""COMPUTED_VALUE"""),"IDR")</f>
        <v>IDR</v>
      </c>
      <c r="I2914" s="6">
        <f>IFERROR(__xludf.DUMMYFUNCTION("""COMPUTED_VALUE"""),9715000.0)</f>
        <v>9715000</v>
      </c>
      <c r="J2914" s="6">
        <f>IFERROR(__xludf.DUMMYFUNCTION("""COMPUTED_VALUE"""),9715000.0)</f>
        <v>9715000</v>
      </c>
      <c r="K2914" s="57">
        <f>IFERROR(__xludf.DUMMYFUNCTION("""COMPUTED_VALUE"""),45326.0)</f>
        <v>45326</v>
      </c>
      <c r="L2914" s="6" t="str">
        <f>IFERROR(__xludf.DUMMYFUNCTION("""COMPUTED_VALUE"""),"FIP Engineering")</f>
        <v>FIP Engineering</v>
      </c>
      <c r="M2914" s="6" t="str">
        <f>IFERROR(__xludf.DUMMYFUNCTION("""COMPUTED_VALUE"""),"Mochammad Fadhillah Hakim,")</f>
        <v>Mochammad Fadhillah Hakim,</v>
      </c>
      <c r="N2914" s="6" t="str">
        <f>IFERROR(__xludf.DUMMYFUNCTION("""COMPUTED_VALUE"""),"FIP Engineering")</f>
        <v>FIP Engineering</v>
      </c>
      <c r="O2914" s="6" t="str">
        <f>IFERROR(__xludf.DUMMYFUNCTION("""COMPUTED_VALUE"""),"FIP-DOM-000-11304-OS00001-INA-000000")</f>
        <v>FIP-DOM-000-11304-OS00001-INA-000000</v>
      </c>
      <c r="P2914" s="6" t="str">
        <f>IFERROR(__xludf.DUMMYFUNCTION("""COMPUTED_VALUE"""),"PO Closed")</f>
        <v>PO Closed</v>
      </c>
      <c r="Q2914" s="6" t="str">
        <f>IFERROR(__xludf.DUMMYFUNCTION("""COMPUTED_VALUE"""),"GL2403012")</f>
        <v>GL2403012</v>
      </c>
      <c r="R2914" s="57">
        <f>IFERROR(__xludf.DUMMYFUNCTION("""COMPUTED_VALUE"""),45324.0)</f>
        <v>45324</v>
      </c>
      <c r="S2914" s="57">
        <f>IFERROR(__xludf.DUMMYFUNCTION("""COMPUTED_VALUE"""),45328.0)</f>
        <v>45328</v>
      </c>
      <c r="T2914" s="57">
        <f>IFERROR(__xludf.DUMMYFUNCTION("""COMPUTED_VALUE"""),45417.0)</f>
        <v>45417</v>
      </c>
    </row>
    <row r="2915">
      <c r="A2915" s="6" t="str">
        <f>IFERROR(__xludf.DUMMYFUNCTION("""COMPUTED_VALUE"""),"121701162-1")</f>
        <v>121701162-1</v>
      </c>
      <c r="B2915" s="6" t="str">
        <f>IFERROR(__xludf.DUMMYFUNCTION("""COMPUTED_VALUE"""),"121701162 - APPROVED")</f>
        <v>121701162 - APPROVED</v>
      </c>
      <c r="C2915" s="6">
        <f>IFERROR(__xludf.DUMMYFUNCTION("""COMPUTED_VALUE"""),1.0)</f>
        <v>1</v>
      </c>
      <c r="D2915" s="6" t="str">
        <f>IFERROR(__xludf.DUMMYFUNCTION("""COMPUTED_VALUE"""),"S-60050-00")</f>
        <v>S-60050-00</v>
      </c>
      <c r="E2915" s="6" t="str">
        <f>IFERROR(__xludf.DUMMYFUNCTION("""COMPUTED_VALUE"""),"Jasa Perbaikan dan Pemeliharaan Mesin Produksi; ; ;")</f>
        <v>Jasa Perbaikan dan Pemeliharaan Mesin Produksi; ; ;</v>
      </c>
      <c r="F2915" s="6">
        <f>IFERROR(__xludf.DUMMYFUNCTION("""COMPUTED_VALUE"""),1.0)</f>
        <v>1</v>
      </c>
      <c r="G2915" s="6" t="str">
        <f>IFERROR(__xludf.DUMMYFUNCTION("""COMPUTED_VALUE"""),"Pieces")</f>
        <v>Pieces</v>
      </c>
      <c r="H2915" s="6" t="str">
        <f>IFERROR(__xludf.DUMMYFUNCTION("""COMPUTED_VALUE"""),"IDR")</f>
        <v>IDR</v>
      </c>
      <c r="I2915" s="6">
        <f>IFERROR(__xludf.DUMMYFUNCTION("""COMPUTED_VALUE"""),1.2379E7)</f>
        <v>12379000</v>
      </c>
      <c r="J2915" s="6">
        <f>IFERROR(__xludf.DUMMYFUNCTION("""COMPUTED_VALUE"""),1.2379E7)</f>
        <v>12379000</v>
      </c>
      <c r="K2915" s="57">
        <f>IFERROR(__xludf.DUMMYFUNCTION("""COMPUTED_VALUE"""),45329.0)</f>
        <v>45329</v>
      </c>
      <c r="L2915" s="6" t="str">
        <f>IFERROR(__xludf.DUMMYFUNCTION("""COMPUTED_VALUE"""),"FIP General")</f>
        <v>FIP General</v>
      </c>
      <c r="M2915" s="6" t="str">
        <f>IFERROR(__xludf.DUMMYFUNCTION("""COMPUTED_VALUE"""),"Mochammad Fadhillah Hakim,")</f>
        <v>Mochammad Fadhillah Hakim,</v>
      </c>
      <c r="N2915" s="6" t="str">
        <f>IFERROR(__xludf.DUMMYFUNCTION("""COMPUTED_VALUE"""),"FIP Engineering")</f>
        <v>FIP Engineering</v>
      </c>
      <c r="O2915" s="6" t="str">
        <f>IFERROR(__xludf.DUMMYFUNCTION("""COMPUTED_VALUE"""),"FIP-DOM-ENG-51504-0000000-INA-000000")</f>
        <v>FIP-DOM-ENG-51504-0000000-INA-000000</v>
      </c>
      <c r="P2915" s="6" t="str">
        <f>IFERROR(__xludf.DUMMYFUNCTION("""COMPUTED_VALUE"""),"PO Closed")</f>
        <v>PO Closed</v>
      </c>
      <c r="Q2915" s="6" t="str">
        <f>IFERROR(__xludf.DUMMYFUNCTION("""COMPUTED_VALUE"""),"GL2402046")</f>
        <v>GL2402046</v>
      </c>
      <c r="R2915" s="57">
        <f>IFERROR(__xludf.DUMMYFUNCTION("""COMPUTED_VALUE"""),45327.0)</f>
        <v>45327</v>
      </c>
      <c r="S2915" s="57">
        <f>IFERROR(__xludf.DUMMYFUNCTION("""COMPUTED_VALUE"""),45328.0)</f>
        <v>45328</v>
      </c>
      <c r="T2915" s="57">
        <f>IFERROR(__xludf.DUMMYFUNCTION("""COMPUTED_VALUE"""),45352.0)</f>
        <v>45352</v>
      </c>
    </row>
    <row r="2916">
      <c r="A2916" s="6" t="str">
        <f>IFERROR(__xludf.DUMMYFUNCTION("""COMPUTED_VALUE"""),"121701163-1")</f>
        <v>121701163-1</v>
      </c>
      <c r="B2916" s="6" t="str">
        <f>IFERROR(__xludf.DUMMYFUNCTION("""COMPUTED_VALUE"""),"121701163 - APPROVED")</f>
        <v>121701163 - APPROVED</v>
      </c>
      <c r="C2916" s="6">
        <f>IFERROR(__xludf.DUMMYFUNCTION("""COMPUTED_VALUE"""),1.0)</f>
        <v>1</v>
      </c>
      <c r="D2916" s="6" t="str">
        <f>IFERROR(__xludf.DUMMYFUNCTION("""COMPUTED_VALUE"""),"O-15552-00")</f>
        <v>O-15552-00</v>
      </c>
      <c r="E2916" s="6" t="str">
        <f>IFERROR(__xludf.DUMMYFUNCTION("""COMPUTED_VALUE"""),"ABSOLUTE ENCODER SSI 8192 GRAY RADIAL CONNECTOR; PART NO :202931")</f>
        <v>ABSOLUTE ENCODER SSI 8192 GRAY RADIAL CONNECTOR; PART NO :202931</v>
      </c>
      <c r="F2916" s="6">
        <f>IFERROR(__xludf.DUMMYFUNCTION("""COMPUTED_VALUE"""),1.0)</f>
        <v>1</v>
      </c>
      <c r="G2916" s="6" t="str">
        <f>IFERROR(__xludf.DUMMYFUNCTION("""COMPUTED_VALUE"""),"Unit")</f>
        <v>Unit</v>
      </c>
      <c r="H2916" s="6" t="str">
        <f>IFERROR(__xludf.DUMMYFUNCTION("""COMPUTED_VALUE"""),"IDR")</f>
        <v>IDR</v>
      </c>
      <c r="I2916" s="6">
        <f>IFERROR(__xludf.DUMMYFUNCTION("""COMPUTED_VALUE"""),1.2432656E7)</f>
        <v>12432656</v>
      </c>
      <c r="J2916" s="6">
        <f>IFERROR(__xludf.DUMMYFUNCTION("""COMPUTED_VALUE"""),1.2432656E7)</f>
        <v>12432656</v>
      </c>
      <c r="K2916" s="57">
        <f>IFERROR(__xludf.DUMMYFUNCTION("""COMPUTED_VALUE"""),45329.0)</f>
        <v>45329</v>
      </c>
      <c r="L2916" s="6" t="str">
        <f>IFERROR(__xludf.DUMMYFUNCTION("""COMPUTED_VALUE"""),"FIP Engineering")</f>
        <v>FIP Engineering</v>
      </c>
      <c r="M2916" s="6" t="str">
        <f>IFERROR(__xludf.DUMMYFUNCTION("""COMPUTED_VALUE"""),"Mochammad Fadhillah Hakim,")</f>
        <v>Mochammad Fadhillah Hakim,</v>
      </c>
      <c r="N2916" s="6" t="str">
        <f>IFERROR(__xludf.DUMMYFUNCTION("""COMPUTED_VALUE"""),"FIP Engineering")</f>
        <v>FIP Engineering</v>
      </c>
      <c r="O2916" s="6" t="str">
        <f>IFERROR(__xludf.DUMMYFUNCTION("""COMPUTED_VALUE"""),"FIP-DOM-000-11304-OS00001-INA-000000")</f>
        <v>FIP-DOM-000-11304-OS00001-INA-000000</v>
      </c>
      <c r="P2916" s="6" t="str">
        <f>IFERROR(__xludf.DUMMYFUNCTION("""COMPUTED_VALUE"""),"PO Closed")</f>
        <v>PO Closed</v>
      </c>
      <c r="Q2916" s="6" t="str">
        <f>IFERROR(__xludf.DUMMYFUNCTION("""COMPUTED_VALUE"""),"GL2404061")</f>
        <v>GL2404061</v>
      </c>
      <c r="R2916" s="57">
        <f>IFERROR(__xludf.DUMMYFUNCTION("""COMPUTED_VALUE"""),45327.0)</f>
        <v>45327</v>
      </c>
      <c r="S2916" s="57">
        <f>IFERROR(__xludf.DUMMYFUNCTION("""COMPUTED_VALUE"""),45328.0)</f>
        <v>45328</v>
      </c>
      <c r="T2916" s="57">
        <f>IFERROR(__xludf.DUMMYFUNCTION("""COMPUTED_VALUE"""),45746.0)</f>
        <v>45746</v>
      </c>
    </row>
    <row r="2917">
      <c r="A2917" s="6" t="str">
        <f>IFERROR(__xludf.DUMMYFUNCTION("""COMPUTED_VALUE"""),"121701163-2")</f>
        <v>121701163-2</v>
      </c>
      <c r="B2917" s="6" t="str">
        <f>IFERROR(__xludf.DUMMYFUNCTION("""COMPUTED_VALUE"""),"121701163 - APPROVED")</f>
        <v>121701163 - APPROVED</v>
      </c>
      <c r="C2917" s="6">
        <f>IFERROR(__xludf.DUMMYFUNCTION("""COMPUTED_VALUE"""),2.0)</f>
        <v>2</v>
      </c>
      <c r="D2917" s="6" t="str">
        <f>IFERROR(__xludf.DUMMYFUNCTION("""COMPUTED_VALUE"""),"O-51769-00")</f>
        <v>O-51769-00</v>
      </c>
      <c r="E2917" s="6" t="str">
        <f>IFERROR(__xludf.DUMMYFUNCTION("""COMPUTED_VALUE"""),"WAGO 750-430 8-CHANNEL DIGITAL INPUT MODULE STD PACK; ; ;")</f>
        <v>WAGO 750-430 8-CHANNEL DIGITAL INPUT MODULE STD PACK; ; ;</v>
      </c>
      <c r="F2917" s="6">
        <f>IFERROR(__xludf.DUMMYFUNCTION("""COMPUTED_VALUE"""),1.0)</f>
        <v>1</v>
      </c>
      <c r="G2917" s="6" t="str">
        <f>IFERROR(__xludf.DUMMYFUNCTION("""COMPUTED_VALUE"""),"Unit")</f>
        <v>Unit</v>
      </c>
      <c r="H2917" s="6" t="str">
        <f>IFERROR(__xludf.DUMMYFUNCTION("""COMPUTED_VALUE"""),"IDR")</f>
        <v>IDR</v>
      </c>
      <c r="I2917" s="6">
        <f>IFERROR(__xludf.DUMMYFUNCTION("""COMPUTED_VALUE"""),983990.0)</f>
        <v>983990</v>
      </c>
      <c r="J2917" s="6">
        <f>IFERROR(__xludf.DUMMYFUNCTION("""COMPUTED_VALUE"""),983990.0)</f>
        <v>983990</v>
      </c>
      <c r="K2917" s="57">
        <f>IFERROR(__xludf.DUMMYFUNCTION("""COMPUTED_VALUE"""),45329.0)</f>
        <v>45329</v>
      </c>
      <c r="L2917" s="6" t="str">
        <f>IFERROR(__xludf.DUMMYFUNCTION("""COMPUTED_VALUE"""),"FIP Engineering")</f>
        <v>FIP Engineering</v>
      </c>
      <c r="M2917" s="6" t="str">
        <f>IFERROR(__xludf.DUMMYFUNCTION("""COMPUTED_VALUE"""),"Mochammad Fadhillah Hakim,")</f>
        <v>Mochammad Fadhillah Hakim,</v>
      </c>
      <c r="N2917" s="6" t="str">
        <f>IFERROR(__xludf.DUMMYFUNCTION("""COMPUTED_VALUE"""),"FIP Engineering")</f>
        <v>FIP Engineering</v>
      </c>
      <c r="O2917" s="6" t="str">
        <f>IFERROR(__xludf.DUMMYFUNCTION("""COMPUTED_VALUE"""),"FIP-DOM-000-11304-OS00001-INA-000000")</f>
        <v>FIP-DOM-000-11304-OS00001-INA-000000</v>
      </c>
      <c r="P2917" s="6" t="str">
        <f>IFERROR(__xludf.DUMMYFUNCTION("""COMPUTED_VALUE"""),"PO Closed")</f>
        <v>PO Closed</v>
      </c>
      <c r="Q2917" s="6" t="str">
        <f>IFERROR(__xludf.DUMMYFUNCTION("""COMPUTED_VALUE"""),"GL2404055")</f>
        <v>GL2404055</v>
      </c>
      <c r="R2917" s="57">
        <f>IFERROR(__xludf.DUMMYFUNCTION("""COMPUTED_VALUE"""),45327.0)</f>
        <v>45327</v>
      </c>
      <c r="S2917" s="57">
        <f>IFERROR(__xludf.DUMMYFUNCTION("""COMPUTED_VALUE"""),45328.0)</f>
        <v>45328</v>
      </c>
      <c r="T2917" s="57">
        <f>IFERROR(__xludf.DUMMYFUNCTION("""COMPUTED_VALUE"""),45436.0)</f>
        <v>45436</v>
      </c>
    </row>
    <row r="2918">
      <c r="A2918" s="6" t="str">
        <f>IFERROR(__xludf.DUMMYFUNCTION("""COMPUTED_VALUE"""),"121701163-3")</f>
        <v>121701163-3</v>
      </c>
      <c r="B2918" s="6" t="str">
        <f>IFERROR(__xludf.DUMMYFUNCTION("""COMPUTED_VALUE"""),"121701163 - APPROVED")</f>
        <v>121701163 - APPROVED</v>
      </c>
      <c r="C2918" s="6">
        <f>IFERROR(__xludf.DUMMYFUNCTION("""COMPUTED_VALUE"""),3.0)</f>
        <v>3</v>
      </c>
      <c r="D2918" s="6" t="str">
        <f>IFERROR(__xludf.DUMMYFUNCTION("""COMPUTED_VALUE"""),"O-51773-00")</f>
        <v>O-51773-00</v>
      </c>
      <c r="E2918" s="6" t="str">
        <f>IFERROR(__xludf.DUMMYFUNCTION("""COMPUTED_VALUE"""),"WAGO 750-550 2-CHANNEL ANALOG OUTPUT MODULE STD PACK; ; ;")</f>
        <v>WAGO 750-550 2-CHANNEL ANALOG OUTPUT MODULE STD PACK; ; ;</v>
      </c>
      <c r="F2918" s="6">
        <f>IFERROR(__xludf.DUMMYFUNCTION("""COMPUTED_VALUE"""),2.0)</f>
        <v>2</v>
      </c>
      <c r="G2918" s="6" t="str">
        <f>IFERROR(__xludf.DUMMYFUNCTION("""COMPUTED_VALUE"""),"Unit")</f>
        <v>Unit</v>
      </c>
      <c r="H2918" s="6" t="str">
        <f>IFERROR(__xludf.DUMMYFUNCTION("""COMPUTED_VALUE"""),"IDR")</f>
        <v>IDR</v>
      </c>
      <c r="I2918" s="6">
        <f>IFERROR(__xludf.DUMMYFUNCTION("""COMPUTED_VALUE"""),3558250.0)</f>
        <v>3558250</v>
      </c>
      <c r="J2918" s="6">
        <f>IFERROR(__xludf.DUMMYFUNCTION("""COMPUTED_VALUE"""),7116500.0)</f>
        <v>7116500</v>
      </c>
      <c r="K2918" s="57">
        <f>IFERROR(__xludf.DUMMYFUNCTION("""COMPUTED_VALUE"""),45329.0)</f>
        <v>45329</v>
      </c>
      <c r="L2918" s="6" t="str">
        <f>IFERROR(__xludf.DUMMYFUNCTION("""COMPUTED_VALUE"""),"FIP Engineering")</f>
        <v>FIP Engineering</v>
      </c>
      <c r="M2918" s="6" t="str">
        <f>IFERROR(__xludf.DUMMYFUNCTION("""COMPUTED_VALUE"""),"Mochammad Fadhillah Hakim,")</f>
        <v>Mochammad Fadhillah Hakim,</v>
      </c>
      <c r="N2918" s="6" t="str">
        <f>IFERROR(__xludf.DUMMYFUNCTION("""COMPUTED_VALUE"""),"FIP Engineering")</f>
        <v>FIP Engineering</v>
      </c>
      <c r="O2918" s="6" t="str">
        <f>IFERROR(__xludf.DUMMYFUNCTION("""COMPUTED_VALUE"""),"FIP-DOM-000-11304-OS00001-INA-000000")</f>
        <v>FIP-DOM-000-11304-OS00001-INA-000000</v>
      </c>
      <c r="P2918" s="6" t="str">
        <f>IFERROR(__xludf.DUMMYFUNCTION("""COMPUTED_VALUE"""),"PO Closed")</f>
        <v>PO Closed</v>
      </c>
      <c r="Q2918" s="6" t="str">
        <f>IFERROR(__xludf.DUMMYFUNCTION("""COMPUTED_VALUE"""),"GL2404055")</f>
        <v>GL2404055</v>
      </c>
      <c r="R2918" s="57">
        <f>IFERROR(__xludf.DUMMYFUNCTION("""COMPUTED_VALUE"""),45327.0)</f>
        <v>45327</v>
      </c>
      <c r="S2918" s="57">
        <f>IFERROR(__xludf.DUMMYFUNCTION("""COMPUTED_VALUE"""),45328.0)</f>
        <v>45328</v>
      </c>
      <c r="T2918" s="57">
        <f>IFERROR(__xludf.DUMMYFUNCTION("""COMPUTED_VALUE"""),45436.0)</f>
        <v>45436</v>
      </c>
    </row>
    <row r="2919">
      <c r="A2919" s="6" t="str">
        <f>IFERROR(__xludf.DUMMYFUNCTION("""COMPUTED_VALUE"""),"121701163-4")</f>
        <v>121701163-4</v>
      </c>
      <c r="B2919" s="6" t="str">
        <f>IFERROR(__xludf.DUMMYFUNCTION("""COMPUTED_VALUE"""),"121701163 - APPROVED")</f>
        <v>121701163 - APPROVED</v>
      </c>
      <c r="C2919" s="6">
        <f>IFERROR(__xludf.DUMMYFUNCTION("""COMPUTED_VALUE"""),4.0)</f>
        <v>4</v>
      </c>
      <c r="D2919" s="6" t="str">
        <f>IFERROR(__xludf.DUMMYFUNCTION("""COMPUTED_VALUE"""),"O-52478-00")</f>
        <v>O-52478-00</v>
      </c>
      <c r="E2919" s="6" t="str">
        <f>IFERROR(__xludf.DUMMYFUNCTION("""COMPUTED_VALUE"""),"CRABS Z064CR-Proximity Sensor; Schmersal; BNS260-11ZG-ST-R;")</f>
        <v>CRABS Z064CR-Proximity Sensor; Schmersal; BNS260-11ZG-ST-R;</v>
      </c>
      <c r="F2919" s="6">
        <f>IFERROR(__xludf.DUMMYFUNCTION("""COMPUTED_VALUE"""),1.0)</f>
        <v>1</v>
      </c>
      <c r="G2919" s="6" t="str">
        <f>IFERROR(__xludf.DUMMYFUNCTION("""COMPUTED_VALUE"""),"Pieces")</f>
        <v>Pieces</v>
      </c>
      <c r="H2919" s="6" t="str">
        <f>IFERROR(__xludf.DUMMYFUNCTION("""COMPUTED_VALUE"""),"IDR")</f>
        <v>IDR</v>
      </c>
      <c r="I2919" s="6">
        <f>IFERROR(__xludf.DUMMYFUNCTION("""COMPUTED_VALUE"""),1270000.0)</f>
        <v>1270000</v>
      </c>
      <c r="J2919" s="6">
        <f>IFERROR(__xludf.DUMMYFUNCTION("""COMPUTED_VALUE"""),1270000.0)</f>
        <v>1270000</v>
      </c>
      <c r="K2919" s="57">
        <f>IFERROR(__xludf.DUMMYFUNCTION("""COMPUTED_VALUE"""),45329.0)</f>
        <v>45329</v>
      </c>
      <c r="L2919" s="6" t="str">
        <f>IFERROR(__xludf.DUMMYFUNCTION("""COMPUTED_VALUE"""),"FIP Engineering")</f>
        <v>FIP Engineering</v>
      </c>
      <c r="M2919" s="6" t="str">
        <f>IFERROR(__xludf.DUMMYFUNCTION("""COMPUTED_VALUE"""),"Mochammad Fadhillah Hakim,")</f>
        <v>Mochammad Fadhillah Hakim,</v>
      </c>
      <c r="N2919" s="6" t="str">
        <f>IFERROR(__xludf.DUMMYFUNCTION("""COMPUTED_VALUE"""),"FIP Engineering")</f>
        <v>FIP Engineering</v>
      </c>
      <c r="O2919" s="6" t="str">
        <f>IFERROR(__xludf.DUMMYFUNCTION("""COMPUTED_VALUE"""),"FIP-DOM-000-11304-OS00001-INA-000000")</f>
        <v>FIP-DOM-000-11304-OS00001-INA-000000</v>
      </c>
      <c r="P2919" s="6" t="str">
        <f>IFERROR(__xludf.DUMMYFUNCTION("""COMPUTED_VALUE"""),"PO Closed")</f>
        <v>PO Closed</v>
      </c>
      <c r="Q2919" s="6" t="str">
        <f>IFERROR(__xludf.DUMMYFUNCTION("""COMPUTED_VALUE"""),"GL2404068")</f>
        <v>GL2404068</v>
      </c>
      <c r="R2919" s="57">
        <f>IFERROR(__xludf.DUMMYFUNCTION("""COMPUTED_VALUE"""),45327.0)</f>
        <v>45327</v>
      </c>
      <c r="S2919" s="57">
        <f>IFERROR(__xludf.DUMMYFUNCTION("""COMPUTED_VALUE"""),45328.0)</f>
        <v>45328</v>
      </c>
      <c r="T2919" s="57">
        <f>IFERROR(__xludf.DUMMYFUNCTION("""COMPUTED_VALUE"""),45585.0)</f>
        <v>45585</v>
      </c>
    </row>
    <row r="2920">
      <c r="A2920" s="6" t="str">
        <f>IFERROR(__xludf.DUMMYFUNCTION("""COMPUTED_VALUE"""),"121701163-5")</f>
        <v>121701163-5</v>
      </c>
      <c r="B2920" s="6" t="str">
        <f>IFERROR(__xludf.DUMMYFUNCTION("""COMPUTED_VALUE"""),"121701163 - APPROVED")</f>
        <v>121701163 - APPROVED</v>
      </c>
      <c r="C2920" s="6">
        <f>IFERROR(__xludf.DUMMYFUNCTION("""COMPUTED_VALUE"""),5.0)</f>
        <v>5</v>
      </c>
      <c r="D2920" s="6" t="str">
        <f>IFERROR(__xludf.DUMMYFUNCTION("""COMPUTED_VALUE"""),"O-52314-00")</f>
        <v>O-52314-00</v>
      </c>
      <c r="E2920" s="6" t="str">
        <f>IFERROR(__xludf.DUMMYFUNCTION("""COMPUTED_VALUE"""),"Selenoid Valve VSNC-FC-M52-MD-G14-F8-1B2; Festo; P/n: 577295;")</f>
        <v>Selenoid Valve VSNC-FC-M52-MD-G14-F8-1B2; Festo; P/n: 577295;</v>
      </c>
      <c r="F2920" s="6">
        <f>IFERROR(__xludf.DUMMYFUNCTION("""COMPUTED_VALUE"""),1.0)</f>
        <v>1</v>
      </c>
      <c r="G2920" s="6" t="str">
        <f>IFERROR(__xludf.DUMMYFUNCTION("""COMPUTED_VALUE"""),"Pieces")</f>
        <v>Pieces</v>
      </c>
      <c r="H2920" s="6" t="str">
        <f>IFERROR(__xludf.DUMMYFUNCTION("""COMPUTED_VALUE"""),"IDR")</f>
        <v>IDR</v>
      </c>
      <c r="I2920" s="6">
        <f>IFERROR(__xludf.DUMMYFUNCTION("""COMPUTED_VALUE"""),1097539.0)</f>
        <v>1097539</v>
      </c>
      <c r="J2920" s="6">
        <f>IFERROR(__xludf.DUMMYFUNCTION("""COMPUTED_VALUE"""),1097539.0)</f>
        <v>1097539</v>
      </c>
      <c r="K2920" s="57">
        <f>IFERROR(__xludf.DUMMYFUNCTION("""COMPUTED_VALUE"""),45329.0)</f>
        <v>45329</v>
      </c>
      <c r="L2920" s="6" t="str">
        <f>IFERROR(__xludf.DUMMYFUNCTION("""COMPUTED_VALUE"""),"FIP Engineering")</f>
        <v>FIP Engineering</v>
      </c>
      <c r="M2920" s="6" t="str">
        <f>IFERROR(__xludf.DUMMYFUNCTION("""COMPUTED_VALUE"""),"Mochammad Fadhillah Hakim,")</f>
        <v>Mochammad Fadhillah Hakim,</v>
      </c>
      <c r="N2920" s="6" t="str">
        <f>IFERROR(__xludf.DUMMYFUNCTION("""COMPUTED_VALUE"""),"FIP Engineering")</f>
        <v>FIP Engineering</v>
      </c>
      <c r="O2920" s="6" t="str">
        <f>IFERROR(__xludf.DUMMYFUNCTION("""COMPUTED_VALUE"""),"FIP-DOM-000-11304-OS00001-INA-000000")</f>
        <v>FIP-DOM-000-11304-OS00001-INA-000000</v>
      </c>
      <c r="P2920" s="6" t="str">
        <f>IFERROR(__xludf.DUMMYFUNCTION("""COMPUTED_VALUE"""),"PO Closed")</f>
        <v>PO Closed</v>
      </c>
      <c r="Q2920" s="6" t="str">
        <f>IFERROR(__xludf.DUMMYFUNCTION("""COMPUTED_VALUE"""),"GL2404329")</f>
        <v>GL2404329</v>
      </c>
      <c r="R2920" s="57">
        <f>IFERROR(__xludf.DUMMYFUNCTION("""COMPUTED_VALUE"""),45327.0)</f>
        <v>45327</v>
      </c>
      <c r="S2920" s="57">
        <f>IFERROR(__xludf.DUMMYFUNCTION("""COMPUTED_VALUE"""),45328.0)</f>
        <v>45328</v>
      </c>
      <c r="T2920" s="57">
        <f>IFERROR(__xludf.DUMMYFUNCTION("""COMPUTED_VALUE"""),45419.0)</f>
        <v>45419</v>
      </c>
    </row>
    <row r="2921">
      <c r="A2921" s="6" t="str">
        <f>IFERROR(__xludf.DUMMYFUNCTION("""COMPUTED_VALUE"""),"121701163-6")</f>
        <v>121701163-6</v>
      </c>
      <c r="B2921" s="6" t="str">
        <f>IFERROR(__xludf.DUMMYFUNCTION("""COMPUTED_VALUE"""),"121701163 - APPROVED")</f>
        <v>121701163 - APPROVED</v>
      </c>
      <c r="C2921" s="6">
        <f>IFERROR(__xludf.DUMMYFUNCTION("""COMPUTED_VALUE"""),6.0)</f>
        <v>6</v>
      </c>
      <c r="D2921" s="6" t="str">
        <f>IFERROR(__xludf.DUMMYFUNCTION("""COMPUTED_VALUE"""),"O-14620-00")</f>
        <v>O-14620-00</v>
      </c>
      <c r="E2921" s="6" t="str">
        <f>IFERROR(__xludf.DUMMYFUNCTION("""COMPUTED_VALUE"""),"Microswitch for pneumatic cylinder; ; c/n 7821;")</f>
        <v>Microswitch for pneumatic cylinder; ; c/n 7821;</v>
      </c>
      <c r="F2921" s="6">
        <f>IFERROR(__xludf.DUMMYFUNCTION("""COMPUTED_VALUE"""),1.0)</f>
        <v>1</v>
      </c>
      <c r="G2921" s="6" t="str">
        <f>IFERROR(__xludf.DUMMYFUNCTION("""COMPUTED_VALUE"""),"Unit")</f>
        <v>Unit</v>
      </c>
      <c r="H2921" s="6" t="str">
        <f>IFERROR(__xludf.DUMMYFUNCTION("""COMPUTED_VALUE"""),"IDR")</f>
        <v>IDR</v>
      </c>
      <c r="I2921" s="6">
        <f>IFERROR(__xludf.DUMMYFUNCTION("""COMPUTED_VALUE"""),824739.0)</f>
        <v>824739</v>
      </c>
      <c r="J2921" s="6">
        <f>IFERROR(__xludf.DUMMYFUNCTION("""COMPUTED_VALUE"""),824739.0)</f>
        <v>824739</v>
      </c>
      <c r="K2921" s="57">
        <f>IFERROR(__xludf.DUMMYFUNCTION("""COMPUTED_VALUE"""),45329.0)</f>
        <v>45329</v>
      </c>
      <c r="L2921" s="6" t="str">
        <f>IFERROR(__xludf.DUMMYFUNCTION("""COMPUTED_VALUE"""),"FIP Engineering")</f>
        <v>FIP Engineering</v>
      </c>
      <c r="M2921" s="6" t="str">
        <f>IFERROR(__xludf.DUMMYFUNCTION("""COMPUTED_VALUE"""),"Mochammad Fadhillah Hakim,")</f>
        <v>Mochammad Fadhillah Hakim,</v>
      </c>
      <c r="N2921" s="6" t="str">
        <f>IFERROR(__xludf.DUMMYFUNCTION("""COMPUTED_VALUE"""),"FIP Engineering")</f>
        <v>FIP Engineering</v>
      </c>
      <c r="O2921" s="6" t="str">
        <f>IFERROR(__xludf.DUMMYFUNCTION("""COMPUTED_VALUE"""),"FIP-DOM-000-11304-OS00001-INA-000000")</f>
        <v>FIP-DOM-000-11304-OS00001-INA-000000</v>
      </c>
      <c r="P2921" s="6" t="str">
        <f>IFERROR(__xludf.DUMMYFUNCTION("""COMPUTED_VALUE"""),"PO Closed")</f>
        <v>PO Closed</v>
      </c>
      <c r="Q2921" s="6" t="str">
        <f>IFERROR(__xludf.DUMMYFUNCTION("""COMPUTED_VALUE"""),"GL2404061")</f>
        <v>GL2404061</v>
      </c>
      <c r="R2921" s="57">
        <f>IFERROR(__xludf.DUMMYFUNCTION("""COMPUTED_VALUE"""),45327.0)</f>
        <v>45327</v>
      </c>
      <c r="S2921" s="57">
        <f>IFERROR(__xludf.DUMMYFUNCTION("""COMPUTED_VALUE"""),45328.0)</f>
        <v>45328</v>
      </c>
      <c r="T2921" s="57">
        <f>IFERROR(__xludf.DUMMYFUNCTION("""COMPUTED_VALUE"""),45746.0)</f>
        <v>45746</v>
      </c>
    </row>
    <row r="2922">
      <c r="A2922" s="6" t="str">
        <f>IFERROR(__xludf.DUMMYFUNCTION("""COMPUTED_VALUE"""),"121701166-1")</f>
        <v>121701166-1</v>
      </c>
      <c r="B2922" s="6" t="str">
        <f>IFERROR(__xludf.DUMMYFUNCTION("""COMPUTED_VALUE"""),"121701166 - APPROVED")</f>
        <v>121701166 - APPROVED</v>
      </c>
      <c r="C2922" s="6">
        <f>IFERROR(__xludf.DUMMYFUNCTION("""COMPUTED_VALUE"""),1.0)</f>
        <v>1</v>
      </c>
      <c r="D2922" s="6" t="str">
        <f>IFERROR(__xludf.DUMMYFUNCTION("""COMPUTED_VALUE"""),"O-19590-00")</f>
        <v>O-19590-00</v>
      </c>
      <c r="E2922" s="6" t="str">
        <f>IFERROR(__xludf.DUMMYFUNCTION("""COMPUTED_VALUE"""),"Manifold Gauge, Hose 1.5 mtr; Tasco; ;")</f>
        <v>Manifold Gauge, Hose 1.5 mtr; Tasco; ;</v>
      </c>
      <c r="F2922" s="6">
        <f>IFERROR(__xludf.DUMMYFUNCTION("""COMPUTED_VALUE"""),1.0)</f>
        <v>1</v>
      </c>
      <c r="G2922" s="6" t="str">
        <f>IFERROR(__xludf.DUMMYFUNCTION("""COMPUTED_VALUE"""),"Pieces")</f>
        <v>Pieces</v>
      </c>
      <c r="H2922" s="6" t="str">
        <f>IFERROR(__xludf.DUMMYFUNCTION("""COMPUTED_VALUE"""),"IDR")</f>
        <v>IDR</v>
      </c>
      <c r="I2922" s="6">
        <f>IFERROR(__xludf.DUMMYFUNCTION("""COMPUTED_VALUE"""),2272000.0)</f>
        <v>2272000</v>
      </c>
      <c r="J2922" s="6">
        <f>IFERROR(__xludf.DUMMYFUNCTION("""COMPUTED_VALUE"""),2272000.0)</f>
        <v>2272000</v>
      </c>
      <c r="K2922" s="57">
        <f>IFERROR(__xludf.DUMMYFUNCTION("""COMPUTED_VALUE"""),45329.0)</f>
        <v>45329</v>
      </c>
      <c r="L2922" s="6" t="str">
        <f>IFERROR(__xludf.DUMMYFUNCTION("""COMPUTED_VALUE"""),"FIP Engineering")</f>
        <v>FIP Engineering</v>
      </c>
      <c r="M2922" s="6" t="str">
        <f>IFERROR(__xludf.DUMMYFUNCTION("""COMPUTED_VALUE"""),"Mochammad Fadhillah Hakim,")</f>
        <v>Mochammad Fadhillah Hakim,</v>
      </c>
      <c r="N2922" s="6" t="str">
        <f>IFERROR(__xludf.DUMMYFUNCTION("""COMPUTED_VALUE"""),"FIP Engineering")</f>
        <v>FIP Engineering</v>
      </c>
      <c r="O2922" s="6" t="str">
        <f>IFERROR(__xludf.DUMMYFUNCTION("""COMPUTED_VALUE"""),"FIP-DOM-000-11304-OS00001-INA-000000")</f>
        <v>FIP-DOM-000-11304-OS00001-INA-000000</v>
      </c>
      <c r="P2922" s="6" t="str">
        <f>IFERROR(__xludf.DUMMYFUNCTION("""COMPUTED_VALUE"""),"PO Closed")</f>
        <v>PO Closed</v>
      </c>
      <c r="Q2922" s="6" t="str">
        <f>IFERROR(__xludf.DUMMYFUNCTION("""COMPUTED_VALUE"""),"GL2403055")</f>
        <v>GL2403055</v>
      </c>
      <c r="R2922" s="57">
        <f>IFERROR(__xludf.DUMMYFUNCTION("""COMPUTED_VALUE"""),45327.0)</f>
        <v>45327</v>
      </c>
      <c r="S2922" s="57">
        <f>IFERROR(__xludf.DUMMYFUNCTION("""COMPUTED_VALUE"""),45328.0)</f>
        <v>45328</v>
      </c>
      <c r="T2922" s="57">
        <f>IFERROR(__xludf.DUMMYFUNCTION("""COMPUTED_VALUE"""),45417.0)</f>
        <v>45417</v>
      </c>
    </row>
    <row r="2923">
      <c r="A2923" s="6" t="str">
        <f>IFERROR(__xludf.DUMMYFUNCTION("""COMPUTED_VALUE"""),"121701175-1")</f>
        <v>121701175-1</v>
      </c>
      <c r="B2923" s="6" t="str">
        <f>IFERROR(__xludf.DUMMYFUNCTION("""COMPUTED_VALUE"""),"121701175 - APPROVED")</f>
        <v>121701175 - APPROVED</v>
      </c>
      <c r="C2923" s="6">
        <f>IFERROR(__xludf.DUMMYFUNCTION("""COMPUTED_VALUE"""),1.0)</f>
        <v>1</v>
      </c>
      <c r="D2923" s="6" t="str">
        <f>IFERROR(__xludf.DUMMYFUNCTION("""COMPUTED_VALUE"""),"O-17988-00")</f>
        <v>O-17988-00</v>
      </c>
      <c r="E2923" s="6" t="str">
        <f>IFERROR(__xludf.DUMMYFUNCTION("""COMPUTED_VALUE"""),"Cam Follow (Idle Pin); INA; KR16-X-PP-A; pc")</f>
        <v>Cam Follow (Idle Pin); INA; KR16-X-PP-A; pc</v>
      </c>
      <c r="F2923" s="6">
        <f>IFERROR(__xludf.DUMMYFUNCTION("""COMPUTED_VALUE"""),10.0)</f>
        <v>10</v>
      </c>
      <c r="G2923" s="6" t="str">
        <f>IFERROR(__xludf.DUMMYFUNCTION("""COMPUTED_VALUE"""),"Pieces")</f>
        <v>Pieces</v>
      </c>
      <c r="H2923" s="6" t="str">
        <f>IFERROR(__xludf.DUMMYFUNCTION("""COMPUTED_VALUE"""),"IDR")</f>
        <v>IDR</v>
      </c>
      <c r="I2923" s="6">
        <f>IFERROR(__xludf.DUMMYFUNCTION("""COMPUTED_VALUE"""),332500.0)</f>
        <v>332500</v>
      </c>
      <c r="J2923" s="6">
        <f>IFERROR(__xludf.DUMMYFUNCTION("""COMPUTED_VALUE"""),3325000.0)</f>
        <v>3325000</v>
      </c>
      <c r="K2923" s="57">
        <f>IFERROR(__xludf.DUMMYFUNCTION("""COMPUTED_VALUE"""),45331.0)</f>
        <v>45331</v>
      </c>
      <c r="L2923" s="6" t="str">
        <f>IFERROR(__xludf.DUMMYFUNCTION("""COMPUTED_VALUE"""),"FIP Engineering")</f>
        <v>FIP Engineering</v>
      </c>
      <c r="M2923" s="6" t="str">
        <f>IFERROR(__xludf.DUMMYFUNCTION("""COMPUTED_VALUE"""),"Mochammad Fadhillah Hakim,")</f>
        <v>Mochammad Fadhillah Hakim,</v>
      </c>
      <c r="N2923" s="6" t="str">
        <f>IFERROR(__xludf.DUMMYFUNCTION("""COMPUTED_VALUE"""),"FIP Engineering")</f>
        <v>FIP Engineering</v>
      </c>
      <c r="O2923" s="6" t="str">
        <f>IFERROR(__xludf.DUMMYFUNCTION("""COMPUTED_VALUE"""),"FIP-DOM-000-11304-OS00001-INA-000000")</f>
        <v>FIP-DOM-000-11304-OS00001-INA-000000</v>
      </c>
      <c r="P2923" s="6" t="str">
        <f>IFERROR(__xludf.DUMMYFUNCTION("""COMPUTED_VALUE"""),"PO Closed")</f>
        <v>PO Closed</v>
      </c>
      <c r="Q2923" s="6" t="str">
        <f>IFERROR(__xludf.DUMMYFUNCTION("""COMPUTED_VALUE"""),"GL2404025")</f>
        <v>GL2404025</v>
      </c>
      <c r="R2923" s="57">
        <f>IFERROR(__xludf.DUMMYFUNCTION("""COMPUTED_VALUE"""),45329.0)</f>
        <v>45329</v>
      </c>
      <c r="S2923" s="57">
        <f>IFERROR(__xludf.DUMMYFUNCTION("""COMPUTED_VALUE"""),45329.0)</f>
        <v>45329</v>
      </c>
      <c r="T2923" s="57">
        <f>IFERROR(__xludf.DUMMYFUNCTION("""COMPUTED_VALUE"""),45421.0)</f>
        <v>45421</v>
      </c>
    </row>
    <row r="2924">
      <c r="A2924" s="6" t="str">
        <f>IFERROR(__xludf.DUMMYFUNCTION("""COMPUTED_VALUE"""),"121701175-2")</f>
        <v>121701175-2</v>
      </c>
      <c r="B2924" s="6" t="str">
        <f>IFERROR(__xludf.DUMMYFUNCTION("""COMPUTED_VALUE"""),"121701175 - APPROVED")</f>
        <v>121701175 - APPROVED</v>
      </c>
      <c r="C2924" s="6">
        <f>IFERROR(__xludf.DUMMYFUNCTION("""COMPUTED_VALUE"""),2.0)</f>
        <v>2</v>
      </c>
      <c r="D2924" s="6" t="str">
        <f>IFERROR(__xludf.DUMMYFUNCTION("""COMPUTED_VALUE"""),"Q-10433-00")</f>
        <v>Q-10433-00</v>
      </c>
      <c r="E2924" s="6" t="str">
        <f>IFERROR(__xludf.DUMMYFUNCTION("""COMPUTED_VALUE"""),"Lampu Neon Philips TLD 15W/54-765 Cool Daylight; PHILIPS; TLD15W/54-765;")</f>
        <v>Lampu Neon Philips TLD 15W/54-765 Cool Daylight; PHILIPS; TLD15W/54-765;</v>
      </c>
      <c r="F2924" s="6">
        <f>IFERROR(__xludf.DUMMYFUNCTION("""COMPUTED_VALUE"""),10.0)</f>
        <v>10</v>
      </c>
      <c r="G2924" s="6" t="str">
        <f>IFERROR(__xludf.DUMMYFUNCTION("""COMPUTED_VALUE"""),"Pieces")</f>
        <v>Pieces</v>
      </c>
      <c r="H2924" s="6" t="str">
        <f>IFERROR(__xludf.DUMMYFUNCTION("""COMPUTED_VALUE"""),"IDR")</f>
        <v>IDR</v>
      </c>
      <c r="I2924" s="6">
        <f>IFERROR(__xludf.DUMMYFUNCTION("""COMPUTED_VALUE"""),36500.0)</f>
        <v>36500</v>
      </c>
      <c r="J2924" s="6">
        <f>IFERROR(__xludf.DUMMYFUNCTION("""COMPUTED_VALUE"""),365000.0)</f>
        <v>365000</v>
      </c>
      <c r="K2924" s="57">
        <f>IFERROR(__xludf.DUMMYFUNCTION("""COMPUTED_VALUE"""),45331.0)</f>
        <v>45331</v>
      </c>
      <c r="L2924" s="6" t="str">
        <f>IFERROR(__xludf.DUMMYFUNCTION("""COMPUTED_VALUE"""),"FIP Engineering")</f>
        <v>FIP Engineering</v>
      </c>
      <c r="M2924" s="6" t="str">
        <f>IFERROR(__xludf.DUMMYFUNCTION("""COMPUTED_VALUE"""),"Mochammad Fadhillah Hakim,")</f>
        <v>Mochammad Fadhillah Hakim,</v>
      </c>
      <c r="N2924" s="6" t="str">
        <f>IFERROR(__xludf.DUMMYFUNCTION("""COMPUTED_VALUE"""),"FIP Engineering")</f>
        <v>FIP Engineering</v>
      </c>
      <c r="O2924" s="6" t="str">
        <f>IFERROR(__xludf.DUMMYFUNCTION("""COMPUTED_VALUE"""),"FIP-DOM-000-11304-OS00001-INA-000000")</f>
        <v>FIP-DOM-000-11304-OS00001-INA-000000</v>
      </c>
      <c r="P2924" s="6" t="str">
        <f>IFERROR(__xludf.DUMMYFUNCTION("""COMPUTED_VALUE"""),"PO Closed")</f>
        <v>PO Closed</v>
      </c>
      <c r="Q2924" s="6" t="str">
        <f>IFERROR(__xludf.DUMMYFUNCTION("""COMPUTED_VALUE"""),"GL2403018")</f>
        <v>GL2403018</v>
      </c>
      <c r="R2924" s="57">
        <f>IFERROR(__xludf.DUMMYFUNCTION("""COMPUTED_VALUE"""),45329.0)</f>
        <v>45329</v>
      </c>
      <c r="S2924" s="57">
        <f>IFERROR(__xludf.DUMMYFUNCTION("""COMPUTED_VALUE"""),45329.0)</f>
        <v>45329</v>
      </c>
      <c r="T2924" s="6"/>
    </row>
    <row r="2925">
      <c r="A2925" s="6" t="str">
        <f>IFERROR(__xludf.DUMMYFUNCTION("""COMPUTED_VALUE"""),"121701175-3")</f>
        <v>121701175-3</v>
      </c>
      <c r="B2925" s="6" t="str">
        <f>IFERROR(__xludf.DUMMYFUNCTION("""COMPUTED_VALUE"""),"121701175 - APPROVED")</f>
        <v>121701175 - APPROVED</v>
      </c>
      <c r="C2925" s="6">
        <f>IFERROR(__xludf.DUMMYFUNCTION("""COMPUTED_VALUE"""),3.0)</f>
        <v>3</v>
      </c>
      <c r="D2925" s="6" t="str">
        <f>IFERROR(__xludf.DUMMYFUNCTION("""COMPUTED_VALUE"""),"Q-10434-00")</f>
        <v>Q-10434-00</v>
      </c>
      <c r="E2925" s="6" t="str">
        <f>IFERROR(__xludf.DUMMYFUNCTION("""COMPUTED_VALUE"""),"Lampu Tornado Philips 27 W Cool Daylight; PHILIPS; 27WATTS;")</f>
        <v>Lampu Tornado Philips 27 W Cool Daylight; PHILIPS; 27WATTS;</v>
      </c>
      <c r="F2925" s="6">
        <f>IFERROR(__xludf.DUMMYFUNCTION("""COMPUTED_VALUE"""),10.0)</f>
        <v>10</v>
      </c>
      <c r="G2925" s="6" t="str">
        <f>IFERROR(__xludf.DUMMYFUNCTION("""COMPUTED_VALUE"""),"Pieces")</f>
        <v>Pieces</v>
      </c>
      <c r="H2925" s="6" t="str">
        <f>IFERROR(__xludf.DUMMYFUNCTION("""COMPUTED_VALUE"""),"IDR")</f>
        <v>IDR</v>
      </c>
      <c r="I2925" s="6">
        <f>IFERROR(__xludf.DUMMYFUNCTION("""COMPUTED_VALUE"""),76500.0)</f>
        <v>76500</v>
      </c>
      <c r="J2925" s="6">
        <f>IFERROR(__xludf.DUMMYFUNCTION("""COMPUTED_VALUE"""),765000.0)</f>
        <v>765000</v>
      </c>
      <c r="K2925" s="57">
        <f>IFERROR(__xludf.DUMMYFUNCTION("""COMPUTED_VALUE"""),45331.0)</f>
        <v>45331</v>
      </c>
      <c r="L2925" s="6" t="str">
        <f>IFERROR(__xludf.DUMMYFUNCTION("""COMPUTED_VALUE"""),"FIP Engineering")</f>
        <v>FIP Engineering</v>
      </c>
      <c r="M2925" s="6" t="str">
        <f>IFERROR(__xludf.DUMMYFUNCTION("""COMPUTED_VALUE"""),"Mochammad Fadhillah Hakim,")</f>
        <v>Mochammad Fadhillah Hakim,</v>
      </c>
      <c r="N2925" s="6" t="str">
        <f>IFERROR(__xludf.DUMMYFUNCTION("""COMPUTED_VALUE"""),"FIP Engineering")</f>
        <v>FIP Engineering</v>
      </c>
      <c r="O2925" s="6" t="str">
        <f>IFERROR(__xludf.DUMMYFUNCTION("""COMPUTED_VALUE"""),"FIP-DOM-000-11304-OS00001-INA-000000")</f>
        <v>FIP-DOM-000-11304-OS00001-INA-000000</v>
      </c>
      <c r="P2925" s="6" t="str">
        <f>IFERROR(__xludf.DUMMYFUNCTION("""COMPUTED_VALUE"""),"PO Closed")</f>
        <v>PO Closed</v>
      </c>
      <c r="Q2925" s="6" t="str">
        <f>IFERROR(__xludf.DUMMYFUNCTION("""COMPUTED_VALUE"""),"GL2403018")</f>
        <v>GL2403018</v>
      </c>
      <c r="R2925" s="57">
        <f>IFERROR(__xludf.DUMMYFUNCTION("""COMPUTED_VALUE"""),45329.0)</f>
        <v>45329</v>
      </c>
      <c r="S2925" s="57">
        <f>IFERROR(__xludf.DUMMYFUNCTION("""COMPUTED_VALUE"""),45329.0)</f>
        <v>45329</v>
      </c>
      <c r="T2925" s="57">
        <f>IFERROR(__xludf.DUMMYFUNCTION("""COMPUTED_VALUE"""),45376.0)</f>
        <v>45376</v>
      </c>
    </row>
    <row r="2926">
      <c r="A2926" s="6" t="str">
        <f>IFERROR(__xludf.DUMMYFUNCTION("""COMPUTED_VALUE"""),"121701175-4")</f>
        <v>121701175-4</v>
      </c>
      <c r="B2926" s="6" t="str">
        <f>IFERROR(__xludf.DUMMYFUNCTION("""COMPUTED_VALUE"""),"121701175 - APPROVED")</f>
        <v>121701175 - APPROVED</v>
      </c>
      <c r="C2926" s="6">
        <f>IFERROR(__xludf.DUMMYFUNCTION("""COMPUTED_VALUE"""),4.0)</f>
        <v>4</v>
      </c>
      <c r="D2926" s="6" t="str">
        <f>IFERROR(__xludf.DUMMYFUNCTION("""COMPUTED_VALUE"""),"Q-70066-00")</f>
        <v>Q-70066-00</v>
      </c>
      <c r="E2926" s="6" t="str">
        <f>IFERROR(__xludf.DUMMYFUNCTION("""COMPUTED_VALUE"""),"Dynabolt Beton M8x70; M8; M8x70;")</f>
        <v>Dynabolt Beton M8x70; M8; M8x70;</v>
      </c>
      <c r="F2926" s="6">
        <f>IFERROR(__xludf.DUMMYFUNCTION("""COMPUTED_VALUE"""),50.0)</f>
        <v>50</v>
      </c>
      <c r="G2926" s="6" t="str">
        <f>IFERROR(__xludf.DUMMYFUNCTION("""COMPUTED_VALUE"""),"Pieces")</f>
        <v>Pieces</v>
      </c>
      <c r="H2926" s="6" t="str">
        <f>IFERROR(__xludf.DUMMYFUNCTION("""COMPUTED_VALUE"""),"IDR")</f>
        <v>IDR</v>
      </c>
      <c r="I2926" s="6">
        <f>IFERROR(__xludf.DUMMYFUNCTION("""COMPUTED_VALUE"""),2250.0)</f>
        <v>2250</v>
      </c>
      <c r="J2926" s="6">
        <f>IFERROR(__xludf.DUMMYFUNCTION("""COMPUTED_VALUE"""),112500.0)</f>
        <v>112500</v>
      </c>
      <c r="K2926" s="57">
        <f>IFERROR(__xludf.DUMMYFUNCTION("""COMPUTED_VALUE"""),45331.0)</f>
        <v>45331</v>
      </c>
      <c r="L2926" s="6" t="str">
        <f>IFERROR(__xludf.DUMMYFUNCTION("""COMPUTED_VALUE"""),"FIP Engineering")</f>
        <v>FIP Engineering</v>
      </c>
      <c r="M2926" s="6" t="str">
        <f>IFERROR(__xludf.DUMMYFUNCTION("""COMPUTED_VALUE"""),"Mochammad Fadhillah Hakim,")</f>
        <v>Mochammad Fadhillah Hakim,</v>
      </c>
      <c r="N2926" s="6" t="str">
        <f>IFERROR(__xludf.DUMMYFUNCTION("""COMPUTED_VALUE"""),"FIP Engineering")</f>
        <v>FIP Engineering</v>
      </c>
      <c r="O2926" s="6" t="str">
        <f>IFERROR(__xludf.DUMMYFUNCTION("""COMPUTED_VALUE"""),"FIP-DOM-000-11304-OS00001-INA-000000")</f>
        <v>FIP-DOM-000-11304-OS00001-INA-000000</v>
      </c>
      <c r="P2926" s="6" t="str">
        <f>IFERROR(__xludf.DUMMYFUNCTION("""COMPUTED_VALUE"""),"PO Closed")</f>
        <v>PO Closed</v>
      </c>
      <c r="Q2926" s="6" t="str">
        <f>IFERROR(__xludf.DUMMYFUNCTION("""COMPUTED_VALUE"""),"GL2403018")</f>
        <v>GL2403018</v>
      </c>
      <c r="R2926" s="57">
        <f>IFERROR(__xludf.DUMMYFUNCTION("""COMPUTED_VALUE"""),45329.0)</f>
        <v>45329</v>
      </c>
      <c r="S2926" s="57">
        <f>IFERROR(__xludf.DUMMYFUNCTION("""COMPUTED_VALUE"""),45329.0)</f>
        <v>45329</v>
      </c>
      <c r="T2926" s="6"/>
    </row>
    <row r="2927">
      <c r="A2927" s="6" t="str">
        <f>IFERROR(__xludf.DUMMYFUNCTION("""COMPUTED_VALUE"""),"121701175-5")</f>
        <v>121701175-5</v>
      </c>
      <c r="B2927" s="6" t="str">
        <f>IFERROR(__xludf.DUMMYFUNCTION("""COMPUTED_VALUE"""),"121701175 - APPROVED")</f>
        <v>121701175 - APPROVED</v>
      </c>
      <c r="C2927" s="6">
        <f>IFERROR(__xludf.DUMMYFUNCTION("""COMPUTED_VALUE"""),5.0)</f>
        <v>5</v>
      </c>
      <c r="D2927" s="6" t="str">
        <f>IFERROR(__xludf.DUMMYFUNCTION("""COMPUTED_VALUE"""),"P-19031-00")</f>
        <v>P-19031-00</v>
      </c>
      <c r="E2927" s="6" t="str">
        <f>IFERROR(__xludf.DUMMYFUNCTION("""COMPUTED_VALUE"""),"Elbow Ferrule 2 Inch; Custom; ;")</f>
        <v>Elbow Ferrule 2 Inch; Custom; ;</v>
      </c>
      <c r="F2927" s="6">
        <f>IFERROR(__xludf.DUMMYFUNCTION("""COMPUTED_VALUE"""),1.0)</f>
        <v>1</v>
      </c>
      <c r="G2927" s="6" t="str">
        <f>IFERROR(__xludf.DUMMYFUNCTION("""COMPUTED_VALUE"""),"Unit")</f>
        <v>Unit</v>
      </c>
      <c r="H2927" s="6" t="str">
        <f>IFERROR(__xludf.DUMMYFUNCTION("""COMPUTED_VALUE"""),"IDR")</f>
        <v>IDR</v>
      </c>
      <c r="I2927" s="6">
        <f>IFERROR(__xludf.DUMMYFUNCTION("""COMPUTED_VALUE"""),1650000.0)</f>
        <v>1650000</v>
      </c>
      <c r="J2927" s="6">
        <f>IFERROR(__xludf.DUMMYFUNCTION("""COMPUTED_VALUE"""),1650000.0)</f>
        <v>1650000</v>
      </c>
      <c r="K2927" s="57">
        <f>IFERROR(__xludf.DUMMYFUNCTION("""COMPUTED_VALUE"""),45331.0)</f>
        <v>45331</v>
      </c>
      <c r="L2927" s="6" t="str">
        <f>IFERROR(__xludf.DUMMYFUNCTION("""COMPUTED_VALUE"""),"FIP Engineering")</f>
        <v>FIP Engineering</v>
      </c>
      <c r="M2927" s="6" t="str">
        <f>IFERROR(__xludf.DUMMYFUNCTION("""COMPUTED_VALUE"""),"Mochammad Fadhillah Hakim,")</f>
        <v>Mochammad Fadhillah Hakim,</v>
      </c>
      <c r="N2927" s="6" t="str">
        <f>IFERROR(__xludf.DUMMYFUNCTION("""COMPUTED_VALUE"""),"FIP Engineering")</f>
        <v>FIP Engineering</v>
      </c>
      <c r="O2927" s="6" t="str">
        <f>IFERROR(__xludf.DUMMYFUNCTION("""COMPUTED_VALUE"""),"FIP-DOM-000-11304-OS00001-INA-000000")</f>
        <v>FIP-DOM-000-11304-OS00001-INA-000000</v>
      </c>
      <c r="P2927" s="6" t="str">
        <f>IFERROR(__xludf.DUMMYFUNCTION("""COMPUTED_VALUE"""),"PO Closed")</f>
        <v>PO Closed</v>
      </c>
      <c r="Q2927" s="6" t="str">
        <f>IFERROR(__xludf.DUMMYFUNCTION("""COMPUTED_VALUE"""),"GL2404026")</f>
        <v>GL2404026</v>
      </c>
      <c r="R2927" s="57">
        <f>IFERROR(__xludf.DUMMYFUNCTION("""COMPUTED_VALUE"""),45329.0)</f>
        <v>45329</v>
      </c>
      <c r="S2927" s="57">
        <f>IFERROR(__xludf.DUMMYFUNCTION("""COMPUTED_VALUE"""),45329.0)</f>
        <v>45329</v>
      </c>
      <c r="T2927" s="57">
        <f>IFERROR(__xludf.DUMMYFUNCTION("""COMPUTED_VALUE"""),45427.0)</f>
        <v>45427</v>
      </c>
    </row>
    <row r="2928">
      <c r="A2928" s="6" t="str">
        <f>IFERROR(__xludf.DUMMYFUNCTION("""COMPUTED_VALUE"""),"121701175-7")</f>
        <v>121701175-7</v>
      </c>
      <c r="B2928" s="6" t="str">
        <f>IFERROR(__xludf.DUMMYFUNCTION("""COMPUTED_VALUE"""),"121701175 - APPROVED")</f>
        <v>121701175 - APPROVED</v>
      </c>
      <c r="C2928" s="6">
        <f>IFERROR(__xludf.DUMMYFUNCTION("""COMPUTED_VALUE"""),7.0)</f>
        <v>7</v>
      </c>
      <c r="D2928" s="6" t="str">
        <f>IFERROR(__xludf.DUMMYFUNCTION("""COMPUTED_VALUE"""),"O-54167-00")</f>
        <v>O-54167-00</v>
      </c>
      <c r="E2928" s="6" t="str">
        <f>IFERROR(__xludf.DUMMYFUNCTION("""COMPUTED_VALUE"""),"Connector Cable CLD408-5; Autonics; H7950000609;")</f>
        <v>Connector Cable CLD408-5; Autonics; H7950000609;</v>
      </c>
      <c r="F2928" s="6">
        <f>IFERROR(__xludf.DUMMYFUNCTION("""COMPUTED_VALUE"""),3.0)</f>
        <v>3</v>
      </c>
      <c r="G2928" s="6" t="str">
        <f>IFERROR(__xludf.DUMMYFUNCTION("""COMPUTED_VALUE"""),"Pieces")</f>
        <v>Pieces</v>
      </c>
      <c r="H2928" s="6" t="str">
        <f>IFERROR(__xludf.DUMMYFUNCTION("""COMPUTED_VALUE"""),"IDR")</f>
        <v>IDR</v>
      </c>
      <c r="I2928" s="6">
        <f>IFERROR(__xludf.DUMMYFUNCTION("""COMPUTED_VALUE"""),191000.0)</f>
        <v>191000</v>
      </c>
      <c r="J2928" s="6">
        <f>IFERROR(__xludf.DUMMYFUNCTION("""COMPUTED_VALUE"""),573000.0)</f>
        <v>573000</v>
      </c>
      <c r="K2928" s="57">
        <f>IFERROR(__xludf.DUMMYFUNCTION("""COMPUTED_VALUE"""),45331.0)</f>
        <v>45331</v>
      </c>
      <c r="L2928" s="6" t="str">
        <f>IFERROR(__xludf.DUMMYFUNCTION("""COMPUTED_VALUE"""),"FIP Engineering")</f>
        <v>FIP Engineering</v>
      </c>
      <c r="M2928" s="6" t="str">
        <f>IFERROR(__xludf.DUMMYFUNCTION("""COMPUTED_VALUE"""),"Mochammad Fadhillah Hakim,")</f>
        <v>Mochammad Fadhillah Hakim,</v>
      </c>
      <c r="N2928" s="6" t="str">
        <f>IFERROR(__xludf.DUMMYFUNCTION("""COMPUTED_VALUE"""),"FIP Engineering")</f>
        <v>FIP Engineering</v>
      </c>
      <c r="O2928" s="6" t="str">
        <f>IFERROR(__xludf.DUMMYFUNCTION("""COMPUTED_VALUE"""),"FIP-DOM-000-11304-OS00010-INA-000000")</f>
        <v>FIP-DOM-000-11304-OS00010-INA-000000</v>
      </c>
      <c r="P2928" s="6" t="str">
        <f>IFERROR(__xludf.DUMMYFUNCTION("""COMPUTED_VALUE"""),"PO Closed")</f>
        <v>PO Closed</v>
      </c>
      <c r="Q2928" s="6" t="str">
        <f>IFERROR(__xludf.DUMMYFUNCTION("""COMPUTED_VALUE"""),"GL2403043")</f>
        <v>GL2403043</v>
      </c>
      <c r="R2928" s="57">
        <f>IFERROR(__xludf.DUMMYFUNCTION("""COMPUTED_VALUE"""),45329.0)</f>
        <v>45329</v>
      </c>
      <c r="S2928" s="57">
        <f>IFERROR(__xludf.DUMMYFUNCTION("""COMPUTED_VALUE"""),45329.0)</f>
        <v>45329</v>
      </c>
      <c r="T2928" s="57">
        <f>IFERROR(__xludf.DUMMYFUNCTION("""COMPUTED_VALUE"""),45422.0)</f>
        <v>45422</v>
      </c>
    </row>
    <row r="2929">
      <c r="A2929" s="6" t="str">
        <f>IFERROR(__xludf.DUMMYFUNCTION("""COMPUTED_VALUE"""),"121701175-8")</f>
        <v>121701175-8</v>
      </c>
      <c r="B2929" s="6" t="str">
        <f>IFERROR(__xludf.DUMMYFUNCTION("""COMPUTED_VALUE"""),"121701175 - APPROVED")</f>
        <v>121701175 - APPROVED</v>
      </c>
      <c r="C2929" s="6">
        <f>IFERROR(__xludf.DUMMYFUNCTION("""COMPUTED_VALUE"""),8.0)</f>
        <v>8</v>
      </c>
      <c r="D2929" s="6" t="str">
        <f>IFERROR(__xludf.DUMMYFUNCTION("""COMPUTED_VALUE"""),"O-54168-00")</f>
        <v>O-54168-00</v>
      </c>
      <c r="E2929" s="6" t="str">
        <f>IFERROR(__xludf.DUMMYFUNCTION("""COMPUTED_VALUE"""),"Connector Cable CID408-5; Autonics; H7950000607;")</f>
        <v>Connector Cable CID408-5; Autonics; H7950000607;</v>
      </c>
      <c r="F2929" s="6">
        <f>IFERROR(__xludf.DUMMYFUNCTION("""COMPUTED_VALUE"""),3.0)</f>
        <v>3</v>
      </c>
      <c r="G2929" s="6" t="str">
        <f>IFERROR(__xludf.DUMMYFUNCTION("""COMPUTED_VALUE"""),"Pieces")</f>
        <v>Pieces</v>
      </c>
      <c r="H2929" s="6" t="str">
        <f>IFERROR(__xludf.DUMMYFUNCTION("""COMPUTED_VALUE"""),"IDR")</f>
        <v>IDR</v>
      </c>
      <c r="I2929" s="6">
        <f>IFERROR(__xludf.DUMMYFUNCTION("""COMPUTED_VALUE"""),191000.0)</f>
        <v>191000</v>
      </c>
      <c r="J2929" s="6">
        <f>IFERROR(__xludf.DUMMYFUNCTION("""COMPUTED_VALUE"""),573000.0)</f>
        <v>573000</v>
      </c>
      <c r="K2929" s="57">
        <f>IFERROR(__xludf.DUMMYFUNCTION("""COMPUTED_VALUE"""),45331.0)</f>
        <v>45331</v>
      </c>
      <c r="L2929" s="6" t="str">
        <f>IFERROR(__xludf.DUMMYFUNCTION("""COMPUTED_VALUE"""),"FIP Engineering")</f>
        <v>FIP Engineering</v>
      </c>
      <c r="M2929" s="6" t="str">
        <f>IFERROR(__xludf.DUMMYFUNCTION("""COMPUTED_VALUE"""),"Mochammad Fadhillah Hakim,")</f>
        <v>Mochammad Fadhillah Hakim,</v>
      </c>
      <c r="N2929" s="6" t="str">
        <f>IFERROR(__xludf.DUMMYFUNCTION("""COMPUTED_VALUE"""),"FIP Engineering")</f>
        <v>FIP Engineering</v>
      </c>
      <c r="O2929" s="6" t="str">
        <f>IFERROR(__xludf.DUMMYFUNCTION("""COMPUTED_VALUE"""),"FIP-DOM-000-11304-OS00001-INA-000000")</f>
        <v>FIP-DOM-000-11304-OS00001-INA-000000</v>
      </c>
      <c r="P2929" s="6" t="str">
        <f>IFERROR(__xludf.DUMMYFUNCTION("""COMPUTED_VALUE"""),"PO Closed")</f>
        <v>PO Closed</v>
      </c>
      <c r="Q2929" s="6" t="str">
        <f>IFERROR(__xludf.DUMMYFUNCTION("""COMPUTED_VALUE"""),"GL2403043")</f>
        <v>GL2403043</v>
      </c>
      <c r="R2929" s="57">
        <f>IFERROR(__xludf.DUMMYFUNCTION("""COMPUTED_VALUE"""),45329.0)</f>
        <v>45329</v>
      </c>
      <c r="S2929" s="57">
        <f>IFERROR(__xludf.DUMMYFUNCTION("""COMPUTED_VALUE"""),45329.0)</f>
        <v>45329</v>
      </c>
      <c r="T2929" s="57">
        <f>IFERROR(__xludf.DUMMYFUNCTION("""COMPUTED_VALUE"""),45422.0)</f>
        <v>45422</v>
      </c>
    </row>
    <row r="2930">
      <c r="A2930" s="6" t="str">
        <f>IFERROR(__xludf.DUMMYFUNCTION("""COMPUTED_VALUE"""),"121701176-1")</f>
        <v>121701176-1</v>
      </c>
      <c r="B2930" s="6" t="str">
        <f>IFERROR(__xludf.DUMMYFUNCTION("""COMPUTED_VALUE"""),"121701176 - APPROVED")</f>
        <v>121701176 - APPROVED</v>
      </c>
      <c r="C2930" s="6">
        <f>IFERROR(__xludf.DUMMYFUNCTION("""COMPUTED_VALUE"""),1.0)</f>
        <v>1</v>
      </c>
      <c r="D2930" s="6" t="str">
        <f>IFERROR(__xludf.DUMMYFUNCTION("""COMPUTED_VALUE"""),"P-54221-00")</f>
        <v>P-54221-00</v>
      </c>
      <c r="E2930" s="6" t="str">
        <f>IFERROR(__xludf.DUMMYFUNCTION("""COMPUTED_VALUE"""),"Oxygen Sensor PPM - IGS N2 SMC; Nexuz; OC 300-7;")</f>
        <v>Oxygen Sensor PPM - IGS N2 SMC; Nexuz; OC 300-7;</v>
      </c>
      <c r="F2930" s="6">
        <f>IFERROR(__xludf.DUMMYFUNCTION("""COMPUTED_VALUE"""),1.0)</f>
        <v>1</v>
      </c>
      <c r="G2930" s="6" t="str">
        <f>IFERROR(__xludf.DUMMYFUNCTION("""COMPUTED_VALUE"""),"Set")</f>
        <v>Set</v>
      </c>
      <c r="H2930" s="6" t="str">
        <f>IFERROR(__xludf.DUMMYFUNCTION("""COMPUTED_VALUE"""),"IDR")</f>
        <v>IDR</v>
      </c>
      <c r="I2930" s="6">
        <f>IFERROR(__xludf.DUMMYFUNCTION("""COMPUTED_VALUE"""),1.157075E8)</f>
        <v>115707500</v>
      </c>
      <c r="J2930" s="6">
        <f>IFERROR(__xludf.DUMMYFUNCTION("""COMPUTED_VALUE"""),1.157075E8)</f>
        <v>115707500</v>
      </c>
      <c r="K2930" s="57">
        <f>IFERROR(__xludf.DUMMYFUNCTION("""COMPUTED_VALUE"""),45331.0)</f>
        <v>45331</v>
      </c>
      <c r="L2930" s="6" t="str">
        <f>IFERROR(__xludf.DUMMYFUNCTION("""COMPUTED_VALUE"""),"FIP General")</f>
        <v>FIP General</v>
      </c>
      <c r="M2930" s="6" t="str">
        <f>IFERROR(__xludf.DUMMYFUNCTION("""COMPUTED_VALUE"""),"Mochammad Fadhillah Hakim,")</f>
        <v>Mochammad Fadhillah Hakim,</v>
      </c>
      <c r="N2930" s="6" t="str">
        <f>IFERROR(__xludf.DUMMYFUNCTION("""COMPUTED_VALUE"""),"FIP Engineering")</f>
        <v>FIP Engineering</v>
      </c>
      <c r="O2930" s="6" t="str">
        <f>IFERROR(__xludf.DUMMYFUNCTION("""COMPUTED_VALUE"""),"FIP-DOM-ENG-51505-0000000-INA-000000")</f>
        <v>FIP-DOM-ENG-51505-0000000-INA-000000</v>
      </c>
      <c r="P2930" s="6" t="str">
        <f>IFERROR(__xludf.DUMMYFUNCTION("""COMPUTED_VALUE"""),"PO Closed")</f>
        <v>PO Closed</v>
      </c>
      <c r="Q2930" s="6" t="str">
        <f>IFERROR(__xludf.DUMMYFUNCTION("""COMPUTED_VALUE"""),"GL2406055")</f>
        <v>GL2406055</v>
      </c>
      <c r="R2930" s="57">
        <f>IFERROR(__xludf.DUMMYFUNCTION("""COMPUTED_VALUE"""),45329.0)</f>
        <v>45329</v>
      </c>
      <c r="S2930" s="57">
        <f>IFERROR(__xludf.DUMMYFUNCTION("""COMPUTED_VALUE"""),45341.0)</f>
        <v>45341</v>
      </c>
      <c r="T2930" s="57">
        <f>IFERROR(__xludf.DUMMYFUNCTION("""COMPUTED_VALUE"""),45544.0)</f>
        <v>45544</v>
      </c>
    </row>
    <row r="2931">
      <c r="A2931" s="6" t="str">
        <f>IFERROR(__xludf.DUMMYFUNCTION("""COMPUTED_VALUE"""),"121701177-1")</f>
        <v>121701177-1</v>
      </c>
      <c r="B2931" s="6" t="str">
        <f>IFERROR(__xludf.DUMMYFUNCTION("""COMPUTED_VALUE"""),"121701177 - APPROVED")</f>
        <v>121701177 - APPROVED</v>
      </c>
      <c r="C2931" s="6">
        <f>IFERROR(__xludf.DUMMYFUNCTION("""COMPUTED_VALUE"""),1.0)</f>
        <v>1</v>
      </c>
      <c r="D2931" s="6"/>
      <c r="E2931" s="6" t="str">
        <f>IFERROR(__xludf.DUMMYFUNCTION("""COMPUTED_VALUE"""),"GV80 IE3 EU/US/CN 50/60HZ P/N A70216940")</f>
        <v>GV80 IE3 EU/US/CN 50/60HZ P/N A70216940</v>
      </c>
      <c r="F2931" s="6">
        <f>IFERROR(__xludf.DUMMYFUNCTION("""COMPUTED_VALUE"""),1.0)</f>
        <v>1</v>
      </c>
      <c r="G2931" s="6" t="str">
        <f>IFERROR(__xludf.DUMMYFUNCTION("""COMPUTED_VALUE"""),"Unit")</f>
        <v>Unit</v>
      </c>
      <c r="H2931" s="6" t="str">
        <f>IFERROR(__xludf.DUMMYFUNCTION("""COMPUTED_VALUE"""),"IDR")</f>
        <v>IDR</v>
      </c>
      <c r="I2931" s="6">
        <f>IFERROR(__xludf.DUMMYFUNCTION("""COMPUTED_VALUE"""),2.342E8)</f>
        <v>234200000</v>
      </c>
      <c r="J2931" s="6">
        <f>IFERROR(__xludf.DUMMYFUNCTION("""COMPUTED_VALUE"""),2.342E8)</f>
        <v>234200000</v>
      </c>
      <c r="K2931" s="57">
        <f>IFERROR(__xludf.DUMMYFUNCTION("""COMPUTED_VALUE"""),45331.0)</f>
        <v>45331</v>
      </c>
      <c r="L2931" s="6" t="str">
        <f>IFERROR(__xludf.DUMMYFUNCTION("""COMPUTED_VALUE"""),"FIP General")</f>
        <v>FIP General</v>
      </c>
      <c r="M2931" s="6" t="str">
        <f>IFERROR(__xludf.DUMMYFUNCTION("""COMPUTED_VALUE"""),"Mochammad Fadhillah Hakim,")</f>
        <v>Mochammad Fadhillah Hakim,</v>
      </c>
      <c r="N2931" s="6" t="str">
        <f>IFERROR(__xludf.DUMMYFUNCTION("""COMPUTED_VALUE"""),"FIP Engineering")</f>
        <v>FIP Engineering</v>
      </c>
      <c r="O2931" s="6" t="str">
        <f>IFERROR(__xludf.DUMMYFUNCTION("""COMPUTED_VALUE"""),"FIP-DOM-ENG-13404-MC24027-INA-000000")</f>
        <v>FIP-DOM-ENG-13404-MC24027-INA-000000</v>
      </c>
      <c r="P2931" s="6" t="str">
        <f>IFERROR(__xludf.DUMMYFUNCTION("""COMPUTED_VALUE"""),"PO Closed")</f>
        <v>PO Closed</v>
      </c>
      <c r="Q2931" s="6" t="str">
        <f>IFERROR(__xludf.DUMMYFUNCTION("""COMPUTED_VALUE"""),"GL2402068")</f>
        <v>GL2402068</v>
      </c>
      <c r="R2931" s="57">
        <f>IFERROR(__xludf.DUMMYFUNCTION("""COMPUTED_VALUE"""),45329.0)</f>
        <v>45329</v>
      </c>
      <c r="S2931" s="57">
        <f>IFERROR(__xludf.DUMMYFUNCTION("""COMPUTED_VALUE"""),45343.0)</f>
        <v>45343</v>
      </c>
      <c r="T2931" s="57">
        <f>IFERROR(__xludf.DUMMYFUNCTION("""COMPUTED_VALUE"""),45371.0)</f>
        <v>45371</v>
      </c>
    </row>
    <row r="2932">
      <c r="A2932" s="6" t="str">
        <f>IFERROR(__xludf.DUMMYFUNCTION("""COMPUTED_VALUE"""),"121701179-1")</f>
        <v>121701179-1</v>
      </c>
      <c r="B2932" s="6" t="str">
        <f>IFERROR(__xludf.DUMMYFUNCTION("""COMPUTED_VALUE"""),"121701179 - APPROVED")</f>
        <v>121701179 - APPROVED</v>
      </c>
      <c r="C2932" s="6">
        <f>IFERROR(__xludf.DUMMYFUNCTION("""COMPUTED_VALUE"""),1.0)</f>
        <v>1</v>
      </c>
      <c r="D2932" s="6" t="str">
        <f>IFERROR(__xludf.DUMMYFUNCTION("""COMPUTED_VALUE"""),"O-54170-00")</f>
        <v>O-54170-00</v>
      </c>
      <c r="E2932" s="6" t="str">
        <f>IFERROR(__xludf.DUMMYFUNCTION("""COMPUTED_VALUE"""),"Electronic Expansion Valve ESX24B; Parker; ;")</f>
        <v>Electronic Expansion Valve ESX24B; Parker; ;</v>
      </c>
      <c r="F2932" s="6">
        <f>IFERROR(__xludf.DUMMYFUNCTION("""COMPUTED_VALUE"""),5.0)</f>
        <v>5</v>
      </c>
      <c r="G2932" s="6" t="str">
        <f>IFERROR(__xludf.DUMMYFUNCTION("""COMPUTED_VALUE"""),"Pieces")</f>
        <v>Pieces</v>
      </c>
      <c r="H2932" s="6" t="str">
        <f>IFERROR(__xludf.DUMMYFUNCTION("""COMPUTED_VALUE"""),"IDR")</f>
        <v>IDR</v>
      </c>
      <c r="I2932" s="6">
        <f>IFERROR(__xludf.DUMMYFUNCTION("""COMPUTED_VALUE"""),1776000.0)</f>
        <v>1776000</v>
      </c>
      <c r="J2932" s="6">
        <f>IFERROR(__xludf.DUMMYFUNCTION("""COMPUTED_VALUE"""),8880000.0)</f>
        <v>8880000</v>
      </c>
      <c r="K2932" s="57">
        <f>IFERROR(__xludf.DUMMYFUNCTION("""COMPUTED_VALUE"""),45331.0)</f>
        <v>45331</v>
      </c>
      <c r="L2932" s="6" t="str">
        <f>IFERROR(__xludf.DUMMYFUNCTION("""COMPUTED_VALUE"""),"FIP Engineering")</f>
        <v>FIP Engineering</v>
      </c>
      <c r="M2932" s="6" t="str">
        <f>IFERROR(__xludf.DUMMYFUNCTION("""COMPUTED_VALUE"""),"Mochammad Fadhillah Hakim,")</f>
        <v>Mochammad Fadhillah Hakim,</v>
      </c>
      <c r="N2932" s="6" t="str">
        <f>IFERROR(__xludf.DUMMYFUNCTION("""COMPUTED_VALUE"""),"FIP Engineering")</f>
        <v>FIP Engineering</v>
      </c>
      <c r="O2932" s="6" t="str">
        <f>IFERROR(__xludf.DUMMYFUNCTION("""COMPUTED_VALUE"""),"FIP-DOM-000-11304-OS00001-INA-000000")</f>
        <v>FIP-DOM-000-11304-OS00001-INA-000000</v>
      </c>
      <c r="P2932" s="6" t="str">
        <f>IFERROR(__xludf.DUMMYFUNCTION("""COMPUTED_VALUE"""),"PO Closed")</f>
        <v>PO Closed</v>
      </c>
      <c r="Q2932" s="6" t="str">
        <f>IFERROR(__xludf.DUMMYFUNCTION("""COMPUTED_VALUE"""),"GL2401049")</f>
        <v>GL2401049</v>
      </c>
      <c r="R2932" s="57">
        <f>IFERROR(__xludf.DUMMYFUNCTION("""COMPUTED_VALUE"""),45329.0)</f>
        <v>45329</v>
      </c>
      <c r="S2932" s="57">
        <f>IFERROR(__xludf.DUMMYFUNCTION("""COMPUTED_VALUE"""),45329.0)</f>
        <v>45329</v>
      </c>
      <c r="T2932" s="6"/>
    </row>
    <row r="2933">
      <c r="A2933" s="6" t="str">
        <f>IFERROR(__xludf.DUMMYFUNCTION("""COMPUTED_VALUE"""),"121701181-1")</f>
        <v>121701181-1</v>
      </c>
      <c r="B2933" s="6" t="str">
        <f>IFERROR(__xludf.DUMMYFUNCTION("""COMPUTED_VALUE"""),"121701181 - APPROVED")</f>
        <v>121701181 - APPROVED</v>
      </c>
      <c r="C2933" s="6">
        <f>IFERROR(__xludf.DUMMYFUNCTION("""COMPUTED_VALUE"""),1.0)</f>
        <v>1</v>
      </c>
      <c r="D2933" s="6" t="str">
        <f>IFERROR(__xludf.DUMMYFUNCTION("""COMPUTED_VALUE"""),"S-60050-00")</f>
        <v>S-60050-00</v>
      </c>
      <c r="E2933" s="6" t="str">
        <f>IFERROR(__xludf.DUMMYFUNCTION("""COMPUTED_VALUE"""),"Jasa Perbaikan dan Pemeliharaan Mesin Produksi; ; ;")</f>
        <v>Jasa Perbaikan dan Pemeliharaan Mesin Produksi; ; ;</v>
      </c>
      <c r="F2933" s="6">
        <f>IFERROR(__xludf.DUMMYFUNCTION("""COMPUTED_VALUE"""),1.0)</f>
        <v>1</v>
      </c>
      <c r="G2933" s="6" t="str">
        <f>IFERROR(__xludf.DUMMYFUNCTION("""COMPUTED_VALUE"""),"Pieces")</f>
        <v>Pieces</v>
      </c>
      <c r="H2933" s="6" t="str">
        <f>IFERROR(__xludf.DUMMYFUNCTION("""COMPUTED_VALUE"""),"IDR")</f>
        <v>IDR</v>
      </c>
      <c r="I2933" s="6">
        <f>IFERROR(__xludf.DUMMYFUNCTION("""COMPUTED_VALUE"""),1.75E7)</f>
        <v>17500000</v>
      </c>
      <c r="J2933" s="6">
        <f>IFERROR(__xludf.DUMMYFUNCTION("""COMPUTED_VALUE"""),1.75E7)</f>
        <v>17500000</v>
      </c>
      <c r="K2933" s="57">
        <f>IFERROR(__xludf.DUMMYFUNCTION("""COMPUTED_VALUE"""),45333.0)</f>
        <v>45333</v>
      </c>
      <c r="L2933" s="6" t="str">
        <f>IFERROR(__xludf.DUMMYFUNCTION("""COMPUTED_VALUE"""),"FIP General")</f>
        <v>FIP General</v>
      </c>
      <c r="M2933" s="6" t="str">
        <f>IFERROR(__xludf.DUMMYFUNCTION("""COMPUTED_VALUE"""),"Mochammad Fadhillah Hakim,")</f>
        <v>Mochammad Fadhillah Hakim,</v>
      </c>
      <c r="N2933" s="6" t="str">
        <f>IFERROR(__xludf.DUMMYFUNCTION("""COMPUTED_VALUE"""),"FIP Engineering")</f>
        <v>FIP Engineering</v>
      </c>
      <c r="O2933" s="6" t="str">
        <f>IFERROR(__xludf.DUMMYFUNCTION("""COMPUTED_VALUE"""),"FIP-DOM-ENG-51504-0000000-INA-000000")</f>
        <v>FIP-DOM-ENG-51504-0000000-INA-000000</v>
      </c>
      <c r="P2933" s="6" t="str">
        <f>IFERROR(__xludf.DUMMYFUNCTION("""COMPUTED_VALUE"""),"PO Closed")</f>
        <v>PO Closed</v>
      </c>
      <c r="Q2933" s="6" t="str">
        <f>IFERROR(__xludf.DUMMYFUNCTION("""COMPUTED_VALUE"""),"GL2402006")</f>
        <v>GL2402006</v>
      </c>
      <c r="R2933" s="57">
        <f>IFERROR(__xludf.DUMMYFUNCTION("""COMPUTED_VALUE"""),45331.0)</f>
        <v>45331</v>
      </c>
      <c r="S2933" s="57">
        <f>IFERROR(__xludf.DUMMYFUNCTION("""COMPUTED_VALUE"""),45331.0)</f>
        <v>45331</v>
      </c>
      <c r="T2933" s="57">
        <f>IFERROR(__xludf.DUMMYFUNCTION("""COMPUTED_VALUE"""),45350.0)</f>
        <v>45350</v>
      </c>
    </row>
    <row r="2934">
      <c r="A2934" s="6" t="str">
        <f>IFERROR(__xludf.DUMMYFUNCTION("""COMPUTED_VALUE"""),"121701183-1")</f>
        <v>121701183-1</v>
      </c>
      <c r="B2934" s="6" t="str">
        <f>IFERROR(__xludf.DUMMYFUNCTION("""COMPUTED_VALUE"""),"121701183 - APPROVED")</f>
        <v>121701183 - APPROVED</v>
      </c>
      <c r="C2934" s="6">
        <f>IFERROR(__xludf.DUMMYFUNCTION("""COMPUTED_VALUE"""),1.0)</f>
        <v>1</v>
      </c>
      <c r="D2934" s="6"/>
      <c r="E2934" s="6" t="str">
        <f>IFERROR(__xludf.DUMMYFUNCTION("""COMPUTED_VALUE"""),"PR Upgrade Inverter Steriline")</f>
        <v>PR Upgrade Inverter Steriline</v>
      </c>
      <c r="F2934" s="6">
        <f>IFERROR(__xludf.DUMMYFUNCTION("""COMPUTED_VALUE"""),1.0)</f>
        <v>1</v>
      </c>
      <c r="G2934" s="6" t="str">
        <f>IFERROR(__xludf.DUMMYFUNCTION("""COMPUTED_VALUE"""),"Set")</f>
        <v>Set</v>
      </c>
      <c r="H2934" s="6" t="str">
        <f>IFERROR(__xludf.DUMMYFUNCTION("""COMPUTED_VALUE"""),"IDR")</f>
        <v>IDR</v>
      </c>
      <c r="I2934" s="6">
        <f>IFERROR(__xludf.DUMMYFUNCTION("""COMPUTED_VALUE"""),3.61564E8)</f>
        <v>361564000</v>
      </c>
      <c r="J2934" s="6">
        <f>IFERROR(__xludf.DUMMYFUNCTION("""COMPUTED_VALUE"""),3.61564E8)</f>
        <v>361564000</v>
      </c>
      <c r="K2934" s="57">
        <f>IFERROR(__xludf.DUMMYFUNCTION("""COMPUTED_VALUE"""),45333.0)</f>
        <v>45333</v>
      </c>
      <c r="L2934" s="6" t="str">
        <f>IFERROR(__xludf.DUMMYFUNCTION("""COMPUTED_VALUE"""),"FIP General")</f>
        <v>FIP General</v>
      </c>
      <c r="M2934" s="6" t="str">
        <f>IFERROR(__xludf.DUMMYFUNCTION("""COMPUTED_VALUE"""),"Mochammad Fadhillah Hakim,")</f>
        <v>Mochammad Fadhillah Hakim,</v>
      </c>
      <c r="N2934" s="6" t="str">
        <f>IFERROR(__xludf.DUMMYFUNCTION("""COMPUTED_VALUE"""),"FIP Engineering")</f>
        <v>FIP Engineering</v>
      </c>
      <c r="O2934" s="6" t="str">
        <f>IFERROR(__xludf.DUMMYFUNCTION("""COMPUTED_VALUE"""),"FIP-DOM-ENG-13404-MC24018-INA-000000")</f>
        <v>FIP-DOM-ENG-13404-MC24018-INA-000000</v>
      </c>
      <c r="P2934" s="6" t="str">
        <f>IFERROR(__xludf.DUMMYFUNCTION("""COMPUTED_VALUE"""),"PO Closed")</f>
        <v>PO Closed</v>
      </c>
      <c r="Q2934" s="6" t="str">
        <f>IFERROR(__xludf.DUMMYFUNCTION("""COMPUTED_VALUE"""),"GL2402075")</f>
        <v>GL2402075</v>
      </c>
      <c r="R2934" s="57">
        <f>IFERROR(__xludf.DUMMYFUNCTION("""COMPUTED_VALUE"""),45331.0)</f>
        <v>45331</v>
      </c>
      <c r="S2934" s="57">
        <f>IFERROR(__xludf.DUMMYFUNCTION("""COMPUTED_VALUE"""),45337.0)</f>
        <v>45337</v>
      </c>
      <c r="T2934" s="57">
        <f>IFERROR(__xludf.DUMMYFUNCTION("""COMPUTED_VALUE"""),45387.0)</f>
        <v>45387</v>
      </c>
    </row>
    <row r="2935">
      <c r="A2935" s="6" t="str">
        <f>IFERROR(__xludf.DUMMYFUNCTION("""COMPUTED_VALUE"""),"121701184-1")</f>
        <v>121701184-1</v>
      </c>
      <c r="B2935" s="6" t="str">
        <f>IFERROR(__xludf.DUMMYFUNCTION("""COMPUTED_VALUE"""),"121701184 - APPROVED")</f>
        <v>121701184 - APPROVED</v>
      </c>
      <c r="C2935" s="6">
        <f>IFERROR(__xludf.DUMMYFUNCTION("""COMPUTED_VALUE"""),1.0)</f>
        <v>1</v>
      </c>
      <c r="D2935" s="6"/>
      <c r="E2935" s="6" t="str">
        <f>IFERROR(__xludf.DUMMYFUNCTION("""COMPUTED_VALUE"""),"PR UPS Portable WICC WIP")</f>
        <v>PR UPS Portable WICC WIP</v>
      </c>
      <c r="F2935" s="6">
        <f>IFERROR(__xludf.DUMMYFUNCTION("""COMPUTED_VALUE"""),2.0)</f>
        <v>2</v>
      </c>
      <c r="G2935" s="6" t="str">
        <f>IFERROR(__xludf.DUMMYFUNCTION("""COMPUTED_VALUE"""),"Pieces")</f>
        <v>Pieces</v>
      </c>
      <c r="H2935" s="6" t="str">
        <f>IFERROR(__xludf.DUMMYFUNCTION("""COMPUTED_VALUE"""),"IDR")</f>
        <v>IDR</v>
      </c>
      <c r="I2935" s="6">
        <f>IFERROR(__xludf.DUMMYFUNCTION("""COMPUTED_VALUE"""),2720000.0)</f>
        <v>2720000</v>
      </c>
      <c r="J2935" s="6">
        <f>IFERROR(__xludf.DUMMYFUNCTION("""COMPUTED_VALUE"""),5440000.0)</f>
        <v>5440000</v>
      </c>
      <c r="K2935" s="57">
        <f>IFERROR(__xludf.DUMMYFUNCTION("""COMPUTED_VALUE"""),45333.0)</f>
        <v>45333</v>
      </c>
      <c r="L2935" s="6" t="str">
        <f>IFERROR(__xludf.DUMMYFUNCTION("""COMPUTED_VALUE"""),"FIP Engineering")</f>
        <v>FIP Engineering</v>
      </c>
      <c r="M2935" s="6" t="str">
        <f>IFERROR(__xludf.DUMMYFUNCTION("""COMPUTED_VALUE"""),"Mochammad Fadhillah Hakim,")</f>
        <v>Mochammad Fadhillah Hakim,</v>
      </c>
      <c r="N2935" s="6" t="str">
        <f>IFERROR(__xludf.DUMMYFUNCTION("""COMPUTED_VALUE"""),"FIP Engineering")</f>
        <v>FIP Engineering</v>
      </c>
      <c r="O2935" s="6" t="str">
        <f>IFERROR(__xludf.DUMMYFUNCTION("""COMPUTED_VALUE"""),"FIP-DOM-ENG-13408-IT24004-INA-000000")</f>
        <v>FIP-DOM-ENG-13408-IT24004-INA-000000</v>
      </c>
      <c r="P2935" s="6" t="str">
        <f>IFERROR(__xludf.DUMMYFUNCTION("""COMPUTED_VALUE"""),"PO Closed")</f>
        <v>PO Closed</v>
      </c>
      <c r="Q2935" s="6" t="str">
        <f>IFERROR(__xludf.DUMMYFUNCTION("""COMPUTED_VALUE"""),"GL2403034")</f>
        <v>GL2403034</v>
      </c>
      <c r="R2935" s="57">
        <f>IFERROR(__xludf.DUMMYFUNCTION("""COMPUTED_VALUE"""),45331.0)</f>
        <v>45331</v>
      </c>
      <c r="S2935" s="57">
        <f>IFERROR(__xludf.DUMMYFUNCTION("""COMPUTED_VALUE"""),45337.0)</f>
        <v>45337</v>
      </c>
      <c r="T2935" s="57">
        <f>IFERROR(__xludf.DUMMYFUNCTION("""COMPUTED_VALUE"""),45384.0)</f>
        <v>45384</v>
      </c>
    </row>
    <row r="2936">
      <c r="A2936" s="6" t="str">
        <f>IFERROR(__xludf.DUMMYFUNCTION("""COMPUTED_VALUE"""),"121701187-1")</f>
        <v>121701187-1</v>
      </c>
      <c r="B2936" s="6" t="str">
        <f>IFERROR(__xludf.DUMMYFUNCTION("""COMPUTED_VALUE"""),"121701187 - APPROVED")</f>
        <v>121701187 - APPROVED</v>
      </c>
      <c r="C2936" s="6">
        <f>IFERROR(__xludf.DUMMYFUNCTION("""COMPUTED_VALUE"""),1.0)</f>
        <v>1</v>
      </c>
      <c r="D2936" s="6" t="str">
        <f>IFERROR(__xludf.DUMMYFUNCTION("""COMPUTED_VALUE"""),"T-80635-00")</f>
        <v>T-80635-00</v>
      </c>
      <c r="E2936" s="6" t="str">
        <f>IFERROR(__xludf.DUMMYFUNCTION("""COMPUTED_VALUE"""),"Kertas HVS A4 70 gram; ; ;")</f>
        <v>Kertas HVS A4 70 gram; ; ;</v>
      </c>
      <c r="F2936" s="6">
        <f>IFERROR(__xludf.DUMMYFUNCTION("""COMPUTED_VALUE"""),10.0)</f>
        <v>10</v>
      </c>
      <c r="G2936" s="6" t="str">
        <f>IFERROR(__xludf.DUMMYFUNCTION("""COMPUTED_VALUE"""),"Rim")</f>
        <v>Rim</v>
      </c>
      <c r="H2936" s="6" t="str">
        <f>IFERROR(__xludf.DUMMYFUNCTION("""COMPUTED_VALUE"""),"IDR")</f>
        <v>IDR</v>
      </c>
      <c r="I2936" s="6">
        <f>IFERROR(__xludf.DUMMYFUNCTION("""COMPUTED_VALUE"""),35585.0)</f>
        <v>35585</v>
      </c>
      <c r="J2936" s="6">
        <f>IFERROR(__xludf.DUMMYFUNCTION("""COMPUTED_VALUE"""),355850.0)</f>
        <v>355850</v>
      </c>
      <c r="K2936" s="57">
        <f>IFERROR(__xludf.DUMMYFUNCTION("""COMPUTED_VALUE"""),45333.0)</f>
        <v>45333</v>
      </c>
      <c r="L2936" s="6" t="str">
        <f>IFERROR(__xludf.DUMMYFUNCTION("""COMPUTED_VALUE"""),"FIP General")</f>
        <v>FIP General</v>
      </c>
      <c r="M2936" s="6" t="str">
        <f>IFERROR(__xludf.DUMMYFUNCTION("""COMPUTED_VALUE"""),"Mochammad Fadhillah Hakim,")</f>
        <v>Mochammad Fadhillah Hakim,</v>
      </c>
      <c r="N2936" s="6" t="str">
        <f>IFERROR(__xludf.DUMMYFUNCTION("""COMPUTED_VALUE"""),"FIP Engineering")</f>
        <v>FIP Engineering</v>
      </c>
      <c r="O2936" s="6" t="str">
        <f>IFERROR(__xludf.DUMMYFUNCTION("""COMPUTED_VALUE"""),"FIP-DOM-ENG-51411-0000000-INA-000000")</f>
        <v>FIP-DOM-ENG-51411-0000000-INA-000000</v>
      </c>
      <c r="P2936" s="6" t="str">
        <f>IFERROR(__xludf.DUMMYFUNCTION("""COMPUTED_VALUE"""),"PO Closed")</f>
        <v>PO Closed</v>
      </c>
      <c r="Q2936" s="6" t="str">
        <f>IFERROR(__xludf.DUMMYFUNCTION("""COMPUTED_VALUE"""),"GL2402024")</f>
        <v>GL2402024</v>
      </c>
      <c r="R2936" s="57">
        <f>IFERROR(__xludf.DUMMYFUNCTION("""COMPUTED_VALUE"""),45331.0)</f>
        <v>45331</v>
      </c>
      <c r="S2936" s="57">
        <f>IFERROR(__xludf.DUMMYFUNCTION("""COMPUTED_VALUE"""),45332.0)</f>
        <v>45332</v>
      </c>
      <c r="T2936" s="6"/>
    </row>
    <row r="2937">
      <c r="A2937" s="6" t="str">
        <f>IFERROR(__xludf.DUMMYFUNCTION("""COMPUTED_VALUE"""),"121701187-2")</f>
        <v>121701187-2</v>
      </c>
      <c r="B2937" s="6" t="str">
        <f>IFERROR(__xludf.DUMMYFUNCTION("""COMPUTED_VALUE"""),"121701187 - APPROVED")</f>
        <v>121701187 - APPROVED</v>
      </c>
      <c r="C2937" s="6">
        <f>IFERROR(__xludf.DUMMYFUNCTION("""COMPUTED_VALUE"""),2.0)</f>
        <v>2</v>
      </c>
      <c r="D2937" s="6" t="str">
        <f>IFERROR(__xludf.DUMMYFUNCTION("""COMPUTED_VALUE"""),"T-80149-00")</f>
        <v>T-80149-00</v>
      </c>
      <c r="E2937" s="6" t="str">
        <f>IFERROR(__xludf.DUMMYFUNCTION("""COMPUTED_VALUE"""),"Cutter Kenko L-150 (besar) - refill")</f>
        <v>Cutter Kenko L-150 (besar) - refill</v>
      </c>
      <c r="F2937" s="6">
        <f>IFERROR(__xludf.DUMMYFUNCTION("""COMPUTED_VALUE"""),5.0)</f>
        <v>5</v>
      </c>
      <c r="G2937" s="6" t="str">
        <f>IFERROR(__xludf.DUMMYFUNCTION("""COMPUTED_VALUE"""),"Pack")</f>
        <v>Pack</v>
      </c>
      <c r="H2937" s="6" t="str">
        <f>IFERROR(__xludf.DUMMYFUNCTION("""COMPUTED_VALUE"""),"IDR")</f>
        <v>IDR</v>
      </c>
      <c r="I2937" s="6">
        <f>IFERROR(__xludf.DUMMYFUNCTION("""COMPUTED_VALUE"""),4000.0)</f>
        <v>4000</v>
      </c>
      <c r="J2937" s="6">
        <f>IFERROR(__xludf.DUMMYFUNCTION("""COMPUTED_VALUE"""),20000.0)</f>
        <v>20000</v>
      </c>
      <c r="K2937" s="57">
        <f>IFERROR(__xludf.DUMMYFUNCTION("""COMPUTED_VALUE"""),45333.0)</f>
        <v>45333</v>
      </c>
      <c r="L2937" s="6" t="str">
        <f>IFERROR(__xludf.DUMMYFUNCTION("""COMPUTED_VALUE"""),"FIP General")</f>
        <v>FIP General</v>
      </c>
      <c r="M2937" s="6" t="str">
        <f>IFERROR(__xludf.DUMMYFUNCTION("""COMPUTED_VALUE"""),"Mochammad Fadhillah Hakim,")</f>
        <v>Mochammad Fadhillah Hakim,</v>
      </c>
      <c r="N2937" s="6" t="str">
        <f>IFERROR(__xludf.DUMMYFUNCTION("""COMPUTED_VALUE"""),"FIP Engineering")</f>
        <v>FIP Engineering</v>
      </c>
      <c r="O2937" s="6" t="str">
        <f>IFERROR(__xludf.DUMMYFUNCTION("""COMPUTED_VALUE"""),"FIP-DOM-ENG-51411-0000000-INA-000000")</f>
        <v>FIP-DOM-ENG-51411-0000000-INA-000000</v>
      </c>
      <c r="P2937" s="6" t="str">
        <f>IFERROR(__xludf.DUMMYFUNCTION("""COMPUTED_VALUE"""),"PO Closed")</f>
        <v>PO Closed</v>
      </c>
      <c r="Q2937" s="6" t="str">
        <f>IFERROR(__xludf.DUMMYFUNCTION("""COMPUTED_VALUE"""),"GL2402027")</f>
        <v>GL2402027</v>
      </c>
      <c r="R2937" s="57">
        <f>IFERROR(__xludf.DUMMYFUNCTION("""COMPUTED_VALUE"""),45331.0)</f>
        <v>45331</v>
      </c>
      <c r="S2937" s="57">
        <f>IFERROR(__xludf.DUMMYFUNCTION("""COMPUTED_VALUE"""),45332.0)</f>
        <v>45332</v>
      </c>
      <c r="T2937" s="6"/>
    </row>
    <row r="2938">
      <c r="A2938" s="6" t="str">
        <f>IFERROR(__xludf.DUMMYFUNCTION("""COMPUTED_VALUE"""),"121701187-3")</f>
        <v>121701187-3</v>
      </c>
      <c r="B2938" s="6" t="str">
        <f>IFERROR(__xludf.DUMMYFUNCTION("""COMPUTED_VALUE"""),"121701187 - APPROVED")</f>
        <v>121701187 - APPROVED</v>
      </c>
      <c r="C2938" s="6">
        <f>IFERROR(__xludf.DUMMYFUNCTION("""COMPUTED_VALUE"""),3.0)</f>
        <v>3</v>
      </c>
      <c r="D2938" s="6" t="str">
        <f>IFERROR(__xludf.DUMMYFUNCTION("""COMPUTED_VALUE"""),"T-80686-00")</f>
        <v>T-80686-00</v>
      </c>
      <c r="E2938" s="6" t="str">
        <f>IFERROR(__xludf.DUMMYFUNCTION("""COMPUTED_VALUE"""),"Spidol OHP uk. Fine (satuan) - OPF Biru; Snowman; ; Pcs")</f>
        <v>Spidol OHP uk. Fine (satuan) - OPF Biru; Snowman; ; Pcs</v>
      </c>
      <c r="F2938" s="6">
        <f>IFERROR(__xludf.DUMMYFUNCTION("""COMPUTED_VALUE"""),1.0)</f>
        <v>1</v>
      </c>
      <c r="G2938" s="6" t="str">
        <f>IFERROR(__xludf.DUMMYFUNCTION("""COMPUTED_VALUE"""),"Pieces")</f>
        <v>Pieces</v>
      </c>
      <c r="H2938" s="6" t="str">
        <f>IFERROR(__xludf.DUMMYFUNCTION("""COMPUTED_VALUE"""),"IDR")</f>
        <v>IDR</v>
      </c>
      <c r="I2938" s="6">
        <f>IFERROR(__xludf.DUMMYFUNCTION("""COMPUTED_VALUE"""),10000.0)</f>
        <v>10000</v>
      </c>
      <c r="J2938" s="6">
        <f>IFERROR(__xludf.DUMMYFUNCTION("""COMPUTED_VALUE"""),10000.0)</f>
        <v>10000</v>
      </c>
      <c r="K2938" s="57">
        <f>IFERROR(__xludf.DUMMYFUNCTION("""COMPUTED_VALUE"""),45333.0)</f>
        <v>45333</v>
      </c>
      <c r="L2938" s="6" t="str">
        <f>IFERROR(__xludf.DUMMYFUNCTION("""COMPUTED_VALUE"""),"FIP General")</f>
        <v>FIP General</v>
      </c>
      <c r="M2938" s="6" t="str">
        <f>IFERROR(__xludf.DUMMYFUNCTION("""COMPUTED_VALUE"""),"Mochammad Fadhillah Hakim,")</f>
        <v>Mochammad Fadhillah Hakim,</v>
      </c>
      <c r="N2938" s="6" t="str">
        <f>IFERROR(__xludf.DUMMYFUNCTION("""COMPUTED_VALUE"""),"FIP Engineering")</f>
        <v>FIP Engineering</v>
      </c>
      <c r="O2938" s="6" t="str">
        <f>IFERROR(__xludf.DUMMYFUNCTION("""COMPUTED_VALUE"""),"FIP-DOM-ENG-51411-0000000-INA-000000")</f>
        <v>FIP-DOM-ENG-51411-0000000-INA-000000</v>
      </c>
      <c r="P2938" s="6" t="str">
        <f>IFERROR(__xludf.DUMMYFUNCTION("""COMPUTED_VALUE"""),"PO Closed")</f>
        <v>PO Closed</v>
      </c>
      <c r="Q2938" s="6" t="str">
        <f>IFERROR(__xludf.DUMMYFUNCTION("""COMPUTED_VALUE"""),"GL2402027")</f>
        <v>GL2402027</v>
      </c>
      <c r="R2938" s="57">
        <f>IFERROR(__xludf.DUMMYFUNCTION("""COMPUTED_VALUE"""),45331.0)</f>
        <v>45331</v>
      </c>
      <c r="S2938" s="57">
        <f>IFERROR(__xludf.DUMMYFUNCTION("""COMPUTED_VALUE"""),45332.0)</f>
        <v>45332</v>
      </c>
      <c r="T2938" s="6"/>
    </row>
    <row r="2939">
      <c r="A2939" s="6" t="str">
        <f>IFERROR(__xludf.DUMMYFUNCTION("""COMPUTED_VALUE"""),"121701187-4")</f>
        <v>121701187-4</v>
      </c>
      <c r="B2939" s="6" t="str">
        <f>IFERROR(__xludf.DUMMYFUNCTION("""COMPUTED_VALUE"""),"121701187 - APPROVED")</f>
        <v>121701187 - APPROVED</v>
      </c>
      <c r="C2939" s="6">
        <f>IFERROR(__xludf.DUMMYFUNCTION("""COMPUTED_VALUE"""),4.0)</f>
        <v>4</v>
      </c>
      <c r="D2939" s="6" t="str">
        <f>IFERROR(__xludf.DUMMYFUNCTION("""COMPUTED_VALUE"""),"T-80458-00")</f>
        <v>T-80458-00</v>
      </c>
      <c r="E2939" s="6" t="str">
        <f>IFERROR(__xludf.DUMMYFUNCTION("""COMPUTED_VALUE"""),"Stapler MAX HD - 50/50R")</f>
        <v>Stapler MAX HD - 50/50R</v>
      </c>
      <c r="F2939" s="6">
        <f>IFERROR(__xludf.DUMMYFUNCTION("""COMPUTED_VALUE"""),1.0)</f>
        <v>1</v>
      </c>
      <c r="G2939" s="6" t="str">
        <f>IFERROR(__xludf.DUMMYFUNCTION("""COMPUTED_VALUE"""),"Pieces")</f>
        <v>Pieces</v>
      </c>
      <c r="H2939" s="6" t="str">
        <f>IFERROR(__xludf.DUMMYFUNCTION("""COMPUTED_VALUE"""),"IDR")</f>
        <v>IDR</v>
      </c>
      <c r="I2939" s="6">
        <f>IFERROR(__xludf.DUMMYFUNCTION("""COMPUTED_VALUE"""),60000.0)</f>
        <v>60000</v>
      </c>
      <c r="J2939" s="6">
        <f>IFERROR(__xludf.DUMMYFUNCTION("""COMPUTED_VALUE"""),60000.0)</f>
        <v>60000</v>
      </c>
      <c r="K2939" s="57">
        <f>IFERROR(__xludf.DUMMYFUNCTION("""COMPUTED_VALUE"""),45333.0)</f>
        <v>45333</v>
      </c>
      <c r="L2939" s="6" t="str">
        <f>IFERROR(__xludf.DUMMYFUNCTION("""COMPUTED_VALUE"""),"FIP General")</f>
        <v>FIP General</v>
      </c>
      <c r="M2939" s="6" t="str">
        <f>IFERROR(__xludf.DUMMYFUNCTION("""COMPUTED_VALUE"""),"Mochammad Fadhillah Hakim,")</f>
        <v>Mochammad Fadhillah Hakim,</v>
      </c>
      <c r="N2939" s="6" t="str">
        <f>IFERROR(__xludf.DUMMYFUNCTION("""COMPUTED_VALUE"""),"FIP Engineering")</f>
        <v>FIP Engineering</v>
      </c>
      <c r="O2939" s="6" t="str">
        <f>IFERROR(__xludf.DUMMYFUNCTION("""COMPUTED_VALUE"""),"FIP-DOM-ENG-51411-0000000-INA-000000")</f>
        <v>FIP-DOM-ENG-51411-0000000-INA-000000</v>
      </c>
      <c r="P2939" s="6" t="str">
        <f>IFERROR(__xludf.DUMMYFUNCTION("""COMPUTED_VALUE"""),"PO Closed")</f>
        <v>PO Closed</v>
      </c>
      <c r="Q2939" s="6" t="str">
        <f>IFERROR(__xludf.DUMMYFUNCTION("""COMPUTED_VALUE"""),"GL2402026")</f>
        <v>GL2402026</v>
      </c>
      <c r="R2939" s="57">
        <f>IFERROR(__xludf.DUMMYFUNCTION("""COMPUTED_VALUE"""),45331.0)</f>
        <v>45331</v>
      </c>
      <c r="S2939" s="57">
        <f>IFERROR(__xludf.DUMMYFUNCTION("""COMPUTED_VALUE"""),45332.0)</f>
        <v>45332</v>
      </c>
      <c r="T2939" s="6"/>
    </row>
    <row r="2940">
      <c r="A2940" s="6" t="str">
        <f>IFERROR(__xludf.DUMMYFUNCTION("""COMPUTED_VALUE"""),"121701187-5")</f>
        <v>121701187-5</v>
      </c>
      <c r="B2940" s="6" t="str">
        <f>IFERROR(__xludf.DUMMYFUNCTION("""COMPUTED_VALUE"""),"121701187 - APPROVED")</f>
        <v>121701187 - APPROVED</v>
      </c>
      <c r="C2940" s="6">
        <f>IFERROR(__xludf.DUMMYFUNCTION("""COMPUTED_VALUE"""),5.0)</f>
        <v>5</v>
      </c>
      <c r="D2940" s="6" t="str">
        <f>IFERROR(__xludf.DUMMYFUNCTION("""COMPUTED_VALUE"""),"T-80376-00")</f>
        <v>T-80376-00</v>
      </c>
      <c r="E2940" s="6" t="str">
        <f>IFERROR(__xludf.DUMMYFUNCTION("""COMPUTED_VALUE"""),"Plakband Hitam 2 inch")</f>
        <v>Plakband Hitam 2 inch</v>
      </c>
      <c r="F2940" s="6">
        <f>IFERROR(__xludf.DUMMYFUNCTION("""COMPUTED_VALUE"""),5.0)</f>
        <v>5</v>
      </c>
      <c r="G2940" s="6" t="str">
        <f>IFERROR(__xludf.DUMMYFUNCTION("""COMPUTED_VALUE"""),"Roll")</f>
        <v>Roll</v>
      </c>
      <c r="H2940" s="6" t="str">
        <f>IFERROR(__xludf.DUMMYFUNCTION("""COMPUTED_VALUE"""),"IDR")</f>
        <v>IDR</v>
      </c>
      <c r="I2940" s="6">
        <f>IFERROR(__xludf.DUMMYFUNCTION("""COMPUTED_VALUE"""),13000.0)</f>
        <v>13000</v>
      </c>
      <c r="J2940" s="6">
        <f>IFERROR(__xludf.DUMMYFUNCTION("""COMPUTED_VALUE"""),65000.0)</f>
        <v>65000</v>
      </c>
      <c r="K2940" s="57">
        <f>IFERROR(__xludf.DUMMYFUNCTION("""COMPUTED_VALUE"""),45333.0)</f>
        <v>45333</v>
      </c>
      <c r="L2940" s="6" t="str">
        <f>IFERROR(__xludf.DUMMYFUNCTION("""COMPUTED_VALUE"""),"FIP General")</f>
        <v>FIP General</v>
      </c>
      <c r="M2940" s="6" t="str">
        <f>IFERROR(__xludf.DUMMYFUNCTION("""COMPUTED_VALUE"""),"Mochammad Fadhillah Hakim,")</f>
        <v>Mochammad Fadhillah Hakim,</v>
      </c>
      <c r="N2940" s="6" t="str">
        <f>IFERROR(__xludf.DUMMYFUNCTION("""COMPUTED_VALUE"""),"FIP Engineering")</f>
        <v>FIP Engineering</v>
      </c>
      <c r="O2940" s="6" t="str">
        <f>IFERROR(__xludf.DUMMYFUNCTION("""COMPUTED_VALUE"""),"FIP-DOM-ENG-51411-0000000-INA-000000")</f>
        <v>FIP-DOM-ENG-51411-0000000-INA-000000</v>
      </c>
      <c r="P2940" s="6" t="str">
        <f>IFERROR(__xludf.DUMMYFUNCTION("""COMPUTED_VALUE"""),"PO Closed")</f>
        <v>PO Closed</v>
      </c>
      <c r="Q2940" s="6" t="str">
        <f>IFERROR(__xludf.DUMMYFUNCTION("""COMPUTED_VALUE"""),"GL2402027")</f>
        <v>GL2402027</v>
      </c>
      <c r="R2940" s="57">
        <f>IFERROR(__xludf.DUMMYFUNCTION("""COMPUTED_VALUE"""),45331.0)</f>
        <v>45331</v>
      </c>
      <c r="S2940" s="57">
        <f>IFERROR(__xludf.DUMMYFUNCTION("""COMPUTED_VALUE"""),45332.0)</f>
        <v>45332</v>
      </c>
      <c r="T2940" s="6"/>
    </row>
    <row r="2941">
      <c r="A2941" s="6" t="str">
        <f>IFERROR(__xludf.DUMMYFUNCTION("""COMPUTED_VALUE"""),"121701187-6")</f>
        <v>121701187-6</v>
      </c>
      <c r="B2941" s="6" t="str">
        <f>IFERROR(__xludf.DUMMYFUNCTION("""COMPUTED_VALUE"""),"121701187 - APPROVED")</f>
        <v>121701187 - APPROVED</v>
      </c>
      <c r="C2941" s="6">
        <f>IFERROR(__xludf.DUMMYFUNCTION("""COMPUTED_VALUE"""),6.0)</f>
        <v>6</v>
      </c>
      <c r="D2941" s="6" t="str">
        <f>IFERROR(__xludf.DUMMYFUNCTION("""COMPUTED_VALUE"""),"T-80386-00")</f>
        <v>T-80386-00</v>
      </c>
      <c r="E2941" s="6" t="str">
        <f>IFERROR(__xludf.DUMMYFUNCTION("""COMPUTED_VALUE"""),"Post-It 3M Sign Here")</f>
        <v>Post-It 3M Sign Here</v>
      </c>
      <c r="F2941" s="6">
        <f>IFERROR(__xludf.DUMMYFUNCTION("""COMPUTED_VALUE"""),2.0)</f>
        <v>2</v>
      </c>
      <c r="G2941" s="6" t="str">
        <f>IFERROR(__xludf.DUMMYFUNCTION("""COMPUTED_VALUE"""),"Pieces")</f>
        <v>Pieces</v>
      </c>
      <c r="H2941" s="6" t="str">
        <f>IFERROR(__xludf.DUMMYFUNCTION("""COMPUTED_VALUE"""),"IDR")</f>
        <v>IDR</v>
      </c>
      <c r="I2941" s="6">
        <f>IFERROR(__xludf.DUMMYFUNCTION("""COMPUTED_VALUE"""),20000.0)</f>
        <v>20000</v>
      </c>
      <c r="J2941" s="6">
        <f>IFERROR(__xludf.DUMMYFUNCTION("""COMPUTED_VALUE"""),40000.0)</f>
        <v>40000</v>
      </c>
      <c r="K2941" s="57">
        <f>IFERROR(__xludf.DUMMYFUNCTION("""COMPUTED_VALUE"""),45333.0)</f>
        <v>45333</v>
      </c>
      <c r="L2941" s="6" t="str">
        <f>IFERROR(__xludf.DUMMYFUNCTION("""COMPUTED_VALUE"""),"FIP General")</f>
        <v>FIP General</v>
      </c>
      <c r="M2941" s="6" t="str">
        <f>IFERROR(__xludf.DUMMYFUNCTION("""COMPUTED_VALUE"""),"Mochammad Fadhillah Hakim,")</f>
        <v>Mochammad Fadhillah Hakim,</v>
      </c>
      <c r="N2941" s="6" t="str">
        <f>IFERROR(__xludf.DUMMYFUNCTION("""COMPUTED_VALUE"""),"FIP Engineering")</f>
        <v>FIP Engineering</v>
      </c>
      <c r="O2941" s="6" t="str">
        <f>IFERROR(__xludf.DUMMYFUNCTION("""COMPUTED_VALUE"""),"FIP-DOM-ENG-51411-0000000-INA-000000")</f>
        <v>FIP-DOM-ENG-51411-0000000-INA-000000</v>
      </c>
      <c r="P2941" s="6" t="str">
        <f>IFERROR(__xludf.DUMMYFUNCTION("""COMPUTED_VALUE"""),"PO Closed")</f>
        <v>PO Closed</v>
      </c>
      <c r="Q2941" s="6" t="str">
        <f>IFERROR(__xludf.DUMMYFUNCTION("""COMPUTED_VALUE"""),"GL2402026")</f>
        <v>GL2402026</v>
      </c>
      <c r="R2941" s="57">
        <f>IFERROR(__xludf.DUMMYFUNCTION("""COMPUTED_VALUE"""),45331.0)</f>
        <v>45331</v>
      </c>
      <c r="S2941" s="57">
        <f>IFERROR(__xludf.DUMMYFUNCTION("""COMPUTED_VALUE"""),45332.0)</f>
        <v>45332</v>
      </c>
      <c r="T2941" s="6"/>
    </row>
    <row r="2942">
      <c r="A2942" s="6" t="str">
        <f>IFERROR(__xludf.DUMMYFUNCTION("""COMPUTED_VALUE"""),"121701187-7")</f>
        <v>121701187-7</v>
      </c>
      <c r="B2942" s="6" t="str">
        <f>IFERROR(__xludf.DUMMYFUNCTION("""COMPUTED_VALUE"""),"121701187 - APPROVED")</f>
        <v>121701187 - APPROVED</v>
      </c>
      <c r="C2942" s="6">
        <f>IFERROR(__xludf.DUMMYFUNCTION("""COMPUTED_VALUE"""),7.0)</f>
        <v>7</v>
      </c>
      <c r="D2942" s="6" t="str">
        <f>IFERROR(__xludf.DUMMYFUNCTION("""COMPUTED_VALUE"""),"T-80110-00")</f>
        <v>T-80110-00</v>
      </c>
      <c r="E2942" s="6" t="str">
        <f>IFERROR(__xludf.DUMMYFUNCTION("""COMPUTED_VALUE"""),"Clear Holder A4 Bening")</f>
        <v>Clear Holder A4 Bening</v>
      </c>
      <c r="F2942" s="6">
        <f>IFERROR(__xludf.DUMMYFUNCTION("""COMPUTED_VALUE"""),5.0)</f>
        <v>5</v>
      </c>
      <c r="G2942" s="6" t="str">
        <f>IFERROR(__xludf.DUMMYFUNCTION("""COMPUTED_VALUE"""),"Pack")</f>
        <v>Pack</v>
      </c>
      <c r="H2942" s="6" t="str">
        <f>IFERROR(__xludf.DUMMYFUNCTION("""COMPUTED_VALUE"""),"IDR")</f>
        <v>IDR</v>
      </c>
      <c r="I2942" s="6">
        <f>IFERROR(__xludf.DUMMYFUNCTION("""COMPUTED_VALUE"""),19000.0)</f>
        <v>19000</v>
      </c>
      <c r="J2942" s="6">
        <f>IFERROR(__xludf.DUMMYFUNCTION("""COMPUTED_VALUE"""),95000.0)</f>
        <v>95000</v>
      </c>
      <c r="K2942" s="57">
        <f>IFERROR(__xludf.DUMMYFUNCTION("""COMPUTED_VALUE"""),45333.0)</f>
        <v>45333</v>
      </c>
      <c r="L2942" s="6" t="str">
        <f>IFERROR(__xludf.DUMMYFUNCTION("""COMPUTED_VALUE"""),"FIP General")</f>
        <v>FIP General</v>
      </c>
      <c r="M2942" s="6" t="str">
        <f>IFERROR(__xludf.DUMMYFUNCTION("""COMPUTED_VALUE"""),"Mochammad Fadhillah Hakim,")</f>
        <v>Mochammad Fadhillah Hakim,</v>
      </c>
      <c r="N2942" s="6" t="str">
        <f>IFERROR(__xludf.DUMMYFUNCTION("""COMPUTED_VALUE"""),"FIP Engineering")</f>
        <v>FIP Engineering</v>
      </c>
      <c r="O2942" s="6" t="str">
        <f>IFERROR(__xludf.DUMMYFUNCTION("""COMPUTED_VALUE"""),"FIP-DOM-ENG-51411-0000000-INA-000000")</f>
        <v>FIP-DOM-ENG-51411-0000000-INA-000000</v>
      </c>
      <c r="P2942" s="6" t="str">
        <f>IFERROR(__xludf.DUMMYFUNCTION("""COMPUTED_VALUE"""),"PO Closed")</f>
        <v>PO Closed</v>
      </c>
      <c r="Q2942" s="6" t="str">
        <f>IFERROR(__xludf.DUMMYFUNCTION("""COMPUTED_VALUE"""),"GL2402027")</f>
        <v>GL2402027</v>
      </c>
      <c r="R2942" s="57">
        <f>IFERROR(__xludf.DUMMYFUNCTION("""COMPUTED_VALUE"""),45331.0)</f>
        <v>45331</v>
      </c>
      <c r="S2942" s="57">
        <f>IFERROR(__xludf.DUMMYFUNCTION("""COMPUTED_VALUE"""),45332.0)</f>
        <v>45332</v>
      </c>
      <c r="T2942" s="6"/>
    </row>
    <row r="2943">
      <c r="A2943" s="6" t="str">
        <f>IFERROR(__xludf.DUMMYFUNCTION("""COMPUTED_VALUE"""),"121701194-1")</f>
        <v>121701194-1</v>
      </c>
      <c r="B2943" s="6" t="str">
        <f>IFERROR(__xludf.DUMMYFUNCTION("""COMPUTED_VALUE"""),"121701194 - APPROVED")</f>
        <v>121701194 - APPROVED</v>
      </c>
      <c r="C2943" s="6">
        <f>IFERROR(__xludf.DUMMYFUNCTION("""COMPUTED_VALUE"""),1.0)</f>
        <v>1</v>
      </c>
      <c r="D2943" s="6"/>
      <c r="E2943" s="6" t="str">
        <f>IFERROR(__xludf.DUMMYFUNCTION("""COMPUTED_VALUE"""),"Helium Leak Detector ASM 340WET DSO 23820")</f>
        <v>Helium Leak Detector ASM 340WET DSO 23820</v>
      </c>
      <c r="F2943" s="6">
        <f>IFERROR(__xludf.DUMMYFUNCTION("""COMPUTED_VALUE"""),1.0)</f>
        <v>1</v>
      </c>
      <c r="G2943" s="6" t="str">
        <f>IFERROR(__xludf.DUMMYFUNCTION("""COMPUTED_VALUE"""),"Unit")</f>
        <v>Unit</v>
      </c>
      <c r="H2943" s="6" t="str">
        <f>IFERROR(__xludf.DUMMYFUNCTION("""COMPUTED_VALUE"""),"IDR")</f>
        <v>IDR</v>
      </c>
      <c r="I2943" s="6">
        <f>IFERROR(__xludf.DUMMYFUNCTION("""COMPUTED_VALUE"""),4.18569E8)</f>
        <v>418569000</v>
      </c>
      <c r="J2943" s="6">
        <f>IFERROR(__xludf.DUMMYFUNCTION("""COMPUTED_VALUE"""),4.18569E8)</f>
        <v>418569000</v>
      </c>
      <c r="K2943" s="57">
        <f>IFERROR(__xludf.DUMMYFUNCTION("""COMPUTED_VALUE"""),45402.0)</f>
        <v>45402</v>
      </c>
      <c r="L2943" s="6" t="str">
        <f>IFERROR(__xludf.DUMMYFUNCTION("""COMPUTED_VALUE"""),"FIP General")</f>
        <v>FIP General</v>
      </c>
      <c r="M2943" s="6" t="str">
        <f>IFERROR(__xludf.DUMMYFUNCTION("""COMPUTED_VALUE"""),"Mochammad Fadhillah Hakim,")</f>
        <v>Mochammad Fadhillah Hakim,</v>
      </c>
      <c r="N2943" s="6" t="str">
        <f>IFERROR(__xludf.DUMMYFUNCTION("""COMPUTED_VALUE"""),"FIP Engineering")</f>
        <v>FIP Engineering</v>
      </c>
      <c r="O2943" s="6" t="str">
        <f>IFERROR(__xludf.DUMMYFUNCTION("""COMPUTED_VALUE"""),"FIP-DOM-ENG-13404-MC24017-INA-000000")</f>
        <v>FIP-DOM-ENG-13404-MC24017-INA-000000</v>
      </c>
      <c r="P2943" s="6" t="str">
        <f>IFERROR(__xludf.DUMMYFUNCTION("""COMPUTED_VALUE"""),"PO Closed")</f>
        <v>PO Closed</v>
      </c>
      <c r="Q2943" s="6" t="str">
        <f>IFERROR(__xludf.DUMMYFUNCTION("""COMPUTED_VALUE"""),"GL2412003")</f>
        <v>GL2412003</v>
      </c>
      <c r="R2943" s="57">
        <f>IFERROR(__xludf.DUMMYFUNCTION("""COMPUTED_VALUE"""),45334.0)</f>
        <v>45334</v>
      </c>
      <c r="S2943" s="57">
        <f>IFERROR(__xludf.DUMMYFUNCTION("""COMPUTED_VALUE"""),45376.0)</f>
        <v>45376</v>
      </c>
      <c r="T2943" s="6"/>
    </row>
    <row r="2944">
      <c r="A2944" s="6" t="str">
        <f>IFERROR(__xludf.DUMMYFUNCTION("""COMPUTED_VALUE"""),"121701199-1")</f>
        <v>121701199-1</v>
      </c>
      <c r="B2944" s="6" t="str">
        <f>IFERROR(__xludf.DUMMYFUNCTION("""COMPUTED_VALUE"""),"121701199 - APPROVED")</f>
        <v>121701199 - APPROVED</v>
      </c>
      <c r="C2944" s="6">
        <f>IFERROR(__xludf.DUMMYFUNCTION("""COMPUTED_VALUE"""),1.0)</f>
        <v>1</v>
      </c>
      <c r="D2944" s="6" t="str">
        <f>IFERROR(__xludf.DUMMYFUNCTION("""COMPUTED_VALUE"""),"P-54223-00")</f>
        <v>P-54223-00</v>
      </c>
      <c r="E2944" s="6" t="str">
        <f>IFERROR(__xludf.DUMMYFUNCTION("""COMPUTED_VALUE"""),"Socket Charger SB175A grey; Anderson; ;")</f>
        <v>Socket Charger SB175A grey; Anderson; ;</v>
      </c>
      <c r="F2944" s="6">
        <f>IFERROR(__xludf.DUMMYFUNCTION("""COMPUTED_VALUE"""),1.0)</f>
        <v>1</v>
      </c>
      <c r="G2944" s="6" t="str">
        <f>IFERROR(__xludf.DUMMYFUNCTION("""COMPUTED_VALUE"""),"Pieces")</f>
        <v>Pieces</v>
      </c>
      <c r="H2944" s="6" t="str">
        <f>IFERROR(__xludf.DUMMYFUNCTION("""COMPUTED_VALUE"""),"IDR")</f>
        <v>IDR</v>
      </c>
      <c r="I2944" s="6">
        <f>IFERROR(__xludf.DUMMYFUNCTION("""COMPUTED_VALUE"""),253500.0)</f>
        <v>253500</v>
      </c>
      <c r="J2944" s="6">
        <f>IFERROR(__xludf.DUMMYFUNCTION("""COMPUTED_VALUE"""),253500.0)</f>
        <v>253500</v>
      </c>
      <c r="K2944" s="57">
        <f>IFERROR(__xludf.DUMMYFUNCTION("""COMPUTED_VALUE"""),45339.0)</f>
        <v>45339</v>
      </c>
      <c r="L2944" s="6" t="str">
        <f>IFERROR(__xludf.DUMMYFUNCTION("""COMPUTED_VALUE"""),"FIP Engineering")</f>
        <v>FIP Engineering</v>
      </c>
      <c r="M2944" s="6" t="str">
        <f>IFERROR(__xludf.DUMMYFUNCTION("""COMPUTED_VALUE"""),"Mochammad Fadhillah Hakim,")</f>
        <v>Mochammad Fadhillah Hakim,</v>
      </c>
      <c r="N2944" s="6" t="str">
        <f>IFERROR(__xludf.DUMMYFUNCTION("""COMPUTED_VALUE"""),"FIP Engineering")</f>
        <v>FIP Engineering</v>
      </c>
      <c r="O2944" s="6" t="str">
        <f>IFERROR(__xludf.DUMMYFUNCTION("""COMPUTED_VALUE"""),"FIP-DOM-000-11304-OS00001-INA-000000")</f>
        <v>FIP-DOM-000-11304-OS00001-INA-000000</v>
      </c>
      <c r="P2944" s="6" t="str">
        <f>IFERROR(__xludf.DUMMYFUNCTION("""COMPUTED_VALUE"""),"PO Closed")</f>
        <v>PO Closed</v>
      </c>
      <c r="Q2944" s="6" t="str">
        <f>IFERROR(__xludf.DUMMYFUNCTION("""COMPUTED_VALUE"""),"GL2403002")</f>
        <v>GL2403002</v>
      </c>
      <c r="R2944" s="57">
        <f>IFERROR(__xludf.DUMMYFUNCTION("""COMPUTED_VALUE"""),45337.0)</f>
        <v>45337</v>
      </c>
      <c r="S2944" s="57">
        <f>IFERROR(__xludf.DUMMYFUNCTION("""COMPUTED_VALUE"""),45343.0)</f>
        <v>45343</v>
      </c>
      <c r="T2944" s="57">
        <f>IFERROR(__xludf.DUMMYFUNCTION("""COMPUTED_VALUE"""),45412.0)</f>
        <v>45412</v>
      </c>
    </row>
    <row r="2945">
      <c r="A2945" s="6" t="str">
        <f>IFERROR(__xludf.DUMMYFUNCTION("""COMPUTED_VALUE"""),"121701199-2")</f>
        <v>121701199-2</v>
      </c>
      <c r="B2945" s="6" t="str">
        <f>IFERROR(__xludf.DUMMYFUNCTION("""COMPUTED_VALUE"""),"121701199 - APPROVED")</f>
        <v>121701199 - APPROVED</v>
      </c>
      <c r="C2945" s="6">
        <f>IFERROR(__xludf.DUMMYFUNCTION("""COMPUTED_VALUE"""),2.0)</f>
        <v>2</v>
      </c>
      <c r="D2945" s="6" t="str">
        <f>IFERROR(__xludf.DUMMYFUNCTION("""COMPUTED_VALUE"""),"P-54222-00")</f>
        <v>P-54222-00</v>
      </c>
      <c r="E2945" s="6" t="str">
        <f>IFERROR(__xludf.DUMMYFUNCTION("""COMPUTED_VALUE"""),"Module Voltage Monitoring Relay; Siemens; 3UG4512-1AR20;")</f>
        <v>Module Voltage Monitoring Relay; Siemens; 3UG4512-1AR20;</v>
      </c>
      <c r="F2945" s="6">
        <f>IFERROR(__xludf.DUMMYFUNCTION("""COMPUTED_VALUE"""),2.0)</f>
        <v>2</v>
      </c>
      <c r="G2945" s="6" t="str">
        <f>IFERROR(__xludf.DUMMYFUNCTION("""COMPUTED_VALUE"""),"Pieces")</f>
        <v>Pieces</v>
      </c>
      <c r="H2945" s="6" t="str">
        <f>IFERROR(__xludf.DUMMYFUNCTION("""COMPUTED_VALUE"""),"IDR")</f>
        <v>IDR</v>
      </c>
      <c r="I2945" s="6">
        <f>IFERROR(__xludf.DUMMYFUNCTION("""COMPUTED_VALUE"""),1350000.0)</f>
        <v>1350000</v>
      </c>
      <c r="J2945" s="6">
        <f>IFERROR(__xludf.DUMMYFUNCTION("""COMPUTED_VALUE"""),2700000.0)</f>
        <v>2700000</v>
      </c>
      <c r="K2945" s="57">
        <f>IFERROR(__xludf.DUMMYFUNCTION("""COMPUTED_VALUE"""),45339.0)</f>
        <v>45339</v>
      </c>
      <c r="L2945" s="6" t="str">
        <f>IFERROR(__xludf.DUMMYFUNCTION("""COMPUTED_VALUE"""),"FIP Engineering")</f>
        <v>FIP Engineering</v>
      </c>
      <c r="M2945" s="6" t="str">
        <f>IFERROR(__xludf.DUMMYFUNCTION("""COMPUTED_VALUE"""),"Mochammad Fadhillah Hakim,")</f>
        <v>Mochammad Fadhillah Hakim,</v>
      </c>
      <c r="N2945" s="6" t="str">
        <f>IFERROR(__xludf.DUMMYFUNCTION("""COMPUTED_VALUE"""),"FIP Engineering")</f>
        <v>FIP Engineering</v>
      </c>
      <c r="O2945" s="6" t="str">
        <f>IFERROR(__xludf.DUMMYFUNCTION("""COMPUTED_VALUE"""),"FIP-DOM-000-11304-OS00001-INA-000000")</f>
        <v>FIP-DOM-000-11304-OS00001-INA-000000</v>
      </c>
      <c r="P2945" s="6" t="str">
        <f>IFERROR(__xludf.DUMMYFUNCTION("""COMPUTED_VALUE"""),"PO Closed")</f>
        <v>PO Closed</v>
      </c>
      <c r="Q2945" s="6" t="str">
        <f>IFERROR(__xludf.DUMMYFUNCTION("""COMPUTED_VALUE"""),"GL2403002")</f>
        <v>GL2403002</v>
      </c>
      <c r="R2945" s="57">
        <f>IFERROR(__xludf.DUMMYFUNCTION("""COMPUTED_VALUE"""),45337.0)</f>
        <v>45337</v>
      </c>
      <c r="S2945" s="57">
        <f>IFERROR(__xludf.DUMMYFUNCTION("""COMPUTED_VALUE"""),45343.0)</f>
        <v>45343</v>
      </c>
      <c r="T2945" s="57">
        <f>IFERROR(__xludf.DUMMYFUNCTION("""COMPUTED_VALUE"""),45412.0)</f>
        <v>45412</v>
      </c>
    </row>
    <row r="2946">
      <c r="A2946" s="6" t="str">
        <f>IFERROR(__xludf.DUMMYFUNCTION("""COMPUTED_VALUE"""),"121701199-3")</f>
        <v>121701199-3</v>
      </c>
      <c r="B2946" s="6" t="str">
        <f>IFERROR(__xludf.DUMMYFUNCTION("""COMPUTED_VALUE"""),"121701199 - APPROVED")</f>
        <v>121701199 - APPROVED</v>
      </c>
      <c r="C2946" s="6">
        <f>IFERROR(__xludf.DUMMYFUNCTION("""COMPUTED_VALUE"""),3.0)</f>
        <v>3</v>
      </c>
      <c r="D2946" s="6" t="str">
        <f>IFERROR(__xludf.DUMMYFUNCTION("""COMPUTED_VALUE"""),"P-54225-00")</f>
        <v>P-54225-00</v>
      </c>
      <c r="E2946" s="6" t="str">
        <f>IFERROR(__xludf.DUMMYFUNCTION("""COMPUTED_VALUE"""),"Face Plate HDMI to VGA Skrup; AMP; AMP; ;")</f>
        <v>Face Plate HDMI to VGA Skrup; AMP; AMP; ;</v>
      </c>
      <c r="F2946" s="6">
        <f>IFERROR(__xludf.DUMMYFUNCTION("""COMPUTED_VALUE"""),5.0)</f>
        <v>5</v>
      </c>
      <c r="G2946" s="6" t="str">
        <f>IFERROR(__xludf.DUMMYFUNCTION("""COMPUTED_VALUE"""),"Pieces")</f>
        <v>Pieces</v>
      </c>
      <c r="H2946" s="6" t="str">
        <f>IFERROR(__xludf.DUMMYFUNCTION("""COMPUTED_VALUE"""),"IDR")</f>
        <v>IDR</v>
      </c>
      <c r="I2946" s="6">
        <f>IFERROR(__xludf.DUMMYFUNCTION("""COMPUTED_VALUE"""),98000.0)</f>
        <v>98000</v>
      </c>
      <c r="J2946" s="6">
        <f>IFERROR(__xludf.DUMMYFUNCTION("""COMPUTED_VALUE"""),490000.0)</f>
        <v>490000</v>
      </c>
      <c r="K2946" s="57">
        <f>IFERROR(__xludf.DUMMYFUNCTION("""COMPUTED_VALUE"""),45339.0)</f>
        <v>45339</v>
      </c>
      <c r="L2946" s="6" t="str">
        <f>IFERROR(__xludf.DUMMYFUNCTION("""COMPUTED_VALUE"""),"FIP Engineering")</f>
        <v>FIP Engineering</v>
      </c>
      <c r="M2946" s="6" t="str">
        <f>IFERROR(__xludf.DUMMYFUNCTION("""COMPUTED_VALUE"""),"Mochammad Fadhillah Hakim,")</f>
        <v>Mochammad Fadhillah Hakim,</v>
      </c>
      <c r="N2946" s="6" t="str">
        <f>IFERROR(__xludf.DUMMYFUNCTION("""COMPUTED_VALUE"""),"FIP Engineering")</f>
        <v>FIP Engineering</v>
      </c>
      <c r="O2946" s="6" t="str">
        <f>IFERROR(__xludf.DUMMYFUNCTION("""COMPUTED_VALUE"""),"FIP-DOM-000-11304-OS00001-INA-000000")</f>
        <v>FIP-DOM-000-11304-OS00001-INA-000000</v>
      </c>
      <c r="P2946" s="6" t="str">
        <f>IFERROR(__xludf.DUMMYFUNCTION("""COMPUTED_VALUE"""),"PO Closed")</f>
        <v>PO Closed</v>
      </c>
      <c r="Q2946" s="6" t="str">
        <f>IFERROR(__xludf.DUMMYFUNCTION("""COMPUTED_VALUE"""),"GL2403002")</f>
        <v>GL2403002</v>
      </c>
      <c r="R2946" s="57">
        <f>IFERROR(__xludf.DUMMYFUNCTION("""COMPUTED_VALUE"""),45337.0)</f>
        <v>45337</v>
      </c>
      <c r="S2946" s="57">
        <f>IFERROR(__xludf.DUMMYFUNCTION("""COMPUTED_VALUE"""),45343.0)</f>
        <v>45343</v>
      </c>
      <c r="T2946" s="57">
        <f>IFERROR(__xludf.DUMMYFUNCTION("""COMPUTED_VALUE"""),45412.0)</f>
        <v>45412</v>
      </c>
    </row>
    <row r="2947">
      <c r="A2947" s="6" t="str">
        <f>IFERROR(__xludf.DUMMYFUNCTION("""COMPUTED_VALUE"""),"121701199-4")</f>
        <v>121701199-4</v>
      </c>
      <c r="B2947" s="6" t="str">
        <f>IFERROR(__xludf.DUMMYFUNCTION("""COMPUTED_VALUE"""),"121701199 - APPROVED")</f>
        <v>121701199 - APPROVED</v>
      </c>
      <c r="C2947" s="6">
        <f>IFERROR(__xludf.DUMMYFUNCTION("""COMPUTED_VALUE"""),4.0)</f>
        <v>4</v>
      </c>
      <c r="D2947" s="6" t="str">
        <f>IFERROR(__xludf.DUMMYFUNCTION("""COMPUTED_VALUE"""),"O-19679-00")</f>
        <v>O-19679-00</v>
      </c>
      <c r="E2947" s="6" t="str">
        <f>IFERROR(__xludf.DUMMYFUNCTION("""COMPUTED_VALUE"""),"Part Lock Autoclave OD dia 12, p 55, material kuningan; Custom; ;")</f>
        <v>Part Lock Autoclave OD dia 12, p 55, material kuningan; Custom; ;</v>
      </c>
      <c r="F2947" s="6">
        <f>IFERROR(__xludf.DUMMYFUNCTION("""COMPUTED_VALUE"""),1.0)</f>
        <v>1</v>
      </c>
      <c r="G2947" s="6" t="str">
        <f>IFERROR(__xludf.DUMMYFUNCTION("""COMPUTED_VALUE"""),"Unit")</f>
        <v>Unit</v>
      </c>
      <c r="H2947" s="6" t="str">
        <f>IFERROR(__xludf.DUMMYFUNCTION("""COMPUTED_VALUE"""),"IDR")</f>
        <v>IDR</v>
      </c>
      <c r="I2947" s="6">
        <f>IFERROR(__xludf.DUMMYFUNCTION("""COMPUTED_VALUE"""),450000.0)</f>
        <v>450000</v>
      </c>
      <c r="J2947" s="6">
        <f>IFERROR(__xludf.DUMMYFUNCTION("""COMPUTED_VALUE"""),450000.0)</f>
        <v>450000</v>
      </c>
      <c r="K2947" s="57">
        <f>IFERROR(__xludf.DUMMYFUNCTION("""COMPUTED_VALUE"""),45339.0)</f>
        <v>45339</v>
      </c>
      <c r="L2947" s="6" t="str">
        <f>IFERROR(__xludf.DUMMYFUNCTION("""COMPUTED_VALUE"""),"FIP Engineering")</f>
        <v>FIP Engineering</v>
      </c>
      <c r="M2947" s="6" t="str">
        <f>IFERROR(__xludf.DUMMYFUNCTION("""COMPUTED_VALUE"""),"Mochammad Fadhillah Hakim,")</f>
        <v>Mochammad Fadhillah Hakim,</v>
      </c>
      <c r="N2947" s="6" t="str">
        <f>IFERROR(__xludf.DUMMYFUNCTION("""COMPUTED_VALUE"""),"FIP Engineering")</f>
        <v>FIP Engineering</v>
      </c>
      <c r="O2947" s="6" t="str">
        <f>IFERROR(__xludf.DUMMYFUNCTION("""COMPUTED_VALUE"""),"FIP-DOM-000-11304-OS00001-INA-000000")</f>
        <v>FIP-DOM-000-11304-OS00001-INA-000000</v>
      </c>
      <c r="P2947" s="6" t="str">
        <f>IFERROR(__xludf.DUMMYFUNCTION("""COMPUTED_VALUE"""),"PO Closed")</f>
        <v>PO Closed</v>
      </c>
      <c r="Q2947" s="6" t="str">
        <f>IFERROR(__xludf.DUMMYFUNCTION("""COMPUTED_VALUE"""),"GL2404039")</f>
        <v>GL2404039</v>
      </c>
      <c r="R2947" s="57">
        <f>IFERROR(__xludf.DUMMYFUNCTION("""COMPUTED_VALUE"""),45337.0)</f>
        <v>45337</v>
      </c>
      <c r="S2947" s="57">
        <f>IFERROR(__xludf.DUMMYFUNCTION("""COMPUTED_VALUE"""),45343.0)</f>
        <v>45343</v>
      </c>
      <c r="T2947" s="57">
        <f>IFERROR(__xludf.DUMMYFUNCTION("""COMPUTED_VALUE"""),45429.0)</f>
        <v>45429</v>
      </c>
    </row>
    <row r="2948">
      <c r="A2948" s="6" t="str">
        <f>IFERROR(__xludf.DUMMYFUNCTION("""COMPUTED_VALUE"""),"121701199-5")</f>
        <v>121701199-5</v>
      </c>
      <c r="B2948" s="6" t="str">
        <f>IFERROR(__xludf.DUMMYFUNCTION("""COMPUTED_VALUE"""),"121701199 - APPROVED")</f>
        <v>121701199 - APPROVED</v>
      </c>
      <c r="C2948" s="6">
        <f>IFERROR(__xludf.DUMMYFUNCTION("""COMPUTED_VALUE"""),5.0)</f>
        <v>5</v>
      </c>
      <c r="D2948" s="6" t="str">
        <f>IFERROR(__xludf.DUMMYFUNCTION("""COMPUTED_VALUE"""),"O-54173-00")</f>
        <v>O-54173-00</v>
      </c>
      <c r="E2948" s="6" t="str">
        <f>IFERROR(__xludf.DUMMYFUNCTION("""COMPUTED_VALUE"""),"Fan Condensor M4Q045-EA01-C01; Ebm-papst; ;")</f>
        <v>Fan Condensor M4Q045-EA01-C01; Ebm-papst; ;</v>
      </c>
      <c r="F2948" s="6">
        <f>IFERROR(__xludf.DUMMYFUNCTION("""COMPUTED_VALUE"""),2.0)</f>
        <v>2</v>
      </c>
      <c r="G2948" s="6" t="str">
        <f>IFERROR(__xludf.DUMMYFUNCTION("""COMPUTED_VALUE"""),"Unit")</f>
        <v>Unit</v>
      </c>
      <c r="H2948" s="6" t="str">
        <f>IFERROR(__xludf.DUMMYFUNCTION("""COMPUTED_VALUE"""),"IDR")</f>
        <v>IDR</v>
      </c>
      <c r="I2948" s="6">
        <f>IFERROR(__xludf.DUMMYFUNCTION("""COMPUTED_VALUE"""),785000.0)</f>
        <v>785000</v>
      </c>
      <c r="J2948" s="6">
        <f>IFERROR(__xludf.DUMMYFUNCTION("""COMPUTED_VALUE"""),1570000.0)</f>
        <v>1570000</v>
      </c>
      <c r="K2948" s="57">
        <f>IFERROR(__xludf.DUMMYFUNCTION("""COMPUTED_VALUE"""),45339.0)</f>
        <v>45339</v>
      </c>
      <c r="L2948" s="6" t="str">
        <f>IFERROR(__xludf.DUMMYFUNCTION("""COMPUTED_VALUE"""),"FIP General")</f>
        <v>FIP General</v>
      </c>
      <c r="M2948" s="6" t="str">
        <f>IFERROR(__xludf.DUMMYFUNCTION("""COMPUTED_VALUE"""),"Mochammad Fadhillah Hakim,")</f>
        <v>Mochammad Fadhillah Hakim,</v>
      </c>
      <c r="N2948" s="6" t="str">
        <f>IFERROR(__xludf.DUMMYFUNCTION("""COMPUTED_VALUE"""),"FIP Engineering")</f>
        <v>FIP Engineering</v>
      </c>
      <c r="O2948" s="6" t="str">
        <f>IFERROR(__xludf.DUMMYFUNCTION("""COMPUTED_VALUE"""),"FIP-DOM-ENG-51504-0000000-INA-000000")</f>
        <v>FIP-DOM-ENG-51504-0000000-INA-000000</v>
      </c>
      <c r="P2948" s="6" t="str">
        <f>IFERROR(__xludf.DUMMYFUNCTION("""COMPUTED_VALUE"""),"PO Closed")</f>
        <v>PO Closed</v>
      </c>
      <c r="Q2948" s="6" t="str">
        <f>IFERROR(__xludf.DUMMYFUNCTION("""COMPUTED_VALUE"""),"GL2403002")</f>
        <v>GL2403002</v>
      </c>
      <c r="R2948" s="57">
        <f>IFERROR(__xludf.DUMMYFUNCTION("""COMPUTED_VALUE"""),45337.0)</f>
        <v>45337</v>
      </c>
      <c r="S2948" s="57">
        <f>IFERROR(__xludf.DUMMYFUNCTION("""COMPUTED_VALUE"""),45343.0)</f>
        <v>45343</v>
      </c>
      <c r="T2948" s="57">
        <f>IFERROR(__xludf.DUMMYFUNCTION("""COMPUTED_VALUE"""),45412.0)</f>
        <v>45412</v>
      </c>
    </row>
    <row r="2949">
      <c r="A2949" s="6" t="str">
        <f>IFERROR(__xludf.DUMMYFUNCTION("""COMPUTED_VALUE"""),"121701199-6")</f>
        <v>121701199-6</v>
      </c>
      <c r="B2949" s="6" t="str">
        <f>IFERROR(__xludf.DUMMYFUNCTION("""COMPUTED_VALUE"""),"121701199 - APPROVED")</f>
        <v>121701199 - APPROVED</v>
      </c>
      <c r="C2949" s="6">
        <f>IFERROR(__xludf.DUMMYFUNCTION("""COMPUTED_VALUE"""),6.0)</f>
        <v>6</v>
      </c>
      <c r="D2949" s="6" t="str">
        <f>IFERROR(__xludf.DUMMYFUNCTION("""COMPUTED_VALUE"""),"P-54226-00")</f>
        <v>P-54226-00</v>
      </c>
      <c r="E2949" s="6" t="str">
        <f>IFERROR(__xludf.DUMMYFUNCTION("""COMPUTED_VALUE"""),"Pompa Celup SS SE-268 San-Ei; San-Ei; ;")</f>
        <v>Pompa Celup SS SE-268 San-Ei; San-Ei; ;</v>
      </c>
      <c r="F2949" s="6">
        <f>IFERROR(__xludf.DUMMYFUNCTION("""COMPUTED_VALUE"""),1.0)</f>
        <v>1</v>
      </c>
      <c r="G2949" s="6" t="str">
        <f>IFERROR(__xludf.DUMMYFUNCTION("""COMPUTED_VALUE"""),"Unit")</f>
        <v>Unit</v>
      </c>
      <c r="H2949" s="6" t="str">
        <f>IFERROR(__xludf.DUMMYFUNCTION("""COMPUTED_VALUE"""),"IDR")</f>
        <v>IDR</v>
      </c>
      <c r="I2949" s="6">
        <f>IFERROR(__xludf.DUMMYFUNCTION("""COMPUTED_VALUE"""),1325000.0)</f>
        <v>1325000</v>
      </c>
      <c r="J2949" s="6">
        <f>IFERROR(__xludf.DUMMYFUNCTION("""COMPUTED_VALUE"""),1325000.0)</f>
        <v>1325000</v>
      </c>
      <c r="K2949" s="57">
        <f>IFERROR(__xludf.DUMMYFUNCTION("""COMPUTED_VALUE"""),45339.0)</f>
        <v>45339</v>
      </c>
      <c r="L2949" s="6" t="str">
        <f>IFERROR(__xludf.DUMMYFUNCTION("""COMPUTED_VALUE"""),"FIP General")</f>
        <v>FIP General</v>
      </c>
      <c r="M2949" s="6" t="str">
        <f>IFERROR(__xludf.DUMMYFUNCTION("""COMPUTED_VALUE"""),"Mochammad Fadhillah Hakim,")</f>
        <v>Mochammad Fadhillah Hakim,</v>
      </c>
      <c r="N2949" s="6" t="str">
        <f>IFERROR(__xludf.DUMMYFUNCTION("""COMPUTED_VALUE"""),"FIP Engineering")</f>
        <v>FIP Engineering</v>
      </c>
      <c r="O2949" s="6" t="str">
        <f>IFERROR(__xludf.DUMMYFUNCTION("""COMPUTED_VALUE"""),"FIP-DOM-ENG-51504-0000000-INA-000000")</f>
        <v>FIP-DOM-ENG-51504-0000000-INA-000000</v>
      </c>
      <c r="P2949" s="6" t="str">
        <f>IFERROR(__xludf.DUMMYFUNCTION("""COMPUTED_VALUE"""),"PO Closed")</f>
        <v>PO Closed</v>
      </c>
      <c r="Q2949" s="6" t="str">
        <f>IFERROR(__xludf.DUMMYFUNCTION("""COMPUTED_VALUE"""),"GL2403002")</f>
        <v>GL2403002</v>
      </c>
      <c r="R2949" s="57">
        <f>IFERROR(__xludf.DUMMYFUNCTION("""COMPUTED_VALUE"""),45337.0)</f>
        <v>45337</v>
      </c>
      <c r="S2949" s="57">
        <f>IFERROR(__xludf.DUMMYFUNCTION("""COMPUTED_VALUE"""),45343.0)</f>
        <v>45343</v>
      </c>
      <c r="T2949" s="57">
        <f>IFERROR(__xludf.DUMMYFUNCTION("""COMPUTED_VALUE"""),45412.0)</f>
        <v>45412</v>
      </c>
    </row>
    <row r="2950">
      <c r="A2950" s="6" t="str">
        <f>IFERROR(__xludf.DUMMYFUNCTION("""COMPUTED_VALUE"""),"121701199-7")</f>
        <v>121701199-7</v>
      </c>
      <c r="B2950" s="6" t="str">
        <f>IFERROR(__xludf.DUMMYFUNCTION("""COMPUTED_VALUE"""),"121701199 - APPROVED")</f>
        <v>121701199 - APPROVED</v>
      </c>
      <c r="C2950" s="6">
        <f>IFERROR(__xludf.DUMMYFUNCTION("""COMPUTED_VALUE"""),7.0)</f>
        <v>7</v>
      </c>
      <c r="D2950" s="6" t="str">
        <f>IFERROR(__xludf.DUMMYFUNCTION("""COMPUTED_VALUE"""),"P-54224-00")</f>
        <v>P-54224-00</v>
      </c>
      <c r="E2950" s="6" t="str">
        <f>IFERROR(__xludf.DUMMYFUNCTION("""COMPUTED_VALUE"""),"Lampu TL Emergency 18W; Custom; ;")</f>
        <v>Lampu TL Emergency 18W; Custom; ;</v>
      </c>
      <c r="F2950" s="6">
        <f>IFERROR(__xludf.DUMMYFUNCTION("""COMPUTED_VALUE"""),15.0)</f>
        <v>15</v>
      </c>
      <c r="G2950" s="6" t="str">
        <f>IFERROR(__xludf.DUMMYFUNCTION("""COMPUTED_VALUE"""),"Pieces")</f>
        <v>Pieces</v>
      </c>
      <c r="H2950" s="6" t="str">
        <f>IFERROR(__xludf.DUMMYFUNCTION("""COMPUTED_VALUE"""),"IDR")</f>
        <v>IDR</v>
      </c>
      <c r="I2950" s="6">
        <f>IFERROR(__xludf.DUMMYFUNCTION("""COMPUTED_VALUE"""),130000.0)</f>
        <v>130000</v>
      </c>
      <c r="J2950" s="6">
        <f>IFERROR(__xludf.DUMMYFUNCTION("""COMPUTED_VALUE"""),1950000.0)</f>
        <v>1950000</v>
      </c>
      <c r="K2950" s="57">
        <f>IFERROR(__xludf.DUMMYFUNCTION("""COMPUTED_VALUE"""),45339.0)</f>
        <v>45339</v>
      </c>
      <c r="L2950" s="6" t="str">
        <f>IFERROR(__xludf.DUMMYFUNCTION("""COMPUTED_VALUE"""),"FIP Engineering")</f>
        <v>FIP Engineering</v>
      </c>
      <c r="M2950" s="6" t="str">
        <f>IFERROR(__xludf.DUMMYFUNCTION("""COMPUTED_VALUE"""),"Mochammad Fadhillah Hakim,")</f>
        <v>Mochammad Fadhillah Hakim,</v>
      </c>
      <c r="N2950" s="6" t="str">
        <f>IFERROR(__xludf.DUMMYFUNCTION("""COMPUTED_VALUE"""),"FIP Engineering")</f>
        <v>FIP Engineering</v>
      </c>
      <c r="O2950" s="6" t="str">
        <f>IFERROR(__xludf.DUMMYFUNCTION("""COMPUTED_VALUE"""),"FIP-DOM-000-11304-OS00001-INA-000000")</f>
        <v>FIP-DOM-000-11304-OS00001-INA-000000</v>
      </c>
      <c r="P2950" s="6" t="str">
        <f>IFERROR(__xludf.DUMMYFUNCTION("""COMPUTED_VALUE"""),"PO Closed")</f>
        <v>PO Closed</v>
      </c>
      <c r="Q2950" s="6" t="str">
        <f>IFERROR(__xludf.DUMMYFUNCTION("""COMPUTED_VALUE"""),"GL2403002")</f>
        <v>GL2403002</v>
      </c>
      <c r="R2950" s="57">
        <f>IFERROR(__xludf.DUMMYFUNCTION("""COMPUTED_VALUE"""),45337.0)</f>
        <v>45337</v>
      </c>
      <c r="S2950" s="57">
        <f>IFERROR(__xludf.DUMMYFUNCTION("""COMPUTED_VALUE"""),45343.0)</f>
        <v>45343</v>
      </c>
      <c r="T2950" s="57">
        <f>IFERROR(__xludf.DUMMYFUNCTION("""COMPUTED_VALUE"""),45412.0)</f>
        <v>45412</v>
      </c>
    </row>
    <row r="2951">
      <c r="A2951" s="6" t="str">
        <f>IFERROR(__xludf.DUMMYFUNCTION("""COMPUTED_VALUE"""),"121701199-8")</f>
        <v>121701199-8</v>
      </c>
      <c r="B2951" s="6" t="str">
        <f>IFERROR(__xludf.DUMMYFUNCTION("""COMPUTED_VALUE"""),"121701199 - APPROVED")</f>
        <v>121701199 - APPROVED</v>
      </c>
      <c r="C2951" s="6">
        <f>IFERROR(__xludf.DUMMYFUNCTION("""COMPUTED_VALUE"""),8.0)</f>
        <v>8</v>
      </c>
      <c r="D2951" s="6" t="str">
        <f>IFERROR(__xludf.DUMMYFUNCTION("""COMPUTED_VALUE"""),"P-19038-00")</f>
        <v>P-19038-00</v>
      </c>
      <c r="E2951" s="6" t="str">
        <f>IFERROR(__xludf.DUMMYFUNCTION("""COMPUTED_VALUE"""),"Kunci Handle Panel MS 306-2-1 Hengzhu; Hengzhu; ;")</f>
        <v>Kunci Handle Panel MS 306-2-1 Hengzhu; Hengzhu; ;</v>
      </c>
      <c r="F2951" s="6">
        <f>IFERROR(__xludf.DUMMYFUNCTION("""COMPUTED_VALUE"""),2.0)</f>
        <v>2</v>
      </c>
      <c r="G2951" s="6" t="str">
        <f>IFERROR(__xludf.DUMMYFUNCTION("""COMPUTED_VALUE"""),"Pieces")</f>
        <v>Pieces</v>
      </c>
      <c r="H2951" s="6" t="str">
        <f>IFERROR(__xludf.DUMMYFUNCTION("""COMPUTED_VALUE"""),"IDR")</f>
        <v>IDR</v>
      </c>
      <c r="I2951" s="6">
        <f>IFERROR(__xludf.DUMMYFUNCTION("""COMPUTED_VALUE"""),165000.0)</f>
        <v>165000</v>
      </c>
      <c r="J2951" s="6">
        <f>IFERROR(__xludf.DUMMYFUNCTION("""COMPUTED_VALUE"""),330000.0)</f>
        <v>330000</v>
      </c>
      <c r="K2951" s="57">
        <f>IFERROR(__xludf.DUMMYFUNCTION("""COMPUTED_VALUE"""),45339.0)</f>
        <v>45339</v>
      </c>
      <c r="L2951" s="6" t="str">
        <f>IFERROR(__xludf.DUMMYFUNCTION("""COMPUTED_VALUE"""),"FIP Engineering")</f>
        <v>FIP Engineering</v>
      </c>
      <c r="M2951" s="6" t="str">
        <f>IFERROR(__xludf.DUMMYFUNCTION("""COMPUTED_VALUE"""),"Mochammad Fadhillah Hakim,")</f>
        <v>Mochammad Fadhillah Hakim,</v>
      </c>
      <c r="N2951" s="6" t="str">
        <f>IFERROR(__xludf.DUMMYFUNCTION("""COMPUTED_VALUE"""),"FIP Engineering")</f>
        <v>FIP Engineering</v>
      </c>
      <c r="O2951" s="6" t="str">
        <f>IFERROR(__xludf.DUMMYFUNCTION("""COMPUTED_VALUE"""),"FIP-DOM-000-11304-OS00001-INA-000000")</f>
        <v>FIP-DOM-000-11304-OS00001-INA-000000</v>
      </c>
      <c r="P2951" s="6" t="str">
        <f>IFERROR(__xludf.DUMMYFUNCTION("""COMPUTED_VALUE"""),"PO Closed")</f>
        <v>PO Closed</v>
      </c>
      <c r="Q2951" s="6" t="str">
        <f>IFERROR(__xludf.DUMMYFUNCTION("""COMPUTED_VALUE"""),"GL2403002")</f>
        <v>GL2403002</v>
      </c>
      <c r="R2951" s="57">
        <f>IFERROR(__xludf.DUMMYFUNCTION("""COMPUTED_VALUE"""),45337.0)</f>
        <v>45337</v>
      </c>
      <c r="S2951" s="57">
        <f>IFERROR(__xludf.DUMMYFUNCTION("""COMPUTED_VALUE"""),45343.0)</f>
        <v>45343</v>
      </c>
      <c r="T2951" s="57">
        <f>IFERROR(__xludf.DUMMYFUNCTION("""COMPUTED_VALUE"""),45412.0)</f>
        <v>45412</v>
      </c>
    </row>
    <row r="2952">
      <c r="A2952" s="6" t="str">
        <f>IFERROR(__xludf.DUMMYFUNCTION("""COMPUTED_VALUE"""),"121701199-9")</f>
        <v>121701199-9</v>
      </c>
      <c r="B2952" s="6" t="str">
        <f>IFERROR(__xludf.DUMMYFUNCTION("""COMPUTED_VALUE"""),"121701199 - APPROVED")</f>
        <v>121701199 - APPROVED</v>
      </c>
      <c r="C2952" s="6">
        <f>IFERROR(__xludf.DUMMYFUNCTION("""COMPUTED_VALUE"""),9.0)</f>
        <v>9</v>
      </c>
      <c r="D2952" s="6" t="str">
        <f>IFERROR(__xludf.DUMMYFUNCTION("""COMPUTED_VALUE"""),"O-19680-00")</f>
        <v>O-19680-00</v>
      </c>
      <c r="E2952" s="6" t="str">
        <f>IFERROR(__xludf.DUMMYFUNCTION("""COMPUTED_VALUE"""),"Oring EPDM 5,02 x 19,58 x 29,51 mm; Custom; ;")</f>
        <v>Oring EPDM 5,02 x 19,58 x 29,51 mm; Custom; ;</v>
      </c>
      <c r="F2952" s="6">
        <f>IFERROR(__xludf.DUMMYFUNCTION("""COMPUTED_VALUE"""),20.0)</f>
        <v>20</v>
      </c>
      <c r="G2952" s="6" t="str">
        <f>IFERROR(__xludf.DUMMYFUNCTION("""COMPUTED_VALUE"""),"Pieces")</f>
        <v>Pieces</v>
      </c>
      <c r="H2952" s="6" t="str">
        <f>IFERROR(__xludf.DUMMYFUNCTION("""COMPUTED_VALUE"""),"IDR")</f>
        <v>IDR</v>
      </c>
      <c r="I2952" s="6">
        <f>IFERROR(__xludf.DUMMYFUNCTION("""COMPUTED_VALUE"""),27500.0)</f>
        <v>27500</v>
      </c>
      <c r="J2952" s="6">
        <f>IFERROR(__xludf.DUMMYFUNCTION("""COMPUTED_VALUE"""),550000.0)</f>
        <v>550000</v>
      </c>
      <c r="K2952" s="57">
        <f>IFERROR(__xludf.DUMMYFUNCTION("""COMPUTED_VALUE"""),45339.0)</f>
        <v>45339</v>
      </c>
      <c r="L2952" s="6" t="str">
        <f>IFERROR(__xludf.DUMMYFUNCTION("""COMPUTED_VALUE"""),"FIP Engineering")</f>
        <v>FIP Engineering</v>
      </c>
      <c r="M2952" s="6" t="str">
        <f>IFERROR(__xludf.DUMMYFUNCTION("""COMPUTED_VALUE"""),"Mochammad Fadhillah Hakim,")</f>
        <v>Mochammad Fadhillah Hakim,</v>
      </c>
      <c r="N2952" s="6" t="str">
        <f>IFERROR(__xludf.DUMMYFUNCTION("""COMPUTED_VALUE"""),"FIP Engineering")</f>
        <v>FIP Engineering</v>
      </c>
      <c r="O2952" s="6" t="str">
        <f>IFERROR(__xludf.DUMMYFUNCTION("""COMPUTED_VALUE"""),"FIP-DOM-000-11304-OS00001-INA-000000")</f>
        <v>FIP-DOM-000-11304-OS00001-INA-000000</v>
      </c>
      <c r="P2952" s="6" t="str">
        <f>IFERROR(__xludf.DUMMYFUNCTION("""COMPUTED_VALUE"""),"PO Closed")</f>
        <v>PO Closed</v>
      </c>
      <c r="Q2952" s="6" t="str">
        <f>IFERROR(__xludf.DUMMYFUNCTION("""COMPUTED_VALUE"""),"GL2403042")</f>
        <v>GL2403042</v>
      </c>
      <c r="R2952" s="57">
        <f>IFERROR(__xludf.DUMMYFUNCTION("""COMPUTED_VALUE"""),45337.0)</f>
        <v>45337</v>
      </c>
      <c r="S2952" s="57">
        <f>IFERROR(__xludf.DUMMYFUNCTION("""COMPUTED_VALUE"""),45343.0)</f>
        <v>45343</v>
      </c>
      <c r="T2952" s="57">
        <f>IFERROR(__xludf.DUMMYFUNCTION("""COMPUTED_VALUE"""),45339.0)</f>
        <v>45339</v>
      </c>
    </row>
    <row r="2953">
      <c r="A2953" s="6" t="str">
        <f>IFERROR(__xludf.DUMMYFUNCTION("""COMPUTED_VALUE"""),"121701199-10")</f>
        <v>121701199-10</v>
      </c>
      <c r="B2953" s="6" t="str">
        <f>IFERROR(__xludf.DUMMYFUNCTION("""COMPUTED_VALUE"""),"121701199 - APPROVED")</f>
        <v>121701199 - APPROVED</v>
      </c>
      <c r="C2953" s="6">
        <f>IFERROR(__xludf.DUMMYFUNCTION("""COMPUTED_VALUE"""),10.0)</f>
        <v>10</v>
      </c>
      <c r="D2953" s="6" t="str">
        <f>IFERROR(__xludf.DUMMYFUNCTION("""COMPUTED_VALUE"""),"P-18908-00")</f>
        <v>P-18908-00</v>
      </c>
      <c r="E2953" s="6" t="str">
        <f>IFERROR(__xludf.DUMMYFUNCTION("""COMPUTED_VALUE"""),"Mata Bor Besi HSS Point TeQ 13 Pcs (1.5 mm - 6.5 mm); Bosch; ;")</f>
        <v>Mata Bor Besi HSS Point TeQ 13 Pcs (1.5 mm - 6.5 mm); Bosch; ;</v>
      </c>
      <c r="F2953" s="6">
        <f>IFERROR(__xludf.DUMMYFUNCTION("""COMPUTED_VALUE"""),1.0)</f>
        <v>1</v>
      </c>
      <c r="G2953" s="6" t="str">
        <f>IFERROR(__xludf.DUMMYFUNCTION("""COMPUTED_VALUE"""),"Pieces")</f>
        <v>Pieces</v>
      </c>
      <c r="H2953" s="6" t="str">
        <f>IFERROR(__xludf.DUMMYFUNCTION("""COMPUTED_VALUE"""),"IDR")</f>
        <v>IDR</v>
      </c>
      <c r="I2953" s="6">
        <f>IFERROR(__xludf.DUMMYFUNCTION("""COMPUTED_VALUE"""),465000.0)</f>
        <v>465000</v>
      </c>
      <c r="J2953" s="6">
        <f>IFERROR(__xludf.DUMMYFUNCTION("""COMPUTED_VALUE"""),465000.0)</f>
        <v>465000</v>
      </c>
      <c r="K2953" s="57">
        <f>IFERROR(__xludf.DUMMYFUNCTION("""COMPUTED_VALUE"""),45339.0)</f>
        <v>45339</v>
      </c>
      <c r="L2953" s="6" t="str">
        <f>IFERROR(__xludf.DUMMYFUNCTION("""COMPUTED_VALUE"""),"FIP Engineering")</f>
        <v>FIP Engineering</v>
      </c>
      <c r="M2953" s="6" t="str">
        <f>IFERROR(__xludf.DUMMYFUNCTION("""COMPUTED_VALUE"""),"Mochammad Fadhillah Hakim,")</f>
        <v>Mochammad Fadhillah Hakim,</v>
      </c>
      <c r="N2953" s="6" t="str">
        <f>IFERROR(__xludf.DUMMYFUNCTION("""COMPUTED_VALUE"""),"FIP Engineering")</f>
        <v>FIP Engineering</v>
      </c>
      <c r="O2953" s="6" t="str">
        <f>IFERROR(__xludf.DUMMYFUNCTION("""COMPUTED_VALUE"""),"FIP-DOM-000-11304-OS00001-INA-000000")</f>
        <v>FIP-DOM-000-11304-OS00001-INA-000000</v>
      </c>
      <c r="P2953" s="6" t="str">
        <f>IFERROR(__xludf.DUMMYFUNCTION("""COMPUTED_VALUE"""),"PO Closed")</f>
        <v>PO Closed</v>
      </c>
      <c r="Q2953" s="6" t="str">
        <f>IFERROR(__xludf.DUMMYFUNCTION("""COMPUTED_VALUE"""),"GL2403002")</f>
        <v>GL2403002</v>
      </c>
      <c r="R2953" s="57">
        <f>IFERROR(__xludf.DUMMYFUNCTION("""COMPUTED_VALUE"""),45337.0)</f>
        <v>45337</v>
      </c>
      <c r="S2953" s="57">
        <f>IFERROR(__xludf.DUMMYFUNCTION("""COMPUTED_VALUE"""),45343.0)</f>
        <v>45343</v>
      </c>
      <c r="T2953" s="57">
        <f>IFERROR(__xludf.DUMMYFUNCTION("""COMPUTED_VALUE"""),45412.0)</f>
        <v>45412</v>
      </c>
    </row>
    <row r="2954">
      <c r="A2954" s="6" t="str">
        <f>IFERROR(__xludf.DUMMYFUNCTION("""COMPUTED_VALUE"""),"121701202-1")</f>
        <v>121701202-1</v>
      </c>
      <c r="B2954" s="6" t="str">
        <f>IFERROR(__xludf.DUMMYFUNCTION("""COMPUTED_VALUE"""),"121701202 - APPROVED")</f>
        <v>121701202 - APPROVED</v>
      </c>
      <c r="C2954" s="6">
        <f>IFERROR(__xludf.DUMMYFUNCTION("""COMPUTED_VALUE"""),1.0)</f>
        <v>1</v>
      </c>
      <c r="D2954" s="6" t="str">
        <f>IFERROR(__xludf.DUMMYFUNCTION("""COMPUTED_VALUE"""),"O-19685-00")</f>
        <v>O-19685-00</v>
      </c>
      <c r="E2954" s="6" t="str">
        <f>IFERROR(__xludf.DUMMYFUNCTION("""COMPUTED_VALUE"""),"Coupling HRC Complete; STARKZ; 090FF;")</f>
        <v>Coupling HRC Complete; STARKZ; 090FF;</v>
      </c>
      <c r="F2954" s="6">
        <f>IFERROR(__xludf.DUMMYFUNCTION("""COMPUTED_VALUE"""),1.0)</f>
        <v>1</v>
      </c>
      <c r="G2954" s="6" t="str">
        <f>IFERROR(__xludf.DUMMYFUNCTION("""COMPUTED_VALUE"""),"Set")</f>
        <v>Set</v>
      </c>
      <c r="H2954" s="6" t="str">
        <f>IFERROR(__xludf.DUMMYFUNCTION("""COMPUTED_VALUE"""),"IDR")</f>
        <v>IDR</v>
      </c>
      <c r="I2954" s="6">
        <f>IFERROR(__xludf.DUMMYFUNCTION("""COMPUTED_VALUE"""),437000.0)</f>
        <v>437000</v>
      </c>
      <c r="J2954" s="6">
        <f>IFERROR(__xludf.DUMMYFUNCTION("""COMPUTED_VALUE"""),437000.0)</f>
        <v>437000</v>
      </c>
      <c r="K2954" s="57">
        <f>IFERROR(__xludf.DUMMYFUNCTION("""COMPUTED_VALUE"""),45340.0)</f>
        <v>45340</v>
      </c>
      <c r="L2954" s="6" t="str">
        <f>IFERROR(__xludf.DUMMYFUNCTION("""COMPUTED_VALUE"""),"FIP Engineering")</f>
        <v>FIP Engineering</v>
      </c>
      <c r="M2954" s="6" t="str">
        <f>IFERROR(__xludf.DUMMYFUNCTION("""COMPUTED_VALUE"""),"Mochammad Fadhillah Hakim,")</f>
        <v>Mochammad Fadhillah Hakim,</v>
      </c>
      <c r="N2954" s="6" t="str">
        <f>IFERROR(__xludf.DUMMYFUNCTION("""COMPUTED_VALUE"""),"FIP Engineering")</f>
        <v>FIP Engineering</v>
      </c>
      <c r="O2954" s="6" t="str">
        <f>IFERROR(__xludf.DUMMYFUNCTION("""COMPUTED_VALUE"""),"FIP-DOM-000-11304-OS00001-INA-000000")</f>
        <v>FIP-DOM-000-11304-OS00001-INA-000000</v>
      </c>
      <c r="P2954" s="6" t="str">
        <f>IFERROR(__xludf.DUMMYFUNCTION("""COMPUTED_VALUE"""),"PO Closed")</f>
        <v>PO Closed</v>
      </c>
      <c r="Q2954" s="6" t="str">
        <f>IFERROR(__xludf.DUMMYFUNCTION("""COMPUTED_VALUE"""),"GL2402054")</f>
        <v>GL2402054</v>
      </c>
      <c r="R2954" s="57">
        <f>IFERROR(__xludf.DUMMYFUNCTION("""COMPUTED_VALUE"""),45338.0)</f>
        <v>45338</v>
      </c>
      <c r="S2954" s="57">
        <f>IFERROR(__xludf.DUMMYFUNCTION("""COMPUTED_VALUE"""),45341.0)</f>
        <v>45341</v>
      </c>
      <c r="T2954" s="6"/>
    </row>
    <row r="2955">
      <c r="A2955" s="6" t="str">
        <f>IFERROR(__xludf.DUMMYFUNCTION("""COMPUTED_VALUE"""),"121701202-2")</f>
        <v>121701202-2</v>
      </c>
      <c r="B2955" s="6" t="str">
        <f>IFERROR(__xludf.DUMMYFUNCTION("""COMPUTED_VALUE"""),"121701202 - APPROVED")</f>
        <v>121701202 - APPROVED</v>
      </c>
      <c r="C2955" s="6">
        <f>IFERROR(__xludf.DUMMYFUNCTION("""COMPUTED_VALUE"""),2.0)</f>
        <v>2</v>
      </c>
      <c r="D2955" s="6" t="str">
        <f>IFERROR(__xludf.DUMMYFUNCTION("""COMPUTED_VALUE"""),"O-19687-00")</f>
        <v>O-19687-00</v>
      </c>
      <c r="E2955" s="6" t="str">
        <f>IFERROR(__xludf.DUMMYFUNCTION("""COMPUTED_VALUE"""),"Tapper Bush Uk. 1108x16 mm; Lokal; ;")</f>
        <v>Tapper Bush Uk. 1108x16 mm; Lokal; ;</v>
      </c>
      <c r="F2955" s="6">
        <f>IFERROR(__xludf.DUMMYFUNCTION("""COMPUTED_VALUE"""),2.0)</f>
        <v>2</v>
      </c>
      <c r="G2955" s="6" t="str">
        <f>IFERROR(__xludf.DUMMYFUNCTION("""COMPUTED_VALUE"""),"Pieces")</f>
        <v>Pieces</v>
      </c>
      <c r="H2955" s="6" t="str">
        <f>IFERROR(__xludf.DUMMYFUNCTION("""COMPUTED_VALUE"""),"IDR")</f>
        <v>IDR</v>
      </c>
      <c r="I2955" s="6">
        <f>IFERROR(__xludf.DUMMYFUNCTION("""COMPUTED_VALUE"""),82000.0)</f>
        <v>82000</v>
      </c>
      <c r="J2955" s="6">
        <f>IFERROR(__xludf.DUMMYFUNCTION("""COMPUTED_VALUE"""),164000.0)</f>
        <v>164000</v>
      </c>
      <c r="K2955" s="57">
        <f>IFERROR(__xludf.DUMMYFUNCTION("""COMPUTED_VALUE"""),45340.0)</f>
        <v>45340</v>
      </c>
      <c r="L2955" s="6" t="str">
        <f>IFERROR(__xludf.DUMMYFUNCTION("""COMPUTED_VALUE"""),"FIP Engineering")</f>
        <v>FIP Engineering</v>
      </c>
      <c r="M2955" s="6" t="str">
        <f>IFERROR(__xludf.DUMMYFUNCTION("""COMPUTED_VALUE"""),"Mochammad Fadhillah Hakim,")</f>
        <v>Mochammad Fadhillah Hakim,</v>
      </c>
      <c r="N2955" s="6" t="str">
        <f>IFERROR(__xludf.DUMMYFUNCTION("""COMPUTED_VALUE"""),"FIP Engineering")</f>
        <v>FIP Engineering</v>
      </c>
      <c r="O2955" s="6" t="str">
        <f>IFERROR(__xludf.DUMMYFUNCTION("""COMPUTED_VALUE"""),"FIP-DOM-000-11304-OS00001-INA-000000")</f>
        <v>FIP-DOM-000-11304-OS00001-INA-000000</v>
      </c>
      <c r="P2955" s="6" t="str">
        <f>IFERROR(__xludf.DUMMYFUNCTION("""COMPUTED_VALUE"""),"PO Closed")</f>
        <v>PO Closed</v>
      </c>
      <c r="Q2955" s="6" t="str">
        <f>IFERROR(__xludf.DUMMYFUNCTION("""COMPUTED_VALUE"""),"GL2402054")</f>
        <v>GL2402054</v>
      </c>
      <c r="R2955" s="57">
        <f>IFERROR(__xludf.DUMMYFUNCTION("""COMPUTED_VALUE"""),45338.0)</f>
        <v>45338</v>
      </c>
      <c r="S2955" s="57">
        <f>IFERROR(__xludf.DUMMYFUNCTION("""COMPUTED_VALUE"""),45341.0)</f>
        <v>45341</v>
      </c>
      <c r="T2955" s="6"/>
    </row>
    <row r="2956">
      <c r="A2956" s="6" t="str">
        <f>IFERROR(__xludf.DUMMYFUNCTION("""COMPUTED_VALUE"""),"121701202-3")</f>
        <v>121701202-3</v>
      </c>
      <c r="B2956" s="6" t="str">
        <f>IFERROR(__xludf.DUMMYFUNCTION("""COMPUTED_VALUE"""),"121701202 - APPROVED")</f>
        <v>121701202 - APPROVED</v>
      </c>
      <c r="C2956" s="6">
        <f>IFERROR(__xludf.DUMMYFUNCTION("""COMPUTED_VALUE"""),3.0)</f>
        <v>3</v>
      </c>
      <c r="D2956" s="6" t="str">
        <f>IFERROR(__xludf.DUMMYFUNCTION("""COMPUTED_VALUE"""),"O-19686-00")</f>
        <v>O-19686-00</v>
      </c>
      <c r="E2956" s="6" t="str">
        <f>IFERROR(__xludf.DUMMYFUNCTION("""COMPUTED_VALUE"""),"Rubber Coupling HRC; Lokal; ;")</f>
        <v>Rubber Coupling HRC; Lokal; ;</v>
      </c>
      <c r="F2956" s="6">
        <f>IFERROR(__xludf.DUMMYFUNCTION("""COMPUTED_VALUE"""),2.0)</f>
        <v>2</v>
      </c>
      <c r="G2956" s="6" t="str">
        <f>IFERROR(__xludf.DUMMYFUNCTION("""COMPUTED_VALUE"""),"Pieces")</f>
        <v>Pieces</v>
      </c>
      <c r="H2956" s="6" t="str">
        <f>IFERROR(__xludf.DUMMYFUNCTION("""COMPUTED_VALUE"""),"IDR")</f>
        <v>IDR</v>
      </c>
      <c r="I2956" s="6">
        <f>IFERROR(__xludf.DUMMYFUNCTION("""COMPUTED_VALUE"""),62000.0)</f>
        <v>62000</v>
      </c>
      <c r="J2956" s="6">
        <f>IFERROR(__xludf.DUMMYFUNCTION("""COMPUTED_VALUE"""),124000.0)</f>
        <v>124000</v>
      </c>
      <c r="K2956" s="57">
        <f>IFERROR(__xludf.DUMMYFUNCTION("""COMPUTED_VALUE"""),45340.0)</f>
        <v>45340</v>
      </c>
      <c r="L2956" s="6" t="str">
        <f>IFERROR(__xludf.DUMMYFUNCTION("""COMPUTED_VALUE"""),"FIP Engineering")</f>
        <v>FIP Engineering</v>
      </c>
      <c r="M2956" s="6" t="str">
        <f>IFERROR(__xludf.DUMMYFUNCTION("""COMPUTED_VALUE"""),"Mochammad Fadhillah Hakim,")</f>
        <v>Mochammad Fadhillah Hakim,</v>
      </c>
      <c r="N2956" s="6" t="str">
        <f>IFERROR(__xludf.DUMMYFUNCTION("""COMPUTED_VALUE"""),"FIP Engineering")</f>
        <v>FIP Engineering</v>
      </c>
      <c r="O2956" s="6" t="str">
        <f>IFERROR(__xludf.DUMMYFUNCTION("""COMPUTED_VALUE"""),"FIP-DOM-000-11304-OS00001-INA-000000")</f>
        <v>FIP-DOM-000-11304-OS00001-INA-000000</v>
      </c>
      <c r="P2956" s="6" t="str">
        <f>IFERROR(__xludf.DUMMYFUNCTION("""COMPUTED_VALUE"""),"PO Closed")</f>
        <v>PO Closed</v>
      </c>
      <c r="Q2956" s="6" t="str">
        <f>IFERROR(__xludf.DUMMYFUNCTION("""COMPUTED_VALUE"""),"GL2402054")</f>
        <v>GL2402054</v>
      </c>
      <c r="R2956" s="57">
        <f>IFERROR(__xludf.DUMMYFUNCTION("""COMPUTED_VALUE"""),45338.0)</f>
        <v>45338</v>
      </c>
      <c r="S2956" s="57">
        <f>IFERROR(__xludf.DUMMYFUNCTION("""COMPUTED_VALUE"""),45341.0)</f>
        <v>45341</v>
      </c>
      <c r="T2956" s="6"/>
    </row>
    <row r="2957">
      <c r="A2957" s="6" t="str">
        <f>IFERROR(__xludf.DUMMYFUNCTION("""COMPUTED_VALUE"""),"121701203-1")</f>
        <v>121701203-1</v>
      </c>
      <c r="B2957" s="6" t="str">
        <f>IFERROR(__xludf.DUMMYFUNCTION("""COMPUTED_VALUE"""),"121701203 - APPROVED")</f>
        <v>121701203 - APPROVED</v>
      </c>
      <c r="C2957" s="6">
        <f>IFERROR(__xludf.DUMMYFUNCTION("""COMPUTED_VALUE"""),1.0)</f>
        <v>1</v>
      </c>
      <c r="D2957" s="6" t="str">
        <f>IFERROR(__xludf.DUMMYFUNCTION("""COMPUTED_VALUE"""),"O-54174-00")</f>
        <v>O-54174-00</v>
      </c>
      <c r="E2957" s="6" t="str">
        <f>IFERROR(__xludf.DUMMYFUNCTION("""COMPUTED_VALUE"""),"cRABS z064CR - Control Unit for Security Phot; Steriline; P/N 5914;")</f>
        <v>cRABS z064CR - Control Unit for Security Phot; Steriline; P/N 5914;</v>
      </c>
      <c r="F2957" s="6">
        <f>IFERROR(__xludf.DUMMYFUNCTION("""COMPUTED_VALUE"""),2.0)</f>
        <v>2</v>
      </c>
      <c r="G2957" s="6" t="str">
        <f>IFERROR(__xludf.DUMMYFUNCTION("""COMPUTED_VALUE"""),"Pieces")</f>
        <v>Pieces</v>
      </c>
      <c r="H2957" s="6" t="str">
        <f>IFERROR(__xludf.DUMMYFUNCTION("""COMPUTED_VALUE"""),"IDR")</f>
        <v>IDR</v>
      </c>
      <c r="I2957" s="6">
        <f>IFERROR(__xludf.DUMMYFUNCTION("""COMPUTED_VALUE"""),1.70824E7)</f>
        <v>17082400</v>
      </c>
      <c r="J2957" s="6">
        <f>IFERROR(__xludf.DUMMYFUNCTION("""COMPUTED_VALUE"""),3.41648E7)</f>
        <v>34164800</v>
      </c>
      <c r="K2957" s="57">
        <f>IFERROR(__xludf.DUMMYFUNCTION("""COMPUTED_VALUE"""),45342.0)</f>
        <v>45342</v>
      </c>
      <c r="L2957" s="6" t="str">
        <f>IFERROR(__xludf.DUMMYFUNCTION("""COMPUTED_VALUE"""),"FIP Engineering")</f>
        <v>FIP Engineering</v>
      </c>
      <c r="M2957" s="6" t="str">
        <f>IFERROR(__xludf.DUMMYFUNCTION("""COMPUTED_VALUE"""),"Mochammad Fadhillah Hakim,")</f>
        <v>Mochammad Fadhillah Hakim,</v>
      </c>
      <c r="N2957" s="6" t="str">
        <f>IFERROR(__xludf.DUMMYFUNCTION("""COMPUTED_VALUE"""),"FIP Engineering")</f>
        <v>FIP Engineering</v>
      </c>
      <c r="O2957" s="6" t="str">
        <f>IFERROR(__xludf.DUMMYFUNCTION("""COMPUTED_VALUE"""),"FIP-DOM-000-11304-OS00001-INA-000000")</f>
        <v>FIP-DOM-000-11304-OS00001-INA-000000</v>
      </c>
      <c r="P2957" s="6" t="str">
        <f>IFERROR(__xludf.DUMMYFUNCTION("""COMPUTED_VALUE"""),"PO Closed")</f>
        <v>PO Closed</v>
      </c>
      <c r="Q2957" s="6"/>
      <c r="R2957" s="57">
        <f>IFERROR(__xludf.DUMMYFUNCTION("""COMPUTED_VALUE"""),45338.0)</f>
        <v>45338</v>
      </c>
      <c r="S2957" s="57">
        <f>IFERROR(__xludf.DUMMYFUNCTION("""COMPUTED_VALUE"""),45349.0)</f>
        <v>45349</v>
      </c>
      <c r="T2957" s="57">
        <f>IFERROR(__xludf.DUMMYFUNCTION("""COMPUTED_VALUE"""),45503.0)</f>
        <v>45503</v>
      </c>
    </row>
    <row r="2958">
      <c r="A2958" s="6" t="str">
        <f>IFERROR(__xludf.DUMMYFUNCTION("""COMPUTED_VALUE"""),"121701203-2")</f>
        <v>121701203-2</v>
      </c>
      <c r="B2958" s="6" t="str">
        <f>IFERROR(__xludf.DUMMYFUNCTION("""COMPUTED_VALUE"""),"121701203 - APPROVED")</f>
        <v>121701203 - APPROVED</v>
      </c>
      <c r="C2958" s="6">
        <f>IFERROR(__xludf.DUMMYFUNCTION("""COMPUTED_VALUE"""),2.0)</f>
        <v>2</v>
      </c>
      <c r="D2958" s="6" t="str">
        <f>IFERROR(__xludf.DUMMYFUNCTION("""COMPUTED_VALUE"""),"O-54164-00")</f>
        <v>O-54164-00</v>
      </c>
      <c r="E2958" s="6" t="str">
        <f>IFERROR(__xludf.DUMMYFUNCTION("""COMPUTED_VALUE"""),"Capping VCM200 - Fieldline Modular Device; Steriline; P/N 202024;")</f>
        <v>Capping VCM200 - Fieldline Modular Device; Steriline; P/N 202024;</v>
      </c>
      <c r="F2958" s="6">
        <f>IFERROR(__xludf.DUMMYFUNCTION("""COMPUTED_VALUE"""),1.0)</f>
        <v>1</v>
      </c>
      <c r="G2958" s="6" t="str">
        <f>IFERROR(__xludf.DUMMYFUNCTION("""COMPUTED_VALUE"""),"Pieces")</f>
        <v>Pieces</v>
      </c>
      <c r="H2958" s="6" t="str">
        <f>IFERROR(__xludf.DUMMYFUNCTION("""COMPUTED_VALUE"""),"IDR")</f>
        <v>IDR</v>
      </c>
      <c r="I2958" s="6">
        <f>IFERROR(__xludf.DUMMYFUNCTION("""COMPUTED_VALUE"""),6977052.0)</f>
        <v>6977052</v>
      </c>
      <c r="J2958" s="6">
        <f>IFERROR(__xludf.DUMMYFUNCTION("""COMPUTED_VALUE"""),6977052.0)</f>
        <v>6977052</v>
      </c>
      <c r="K2958" s="57">
        <f>IFERROR(__xludf.DUMMYFUNCTION("""COMPUTED_VALUE"""),45342.0)</f>
        <v>45342</v>
      </c>
      <c r="L2958" s="6" t="str">
        <f>IFERROR(__xludf.DUMMYFUNCTION("""COMPUTED_VALUE"""),"FIP Engineering")</f>
        <v>FIP Engineering</v>
      </c>
      <c r="M2958" s="6" t="str">
        <f>IFERROR(__xludf.DUMMYFUNCTION("""COMPUTED_VALUE"""),"Mochammad Fadhillah Hakim,")</f>
        <v>Mochammad Fadhillah Hakim,</v>
      </c>
      <c r="N2958" s="6" t="str">
        <f>IFERROR(__xludf.DUMMYFUNCTION("""COMPUTED_VALUE"""),"FIP Engineering")</f>
        <v>FIP Engineering</v>
      </c>
      <c r="O2958" s="6" t="str">
        <f>IFERROR(__xludf.DUMMYFUNCTION("""COMPUTED_VALUE"""),"FIP-DOM-000-11304-OS00001-INA-000000")</f>
        <v>FIP-DOM-000-11304-OS00001-INA-000000</v>
      </c>
      <c r="P2958" s="6" t="str">
        <f>IFERROR(__xludf.DUMMYFUNCTION("""COMPUTED_VALUE"""),"PO Closed")</f>
        <v>PO Closed</v>
      </c>
      <c r="Q2958" s="6" t="str">
        <f>IFERROR(__xludf.DUMMYFUNCTION("""COMPUTED_VALUE"""),"GL2404061")</f>
        <v>GL2404061</v>
      </c>
      <c r="R2958" s="57">
        <f>IFERROR(__xludf.DUMMYFUNCTION("""COMPUTED_VALUE"""),45338.0)</f>
        <v>45338</v>
      </c>
      <c r="S2958" s="57">
        <f>IFERROR(__xludf.DUMMYFUNCTION("""COMPUTED_VALUE"""),45349.0)</f>
        <v>45349</v>
      </c>
      <c r="T2958" s="57">
        <f>IFERROR(__xludf.DUMMYFUNCTION("""COMPUTED_VALUE"""),45746.0)</f>
        <v>45746</v>
      </c>
    </row>
    <row r="2959">
      <c r="A2959" s="6" t="str">
        <f>IFERROR(__xludf.DUMMYFUNCTION("""COMPUTED_VALUE"""),"121701203-4")</f>
        <v>121701203-4</v>
      </c>
      <c r="B2959" s="6" t="str">
        <f>IFERROR(__xludf.DUMMYFUNCTION("""COMPUTED_VALUE"""),"121701203 - APPROVED")</f>
        <v>121701203 - APPROVED</v>
      </c>
      <c r="C2959" s="6">
        <f>IFERROR(__xludf.DUMMYFUNCTION("""COMPUTED_VALUE"""),4.0)</f>
        <v>4</v>
      </c>
      <c r="D2959" s="6" t="str">
        <f>IFERROR(__xludf.DUMMYFUNCTION("""COMPUTED_VALUE"""),"O-15573-00")</f>
        <v>O-15573-00</v>
      </c>
      <c r="E2959" s="6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F2959" s="6">
        <f>IFERROR(__xludf.DUMMYFUNCTION("""COMPUTED_VALUE"""),1.0)</f>
        <v>1</v>
      </c>
      <c r="G2959" s="6" t="str">
        <f>IFERROR(__xludf.DUMMYFUNCTION("""COMPUTED_VALUE"""),"Unit")</f>
        <v>Unit</v>
      </c>
      <c r="H2959" s="6" t="str">
        <f>IFERROR(__xludf.DUMMYFUNCTION("""COMPUTED_VALUE"""),"IDR")</f>
        <v>IDR</v>
      </c>
      <c r="I2959" s="6">
        <f>IFERROR(__xludf.DUMMYFUNCTION("""COMPUTED_VALUE"""),2013890.0)</f>
        <v>2013890</v>
      </c>
      <c r="J2959" s="6">
        <f>IFERROR(__xludf.DUMMYFUNCTION("""COMPUTED_VALUE"""),2013890.0)</f>
        <v>2013890</v>
      </c>
      <c r="K2959" s="57">
        <f>IFERROR(__xludf.DUMMYFUNCTION("""COMPUTED_VALUE"""),45343.0)</f>
        <v>45343</v>
      </c>
      <c r="L2959" s="6" t="str">
        <f>IFERROR(__xludf.DUMMYFUNCTION("""COMPUTED_VALUE"""),"FIP Engineering")</f>
        <v>FIP Engineering</v>
      </c>
      <c r="M2959" s="6" t="str">
        <f>IFERROR(__xludf.DUMMYFUNCTION("""COMPUTED_VALUE"""),"Mochammad Fadhillah Hakim,")</f>
        <v>Mochammad Fadhillah Hakim,</v>
      </c>
      <c r="N2959" s="6" t="str">
        <f>IFERROR(__xludf.DUMMYFUNCTION("""COMPUTED_VALUE"""),"FIP Engineering")</f>
        <v>FIP Engineering</v>
      </c>
      <c r="O2959" s="6" t="str">
        <f>IFERROR(__xludf.DUMMYFUNCTION("""COMPUTED_VALUE"""),"FIP-DOM-000-11304-OS00001-INA-000000")</f>
        <v>FIP-DOM-000-11304-OS00001-INA-000000</v>
      </c>
      <c r="P2959" s="6" t="str">
        <f>IFERROR(__xludf.DUMMYFUNCTION("""COMPUTED_VALUE"""),"PO Closed")</f>
        <v>PO Closed</v>
      </c>
      <c r="Q2959" s="6" t="str">
        <f>IFERROR(__xludf.DUMMYFUNCTION("""COMPUTED_VALUE"""),"GL2404061")</f>
        <v>GL2404061</v>
      </c>
      <c r="R2959" s="57">
        <f>IFERROR(__xludf.DUMMYFUNCTION("""COMPUTED_VALUE"""),45338.0)</f>
        <v>45338</v>
      </c>
      <c r="S2959" s="57">
        <f>IFERROR(__xludf.DUMMYFUNCTION("""COMPUTED_VALUE"""),45349.0)</f>
        <v>45349</v>
      </c>
      <c r="T2959" s="57">
        <f>IFERROR(__xludf.DUMMYFUNCTION("""COMPUTED_VALUE"""),45746.0)</f>
        <v>45746</v>
      </c>
    </row>
    <row r="2960">
      <c r="A2960" s="6" t="str">
        <f>IFERROR(__xludf.DUMMYFUNCTION("""COMPUTED_VALUE"""),"121701205-1")</f>
        <v>121701205-1</v>
      </c>
      <c r="B2960" s="6" t="str">
        <f>IFERROR(__xludf.DUMMYFUNCTION("""COMPUTED_VALUE"""),"121701205 - APPROVED")</f>
        <v>121701205 - APPROVED</v>
      </c>
      <c r="C2960" s="6">
        <f>IFERROR(__xludf.DUMMYFUNCTION("""COMPUTED_VALUE"""),1.0)</f>
        <v>1</v>
      </c>
      <c r="D2960" s="6" t="str">
        <f>IFERROR(__xludf.DUMMYFUNCTION("""COMPUTED_VALUE"""),"O-51944-00")</f>
        <v>O-51944-00</v>
      </c>
      <c r="E2960" s="6" t="str">
        <f>IFERROR(__xludf.DUMMYFUNCTION("""COMPUTED_VALUE"""),"Connector Plug for Profibus,Simatic DP 6ES7972-0BB12-0XA0; Siemens; ;")</f>
        <v>Connector Plug for Profibus,Simatic DP 6ES7972-0BB12-0XA0; Siemens; ;</v>
      </c>
      <c r="F2960" s="6">
        <f>IFERROR(__xludf.DUMMYFUNCTION("""COMPUTED_VALUE"""),1.0)</f>
        <v>1</v>
      </c>
      <c r="G2960" s="6" t="str">
        <f>IFERROR(__xludf.DUMMYFUNCTION("""COMPUTED_VALUE"""),"Pieces")</f>
        <v>Pieces</v>
      </c>
      <c r="H2960" s="6" t="str">
        <f>IFERROR(__xludf.DUMMYFUNCTION("""COMPUTED_VALUE"""),"IDR")</f>
        <v>IDR</v>
      </c>
      <c r="I2960" s="6">
        <f>IFERROR(__xludf.DUMMYFUNCTION("""COMPUTED_VALUE"""),700000.0)</f>
        <v>700000</v>
      </c>
      <c r="J2960" s="6">
        <f>IFERROR(__xludf.DUMMYFUNCTION("""COMPUTED_VALUE"""),700000.0)</f>
        <v>700000</v>
      </c>
      <c r="K2960" s="57">
        <f>IFERROR(__xludf.DUMMYFUNCTION("""COMPUTED_VALUE"""),45343.0)</f>
        <v>45343</v>
      </c>
      <c r="L2960" s="6" t="str">
        <f>IFERROR(__xludf.DUMMYFUNCTION("""COMPUTED_VALUE"""),"FIP General")</f>
        <v>FIP General</v>
      </c>
      <c r="M2960" s="6" t="str">
        <f>IFERROR(__xludf.DUMMYFUNCTION("""COMPUTED_VALUE"""),"Mochammad Fadhillah Hakim,")</f>
        <v>Mochammad Fadhillah Hakim,</v>
      </c>
      <c r="N2960" s="6" t="str">
        <f>IFERROR(__xludf.DUMMYFUNCTION("""COMPUTED_VALUE"""),"FIP Engineering")</f>
        <v>FIP Engineering</v>
      </c>
      <c r="O2960" s="6" t="str">
        <f>IFERROR(__xludf.DUMMYFUNCTION("""COMPUTED_VALUE"""),"FIP-DOM-ENG-51504-0000000-INA-000000")</f>
        <v>FIP-DOM-ENG-51504-0000000-INA-000000</v>
      </c>
      <c r="P2960" s="6" t="str">
        <f>IFERROR(__xludf.DUMMYFUNCTION("""COMPUTED_VALUE"""),"PO Closed")</f>
        <v>PO Closed</v>
      </c>
      <c r="Q2960" s="6" t="str">
        <f>IFERROR(__xludf.DUMMYFUNCTION("""COMPUTED_VALUE"""),"GL2405011")</f>
        <v>GL2405011</v>
      </c>
      <c r="R2960" s="57">
        <f>IFERROR(__xludf.DUMMYFUNCTION("""COMPUTED_VALUE"""),45341.0)</f>
        <v>45341</v>
      </c>
      <c r="S2960" s="57">
        <f>IFERROR(__xludf.DUMMYFUNCTION("""COMPUTED_VALUE"""),45343.0)</f>
        <v>45343</v>
      </c>
      <c r="T2960" s="57">
        <f>IFERROR(__xludf.DUMMYFUNCTION("""COMPUTED_VALUE"""),45443.0)</f>
        <v>45443</v>
      </c>
    </row>
    <row r="2961">
      <c r="A2961" s="6" t="str">
        <f>IFERROR(__xludf.DUMMYFUNCTION("""COMPUTED_VALUE"""),"121701205-2")</f>
        <v>121701205-2</v>
      </c>
      <c r="B2961" s="6" t="str">
        <f>IFERROR(__xludf.DUMMYFUNCTION("""COMPUTED_VALUE"""),"121701205 - APPROVED")</f>
        <v>121701205 - APPROVED</v>
      </c>
      <c r="C2961" s="6">
        <f>IFERROR(__xludf.DUMMYFUNCTION("""COMPUTED_VALUE"""),2.0)</f>
        <v>2</v>
      </c>
      <c r="D2961" s="6" t="str">
        <f>IFERROR(__xludf.DUMMYFUNCTION("""COMPUTED_VALUE"""),"O-14617-00")</f>
        <v>O-14617-00</v>
      </c>
      <c r="E2961" s="6" t="str">
        <f>IFERROR(__xludf.DUMMYFUNCTION("""COMPUTED_VALUE"""),"Solenoid valve 2/2 ways NC 4,5mm; ; c/n 28582;")</f>
        <v>Solenoid valve 2/2 ways NC 4,5mm; ; c/n 28582;</v>
      </c>
      <c r="F2961" s="6">
        <f>IFERROR(__xludf.DUMMYFUNCTION("""COMPUTED_VALUE"""),1.0)</f>
        <v>1</v>
      </c>
      <c r="G2961" s="6" t="str">
        <f>IFERROR(__xludf.DUMMYFUNCTION("""COMPUTED_VALUE"""),"Unit")</f>
        <v>Unit</v>
      </c>
      <c r="H2961" s="6" t="str">
        <f>IFERROR(__xludf.DUMMYFUNCTION("""COMPUTED_VALUE"""),"IDR")</f>
        <v>IDR</v>
      </c>
      <c r="I2961" s="6">
        <f>IFERROR(__xludf.DUMMYFUNCTION("""COMPUTED_VALUE"""),1483099.0)</f>
        <v>1483099</v>
      </c>
      <c r="J2961" s="6">
        <f>IFERROR(__xludf.DUMMYFUNCTION("""COMPUTED_VALUE"""),1483099.0)</f>
        <v>1483099</v>
      </c>
      <c r="K2961" s="57">
        <f>IFERROR(__xludf.DUMMYFUNCTION("""COMPUTED_VALUE"""),45343.0)</f>
        <v>45343</v>
      </c>
      <c r="L2961" s="6" t="str">
        <f>IFERROR(__xludf.DUMMYFUNCTION("""COMPUTED_VALUE"""),"FIP Engineering")</f>
        <v>FIP Engineering</v>
      </c>
      <c r="M2961" s="6" t="str">
        <f>IFERROR(__xludf.DUMMYFUNCTION("""COMPUTED_VALUE"""),"Mochammad Fadhillah Hakim,")</f>
        <v>Mochammad Fadhillah Hakim,</v>
      </c>
      <c r="N2961" s="6" t="str">
        <f>IFERROR(__xludf.DUMMYFUNCTION("""COMPUTED_VALUE"""),"FIP Engineering")</f>
        <v>FIP Engineering</v>
      </c>
      <c r="O2961" s="6" t="str">
        <f>IFERROR(__xludf.DUMMYFUNCTION("""COMPUTED_VALUE"""),"FIP-DOM-000-11304-OS00001-INA-000000")</f>
        <v>FIP-DOM-000-11304-OS00001-INA-000000</v>
      </c>
      <c r="P2961" s="6" t="str">
        <f>IFERROR(__xludf.DUMMYFUNCTION("""COMPUTED_VALUE"""),"PO Closed")</f>
        <v>PO Closed</v>
      </c>
      <c r="Q2961" s="6" t="str">
        <f>IFERROR(__xludf.DUMMYFUNCTION("""COMPUTED_VALUE"""),"GL2404061")</f>
        <v>GL2404061</v>
      </c>
      <c r="R2961" s="57">
        <f>IFERROR(__xludf.DUMMYFUNCTION("""COMPUTED_VALUE"""),45341.0)</f>
        <v>45341</v>
      </c>
      <c r="S2961" s="57">
        <f>IFERROR(__xludf.DUMMYFUNCTION("""COMPUTED_VALUE"""),45343.0)</f>
        <v>45343</v>
      </c>
      <c r="T2961" s="57">
        <f>IFERROR(__xludf.DUMMYFUNCTION("""COMPUTED_VALUE"""),45746.0)</f>
        <v>45746</v>
      </c>
    </row>
    <row r="2962">
      <c r="A2962" s="6" t="str">
        <f>IFERROR(__xludf.DUMMYFUNCTION("""COMPUTED_VALUE"""),"121701205-3")</f>
        <v>121701205-3</v>
      </c>
      <c r="B2962" s="6" t="str">
        <f>IFERROR(__xludf.DUMMYFUNCTION("""COMPUTED_VALUE"""),"121701205 - APPROVED")</f>
        <v>121701205 - APPROVED</v>
      </c>
      <c r="C2962" s="6">
        <f>IFERROR(__xludf.DUMMYFUNCTION("""COMPUTED_VALUE"""),3.0)</f>
        <v>3</v>
      </c>
      <c r="D2962" s="6" t="str">
        <f>IFERROR(__xludf.DUMMYFUNCTION("""COMPUTED_VALUE"""),"O-15619-00")</f>
        <v>O-15619-00</v>
      </c>
      <c r="E2962" s="6" t="str">
        <f>IFERROR(__xludf.DUMMYFUNCTION("""COMPUTED_VALUE"""),"HIGH PRECISION OPTICAL FIBER 10MM WIDTH FU-12, VIALS MAXIMUM LOAD AT OUTFEED SENSOR KEYENCE P/N : -  pc")</f>
        <v>HIGH PRECISION OPTICAL FIBER 10MM WIDTH FU-12, VIALS MAXIMUM LOAD AT OUTFEED SENSOR KEYENCE P/N : -  pc</v>
      </c>
      <c r="F2962" s="6">
        <f>IFERROR(__xludf.DUMMYFUNCTION("""COMPUTED_VALUE"""),1.0)</f>
        <v>1</v>
      </c>
      <c r="G2962" s="6" t="str">
        <f>IFERROR(__xludf.DUMMYFUNCTION("""COMPUTED_VALUE"""),"Unit")</f>
        <v>Unit</v>
      </c>
      <c r="H2962" s="6" t="str">
        <f>IFERROR(__xludf.DUMMYFUNCTION("""COMPUTED_VALUE"""),"IDR")</f>
        <v>IDR</v>
      </c>
      <c r="I2962" s="6">
        <f>IFERROR(__xludf.DUMMYFUNCTION("""COMPUTED_VALUE"""),2390000.0)</f>
        <v>2390000</v>
      </c>
      <c r="J2962" s="6">
        <f>IFERROR(__xludf.DUMMYFUNCTION("""COMPUTED_VALUE"""),2390000.0)</f>
        <v>2390000</v>
      </c>
      <c r="K2962" s="57">
        <f>IFERROR(__xludf.DUMMYFUNCTION("""COMPUTED_VALUE"""),45343.0)</f>
        <v>45343</v>
      </c>
      <c r="L2962" s="6" t="str">
        <f>IFERROR(__xludf.DUMMYFUNCTION("""COMPUTED_VALUE"""),"FIP Engineering")</f>
        <v>FIP Engineering</v>
      </c>
      <c r="M2962" s="6" t="str">
        <f>IFERROR(__xludf.DUMMYFUNCTION("""COMPUTED_VALUE"""),"Mochammad Fadhillah Hakim,")</f>
        <v>Mochammad Fadhillah Hakim,</v>
      </c>
      <c r="N2962" s="6" t="str">
        <f>IFERROR(__xludf.DUMMYFUNCTION("""COMPUTED_VALUE"""),"FIP Engineering")</f>
        <v>FIP Engineering</v>
      </c>
      <c r="O2962" s="6" t="str">
        <f>IFERROR(__xludf.DUMMYFUNCTION("""COMPUTED_VALUE"""),"FIP-DOM-000-11304-OS00001-INA-000000")</f>
        <v>FIP-DOM-000-11304-OS00001-INA-000000</v>
      </c>
      <c r="P2962" s="6" t="str">
        <f>IFERROR(__xludf.DUMMYFUNCTION("""COMPUTED_VALUE"""),"PO Closed")</f>
        <v>PO Closed</v>
      </c>
      <c r="Q2962" s="6" t="str">
        <f>IFERROR(__xludf.DUMMYFUNCTION("""COMPUTED_VALUE"""),"GL2404066")</f>
        <v>GL2404066</v>
      </c>
      <c r="R2962" s="57">
        <f>IFERROR(__xludf.DUMMYFUNCTION("""COMPUTED_VALUE"""),45341.0)</f>
        <v>45341</v>
      </c>
      <c r="S2962" s="57">
        <f>IFERROR(__xludf.DUMMYFUNCTION("""COMPUTED_VALUE"""),45343.0)</f>
        <v>45343</v>
      </c>
      <c r="T2962" s="57">
        <f>IFERROR(__xludf.DUMMYFUNCTION("""COMPUTED_VALUE"""),45453.0)</f>
        <v>45453</v>
      </c>
    </row>
    <row r="2963">
      <c r="A2963" s="6" t="str">
        <f>IFERROR(__xludf.DUMMYFUNCTION("""COMPUTED_VALUE"""),"121701205-4")</f>
        <v>121701205-4</v>
      </c>
      <c r="B2963" s="6" t="str">
        <f>IFERROR(__xludf.DUMMYFUNCTION("""COMPUTED_VALUE"""),"121701205 - APPROVED")</f>
        <v>121701205 - APPROVED</v>
      </c>
      <c r="C2963" s="6">
        <f>IFERROR(__xludf.DUMMYFUNCTION("""COMPUTED_VALUE"""),4.0)</f>
        <v>4</v>
      </c>
      <c r="D2963" s="6" t="str">
        <f>IFERROR(__xludf.DUMMYFUNCTION("""COMPUTED_VALUE"""),"O-15591-00")</f>
        <v>O-15591-00</v>
      </c>
      <c r="E2963" s="6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F2963" s="6">
        <f>IFERROR(__xludf.DUMMYFUNCTION("""COMPUTED_VALUE"""),1.0)</f>
        <v>1</v>
      </c>
      <c r="G2963" s="6" t="str">
        <f>IFERROR(__xludf.DUMMYFUNCTION("""COMPUTED_VALUE"""),"Unit")</f>
        <v>Unit</v>
      </c>
      <c r="H2963" s="6" t="str">
        <f>IFERROR(__xludf.DUMMYFUNCTION("""COMPUTED_VALUE"""),"IDR")</f>
        <v>IDR</v>
      </c>
      <c r="I2963" s="6">
        <f>IFERROR(__xludf.DUMMYFUNCTION("""COMPUTED_VALUE"""),2.9E7)</f>
        <v>29000000</v>
      </c>
      <c r="J2963" s="6">
        <f>IFERROR(__xludf.DUMMYFUNCTION("""COMPUTED_VALUE"""),2.9E7)</f>
        <v>29000000</v>
      </c>
      <c r="K2963" s="57">
        <f>IFERROR(__xludf.DUMMYFUNCTION("""COMPUTED_VALUE"""),45343.0)</f>
        <v>45343</v>
      </c>
      <c r="L2963" s="6" t="str">
        <f>IFERROR(__xludf.DUMMYFUNCTION("""COMPUTED_VALUE"""),"FIP Engineering")</f>
        <v>FIP Engineering</v>
      </c>
      <c r="M2963" s="6" t="str">
        <f>IFERROR(__xludf.DUMMYFUNCTION("""COMPUTED_VALUE"""),"Mochammad Fadhillah Hakim,")</f>
        <v>Mochammad Fadhillah Hakim,</v>
      </c>
      <c r="N2963" s="6" t="str">
        <f>IFERROR(__xludf.DUMMYFUNCTION("""COMPUTED_VALUE"""),"FIP Engineering")</f>
        <v>FIP Engineering</v>
      </c>
      <c r="O2963" s="6" t="str">
        <f>IFERROR(__xludf.DUMMYFUNCTION("""COMPUTED_VALUE"""),"FIP-DOM-000-11304-OS00001-INA-000000")</f>
        <v>FIP-DOM-000-11304-OS00001-INA-000000</v>
      </c>
      <c r="P2963" s="6" t="str">
        <f>IFERROR(__xludf.DUMMYFUNCTION("""COMPUTED_VALUE"""),"PO Closed")</f>
        <v>PO Closed</v>
      </c>
      <c r="Q2963" s="6" t="str">
        <f>IFERROR(__xludf.DUMMYFUNCTION("""COMPUTED_VALUE"""),"GL2404067")</f>
        <v>GL2404067</v>
      </c>
      <c r="R2963" s="57">
        <f>IFERROR(__xludf.DUMMYFUNCTION("""COMPUTED_VALUE"""),45341.0)</f>
        <v>45341</v>
      </c>
      <c r="S2963" s="57">
        <f>IFERROR(__xludf.DUMMYFUNCTION("""COMPUTED_VALUE"""),45343.0)</f>
        <v>45343</v>
      </c>
      <c r="T2963" s="57">
        <f>IFERROR(__xludf.DUMMYFUNCTION("""COMPUTED_VALUE"""),45525.0)</f>
        <v>45525</v>
      </c>
    </row>
    <row r="2964">
      <c r="A2964" s="6" t="str">
        <f>IFERROR(__xludf.DUMMYFUNCTION("""COMPUTED_VALUE"""),"121701205-5")</f>
        <v>121701205-5</v>
      </c>
      <c r="B2964" s="6" t="str">
        <f>IFERROR(__xludf.DUMMYFUNCTION("""COMPUTED_VALUE"""),"121701205 - APPROVED")</f>
        <v>121701205 - APPROVED</v>
      </c>
      <c r="C2964" s="6">
        <f>IFERROR(__xludf.DUMMYFUNCTION("""COMPUTED_VALUE"""),5.0)</f>
        <v>5</v>
      </c>
      <c r="D2964" s="6" t="str">
        <f>IFERROR(__xludf.DUMMYFUNCTION("""COMPUTED_VALUE"""),"O-15669-00")</f>
        <v>O-15669-00</v>
      </c>
      <c r="E2964" s="6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F2964" s="6">
        <f>IFERROR(__xludf.DUMMYFUNCTION("""COMPUTED_VALUE"""),1.0)</f>
        <v>1</v>
      </c>
      <c r="G2964" s="6" t="str">
        <f>IFERROR(__xludf.DUMMYFUNCTION("""COMPUTED_VALUE"""),"Unit")</f>
        <v>Unit</v>
      </c>
      <c r="H2964" s="6" t="str">
        <f>IFERROR(__xludf.DUMMYFUNCTION("""COMPUTED_VALUE"""),"IDR")</f>
        <v>IDR</v>
      </c>
      <c r="I2964" s="6">
        <f>IFERROR(__xludf.DUMMYFUNCTION("""COMPUTED_VALUE"""),1812077.0)</f>
        <v>1812077</v>
      </c>
      <c r="J2964" s="6">
        <f>IFERROR(__xludf.DUMMYFUNCTION("""COMPUTED_VALUE"""),1812077.0)</f>
        <v>1812077</v>
      </c>
      <c r="K2964" s="57">
        <f>IFERROR(__xludf.DUMMYFUNCTION("""COMPUTED_VALUE"""),45343.0)</f>
        <v>45343</v>
      </c>
      <c r="L2964" s="6" t="str">
        <f>IFERROR(__xludf.DUMMYFUNCTION("""COMPUTED_VALUE"""),"FIP Engineering")</f>
        <v>FIP Engineering</v>
      </c>
      <c r="M2964" s="6" t="str">
        <f>IFERROR(__xludf.DUMMYFUNCTION("""COMPUTED_VALUE"""),"Mochammad Fadhillah Hakim,")</f>
        <v>Mochammad Fadhillah Hakim,</v>
      </c>
      <c r="N2964" s="6" t="str">
        <f>IFERROR(__xludf.DUMMYFUNCTION("""COMPUTED_VALUE"""),"FIP Engineering")</f>
        <v>FIP Engineering</v>
      </c>
      <c r="O2964" s="6" t="str">
        <f>IFERROR(__xludf.DUMMYFUNCTION("""COMPUTED_VALUE"""),"FIP-DOM-000-11304-OS00001-INA-000000")</f>
        <v>FIP-DOM-000-11304-OS00001-INA-000000</v>
      </c>
      <c r="P2964" s="6" t="str">
        <f>IFERROR(__xludf.DUMMYFUNCTION("""COMPUTED_VALUE"""),"PO Closed")</f>
        <v>PO Closed</v>
      </c>
      <c r="Q2964" s="6" t="str">
        <f>IFERROR(__xludf.DUMMYFUNCTION("""COMPUTED_VALUE"""),"GL2404061")</f>
        <v>GL2404061</v>
      </c>
      <c r="R2964" s="57">
        <f>IFERROR(__xludf.DUMMYFUNCTION("""COMPUTED_VALUE"""),45341.0)</f>
        <v>45341</v>
      </c>
      <c r="S2964" s="57">
        <f>IFERROR(__xludf.DUMMYFUNCTION("""COMPUTED_VALUE"""),45343.0)</f>
        <v>45343</v>
      </c>
      <c r="T2964" s="57">
        <f>IFERROR(__xludf.DUMMYFUNCTION("""COMPUTED_VALUE"""),45746.0)</f>
        <v>45746</v>
      </c>
    </row>
    <row r="2965">
      <c r="A2965" s="6" t="str">
        <f>IFERROR(__xludf.DUMMYFUNCTION("""COMPUTED_VALUE"""),"121701205-6")</f>
        <v>121701205-6</v>
      </c>
      <c r="B2965" s="6" t="str">
        <f>IFERROR(__xludf.DUMMYFUNCTION("""COMPUTED_VALUE"""),"121701205 - APPROVED")</f>
        <v>121701205 - APPROVED</v>
      </c>
      <c r="C2965" s="6">
        <f>IFERROR(__xludf.DUMMYFUNCTION("""COMPUTED_VALUE"""),6.0)</f>
        <v>6</v>
      </c>
      <c r="D2965" s="6" t="str">
        <f>IFERROR(__xludf.DUMMYFUNCTION("""COMPUTED_VALUE"""),"O-16943-00")</f>
        <v>O-16943-00</v>
      </c>
      <c r="E2965" s="6" t="str">
        <f>IFERROR(__xludf.DUMMYFUNCTION("""COMPUTED_VALUE"""),"Tunnel ST1L - Potentiometer Model 10K 3turns P/n: 3757; ; ;")</f>
        <v>Tunnel ST1L - Potentiometer Model 10K 3turns P/n: 3757; ; ;</v>
      </c>
      <c r="F2965" s="6">
        <f>IFERROR(__xludf.DUMMYFUNCTION("""COMPUTED_VALUE"""),1.0)</f>
        <v>1</v>
      </c>
      <c r="G2965" s="6" t="str">
        <f>IFERROR(__xludf.DUMMYFUNCTION("""COMPUTED_VALUE"""),"Pieces")</f>
        <v>Pieces</v>
      </c>
      <c r="H2965" s="6" t="str">
        <f>IFERROR(__xludf.DUMMYFUNCTION("""COMPUTED_VALUE"""),"IDR")</f>
        <v>IDR</v>
      </c>
      <c r="I2965" s="6">
        <f>IFERROR(__xludf.DUMMYFUNCTION("""COMPUTED_VALUE"""),1035473.0)</f>
        <v>1035473</v>
      </c>
      <c r="J2965" s="6">
        <f>IFERROR(__xludf.DUMMYFUNCTION("""COMPUTED_VALUE"""),1035473.0)</f>
        <v>1035473</v>
      </c>
      <c r="K2965" s="57">
        <f>IFERROR(__xludf.DUMMYFUNCTION("""COMPUTED_VALUE"""),45343.0)</f>
        <v>45343</v>
      </c>
      <c r="L2965" s="6" t="str">
        <f>IFERROR(__xludf.DUMMYFUNCTION("""COMPUTED_VALUE"""),"FIP Engineering")</f>
        <v>FIP Engineering</v>
      </c>
      <c r="M2965" s="6" t="str">
        <f>IFERROR(__xludf.DUMMYFUNCTION("""COMPUTED_VALUE"""),"Mochammad Fadhillah Hakim,")</f>
        <v>Mochammad Fadhillah Hakim,</v>
      </c>
      <c r="N2965" s="6" t="str">
        <f>IFERROR(__xludf.DUMMYFUNCTION("""COMPUTED_VALUE"""),"FIP Engineering")</f>
        <v>FIP Engineering</v>
      </c>
      <c r="O2965" s="6" t="str">
        <f>IFERROR(__xludf.DUMMYFUNCTION("""COMPUTED_VALUE"""),"FIP-DOM-000-11304-OS00001-INA-000000")</f>
        <v>FIP-DOM-000-11304-OS00001-INA-000000</v>
      </c>
      <c r="P2965" s="6" t="str">
        <f>IFERROR(__xludf.DUMMYFUNCTION("""COMPUTED_VALUE"""),"PO Closed")</f>
        <v>PO Closed</v>
      </c>
      <c r="Q2965" s="6" t="str">
        <f>IFERROR(__xludf.DUMMYFUNCTION("""COMPUTED_VALUE"""),"GL2404061")</f>
        <v>GL2404061</v>
      </c>
      <c r="R2965" s="57">
        <f>IFERROR(__xludf.DUMMYFUNCTION("""COMPUTED_VALUE"""),45341.0)</f>
        <v>45341</v>
      </c>
      <c r="S2965" s="57">
        <f>IFERROR(__xludf.DUMMYFUNCTION("""COMPUTED_VALUE"""),45343.0)</f>
        <v>45343</v>
      </c>
      <c r="T2965" s="57">
        <f>IFERROR(__xludf.DUMMYFUNCTION("""COMPUTED_VALUE"""),45746.0)</f>
        <v>45746</v>
      </c>
    </row>
    <row r="2966">
      <c r="A2966" s="6" t="str">
        <f>IFERROR(__xludf.DUMMYFUNCTION("""COMPUTED_VALUE"""),"121701205-7")</f>
        <v>121701205-7</v>
      </c>
      <c r="B2966" s="6" t="str">
        <f>IFERROR(__xludf.DUMMYFUNCTION("""COMPUTED_VALUE"""),"121701205 - APPROVED")</f>
        <v>121701205 - APPROVED</v>
      </c>
      <c r="C2966" s="6">
        <f>IFERROR(__xludf.DUMMYFUNCTION("""COMPUTED_VALUE"""),7.0)</f>
        <v>7</v>
      </c>
      <c r="D2966" s="6" t="str">
        <f>IFERROR(__xludf.DUMMYFUNCTION("""COMPUTED_VALUE"""),"O-51770-00")</f>
        <v>O-51770-00</v>
      </c>
      <c r="E2966" s="6" t="str">
        <f>IFERROR(__xludf.DUMMYFUNCTION("""COMPUTED_VALUE"""),"WAGO 750-602 SUPPLY MODULE STD PACK; ; ;")</f>
        <v>WAGO 750-602 SUPPLY MODULE STD PACK; ; ;</v>
      </c>
      <c r="F2966" s="6">
        <f>IFERROR(__xludf.DUMMYFUNCTION("""COMPUTED_VALUE"""),1.0)</f>
        <v>1</v>
      </c>
      <c r="G2966" s="6" t="str">
        <f>IFERROR(__xludf.DUMMYFUNCTION("""COMPUTED_VALUE"""),"Unit")</f>
        <v>Unit</v>
      </c>
      <c r="H2966" s="6" t="str">
        <f>IFERROR(__xludf.DUMMYFUNCTION("""COMPUTED_VALUE"""),"IDR")</f>
        <v>IDR</v>
      </c>
      <c r="I2966" s="6">
        <f>IFERROR(__xludf.DUMMYFUNCTION("""COMPUTED_VALUE"""),296240.0)</f>
        <v>296240</v>
      </c>
      <c r="J2966" s="6">
        <f>IFERROR(__xludf.DUMMYFUNCTION("""COMPUTED_VALUE"""),296240.0)</f>
        <v>296240</v>
      </c>
      <c r="K2966" s="57">
        <f>IFERROR(__xludf.DUMMYFUNCTION("""COMPUTED_VALUE"""),45343.0)</f>
        <v>45343</v>
      </c>
      <c r="L2966" s="6" t="str">
        <f>IFERROR(__xludf.DUMMYFUNCTION("""COMPUTED_VALUE"""),"FIP Engineering")</f>
        <v>FIP Engineering</v>
      </c>
      <c r="M2966" s="6" t="str">
        <f>IFERROR(__xludf.DUMMYFUNCTION("""COMPUTED_VALUE"""),"Mochammad Fadhillah Hakim,")</f>
        <v>Mochammad Fadhillah Hakim,</v>
      </c>
      <c r="N2966" s="6" t="str">
        <f>IFERROR(__xludf.DUMMYFUNCTION("""COMPUTED_VALUE"""),"FIP Engineering")</f>
        <v>FIP Engineering</v>
      </c>
      <c r="O2966" s="6" t="str">
        <f>IFERROR(__xludf.DUMMYFUNCTION("""COMPUTED_VALUE"""),"FIP-DOM-000-11304-OS00001-INA-000000")</f>
        <v>FIP-DOM-000-11304-OS00001-INA-000000</v>
      </c>
      <c r="P2966" s="6" t="str">
        <f>IFERROR(__xludf.DUMMYFUNCTION("""COMPUTED_VALUE"""),"PO Closed")</f>
        <v>PO Closed</v>
      </c>
      <c r="Q2966" s="6" t="str">
        <f>IFERROR(__xludf.DUMMYFUNCTION("""COMPUTED_VALUE"""),"GL2404055")</f>
        <v>GL2404055</v>
      </c>
      <c r="R2966" s="57">
        <f>IFERROR(__xludf.DUMMYFUNCTION("""COMPUTED_VALUE"""),45341.0)</f>
        <v>45341</v>
      </c>
      <c r="S2966" s="57">
        <f>IFERROR(__xludf.DUMMYFUNCTION("""COMPUTED_VALUE"""),45343.0)</f>
        <v>45343</v>
      </c>
      <c r="T2966" s="57">
        <f>IFERROR(__xludf.DUMMYFUNCTION("""COMPUTED_VALUE"""),45436.0)</f>
        <v>45436</v>
      </c>
    </row>
    <row r="2967">
      <c r="A2967" s="6" t="str">
        <f>IFERROR(__xludf.DUMMYFUNCTION("""COMPUTED_VALUE"""),"121701205-8")</f>
        <v>121701205-8</v>
      </c>
      <c r="B2967" s="6" t="str">
        <f>IFERROR(__xludf.DUMMYFUNCTION("""COMPUTED_VALUE"""),"121701205 - APPROVED")</f>
        <v>121701205 - APPROVED</v>
      </c>
      <c r="C2967" s="6">
        <f>IFERROR(__xludf.DUMMYFUNCTION("""COMPUTED_VALUE"""),8.0)</f>
        <v>8</v>
      </c>
      <c r="D2967" s="6" t="str">
        <f>IFERROR(__xludf.DUMMYFUNCTION("""COMPUTED_VALUE"""),"O-51775-00")</f>
        <v>O-51775-00</v>
      </c>
      <c r="E2967" s="6" t="str">
        <f>IFERROR(__xludf.DUMMYFUNCTION("""COMPUTED_VALUE"""),"WAGO 750-461 2-CHANNEL ANALOG INPUT MODULE STD PACK: 1EA; ; ;")</f>
        <v>WAGO 750-461 2-CHANNEL ANALOG INPUT MODULE STD PACK: 1EA; ; ;</v>
      </c>
      <c r="F2967" s="6">
        <f>IFERROR(__xludf.DUMMYFUNCTION("""COMPUTED_VALUE"""),1.0)</f>
        <v>1</v>
      </c>
      <c r="G2967" s="6" t="str">
        <f>IFERROR(__xludf.DUMMYFUNCTION("""COMPUTED_VALUE"""),"Unit")</f>
        <v>Unit</v>
      </c>
      <c r="H2967" s="6" t="str">
        <f>IFERROR(__xludf.DUMMYFUNCTION("""COMPUTED_VALUE"""),"IDR")</f>
        <v>IDR</v>
      </c>
      <c r="I2967" s="6">
        <f>IFERROR(__xludf.DUMMYFUNCTION("""COMPUTED_VALUE"""),4047640.0)</f>
        <v>4047640</v>
      </c>
      <c r="J2967" s="6">
        <f>IFERROR(__xludf.DUMMYFUNCTION("""COMPUTED_VALUE"""),4047640.0)</f>
        <v>4047640</v>
      </c>
      <c r="K2967" s="57">
        <f>IFERROR(__xludf.DUMMYFUNCTION("""COMPUTED_VALUE"""),45343.0)</f>
        <v>45343</v>
      </c>
      <c r="L2967" s="6" t="str">
        <f>IFERROR(__xludf.DUMMYFUNCTION("""COMPUTED_VALUE"""),"FIP General")</f>
        <v>FIP General</v>
      </c>
      <c r="M2967" s="6" t="str">
        <f>IFERROR(__xludf.DUMMYFUNCTION("""COMPUTED_VALUE"""),"Mochammad Fadhillah Hakim,")</f>
        <v>Mochammad Fadhillah Hakim,</v>
      </c>
      <c r="N2967" s="6" t="str">
        <f>IFERROR(__xludf.DUMMYFUNCTION("""COMPUTED_VALUE"""),"FIP Engineering")</f>
        <v>FIP Engineering</v>
      </c>
      <c r="O2967" s="6" t="str">
        <f>IFERROR(__xludf.DUMMYFUNCTION("""COMPUTED_VALUE"""),"FIP-DOM-ENG-51504-0000000-INA-000000")</f>
        <v>FIP-DOM-ENG-51504-0000000-INA-000000</v>
      </c>
      <c r="P2967" s="6" t="str">
        <f>IFERROR(__xludf.DUMMYFUNCTION("""COMPUTED_VALUE"""),"PO Closed")</f>
        <v>PO Closed</v>
      </c>
      <c r="Q2967" s="6" t="str">
        <f>IFERROR(__xludf.DUMMYFUNCTION("""COMPUTED_VALUE"""),"GL2404055")</f>
        <v>GL2404055</v>
      </c>
      <c r="R2967" s="57">
        <f>IFERROR(__xludf.DUMMYFUNCTION("""COMPUTED_VALUE"""),45341.0)</f>
        <v>45341</v>
      </c>
      <c r="S2967" s="57">
        <f>IFERROR(__xludf.DUMMYFUNCTION("""COMPUTED_VALUE"""),45343.0)</f>
        <v>45343</v>
      </c>
      <c r="T2967" s="57">
        <f>IFERROR(__xludf.DUMMYFUNCTION("""COMPUTED_VALUE"""),45436.0)</f>
        <v>45436</v>
      </c>
    </row>
    <row r="2968">
      <c r="A2968" s="6" t="str">
        <f>IFERROR(__xludf.DUMMYFUNCTION("""COMPUTED_VALUE"""),"121701205-9")</f>
        <v>121701205-9</v>
      </c>
      <c r="B2968" s="6" t="str">
        <f>IFERROR(__xludf.DUMMYFUNCTION("""COMPUTED_VALUE"""),"121701205 - APPROVED")</f>
        <v>121701205 - APPROVED</v>
      </c>
      <c r="C2968" s="6">
        <f>IFERROR(__xludf.DUMMYFUNCTION("""COMPUTED_VALUE"""),9.0)</f>
        <v>9</v>
      </c>
      <c r="D2968" s="6" t="str">
        <f>IFERROR(__xludf.DUMMYFUNCTION("""COMPUTED_VALUE"""),"O-54115-00")</f>
        <v>O-54115-00</v>
      </c>
      <c r="E2968" s="6" t="str">
        <f>IFERROR(__xludf.DUMMYFUNCTION("""COMPUTED_VALUE"""),"Fiber Amplifier -; KEYENCE; FS-V31CP;")</f>
        <v>Fiber Amplifier -; KEYENCE; FS-V31CP;</v>
      </c>
      <c r="F2968" s="6">
        <f>IFERROR(__xludf.DUMMYFUNCTION("""COMPUTED_VALUE"""),1.0)</f>
        <v>1</v>
      </c>
      <c r="G2968" s="6" t="str">
        <f>IFERROR(__xludf.DUMMYFUNCTION("""COMPUTED_VALUE"""),"Pieces")</f>
        <v>Pieces</v>
      </c>
      <c r="H2968" s="6" t="str">
        <f>IFERROR(__xludf.DUMMYFUNCTION("""COMPUTED_VALUE"""),"IDR")</f>
        <v>IDR</v>
      </c>
      <c r="I2968" s="6">
        <f>IFERROR(__xludf.DUMMYFUNCTION("""COMPUTED_VALUE"""),2370000.0)</f>
        <v>2370000</v>
      </c>
      <c r="J2968" s="6">
        <f>IFERROR(__xludf.DUMMYFUNCTION("""COMPUTED_VALUE"""),2370000.0)</f>
        <v>2370000</v>
      </c>
      <c r="K2968" s="57">
        <f>IFERROR(__xludf.DUMMYFUNCTION("""COMPUTED_VALUE"""),45343.0)</f>
        <v>45343</v>
      </c>
      <c r="L2968" s="6" t="str">
        <f>IFERROR(__xludf.DUMMYFUNCTION("""COMPUTED_VALUE"""),"FIP Engineering")</f>
        <v>FIP Engineering</v>
      </c>
      <c r="M2968" s="6" t="str">
        <f>IFERROR(__xludf.DUMMYFUNCTION("""COMPUTED_VALUE"""),"Mochammad Fadhillah Hakim,")</f>
        <v>Mochammad Fadhillah Hakim,</v>
      </c>
      <c r="N2968" s="6" t="str">
        <f>IFERROR(__xludf.DUMMYFUNCTION("""COMPUTED_VALUE"""),"FIP Engineering")</f>
        <v>FIP Engineering</v>
      </c>
      <c r="O2968" s="6" t="str">
        <f>IFERROR(__xludf.DUMMYFUNCTION("""COMPUTED_VALUE"""),"FIP-DOM-000-11304-OS00001-INA-000000")</f>
        <v>FIP-DOM-000-11304-OS00001-INA-000000</v>
      </c>
      <c r="P2968" s="6" t="str">
        <f>IFERROR(__xludf.DUMMYFUNCTION("""COMPUTED_VALUE"""),"PO Closed")</f>
        <v>PO Closed</v>
      </c>
      <c r="Q2968" s="6" t="str">
        <f>IFERROR(__xludf.DUMMYFUNCTION("""COMPUTED_VALUE"""),"GL2404066")</f>
        <v>GL2404066</v>
      </c>
      <c r="R2968" s="57">
        <f>IFERROR(__xludf.DUMMYFUNCTION("""COMPUTED_VALUE"""),45341.0)</f>
        <v>45341</v>
      </c>
      <c r="S2968" s="57">
        <f>IFERROR(__xludf.DUMMYFUNCTION("""COMPUTED_VALUE"""),45343.0)</f>
        <v>45343</v>
      </c>
      <c r="T2968" s="57">
        <f>IFERROR(__xludf.DUMMYFUNCTION("""COMPUTED_VALUE"""),45453.0)</f>
        <v>45453</v>
      </c>
    </row>
    <row r="2969">
      <c r="A2969" s="6" t="str">
        <f>IFERROR(__xludf.DUMMYFUNCTION("""COMPUTED_VALUE"""),"121701205-10")</f>
        <v>121701205-10</v>
      </c>
      <c r="B2969" s="6" t="str">
        <f>IFERROR(__xludf.DUMMYFUNCTION("""COMPUTED_VALUE"""),"121701205 - APPROVED")</f>
        <v>121701205 - APPROVED</v>
      </c>
      <c r="C2969" s="6">
        <f>IFERROR(__xludf.DUMMYFUNCTION("""COMPUTED_VALUE"""),10.0)</f>
        <v>10</v>
      </c>
      <c r="D2969" s="6" t="str">
        <f>IFERROR(__xludf.DUMMYFUNCTION("""COMPUTED_VALUE"""),"O-54176-00")</f>
        <v>O-54176-00</v>
      </c>
      <c r="E2969" s="6" t="str">
        <f>IFERROR(__xludf.DUMMYFUNCTION("""COMPUTED_VALUE"""),"Washing RAR4 - Encoder Model RD1A-P8-TI2-PB-E2-M; Lika; 125101266;")</f>
        <v>Washing RAR4 - Encoder Model RD1A-P8-TI2-PB-E2-M; Lika; 125101266;</v>
      </c>
      <c r="F2969" s="6">
        <f>IFERROR(__xludf.DUMMYFUNCTION("""COMPUTED_VALUE"""),1.0)</f>
        <v>1</v>
      </c>
      <c r="G2969" s="6" t="str">
        <f>IFERROR(__xludf.DUMMYFUNCTION("""COMPUTED_VALUE"""),"Unit")</f>
        <v>Unit</v>
      </c>
      <c r="H2969" s="6" t="str">
        <f>IFERROR(__xludf.DUMMYFUNCTION("""COMPUTED_VALUE"""),"IDR")</f>
        <v>IDR</v>
      </c>
      <c r="I2969" s="6">
        <f>IFERROR(__xludf.DUMMYFUNCTION("""COMPUTED_VALUE"""),3.9814E7)</f>
        <v>39814000</v>
      </c>
      <c r="J2969" s="6">
        <f>IFERROR(__xludf.DUMMYFUNCTION("""COMPUTED_VALUE"""),3.9814E7)</f>
        <v>39814000</v>
      </c>
      <c r="K2969" s="57">
        <f>IFERROR(__xludf.DUMMYFUNCTION("""COMPUTED_VALUE"""),45343.0)</f>
        <v>45343</v>
      </c>
      <c r="L2969" s="6" t="str">
        <f>IFERROR(__xludf.DUMMYFUNCTION("""COMPUTED_VALUE"""),"FIP Engineering")</f>
        <v>FIP Engineering</v>
      </c>
      <c r="M2969" s="6" t="str">
        <f>IFERROR(__xludf.DUMMYFUNCTION("""COMPUTED_VALUE"""),"Mochammad Fadhillah Hakim,")</f>
        <v>Mochammad Fadhillah Hakim,</v>
      </c>
      <c r="N2969" s="6" t="str">
        <f>IFERROR(__xludf.DUMMYFUNCTION("""COMPUTED_VALUE"""),"FIP Engineering")</f>
        <v>FIP Engineering</v>
      </c>
      <c r="O2969" s="6" t="str">
        <f>IFERROR(__xludf.DUMMYFUNCTION("""COMPUTED_VALUE"""),"FIP-DOM-000-11304-OS00001-INA-000000")</f>
        <v>FIP-DOM-000-11304-OS00001-INA-000000</v>
      </c>
      <c r="P2969" s="6" t="str">
        <f>IFERROR(__xludf.DUMMYFUNCTION("""COMPUTED_VALUE"""),"PO Closed")</f>
        <v>PO Closed</v>
      </c>
      <c r="Q2969" s="6" t="str">
        <f>IFERROR(__xludf.DUMMYFUNCTION("""COMPUTED_VALUE"""),"GL2404068")</f>
        <v>GL2404068</v>
      </c>
      <c r="R2969" s="57">
        <f>IFERROR(__xludf.DUMMYFUNCTION("""COMPUTED_VALUE"""),45341.0)</f>
        <v>45341</v>
      </c>
      <c r="S2969" s="57">
        <f>IFERROR(__xludf.DUMMYFUNCTION("""COMPUTED_VALUE"""),45343.0)</f>
        <v>45343</v>
      </c>
      <c r="T2969" s="57">
        <f>IFERROR(__xludf.DUMMYFUNCTION("""COMPUTED_VALUE"""),45585.0)</f>
        <v>45585</v>
      </c>
    </row>
    <row r="2970">
      <c r="A2970" s="6" t="str">
        <f>IFERROR(__xludf.DUMMYFUNCTION("""COMPUTED_VALUE"""),"121701206-1")</f>
        <v>121701206-1</v>
      </c>
      <c r="B2970" s="6" t="str">
        <f>IFERROR(__xludf.DUMMYFUNCTION("""COMPUTED_VALUE"""),"121701206 - APPROVED")</f>
        <v>121701206 - APPROVED</v>
      </c>
      <c r="C2970" s="6">
        <f>IFERROR(__xludf.DUMMYFUNCTION("""COMPUTED_VALUE"""),1.0)</f>
        <v>1</v>
      </c>
      <c r="D2970" s="6" t="str">
        <f>IFERROR(__xludf.DUMMYFUNCTION("""COMPUTED_VALUE"""),"O-52845-00")</f>
        <v>O-52845-00</v>
      </c>
      <c r="E2970" s="6" t="str">
        <f>IFERROR(__xludf.DUMMYFUNCTION("""COMPUTED_VALUE"""),"Freeze Dryer MBE1207 - SV169 Coil MKC-1 AC220V P/n: EB15-00507; MYCOM; ;")</f>
        <v>Freeze Dryer MBE1207 - SV169 Coil MKC-1 AC220V P/n: EB15-00507; MYCOM; ;</v>
      </c>
      <c r="F2970" s="6">
        <f>IFERROR(__xludf.DUMMYFUNCTION("""COMPUTED_VALUE"""),2.0)</f>
        <v>2</v>
      </c>
      <c r="G2970" s="6" t="str">
        <f>IFERROR(__xludf.DUMMYFUNCTION("""COMPUTED_VALUE"""),"Pieces")</f>
        <v>Pieces</v>
      </c>
      <c r="H2970" s="6" t="str">
        <f>IFERROR(__xludf.DUMMYFUNCTION("""COMPUTED_VALUE"""),"IDR")</f>
        <v>IDR</v>
      </c>
      <c r="I2970" s="6">
        <f>IFERROR(__xludf.DUMMYFUNCTION("""COMPUTED_VALUE"""),674519.0)</f>
        <v>674519</v>
      </c>
      <c r="J2970" s="6">
        <f>IFERROR(__xludf.DUMMYFUNCTION("""COMPUTED_VALUE"""),1349037.0)</f>
        <v>1349037</v>
      </c>
      <c r="K2970" s="57">
        <f>IFERROR(__xludf.DUMMYFUNCTION("""COMPUTED_VALUE"""),45369.0)</f>
        <v>45369</v>
      </c>
      <c r="L2970" s="6" t="str">
        <f>IFERROR(__xludf.DUMMYFUNCTION("""COMPUTED_VALUE"""),"FIP Engineering")</f>
        <v>FIP Engineering</v>
      </c>
      <c r="M2970" s="6" t="str">
        <f>IFERROR(__xludf.DUMMYFUNCTION("""COMPUTED_VALUE"""),"Mochammad Fadhillah Hakim,")</f>
        <v>Mochammad Fadhillah Hakim,</v>
      </c>
      <c r="N2970" s="6" t="str">
        <f>IFERROR(__xludf.DUMMYFUNCTION("""COMPUTED_VALUE"""),"FIP Engineering")</f>
        <v>FIP Engineering</v>
      </c>
      <c r="O2970" s="6" t="str">
        <f>IFERROR(__xludf.DUMMYFUNCTION("""COMPUTED_VALUE"""),"FIP-DOM-000-11304-OS00001-INA-000000")</f>
        <v>FIP-DOM-000-11304-OS00001-INA-000000</v>
      </c>
      <c r="P2970" s="6" t="str">
        <f>IFERROR(__xludf.DUMMYFUNCTION("""COMPUTED_VALUE"""),"PO Closed")</f>
        <v>PO Closed</v>
      </c>
      <c r="Q2970" s="6" t="str">
        <f>IFERROR(__xludf.DUMMYFUNCTION("""COMPUTED_VALUE"""),"GL2405021")</f>
        <v>GL2405021</v>
      </c>
      <c r="R2970" s="57">
        <f>IFERROR(__xludf.DUMMYFUNCTION("""COMPUTED_VALUE"""),45341.0)</f>
        <v>45341</v>
      </c>
      <c r="S2970" s="57">
        <f>IFERROR(__xludf.DUMMYFUNCTION("""COMPUTED_VALUE"""),45363.0)</f>
        <v>45363</v>
      </c>
      <c r="T2970" s="57">
        <f>IFERROR(__xludf.DUMMYFUNCTION("""COMPUTED_VALUE"""),45504.0)</f>
        <v>45504</v>
      </c>
    </row>
    <row r="2971">
      <c r="A2971" s="6" t="str">
        <f>IFERROR(__xludf.DUMMYFUNCTION("""COMPUTED_VALUE"""),"121701206-2")</f>
        <v>121701206-2</v>
      </c>
      <c r="B2971" s="6" t="str">
        <f>IFERROR(__xludf.DUMMYFUNCTION("""COMPUTED_VALUE"""),"121701206 - APPROVED")</f>
        <v>121701206 - APPROVED</v>
      </c>
      <c r="C2971" s="6">
        <f>IFERROR(__xludf.DUMMYFUNCTION("""COMPUTED_VALUE"""),2.0)</f>
        <v>2</v>
      </c>
      <c r="D2971" s="6" t="str">
        <f>IFERROR(__xludf.DUMMYFUNCTION("""COMPUTED_VALUE"""),"O-52826-00")</f>
        <v>O-52826-00</v>
      </c>
      <c r="E2971" s="6" t="str">
        <f>IFERROR(__xludf.DUMMYFUNCTION("""COMPUTED_VALUE"""),"Freeze Dryer MBE1207 - SV55 252072 6213 S.S+FKM I/O: NPT1/4 Inch Orifice:10mm Kv=2m3/h  NC DC24V p/n; BURKERT; ;")</f>
        <v>Freeze Dryer MBE1207 - SV55 252072 6213 S.S+FKM I/O: NPT1/4 Inch Orifice:10mm Kv=2m3/h  NC DC24V p/n; BURKERT; ;</v>
      </c>
      <c r="F2971" s="6">
        <f>IFERROR(__xludf.DUMMYFUNCTION("""COMPUTED_VALUE"""),3.0)</f>
        <v>3</v>
      </c>
      <c r="G2971" s="6" t="str">
        <f>IFERROR(__xludf.DUMMYFUNCTION("""COMPUTED_VALUE"""),"Pieces")</f>
        <v>Pieces</v>
      </c>
      <c r="H2971" s="6" t="str">
        <f>IFERROR(__xludf.DUMMYFUNCTION("""COMPUTED_VALUE"""),"IDR")</f>
        <v>IDR</v>
      </c>
      <c r="I2971" s="6">
        <f>IFERROR(__xludf.DUMMYFUNCTION("""COMPUTED_VALUE"""),2446753.0)</f>
        <v>2446753</v>
      </c>
      <c r="J2971" s="6">
        <f>IFERROR(__xludf.DUMMYFUNCTION("""COMPUTED_VALUE"""),7340259.0)</f>
        <v>7340259</v>
      </c>
      <c r="K2971" s="57">
        <f>IFERROR(__xludf.DUMMYFUNCTION("""COMPUTED_VALUE"""),45369.0)</f>
        <v>45369</v>
      </c>
      <c r="L2971" s="6" t="str">
        <f>IFERROR(__xludf.DUMMYFUNCTION("""COMPUTED_VALUE"""),"FIP Engineering")</f>
        <v>FIP Engineering</v>
      </c>
      <c r="M2971" s="6" t="str">
        <f>IFERROR(__xludf.DUMMYFUNCTION("""COMPUTED_VALUE"""),"Mochammad Fadhillah Hakim,")</f>
        <v>Mochammad Fadhillah Hakim,</v>
      </c>
      <c r="N2971" s="6" t="str">
        <f>IFERROR(__xludf.DUMMYFUNCTION("""COMPUTED_VALUE"""),"FIP Engineering")</f>
        <v>FIP Engineering</v>
      </c>
      <c r="O2971" s="6" t="str">
        <f>IFERROR(__xludf.DUMMYFUNCTION("""COMPUTED_VALUE"""),"FIP-DOM-000-11304-OS00001-INA-000000")</f>
        <v>FIP-DOM-000-11304-OS00001-INA-000000</v>
      </c>
      <c r="P2971" s="6" t="str">
        <f>IFERROR(__xludf.DUMMYFUNCTION("""COMPUTED_VALUE"""),"PO Closed")</f>
        <v>PO Closed</v>
      </c>
      <c r="Q2971" s="6" t="str">
        <f>IFERROR(__xludf.DUMMYFUNCTION("""COMPUTED_VALUE"""),"GL2405021")</f>
        <v>GL2405021</v>
      </c>
      <c r="R2971" s="57">
        <f>IFERROR(__xludf.DUMMYFUNCTION("""COMPUTED_VALUE"""),45341.0)</f>
        <v>45341</v>
      </c>
      <c r="S2971" s="57">
        <f>IFERROR(__xludf.DUMMYFUNCTION("""COMPUTED_VALUE"""),45363.0)</f>
        <v>45363</v>
      </c>
      <c r="T2971" s="57">
        <f>IFERROR(__xludf.DUMMYFUNCTION("""COMPUTED_VALUE"""),45504.0)</f>
        <v>45504</v>
      </c>
    </row>
    <row r="2972">
      <c r="A2972" s="6" t="str">
        <f>IFERROR(__xludf.DUMMYFUNCTION("""COMPUTED_VALUE"""),"121701206-3")</f>
        <v>121701206-3</v>
      </c>
      <c r="B2972" s="6" t="str">
        <f>IFERROR(__xludf.DUMMYFUNCTION("""COMPUTED_VALUE"""),"121701206 - APPROVED")</f>
        <v>121701206 - APPROVED</v>
      </c>
      <c r="C2972" s="6">
        <f>IFERROR(__xludf.DUMMYFUNCTION("""COMPUTED_VALUE"""),3.0)</f>
        <v>3</v>
      </c>
      <c r="D2972" s="6" t="str">
        <f>IFERROR(__xludf.DUMMYFUNCTION("""COMPUTED_VALUE"""),"O-18559-00")</f>
        <v>O-18559-00</v>
      </c>
      <c r="E2972" s="6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F2972" s="6">
        <f>IFERROR(__xludf.DUMMYFUNCTION("""COMPUTED_VALUE"""),1.0)</f>
        <v>1</v>
      </c>
      <c r="G2972" s="6" t="str">
        <f>IFERROR(__xludf.DUMMYFUNCTION("""COMPUTED_VALUE"""),"Pieces")</f>
        <v>Pieces</v>
      </c>
      <c r="H2972" s="6" t="str">
        <f>IFERROR(__xludf.DUMMYFUNCTION("""COMPUTED_VALUE"""),"IDR")</f>
        <v>IDR</v>
      </c>
      <c r="I2972" s="6">
        <f>IFERROR(__xludf.DUMMYFUNCTION("""COMPUTED_VALUE"""),2.0493542E7)</f>
        <v>20493542</v>
      </c>
      <c r="J2972" s="6">
        <f>IFERROR(__xludf.DUMMYFUNCTION("""COMPUTED_VALUE"""),2.0493542E7)</f>
        <v>20493542</v>
      </c>
      <c r="K2972" s="57">
        <f>IFERROR(__xludf.DUMMYFUNCTION("""COMPUTED_VALUE"""),45369.0)</f>
        <v>45369</v>
      </c>
      <c r="L2972" s="6" t="str">
        <f>IFERROR(__xludf.DUMMYFUNCTION("""COMPUTED_VALUE"""),"FIP Engineering")</f>
        <v>FIP Engineering</v>
      </c>
      <c r="M2972" s="6" t="str">
        <f>IFERROR(__xludf.DUMMYFUNCTION("""COMPUTED_VALUE"""),"Mochammad Fadhillah Hakim,")</f>
        <v>Mochammad Fadhillah Hakim,</v>
      </c>
      <c r="N2972" s="6" t="str">
        <f>IFERROR(__xludf.DUMMYFUNCTION("""COMPUTED_VALUE"""),"FIP Engineering")</f>
        <v>FIP Engineering</v>
      </c>
      <c r="O2972" s="6" t="str">
        <f>IFERROR(__xludf.DUMMYFUNCTION("""COMPUTED_VALUE"""),"FIP-DOM-000-11304-OS00001-INA-000000")</f>
        <v>FIP-DOM-000-11304-OS00001-INA-000000</v>
      </c>
      <c r="P2972" s="6" t="str">
        <f>IFERROR(__xludf.DUMMYFUNCTION("""COMPUTED_VALUE"""),"PO Closed")</f>
        <v>PO Closed</v>
      </c>
      <c r="Q2972" s="6" t="str">
        <f>IFERROR(__xludf.DUMMYFUNCTION("""COMPUTED_VALUE"""),"GL2405021")</f>
        <v>GL2405021</v>
      </c>
      <c r="R2972" s="57">
        <f>IFERROR(__xludf.DUMMYFUNCTION("""COMPUTED_VALUE"""),45341.0)</f>
        <v>45341</v>
      </c>
      <c r="S2972" s="57">
        <f>IFERROR(__xludf.DUMMYFUNCTION("""COMPUTED_VALUE"""),45363.0)</f>
        <v>45363</v>
      </c>
      <c r="T2972" s="57">
        <f>IFERROR(__xludf.DUMMYFUNCTION("""COMPUTED_VALUE"""),45504.0)</f>
        <v>45504</v>
      </c>
    </row>
    <row r="2973">
      <c r="A2973" s="6" t="str">
        <f>IFERROR(__xludf.DUMMYFUNCTION("""COMPUTED_VALUE"""),"121701211-1")</f>
        <v>121701211-1</v>
      </c>
      <c r="B2973" s="6" t="str">
        <f>IFERROR(__xludf.DUMMYFUNCTION("""COMPUTED_VALUE"""),"121701211 - APPROVED")</f>
        <v>121701211 - APPROVED</v>
      </c>
      <c r="C2973" s="6">
        <f>IFERROR(__xludf.DUMMYFUNCTION("""COMPUTED_VALUE"""),1.0)</f>
        <v>1</v>
      </c>
      <c r="D2973" s="6" t="str">
        <f>IFERROR(__xludf.DUMMYFUNCTION("""COMPUTED_VALUE"""),"O-19346-00")</f>
        <v>O-19346-00</v>
      </c>
      <c r="E2973" s="6" t="str">
        <f>IFERROR(__xludf.DUMMYFUNCTION("""COMPUTED_VALUE"""),"HEPA filter minipleat, size: 1220X610X93 H14; ; ;")</f>
        <v>HEPA filter minipleat, size: 1220X610X93 H14; ; ;</v>
      </c>
      <c r="F2973" s="6">
        <f>IFERROR(__xludf.DUMMYFUNCTION("""COMPUTED_VALUE"""),13.0)</f>
        <v>13</v>
      </c>
      <c r="G2973" s="6" t="str">
        <f>IFERROR(__xludf.DUMMYFUNCTION("""COMPUTED_VALUE"""),"Pieces")</f>
        <v>Pieces</v>
      </c>
      <c r="H2973" s="6" t="str">
        <f>IFERROR(__xludf.DUMMYFUNCTION("""COMPUTED_VALUE"""),"IDR")</f>
        <v>IDR</v>
      </c>
      <c r="I2973" s="6">
        <f>IFERROR(__xludf.DUMMYFUNCTION("""COMPUTED_VALUE"""),1850000.0)</f>
        <v>1850000</v>
      </c>
      <c r="J2973" s="6">
        <f>IFERROR(__xludf.DUMMYFUNCTION("""COMPUTED_VALUE"""),2.405E7)</f>
        <v>24050000</v>
      </c>
      <c r="K2973" s="57">
        <f>IFERROR(__xludf.DUMMYFUNCTION("""COMPUTED_VALUE"""),45344.0)</f>
        <v>45344</v>
      </c>
      <c r="L2973" s="6" t="str">
        <f>IFERROR(__xludf.DUMMYFUNCTION("""COMPUTED_VALUE"""),"FIP Engineering")</f>
        <v>FIP Engineering</v>
      </c>
      <c r="M2973" s="6" t="str">
        <f>IFERROR(__xludf.DUMMYFUNCTION("""COMPUTED_VALUE"""),"Mochammad Fadhillah Hakim,")</f>
        <v>Mochammad Fadhillah Hakim,</v>
      </c>
      <c r="N2973" s="6" t="str">
        <f>IFERROR(__xludf.DUMMYFUNCTION("""COMPUTED_VALUE"""),"FIP Engineering")</f>
        <v>FIP Engineering</v>
      </c>
      <c r="O2973" s="6" t="str">
        <f>IFERROR(__xludf.DUMMYFUNCTION("""COMPUTED_VALUE"""),"FIP-DOM-000-11304-OS00001-INA-000000")</f>
        <v>FIP-DOM-000-11304-OS00001-INA-000000</v>
      </c>
      <c r="P2973" s="6" t="str">
        <f>IFERROR(__xludf.DUMMYFUNCTION("""COMPUTED_VALUE"""),"PO Closed")</f>
        <v>PO Closed</v>
      </c>
      <c r="Q2973" s="6" t="str">
        <f>IFERROR(__xludf.DUMMYFUNCTION("""COMPUTED_VALUE"""),"GL2405020")</f>
        <v>GL2405020</v>
      </c>
      <c r="R2973" s="57">
        <f>IFERROR(__xludf.DUMMYFUNCTION("""COMPUTED_VALUE"""),45342.0)</f>
        <v>45342</v>
      </c>
      <c r="S2973" s="57">
        <f>IFERROR(__xludf.DUMMYFUNCTION("""COMPUTED_VALUE"""),45359.0)</f>
        <v>45359</v>
      </c>
      <c r="T2973" s="57">
        <f>IFERROR(__xludf.DUMMYFUNCTION("""COMPUTED_VALUE"""),45478.0)</f>
        <v>45478</v>
      </c>
    </row>
    <row r="2974">
      <c r="A2974" s="6" t="str">
        <f>IFERROR(__xludf.DUMMYFUNCTION("""COMPUTED_VALUE"""),"121701211-2")</f>
        <v>121701211-2</v>
      </c>
      <c r="B2974" s="6" t="str">
        <f>IFERROR(__xludf.DUMMYFUNCTION("""COMPUTED_VALUE"""),"121701211 - APPROVED")</f>
        <v>121701211 - APPROVED</v>
      </c>
      <c r="C2974" s="6">
        <f>IFERROR(__xludf.DUMMYFUNCTION("""COMPUTED_VALUE"""),2.0)</f>
        <v>2</v>
      </c>
      <c r="D2974" s="6" t="str">
        <f>IFERROR(__xludf.DUMMYFUNCTION("""COMPUTED_VALUE"""),"O-19389-00")</f>
        <v>O-19389-00</v>
      </c>
      <c r="E2974" s="6" t="str">
        <f>IFERROR(__xludf.DUMMYFUNCTION("""COMPUTED_VALUE"""),"HEPA filter minipleat, size: 610X305X93 H14; Hencolin; ;")</f>
        <v>HEPA filter minipleat, size: 610X305X93 H14; Hencolin; ;</v>
      </c>
      <c r="F2974" s="6">
        <f>IFERROR(__xludf.DUMMYFUNCTION("""COMPUTED_VALUE"""),13.0)</f>
        <v>13</v>
      </c>
      <c r="G2974" s="6" t="str">
        <f>IFERROR(__xludf.DUMMYFUNCTION("""COMPUTED_VALUE"""),"Pieces")</f>
        <v>Pieces</v>
      </c>
      <c r="H2974" s="6" t="str">
        <f>IFERROR(__xludf.DUMMYFUNCTION("""COMPUTED_VALUE"""),"IDR")</f>
        <v>IDR</v>
      </c>
      <c r="I2974" s="6">
        <f>IFERROR(__xludf.DUMMYFUNCTION("""COMPUTED_VALUE"""),1200000.0)</f>
        <v>1200000</v>
      </c>
      <c r="J2974" s="6">
        <f>IFERROR(__xludf.DUMMYFUNCTION("""COMPUTED_VALUE"""),1.56E7)</f>
        <v>15600000</v>
      </c>
      <c r="K2974" s="57">
        <f>IFERROR(__xludf.DUMMYFUNCTION("""COMPUTED_VALUE"""),45344.0)</f>
        <v>45344</v>
      </c>
      <c r="L2974" s="6" t="str">
        <f>IFERROR(__xludf.DUMMYFUNCTION("""COMPUTED_VALUE"""),"FIP Engineering")</f>
        <v>FIP Engineering</v>
      </c>
      <c r="M2974" s="6" t="str">
        <f>IFERROR(__xludf.DUMMYFUNCTION("""COMPUTED_VALUE"""),"Mochammad Fadhillah Hakim,")</f>
        <v>Mochammad Fadhillah Hakim,</v>
      </c>
      <c r="N2974" s="6" t="str">
        <f>IFERROR(__xludf.DUMMYFUNCTION("""COMPUTED_VALUE"""),"FIP Engineering")</f>
        <v>FIP Engineering</v>
      </c>
      <c r="O2974" s="6" t="str">
        <f>IFERROR(__xludf.DUMMYFUNCTION("""COMPUTED_VALUE"""),"FIP-DOM-000-11304-OS00001-INA-000000")</f>
        <v>FIP-DOM-000-11304-OS00001-INA-000000</v>
      </c>
      <c r="P2974" s="6" t="str">
        <f>IFERROR(__xludf.DUMMYFUNCTION("""COMPUTED_VALUE"""),"PO Closed")</f>
        <v>PO Closed</v>
      </c>
      <c r="Q2974" s="6" t="str">
        <f>IFERROR(__xludf.DUMMYFUNCTION("""COMPUTED_VALUE"""),"GL2405020")</f>
        <v>GL2405020</v>
      </c>
      <c r="R2974" s="57">
        <f>IFERROR(__xludf.DUMMYFUNCTION("""COMPUTED_VALUE"""),45342.0)</f>
        <v>45342</v>
      </c>
      <c r="S2974" s="57">
        <f>IFERROR(__xludf.DUMMYFUNCTION("""COMPUTED_VALUE"""),45359.0)</f>
        <v>45359</v>
      </c>
      <c r="T2974" s="57">
        <f>IFERROR(__xludf.DUMMYFUNCTION("""COMPUTED_VALUE"""),45478.0)</f>
        <v>45478</v>
      </c>
    </row>
    <row r="2975">
      <c r="A2975" s="6" t="str">
        <f>IFERROR(__xludf.DUMMYFUNCTION("""COMPUTED_VALUE"""),"121701211-3")</f>
        <v>121701211-3</v>
      </c>
      <c r="B2975" s="6" t="str">
        <f>IFERROR(__xludf.DUMMYFUNCTION("""COMPUTED_VALUE"""),"121701211 - APPROVED")</f>
        <v>121701211 - APPROVED</v>
      </c>
      <c r="C2975" s="6">
        <f>IFERROR(__xludf.DUMMYFUNCTION("""COMPUTED_VALUE"""),3.0)</f>
        <v>3</v>
      </c>
      <c r="D2975" s="6" t="str">
        <f>IFERROR(__xludf.DUMMYFUNCTION("""COMPUTED_VALUE"""),"O-19388-00")</f>
        <v>O-19388-00</v>
      </c>
      <c r="E2975" s="6" t="str">
        <f>IFERROR(__xludf.DUMMYFUNCTION("""COMPUTED_VALUE"""),"HEPA filter minipleat, size: 610X610X93 H14; Hencolin; ;")</f>
        <v>HEPA filter minipleat, size: 610X610X93 H14; Hencolin; ;</v>
      </c>
      <c r="F2975" s="6">
        <f>IFERROR(__xludf.DUMMYFUNCTION("""COMPUTED_VALUE"""),24.0)</f>
        <v>24</v>
      </c>
      <c r="G2975" s="6" t="str">
        <f>IFERROR(__xludf.DUMMYFUNCTION("""COMPUTED_VALUE"""),"Pieces")</f>
        <v>Pieces</v>
      </c>
      <c r="H2975" s="6" t="str">
        <f>IFERROR(__xludf.DUMMYFUNCTION("""COMPUTED_VALUE"""),"IDR")</f>
        <v>IDR</v>
      </c>
      <c r="I2975" s="6">
        <f>IFERROR(__xludf.DUMMYFUNCTION("""COMPUTED_VALUE"""),1450000.0)</f>
        <v>1450000</v>
      </c>
      <c r="J2975" s="6">
        <f>IFERROR(__xludf.DUMMYFUNCTION("""COMPUTED_VALUE"""),3.48E7)</f>
        <v>34800000</v>
      </c>
      <c r="K2975" s="57">
        <f>IFERROR(__xludf.DUMMYFUNCTION("""COMPUTED_VALUE"""),45344.0)</f>
        <v>45344</v>
      </c>
      <c r="L2975" s="6" t="str">
        <f>IFERROR(__xludf.DUMMYFUNCTION("""COMPUTED_VALUE"""),"FIP Engineering")</f>
        <v>FIP Engineering</v>
      </c>
      <c r="M2975" s="6" t="str">
        <f>IFERROR(__xludf.DUMMYFUNCTION("""COMPUTED_VALUE"""),"Mochammad Fadhillah Hakim,")</f>
        <v>Mochammad Fadhillah Hakim,</v>
      </c>
      <c r="N2975" s="6" t="str">
        <f>IFERROR(__xludf.DUMMYFUNCTION("""COMPUTED_VALUE"""),"FIP Engineering")</f>
        <v>FIP Engineering</v>
      </c>
      <c r="O2975" s="6" t="str">
        <f>IFERROR(__xludf.DUMMYFUNCTION("""COMPUTED_VALUE"""),"FIP-DOM-000-11304-OS00001-INA-000000")</f>
        <v>FIP-DOM-000-11304-OS00001-INA-000000</v>
      </c>
      <c r="P2975" s="6" t="str">
        <f>IFERROR(__xludf.DUMMYFUNCTION("""COMPUTED_VALUE"""),"PO Closed")</f>
        <v>PO Closed</v>
      </c>
      <c r="Q2975" s="6" t="str">
        <f>IFERROR(__xludf.DUMMYFUNCTION("""COMPUTED_VALUE"""),"GL2405020")</f>
        <v>GL2405020</v>
      </c>
      <c r="R2975" s="57">
        <f>IFERROR(__xludf.DUMMYFUNCTION("""COMPUTED_VALUE"""),45342.0)</f>
        <v>45342</v>
      </c>
      <c r="S2975" s="57">
        <f>IFERROR(__xludf.DUMMYFUNCTION("""COMPUTED_VALUE"""),45359.0)</f>
        <v>45359</v>
      </c>
      <c r="T2975" s="57">
        <f>IFERROR(__xludf.DUMMYFUNCTION("""COMPUTED_VALUE"""),45478.0)</f>
        <v>45478</v>
      </c>
    </row>
    <row r="2976">
      <c r="A2976" s="6" t="str">
        <f>IFERROR(__xludf.DUMMYFUNCTION("""COMPUTED_VALUE"""),"121701211-4")</f>
        <v>121701211-4</v>
      </c>
      <c r="B2976" s="6" t="str">
        <f>IFERROR(__xludf.DUMMYFUNCTION("""COMPUTED_VALUE"""),"121701211 - APPROVED")</f>
        <v>121701211 - APPROVED</v>
      </c>
      <c r="C2976" s="6">
        <f>IFERROR(__xludf.DUMMYFUNCTION("""COMPUTED_VALUE"""),4.0)</f>
        <v>4</v>
      </c>
      <c r="D2976" s="6" t="str">
        <f>IFERROR(__xludf.DUMMYFUNCTION("""COMPUTED_VALUE"""),"O-19392-00")</f>
        <v>O-19392-00</v>
      </c>
      <c r="E2976" s="6" t="str">
        <f>IFERROR(__xludf.DUMMYFUNCTION("""COMPUTED_VALUE"""),"HEPA filter minipleat, size: 305X305X93 H13; Hencolin; ;")</f>
        <v>HEPA filter minipleat, size: 305X305X93 H13; Hencolin; ;</v>
      </c>
      <c r="F2976" s="6">
        <f>IFERROR(__xludf.DUMMYFUNCTION("""COMPUTED_VALUE"""),11.0)</f>
        <v>11</v>
      </c>
      <c r="G2976" s="6" t="str">
        <f>IFERROR(__xludf.DUMMYFUNCTION("""COMPUTED_VALUE"""),"Pieces")</f>
        <v>Pieces</v>
      </c>
      <c r="H2976" s="6" t="str">
        <f>IFERROR(__xludf.DUMMYFUNCTION("""COMPUTED_VALUE"""),"IDR")</f>
        <v>IDR</v>
      </c>
      <c r="I2976" s="6">
        <f>IFERROR(__xludf.DUMMYFUNCTION("""COMPUTED_VALUE"""),1000000.0)</f>
        <v>1000000</v>
      </c>
      <c r="J2976" s="6">
        <f>IFERROR(__xludf.DUMMYFUNCTION("""COMPUTED_VALUE"""),1.1E7)</f>
        <v>11000000</v>
      </c>
      <c r="K2976" s="57">
        <f>IFERROR(__xludf.DUMMYFUNCTION("""COMPUTED_VALUE"""),45344.0)</f>
        <v>45344</v>
      </c>
      <c r="L2976" s="6" t="str">
        <f>IFERROR(__xludf.DUMMYFUNCTION("""COMPUTED_VALUE"""),"FIP Engineering")</f>
        <v>FIP Engineering</v>
      </c>
      <c r="M2976" s="6" t="str">
        <f>IFERROR(__xludf.DUMMYFUNCTION("""COMPUTED_VALUE"""),"Mochammad Fadhillah Hakim,")</f>
        <v>Mochammad Fadhillah Hakim,</v>
      </c>
      <c r="N2976" s="6" t="str">
        <f>IFERROR(__xludf.DUMMYFUNCTION("""COMPUTED_VALUE"""),"FIP Engineering")</f>
        <v>FIP Engineering</v>
      </c>
      <c r="O2976" s="6" t="str">
        <f>IFERROR(__xludf.DUMMYFUNCTION("""COMPUTED_VALUE"""),"FIP-DOM-000-11304-OS00001-INA-000000")</f>
        <v>FIP-DOM-000-11304-OS00001-INA-000000</v>
      </c>
      <c r="P2976" s="6" t="str">
        <f>IFERROR(__xludf.DUMMYFUNCTION("""COMPUTED_VALUE"""),"PO Closed")</f>
        <v>PO Closed</v>
      </c>
      <c r="Q2976" s="6" t="str">
        <f>IFERROR(__xludf.DUMMYFUNCTION("""COMPUTED_VALUE"""),"GL2405020")</f>
        <v>GL2405020</v>
      </c>
      <c r="R2976" s="57">
        <f>IFERROR(__xludf.DUMMYFUNCTION("""COMPUTED_VALUE"""),45342.0)</f>
        <v>45342</v>
      </c>
      <c r="S2976" s="57">
        <f>IFERROR(__xludf.DUMMYFUNCTION("""COMPUTED_VALUE"""),45359.0)</f>
        <v>45359</v>
      </c>
      <c r="T2976" s="57">
        <f>IFERROR(__xludf.DUMMYFUNCTION("""COMPUTED_VALUE"""),45478.0)</f>
        <v>45478</v>
      </c>
    </row>
    <row r="2977">
      <c r="A2977" s="6" t="str">
        <f>IFERROR(__xludf.DUMMYFUNCTION("""COMPUTED_VALUE"""),"121701211-5")</f>
        <v>121701211-5</v>
      </c>
      <c r="B2977" s="6" t="str">
        <f>IFERROR(__xludf.DUMMYFUNCTION("""COMPUTED_VALUE"""),"121701211 - APPROVED")</f>
        <v>121701211 - APPROVED</v>
      </c>
      <c r="C2977" s="6">
        <f>IFERROR(__xludf.DUMMYFUNCTION("""COMPUTED_VALUE"""),5.0)</f>
        <v>5</v>
      </c>
      <c r="D2977" s="6" t="str">
        <f>IFERROR(__xludf.DUMMYFUNCTION("""COMPUTED_VALUE"""),"O-19390-00")</f>
        <v>O-19390-00</v>
      </c>
      <c r="E2977" s="6" t="str">
        <f>IFERROR(__xludf.DUMMYFUNCTION("""COMPUTED_VALUE"""),"HEPA filter minipleat, size: 610X610X93 H13; Hencolin; ;")</f>
        <v>HEPA filter minipleat, size: 610X610X93 H13; Hencolin; ;</v>
      </c>
      <c r="F2977" s="6">
        <f>IFERROR(__xludf.DUMMYFUNCTION("""COMPUTED_VALUE"""),46.0)</f>
        <v>46</v>
      </c>
      <c r="G2977" s="6" t="str">
        <f>IFERROR(__xludf.DUMMYFUNCTION("""COMPUTED_VALUE"""),"Pieces")</f>
        <v>Pieces</v>
      </c>
      <c r="H2977" s="6" t="str">
        <f>IFERROR(__xludf.DUMMYFUNCTION("""COMPUTED_VALUE"""),"IDR")</f>
        <v>IDR</v>
      </c>
      <c r="I2977" s="6">
        <f>IFERROR(__xludf.DUMMYFUNCTION("""COMPUTED_VALUE"""),1450000.0)</f>
        <v>1450000</v>
      </c>
      <c r="J2977" s="6">
        <f>IFERROR(__xludf.DUMMYFUNCTION("""COMPUTED_VALUE"""),6.67E7)</f>
        <v>66700000</v>
      </c>
      <c r="K2977" s="57">
        <f>IFERROR(__xludf.DUMMYFUNCTION("""COMPUTED_VALUE"""),45344.0)</f>
        <v>45344</v>
      </c>
      <c r="L2977" s="6" t="str">
        <f>IFERROR(__xludf.DUMMYFUNCTION("""COMPUTED_VALUE"""),"FIP Engineering")</f>
        <v>FIP Engineering</v>
      </c>
      <c r="M2977" s="6" t="str">
        <f>IFERROR(__xludf.DUMMYFUNCTION("""COMPUTED_VALUE"""),"Mochammad Fadhillah Hakim,")</f>
        <v>Mochammad Fadhillah Hakim,</v>
      </c>
      <c r="N2977" s="6" t="str">
        <f>IFERROR(__xludf.DUMMYFUNCTION("""COMPUTED_VALUE"""),"FIP Engineering")</f>
        <v>FIP Engineering</v>
      </c>
      <c r="O2977" s="6" t="str">
        <f>IFERROR(__xludf.DUMMYFUNCTION("""COMPUTED_VALUE"""),"FIP-DOM-000-11304-OS00001-INA-000000")</f>
        <v>FIP-DOM-000-11304-OS00001-INA-000000</v>
      </c>
      <c r="P2977" s="6" t="str">
        <f>IFERROR(__xludf.DUMMYFUNCTION("""COMPUTED_VALUE"""),"PO Closed")</f>
        <v>PO Closed</v>
      </c>
      <c r="Q2977" s="6" t="str">
        <f>IFERROR(__xludf.DUMMYFUNCTION("""COMPUTED_VALUE"""),"GL2405020")</f>
        <v>GL2405020</v>
      </c>
      <c r="R2977" s="57">
        <f>IFERROR(__xludf.DUMMYFUNCTION("""COMPUTED_VALUE"""),45342.0)</f>
        <v>45342</v>
      </c>
      <c r="S2977" s="57">
        <f>IFERROR(__xludf.DUMMYFUNCTION("""COMPUTED_VALUE"""),45359.0)</f>
        <v>45359</v>
      </c>
      <c r="T2977" s="57">
        <f>IFERROR(__xludf.DUMMYFUNCTION("""COMPUTED_VALUE"""),45478.0)</f>
        <v>45478</v>
      </c>
    </row>
    <row r="2978">
      <c r="A2978" s="6" t="str">
        <f>IFERROR(__xludf.DUMMYFUNCTION("""COMPUTED_VALUE"""),"121701211-6")</f>
        <v>121701211-6</v>
      </c>
      <c r="B2978" s="6" t="str">
        <f>IFERROR(__xludf.DUMMYFUNCTION("""COMPUTED_VALUE"""),"121701211 - APPROVED")</f>
        <v>121701211 - APPROVED</v>
      </c>
      <c r="C2978" s="6">
        <f>IFERROR(__xludf.DUMMYFUNCTION("""COMPUTED_VALUE"""),6.0)</f>
        <v>6</v>
      </c>
      <c r="D2978" s="6" t="str">
        <f>IFERROR(__xludf.DUMMYFUNCTION("""COMPUTED_VALUE"""),"O-19347-00")</f>
        <v>O-19347-00</v>
      </c>
      <c r="E2978" s="6" t="str">
        <f>IFERROR(__xludf.DUMMYFUNCTION("""COMPUTED_VALUE"""),"HEPA filter minipleat, size: 1220X610X93 H13; ; ;")</f>
        <v>HEPA filter minipleat, size: 1220X610X93 H13; ; ;</v>
      </c>
      <c r="F2978" s="6">
        <f>IFERROR(__xludf.DUMMYFUNCTION("""COMPUTED_VALUE"""),10.0)</f>
        <v>10</v>
      </c>
      <c r="G2978" s="6" t="str">
        <f>IFERROR(__xludf.DUMMYFUNCTION("""COMPUTED_VALUE"""),"Pieces")</f>
        <v>Pieces</v>
      </c>
      <c r="H2978" s="6" t="str">
        <f>IFERROR(__xludf.DUMMYFUNCTION("""COMPUTED_VALUE"""),"IDR")</f>
        <v>IDR</v>
      </c>
      <c r="I2978" s="6">
        <f>IFERROR(__xludf.DUMMYFUNCTION("""COMPUTED_VALUE"""),1850000.0)</f>
        <v>1850000</v>
      </c>
      <c r="J2978" s="6">
        <f>IFERROR(__xludf.DUMMYFUNCTION("""COMPUTED_VALUE"""),1.85E7)</f>
        <v>18500000</v>
      </c>
      <c r="K2978" s="57">
        <f>IFERROR(__xludf.DUMMYFUNCTION("""COMPUTED_VALUE"""),45344.0)</f>
        <v>45344</v>
      </c>
      <c r="L2978" s="6" t="str">
        <f>IFERROR(__xludf.DUMMYFUNCTION("""COMPUTED_VALUE"""),"FIP Engineering")</f>
        <v>FIP Engineering</v>
      </c>
      <c r="M2978" s="6" t="str">
        <f>IFERROR(__xludf.DUMMYFUNCTION("""COMPUTED_VALUE"""),"Mochammad Fadhillah Hakim,")</f>
        <v>Mochammad Fadhillah Hakim,</v>
      </c>
      <c r="N2978" s="6" t="str">
        <f>IFERROR(__xludf.DUMMYFUNCTION("""COMPUTED_VALUE"""),"FIP Engineering")</f>
        <v>FIP Engineering</v>
      </c>
      <c r="O2978" s="6" t="str">
        <f>IFERROR(__xludf.DUMMYFUNCTION("""COMPUTED_VALUE"""),"FIP-DOM-000-11304-OS00001-INA-000000")</f>
        <v>FIP-DOM-000-11304-OS00001-INA-000000</v>
      </c>
      <c r="P2978" s="6" t="str">
        <f>IFERROR(__xludf.DUMMYFUNCTION("""COMPUTED_VALUE"""),"PO Closed")</f>
        <v>PO Closed</v>
      </c>
      <c r="Q2978" s="6" t="str">
        <f>IFERROR(__xludf.DUMMYFUNCTION("""COMPUTED_VALUE"""),"GL2405020")</f>
        <v>GL2405020</v>
      </c>
      <c r="R2978" s="57">
        <f>IFERROR(__xludf.DUMMYFUNCTION("""COMPUTED_VALUE"""),45342.0)</f>
        <v>45342</v>
      </c>
      <c r="S2978" s="57">
        <f>IFERROR(__xludf.DUMMYFUNCTION("""COMPUTED_VALUE"""),45359.0)</f>
        <v>45359</v>
      </c>
      <c r="T2978" s="57">
        <f>IFERROR(__xludf.DUMMYFUNCTION("""COMPUTED_VALUE"""),45478.0)</f>
        <v>45478</v>
      </c>
    </row>
    <row r="2979">
      <c r="A2979" s="6" t="str">
        <f>IFERROR(__xludf.DUMMYFUNCTION("""COMPUTED_VALUE"""),"121701212-1")</f>
        <v>121701212-1</v>
      </c>
      <c r="B2979" s="6" t="str">
        <f>IFERROR(__xludf.DUMMYFUNCTION("""COMPUTED_VALUE"""),"121701212 - APPROVED")</f>
        <v>121701212 - APPROVED</v>
      </c>
      <c r="C2979" s="6">
        <f>IFERROR(__xludf.DUMMYFUNCTION("""COMPUTED_VALUE"""),1.0)</f>
        <v>1</v>
      </c>
      <c r="D2979" s="6" t="str">
        <f>IFERROR(__xludf.DUMMYFUNCTION("""COMPUTED_VALUE"""),"O-18917-00")</f>
        <v>O-18917-00</v>
      </c>
      <c r="E2979" s="6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F2979" s="6">
        <f>IFERROR(__xludf.DUMMYFUNCTION("""COMPUTED_VALUE"""),2.0)</f>
        <v>2</v>
      </c>
      <c r="G2979" s="6" t="str">
        <f>IFERROR(__xludf.DUMMYFUNCTION("""COMPUTED_VALUE"""),"Pieces")</f>
        <v>Pieces</v>
      </c>
      <c r="H2979" s="6" t="str">
        <f>IFERROR(__xludf.DUMMYFUNCTION("""COMPUTED_VALUE"""),"IDR")</f>
        <v>IDR</v>
      </c>
      <c r="I2979" s="6">
        <f>IFERROR(__xludf.DUMMYFUNCTION("""COMPUTED_VALUE"""),6790867.0)</f>
        <v>6790867</v>
      </c>
      <c r="J2979" s="6">
        <f>IFERROR(__xludf.DUMMYFUNCTION("""COMPUTED_VALUE"""),1.3581734E7)</f>
        <v>13581734</v>
      </c>
      <c r="K2979" s="57">
        <f>IFERROR(__xludf.DUMMYFUNCTION("""COMPUTED_VALUE"""),45344.0)</f>
        <v>45344</v>
      </c>
      <c r="L2979" s="6" t="str">
        <f>IFERROR(__xludf.DUMMYFUNCTION("""COMPUTED_VALUE"""),"FIP Engineering")</f>
        <v>FIP Engineering</v>
      </c>
      <c r="M2979" s="6" t="str">
        <f>IFERROR(__xludf.DUMMYFUNCTION("""COMPUTED_VALUE"""),"Mochammad Fadhillah Hakim,")</f>
        <v>Mochammad Fadhillah Hakim,</v>
      </c>
      <c r="N2979" s="6" t="str">
        <f>IFERROR(__xludf.DUMMYFUNCTION("""COMPUTED_VALUE"""),"FIP Engineering")</f>
        <v>FIP Engineering</v>
      </c>
      <c r="O2979" s="6" t="str">
        <f>IFERROR(__xludf.DUMMYFUNCTION("""COMPUTED_VALUE"""),"FIP-DOM-000-11304-OS00001-INA-000000")</f>
        <v>FIP-DOM-000-11304-OS00001-INA-000000</v>
      </c>
      <c r="P2979" s="6" t="str">
        <f>IFERROR(__xludf.DUMMYFUNCTION("""COMPUTED_VALUE"""),"PO Closed")</f>
        <v>PO Closed</v>
      </c>
      <c r="Q2979" s="6" t="str">
        <f>IFERROR(__xludf.DUMMYFUNCTION("""COMPUTED_VALUE"""),"GL2404038")</f>
        <v>GL2404038</v>
      </c>
      <c r="R2979" s="57">
        <f>IFERROR(__xludf.DUMMYFUNCTION("""COMPUTED_VALUE"""),45342.0)</f>
        <v>45342</v>
      </c>
      <c r="S2979" s="57">
        <f>IFERROR(__xludf.DUMMYFUNCTION("""COMPUTED_VALUE"""),45343.0)</f>
        <v>45343</v>
      </c>
      <c r="T2979" s="57">
        <f>IFERROR(__xludf.DUMMYFUNCTION("""COMPUTED_VALUE"""),45495.0)</f>
        <v>45495</v>
      </c>
    </row>
    <row r="2980">
      <c r="A2980" s="6" t="str">
        <f>IFERROR(__xludf.DUMMYFUNCTION("""COMPUTED_VALUE"""),"121701217-1")</f>
        <v>121701217-1</v>
      </c>
      <c r="B2980" s="6" t="str">
        <f>IFERROR(__xludf.DUMMYFUNCTION("""COMPUTED_VALUE"""),"121701217 - APPROVED")</f>
        <v>121701217 - APPROVED</v>
      </c>
      <c r="C2980" s="6">
        <f>IFERROR(__xludf.DUMMYFUNCTION("""COMPUTED_VALUE"""),1.0)</f>
        <v>1</v>
      </c>
      <c r="D2980" s="6" t="str">
        <f>IFERROR(__xludf.DUMMYFUNCTION("""COMPUTED_VALUE"""),"T-20320-00")</f>
        <v>T-20320-00</v>
      </c>
      <c r="E2980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F2980" s="6">
        <f>IFERROR(__xludf.DUMMYFUNCTION("""COMPUTED_VALUE"""),3.0)</f>
        <v>3</v>
      </c>
      <c r="G2980" s="6" t="str">
        <f>IFERROR(__xludf.DUMMYFUNCTION("""COMPUTED_VALUE"""),"Pieces")</f>
        <v>Pieces</v>
      </c>
      <c r="H2980" s="6" t="str">
        <f>IFERROR(__xludf.DUMMYFUNCTION("""COMPUTED_VALUE"""),"IDR")</f>
        <v>IDR</v>
      </c>
      <c r="I2980" s="6">
        <f>IFERROR(__xludf.DUMMYFUNCTION("""COMPUTED_VALUE"""),975755.0)</f>
        <v>975755</v>
      </c>
      <c r="J2980" s="6">
        <f>IFERROR(__xludf.DUMMYFUNCTION("""COMPUTED_VALUE"""),2927265.0)</f>
        <v>2927265</v>
      </c>
      <c r="K2980" s="57">
        <f>IFERROR(__xludf.DUMMYFUNCTION("""COMPUTED_VALUE"""),45344.0)</f>
        <v>45344</v>
      </c>
      <c r="L2980" s="6" t="str">
        <f>IFERROR(__xludf.DUMMYFUNCTION("""COMPUTED_VALUE"""),"FIP General")</f>
        <v>FIP General</v>
      </c>
      <c r="M2980" s="6" t="str">
        <f>IFERROR(__xludf.DUMMYFUNCTION("""COMPUTED_VALUE"""),"Mochammad Fadhillah Hakim,")</f>
        <v>Mochammad Fadhillah Hakim,</v>
      </c>
      <c r="N2980" s="6" t="str">
        <f>IFERROR(__xludf.DUMMYFUNCTION("""COMPUTED_VALUE"""),"FIP Engineering")</f>
        <v>FIP Engineering</v>
      </c>
      <c r="O2980" s="6" t="str">
        <f>IFERROR(__xludf.DUMMYFUNCTION("""COMPUTED_VALUE"""),"FIP-DOM-ENG-51505-0000000-INA-000000")</f>
        <v>FIP-DOM-ENG-51505-0000000-INA-000000</v>
      </c>
      <c r="P2980" s="6" t="str">
        <f>IFERROR(__xludf.DUMMYFUNCTION("""COMPUTED_VALUE"""),"PO Closed")</f>
        <v>PO Closed</v>
      </c>
      <c r="Q2980" s="6" t="str">
        <f>IFERROR(__xludf.DUMMYFUNCTION("""COMPUTED_VALUE"""),"GL2403317")</f>
        <v>GL2403317</v>
      </c>
      <c r="R2980" s="57">
        <f>IFERROR(__xludf.DUMMYFUNCTION("""COMPUTED_VALUE"""),45342.0)</f>
        <v>45342</v>
      </c>
      <c r="S2980" s="57">
        <f>IFERROR(__xludf.DUMMYFUNCTION("""COMPUTED_VALUE"""),45343.0)</f>
        <v>45343</v>
      </c>
      <c r="T2980" s="57">
        <f>IFERROR(__xludf.DUMMYFUNCTION("""COMPUTED_VALUE"""),45401.0)</f>
        <v>45401</v>
      </c>
    </row>
    <row r="2981">
      <c r="A2981" s="6" t="str">
        <f>IFERROR(__xludf.DUMMYFUNCTION("""COMPUTED_VALUE"""),"121701217-2")</f>
        <v>121701217-2</v>
      </c>
      <c r="B2981" s="6" t="str">
        <f>IFERROR(__xludf.DUMMYFUNCTION("""COMPUTED_VALUE"""),"121701217 - APPROVED")</f>
        <v>121701217 - APPROVED</v>
      </c>
      <c r="C2981" s="6">
        <f>IFERROR(__xludf.DUMMYFUNCTION("""COMPUTED_VALUE"""),2.0)</f>
        <v>2</v>
      </c>
      <c r="D2981" s="6" t="str">
        <f>IFERROR(__xludf.DUMMYFUNCTION("""COMPUTED_VALUE"""),"T-20447-00")</f>
        <v>T-20447-00</v>
      </c>
      <c r="E2981" s="6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F2981" s="6">
        <f>IFERROR(__xludf.DUMMYFUNCTION("""COMPUTED_VALUE"""),2.0)</f>
        <v>2</v>
      </c>
      <c r="G2981" s="6" t="str">
        <f>IFERROR(__xludf.DUMMYFUNCTION("""COMPUTED_VALUE"""),"Pack")</f>
        <v>Pack</v>
      </c>
      <c r="H2981" s="6" t="str">
        <f>IFERROR(__xludf.DUMMYFUNCTION("""COMPUTED_VALUE"""),"IDR")</f>
        <v>IDR</v>
      </c>
      <c r="I2981" s="6">
        <f>IFERROR(__xludf.DUMMYFUNCTION("""COMPUTED_VALUE"""),540718.0)</f>
        <v>540718</v>
      </c>
      <c r="J2981" s="6">
        <f>IFERROR(__xludf.DUMMYFUNCTION("""COMPUTED_VALUE"""),1081436.0)</f>
        <v>1081436</v>
      </c>
      <c r="K2981" s="57">
        <f>IFERROR(__xludf.DUMMYFUNCTION("""COMPUTED_VALUE"""),45344.0)</f>
        <v>45344</v>
      </c>
      <c r="L2981" s="6" t="str">
        <f>IFERROR(__xludf.DUMMYFUNCTION("""COMPUTED_VALUE"""),"FIP General")</f>
        <v>FIP General</v>
      </c>
      <c r="M2981" s="6" t="str">
        <f>IFERROR(__xludf.DUMMYFUNCTION("""COMPUTED_VALUE"""),"Mochammad Fadhillah Hakim,")</f>
        <v>Mochammad Fadhillah Hakim,</v>
      </c>
      <c r="N2981" s="6" t="str">
        <f>IFERROR(__xludf.DUMMYFUNCTION("""COMPUTED_VALUE"""),"FIP Engineering")</f>
        <v>FIP Engineering</v>
      </c>
      <c r="O2981" s="6" t="str">
        <f>IFERROR(__xludf.DUMMYFUNCTION("""COMPUTED_VALUE"""),"FIP-DOM-ENG-51505-0000000-INA-000000")</f>
        <v>FIP-DOM-ENG-51505-0000000-INA-000000</v>
      </c>
      <c r="P2981" s="6" t="str">
        <f>IFERROR(__xludf.DUMMYFUNCTION("""COMPUTED_VALUE"""),"PO Closed")</f>
        <v>PO Closed</v>
      </c>
      <c r="Q2981" s="6" t="str">
        <f>IFERROR(__xludf.DUMMYFUNCTION("""COMPUTED_VALUE"""),"GL2403317")</f>
        <v>GL2403317</v>
      </c>
      <c r="R2981" s="57">
        <f>IFERROR(__xludf.DUMMYFUNCTION("""COMPUTED_VALUE"""),45342.0)</f>
        <v>45342</v>
      </c>
      <c r="S2981" s="57">
        <f>IFERROR(__xludf.DUMMYFUNCTION("""COMPUTED_VALUE"""),45343.0)</f>
        <v>45343</v>
      </c>
      <c r="T2981" s="57">
        <f>IFERROR(__xludf.DUMMYFUNCTION("""COMPUTED_VALUE"""),45401.0)</f>
        <v>45401</v>
      </c>
    </row>
    <row r="2982">
      <c r="A2982" s="6" t="str">
        <f>IFERROR(__xludf.DUMMYFUNCTION("""COMPUTED_VALUE"""),"121701217-3")</f>
        <v>121701217-3</v>
      </c>
      <c r="B2982" s="6" t="str">
        <f>IFERROR(__xludf.DUMMYFUNCTION("""COMPUTED_VALUE"""),"121701217 - APPROVED")</f>
        <v>121701217 - APPROVED</v>
      </c>
      <c r="C2982" s="6">
        <f>IFERROR(__xludf.DUMMYFUNCTION("""COMPUTED_VALUE"""),3.0)</f>
        <v>3</v>
      </c>
      <c r="D2982" s="6" t="str">
        <f>IFERROR(__xludf.DUMMYFUNCTION("""COMPUTED_VALUE"""),"T-21034-00")</f>
        <v>T-21034-00</v>
      </c>
      <c r="E2982" s="6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F2982" s="6">
        <f>IFERROR(__xludf.DUMMYFUNCTION("""COMPUTED_VALUE"""),2.0)</f>
        <v>2</v>
      </c>
      <c r="G2982" s="6" t="str">
        <f>IFERROR(__xludf.DUMMYFUNCTION("""COMPUTED_VALUE"""),"Pieces")</f>
        <v>Pieces</v>
      </c>
      <c r="H2982" s="6" t="str">
        <f>IFERROR(__xludf.DUMMYFUNCTION("""COMPUTED_VALUE"""),"IDR")</f>
        <v>IDR</v>
      </c>
      <c r="I2982" s="6">
        <f>IFERROR(__xludf.DUMMYFUNCTION("""COMPUTED_VALUE"""),1352907.0)</f>
        <v>1352907</v>
      </c>
      <c r="J2982" s="6">
        <f>IFERROR(__xludf.DUMMYFUNCTION("""COMPUTED_VALUE"""),2705815.0)</f>
        <v>2705815</v>
      </c>
      <c r="K2982" s="57">
        <f>IFERROR(__xludf.DUMMYFUNCTION("""COMPUTED_VALUE"""),45344.0)</f>
        <v>45344</v>
      </c>
      <c r="L2982" s="6" t="str">
        <f>IFERROR(__xludf.DUMMYFUNCTION("""COMPUTED_VALUE"""),"FIP General")</f>
        <v>FIP General</v>
      </c>
      <c r="M2982" s="6" t="str">
        <f>IFERROR(__xludf.DUMMYFUNCTION("""COMPUTED_VALUE"""),"Mochammad Fadhillah Hakim,")</f>
        <v>Mochammad Fadhillah Hakim,</v>
      </c>
      <c r="N2982" s="6" t="str">
        <f>IFERROR(__xludf.DUMMYFUNCTION("""COMPUTED_VALUE"""),"FIP Engineering")</f>
        <v>FIP Engineering</v>
      </c>
      <c r="O2982" s="6" t="str">
        <f>IFERROR(__xludf.DUMMYFUNCTION("""COMPUTED_VALUE"""),"FIP-DOM-ENG-51505-0000000-INA-000000")</f>
        <v>FIP-DOM-ENG-51505-0000000-INA-000000</v>
      </c>
      <c r="P2982" s="6" t="str">
        <f>IFERROR(__xludf.DUMMYFUNCTION("""COMPUTED_VALUE"""),"PO Closed")</f>
        <v>PO Closed</v>
      </c>
      <c r="Q2982" s="6" t="str">
        <f>IFERROR(__xludf.DUMMYFUNCTION("""COMPUTED_VALUE"""),"GL2403317")</f>
        <v>GL2403317</v>
      </c>
      <c r="R2982" s="57">
        <f>IFERROR(__xludf.DUMMYFUNCTION("""COMPUTED_VALUE"""),45342.0)</f>
        <v>45342</v>
      </c>
      <c r="S2982" s="57">
        <f>IFERROR(__xludf.DUMMYFUNCTION("""COMPUTED_VALUE"""),45343.0)</f>
        <v>45343</v>
      </c>
      <c r="T2982" s="57">
        <f>IFERROR(__xludf.DUMMYFUNCTION("""COMPUTED_VALUE"""),45401.0)</f>
        <v>45401</v>
      </c>
    </row>
    <row r="2983">
      <c r="A2983" s="6" t="str">
        <f>IFERROR(__xludf.DUMMYFUNCTION("""COMPUTED_VALUE"""),"121701217-4")</f>
        <v>121701217-4</v>
      </c>
      <c r="B2983" s="6" t="str">
        <f>IFERROR(__xludf.DUMMYFUNCTION("""COMPUTED_VALUE"""),"121701217 - APPROVED")</f>
        <v>121701217 - APPROVED</v>
      </c>
      <c r="C2983" s="6">
        <f>IFERROR(__xludf.DUMMYFUNCTION("""COMPUTED_VALUE"""),4.0)</f>
        <v>4</v>
      </c>
      <c r="D2983" s="6" t="str">
        <f>IFERROR(__xludf.DUMMYFUNCTION("""COMPUTED_VALUE"""),"T-20123-00")</f>
        <v>T-20123-00</v>
      </c>
      <c r="E2983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2983" s="6">
        <f>IFERROR(__xludf.DUMMYFUNCTION("""COMPUTED_VALUE"""),2.0)</f>
        <v>2</v>
      </c>
      <c r="G2983" s="6" t="str">
        <f>IFERROR(__xludf.DUMMYFUNCTION("""COMPUTED_VALUE"""),"Pieces")</f>
        <v>Pieces</v>
      </c>
      <c r="H2983" s="6" t="str">
        <f>IFERROR(__xludf.DUMMYFUNCTION("""COMPUTED_VALUE"""),"IDR")</f>
        <v>IDR</v>
      </c>
      <c r="I2983" s="6">
        <f>IFERROR(__xludf.DUMMYFUNCTION("""COMPUTED_VALUE"""),1.32E7)</f>
        <v>13200000</v>
      </c>
      <c r="J2983" s="6">
        <f>IFERROR(__xludf.DUMMYFUNCTION("""COMPUTED_VALUE"""),2.64E7)</f>
        <v>26400000</v>
      </c>
      <c r="K2983" s="57">
        <f>IFERROR(__xludf.DUMMYFUNCTION("""COMPUTED_VALUE"""),45344.0)</f>
        <v>45344</v>
      </c>
      <c r="L2983" s="6" t="str">
        <f>IFERROR(__xludf.DUMMYFUNCTION("""COMPUTED_VALUE"""),"FIP General")</f>
        <v>FIP General</v>
      </c>
      <c r="M2983" s="6" t="str">
        <f>IFERROR(__xludf.DUMMYFUNCTION("""COMPUTED_VALUE"""),"Mochammad Fadhillah Hakim,")</f>
        <v>Mochammad Fadhillah Hakim,</v>
      </c>
      <c r="N2983" s="6" t="str">
        <f>IFERROR(__xludf.DUMMYFUNCTION("""COMPUTED_VALUE"""),"FIP Engineering")</f>
        <v>FIP Engineering</v>
      </c>
      <c r="O2983" s="6" t="str">
        <f>IFERROR(__xludf.DUMMYFUNCTION("""COMPUTED_VALUE"""),"FIP-DOM-ENG-51505-0000000-INA-000000")</f>
        <v>FIP-DOM-ENG-51505-0000000-INA-000000</v>
      </c>
      <c r="P2983" s="6" t="str">
        <f>IFERROR(__xludf.DUMMYFUNCTION("""COMPUTED_VALUE"""),"PO Closed")</f>
        <v>PO Closed</v>
      </c>
      <c r="Q2983" s="6" t="str">
        <f>IFERROR(__xludf.DUMMYFUNCTION("""COMPUTED_VALUE"""),"GL2403030")</f>
        <v>GL2403030</v>
      </c>
      <c r="R2983" s="57">
        <f>IFERROR(__xludf.DUMMYFUNCTION("""COMPUTED_VALUE"""),45342.0)</f>
        <v>45342</v>
      </c>
      <c r="S2983" s="57">
        <f>IFERROR(__xludf.DUMMYFUNCTION("""COMPUTED_VALUE"""),45343.0)</f>
        <v>45343</v>
      </c>
      <c r="T2983" s="57">
        <f>IFERROR(__xludf.DUMMYFUNCTION("""COMPUTED_VALUE"""),45380.0)</f>
        <v>45380</v>
      </c>
    </row>
    <row r="2984">
      <c r="A2984" s="6" t="str">
        <f>IFERROR(__xludf.DUMMYFUNCTION("""COMPUTED_VALUE"""),"121701233-1")</f>
        <v>121701233-1</v>
      </c>
      <c r="B2984" s="6" t="str">
        <f>IFERROR(__xludf.DUMMYFUNCTION("""COMPUTED_VALUE"""),"121701233 - APPROVED")</f>
        <v>121701233 - APPROVED</v>
      </c>
      <c r="C2984" s="6">
        <f>IFERROR(__xludf.DUMMYFUNCTION("""COMPUTED_VALUE"""),1.0)</f>
        <v>1</v>
      </c>
      <c r="D2984" s="6" t="str">
        <f>IFERROR(__xludf.DUMMYFUNCTION("""COMPUTED_VALUE"""),"T-20201-00")</f>
        <v>T-20201-00</v>
      </c>
      <c r="E2984" s="6" t="str">
        <f>IFERROR(__xludf.DUMMYFUNCTION("""COMPUTED_VALUE"""),"ASSY,SOLVENT FILTER., Waters, Part No. WAT025531")</f>
        <v>ASSY,SOLVENT FILTER., Waters, Part No. WAT025531</v>
      </c>
      <c r="F2984" s="6">
        <f>IFERROR(__xludf.DUMMYFUNCTION("""COMPUTED_VALUE"""),2.0)</f>
        <v>2</v>
      </c>
      <c r="G2984" s="6" t="str">
        <f>IFERROR(__xludf.DUMMYFUNCTION("""COMPUTED_VALUE"""),"Pieces")</f>
        <v>Pieces</v>
      </c>
      <c r="H2984" s="6" t="str">
        <f>IFERROR(__xludf.DUMMYFUNCTION("""COMPUTED_VALUE"""),"IDR")</f>
        <v>IDR</v>
      </c>
      <c r="I2984" s="6">
        <f>IFERROR(__xludf.DUMMYFUNCTION("""COMPUTED_VALUE"""),2325000.0)</f>
        <v>2325000</v>
      </c>
      <c r="J2984" s="6">
        <f>IFERROR(__xludf.DUMMYFUNCTION("""COMPUTED_VALUE"""),4650000.0)</f>
        <v>4650000</v>
      </c>
      <c r="K2984" s="57">
        <f>IFERROR(__xludf.DUMMYFUNCTION("""COMPUTED_VALUE"""),45350.0)</f>
        <v>45350</v>
      </c>
      <c r="L2984" s="6" t="str">
        <f>IFERROR(__xludf.DUMMYFUNCTION("""COMPUTED_VALUE"""),"FIP General")</f>
        <v>FIP General</v>
      </c>
      <c r="M2984" s="6" t="str">
        <f>IFERROR(__xludf.DUMMYFUNCTION("""COMPUTED_VALUE"""),"Mochammad Fadhillah Hakim,")</f>
        <v>Mochammad Fadhillah Hakim,</v>
      </c>
      <c r="N2984" s="6" t="str">
        <f>IFERROR(__xludf.DUMMYFUNCTION("""COMPUTED_VALUE"""),"FIP Engineering")</f>
        <v>FIP Engineering</v>
      </c>
      <c r="O2984" s="6" t="str">
        <f>IFERROR(__xludf.DUMMYFUNCTION("""COMPUTED_VALUE"""),"FIP-DOM-ENG-51505-0000000-INA-000000")</f>
        <v>FIP-DOM-ENG-51505-0000000-INA-000000</v>
      </c>
      <c r="P2984" s="6" t="str">
        <f>IFERROR(__xludf.DUMMYFUNCTION("""COMPUTED_VALUE"""),"PO Closed")</f>
        <v>PO Closed</v>
      </c>
      <c r="Q2984" s="6" t="str">
        <f>IFERROR(__xludf.DUMMYFUNCTION("""COMPUTED_VALUE"""),"GL2404342")</f>
        <v>GL2404342</v>
      </c>
      <c r="R2984" s="57">
        <f>IFERROR(__xludf.DUMMYFUNCTION("""COMPUTED_VALUE"""),45348.0)</f>
        <v>45348</v>
      </c>
      <c r="S2984" s="57">
        <f>IFERROR(__xludf.DUMMYFUNCTION("""COMPUTED_VALUE"""),45364.0)</f>
        <v>45364</v>
      </c>
      <c r="T2984" s="57">
        <f>IFERROR(__xludf.DUMMYFUNCTION("""COMPUTED_VALUE"""),45415.0)</f>
        <v>45415</v>
      </c>
    </row>
    <row r="2985">
      <c r="A2985" s="6" t="str">
        <f>IFERROR(__xludf.DUMMYFUNCTION("""COMPUTED_VALUE"""),"121701233-2")</f>
        <v>121701233-2</v>
      </c>
      <c r="B2985" s="6" t="str">
        <f>IFERROR(__xludf.DUMMYFUNCTION("""COMPUTED_VALUE"""),"121701233 - APPROVED")</f>
        <v>121701233 - APPROVED</v>
      </c>
      <c r="C2985" s="6">
        <f>IFERROR(__xludf.DUMMYFUNCTION("""COMPUTED_VALUE"""),2.0)</f>
        <v>2</v>
      </c>
      <c r="D2985" s="6" t="str">
        <f>IFERROR(__xludf.DUMMYFUNCTION("""COMPUTED_VALUE"""),"P-51560-00")</f>
        <v>P-51560-00</v>
      </c>
      <c r="E2985" s="6" t="str">
        <f>IFERROR(__xludf.DUMMYFUNCTION("""COMPUTED_VALUE"""),"Lampu T5 28watt Putih; Phillips; ;")</f>
        <v>Lampu T5 28watt Putih; Phillips; ;</v>
      </c>
      <c r="F2985" s="6">
        <f>IFERROR(__xludf.DUMMYFUNCTION("""COMPUTED_VALUE"""),20.0)</f>
        <v>20</v>
      </c>
      <c r="G2985" s="6" t="str">
        <f>IFERROR(__xludf.DUMMYFUNCTION("""COMPUTED_VALUE"""),"Pieces")</f>
        <v>Pieces</v>
      </c>
      <c r="H2985" s="6" t="str">
        <f>IFERROR(__xludf.DUMMYFUNCTION("""COMPUTED_VALUE"""),"IDR")</f>
        <v>IDR</v>
      </c>
      <c r="I2985" s="6">
        <f>IFERROR(__xludf.DUMMYFUNCTION("""COMPUTED_VALUE"""),36000.0)</f>
        <v>36000</v>
      </c>
      <c r="J2985" s="6">
        <f>IFERROR(__xludf.DUMMYFUNCTION("""COMPUTED_VALUE"""),720000.0)</f>
        <v>720000</v>
      </c>
      <c r="K2985" s="57">
        <f>IFERROR(__xludf.DUMMYFUNCTION("""COMPUTED_VALUE"""),45350.0)</f>
        <v>45350</v>
      </c>
      <c r="L2985" s="6" t="str">
        <f>IFERROR(__xludf.DUMMYFUNCTION("""COMPUTED_VALUE"""),"FIP Engineering")</f>
        <v>FIP Engineering</v>
      </c>
      <c r="M2985" s="6" t="str">
        <f>IFERROR(__xludf.DUMMYFUNCTION("""COMPUTED_VALUE"""),"Mochammad Fadhillah Hakim,")</f>
        <v>Mochammad Fadhillah Hakim,</v>
      </c>
      <c r="N2985" s="6" t="str">
        <f>IFERROR(__xludf.DUMMYFUNCTION("""COMPUTED_VALUE"""),"FIP Engineering")</f>
        <v>FIP Engineering</v>
      </c>
      <c r="O2985" s="6" t="str">
        <f>IFERROR(__xludf.DUMMYFUNCTION("""COMPUTED_VALUE"""),"FIP-DOM-000-11304-OS00001-INA-000000")</f>
        <v>FIP-DOM-000-11304-OS00001-INA-000000</v>
      </c>
      <c r="P2985" s="6" t="str">
        <f>IFERROR(__xludf.DUMMYFUNCTION("""COMPUTED_VALUE"""),"PO Closed")</f>
        <v>PO Closed</v>
      </c>
      <c r="Q2985" s="6" t="str">
        <f>IFERROR(__xludf.DUMMYFUNCTION("""COMPUTED_VALUE"""),"GL2405361")</f>
        <v>GL2405361</v>
      </c>
      <c r="R2985" s="57">
        <f>IFERROR(__xludf.DUMMYFUNCTION("""COMPUTED_VALUE"""),45348.0)</f>
        <v>45348</v>
      </c>
      <c r="S2985" s="57">
        <f>IFERROR(__xludf.DUMMYFUNCTION("""COMPUTED_VALUE"""),45364.0)</f>
        <v>45364</v>
      </c>
      <c r="T2985" s="57">
        <f>IFERROR(__xludf.DUMMYFUNCTION("""COMPUTED_VALUE"""),45463.0)</f>
        <v>45463</v>
      </c>
    </row>
    <row r="2986">
      <c r="A2986" s="6" t="str">
        <f>IFERROR(__xludf.DUMMYFUNCTION("""COMPUTED_VALUE"""),"121701233-3")</f>
        <v>121701233-3</v>
      </c>
      <c r="B2986" s="6" t="str">
        <f>IFERROR(__xludf.DUMMYFUNCTION("""COMPUTED_VALUE"""),"121701233 - APPROVED")</f>
        <v>121701233 - APPROVED</v>
      </c>
      <c r="C2986" s="6">
        <f>IFERROR(__xludf.DUMMYFUNCTION("""COMPUTED_VALUE"""),3.0)</f>
        <v>3</v>
      </c>
      <c r="D2986" s="6" t="str">
        <f>IFERROR(__xludf.DUMMYFUNCTION("""COMPUTED_VALUE"""),"P-53102-00")</f>
        <v>P-53102-00</v>
      </c>
      <c r="E2986" s="6" t="str">
        <f>IFERROR(__xludf.DUMMYFUNCTION("""COMPUTED_VALUE"""),"Lampu PLC 13watt/E27 Putih; Phillips; ;")</f>
        <v>Lampu PLC 13watt/E27 Putih; Phillips; ;</v>
      </c>
      <c r="F2986" s="6">
        <f>IFERROR(__xludf.DUMMYFUNCTION("""COMPUTED_VALUE"""),10.0)</f>
        <v>10</v>
      </c>
      <c r="G2986" s="6" t="str">
        <f>IFERROR(__xludf.DUMMYFUNCTION("""COMPUTED_VALUE"""),"Pieces")</f>
        <v>Pieces</v>
      </c>
      <c r="H2986" s="6" t="str">
        <f>IFERROR(__xludf.DUMMYFUNCTION("""COMPUTED_VALUE"""),"IDR")</f>
        <v>IDR</v>
      </c>
      <c r="I2986" s="6">
        <f>IFERROR(__xludf.DUMMYFUNCTION("""COMPUTED_VALUE"""),26100.0)</f>
        <v>26100</v>
      </c>
      <c r="J2986" s="6">
        <f>IFERROR(__xludf.DUMMYFUNCTION("""COMPUTED_VALUE"""),261000.0)</f>
        <v>261000</v>
      </c>
      <c r="K2986" s="57">
        <f>IFERROR(__xludf.DUMMYFUNCTION("""COMPUTED_VALUE"""),45350.0)</f>
        <v>45350</v>
      </c>
      <c r="L2986" s="6" t="str">
        <f>IFERROR(__xludf.DUMMYFUNCTION("""COMPUTED_VALUE"""),"FIP Engineering")</f>
        <v>FIP Engineering</v>
      </c>
      <c r="M2986" s="6" t="str">
        <f>IFERROR(__xludf.DUMMYFUNCTION("""COMPUTED_VALUE"""),"Mochammad Fadhillah Hakim,")</f>
        <v>Mochammad Fadhillah Hakim,</v>
      </c>
      <c r="N2986" s="6" t="str">
        <f>IFERROR(__xludf.DUMMYFUNCTION("""COMPUTED_VALUE"""),"FIP Engineering")</f>
        <v>FIP Engineering</v>
      </c>
      <c r="O2986" s="6" t="str">
        <f>IFERROR(__xludf.DUMMYFUNCTION("""COMPUTED_VALUE"""),"FIP-DOM-000-11304-OS00001-INA-000000")</f>
        <v>FIP-DOM-000-11304-OS00001-INA-000000</v>
      </c>
      <c r="P2986" s="6" t="str">
        <f>IFERROR(__xludf.DUMMYFUNCTION("""COMPUTED_VALUE"""),"PO Closed")</f>
        <v>PO Closed</v>
      </c>
      <c r="Q2986" s="6" t="str">
        <f>IFERROR(__xludf.DUMMYFUNCTION("""COMPUTED_VALUE"""),"GL2405361")</f>
        <v>GL2405361</v>
      </c>
      <c r="R2986" s="57">
        <f>IFERROR(__xludf.DUMMYFUNCTION("""COMPUTED_VALUE"""),45348.0)</f>
        <v>45348</v>
      </c>
      <c r="S2986" s="57">
        <f>IFERROR(__xludf.DUMMYFUNCTION("""COMPUTED_VALUE"""),45364.0)</f>
        <v>45364</v>
      </c>
      <c r="T2986" s="57">
        <f>IFERROR(__xludf.DUMMYFUNCTION("""COMPUTED_VALUE"""),45463.0)</f>
        <v>45463</v>
      </c>
    </row>
    <row r="2987">
      <c r="A2987" s="6" t="str">
        <f>IFERROR(__xludf.DUMMYFUNCTION("""COMPUTED_VALUE"""),"121701233-4")</f>
        <v>121701233-4</v>
      </c>
      <c r="B2987" s="6" t="str">
        <f>IFERROR(__xludf.DUMMYFUNCTION("""COMPUTED_VALUE"""),"121701233 - APPROVED")</f>
        <v>121701233 - APPROVED</v>
      </c>
      <c r="C2987" s="6">
        <f>IFERROR(__xludf.DUMMYFUNCTION("""COMPUTED_VALUE"""),4.0)</f>
        <v>4</v>
      </c>
      <c r="D2987" s="6" t="str">
        <f>IFERROR(__xludf.DUMMYFUNCTION("""COMPUTED_VALUE"""),"P-10945-00")</f>
        <v>P-10945-00</v>
      </c>
      <c r="E2987" s="6" t="str">
        <f>IFERROR(__xludf.DUMMYFUNCTION("""COMPUTED_VALUE"""),"Insulation - Seal Tape onda")</f>
        <v>Insulation - Seal Tape onda</v>
      </c>
      <c r="F2987" s="6">
        <f>IFERROR(__xludf.DUMMYFUNCTION("""COMPUTED_VALUE"""),10.0)</f>
        <v>10</v>
      </c>
      <c r="G2987" s="6" t="str">
        <f>IFERROR(__xludf.DUMMYFUNCTION("""COMPUTED_VALUE"""),"Pieces")</f>
        <v>Pieces</v>
      </c>
      <c r="H2987" s="6" t="str">
        <f>IFERROR(__xludf.DUMMYFUNCTION("""COMPUTED_VALUE"""),"IDR")</f>
        <v>IDR</v>
      </c>
      <c r="I2987" s="6">
        <f>IFERROR(__xludf.DUMMYFUNCTION("""COMPUTED_VALUE"""),5000.0)</f>
        <v>5000</v>
      </c>
      <c r="J2987" s="6">
        <f>IFERROR(__xludf.DUMMYFUNCTION("""COMPUTED_VALUE"""),50000.0)</f>
        <v>50000</v>
      </c>
      <c r="K2987" s="57">
        <f>IFERROR(__xludf.DUMMYFUNCTION("""COMPUTED_VALUE"""),45350.0)</f>
        <v>45350</v>
      </c>
      <c r="L2987" s="6" t="str">
        <f>IFERROR(__xludf.DUMMYFUNCTION("""COMPUTED_VALUE"""),"FIP Engineering")</f>
        <v>FIP Engineering</v>
      </c>
      <c r="M2987" s="6" t="str">
        <f>IFERROR(__xludf.DUMMYFUNCTION("""COMPUTED_VALUE"""),"Mochammad Fadhillah Hakim,")</f>
        <v>Mochammad Fadhillah Hakim,</v>
      </c>
      <c r="N2987" s="6" t="str">
        <f>IFERROR(__xludf.DUMMYFUNCTION("""COMPUTED_VALUE"""),"FIP Engineering")</f>
        <v>FIP Engineering</v>
      </c>
      <c r="O2987" s="6" t="str">
        <f>IFERROR(__xludf.DUMMYFUNCTION("""COMPUTED_VALUE"""),"FIP-DOM-000-11304-OS00001-INA-000000")</f>
        <v>FIP-DOM-000-11304-OS00001-INA-000000</v>
      </c>
      <c r="P2987" s="6" t="str">
        <f>IFERROR(__xludf.DUMMYFUNCTION("""COMPUTED_VALUE"""),"PO Closed")</f>
        <v>PO Closed</v>
      </c>
      <c r="Q2987" s="6" t="str">
        <f>IFERROR(__xludf.DUMMYFUNCTION("""COMPUTED_VALUE"""),"GL2405361")</f>
        <v>GL2405361</v>
      </c>
      <c r="R2987" s="57">
        <f>IFERROR(__xludf.DUMMYFUNCTION("""COMPUTED_VALUE"""),45348.0)</f>
        <v>45348</v>
      </c>
      <c r="S2987" s="57">
        <f>IFERROR(__xludf.DUMMYFUNCTION("""COMPUTED_VALUE"""),45364.0)</f>
        <v>45364</v>
      </c>
      <c r="T2987" s="57">
        <f>IFERROR(__xludf.DUMMYFUNCTION("""COMPUTED_VALUE"""),45463.0)</f>
        <v>45463</v>
      </c>
    </row>
    <row r="2988">
      <c r="A2988" s="6" t="str">
        <f>IFERROR(__xludf.DUMMYFUNCTION("""COMPUTED_VALUE"""),"121701233-5")</f>
        <v>121701233-5</v>
      </c>
      <c r="B2988" s="6" t="str">
        <f>IFERROR(__xludf.DUMMYFUNCTION("""COMPUTED_VALUE"""),"121701233 - APPROVED")</f>
        <v>121701233 - APPROVED</v>
      </c>
      <c r="C2988" s="6">
        <f>IFERROR(__xludf.DUMMYFUNCTION("""COMPUTED_VALUE"""),5.0)</f>
        <v>5</v>
      </c>
      <c r="D2988" s="6" t="str">
        <f>IFERROR(__xludf.DUMMYFUNCTION("""COMPUTED_VALUE"""),"P-13389-00")</f>
        <v>P-13389-00</v>
      </c>
      <c r="E2988" s="6" t="str">
        <f>IFERROR(__xludf.DUMMYFUNCTION("""COMPUTED_VALUE"""),"Scotch Brite 3M; ; ;")</f>
        <v>Scotch Brite 3M; ; ;</v>
      </c>
      <c r="F2988" s="6">
        <f>IFERROR(__xludf.DUMMYFUNCTION("""COMPUTED_VALUE"""),10.0)</f>
        <v>10</v>
      </c>
      <c r="G2988" s="6" t="str">
        <f>IFERROR(__xludf.DUMMYFUNCTION("""COMPUTED_VALUE"""),"Pieces")</f>
        <v>Pieces</v>
      </c>
      <c r="H2988" s="6" t="str">
        <f>IFERROR(__xludf.DUMMYFUNCTION("""COMPUTED_VALUE"""),"IDR")</f>
        <v>IDR</v>
      </c>
      <c r="I2988" s="6">
        <f>IFERROR(__xludf.DUMMYFUNCTION("""COMPUTED_VALUE"""),13500.0)</f>
        <v>13500</v>
      </c>
      <c r="J2988" s="6">
        <f>IFERROR(__xludf.DUMMYFUNCTION("""COMPUTED_VALUE"""),135000.0)</f>
        <v>135000</v>
      </c>
      <c r="K2988" s="57">
        <f>IFERROR(__xludf.DUMMYFUNCTION("""COMPUTED_VALUE"""),45350.0)</f>
        <v>45350</v>
      </c>
      <c r="L2988" s="6" t="str">
        <f>IFERROR(__xludf.DUMMYFUNCTION("""COMPUTED_VALUE"""),"FIP Engineering")</f>
        <v>FIP Engineering</v>
      </c>
      <c r="M2988" s="6" t="str">
        <f>IFERROR(__xludf.DUMMYFUNCTION("""COMPUTED_VALUE"""),"Mochammad Fadhillah Hakim,")</f>
        <v>Mochammad Fadhillah Hakim,</v>
      </c>
      <c r="N2988" s="6" t="str">
        <f>IFERROR(__xludf.DUMMYFUNCTION("""COMPUTED_VALUE"""),"FIP Engineering")</f>
        <v>FIP Engineering</v>
      </c>
      <c r="O2988" s="6" t="str">
        <f>IFERROR(__xludf.DUMMYFUNCTION("""COMPUTED_VALUE"""),"FIP-DOM-000-11304-OS00001-INA-000000")</f>
        <v>FIP-DOM-000-11304-OS00001-INA-000000</v>
      </c>
      <c r="P2988" s="6" t="str">
        <f>IFERROR(__xludf.DUMMYFUNCTION("""COMPUTED_VALUE"""),"PO Closed")</f>
        <v>PO Closed</v>
      </c>
      <c r="Q2988" s="6" t="str">
        <f>IFERROR(__xludf.DUMMYFUNCTION("""COMPUTED_VALUE"""),"GL2403002")</f>
        <v>GL2403002</v>
      </c>
      <c r="R2988" s="57">
        <f>IFERROR(__xludf.DUMMYFUNCTION("""COMPUTED_VALUE"""),45348.0)</f>
        <v>45348</v>
      </c>
      <c r="S2988" s="57">
        <f>IFERROR(__xludf.DUMMYFUNCTION("""COMPUTED_VALUE"""),45364.0)</f>
        <v>45364</v>
      </c>
      <c r="T2988" s="57">
        <f>IFERROR(__xludf.DUMMYFUNCTION("""COMPUTED_VALUE"""),45412.0)</f>
        <v>45412</v>
      </c>
    </row>
    <row r="2989">
      <c r="A2989" s="6" t="str">
        <f>IFERROR(__xludf.DUMMYFUNCTION("""COMPUTED_VALUE"""),"121701233-6")</f>
        <v>121701233-6</v>
      </c>
      <c r="B2989" s="6" t="str">
        <f>IFERROR(__xludf.DUMMYFUNCTION("""COMPUTED_VALUE"""),"121701233 - APPROVED")</f>
        <v>121701233 - APPROVED</v>
      </c>
      <c r="C2989" s="6">
        <f>IFERROR(__xludf.DUMMYFUNCTION("""COMPUTED_VALUE"""),6.0)</f>
        <v>6</v>
      </c>
      <c r="D2989" s="6" t="str">
        <f>IFERROR(__xludf.DUMMYFUNCTION("""COMPUTED_VALUE"""),"O-15931-00")</f>
        <v>O-15931-00</v>
      </c>
      <c r="E2989" s="6" t="str">
        <f>IFERROR(__xludf.DUMMYFUNCTION("""COMPUTED_VALUE"""),"Double Tape 3M 1"" Merah - P/N : -  pc")</f>
        <v>Double Tape 3M 1" Merah - P/N : -  pc</v>
      </c>
      <c r="F2989" s="6">
        <f>IFERROR(__xludf.DUMMYFUNCTION("""COMPUTED_VALUE"""),5.0)</f>
        <v>5</v>
      </c>
      <c r="G2989" s="6" t="str">
        <f>IFERROR(__xludf.DUMMYFUNCTION("""COMPUTED_VALUE"""),"Pieces")</f>
        <v>Pieces</v>
      </c>
      <c r="H2989" s="6" t="str">
        <f>IFERROR(__xludf.DUMMYFUNCTION("""COMPUTED_VALUE"""),"IDR")</f>
        <v>IDR</v>
      </c>
      <c r="I2989" s="6">
        <f>IFERROR(__xludf.DUMMYFUNCTION("""COMPUTED_VALUE"""),112500.0)</f>
        <v>112500</v>
      </c>
      <c r="J2989" s="6">
        <f>IFERROR(__xludf.DUMMYFUNCTION("""COMPUTED_VALUE"""),562500.0)</f>
        <v>562500</v>
      </c>
      <c r="K2989" s="57">
        <f>IFERROR(__xludf.DUMMYFUNCTION("""COMPUTED_VALUE"""),45350.0)</f>
        <v>45350</v>
      </c>
      <c r="L2989" s="6" t="str">
        <f>IFERROR(__xludf.DUMMYFUNCTION("""COMPUTED_VALUE"""),"FIP Engineering")</f>
        <v>FIP Engineering</v>
      </c>
      <c r="M2989" s="6" t="str">
        <f>IFERROR(__xludf.DUMMYFUNCTION("""COMPUTED_VALUE"""),"Mochammad Fadhillah Hakim,")</f>
        <v>Mochammad Fadhillah Hakim,</v>
      </c>
      <c r="N2989" s="6" t="str">
        <f>IFERROR(__xludf.DUMMYFUNCTION("""COMPUTED_VALUE"""),"FIP Engineering")</f>
        <v>FIP Engineering</v>
      </c>
      <c r="O2989" s="6" t="str">
        <f>IFERROR(__xludf.DUMMYFUNCTION("""COMPUTED_VALUE"""),"FIP-DOM-000-11304-OS00001-INA-000000")</f>
        <v>FIP-DOM-000-11304-OS00001-INA-000000</v>
      </c>
      <c r="P2989" s="6" t="str">
        <f>IFERROR(__xludf.DUMMYFUNCTION("""COMPUTED_VALUE"""),"PO Closed")</f>
        <v>PO Closed</v>
      </c>
      <c r="Q2989" s="6" t="str">
        <f>IFERROR(__xludf.DUMMYFUNCTION("""COMPUTED_VALUE"""),"GL2403002")</f>
        <v>GL2403002</v>
      </c>
      <c r="R2989" s="57">
        <f>IFERROR(__xludf.DUMMYFUNCTION("""COMPUTED_VALUE"""),45348.0)</f>
        <v>45348</v>
      </c>
      <c r="S2989" s="57">
        <f>IFERROR(__xludf.DUMMYFUNCTION("""COMPUTED_VALUE"""),45364.0)</f>
        <v>45364</v>
      </c>
      <c r="T2989" s="57">
        <f>IFERROR(__xludf.DUMMYFUNCTION("""COMPUTED_VALUE"""),45412.0)</f>
        <v>45412</v>
      </c>
    </row>
    <row r="2990">
      <c r="A2990" s="6" t="str">
        <f>IFERROR(__xludf.DUMMYFUNCTION("""COMPUTED_VALUE"""),"121701233-7")</f>
        <v>121701233-7</v>
      </c>
      <c r="B2990" s="6" t="str">
        <f>IFERROR(__xludf.DUMMYFUNCTION("""COMPUTED_VALUE"""),"121701233 - APPROVED")</f>
        <v>121701233 - APPROVED</v>
      </c>
      <c r="C2990" s="6">
        <f>IFERROR(__xludf.DUMMYFUNCTION("""COMPUTED_VALUE"""),7.0)</f>
        <v>7</v>
      </c>
      <c r="D2990" s="6" t="str">
        <f>IFERROR(__xludf.DUMMYFUNCTION("""COMPUTED_VALUE"""),"P-12764-00")</f>
        <v>P-12764-00</v>
      </c>
      <c r="E2990" s="6" t="str">
        <f>IFERROR(__xludf.DUMMYFUNCTION("""COMPUTED_VALUE"""),"Silicone gasket for ferrule dia 1/2inch Taiwan")</f>
        <v>Silicone gasket for ferrule dia 1/2inch Taiwan</v>
      </c>
      <c r="F2990" s="6">
        <f>IFERROR(__xludf.DUMMYFUNCTION("""COMPUTED_VALUE"""),10.0)</f>
        <v>10</v>
      </c>
      <c r="G2990" s="6" t="str">
        <f>IFERROR(__xludf.DUMMYFUNCTION("""COMPUTED_VALUE"""),"Pieces")</f>
        <v>Pieces</v>
      </c>
      <c r="H2990" s="6" t="str">
        <f>IFERROR(__xludf.DUMMYFUNCTION("""COMPUTED_VALUE"""),"IDR")</f>
        <v>IDR</v>
      </c>
      <c r="I2990" s="6">
        <f>IFERROR(__xludf.DUMMYFUNCTION("""COMPUTED_VALUE"""),8000.0)</f>
        <v>8000</v>
      </c>
      <c r="J2990" s="6">
        <f>IFERROR(__xludf.DUMMYFUNCTION("""COMPUTED_VALUE"""),80000.0)</f>
        <v>80000</v>
      </c>
      <c r="K2990" s="57">
        <f>IFERROR(__xludf.DUMMYFUNCTION("""COMPUTED_VALUE"""),45350.0)</f>
        <v>45350</v>
      </c>
      <c r="L2990" s="6" t="str">
        <f>IFERROR(__xludf.DUMMYFUNCTION("""COMPUTED_VALUE"""),"FIP Engineering")</f>
        <v>FIP Engineering</v>
      </c>
      <c r="M2990" s="6" t="str">
        <f>IFERROR(__xludf.DUMMYFUNCTION("""COMPUTED_VALUE"""),"Mochammad Fadhillah Hakim,")</f>
        <v>Mochammad Fadhillah Hakim,</v>
      </c>
      <c r="N2990" s="6" t="str">
        <f>IFERROR(__xludf.DUMMYFUNCTION("""COMPUTED_VALUE"""),"FIP Engineering")</f>
        <v>FIP Engineering</v>
      </c>
      <c r="O2990" s="6" t="str">
        <f>IFERROR(__xludf.DUMMYFUNCTION("""COMPUTED_VALUE"""),"FIP-DOM-000-11304-OS00001-INA-000000")</f>
        <v>FIP-DOM-000-11304-OS00001-INA-000000</v>
      </c>
      <c r="P2990" s="6" t="str">
        <f>IFERROR(__xludf.DUMMYFUNCTION("""COMPUTED_VALUE"""),"PO Closed")</f>
        <v>PO Closed</v>
      </c>
      <c r="Q2990" s="6" t="str">
        <f>IFERROR(__xludf.DUMMYFUNCTION("""COMPUTED_VALUE"""),"GL2403044")</f>
        <v>GL2403044</v>
      </c>
      <c r="R2990" s="57">
        <f>IFERROR(__xludf.DUMMYFUNCTION("""COMPUTED_VALUE"""),45348.0)</f>
        <v>45348</v>
      </c>
      <c r="S2990" s="57">
        <f>IFERROR(__xludf.DUMMYFUNCTION("""COMPUTED_VALUE"""),45364.0)</f>
        <v>45364</v>
      </c>
      <c r="T2990" s="57">
        <f>IFERROR(__xludf.DUMMYFUNCTION("""COMPUTED_VALUE"""),45415.0)</f>
        <v>45415</v>
      </c>
    </row>
    <row r="2991">
      <c r="A2991" s="6" t="str">
        <f>IFERROR(__xludf.DUMMYFUNCTION("""COMPUTED_VALUE"""),"121701233-8")</f>
        <v>121701233-8</v>
      </c>
      <c r="B2991" s="6" t="str">
        <f>IFERROR(__xludf.DUMMYFUNCTION("""COMPUTED_VALUE"""),"121701233 - APPROVED")</f>
        <v>121701233 - APPROVED</v>
      </c>
      <c r="C2991" s="6">
        <f>IFERROR(__xludf.DUMMYFUNCTION("""COMPUTED_VALUE"""),8.0)</f>
        <v>8</v>
      </c>
      <c r="D2991" s="6" t="str">
        <f>IFERROR(__xludf.DUMMYFUNCTION("""COMPUTED_VALUE"""),"Q-60503-00")</f>
        <v>Q-60503-00</v>
      </c>
      <c r="E2991" s="6" t="str">
        <f>IFERROR(__xludf.DUMMYFUNCTION("""COMPUTED_VALUE"""),"Silicone Sealant, Silglaze, Type N10 Grey, pack size per pcs")</f>
        <v>Silicone Sealant, Silglaze, Type N10 Grey, pack size per pcs</v>
      </c>
      <c r="F2991" s="6">
        <f>IFERROR(__xludf.DUMMYFUNCTION("""COMPUTED_VALUE"""),5.0)</f>
        <v>5</v>
      </c>
      <c r="G2991" s="6" t="str">
        <f>IFERROR(__xludf.DUMMYFUNCTION("""COMPUTED_VALUE"""),"Pieces")</f>
        <v>Pieces</v>
      </c>
      <c r="H2991" s="6" t="str">
        <f>IFERROR(__xludf.DUMMYFUNCTION("""COMPUTED_VALUE"""),"IDR")</f>
        <v>IDR</v>
      </c>
      <c r="I2991" s="6">
        <f>IFERROR(__xludf.DUMMYFUNCTION("""COMPUTED_VALUE"""),62000.0)</f>
        <v>62000</v>
      </c>
      <c r="J2991" s="6">
        <f>IFERROR(__xludf.DUMMYFUNCTION("""COMPUTED_VALUE"""),310000.0)</f>
        <v>310000</v>
      </c>
      <c r="K2991" s="57">
        <f>IFERROR(__xludf.DUMMYFUNCTION("""COMPUTED_VALUE"""),45350.0)</f>
        <v>45350</v>
      </c>
      <c r="L2991" s="6" t="str">
        <f>IFERROR(__xludf.DUMMYFUNCTION("""COMPUTED_VALUE"""),"FIP Engineering")</f>
        <v>FIP Engineering</v>
      </c>
      <c r="M2991" s="6" t="str">
        <f>IFERROR(__xludf.DUMMYFUNCTION("""COMPUTED_VALUE"""),"Mochammad Fadhillah Hakim,")</f>
        <v>Mochammad Fadhillah Hakim,</v>
      </c>
      <c r="N2991" s="6" t="str">
        <f>IFERROR(__xludf.DUMMYFUNCTION("""COMPUTED_VALUE"""),"FIP Engineering")</f>
        <v>FIP Engineering</v>
      </c>
      <c r="O2991" s="6" t="str">
        <f>IFERROR(__xludf.DUMMYFUNCTION("""COMPUTED_VALUE"""),"FIP-DOM-000-11304-OS00001-INA-000000")</f>
        <v>FIP-DOM-000-11304-OS00001-INA-000000</v>
      </c>
      <c r="P2991" s="6" t="str">
        <f>IFERROR(__xludf.DUMMYFUNCTION("""COMPUTED_VALUE"""),"PO Closed")</f>
        <v>PO Closed</v>
      </c>
      <c r="Q2991" s="6" t="str">
        <f>IFERROR(__xludf.DUMMYFUNCTION("""COMPUTED_VALUE"""),"GL2404015")</f>
        <v>GL2404015</v>
      </c>
      <c r="R2991" s="57">
        <f>IFERROR(__xludf.DUMMYFUNCTION("""COMPUTED_VALUE"""),45348.0)</f>
        <v>45348</v>
      </c>
      <c r="S2991" s="57">
        <f>IFERROR(__xludf.DUMMYFUNCTION("""COMPUTED_VALUE"""),45364.0)</f>
        <v>45364</v>
      </c>
      <c r="T2991" s="57">
        <f>IFERROR(__xludf.DUMMYFUNCTION("""COMPUTED_VALUE"""),45412.0)</f>
        <v>45412</v>
      </c>
    </row>
    <row r="2992">
      <c r="A2992" s="6" t="str">
        <f>IFERROR(__xludf.DUMMYFUNCTION("""COMPUTED_VALUE"""),"121701233-9")</f>
        <v>121701233-9</v>
      </c>
      <c r="B2992" s="6" t="str">
        <f>IFERROR(__xludf.DUMMYFUNCTION("""COMPUTED_VALUE"""),"121701233 - APPROVED")</f>
        <v>121701233 - APPROVED</v>
      </c>
      <c r="C2992" s="6">
        <f>IFERROR(__xludf.DUMMYFUNCTION("""COMPUTED_VALUE"""),9.0)</f>
        <v>9</v>
      </c>
      <c r="D2992" s="6" t="str">
        <f>IFERROR(__xludf.DUMMYFUNCTION("""COMPUTED_VALUE"""),"O-54014-00")</f>
        <v>O-54014-00</v>
      </c>
      <c r="E2992" s="6" t="str">
        <f>IFERROR(__xludf.DUMMYFUNCTION("""COMPUTED_VALUE"""),"STEKER 1 PHASE, BROCO")</f>
        <v>STEKER 1 PHASE, BROCO</v>
      </c>
      <c r="F2992" s="6">
        <f>IFERROR(__xludf.DUMMYFUNCTION("""COMPUTED_VALUE"""),10.0)</f>
        <v>10</v>
      </c>
      <c r="G2992" s="6" t="str">
        <f>IFERROR(__xludf.DUMMYFUNCTION("""COMPUTED_VALUE"""),"Pieces")</f>
        <v>Pieces</v>
      </c>
      <c r="H2992" s="6" t="str">
        <f>IFERROR(__xludf.DUMMYFUNCTION("""COMPUTED_VALUE"""),"IDR")</f>
        <v>IDR</v>
      </c>
      <c r="I2992" s="6">
        <f>IFERROR(__xludf.DUMMYFUNCTION("""COMPUTED_VALUE"""),10000.0)</f>
        <v>10000</v>
      </c>
      <c r="J2992" s="6">
        <f>IFERROR(__xludf.DUMMYFUNCTION("""COMPUTED_VALUE"""),100000.0)</f>
        <v>100000</v>
      </c>
      <c r="K2992" s="57">
        <f>IFERROR(__xludf.DUMMYFUNCTION("""COMPUTED_VALUE"""),45350.0)</f>
        <v>45350</v>
      </c>
      <c r="L2992" s="6" t="str">
        <f>IFERROR(__xludf.DUMMYFUNCTION("""COMPUTED_VALUE"""),"FIP Engineering")</f>
        <v>FIP Engineering</v>
      </c>
      <c r="M2992" s="6" t="str">
        <f>IFERROR(__xludf.DUMMYFUNCTION("""COMPUTED_VALUE"""),"Mochammad Fadhillah Hakim,")</f>
        <v>Mochammad Fadhillah Hakim,</v>
      </c>
      <c r="N2992" s="6" t="str">
        <f>IFERROR(__xludf.DUMMYFUNCTION("""COMPUTED_VALUE"""),"FIP Engineering")</f>
        <v>FIP Engineering</v>
      </c>
      <c r="O2992" s="6" t="str">
        <f>IFERROR(__xludf.DUMMYFUNCTION("""COMPUTED_VALUE"""),"FIP-DOM-000-11304-OS00001-INA-000000")</f>
        <v>FIP-DOM-000-11304-OS00001-INA-000000</v>
      </c>
      <c r="P2992" s="6" t="str">
        <f>IFERROR(__xludf.DUMMYFUNCTION("""COMPUTED_VALUE"""),"PO Closed")</f>
        <v>PO Closed</v>
      </c>
      <c r="Q2992" s="6" t="str">
        <f>IFERROR(__xludf.DUMMYFUNCTION("""COMPUTED_VALUE"""),"GL2403002")</f>
        <v>GL2403002</v>
      </c>
      <c r="R2992" s="57">
        <f>IFERROR(__xludf.DUMMYFUNCTION("""COMPUTED_VALUE"""),45348.0)</f>
        <v>45348</v>
      </c>
      <c r="S2992" s="57">
        <f>IFERROR(__xludf.DUMMYFUNCTION("""COMPUTED_VALUE"""),45364.0)</f>
        <v>45364</v>
      </c>
      <c r="T2992" s="57">
        <f>IFERROR(__xludf.DUMMYFUNCTION("""COMPUTED_VALUE"""),45412.0)</f>
        <v>45412</v>
      </c>
    </row>
    <row r="2993">
      <c r="A2993" s="6" t="str">
        <f>IFERROR(__xludf.DUMMYFUNCTION("""COMPUTED_VALUE"""),"121701233-10")</f>
        <v>121701233-10</v>
      </c>
      <c r="B2993" s="6" t="str">
        <f>IFERROR(__xludf.DUMMYFUNCTION("""COMPUTED_VALUE"""),"121701233 - APPROVED")</f>
        <v>121701233 - APPROVED</v>
      </c>
      <c r="C2993" s="6">
        <f>IFERROR(__xludf.DUMMYFUNCTION("""COMPUTED_VALUE"""),10.0)</f>
        <v>10</v>
      </c>
      <c r="D2993" s="6" t="str">
        <f>IFERROR(__xludf.DUMMYFUNCTION("""COMPUTED_VALUE"""),"P-51027-00")</f>
        <v>P-51027-00</v>
      </c>
      <c r="E2993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2993" s="6">
        <f>IFERROR(__xludf.DUMMYFUNCTION("""COMPUTED_VALUE"""),5.0)</f>
        <v>5</v>
      </c>
      <c r="G2993" s="6" t="str">
        <f>IFERROR(__xludf.DUMMYFUNCTION("""COMPUTED_VALUE"""),"Pieces")</f>
        <v>Pieces</v>
      </c>
      <c r="H2993" s="6" t="str">
        <f>IFERROR(__xludf.DUMMYFUNCTION("""COMPUTED_VALUE"""),"IDR")</f>
        <v>IDR</v>
      </c>
      <c r="I2993" s="6">
        <f>IFERROR(__xludf.DUMMYFUNCTION("""COMPUTED_VALUE"""),40500.0)</f>
        <v>40500</v>
      </c>
      <c r="J2993" s="6">
        <f>IFERROR(__xludf.DUMMYFUNCTION("""COMPUTED_VALUE"""),202500.0)</f>
        <v>202500</v>
      </c>
      <c r="K2993" s="57">
        <f>IFERROR(__xludf.DUMMYFUNCTION("""COMPUTED_VALUE"""),45350.0)</f>
        <v>45350</v>
      </c>
      <c r="L2993" s="6" t="str">
        <f>IFERROR(__xludf.DUMMYFUNCTION("""COMPUTED_VALUE"""),"FIP Engineering")</f>
        <v>FIP Engineering</v>
      </c>
      <c r="M2993" s="6" t="str">
        <f>IFERROR(__xludf.DUMMYFUNCTION("""COMPUTED_VALUE"""),"Mochammad Fadhillah Hakim,")</f>
        <v>Mochammad Fadhillah Hakim,</v>
      </c>
      <c r="N2993" s="6" t="str">
        <f>IFERROR(__xludf.DUMMYFUNCTION("""COMPUTED_VALUE"""),"FIP Engineering")</f>
        <v>FIP Engineering</v>
      </c>
      <c r="O2993" s="6" t="str">
        <f>IFERROR(__xludf.DUMMYFUNCTION("""COMPUTED_VALUE"""),"FIP-DOM-000-11304-OS00001-INA-000000")</f>
        <v>FIP-DOM-000-11304-OS00001-INA-000000</v>
      </c>
      <c r="P2993" s="6" t="str">
        <f>IFERROR(__xludf.DUMMYFUNCTION("""COMPUTED_VALUE"""),"PO Closed")</f>
        <v>PO Closed</v>
      </c>
      <c r="Q2993" s="6" t="str">
        <f>IFERROR(__xludf.DUMMYFUNCTION("""COMPUTED_VALUE"""),"GL2403002")</f>
        <v>GL2403002</v>
      </c>
      <c r="R2993" s="57">
        <f>IFERROR(__xludf.DUMMYFUNCTION("""COMPUTED_VALUE"""),45348.0)</f>
        <v>45348</v>
      </c>
      <c r="S2993" s="57">
        <f>IFERROR(__xludf.DUMMYFUNCTION("""COMPUTED_VALUE"""),45364.0)</f>
        <v>45364</v>
      </c>
      <c r="T2993" s="57">
        <f>IFERROR(__xludf.DUMMYFUNCTION("""COMPUTED_VALUE"""),45412.0)</f>
        <v>45412</v>
      </c>
    </row>
    <row r="2994">
      <c r="A2994" s="6" t="str">
        <f>IFERROR(__xludf.DUMMYFUNCTION("""COMPUTED_VALUE"""),"121701234-1")</f>
        <v>121701234-1</v>
      </c>
      <c r="B2994" s="6" t="str">
        <f>IFERROR(__xludf.DUMMYFUNCTION("""COMPUTED_VALUE"""),"121701234 - APPROVED")</f>
        <v>121701234 - APPROVED</v>
      </c>
      <c r="C2994" s="6">
        <f>IFERROR(__xludf.DUMMYFUNCTION("""COMPUTED_VALUE"""),1.0)</f>
        <v>1</v>
      </c>
      <c r="D2994" s="6" t="str">
        <f>IFERROR(__xludf.DUMMYFUNCTION("""COMPUTED_VALUE"""),"P-11991-00")</f>
        <v>P-11991-00</v>
      </c>
      <c r="E2994" s="6" t="str">
        <f>IFERROR(__xludf.DUMMYFUNCTION("""COMPUTED_VALUE"""),"Cable ties CS 200L")</f>
        <v>Cable ties CS 200L</v>
      </c>
      <c r="F2994" s="6">
        <f>IFERROR(__xludf.DUMMYFUNCTION("""COMPUTED_VALUE"""),10.0)</f>
        <v>10</v>
      </c>
      <c r="G2994" s="6" t="str">
        <f>IFERROR(__xludf.DUMMYFUNCTION("""COMPUTED_VALUE"""),"Pieces")</f>
        <v>Pieces</v>
      </c>
      <c r="H2994" s="6" t="str">
        <f>IFERROR(__xludf.DUMMYFUNCTION("""COMPUTED_VALUE"""),"IDR")</f>
        <v>IDR</v>
      </c>
      <c r="I2994" s="6">
        <f>IFERROR(__xludf.DUMMYFUNCTION("""COMPUTED_VALUE"""),34200.0)</f>
        <v>34200</v>
      </c>
      <c r="J2994" s="6">
        <f>IFERROR(__xludf.DUMMYFUNCTION("""COMPUTED_VALUE"""),342000.0)</f>
        <v>342000</v>
      </c>
      <c r="K2994" s="57">
        <f>IFERROR(__xludf.DUMMYFUNCTION("""COMPUTED_VALUE"""),45357.0)</f>
        <v>45357</v>
      </c>
      <c r="L2994" s="6" t="str">
        <f>IFERROR(__xludf.DUMMYFUNCTION("""COMPUTED_VALUE"""),"FIP Engineering")</f>
        <v>FIP Engineering</v>
      </c>
      <c r="M2994" s="6" t="str">
        <f>IFERROR(__xludf.DUMMYFUNCTION("""COMPUTED_VALUE"""),"Mochammad Fadhillah Hakim,")</f>
        <v>Mochammad Fadhillah Hakim,</v>
      </c>
      <c r="N2994" s="6" t="str">
        <f>IFERROR(__xludf.DUMMYFUNCTION("""COMPUTED_VALUE"""),"FIP Engineering")</f>
        <v>FIP Engineering</v>
      </c>
      <c r="O2994" s="6" t="str">
        <f>IFERROR(__xludf.DUMMYFUNCTION("""COMPUTED_VALUE"""),"FIP-DOM-000-11304-OS00001-INA-000000")</f>
        <v>FIP-DOM-000-11304-OS00001-INA-000000</v>
      </c>
      <c r="P2994" s="6" t="str">
        <f>IFERROR(__xludf.DUMMYFUNCTION("""COMPUTED_VALUE"""),"PO Closed")</f>
        <v>PO Closed</v>
      </c>
      <c r="Q2994" s="6" t="str">
        <f>IFERROR(__xludf.DUMMYFUNCTION("""COMPUTED_VALUE"""),"GL2405361")</f>
        <v>GL2405361</v>
      </c>
      <c r="R2994" s="57">
        <f>IFERROR(__xludf.DUMMYFUNCTION("""COMPUTED_VALUE"""),45348.0)</f>
        <v>45348</v>
      </c>
      <c r="S2994" s="57">
        <f>IFERROR(__xludf.DUMMYFUNCTION("""COMPUTED_VALUE"""),45352.0)</f>
        <v>45352</v>
      </c>
      <c r="T2994" s="57">
        <f>IFERROR(__xludf.DUMMYFUNCTION("""COMPUTED_VALUE"""),45463.0)</f>
        <v>45463</v>
      </c>
    </row>
    <row r="2995">
      <c r="A2995" s="6" t="str">
        <f>IFERROR(__xludf.DUMMYFUNCTION("""COMPUTED_VALUE"""),"121701234-2")</f>
        <v>121701234-2</v>
      </c>
      <c r="B2995" s="6" t="str">
        <f>IFERROR(__xludf.DUMMYFUNCTION("""COMPUTED_VALUE"""),"121701234 - APPROVED")</f>
        <v>121701234 - APPROVED</v>
      </c>
      <c r="C2995" s="6">
        <f>IFERROR(__xludf.DUMMYFUNCTION("""COMPUTED_VALUE"""),2.0)</f>
        <v>2</v>
      </c>
      <c r="D2995" s="6" t="str">
        <f>IFERROR(__xludf.DUMMYFUNCTION("""COMPUTED_VALUE"""),"P-15851-00")</f>
        <v>P-15851-00</v>
      </c>
      <c r="E2995" s="6" t="str">
        <f>IFERROR(__xludf.DUMMYFUNCTION("""COMPUTED_VALUE"""),"AMPLAS  EAGLE 100")</f>
        <v>AMPLAS  EAGLE 100</v>
      </c>
      <c r="F2995" s="6">
        <f>IFERROR(__xludf.DUMMYFUNCTION("""COMPUTED_VALUE"""),50.0)</f>
        <v>50</v>
      </c>
      <c r="G2995" s="6" t="str">
        <f>IFERROR(__xludf.DUMMYFUNCTION("""COMPUTED_VALUE"""),"Pieces")</f>
        <v>Pieces</v>
      </c>
      <c r="H2995" s="6" t="str">
        <f>IFERROR(__xludf.DUMMYFUNCTION("""COMPUTED_VALUE"""),"IDR")</f>
        <v>IDR</v>
      </c>
      <c r="I2995" s="6">
        <f>IFERROR(__xludf.DUMMYFUNCTION("""COMPUTED_VALUE"""),3300.0)</f>
        <v>3300</v>
      </c>
      <c r="J2995" s="6">
        <f>IFERROR(__xludf.DUMMYFUNCTION("""COMPUTED_VALUE"""),165000.0)</f>
        <v>165000</v>
      </c>
      <c r="K2995" s="57">
        <f>IFERROR(__xludf.DUMMYFUNCTION("""COMPUTED_VALUE"""),45351.0)</f>
        <v>45351</v>
      </c>
      <c r="L2995" s="6" t="str">
        <f>IFERROR(__xludf.DUMMYFUNCTION("""COMPUTED_VALUE"""),"FIP Engineering")</f>
        <v>FIP Engineering</v>
      </c>
      <c r="M2995" s="6" t="str">
        <f>IFERROR(__xludf.DUMMYFUNCTION("""COMPUTED_VALUE"""),"Mochammad Fadhillah Hakim,")</f>
        <v>Mochammad Fadhillah Hakim,</v>
      </c>
      <c r="N2995" s="6" t="str">
        <f>IFERROR(__xludf.DUMMYFUNCTION("""COMPUTED_VALUE"""),"FIP Engineering")</f>
        <v>FIP Engineering</v>
      </c>
      <c r="O2995" s="6" t="str">
        <f>IFERROR(__xludf.DUMMYFUNCTION("""COMPUTED_VALUE"""),"FIP-DOM-000-11304-OS00001-INA-000000")</f>
        <v>FIP-DOM-000-11304-OS00001-INA-000000</v>
      </c>
      <c r="P2995" s="6" t="str">
        <f>IFERROR(__xludf.DUMMYFUNCTION("""COMPUTED_VALUE"""),"PO Closed")</f>
        <v>PO Closed</v>
      </c>
      <c r="Q2995" s="6" t="str">
        <f>IFERROR(__xludf.DUMMYFUNCTION("""COMPUTED_VALUE"""),"GL2405361")</f>
        <v>GL2405361</v>
      </c>
      <c r="R2995" s="57">
        <f>IFERROR(__xludf.DUMMYFUNCTION("""COMPUTED_VALUE"""),45348.0)</f>
        <v>45348</v>
      </c>
      <c r="S2995" s="57">
        <f>IFERROR(__xludf.DUMMYFUNCTION("""COMPUTED_VALUE"""),45352.0)</f>
        <v>45352</v>
      </c>
      <c r="T2995" s="57">
        <f>IFERROR(__xludf.DUMMYFUNCTION("""COMPUTED_VALUE"""),45463.0)</f>
        <v>45463</v>
      </c>
    </row>
    <row r="2996">
      <c r="A2996" s="6" t="str">
        <f>IFERROR(__xludf.DUMMYFUNCTION("""COMPUTED_VALUE"""),"121701234-3")</f>
        <v>121701234-3</v>
      </c>
      <c r="B2996" s="6" t="str">
        <f>IFERROR(__xludf.DUMMYFUNCTION("""COMPUTED_VALUE"""),"121701234 - APPROVED")</f>
        <v>121701234 - APPROVED</v>
      </c>
      <c r="C2996" s="6">
        <f>IFERROR(__xludf.DUMMYFUNCTION("""COMPUTED_VALUE"""),3.0)</f>
        <v>3</v>
      </c>
      <c r="D2996" s="6" t="str">
        <f>IFERROR(__xludf.DUMMYFUNCTION("""COMPUTED_VALUE"""),"Q-60026-00")</f>
        <v>Q-60026-00</v>
      </c>
      <c r="E2996" s="6" t="str">
        <f>IFERROR(__xludf.DUMMYFUNCTION("""COMPUTED_VALUE"""),"Kuas Eterna 2 inchi")</f>
        <v>Kuas Eterna 2 inchi</v>
      </c>
      <c r="F2996" s="6">
        <f>IFERROR(__xludf.DUMMYFUNCTION("""COMPUTED_VALUE"""),20.0)</f>
        <v>20</v>
      </c>
      <c r="G2996" s="6" t="str">
        <f>IFERROR(__xludf.DUMMYFUNCTION("""COMPUTED_VALUE"""),"Pieces")</f>
        <v>Pieces</v>
      </c>
      <c r="H2996" s="6" t="str">
        <f>IFERROR(__xludf.DUMMYFUNCTION("""COMPUTED_VALUE"""),"IDR")</f>
        <v>IDR</v>
      </c>
      <c r="I2996" s="6">
        <f>IFERROR(__xludf.DUMMYFUNCTION("""COMPUTED_VALUE"""),11000.0)</f>
        <v>11000</v>
      </c>
      <c r="J2996" s="6">
        <f>IFERROR(__xludf.DUMMYFUNCTION("""COMPUTED_VALUE"""),220000.0)</f>
        <v>220000</v>
      </c>
      <c r="K2996" s="57">
        <f>IFERROR(__xludf.DUMMYFUNCTION("""COMPUTED_VALUE"""),45351.0)</f>
        <v>45351</v>
      </c>
      <c r="L2996" s="6" t="str">
        <f>IFERROR(__xludf.DUMMYFUNCTION("""COMPUTED_VALUE"""),"FIP General")</f>
        <v>FIP General</v>
      </c>
      <c r="M2996" s="6" t="str">
        <f>IFERROR(__xludf.DUMMYFUNCTION("""COMPUTED_VALUE"""),"Mochammad Fadhillah Hakim,")</f>
        <v>Mochammad Fadhillah Hakim,</v>
      </c>
      <c r="N2996" s="6" t="str">
        <f>IFERROR(__xludf.DUMMYFUNCTION("""COMPUTED_VALUE"""),"FIP Engineering")</f>
        <v>FIP Engineering</v>
      </c>
      <c r="O2996" s="6" t="str">
        <f>IFERROR(__xludf.DUMMYFUNCTION("""COMPUTED_VALUE"""),"FIP-DOM-ENG-51404-0000000-INA-000000")</f>
        <v>FIP-DOM-ENG-51404-0000000-INA-000000</v>
      </c>
      <c r="P2996" s="6" t="str">
        <f>IFERROR(__xludf.DUMMYFUNCTION("""COMPUTED_VALUE"""),"PO Closed")</f>
        <v>PO Closed</v>
      </c>
      <c r="Q2996" s="6" t="str">
        <f>IFERROR(__xludf.DUMMYFUNCTION("""COMPUTED_VALUE"""),"GL2403017")</f>
        <v>GL2403017</v>
      </c>
      <c r="R2996" s="57">
        <f>IFERROR(__xludf.DUMMYFUNCTION("""COMPUTED_VALUE"""),45348.0)</f>
        <v>45348</v>
      </c>
      <c r="S2996" s="57">
        <f>IFERROR(__xludf.DUMMYFUNCTION("""COMPUTED_VALUE"""),45352.0)</f>
        <v>45352</v>
      </c>
      <c r="T2996" s="57">
        <f>IFERROR(__xludf.DUMMYFUNCTION("""COMPUTED_VALUE"""),45376.0)</f>
        <v>45376</v>
      </c>
    </row>
    <row r="2997">
      <c r="A2997" s="6" t="str">
        <f>IFERROR(__xludf.DUMMYFUNCTION("""COMPUTED_VALUE"""),"121701234-4")</f>
        <v>121701234-4</v>
      </c>
      <c r="B2997" s="6" t="str">
        <f>IFERROR(__xludf.DUMMYFUNCTION("""COMPUTED_VALUE"""),"121701234 - APPROVED")</f>
        <v>121701234 - APPROVED</v>
      </c>
      <c r="C2997" s="6">
        <f>IFERROR(__xludf.DUMMYFUNCTION("""COMPUTED_VALUE"""),4.0)</f>
        <v>4</v>
      </c>
      <c r="D2997" s="6" t="str">
        <f>IFERROR(__xludf.DUMMYFUNCTION("""COMPUTED_VALUE"""),"Q-60025-00")</f>
        <v>Q-60025-00</v>
      </c>
      <c r="E2997" s="6" t="str">
        <f>IFERROR(__xludf.DUMMYFUNCTION("""COMPUTED_VALUE"""),"Kuas Eterna 1 inchi")</f>
        <v>Kuas Eterna 1 inchi</v>
      </c>
      <c r="F2997" s="6">
        <f>IFERROR(__xludf.DUMMYFUNCTION("""COMPUTED_VALUE"""),30.0)</f>
        <v>30</v>
      </c>
      <c r="G2997" s="6" t="str">
        <f>IFERROR(__xludf.DUMMYFUNCTION("""COMPUTED_VALUE"""),"Pieces")</f>
        <v>Pieces</v>
      </c>
      <c r="H2997" s="6" t="str">
        <f>IFERROR(__xludf.DUMMYFUNCTION("""COMPUTED_VALUE"""),"IDR")</f>
        <v>IDR</v>
      </c>
      <c r="I2997" s="6">
        <f>IFERROR(__xludf.DUMMYFUNCTION("""COMPUTED_VALUE"""),5000.0)</f>
        <v>5000</v>
      </c>
      <c r="J2997" s="6">
        <f>IFERROR(__xludf.DUMMYFUNCTION("""COMPUTED_VALUE"""),150000.0)</f>
        <v>150000</v>
      </c>
      <c r="K2997" s="57">
        <f>IFERROR(__xludf.DUMMYFUNCTION("""COMPUTED_VALUE"""),45351.0)</f>
        <v>45351</v>
      </c>
      <c r="L2997" s="6" t="str">
        <f>IFERROR(__xludf.DUMMYFUNCTION("""COMPUTED_VALUE"""),"FIP General")</f>
        <v>FIP General</v>
      </c>
      <c r="M2997" s="6" t="str">
        <f>IFERROR(__xludf.DUMMYFUNCTION("""COMPUTED_VALUE"""),"Mochammad Fadhillah Hakim,")</f>
        <v>Mochammad Fadhillah Hakim,</v>
      </c>
      <c r="N2997" s="6" t="str">
        <f>IFERROR(__xludf.DUMMYFUNCTION("""COMPUTED_VALUE"""),"FIP Engineering")</f>
        <v>FIP Engineering</v>
      </c>
      <c r="O2997" s="6" t="str">
        <f>IFERROR(__xludf.DUMMYFUNCTION("""COMPUTED_VALUE"""),"FIP-DOM-ENG-51404-0000000-INA-000000")</f>
        <v>FIP-DOM-ENG-51404-0000000-INA-000000</v>
      </c>
      <c r="P2997" s="6" t="str">
        <f>IFERROR(__xludf.DUMMYFUNCTION("""COMPUTED_VALUE"""),"PO Closed")</f>
        <v>PO Closed</v>
      </c>
      <c r="Q2997" s="6" t="str">
        <f>IFERROR(__xludf.DUMMYFUNCTION("""COMPUTED_VALUE"""),"GL2403017")</f>
        <v>GL2403017</v>
      </c>
      <c r="R2997" s="57">
        <f>IFERROR(__xludf.DUMMYFUNCTION("""COMPUTED_VALUE"""),45348.0)</f>
        <v>45348</v>
      </c>
      <c r="S2997" s="57">
        <f>IFERROR(__xludf.DUMMYFUNCTION("""COMPUTED_VALUE"""),45352.0)</f>
        <v>45352</v>
      </c>
      <c r="T2997" s="57">
        <f>IFERROR(__xludf.DUMMYFUNCTION("""COMPUTED_VALUE"""),45376.0)</f>
        <v>45376</v>
      </c>
    </row>
    <row r="2998">
      <c r="A2998" s="6" t="str">
        <f>IFERROR(__xludf.DUMMYFUNCTION("""COMPUTED_VALUE"""),"121701234-5")</f>
        <v>121701234-5</v>
      </c>
      <c r="B2998" s="6" t="str">
        <f>IFERROR(__xludf.DUMMYFUNCTION("""COMPUTED_VALUE"""),"121701234 - APPROVED")</f>
        <v>121701234 - APPROVED</v>
      </c>
      <c r="C2998" s="6">
        <f>IFERROR(__xludf.DUMMYFUNCTION("""COMPUTED_VALUE"""),5.0)</f>
        <v>5</v>
      </c>
      <c r="D2998" s="6" t="str">
        <f>IFERROR(__xludf.DUMMYFUNCTION("""COMPUTED_VALUE"""),"P-11990-00")</f>
        <v>P-11990-00</v>
      </c>
      <c r="E2998" s="6" t="str">
        <f>IFERROR(__xludf.DUMMYFUNCTION("""COMPUTED_VALUE"""),"Cable ties CS 100L")</f>
        <v>Cable ties CS 100L</v>
      </c>
      <c r="F2998" s="6">
        <f>IFERROR(__xludf.DUMMYFUNCTION("""COMPUTED_VALUE"""),15.0)</f>
        <v>15</v>
      </c>
      <c r="G2998" s="6" t="str">
        <f>IFERROR(__xludf.DUMMYFUNCTION("""COMPUTED_VALUE"""),"Pieces")</f>
        <v>Pieces</v>
      </c>
      <c r="H2998" s="6" t="str">
        <f>IFERROR(__xludf.DUMMYFUNCTION("""COMPUTED_VALUE"""),"IDR")</f>
        <v>IDR</v>
      </c>
      <c r="I2998" s="6">
        <f>IFERROR(__xludf.DUMMYFUNCTION("""COMPUTED_VALUE"""),11000.0)</f>
        <v>11000</v>
      </c>
      <c r="J2998" s="6">
        <f>IFERROR(__xludf.DUMMYFUNCTION("""COMPUTED_VALUE"""),165000.0)</f>
        <v>165000</v>
      </c>
      <c r="K2998" s="57">
        <f>IFERROR(__xludf.DUMMYFUNCTION("""COMPUTED_VALUE"""),45351.0)</f>
        <v>45351</v>
      </c>
      <c r="L2998" s="6" t="str">
        <f>IFERROR(__xludf.DUMMYFUNCTION("""COMPUTED_VALUE"""),"FIP Engineering")</f>
        <v>FIP Engineering</v>
      </c>
      <c r="M2998" s="6" t="str">
        <f>IFERROR(__xludf.DUMMYFUNCTION("""COMPUTED_VALUE"""),"Mochammad Fadhillah Hakim,")</f>
        <v>Mochammad Fadhillah Hakim,</v>
      </c>
      <c r="N2998" s="6" t="str">
        <f>IFERROR(__xludf.DUMMYFUNCTION("""COMPUTED_VALUE"""),"FIP Engineering")</f>
        <v>FIP Engineering</v>
      </c>
      <c r="O2998" s="6" t="str">
        <f>IFERROR(__xludf.DUMMYFUNCTION("""COMPUTED_VALUE"""),"FIP-DOM-000-11304-OS00001-INA-000000")</f>
        <v>FIP-DOM-000-11304-OS00001-INA-000000</v>
      </c>
      <c r="P2998" s="6" t="str">
        <f>IFERROR(__xludf.DUMMYFUNCTION("""COMPUTED_VALUE"""),"PO Closed")</f>
        <v>PO Closed</v>
      </c>
      <c r="Q2998" s="6" t="str">
        <f>IFERROR(__xludf.DUMMYFUNCTION("""COMPUTED_VALUE"""),"GL2405361")</f>
        <v>GL2405361</v>
      </c>
      <c r="R2998" s="57">
        <f>IFERROR(__xludf.DUMMYFUNCTION("""COMPUTED_VALUE"""),45348.0)</f>
        <v>45348</v>
      </c>
      <c r="S2998" s="57">
        <f>IFERROR(__xludf.DUMMYFUNCTION("""COMPUTED_VALUE"""),45352.0)</f>
        <v>45352</v>
      </c>
      <c r="T2998" s="57">
        <f>IFERROR(__xludf.DUMMYFUNCTION("""COMPUTED_VALUE"""),45463.0)</f>
        <v>45463</v>
      </c>
    </row>
    <row r="2999">
      <c r="A2999" s="6" t="str">
        <f>IFERROR(__xludf.DUMMYFUNCTION("""COMPUTED_VALUE"""),"121701234-6")</f>
        <v>121701234-6</v>
      </c>
      <c r="B2999" s="6" t="str">
        <f>IFERROR(__xludf.DUMMYFUNCTION("""COMPUTED_VALUE"""),"121701234 - APPROVED")</f>
        <v>121701234 - APPROVED</v>
      </c>
      <c r="C2999" s="6">
        <f>IFERROR(__xludf.DUMMYFUNCTION("""COMPUTED_VALUE"""),6.0)</f>
        <v>6</v>
      </c>
      <c r="D2999" s="6" t="str">
        <f>IFERROR(__xludf.DUMMYFUNCTION("""COMPUTED_VALUE"""),"P-12265-00")</f>
        <v>P-12265-00</v>
      </c>
      <c r="E2999" s="6" t="str">
        <f>IFERROR(__xludf.DUMMYFUNCTION("""COMPUTED_VALUE"""),"FESTO - Push In Connector QS-8-6 p/n 153038")</f>
        <v>FESTO - Push In Connector QS-8-6 p/n 153038</v>
      </c>
      <c r="F2999" s="6">
        <f>IFERROR(__xludf.DUMMYFUNCTION("""COMPUTED_VALUE"""),10.0)</f>
        <v>10</v>
      </c>
      <c r="G2999" s="6" t="str">
        <f>IFERROR(__xludf.DUMMYFUNCTION("""COMPUTED_VALUE"""),"Pieces")</f>
        <v>Pieces</v>
      </c>
      <c r="H2999" s="6" t="str">
        <f>IFERROR(__xludf.DUMMYFUNCTION("""COMPUTED_VALUE"""),"IDR")</f>
        <v>IDR</v>
      </c>
      <c r="I2999" s="6">
        <f>IFERROR(__xludf.DUMMYFUNCTION("""COMPUTED_VALUE"""),53251.0)</f>
        <v>53251</v>
      </c>
      <c r="J2999" s="6">
        <f>IFERROR(__xludf.DUMMYFUNCTION("""COMPUTED_VALUE"""),532510.0)</f>
        <v>532510</v>
      </c>
      <c r="K2999" s="57">
        <f>IFERROR(__xludf.DUMMYFUNCTION("""COMPUTED_VALUE"""),45351.0)</f>
        <v>45351</v>
      </c>
      <c r="L2999" s="6" t="str">
        <f>IFERROR(__xludf.DUMMYFUNCTION("""COMPUTED_VALUE"""),"FIP Engineering")</f>
        <v>FIP Engineering</v>
      </c>
      <c r="M2999" s="6" t="str">
        <f>IFERROR(__xludf.DUMMYFUNCTION("""COMPUTED_VALUE"""),"Mochammad Fadhillah Hakim,")</f>
        <v>Mochammad Fadhillah Hakim,</v>
      </c>
      <c r="N2999" s="6" t="str">
        <f>IFERROR(__xludf.DUMMYFUNCTION("""COMPUTED_VALUE"""),"FIP Engineering")</f>
        <v>FIP Engineering</v>
      </c>
      <c r="O2999" s="6" t="str">
        <f>IFERROR(__xludf.DUMMYFUNCTION("""COMPUTED_VALUE"""),"FIP-DOM-000-11304-OS00001-INA-000000")</f>
        <v>FIP-DOM-000-11304-OS00001-INA-000000</v>
      </c>
      <c r="P2999" s="6" t="str">
        <f>IFERROR(__xludf.DUMMYFUNCTION("""COMPUTED_VALUE"""),"PO Closed")</f>
        <v>PO Closed</v>
      </c>
      <c r="Q2999" s="6" t="str">
        <f>IFERROR(__xludf.DUMMYFUNCTION("""COMPUTED_VALUE"""),"GL2404329")</f>
        <v>GL2404329</v>
      </c>
      <c r="R2999" s="57">
        <f>IFERROR(__xludf.DUMMYFUNCTION("""COMPUTED_VALUE"""),45348.0)</f>
        <v>45348</v>
      </c>
      <c r="S2999" s="57">
        <f>IFERROR(__xludf.DUMMYFUNCTION("""COMPUTED_VALUE"""),45352.0)</f>
        <v>45352</v>
      </c>
      <c r="T2999" s="57">
        <f>IFERROR(__xludf.DUMMYFUNCTION("""COMPUTED_VALUE"""),45419.0)</f>
        <v>45419</v>
      </c>
    </row>
    <row r="3000">
      <c r="A3000" s="6" t="str">
        <f>IFERROR(__xludf.DUMMYFUNCTION("""COMPUTED_VALUE"""),"121701234-7")</f>
        <v>121701234-7</v>
      </c>
      <c r="B3000" s="6" t="str">
        <f>IFERROR(__xludf.DUMMYFUNCTION("""COMPUTED_VALUE"""),"121701234 - APPROVED")</f>
        <v>121701234 - APPROVED</v>
      </c>
      <c r="C3000" s="6">
        <f>IFERROR(__xludf.DUMMYFUNCTION("""COMPUTED_VALUE"""),7.0)</f>
        <v>7</v>
      </c>
      <c r="D3000" s="6" t="str">
        <f>IFERROR(__xludf.DUMMYFUNCTION("""COMPUTED_VALUE"""),"S-11816-00")</f>
        <v>S-11816-00</v>
      </c>
      <c r="E3000" s="6" t="str">
        <f>IFERROR(__xludf.DUMMYFUNCTION("""COMPUTED_VALUE"""),"Cable Ties Nylon reusable (Colour Black) Lenght 20cm; ; ;")</f>
        <v>Cable Ties Nylon reusable (Colour Black) Lenght 20cm; ; ;</v>
      </c>
      <c r="F3000" s="6">
        <f>IFERROR(__xludf.DUMMYFUNCTION("""COMPUTED_VALUE"""),5.0)</f>
        <v>5</v>
      </c>
      <c r="G3000" s="6" t="str">
        <f>IFERROR(__xludf.DUMMYFUNCTION("""COMPUTED_VALUE"""),"Pack")</f>
        <v>Pack</v>
      </c>
      <c r="H3000" s="6" t="str">
        <f>IFERROR(__xludf.DUMMYFUNCTION("""COMPUTED_VALUE"""),"IDR")</f>
        <v>IDR</v>
      </c>
      <c r="I3000" s="6">
        <f>IFERROR(__xludf.DUMMYFUNCTION("""COMPUTED_VALUE"""),60000.0)</f>
        <v>60000</v>
      </c>
      <c r="J3000" s="6">
        <f>IFERROR(__xludf.DUMMYFUNCTION("""COMPUTED_VALUE"""),300000.0)</f>
        <v>300000</v>
      </c>
      <c r="K3000" s="57">
        <f>IFERROR(__xludf.DUMMYFUNCTION("""COMPUTED_VALUE"""),45351.0)</f>
        <v>45351</v>
      </c>
      <c r="L3000" s="6" t="str">
        <f>IFERROR(__xludf.DUMMYFUNCTION("""COMPUTED_VALUE"""),"FIP General")</f>
        <v>FIP General</v>
      </c>
      <c r="M3000" s="6" t="str">
        <f>IFERROR(__xludf.DUMMYFUNCTION("""COMPUTED_VALUE"""),"Mochammad Fadhillah Hakim,")</f>
        <v>Mochammad Fadhillah Hakim,</v>
      </c>
      <c r="N3000" s="6" t="str">
        <f>IFERROR(__xludf.DUMMYFUNCTION("""COMPUTED_VALUE"""),"FIP Engineering")</f>
        <v>FIP Engineering</v>
      </c>
      <c r="O3000" s="6" t="str">
        <f>IFERROR(__xludf.DUMMYFUNCTION("""COMPUTED_VALUE"""),"FIP-DOM-ENG-51404-0000000-INA-000000")</f>
        <v>FIP-DOM-ENG-51404-0000000-INA-000000</v>
      </c>
      <c r="P3000" s="6" t="str">
        <f>IFERROR(__xludf.DUMMYFUNCTION("""COMPUTED_VALUE"""),"PO Closed")</f>
        <v>PO Closed</v>
      </c>
      <c r="Q3000" s="6" t="str">
        <f>IFERROR(__xludf.DUMMYFUNCTION("""COMPUTED_VALUE"""),"GL2403017")</f>
        <v>GL2403017</v>
      </c>
      <c r="R3000" s="57">
        <f>IFERROR(__xludf.DUMMYFUNCTION("""COMPUTED_VALUE"""),45348.0)</f>
        <v>45348</v>
      </c>
      <c r="S3000" s="57">
        <f>IFERROR(__xludf.DUMMYFUNCTION("""COMPUTED_VALUE"""),45352.0)</f>
        <v>45352</v>
      </c>
      <c r="T3000" s="57">
        <f>IFERROR(__xludf.DUMMYFUNCTION("""COMPUTED_VALUE"""),45376.0)</f>
        <v>45376</v>
      </c>
    </row>
    <row r="3001">
      <c r="A3001" s="6" t="str">
        <f>IFERROR(__xludf.DUMMYFUNCTION("""COMPUTED_VALUE"""),"121701234-8")</f>
        <v>121701234-8</v>
      </c>
      <c r="B3001" s="6" t="str">
        <f>IFERROR(__xludf.DUMMYFUNCTION("""COMPUTED_VALUE"""),"121701234 - APPROVED")</f>
        <v>121701234 - APPROVED</v>
      </c>
      <c r="C3001" s="6">
        <f>IFERROR(__xludf.DUMMYFUNCTION("""COMPUTED_VALUE"""),8.0)</f>
        <v>8</v>
      </c>
      <c r="D3001" s="6" t="str">
        <f>IFERROR(__xludf.DUMMYFUNCTION("""COMPUTED_VALUE"""),"P-50810-00")</f>
        <v>P-50810-00</v>
      </c>
      <c r="E3001" s="6" t="str">
        <f>IFERROR(__xludf.DUMMYFUNCTION("""COMPUTED_VALUE"""),"Buzzer type AD22-22MSD warna merah with lamp; FORT")</f>
        <v>Buzzer type AD22-22MSD warna merah with lamp; FORT</v>
      </c>
      <c r="F3001" s="6">
        <f>IFERROR(__xludf.DUMMYFUNCTION("""COMPUTED_VALUE"""),5.0)</f>
        <v>5</v>
      </c>
      <c r="G3001" s="6" t="str">
        <f>IFERROR(__xludf.DUMMYFUNCTION("""COMPUTED_VALUE"""),"Pieces")</f>
        <v>Pieces</v>
      </c>
      <c r="H3001" s="6" t="str">
        <f>IFERROR(__xludf.DUMMYFUNCTION("""COMPUTED_VALUE"""),"IDR")</f>
        <v>IDR</v>
      </c>
      <c r="I3001" s="6">
        <f>IFERROR(__xludf.DUMMYFUNCTION("""COMPUTED_VALUE"""),24750.0)</f>
        <v>24750</v>
      </c>
      <c r="J3001" s="6">
        <f>IFERROR(__xludf.DUMMYFUNCTION("""COMPUTED_VALUE"""),123750.0)</f>
        <v>123750</v>
      </c>
      <c r="K3001" s="57">
        <f>IFERROR(__xludf.DUMMYFUNCTION("""COMPUTED_VALUE"""),45351.0)</f>
        <v>45351</v>
      </c>
      <c r="L3001" s="6" t="str">
        <f>IFERROR(__xludf.DUMMYFUNCTION("""COMPUTED_VALUE"""),"FIP Engineering")</f>
        <v>FIP Engineering</v>
      </c>
      <c r="M3001" s="6" t="str">
        <f>IFERROR(__xludf.DUMMYFUNCTION("""COMPUTED_VALUE"""),"Mochammad Fadhillah Hakim,")</f>
        <v>Mochammad Fadhillah Hakim,</v>
      </c>
      <c r="N3001" s="6" t="str">
        <f>IFERROR(__xludf.DUMMYFUNCTION("""COMPUTED_VALUE"""),"FIP Engineering")</f>
        <v>FIP Engineering</v>
      </c>
      <c r="O3001" s="6" t="str">
        <f>IFERROR(__xludf.DUMMYFUNCTION("""COMPUTED_VALUE"""),"FIP-DOM-000-11304-OS00001-INA-000000")</f>
        <v>FIP-DOM-000-11304-OS00001-INA-000000</v>
      </c>
      <c r="P3001" s="6" t="str">
        <f>IFERROR(__xludf.DUMMYFUNCTION("""COMPUTED_VALUE"""),"PO Closed")</f>
        <v>PO Closed</v>
      </c>
      <c r="Q3001" s="6" t="str">
        <f>IFERROR(__xludf.DUMMYFUNCTION("""COMPUTED_VALUE"""),"GL2405041")</f>
        <v>GL2405041</v>
      </c>
      <c r="R3001" s="57">
        <f>IFERROR(__xludf.DUMMYFUNCTION("""COMPUTED_VALUE"""),45348.0)</f>
        <v>45348</v>
      </c>
      <c r="S3001" s="57">
        <f>IFERROR(__xludf.DUMMYFUNCTION("""COMPUTED_VALUE"""),45352.0)</f>
        <v>45352</v>
      </c>
      <c r="T3001" s="57">
        <f>IFERROR(__xludf.DUMMYFUNCTION("""COMPUTED_VALUE"""),45450.0)</f>
        <v>45450</v>
      </c>
    </row>
    <row r="3002">
      <c r="A3002" s="6" t="str">
        <f>IFERROR(__xludf.DUMMYFUNCTION("""COMPUTED_VALUE"""),"121701234-9")</f>
        <v>121701234-9</v>
      </c>
      <c r="B3002" s="6" t="str">
        <f>IFERROR(__xludf.DUMMYFUNCTION("""COMPUTED_VALUE"""),"121701234 - APPROVED")</f>
        <v>121701234 - APPROVED</v>
      </c>
      <c r="C3002" s="6">
        <f>IFERROR(__xludf.DUMMYFUNCTION("""COMPUTED_VALUE"""),9.0)</f>
        <v>9</v>
      </c>
      <c r="D3002" s="6" t="str">
        <f>IFERROR(__xludf.DUMMYFUNCTION("""COMPUTED_VALUE"""),"P-51889-00")</f>
        <v>P-51889-00</v>
      </c>
      <c r="E3002" s="6" t="str">
        <f>IFERROR(__xludf.DUMMYFUNCTION("""COMPUTED_VALUE"""),"Autonics - Power Supply SPA-050-24VDC; ; ;")</f>
        <v>Autonics - Power Supply SPA-050-24VDC; ; ;</v>
      </c>
      <c r="F3002" s="6">
        <f>IFERROR(__xludf.DUMMYFUNCTION("""COMPUTED_VALUE"""),2.0)</f>
        <v>2</v>
      </c>
      <c r="G3002" s="6" t="str">
        <f>IFERROR(__xludf.DUMMYFUNCTION("""COMPUTED_VALUE"""),"Pieces")</f>
        <v>Pieces</v>
      </c>
      <c r="H3002" s="6" t="str">
        <f>IFERROR(__xludf.DUMMYFUNCTION("""COMPUTED_VALUE"""),"IDR")</f>
        <v>IDR</v>
      </c>
      <c r="I3002" s="6">
        <f>IFERROR(__xludf.DUMMYFUNCTION("""COMPUTED_VALUE"""),719200.0)</f>
        <v>719200</v>
      </c>
      <c r="J3002" s="6">
        <f>IFERROR(__xludf.DUMMYFUNCTION("""COMPUTED_VALUE"""),1438400.0)</f>
        <v>1438400</v>
      </c>
      <c r="K3002" s="57">
        <f>IFERROR(__xludf.DUMMYFUNCTION("""COMPUTED_VALUE"""),45351.0)</f>
        <v>45351</v>
      </c>
      <c r="L3002" s="6" t="str">
        <f>IFERROR(__xludf.DUMMYFUNCTION("""COMPUTED_VALUE"""),"FIP Engineering")</f>
        <v>FIP Engineering</v>
      </c>
      <c r="M3002" s="6" t="str">
        <f>IFERROR(__xludf.DUMMYFUNCTION("""COMPUTED_VALUE"""),"Mochammad Fadhillah Hakim,")</f>
        <v>Mochammad Fadhillah Hakim,</v>
      </c>
      <c r="N3002" s="6" t="str">
        <f>IFERROR(__xludf.DUMMYFUNCTION("""COMPUTED_VALUE"""),"FIP Engineering")</f>
        <v>FIP Engineering</v>
      </c>
      <c r="O3002" s="6" t="str">
        <f>IFERROR(__xludf.DUMMYFUNCTION("""COMPUTED_VALUE"""),"FIP-DOM-000-11304-OS00001-INA-000000")</f>
        <v>FIP-DOM-000-11304-OS00001-INA-000000</v>
      </c>
      <c r="P3002" s="6" t="str">
        <f>IFERROR(__xludf.DUMMYFUNCTION("""COMPUTED_VALUE"""),"PO Closed")</f>
        <v>PO Closed</v>
      </c>
      <c r="Q3002" s="6" t="str">
        <f>IFERROR(__xludf.DUMMYFUNCTION("""COMPUTED_VALUE"""),"GL2403043")</f>
        <v>GL2403043</v>
      </c>
      <c r="R3002" s="57">
        <f>IFERROR(__xludf.DUMMYFUNCTION("""COMPUTED_VALUE"""),45348.0)</f>
        <v>45348</v>
      </c>
      <c r="S3002" s="57">
        <f>IFERROR(__xludf.DUMMYFUNCTION("""COMPUTED_VALUE"""),45352.0)</f>
        <v>45352</v>
      </c>
      <c r="T3002" s="57">
        <f>IFERROR(__xludf.DUMMYFUNCTION("""COMPUTED_VALUE"""),45422.0)</f>
        <v>45422</v>
      </c>
    </row>
    <row r="3003">
      <c r="A3003" s="6" t="str">
        <f>IFERROR(__xludf.DUMMYFUNCTION("""COMPUTED_VALUE"""),"121701234-10")</f>
        <v>121701234-10</v>
      </c>
      <c r="B3003" s="6" t="str">
        <f>IFERROR(__xludf.DUMMYFUNCTION("""COMPUTED_VALUE"""),"121701234 - APPROVED")</f>
        <v>121701234 - APPROVED</v>
      </c>
      <c r="C3003" s="6">
        <f>IFERROR(__xludf.DUMMYFUNCTION("""COMPUTED_VALUE"""),10.0)</f>
        <v>10</v>
      </c>
      <c r="D3003" s="6" t="str">
        <f>IFERROR(__xludf.DUMMYFUNCTION("""COMPUTED_VALUE"""),"S-11446-00")</f>
        <v>S-11446-00</v>
      </c>
      <c r="E3003" s="6" t="str">
        <f>IFERROR(__xludf.DUMMYFUNCTION("""COMPUTED_VALUE"""),"Tangga Plastik / Alumunium; ; ; pc")</f>
        <v>Tangga Plastik / Alumunium; ; ; pc</v>
      </c>
      <c r="F3003" s="6">
        <f>IFERROR(__xludf.DUMMYFUNCTION("""COMPUTED_VALUE"""),1.0)</f>
        <v>1</v>
      </c>
      <c r="G3003" s="6" t="str">
        <f>IFERROR(__xludf.DUMMYFUNCTION("""COMPUTED_VALUE"""),"Pieces")</f>
        <v>Pieces</v>
      </c>
      <c r="H3003" s="6" t="str">
        <f>IFERROR(__xludf.DUMMYFUNCTION("""COMPUTED_VALUE"""),"IDR")</f>
        <v>IDR</v>
      </c>
      <c r="I3003" s="6">
        <f>IFERROR(__xludf.DUMMYFUNCTION("""COMPUTED_VALUE"""),1485000.0)</f>
        <v>1485000</v>
      </c>
      <c r="J3003" s="6">
        <f>IFERROR(__xludf.DUMMYFUNCTION("""COMPUTED_VALUE"""),1485000.0)</f>
        <v>1485000</v>
      </c>
      <c r="K3003" s="57">
        <f>IFERROR(__xludf.DUMMYFUNCTION("""COMPUTED_VALUE"""),45351.0)</f>
        <v>45351</v>
      </c>
      <c r="L3003" s="6" t="str">
        <f>IFERROR(__xludf.DUMMYFUNCTION("""COMPUTED_VALUE"""),"FIP General")</f>
        <v>FIP General</v>
      </c>
      <c r="M3003" s="6" t="str">
        <f>IFERROR(__xludf.DUMMYFUNCTION("""COMPUTED_VALUE"""),"Mochammad Fadhillah Hakim,")</f>
        <v>Mochammad Fadhillah Hakim,</v>
      </c>
      <c r="N3003" s="6" t="str">
        <f>IFERROR(__xludf.DUMMYFUNCTION("""COMPUTED_VALUE"""),"FIP Engineering")</f>
        <v>FIP Engineering</v>
      </c>
      <c r="O3003" s="6" t="str">
        <f>IFERROR(__xludf.DUMMYFUNCTION("""COMPUTED_VALUE"""),"FIP-DOM-ENG-51404-0000000-INA-000000")</f>
        <v>FIP-DOM-ENG-51404-0000000-INA-000000</v>
      </c>
      <c r="P3003" s="6" t="str">
        <f>IFERROR(__xludf.DUMMYFUNCTION("""COMPUTED_VALUE"""),"PO Closed")</f>
        <v>PO Closed</v>
      </c>
      <c r="Q3003" s="6" t="str">
        <f>IFERROR(__xludf.DUMMYFUNCTION("""COMPUTED_VALUE"""),"GL2403027")</f>
        <v>GL2403027</v>
      </c>
      <c r="R3003" s="57">
        <f>IFERROR(__xludf.DUMMYFUNCTION("""COMPUTED_VALUE"""),45348.0)</f>
        <v>45348</v>
      </c>
      <c r="S3003" s="57">
        <f>IFERROR(__xludf.DUMMYFUNCTION("""COMPUTED_VALUE"""),45352.0)</f>
        <v>45352</v>
      </c>
      <c r="T3003" s="57">
        <f>IFERROR(__xludf.DUMMYFUNCTION("""COMPUTED_VALUE"""),45379.0)</f>
        <v>45379</v>
      </c>
    </row>
    <row r="3004">
      <c r="A3004" s="6" t="str">
        <f>IFERROR(__xludf.DUMMYFUNCTION("""COMPUTED_VALUE"""),"121701238-2")</f>
        <v>121701238-2</v>
      </c>
      <c r="B3004" s="6" t="str">
        <f>IFERROR(__xludf.DUMMYFUNCTION("""COMPUTED_VALUE"""),"121701238 - APPROVED")</f>
        <v>121701238 - APPROVED</v>
      </c>
      <c r="C3004" s="6">
        <f>IFERROR(__xludf.DUMMYFUNCTION("""COMPUTED_VALUE"""),2.0)</f>
        <v>2</v>
      </c>
      <c r="D3004" s="6" t="str">
        <f>IFERROR(__xludf.DUMMYFUNCTION("""COMPUTED_VALUE"""),"O-19692-00")</f>
        <v>O-19692-00</v>
      </c>
      <c r="E3004" s="6" t="str">
        <f>IFERROR(__xludf.DUMMYFUNCTION("""COMPUTED_VALUE"""),"Capping VCM200 - Box Counter SS 304 130 x 150 x 165 mm; Custom; ;")</f>
        <v>Capping VCM200 - Box Counter SS 304 130 x 150 x 165 mm; Custom; ;</v>
      </c>
      <c r="F3004" s="6">
        <f>IFERROR(__xludf.DUMMYFUNCTION("""COMPUTED_VALUE"""),1.0)</f>
        <v>1</v>
      </c>
      <c r="G3004" s="6" t="str">
        <f>IFERROR(__xludf.DUMMYFUNCTION("""COMPUTED_VALUE"""),"Pieces")</f>
        <v>Pieces</v>
      </c>
      <c r="H3004" s="6" t="str">
        <f>IFERROR(__xludf.DUMMYFUNCTION("""COMPUTED_VALUE"""),"IDR")</f>
        <v>IDR</v>
      </c>
      <c r="I3004" s="6">
        <f>IFERROR(__xludf.DUMMYFUNCTION("""COMPUTED_VALUE"""),995000.0)</f>
        <v>995000</v>
      </c>
      <c r="J3004" s="6">
        <f>IFERROR(__xludf.DUMMYFUNCTION("""COMPUTED_VALUE"""),995000.0)</f>
        <v>995000</v>
      </c>
      <c r="K3004" s="57">
        <f>IFERROR(__xludf.DUMMYFUNCTION("""COMPUTED_VALUE"""),45361.0)</f>
        <v>45361</v>
      </c>
      <c r="L3004" s="6" t="str">
        <f>IFERROR(__xludf.DUMMYFUNCTION("""COMPUTED_VALUE"""),"FIP Engineering")</f>
        <v>FIP Engineering</v>
      </c>
      <c r="M3004" s="6" t="str">
        <f>IFERROR(__xludf.DUMMYFUNCTION("""COMPUTED_VALUE"""),"Mochammad Fadhillah Hakim,")</f>
        <v>Mochammad Fadhillah Hakim,</v>
      </c>
      <c r="N3004" s="6" t="str">
        <f>IFERROR(__xludf.DUMMYFUNCTION("""COMPUTED_VALUE"""),"FIP Engineering")</f>
        <v>FIP Engineering</v>
      </c>
      <c r="O3004" s="6" t="str">
        <f>IFERROR(__xludf.DUMMYFUNCTION("""COMPUTED_VALUE"""),"FIP-DOM-000-11304-OS00001-INA-000000")</f>
        <v>FIP-DOM-000-11304-OS00001-INA-000000</v>
      </c>
      <c r="P3004" s="6" t="str">
        <f>IFERROR(__xludf.DUMMYFUNCTION("""COMPUTED_VALUE"""),"PO Closed")</f>
        <v>PO Closed</v>
      </c>
      <c r="Q3004" s="6" t="str">
        <f>IFERROR(__xludf.DUMMYFUNCTION("""COMPUTED_VALUE"""),"GL2405012")</f>
        <v>GL2405012</v>
      </c>
      <c r="R3004" s="57">
        <f>IFERROR(__xludf.DUMMYFUNCTION("""COMPUTED_VALUE"""),45349.0)</f>
        <v>45349</v>
      </c>
      <c r="S3004" s="57">
        <f>IFERROR(__xludf.DUMMYFUNCTION("""COMPUTED_VALUE"""),45359.0)</f>
        <v>45359</v>
      </c>
      <c r="T3004" s="57">
        <f>IFERROR(__xludf.DUMMYFUNCTION("""COMPUTED_VALUE"""),45453.0)</f>
        <v>45453</v>
      </c>
    </row>
    <row r="3005">
      <c r="A3005" s="6" t="str">
        <f>IFERROR(__xludf.DUMMYFUNCTION("""COMPUTED_VALUE"""),"121701238-3")</f>
        <v>121701238-3</v>
      </c>
      <c r="B3005" s="6" t="str">
        <f>IFERROR(__xludf.DUMMYFUNCTION("""COMPUTED_VALUE"""),"121701238 - APPROVED")</f>
        <v>121701238 - APPROVED</v>
      </c>
      <c r="C3005" s="6">
        <f>IFERROR(__xludf.DUMMYFUNCTION("""COMPUTED_VALUE"""),3.0)</f>
        <v>3</v>
      </c>
      <c r="D3005" s="6" t="str">
        <f>IFERROR(__xludf.DUMMYFUNCTION("""COMPUTED_VALUE"""),"O-19691-00")</f>
        <v>O-19691-00</v>
      </c>
      <c r="E3005" s="6" t="str">
        <f>IFERROR(__xludf.DUMMYFUNCTION("""COMPUTED_VALUE"""),"Capping VCM200 - Dudukan Sensor Counter 105 x 85 x 20 mm; Custom; ;")</f>
        <v>Capping VCM200 - Dudukan Sensor Counter 105 x 85 x 20 mm; Custom; ;</v>
      </c>
      <c r="F3005" s="6">
        <f>IFERROR(__xludf.DUMMYFUNCTION("""COMPUTED_VALUE"""),1.0)</f>
        <v>1</v>
      </c>
      <c r="G3005" s="6" t="str">
        <f>IFERROR(__xludf.DUMMYFUNCTION("""COMPUTED_VALUE"""),"Pieces")</f>
        <v>Pieces</v>
      </c>
      <c r="H3005" s="6" t="str">
        <f>IFERROR(__xludf.DUMMYFUNCTION("""COMPUTED_VALUE"""),"IDR")</f>
        <v>IDR</v>
      </c>
      <c r="I3005" s="6">
        <f>IFERROR(__xludf.DUMMYFUNCTION("""COMPUTED_VALUE"""),525000.0)</f>
        <v>525000</v>
      </c>
      <c r="J3005" s="6">
        <f>IFERROR(__xludf.DUMMYFUNCTION("""COMPUTED_VALUE"""),525000.0)</f>
        <v>525000</v>
      </c>
      <c r="K3005" s="57">
        <f>IFERROR(__xludf.DUMMYFUNCTION("""COMPUTED_VALUE"""),45361.0)</f>
        <v>45361</v>
      </c>
      <c r="L3005" s="6" t="str">
        <f>IFERROR(__xludf.DUMMYFUNCTION("""COMPUTED_VALUE"""),"FIP Engineering")</f>
        <v>FIP Engineering</v>
      </c>
      <c r="M3005" s="6" t="str">
        <f>IFERROR(__xludf.DUMMYFUNCTION("""COMPUTED_VALUE"""),"Mochammad Fadhillah Hakim,")</f>
        <v>Mochammad Fadhillah Hakim,</v>
      </c>
      <c r="N3005" s="6" t="str">
        <f>IFERROR(__xludf.DUMMYFUNCTION("""COMPUTED_VALUE"""),"FIP Engineering")</f>
        <v>FIP Engineering</v>
      </c>
      <c r="O3005" s="6" t="str">
        <f>IFERROR(__xludf.DUMMYFUNCTION("""COMPUTED_VALUE"""),"FIP-DOM-000-11304-OS00001-INA-000000")</f>
        <v>FIP-DOM-000-11304-OS00001-INA-000000</v>
      </c>
      <c r="P3005" s="6" t="str">
        <f>IFERROR(__xludf.DUMMYFUNCTION("""COMPUTED_VALUE"""),"PO Closed")</f>
        <v>PO Closed</v>
      </c>
      <c r="Q3005" s="6" t="str">
        <f>IFERROR(__xludf.DUMMYFUNCTION("""COMPUTED_VALUE"""),"GL2405012")</f>
        <v>GL2405012</v>
      </c>
      <c r="R3005" s="57">
        <f>IFERROR(__xludf.DUMMYFUNCTION("""COMPUTED_VALUE"""),45349.0)</f>
        <v>45349</v>
      </c>
      <c r="S3005" s="57">
        <f>IFERROR(__xludf.DUMMYFUNCTION("""COMPUTED_VALUE"""),45359.0)</f>
        <v>45359</v>
      </c>
      <c r="T3005" s="57">
        <f>IFERROR(__xludf.DUMMYFUNCTION("""COMPUTED_VALUE"""),45453.0)</f>
        <v>45453</v>
      </c>
    </row>
    <row r="3006">
      <c r="A3006" s="6" t="str">
        <f>IFERROR(__xludf.DUMMYFUNCTION("""COMPUTED_VALUE"""),"121701238-4")</f>
        <v>121701238-4</v>
      </c>
      <c r="B3006" s="6" t="str">
        <f>IFERROR(__xludf.DUMMYFUNCTION("""COMPUTED_VALUE"""),"121701238 - APPROVED")</f>
        <v>121701238 - APPROVED</v>
      </c>
      <c r="C3006" s="6">
        <f>IFERROR(__xludf.DUMMYFUNCTION("""COMPUTED_VALUE"""),4.0)</f>
        <v>4</v>
      </c>
      <c r="D3006" s="6" t="str">
        <f>IFERROR(__xludf.DUMMYFUNCTION("""COMPUTED_VALUE"""),"O-14616-00")</f>
        <v>O-14616-00</v>
      </c>
      <c r="E3006" s="6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F3006" s="6">
        <f>IFERROR(__xludf.DUMMYFUNCTION("""COMPUTED_VALUE"""),2.0)</f>
        <v>2</v>
      </c>
      <c r="G3006" s="6" t="str">
        <f>IFERROR(__xludf.DUMMYFUNCTION("""COMPUTED_VALUE"""),"Unit")</f>
        <v>Unit</v>
      </c>
      <c r="H3006" s="6" t="str">
        <f>IFERROR(__xludf.DUMMYFUNCTION("""COMPUTED_VALUE"""),"IDR")</f>
        <v>IDR</v>
      </c>
      <c r="I3006" s="6">
        <f>IFERROR(__xludf.DUMMYFUNCTION("""COMPUTED_VALUE"""),1.082315E7)</f>
        <v>10823150</v>
      </c>
      <c r="J3006" s="6">
        <f>IFERROR(__xludf.DUMMYFUNCTION("""COMPUTED_VALUE"""),2.16463E7)</f>
        <v>21646300</v>
      </c>
      <c r="K3006" s="57">
        <f>IFERROR(__xludf.DUMMYFUNCTION("""COMPUTED_VALUE"""),45361.0)</f>
        <v>45361</v>
      </c>
      <c r="L3006" s="6" t="str">
        <f>IFERROR(__xludf.DUMMYFUNCTION("""COMPUTED_VALUE"""),"FIP Engineering")</f>
        <v>FIP Engineering</v>
      </c>
      <c r="M3006" s="6" t="str">
        <f>IFERROR(__xludf.DUMMYFUNCTION("""COMPUTED_VALUE"""),"Mochammad Fadhillah Hakim,")</f>
        <v>Mochammad Fadhillah Hakim,</v>
      </c>
      <c r="N3006" s="6" t="str">
        <f>IFERROR(__xludf.DUMMYFUNCTION("""COMPUTED_VALUE"""),"FIP Engineering")</f>
        <v>FIP Engineering</v>
      </c>
      <c r="O3006" s="6" t="str">
        <f>IFERROR(__xludf.DUMMYFUNCTION("""COMPUTED_VALUE"""),"FIP-DOM-000-11304-OS00001-INA-000000")</f>
        <v>FIP-DOM-000-11304-OS00001-INA-000000</v>
      </c>
      <c r="P3006" s="6" t="str">
        <f>IFERROR(__xludf.DUMMYFUNCTION("""COMPUTED_VALUE"""),"PO Closed")</f>
        <v>PO Closed</v>
      </c>
      <c r="Q3006" s="6" t="str">
        <f>IFERROR(__xludf.DUMMYFUNCTION("""COMPUTED_VALUE"""),"GL2404061")</f>
        <v>GL2404061</v>
      </c>
      <c r="R3006" s="57">
        <f>IFERROR(__xludf.DUMMYFUNCTION("""COMPUTED_VALUE"""),45349.0)</f>
        <v>45349</v>
      </c>
      <c r="S3006" s="57">
        <f>IFERROR(__xludf.DUMMYFUNCTION("""COMPUTED_VALUE"""),45359.0)</f>
        <v>45359</v>
      </c>
      <c r="T3006" s="57">
        <f>IFERROR(__xludf.DUMMYFUNCTION("""COMPUTED_VALUE"""),45746.0)</f>
        <v>45746</v>
      </c>
    </row>
    <row r="3007">
      <c r="A3007" s="6" t="str">
        <f>IFERROR(__xludf.DUMMYFUNCTION("""COMPUTED_VALUE"""),"121701239-1")</f>
        <v>121701239-1</v>
      </c>
      <c r="B3007" s="6" t="str">
        <f>IFERROR(__xludf.DUMMYFUNCTION("""COMPUTED_VALUE"""),"121701239 - APPROVED")</f>
        <v>121701239 - APPROVED</v>
      </c>
      <c r="C3007" s="6">
        <f>IFERROR(__xludf.DUMMYFUNCTION("""COMPUTED_VALUE"""),1.0)</f>
        <v>1</v>
      </c>
      <c r="D3007" s="6" t="str">
        <f>IFERROR(__xludf.DUMMYFUNCTION("""COMPUTED_VALUE"""),"P-12281-00")</f>
        <v>P-12281-00</v>
      </c>
      <c r="E3007" s="6" t="str">
        <f>IFERROR(__xludf.DUMMYFUNCTION("""COMPUTED_VALUE"""),"FESTO - QS-10-8 Push In Connector p/n 153039")</f>
        <v>FESTO - QS-10-8 Push In Connector p/n 153039</v>
      </c>
      <c r="F3007" s="6">
        <f>IFERROR(__xludf.DUMMYFUNCTION("""COMPUTED_VALUE"""),5.0)</f>
        <v>5</v>
      </c>
      <c r="G3007" s="6" t="str">
        <f>IFERROR(__xludf.DUMMYFUNCTION("""COMPUTED_VALUE"""),"Pieces")</f>
        <v>Pieces</v>
      </c>
      <c r="H3007" s="6" t="str">
        <f>IFERROR(__xludf.DUMMYFUNCTION("""COMPUTED_VALUE"""),"IDR")</f>
        <v>IDR</v>
      </c>
      <c r="I3007" s="6">
        <f>IFERROR(__xludf.DUMMYFUNCTION("""COMPUTED_VALUE"""),100000.0)</f>
        <v>100000</v>
      </c>
      <c r="J3007" s="6">
        <f>IFERROR(__xludf.DUMMYFUNCTION("""COMPUTED_VALUE"""),500000.0)</f>
        <v>500000</v>
      </c>
      <c r="K3007" s="57">
        <f>IFERROR(__xludf.DUMMYFUNCTION("""COMPUTED_VALUE"""),45352.0)</f>
        <v>45352</v>
      </c>
      <c r="L3007" s="6" t="str">
        <f>IFERROR(__xludf.DUMMYFUNCTION("""COMPUTED_VALUE"""),"FIP Engineering")</f>
        <v>FIP Engineering</v>
      </c>
      <c r="M3007" s="6" t="str">
        <f>IFERROR(__xludf.DUMMYFUNCTION("""COMPUTED_VALUE"""),"Mochammad Fadhillah Hakim,")</f>
        <v>Mochammad Fadhillah Hakim,</v>
      </c>
      <c r="N3007" s="6" t="str">
        <f>IFERROR(__xludf.DUMMYFUNCTION("""COMPUTED_VALUE"""),"FIP Engineering")</f>
        <v>FIP Engineering</v>
      </c>
      <c r="O3007" s="6" t="str">
        <f>IFERROR(__xludf.DUMMYFUNCTION("""COMPUTED_VALUE"""),"FIP-DOM-000-11304-OS00001-INA-000000")</f>
        <v>FIP-DOM-000-11304-OS00001-INA-000000</v>
      </c>
      <c r="P3007" s="6" t="str">
        <f>IFERROR(__xludf.DUMMYFUNCTION("""COMPUTED_VALUE"""),"PO Closed")</f>
        <v>PO Closed</v>
      </c>
      <c r="Q3007" s="6" t="str">
        <f>IFERROR(__xludf.DUMMYFUNCTION("""COMPUTED_VALUE"""),"GL2404329")</f>
        <v>GL2404329</v>
      </c>
      <c r="R3007" s="57">
        <f>IFERROR(__xludf.DUMMYFUNCTION("""COMPUTED_VALUE"""),45350.0)</f>
        <v>45350</v>
      </c>
      <c r="S3007" s="57">
        <f>IFERROR(__xludf.DUMMYFUNCTION("""COMPUTED_VALUE"""),45352.0)</f>
        <v>45352</v>
      </c>
      <c r="T3007" s="57">
        <f>IFERROR(__xludf.DUMMYFUNCTION("""COMPUTED_VALUE"""),45419.0)</f>
        <v>45419</v>
      </c>
    </row>
    <row r="3008">
      <c r="A3008" s="6" t="str">
        <f>IFERROR(__xludf.DUMMYFUNCTION("""COMPUTED_VALUE"""),"121701239-2")</f>
        <v>121701239-2</v>
      </c>
      <c r="B3008" s="6" t="str">
        <f>IFERROR(__xludf.DUMMYFUNCTION("""COMPUTED_VALUE"""),"121701239 - APPROVED")</f>
        <v>121701239 - APPROVED</v>
      </c>
      <c r="C3008" s="6">
        <f>IFERROR(__xludf.DUMMYFUNCTION("""COMPUTED_VALUE"""),2.0)</f>
        <v>2</v>
      </c>
      <c r="D3008" s="6" t="str">
        <f>IFERROR(__xludf.DUMMYFUNCTION("""COMPUTED_VALUE"""),"O-14639-00")</f>
        <v>O-14639-00</v>
      </c>
      <c r="E3008" s="6" t="str">
        <f>IFERROR(__xludf.DUMMYFUNCTION("""COMPUTED_VALUE"""),"EPDM Gasket for Ferrule dia. 1/2"" - P/N : -  pc")</f>
        <v>EPDM Gasket for Ferrule dia. 1/2" - P/N : -  pc</v>
      </c>
      <c r="F3008" s="6">
        <f>IFERROR(__xludf.DUMMYFUNCTION("""COMPUTED_VALUE"""),20.0)</f>
        <v>20</v>
      </c>
      <c r="G3008" s="6" t="str">
        <f>IFERROR(__xludf.DUMMYFUNCTION("""COMPUTED_VALUE"""),"Pieces")</f>
        <v>Pieces</v>
      </c>
      <c r="H3008" s="6" t="str">
        <f>IFERROR(__xludf.DUMMYFUNCTION("""COMPUTED_VALUE"""),"IDR")</f>
        <v>IDR</v>
      </c>
      <c r="I3008" s="6">
        <f>IFERROR(__xludf.DUMMYFUNCTION("""COMPUTED_VALUE"""),8100.0)</f>
        <v>8100</v>
      </c>
      <c r="J3008" s="6">
        <f>IFERROR(__xludf.DUMMYFUNCTION("""COMPUTED_VALUE"""),162000.0)</f>
        <v>162000</v>
      </c>
      <c r="K3008" s="57">
        <f>IFERROR(__xludf.DUMMYFUNCTION("""COMPUTED_VALUE"""),45352.0)</f>
        <v>45352</v>
      </c>
      <c r="L3008" s="6" t="str">
        <f>IFERROR(__xludf.DUMMYFUNCTION("""COMPUTED_VALUE"""),"FIP Engineering")</f>
        <v>FIP Engineering</v>
      </c>
      <c r="M3008" s="6" t="str">
        <f>IFERROR(__xludf.DUMMYFUNCTION("""COMPUTED_VALUE"""),"Mochammad Fadhillah Hakim,")</f>
        <v>Mochammad Fadhillah Hakim,</v>
      </c>
      <c r="N3008" s="6" t="str">
        <f>IFERROR(__xludf.DUMMYFUNCTION("""COMPUTED_VALUE"""),"FIP Engineering")</f>
        <v>FIP Engineering</v>
      </c>
      <c r="O3008" s="6" t="str">
        <f>IFERROR(__xludf.DUMMYFUNCTION("""COMPUTED_VALUE"""),"FIP-DOM-000-11304-OS00001-INA-000000")</f>
        <v>FIP-DOM-000-11304-OS00001-INA-000000</v>
      </c>
      <c r="P3008" s="6" t="str">
        <f>IFERROR(__xludf.DUMMYFUNCTION("""COMPUTED_VALUE"""),"PO Closed")</f>
        <v>PO Closed</v>
      </c>
      <c r="Q3008" s="6" t="str">
        <f>IFERROR(__xludf.DUMMYFUNCTION("""COMPUTED_VALUE"""),"GL2403044")</f>
        <v>GL2403044</v>
      </c>
      <c r="R3008" s="57">
        <f>IFERROR(__xludf.DUMMYFUNCTION("""COMPUTED_VALUE"""),45350.0)</f>
        <v>45350</v>
      </c>
      <c r="S3008" s="57">
        <f>IFERROR(__xludf.DUMMYFUNCTION("""COMPUTED_VALUE"""),45352.0)</f>
        <v>45352</v>
      </c>
      <c r="T3008" s="57">
        <f>IFERROR(__xludf.DUMMYFUNCTION("""COMPUTED_VALUE"""),45415.0)</f>
        <v>45415</v>
      </c>
    </row>
    <row r="3009">
      <c r="A3009" s="6" t="str">
        <f>IFERROR(__xludf.DUMMYFUNCTION("""COMPUTED_VALUE"""),"121701239-3")</f>
        <v>121701239-3</v>
      </c>
      <c r="B3009" s="6" t="str">
        <f>IFERROR(__xludf.DUMMYFUNCTION("""COMPUTED_VALUE"""),"121701239 - APPROVED")</f>
        <v>121701239 - APPROVED</v>
      </c>
      <c r="C3009" s="6">
        <f>IFERROR(__xludf.DUMMYFUNCTION("""COMPUTED_VALUE"""),3.0)</f>
        <v>3</v>
      </c>
      <c r="D3009" s="6" t="str">
        <f>IFERROR(__xludf.DUMMYFUNCTION("""COMPUTED_VALUE"""),"O-14640-00")</f>
        <v>O-14640-00</v>
      </c>
      <c r="E3009" s="6" t="str">
        <f>IFERROR(__xludf.DUMMYFUNCTION("""COMPUTED_VALUE"""),"Silicone Gasket for Ferrule dia. 3/4"" - P/N : -  pc")</f>
        <v>Silicone Gasket for Ferrule dia. 3/4" - P/N : -  pc</v>
      </c>
      <c r="F3009" s="6">
        <f>IFERROR(__xludf.DUMMYFUNCTION("""COMPUTED_VALUE"""),20.0)</f>
        <v>20</v>
      </c>
      <c r="G3009" s="6" t="str">
        <f>IFERROR(__xludf.DUMMYFUNCTION("""COMPUTED_VALUE"""),"Pieces")</f>
        <v>Pieces</v>
      </c>
      <c r="H3009" s="6" t="str">
        <f>IFERROR(__xludf.DUMMYFUNCTION("""COMPUTED_VALUE"""),"IDR")</f>
        <v>IDR</v>
      </c>
      <c r="I3009" s="6">
        <f>IFERROR(__xludf.DUMMYFUNCTION("""COMPUTED_VALUE"""),12000.0)</f>
        <v>12000</v>
      </c>
      <c r="J3009" s="6">
        <f>IFERROR(__xludf.DUMMYFUNCTION("""COMPUTED_VALUE"""),240000.0)</f>
        <v>240000</v>
      </c>
      <c r="K3009" s="57">
        <f>IFERROR(__xludf.DUMMYFUNCTION("""COMPUTED_VALUE"""),45352.0)</f>
        <v>45352</v>
      </c>
      <c r="L3009" s="6" t="str">
        <f>IFERROR(__xludf.DUMMYFUNCTION("""COMPUTED_VALUE"""),"FIP Engineering")</f>
        <v>FIP Engineering</v>
      </c>
      <c r="M3009" s="6" t="str">
        <f>IFERROR(__xludf.DUMMYFUNCTION("""COMPUTED_VALUE"""),"Mochammad Fadhillah Hakim,")</f>
        <v>Mochammad Fadhillah Hakim,</v>
      </c>
      <c r="N3009" s="6" t="str">
        <f>IFERROR(__xludf.DUMMYFUNCTION("""COMPUTED_VALUE"""),"FIP Engineering")</f>
        <v>FIP Engineering</v>
      </c>
      <c r="O3009" s="6" t="str">
        <f>IFERROR(__xludf.DUMMYFUNCTION("""COMPUTED_VALUE"""),"FIP-DOM-000-11304-OS00001-INA-000000")</f>
        <v>FIP-DOM-000-11304-OS00001-INA-000000</v>
      </c>
      <c r="P3009" s="6" t="str">
        <f>IFERROR(__xludf.DUMMYFUNCTION("""COMPUTED_VALUE"""),"PO Closed")</f>
        <v>PO Closed</v>
      </c>
      <c r="Q3009" s="6" t="str">
        <f>IFERROR(__xludf.DUMMYFUNCTION("""COMPUTED_VALUE"""),"GL2403044")</f>
        <v>GL2403044</v>
      </c>
      <c r="R3009" s="57">
        <f>IFERROR(__xludf.DUMMYFUNCTION("""COMPUTED_VALUE"""),45350.0)</f>
        <v>45350</v>
      </c>
      <c r="S3009" s="57">
        <f>IFERROR(__xludf.DUMMYFUNCTION("""COMPUTED_VALUE"""),45352.0)</f>
        <v>45352</v>
      </c>
      <c r="T3009" s="57">
        <f>IFERROR(__xludf.DUMMYFUNCTION("""COMPUTED_VALUE"""),45415.0)</f>
        <v>45415</v>
      </c>
    </row>
    <row r="3010">
      <c r="A3010" s="6" t="str">
        <f>IFERROR(__xludf.DUMMYFUNCTION("""COMPUTED_VALUE"""),"121701239-4")</f>
        <v>121701239-4</v>
      </c>
      <c r="B3010" s="6" t="str">
        <f>IFERROR(__xludf.DUMMYFUNCTION("""COMPUTED_VALUE"""),"121701239 - APPROVED")</f>
        <v>121701239 - APPROVED</v>
      </c>
      <c r="C3010" s="6">
        <f>IFERROR(__xludf.DUMMYFUNCTION("""COMPUTED_VALUE"""),4.0)</f>
        <v>4</v>
      </c>
      <c r="D3010" s="6" t="str">
        <f>IFERROR(__xludf.DUMMYFUNCTION("""COMPUTED_VALUE"""),"O-14641-00")</f>
        <v>O-14641-00</v>
      </c>
      <c r="E3010" s="6" t="str">
        <f>IFERROR(__xludf.DUMMYFUNCTION("""COMPUTED_VALUE"""),"Silicone Gasket for Ferrule dia. 1""; ; ;")</f>
        <v>Silicone Gasket for Ferrule dia. 1"; ; ;</v>
      </c>
      <c r="F3010" s="6">
        <f>IFERROR(__xludf.DUMMYFUNCTION("""COMPUTED_VALUE"""),20.0)</f>
        <v>20</v>
      </c>
      <c r="G3010" s="6" t="str">
        <f>IFERROR(__xludf.DUMMYFUNCTION("""COMPUTED_VALUE"""),"Pieces")</f>
        <v>Pieces</v>
      </c>
      <c r="H3010" s="6" t="str">
        <f>IFERROR(__xludf.DUMMYFUNCTION("""COMPUTED_VALUE"""),"IDR")</f>
        <v>IDR</v>
      </c>
      <c r="I3010" s="6">
        <f>IFERROR(__xludf.DUMMYFUNCTION("""COMPUTED_VALUE"""),9600.0)</f>
        <v>9600</v>
      </c>
      <c r="J3010" s="6">
        <f>IFERROR(__xludf.DUMMYFUNCTION("""COMPUTED_VALUE"""),192000.0)</f>
        <v>192000</v>
      </c>
      <c r="K3010" s="57">
        <f>IFERROR(__xludf.DUMMYFUNCTION("""COMPUTED_VALUE"""),45352.0)</f>
        <v>45352</v>
      </c>
      <c r="L3010" s="6" t="str">
        <f>IFERROR(__xludf.DUMMYFUNCTION("""COMPUTED_VALUE"""),"FIP Engineering")</f>
        <v>FIP Engineering</v>
      </c>
      <c r="M3010" s="6" t="str">
        <f>IFERROR(__xludf.DUMMYFUNCTION("""COMPUTED_VALUE"""),"Mochammad Fadhillah Hakim,")</f>
        <v>Mochammad Fadhillah Hakim,</v>
      </c>
      <c r="N3010" s="6" t="str">
        <f>IFERROR(__xludf.DUMMYFUNCTION("""COMPUTED_VALUE"""),"FIP Engineering")</f>
        <v>FIP Engineering</v>
      </c>
      <c r="O3010" s="6" t="str">
        <f>IFERROR(__xludf.DUMMYFUNCTION("""COMPUTED_VALUE"""),"FIP-DOM-000-11304-OS00001-INA-000000")</f>
        <v>FIP-DOM-000-11304-OS00001-INA-000000</v>
      </c>
      <c r="P3010" s="6" t="str">
        <f>IFERROR(__xludf.DUMMYFUNCTION("""COMPUTED_VALUE"""),"PO Closed")</f>
        <v>PO Closed</v>
      </c>
      <c r="Q3010" s="6" t="str">
        <f>IFERROR(__xludf.DUMMYFUNCTION("""COMPUTED_VALUE"""),"GL2403044")</f>
        <v>GL2403044</v>
      </c>
      <c r="R3010" s="57">
        <f>IFERROR(__xludf.DUMMYFUNCTION("""COMPUTED_VALUE"""),45350.0)</f>
        <v>45350</v>
      </c>
      <c r="S3010" s="57">
        <f>IFERROR(__xludf.DUMMYFUNCTION("""COMPUTED_VALUE"""),45352.0)</f>
        <v>45352</v>
      </c>
      <c r="T3010" s="57">
        <f>IFERROR(__xludf.DUMMYFUNCTION("""COMPUTED_VALUE"""),45415.0)</f>
        <v>45415</v>
      </c>
    </row>
    <row r="3011">
      <c r="A3011" s="6" t="str">
        <f>IFERROR(__xludf.DUMMYFUNCTION("""COMPUTED_VALUE"""),"121701239-5")</f>
        <v>121701239-5</v>
      </c>
      <c r="B3011" s="6" t="str">
        <f>IFERROR(__xludf.DUMMYFUNCTION("""COMPUTED_VALUE"""),"121701239 - APPROVED")</f>
        <v>121701239 - APPROVED</v>
      </c>
      <c r="C3011" s="6">
        <f>IFERROR(__xludf.DUMMYFUNCTION("""COMPUTED_VALUE"""),5.0)</f>
        <v>5</v>
      </c>
      <c r="D3011" s="6" t="str">
        <f>IFERROR(__xludf.DUMMYFUNCTION("""COMPUTED_VALUE"""),"P-14377-00")</f>
        <v>P-14377-00</v>
      </c>
      <c r="E3011" s="6" t="str">
        <f>IFERROR(__xludf.DUMMYFUNCTION("""COMPUTED_VALUE"""),"Gasket 1"" /EPDM; ; ;")</f>
        <v>Gasket 1" /EPDM; ; ;</v>
      </c>
      <c r="F3011" s="6">
        <f>IFERROR(__xludf.DUMMYFUNCTION("""COMPUTED_VALUE"""),30.0)</f>
        <v>30</v>
      </c>
      <c r="G3011" s="6" t="str">
        <f>IFERROR(__xludf.DUMMYFUNCTION("""COMPUTED_VALUE"""),"Pieces")</f>
        <v>Pieces</v>
      </c>
      <c r="H3011" s="6" t="str">
        <f>IFERROR(__xludf.DUMMYFUNCTION("""COMPUTED_VALUE"""),"IDR")</f>
        <v>IDR</v>
      </c>
      <c r="I3011" s="6">
        <f>IFERROR(__xludf.DUMMYFUNCTION("""COMPUTED_VALUE"""),13000.0)</f>
        <v>13000</v>
      </c>
      <c r="J3011" s="6">
        <f>IFERROR(__xludf.DUMMYFUNCTION("""COMPUTED_VALUE"""),390000.0)</f>
        <v>390000</v>
      </c>
      <c r="K3011" s="57">
        <f>IFERROR(__xludf.DUMMYFUNCTION("""COMPUTED_VALUE"""),45352.0)</f>
        <v>45352</v>
      </c>
      <c r="L3011" s="6" t="str">
        <f>IFERROR(__xludf.DUMMYFUNCTION("""COMPUTED_VALUE"""),"FIP Engineering")</f>
        <v>FIP Engineering</v>
      </c>
      <c r="M3011" s="6" t="str">
        <f>IFERROR(__xludf.DUMMYFUNCTION("""COMPUTED_VALUE"""),"Mochammad Fadhillah Hakim,")</f>
        <v>Mochammad Fadhillah Hakim,</v>
      </c>
      <c r="N3011" s="6" t="str">
        <f>IFERROR(__xludf.DUMMYFUNCTION("""COMPUTED_VALUE"""),"FIP Engineering")</f>
        <v>FIP Engineering</v>
      </c>
      <c r="O3011" s="6" t="str">
        <f>IFERROR(__xludf.DUMMYFUNCTION("""COMPUTED_VALUE"""),"FIP-DOM-000-11304-OS00001-INA-000000")</f>
        <v>FIP-DOM-000-11304-OS00001-INA-000000</v>
      </c>
      <c r="P3011" s="6" t="str">
        <f>IFERROR(__xludf.DUMMYFUNCTION("""COMPUTED_VALUE"""),"PO Closed")</f>
        <v>PO Closed</v>
      </c>
      <c r="Q3011" s="6" t="str">
        <f>IFERROR(__xludf.DUMMYFUNCTION("""COMPUTED_VALUE"""),"GL2403044")</f>
        <v>GL2403044</v>
      </c>
      <c r="R3011" s="57">
        <f>IFERROR(__xludf.DUMMYFUNCTION("""COMPUTED_VALUE"""),45350.0)</f>
        <v>45350</v>
      </c>
      <c r="S3011" s="57">
        <f>IFERROR(__xludf.DUMMYFUNCTION("""COMPUTED_VALUE"""),45352.0)</f>
        <v>45352</v>
      </c>
      <c r="T3011" s="57">
        <f>IFERROR(__xludf.DUMMYFUNCTION("""COMPUTED_VALUE"""),45415.0)</f>
        <v>45415</v>
      </c>
    </row>
    <row r="3012">
      <c r="A3012" s="6" t="str">
        <f>IFERROR(__xludf.DUMMYFUNCTION("""COMPUTED_VALUE"""),"121701239-6")</f>
        <v>121701239-6</v>
      </c>
      <c r="B3012" s="6" t="str">
        <f>IFERROR(__xludf.DUMMYFUNCTION("""COMPUTED_VALUE"""),"121701239 - APPROVED")</f>
        <v>121701239 - APPROVED</v>
      </c>
      <c r="C3012" s="6">
        <f>IFERROR(__xludf.DUMMYFUNCTION("""COMPUTED_VALUE"""),6.0)</f>
        <v>6</v>
      </c>
      <c r="D3012" s="6" t="str">
        <f>IFERROR(__xludf.DUMMYFUNCTION("""COMPUTED_VALUE"""),"O-13522-00")</f>
        <v>O-13522-00</v>
      </c>
      <c r="E3012" s="6" t="str">
        <f>IFERROR(__xludf.DUMMYFUNCTION("""COMPUTED_VALUE"""),"gasket 2"" / EPDM; ; ;")</f>
        <v>gasket 2" / EPDM; ; ;</v>
      </c>
      <c r="F3012" s="6">
        <f>IFERROR(__xludf.DUMMYFUNCTION("""COMPUTED_VALUE"""),25.0)</f>
        <v>25</v>
      </c>
      <c r="G3012" s="6" t="str">
        <f>IFERROR(__xludf.DUMMYFUNCTION("""COMPUTED_VALUE"""),"Pieces")</f>
        <v>Pieces</v>
      </c>
      <c r="H3012" s="6" t="str">
        <f>IFERROR(__xludf.DUMMYFUNCTION("""COMPUTED_VALUE"""),"IDR")</f>
        <v>IDR</v>
      </c>
      <c r="I3012" s="6">
        <f>IFERROR(__xludf.DUMMYFUNCTION("""COMPUTED_VALUE"""),23200.0)</f>
        <v>23200</v>
      </c>
      <c r="J3012" s="6">
        <f>IFERROR(__xludf.DUMMYFUNCTION("""COMPUTED_VALUE"""),580000.0)</f>
        <v>580000</v>
      </c>
      <c r="K3012" s="57">
        <f>IFERROR(__xludf.DUMMYFUNCTION("""COMPUTED_VALUE"""),45352.0)</f>
        <v>45352</v>
      </c>
      <c r="L3012" s="6" t="str">
        <f>IFERROR(__xludf.DUMMYFUNCTION("""COMPUTED_VALUE"""),"FIP Engineering")</f>
        <v>FIP Engineering</v>
      </c>
      <c r="M3012" s="6" t="str">
        <f>IFERROR(__xludf.DUMMYFUNCTION("""COMPUTED_VALUE"""),"Mochammad Fadhillah Hakim,")</f>
        <v>Mochammad Fadhillah Hakim,</v>
      </c>
      <c r="N3012" s="6" t="str">
        <f>IFERROR(__xludf.DUMMYFUNCTION("""COMPUTED_VALUE"""),"FIP Engineering")</f>
        <v>FIP Engineering</v>
      </c>
      <c r="O3012" s="6" t="str">
        <f>IFERROR(__xludf.DUMMYFUNCTION("""COMPUTED_VALUE"""),"FIP-DOM-000-11304-OS00001-INA-000000")</f>
        <v>FIP-DOM-000-11304-OS00001-INA-000000</v>
      </c>
      <c r="P3012" s="6" t="str">
        <f>IFERROR(__xludf.DUMMYFUNCTION("""COMPUTED_VALUE"""),"PO Closed")</f>
        <v>PO Closed</v>
      </c>
      <c r="Q3012" s="6" t="str">
        <f>IFERROR(__xludf.DUMMYFUNCTION("""COMPUTED_VALUE"""),"GL2403044")</f>
        <v>GL2403044</v>
      </c>
      <c r="R3012" s="57">
        <f>IFERROR(__xludf.DUMMYFUNCTION("""COMPUTED_VALUE"""),45350.0)</f>
        <v>45350</v>
      </c>
      <c r="S3012" s="57">
        <f>IFERROR(__xludf.DUMMYFUNCTION("""COMPUTED_VALUE"""),45352.0)</f>
        <v>45352</v>
      </c>
      <c r="T3012" s="57">
        <f>IFERROR(__xludf.DUMMYFUNCTION("""COMPUTED_VALUE"""),45415.0)</f>
        <v>45415</v>
      </c>
    </row>
    <row r="3013">
      <c r="A3013" s="6" t="str">
        <f>IFERROR(__xludf.DUMMYFUNCTION("""COMPUTED_VALUE"""),"121701239-7")</f>
        <v>121701239-7</v>
      </c>
      <c r="B3013" s="6" t="str">
        <f>IFERROR(__xludf.DUMMYFUNCTION("""COMPUTED_VALUE"""),"121701239 - APPROVED")</f>
        <v>121701239 - APPROVED</v>
      </c>
      <c r="C3013" s="6">
        <f>IFERROR(__xludf.DUMMYFUNCTION("""COMPUTED_VALUE"""),7.0)</f>
        <v>7</v>
      </c>
      <c r="D3013" s="6" t="str">
        <f>IFERROR(__xludf.DUMMYFUNCTION("""COMPUTED_VALUE"""),"P-12763-00")</f>
        <v>P-12763-00</v>
      </c>
      <c r="E3013" s="6" t="str">
        <f>IFERROR(__xludf.DUMMYFUNCTION("""COMPUTED_VALUE"""),"Silicone gasket for ferrule dia 1 1/2inch Taiwan")</f>
        <v>Silicone gasket for ferrule dia 1 1/2inch Taiwan</v>
      </c>
      <c r="F3013" s="6">
        <f>IFERROR(__xludf.DUMMYFUNCTION("""COMPUTED_VALUE"""),20.0)</f>
        <v>20</v>
      </c>
      <c r="G3013" s="6" t="str">
        <f>IFERROR(__xludf.DUMMYFUNCTION("""COMPUTED_VALUE"""),"Pieces")</f>
        <v>Pieces</v>
      </c>
      <c r="H3013" s="6" t="str">
        <f>IFERROR(__xludf.DUMMYFUNCTION("""COMPUTED_VALUE"""),"IDR")</f>
        <v>IDR</v>
      </c>
      <c r="I3013" s="6">
        <f>IFERROR(__xludf.DUMMYFUNCTION("""COMPUTED_VALUE"""),9600.0)</f>
        <v>9600</v>
      </c>
      <c r="J3013" s="6">
        <f>IFERROR(__xludf.DUMMYFUNCTION("""COMPUTED_VALUE"""),192000.0)</f>
        <v>192000</v>
      </c>
      <c r="K3013" s="57">
        <f>IFERROR(__xludf.DUMMYFUNCTION("""COMPUTED_VALUE"""),45352.0)</f>
        <v>45352</v>
      </c>
      <c r="L3013" s="6" t="str">
        <f>IFERROR(__xludf.DUMMYFUNCTION("""COMPUTED_VALUE"""),"FIP Engineering")</f>
        <v>FIP Engineering</v>
      </c>
      <c r="M3013" s="6" t="str">
        <f>IFERROR(__xludf.DUMMYFUNCTION("""COMPUTED_VALUE"""),"Mochammad Fadhillah Hakim,")</f>
        <v>Mochammad Fadhillah Hakim,</v>
      </c>
      <c r="N3013" s="6" t="str">
        <f>IFERROR(__xludf.DUMMYFUNCTION("""COMPUTED_VALUE"""),"FIP Engineering")</f>
        <v>FIP Engineering</v>
      </c>
      <c r="O3013" s="6" t="str">
        <f>IFERROR(__xludf.DUMMYFUNCTION("""COMPUTED_VALUE"""),"FIP-DOM-000-11304-OS00001-INA-000000")</f>
        <v>FIP-DOM-000-11304-OS00001-INA-000000</v>
      </c>
      <c r="P3013" s="6" t="str">
        <f>IFERROR(__xludf.DUMMYFUNCTION("""COMPUTED_VALUE"""),"PO Closed")</f>
        <v>PO Closed</v>
      </c>
      <c r="Q3013" s="6" t="str">
        <f>IFERROR(__xludf.DUMMYFUNCTION("""COMPUTED_VALUE"""),"GL2403044")</f>
        <v>GL2403044</v>
      </c>
      <c r="R3013" s="57">
        <f>IFERROR(__xludf.DUMMYFUNCTION("""COMPUTED_VALUE"""),45350.0)</f>
        <v>45350</v>
      </c>
      <c r="S3013" s="57">
        <f>IFERROR(__xludf.DUMMYFUNCTION("""COMPUTED_VALUE"""),45352.0)</f>
        <v>45352</v>
      </c>
      <c r="T3013" s="57">
        <f>IFERROR(__xludf.DUMMYFUNCTION("""COMPUTED_VALUE"""),45415.0)</f>
        <v>45415</v>
      </c>
    </row>
    <row r="3014">
      <c r="A3014" s="6" t="str">
        <f>IFERROR(__xludf.DUMMYFUNCTION("""COMPUTED_VALUE"""),"121701239-8")</f>
        <v>121701239-8</v>
      </c>
      <c r="B3014" s="6" t="str">
        <f>IFERROR(__xludf.DUMMYFUNCTION("""COMPUTED_VALUE"""),"121701239 - APPROVED")</f>
        <v>121701239 - APPROVED</v>
      </c>
      <c r="C3014" s="6">
        <f>IFERROR(__xludf.DUMMYFUNCTION("""COMPUTED_VALUE"""),8.0)</f>
        <v>8</v>
      </c>
      <c r="D3014" s="6" t="str">
        <f>IFERROR(__xludf.DUMMYFUNCTION("""COMPUTED_VALUE"""),"P-12765-00")</f>
        <v>P-12765-00</v>
      </c>
      <c r="E3014" s="6" t="str">
        <f>IFERROR(__xludf.DUMMYFUNCTION("""COMPUTED_VALUE"""),"Silicone gasket for ferrule dia 2inch Taiwan")</f>
        <v>Silicone gasket for ferrule dia 2inch Taiwan</v>
      </c>
      <c r="F3014" s="6">
        <f>IFERROR(__xludf.DUMMYFUNCTION("""COMPUTED_VALUE"""),20.0)</f>
        <v>20</v>
      </c>
      <c r="G3014" s="6" t="str">
        <f>IFERROR(__xludf.DUMMYFUNCTION("""COMPUTED_VALUE"""),"Pieces")</f>
        <v>Pieces</v>
      </c>
      <c r="H3014" s="6" t="str">
        <f>IFERROR(__xludf.DUMMYFUNCTION("""COMPUTED_VALUE"""),"IDR")</f>
        <v>IDR</v>
      </c>
      <c r="I3014" s="6">
        <f>IFERROR(__xludf.DUMMYFUNCTION("""COMPUTED_VALUE"""),12000.0)</f>
        <v>12000</v>
      </c>
      <c r="J3014" s="6">
        <f>IFERROR(__xludf.DUMMYFUNCTION("""COMPUTED_VALUE"""),240000.0)</f>
        <v>240000</v>
      </c>
      <c r="K3014" s="57">
        <f>IFERROR(__xludf.DUMMYFUNCTION("""COMPUTED_VALUE"""),45352.0)</f>
        <v>45352</v>
      </c>
      <c r="L3014" s="6" t="str">
        <f>IFERROR(__xludf.DUMMYFUNCTION("""COMPUTED_VALUE"""),"FIP Engineering")</f>
        <v>FIP Engineering</v>
      </c>
      <c r="M3014" s="6" t="str">
        <f>IFERROR(__xludf.DUMMYFUNCTION("""COMPUTED_VALUE"""),"Mochammad Fadhillah Hakim,")</f>
        <v>Mochammad Fadhillah Hakim,</v>
      </c>
      <c r="N3014" s="6" t="str">
        <f>IFERROR(__xludf.DUMMYFUNCTION("""COMPUTED_VALUE"""),"FIP Engineering")</f>
        <v>FIP Engineering</v>
      </c>
      <c r="O3014" s="6" t="str">
        <f>IFERROR(__xludf.DUMMYFUNCTION("""COMPUTED_VALUE"""),"FIP-DOM-000-11304-OS00001-INA-000000")</f>
        <v>FIP-DOM-000-11304-OS00001-INA-000000</v>
      </c>
      <c r="P3014" s="6" t="str">
        <f>IFERROR(__xludf.DUMMYFUNCTION("""COMPUTED_VALUE"""),"PO Closed")</f>
        <v>PO Closed</v>
      </c>
      <c r="Q3014" s="6" t="str">
        <f>IFERROR(__xludf.DUMMYFUNCTION("""COMPUTED_VALUE"""),"GL2403044")</f>
        <v>GL2403044</v>
      </c>
      <c r="R3014" s="57">
        <f>IFERROR(__xludf.DUMMYFUNCTION("""COMPUTED_VALUE"""),45350.0)</f>
        <v>45350</v>
      </c>
      <c r="S3014" s="57">
        <f>IFERROR(__xludf.DUMMYFUNCTION("""COMPUTED_VALUE"""),45352.0)</f>
        <v>45352</v>
      </c>
      <c r="T3014" s="57">
        <f>IFERROR(__xludf.DUMMYFUNCTION("""COMPUTED_VALUE"""),45415.0)</f>
        <v>45415</v>
      </c>
    </row>
    <row r="3015">
      <c r="A3015" s="6" t="str">
        <f>IFERROR(__xludf.DUMMYFUNCTION("""COMPUTED_VALUE"""),"121701239-9")</f>
        <v>121701239-9</v>
      </c>
      <c r="B3015" s="6" t="str">
        <f>IFERROR(__xludf.DUMMYFUNCTION("""COMPUTED_VALUE"""),"121701239 - APPROVED")</f>
        <v>121701239 - APPROVED</v>
      </c>
      <c r="C3015" s="6">
        <f>IFERROR(__xludf.DUMMYFUNCTION("""COMPUTED_VALUE"""),9.0)</f>
        <v>9</v>
      </c>
      <c r="D3015" s="6" t="str">
        <f>IFERROR(__xludf.DUMMYFUNCTION("""COMPUTED_VALUE"""),"O-13521-00")</f>
        <v>O-13521-00</v>
      </c>
      <c r="E3015" s="6" t="str">
        <f>IFERROR(__xludf.DUMMYFUNCTION("""COMPUTED_VALUE"""),"gasket 1 1/2"" / EPDM - P/N : -  pc")</f>
        <v>gasket 1 1/2" / EPDM - P/N : -  pc</v>
      </c>
      <c r="F3015" s="6">
        <f>IFERROR(__xludf.DUMMYFUNCTION("""COMPUTED_VALUE"""),20.0)</f>
        <v>20</v>
      </c>
      <c r="G3015" s="6" t="str">
        <f>IFERROR(__xludf.DUMMYFUNCTION("""COMPUTED_VALUE"""),"Pieces")</f>
        <v>Pieces</v>
      </c>
      <c r="H3015" s="6" t="str">
        <f>IFERROR(__xludf.DUMMYFUNCTION("""COMPUTED_VALUE"""),"IDR")</f>
        <v>IDR</v>
      </c>
      <c r="I3015" s="6">
        <f>IFERROR(__xludf.DUMMYFUNCTION("""COMPUTED_VALUE"""),19800.0)</f>
        <v>19800</v>
      </c>
      <c r="J3015" s="6">
        <f>IFERROR(__xludf.DUMMYFUNCTION("""COMPUTED_VALUE"""),396000.0)</f>
        <v>396000</v>
      </c>
      <c r="K3015" s="57">
        <f>IFERROR(__xludf.DUMMYFUNCTION("""COMPUTED_VALUE"""),45352.0)</f>
        <v>45352</v>
      </c>
      <c r="L3015" s="6" t="str">
        <f>IFERROR(__xludf.DUMMYFUNCTION("""COMPUTED_VALUE"""),"FIP Engineering")</f>
        <v>FIP Engineering</v>
      </c>
      <c r="M3015" s="6" t="str">
        <f>IFERROR(__xludf.DUMMYFUNCTION("""COMPUTED_VALUE"""),"Mochammad Fadhillah Hakim,")</f>
        <v>Mochammad Fadhillah Hakim,</v>
      </c>
      <c r="N3015" s="6" t="str">
        <f>IFERROR(__xludf.DUMMYFUNCTION("""COMPUTED_VALUE"""),"FIP Engineering")</f>
        <v>FIP Engineering</v>
      </c>
      <c r="O3015" s="6" t="str">
        <f>IFERROR(__xludf.DUMMYFUNCTION("""COMPUTED_VALUE"""),"FIP-DOM-000-11304-OS00001-INA-000000")</f>
        <v>FIP-DOM-000-11304-OS00001-INA-000000</v>
      </c>
      <c r="P3015" s="6" t="str">
        <f>IFERROR(__xludf.DUMMYFUNCTION("""COMPUTED_VALUE"""),"PO Closed")</f>
        <v>PO Closed</v>
      </c>
      <c r="Q3015" s="6" t="str">
        <f>IFERROR(__xludf.DUMMYFUNCTION("""COMPUTED_VALUE"""),"GL2403044")</f>
        <v>GL2403044</v>
      </c>
      <c r="R3015" s="57">
        <f>IFERROR(__xludf.DUMMYFUNCTION("""COMPUTED_VALUE"""),45350.0)</f>
        <v>45350</v>
      </c>
      <c r="S3015" s="57">
        <f>IFERROR(__xludf.DUMMYFUNCTION("""COMPUTED_VALUE"""),45352.0)</f>
        <v>45352</v>
      </c>
      <c r="T3015" s="57">
        <f>IFERROR(__xludf.DUMMYFUNCTION("""COMPUTED_VALUE"""),45415.0)</f>
        <v>45415</v>
      </c>
    </row>
    <row r="3016">
      <c r="A3016" s="6" t="str">
        <f>IFERROR(__xludf.DUMMYFUNCTION("""COMPUTED_VALUE"""),"121701239-10")</f>
        <v>121701239-10</v>
      </c>
      <c r="B3016" s="6" t="str">
        <f>IFERROR(__xludf.DUMMYFUNCTION("""COMPUTED_VALUE"""),"121701239 - APPROVED")</f>
        <v>121701239 - APPROVED</v>
      </c>
      <c r="C3016" s="6">
        <f>IFERROR(__xludf.DUMMYFUNCTION("""COMPUTED_VALUE"""),10.0)</f>
        <v>10</v>
      </c>
      <c r="D3016" s="6" t="str">
        <f>IFERROR(__xludf.DUMMYFUNCTION("""COMPUTED_VALUE"""),"P-14376-00")</f>
        <v>P-14376-00</v>
      </c>
      <c r="E3016" s="6" t="str">
        <f>IFERROR(__xludf.DUMMYFUNCTION("""COMPUTED_VALUE"""),"Gasket 2 1/2"" /EPDM; ; ;")</f>
        <v>Gasket 2 1/2" /EPDM; ; ;</v>
      </c>
      <c r="F3016" s="6">
        <f>IFERROR(__xludf.DUMMYFUNCTION("""COMPUTED_VALUE"""),10.0)</f>
        <v>10</v>
      </c>
      <c r="G3016" s="6" t="str">
        <f>IFERROR(__xludf.DUMMYFUNCTION("""COMPUTED_VALUE"""),"Pieces")</f>
        <v>Pieces</v>
      </c>
      <c r="H3016" s="6" t="str">
        <f>IFERROR(__xludf.DUMMYFUNCTION("""COMPUTED_VALUE"""),"IDR")</f>
        <v>IDR</v>
      </c>
      <c r="I3016" s="6">
        <f>IFERROR(__xludf.DUMMYFUNCTION("""COMPUTED_VALUE"""),12000.0)</f>
        <v>12000</v>
      </c>
      <c r="J3016" s="6">
        <f>IFERROR(__xludf.DUMMYFUNCTION("""COMPUTED_VALUE"""),120000.0)</f>
        <v>120000</v>
      </c>
      <c r="K3016" s="57">
        <f>IFERROR(__xludf.DUMMYFUNCTION("""COMPUTED_VALUE"""),45352.0)</f>
        <v>45352</v>
      </c>
      <c r="L3016" s="6" t="str">
        <f>IFERROR(__xludf.DUMMYFUNCTION("""COMPUTED_VALUE"""),"FIP Engineering")</f>
        <v>FIP Engineering</v>
      </c>
      <c r="M3016" s="6" t="str">
        <f>IFERROR(__xludf.DUMMYFUNCTION("""COMPUTED_VALUE"""),"Mochammad Fadhillah Hakim,")</f>
        <v>Mochammad Fadhillah Hakim,</v>
      </c>
      <c r="N3016" s="6" t="str">
        <f>IFERROR(__xludf.DUMMYFUNCTION("""COMPUTED_VALUE"""),"FIP Engineering")</f>
        <v>FIP Engineering</v>
      </c>
      <c r="O3016" s="6" t="str">
        <f>IFERROR(__xludf.DUMMYFUNCTION("""COMPUTED_VALUE"""),"FIP-DOM-000-11304-OS00001-INA-000000")</f>
        <v>FIP-DOM-000-11304-OS00001-INA-000000</v>
      </c>
      <c r="P3016" s="6" t="str">
        <f>IFERROR(__xludf.DUMMYFUNCTION("""COMPUTED_VALUE"""),"PO Closed")</f>
        <v>PO Closed</v>
      </c>
      <c r="Q3016" s="6" t="str">
        <f>IFERROR(__xludf.DUMMYFUNCTION("""COMPUTED_VALUE"""),"GL2403044")</f>
        <v>GL2403044</v>
      </c>
      <c r="R3016" s="57">
        <f>IFERROR(__xludf.DUMMYFUNCTION("""COMPUTED_VALUE"""),45350.0)</f>
        <v>45350</v>
      </c>
      <c r="S3016" s="57">
        <f>IFERROR(__xludf.DUMMYFUNCTION("""COMPUTED_VALUE"""),45352.0)</f>
        <v>45352</v>
      </c>
      <c r="T3016" s="57">
        <f>IFERROR(__xludf.DUMMYFUNCTION("""COMPUTED_VALUE"""),45415.0)</f>
        <v>45415</v>
      </c>
    </row>
    <row r="3017">
      <c r="A3017" s="6" t="str">
        <f>IFERROR(__xludf.DUMMYFUNCTION("""COMPUTED_VALUE"""),"121701239-11")</f>
        <v>121701239-11</v>
      </c>
      <c r="B3017" s="6" t="str">
        <f>IFERROR(__xludf.DUMMYFUNCTION("""COMPUTED_VALUE"""),"121701239 - APPROVED")</f>
        <v>121701239 - APPROVED</v>
      </c>
      <c r="C3017" s="6">
        <f>IFERROR(__xludf.DUMMYFUNCTION("""COMPUTED_VALUE"""),11.0)</f>
        <v>11</v>
      </c>
      <c r="D3017" s="6" t="str">
        <f>IFERROR(__xludf.DUMMYFUNCTION("""COMPUTED_VALUE"""),"O-14642-00")</f>
        <v>O-14642-00</v>
      </c>
      <c r="E3017" s="6" t="str">
        <f>IFERROR(__xludf.DUMMYFUNCTION("""COMPUTED_VALUE"""),"Silicone Gasket for Ferrule dia. 2,5""; ; ;")</f>
        <v>Silicone Gasket for Ferrule dia. 2,5"; ; ;</v>
      </c>
      <c r="F3017" s="6">
        <f>IFERROR(__xludf.DUMMYFUNCTION("""COMPUTED_VALUE"""),10.0)</f>
        <v>10</v>
      </c>
      <c r="G3017" s="6" t="str">
        <f>IFERROR(__xludf.DUMMYFUNCTION("""COMPUTED_VALUE"""),"Pieces")</f>
        <v>Pieces</v>
      </c>
      <c r="H3017" s="6" t="str">
        <f>IFERROR(__xludf.DUMMYFUNCTION("""COMPUTED_VALUE"""),"IDR")</f>
        <v>IDR</v>
      </c>
      <c r="I3017" s="6">
        <f>IFERROR(__xludf.DUMMYFUNCTION("""COMPUTED_VALUE"""),16000.0)</f>
        <v>16000</v>
      </c>
      <c r="J3017" s="6">
        <f>IFERROR(__xludf.DUMMYFUNCTION("""COMPUTED_VALUE"""),160000.0)</f>
        <v>160000</v>
      </c>
      <c r="K3017" s="57">
        <f>IFERROR(__xludf.DUMMYFUNCTION("""COMPUTED_VALUE"""),45352.0)</f>
        <v>45352</v>
      </c>
      <c r="L3017" s="6" t="str">
        <f>IFERROR(__xludf.DUMMYFUNCTION("""COMPUTED_VALUE"""),"FIP Engineering")</f>
        <v>FIP Engineering</v>
      </c>
      <c r="M3017" s="6" t="str">
        <f>IFERROR(__xludf.DUMMYFUNCTION("""COMPUTED_VALUE"""),"Mochammad Fadhillah Hakim,")</f>
        <v>Mochammad Fadhillah Hakim,</v>
      </c>
      <c r="N3017" s="6" t="str">
        <f>IFERROR(__xludf.DUMMYFUNCTION("""COMPUTED_VALUE"""),"FIP Engineering")</f>
        <v>FIP Engineering</v>
      </c>
      <c r="O3017" s="6" t="str">
        <f>IFERROR(__xludf.DUMMYFUNCTION("""COMPUTED_VALUE"""),"FIP-DOM-000-11304-OS00001-INA-000000")</f>
        <v>FIP-DOM-000-11304-OS00001-INA-000000</v>
      </c>
      <c r="P3017" s="6" t="str">
        <f>IFERROR(__xludf.DUMMYFUNCTION("""COMPUTED_VALUE"""),"PO Closed")</f>
        <v>PO Closed</v>
      </c>
      <c r="Q3017" s="6" t="str">
        <f>IFERROR(__xludf.DUMMYFUNCTION("""COMPUTED_VALUE"""),"GL2403044")</f>
        <v>GL2403044</v>
      </c>
      <c r="R3017" s="57">
        <f>IFERROR(__xludf.DUMMYFUNCTION("""COMPUTED_VALUE"""),45350.0)</f>
        <v>45350</v>
      </c>
      <c r="S3017" s="57">
        <f>IFERROR(__xludf.DUMMYFUNCTION("""COMPUTED_VALUE"""),45352.0)</f>
        <v>45352</v>
      </c>
      <c r="T3017" s="57">
        <f>IFERROR(__xludf.DUMMYFUNCTION("""COMPUTED_VALUE"""),45415.0)</f>
        <v>45415</v>
      </c>
    </row>
    <row r="3018">
      <c r="A3018" s="6" t="str">
        <f>IFERROR(__xludf.DUMMYFUNCTION("""COMPUTED_VALUE"""),"121701239-12")</f>
        <v>121701239-12</v>
      </c>
      <c r="B3018" s="6" t="str">
        <f>IFERROR(__xludf.DUMMYFUNCTION("""COMPUTED_VALUE"""),"121701239 - APPROVED")</f>
        <v>121701239 - APPROVED</v>
      </c>
      <c r="C3018" s="6">
        <f>IFERROR(__xludf.DUMMYFUNCTION("""COMPUTED_VALUE"""),12.0)</f>
        <v>12</v>
      </c>
      <c r="D3018" s="6" t="str">
        <f>IFERROR(__xludf.DUMMYFUNCTION("""COMPUTED_VALUE"""),"O-14644-00")</f>
        <v>O-14644-00</v>
      </c>
      <c r="E3018" s="6" t="str">
        <f>IFERROR(__xludf.DUMMYFUNCTION("""COMPUTED_VALUE"""),"Silicone Gasket for Ferrule dia. 4""; ; ;")</f>
        <v>Silicone Gasket for Ferrule dia. 4"; ; ;</v>
      </c>
      <c r="F3018" s="6">
        <f>IFERROR(__xludf.DUMMYFUNCTION("""COMPUTED_VALUE"""),10.0)</f>
        <v>10</v>
      </c>
      <c r="G3018" s="6" t="str">
        <f>IFERROR(__xludf.DUMMYFUNCTION("""COMPUTED_VALUE"""),"Pieces")</f>
        <v>Pieces</v>
      </c>
      <c r="H3018" s="6" t="str">
        <f>IFERROR(__xludf.DUMMYFUNCTION("""COMPUTED_VALUE"""),"IDR")</f>
        <v>IDR</v>
      </c>
      <c r="I3018" s="6">
        <f>IFERROR(__xludf.DUMMYFUNCTION("""COMPUTED_VALUE"""),28000.0)</f>
        <v>28000</v>
      </c>
      <c r="J3018" s="6">
        <f>IFERROR(__xludf.DUMMYFUNCTION("""COMPUTED_VALUE"""),280000.0)</f>
        <v>280000</v>
      </c>
      <c r="K3018" s="57">
        <f>IFERROR(__xludf.DUMMYFUNCTION("""COMPUTED_VALUE"""),45352.0)</f>
        <v>45352</v>
      </c>
      <c r="L3018" s="6" t="str">
        <f>IFERROR(__xludf.DUMMYFUNCTION("""COMPUTED_VALUE"""),"FIP Engineering")</f>
        <v>FIP Engineering</v>
      </c>
      <c r="M3018" s="6" t="str">
        <f>IFERROR(__xludf.DUMMYFUNCTION("""COMPUTED_VALUE"""),"Mochammad Fadhillah Hakim,")</f>
        <v>Mochammad Fadhillah Hakim,</v>
      </c>
      <c r="N3018" s="6" t="str">
        <f>IFERROR(__xludf.DUMMYFUNCTION("""COMPUTED_VALUE"""),"FIP Engineering")</f>
        <v>FIP Engineering</v>
      </c>
      <c r="O3018" s="6" t="str">
        <f>IFERROR(__xludf.DUMMYFUNCTION("""COMPUTED_VALUE"""),"FIP-DOM-000-11304-OS00001-INA-000000")</f>
        <v>FIP-DOM-000-11304-OS00001-INA-000000</v>
      </c>
      <c r="P3018" s="6" t="str">
        <f>IFERROR(__xludf.DUMMYFUNCTION("""COMPUTED_VALUE"""),"PO Closed")</f>
        <v>PO Closed</v>
      </c>
      <c r="Q3018" s="6" t="str">
        <f>IFERROR(__xludf.DUMMYFUNCTION("""COMPUTED_VALUE"""),"GL2403044")</f>
        <v>GL2403044</v>
      </c>
      <c r="R3018" s="57">
        <f>IFERROR(__xludf.DUMMYFUNCTION("""COMPUTED_VALUE"""),45350.0)</f>
        <v>45350</v>
      </c>
      <c r="S3018" s="57">
        <f>IFERROR(__xludf.DUMMYFUNCTION("""COMPUTED_VALUE"""),45352.0)</f>
        <v>45352</v>
      </c>
      <c r="T3018" s="57">
        <f>IFERROR(__xludf.DUMMYFUNCTION("""COMPUTED_VALUE"""),45415.0)</f>
        <v>45415</v>
      </c>
    </row>
    <row r="3019">
      <c r="A3019" s="6" t="str">
        <f>IFERROR(__xludf.DUMMYFUNCTION("""COMPUTED_VALUE"""),"121701239-13")</f>
        <v>121701239-13</v>
      </c>
      <c r="B3019" s="6" t="str">
        <f>IFERROR(__xludf.DUMMYFUNCTION("""COMPUTED_VALUE"""),"121701239 - APPROVED")</f>
        <v>121701239 - APPROVED</v>
      </c>
      <c r="C3019" s="6">
        <f>IFERROR(__xludf.DUMMYFUNCTION("""COMPUTED_VALUE"""),13.0)</f>
        <v>13</v>
      </c>
      <c r="D3019" s="6" t="str">
        <f>IFERROR(__xludf.DUMMYFUNCTION("""COMPUTED_VALUE"""),"O-14643-00")</f>
        <v>O-14643-00</v>
      </c>
      <c r="E3019" s="6" t="str">
        <f>IFERROR(__xludf.DUMMYFUNCTION("""COMPUTED_VALUE"""),"EPDM Gasket for Ferrule dia. 3""; ; ;")</f>
        <v>EPDM Gasket for Ferrule dia. 3"; ; ;</v>
      </c>
      <c r="F3019" s="6">
        <f>IFERROR(__xludf.DUMMYFUNCTION("""COMPUTED_VALUE"""),15.0)</f>
        <v>15</v>
      </c>
      <c r="G3019" s="6" t="str">
        <f>IFERROR(__xludf.DUMMYFUNCTION("""COMPUTED_VALUE"""),"Pieces")</f>
        <v>Pieces</v>
      </c>
      <c r="H3019" s="6" t="str">
        <f>IFERROR(__xludf.DUMMYFUNCTION("""COMPUTED_VALUE"""),"IDR")</f>
        <v>IDR</v>
      </c>
      <c r="I3019" s="6">
        <f>IFERROR(__xludf.DUMMYFUNCTION("""COMPUTED_VALUE"""),13600.0)</f>
        <v>13600</v>
      </c>
      <c r="J3019" s="6">
        <f>IFERROR(__xludf.DUMMYFUNCTION("""COMPUTED_VALUE"""),204000.0)</f>
        <v>204000</v>
      </c>
      <c r="K3019" s="57">
        <f>IFERROR(__xludf.DUMMYFUNCTION("""COMPUTED_VALUE"""),45352.0)</f>
        <v>45352</v>
      </c>
      <c r="L3019" s="6" t="str">
        <f>IFERROR(__xludf.DUMMYFUNCTION("""COMPUTED_VALUE"""),"FIP Engineering")</f>
        <v>FIP Engineering</v>
      </c>
      <c r="M3019" s="6" t="str">
        <f>IFERROR(__xludf.DUMMYFUNCTION("""COMPUTED_VALUE"""),"Mochammad Fadhillah Hakim,")</f>
        <v>Mochammad Fadhillah Hakim,</v>
      </c>
      <c r="N3019" s="6" t="str">
        <f>IFERROR(__xludf.DUMMYFUNCTION("""COMPUTED_VALUE"""),"FIP Engineering")</f>
        <v>FIP Engineering</v>
      </c>
      <c r="O3019" s="6" t="str">
        <f>IFERROR(__xludf.DUMMYFUNCTION("""COMPUTED_VALUE"""),"FIP-DOM-000-11304-OS00001-INA-000000")</f>
        <v>FIP-DOM-000-11304-OS00001-INA-000000</v>
      </c>
      <c r="P3019" s="6" t="str">
        <f>IFERROR(__xludf.DUMMYFUNCTION("""COMPUTED_VALUE"""),"PO Closed")</f>
        <v>PO Closed</v>
      </c>
      <c r="Q3019" s="6" t="str">
        <f>IFERROR(__xludf.DUMMYFUNCTION("""COMPUTED_VALUE"""),"GL2403044")</f>
        <v>GL2403044</v>
      </c>
      <c r="R3019" s="57">
        <f>IFERROR(__xludf.DUMMYFUNCTION("""COMPUTED_VALUE"""),45350.0)</f>
        <v>45350</v>
      </c>
      <c r="S3019" s="57">
        <f>IFERROR(__xludf.DUMMYFUNCTION("""COMPUTED_VALUE"""),45352.0)</f>
        <v>45352</v>
      </c>
      <c r="T3019" s="57">
        <f>IFERROR(__xludf.DUMMYFUNCTION("""COMPUTED_VALUE"""),45415.0)</f>
        <v>45415</v>
      </c>
    </row>
    <row r="3020">
      <c r="A3020" s="6" t="str">
        <f>IFERROR(__xludf.DUMMYFUNCTION("""COMPUTED_VALUE"""),"121701239-14")</f>
        <v>121701239-14</v>
      </c>
      <c r="B3020" s="6" t="str">
        <f>IFERROR(__xludf.DUMMYFUNCTION("""COMPUTED_VALUE"""),"121701239 - APPROVED")</f>
        <v>121701239 - APPROVED</v>
      </c>
      <c r="C3020" s="6">
        <f>IFERROR(__xludf.DUMMYFUNCTION("""COMPUTED_VALUE"""),14.0)</f>
        <v>14</v>
      </c>
      <c r="D3020" s="6" t="str">
        <f>IFERROR(__xludf.DUMMYFUNCTION("""COMPUTED_VALUE"""),"P-15817-00")</f>
        <v>P-15817-00</v>
      </c>
      <c r="E3020" s="6" t="str">
        <f>IFERROR(__xludf.DUMMYFUNCTION("""COMPUTED_VALUE"""),"Gasket Teflon Lembaran, Tebal 5mm, uk.1000x1000mm; ; ;")</f>
        <v>Gasket Teflon Lembaran, Tebal 5mm, uk.1000x1000mm; ; ;</v>
      </c>
      <c r="F3020" s="6">
        <f>IFERROR(__xludf.DUMMYFUNCTION("""COMPUTED_VALUE"""),1.0)</f>
        <v>1</v>
      </c>
      <c r="G3020" s="6" t="str">
        <f>IFERROR(__xludf.DUMMYFUNCTION("""COMPUTED_VALUE"""),"Pieces")</f>
        <v>Pieces</v>
      </c>
      <c r="H3020" s="6" t="str">
        <f>IFERROR(__xludf.DUMMYFUNCTION("""COMPUTED_VALUE"""),"IDR")</f>
        <v>IDR</v>
      </c>
      <c r="I3020" s="6">
        <f>IFERROR(__xludf.DUMMYFUNCTION("""COMPUTED_VALUE"""),2300000.0)</f>
        <v>2300000</v>
      </c>
      <c r="J3020" s="6">
        <f>IFERROR(__xludf.DUMMYFUNCTION("""COMPUTED_VALUE"""),2300000.0)</f>
        <v>2300000</v>
      </c>
      <c r="K3020" s="57">
        <f>IFERROR(__xludf.DUMMYFUNCTION("""COMPUTED_VALUE"""),45352.0)</f>
        <v>45352</v>
      </c>
      <c r="L3020" s="6" t="str">
        <f>IFERROR(__xludf.DUMMYFUNCTION("""COMPUTED_VALUE"""),"FIP Engineering")</f>
        <v>FIP Engineering</v>
      </c>
      <c r="M3020" s="6" t="str">
        <f>IFERROR(__xludf.DUMMYFUNCTION("""COMPUTED_VALUE"""),"Mochammad Fadhillah Hakim,")</f>
        <v>Mochammad Fadhillah Hakim,</v>
      </c>
      <c r="N3020" s="6" t="str">
        <f>IFERROR(__xludf.DUMMYFUNCTION("""COMPUTED_VALUE"""),"FIP Engineering")</f>
        <v>FIP Engineering</v>
      </c>
      <c r="O3020" s="6" t="str">
        <f>IFERROR(__xludf.DUMMYFUNCTION("""COMPUTED_VALUE"""),"FIP-DOM-000-11304-OS00001-INA-000000")</f>
        <v>FIP-DOM-000-11304-OS00001-INA-000000</v>
      </c>
      <c r="P3020" s="6" t="str">
        <f>IFERROR(__xludf.DUMMYFUNCTION("""COMPUTED_VALUE"""),"PO Closed")</f>
        <v>PO Closed</v>
      </c>
      <c r="Q3020" s="6" t="str">
        <f>IFERROR(__xludf.DUMMYFUNCTION("""COMPUTED_VALUE"""),"GL2405042")</f>
        <v>GL2405042</v>
      </c>
      <c r="R3020" s="57">
        <f>IFERROR(__xludf.DUMMYFUNCTION("""COMPUTED_VALUE"""),45350.0)</f>
        <v>45350</v>
      </c>
      <c r="S3020" s="57">
        <f>IFERROR(__xludf.DUMMYFUNCTION("""COMPUTED_VALUE"""),45352.0)</f>
        <v>45352</v>
      </c>
      <c r="T3020" s="57">
        <f>IFERROR(__xludf.DUMMYFUNCTION("""COMPUTED_VALUE"""),45450.0)</f>
        <v>45450</v>
      </c>
    </row>
    <row r="3021">
      <c r="A3021" s="6" t="str">
        <f>IFERROR(__xludf.DUMMYFUNCTION("""COMPUTED_VALUE"""),"121701239-15")</f>
        <v>121701239-15</v>
      </c>
      <c r="B3021" s="6" t="str">
        <f>IFERROR(__xludf.DUMMYFUNCTION("""COMPUTED_VALUE"""),"121701239 - APPROVED")</f>
        <v>121701239 - APPROVED</v>
      </c>
      <c r="C3021" s="6">
        <f>IFERROR(__xludf.DUMMYFUNCTION("""COMPUTED_VALUE"""),15.0)</f>
        <v>15</v>
      </c>
      <c r="D3021" s="6" t="str">
        <f>IFERROR(__xludf.DUMMYFUNCTION("""COMPUTED_VALUE"""),"P-11404-00")</f>
        <v>P-11404-00</v>
      </c>
      <c r="E3021" s="6" t="str">
        <f>IFERROR(__xludf.DUMMYFUNCTION("""COMPUTED_VALUE"""),"Seal Ferrule Teflon 1 1/2""")</f>
        <v>Seal Ferrule Teflon 1 1/2"</v>
      </c>
      <c r="F3021" s="6">
        <f>IFERROR(__xludf.DUMMYFUNCTION("""COMPUTED_VALUE"""),5.0)</f>
        <v>5</v>
      </c>
      <c r="G3021" s="6" t="str">
        <f>IFERROR(__xludf.DUMMYFUNCTION("""COMPUTED_VALUE"""),"Pieces")</f>
        <v>Pieces</v>
      </c>
      <c r="H3021" s="6" t="str">
        <f>IFERROR(__xludf.DUMMYFUNCTION("""COMPUTED_VALUE"""),"IDR")</f>
        <v>IDR</v>
      </c>
      <c r="I3021" s="6">
        <f>IFERROR(__xludf.DUMMYFUNCTION("""COMPUTED_VALUE"""),75000.0)</f>
        <v>75000</v>
      </c>
      <c r="J3021" s="6">
        <f>IFERROR(__xludf.DUMMYFUNCTION("""COMPUTED_VALUE"""),375000.0)</f>
        <v>375000</v>
      </c>
      <c r="K3021" s="57">
        <f>IFERROR(__xludf.DUMMYFUNCTION("""COMPUTED_VALUE"""),45352.0)</f>
        <v>45352</v>
      </c>
      <c r="L3021" s="6" t="str">
        <f>IFERROR(__xludf.DUMMYFUNCTION("""COMPUTED_VALUE"""),"FIP Engineering")</f>
        <v>FIP Engineering</v>
      </c>
      <c r="M3021" s="6" t="str">
        <f>IFERROR(__xludf.DUMMYFUNCTION("""COMPUTED_VALUE"""),"Mochammad Fadhillah Hakim,")</f>
        <v>Mochammad Fadhillah Hakim,</v>
      </c>
      <c r="N3021" s="6" t="str">
        <f>IFERROR(__xludf.DUMMYFUNCTION("""COMPUTED_VALUE"""),"FIP Engineering")</f>
        <v>FIP Engineering</v>
      </c>
      <c r="O3021" s="6" t="str">
        <f>IFERROR(__xludf.DUMMYFUNCTION("""COMPUTED_VALUE"""),"FIP-DOM-000-11304-OS00001-INA-000000")</f>
        <v>FIP-DOM-000-11304-OS00001-INA-000000</v>
      </c>
      <c r="P3021" s="6" t="str">
        <f>IFERROR(__xludf.DUMMYFUNCTION("""COMPUTED_VALUE"""),"PO Closed")</f>
        <v>PO Closed</v>
      </c>
      <c r="Q3021" s="6" t="str">
        <f>IFERROR(__xludf.DUMMYFUNCTION("""COMPUTED_VALUE"""),"GL2403044")</f>
        <v>GL2403044</v>
      </c>
      <c r="R3021" s="57">
        <f>IFERROR(__xludf.DUMMYFUNCTION("""COMPUTED_VALUE"""),45350.0)</f>
        <v>45350</v>
      </c>
      <c r="S3021" s="57">
        <f>IFERROR(__xludf.DUMMYFUNCTION("""COMPUTED_VALUE"""),45352.0)</f>
        <v>45352</v>
      </c>
      <c r="T3021" s="57">
        <f>IFERROR(__xludf.DUMMYFUNCTION("""COMPUTED_VALUE"""),45415.0)</f>
        <v>45415</v>
      </c>
    </row>
    <row r="3022">
      <c r="A3022" s="6" t="str">
        <f>IFERROR(__xludf.DUMMYFUNCTION("""COMPUTED_VALUE"""),"121701239-16")</f>
        <v>121701239-16</v>
      </c>
      <c r="B3022" s="6" t="str">
        <f>IFERROR(__xludf.DUMMYFUNCTION("""COMPUTED_VALUE"""),"121701239 - APPROVED")</f>
        <v>121701239 - APPROVED</v>
      </c>
      <c r="C3022" s="6">
        <f>IFERROR(__xludf.DUMMYFUNCTION("""COMPUTED_VALUE"""),16.0)</f>
        <v>16</v>
      </c>
      <c r="D3022" s="6" t="str">
        <f>IFERROR(__xludf.DUMMYFUNCTION("""COMPUTED_VALUE"""),"P-11405-00")</f>
        <v>P-11405-00</v>
      </c>
      <c r="E3022" s="6" t="str">
        <f>IFERROR(__xludf.DUMMYFUNCTION("""COMPUTED_VALUE"""),"Seal Ferrule Teflon 1""")</f>
        <v>Seal Ferrule Teflon 1"</v>
      </c>
      <c r="F3022" s="6">
        <f>IFERROR(__xludf.DUMMYFUNCTION("""COMPUTED_VALUE"""),5.0)</f>
        <v>5</v>
      </c>
      <c r="G3022" s="6" t="str">
        <f>IFERROR(__xludf.DUMMYFUNCTION("""COMPUTED_VALUE"""),"Pieces")</f>
        <v>Pieces</v>
      </c>
      <c r="H3022" s="6" t="str">
        <f>IFERROR(__xludf.DUMMYFUNCTION("""COMPUTED_VALUE"""),"IDR")</f>
        <v>IDR</v>
      </c>
      <c r="I3022" s="6">
        <f>IFERROR(__xludf.DUMMYFUNCTION("""COMPUTED_VALUE"""),68000.0)</f>
        <v>68000</v>
      </c>
      <c r="J3022" s="6">
        <f>IFERROR(__xludf.DUMMYFUNCTION("""COMPUTED_VALUE"""),340000.0)</f>
        <v>340000</v>
      </c>
      <c r="K3022" s="57">
        <f>IFERROR(__xludf.DUMMYFUNCTION("""COMPUTED_VALUE"""),45352.0)</f>
        <v>45352</v>
      </c>
      <c r="L3022" s="6" t="str">
        <f>IFERROR(__xludf.DUMMYFUNCTION("""COMPUTED_VALUE"""),"FIP Engineering")</f>
        <v>FIP Engineering</v>
      </c>
      <c r="M3022" s="6" t="str">
        <f>IFERROR(__xludf.DUMMYFUNCTION("""COMPUTED_VALUE"""),"Mochammad Fadhillah Hakim,")</f>
        <v>Mochammad Fadhillah Hakim,</v>
      </c>
      <c r="N3022" s="6" t="str">
        <f>IFERROR(__xludf.DUMMYFUNCTION("""COMPUTED_VALUE"""),"FIP Engineering")</f>
        <v>FIP Engineering</v>
      </c>
      <c r="O3022" s="6" t="str">
        <f>IFERROR(__xludf.DUMMYFUNCTION("""COMPUTED_VALUE"""),"FIP-DOM-000-11304-OS00001-INA-000000")</f>
        <v>FIP-DOM-000-11304-OS00001-INA-000000</v>
      </c>
      <c r="P3022" s="6" t="str">
        <f>IFERROR(__xludf.DUMMYFUNCTION("""COMPUTED_VALUE"""),"PO Closed")</f>
        <v>PO Closed</v>
      </c>
      <c r="Q3022" s="6" t="str">
        <f>IFERROR(__xludf.DUMMYFUNCTION("""COMPUTED_VALUE"""),"GL2403044")</f>
        <v>GL2403044</v>
      </c>
      <c r="R3022" s="57">
        <f>IFERROR(__xludf.DUMMYFUNCTION("""COMPUTED_VALUE"""),45350.0)</f>
        <v>45350</v>
      </c>
      <c r="S3022" s="57">
        <f>IFERROR(__xludf.DUMMYFUNCTION("""COMPUTED_VALUE"""),45352.0)</f>
        <v>45352</v>
      </c>
      <c r="T3022" s="57">
        <f>IFERROR(__xludf.DUMMYFUNCTION("""COMPUTED_VALUE"""),45415.0)</f>
        <v>45415</v>
      </c>
    </row>
    <row r="3023">
      <c r="A3023" s="6" t="str">
        <f>IFERROR(__xludf.DUMMYFUNCTION("""COMPUTED_VALUE"""),"121701240-1")</f>
        <v>121701240-1</v>
      </c>
      <c r="B3023" s="6" t="str">
        <f>IFERROR(__xludf.DUMMYFUNCTION("""COMPUTED_VALUE"""),"121701240 - APPROVED")</f>
        <v>121701240 - APPROVED</v>
      </c>
      <c r="C3023" s="6">
        <f>IFERROR(__xludf.DUMMYFUNCTION("""COMPUTED_VALUE"""),1.0)</f>
        <v>1</v>
      </c>
      <c r="D3023" s="6" t="str">
        <f>IFERROR(__xludf.DUMMYFUNCTION("""COMPUTED_VALUE"""),"P-15942-00")</f>
        <v>P-15942-00</v>
      </c>
      <c r="E3023" s="6" t="str">
        <f>IFERROR(__xludf.DUMMYFUNCTION("""COMPUTED_VALUE"""),"Blind Ferrule SUS304 1.0""; ; ;")</f>
        <v>Blind Ferrule SUS304 1.0"; ; ;</v>
      </c>
      <c r="F3023" s="6">
        <f>IFERROR(__xludf.DUMMYFUNCTION("""COMPUTED_VALUE"""),5.0)</f>
        <v>5</v>
      </c>
      <c r="G3023" s="6" t="str">
        <f>IFERROR(__xludf.DUMMYFUNCTION("""COMPUTED_VALUE"""),"Pieces")</f>
        <v>Pieces</v>
      </c>
      <c r="H3023" s="6" t="str">
        <f>IFERROR(__xludf.DUMMYFUNCTION("""COMPUTED_VALUE"""),"IDR")</f>
        <v>IDR</v>
      </c>
      <c r="I3023" s="6">
        <f>IFERROR(__xludf.DUMMYFUNCTION("""COMPUTED_VALUE"""),130000.0)</f>
        <v>130000</v>
      </c>
      <c r="J3023" s="6">
        <f>IFERROR(__xludf.DUMMYFUNCTION("""COMPUTED_VALUE"""),650000.0)</f>
        <v>650000</v>
      </c>
      <c r="K3023" s="57">
        <f>IFERROR(__xludf.DUMMYFUNCTION("""COMPUTED_VALUE"""),45352.0)</f>
        <v>45352</v>
      </c>
      <c r="L3023" s="6" t="str">
        <f>IFERROR(__xludf.DUMMYFUNCTION("""COMPUTED_VALUE"""),"FIP General")</f>
        <v>FIP General</v>
      </c>
      <c r="M3023" s="6" t="str">
        <f>IFERROR(__xludf.DUMMYFUNCTION("""COMPUTED_VALUE"""),"Mochammad Fadhillah Hakim,")</f>
        <v>Mochammad Fadhillah Hakim,</v>
      </c>
      <c r="N3023" s="6" t="str">
        <f>IFERROR(__xludf.DUMMYFUNCTION("""COMPUTED_VALUE"""),"FIP Engineering")</f>
        <v>FIP Engineering</v>
      </c>
      <c r="O3023" s="6" t="str">
        <f>IFERROR(__xludf.DUMMYFUNCTION("""COMPUTED_VALUE"""),"FIP-DOM-ENG-51404-0000000-INA-000000")</f>
        <v>FIP-DOM-ENG-51404-0000000-INA-000000</v>
      </c>
      <c r="P3023" s="6" t="str">
        <f>IFERROR(__xludf.DUMMYFUNCTION("""COMPUTED_VALUE"""),"PO Closed")</f>
        <v>PO Closed</v>
      </c>
      <c r="Q3023" s="6" t="str">
        <f>IFERROR(__xludf.DUMMYFUNCTION("""COMPUTED_VALUE"""),"GL2405042")</f>
        <v>GL2405042</v>
      </c>
      <c r="R3023" s="57">
        <f>IFERROR(__xludf.DUMMYFUNCTION("""COMPUTED_VALUE"""),45350.0)</f>
        <v>45350</v>
      </c>
      <c r="S3023" s="57">
        <f>IFERROR(__xludf.DUMMYFUNCTION("""COMPUTED_VALUE"""),45357.0)</f>
        <v>45357</v>
      </c>
      <c r="T3023" s="57">
        <f>IFERROR(__xludf.DUMMYFUNCTION("""COMPUTED_VALUE"""),45450.0)</f>
        <v>45450</v>
      </c>
    </row>
    <row r="3024">
      <c r="A3024" s="6" t="str">
        <f>IFERROR(__xludf.DUMMYFUNCTION("""COMPUTED_VALUE"""),"121701240-2")</f>
        <v>121701240-2</v>
      </c>
      <c r="B3024" s="6" t="str">
        <f>IFERROR(__xludf.DUMMYFUNCTION("""COMPUTED_VALUE"""),"121701240 - APPROVED")</f>
        <v>121701240 - APPROVED</v>
      </c>
      <c r="C3024" s="6">
        <f>IFERROR(__xludf.DUMMYFUNCTION("""COMPUTED_VALUE"""),2.0)</f>
        <v>2</v>
      </c>
      <c r="D3024" s="6" t="str">
        <f>IFERROR(__xludf.DUMMYFUNCTION("""COMPUTED_VALUE"""),"Q-10134-00")</f>
        <v>Q-10134-00</v>
      </c>
      <c r="E3024" s="6" t="str">
        <f>IFERROR(__xludf.DUMMYFUNCTION("""COMPUTED_VALUE"""),"TOTO - Jet Shower spray TX 403S")</f>
        <v>TOTO - Jet Shower spray TX 403S</v>
      </c>
      <c r="F3024" s="6">
        <f>IFERROR(__xludf.DUMMYFUNCTION("""COMPUTED_VALUE"""),3.0)</f>
        <v>3</v>
      </c>
      <c r="G3024" s="6" t="str">
        <f>IFERROR(__xludf.DUMMYFUNCTION("""COMPUTED_VALUE"""),"Pieces")</f>
        <v>Pieces</v>
      </c>
      <c r="H3024" s="6" t="str">
        <f>IFERROR(__xludf.DUMMYFUNCTION("""COMPUTED_VALUE"""),"IDR")</f>
        <v>IDR</v>
      </c>
      <c r="I3024" s="6">
        <f>IFERROR(__xludf.DUMMYFUNCTION("""COMPUTED_VALUE"""),469000.0)</f>
        <v>469000</v>
      </c>
      <c r="J3024" s="6">
        <f>IFERROR(__xludf.DUMMYFUNCTION("""COMPUTED_VALUE"""),1407000.0)</f>
        <v>1407000</v>
      </c>
      <c r="K3024" s="57">
        <f>IFERROR(__xludf.DUMMYFUNCTION("""COMPUTED_VALUE"""),45352.0)</f>
        <v>45352</v>
      </c>
      <c r="L3024" s="6" t="str">
        <f>IFERROR(__xludf.DUMMYFUNCTION("""COMPUTED_VALUE"""),"FIP Engineering")</f>
        <v>FIP Engineering</v>
      </c>
      <c r="M3024" s="6" t="str">
        <f>IFERROR(__xludf.DUMMYFUNCTION("""COMPUTED_VALUE"""),"Mochammad Fadhillah Hakim,")</f>
        <v>Mochammad Fadhillah Hakim,</v>
      </c>
      <c r="N3024" s="6" t="str">
        <f>IFERROR(__xludf.DUMMYFUNCTION("""COMPUTED_VALUE"""),"FIP Engineering")</f>
        <v>FIP Engineering</v>
      </c>
      <c r="O3024" s="6" t="str">
        <f>IFERROR(__xludf.DUMMYFUNCTION("""COMPUTED_VALUE"""),"FIP-DOM-000-11304-OS00001-INA-000000")</f>
        <v>FIP-DOM-000-11304-OS00001-INA-000000</v>
      </c>
      <c r="P3024" s="6" t="str">
        <f>IFERROR(__xludf.DUMMYFUNCTION("""COMPUTED_VALUE"""),"PO Closed")</f>
        <v>PO Closed</v>
      </c>
      <c r="Q3024" s="6" t="str">
        <f>IFERROR(__xludf.DUMMYFUNCTION("""COMPUTED_VALUE"""),"GL2404015")</f>
        <v>GL2404015</v>
      </c>
      <c r="R3024" s="57">
        <f>IFERROR(__xludf.DUMMYFUNCTION("""COMPUTED_VALUE"""),45350.0)</f>
        <v>45350</v>
      </c>
      <c r="S3024" s="57">
        <f>IFERROR(__xludf.DUMMYFUNCTION("""COMPUTED_VALUE"""),45357.0)</f>
        <v>45357</v>
      </c>
      <c r="T3024" s="57">
        <f>IFERROR(__xludf.DUMMYFUNCTION("""COMPUTED_VALUE"""),45412.0)</f>
        <v>45412</v>
      </c>
    </row>
    <row r="3025">
      <c r="A3025" s="6" t="str">
        <f>IFERROR(__xludf.DUMMYFUNCTION("""COMPUTED_VALUE"""),"121701240-3")</f>
        <v>121701240-3</v>
      </c>
      <c r="B3025" s="6" t="str">
        <f>IFERROR(__xludf.DUMMYFUNCTION("""COMPUTED_VALUE"""),"121701240 - APPROVED")</f>
        <v>121701240 - APPROVED</v>
      </c>
      <c r="C3025" s="6">
        <f>IFERROR(__xludf.DUMMYFUNCTION("""COMPUTED_VALUE"""),3.0)</f>
        <v>3</v>
      </c>
      <c r="D3025" s="6" t="str">
        <f>IFERROR(__xludf.DUMMYFUNCTION("""COMPUTED_VALUE"""),"Q-10805-00")</f>
        <v>Q-10805-00</v>
      </c>
      <c r="E3025" s="6" t="str">
        <f>IFERROR(__xludf.DUMMYFUNCTION("""COMPUTED_VALUE"""),"Multipox MX-98 White @ 20 KG; PROPAN; ; PAIL")</f>
        <v>Multipox MX-98 White @ 20 KG; PROPAN; ; PAIL</v>
      </c>
      <c r="F3025" s="6">
        <f>IFERROR(__xludf.DUMMYFUNCTION("""COMPUTED_VALUE"""),1.0)</f>
        <v>1</v>
      </c>
      <c r="G3025" s="6" t="str">
        <f>IFERROR(__xludf.DUMMYFUNCTION("""COMPUTED_VALUE"""),"Pail")</f>
        <v>Pail</v>
      </c>
      <c r="H3025" s="6" t="str">
        <f>IFERROR(__xludf.DUMMYFUNCTION("""COMPUTED_VALUE"""),"IDR")</f>
        <v>IDR</v>
      </c>
      <c r="I3025" s="6">
        <f>IFERROR(__xludf.DUMMYFUNCTION("""COMPUTED_VALUE"""),3870000.0)</f>
        <v>3870000</v>
      </c>
      <c r="J3025" s="6">
        <f>IFERROR(__xludf.DUMMYFUNCTION("""COMPUTED_VALUE"""),3870000.0)</f>
        <v>3870000</v>
      </c>
      <c r="K3025" s="57">
        <f>IFERROR(__xludf.DUMMYFUNCTION("""COMPUTED_VALUE"""),45352.0)</f>
        <v>45352</v>
      </c>
      <c r="L3025" s="6" t="str">
        <f>IFERROR(__xludf.DUMMYFUNCTION("""COMPUTED_VALUE"""),"FIP Engineering")</f>
        <v>FIP Engineering</v>
      </c>
      <c r="M3025" s="6" t="str">
        <f>IFERROR(__xludf.DUMMYFUNCTION("""COMPUTED_VALUE"""),"Mochammad Fadhillah Hakim,")</f>
        <v>Mochammad Fadhillah Hakim,</v>
      </c>
      <c r="N3025" s="6" t="str">
        <f>IFERROR(__xludf.DUMMYFUNCTION("""COMPUTED_VALUE"""),"FIP Engineering")</f>
        <v>FIP Engineering</v>
      </c>
      <c r="O3025" s="6" t="str">
        <f>IFERROR(__xludf.DUMMYFUNCTION("""COMPUTED_VALUE"""),"FIP-DOM-000-11304-OS00001-INA-000000")</f>
        <v>FIP-DOM-000-11304-OS00001-INA-000000</v>
      </c>
      <c r="P3025" s="6" t="str">
        <f>IFERROR(__xludf.DUMMYFUNCTION("""COMPUTED_VALUE"""),"PO Closed")</f>
        <v>PO Closed</v>
      </c>
      <c r="Q3025" s="6" t="str">
        <f>IFERROR(__xludf.DUMMYFUNCTION("""COMPUTED_VALUE"""),"GL2404016")</f>
        <v>GL2404016</v>
      </c>
      <c r="R3025" s="57">
        <f>IFERROR(__xludf.DUMMYFUNCTION("""COMPUTED_VALUE"""),45350.0)</f>
        <v>45350</v>
      </c>
      <c r="S3025" s="57">
        <f>IFERROR(__xludf.DUMMYFUNCTION("""COMPUTED_VALUE"""),45357.0)</f>
        <v>45357</v>
      </c>
      <c r="T3025" s="57">
        <f>IFERROR(__xludf.DUMMYFUNCTION("""COMPUTED_VALUE"""),45412.0)</f>
        <v>45412</v>
      </c>
    </row>
    <row r="3026">
      <c r="A3026" s="6" t="str">
        <f>IFERROR(__xludf.DUMMYFUNCTION("""COMPUTED_VALUE"""),"121701240-4")</f>
        <v>121701240-4</v>
      </c>
      <c r="B3026" s="6" t="str">
        <f>IFERROR(__xludf.DUMMYFUNCTION("""COMPUTED_VALUE"""),"121701240 - APPROVED")</f>
        <v>121701240 - APPROVED</v>
      </c>
      <c r="C3026" s="6">
        <f>IFERROR(__xludf.DUMMYFUNCTION("""COMPUTED_VALUE"""),4.0)</f>
        <v>4</v>
      </c>
      <c r="D3026" s="6" t="str">
        <f>IFERROR(__xludf.DUMMYFUNCTION("""COMPUTED_VALUE"""),"P-11967-00")</f>
        <v>P-11967-00</v>
      </c>
      <c r="E3026" s="6" t="str">
        <f>IFERROR(__xludf.DUMMYFUNCTION("""COMPUTED_VALUE"""),"Belt dressing ; Brand : GLOBAL ; P/N : GL-1033 ; Pack Size : pcs")</f>
        <v>Belt dressing ; Brand : GLOBAL ; P/N : GL-1033 ; Pack Size : pcs</v>
      </c>
      <c r="F3026" s="6">
        <f>IFERROR(__xludf.DUMMYFUNCTION("""COMPUTED_VALUE"""),2.0)</f>
        <v>2</v>
      </c>
      <c r="G3026" s="6" t="str">
        <f>IFERROR(__xludf.DUMMYFUNCTION("""COMPUTED_VALUE"""),"Pieces")</f>
        <v>Pieces</v>
      </c>
      <c r="H3026" s="6" t="str">
        <f>IFERROR(__xludf.DUMMYFUNCTION("""COMPUTED_VALUE"""),"IDR")</f>
        <v>IDR</v>
      </c>
      <c r="I3026" s="6">
        <f>IFERROR(__xludf.DUMMYFUNCTION("""COMPUTED_VALUE"""),110000.0)</f>
        <v>110000</v>
      </c>
      <c r="J3026" s="6">
        <f>IFERROR(__xludf.DUMMYFUNCTION("""COMPUTED_VALUE"""),220000.0)</f>
        <v>220000</v>
      </c>
      <c r="K3026" s="57">
        <f>IFERROR(__xludf.DUMMYFUNCTION("""COMPUTED_VALUE"""),45352.0)</f>
        <v>45352</v>
      </c>
      <c r="L3026" s="6" t="str">
        <f>IFERROR(__xludf.DUMMYFUNCTION("""COMPUTED_VALUE"""),"FIP Engineering")</f>
        <v>FIP Engineering</v>
      </c>
      <c r="M3026" s="6" t="str">
        <f>IFERROR(__xludf.DUMMYFUNCTION("""COMPUTED_VALUE"""),"Mochammad Fadhillah Hakim,")</f>
        <v>Mochammad Fadhillah Hakim,</v>
      </c>
      <c r="N3026" s="6" t="str">
        <f>IFERROR(__xludf.DUMMYFUNCTION("""COMPUTED_VALUE"""),"FIP Engineering")</f>
        <v>FIP Engineering</v>
      </c>
      <c r="O3026" s="6" t="str">
        <f>IFERROR(__xludf.DUMMYFUNCTION("""COMPUTED_VALUE"""),"FIP-DOM-000-11304-OS00001-INA-000000")</f>
        <v>FIP-DOM-000-11304-OS00001-INA-000000</v>
      </c>
      <c r="P3026" s="6" t="str">
        <f>IFERROR(__xludf.DUMMYFUNCTION("""COMPUTED_VALUE"""),"PO Closed")</f>
        <v>PO Closed</v>
      </c>
      <c r="Q3026" s="6" t="str">
        <f>IFERROR(__xludf.DUMMYFUNCTION("""COMPUTED_VALUE"""),"GL2405042")</f>
        <v>GL2405042</v>
      </c>
      <c r="R3026" s="57">
        <f>IFERROR(__xludf.DUMMYFUNCTION("""COMPUTED_VALUE"""),45350.0)</f>
        <v>45350</v>
      </c>
      <c r="S3026" s="57">
        <f>IFERROR(__xludf.DUMMYFUNCTION("""COMPUTED_VALUE"""),45357.0)</f>
        <v>45357</v>
      </c>
      <c r="T3026" s="57">
        <f>IFERROR(__xludf.DUMMYFUNCTION("""COMPUTED_VALUE"""),45450.0)</f>
        <v>45450</v>
      </c>
    </row>
    <row r="3027">
      <c r="A3027" s="6" t="str">
        <f>IFERROR(__xludf.DUMMYFUNCTION("""COMPUTED_VALUE"""),"121701240-5")</f>
        <v>121701240-5</v>
      </c>
      <c r="B3027" s="6" t="str">
        <f>IFERROR(__xludf.DUMMYFUNCTION("""COMPUTED_VALUE"""),"121701240 - APPROVED")</f>
        <v>121701240 - APPROVED</v>
      </c>
      <c r="C3027" s="6">
        <f>IFERROR(__xludf.DUMMYFUNCTION("""COMPUTED_VALUE"""),5.0)</f>
        <v>5</v>
      </c>
      <c r="D3027" s="6" t="str">
        <f>IFERROR(__xludf.DUMMYFUNCTION("""COMPUTED_VALUE"""),"Q-10967-00")</f>
        <v>Q-10967-00</v>
      </c>
      <c r="E3027" s="6" t="str">
        <f>IFERROR(__xludf.DUMMYFUNCTION("""COMPUTED_VALUE"""),"Nat Keramik AM 53 Cream Lotus; ; ;")</f>
        <v>Nat Keramik AM 53 Cream Lotus; ; ;</v>
      </c>
      <c r="F3027" s="6">
        <f>IFERROR(__xludf.DUMMYFUNCTION("""COMPUTED_VALUE"""),5.0)</f>
        <v>5</v>
      </c>
      <c r="G3027" s="6" t="str">
        <f>IFERROR(__xludf.DUMMYFUNCTION("""COMPUTED_VALUE"""),"Pieces")</f>
        <v>Pieces</v>
      </c>
      <c r="H3027" s="6" t="str">
        <f>IFERROR(__xludf.DUMMYFUNCTION("""COMPUTED_VALUE"""),"IDR")</f>
        <v>IDR</v>
      </c>
      <c r="I3027" s="6">
        <f>IFERROR(__xludf.DUMMYFUNCTION("""COMPUTED_VALUE"""),26000.0)</f>
        <v>26000</v>
      </c>
      <c r="J3027" s="6">
        <f>IFERROR(__xludf.DUMMYFUNCTION("""COMPUTED_VALUE"""),130000.0)</f>
        <v>130000</v>
      </c>
      <c r="K3027" s="57">
        <f>IFERROR(__xludf.DUMMYFUNCTION("""COMPUTED_VALUE"""),45352.0)</f>
        <v>45352</v>
      </c>
      <c r="L3027" s="6" t="str">
        <f>IFERROR(__xludf.DUMMYFUNCTION("""COMPUTED_VALUE"""),"FIP General")</f>
        <v>FIP General</v>
      </c>
      <c r="M3027" s="6" t="str">
        <f>IFERROR(__xludf.DUMMYFUNCTION("""COMPUTED_VALUE"""),"Mochammad Fadhillah Hakim,")</f>
        <v>Mochammad Fadhillah Hakim,</v>
      </c>
      <c r="N3027" s="6" t="str">
        <f>IFERROR(__xludf.DUMMYFUNCTION("""COMPUTED_VALUE"""),"FIP Engineering")</f>
        <v>FIP Engineering</v>
      </c>
      <c r="O3027" s="6" t="str">
        <f>IFERROR(__xludf.DUMMYFUNCTION("""COMPUTED_VALUE"""),"FIP-DOM-ENG-51502-0000000-INA-000000")</f>
        <v>FIP-DOM-ENG-51502-0000000-INA-000000</v>
      </c>
      <c r="P3027" s="6" t="str">
        <f>IFERROR(__xludf.DUMMYFUNCTION("""COMPUTED_VALUE"""),"PO Closed")</f>
        <v>PO Closed</v>
      </c>
      <c r="Q3027" s="6" t="str">
        <f>IFERROR(__xludf.DUMMYFUNCTION("""COMPUTED_VALUE"""),"GL2404327")</f>
        <v>GL2404327</v>
      </c>
      <c r="R3027" s="57">
        <f>IFERROR(__xludf.DUMMYFUNCTION("""COMPUTED_VALUE"""),45350.0)</f>
        <v>45350</v>
      </c>
      <c r="S3027" s="57">
        <f>IFERROR(__xludf.DUMMYFUNCTION("""COMPUTED_VALUE"""),45357.0)</f>
        <v>45357</v>
      </c>
      <c r="T3027" s="57">
        <f>IFERROR(__xludf.DUMMYFUNCTION("""COMPUTED_VALUE"""),45412.0)</f>
        <v>45412</v>
      </c>
    </row>
    <row r="3028">
      <c r="A3028" s="6" t="str">
        <f>IFERROR(__xludf.DUMMYFUNCTION("""COMPUTED_VALUE"""),"121701240-6")</f>
        <v>121701240-6</v>
      </c>
      <c r="B3028" s="6" t="str">
        <f>IFERROR(__xludf.DUMMYFUNCTION("""COMPUTED_VALUE"""),"121701240 - APPROVED")</f>
        <v>121701240 - APPROVED</v>
      </c>
      <c r="C3028" s="6">
        <f>IFERROR(__xludf.DUMMYFUNCTION("""COMPUTED_VALUE"""),6.0)</f>
        <v>6</v>
      </c>
      <c r="D3028" s="6" t="str">
        <f>IFERROR(__xludf.DUMMYFUNCTION("""COMPUTED_VALUE"""),"Q-10517-00")</f>
        <v>Q-10517-00</v>
      </c>
      <c r="E3028" s="6" t="str">
        <f>IFERROR(__xludf.DUMMYFUNCTION("""COMPUTED_VALUE"""),"Scraper / Kape Besi; ; ;")</f>
        <v>Scraper / Kape Besi; ; ;</v>
      </c>
      <c r="F3028" s="6">
        <f>IFERROR(__xludf.DUMMYFUNCTION("""COMPUTED_VALUE"""),2.0)</f>
        <v>2</v>
      </c>
      <c r="G3028" s="6" t="str">
        <f>IFERROR(__xludf.DUMMYFUNCTION("""COMPUTED_VALUE"""),"Pieces")</f>
        <v>Pieces</v>
      </c>
      <c r="H3028" s="6" t="str">
        <f>IFERROR(__xludf.DUMMYFUNCTION("""COMPUTED_VALUE"""),"IDR")</f>
        <v>IDR</v>
      </c>
      <c r="I3028" s="6">
        <f>IFERROR(__xludf.DUMMYFUNCTION("""COMPUTED_VALUE"""),22500.0)</f>
        <v>22500</v>
      </c>
      <c r="J3028" s="6">
        <f>IFERROR(__xludf.DUMMYFUNCTION("""COMPUTED_VALUE"""),45000.0)</f>
        <v>45000</v>
      </c>
      <c r="K3028" s="57">
        <f>IFERROR(__xludf.DUMMYFUNCTION("""COMPUTED_VALUE"""),45352.0)</f>
        <v>45352</v>
      </c>
      <c r="L3028" s="6" t="str">
        <f>IFERROR(__xludf.DUMMYFUNCTION("""COMPUTED_VALUE"""),"FIP General")</f>
        <v>FIP General</v>
      </c>
      <c r="M3028" s="6" t="str">
        <f>IFERROR(__xludf.DUMMYFUNCTION("""COMPUTED_VALUE"""),"Mochammad Fadhillah Hakim,")</f>
        <v>Mochammad Fadhillah Hakim,</v>
      </c>
      <c r="N3028" s="6" t="str">
        <f>IFERROR(__xludf.DUMMYFUNCTION("""COMPUTED_VALUE"""),"FIP Engineering")</f>
        <v>FIP Engineering</v>
      </c>
      <c r="O3028" s="6" t="str">
        <f>IFERROR(__xludf.DUMMYFUNCTION("""COMPUTED_VALUE"""),"FIP-DOM-ENG-51502-0000000-INA-000000")</f>
        <v>FIP-DOM-ENG-51502-0000000-INA-000000</v>
      </c>
      <c r="P3028" s="6" t="str">
        <f>IFERROR(__xludf.DUMMYFUNCTION("""COMPUTED_VALUE"""),"PO Closed")</f>
        <v>PO Closed</v>
      </c>
      <c r="Q3028" s="6" t="str">
        <f>IFERROR(__xludf.DUMMYFUNCTION("""COMPUTED_VALUE"""),"GL2404327")</f>
        <v>GL2404327</v>
      </c>
      <c r="R3028" s="57">
        <f>IFERROR(__xludf.DUMMYFUNCTION("""COMPUTED_VALUE"""),45350.0)</f>
        <v>45350</v>
      </c>
      <c r="S3028" s="57">
        <f>IFERROR(__xludf.DUMMYFUNCTION("""COMPUTED_VALUE"""),45357.0)</f>
        <v>45357</v>
      </c>
      <c r="T3028" s="57">
        <f>IFERROR(__xludf.DUMMYFUNCTION("""COMPUTED_VALUE"""),45412.0)</f>
        <v>45412</v>
      </c>
    </row>
    <row r="3029">
      <c r="A3029" s="6" t="str">
        <f>IFERROR(__xludf.DUMMYFUNCTION("""COMPUTED_VALUE"""),"121701240-7")</f>
        <v>121701240-7</v>
      </c>
      <c r="B3029" s="6" t="str">
        <f>IFERROR(__xludf.DUMMYFUNCTION("""COMPUTED_VALUE"""),"121701240 - APPROVED")</f>
        <v>121701240 - APPROVED</v>
      </c>
      <c r="C3029" s="6">
        <f>IFERROR(__xludf.DUMMYFUNCTION("""COMPUTED_VALUE"""),7.0)</f>
        <v>7</v>
      </c>
      <c r="D3029" s="6" t="str">
        <f>IFERROR(__xludf.DUMMYFUNCTION("""COMPUTED_VALUE"""),"Q-10154-00")</f>
        <v>Q-10154-00</v>
      </c>
      <c r="E3029" s="6" t="str">
        <f>IFERROR(__xludf.DUMMYFUNCTION("""COMPUTED_VALUE"""),"Roller cat 230mm")</f>
        <v>Roller cat 230mm</v>
      </c>
      <c r="F3029" s="6">
        <f>IFERROR(__xludf.DUMMYFUNCTION("""COMPUTED_VALUE"""),2.0)</f>
        <v>2</v>
      </c>
      <c r="G3029" s="6" t="str">
        <f>IFERROR(__xludf.DUMMYFUNCTION("""COMPUTED_VALUE"""),"Pieces")</f>
        <v>Pieces</v>
      </c>
      <c r="H3029" s="6" t="str">
        <f>IFERROR(__xludf.DUMMYFUNCTION("""COMPUTED_VALUE"""),"IDR")</f>
        <v>IDR</v>
      </c>
      <c r="I3029" s="6">
        <f>IFERROR(__xludf.DUMMYFUNCTION("""COMPUTED_VALUE"""),55000.0)</f>
        <v>55000</v>
      </c>
      <c r="J3029" s="6">
        <f>IFERROR(__xludf.DUMMYFUNCTION("""COMPUTED_VALUE"""),110000.0)</f>
        <v>110000</v>
      </c>
      <c r="K3029" s="57">
        <f>IFERROR(__xludf.DUMMYFUNCTION("""COMPUTED_VALUE"""),45352.0)</f>
        <v>45352</v>
      </c>
      <c r="L3029" s="6" t="str">
        <f>IFERROR(__xludf.DUMMYFUNCTION("""COMPUTED_VALUE"""),"FIP Engineering")</f>
        <v>FIP Engineering</v>
      </c>
      <c r="M3029" s="6" t="str">
        <f>IFERROR(__xludf.DUMMYFUNCTION("""COMPUTED_VALUE"""),"Mochammad Fadhillah Hakim,")</f>
        <v>Mochammad Fadhillah Hakim,</v>
      </c>
      <c r="N3029" s="6" t="str">
        <f>IFERROR(__xludf.DUMMYFUNCTION("""COMPUTED_VALUE"""),"FIP Engineering")</f>
        <v>FIP Engineering</v>
      </c>
      <c r="O3029" s="6" t="str">
        <f>IFERROR(__xludf.DUMMYFUNCTION("""COMPUTED_VALUE"""),"FIP-DOM-000-11304-OS00001-INA-000000")</f>
        <v>FIP-DOM-000-11304-OS00001-INA-000000</v>
      </c>
      <c r="P3029" s="6" t="str">
        <f>IFERROR(__xludf.DUMMYFUNCTION("""COMPUTED_VALUE"""),"PO Closed")</f>
        <v>PO Closed</v>
      </c>
      <c r="Q3029" s="6" t="str">
        <f>IFERROR(__xludf.DUMMYFUNCTION("""COMPUTED_VALUE"""),"GL2404327")</f>
        <v>GL2404327</v>
      </c>
      <c r="R3029" s="57">
        <f>IFERROR(__xludf.DUMMYFUNCTION("""COMPUTED_VALUE"""),45350.0)</f>
        <v>45350</v>
      </c>
      <c r="S3029" s="57">
        <f>IFERROR(__xludf.DUMMYFUNCTION("""COMPUTED_VALUE"""),45357.0)</f>
        <v>45357</v>
      </c>
      <c r="T3029" s="57">
        <f>IFERROR(__xludf.DUMMYFUNCTION("""COMPUTED_VALUE"""),45412.0)</f>
        <v>45412</v>
      </c>
    </row>
    <row r="3030">
      <c r="A3030" s="6" t="str">
        <f>IFERROR(__xludf.DUMMYFUNCTION("""COMPUTED_VALUE"""),"121701240-8")</f>
        <v>121701240-8</v>
      </c>
      <c r="B3030" s="6" t="str">
        <f>IFERROR(__xludf.DUMMYFUNCTION("""COMPUTED_VALUE"""),"121701240 - APPROVED")</f>
        <v>121701240 - APPROVED</v>
      </c>
      <c r="C3030" s="6">
        <f>IFERROR(__xludf.DUMMYFUNCTION("""COMPUTED_VALUE"""),8.0)</f>
        <v>8</v>
      </c>
      <c r="D3030" s="6" t="str">
        <f>IFERROR(__xludf.DUMMYFUNCTION("""COMPUTED_VALUE"""),"Q-10153-00")</f>
        <v>Q-10153-00</v>
      </c>
      <c r="E3030" s="6" t="str">
        <f>IFERROR(__xludf.DUMMYFUNCTION("""COMPUTED_VALUE"""),"Roller cat 110mm")</f>
        <v>Roller cat 110mm</v>
      </c>
      <c r="F3030" s="6">
        <f>IFERROR(__xludf.DUMMYFUNCTION("""COMPUTED_VALUE"""),2.0)</f>
        <v>2</v>
      </c>
      <c r="G3030" s="6" t="str">
        <f>IFERROR(__xludf.DUMMYFUNCTION("""COMPUTED_VALUE"""),"Pieces")</f>
        <v>Pieces</v>
      </c>
      <c r="H3030" s="6" t="str">
        <f>IFERROR(__xludf.DUMMYFUNCTION("""COMPUTED_VALUE"""),"IDR")</f>
        <v>IDR</v>
      </c>
      <c r="I3030" s="6">
        <f>IFERROR(__xludf.DUMMYFUNCTION("""COMPUTED_VALUE"""),12000.0)</f>
        <v>12000</v>
      </c>
      <c r="J3030" s="6">
        <f>IFERROR(__xludf.DUMMYFUNCTION("""COMPUTED_VALUE"""),24000.0)</f>
        <v>24000</v>
      </c>
      <c r="K3030" s="57">
        <f>IFERROR(__xludf.DUMMYFUNCTION("""COMPUTED_VALUE"""),45352.0)</f>
        <v>45352</v>
      </c>
      <c r="L3030" s="6" t="str">
        <f>IFERROR(__xludf.DUMMYFUNCTION("""COMPUTED_VALUE"""),"FIP Engineering")</f>
        <v>FIP Engineering</v>
      </c>
      <c r="M3030" s="6" t="str">
        <f>IFERROR(__xludf.DUMMYFUNCTION("""COMPUTED_VALUE"""),"Mochammad Fadhillah Hakim,")</f>
        <v>Mochammad Fadhillah Hakim,</v>
      </c>
      <c r="N3030" s="6" t="str">
        <f>IFERROR(__xludf.DUMMYFUNCTION("""COMPUTED_VALUE"""),"FIP Engineering")</f>
        <v>FIP Engineering</v>
      </c>
      <c r="O3030" s="6" t="str">
        <f>IFERROR(__xludf.DUMMYFUNCTION("""COMPUTED_VALUE"""),"FIP-DOM-000-11304-OS00001-INA-000000")</f>
        <v>FIP-DOM-000-11304-OS00001-INA-000000</v>
      </c>
      <c r="P3030" s="6" t="str">
        <f>IFERROR(__xludf.DUMMYFUNCTION("""COMPUTED_VALUE"""),"PO Closed")</f>
        <v>PO Closed</v>
      </c>
      <c r="Q3030" s="6" t="str">
        <f>IFERROR(__xludf.DUMMYFUNCTION("""COMPUTED_VALUE"""),"GL2404327")</f>
        <v>GL2404327</v>
      </c>
      <c r="R3030" s="57">
        <f>IFERROR(__xludf.DUMMYFUNCTION("""COMPUTED_VALUE"""),45350.0)</f>
        <v>45350</v>
      </c>
      <c r="S3030" s="57">
        <f>IFERROR(__xludf.DUMMYFUNCTION("""COMPUTED_VALUE"""),45357.0)</f>
        <v>45357</v>
      </c>
      <c r="T3030" s="57">
        <f>IFERROR(__xludf.DUMMYFUNCTION("""COMPUTED_VALUE"""),45412.0)</f>
        <v>45412</v>
      </c>
    </row>
    <row r="3031">
      <c r="A3031" s="6" t="str">
        <f>IFERROR(__xludf.DUMMYFUNCTION("""COMPUTED_VALUE"""),"121701240-9")</f>
        <v>121701240-9</v>
      </c>
      <c r="B3031" s="6" t="str">
        <f>IFERROR(__xludf.DUMMYFUNCTION("""COMPUTED_VALUE"""),"121701240 - APPROVED")</f>
        <v>121701240 - APPROVED</v>
      </c>
      <c r="C3031" s="6">
        <f>IFERROR(__xludf.DUMMYFUNCTION("""COMPUTED_VALUE"""),9.0)</f>
        <v>9</v>
      </c>
      <c r="D3031" s="6" t="str">
        <f>IFERROR(__xludf.DUMMYFUNCTION("""COMPUTED_VALUE"""),"P-12433-00")</f>
        <v>P-12433-00</v>
      </c>
      <c r="E3031" s="6" t="str">
        <f>IFERROR(__xludf.DUMMYFUNCTION("""COMPUTED_VALUE"""),"Isolasi AC- Sansui")</f>
        <v>Isolasi AC- Sansui</v>
      </c>
      <c r="F3031" s="6">
        <f>IFERROR(__xludf.DUMMYFUNCTION("""COMPUTED_VALUE"""),6.0)</f>
        <v>6</v>
      </c>
      <c r="G3031" s="6" t="str">
        <f>IFERROR(__xludf.DUMMYFUNCTION("""COMPUTED_VALUE"""),"Pieces")</f>
        <v>Pieces</v>
      </c>
      <c r="H3031" s="6" t="str">
        <f>IFERROR(__xludf.DUMMYFUNCTION("""COMPUTED_VALUE"""),"IDR")</f>
        <v>IDR</v>
      </c>
      <c r="I3031" s="6">
        <f>IFERROR(__xludf.DUMMYFUNCTION("""COMPUTED_VALUE"""),10000.0)</f>
        <v>10000</v>
      </c>
      <c r="J3031" s="6">
        <f>IFERROR(__xludf.DUMMYFUNCTION("""COMPUTED_VALUE"""),60000.0)</f>
        <v>60000</v>
      </c>
      <c r="K3031" s="57">
        <f>IFERROR(__xludf.DUMMYFUNCTION("""COMPUTED_VALUE"""),45352.0)</f>
        <v>45352</v>
      </c>
      <c r="L3031" s="6" t="str">
        <f>IFERROR(__xludf.DUMMYFUNCTION("""COMPUTED_VALUE"""),"FIP Engineering")</f>
        <v>FIP Engineering</v>
      </c>
      <c r="M3031" s="6" t="str">
        <f>IFERROR(__xludf.DUMMYFUNCTION("""COMPUTED_VALUE"""),"Mochammad Fadhillah Hakim,")</f>
        <v>Mochammad Fadhillah Hakim,</v>
      </c>
      <c r="N3031" s="6" t="str">
        <f>IFERROR(__xludf.DUMMYFUNCTION("""COMPUTED_VALUE"""),"FIP Engineering")</f>
        <v>FIP Engineering</v>
      </c>
      <c r="O3031" s="6" t="str">
        <f>IFERROR(__xludf.DUMMYFUNCTION("""COMPUTED_VALUE"""),"FIP-DOM-000-11304-OS00001-INA-000000")</f>
        <v>FIP-DOM-000-11304-OS00001-INA-000000</v>
      </c>
      <c r="P3031" s="6" t="str">
        <f>IFERROR(__xludf.DUMMYFUNCTION("""COMPUTED_VALUE"""),"PO Closed")</f>
        <v>PO Closed</v>
      </c>
      <c r="Q3031" s="6" t="str">
        <f>IFERROR(__xludf.DUMMYFUNCTION("""COMPUTED_VALUE"""),"GL2405361")</f>
        <v>GL2405361</v>
      </c>
      <c r="R3031" s="57">
        <f>IFERROR(__xludf.DUMMYFUNCTION("""COMPUTED_VALUE"""),45350.0)</f>
        <v>45350</v>
      </c>
      <c r="S3031" s="57">
        <f>IFERROR(__xludf.DUMMYFUNCTION("""COMPUTED_VALUE"""),45357.0)</f>
        <v>45357</v>
      </c>
      <c r="T3031" s="57">
        <f>IFERROR(__xludf.DUMMYFUNCTION("""COMPUTED_VALUE"""),45463.0)</f>
        <v>45463</v>
      </c>
    </row>
    <row r="3032">
      <c r="A3032" s="6" t="str">
        <f>IFERROR(__xludf.DUMMYFUNCTION("""COMPUTED_VALUE"""),"121701240-10")</f>
        <v>121701240-10</v>
      </c>
      <c r="B3032" s="6" t="str">
        <f>IFERROR(__xludf.DUMMYFUNCTION("""COMPUTED_VALUE"""),"121701240 - APPROVED")</f>
        <v>121701240 - APPROVED</v>
      </c>
      <c r="C3032" s="6">
        <f>IFERROR(__xludf.DUMMYFUNCTION("""COMPUTED_VALUE"""),10.0)</f>
        <v>10</v>
      </c>
      <c r="D3032" s="6" t="str">
        <f>IFERROR(__xludf.DUMMYFUNCTION("""COMPUTED_VALUE"""),"O-50863-00")</f>
        <v>O-50863-00</v>
      </c>
      <c r="E3032" s="6" t="str">
        <f>IFERROR(__xludf.DUMMYFUNCTION("""COMPUTED_VALUE"""),"Relay/MY4N/220-240 VAC Omron; ; ;")</f>
        <v>Relay/MY4N/220-240 VAC Omron; ; ;</v>
      </c>
      <c r="F3032" s="6">
        <f>IFERROR(__xludf.DUMMYFUNCTION("""COMPUTED_VALUE"""),5.0)</f>
        <v>5</v>
      </c>
      <c r="G3032" s="6" t="str">
        <f>IFERROR(__xludf.DUMMYFUNCTION("""COMPUTED_VALUE"""),"Pieces")</f>
        <v>Pieces</v>
      </c>
      <c r="H3032" s="6" t="str">
        <f>IFERROR(__xludf.DUMMYFUNCTION("""COMPUTED_VALUE"""),"IDR")</f>
        <v>IDR</v>
      </c>
      <c r="I3032" s="6">
        <f>IFERROR(__xludf.DUMMYFUNCTION("""COMPUTED_VALUE"""),150000.0)</f>
        <v>150000</v>
      </c>
      <c r="J3032" s="6">
        <f>IFERROR(__xludf.DUMMYFUNCTION("""COMPUTED_VALUE"""),750000.0)</f>
        <v>750000</v>
      </c>
      <c r="K3032" s="57">
        <f>IFERROR(__xludf.DUMMYFUNCTION("""COMPUTED_VALUE"""),45352.0)</f>
        <v>45352</v>
      </c>
      <c r="L3032" s="6" t="str">
        <f>IFERROR(__xludf.DUMMYFUNCTION("""COMPUTED_VALUE"""),"FIP Engineering")</f>
        <v>FIP Engineering</v>
      </c>
      <c r="M3032" s="6" t="str">
        <f>IFERROR(__xludf.DUMMYFUNCTION("""COMPUTED_VALUE"""),"Mochammad Fadhillah Hakim,")</f>
        <v>Mochammad Fadhillah Hakim,</v>
      </c>
      <c r="N3032" s="6" t="str">
        <f>IFERROR(__xludf.DUMMYFUNCTION("""COMPUTED_VALUE"""),"FIP Engineering")</f>
        <v>FIP Engineering</v>
      </c>
      <c r="O3032" s="6" t="str">
        <f>IFERROR(__xludf.DUMMYFUNCTION("""COMPUTED_VALUE"""),"FIP-DOM-000-11304-OS00001-INA-000000")</f>
        <v>FIP-DOM-000-11304-OS00001-INA-000000</v>
      </c>
      <c r="P3032" s="6" t="str">
        <f>IFERROR(__xludf.DUMMYFUNCTION("""COMPUTED_VALUE"""),"PO Closed")</f>
        <v>PO Closed</v>
      </c>
      <c r="Q3032" s="6" t="str">
        <f>IFERROR(__xludf.DUMMYFUNCTION("""COMPUTED_VALUE"""),"GL2404040")</f>
        <v>GL2404040</v>
      </c>
      <c r="R3032" s="57">
        <f>IFERROR(__xludf.DUMMYFUNCTION("""COMPUTED_VALUE"""),45350.0)</f>
        <v>45350</v>
      </c>
      <c r="S3032" s="57">
        <f>IFERROR(__xludf.DUMMYFUNCTION("""COMPUTED_VALUE"""),45357.0)</f>
        <v>45357</v>
      </c>
      <c r="T3032" s="57">
        <f>IFERROR(__xludf.DUMMYFUNCTION("""COMPUTED_VALUE"""),45422.0)</f>
        <v>45422</v>
      </c>
    </row>
    <row r="3033">
      <c r="A3033" s="6" t="str">
        <f>IFERROR(__xludf.DUMMYFUNCTION("""COMPUTED_VALUE"""),"121701241-1")</f>
        <v>121701241-1</v>
      </c>
      <c r="B3033" s="6" t="str">
        <f>IFERROR(__xludf.DUMMYFUNCTION("""COMPUTED_VALUE"""),"121701241 - APPROVED")</f>
        <v>121701241 - APPROVED</v>
      </c>
      <c r="C3033" s="6">
        <f>IFERROR(__xludf.DUMMYFUNCTION("""COMPUTED_VALUE"""),1.0)</f>
        <v>1</v>
      </c>
      <c r="D3033" s="6" t="str">
        <f>IFERROR(__xludf.DUMMYFUNCTION("""COMPUTED_VALUE"""),"S-60050-00")</f>
        <v>S-60050-00</v>
      </c>
      <c r="E3033" s="6" t="str">
        <f>IFERROR(__xludf.DUMMYFUNCTION("""COMPUTED_VALUE"""),"Jasa Perbaikan dan Pemeliharaan Mesin Produksi; ; ;")</f>
        <v>Jasa Perbaikan dan Pemeliharaan Mesin Produksi; ; ;</v>
      </c>
      <c r="F3033" s="6">
        <f>IFERROR(__xludf.DUMMYFUNCTION("""COMPUTED_VALUE"""),1.0)</f>
        <v>1</v>
      </c>
      <c r="G3033" s="6" t="str">
        <f>IFERROR(__xludf.DUMMYFUNCTION("""COMPUTED_VALUE"""),"Pieces")</f>
        <v>Pieces</v>
      </c>
      <c r="H3033" s="6" t="str">
        <f>IFERROR(__xludf.DUMMYFUNCTION("""COMPUTED_VALUE"""),"IDR")</f>
        <v>IDR</v>
      </c>
      <c r="I3033" s="6">
        <f>IFERROR(__xludf.DUMMYFUNCTION("""COMPUTED_VALUE"""),3200000.0)</f>
        <v>3200000</v>
      </c>
      <c r="J3033" s="6">
        <f>IFERROR(__xludf.DUMMYFUNCTION("""COMPUTED_VALUE"""),3200000.0)</f>
        <v>3200000</v>
      </c>
      <c r="K3033" s="57">
        <f>IFERROR(__xludf.DUMMYFUNCTION("""COMPUTED_VALUE"""),45352.0)</f>
        <v>45352</v>
      </c>
      <c r="L3033" s="6" t="str">
        <f>IFERROR(__xludf.DUMMYFUNCTION("""COMPUTED_VALUE"""),"FIP General")</f>
        <v>FIP General</v>
      </c>
      <c r="M3033" s="6" t="str">
        <f>IFERROR(__xludf.DUMMYFUNCTION("""COMPUTED_VALUE"""),"Mochammad Fadhillah Hakim,")</f>
        <v>Mochammad Fadhillah Hakim,</v>
      </c>
      <c r="N3033" s="6" t="str">
        <f>IFERROR(__xludf.DUMMYFUNCTION("""COMPUTED_VALUE"""),"FIP Engineering")</f>
        <v>FIP Engineering</v>
      </c>
      <c r="O3033" s="6" t="str">
        <f>IFERROR(__xludf.DUMMYFUNCTION("""COMPUTED_VALUE"""),"FIP-DOM-ENG-51504-0000000-INA-000000")</f>
        <v>FIP-DOM-ENG-51504-0000000-INA-000000</v>
      </c>
      <c r="P3033" s="6" t="str">
        <f>IFERROR(__xludf.DUMMYFUNCTION("""COMPUTED_VALUE"""),"PO Closed")</f>
        <v>PO Closed</v>
      </c>
      <c r="Q3033" s="6" t="str">
        <f>IFERROR(__xludf.DUMMYFUNCTION("""COMPUTED_VALUE"""),"GL2403005")</f>
        <v>GL2403005</v>
      </c>
      <c r="R3033" s="57">
        <f>IFERROR(__xludf.DUMMYFUNCTION("""COMPUTED_VALUE"""),45350.0)</f>
        <v>45350</v>
      </c>
      <c r="S3033" s="57">
        <f>IFERROR(__xludf.DUMMYFUNCTION("""COMPUTED_VALUE"""),45364.0)</f>
        <v>45364</v>
      </c>
      <c r="T3033" s="57">
        <f>IFERROR(__xludf.DUMMYFUNCTION("""COMPUTED_VALUE"""),45380.0)</f>
        <v>45380</v>
      </c>
    </row>
    <row r="3034">
      <c r="A3034" s="6" t="str">
        <f>IFERROR(__xludf.DUMMYFUNCTION("""COMPUTED_VALUE"""),"121701242-1")</f>
        <v>121701242-1</v>
      </c>
      <c r="B3034" s="6" t="str">
        <f>IFERROR(__xludf.DUMMYFUNCTION("""COMPUTED_VALUE"""),"121701242 - APPROVED")</f>
        <v>121701242 - APPROVED</v>
      </c>
      <c r="C3034" s="6">
        <f>IFERROR(__xludf.DUMMYFUNCTION("""COMPUTED_VALUE"""),1.0)</f>
        <v>1</v>
      </c>
      <c r="D3034" s="6" t="str">
        <f>IFERROR(__xludf.DUMMYFUNCTION("""COMPUTED_VALUE"""),"S-60050-00")</f>
        <v>S-60050-00</v>
      </c>
      <c r="E3034" s="6" t="str">
        <f>IFERROR(__xludf.DUMMYFUNCTION("""COMPUTED_VALUE"""),"Jasa Perbaikan dan Pemeliharaan Mesin Produksi; ; ;")</f>
        <v>Jasa Perbaikan dan Pemeliharaan Mesin Produksi; ; ;</v>
      </c>
      <c r="F3034" s="6">
        <f>IFERROR(__xludf.DUMMYFUNCTION("""COMPUTED_VALUE"""),1.0)</f>
        <v>1</v>
      </c>
      <c r="G3034" s="6" t="str">
        <f>IFERROR(__xludf.DUMMYFUNCTION("""COMPUTED_VALUE"""),"Pieces")</f>
        <v>Pieces</v>
      </c>
      <c r="H3034" s="6" t="str">
        <f>IFERROR(__xludf.DUMMYFUNCTION("""COMPUTED_VALUE"""),"IDR")</f>
        <v>IDR</v>
      </c>
      <c r="I3034" s="6">
        <f>IFERROR(__xludf.DUMMYFUNCTION("""COMPUTED_VALUE"""),5000000.0)</f>
        <v>5000000</v>
      </c>
      <c r="J3034" s="6">
        <f>IFERROR(__xludf.DUMMYFUNCTION("""COMPUTED_VALUE"""),5000000.0)</f>
        <v>5000000</v>
      </c>
      <c r="K3034" s="57">
        <f>IFERROR(__xludf.DUMMYFUNCTION("""COMPUTED_VALUE"""),45352.0)</f>
        <v>45352</v>
      </c>
      <c r="L3034" s="6" t="str">
        <f>IFERROR(__xludf.DUMMYFUNCTION("""COMPUTED_VALUE"""),"FIP General")</f>
        <v>FIP General</v>
      </c>
      <c r="M3034" s="6" t="str">
        <f>IFERROR(__xludf.DUMMYFUNCTION("""COMPUTED_VALUE"""),"Mochammad Fadhillah Hakim,")</f>
        <v>Mochammad Fadhillah Hakim,</v>
      </c>
      <c r="N3034" s="6" t="str">
        <f>IFERROR(__xludf.DUMMYFUNCTION("""COMPUTED_VALUE"""),"FIP Engineering")</f>
        <v>FIP Engineering</v>
      </c>
      <c r="O3034" s="6" t="str">
        <f>IFERROR(__xludf.DUMMYFUNCTION("""COMPUTED_VALUE"""),"FIP-DOM-ENG-51504-0000000-INA-000000")</f>
        <v>FIP-DOM-ENG-51504-0000000-INA-000000</v>
      </c>
      <c r="P3034" s="6" t="str">
        <f>IFERROR(__xludf.DUMMYFUNCTION("""COMPUTED_VALUE"""),"PO Closed")</f>
        <v>PO Closed</v>
      </c>
      <c r="Q3034" s="6"/>
      <c r="R3034" s="57">
        <f>IFERROR(__xludf.DUMMYFUNCTION("""COMPUTED_VALUE"""),45350.0)</f>
        <v>45350</v>
      </c>
      <c r="S3034" s="57">
        <f>IFERROR(__xludf.DUMMYFUNCTION("""COMPUTED_VALUE"""),45364.0)</f>
        <v>45364</v>
      </c>
      <c r="T3034" s="6"/>
    </row>
    <row r="3035">
      <c r="A3035" s="6" t="str">
        <f>IFERROR(__xludf.DUMMYFUNCTION("""COMPUTED_VALUE"""),"121701243-1")</f>
        <v>121701243-1</v>
      </c>
      <c r="B3035" s="6" t="str">
        <f>IFERROR(__xludf.DUMMYFUNCTION("""COMPUTED_VALUE"""),"121701243 - APPROVED")</f>
        <v>121701243 - APPROVED</v>
      </c>
      <c r="C3035" s="6">
        <f>IFERROR(__xludf.DUMMYFUNCTION("""COMPUTED_VALUE"""),1.0)</f>
        <v>1</v>
      </c>
      <c r="D3035" s="6" t="str">
        <f>IFERROR(__xludf.DUMMYFUNCTION("""COMPUTED_VALUE"""),"S-60050-00")</f>
        <v>S-60050-00</v>
      </c>
      <c r="E3035" s="6" t="str">
        <f>IFERROR(__xludf.DUMMYFUNCTION("""COMPUTED_VALUE"""),"Jasa Perbaikan dan Pemeliharaan Mesin Produksi; ; ;")</f>
        <v>Jasa Perbaikan dan Pemeliharaan Mesin Produksi; ; ;</v>
      </c>
      <c r="F3035" s="6">
        <f>IFERROR(__xludf.DUMMYFUNCTION("""COMPUTED_VALUE"""),1.0)</f>
        <v>1</v>
      </c>
      <c r="G3035" s="6" t="str">
        <f>IFERROR(__xludf.DUMMYFUNCTION("""COMPUTED_VALUE"""),"Pieces")</f>
        <v>Pieces</v>
      </c>
      <c r="H3035" s="6" t="str">
        <f>IFERROR(__xludf.DUMMYFUNCTION("""COMPUTED_VALUE"""),"IDR")</f>
        <v>IDR</v>
      </c>
      <c r="I3035" s="6">
        <f>IFERROR(__xludf.DUMMYFUNCTION("""COMPUTED_VALUE"""),4.288566E7)</f>
        <v>42885660</v>
      </c>
      <c r="J3035" s="6">
        <f>IFERROR(__xludf.DUMMYFUNCTION("""COMPUTED_VALUE"""),4.288566E7)</f>
        <v>42885660</v>
      </c>
      <c r="K3035" s="57">
        <f>IFERROR(__xludf.DUMMYFUNCTION("""COMPUTED_VALUE"""),45352.0)</f>
        <v>45352</v>
      </c>
      <c r="L3035" s="6" t="str">
        <f>IFERROR(__xludf.DUMMYFUNCTION("""COMPUTED_VALUE"""),"FIP General")</f>
        <v>FIP General</v>
      </c>
      <c r="M3035" s="6" t="str">
        <f>IFERROR(__xludf.DUMMYFUNCTION("""COMPUTED_VALUE"""),"Mochammad Fadhillah Hakim,")</f>
        <v>Mochammad Fadhillah Hakim,</v>
      </c>
      <c r="N3035" s="6" t="str">
        <f>IFERROR(__xludf.DUMMYFUNCTION("""COMPUTED_VALUE"""),"FIP Engineering")</f>
        <v>FIP Engineering</v>
      </c>
      <c r="O3035" s="6" t="str">
        <f>IFERROR(__xludf.DUMMYFUNCTION("""COMPUTED_VALUE"""),"FIP-DOM-ENG-51504-0000000-INA-000000")</f>
        <v>FIP-DOM-ENG-51504-0000000-INA-000000</v>
      </c>
      <c r="P3035" s="6" t="str">
        <f>IFERROR(__xludf.DUMMYFUNCTION("""COMPUTED_VALUE"""),"PO Closed")</f>
        <v>PO Closed</v>
      </c>
      <c r="Q3035" s="6" t="str">
        <f>IFERROR(__xludf.DUMMYFUNCTION("""COMPUTED_VALUE"""),"GL2404057")</f>
        <v>GL2404057</v>
      </c>
      <c r="R3035" s="57">
        <f>IFERROR(__xludf.DUMMYFUNCTION("""COMPUTED_VALUE"""),45350.0)</f>
        <v>45350</v>
      </c>
      <c r="S3035" s="57">
        <f>IFERROR(__xludf.DUMMYFUNCTION("""COMPUTED_VALUE"""),45385.0)</f>
        <v>45385</v>
      </c>
      <c r="T3035" s="57">
        <f>IFERROR(__xludf.DUMMYFUNCTION("""COMPUTED_VALUE"""),45506.0)</f>
        <v>45506</v>
      </c>
    </row>
    <row r="3036">
      <c r="A3036" s="6" t="str">
        <f>IFERROR(__xludf.DUMMYFUNCTION("""COMPUTED_VALUE"""),"121701251-1")</f>
        <v>121701251-1</v>
      </c>
      <c r="B3036" s="6" t="str">
        <f>IFERROR(__xludf.DUMMYFUNCTION("""COMPUTED_VALUE"""),"121701251 - APPROVED")</f>
        <v>121701251 - APPROVED</v>
      </c>
      <c r="C3036" s="6">
        <f>IFERROR(__xludf.DUMMYFUNCTION("""COMPUTED_VALUE"""),1.0)</f>
        <v>1</v>
      </c>
      <c r="D3036" s="6" t="str">
        <f>IFERROR(__xludf.DUMMYFUNCTION("""COMPUTED_VALUE"""),"S-60002-00")</f>
        <v>S-60002-00</v>
      </c>
      <c r="E3036" s="6" t="str">
        <f>IFERROR(__xludf.DUMMYFUNCTION("""COMPUTED_VALUE"""),"Jasa Perbaikan dan Pemeliharaan Mesin Utility")</f>
        <v>Jasa Perbaikan dan Pemeliharaan Mesin Utility</v>
      </c>
      <c r="F3036" s="6">
        <f>IFERROR(__xludf.DUMMYFUNCTION("""COMPUTED_VALUE"""),1.0)</f>
        <v>1</v>
      </c>
      <c r="G3036" s="6" t="str">
        <f>IFERROR(__xludf.DUMMYFUNCTION("""COMPUTED_VALUE"""),"Lot")</f>
        <v>Lot</v>
      </c>
      <c r="H3036" s="6" t="str">
        <f>IFERROR(__xludf.DUMMYFUNCTION("""COMPUTED_VALUE"""),"IDR")</f>
        <v>IDR</v>
      </c>
      <c r="I3036" s="6">
        <f>IFERROR(__xludf.DUMMYFUNCTION("""COMPUTED_VALUE"""),8809200.0)</f>
        <v>8809200</v>
      </c>
      <c r="J3036" s="6">
        <f>IFERROR(__xludf.DUMMYFUNCTION("""COMPUTED_VALUE"""),8809200.0)</f>
        <v>8809200</v>
      </c>
      <c r="K3036" s="57">
        <f>IFERROR(__xludf.DUMMYFUNCTION("""COMPUTED_VALUE"""),45354.0)</f>
        <v>45354</v>
      </c>
      <c r="L3036" s="6" t="str">
        <f>IFERROR(__xludf.DUMMYFUNCTION("""COMPUTED_VALUE"""),"FIP General")</f>
        <v>FIP General</v>
      </c>
      <c r="M3036" s="6" t="str">
        <f>IFERROR(__xludf.DUMMYFUNCTION("""COMPUTED_VALUE"""),"Mochammad Fadhillah Hakim,")</f>
        <v>Mochammad Fadhillah Hakim,</v>
      </c>
      <c r="N3036" s="6" t="str">
        <f>IFERROR(__xludf.DUMMYFUNCTION("""COMPUTED_VALUE"""),"FIP Engineering")</f>
        <v>FIP Engineering</v>
      </c>
      <c r="O3036" s="6" t="str">
        <f>IFERROR(__xludf.DUMMYFUNCTION("""COMPUTED_VALUE"""),"FIP-DOM-ENG-51508-0000000-INA-000000")</f>
        <v>FIP-DOM-ENG-51508-0000000-INA-000000</v>
      </c>
      <c r="P3036" s="6" t="str">
        <f>IFERROR(__xludf.DUMMYFUNCTION("""COMPUTED_VALUE"""),"PO Closed")</f>
        <v>PO Closed</v>
      </c>
      <c r="Q3036" s="6" t="str">
        <f>IFERROR(__xludf.DUMMYFUNCTION("""COMPUTED_VALUE"""),"GL2403003")</f>
        <v>GL2403003</v>
      </c>
      <c r="R3036" s="57">
        <f>IFERROR(__xludf.DUMMYFUNCTION("""COMPUTED_VALUE"""),45352.0)</f>
        <v>45352</v>
      </c>
      <c r="S3036" s="57">
        <f>IFERROR(__xludf.DUMMYFUNCTION("""COMPUTED_VALUE"""),45352.0)</f>
        <v>45352</v>
      </c>
      <c r="T3036" s="57">
        <f>IFERROR(__xludf.DUMMYFUNCTION("""COMPUTED_VALUE"""),45359.0)</f>
        <v>45359</v>
      </c>
    </row>
    <row r="3037">
      <c r="A3037" s="6" t="str">
        <f>IFERROR(__xludf.DUMMYFUNCTION("""COMPUTED_VALUE"""),"121701256-1")</f>
        <v>121701256-1</v>
      </c>
      <c r="B3037" s="6" t="str">
        <f>IFERROR(__xludf.DUMMYFUNCTION("""COMPUTED_VALUE"""),"121701256 - APPROVED")</f>
        <v>121701256 - APPROVED</v>
      </c>
      <c r="C3037" s="6">
        <f>IFERROR(__xludf.DUMMYFUNCTION("""COMPUTED_VALUE"""),1.0)</f>
        <v>1</v>
      </c>
      <c r="D3037" s="6" t="str">
        <f>IFERROR(__xludf.DUMMYFUNCTION("""COMPUTED_VALUE"""),"S-63035-00")</f>
        <v>S-63035-00</v>
      </c>
      <c r="E3037" s="6" t="str">
        <f>IFERROR(__xludf.DUMMYFUNCTION("""COMPUTED_VALUE"""),"Cover Penutup Saklar; ; ;")</f>
        <v>Cover Penutup Saklar; ; ;</v>
      </c>
      <c r="F3037" s="6">
        <f>IFERROR(__xludf.DUMMYFUNCTION("""COMPUTED_VALUE"""),30.0)</f>
        <v>30</v>
      </c>
      <c r="G3037" s="6" t="str">
        <f>IFERROR(__xludf.DUMMYFUNCTION("""COMPUTED_VALUE"""),"Pieces")</f>
        <v>Pieces</v>
      </c>
      <c r="H3037" s="6" t="str">
        <f>IFERROR(__xludf.DUMMYFUNCTION("""COMPUTED_VALUE"""),"IDR")</f>
        <v>IDR</v>
      </c>
      <c r="I3037" s="6">
        <f>IFERROR(__xludf.DUMMYFUNCTION("""COMPUTED_VALUE"""),18000.0)</f>
        <v>18000</v>
      </c>
      <c r="J3037" s="6">
        <f>IFERROR(__xludf.DUMMYFUNCTION("""COMPUTED_VALUE"""),540000.0)</f>
        <v>540000</v>
      </c>
      <c r="K3037" s="57">
        <f>IFERROR(__xludf.DUMMYFUNCTION("""COMPUTED_VALUE"""),45359.0)</f>
        <v>45359</v>
      </c>
      <c r="L3037" s="6" t="str">
        <f>IFERROR(__xludf.DUMMYFUNCTION("""COMPUTED_VALUE"""),"FIP General")</f>
        <v>FIP General</v>
      </c>
      <c r="M3037" s="6" t="str">
        <f>IFERROR(__xludf.DUMMYFUNCTION("""COMPUTED_VALUE"""),"Mochammad Fadhillah Hakim,")</f>
        <v>Mochammad Fadhillah Hakim,</v>
      </c>
      <c r="N3037" s="6" t="str">
        <f>IFERROR(__xludf.DUMMYFUNCTION("""COMPUTED_VALUE"""),"FIP Engineering")</f>
        <v>FIP Engineering</v>
      </c>
      <c r="O3037" s="6" t="str">
        <f>IFERROR(__xludf.DUMMYFUNCTION("""COMPUTED_VALUE"""),"FIP-DOM-ENG-51504-0000000-INA-000000")</f>
        <v>FIP-DOM-ENG-51504-0000000-INA-000000</v>
      </c>
      <c r="P3037" s="6" t="str">
        <f>IFERROR(__xludf.DUMMYFUNCTION("""COMPUTED_VALUE"""),"PO Closed")</f>
        <v>PO Closed</v>
      </c>
      <c r="Q3037" s="6" t="str">
        <f>IFERROR(__xludf.DUMMYFUNCTION("""COMPUTED_VALUE"""),"GL2403002")</f>
        <v>GL2403002</v>
      </c>
      <c r="R3037" s="57">
        <f>IFERROR(__xludf.DUMMYFUNCTION("""COMPUTED_VALUE"""),45352.0)</f>
        <v>45352</v>
      </c>
      <c r="S3037" s="57">
        <f>IFERROR(__xludf.DUMMYFUNCTION("""COMPUTED_VALUE"""),45359.0)</f>
        <v>45359</v>
      </c>
      <c r="T3037" s="57">
        <f>IFERROR(__xludf.DUMMYFUNCTION("""COMPUTED_VALUE"""),45412.0)</f>
        <v>45412</v>
      </c>
    </row>
    <row r="3038">
      <c r="A3038" s="6" t="str">
        <f>IFERROR(__xludf.DUMMYFUNCTION("""COMPUTED_VALUE"""),"121701256-2")</f>
        <v>121701256-2</v>
      </c>
      <c r="B3038" s="6" t="str">
        <f>IFERROR(__xludf.DUMMYFUNCTION("""COMPUTED_VALUE"""),"121701256 - APPROVED")</f>
        <v>121701256 - APPROVED</v>
      </c>
      <c r="C3038" s="6">
        <f>IFERROR(__xludf.DUMMYFUNCTION("""COMPUTED_VALUE"""),2.0)</f>
        <v>2</v>
      </c>
      <c r="D3038" s="6" t="str">
        <f>IFERROR(__xludf.DUMMYFUNCTION("""COMPUTED_VALUE"""),"P-54223-00")</f>
        <v>P-54223-00</v>
      </c>
      <c r="E3038" s="6" t="str">
        <f>IFERROR(__xludf.DUMMYFUNCTION("""COMPUTED_VALUE"""),"Socket Charger SB175A grey; Anderson; ;")</f>
        <v>Socket Charger SB175A grey; Anderson; ;</v>
      </c>
      <c r="F3038" s="6">
        <f>IFERROR(__xludf.DUMMYFUNCTION("""COMPUTED_VALUE"""),1.0)</f>
        <v>1</v>
      </c>
      <c r="G3038" s="6" t="str">
        <f>IFERROR(__xludf.DUMMYFUNCTION("""COMPUTED_VALUE"""),"Pieces")</f>
        <v>Pieces</v>
      </c>
      <c r="H3038" s="6" t="str">
        <f>IFERROR(__xludf.DUMMYFUNCTION("""COMPUTED_VALUE"""),"IDR")</f>
        <v>IDR</v>
      </c>
      <c r="I3038" s="6">
        <f>IFERROR(__xludf.DUMMYFUNCTION("""COMPUTED_VALUE"""),253500.0)</f>
        <v>253500</v>
      </c>
      <c r="J3038" s="6">
        <f>IFERROR(__xludf.DUMMYFUNCTION("""COMPUTED_VALUE"""),253500.0)</f>
        <v>253500</v>
      </c>
      <c r="K3038" s="57">
        <f>IFERROR(__xludf.DUMMYFUNCTION("""COMPUTED_VALUE"""),45359.0)</f>
        <v>45359</v>
      </c>
      <c r="L3038" s="6" t="str">
        <f>IFERROR(__xludf.DUMMYFUNCTION("""COMPUTED_VALUE"""),"FIP Engineering")</f>
        <v>FIP Engineering</v>
      </c>
      <c r="M3038" s="6" t="str">
        <f>IFERROR(__xludf.DUMMYFUNCTION("""COMPUTED_VALUE"""),"Mochammad Fadhillah Hakim,")</f>
        <v>Mochammad Fadhillah Hakim,</v>
      </c>
      <c r="N3038" s="6" t="str">
        <f>IFERROR(__xludf.DUMMYFUNCTION("""COMPUTED_VALUE"""),"FIP Engineering")</f>
        <v>FIP Engineering</v>
      </c>
      <c r="O3038" s="6" t="str">
        <f>IFERROR(__xludf.DUMMYFUNCTION("""COMPUTED_VALUE"""),"FIP-DOM-000-11304-OS00001-INA-000000")</f>
        <v>FIP-DOM-000-11304-OS00001-INA-000000</v>
      </c>
      <c r="P3038" s="6" t="str">
        <f>IFERROR(__xludf.DUMMYFUNCTION("""COMPUTED_VALUE"""),"PO Closed")</f>
        <v>PO Closed</v>
      </c>
      <c r="Q3038" s="6" t="str">
        <f>IFERROR(__xludf.DUMMYFUNCTION("""COMPUTED_VALUE"""),"GL2403002")</f>
        <v>GL2403002</v>
      </c>
      <c r="R3038" s="57">
        <f>IFERROR(__xludf.DUMMYFUNCTION("""COMPUTED_VALUE"""),45352.0)</f>
        <v>45352</v>
      </c>
      <c r="S3038" s="57">
        <f>IFERROR(__xludf.DUMMYFUNCTION("""COMPUTED_VALUE"""),45359.0)</f>
        <v>45359</v>
      </c>
      <c r="T3038" s="57">
        <f>IFERROR(__xludf.DUMMYFUNCTION("""COMPUTED_VALUE"""),45412.0)</f>
        <v>45412</v>
      </c>
    </row>
    <row r="3039">
      <c r="A3039" s="6" t="str">
        <f>IFERROR(__xludf.DUMMYFUNCTION("""COMPUTED_VALUE"""),"121701256-3")</f>
        <v>121701256-3</v>
      </c>
      <c r="B3039" s="6" t="str">
        <f>IFERROR(__xludf.DUMMYFUNCTION("""COMPUTED_VALUE"""),"121701256 - APPROVED")</f>
        <v>121701256 - APPROVED</v>
      </c>
      <c r="C3039" s="6">
        <f>IFERROR(__xludf.DUMMYFUNCTION("""COMPUTED_VALUE"""),3.0)</f>
        <v>3</v>
      </c>
      <c r="D3039" s="6" t="str">
        <f>IFERROR(__xludf.DUMMYFUNCTION("""COMPUTED_VALUE"""),"P-50023-00")</f>
        <v>P-50023-00</v>
      </c>
      <c r="E3039" s="6" t="str">
        <f>IFERROR(__xludf.DUMMYFUNCTION("""COMPUTED_VALUE"""),"Lampu T8 30W/765; Philips; ;")</f>
        <v>Lampu T8 30W/765; Philips; ;</v>
      </c>
      <c r="F3039" s="6">
        <f>IFERROR(__xludf.DUMMYFUNCTION("""COMPUTED_VALUE"""),3.0)</f>
        <v>3</v>
      </c>
      <c r="G3039" s="6" t="str">
        <f>IFERROR(__xludf.DUMMYFUNCTION("""COMPUTED_VALUE"""),"Pieces")</f>
        <v>Pieces</v>
      </c>
      <c r="H3039" s="6" t="str">
        <f>IFERROR(__xludf.DUMMYFUNCTION("""COMPUTED_VALUE"""),"IDR")</f>
        <v>IDR</v>
      </c>
      <c r="I3039" s="6">
        <f>IFERROR(__xludf.DUMMYFUNCTION("""COMPUTED_VALUE"""),60000.0)</f>
        <v>60000</v>
      </c>
      <c r="J3039" s="6">
        <f>IFERROR(__xludf.DUMMYFUNCTION("""COMPUTED_VALUE"""),180000.0)</f>
        <v>180000</v>
      </c>
      <c r="K3039" s="57">
        <f>IFERROR(__xludf.DUMMYFUNCTION("""COMPUTED_VALUE"""),45359.0)</f>
        <v>45359</v>
      </c>
      <c r="L3039" s="6" t="str">
        <f>IFERROR(__xludf.DUMMYFUNCTION("""COMPUTED_VALUE"""),"FIP Engineering")</f>
        <v>FIP Engineering</v>
      </c>
      <c r="M3039" s="6" t="str">
        <f>IFERROR(__xludf.DUMMYFUNCTION("""COMPUTED_VALUE"""),"Mochammad Fadhillah Hakim,")</f>
        <v>Mochammad Fadhillah Hakim,</v>
      </c>
      <c r="N3039" s="6" t="str">
        <f>IFERROR(__xludf.DUMMYFUNCTION("""COMPUTED_VALUE"""),"FIP Engineering")</f>
        <v>FIP Engineering</v>
      </c>
      <c r="O3039" s="6" t="str">
        <f>IFERROR(__xludf.DUMMYFUNCTION("""COMPUTED_VALUE"""),"FIP-DOM-000-11304-OS00001-INA-000000")</f>
        <v>FIP-DOM-000-11304-OS00001-INA-000000</v>
      </c>
      <c r="P3039" s="6" t="str">
        <f>IFERROR(__xludf.DUMMYFUNCTION("""COMPUTED_VALUE"""),"PO Closed")</f>
        <v>PO Closed</v>
      </c>
      <c r="Q3039" s="6" t="str">
        <f>IFERROR(__xludf.DUMMYFUNCTION("""COMPUTED_VALUE"""),"GL2403002")</f>
        <v>GL2403002</v>
      </c>
      <c r="R3039" s="57">
        <f>IFERROR(__xludf.DUMMYFUNCTION("""COMPUTED_VALUE"""),45352.0)</f>
        <v>45352</v>
      </c>
      <c r="S3039" s="57">
        <f>IFERROR(__xludf.DUMMYFUNCTION("""COMPUTED_VALUE"""),45359.0)</f>
        <v>45359</v>
      </c>
      <c r="T3039" s="57">
        <f>IFERROR(__xludf.DUMMYFUNCTION("""COMPUTED_VALUE"""),45412.0)</f>
        <v>45412</v>
      </c>
    </row>
    <row r="3040">
      <c r="A3040" s="6" t="str">
        <f>IFERROR(__xludf.DUMMYFUNCTION("""COMPUTED_VALUE"""),"121701269-1")</f>
        <v>121701269-1</v>
      </c>
      <c r="B3040" s="6" t="str">
        <f>IFERROR(__xludf.DUMMYFUNCTION("""COMPUTED_VALUE"""),"121701269 - APPROVED")</f>
        <v>121701269 - APPROVED</v>
      </c>
      <c r="C3040" s="6">
        <f>IFERROR(__xludf.DUMMYFUNCTION("""COMPUTED_VALUE"""),1.0)</f>
        <v>1</v>
      </c>
      <c r="D3040" s="6" t="str">
        <f>IFERROR(__xludf.DUMMYFUNCTION("""COMPUTED_VALUE"""),"T-12204-00")</f>
        <v>T-12204-00</v>
      </c>
      <c r="E3040" s="6" t="str">
        <f>IFERROR(__xludf.DUMMYFUNCTION("""COMPUTED_VALUE"""),"Keyboard Wireless K270 Logitech; ; ;")</f>
        <v>Keyboard Wireless K270 Logitech; ; ;</v>
      </c>
      <c r="F3040" s="6">
        <f>IFERROR(__xludf.DUMMYFUNCTION("""COMPUTED_VALUE"""),4.0)</f>
        <v>4</v>
      </c>
      <c r="G3040" s="6" t="str">
        <f>IFERROR(__xludf.DUMMYFUNCTION("""COMPUTED_VALUE"""),"Pieces")</f>
        <v>Pieces</v>
      </c>
      <c r="H3040" s="6" t="str">
        <f>IFERROR(__xludf.DUMMYFUNCTION("""COMPUTED_VALUE"""),"IDR")</f>
        <v>IDR</v>
      </c>
      <c r="I3040" s="6">
        <f>IFERROR(__xludf.DUMMYFUNCTION("""COMPUTED_VALUE"""),366000.0)</f>
        <v>366000</v>
      </c>
      <c r="J3040" s="6">
        <f>IFERROR(__xludf.DUMMYFUNCTION("""COMPUTED_VALUE"""),1464000.0)</f>
        <v>1464000</v>
      </c>
      <c r="K3040" s="57">
        <f>IFERROR(__xludf.DUMMYFUNCTION("""COMPUTED_VALUE"""),45359.0)</f>
        <v>45359</v>
      </c>
      <c r="L3040" s="6" t="str">
        <f>IFERROR(__xludf.DUMMYFUNCTION("""COMPUTED_VALUE"""),"FIP General")</f>
        <v>FIP General</v>
      </c>
      <c r="M3040" s="6" t="str">
        <f>IFERROR(__xludf.DUMMYFUNCTION("""COMPUTED_VALUE"""),"Mochammad Fadhillah Hakim,")</f>
        <v>Mochammad Fadhillah Hakim,</v>
      </c>
      <c r="N3040" s="6" t="str">
        <f>IFERROR(__xludf.DUMMYFUNCTION("""COMPUTED_VALUE"""),"FIP Engineering")</f>
        <v>FIP Engineering</v>
      </c>
      <c r="O3040" s="6" t="str">
        <f>IFERROR(__xludf.DUMMYFUNCTION("""COMPUTED_VALUE"""),"FIP-DOM-ENG-51404-0000000-INA-000000")</f>
        <v>FIP-DOM-ENG-51404-0000000-INA-000000</v>
      </c>
      <c r="P3040" s="6" t="str">
        <f>IFERROR(__xludf.DUMMYFUNCTION("""COMPUTED_VALUE"""),"PO Closed")</f>
        <v>PO Closed</v>
      </c>
      <c r="Q3040" s="6" t="str">
        <f>IFERROR(__xludf.DUMMYFUNCTION("""COMPUTED_VALUE"""),"GL2404009")</f>
        <v>GL2404009</v>
      </c>
      <c r="R3040" s="57">
        <f>IFERROR(__xludf.DUMMYFUNCTION("""COMPUTED_VALUE"""),45357.0)</f>
        <v>45357</v>
      </c>
      <c r="S3040" s="57">
        <f>IFERROR(__xludf.DUMMYFUNCTION("""COMPUTED_VALUE"""),45359.0)</f>
        <v>45359</v>
      </c>
      <c r="T3040" s="57">
        <f>IFERROR(__xludf.DUMMYFUNCTION("""COMPUTED_VALUE"""),45408.0)</f>
        <v>45408</v>
      </c>
    </row>
    <row r="3041">
      <c r="A3041" s="6" t="str">
        <f>IFERROR(__xludf.DUMMYFUNCTION("""COMPUTED_VALUE"""),"121701269-2")</f>
        <v>121701269-2</v>
      </c>
      <c r="B3041" s="6" t="str">
        <f>IFERROR(__xludf.DUMMYFUNCTION("""COMPUTED_VALUE"""),"121701269 - APPROVED")</f>
        <v>121701269 - APPROVED</v>
      </c>
      <c r="C3041" s="6">
        <f>IFERROR(__xludf.DUMMYFUNCTION("""COMPUTED_VALUE"""),2.0)</f>
        <v>2</v>
      </c>
      <c r="D3041" s="6" t="str">
        <f>IFERROR(__xludf.DUMMYFUNCTION("""COMPUTED_VALUE"""),"O-19693-00")</f>
        <v>O-19693-00</v>
      </c>
      <c r="E3041" s="6" t="str">
        <f>IFERROR(__xludf.DUMMYFUNCTION("""COMPUTED_VALUE"""),"Bracket Dudukan Sensor Zometa 20 x 20 x 42 mm; Custom; ;")</f>
        <v>Bracket Dudukan Sensor Zometa 20 x 20 x 42 mm; Custom; ;</v>
      </c>
      <c r="F3041" s="6">
        <f>IFERROR(__xludf.DUMMYFUNCTION("""COMPUTED_VALUE"""),4.0)</f>
        <v>4</v>
      </c>
      <c r="G3041" s="6" t="str">
        <f>IFERROR(__xludf.DUMMYFUNCTION("""COMPUTED_VALUE"""),"Pieces")</f>
        <v>Pieces</v>
      </c>
      <c r="H3041" s="6" t="str">
        <f>IFERROR(__xludf.DUMMYFUNCTION("""COMPUTED_VALUE"""),"IDR")</f>
        <v>IDR</v>
      </c>
      <c r="I3041" s="6">
        <f>IFERROR(__xludf.DUMMYFUNCTION("""COMPUTED_VALUE"""),395000.0)</f>
        <v>395000</v>
      </c>
      <c r="J3041" s="6">
        <f>IFERROR(__xludf.DUMMYFUNCTION("""COMPUTED_VALUE"""),1580000.0)</f>
        <v>1580000</v>
      </c>
      <c r="K3041" s="57">
        <f>IFERROR(__xludf.DUMMYFUNCTION("""COMPUTED_VALUE"""),45359.0)</f>
        <v>45359</v>
      </c>
      <c r="L3041" s="6" t="str">
        <f>IFERROR(__xludf.DUMMYFUNCTION("""COMPUTED_VALUE"""),"FIP Engineering")</f>
        <v>FIP Engineering</v>
      </c>
      <c r="M3041" s="6" t="str">
        <f>IFERROR(__xludf.DUMMYFUNCTION("""COMPUTED_VALUE"""),"Mochammad Fadhillah Hakim,")</f>
        <v>Mochammad Fadhillah Hakim,</v>
      </c>
      <c r="N3041" s="6" t="str">
        <f>IFERROR(__xludf.DUMMYFUNCTION("""COMPUTED_VALUE"""),"FIP Engineering")</f>
        <v>FIP Engineering</v>
      </c>
      <c r="O3041" s="6" t="str">
        <f>IFERROR(__xludf.DUMMYFUNCTION("""COMPUTED_VALUE"""),"FIP-DOM-000-11304-OS00001-INA-000000")</f>
        <v>FIP-DOM-000-11304-OS00001-INA-000000</v>
      </c>
      <c r="P3041" s="6" t="str">
        <f>IFERROR(__xludf.DUMMYFUNCTION("""COMPUTED_VALUE"""),"PO Closed")</f>
        <v>PO Closed</v>
      </c>
      <c r="Q3041" s="6" t="str">
        <f>IFERROR(__xludf.DUMMYFUNCTION("""COMPUTED_VALUE"""),"GL2405012")</f>
        <v>GL2405012</v>
      </c>
      <c r="R3041" s="57">
        <f>IFERROR(__xludf.DUMMYFUNCTION("""COMPUTED_VALUE"""),45357.0)</f>
        <v>45357</v>
      </c>
      <c r="S3041" s="57">
        <f>IFERROR(__xludf.DUMMYFUNCTION("""COMPUTED_VALUE"""),45359.0)</f>
        <v>45359</v>
      </c>
      <c r="T3041" s="57">
        <f>IFERROR(__xludf.DUMMYFUNCTION("""COMPUTED_VALUE"""),45453.0)</f>
        <v>45453</v>
      </c>
    </row>
    <row r="3042">
      <c r="A3042" s="6" t="str">
        <f>IFERROR(__xludf.DUMMYFUNCTION("""COMPUTED_VALUE"""),"121701269-3")</f>
        <v>121701269-3</v>
      </c>
      <c r="B3042" s="6" t="str">
        <f>IFERROR(__xludf.DUMMYFUNCTION("""COMPUTED_VALUE"""),"121701269 - APPROVED")</f>
        <v>121701269 - APPROVED</v>
      </c>
      <c r="C3042" s="6">
        <f>IFERROR(__xludf.DUMMYFUNCTION("""COMPUTED_VALUE"""),3.0)</f>
        <v>3</v>
      </c>
      <c r="D3042" s="6" t="str">
        <f>IFERROR(__xludf.DUMMYFUNCTION("""COMPUTED_VALUE"""),"O-19690-00")</f>
        <v>O-19690-00</v>
      </c>
      <c r="E3042" s="6" t="str">
        <f>IFERROR(__xludf.DUMMYFUNCTION("""COMPUTED_VALUE"""),"Per Tekan SS304 ID 3,5 x OD 4,5 x P 53,5 mm; Lokal; ;")</f>
        <v>Per Tekan SS304 ID 3,5 x OD 4,5 x P 53,5 mm; Lokal; ;</v>
      </c>
      <c r="F3042" s="6">
        <f>IFERROR(__xludf.DUMMYFUNCTION("""COMPUTED_VALUE"""),20.0)</f>
        <v>20</v>
      </c>
      <c r="G3042" s="6" t="str">
        <f>IFERROR(__xludf.DUMMYFUNCTION("""COMPUTED_VALUE"""),"Pieces")</f>
        <v>Pieces</v>
      </c>
      <c r="H3042" s="6" t="str">
        <f>IFERROR(__xludf.DUMMYFUNCTION("""COMPUTED_VALUE"""),"IDR")</f>
        <v>IDR</v>
      </c>
      <c r="I3042" s="6">
        <f>IFERROR(__xludf.DUMMYFUNCTION("""COMPUTED_VALUE"""),15000.0)</f>
        <v>15000</v>
      </c>
      <c r="J3042" s="6">
        <f>IFERROR(__xludf.DUMMYFUNCTION("""COMPUTED_VALUE"""),300000.0)</f>
        <v>300000</v>
      </c>
      <c r="K3042" s="57">
        <f>IFERROR(__xludf.DUMMYFUNCTION("""COMPUTED_VALUE"""),45359.0)</f>
        <v>45359</v>
      </c>
      <c r="L3042" s="6" t="str">
        <f>IFERROR(__xludf.DUMMYFUNCTION("""COMPUTED_VALUE"""),"FIP Engineering")</f>
        <v>FIP Engineering</v>
      </c>
      <c r="M3042" s="6" t="str">
        <f>IFERROR(__xludf.DUMMYFUNCTION("""COMPUTED_VALUE"""),"Mochammad Fadhillah Hakim,")</f>
        <v>Mochammad Fadhillah Hakim,</v>
      </c>
      <c r="N3042" s="6" t="str">
        <f>IFERROR(__xludf.DUMMYFUNCTION("""COMPUTED_VALUE"""),"FIP Engineering")</f>
        <v>FIP Engineering</v>
      </c>
      <c r="O3042" s="6" t="str">
        <f>IFERROR(__xludf.DUMMYFUNCTION("""COMPUTED_VALUE"""),"FIP-DOM-000-11304-OS00001-INA-000000")</f>
        <v>FIP-DOM-000-11304-OS00001-INA-000000</v>
      </c>
      <c r="P3042" s="6" t="str">
        <f>IFERROR(__xludf.DUMMYFUNCTION("""COMPUTED_VALUE"""),"PO Closed")</f>
        <v>PO Closed</v>
      </c>
      <c r="Q3042" s="6" t="str">
        <f>IFERROR(__xludf.DUMMYFUNCTION("""COMPUTED_VALUE"""),"GL2405023")</f>
        <v>GL2405023</v>
      </c>
      <c r="R3042" s="57">
        <f>IFERROR(__xludf.DUMMYFUNCTION("""COMPUTED_VALUE"""),45357.0)</f>
        <v>45357</v>
      </c>
      <c r="S3042" s="57">
        <f>IFERROR(__xludf.DUMMYFUNCTION("""COMPUTED_VALUE"""),45359.0)</f>
        <v>45359</v>
      </c>
      <c r="T3042" s="57">
        <f>IFERROR(__xludf.DUMMYFUNCTION("""COMPUTED_VALUE"""),45463.0)</f>
        <v>45463</v>
      </c>
    </row>
    <row r="3043">
      <c r="A3043" s="6" t="str">
        <f>IFERROR(__xludf.DUMMYFUNCTION("""COMPUTED_VALUE"""),"121701269-4")</f>
        <v>121701269-4</v>
      </c>
      <c r="B3043" s="6" t="str">
        <f>IFERROR(__xludf.DUMMYFUNCTION("""COMPUTED_VALUE"""),"121701269 - APPROVED")</f>
        <v>121701269 - APPROVED</v>
      </c>
      <c r="C3043" s="6">
        <f>IFERROR(__xludf.DUMMYFUNCTION("""COMPUTED_VALUE"""),4.0)</f>
        <v>4</v>
      </c>
      <c r="D3043" s="6" t="str">
        <f>IFERROR(__xludf.DUMMYFUNCTION("""COMPUTED_VALUE"""),"P-18618-00")</f>
        <v>P-18618-00</v>
      </c>
      <c r="E3043" s="6" t="str">
        <f>IFERROR(__xludf.DUMMYFUNCTION("""COMPUTED_VALUE"""),"Chemicals Kuclean HL-351 @20 liter; ; ;")</f>
        <v>Chemicals Kuclean HL-351 @20 liter; ; ;</v>
      </c>
      <c r="F3043" s="6">
        <f>IFERROR(__xludf.DUMMYFUNCTION("""COMPUTED_VALUE"""),40.0)</f>
        <v>40</v>
      </c>
      <c r="G3043" s="6" t="str">
        <f>IFERROR(__xludf.DUMMYFUNCTION("""COMPUTED_VALUE"""),"Unit")</f>
        <v>Unit</v>
      </c>
      <c r="H3043" s="6" t="str">
        <f>IFERROR(__xludf.DUMMYFUNCTION("""COMPUTED_VALUE"""),"IDR")</f>
        <v>IDR</v>
      </c>
      <c r="I3043" s="6">
        <f>IFERROR(__xludf.DUMMYFUNCTION("""COMPUTED_VALUE"""),37000.0)</f>
        <v>37000</v>
      </c>
      <c r="J3043" s="6">
        <f>IFERROR(__xludf.DUMMYFUNCTION("""COMPUTED_VALUE"""),1480000.0)</f>
        <v>1480000</v>
      </c>
      <c r="K3043" s="57">
        <f>IFERROR(__xludf.DUMMYFUNCTION("""COMPUTED_VALUE"""),45359.0)</f>
        <v>45359</v>
      </c>
      <c r="L3043" s="6" t="str">
        <f>IFERROR(__xludf.DUMMYFUNCTION("""COMPUTED_VALUE"""),"FIP Engineering")</f>
        <v>FIP Engineering</v>
      </c>
      <c r="M3043" s="6" t="str">
        <f>IFERROR(__xludf.DUMMYFUNCTION("""COMPUTED_VALUE"""),"Mochammad Fadhillah Hakim,")</f>
        <v>Mochammad Fadhillah Hakim,</v>
      </c>
      <c r="N3043" s="6" t="str">
        <f>IFERROR(__xludf.DUMMYFUNCTION("""COMPUTED_VALUE"""),"FIP Engineering")</f>
        <v>FIP Engineering</v>
      </c>
      <c r="O3043" s="6" t="str">
        <f>IFERROR(__xludf.DUMMYFUNCTION("""COMPUTED_VALUE"""),"FIP-DOM-000-11304-OS00001-INA-000000")</f>
        <v>FIP-DOM-000-11304-OS00001-INA-000000</v>
      </c>
      <c r="P3043" s="6" t="str">
        <f>IFERROR(__xludf.DUMMYFUNCTION("""COMPUTED_VALUE"""),"PO Closed")</f>
        <v>PO Closed</v>
      </c>
      <c r="Q3043" s="6" t="str">
        <f>IFERROR(__xludf.DUMMYFUNCTION("""COMPUTED_VALUE"""),"GL2405048")</f>
        <v>GL2405048</v>
      </c>
      <c r="R3043" s="57">
        <f>IFERROR(__xludf.DUMMYFUNCTION("""COMPUTED_VALUE"""),45357.0)</f>
        <v>45357</v>
      </c>
      <c r="S3043" s="57">
        <f>IFERROR(__xludf.DUMMYFUNCTION("""COMPUTED_VALUE"""),45359.0)</f>
        <v>45359</v>
      </c>
      <c r="T3043" s="57">
        <f>IFERROR(__xludf.DUMMYFUNCTION("""COMPUTED_VALUE"""),45450.0)</f>
        <v>45450</v>
      </c>
    </row>
    <row r="3044">
      <c r="A3044" s="6" t="str">
        <f>IFERROR(__xludf.DUMMYFUNCTION("""COMPUTED_VALUE"""),"121701273-1")</f>
        <v>121701273-1</v>
      </c>
      <c r="B3044" s="6" t="str">
        <f>IFERROR(__xludf.DUMMYFUNCTION("""COMPUTED_VALUE"""),"121701273 - APPROVED")</f>
        <v>121701273 - APPROVED</v>
      </c>
      <c r="C3044" s="6">
        <f>IFERROR(__xludf.DUMMYFUNCTION("""COMPUTED_VALUE"""),1.0)</f>
        <v>1</v>
      </c>
      <c r="D3044" s="6" t="str">
        <f>IFERROR(__xludf.DUMMYFUNCTION("""COMPUTED_VALUE"""),"P-11356-00")</f>
        <v>P-11356-00</v>
      </c>
      <c r="E3044" s="6" t="str">
        <f>IFERROR(__xludf.DUMMYFUNCTION("""COMPUTED_VALUE"""),"Roda Trolly ABUS 4"" ( 100 x 27 ) Without Breake")</f>
        <v>Roda Trolly ABUS 4" ( 100 x 27 ) Without Breake</v>
      </c>
      <c r="F3044" s="6">
        <f>IFERROR(__xludf.DUMMYFUNCTION("""COMPUTED_VALUE"""),3.0)</f>
        <v>3</v>
      </c>
      <c r="G3044" s="6" t="str">
        <f>IFERROR(__xludf.DUMMYFUNCTION("""COMPUTED_VALUE"""),"Pieces")</f>
        <v>Pieces</v>
      </c>
      <c r="H3044" s="6" t="str">
        <f>IFERROR(__xludf.DUMMYFUNCTION("""COMPUTED_VALUE"""),"IDR")</f>
        <v>IDR</v>
      </c>
      <c r="I3044" s="6">
        <f>IFERROR(__xludf.DUMMYFUNCTION("""COMPUTED_VALUE"""),465000.0)</f>
        <v>465000</v>
      </c>
      <c r="J3044" s="6">
        <f>IFERROR(__xludf.DUMMYFUNCTION("""COMPUTED_VALUE"""),1395000.0)</f>
        <v>1395000</v>
      </c>
      <c r="K3044" s="57">
        <f>IFERROR(__xludf.DUMMYFUNCTION("""COMPUTED_VALUE"""),45365.0)</f>
        <v>45365</v>
      </c>
      <c r="L3044" s="6" t="str">
        <f>IFERROR(__xludf.DUMMYFUNCTION("""COMPUTED_VALUE"""),"FIP Engineering")</f>
        <v>FIP Engineering</v>
      </c>
      <c r="M3044" s="6" t="str">
        <f>IFERROR(__xludf.DUMMYFUNCTION("""COMPUTED_VALUE"""),"Mochammad Fadhillah Hakim,")</f>
        <v>Mochammad Fadhillah Hakim,</v>
      </c>
      <c r="N3044" s="6" t="str">
        <f>IFERROR(__xludf.DUMMYFUNCTION("""COMPUTED_VALUE"""),"FIP Engineering")</f>
        <v>FIP Engineering</v>
      </c>
      <c r="O3044" s="6" t="str">
        <f>IFERROR(__xludf.DUMMYFUNCTION("""COMPUTED_VALUE"""),"FIP-DOM-000-11304-OS00001-INA-000000")</f>
        <v>FIP-DOM-000-11304-OS00001-INA-000000</v>
      </c>
      <c r="P3044" s="6" t="str">
        <f>IFERROR(__xludf.DUMMYFUNCTION("""COMPUTED_VALUE"""),"PO Closed")</f>
        <v>PO Closed</v>
      </c>
      <c r="Q3044" s="6" t="str">
        <f>IFERROR(__xludf.DUMMYFUNCTION("""COMPUTED_VALUE"""),"GL2405015")</f>
        <v>GL2405015</v>
      </c>
      <c r="R3044" s="57">
        <f>IFERROR(__xludf.DUMMYFUNCTION("""COMPUTED_VALUE"""),45358.0)</f>
        <v>45358</v>
      </c>
      <c r="S3044" s="57">
        <f>IFERROR(__xludf.DUMMYFUNCTION("""COMPUTED_VALUE"""),45365.0)</f>
        <v>45365</v>
      </c>
      <c r="T3044" s="57">
        <f>IFERROR(__xludf.DUMMYFUNCTION("""COMPUTED_VALUE"""),45443.0)</f>
        <v>45443</v>
      </c>
    </row>
    <row r="3045">
      <c r="A3045" s="6" t="str">
        <f>IFERROR(__xludf.DUMMYFUNCTION("""COMPUTED_VALUE"""),"121701273-2")</f>
        <v>121701273-2</v>
      </c>
      <c r="B3045" s="6" t="str">
        <f>IFERROR(__xludf.DUMMYFUNCTION("""COMPUTED_VALUE"""),"121701273 - APPROVED")</f>
        <v>121701273 - APPROVED</v>
      </c>
      <c r="C3045" s="6">
        <f>IFERROR(__xludf.DUMMYFUNCTION("""COMPUTED_VALUE"""),2.0)</f>
        <v>2</v>
      </c>
      <c r="D3045" s="6" t="str">
        <f>IFERROR(__xludf.DUMMYFUNCTION("""COMPUTED_VALUE"""),"O-54169-00")</f>
        <v>O-54169-00</v>
      </c>
      <c r="E3045" s="6" t="str">
        <f>IFERROR(__xludf.DUMMYFUNCTION("""COMPUTED_VALUE"""),"Control Unit G120 CU250S-2 DP Integriert Sinamics; Siemens; ;")</f>
        <v>Control Unit G120 CU250S-2 DP Integriert Sinamics; Siemens; ;</v>
      </c>
      <c r="F3045" s="6">
        <f>IFERROR(__xludf.DUMMYFUNCTION("""COMPUTED_VALUE"""),1.0)</f>
        <v>1</v>
      </c>
      <c r="G3045" s="6" t="str">
        <f>IFERROR(__xludf.DUMMYFUNCTION("""COMPUTED_VALUE"""),"Pieces")</f>
        <v>Pieces</v>
      </c>
      <c r="H3045" s="6" t="str">
        <f>IFERROR(__xludf.DUMMYFUNCTION("""COMPUTED_VALUE"""),"IDR")</f>
        <v>IDR</v>
      </c>
      <c r="I3045" s="6">
        <f>IFERROR(__xludf.DUMMYFUNCTION("""COMPUTED_VALUE"""),4972000.0)</f>
        <v>4972000</v>
      </c>
      <c r="J3045" s="6">
        <f>IFERROR(__xludf.DUMMYFUNCTION("""COMPUTED_VALUE"""),4972000.0)</f>
        <v>4972000</v>
      </c>
      <c r="K3045" s="57">
        <f>IFERROR(__xludf.DUMMYFUNCTION("""COMPUTED_VALUE"""),45365.0)</f>
        <v>45365</v>
      </c>
      <c r="L3045" s="6" t="str">
        <f>IFERROR(__xludf.DUMMYFUNCTION("""COMPUTED_VALUE"""),"FIP Engineering")</f>
        <v>FIP Engineering</v>
      </c>
      <c r="M3045" s="6" t="str">
        <f>IFERROR(__xludf.DUMMYFUNCTION("""COMPUTED_VALUE"""),"Mochammad Fadhillah Hakim,")</f>
        <v>Mochammad Fadhillah Hakim,</v>
      </c>
      <c r="N3045" s="6" t="str">
        <f>IFERROR(__xludf.DUMMYFUNCTION("""COMPUTED_VALUE"""),"FIP Engineering")</f>
        <v>FIP Engineering</v>
      </c>
      <c r="O3045" s="6" t="str">
        <f>IFERROR(__xludf.DUMMYFUNCTION("""COMPUTED_VALUE"""),"FIP-DOM-000-11304-OS00001-INA-000000")</f>
        <v>FIP-DOM-000-11304-OS00001-INA-000000</v>
      </c>
      <c r="P3045" s="6" t="str">
        <f>IFERROR(__xludf.DUMMYFUNCTION("""COMPUTED_VALUE"""),"PO Closed")</f>
        <v>PO Closed</v>
      </c>
      <c r="Q3045" s="6" t="str">
        <f>IFERROR(__xludf.DUMMYFUNCTION("""COMPUTED_VALUE"""),"GL2405016")</f>
        <v>GL2405016</v>
      </c>
      <c r="R3045" s="57">
        <f>IFERROR(__xludf.DUMMYFUNCTION("""COMPUTED_VALUE"""),45358.0)</f>
        <v>45358</v>
      </c>
      <c r="S3045" s="57">
        <f>IFERROR(__xludf.DUMMYFUNCTION("""COMPUTED_VALUE"""),45365.0)</f>
        <v>45365</v>
      </c>
      <c r="T3045" s="57">
        <f>IFERROR(__xludf.DUMMYFUNCTION("""COMPUTED_VALUE"""),45822.0)</f>
        <v>45822</v>
      </c>
    </row>
    <row r="3046">
      <c r="A3046" s="6" t="str">
        <f>IFERROR(__xludf.DUMMYFUNCTION("""COMPUTED_VALUE"""),"121701273-3")</f>
        <v>121701273-3</v>
      </c>
      <c r="B3046" s="6" t="str">
        <f>IFERROR(__xludf.DUMMYFUNCTION("""COMPUTED_VALUE"""),"121701273 - APPROVED")</f>
        <v>121701273 - APPROVED</v>
      </c>
      <c r="C3046" s="6">
        <f>IFERROR(__xludf.DUMMYFUNCTION("""COMPUTED_VALUE"""),3.0)</f>
        <v>3</v>
      </c>
      <c r="D3046" s="6" t="str">
        <f>IFERROR(__xludf.DUMMYFUNCTION("""COMPUTED_VALUE"""),"O-52859-00")</f>
        <v>O-52859-00</v>
      </c>
      <c r="E3046" s="6" t="str">
        <f>IFERROR(__xludf.DUMMYFUNCTION("""COMPUTED_VALUE"""),"Temperature Controller - TK4S- 24RN 100-240 VAC AUTONICS; ; ;")</f>
        <v>Temperature Controller - TK4S- 24RN 100-240 VAC AUTONICS; ; ;</v>
      </c>
      <c r="F3046" s="6">
        <f>IFERROR(__xludf.DUMMYFUNCTION("""COMPUTED_VALUE"""),2.0)</f>
        <v>2</v>
      </c>
      <c r="G3046" s="6" t="str">
        <f>IFERROR(__xludf.DUMMYFUNCTION("""COMPUTED_VALUE"""),"Pieces")</f>
        <v>Pieces</v>
      </c>
      <c r="H3046" s="6" t="str">
        <f>IFERROR(__xludf.DUMMYFUNCTION("""COMPUTED_VALUE"""),"IDR")</f>
        <v>IDR</v>
      </c>
      <c r="I3046" s="6">
        <f>IFERROR(__xludf.DUMMYFUNCTION("""COMPUTED_VALUE"""),810000.0)</f>
        <v>810000</v>
      </c>
      <c r="J3046" s="6">
        <f>IFERROR(__xludf.DUMMYFUNCTION("""COMPUTED_VALUE"""),1620000.0)</f>
        <v>1620000</v>
      </c>
      <c r="K3046" s="57">
        <f>IFERROR(__xludf.DUMMYFUNCTION("""COMPUTED_VALUE"""),45365.0)</f>
        <v>45365</v>
      </c>
      <c r="L3046" s="6" t="str">
        <f>IFERROR(__xludf.DUMMYFUNCTION("""COMPUTED_VALUE"""),"FIP Engineering")</f>
        <v>FIP Engineering</v>
      </c>
      <c r="M3046" s="6" t="str">
        <f>IFERROR(__xludf.DUMMYFUNCTION("""COMPUTED_VALUE"""),"Mochammad Fadhillah Hakim,")</f>
        <v>Mochammad Fadhillah Hakim,</v>
      </c>
      <c r="N3046" s="6" t="str">
        <f>IFERROR(__xludf.DUMMYFUNCTION("""COMPUTED_VALUE"""),"FIP Engineering")</f>
        <v>FIP Engineering</v>
      </c>
      <c r="O3046" s="6" t="str">
        <f>IFERROR(__xludf.DUMMYFUNCTION("""COMPUTED_VALUE"""),"FIP-DOM-000-11304-OS00001-INA-000000")</f>
        <v>FIP-DOM-000-11304-OS00001-INA-000000</v>
      </c>
      <c r="P3046" s="6" t="str">
        <f>IFERROR(__xludf.DUMMYFUNCTION("""COMPUTED_VALUE"""),"PO Closed")</f>
        <v>PO Closed</v>
      </c>
      <c r="Q3046" s="6" t="str">
        <f>IFERROR(__xludf.DUMMYFUNCTION("""COMPUTED_VALUE"""),"GL2403043")</f>
        <v>GL2403043</v>
      </c>
      <c r="R3046" s="57">
        <f>IFERROR(__xludf.DUMMYFUNCTION("""COMPUTED_VALUE"""),45358.0)</f>
        <v>45358</v>
      </c>
      <c r="S3046" s="57">
        <f>IFERROR(__xludf.DUMMYFUNCTION("""COMPUTED_VALUE"""),45365.0)</f>
        <v>45365</v>
      </c>
      <c r="T3046" s="57">
        <f>IFERROR(__xludf.DUMMYFUNCTION("""COMPUTED_VALUE"""),45422.0)</f>
        <v>45422</v>
      </c>
    </row>
    <row r="3047">
      <c r="A3047" s="6" t="str">
        <f>IFERROR(__xludf.DUMMYFUNCTION("""COMPUTED_VALUE"""),"121701274-1")</f>
        <v>121701274-1</v>
      </c>
      <c r="B3047" s="6" t="str">
        <f>IFERROR(__xludf.DUMMYFUNCTION("""COMPUTED_VALUE"""),"121701274 - APPROVED")</f>
        <v>121701274 - APPROVED</v>
      </c>
      <c r="C3047" s="6">
        <f>IFERROR(__xludf.DUMMYFUNCTION("""COMPUTED_VALUE"""),1.0)</f>
        <v>1</v>
      </c>
      <c r="D3047" s="6" t="str">
        <f>IFERROR(__xludf.DUMMYFUNCTION("""COMPUTED_VALUE"""),"Q-11000-00")</f>
        <v>Q-11000-00</v>
      </c>
      <c r="E3047" s="6" t="str">
        <f>IFERROR(__xludf.DUMMYFUNCTION("""COMPUTED_VALUE"""),"Jasa Perbaikan Gedung; ; ;")</f>
        <v>Jasa Perbaikan Gedung; ; ;</v>
      </c>
      <c r="F3047" s="6">
        <f>IFERROR(__xludf.DUMMYFUNCTION("""COMPUTED_VALUE"""),1.0)</f>
        <v>1</v>
      </c>
      <c r="G3047" s="6" t="str">
        <f>IFERROR(__xludf.DUMMYFUNCTION("""COMPUTED_VALUE"""),"Lot")</f>
        <v>Lot</v>
      </c>
      <c r="H3047" s="6" t="str">
        <f>IFERROR(__xludf.DUMMYFUNCTION("""COMPUTED_VALUE"""),"IDR")</f>
        <v>IDR</v>
      </c>
      <c r="I3047" s="6">
        <f>IFERROR(__xludf.DUMMYFUNCTION("""COMPUTED_VALUE"""),2800000.0)</f>
        <v>2800000</v>
      </c>
      <c r="J3047" s="6">
        <f>IFERROR(__xludf.DUMMYFUNCTION("""COMPUTED_VALUE"""),2800000.0)</f>
        <v>2800000</v>
      </c>
      <c r="K3047" s="57">
        <f>IFERROR(__xludf.DUMMYFUNCTION("""COMPUTED_VALUE"""),45360.0)</f>
        <v>45360</v>
      </c>
      <c r="L3047" s="6" t="str">
        <f>IFERROR(__xludf.DUMMYFUNCTION("""COMPUTED_VALUE"""),"FIP General")</f>
        <v>FIP General</v>
      </c>
      <c r="M3047" s="6" t="str">
        <f>IFERROR(__xludf.DUMMYFUNCTION("""COMPUTED_VALUE"""),"Mochammad Fadhillah Hakim,")</f>
        <v>Mochammad Fadhillah Hakim,</v>
      </c>
      <c r="N3047" s="6" t="str">
        <f>IFERROR(__xludf.DUMMYFUNCTION("""COMPUTED_VALUE"""),"FIP Engineering")</f>
        <v>FIP Engineering</v>
      </c>
      <c r="O3047" s="6" t="str">
        <f>IFERROR(__xludf.DUMMYFUNCTION("""COMPUTED_VALUE"""),"FIP-DOM-ENG-51502-0000000-INA-000000")</f>
        <v>FIP-DOM-ENG-51502-0000000-INA-000000</v>
      </c>
      <c r="P3047" s="6" t="str">
        <f>IFERROR(__xludf.DUMMYFUNCTION("""COMPUTED_VALUE"""),"PO Closed")</f>
        <v>PO Closed</v>
      </c>
      <c r="Q3047" s="6" t="str">
        <f>IFERROR(__xludf.DUMMYFUNCTION("""COMPUTED_VALUE"""),"GL2404048")</f>
        <v>GL2404048</v>
      </c>
      <c r="R3047" s="57">
        <f>IFERROR(__xludf.DUMMYFUNCTION("""COMPUTED_VALUE"""),45358.0)</f>
        <v>45358</v>
      </c>
      <c r="S3047" s="57">
        <f>IFERROR(__xludf.DUMMYFUNCTION("""COMPUTED_VALUE"""),45358.0)</f>
        <v>45358</v>
      </c>
      <c r="T3047" s="57">
        <f>IFERROR(__xludf.DUMMYFUNCTION("""COMPUTED_VALUE"""),45432.0)</f>
        <v>45432</v>
      </c>
    </row>
    <row r="3048">
      <c r="A3048" s="6" t="str">
        <f>IFERROR(__xludf.DUMMYFUNCTION("""COMPUTED_VALUE"""),"121701279-1")</f>
        <v>121701279-1</v>
      </c>
      <c r="B3048" s="6" t="str">
        <f>IFERROR(__xludf.DUMMYFUNCTION("""COMPUTED_VALUE"""),"121701279 - APPROVED")</f>
        <v>121701279 - APPROVED</v>
      </c>
      <c r="C3048" s="6">
        <f>IFERROR(__xludf.DUMMYFUNCTION("""COMPUTED_VALUE"""),1.0)</f>
        <v>1</v>
      </c>
      <c r="D3048" s="6" t="str">
        <f>IFERROR(__xludf.DUMMYFUNCTION("""COMPUTED_VALUE"""),"T-20123-00")</f>
        <v>T-20123-00</v>
      </c>
      <c r="E3048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048" s="6">
        <f>IFERROR(__xludf.DUMMYFUNCTION("""COMPUTED_VALUE"""),3.0)</f>
        <v>3</v>
      </c>
      <c r="G3048" s="6" t="str">
        <f>IFERROR(__xludf.DUMMYFUNCTION("""COMPUTED_VALUE"""),"Pieces")</f>
        <v>Pieces</v>
      </c>
      <c r="H3048" s="6" t="str">
        <f>IFERROR(__xludf.DUMMYFUNCTION("""COMPUTED_VALUE"""),"IDR")</f>
        <v>IDR</v>
      </c>
      <c r="I3048" s="6">
        <f>IFERROR(__xludf.DUMMYFUNCTION("""COMPUTED_VALUE"""),1.32E7)</f>
        <v>13200000</v>
      </c>
      <c r="J3048" s="6">
        <f>IFERROR(__xludf.DUMMYFUNCTION("""COMPUTED_VALUE"""),3.96E7)</f>
        <v>39600000</v>
      </c>
      <c r="K3048" s="57">
        <f>IFERROR(__xludf.DUMMYFUNCTION("""COMPUTED_VALUE"""),45473.0)</f>
        <v>45473</v>
      </c>
      <c r="L3048" s="6" t="str">
        <f>IFERROR(__xludf.DUMMYFUNCTION("""COMPUTED_VALUE"""),"FIP General")</f>
        <v>FIP General</v>
      </c>
      <c r="M3048" s="6" t="str">
        <f>IFERROR(__xludf.DUMMYFUNCTION("""COMPUTED_VALUE"""),"Mochammad Fadhillah Hakim,")</f>
        <v>Mochammad Fadhillah Hakim,</v>
      </c>
      <c r="N3048" s="6" t="str">
        <f>IFERROR(__xludf.DUMMYFUNCTION("""COMPUTED_VALUE"""),"FIP Engineering")</f>
        <v>FIP Engineering</v>
      </c>
      <c r="O3048" s="6" t="str">
        <f>IFERROR(__xludf.DUMMYFUNCTION("""COMPUTED_VALUE"""),"FIP-DOM-ENG-51505-0000000-INA-000000")</f>
        <v>FIP-DOM-ENG-51505-0000000-INA-000000</v>
      </c>
      <c r="P3048" s="6" t="str">
        <f>IFERROR(__xludf.DUMMYFUNCTION("""COMPUTED_VALUE"""),"PO Closed")</f>
        <v>PO Closed</v>
      </c>
      <c r="Q3048" s="6" t="str">
        <f>IFERROR(__xludf.DUMMYFUNCTION("""COMPUTED_VALUE"""),"GL2403030")</f>
        <v>GL2403030</v>
      </c>
      <c r="R3048" s="57">
        <f>IFERROR(__xludf.DUMMYFUNCTION("""COMPUTED_VALUE"""),45359.0)</f>
        <v>45359</v>
      </c>
      <c r="S3048" s="57">
        <f>IFERROR(__xludf.DUMMYFUNCTION("""COMPUTED_VALUE"""),45361.0)</f>
        <v>45361</v>
      </c>
      <c r="T3048" s="57">
        <f>IFERROR(__xludf.DUMMYFUNCTION("""COMPUTED_VALUE"""),45473.0)</f>
        <v>45473</v>
      </c>
    </row>
    <row r="3049">
      <c r="A3049" s="6" t="str">
        <f>IFERROR(__xludf.DUMMYFUNCTION("""COMPUTED_VALUE"""),"121701279-2")</f>
        <v>121701279-2</v>
      </c>
      <c r="B3049" s="6" t="str">
        <f>IFERROR(__xludf.DUMMYFUNCTION("""COMPUTED_VALUE"""),"121701279 - APPROVED")</f>
        <v>121701279 - APPROVED</v>
      </c>
      <c r="C3049" s="6">
        <f>IFERROR(__xludf.DUMMYFUNCTION("""COMPUTED_VALUE"""),2.0)</f>
        <v>2</v>
      </c>
      <c r="D3049" s="6" t="str">
        <f>IFERROR(__xludf.DUMMYFUNCTION("""COMPUTED_VALUE"""),"T-20123-00")</f>
        <v>T-20123-00</v>
      </c>
      <c r="E3049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049" s="6">
        <f>IFERROR(__xludf.DUMMYFUNCTION("""COMPUTED_VALUE"""),3.0)</f>
        <v>3</v>
      </c>
      <c r="G3049" s="6" t="str">
        <f>IFERROR(__xludf.DUMMYFUNCTION("""COMPUTED_VALUE"""),"Pieces")</f>
        <v>Pieces</v>
      </c>
      <c r="H3049" s="6" t="str">
        <f>IFERROR(__xludf.DUMMYFUNCTION("""COMPUTED_VALUE"""),"IDR")</f>
        <v>IDR</v>
      </c>
      <c r="I3049" s="6">
        <f>IFERROR(__xludf.DUMMYFUNCTION("""COMPUTED_VALUE"""),1.32E7)</f>
        <v>13200000</v>
      </c>
      <c r="J3049" s="6">
        <f>IFERROR(__xludf.DUMMYFUNCTION("""COMPUTED_VALUE"""),3.96E7)</f>
        <v>39600000</v>
      </c>
      <c r="K3049" s="57">
        <f>IFERROR(__xludf.DUMMYFUNCTION("""COMPUTED_VALUE"""),45565.0)</f>
        <v>45565</v>
      </c>
      <c r="L3049" s="6" t="str">
        <f>IFERROR(__xludf.DUMMYFUNCTION("""COMPUTED_VALUE"""),"FIP General")</f>
        <v>FIP General</v>
      </c>
      <c r="M3049" s="6" t="str">
        <f>IFERROR(__xludf.DUMMYFUNCTION("""COMPUTED_VALUE"""),"Mochammad Fadhillah Hakim,")</f>
        <v>Mochammad Fadhillah Hakim,</v>
      </c>
      <c r="N3049" s="6" t="str">
        <f>IFERROR(__xludf.DUMMYFUNCTION("""COMPUTED_VALUE"""),"FIP Engineering")</f>
        <v>FIP Engineering</v>
      </c>
      <c r="O3049" s="6" t="str">
        <f>IFERROR(__xludf.DUMMYFUNCTION("""COMPUTED_VALUE"""),"FIP-DOM-ENG-51505-0000000-INA-000000")</f>
        <v>FIP-DOM-ENG-51505-0000000-INA-000000</v>
      </c>
      <c r="P3049" s="6" t="str">
        <f>IFERROR(__xludf.DUMMYFUNCTION("""COMPUTED_VALUE"""),"PO Closed")</f>
        <v>PO Closed</v>
      </c>
      <c r="Q3049" s="6" t="str">
        <f>IFERROR(__xludf.DUMMYFUNCTION("""COMPUTED_VALUE"""),"GL2403030")</f>
        <v>GL2403030</v>
      </c>
      <c r="R3049" s="57">
        <f>IFERROR(__xludf.DUMMYFUNCTION("""COMPUTED_VALUE"""),45359.0)</f>
        <v>45359</v>
      </c>
      <c r="S3049" s="57">
        <f>IFERROR(__xludf.DUMMYFUNCTION("""COMPUTED_VALUE"""),45361.0)</f>
        <v>45361</v>
      </c>
      <c r="T3049" s="57">
        <f>IFERROR(__xludf.DUMMYFUNCTION("""COMPUTED_VALUE"""),45565.0)</f>
        <v>45565</v>
      </c>
    </row>
    <row r="3050">
      <c r="A3050" s="6" t="str">
        <f>IFERROR(__xludf.DUMMYFUNCTION("""COMPUTED_VALUE"""),"121701279-3")</f>
        <v>121701279-3</v>
      </c>
      <c r="B3050" s="6" t="str">
        <f>IFERROR(__xludf.DUMMYFUNCTION("""COMPUTED_VALUE"""),"121701279 - APPROVED")</f>
        <v>121701279 - APPROVED</v>
      </c>
      <c r="C3050" s="6">
        <f>IFERROR(__xludf.DUMMYFUNCTION("""COMPUTED_VALUE"""),3.0)</f>
        <v>3</v>
      </c>
      <c r="D3050" s="6" t="str">
        <f>IFERROR(__xludf.DUMMYFUNCTION("""COMPUTED_VALUE"""),"T-20123-00")</f>
        <v>T-20123-00</v>
      </c>
      <c r="E305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050" s="6">
        <f>IFERROR(__xludf.DUMMYFUNCTION("""COMPUTED_VALUE"""),3.0)</f>
        <v>3</v>
      </c>
      <c r="G3050" s="6" t="str">
        <f>IFERROR(__xludf.DUMMYFUNCTION("""COMPUTED_VALUE"""),"Pieces")</f>
        <v>Pieces</v>
      </c>
      <c r="H3050" s="6" t="str">
        <f>IFERROR(__xludf.DUMMYFUNCTION("""COMPUTED_VALUE"""),"IDR")</f>
        <v>IDR</v>
      </c>
      <c r="I3050" s="6">
        <f>IFERROR(__xludf.DUMMYFUNCTION("""COMPUTED_VALUE"""),1.32E7)</f>
        <v>13200000</v>
      </c>
      <c r="J3050" s="6">
        <f>IFERROR(__xludf.DUMMYFUNCTION("""COMPUTED_VALUE"""),3.96E7)</f>
        <v>39600000</v>
      </c>
      <c r="K3050" s="57">
        <f>IFERROR(__xludf.DUMMYFUNCTION("""COMPUTED_VALUE"""),45657.0)</f>
        <v>45657</v>
      </c>
      <c r="L3050" s="6" t="str">
        <f>IFERROR(__xludf.DUMMYFUNCTION("""COMPUTED_VALUE"""),"FIP General")</f>
        <v>FIP General</v>
      </c>
      <c r="M3050" s="6" t="str">
        <f>IFERROR(__xludf.DUMMYFUNCTION("""COMPUTED_VALUE"""),"Mochammad Fadhillah Hakim,")</f>
        <v>Mochammad Fadhillah Hakim,</v>
      </c>
      <c r="N3050" s="6" t="str">
        <f>IFERROR(__xludf.DUMMYFUNCTION("""COMPUTED_VALUE"""),"FIP Engineering")</f>
        <v>FIP Engineering</v>
      </c>
      <c r="O3050" s="6" t="str">
        <f>IFERROR(__xludf.DUMMYFUNCTION("""COMPUTED_VALUE"""),"FIP-DOM-ENG-51505-0000000-INA-000000")</f>
        <v>FIP-DOM-ENG-51505-0000000-INA-000000</v>
      </c>
      <c r="P3050" s="6" t="str">
        <f>IFERROR(__xludf.DUMMYFUNCTION("""COMPUTED_VALUE"""),"PO Closed")</f>
        <v>PO Closed</v>
      </c>
      <c r="Q3050" s="6" t="str">
        <f>IFERROR(__xludf.DUMMYFUNCTION("""COMPUTED_VALUE"""),"GL2403030")</f>
        <v>GL2403030</v>
      </c>
      <c r="R3050" s="57">
        <f>IFERROR(__xludf.DUMMYFUNCTION("""COMPUTED_VALUE"""),45359.0)</f>
        <v>45359</v>
      </c>
      <c r="S3050" s="57">
        <f>IFERROR(__xludf.DUMMYFUNCTION("""COMPUTED_VALUE"""),45361.0)</f>
        <v>45361</v>
      </c>
      <c r="T3050" s="57">
        <f>IFERROR(__xludf.DUMMYFUNCTION("""COMPUTED_VALUE"""),45657.0)</f>
        <v>45657</v>
      </c>
    </row>
    <row r="3051">
      <c r="A3051" s="6" t="str">
        <f>IFERROR(__xludf.DUMMYFUNCTION("""COMPUTED_VALUE"""),"121701283-1")</f>
        <v>121701283-1</v>
      </c>
      <c r="B3051" s="6" t="str">
        <f>IFERROR(__xludf.DUMMYFUNCTION("""COMPUTED_VALUE"""),"121701283 - APPROVED")</f>
        <v>121701283 - APPROVED</v>
      </c>
      <c r="C3051" s="6">
        <f>IFERROR(__xludf.DUMMYFUNCTION("""COMPUTED_VALUE"""),1.0)</f>
        <v>1</v>
      </c>
      <c r="D3051" s="6" t="str">
        <f>IFERROR(__xludf.DUMMYFUNCTION("""COMPUTED_VALUE"""),"O-19740-00")</f>
        <v>O-19740-00</v>
      </c>
      <c r="E3051" s="6" t="str">
        <f>IFERROR(__xludf.DUMMYFUNCTION("""COMPUTED_VALUE"""),"HB Series H13 99,99%, on 0.3 Micron, Size 592 x 592 x 292 mm; IAF; ;")</f>
        <v>HB Series H13 99,99%, on 0.3 Micron, Size 592 x 592 x 292 mm; IAF; ;</v>
      </c>
      <c r="F3051" s="6">
        <f>IFERROR(__xludf.DUMMYFUNCTION("""COMPUTED_VALUE"""),6.0)</f>
        <v>6</v>
      </c>
      <c r="G3051" s="6" t="str">
        <f>IFERROR(__xludf.DUMMYFUNCTION("""COMPUTED_VALUE"""),"Pieces")</f>
        <v>Pieces</v>
      </c>
      <c r="H3051" s="6" t="str">
        <f>IFERROR(__xludf.DUMMYFUNCTION("""COMPUTED_VALUE"""),"IDR")</f>
        <v>IDR</v>
      </c>
      <c r="I3051" s="6">
        <f>IFERROR(__xludf.DUMMYFUNCTION("""COMPUTED_VALUE"""),2700000.0)</f>
        <v>2700000</v>
      </c>
      <c r="J3051" s="6">
        <f>IFERROR(__xludf.DUMMYFUNCTION("""COMPUTED_VALUE"""),1.62E7)</f>
        <v>16200000</v>
      </c>
      <c r="K3051" s="57">
        <f>IFERROR(__xludf.DUMMYFUNCTION("""COMPUTED_VALUE"""),45365.0)</f>
        <v>45365</v>
      </c>
      <c r="L3051" s="6" t="str">
        <f>IFERROR(__xludf.DUMMYFUNCTION("""COMPUTED_VALUE"""),"FIP Engineering")</f>
        <v>FIP Engineering</v>
      </c>
      <c r="M3051" s="6" t="str">
        <f>IFERROR(__xludf.DUMMYFUNCTION("""COMPUTED_VALUE"""),"Mochammad Fadhillah Hakim,")</f>
        <v>Mochammad Fadhillah Hakim,</v>
      </c>
      <c r="N3051" s="6" t="str">
        <f>IFERROR(__xludf.DUMMYFUNCTION("""COMPUTED_VALUE"""),"FIP Engineering")</f>
        <v>FIP Engineering</v>
      </c>
      <c r="O3051" s="6" t="str">
        <f>IFERROR(__xludf.DUMMYFUNCTION("""COMPUTED_VALUE"""),"FIP-DOM-000-11304-OS00001-INA-000000")</f>
        <v>FIP-DOM-000-11304-OS00001-INA-000000</v>
      </c>
      <c r="P3051" s="6" t="str">
        <f>IFERROR(__xludf.DUMMYFUNCTION("""COMPUTED_VALUE"""),"PO Closed")</f>
        <v>PO Closed</v>
      </c>
      <c r="Q3051" s="6" t="str">
        <f>IFERROR(__xludf.DUMMYFUNCTION("""COMPUTED_VALUE"""),"GL2403319")</f>
        <v>GL2403319</v>
      </c>
      <c r="R3051" s="57">
        <f>IFERROR(__xludf.DUMMYFUNCTION("""COMPUTED_VALUE"""),45363.0)</f>
        <v>45363</v>
      </c>
      <c r="S3051" s="57">
        <f>IFERROR(__xludf.DUMMYFUNCTION("""COMPUTED_VALUE"""),45363.0)</f>
        <v>45363</v>
      </c>
      <c r="T3051" s="57">
        <f>IFERROR(__xludf.DUMMYFUNCTION("""COMPUTED_VALUE"""),45381.0)</f>
        <v>45381</v>
      </c>
    </row>
    <row r="3052">
      <c r="A3052" s="6" t="str">
        <f>IFERROR(__xludf.DUMMYFUNCTION("""COMPUTED_VALUE"""),"121701293-1")</f>
        <v>121701293-1</v>
      </c>
      <c r="B3052" s="6" t="str">
        <f>IFERROR(__xludf.DUMMYFUNCTION("""COMPUTED_VALUE"""),"121701293 - APPROVED")</f>
        <v>121701293 - APPROVED</v>
      </c>
      <c r="C3052" s="6">
        <f>IFERROR(__xludf.DUMMYFUNCTION("""COMPUTED_VALUE"""),1.0)</f>
        <v>1</v>
      </c>
      <c r="D3052" s="6" t="str">
        <f>IFERROR(__xludf.DUMMYFUNCTION("""COMPUTED_VALUE"""),"S-60050-00")</f>
        <v>S-60050-00</v>
      </c>
      <c r="E3052" s="6" t="str">
        <f>IFERROR(__xludf.DUMMYFUNCTION("""COMPUTED_VALUE"""),"Jasa Perbaikan dan Pemeliharaan Mesin Produksi; ; ;")</f>
        <v>Jasa Perbaikan dan Pemeliharaan Mesin Produksi; ; ;</v>
      </c>
      <c r="F3052" s="6">
        <f>IFERROR(__xludf.DUMMYFUNCTION("""COMPUTED_VALUE"""),1.0)</f>
        <v>1</v>
      </c>
      <c r="G3052" s="6" t="str">
        <f>IFERROR(__xludf.DUMMYFUNCTION("""COMPUTED_VALUE"""),"Pieces")</f>
        <v>Pieces</v>
      </c>
      <c r="H3052" s="6" t="str">
        <f>IFERROR(__xludf.DUMMYFUNCTION("""COMPUTED_VALUE"""),"IDR")</f>
        <v>IDR</v>
      </c>
      <c r="I3052" s="6">
        <f>IFERROR(__xludf.DUMMYFUNCTION("""COMPUTED_VALUE"""),8137500.0)</f>
        <v>8137500</v>
      </c>
      <c r="J3052" s="6">
        <f>IFERROR(__xludf.DUMMYFUNCTION("""COMPUTED_VALUE"""),8137500.0)</f>
        <v>8137500</v>
      </c>
      <c r="K3052" s="57">
        <f>IFERROR(__xludf.DUMMYFUNCTION("""COMPUTED_VALUE"""),45366.0)</f>
        <v>45366</v>
      </c>
      <c r="L3052" s="6" t="str">
        <f>IFERROR(__xludf.DUMMYFUNCTION("""COMPUTED_VALUE"""),"FIP General")</f>
        <v>FIP General</v>
      </c>
      <c r="M3052" s="6" t="str">
        <f>IFERROR(__xludf.DUMMYFUNCTION("""COMPUTED_VALUE"""),"Mochammad Fadhillah Hakim,")</f>
        <v>Mochammad Fadhillah Hakim,</v>
      </c>
      <c r="N3052" s="6" t="str">
        <f>IFERROR(__xludf.DUMMYFUNCTION("""COMPUTED_VALUE"""),"FIP Engineering")</f>
        <v>FIP Engineering</v>
      </c>
      <c r="O3052" s="6" t="str">
        <f>IFERROR(__xludf.DUMMYFUNCTION("""COMPUTED_VALUE"""),"FIP-DOM-ENG-51504-0000000-INA-000000")</f>
        <v>FIP-DOM-ENG-51504-0000000-INA-000000</v>
      </c>
      <c r="P3052" s="6" t="str">
        <f>IFERROR(__xludf.DUMMYFUNCTION("""COMPUTED_VALUE"""),"PO Closed")</f>
        <v>PO Closed</v>
      </c>
      <c r="Q3052" s="6" t="str">
        <f>IFERROR(__xludf.DUMMYFUNCTION("""COMPUTED_VALUE"""),"GL2404008")</f>
        <v>GL2404008</v>
      </c>
      <c r="R3052" s="57">
        <f>IFERROR(__xludf.DUMMYFUNCTION("""COMPUTED_VALUE"""),45364.0)</f>
        <v>45364</v>
      </c>
      <c r="S3052" s="57">
        <f>IFERROR(__xludf.DUMMYFUNCTION("""COMPUTED_VALUE"""),45364.0)</f>
        <v>45364</v>
      </c>
      <c r="T3052" s="57">
        <f>IFERROR(__xludf.DUMMYFUNCTION("""COMPUTED_VALUE"""),45401.0)</f>
        <v>45401</v>
      </c>
    </row>
    <row r="3053">
      <c r="A3053" s="6" t="str">
        <f>IFERROR(__xludf.DUMMYFUNCTION("""COMPUTED_VALUE"""),"121701294-1")</f>
        <v>121701294-1</v>
      </c>
      <c r="B3053" s="6" t="str">
        <f>IFERROR(__xludf.DUMMYFUNCTION("""COMPUTED_VALUE"""),"121701294 - APPROVED")</f>
        <v>121701294 - APPROVED</v>
      </c>
      <c r="C3053" s="6">
        <f>IFERROR(__xludf.DUMMYFUNCTION("""COMPUTED_VALUE"""),1.0)</f>
        <v>1</v>
      </c>
      <c r="D3053" s="6" t="str">
        <f>IFERROR(__xludf.DUMMYFUNCTION("""COMPUTED_VALUE"""),"Q-11000-00")</f>
        <v>Q-11000-00</v>
      </c>
      <c r="E3053" s="6" t="str">
        <f>IFERROR(__xludf.DUMMYFUNCTION("""COMPUTED_VALUE"""),"Jasa Perbaikan Gedung; ; ;")</f>
        <v>Jasa Perbaikan Gedung; ; ;</v>
      </c>
      <c r="F3053" s="6">
        <f>IFERROR(__xludf.DUMMYFUNCTION("""COMPUTED_VALUE"""),1.0)</f>
        <v>1</v>
      </c>
      <c r="G3053" s="6" t="str">
        <f>IFERROR(__xludf.DUMMYFUNCTION("""COMPUTED_VALUE"""),"Lot")</f>
        <v>Lot</v>
      </c>
      <c r="H3053" s="6" t="str">
        <f>IFERROR(__xludf.DUMMYFUNCTION("""COMPUTED_VALUE"""),"IDR")</f>
        <v>IDR</v>
      </c>
      <c r="I3053" s="6">
        <f>IFERROR(__xludf.DUMMYFUNCTION("""COMPUTED_VALUE"""),2.5439E7)</f>
        <v>25439000</v>
      </c>
      <c r="J3053" s="6">
        <f>IFERROR(__xludf.DUMMYFUNCTION("""COMPUTED_VALUE"""),2.5439E7)</f>
        <v>25439000</v>
      </c>
      <c r="K3053" s="57">
        <f>IFERROR(__xludf.DUMMYFUNCTION("""COMPUTED_VALUE"""),45366.0)</f>
        <v>45366</v>
      </c>
      <c r="L3053" s="6" t="str">
        <f>IFERROR(__xludf.DUMMYFUNCTION("""COMPUTED_VALUE"""),"FIP General")</f>
        <v>FIP General</v>
      </c>
      <c r="M3053" s="6" t="str">
        <f>IFERROR(__xludf.DUMMYFUNCTION("""COMPUTED_VALUE"""),"Mochammad Fadhillah Hakim,")</f>
        <v>Mochammad Fadhillah Hakim,</v>
      </c>
      <c r="N3053" s="6" t="str">
        <f>IFERROR(__xludf.DUMMYFUNCTION("""COMPUTED_VALUE"""),"FIP Engineering")</f>
        <v>FIP Engineering</v>
      </c>
      <c r="O3053" s="6" t="str">
        <f>IFERROR(__xludf.DUMMYFUNCTION("""COMPUTED_VALUE"""),"FIP-DOM-ENG-51502-0000000-INA-000000")</f>
        <v>FIP-DOM-ENG-51502-0000000-INA-000000</v>
      </c>
      <c r="P3053" s="6" t="str">
        <f>IFERROR(__xludf.DUMMYFUNCTION("""COMPUTED_VALUE"""),"PO Closed")</f>
        <v>PO Closed</v>
      </c>
      <c r="Q3053" s="6" t="str">
        <f>IFERROR(__xludf.DUMMYFUNCTION("""COMPUTED_VALUE"""),"GL2403047")</f>
        <v>GL2403047</v>
      </c>
      <c r="R3053" s="57">
        <f>IFERROR(__xludf.DUMMYFUNCTION("""COMPUTED_VALUE"""),45364.0)</f>
        <v>45364</v>
      </c>
      <c r="S3053" s="57">
        <f>IFERROR(__xludf.DUMMYFUNCTION("""COMPUTED_VALUE"""),45364.0)</f>
        <v>45364</v>
      </c>
      <c r="T3053" s="57">
        <f>IFERROR(__xludf.DUMMYFUNCTION("""COMPUTED_VALUE"""),45408.0)</f>
        <v>45408</v>
      </c>
    </row>
    <row r="3054">
      <c r="A3054" s="6" t="str">
        <f>IFERROR(__xludf.DUMMYFUNCTION("""COMPUTED_VALUE"""),"121701296-1")</f>
        <v>121701296-1</v>
      </c>
      <c r="B3054" s="6" t="str">
        <f>IFERROR(__xludf.DUMMYFUNCTION("""COMPUTED_VALUE"""),"121701296 - APPROVED")</f>
        <v>121701296 - APPROVED</v>
      </c>
      <c r="C3054" s="6">
        <f>IFERROR(__xludf.DUMMYFUNCTION("""COMPUTED_VALUE"""),1.0)</f>
        <v>1</v>
      </c>
      <c r="D3054" s="6" t="str">
        <f>IFERROR(__xludf.DUMMYFUNCTION("""COMPUTED_VALUE"""),"Q-70084-00")</f>
        <v>Q-70084-00</v>
      </c>
      <c r="E3054" s="6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F3054" s="6">
        <f>IFERROR(__xludf.DUMMYFUNCTION("""COMPUTED_VALUE"""),1.0)</f>
        <v>1</v>
      </c>
      <c r="G3054" s="6" t="str">
        <f>IFERROR(__xludf.DUMMYFUNCTION("""COMPUTED_VALUE"""),"Set")</f>
        <v>Set</v>
      </c>
      <c r="H3054" s="6" t="str">
        <f>IFERROR(__xludf.DUMMYFUNCTION("""COMPUTED_VALUE"""),"IDR")</f>
        <v>IDR</v>
      </c>
      <c r="I3054" s="6">
        <f>IFERROR(__xludf.DUMMYFUNCTION("""COMPUTED_VALUE"""),5217000.0)</f>
        <v>5217000</v>
      </c>
      <c r="J3054" s="6">
        <f>IFERROR(__xludf.DUMMYFUNCTION("""COMPUTED_VALUE"""),5217000.0)</f>
        <v>5217000</v>
      </c>
      <c r="K3054" s="57">
        <f>IFERROR(__xludf.DUMMYFUNCTION("""COMPUTED_VALUE"""),45367.0)</f>
        <v>45367</v>
      </c>
      <c r="L3054" s="6" t="str">
        <f>IFERROR(__xludf.DUMMYFUNCTION("""COMPUTED_VALUE"""),"FIP General")</f>
        <v>FIP General</v>
      </c>
      <c r="M3054" s="6" t="str">
        <f>IFERROR(__xludf.DUMMYFUNCTION("""COMPUTED_VALUE"""),"Mochammad Fadhillah Hakim,")</f>
        <v>Mochammad Fadhillah Hakim,</v>
      </c>
      <c r="N3054" s="6" t="str">
        <f>IFERROR(__xludf.DUMMYFUNCTION("""COMPUTED_VALUE"""),"FIP Engineering")</f>
        <v>FIP Engineering</v>
      </c>
      <c r="O3054" s="6" t="str">
        <f>IFERROR(__xludf.DUMMYFUNCTION("""COMPUTED_VALUE"""),"FIP-DOM-ENG-51404-0000000-INA-000000")</f>
        <v>FIP-DOM-ENG-51404-0000000-INA-000000</v>
      </c>
      <c r="P3054" s="6" t="str">
        <f>IFERROR(__xludf.DUMMYFUNCTION("""COMPUTED_VALUE"""),"PO Closed")</f>
        <v>PO Closed</v>
      </c>
      <c r="Q3054" s="6" t="str">
        <f>IFERROR(__xludf.DUMMYFUNCTION("""COMPUTED_VALUE"""),"GL2404018")</f>
        <v>GL2404018</v>
      </c>
      <c r="R3054" s="57">
        <f>IFERROR(__xludf.DUMMYFUNCTION("""COMPUTED_VALUE"""),45365.0)</f>
        <v>45365</v>
      </c>
      <c r="S3054" s="57">
        <f>IFERROR(__xludf.DUMMYFUNCTION("""COMPUTED_VALUE"""),45369.0)</f>
        <v>45369</v>
      </c>
      <c r="T3054" s="57">
        <f>IFERROR(__xludf.DUMMYFUNCTION("""COMPUTED_VALUE"""),45412.0)</f>
        <v>45412</v>
      </c>
    </row>
    <row r="3055">
      <c r="A3055" s="6" t="str">
        <f>IFERROR(__xludf.DUMMYFUNCTION("""COMPUTED_VALUE"""),"121701296-2")</f>
        <v>121701296-2</v>
      </c>
      <c r="B3055" s="6" t="str">
        <f>IFERROR(__xludf.DUMMYFUNCTION("""COMPUTED_VALUE"""),"121701296 - APPROVED")</f>
        <v>121701296 - APPROVED</v>
      </c>
      <c r="C3055" s="6">
        <f>IFERROR(__xludf.DUMMYFUNCTION("""COMPUTED_VALUE"""),2.0)</f>
        <v>2</v>
      </c>
      <c r="D3055" s="6" t="str">
        <f>IFERROR(__xludf.DUMMYFUNCTION("""COMPUTED_VALUE"""),"Q-70085-00")</f>
        <v>Q-70085-00</v>
      </c>
      <c r="E3055" s="6" t="str">
        <f>IFERROR(__xludf.DUMMYFUNCTION("""COMPUTED_VALUE"""),"Super Wire Stripper; Kennedy; KEN5147970K; pack size per pcs")</f>
        <v>Super Wire Stripper; Kennedy; KEN5147970K; pack size per pcs</v>
      </c>
      <c r="F3055" s="6">
        <f>IFERROR(__xludf.DUMMYFUNCTION("""COMPUTED_VALUE"""),1.0)</f>
        <v>1</v>
      </c>
      <c r="G3055" s="6" t="str">
        <f>IFERROR(__xludf.DUMMYFUNCTION("""COMPUTED_VALUE"""),"Pieces")</f>
        <v>Pieces</v>
      </c>
      <c r="H3055" s="6" t="str">
        <f>IFERROR(__xludf.DUMMYFUNCTION("""COMPUTED_VALUE"""),"IDR")</f>
        <v>IDR</v>
      </c>
      <c r="I3055" s="6">
        <f>IFERROR(__xludf.DUMMYFUNCTION("""COMPUTED_VALUE"""),1191000.0)</f>
        <v>1191000</v>
      </c>
      <c r="J3055" s="6">
        <f>IFERROR(__xludf.DUMMYFUNCTION("""COMPUTED_VALUE"""),1191000.0)</f>
        <v>1191000</v>
      </c>
      <c r="K3055" s="57">
        <f>IFERROR(__xludf.DUMMYFUNCTION("""COMPUTED_VALUE"""),45367.0)</f>
        <v>45367</v>
      </c>
      <c r="L3055" s="6" t="str">
        <f>IFERROR(__xludf.DUMMYFUNCTION("""COMPUTED_VALUE"""),"FIP General")</f>
        <v>FIP General</v>
      </c>
      <c r="M3055" s="6" t="str">
        <f>IFERROR(__xludf.DUMMYFUNCTION("""COMPUTED_VALUE"""),"Mochammad Fadhillah Hakim,")</f>
        <v>Mochammad Fadhillah Hakim,</v>
      </c>
      <c r="N3055" s="6" t="str">
        <f>IFERROR(__xludf.DUMMYFUNCTION("""COMPUTED_VALUE"""),"FIP Engineering")</f>
        <v>FIP Engineering</v>
      </c>
      <c r="O3055" s="6" t="str">
        <f>IFERROR(__xludf.DUMMYFUNCTION("""COMPUTED_VALUE"""),"FIP-DOM-ENG-51404-0000000-INA-000000")</f>
        <v>FIP-DOM-ENG-51404-0000000-INA-000000</v>
      </c>
      <c r="P3055" s="6" t="str">
        <f>IFERROR(__xludf.DUMMYFUNCTION("""COMPUTED_VALUE"""),"PO Closed")</f>
        <v>PO Closed</v>
      </c>
      <c r="Q3055" s="6" t="str">
        <f>IFERROR(__xludf.DUMMYFUNCTION("""COMPUTED_VALUE"""),"GL2404018")</f>
        <v>GL2404018</v>
      </c>
      <c r="R3055" s="57">
        <f>IFERROR(__xludf.DUMMYFUNCTION("""COMPUTED_VALUE"""),45365.0)</f>
        <v>45365</v>
      </c>
      <c r="S3055" s="57">
        <f>IFERROR(__xludf.DUMMYFUNCTION("""COMPUTED_VALUE"""),45369.0)</f>
        <v>45369</v>
      </c>
      <c r="T3055" s="57">
        <f>IFERROR(__xludf.DUMMYFUNCTION("""COMPUTED_VALUE"""),45412.0)</f>
        <v>45412</v>
      </c>
    </row>
    <row r="3056">
      <c r="A3056" s="6" t="str">
        <f>IFERROR(__xludf.DUMMYFUNCTION("""COMPUTED_VALUE"""),"121701296-3")</f>
        <v>121701296-3</v>
      </c>
      <c r="B3056" s="6" t="str">
        <f>IFERROR(__xludf.DUMMYFUNCTION("""COMPUTED_VALUE"""),"121701296 - APPROVED")</f>
        <v>121701296 - APPROVED</v>
      </c>
      <c r="C3056" s="6">
        <f>IFERROR(__xludf.DUMMYFUNCTION("""COMPUTED_VALUE"""),3.0)</f>
        <v>3</v>
      </c>
      <c r="D3056" s="6" t="str">
        <f>IFERROR(__xludf.DUMMYFUNCTION("""COMPUTED_VALUE"""),"Q-70086-00")</f>
        <v>Q-70086-00</v>
      </c>
      <c r="E3056" s="6" t="str">
        <f>IFERROR(__xludf.DUMMYFUNCTION("""COMPUTED_VALUE"""),"8x200mm Engineers Screwdriver; Kennedy; KEN5723080K; pack size per pcs")</f>
        <v>8x200mm Engineers Screwdriver; Kennedy; KEN5723080K; pack size per pcs</v>
      </c>
      <c r="F3056" s="6">
        <f>IFERROR(__xludf.DUMMYFUNCTION("""COMPUTED_VALUE"""),2.0)</f>
        <v>2</v>
      </c>
      <c r="G3056" s="6" t="str">
        <f>IFERROR(__xludf.DUMMYFUNCTION("""COMPUTED_VALUE"""),"Pieces")</f>
        <v>Pieces</v>
      </c>
      <c r="H3056" s="6" t="str">
        <f>IFERROR(__xludf.DUMMYFUNCTION("""COMPUTED_VALUE"""),"IDR")</f>
        <v>IDR</v>
      </c>
      <c r="I3056" s="6">
        <f>IFERROR(__xludf.DUMMYFUNCTION("""COMPUTED_VALUE"""),100000.0)</f>
        <v>100000</v>
      </c>
      <c r="J3056" s="6">
        <f>IFERROR(__xludf.DUMMYFUNCTION("""COMPUTED_VALUE"""),200000.0)</f>
        <v>200000</v>
      </c>
      <c r="K3056" s="57">
        <f>IFERROR(__xludf.DUMMYFUNCTION("""COMPUTED_VALUE"""),45367.0)</f>
        <v>45367</v>
      </c>
      <c r="L3056" s="6" t="str">
        <f>IFERROR(__xludf.DUMMYFUNCTION("""COMPUTED_VALUE"""),"FIP General")</f>
        <v>FIP General</v>
      </c>
      <c r="M3056" s="6" t="str">
        <f>IFERROR(__xludf.DUMMYFUNCTION("""COMPUTED_VALUE"""),"Mochammad Fadhillah Hakim,")</f>
        <v>Mochammad Fadhillah Hakim,</v>
      </c>
      <c r="N3056" s="6" t="str">
        <f>IFERROR(__xludf.DUMMYFUNCTION("""COMPUTED_VALUE"""),"FIP Engineering")</f>
        <v>FIP Engineering</v>
      </c>
      <c r="O3056" s="6" t="str">
        <f>IFERROR(__xludf.DUMMYFUNCTION("""COMPUTED_VALUE"""),"FIP-DOM-ENG-51404-0000000-INA-000000")</f>
        <v>FIP-DOM-ENG-51404-0000000-INA-000000</v>
      </c>
      <c r="P3056" s="6" t="str">
        <f>IFERROR(__xludf.DUMMYFUNCTION("""COMPUTED_VALUE"""),"PO Closed")</f>
        <v>PO Closed</v>
      </c>
      <c r="Q3056" s="6" t="str">
        <f>IFERROR(__xludf.DUMMYFUNCTION("""COMPUTED_VALUE"""),"GL2404018")</f>
        <v>GL2404018</v>
      </c>
      <c r="R3056" s="57">
        <f>IFERROR(__xludf.DUMMYFUNCTION("""COMPUTED_VALUE"""),45365.0)</f>
        <v>45365</v>
      </c>
      <c r="S3056" s="57">
        <f>IFERROR(__xludf.DUMMYFUNCTION("""COMPUTED_VALUE"""),45369.0)</f>
        <v>45369</v>
      </c>
      <c r="T3056" s="57">
        <f>IFERROR(__xludf.DUMMYFUNCTION("""COMPUTED_VALUE"""),45412.0)</f>
        <v>45412</v>
      </c>
    </row>
    <row r="3057">
      <c r="A3057" s="6" t="str">
        <f>IFERROR(__xludf.DUMMYFUNCTION("""COMPUTED_VALUE"""),"121701296-4")</f>
        <v>121701296-4</v>
      </c>
      <c r="B3057" s="6" t="str">
        <f>IFERROR(__xludf.DUMMYFUNCTION("""COMPUTED_VALUE"""),"121701296 - APPROVED")</f>
        <v>121701296 - APPROVED</v>
      </c>
      <c r="C3057" s="6">
        <f>IFERROR(__xludf.DUMMYFUNCTION("""COMPUTED_VALUE"""),4.0)</f>
        <v>4</v>
      </c>
      <c r="D3057" s="6" t="str">
        <f>IFERROR(__xludf.DUMMYFUNCTION("""COMPUTED_VALUE"""),"Q-70087-00")</f>
        <v>Q-70087-00</v>
      </c>
      <c r="E3057" s="6" t="str">
        <f>IFERROR(__xludf.DUMMYFUNCTION("""COMPUTED_VALUE"""),"No.4 Cross PT Engineers Screwdriver; Kennedy; KEN5721040K; pack size per pcs")</f>
        <v>No.4 Cross PT Engineers Screwdriver; Kennedy; KEN5721040K; pack size per pcs</v>
      </c>
      <c r="F3057" s="6">
        <f>IFERROR(__xludf.DUMMYFUNCTION("""COMPUTED_VALUE"""),2.0)</f>
        <v>2</v>
      </c>
      <c r="G3057" s="6" t="str">
        <f>IFERROR(__xludf.DUMMYFUNCTION("""COMPUTED_VALUE"""),"Pieces")</f>
        <v>Pieces</v>
      </c>
      <c r="H3057" s="6" t="str">
        <f>IFERROR(__xludf.DUMMYFUNCTION("""COMPUTED_VALUE"""),"IDR")</f>
        <v>IDR</v>
      </c>
      <c r="I3057" s="6">
        <f>IFERROR(__xludf.DUMMYFUNCTION("""COMPUTED_VALUE"""),150000.0)</f>
        <v>150000</v>
      </c>
      <c r="J3057" s="6">
        <f>IFERROR(__xludf.DUMMYFUNCTION("""COMPUTED_VALUE"""),300000.0)</f>
        <v>300000</v>
      </c>
      <c r="K3057" s="57">
        <f>IFERROR(__xludf.DUMMYFUNCTION("""COMPUTED_VALUE"""),45367.0)</f>
        <v>45367</v>
      </c>
      <c r="L3057" s="6" t="str">
        <f>IFERROR(__xludf.DUMMYFUNCTION("""COMPUTED_VALUE"""),"FIP General")</f>
        <v>FIP General</v>
      </c>
      <c r="M3057" s="6" t="str">
        <f>IFERROR(__xludf.DUMMYFUNCTION("""COMPUTED_VALUE"""),"Mochammad Fadhillah Hakim,")</f>
        <v>Mochammad Fadhillah Hakim,</v>
      </c>
      <c r="N3057" s="6" t="str">
        <f>IFERROR(__xludf.DUMMYFUNCTION("""COMPUTED_VALUE"""),"FIP Engineering")</f>
        <v>FIP Engineering</v>
      </c>
      <c r="O3057" s="6" t="str">
        <f>IFERROR(__xludf.DUMMYFUNCTION("""COMPUTED_VALUE"""),"FIP-DOM-ENG-51404-0000000-INA-000000")</f>
        <v>FIP-DOM-ENG-51404-0000000-INA-000000</v>
      </c>
      <c r="P3057" s="6" t="str">
        <f>IFERROR(__xludf.DUMMYFUNCTION("""COMPUTED_VALUE"""),"PO Closed")</f>
        <v>PO Closed</v>
      </c>
      <c r="Q3057" s="6" t="str">
        <f>IFERROR(__xludf.DUMMYFUNCTION("""COMPUTED_VALUE"""),"GL2404018")</f>
        <v>GL2404018</v>
      </c>
      <c r="R3057" s="57">
        <f>IFERROR(__xludf.DUMMYFUNCTION("""COMPUTED_VALUE"""),45365.0)</f>
        <v>45365</v>
      </c>
      <c r="S3057" s="57">
        <f>IFERROR(__xludf.DUMMYFUNCTION("""COMPUTED_VALUE"""),45369.0)</f>
        <v>45369</v>
      </c>
      <c r="T3057" s="57">
        <f>IFERROR(__xludf.DUMMYFUNCTION("""COMPUTED_VALUE"""),45412.0)</f>
        <v>45412</v>
      </c>
    </row>
    <row r="3058">
      <c r="A3058" s="6" t="str">
        <f>IFERROR(__xludf.DUMMYFUNCTION("""COMPUTED_VALUE"""),"121701296-5")</f>
        <v>121701296-5</v>
      </c>
      <c r="B3058" s="6" t="str">
        <f>IFERROR(__xludf.DUMMYFUNCTION("""COMPUTED_VALUE"""),"121701296 - APPROVED")</f>
        <v>121701296 - APPROVED</v>
      </c>
      <c r="C3058" s="6">
        <f>IFERROR(__xludf.DUMMYFUNCTION("""COMPUTED_VALUE"""),5.0)</f>
        <v>5</v>
      </c>
      <c r="D3058" s="6" t="str">
        <f>IFERROR(__xludf.DUMMYFUNCTION("""COMPUTED_VALUE"""),"Q-70088-00")</f>
        <v>Q-70088-00</v>
      </c>
      <c r="E3058" s="6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F3058" s="6">
        <f>IFERROR(__xludf.DUMMYFUNCTION("""COMPUTED_VALUE"""),3.0)</f>
        <v>3</v>
      </c>
      <c r="G3058" s="6" t="str">
        <f>IFERROR(__xludf.DUMMYFUNCTION("""COMPUTED_VALUE"""),"Pieces")</f>
        <v>Pieces</v>
      </c>
      <c r="H3058" s="6" t="str">
        <f>IFERROR(__xludf.DUMMYFUNCTION("""COMPUTED_VALUE"""),"IDR")</f>
        <v>IDR</v>
      </c>
      <c r="I3058" s="6">
        <f>IFERROR(__xludf.DUMMYFUNCTION("""COMPUTED_VALUE"""),110000.0)</f>
        <v>110000</v>
      </c>
      <c r="J3058" s="6">
        <f>IFERROR(__xludf.DUMMYFUNCTION("""COMPUTED_VALUE"""),330000.0)</f>
        <v>330000</v>
      </c>
      <c r="K3058" s="57">
        <f>IFERROR(__xludf.DUMMYFUNCTION("""COMPUTED_VALUE"""),45367.0)</f>
        <v>45367</v>
      </c>
      <c r="L3058" s="6" t="str">
        <f>IFERROR(__xludf.DUMMYFUNCTION("""COMPUTED_VALUE"""),"FIP General")</f>
        <v>FIP General</v>
      </c>
      <c r="M3058" s="6" t="str">
        <f>IFERROR(__xludf.DUMMYFUNCTION("""COMPUTED_VALUE"""),"Mochammad Fadhillah Hakim,")</f>
        <v>Mochammad Fadhillah Hakim,</v>
      </c>
      <c r="N3058" s="6" t="str">
        <f>IFERROR(__xludf.DUMMYFUNCTION("""COMPUTED_VALUE"""),"FIP Engineering")</f>
        <v>FIP Engineering</v>
      </c>
      <c r="O3058" s="6" t="str">
        <f>IFERROR(__xludf.DUMMYFUNCTION("""COMPUTED_VALUE"""),"FIP-DOM-ENG-51404-0000000-INA-000000")</f>
        <v>FIP-DOM-ENG-51404-0000000-INA-000000</v>
      </c>
      <c r="P3058" s="6" t="str">
        <f>IFERROR(__xludf.DUMMYFUNCTION("""COMPUTED_VALUE"""),"PO Closed")</f>
        <v>PO Closed</v>
      </c>
      <c r="Q3058" s="6" t="str">
        <f>IFERROR(__xludf.DUMMYFUNCTION("""COMPUTED_VALUE"""),"GL2404018")</f>
        <v>GL2404018</v>
      </c>
      <c r="R3058" s="57">
        <f>IFERROR(__xludf.DUMMYFUNCTION("""COMPUTED_VALUE"""),45365.0)</f>
        <v>45365</v>
      </c>
      <c r="S3058" s="57">
        <f>IFERROR(__xludf.DUMMYFUNCTION("""COMPUTED_VALUE"""),45369.0)</f>
        <v>45369</v>
      </c>
      <c r="T3058" s="57">
        <f>IFERROR(__xludf.DUMMYFUNCTION("""COMPUTED_VALUE"""),45412.0)</f>
        <v>45412</v>
      </c>
    </row>
    <row r="3059">
      <c r="A3059" s="6" t="str">
        <f>IFERROR(__xludf.DUMMYFUNCTION("""COMPUTED_VALUE"""),"121701296-6")</f>
        <v>121701296-6</v>
      </c>
      <c r="B3059" s="6" t="str">
        <f>IFERROR(__xludf.DUMMYFUNCTION("""COMPUTED_VALUE"""),"121701296 - APPROVED")</f>
        <v>121701296 - APPROVED</v>
      </c>
      <c r="C3059" s="6">
        <f>IFERROR(__xludf.DUMMYFUNCTION("""COMPUTED_VALUE"""),6.0)</f>
        <v>6</v>
      </c>
      <c r="D3059" s="6" t="str">
        <f>IFERROR(__xludf.DUMMYFUNCTION("""COMPUTED_VALUE"""),"Q-70089-00")</f>
        <v>Q-70089-00</v>
      </c>
      <c r="E3059" s="6" t="str">
        <f>IFERROR(__xludf.DUMMYFUNCTION("""COMPUTED_VALUE"""),"4 Inch 20 Blade Metric Feeler Gauge; Kennedy; KEN5180780K; pack size per pcs")</f>
        <v>4 Inch 20 Blade Metric Feeler Gauge; Kennedy; KEN5180780K; pack size per pcs</v>
      </c>
      <c r="F3059" s="6">
        <f>IFERROR(__xludf.DUMMYFUNCTION("""COMPUTED_VALUE"""),1.0)</f>
        <v>1</v>
      </c>
      <c r="G3059" s="6" t="str">
        <f>IFERROR(__xludf.DUMMYFUNCTION("""COMPUTED_VALUE"""),"Pieces")</f>
        <v>Pieces</v>
      </c>
      <c r="H3059" s="6" t="str">
        <f>IFERROR(__xludf.DUMMYFUNCTION("""COMPUTED_VALUE"""),"IDR")</f>
        <v>IDR</v>
      </c>
      <c r="I3059" s="6">
        <f>IFERROR(__xludf.DUMMYFUNCTION("""COMPUTED_VALUE"""),448000.0)</f>
        <v>448000</v>
      </c>
      <c r="J3059" s="6">
        <f>IFERROR(__xludf.DUMMYFUNCTION("""COMPUTED_VALUE"""),448000.0)</f>
        <v>448000</v>
      </c>
      <c r="K3059" s="57">
        <f>IFERROR(__xludf.DUMMYFUNCTION("""COMPUTED_VALUE"""),45367.0)</f>
        <v>45367</v>
      </c>
      <c r="L3059" s="6" t="str">
        <f>IFERROR(__xludf.DUMMYFUNCTION("""COMPUTED_VALUE"""),"FIP General")</f>
        <v>FIP General</v>
      </c>
      <c r="M3059" s="6" t="str">
        <f>IFERROR(__xludf.DUMMYFUNCTION("""COMPUTED_VALUE"""),"Mochammad Fadhillah Hakim,")</f>
        <v>Mochammad Fadhillah Hakim,</v>
      </c>
      <c r="N3059" s="6" t="str">
        <f>IFERROR(__xludf.DUMMYFUNCTION("""COMPUTED_VALUE"""),"FIP Engineering")</f>
        <v>FIP Engineering</v>
      </c>
      <c r="O3059" s="6" t="str">
        <f>IFERROR(__xludf.DUMMYFUNCTION("""COMPUTED_VALUE"""),"FIP-DOM-ENG-51404-0000000-INA-000000")</f>
        <v>FIP-DOM-ENG-51404-0000000-INA-000000</v>
      </c>
      <c r="P3059" s="6" t="str">
        <f>IFERROR(__xludf.DUMMYFUNCTION("""COMPUTED_VALUE"""),"PO Closed")</f>
        <v>PO Closed</v>
      </c>
      <c r="Q3059" s="6" t="str">
        <f>IFERROR(__xludf.DUMMYFUNCTION("""COMPUTED_VALUE"""),"GL2404018")</f>
        <v>GL2404018</v>
      </c>
      <c r="R3059" s="57">
        <f>IFERROR(__xludf.DUMMYFUNCTION("""COMPUTED_VALUE"""),45365.0)</f>
        <v>45365</v>
      </c>
      <c r="S3059" s="57">
        <f>IFERROR(__xludf.DUMMYFUNCTION("""COMPUTED_VALUE"""),45369.0)</f>
        <v>45369</v>
      </c>
      <c r="T3059" s="57">
        <f>IFERROR(__xludf.DUMMYFUNCTION("""COMPUTED_VALUE"""),45412.0)</f>
        <v>45412</v>
      </c>
    </row>
    <row r="3060">
      <c r="A3060" s="6" t="str">
        <f>IFERROR(__xludf.DUMMYFUNCTION("""COMPUTED_VALUE"""),"121701296-7")</f>
        <v>121701296-7</v>
      </c>
      <c r="B3060" s="6" t="str">
        <f>IFERROR(__xludf.DUMMYFUNCTION("""COMPUTED_VALUE"""),"121701296 - APPROVED")</f>
        <v>121701296 - APPROVED</v>
      </c>
      <c r="C3060" s="6">
        <f>IFERROR(__xludf.DUMMYFUNCTION("""COMPUTED_VALUE"""),7.0)</f>
        <v>7</v>
      </c>
      <c r="D3060" s="6" t="str">
        <f>IFERROR(__xludf.DUMMYFUNCTION("""COMPUTED_VALUE"""),"Q-70090-00")</f>
        <v>Q-70090-00</v>
      </c>
      <c r="E3060" s="6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F3060" s="6">
        <f>IFERROR(__xludf.DUMMYFUNCTION("""COMPUTED_VALUE"""),1.0)</f>
        <v>1</v>
      </c>
      <c r="G3060" s="6" t="str">
        <f>IFERROR(__xludf.DUMMYFUNCTION("""COMPUTED_VALUE"""),"Pieces")</f>
        <v>Pieces</v>
      </c>
      <c r="H3060" s="6" t="str">
        <f>IFERROR(__xludf.DUMMYFUNCTION("""COMPUTED_VALUE"""),"IDR")</f>
        <v>IDR</v>
      </c>
      <c r="I3060" s="6">
        <f>IFERROR(__xludf.DUMMYFUNCTION("""COMPUTED_VALUE"""),2024000.0)</f>
        <v>2024000</v>
      </c>
      <c r="J3060" s="6">
        <f>IFERROR(__xludf.DUMMYFUNCTION("""COMPUTED_VALUE"""),2024000.0)</f>
        <v>2024000</v>
      </c>
      <c r="K3060" s="57">
        <f>IFERROR(__xludf.DUMMYFUNCTION("""COMPUTED_VALUE"""),45367.0)</f>
        <v>45367</v>
      </c>
      <c r="L3060" s="6" t="str">
        <f>IFERROR(__xludf.DUMMYFUNCTION("""COMPUTED_VALUE"""),"FIP General")</f>
        <v>FIP General</v>
      </c>
      <c r="M3060" s="6" t="str">
        <f>IFERROR(__xludf.DUMMYFUNCTION("""COMPUTED_VALUE"""),"Mochammad Fadhillah Hakim,")</f>
        <v>Mochammad Fadhillah Hakim,</v>
      </c>
      <c r="N3060" s="6" t="str">
        <f>IFERROR(__xludf.DUMMYFUNCTION("""COMPUTED_VALUE"""),"FIP Engineering")</f>
        <v>FIP Engineering</v>
      </c>
      <c r="O3060" s="6" t="str">
        <f>IFERROR(__xludf.DUMMYFUNCTION("""COMPUTED_VALUE"""),"FIP-DOM-ENG-51404-0000000-INA-000000")</f>
        <v>FIP-DOM-ENG-51404-0000000-INA-000000</v>
      </c>
      <c r="P3060" s="6" t="str">
        <f>IFERROR(__xludf.DUMMYFUNCTION("""COMPUTED_VALUE"""),"PO Closed")</f>
        <v>PO Closed</v>
      </c>
      <c r="Q3060" s="6" t="str">
        <f>IFERROR(__xludf.DUMMYFUNCTION("""COMPUTED_VALUE"""),"GL2404018")</f>
        <v>GL2404018</v>
      </c>
      <c r="R3060" s="57">
        <f>IFERROR(__xludf.DUMMYFUNCTION("""COMPUTED_VALUE"""),45365.0)</f>
        <v>45365</v>
      </c>
      <c r="S3060" s="57">
        <f>IFERROR(__xludf.DUMMYFUNCTION("""COMPUTED_VALUE"""),45369.0)</f>
        <v>45369</v>
      </c>
      <c r="T3060" s="57">
        <f>IFERROR(__xludf.DUMMYFUNCTION("""COMPUTED_VALUE"""),45425.0)</f>
        <v>45425</v>
      </c>
    </row>
    <row r="3061">
      <c r="A3061" s="6" t="str">
        <f>IFERROR(__xludf.DUMMYFUNCTION("""COMPUTED_VALUE"""),"121701296-8")</f>
        <v>121701296-8</v>
      </c>
      <c r="B3061" s="6" t="str">
        <f>IFERROR(__xludf.DUMMYFUNCTION("""COMPUTED_VALUE"""),"121701296 - APPROVED")</f>
        <v>121701296 - APPROVED</v>
      </c>
      <c r="C3061" s="6">
        <f>IFERROR(__xludf.DUMMYFUNCTION("""COMPUTED_VALUE"""),8.0)</f>
        <v>8</v>
      </c>
      <c r="D3061" s="6" t="str">
        <f>IFERROR(__xludf.DUMMYFUNCTION("""COMPUTED_VALUE"""),"Q-70091-00")</f>
        <v>Q-70091-00</v>
      </c>
      <c r="E3061" s="6" t="str">
        <f>IFERROR(__xludf.DUMMYFUNCTION("""COMPUTED_VALUE"""),"125mm/5 Inch Diagonal Pro-TorQ Cutter; Kennedy; KEN5582020K; pack size per pcs")</f>
        <v>125mm/5 Inch Diagonal Pro-TorQ Cutter; Kennedy; KEN5582020K; pack size per pcs</v>
      </c>
      <c r="F3061" s="6">
        <f>IFERROR(__xludf.DUMMYFUNCTION("""COMPUTED_VALUE"""),2.0)</f>
        <v>2</v>
      </c>
      <c r="G3061" s="6" t="str">
        <f>IFERROR(__xludf.DUMMYFUNCTION("""COMPUTED_VALUE"""),"Pieces")</f>
        <v>Pieces</v>
      </c>
      <c r="H3061" s="6" t="str">
        <f>IFERROR(__xludf.DUMMYFUNCTION("""COMPUTED_VALUE"""),"IDR")</f>
        <v>IDR</v>
      </c>
      <c r="I3061" s="6">
        <f>IFERROR(__xludf.DUMMYFUNCTION("""COMPUTED_VALUE"""),305000.0)</f>
        <v>305000</v>
      </c>
      <c r="J3061" s="6">
        <f>IFERROR(__xludf.DUMMYFUNCTION("""COMPUTED_VALUE"""),610000.0)</f>
        <v>610000</v>
      </c>
      <c r="K3061" s="57">
        <f>IFERROR(__xludf.DUMMYFUNCTION("""COMPUTED_VALUE"""),45367.0)</f>
        <v>45367</v>
      </c>
      <c r="L3061" s="6" t="str">
        <f>IFERROR(__xludf.DUMMYFUNCTION("""COMPUTED_VALUE"""),"FIP General")</f>
        <v>FIP General</v>
      </c>
      <c r="M3061" s="6" t="str">
        <f>IFERROR(__xludf.DUMMYFUNCTION("""COMPUTED_VALUE"""),"Mochammad Fadhillah Hakim,")</f>
        <v>Mochammad Fadhillah Hakim,</v>
      </c>
      <c r="N3061" s="6" t="str">
        <f>IFERROR(__xludf.DUMMYFUNCTION("""COMPUTED_VALUE"""),"FIP Engineering")</f>
        <v>FIP Engineering</v>
      </c>
      <c r="O3061" s="6" t="str">
        <f>IFERROR(__xludf.DUMMYFUNCTION("""COMPUTED_VALUE"""),"FIP-DOM-ENG-51404-0000000-INA-000000")</f>
        <v>FIP-DOM-ENG-51404-0000000-INA-000000</v>
      </c>
      <c r="P3061" s="6" t="str">
        <f>IFERROR(__xludf.DUMMYFUNCTION("""COMPUTED_VALUE"""),"PO Closed")</f>
        <v>PO Closed</v>
      </c>
      <c r="Q3061" s="6" t="str">
        <f>IFERROR(__xludf.DUMMYFUNCTION("""COMPUTED_VALUE"""),"GL2404018")</f>
        <v>GL2404018</v>
      </c>
      <c r="R3061" s="57">
        <f>IFERROR(__xludf.DUMMYFUNCTION("""COMPUTED_VALUE"""),45365.0)</f>
        <v>45365</v>
      </c>
      <c r="S3061" s="57">
        <f>IFERROR(__xludf.DUMMYFUNCTION("""COMPUTED_VALUE"""),45369.0)</f>
        <v>45369</v>
      </c>
      <c r="T3061" s="57">
        <f>IFERROR(__xludf.DUMMYFUNCTION("""COMPUTED_VALUE"""),45412.0)</f>
        <v>45412</v>
      </c>
    </row>
    <row r="3062">
      <c r="A3062" s="6" t="str">
        <f>IFERROR(__xludf.DUMMYFUNCTION("""COMPUTED_VALUE"""),"121701296-9")</f>
        <v>121701296-9</v>
      </c>
      <c r="B3062" s="6" t="str">
        <f>IFERROR(__xludf.DUMMYFUNCTION("""COMPUTED_VALUE"""),"121701296 - APPROVED")</f>
        <v>121701296 - APPROVED</v>
      </c>
      <c r="C3062" s="6">
        <f>IFERROR(__xludf.DUMMYFUNCTION("""COMPUTED_VALUE"""),9.0)</f>
        <v>9</v>
      </c>
      <c r="D3062" s="6" t="str">
        <f>IFERROR(__xludf.DUMMYFUNCTION("""COMPUTED_VALUE"""),"Q-70092-00")</f>
        <v>Q-70092-00</v>
      </c>
      <c r="E3062" s="6" t="str">
        <f>IFERROR(__xludf.DUMMYFUNCTION("""COMPUTED_VALUE"""),"25-Drawer Small Parts Storage Cabinet; Kennedy; KEN5935120K; pack size per unit")</f>
        <v>25-Drawer Small Parts Storage Cabinet; Kennedy; KEN5935120K; pack size per unit</v>
      </c>
      <c r="F3062" s="6">
        <f>IFERROR(__xludf.DUMMYFUNCTION("""COMPUTED_VALUE"""),1.0)</f>
        <v>1</v>
      </c>
      <c r="G3062" s="6" t="str">
        <f>IFERROR(__xludf.DUMMYFUNCTION("""COMPUTED_VALUE"""),"Unit")</f>
        <v>Unit</v>
      </c>
      <c r="H3062" s="6" t="str">
        <f>IFERROR(__xludf.DUMMYFUNCTION("""COMPUTED_VALUE"""),"IDR")</f>
        <v>IDR</v>
      </c>
      <c r="I3062" s="6">
        <f>IFERROR(__xludf.DUMMYFUNCTION("""COMPUTED_VALUE"""),1398000.0)</f>
        <v>1398000</v>
      </c>
      <c r="J3062" s="6">
        <f>IFERROR(__xludf.DUMMYFUNCTION("""COMPUTED_VALUE"""),1398000.0)</f>
        <v>1398000</v>
      </c>
      <c r="K3062" s="57">
        <f>IFERROR(__xludf.DUMMYFUNCTION("""COMPUTED_VALUE"""),45367.0)</f>
        <v>45367</v>
      </c>
      <c r="L3062" s="6" t="str">
        <f>IFERROR(__xludf.DUMMYFUNCTION("""COMPUTED_VALUE"""),"FIP General")</f>
        <v>FIP General</v>
      </c>
      <c r="M3062" s="6" t="str">
        <f>IFERROR(__xludf.DUMMYFUNCTION("""COMPUTED_VALUE"""),"Mochammad Fadhillah Hakim,")</f>
        <v>Mochammad Fadhillah Hakim,</v>
      </c>
      <c r="N3062" s="6" t="str">
        <f>IFERROR(__xludf.DUMMYFUNCTION("""COMPUTED_VALUE"""),"FIP Engineering")</f>
        <v>FIP Engineering</v>
      </c>
      <c r="O3062" s="6" t="str">
        <f>IFERROR(__xludf.DUMMYFUNCTION("""COMPUTED_VALUE"""),"FIP-DOM-ENG-51404-0000000-INA-000000")</f>
        <v>FIP-DOM-ENG-51404-0000000-INA-000000</v>
      </c>
      <c r="P3062" s="6" t="str">
        <f>IFERROR(__xludf.DUMMYFUNCTION("""COMPUTED_VALUE"""),"PO Closed")</f>
        <v>PO Closed</v>
      </c>
      <c r="Q3062" s="6" t="str">
        <f>IFERROR(__xludf.DUMMYFUNCTION("""COMPUTED_VALUE"""),"GL2404018")</f>
        <v>GL2404018</v>
      </c>
      <c r="R3062" s="57">
        <f>IFERROR(__xludf.DUMMYFUNCTION("""COMPUTED_VALUE"""),45365.0)</f>
        <v>45365</v>
      </c>
      <c r="S3062" s="57">
        <f>IFERROR(__xludf.DUMMYFUNCTION("""COMPUTED_VALUE"""),45369.0)</f>
        <v>45369</v>
      </c>
      <c r="T3062" s="57">
        <f>IFERROR(__xludf.DUMMYFUNCTION("""COMPUTED_VALUE"""),45425.0)</f>
        <v>45425</v>
      </c>
    </row>
    <row r="3063">
      <c r="A3063" s="6" t="str">
        <f>IFERROR(__xludf.DUMMYFUNCTION("""COMPUTED_VALUE"""),"121701296-10")</f>
        <v>121701296-10</v>
      </c>
      <c r="B3063" s="6" t="str">
        <f>IFERROR(__xludf.DUMMYFUNCTION("""COMPUTED_VALUE"""),"121701296 - APPROVED")</f>
        <v>121701296 - APPROVED</v>
      </c>
      <c r="C3063" s="6">
        <f>IFERROR(__xludf.DUMMYFUNCTION("""COMPUTED_VALUE"""),10.0)</f>
        <v>10</v>
      </c>
      <c r="D3063" s="6" t="str">
        <f>IFERROR(__xludf.DUMMYFUNCTION("""COMPUTED_VALUE"""),"Q-70093-00")</f>
        <v>Q-70093-00</v>
      </c>
      <c r="E3063" s="6" t="str">
        <f>IFERROR(__xludf.DUMMYFUNCTION("""COMPUTED_VALUE"""),"Flat Parallel Mini Srewdriver 3x65; Kennedy; KEN5725220K; pack size per pcs")</f>
        <v>Flat Parallel Mini Srewdriver 3x65; Kennedy; KEN5725220K; pack size per pcs</v>
      </c>
      <c r="F3063" s="6">
        <f>IFERROR(__xludf.DUMMYFUNCTION("""COMPUTED_VALUE"""),3.0)</f>
        <v>3</v>
      </c>
      <c r="G3063" s="6" t="str">
        <f>IFERROR(__xludf.DUMMYFUNCTION("""COMPUTED_VALUE"""),"Pieces")</f>
        <v>Pieces</v>
      </c>
      <c r="H3063" s="6" t="str">
        <f>IFERROR(__xludf.DUMMYFUNCTION("""COMPUTED_VALUE"""),"IDR")</f>
        <v>IDR</v>
      </c>
      <c r="I3063" s="6">
        <f>IFERROR(__xludf.DUMMYFUNCTION("""COMPUTED_VALUE"""),28000.0)</f>
        <v>28000</v>
      </c>
      <c r="J3063" s="6">
        <f>IFERROR(__xludf.DUMMYFUNCTION("""COMPUTED_VALUE"""),84000.0)</f>
        <v>84000</v>
      </c>
      <c r="K3063" s="57">
        <f>IFERROR(__xludf.DUMMYFUNCTION("""COMPUTED_VALUE"""),45367.0)</f>
        <v>45367</v>
      </c>
      <c r="L3063" s="6" t="str">
        <f>IFERROR(__xludf.DUMMYFUNCTION("""COMPUTED_VALUE"""),"FIP General")</f>
        <v>FIP General</v>
      </c>
      <c r="M3063" s="6" t="str">
        <f>IFERROR(__xludf.DUMMYFUNCTION("""COMPUTED_VALUE"""),"Mochammad Fadhillah Hakim,")</f>
        <v>Mochammad Fadhillah Hakim,</v>
      </c>
      <c r="N3063" s="6" t="str">
        <f>IFERROR(__xludf.DUMMYFUNCTION("""COMPUTED_VALUE"""),"FIP Engineering")</f>
        <v>FIP Engineering</v>
      </c>
      <c r="O3063" s="6" t="str">
        <f>IFERROR(__xludf.DUMMYFUNCTION("""COMPUTED_VALUE"""),"FIP-DOM-ENG-51404-0000000-INA-000000")</f>
        <v>FIP-DOM-ENG-51404-0000000-INA-000000</v>
      </c>
      <c r="P3063" s="6" t="str">
        <f>IFERROR(__xludf.DUMMYFUNCTION("""COMPUTED_VALUE"""),"PO Closed")</f>
        <v>PO Closed</v>
      </c>
      <c r="Q3063" s="6" t="str">
        <f>IFERROR(__xludf.DUMMYFUNCTION("""COMPUTED_VALUE"""),"GL2404018")</f>
        <v>GL2404018</v>
      </c>
      <c r="R3063" s="57">
        <f>IFERROR(__xludf.DUMMYFUNCTION("""COMPUTED_VALUE"""),45365.0)</f>
        <v>45365</v>
      </c>
      <c r="S3063" s="57">
        <f>IFERROR(__xludf.DUMMYFUNCTION("""COMPUTED_VALUE"""),45369.0)</f>
        <v>45369</v>
      </c>
      <c r="T3063" s="57">
        <f>IFERROR(__xludf.DUMMYFUNCTION("""COMPUTED_VALUE"""),45412.0)</f>
        <v>45412</v>
      </c>
    </row>
    <row r="3064">
      <c r="A3064" s="6" t="str">
        <f>IFERROR(__xludf.DUMMYFUNCTION("""COMPUTED_VALUE"""),"121701296-11")</f>
        <v>121701296-11</v>
      </c>
      <c r="B3064" s="6" t="str">
        <f>IFERROR(__xludf.DUMMYFUNCTION("""COMPUTED_VALUE"""),"121701296 - APPROVED")</f>
        <v>121701296 - APPROVED</v>
      </c>
      <c r="C3064" s="6">
        <f>IFERROR(__xludf.DUMMYFUNCTION("""COMPUTED_VALUE"""),11.0)</f>
        <v>11</v>
      </c>
      <c r="D3064" s="6" t="str">
        <f>IFERROR(__xludf.DUMMYFUNCTION("""COMPUTED_VALUE"""),"Q-70093-00")</f>
        <v>Q-70093-00</v>
      </c>
      <c r="E3064" s="6" t="str">
        <f>IFERROR(__xludf.DUMMYFUNCTION("""COMPUTED_VALUE"""),"Flat Parallel Mini Srewdriver 3x65; Kennedy; KEN5725220K; pack size per pcs")</f>
        <v>Flat Parallel Mini Srewdriver 3x65; Kennedy; KEN5725220K; pack size per pcs</v>
      </c>
      <c r="F3064" s="6">
        <f>IFERROR(__xludf.DUMMYFUNCTION("""COMPUTED_VALUE"""),3.0)</f>
        <v>3</v>
      </c>
      <c r="G3064" s="6" t="str">
        <f>IFERROR(__xludf.DUMMYFUNCTION("""COMPUTED_VALUE"""),"Pieces")</f>
        <v>Pieces</v>
      </c>
      <c r="H3064" s="6" t="str">
        <f>IFERROR(__xludf.DUMMYFUNCTION("""COMPUTED_VALUE"""),"IDR")</f>
        <v>IDR</v>
      </c>
      <c r="I3064" s="6">
        <f>IFERROR(__xludf.DUMMYFUNCTION("""COMPUTED_VALUE"""),28000.0)</f>
        <v>28000</v>
      </c>
      <c r="J3064" s="6">
        <f>IFERROR(__xludf.DUMMYFUNCTION("""COMPUTED_VALUE"""),84000.0)</f>
        <v>84000</v>
      </c>
      <c r="K3064" s="57">
        <f>IFERROR(__xludf.DUMMYFUNCTION("""COMPUTED_VALUE"""),45367.0)</f>
        <v>45367</v>
      </c>
      <c r="L3064" s="6" t="str">
        <f>IFERROR(__xludf.DUMMYFUNCTION("""COMPUTED_VALUE"""),"FIP General")</f>
        <v>FIP General</v>
      </c>
      <c r="M3064" s="6" t="str">
        <f>IFERROR(__xludf.DUMMYFUNCTION("""COMPUTED_VALUE"""),"Mochammad Fadhillah Hakim,")</f>
        <v>Mochammad Fadhillah Hakim,</v>
      </c>
      <c r="N3064" s="6" t="str">
        <f>IFERROR(__xludf.DUMMYFUNCTION("""COMPUTED_VALUE"""),"FIP Engineering")</f>
        <v>FIP Engineering</v>
      </c>
      <c r="O3064" s="6" t="str">
        <f>IFERROR(__xludf.DUMMYFUNCTION("""COMPUTED_VALUE"""),"FIP-DOM-ENG-51404-0000000-INA-000000")</f>
        <v>FIP-DOM-ENG-51404-0000000-INA-000000</v>
      </c>
      <c r="P3064" s="6" t="str">
        <f>IFERROR(__xludf.DUMMYFUNCTION("""COMPUTED_VALUE"""),"PO Closed")</f>
        <v>PO Closed</v>
      </c>
      <c r="Q3064" s="6" t="str">
        <f>IFERROR(__xludf.DUMMYFUNCTION("""COMPUTED_VALUE"""),"GL2404018")</f>
        <v>GL2404018</v>
      </c>
      <c r="R3064" s="57">
        <f>IFERROR(__xludf.DUMMYFUNCTION("""COMPUTED_VALUE"""),45365.0)</f>
        <v>45365</v>
      </c>
      <c r="S3064" s="57">
        <f>IFERROR(__xludf.DUMMYFUNCTION("""COMPUTED_VALUE"""),45369.0)</f>
        <v>45369</v>
      </c>
      <c r="T3064" s="57">
        <f>IFERROR(__xludf.DUMMYFUNCTION("""COMPUTED_VALUE"""),45425.0)</f>
        <v>45425</v>
      </c>
    </row>
    <row r="3065">
      <c r="A3065" s="6" t="str">
        <f>IFERROR(__xludf.DUMMYFUNCTION("""COMPUTED_VALUE"""),"121701297-1")</f>
        <v>121701297-1</v>
      </c>
      <c r="B3065" s="6" t="str">
        <f>IFERROR(__xludf.DUMMYFUNCTION("""COMPUTED_VALUE"""),"121701297 - APPROVED")</f>
        <v>121701297 - APPROVED</v>
      </c>
      <c r="C3065" s="6">
        <f>IFERROR(__xludf.DUMMYFUNCTION("""COMPUTED_VALUE"""),1.0)</f>
        <v>1</v>
      </c>
      <c r="D3065" s="6" t="str">
        <f>IFERROR(__xludf.DUMMYFUNCTION("""COMPUTED_VALUE"""),"S-60050-00")</f>
        <v>S-60050-00</v>
      </c>
      <c r="E3065" s="6" t="str">
        <f>IFERROR(__xludf.DUMMYFUNCTION("""COMPUTED_VALUE"""),"Jasa Perbaikan dan Pemeliharaan Mesin Produksi; ; ;")</f>
        <v>Jasa Perbaikan dan Pemeliharaan Mesin Produksi; ; ;</v>
      </c>
      <c r="F3065" s="6">
        <f>IFERROR(__xludf.DUMMYFUNCTION("""COMPUTED_VALUE"""),1.0)</f>
        <v>1</v>
      </c>
      <c r="G3065" s="6" t="str">
        <f>IFERROR(__xludf.DUMMYFUNCTION("""COMPUTED_VALUE"""),"Pieces")</f>
        <v>Pieces</v>
      </c>
      <c r="H3065" s="6" t="str">
        <f>IFERROR(__xludf.DUMMYFUNCTION("""COMPUTED_VALUE"""),"IDR")</f>
        <v>IDR</v>
      </c>
      <c r="I3065" s="6">
        <f>IFERROR(__xludf.DUMMYFUNCTION("""COMPUTED_VALUE"""),2000000.0)</f>
        <v>2000000</v>
      </c>
      <c r="J3065" s="6">
        <f>IFERROR(__xludf.DUMMYFUNCTION("""COMPUTED_VALUE"""),2000000.0)</f>
        <v>2000000</v>
      </c>
      <c r="K3065" s="57">
        <f>IFERROR(__xludf.DUMMYFUNCTION("""COMPUTED_VALUE"""),45367.0)</f>
        <v>45367</v>
      </c>
      <c r="L3065" s="6" t="str">
        <f>IFERROR(__xludf.DUMMYFUNCTION("""COMPUTED_VALUE"""),"FIP General")</f>
        <v>FIP General</v>
      </c>
      <c r="M3065" s="6" t="str">
        <f>IFERROR(__xludf.DUMMYFUNCTION("""COMPUTED_VALUE"""),"Mochammad Fadhillah Hakim,")</f>
        <v>Mochammad Fadhillah Hakim,</v>
      </c>
      <c r="N3065" s="6" t="str">
        <f>IFERROR(__xludf.DUMMYFUNCTION("""COMPUTED_VALUE"""),"FIP Engineering")</f>
        <v>FIP Engineering</v>
      </c>
      <c r="O3065" s="6" t="str">
        <f>IFERROR(__xludf.DUMMYFUNCTION("""COMPUTED_VALUE"""),"FIP-DOM-ENG-51504-0000000-INA-000000")</f>
        <v>FIP-DOM-ENG-51504-0000000-INA-000000</v>
      </c>
      <c r="P3065" s="6" t="str">
        <f>IFERROR(__xludf.DUMMYFUNCTION("""COMPUTED_VALUE"""),"PO Closed")</f>
        <v>PO Closed</v>
      </c>
      <c r="Q3065" s="6" t="str">
        <f>IFERROR(__xludf.DUMMYFUNCTION("""COMPUTED_VALUE"""),"GL2404030")</f>
        <v>GL2404030</v>
      </c>
      <c r="R3065" s="57">
        <f>IFERROR(__xludf.DUMMYFUNCTION("""COMPUTED_VALUE"""),45365.0)</f>
        <v>45365</v>
      </c>
      <c r="S3065" s="57">
        <f>IFERROR(__xludf.DUMMYFUNCTION("""COMPUTED_VALUE"""),45365.0)</f>
        <v>45365</v>
      </c>
      <c r="T3065" s="57">
        <f>IFERROR(__xludf.DUMMYFUNCTION("""COMPUTED_VALUE"""),45450.0)</f>
        <v>45450</v>
      </c>
    </row>
    <row r="3066">
      <c r="A3066" s="6" t="str">
        <f>IFERROR(__xludf.DUMMYFUNCTION("""COMPUTED_VALUE"""),"121701298-1")</f>
        <v>121701298-1</v>
      </c>
      <c r="B3066" s="6" t="str">
        <f>IFERROR(__xludf.DUMMYFUNCTION("""COMPUTED_VALUE"""),"121701298 - APPROVED")</f>
        <v>121701298 - APPROVED</v>
      </c>
      <c r="C3066" s="6">
        <f>IFERROR(__xludf.DUMMYFUNCTION("""COMPUTED_VALUE"""),1.0)</f>
        <v>1</v>
      </c>
      <c r="D3066" s="6" t="str">
        <f>IFERROR(__xludf.DUMMYFUNCTION("""COMPUTED_VALUE"""),"S-60002-00")</f>
        <v>S-60002-00</v>
      </c>
      <c r="E3066" s="6" t="str">
        <f>IFERROR(__xludf.DUMMYFUNCTION("""COMPUTED_VALUE"""),"Jasa Perbaikan dan Pemeliharaan Mesin Utility")</f>
        <v>Jasa Perbaikan dan Pemeliharaan Mesin Utility</v>
      </c>
      <c r="F3066" s="6">
        <f>IFERROR(__xludf.DUMMYFUNCTION("""COMPUTED_VALUE"""),1.0)</f>
        <v>1</v>
      </c>
      <c r="G3066" s="6" t="str">
        <f>IFERROR(__xludf.DUMMYFUNCTION("""COMPUTED_VALUE"""),"Lot")</f>
        <v>Lot</v>
      </c>
      <c r="H3066" s="6" t="str">
        <f>IFERROR(__xludf.DUMMYFUNCTION("""COMPUTED_VALUE"""),"IDR")</f>
        <v>IDR</v>
      </c>
      <c r="I3066" s="6">
        <f>IFERROR(__xludf.DUMMYFUNCTION("""COMPUTED_VALUE"""),3.616E7)</f>
        <v>36160000</v>
      </c>
      <c r="J3066" s="6">
        <f>IFERROR(__xludf.DUMMYFUNCTION("""COMPUTED_VALUE"""),3.616E7)</f>
        <v>36160000</v>
      </c>
      <c r="K3066" s="57">
        <f>IFERROR(__xludf.DUMMYFUNCTION("""COMPUTED_VALUE"""),45367.0)</f>
        <v>45367</v>
      </c>
      <c r="L3066" s="6" t="str">
        <f>IFERROR(__xludf.DUMMYFUNCTION("""COMPUTED_VALUE"""),"FIP General")</f>
        <v>FIP General</v>
      </c>
      <c r="M3066" s="6" t="str">
        <f>IFERROR(__xludf.DUMMYFUNCTION("""COMPUTED_VALUE"""),"Mochammad Fadhillah Hakim,")</f>
        <v>Mochammad Fadhillah Hakim,</v>
      </c>
      <c r="N3066" s="6" t="str">
        <f>IFERROR(__xludf.DUMMYFUNCTION("""COMPUTED_VALUE"""),"FIP Engineering")</f>
        <v>FIP Engineering</v>
      </c>
      <c r="O3066" s="6" t="str">
        <f>IFERROR(__xludf.DUMMYFUNCTION("""COMPUTED_VALUE"""),"FIP-DOM-ENG-51508-0000000-INA-000000")</f>
        <v>FIP-DOM-ENG-51508-0000000-INA-000000</v>
      </c>
      <c r="P3066" s="6" t="str">
        <f>IFERROR(__xludf.DUMMYFUNCTION("""COMPUTED_VALUE"""),"PO Closed")</f>
        <v>PO Closed</v>
      </c>
      <c r="Q3066" s="6" t="str">
        <f>IFERROR(__xludf.DUMMYFUNCTION("""COMPUTED_VALUE"""),"GL2403059")</f>
        <v>GL2403059</v>
      </c>
      <c r="R3066" s="57">
        <f>IFERROR(__xludf.DUMMYFUNCTION("""COMPUTED_VALUE"""),45365.0)</f>
        <v>45365</v>
      </c>
      <c r="S3066" s="57">
        <f>IFERROR(__xludf.DUMMYFUNCTION("""COMPUTED_VALUE"""),45370.0)</f>
        <v>45370</v>
      </c>
      <c r="T3066" s="57">
        <f>IFERROR(__xludf.DUMMYFUNCTION("""COMPUTED_VALUE"""),45408.0)</f>
        <v>45408</v>
      </c>
    </row>
    <row r="3067">
      <c r="A3067" s="6" t="str">
        <f>IFERROR(__xludf.DUMMYFUNCTION("""COMPUTED_VALUE"""),"121701306-1")</f>
        <v>121701306-1</v>
      </c>
      <c r="B3067" s="6" t="str">
        <f>IFERROR(__xludf.DUMMYFUNCTION("""COMPUTED_VALUE"""),"121701306 - APPROVED")</f>
        <v>121701306 - APPROVED</v>
      </c>
      <c r="C3067" s="6">
        <f>IFERROR(__xludf.DUMMYFUNCTION("""COMPUTED_VALUE"""),1.0)</f>
        <v>1</v>
      </c>
      <c r="D3067" s="6" t="str">
        <f>IFERROR(__xludf.DUMMYFUNCTION("""COMPUTED_VALUE"""),"T-80732-00")</f>
        <v>T-80732-00</v>
      </c>
      <c r="E3067" s="6" t="str">
        <f>IFERROR(__xludf.DUMMYFUNCTION("""COMPUTED_VALUE"""),"Plakban Lantai Merk 3M, ukuran 2 in x 36 yd, tebal 0.14 mm, Warna Kuning; 3M; ;")</f>
        <v>Plakban Lantai Merk 3M, ukuran 2 in x 36 yd, tebal 0.14 mm, Warna Kuning; 3M; ;</v>
      </c>
      <c r="F3067" s="6">
        <f>IFERROR(__xludf.DUMMYFUNCTION("""COMPUTED_VALUE"""),5.0)</f>
        <v>5</v>
      </c>
      <c r="G3067" s="6" t="str">
        <f>IFERROR(__xludf.DUMMYFUNCTION("""COMPUTED_VALUE"""),"Roll")</f>
        <v>Roll</v>
      </c>
      <c r="H3067" s="6" t="str">
        <f>IFERROR(__xludf.DUMMYFUNCTION("""COMPUTED_VALUE"""),"IDR")</f>
        <v>IDR</v>
      </c>
      <c r="I3067" s="6">
        <f>IFERROR(__xludf.DUMMYFUNCTION("""COMPUTED_VALUE"""),85000.0)</f>
        <v>85000</v>
      </c>
      <c r="J3067" s="6">
        <f>IFERROR(__xludf.DUMMYFUNCTION("""COMPUTED_VALUE"""),425000.0)</f>
        <v>425000</v>
      </c>
      <c r="K3067" s="57">
        <f>IFERROR(__xludf.DUMMYFUNCTION("""COMPUTED_VALUE"""),45371.0)</f>
        <v>45371</v>
      </c>
      <c r="L3067" s="6" t="str">
        <f>IFERROR(__xludf.DUMMYFUNCTION("""COMPUTED_VALUE"""),"FIP General")</f>
        <v>FIP General</v>
      </c>
      <c r="M3067" s="6" t="str">
        <f>IFERROR(__xludf.DUMMYFUNCTION("""COMPUTED_VALUE"""),"Mochammad Fadhillah Hakim,")</f>
        <v>Mochammad Fadhillah Hakim,</v>
      </c>
      <c r="N3067" s="6" t="str">
        <f>IFERROR(__xludf.DUMMYFUNCTION("""COMPUTED_VALUE"""),"FIP Engineering")</f>
        <v>FIP Engineering</v>
      </c>
      <c r="O3067" s="6" t="str">
        <f>IFERROR(__xludf.DUMMYFUNCTION("""COMPUTED_VALUE"""),"FIP-DOM-ENG-51411-0000000-INA-000000")</f>
        <v>FIP-DOM-ENG-51411-0000000-INA-000000</v>
      </c>
      <c r="P3067" s="6" t="str">
        <f>IFERROR(__xludf.DUMMYFUNCTION("""COMPUTED_VALUE"""),"PO Closed")</f>
        <v>PO Closed</v>
      </c>
      <c r="Q3067" s="6" t="str">
        <f>IFERROR(__xludf.DUMMYFUNCTION("""COMPUTED_VALUE"""),"GL2404034")</f>
        <v>GL2404034</v>
      </c>
      <c r="R3067" s="57">
        <f>IFERROR(__xludf.DUMMYFUNCTION("""COMPUTED_VALUE"""),45369.0)</f>
        <v>45369</v>
      </c>
      <c r="S3067" s="57">
        <f>IFERROR(__xludf.DUMMYFUNCTION("""COMPUTED_VALUE"""),45369.0)</f>
        <v>45369</v>
      </c>
      <c r="T3067" s="57">
        <f>IFERROR(__xludf.DUMMYFUNCTION("""COMPUTED_VALUE"""),45413.0)</f>
        <v>45413</v>
      </c>
    </row>
    <row r="3068">
      <c r="A3068" s="6" t="str">
        <f>IFERROR(__xludf.DUMMYFUNCTION("""COMPUTED_VALUE"""),"121701306-2")</f>
        <v>121701306-2</v>
      </c>
      <c r="B3068" s="6" t="str">
        <f>IFERROR(__xludf.DUMMYFUNCTION("""COMPUTED_VALUE"""),"121701306 - APPROVED")</f>
        <v>121701306 - APPROVED</v>
      </c>
      <c r="C3068" s="6">
        <f>IFERROR(__xludf.DUMMYFUNCTION("""COMPUTED_VALUE"""),2.0)</f>
        <v>2</v>
      </c>
      <c r="D3068" s="6" t="str">
        <f>IFERROR(__xludf.DUMMYFUNCTION("""COMPUTED_VALUE"""),"S-20055-00")</f>
        <v>S-20055-00</v>
      </c>
      <c r="E3068" s="6" t="str">
        <f>IFERROR(__xludf.DUMMYFUNCTION("""COMPUTED_VALUE"""),"Sarung Tangan Promaster")</f>
        <v>Sarung Tangan Promaster</v>
      </c>
      <c r="F3068" s="6">
        <f>IFERROR(__xludf.DUMMYFUNCTION("""COMPUTED_VALUE"""),3.0)</f>
        <v>3</v>
      </c>
      <c r="G3068" s="6" t="str">
        <f>IFERROR(__xludf.DUMMYFUNCTION("""COMPUTED_VALUE"""),"Box")</f>
        <v>Box</v>
      </c>
      <c r="H3068" s="6" t="str">
        <f>IFERROR(__xludf.DUMMYFUNCTION("""COMPUTED_VALUE"""),"IDR")</f>
        <v>IDR</v>
      </c>
      <c r="I3068" s="6">
        <f>IFERROR(__xludf.DUMMYFUNCTION("""COMPUTED_VALUE"""),21000.0)</f>
        <v>21000</v>
      </c>
      <c r="J3068" s="6">
        <f>IFERROR(__xludf.DUMMYFUNCTION("""COMPUTED_VALUE"""),63000.0)</f>
        <v>63000</v>
      </c>
      <c r="K3068" s="57">
        <f>IFERROR(__xludf.DUMMYFUNCTION("""COMPUTED_VALUE"""),45371.0)</f>
        <v>45371</v>
      </c>
      <c r="L3068" s="6" t="str">
        <f>IFERROR(__xludf.DUMMYFUNCTION("""COMPUTED_VALUE"""),"FIP General")</f>
        <v>FIP General</v>
      </c>
      <c r="M3068" s="6" t="str">
        <f>IFERROR(__xludf.DUMMYFUNCTION("""COMPUTED_VALUE"""),"Mochammad Fadhillah Hakim,")</f>
        <v>Mochammad Fadhillah Hakim,</v>
      </c>
      <c r="N3068" s="6" t="str">
        <f>IFERROR(__xludf.DUMMYFUNCTION("""COMPUTED_VALUE"""),"FIP Engineering")</f>
        <v>FIP Engineering</v>
      </c>
      <c r="O3068" s="6" t="str">
        <f>IFERROR(__xludf.DUMMYFUNCTION("""COMPUTED_VALUE"""),"FIP-DOM-ENG-51202-0000000-INA-000000")</f>
        <v>FIP-DOM-ENG-51202-0000000-INA-000000</v>
      </c>
      <c r="P3068" s="6" t="str">
        <f>IFERROR(__xludf.DUMMYFUNCTION("""COMPUTED_VALUE"""),"PO Closed")</f>
        <v>PO Closed</v>
      </c>
      <c r="Q3068" s="6" t="str">
        <f>IFERROR(__xludf.DUMMYFUNCTION("""COMPUTED_VALUE"""),"GL2404327")</f>
        <v>GL2404327</v>
      </c>
      <c r="R3068" s="57">
        <f>IFERROR(__xludf.DUMMYFUNCTION("""COMPUTED_VALUE"""),45369.0)</f>
        <v>45369</v>
      </c>
      <c r="S3068" s="57">
        <f>IFERROR(__xludf.DUMMYFUNCTION("""COMPUTED_VALUE"""),45369.0)</f>
        <v>45369</v>
      </c>
      <c r="T3068" s="57">
        <f>IFERROR(__xludf.DUMMYFUNCTION("""COMPUTED_VALUE"""),45412.0)</f>
        <v>45412</v>
      </c>
    </row>
    <row r="3069">
      <c r="A3069" s="6" t="str">
        <f>IFERROR(__xludf.DUMMYFUNCTION("""COMPUTED_VALUE"""),"121701306-3")</f>
        <v>121701306-3</v>
      </c>
      <c r="B3069" s="6" t="str">
        <f>IFERROR(__xludf.DUMMYFUNCTION("""COMPUTED_VALUE"""),"121701306 - APPROVED")</f>
        <v>121701306 - APPROVED</v>
      </c>
      <c r="C3069" s="6">
        <f>IFERROR(__xludf.DUMMYFUNCTION("""COMPUTED_VALUE"""),3.0)</f>
        <v>3</v>
      </c>
      <c r="D3069" s="6" t="str">
        <f>IFERROR(__xludf.DUMMYFUNCTION("""COMPUTED_VALUE"""),"T-80055-00")</f>
        <v>T-80055-00</v>
      </c>
      <c r="E3069" s="6" t="str">
        <f>IFERROR(__xludf.DUMMYFUNCTION("""COMPUTED_VALUE"""),"Binder CLIP 155 - 32 mm")</f>
        <v>Binder CLIP 155 - 32 mm</v>
      </c>
      <c r="F3069" s="6">
        <f>IFERROR(__xludf.DUMMYFUNCTION("""COMPUTED_VALUE"""),3.0)</f>
        <v>3</v>
      </c>
      <c r="G3069" s="6" t="str">
        <f>IFERROR(__xludf.DUMMYFUNCTION("""COMPUTED_VALUE"""),"Box")</f>
        <v>Box</v>
      </c>
      <c r="H3069" s="6" t="str">
        <f>IFERROR(__xludf.DUMMYFUNCTION("""COMPUTED_VALUE"""),"IDR")</f>
        <v>IDR</v>
      </c>
      <c r="I3069" s="6">
        <f>IFERROR(__xludf.DUMMYFUNCTION("""COMPUTED_VALUE"""),4500.0)</f>
        <v>4500</v>
      </c>
      <c r="J3069" s="6">
        <f>IFERROR(__xludf.DUMMYFUNCTION("""COMPUTED_VALUE"""),13500.0)</f>
        <v>13500</v>
      </c>
      <c r="K3069" s="57">
        <f>IFERROR(__xludf.DUMMYFUNCTION("""COMPUTED_VALUE"""),45371.0)</f>
        <v>45371</v>
      </c>
      <c r="L3069" s="6" t="str">
        <f>IFERROR(__xludf.DUMMYFUNCTION("""COMPUTED_VALUE"""),"FIP General")</f>
        <v>FIP General</v>
      </c>
      <c r="M3069" s="6" t="str">
        <f>IFERROR(__xludf.DUMMYFUNCTION("""COMPUTED_VALUE"""),"Mochammad Fadhillah Hakim,")</f>
        <v>Mochammad Fadhillah Hakim,</v>
      </c>
      <c r="N3069" s="6" t="str">
        <f>IFERROR(__xludf.DUMMYFUNCTION("""COMPUTED_VALUE"""),"FIP Engineering")</f>
        <v>FIP Engineering</v>
      </c>
      <c r="O3069" s="6" t="str">
        <f>IFERROR(__xludf.DUMMYFUNCTION("""COMPUTED_VALUE"""),"FIP-DOM-ENG-51411-0000000-INA-000000")</f>
        <v>FIP-DOM-ENG-51411-0000000-INA-000000</v>
      </c>
      <c r="P3069" s="6" t="str">
        <f>IFERROR(__xludf.DUMMYFUNCTION("""COMPUTED_VALUE"""),"PO Closed")</f>
        <v>PO Closed</v>
      </c>
      <c r="Q3069" s="6" t="str">
        <f>IFERROR(__xludf.DUMMYFUNCTION("""COMPUTED_VALUE"""),"GL2404034")</f>
        <v>GL2404034</v>
      </c>
      <c r="R3069" s="57">
        <f>IFERROR(__xludf.DUMMYFUNCTION("""COMPUTED_VALUE"""),45369.0)</f>
        <v>45369</v>
      </c>
      <c r="S3069" s="57">
        <f>IFERROR(__xludf.DUMMYFUNCTION("""COMPUTED_VALUE"""),45369.0)</f>
        <v>45369</v>
      </c>
      <c r="T3069" s="57">
        <f>IFERROR(__xludf.DUMMYFUNCTION("""COMPUTED_VALUE"""),45413.0)</f>
        <v>45413</v>
      </c>
    </row>
    <row r="3070">
      <c r="A3070" s="6" t="str">
        <f>IFERROR(__xludf.DUMMYFUNCTION("""COMPUTED_VALUE"""),"121701306-4")</f>
        <v>121701306-4</v>
      </c>
      <c r="B3070" s="6" t="str">
        <f>IFERROR(__xludf.DUMMYFUNCTION("""COMPUTED_VALUE"""),"121701306 - APPROVED")</f>
        <v>121701306 - APPROVED</v>
      </c>
      <c r="C3070" s="6">
        <f>IFERROR(__xludf.DUMMYFUNCTION("""COMPUTED_VALUE"""),4.0)</f>
        <v>4</v>
      </c>
      <c r="D3070" s="6" t="str">
        <f>IFERROR(__xludf.DUMMYFUNCTION("""COMPUTED_VALUE"""),"T-80198-00")</f>
        <v>T-80198-00</v>
      </c>
      <c r="E3070" s="6" t="str">
        <f>IFERROR(__xludf.DUMMYFUNCTION("""COMPUTED_VALUE"""),"Isi Stapler Besar NO 3 + 24/6")</f>
        <v>Isi Stapler Besar NO 3 + 24/6</v>
      </c>
      <c r="F3070" s="6">
        <f>IFERROR(__xludf.DUMMYFUNCTION("""COMPUTED_VALUE"""),3.0)</f>
        <v>3</v>
      </c>
      <c r="G3070" s="6" t="str">
        <f>IFERROR(__xludf.DUMMYFUNCTION("""COMPUTED_VALUE"""),"Pack")</f>
        <v>Pack</v>
      </c>
      <c r="H3070" s="6" t="str">
        <f>IFERROR(__xludf.DUMMYFUNCTION("""COMPUTED_VALUE"""),"IDR")</f>
        <v>IDR</v>
      </c>
      <c r="I3070" s="6">
        <f>IFERROR(__xludf.DUMMYFUNCTION("""COMPUTED_VALUE"""),4000.0)</f>
        <v>4000</v>
      </c>
      <c r="J3070" s="6">
        <f>IFERROR(__xludf.DUMMYFUNCTION("""COMPUTED_VALUE"""),12000.0)</f>
        <v>12000</v>
      </c>
      <c r="K3070" s="57">
        <f>IFERROR(__xludf.DUMMYFUNCTION("""COMPUTED_VALUE"""),45371.0)</f>
        <v>45371</v>
      </c>
      <c r="L3070" s="6" t="str">
        <f>IFERROR(__xludf.DUMMYFUNCTION("""COMPUTED_VALUE"""),"FIP General")</f>
        <v>FIP General</v>
      </c>
      <c r="M3070" s="6" t="str">
        <f>IFERROR(__xludf.DUMMYFUNCTION("""COMPUTED_VALUE"""),"Mochammad Fadhillah Hakim,")</f>
        <v>Mochammad Fadhillah Hakim,</v>
      </c>
      <c r="N3070" s="6" t="str">
        <f>IFERROR(__xludf.DUMMYFUNCTION("""COMPUTED_VALUE"""),"FIP Engineering")</f>
        <v>FIP Engineering</v>
      </c>
      <c r="O3070" s="6" t="str">
        <f>IFERROR(__xludf.DUMMYFUNCTION("""COMPUTED_VALUE"""),"FIP-DOM-ENG-51411-0000000-INA-000000")</f>
        <v>FIP-DOM-ENG-51411-0000000-INA-000000</v>
      </c>
      <c r="P3070" s="6" t="str">
        <f>IFERROR(__xludf.DUMMYFUNCTION("""COMPUTED_VALUE"""),"PO Closed")</f>
        <v>PO Closed</v>
      </c>
      <c r="Q3070" s="6" t="str">
        <f>IFERROR(__xludf.DUMMYFUNCTION("""COMPUTED_VALUE"""),"GL2404034")</f>
        <v>GL2404034</v>
      </c>
      <c r="R3070" s="57">
        <f>IFERROR(__xludf.DUMMYFUNCTION("""COMPUTED_VALUE"""),45369.0)</f>
        <v>45369</v>
      </c>
      <c r="S3070" s="57">
        <f>IFERROR(__xludf.DUMMYFUNCTION("""COMPUTED_VALUE"""),45369.0)</f>
        <v>45369</v>
      </c>
      <c r="T3070" s="57">
        <f>IFERROR(__xludf.DUMMYFUNCTION("""COMPUTED_VALUE"""),45413.0)</f>
        <v>45413</v>
      </c>
    </row>
    <row r="3071">
      <c r="A3071" s="6" t="str">
        <f>IFERROR(__xludf.DUMMYFUNCTION("""COMPUTED_VALUE"""),"121701306-5")</f>
        <v>121701306-5</v>
      </c>
      <c r="B3071" s="6" t="str">
        <f>IFERROR(__xludf.DUMMYFUNCTION("""COMPUTED_VALUE"""),"121701306 - APPROVED")</f>
        <v>121701306 - APPROVED</v>
      </c>
      <c r="C3071" s="6">
        <f>IFERROR(__xludf.DUMMYFUNCTION("""COMPUTED_VALUE"""),5.0)</f>
        <v>5</v>
      </c>
      <c r="D3071" s="6" t="str">
        <f>IFERROR(__xludf.DUMMYFUNCTION("""COMPUTED_VALUE"""),"S-40021-00")</f>
        <v>S-40021-00</v>
      </c>
      <c r="E3071" s="6" t="str">
        <f>IFERROR(__xludf.DUMMYFUNCTION("""COMPUTED_VALUE"""),"Botol semprot 500 cc")</f>
        <v>Botol semprot 500 cc</v>
      </c>
      <c r="F3071" s="6">
        <f>IFERROR(__xludf.DUMMYFUNCTION("""COMPUTED_VALUE"""),2.0)</f>
        <v>2</v>
      </c>
      <c r="G3071" s="6" t="str">
        <f>IFERROR(__xludf.DUMMYFUNCTION("""COMPUTED_VALUE"""),"Pieces")</f>
        <v>Pieces</v>
      </c>
      <c r="H3071" s="6" t="str">
        <f>IFERROR(__xludf.DUMMYFUNCTION("""COMPUTED_VALUE"""),"IDR")</f>
        <v>IDR</v>
      </c>
      <c r="I3071" s="6">
        <f>IFERROR(__xludf.DUMMYFUNCTION("""COMPUTED_VALUE"""),25000.0)</f>
        <v>25000</v>
      </c>
      <c r="J3071" s="6">
        <f>IFERROR(__xludf.DUMMYFUNCTION("""COMPUTED_VALUE"""),50000.0)</f>
        <v>50000</v>
      </c>
      <c r="K3071" s="57">
        <f>IFERROR(__xludf.DUMMYFUNCTION("""COMPUTED_VALUE"""),45371.0)</f>
        <v>45371</v>
      </c>
      <c r="L3071" s="6" t="str">
        <f>IFERROR(__xludf.DUMMYFUNCTION("""COMPUTED_VALUE"""),"FIP General")</f>
        <v>FIP General</v>
      </c>
      <c r="M3071" s="6" t="str">
        <f>IFERROR(__xludf.DUMMYFUNCTION("""COMPUTED_VALUE"""),"Mochammad Fadhillah Hakim,")</f>
        <v>Mochammad Fadhillah Hakim,</v>
      </c>
      <c r="N3071" s="6" t="str">
        <f>IFERROR(__xludf.DUMMYFUNCTION("""COMPUTED_VALUE"""),"FIP Engineering")</f>
        <v>FIP Engineering</v>
      </c>
      <c r="O3071" s="6" t="str">
        <f>IFERROR(__xludf.DUMMYFUNCTION("""COMPUTED_VALUE"""),"FIP-DOM-ENG-51302-0000000-INA-000000")</f>
        <v>FIP-DOM-ENG-51302-0000000-INA-000000</v>
      </c>
      <c r="P3071" s="6" t="str">
        <f>IFERROR(__xludf.DUMMYFUNCTION("""COMPUTED_VALUE"""),"PO Closed")</f>
        <v>PO Closed</v>
      </c>
      <c r="Q3071" s="6" t="str">
        <f>IFERROR(__xludf.DUMMYFUNCTION("""COMPUTED_VALUE"""),"GL2404001")</f>
        <v>GL2404001</v>
      </c>
      <c r="R3071" s="57">
        <f>IFERROR(__xludf.DUMMYFUNCTION("""COMPUTED_VALUE"""),45369.0)</f>
        <v>45369</v>
      </c>
      <c r="S3071" s="57">
        <f>IFERROR(__xludf.DUMMYFUNCTION("""COMPUTED_VALUE"""),45369.0)</f>
        <v>45369</v>
      </c>
      <c r="T3071" s="57">
        <f>IFERROR(__xludf.DUMMYFUNCTION("""COMPUTED_VALUE"""),45408.0)</f>
        <v>45408</v>
      </c>
    </row>
    <row r="3072">
      <c r="A3072" s="6" t="str">
        <f>IFERROR(__xludf.DUMMYFUNCTION("""COMPUTED_VALUE"""),"121701306-6")</f>
        <v>121701306-6</v>
      </c>
      <c r="B3072" s="6" t="str">
        <f>IFERROR(__xludf.DUMMYFUNCTION("""COMPUTED_VALUE"""),"121701306 - APPROVED")</f>
        <v>121701306 - APPROVED</v>
      </c>
      <c r="C3072" s="6">
        <f>IFERROR(__xludf.DUMMYFUNCTION("""COMPUTED_VALUE"""),6.0)</f>
        <v>6</v>
      </c>
      <c r="D3072" s="6" t="str">
        <f>IFERROR(__xludf.DUMMYFUNCTION("""COMPUTED_VALUE"""),"T-80708-00")</f>
        <v>T-80708-00</v>
      </c>
      <c r="E3072" s="6" t="str">
        <f>IFERROR(__xludf.DUMMYFUNCTION("""COMPUTED_VALUE"""),"Tinta HP 955 Black; HP; N9H85A;")</f>
        <v>Tinta HP 955 Black; HP; N9H85A;</v>
      </c>
      <c r="F3072" s="6">
        <f>IFERROR(__xludf.DUMMYFUNCTION("""COMPUTED_VALUE"""),1.0)</f>
        <v>1</v>
      </c>
      <c r="G3072" s="6" t="str">
        <f>IFERROR(__xludf.DUMMYFUNCTION("""COMPUTED_VALUE"""),"Pieces")</f>
        <v>Pieces</v>
      </c>
      <c r="H3072" s="6" t="str">
        <f>IFERROR(__xludf.DUMMYFUNCTION("""COMPUTED_VALUE"""),"IDR")</f>
        <v>IDR</v>
      </c>
      <c r="I3072" s="6">
        <f>IFERROR(__xludf.DUMMYFUNCTION("""COMPUTED_VALUE"""),504000.0)</f>
        <v>504000</v>
      </c>
      <c r="J3072" s="6">
        <f>IFERROR(__xludf.DUMMYFUNCTION("""COMPUTED_VALUE"""),504000.0)</f>
        <v>504000</v>
      </c>
      <c r="K3072" s="57">
        <f>IFERROR(__xludf.DUMMYFUNCTION("""COMPUTED_VALUE"""),45371.0)</f>
        <v>45371</v>
      </c>
      <c r="L3072" s="6" t="str">
        <f>IFERROR(__xludf.DUMMYFUNCTION("""COMPUTED_VALUE"""),"FIP General")</f>
        <v>FIP General</v>
      </c>
      <c r="M3072" s="6" t="str">
        <f>IFERROR(__xludf.DUMMYFUNCTION("""COMPUTED_VALUE"""),"Mochammad Fadhillah Hakim,")</f>
        <v>Mochammad Fadhillah Hakim,</v>
      </c>
      <c r="N3072" s="6" t="str">
        <f>IFERROR(__xludf.DUMMYFUNCTION("""COMPUTED_VALUE"""),"FIP Engineering")</f>
        <v>FIP Engineering</v>
      </c>
      <c r="O3072" s="6" t="str">
        <f>IFERROR(__xludf.DUMMYFUNCTION("""COMPUTED_VALUE"""),"FIP-DOM-ENG-51411-0000000-INA-000000")</f>
        <v>FIP-DOM-ENG-51411-0000000-INA-000000</v>
      </c>
      <c r="P3072" s="6" t="str">
        <f>IFERROR(__xludf.DUMMYFUNCTION("""COMPUTED_VALUE"""),"PO Closed")</f>
        <v>PO Closed</v>
      </c>
      <c r="Q3072" s="6" t="str">
        <f>IFERROR(__xludf.DUMMYFUNCTION("""COMPUTED_VALUE"""),"GL2404047")</f>
        <v>GL2404047</v>
      </c>
      <c r="R3072" s="57">
        <f>IFERROR(__xludf.DUMMYFUNCTION("""COMPUTED_VALUE"""),45369.0)</f>
        <v>45369</v>
      </c>
      <c r="S3072" s="57">
        <f>IFERROR(__xludf.DUMMYFUNCTION("""COMPUTED_VALUE"""),45369.0)</f>
        <v>45369</v>
      </c>
      <c r="T3072" s="57">
        <f>IFERROR(__xludf.DUMMYFUNCTION("""COMPUTED_VALUE"""),45413.0)</f>
        <v>45413</v>
      </c>
    </row>
    <row r="3073">
      <c r="A3073" s="6" t="str">
        <f>IFERROR(__xludf.DUMMYFUNCTION("""COMPUTED_VALUE"""),"121701306-7")</f>
        <v>121701306-7</v>
      </c>
      <c r="B3073" s="6" t="str">
        <f>IFERROR(__xludf.DUMMYFUNCTION("""COMPUTED_VALUE"""),"121701306 - APPROVED")</f>
        <v>121701306 - APPROVED</v>
      </c>
      <c r="C3073" s="6">
        <f>IFERROR(__xludf.DUMMYFUNCTION("""COMPUTED_VALUE"""),7.0)</f>
        <v>7</v>
      </c>
      <c r="D3073" s="6" t="str">
        <f>IFERROR(__xludf.DUMMYFUNCTION("""COMPUTED_VALUE"""),"T-80709-00")</f>
        <v>T-80709-00</v>
      </c>
      <c r="E3073" s="6" t="str">
        <f>IFERROR(__xludf.DUMMYFUNCTION("""COMPUTED_VALUE"""),"Tinta HP 955 Cyan; HP; H9H73A;")</f>
        <v>Tinta HP 955 Cyan; HP; H9H73A;</v>
      </c>
      <c r="F3073" s="6">
        <f>IFERROR(__xludf.DUMMYFUNCTION("""COMPUTED_VALUE"""),1.0)</f>
        <v>1</v>
      </c>
      <c r="G3073" s="6" t="str">
        <f>IFERROR(__xludf.DUMMYFUNCTION("""COMPUTED_VALUE"""),"Pieces")</f>
        <v>Pieces</v>
      </c>
      <c r="H3073" s="6" t="str">
        <f>IFERROR(__xludf.DUMMYFUNCTION("""COMPUTED_VALUE"""),"IDR")</f>
        <v>IDR</v>
      </c>
      <c r="I3073" s="6">
        <f>IFERROR(__xludf.DUMMYFUNCTION("""COMPUTED_VALUE"""),407000.0)</f>
        <v>407000</v>
      </c>
      <c r="J3073" s="6">
        <f>IFERROR(__xludf.DUMMYFUNCTION("""COMPUTED_VALUE"""),407000.0)</f>
        <v>407000</v>
      </c>
      <c r="K3073" s="57">
        <f>IFERROR(__xludf.DUMMYFUNCTION("""COMPUTED_VALUE"""),45371.0)</f>
        <v>45371</v>
      </c>
      <c r="L3073" s="6" t="str">
        <f>IFERROR(__xludf.DUMMYFUNCTION("""COMPUTED_VALUE"""),"FIP General")</f>
        <v>FIP General</v>
      </c>
      <c r="M3073" s="6" t="str">
        <f>IFERROR(__xludf.DUMMYFUNCTION("""COMPUTED_VALUE"""),"Mochammad Fadhillah Hakim,")</f>
        <v>Mochammad Fadhillah Hakim,</v>
      </c>
      <c r="N3073" s="6" t="str">
        <f>IFERROR(__xludf.DUMMYFUNCTION("""COMPUTED_VALUE"""),"FIP Engineering")</f>
        <v>FIP Engineering</v>
      </c>
      <c r="O3073" s="6" t="str">
        <f>IFERROR(__xludf.DUMMYFUNCTION("""COMPUTED_VALUE"""),"FIP-DOM-ENG-51411-0000000-INA-000000")</f>
        <v>FIP-DOM-ENG-51411-0000000-INA-000000</v>
      </c>
      <c r="P3073" s="6" t="str">
        <f>IFERROR(__xludf.DUMMYFUNCTION("""COMPUTED_VALUE"""),"PO Closed")</f>
        <v>PO Closed</v>
      </c>
      <c r="Q3073" s="6" t="str">
        <f>IFERROR(__xludf.DUMMYFUNCTION("""COMPUTED_VALUE"""),"GL2404047")</f>
        <v>GL2404047</v>
      </c>
      <c r="R3073" s="57">
        <f>IFERROR(__xludf.DUMMYFUNCTION("""COMPUTED_VALUE"""),45369.0)</f>
        <v>45369</v>
      </c>
      <c r="S3073" s="57">
        <f>IFERROR(__xludf.DUMMYFUNCTION("""COMPUTED_VALUE"""),45369.0)</f>
        <v>45369</v>
      </c>
      <c r="T3073" s="57">
        <f>IFERROR(__xludf.DUMMYFUNCTION("""COMPUTED_VALUE"""),45413.0)</f>
        <v>45413</v>
      </c>
    </row>
    <row r="3074">
      <c r="A3074" s="6" t="str">
        <f>IFERROR(__xludf.DUMMYFUNCTION("""COMPUTED_VALUE"""),"121701306-8")</f>
        <v>121701306-8</v>
      </c>
      <c r="B3074" s="6" t="str">
        <f>IFERROR(__xludf.DUMMYFUNCTION("""COMPUTED_VALUE"""),"121701306 - APPROVED")</f>
        <v>121701306 - APPROVED</v>
      </c>
      <c r="C3074" s="6">
        <f>IFERROR(__xludf.DUMMYFUNCTION("""COMPUTED_VALUE"""),8.0)</f>
        <v>8</v>
      </c>
      <c r="D3074" s="6" t="str">
        <f>IFERROR(__xludf.DUMMYFUNCTION("""COMPUTED_VALUE"""),"T-80710-00")</f>
        <v>T-80710-00</v>
      </c>
      <c r="E3074" s="6" t="str">
        <f>IFERROR(__xludf.DUMMYFUNCTION("""COMPUTED_VALUE"""),"Tinta HP 955 Magenta; HP; N9H77A;")</f>
        <v>Tinta HP 955 Magenta; HP; N9H77A;</v>
      </c>
      <c r="F3074" s="6">
        <f>IFERROR(__xludf.DUMMYFUNCTION("""COMPUTED_VALUE"""),1.0)</f>
        <v>1</v>
      </c>
      <c r="G3074" s="6" t="str">
        <f>IFERROR(__xludf.DUMMYFUNCTION("""COMPUTED_VALUE"""),"Pieces")</f>
        <v>Pieces</v>
      </c>
      <c r="H3074" s="6" t="str">
        <f>IFERROR(__xludf.DUMMYFUNCTION("""COMPUTED_VALUE"""),"IDR")</f>
        <v>IDR</v>
      </c>
      <c r="I3074" s="6">
        <f>IFERROR(__xludf.DUMMYFUNCTION("""COMPUTED_VALUE"""),407000.0)</f>
        <v>407000</v>
      </c>
      <c r="J3074" s="6">
        <f>IFERROR(__xludf.DUMMYFUNCTION("""COMPUTED_VALUE"""),407000.0)</f>
        <v>407000</v>
      </c>
      <c r="K3074" s="57">
        <f>IFERROR(__xludf.DUMMYFUNCTION("""COMPUTED_VALUE"""),45371.0)</f>
        <v>45371</v>
      </c>
      <c r="L3074" s="6" t="str">
        <f>IFERROR(__xludf.DUMMYFUNCTION("""COMPUTED_VALUE"""),"FIP General")</f>
        <v>FIP General</v>
      </c>
      <c r="M3074" s="6" t="str">
        <f>IFERROR(__xludf.DUMMYFUNCTION("""COMPUTED_VALUE"""),"Mochammad Fadhillah Hakim,")</f>
        <v>Mochammad Fadhillah Hakim,</v>
      </c>
      <c r="N3074" s="6" t="str">
        <f>IFERROR(__xludf.DUMMYFUNCTION("""COMPUTED_VALUE"""),"FIP Engineering")</f>
        <v>FIP Engineering</v>
      </c>
      <c r="O3074" s="6" t="str">
        <f>IFERROR(__xludf.DUMMYFUNCTION("""COMPUTED_VALUE"""),"FIP-DOM-ENG-51411-0000000-INA-000000")</f>
        <v>FIP-DOM-ENG-51411-0000000-INA-000000</v>
      </c>
      <c r="P3074" s="6" t="str">
        <f>IFERROR(__xludf.DUMMYFUNCTION("""COMPUTED_VALUE"""),"PO Closed")</f>
        <v>PO Closed</v>
      </c>
      <c r="Q3074" s="6" t="str">
        <f>IFERROR(__xludf.DUMMYFUNCTION("""COMPUTED_VALUE"""),"GL2404047")</f>
        <v>GL2404047</v>
      </c>
      <c r="R3074" s="57">
        <f>IFERROR(__xludf.DUMMYFUNCTION("""COMPUTED_VALUE"""),45369.0)</f>
        <v>45369</v>
      </c>
      <c r="S3074" s="57">
        <f>IFERROR(__xludf.DUMMYFUNCTION("""COMPUTED_VALUE"""),45369.0)</f>
        <v>45369</v>
      </c>
      <c r="T3074" s="57">
        <f>IFERROR(__xludf.DUMMYFUNCTION("""COMPUTED_VALUE"""),45413.0)</f>
        <v>45413</v>
      </c>
    </row>
    <row r="3075">
      <c r="A3075" s="6" t="str">
        <f>IFERROR(__xludf.DUMMYFUNCTION("""COMPUTED_VALUE"""),"121701306-9")</f>
        <v>121701306-9</v>
      </c>
      <c r="B3075" s="6" t="str">
        <f>IFERROR(__xludf.DUMMYFUNCTION("""COMPUTED_VALUE"""),"121701306 - APPROVED")</f>
        <v>121701306 - APPROVED</v>
      </c>
      <c r="C3075" s="6">
        <f>IFERROR(__xludf.DUMMYFUNCTION("""COMPUTED_VALUE"""),9.0)</f>
        <v>9</v>
      </c>
      <c r="D3075" s="6" t="str">
        <f>IFERROR(__xludf.DUMMYFUNCTION("""COMPUTED_VALUE"""),"T-80711-00")</f>
        <v>T-80711-00</v>
      </c>
      <c r="E3075" s="6" t="str">
        <f>IFERROR(__xludf.DUMMYFUNCTION("""COMPUTED_VALUE"""),"Tinta HP 955 Yellow; HP; N9H81A;")</f>
        <v>Tinta HP 955 Yellow; HP; N9H81A;</v>
      </c>
      <c r="F3075" s="6">
        <f>IFERROR(__xludf.DUMMYFUNCTION("""COMPUTED_VALUE"""),1.0)</f>
        <v>1</v>
      </c>
      <c r="G3075" s="6" t="str">
        <f>IFERROR(__xludf.DUMMYFUNCTION("""COMPUTED_VALUE"""),"Pieces")</f>
        <v>Pieces</v>
      </c>
      <c r="H3075" s="6" t="str">
        <f>IFERROR(__xludf.DUMMYFUNCTION("""COMPUTED_VALUE"""),"IDR")</f>
        <v>IDR</v>
      </c>
      <c r="I3075" s="6">
        <f>IFERROR(__xludf.DUMMYFUNCTION("""COMPUTED_VALUE"""),407000.0)</f>
        <v>407000</v>
      </c>
      <c r="J3075" s="6">
        <f>IFERROR(__xludf.DUMMYFUNCTION("""COMPUTED_VALUE"""),407000.0)</f>
        <v>407000</v>
      </c>
      <c r="K3075" s="57">
        <f>IFERROR(__xludf.DUMMYFUNCTION("""COMPUTED_VALUE"""),45371.0)</f>
        <v>45371</v>
      </c>
      <c r="L3075" s="6" t="str">
        <f>IFERROR(__xludf.DUMMYFUNCTION("""COMPUTED_VALUE"""),"FIP General")</f>
        <v>FIP General</v>
      </c>
      <c r="M3075" s="6" t="str">
        <f>IFERROR(__xludf.DUMMYFUNCTION("""COMPUTED_VALUE"""),"Mochammad Fadhillah Hakim,")</f>
        <v>Mochammad Fadhillah Hakim,</v>
      </c>
      <c r="N3075" s="6" t="str">
        <f>IFERROR(__xludf.DUMMYFUNCTION("""COMPUTED_VALUE"""),"FIP Engineering")</f>
        <v>FIP Engineering</v>
      </c>
      <c r="O3075" s="6" t="str">
        <f>IFERROR(__xludf.DUMMYFUNCTION("""COMPUTED_VALUE"""),"FIP-DOM-ENG-51411-0000000-INA-000000")</f>
        <v>FIP-DOM-ENG-51411-0000000-INA-000000</v>
      </c>
      <c r="P3075" s="6" t="str">
        <f>IFERROR(__xludf.DUMMYFUNCTION("""COMPUTED_VALUE"""),"PO Closed")</f>
        <v>PO Closed</v>
      </c>
      <c r="Q3075" s="6" t="str">
        <f>IFERROR(__xludf.DUMMYFUNCTION("""COMPUTED_VALUE"""),"GL2404047")</f>
        <v>GL2404047</v>
      </c>
      <c r="R3075" s="57">
        <f>IFERROR(__xludf.DUMMYFUNCTION("""COMPUTED_VALUE"""),45369.0)</f>
        <v>45369</v>
      </c>
      <c r="S3075" s="57">
        <f>IFERROR(__xludf.DUMMYFUNCTION("""COMPUTED_VALUE"""),45369.0)</f>
        <v>45369</v>
      </c>
      <c r="T3075" s="57">
        <f>IFERROR(__xludf.DUMMYFUNCTION("""COMPUTED_VALUE"""),45413.0)</f>
        <v>45413</v>
      </c>
    </row>
    <row r="3076">
      <c r="A3076" s="6" t="str">
        <f>IFERROR(__xludf.DUMMYFUNCTION("""COMPUTED_VALUE"""),"121701306-10")</f>
        <v>121701306-10</v>
      </c>
      <c r="B3076" s="6" t="str">
        <f>IFERROR(__xludf.DUMMYFUNCTION("""COMPUTED_VALUE"""),"121701306 - APPROVED")</f>
        <v>121701306 - APPROVED</v>
      </c>
      <c r="C3076" s="6">
        <f>IFERROR(__xludf.DUMMYFUNCTION("""COMPUTED_VALUE"""),10.0)</f>
        <v>10</v>
      </c>
      <c r="D3076" s="6" t="str">
        <f>IFERROR(__xludf.DUMMYFUNCTION("""COMPUTED_VALUE"""),"T-80028-00")</f>
        <v>T-80028-00</v>
      </c>
      <c r="E3076" s="6" t="str">
        <f>IFERROR(__xludf.DUMMYFUNCTION("""COMPUTED_VALUE"""),"Ballpoint Snowman V1 Hitam/Biru/Merah")</f>
        <v>Ballpoint Snowman V1 Hitam/Biru/Merah</v>
      </c>
      <c r="F3076" s="6">
        <f>IFERROR(__xludf.DUMMYFUNCTION("""COMPUTED_VALUE"""),20.0)</f>
        <v>20</v>
      </c>
      <c r="G3076" s="6" t="str">
        <f>IFERROR(__xludf.DUMMYFUNCTION("""COMPUTED_VALUE"""),"Pieces")</f>
        <v>Pieces</v>
      </c>
      <c r="H3076" s="6" t="str">
        <f>IFERROR(__xludf.DUMMYFUNCTION("""COMPUTED_VALUE"""),"IDR")</f>
        <v>IDR</v>
      </c>
      <c r="I3076" s="6">
        <f>IFERROR(__xludf.DUMMYFUNCTION("""COMPUTED_VALUE"""),2000.0)</f>
        <v>2000</v>
      </c>
      <c r="J3076" s="6">
        <f>IFERROR(__xludf.DUMMYFUNCTION("""COMPUTED_VALUE"""),40000.0)</f>
        <v>40000</v>
      </c>
      <c r="K3076" s="57">
        <f>IFERROR(__xludf.DUMMYFUNCTION("""COMPUTED_VALUE"""),45371.0)</f>
        <v>45371</v>
      </c>
      <c r="L3076" s="6" t="str">
        <f>IFERROR(__xludf.DUMMYFUNCTION("""COMPUTED_VALUE"""),"FIP General")</f>
        <v>FIP General</v>
      </c>
      <c r="M3076" s="6" t="str">
        <f>IFERROR(__xludf.DUMMYFUNCTION("""COMPUTED_VALUE"""),"Mochammad Fadhillah Hakim,")</f>
        <v>Mochammad Fadhillah Hakim,</v>
      </c>
      <c r="N3076" s="6" t="str">
        <f>IFERROR(__xludf.DUMMYFUNCTION("""COMPUTED_VALUE"""),"FIP Engineering")</f>
        <v>FIP Engineering</v>
      </c>
      <c r="O3076" s="6" t="str">
        <f>IFERROR(__xludf.DUMMYFUNCTION("""COMPUTED_VALUE"""),"FIP-DOM-ENG-51411-0000000-INA-000000")</f>
        <v>FIP-DOM-ENG-51411-0000000-INA-000000</v>
      </c>
      <c r="P3076" s="6" t="str">
        <f>IFERROR(__xludf.DUMMYFUNCTION("""COMPUTED_VALUE"""),"PO Closed")</f>
        <v>PO Closed</v>
      </c>
      <c r="Q3076" s="6" t="str">
        <f>IFERROR(__xludf.DUMMYFUNCTION("""COMPUTED_VALUE"""),"GL2404034")</f>
        <v>GL2404034</v>
      </c>
      <c r="R3076" s="57">
        <f>IFERROR(__xludf.DUMMYFUNCTION("""COMPUTED_VALUE"""),45369.0)</f>
        <v>45369</v>
      </c>
      <c r="S3076" s="57">
        <f>IFERROR(__xludf.DUMMYFUNCTION("""COMPUTED_VALUE"""),45369.0)</f>
        <v>45369</v>
      </c>
      <c r="T3076" s="57">
        <f>IFERROR(__xludf.DUMMYFUNCTION("""COMPUTED_VALUE"""),45413.0)</f>
        <v>45413</v>
      </c>
    </row>
    <row r="3077">
      <c r="A3077" s="6" t="str">
        <f>IFERROR(__xludf.DUMMYFUNCTION("""COMPUTED_VALUE"""),"121701308-1")</f>
        <v>121701308-1</v>
      </c>
      <c r="B3077" s="6" t="str">
        <f>IFERROR(__xludf.DUMMYFUNCTION("""COMPUTED_VALUE"""),"121701308 - APPROVED")</f>
        <v>121701308 - APPROVED</v>
      </c>
      <c r="C3077" s="6">
        <f>IFERROR(__xludf.DUMMYFUNCTION("""COMPUTED_VALUE"""),1.0)</f>
        <v>1</v>
      </c>
      <c r="D3077" s="6"/>
      <c r="E3077" s="6" t="str">
        <f>IFERROR(__xludf.DUMMYFUNCTION("""COMPUTED_VALUE"""),"Pekerjaan Ruang Gas Baru")</f>
        <v>Pekerjaan Ruang Gas Baru</v>
      </c>
      <c r="F3077" s="6">
        <f>IFERROR(__xludf.DUMMYFUNCTION("""COMPUTED_VALUE"""),1.0)</f>
        <v>1</v>
      </c>
      <c r="G3077" s="6" t="str">
        <f>IFERROR(__xludf.DUMMYFUNCTION("""COMPUTED_VALUE"""),"Lot")</f>
        <v>Lot</v>
      </c>
      <c r="H3077" s="6" t="str">
        <f>IFERROR(__xludf.DUMMYFUNCTION("""COMPUTED_VALUE"""),"IDR")</f>
        <v>IDR</v>
      </c>
      <c r="I3077" s="6">
        <f>IFERROR(__xludf.DUMMYFUNCTION("""COMPUTED_VALUE"""),4.29E7)</f>
        <v>42900000</v>
      </c>
      <c r="J3077" s="6">
        <f>IFERROR(__xludf.DUMMYFUNCTION("""COMPUTED_VALUE"""),4.29E7)</f>
        <v>42900000</v>
      </c>
      <c r="K3077" s="57">
        <f>IFERROR(__xludf.DUMMYFUNCTION("""COMPUTED_VALUE"""),45371.0)</f>
        <v>45371</v>
      </c>
      <c r="L3077" s="6" t="str">
        <f>IFERROR(__xludf.DUMMYFUNCTION("""COMPUTED_VALUE"""),"FIP General")</f>
        <v>FIP General</v>
      </c>
      <c r="M3077" s="6" t="str">
        <f>IFERROR(__xludf.DUMMYFUNCTION("""COMPUTED_VALUE"""),"Mochammad Fadhillah Hakim,")</f>
        <v>Mochammad Fadhillah Hakim,</v>
      </c>
      <c r="N3077" s="6" t="str">
        <f>IFERROR(__xludf.DUMMYFUNCTION("""COMPUTED_VALUE"""),"FIP Engineering")</f>
        <v>FIP Engineering</v>
      </c>
      <c r="O3077" s="6" t="str">
        <f>IFERROR(__xludf.DUMMYFUNCTION("""COMPUTED_VALUE"""),"FIP-DOM-ENG-13402-MC24018-INA-000000")</f>
        <v>FIP-DOM-ENG-13402-MC24018-INA-000000</v>
      </c>
      <c r="P3077" s="6" t="str">
        <f>IFERROR(__xludf.DUMMYFUNCTION("""COMPUTED_VALUE"""),"PO Closed")</f>
        <v>PO Closed</v>
      </c>
      <c r="Q3077" s="6" t="str">
        <f>IFERROR(__xludf.DUMMYFUNCTION("""COMPUTED_VALUE"""),"GL2404043")</f>
        <v>GL2404043</v>
      </c>
      <c r="R3077" s="57">
        <f>IFERROR(__xludf.DUMMYFUNCTION("""COMPUTED_VALUE"""),45369.0)</f>
        <v>45369</v>
      </c>
      <c r="S3077" s="57">
        <f>IFERROR(__xludf.DUMMYFUNCTION("""COMPUTED_VALUE"""),45370.0)</f>
        <v>45370</v>
      </c>
      <c r="T3077" s="57">
        <f>IFERROR(__xludf.DUMMYFUNCTION("""COMPUTED_VALUE"""),45415.0)</f>
        <v>45415</v>
      </c>
    </row>
    <row r="3078">
      <c r="A3078" s="6" t="str">
        <f>IFERROR(__xludf.DUMMYFUNCTION("""COMPUTED_VALUE"""),"121701316-1")</f>
        <v>121701316-1</v>
      </c>
      <c r="B3078" s="6" t="str">
        <f>IFERROR(__xludf.DUMMYFUNCTION("""COMPUTED_VALUE"""),"121701316 - APPROVED")</f>
        <v>121701316 - APPROVED</v>
      </c>
      <c r="C3078" s="6">
        <f>IFERROR(__xludf.DUMMYFUNCTION("""COMPUTED_VALUE"""),1.0)</f>
        <v>1</v>
      </c>
      <c r="D3078" s="6" t="str">
        <f>IFERROR(__xludf.DUMMYFUNCTION("""COMPUTED_VALUE"""),"P-11968-00")</f>
        <v>P-11968-00</v>
      </c>
      <c r="E3078" s="6" t="str">
        <f>IFERROR(__xludf.DUMMYFUNCTION("""COMPUTED_VALUE"""),"Berusynt FGH Spray H1 - Bechem")</f>
        <v>Berusynt FGH Spray H1 - Bechem</v>
      </c>
      <c r="F3078" s="6">
        <f>IFERROR(__xludf.DUMMYFUNCTION("""COMPUTED_VALUE"""),2.0)</f>
        <v>2</v>
      </c>
      <c r="G3078" s="6" t="str">
        <f>IFERROR(__xludf.DUMMYFUNCTION("""COMPUTED_VALUE"""),"Pieces")</f>
        <v>Pieces</v>
      </c>
      <c r="H3078" s="6" t="str">
        <f>IFERROR(__xludf.DUMMYFUNCTION("""COMPUTED_VALUE"""),"IDR")</f>
        <v>IDR</v>
      </c>
      <c r="I3078" s="6">
        <f>IFERROR(__xludf.DUMMYFUNCTION("""COMPUTED_VALUE"""),380000.0)</f>
        <v>380000</v>
      </c>
      <c r="J3078" s="6">
        <f>IFERROR(__xludf.DUMMYFUNCTION("""COMPUTED_VALUE"""),760000.0)</f>
        <v>760000</v>
      </c>
      <c r="K3078" s="57">
        <f>IFERROR(__xludf.DUMMYFUNCTION("""COMPUTED_VALUE"""),45375.0)</f>
        <v>45375</v>
      </c>
      <c r="L3078" s="6" t="str">
        <f>IFERROR(__xludf.DUMMYFUNCTION("""COMPUTED_VALUE"""),"FIP Engineering")</f>
        <v>FIP Engineering</v>
      </c>
      <c r="M3078" s="6" t="str">
        <f>IFERROR(__xludf.DUMMYFUNCTION("""COMPUTED_VALUE"""),"Mochammad Fadhillah Hakim,")</f>
        <v>Mochammad Fadhillah Hakim,</v>
      </c>
      <c r="N3078" s="6" t="str">
        <f>IFERROR(__xludf.DUMMYFUNCTION("""COMPUTED_VALUE"""),"FIP Engineering")</f>
        <v>FIP Engineering</v>
      </c>
      <c r="O3078" s="6" t="str">
        <f>IFERROR(__xludf.DUMMYFUNCTION("""COMPUTED_VALUE"""),"FIP-DOM-000-11304-OS00001-INA-000000")</f>
        <v>FIP-DOM-000-11304-OS00001-INA-000000</v>
      </c>
      <c r="P3078" s="6" t="str">
        <f>IFERROR(__xludf.DUMMYFUNCTION("""COMPUTED_VALUE"""),"PO Closed")</f>
        <v>PO Closed</v>
      </c>
      <c r="Q3078" s="6" t="str">
        <f>IFERROR(__xludf.DUMMYFUNCTION("""COMPUTED_VALUE"""),"GL2405049")</f>
        <v>GL2405049</v>
      </c>
      <c r="R3078" s="57">
        <f>IFERROR(__xludf.DUMMYFUNCTION("""COMPUTED_VALUE"""),45373.0)</f>
        <v>45373</v>
      </c>
      <c r="S3078" s="57">
        <f>IFERROR(__xludf.DUMMYFUNCTION("""COMPUTED_VALUE"""),45377.0)</f>
        <v>45377</v>
      </c>
      <c r="T3078" s="57">
        <f>IFERROR(__xludf.DUMMYFUNCTION("""COMPUTED_VALUE"""),45450.0)</f>
        <v>45450</v>
      </c>
    </row>
    <row r="3079">
      <c r="A3079" s="6" t="str">
        <f>IFERROR(__xludf.DUMMYFUNCTION("""COMPUTED_VALUE"""),"121701316-2")</f>
        <v>121701316-2</v>
      </c>
      <c r="B3079" s="6" t="str">
        <f>IFERROR(__xludf.DUMMYFUNCTION("""COMPUTED_VALUE"""),"121701316 - APPROVED")</f>
        <v>121701316 - APPROVED</v>
      </c>
      <c r="C3079" s="6">
        <f>IFERROR(__xludf.DUMMYFUNCTION("""COMPUTED_VALUE"""),2.0)</f>
        <v>2</v>
      </c>
      <c r="D3079" s="6" t="str">
        <f>IFERROR(__xludf.DUMMYFUNCTION("""COMPUTED_VALUE"""),"O-54005-00")</f>
        <v>O-54005-00</v>
      </c>
      <c r="E3079" s="6" t="str">
        <f>IFERROR(__xludf.DUMMYFUNCTION("""COMPUTED_VALUE"""),"LAMPU UV 15 WATT, OSRAM")</f>
        <v>LAMPU UV 15 WATT, OSRAM</v>
      </c>
      <c r="F3079" s="6">
        <f>IFERROR(__xludf.DUMMYFUNCTION("""COMPUTED_VALUE"""),5.0)</f>
        <v>5</v>
      </c>
      <c r="G3079" s="6" t="str">
        <f>IFERROR(__xludf.DUMMYFUNCTION("""COMPUTED_VALUE"""),"Pieces")</f>
        <v>Pieces</v>
      </c>
      <c r="H3079" s="6" t="str">
        <f>IFERROR(__xludf.DUMMYFUNCTION("""COMPUTED_VALUE"""),"IDR")</f>
        <v>IDR</v>
      </c>
      <c r="I3079" s="6">
        <f>IFERROR(__xludf.DUMMYFUNCTION("""COMPUTED_VALUE"""),99000.0)</f>
        <v>99000</v>
      </c>
      <c r="J3079" s="6">
        <f>IFERROR(__xludf.DUMMYFUNCTION("""COMPUTED_VALUE"""),495000.0)</f>
        <v>495000</v>
      </c>
      <c r="K3079" s="57">
        <f>IFERROR(__xludf.DUMMYFUNCTION("""COMPUTED_VALUE"""),45375.0)</f>
        <v>45375</v>
      </c>
      <c r="L3079" s="6" t="str">
        <f>IFERROR(__xludf.DUMMYFUNCTION("""COMPUTED_VALUE"""),"FIP Engineering")</f>
        <v>FIP Engineering</v>
      </c>
      <c r="M3079" s="6" t="str">
        <f>IFERROR(__xludf.DUMMYFUNCTION("""COMPUTED_VALUE"""),"Mochammad Fadhillah Hakim,")</f>
        <v>Mochammad Fadhillah Hakim,</v>
      </c>
      <c r="N3079" s="6" t="str">
        <f>IFERROR(__xludf.DUMMYFUNCTION("""COMPUTED_VALUE"""),"FIP Engineering")</f>
        <v>FIP Engineering</v>
      </c>
      <c r="O3079" s="6" t="str">
        <f>IFERROR(__xludf.DUMMYFUNCTION("""COMPUTED_VALUE"""),"FIP-DOM-000-11304-OS00001-INA-000000")</f>
        <v>FIP-DOM-000-11304-OS00001-INA-000000</v>
      </c>
      <c r="P3079" s="6" t="str">
        <f>IFERROR(__xludf.DUMMYFUNCTION("""COMPUTED_VALUE"""),"PO Closed")</f>
        <v>PO Closed</v>
      </c>
      <c r="Q3079" s="6" t="str">
        <f>IFERROR(__xludf.DUMMYFUNCTION("""COMPUTED_VALUE"""),"GL2404032")</f>
        <v>GL2404032</v>
      </c>
      <c r="R3079" s="57">
        <f>IFERROR(__xludf.DUMMYFUNCTION("""COMPUTED_VALUE"""),45373.0)</f>
        <v>45373</v>
      </c>
      <c r="S3079" s="57">
        <f>IFERROR(__xludf.DUMMYFUNCTION("""COMPUTED_VALUE"""),45377.0)</f>
        <v>45377</v>
      </c>
      <c r="T3079" s="57">
        <f>IFERROR(__xludf.DUMMYFUNCTION("""COMPUTED_VALUE"""),45432.0)</f>
        <v>45432</v>
      </c>
    </row>
    <row r="3080">
      <c r="A3080" s="6" t="str">
        <f>IFERROR(__xludf.DUMMYFUNCTION("""COMPUTED_VALUE"""),"121701316-3")</f>
        <v>121701316-3</v>
      </c>
      <c r="B3080" s="6" t="str">
        <f>IFERROR(__xludf.DUMMYFUNCTION("""COMPUTED_VALUE"""),"121701316 - APPROVED")</f>
        <v>121701316 - APPROVED</v>
      </c>
      <c r="C3080" s="6">
        <f>IFERROR(__xludf.DUMMYFUNCTION("""COMPUTED_VALUE"""),3.0)</f>
        <v>3</v>
      </c>
      <c r="D3080" s="6" t="str">
        <f>IFERROR(__xludf.DUMMYFUNCTION("""COMPUTED_VALUE"""),"P-12433-00")</f>
        <v>P-12433-00</v>
      </c>
      <c r="E3080" s="6" t="str">
        <f>IFERROR(__xludf.DUMMYFUNCTION("""COMPUTED_VALUE"""),"Isolasi AC- Sansui")</f>
        <v>Isolasi AC- Sansui</v>
      </c>
      <c r="F3080" s="6">
        <f>IFERROR(__xludf.DUMMYFUNCTION("""COMPUTED_VALUE"""),10.0)</f>
        <v>10</v>
      </c>
      <c r="G3080" s="6" t="str">
        <f>IFERROR(__xludf.DUMMYFUNCTION("""COMPUTED_VALUE"""),"Pieces")</f>
        <v>Pieces</v>
      </c>
      <c r="H3080" s="6" t="str">
        <f>IFERROR(__xludf.DUMMYFUNCTION("""COMPUTED_VALUE"""),"IDR")</f>
        <v>IDR</v>
      </c>
      <c r="I3080" s="6">
        <f>IFERROR(__xludf.DUMMYFUNCTION("""COMPUTED_VALUE"""),10000.0)</f>
        <v>10000</v>
      </c>
      <c r="J3080" s="6">
        <f>IFERROR(__xludf.DUMMYFUNCTION("""COMPUTED_VALUE"""),100000.0)</f>
        <v>100000</v>
      </c>
      <c r="K3080" s="57">
        <f>IFERROR(__xludf.DUMMYFUNCTION("""COMPUTED_VALUE"""),45375.0)</f>
        <v>45375</v>
      </c>
      <c r="L3080" s="6" t="str">
        <f>IFERROR(__xludf.DUMMYFUNCTION("""COMPUTED_VALUE"""),"FIP Engineering")</f>
        <v>FIP Engineering</v>
      </c>
      <c r="M3080" s="6" t="str">
        <f>IFERROR(__xludf.DUMMYFUNCTION("""COMPUTED_VALUE"""),"Mochammad Fadhillah Hakim,")</f>
        <v>Mochammad Fadhillah Hakim,</v>
      </c>
      <c r="N3080" s="6" t="str">
        <f>IFERROR(__xludf.DUMMYFUNCTION("""COMPUTED_VALUE"""),"FIP Engineering")</f>
        <v>FIP Engineering</v>
      </c>
      <c r="O3080" s="6" t="str">
        <f>IFERROR(__xludf.DUMMYFUNCTION("""COMPUTED_VALUE"""),"FIP-DOM-000-11304-OS00001-INA-000000")</f>
        <v>FIP-DOM-000-11304-OS00001-INA-000000</v>
      </c>
      <c r="P3080" s="6" t="str">
        <f>IFERROR(__xludf.DUMMYFUNCTION("""COMPUTED_VALUE"""),"PO Closed")</f>
        <v>PO Closed</v>
      </c>
      <c r="Q3080" s="6" t="str">
        <f>IFERROR(__xludf.DUMMYFUNCTION("""COMPUTED_VALUE"""),"GL2405361")</f>
        <v>GL2405361</v>
      </c>
      <c r="R3080" s="57">
        <f>IFERROR(__xludf.DUMMYFUNCTION("""COMPUTED_VALUE"""),45373.0)</f>
        <v>45373</v>
      </c>
      <c r="S3080" s="57">
        <f>IFERROR(__xludf.DUMMYFUNCTION("""COMPUTED_VALUE"""),45377.0)</f>
        <v>45377</v>
      </c>
      <c r="T3080" s="57">
        <f>IFERROR(__xludf.DUMMYFUNCTION("""COMPUTED_VALUE"""),45463.0)</f>
        <v>45463</v>
      </c>
    </row>
    <row r="3081">
      <c r="A3081" s="6" t="str">
        <f>IFERROR(__xludf.DUMMYFUNCTION("""COMPUTED_VALUE"""),"121701316-4")</f>
        <v>121701316-4</v>
      </c>
      <c r="B3081" s="6" t="str">
        <f>IFERROR(__xludf.DUMMYFUNCTION("""COMPUTED_VALUE"""),"121701316 - APPROVED")</f>
        <v>121701316 - APPROVED</v>
      </c>
      <c r="C3081" s="6">
        <f>IFERROR(__xludf.DUMMYFUNCTION("""COMPUTED_VALUE"""),4.0)</f>
        <v>4</v>
      </c>
      <c r="D3081" s="6" t="str">
        <f>IFERROR(__xludf.DUMMYFUNCTION("""COMPUTED_VALUE"""),"P-50122-00")</f>
        <v>P-50122-00</v>
      </c>
      <c r="E3081" s="6" t="str">
        <f>IFERROR(__xludf.DUMMYFUNCTION("""COMPUTED_VALUE"""),"Balast Quitronick Osram 1x18/20/ 220 - 240V")</f>
        <v>Balast Quitronick Osram 1x18/20/ 220 - 240V</v>
      </c>
      <c r="F3081" s="6">
        <f>IFERROR(__xludf.DUMMYFUNCTION("""COMPUTED_VALUE"""),5.0)</f>
        <v>5</v>
      </c>
      <c r="G3081" s="6" t="str">
        <f>IFERROR(__xludf.DUMMYFUNCTION("""COMPUTED_VALUE"""),"Pieces")</f>
        <v>Pieces</v>
      </c>
      <c r="H3081" s="6" t="str">
        <f>IFERROR(__xludf.DUMMYFUNCTION("""COMPUTED_VALUE"""),"IDR")</f>
        <v>IDR</v>
      </c>
      <c r="I3081" s="6">
        <f>IFERROR(__xludf.DUMMYFUNCTION("""COMPUTED_VALUE"""),68500.0)</f>
        <v>68500</v>
      </c>
      <c r="J3081" s="6">
        <f>IFERROR(__xludf.DUMMYFUNCTION("""COMPUTED_VALUE"""),342500.0)</f>
        <v>342500</v>
      </c>
      <c r="K3081" s="57">
        <f>IFERROR(__xludf.DUMMYFUNCTION("""COMPUTED_VALUE"""),45375.0)</f>
        <v>45375</v>
      </c>
      <c r="L3081" s="6" t="str">
        <f>IFERROR(__xludf.DUMMYFUNCTION("""COMPUTED_VALUE"""),"FIP Engineering")</f>
        <v>FIP Engineering</v>
      </c>
      <c r="M3081" s="6" t="str">
        <f>IFERROR(__xludf.DUMMYFUNCTION("""COMPUTED_VALUE"""),"Mochammad Fadhillah Hakim,")</f>
        <v>Mochammad Fadhillah Hakim,</v>
      </c>
      <c r="N3081" s="6" t="str">
        <f>IFERROR(__xludf.DUMMYFUNCTION("""COMPUTED_VALUE"""),"FIP Engineering")</f>
        <v>FIP Engineering</v>
      </c>
      <c r="O3081" s="6" t="str">
        <f>IFERROR(__xludf.DUMMYFUNCTION("""COMPUTED_VALUE"""),"FIP-DOM-000-11304-OS00001-INA-000000")</f>
        <v>FIP-DOM-000-11304-OS00001-INA-000000</v>
      </c>
      <c r="P3081" s="6" t="str">
        <f>IFERROR(__xludf.DUMMYFUNCTION("""COMPUTED_VALUE"""),"PO Closed")</f>
        <v>PO Closed</v>
      </c>
      <c r="Q3081" s="6" t="str">
        <f>IFERROR(__xludf.DUMMYFUNCTION("""COMPUTED_VALUE"""),"GL2405042")</f>
        <v>GL2405042</v>
      </c>
      <c r="R3081" s="57">
        <f>IFERROR(__xludf.DUMMYFUNCTION("""COMPUTED_VALUE"""),45373.0)</f>
        <v>45373</v>
      </c>
      <c r="S3081" s="57">
        <f>IFERROR(__xludf.DUMMYFUNCTION("""COMPUTED_VALUE"""),45377.0)</f>
        <v>45377</v>
      </c>
      <c r="T3081" s="57">
        <f>IFERROR(__xludf.DUMMYFUNCTION("""COMPUTED_VALUE"""),45450.0)</f>
        <v>45450</v>
      </c>
    </row>
    <row r="3082">
      <c r="A3082" s="6" t="str">
        <f>IFERROR(__xludf.DUMMYFUNCTION("""COMPUTED_VALUE"""),"121701316-5")</f>
        <v>121701316-5</v>
      </c>
      <c r="B3082" s="6" t="str">
        <f>IFERROR(__xludf.DUMMYFUNCTION("""COMPUTED_VALUE"""),"121701316 - APPROVED")</f>
        <v>121701316 - APPROVED</v>
      </c>
      <c r="C3082" s="6">
        <f>IFERROR(__xludf.DUMMYFUNCTION("""COMPUTED_VALUE"""),5.0)</f>
        <v>5</v>
      </c>
      <c r="D3082" s="6" t="str">
        <f>IFERROR(__xludf.DUMMYFUNCTION("""COMPUTED_VALUE"""),"P-51560-00")</f>
        <v>P-51560-00</v>
      </c>
      <c r="E3082" s="6" t="str">
        <f>IFERROR(__xludf.DUMMYFUNCTION("""COMPUTED_VALUE"""),"Lampu T5 28watt Putih; Phillips; ;")</f>
        <v>Lampu T5 28watt Putih; Phillips; ;</v>
      </c>
      <c r="F3082" s="6">
        <f>IFERROR(__xludf.DUMMYFUNCTION("""COMPUTED_VALUE"""),80.0)</f>
        <v>80</v>
      </c>
      <c r="G3082" s="6" t="str">
        <f>IFERROR(__xludf.DUMMYFUNCTION("""COMPUTED_VALUE"""),"Pieces")</f>
        <v>Pieces</v>
      </c>
      <c r="H3082" s="6" t="str">
        <f>IFERROR(__xludf.DUMMYFUNCTION("""COMPUTED_VALUE"""),"IDR")</f>
        <v>IDR</v>
      </c>
      <c r="I3082" s="6">
        <f>IFERROR(__xludf.DUMMYFUNCTION("""COMPUTED_VALUE"""),36000.0)</f>
        <v>36000</v>
      </c>
      <c r="J3082" s="6">
        <f>IFERROR(__xludf.DUMMYFUNCTION("""COMPUTED_VALUE"""),2880000.0)</f>
        <v>2880000</v>
      </c>
      <c r="K3082" s="57">
        <f>IFERROR(__xludf.DUMMYFUNCTION("""COMPUTED_VALUE"""),45375.0)</f>
        <v>45375</v>
      </c>
      <c r="L3082" s="6" t="str">
        <f>IFERROR(__xludf.DUMMYFUNCTION("""COMPUTED_VALUE"""),"FIP Engineering")</f>
        <v>FIP Engineering</v>
      </c>
      <c r="M3082" s="6" t="str">
        <f>IFERROR(__xludf.DUMMYFUNCTION("""COMPUTED_VALUE"""),"Mochammad Fadhillah Hakim,")</f>
        <v>Mochammad Fadhillah Hakim,</v>
      </c>
      <c r="N3082" s="6" t="str">
        <f>IFERROR(__xludf.DUMMYFUNCTION("""COMPUTED_VALUE"""),"FIP Engineering")</f>
        <v>FIP Engineering</v>
      </c>
      <c r="O3082" s="6" t="str">
        <f>IFERROR(__xludf.DUMMYFUNCTION("""COMPUTED_VALUE"""),"FIP-DOM-000-11304-OS00001-INA-000000")</f>
        <v>FIP-DOM-000-11304-OS00001-INA-000000</v>
      </c>
      <c r="P3082" s="6" t="str">
        <f>IFERROR(__xludf.DUMMYFUNCTION("""COMPUTED_VALUE"""),"PO Closed")</f>
        <v>PO Closed</v>
      </c>
      <c r="Q3082" s="6" t="str">
        <f>IFERROR(__xludf.DUMMYFUNCTION("""COMPUTED_VALUE"""),"GL2405361")</f>
        <v>GL2405361</v>
      </c>
      <c r="R3082" s="57">
        <f>IFERROR(__xludf.DUMMYFUNCTION("""COMPUTED_VALUE"""),45373.0)</f>
        <v>45373</v>
      </c>
      <c r="S3082" s="57">
        <f>IFERROR(__xludf.DUMMYFUNCTION("""COMPUTED_VALUE"""),45377.0)</f>
        <v>45377</v>
      </c>
      <c r="T3082" s="57">
        <f>IFERROR(__xludf.DUMMYFUNCTION("""COMPUTED_VALUE"""),45463.0)</f>
        <v>45463</v>
      </c>
    </row>
    <row r="3083">
      <c r="A3083" s="6" t="str">
        <f>IFERROR(__xludf.DUMMYFUNCTION("""COMPUTED_VALUE"""),"121701316-6")</f>
        <v>121701316-6</v>
      </c>
      <c r="B3083" s="6" t="str">
        <f>IFERROR(__xludf.DUMMYFUNCTION("""COMPUTED_VALUE"""),"121701316 - APPROVED")</f>
        <v>121701316 - APPROVED</v>
      </c>
      <c r="C3083" s="6">
        <f>IFERROR(__xludf.DUMMYFUNCTION("""COMPUTED_VALUE"""),6.0)</f>
        <v>6</v>
      </c>
      <c r="D3083" s="6" t="str">
        <f>IFERROR(__xludf.DUMMYFUNCTION("""COMPUTED_VALUE"""),"P-53102-00")</f>
        <v>P-53102-00</v>
      </c>
      <c r="E3083" s="6" t="str">
        <f>IFERROR(__xludf.DUMMYFUNCTION("""COMPUTED_VALUE"""),"Lampu PLC 13watt/E27 Putih; Phillips; ;")</f>
        <v>Lampu PLC 13watt/E27 Putih; Phillips; ;</v>
      </c>
      <c r="F3083" s="6">
        <f>IFERROR(__xludf.DUMMYFUNCTION("""COMPUTED_VALUE"""),20.0)</f>
        <v>20</v>
      </c>
      <c r="G3083" s="6" t="str">
        <f>IFERROR(__xludf.DUMMYFUNCTION("""COMPUTED_VALUE"""),"Pieces")</f>
        <v>Pieces</v>
      </c>
      <c r="H3083" s="6" t="str">
        <f>IFERROR(__xludf.DUMMYFUNCTION("""COMPUTED_VALUE"""),"IDR")</f>
        <v>IDR</v>
      </c>
      <c r="I3083" s="6">
        <f>IFERROR(__xludf.DUMMYFUNCTION("""COMPUTED_VALUE"""),26100.0)</f>
        <v>26100</v>
      </c>
      <c r="J3083" s="6">
        <f>IFERROR(__xludf.DUMMYFUNCTION("""COMPUTED_VALUE"""),522000.0)</f>
        <v>522000</v>
      </c>
      <c r="K3083" s="57">
        <f>IFERROR(__xludf.DUMMYFUNCTION("""COMPUTED_VALUE"""),45375.0)</f>
        <v>45375</v>
      </c>
      <c r="L3083" s="6" t="str">
        <f>IFERROR(__xludf.DUMMYFUNCTION("""COMPUTED_VALUE"""),"FIP Engineering")</f>
        <v>FIP Engineering</v>
      </c>
      <c r="M3083" s="6" t="str">
        <f>IFERROR(__xludf.DUMMYFUNCTION("""COMPUTED_VALUE"""),"Mochammad Fadhillah Hakim,")</f>
        <v>Mochammad Fadhillah Hakim,</v>
      </c>
      <c r="N3083" s="6" t="str">
        <f>IFERROR(__xludf.DUMMYFUNCTION("""COMPUTED_VALUE"""),"FIP Engineering")</f>
        <v>FIP Engineering</v>
      </c>
      <c r="O3083" s="6" t="str">
        <f>IFERROR(__xludf.DUMMYFUNCTION("""COMPUTED_VALUE"""),"FIP-DOM-000-11304-OS00001-INA-000000")</f>
        <v>FIP-DOM-000-11304-OS00001-INA-000000</v>
      </c>
      <c r="P3083" s="6" t="str">
        <f>IFERROR(__xludf.DUMMYFUNCTION("""COMPUTED_VALUE"""),"PO Closed")</f>
        <v>PO Closed</v>
      </c>
      <c r="Q3083" s="6" t="str">
        <f>IFERROR(__xludf.DUMMYFUNCTION("""COMPUTED_VALUE"""),"GL2405361")</f>
        <v>GL2405361</v>
      </c>
      <c r="R3083" s="57">
        <f>IFERROR(__xludf.DUMMYFUNCTION("""COMPUTED_VALUE"""),45373.0)</f>
        <v>45373</v>
      </c>
      <c r="S3083" s="57">
        <f>IFERROR(__xludf.DUMMYFUNCTION("""COMPUTED_VALUE"""),45377.0)</f>
        <v>45377</v>
      </c>
      <c r="T3083" s="57">
        <f>IFERROR(__xludf.DUMMYFUNCTION("""COMPUTED_VALUE"""),45463.0)</f>
        <v>45463</v>
      </c>
    </row>
    <row r="3084">
      <c r="A3084" s="6" t="str">
        <f>IFERROR(__xludf.DUMMYFUNCTION("""COMPUTED_VALUE"""),"121701316-7")</f>
        <v>121701316-7</v>
      </c>
      <c r="B3084" s="6" t="str">
        <f>IFERROR(__xludf.DUMMYFUNCTION("""COMPUTED_VALUE"""),"121701316 - APPROVED")</f>
        <v>121701316 - APPROVED</v>
      </c>
      <c r="C3084" s="6">
        <f>IFERROR(__xludf.DUMMYFUNCTION("""COMPUTED_VALUE"""),7.0)</f>
        <v>7</v>
      </c>
      <c r="D3084" s="6" t="str">
        <f>IFERROR(__xludf.DUMMYFUNCTION("""COMPUTED_VALUE"""),"O-16647-00")</f>
        <v>O-16647-00</v>
      </c>
      <c r="E3084" s="6" t="str">
        <f>IFERROR(__xludf.DUMMYFUNCTION("""COMPUTED_VALUE"""),"Washing RAR4 - Oring Silicone Merah 23x18x2.5 mm; ; ;")</f>
        <v>Washing RAR4 - Oring Silicone Merah 23x18x2.5 mm; ; ;</v>
      </c>
      <c r="F3084" s="6">
        <f>IFERROR(__xludf.DUMMYFUNCTION("""COMPUTED_VALUE"""),30.0)</f>
        <v>30</v>
      </c>
      <c r="G3084" s="6" t="str">
        <f>IFERROR(__xludf.DUMMYFUNCTION("""COMPUTED_VALUE"""),"Pieces")</f>
        <v>Pieces</v>
      </c>
      <c r="H3084" s="6" t="str">
        <f>IFERROR(__xludf.DUMMYFUNCTION("""COMPUTED_VALUE"""),"IDR")</f>
        <v>IDR</v>
      </c>
      <c r="I3084" s="6">
        <f>IFERROR(__xludf.DUMMYFUNCTION("""COMPUTED_VALUE"""),35000.0)</f>
        <v>35000</v>
      </c>
      <c r="J3084" s="6">
        <f>IFERROR(__xludf.DUMMYFUNCTION("""COMPUTED_VALUE"""),1050000.0)</f>
        <v>1050000</v>
      </c>
      <c r="K3084" s="57">
        <f>IFERROR(__xludf.DUMMYFUNCTION("""COMPUTED_VALUE"""),45375.0)</f>
        <v>45375</v>
      </c>
      <c r="L3084" s="6" t="str">
        <f>IFERROR(__xludf.DUMMYFUNCTION("""COMPUTED_VALUE"""),"FIP Engineering")</f>
        <v>FIP Engineering</v>
      </c>
      <c r="M3084" s="6" t="str">
        <f>IFERROR(__xludf.DUMMYFUNCTION("""COMPUTED_VALUE"""),"Mochammad Fadhillah Hakim,")</f>
        <v>Mochammad Fadhillah Hakim,</v>
      </c>
      <c r="N3084" s="6" t="str">
        <f>IFERROR(__xludf.DUMMYFUNCTION("""COMPUTED_VALUE"""),"FIP Engineering")</f>
        <v>FIP Engineering</v>
      </c>
      <c r="O3084" s="6" t="str">
        <f>IFERROR(__xludf.DUMMYFUNCTION("""COMPUTED_VALUE"""),"FIP-DOM-000-11304-OS00001-INA-000000")</f>
        <v>FIP-DOM-000-11304-OS00001-INA-000000</v>
      </c>
      <c r="P3084" s="6" t="str">
        <f>IFERROR(__xludf.DUMMYFUNCTION("""COMPUTED_VALUE"""),"PO Closed")</f>
        <v>PO Closed</v>
      </c>
      <c r="Q3084" s="6" t="str">
        <f>IFERROR(__xludf.DUMMYFUNCTION("""COMPUTED_VALUE"""),"GL2405042")</f>
        <v>GL2405042</v>
      </c>
      <c r="R3084" s="57">
        <f>IFERROR(__xludf.DUMMYFUNCTION("""COMPUTED_VALUE"""),45373.0)</f>
        <v>45373</v>
      </c>
      <c r="S3084" s="57">
        <f>IFERROR(__xludf.DUMMYFUNCTION("""COMPUTED_VALUE"""),45377.0)</f>
        <v>45377</v>
      </c>
      <c r="T3084" s="57">
        <f>IFERROR(__xludf.DUMMYFUNCTION("""COMPUTED_VALUE"""),45450.0)</f>
        <v>45450</v>
      </c>
    </row>
    <row r="3085">
      <c r="A3085" s="6" t="str">
        <f>IFERROR(__xludf.DUMMYFUNCTION("""COMPUTED_VALUE"""),"121701316-8")</f>
        <v>121701316-8</v>
      </c>
      <c r="B3085" s="6" t="str">
        <f>IFERROR(__xludf.DUMMYFUNCTION("""COMPUTED_VALUE"""),"121701316 - APPROVED")</f>
        <v>121701316 - APPROVED</v>
      </c>
      <c r="C3085" s="6">
        <f>IFERROR(__xludf.DUMMYFUNCTION("""COMPUTED_VALUE"""),8.0)</f>
        <v>8</v>
      </c>
      <c r="D3085" s="6" t="str">
        <f>IFERROR(__xludf.DUMMYFUNCTION("""COMPUTED_VALUE"""),"P-51756-00")</f>
        <v>P-51756-00</v>
      </c>
      <c r="E3085" s="6" t="str">
        <f>IFERROR(__xludf.DUMMYFUNCTION("""COMPUTED_VALUE"""),"Kabel NYYHY 3x0.75mm; ; ; meter")</f>
        <v>Kabel NYYHY 3x0.75mm; ; ; meter</v>
      </c>
      <c r="F3085" s="6">
        <f>IFERROR(__xludf.DUMMYFUNCTION("""COMPUTED_VALUE"""),50.0)</f>
        <v>50</v>
      </c>
      <c r="G3085" s="6" t="str">
        <f>IFERROR(__xludf.DUMMYFUNCTION("""COMPUTED_VALUE"""),"Meter")</f>
        <v>Meter</v>
      </c>
      <c r="H3085" s="6" t="str">
        <f>IFERROR(__xludf.DUMMYFUNCTION("""COMPUTED_VALUE"""),"IDR")</f>
        <v>IDR</v>
      </c>
      <c r="I3085" s="6">
        <f>IFERROR(__xludf.DUMMYFUNCTION("""COMPUTED_VALUE"""),11370.0)</f>
        <v>11370</v>
      </c>
      <c r="J3085" s="6">
        <f>IFERROR(__xludf.DUMMYFUNCTION("""COMPUTED_VALUE"""),568500.0)</f>
        <v>568500</v>
      </c>
      <c r="K3085" s="57">
        <f>IFERROR(__xludf.DUMMYFUNCTION("""COMPUTED_VALUE"""),45375.0)</f>
        <v>45375</v>
      </c>
      <c r="L3085" s="6" t="str">
        <f>IFERROR(__xludf.DUMMYFUNCTION("""COMPUTED_VALUE"""),"FIP Engineering")</f>
        <v>FIP Engineering</v>
      </c>
      <c r="M3085" s="6" t="str">
        <f>IFERROR(__xludf.DUMMYFUNCTION("""COMPUTED_VALUE"""),"Mochammad Fadhillah Hakim,")</f>
        <v>Mochammad Fadhillah Hakim,</v>
      </c>
      <c r="N3085" s="6" t="str">
        <f>IFERROR(__xludf.DUMMYFUNCTION("""COMPUTED_VALUE"""),"FIP Engineering")</f>
        <v>FIP Engineering</v>
      </c>
      <c r="O3085" s="6" t="str">
        <f>IFERROR(__xludf.DUMMYFUNCTION("""COMPUTED_VALUE"""),"FIP-DOM-000-11304-OS00001-INA-000000")</f>
        <v>FIP-DOM-000-11304-OS00001-INA-000000</v>
      </c>
      <c r="P3085" s="6" t="str">
        <f>IFERROR(__xludf.DUMMYFUNCTION("""COMPUTED_VALUE"""),"PO Closed")</f>
        <v>PO Closed</v>
      </c>
      <c r="Q3085" s="6" t="str">
        <f>IFERROR(__xludf.DUMMYFUNCTION("""COMPUTED_VALUE"""),"GL2405042")</f>
        <v>GL2405042</v>
      </c>
      <c r="R3085" s="57">
        <f>IFERROR(__xludf.DUMMYFUNCTION("""COMPUTED_VALUE"""),45373.0)</f>
        <v>45373</v>
      </c>
      <c r="S3085" s="57">
        <f>IFERROR(__xludf.DUMMYFUNCTION("""COMPUTED_VALUE"""),45377.0)</f>
        <v>45377</v>
      </c>
      <c r="T3085" s="57">
        <f>IFERROR(__xludf.DUMMYFUNCTION("""COMPUTED_VALUE"""),45450.0)</f>
        <v>45450</v>
      </c>
    </row>
    <row r="3086">
      <c r="A3086" s="6" t="str">
        <f>IFERROR(__xludf.DUMMYFUNCTION("""COMPUTED_VALUE"""),"121701316-9")</f>
        <v>121701316-9</v>
      </c>
      <c r="B3086" s="6" t="str">
        <f>IFERROR(__xludf.DUMMYFUNCTION("""COMPUTED_VALUE"""),"121701316 - APPROVED")</f>
        <v>121701316 - APPROVED</v>
      </c>
      <c r="C3086" s="6">
        <f>IFERROR(__xludf.DUMMYFUNCTION("""COMPUTED_VALUE"""),9.0)</f>
        <v>9</v>
      </c>
      <c r="D3086" s="6" t="str">
        <f>IFERROR(__xludf.DUMMYFUNCTION("""COMPUTED_VALUE"""),"P-10945-00")</f>
        <v>P-10945-00</v>
      </c>
      <c r="E3086" s="6" t="str">
        <f>IFERROR(__xludf.DUMMYFUNCTION("""COMPUTED_VALUE"""),"Insulation - Seal Tape onda")</f>
        <v>Insulation - Seal Tape onda</v>
      </c>
      <c r="F3086" s="6">
        <f>IFERROR(__xludf.DUMMYFUNCTION("""COMPUTED_VALUE"""),15.0)</f>
        <v>15</v>
      </c>
      <c r="G3086" s="6" t="str">
        <f>IFERROR(__xludf.DUMMYFUNCTION("""COMPUTED_VALUE"""),"Pieces")</f>
        <v>Pieces</v>
      </c>
      <c r="H3086" s="6" t="str">
        <f>IFERROR(__xludf.DUMMYFUNCTION("""COMPUTED_VALUE"""),"IDR")</f>
        <v>IDR</v>
      </c>
      <c r="I3086" s="6">
        <f>IFERROR(__xludf.DUMMYFUNCTION("""COMPUTED_VALUE"""),5000.0)</f>
        <v>5000</v>
      </c>
      <c r="J3086" s="6">
        <f>IFERROR(__xludf.DUMMYFUNCTION("""COMPUTED_VALUE"""),75000.0)</f>
        <v>75000</v>
      </c>
      <c r="K3086" s="57">
        <f>IFERROR(__xludf.DUMMYFUNCTION("""COMPUTED_VALUE"""),45375.0)</f>
        <v>45375</v>
      </c>
      <c r="L3086" s="6" t="str">
        <f>IFERROR(__xludf.DUMMYFUNCTION("""COMPUTED_VALUE"""),"FIP Engineering")</f>
        <v>FIP Engineering</v>
      </c>
      <c r="M3086" s="6" t="str">
        <f>IFERROR(__xludf.DUMMYFUNCTION("""COMPUTED_VALUE"""),"Mochammad Fadhillah Hakim,")</f>
        <v>Mochammad Fadhillah Hakim,</v>
      </c>
      <c r="N3086" s="6" t="str">
        <f>IFERROR(__xludf.DUMMYFUNCTION("""COMPUTED_VALUE"""),"FIP Engineering")</f>
        <v>FIP Engineering</v>
      </c>
      <c r="O3086" s="6" t="str">
        <f>IFERROR(__xludf.DUMMYFUNCTION("""COMPUTED_VALUE"""),"FIP-DOM-000-11304-OS00001-INA-000000")</f>
        <v>FIP-DOM-000-11304-OS00001-INA-000000</v>
      </c>
      <c r="P3086" s="6" t="str">
        <f>IFERROR(__xludf.DUMMYFUNCTION("""COMPUTED_VALUE"""),"PO Closed")</f>
        <v>PO Closed</v>
      </c>
      <c r="Q3086" s="6" t="str">
        <f>IFERROR(__xludf.DUMMYFUNCTION("""COMPUTED_VALUE"""),"GL2405361")</f>
        <v>GL2405361</v>
      </c>
      <c r="R3086" s="57">
        <f>IFERROR(__xludf.DUMMYFUNCTION("""COMPUTED_VALUE"""),45373.0)</f>
        <v>45373</v>
      </c>
      <c r="S3086" s="57">
        <f>IFERROR(__xludf.DUMMYFUNCTION("""COMPUTED_VALUE"""),45377.0)</f>
        <v>45377</v>
      </c>
      <c r="T3086" s="57">
        <f>IFERROR(__xludf.DUMMYFUNCTION("""COMPUTED_VALUE"""),45463.0)</f>
        <v>45463</v>
      </c>
    </row>
    <row r="3087">
      <c r="A3087" s="6" t="str">
        <f>IFERROR(__xludf.DUMMYFUNCTION("""COMPUTED_VALUE"""),"121701316-10")</f>
        <v>121701316-10</v>
      </c>
      <c r="B3087" s="6" t="str">
        <f>IFERROR(__xludf.DUMMYFUNCTION("""COMPUTED_VALUE"""),"121701316 - APPROVED")</f>
        <v>121701316 - APPROVED</v>
      </c>
      <c r="C3087" s="6">
        <f>IFERROR(__xludf.DUMMYFUNCTION("""COMPUTED_VALUE"""),10.0)</f>
        <v>10</v>
      </c>
      <c r="D3087" s="6" t="str">
        <f>IFERROR(__xludf.DUMMYFUNCTION("""COMPUTED_VALUE"""),"P-13389-00")</f>
        <v>P-13389-00</v>
      </c>
      <c r="E3087" s="6" t="str">
        <f>IFERROR(__xludf.DUMMYFUNCTION("""COMPUTED_VALUE"""),"Scotch Brite 3M; ; ;")</f>
        <v>Scotch Brite 3M; ; ;</v>
      </c>
      <c r="F3087" s="6">
        <f>IFERROR(__xludf.DUMMYFUNCTION("""COMPUTED_VALUE"""),15.0)</f>
        <v>15</v>
      </c>
      <c r="G3087" s="6" t="str">
        <f>IFERROR(__xludf.DUMMYFUNCTION("""COMPUTED_VALUE"""),"Pieces")</f>
        <v>Pieces</v>
      </c>
      <c r="H3087" s="6" t="str">
        <f>IFERROR(__xludf.DUMMYFUNCTION("""COMPUTED_VALUE"""),"IDR")</f>
        <v>IDR</v>
      </c>
      <c r="I3087" s="6">
        <f>IFERROR(__xludf.DUMMYFUNCTION("""COMPUTED_VALUE"""),13500.0)</f>
        <v>13500</v>
      </c>
      <c r="J3087" s="6">
        <f>IFERROR(__xludf.DUMMYFUNCTION("""COMPUTED_VALUE"""),202500.0)</f>
        <v>202500</v>
      </c>
      <c r="K3087" s="57">
        <f>IFERROR(__xludf.DUMMYFUNCTION("""COMPUTED_VALUE"""),45375.0)</f>
        <v>45375</v>
      </c>
      <c r="L3087" s="6" t="str">
        <f>IFERROR(__xludf.DUMMYFUNCTION("""COMPUTED_VALUE"""),"FIP Engineering")</f>
        <v>FIP Engineering</v>
      </c>
      <c r="M3087" s="6" t="str">
        <f>IFERROR(__xludf.DUMMYFUNCTION("""COMPUTED_VALUE"""),"Mochammad Fadhillah Hakim,")</f>
        <v>Mochammad Fadhillah Hakim,</v>
      </c>
      <c r="N3087" s="6" t="str">
        <f>IFERROR(__xludf.DUMMYFUNCTION("""COMPUTED_VALUE"""),"FIP Engineering")</f>
        <v>FIP Engineering</v>
      </c>
      <c r="O3087" s="6" t="str">
        <f>IFERROR(__xludf.DUMMYFUNCTION("""COMPUTED_VALUE"""),"FIP-DOM-000-11304-OS00001-INA-000000")</f>
        <v>FIP-DOM-000-11304-OS00001-INA-000000</v>
      </c>
      <c r="P3087" s="6" t="str">
        <f>IFERROR(__xludf.DUMMYFUNCTION("""COMPUTED_VALUE"""),"PO Closed")</f>
        <v>PO Closed</v>
      </c>
      <c r="Q3087" s="6" t="str">
        <f>IFERROR(__xludf.DUMMYFUNCTION("""COMPUTED_VALUE"""),"GL2405042")</f>
        <v>GL2405042</v>
      </c>
      <c r="R3087" s="57">
        <f>IFERROR(__xludf.DUMMYFUNCTION("""COMPUTED_VALUE"""),45373.0)</f>
        <v>45373</v>
      </c>
      <c r="S3087" s="57">
        <f>IFERROR(__xludf.DUMMYFUNCTION("""COMPUTED_VALUE"""),45377.0)</f>
        <v>45377</v>
      </c>
      <c r="T3087" s="57">
        <f>IFERROR(__xludf.DUMMYFUNCTION("""COMPUTED_VALUE"""),45450.0)</f>
        <v>45450</v>
      </c>
    </row>
    <row r="3088">
      <c r="A3088" s="6" t="str">
        <f>IFERROR(__xludf.DUMMYFUNCTION("""COMPUTED_VALUE"""),"121701317-1")</f>
        <v>121701317-1</v>
      </c>
      <c r="B3088" s="6" t="str">
        <f>IFERROR(__xludf.DUMMYFUNCTION("""COMPUTED_VALUE"""),"121701317 - APPROVED")</f>
        <v>121701317 - APPROVED</v>
      </c>
      <c r="C3088" s="6">
        <f>IFERROR(__xludf.DUMMYFUNCTION("""COMPUTED_VALUE"""),1.0)</f>
        <v>1</v>
      </c>
      <c r="D3088" s="6" t="str">
        <f>IFERROR(__xludf.DUMMYFUNCTION("""COMPUTED_VALUE"""),"O-11181-00")</f>
        <v>O-11181-00</v>
      </c>
      <c r="E3088" s="6" t="str">
        <f>IFERROR(__xludf.DUMMYFUNCTION("""COMPUTED_VALUE"""),"Bearing 626-2Z")</f>
        <v>Bearing 626-2Z</v>
      </c>
      <c r="F3088" s="6">
        <f>IFERROR(__xludf.DUMMYFUNCTION("""COMPUTED_VALUE"""),50.0)</f>
        <v>50</v>
      </c>
      <c r="G3088" s="6" t="str">
        <f>IFERROR(__xludf.DUMMYFUNCTION("""COMPUTED_VALUE"""),"Pieces")</f>
        <v>Pieces</v>
      </c>
      <c r="H3088" s="6" t="str">
        <f>IFERROR(__xludf.DUMMYFUNCTION("""COMPUTED_VALUE"""),"IDR")</f>
        <v>IDR</v>
      </c>
      <c r="I3088" s="6">
        <f>IFERROR(__xludf.DUMMYFUNCTION("""COMPUTED_VALUE"""),45000.0)</f>
        <v>45000</v>
      </c>
      <c r="J3088" s="6">
        <f>IFERROR(__xludf.DUMMYFUNCTION("""COMPUTED_VALUE"""),2250000.0)</f>
        <v>2250000</v>
      </c>
      <c r="K3088" s="57">
        <f>IFERROR(__xludf.DUMMYFUNCTION("""COMPUTED_VALUE"""),45375.0)</f>
        <v>45375</v>
      </c>
      <c r="L3088" s="6" t="str">
        <f>IFERROR(__xludf.DUMMYFUNCTION("""COMPUTED_VALUE"""),"FIP Engineering")</f>
        <v>FIP Engineering</v>
      </c>
      <c r="M3088" s="6" t="str">
        <f>IFERROR(__xludf.DUMMYFUNCTION("""COMPUTED_VALUE"""),"Mochammad Fadhillah Hakim,")</f>
        <v>Mochammad Fadhillah Hakim,</v>
      </c>
      <c r="N3088" s="6" t="str">
        <f>IFERROR(__xludf.DUMMYFUNCTION("""COMPUTED_VALUE"""),"FIP Engineering")</f>
        <v>FIP Engineering</v>
      </c>
      <c r="O3088" s="6" t="str">
        <f>IFERROR(__xludf.DUMMYFUNCTION("""COMPUTED_VALUE"""),"FIP-DOM-000-11304-OS00001-INA-000000")</f>
        <v>FIP-DOM-000-11304-OS00001-INA-000000</v>
      </c>
      <c r="P3088" s="6" t="str">
        <f>IFERROR(__xludf.DUMMYFUNCTION("""COMPUTED_VALUE"""),"PO Closed")</f>
        <v>PO Closed</v>
      </c>
      <c r="Q3088" s="6" t="str">
        <f>IFERROR(__xludf.DUMMYFUNCTION("""COMPUTED_VALUE"""),"GL2405349")</f>
        <v>GL2405349</v>
      </c>
      <c r="R3088" s="57">
        <f>IFERROR(__xludf.DUMMYFUNCTION("""COMPUTED_VALUE"""),45373.0)</f>
        <v>45373</v>
      </c>
      <c r="S3088" s="57">
        <f>IFERROR(__xludf.DUMMYFUNCTION("""COMPUTED_VALUE"""),45377.0)</f>
        <v>45377</v>
      </c>
      <c r="T3088" s="57">
        <f>IFERROR(__xludf.DUMMYFUNCTION("""COMPUTED_VALUE"""),45443.0)</f>
        <v>45443</v>
      </c>
    </row>
    <row r="3089">
      <c r="A3089" s="6" t="str">
        <f>IFERROR(__xludf.DUMMYFUNCTION("""COMPUTED_VALUE"""),"121701317-2")</f>
        <v>121701317-2</v>
      </c>
      <c r="B3089" s="6" t="str">
        <f>IFERROR(__xludf.DUMMYFUNCTION("""COMPUTED_VALUE"""),"121701317 - APPROVED")</f>
        <v>121701317 - APPROVED</v>
      </c>
      <c r="C3089" s="6">
        <f>IFERROR(__xludf.DUMMYFUNCTION("""COMPUTED_VALUE"""),2.0)</f>
        <v>2</v>
      </c>
      <c r="D3089" s="6" t="str">
        <f>IFERROR(__xludf.DUMMYFUNCTION("""COMPUTED_VALUE"""),"P-12764-00")</f>
        <v>P-12764-00</v>
      </c>
      <c r="E3089" s="6" t="str">
        <f>IFERROR(__xludf.DUMMYFUNCTION("""COMPUTED_VALUE"""),"Silicone gasket for ferrule dia 1/2inch Taiwan")</f>
        <v>Silicone gasket for ferrule dia 1/2inch Taiwan</v>
      </c>
      <c r="F3089" s="6">
        <f>IFERROR(__xludf.DUMMYFUNCTION("""COMPUTED_VALUE"""),50.0)</f>
        <v>50</v>
      </c>
      <c r="G3089" s="6" t="str">
        <f>IFERROR(__xludf.DUMMYFUNCTION("""COMPUTED_VALUE"""),"Pieces")</f>
        <v>Pieces</v>
      </c>
      <c r="H3089" s="6" t="str">
        <f>IFERROR(__xludf.DUMMYFUNCTION("""COMPUTED_VALUE"""),"IDR")</f>
        <v>IDR</v>
      </c>
      <c r="I3089" s="6">
        <f>IFERROR(__xludf.DUMMYFUNCTION("""COMPUTED_VALUE"""),8000.0)</f>
        <v>8000</v>
      </c>
      <c r="J3089" s="6">
        <f>IFERROR(__xludf.DUMMYFUNCTION("""COMPUTED_VALUE"""),400000.0)</f>
        <v>400000</v>
      </c>
      <c r="K3089" s="57">
        <f>IFERROR(__xludf.DUMMYFUNCTION("""COMPUTED_VALUE"""),45375.0)</f>
        <v>45375</v>
      </c>
      <c r="L3089" s="6" t="str">
        <f>IFERROR(__xludf.DUMMYFUNCTION("""COMPUTED_VALUE"""),"FIP Engineering")</f>
        <v>FIP Engineering</v>
      </c>
      <c r="M3089" s="6" t="str">
        <f>IFERROR(__xludf.DUMMYFUNCTION("""COMPUTED_VALUE"""),"Mochammad Fadhillah Hakim,")</f>
        <v>Mochammad Fadhillah Hakim,</v>
      </c>
      <c r="N3089" s="6" t="str">
        <f>IFERROR(__xludf.DUMMYFUNCTION("""COMPUTED_VALUE"""),"FIP Engineering")</f>
        <v>FIP Engineering</v>
      </c>
      <c r="O3089" s="6" t="str">
        <f>IFERROR(__xludf.DUMMYFUNCTION("""COMPUTED_VALUE"""),"FIP-DOM-000-11304-OS00001-INA-000000")</f>
        <v>FIP-DOM-000-11304-OS00001-INA-000000</v>
      </c>
      <c r="P3089" s="6" t="str">
        <f>IFERROR(__xludf.DUMMYFUNCTION("""COMPUTED_VALUE"""),"PO Closed")</f>
        <v>PO Closed</v>
      </c>
      <c r="Q3089" s="6" t="str">
        <f>IFERROR(__xludf.DUMMYFUNCTION("""COMPUTED_VALUE"""),"GL2403051")</f>
        <v>GL2403051</v>
      </c>
      <c r="R3089" s="57">
        <f>IFERROR(__xludf.DUMMYFUNCTION("""COMPUTED_VALUE"""),45373.0)</f>
        <v>45373</v>
      </c>
      <c r="S3089" s="57">
        <f>IFERROR(__xludf.DUMMYFUNCTION("""COMPUTED_VALUE"""),45377.0)</f>
        <v>45377</v>
      </c>
      <c r="T3089" s="57">
        <f>IFERROR(__xludf.DUMMYFUNCTION("""COMPUTED_VALUE"""),45412.0)</f>
        <v>45412</v>
      </c>
    </row>
    <row r="3090">
      <c r="A3090" s="6" t="str">
        <f>IFERROR(__xludf.DUMMYFUNCTION("""COMPUTED_VALUE"""),"121701317-3")</f>
        <v>121701317-3</v>
      </c>
      <c r="B3090" s="6" t="str">
        <f>IFERROR(__xludf.DUMMYFUNCTION("""COMPUTED_VALUE"""),"121701317 - APPROVED")</f>
        <v>121701317 - APPROVED</v>
      </c>
      <c r="C3090" s="6">
        <f>IFERROR(__xludf.DUMMYFUNCTION("""COMPUTED_VALUE"""),3.0)</f>
        <v>3</v>
      </c>
      <c r="D3090" s="6" t="str">
        <f>IFERROR(__xludf.DUMMYFUNCTION("""COMPUTED_VALUE"""),"Q-60502-00")</f>
        <v>Q-60502-00</v>
      </c>
      <c r="E3090" s="6" t="str">
        <f>IFERROR(__xludf.DUMMYFUNCTION("""COMPUTED_VALUE"""),"Silicone Sealant, Silglaze, Type N10 White, pack size per pcs")</f>
        <v>Silicone Sealant, Silglaze, Type N10 White, pack size per pcs</v>
      </c>
      <c r="F3090" s="6">
        <f>IFERROR(__xludf.DUMMYFUNCTION("""COMPUTED_VALUE"""),5.0)</f>
        <v>5</v>
      </c>
      <c r="G3090" s="6" t="str">
        <f>IFERROR(__xludf.DUMMYFUNCTION("""COMPUTED_VALUE"""),"Pieces")</f>
        <v>Pieces</v>
      </c>
      <c r="H3090" s="6" t="str">
        <f>IFERROR(__xludf.DUMMYFUNCTION("""COMPUTED_VALUE"""),"IDR")</f>
        <v>IDR</v>
      </c>
      <c r="I3090" s="6">
        <f>IFERROR(__xludf.DUMMYFUNCTION("""COMPUTED_VALUE"""),62000.0)</f>
        <v>62000</v>
      </c>
      <c r="J3090" s="6">
        <f>IFERROR(__xludf.DUMMYFUNCTION("""COMPUTED_VALUE"""),310000.0)</f>
        <v>310000</v>
      </c>
      <c r="K3090" s="57">
        <f>IFERROR(__xludf.DUMMYFUNCTION("""COMPUTED_VALUE"""),45375.0)</f>
        <v>45375</v>
      </c>
      <c r="L3090" s="6" t="str">
        <f>IFERROR(__xludf.DUMMYFUNCTION("""COMPUTED_VALUE"""),"FIP Engineering")</f>
        <v>FIP Engineering</v>
      </c>
      <c r="M3090" s="6" t="str">
        <f>IFERROR(__xludf.DUMMYFUNCTION("""COMPUTED_VALUE"""),"Mochammad Fadhillah Hakim,")</f>
        <v>Mochammad Fadhillah Hakim,</v>
      </c>
      <c r="N3090" s="6" t="str">
        <f>IFERROR(__xludf.DUMMYFUNCTION("""COMPUTED_VALUE"""),"FIP Engineering")</f>
        <v>FIP Engineering</v>
      </c>
      <c r="O3090" s="6" t="str">
        <f>IFERROR(__xludf.DUMMYFUNCTION("""COMPUTED_VALUE"""),"FIP-DOM-000-11304-OS00001-INA-000000")</f>
        <v>FIP-DOM-000-11304-OS00001-INA-000000</v>
      </c>
      <c r="P3090" s="6" t="str">
        <f>IFERROR(__xludf.DUMMYFUNCTION("""COMPUTED_VALUE"""),"PO Closed")</f>
        <v>PO Closed</v>
      </c>
      <c r="Q3090" s="6" t="str">
        <f>IFERROR(__xludf.DUMMYFUNCTION("""COMPUTED_VALUE"""),"GL2404015")</f>
        <v>GL2404015</v>
      </c>
      <c r="R3090" s="57">
        <f>IFERROR(__xludf.DUMMYFUNCTION("""COMPUTED_VALUE"""),45373.0)</f>
        <v>45373</v>
      </c>
      <c r="S3090" s="57">
        <f>IFERROR(__xludf.DUMMYFUNCTION("""COMPUTED_VALUE"""),45377.0)</f>
        <v>45377</v>
      </c>
      <c r="T3090" s="57">
        <f>IFERROR(__xludf.DUMMYFUNCTION("""COMPUTED_VALUE"""),45412.0)</f>
        <v>45412</v>
      </c>
    </row>
    <row r="3091">
      <c r="A3091" s="6" t="str">
        <f>IFERROR(__xludf.DUMMYFUNCTION("""COMPUTED_VALUE"""),"121701317-4")</f>
        <v>121701317-4</v>
      </c>
      <c r="B3091" s="6" t="str">
        <f>IFERROR(__xludf.DUMMYFUNCTION("""COMPUTED_VALUE"""),"121701317 - APPROVED")</f>
        <v>121701317 - APPROVED</v>
      </c>
      <c r="C3091" s="6">
        <f>IFERROR(__xludf.DUMMYFUNCTION("""COMPUTED_VALUE"""),4.0)</f>
        <v>4</v>
      </c>
      <c r="D3091" s="6" t="str">
        <f>IFERROR(__xludf.DUMMYFUNCTION("""COMPUTED_VALUE"""),"Q-60503-00")</f>
        <v>Q-60503-00</v>
      </c>
      <c r="E3091" s="6" t="str">
        <f>IFERROR(__xludf.DUMMYFUNCTION("""COMPUTED_VALUE"""),"Silicone Sealant, Silglaze, Type N10 Grey, pack size per pcs")</f>
        <v>Silicone Sealant, Silglaze, Type N10 Grey, pack size per pcs</v>
      </c>
      <c r="F3091" s="6">
        <f>IFERROR(__xludf.DUMMYFUNCTION("""COMPUTED_VALUE"""),10.0)</f>
        <v>10</v>
      </c>
      <c r="G3091" s="6" t="str">
        <f>IFERROR(__xludf.DUMMYFUNCTION("""COMPUTED_VALUE"""),"Pieces")</f>
        <v>Pieces</v>
      </c>
      <c r="H3091" s="6" t="str">
        <f>IFERROR(__xludf.DUMMYFUNCTION("""COMPUTED_VALUE"""),"IDR")</f>
        <v>IDR</v>
      </c>
      <c r="I3091" s="6">
        <f>IFERROR(__xludf.DUMMYFUNCTION("""COMPUTED_VALUE"""),62000.0)</f>
        <v>62000</v>
      </c>
      <c r="J3091" s="6">
        <f>IFERROR(__xludf.DUMMYFUNCTION("""COMPUTED_VALUE"""),620000.0)</f>
        <v>620000</v>
      </c>
      <c r="K3091" s="57">
        <f>IFERROR(__xludf.DUMMYFUNCTION("""COMPUTED_VALUE"""),45375.0)</f>
        <v>45375</v>
      </c>
      <c r="L3091" s="6" t="str">
        <f>IFERROR(__xludf.DUMMYFUNCTION("""COMPUTED_VALUE"""),"FIP Engineering")</f>
        <v>FIP Engineering</v>
      </c>
      <c r="M3091" s="6" t="str">
        <f>IFERROR(__xludf.DUMMYFUNCTION("""COMPUTED_VALUE"""),"Mochammad Fadhillah Hakim,")</f>
        <v>Mochammad Fadhillah Hakim,</v>
      </c>
      <c r="N3091" s="6" t="str">
        <f>IFERROR(__xludf.DUMMYFUNCTION("""COMPUTED_VALUE"""),"FIP Engineering")</f>
        <v>FIP Engineering</v>
      </c>
      <c r="O3091" s="6" t="str">
        <f>IFERROR(__xludf.DUMMYFUNCTION("""COMPUTED_VALUE"""),"FIP-DOM-000-11304-OS00001-INA-000000")</f>
        <v>FIP-DOM-000-11304-OS00001-INA-000000</v>
      </c>
      <c r="P3091" s="6" t="str">
        <f>IFERROR(__xludf.DUMMYFUNCTION("""COMPUTED_VALUE"""),"PO Closed")</f>
        <v>PO Closed</v>
      </c>
      <c r="Q3091" s="6" t="str">
        <f>IFERROR(__xludf.DUMMYFUNCTION("""COMPUTED_VALUE"""),"GL2404015")</f>
        <v>GL2404015</v>
      </c>
      <c r="R3091" s="57">
        <f>IFERROR(__xludf.DUMMYFUNCTION("""COMPUTED_VALUE"""),45373.0)</f>
        <v>45373</v>
      </c>
      <c r="S3091" s="57">
        <f>IFERROR(__xludf.DUMMYFUNCTION("""COMPUTED_VALUE"""),45377.0)</f>
        <v>45377</v>
      </c>
      <c r="T3091" s="57">
        <f>IFERROR(__xludf.DUMMYFUNCTION("""COMPUTED_VALUE"""),45412.0)</f>
        <v>45412</v>
      </c>
    </row>
    <row r="3092">
      <c r="A3092" s="6" t="str">
        <f>IFERROR(__xludf.DUMMYFUNCTION("""COMPUTED_VALUE"""),"121701317-5")</f>
        <v>121701317-5</v>
      </c>
      <c r="B3092" s="6" t="str">
        <f>IFERROR(__xludf.DUMMYFUNCTION("""COMPUTED_VALUE"""),"121701317 - APPROVED")</f>
        <v>121701317 - APPROVED</v>
      </c>
      <c r="C3092" s="6">
        <f>IFERROR(__xludf.DUMMYFUNCTION("""COMPUTED_VALUE"""),5.0)</f>
        <v>5</v>
      </c>
      <c r="D3092" s="6" t="str">
        <f>IFERROR(__xludf.DUMMYFUNCTION("""COMPUTED_VALUE"""),"O-54014-00")</f>
        <v>O-54014-00</v>
      </c>
      <c r="E3092" s="6" t="str">
        <f>IFERROR(__xludf.DUMMYFUNCTION("""COMPUTED_VALUE"""),"STEKER 1 PHASE, BROCO")</f>
        <v>STEKER 1 PHASE, BROCO</v>
      </c>
      <c r="F3092" s="6">
        <f>IFERROR(__xludf.DUMMYFUNCTION("""COMPUTED_VALUE"""),5.0)</f>
        <v>5</v>
      </c>
      <c r="G3092" s="6" t="str">
        <f>IFERROR(__xludf.DUMMYFUNCTION("""COMPUTED_VALUE"""),"Pieces")</f>
        <v>Pieces</v>
      </c>
      <c r="H3092" s="6" t="str">
        <f>IFERROR(__xludf.DUMMYFUNCTION("""COMPUTED_VALUE"""),"IDR")</f>
        <v>IDR</v>
      </c>
      <c r="I3092" s="6">
        <f>IFERROR(__xludf.DUMMYFUNCTION("""COMPUTED_VALUE"""),10000.0)</f>
        <v>10000</v>
      </c>
      <c r="J3092" s="6">
        <f>IFERROR(__xludf.DUMMYFUNCTION("""COMPUTED_VALUE"""),50000.0)</f>
        <v>50000</v>
      </c>
      <c r="K3092" s="57">
        <f>IFERROR(__xludf.DUMMYFUNCTION("""COMPUTED_VALUE"""),45375.0)</f>
        <v>45375</v>
      </c>
      <c r="L3092" s="6" t="str">
        <f>IFERROR(__xludf.DUMMYFUNCTION("""COMPUTED_VALUE"""),"FIP Engineering")</f>
        <v>FIP Engineering</v>
      </c>
      <c r="M3092" s="6" t="str">
        <f>IFERROR(__xludf.DUMMYFUNCTION("""COMPUTED_VALUE"""),"Mochammad Fadhillah Hakim,")</f>
        <v>Mochammad Fadhillah Hakim,</v>
      </c>
      <c r="N3092" s="6" t="str">
        <f>IFERROR(__xludf.DUMMYFUNCTION("""COMPUTED_VALUE"""),"FIP Engineering")</f>
        <v>FIP Engineering</v>
      </c>
      <c r="O3092" s="6" t="str">
        <f>IFERROR(__xludf.DUMMYFUNCTION("""COMPUTED_VALUE"""),"FIP-DOM-000-11304-OS00001-INA-000000")</f>
        <v>FIP-DOM-000-11304-OS00001-INA-000000</v>
      </c>
      <c r="P3092" s="6" t="str">
        <f>IFERROR(__xludf.DUMMYFUNCTION("""COMPUTED_VALUE"""),"PO Closed")</f>
        <v>PO Closed</v>
      </c>
      <c r="Q3092" s="6" t="str">
        <f>IFERROR(__xludf.DUMMYFUNCTION("""COMPUTED_VALUE"""),"GL2405042")</f>
        <v>GL2405042</v>
      </c>
      <c r="R3092" s="57">
        <f>IFERROR(__xludf.DUMMYFUNCTION("""COMPUTED_VALUE"""),45373.0)</f>
        <v>45373</v>
      </c>
      <c r="S3092" s="57">
        <f>IFERROR(__xludf.DUMMYFUNCTION("""COMPUTED_VALUE"""),45377.0)</f>
        <v>45377</v>
      </c>
      <c r="T3092" s="57">
        <f>IFERROR(__xludf.DUMMYFUNCTION("""COMPUTED_VALUE"""),45450.0)</f>
        <v>45450</v>
      </c>
    </row>
    <row r="3093">
      <c r="A3093" s="6" t="str">
        <f>IFERROR(__xludf.DUMMYFUNCTION("""COMPUTED_VALUE"""),"121701317-6")</f>
        <v>121701317-6</v>
      </c>
      <c r="B3093" s="6" t="str">
        <f>IFERROR(__xludf.DUMMYFUNCTION("""COMPUTED_VALUE"""),"121701317 - APPROVED")</f>
        <v>121701317 - APPROVED</v>
      </c>
      <c r="C3093" s="6">
        <f>IFERROR(__xludf.DUMMYFUNCTION("""COMPUTED_VALUE"""),6.0)</f>
        <v>6</v>
      </c>
      <c r="D3093" s="6" t="str">
        <f>IFERROR(__xludf.DUMMYFUNCTION("""COMPUTED_VALUE"""),"O-14640-00")</f>
        <v>O-14640-00</v>
      </c>
      <c r="E3093" s="6" t="str">
        <f>IFERROR(__xludf.DUMMYFUNCTION("""COMPUTED_VALUE"""),"Silicone Gasket for Ferrule dia. 3/4"" - P/N : -  pc")</f>
        <v>Silicone Gasket for Ferrule dia. 3/4" - P/N : -  pc</v>
      </c>
      <c r="F3093" s="6">
        <f>IFERROR(__xludf.DUMMYFUNCTION("""COMPUTED_VALUE"""),10.0)</f>
        <v>10</v>
      </c>
      <c r="G3093" s="6" t="str">
        <f>IFERROR(__xludf.DUMMYFUNCTION("""COMPUTED_VALUE"""),"Pieces")</f>
        <v>Pieces</v>
      </c>
      <c r="H3093" s="6" t="str">
        <f>IFERROR(__xludf.DUMMYFUNCTION("""COMPUTED_VALUE"""),"IDR")</f>
        <v>IDR</v>
      </c>
      <c r="I3093" s="6">
        <f>IFERROR(__xludf.DUMMYFUNCTION("""COMPUTED_VALUE"""),12000.0)</f>
        <v>12000</v>
      </c>
      <c r="J3093" s="6">
        <f>IFERROR(__xludf.DUMMYFUNCTION("""COMPUTED_VALUE"""),120000.0)</f>
        <v>120000</v>
      </c>
      <c r="K3093" s="57">
        <f>IFERROR(__xludf.DUMMYFUNCTION("""COMPUTED_VALUE"""),45375.0)</f>
        <v>45375</v>
      </c>
      <c r="L3093" s="6" t="str">
        <f>IFERROR(__xludf.DUMMYFUNCTION("""COMPUTED_VALUE"""),"FIP Engineering")</f>
        <v>FIP Engineering</v>
      </c>
      <c r="M3093" s="6" t="str">
        <f>IFERROR(__xludf.DUMMYFUNCTION("""COMPUTED_VALUE"""),"Mochammad Fadhillah Hakim,")</f>
        <v>Mochammad Fadhillah Hakim,</v>
      </c>
      <c r="N3093" s="6" t="str">
        <f>IFERROR(__xludf.DUMMYFUNCTION("""COMPUTED_VALUE"""),"FIP Engineering")</f>
        <v>FIP Engineering</v>
      </c>
      <c r="O3093" s="6" t="str">
        <f>IFERROR(__xludf.DUMMYFUNCTION("""COMPUTED_VALUE"""),"FIP-DOM-000-11304-OS00001-INA-000000")</f>
        <v>FIP-DOM-000-11304-OS00001-INA-000000</v>
      </c>
      <c r="P3093" s="6" t="str">
        <f>IFERROR(__xludf.DUMMYFUNCTION("""COMPUTED_VALUE"""),"PO Closed")</f>
        <v>PO Closed</v>
      </c>
      <c r="Q3093" s="6" t="str">
        <f>IFERROR(__xludf.DUMMYFUNCTION("""COMPUTED_VALUE"""),"GL2403051")</f>
        <v>GL2403051</v>
      </c>
      <c r="R3093" s="57">
        <f>IFERROR(__xludf.DUMMYFUNCTION("""COMPUTED_VALUE"""),45373.0)</f>
        <v>45373</v>
      </c>
      <c r="S3093" s="57">
        <f>IFERROR(__xludf.DUMMYFUNCTION("""COMPUTED_VALUE"""),45377.0)</f>
        <v>45377</v>
      </c>
      <c r="T3093" s="57">
        <f>IFERROR(__xludf.DUMMYFUNCTION("""COMPUTED_VALUE"""),45412.0)</f>
        <v>45412</v>
      </c>
    </row>
    <row r="3094">
      <c r="A3094" s="6" t="str">
        <f>IFERROR(__xludf.DUMMYFUNCTION("""COMPUTED_VALUE"""),"121701317-7")</f>
        <v>121701317-7</v>
      </c>
      <c r="B3094" s="6" t="str">
        <f>IFERROR(__xludf.DUMMYFUNCTION("""COMPUTED_VALUE"""),"121701317 - APPROVED")</f>
        <v>121701317 - APPROVED</v>
      </c>
      <c r="C3094" s="6">
        <f>IFERROR(__xludf.DUMMYFUNCTION("""COMPUTED_VALUE"""),7.0)</f>
        <v>7</v>
      </c>
      <c r="D3094" s="6" t="str">
        <f>IFERROR(__xludf.DUMMYFUNCTION("""COMPUTED_VALUE"""),"O-15931-00")</f>
        <v>O-15931-00</v>
      </c>
      <c r="E3094" s="6" t="str">
        <f>IFERROR(__xludf.DUMMYFUNCTION("""COMPUTED_VALUE"""),"Double Tape 3M 1"" Merah - P/N : -  pc")</f>
        <v>Double Tape 3M 1" Merah - P/N : -  pc</v>
      </c>
      <c r="F3094" s="6">
        <f>IFERROR(__xludf.DUMMYFUNCTION("""COMPUTED_VALUE"""),5.0)</f>
        <v>5</v>
      </c>
      <c r="G3094" s="6" t="str">
        <f>IFERROR(__xludf.DUMMYFUNCTION("""COMPUTED_VALUE"""),"Pieces")</f>
        <v>Pieces</v>
      </c>
      <c r="H3094" s="6" t="str">
        <f>IFERROR(__xludf.DUMMYFUNCTION("""COMPUTED_VALUE"""),"IDR")</f>
        <v>IDR</v>
      </c>
      <c r="I3094" s="6">
        <f>IFERROR(__xludf.DUMMYFUNCTION("""COMPUTED_VALUE"""),112500.0)</f>
        <v>112500</v>
      </c>
      <c r="J3094" s="6">
        <f>IFERROR(__xludf.DUMMYFUNCTION("""COMPUTED_VALUE"""),562500.0)</f>
        <v>562500</v>
      </c>
      <c r="K3094" s="57">
        <f>IFERROR(__xludf.DUMMYFUNCTION("""COMPUTED_VALUE"""),45375.0)</f>
        <v>45375</v>
      </c>
      <c r="L3094" s="6" t="str">
        <f>IFERROR(__xludf.DUMMYFUNCTION("""COMPUTED_VALUE"""),"FIP Engineering")</f>
        <v>FIP Engineering</v>
      </c>
      <c r="M3094" s="6" t="str">
        <f>IFERROR(__xludf.DUMMYFUNCTION("""COMPUTED_VALUE"""),"Mochammad Fadhillah Hakim,")</f>
        <v>Mochammad Fadhillah Hakim,</v>
      </c>
      <c r="N3094" s="6" t="str">
        <f>IFERROR(__xludf.DUMMYFUNCTION("""COMPUTED_VALUE"""),"FIP Engineering")</f>
        <v>FIP Engineering</v>
      </c>
      <c r="O3094" s="6" t="str">
        <f>IFERROR(__xludf.DUMMYFUNCTION("""COMPUTED_VALUE"""),"FIP-DOM-000-11304-OS00001-INA-000000")</f>
        <v>FIP-DOM-000-11304-OS00001-INA-000000</v>
      </c>
      <c r="P3094" s="6" t="str">
        <f>IFERROR(__xludf.DUMMYFUNCTION("""COMPUTED_VALUE"""),"PO Closed")</f>
        <v>PO Closed</v>
      </c>
      <c r="Q3094" s="6" t="str">
        <f>IFERROR(__xludf.DUMMYFUNCTION("""COMPUTED_VALUE"""),"GL2405042")</f>
        <v>GL2405042</v>
      </c>
      <c r="R3094" s="57">
        <f>IFERROR(__xludf.DUMMYFUNCTION("""COMPUTED_VALUE"""),45373.0)</f>
        <v>45373</v>
      </c>
      <c r="S3094" s="57">
        <f>IFERROR(__xludf.DUMMYFUNCTION("""COMPUTED_VALUE"""),45377.0)</f>
        <v>45377</v>
      </c>
      <c r="T3094" s="57">
        <f>IFERROR(__xludf.DUMMYFUNCTION("""COMPUTED_VALUE"""),45450.0)</f>
        <v>45450</v>
      </c>
    </row>
    <row r="3095">
      <c r="A3095" s="6" t="str">
        <f>IFERROR(__xludf.DUMMYFUNCTION("""COMPUTED_VALUE"""),"121701317-9")</f>
        <v>121701317-9</v>
      </c>
      <c r="B3095" s="6" t="str">
        <f>IFERROR(__xludf.DUMMYFUNCTION("""COMPUTED_VALUE"""),"121701317 - APPROVED")</f>
        <v>121701317 - APPROVED</v>
      </c>
      <c r="C3095" s="6">
        <f>IFERROR(__xludf.DUMMYFUNCTION("""COMPUTED_VALUE"""),9.0)</f>
        <v>9</v>
      </c>
      <c r="D3095" s="6" t="str">
        <f>IFERROR(__xludf.DUMMYFUNCTION("""COMPUTED_VALUE"""),"Q-60501-00")</f>
        <v>Q-60501-00</v>
      </c>
      <c r="E3095" s="6" t="str">
        <f>IFERROR(__xludf.DUMMYFUNCTION("""COMPUTED_VALUE"""),"Silicone Sealant, Silglaze, Type N10 Clear, pack size per pcs")</f>
        <v>Silicone Sealant, Silglaze, Type N10 Clear, pack size per pcs</v>
      </c>
      <c r="F3095" s="6">
        <f>IFERROR(__xludf.DUMMYFUNCTION("""COMPUTED_VALUE"""),5.0)</f>
        <v>5</v>
      </c>
      <c r="G3095" s="6" t="str">
        <f>IFERROR(__xludf.DUMMYFUNCTION("""COMPUTED_VALUE"""),"Pieces")</f>
        <v>Pieces</v>
      </c>
      <c r="H3095" s="6" t="str">
        <f>IFERROR(__xludf.DUMMYFUNCTION("""COMPUTED_VALUE"""),"IDR")</f>
        <v>IDR</v>
      </c>
      <c r="I3095" s="6">
        <f>IFERROR(__xludf.DUMMYFUNCTION("""COMPUTED_VALUE"""),56000.0)</f>
        <v>56000</v>
      </c>
      <c r="J3095" s="6">
        <f>IFERROR(__xludf.DUMMYFUNCTION("""COMPUTED_VALUE"""),280000.0)</f>
        <v>280000</v>
      </c>
      <c r="K3095" s="57">
        <f>IFERROR(__xludf.DUMMYFUNCTION("""COMPUTED_VALUE"""),45375.0)</f>
        <v>45375</v>
      </c>
      <c r="L3095" s="6" t="str">
        <f>IFERROR(__xludf.DUMMYFUNCTION("""COMPUTED_VALUE"""),"FIP Engineering")</f>
        <v>FIP Engineering</v>
      </c>
      <c r="M3095" s="6" t="str">
        <f>IFERROR(__xludf.DUMMYFUNCTION("""COMPUTED_VALUE"""),"Mochammad Fadhillah Hakim,")</f>
        <v>Mochammad Fadhillah Hakim,</v>
      </c>
      <c r="N3095" s="6" t="str">
        <f>IFERROR(__xludf.DUMMYFUNCTION("""COMPUTED_VALUE"""),"FIP Engineering")</f>
        <v>FIP Engineering</v>
      </c>
      <c r="O3095" s="6" t="str">
        <f>IFERROR(__xludf.DUMMYFUNCTION("""COMPUTED_VALUE"""),"FIP-DOM-000-11304-OS00001-INA-000000")</f>
        <v>FIP-DOM-000-11304-OS00001-INA-000000</v>
      </c>
      <c r="P3095" s="6" t="str">
        <f>IFERROR(__xludf.DUMMYFUNCTION("""COMPUTED_VALUE"""),"PO Closed")</f>
        <v>PO Closed</v>
      </c>
      <c r="Q3095" s="6" t="str">
        <f>IFERROR(__xludf.DUMMYFUNCTION("""COMPUTED_VALUE"""),"GL2404015")</f>
        <v>GL2404015</v>
      </c>
      <c r="R3095" s="57">
        <f>IFERROR(__xludf.DUMMYFUNCTION("""COMPUTED_VALUE"""),45373.0)</f>
        <v>45373</v>
      </c>
      <c r="S3095" s="57">
        <f>IFERROR(__xludf.DUMMYFUNCTION("""COMPUTED_VALUE"""),45377.0)</f>
        <v>45377</v>
      </c>
      <c r="T3095" s="57">
        <f>IFERROR(__xludf.DUMMYFUNCTION("""COMPUTED_VALUE"""),45412.0)</f>
        <v>45412</v>
      </c>
    </row>
    <row r="3096">
      <c r="A3096" s="6" t="str">
        <f>IFERROR(__xludf.DUMMYFUNCTION("""COMPUTED_VALUE"""),"121701317-10")</f>
        <v>121701317-10</v>
      </c>
      <c r="B3096" s="6" t="str">
        <f>IFERROR(__xludf.DUMMYFUNCTION("""COMPUTED_VALUE"""),"121701317 - APPROVED")</f>
        <v>121701317 - APPROVED</v>
      </c>
      <c r="C3096" s="6">
        <f>IFERROR(__xludf.DUMMYFUNCTION("""COMPUTED_VALUE"""),10.0)</f>
        <v>10</v>
      </c>
      <c r="D3096" s="6" t="str">
        <f>IFERROR(__xludf.DUMMYFUNCTION("""COMPUTED_VALUE"""),"O-18041-00")</f>
        <v>O-18041-00</v>
      </c>
      <c r="E3096" s="6" t="str">
        <f>IFERROR(__xludf.DUMMYFUNCTION("""COMPUTED_VALUE"""),"Bearing 624 ZZ; SKF; ;")</f>
        <v>Bearing 624 ZZ; SKF; ;</v>
      </c>
      <c r="F3096" s="6">
        <f>IFERROR(__xludf.DUMMYFUNCTION("""COMPUTED_VALUE"""),10.0)</f>
        <v>10</v>
      </c>
      <c r="G3096" s="6" t="str">
        <f>IFERROR(__xludf.DUMMYFUNCTION("""COMPUTED_VALUE"""),"Pieces")</f>
        <v>Pieces</v>
      </c>
      <c r="H3096" s="6" t="str">
        <f>IFERROR(__xludf.DUMMYFUNCTION("""COMPUTED_VALUE"""),"IDR")</f>
        <v>IDR</v>
      </c>
      <c r="I3096" s="6">
        <f>IFERROR(__xludf.DUMMYFUNCTION("""COMPUTED_VALUE"""),44100.0)</f>
        <v>44100</v>
      </c>
      <c r="J3096" s="6">
        <f>IFERROR(__xludf.DUMMYFUNCTION("""COMPUTED_VALUE"""),441000.0)</f>
        <v>441000</v>
      </c>
      <c r="K3096" s="57">
        <f>IFERROR(__xludf.DUMMYFUNCTION("""COMPUTED_VALUE"""),45375.0)</f>
        <v>45375</v>
      </c>
      <c r="L3096" s="6" t="str">
        <f>IFERROR(__xludf.DUMMYFUNCTION("""COMPUTED_VALUE"""),"FIP Engineering")</f>
        <v>FIP Engineering</v>
      </c>
      <c r="M3096" s="6" t="str">
        <f>IFERROR(__xludf.DUMMYFUNCTION("""COMPUTED_VALUE"""),"Mochammad Fadhillah Hakim,")</f>
        <v>Mochammad Fadhillah Hakim,</v>
      </c>
      <c r="N3096" s="6" t="str">
        <f>IFERROR(__xludf.DUMMYFUNCTION("""COMPUTED_VALUE"""),"FIP Engineering")</f>
        <v>FIP Engineering</v>
      </c>
      <c r="O3096" s="6" t="str">
        <f>IFERROR(__xludf.DUMMYFUNCTION("""COMPUTED_VALUE"""),"FIP-DOM-000-11304-OS00001-INA-000000")</f>
        <v>FIP-DOM-000-11304-OS00001-INA-000000</v>
      </c>
      <c r="P3096" s="6" t="str">
        <f>IFERROR(__xludf.DUMMYFUNCTION("""COMPUTED_VALUE"""),"PO Closed")</f>
        <v>PO Closed</v>
      </c>
      <c r="Q3096" s="6" t="str">
        <f>IFERROR(__xludf.DUMMYFUNCTION("""COMPUTED_VALUE"""),"GL2405350")</f>
        <v>GL2405350</v>
      </c>
      <c r="R3096" s="57">
        <f>IFERROR(__xludf.DUMMYFUNCTION("""COMPUTED_VALUE"""),45373.0)</f>
        <v>45373</v>
      </c>
      <c r="S3096" s="57">
        <f>IFERROR(__xludf.DUMMYFUNCTION("""COMPUTED_VALUE"""),45377.0)</f>
        <v>45377</v>
      </c>
      <c r="T3096" s="57">
        <f>IFERROR(__xludf.DUMMYFUNCTION("""COMPUTED_VALUE"""),45467.0)</f>
        <v>45467</v>
      </c>
    </row>
    <row r="3097">
      <c r="A3097" s="6" t="str">
        <f>IFERROR(__xludf.DUMMYFUNCTION("""COMPUTED_VALUE"""),"121701320-1")</f>
        <v>121701320-1</v>
      </c>
      <c r="B3097" s="6" t="str">
        <f>IFERROR(__xludf.DUMMYFUNCTION("""COMPUTED_VALUE"""),"121701320 - APPROVED")</f>
        <v>121701320 - APPROVED</v>
      </c>
      <c r="C3097" s="6">
        <f>IFERROR(__xludf.DUMMYFUNCTION("""COMPUTED_VALUE"""),1.0)</f>
        <v>1</v>
      </c>
      <c r="D3097" s="6" t="str">
        <f>IFERROR(__xludf.DUMMYFUNCTION("""COMPUTED_VALUE"""),"P-15851-00")</f>
        <v>P-15851-00</v>
      </c>
      <c r="E3097" s="6" t="str">
        <f>IFERROR(__xludf.DUMMYFUNCTION("""COMPUTED_VALUE"""),"AMPLAS  EAGLE 100")</f>
        <v>AMPLAS  EAGLE 100</v>
      </c>
      <c r="F3097" s="6">
        <f>IFERROR(__xludf.DUMMYFUNCTION("""COMPUTED_VALUE"""),50.0)</f>
        <v>50</v>
      </c>
      <c r="G3097" s="6" t="str">
        <f>IFERROR(__xludf.DUMMYFUNCTION("""COMPUTED_VALUE"""),"Pieces")</f>
        <v>Pieces</v>
      </c>
      <c r="H3097" s="6" t="str">
        <f>IFERROR(__xludf.DUMMYFUNCTION("""COMPUTED_VALUE"""),"IDR")</f>
        <v>IDR</v>
      </c>
      <c r="I3097" s="6">
        <f>IFERROR(__xludf.DUMMYFUNCTION("""COMPUTED_VALUE"""),3300.0)</f>
        <v>3300</v>
      </c>
      <c r="J3097" s="6">
        <f>IFERROR(__xludf.DUMMYFUNCTION("""COMPUTED_VALUE"""),165000.0)</f>
        <v>165000</v>
      </c>
      <c r="K3097" s="57">
        <f>IFERROR(__xludf.DUMMYFUNCTION("""COMPUTED_VALUE"""),45382.0)</f>
        <v>45382</v>
      </c>
      <c r="L3097" s="6" t="str">
        <f>IFERROR(__xludf.DUMMYFUNCTION("""COMPUTED_VALUE"""),"FIP Engineering")</f>
        <v>FIP Engineering</v>
      </c>
      <c r="M3097" s="6" t="str">
        <f>IFERROR(__xludf.DUMMYFUNCTION("""COMPUTED_VALUE"""),"Mochammad Fadhillah Hakim,")</f>
        <v>Mochammad Fadhillah Hakim,</v>
      </c>
      <c r="N3097" s="6" t="str">
        <f>IFERROR(__xludf.DUMMYFUNCTION("""COMPUTED_VALUE"""),"FIP Engineering")</f>
        <v>FIP Engineering</v>
      </c>
      <c r="O3097" s="6" t="str">
        <f>IFERROR(__xludf.DUMMYFUNCTION("""COMPUTED_VALUE"""),"FIP-DOM-000-11304-OS00001-INA-000000")</f>
        <v>FIP-DOM-000-11304-OS00001-INA-000000</v>
      </c>
      <c r="P3097" s="6" t="str">
        <f>IFERROR(__xludf.DUMMYFUNCTION("""COMPUTED_VALUE"""),"PO Closed")</f>
        <v>PO Closed</v>
      </c>
      <c r="Q3097" s="6" t="str">
        <f>IFERROR(__xludf.DUMMYFUNCTION("""COMPUTED_VALUE"""),"GL2405361")</f>
        <v>GL2405361</v>
      </c>
      <c r="R3097" s="57">
        <f>IFERROR(__xludf.DUMMYFUNCTION("""COMPUTED_VALUE"""),45373.0)</f>
        <v>45373</v>
      </c>
      <c r="S3097" s="57">
        <f>IFERROR(__xludf.DUMMYFUNCTION("""COMPUTED_VALUE"""),45377.0)</f>
        <v>45377</v>
      </c>
      <c r="T3097" s="57">
        <f>IFERROR(__xludf.DUMMYFUNCTION("""COMPUTED_VALUE"""),45463.0)</f>
        <v>45463</v>
      </c>
    </row>
    <row r="3098">
      <c r="A3098" s="6" t="str">
        <f>IFERROR(__xludf.DUMMYFUNCTION("""COMPUTED_VALUE"""),"121701320-2")</f>
        <v>121701320-2</v>
      </c>
      <c r="B3098" s="6" t="str">
        <f>IFERROR(__xludf.DUMMYFUNCTION("""COMPUTED_VALUE"""),"121701320 - APPROVED")</f>
        <v>121701320 - APPROVED</v>
      </c>
      <c r="C3098" s="6">
        <f>IFERROR(__xludf.DUMMYFUNCTION("""COMPUTED_VALUE"""),2.0)</f>
        <v>2</v>
      </c>
      <c r="D3098" s="6" t="str">
        <f>IFERROR(__xludf.DUMMYFUNCTION("""COMPUTED_VALUE"""),"P-12306-00")</f>
        <v>P-12306-00</v>
      </c>
      <c r="E3098" s="6" t="str">
        <f>IFERROR(__xludf.DUMMYFUNCTION("""COMPUTED_VALUE"""),"FESTO - QST-8 push in t- connection p/n 153130")</f>
        <v>FESTO - QST-8 push in t- connection p/n 153130</v>
      </c>
      <c r="F3098" s="6">
        <f>IFERROR(__xludf.DUMMYFUNCTION("""COMPUTED_VALUE"""),5.0)</f>
        <v>5</v>
      </c>
      <c r="G3098" s="6" t="str">
        <f>IFERROR(__xludf.DUMMYFUNCTION("""COMPUTED_VALUE"""),"Pieces")</f>
        <v>Pieces</v>
      </c>
      <c r="H3098" s="6" t="str">
        <f>IFERROR(__xludf.DUMMYFUNCTION("""COMPUTED_VALUE"""),"IDR")</f>
        <v>IDR</v>
      </c>
      <c r="I3098" s="6">
        <f>IFERROR(__xludf.DUMMYFUNCTION("""COMPUTED_VALUE"""),100000.0)</f>
        <v>100000</v>
      </c>
      <c r="J3098" s="6">
        <f>IFERROR(__xludf.DUMMYFUNCTION("""COMPUTED_VALUE"""),500000.0)</f>
        <v>500000</v>
      </c>
      <c r="K3098" s="57">
        <f>IFERROR(__xludf.DUMMYFUNCTION("""COMPUTED_VALUE"""),45382.0)</f>
        <v>45382</v>
      </c>
      <c r="L3098" s="6" t="str">
        <f>IFERROR(__xludf.DUMMYFUNCTION("""COMPUTED_VALUE"""),"FIP Engineering")</f>
        <v>FIP Engineering</v>
      </c>
      <c r="M3098" s="6" t="str">
        <f>IFERROR(__xludf.DUMMYFUNCTION("""COMPUTED_VALUE"""),"Mochammad Fadhillah Hakim,")</f>
        <v>Mochammad Fadhillah Hakim,</v>
      </c>
      <c r="N3098" s="6" t="str">
        <f>IFERROR(__xludf.DUMMYFUNCTION("""COMPUTED_VALUE"""),"FIP Engineering")</f>
        <v>FIP Engineering</v>
      </c>
      <c r="O3098" s="6" t="str">
        <f>IFERROR(__xludf.DUMMYFUNCTION("""COMPUTED_VALUE"""),"FIP-DOM-000-11304-OS00001-INA-000000")</f>
        <v>FIP-DOM-000-11304-OS00001-INA-000000</v>
      </c>
      <c r="P3098" s="6" t="str">
        <f>IFERROR(__xludf.DUMMYFUNCTION("""COMPUTED_VALUE"""),"PO Closed")</f>
        <v>PO Closed</v>
      </c>
      <c r="Q3098" s="6" t="str">
        <f>IFERROR(__xludf.DUMMYFUNCTION("""COMPUTED_VALUE"""),"GL2405050")</f>
        <v>GL2405050</v>
      </c>
      <c r="R3098" s="57">
        <f>IFERROR(__xludf.DUMMYFUNCTION("""COMPUTED_VALUE"""),45373.0)</f>
        <v>45373</v>
      </c>
      <c r="S3098" s="57">
        <f>IFERROR(__xludf.DUMMYFUNCTION("""COMPUTED_VALUE"""),45377.0)</f>
        <v>45377</v>
      </c>
      <c r="T3098" s="57">
        <f>IFERROR(__xludf.DUMMYFUNCTION("""COMPUTED_VALUE"""),45450.0)</f>
        <v>45450</v>
      </c>
    </row>
    <row r="3099">
      <c r="A3099" s="6" t="str">
        <f>IFERROR(__xludf.DUMMYFUNCTION("""COMPUTED_VALUE"""),"121701320-3")</f>
        <v>121701320-3</v>
      </c>
      <c r="B3099" s="6" t="str">
        <f>IFERROR(__xludf.DUMMYFUNCTION("""COMPUTED_VALUE"""),"121701320 - APPROVED")</f>
        <v>121701320 - APPROVED</v>
      </c>
      <c r="C3099" s="6">
        <f>IFERROR(__xludf.DUMMYFUNCTION("""COMPUTED_VALUE"""),3.0)</f>
        <v>3</v>
      </c>
      <c r="D3099" s="6" t="str">
        <f>IFERROR(__xludf.DUMMYFUNCTION("""COMPUTED_VALUE"""),"S-11400-00")</f>
        <v>S-11400-00</v>
      </c>
      <c r="E3099" s="6" t="str">
        <f>IFERROR(__xludf.DUMMYFUNCTION("""COMPUTED_VALUE"""),"Kain Majun Ex HINGS Class AA")</f>
        <v>Kain Majun Ex HINGS Class AA</v>
      </c>
      <c r="F3099" s="6">
        <f>IFERROR(__xludf.DUMMYFUNCTION("""COMPUTED_VALUE"""),20.0)</f>
        <v>20</v>
      </c>
      <c r="G3099" s="6" t="str">
        <f>IFERROR(__xludf.DUMMYFUNCTION("""COMPUTED_VALUE"""),"Kilogram")</f>
        <v>Kilogram</v>
      </c>
      <c r="H3099" s="6" t="str">
        <f>IFERROR(__xludf.DUMMYFUNCTION("""COMPUTED_VALUE"""),"IDR")</f>
        <v>IDR</v>
      </c>
      <c r="I3099" s="6">
        <f>IFERROR(__xludf.DUMMYFUNCTION("""COMPUTED_VALUE"""),39000.0)</f>
        <v>39000</v>
      </c>
      <c r="J3099" s="6">
        <f>IFERROR(__xludf.DUMMYFUNCTION("""COMPUTED_VALUE"""),780000.0)</f>
        <v>780000</v>
      </c>
      <c r="K3099" s="57">
        <f>IFERROR(__xludf.DUMMYFUNCTION("""COMPUTED_VALUE"""),45382.0)</f>
        <v>45382</v>
      </c>
      <c r="L3099" s="6" t="str">
        <f>IFERROR(__xludf.DUMMYFUNCTION("""COMPUTED_VALUE"""),"FIP General")</f>
        <v>FIP General</v>
      </c>
      <c r="M3099" s="6" t="str">
        <f>IFERROR(__xludf.DUMMYFUNCTION("""COMPUTED_VALUE"""),"Mochammad Fadhillah Hakim,")</f>
        <v>Mochammad Fadhillah Hakim,</v>
      </c>
      <c r="N3099" s="6" t="str">
        <f>IFERROR(__xludf.DUMMYFUNCTION("""COMPUTED_VALUE"""),"FIP Engineering")</f>
        <v>FIP Engineering</v>
      </c>
      <c r="O3099" s="6" t="str">
        <f>IFERROR(__xludf.DUMMYFUNCTION("""COMPUTED_VALUE"""),"FIP-DOM-ENG-51302-0000000-INA-000000")</f>
        <v>FIP-DOM-ENG-51302-0000000-INA-000000</v>
      </c>
      <c r="P3099" s="6" t="str">
        <f>IFERROR(__xludf.DUMMYFUNCTION("""COMPUTED_VALUE"""),"PO Closed")</f>
        <v>PO Closed</v>
      </c>
      <c r="Q3099" s="6" t="str">
        <f>IFERROR(__xludf.DUMMYFUNCTION("""COMPUTED_VALUE"""),"GL2404330")</f>
        <v>GL2404330</v>
      </c>
      <c r="R3099" s="57">
        <f>IFERROR(__xludf.DUMMYFUNCTION("""COMPUTED_VALUE"""),45373.0)</f>
        <v>45373</v>
      </c>
      <c r="S3099" s="57">
        <f>IFERROR(__xludf.DUMMYFUNCTION("""COMPUTED_VALUE"""),45377.0)</f>
        <v>45377</v>
      </c>
      <c r="T3099" s="57">
        <f>IFERROR(__xludf.DUMMYFUNCTION("""COMPUTED_VALUE"""),45412.0)</f>
        <v>45412</v>
      </c>
    </row>
    <row r="3100">
      <c r="A3100" s="6" t="str">
        <f>IFERROR(__xludf.DUMMYFUNCTION("""COMPUTED_VALUE"""),"121701320-4")</f>
        <v>121701320-4</v>
      </c>
      <c r="B3100" s="6" t="str">
        <f>IFERROR(__xludf.DUMMYFUNCTION("""COMPUTED_VALUE"""),"121701320 - APPROVED")</f>
        <v>121701320 - APPROVED</v>
      </c>
      <c r="C3100" s="6">
        <f>IFERROR(__xludf.DUMMYFUNCTION("""COMPUTED_VALUE"""),4.0)</f>
        <v>4</v>
      </c>
      <c r="D3100" s="6" t="str">
        <f>IFERROR(__xludf.DUMMYFUNCTION("""COMPUTED_VALUE"""),"O-54015-00")</f>
        <v>O-54015-00</v>
      </c>
      <c r="E3100" s="6" t="str">
        <f>IFERROR(__xludf.DUMMYFUNCTION("""COMPUTED_VALUE"""),"STOP KONTAK LUBANG 4, BROCO")</f>
        <v>STOP KONTAK LUBANG 4, BROCO</v>
      </c>
      <c r="F3100" s="6">
        <f>IFERROR(__xludf.DUMMYFUNCTION("""COMPUTED_VALUE"""),10.0)</f>
        <v>10</v>
      </c>
      <c r="G3100" s="6" t="str">
        <f>IFERROR(__xludf.DUMMYFUNCTION("""COMPUTED_VALUE"""),"Unit")</f>
        <v>Unit</v>
      </c>
      <c r="H3100" s="6" t="str">
        <f>IFERROR(__xludf.DUMMYFUNCTION("""COMPUTED_VALUE"""),"IDR")</f>
        <v>IDR</v>
      </c>
      <c r="I3100" s="6">
        <f>IFERROR(__xludf.DUMMYFUNCTION("""COMPUTED_VALUE"""),49000.0)</f>
        <v>49000</v>
      </c>
      <c r="J3100" s="6">
        <f>IFERROR(__xludf.DUMMYFUNCTION("""COMPUTED_VALUE"""),490000.0)</f>
        <v>490000</v>
      </c>
      <c r="K3100" s="57">
        <f>IFERROR(__xludf.DUMMYFUNCTION("""COMPUTED_VALUE"""),45378.0)</f>
        <v>45378</v>
      </c>
      <c r="L3100" s="6" t="str">
        <f>IFERROR(__xludf.DUMMYFUNCTION("""COMPUTED_VALUE"""),"FIP Engineering")</f>
        <v>FIP Engineering</v>
      </c>
      <c r="M3100" s="6" t="str">
        <f>IFERROR(__xludf.DUMMYFUNCTION("""COMPUTED_VALUE"""),"Mochammad Fadhillah Hakim,")</f>
        <v>Mochammad Fadhillah Hakim,</v>
      </c>
      <c r="N3100" s="6" t="str">
        <f>IFERROR(__xludf.DUMMYFUNCTION("""COMPUTED_VALUE"""),"FIP Engineering")</f>
        <v>FIP Engineering</v>
      </c>
      <c r="O3100" s="6" t="str">
        <f>IFERROR(__xludf.DUMMYFUNCTION("""COMPUTED_VALUE"""),"FIP-DOM-000-11304-OS00001-INA-000000")</f>
        <v>FIP-DOM-000-11304-OS00001-INA-000000</v>
      </c>
      <c r="P3100" s="6" t="str">
        <f>IFERROR(__xludf.DUMMYFUNCTION("""COMPUTED_VALUE"""),"PO Closed")</f>
        <v>PO Closed</v>
      </c>
      <c r="Q3100" s="6" t="str">
        <f>IFERROR(__xludf.DUMMYFUNCTION("""COMPUTED_VALUE"""),"GL2405023")</f>
        <v>GL2405023</v>
      </c>
      <c r="R3100" s="57">
        <f>IFERROR(__xludf.DUMMYFUNCTION("""COMPUTED_VALUE"""),45373.0)</f>
        <v>45373</v>
      </c>
      <c r="S3100" s="57">
        <f>IFERROR(__xludf.DUMMYFUNCTION("""COMPUTED_VALUE"""),45377.0)</f>
        <v>45377</v>
      </c>
      <c r="T3100" s="57">
        <f>IFERROR(__xludf.DUMMYFUNCTION("""COMPUTED_VALUE"""),45463.0)</f>
        <v>45463</v>
      </c>
    </row>
    <row r="3101">
      <c r="A3101" s="6" t="str">
        <f>IFERROR(__xludf.DUMMYFUNCTION("""COMPUTED_VALUE"""),"121701320-5")</f>
        <v>121701320-5</v>
      </c>
      <c r="B3101" s="6" t="str">
        <f>IFERROR(__xludf.DUMMYFUNCTION("""COMPUTED_VALUE"""),"121701320 - APPROVED")</f>
        <v>121701320 - APPROVED</v>
      </c>
      <c r="C3101" s="6">
        <f>IFERROR(__xludf.DUMMYFUNCTION("""COMPUTED_VALUE"""),5.0)</f>
        <v>5</v>
      </c>
      <c r="D3101" s="6" t="str">
        <f>IFERROR(__xludf.DUMMYFUNCTION("""COMPUTED_VALUE"""),"O-14641-00")</f>
        <v>O-14641-00</v>
      </c>
      <c r="E3101" s="6" t="str">
        <f>IFERROR(__xludf.DUMMYFUNCTION("""COMPUTED_VALUE"""),"Silicone Gasket for Ferrule dia. 1""; ; ;")</f>
        <v>Silicone Gasket for Ferrule dia. 1"; ; ;</v>
      </c>
      <c r="F3101" s="6">
        <f>IFERROR(__xludf.DUMMYFUNCTION("""COMPUTED_VALUE"""),10.0)</f>
        <v>10</v>
      </c>
      <c r="G3101" s="6" t="str">
        <f>IFERROR(__xludf.DUMMYFUNCTION("""COMPUTED_VALUE"""),"Pieces")</f>
        <v>Pieces</v>
      </c>
      <c r="H3101" s="6" t="str">
        <f>IFERROR(__xludf.DUMMYFUNCTION("""COMPUTED_VALUE"""),"IDR")</f>
        <v>IDR</v>
      </c>
      <c r="I3101" s="6">
        <f>IFERROR(__xludf.DUMMYFUNCTION("""COMPUTED_VALUE"""),14520.0)</f>
        <v>14520</v>
      </c>
      <c r="J3101" s="6">
        <f>IFERROR(__xludf.DUMMYFUNCTION("""COMPUTED_VALUE"""),145200.0)</f>
        <v>145200</v>
      </c>
      <c r="K3101" s="57">
        <f>IFERROR(__xludf.DUMMYFUNCTION("""COMPUTED_VALUE"""),45378.0)</f>
        <v>45378</v>
      </c>
      <c r="L3101" s="6" t="str">
        <f>IFERROR(__xludf.DUMMYFUNCTION("""COMPUTED_VALUE"""),"FIP Engineering")</f>
        <v>FIP Engineering</v>
      </c>
      <c r="M3101" s="6" t="str">
        <f>IFERROR(__xludf.DUMMYFUNCTION("""COMPUTED_VALUE"""),"Mochammad Fadhillah Hakim,")</f>
        <v>Mochammad Fadhillah Hakim,</v>
      </c>
      <c r="N3101" s="6" t="str">
        <f>IFERROR(__xludf.DUMMYFUNCTION("""COMPUTED_VALUE"""),"FIP Engineering")</f>
        <v>FIP Engineering</v>
      </c>
      <c r="O3101" s="6" t="str">
        <f>IFERROR(__xludf.DUMMYFUNCTION("""COMPUTED_VALUE"""),"FIP-DOM-000-11304-OS00001-INA-000000")</f>
        <v>FIP-DOM-000-11304-OS00001-INA-000000</v>
      </c>
      <c r="P3101" s="6" t="str">
        <f>IFERROR(__xludf.DUMMYFUNCTION("""COMPUTED_VALUE"""),"PO Closed")</f>
        <v>PO Closed</v>
      </c>
      <c r="Q3101" s="6" t="str">
        <f>IFERROR(__xludf.DUMMYFUNCTION("""COMPUTED_VALUE"""),"GL2403051")</f>
        <v>GL2403051</v>
      </c>
      <c r="R3101" s="57">
        <f>IFERROR(__xludf.DUMMYFUNCTION("""COMPUTED_VALUE"""),45373.0)</f>
        <v>45373</v>
      </c>
      <c r="S3101" s="57">
        <f>IFERROR(__xludf.DUMMYFUNCTION("""COMPUTED_VALUE"""),45377.0)</f>
        <v>45377</v>
      </c>
      <c r="T3101" s="57">
        <f>IFERROR(__xludf.DUMMYFUNCTION("""COMPUTED_VALUE"""),45412.0)</f>
        <v>45412</v>
      </c>
    </row>
    <row r="3102">
      <c r="A3102" s="6" t="str">
        <f>IFERROR(__xludf.DUMMYFUNCTION("""COMPUTED_VALUE"""),"121701320-6")</f>
        <v>121701320-6</v>
      </c>
      <c r="B3102" s="6" t="str">
        <f>IFERROR(__xludf.DUMMYFUNCTION("""COMPUTED_VALUE"""),"121701320 - APPROVED")</f>
        <v>121701320 - APPROVED</v>
      </c>
      <c r="C3102" s="6">
        <f>IFERROR(__xludf.DUMMYFUNCTION("""COMPUTED_VALUE"""),6.0)</f>
        <v>6</v>
      </c>
      <c r="D3102" s="6" t="str">
        <f>IFERROR(__xludf.DUMMYFUNCTION("""COMPUTED_VALUE"""),"Q-10572-00")</f>
        <v>Q-10572-00</v>
      </c>
      <c r="E3102" s="6" t="str">
        <f>IFERROR(__xludf.DUMMYFUNCTION("""COMPUTED_VALUE"""),"PHILIPS - Lampu LED TL T8 120 Cm 16 Watt; ; ;")</f>
        <v>PHILIPS - Lampu LED TL T8 120 Cm 16 Watt; ; ;</v>
      </c>
      <c r="F3102" s="6">
        <f>IFERROR(__xludf.DUMMYFUNCTION("""COMPUTED_VALUE"""),5.0)</f>
        <v>5</v>
      </c>
      <c r="G3102" s="6" t="str">
        <f>IFERROR(__xludf.DUMMYFUNCTION("""COMPUTED_VALUE"""),"Pieces")</f>
        <v>Pieces</v>
      </c>
      <c r="H3102" s="6" t="str">
        <f>IFERROR(__xludf.DUMMYFUNCTION("""COMPUTED_VALUE"""),"IDR")</f>
        <v>IDR</v>
      </c>
      <c r="I3102" s="6">
        <f>IFERROR(__xludf.DUMMYFUNCTION("""COMPUTED_VALUE"""),53500.0)</f>
        <v>53500</v>
      </c>
      <c r="J3102" s="6">
        <f>IFERROR(__xludf.DUMMYFUNCTION("""COMPUTED_VALUE"""),267500.0)</f>
        <v>267500</v>
      </c>
      <c r="K3102" s="57">
        <f>IFERROR(__xludf.DUMMYFUNCTION("""COMPUTED_VALUE"""),45378.0)</f>
        <v>45378</v>
      </c>
      <c r="L3102" s="6" t="str">
        <f>IFERROR(__xludf.DUMMYFUNCTION("""COMPUTED_VALUE"""),"FIP Engineering")</f>
        <v>FIP Engineering</v>
      </c>
      <c r="M3102" s="6" t="str">
        <f>IFERROR(__xludf.DUMMYFUNCTION("""COMPUTED_VALUE"""),"Mochammad Fadhillah Hakim,")</f>
        <v>Mochammad Fadhillah Hakim,</v>
      </c>
      <c r="N3102" s="6" t="str">
        <f>IFERROR(__xludf.DUMMYFUNCTION("""COMPUTED_VALUE"""),"FIP Engineering")</f>
        <v>FIP Engineering</v>
      </c>
      <c r="O3102" s="6" t="str">
        <f>IFERROR(__xludf.DUMMYFUNCTION("""COMPUTED_VALUE"""),"FIP-DOM-000-11304-OS00001-INA-000000")</f>
        <v>FIP-DOM-000-11304-OS00001-INA-000000</v>
      </c>
      <c r="P3102" s="6" t="str">
        <f>IFERROR(__xludf.DUMMYFUNCTION("""COMPUTED_VALUE"""),"PO Closed")</f>
        <v>PO Closed</v>
      </c>
      <c r="Q3102" s="6" t="str">
        <f>IFERROR(__xludf.DUMMYFUNCTION("""COMPUTED_VALUE"""),"GL2404327")</f>
        <v>GL2404327</v>
      </c>
      <c r="R3102" s="57">
        <f>IFERROR(__xludf.DUMMYFUNCTION("""COMPUTED_VALUE"""),45373.0)</f>
        <v>45373</v>
      </c>
      <c r="S3102" s="57">
        <f>IFERROR(__xludf.DUMMYFUNCTION("""COMPUTED_VALUE"""),45377.0)</f>
        <v>45377</v>
      </c>
      <c r="T3102" s="57">
        <f>IFERROR(__xludf.DUMMYFUNCTION("""COMPUTED_VALUE"""),45412.0)</f>
        <v>45412</v>
      </c>
    </row>
    <row r="3103">
      <c r="A3103" s="6" t="str">
        <f>IFERROR(__xludf.DUMMYFUNCTION("""COMPUTED_VALUE"""),"121701320-7")</f>
        <v>121701320-7</v>
      </c>
      <c r="B3103" s="6" t="str">
        <f>IFERROR(__xludf.DUMMYFUNCTION("""COMPUTED_VALUE"""),"121701320 - APPROVED")</f>
        <v>121701320 - APPROVED</v>
      </c>
      <c r="C3103" s="6">
        <f>IFERROR(__xludf.DUMMYFUNCTION("""COMPUTED_VALUE"""),7.0)</f>
        <v>7</v>
      </c>
      <c r="D3103" s="6" t="str">
        <f>IFERROR(__xludf.DUMMYFUNCTION("""COMPUTED_VALUE"""),"P-11991-00")</f>
        <v>P-11991-00</v>
      </c>
      <c r="E3103" s="6" t="str">
        <f>IFERROR(__xludf.DUMMYFUNCTION("""COMPUTED_VALUE"""),"Cable ties CS 200L")</f>
        <v>Cable ties CS 200L</v>
      </c>
      <c r="F3103" s="6">
        <f>IFERROR(__xludf.DUMMYFUNCTION("""COMPUTED_VALUE"""),5.0)</f>
        <v>5</v>
      </c>
      <c r="G3103" s="6" t="str">
        <f>IFERROR(__xludf.DUMMYFUNCTION("""COMPUTED_VALUE"""),"Pieces")</f>
        <v>Pieces</v>
      </c>
      <c r="H3103" s="6" t="str">
        <f>IFERROR(__xludf.DUMMYFUNCTION("""COMPUTED_VALUE"""),"IDR")</f>
        <v>IDR</v>
      </c>
      <c r="I3103" s="6">
        <f>IFERROR(__xludf.DUMMYFUNCTION("""COMPUTED_VALUE"""),34200.0)</f>
        <v>34200</v>
      </c>
      <c r="J3103" s="6">
        <f>IFERROR(__xludf.DUMMYFUNCTION("""COMPUTED_VALUE"""),171000.0)</f>
        <v>171000</v>
      </c>
      <c r="K3103" s="57">
        <f>IFERROR(__xludf.DUMMYFUNCTION("""COMPUTED_VALUE"""),45378.0)</f>
        <v>45378</v>
      </c>
      <c r="L3103" s="6" t="str">
        <f>IFERROR(__xludf.DUMMYFUNCTION("""COMPUTED_VALUE"""),"FIP Engineering")</f>
        <v>FIP Engineering</v>
      </c>
      <c r="M3103" s="6" t="str">
        <f>IFERROR(__xludf.DUMMYFUNCTION("""COMPUTED_VALUE"""),"Mochammad Fadhillah Hakim,")</f>
        <v>Mochammad Fadhillah Hakim,</v>
      </c>
      <c r="N3103" s="6" t="str">
        <f>IFERROR(__xludf.DUMMYFUNCTION("""COMPUTED_VALUE"""),"FIP Engineering")</f>
        <v>FIP Engineering</v>
      </c>
      <c r="O3103" s="6" t="str">
        <f>IFERROR(__xludf.DUMMYFUNCTION("""COMPUTED_VALUE"""),"FIP-DOM-000-11304-OS00001-INA-000000")</f>
        <v>FIP-DOM-000-11304-OS00001-INA-000000</v>
      </c>
      <c r="P3103" s="6" t="str">
        <f>IFERROR(__xludf.DUMMYFUNCTION("""COMPUTED_VALUE"""),"PO Closed")</f>
        <v>PO Closed</v>
      </c>
      <c r="Q3103" s="6" t="str">
        <f>IFERROR(__xludf.DUMMYFUNCTION("""COMPUTED_VALUE"""),"GL2405361")</f>
        <v>GL2405361</v>
      </c>
      <c r="R3103" s="57">
        <f>IFERROR(__xludf.DUMMYFUNCTION("""COMPUTED_VALUE"""),45373.0)</f>
        <v>45373</v>
      </c>
      <c r="S3103" s="57">
        <f>IFERROR(__xludf.DUMMYFUNCTION("""COMPUTED_VALUE"""),45377.0)</f>
        <v>45377</v>
      </c>
      <c r="T3103" s="57">
        <f>IFERROR(__xludf.DUMMYFUNCTION("""COMPUTED_VALUE"""),45463.0)</f>
        <v>45463</v>
      </c>
    </row>
    <row r="3104">
      <c r="A3104" s="6" t="str">
        <f>IFERROR(__xludf.DUMMYFUNCTION("""COMPUTED_VALUE"""),"121701320-8")</f>
        <v>121701320-8</v>
      </c>
      <c r="B3104" s="6" t="str">
        <f>IFERROR(__xludf.DUMMYFUNCTION("""COMPUTED_VALUE"""),"121701320 - APPROVED")</f>
        <v>121701320 - APPROVED</v>
      </c>
      <c r="C3104" s="6">
        <f>IFERROR(__xludf.DUMMYFUNCTION("""COMPUTED_VALUE"""),8.0)</f>
        <v>8</v>
      </c>
      <c r="D3104" s="6" t="str">
        <f>IFERROR(__xludf.DUMMYFUNCTION("""COMPUTED_VALUE"""),"O-50994-00")</f>
        <v>O-50994-00</v>
      </c>
      <c r="E3104" s="6" t="str">
        <f>IFERROR(__xludf.DUMMYFUNCTION("""COMPUTED_VALUE"""),"Battery kering 12V 7,2AH; ; ;")</f>
        <v>Battery kering 12V 7,2AH; ; ;</v>
      </c>
      <c r="F3104" s="6">
        <f>IFERROR(__xludf.DUMMYFUNCTION("""COMPUTED_VALUE"""),2.0)</f>
        <v>2</v>
      </c>
      <c r="G3104" s="6" t="str">
        <f>IFERROR(__xludf.DUMMYFUNCTION("""COMPUTED_VALUE"""),"Pieces")</f>
        <v>Pieces</v>
      </c>
      <c r="H3104" s="6" t="str">
        <f>IFERROR(__xludf.DUMMYFUNCTION("""COMPUTED_VALUE"""),"IDR")</f>
        <v>IDR</v>
      </c>
      <c r="I3104" s="6">
        <f>IFERROR(__xludf.DUMMYFUNCTION("""COMPUTED_VALUE"""),650000.0)</f>
        <v>650000</v>
      </c>
      <c r="J3104" s="6">
        <f>IFERROR(__xludf.DUMMYFUNCTION("""COMPUTED_VALUE"""),1300000.0)</f>
        <v>1300000</v>
      </c>
      <c r="K3104" s="57">
        <f>IFERROR(__xludf.DUMMYFUNCTION("""COMPUTED_VALUE"""),45378.0)</f>
        <v>45378</v>
      </c>
      <c r="L3104" s="6" t="str">
        <f>IFERROR(__xludf.DUMMYFUNCTION("""COMPUTED_VALUE"""),"FIP Engineering")</f>
        <v>FIP Engineering</v>
      </c>
      <c r="M3104" s="6" t="str">
        <f>IFERROR(__xludf.DUMMYFUNCTION("""COMPUTED_VALUE"""),"Mochammad Fadhillah Hakim,")</f>
        <v>Mochammad Fadhillah Hakim,</v>
      </c>
      <c r="N3104" s="6" t="str">
        <f>IFERROR(__xludf.DUMMYFUNCTION("""COMPUTED_VALUE"""),"FIP Engineering")</f>
        <v>FIP Engineering</v>
      </c>
      <c r="O3104" s="6" t="str">
        <f>IFERROR(__xludf.DUMMYFUNCTION("""COMPUTED_VALUE"""),"FIP-DOM-000-11304-OS00001-INA-000000")</f>
        <v>FIP-DOM-000-11304-OS00001-INA-000000</v>
      </c>
      <c r="P3104" s="6" t="str">
        <f>IFERROR(__xludf.DUMMYFUNCTION("""COMPUTED_VALUE"""),"PO Closed")</f>
        <v>PO Closed</v>
      </c>
      <c r="Q3104" s="6" t="str">
        <f>IFERROR(__xludf.DUMMYFUNCTION("""COMPUTED_VALUE"""),"GL2405361")</f>
        <v>GL2405361</v>
      </c>
      <c r="R3104" s="57">
        <f>IFERROR(__xludf.DUMMYFUNCTION("""COMPUTED_VALUE"""),45373.0)</f>
        <v>45373</v>
      </c>
      <c r="S3104" s="57">
        <f>IFERROR(__xludf.DUMMYFUNCTION("""COMPUTED_VALUE"""),45377.0)</f>
        <v>45377</v>
      </c>
      <c r="T3104" s="57">
        <f>IFERROR(__xludf.DUMMYFUNCTION("""COMPUTED_VALUE"""),45463.0)</f>
        <v>45463</v>
      </c>
    </row>
    <row r="3105">
      <c r="A3105" s="6" t="str">
        <f>IFERROR(__xludf.DUMMYFUNCTION("""COMPUTED_VALUE"""),"121701320-9")</f>
        <v>121701320-9</v>
      </c>
      <c r="B3105" s="6" t="str">
        <f>IFERROR(__xludf.DUMMYFUNCTION("""COMPUTED_VALUE"""),"121701320 - APPROVED")</f>
        <v>121701320 - APPROVED</v>
      </c>
      <c r="C3105" s="6">
        <f>IFERROR(__xludf.DUMMYFUNCTION("""COMPUTED_VALUE"""),9.0)</f>
        <v>9</v>
      </c>
      <c r="D3105" s="6" t="str">
        <f>IFERROR(__xludf.DUMMYFUNCTION("""COMPUTED_VALUE"""),"O-54013-00")</f>
        <v>O-54013-00</v>
      </c>
      <c r="E3105" s="6" t="str">
        <f>IFERROR(__xludf.DUMMYFUNCTION("""COMPUTED_VALUE"""),"SOCKET RJ 45 CAT 5")</f>
        <v>SOCKET RJ 45 CAT 5</v>
      </c>
      <c r="F3105" s="6">
        <f>IFERROR(__xludf.DUMMYFUNCTION("""COMPUTED_VALUE"""),150.0)</f>
        <v>150</v>
      </c>
      <c r="G3105" s="6" t="str">
        <f>IFERROR(__xludf.DUMMYFUNCTION("""COMPUTED_VALUE"""),"Pieces")</f>
        <v>Pieces</v>
      </c>
      <c r="H3105" s="6" t="str">
        <f>IFERROR(__xludf.DUMMYFUNCTION("""COMPUTED_VALUE"""),"IDR")</f>
        <v>IDR</v>
      </c>
      <c r="I3105" s="6">
        <f>IFERROR(__xludf.DUMMYFUNCTION("""COMPUTED_VALUE"""),1500.0)</f>
        <v>1500</v>
      </c>
      <c r="J3105" s="6">
        <f>IFERROR(__xludf.DUMMYFUNCTION("""COMPUTED_VALUE"""),225000.0)</f>
        <v>225000</v>
      </c>
      <c r="K3105" s="57">
        <f>IFERROR(__xludf.DUMMYFUNCTION("""COMPUTED_VALUE"""),45378.0)</f>
        <v>45378</v>
      </c>
      <c r="L3105" s="6" t="str">
        <f>IFERROR(__xludf.DUMMYFUNCTION("""COMPUTED_VALUE"""),"FIP Engineering")</f>
        <v>FIP Engineering</v>
      </c>
      <c r="M3105" s="6" t="str">
        <f>IFERROR(__xludf.DUMMYFUNCTION("""COMPUTED_VALUE"""),"Mochammad Fadhillah Hakim,")</f>
        <v>Mochammad Fadhillah Hakim,</v>
      </c>
      <c r="N3105" s="6" t="str">
        <f>IFERROR(__xludf.DUMMYFUNCTION("""COMPUTED_VALUE"""),"FIP Engineering")</f>
        <v>FIP Engineering</v>
      </c>
      <c r="O3105" s="6" t="str">
        <f>IFERROR(__xludf.DUMMYFUNCTION("""COMPUTED_VALUE"""),"FIP-DOM-000-11304-OS00001-INA-000000")</f>
        <v>FIP-DOM-000-11304-OS00001-INA-000000</v>
      </c>
      <c r="P3105" s="6" t="str">
        <f>IFERROR(__xludf.DUMMYFUNCTION("""COMPUTED_VALUE"""),"PO Closed")</f>
        <v>PO Closed</v>
      </c>
      <c r="Q3105" s="6" t="str">
        <f>IFERROR(__xludf.DUMMYFUNCTION("""COMPUTED_VALUE"""),"GL2405023")</f>
        <v>GL2405023</v>
      </c>
      <c r="R3105" s="57">
        <f>IFERROR(__xludf.DUMMYFUNCTION("""COMPUTED_VALUE"""),45373.0)</f>
        <v>45373</v>
      </c>
      <c r="S3105" s="57">
        <f>IFERROR(__xludf.DUMMYFUNCTION("""COMPUTED_VALUE"""),45377.0)</f>
        <v>45377</v>
      </c>
      <c r="T3105" s="57">
        <f>IFERROR(__xludf.DUMMYFUNCTION("""COMPUTED_VALUE"""),45463.0)</f>
        <v>45463</v>
      </c>
    </row>
    <row r="3106">
      <c r="A3106" s="6" t="str">
        <f>IFERROR(__xludf.DUMMYFUNCTION("""COMPUTED_VALUE"""),"121701320-10")</f>
        <v>121701320-10</v>
      </c>
      <c r="B3106" s="6" t="str">
        <f>IFERROR(__xludf.DUMMYFUNCTION("""COMPUTED_VALUE"""),"121701320 - APPROVED")</f>
        <v>121701320 - APPROVED</v>
      </c>
      <c r="C3106" s="6">
        <f>IFERROR(__xludf.DUMMYFUNCTION("""COMPUTED_VALUE"""),10.0)</f>
        <v>10</v>
      </c>
      <c r="D3106" s="6" t="str">
        <f>IFERROR(__xludf.DUMMYFUNCTION("""COMPUTED_VALUE"""),"O-19431-00")</f>
        <v>O-19431-00</v>
      </c>
      <c r="E3106" s="6" t="str">
        <f>IFERROR(__xludf.DUMMYFUNCTION("""COMPUTED_VALUE"""),"Baut SS L M8 x 30 mm + Mur + Ring; ; ;; ; ;; ; ;")</f>
        <v>Baut SS L M8 x 30 mm + Mur + Ring; ; ;; ; ;; ; ;</v>
      </c>
      <c r="F3106" s="6">
        <f>IFERROR(__xludf.DUMMYFUNCTION("""COMPUTED_VALUE"""),50.0)</f>
        <v>50</v>
      </c>
      <c r="G3106" s="6" t="str">
        <f>IFERROR(__xludf.DUMMYFUNCTION("""COMPUTED_VALUE"""),"Pieces")</f>
        <v>Pieces</v>
      </c>
      <c r="H3106" s="6" t="str">
        <f>IFERROR(__xludf.DUMMYFUNCTION("""COMPUTED_VALUE"""),"IDR")</f>
        <v>IDR</v>
      </c>
      <c r="I3106" s="6">
        <f>IFERROR(__xludf.DUMMYFUNCTION("""COMPUTED_VALUE"""),5300.0)</f>
        <v>5300</v>
      </c>
      <c r="J3106" s="6">
        <f>IFERROR(__xludf.DUMMYFUNCTION("""COMPUTED_VALUE"""),265000.0)</f>
        <v>265000</v>
      </c>
      <c r="K3106" s="57">
        <f>IFERROR(__xludf.DUMMYFUNCTION("""COMPUTED_VALUE"""),45378.0)</f>
        <v>45378</v>
      </c>
      <c r="L3106" s="6" t="str">
        <f>IFERROR(__xludf.DUMMYFUNCTION("""COMPUTED_VALUE"""),"FIP Engineering")</f>
        <v>FIP Engineering</v>
      </c>
      <c r="M3106" s="6" t="str">
        <f>IFERROR(__xludf.DUMMYFUNCTION("""COMPUTED_VALUE"""),"Mochammad Fadhillah Hakim,")</f>
        <v>Mochammad Fadhillah Hakim,</v>
      </c>
      <c r="N3106" s="6" t="str">
        <f>IFERROR(__xludf.DUMMYFUNCTION("""COMPUTED_VALUE"""),"FIP Engineering")</f>
        <v>FIP Engineering</v>
      </c>
      <c r="O3106" s="6" t="str">
        <f>IFERROR(__xludf.DUMMYFUNCTION("""COMPUTED_VALUE"""),"FIP-DOM-000-11304-OS00001-INA-000000")</f>
        <v>FIP-DOM-000-11304-OS00001-INA-000000</v>
      </c>
      <c r="P3106" s="6" t="str">
        <f>IFERROR(__xludf.DUMMYFUNCTION("""COMPUTED_VALUE"""),"PO Closed")</f>
        <v>PO Closed</v>
      </c>
      <c r="Q3106" s="6" t="str">
        <f>IFERROR(__xludf.DUMMYFUNCTION("""COMPUTED_VALUE"""),"GL2405042")</f>
        <v>GL2405042</v>
      </c>
      <c r="R3106" s="57">
        <f>IFERROR(__xludf.DUMMYFUNCTION("""COMPUTED_VALUE"""),45373.0)</f>
        <v>45373</v>
      </c>
      <c r="S3106" s="57">
        <f>IFERROR(__xludf.DUMMYFUNCTION("""COMPUTED_VALUE"""),45377.0)</f>
        <v>45377</v>
      </c>
      <c r="T3106" s="57">
        <f>IFERROR(__xludf.DUMMYFUNCTION("""COMPUTED_VALUE"""),45450.0)</f>
        <v>45450</v>
      </c>
    </row>
    <row r="3107">
      <c r="A3107" s="6" t="str">
        <f>IFERROR(__xludf.DUMMYFUNCTION("""COMPUTED_VALUE"""),"121701324-1")</f>
        <v>121701324-1</v>
      </c>
      <c r="B3107" s="6" t="str">
        <f>IFERROR(__xludf.DUMMYFUNCTION("""COMPUTED_VALUE"""),"121701324 - APPROVED")</f>
        <v>121701324 - APPROVED</v>
      </c>
      <c r="C3107" s="6">
        <f>IFERROR(__xludf.DUMMYFUNCTION("""COMPUTED_VALUE"""),1.0)</f>
        <v>1</v>
      </c>
      <c r="D3107" s="6" t="str">
        <f>IFERROR(__xludf.DUMMYFUNCTION("""COMPUTED_VALUE"""),"P-14980-00")</f>
        <v>P-14980-00</v>
      </c>
      <c r="E3107" s="6" t="str">
        <f>IFERROR(__xludf.DUMMYFUNCTION("""COMPUTED_VALUE"""),"Seal Ferrule Teflon 3/4 inch; ; ;")</f>
        <v>Seal Ferrule Teflon 3/4 inch; ; ;</v>
      </c>
      <c r="F3107" s="6">
        <f>IFERROR(__xludf.DUMMYFUNCTION("""COMPUTED_VALUE"""),10.0)</f>
        <v>10</v>
      </c>
      <c r="G3107" s="6" t="str">
        <f>IFERROR(__xludf.DUMMYFUNCTION("""COMPUTED_VALUE"""),"Pieces")</f>
        <v>Pieces</v>
      </c>
      <c r="H3107" s="6" t="str">
        <f>IFERROR(__xludf.DUMMYFUNCTION("""COMPUTED_VALUE"""),"IDR")</f>
        <v>IDR</v>
      </c>
      <c r="I3107" s="6">
        <f>IFERROR(__xludf.DUMMYFUNCTION("""COMPUTED_VALUE"""),30000.0)</f>
        <v>30000</v>
      </c>
      <c r="J3107" s="6">
        <f>IFERROR(__xludf.DUMMYFUNCTION("""COMPUTED_VALUE"""),300000.0)</f>
        <v>300000</v>
      </c>
      <c r="K3107" s="57">
        <f>IFERROR(__xludf.DUMMYFUNCTION("""COMPUTED_VALUE"""),45378.0)</f>
        <v>45378</v>
      </c>
      <c r="L3107" s="6" t="str">
        <f>IFERROR(__xludf.DUMMYFUNCTION("""COMPUTED_VALUE"""),"FIP Engineering")</f>
        <v>FIP Engineering</v>
      </c>
      <c r="M3107" s="6" t="str">
        <f>IFERROR(__xludf.DUMMYFUNCTION("""COMPUTED_VALUE"""),"Mochammad Fadhillah Hakim,")</f>
        <v>Mochammad Fadhillah Hakim,</v>
      </c>
      <c r="N3107" s="6" t="str">
        <f>IFERROR(__xludf.DUMMYFUNCTION("""COMPUTED_VALUE"""),"FIP Engineering")</f>
        <v>FIP Engineering</v>
      </c>
      <c r="O3107" s="6" t="str">
        <f>IFERROR(__xludf.DUMMYFUNCTION("""COMPUTED_VALUE"""),"FIP-DOM-000-11304-OS00001-INA-000000")</f>
        <v>FIP-DOM-000-11304-OS00001-INA-000000</v>
      </c>
      <c r="P3107" s="6" t="str">
        <f>IFERROR(__xludf.DUMMYFUNCTION("""COMPUTED_VALUE"""),"PO Closed")</f>
        <v>PO Closed</v>
      </c>
      <c r="Q3107" s="6" t="str">
        <f>IFERROR(__xludf.DUMMYFUNCTION("""COMPUTED_VALUE"""),"GL2403051")</f>
        <v>GL2403051</v>
      </c>
      <c r="R3107" s="57">
        <f>IFERROR(__xludf.DUMMYFUNCTION("""COMPUTED_VALUE"""),45376.0)</f>
        <v>45376</v>
      </c>
      <c r="S3107" s="57">
        <f>IFERROR(__xludf.DUMMYFUNCTION("""COMPUTED_VALUE"""),45377.0)</f>
        <v>45377</v>
      </c>
      <c r="T3107" s="57">
        <f>IFERROR(__xludf.DUMMYFUNCTION("""COMPUTED_VALUE"""),45412.0)</f>
        <v>45412</v>
      </c>
    </row>
    <row r="3108">
      <c r="A3108" s="6" t="str">
        <f>IFERROR(__xludf.DUMMYFUNCTION("""COMPUTED_VALUE"""),"121701324-2")</f>
        <v>121701324-2</v>
      </c>
      <c r="B3108" s="6" t="str">
        <f>IFERROR(__xludf.DUMMYFUNCTION("""COMPUTED_VALUE"""),"121701324 - APPROVED")</f>
        <v>121701324 - APPROVED</v>
      </c>
      <c r="C3108" s="6">
        <f>IFERROR(__xludf.DUMMYFUNCTION("""COMPUTED_VALUE"""),2.0)</f>
        <v>2</v>
      </c>
      <c r="D3108" s="6" t="str">
        <f>IFERROR(__xludf.DUMMYFUNCTION("""COMPUTED_VALUE"""),"P-52642-00")</f>
        <v>P-52642-00</v>
      </c>
      <c r="E3108" s="6" t="str">
        <f>IFERROR(__xludf.DUMMYFUNCTION("""COMPUTED_VALUE"""),"Kabel NYYHY 2 x 0.75 mm Merk Supreme; ; ;")</f>
        <v>Kabel NYYHY 2 x 0.75 mm Merk Supreme; ; ;</v>
      </c>
      <c r="F3108" s="6">
        <f>IFERROR(__xludf.DUMMYFUNCTION("""COMPUTED_VALUE"""),20.0)</f>
        <v>20</v>
      </c>
      <c r="G3108" s="6" t="str">
        <f>IFERROR(__xludf.DUMMYFUNCTION("""COMPUTED_VALUE"""),"Meter")</f>
        <v>Meter</v>
      </c>
      <c r="H3108" s="6" t="str">
        <f>IFERROR(__xludf.DUMMYFUNCTION("""COMPUTED_VALUE"""),"IDR")</f>
        <v>IDR</v>
      </c>
      <c r="I3108" s="6">
        <f>IFERROR(__xludf.DUMMYFUNCTION("""COMPUTED_VALUE"""),6600.0)</f>
        <v>6600</v>
      </c>
      <c r="J3108" s="6">
        <f>IFERROR(__xludf.DUMMYFUNCTION("""COMPUTED_VALUE"""),132000.0)</f>
        <v>132000</v>
      </c>
      <c r="K3108" s="57">
        <f>IFERROR(__xludf.DUMMYFUNCTION("""COMPUTED_VALUE"""),45378.0)</f>
        <v>45378</v>
      </c>
      <c r="L3108" s="6" t="str">
        <f>IFERROR(__xludf.DUMMYFUNCTION("""COMPUTED_VALUE"""),"FIP Engineering")</f>
        <v>FIP Engineering</v>
      </c>
      <c r="M3108" s="6" t="str">
        <f>IFERROR(__xludf.DUMMYFUNCTION("""COMPUTED_VALUE"""),"Mochammad Fadhillah Hakim,")</f>
        <v>Mochammad Fadhillah Hakim,</v>
      </c>
      <c r="N3108" s="6" t="str">
        <f>IFERROR(__xludf.DUMMYFUNCTION("""COMPUTED_VALUE"""),"FIP Engineering")</f>
        <v>FIP Engineering</v>
      </c>
      <c r="O3108" s="6" t="str">
        <f>IFERROR(__xludf.DUMMYFUNCTION("""COMPUTED_VALUE"""),"FIP-DOM-000-11304-OS00001-INA-000000")</f>
        <v>FIP-DOM-000-11304-OS00001-INA-000000</v>
      </c>
      <c r="P3108" s="6" t="str">
        <f>IFERROR(__xludf.DUMMYFUNCTION("""COMPUTED_VALUE"""),"PO Closed")</f>
        <v>PO Closed</v>
      </c>
      <c r="Q3108" s="6" t="str">
        <f>IFERROR(__xludf.DUMMYFUNCTION("""COMPUTED_VALUE"""),"GL2405042")</f>
        <v>GL2405042</v>
      </c>
      <c r="R3108" s="57">
        <f>IFERROR(__xludf.DUMMYFUNCTION("""COMPUTED_VALUE"""),45376.0)</f>
        <v>45376</v>
      </c>
      <c r="S3108" s="57">
        <f>IFERROR(__xludf.DUMMYFUNCTION("""COMPUTED_VALUE"""),45377.0)</f>
        <v>45377</v>
      </c>
      <c r="T3108" s="57">
        <f>IFERROR(__xludf.DUMMYFUNCTION("""COMPUTED_VALUE"""),45450.0)</f>
        <v>45450</v>
      </c>
    </row>
    <row r="3109">
      <c r="A3109" s="6" t="str">
        <f>IFERROR(__xludf.DUMMYFUNCTION("""COMPUTED_VALUE"""),"121701324-3")</f>
        <v>121701324-3</v>
      </c>
      <c r="B3109" s="6" t="str">
        <f>IFERROR(__xludf.DUMMYFUNCTION("""COMPUTED_VALUE"""),"121701324 - APPROVED")</f>
        <v>121701324 - APPROVED</v>
      </c>
      <c r="C3109" s="6">
        <f>IFERROR(__xludf.DUMMYFUNCTION("""COMPUTED_VALUE"""),3.0)</f>
        <v>3</v>
      </c>
      <c r="D3109" s="6" t="str">
        <f>IFERROR(__xludf.DUMMYFUNCTION("""COMPUTED_VALUE"""),"P-17272-00")</f>
        <v>P-17272-00</v>
      </c>
      <c r="E3109" s="6" t="str">
        <f>IFERROR(__xludf.DUMMYFUNCTION("""COMPUTED_VALUE"""),"O-ring Epdm 9 x 4 x 2,5 mm ; Brand : - ; P/N : - ; Pack Size : pcs")</f>
        <v>O-ring Epdm 9 x 4 x 2,5 mm ; Brand : - ; P/N : - ; Pack Size : pcs</v>
      </c>
      <c r="F3109" s="6">
        <f>IFERROR(__xludf.DUMMYFUNCTION("""COMPUTED_VALUE"""),10.0)</f>
        <v>10</v>
      </c>
      <c r="G3109" s="6" t="str">
        <f>IFERROR(__xludf.DUMMYFUNCTION("""COMPUTED_VALUE"""),"Pieces")</f>
        <v>Pieces</v>
      </c>
      <c r="H3109" s="6" t="str">
        <f>IFERROR(__xludf.DUMMYFUNCTION("""COMPUTED_VALUE"""),"IDR")</f>
        <v>IDR</v>
      </c>
      <c r="I3109" s="6">
        <f>IFERROR(__xludf.DUMMYFUNCTION("""COMPUTED_VALUE"""),27500.0)</f>
        <v>27500</v>
      </c>
      <c r="J3109" s="6">
        <f>IFERROR(__xludf.DUMMYFUNCTION("""COMPUTED_VALUE"""),275000.0)</f>
        <v>275000</v>
      </c>
      <c r="K3109" s="57">
        <f>IFERROR(__xludf.DUMMYFUNCTION("""COMPUTED_VALUE"""),45378.0)</f>
        <v>45378</v>
      </c>
      <c r="L3109" s="6" t="str">
        <f>IFERROR(__xludf.DUMMYFUNCTION("""COMPUTED_VALUE"""),"FIP Engineering")</f>
        <v>FIP Engineering</v>
      </c>
      <c r="M3109" s="6" t="str">
        <f>IFERROR(__xludf.DUMMYFUNCTION("""COMPUTED_VALUE"""),"Mochammad Fadhillah Hakim,")</f>
        <v>Mochammad Fadhillah Hakim,</v>
      </c>
      <c r="N3109" s="6" t="str">
        <f>IFERROR(__xludf.DUMMYFUNCTION("""COMPUTED_VALUE"""),"FIP Engineering")</f>
        <v>FIP Engineering</v>
      </c>
      <c r="O3109" s="6" t="str">
        <f>IFERROR(__xludf.DUMMYFUNCTION("""COMPUTED_VALUE"""),"FIP-DOM-000-11304-OS00001-INA-000000")</f>
        <v>FIP-DOM-000-11304-OS00001-INA-000000</v>
      </c>
      <c r="P3109" s="6" t="str">
        <f>IFERROR(__xludf.DUMMYFUNCTION("""COMPUTED_VALUE"""),"PO Closed")</f>
        <v>PO Closed</v>
      </c>
      <c r="Q3109" s="6" t="str">
        <f>IFERROR(__xludf.DUMMYFUNCTION("""COMPUTED_VALUE"""),"GL2405051")</f>
        <v>GL2405051</v>
      </c>
      <c r="R3109" s="57">
        <f>IFERROR(__xludf.DUMMYFUNCTION("""COMPUTED_VALUE"""),45376.0)</f>
        <v>45376</v>
      </c>
      <c r="S3109" s="57">
        <f>IFERROR(__xludf.DUMMYFUNCTION("""COMPUTED_VALUE"""),45377.0)</f>
        <v>45377</v>
      </c>
      <c r="T3109" s="57">
        <f>IFERROR(__xludf.DUMMYFUNCTION("""COMPUTED_VALUE"""),45450.0)</f>
        <v>45450</v>
      </c>
    </row>
    <row r="3110">
      <c r="A3110" s="6" t="str">
        <f>IFERROR(__xludf.DUMMYFUNCTION("""COMPUTED_VALUE"""),"121701324-4")</f>
        <v>121701324-4</v>
      </c>
      <c r="B3110" s="6" t="str">
        <f>IFERROR(__xludf.DUMMYFUNCTION("""COMPUTED_VALUE"""),"121701324 - APPROVED")</f>
        <v>121701324 - APPROVED</v>
      </c>
      <c r="C3110" s="6">
        <f>IFERROR(__xludf.DUMMYFUNCTION("""COMPUTED_VALUE"""),4.0)</f>
        <v>4</v>
      </c>
      <c r="D3110" s="6" t="str">
        <f>IFERROR(__xludf.DUMMYFUNCTION("""COMPUTED_VALUE"""),"P-13383-00")</f>
        <v>P-13383-00</v>
      </c>
      <c r="E3110" s="6" t="str">
        <f>IFERROR(__xludf.DUMMYFUNCTION("""COMPUTED_VALUE"""),"Silicone Sealant High Temp Red; ; ;")</f>
        <v>Silicone Sealant High Temp Red; ; ;</v>
      </c>
      <c r="F3110" s="6">
        <f>IFERROR(__xludf.DUMMYFUNCTION("""COMPUTED_VALUE"""),5.0)</f>
        <v>5</v>
      </c>
      <c r="G3110" s="6" t="str">
        <f>IFERROR(__xludf.DUMMYFUNCTION("""COMPUTED_VALUE"""),"Pieces")</f>
        <v>Pieces</v>
      </c>
      <c r="H3110" s="6" t="str">
        <f>IFERROR(__xludf.DUMMYFUNCTION("""COMPUTED_VALUE"""),"IDR")</f>
        <v>IDR</v>
      </c>
      <c r="I3110" s="6">
        <f>IFERROR(__xludf.DUMMYFUNCTION("""COMPUTED_VALUE"""),26000.0)</f>
        <v>26000</v>
      </c>
      <c r="J3110" s="6">
        <f>IFERROR(__xludf.DUMMYFUNCTION("""COMPUTED_VALUE"""),130000.0)</f>
        <v>130000</v>
      </c>
      <c r="K3110" s="57">
        <f>IFERROR(__xludf.DUMMYFUNCTION("""COMPUTED_VALUE"""),45378.0)</f>
        <v>45378</v>
      </c>
      <c r="L3110" s="6" t="str">
        <f>IFERROR(__xludf.DUMMYFUNCTION("""COMPUTED_VALUE"""),"FIP Engineering")</f>
        <v>FIP Engineering</v>
      </c>
      <c r="M3110" s="6" t="str">
        <f>IFERROR(__xludf.DUMMYFUNCTION("""COMPUTED_VALUE"""),"Mochammad Fadhillah Hakim,")</f>
        <v>Mochammad Fadhillah Hakim,</v>
      </c>
      <c r="N3110" s="6" t="str">
        <f>IFERROR(__xludf.DUMMYFUNCTION("""COMPUTED_VALUE"""),"FIP Engineering")</f>
        <v>FIP Engineering</v>
      </c>
      <c r="O3110" s="6" t="str">
        <f>IFERROR(__xludf.DUMMYFUNCTION("""COMPUTED_VALUE"""),"FIP-DOM-000-11304-OS00001-INA-000000")</f>
        <v>FIP-DOM-000-11304-OS00001-INA-000000</v>
      </c>
      <c r="P3110" s="6" t="str">
        <f>IFERROR(__xludf.DUMMYFUNCTION("""COMPUTED_VALUE"""),"PO Closed")</f>
        <v>PO Closed</v>
      </c>
      <c r="Q3110" s="6" t="str">
        <f>IFERROR(__xludf.DUMMYFUNCTION("""COMPUTED_VALUE"""),"GL2405042")</f>
        <v>GL2405042</v>
      </c>
      <c r="R3110" s="57">
        <f>IFERROR(__xludf.DUMMYFUNCTION("""COMPUTED_VALUE"""),45376.0)</f>
        <v>45376</v>
      </c>
      <c r="S3110" s="57">
        <f>IFERROR(__xludf.DUMMYFUNCTION("""COMPUTED_VALUE"""),45377.0)</f>
        <v>45377</v>
      </c>
      <c r="T3110" s="57">
        <f>IFERROR(__xludf.DUMMYFUNCTION("""COMPUTED_VALUE"""),45450.0)</f>
        <v>45450</v>
      </c>
    </row>
    <row r="3111">
      <c r="A3111" s="6" t="str">
        <f>IFERROR(__xludf.DUMMYFUNCTION("""COMPUTED_VALUE"""),"121701324-5")</f>
        <v>121701324-5</v>
      </c>
      <c r="B3111" s="6" t="str">
        <f>IFERROR(__xludf.DUMMYFUNCTION("""COMPUTED_VALUE"""),"121701324 - APPROVED")</f>
        <v>121701324 - APPROVED</v>
      </c>
      <c r="C3111" s="6">
        <f>IFERROR(__xludf.DUMMYFUNCTION("""COMPUTED_VALUE"""),5.0)</f>
        <v>5</v>
      </c>
      <c r="D3111" s="6" t="str">
        <f>IFERROR(__xludf.DUMMYFUNCTION("""COMPUTED_VALUE"""),"P-51299-00")</f>
        <v>P-51299-00</v>
      </c>
      <c r="E3111" s="6" t="str">
        <f>IFERROR(__xludf.DUMMYFUNCTION("""COMPUTED_VALUE"""),"Terminal plastik dia 6 mm")</f>
        <v>Terminal plastik dia 6 mm</v>
      </c>
      <c r="F3111" s="6">
        <f>IFERROR(__xludf.DUMMYFUNCTION("""COMPUTED_VALUE"""),20.0)</f>
        <v>20</v>
      </c>
      <c r="G3111" s="6" t="str">
        <f>IFERROR(__xludf.DUMMYFUNCTION("""COMPUTED_VALUE"""),"Pieces")</f>
        <v>Pieces</v>
      </c>
      <c r="H3111" s="6" t="str">
        <f>IFERROR(__xludf.DUMMYFUNCTION("""COMPUTED_VALUE"""),"IDR")</f>
        <v>IDR</v>
      </c>
      <c r="I3111" s="6">
        <f>IFERROR(__xludf.DUMMYFUNCTION("""COMPUTED_VALUE"""),9000.0)</f>
        <v>9000</v>
      </c>
      <c r="J3111" s="6">
        <f>IFERROR(__xludf.DUMMYFUNCTION("""COMPUTED_VALUE"""),180000.0)</f>
        <v>180000</v>
      </c>
      <c r="K3111" s="57">
        <f>IFERROR(__xludf.DUMMYFUNCTION("""COMPUTED_VALUE"""),45378.0)</f>
        <v>45378</v>
      </c>
      <c r="L3111" s="6" t="str">
        <f>IFERROR(__xludf.DUMMYFUNCTION("""COMPUTED_VALUE"""),"FIP Engineering")</f>
        <v>FIP Engineering</v>
      </c>
      <c r="M3111" s="6" t="str">
        <f>IFERROR(__xludf.DUMMYFUNCTION("""COMPUTED_VALUE"""),"Mochammad Fadhillah Hakim,")</f>
        <v>Mochammad Fadhillah Hakim,</v>
      </c>
      <c r="N3111" s="6" t="str">
        <f>IFERROR(__xludf.DUMMYFUNCTION("""COMPUTED_VALUE"""),"FIP Engineering")</f>
        <v>FIP Engineering</v>
      </c>
      <c r="O3111" s="6" t="str">
        <f>IFERROR(__xludf.DUMMYFUNCTION("""COMPUTED_VALUE"""),"FIP-DOM-000-11304-OS00001-INA-000000")</f>
        <v>FIP-DOM-000-11304-OS00001-INA-000000</v>
      </c>
      <c r="P3111" s="6" t="str">
        <f>IFERROR(__xludf.DUMMYFUNCTION("""COMPUTED_VALUE"""),"PO Closed")</f>
        <v>PO Closed</v>
      </c>
      <c r="Q3111" s="6" t="str">
        <f>IFERROR(__xludf.DUMMYFUNCTION("""COMPUTED_VALUE"""),"GL2405023")</f>
        <v>GL2405023</v>
      </c>
      <c r="R3111" s="57">
        <f>IFERROR(__xludf.DUMMYFUNCTION("""COMPUTED_VALUE"""),45376.0)</f>
        <v>45376</v>
      </c>
      <c r="S3111" s="57">
        <f>IFERROR(__xludf.DUMMYFUNCTION("""COMPUTED_VALUE"""),45377.0)</f>
        <v>45377</v>
      </c>
      <c r="T3111" s="57">
        <f>IFERROR(__xludf.DUMMYFUNCTION("""COMPUTED_VALUE"""),45463.0)</f>
        <v>45463</v>
      </c>
    </row>
    <row r="3112">
      <c r="A3112" s="6" t="str">
        <f>IFERROR(__xludf.DUMMYFUNCTION("""COMPUTED_VALUE"""),"121701324-6")</f>
        <v>121701324-6</v>
      </c>
      <c r="B3112" s="6" t="str">
        <f>IFERROR(__xludf.DUMMYFUNCTION("""COMPUTED_VALUE"""),"121701324 - APPROVED")</f>
        <v>121701324 - APPROVED</v>
      </c>
      <c r="C3112" s="6">
        <f>IFERROR(__xludf.DUMMYFUNCTION("""COMPUTED_VALUE"""),6.0)</f>
        <v>6</v>
      </c>
      <c r="D3112" s="6" t="str">
        <f>IFERROR(__xludf.DUMMYFUNCTION("""COMPUTED_VALUE"""),"P-12083-00")</f>
        <v>P-12083-00</v>
      </c>
      <c r="E3112" s="6" t="str">
        <f>IFERROR(__xludf.DUMMYFUNCTION("""COMPUTED_VALUE"""),"Clamp selang SS dia 1/2inch ex TRIDON")</f>
        <v>Clamp selang SS dia 1/2inch ex TRIDON</v>
      </c>
      <c r="F3112" s="6">
        <f>IFERROR(__xludf.DUMMYFUNCTION("""COMPUTED_VALUE"""),10.0)</f>
        <v>10</v>
      </c>
      <c r="G3112" s="6" t="str">
        <f>IFERROR(__xludf.DUMMYFUNCTION("""COMPUTED_VALUE"""),"Pieces")</f>
        <v>Pieces</v>
      </c>
      <c r="H3112" s="6" t="str">
        <f>IFERROR(__xludf.DUMMYFUNCTION("""COMPUTED_VALUE"""),"IDR")</f>
        <v>IDR</v>
      </c>
      <c r="I3112" s="6">
        <f>IFERROR(__xludf.DUMMYFUNCTION("""COMPUTED_VALUE"""),21000.0)</f>
        <v>21000</v>
      </c>
      <c r="J3112" s="6">
        <f>IFERROR(__xludf.DUMMYFUNCTION("""COMPUTED_VALUE"""),210000.0)</f>
        <v>210000</v>
      </c>
      <c r="K3112" s="57">
        <f>IFERROR(__xludf.DUMMYFUNCTION("""COMPUTED_VALUE"""),45378.0)</f>
        <v>45378</v>
      </c>
      <c r="L3112" s="6" t="str">
        <f>IFERROR(__xludf.DUMMYFUNCTION("""COMPUTED_VALUE"""),"FIP Engineering")</f>
        <v>FIP Engineering</v>
      </c>
      <c r="M3112" s="6" t="str">
        <f>IFERROR(__xludf.DUMMYFUNCTION("""COMPUTED_VALUE"""),"Mochammad Fadhillah Hakim,")</f>
        <v>Mochammad Fadhillah Hakim,</v>
      </c>
      <c r="N3112" s="6" t="str">
        <f>IFERROR(__xludf.DUMMYFUNCTION("""COMPUTED_VALUE"""),"FIP Engineering")</f>
        <v>FIP Engineering</v>
      </c>
      <c r="O3112" s="6" t="str">
        <f>IFERROR(__xludf.DUMMYFUNCTION("""COMPUTED_VALUE"""),"FIP-DOM-000-11304-OS00001-INA-000000")</f>
        <v>FIP-DOM-000-11304-OS00001-INA-000000</v>
      </c>
      <c r="P3112" s="6" t="str">
        <f>IFERROR(__xludf.DUMMYFUNCTION("""COMPUTED_VALUE"""),"PO Closed")</f>
        <v>PO Closed</v>
      </c>
      <c r="Q3112" s="6" t="str">
        <f>IFERROR(__xludf.DUMMYFUNCTION("""COMPUTED_VALUE"""),"GL2405023")</f>
        <v>GL2405023</v>
      </c>
      <c r="R3112" s="57">
        <f>IFERROR(__xludf.DUMMYFUNCTION("""COMPUTED_VALUE"""),45376.0)</f>
        <v>45376</v>
      </c>
      <c r="S3112" s="57">
        <f>IFERROR(__xludf.DUMMYFUNCTION("""COMPUTED_VALUE"""),45377.0)</f>
        <v>45377</v>
      </c>
      <c r="T3112" s="57">
        <f>IFERROR(__xludf.DUMMYFUNCTION("""COMPUTED_VALUE"""),45463.0)</f>
        <v>45463</v>
      </c>
    </row>
    <row r="3113">
      <c r="A3113" s="6" t="str">
        <f>IFERROR(__xludf.DUMMYFUNCTION("""COMPUTED_VALUE"""),"121701324-7")</f>
        <v>121701324-7</v>
      </c>
      <c r="B3113" s="6" t="str">
        <f>IFERROR(__xludf.DUMMYFUNCTION("""COMPUTED_VALUE"""),"121701324 - APPROVED")</f>
        <v>121701324 - APPROVED</v>
      </c>
      <c r="C3113" s="6">
        <f>IFERROR(__xludf.DUMMYFUNCTION("""COMPUTED_VALUE"""),7.0)</f>
        <v>7</v>
      </c>
      <c r="D3113" s="6" t="str">
        <f>IFERROR(__xludf.DUMMYFUNCTION("""COMPUTED_VALUE"""),"P-18067-00")</f>
        <v>P-18067-00</v>
      </c>
      <c r="E3113" s="6" t="str">
        <f>IFERROR(__xludf.DUMMYFUNCTION("""COMPUTED_VALUE"""),"Lampu LED T5 120 CM 16 Watt 6000K; ; ;")</f>
        <v>Lampu LED T5 120 CM 16 Watt 6000K; ; ;</v>
      </c>
      <c r="F3113" s="6">
        <f>IFERROR(__xludf.DUMMYFUNCTION("""COMPUTED_VALUE"""),10.0)</f>
        <v>10</v>
      </c>
      <c r="G3113" s="6" t="str">
        <f>IFERROR(__xludf.DUMMYFUNCTION("""COMPUTED_VALUE"""),"Pieces")</f>
        <v>Pieces</v>
      </c>
      <c r="H3113" s="6" t="str">
        <f>IFERROR(__xludf.DUMMYFUNCTION("""COMPUTED_VALUE"""),"IDR")</f>
        <v>IDR</v>
      </c>
      <c r="I3113" s="6">
        <f>IFERROR(__xludf.DUMMYFUNCTION("""COMPUTED_VALUE"""),115500.0)</f>
        <v>115500</v>
      </c>
      <c r="J3113" s="6">
        <f>IFERROR(__xludf.DUMMYFUNCTION("""COMPUTED_VALUE"""),1155000.0)</f>
        <v>1155000</v>
      </c>
      <c r="K3113" s="57">
        <f>IFERROR(__xludf.DUMMYFUNCTION("""COMPUTED_VALUE"""),45378.0)</f>
        <v>45378</v>
      </c>
      <c r="L3113" s="6" t="str">
        <f>IFERROR(__xludf.DUMMYFUNCTION("""COMPUTED_VALUE"""),"FIP Engineering")</f>
        <v>FIP Engineering</v>
      </c>
      <c r="M3113" s="6" t="str">
        <f>IFERROR(__xludf.DUMMYFUNCTION("""COMPUTED_VALUE"""),"Mochammad Fadhillah Hakim,")</f>
        <v>Mochammad Fadhillah Hakim,</v>
      </c>
      <c r="N3113" s="6" t="str">
        <f>IFERROR(__xludf.DUMMYFUNCTION("""COMPUTED_VALUE"""),"FIP Engineering")</f>
        <v>FIP Engineering</v>
      </c>
      <c r="O3113" s="6" t="str">
        <f>IFERROR(__xludf.DUMMYFUNCTION("""COMPUTED_VALUE"""),"FIP-DOM-000-11304-OS00001-INA-000000")</f>
        <v>FIP-DOM-000-11304-OS00001-INA-000000</v>
      </c>
      <c r="P3113" s="6" t="str">
        <f>IFERROR(__xludf.DUMMYFUNCTION("""COMPUTED_VALUE"""),"PO Closed")</f>
        <v>PO Closed</v>
      </c>
      <c r="Q3113" s="6" t="str">
        <f>IFERROR(__xludf.DUMMYFUNCTION("""COMPUTED_VALUE"""),"GL2405042")</f>
        <v>GL2405042</v>
      </c>
      <c r="R3113" s="57">
        <f>IFERROR(__xludf.DUMMYFUNCTION("""COMPUTED_VALUE"""),45376.0)</f>
        <v>45376</v>
      </c>
      <c r="S3113" s="57">
        <f>IFERROR(__xludf.DUMMYFUNCTION("""COMPUTED_VALUE"""),45377.0)</f>
        <v>45377</v>
      </c>
      <c r="T3113" s="57">
        <f>IFERROR(__xludf.DUMMYFUNCTION("""COMPUTED_VALUE"""),45450.0)</f>
        <v>45450</v>
      </c>
    </row>
    <row r="3114">
      <c r="A3114" s="6" t="str">
        <f>IFERROR(__xludf.DUMMYFUNCTION("""COMPUTED_VALUE"""),"121701324-8")</f>
        <v>121701324-8</v>
      </c>
      <c r="B3114" s="6" t="str">
        <f>IFERROR(__xludf.DUMMYFUNCTION("""COMPUTED_VALUE"""),"121701324 - APPROVED")</f>
        <v>121701324 - APPROVED</v>
      </c>
      <c r="C3114" s="6">
        <f>IFERROR(__xludf.DUMMYFUNCTION("""COMPUTED_VALUE"""),8.0)</f>
        <v>8</v>
      </c>
      <c r="D3114" s="6" t="str">
        <f>IFERROR(__xludf.DUMMYFUNCTION("""COMPUTED_VALUE"""),"P-12261-00")</f>
        <v>P-12261-00</v>
      </c>
      <c r="E3114" s="6" t="str">
        <f>IFERROR(__xludf.DUMMYFUNCTION("""COMPUTED_VALUE"""),"FESTO - Push In Connector QS-6 p/n 153032")</f>
        <v>FESTO - Push In Connector QS-6 p/n 153032</v>
      </c>
      <c r="F3114" s="6">
        <f>IFERROR(__xludf.DUMMYFUNCTION("""COMPUTED_VALUE"""),5.0)</f>
        <v>5</v>
      </c>
      <c r="G3114" s="6" t="str">
        <f>IFERROR(__xludf.DUMMYFUNCTION("""COMPUTED_VALUE"""),"Pieces")</f>
        <v>Pieces</v>
      </c>
      <c r="H3114" s="6" t="str">
        <f>IFERROR(__xludf.DUMMYFUNCTION("""COMPUTED_VALUE"""),"IDR")</f>
        <v>IDR</v>
      </c>
      <c r="I3114" s="6">
        <f>IFERROR(__xludf.DUMMYFUNCTION("""COMPUTED_VALUE"""),49167.0)</f>
        <v>49167</v>
      </c>
      <c r="J3114" s="6">
        <f>IFERROR(__xludf.DUMMYFUNCTION("""COMPUTED_VALUE"""),245835.0)</f>
        <v>245835</v>
      </c>
      <c r="K3114" s="57">
        <f>IFERROR(__xludf.DUMMYFUNCTION("""COMPUTED_VALUE"""),45378.0)</f>
        <v>45378</v>
      </c>
      <c r="L3114" s="6" t="str">
        <f>IFERROR(__xludf.DUMMYFUNCTION("""COMPUTED_VALUE"""),"FIP Engineering")</f>
        <v>FIP Engineering</v>
      </c>
      <c r="M3114" s="6" t="str">
        <f>IFERROR(__xludf.DUMMYFUNCTION("""COMPUTED_VALUE"""),"Mochammad Fadhillah Hakim,")</f>
        <v>Mochammad Fadhillah Hakim,</v>
      </c>
      <c r="N3114" s="6" t="str">
        <f>IFERROR(__xludf.DUMMYFUNCTION("""COMPUTED_VALUE"""),"FIP Engineering")</f>
        <v>FIP Engineering</v>
      </c>
      <c r="O3114" s="6" t="str">
        <f>IFERROR(__xludf.DUMMYFUNCTION("""COMPUTED_VALUE"""),"FIP-DOM-000-11304-OS00001-INA-000000")</f>
        <v>FIP-DOM-000-11304-OS00001-INA-000000</v>
      </c>
      <c r="P3114" s="6" t="str">
        <f>IFERROR(__xludf.DUMMYFUNCTION("""COMPUTED_VALUE"""),"PO Closed")</f>
        <v>PO Closed</v>
      </c>
      <c r="Q3114" s="6" t="str">
        <f>IFERROR(__xludf.DUMMYFUNCTION("""COMPUTED_VALUE"""),"GL2405050")</f>
        <v>GL2405050</v>
      </c>
      <c r="R3114" s="57">
        <f>IFERROR(__xludf.DUMMYFUNCTION("""COMPUTED_VALUE"""),45376.0)</f>
        <v>45376</v>
      </c>
      <c r="S3114" s="57">
        <f>IFERROR(__xludf.DUMMYFUNCTION("""COMPUTED_VALUE"""),45377.0)</f>
        <v>45377</v>
      </c>
      <c r="T3114" s="57">
        <f>IFERROR(__xludf.DUMMYFUNCTION("""COMPUTED_VALUE"""),45450.0)</f>
        <v>45450</v>
      </c>
    </row>
    <row r="3115">
      <c r="A3115" s="6" t="str">
        <f>IFERROR(__xludf.DUMMYFUNCTION("""COMPUTED_VALUE"""),"121701324-9")</f>
        <v>121701324-9</v>
      </c>
      <c r="B3115" s="6" t="str">
        <f>IFERROR(__xludf.DUMMYFUNCTION("""COMPUTED_VALUE"""),"121701324 - APPROVED")</f>
        <v>121701324 - APPROVED</v>
      </c>
      <c r="C3115" s="6">
        <f>IFERROR(__xludf.DUMMYFUNCTION("""COMPUTED_VALUE"""),9.0)</f>
        <v>9</v>
      </c>
      <c r="D3115" s="6" t="str">
        <f>IFERROR(__xludf.DUMMYFUNCTION("""COMPUTED_VALUE"""),"Q-10656-00")</f>
        <v>Q-10656-00</v>
      </c>
      <c r="E3115" s="6" t="str">
        <f>IFERROR(__xludf.DUMMYFUNCTION("""COMPUTED_VALUE"""),"Kuas Eterna 5 Inch; ; ;")</f>
        <v>Kuas Eterna 5 Inch; ; ;</v>
      </c>
      <c r="F3115" s="6">
        <f>IFERROR(__xludf.DUMMYFUNCTION("""COMPUTED_VALUE"""),20.0)</f>
        <v>20</v>
      </c>
      <c r="G3115" s="6" t="str">
        <f>IFERROR(__xludf.DUMMYFUNCTION("""COMPUTED_VALUE"""),"Pieces")</f>
        <v>Pieces</v>
      </c>
      <c r="H3115" s="6" t="str">
        <f>IFERROR(__xludf.DUMMYFUNCTION("""COMPUTED_VALUE"""),"IDR")</f>
        <v>IDR</v>
      </c>
      <c r="I3115" s="6">
        <f>IFERROR(__xludf.DUMMYFUNCTION("""COMPUTED_VALUE"""),15000.0)</f>
        <v>15000</v>
      </c>
      <c r="J3115" s="6">
        <f>IFERROR(__xludf.DUMMYFUNCTION("""COMPUTED_VALUE"""),300000.0)</f>
        <v>300000</v>
      </c>
      <c r="K3115" s="57">
        <f>IFERROR(__xludf.DUMMYFUNCTION("""COMPUTED_VALUE"""),45378.0)</f>
        <v>45378</v>
      </c>
      <c r="L3115" s="6" t="str">
        <f>IFERROR(__xludf.DUMMYFUNCTION("""COMPUTED_VALUE"""),"FIP Engineering")</f>
        <v>FIP Engineering</v>
      </c>
      <c r="M3115" s="6" t="str">
        <f>IFERROR(__xludf.DUMMYFUNCTION("""COMPUTED_VALUE"""),"Mochammad Fadhillah Hakim,")</f>
        <v>Mochammad Fadhillah Hakim,</v>
      </c>
      <c r="N3115" s="6" t="str">
        <f>IFERROR(__xludf.DUMMYFUNCTION("""COMPUTED_VALUE"""),"FIP Engineering")</f>
        <v>FIP Engineering</v>
      </c>
      <c r="O3115" s="6" t="str">
        <f>IFERROR(__xludf.DUMMYFUNCTION("""COMPUTED_VALUE"""),"FIP-DOM-000-11304-OS00001-INA-000000")</f>
        <v>FIP-DOM-000-11304-OS00001-INA-000000</v>
      </c>
      <c r="P3115" s="6" t="str">
        <f>IFERROR(__xludf.DUMMYFUNCTION("""COMPUTED_VALUE"""),"PO Closed")</f>
        <v>PO Closed</v>
      </c>
      <c r="Q3115" s="6" t="str">
        <f>IFERROR(__xludf.DUMMYFUNCTION("""COMPUTED_VALUE"""),"GL2404327")</f>
        <v>GL2404327</v>
      </c>
      <c r="R3115" s="57">
        <f>IFERROR(__xludf.DUMMYFUNCTION("""COMPUTED_VALUE"""),45376.0)</f>
        <v>45376</v>
      </c>
      <c r="S3115" s="57">
        <f>IFERROR(__xludf.DUMMYFUNCTION("""COMPUTED_VALUE"""),45377.0)</f>
        <v>45377</v>
      </c>
      <c r="T3115" s="57">
        <f>IFERROR(__xludf.DUMMYFUNCTION("""COMPUTED_VALUE"""),45412.0)</f>
        <v>45412</v>
      </c>
    </row>
    <row r="3116">
      <c r="A3116" s="6" t="str">
        <f>IFERROR(__xludf.DUMMYFUNCTION("""COMPUTED_VALUE"""),"121701326-1")</f>
        <v>121701326-1</v>
      </c>
      <c r="B3116" s="6" t="str">
        <f>IFERROR(__xludf.DUMMYFUNCTION("""COMPUTED_VALUE"""),"121701326 - APPROVED")</f>
        <v>121701326 - APPROVED</v>
      </c>
      <c r="C3116" s="6">
        <f>IFERROR(__xludf.DUMMYFUNCTION("""COMPUTED_VALUE"""),1.0)</f>
        <v>1</v>
      </c>
      <c r="D3116" s="6" t="str">
        <f>IFERROR(__xludf.DUMMYFUNCTION("""COMPUTED_VALUE"""),"S-60050-00")</f>
        <v>S-60050-00</v>
      </c>
      <c r="E3116" s="6" t="str">
        <f>IFERROR(__xludf.DUMMYFUNCTION("""COMPUTED_VALUE"""),"Jasa Perbaikan dan Pemeliharaan Mesin Produksi; ; ;")</f>
        <v>Jasa Perbaikan dan Pemeliharaan Mesin Produksi; ; ;</v>
      </c>
      <c r="F3116" s="6">
        <f>IFERROR(__xludf.DUMMYFUNCTION("""COMPUTED_VALUE"""),1.0)</f>
        <v>1</v>
      </c>
      <c r="G3116" s="6" t="str">
        <f>IFERROR(__xludf.DUMMYFUNCTION("""COMPUTED_VALUE"""),"Pieces")</f>
        <v>Pieces</v>
      </c>
      <c r="H3116" s="6" t="str">
        <f>IFERROR(__xludf.DUMMYFUNCTION("""COMPUTED_VALUE"""),"IDR")</f>
        <v>IDR</v>
      </c>
      <c r="I3116" s="6">
        <f>IFERROR(__xludf.DUMMYFUNCTION("""COMPUTED_VALUE"""),2575000.0)</f>
        <v>2575000</v>
      </c>
      <c r="J3116" s="6">
        <f>IFERROR(__xludf.DUMMYFUNCTION("""COMPUTED_VALUE"""),2575000.0)</f>
        <v>2575000</v>
      </c>
      <c r="K3116" s="57">
        <f>IFERROR(__xludf.DUMMYFUNCTION("""COMPUTED_VALUE"""),45379.0)</f>
        <v>45379</v>
      </c>
      <c r="L3116" s="6" t="str">
        <f>IFERROR(__xludf.DUMMYFUNCTION("""COMPUTED_VALUE"""),"FIP General")</f>
        <v>FIP General</v>
      </c>
      <c r="M3116" s="6" t="str">
        <f>IFERROR(__xludf.DUMMYFUNCTION("""COMPUTED_VALUE"""),"Mochammad Fadhillah Hakim,")</f>
        <v>Mochammad Fadhillah Hakim,</v>
      </c>
      <c r="N3116" s="6" t="str">
        <f>IFERROR(__xludf.DUMMYFUNCTION("""COMPUTED_VALUE"""),"FIP Engineering")</f>
        <v>FIP Engineering</v>
      </c>
      <c r="O3116" s="6" t="str">
        <f>IFERROR(__xludf.DUMMYFUNCTION("""COMPUTED_VALUE"""),"FIP-DOM-ENG-51504-0000000-INA-000000")</f>
        <v>FIP-DOM-ENG-51504-0000000-INA-000000</v>
      </c>
      <c r="P3116" s="6" t="str">
        <f>IFERROR(__xludf.DUMMYFUNCTION("""COMPUTED_VALUE"""),"PO Closed")</f>
        <v>PO Closed</v>
      </c>
      <c r="Q3116" s="6" t="str">
        <f>IFERROR(__xludf.DUMMYFUNCTION("""COMPUTED_VALUE"""),"GL2404054")</f>
        <v>GL2404054</v>
      </c>
      <c r="R3116" s="57">
        <f>IFERROR(__xludf.DUMMYFUNCTION("""COMPUTED_VALUE"""),45377.0)</f>
        <v>45377</v>
      </c>
      <c r="S3116" s="57">
        <f>IFERROR(__xludf.DUMMYFUNCTION("""COMPUTED_VALUE"""),45379.0)</f>
        <v>45379</v>
      </c>
      <c r="T3116" s="57">
        <f>IFERROR(__xludf.DUMMYFUNCTION("""COMPUTED_VALUE"""),45457.0)</f>
        <v>45457</v>
      </c>
    </row>
    <row r="3117">
      <c r="A3117" s="6" t="str">
        <f>IFERROR(__xludf.DUMMYFUNCTION("""COMPUTED_VALUE"""),"121701327-1")</f>
        <v>121701327-1</v>
      </c>
      <c r="B3117" s="6" t="str">
        <f>IFERROR(__xludf.DUMMYFUNCTION("""COMPUTED_VALUE"""),"121701327 - APPROVED")</f>
        <v>121701327 - APPROVED</v>
      </c>
      <c r="C3117" s="6">
        <f>IFERROR(__xludf.DUMMYFUNCTION("""COMPUTED_VALUE"""),1.0)</f>
        <v>1</v>
      </c>
      <c r="D3117" s="6" t="str">
        <f>IFERROR(__xludf.DUMMYFUNCTION("""COMPUTED_VALUE"""),"P-53133-00")</f>
        <v>P-53133-00</v>
      </c>
      <c r="E3117" s="6" t="str">
        <f>IFERROR(__xludf.DUMMYFUNCTION("""COMPUTED_VALUE"""),"Kabel Belden AWG 22; ; ;")</f>
        <v>Kabel Belden AWG 22; ; ;</v>
      </c>
      <c r="F3117" s="6">
        <f>IFERROR(__xludf.DUMMYFUNCTION("""COMPUTED_VALUE"""),1.0)</f>
        <v>1</v>
      </c>
      <c r="G3117" s="6" t="str">
        <f>IFERROR(__xludf.DUMMYFUNCTION("""COMPUTED_VALUE"""),"Roll")</f>
        <v>Roll</v>
      </c>
      <c r="H3117" s="6" t="str">
        <f>IFERROR(__xludf.DUMMYFUNCTION("""COMPUTED_VALUE"""),"IDR")</f>
        <v>IDR</v>
      </c>
      <c r="I3117" s="6">
        <f>IFERROR(__xludf.DUMMYFUNCTION("""COMPUTED_VALUE"""),3240000.0)</f>
        <v>3240000</v>
      </c>
      <c r="J3117" s="6">
        <f>IFERROR(__xludf.DUMMYFUNCTION("""COMPUTED_VALUE"""),3240000.0)</f>
        <v>3240000</v>
      </c>
      <c r="K3117" s="57">
        <f>IFERROR(__xludf.DUMMYFUNCTION("""COMPUTED_VALUE"""),45379.0)</f>
        <v>45379</v>
      </c>
      <c r="L3117" s="6" t="str">
        <f>IFERROR(__xludf.DUMMYFUNCTION("""COMPUTED_VALUE"""),"FIP Engineering")</f>
        <v>FIP Engineering</v>
      </c>
      <c r="M3117" s="6" t="str">
        <f>IFERROR(__xludf.DUMMYFUNCTION("""COMPUTED_VALUE"""),"Mochammad Fadhillah Hakim,")</f>
        <v>Mochammad Fadhillah Hakim,</v>
      </c>
      <c r="N3117" s="6" t="str">
        <f>IFERROR(__xludf.DUMMYFUNCTION("""COMPUTED_VALUE"""),"FIP Engineering")</f>
        <v>FIP Engineering</v>
      </c>
      <c r="O3117" s="6" t="str">
        <f>IFERROR(__xludf.DUMMYFUNCTION("""COMPUTED_VALUE"""),"FIP-DOM-000-11304-OS00001-INA-000000")</f>
        <v>FIP-DOM-000-11304-OS00001-INA-000000</v>
      </c>
      <c r="P3117" s="6" t="str">
        <f>IFERROR(__xludf.DUMMYFUNCTION("""COMPUTED_VALUE"""),"PO Closed")</f>
        <v>PO Closed</v>
      </c>
      <c r="Q3117" s="6" t="str">
        <f>IFERROR(__xludf.DUMMYFUNCTION("""COMPUTED_VALUE"""),"GL2405067")</f>
        <v>GL2405067</v>
      </c>
      <c r="R3117" s="57">
        <f>IFERROR(__xludf.DUMMYFUNCTION("""COMPUTED_VALUE"""),45377.0)</f>
        <v>45377</v>
      </c>
      <c r="S3117" s="57">
        <f>IFERROR(__xludf.DUMMYFUNCTION("""COMPUTED_VALUE"""),45434.0)</f>
        <v>45434</v>
      </c>
      <c r="T3117" s="57">
        <f>IFERROR(__xludf.DUMMYFUNCTION("""COMPUTED_VALUE"""),45453.0)</f>
        <v>45453</v>
      </c>
    </row>
    <row r="3118">
      <c r="A3118" s="6" t="str">
        <f>IFERROR(__xludf.DUMMYFUNCTION("""COMPUTED_VALUE"""),"121701327-2")</f>
        <v>121701327-2</v>
      </c>
      <c r="B3118" s="6" t="str">
        <f>IFERROR(__xludf.DUMMYFUNCTION("""COMPUTED_VALUE"""),"121701327 - APPROVED")</f>
        <v>121701327 - APPROVED</v>
      </c>
      <c r="C3118" s="6">
        <f>IFERROR(__xludf.DUMMYFUNCTION("""COMPUTED_VALUE"""),2.0)</f>
        <v>2</v>
      </c>
      <c r="D3118" s="6" t="str">
        <f>IFERROR(__xludf.DUMMYFUNCTION("""COMPUTED_VALUE"""),"Q-10984-00")</f>
        <v>Q-10984-00</v>
      </c>
      <c r="E3118" s="6" t="str">
        <f>IFERROR(__xludf.DUMMYFUNCTION("""COMPUTED_VALUE"""),"Door Seal Karet Penutup Bawah Pintu Abu 2,5 cm x 1 M; ; ;")</f>
        <v>Door Seal Karet Penutup Bawah Pintu Abu 2,5 cm x 1 M; ; ;</v>
      </c>
      <c r="F3118" s="6">
        <f>IFERROR(__xludf.DUMMYFUNCTION("""COMPUTED_VALUE"""),10.0)</f>
        <v>10</v>
      </c>
      <c r="G3118" s="6" t="str">
        <f>IFERROR(__xludf.DUMMYFUNCTION("""COMPUTED_VALUE"""),"Pieces")</f>
        <v>Pieces</v>
      </c>
      <c r="H3118" s="6" t="str">
        <f>IFERROR(__xludf.DUMMYFUNCTION("""COMPUTED_VALUE"""),"IDR")</f>
        <v>IDR</v>
      </c>
      <c r="I3118" s="6">
        <f>IFERROR(__xludf.DUMMYFUNCTION("""COMPUTED_VALUE"""),26000.0)</f>
        <v>26000</v>
      </c>
      <c r="J3118" s="6">
        <f>IFERROR(__xludf.DUMMYFUNCTION("""COMPUTED_VALUE"""),260000.0)</f>
        <v>260000</v>
      </c>
      <c r="K3118" s="57">
        <f>IFERROR(__xludf.DUMMYFUNCTION("""COMPUTED_VALUE"""),45379.0)</f>
        <v>45379</v>
      </c>
      <c r="L3118" s="6" t="str">
        <f>IFERROR(__xludf.DUMMYFUNCTION("""COMPUTED_VALUE"""),"FIP General")</f>
        <v>FIP General</v>
      </c>
      <c r="M3118" s="6" t="str">
        <f>IFERROR(__xludf.DUMMYFUNCTION("""COMPUTED_VALUE"""),"Mochammad Fadhillah Hakim,")</f>
        <v>Mochammad Fadhillah Hakim,</v>
      </c>
      <c r="N3118" s="6" t="str">
        <f>IFERROR(__xludf.DUMMYFUNCTION("""COMPUTED_VALUE"""),"FIP Engineering")</f>
        <v>FIP Engineering</v>
      </c>
      <c r="O3118" s="6" t="str">
        <f>IFERROR(__xludf.DUMMYFUNCTION("""COMPUTED_VALUE"""),"FIP-DOM-ENG-51502-0000000-INA-000000")</f>
        <v>FIP-DOM-ENG-51502-0000000-INA-000000</v>
      </c>
      <c r="P3118" s="6" t="str">
        <f>IFERROR(__xludf.DUMMYFUNCTION("""COMPUTED_VALUE"""),"PO Closed")</f>
        <v>PO Closed</v>
      </c>
      <c r="Q3118" s="6" t="str">
        <f>IFERROR(__xludf.DUMMYFUNCTION("""COMPUTED_VALUE"""),"GL2406018")</f>
        <v>GL2406018</v>
      </c>
      <c r="R3118" s="57">
        <f>IFERROR(__xludf.DUMMYFUNCTION("""COMPUTED_VALUE"""),45377.0)</f>
        <v>45377</v>
      </c>
      <c r="S3118" s="57">
        <f>IFERROR(__xludf.DUMMYFUNCTION("""COMPUTED_VALUE"""),45434.0)</f>
        <v>45434</v>
      </c>
      <c r="T3118" s="57">
        <f>IFERROR(__xludf.DUMMYFUNCTION("""COMPUTED_VALUE"""),45481.0)</f>
        <v>45481</v>
      </c>
    </row>
    <row r="3119">
      <c r="A3119" s="6" t="str">
        <f>IFERROR(__xludf.DUMMYFUNCTION("""COMPUTED_VALUE"""),"121701327-3")</f>
        <v>121701327-3</v>
      </c>
      <c r="B3119" s="6" t="str">
        <f>IFERROR(__xludf.DUMMYFUNCTION("""COMPUTED_VALUE"""),"121701327 - APPROVED")</f>
        <v>121701327 - APPROVED</v>
      </c>
      <c r="C3119" s="6">
        <f>IFERROR(__xludf.DUMMYFUNCTION("""COMPUTED_VALUE"""),3.0)</f>
        <v>3</v>
      </c>
      <c r="D3119" s="6" t="str">
        <f>IFERROR(__xludf.DUMMYFUNCTION("""COMPUTED_VALUE"""),"Q-60063-00")</f>
        <v>Q-60063-00</v>
      </c>
      <c r="E3119" s="6" t="str">
        <f>IFERROR(__xludf.DUMMYFUNCTION("""COMPUTED_VALUE"""),"Cat Pilox 102 - White")</f>
        <v>Cat Pilox 102 - White</v>
      </c>
      <c r="F3119" s="6">
        <f>IFERROR(__xludf.DUMMYFUNCTION("""COMPUTED_VALUE"""),5.0)</f>
        <v>5</v>
      </c>
      <c r="G3119" s="6" t="str">
        <f>IFERROR(__xludf.DUMMYFUNCTION("""COMPUTED_VALUE"""),"Can")</f>
        <v>Can</v>
      </c>
      <c r="H3119" s="6" t="str">
        <f>IFERROR(__xludf.DUMMYFUNCTION("""COMPUTED_VALUE"""),"IDR")</f>
        <v>IDR</v>
      </c>
      <c r="I3119" s="6">
        <f>IFERROR(__xludf.DUMMYFUNCTION("""COMPUTED_VALUE"""),33000.0)</f>
        <v>33000</v>
      </c>
      <c r="J3119" s="6">
        <f>IFERROR(__xludf.DUMMYFUNCTION("""COMPUTED_VALUE"""),165000.0)</f>
        <v>165000</v>
      </c>
      <c r="K3119" s="57">
        <f>IFERROR(__xludf.DUMMYFUNCTION("""COMPUTED_VALUE"""),45380.0)</f>
        <v>45380</v>
      </c>
      <c r="L3119" s="6" t="str">
        <f>IFERROR(__xludf.DUMMYFUNCTION("""COMPUTED_VALUE"""),"FIP Engineering")</f>
        <v>FIP Engineering</v>
      </c>
      <c r="M3119" s="6" t="str">
        <f>IFERROR(__xludf.DUMMYFUNCTION("""COMPUTED_VALUE"""),"Mochammad Fadhillah Hakim,")</f>
        <v>Mochammad Fadhillah Hakim,</v>
      </c>
      <c r="N3119" s="6" t="str">
        <f>IFERROR(__xludf.DUMMYFUNCTION("""COMPUTED_VALUE"""),"FIP Engineering")</f>
        <v>FIP Engineering</v>
      </c>
      <c r="O3119" s="6" t="str">
        <f>IFERROR(__xludf.DUMMYFUNCTION("""COMPUTED_VALUE"""),"FIP-DOM-000-11304-OS00001-INA-000000")</f>
        <v>FIP-DOM-000-11304-OS00001-INA-000000</v>
      </c>
      <c r="P3119" s="6" t="str">
        <f>IFERROR(__xludf.DUMMYFUNCTION("""COMPUTED_VALUE"""),"PO Closed")</f>
        <v>PO Closed</v>
      </c>
      <c r="Q3119" s="6" t="str">
        <f>IFERROR(__xludf.DUMMYFUNCTION("""COMPUTED_VALUE"""),"GL2406372")</f>
        <v>GL2406372</v>
      </c>
      <c r="R3119" s="57">
        <f>IFERROR(__xludf.DUMMYFUNCTION("""COMPUTED_VALUE"""),45377.0)</f>
        <v>45377</v>
      </c>
      <c r="S3119" s="57">
        <f>IFERROR(__xludf.DUMMYFUNCTION("""COMPUTED_VALUE"""),45434.0)</f>
        <v>45434</v>
      </c>
      <c r="T3119" s="57">
        <f>IFERROR(__xludf.DUMMYFUNCTION("""COMPUTED_VALUE"""),45471.0)</f>
        <v>45471</v>
      </c>
    </row>
    <row r="3120">
      <c r="A3120" s="6" t="str">
        <f>IFERROR(__xludf.DUMMYFUNCTION("""COMPUTED_VALUE"""),"121701328-1")</f>
        <v>121701328-1</v>
      </c>
      <c r="B3120" s="6" t="str">
        <f>IFERROR(__xludf.DUMMYFUNCTION("""COMPUTED_VALUE"""),"121701328 - APPROVED")</f>
        <v>121701328 - APPROVED</v>
      </c>
      <c r="C3120" s="6">
        <f>IFERROR(__xludf.DUMMYFUNCTION("""COMPUTED_VALUE"""),1.0)</f>
        <v>1</v>
      </c>
      <c r="D3120" s="6" t="str">
        <f>IFERROR(__xludf.DUMMYFUNCTION("""COMPUTED_VALUE"""),"O-53011-00")</f>
        <v>O-53011-00</v>
      </c>
      <c r="E3120" s="6" t="str">
        <f>IFERROR(__xludf.DUMMYFUNCTION("""COMPUTED_VALUE"""),"Timer Digital LE8B-BF; Autonics; A01761;")</f>
        <v>Timer Digital LE8B-BF; Autonics; A01761;</v>
      </c>
      <c r="F3120" s="6">
        <f>IFERROR(__xludf.DUMMYFUNCTION("""COMPUTED_VALUE"""),16.0)</f>
        <v>16</v>
      </c>
      <c r="G3120" s="6" t="str">
        <f>IFERROR(__xludf.DUMMYFUNCTION("""COMPUTED_VALUE"""),"Pieces")</f>
        <v>Pieces</v>
      </c>
      <c r="H3120" s="6" t="str">
        <f>IFERROR(__xludf.DUMMYFUNCTION("""COMPUTED_VALUE"""),"IDR")</f>
        <v>IDR</v>
      </c>
      <c r="I3120" s="6">
        <f>IFERROR(__xludf.DUMMYFUNCTION("""COMPUTED_VALUE"""),408200.0)</f>
        <v>408200</v>
      </c>
      <c r="J3120" s="6">
        <f>IFERROR(__xludf.DUMMYFUNCTION("""COMPUTED_VALUE"""),6531200.0)</f>
        <v>6531200</v>
      </c>
      <c r="K3120" s="57">
        <f>IFERROR(__xludf.DUMMYFUNCTION("""COMPUTED_VALUE"""),45379.0)</f>
        <v>45379</v>
      </c>
      <c r="L3120" s="6" t="str">
        <f>IFERROR(__xludf.DUMMYFUNCTION("""COMPUTED_VALUE"""),"FIP Engineering")</f>
        <v>FIP Engineering</v>
      </c>
      <c r="M3120" s="6" t="str">
        <f>IFERROR(__xludf.DUMMYFUNCTION("""COMPUTED_VALUE"""),"Mochammad Fadhillah Hakim,")</f>
        <v>Mochammad Fadhillah Hakim,</v>
      </c>
      <c r="N3120" s="6" t="str">
        <f>IFERROR(__xludf.DUMMYFUNCTION("""COMPUTED_VALUE"""),"FIP Engineering")</f>
        <v>FIP Engineering</v>
      </c>
      <c r="O3120" s="6" t="str">
        <f>IFERROR(__xludf.DUMMYFUNCTION("""COMPUTED_VALUE"""),"FIP-DOM-000-11304-OS00001-INA-000000")</f>
        <v>FIP-DOM-000-11304-OS00001-INA-000000</v>
      </c>
      <c r="P3120" s="6" t="str">
        <f>IFERROR(__xludf.DUMMYFUNCTION("""COMPUTED_VALUE"""),"PO Closed")</f>
        <v>PO Closed</v>
      </c>
      <c r="Q3120" s="6" t="str">
        <f>IFERROR(__xludf.DUMMYFUNCTION("""COMPUTED_VALUE"""),"GL2405008")</f>
        <v>GL2405008</v>
      </c>
      <c r="R3120" s="57">
        <f>IFERROR(__xludf.DUMMYFUNCTION("""COMPUTED_VALUE"""),45377.0)</f>
        <v>45377</v>
      </c>
      <c r="S3120" s="57">
        <f>IFERROR(__xludf.DUMMYFUNCTION("""COMPUTED_VALUE"""),45378.0)</f>
        <v>45378</v>
      </c>
      <c r="T3120" s="57">
        <f>IFERROR(__xludf.DUMMYFUNCTION("""COMPUTED_VALUE"""),45440.0)</f>
        <v>45440</v>
      </c>
    </row>
    <row r="3121">
      <c r="A3121" s="6" t="str">
        <f>IFERROR(__xludf.DUMMYFUNCTION("""COMPUTED_VALUE"""),"121701334-1")</f>
        <v>121701334-1</v>
      </c>
      <c r="B3121" s="6" t="str">
        <f>IFERROR(__xludf.DUMMYFUNCTION("""COMPUTED_VALUE"""),"121701334 - APPROVED")</f>
        <v>121701334 - APPROVED</v>
      </c>
      <c r="C3121" s="6">
        <f>IFERROR(__xludf.DUMMYFUNCTION("""COMPUTED_VALUE"""),1.0)</f>
        <v>1</v>
      </c>
      <c r="D3121" s="6" t="str">
        <f>IFERROR(__xludf.DUMMYFUNCTION("""COMPUTED_VALUE"""),"Q-70095-00")</f>
        <v>Q-70095-00</v>
      </c>
      <c r="E3121" s="6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F3121" s="6">
        <f>IFERROR(__xludf.DUMMYFUNCTION("""COMPUTED_VALUE"""),1.0)</f>
        <v>1</v>
      </c>
      <c r="G3121" s="6" t="str">
        <f>IFERROR(__xludf.DUMMYFUNCTION("""COMPUTED_VALUE"""),"Pieces")</f>
        <v>Pieces</v>
      </c>
      <c r="H3121" s="6" t="str">
        <f>IFERROR(__xludf.DUMMYFUNCTION("""COMPUTED_VALUE"""),"IDR")</f>
        <v>IDR</v>
      </c>
      <c r="I3121" s="6">
        <f>IFERROR(__xludf.DUMMYFUNCTION("""COMPUTED_VALUE"""),282000.0)</f>
        <v>282000</v>
      </c>
      <c r="J3121" s="6">
        <f>IFERROR(__xludf.DUMMYFUNCTION("""COMPUTED_VALUE"""),282000.0)</f>
        <v>282000</v>
      </c>
      <c r="K3121" s="57">
        <f>IFERROR(__xludf.DUMMYFUNCTION("""COMPUTED_VALUE"""),45381.0)</f>
        <v>45381</v>
      </c>
      <c r="L3121" s="6" t="str">
        <f>IFERROR(__xludf.DUMMYFUNCTION("""COMPUTED_VALUE"""),"FIP General")</f>
        <v>FIP General</v>
      </c>
      <c r="M3121" s="6" t="str">
        <f>IFERROR(__xludf.DUMMYFUNCTION("""COMPUTED_VALUE"""),"Mochammad Fadhillah Hakim,")</f>
        <v>Mochammad Fadhillah Hakim,</v>
      </c>
      <c r="N3121" s="6" t="str">
        <f>IFERROR(__xludf.DUMMYFUNCTION("""COMPUTED_VALUE"""),"FIP Engineering")</f>
        <v>FIP Engineering</v>
      </c>
      <c r="O3121" s="6" t="str">
        <f>IFERROR(__xludf.DUMMYFUNCTION("""COMPUTED_VALUE"""),"FIP-DOM-ENG-51404-0000000-INA-000000")</f>
        <v>FIP-DOM-ENG-51404-0000000-INA-000000</v>
      </c>
      <c r="P3121" s="6" t="str">
        <f>IFERROR(__xludf.DUMMYFUNCTION("""COMPUTED_VALUE"""),"PO Closed")</f>
        <v>PO Closed</v>
      </c>
      <c r="Q3121" s="6" t="str">
        <f>IFERROR(__xludf.DUMMYFUNCTION("""COMPUTED_VALUE"""),"GL2404018")</f>
        <v>GL2404018</v>
      </c>
      <c r="R3121" s="57">
        <f>IFERROR(__xludf.DUMMYFUNCTION("""COMPUTED_VALUE"""),45379.0)</f>
        <v>45379</v>
      </c>
      <c r="S3121" s="57">
        <f>IFERROR(__xludf.DUMMYFUNCTION("""COMPUTED_VALUE"""),45386.0)</f>
        <v>45386</v>
      </c>
      <c r="T3121" s="57">
        <f>IFERROR(__xludf.DUMMYFUNCTION("""COMPUTED_VALUE"""),45381.0)</f>
        <v>45381</v>
      </c>
    </row>
    <row r="3122">
      <c r="A3122" s="6" t="str">
        <f>IFERROR(__xludf.DUMMYFUNCTION("""COMPUTED_VALUE"""),"121701334-2")</f>
        <v>121701334-2</v>
      </c>
      <c r="B3122" s="6" t="str">
        <f>IFERROR(__xludf.DUMMYFUNCTION("""COMPUTED_VALUE"""),"121701334 - APPROVED")</f>
        <v>121701334 - APPROVED</v>
      </c>
      <c r="C3122" s="6">
        <f>IFERROR(__xludf.DUMMYFUNCTION("""COMPUTED_VALUE"""),2.0)</f>
        <v>2</v>
      </c>
      <c r="D3122" s="6" t="str">
        <f>IFERROR(__xludf.DUMMYFUNCTION("""COMPUTED_VALUE"""),"Q-10377-00")</f>
        <v>Q-10377-00</v>
      </c>
      <c r="E3122" s="6" t="str">
        <f>IFERROR(__xludf.DUMMYFUNCTION("""COMPUTED_VALUE"""),"Door Seal Brush PVC Hitam Ukuran 100 x 2,5 cm; No Brand; ; pack size per pcs")</f>
        <v>Door Seal Brush PVC Hitam Ukuran 100 x 2,5 cm; No Brand; ; pack size per pcs</v>
      </c>
      <c r="F3122" s="6">
        <f>IFERROR(__xludf.DUMMYFUNCTION("""COMPUTED_VALUE"""),5.0)</f>
        <v>5</v>
      </c>
      <c r="G3122" s="6" t="str">
        <f>IFERROR(__xludf.DUMMYFUNCTION("""COMPUTED_VALUE"""),"Pieces")</f>
        <v>Pieces</v>
      </c>
      <c r="H3122" s="6" t="str">
        <f>IFERROR(__xludf.DUMMYFUNCTION("""COMPUTED_VALUE"""),"IDR")</f>
        <v>IDR</v>
      </c>
      <c r="I3122" s="6">
        <f>IFERROR(__xludf.DUMMYFUNCTION("""COMPUTED_VALUE"""),69500.0)</f>
        <v>69500</v>
      </c>
      <c r="J3122" s="6">
        <f>IFERROR(__xludf.DUMMYFUNCTION("""COMPUTED_VALUE"""),347500.0)</f>
        <v>347500</v>
      </c>
      <c r="K3122" s="57">
        <f>IFERROR(__xludf.DUMMYFUNCTION("""COMPUTED_VALUE"""),45381.0)</f>
        <v>45381</v>
      </c>
      <c r="L3122" s="6" t="str">
        <f>IFERROR(__xludf.DUMMYFUNCTION("""COMPUTED_VALUE"""),"FIP Engineering")</f>
        <v>FIP Engineering</v>
      </c>
      <c r="M3122" s="6" t="str">
        <f>IFERROR(__xludf.DUMMYFUNCTION("""COMPUTED_VALUE"""),"Mochammad Fadhillah Hakim,")</f>
        <v>Mochammad Fadhillah Hakim,</v>
      </c>
      <c r="N3122" s="6" t="str">
        <f>IFERROR(__xludf.DUMMYFUNCTION("""COMPUTED_VALUE"""),"FIP Engineering")</f>
        <v>FIP Engineering</v>
      </c>
      <c r="O3122" s="6" t="str">
        <f>IFERROR(__xludf.DUMMYFUNCTION("""COMPUTED_VALUE"""),"FIP-DOM-000-11304-OS00001-INA-000000")</f>
        <v>FIP-DOM-000-11304-OS00001-INA-000000</v>
      </c>
      <c r="P3122" s="6" t="str">
        <f>IFERROR(__xludf.DUMMYFUNCTION("""COMPUTED_VALUE"""),"PO Closed")</f>
        <v>PO Closed</v>
      </c>
      <c r="Q3122" s="6" t="str">
        <f>IFERROR(__xludf.DUMMYFUNCTION("""COMPUTED_VALUE"""),"GL2404346")</f>
        <v>GL2404346</v>
      </c>
      <c r="R3122" s="57">
        <f>IFERROR(__xludf.DUMMYFUNCTION("""COMPUTED_VALUE"""),45379.0)</f>
        <v>45379</v>
      </c>
      <c r="S3122" s="57">
        <f>IFERROR(__xludf.DUMMYFUNCTION("""COMPUTED_VALUE"""),45386.0)</f>
        <v>45386</v>
      </c>
      <c r="T3122" s="57">
        <f>IFERROR(__xludf.DUMMYFUNCTION("""COMPUTED_VALUE"""),45427.0)</f>
        <v>45427</v>
      </c>
    </row>
    <row r="3123">
      <c r="A3123" s="6" t="str">
        <f>IFERROR(__xludf.DUMMYFUNCTION("""COMPUTED_VALUE"""),"121701334-3")</f>
        <v>121701334-3</v>
      </c>
      <c r="B3123" s="6" t="str">
        <f>IFERROR(__xludf.DUMMYFUNCTION("""COMPUTED_VALUE"""),"121701334 - APPROVED")</f>
        <v>121701334 - APPROVED</v>
      </c>
      <c r="C3123" s="6">
        <f>IFERROR(__xludf.DUMMYFUNCTION("""COMPUTED_VALUE"""),3.0)</f>
        <v>3</v>
      </c>
      <c r="D3123" s="6" t="str">
        <f>IFERROR(__xludf.DUMMYFUNCTION("""COMPUTED_VALUE"""),"Q-10429-00")</f>
        <v>Q-10429-00</v>
      </c>
      <c r="E3123" s="6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F3123" s="6">
        <f>IFERROR(__xludf.DUMMYFUNCTION("""COMPUTED_VALUE"""),3.0)</f>
        <v>3</v>
      </c>
      <c r="G3123" s="6" t="str">
        <f>IFERROR(__xludf.DUMMYFUNCTION("""COMPUTED_VALUE"""),"Pieces")</f>
        <v>Pieces</v>
      </c>
      <c r="H3123" s="6" t="str">
        <f>IFERROR(__xludf.DUMMYFUNCTION("""COMPUTED_VALUE"""),"IDR")</f>
        <v>IDR</v>
      </c>
      <c r="I3123" s="6">
        <f>IFERROR(__xludf.DUMMYFUNCTION("""COMPUTED_VALUE"""),38000.0)</f>
        <v>38000</v>
      </c>
      <c r="J3123" s="6">
        <f>IFERROR(__xludf.DUMMYFUNCTION("""COMPUTED_VALUE"""),114000.0)</f>
        <v>114000</v>
      </c>
      <c r="K3123" s="57">
        <f>IFERROR(__xludf.DUMMYFUNCTION("""COMPUTED_VALUE"""),45381.0)</f>
        <v>45381</v>
      </c>
      <c r="L3123" s="6" t="str">
        <f>IFERROR(__xludf.DUMMYFUNCTION("""COMPUTED_VALUE"""),"FIP Engineering")</f>
        <v>FIP Engineering</v>
      </c>
      <c r="M3123" s="6" t="str">
        <f>IFERROR(__xludf.DUMMYFUNCTION("""COMPUTED_VALUE"""),"Mochammad Fadhillah Hakim,")</f>
        <v>Mochammad Fadhillah Hakim,</v>
      </c>
      <c r="N3123" s="6" t="str">
        <f>IFERROR(__xludf.DUMMYFUNCTION("""COMPUTED_VALUE"""),"FIP Engineering")</f>
        <v>FIP Engineering</v>
      </c>
      <c r="O3123" s="6" t="str">
        <f>IFERROR(__xludf.DUMMYFUNCTION("""COMPUTED_VALUE"""),"FIP-DOM-000-11304-OS00001-INA-000000")</f>
        <v>FIP-DOM-000-11304-OS00001-INA-000000</v>
      </c>
      <c r="P3123" s="6" t="str">
        <f>IFERROR(__xludf.DUMMYFUNCTION("""COMPUTED_VALUE"""),"PO Closed")</f>
        <v>PO Closed</v>
      </c>
      <c r="Q3123" s="6" t="str">
        <f>IFERROR(__xludf.DUMMYFUNCTION("""COMPUTED_VALUE"""),"GL2404346")</f>
        <v>GL2404346</v>
      </c>
      <c r="R3123" s="57">
        <f>IFERROR(__xludf.DUMMYFUNCTION("""COMPUTED_VALUE"""),45379.0)</f>
        <v>45379</v>
      </c>
      <c r="S3123" s="57">
        <f>IFERROR(__xludf.DUMMYFUNCTION("""COMPUTED_VALUE"""),45386.0)</f>
        <v>45386</v>
      </c>
      <c r="T3123" s="57">
        <f>IFERROR(__xludf.DUMMYFUNCTION("""COMPUTED_VALUE"""),45427.0)</f>
        <v>45427</v>
      </c>
    </row>
    <row r="3124">
      <c r="A3124" s="6" t="str">
        <f>IFERROR(__xludf.DUMMYFUNCTION("""COMPUTED_VALUE"""),"121701334-4")</f>
        <v>121701334-4</v>
      </c>
      <c r="B3124" s="6" t="str">
        <f>IFERROR(__xludf.DUMMYFUNCTION("""COMPUTED_VALUE"""),"121701334 - APPROVED")</f>
        <v>121701334 - APPROVED</v>
      </c>
      <c r="C3124" s="6">
        <f>IFERROR(__xludf.DUMMYFUNCTION("""COMPUTED_VALUE"""),4.0)</f>
        <v>4</v>
      </c>
      <c r="D3124" s="6" t="str">
        <f>IFERROR(__xludf.DUMMYFUNCTION("""COMPUTED_VALUE"""),"Q-70096-00")</f>
        <v>Q-70096-00</v>
      </c>
      <c r="E3124" s="6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F3124" s="6">
        <f>IFERROR(__xludf.DUMMYFUNCTION("""COMPUTED_VALUE"""),1.0)</f>
        <v>1</v>
      </c>
      <c r="G3124" s="6" t="str">
        <f>IFERROR(__xludf.DUMMYFUNCTION("""COMPUTED_VALUE"""),"Pieces")</f>
        <v>Pieces</v>
      </c>
      <c r="H3124" s="6" t="str">
        <f>IFERROR(__xludf.DUMMYFUNCTION("""COMPUTED_VALUE"""),"IDR")</f>
        <v>IDR</v>
      </c>
      <c r="I3124" s="6">
        <f>IFERROR(__xludf.DUMMYFUNCTION("""COMPUTED_VALUE"""),217000.0)</f>
        <v>217000</v>
      </c>
      <c r="J3124" s="6">
        <f>IFERROR(__xludf.DUMMYFUNCTION("""COMPUTED_VALUE"""),217000.0)</f>
        <v>217000</v>
      </c>
      <c r="K3124" s="57">
        <f>IFERROR(__xludf.DUMMYFUNCTION("""COMPUTED_VALUE"""),45381.0)</f>
        <v>45381</v>
      </c>
      <c r="L3124" s="6" t="str">
        <f>IFERROR(__xludf.DUMMYFUNCTION("""COMPUTED_VALUE"""),"FIP General")</f>
        <v>FIP General</v>
      </c>
      <c r="M3124" s="6" t="str">
        <f>IFERROR(__xludf.DUMMYFUNCTION("""COMPUTED_VALUE"""),"Mochammad Fadhillah Hakim,")</f>
        <v>Mochammad Fadhillah Hakim,</v>
      </c>
      <c r="N3124" s="6" t="str">
        <f>IFERROR(__xludf.DUMMYFUNCTION("""COMPUTED_VALUE"""),"FIP Engineering")</f>
        <v>FIP Engineering</v>
      </c>
      <c r="O3124" s="6" t="str">
        <f>IFERROR(__xludf.DUMMYFUNCTION("""COMPUTED_VALUE"""),"FIP-DOM-ENG-51404-0000000-INA-000000")</f>
        <v>FIP-DOM-ENG-51404-0000000-INA-000000</v>
      </c>
      <c r="P3124" s="6" t="str">
        <f>IFERROR(__xludf.DUMMYFUNCTION("""COMPUTED_VALUE"""),"PO Closed")</f>
        <v>PO Closed</v>
      </c>
      <c r="Q3124" s="6" t="str">
        <f>IFERROR(__xludf.DUMMYFUNCTION("""COMPUTED_VALUE"""),"GL2404018")</f>
        <v>GL2404018</v>
      </c>
      <c r="R3124" s="57">
        <f>IFERROR(__xludf.DUMMYFUNCTION("""COMPUTED_VALUE"""),45379.0)</f>
        <v>45379</v>
      </c>
      <c r="S3124" s="57">
        <f>IFERROR(__xludf.DUMMYFUNCTION("""COMPUTED_VALUE"""),45386.0)</f>
        <v>45386</v>
      </c>
      <c r="T3124" s="57">
        <f>IFERROR(__xludf.DUMMYFUNCTION("""COMPUTED_VALUE"""),45425.0)</f>
        <v>45425</v>
      </c>
    </row>
    <row r="3125">
      <c r="A3125" s="6" t="str">
        <f>IFERROR(__xludf.DUMMYFUNCTION("""COMPUTED_VALUE"""),"121701334-5")</f>
        <v>121701334-5</v>
      </c>
      <c r="B3125" s="6" t="str">
        <f>IFERROR(__xludf.DUMMYFUNCTION("""COMPUTED_VALUE"""),"121701334 - APPROVED")</f>
        <v>121701334 - APPROVED</v>
      </c>
      <c r="C3125" s="6">
        <f>IFERROR(__xludf.DUMMYFUNCTION("""COMPUTED_VALUE"""),5.0)</f>
        <v>5</v>
      </c>
      <c r="D3125" s="6" t="str">
        <f>IFERROR(__xludf.DUMMYFUNCTION("""COMPUTED_VALUE"""),"P-19114-00")</f>
        <v>P-19114-00</v>
      </c>
      <c r="E3125" s="6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F3125" s="6">
        <f>IFERROR(__xludf.DUMMYFUNCTION("""COMPUTED_VALUE"""),1.0)</f>
        <v>1</v>
      </c>
      <c r="G3125" s="6" t="str">
        <f>IFERROR(__xludf.DUMMYFUNCTION("""COMPUTED_VALUE"""),"Set")</f>
        <v>Set</v>
      </c>
      <c r="H3125" s="6" t="str">
        <f>IFERROR(__xludf.DUMMYFUNCTION("""COMPUTED_VALUE"""),"IDR")</f>
        <v>IDR</v>
      </c>
      <c r="I3125" s="6">
        <f>IFERROR(__xludf.DUMMYFUNCTION("""COMPUTED_VALUE"""),2925000.0)</f>
        <v>2925000</v>
      </c>
      <c r="J3125" s="6">
        <f>IFERROR(__xludf.DUMMYFUNCTION("""COMPUTED_VALUE"""),2925000.0)</f>
        <v>2925000</v>
      </c>
      <c r="K3125" s="57">
        <f>IFERROR(__xludf.DUMMYFUNCTION("""COMPUTED_VALUE"""),45381.0)</f>
        <v>45381</v>
      </c>
      <c r="L3125" s="6" t="str">
        <f>IFERROR(__xludf.DUMMYFUNCTION("""COMPUTED_VALUE"""),"FIP General")</f>
        <v>FIP General</v>
      </c>
      <c r="M3125" s="6" t="str">
        <f>IFERROR(__xludf.DUMMYFUNCTION("""COMPUTED_VALUE"""),"Mochammad Fadhillah Hakim,")</f>
        <v>Mochammad Fadhillah Hakim,</v>
      </c>
      <c r="N3125" s="6" t="str">
        <f>IFERROR(__xludf.DUMMYFUNCTION("""COMPUTED_VALUE"""),"FIP Engineering")</f>
        <v>FIP Engineering</v>
      </c>
      <c r="O3125" s="6" t="str">
        <f>IFERROR(__xludf.DUMMYFUNCTION("""COMPUTED_VALUE"""),"FIP-DOM-ENG-51404-0000000-INA-000000")</f>
        <v>FIP-DOM-ENG-51404-0000000-INA-000000</v>
      </c>
      <c r="P3125" s="6" t="str">
        <f>IFERROR(__xludf.DUMMYFUNCTION("""COMPUTED_VALUE"""),"PO Closed")</f>
        <v>PO Closed</v>
      </c>
      <c r="Q3125" s="6" t="str">
        <f>IFERROR(__xludf.DUMMYFUNCTION("""COMPUTED_VALUE"""),"GL2405058")</f>
        <v>GL2405058</v>
      </c>
      <c r="R3125" s="57">
        <f>IFERROR(__xludf.DUMMYFUNCTION("""COMPUTED_VALUE"""),45379.0)</f>
        <v>45379</v>
      </c>
      <c r="S3125" s="57">
        <f>IFERROR(__xludf.DUMMYFUNCTION("""COMPUTED_VALUE"""),45386.0)</f>
        <v>45386</v>
      </c>
      <c r="T3125" s="57">
        <f>IFERROR(__xludf.DUMMYFUNCTION("""COMPUTED_VALUE"""),45450.0)</f>
        <v>45450</v>
      </c>
    </row>
    <row r="3126">
      <c r="A3126" s="6" t="str">
        <f>IFERROR(__xludf.DUMMYFUNCTION("""COMPUTED_VALUE"""),"121701334-6")</f>
        <v>121701334-6</v>
      </c>
      <c r="B3126" s="6" t="str">
        <f>IFERROR(__xludf.DUMMYFUNCTION("""COMPUTED_VALUE"""),"121701334 - APPROVED")</f>
        <v>121701334 - APPROVED</v>
      </c>
      <c r="C3126" s="6">
        <f>IFERROR(__xludf.DUMMYFUNCTION("""COMPUTED_VALUE"""),6.0)</f>
        <v>6</v>
      </c>
      <c r="D3126" s="6" t="str">
        <f>IFERROR(__xludf.DUMMYFUNCTION("""COMPUTED_VALUE"""),"Q-70097-00")</f>
        <v>Q-70097-00</v>
      </c>
      <c r="E3126" s="6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F3126" s="6">
        <f>IFERROR(__xludf.DUMMYFUNCTION("""COMPUTED_VALUE"""),1.0)</f>
        <v>1</v>
      </c>
      <c r="G3126" s="6" t="str">
        <f>IFERROR(__xludf.DUMMYFUNCTION("""COMPUTED_VALUE"""),"Set")</f>
        <v>Set</v>
      </c>
      <c r="H3126" s="6" t="str">
        <f>IFERROR(__xludf.DUMMYFUNCTION("""COMPUTED_VALUE"""),"IDR")</f>
        <v>IDR</v>
      </c>
      <c r="I3126" s="6">
        <f>IFERROR(__xludf.DUMMYFUNCTION("""COMPUTED_VALUE"""),935000.0)</f>
        <v>935000</v>
      </c>
      <c r="J3126" s="6">
        <f>IFERROR(__xludf.DUMMYFUNCTION("""COMPUTED_VALUE"""),935000.0)</f>
        <v>935000</v>
      </c>
      <c r="K3126" s="57">
        <f>IFERROR(__xludf.DUMMYFUNCTION("""COMPUTED_VALUE"""),45381.0)</f>
        <v>45381</v>
      </c>
      <c r="L3126" s="6" t="str">
        <f>IFERROR(__xludf.DUMMYFUNCTION("""COMPUTED_VALUE"""),"FIP General")</f>
        <v>FIP General</v>
      </c>
      <c r="M3126" s="6" t="str">
        <f>IFERROR(__xludf.DUMMYFUNCTION("""COMPUTED_VALUE"""),"Mochammad Fadhillah Hakim,")</f>
        <v>Mochammad Fadhillah Hakim,</v>
      </c>
      <c r="N3126" s="6" t="str">
        <f>IFERROR(__xludf.DUMMYFUNCTION("""COMPUTED_VALUE"""),"FIP Engineering")</f>
        <v>FIP Engineering</v>
      </c>
      <c r="O3126" s="6" t="str">
        <f>IFERROR(__xludf.DUMMYFUNCTION("""COMPUTED_VALUE"""),"FIP-DOM-ENG-51404-0000000-INA-000000")</f>
        <v>FIP-DOM-ENG-51404-0000000-INA-000000</v>
      </c>
      <c r="P3126" s="6" t="str">
        <f>IFERROR(__xludf.DUMMYFUNCTION("""COMPUTED_VALUE"""),"PO Closed")</f>
        <v>PO Closed</v>
      </c>
      <c r="Q3126" s="6" t="str">
        <f>IFERROR(__xludf.DUMMYFUNCTION("""COMPUTED_VALUE"""),"GL2404346")</f>
        <v>GL2404346</v>
      </c>
      <c r="R3126" s="57">
        <f>IFERROR(__xludf.DUMMYFUNCTION("""COMPUTED_VALUE"""),45379.0)</f>
        <v>45379</v>
      </c>
      <c r="S3126" s="57">
        <f>IFERROR(__xludf.DUMMYFUNCTION("""COMPUTED_VALUE"""),45386.0)</f>
        <v>45386</v>
      </c>
      <c r="T3126" s="57">
        <f>IFERROR(__xludf.DUMMYFUNCTION("""COMPUTED_VALUE"""),45427.0)</f>
        <v>45427</v>
      </c>
    </row>
    <row r="3127">
      <c r="A3127" s="6" t="str">
        <f>IFERROR(__xludf.DUMMYFUNCTION("""COMPUTED_VALUE"""),"121701334-7")</f>
        <v>121701334-7</v>
      </c>
      <c r="B3127" s="6" t="str">
        <f>IFERROR(__xludf.DUMMYFUNCTION("""COMPUTED_VALUE"""),"121701334 - APPROVED")</f>
        <v>121701334 - APPROVED</v>
      </c>
      <c r="C3127" s="6">
        <f>IFERROR(__xludf.DUMMYFUNCTION("""COMPUTED_VALUE"""),7.0)</f>
        <v>7</v>
      </c>
      <c r="D3127" s="6" t="str">
        <f>IFERROR(__xludf.DUMMYFUNCTION("""COMPUTED_VALUE"""),"Q-70098-00")</f>
        <v>Q-70098-00</v>
      </c>
      <c r="E3127" s="6" t="str">
        <f>IFERROR(__xludf.DUMMYFUNCTION("""COMPUTED_VALUE"""),"Kunci Torsi Momen 20-120 Nm; Lakoni; 800422; pack size per set")</f>
        <v>Kunci Torsi Momen 20-120 Nm; Lakoni; 800422; pack size per set</v>
      </c>
      <c r="F3127" s="6">
        <f>IFERROR(__xludf.DUMMYFUNCTION("""COMPUTED_VALUE"""),1.0)</f>
        <v>1</v>
      </c>
      <c r="G3127" s="6" t="str">
        <f>IFERROR(__xludf.DUMMYFUNCTION("""COMPUTED_VALUE"""),"Set")</f>
        <v>Set</v>
      </c>
      <c r="H3127" s="6" t="str">
        <f>IFERROR(__xludf.DUMMYFUNCTION("""COMPUTED_VALUE"""),"IDR")</f>
        <v>IDR</v>
      </c>
      <c r="I3127" s="6">
        <f>IFERROR(__xludf.DUMMYFUNCTION("""COMPUTED_VALUE"""),725000.0)</f>
        <v>725000</v>
      </c>
      <c r="J3127" s="6">
        <f>IFERROR(__xludf.DUMMYFUNCTION("""COMPUTED_VALUE"""),725000.0)</f>
        <v>725000</v>
      </c>
      <c r="K3127" s="57">
        <f>IFERROR(__xludf.DUMMYFUNCTION("""COMPUTED_VALUE"""),45381.0)</f>
        <v>45381</v>
      </c>
      <c r="L3127" s="6" t="str">
        <f>IFERROR(__xludf.DUMMYFUNCTION("""COMPUTED_VALUE"""),"FIP General")</f>
        <v>FIP General</v>
      </c>
      <c r="M3127" s="6" t="str">
        <f>IFERROR(__xludf.DUMMYFUNCTION("""COMPUTED_VALUE"""),"Mochammad Fadhillah Hakim,")</f>
        <v>Mochammad Fadhillah Hakim,</v>
      </c>
      <c r="N3127" s="6" t="str">
        <f>IFERROR(__xludf.DUMMYFUNCTION("""COMPUTED_VALUE"""),"FIP Engineering")</f>
        <v>FIP Engineering</v>
      </c>
      <c r="O3127" s="6" t="str">
        <f>IFERROR(__xludf.DUMMYFUNCTION("""COMPUTED_VALUE"""),"FIP-DOM-ENG-51404-0000000-INA-000000")</f>
        <v>FIP-DOM-ENG-51404-0000000-INA-000000</v>
      </c>
      <c r="P3127" s="6" t="str">
        <f>IFERROR(__xludf.DUMMYFUNCTION("""COMPUTED_VALUE"""),"PO Closed")</f>
        <v>PO Closed</v>
      </c>
      <c r="Q3127" s="6" t="str">
        <f>IFERROR(__xludf.DUMMYFUNCTION("""COMPUTED_VALUE"""),"GL2404346")</f>
        <v>GL2404346</v>
      </c>
      <c r="R3127" s="57">
        <f>IFERROR(__xludf.DUMMYFUNCTION("""COMPUTED_VALUE"""),45379.0)</f>
        <v>45379</v>
      </c>
      <c r="S3127" s="57">
        <f>IFERROR(__xludf.DUMMYFUNCTION("""COMPUTED_VALUE"""),45386.0)</f>
        <v>45386</v>
      </c>
      <c r="T3127" s="57">
        <f>IFERROR(__xludf.DUMMYFUNCTION("""COMPUTED_VALUE"""),45427.0)</f>
        <v>45427</v>
      </c>
    </row>
    <row r="3128">
      <c r="A3128" s="6" t="str">
        <f>IFERROR(__xludf.DUMMYFUNCTION("""COMPUTED_VALUE"""),"121701334-8")</f>
        <v>121701334-8</v>
      </c>
      <c r="B3128" s="6" t="str">
        <f>IFERROR(__xludf.DUMMYFUNCTION("""COMPUTED_VALUE"""),"121701334 - APPROVED")</f>
        <v>121701334 - APPROVED</v>
      </c>
      <c r="C3128" s="6">
        <f>IFERROR(__xludf.DUMMYFUNCTION("""COMPUTED_VALUE"""),8.0)</f>
        <v>8</v>
      </c>
      <c r="D3128" s="6" t="str">
        <f>IFERROR(__xludf.DUMMYFUNCTION("""COMPUTED_VALUE"""),"Q-10845-00")</f>
        <v>Q-10845-00</v>
      </c>
      <c r="E3128" s="6" t="str">
        <f>IFERROR(__xludf.DUMMYFUNCTION("""COMPUTED_VALUE"""),"Fitting Lampu Bholam E27; ; ; pcs")</f>
        <v>Fitting Lampu Bholam E27; ; ; pcs</v>
      </c>
      <c r="F3128" s="6">
        <f>IFERROR(__xludf.DUMMYFUNCTION("""COMPUTED_VALUE"""),10.0)</f>
        <v>10</v>
      </c>
      <c r="G3128" s="6" t="str">
        <f>IFERROR(__xludf.DUMMYFUNCTION("""COMPUTED_VALUE"""),"Pieces")</f>
        <v>Pieces</v>
      </c>
      <c r="H3128" s="6" t="str">
        <f>IFERROR(__xludf.DUMMYFUNCTION("""COMPUTED_VALUE"""),"IDR")</f>
        <v>IDR</v>
      </c>
      <c r="I3128" s="6">
        <f>IFERROR(__xludf.DUMMYFUNCTION("""COMPUTED_VALUE"""),20000.0)</f>
        <v>20000</v>
      </c>
      <c r="J3128" s="6">
        <f>IFERROR(__xludf.DUMMYFUNCTION("""COMPUTED_VALUE"""),200000.0)</f>
        <v>200000</v>
      </c>
      <c r="K3128" s="57">
        <f>IFERROR(__xludf.DUMMYFUNCTION("""COMPUTED_VALUE"""),45381.0)</f>
        <v>45381</v>
      </c>
      <c r="L3128" s="6" t="str">
        <f>IFERROR(__xludf.DUMMYFUNCTION("""COMPUTED_VALUE"""),"FIP Engineering")</f>
        <v>FIP Engineering</v>
      </c>
      <c r="M3128" s="6" t="str">
        <f>IFERROR(__xludf.DUMMYFUNCTION("""COMPUTED_VALUE"""),"Mochammad Fadhillah Hakim,")</f>
        <v>Mochammad Fadhillah Hakim,</v>
      </c>
      <c r="N3128" s="6" t="str">
        <f>IFERROR(__xludf.DUMMYFUNCTION("""COMPUTED_VALUE"""),"FIP Engineering")</f>
        <v>FIP Engineering</v>
      </c>
      <c r="O3128" s="6" t="str">
        <f>IFERROR(__xludf.DUMMYFUNCTION("""COMPUTED_VALUE"""),"FIP-DOM-000-11304-OS00001-INA-000000")</f>
        <v>FIP-DOM-000-11304-OS00001-INA-000000</v>
      </c>
      <c r="P3128" s="6" t="str">
        <f>IFERROR(__xludf.DUMMYFUNCTION("""COMPUTED_VALUE"""),"PO Closed")</f>
        <v>PO Closed</v>
      </c>
      <c r="Q3128" s="6" t="str">
        <f>IFERROR(__xludf.DUMMYFUNCTION("""COMPUTED_VALUE"""),"GL2404346")</f>
        <v>GL2404346</v>
      </c>
      <c r="R3128" s="57">
        <f>IFERROR(__xludf.DUMMYFUNCTION("""COMPUTED_VALUE"""),45379.0)</f>
        <v>45379</v>
      </c>
      <c r="S3128" s="57">
        <f>IFERROR(__xludf.DUMMYFUNCTION("""COMPUTED_VALUE"""),45386.0)</f>
        <v>45386</v>
      </c>
      <c r="T3128" s="57">
        <f>IFERROR(__xludf.DUMMYFUNCTION("""COMPUTED_VALUE"""),45427.0)</f>
        <v>45427</v>
      </c>
    </row>
    <row r="3129">
      <c r="A3129" s="6" t="str">
        <f>IFERROR(__xludf.DUMMYFUNCTION("""COMPUTED_VALUE"""),"121701334-9")</f>
        <v>121701334-9</v>
      </c>
      <c r="B3129" s="6" t="str">
        <f>IFERROR(__xludf.DUMMYFUNCTION("""COMPUTED_VALUE"""),"121701334 - APPROVED")</f>
        <v>121701334 - APPROVED</v>
      </c>
      <c r="C3129" s="6">
        <f>IFERROR(__xludf.DUMMYFUNCTION("""COMPUTED_VALUE"""),9.0)</f>
        <v>9</v>
      </c>
      <c r="D3129" s="6" t="str">
        <f>IFERROR(__xludf.DUMMYFUNCTION("""COMPUTED_VALUE"""),"O-50863-00")</f>
        <v>O-50863-00</v>
      </c>
      <c r="E3129" s="6" t="str">
        <f>IFERROR(__xludf.DUMMYFUNCTION("""COMPUTED_VALUE"""),"Relay/MY4N/220-240 VAC Omron; ; ;")</f>
        <v>Relay/MY4N/220-240 VAC Omron; ; ;</v>
      </c>
      <c r="F3129" s="6">
        <f>IFERROR(__xludf.DUMMYFUNCTION("""COMPUTED_VALUE"""),10.0)</f>
        <v>10</v>
      </c>
      <c r="G3129" s="6" t="str">
        <f>IFERROR(__xludf.DUMMYFUNCTION("""COMPUTED_VALUE"""),"Pieces")</f>
        <v>Pieces</v>
      </c>
      <c r="H3129" s="6" t="str">
        <f>IFERROR(__xludf.DUMMYFUNCTION("""COMPUTED_VALUE"""),"IDR")</f>
        <v>IDR</v>
      </c>
      <c r="I3129" s="6">
        <f>IFERROR(__xludf.DUMMYFUNCTION("""COMPUTED_VALUE"""),70000.0)</f>
        <v>70000</v>
      </c>
      <c r="J3129" s="6">
        <f>IFERROR(__xludf.DUMMYFUNCTION("""COMPUTED_VALUE"""),700000.0)</f>
        <v>700000</v>
      </c>
      <c r="K3129" s="57">
        <f>IFERROR(__xludf.DUMMYFUNCTION("""COMPUTED_VALUE"""),45381.0)</f>
        <v>45381</v>
      </c>
      <c r="L3129" s="6" t="str">
        <f>IFERROR(__xludf.DUMMYFUNCTION("""COMPUTED_VALUE"""),"FIP Engineering")</f>
        <v>FIP Engineering</v>
      </c>
      <c r="M3129" s="6" t="str">
        <f>IFERROR(__xludf.DUMMYFUNCTION("""COMPUTED_VALUE"""),"Mochammad Fadhillah Hakim,")</f>
        <v>Mochammad Fadhillah Hakim,</v>
      </c>
      <c r="N3129" s="6" t="str">
        <f>IFERROR(__xludf.DUMMYFUNCTION("""COMPUTED_VALUE"""),"FIP Engineering")</f>
        <v>FIP Engineering</v>
      </c>
      <c r="O3129" s="6" t="str">
        <f>IFERROR(__xludf.DUMMYFUNCTION("""COMPUTED_VALUE"""),"FIP-DOM-000-11304-OS00001-INA-000000")</f>
        <v>FIP-DOM-000-11304-OS00001-INA-000000</v>
      </c>
      <c r="P3129" s="6" t="str">
        <f>IFERROR(__xludf.DUMMYFUNCTION("""COMPUTED_VALUE"""),"PO Closed")</f>
        <v>PO Closed</v>
      </c>
      <c r="Q3129" s="6" t="str">
        <f>IFERROR(__xludf.DUMMYFUNCTION("""COMPUTED_VALUE"""),"GL2405014")</f>
        <v>GL2405014</v>
      </c>
      <c r="R3129" s="57">
        <f>IFERROR(__xludf.DUMMYFUNCTION("""COMPUTED_VALUE"""),45379.0)</f>
        <v>45379</v>
      </c>
      <c r="S3129" s="57">
        <f>IFERROR(__xludf.DUMMYFUNCTION("""COMPUTED_VALUE"""),45386.0)</f>
        <v>45386</v>
      </c>
      <c r="T3129" s="57">
        <f>IFERROR(__xludf.DUMMYFUNCTION("""COMPUTED_VALUE"""),45432.0)</f>
        <v>45432</v>
      </c>
    </row>
    <row r="3130">
      <c r="A3130" s="6" t="str">
        <f>IFERROR(__xludf.DUMMYFUNCTION("""COMPUTED_VALUE"""),"121701335-1")</f>
        <v>121701335-1</v>
      </c>
      <c r="B3130" s="6" t="str">
        <f>IFERROR(__xludf.DUMMYFUNCTION("""COMPUTED_VALUE"""),"121701335 - APPROVED")</f>
        <v>121701335 - APPROVED</v>
      </c>
      <c r="C3130" s="6">
        <f>IFERROR(__xludf.DUMMYFUNCTION("""COMPUTED_VALUE"""),1.0)</f>
        <v>1</v>
      </c>
      <c r="D3130" s="6" t="str">
        <f>IFERROR(__xludf.DUMMYFUNCTION("""COMPUTED_VALUE"""),"P-19028-00")</f>
        <v>P-19028-00</v>
      </c>
      <c r="E3130" s="6" t="str">
        <f>IFERROR(__xludf.DUMMYFUNCTION("""COMPUTED_VALUE"""),"Washable G4 Avg arrestance : 94%. Rec. Final resistance: 250 Pa. Size: 24"" x 24"" x 2""; IAF; ; pcs")</f>
        <v>Washable G4 Avg arrestance : 94%. Rec. Final resistance: 250 Pa. Size: 24" x 24" x 2"; IAF; ; pcs</v>
      </c>
      <c r="F3130" s="6">
        <f>IFERROR(__xludf.DUMMYFUNCTION("""COMPUTED_VALUE"""),20.0)</f>
        <v>20</v>
      </c>
      <c r="G3130" s="6" t="str">
        <f>IFERROR(__xludf.DUMMYFUNCTION("""COMPUTED_VALUE"""),"Pieces")</f>
        <v>Pieces</v>
      </c>
      <c r="H3130" s="6" t="str">
        <f>IFERROR(__xludf.DUMMYFUNCTION("""COMPUTED_VALUE"""),"IDR")</f>
        <v>IDR</v>
      </c>
      <c r="I3130" s="6">
        <f>IFERROR(__xludf.DUMMYFUNCTION("""COMPUTED_VALUE"""),450000.0)</f>
        <v>450000</v>
      </c>
      <c r="J3130" s="6">
        <f>IFERROR(__xludf.DUMMYFUNCTION("""COMPUTED_VALUE"""),9000000.0)</f>
        <v>9000000</v>
      </c>
      <c r="K3130" s="57">
        <f>IFERROR(__xludf.DUMMYFUNCTION("""COMPUTED_VALUE"""),45381.0)</f>
        <v>45381</v>
      </c>
      <c r="L3130" s="6" t="str">
        <f>IFERROR(__xludf.DUMMYFUNCTION("""COMPUTED_VALUE"""),"FIP Engineering")</f>
        <v>FIP Engineering</v>
      </c>
      <c r="M3130" s="6" t="str">
        <f>IFERROR(__xludf.DUMMYFUNCTION("""COMPUTED_VALUE"""),"Mochammad Fadhillah Hakim,")</f>
        <v>Mochammad Fadhillah Hakim,</v>
      </c>
      <c r="N3130" s="6" t="str">
        <f>IFERROR(__xludf.DUMMYFUNCTION("""COMPUTED_VALUE"""),"FIP Engineering")</f>
        <v>FIP Engineering</v>
      </c>
      <c r="O3130" s="6" t="str">
        <f>IFERROR(__xludf.DUMMYFUNCTION("""COMPUTED_VALUE"""),"FIP-DOM-000-11304-OS00001-INA-000000")</f>
        <v>FIP-DOM-000-11304-OS00001-INA-000000</v>
      </c>
      <c r="P3130" s="6" t="str">
        <f>IFERROR(__xludf.DUMMYFUNCTION("""COMPUTED_VALUE"""),"PO Closed")</f>
        <v>PO Closed</v>
      </c>
      <c r="Q3130" s="6" t="str">
        <f>IFERROR(__xludf.DUMMYFUNCTION("""COMPUTED_VALUE"""),"GL2405057")</f>
        <v>GL2405057</v>
      </c>
      <c r="R3130" s="57">
        <f>IFERROR(__xludf.DUMMYFUNCTION("""COMPUTED_VALUE"""),45379.0)</f>
        <v>45379</v>
      </c>
      <c r="S3130" s="57">
        <f>IFERROR(__xludf.DUMMYFUNCTION("""COMPUTED_VALUE"""),45386.0)</f>
        <v>45386</v>
      </c>
      <c r="T3130" s="57">
        <f>IFERROR(__xludf.DUMMYFUNCTION("""COMPUTED_VALUE"""),45463.0)</f>
        <v>45463</v>
      </c>
    </row>
    <row r="3131">
      <c r="A3131" s="6" t="str">
        <f>IFERROR(__xludf.DUMMYFUNCTION("""COMPUTED_VALUE"""),"121701335-2")</f>
        <v>121701335-2</v>
      </c>
      <c r="B3131" s="6" t="str">
        <f>IFERROR(__xludf.DUMMYFUNCTION("""COMPUTED_VALUE"""),"121701335 - APPROVED")</f>
        <v>121701335 - APPROVED</v>
      </c>
      <c r="C3131" s="6">
        <f>IFERROR(__xludf.DUMMYFUNCTION("""COMPUTED_VALUE"""),2.0)</f>
        <v>2</v>
      </c>
      <c r="D3131" s="6" t="str">
        <f>IFERROR(__xludf.DUMMYFUNCTION("""COMPUTED_VALUE"""),"P-19029-00")</f>
        <v>P-19029-00</v>
      </c>
      <c r="E3131" s="6" t="str">
        <f>IFERROR(__xludf.DUMMYFUNCTION("""COMPUTED_VALUE"""),"Washable G4 Avg arrestance : 94%. Rec. Final resistance: 250 Pa. Size: 12"" x 24"" x 2""; IAF; ; pcs")</f>
        <v>Washable G4 Avg arrestance : 94%. Rec. Final resistance: 250 Pa. Size: 12" x 24" x 2"; IAF; ; pcs</v>
      </c>
      <c r="F3131" s="6">
        <f>IFERROR(__xludf.DUMMYFUNCTION("""COMPUTED_VALUE"""),10.0)</f>
        <v>10</v>
      </c>
      <c r="G3131" s="6" t="str">
        <f>IFERROR(__xludf.DUMMYFUNCTION("""COMPUTED_VALUE"""),"Pieces")</f>
        <v>Pieces</v>
      </c>
      <c r="H3131" s="6" t="str">
        <f>IFERROR(__xludf.DUMMYFUNCTION("""COMPUTED_VALUE"""),"IDR")</f>
        <v>IDR</v>
      </c>
      <c r="I3131" s="6">
        <f>IFERROR(__xludf.DUMMYFUNCTION("""COMPUTED_VALUE"""),350000.0)</f>
        <v>350000</v>
      </c>
      <c r="J3131" s="6">
        <f>IFERROR(__xludf.DUMMYFUNCTION("""COMPUTED_VALUE"""),3500000.0)</f>
        <v>3500000</v>
      </c>
      <c r="K3131" s="57">
        <f>IFERROR(__xludf.DUMMYFUNCTION("""COMPUTED_VALUE"""),45381.0)</f>
        <v>45381</v>
      </c>
      <c r="L3131" s="6" t="str">
        <f>IFERROR(__xludf.DUMMYFUNCTION("""COMPUTED_VALUE"""),"FIP Engineering")</f>
        <v>FIP Engineering</v>
      </c>
      <c r="M3131" s="6" t="str">
        <f>IFERROR(__xludf.DUMMYFUNCTION("""COMPUTED_VALUE"""),"Mochammad Fadhillah Hakim,")</f>
        <v>Mochammad Fadhillah Hakim,</v>
      </c>
      <c r="N3131" s="6" t="str">
        <f>IFERROR(__xludf.DUMMYFUNCTION("""COMPUTED_VALUE"""),"FIP Engineering")</f>
        <v>FIP Engineering</v>
      </c>
      <c r="O3131" s="6" t="str">
        <f>IFERROR(__xludf.DUMMYFUNCTION("""COMPUTED_VALUE"""),"FIP-DOM-000-11304-OS00001-INA-000000")</f>
        <v>FIP-DOM-000-11304-OS00001-INA-000000</v>
      </c>
      <c r="P3131" s="6" t="str">
        <f>IFERROR(__xludf.DUMMYFUNCTION("""COMPUTED_VALUE"""),"PO Closed")</f>
        <v>PO Closed</v>
      </c>
      <c r="Q3131" s="6" t="str">
        <f>IFERROR(__xludf.DUMMYFUNCTION("""COMPUTED_VALUE"""),"GL2405057")</f>
        <v>GL2405057</v>
      </c>
      <c r="R3131" s="57">
        <f>IFERROR(__xludf.DUMMYFUNCTION("""COMPUTED_VALUE"""),45379.0)</f>
        <v>45379</v>
      </c>
      <c r="S3131" s="57">
        <f>IFERROR(__xludf.DUMMYFUNCTION("""COMPUTED_VALUE"""),45386.0)</f>
        <v>45386</v>
      </c>
      <c r="T3131" s="57">
        <f>IFERROR(__xludf.DUMMYFUNCTION("""COMPUTED_VALUE"""),45463.0)</f>
        <v>45463</v>
      </c>
    </row>
    <row r="3132">
      <c r="A3132" s="6" t="str">
        <f>IFERROR(__xludf.DUMMYFUNCTION("""COMPUTED_VALUE"""),"121701336-1")</f>
        <v>121701336-1</v>
      </c>
      <c r="B3132" s="6" t="str">
        <f>IFERROR(__xludf.DUMMYFUNCTION("""COMPUTED_VALUE"""),"121701336 - APPROVED")</f>
        <v>121701336 - APPROVED</v>
      </c>
      <c r="C3132" s="6">
        <f>IFERROR(__xludf.DUMMYFUNCTION("""COMPUTED_VALUE"""),1.0)</f>
        <v>1</v>
      </c>
      <c r="D3132" s="6" t="str">
        <f>IFERROR(__xludf.DUMMYFUNCTION("""COMPUTED_VALUE"""),"T-25454-00")</f>
        <v>T-25454-00</v>
      </c>
      <c r="E3132" s="6" t="str">
        <f>IFERROR(__xludf.DUMMYFUNCTION("""COMPUTED_VALUE"""),"Filter Flag, 2998, Classic; Waters; 700003767;")</f>
        <v>Filter Flag, 2998, Classic; Waters; 700003767;</v>
      </c>
      <c r="F3132" s="6">
        <f>IFERROR(__xludf.DUMMYFUNCTION("""COMPUTED_VALUE"""),1.0)</f>
        <v>1</v>
      </c>
      <c r="G3132" s="6" t="str">
        <f>IFERROR(__xludf.DUMMYFUNCTION("""COMPUTED_VALUE"""),"Pieces")</f>
        <v>Pieces</v>
      </c>
      <c r="H3132" s="6" t="str">
        <f>IFERROR(__xludf.DUMMYFUNCTION("""COMPUTED_VALUE"""),"IDR")</f>
        <v>IDR</v>
      </c>
      <c r="I3132" s="6">
        <f>IFERROR(__xludf.DUMMYFUNCTION("""COMPUTED_VALUE"""),1.2028E7)</f>
        <v>12028000</v>
      </c>
      <c r="J3132" s="6">
        <f>IFERROR(__xludf.DUMMYFUNCTION("""COMPUTED_VALUE"""),1.2028E7)</f>
        <v>12028000</v>
      </c>
      <c r="K3132" s="57">
        <f>IFERROR(__xludf.DUMMYFUNCTION("""COMPUTED_VALUE"""),45381.0)</f>
        <v>45381</v>
      </c>
      <c r="L3132" s="6" t="str">
        <f>IFERROR(__xludf.DUMMYFUNCTION("""COMPUTED_VALUE"""),"FIP General")</f>
        <v>FIP General</v>
      </c>
      <c r="M3132" s="6" t="str">
        <f>IFERROR(__xludf.DUMMYFUNCTION("""COMPUTED_VALUE"""),"Mochammad Fadhillah Hakim,")</f>
        <v>Mochammad Fadhillah Hakim,</v>
      </c>
      <c r="N3132" s="6" t="str">
        <f>IFERROR(__xludf.DUMMYFUNCTION("""COMPUTED_VALUE"""),"FIP Engineering")</f>
        <v>FIP Engineering</v>
      </c>
      <c r="O3132" s="6" t="str">
        <f>IFERROR(__xludf.DUMMYFUNCTION("""COMPUTED_VALUE"""),"FIP-DOM-ENG-51505-0000000-INA-000000")</f>
        <v>FIP-DOM-ENG-51505-0000000-INA-000000</v>
      </c>
      <c r="P3132" s="6" t="str">
        <f>IFERROR(__xludf.DUMMYFUNCTION("""COMPUTED_VALUE"""),"PO Closed")</f>
        <v>PO Closed</v>
      </c>
      <c r="Q3132" s="6" t="str">
        <f>IFERROR(__xludf.DUMMYFUNCTION("""COMPUTED_VALUE"""),"GL2406389")</f>
        <v>GL2406389</v>
      </c>
      <c r="R3132" s="57">
        <f>IFERROR(__xludf.DUMMYFUNCTION("""COMPUTED_VALUE"""),45379.0)</f>
        <v>45379</v>
      </c>
      <c r="S3132" s="57">
        <f>IFERROR(__xludf.DUMMYFUNCTION("""COMPUTED_VALUE"""),45419.0)</f>
        <v>45419</v>
      </c>
      <c r="T3132" s="57">
        <f>IFERROR(__xludf.DUMMYFUNCTION("""COMPUTED_VALUE"""),45506.0)</f>
        <v>45506</v>
      </c>
    </row>
    <row r="3133">
      <c r="A3133" s="6" t="str">
        <f>IFERROR(__xludf.DUMMYFUNCTION("""COMPUTED_VALUE"""),"121701361-1")</f>
        <v>121701361-1</v>
      </c>
      <c r="B3133" s="6" t="str">
        <f>IFERROR(__xludf.DUMMYFUNCTION("""COMPUTED_VALUE"""),"121701361 - APPROVED")</f>
        <v>121701361 - APPROVED</v>
      </c>
      <c r="C3133" s="6">
        <f>IFERROR(__xludf.DUMMYFUNCTION("""COMPUTED_VALUE"""),1.0)</f>
        <v>1</v>
      </c>
      <c r="D3133" s="6"/>
      <c r="E3133" s="6" t="str">
        <f>IFERROR(__xludf.DUMMYFUNCTION("""COMPUTED_VALUE"""),"Rak Besi Industri untuk FD")</f>
        <v>Rak Besi Industri untuk FD</v>
      </c>
      <c r="F3133" s="6">
        <f>IFERROR(__xludf.DUMMYFUNCTION("""COMPUTED_VALUE"""),1.0)</f>
        <v>1</v>
      </c>
      <c r="G3133" s="6" t="str">
        <f>IFERROR(__xludf.DUMMYFUNCTION("""COMPUTED_VALUE"""),"Set")</f>
        <v>Set</v>
      </c>
      <c r="H3133" s="6" t="str">
        <f>IFERROR(__xludf.DUMMYFUNCTION("""COMPUTED_VALUE"""),"IDR")</f>
        <v>IDR</v>
      </c>
      <c r="I3133" s="6">
        <f>IFERROR(__xludf.DUMMYFUNCTION("""COMPUTED_VALUE"""),3850000.0)</f>
        <v>3850000</v>
      </c>
      <c r="J3133" s="6">
        <f>IFERROR(__xludf.DUMMYFUNCTION("""COMPUTED_VALUE"""),3850000.0)</f>
        <v>3850000</v>
      </c>
      <c r="K3133" s="57">
        <f>IFERROR(__xludf.DUMMYFUNCTION("""COMPUTED_VALUE"""),45388.0)</f>
        <v>45388</v>
      </c>
      <c r="L3133" s="6" t="str">
        <f>IFERROR(__xludf.DUMMYFUNCTION("""COMPUTED_VALUE"""),"FIP General")</f>
        <v>FIP General</v>
      </c>
      <c r="M3133" s="6" t="str">
        <f>IFERROR(__xludf.DUMMYFUNCTION("""COMPUTED_VALUE"""),"Mochammad Fadhillah Hakim,")</f>
        <v>Mochammad Fadhillah Hakim,</v>
      </c>
      <c r="N3133" s="6" t="str">
        <f>IFERROR(__xludf.DUMMYFUNCTION("""COMPUTED_VALUE"""),"FIP Engineering")</f>
        <v>FIP Engineering</v>
      </c>
      <c r="O3133" s="6" t="str">
        <f>IFERROR(__xludf.DUMMYFUNCTION("""COMPUTED_VALUE"""),"FIP-DOM-ENG-13406-MC24018-INA-000000")</f>
        <v>FIP-DOM-ENG-13406-MC24018-INA-000000</v>
      </c>
      <c r="P3133" s="6" t="str">
        <f>IFERROR(__xludf.DUMMYFUNCTION("""COMPUTED_VALUE"""),"PO Closed")</f>
        <v>PO Closed</v>
      </c>
      <c r="Q3133" s="6" t="str">
        <f>IFERROR(__xludf.DUMMYFUNCTION("""COMPUTED_VALUE"""),"GL2404036")</f>
        <v>GL2404036</v>
      </c>
      <c r="R3133" s="57">
        <f>IFERROR(__xludf.DUMMYFUNCTION("""COMPUTED_VALUE"""),45386.0)</f>
        <v>45386</v>
      </c>
      <c r="S3133" s="57">
        <f>IFERROR(__xludf.DUMMYFUNCTION("""COMPUTED_VALUE"""),45386.0)</f>
        <v>45386</v>
      </c>
      <c r="T3133" s="57">
        <f>IFERROR(__xludf.DUMMYFUNCTION("""COMPUTED_VALUE"""),45426.0)</f>
        <v>45426</v>
      </c>
    </row>
    <row r="3134">
      <c r="A3134" s="6" t="str">
        <f>IFERROR(__xludf.DUMMYFUNCTION("""COMPUTED_VALUE"""),"121701375-1")</f>
        <v>121701375-1</v>
      </c>
      <c r="B3134" s="6" t="str">
        <f>IFERROR(__xludf.DUMMYFUNCTION("""COMPUTED_VALUE"""),"121701375 - APPROVED")</f>
        <v>121701375 - APPROVED</v>
      </c>
      <c r="C3134" s="6">
        <f>IFERROR(__xludf.DUMMYFUNCTION("""COMPUTED_VALUE"""),1.0)</f>
        <v>1</v>
      </c>
      <c r="D3134" s="6" t="str">
        <f>IFERROR(__xludf.DUMMYFUNCTION("""COMPUTED_VALUE"""),"P-52228-00")</f>
        <v>P-52228-00</v>
      </c>
      <c r="E3134" s="6" t="str">
        <f>IFERROR(__xludf.DUMMYFUNCTION("""COMPUTED_VALUE"""),"Inline Fan 6"" CDI-150 CKE; ; ;")</f>
        <v>Inline Fan 6" CDI-150 CKE; ; ;</v>
      </c>
      <c r="F3134" s="6">
        <f>IFERROR(__xludf.DUMMYFUNCTION("""COMPUTED_VALUE"""),1.0)</f>
        <v>1</v>
      </c>
      <c r="G3134" s="6" t="str">
        <f>IFERROR(__xludf.DUMMYFUNCTION("""COMPUTED_VALUE"""),"Pieces")</f>
        <v>Pieces</v>
      </c>
      <c r="H3134" s="6" t="str">
        <f>IFERROR(__xludf.DUMMYFUNCTION("""COMPUTED_VALUE"""),"IDR")</f>
        <v>IDR</v>
      </c>
      <c r="I3134" s="6">
        <f>IFERROR(__xludf.DUMMYFUNCTION("""COMPUTED_VALUE"""),1250000.0)</f>
        <v>1250000</v>
      </c>
      <c r="J3134" s="6">
        <f>IFERROR(__xludf.DUMMYFUNCTION("""COMPUTED_VALUE"""),1250000.0)</f>
        <v>1250000</v>
      </c>
      <c r="K3134" s="57">
        <f>IFERROR(__xludf.DUMMYFUNCTION("""COMPUTED_VALUE"""),45400.0)</f>
        <v>45400</v>
      </c>
      <c r="L3134" s="6" t="str">
        <f>IFERROR(__xludf.DUMMYFUNCTION("""COMPUTED_VALUE"""),"FIP Engineering")</f>
        <v>FIP Engineering</v>
      </c>
      <c r="M3134" s="6" t="str">
        <f>IFERROR(__xludf.DUMMYFUNCTION("""COMPUTED_VALUE"""),"Mochammad Fadhillah Hakim,")</f>
        <v>Mochammad Fadhillah Hakim,</v>
      </c>
      <c r="N3134" s="6" t="str">
        <f>IFERROR(__xludf.DUMMYFUNCTION("""COMPUTED_VALUE"""),"FIP Engineering")</f>
        <v>FIP Engineering</v>
      </c>
      <c r="O3134" s="6" t="str">
        <f>IFERROR(__xludf.DUMMYFUNCTION("""COMPUTED_VALUE"""),"FIP-DOM-000-11304-OS00001-INA-000000")</f>
        <v>FIP-DOM-000-11304-OS00001-INA-000000</v>
      </c>
      <c r="P3134" s="6" t="str">
        <f>IFERROR(__xludf.DUMMYFUNCTION("""COMPUTED_VALUE"""),"PO Closed")</f>
        <v>PO Closed</v>
      </c>
      <c r="Q3134" s="6" t="str">
        <f>IFERROR(__xludf.DUMMYFUNCTION("""COMPUTED_VALUE"""),"GL2405064")</f>
        <v>GL2405064</v>
      </c>
      <c r="R3134" s="57">
        <f>IFERROR(__xludf.DUMMYFUNCTION("""COMPUTED_VALUE"""),45398.0)</f>
        <v>45398</v>
      </c>
      <c r="S3134" s="57">
        <f>IFERROR(__xludf.DUMMYFUNCTION("""COMPUTED_VALUE"""),45399.0)</f>
        <v>45399</v>
      </c>
      <c r="T3134" s="57">
        <f>IFERROR(__xludf.DUMMYFUNCTION("""COMPUTED_VALUE"""),45477.0)</f>
        <v>45477</v>
      </c>
    </row>
    <row r="3135">
      <c r="A3135" s="6" t="str">
        <f>IFERROR(__xludf.DUMMYFUNCTION("""COMPUTED_VALUE"""),"121701375-2")</f>
        <v>121701375-2</v>
      </c>
      <c r="B3135" s="6" t="str">
        <f>IFERROR(__xludf.DUMMYFUNCTION("""COMPUTED_VALUE"""),"121701375 - APPROVED")</f>
        <v>121701375 - APPROVED</v>
      </c>
      <c r="C3135" s="6">
        <f>IFERROR(__xludf.DUMMYFUNCTION("""COMPUTED_VALUE"""),2.0)</f>
        <v>2</v>
      </c>
      <c r="D3135" s="6" t="str">
        <f>IFERROR(__xludf.DUMMYFUNCTION("""COMPUTED_VALUE"""),"O-54181-00")</f>
        <v>O-54181-00</v>
      </c>
      <c r="E3135" s="6" t="str">
        <f>IFERROR(__xludf.DUMMYFUNCTION("""COMPUTED_VALUE"""),"Resistor 150 Ohm 1/2 watt; No Brand; ;")</f>
        <v>Resistor 150 Ohm 1/2 watt; No Brand; ;</v>
      </c>
      <c r="F3135" s="6">
        <f>IFERROR(__xludf.DUMMYFUNCTION("""COMPUTED_VALUE"""),35.0)</f>
        <v>35</v>
      </c>
      <c r="G3135" s="6" t="str">
        <f>IFERROR(__xludf.DUMMYFUNCTION("""COMPUTED_VALUE"""),"Pieces")</f>
        <v>Pieces</v>
      </c>
      <c r="H3135" s="6" t="str">
        <f>IFERROR(__xludf.DUMMYFUNCTION("""COMPUTED_VALUE"""),"IDR")</f>
        <v>IDR</v>
      </c>
      <c r="I3135" s="6">
        <f>IFERROR(__xludf.DUMMYFUNCTION("""COMPUTED_VALUE"""),3000.0)</f>
        <v>3000</v>
      </c>
      <c r="J3135" s="6">
        <f>IFERROR(__xludf.DUMMYFUNCTION("""COMPUTED_VALUE"""),105000.0)</f>
        <v>105000</v>
      </c>
      <c r="K3135" s="57">
        <f>IFERROR(__xludf.DUMMYFUNCTION("""COMPUTED_VALUE"""),45400.0)</f>
        <v>45400</v>
      </c>
      <c r="L3135" s="6" t="str">
        <f>IFERROR(__xludf.DUMMYFUNCTION("""COMPUTED_VALUE"""),"FIP Engineering")</f>
        <v>FIP Engineering</v>
      </c>
      <c r="M3135" s="6" t="str">
        <f>IFERROR(__xludf.DUMMYFUNCTION("""COMPUTED_VALUE"""),"Mochammad Fadhillah Hakim,")</f>
        <v>Mochammad Fadhillah Hakim,</v>
      </c>
      <c r="N3135" s="6" t="str">
        <f>IFERROR(__xludf.DUMMYFUNCTION("""COMPUTED_VALUE"""),"FIP Engineering")</f>
        <v>FIP Engineering</v>
      </c>
      <c r="O3135" s="6" t="str">
        <f>IFERROR(__xludf.DUMMYFUNCTION("""COMPUTED_VALUE"""),"FIP-DOM-000-11304-OS00001-INA-000000")</f>
        <v>FIP-DOM-000-11304-OS00001-INA-000000</v>
      </c>
      <c r="P3135" s="6" t="str">
        <f>IFERROR(__xludf.DUMMYFUNCTION("""COMPUTED_VALUE"""),"PO Closed")</f>
        <v>PO Closed</v>
      </c>
      <c r="Q3135" s="6" t="str">
        <f>IFERROR(__xludf.DUMMYFUNCTION("""COMPUTED_VALUE"""),"GL2405064")</f>
        <v>GL2405064</v>
      </c>
      <c r="R3135" s="57">
        <f>IFERROR(__xludf.DUMMYFUNCTION("""COMPUTED_VALUE"""),45398.0)</f>
        <v>45398</v>
      </c>
      <c r="S3135" s="57">
        <f>IFERROR(__xludf.DUMMYFUNCTION("""COMPUTED_VALUE"""),45399.0)</f>
        <v>45399</v>
      </c>
      <c r="T3135" s="57">
        <f>IFERROR(__xludf.DUMMYFUNCTION("""COMPUTED_VALUE"""),45477.0)</f>
        <v>45477</v>
      </c>
    </row>
    <row r="3136">
      <c r="A3136" s="6" t="str">
        <f>IFERROR(__xludf.DUMMYFUNCTION("""COMPUTED_VALUE"""),"121701375-3")</f>
        <v>121701375-3</v>
      </c>
      <c r="B3136" s="6" t="str">
        <f>IFERROR(__xludf.DUMMYFUNCTION("""COMPUTED_VALUE"""),"121701375 - APPROVED")</f>
        <v>121701375 - APPROVED</v>
      </c>
      <c r="C3136" s="6">
        <f>IFERROR(__xludf.DUMMYFUNCTION("""COMPUTED_VALUE"""),3.0)</f>
        <v>3</v>
      </c>
      <c r="D3136" s="6" t="str">
        <f>IFERROR(__xludf.DUMMYFUNCTION("""COMPUTED_VALUE"""),"P-19080-00")</f>
        <v>P-19080-00</v>
      </c>
      <c r="E3136" s="6" t="str">
        <f>IFERROR(__xludf.DUMMYFUNCTION("""COMPUTED_VALUE"""),"Cabel Tie Mount 30 x 30 mm; Sigma; ;")</f>
        <v>Cabel Tie Mount 30 x 30 mm; Sigma; ;</v>
      </c>
      <c r="F3136" s="6">
        <f>IFERROR(__xludf.DUMMYFUNCTION("""COMPUTED_VALUE"""),3.0)</f>
        <v>3</v>
      </c>
      <c r="G3136" s="6" t="str">
        <f>IFERROR(__xludf.DUMMYFUNCTION("""COMPUTED_VALUE"""),"Pieces")</f>
        <v>Pieces</v>
      </c>
      <c r="H3136" s="6" t="str">
        <f>IFERROR(__xludf.DUMMYFUNCTION("""COMPUTED_VALUE"""),"IDR")</f>
        <v>IDR</v>
      </c>
      <c r="I3136" s="6">
        <f>IFERROR(__xludf.DUMMYFUNCTION("""COMPUTED_VALUE"""),120000.0)</f>
        <v>120000</v>
      </c>
      <c r="J3136" s="6">
        <f>IFERROR(__xludf.DUMMYFUNCTION("""COMPUTED_VALUE"""),360000.0)</f>
        <v>360000</v>
      </c>
      <c r="K3136" s="57">
        <f>IFERROR(__xludf.DUMMYFUNCTION("""COMPUTED_VALUE"""),45400.0)</f>
        <v>45400</v>
      </c>
      <c r="L3136" s="6" t="str">
        <f>IFERROR(__xludf.DUMMYFUNCTION("""COMPUTED_VALUE"""),"FIP Engineering")</f>
        <v>FIP Engineering</v>
      </c>
      <c r="M3136" s="6" t="str">
        <f>IFERROR(__xludf.DUMMYFUNCTION("""COMPUTED_VALUE"""),"Mochammad Fadhillah Hakim,")</f>
        <v>Mochammad Fadhillah Hakim,</v>
      </c>
      <c r="N3136" s="6" t="str">
        <f>IFERROR(__xludf.DUMMYFUNCTION("""COMPUTED_VALUE"""),"FIP Engineering")</f>
        <v>FIP Engineering</v>
      </c>
      <c r="O3136" s="6" t="str">
        <f>IFERROR(__xludf.DUMMYFUNCTION("""COMPUTED_VALUE"""),"FIP-DOM-000-11304-OS00001-INA-000000")</f>
        <v>FIP-DOM-000-11304-OS00001-INA-000000</v>
      </c>
      <c r="P3136" s="6" t="str">
        <f>IFERROR(__xludf.DUMMYFUNCTION("""COMPUTED_VALUE"""),"PO Closed")</f>
        <v>PO Closed</v>
      </c>
      <c r="Q3136" s="6" t="str">
        <f>IFERROR(__xludf.DUMMYFUNCTION("""COMPUTED_VALUE"""),"GL2405064")</f>
        <v>GL2405064</v>
      </c>
      <c r="R3136" s="57">
        <f>IFERROR(__xludf.DUMMYFUNCTION("""COMPUTED_VALUE"""),45398.0)</f>
        <v>45398</v>
      </c>
      <c r="S3136" s="57">
        <f>IFERROR(__xludf.DUMMYFUNCTION("""COMPUTED_VALUE"""),45399.0)</f>
        <v>45399</v>
      </c>
      <c r="T3136" s="57">
        <f>IFERROR(__xludf.DUMMYFUNCTION("""COMPUTED_VALUE"""),45477.0)</f>
        <v>45477</v>
      </c>
    </row>
    <row r="3137">
      <c r="A3137" s="6" t="str">
        <f>IFERROR(__xludf.DUMMYFUNCTION("""COMPUTED_VALUE"""),"121701375-4")</f>
        <v>121701375-4</v>
      </c>
      <c r="B3137" s="6" t="str">
        <f>IFERROR(__xludf.DUMMYFUNCTION("""COMPUTED_VALUE"""),"121701375 - APPROVED")</f>
        <v>121701375 - APPROVED</v>
      </c>
      <c r="C3137" s="6">
        <f>IFERROR(__xludf.DUMMYFUNCTION("""COMPUTED_VALUE"""),4.0)</f>
        <v>4</v>
      </c>
      <c r="D3137" s="6" t="str">
        <f>IFERROR(__xludf.DUMMYFUNCTION("""COMPUTED_VALUE"""),"P-19081-00")</f>
        <v>P-19081-00</v>
      </c>
      <c r="E3137" s="6" t="str">
        <f>IFERROR(__xludf.DUMMYFUNCTION("""COMPUTED_VALUE"""),"Cabel Tie Mount 20 x20 mm; Sigma; ;")</f>
        <v>Cabel Tie Mount 20 x20 mm; Sigma; ;</v>
      </c>
      <c r="F3137" s="6">
        <f>IFERROR(__xludf.DUMMYFUNCTION("""COMPUTED_VALUE"""),3.0)</f>
        <v>3</v>
      </c>
      <c r="G3137" s="6" t="str">
        <f>IFERROR(__xludf.DUMMYFUNCTION("""COMPUTED_VALUE"""),"Pieces")</f>
        <v>Pieces</v>
      </c>
      <c r="H3137" s="6" t="str">
        <f>IFERROR(__xludf.DUMMYFUNCTION("""COMPUTED_VALUE"""),"IDR")</f>
        <v>IDR</v>
      </c>
      <c r="I3137" s="6">
        <f>IFERROR(__xludf.DUMMYFUNCTION("""COMPUTED_VALUE"""),95000.0)</f>
        <v>95000</v>
      </c>
      <c r="J3137" s="6">
        <f>IFERROR(__xludf.DUMMYFUNCTION("""COMPUTED_VALUE"""),285000.0)</f>
        <v>285000</v>
      </c>
      <c r="K3137" s="57">
        <f>IFERROR(__xludf.DUMMYFUNCTION("""COMPUTED_VALUE"""),45400.0)</f>
        <v>45400</v>
      </c>
      <c r="L3137" s="6" t="str">
        <f>IFERROR(__xludf.DUMMYFUNCTION("""COMPUTED_VALUE"""),"FIP Engineering")</f>
        <v>FIP Engineering</v>
      </c>
      <c r="M3137" s="6" t="str">
        <f>IFERROR(__xludf.DUMMYFUNCTION("""COMPUTED_VALUE"""),"Mochammad Fadhillah Hakim,")</f>
        <v>Mochammad Fadhillah Hakim,</v>
      </c>
      <c r="N3137" s="6" t="str">
        <f>IFERROR(__xludf.DUMMYFUNCTION("""COMPUTED_VALUE"""),"FIP Engineering")</f>
        <v>FIP Engineering</v>
      </c>
      <c r="O3137" s="6" t="str">
        <f>IFERROR(__xludf.DUMMYFUNCTION("""COMPUTED_VALUE"""),"FIP-DOM-000-11304-OS00001-INA-000000")</f>
        <v>FIP-DOM-000-11304-OS00001-INA-000000</v>
      </c>
      <c r="P3137" s="6" t="str">
        <f>IFERROR(__xludf.DUMMYFUNCTION("""COMPUTED_VALUE"""),"PO Closed")</f>
        <v>PO Closed</v>
      </c>
      <c r="Q3137" s="6" t="str">
        <f>IFERROR(__xludf.DUMMYFUNCTION("""COMPUTED_VALUE"""),"GL2405064")</f>
        <v>GL2405064</v>
      </c>
      <c r="R3137" s="57">
        <f>IFERROR(__xludf.DUMMYFUNCTION("""COMPUTED_VALUE"""),45398.0)</f>
        <v>45398</v>
      </c>
      <c r="S3137" s="57">
        <f>IFERROR(__xludf.DUMMYFUNCTION("""COMPUTED_VALUE"""),45399.0)</f>
        <v>45399</v>
      </c>
      <c r="T3137" s="57">
        <f>IFERROR(__xludf.DUMMYFUNCTION("""COMPUTED_VALUE"""),45477.0)</f>
        <v>45477</v>
      </c>
    </row>
    <row r="3138">
      <c r="A3138" s="6" t="str">
        <f>IFERROR(__xludf.DUMMYFUNCTION("""COMPUTED_VALUE"""),"121701375-5")</f>
        <v>121701375-5</v>
      </c>
      <c r="B3138" s="6" t="str">
        <f>IFERROR(__xludf.DUMMYFUNCTION("""COMPUTED_VALUE"""),"121701375 - APPROVED")</f>
        <v>121701375 - APPROVED</v>
      </c>
      <c r="C3138" s="6">
        <f>IFERROR(__xludf.DUMMYFUNCTION("""COMPUTED_VALUE"""),5.0)</f>
        <v>5</v>
      </c>
      <c r="D3138" s="6" t="str">
        <f>IFERROR(__xludf.DUMMYFUNCTION("""COMPUTED_VALUE"""),"O-52001-00")</f>
        <v>O-52001-00</v>
      </c>
      <c r="E3138" s="6" t="str">
        <f>IFERROR(__xludf.DUMMYFUNCTION("""COMPUTED_VALUE"""),"Contactor Merk. Schneider LC1D40A 220 V")</f>
        <v>Contactor Merk. Schneider LC1D40A 220 V</v>
      </c>
      <c r="F3138" s="6">
        <f>IFERROR(__xludf.DUMMYFUNCTION("""COMPUTED_VALUE"""),4.0)</f>
        <v>4</v>
      </c>
      <c r="G3138" s="6" t="str">
        <f>IFERROR(__xludf.DUMMYFUNCTION("""COMPUTED_VALUE"""),"Pieces")</f>
        <v>Pieces</v>
      </c>
      <c r="H3138" s="6" t="str">
        <f>IFERROR(__xludf.DUMMYFUNCTION("""COMPUTED_VALUE"""),"IDR")</f>
        <v>IDR</v>
      </c>
      <c r="I3138" s="6">
        <f>IFERROR(__xludf.DUMMYFUNCTION("""COMPUTED_VALUE"""),575000.0)</f>
        <v>575000</v>
      </c>
      <c r="J3138" s="6">
        <f>IFERROR(__xludf.DUMMYFUNCTION("""COMPUTED_VALUE"""),2300000.0)</f>
        <v>2300000</v>
      </c>
      <c r="K3138" s="57">
        <f>IFERROR(__xludf.DUMMYFUNCTION("""COMPUTED_VALUE"""),45400.0)</f>
        <v>45400</v>
      </c>
      <c r="L3138" s="6" t="str">
        <f>IFERROR(__xludf.DUMMYFUNCTION("""COMPUTED_VALUE"""),"FIP Engineering")</f>
        <v>FIP Engineering</v>
      </c>
      <c r="M3138" s="6" t="str">
        <f>IFERROR(__xludf.DUMMYFUNCTION("""COMPUTED_VALUE"""),"Mochammad Fadhillah Hakim,")</f>
        <v>Mochammad Fadhillah Hakim,</v>
      </c>
      <c r="N3138" s="6" t="str">
        <f>IFERROR(__xludf.DUMMYFUNCTION("""COMPUTED_VALUE"""),"FIP Engineering")</f>
        <v>FIP Engineering</v>
      </c>
      <c r="O3138" s="6" t="str">
        <f>IFERROR(__xludf.DUMMYFUNCTION("""COMPUTED_VALUE"""),"FIP-DOM-000-11304-OS00001-INA-000000")</f>
        <v>FIP-DOM-000-11304-OS00001-INA-000000</v>
      </c>
      <c r="P3138" s="6" t="str">
        <f>IFERROR(__xludf.DUMMYFUNCTION("""COMPUTED_VALUE"""),"PO Closed")</f>
        <v>PO Closed</v>
      </c>
      <c r="Q3138" s="6" t="str">
        <f>IFERROR(__xludf.DUMMYFUNCTION("""COMPUTED_VALUE"""),"GL2405064")</f>
        <v>GL2405064</v>
      </c>
      <c r="R3138" s="57">
        <f>IFERROR(__xludf.DUMMYFUNCTION("""COMPUTED_VALUE"""),45398.0)</f>
        <v>45398</v>
      </c>
      <c r="S3138" s="57">
        <f>IFERROR(__xludf.DUMMYFUNCTION("""COMPUTED_VALUE"""),45399.0)</f>
        <v>45399</v>
      </c>
      <c r="T3138" s="57">
        <f>IFERROR(__xludf.DUMMYFUNCTION("""COMPUTED_VALUE"""),45477.0)</f>
        <v>45477</v>
      </c>
    </row>
    <row r="3139">
      <c r="A3139" s="6" t="str">
        <f>IFERROR(__xludf.DUMMYFUNCTION("""COMPUTED_VALUE"""),"121701375-6")</f>
        <v>121701375-6</v>
      </c>
      <c r="B3139" s="6" t="str">
        <f>IFERROR(__xludf.DUMMYFUNCTION("""COMPUTED_VALUE"""),"121701375 - APPROVED")</f>
        <v>121701375 - APPROVED</v>
      </c>
      <c r="C3139" s="6">
        <f>IFERROR(__xludf.DUMMYFUNCTION("""COMPUTED_VALUE"""),6.0)</f>
        <v>6</v>
      </c>
      <c r="D3139" s="6" t="str">
        <f>IFERROR(__xludf.DUMMYFUNCTION("""COMPUTED_VALUE"""),"O-53013-00")</f>
        <v>O-53013-00</v>
      </c>
      <c r="E3139" s="6" t="str">
        <f>IFERROR(__xludf.DUMMYFUNCTION("""COMPUTED_VALUE"""),"Heavy Duty Connector 4Pin (Male + Female); Lokal; ;")</f>
        <v>Heavy Duty Connector 4Pin (Male + Female); Lokal; ;</v>
      </c>
      <c r="F3139" s="6">
        <f>IFERROR(__xludf.DUMMYFUNCTION("""COMPUTED_VALUE"""),1.0)</f>
        <v>1</v>
      </c>
      <c r="G3139" s="6" t="str">
        <f>IFERROR(__xludf.DUMMYFUNCTION("""COMPUTED_VALUE"""),"Set")</f>
        <v>Set</v>
      </c>
      <c r="H3139" s="6" t="str">
        <f>IFERROR(__xludf.DUMMYFUNCTION("""COMPUTED_VALUE"""),"IDR")</f>
        <v>IDR</v>
      </c>
      <c r="I3139" s="6">
        <f>IFERROR(__xludf.DUMMYFUNCTION("""COMPUTED_VALUE"""),387500.0)</f>
        <v>387500</v>
      </c>
      <c r="J3139" s="6">
        <f>IFERROR(__xludf.DUMMYFUNCTION("""COMPUTED_VALUE"""),387500.0)</f>
        <v>387500</v>
      </c>
      <c r="K3139" s="57">
        <f>IFERROR(__xludf.DUMMYFUNCTION("""COMPUTED_VALUE"""),45400.0)</f>
        <v>45400</v>
      </c>
      <c r="L3139" s="6" t="str">
        <f>IFERROR(__xludf.DUMMYFUNCTION("""COMPUTED_VALUE"""),"FIP Engineering")</f>
        <v>FIP Engineering</v>
      </c>
      <c r="M3139" s="6" t="str">
        <f>IFERROR(__xludf.DUMMYFUNCTION("""COMPUTED_VALUE"""),"Mochammad Fadhillah Hakim,")</f>
        <v>Mochammad Fadhillah Hakim,</v>
      </c>
      <c r="N3139" s="6" t="str">
        <f>IFERROR(__xludf.DUMMYFUNCTION("""COMPUTED_VALUE"""),"FIP Engineering")</f>
        <v>FIP Engineering</v>
      </c>
      <c r="O3139" s="6" t="str">
        <f>IFERROR(__xludf.DUMMYFUNCTION("""COMPUTED_VALUE"""),"FIP-DOM-000-11304-OS00001-INA-000000")</f>
        <v>FIP-DOM-000-11304-OS00001-INA-000000</v>
      </c>
      <c r="P3139" s="6" t="str">
        <f>IFERROR(__xludf.DUMMYFUNCTION("""COMPUTED_VALUE"""),"PO Closed")</f>
        <v>PO Closed</v>
      </c>
      <c r="Q3139" s="6" t="str">
        <f>IFERROR(__xludf.DUMMYFUNCTION("""COMPUTED_VALUE"""),"GL2405059")</f>
        <v>GL2405059</v>
      </c>
      <c r="R3139" s="57">
        <f>IFERROR(__xludf.DUMMYFUNCTION("""COMPUTED_VALUE"""),45398.0)</f>
        <v>45398</v>
      </c>
      <c r="S3139" s="57">
        <f>IFERROR(__xludf.DUMMYFUNCTION("""COMPUTED_VALUE"""),45399.0)</f>
        <v>45399</v>
      </c>
      <c r="T3139" s="57">
        <f>IFERROR(__xludf.DUMMYFUNCTION("""COMPUTED_VALUE"""),45461.0)</f>
        <v>45461</v>
      </c>
    </row>
    <row r="3140">
      <c r="A3140" s="6" t="str">
        <f>IFERROR(__xludf.DUMMYFUNCTION("""COMPUTED_VALUE"""),"121701376-1")</f>
        <v>121701376-1</v>
      </c>
      <c r="B3140" s="6" t="str">
        <f>IFERROR(__xludf.DUMMYFUNCTION("""COMPUTED_VALUE"""),"121701376 - APPROVED")</f>
        <v>121701376 - APPROVED</v>
      </c>
      <c r="C3140" s="6">
        <f>IFERROR(__xludf.DUMMYFUNCTION("""COMPUTED_VALUE"""),1.0)</f>
        <v>1</v>
      </c>
      <c r="D3140" s="6" t="str">
        <f>IFERROR(__xludf.DUMMYFUNCTION("""COMPUTED_VALUE"""),"O-19779-00")</f>
        <v>O-19779-00</v>
      </c>
      <c r="E3140" s="6" t="str">
        <f>IFERROR(__xludf.DUMMYFUNCTION("""COMPUTED_VALUE"""),"Part Tunnel Qualifikasi Uk. 735x 450x 245, Material SUS 304; Custom; ;")</f>
        <v>Part Tunnel Qualifikasi Uk. 735x 450x 245, Material SUS 304; Custom; ;</v>
      </c>
      <c r="F3140" s="6">
        <f>IFERROR(__xludf.DUMMYFUNCTION("""COMPUTED_VALUE"""),1.0)</f>
        <v>1</v>
      </c>
      <c r="G3140" s="6" t="str">
        <f>IFERROR(__xludf.DUMMYFUNCTION("""COMPUTED_VALUE"""),"Pieces")</f>
        <v>Pieces</v>
      </c>
      <c r="H3140" s="6" t="str">
        <f>IFERROR(__xludf.DUMMYFUNCTION("""COMPUTED_VALUE"""),"IDR")</f>
        <v>IDR</v>
      </c>
      <c r="I3140" s="6">
        <f>IFERROR(__xludf.DUMMYFUNCTION("""COMPUTED_VALUE"""),3887000.0)</f>
        <v>3887000</v>
      </c>
      <c r="J3140" s="6">
        <f>IFERROR(__xludf.DUMMYFUNCTION("""COMPUTED_VALUE"""),3887000.0)</f>
        <v>3887000</v>
      </c>
      <c r="K3140" s="57">
        <f>IFERROR(__xludf.DUMMYFUNCTION("""COMPUTED_VALUE"""),45407.0)</f>
        <v>45407</v>
      </c>
      <c r="L3140" s="6" t="str">
        <f>IFERROR(__xludf.DUMMYFUNCTION("""COMPUTED_VALUE"""),"FIP Engineering")</f>
        <v>FIP Engineering</v>
      </c>
      <c r="M3140" s="6" t="str">
        <f>IFERROR(__xludf.DUMMYFUNCTION("""COMPUTED_VALUE"""),"Mochammad Fadhillah Hakim,")</f>
        <v>Mochammad Fadhillah Hakim,</v>
      </c>
      <c r="N3140" s="6" t="str">
        <f>IFERROR(__xludf.DUMMYFUNCTION("""COMPUTED_VALUE"""),"FIP Engineering")</f>
        <v>FIP Engineering</v>
      </c>
      <c r="O3140" s="6" t="str">
        <f>IFERROR(__xludf.DUMMYFUNCTION("""COMPUTED_VALUE"""),"FIP-DOM-000-11304-OS00001-INA-000000")</f>
        <v>FIP-DOM-000-11304-OS00001-INA-000000</v>
      </c>
      <c r="P3140" s="6" t="str">
        <f>IFERROR(__xludf.DUMMYFUNCTION("""COMPUTED_VALUE"""),"PO Closed")</f>
        <v>PO Closed</v>
      </c>
      <c r="Q3140" s="6" t="str">
        <f>IFERROR(__xludf.DUMMYFUNCTION("""COMPUTED_VALUE"""),"GL2405056")</f>
        <v>GL2405056</v>
      </c>
      <c r="R3140" s="57">
        <f>IFERROR(__xludf.DUMMYFUNCTION("""COMPUTED_VALUE"""),45398.0)</f>
        <v>45398</v>
      </c>
      <c r="S3140" s="57">
        <f>IFERROR(__xludf.DUMMYFUNCTION("""COMPUTED_VALUE"""),45405.0)</f>
        <v>45405</v>
      </c>
      <c r="T3140" s="57">
        <f>IFERROR(__xludf.DUMMYFUNCTION("""COMPUTED_VALUE"""),45450.0)</f>
        <v>45450</v>
      </c>
    </row>
    <row r="3141">
      <c r="A3141" s="6" t="str">
        <f>IFERROR(__xludf.DUMMYFUNCTION("""COMPUTED_VALUE"""),"121701376-2")</f>
        <v>121701376-2</v>
      </c>
      <c r="B3141" s="6" t="str">
        <f>IFERROR(__xludf.DUMMYFUNCTION("""COMPUTED_VALUE"""),"121701376 - APPROVED")</f>
        <v>121701376 - APPROVED</v>
      </c>
      <c r="C3141" s="6">
        <f>IFERROR(__xludf.DUMMYFUNCTION("""COMPUTED_VALUE"""),2.0)</f>
        <v>2</v>
      </c>
      <c r="D3141" s="6" t="str">
        <f>IFERROR(__xludf.DUMMYFUNCTION("""COMPUTED_VALUE"""),"O-19780-00")</f>
        <v>O-19780-00</v>
      </c>
      <c r="E3141" s="6" t="str">
        <f>IFERROR(__xludf.DUMMYFUNCTION("""COMPUTED_VALUE"""),"Stand Print Head Video Jet Uk. 1248 x 1165 mm Material SUS 304; Custom; ;")</f>
        <v>Stand Print Head Video Jet Uk. 1248 x 1165 mm Material SUS 304; Custom; ;</v>
      </c>
      <c r="F3141" s="6">
        <f>IFERROR(__xludf.DUMMYFUNCTION("""COMPUTED_VALUE"""),1.0)</f>
        <v>1</v>
      </c>
      <c r="G3141" s="6" t="str">
        <f>IFERROR(__xludf.DUMMYFUNCTION("""COMPUTED_VALUE"""),"Pieces")</f>
        <v>Pieces</v>
      </c>
      <c r="H3141" s="6" t="str">
        <f>IFERROR(__xludf.DUMMYFUNCTION("""COMPUTED_VALUE"""),"IDR")</f>
        <v>IDR</v>
      </c>
      <c r="I3141" s="6">
        <f>IFERROR(__xludf.DUMMYFUNCTION("""COMPUTED_VALUE"""),7885000.0)</f>
        <v>7885000</v>
      </c>
      <c r="J3141" s="6">
        <f>IFERROR(__xludf.DUMMYFUNCTION("""COMPUTED_VALUE"""),7885000.0)</f>
        <v>7885000</v>
      </c>
      <c r="K3141" s="57">
        <f>IFERROR(__xludf.DUMMYFUNCTION("""COMPUTED_VALUE"""),45407.0)</f>
        <v>45407</v>
      </c>
      <c r="L3141" s="6" t="str">
        <f>IFERROR(__xludf.DUMMYFUNCTION("""COMPUTED_VALUE"""),"FIP Engineering")</f>
        <v>FIP Engineering</v>
      </c>
      <c r="M3141" s="6" t="str">
        <f>IFERROR(__xludf.DUMMYFUNCTION("""COMPUTED_VALUE"""),"Mochammad Fadhillah Hakim,")</f>
        <v>Mochammad Fadhillah Hakim,</v>
      </c>
      <c r="N3141" s="6" t="str">
        <f>IFERROR(__xludf.DUMMYFUNCTION("""COMPUTED_VALUE"""),"FIP Engineering")</f>
        <v>FIP Engineering</v>
      </c>
      <c r="O3141" s="6" t="str">
        <f>IFERROR(__xludf.DUMMYFUNCTION("""COMPUTED_VALUE"""),"FIP-DOM-000-11304-OS00001-INA-000000")</f>
        <v>FIP-DOM-000-11304-OS00001-INA-000000</v>
      </c>
      <c r="P3141" s="6" t="str">
        <f>IFERROR(__xludf.DUMMYFUNCTION("""COMPUTED_VALUE"""),"PO Closed")</f>
        <v>PO Closed</v>
      </c>
      <c r="Q3141" s="6" t="str">
        <f>IFERROR(__xludf.DUMMYFUNCTION("""COMPUTED_VALUE"""),"GL2405056")</f>
        <v>GL2405056</v>
      </c>
      <c r="R3141" s="57">
        <f>IFERROR(__xludf.DUMMYFUNCTION("""COMPUTED_VALUE"""),45398.0)</f>
        <v>45398</v>
      </c>
      <c r="S3141" s="57">
        <f>IFERROR(__xludf.DUMMYFUNCTION("""COMPUTED_VALUE"""),45405.0)</f>
        <v>45405</v>
      </c>
      <c r="T3141" s="57">
        <f>IFERROR(__xludf.DUMMYFUNCTION("""COMPUTED_VALUE"""),45450.0)</f>
        <v>45450</v>
      </c>
    </row>
    <row r="3142">
      <c r="A3142" s="6" t="str">
        <f>IFERROR(__xludf.DUMMYFUNCTION("""COMPUTED_VALUE"""),"121701376-3")</f>
        <v>121701376-3</v>
      </c>
      <c r="B3142" s="6" t="str">
        <f>IFERROR(__xludf.DUMMYFUNCTION("""COMPUTED_VALUE"""),"121701376 - APPROVED")</f>
        <v>121701376 - APPROVED</v>
      </c>
      <c r="C3142" s="6">
        <f>IFERROR(__xludf.DUMMYFUNCTION("""COMPUTED_VALUE"""),3.0)</f>
        <v>3</v>
      </c>
      <c r="D3142" s="6" t="str">
        <f>IFERROR(__xludf.DUMMYFUNCTION("""COMPUTED_VALUE"""),"O-19781-00")</f>
        <v>O-19781-00</v>
      </c>
      <c r="E3142" s="6" t="str">
        <f>IFERROR(__xludf.DUMMYFUNCTION("""COMPUTED_VALUE"""),"Shaft Bearing Rod End Pusher Cartoning M6 x 110 Material SUS 304; Custom; ;")</f>
        <v>Shaft Bearing Rod End Pusher Cartoning M6 x 110 Material SUS 304; Custom; ;</v>
      </c>
      <c r="F3142" s="6">
        <f>IFERROR(__xludf.DUMMYFUNCTION("""COMPUTED_VALUE"""),1.0)</f>
        <v>1</v>
      </c>
      <c r="G3142" s="6" t="str">
        <f>IFERROR(__xludf.DUMMYFUNCTION("""COMPUTED_VALUE"""),"Pieces")</f>
        <v>Pieces</v>
      </c>
      <c r="H3142" s="6" t="str">
        <f>IFERROR(__xludf.DUMMYFUNCTION("""COMPUTED_VALUE"""),"IDR")</f>
        <v>IDR</v>
      </c>
      <c r="I3142" s="6">
        <f>IFERROR(__xludf.DUMMYFUNCTION("""COMPUTED_VALUE"""),675000.0)</f>
        <v>675000</v>
      </c>
      <c r="J3142" s="6">
        <f>IFERROR(__xludf.DUMMYFUNCTION("""COMPUTED_VALUE"""),675000.0)</f>
        <v>675000</v>
      </c>
      <c r="K3142" s="57">
        <f>IFERROR(__xludf.DUMMYFUNCTION("""COMPUTED_VALUE"""),45407.0)</f>
        <v>45407</v>
      </c>
      <c r="L3142" s="6" t="str">
        <f>IFERROR(__xludf.DUMMYFUNCTION("""COMPUTED_VALUE"""),"FIP Engineering")</f>
        <v>FIP Engineering</v>
      </c>
      <c r="M3142" s="6" t="str">
        <f>IFERROR(__xludf.DUMMYFUNCTION("""COMPUTED_VALUE"""),"Mochammad Fadhillah Hakim,")</f>
        <v>Mochammad Fadhillah Hakim,</v>
      </c>
      <c r="N3142" s="6" t="str">
        <f>IFERROR(__xludf.DUMMYFUNCTION("""COMPUTED_VALUE"""),"FIP Engineering")</f>
        <v>FIP Engineering</v>
      </c>
      <c r="O3142" s="6" t="str">
        <f>IFERROR(__xludf.DUMMYFUNCTION("""COMPUTED_VALUE"""),"FIP-DOM-000-11304-OS00001-INA-000000")</f>
        <v>FIP-DOM-000-11304-OS00001-INA-000000</v>
      </c>
      <c r="P3142" s="6" t="str">
        <f>IFERROR(__xludf.DUMMYFUNCTION("""COMPUTED_VALUE"""),"PO Closed")</f>
        <v>PO Closed</v>
      </c>
      <c r="Q3142" s="6" t="str">
        <f>IFERROR(__xludf.DUMMYFUNCTION("""COMPUTED_VALUE"""),"GL2405056")</f>
        <v>GL2405056</v>
      </c>
      <c r="R3142" s="57">
        <f>IFERROR(__xludf.DUMMYFUNCTION("""COMPUTED_VALUE"""),45398.0)</f>
        <v>45398</v>
      </c>
      <c r="S3142" s="57">
        <f>IFERROR(__xludf.DUMMYFUNCTION("""COMPUTED_VALUE"""),45405.0)</f>
        <v>45405</v>
      </c>
      <c r="T3142" s="57">
        <f>IFERROR(__xludf.DUMMYFUNCTION("""COMPUTED_VALUE"""),45450.0)</f>
        <v>45450</v>
      </c>
    </row>
    <row r="3143">
      <c r="A3143" s="6" t="str">
        <f>IFERROR(__xludf.DUMMYFUNCTION("""COMPUTED_VALUE"""),"121701376-4")</f>
        <v>121701376-4</v>
      </c>
      <c r="B3143" s="6" t="str">
        <f>IFERROR(__xludf.DUMMYFUNCTION("""COMPUTED_VALUE"""),"121701376 - APPROVED")</f>
        <v>121701376 - APPROVED</v>
      </c>
      <c r="C3143" s="6">
        <f>IFERROR(__xludf.DUMMYFUNCTION("""COMPUTED_VALUE"""),4.0)</f>
        <v>4</v>
      </c>
      <c r="D3143" s="6" t="str">
        <f>IFERROR(__xludf.DUMMYFUNCTION("""COMPUTED_VALUE"""),"O-19783-00")</f>
        <v>O-19783-00</v>
      </c>
      <c r="E3143" s="6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F3143" s="6">
        <f>IFERROR(__xludf.DUMMYFUNCTION("""COMPUTED_VALUE"""),1.0)</f>
        <v>1</v>
      </c>
      <c r="G3143" s="6" t="str">
        <f>IFERROR(__xludf.DUMMYFUNCTION("""COMPUTED_VALUE"""),"Pieces")</f>
        <v>Pieces</v>
      </c>
      <c r="H3143" s="6" t="str">
        <f>IFERROR(__xludf.DUMMYFUNCTION("""COMPUTED_VALUE"""),"IDR")</f>
        <v>IDR</v>
      </c>
      <c r="I3143" s="6">
        <f>IFERROR(__xludf.DUMMYFUNCTION("""COMPUTED_VALUE"""),1755000.0)</f>
        <v>1755000</v>
      </c>
      <c r="J3143" s="6">
        <f>IFERROR(__xludf.DUMMYFUNCTION("""COMPUTED_VALUE"""),1755000.0)</f>
        <v>1755000</v>
      </c>
      <c r="K3143" s="57">
        <f>IFERROR(__xludf.DUMMYFUNCTION("""COMPUTED_VALUE"""),45407.0)</f>
        <v>45407</v>
      </c>
      <c r="L3143" s="6" t="str">
        <f>IFERROR(__xludf.DUMMYFUNCTION("""COMPUTED_VALUE"""),"FIP Engineering")</f>
        <v>FIP Engineering</v>
      </c>
      <c r="M3143" s="6" t="str">
        <f>IFERROR(__xludf.DUMMYFUNCTION("""COMPUTED_VALUE"""),"Mochammad Fadhillah Hakim,")</f>
        <v>Mochammad Fadhillah Hakim,</v>
      </c>
      <c r="N3143" s="6" t="str">
        <f>IFERROR(__xludf.DUMMYFUNCTION("""COMPUTED_VALUE"""),"FIP Engineering")</f>
        <v>FIP Engineering</v>
      </c>
      <c r="O3143" s="6" t="str">
        <f>IFERROR(__xludf.DUMMYFUNCTION("""COMPUTED_VALUE"""),"FIP-DOM-000-11304-OS00001-INA-000000")</f>
        <v>FIP-DOM-000-11304-OS00001-INA-000000</v>
      </c>
      <c r="P3143" s="6" t="str">
        <f>IFERROR(__xludf.DUMMYFUNCTION("""COMPUTED_VALUE"""),"PO Closed")</f>
        <v>PO Closed</v>
      </c>
      <c r="Q3143" s="6" t="str">
        <f>IFERROR(__xludf.DUMMYFUNCTION("""COMPUTED_VALUE"""),"GL2405056")</f>
        <v>GL2405056</v>
      </c>
      <c r="R3143" s="57">
        <f>IFERROR(__xludf.DUMMYFUNCTION("""COMPUTED_VALUE"""),45398.0)</f>
        <v>45398</v>
      </c>
      <c r="S3143" s="57">
        <f>IFERROR(__xludf.DUMMYFUNCTION("""COMPUTED_VALUE"""),45405.0)</f>
        <v>45405</v>
      </c>
      <c r="T3143" s="57">
        <f>IFERROR(__xludf.DUMMYFUNCTION("""COMPUTED_VALUE"""),45450.0)</f>
        <v>45450</v>
      </c>
    </row>
    <row r="3144">
      <c r="A3144" s="6" t="str">
        <f>IFERROR(__xludf.DUMMYFUNCTION("""COMPUTED_VALUE"""),"121701376-5")</f>
        <v>121701376-5</v>
      </c>
      <c r="B3144" s="6" t="str">
        <f>IFERROR(__xludf.DUMMYFUNCTION("""COMPUTED_VALUE"""),"121701376 - APPROVED")</f>
        <v>121701376 - APPROVED</v>
      </c>
      <c r="C3144" s="6">
        <f>IFERROR(__xludf.DUMMYFUNCTION("""COMPUTED_VALUE"""),5.0)</f>
        <v>5</v>
      </c>
      <c r="D3144" s="6" t="str">
        <f>IFERROR(__xludf.DUMMYFUNCTION("""COMPUTED_VALUE"""),"O-19784-00")</f>
        <v>O-19784-00</v>
      </c>
      <c r="E3144" s="6" t="str">
        <f>IFERROR(__xludf.DUMMYFUNCTION("""COMPUTED_VALUE"""),"Wadah Vial 6 R Uk. 48x 115x 285 Material Akrilik; Custom; ;")</f>
        <v>Wadah Vial 6 R Uk. 48x 115x 285 Material Akrilik; Custom; ;</v>
      </c>
      <c r="F3144" s="6">
        <f>IFERROR(__xludf.DUMMYFUNCTION("""COMPUTED_VALUE"""),1.0)</f>
        <v>1</v>
      </c>
      <c r="G3144" s="6" t="str">
        <f>IFERROR(__xludf.DUMMYFUNCTION("""COMPUTED_VALUE"""),"Pieces")</f>
        <v>Pieces</v>
      </c>
      <c r="H3144" s="6" t="str">
        <f>IFERROR(__xludf.DUMMYFUNCTION("""COMPUTED_VALUE"""),"IDR")</f>
        <v>IDR</v>
      </c>
      <c r="I3144" s="6">
        <f>IFERROR(__xludf.DUMMYFUNCTION("""COMPUTED_VALUE"""),2875000.0)</f>
        <v>2875000</v>
      </c>
      <c r="J3144" s="6">
        <f>IFERROR(__xludf.DUMMYFUNCTION("""COMPUTED_VALUE"""),2875000.0)</f>
        <v>2875000</v>
      </c>
      <c r="K3144" s="57">
        <f>IFERROR(__xludf.DUMMYFUNCTION("""COMPUTED_VALUE"""),45407.0)</f>
        <v>45407</v>
      </c>
      <c r="L3144" s="6" t="str">
        <f>IFERROR(__xludf.DUMMYFUNCTION("""COMPUTED_VALUE"""),"FIP General")</f>
        <v>FIP General</v>
      </c>
      <c r="M3144" s="6" t="str">
        <f>IFERROR(__xludf.DUMMYFUNCTION("""COMPUTED_VALUE"""),"Mochammad Fadhillah Hakim,")</f>
        <v>Mochammad Fadhillah Hakim,</v>
      </c>
      <c r="N3144" s="6" t="str">
        <f>IFERROR(__xludf.DUMMYFUNCTION("""COMPUTED_VALUE"""),"FIP Engineering")</f>
        <v>FIP Engineering</v>
      </c>
      <c r="O3144" s="6" t="str">
        <f>IFERROR(__xludf.DUMMYFUNCTION("""COMPUTED_VALUE"""),"FIP-DOM-ENG-51404-0000000-INA-000000")</f>
        <v>FIP-DOM-ENG-51404-0000000-INA-000000</v>
      </c>
      <c r="P3144" s="6" t="str">
        <f>IFERROR(__xludf.DUMMYFUNCTION("""COMPUTED_VALUE"""),"PO Closed")</f>
        <v>PO Closed</v>
      </c>
      <c r="Q3144" s="6" t="str">
        <f>IFERROR(__xludf.DUMMYFUNCTION("""COMPUTED_VALUE"""),"GL2405056")</f>
        <v>GL2405056</v>
      </c>
      <c r="R3144" s="57">
        <f>IFERROR(__xludf.DUMMYFUNCTION("""COMPUTED_VALUE"""),45398.0)</f>
        <v>45398</v>
      </c>
      <c r="S3144" s="57">
        <f>IFERROR(__xludf.DUMMYFUNCTION("""COMPUTED_VALUE"""),45405.0)</f>
        <v>45405</v>
      </c>
      <c r="T3144" s="57">
        <f>IFERROR(__xludf.DUMMYFUNCTION("""COMPUTED_VALUE"""),45450.0)</f>
        <v>45450</v>
      </c>
    </row>
    <row r="3145">
      <c r="A3145" s="6" t="str">
        <f>IFERROR(__xludf.DUMMYFUNCTION("""COMPUTED_VALUE"""),"121701376-6")</f>
        <v>121701376-6</v>
      </c>
      <c r="B3145" s="6" t="str">
        <f>IFERROR(__xludf.DUMMYFUNCTION("""COMPUTED_VALUE"""),"121701376 - APPROVED")</f>
        <v>121701376 - APPROVED</v>
      </c>
      <c r="C3145" s="6">
        <f>IFERROR(__xludf.DUMMYFUNCTION("""COMPUTED_VALUE"""),6.0)</f>
        <v>6</v>
      </c>
      <c r="D3145" s="6" t="str">
        <f>IFERROR(__xludf.DUMMYFUNCTION("""COMPUTED_VALUE"""),"O-19785-00")</f>
        <v>O-19785-00</v>
      </c>
      <c r="E3145" s="6" t="str">
        <f>IFERROR(__xludf.DUMMYFUNCTION("""COMPUTED_VALUE"""),"Roda Trolley Autoclave Uk. 152,2 x 30 mm; Custom; ;")</f>
        <v>Roda Trolley Autoclave Uk. 152,2 x 30 mm; Custom; ;</v>
      </c>
      <c r="F3145" s="6">
        <f>IFERROR(__xludf.DUMMYFUNCTION("""COMPUTED_VALUE"""),4.0)</f>
        <v>4</v>
      </c>
      <c r="G3145" s="6" t="str">
        <f>IFERROR(__xludf.DUMMYFUNCTION("""COMPUTED_VALUE"""),"Pieces")</f>
        <v>Pieces</v>
      </c>
      <c r="H3145" s="6" t="str">
        <f>IFERROR(__xludf.DUMMYFUNCTION("""COMPUTED_VALUE"""),"IDR")</f>
        <v>IDR</v>
      </c>
      <c r="I3145" s="6">
        <f>IFERROR(__xludf.DUMMYFUNCTION("""COMPUTED_VALUE"""),2785000.0)</f>
        <v>2785000</v>
      </c>
      <c r="J3145" s="6">
        <f>IFERROR(__xludf.DUMMYFUNCTION("""COMPUTED_VALUE"""),1.114E7)</f>
        <v>11140000</v>
      </c>
      <c r="K3145" s="57">
        <f>IFERROR(__xludf.DUMMYFUNCTION("""COMPUTED_VALUE"""),45407.0)</f>
        <v>45407</v>
      </c>
      <c r="L3145" s="6" t="str">
        <f>IFERROR(__xludf.DUMMYFUNCTION("""COMPUTED_VALUE"""),"FIP Engineering")</f>
        <v>FIP Engineering</v>
      </c>
      <c r="M3145" s="6" t="str">
        <f>IFERROR(__xludf.DUMMYFUNCTION("""COMPUTED_VALUE"""),"Mochammad Fadhillah Hakim,")</f>
        <v>Mochammad Fadhillah Hakim,</v>
      </c>
      <c r="N3145" s="6" t="str">
        <f>IFERROR(__xludf.DUMMYFUNCTION("""COMPUTED_VALUE"""),"FIP Engineering")</f>
        <v>FIP Engineering</v>
      </c>
      <c r="O3145" s="6" t="str">
        <f>IFERROR(__xludf.DUMMYFUNCTION("""COMPUTED_VALUE"""),"FIP-DOM-000-11304-OS00001-INA-000000")</f>
        <v>FIP-DOM-000-11304-OS00001-INA-000000</v>
      </c>
      <c r="P3145" s="6" t="str">
        <f>IFERROR(__xludf.DUMMYFUNCTION("""COMPUTED_VALUE"""),"PO Closed")</f>
        <v>PO Closed</v>
      </c>
      <c r="Q3145" s="6" t="str">
        <f>IFERROR(__xludf.DUMMYFUNCTION("""COMPUTED_VALUE"""),"GL2405056")</f>
        <v>GL2405056</v>
      </c>
      <c r="R3145" s="57">
        <f>IFERROR(__xludf.DUMMYFUNCTION("""COMPUTED_VALUE"""),45398.0)</f>
        <v>45398</v>
      </c>
      <c r="S3145" s="57">
        <f>IFERROR(__xludf.DUMMYFUNCTION("""COMPUTED_VALUE"""),45405.0)</f>
        <v>45405</v>
      </c>
      <c r="T3145" s="57">
        <f>IFERROR(__xludf.DUMMYFUNCTION("""COMPUTED_VALUE"""),45450.0)</f>
        <v>45450</v>
      </c>
    </row>
    <row r="3146">
      <c r="A3146" s="6" t="str">
        <f>IFERROR(__xludf.DUMMYFUNCTION("""COMPUTED_VALUE"""),"121701376-7")</f>
        <v>121701376-7</v>
      </c>
      <c r="B3146" s="6" t="str">
        <f>IFERROR(__xludf.DUMMYFUNCTION("""COMPUTED_VALUE"""),"121701376 - APPROVED")</f>
        <v>121701376 - APPROVED</v>
      </c>
      <c r="C3146" s="6">
        <f>IFERROR(__xludf.DUMMYFUNCTION("""COMPUTED_VALUE"""),7.0)</f>
        <v>7</v>
      </c>
      <c r="D3146" s="6" t="str">
        <f>IFERROR(__xludf.DUMMYFUNCTION("""COMPUTED_VALUE"""),"O-19782-00")</f>
        <v>O-19782-00</v>
      </c>
      <c r="E3146" s="6" t="str">
        <f>IFERROR(__xludf.DUMMYFUNCTION("""COMPUTED_VALUE"""),"Shaft Pusher Cartoning Marchesini Uk. 16 x 530; Custom; ;")</f>
        <v>Shaft Pusher Cartoning Marchesini Uk. 16 x 530; Custom; ;</v>
      </c>
      <c r="F3146" s="6">
        <f>IFERROR(__xludf.DUMMYFUNCTION("""COMPUTED_VALUE"""),1.0)</f>
        <v>1</v>
      </c>
      <c r="G3146" s="6" t="str">
        <f>IFERROR(__xludf.DUMMYFUNCTION("""COMPUTED_VALUE"""),"Pieces")</f>
        <v>Pieces</v>
      </c>
      <c r="H3146" s="6" t="str">
        <f>IFERROR(__xludf.DUMMYFUNCTION("""COMPUTED_VALUE"""),"IDR")</f>
        <v>IDR</v>
      </c>
      <c r="I3146" s="6">
        <f>IFERROR(__xludf.DUMMYFUNCTION("""COMPUTED_VALUE"""),2877000.0)</f>
        <v>2877000</v>
      </c>
      <c r="J3146" s="6">
        <f>IFERROR(__xludf.DUMMYFUNCTION("""COMPUTED_VALUE"""),2877000.0)</f>
        <v>2877000</v>
      </c>
      <c r="K3146" s="57">
        <f>IFERROR(__xludf.DUMMYFUNCTION("""COMPUTED_VALUE"""),45407.0)</f>
        <v>45407</v>
      </c>
      <c r="L3146" s="6" t="str">
        <f>IFERROR(__xludf.DUMMYFUNCTION("""COMPUTED_VALUE"""),"FIP Engineering")</f>
        <v>FIP Engineering</v>
      </c>
      <c r="M3146" s="6" t="str">
        <f>IFERROR(__xludf.DUMMYFUNCTION("""COMPUTED_VALUE"""),"Mochammad Fadhillah Hakim,")</f>
        <v>Mochammad Fadhillah Hakim,</v>
      </c>
      <c r="N3146" s="6" t="str">
        <f>IFERROR(__xludf.DUMMYFUNCTION("""COMPUTED_VALUE"""),"FIP Engineering")</f>
        <v>FIP Engineering</v>
      </c>
      <c r="O3146" s="6" t="str">
        <f>IFERROR(__xludf.DUMMYFUNCTION("""COMPUTED_VALUE"""),"FIP-DOM-000-11304-OS00001-INA-000000")</f>
        <v>FIP-DOM-000-11304-OS00001-INA-000000</v>
      </c>
      <c r="P3146" s="6" t="str">
        <f>IFERROR(__xludf.DUMMYFUNCTION("""COMPUTED_VALUE"""),"PO Closed")</f>
        <v>PO Closed</v>
      </c>
      <c r="Q3146" s="6" t="str">
        <f>IFERROR(__xludf.DUMMYFUNCTION("""COMPUTED_VALUE"""),"GL2405056")</f>
        <v>GL2405056</v>
      </c>
      <c r="R3146" s="57">
        <f>IFERROR(__xludf.DUMMYFUNCTION("""COMPUTED_VALUE"""),45398.0)</f>
        <v>45398</v>
      </c>
      <c r="S3146" s="57">
        <f>IFERROR(__xludf.DUMMYFUNCTION("""COMPUTED_VALUE"""),45405.0)</f>
        <v>45405</v>
      </c>
      <c r="T3146" s="57">
        <f>IFERROR(__xludf.DUMMYFUNCTION("""COMPUTED_VALUE"""),45450.0)</f>
        <v>45450</v>
      </c>
    </row>
    <row r="3147">
      <c r="A3147" s="6" t="str">
        <f>IFERROR(__xludf.DUMMYFUNCTION("""COMPUTED_VALUE"""),"121701376-8")</f>
        <v>121701376-8</v>
      </c>
      <c r="B3147" s="6" t="str">
        <f>IFERROR(__xludf.DUMMYFUNCTION("""COMPUTED_VALUE"""),"121701376 - APPROVED")</f>
        <v>121701376 - APPROVED</v>
      </c>
      <c r="C3147" s="6">
        <f>IFERROR(__xludf.DUMMYFUNCTION("""COMPUTED_VALUE"""),8.0)</f>
        <v>8</v>
      </c>
      <c r="D3147" s="6" t="str">
        <f>IFERROR(__xludf.DUMMYFUNCTION("""COMPUTED_VALUE"""),"O-19786-00")</f>
        <v>O-19786-00</v>
      </c>
      <c r="E3147" s="6" t="str">
        <f>IFERROR(__xludf.DUMMYFUNCTION("""COMPUTED_VALUE"""),"Head Pusher Cartoning Uk. 15x 22x 51 mm Material SUS 304; Custom; ;")</f>
        <v>Head Pusher Cartoning Uk. 15x 22x 51 mm Material SUS 304; Custom; ;</v>
      </c>
      <c r="F3147" s="6">
        <f>IFERROR(__xludf.DUMMYFUNCTION("""COMPUTED_VALUE"""),1.0)</f>
        <v>1</v>
      </c>
      <c r="G3147" s="6" t="str">
        <f>IFERROR(__xludf.DUMMYFUNCTION("""COMPUTED_VALUE"""),"Pieces")</f>
        <v>Pieces</v>
      </c>
      <c r="H3147" s="6" t="str">
        <f>IFERROR(__xludf.DUMMYFUNCTION("""COMPUTED_VALUE"""),"IDR")</f>
        <v>IDR</v>
      </c>
      <c r="I3147" s="6">
        <f>IFERROR(__xludf.DUMMYFUNCTION("""COMPUTED_VALUE"""),775000.0)</f>
        <v>775000</v>
      </c>
      <c r="J3147" s="6">
        <f>IFERROR(__xludf.DUMMYFUNCTION("""COMPUTED_VALUE"""),775000.0)</f>
        <v>775000</v>
      </c>
      <c r="K3147" s="57">
        <f>IFERROR(__xludf.DUMMYFUNCTION("""COMPUTED_VALUE"""),45407.0)</f>
        <v>45407</v>
      </c>
      <c r="L3147" s="6" t="str">
        <f>IFERROR(__xludf.DUMMYFUNCTION("""COMPUTED_VALUE"""),"FIP Engineering")</f>
        <v>FIP Engineering</v>
      </c>
      <c r="M3147" s="6" t="str">
        <f>IFERROR(__xludf.DUMMYFUNCTION("""COMPUTED_VALUE"""),"Mochammad Fadhillah Hakim,")</f>
        <v>Mochammad Fadhillah Hakim,</v>
      </c>
      <c r="N3147" s="6" t="str">
        <f>IFERROR(__xludf.DUMMYFUNCTION("""COMPUTED_VALUE"""),"FIP Engineering")</f>
        <v>FIP Engineering</v>
      </c>
      <c r="O3147" s="6" t="str">
        <f>IFERROR(__xludf.DUMMYFUNCTION("""COMPUTED_VALUE"""),"FIP-DOM-000-11304-OS00001-INA-000000")</f>
        <v>FIP-DOM-000-11304-OS00001-INA-000000</v>
      </c>
      <c r="P3147" s="6" t="str">
        <f>IFERROR(__xludf.DUMMYFUNCTION("""COMPUTED_VALUE"""),"PO Closed")</f>
        <v>PO Closed</v>
      </c>
      <c r="Q3147" s="6" t="str">
        <f>IFERROR(__xludf.DUMMYFUNCTION("""COMPUTED_VALUE"""),"GL2405056")</f>
        <v>GL2405056</v>
      </c>
      <c r="R3147" s="57">
        <f>IFERROR(__xludf.DUMMYFUNCTION("""COMPUTED_VALUE"""),45398.0)</f>
        <v>45398</v>
      </c>
      <c r="S3147" s="57">
        <f>IFERROR(__xludf.DUMMYFUNCTION("""COMPUTED_VALUE"""),45405.0)</f>
        <v>45405</v>
      </c>
      <c r="T3147" s="57">
        <f>IFERROR(__xludf.DUMMYFUNCTION("""COMPUTED_VALUE"""),45450.0)</f>
        <v>45450</v>
      </c>
    </row>
    <row r="3148">
      <c r="A3148" s="6" t="str">
        <f>IFERROR(__xludf.DUMMYFUNCTION("""COMPUTED_VALUE"""),"121701378-1")</f>
        <v>121701378-1</v>
      </c>
      <c r="B3148" s="6" t="str">
        <f>IFERROR(__xludf.DUMMYFUNCTION("""COMPUTED_VALUE"""),"121701378 - APPROVED")</f>
        <v>121701378 - APPROVED</v>
      </c>
      <c r="C3148" s="6">
        <f>IFERROR(__xludf.DUMMYFUNCTION("""COMPUTED_VALUE"""),1.0)</f>
        <v>1</v>
      </c>
      <c r="D3148" s="6" t="str">
        <f>IFERROR(__xludf.DUMMYFUNCTION("""COMPUTED_VALUE"""),"O-19798-00")</f>
        <v>O-19798-00</v>
      </c>
      <c r="E3148" s="6" t="str">
        <f>IFERROR(__xludf.DUMMYFUNCTION("""COMPUTED_VALUE"""),"Clamp Vacuum KF16 Alumunium; ; ;")</f>
        <v>Clamp Vacuum KF16 Alumunium; ; ;</v>
      </c>
      <c r="F3148" s="6">
        <f>IFERROR(__xludf.DUMMYFUNCTION("""COMPUTED_VALUE"""),10.0)</f>
        <v>10</v>
      </c>
      <c r="G3148" s="6" t="str">
        <f>IFERROR(__xludf.DUMMYFUNCTION("""COMPUTED_VALUE"""),"Pieces")</f>
        <v>Pieces</v>
      </c>
      <c r="H3148" s="6" t="str">
        <f>IFERROR(__xludf.DUMMYFUNCTION("""COMPUTED_VALUE"""),"IDR")</f>
        <v>IDR</v>
      </c>
      <c r="I3148" s="6">
        <f>IFERROR(__xludf.DUMMYFUNCTION("""COMPUTED_VALUE"""),607500.0)</f>
        <v>607500</v>
      </c>
      <c r="J3148" s="6">
        <f>IFERROR(__xludf.DUMMYFUNCTION("""COMPUTED_VALUE"""),6075000.0)</f>
        <v>6075000</v>
      </c>
      <c r="K3148" s="57">
        <f>IFERROR(__xludf.DUMMYFUNCTION("""COMPUTED_VALUE"""),45400.0)</f>
        <v>45400</v>
      </c>
      <c r="L3148" s="6" t="str">
        <f>IFERROR(__xludf.DUMMYFUNCTION("""COMPUTED_VALUE"""),"FIP Engineering")</f>
        <v>FIP Engineering</v>
      </c>
      <c r="M3148" s="6" t="str">
        <f>IFERROR(__xludf.DUMMYFUNCTION("""COMPUTED_VALUE"""),"Mochammad Fadhillah Hakim,")</f>
        <v>Mochammad Fadhillah Hakim,</v>
      </c>
      <c r="N3148" s="6" t="str">
        <f>IFERROR(__xludf.DUMMYFUNCTION("""COMPUTED_VALUE"""),"FIP Engineering")</f>
        <v>FIP Engineering</v>
      </c>
      <c r="O3148" s="6" t="str">
        <f>IFERROR(__xludf.DUMMYFUNCTION("""COMPUTED_VALUE"""),"FIP-DOM-000-11304-OS00001-INA-000000")</f>
        <v>FIP-DOM-000-11304-OS00001-INA-000000</v>
      </c>
      <c r="P3148" s="6" t="str">
        <f>IFERROR(__xludf.DUMMYFUNCTION("""COMPUTED_VALUE"""),"PO Closed")</f>
        <v>PO Closed</v>
      </c>
      <c r="Q3148" s="6" t="str">
        <f>IFERROR(__xludf.DUMMYFUNCTION("""COMPUTED_VALUE"""),"GL2405059")</f>
        <v>GL2405059</v>
      </c>
      <c r="R3148" s="57">
        <f>IFERROR(__xludf.DUMMYFUNCTION("""COMPUTED_VALUE"""),45398.0)</f>
        <v>45398</v>
      </c>
      <c r="S3148" s="57">
        <f>IFERROR(__xludf.DUMMYFUNCTION("""COMPUTED_VALUE"""),45399.0)</f>
        <v>45399</v>
      </c>
      <c r="T3148" s="57">
        <f>IFERROR(__xludf.DUMMYFUNCTION("""COMPUTED_VALUE"""),45461.0)</f>
        <v>45461</v>
      </c>
    </row>
    <row r="3149">
      <c r="A3149" s="6" t="str">
        <f>IFERROR(__xludf.DUMMYFUNCTION("""COMPUTED_VALUE"""),"121701378-2")</f>
        <v>121701378-2</v>
      </c>
      <c r="B3149" s="6" t="str">
        <f>IFERROR(__xludf.DUMMYFUNCTION("""COMPUTED_VALUE"""),"121701378 - APPROVED")</f>
        <v>121701378 - APPROVED</v>
      </c>
      <c r="C3149" s="6">
        <f>IFERROR(__xludf.DUMMYFUNCTION("""COMPUTED_VALUE"""),2.0)</f>
        <v>2</v>
      </c>
      <c r="D3149" s="6" t="str">
        <f>IFERROR(__xludf.DUMMYFUNCTION("""COMPUTED_VALUE"""),"O-19796-00")</f>
        <v>O-19796-00</v>
      </c>
      <c r="E3149" s="6" t="str">
        <f>IFERROR(__xludf.DUMMYFUNCTION("""COMPUTED_VALUE"""),"Blind Plate for Clamp KF16 SS304; ; ;")</f>
        <v>Blind Plate for Clamp KF16 SS304; ; ;</v>
      </c>
      <c r="F3149" s="6">
        <f>IFERROR(__xludf.DUMMYFUNCTION("""COMPUTED_VALUE"""),10.0)</f>
        <v>10</v>
      </c>
      <c r="G3149" s="6" t="str">
        <f>IFERROR(__xludf.DUMMYFUNCTION("""COMPUTED_VALUE"""),"Pieces")</f>
        <v>Pieces</v>
      </c>
      <c r="H3149" s="6" t="str">
        <f>IFERROR(__xludf.DUMMYFUNCTION("""COMPUTED_VALUE"""),"IDR")</f>
        <v>IDR</v>
      </c>
      <c r="I3149" s="6">
        <f>IFERROR(__xludf.DUMMYFUNCTION("""COMPUTED_VALUE"""),405000.0)</f>
        <v>405000</v>
      </c>
      <c r="J3149" s="6">
        <f>IFERROR(__xludf.DUMMYFUNCTION("""COMPUTED_VALUE"""),4050000.0)</f>
        <v>4050000</v>
      </c>
      <c r="K3149" s="57">
        <f>IFERROR(__xludf.DUMMYFUNCTION("""COMPUTED_VALUE"""),45400.0)</f>
        <v>45400</v>
      </c>
      <c r="L3149" s="6" t="str">
        <f>IFERROR(__xludf.DUMMYFUNCTION("""COMPUTED_VALUE"""),"FIP Engineering")</f>
        <v>FIP Engineering</v>
      </c>
      <c r="M3149" s="6" t="str">
        <f>IFERROR(__xludf.DUMMYFUNCTION("""COMPUTED_VALUE"""),"Mochammad Fadhillah Hakim,")</f>
        <v>Mochammad Fadhillah Hakim,</v>
      </c>
      <c r="N3149" s="6" t="str">
        <f>IFERROR(__xludf.DUMMYFUNCTION("""COMPUTED_VALUE"""),"FIP Engineering")</f>
        <v>FIP Engineering</v>
      </c>
      <c r="O3149" s="6" t="str">
        <f>IFERROR(__xludf.DUMMYFUNCTION("""COMPUTED_VALUE"""),"FIP-DOM-000-11304-OS00001-INA-000000")</f>
        <v>FIP-DOM-000-11304-OS00001-INA-000000</v>
      </c>
      <c r="P3149" s="6" t="str">
        <f>IFERROR(__xludf.DUMMYFUNCTION("""COMPUTED_VALUE"""),"PO Closed")</f>
        <v>PO Closed</v>
      </c>
      <c r="Q3149" s="6" t="str">
        <f>IFERROR(__xludf.DUMMYFUNCTION("""COMPUTED_VALUE"""),"GL2405059")</f>
        <v>GL2405059</v>
      </c>
      <c r="R3149" s="57">
        <f>IFERROR(__xludf.DUMMYFUNCTION("""COMPUTED_VALUE"""),45398.0)</f>
        <v>45398</v>
      </c>
      <c r="S3149" s="57">
        <f>IFERROR(__xludf.DUMMYFUNCTION("""COMPUTED_VALUE"""),45399.0)</f>
        <v>45399</v>
      </c>
      <c r="T3149" s="57">
        <f>IFERROR(__xludf.DUMMYFUNCTION("""COMPUTED_VALUE"""),45461.0)</f>
        <v>45461</v>
      </c>
    </row>
    <row r="3150">
      <c r="A3150" s="6" t="str">
        <f>IFERROR(__xludf.DUMMYFUNCTION("""COMPUTED_VALUE"""),"121701379-1")</f>
        <v>121701379-1</v>
      </c>
      <c r="B3150" s="6" t="str">
        <f>IFERROR(__xludf.DUMMYFUNCTION("""COMPUTED_VALUE"""),"121701379 - APPROVED")</f>
        <v>121701379 - APPROVED</v>
      </c>
      <c r="C3150" s="6">
        <f>IFERROR(__xludf.DUMMYFUNCTION("""COMPUTED_VALUE"""),1.0)</f>
        <v>1</v>
      </c>
      <c r="D3150" s="6" t="str">
        <f>IFERROR(__xludf.DUMMYFUNCTION("""COMPUTED_VALUE"""),"O-52229-00")</f>
        <v>O-52229-00</v>
      </c>
      <c r="E3150" s="6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F3150" s="6">
        <f>IFERROR(__xludf.DUMMYFUNCTION("""COMPUTED_VALUE"""),1.0)</f>
        <v>1</v>
      </c>
      <c r="G3150" s="6" t="str">
        <f>IFERROR(__xludf.DUMMYFUNCTION("""COMPUTED_VALUE"""),"Pieces")</f>
        <v>Pieces</v>
      </c>
      <c r="H3150" s="6" t="str">
        <f>IFERROR(__xludf.DUMMYFUNCTION("""COMPUTED_VALUE"""),"IDR")</f>
        <v>IDR</v>
      </c>
      <c r="I3150" s="6">
        <f>IFERROR(__xludf.DUMMYFUNCTION("""COMPUTED_VALUE"""),4200000.0)</f>
        <v>4200000</v>
      </c>
      <c r="J3150" s="6">
        <f>IFERROR(__xludf.DUMMYFUNCTION("""COMPUTED_VALUE"""),4200000.0)</f>
        <v>4200000</v>
      </c>
      <c r="K3150" s="57">
        <f>IFERROR(__xludf.DUMMYFUNCTION("""COMPUTED_VALUE"""),45450.0)</f>
        <v>45450</v>
      </c>
      <c r="L3150" s="6" t="str">
        <f>IFERROR(__xludf.DUMMYFUNCTION("""COMPUTED_VALUE"""),"FIP Engineering")</f>
        <v>FIP Engineering</v>
      </c>
      <c r="M3150" s="6" t="str">
        <f>IFERROR(__xludf.DUMMYFUNCTION("""COMPUTED_VALUE"""),"Mochammad Fadhillah Hakim,")</f>
        <v>Mochammad Fadhillah Hakim,</v>
      </c>
      <c r="N3150" s="6" t="str">
        <f>IFERROR(__xludf.DUMMYFUNCTION("""COMPUTED_VALUE"""),"FIP Engineering")</f>
        <v>FIP Engineering</v>
      </c>
      <c r="O3150" s="6" t="str">
        <f>IFERROR(__xludf.DUMMYFUNCTION("""COMPUTED_VALUE"""),"FIP-DOM-000-11304-OS00001-INA-000000")</f>
        <v>FIP-DOM-000-11304-OS00001-INA-000000</v>
      </c>
      <c r="P3150" s="6" t="str">
        <f>IFERROR(__xludf.DUMMYFUNCTION("""COMPUTED_VALUE"""),"PO Closed")</f>
        <v>PO Closed</v>
      </c>
      <c r="Q3150" s="6" t="str">
        <f>IFERROR(__xludf.DUMMYFUNCTION("""COMPUTED_VALUE"""),"GL2406028")</f>
        <v>GL2406028</v>
      </c>
      <c r="R3150" s="57">
        <f>IFERROR(__xludf.DUMMYFUNCTION("""COMPUTED_VALUE"""),45398.0)</f>
        <v>45398</v>
      </c>
      <c r="S3150" s="57">
        <f>IFERROR(__xludf.DUMMYFUNCTION("""COMPUTED_VALUE"""),45448.0)</f>
        <v>45448</v>
      </c>
      <c r="T3150" s="57">
        <f>IFERROR(__xludf.DUMMYFUNCTION("""COMPUTED_VALUE"""),45492.0)</f>
        <v>45492</v>
      </c>
    </row>
    <row r="3151">
      <c r="A3151" s="6" t="str">
        <f>IFERROR(__xludf.DUMMYFUNCTION("""COMPUTED_VALUE"""),"121701388-1")</f>
        <v>121701388-1</v>
      </c>
      <c r="B3151" s="6" t="str">
        <f>IFERROR(__xludf.DUMMYFUNCTION("""COMPUTED_VALUE"""),"121701388 - APPROVED")</f>
        <v>121701388 - APPROVED</v>
      </c>
      <c r="C3151" s="6">
        <f>IFERROR(__xludf.DUMMYFUNCTION("""COMPUTED_VALUE"""),1.0)</f>
        <v>1</v>
      </c>
      <c r="D3151" s="6" t="str">
        <f>IFERROR(__xludf.DUMMYFUNCTION("""COMPUTED_VALUE"""),"Q-70103-00")</f>
        <v>Q-70103-00</v>
      </c>
      <c r="E3151" s="6" t="str">
        <f>IFERROR(__xludf.DUMMYFUNCTION("""COMPUTED_VALUE"""),"Mata Sock L Set 11 Pcs Dr.1/2 Inch; Tekiro; SC-HB0638; 11 pcs per set")</f>
        <v>Mata Sock L Set 11 Pcs Dr.1/2 Inch; Tekiro; SC-HB0638; 11 pcs per set</v>
      </c>
      <c r="F3151" s="6">
        <f>IFERROR(__xludf.DUMMYFUNCTION("""COMPUTED_VALUE"""),1.0)</f>
        <v>1</v>
      </c>
      <c r="G3151" s="6" t="str">
        <f>IFERROR(__xludf.DUMMYFUNCTION("""COMPUTED_VALUE"""),"Set")</f>
        <v>Set</v>
      </c>
      <c r="H3151" s="6" t="str">
        <f>IFERROR(__xludf.DUMMYFUNCTION("""COMPUTED_VALUE"""),"IDR")</f>
        <v>IDR</v>
      </c>
      <c r="I3151" s="6">
        <f>IFERROR(__xludf.DUMMYFUNCTION("""COMPUTED_VALUE"""),620000.0)</f>
        <v>620000</v>
      </c>
      <c r="J3151" s="6">
        <f>IFERROR(__xludf.DUMMYFUNCTION("""COMPUTED_VALUE"""),620000.0)</f>
        <v>620000</v>
      </c>
      <c r="K3151" s="57">
        <f>IFERROR(__xludf.DUMMYFUNCTION("""COMPUTED_VALUE"""),45402.0)</f>
        <v>45402</v>
      </c>
      <c r="L3151" s="6" t="str">
        <f>IFERROR(__xludf.DUMMYFUNCTION("""COMPUTED_VALUE"""),"FIP General")</f>
        <v>FIP General</v>
      </c>
      <c r="M3151" s="6" t="str">
        <f>IFERROR(__xludf.DUMMYFUNCTION("""COMPUTED_VALUE"""),"Mochammad Fadhillah Hakim,")</f>
        <v>Mochammad Fadhillah Hakim,</v>
      </c>
      <c r="N3151" s="6" t="str">
        <f>IFERROR(__xludf.DUMMYFUNCTION("""COMPUTED_VALUE"""),"FIP Engineering")</f>
        <v>FIP Engineering</v>
      </c>
      <c r="O3151" s="6" t="str">
        <f>IFERROR(__xludf.DUMMYFUNCTION("""COMPUTED_VALUE"""),"FIP-DOM-ENG-51404-0000000-INA-000000")</f>
        <v>FIP-DOM-ENG-51404-0000000-INA-000000</v>
      </c>
      <c r="P3151" s="6" t="str">
        <f>IFERROR(__xludf.DUMMYFUNCTION("""COMPUTED_VALUE"""),"PO Closed")</f>
        <v>PO Closed</v>
      </c>
      <c r="Q3151" s="6" t="str">
        <f>IFERROR(__xludf.DUMMYFUNCTION("""COMPUTED_VALUE"""),"GL2404346")</f>
        <v>GL2404346</v>
      </c>
      <c r="R3151" s="57">
        <f>IFERROR(__xludf.DUMMYFUNCTION("""COMPUTED_VALUE"""),45400.0)</f>
        <v>45400</v>
      </c>
      <c r="S3151" s="57">
        <f>IFERROR(__xludf.DUMMYFUNCTION("""COMPUTED_VALUE"""),45401.0)</f>
        <v>45401</v>
      </c>
      <c r="T3151" s="57">
        <f>IFERROR(__xludf.DUMMYFUNCTION("""COMPUTED_VALUE"""),45427.0)</f>
        <v>45427</v>
      </c>
    </row>
    <row r="3152">
      <c r="A3152" s="6" t="str">
        <f>IFERROR(__xludf.DUMMYFUNCTION("""COMPUTED_VALUE"""),"121701388-2")</f>
        <v>121701388-2</v>
      </c>
      <c r="B3152" s="6" t="str">
        <f>IFERROR(__xludf.DUMMYFUNCTION("""COMPUTED_VALUE"""),"121701388 - APPROVED")</f>
        <v>121701388 - APPROVED</v>
      </c>
      <c r="C3152" s="6">
        <f>IFERROR(__xludf.DUMMYFUNCTION("""COMPUTED_VALUE"""),2.0)</f>
        <v>2</v>
      </c>
      <c r="D3152" s="6" t="str">
        <f>IFERROR(__xludf.DUMMYFUNCTION("""COMPUTED_VALUE"""),"Q-70104-00")</f>
        <v>Q-70104-00</v>
      </c>
      <c r="E3152" s="6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F3152" s="6">
        <f>IFERROR(__xludf.DUMMYFUNCTION("""COMPUTED_VALUE"""),2.0)</f>
        <v>2</v>
      </c>
      <c r="G3152" s="6" t="str">
        <f>IFERROR(__xludf.DUMMYFUNCTION("""COMPUTED_VALUE"""),"Pieces")</f>
        <v>Pieces</v>
      </c>
      <c r="H3152" s="6" t="str">
        <f>IFERROR(__xludf.DUMMYFUNCTION("""COMPUTED_VALUE"""),"IDR")</f>
        <v>IDR</v>
      </c>
      <c r="I3152" s="6">
        <f>IFERROR(__xludf.DUMMYFUNCTION("""COMPUTED_VALUE"""),35000.0)</f>
        <v>35000</v>
      </c>
      <c r="J3152" s="6">
        <f>IFERROR(__xludf.DUMMYFUNCTION("""COMPUTED_VALUE"""),70000.0)</f>
        <v>70000</v>
      </c>
      <c r="K3152" s="57">
        <f>IFERROR(__xludf.DUMMYFUNCTION("""COMPUTED_VALUE"""),45402.0)</f>
        <v>45402</v>
      </c>
      <c r="L3152" s="6" t="str">
        <f>IFERROR(__xludf.DUMMYFUNCTION("""COMPUTED_VALUE"""),"FIP General")</f>
        <v>FIP General</v>
      </c>
      <c r="M3152" s="6" t="str">
        <f>IFERROR(__xludf.DUMMYFUNCTION("""COMPUTED_VALUE"""),"Mochammad Fadhillah Hakim,")</f>
        <v>Mochammad Fadhillah Hakim,</v>
      </c>
      <c r="N3152" s="6" t="str">
        <f>IFERROR(__xludf.DUMMYFUNCTION("""COMPUTED_VALUE"""),"FIP Engineering")</f>
        <v>FIP Engineering</v>
      </c>
      <c r="O3152" s="6" t="str">
        <f>IFERROR(__xludf.DUMMYFUNCTION("""COMPUTED_VALUE"""),"FIP-DOM-ENG-51404-0000000-INA-000000")</f>
        <v>FIP-DOM-ENG-51404-0000000-INA-000000</v>
      </c>
      <c r="P3152" s="6" t="str">
        <f>IFERROR(__xludf.DUMMYFUNCTION("""COMPUTED_VALUE"""),"PO Closed")</f>
        <v>PO Closed</v>
      </c>
      <c r="Q3152" s="6" t="str">
        <f>IFERROR(__xludf.DUMMYFUNCTION("""COMPUTED_VALUE"""),"GL2404346")</f>
        <v>GL2404346</v>
      </c>
      <c r="R3152" s="57">
        <f>IFERROR(__xludf.DUMMYFUNCTION("""COMPUTED_VALUE"""),45400.0)</f>
        <v>45400</v>
      </c>
      <c r="S3152" s="57">
        <f>IFERROR(__xludf.DUMMYFUNCTION("""COMPUTED_VALUE"""),45401.0)</f>
        <v>45401</v>
      </c>
      <c r="T3152" s="57">
        <f>IFERROR(__xludf.DUMMYFUNCTION("""COMPUTED_VALUE"""),45427.0)</f>
        <v>45427</v>
      </c>
    </row>
    <row r="3153">
      <c r="A3153" s="6" t="str">
        <f>IFERROR(__xludf.DUMMYFUNCTION("""COMPUTED_VALUE"""),"121701389-1")</f>
        <v>121701389-1</v>
      </c>
      <c r="B3153" s="6" t="str">
        <f>IFERROR(__xludf.DUMMYFUNCTION("""COMPUTED_VALUE"""),"121701389 - APPROVED")</f>
        <v>121701389 - APPROVED</v>
      </c>
      <c r="C3153" s="6">
        <f>IFERROR(__xludf.DUMMYFUNCTION("""COMPUTED_VALUE"""),1.0)</f>
        <v>1</v>
      </c>
      <c r="D3153" s="6" t="str">
        <f>IFERROR(__xludf.DUMMYFUNCTION("""COMPUTED_VALUE"""),"P-52903-00")</f>
        <v>P-52903-00</v>
      </c>
      <c r="E3153" s="6" t="str">
        <f>IFERROR(__xludf.DUMMYFUNCTION("""COMPUTED_VALUE"""),"Vacuum Pump LiquidRing 1,1kW 1,5HP; ROTOR; CDF 120-0;")</f>
        <v>Vacuum Pump LiquidRing 1,1kW 1,5HP; ROTOR; CDF 120-0;</v>
      </c>
      <c r="F3153" s="6">
        <f>IFERROR(__xludf.DUMMYFUNCTION("""COMPUTED_VALUE"""),1.0)</f>
        <v>1</v>
      </c>
      <c r="G3153" s="6" t="str">
        <f>IFERROR(__xludf.DUMMYFUNCTION("""COMPUTED_VALUE"""),"Unit")</f>
        <v>Unit</v>
      </c>
      <c r="H3153" s="6" t="str">
        <f>IFERROR(__xludf.DUMMYFUNCTION("""COMPUTED_VALUE"""),"IDR")</f>
        <v>IDR</v>
      </c>
      <c r="I3153" s="6">
        <f>IFERROR(__xludf.DUMMYFUNCTION("""COMPUTED_VALUE"""),9292500.0)</f>
        <v>9292500</v>
      </c>
      <c r="J3153" s="6">
        <f>IFERROR(__xludf.DUMMYFUNCTION("""COMPUTED_VALUE"""),9292500.0)</f>
        <v>9292500</v>
      </c>
      <c r="K3153" s="57">
        <f>IFERROR(__xludf.DUMMYFUNCTION("""COMPUTED_VALUE"""),45402.0)</f>
        <v>45402</v>
      </c>
      <c r="L3153" s="6" t="str">
        <f>IFERROR(__xludf.DUMMYFUNCTION("""COMPUTED_VALUE"""),"FIP Engineering")</f>
        <v>FIP Engineering</v>
      </c>
      <c r="M3153" s="6" t="str">
        <f>IFERROR(__xludf.DUMMYFUNCTION("""COMPUTED_VALUE"""),"Mochammad Fadhillah Hakim,")</f>
        <v>Mochammad Fadhillah Hakim,</v>
      </c>
      <c r="N3153" s="6" t="str">
        <f>IFERROR(__xludf.DUMMYFUNCTION("""COMPUTED_VALUE"""),"FIP Engineering")</f>
        <v>FIP Engineering</v>
      </c>
      <c r="O3153" s="6" t="str">
        <f>IFERROR(__xludf.DUMMYFUNCTION("""COMPUTED_VALUE"""),"FIP-DOM-000-11304-OS00001-INA-000000")</f>
        <v>FIP-DOM-000-11304-OS00001-INA-000000</v>
      </c>
      <c r="P3153" s="6" t="str">
        <f>IFERROR(__xludf.DUMMYFUNCTION("""COMPUTED_VALUE"""),"PO Closed")</f>
        <v>PO Closed</v>
      </c>
      <c r="Q3153" s="6" t="str">
        <f>IFERROR(__xludf.DUMMYFUNCTION("""COMPUTED_VALUE"""),"GL2404058")</f>
        <v>GL2404058</v>
      </c>
      <c r="R3153" s="57">
        <f>IFERROR(__xludf.DUMMYFUNCTION("""COMPUTED_VALUE"""),45400.0)</f>
        <v>45400</v>
      </c>
      <c r="S3153" s="57">
        <f>IFERROR(__xludf.DUMMYFUNCTION("""COMPUTED_VALUE"""),45405.0)</f>
        <v>45405</v>
      </c>
      <c r="T3153" s="57">
        <f>IFERROR(__xludf.DUMMYFUNCTION("""COMPUTED_VALUE"""),45432.0)</f>
        <v>45432</v>
      </c>
    </row>
    <row r="3154">
      <c r="A3154" s="6" t="str">
        <f>IFERROR(__xludf.DUMMYFUNCTION("""COMPUTED_VALUE"""),"121701391-1")</f>
        <v>121701391-1</v>
      </c>
      <c r="B3154" s="6" t="str">
        <f>IFERROR(__xludf.DUMMYFUNCTION("""COMPUTED_VALUE"""),"121701391 - APPROVED")</f>
        <v>121701391 - APPROVED</v>
      </c>
      <c r="C3154" s="6">
        <f>IFERROR(__xludf.DUMMYFUNCTION("""COMPUTED_VALUE"""),1.0)</f>
        <v>1</v>
      </c>
      <c r="D3154" s="6" t="str">
        <f>IFERROR(__xludf.DUMMYFUNCTION("""COMPUTED_VALUE"""),"P-19144-00")</f>
        <v>P-19144-00</v>
      </c>
      <c r="E3154" s="6" t="str">
        <f>IFERROR(__xludf.DUMMYFUNCTION("""COMPUTED_VALUE"""),"O-ring Silicon Diameter 5,33mm; Lokal; ;")</f>
        <v>O-ring Silicon Diameter 5,33mm; Lokal; ;</v>
      </c>
      <c r="F3154" s="6">
        <f>IFERROR(__xludf.DUMMYFUNCTION("""COMPUTED_VALUE"""),5.0)</f>
        <v>5</v>
      </c>
      <c r="G3154" s="6" t="str">
        <f>IFERROR(__xludf.DUMMYFUNCTION("""COMPUTED_VALUE"""),"Meter")</f>
        <v>Meter</v>
      </c>
      <c r="H3154" s="6" t="str">
        <f>IFERROR(__xludf.DUMMYFUNCTION("""COMPUTED_VALUE"""),"IDR")</f>
        <v>IDR</v>
      </c>
      <c r="I3154" s="6">
        <f>IFERROR(__xludf.DUMMYFUNCTION("""COMPUTED_VALUE"""),135000.0)</f>
        <v>135000</v>
      </c>
      <c r="J3154" s="6">
        <f>IFERROR(__xludf.DUMMYFUNCTION("""COMPUTED_VALUE"""),675000.0)</f>
        <v>675000</v>
      </c>
      <c r="K3154" s="57">
        <f>IFERROR(__xludf.DUMMYFUNCTION("""COMPUTED_VALUE"""),45403.0)</f>
        <v>45403</v>
      </c>
      <c r="L3154" s="6" t="str">
        <f>IFERROR(__xludf.DUMMYFUNCTION("""COMPUTED_VALUE"""),"FIP Engineering")</f>
        <v>FIP Engineering</v>
      </c>
      <c r="M3154" s="6" t="str">
        <f>IFERROR(__xludf.DUMMYFUNCTION("""COMPUTED_VALUE"""),"Mochammad Fadhillah Hakim,")</f>
        <v>Mochammad Fadhillah Hakim,</v>
      </c>
      <c r="N3154" s="6" t="str">
        <f>IFERROR(__xludf.DUMMYFUNCTION("""COMPUTED_VALUE"""),"FIP Engineering")</f>
        <v>FIP Engineering</v>
      </c>
      <c r="O3154" s="6" t="str">
        <f>IFERROR(__xludf.DUMMYFUNCTION("""COMPUTED_VALUE"""),"FIP-DOM-000-11304-OS00001-INA-000000")</f>
        <v>FIP-DOM-000-11304-OS00001-INA-000000</v>
      </c>
      <c r="P3154" s="6" t="str">
        <f>IFERROR(__xludf.DUMMYFUNCTION("""COMPUTED_VALUE"""),"PO Closed")</f>
        <v>PO Closed</v>
      </c>
      <c r="Q3154" s="6" t="str">
        <f>IFERROR(__xludf.DUMMYFUNCTION("""COMPUTED_VALUE"""),"GL2404052")</f>
        <v>GL2404052</v>
      </c>
      <c r="R3154" s="57">
        <f>IFERROR(__xludf.DUMMYFUNCTION("""COMPUTED_VALUE"""),45401.0)</f>
        <v>45401</v>
      </c>
      <c r="S3154" s="57">
        <f>IFERROR(__xludf.DUMMYFUNCTION("""COMPUTED_VALUE"""),45401.0)</f>
        <v>45401</v>
      </c>
      <c r="T3154" s="57">
        <f>IFERROR(__xludf.DUMMYFUNCTION("""COMPUTED_VALUE"""),45433.0)</f>
        <v>45433</v>
      </c>
    </row>
    <row r="3155">
      <c r="A3155" s="6" t="str">
        <f>IFERROR(__xludf.DUMMYFUNCTION("""COMPUTED_VALUE"""),"121701391-2")</f>
        <v>121701391-2</v>
      </c>
      <c r="B3155" s="6" t="str">
        <f>IFERROR(__xludf.DUMMYFUNCTION("""COMPUTED_VALUE"""),"121701391 - APPROVED")</f>
        <v>121701391 - APPROVED</v>
      </c>
      <c r="C3155" s="6">
        <f>IFERROR(__xludf.DUMMYFUNCTION("""COMPUTED_VALUE"""),2.0)</f>
        <v>2</v>
      </c>
      <c r="D3155" s="6" t="str">
        <f>IFERROR(__xludf.DUMMYFUNCTION("""COMPUTED_VALUE"""),"O-19810-00")</f>
        <v>O-19810-00</v>
      </c>
      <c r="E3155" s="6" t="str">
        <f>IFERROR(__xludf.DUMMYFUNCTION("""COMPUTED_VALUE"""),"Freeze Dryer MBE1207 - Gasket Teflon Uk. 45x41x1.5; Custom; ;")</f>
        <v>Freeze Dryer MBE1207 - Gasket Teflon Uk. 45x41x1.5; Custom; ;</v>
      </c>
      <c r="F3155" s="6">
        <f>IFERROR(__xludf.DUMMYFUNCTION("""COMPUTED_VALUE"""),1.0)</f>
        <v>1</v>
      </c>
      <c r="G3155" s="6" t="str">
        <f>IFERROR(__xludf.DUMMYFUNCTION("""COMPUTED_VALUE"""),"Set")</f>
        <v>Set</v>
      </c>
      <c r="H3155" s="6" t="str">
        <f>IFERROR(__xludf.DUMMYFUNCTION("""COMPUTED_VALUE"""),"IDR")</f>
        <v>IDR</v>
      </c>
      <c r="I3155" s="6">
        <f>IFERROR(__xludf.DUMMYFUNCTION("""COMPUTED_VALUE"""),650000.0)</f>
        <v>650000</v>
      </c>
      <c r="J3155" s="6">
        <f>IFERROR(__xludf.DUMMYFUNCTION("""COMPUTED_VALUE"""),650000.0)</f>
        <v>650000</v>
      </c>
      <c r="K3155" s="57">
        <f>IFERROR(__xludf.DUMMYFUNCTION("""COMPUTED_VALUE"""),45403.0)</f>
        <v>45403</v>
      </c>
      <c r="L3155" s="6" t="str">
        <f>IFERROR(__xludf.DUMMYFUNCTION("""COMPUTED_VALUE"""),"FIP Engineering")</f>
        <v>FIP Engineering</v>
      </c>
      <c r="M3155" s="6" t="str">
        <f>IFERROR(__xludf.DUMMYFUNCTION("""COMPUTED_VALUE"""),"Mochammad Fadhillah Hakim,")</f>
        <v>Mochammad Fadhillah Hakim,</v>
      </c>
      <c r="N3155" s="6" t="str">
        <f>IFERROR(__xludf.DUMMYFUNCTION("""COMPUTED_VALUE"""),"FIP Engineering")</f>
        <v>FIP Engineering</v>
      </c>
      <c r="O3155" s="6" t="str">
        <f>IFERROR(__xludf.DUMMYFUNCTION("""COMPUTED_VALUE"""),"FIP-DOM-000-11304-OS00001-INA-000000")</f>
        <v>FIP-DOM-000-11304-OS00001-INA-000000</v>
      </c>
      <c r="P3155" s="6" t="str">
        <f>IFERROR(__xludf.DUMMYFUNCTION("""COMPUTED_VALUE"""),"PO Closed")</f>
        <v>PO Closed</v>
      </c>
      <c r="Q3155" s="6" t="str">
        <f>IFERROR(__xludf.DUMMYFUNCTION("""COMPUTED_VALUE"""),"GL2404049")</f>
        <v>GL2404049</v>
      </c>
      <c r="R3155" s="57">
        <f>IFERROR(__xludf.DUMMYFUNCTION("""COMPUTED_VALUE"""),45401.0)</f>
        <v>45401</v>
      </c>
      <c r="S3155" s="57">
        <f>IFERROR(__xludf.DUMMYFUNCTION("""COMPUTED_VALUE"""),45401.0)</f>
        <v>45401</v>
      </c>
      <c r="T3155" s="57">
        <f>IFERROR(__xludf.DUMMYFUNCTION("""COMPUTED_VALUE"""),45433.0)</f>
        <v>45433</v>
      </c>
    </row>
    <row r="3156">
      <c r="A3156" s="6" t="str">
        <f>IFERROR(__xludf.DUMMYFUNCTION("""COMPUTED_VALUE"""),"121701400-1")</f>
        <v>121701400-1</v>
      </c>
      <c r="B3156" s="6" t="str">
        <f>IFERROR(__xludf.DUMMYFUNCTION("""COMPUTED_VALUE"""),"121701400 - APPROVED")</f>
        <v>121701400 - APPROVED</v>
      </c>
      <c r="C3156" s="6">
        <f>IFERROR(__xludf.DUMMYFUNCTION("""COMPUTED_VALUE"""),1.0)</f>
        <v>1</v>
      </c>
      <c r="D3156" s="6" t="str">
        <f>IFERROR(__xludf.DUMMYFUNCTION("""COMPUTED_VALUE"""),"P-51560-00")</f>
        <v>P-51560-00</v>
      </c>
      <c r="E3156" s="6" t="str">
        <f>IFERROR(__xludf.DUMMYFUNCTION("""COMPUTED_VALUE"""),"Lampu T5 28watt Putih; Phillips; ;")</f>
        <v>Lampu T5 28watt Putih; Phillips; ;</v>
      </c>
      <c r="F3156" s="6">
        <f>IFERROR(__xludf.DUMMYFUNCTION("""COMPUTED_VALUE"""),120.0)</f>
        <v>120</v>
      </c>
      <c r="G3156" s="6" t="str">
        <f>IFERROR(__xludf.DUMMYFUNCTION("""COMPUTED_VALUE"""),"Pieces")</f>
        <v>Pieces</v>
      </c>
      <c r="H3156" s="6" t="str">
        <f>IFERROR(__xludf.DUMMYFUNCTION("""COMPUTED_VALUE"""),"IDR")</f>
        <v>IDR</v>
      </c>
      <c r="I3156" s="6">
        <f>IFERROR(__xludf.DUMMYFUNCTION("""COMPUTED_VALUE"""),46500.0)</f>
        <v>46500</v>
      </c>
      <c r="J3156" s="6">
        <f>IFERROR(__xludf.DUMMYFUNCTION("""COMPUTED_VALUE"""),5580000.0)</f>
        <v>5580000</v>
      </c>
      <c r="K3156" s="57">
        <f>IFERROR(__xludf.DUMMYFUNCTION("""COMPUTED_VALUE"""),45410.0)</f>
        <v>45410</v>
      </c>
      <c r="L3156" s="6" t="str">
        <f>IFERROR(__xludf.DUMMYFUNCTION("""COMPUTED_VALUE"""),"FIP Engineering")</f>
        <v>FIP Engineering</v>
      </c>
      <c r="M3156" s="6" t="str">
        <f>IFERROR(__xludf.DUMMYFUNCTION("""COMPUTED_VALUE"""),"Mochammad Fadhillah Hakim,")</f>
        <v>Mochammad Fadhillah Hakim,</v>
      </c>
      <c r="N3156" s="6" t="str">
        <f>IFERROR(__xludf.DUMMYFUNCTION("""COMPUTED_VALUE"""),"FIP Engineering")</f>
        <v>FIP Engineering</v>
      </c>
      <c r="O3156" s="6" t="str">
        <f>IFERROR(__xludf.DUMMYFUNCTION("""COMPUTED_VALUE"""),"FIP-DOM-000-11304-OS00001-INA-000000")</f>
        <v>FIP-DOM-000-11304-OS00001-INA-000000</v>
      </c>
      <c r="P3156" s="6" t="str">
        <f>IFERROR(__xludf.DUMMYFUNCTION("""COMPUTED_VALUE"""),"PO Closed")</f>
        <v>PO Closed</v>
      </c>
      <c r="Q3156" s="6" t="str">
        <f>IFERROR(__xludf.DUMMYFUNCTION("""COMPUTED_VALUE"""),"GL2406005")</f>
        <v>GL2406005</v>
      </c>
      <c r="R3156" s="57">
        <f>IFERROR(__xludf.DUMMYFUNCTION("""COMPUTED_VALUE"""),45408.0)</f>
        <v>45408</v>
      </c>
      <c r="S3156" s="57">
        <f>IFERROR(__xludf.DUMMYFUNCTION("""COMPUTED_VALUE"""),45415.0)</f>
        <v>45415</v>
      </c>
      <c r="T3156" s="57">
        <f>IFERROR(__xludf.DUMMYFUNCTION("""COMPUTED_VALUE"""),45463.0)</f>
        <v>45463</v>
      </c>
    </row>
    <row r="3157">
      <c r="A3157" s="6" t="str">
        <f>IFERROR(__xludf.DUMMYFUNCTION("""COMPUTED_VALUE"""),"121701400-2")</f>
        <v>121701400-2</v>
      </c>
      <c r="B3157" s="6" t="str">
        <f>IFERROR(__xludf.DUMMYFUNCTION("""COMPUTED_VALUE"""),"121701400 - APPROVED")</f>
        <v>121701400 - APPROVED</v>
      </c>
      <c r="C3157" s="6">
        <f>IFERROR(__xludf.DUMMYFUNCTION("""COMPUTED_VALUE"""),2.0)</f>
        <v>2</v>
      </c>
      <c r="D3157" s="6" t="str">
        <f>IFERROR(__xludf.DUMMYFUNCTION("""COMPUTED_VALUE"""),"P-53102-00")</f>
        <v>P-53102-00</v>
      </c>
      <c r="E3157" s="6" t="str">
        <f>IFERROR(__xludf.DUMMYFUNCTION("""COMPUTED_VALUE"""),"Lampu PLC 13watt/E27 Putih; Phillips; ;")</f>
        <v>Lampu PLC 13watt/E27 Putih; Phillips; ;</v>
      </c>
      <c r="F3157" s="6">
        <f>IFERROR(__xludf.DUMMYFUNCTION("""COMPUTED_VALUE"""),20.0)</f>
        <v>20</v>
      </c>
      <c r="G3157" s="6" t="str">
        <f>IFERROR(__xludf.DUMMYFUNCTION("""COMPUTED_VALUE"""),"Pieces")</f>
        <v>Pieces</v>
      </c>
      <c r="H3157" s="6" t="str">
        <f>IFERROR(__xludf.DUMMYFUNCTION("""COMPUTED_VALUE"""),"IDR")</f>
        <v>IDR</v>
      </c>
      <c r="I3157" s="6">
        <f>IFERROR(__xludf.DUMMYFUNCTION("""COMPUTED_VALUE"""),46000.0)</f>
        <v>46000</v>
      </c>
      <c r="J3157" s="6">
        <f>IFERROR(__xludf.DUMMYFUNCTION("""COMPUTED_VALUE"""),920000.0)</f>
        <v>920000</v>
      </c>
      <c r="K3157" s="57">
        <f>IFERROR(__xludf.DUMMYFUNCTION("""COMPUTED_VALUE"""),45410.0)</f>
        <v>45410</v>
      </c>
      <c r="L3157" s="6" t="str">
        <f>IFERROR(__xludf.DUMMYFUNCTION("""COMPUTED_VALUE"""),"FIP Engineering")</f>
        <v>FIP Engineering</v>
      </c>
      <c r="M3157" s="6" t="str">
        <f>IFERROR(__xludf.DUMMYFUNCTION("""COMPUTED_VALUE"""),"Mochammad Fadhillah Hakim,")</f>
        <v>Mochammad Fadhillah Hakim,</v>
      </c>
      <c r="N3157" s="6" t="str">
        <f>IFERROR(__xludf.DUMMYFUNCTION("""COMPUTED_VALUE"""),"FIP Engineering")</f>
        <v>FIP Engineering</v>
      </c>
      <c r="O3157" s="6" t="str">
        <f>IFERROR(__xludf.DUMMYFUNCTION("""COMPUTED_VALUE"""),"FIP-DOM-000-11304-OS00001-INA-000000")</f>
        <v>FIP-DOM-000-11304-OS00001-INA-000000</v>
      </c>
      <c r="P3157" s="6" t="str">
        <f>IFERROR(__xludf.DUMMYFUNCTION("""COMPUTED_VALUE"""),"PO Closed")</f>
        <v>PO Closed</v>
      </c>
      <c r="Q3157" s="6" t="str">
        <f>IFERROR(__xludf.DUMMYFUNCTION("""COMPUTED_VALUE"""),"GL2406005")</f>
        <v>GL2406005</v>
      </c>
      <c r="R3157" s="57">
        <f>IFERROR(__xludf.DUMMYFUNCTION("""COMPUTED_VALUE"""),45408.0)</f>
        <v>45408</v>
      </c>
      <c r="S3157" s="57">
        <f>IFERROR(__xludf.DUMMYFUNCTION("""COMPUTED_VALUE"""),45415.0)</f>
        <v>45415</v>
      </c>
      <c r="T3157" s="57">
        <f>IFERROR(__xludf.DUMMYFUNCTION("""COMPUTED_VALUE"""),45463.0)</f>
        <v>45463</v>
      </c>
    </row>
    <row r="3158">
      <c r="A3158" s="6" t="str">
        <f>IFERROR(__xludf.DUMMYFUNCTION("""COMPUTED_VALUE"""),"121701400-3")</f>
        <v>121701400-3</v>
      </c>
      <c r="B3158" s="6" t="str">
        <f>IFERROR(__xludf.DUMMYFUNCTION("""COMPUTED_VALUE"""),"121701400 - APPROVED")</f>
        <v>121701400 - APPROVED</v>
      </c>
      <c r="C3158" s="6">
        <f>IFERROR(__xludf.DUMMYFUNCTION("""COMPUTED_VALUE"""),3.0)</f>
        <v>3</v>
      </c>
      <c r="D3158" s="6" t="str">
        <f>IFERROR(__xludf.DUMMYFUNCTION("""COMPUTED_VALUE"""),"P-10945-00")</f>
        <v>P-10945-00</v>
      </c>
      <c r="E3158" s="6" t="str">
        <f>IFERROR(__xludf.DUMMYFUNCTION("""COMPUTED_VALUE"""),"Insulation - Seal Tape onda")</f>
        <v>Insulation - Seal Tape onda</v>
      </c>
      <c r="F3158" s="6">
        <f>IFERROR(__xludf.DUMMYFUNCTION("""COMPUTED_VALUE"""),20.0)</f>
        <v>20</v>
      </c>
      <c r="G3158" s="6" t="str">
        <f>IFERROR(__xludf.DUMMYFUNCTION("""COMPUTED_VALUE"""),"Pieces")</f>
        <v>Pieces</v>
      </c>
      <c r="H3158" s="6" t="str">
        <f>IFERROR(__xludf.DUMMYFUNCTION("""COMPUTED_VALUE"""),"IDR")</f>
        <v>IDR</v>
      </c>
      <c r="I3158" s="6">
        <f>IFERROR(__xludf.DUMMYFUNCTION("""COMPUTED_VALUE"""),4500.0)</f>
        <v>4500</v>
      </c>
      <c r="J3158" s="6">
        <f>IFERROR(__xludf.DUMMYFUNCTION("""COMPUTED_VALUE"""),90000.0)</f>
        <v>90000</v>
      </c>
      <c r="K3158" s="57">
        <f>IFERROR(__xludf.DUMMYFUNCTION("""COMPUTED_VALUE"""),45410.0)</f>
        <v>45410</v>
      </c>
      <c r="L3158" s="6" t="str">
        <f>IFERROR(__xludf.DUMMYFUNCTION("""COMPUTED_VALUE"""),"FIP Engineering")</f>
        <v>FIP Engineering</v>
      </c>
      <c r="M3158" s="6" t="str">
        <f>IFERROR(__xludf.DUMMYFUNCTION("""COMPUTED_VALUE"""),"Mochammad Fadhillah Hakim,")</f>
        <v>Mochammad Fadhillah Hakim,</v>
      </c>
      <c r="N3158" s="6" t="str">
        <f>IFERROR(__xludf.DUMMYFUNCTION("""COMPUTED_VALUE"""),"FIP Engineering")</f>
        <v>FIP Engineering</v>
      </c>
      <c r="O3158" s="6" t="str">
        <f>IFERROR(__xludf.DUMMYFUNCTION("""COMPUTED_VALUE"""),"FIP-DOM-000-11304-OS00001-INA-000000")</f>
        <v>FIP-DOM-000-11304-OS00001-INA-000000</v>
      </c>
      <c r="P3158" s="6" t="str">
        <f>IFERROR(__xludf.DUMMYFUNCTION("""COMPUTED_VALUE"""),"PO Closed")</f>
        <v>PO Closed</v>
      </c>
      <c r="Q3158" s="6" t="str">
        <f>IFERROR(__xludf.DUMMYFUNCTION("""COMPUTED_VALUE"""),"GL2406005")</f>
        <v>GL2406005</v>
      </c>
      <c r="R3158" s="57">
        <f>IFERROR(__xludf.DUMMYFUNCTION("""COMPUTED_VALUE"""),45408.0)</f>
        <v>45408</v>
      </c>
      <c r="S3158" s="57">
        <f>IFERROR(__xludf.DUMMYFUNCTION("""COMPUTED_VALUE"""),45415.0)</f>
        <v>45415</v>
      </c>
      <c r="T3158" s="57">
        <f>IFERROR(__xludf.DUMMYFUNCTION("""COMPUTED_VALUE"""),45463.0)</f>
        <v>45463</v>
      </c>
    </row>
    <row r="3159">
      <c r="A3159" s="6" t="str">
        <f>IFERROR(__xludf.DUMMYFUNCTION("""COMPUTED_VALUE"""),"121701400-4")</f>
        <v>121701400-4</v>
      </c>
      <c r="B3159" s="6" t="str">
        <f>IFERROR(__xludf.DUMMYFUNCTION("""COMPUTED_VALUE"""),"121701400 - APPROVED")</f>
        <v>121701400 - APPROVED</v>
      </c>
      <c r="C3159" s="6">
        <f>IFERROR(__xludf.DUMMYFUNCTION("""COMPUTED_VALUE"""),4.0)</f>
        <v>4</v>
      </c>
      <c r="D3159" s="6" t="str">
        <f>IFERROR(__xludf.DUMMYFUNCTION("""COMPUTED_VALUE"""),"O-11181-00")</f>
        <v>O-11181-00</v>
      </c>
      <c r="E3159" s="6" t="str">
        <f>IFERROR(__xludf.DUMMYFUNCTION("""COMPUTED_VALUE"""),"Bearing 626-2Z")</f>
        <v>Bearing 626-2Z</v>
      </c>
      <c r="F3159" s="6">
        <f>IFERROR(__xludf.DUMMYFUNCTION("""COMPUTED_VALUE"""),20.0)</f>
        <v>20</v>
      </c>
      <c r="G3159" s="6" t="str">
        <f>IFERROR(__xludf.DUMMYFUNCTION("""COMPUTED_VALUE"""),"Pieces")</f>
        <v>Pieces</v>
      </c>
      <c r="H3159" s="6" t="str">
        <f>IFERROR(__xludf.DUMMYFUNCTION("""COMPUTED_VALUE"""),"IDR")</f>
        <v>IDR</v>
      </c>
      <c r="I3159" s="6">
        <f>IFERROR(__xludf.DUMMYFUNCTION("""COMPUTED_VALUE"""),48000.0)</f>
        <v>48000</v>
      </c>
      <c r="J3159" s="6">
        <f>IFERROR(__xludf.DUMMYFUNCTION("""COMPUTED_VALUE"""),960000.0)</f>
        <v>960000</v>
      </c>
      <c r="K3159" s="57">
        <f>IFERROR(__xludf.DUMMYFUNCTION("""COMPUTED_VALUE"""),45410.0)</f>
        <v>45410</v>
      </c>
      <c r="L3159" s="6" t="str">
        <f>IFERROR(__xludf.DUMMYFUNCTION("""COMPUTED_VALUE"""),"FIP Engineering")</f>
        <v>FIP Engineering</v>
      </c>
      <c r="M3159" s="6" t="str">
        <f>IFERROR(__xludf.DUMMYFUNCTION("""COMPUTED_VALUE"""),"Mochammad Fadhillah Hakim,")</f>
        <v>Mochammad Fadhillah Hakim,</v>
      </c>
      <c r="N3159" s="6" t="str">
        <f>IFERROR(__xludf.DUMMYFUNCTION("""COMPUTED_VALUE"""),"FIP Engineering")</f>
        <v>FIP Engineering</v>
      </c>
      <c r="O3159" s="6" t="str">
        <f>IFERROR(__xludf.DUMMYFUNCTION("""COMPUTED_VALUE"""),"FIP-DOM-000-11304-OS00001-INA-000000")</f>
        <v>FIP-DOM-000-11304-OS00001-INA-000000</v>
      </c>
      <c r="P3159" s="6" t="str">
        <f>IFERROR(__xludf.DUMMYFUNCTION("""COMPUTED_VALUE"""),"PO Closed")</f>
        <v>PO Closed</v>
      </c>
      <c r="Q3159" s="6" t="str">
        <f>IFERROR(__xludf.DUMMYFUNCTION("""COMPUTED_VALUE"""),"GL2405349")</f>
        <v>GL2405349</v>
      </c>
      <c r="R3159" s="57">
        <f>IFERROR(__xludf.DUMMYFUNCTION("""COMPUTED_VALUE"""),45408.0)</f>
        <v>45408</v>
      </c>
      <c r="S3159" s="57">
        <f>IFERROR(__xludf.DUMMYFUNCTION("""COMPUTED_VALUE"""),45415.0)</f>
        <v>45415</v>
      </c>
      <c r="T3159" s="57">
        <f>IFERROR(__xludf.DUMMYFUNCTION("""COMPUTED_VALUE"""),45443.0)</f>
        <v>45443</v>
      </c>
    </row>
    <row r="3160">
      <c r="A3160" s="6" t="str">
        <f>IFERROR(__xludf.DUMMYFUNCTION("""COMPUTED_VALUE"""),"121701400-5")</f>
        <v>121701400-5</v>
      </c>
      <c r="B3160" s="6" t="str">
        <f>IFERROR(__xludf.DUMMYFUNCTION("""COMPUTED_VALUE"""),"121701400 - APPROVED")</f>
        <v>121701400 - APPROVED</v>
      </c>
      <c r="C3160" s="6">
        <f>IFERROR(__xludf.DUMMYFUNCTION("""COMPUTED_VALUE"""),5.0)</f>
        <v>5</v>
      </c>
      <c r="D3160" s="6" t="str">
        <f>IFERROR(__xludf.DUMMYFUNCTION("""COMPUTED_VALUE"""),"Q-60502-00")</f>
        <v>Q-60502-00</v>
      </c>
      <c r="E3160" s="6" t="str">
        <f>IFERROR(__xludf.DUMMYFUNCTION("""COMPUTED_VALUE"""),"Silicone Sealant, Silglaze, Type N10 White, pack size per pcs")</f>
        <v>Silicone Sealant, Silglaze, Type N10 White, pack size per pcs</v>
      </c>
      <c r="F3160" s="6">
        <f>IFERROR(__xludf.DUMMYFUNCTION("""COMPUTED_VALUE"""),5.0)</f>
        <v>5</v>
      </c>
      <c r="G3160" s="6" t="str">
        <f>IFERROR(__xludf.DUMMYFUNCTION("""COMPUTED_VALUE"""),"Pieces")</f>
        <v>Pieces</v>
      </c>
      <c r="H3160" s="6" t="str">
        <f>IFERROR(__xludf.DUMMYFUNCTION("""COMPUTED_VALUE"""),"IDR")</f>
        <v>IDR</v>
      </c>
      <c r="I3160" s="6">
        <f>IFERROR(__xludf.DUMMYFUNCTION("""COMPUTED_VALUE"""),42500.0)</f>
        <v>42500</v>
      </c>
      <c r="J3160" s="6">
        <f>IFERROR(__xludf.DUMMYFUNCTION("""COMPUTED_VALUE"""),212500.0)</f>
        <v>212500</v>
      </c>
      <c r="K3160" s="57">
        <f>IFERROR(__xludf.DUMMYFUNCTION("""COMPUTED_VALUE"""),45410.0)</f>
        <v>45410</v>
      </c>
      <c r="L3160" s="6" t="str">
        <f>IFERROR(__xludf.DUMMYFUNCTION("""COMPUTED_VALUE"""),"FIP Engineering")</f>
        <v>FIP Engineering</v>
      </c>
      <c r="M3160" s="6" t="str">
        <f>IFERROR(__xludf.DUMMYFUNCTION("""COMPUTED_VALUE"""),"Mochammad Fadhillah Hakim,")</f>
        <v>Mochammad Fadhillah Hakim,</v>
      </c>
      <c r="N3160" s="6" t="str">
        <f>IFERROR(__xludf.DUMMYFUNCTION("""COMPUTED_VALUE"""),"FIP Engineering")</f>
        <v>FIP Engineering</v>
      </c>
      <c r="O3160" s="6" t="str">
        <f>IFERROR(__xludf.DUMMYFUNCTION("""COMPUTED_VALUE"""),"FIP-DOM-000-11304-OS00001-INA-000000")</f>
        <v>FIP-DOM-000-11304-OS00001-INA-000000</v>
      </c>
      <c r="P3160" s="6" t="str">
        <f>IFERROR(__xludf.DUMMYFUNCTION("""COMPUTED_VALUE"""),"PO Closed")</f>
        <v>PO Closed</v>
      </c>
      <c r="Q3160" s="6" t="str">
        <f>IFERROR(__xludf.DUMMYFUNCTION("""COMPUTED_VALUE"""),"GL2405354")</f>
        <v>GL2405354</v>
      </c>
      <c r="R3160" s="57">
        <f>IFERROR(__xludf.DUMMYFUNCTION("""COMPUTED_VALUE"""),45408.0)</f>
        <v>45408</v>
      </c>
      <c r="S3160" s="57">
        <f>IFERROR(__xludf.DUMMYFUNCTION("""COMPUTED_VALUE"""),45415.0)</f>
        <v>45415</v>
      </c>
      <c r="T3160" s="57">
        <f>IFERROR(__xludf.DUMMYFUNCTION("""COMPUTED_VALUE"""),45441.0)</f>
        <v>45441</v>
      </c>
    </row>
    <row r="3161">
      <c r="A3161" s="6" t="str">
        <f>IFERROR(__xludf.DUMMYFUNCTION("""COMPUTED_VALUE"""),"121701400-6")</f>
        <v>121701400-6</v>
      </c>
      <c r="B3161" s="6" t="str">
        <f>IFERROR(__xludf.DUMMYFUNCTION("""COMPUTED_VALUE"""),"121701400 - APPROVED")</f>
        <v>121701400 - APPROVED</v>
      </c>
      <c r="C3161" s="6">
        <f>IFERROR(__xludf.DUMMYFUNCTION("""COMPUTED_VALUE"""),6.0)</f>
        <v>6</v>
      </c>
      <c r="D3161" s="6" t="str">
        <f>IFERROR(__xludf.DUMMYFUNCTION("""COMPUTED_VALUE"""),"P-50140-00")</f>
        <v>P-50140-00</v>
      </c>
      <c r="E3161" s="6" t="str">
        <f>IFERROR(__xludf.DUMMYFUNCTION("""COMPUTED_VALUE"""),"Battery UPS - Battery kering Merk YUASA 12V 9AH")</f>
        <v>Battery UPS - Battery kering Merk YUASA 12V 9AH</v>
      </c>
      <c r="F3161" s="6">
        <f>IFERROR(__xludf.DUMMYFUNCTION("""COMPUTED_VALUE"""),5.0)</f>
        <v>5</v>
      </c>
      <c r="G3161" s="6" t="str">
        <f>IFERROR(__xludf.DUMMYFUNCTION("""COMPUTED_VALUE"""),"Pieces")</f>
        <v>Pieces</v>
      </c>
      <c r="H3161" s="6" t="str">
        <f>IFERROR(__xludf.DUMMYFUNCTION("""COMPUTED_VALUE"""),"IDR")</f>
        <v>IDR</v>
      </c>
      <c r="I3161" s="6">
        <f>IFERROR(__xludf.DUMMYFUNCTION("""COMPUTED_VALUE"""),600000.0)</f>
        <v>600000</v>
      </c>
      <c r="J3161" s="6">
        <f>IFERROR(__xludf.DUMMYFUNCTION("""COMPUTED_VALUE"""),3000000.0)</f>
        <v>3000000</v>
      </c>
      <c r="K3161" s="57">
        <f>IFERROR(__xludf.DUMMYFUNCTION("""COMPUTED_VALUE"""),45410.0)</f>
        <v>45410</v>
      </c>
      <c r="L3161" s="6" t="str">
        <f>IFERROR(__xludf.DUMMYFUNCTION("""COMPUTED_VALUE"""),"FIP Engineering")</f>
        <v>FIP Engineering</v>
      </c>
      <c r="M3161" s="6" t="str">
        <f>IFERROR(__xludf.DUMMYFUNCTION("""COMPUTED_VALUE"""),"Mochammad Fadhillah Hakim,")</f>
        <v>Mochammad Fadhillah Hakim,</v>
      </c>
      <c r="N3161" s="6" t="str">
        <f>IFERROR(__xludf.DUMMYFUNCTION("""COMPUTED_VALUE"""),"FIP Engineering")</f>
        <v>FIP Engineering</v>
      </c>
      <c r="O3161" s="6" t="str">
        <f>IFERROR(__xludf.DUMMYFUNCTION("""COMPUTED_VALUE"""),"FIP-DOM-000-11304-OS00001-INA-000000")</f>
        <v>FIP-DOM-000-11304-OS00001-INA-000000</v>
      </c>
      <c r="P3161" s="6" t="str">
        <f>IFERROR(__xludf.DUMMYFUNCTION("""COMPUTED_VALUE"""),"PO Closed")</f>
        <v>PO Closed</v>
      </c>
      <c r="Q3161" s="6" t="str">
        <f>IFERROR(__xludf.DUMMYFUNCTION("""COMPUTED_VALUE"""),"GL2406005")</f>
        <v>GL2406005</v>
      </c>
      <c r="R3161" s="57">
        <f>IFERROR(__xludf.DUMMYFUNCTION("""COMPUTED_VALUE"""),45408.0)</f>
        <v>45408</v>
      </c>
      <c r="S3161" s="57">
        <f>IFERROR(__xludf.DUMMYFUNCTION("""COMPUTED_VALUE"""),45415.0)</f>
        <v>45415</v>
      </c>
      <c r="T3161" s="57">
        <f>IFERROR(__xludf.DUMMYFUNCTION("""COMPUTED_VALUE"""),45463.0)</f>
        <v>45463</v>
      </c>
    </row>
    <row r="3162">
      <c r="A3162" s="6" t="str">
        <f>IFERROR(__xludf.DUMMYFUNCTION("""COMPUTED_VALUE"""),"121701400-7")</f>
        <v>121701400-7</v>
      </c>
      <c r="B3162" s="6" t="str">
        <f>IFERROR(__xludf.DUMMYFUNCTION("""COMPUTED_VALUE"""),"121701400 - APPROVED")</f>
        <v>121701400 - APPROVED</v>
      </c>
      <c r="C3162" s="6">
        <f>IFERROR(__xludf.DUMMYFUNCTION("""COMPUTED_VALUE"""),7.0)</f>
        <v>7</v>
      </c>
      <c r="D3162" s="6" t="str">
        <f>IFERROR(__xludf.DUMMYFUNCTION("""COMPUTED_VALUE"""),"Q-60503-00")</f>
        <v>Q-60503-00</v>
      </c>
      <c r="E3162" s="6" t="str">
        <f>IFERROR(__xludf.DUMMYFUNCTION("""COMPUTED_VALUE"""),"Silicone Sealant, Silglaze, Type N10 Grey, pack size per pcs")</f>
        <v>Silicone Sealant, Silglaze, Type N10 Grey, pack size per pcs</v>
      </c>
      <c r="F3162" s="6">
        <f>IFERROR(__xludf.DUMMYFUNCTION("""COMPUTED_VALUE"""),5.0)</f>
        <v>5</v>
      </c>
      <c r="G3162" s="6" t="str">
        <f>IFERROR(__xludf.DUMMYFUNCTION("""COMPUTED_VALUE"""),"Pieces")</f>
        <v>Pieces</v>
      </c>
      <c r="H3162" s="6" t="str">
        <f>IFERROR(__xludf.DUMMYFUNCTION("""COMPUTED_VALUE"""),"IDR")</f>
        <v>IDR</v>
      </c>
      <c r="I3162" s="6">
        <f>IFERROR(__xludf.DUMMYFUNCTION("""COMPUTED_VALUE"""),42500.0)</f>
        <v>42500</v>
      </c>
      <c r="J3162" s="6">
        <f>IFERROR(__xludf.DUMMYFUNCTION("""COMPUTED_VALUE"""),212500.0)</f>
        <v>212500</v>
      </c>
      <c r="K3162" s="57">
        <f>IFERROR(__xludf.DUMMYFUNCTION("""COMPUTED_VALUE"""),45410.0)</f>
        <v>45410</v>
      </c>
      <c r="L3162" s="6" t="str">
        <f>IFERROR(__xludf.DUMMYFUNCTION("""COMPUTED_VALUE"""),"FIP Engineering")</f>
        <v>FIP Engineering</v>
      </c>
      <c r="M3162" s="6" t="str">
        <f>IFERROR(__xludf.DUMMYFUNCTION("""COMPUTED_VALUE"""),"Mochammad Fadhillah Hakim,")</f>
        <v>Mochammad Fadhillah Hakim,</v>
      </c>
      <c r="N3162" s="6" t="str">
        <f>IFERROR(__xludf.DUMMYFUNCTION("""COMPUTED_VALUE"""),"FIP Engineering")</f>
        <v>FIP Engineering</v>
      </c>
      <c r="O3162" s="6" t="str">
        <f>IFERROR(__xludf.DUMMYFUNCTION("""COMPUTED_VALUE"""),"FIP-DOM-000-11304-OS00001-INA-000000")</f>
        <v>FIP-DOM-000-11304-OS00001-INA-000000</v>
      </c>
      <c r="P3162" s="6" t="str">
        <f>IFERROR(__xludf.DUMMYFUNCTION("""COMPUTED_VALUE"""),"PO Closed")</f>
        <v>PO Closed</v>
      </c>
      <c r="Q3162" s="6" t="str">
        <f>IFERROR(__xludf.DUMMYFUNCTION("""COMPUTED_VALUE"""),"GL2405354")</f>
        <v>GL2405354</v>
      </c>
      <c r="R3162" s="57">
        <f>IFERROR(__xludf.DUMMYFUNCTION("""COMPUTED_VALUE"""),45408.0)</f>
        <v>45408</v>
      </c>
      <c r="S3162" s="57">
        <f>IFERROR(__xludf.DUMMYFUNCTION("""COMPUTED_VALUE"""),45415.0)</f>
        <v>45415</v>
      </c>
      <c r="T3162" s="57">
        <f>IFERROR(__xludf.DUMMYFUNCTION("""COMPUTED_VALUE"""),45441.0)</f>
        <v>45441</v>
      </c>
    </row>
    <row r="3163">
      <c r="A3163" s="6" t="str">
        <f>IFERROR(__xludf.DUMMYFUNCTION("""COMPUTED_VALUE"""),"121701400-8")</f>
        <v>121701400-8</v>
      </c>
      <c r="B3163" s="6" t="str">
        <f>IFERROR(__xludf.DUMMYFUNCTION("""COMPUTED_VALUE"""),"121701400 - APPROVED")</f>
        <v>121701400 - APPROVED</v>
      </c>
      <c r="C3163" s="6">
        <f>IFERROR(__xludf.DUMMYFUNCTION("""COMPUTED_VALUE"""),8.0)</f>
        <v>8</v>
      </c>
      <c r="D3163" s="6" t="str">
        <f>IFERROR(__xludf.DUMMYFUNCTION("""COMPUTED_VALUE"""),"Q-60501-00")</f>
        <v>Q-60501-00</v>
      </c>
      <c r="E3163" s="6" t="str">
        <f>IFERROR(__xludf.DUMMYFUNCTION("""COMPUTED_VALUE"""),"Silicone Sealant, Silglaze, Type N10 Clear, pack size per pcs")</f>
        <v>Silicone Sealant, Silglaze, Type N10 Clear, pack size per pcs</v>
      </c>
      <c r="F3163" s="6">
        <f>IFERROR(__xludf.DUMMYFUNCTION("""COMPUTED_VALUE"""),10.0)</f>
        <v>10</v>
      </c>
      <c r="G3163" s="6" t="str">
        <f>IFERROR(__xludf.DUMMYFUNCTION("""COMPUTED_VALUE"""),"Pieces")</f>
        <v>Pieces</v>
      </c>
      <c r="H3163" s="6" t="str">
        <f>IFERROR(__xludf.DUMMYFUNCTION("""COMPUTED_VALUE"""),"IDR")</f>
        <v>IDR</v>
      </c>
      <c r="I3163" s="6">
        <f>IFERROR(__xludf.DUMMYFUNCTION("""COMPUTED_VALUE"""),42500.0)</f>
        <v>42500</v>
      </c>
      <c r="J3163" s="6">
        <f>IFERROR(__xludf.DUMMYFUNCTION("""COMPUTED_VALUE"""),425000.0)</f>
        <v>425000</v>
      </c>
      <c r="K3163" s="57">
        <f>IFERROR(__xludf.DUMMYFUNCTION("""COMPUTED_VALUE"""),45410.0)</f>
        <v>45410</v>
      </c>
      <c r="L3163" s="6" t="str">
        <f>IFERROR(__xludf.DUMMYFUNCTION("""COMPUTED_VALUE"""),"FIP Engineering")</f>
        <v>FIP Engineering</v>
      </c>
      <c r="M3163" s="6" t="str">
        <f>IFERROR(__xludf.DUMMYFUNCTION("""COMPUTED_VALUE"""),"Mochammad Fadhillah Hakim,")</f>
        <v>Mochammad Fadhillah Hakim,</v>
      </c>
      <c r="N3163" s="6" t="str">
        <f>IFERROR(__xludf.DUMMYFUNCTION("""COMPUTED_VALUE"""),"FIP Engineering")</f>
        <v>FIP Engineering</v>
      </c>
      <c r="O3163" s="6" t="str">
        <f>IFERROR(__xludf.DUMMYFUNCTION("""COMPUTED_VALUE"""),"FIP-DOM-000-11304-OS00001-INA-000000")</f>
        <v>FIP-DOM-000-11304-OS00001-INA-000000</v>
      </c>
      <c r="P3163" s="6" t="str">
        <f>IFERROR(__xludf.DUMMYFUNCTION("""COMPUTED_VALUE"""),"PO Closed")</f>
        <v>PO Closed</v>
      </c>
      <c r="Q3163" s="6" t="str">
        <f>IFERROR(__xludf.DUMMYFUNCTION("""COMPUTED_VALUE"""),"GL2405354")</f>
        <v>GL2405354</v>
      </c>
      <c r="R3163" s="57">
        <f>IFERROR(__xludf.DUMMYFUNCTION("""COMPUTED_VALUE"""),45408.0)</f>
        <v>45408</v>
      </c>
      <c r="S3163" s="57">
        <f>IFERROR(__xludf.DUMMYFUNCTION("""COMPUTED_VALUE"""),45415.0)</f>
        <v>45415</v>
      </c>
      <c r="T3163" s="57">
        <f>IFERROR(__xludf.DUMMYFUNCTION("""COMPUTED_VALUE"""),45441.0)</f>
        <v>45441</v>
      </c>
    </row>
    <row r="3164">
      <c r="A3164" s="6" t="str">
        <f>IFERROR(__xludf.DUMMYFUNCTION("""COMPUTED_VALUE"""),"121701400-9")</f>
        <v>121701400-9</v>
      </c>
      <c r="B3164" s="6" t="str">
        <f>IFERROR(__xludf.DUMMYFUNCTION("""COMPUTED_VALUE"""),"121701400 - APPROVED")</f>
        <v>121701400 - APPROVED</v>
      </c>
      <c r="C3164" s="6">
        <f>IFERROR(__xludf.DUMMYFUNCTION("""COMPUTED_VALUE"""),9.0)</f>
        <v>9</v>
      </c>
      <c r="D3164" s="6" t="str">
        <f>IFERROR(__xludf.DUMMYFUNCTION("""COMPUTED_VALUE"""),"P-12433-00")</f>
        <v>P-12433-00</v>
      </c>
      <c r="E3164" s="6" t="str">
        <f>IFERROR(__xludf.DUMMYFUNCTION("""COMPUTED_VALUE"""),"Isolasi AC- Sansui")</f>
        <v>Isolasi AC- Sansui</v>
      </c>
      <c r="F3164" s="6">
        <f>IFERROR(__xludf.DUMMYFUNCTION("""COMPUTED_VALUE"""),10.0)</f>
        <v>10</v>
      </c>
      <c r="G3164" s="6" t="str">
        <f>IFERROR(__xludf.DUMMYFUNCTION("""COMPUTED_VALUE"""),"Pieces")</f>
        <v>Pieces</v>
      </c>
      <c r="H3164" s="6" t="str">
        <f>IFERROR(__xludf.DUMMYFUNCTION("""COMPUTED_VALUE"""),"IDR")</f>
        <v>IDR</v>
      </c>
      <c r="I3164" s="6">
        <f>IFERROR(__xludf.DUMMYFUNCTION("""COMPUTED_VALUE"""),14000.0)</f>
        <v>14000</v>
      </c>
      <c r="J3164" s="6">
        <f>IFERROR(__xludf.DUMMYFUNCTION("""COMPUTED_VALUE"""),140000.0)</f>
        <v>140000</v>
      </c>
      <c r="K3164" s="57">
        <f>IFERROR(__xludf.DUMMYFUNCTION("""COMPUTED_VALUE"""),45410.0)</f>
        <v>45410</v>
      </c>
      <c r="L3164" s="6" t="str">
        <f>IFERROR(__xludf.DUMMYFUNCTION("""COMPUTED_VALUE"""),"FIP Engineering")</f>
        <v>FIP Engineering</v>
      </c>
      <c r="M3164" s="6" t="str">
        <f>IFERROR(__xludf.DUMMYFUNCTION("""COMPUTED_VALUE"""),"Mochammad Fadhillah Hakim,")</f>
        <v>Mochammad Fadhillah Hakim,</v>
      </c>
      <c r="N3164" s="6" t="str">
        <f>IFERROR(__xludf.DUMMYFUNCTION("""COMPUTED_VALUE"""),"FIP Engineering")</f>
        <v>FIP Engineering</v>
      </c>
      <c r="O3164" s="6" t="str">
        <f>IFERROR(__xludf.DUMMYFUNCTION("""COMPUTED_VALUE"""),"FIP-DOM-000-11304-OS00001-INA-000000")</f>
        <v>FIP-DOM-000-11304-OS00001-INA-000000</v>
      </c>
      <c r="P3164" s="6" t="str">
        <f>IFERROR(__xludf.DUMMYFUNCTION("""COMPUTED_VALUE"""),"PO Closed")</f>
        <v>PO Closed</v>
      </c>
      <c r="Q3164" s="6" t="str">
        <f>IFERROR(__xludf.DUMMYFUNCTION("""COMPUTED_VALUE"""),"GL2406005")</f>
        <v>GL2406005</v>
      </c>
      <c r="R3164" s="57">
        <f>IFERROR(__xludf.DUMMYFUNCTION("""COMPUTED_VALUE"""),45408.0)</f>
        <v>45408</v>
      </c>
      <c r="S3164" s="57">
        <f>IFERROR(__xludf.DUMMYFUNCTION("""COMPUTED_VALUE"""),45415.0)</f>
        <v>45415</v>
      </c>
      <c r="T3164" s="57">
        <f>IFERROR(__xludf.DUMMYFUNCTION("""COMPUTED_VALUE"""),45463.0)</f>
        <v>45463</v>
      </c>
    </row>
    <row r="3165">
      <c r="A3165" s="6" t="str">
        <f>IFERROR(__xludf.DUMMYFUNCTION("""COMPUTED_VALUE"""),"121701400-10")</f>
        <v>121701400-10</v>
      </c>
      <c r="B3165" s="6" t="str">
        <f>IFERROR(__xludf.DUMMYFUNCTION("""COMPUTED_VALUE"""),"121701400 - APPROVED")</f>
        <v>121701400 - APPROVED</v>
      </c>
      <c r="C3165" s="6">
        <f>IFERROR(__xludf.DUMMYFUNCTION("""COMPUTED_VALUE"""),10.0)</f>
        <v>10</v>
      </c>
      <c r="D3165" s="6" t="str">
        <f>IFERROR(__xludf.DUMMYFUNCTION("""COMPUTED_VALUE"""),"O-54015-00")</f>
        <v>O-54015-00</v>
      </c>
      <c r="E3165" s="6" t="str">
        <f>IFERROR(__xludf.DUMMYFUNCTION("""COMPUTED_VALUE"""),"STOP KONTAK LUBANG 4, BROCO")</f>
        <v>STOP KONTAK LUBANG 4, BROCO</v>
      </c>
      <c r="F3165" s="6">
        <f>IFERROR(__xludf.DUMMYFUNCTION("""COMPUTED_VALUE"""),10.0)</f>
        <v>10</v>
      </c>
      <c r="G3165" s="6" t="str">
        <f>IFERROR(__xludf.DUMMYFUNCTION("""COMPUTED_VALUE"""),"Unit")</f>
        <v>Unit</v>
      </c>
      <c r="H3165" s="6" t="str">
        <f>IFERROR(__xludf.DUMMYFUNCTION("""COMPUTED_VALUE"""),"IDR")</f>
        <v>IDR</v>
      </c>
      <c r="I3165" s="6">
        <f>IFERROR(__xludf.DUMMYFUNCTION("""COMPUTED_VALUE"""),49000.0)</f>
        <v>49000</v>
      </c>
      <c r="J3165" s="6">
        <f>IFERROR(__xludf.DUMMYFUNCTION("""COMPUTED_VALUE"""),490000.0)</f>
        <v>490000</v>
      </c>
      <c r="K3165" s="57">
        <f>IFERROR(__xludf.DUMMYFUNCTION("""COMPUTED_VALUE"""),45410.0)</f>
        <v>45410</v>
      </c>
      <c r="L3165" s="6" t="str">
        <f>IFERROR(__xludf.DUMMYFUNCTION("""COMPUTED_VALUE"""),"FIP Engineering")</f>
        <v>FIP Engineering</v>
      </c>
      <c r="M3165" s="6" t="str">
        <f>IFERROR(__xludf.DUMMYFUNCTION("""COMPUTED_VALUE"""),"Mochammad Fadhillah Hakim,")</f>
        <v>Mochammad Fadhillah Hakim,</v>
      </c>
      <c r="N3165" s="6" t="str">
        <f>IFERROR(__xludf.DUMMYFUNCTION("""COMPUTED_VALUE"""),"FIP Engineering")</f>
        <v>FIP Engineering</v>
      </c>
      <c r="O3165" s="6" t="str">
        <f>IFERROR(__xludf.DUMMYFUNCTION("""COMPUTED_VALUE"""),"FIP-DOM-000-11304-OS00001-INA-000000")</f>
        <v>FIP-DOM-000-11304-OS00001-INA-000000</v>
      </c>
      <c r="P3165" s="6" t="str">
        <f>IFERROR(__xludf.DUMMYFUNCTION("""COMPUTED_VALUE"""),"PO Closed")</f>
        <v>PO Closed</v>
      </c>
      <c r="Q3165" s="6" t="str">
        <f>IFERROR(__xludf.DUMMYFUNCTION("""COMPUTED_VALUE"""),"GL2406005")</f>
        <v>GL2406005</v>
      </c>
      <c r="R3165" s="57">
        <f>IFERROR(__xludf.DUMMYFUNCTION("""COMPUTED_VALUE"""),45408.0)</f>
        <v>45408</v>
      </c>
      <c r="S3165" s="57">
        <f>IFERROR(__xludf.DUMMYFUNCTION("""COMPUTED_VALUE"""),45415.0)</f>
        <v>45415</v>
      </c>
      <c r="T3165" s="57">
        <f>IFERROR(__xludf.DUMMYFUNCTION("""COMPUTED_VALUE"""),45463.0)</f>
        <v>45463</v>
      </c>
    </row>
    <row r="3166">
      <c r="A3166" s="6" t="str">
        <f>IFERROR(__xludf.DUMMYFUNCTION("""COMPUTED_VALUE"""),"121701400-11")</f>
        <v>121701400-11</v>
      </c>
      <c r="B3166" s="6" t="str">
        <f>IFERROR(__xludf.DUMMYFUNCTION("""COMPUTED_VALUE"""),"121701400 - APPROVED")</f>
        <v>121701400 - APPROVED</v>
      </c>
      <c r="C3166" s="6">
        <f>IFERROR(__xludf.DUMMYFUNCTION("""COMPUTED_VALUE"""),11.0)</f>
        <v>11</v>
      </c>
      <c r="D3166" s="6" t="str">
        <f>IFERROR(__xludf.DUMMYFUNCTION("""COMPUTED_VALUE"""),"P-11991-00")</f>
        <v>P-11991-00</v>
      </c>
      <c r="E3166" s="6" t="str">
        <f>IFERROR(__xludf.DUMMYFUNCTION("""COMPUTED_VALUE"""),"Cable ties CS 200L")</f>
        <v>Cable ties CS 200L</v>
      </c>
      <c r="F3166" s="6">
        <f>IFERROR(__xludf.DUMMYFUNCTION("""COMPUTED_VALUE"""),5.0)</f>
        <v>5</v>
      </c>
      <c r="G3166" s="6" t="str">
        <f>IFERROR(__xludf.DUMMYFUNCTION("""COMPUTED_VALUE"""),"Pieces")</f>
        <v>Pieces</v>
      </c>
      <c r="H3166" s="6" t="str">
        <f>IFERROR(__xludf.DUMMYFUNCTION("""COMPUTED_VALUE"""),"IDR")</f>
        <v>IDR</v>
      </c>
      <c r="I3166" s="6">
        <f>IFERROR(__xludf.DUMMYFUNCTION("""COMPUTED_VALUE"""),34200.0)</f>
        <v>34200</v>
      </c>
      <c r="J3166" s="6">
        <f>IFERROR(__xludf.DUMMYFUNCTION("""COMPUTED_VALUE"""),171000.0)</f>
        <v>171000</v>
      </c>
      <c r="K3166" s="57">
        <f>IFERROR(__xludf.DUMMYFUNCTION("""COMPUTED_VALUE"""),45410.0)</f>
        <v>45410</v>
      </c>
      <c r="L3166" s="6" t="str">
        <f>IFERROR(__xludf.DUMMYFUNCTION("""COMPUTED_VALUE"""),"FIP Engineering")</f>
        <v>FIP Engineering</v>
      </c>
      <c r="M3166" s="6" t="str">
        <f>IFERROR(__xludf.DUMMYFUNCTION("""COMPUTED_VALUE"""),"Mochammad Fadhillah Hakim,")</f>
        <v>Mochammad Fadhillah Hakim,</v>
      </c>
      <c r="N3166" s="6" t="str">
        <f>IFERROR(__xludf.DUMMYFUNCTION("""COMPUTED_VALUE"""),"FIP Engineering")</f>
        <v>FIP Engineering</v>
      </c>
      <c r="O3166" s="6" t="str">
        <f>IFERROR(__xludf.DUMMYFUNCTION("""COMPUTED_VALUE"""),"FIP-DOM-000-11304-OS00001-INA-000000")</f>
        <v>FIP-DOM-000-11304-OS00001-INA-000000</v>
      </c>
      <c r="P3166" s="6" t="str">
        <f>IFERROR(__xludf.DUMMYFUNCTION("""COMPUTED_VALUE"""),"PO Closed")</f>
        <v>PO Closed</v>
      </c>
      <c r="Q3166" s="6" t="str">
        <f>IFERROR(__xludf.DUMMYFUNCTION("""COMPUTED_VALUE"""),"GL2406005")</f>
        <v>GL2406005</v>
      </c>
      <c r="R3166" s="57">
        <f>IFERROR(__xludf.DUMMYFUNCTION("""COMPUTED_VALUE"""),45408.0)</f>
        <v>45408</v>
      </c>
      <c r="S3166" s="57">
        <f>IFERROR(__xludf.DUMMYFUNCTION("""COMPUTED_VALUE"""),45415.0)</f>
        <v>45415</v>
      </c>
      <c r="T3166" s="57">
        <f>IFERROR(__xludf.DUMMYFUNCTION("""COMPUTED_VALUE"""),45463.0)</f>
        <v>45463</v>
      </c>
    </row>
    <row r="3167">
      <c r="A3167" s="6" t="str">
        <f>IFERROR(__xludf.DUMMYFUNCTION("""COMPUTED_VALUE"""),"121701404-1")</f>
        <v>121701404-1</v>
      </c>
      <c r="B3167" s="6" t="str">
        <f>IFERROR(__xludf.DUMMYFUNCTION("""COMPUTED_VALUE"""),"121701404 - APPROVED")</f>
        <v>121701404 - APPROVED</v>
      </c>
      <c r="C3167" s="6">
        <f>IFERROR(__xludf.DUMMYFUNCTION("""COMPUTED_VALUE"""),1.0)</f>
        <v>1</v>
      </c>
      <c r="D3167" s="6" t="str">
        <f>IFERROR(__xludf.DUMMYFUNCTION("""COMPUTED_VALUE"""),"P-51756-00")</f>
        <v>P-51756-00</v>
      </c>
      <c r="E3167" s="6" t="str">
        <f>IFERROR(__xludf.DUMMYFUNCTION("""COMPUTED_VALUE"""),"Kabel NYYHY 3x0.75mm; ; ; meter")</f>
        <v>Kabel NYYHY 3x0.75mm; ; ; meter</v>
      </c>
      <c r="F3167" s="6">
        <f>IFERROR(__xludf.DUMMYFUNCTION("""COMPUTED_VALUE"""),60.0)</f>
        <v>60</v>
      </c>
      <c r="G3167" s="6" t="str">
        <f>IFERROR(__xludf.DUMMYFUNCTION("""COMPUTED_VALUE"""),"Meter")</f>
        <v>Meter</v>
      </c>
      <c r="H3167" s="6" t="str">
        <f>IFERROR(__xludf.DUMMYFUNCTION("""COMPUTED_VALUE"""),"IDR")</f>
        <v>IDR</v>
      </c>
      <c r="I3167" s="6">
        <f>IFERROR(__xludf.DUMMYFUNCTION("""COMPUTED_VALUE"""),11370.0)</f>
        <v>11370</v>
      </c>
      <c r="J3167" s="6">
        <f>IFERROR(__xludf.DUMMYFUNCTION("""COMPUTED_VALUE"""),682200.0)</f>
        <v>682200</v>
      </c>
      <c r="K3167" s="57">
        <f>IFERROR(__xludf.DUMMYFUNCTION("""COMPUTED_VALUE"""),45495.0)</f>
        <v>45495</v>
      </c>
      <c r="L3167" s="6" t="str">
        <f>IFERROR(__xludf.DUMMYFUNCTION("""COMPUTED_VALUE"""),"FIP Engineering")</f>
        <v>FIP Engineering</v>
      </c>
      <c r="M3167" s="6" t="str">
        <f>IFERROR(__xludf.DUMMYFUNCTION("""COMPUTED_VALUE"""),"Mochammad Fadhillah Hakim,")</f>
        <v>Mochammad Fadhillah Hakim,</v>
      </c>
      <c r="N3167" s="6" t="str">
        <f>IFERROR(__xludf.DUMMYFUNCTION("""COMPUTED_VALUE"""),"FIP Engineering")</f>
        <v>FIP Engineering</v>
      </c>
      <c r="O3167" s="6" t="str">
        <f>IFERROR(__xludf.DUMMYFUNCTION("""COMPUTED_VALUE"""),"FIP-DOM-000-11304-OS00001-INA-000000")</f>
        <v>FIP-DOM-000-11304-OS00001-INA-000000</v>
      </c>
      <c r="P3167" s="6" t="str">
        <f>IFERROR(__xludf.DUMMYFUNCTION("""COMPUTED_VALUE"""),"PO Closed")</f>
        <v>PO Closed</v>
      </c>
      <c r="Q3167" s="6" t="str">
        <f>IFERROR(__xludf.DUMMYFUNCTION("""COMPUTED_VALUE"""),"GL2406048")</f>
        <v>GL2406048</v>
      </c>
      <c r="R3167" s="57">
        <f>IFERROR(__xludf.DUMMYFUNCTION("""COMPUTED_VALUE"""),45411.0)</f>
        <v>45411</v>
      </c>
      <c r="S3167" s="57">
        <f>IFERROR(__xludf.DUMMYFUNCTION("""COMPUTED_VALUE"""),45448.0)</f>
        <v>45448</v>
      </c>
      <c r="T3167" s="57">
        <f>IFERROR(__xludf.DUMMYFUNCTION("""COMPUTED_VALUE"""),45506.0)</f>
        <v>45506</v>
      </c>
    </row>
    <row r="3168">
      <c r="A3168" s="6" t="str">
        <f>IFERROR(__xludf.DUMMYFUNCTION("""COMPUTED_VALUE"""),"121701404-2")</f>
        <v>121701404-2</v>
      </c>
      <c r="B3168" s="6" t="str">
        <f>IFERROR(__xludf.DUMMYFUNCTION("""COMPUTED_VALUE"""),"121701404 - APPROVED")</f>
        <v>121701404 - APPROVED</v>
      </c>
      <c r="C3168" s="6">
        <f>IFERROR(__xludf.DUMMYFUNCTION("""COMPUTED_VALUE"""),2.0)</f>
        <v>2</v>
      </c>
      <c r="D3168" s="6" t="str">
        <f>IFERROR(__xludf.DUMMYFUNCTION("""COMPUTED_VALUE"""),"P-15852-00")</f>
        <v>P-15852-00</v>
      </c>
      <c r="E3168" s="6" t="str">
        <f>IFERROR(__xludf.DUMMYFUNCTION("""COMPUTED_VALUE"""),"AMPLAS  EAGLE 500")</f>
        <v>AMPLAS  EAGLE 500</v>
      </c>
      <c r="F3168" s="6">
        <f>IFERROR(__xludf.DUMMYFUNCTION("""COMPUTED_VALUE"""),30.0)</f>
        <v>30</v>
      </c>
      <c r="G3168" s="6" t="str">
        <f>IFERROR(__xludf.DUMMYFUNCTION("""COMPUTED_VALUE"""),"Pieces")</f>
        <v>Pieces</v>
      </c>
      <c r="H3168" s="6" t="str">
        <f>IFERROR(__xludf.DUMMYFUNCTION("""COMPUTED_VALUE"""),"IDR")</f>
        <v>IDR</v>
      </c>
      <c r="I3168" s="6">
        <f>IFERROR(__xludf.DUMMYFUNCTION("""COMPUTED_VALUE"""),5800.0)</f>
        <v>5800</v>
      </c>
      <c r="J3168" s="6">
        <f>IFERROR(__xludf.DUMMYFUNCTION("""COMPUTED_VALUE"""),174000.0)</f>
        <v>174000</v>
      </c>
      <c r="K3168" s="57">
        <f>IFERROR(__xludf.DUMMYFUNCTION("""COMPUTED_VALUE"""),45495.0)</f>
        <v>45495</v>
      </c>
      <c r="L3168" s="6" t="str">
        <f>IFERROR(__xludf.DUMMYFUNCTION("""COMPUTED_VALUE"""),"FIP Engineering")</f>
        <v>FIP Engineering</v>
      </c>
      <c r="M3168" s="6" t="str">
        <f>IFERROR(__xludf.DUMMYFUNCTION("""COMPUTED_VALUE"""),"Mochammad Fadhillah Hakim,")</f>
        <v>Mochammad Fadhillah Hakim,</v>
      </c>
      <c r="N3168" s="6" t="str">
        <f>IFERROR(__xludf.DUMMYFUNCTION("""COMPUTED_VALUE"""),"FIP Engineering")</f>
        <v>FIP Engineering</v>
      </c>
      <c r="O3168" s="6" t="str">
        <f>IFERROR(__xludf.DUMMYFUNCTION("""COMPUTED_VALUE"""),"FIP-DOM-000-11304-OS00001-INA-000000")</f>
        <v>FIP-DOM-000-11304-OS00001-INA-000000</v>
      </c>
      <c r="P3168" s="6" t="str">
        <f>IFERROR(__xludf.DUMMYFUNCTION("""COMPUTED_VALUE"""),"PO Closed")</f>
        <v>PO Closed</v>
      </c>
      <c r="Q3168" s="6" t="str">
        <f>IFERROR(__xludf.DUMMYFUNCTION("""COMPUTED_VALUE"""),"GL2406048")</f>
        <v>GL2406048</v>
      </c>
      <c r="R3168" s="57">
        <f>IFERROR(__xludf.DUMMYFUNCTION("""COMPUTED_VALUE"""),45411.0)</f>
        <v>45411</v>
      </c>
      <c r="S3168" s="57">
        <f>IFERROR(__xludf.DUMMYFUNCTION("""COMPUTED_VALUE"""),45448.0)</f>
        <v>45448</v>
      </c>
      <c r="T3168" s="57">
        <f>IFERROR(__xludf.DUMMYFUNCTION("""COMPUTED_VALUE"""),45506.0)</f>
        <v>45506</v>
      </c>
    </row>
    <row r="3169">
      <c r="A3169" s="6" t="str">
        <f>IFERROR(__xludf.DUMMYFUNCTION("""COMPUTED_VALUE"""),"121701404-3")</f>
        <v>121701404-3</v>
      </c>
      <c r="B3169" s="6" t="str">
        <f>IFERROR(__xludf.DUMMYFUNCTION("""COMPUTED_VALUE"""),"121701404 - APPROVED")</f>
        <v>121701404 - APPROVED</v>
      </c>
      <c r="C3169" s="6">
        <f>IFERROR(__xludf.DUMMYFUNCTION("""COMPUTED_VALUE"""),3.0)</f>
        <v>3</v>
      </c>
      <c r="D3169" s="6" t="str">
        <f>IFERROR(__xludf.DUMMYFUNCTION("""COMPUTED_VALUE"""),"Q-60003-00")</f>
        <v>Q-60003-00</v>
      </c>
      <c r="E3169" s="6" t="str">
        <f>IFERROR(__xludf.DUMMYFUNCTION("""COMPUTED_VALUE"""),"Plakband Kertas")</f>
        <v>Plakband Kertas</v>
      </c>
      <c r="F3169" s="6">
        <f>IFERROR(__xludf.DUMMYFUNCTION("""COMPUTED_VALUE"""),40.0)</f>
        <v>40</v>
      </c>
      <c r="G3169" s="6" t="str">
        <f>IFERROR(__xludf.DUMMYFUNCTION("""COMPUTED_VALUE"""),"Roll")</f>
        <v>Roll</v>
      </c>
      <c r="H3169" s="6" t="str">
        <f>IFERROR(__xludf.DUMMYFUNCTION("""COMPUTED_VALUE"""),"IDR")</f>
        <v>IDR</v>
      </c>
      <c r="I3169" s="6">
        <f>IFERROR(__xludf.DUMMYFUNCTION("""COMPUTED_VALUE"""),8245.0)</f>
        <v>8245</v>
      </c>
      <c r="J3169" s="6">
        <f>IFERROR(__xludf.DUMMYFUNCTION("""COMPUTED_VALUE"""),329800.0)</f>
        <v>329800</v>
      </c>
      <c r="K3169" s="57">
        <f>IFERROR(__xludf.DUMMYFUNCTION("""COMPUTED_VALUE"""),45450.0)</f>
        <v>45450</v>
      </c>
      <c r="L3169" s="6" t="str">
        <f>IFERROR(__xludf.DUMMYFUNCTION("""COMPUTED_VALUE"""),"FIP Engineering")</f>
        <v>FIP Engineering</v>
      </c>
      <c r="M3169" s="6" t="str">
        <f>IFERROR(__xludf.DUMMYFUNCTION("""COMPUTED_VALUE"""),"Mochammad Fadhillah Hakim,")</f>
        <v>Mochammad Fadhillah Hakim,</v>
      </c>
      <c r="N3169" s="6" t="str">
        <f>IFERROR(__xludf.DUMMYFUNCTION("""COMPUTED_VALUE"""),"FIP Engineering")</f>
        <v>FIP Engineering</v>
      </c>
      <c r="O3169" s="6" t="str">
        <f>IFERROR(__xludf.DUMMYFUNCTION("""COMPUTED_VALUE"""),"FIP-DOM-000-11304-OS00001-INA-000000")</f>
        <v>FIP-DOM-000-11304-OS00001-INA-000000</v>
      </c>
      <c r="P3169" s="6" t="str">
        <f>IFERROR(__xludf.DUMMYFUNCTION("""COMPUTED_VALUE"""),"PO Closed")</f>
        <v>PO Closed</v>
      </c>
      <c r="Q3169" s="6" t="str">
        <f>IFERROR(__xludf.DUMMYFUNCTION("""COMPUTED_VALUE"""),"GL2406372")</f>
        <v>GL2406372</v>
      </c>
      <c r="R3169" s="57">
        <f>IFERROR(__xludf.DUMMYFUNCTION("""COMPUTED_VALUE"""),45411.0)</f>
        <v>45411</v>
      </c>
      <c r="S3169" s="57">
        <f>IFERROR(__xludf.DUMMYFUNCTION("""COMPUTED_VALUE"""),45448.0)</f>
        <v>45448</v>
      </c>
      <c r="T3169" s="57">
        <f>IFERROR(__xludf.DUMMYFUNCTION("""COMPUTED_VALUE"""),45471.0)</f>
        <v>45471</v>
      </c>
    </row>
    <row r="3170">
      <c r="A3170" s="6" t="str">
        <f>IFERROR(__xludf.DUMMYFUNCTION("""COMPUTED_VALUE"""),"121701404-4")</f>
        <v>121701404-4</v>
      </c>
      <c r="B3170" s="6" t="str">
        <f>IFERROR(__xludf.DUMMYFUNCTION("""COMPUTED_VALUE"""),"121701404 - APPROVED")</f>
        <v>121701404 - APPROVED</v>
      </c>
      <c r="C3170" s="6">
        <f>IFERROR(__xludf.DUMMYFUNCTION("""COMPUTED_VALUE"""),4.0)</f>
        <v>4</v>
      </c>
      <c r="D3170" s="6" t="str">
        <f>IFERROR(__xludf.DUMMYFUNCTION("""COMPUTED_VALUE"""),"O-15931-00")</f>
        <v>O-15931-00</v>
      </c>
      <c r="E3170" s="6" t="str">
        <f>IFERROR(__xludf.DUMMYFUNCTION("""COMPUTED_VALUE"""),"Double Tape 3M 1"" Merah - P/N : -  pc")</f>
        <v>Double Tape 3M 1" Merah - P/N : -  pc</v>
      </c>
      <c r="F3170" s="6">
        <f>IFERROR(__xludf.DUMMYFUNCTION("""COMPUTED_VALUE"""),10.0)</f>
        <v>10</v>
      </c>
      <c r="G3170" s="6" t="str">
        <f>IFERROR(__xludf.DUMMYFUNCTION("""COMPUTED_VALUE"""),"Pieces")</f>
        <v>Pieces</v>
      </c>
      <c r="H3170" s="6" t="str">
        <f>IFERROR(__xludf.DUMMYFUNCTION("""COMPUTED_VALUE"""),"IDR")</f>
        <v>IDR</v>
      </c>
      <c r="I3170" s="6">
        <f>IFERROR(__xludf.DUMMYFUNCTION("""COMPUTED_VALUE"""),78500.0)</f>
        <v>78500</v>
      </c>
      <c r="J3170" s="6">
        <f>IFERROR(__xludf.DUMMYFUNCTION("""COMPUTED_VALUE"""),785000.0)</f>
        <v>785000</v>
      </c>
      <c r="K3170" s="57">
        <f>IFERROR(__xludf.DUMMYFUNCTION("""COMPUTED_VALUE"""),45450.0)</f>
        <v>45450</v>
      </c>
      <c r="L3170" s="6" t="str">
        <f>IFERROR(__xludf.DUMMYFUNCTION("""COMPUTED_VALUE"""),"FIP Engineering")</f>
        <v>FIP Engineering</v>
      </c>
      <c r="M3170" s="6" t="str">
        <f>IFERROR(__xludf.DUMMYFUNCTION("""COMPUTED_VALUE"""),"Mochammad Fadhillah Hakim,")</f>
        <v>Mochammad Fadhillah Hakim,</v>
      </c>
      <c r="N3170" s="6" t="str">
        <f>IFERROR(__xludf.DUMMYFUNCTION("""COMPUTED_VALUE"""),"FIP Engineering")</f>
        <v>FIP Engineering</v>
      </c>
      <c r="O3170" s="6" t="str">
        <f>IFERROR(__xludf.DUMMYFUNCTION("""COMPUTED_VALUE"""),"FIP-DOM-000-11304-OS00001-INA-000000")</f>
        <v>FIP-DOM-000-11304-OS00001-INA-000000</v>
      </c>
      <c r="P3170" s="6" t="str">
        <f>IFERROR(__xludf.DUMMYFUNCTION("""COMPUTED_VALUE"""),"PO Closed")</f>
        <v>PO Closed</v>
      </c>
      <c r="Q3170" s="6" t="str">
        <f>IFERROR(__xludf.DUMMYFUNCTION("""COMPUTED_VALUE"""),"GL2406048")</f>
        <v>GL2406048</v>
      </c>
      <c r="R3170" s="57">
        <f>IFERROR(__xludf.DUMMYFUNCTION("""COMPUTED_VALUE"""),45411.0)</f>
        <v>45411</v>
      </c>
      <c r="S3170" s="57">
        <f>IFERROR(__xludf.DUMMYFUNCTION("""COMPUTED_VALUE"""),45448.0)</f>
        <v>45448</v>
      </c>
      <c r="T3170" s="57">
        <f>IFERROR(__xludf.DUMMYFUNCTION("""COMPUTED_VALUE"""),45506.0)</f>
        <v>45506</v>
      </c>
    </row>
    <row r="3171">
      <c r="A3171" s="6" t="str">
        <f>IFERROR(__xludf.DUMMYFUNCTION("""COMPUTED_VALUE"""),"121701416-1")</f>
        <v>121701416-1</v>
      </c>
      <c r="B3171" s="6" t="str">
        <f>IFERROR(__xludf.DUMMYFUNCTION("""COMPUTED_VALUE"""),"121701416 - APPROVED")</f>
        <v>121701416 - APPROVED</v>
      </c>
      <c r="C3171" s="6">
        <f>IFERROR(__xludf.DUMMYFUNCTION("""COMPUTED_VALUE"""),1.0)</f>
        <v>1</v>
      </c>
      <c r="D3171" s="6" t="str">
        <f>IFERROR(__xludf.DUMMYFUNCTION("""COMPUTED_VALUE"""),"P-53362-00")</f>
        <v>P-53362-00</v>
      </c>
      <c r="E3171" s="6" t="str">
        <f>IFERROR(__xludf.DUMMYFUNCTION("""COMPUTED_VALUE"""),"Contactor Schneider LC1D09M7 Coil 220 VAC; ; ;")</f>
        <v>Contactor Schneider LC1D09M7 Coil 220 VAC; ; ;</v>
      </c>
      <c r="F3171" s="6">
        <f>IFERROR(__xludf.DUMMYFUNCTION("""COMPUTED_VALUE"""),1.0)</f>
        <v>1</v>
      </c>
      <c r="G3171" s="6" t="str">
        <f>IFERROR(__xludf.DUMMYFUNCTION("""COMPUTED_VALUE"""),"Pieces")</f>
        <v>Pieces</v>
      </c>
      <c r="H3171" s="6" t="str">
        <f>IFERROR(__xludf.DUMMYFUNCTION("""COMPUTED_VALUE"""),"IDR")</f>
        <v>IDR</v>
      </c>
      <c r="I3171" s="6">
        <f>IFERROR(__xludf.DUMMYFUNCTION("""COMPUTED_VALUE"""),228000.0)</f>
        <v>228000</v>
      </c>
      <c r="J3171" s="6">
        <f>IFERROR(__xludf.DUMMYFUNCTION("""COMPUTED_VALUE"""),228000.0)</f>
        <v>228000</v>
      </c>
      <c r="K3171" s="57">
        <f>IFERROR(__xludf.DUMMYFUNCTION("""COMPUTED_VALUE"""),45416.0)</f>
        <v>45416</v>
      </c>
      <c r="L3171" s="6" t="str">
        <f>IFERROR(__xludf.DUMMYFUNCTION("""COMPUTED_VALUE"""),"FIP Engineering")</f>
        <v>FIP Engineering</v>
      </c>
      <c r="M3171" s="6" t="str">
        <f>IFERROR(__xludf.DUMMYFUNCTION("""COMPUTED_VALUE"""),"Mochammad Fadhillah Hakim,")</f>
        <v>Mochammad Fadhillah Hakim,</v>
      </c>
      <c r="N3171" s="6" t="str">
        <f>IFERROR(__xludf.DUMMYFUNCTION("""COMPUTED_VALUE"""),"FIP Engineering")</f>
        <v>FIP Engineering</v>
      </c>
      <c r="O3171" s="6" t="str">
        <f>IFERROR(__xludf.DUMMYFUNCTION("""COMPUTED_VALUE"""),"FIP-DOM-000-11304-OS00001-INA-000000")</f>
        <v>FIP-DOM-000-11304-OS00001-INA-000000</v>
      </c>
      <c r="P3171" s="6" t="str">
        <f>IFERROR(__xludf.DUMMYFUNCTION("""COMPUTED_VALUE"""),"PO Closed")</f>
        <v>PO Closed</v>
      </c>
      <c r="Q3171" s="6" t="str">
        <f>IFERROR(__xludf.DUMMYFUNCTION("""COMPUTED_VALUE"""),"GL2405065")</f>
        <v>GL2405065</v>
      </c>
      <c r="R3171" s="57">
        <f>IFERROR(__xludf.DUMMYFUNCTION("""COMPUTED_VALUE"""),45414.0)</f>
        <v>45414</v>
      </c>
      <c r="S3171" s="57">
        <f>IFERROR(__xludf.DUMMYFUNCTION("""COMPUTED_VALUE"""),45415.0)</f>
        <v>45415</v>
      </c>
      <c r="T3171" s="57">
        <f>IFERROR(__xludf.DUMMYFUNCTION("""COMPUTED_VALUE"""),45459.0)</f>
        <v>45459</v>
      </c>
    </row>
    <row r="3172">
      <c r="A3172" s="6" t="str">
        <f>IFERROR(__xludf.DUMMYFUNCTION("""COMPUTED_VALUE"""),"121701416-2")</f>
        <v>121701416-2</v>
      </c>
      <c r="B3172" s="6" t="str">
        <f>IFERROR(__xludf.DUMMYFUNCTION("""COMPUTED_VALUE"""),"121701416 - APPROVED")</f>
        <v>121701416 - APPROVED</v>
      </c>
      <c r="C3172" s="6">
        <f>IFERROR(__xludf.DUMMYFUNCTION("""COMPUTED_VALUE"""),2.0)</f>
        <v>2</v>
      </c>
      <c r="D3172" s="6" t="str">
        <f>IFERROR(__xludf.DUMMYFUNCTION("""COMPUTED_VALUE"""),"P-12082-00")</f>
        <v>P-12082-00</v>
      </c>
      <c r="E3172" s="6" t="str">
        <f>IFERROR(__xludf.DUMMYFUNCTION("""COMPUTED_VALUE"""),"Clamp selang ss dia  3/4inch ex TRIDON")</f>
        <v>Clamp selang ss dia  3/4inch ex TRIDON</v>
      </c>
      <c r="F3172" s="6">
        <f>IFERROR(__xludf.DUMMYFUNCTION("""COMPUTED_VALUE"""),10.0)</f>
        <v>10</v>
      </c>
      <c r="G3172" s="6" t="str">
        <f>IFERROR(__xludf.DUMMYFUNCTION("""COMPUTED_VALUE"""),"Pieces")</f>
        <v>Pieces</v>
      </c>
      <c r="H3172" s="6" t="str">
        <f>IFERROR(__xludf.DUMMYFUNCTION("""COMPUTED_VALUE"""),"IDR")</f>
        <v>IDR</v>
      </c>
      <c r="I3172" s="6">
        <f>IFERROR(__xludf.DUMMYFUNCTION("""COMPUTED_VALUE"""),22500.0)</f>
        <v>22500</v>
      </c>
      <c r="J3172" s="6">
        <f>IFERROR(__xludf.DUMMYFUNCTION("""COMPUTED_VALUE"""),225000.0)</f>
        <v>225000</v>
      </c>
      <c r="K3172" s="57">
        <f>IFERROR(__xludf.DUMMYFUNCTION("""COMPUTED_VALUE"""),45416.0)</f>
        <v>45416</v>
      </c>
      <c r="L3172" s="6" t="str">
        <f>IFERROR(__xludf.DUMMYFUNCTION("""COMPUTED_VALUE"""),"FIP Engineering")</f>
        <v>FIP Engineering</v>
      </c>
      <c r="M3172" s="6" t="str">
        <f>IFERROR(__xludf.DUMMYFUNCTION("""COMPUTED_VALUE"""),"Mochammad Fadhillah Hakim,")</f>
        <v>Mochammad Fadhillah Hakim,</v>
      </c>
      <c r="N3172" s="6" t="str">
        <f>IFERROR(__xludf.DUMMYFUNCTION("""COMPUTED_VALUE"""),"FIP Engineering")</f>
        <v>FIP Engineering</v>
      </c>
      <c r="O3172" s="6" t="str">
        <f>IFERROR(__xludf.DUMMYFUNCTION("""COMPUTED_VALUE"""),"FIP-DOM-000-11304-OS00001-INA-000000")</f>
        <v>FIP-DOM-000-11304-OS00001-INA-000000</v>
      </c>
      <c r="P3172" s="6" t="str">
        <f>IFERROR(__xludf.DUMMYFUNCTION("""COMPUTED_VALUE"""),"PO Closed")</f>
        <v>PO Closed</v>
      </c>
      <c r="Q3172" s="6" t="str">
        <f>IFERROR(__xludf.DUMMYFUNCTION("""COMPUTED_VALUE"""),"GL2405065")</f>
        <v>GL2405065</v>
      </c>
      <c r="R3172" s="57">
        <f>IFERROR(__xludf.DUMMYFUNCTION("""COMPUTED_VALUE"""),45414.0)</f>
        <v>45414</v>
      </c>
      <c r="S3172" s="57">
        <f>IFERROR(__xludf.DUMMYFUNCTION("""COMPUTED_VALUE"""),45415.0)</f>
        <v>45415</v>
      </c>
      <c r="T3172" s="57">
        <f>IFERROR(__xludf.DUMMYFUNCTION("""COMPUTED_VALUE"""),45459.0)</f>
        <v>45459</v>
      </c>
    </row>
    <row r="3173">
      <c r="A3173" s="6" t="str">
        <f>IFERROR(__xludf.DUMMYFUNCTION("""COMPUTED_VALUE"""),"121701416-3")</f>
        <v>121701416-3</v>
      </c>
      <c r="B3173" s="6" t="str">
        <f>IFERROR(__xludf.DUMMYFUNCTION("""COMPUTED_VALUE"""),"121701416 - APPROVED")</f>
        <v>121701416 - APPROVED</v>
      </c>
      <c r="C3173" s="6">
        <f>IFERROR(__xludf.DUMMYFUNCTION("""COMPUTED_VALUE"""),3.0)</f>
        <v>3</v>
      </c>
      <c r="D3173" s="6" t="str">
        <f>IFERROR(__xludf.DUMMYFUNCTION("""COMPUTED_VALUE"""),"P-53262-00")</f>
        <v>P-53262-00</v>
      </c>
      <c r="E3173" s="6" t="str">
        <f>IFERROR(__xludf.DUMMYFUNCTION("""COMPUTED_VALUE"""),"Din Rail MCB; ; ;")</f>
        <v>Din Rail MCB; ; ;</v>
      </c>
      <c r="F3173" s="6">
        <f>IFERROR(__xludf.DUMMYFUNCTION("""COMPUTED_VALUE"""),2.0)</f>
        <v>2</v>
      </c>
      <c r="G3173" s="6" t="str">
        <f>IFERROR(__xludf.DUMMYFUNCTION("""COMPUTED_VALUE"""),"Pieces")</f>
        <v>Pieces</v>
      </c>
      <c r="H3173" s="6" t="str">
        <f>IFERROR(__xludf.DUMMYFUNCTION("""COMPUTED_VALUE"""),"IDR")</f>
        <v>IDR</v>
      </c>
      <c r="I3173" s="6">
        <f>IFERROR(__xludf.DUMMYFUNCTION("""COMPUTED_VALUE"""),15750.0)</f>
        <v>15750</v>
      </c>
      <c r="J3173" s="6">
        <f>IFERROR(__xludf.DUMMYFUNCTION("""COMPUTED_VALUE"""),31500.0)</f>
        <v>31500</v>
      </c>
      <c r="K3173" s="57">
        <f>IFERROR(__xludf.DUMMYFUNCTION("""COMPUTED_VALUE"""),45416.0)</f>
        <v>45416</v>
      </c>
      <c r="L3173" s="6" t="str">
        <f>IFERROR(__xludf.DUMMYFUNCTION("""COMPUTED_VALUE"""),"FIP General")</f>
        <v>FIP General</v>
      </c>
      <c r="M3173" s="6" t="str">
        <f>IFERROR(__xludf.DUMMYFUNCTION("""COMPUTED_VALUE"""),"Mochammad Fadhillah Hakim,")</f>
        <v>Mochammad Fadhillah Hakim,</v>
      </c>
      <c r="N3173" s="6" t="str">
        <f>IFERROR(__xludf.DUMMYFUNCTION("""COMPUTED_VALUE"""),"FIP Engineering")</f>
        <v>FIP Engineering</v>
      </c>
      <c r="O3173" s="6" t="str">
        <f>IFERROR(__xludf.DUMMYFUNCTION("""COMPUTED_VALUE"""),"FIP-DOM-ENG-51404-0000000-INA-000000")</f>
        <v>FIP-DOM-ENG-51404-0000000-INA-000000</v>
      </c>
      <c r="P3173" s="6" t="str">
        <f>IFERROR(__xludf.DUMMYFUNCTION("""COMPUTED_VALUE"""),"PO Closed")</f>
        <v>PO Closed</v>
      </c>
      <c r="Q3173" s="6" t="str">
        <f>IFERROR(__xludf.DUMMYFUNCTION("""COMPUTED_VALUE"""),"GL2405064")</f>
        <v>GL2405064</v>
      </c>
      <c r="R3173" s="57">
        <f>IFERROR(__xludf.DUMMYFUNCTION("""COMPUTED_VALUE"""),45414.0)</f>
        <v>45414</v>
      </c>
      <c r="S3173" s="57">
        <f>IFERROR(__xludf.DUMMYFUNCTION("""COMPUTED_VALUE"""),45415.0)</f>
        <v>45415</v>
      </c>
      <c r="T3173" s="57">
        <f>IFERROR(__xludf.DUMMYFUNCTION("""COMPUTED_VALUE"""),45477.0)</f>
        <v>45477</v>
      </c>
    </row>
    <row r="3174">
      <c r="A3174" s="6" t="str">
        <f>IFERROR(__xludf.DUMMYFUNCTION("""COMPUTED_VALUE"""),"121701417-1")</f>
        <v>121701417-1</v>
      </c>
      <c r="B3174" s="6" t="str">
        <f>IFERROR(__xludf.DUMMYFUNCTION("""COMPUTED_VALUE"""),"121701417 - APPROVED")</f>
        <v>121701417 - APPROVED</v>
      </c>
      <c r="C3174" s="6">
        <f>IFERROR(__xludf.DUMMYFUNCTION("""COMPUTED_VALUE"""),1.0)</f>
        <v>1</v>
      </c>
      <c r="D3174" s="6" t="str">
        <f>IFERROR(__xludf.DUMMYFUNCTION("""COMPUTED_VALUE"""),"S-46129-00")</f>
        <v>S-46129-00</v>
      </c>
      <c r="E3174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F3174" s="6">
        <f>IFERROR(__xludf.DUMMYFUNCTION("""COMPUTED_VALUE"""),20.0)</f>
        <v>20</v>
      </c>
      <c r="G3174" s="6" t="str">
        <f>IFERROR(__xludf.DUMMYFUNCTION("""COMPUTED_VALUE"""),"Roll")</f>
        <v>Roll</v>
      </c>
      <c r="H3174" s="6" t="str">
        <f>IFERROR(__xludf.DUMMYFUNCTION("""COMPUTED_VALUE"""),"IDR")</f>
        <v>IDR</v>
      </c>
      <c r="I3174" s="6">
        <f>IFERROR(__xludf.DUMMYFUNCTION("""COMPUTED_VALUE"""),60000.0)</f>
        <v>60000</v>
      </c>
      <c r="J3174" s="6">
        <f>IFERROR(__xludf.DUMMYFUNCTION("""COMPUTED_VALUE"""),1200000.0)</f>
        <v>1200000</v>
      </c>
      <c r="K3174" s="57">
        <f>IFERROR(__xludf.DUMMYFUNCTION("""COMPUTED_VALUE"""),45421.0)</f>
        <v>45421</v>
      </c>
      <c r="L3174" s="6" t="str">
        <f>IFERROR(__xludf.DUMMYFUNCTION("""COMPUTED_VALUE"""),"FIP General")</f>
        <v>FIP General</v>
      </c>
      <c r="M3174" s="6" t="str">
        <f>IFERROR(__xludf.DUMMYFUNCTION("""COMPUTED_VALUE"""),"Mochammad Fadhillah Hakim,")</f>
        <v>Mochammad Fadhillah Hakim,</v>
      </c>
      <c r="N3174" s="6" t="str">
        <f>IFERROR(__xludf.DUMMYFUNCTION("""COMPUTED_VALUE"""),"FIP Engineering")</f>
        <v>FIP Engineering</v>
      </c>
      <c r="O3174" s="6" t="str">
        <f>IFERROR(__xludf.DUMMYFUNCTION("""COMPUTED_VALUE"""),"FIP-DOM-ENG-51404-0000000-INA-000000")</f>
        <v>FIP-DOM-ENG-51404-0000000-INA-000000</v>
      </c>
      <c r="P3174" s="6" t="str">
        <f>IFERROR(__xludf.DUMMYFUNCTION("""COMPUTED_VALUE"""),"PO Closed")</f>
        <v>PO Closed</v>
      </c>
      <c r="Q3174" s="6" t="str">
        <f>IFERROR(__xludf.DUMMYFUNCTION("""COMPUTED_VALUE"""),"GL2405024")</f>
        <v>GL2405024</v>
      </c>
      <c r="R3174" s="57">
        <f>IFERROR(__xludf.DUMMYFUNCTION("""COMPUTED_VALUE"""),45414.0)</f>
        <v>45414</v>
      </c>
      <c r="S3174" s="57">
        <f>IFERROR(__xludf.DUMMYFUNCTION("""COMPUTED_VALUE"""),45419.0)</f>
        <v>45419</v>
      </c>
      <c r="T3174" s="57">
        <f>IFERROR(__xludf.DUMMYFUNCTION("""COMPUTED_VALUE"""),45443.0)</f>
        <v>45443</v>
      </c>
    </row>
    <row r="3175">
      <c r="A3175" s="6" t="str">
        <f>IFERROR(__xludf.DUMMYFUNCTION("""COMPUTED_VALUE"""),"121701425-1")</f>
        <v>121701425-1</v>
      </c>
      <c r="B3175" s="6" t="str">
        <f>IFERROR(__xludf.DUMMYFUNCTION("""COMPUTED_VALUE"""),"121701425 - APPROVED")</f>
        <v>121701425 - APPROVED</v>
      </c>
      <c r="C3175" s="6">
        <f>IFERROR(__xludf.DUMMYFUNCTION("""COMPUTED_VALUE"""),1.0)</f>
        <v>1</v>
      </c>
      <c r="D3175" s="6" t="str">
        <f>IFERROR(__xludf.DUMMYFUNCTION("""COMPUTED_VALUE"""),"P-17645-00")</f>
        <v>P-17645-00</v>
      </c>
      <c r="E3175" s="6" t="str">
        <f>IFERROR(__xludf.DUMMYFUNCTION("""COMPUTED_VALUE"""),"Sodium Hiphoclorite; ; ; ltr")</f>
        <v>Sodium Hiphoclorite; ; ; ltr</v>
      </c>
      <c r="F3175" s="6">
        <f>IFERROR(__xludf.DUMMYFUNCTION("""COMPUTED_VALUE"""),360.0)</f>
        <v>360</v>
      </c>
      <c r="G3175" s="6" t="str">
        <f>IFERROR(__xludf.DUMMYFUNCTION("""COMPUTED_VALUE"""),"Liter")</f>
        <v>Liter</v>
      </c>
      <c r="H3175" s="6" t="str">
        <f>IFERROR(__xludf.DUMMYFUNCTION("""COMPUTED_VALUE"""),"IDR")</f>
        <v>IDR</v>
      </c>
      <c r="I3175" s="6">
        <f>IFERROR(__xludf.DUMMYFUNCTION("""COMPUTED_VALUE"""),5000.0)</f>
        <v>5000</v>
      </c>
      <c r="J3175" s="6">
        <f>IFERROR(__xludf.DUMMYFUNCTION("""COMPUTED_VALUE"""),1800000.0)</f>
        <v>1800000</v>
      </c>
      <c r="K3175" s="57">
        <f>IFERROR(__xludf.DUMMYFUNCTION("""COMPUTED_VALUE"""),45417.0)</f>
        <v>45417</v>
      </c>
      <c r="L3175" s="6" t="str">
        <f>IFERROR(__xludf.DUMMYFUNCTION("""COMPUTED_VALUE"""),"FIP Engineering")</f>
        <v>FIP Engineering</v>
      </c>
      <c r="M3175" s="6" t="str">
        <f>IFERROR(__xludf.DUMMYFUNCTION("""COMPUTED_VALUE"""),"Mochammad Fadhillah Hakim,")</f>
        <v>Mochammad Fadhillah Hakim,</v>
      </c>
      <c r="N3175" s="6" t="str">
        <f>IFERROR(__xludf.DUMMYFUNCTION("""COMPUTED_VALUE"""),"FIP Engineering")</f>
        <v>FIP Engineering</v>
      </c>
      <c r="O3175" s="6" t="str">
        <f>IFERROR(__xludf.DUMMYFUNCTION("""COMPUTED_VALUE"""),"FIP-DOM-000-11304-OS00001-INA-000000")</f>
        <v>FIP-DOM-000-11304-OS00001-INA-000000</v>
      </c>
      <c r="P3175" s="6" t="str">
        <f>IFERROR(__xludf.DUMMYFUNCTION("""COMPUTED_VALUE"""),"PO Closed")</f>
        <v>PO Closed</v>
      </c>
      <c r="Q3175" s="6" t="str">
        <f>IFERROR(__xludf.DUMMYFUNCTION("""COMPUTED_VALUE"""),"GL2405047")</f>
        <v>GL2405047</v>
      </c>
      <c r="R3175" s="57">
        <f>IFERROR(__xludf.DUMMYFUNCTION("""COMPUTED_VALUE"""),45415.0)</f>
        <v>45415</v>
      </c>
      <c r="S3175" s="57">
        <f>IFERROR(__xludf.DUMMYFUNCTION("""COMPUTED_VALUE"""),45415.0)</f>
        <v>45415</v>
      </c>
      <c r="T3175" s="57">
        <f>IFERROR(__xludf.DUMMYFUNCTION("""COMPUTED_VALUE"""),45453.0)</f>
        <v>45453</v>
      </c>
    </row>
    <row r="3176">
      <c r="A3176" s="6" t="str">
        <f>IFERROR(__xludf.DUMMYFUNCTION("""COMPUTED_VALUE"""),"121701435-1")</f>
        <v>121701435-1</v>
      </c>
      <c r="B3176" s="6" t="str">
        <f>IFERROR(__xludf.DUMMYFUNCTION("""COMPUTED_VALUE"""),"121701435 - APPROVED")</f>
        <v>121701435 - APPROVED</v>
      </c>
      <c r="C3176" s="6">
        <f>IFERROR(__xludf.DUMMYFUNCTION("""COMPUTED_VALUE"""),1.0)</f>
        <v>1</v>
      </c>
      <c r="D3176" s="6" t="str">
        <f>IFERROR(__xludf.DUMMYFUNCTION("""COMPUTED_VALUE"""),"P-52590-00")</f>
        <v>P-52590-00</v>
      </c>
      <c r="E3176" s="6" t="str">
        <f>IFERROR(__xludf.DUMMYFUNCTION("""COMPUTED_VALUE"""),"Heater Duchting DIA.11.2 x 300mm 220 V 5000 W; ; ;")</f>
        <v>Heater Duchting DIA.11.2 x 300mm 220 V 5000 W; ; ;</v>
      </c>
      <c r="F3176" s="6">
        <f>IFERROR(__xludf.DUMMYFUNCTION("""COMPUTED_VALUE"""),3.0)</f>
        <v>3</v>
      </c>
      <c r="G3176" s="6" t="str">
        <f>IFERROR(__xludf.DUMMYFUNCTION("""COMPUTED_VALUE"""),"Pieces")</f>
        <v>Pieces</v>
      </c>
      <c r="H3176" s="6" t="str">
        <f>IFERROR(__xludf.DUMMYFUNCTION("""COMPUTED_VALUE"""),"IDR")</f>
        <v>IDR</v>
      </c>
      <c r="I3176" s="6">
        <f>IFERROR(__xludf.DUMMYFUNCTION("""COMPUTED_VALUE"""),830000.0)</f>
        <v>830000</v>
      </c>
      <c r="J3176" s="6">
        <f>IFERROR(__xludf.DUMMYFUNCTION("""COMPUTED_VALUE"""),2490000.0)</f>
        <v>2490000</v>
      </c>
      <c r="K3176" s="57">
        <f>IFERROR(__xludf.DUMMYFUNCTION("""COMPUTED_VALUE"""),45417.0)</f>
        <v>45417</v>
      </c>
      <c r="L3176" s="6" t="str">
        <f>IFERROR(__xludf.DUMMYFUNCTION("""COMPUTED_VALUE"""),"FIP Engineering")</f>
        <v>FIP Engineering</v>
      </c>
      <c r="M3176" s="6" t="str">
        <f>IFERROR(__xludf.DUMMYFUNCTION("""COMPUTED_VALUE"""),"Mochammad Fadhillah Hakim,")</f>
        <v>Mochammad Fadhillah Hakim,</v>
      </c>
      <c r="N3176" s="6" t="str">
        <f>IFERROR(__xludf.DUMMYFUNCTION("""COMPUTED_VALUE"""),"FIP Engineering")</f>
        <v>FIP Engineering</v>
      </c>
      <c r="O3176" s="6" t="str">
        <f>IFERROR(__xludf.DUMMYFUNCTION("""COMPUTED_VALUE"""),"FIP-DOM-000-11304-OS00001-INA-000000")</f>
        <v>FIP-DOM-000-11304-OS00001-INA-000000</v>
      </c>
      <c r="P3176" s="6" t="str">
        <f>IFERROR(__xludf.DUMMYFUNCTION("""COMPUTED_VALUE"""),"PO Closed")</f>
        <v>PO Closed</v>
      </c>
      <c r="Q3176" s="6" t="str">
        <f>IFERROR(__xludf.DUMMYFUNCTION("""COMPUTED_VALUE"""),"GL2405033")</f>
        <v>GL2405033</v>
      </c>
      <c r="R3176" s="57">
        <f>IFERROR(__xludf.DUMMYFUNCTION("""COMPUTED_VALUE"""),45415.0)</f>
        <v>45415</v>
      </c>
      <c r="S3176" s="57">
        <f>IFERROR(__xludf.DUMMYFUNCTION("""COMPUTED_VALUE"""),45415.0)</f>
        <v>45415</v>
      </c>
      <c r="T3176" s="57">
        <f>IFERROR(__xludf.DUMMYFUNCTION("""COMPUTED_VALUE"""),45453.0)</f>
        <v>45453</v>
      </c>
    </row>
    <row r="3177">
      <c r="A3177" s="6" t="str">
        <f>IFERROR(__xludf.DUMMYFUNCTION("""COMPUTED_VALUE"""),"121701436-1")</f>
        <v>121701436-1</v>
      </c>
      <c r="B3177" s="6" t="str">
        <f>IFERROR(__xludf.DUMMYFUNCTION("""COMPUTED_VALUE"""),"121701436 - APPROVED")</f>
        <v>121701436 - APPROVED</v>
      </c>
      <c r="C3177" s="6">
        <f>IFERROR(__xludf.DUMMYFUNCTION("""COMPUTED_VALUE"""),1.0)</f>
        <v>1</v>
      </c>
      <c r="D3177" s="6" t="str">
        <f>IFERROR(__xludf.DUMMYFUNCTION("""COMPUTED_VALUE"""),"O-17730-00")</f>
        <v>O-17730-00</v>
      </c>
      <c r="E3177" s="6" t="str">
        <f>IFERROR(__xludf.DUMMYFUNCTION("""COMPUTED_VALUE"""),"Dry Fog - Inner Gasket; P/N. 43100-106; ; ;")</f>
        <v>Dry Fog - Inner Gasket; P/N. 43100-106; ; ;</v>
      </c>
      <c r="F3177" s="6">
        <f>IFERROR(__xludf.DUMMYFUNCTION("""COMPUTED_VALUE"""),4.0)</f>
        <v>4</v>
      </c>
      <c r="G3177" s="6" t="str">
        <f>IFERROR(__xludf.DUMMYFUNCTION("""COMPUTED_VALUE"""),"Pieces")</f>
        <v>Pieces</v>
      </c>
      <c r="H3177" s="6" t="str">
        <f>IFERROR(__xludf.DUMMYFUNCTION("""COMPUTED_VALUE"""),"IDR")</f>
        <v>IDR</v>
      </c>
      <c r="I3177" s="6">
        <f>IFERROR(__xludf.DUMMYFUNCTION("""COMPUTED_VALUE"""),627900.0)</f>
        <v>627900</v>
      </c>
      <c r="J3177" s="6">
        <f>IFERROR(__xludf.DUMMYFUNCTION("""COMPUTED_VALUE"""),2511600.0)</f>
        <v>2511600</v>
      </c>
      <c r="K3177" s="57">
        <f>IFERROR(__xludf.DUMMYFUNCTION("""COMPUTED_VALUE"""),45420.0)</f>
        <v>45420</v>
      </c>
      <c r="L3177" s="6" t="str">
        <f>IFERROR(__xludf.DUMMYFUNCTION("""COMPUTED_VALUE"""),"FIP Engineering")</f>
        <v>FIP Engineering</v>
      </c>
      <c r="M3177" s="6" t="str">
        <f>IFERROR(__xludf.DUMMYFUNCTION("""COMPUTED_VALUE"""),"Mochammad Fadhillah Hakim,")</f>
        <v>Mochammad Fadhillah Hakim,</v>
      </c>
      <c r="N3177" s="6" t="str">
        <f>IFERROR(__xludf.DUMMYFUNCTION("""COMPUTED_VALUE"""),"FIP Engineering")</f>
        <v>FIP Engineering</v>
      </c>
      <c r="O3177" s="6" t="str">
        <f>IFERROR(__xludf.DUMMYFUNCTION("""COMPUTED_VALUE"""),"FIP-DOM-000-11304-OS00001-INA-000000")</f>
        <v>FIP-DOM-000-11304-OS00001-INA-000000</v>
      </c>
      <c r="P3177" s="6" t="str">
        <f>IFERROR(__xludf.DUMMYFUNCTION("""COMPUTED_VALUE"""),"PO Closed")</f>
        <v>PO Closed</v>
      </c>
      <c r="Q3177" s="6" t="str">
        <f>IFERROR(__xludf.DUMMYFUNCTION("""COMPUTED_VALUE"""),"GL2405046")</f>
        <v>GL2405046</v>
      </c>
      <c r="R3177" s="57">
        <f>IFERROR(__xludf.DUMMYFUNCTION("""COMPUTED_VALUE"""),45418.0)</f>
        <v>45418</v>
      </c>
      <c r="S3177" s="57">
        <f>IFERROR(__xludf.DUMMYFUNCTION("""COMPUTED_VALUE"""),45418.0)</f>
        <v>45418</v>
      </c>
      <c r="T3177" s="57">
        <f>IFERROR(__xludf.DUMMYFUNCTION("""COMPUTED_VALUE"""),45463.0)</f>
        <v>45463</v>
      </c>
    </row>
    <row r="3178">
      <c r="A3178" s="6" t="str">
        <f>IFERROR(__xludf.DUMMYFUNCTION("""COMPUTED_VALUE"""),"121701436-2")</f>
        <v>121701436-2</v>
      </c>
      <c r="B3178" s="6" t="str">
        <f>IFERROR(__xludf.DUMMYFUNCTION("""COMPUTED_VALUE"""),"121701436 - APPROVED")</f>
        <v>121701436 - APPROVED</v>
      </c>
      <c r="C3178" s="6">
        <f>IFERROR(__xludf.DUMMYFUNCTION("""COMPUTED_VALUE"""),2.0)</f>
        <v>2</v>
      </c>
      <c r="D3178" s="6" t="str">
        <f>IFERROR(__xludf.DUMMYFUNCTION("""COMPUTED_VALUE"""),"O-17732-00")</f>
        <v>O-17732-00</v>
      </c>
      <c r="E3178" s="6" t="str">
        <f>IFERROR(__xludf.DUMMYFUNCTION("""COMPUTED_VALUE"""),"Dry Fog - O-ring P4 MULTITRADE GOLDEN SYNERGY, PT P/N : 43100-082 pc")</f>
        <v>Dry Fog - O-ring P4 MULTITRADE GOLDEN SYNERGY, PT P/N : 43100-082 pc</v>
      </c>
      <c r="F3178" s="6">
        <f>IFERROR(__xludf.DUMMYFUNCTION("""COMPUTED_VALUE"""),1.0)</f>
        <v>1</v>
      </c>
      <c r="G3178" s="6" t="str">
        <f>IFERROR(__xludf.DUMMYFUNCTION("""COMPUTED_VALUE"""),"Pieces")</f>
        <v>Pieces</v>
      </c>
      <c r="H3178" s="6" t="str">
        <f>IFERROR(__xludf.DUMMYFUNCTION("""COMPUTED_VALUE"""),"IDR")</f>
        <v>IDR</v>
      </c>
      <c r="I3178" s="6">
        <f>IFERROR(__xludf.DUMMYFUNCTION("""COMPUTED_VALUE"""),78000.0)</f>
        <v>78000</v>
      </c>
      <c r="J3178" s="6">
        <f>IFERROR(__xludf.DUMMYFUNCTION("""COMPUTED_VALUE"""),78000.0)</f>
        <v>78000</v>
      </c>
      <c r="K3178" s="57">
        <f>IFERROR(__xludf.DUMMYFUNCTION("""COMPUTED_VALUE"""),45420.0)</f>
        <v>45420</v>
      </c>
      <c r="L3178" s="6" t="str">
        <f>IFERROR(__xludf.DUMMYFUNCTION("""COMPUTED_VALUE"""),"FIP Engineering")</f>
        <v>FIP Engineering</v>
      </c>
      <c r="M3178" s="6" t="str">
        <f>IFERROR(__xludf.DUMMYFUNCTION("""COMPUTED_VALUE"""),"Mochammad Fadhillah Hakim,")</f>
        <v>Mochammad Fadhillah Hakim,</v>
      </c>
      <c r="N3178" s="6" t="str">
        <f>IFERROR(__xludf.DUMMYFUNCTION("""COMPUTED_VALUE"""),"FIP Engineering")</f>
        <v>FIP Engineering</v>
      </c>
      <c r="O3178" s="6" t="str">
        <f>IFERROR(__xludf.DUMMYFUNCTION("""COMPUTED_VALUE"""),"FIP-DOM-000-11304-OS00001-INA-000000")</f>
        <v>FIP-DOM-000-11304-OS00001-INA-000000</v>
      </c>
      <c r="P3178" s="6" t="str">
        <f>IFERROR(__xludf.DUMMYFUNCTION("""COMPUTED_VALUE"""),"PO Closed")</f>
        <v>PO Closed</v>
      </c>
      <c r="Q3178" s="6" t="str">
        <f>IFERROR(__xludf.DUMMYFUNCTION("""COMPUTED_VALUE"""),"GL2405046")</f>
        <v>GL2405046</v>
      </c>
      <c r="R3178" s="57">
        <f>IFERROR(__xludf.DUMMYFUNCTION("""COMPUTED_VALUE"""),45418.0)</f>
        <v>45418</v>
      </c>
      <c r="S3178" s="57">
        <f>IFERROR(__xludf.DUMMYFUNCTION("""COMPUTED_VALUE"""),45418.0)</f>
        <v>45418</v>
      </c>
      <c r="T3178" s="57">
        <f>IFERROR(__xludf.DUMMYFUNCTION("""COMPUTED_VALUE"""),45463.0)</f>
        <v>45463</v>
      </c>
    </row>
    <row r="3179">
      <c r="A3179" s="6" t="str">
        <f>IFERROR(__xludf.DUMMYFUNCTION("""COMPUTED_VALUE"""),"121701436-3")</f>
        <v>121701436-3</v>
      </c>
      <c r="B3179" s="6" t="str">
        <f>IFERROR(__xludf.DUMMYFUNCTION("""COMPUTED_VALUE"""),"121701436 - APPROVED")</f>
        <v>121701436 - APPROVED</v>
      </c>
      <c r="C3179" s="6">
        <f>IFERROR(__xludf.DUMMYFUNCTION("""COMPUTED_VALUE"""),3.0)</f>
        <v>3</v>
      </c>
      <c r="D3179" s="6" t="str">
        <f>IFERROR(__xludf.DUMMYFUNCTION("""COMPUTED_VALUE"""),"O-17729-00")</f>
        <v>O-17729-00</v>
      </c>
      <c r="E3179" s="6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F3179" s="6">
        <f>IFERROR(__xludf.DUMMYFUNCTION("""COMPUTED_VALUE"""),1.0)</f>
        <v>1</v>
      </c>
      <c r="G3179" s="6" t="str">
        <f>IFERROR(__xludf.DUMMYFUNCTION("""COMPUTED_VALUE"""),"Pieces")</f>
        <v>Pieces</v>
      </c>
      <c r="H3179" s="6" t="str">
        <f>IFERROR(__xludf.DUMMYFUNCTION("""COMPUTED_VALUE"""),"IDR")</f>
        <v>IDR</v>
      </c>
      <c r="I3179" s="6">
        <f>IFERROR(__xludf.DUMMYFUNCTION("""COMPUTED_VALUE"""),5396000.0)</f>
        <v>5396000</v>
      </c>
      <c r="J3179" s="6">
        <f>IFERROR(__xludf.DUMMYFUNCTION("""COMPUTED_VALUE"""),5396000.0)</f>
        <v>5396000</v>
      </c>
      <c r="K3179" s="57">
        <f>IFERROR(__xludf.DUMMYFUNCTION("""COMPUTED_VALUE"""),45420.0)</f>
        <v>45420</v>
      </c>
      <c r="L3179" s="6" t="str">
        <f>IFERROR(__xludf.DUMMYFUNCTION("""COMPUTED_VALUE"""),"FIP Engineering")</f>
        <v>FIP Engineering</v>
      </c>
      <c r="M3179" s="6" t="str">
        <f>IFERROR(__xludf.DUMMYFUNCTION("""COMPUTED_VALUE"""),"Mochammad Fadhillah Hakim,")</f>
        <v>Mochammad Fadhillah Hakim,</v>
      </c>
      <c r="N3179" s="6" t="str">
        <f>IFERROR(__xludf.DUMMYFUNCTION("""COMPUTED_VALUE"""),"FIP Engineering")</f>
        <v>FIP Engineering</v>
      </c>
      <c r="O3179" s="6" t="str">
        <f>IFERROR(__xludf.DUMMYFUNCTION("""COMPUTED_VALUE"""),"FIP-DOM-000-11304-OS00001-INA-000000")</f>
        <v>FIP-DOM-000-11304-OS00001-INA-000000</v>
      </c>
      <c r="P3179" s="6" t="str">
        <f>IFERROR(__xludf.DUMMYFUNCTION("""COMPUTED_VALUE"""),"PO Closed")</f>
        <v>PO Closed</v>
      </c>
      <c r="Q3179" s="6" t="str">
        <f>IFERROR(__xludf.DUMMYFUNCTION("""COMPUTED_VALUE"""),"GL2405046")</f>
        <v>GL2405046</v>
      </c>
      <c r="R3179" s="57">
        <f>IFERROR(__xludf.DUMMYFUNCTION("""COMPUTED_VALUE"""),45418.0)</f>
        <v>45418</v>
      </c>
      <c r="S3179" s="57">
        <f>IFERROR(__xludf.DUMMYFUNCTION("""COMPUTED_VALUE"""),45418.0)</f>
        <v>45418</v>
      </c>
      <c r="T3179" s="57">
        <f>IFERROR(__xludf.DUMMYFUNCTION("""COMPUTED_VALUE"""),45463.0)</f>
        <v>45463</v>
      </c>
    </row>
    <row r="3180">
      <c r="A3180" s="6" t="str">
        <f>IFERROR(__xludf.DUMMYFUNCTION("""COMPUTED_VALUE"""),"121701436-4")</f>
        <v>121701436-4</v>
      </c>
      <c r="B3180" s="6" t="str">
        <f>IFERROR(__xludf.DUMMYFUNCTION("""COMPUTED_VALUE"""),"121701436 - APPROVED")</f>
        <v>121701436 - APPROVED</v>
      </c>
      <c r="C3180" s="6">
        <f>IFERROR(__xludf.DUMMYFUNCTION("""COMPUTED_VALUE"""),4.0)</f>
        <v>4</v>
      </c>
      <c r="D3180" s="6" t="str">
        <f>IFERROR(__xludf.DUMMYFUNCTION("""COMPUTED_VALUE"""),"S-40760-00")</f>
        <v>S-40760-00</v>
      </c>
      <c r="E3180" s="6" t="str">
        <f>IFERROR(__xludf.DUMMYFUNCTION("""COMPUTED_VALUE"""),"Dry Fog - Oring Spray; P/N. 43100-097; ; ;")</f>
        <v>Dry Fog - Oring Spray; P/N. 43100-097; ; ;</v>
      </c>
      <c r="F3180" s="6">
        <f>IFERROR(__xludf.DUMMYFUNCTION("""COMPUTED_VALUE"""),4.0)</f>
        <v>4</v>
      </c>
      <c r="G3180" s="6" t="str">
        <f>IFERROR(__xludf.DUMMYFUNCTION("""COMPUTED_VALUE"""),"Pieces")</f>
        <v>Pieces</v>
      </c>
      <c r="H3180" s="6" t="str">
        <f>IFERROR(__xludf.DUMMYFUNCTION("""COMPUTED_VALUE"""),"IDR")</f>
        <v>IDR</v>
      </c>
      <c r="I3180" s="6">
        <f>IFERROR(__xludf.DUMMYFUNCTION("""COMPUTED_VALUE"""),357000.0)</f>
        <v>357000</v>
      </c>
      <c r="J3180" s="6">
        <f>IFERROR(__xludf.DUMMYFUNCTION("""COMPUTED_VALUE"""),1428000.0)</f>
        <v>1428000</v>
      </c>
      <c r="K3180" s="57">
        <f>IFERROR(__xludf.DUMMYFUNCTION("""COMPUTED_VALUE"""),45420.0)</f>
        <v>45420</v>
      </c>
      <c r="L3180" s="6" t="str">
        <f>IFERROR(__xludf.DUMMYFUNCTION("""COMPUTED_VALUE"""),"FIP Engineering")</f>
        <v>FIP Engineering</v>
      </c>
      <c r="M3180" s="6" t="str">
        <f>IFERROR(__xludf.DUMMYFUNCTION("""COMPUTED_VALUE"""),"Mochammad Fadhillah Hakim,")</f>
        <v>Mochammad Fadhillah Hakim,</v>
      </c>
      <c r="N3180" s="6" t="str">
        <f>IFERROR(__xludf.DUMMYFUNCTION("""COMPUTED_VALUE"""),"FIP Engineering")</f>
        <v>FIP Engineering</v>
      </c>
      <c r="O3180" s="6" t="str">
        <f>IFERROR(__xludf.DUMMYFUNCTION("""COMPUTED_VALUE"""),"FIP-DOM-000-11304-OS00001-INA-000000")</f>
        <v>FIP-DOM-000-11304-OS00001-INA-000000</v>
      </c>
      <c r="P3180" s="6" t="str">
        <f>IFERROR(__xludf.DUMMYFUNCTION("""COMPUTED_VALUE"""),"PO Closed")</f>
        <v>PO Closed</v>
      </c>
      <c r="Q3180" s="6" t="str">
        <f>IFERROR(__xludf.DUMMYFUNCTION("""COMPUTED_VALUE"""),"GL2405046")</f>
        <v>GL2405046</v>
      </c>
      <c r="R3180" s="57">
        <f>IFERROR(__xludf.DUMMYFUNCTION("""COMPUTED_VALUE"""),45418.0)</f>
        <v>45418</v>
      </c>
      <c r="S3180" s="57">
        <f>IFERROR(__xludf.DUMMYFUNCTION("""COMPUTED_VALUE"""),45418.0)</f>
        <v>45418</v>
      </c>
      <c r="T3180" s="57">
        <f>IFERROR(__xludf.DUMMYFUNCTION("""COMPUTED_VALUE"""),45463.0)</f>
        <v>45463</v>
      </c>
    </row>
    <row r="3181">
      <c r="A3181" s="6" t="str">
        <f>IFERROR(__xludf.DUMMYFUNCTION("""COMPUTED_VALUE"""),"121701444-1")</f>
        <v>121701444-1</v>
      </c>
      <c r="B3181" s="6" t="str">
        <f>IFERROR(__xludf.DUMMYFUNCTION("""COMPUTED_VALUE"""),"121701444 - APPROVED")</f>
        <v>121701444 - APPROVED</v>
      </c>
      <c r="C3181" s="6">
        <f>IFERROR(__xludf.DUMMYFUNCTION("""COMPUTED_VALUE"""),1.0)</f>
        <v>1</v>
      </c>
      <c r="D3181" s="6" t="str">
        <f>IFERROR(__xludf.DUMMYFUNCTION("""COMPUTED_VALUE"""),"O-19894-00")</f>
        <v>O-19894-00</v>
      </c>
      <c r="E3181" s="6" t="str">
        <f>IFERROR(__xludf.DUMMYFUNCTION("""COMPUTED_VALUE"""),"Capping VCM200 - Guide Starwheel Vial Pom hitam 319x329x17 mm; Custom; ;")</f>
        <v>Capping VCM200 - Guide Starwheel Vial Pom hitam 319x329x17 mm; Custom; ;</v>
      </c>
      <c r="F3181" s="6">
        <f>IFERROR(__xludf.DUMMYFUNCTION("""COMPUTED_VALUE"""),1.0)</f>
        <v>1</v>
      </c>
      <c r="G3181" s="6" t="str">
        <f>IFERROR(__xludf.DUMMYFUNCTION("""COMPUTED_VALUE"""),"Pieces")</f>
        <v>Pieces</v>
      </c>
      <c r="H3181" s="6" t="str">
        <f>IFERROR(__xludf.DUMMYFUNCTION("""COMPUTED_VALUE"""),"IDR")</f>
        <v>IDR</v>
      </c>
      <c r="I3181" s="6">
        <f>IFERROR(__xludf.DUMMYFUNCTION("""COMPUTED_VALUE"""),4587000.0)</f>
        <v>4587000</v>
      </c>
      <c r="J3181" s="6">
        <f>IFERROR(__xludf.DUMMYFUNCTION("""COMPUTED_VALUE"""),4587000.0)</f>
        <v>4587000</v>
      </c>
      <c r="K3181" s="57">
        <f>IFERROR(__xludf.DUMMYFUNCTION("""COMPUTED_VALUE"""),45421.0)</f>
        <v>45421</v>
      </c>
      <c r="L3181" s="6" t="str">
        <f>IFERROR(__xludf.DUMMYFUNCTION("""COMPUTED_VALUE"""),"FIP Engineering")</f>
        <v>FIP Engineering</v>
      </c>
      <c r="M3181" s="6" t="str">
        <f>IFERROR(__xludf.DUMMYFUNCTION("""COMPUTED_VALUE"""),"Mochammad Fadhillah Hakim,")</f>
        <v>Mochammad Fadhillah Hakim,</v>
      </c>
      <c r="N3181" s="6" t="str">
        <f>IFERROR(__xludf.DUMMYFUNCTION("""COMPUTED_VALUE"""),"FIP Engineering")</f>
        <v>FIP Engineering</v>
      </c>
      <c r="O3181" s="6" t="str">
        <f>IFERROR(__xludf.DUMMYFUNCTION("""COMPUTED_VALUE"""),"FIP-DOM-000-11304-OS00001-INA-000000")</f>
        <v>FIP-DOM-000-11304-OS00001-INA-000000</v>
      </c>
      <c r="P3181" s="6" t="str">
        <f>IFERROR(__xludf.DUMMYFUNCTION("""COMPUTED_VALUE"""),"PO Closed")</f>
        <v>PO Closed</v>
      </c>
      <c r="Q3181" s="6" t="str">
        <f>IFERROR(__xludf.DUMMYFUNCTION("""COMPUTED_VALUE"""),"GL2406024")</f>
        <v>GL2406024</v>
      </c>
      <c r="R3181" s="57">
        <f>IFERROR(__xludf.DUMMYFUNCTION("""COMPUTED_VALUE"""),45419.0)</f>
        <v>45419</v>
      </c>
      <c r="S3181" s="57">
        <f>IFERROR(__xludf.DUMMYFUNCTION("""COMPUTED_VALUE"""),45425.0)</f>
        <v>45425</v>
      </c>
      <c r="T3181" s="57">
        <f>IFERROR(__xludf.DUMMYFUNCTION("""COMPUTED_VALUE"""),45488.0)</f>
        <v>45488</v>
      </c>
    </row>
    <row r="3182">
      <c r="A3182" s="6" t="str">
        <f>IFERROR(__xludf.DUMMYFUNCTION("""COMPUTED_VALUE"""),"121701444-2")</f>
        <v>121701444-2</v>
      </c>
      <c r="B3182" s="6" t="str">
        <f>IFERROR(__xludf.DUMMYFUNCTION("""COMPUTED_VALUE"""),"121701444 - APPROVED")</f>
        <v>121701444 - APPROVED</v>
      </c>
      <c r="C3182" s="6">
        <f>IFERROR(__xludf.DUMMYFUNCTION("""COMPUTED_VALUE"""),2.0)</f>
        <v>2</v>
      </c>
      <c r="D3182" s="6" t="str">
        <f>IFERROR(__xludf.DUMMYFUNCTION("""COMPUTED_VALUE"""),"O-19829-00")</f>
        <v>O-19829-00</v>
      </c>
      <c r="E3182" s="6" t="str">
        <f>IFERROR(__xludf.DUMMYFUNCTION("""COMPUTED_VALUE"""),"Pusher 50 H Cartoning")</f>
        <v>Pusher 50 H Cartoning</v>
      </c>
      <c r="F3182" s="6">
        <f>IFERROR(__xludf.DUMMYFUNCTION("""COMPUTED_VALUE"""),1.0)</f>
        <v>1</v>
      </c>
      <c r="G3182" s="6" t="str">
        <f>IFERROR(__xludf.DUMMYFUNCTION("""COMPUTED_VALUE"""),"Lot")</f>
        <v>Lot</v>
      </c>
      <c r="H3182" s="6" t="str">
        <f>IFERROR(__xludf.DUMMYFUNCTION("""COMPUTED_VALUE"""),"IDR")</f>
        <v>IDR</v>
      </c>
      <c r="I3182" s="6">
        <f>IFERROR(__xludf.DUMMYFUNCTION("""COMPUTED_VALUE"""),2287000.0)</f>
        <v>2287000</v>
      </c>
      <c r="J3182" s="6">
        <f>IFERROR(__xludf.DUMMYFUNCTION("""COMPUTED_VALUE"""),2287000.0)</f>
        <v>2287000</v>
      </c>
      <c r="K3182" s="57">
        <f>IFERROR(__xludf.DUMMYFUNCTION("""COMPUTED_VALUE"""),45422.0)</f>
        <v>45422</v>
      </c>
      <c r="L3182" s="6" t="str">
        <f>IFERROR(__xludf.DUMMYFUNCTION("""COMPUTED_VALUE"""),"FIP Engineering")</f>
        <v>FIP Engineering</v>
      </c>
      <c r="M3182" s="6" t="str">
        <f>IFERROR(__xludf.DUMMYFUNCTION("""COMPUTED_VALUE"""),"Mochammad Fadhillah Hakim,")</f>
        <v>Mochammad Fadhillah Hakim,</v>
      </c>
      <c r="N3182" s="6" t="str">
        <f>IFERROR(__xludf.DUMMYFUNCTION("""COMPUTED_VALUE"""),"FIP Engineering")</f>
        <v>FIP Engineering</v>
      </c>
      <c r="O3182" s="6" t="str">
        <f>IFERROR(__xludf.DUMMYFUNCTION("""COMPUTED_VALUE"""),"FIP-DOM-000-11304-OS00001-INA-000000")</f>
        <v>FIP-DOM-000-11304-OS00001-INA-000000</v>
      </c>
      <c r="P3182" s="6" t="str">
        <f>IFERROR(__xludf.DUMMYFUNCTION("""COMPUTED_VALUE"""),"PO Closed")</f>
        <v>PO Closed</v>
      </c>
      <c r="Q3182" s="6" t="str">
        <f>IFERROR(__xludf.DUMMYFUNCTION("""COMPUTED_VALUE"""),"GL2406024")</f>
        <v>GL2406024</v>
      </c>
      <c r="R3182" s="57">
        <f>IFERROR(__xludf.DUMMYFUNCTION("""COMPUTED_VALUE"""),45419.0)</f>
        <v>45419</v>
      </c>
      <c r="S3182" s="57">
        <f>IFERROR(__xludf.DUMMYFUNCTION("""COMPUTED_VALUE"""),45425.0)</f>
        <v>45425</v>
      </c>
      <c r="T3182" s="57">
        <f>IFERROR(__xludf.DUMMYFUNCTION("""COMPUTED_VALUE"""),45550.0)</f>
        <v>45550</v>
      </c>
    </row>
    <row r="3183">
      <c r="A3183" s="6" t="str">
        <f>IFERROR(__xludf.DUMMYFUNCTION("""COMPUTED_VALUE"""),"121701444-3")</f>
        <v>121701444-3</v>
      </c>
      <c r="B3183" s="6" t="str">
        <f>IFERROR(__xludf.DUMMYFUNCTION("""COMPUTED_VALUE"""),"121701444 - APPROVED")</f>
        <v>121701444 - APPROVED</v>
      </c>
      <c r="C3183" s="6">
        <f>IFERROR(__xludf.DUMMYFUNCTION("""COMPUTED_VALUE"""),3.0)</f>
        <v>3</v>
      </c>
      <c r="D3183" s="6" t="str">
        <f>IFERROR(__xludf.DUMMYFUNCTION("""COMPUTED_VALUE"""),"O-19862-00")</f>
        <v>O-19862-00</v>
      </c>
      <c r="E3183" s="6" t="str">
        <f>IFERROR(__xludf.DUMMYFUNCTION("""COMPUTED_VALUE"""),"Capping VCM200 - Transfer Plate material SS304Custom")</f>
        <v>Capping VCM200 - Transfer Plate material SS304Custom</v>
      </c>
      <c r="F3183" s="6">
        <f>IFERROR(__xludf.DUMMYFUNCTION("""COMPUTED_VALUE"""),10.0)</f>
        <v>10</v>
      </c>
      <c r="G3183" s="6" t="str">
        <f>IFERROR(__xludf.DUMMYFUNCTION("""COMPUTED_VALUE"""),"Pieces")</f>
        <v>Pieces</v>
      </c>
      <c r="H3183" s="6" t="str">
        <f>IFERROR(__xludf.DUMMYFUNCTION("""COMPUTED_VALUE"""),"IDR")</f>
        <v>IDR</v>
      </c>
      <c r="I3183" s="6">
        <f>IFERROR(__xludf.DUMMYFUNCTION("""COMPUTED_VALUE"""),375000.0)</f>
        <v>375000</v>
      </c>
      <c r="J3183" s="6">
        <f>IFERROR(__xludf.DUMMYFUNCTION("""COMPUTED_VALUE"""),3750000.0)</f>
        <v>3750000</v>
      </c>
      <c r="K3183" s="57">
        <f>IFERROR(__xludf.DUMMYFUNCTION("""COMPUTED_VALUE"""),45422.0)</f>
        <v>45422</v>
      </c>
      <c r="L3183" s="6" t="str">
        <f>IFERROR(__xludf.DUMMYFUNCTION("""COMPUTED_VALUE"""),"FIP Engineering")</f>
        <v>FIP Engineering</v>
      </c>
      <c r="M3183" s="6" t="str">
        <f>IFERROR(__xludf.DUMMYFUNCTION("""COMPUTED_VALUE"""),"Mochammad Fadhillah Hakim,")</f>
        <v>Mochammad Fadhillah Hakim,</v>
      </c>
      <c r="N3183" s="6" t="str">
        <f>IFERROR(__xludf.DUMMYFUNCTION("""COMPUTED_VALUE"""),"FIP Engineering")</f>
        <v>FIP Engineering</v>
      </c>
      <c r="O3183" s="6" t="str">
        <f>IFERROR(__xludf.DUMMYFUNCTION("""COMPUTED_VALUE"""),"FIP-DOM-000-11304-OS00001-INA-000000")</f>
        <v>FIP-DOM-000-11304-OS00001-INA-000000</v>
      </c>
      <c r="P3183" s="6" t="str">
        <f>IFERROR(__xludf.DUMMYFUNCTION("""COMPUTED_VALUE"""),"PO Closed")</f>
        <v>PO Closed</v>
      </c>
      <c r="Q3183" s="6" t="str">
        <f>IFERROR(__xludf.DUMMYFUNCTION("""COMPUTED_VALUE"""),"GL2406024")</f>
        <v>GL2406024</v>
      </c>
      <c r="R3183" s="57">
        <f>IFERROR(__xludf.DUMMYFUNCTION("""COMPUTED_VALUE"""),45419.0)</f>
        <v>45419</v>
      </c>
      <c r="S3183" s="57">
        <f>IFERROR(__xludf.DUMMYFUNCTION("""COMPUTED_VALUE"""),45425.0)</f>
        <v>45425</v>
      </c>
      <c r="T3183" s="57">
        <f>IFERROR(__xludf.DUMMYFUNCTION("""COMPUTED_VALUE"""),45488.0)</f>
        <v>45488</v>
      </c>
    </row>
    <row r="3184">
      <c r="A3184" s="6" t="str">
        <f>IFERROR(__xludf.DUMMYFUNCTION("""COMPUTED_VALUE"""),"121701450-1")</f>
        <v>121701450-1</v>
      </c>
      <c r="B3184" s="6" t="str">
        <f>IFERROR(__xludf.DUMMYFUNCTION("""COMPUTED_VALUE"""),"121701450 - APPROVED")</f>
        <v>121701450 - APPROVED</v>
      </c>
      <c r="C3184" s="6">
        <f>IFERROR(__xludf.DUMMYFUNCTION("""COMPUTED_VALUE"""),1.0)</f>
        <v>1</v>
      </c>
      <c r="D3184" s="6" t="str">
        <f>IFERROR(__xludf.DUMMYFUNCTION("""COMPUTED_VALUE"""),"P-19232-00")</f>
        <v>P-19232-00</v>
      </c>
      <c r="E3184" s="6" t="str">
        <f>IFERROR(__xludf.DUMMYFUNCTION("""COMPUTED_VALUE"""),"Fitting QSL 3/8 x 12 mm; EMC; ;")</f>
        <v>Fitting QSL 3/8 x 12 mm; EMC; ;</v>
      </c>
      <c r="F3184" s="6">
        <f>IFERROR(__xludf.DUMMYFUNCTION("""COMPUTED_VALUE"""),4.0)</f>
        <v>4</v>
      </c>
      <c r="G3184" s="6" t="str">
        <f>IFERROR(__xludf.DUMMYFUNCTION("""COMPUTED_VALUE"""),"Pieces")</f>
        <v>Pieces</v>
      </c>
      <c r="H3184" s="6" t="str">
        <f>IFERROR(__xludf.DUMMYFUNCTION("""COMPUTED_VALUE"""),"IDR")</f>
        <v>IDR</v>
      </c>
      <c r="I3184" s="6">
        <f>IFERROR(__xludf.DUMMYFUNCTION("""COMPUTED_VALUE"""),28500.0)</f>
        <v>28500</v>
      </c>
      <c r="J3184" s="6">
        <f>IFERROR(__xludf.DUMMYFUNCTION("""COMPUTED_VALUE"""),114000.0)</f>
        <v>114000</v>
      </c>
      <c r="K3184" s="57">
        <f>IFERROR(__xludf.DUMMYFUNCTION("""COMPUTED_VALUE"""),45422.0)</f>
        <v>45422</v>
      </c>
      <c r="L3184" s="6" t="str">
        <f>IFERROR(__xludf.DUMMYFUNCTION("""COMPUTED_VALUE"""),"FIP Engineering")</f>
        <v>FIP Engineering</v>
      </c>
      <c r="M3184" s="6" t="str">
        <f>IFERROR(__xludf.DUMMYFUNCTION("""COMPUTED_VALUE"""),"Mochammad Fadhillah Hakim,")</f>
        <v>Mochammad Fadhillah Hakim,</v>
      </c>
      <c r="N3184" s="6" t="str">
        <f>IFERROR(__xludf.DUMMYFUNCTION("""COMPUTED_VALUE"""),"FIP Engineering")</f>
        <v>FIP Engineering</v>
      </c>
      <c r="O3184" s="6" t="str">
        <f>IFERROR(__xludf.DUMMYFUNCTION("""COMPUTED_VALUE"""),"FIP-DOM-000-11304-OS00001-INA-000000")</f>
        <v>FIP-DOM-000-11304-OS00001-INA-000000</v>
      </c>
      <c r="P3184" s="6" t="str">
        <f>IFERROR(__xludf.DUMMYFUNCTION("""COMPUTED_VALUE"""),"PO Closed")</f>
        <v>PO Closed</v>
      </c>
      <c r="Q3184" s="6" t="str">
        <f>IFERROR(__xludf.DUMMYFUNCTION("""COMPUTED_VALUE"""),"GL2405022")</f>
        <v>GL2405022</v>
      </c>
      <c r="R3184" s="57">
        <f>IFERROR(__xludf.DUMMYFUNCTION("""COMPUTED_VALUE"""),45420.0)</f>
        <v>45420</v>
      </c>
      <c r="S3184" s="57">
        <f>IFERROR(__xludf.DUMMYFUNCTION("""COMPUTED_VALUE"""),45425.0)</f>
        <v>45425</v>
      </c>
      <c r="T3184" s="57">
        <f>IFERROR(__xludf.DUMMYFUNCTION("""COMPUTED_VALUE"""),45443.0)</f>
        <v>45443</v>
      </c>
    </row>
    <row r="3185">
      <c r="A3185" s="6" t="str">
        <f>IFERROR(__xludf.DUMMYFUNCTION("""COMPUTED_VALUE"""),"121701450-2")</f>
        <v>121701450-2</v>
      </c>
      <c r="B3185" s="6" t="str">
        <f>IFERROR(__xludf.DUMMYFUNCTION("""COMPUTED_VALUE"""),"121701450 - APPROVED")</f>
        <v>121701450 - APPROVED</v>
      </c>
      <c r="C3185" s="6">
        <f>IFERROR(__xludf.DUMMYFUNCTION("""COMPUTED_VALUE"""),2.0)</f>
        <v>2</v>
      </c>
      <c r="D3185" s="6" t="str">
        <f>IFERROR(__xludf.DUMMYFUNCTION("""COMPUTED_VALUE"""),"P-19234-00")</f>
        <v>P-19234-00</v>
      </c>
      <c r="E3185" s="6" t="str">
        <f>IFERROR(__xludf.DUMMYFUNCTION("""COMPUTED_VALUE"""),"Fitting Tee Tubing (Pneumatic Union Speed Control) 12 mm; EMC; ;")</f>
        <v>Fitting Tee Tubing (Pneumatic Union Speed Control) 12 mm; EMC; ;</v>
      </c>
      <c r="F3185" s="6">
        <f>IFERROR(__xludf.DUMMYFUNCTION("""COMPUTED_VALUE"""),3.0)</f>
        <v>3</v>
      </c>
      <c r="G3185" s="6" t="str">
        <f>IFERROR(__xludf.DUMMYFUNCTION("""COMPUTED_VALUE"""),"Pieces")</f>
        <v>Pieces</v>
      </c>
      <c r="H3185" s="6" t="str">
        <f>IFERROR(__xludf.DUMMYFUNCTION("""COMPUTED_VALUE"""),"IDR")</f>
        <v>IDR</v>
      </c>
      <c r="I3185" s="6">
        <f>IFERROR(__xludf.DUMMYFUNCTION("""COMPUTED_VALUE"""),65000.0)</f>
        <v>65000</v>
      </c>
      <c r="J3185" s="6">
        <f>IFERROR(__xludf.DUMMYFUNCTION("""COMPUTED_VALUE"""),195000.0)</f>
        <v>195000</v>
      </c>
      <c r="K3185" s="57">
        <f>IFERROR(__xludf.DUMMYFUNCTION("""COMPUTED_VALUE"""),45422.0)</f>
        <v>45422</v>
      </c>
      <c r="L3185" s="6" t="str">
        <f>IFERROR(__xludf.DUMMYFUNCTION("""COMPUTED_VALUE"""),"FIP Engineering")</f>
        <v>FIP Engineering</v>
      </c>
      <c r="M3185" s="6" t="str">
        <f>IFERROR(__xludf.DUMMYFUNCTION("""COMPUTED_VALUE"""),"Mochammad Fadhillah Hakim,")</f>
        <v>Mochammad Fadhillah Hakim,</v>
      </c>
      <c r="N3185" s="6" t="str">
        <f>IFERROR(__xludf.DUMMYFUNCTION("""COMPUTED_VALUE"""),"FIP Engineering")</f>
        <v>FIP Engineering</v>
      </c>
      <c r="O3185" s="6" t="str">
        <f>IFERROR(__xludf.DUMMYFUNCTION("""COMPUTED_VALUE"""),"FIP-DOM-000-11304-OS00001-INA-000000")</f>
        <v>FIP-DOM-000-11304-OS00001-INA-000000</v>
      </c>
      <c r="P3185" s="6" t="str">
        <f>IFERROR(__xludf.DUMMYFUNCTION("""COMPUTED_VALUE"""),"PO Closed")</f>
        <v>PO Closed</v>
      </c>
      <c r="Q3185" s="6" t="str">
        <f>IFERROR(__xludf.DUMMYFUNCTION("""COMPUTED_VALUE"""),"GL2405022")</f>
        <v>GL2405022</v>
      </c>
      <c r="R3185" s="57">
        <f>IFERROR(__xludf.DUMMYFUNCTION("""COMPUTED_VALUE"""),45420.0)</f>
        <v>45420</v>
      </c>
      <c r="S3185" s="57">
        <f>IFERROR(__xludf.DUMMYFUNCTION("""COMPUTED_VALUE"""),45425.0)</f>
        <v>45425</v>
      </c>
      <c r="T3185" s="57">
        <f>IFERROR(__xludf.DUMMYFUNCTION("""COMPUTED_VALUE"""),45443.0)</f>
        <v>45443</v>
      </c>
    </row>
    <row r="3186">
      <c r="A3186" s="6" t="str">
        <f>IFERROR(__xludf.DUMMYFUNCTION("""COMPUTED_VALUE"""),"121701450-3")</f>
        <v>121701450-3</v>
      </c>
      <c r="B3186" s="6" t="str">
        <f>IFERROR(__xludf.DUMMYFUNCTION("""COMPUTED_VALUE"""),"121701450 - APPROVED")</f>
        <v>121701450 - APPROVED</v>
      </c>
      <c r="C3186" s="6">
        <f>IFERROR(__xludf.DUMMYFUNCTION("""COMPUTED_VALUE"""),3.0)</f>
        <v>3</v>
      </c>
      <c r="D3186" s="6" t="str">
        <f>IFERROR(__xludf.DUMMYFUNCTION("""COMPUTED_VALUE"""),"P-19235-00")</f>
        <v>P-19235-00</v>
      </c>
      <c r="E3186" s="6" t="str">
        <f>IFERROR(__xludf.DUMMYFUNCTION("""COMPUTED_VALUE"""),"Box Panel 20x17x12cm, Tebal Plat 1 mm; Lokal; ;")</f>
        <v>Box Panel 20x17x12cm, Tebal Plat 1 mm; Lokal; ;</v>
      </c>
      <c r="F3186" s="6">
        <f>IFERROR(__xludf.DUMMYFUNCTION("""COMPUTED_VALUE"""),1.0)</f>
        <v>1</v>
      </c>
      <c r="G3186" s="6" t="str">
        <f>IFERROR(__xludf.DUMMYFUNCTION("""COMPUTED_VALUE"""),"Pieces")</f>
        <v>Pieces</v>
      </c>
      <c r="H3186" s="6" t="str">
        <f>IFERROR(__xludf.DUMMYFUNCTION("""COMPUTED_VALUE"""),"IDR")</f>
        <v>IDR</v>
      </c>
      <c r="I3186" s="6">
        <f>IFERROR(__xludf.DUMMYFUNCTION("""COMPUTED_VALUE"""),145000.0)</f>
        <v>145000</v>
      </c>
      <c r="J3186" s="6">
        <f>IFERROR(__xludf.DUMMYFUNCTION("""COMPUTED_VALUE"""),145000.0)</f>
        <v>145000</v>
      </c>
      <c r="K3186" s="57">
        <f>IFERROR(__xludf.DUMMYFUNCTION("""COMPUTED_VALUE"""),45422.0)</f>
        <v>45422</v>
      </c>
      <c r="L3186" s="6" t="str">
        <f>IFERROR(__xludf.DUMMYFUNCTION("""COMPUTED_VALUE"""),"FIP Engineering")</f>
        <v>FIP Engineering</v>
      </c>
      <c r="M3186" s="6" t="str">
        <f>IFERROR(__xludf.DUMMYFUNCTION("""COMPUTED_VALUE"""),"Mochammad Fadhillah Hakim,")</f>
        <v>Mochammad Fadhillah Hakim,</v>
      </c>
      <c r="N3186" s="6" t="str">
        <f>IFERROR(__xludf.DUMMYFUNCTION("""COMPUTED_VALUE"""),"FIP Engineering")</f>
        <v>FIP Engineering</v>
      </c>
      <c r="O3186" s="6" t="str">
        <f>IFERROR(__xludf.DUMMYFUNCTION("""COMPUTED_VALUE"""),"FIP-DOM-000-11304-OS00001-INA-000000")</f>
        <v>FIP-DOM-000-11304-OS00001-INA-000000</v>
      </c>
      <c r="P3186" s="6" t="str">
        <f>IFERROR(__xludf.DUMMYFUNCTION("""COMPUTED_VALUE"""),"PO Closed")</f>
        <v>PO Closed</v>
      </c>
      <c r="Q3186" s="6" t="str">
        <f>IFERROR(__xludf.DUMMYFUNCTION("""COMPUTED_VALUE"""),"GL2405022")</f>
        <v>GL2405022</v>
      </c>
      <c r="R3186" s="57">
        <f>IFERROR(__xludf.DUMMYFUNCTION("""COMPUTED_VALUE"""),45420.0)</f>
        <v>45420</v>
      </c>
      <c r="S3186" s="57">
        <f>IFERROR(__xludf.DUMMYFUNCTION("""COMPUTED_VALUE"""),45425.0)</f>
        <v>45425</v>
      </c>
      <c r="T3186" s="57">
        <f>IFERROR(__xludf.DUMMYFUNCTION("""COMPUTED_VALUE"""),45443.0)</f>
        <v>45443</v>
      </c>
    </row>
    <row r="3187">
      <c r="A3187" s="6" t="str">
        <f>IFERROR(__xludf.DUMMYFUNCTION("""COMPUTED_VALUE"""),"121701450-4")</f>
        <v>121701450-4</v>
      </c>
      <c r="B3187" s="6" t="str">
        <f>IFERROR(__xludf.DUMMYFUNCTION("""COMPUTED_VALUE"""),"121701450 - APPROVED")</f>
        <v>121701450 - APPROVED</v>
      </c>
      <c r="C3187" s="6">
        <f>IFERROR(__xludf.DUMMYFUNCTION("""COMPUTED_VALUE"""),4.0)</f>
        <v>4</v>
      </c>
      <c r="D3187" s="6" t="str">
        <f>IFERROR(__xludf.DUMMYFUNCTION("""COMPUTED_VALUE"""),"P-19233-00")</f>
        <v>P-19233-00</v>
      </c>
      <c r="E3187" s="6" t="str">
        <f>IFERROR(__xludf.DUMMYFUNCTION("""COMPUTED_VALUE"""),"Fitting QS 1/2 x 8mm; EMC; ;")</f>
        <v>Fitting QS 1/2 x 8mm; EMC; ;</v>
      </c>
      <c r="F3187" s="6">
        <f>IFERROR(__xludf.DUMMYFUNCTION("""COMPUTED_VALUE"""),2.0)</f>
        <v>2</v>
      </c>
      <c r="G3187" s="6" t="str">
        <f>IFERROR(__xludf.DUMMYFUNCTION("""COMPUTED_VALUE"""),"Pieces")</f>
        <v>Pieces</v>
      </c>
      <c r="H3187" s="6" t="str">
        <f>IFERROR(__xludf.DUMMYFUNCTION("""COMPUTED_VALUE"""),"IDR")</f>
        <v>IDR</v>
      </c>
      <c r="I3187" s="6">
        <f>IFERROR(__xludf.DUMMYFUNCTION("""COMPUTED_VALUE"""),23500.0)</f>
        <v>23500</v>
      </c>
      <c r="J3187" s="6">
        <f>IFERROR(__xludf.DUMMYFUNCTION("""COMPUTED_VALUE"""),47000.0)</f>
        <v>47000</v>
      </c>
      <c r="K3187" s="57">
        <f>IFERROR(__xludf.DUMMYFUNCTION("""COMPUTED_VALUE"""),45422.0)</f>
        <v>45422</v>
      </c>
      <c r="L3187" s="6" t="str">
        <f>IFERROR(__xludf.DUMMYFUNCTION("""COMPUTED_VALUE"""),"FIP Engineering")</f>
        <v>FIP Engineering</v>
      </c>
      <c r="M3187" s="6" t="str">
        <f>IFERROR(__xludf.DUMMYFUNCTION("""COMPUTED_VALUE"""),"Mochammad Fadhillah Hakim,")</f>
        <v>Mochammad Fadhillah Hakim,</v>
      </c>
      <c r="N3187" s="6" t="str">
        <f>IFERROR(__xludf.DUMMYFUNCTION("""COMPUTED_VALUE"""),"FIP Engineering")</f>
        <v>FIP Engineering</v>
      </c>
      <c r="O3187" s="6" t="str">
        <f>IFERROR(__xludf.DUMMYFUNCTION("""COMPUTED_VALUE"""),"FIP-DOM-000-11304-OS00001-INA-000000")</f>
        <v>FIP-DOM-000-11304-OS00001-INA-000000</v>
      </c>
      <c r="P3187" s="6" t="str">
        <f>IFERROR(__xludf.DUMMYFUNCTION("""COMPUTED_VALUE"""),"PO Closed")</f>
        <v>PO Closed</v>
      </c>
      <c r="Q3187" s="6" t="str">
        <f>IFERROR(__xludf.DUMMYFUNCTION("""COMPUTED_VALUE"""),"GL2405022")</f>
        <v>GL2405022</v>
      </c>
      <c r="R3187" s="57">
        <f>IFERROR(__xludf.DUMMYFUNCTION("""COMPUTED_VALUE"""),45420.0)</f>
        <v>45420</v>
      </c>
      <c r="S3187" s="57">
        <f>IFERROR(__xludf.DUMMYFUNCTION("""COMPUTED_VALUE"""),45425.0)</f>
        <v>45425</v>
      </c>
      <c r="T3187" s="57">
        <f>IFERROR(__xludf.DUMMYFUNCTION("""COMPUTED_VALUE"""),45443.0)</f>
        <v>45443</v>
      </c>
    </row>
    <row r="3188">
      <c r="A3188" s="6" t="str">
        <f>IFERROR(__xludf.DUMMYFUNCTION("""COMPUTED_VALUE"""),"121701450-5")</f>
        <v>121701450-5</v>
      </c>
      <c r="B3188" s="6" t="str">
        <f>IFERROR(__xludf.DUMMYFUNCTION("""COMPUTED_VALUE"""),"121701450 - APPROVED")</f>
        <v>121701450 - APPROVED</v>
      </c>
      <c r="C3188" s="6">
        <f>IFERROR(__xludf.DUMMYFUNCTION("""COMPUTED_VALUE"""),5.0)</f>
        <v>5</v>
      </c>
      <c r="D3188" s="6" t="str">
        <f>IFERROR(__xludf.DUMMYFUNCTION("""COMPUTED_VALUE"""),"P-19236-00")</f>
        <v>P-19236-00</v>
      </c>
      <c r="E3188" s="6" t="str">
        <f>IFERROR(__xludf.DUMMYFUNCTION("""COMPUTED_VALUE"""),"Tubing Nylon 12mm x 9mm @100 m/Roll; SHPI Taiwan; ;")</f>
        <v>Tubing Nylon 12mm x 9mm @100 m/Roll; SHPI Taiwan; ;</v>
      </c>
      <c r="F3188" s="6">
        <f>IFERROR(__xludf.DUMMYFUNCTION("""COMPUTED_VALUE"""),1.0)</f>
        <v>1</v>
      </c>
      <c r="G3188" s="6" t="str">
        <f>IFERROR(__xludf.DUMMYFUNCTION("""COMPUTED_VALUE"""),"Roll")</f>
        <v>Roll</v>
      </c>
      <c r="H3188" s="6" t="str">
        <f>IFERROR(__xludf.DUMMYFUNCTION("""COMPUTED_VALUE"""),"IDR")</f>
        <v>IDR</v>
      </c>
      <c r="I3188" s="6">
        <f>IFERROR(__xludf.DUMMYFUNCTION("""COMPUTED_VALUE"""),1925000.0)</f>
        <v>1925000</v>
      </c>
      <c r="J3188" s="6">
        <f>IFERROR(__xludf.DUMMYFUNCTION("""COMPUTED_VALUE"""),1925000.0)</f>
        <v>1925000</v>
      </c>
      <c r="K3188" s="57">
        <f>IFERROR(__xludf.DUMMYFUNCTION("""COMPUTED_VALUE"""),45422.0)</f>
        <v>45422</v>
      </c>
      <c r="L3188" s="6" t="str">
        <f>IFERROR(__xludf.DUMMYFUNCTION("""COMPUTED_VALUE"""),"FIP Engineering")</f>
        <v>FIP Engineering</v>
      </c>
      <c r="M3188" s="6" t="str">
        <f>IFERROR(__xludf.DUMMYFUNCTION("""COMPUTED_VALUE"""),"Mochammad Fadhillah Hakim,")</f>
        <v>Mochammad Fadhillah Hakim,</v>
      </c>
      <c r="N3188" s="6" t="str">
        <f>IFERROR(__xludf.DUMMYFUNCTION("""COMPUTED_VALUE"""),"FIP Engineering")</f>
        <v>FIP Engineering</v>
      </c>
      <c r="O3188" s="6" t="str">
        <f>IFERROR(__xludf.DUMMYFUNCTION("""COMPUTED_VALUE"""),"FIP-DOM-000-11304-OS00001-INA-000000")</f>
        <v>FIP-DOM-000-11304-OS00001-INA-000000</v>
      </c>
      <c r="P3188" s="6" t="str">
        <f>IFERROR(__xludf.DUMMYFUNCTION("""COMPUTED_VALUE"""),"PO Closed")</f>
        <v>PO Closed</v>
      </c>
      <c r="Q3188" s="6" t="str">
        <f>IFERROR(__xludf.DUMMYFUNCTION("""COMPUTED_VALUE"""),"GL2405022")</f>
        <v>GL2405022</v>
      </c>
      <c r="R3188" s="57">
        <f>IFERROR(__xludf.DUMMYFUNCTION("""COMPUTED_VALUE"""),45420.0)</f>
        <v>45420</v>
      </c>
      <c r="S3188" s="57">
        <f>IFERROR(__xludf.DUMMYFUNCTION("""COMPUTED_VALUE"""),45425.0)</f>
        <v>45425</v>
      </c>
      <c r="T3188" s="57">
        <f>IFERROR(__xludf.DUMMYFUNCTION("""COMPUTED_VALUE"""),45443.0)</f>
        <v>45443</v>
      </c>
    </row>
    <row r="3189">
      <c r="A3189" s="6" t="str">
        <f>IFERROR(__xludf.DUMMYFUNCTION("""COMPUTED_VALUE"""),"121701450-6")</f>
        <v>121701450-6</v>
      </c>
      <c r="B3189" s="6" t="str">
        <f>IFERROR(__xludf.DUMMYFUNCTION("""COMPUTED_VALUE"""),"121701450 - APPROVED")</f>
        <v>121701450 - APPROVED</v>
      </c>
      <c r="C3189" s="6">
        <f>IFERROR(__xludf.DUMMYFUNCTION("""COMPUTED_VALUE"""),6.0)</f>
        <v>6</v>
      </c>
      <c r="D3189" s="6" t="str">
        <f>IFERROR(__xludf.DUMMYFUNCTION("""COMPUTED_VALUE"""),"P-19237-00")</f>
        <v>P-19237-00</v>
      </c>
      <c r="E3189" s="6" t="str">
        <f>IFERROR(__xludf.DUMMYFUNCTION("""COMPUTED_VALUE"""),"Vlok Ring SS 304 1"" x 3/8 ""; ; ;")</f>
        <v>Vlok Ring SS 304 1" x 3/8 "; ; ;</v>
      </c>
      <c r="F3189" s="6">
        <f>IFERROR(__xludf.DUMMYFUNCTION("""COMPUTED_VALUE"""),4.0)</f>
        <v>4</v>
      </c>
      <c r="G3189" s="6" t="str">
        <f>IFERROR(__xludf.DUMMYFUNCTION("""COMPUTED_VALUE"""),"Pieces")</f>
        <v>Pieces</v>
      </c>
      <c r="H3189" s="6" t="str">
        <f>IFERROR(__xludf.DUMMYFUNCTION("""COMPUTED_VALUE"""),"IDR")</f>
        <v>IDR</v>
      </c>
      <c r="I3189" s="6">
        <f>IFERROR(__xludf.DUMMYFUNCTION("""COMPUTED_VALUE"""),40000.0)</f>
        <v>40000</v>
      </c>
      <c r="J3189" s="6">
        <f>IFERROR(__xludf.DUMMYFUNCTION("""COMPUTED_VALUE"""),160000.0)</f>
        <v>160000</v>
      </c>
      <c r="K3189" s="57">
        <f>IFERROR(__xludf.DUMMYFUNCTION("""COMPUTED_VALUE"""),45422.0)</f>
        <v>45422</v>
      </c>
      <c r="L3189" s="6" t="str">
        <f>IFERROR(__xludf.DUMMYFUNCTION("""COMPUTED_VALUE"""),"FIP Engineering")</f>
        <v>FIP Engineering</v>
      </c>
      <c r="M3189" s="6" t="str">
        <f>IFERROR(__xludf.DUMMYFUNCTION("""COMPUTED_VALUE"""),"Mochammad Fadhillah Hakim,")</f>
        <v>Mochammad Fadhillah Hakim,</v>
      </c>
      <c r="N3189" s="6" t="str">
        <f>IFERROR(__xludf.DUMMYFUNCTION("""COMPUTED_VALUE"""),"FIP Engineering")</f>
        <v>FIP Engineering</v>
      </c>
      <c r="O3189" s="6" t="str">
        <f>IFERROR(__xludf.DUMMYFUNCTION("""COMPUTED_VALUE"""),"FIP-DOM-000-11304-OS00001-INA-000000")</f>
        <v>FIP-DOM-000-11304-OS00001-INA-000000</v>
      </c>
      <c r="P3189" s="6" t="str">
        <f>IFERROR(__xludf.DUMMYFUNCTION("""COMPUTED_VALUE"""),"PO Closed")</f>
        <v>PO Closed</v>
      </c>
      <c r="Q3189" s="6" t="str">
        <f>IFERROR(__xludf.DUMMYFUNCTION("""COMPUTED_VALUE"""),"GL2405022")</f>
        <v>GL2405022</v>
      </c>
      <c r="R3189" s="57">
        <f>IFERROR(__xludf.DUMMYFUNCTION("""COMPUTED_VALUE"""),45420.0)</f>
        <v>45420</v>
      </c>
      <c r="S3189" s="57">
        <f>IFERROR(__xludf.DUMMYFUNCTION("""COMPUTED_VALUE"""),45425.0)</f>
        <v>45425</v>
      </c>
      <c r="T3189" s="57">
        <f>IFERROR(__xludf.DUMMYFUNCTION("""COMPUTED_VALUE"""),45443.0)</f>
        <v>45443</v>
      </c>
    </row>
    <row r="3190">
      <c r="A3190" s="6" t="str">
        <f>IFERROR(__xludf.DUMMYFUNCTION("""COMPUTED_VALUE"""),"121701450-8")</f>
        <v>121701450-8</v>
      </c>
      <c r="B3190" s="6" t="str">
        <f>IFERROR(__xludf.DUMMYFUNCTION("""COMPUTED_VALUE"""),"121701450 - APPROVED")</f>
        <v>121701450 - APPROVED</v>
      </c>
      <c r="C3190" s="6">
        <f>IFERROR(__xludf.DUMMYFUNCTION("""COMPUTED_VALUE"""),8.0)</f>
        <v>8</v>
      </c>
      <c r="D3190" s="6" t="str">
        <f>IFERROR(__xludf.DUMMYFUNCTION("""COMPUTED_VALUE"""),"O-52169-00")</f>
        <v>O-52169-00</v>
      </c>
      <c r="E3190" s="6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F3190" s="6">
        <f>IFERROR(__xludf.DUMMYFUNCTION("""COMPUTED_VALUE"""),1.0)</f>
        <v>1</v>
      </c>
      <c r="G3190" s="6" t="str">
        <f>IFERROR(__xludf.DUMMYFUNCTION("""COMPUTED_VALUE"""),"Pieces")</f>
        <v>Pieces</v>
      </c>
      <c r="H3190" s="6" t="str">
        <f>IFERROR(__xludf.DUMMYFUNCTION("""COMPUTED_VALUE"""),"IDR")</f>
        <v>IDR</v>
      </c>
      <c r="I3190" s="6">
        <f>IFERROR(__xludf.DUMMYFUNCTION("""COMPUTED_VALUE"""),295000.0)</f>
        <v>295000</v>
      </c>
      <c r="J3190" s="6">
        <f>IFERROR(__xludf.DUMMYFUNCTION("""COMPUTED_VALUE"""),295000.0)</f>
        <v>295000</v>
      </c>
      <c r="K3190" s="57">
        <f>IFERROR(__xludf.DUMMYFUNCTION("""COMPUTED_VALUE"""),45422.0)</f>
        <v>45422</v>
      </c>
      <c r="L3190" s="6" t="str">
        <f>IFERROR(__xludf.DUMMYFUNCTION("""COMPUTED_VALUE"""),"FIP Engineering")</f>
        <v>FIP Engineering</v>
      </c>
      <c r="M3190" s="6" t="str">
        <f>IFERROR(__xludf.DUMMYFUNCTION("""COMPUTED_VALUE"""),"Mochammad Fadhillah Hakim,")</f>
        <v>Mochammad Fadhillah Hakim,</v>
      </c>
      <c r="N3190" s="6" t="str">
        <f>IFERROR(__xludf.DUMMYFUNCTION("""COMPUTED_VALUE"""),"FIP Engineering")</f>
        <v>FIP Engineering</v>
      </c>
      <c r="O3190" s="6" t="str">
        <f>IFERROR(__xludf.DUMMYFUNCTION("""COMPUTED_VALUE"""),"FIP-DOM-000-11304-OS00001-INA-000000")</f>
        <v>FIP-DOM-000-11304-OS00001-INA-000000</v>
      </c>
      <c r="P3190" s="6" t="str">
        <f>IFERROR(__xludf.DUMMYFUNCTION("""COMPUTED_VALUE"""),"PO Closed")</f>
        <v>PO Closed</v>
      </c>
      <c r="Q3190" s="6" t="str">
        <f>IFERROR(__xludf.DUMMYFUNCTION("""COMPUTED_VALUE"""),"GL2405022")</f>
        <v>GL2405022</v>
      </c>
      <c r="R3190" s="57">
        <f>IFERROR(__xludf.DUMMYFUNCTION("""COMPUTED_VALUE"""),45420.0)</f>
        <v>45420</v>
      </c>
      <c r="S3190" s="57">
        <f>IFERROR(__xludf.DUMMYFUNCTION("""COMPUTED_VALUE"""),45425.0)</f>
        <v>45425</v>
      </c>
      <c r="T3190" s="57">
        <f>IFERROR(__xludf.DUMMYFUNCTION("""COMPUTED_VALUE"""),45443.0)</f>
        <v>45443</v>
      </c>
    </row>
    <row r="3191">
      <c r="A3191" s="6" t="str">
        <f>IFERROR(__xludf.DUMMYFUNCTION("""COMPUTED_VALUE"""),"121701450-9")</f>
        <v>121701450-9</v>
      </c>
      <c r="B3191" s="6" t="str">
        <f>IFERROR(__xludf.DUMMYFUNCTION("""COMPUTED_VALUE"""),"121701450 - APPROVED")</f>
        <v>121701450 - APPROVED</v>
      </c>
      <c r="C3191" s="6">
        <f>IFERROR(__xludf.DUMMYFUNCTION("""COMPUTED_VALUE"""),9.0)</f>
        <v>9</v>
      </c>
      <c r="D3191" s="6" t="str">
        <f>IFERROR(__xludf.DUMMYFUNCTION("""COMPUTED_VALUE"""),"P-52964-00")</f>
        <v>P-52964-00</v>
      </c>
      <c r="E3191" s="6" t="str">
        <f>IFERROR(__xludf.DUMMYFUNCTION("""COMPUTED_VALUE"""),"Temperatur Control Continuous Sealer FRB-700; MC; TEQD-2301B;")</f>
        <v>Temperatur Control Continuous Sealer FRB-700; MC; TEQD-2301B;</v>
      </c>
      <c r="F3191" s="6">
        <f>IFERROR(__xludf.DUMMYFUNCTION("""COMPUTED_VALUE"""),1.0)</f>
        <v>1</v>
      </c>
      <c r="G3191" s="6" t="str">
        <f>IFERROR(__xludf.DUMMYFUNCTION("""COMPUTED_VALUE"""),"Pieces")</f>
        <v>Pieces</v>
      </c>
      <c r="H3191" s="6" t="str">
        <f>IFERROR(__xludf.DUMMYFUNCTION("""COMPUTED_VALUE"""),"IDR")</f>
        <v>IDR</v>
      </c>
      <c r="I3191" s="6">
        <f>IFERROR(__xludf.DUMMYFUNCTION("""COMPUTED_VALUE"""),585000.0)</f>
        <v>585000</v>
      </c>
      <c r="J3191" s="6">
        <f>IFERROR(__xludf.DUMMYFUNCTION("""COMPUTED_VALUE"""),585000.0)</f>
        <v>585000</v>
      </c>
      <c r="K3191" s="57">
        <f>IFERROR(__xludf.DUMMYFUNCTION("""COMPUTED_VALUE"""),45422.0)</f>
        <v>45422</v>
      </c>
      <c r="L3191" s="6" t="str">
        <f>IFERROR(__xludf.DUMMYFUNCTION("""COMPUTED_VALUE"""),"FIP Engineering")</f>
        <v>FIP Engineering</v>
      </c>
      <c r="M3191" s="6" t="str">
        <f>IFERROR(__xludf.DUMMYFUNCTION("""COMPUTED_VALUE"""),"Mochammad Fadhillah Hakim,")</f>
        <v>Mochammad Fadhillah Hakim,</v>
      </c>
      <c r="N3191" s="6" t="str">
        <f>IFERROR(__xludf.DUMMYFUNCTION("""COMPUTED_VALUE"""),"FIP Engineering")</f>
        <v>FIP Engineering</v>
      </c>
      <c r="O3191" s="6" t="str">
        <f>IFERROR(__xludf.DUMMYFUNCTION("""COMPUTED_VALUE"""),"FIP-DOM-000-11304-OS00001-INA-000000")</f>
        <v>FIP-DOM-000-11304-OS00001-INA-000000</v>
      </c>
      <c r="P3191" s="6" t="str">
        <f>IFERROR(__xludf.DUMMYFUNCTION("""COMPUTED_VALUE"""),"PO Closed")</f>
        <v>PO Closed</v>
      </c>
      <c r="Q3191" s="6" t="str">
        <f>IFERROR(__xludf.DUMMYFUNCTION("""COMPUTED_VALUE"""),"GL2405022")</f>
        <v>GL2405022</v>
      </c>
      <c r="R3191" s="57">
        <f>IFERROR(__xludf.DUMMYFUNCTION("""COMPUTED_VALUE"""),45420.0)</f>
        <v>45420</v>
      </c>
      <c r="S3191" s="57">
        <f>IFERROR(__xludf.DUMMYFUNCTION("""COMPUTED_VALUE"""),45425.0)</f>
        <v>45425</v>
      </c>
      <c r="T3191" s="57">
        <f>IFERROR(__xludf.DUMMYFUNCTION("""COMPUTED_VALUE"""),45443.0)</f>
        <v>45443</v>
      </c>
    </row>
    <row r="3192">
      <c r="A3192" s="6" t="str">
        <f>IFERROR(__xludf.DUMMYFUNCTION("""COMPUTED_VALUE"""),"121701451-1")</f>
        <v>121701451-1</v>
      </c>
      <c r="B3192" s="6" t="str">
        <f>IFERROR(__xludf.DUMMYFUNCTION("""COMPUTED_VALUE"""),"121701451 - APPROVED")</f>
        <v>121701451 - APPROVED</v>
      </c>
      <c r="C3192" s="6">
        <f>IFERROR(__xludf.DUMMYFUNCTION("""COMPUTED_VALUE"""),1.0)</f>
        <v>1</v>
      </c>
      <c r="D3192" s="6"/>
      <c r="E3192" s="6" t="str">
        <f>IFERROR(__xludf.DUMMYFUNCTION("""COMPUTED_VALUE"""),"AC Portable 1/2 PK MPHA-05CRN7 Midea")</f>
        <v>AC Portable 1/2 PK MPHA-05CRN7 Midea</v>
      </c>
      <c r="F3192" s="6">
        <f>IFERROR(__xludf.DUMMYFUNCTION("""COMPUTED_VALUE"""),1.0)</f>
        <v>1</v>
      </c>
      <c r="G3192" s="6" t="str">
        <f>IFERROR(__xludf.DUMMYFUNCTION("""COMPUTED_VALUE"""),"Unit")</f>
        <v>Unit</v>
      </c>
      <c r="H3192" s="6" t="str">
        <f>IFERROR(__xludf.DUMMYFUNCTION("""COMPUTED_VALUE"""),"IDR")</f>
        <v>IDR</v>
      </c>
      <c r="I3192" s="6">
        <f>IFERROR(__xludf.DUMMYFUNCTION("""COMPUTED_VALUE"""),3550000.0)</f>
        <v>3550000</v>
      </c>
      <c r="J3192" s="6">
        <f>IFERROR(__xludf.DUMMYFUNCTION("""COMPUTED_VALUE"""),3550000.0)</f>
        <v>3550000</v>
      </c>
      <c r="K3192" s="57">
        <f>IFERROR(__xludf.DUMMYFUNCTION("""COMPUTED_VALUE"""),45422.0)</f>
        <v>45422</v>
      </c>
      <c r="L3192" s="6" t="str">
        <f>IFERROR(__xludf.DUMMYFUNCTION("""COMPUTED_VALUE"""),"FIP General")</f>
        <v>FIP General</v>
      </c>
      <c r="M3192" s="6" t="str">
        <f>IFERROR(__xludf.DUMMYFUNCTION("""COMPUTED_VALUE"""),"Mochammad Fadhillah Hakim,")</f>
        <v>Mochammad Fadhillah Hakim,</v>
      </c>
      <c r="N3192" s="6" t="str">
        <f>IFERROR(__xludf.DUMMYFUNCTION("""COMPUTED_VALUE"""),"FIP Engineering")</f>
        <v>FIP Engineering</v>
      </c>
      <c r="O3192" s="6" t="str">
        <f>IFERROR(__xludf.DUMMYFUNCTION("""COMPUTED_VALUE"""),"FIP-DOM-ENG-13404-MC24030-INA-000000")</f>
        <v>FIP-DOM-ENG-13404-MC24030-INA-000000</v>
      </c>
      <c r="P3192" s="6" t="str">
        <f>IFERROR(__xludf.DUMMYFUNCTION("""COMPUTED_VALUE"""),"PO Closed")</f>
        <v>PO Closed</v>
      </c>
      <c r="Q3192" s="6" t="str">
        <f>IFERROR(__xludf.DUMMYFUNCTION("""COMPUTED_VALUE"""),"GL2405029")</f>
        <v>GL2405029</v>
      </c>
      <c r="R3192" s="57">
        <f>IFERROR(__xludf.DUMMYFUNCTION("""COMPUTED_VALUE"""),45420.0)</f>
        <v>45420</v>
      </c>
      <c r="S3192" s="57">
        <f>IFERROR(__xludf.DUMMYFUNCTION("""COMPUTED_VALUE"""),45425.0)</f>
        <v>45425</v>
      </c>
      <c r="T3192" s="57">
        <f>IFERROR(__xludf.DUMMYFUNCTION("""COMPUTED_VALUE"""),45450.0)</f>
        <v>45450</v>
      </c>
    </row>
    <row r="3193">
      <c r="A3193" s="6" t="str">
        <f>IFERROR(__xludf.DUMMYFUNCTION("""COMPUTED_VALUE"""),"121701458-1")</f>
        <v>121701458-1</v>
      </c>
      <c r="B3193" s="6" t="str">
        <f>IFERROR(__xludf.DUMMYFUNCTION("""COMPUTED_VALUE"""),"121701458 - APPROVED")</f>
        <v>121701458 - APPROVED</v>
      </c>
      <c r="C3193" s="6">
        <f>IFERROR(__xludf.DUMMYFUNCTION("""COMPUTED_VALUE"""),1.0)</f>
        <v>1</v>
      </c>
      <c r="D3193" s="6" t="str">
        <f>IFERROR(__xludf.DUMMYFUNCTION("""COMPUTED_VALUE"""),"Q-90000-00")</f>
        <v>Q-90000-00</v>
      </c>
      <c r="E3193" s="6" t="str">
        <f>IFERROR(__xludf.DUMMYFUNCTION("""COMPUTED_VALUE"""),"Building Maintenance Pure Expense")</f>
        <v>Building Maintenance Pure Expense</v>
      </c>
      <c r="F3193" s="6">
        <f>IFERROR(__xludf.DUMMYFUNCTION("""COMPUTED_VALUE"""),2.0)</f>
        <v>2</v>
      </c>
      <c r="G3193" s="6" t="str">
        <f>IFERROR(__xludf.DUMMYFUNCTION("""COMPUTED_VALUE"""),"Unit")</f>
        <v>Unit</v>
      </c>
      <c r="H3193" s="6" t="str">
        <f>IFERROR(__xludf.DUMMYFUNCTION("""COMPUTED_VALUE"""),"IDR")</f>
        <v>IDR</v>
      </c>
      <c r="I3193" s="6">
        <f>IFERROR(__xludf.DUMMYFUNCTION("""COMPUTED_VALUE"""),155000.0)</f>
        <v>155000</v>
      </c>
      <c r="J3193" s="6">
        <f>IFERROR(__xludf.DUMMYFUNCTION("""COMPUTED_VALUE"""),310000.0)</f>
        <v>310000</v>
      </c>
      <c r="K3193" s="57">
        <f>IFERROR(__xludf.DUMMYFUNCTION("""COMPUTED_VALUE"""),45424.0)</f>
        <v>45424</v>
      </c>
      <c r="L3193" s="6" t="str">
        <f>IFERROR(__xludf.DUMMYFUNCTION("""COMPUTED_VALUE"""),"FIP General")</f>
        <v>FIP General</v>
      </c>
      <c r="M3193" s="6" t="str">
        <f>IFERROR(__xludf.DUMMYFUNCTION("""COMPUTED_VALUE"""),"Mochammad Fadhillah Hakim,")</f>
        <v>Mochammad Fadhillah Hakim,</v>
      </c>
      <c r="N3193" s="6" t="str">
        <f>IFERROR(__xludf.DUMMYFUNCTION("""COMPUTED_VALUE"""),"FIP Engineering")</f>
        <v>FIP Engineering</v>
      </c>
      <c r="O3193" s="6" t="str">
        <f>IFERROR(__xludf.DUMMYFUNCTION("""COMPUTED_VALUE"""),"FIP-DOM-ENG-51502-0000000-INA-000000")</f>
        <v>FIP-DOM-ENG-51502-0000000-INA-000000</v>
      </c>
      <c r="P3193" s="6" t="str">
        <f>IFERROR(__xludf.DUMMYFUNCTION("""COMPUTED_VALUE"""),"PO Closed")</f>
        <v>PO Closed</v>
      </c>
      <c r="Q3193" s="6"/>
      <c r="R3193" s="57">
        <f>IFERROR(__xludf.DUMMYFUNCTION("""COMPUTED_VALUE"""),45422.0)</f>
        <v>45422</v>
      </c>
      <c r="S3193" s="57">
        <f>IFERROR(__xludf.DUMMYFUNCTION("""COMPUTED_VALUE"""),45432.0)</f>
        <v>45432</v>
      </c>
      <c r="T3193" s="57">
        <f>IFERROR(__xludf.DUMMYFUNCTION("""COMPUTED_VALUE"""),45424.0)</f>
        <v>45424</v>
      </c>
    </row>
    <row r="3194">
      <c r="A3194" s="6" t="str">
        <f>IFERROR(__xludf.DUMMYFUNCTION("""COMPUTED_VALUE"""),"121701459-1")</f>
        <v>121701459-1</v>
      </c>
      <c r="B3194" s="6" t="str">
        <f>IFERROR(__xludf.DUMMYFUNCTION("""COMPUTED_VALUE"""),"121701459 - APPROVED")</f>
        <v>121701459 - APPROVED</v>
      </c>
      <c r="C3194" s="6">
        <f>IFERROR(__xludf.DUMMYFUNCTION("""COMPUTED_VALUE"""),1.0)</f>
        <v>1</v>
      </c>
      <c r="D3194" s="6" t="str">
        <f>IFERROR(__xludf.DUMMYFUNCTION("""COMPUTED_VALUE"""),"Q-90000-00")</f>
        <v>Q-90000-00</v>
      </c>
      <c r="E3194" s="6" t="str">
        <f>IFERROR(__xludf.DUMMYFUNCTION("""COMPUTED_VALUE"""),"Building Maintenance Pure Expense")</f>
        <v>Building Maintenance Pure Expense</v>
      </c>
      <c r="F3194" s="6">
        <f>IFERROR(__xludf.DUMMYFUNCTION("""COMPUTED_VALUE"""),1.0)</f>
        <v>1</v>
      </c>
      <c r="G3194" s="6" t="str">
        <f>IFERROR(__xludf.DUMMYFUNCTION("""COMPUTED_VALUE"""),"Unit")</f>
        <v>Unit</v>
      </c>
      <c r="H3194" s="6" t="str">
        <f>IFERROR(__xludf.DUMMYFUNCTION("""COMPUTED_VALUE"""),"IDR")</f>
        <v>IDR</v>
      </c>
      <c r="I3194" s="6">
        <f>IFERROR(__xludf.DUMMYFUNCTION("""COMPUTED_VALUE"""),9397000.0)</f>
        <v>9397000</v>
      </c>
      <c r="J3194" s="6">
        <f>IFERROR(__xludf.DUMMYFUNCTION("""COMPUTED_VALUE"""),9397000.0)</f>
        <v>9397000</v>
      </c>
      <c r="K3194" s="57">
        <f>IFERROR(__xludf.DUMMYFUNCTION("""COMPUTED_VALUE"""),45424.0)</f>
        <v>45424</v>
      </c>
      <c r="L3194" s="6" t="str">
        <f>IFERROR(__xludf.DUMMYFUNCTION("""COMPUTED_VALUE"""),"FIP General")</f>
        <v>FIP General</v>
      </c>
      <c r="M3194" s="6" t="str">
        <f>IFERROR(__xludf.DUMMYFUNCTION("""COMPUTED_VALUE"""),"Mochammad Fadhillah Hakim,")</f>
        <v>Mochammad Fadhillah Hakim,</v>
      </c>
      <c r="N3194" s="6" t="str">
        <f>IFERROR(__xludf.DUMMYFUNCTION("""COMPUTED_VALUE"""),"FIP Engineering")</f>
        <v>FIP Engineering</v>
      </c>
      <c r="O3194" s="6" t="str">
        <f>IFERROR(__xludf.DUMMYFUNCTION("""COMPUTED_VALUE"""),"FIP-DOM-ENG-51502-0000000-INA-000000")</f>
        <v>FIP-DOM-ENG-51502-0000000-INA-000000</v>
      </c>
      <c r="P3194" s="6" t="str">
        <f>IFERROR(__xludf.DUMMYFUNCTION("""COMPUTED_VALUE"""),"PO Closed")</f>
        <v>PO Closed</v>
      </c>
      <c r="Q3194" s="6" t="str">
        <f>IFERROR(__xludf.DUMMYFUNCTION("""COMPUTED_VALUE"""),"GL2405043")</f>
        <v>GL2405043</v>
      </c>
      <c r="R3194" s="57">
        <f>IFERROR(__xludf.DUMMYFUNCTION("""COMPUTED_VALUE"""),45422.0)</f>
        <v>45422</v>
      </c>
      <c r="S3194" s="57">
        <f>IFERROR(__xludf.DUMMYFUNCTION("""COMPUTED_VALUE"""),45428.0)</f>
        <v>45428</v>
      </c>
      <c r="T3194" s="57">
        <f>IFERROR(__xludf.DUMMYFUNCTION("""COMPUTED_VALUE"""),45504.0)</f>
        <v>45504</v>
      </c>
    </row>
    <row r="3195">
      <c r="A3195" s="6" t="str">
        <f>IFERROR(__xludf.DUMMYFUNCTION("""COMPUTED_VALUE"""),"121701460-1")</f>
        <v>121701460-1</v>
      </c>
      <c r="B3195" s="6" t="str">
        <f>IFERROR(__xludf.DUMMYFUNCTION("""COMPUTED_VALUE"""),"121701460 - APPROVED")</f>
        <v>121701460 - APPROVED</v>
      </c>
      <c r="C3195" s="6">
        <f>IFERROR(__xludf.DUMMYFUNCTION("""COMPUTED_VALUE"""),1.0)</f>
        <v>1</v>
      </c>
      <c r="D3195" s="6" t="str">
        <f>IFERROR(__xludf.DUMMYFUNCTION("""COMPUTED_VALUE"""),"O-53037-00")</f>
        <v>O-53037-00</v>
      </c>
      <c r="E3195" s="6" t="str">
        <f>IFERROR(__xludf.DUMMYFUNCTION("""COMPUTED_VALUE"""),"Flow Transmitter 100Pa; 1/2 - 10Vac; 0-4-20mAMicatrone")</f>
        <v>Flow Transmitter 100Pa; 1/2 - 10Vac; 0-4-20mAMicatrone</v>
      </c>
      <c r="F3195" s="6">
        <f>IFERROR(__xludf.DUMMYFUNCTION("""COMPUTED_VALUE"""),1.0)</f>
        <v>1</v>
      </c>
      <c r="G3195" s="6" t="str">
        <f>IFERROR(__xludf.DUMMYFUNCTION("""COMPUTED_VALUE"""),"Set")</f>
        <v>Set</v>
      </c>
      <c r="H3195" s="6" t="str">
        <f>IFERROR(__xludf.DUMMYFUNCTION("""COMPUTED_VALUE"""),"IDR")</f>
        <v>IDR</v>
      </c>
      <c r="I3195" s="6">
        <f>IFERROR(__xludf.DUMMYFUNCTION("""COMPUTED_VALUE"""),1.62E7)</f>
        <v>16200000</v>
      </c>
      <c r="J3195" s="6">
        <f>IFERROR(__xludf.DUMMYFUNCTION("""COMPUTED_VALUE"""),1.62E7)</f>
        <v>16200000</v>
      </c>
      <c r="K3195" s="57">
        <f>IFERROR(__xludf.DUMMYFUNCTION("""COMPUTED_VALUE"""),45427.0)</f>
        <v>45427</v>
      </c>
      <c r="L3195" s="6" t="str">
        <f>IFERROR(__xludf.DUMMYFUNCTION("""COMPUTED_VALUE"""),"FIP Engineering")</f>
        <v>FIP Engineering</v>
      </c>
      <c r="M3195" s="6" t="str">
        <f>IFERROR(__xludf.DUMMYFUNCTION("""COMPUTED_VALUE"""),"Mochammad Fadhillah Hakim,")</f>
        <v>Mochammad Fadhillah Hakim,</v>
      </c>
      <c r="N3195" s="6" t="str">
        <f>IFERROR(__xludf.DUMMYFUNCTION("""COMPUTED_VALUE"""),"FIP Engineering")</f>
        <v>FIP Engineering</v>
      </c>
      <c r="O3195" s="6" t="str">
        <f>IFERROR(__xludf.DUMMYFUNCTION("""COMPUTED_VALUE"""),"FIP-DOM-000-11304-OS00001-INA-000000")</f>
        <v>FIP-DOM-000-11304-OS00001-INA-000000</v>
      </c>
      <c r="P3195" s="6" t="str">
        <f>IFERROR(__xludf.DUMMYFUNCTION("""COMPUTED_VALUE"""),"PO Closed")</f>
        <v>PO Closed</v>
      </c>
      <c r="Q3195" s="6" t="str">
        <f>IFERROR(__xludf.DUMMYFUNCTION("""COMPUTED_VALUE"""),"GL2405062")</f>
        <v>GL2405062</v>
      </c>
      <c r="R3195" s="57">
        <f>IFERROR(__xludf.DUMMYFUNCTION("""COMPUTED_VALUE"""),45425.0)</f>
        <v>45425</v>
      </c>
      <c r="S3195" s="57">
        <f>IFERROR(__xludf.DUMMYFUNCTION("""COMPUTED_VALUE"""),45428.0)</f>
        <v>45428</v>
      </c>
      <c r="T3195" s="57">
        <f>IFERROR(__xludf.DUMMYFUNCTION("""COMPUTED_VALUE"""),45488.0)</f>
        <v>45488</v>
      </c>
    </row>
    <row r="3196">
      <c r="A3196" s="6" t="str">
        <f>IFERROR(__xludf.DUMMYFUNCTION("""COMPUTED_VALUE"""),"121701460-2")</f>
        <v>121701460-2</v>
      </c>
      <c r="B3196" s="6" t="str">
        <f>IFERROR(__xludf.DUMMYFUNCTION("""COMPUTED_VALUE"""),"121701460 - APPROVED")</f>
        <v>121701460 - APPROVED</v>
      </c>
      <c r="C3196" s="6">
        <f>IFERROR(__xludf.DUMMYFUNCTION("""COMPUTED_VALUE"""),2.0)</f>
        <v>2</v>
      </c>
      <c r="D3196" s="6" t="str">
        <f>IFERROR(__xludf.DUMMYFUNCTION("""COMPUTED_VALUE"""),"P-53202-00")</f>
        <v>P-53202-00</v>
      </c>
      <c r="E3196" s="6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F3196" s="6">
        <f>IFERROR(__xludf.DUMMYFUNCTION("""COMPUTED_VALUE"""),1.0)</f>
        <v>1</v>
      </c>
      <c r="G3196" s="6" t="str">
        <f>IFERROR(__xludf.DUMMYFUNCTION("""COMPUTED_VALUE"""),"Unit")</f>
        <v>Unit</v>
      </c>
      <c r="H3196" s="6" t="str">
        <f>IFERROR(__xludf.DUMMYFUNCTION("""COMPUTED_VALUE"""),"IDR")</f>
        <v>IDR</v>
      </c>
      <c r="I3196" s="6">
        <f>IFERROR(__xludf.DUMMYFUNCTION("""COMPUTED_VALUE"""),1.1E7)</f>
        <v>11000000</v>
      </c>
      <c r="J3196" s="6">
        <f>IFERROR(__xludf.DUMMYFUNCTION("""COMPUTED_VALUE"""),1.1E7)</f>
        <v>11000000</v>
      </c>
      <c r="K3196" s="57">
        <f>IFERROR(__xludf.DUMMYFUNCTION("""COMPUTED_VALUE"""),45427.0)</f>
        <v>45427</v>
      </c>
      <c r="L3196" s="6" t="str">
        <f>IFERROR(__xludf.DUMMYFUNCTION("""COMPUTED_VALUE"""),"FIP Engineering")</f>
        <v>FIP Engineering</v>
      </c>
      <c r="M3196" s="6" t="str">
        <f>IFERROR(__xludf.DUMMYFUNCTION("""COMPUTED_VALUE"""),"Mochammad Fadhillah Hakim,")</f>
        <v>Mochammad Fadhillah Hakim,</v>
      </c>
      <c r="N3196" s="6" t="str">
        <f>IFERROR(__xludf.DUMMYFUNCTION("""COMPUTED_VALUE"""),"FIP Engineering")</f>
        <v>FIP Engineering</v>
      </c>
      <c r="O3196" s="6" t="str">
        <f>IFERROR(__xludf.DUMMYFUNCTION("""COMPUTED_VALUE"""),"FIP-DOM-000-11304-OS00001-INA-000000")</f>
        <v>FIP-DOM-000-11304-OS00001-INA-000000</v>
      </c>
      <c r="P3196" s="6" t="str">
        <f>IFERROR(__xludf.DUMMYFUNCTION("""COMPUTED_VALUE"""),"PO Closed")</f>
        <v>PO Closed</v>
      </c>
      <c r="Q3196" s="6" t="str">
        <f>IFERROR(__xludf.DUMMYFUNCTION("""COMPUTED_VALUE"""),"GL2405062")</f>
        <v>GL2405062</v>
      </c>
      <c r="R3196" s="57">
        <f>IFERROR(__xludf.DUMMYFUNCTION("""COMPUTED_VALUE"""),45425.0)</f>
        <v>45425</v>
      </c>
      <c r="S3196" s="57">
        <f>IFERROR(__xludf.DUMMYFUNCTION("""COMPUTED_VALUE"""),45428.0)</f>
        <v>45428</v>
      </c>
      <c r="T3196" s="57">
        <f>IFERROR(__xludf.DUMMYFUNCTION("""COMPUTED_VALUE"""),45458.0)</f>
        <v>45458</v>
      </c>
    </row>
    <row r="3197">
      <c r="A3197" s="6" t="str">
        <f>IFERROR(__xludf.DUMMYFUNCTION("""COMPUTED_VALUE"""),"121701461-1")</f>
        <v>121701461-1</v>
      </c>
      <c r="B3197" s="6" t="str">
        <f>IFERROR(__xludf.DUMMYFUNCTION("""COMPUTED_VALUE"""),"121701461 - APPROVED")</f>
        <v>121701461 - APPROVED</v>
      </c>
      <c r="C3197" s="6">
        <f>IFERROR(__xludf.DUMMYFUNCTION("""COMPUTED_VALUE"""),1.0)</f>
        <v>1</v>
      </c>
      <c r="D3197" s="6" t="str">
        <f>IFERROR(__xludf.DUMMYFUNCTION("""COMPUTED_VALUE"""),"P-15052-00")</f>
        <v>P-15052-00</v>
      </c>
      <c r="E3197" s="6" t="str">
        <f>IFERROR(__xludf.DUMMYFUNCTION("""COMPUTED_VALUE"""),"Element Filter 1 micron P/N NXE-400-Z; ; ;")</f>
        <v>Element Filter 1 micron P/N NXE-400-Z; ; ;</v>
      </c>
      <c r="F3197" s="6">
        <f>IFERROR(__xludf.DUMMYFUNCTION("""COMPUTED_VALUE"""),1.0)</f>
        <v>1</v>
      </c>
      <c r="G3197" s="6" t="str">
        <f>IFERROR(__xludf.DUMMYFUNCTION("""COMPUTED_VALUE"""),"Pieces")</f>
        <v>Pieces</v>
      </c>
      <c r="H3197" s="6" t="str">
        <f>IFERROR(__xludf.DUMMYFUNCTION("""COMPUTED_VALUE"""),"IDR")</f>
        <v>IDR</v>
      </c>
      <c r="I3197" s="6">
        <f>IFERROR(__xludf.DUMMYFUNCTION("""COMPUTED_VALUE"""),2144000.0)</f>
        <v>2144000</v>
      </c>
      <c r="J3197" s="6">
        <f>IFERROR(__xludf.DUMMYFUNCTION("""COMPUTED_VALUE"""),2144000.0)</f>
        <v>2144000</v>
      </c>
      <c r="K3197" s="57">
        <f>IFERROR(__xludf.DUMMYFUNCTION("""COMPUTED_VALUE"""),45427.0)</f>
        <v>45427</v>
      </c>
      <c r="L3197" s="6" t="str">
        <f>IFERROR(__xludf.DUMMYFUNCTION("""COMPUTED_VALUE"""),"FIP Engineering")</f>
        <v>FIP Engineering</v>
      </c>
      <c r="M3197" s="6" t="str">
        <f>IFERROR(__xludf.DUMMYFUNCTION("""COMPUTED_VALUE"""),"Mochammad Fadhillah Hakim,")</f>
        <v>Mochammad Fadhillah Hakim,</v>
      </c>
      <c r="N3197" s="6" t="str">
        <f>IFERROR(__xludf.DUMMYFUNCTION("""COMPUTED_VALUE"""),"FIP Engineering")</f>
        <v>FIP Engineering</v>
      </c>
      <c r="O3197" s="6" t="str">
        <f>IFERROR(__xludf.DUMMYFUNCTION("""COMPUTED_VALUE"""),"FIP-DOM-000-11304-OS00001-INA-000000")</f>
        <v>FIP-DOM-000-11304-OS00001-INA-000000</v>
      </c>
      <c r="P3197" s="6" t="str">
        <f>IFERROR(__xludf.DUMMYFUNCTION("""COMPUTED_VALUE"""),"PO Closed")</f>
        <v>PO Closed</v>
      </c>
      <c r="Q3197" s="6" t="str">
        <f>IFERROR(__xludf.DUMMYFUNCTION("""COMPUTED_VALUE"""),"GL2405045")</f>
        <v>GL2405045</v>
      </c>
      <c r="R3197" s="57">
        <f>IFERROR(__xludf.DUMMYFUNCTION("""COMPUTED_VALUE"""),45425.0)</f>
        <v>45425</v>
      </c>
      <c r="S3197" s="57">
        <f>IFERROR(__xludf.DUMMYFUNCTION("""COMPUTED_VALUE"""),45425.0)</f>
        <v>45425</v>
      </c>
      <c r="T3197" s="57">
        <f>IFERROR(__xludf.DUMMYFUNCTION("""COMPUTED_VALUE"""),45463.0)</f>
        <v>45463</v>
      </c>
    </row>
    <row r="3198">
      <c r="A3198" s="6" t="str">
        <f>IFERROR(__xludf.DUMMYFUNCTION("""COMPUTED_VALUE"""),"121701461-2")</f>
        <v>121701461-2</v>
      </c>
      <c r="B3198" s="6" t="str">
        <f>IFERROR(__xludf.DUMMYFUNCTION("""COMPUTED_VALUE"""),"121701461 - APPROVED")</f>
        <v>121701461 - APPROVED</v>
      </c>
      <c r="C3198" s="6">
        <f>IFERROR(__xludf.DUMMYFUNCTION("""COMPUTED_VALUE"""),2.0)</f>
        <v>2</v>
      </c>
      <c r="D3198" s="6" t="str">
        <f>IFERROR(__xludf.DUMMYFUNCTION("""COMPUTED_VALUE"""),"P-15053-00")</f>
        <v>P-15053-00</v>
      </c>
      <c r="E3198" s="6" t="str">
        <f>IFERROR(__xludf.DUMMYFUNCTION("""COMPUTED_VALUE"""),"Element Filter 0.01 micron P/N NXE-400-X; ; ;")</f>
        <v>Element Filter 0.01 micron P/N NXE-400-X; ; ;</v>
      </c>
      <c r="F3198" s="6">
        <f>IFERROR(__xludf.DUMMYFUNCTION("""COMPUTED_VALUE"""),1.0)</f>
        <v>1</v>
      </c>
      <c r="G3198" s="6" t="str">
        <f>IFERROR(__xludf.DUMMYFUNCTION("""COMPUTED_VALUE"""),"Pieces")</f>
        <v>Pieces</v>
      </c>
      <c r="H3198" s="6" t="str">
        <f>IFERROR(__xludf.DUMMYFUNCTION("""COMPUTED_VALUE"""),"IDR")</f>
        <v>IDR</v>
      </c>
      <c r="I3198" s="6">
        <f>IFERROR(__xludf.DUMMYFUNCTION("""COMPUTED_VALUE"""),2144000.0)</f>
        <v>2144000</v>
      </c>
      <c r="J3198" s="6">
        <f>IFERROR(__xludf.DUMMYFUNCTION("""COMPUTED_VALUE"""),2144000.0)</f>
        <v>2144000</v>
      </c>
      <c r="K3198" s="57">
        <f>IFERROR(__xludf.DUMMYFUNCTION("""COMPUTED_VALUE"""),45427.0)</f>
        <v>45427</v>
      </c>
      <c r="L3198" s="6" t="str">
        <f>IFERROR(__xludf.DUMMYFUNCTION("""COMPUTED_VALUE"""),"FIP Engineering")</f>
        <v>FIP Engineering</v>
      </c>
      <c r="M3198" s="6" t="str">
        <f>IFERROR(__xludf.DUMMYFUNCTION("""COMPUTED_VALUE"""),"Mochammad Fadhillah Hakim,")</f>
        <v>Mochammad Fadhillah Hakim,</v>
      </c>
      <c r="N3198" s="6" t="str">
        <f>IFERROR(__xludf.DUMMYFUNCTION("""COMPUTED_VALUE"""),"FIP Engineering")</f>
        <v>FIP Engineering</v>
      </c>
      <c r="O3198" s="6" t="str">
        <f>IFERROR(__xludf.DUMMYFUNCTION("""COMPUTED_VALUE"""),"FIP-DOM-000-11304-OS00001-INA-000000")</f>
        <v>FIP-DOM-000-11304-OS00001-INA-000000</v>
      </c>
      <c r="P3198" s="6" t="str">
        <f>IFERROR(__xludf.DUMMYFUNCTION("""COMPUTED_VALUE"""),"PO Closed")</f>
        <v>PO Closed</v>
      </c>
      <c r="Q3198" s="6" t="str">
        <f>IFERROR(__xludf.DUMMYFUNCTION("""COMPUTED_VALUE"""),"GL2405045")</f>
        <v>GL2405045</v>
      </c>
      <c r="R3198" s="57">
        <f>IFERROR(__xludf.DUMMYFUNCTION("""COMPUTED_VALUE"""),45425.0)</f>
        <v>45425</v>
      </c>
      <c r="S3198" s="57">
        <f>IFERROR(__xludf.DUMMYFUNCTION("""COMPUTED_VALUE"""),45425.0)</f>
        <v>45425</v>
      </c>
      <c r="T3198" s="57">
        <f>IFERROR(__xludf.DUMMYFUNCTION("""COMPUTED_VALUE"""),45463.0)</f>
        <v>45463</v>
      </c>
    </row>
    <row r="3199">
      <c r="A3199" s="6" t="str">
        <f>IFERROR(__xludf.DUMMYFUNCTION("""COMPUTED_VALUE"""),"121701461-3")</f>
        <v>121701461-3</v>
      </c>
      <c r="B3199" s="6" t="str">
        <f>IFERROR(__xludf.DUMMYFUNCTION("""COMPUTED_VALUE"""),"121701461 - APPROVED")</f>
        <v>121701461 - APPROVED</v>
      </c>
      <c r="C3199" s="6">
        <f>IFERROR(__xludf.DUMMYFUNCTION("""COMPUTED_VALUE"""),3.0)</f>
        <v>3</v>
      </c>
      <c r="D3199" s="6" t="str">
        <f>IFERROR(__xludf.DUMMYFUNCTION("""COMPUTED_VALUE"""),"P-17062-00")</f>
        <v>P-17062-00</v>
      </c>
      <c r="E3199" s="6" t="str">
        <f>IFERROR(__xludf.DUMMYFUNCTION("""COMPUTED_VALUE"""),"Element Filter for N2 ; Brand : NEXUS ; P/N : NXE-90-Z ; Pack Size : pcs")</f>
        <v>Element Filter for N2 ; Brand : NEXUS ; P/N : NXE-90-Z ; Pack Size : pcs</v>
      </c>
      <c r="F3199" s="6">
        <f>IFERROR(__xludf.DUMMYFUNCTION("""COMPUTED_VALUE"""),1.0)</f>
        <v>1</v>
      </c>
      <c r="G3199" s="6" t="str">
        <f>IFERROR(__xludf.DUMMYFUNCTION("""COMPUTED_VALUE"""),"Unit")</f>
        <v>Unit</v>
      </c>
      <c r="H3199" s="6" t="str">
        <f>IFERROR(__xludf.DUMMYFUNCTION("""COMPUTED_VALUE"""),"IDR")</f>
        <v>IDR</v>
      </c>
      <c r="I3199" s="6">
        <f>IFERROR(__xludf.DUMMYFUNCTION("""COMPUTED_VALUE"""),1200000.0)</f>
        <v>1200000</v>
      </c>
      <c r="J3199" s="6">
        <f>IFERROR(__xludf.DUMMYFUNCTION("""COMPUTED_VALUE"""),1200000.0)</f>
        <v>1200000</v>
      </c>
      <c r="K3199" s="57">
        <f>IFERROR(__xludf.DUMMYFUNCTION("""COMPUTED_VALUE"""),45427.0)</f>
        <v>45427</v>
      </c>
      <c r="L3199" s="6" t="str">
        <f>IFERROR(__xludf.DUMMYFUNCTION("""COMPUTED_VALUE"""),"FIP Engineering")</f>
        <v>FIP Engineering</v>
      </c>
      <c r="M3199" s="6" t="str">
        <f>IFERROR(__xludf.DUMMYFUNCTION("""COMPUTED_VALUE"""),"Mochammad Fadhillah Hakim,")</f>
        <v>Mochammad Fadhillah Hakim,</v>
      </c>
      <c r="N3199" s="6" t="str">
        <f>IFERROR(__xludf.DUMMYFUNCTION("""COMPUTED_VALUE"""),"FIP Engineering")</f>
        <v>FIP Engineering</v>
      </c>
      <c r="O3199" s="6" t="str">
        <f>IFERROR(__xludf.DUMMYFUNCTION("""COMPUTED_VALUE"""),"FIP-DOM-000-11304-OS00001-INA-000000")</f>
        <v>FIP-DOM-000-11304-OS00001-INA-000000</v>
      </c>
      <c r="P3199" s="6" t="str">
        <f>IFERROR(__xludf.DUMMYFUNCTION("""COMPUTED_VALUE"""),"PO Closed")</f>
        <v>PO Closed</v>
      </c>
      <c r="Q3199" s="6" t="str">
        <f>IFERROR(__xludf.DUMMYFUNCTION("""COMPUTED_VALUE"""),"GL2405045")</f>
        <v>GL2405045</v>
      </c>
      <c r="R3199" s="57">
        <f>IFERROR(__xludf.DUMMYFUNCTION("""COMPUTED_VALUE"""),45425.0)</f>
        <v>45425</v>
      </c>
      <c r="S3199" s="57">
        <f>IFERROR(__xludf.DUMMYFUNCTION("""COMPUTED_VALUE"""),45425.0)</f>
        <v>45425</v>
      </c>
      <c r="T3199" s="57">
        <f>IFERROR(__xludf.DUMMYFUNCTION("""COMPUTED_VALUE"""),45463.0)</f>
        <v>45463</v>
      </c>
    </row>
    <row r="3200">
      <c r="A3200" s="6" t="str">
        <f>IFERROR(__xludf.DUMMYFUNCTION("""COMPUTED_VALUE"""),"121701463-1")</f>
        <v>121701463-1</v>
      </c>
      <c r="B3200" s="6" t="str">
        <f>IFERROR(__xludf.DUMMYFUNCTION("""COMPUTED_VALUE"""),"121701463 - APPROVED")</f>
        <v>121701463 - APPROVED</v>
      </c>
      <c r="C3200" s="6">
        <f>IFERROR(__xludf.DUMMYFUNCTION("""COMPUTED_VALUE"""),1.0)</f>
        <v>1</v>
      </c>
      <c r="D3200" s="6" t="str">
        <f>IFERROR(__xludf.DUMMYFUNCTION("""COMPUTED_VALUE"""),"O-19797-00")</f>
        <v>O-19797-00</v>
      </c>
      <c r="E3200" s="6" t="str">
        <f>IFERROR(__xludf.DUMMYFUNCTION("""COMPUTED_VALUE"""),"Dudukan Sensor Autoclave Material SUS 316L; Custom; ;")</f>
        <v>Dudukan Sensor Autoclave Material SUS 316L; Custom; ;</v>
      </c>
      <c r="F3200" s="6">
        <f>IFERROR(__xludf.DUMMYFUNCTION("""COMPUTED_VALUE"""),1.0)</f>
        <v>1</v>
      </c>
      <c r="G3200" s="6" t="str">
        <f>IFERROR(__xludf.DUMMYFUNCTION("""COMPUTED_VALUE"""),"Pieces")</f>
        <v>Pieces</v>
      </c>
      <c r="H3200" s="6" t="str">
        <f>IFERROR(__xludf.DUMMYFUNCTION("""COMPUTED_VALUE"""),"IDR")</f>
        <v>IDR</v>
      </c>
      <c r="I3200" s="6">
        <f>IFERROR(__xludf.DUMMYFUNCTION("""COMPUTED_VALUE"""),1125000.0)</f>
        <v>1125000</v>
      </c>
      <c r="J3200" s="6">
        <f>IFERROR(__xludf.DUMMYFUNCTION("""COMPUTED_VALUE"""),1125000.0)</f>
        <v>1125000</v>
      </c>
      <c r="K3200" s="57">
        <f>IFERROR(__xludf.DUMMYFUNCTION("""COMPUTED_VALUE"""),45477.0)</f>
        <v>45477</v>
      </c>
      <c r="L3200" s="6" t="str">
        <f>IFERROR(__xludf.DUMMYFUNCTION("""COMPUTED_VALUE"""),"FIP Engineering")</f>
        <v>FIP Engineering</v>
      </c>
      <c r="M3200" s="6" t="str">
        <f>IFERROR(__xludf.DUMMYFUNCTION("""COMPUTED_VALUE"""),"Mochammad Fadhillah Hakim,")</f>
        <v>Mochammad Fadhillah Hakim,</v>
      </c>
      <c r="N3200" s="6" t="str">
        <f>IFERROR(__xludf.DUMMYFUNCTION("""COMPUTED_VALUE"""),"FIP Engineering")</f>
        <v>FIP Engineering</v>
      </c>
      <c r="O3200" s="6" t="str">
        <f>IFERROR(__xludf.DUMMYFUNCTION("""COMPUTED_VALUE"""),"FIP-DOM-000-11304-OS00001-INA-000000")</f>
        <v>FIP-DOM-000-11304-OS00001-INA-000000</v>
      </c>
      <c r="P3200" s="6" t="str">
        <f>IFERROR(__xludf.DUMMYFUNCTION("""COMPUTED_VALUE"""),"PO Closed")</f>
        <v>PO Closed</v>
      </c>
      <c r="Q3200" s="6" t="str">
        <f>IFERROR(__xludf.DUMMYFUNCTION("""COMPUTED_VALUE"""),"GL2406029")</f>
        <v>GL2406029</v>
      </c>
      <c r="R3200" s="57">
        <f>IFERROR(__xludf.DUMMYFUNCTION("""COMPUTED_VALUE"""),45426.0)</f>
        <v>45426</v>
      </c>
      <c r="S3200" s="57">
        <f>IFERROR(__xludf.DUMMYFUNCTION("""COMPUTED_VALUE"""),45448.0)</f>
        <v>45448</v>
      </c>
      <c r="T3200" s="57">
        <f>IFERROR(__xludf.DUMMYFUNCTION("""COMPUTED_VALUE"""),45493.0)</f>
        <v>45493</v>
      </c>
    </row>
    <row r="3201">
      <c r="A3201" s="6" t="str">
        <f>IFERROR(__xludf.DUMMYFUNCTION("""COMPUTED_VALUE"""),"121701464-1")</f>
        <v>121701464-1</v>
      </c>
      <c r="B3201" s="6" t="str">
        <f>IFERROR(__xludf.DUMMYFUNCTION("""COMPUTED_VALUE"""),"121701464 - APPROVED")</f>
        <v>121701464 - APPROVED</v>
      </c>
      <c r="C3201" s="6">
        <f>IFERROR(__xludf.DUMMYFUNCTION("""COMPUTED_VALUE"""),1.0)</f>
        <v>1</v>
      </c>
      <c r="D3201" s="6" t="str">
        <f>IFERROR(__xludf.DUMMYFUNCTION("""COMPUTED_VALUE"""),"T-80242-00")</f>
        <v>T-80242-00</v>
      </c>
      <c r="E3201" s="6" t="str">
        <f>IFERROR(__xludf.DUMMYFUNCTION("""COMPUTED_VALUE"""),"Label Stiker Tom &amp; Jerry No. 103")</f>
        <v>Label Stiker Tom &amp; Jerry No. 103</v>
      </c>
      <c r="F3201" s="6">
        <f>IFERROR(__xludf.DUMMYFUNCTION("""COMPUTED_VALUE"""),20.0)</f>
        <v>20</v>
      </c>
      <c r="G3201" s="6" t="str">
        <f>IFERROR(__xludf.DUMMYFUNCTION("""COMPUTED_VALUE"""),"Pack")</f>
        <v>Pack</v>
      </c>
      <c r="H3201" s="6" t="str">
        <f>IFERROR(__xludf.DUMMYFUNCTION("""COMPUTED_VALUE"""),"IDR")</f>
        <v>IDR</v>
      </c>
      <c r="I3201" s="6">
        <f>IFERROR(__xludf.DUMMYFUNCTION("""COMPUTED_VALUE"""),4000.0)</f>
        <v>4000</v>
      </c>
      <c r="J3201" s="6">
        <f>IFERROR(__xludf.DUMMYFUNCTION("""COMPUTED_VALUE"""),80000.0)</f>
        <v>80000</v>
      </c>
      <c r="K3201" s="57">
        <f>IFERROR(__xludf.DUMMYFUNCTION("""COMPUTED_VALUE"""),45428.0)</f>
        <v>45428</v>
      </c>
      <c r="L3201" s="6" t="str">
        <f>IFERROR(__xludf.DUMMYFUNCTION("""COMPUTED_VALUE"""),"FIP General")</f>
        <v>FIP General</v>
      </c>
      <c r="M3201" s="6" t="str">
        <f>IFERROR(__xludf.DUMMYFUNCTION("""COMPUTED_VALUE"""),"Mochammad Fadhillah Hakim,")</f>
        <v>Mochammad Fadhillah Hakim,</v>
      </c>
      <c r="N3201" s="6" t="str">
        <f>IFERROR(__xludf.DUMMYFUNCTION("""COMPUTED_VALUE"""),"FIP Engineering")</f>
        <v>FIP Engineering</v>
      </c>
      <c r="O3201" s="6" t="str">
        <f>IFERROR(__xludf.DUMMYFUNCTION("""COMPUTED_VALUE"""),"FIP-DOM-ENG-51411-0000000-INA-000000")</f>
        <v>FIP-DOM-ENG-51411-0000000-INA-000000</v>
      </c>
      <c r="P3201" s="6" t="str">
        <f>IFERROR(__xludf.DUMMYFUNCTION("""COMPUTED_VALUE"""),"PO Closed")</f>
        <v>PO Closed</v>
      </c>
      <c r="Q3201" s="6" t="str">
        <f>IFERROR(__xludf.DUMMYFUNCTION("""COMPUTED_VALUE"""),"GL2405055")</f>
        <v>GL2405055</v>
      </c>
      <c r="R3201" s="57">
        <f>IFERROR(__xludf.DUMMYFUNCTION("""COMPUTED_VALUE"""),45426.0)</f>
        <v>45426</v>
      </c>
      <c r="S3201" s="57">
        <f>IFERROR(__xludf.DUMMYFUNCTION("""COMPUTED_VALUE"""),45427.0)</f>
        <v>45427</v>
      </c>
      <c r="T3201" s="57">
        <f>IFERROR(__xludf.DUMMYFUNCTION("""COMPUTED_VALUE"""),45447.0)</f>
        <v>45447</v>
      </c>
    </row>
    <row r="3202">
      <c r="A3202" s="6" t="str">
        <f>IFERROR(__xludf.DUMMYFUNCTION("""COMPUTED_VALUE"""),"121701464-2")</f>
        <v>121701464-2</v>
      </c>
      <c r="B3202" s="6" t="str">
        <f>IFERROR(__xludf.DUMMYFUNCTION("""COMPUTED_VALUE"""),"121701464 - APPROVED")</f>
        <v>121701464 - APPROVED</v>
      </c>
      <c r="C3202" s="6">
        <f>IFERROR(__xludf.DUMMYFUNCTION("""COMPUTED_VALUE"""),2.0)</f>
        <v>2</v>
      </c>
      <c r="D3202" s="6" t="str">
        <f>IFERROR(__xludf.DUMMYFUNCTION("""COMPUTED_VALUE"""),"T-80386-00")</f>
        <v>T-80386-00</v>
      </c>
      <c r="E3202" s="6" t="str">
        <f>IFERROR(__xludf.DUMMYFUNCTION("""COMPUTED_VALUE"""),"Post-It 3M Sign Here")</f>
        <v>Post-It 3M Sign Here</v>
      </c>
      <c r="F3202" s="6">
        <f>IFERROR(__xludf.DUMMYFUNCTION("""COMPUTED_VALUE"""),3.0)</f>
        <v>3</v>
      </c>
      <c r="G3202" s="6" t="str">
        <f>IFERROR(__xludf.DUMMYFUNCTION("""COMPUTED_VALUE"""),"Pieces")</f>
        <v>Pieces</v>
      </c>
      <c r="H3202" s="6" t="str">
        <f>IFERROR(__xludf.DUMMYFUNCTION("""COMPUTED_VALUE"""),"IDR")</f>
        <v>IDR</v>
      </c>
      <c r="I3202" s="6">
        <f>IFERROR(__xludf.DUMMYFUNCTION("""COMPUTED_VALUE"""),20000.0)</f>
        <v>20000</v>
      </c>
      <c r="J3202" s="6">
        <f>IFERROR(__xludf.DUMMYFUNCTION("""COMPUTED_VALUE"""),60000.0)</f>
        <v>60000</v>
      </c>
      <c r="K3202" s="57">
        <f>IFERROR(__xludf.DUMMYFUNCTION("""COMPUTED_VALUE"""),45428.0)</f>
        <v>45428</v>
      </c>
      <c r="L3202" s="6" t="str">
        <f>IFERROR(__xludf.DUMMYFUNCTION("""COMPUTED_VALUE"""),"FIP General")</f>
        <v>FIP General</v>
      </c>
      <c r="M3202" s="6" t="str">
        <f>IFERROR(__xludf.DUMMYFUNCTION("""COMPUTED_VALUE"""),"Mochammad Fadhillah Hakim,")</f>
        <v>Mochammad Fadhillah Hakim,</v>
      </c>
      <c r="N3202" s="6" t="str">
        <f>IFERROR(__xludf.DUMMYFUNCTION("""COMPUTED_VALUE"""),"FIP Engineering")</f>
        <v>FIP Engineering</v>
      </c>
      <c r="O3202" s="6" t="str">
        <f>IFERROR(__xludf.DUMMYFUNCTION("""COMPUTED_VALUE"""),"FIP-DOM-ENG-51411-0000000-INA-000000")</f>
        <v>FIP-DOM-ENG-51411-0000000-INA-000000</v>
      </c>
      <c r="P3202" s="6" t="str">
        <f>IFERROR(__xludf.DUMMYFUNCTION("""COMPUTED_VALUE"""),"PO Closed")</f>
        <v>PO Closed</v>
      </c>
      <c r="Q3202" s="6" t="str">
        <f>IFERROR(__xludf.DUMMYFUNCTION("""COMPUTED_VALUE"""),"GL2405055")</f>
        <v>GL2405055</v>
      </c>
      <c r="R3202" s="57">
        <f>IFERROR(__xludf.DUMMYFUNCTION("""COMPUTED_VALUE"""),45426.0)</f>
        <v>45426</v>
      </c>
      <c r="S3202" s="57">
        <f>IFERROR(__xludf.DUMMYFUNCTION("""COMPUTED_VALUE"""),45427.0)</f>
        <v>45427</v>
      </c>
      <c r="T3202" s="57">
        <f>IFERROR(__xludf.DUMMYFUNCTION("""COMPUTED_VALUE"""),45447.0)</f>
        <v>45447</v>
      </c>
    </row>
    <row r="3203">
      <c r="A3203" s="6" t="str">
        <f>IFERROR(__xludf.DUMMYFUNCTION("""COMPUTED_VALUE"""),"121701465-1")</f>
        <v>121701465-1</v>
      </c>
      <c r="B3203" s="6" t="str">
        <f>IFERROR(__xludf.DUMMYFUNCTION("""COMPUTED_VALUE"""),"121701465 - APPROVED")</f>
        <v>121701465 - APPROVED</v>
      </c>
      <c r="C3203" s="6">
        <f>IFERROR(__xludf.DUMMYFUNCTION("""COMPUTED_VALUE"""),1.0)</f>
        <v>1</v>
      </c>
      <c r="D3203" s="6" t="str">
        <f>IFERROR(__xludf.DUMMYFUNCTION("""COMPUTED_VALUE"""),"T-80635-00")</f>
        <v>T-80635-00</v>
      </c>
      <c r="E3203" s="6" t="str">
        <f>IFERROR(__xludf.DUMMYFUNCTION("""COMPUTED_VALUE"""),"Kertas HVS A4 70 gram; ; ;")</f>
        <v>Kertas HVS A4 70 gram; ; ;</v>
      </c>
      <c r="F3203" s="6">
        <f>IFERROR(__xludf.DUMMYFUNCTION("""COMPUTED_VALUE"""),5.0)</f>
        <v>5</v>
      </c>
      <c r="G3203" s="6" t="str">
        <f>IFERROR(__xludf.DUMMYFUNCTION("""COMPUTED_VALUE"""),"Rim")</f>
        <v>Rim</v>
      </c>
      <c r="H3203" s="6" t="str">
        <f>IFERROR(__xludf.DUMMYFUNCTION("""COMPUTED_VALUE"""),"IDR")</f>
        <v>IDR</v>
      </c>
      <c r="I3203" s="6">
        <f>IFERROR(__xludf.DUMMYFUNCTION("""COMPUTED_VALUE"""),33000.0)</f>
        <v>33000</v>
      </c>
      <c r="J3203" s="6">
        <f>IFERROR(__xludf.DUMMYFUNCTION("""COMPUTED_VALUE"""),165000.0)</f>
        <v>165000</v>
      </c>
      <c r="K3203" s="57">
        <f>IFERROR(__xludf.DUMMYFUNCTION("""COMPUTED_VALUE"""),45428.0)</f>
        <v>45428</v>
      </c>
      <c r="L3203" s="6" t="str">
        <f>IFERROR(__xludf.DUMMYFUNCTION("""COMPUTED_VALUE"""),"FIP General")</f>
        <v>FIP General</v>
      </c>
      <c r="M3203" s="6" t="str">
        <f>IFERROR(__xludf.DUMMYFUNCTION("""COMPUTED_VALUE"""),"Mochammad Fadhillah Hakim,")</f>
        <v>Mochammad Fadhillah Hakim,</v>
      </c>
      <c r="N3203" s="6" t="str">
        <f>IFERROR(__xludf.DUMMYFUNCTION("""COMPUTED_VALUE"""),"FIP Engineering")</f>
        <v>FIP Engineering</v>
      </c>
      <c r="O3203" s="6" t="str">
        <f>IFERROR(__xludf.DUMMYFUNCTION("""COMPUTED_VALUE"""),"FIP-DOM-ENG-51411-0000000-INA-000000")</f>
        <v>FIP-DOM-ENG-51411-0000000-INA-000000</v>
      </c>
      <c r="P3203" s="6" t="str">
        <f>IFERROR(__xludf.DUMMYFUNCTION("""COMPUTED_VALUE"""),"PO Closed")</f>
        <v>PO Closed</v>
      </c>
      <c r="Q3203" s="6" t="str">
        <f>IFERROR(__xludf.DUMMYFUNCTION("""COMPUTED_VALUE"""),"GL2406025")</f>
        <v>GL2406025</v>
      </c>
      <c r="R3203" s="57">
        <f>IFERROR(__xludf.DUMMYFUNCTION("""COMPUTED_VALUE"""),45426.0)</f>
        <v>45426</v>
      </c>
      <c r="S3203" s="57">
        <f>IFERROR(__xludf.DUMMYFUNCTION("""COMPUTED_VALUE"""),45427.0)</f>
        <v>45427</v>
      </c>
      <c r="T3203" s="57">
        <f>IFERROR(__xludf.DUMMYFUNCTION("""COMPUTED_VALUE"""),45470.0)</f>
        <v>45470</v>
      </c>
    </row>
    <row r="3204">
      <c r="A3204" s="6" t="str">
        <f>IFERROR(__xludf.DUMMYFUNCTION("""COMPUTED_VALUE"""),"121701466-1")</f>
        <v>121701466-1</v>
      </c>
      <c r="B3204" s="6" t="str">
        <f>IFERROR(__xludf.DUMMYFUNCTION("""COMPUTED_VALUE"""),"121701466 - APPROVED")</f>
        <v>121701466 - APPROVED</v>
      </c>
      <c r="C3204" s="6">
        <f>IFERROR(__xludf.DUMMYFUNCTION("""COMPUTED_VALUE"""),1.0)</f>
        <v>1</v>
      </c>
      <c r="D3204" s="6" t="str">
        <f>IFERROR(__xludf.DUMMYFUNCTION("""COMPUTED_VALUE"""),"T-80149-00")</f>
        <v>T-80149-00</v>
      </c>
      <c r="E3204" s="6" t="str">
        <f>IFERROR(__xludf.DUMMYFUNCTION("""COMPUTED_VALUE"""),"Cutter Kenko L-150 (besar) - refill")</f>
        <v>Cutter Kenko L-150 (besar) - refill</v>
      </c>
      <c r="F3204" s="6">
        <f>IFERROR(__xludf.DUMMYFUNCTION("""COMPUTED_VALUE"""),10.0)</f>
        <v>10</v>
      </c>
      <c r="G3204" s="6" t="str">
        <f>IFERROR(__xludf.DUMMYFUNCTION("""COMPUTED_VALUE"""),"Pack")</f>
        <v>Pack</v>
      </c>
      <c r="H3204" s="6" t="str">
        <f>IFERROR(__xludf.DUMMYFUNCTION("""COMPUTED_VALUE"""),"IDR")</f>
        <v>IDR</v>
      </c>
      <c r="I3204" s="6">
        <f>IFERROR(__xludf.DUMMYFUNCTION("""COMPUTED_VALUE"""),4000.0)</f>
        <v>4000</v>
      </c>
      <c r="J3204" s="6">
        <f>IFERROR(__xludf.DUMMYFUNCTION("""COMPUTED_VALUE"""),40000.0)</f>
        <v>40000</v>
      </c>
      <c r="K3204" s="57">
        <f>IFERROR(__xludf.DUMMYFUNCTION("""COMPUTED_VALUE"""),45428.0)</f>
        <v>45428</v>
      </c>
      <c r="L3204" s="6" t="str">
        <f>IFERROR(__xludf.DUMMYFUNCTION("""COMPUTED_VALUE"""),"FIP General")</f>
        <v>FIP General</v>
      </c>
      <c r="M3204" s="6" t="str">
        <f>IFERROR(__xludf.DUMMYFUNCTION("""COMPUTED_VALUE"""),"Mochammad Fadhillah Hakim,")</f>
        <v>Mochammad Fadhillah Hakim,</v>
      </c>
      <c r="N3204" s="6" t="str">
        <f>IFERROR(__xludf.DUMMYFUNCTION("""COMPUTED_VALUE"""),"FIP Engineering")</f>
        <v>FIP Engineering</v>
      </c>
      <c r="O3204" s="6" t="str">
        <f>IFERROR(__xludf.DUMMYFUNCTION("""COMPUTED_VALUE"""),"FIP-DOM-ENG-51411-0000000-INA-000000")</f>
        <v>FIP-DOM-ENG-51411-0000000-INA-000000</v>
      </c>
      <c r="P3204" s="6" t="str">
        <f>IFERROR(__xludf.DUMMYFUNCTION("""COMPUTED_VALUE"""),"PO Closed")</f>
        <v>PO Closed</v>
      </c>
      <c r="Q3204" s="6" t="str">
        <f>IFERROR(__xludf.DUMMYFUNCTION("""COMPUTED_VALUE"""),"GL2405055")</f>
        <v>GL2405055</v>
      </c>
      <c r="R3204" s="57">
        <f>IFERROR(__xludf.DUMMYFUNCTION("""COMPUTED_VALUE"""),45426.0)</f>
        <v>45426</v>
      </c>
      <c r="S3204" s="57">
        <f>IFERROR(__xludf.DUMMYFUNCTION("""COMPUTED_VALUE"""),45427.0)</f>
        <v>45427</v>
      </c>
      <c r="T3204" s="57">
        <f>IFERROR(__xludf.DUMMYFUNCTION("""COMPUTED_VALUE"""),45447.0)</f>
        <v>45447</v>
      </c>
    </row>
    <row r="3205">
      <c r="A3205" s="6" t="str">
        <f>IFERROR(__xludf.DUMMYFUNCTION("""COMPUTED_VALUE"""),"121701466-2")</f>
        <v>121701466-2</v>
      </c>
      <c r="B3205" s="6" t="str">
        <f>IFERROR(__xludf.DUMMYFUNCTION("""COMPUTED_VALUE"""),"121701466 - APPROVED")</f>
        <v>121701466 - APPROVED</v>
      </c>
      <c r="C3205" s="6">
        <f>IFERROR(__xludf.DUMMYFUNCTION("""COMPUTED_VALUE"""),2.0)</f>
        <v>2</v>
      </c>
      <c r="D3205" s="6" t="str">
        <f>IFERROR(__xludf.DUMMYFUNCTION("""COMPUTED_VALUE"""),"T-80373-00")</f>
        <v>T-80373-00</v>
      </c>
      <c r="E3205" s="6" t="str">
        <f>IFERROR(__xludf.DUMMYFUNCTION("""COMPUTED_VALUE"""),"Plakband Bening 2 inch")</f>
        <v>Plakband Bening 2 inch</v>
      </c>
      <c r="F3205" s="6">
        <f>IFERROR(__xludf.DUMMYFUNCTION("""COMPUTED_VALUE"""),10.0)</f>
        <v>10</v>
      </c>
      <c r="G3205" s="6" t="str">
        <f>IFERROR(__xludf.DUMMYFUNCTION("""COMPUTED_VALUE"""),"Roll")</f>
        <v>Roll</v>
      </c>
      <c r="H3205" s="6" t="str">
        <f>IFERROR(__xludf.DUMMYFUNCTION("""COMPUTED_VALUE"""),"IDR")</f>
        <v>IDR</v>
      </c>
      <c r="I3205" s="6">
        <f>IFERROR(__xludf.DUMMYFUNCTION("""COMPUTED_VALUE"""),7500.0)</f>
        <v>7500</v>
      </c>
      <c r="J3205" s="6">
        <f>IFERROR(__xludf.DUMMYFUNCTION("""COMPUTED_VALUE"""),75000.0)</f>
        <v>75000</v>
      </c>
      <c r="K3205" s="57">
        <f>IFERROR(__xludf.DUMMYFUNCTION("""COMPUTED_VALUE"""),45428.0)</f>
        <v>45428</v>
      </c>
      <c r="L3205" s="6" t="str">
        <f>IFERROR(__xludf.DUMMYFUNCTION("""COMPUTED_VALUE"""),"FIP General")</f>
        <v>FIP General</v>
      </c>
      <c r="M3205" s="6" t="str">
        <f>IFERROR(__xludf.DUMMYFUNCTION("""COMPUTED_VALUE"""),"Mochammad Fadhillah Hakim,")</f>
        <v>Mochammad Fadhillah Hakim,</v>
      </c>
      <c r="N3205" s="6" t="str">
        <f>IFERROR(__xludf.DUMMYFUNCTION("""COMPUTED_VALUE"""),"FIP Engineering")</f>
        <v>FIP Engineering</v>
      </c>
      <c r="O3205" s="6" t="str">
        <f>IFERROR(__xludf.DUMMYFUNCTION("""COMPUTED_VALUE"""),"FIP-DOM-ENG-51411-0000000-INA-000000")</f>
        <v>FIP-DOM-ENG-51411-0000000-INA-000000</v>
      </c>
      <c r="P3205" s="6" t="str">
        <f>IFERROR(__xludf.DUMMYFUNCTION("""COMPUTED_VALUE"""),"PO Closed")</f>
        <v>PO Closed</v>
      </c>
      <c r="Q3205" s="6" t="str">
        <f>IFERROR(__xludf.DUMMYFUNCTION("""COMPUTED_VALUE"""),"GL2405055")</f>
        <v>GL2405055</v>
      </c>
      <c r="R3205" s="57">
        <f>IFERROR(__xludf.DUMMYFUNCTION("""COMPUTED_VALUE"""),45426.0)</f>
        <v>45426</v>
      </c>
      <c r="S3205" s="57">
        <f>IFERROR(__xludf.DUMMYFUNCTION("""COMPUTED_VALUE"""),45427.0)</f>
        <v>45427</v>
      </c>
      <c r="T3205" s="57">
        <f>IFERROR(__xludf.DUMMYFUNCTION("""COMPUTED_VALUE"""),45447.0)</f>
        <v>45447</v>
      </c>
    </row>
    <row r="3206">
      <c r="A3206" s="6" t="str">
        <f>IFERROR(__xludf.DUMMYFUNCTION("""COMPUTED_VALUE"""),"121701466-3")</f>
        <v>121701466-3</v>
      </c>
      <c r="B3206" s="6" t="str">
        <f>IFERROR(__xludf.DUMMYFUNCTION("""COMPUTED_VALUE"""),"121701466 - APPROVED")</f>
        <v>121701466 - APPROVED</v>
      </c>
      <c r="C3206" s="6">
        <f>IFERROR(__xludf.DUMMYFUNCTION("""COMPUTED_VALUE"""),3.0)</f>
        <v>3</v>
      </c>
      <c r="D3206" s="6" t="str">
        <f>IFERROR(__xludf.DUMMYFUNCTION("""COMPUTED_VALUE"""),"T-80376-00")</f>
        <v>T-80376-00</v>
      </c>
      <c r="E3206" s="6" t="str">
        <f>IFERROR(__xludf.DUMMYFUNCTION("""COMPUTED_VALUE"""),"Plakband Hitam 2 inch")</f>
        <v>Plakband Hitam 2 inch</v>
      </c>
      <c r="F3206" s="6">
        <f>IFERROR(__xludf.DUMMYFUNCTION("""COMPUTED_VALUE"""),5.0)</f>
        <v>5</v>
      </c>
      <c r="G3206" s="6" t="str">
        <f>IFERROR(__xludf.DUMMYFUNCTION("""COMPUTED_VALUE"""),"Roll")</f>
        <v>Roll</v>
      </c>
      <c r="H3206" s="6" t="str">
        <f>IFERROR(__xludf.DUMMYFUNCTION("""COMPUTED_VALUE"""),"IDR")</f>
        <v>IDR</v>
      </c>
      <c r="I3206" s="6">
        <f>IFERROR(__xludf.DUMMYFUNCTION("""COMPUTED_VALUE"""),13000.0)</f>
        <v>13000</v>
      </c>
      <c r="J3206" s="6">
        <f>IFERROR(__xludf.DUMMYFUNCTION("""COMPUTED_VALUE"""),65000.0)</f>
        <v>65000</v>
      </c>
      <c r="K3206" s="57">
        <f>IFERROR(__xludf.DUMMYFUNCTION("""COMPUTED_VALUE"""),45428.0)</f>
        <v>45428</v>
      </c>
      <c r="L3206" s="6" t="str">
        <f>IFERROR(__xludf.DUMMYFUNCTION("""COMPUTED_VALUE"""),"FIP General")</f>
        <v>FIP General</v>
      </c>
      <c r="M3206" s="6" t="str">
        <f>IFERROR(__xludf.DUMMYFUNCTION("""COMPUTED_VALUE"""),"Mochammad Fadhillah Hakim,")</f>
        <v>Mochammad Fadhillah Hakim,</v>
      </c>
      <c r="N3206" s="6" t="str">
        <f>IFERROR(__xludf.DUMMYFUNCTION("""COMPUTED_VALUE"""),"FIP Engineering")</f>
        <v>FIP Engineering</v>
      </c>
      <c r="O3206" s="6" t="str">
        <f>IFERROR(__xludf.DUMMYFUNCTION("""COMPUTED_VALUE"""),"FIP-DOM-ENG-51411-0000000-INA-000000")</f>
        <v>FIP-DOM-ENG-51411-0000000-INA-000000</v>
      </c>
      <c r="P3206" s="6" t="str">
        <f>IFERROR(__xludf.DUMMYFUNCTION("""COMPUTED_VALUE"""),"PO Closed")</f>
        <v>PO Closed</v>
      </c>
      <c r="Q3206" s="6" t="str">
        <f>IFERROR(__xludf.DUMMYFUNCTION("""COMPUTED_VALUE"""),"GL2405055")</f>
        <v>GL2405055</v>
      </c>
      <c r="R3206" s="57">
        <f>IFERROR(__xludf.DUMMYFUNCTION("""COMPUTED_VALUE"""),45426.0)</f>
        <v>45426</v>
      </c>
      <c r="S3206" s="57">
        <f>IFERROR(__xludf.DUMMYFUNCTION("""COMPUTED_VALUE"""),45427.0)</f>
        <v>45427</v>
      </c>
      <c r="T3206" s="57">
        <f>IFERROR(__xludf.DUMMYFUNCTION("""COMPUTED_VALUE"""),45447.0)</f>
        <v>45447</v>
      </c>
    </row>
    <row r="3207">
      <c r="A3207" s="6" t="str">
        <f>IFERROR(__xludf.DUMMYFUNCTION("""COMPUTED_VALUE"""),"121701466-4")</f>
        <v>121701466-4</v>
      </c>
      <c r="B3207" s="6" t="str">
        <f>IFERROR(__xludf.DUMMYFUNCTION("""COMPUTED_VALUE"""),"121701466 - APPROVED")</f>
        <v>121701466 - APPROVED</v>
      </c>
      <c r="C3207" s="6">
        <f>IFERROR(__xludf.DUMMYFUNCTION("""COMPUTED_VALUE"""),4.0)</f>
        <v>4</v>
      </c>
      <c r="D3207" s="6" t="str">
        <f>IFERROR(__xludf.DUMMYFUNCTION("""COMPUTED_VALUE"""),"T-80686-00")</f>
        <v>T-80686-00</v>
      </c>
      <c r="E3207" s="6" t="str">
        <f>IFERROR(__xludf.DUMMYFUNCTION("""COMPUTED_VALUE"""),"Spidol OHP uk. Fine (satuan) - OPF Biru; Snowman; ; Pcs")</f>
        <v>Spidol OHP uk. Fine (satuan) - OPF Biru; Snowman; ; Pcs</v>
      </c>
      <c r="F3207" s="6">
        <f>IFERROR(__xludf.DUMMYFUNCTION("""COMPUTED_VALUE"""),3.0)</f>
        <v>3</v>
      </c>
      <c r="G3207" s="6" t="str">
        <f>IFERROR(__xludf.DUMMYFUNCTION("""COMPUTED_VALUE"""),"Pieces")</f>
        <v>Pieces</v>
      </c>
      <c r="H3207" s="6" t="str">
        <f>IFERROR(__xludf.DUMMYFUNCTION("""COMPUTED_VALUE"""),"IDR")</f>
        <v>IDR</v>
      </c>
      <c r="I3207" s="6">
        <f>IFERROR(__xludf.DUMMYFUNCTION("""COMPUTED_VALUE"""),10000.0)</f>
        <v>10000</v>
      </c>
      <c r="J3207" s="6">
        <f>IFERROR(__xludf.DUMMYFUNCTION("""COMPUTED_VALUE"""),30000.0)</f>
        <v>30000</v>
      </c>
      <c r="K3207" s="57">
        <f>IFERROR(__xludf.DUMMYFUNCTION("""COMPUTED_VALUE"""),45428.0)</f>
        <v>45428</v>
      </c>
      <c r="L3207" s="6" t="str">
        <f>IFERROR(__xludf.DUMMYFUNCTION("""COMPUTED_VALUE"""),"FIP General")</f>
        <v>FIP General</v>
      </c>
      <c r="M3207" s="6" t="str">
        <f>IFERROR(__xludf.DUMMYFUNCTION("""COMPUTED_VALUE"""),"Mochammad Fadhillah Hakim,")</f>
        <v>Mochammad Fadhillah Hakim,</v>
      </c>
      <c r="N3207" s="6" t="str">
        <f>IFERROR(__xludf.DUMMYFUNCTION("""COMPUTED_VALUE"""),"FIP Engineering")</f>
        <v>FIP Engineering</v>
      </c>
      <c r="O3207" s="6" t="str">
        <f>IFERROR(__xludf.DUMMYFUNCTION("""COMPUTED_VALUE"""),"FIP-DOM-ENG-51411-0000000-INA-000000")</f>
        <v>FIP-DOM-ENG-51411-0000000-INA-000000</v>
      </c>
      <c r="P3207" s="6" t="str">
        <f>IFERROR(__xludf.DUMMYFUNCTION("""COMPUTED_VALUE"""),"PO Closed")</f>
        <v>PO Closed</v>
      </c>
      <c r="Q3207" s="6" t="str">
        <f>IFERROR(__xludf.DUMMYFUNCTION("""COMPUTED_VALUE"""),"GL2405055")</f>
        <v>GL2405055</v>
      </c>
      <c r="R3207" s="57">
        <f>IFERROR(__xludf.DUMMYFUNCTION("""COMPUTED_VALUE"""),45426.0)</f>
        <v>45426</v>
      </c>
      <c r="S3207" s="57">
        <f>IFERROR(__xludf.DUMMYFUNCTION("""COMPUTED_VALUE"""),45427.0)</f>
        <v>45427</v>
      </c>
      <c r="T3207" s="57">
        <f>IFERROR(__xludf.DUMMYFUNCTION("""COMPUTED_VALUE"""),45447.0)</f>
        <v>45447</v>
      </c>
    </row>
    <row r="3208">
      <c r="A3208" s="6" t="str">
        <f>IFERROR(__xludf.DUMMYFUNCTION("""COMPUTED_VALUE"""),"121701467-1")</f>
        <v>121701467-1</v>
      </c>
      <c r="B3208" s="6" t="str">
        <f>IFERROR(__xludf.DUMMYFUNCTION("""COMPUTED_VALUE"""),"121701467 - APPROVED")</f>
        <v>121701467 - APPROVED</v>
      </c>
      <c r="C3208" s="6">
        <f>IFERROR(__xludf.DUMMYFUNCTION("""COMPUTED_VALUE"""),1.0)</f>
        <v>1</v>
      </c>
      <c r="D3208" s="6" t="str">
        <f>IFERROR(__xludf.DUMMYFUNCTION("""COMPUTED_VALUE"""),"P-11175-00")</f>
        <v>P-11175-00</v>
      </c>
      <c r="E3208" s="6" t="str">
        <f>IFERROR(__xludf.DUMMYFUNCTION("""COMPUTED_VALUE"""),"Pneumatic  Fitting - QS 10-8 / PN : 153039 / Festo")</f>
        <v>Pneumatic  Fitting - QS 10-8 / PN : 153039 / Festo</v>
      </c>
      <c r="F3208" s="6">
        <f>IFERROR(__xludf.DUMMYFUNCTION("""COMPUTED_VALUE"""),5.0)</f>
        <v>5</v>
      </c>
      <c r="G3208" s="6" t="str">
        <f>IFERROR(__xludf.DUMMYFUNCTION("""COMPUTED_VALUE"""),"Pieces")</f>
        <v>Pieces</v>
      </c>
      <c r="H3208" s="6" t="str">
        <f>IFERROR(__xludf.DUMMYFUNCTION("""COMPUTED_VALUE"""),"IDR")</f>
        <v>IDR</v>
      </c>
      <c r="I3208" s="6">
        <f>IFERROR(__xludf.DUMMYFUNCTION("""COMPUTED_VALUE"""),100000.0)</f>
        <v>100000</v>
      </c>
      <c r="J3208" s="6">
        <f>IFERROR(__xludf.DUMMYFUNCTION("""COMPUTED_VALUE"""),500000.0)</f>
        <v>500000</v>
      </c>
      <c r="K3208" s="57">
        <f>IFERROR(__xludf.DUMMYFUNCTION("""COMPUTED_VALUE"""),45428.0)</f>
        <v>45428</v>
      </c>
      <c r="L3208" s="6" t="str">
        <f>IFERROR(__xludf.DUMMYFUNCTION("""COMPUTED_VALUE"""),"FIP Engineering")</f>
        <v>FIP Engineering</v>
      </c>
      <c r="M3208" s="6" t="str">
        <f>IFERROR(__xludf.DUMMYFUNCTION("""COMPUTED_VALUE"""),"Mochammad Fadhillah Hakim,")</f>
        <v>Mochammad Fadhillah Hakim,</v>
      </c>
      <c r="N3208" s="6" t="str">
        <f>IFERROR(__xludf.DUMMYFUNCTION("""COMPUTED_VALUE"""),"FIP Engineering")</f>
        <v>FIP Engineering</v>
      </c>
      <c r="O3208" s="6" t="str">
        <f>IFERROR(__xludf.DUMMYFUNCTION("""COMPUTED_VALUE"""),"FIP-DOM-000-11304-OS00001-INA-000000")</f>
        <v>FIP-DOM-000-11304-OS00001-INA-000000</v>
      </c>
      <c r="P3208" s="6" t="str">
        <f>IFERROR(__xludf.DUMMYFUNCTION("""COMPUTED_VALUE"""),"PO Closed")</f>
        <v>PO Closed</v>
      </c>
      <c r="Q3208" s="6" t="str">
        <f>IFERROR(__xludf.DUMMYFUNCTION("""COMPUTED_VALUE"""),"GL2406003")</f>
        <v>GL2406003</v>
      </c>
      <c r="R3208" s="57">
        <f>IFERROR(__xludf.DUMMYFUNCTION("""COMPUTED_VALUE"""),45426.0)</f>
        <v>45426</v>
      </c>
      <c r="S3208" s="57">
        <f>IFERROR(__xludf.DUMMYFUNCTION("""COMPUTED_VALUE"""),45427.0)</f>
        <v>45427</v>
      </c>
      <c r="T3208" s="57">
        <f>IFERROR(__xludf.DUMMYFUNCTION("""COMPUTED_VALUE"""),45478.0)</f>
        <v>45478</v>
      </c>
    </row>
    <row r="3209">
      <c r="A3209" s="6" t="str">
        <f>IFERROR(__xludf.DUMMYFUNCTION("""COMPUTED_VALUE"""),"121701467-2")</f>
        <v>121701467-2</v>
      </c>
      <c r="B3209" s="6" t="str">
        <f>IFERROR(__xludf.DUMMYFUNCTION("""COMPUTED_VALUE"""),"121701467 - APPROVED")</f>
        <v>121701467 - APPROVED</v>
      </c>
      <c r="C3209" s="6">
        <f>IFERROR(__xludf.DUMMYFUNCTION("""COMPUTED_VALUE"""),2.0)</f>
        <v>2</v>
      </c>
      <c r="D3209" s="6" t="str">
        <f>IFERROR(__xludf.DUMMYFUNCTION("""COMPUTED_VALUE"""),"P-11185-00")</f>
        <v>P-11185-00</v>
      </c>
      <c r="E3209" s="6" t="str">
        <f>IFERROR(__xludf.DUMMYFUNCTION("""COMPUTED_VALUE"""),"Pneumatic  Fitting - QS 8-6 / Festo")</f>
        <v>Pneumatic  Fitting - QS 8-6 / Festo</v>
      </c>
      <c r="F3209" s="6">
        <f>IFERROR(__xludf.DUMMYFUNCTION("""COMPUTED_VALUE"""),5.0)</f>
        <v>5</v>
      </c>
      <c r="G3209" s="6" t="str">
        <f>IFERROR(__xludf.DUMMYFUNCTION("""COMPUTED_VALUE"""),"Pieces")</f>
        <v>Pieces</v>
      </c>
      <c r="H3209" s="6" t="str">
        <f>IFERROR(__xludf.DUMMYFUNCTION("""COMPUTED_VALUE"""),"IDR")</f>
        <v>IDR</v>
      </c>
      <c r="I3209" s="6">
        <f>IFERROR(__xludf.DUMMYFUNCTION("""COMPUTED_VALUE"""),100000.0)</f>
        <v>100000</v>
      </c>
      <c r="J3209" s="6">
        <f>IFERROR(__xludf.DUMMYFUNCTION("""COMPUTED_VALUE"""),500000.0)</f>
        <v>500000</v>
      </c>
      <c r="K3209" s="57">
        <f>IFERROR(__xludf.DUMMYFUNCTION("""COMPUTED_VALUE"""),45428.0)</f>
        <v>45428</v>
      </c>
      <c r="L3209" s="6" t="str">
        <f>IFERROR(__xludf.DUMMYFUNCTION("""COMPUTED_VALUE"""),"FIP Engineering")</f>
        <v>FIP Engineering</v>
      </c>
      <c r="M3209" s="6" t="str">
        <f>IFERROR(__xludf.DUMMYFUNCTION("""COMPUTED_VALUE"""),"Mochammad Fadhillah Hakim,")</f>
        <v>Mochammad Fadhillah Hakim,</v>
      </c>
      <c r="N3209" s="6" t="str">
        <f>IFERROR(__xludf.DUMMYFUNCTION("""COMPUTED_VALUE"""),"FIP Engineering")</f>
        <v>FIP Engineering</v>
      </c>
      <c r="O3209" s="6" t="str">
        <f>IFERROR(__xludf.DUMMYFUNCTION("""COMPUTED_VALUE"""),"FIP-DOM-000-11304-OS00001-INA-000000")</f>
        <v>FIP-DOM-000-11304-OS00001-INA-000000</v>
      </c>
      <c r="P3209" s="6" t="str">
        <f>IFERROR(__xludf.DUMMYFUNCTION("""COMPUTED_VALUE"""),"PO Closed")</f>
        <v>PO Closed</v>
      </c>
      <c r="Q3209" s="6" t="str">
        <f>IFERROR(__xludf.DUMMYFUNCTION("""COMPUTED_VALUE"""),"GL2406003")</f>
        <v>GL2406003</v>
      </c>
      <c r="R3209" s="57">
        <f>IFERROR(__xludf.DUMMYFUNCTION("""COMPUTED_VALUE"""),45426.0)</f>
        <v>45426</v>
      </c>
      <c r="S3209" s="57">
        <f>IFERROR(__xludf.DUMMYFUNCTION("""COMPUTED_VALUE"""),45427.0)</f>
        <v>45427</v>
      </c>
      <c r="T3209" s="57">
        <f>IFERROR(__xludf.DUMMYFUNCTION("""COMPUTED_VALUE"""),45478.0)</f>
        <v>45478</v>
      </c>
    </row>
    <row r="3210">
      <c r="A3210" s="6" t="str">
        <f>IFERROR(__xludf.DUMMYFUNCTION("""COMPUTED_VALUE"""),"121701467-3")</f>
        <v>121701467-3</v>
      </c>
      <c r="B3210" s="6" t="str">
        <f>IFERROR(__xludf.DUMMYFUNCTION("""COMPUTED_VALUE"""),"121701467 - APPROVED")</f>
        <v>121701467 - APPROVED</v>
      </c>
      <c r="C3210" s="6">
        <f>IFERROR(__xludf.DUMMYFUNCTION("""COMPUTED_VALUE"""),3.0)</f>
        <v>3</v>
      </c>
      <c r="D3210" s="6" t="str">
        <f>IFERROR(__xludf.DUMMYFUNCTION("""COMPUTED_VALUE"""),"O-52200-00")</f>
        <v>O-52200-00</v>
      </c>
      <c r="E3210" s="6" t="str">
        <f>IFERROR(__xludf.DUMMYFUNCTION("""COMPUTED_VALUE"""),"FESTO -  Proximity Sensor SME-8M-DS-24V-K-0,3-M8D p/n: 543861; ; ;")</f>
        <v>FESTO -  Proximity Sensor SME-8M-DS-24V-K-0,3-M8D p/n: 543861; ; ;</v>
      </c>
      <c r="F3210" s="6">
        <f>IFERROR(__xludf.DUMMYFUNCTION("""COMPUTED_VALUE"""),2.0)</f>
        <v>2</v>
      </c>
      <c r="G3210" s="6" t="str">
        <f>IFERROR(__xludf.DUMMYFUNCTION("""COMPUTED_VALUE"""),"Pieces")</f>
        <v>Pieces</v>
      </c>
      <c r="H3210" s="6" t="str">
        <f>IFERROR(__xludf.DUMMYFUNCTION("""COMPUTED_VALUE"""),"IDR")</f>
        <v>IDR</v>
      </c>
      <c r="I3210" s="6">
        <f>IFERROR(__xludf.DUMMYFUNCTION("""COMPUTED_VALUE"""),346306.0)</f>
        <v>346306</v>
      </c>
      <c r="J3210" s="6">
        <f>IFERROR(__xludf.DUMMYFUNCTION("""COMPUTED_VALUE"""),692612.0)</f>
        <v>692612</v>
      </c>
      <c r="K3210" s="57">
        <f>IFERROR(__xludf.DUMMYFUNCTION("""COMPUTED_VALUE"""),45428.0)</f>
        <v>45428</v>
      </c>
      <c r="L3210" s="6" t="str">
        <f>IFERROR(__xludf.DUMMYFUNCTION("""COMPUTED_VALUE"""),"FIP Engineering")</f>
        <v>FIP Engineering</v>
      </c>
      <c r="M3210" s="6" t="str">
        <f>IFERROR(__xludf.DUMMYFUNCTION("""COMPUTED_VALUE"""),"Mochammad Fadhillah Hakim,")</f>
        <v>Mochammad Fadhillah Hakim,</v>
      </c>
      <c r="N3210" s="6" t="str">
        <f>IFERROR(__xludf.DUMMYFUNCTION("""COMPUTED_VALUE"""),"FIP Engineering")</f>
        <v>FIP Engineering</v>
      </c>
      <c r="O3210" s="6" t="str">
        <f>IFERROR(__xludf.DUMMYFUNCTION("""COMPUTED_VALUE"""),"FIP-DOM-000-11304-OS00001-INA-000000")</f>
        <v>FIP-DOM-000-11304-OS00001-INA-000000</v>
      </c>
      <c r="P3210" s="6" t="str">
        <f>IFERROR(__xludf.DUMMYFUNCTION("""COMPUTED_VALUE"""),"PO Closed")</f>
        <v>PO Closed</v>
      </c>
      <c r="Q3210" s="6" t="str">
        <f>IFERROR(__xludf.DUMMYFUNCTION("""COMPUTED_VALUE"""),"GL2406003")</f>
        <v>GL2406003</v>
      </c>
      <c r="R3210" s="57">
        <f>IFERROR(__xludf.DUMMYFUNCTION("""COMPUTED_VALUE"""),45426.0)</f>
        <v>45426</v>
      </c>
      <c r="S3210" s="57">
        <f>IFERROR(__xludf.DUMMYFUNCTION("""COMPUTED_VALUE"""),45427.0)</f>
        <v>45427</v>
      </c>
      <c r="T3210" s="57">
        <f>IFERROR(__xludf.DUMMYFUNCTION("""COMPUTED_VALUE"""),45478.0)</f>
        <v>45478</v>
      </c>
    </row>
    <row r="3211">
      <c r="A3211" s="6" t="str">
        <f>IFERROR(__xludf.DUMMYFUNCTION("""COMPUTED_VALUE"""),"121701471-1")</f>
        <v>121701471-1</v>
      </c>
      <c r="B3211" s="6" t="str">
        <f>IFERROR(__xludf.DUMMYFUNCTION("""COMPUTED_VALUE"""),"121701471 - APPROVED")</f>
        <v>121701471 - APPROVED</v>
      </c>
      <c r="C3211" s="6">
        <f>IFERROR(__xludf.DUMMYFUNCTION("""COMPUTED_VALUE"""),1.0)</f>
        <v>1</v>
      </c>
      <c r="D3211" s="6" t="str">
        <f>IFERROR(__xludf.DUMMYFUNCTION("""COMPUTED_VALUE"""),"T-80394-00")</f>
        <v>T-80394-00</v>
      </c>
      <c r="E3211" s="6" t="str">
        <f>IFERROR(__xludf.DUMMYFUNCTION("""COMPUTED_VALUE"""),"PVC Pocket BANTEX 2040/A4 - Clear")</f>
        <v>PVC Pocket BANTEX 2040/A4 - Clear</v>
      </c>
      <c r="F3211" s="6">
        <f>IFERROR(__xludf.DUMMYFUNCTION("""COMPUTED_VALUE"""),2.0)</f>
        <v>2</v>
      </c>
      <c r="G3211" s="6" t="str">
        <f>IFERROR(__xludf.DUMMYFUNCTION("""COMPUTED_VALUE"""),"Box")</f>
        <v>Box</v>
      </c>
      <c r="H3211" s="6" t="str">
        <f>IFERROR(__xludf.DUMMYFUNCTION("""COMPUTED_VALUE"""),"IDR")</f>
        <v>IDR</v>
      </c>
      <c r="I3211" s="6">
        <f>IFERROR(__xludf.DUMMYFUNCTION("""COMPUTED_VALUE"""),71000.0)</f>
        <v>71000</v>
      </c>
      <c r="J3211" s="6">
        <f>IFERROR(__xludf.DUMMYFUNCTION("""COMPUTED_VALUE"""),142000.0)</f>
        <v>142000</v>
      </c>
      <c r="K3211" s="57">
        <f>IFERROR(__xludf.DUMMYFUNCTION("""COMPUTED_VALUE"""),45428.0)</f>
        <v>45428</v>
      </c>
      <c r="L3211" s="6" t="str">
        <f>IFERROR(__xludf.DUMMYFUNCTION("""COMPUTED_VALUE"""),"FIP General")</f>
        <v>FIP General</v>
      </c>
      <c r="M3211" s="6" t="str">
        <f>IFERROR(__xludf.DUMMYFUNCTION("""COMPUTED_VALUE"""),"Mochammad Fadhillah Hakim,")</f>
        <v>Mochammad Fadhillah Hakim,</v>
      </c>
      <c r="N3211" s="6" t="str">
        <f>IFERROR(__xludf.DUMMYFUNCTION("""COMPUTED_VALUE"""),"FIP Engineering")</f>
        <v>FIP Engineering</v>
      </c>
      <c r="O3211" s="6" t="str">
        <f>IFERROR(__xludf.DUMMYFUNCTION("""COMPUTED_VALUE"""),"FIP-DOM-ENG-51411-0000000-INA-000000")</f>
        <v>FIP-DOM-ENG-51411-0000000-INA-000000</v>
      </c>
      <c r="P3211" s="6" t="str">
        <f>IFERROR(__xludf.DUMMYFUNCTION("""COMPUTED_VALUE"""),"PO Closed")</f>
        <v>PO Closed</v>
      </c>
      <c r="Q3211" s="6" t="str">
        <f>IFERROR(__xludf.DUMMYFUNCTION("""COMPUTED_VALUE"""),"GL2405054")</f>
        <v>GL2405054</v>
      </c>
      <c r="R3211" s="57">
        <f>IFERROR(__xludf.DUMMYFUNCTION("""COMPUTED_VALUE"""),45426.0)</f>
        <v>45426</v>
      </c>
      <c r="S3211" s="57">
        <f>IFERROR(__xludf.DUMMYFUNCTION("""COMPUTED_VALUE"""),45427.0)</f>
        <v>45427</v>
      </c>
      <c r="T3211" s="57">
        <f>IFERROR(__xludf.DUMMYFUNCTION("""COMPUTED_VALUE"""),45447.0)</f>
        <v>45447</v>
      </c>
    </row>
    <row r="3212">
      <c r="A3212" s="6" t="str">
        <f>IFERROR(__xludf.DUMMYFUNCTION("""COMPUTED_VALUE"""),"121701472-1")</f>
        <v>121701472-1</v>
      </c>
      <c r="B3212" s="6" t="str">
        <f>IFERROR(__xludf.DUMMYFUNCTION("""COMPUTED_VALUE"""),"121701472 - APPROVED")</f>
        <v>121701472 - APPROVED</v>
      </c>
      <c r="C3212" s="6">
        <f>IFERROR(__xludf.DUMMYFUNCTION("""COMPUTED_VALUE"""),1.0)</f>
        <v>1</v>
      </c>
      <c r="D3212" s="6" t="str">
        <f>IFERROR(__xludf.DUMMYFUNCTION("""COMPUTED_VALUE"""),"T-20201-00")</f>
        <v>T-20201-00</v>
      </c>
      <c r="E3212" s="6" t="str">
        <f>IFERROR(__xludf.DUMMYFUNCTION("""COMPUTED_VALUE"""),"ASSY,SOLVENT FILTER., Waters, Part No. WAT025531")</f>
        <v>ASSY,SOLVENT FILTER., Waters, Part No. WAT025531</v>
      </c>
      <c r="F3212" s="6">
        <f>IFERROR(__xludf.DUMMYFUNCTION("""COMPUTED_VALUE"""),10.0)</f>
        <v>10</v>
      </c>
      <c r="G3212" s="6" t="str">
        <f>IFERROR(__xludf.DUMMYFUNCTION("""COMPUTED_VALUE"""),"Pieces")</f>
        <v>Pieces</v>
      </c>
      <c r="H3212" s="6" t="str">
        <f>IFERROR(__xludf.DUMMYFUNCTION("""COMPUTED_VALUE"""),"IDR")</f>
        <v>IDR</v>
      </c>
      <c r="I3212" s="6">
        <f>IFERROR(__xludf.DUMMYFUNCTION("""COMPUTED_VALUE"""),1348875.0)</f>
        <v>1348875</v>
      </c>
      <c r="J3212" s="6">
        <f>IFERROR(__xludf.DUMMYFUNCTION("""COMPUTED_VALUE"""),1.348875E7)</f>
        <v>13488750</v>
      </c>
      <c r="K3212" s="57">
        <f>IFERROR(__xludf.DUMMYFUNCTION("""COMPUTED_VALUE"""),45428.0)</f>
        <v>45428</v>
      </c>
      <c r="L3212" s="6" t="str">
        <f>IFERROR(__xludf.DUMMYFUNCTION("""COMPUTED_VALUE"""),"FIP General")</f>
        <v>FIP General</v>
      </c>
      <c r="M3212" s="6" t="str">
        <f>IFERROR(__xludf.DUMMYFUNCTION("""COMPUTED_VALUE"""),"Mochammad Fadhillah Hakim,")</f>
        <v>Mochammad Fadhillah Hakim,</v>
      </c>
      <c r="N3212" s="6" t="str">
        <f>IFERROR(__xludf.DUMMYFUNCTION("""COMPUTED_VALUE"""),"FIP Engineering")</f>
        <v>FIP Engineering</v>
      </c>
      <c r="O3212" s="6" t="str">
        <f>IFERROR(__xludf.DUMMYFUNCTION("""COMPUTED_VALUE"""),"FIP-DOM-ENG-51505-0000000-INA-000000")</f>
        <v>FIP-DOM-ENG-51505-0000000-INA-000000</v>
      </c>
      <c r="P3212" s="6" t="str">
        <f>IFERROR(__xludf.DUMMYFUNCTION("""COMPUTED_VALUE"""),"PO Closed")</f>
        <v>PO Closed</v>
      </c>
      <c r="Q3212" s="6" t="str">
        <f>IFERROR(__xludf.DUMMYFUNCTION("""COMPUTED_VALUE"""),"GL2406389")</f>
        <v>GL2406389</v>
      </c>
      <c r="R3212" s="57">
        <f>IFERROR(__xludf.DUMMYFUNCTION("""COMPUTED_VALUE"""),45426.0)</f>
        <v>45426</v>
      </c>
      <c r="S3212" s="57">
        <f>IFERROR(__xludf.DUMMYFUNCTION("""COMPUTED_VALUE"""),45434.0)</f>
        <v>45434</v>
      </c>
      <c r="T3212" s="57">
        <f>IFERROR(__xludf.DUMMYFUNCTION("""COMPUTED_VALUE"""),45478.0)</f>
        <v>45478</v>
      </c>
    </row>
    <row r="3213">
      <c r="A3213" s="6" t="str">
        <f>IFERROR(__xludf.DUMMYFUNCTION("""COMPUTED_VALUE"""),"121701472-2")</f>
        <v>121701472-2</v>
      </c>
      <c r="B3213" s="6" t="str">
        <f>IFERROR(__xludf.DUMMYFUNCTION("""COMPUTED_VALUE"""),"121701472 - APPROVED")</f>
        <v>121701472 - APPROVED</v>
      </c>
      <c r="C3213" s="6">
        <f>IFERROR(__xludf.DUMMYFUNCTION("""COMPUTED_VALUE"""),2.0)</f>
        <v>2</v>
      </c>
      <c r="D3213" s="6" t="str">
        <f>IFERROR(__xludf.DUMMYFUNCTION("""COMPUTED_VALUE"""),"T-25481-00")</f>
        <v>T-25481-00</v>
      </c>
      <c r="E3213" s="6" t="str">
        <f>IFERROR(__xludf.DUMMYFUNCTION("""COMPUTED_VALUE"""),"Seal Wash Priming Adapter; Waters; WAT270586; pieces")</f>
        <v>Seal Wash Priming Adapter; Waters; WAT270586; pieces</v>
      </c>
      <c r="F3213" s="6">
        <f>IFERROR(__xludf.DUMMYFUNCTION("""COMPUTED_VALUE"""),2.0)</f>
        <v>2</v>
      </c>
      <c r="G3213" s="6" t="str">
        <f>IFERROR(__xludf.DUMMYFUNCTION("""COMPUTED_VALUE"""),"Pieces")</f>
        <v>Pieces</v>
      </c>
      <c r="H3213" s="6" t="str">
        <f>IFERROR(__xludf.DUMMYFUNCTION("""COMPUTED_VALUE"""),"IDR")</f>
        <v>IDR</v>
      </c>
      <c r="I3213" s="6">
        <f>IFERROR(__xludf.DUMMYFUNCTION("""COMPUTED_VALUE"""),768000.0)</f>
        <v>768000</v>
      </c>
      <c r="J3213" s="6">
        <f>IFERROR(__xludf.DUMMYFUNCTION("""COMPUTED_VALUE"""),1536000.0)</f>
        <v>1536000</v>
      </c>
      <c r="K3213" s="57">
        <f>IFERROR(__xludf.DUMMYFUNCTION("""COMPUTED_VALUE"""),45428.0)</f>
        <v>45428</v>
      </c>
      <c r="L3213" s="6" t="str">
        <f>IFERROR(__xludf.DUMMYFUNCTION("""COMPUTED_VALUE"""),"FIP General")</f>
        <v>FIP General</v>
      </c>
      <c r="M3213" s="6" t="str">
        <f>IFERROR(__xludf.DUMMYFUNCTION("""COMPUTED_VALUE"""),"Mochammad Fadhillah Hakim,")</f>
        <v>Mochammad Fadhillah Hakim,</v>
      </c>
      <c r="N3213" s="6" t="str">
        <f>IFERROR(__xludf.DUMMYFUNCTION("""COMPUTED_VALUE"""),"FIP Engineering")</f>
        <v>FIP Engineering</v>
      </c>
      <c r="O3213" s="6" t="str">
        <f>IFERROR(__xludf.DUMMYFUNCTION("""COMPUTED_VALUE"""),"FIP-DOM-ENG-51404-0000000-INA-000000")</f>
        <v>FIP-DOM-ENG-51404-0000000-INA-000000</v>
      </c>
      <c r="P3213" s="6" t="str">
        <f>IFERROR(__xludf.DUMMYFUNCTION("""COMPUTED_VALUE"""),"PO Closed")</f>
        <v>PO Closed</v>
      </c>
      <c r="Q3213" s="6" t="str">
        <f>IFERROR(__xludf.DUMMYFUNCTION("""COMPUTED_VALUE"""),"GL2406389")</f>
        <v>GL2406389</v>
      </c>
      <c r="R3213" s="57">
        <f>IFERROR(__xludf.DUMMYFUNCTION("""COMPUTED_VALUE"""),45426.0)</f>
        <v>45426</v>
      </c>
      <c r="S3213" s="57">
        <f>IFERROR(__xludf.DUMMYFUNCTION("""COMPUTED_VALUE"""),45434.0)</f>
        <v>45434</v>
      </c>
      <c r="T3213" s="57">
        <f>IFERROR(__xludf.DUMMYFUNCTION("""COMPUTED_VALUE"""),45506.0)</f>
        <v>45506</v>
      </c>
    </row>
    <row r="3214">
      <c r="A3214" s="6" t="str">
        <f>IFERROR(__xludf.DUMMYFUNCTION("""COMPUTED_VALUE"""),"121701473-1")</f>
        <v>121701473-1</v>
      </c>
      <c r="B3214" s="6" t="str">
        <f>IFERROR(__xludf.DUMMYFUNCTION("""COMPUTED_VALUE"""),"121701473 - APPROVED")</f>
        <v>121701473 - APPROVED</v>
      </c>
      <c r="C3214" s="6">
        <f>IFERROR(__xludf.DUMMYFUNCTION("""COMPUTED_VALUE"""),1.0)</f>
        <v>1</v>
      </c>
      <c r="D3214" s="6" t="str">
        <f>IFERROR(__xludf.DUMMYFUNCTION("""COMPUTED_VALUE"""),"O-53032-00")</f>
        <v>O-53032-00</v>
      </c>
      <c r="E3214" s="6" t="str">
        <f>IFERROR(__xludf.DUMMYFUNCTION("""COMPUTED_VALUE"""),"Cable Temperature Sensor Silicone 1,5m PT1000 QAP2012.150")</f>
        <v>Cable Temperature Sensor Silicone 1,5m PT1000 QAP2012.150</v>
      </c>
      <c r="F3214" s="6">
        <f>IFERROR(__xludf.DUMMYFUNCTION("""COMPUTED_VALUE"""),7.0)</f>
        <v>7</v>
      </c>
      <c r="G3214" s="6" t="str">
        <f>IFERROR(__xludf.DUMMYFUNCTION("""COMPUTED_VALUE"""),"Pieces")</f>
        <v>Pieces</v>
      </c>
      <c r="H3214" s="6" t="str">
        <f>IFERROR(__xludf.DUMMYFUNCTION("""COMPUTED_VALUE"""),"IDR")</f>
        <v>IDR</v>
      </c>
      <c r="I3214" s="6">
        <f>IFERROR(__xludf.DUMMYFUNCTION("""COMPUTED_VALUE"""),650000.0)</f>
        <v>650000</v>
      </c>
      <c r="J3214" s="6">
        <f>IFERROR(__xludf.DUMMYFUNCTION("""COMPUTED_VALUE"""),4550000.0)</f>
        <v>4550000</v>
      </c>
      <c r="K3214" s="57">
        <f>IFERROR(__xludf.DUMMYFUNCTION("""COMPUTED_VALUE"""),45428.0)</f>
        <v>45428</v>
      </c>
      <c r="L3214" s="6" t="str">
        <f>IFERROR(__xludf.DUMMYFUNCTION("""COMPUTED_VALUE"""),"FIP Engineering")</f>
        <v>FIP Engineering</v>
      </c>
      <c r="M3214" s="6" t="str">
        <f>IFERROR(__xludf.DUMMYFUNCTION("""COMPUTED_VALUE"""),"Mochammad Fadhillah Hakim,")</f>
        <v>Mochammad Fadhillah Hakim,</v>
      </c>
      <c r="N3214" s="6" t="str">
        <f>IFERROR(__xludf.DUMMYFUNCTION("""COMPUTED_VALUE"""),"FIP Engineering")</f>
        <v>FIP Engineering</v>
      </c>
      <c r="O3214" s="6" t="str">
        <f>IFERROR(__xludf.DUMMYFUNCTION("""COMPUTED_VALUE"""),"FIP-DOM-000-11304-OS00001-INA-000000")</f>
        <v>FIP-DOM-000-11304-OS00001-INA-000000</v>
      </c>
      <c r="P3214" s="6" t="str">
        <f>IFERROR(__xludf.DUMMYFUNCTION("""COMPUTED_VALUE"""),"PO Closed")</f>
        <v>PO Closed</v>
      </c>
      <c r="Q3214" s="6" t="str">
        <f>IFERROR(__xludf.DUMMYFUNCTION("""COMPUTED_VALUE"""),"GL2406026")</f>
        <v>GL2406026</v>
      </c>
      <c r="R3214" s="57">
        <f>IFERROR(__xludf.DUMMYFUNCTION("""COMPUTED_VALUE"""),45426.0)</f>
        <v>45426</v>
      </c>
      <c r="S3214" s="57">
        <f>IFERROR(__xludf.DUMMYFUNCTION("""COMPUTED_VALUE"""),45428.0)</f>
        <v>45428</v>
      </c>
      <c r="T3214" s="57">
        <f>IFERROR(__xludf.DUMMYFUNCTION("""COMPUTED_VALUE"""),45458.0)</f>
        <v>45458</v>
      </c>
    </row>
    <row r="3215">
      <c r="A3215" s="6" t="str">
        <f>IFERROR(__xludf.DUMMYFUNCTION("""COMPUTED_VALUE"""),"121701474-1")</f>
        <v>121701474-1</v>
      </c>
      <c r="B3215" s="6" t="str">
        <f>IFERROR(__xludf.DUMMYFUNCTION("""COMPUTED_VALUE"""),"121701474 - APPROVED")</f>
        <v>121701474 - APPROVED</v>
      </c>
      <c r="C3215" s="6">
        <f>IFERROR(__xludf.DUMMYFUNCTION("""COMPUTED_VALUE"""),1.0)</f>
        <v>1</v>
      </c>
      <c r="D3215" s="6" t="str">
        <f>IFERROR(__xludf.DUMMYFUNCTION("""COMPUTED_VALUE"""),"O-54005-00")</f>
        <v>O-54005-00</v>
      </c>
      <c r="E3215" s="6" t="str">
        <f>IFERROR(__xludf.DUMMYFUNCTION("""COMPUTED_VALUE"""),"LAMPU UV 15 WATT, OSRAM")</f>
        <v>LAMPU UV 15 WATT, OSRAM</v>
      </c>
      <c r="F3215" s="6">
        <f>IFERROR(__xludf.DUMMYFUNCTION("""COMPUTED_VALUE"""),5.0)</f>
        <v>5</v>
      </c>
      <c r="G3215" s="6" t="str">
        <f>IFERROR(__xludf.DUMMYFUNCTION("""COMPUTED_VALUE"""),"Pieces")</f>
        <v>Pieces</v>
      </c>
      <c r="H3215" s="6" t="str">
        <f>IFERROR(__xludf.DUMMYFUNCTION("""COMPUTED_VALUE"""),"IDR")</f>
        <v>IDR</v>
      </c>
      <c r="I3215" s="6">
        <f>IFERROR(__xludf.DUMMYFUNCTION("""COMPUTED_VALUE"""),171000.0)</f>
        <v>171000</v>
      </c>
      <c r="J3215" s="6">
        <f>IFERROR(__xludf.DUMMYFUNCTION("""COMPUTED_VALUE"""),855000.0)</f>
        <v>855000</v>
      </c>
      <c r="K3215" s="57">
        <f>IFERROR(__xludf.DUMMYFUNCTION("""COMPUTED_VALUE"""),45428.0)</f>
        <v>45428</v>
      </c>
      <c r="L3215" s="6" t="str">
        <f>IFERROR(__xludf.DUMMYFUNCTION("""COMPUTED_VALUE"""),"FIP Engineering")</f>
        <v>FIP Engineering</v>
      </c>
      <c r="M3215" s="6" t="str">
        <f>IFERROR(__xludf.DUMMYFUNCTION("""COMPUTED_VALUE"""),"Mochammad Fadhillah Hakim,")</f>
        <v>Mochammad Fadhillah Hakim,</v>
      </c>
      <c r="N3215" s="6" t="str">
        <f>IFERROR(__xludf.DUMMYFUNCTION("""COMPUTED_VALUE"""),"FIP Engineering")</f>
        <v>FIP Engineering</v>
      </c>
      <c r="O3215" s="6" t="str">
        <f>IFERROR(__xludf.DUMMYFUNCTION("""COMPUTED_VALUE"""),"FIP-DOM-000-11304-OS00001-INA-000000")</f>
        <v>FIP-DOM-000-11304-OS00001-INA-000000</v>
      </c>
      <c r="P3215" s="6" t="str">
        <f>IFERROR(__xludf.DUMMYFUNCTION("""COMPUTED_VALUE"""),"PO Closed")</f>
        <v>PO Closed</v>
      </c>
      <c r="Q3215" s="6" t="str">
        <f>IFERROR(__xludf.DUMMYFUNCTION("""COMPUTED_VALUE"""),"GL2406030")</f>
        <v>GL2406030</v>
      </c>
      <c r="R3215" s="57">
        <f>IFERROR(__xludf.DUMMYFUNCTION("""COMPUTED_VALUE"""),45426.0)</f>
        <v>45426</v>
      </c>
      <c r="S3215" s="57">
        <f>IFERROR(__xludf.DUMMYFUNCTION("""COMPUTED_VALUE"""),45427.0)</f>
        <v>45427</v>
      </c>
      <c r="T3215" s="57">
        <f>IFERROR(__xludf.DUMMYFUNCTION("""COMPUTED_VALUE"""),45478.0)</f>
        <v>45478</v>
      </c>
    </row>
    <row r="3216">
      <c r="A3216" s="6" t="str">
        <f>IFERROR(__xludf.DUMMYFUNCTION("""COMPUTED_VALUE"""),"121701475-1")</f>
        <v>121701475-1</v>
      </c>
      <c r="B3216" s="6" t="str">
        <f>IFERROR(__xludf.DUMMYFUNCTION("""COMPUTED_VALUE"""),"121701475 - APPROVED")</f>
        <v>121701475 - APPROVED</v>
      </c>
      <c r="C3216" s="6">
        <f>IFERROR(__xludf.DUMMYFUNCTION("""COMPUTED_VALUE"""),1.0)</f>
        <v>1</v>
      </c>
      <c r="D3216" s="6" t="str">
        <f>IFERROR(__xludf.DUMMYFUNCTION("""COMPUTED_VALUE"""),"O-14594-00")</f>
        <v>O-14594-00</v>
      </c>
      <c r="E3216" s="6" t="str">
        <f>IFERROR(__xludf.DUMMYFUNCTION("""COMPUTED_VALUE"""),"Kit, membrane ozone 6510 METTLER TOLEDO INDONESIA, PT P/N : -  pc")</f>
        <v>Kit, membrane ozone 6510 METTLER TOLEDO INDONESIA, PT P/N : -  pc</v>
      </c>
      <c r="F3216" s="6">
        <f>IFERROR(__xludf.DUMMYFUNCTION("""COMPUTED_VALUE"""),1.0)</f>
        <v>1</v>
      </c>
      <c r="G3216" s="6" t="str">
        <f>IFERROR(__xludf.DUMMYFUNCTION("""COMPUTED_VALUE"""),"Unit")</f>
        <v>Unit</v>
      </c>
      <c r="H3216" s="6" t="str">
        <f>IFERROR(__xludf.DUMMYFUNCTION("""COMPUTED_VALUE"""),"IDR")</f>
        <v>IDR</v>
      </c>
      <c r="I3216" s="6">
        <f>IFERROR(__xludf.DUMMYFUNCTION("""COMPUTED_VALUE"""),1.401252E7)</f>
        <v>14012520</v>
      </c>
      <c r="J3216" s="6">
        <f>IFERROR(__xludf.DUMMYFUNCTION("""COMPUTED_VALUE"""),1.401252E7)</f>
        <v>14012520</v>
      </c>
      <c r="K3216" s="57">
        <f>IFERROR(__xludf.DUMMYFUNCTION("""COMPUTED_VALUE"""),45428.0)</f>
        <v>45428</v>
      </c>
      <c r="L3216" s="6" t="str">
        <f>IFERROR(__xludf.DUMMYFUNCTION("""COMPUTED_VALUE"""),"FIP Engineering")</f>
        <v>FIP Engineering</v>
      </c>
      <c r="M3216" s="6" t="str">
        <f>IFERROR(__xludf.DUMMYFUNCTION("""COMPUTED_VALUE"""),"Mochammad Fadhillah Hakim,")</f>
        <v>Mochammad Fadhillah Hakim,</v>
      </c>
      <c r="N3216" s="6" t="str">
        <f>IFERROR(__xludf.DUMMYFUNCTION("""COMPUTED_VALUE"""),"FIP Engineering")</f>
        <v>FIP Engineering</v>
      </c>
      <c r="O3216" s="6" t="str">
        <f>IFERROR(__xludf.DUMMYFUNCTION("""COMPUTED_VALUE"""),"FIP-DOM-000-11304-OS00001-INA-000000")</f>
        <v>FIP-DOM-000-11304-OS00001-INA-000000</v>
      </c>
      <c r="P3216" s="6" t="str">
        <f>IFERROR(__xludf.DUMMYFUNCTION("""COMPUTED_VALUE"""),"PO Closed")</f>
        <v>PO Closed</v>
      </c>
      <c r="Q3216" s="6" t="str">
        <f>IFERROR(__xludf.DUMMYFUNCTION("""COMPUTED_VALUE"""),"GL2406006")</f>
        <v>GL2406006</v>
      </c>
      <c r="R3216" s="57">
        <f>IFERROR(__xludf.DUMMYFUNCTION("""COMPUTED_VALUE"""),45426.0)</f>
        <v>45426</v>
      </c>
      <c r="S3216" s="57">
        <f>IFERROR(__xludf.DUMMYFUNCTION("""COMPUTED_VALUE"""),45432.0)</f>
        <v>45432</v>
      </c>
      <c r="T3216" s="57">
        <f>IFERROR(__xludf.DUMMYFUNCTION("""COMPUTED_VALUE"""),45597.0)</f>
        <v>45597</v>
      </c>
    </row>
    <row r="3217">
      <c r="A3217" s="6" t="str">
        <f>IFERROR(__xludf.DUMMYFUNCTION("""COMPUTED_VALUE"""),"121701476-1")</f>
        <v>121701476-1</v>
      </c>
      <c r="B3217" s="6" t="str">
        <f>IFERROR(__xludf.DUMMYFUNCTION("""COMPUTED_VALUE"""),"121701476 - APPROVED")</f>
        <v>121701476 - APPROVED</v>
      </c>
      <c r="C3217" s="6">
        <f>IFERROR(__xludf.DUMMYFUNCTION("""COMPUTED_VALUE"""),1.0)</f>
        <v>1</v>
      </c>
      <c r="D3217" s="6" t="str">
        <f>IFERROR(__xludf.DUMMYFUNCTION("""COMPUTED_VALUE"""),"O-19901-00")</f>
        <v>O-19901-00</v>
      </c>
      <c r="E3217" s="6" t="str">
        <f>IFERROR(__xludf.DUMMYFUNCTION("""COMPUTED_VALUE"""),"Freeze Dryer MBE1207 - New Seat Valve Dia 36x22x7; Custom; ;")</f>
        <v>Freeze Dryer MBE1207 - New Seat Valve Dia 36x22x7; Custom; ;</v>
      </c>
      <c r="F3217" s="6">
        <f>IFERROR(__xludf.DUMMYFUNCTION("""COMPUTED_VALUE"""),2.0)</f>
        <v>2</v>
      </c>
      <c r="G3217" s="6" t="str">
        <f>IFERROR(__xludf.DUMMYFUNCTION("""COMPUTED_VALUE"""),"Set")</f>
        <v>Set</v>
      </c>
      <c r="H3217" s="6" t="str">
        <f>IFERROR(__xludf.DUMMYFUNCTION("""COMPUTED_VALUE"""),"IDR")</f>
        <v>IDR</v>
      </c>
      <c r="I3217" s="6">
        <f>IFERROR(__xludf.DUMMYFUNCTION("""COMPUTED_VALUE"""),1850000.0)</f>
        <v>1850000</v>
      </c>
      <c r="J3217" s="6">
        <f>IFERROR(__xludf.DUMMYFUNCTION("""COMPUTED_VALUE"""),3700000.0)</f>
        <v>3700000</v>
      </c>
      <c r="K3217" s="57">
        <f>IFERROR(__xludf.DUMMYFUNCTION("""COMPUTED_VALUE"""),45428.0)</f>
        <v>45428</v>
      </c>
      <c r="L3217" s="6" t="str">
        <f>IFERROR(__xludf.DUMMYFUNCTION("""COMPUTED_VALUE"""),"FIP Engineering")</f>
        <v>FIP Engineering</v>
      </c>
      <c r="M3217" s="6" t="str">
        <f>IFERROR(__xludf.DUMMYFUNCTION("""COMPUTED_VALUE"""),"Mochammad Fadhillah Hakim,")</f>
        <v>Mochammad Fadhillah Hakim,</v>
      </c>
      <c r="N3217" s="6" t="str">
        <f>IFERROR(__xludf.DUMMYFUNCTION("""COMPUTED_VALUE"""),"FIP Engineering")</f>
        <v>FIP Engineering</v>
      </c>
      <c r="O3217" s="6" t="str">
        <f>IFERROR(__xludf.DUMMYFUNCTION("""COMPUTED_VALUE"""),"FIP-DOM-000-11304-OS00001-INA-000000")</f>
        <v>FIP-DOM-000-11304-OS00001-INA-000000</v>
      </c>
      <c r="P3217" s="6" t="str">
        <f>IFERROR(__xludf.DUMMYFUNCTION("""COMPUTED_VALUE"""),"PO Closed")</f>
        <v>PO Closed</v>
      </c>
      <c r="Q3217" s="6" t="str">
        <f>IFERROR(__xludf.DUMMYFUNCTION("""COMPUTED_VALUE"""),"GL2406010")</f>
        <v>GL2406010</v>
      </c>
      <c r="R3217" s="57">
        <f>IFERROR(__xludf.DUMMYFUNCTION("""COMPUTED_VALUE"""),45426.0)</f>
        <v>45426</v>
      </c>
      <c r="S3217" s="57">
        <f>IFERROR(__xludf.DUMMYFUNCTION("""COMPUTED_VALUE"""),45428.0)</f>
        <v>45428</v>
      </c>
      <c r="T3217" s="57">
        <f>IFERROR(__xludf.DUMMYFUNCTION("""COMPUTED_VALUE"""),45463.0)</f>
        <v>45463</v>
      </c>
    </row>
    <row r="3218">
      <c r="A3218" s="6" t="str">
        <f>IFERROR(__xludf.DUMMYFUNCTION("""COMPUTED_VALUE"""),"121701476-2")</f>
        <v>121701476-2</v>
      </c>
      <c r="B3218" s="6" t="str">
        <f>IFERROR(__xludf.DUMMYFUNCTION("""COMPUTED_VALUE"""),"121701476 - APPROVED")</f>
        <v>121701476 - APPROVED</v>
      </c>
      <c r="C3218" s="6">
        <f>IFERROR(__xludf.DUMMYFUNCTION("""COMPUTED_VALUE"""),2.0)</f>
        <v>2</v>
      </c>
      <c r="D3218" s="6" t="str">
        <f>IFERROR(__xludf.DUMMYFUNCTION("""COMPUTED_VALUE"""),"O-19810-00")</f>
        <v>O-19810-00</v>
      </c>
      <c r="E3218" s="6" t="str">
        <f>IFERROR(__xludf.DUMMYFUNCTION("""COMPUTED_VALUE"""),"Freeze Dryer MBE1207 - Gasket Teflon Uk. 45x41x1.5; Custom; ;")</f>
        <v>Freeze Dryer MBE1207 - Gasket Teflon Uk. 45x41x1.5; Custom; ;</v>
      </c>
      <c r="F3218" s="6">
        <f>IFERROR(__xludf.DUMMYFUNCTION("""COMPUTED_VALUE"""),1.0)</f>
        <v>1</v>
      </c>
      <c r="G3218" s="6" t="str">
        <f>IFERROR(__xludf.DUMMYFUNCTION("""COMPUTED_VALUE"""),"Set")</f>
        <v>Set</v>
      </c>
      <c r="H3218" s="6" t="str">
        <f>IFERROR(__xludf.DUMMYFUNCTION("""COMPUTED_VALUE"""),"IDR")</f>
        <v>IDR</v>
      </c>
      <c r="I3218" s="6">
        <f>IFERROR(__xludf.DUMMYFUNCTION("""COMPUTED_VALUE"""),650000.0)</f>
        <v>650000</v>
      </c>
      <c r="J3218" s="6">
        <f>IFERROR(__xludf.DUMMYFUNCTION("""COMPUTED_VALUE"""),650000.0)</f>
        <v>650000</v>
      </c>
      <c r="K3218" s="57">
        <f>IFERROR(__xludf.DUMMYFUNCTION("""COMPUTED_VALUE"""),45428.0)</f>
        <v>45428</v>
      </c>
      <c r="L3218" s="6" t="str">
        <f>IFERROR(__xludf.DUMMYFUNCTION("""COMPUTED_VALUE"""),"FIP Engineering")</f>
        <v>FIP Engineering</v>
      </c>
      <c r="M3218" s="6" t="str">
        <f>IFERROR(__xludf.DUMMYFUNCTION("""COMPUTED_VALUE"""),"Mochammad Fadhillah Hakim,")</f>
        <v>Mochammad Fadhillah Hakim,</v>
      </c>
      <c r="N3218" s="6" t="str">
        <f>IFERROR(__xludf.DUMMYFUNCTION("""COMPUTED_VALUE"""),"FIP Engineering")</f>
        <v>FIP Engineering</v>
      </c>
      <c r="O3218" s="6" t="str">
        <f>IFERROR(__xludf.DUMMYFUNCTION("""COMPUTED_VALUE"""),"FIP-DOM-000-11304-OS00001-INA-000000")</f>
        <v>FIP-DOM-000-11304-OS00001-INA-000000</v>
      </c>
      <c r="P3218" s="6" t="str">
        <f>IFERROR(__xludf.DUMMYFUNCTION("""COMPUTED_VALUE"""),"PO Closed")</f>
        <v>PO Closed</v>
      </c>
      <c r="Q3218" s="6" t="str">
        <f>IFERROR(__xludf.DUMMYFUNCTION("""COMPUTED_VALUE"""),"GL2406010")</f>
        <v>GL2406010</v>
      </c>
      <c r="R3218" s="57">
        <f>IFERROR(__xludf.DUMMYFUNCTION("""COMPUTED_VALUE"""),45426.0)</f>
        <v>45426</v>
      </c>
      <c r="S3218" s="57">
        <f>IFERROR(__xludf.DUMMYFUNCTION("""COMPUTED_VALUE"""),45428.0)</f>
        <v>45428</v>
      </c>
      <c r="T3218" s="57">
        <f>IFERROR(__xludf.DUMMYFUNCTION("""COMPUTED_VALUE"""),45463.0)</f>
        <v>45463</v>
      </c>
    </row>
    <row r="3219">
      <c r="A3219" s="6" t="str">
        <f>IFERROR(__xludf.DUMMYFUNCTION("""COMPUTED_VALUE"""),"121701477-1")</f>
        <v>121701477-1</v>
      </c>
      <c r="B3219" s="6" t="str">
        <f>IFERROR(__xludf.DUMMYFUNCTION("""COMPUTED_VALUE"""),"121701477 - APPROVED")</f>
        <v>121701477 - APPROVED</v>
      </c>
      <c r="C3219" s="6">
        <f>IFERROR(__xludf.DUMMYFUNCTION("""COMPUTED_VALUE"""),1.0)</f>
        <v>1</v>
      </c>
      <c r="D3219" s="6" t="str">
        <f>IFERROR(__xludf.DUMMYFUNCTION("""COMPUTED_VALUE"""),"P-18788-00")</f>
        <v>P-18788-00</v>
      </c>
      <c r="E3219" s="6" t="str">
        <f>IFERROR(__xludf.DUMMYFUNCTION("""COMPUTED_VALUE"""),"Baut SS Hexagon SS M6x55mm + Mur; ; ;")</f>
        <v>Baut SS Hexagon SS M6x55mm + Mur; ; ;</v>
      </c>
      <c r="F3219" s="6">
        <f>IFERROR(__xludf.DUMMYFUNCTION("""COMPUTED_VALUE"""),50.0)</f>
        <v>50</v>
      </c>
      <c r="G3219" s="6" t="str">
        <f>IFERROR(__xludf.DUMMYFUNCTION("""COMPUTED_VALUE"""),"Pieces")</f>
        <v>Pieces</v>
      </c>
      <c r="H3219" s="6" t="str">
        <f>IFERROR(__xludf.DUMMYFUNCTION("""COMPUTED_VALUE"""),"IDR")</f>
        <v>IDR</v>
      </c>
      <c r="I3219" s="6">
        <f>IFERROR(__xludf.DUMMYFUNCTION("""COMPUTED_VALUE"""),3400.0)</f>
        <v>3400</v>
      </c>
      <c r="J3219" s="6">
        <f>IFERROR(__xludf.DUMMYFUNCTION("""COMPUTED_VALUE"""),170000.0)</f>
        <v>170000</v>
      </c>
      <c r="K3219" s="57">
        <f>IFERROR(__xludf.DUMMYFUNCTION("""COMPUTED_VALUE"""),45428.0)</f>
        <v>45428</v>
      </c>
      <c r="L3219" s="6" t="str">
        <f>IFERROR(__xludf.DUMMYFUNCTION("""COMPUTED_VALUE"""),"FIP Engineering")</f>
        <v>FIP Engineering</v>
      </c>
      <c r="M3219" s="6" t="str">
        <f>IFERROR(__xludf.DUMMYFUNCTION("""COMPUTED_VALUE"""),"Mochammad Fadhillah Hakim,")</f>
        <v>Mochammad Fadhillah Hakim,</v>
      </c>
      <c r="N3219" s="6" t="str">
        <f>IFERROR(__xludf.DUMMYFUNCTION("""COMPUTED_VALUE"""),"FIP Engineering")</f>
        <v>FIP Engineering</v>
      </c>
      <c r="O3219" s="6" t="str">
        <f>IFERROR(__xludf.DUMMYFUNCTION("""COMPUTED_VALUE"""),"FIP-DOM-000-11304-OS00001-INA-000000")</f>
        <v>FIP-DOM-000-11304-OS00001-INA-000000</v>
      </c>
      <c r="P3219" s="6" t="str">
        <f>IFERROR(__xludf.DUMMYFUNCTION("""COMPUTED_VALUE"""),"PO Closed")</f>
        <v>PO Closed</v>
      </c>
      <c r="Q3219" s="6" t="str">
        <f>IFERROR(__xludf.DUMMYFUNCTION("""COMPUTED_VALUE"""),"GL2406005")</f>
        <v>GL2406005</v>
      </c>
      <c r="R3219" s="57">
        <f>IFERROR(__xludf.DUMMYFUNCTION("""COMPUTED_VALUE"""),45426.0)</f>
        <v>45426</v>
      </c>
      <c r="S3219" s="57">
        <f>IFERROR(__xludf.DUMMYFUNCTION("""COMPUTED_VALUE"""),45427.0)</f>
        <v>45427</v>
      </c>
      <c r="T3219" s="57">
        <f>IFERROR(__xludf.DUMMYFUNCTION("""COMPUTED_VALUE"""),45463.0)</f>
        <v>45463</v>
      </c>
    </row>
    <row r="3220">
      <c r="A3220" s="6" t="str">
        <f>IFERROR(__xludf.DUMMYFUNCTION("""COMPUTED_VALUE"""),"121701478-1")</f>
        <v>121701478-1</v>
      </c>
      <c r="B3220" s="6" t="str">
        <f>IFERROR(__xludf.DUMMYFUNCTION("""COMPUTED_VALUE"""),"121701478 - APPROVED")</f>
        <v>121701478 - APPROVED</v>
      </c>
      <c r="C3220" s="6">
        <f>IFERROR(__xludf.DUMMYFUNCTION("""COMPUTED_VALUE"""),1.0)</f>
        <v>1</v>
      </c>
      <c r="D3220" s="6" t="str">
        <f>IFERROR(__xludf.DUMMYFUNCTION("""COMPUTED_VALUE"""),"P-51756-00")</f>
        <v>P-51756-00</v>
      </c>
      <c r="E3220" s="6" t="str">
        <f>IFERROR(__xludf.DUMMYFUNCTION("""COMPUTED_VALUE"""),"Kabel NYYHY 3x0.75mm; ; ; meter")</f>
        <v>Kabel NYYHY 3x0.75mm; ; ; meter</v>
      </c>
      <c r="F3220" s="6">
        <f>IFERROR(__xludf.DUMMYFUNCTION("""COMPUTED_VALUE"""),60.0)</f>
        <v>60</v>
      </c>
      <c r="G3220" s="6" t="str">
        <f>IFERROR(__xludf.DUMMYFUNCTION("""COMPUTED_VALUE"""),"Meter")</f>
        <v>Meter</v>
      </c>
      <c r="H3220" s="6" t="str">
        <f>IFERROR(__xludf.DUMMYFUNCTION("""COMPUTED_VALUE"""),"IDR")</f>
        <v>IDR</v>
      </c>
      <c r="I3220" s="6">
        <f>IFERROR(__xludf.DUMMYFUNCTION("""COMPUTED_VALUE"""),11370.0)</f>
        <v>11370</v>
      </c>
      <c r="J3220" s="6">
        <f>IFERROR(__xludf.DUMMYFUNCTION("""COMPUTED_VALUE"""),682200.0)</f>
        <v>682200</v>
      </c>
      <c r="K3220" s="57">
        <f>IFERROR(__xludf.DUMMYFUNCTION("""COMPUTED_VALUE"""),45443.0)</f>
        <v>45443</v>
      </c>
      <c r="L3220" s="6" t="str">
        <f>IFERROR(__xludf.DUMMYFUNCTION("""COMPUTED_VALUE"""),"FIP Engineering")</f>
        <v>FIP Engineering</v>
      </c>
      <c r="M3220" s="6" t="str">
        <f>IFERROR(__xludf.DUMMYFUNCTION("""COMPUTED_VALUE"""),"Mochammad Fadhillah Hakim,")</f>
        <v>Mochammad Fadhillah Hakim,</v>
      </c>
      <c r="N3220" s="6" t="str">
        <f>IFERROR(__xludf.DUMMYFUNCTION("""COMPUTED_VALUE"""),"FIP Engineering")</f>
        <v>FIP Engineering</v>
      </c>
      <c r="O3220" s="6" t="str">
        <f>IFERROR(__xludf.DUMMYFUNCTION("""COMPUTED_VALUE"""),"FIP-DOM-000-11304-OS00001-INA-000000")</f>
        <v>FIP-DOM-000-11304-OS00001-INA-000000</v>
      </c>
      <c r="P3220" s="6" t="str">
        <f>IFERROR(__xludf.DUMMYFUNCTION("""COMPUTED_VALUE"""),"PO Closed")</f>
        <v>PO Closed</v>
      </c>
      <c r="Q3220" s="6" t="str">
        <f>IFERROR(__xludf.DUMMYFUNCTION("""COMPUTED_VALUE"""),"GL2406048")</f>
        <v>GL2406048</v>
      </c>
      <c r="R3220" s="57">
        <f>IFERROR(__xludf.DUMMYFUNCTION("""COMPUTED_VALUE"""),45426.0)</f>
        <v>45426</v>
      </c>
      <c r="S3220" s="57">
        <f>IFERROR(__xludf.DUMMYFUNCTION("""COMPUTED_VALUE"""),45442.0)</f>
        <v>45442</v>
      </c>
      <c r="T3220" s="57">
        <f>IFERROR(__xludf.DUMMYFUNCTION("""COMPUTED_VALUE"""),45506.0)</f>
        <v>45506</v>
      </c>
    </row>
    <row r="3221">
      <c r="A3221" s="6" t="str">
        <f>IFERROR(__xludf.DUMMYFUNCTION("""COMPUTED_VALUE"""),"121701478-2")</f>
        <v>121701478-2</v>
      </c>
      <c r="B3221" s="6" t="str">
        <f>IFERROR(__xludf.DUMMYFUNCTION("""COMPUTED_VALUE"""),"121701478 - APPROVED")</f>
        <v>121701478 - APPROVED</v>
      </c>
      <c r="C3221" s="6">
        <f>IFERROR(__xludf.DUMMYFUNCTION("""COMPUTED_VALUE"""),2.0)</f>
        <v>2</v>
      </c>
      <c r="D3221" s="6" t="str">
        <f>IFERROR(__xludf.DUMMYFUNCTION("""COMPUTED_VALUE"""),"P-15852-00")</f>
        <v>P-15852-00</v>
      </c>
      <c r="E3221" s="6" t="str">
        <f>IFERROR(__xludf.DUMMYFUNCTION("""COMPUTED_VALUE"""),"AMPLAS  EAGLE 500")</f>
        <v>AMPLAS  EAGLE 500</v>
      </c>
      <c r="F3221" s="6">
        <f>IFERROR(__xludf.DUMMYFUNCTION("""COMPUTED_VALUE"""),15.0)</f>
        <v>15</v>
      </c>
      <c r="G3221" s="6" t="str">
        <f>IFERROR(__xludf.DUMMYFUNCTION("""COMPUTED_VALUE"""),"Pieces")</f>
        <v>Pieces</v>
      </c>
      <c r="H3221" s="6" t="str">
        <f>IFERROR(__xludf.DUMMYFUNCTION("""COMPUTED_VALUE"""),"IDR")</f>
        <v>IDR</v>
      </c>
      <c r="I3221" s="6">
        <f>IFERROR(__xludf.DUMMYFUNCTION("""COMPUTED_VALUE"""),5800.0)</f>
        <v>5800</v>
      </c>
      <c r="J3221" s="6">
        <f>IFERROR(__xludf.DUMMYFUNCTION("""COMPUTED_VALUE"""),87000.0)</f>
        <v>87000</v>
      </c>
      <c r="K3221" s="57">
        <f>IFERROR(__xludf.DUMMYFUNCTION("""COMPUTED_VALUE"""),45443.0)</f>
        <v>45443</v>
      </c>
      <c r="L3221" s="6" t="str">
        <f>IFERROR(__xludf.DUMMYFUNCTION("""COMPUTED_VALUE"""),"FIP Engineering")</f>
        <v>FIP Engineering</v>
      </c>
      <c r="M3221" s="6" t="str">
        <f>IFERROR(__xludf.DUMMYFUNCTION("""COMPUTED_VALUE"""),"Mochammad Fadhillah Hakim,")</f>
        <v>Mochammad Fadhillah Hakim,</v>
      </c>
      <c r="N3221" s="6" t="str">
        <f>IFERROR(__xludf.DUMMYFUNCTION("""COMPUTED_VALUE"""),"FIP Engineering")</f>
        <v>FIP Engineering</v>
      </c>
      <c r="O3221" s="6" t="str">
        <f>IFERROR(__xludf.DUMMYFUNCTION("""COMPUTED_VALUE"""),"FIP-DOM-000-11304-OS00001-INA-000000")</f>
        <v>FIP-DOM-000-11304-OS00001-INA-000000</v>
      </c>
      <c r="P3221" s="6" t="str">
        <f>IFERROR(__xludf.DUMMYFUNCTION("""COMPUTED_VALUE"""),"PO Closed")</f>
        <v>PO Closed</v>
      </c>
      <c r="Q3221" s="6" t="str">
        <f>IFERROR(__xludf.DUMMYFUNCTION("""COMPUTED_VALUE"""),"GL2406048")</f>
        <v>GL2406048</v>
      </c>
      <c r="R3221" s="57">
        <f>IFERROR(__xludf.DUMMYFUNCTION("""COMPUTED_VALUE"""),45426.0)</f>
        <v>45426</v>
      </c>
      <c r="S3221" s="57">
        <f>IFERROR(__xludf.DUMMYFUNCTION("""COMPUTED_VALUE"""),45442.0)</f>
        <v>45442</v>
      </c>
      <c r="T3221" s="57">
        <f>IFERROR(__xludf.DUMMYFUNCTION("""COMPUTED_VALUE"""),45506.0)</f>
        <v>45506</v>
      </c>
    </row>
    <row r="3222">
      <c r="A3222" s="6" t="str">
        <f>IFERROR(__xludf.DUMMYFUNCTION("""COMPUTED_VALUE"""),"121701478-3")</f>
        <v>121701478-3</v>
      </c>
      <c r="B3222" s="6" t="str">
        <f>IFERROR(__xludf.DUMMYFUNCTION("""COMPUTED_VALUE"""),"121701478 - APPROVED")</f>
        <v>121701478 - APPROVED</v>
      </c>
      <c r="C3222" s="6">
        <f>IFERROR(__xludf.DUMMYFUNCTION("""COMPUTED_VALUE"""),3.0)</f>
        <v>3</v>
      </c>
      <c r="D3222" s="6" t="str">
        <f>IFERROR(__xludf.DUMMYFUNCTION("""COMPUTED_VALUE"""),"P-12753-00")</f>
        <v>P-12753-00</v>
      </c>
      <c r="E3222" s="6" t="str">
        <f>IFERROR(__xludf.DUMMYFUNCTION("""COMPUTED_VALUE"""),"SANDFLEX - Mata Gergaji Besi 24TPI 12inch/300mm 10D")</f>
        <v>SANDFLEX - Mata Gergaji Besi 24TPI 12inch/300mm 10D</v>
      </c>
      <c r="F3222" s="6">
        <f>IFERROR(__xludf.DUMMYFUNCTION("""COMPUTED_VALUE"""),8.0)</f>
        <v>8</v>
      </c>
      <c r="G3222" s="6" t="str">
        <f>IFERROR(__xludf.DUMMYFUNCTION("""COMPUTED_VALUE"""),"Pieces")</f>
        <v>Pieces</v>
      </c>
      <c r="H3222" s="6" t="str">
        <f>IFERROR(__xludf.DUMMYFUNCTION("""COMPUTED_VALUE"""),"IDR")</f>
        <v>IDR</v>
      </c>
      <c r="I3222" s="6">
        <f>IFERROR(__xludf.DUMMYFUNCTION("""COMPUTED_VALUE"""),17500.0)</f>
        <v>17500</v>
      </c>
      <c r="J3222" s="6">
        <f>IFERROR(__xludf.DUMMYFUNCTION("""COMPUTED_VALUE"""),140000.0)</f>
        <v>140000</v>
      </c>
      <c r="K3222" s="57">
        <f>IFERROR(__xludf.DUMMYFUNCTION("""COMPUTED_VALUE"""),45443.0)</f>
        <v>45443</v>
      </c>
      <c r="L3222" s="6" t="str">
        <f>IFERROR(__xludf.DUMMYFUNCTION("""COMPUTED_VALUE"""),"FIP Engineering")</f>
        <v>FIP Engineering</v>
      </c>
      <c r="M3222" s="6" t="str">
        <f>IFERROR(__xludf.DUMMYFUNCTION("""COMPUTED_VALUE"""),"Mochammad Fadhillah Hakim,")</f>
        <v>Mochammad Fadhillah Hakim,</v>
      </c>
      <c r="N3222" s="6" t="str">
        <f>IFERROR(__xludf.DUMMYFUNCTION("""COMPUTED_VALUE"""),"FIP Engineering")</f>
        <v>FIP Engineering</v>
      </c>
      <c r="O3222" s="6" t="str">
        <f>IFERROR(__xludf.DUMMYFUNCTION("""COMPUTED_VALUE"""),"FIP-DOM-000-11304-OS00001-INA-000000")</f>
        <v>FIP-DOM-000-11304-OS00001-INA-000000</v>
      </c>
      <c r="P3222" s="6" t="str">
        <f>IFERROR(__xludf.DUMMYFUNCTION("""COMPUTED_VALUE"""),"PO Closed")</f>
        <v>PO Closed</v>
      </c>
      <c r="Q3222" s="6" t="str">
        <f>IFERROR(__xludf.DUMMYFUNCTION("""COMPUTED_VALUE"""),"GL2406048")</f>
        <v>GL2406048</v>
      </c>
      <c r="R3222" s="57">
        <f>IFERROR(__xludf.DUMMYFUNCTION("""COMPUTED_VALUE"""),45426.0)</f>
        <v>45426</v>
      </c>
      <c r="S3222" s="57">
        <f>IFERROR(__xludf.DUMMYFUNCTION("""COMPUTED_VALUE"""),45442.0)</f>
        <v>45442</v>
      </c>
      <c r="T3222" s="57">
        <f>IFERROR(__xludf.DUMMYFUNCTION("""COMPUTED_VALUE"""),45506.0)</f>
        <v>45506</v>
      </c>
    </row>
    <row r="3223">
      <c r="A3223" s="6" t="str">
        <f>IFERROR(__xludf.DUMMYFUNCTION("""COMPUTED_VALUE"""),"121701478-4")</f>
        <v>121701478-4</v>
      </c>
      <c r="B3223" s="6" t="str">
        <f>IFERROR(__xludf.DUMMYFUNCTION("""COMPUTED_VALUE"""),"121701478 - APPROVED")</f>
        <v>121701478 - APPROVED</v>
      </c>
      <c r="C3223" s="6">
        <f>IFERROR(__xludf.DUMMYFUNCTION("""COMPUTED_VALUE"""),4.0)</f>
        <v>4</v>
      </c>
      <c r="D3223" s="6" t="str">
        <f>IFERROR(__xludf.DUMMYFUNCTION("""COMPUTED_VALUE"""),"P-50091-00")</f>
        <v>P-50091-00</v>
      </c>
      <c r="E3223" s="6" t="str">
        <f>IFERROR(__xludf.DUMMYFUNCTION("""COMPUTED_VALUE"""),"Contactor Telemecanique  LC1 D25 M7 220V 25A")</f>
        <v>Contactor Telemecanique  LC1 D25 M7 220V 25A</v>
      </c>
      <c r="F3223" s="6">
        <f>IFERROR(__xludf.DUMMYFUNCTION("""COMPUTED_VALUE"""),4.0)</f>
        <v>4</v>
      </c>
      <c r="G3223" s="6" t="str">
        <f>IFERROR(__xludf.DUMMYFUNCTION("""COMPUTED_VALUE"""),"Pieces")</f>
        <v>Pieces</v>
      </c>
      <c r="H3223" s="6" t="str">
        <f>IFERROR(__xludf.DUMMYFUNCTION("""COMPUTED_VALUE"""),"IDR")</f>
        <v>IDR</v>
      </c>
      <c r="I3223" s="6">
        <f>IFERROR(__xludf.DUMMYFUNCTION("""COMPUTED_VALUE"""),270000.0)</f>
        <v>270000</v>
      </c>
      <c r="J3223" s="6">
        <f>IFERROR(__xludf.DUMMYFUNCTION("""COMPUTED_VALUE"""),1080000.0)</f>
        <v>1080000</v>
      </c>
      <c r="K3223" s="57">
        <f>IFERROR(__xludf.DUMMYFUNCTION("""COMPUTED_VALUE"""),45443.0)</f>
        <v>45443</v>
      </c>
      <c r="L3223" s="6" t="str">
        <f>IFERROR(__xludf.DUMMYFUNCTION("""COMPUTED_VALUE"""),"FIP Engineering")</f>
        <v>FIP Engineering</v>
      </c>
      <c r="M3223" s="6" t="str">
        <f>IFERROR(__xludf.DUMMYFUNCTION("""COMPUTED_VALUE"""),"Mochammad Fadhillah Hakim,")</f>
        <v>Mochammad Fadhillah Hakim,</v>
      </c>
      <c r="N3223" s="6" t="str">
        <f>IFERROR(__xludf.DUMMYFUNCTION("""COMPUTED_VALUE"""),"FIP Engineering")</f>
        <v>FIP Engineering</v>
      </c>
      <c r="O3223" s="6" t="str">
        <f>IFERROR(__xludf.DUMMYFUNCTION("""COMPUTED_VALUE"""),"FIP-DOM-000-11304-OS00001-INA-000000")</f>
        <v>FIP-DOM-000-11304-OS00001-INA-000000</v>
      </c>
      <c r="P3223" s="6" t="str">
        <f>IFERROR(__xludf.DUMMYFUNCTION("""COMPUTED_VALUE"""),"PO Closed")</f>
        <v>PO Closed</v>
      </c>
      <c r="Q3223" s="6" t="str">
        <f>IFERROR(__xludf.DUMMYFUNCTION("""COMPUTED_VALUE"""),"GL2406048")</f>
        <v>GL2406048</v>
      </c>
      <c r="R3223" s="57">
        <f>IFERROR(__xludf.DUMMYFUNCTION("""COMPUTED_VALUE"""),45426.0)</f>
        <v>45426</v>
      </c>
      <c r="S3223" s="57">
        <f>IFERROR(__xludf.DUMMYFUNCTION("""COMPUTED_VALUE"""),45442.0)</f>
        <v>45442</v>
      </c>
      <c r="T3223" s="57">
        <f>IFERROR(__xludf.DUMMYFUNCTION("""COMPUTED_VALUE"""),45506.0)</f>
        <v>45506</v>
      </c>
    </row>
    <row r="3224">
      <c r="A3224" s="6" t="str">
        <f>IFERROR(__xludf.DUMMYFUNCTION("""COMPUTED_VALUE"""),"121701478-5")</f>
        <v>121701478-5</v>
      </c>
      <c r="B3224" s="6" t="str">
        <f>IFERROR(__xludf.DUMMYFUNCTION("""COMPUTED_VALUE"""),"121701478 - APPROVED")</f>
        <v>121701478 - APPROVED</v>
      </c>
      <c r="C3224" s="6">
        <f>IFERROR(__xludf.DUMMYFUNCTION("""COMPUTED_VALUE"""),5.0)</f>
        <v>5</v>
      </c>
      <c r="D3224" s="6" t="str">
        <f>IFERROR(__xludf.DUMMYFUNCTION("""COMPUTED_VALUE"""),"O-19866-00")</f>
        <v>O-19866-00</v>
      </c>
      <c r="E3224" s="6" t="str">
        <f>IFERROR(__xludf.DUMMYFUNCTION("""COMPUTED_VALUE"""),"Grill Fan (cover kipas) 12x12 cm")</f>
        <v>Grill Fan (cover kipas) 12x12 cm</v>
      </c>
      <c r="F3224" s="6">
        <f>IFERROR(__xludf.DUMMYFUNCTION("""COMPUTED_VALUE"""),8.0)</f>
        <v>8</v>
      </c>
      <c r="G3224" s="6" t="str">
        <f>IFERROR(__xludf.DUMMYFUNCTION("""COMPUTED_VALUE"""),"Pieces")</f>
        <v>Pieces</v>
      </c>
      <c r="H3224" s="6" t="str">
        <f>IFERROR(__xludf.DUMMYFUNCTION("""COMPUTED_VALUE"""),"IDR")</f>
        <v>IDR</v>
      </c>
      <c r="I3224" s="6">
        <f>IFERROR(__xludf.DUMMYFUNCTION("""COMPUTED_VALUE"""),15000.0)</f>
        <v>15000</v>
      </c>
      <c r="J3224" s="6">
        <f>IFERROR(__xludf.DUMMYFUNCTION("""COMPUTED_VALUE"""),120000.0)</f>
        <v>120000</v>
      </c>
      <c r="K3224" s="57">
        <f>IFERROR(__xludf.DUMMYFUNCTION("""COMPUTED_VALUE"""),45443.0)</f>
        <v>45443</v>
      </c>
      <c r="L3224" s="6" t="str">
        <f>IFERROR(__xludf.DUMMYFUNCTION("""COMPUTED_VALUE"""),"FIP Engineering")</f>
        <v>FIP Engineering</v>
      </c>
      <c r="M3224" s="6" t="str">
        <f>IFERROR(__xludf.DUMMYFUNCTION("""COMPUTED_VALUE"""),"Mochammad Fadhillah Hakim,")</f>
        <v>Mochammad Fadhillah Hakim,</v>
      </c>
      <c r="N3224" s="6" t="str">
        <f>IFERROR(__xludf.DUMMYFUNCTION("""COMPUTED_VALUE"""),"FIP Engineering")</f>
        <v>FIP Engineering</v>
      </c>
      <c r="O3224" s="6" t="str">
        <f>IFERROR(__xludf.DUMMYFUNCTION("""COMPUTED_VALUE"""),"FIP-DOM-000-11304-OS00001-INA-000000")</f>
        <v>FIP-DOM-000-11304-OS00001-INA-000000</v>
      </c>
      <c r="P3224" s="6" t="str">
        <f>IFERROR(__xludf.DUMMYFUNCTION("""COMPUTED_VALUE"""),"PO Closed")</f>
        <v>PO Closed</v>
      </c>
      <c r="Q3224" s="6" t="str">
        <f>IFERROR(__xludf.DUMMYFUNCTION("""COMPUTED_VALUE"""),"GL2406048")</f>
        <v>GL2406048</v>
      </c>
      <c r="R3224" s="57">
        <f>IFERROR(__xludf.DUMMYFUNCTION("""COMPUTED_VALUE"""),45426.0)</f>
        <v>45426</v>
      </c>
      <c r="S3224" s="57">
        <f>IFERROR(__xludf.DUMMYFUNCTION("""COMPUTED_VALUE"""),45442.0)</f>
        <v>45442</v>
      </c>
      <c r="T3224" s="57">
        <f>IFERROR(__xludf.DUMMYFUNCTION("""COMPUTED_VALUE"""),45506.0)</f>
        <v>45506</v>
      </c>
    </row>
    <row r="3225">
      <c r="A3225" s="6" t="str">
        <f>IFERROR(__xludf.DUMMYFUNCTION("""COMPUTED_VALUE"""),"121701478-6")</f>
        <v>121701478-6</v>
      </c>
      <c r="B3225" s="6" t="str">
        <f>IFERROR(__xludf.DUMMYFUNCTION("""COMPUTED_VALUE"""),"121701478 - APPROVED")</f>
        <v>121701478 - APPROVED</v>
      </c>
      <c r="C3225" s="6">
        <f>IFERROR(__xludf.DUMMYFUNCTION("""COMPUTED_VALUE"""),6.0)</f>
        <v>6</v>
      </c>
      <c r="D3225" s="6" t="str">
        <f>IFERROR(__xludf.DUMMYFUNCTION("""COMPUTED_VALUE"""),"O-53041-00")</f>
        <v>O-53041-00</v>
      </c>
      <c r="E3225" s="6" t="str">
        <f>IFERROR(__xludf.DUMMYFUNCTION("""COMPUTED_VALUE"""),"Bola Lampu 24-30v 5-10W 16x28mm")</f>
        <v>Bola Lampu 24-30v 5-10W 16x28mm</v>
      </c>
      <c r="F3225" s="6">
        <f>IFERROR(__xludf.DUMMYFUNCTION("""COMPUTED_VALUE"""),10.0)</f>
        <v>10</v>
      </c>
      <c r="G3225" s="6" t="str">
        <f>IFERROR(__xludf.DUMMYFUNCTION("""COMPUTED_VALUE"""),"Pieces")</f>
        <v>Pieces</v>
      </c>
      <c r="H3225" s="6" t="str">
        <f>IFERROR(__xludf.DUMMYFUNCTION("""COMPUTED_VALUE"""),"IDR")</f>
        <v>IDR</v>
      </c>
      <c r="I3225" s="6">
        <f>IFERROR(__xludf.DUMMYFUNCTION("""COMPUTED_VALUE"""),35000.0)</f>
        <v>35000</v>
      </c>
      <c r="J3225" s="6">
        <f>IFERROR(__xludf.DUMMYFUNCTION("""COMPUTED_VALUE"""),350000.0)</f>
        <v>350000</v>
      </c>
      <c r="K3225" s="57">
        <f>IFERROR(__xludf.DUMMYFUNCTION("""COMPUTED_VALUE"""),45443.0)</f>
        <v>45443</v>
      </c>
      <c r="L3225" s="6" t="str">
        <f>IFERROR(__xludf.DUMMYFUNCTION("""COMPUTED_VALUE"""),"FIP Engineering")</f>
        <v>FIP Engineering</v>
      </c>
      <c r="M3225" s="6" t="str">
        <f>IFERROR(__xludf.DUMMYFUNCTION("""COMPUTED_VALUE"""),"Mochammad Fadhillah Hakim,")</f>
        <v>Mochammad Fadhillah Hakim,</v>
      </c>
      <c r="N3225" s="6" t="str">
        <f>IFERROR(__xludf.DUMMYFUNCTION("""COMPUTED_VALUE"""),"FIP Engineering")</f>
        <v>FIP Engineering</v>
      </c>
      <c r="O3225" s="6" t="str">
        <f>IFERROR(__xludf.DUMMYFUNCTION("""COMPUTED_VALUE"""),"FIP-DOM-000-11304-OS00001-INA-000000")</f>
        <v>FIP-DOM-000-11304-OS00001-INA-000000</v>
      </c>
      <c r="P3225" s="6" t="str">
        <f>IFERROR(__xludf.DUMMYFUNCTION("""COMPUTED_VALUE"""),"PO Closed")</f>
        <v>PO Closed</v>
      </c>
      <c r="Q3225" s="6" t="str">
        <f>IFERROR(__xludf.DUMMYFUNCTION("""COMPUTED_VALUE"""),"GL2406048")</f>
        <v>GL2406048</v>
      </c>
      <c r="R3225" s="57">
        <f>IFERROR(__xludf.DUMMYFUNCTION("""COMPUTED_VALUE"""),45426.0)</f>
        <v>45426</v>
      </c>
      <c r="S3225" s="57">
        <f>IFERROR(__xludf.DUMMYFUNCTION("""COMPUTED_VALUE"""),45442.0)</f>
        <v>45442</v>
      </c>
      <c r="T3225" s="57">
        <f>IFERROR(__xludf.DUMMYFUNCTION("""COMPUTED_VALUE"""),45506.0)</f>
        <v>45506</v>
      </c>
    </row>
    <row r="3226">
      <c r="A3226" s="6" t="str">
        <f>IFERROR(__xludf.DUMMYFUNCTION("""COMPUTED_VALUE"""),"121701478-7")</f>
        <v>121701478-7</v>
      </c>
      <c r="B3226" s="6" t="str">
        <f>IFERROR(__xludf.DUMMYFUNCTION("""COMPUTED_VALUE"""),"121701478 - APPROVED")</f>
        <v>121701478 - APPROVED</v>
      </c>
      <c r="C3226" s="6">
        <f>IFERROR(__xludf.DUMMYFUNCTION("""COMPUTED_VALUE"""),7.0)</f>
        <v>7</v>
      </c>
      <c r="D3226" s="6" t="str">
        <f>IFERROR(__xludf.DUMMYFUNCTION("""COMPUTED_VALUE"""),"O-53045-00")</f>
        <v>O-53045-00</v>
      </c>
      <c r="E3226" s="6" t="str">
        <f>IFERROR(__xludf.DUMMYFUNCTION("""COMPUTED_VALUE"""),"Saklar Switch On Off DC 12V Lampu MerahLokal")</f>
        <v>Saklar Switch On Off DC 12V Lampu MerahLokal</v>
      </c>
      <c r="F3226" s="6">
        <f>IFERROR(__xludf.DUMMYFUNCTION("""COMPUTED_VALUE"""),10.0)</f>
        <v>10</v>
      </c>
      <c r="G3226" s="6" t="str">
        <f>IFERROR(__xludf.DUMMYFUNCTION("""COMPUTED_VALUE"""),"Pieces")</f>
        <v>Pieces</v>
      </c>
      <c r="H3226" s="6" t="str">
        <f>IFERROR(__xludf.DUMMYFUNCTION("""COMPUTED_VALUE"""),"IDR")</f>
        <v>IDR</v>
      </c>
      <c r="I3226" s="6">
        <f>IFERROR(__xludf.DUMMYFUNCTION("""COMPUTED_VALUE"""),29500.0)</f>
        <v>29500</v>
      </c>
      <c r="J3226" s="6">
        <f>IFERROR(__xludf.DUMMYFUNCTION("""COMPUTED_VALUE"""),295000.0)</f>
        <v>295000</v>
      </c>
      <c r="K3226" s="57">
        <f>IFERROR(__xludf.DUMMYFUNCTION("""COMPUTED_VALUE"""),45443.0)</f>
        <v>45443</v>
      </c>
      <c r="L3226" s="6" t="str">
        <f>IFERROR(__xludf.DUMMYFUNCTION("""COMPUTED_VALUE"""),"FIP Engineering")</f>
        <v>FIP Engineering</v>
      </c>
      <c r="M3226" s="6" t="str">
        <f>IFERROR(__xludf.DUMMYFUNCTION("""COMPUTED_VALUE"""),"Mochammad Fadhillah Hakim,")</f>
        <v>Mochammad Fadhillah Hakim,</v>
      </c>
      <c r="N3226" s="6" t="str">
        <f>IFERROR(__xludf.DUMMYFUNCTION("""COMPUTED_VALUE"""),"FIP Engineering")</f>
        <v>FIP Engineering</v>
      </c>
      <c r="O3226" s="6" t="str">
        <f>IFERROR(__xludf.DUMMYFUNCTION("""COMPUTED_VALUE"""),"FIP-DOM-000-11304-OS00001-INA-000000")</f>
        <v>FIP-DOM-000-11304-OS00001-INA-000000</v>
      </c>
      <c r="P3226" s="6" t="str">
        <f>IFERROR(__xludf.DUMMYFUNCTION("""COMPUTED_VALUE"""),"PO Closed")</f>
        <v>PO Closed</v>
      </c>
      <c r="Q3226" s="6" t="str">
        <f>IFERROR(__xludf.DUMMYFUNCTION("""COMPUTED_VALUE"""),"GL2406048")</f>
        <v>GL2406048</v>
      </c>
      <c r="R3226" s="57">
        <f>IFERROR(__xludf.DUMMYFUNCTION("""COMPUTED_VALUE"""),45426.0)</f>
        <v>45426</v>
      </c>
      <c r="S3226" s="57">
        <f>IFERROR(__xludf.DUMMYFUNCTION("""COMPUTED_VALUE"""),45442.0)</f>
        <v>45442</v>
      </c>
      <c r="T3226" s="57">
        <f>IFERROR(__xludf.DUMMYFUNCTION("""COMPUTED_VALUE"""),45506.0)</f>
        <v>45506</v>
      </c>
    </row>
    <row r="3227">
      <c r="A3227" s="6" t="str">
        <f>IFERROR(__xludf.DUMMYFUNCTION("""COMPUTED_VALUE"""),"121701478-8")</f>
        <v>121701478-8</v>
      </c>
      <c r="B3227" s="6" t="str">
        <f>IFERROR(__xludf.DUMMYFUNCTION("""COMPUTED_VALUE"""),"121701478 - APPROVED")</f>
        <v>121701478 - APPROVED</v>
      </c>
      <c r="C3227" s="6">
        <f>IFERROR(__xludf.DUMMYFUNCTION("""COMPUTED_VALUE"""),8.0)</f>
        <v>8</v>
      </c>
      <c r="D3227" s="6" t="str">
        <f>IFERROR(__xludf.DUMMYFUNCTION("""COMPUTED_VALUE"""),"O-53033-00")</f>
        <v>O-53033-00</v>
      </c>
      <c r="E3227" s="6" t="str">
        <f>IFERROR(__xludf.DUMMYFUNCTION("""COMPUTED_VALUE"""),"Saklar Switch Lampu ZN On Off Kaki 4 Kaki Pin 15-20ALokal")</f>
        <v>Saklar Switch Lampu ZN On Off Kaki 4 Kaki Pin 15-20ALokal</v>
      </c>
      <c r="F3227" s="6">
        <f>IFERROR(__xludf.DUMMYFUNCTION("""COMPUTED_VALUE"""),20.0)</f>
        <v>20</v>
      </c>
      <c r="G3227" s="6" t="str">
        <f>IFERROR(__xludf.DUMMYFUNCTION("""COMPUTED_VALUE"""),"Pieces")</f>
        <v>Pieces</v>
      </c>
      <c r="H3227" s="6" t="str">
        <f>IFERROR(__xludf.DUMMYFUNCTION("""COMPUTED_VALUE"""),"IDR")</f>
        <v>IDR</v>
      </c>
      <c r="I3227" s="6">
        <f>IFERROR(__xludf.DUMMYFUNCTION("""COMPUTED_VALUE"""),20000.0)</f>
        <v>20000</v>
      </c>
      <c r="J3227" s="6">
        <f>IFERROR(__xludf.DUMMYFUNCTION("""COMPUTED_VALUE"""),400000.0)</f>
        <v>400000</v>
      </c>
      <c r="K3227" s="57">
        <f>IFERROR(__xludf.DUMMYFUNCTION("""COMPUTED_VALUE"""),45443.0)</f>
        <v>45443</v>
      </c>
      <c r="L3227" s="6" t="str">
        <f>IFERROR(__xludf.DUMMYFUNCTION("""COMPUTED_VALUE"""),"FIP Engineering")</f>
        <v>FIP Engineering</v>
      </c>
      <c r="M3227" s="6" t="str">
        <f>IFERROR(__xludf.DUMMYFUNCTION("""COMPUTED_VALUE"""),"Mochammad Fadhillah Hakim,")</f>
        <v>Mochammad Fadhillah Hakim,</v>
      </c>
      <c r="N3227" s="6" t="str">
        <f>IFERROR(__xludf.DUMMYFUNCTION("""COMPUTED_VALUE"""),"FIP Engineering")</f>
        <v>FIP Engineering</v>
      </c>
      <c r="O3227" s="6" t="str">
        <f>IFERROR(__xludf.DUMMYFUNCTION("""COMPUTED_VALUE"""),"FIP-DOM-000-11304-OS00001-INA-000000")</f>
        <v>FIP-DOM-000-11304-OS00001-INA-000000</v>
      </c>
      <c r="P3227" s="6" t="str">
        <f>IFERROR(__xludf.DUMMYFUNCTION("""COMPUTED_VALUE"""),"PO Closed")</f>
        <v>PO Closed</v>
      </c>
      <c r="Q3227" s="6" t="str">
        <f>IFERROR(__xludf.DUMMYFUNCTION("""COMPUTED_VALUE"""),"GL2406048")</f>
        <v>GL2406048</v>
      </c>
      <c r="R3227" s="57">
        <f>IFERROR(__xludf.DUMMYFUNCTION("""COMPUTED_VALUE"""),45426.0)</f>
        <v>45426</v>
      </c>
      <c r="S3227" s="57">
        <f>IFERROR(__xludf.DUMMYFUNCTION("""COMPUTED_VALUE"""),45442.0)</f>
        <v>45442</v>
      </c>
      <c r="T3227" s="57">
        <f>IFERROR(__xludf.DUMMYFUNCTION("""COMPUTED_VALUE"""),45506.0)</f>
        <v>45506</v>
      </c>
    </row>
    <row r="3228">
      <c r="A3228" s="6" t="str">
        <f>IFERROR(__xludf.DUMMYFUNCTION("""COMPUTED_VALUE"""),"121701478-9")</f>
        <v>121701478-9</v>
      </c>
      <c r="B3228" s="6" t="str">
        <f>IFERROR(__xludf.DUMMYFUNCTION("""COMPUTED_VALUE"""),"121701478 - APPROVED")</f>
        <v>121701478 - APPROVED</v>
      </c>
      <c r="C3228" s="6">
        <f>IFERROR(__xludf.DUMMYFUNCTION("""COMPUTED_VALUE"""),9.0)</f>
        <v>9</v>
      </c>
      <c r="D3228" s="6" t="str">
        <f>IFERROR(__xludf.DUMMYFUNCTION("""COMPUTED_VALUE"""),"P-19160-00")</f>
        <v>P-19160-00</v>
      </c>
      <c r="E3228" s="6" t="str">
        <f>IFERROR(__xludf.DUMMYFUNCTION("""COMPUTED_VALUE"""),"Cable Duct PVC 65 x 65 x 2900mmLokal")</f>
        <v>Cable Duct PVC 65 x 65 x 2900mmLokal</v>
      </c>
      <c r="F3228" s="6">
        <f>IFERROR(__xludf.DUMMYFUNCTION("""COMPUTED_VALUE"""),2.0)</f>
        <v>2</v>
      </c>
      <c r="G3228" s="6" t="str">
        <f>IFERROR(__xludf.DUMMYFUNCTION("""COMPUTED_VALUE"""),"Pieces")</f>
        <v>Pieces</v>
      </c>
      <c r="H3228" s="6" t="str">
        <f>IFERROR(__xludf.DUMMYFUNCTION("""COMPUTED_VALUE"""),"IDR")</f>
        <v>IDR</v>
      </c>
      <c r="I3228" s="6">
        <f>IFERROR(__xludf.DUMMYFUNCTION("""COMPUTED_VALUE"""),90000.0)</f>
        <v>90000</v>
      </c>
      <c r="J3228" s="6">
        <f>IFERROR(__xludf.DUMMYFUNCTION("""COMPUTED_VALUE"""),180000.0)</f>
        <v>180000</v>
      </c>
      <c r="K3228" s="57">
        <f>IFERROR(__xludf.DUMMYFUNCTION("""COMPUTED_VALUE"""),45443.0)</f>
        <v>45443</v>
      </c>
      <c r="L3228" s="6" t="str">
        <f>IFERROR(__xludf.DUMMYFUNCTION("""COMPUTED_VALUE"""),"FIP Engineering")</f>
        <v>FIP Engineering</v>
      </c>
      <c r="M3228" s="6" t="str">
        <f>IFERROR(__xludf.DUMMYFUNCTION("""COMPUTED_VALUE"""),"Mochammad Fadhillah Hakim,")</f>
        <v>Mochammad Fadhillah Hakim,</v>
      </c>
      <c r="N3228" s="6" t="str">
        <f>IFERROR(__xludf.DUMMYFUNCTION("""COMPUTED_VALUE"""),"FIP Engineering")</f>
        <v>FIP Engineering</v>
      </c>
      <c r="O3228" s="6" t="str">
        <f>IFERROR(__xludf.DUMMYFUNCTION("""COMPUTED_VALUE"""),"FIP-DOM-000-11304-OS00001-INA-000000")</f>
        <v>FIP-DOM-000-11304-OS00001-INA-000000</v>
      </c>
      <c r="P3228" s="6" t="str">
        <f>IFERROR(__xludf.DUMMYFUNCTION("""COMPUTED_VALUE"""),"PO Closed")</f>
        <v>PO Closed</v>
      </c>
      <c r="Q3228" s="6" t="str">
        <f>IFERROR(__xludf.DUMMYFUNCTION("""COMPUTED_VALUE"""),"GL2406048")</f>
        <v>GL2406048</v>
      </c>
      <c r="R3228" s="57">
        <f>IFERROR(__xludf.DUMMYFUNCTION("""COMPUTED_VALUE"""),45426.0)</f>
        <v>45426</v>
      </c>
      <c r="S3228" s="57">
        <f>IFERROR(__xludf.DUMMYFUNCTION("""COMPUTED_VALUE"""),45442.0)</f>
        <v>45442</v>
      </c>
      <c r="T3228" s="57">
        <f>IFERROR(__xludf.DUMMYFUNCTION("""COMPUTED_VALUE"""),45506.0)</f>
        <v>45506</v>
      </c>
    </row>
    <row r="3229">
      <c r="A3229" s="6" t="str">
        <f>IFERROR(__xludf.DUMMYFUNCTION("""COMPUTED_VALUE"""),"121701479-1")</f>
        <v>121701479-1</v>
      </c>
      <c r="B3229" s="6" t="str">
        <f>IFERROR(__xludf.DUMMYFUNCTION("""COMPUTED_VALUE"""),"121701479 - APPROVED")</f>
        <v>121701479 - APPROVED</v>
      </c>
      <c r="C3229" s="6">
        <f>IFERROR(__xludf.DUMMYFUNCTION("""COMPUTED_VALUE"""),1.0)</f>
        <v>1</v>
      </c>
      <c r="D3229" s="6" t="str">
        <f>IFERROR(__xludf.DUMMYFUNCTION("""COMPUTED_VALUE"""),"P-50594-00")</f>
        <v>P-50594-00</v>
      </c>
      <c r="E3229" s="6" t="str">
        <f>IFERROR(__xludf.DUMMYFUNCTION("""COMPUTED_VALUE"""),"Stop Kontak-socket  / 1 Hole / 10-16A / 250V / Clipsal")</f>
        <v>Stop Kontak-socket  / 1 Hole / 10-16A / 250V / Clipsal</v>
      </c>
      <c r="F3229" s="6">
        <f>IFERROR(__xludf.DUMMYFUNCTION("""COMPUTED_VALUE"""),30.0)</f>
        <v>30</v>
      </c>
      <c r="G3229" s="6" t="str">
        <f>IFERROR(__xludf.DUMMYFUNCTION("""COMPUTED_VALUE"""),"Pieces")</f>
        <v>Pieces</v>
      </c>
      <c r="H3229" s="6" t="str">
        <f>IFERROR(__xludf.DUMMYFUNCTION("""COMPUTED_VALUE"""),"IDR")</f>
        <v>IDR</v>
      </c>
      <c r="I3229" s="6">
        <f>IFERROR(__xludf.DUMMYFUNCTION("""COMPUTED_VALUE"""),30000.0)</f>
        <v>30000</v>
      </c>
      <c r="J3229" s="6">
        <f>IFERROR(__xludf.DUMMYFUNCTION("""COMPUTED_VALUE"""),900000.0)</f>
        <v>900000</v>
      </c>
      <c r="K3229" s="57">
        <f>IFERROR(__xludf.DUMMYFUNCTION("""COMPUTED_VALUE"""),45428.0)</f>
        <v>45428</v>
      </c>
      <c r="L3229" s="6" t="str">
        <f>IFERROR(__xludf.DUMMYFUNCTION("""COMPUTED_VALUE"""),"FIP Engineering")</f>
        <v>FIP Engineering</v>
      </c>
      <c r="M3229" s="6" t="str">
        <f>IFERROR(__xludf.DUMMYFUNCTION("""COMPUTED_VALUE"""),"Mochammad Fadhillah Hakim,")</f>
        <v>Mochammad Fadhillah Hakim,</v>
      </c>
      <c r="N3229" s="6" t="str">
        <f>IFERROR(__xludf.DUMMYFUNCTION("""COMPUTED_VALUE"""),"FIP Engineering")</f>
        <v>FIP Engineering</v>
      </c>
      <c r="O3229" s="6" t="str">
        <f>IFERROR(__xludf.DUMMYFUNCTION("""COMPUTED_VALUE"""),"FIP-DOM-000-11304-OS00001-INA-000000")</f>
        <v>FIP-DOM-000-11304-OS00001-INA-000000</v>
      </c>
      <c r="P3229" s="6" t="str">
        <f>IFERROR(__xludf.DUMMYFUNCTION("""COMPUTED_VALUE"""),"PO Closed")</f>
        <v>PO Closed</v>
      </c>
      <c r="Q3229" s="6" t="str">
        <f>IFERROR(__xludf.DUMMYFUNCTION("""COMPUTED_VALUE"""),"GL2405065")</f>
        <v>GL2405065</v>
      </c>
      <c r="R3229" s="57">
        <f>IFERROR(__xludf.DUMMYFUNCTION("""COMPUTED_VALUE"""),45426.0)</f>
        <v>45426</v>
      </c>
      <c r="S3229" s="57">
        <f>IFERROR(__xludf.DUMMYFUNCTION("""COMPUTED_VALUE"""),45427.0)</f>
        <v>45427</v>
      </c>
      <c r="T3229" s="57">
        <f>IFERROR(__xludf.DUMMYFUNCTION("""COMPUTED_VALUE"""),45459.0)</f>
        <v>45459</v>
      </c>
    </row>
    <row r="3230">
      <c r="A3230" s="6" t="str">
        <f>IFERROR(__xludf.DUMMYFUNCTION("""COMPUTED_VALUE"""),"121701479-2")</f>
        <v>121701479-2</v>
      </c>
      <c r="B3230" s="6" t="str">
        <f>IFERROR(__xludf.DUMMYFUNCTION("""COMPUTED_VALUE"""),"121701479 - APPROVED")</f>
        <v>121701479 - APPROVED</v>
      </c>
      <c r="C3230" s="6">
        <f>IFERROR(__xludf.DUMMYFUNCTION("""COMPUTED_VALUE"""),2.0)</f>
        <v>2</v>
      </c>
      <c r="D3230" s="6" t="str">
        <f>IFERROR(__xludf.DUMMYFUNCTION("""COMPUTED_VALUE"""),"P-50506-00")</f>
        <v>P-50506-00</v>
      </c>
      <c r="E3230" s="6" t="str">
        <f>IFERROR(__xludf.DUMMYFUNCTION("""COMPUTED_VALUE"""),"Saklar Tunggal / 250 V / Clipsal")</f>
        <v>Saklar Tunggal / 250 V / Clipsal</v>
      </c>
      <c r="F3230" s="6">
        <f>IFERROR(__xludf.DUMMYFUNCTION("""COMPUTED_VALUE"""),15.0)</f>
        <v>15</v>
      </c>
      <c r="G3230" s="6" t="str">
        <f>IFERROR(__xludf.DUMMYFUNCTION("""COMPUTED_VALUE"""),"Pieces")</f>
        <v>Pieces</v>
      </c>
      <c r="H3230" s="6" t="str">
        <f>IFERROR(__xludf.DUMMYFUNCTION("""COMPUTED_VALUE"""),"IDR")</f>
        <v>IDR</v>
      </c>
      <c r="I3230" s="6">
        <f>IFERROR(__xludf.DUMMYFUNCTION("""COMPUTED_VALUE"""),23000.0)</f>
        <v>23000</v>
      </c>
      <c r="J3230" s="6">
        <f>IFERROR(__xludf.DUMMYFUNCTION("""COMPUTED_VALUE"""),345000.0)</f>
        <v>345000</v>
      </c>
      <c r="K3230" s="57">
        <f>IFERROR(__xludf.DUMMYFUNCTION("""COMPUTED_VALUE"""),45428.0)</f>
        <v>45428</v>
      </c>
      <c r="L3230" s="6" t="str">
        <f>IFERROR(__xludf.DUMMYFUNCTION("""COMPUTED_VALUE"""),"FIP Engineering")</f>
        <v>FIP Engineering</v>
      </c>
      <c r="M3230" s="6" t="str">
        <f>IFERROR(__xludf.DUMMYFUNCTION("""COMPUTED_VALUE"""),"Mochammad Fadhillah Hakim,")</f>
        <v>Mochammad Fadhillah Hakim,</v>
      </c>
      <c r="N3230" s="6" t="str">
        <f>IFERROR(__xludf.DUMMYFUNCTION("""COMPUTED_VALUE"""),"FIP Engineering")</f>
        <v>FIP Engineering</v>
      </c>
      <c r="O3230" s="6" t="str">
        <f>IFERROR(__xludf.DUMMYFUNCTION("""COMPUTED_VALUE"""),"FIP-DOM-000-11304-OS00001-INA-000000")</f>
        <v>FIP-DOM-000-11304-OS00001-INA-000000</v>
      </c>
      <c r="P3230" s="6" t="str">
        <f>IFERROR(__xludf.DUMMYFUNCTION("""COMPUTED_VALUE"""),"PO Closed")</f>
        <v>PO Closed</v>
      </c>
      <c r="Q3230" s="6" t="str">
        <f>IFERROR(__xludf.DUMMYFUNCTION("""COMPUTED_VALUE"""),"GL2405065")</f>
        <v>GL2405065</v>
      </c>
      <c r="R3230" s="57">
        <f>IFERROR(__xludf.DUMMYFUNCTION("""COMPUTED_VALUE"""),45426.0)</f>
        <v>45426</v>
      </c>
      <c r="S3230" s="57">
        <f>IFERROR(__xludf.DUMMYFUNCTION("""COMPUTED_VALUE"""),45427.0)</f>
        <v>45427</v>
      </c>
      <c r="T3230" s="57">
        <f>IFERROR(__xludf.DUMMYFUNCTION("""COMPUTED_VALUE"""),45459.0)</f>
        <v>45459</v>
      </c>
    </row>
    <row r="3231">
      <c r="A3231" s="6" t="str">
        <f>IFERROR(__xludf.DUMMYFUNCTION("""COMPUTED_VALUE"""),"121701479-3")</f>
        <v>121701479-3</v>
      </c>
      <c r="B3231" s="6" t="str">
        <f>IFERROR(__xludf.DUMMYFUNCTION("""COMPUTED_VALUE"""),"121701479 - APPROVED")</f>
        <v>121701479 - APPROVED</v>
      </c>
      <c r="C3231" s="6">
        <f>IFERROR(__xludf.DUMMYFUNCTION("""COMPUTED_VALUE"""),3.0)</f>
        <v>3</v>
      </c>
      <c r="D3231" s="6" t="str">
        <f>IFERROR(__xludf.DUMMYFUNCTION("""COMPUTED_VALUE"""),"P-50505-00")</f>
        <v>P-50505-00</v>
      </c>
      <c r="E3231" s="6" t="str">
        <f>IFERROR(__xludf.DUMMYFUNCTION("""COMPUTED_VALUE"""),"Saklar Seri / 250 V / Clipsal")</f>
        <v>Saklar Seri / 250 V / Clipsal</v>
      </c>
      <c r="F3231" s="6">
        <f>IFERROR(__xludf.DUMMYFUNCTION("""COMPUTED_VALUE"""),15.0)</f>
        <v>15</v>
      </c>
      <c r="G3231" s="6" t="str">
        <f>IFERROR(__xludf.DUMMYFUNCTION("""COMPUTED_VALUE"""),"Pieces")</f>
        <v>Pieces</v>
      </c>
      <c r="H3231" s="6" t="str">
        <f>IFERROR(__xludf.DUMMYFUNCTION("""COMPUTED_VALUE"""),"IDR")</f>
        <v>IDR</v>
      </c>
      <c r="I3231" s="6">
        <f>IFERROR(__xludf.DUMMYFUNCTION("""COMPUTED_VALUE"""),40000.0)</f>
        <v>40000</v>
      </c>
      <c r="J3231" s="6">
        <f>IFERROR(__xludf.DUMMYFUNCTION("""COMPUTED_VALUE"""),600000.0)</f>
        <v>600000</v>
      </c>
      <c r="K3231" s="57">
        <f>IFERROR(__xludf.DUMMYFUNCTION("""COMPUTED_VALUE"""),45428.0)</f>
        <v>45428</v>
      </c>
      <c r="L3231" s="6" t="str">
        <f>IFERROR(__xludf.DUMMYFUNCTION("""COMPUTED_VALUE"""),"FIP Engineering")</f>
        <v>FIP Engineering</v>
      </c>
      <c r="M3231" s="6" t="str">
        <f>IFERROR(__xludf.DUMMYFUNCTION("""COMPUTED_VALUE"""),"Mochammad Fadhillah Hakim,")</f>
        <v>Mochammad Fadhillah Hakim,</v>
      </c>
      <c r="N3231" s="6" t="str">
        <f>IFERROR(__xludf.DUMMYFUNCTION("""COMPUTED_VALUE"""),"FIP Engineering")</f>
        <v>FIP Engineering</v>
      </c>
      <c r="O3231" s="6" t="str">
        <f>IFERROR(__xludf.DUMMYFUNCTION("""COMPUTED_VALUE"""),"FIP-DOM-000-11304-OS00001-INA-000000")</f>
        <v>FIP-DOM-000-11304-OS00001-INA-000000</v>
      </c>
      <c r="P3231" s="6" t="str">
        <f>IFERROR(__xludf.DUMMYFUNCTION("""COMPUTED_VALUE"""),"PO Closed")</f>
        <v>PO Closed</v>
      </c>
      <c r="Q3231" s="6" t="str">
        <f>IFERROR(__xludf.DUMMYFUNCTION("""COMPUTED_VALUE"""),"GL2405065")</f>
        <v>GL2405065</v>
      </c>
      <c r="R3231" s="57">
        <f>IFERROR(__xludf.DUMMYFUNCTION("""COMPUTED_VALUE"""),45426.0)</f>
        <v>45426</v>
      </c>
      <c r="S3231" s="57">
        <f>IFERROR(__xludf.DUMMYFUNCTION("""COMPUTED_VALUE"""),45427.0)</f>
        <v>45427</v>
      </c>
      <c r="T3231" s="57">
        <f>IFERROR(__xludf.DUMMYFUNCTION("""COMPUTED_VALUE"""),45459.0)</f>
        <v>45459</v>
      </c>
    </row>
    <row r="3232">
      <c r="A3232" s="6" t="str">
        <f>IFERROR(__xludf.DUMMYFUNCTION("""COMPUTED_VALUE"""),"121701479-4")</f>
        <v>121701479-4</v>
      </c>
      <c r="B3232" s="6" t="str">
        <f>IFERROR(__xludf.DUMMYFUNCTION("""COMPUTED_VALUE"""),"121701479 - APPROVED")</f>
        <v>121701479 - APPROVED</v>
      </c>
      <c r="C3232" s="6">
        <f>IFERROR(__xludf.DUMMYFUNCTION("""COMPUTED_VALUE"""),4.0)</f>
        <v>4</v>
      </c>
      <c r="D3232" s="6" t="str">
        <f>IFERROR(__xludf.DUMMYFUNCTION("""COMPUTED_VALUE"""),"O-18455-00")</f>
        <v>O-18455-00</v>
      </c>
      <c r="E3232" s="6" t="str">
        <f>IFERROR(__xludf.DUMMYFUNCTION("""COMPUTED_VALUE"""),"Clamp Selang SS304 7/8"" (8-22mm); ; ;")</f>
        <v>Clamp Selang SS304 7/8" (8-22mm); ; ;</v>
      </c>
      <c r="F3232" s="6">
        <f>IFERROR(__xludf.DUMMYFUNCTION("""COMPUTED_VALUE"""),1.0)</f>
        <v>1</v>
      </c>
      <c r="G3232" s="6" t="str">
        <f>IFERROR(__xludf.DUMMYFUNCTION("""COMPUTED_VALUE"""),"Pieces")</f>
        <v>Pieces</v>
      </c>
      <c r="H3232" s="6" t="str">
        <f>IFERROR(__xludf.DUMMYFUNCTION("""COMPUTED_VALUE"""),"IDR")</f>
        <v>IDR</v>
      </c>
      <c r="I3232" s="6">
        <f>IFERROR(__xludf.DUMMYFUNCTION("""COMPUTED_VALUE"""),250000.0)</f>
        <v>250000</v>
      </c>
      <c r="J3232" s="6">
        <f>IFERROR(__xludf.DUMMYFUNCTION("""COMPUTED_VALUE"""),250000.0)</f>
        <v>250000</v>
      </c>
      <c r="K3232" s="57">
        <f>IFERROR(__xludf.DUMMYFUNCTION("""COMPUTED_VALUE"""),45428.0)</f>
        <v>45428</v>
      </c>
      <c r="L3232" s="6" t="str">
        <f>IFERROR(__xludf.DUMMYFUNCTION("""COMPUTED_VALUE"""),"FIP Engineering")</f>
        <v>FIP Engineering</v>
      </c>
      <c r="M3232" s="6" t="str">
        <f>IFERROR(__xludf.DUMMYFUNCTION("""COMPUTED_VALUE"""),"Mochammad Fadhillah Hakim,")</f>
        <v>Mochammad Fadhillah Hakim,</v>
      </c>
      <c r="N3232" s="6" t="str">
        <f>IFERROR(__xludf.DUMMYFUNCTION("""COMPUTED_VALUE"""),"FIP Engineering")</f>
        <v>FIP Engineering</v>
      </c>
      <c r="O3232" s="6" t="str">
        <f>IFERROR(__xludf.DUMMYFUNCTION("""COMPUTED_VALUE"""),"FIP-DOM-000-11304-OS00001-INA-000000")</f>
        <v>FIP-DOM-000-11304-OS00001-INA-000000</v>
      </c>
      <c r="P3232" s="6" t="str">
        <f>IFERROR(__xludf.DUMMYFUNCTION("""COMPUTED_VALUE"""),"PO Closed")</f>
        <v>PO Closed</v>
      </c>
      <c r="Q3232" s="6" t="str">
        <f>IFERROR(__xludf.DUMMYFUNCTION("""COMPUTED_VALUE"""),"GL2405065")</f>
        <v>GL2405065</v>
      </c>
      <c r="R3232" s="57">
        <f>IFERROR(__xludf.DUMMYFUNCTION("""COMPUTED_VALUE"""),45426.0)</f>
        <v>45426</v>
      </c>
      <c r="S3232" s="57">
        <f>IFERROR(__xludf.DUMMYFUNCTION("""COMPUTED_VALUE"""),45427.0)</f>
        <v>45427</v>
      </c>
      <c r="T3232" s="57">
        <f>IFERROR(__xludf.DUMMYFUNCTION("""COMPUTED_VALUE"""),45459.0)</f>
        <v>45459</v>
      </c>
    </row>
    <row r="3233">
      <c r="A3233" s="6" t="str">
        <f>IFERROR(__xludf.DUMMYFUNCTION("""COMPUTED_VALUE"""),"121701480-1")</f>
        <v>121701480-1</v>
      </c>
      <c r="B3233" s="6" t="str">
        <f>IFERROR(__xludf.DUMMYFUNCTION("""COMPUTED_VALUE"""),"121701480 - APPROVED")</f>
        <v>121701480 - APPROVED</v>
      </c>
      <c r="C3233" s="6">
        <f>IFERROR(__xludf.DUMMYFUNCTION("""COMPUTED_VALUE"""),1.0)</f>
        <v>1</v>
      </c>
      <c r="D3233" s="6" t="str">
        <f>IFERROR(__xludf.DUMMYFUNCTION("""COMPUTED_VALUE"""),"O-15718-00")</f>
        <v>O-15718-00</v>
      </c>
      <c r="E3233" s="6" t="str">
        <f>IFERROR(__xludf.DUMMYFUNCTION("""COMPUTED_VALUE"""),"SYNTHETIC FOOD GRADE, CRC - P/N : NSF H1 pc")</f>
        <v>SYNTHETIC FOOD GRADE, CRC - P/N : NSF H1 pc</v>
      </c>
      <c r="F3233" s="6">
        <f>IFERROR(__xludf.DUMMYFUNCTION("""COMPUTED_VALUE"""),2.0)</f>
        <v>2</v>
      </c>
      <c r="G3233" s="6" t="str">
        <f>IFERROR(__xludf.DUMMYFUNCTION("""COMPUTED_VALUE"""),"Pieces")</f>
        <v>Pieces</v>
      </c>
      <c r="H3233" s="6" t="str">
        <f>IFERROR(__xludf.DUMMYFUNCTION("""COMPUTED_VALUE"""),"IDR")</f>
        <v>IDR</v>
      </c>
      <c r="I3233" s="6">
        <f>IFERROR(__xludf.DUMMYFUNCTION("""COMPUTED_VALUE"""),243000.0)</f>
        <v>243000</v>
      </c>
      <c r="J3233" s="6">
        <f>IFERROR(__xludf.DUMMYFUNCTION("""COMPUTED_VALUE"""),486000.0)</f>
        <v>486000</v>
      </c>
      <c r="K3233" s="57">
        <f>IFERROR(__xludf.DUMMYFUNCTION("""COMPUTED_VALUE"""),45428.0)</f>
        <v>45428</v>
      </c>
      <c r="L3233" s="6" t="str">
        <f>IFERROR(__xludf.DUMMYFUNCTION("""COMPUTED_VALUE"""),"FIP Engineering")</f>
        <v>FIP Engineering</v>
      </c>
      <c r="M3233" s="6" t="str">
        <f>IFERROR(__xludf.DUMMYFUNCTION("""COMPUTED_VALUE"""),"Mochammad Fadhillah Hakim,")</f>
        <v>Mochammad Fadhillah Hakim,</v>
      </c>
      <c r="N3233" s="6" t="str">
        <f>IFERROR(__xludf.DUMMYFUNCTION("""COMPUTED_VALUE"""),"FIP Engineering")</f>
        <v>FIP Engineering</v>
      </c>
      <c r="O3233" s="6" t="str">
        <f>IFERROR(__xludf.DUMMYFUNCTION("""COMPUTED_VALUE"""),"FIP-DOM-000-11304-OS00001-INA-000000")</f>
        <v>FIP-DOM-000-11304-OS00001-INA-000000</v>
      </c>
      <c r="P3233" s="6" t="str">
        <f>IFERROR(__xludf.DUMMYFUNCTION("""COMPUTED_VALUE"""),"PO Closed")</f>
        <v>PO Closed</v>
      </c>
      <c r="Q3233" s="6" t="str">
        <f>IFERROR(__xludf.DUMMYFUNCTION("""COMPUTED_VALUE"""),"GL2405064")</f>
        <v>GL2405064</v>
      </c>
      <c r="R3233" s="57">
        <f>IFERROR(__xludf.DUMMYFUNCTION("""COMPUTED_VALUE"""),45426.0)</f>
        <v>45426</v>
      </c>
      <c r="S3233" s="57">
        <f>IFERROR(__xludf.DUMMYFUNCTION("""COMPUTED_VALUE"""),45427.0)</f>
        <v>45427</v>
      </c>
      <c r="T3233" s="57">
        <f>IFERROR(__xludf.DUMMYFUNCTION("""COMPUTED_VALUE"""),45477.0)</f>
        <v>45477</v>
      </c>
    </row>
    <row r="3234">
      <c r="A3234" s="6" t="str">
        <f>IFERROR(__xludf.DUMMYFUNCTION("""COMPUTED_VALUE"""),"121701480-2")</f>
        <v>121701480-2</v>
      </c>
      <c r="B3234" s="6" t="str">
        <f>IFERROR(__xludf.DUMMYFUNCTION("""COMPUTED_VALUE"""),"121701480 - APPROVED")</f>
        <v>121701480 - APPROVED</v>
      </c>
      <c r="C3234" s="6">
        <f>IFERROR(__xludf.DUMMYFUNCTION("""COMPUTED_VALUE"""),2.0)</f>
        <v>2</v>
      </c>
      <c r="D3234" s="6" t="str">
        <f>IFERROR(__xludf.DUMMYFUNCTION("""COMPUTED_VALUE"""),"P-52193-00")</f>
        <v>P-52193-00</v>
      </c>
      <c r="E3234" s="6" t="str">
        <f>IFERROR(__xludf.DUMMYFUNCTION("""COMPUTED_VALUE"""),"Lampu UV 8 Watt; ; ;")</f>
        <v>Lampu UV 8 Watt; ; ;</v>
      </c>
      <c r="F3234" s="6">
        <f>IFERROR(__xludf.DUMMYFUNCTION("""COMPUTED_VALUE"""),5.0)</f>
        <v>5</v>
      </c>
      <c r="G3234" s="6" t="str">
        <f>IFERROR(__xludf.DUMMYFUNCTION("""COMPUTED_VALUE"""),"Pieces")</f>
        <v>Pieces</v>
      </c>
      <c r="H3234" s="6" t="str">
        <f>IFERROR(__xludf.DUMMYFUNCTION("""COMPUTED_VALUE"""),"IDR")</f>
        <v>IDR</v>
      </c>
      <c r="I3234" s="6">
        <f>IFERROR(__xludf.DUMMYFUNCTION("""COMPUTED_VALUE"""),150000.0)</f>
        <v>150000</v>
      </c>
      <c r="J3234" s="6">
        <f>IFERROR(__xludf.DUMMYFUNCTION("""COMPUTED_VALUE"""),750000.0)</f>
        <v>750000</v>
      </c>
      <c r="K3234" s="57">
        <f>IFERROR(__xludf.DUMMYFUNCTION("""COMPUTED_VALUE"""),45428.0)</f>
        <v>45428</v>
      </c>
      <c r="L3234" s="6" t="str">
        <f>IFERROR(__xludf.DUMMYFUNCTION("""COMPUTED_VALUE"""),"FIP Engineering")</f>
        <v>FIP Engineering</v>
      </c>
      <c r="M3234" s="6" t="str">
        <f>IFERROR(__xludf.DUMMYFUNCTION("""COMPUTED_VALUE"""),"Mochammad Fadhillah Hakim,")</f>
        <v>Mochammad Fadhillah Hakim,</v>
      </c>
      <c r="N3234" s="6" t="str">
        <f>IFERROR(__xludf.DUMMYFUNCTION("""COMPUTED_VALUE"""),"FIP Engineering")</f>
        <v>FIP Engineering</v>
      </c>
      <c r="O3234" s="6" t="str">
        <f>IFERROR(__xludf.DUMMYFUNCTION("""COMPUTED_VALUE"""),"FIP-DOM-000-11304-OS00001-INA-000000")</f>
        <v>FIP-DOM-000-11304-OS00001-INA-000000</v>
      </c>
      <c r="P3234" s="6" t="str">
        <f>IFERROR(__xludf.DUMMYFUNCTION("""COMPUTED_VALUE"""),"PO Closed")</f>
        <v>PO Closed</v>
      </c>
      <c r="Q3234" s="6" t="str">
        <f>IFERROR(__xludf.DUMMYFUNCTION("""COMPUTED_VALUE"""),"GL2405064")</f>
        <v>GL2405064</v>
      </c>
      <c r="R3234" s="57">
        <f>IFERROR(__xludf.DUMMYFUNCTION("""COMPUTED_VALUE"""),45426.0)</f>
        <v>45426</v>
      </c>
      <c r="S3234" s="57">
        <f>IFERROR(__xludf.DUMMYFUNCTION("""COMPUTED_VALUE"""),45427.0)</f>
        <v>45427</v>
      </c>
      <c r="T3234" s="57">
        <f>IFERROR(__xludf.DUMMYFUNCTION("""COMPUTED_VALUE"""),45477.0)</f>
        <v>45477</v>
      </c>
    </row>
    <row r="3235">
      <c r="A3235" s="6" t="str">
        <f>IFERROR(__xludf.DUMMYFUNCTION("""COMPUTED_VALUE"""),"121701480-3")</f>
        <v>121701480-3</v>
      </c>
      <c r="B3235" s="6" t="str">
        <f>IFERROR(__xludf.DUMMYFUNCTION("""COMPUTED_VALUE"""),"121701480 - APPROVED")</f>
        <v>121701480 - APPROVED</v>
      </c>
      <c r="C3235" s="6">
        <f>IFERROR(__xludf.DUMMYFUNCTION("""COMPUTED_VALUE"""),3.0)</f>
        <v>3</v>
      </c>
      <c r="D3235" s="6" t="str">
        <f>IFERROR(__xludf.DUMMYFUNCTION("""COMPUTED_VALUE"""),"P-19238-00")</f>
        <v>P-19238-00</v>
      </c>
      <c r="E3235" s="6" t="str">
        <f>IFERROR(__xludf.DUMMYFUNCTION("""COMPUTED_VALUE"""),"Fitting Tee Tubing 12mm; EMC; ;")</f>
        <v>Fitting Tee Tubing 12mm; EMC; ;</v>
      </c>
      <c r="F3235" s="6">
        <f>IFERROR(__xludf.DUMMYFUNCTION("""COMPUTED_VALUE"""),3.0)</f>
        <v>3</v>
      </c>
      <c r="G3235" s="6" t="str">
        <f>IFERROR(__xludf.DUMMYFUNCTION("""COMPUTED_VALUE"""),"Pieces")</f>
        <v>Pieces</v>
      </c>
      <c r="H3235" s="6" t="str">
        <f>IFERROR(__xludf.DUMMYFUNCTION("""COMPUTED_VALUE"""),"IDR")</f>
        <v>IDR</v>
      </c>
      <c r="I3235" s="6">
        <f>IFERROR(__xludf.DUMMYFUNCTION("""COMPUTED_VALUE"""),28500.0)</f>
        <v>28500</v>
      </c>
      <c r="J3235" s="6">
        <f>IFERROR(__xludf.DUMMYFUNCTION("""COMPUTED_VALUE"""),85500.0)</f>
        <v>85500</v>
      </c>
      <c r="K3235" s="57">
        <f>IFERROR(__xludf.DUMMYFUNCTION("""COMPUTED_VALUE"""),45428.0)</f>
        <v>45428</v>
      </c>
      <c r="L3235" s="6" t="str">
        <f>IFERROR(__xludf.DUMMYFUNCTION("""COMPUTED_VALUE"""),"FIP Engineering")</f>
        <v>FIP Engineering</v>
      </c>
      <c r="M3235" s="6" t="str">
        <f>IFERROR(__xludf.DUMMYFUNCTION("""COMPUTED_VALUE"""),"Mochammad Fadhillah Hakim,")</f>
        <v>Mochammad Fadhillah Hakim,</v>
      </c>
      <c r="N3235" s="6" t="str">
        <f>IFERROR(__xludf.DUMMYFUNCTION("""COMPUTED_VALUE"""),"FIP Engineering")</f>
        <v>FIP Engineering</v>
      </c>
      <c r="O3235" s="6" t="str">
        <f>IFERROR(__xludf.DUMMYFUNCTION("""COMPUTED_VALUE"""),"FIP-DOM-000-11304-OS00001-INA-000000")</f>
        <v>FIP-DOM-000-11304-OS00001-INA-000000</v>
      </c>
      <c r="P3235" s="6" t="str">
        <f>IFERROR(__xludf.DUMMYFUNCTION("""COMPUTED_VALUE"""),"PO Closed")</f>
        <v>PO Closed</v>
      </c>
      <c r="Q3235" s="6" t="str">
        <f>IFERROR(__xludf.DUMMYFUNCTION("""COMPUTED_VALUE"""),"GL2405064")</f>
        <v>GL2405064</v>
      </c>
      <c r="R3235" s="57">
        <f>IFERROR(__xludf.DUMMYFUNCTION("""COMPUTED_VALUE"""),45426.0)</f>
        <v>45426</v>
      </c>
      <c r="S3235" s="57">
        <f>IFERROR(__xludf.DUMMYFUNCTION("""COMPUTED_VALUE"""),45427.0)</f>
        <v>45427</v>
      </c>
      <c r="T3235" s="57">
        <f>IFERROR(__xludf.DUMMYFUNCTION("""COMPUTED_VALUE"""),45477.0)</f>
        <v>45477</v>
      </c>
    </row>
    <row r="3236">
      <c r="A3236" s="6" t="str">
        <f>IFERROR(__xludf.DUMMYFUNCTION("""COMPUTED_VALUE"""),"121701481-1")</f>
        <v>121701481-1</v>
      </c>
      <c r="B3236" s="6" t="str">
        <f>IFERROR(__xludf.DUMMYFUNCTION("""COMPUTED_VALUE"""),"121701481 - APPROVED")</f>
        <v>121701481 - APPROVED</v>
      </c>
      <c r="C3236" s="6">
        <f>IFERROR(__xludf.DUMMYFUNCTION("""COMPUTED_VALUE"""),1.0)</f>
        <v>1</v>
      </c>
      <c r="D3236" s="6" t="str">
        <f>IFERROR(__xludf.DUMMYFUNCTION("""COMPUTED_VALUE"""),"P-14459-00")</f>
        <v>P-14459-00</v>
      </c>
      <c r="E3236" s="6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F3236" s="6">
        <f>IFERROR(__xludf.DUMMYFUNCTION("""COMPUTED_VALUE"""),2.0)</f>
        <v>2</v>
      </c>
      <c r="G3236" s="6" t="str">
        <f>IFERROR(__xludf.DUMMYFUNCTION("""COMPUTED_VALUE"""),"Pieces")</f>
        <v>Pieces</v>
      </c>
      <c r="H3236" s="6" t="str">
        <f>IFERROR(__xludf.DUMMYFUNCTION("""COMPUTED_VALUE"""),"IDR")</f>
        <v>IDR</v>
      </c>
      <c r="I3236" s="6">
        <f>IFERROR(__xludf.DUMMYFUNCTION("""COMPUTED_VALUE"""),2750000.0)</f>
        <v>2750000</v>
      </c>
      <c r="J3236" s="6">
        <f>IFERROR(__xludf.DUMMYFUNCTION("""COMPUTED_VALUE"""),5500000.0)</f>
        <v>5500000</v>
      </c>
      <c r="K3236" s="57">
        <f>IFERROR(__xludf.DUMMYFUNCTION("""COMPUTED_VALUE"""),45428.0)</f>
        <v>45428</v>
      </c>
      <c r="L3236" s="6" t="str">
        <f>IFERROR(__xludf.DUMMYFUNCTION("""COMPUTED_VALUE"""),"FIP Engineering")</f>
        <v>FIP Engineering</v>
      </c>
      <c r="M3236" s="6" t="str">
        <f>IFERROR(__xludf.DUMMYFUNCTION("""COMPUTED_VALUE"""),"Mochammad Fadhillah Hakim,")</f>
        <v>Mochammad Fadhillah Hakim,</v>
      </c>
      <c r="N3236" s="6" t="str">
        <f>IFERROR(__xludf.DUMMYFUNCTION("""COMPUTED_VALUE"""),"FIP Engineering")</f>
        <v>FIP Engineering</v>
      </c>
      <c r="O3236" s="6" t="str">
        <f>IFERROR(__xludf.DUMMYFUNCTION("""COMPUTED_VALUE"""),"FIP-DOM-000-11304-OS00001-INA-000000")</f>
        <v>FIP-DOM-000-11304-OS00001-INA-000000</v>
      </c>
      <c r="P3236" s="6" t="str">
        <f>IFERROR(__xludf.DUMMYFUNCTION("""COMPUTED_VALUE"""),"PO Closed")</f>
        <v>PO Closed</v>
      </c>
      <c r="Q3236" s="6" t="str">
        <f>IFERROR(__xludf.DUMMYFUNCTION("""COMPUTED_VALUE"""),"GL2405071")</f>
        <v>GL2405071</v>
      </c>
      <c r="R3236" s="57">
        <f>IFERROR(__xludf.DUMMYFUNCTION("""COMPUTED_VALUE"""),45426.0)</f>
        <v>45426</v>
      </c>
      <c r="S3236" s="57">
        <f>IFERROR(__xludf.DUMMYFUNCTION("""COMPUTED_VALUE"""),45428.0)</f>
        <v>45428</v>
      </c>
      <c r="T3236" s="57">
        <f>IFERROR(__xludf.DUMMYFUNCTION("""COMPUTED_VALUE"""),45473.0)</f>
        <v>45473</v>
      </c>
    </row>
    <row r="3237">
      <c r="A3237" s="6" t="str">
        <f>IFERROR(__xludf.DUMMYFUNCTION("""COMPUTED_VALUE"""),"121701484-1")</f>
        <v>121701484-1</v>
      </c>
      <c r="B3237" s="6" t="str">
        <f>IFERROR(__xludf.DUMMYFUNCTION("""COMPUTED_VALUE"""),"121701484 - APPROVED")</f>
        <v>121701484 - APPROVED</v>
      </c>
      <c r="C3237" s="6">
        <f>IFERROR(__xludf.DUMMYFUNCTION("""COMPUTED_VALUE"""),1.0)</f>
        <v>1</v>
      </c>
      <c r="D3237" s="6" t="str">
        <f>IFERROR(__xludf.DUMMYFUNCTION("""COMPUTED_VALUE"""),"S-60002-00")</f>
        <v>S-60002-00</v>
      </c>
      <c r="E3237" s="6" t="str">
        <f>IFERROR(__xludf.DUMMYFUNCTION("""COMPUTED_VALUE"""),"Jasa Perbaikan dan Pemeliharaan Mesin Utility")</f>
        <v>Jasa Perbaikan dan Pemeliharaan Mesin Utility</v>
      </c>
      <c r="F3237" s="6">
        <f>IFERROR(__xludf.DUMMYFUNCTION("""COMPUTED_VALUE"""),1.0)</f>
        <v>1</v>
      </c>
      <c r="G3237" s="6" t="str">
        <f>IFERROR(__xludf.DUMMYFUNCTION("""COMPUTED_VALUE"""),"Lot")</f>
        <v>Lot</v>
      </c>
      <c r="H3237" s="6" t="str">
        <f>IFERROR(__xludf.DUMMYFUNCTION("""COMPUTED_VALUE"""),"IDR")</f>
        <v>IDR</v>
      </c>
      <c r="I3237" s="6">
        <f>IFERROR(__xludf.DUMMYFUNCTION("""COMPUTED_VALUE"""),7000000.0)</f>
        <v>7000000</v>
      </c>
      <c r="J3237" s="6">
        <f>IFERROR(__xludf.DUMMYFUNCTION("""COMPUTED_VALUE"""),7000000.0)</f>
        <v>7000000</v>
      </c>
      <c r="K3237" s="57">
        <f>IFERROR(__xludf.DUMMYFUNCTION("""COMPUTED_VALUE"""),45429.0)</f>
        <v>45429</v>
      </c>
      <c r="L3237" s="6" t="str">
        <f>IFERROR(__xludf.DUMMYFUNCTION("""COMPUTED_VALUE"""),"FIP General")</f>
        <v>FIP General</v>
      </c>
      <c r="M3237" s="6" t="str">
        <f>IFERROR(__xludf.DUMMYFUNCTION("""COMPUTED_VALUE"""),"Mochammad Fadhillah Hakim,")</f>
        <v>Mochammad Fadhillah Hakim,</v>
      </c>
      <c r="N3237" s="6" t="str">
        <f>IFERROR(__xludf.DUMMYFUNCTION("""COMPUTED_VALUE"""),"FIP Engineering")</f>
        <v>FIP Engineering</v>
      </c>
      <c r="O3237" s="6" t="str">
        <f>IFERROR(__xludf.DUMMYFUNCTION("""COMPUTED_VALUE"""),"FIP-DOM-ENG-51508-0000000-INA-000000")</f>
        <v>FIP-DOM-ENG-51508-0000000-INA-000000</v>
      </c>
      <c r="P3237" s="6" t="str">
        <f>IFERROR(__xludf.DUMMYFUNCTION("""COMPUTED_VALUE"""),"PO Closed")</f>
        <v>PO Closed</v>
      </c>
      <c r="Q3237" s="6"/>
      <c r="R3237" s="57">
        <f>IFERROR(__xludf.DUMMYFUNCTION("""COMPUTED_VALUE"""),45427.0)</f>
        <v>45427</v>
      </c>
      <c r="S3237" s="57">
        <f>IFERROR(__xludf.DUMMYFUNCTION("""COMPUTED_VALUE"""),45434.0)</f>
        <v>45434</v>
      </c>
      <c r="T3237" s="6"/>
    </row>
    <row r="3238">
      <c r="A3238" s="6" t="str">
        <f>IFERROR(__xludf.DUMMYFUNCTION("""COMPUTED_VALUE"""),"121701485-1")</f>
        <v>121701485-1</v>
      </c>
      <c r="B3238" s="6" t="str">
        <f>IFERROR(__xludf.DUMMYFUNCTION("""COMPUTED_VALUE"""),"121701485 - APPROVED")</f>
        <v>121701485 - APPROVED</v>
      </c>
      <c r="C3238" s="6">
        <f>IFERROR(__xludf.DUMMYFUNCTION("""COMPUTED_VALUE"""),1.0)</f>
        <v>1</v>
      </c>
      <c r="D3238" s="6" t="str">
        <f>IFERROR(__xludf.DUMMYFUNCTION("""COMPUTED_VALUE"""),"O-17810-00")</f>
        <v>O-17810-00</v>
      </c>
      <c r="E3238" s="6" t="str">
        <f>IFERROR(__xludf.DUMMYFUNCTION("""COMPUTED_VALUE"""),"25TC PTFE Diaphragm for Flush Bottom Outlet Valve NA25/25; ; ;")</f>
        <v>25TC PTFE Diaphragm for Flush Bottom Outlet Valve NA25/25; ; ;</v>
      </c>
      <c r="F3238" s="6">
        <f>IFERROR(__xludf.DUMMYFUNCTION("""COMPUTED_VALUE"""),2.0)</f>
        <v>2</v>
      </c>
      <c r="G3238" s="6" t="str">
        <f>IFERROR(__xludf.DUMMYFUNCTION("""COMPUTED_VALUE"""),"Pieces")</f>
        <v>Pieces</v>
      </c>
      <c r="H3238" s="6" t="str">
        <f>IFERROR(__xludf.DUMMYFUNCTION("""COMPUTED_VALUE"""),"IDR")</f>
        <v>IDR</v>
      </c>
      <c r="I3238" s="6">
        <f>IFERROR(__xludf.DUMMYFUNCTION("""COMPUTED_VALUE"""),6362166.0)</f>
        <v>6362166</v>
      </c>
      <c r="J3238" s="6">
        <f>IFERROR(__xludf.DUMMYFUNCTION("""COMPUTED_VALUE"""),1.2724333E7)</f>
        <v>12724333</v>
      </c>
      <c r="K3238" s="57">
        <f>IFERROR(__xludf.DUMMYFUNCTION("""COMPUTED_VALUE"""),45429.0)</f>
        <v>45429</v>
      </c>
      <c r="L3238" s="6" t="str">
        <f>IFERROR(__xludf.DUMMYFUNCTION("""COMPUTED_VALUE"""),"FIP Engineering")</f>
        <v>FIP Engineering</v>
      </c>
      <c r="M3238" s="6" t="str">
        <f>IFERROR(__xludf.DUMMYFUNCTION("""COMPUTED_VALUE"""),"Mochammad Fadhillah Hakim,")</f>
        <v>Mochammad Fadhillah Hakim,</v>
      </c>
      <c r="N3238" s="6" t="str">
        <f>IFERROR(__xludf.DUMMYFUNCTION("""COMPUTED_VALUE"""),"FIP Engineering")</f>
        <v>FIP Engineering</v>
      </c>
      <c r="O3238" s="6" t="str">
        <f>IFERROR(__xludf.DUMMYFUNCTION("""COMPUTED_VALUE"""),"FIP-DOM-000-11304-OS00001-INA-000000")</f>
        <v>FIP-DOM-000-11304-OS00001-INA-000000</v>
      </c>
      <c r="P3238" s="6" t="str">
        <f>IFERROR(__xludf.DUMMYFUNCTION("""COMPUTED_VALUE"""),"PO Closed")</f>
        <v>PO Closed</v>
      </c>
      <c r="Q3238" s="6" t="str">
        <f>IFERROR(__xludf.DUMMYFUNCTION("""COMPUTED_VALUE"""),"GL2406039")</f>
        <v>GL2406039</v>
      </c>
      <c r="R3238" s="57">
        <f>IFERROR(__xludf.DUMMYFUNCTION("""COMPUTED_VALUE"""),45427.0)</f>
        <v>45427</v>
      </c>
      <c r="S3238" s="57">
        <f>IFERROR(__xludf.DUMMYFUNCTION("""COMPUTED_VALUE"""),45432.0)</f>
        <v>45432</v>
      </c>
      <c r="T3238" s="57">
        <f>IFERROR(__xludf.DUMMYFUNCTION("""COMPUTED_VALUE"""),45521.0)</f>
        <v>45521</v>
      </c>
    </row>
    <row r="3239">
      <c r="A3239" s="6" t="str">
        <f>IFERROR(__xludf.DUMMYFUNCTION("""COMPUTED_VALUE"""),"121701486-1")</f>
        <v>121701486-1</v>
      </c>
      <c r="B3239" s="6" t="str">
        <f>IFERROR(__xludf.DUMMYFUNCTION("""COMPUTED_VALUE"""),"121701486 - APPROVED")</f>
        <v>121701486 - APPROVED</v>
      </c>
      <c r="C3239" s="6">
        <f>IFERROR(__xludf.DUMMYFUNCTION("""COMPUTED_VALUE"""),1.0)</f>
        <v>1</v>
      </c>
      <c r="D3239" s="6" t="str">
        <f>IFERROR(__xludf.DUMMYFUNCTION("""COMPUTED_VALUE"""),"O-12735-00")</f>
        <v>O-12735-00</v>
      </c>
      <c r="E3239" s="6" t="str">
        <f>IFERROR(__xludf.DUMMYFUNCTION("""COMPUTED_VALUE"""),"Tubing Polyurethane TU0604 Clear; SMC; Part No. X3; roll")</f>
        <v>Tubing Polyurethane TU0604 Clear; SMC; Part No. X3; roll</v>
      </c>
      <c r="F3239" s="6">
        <f>IFERROR(__xludf.DUMMYFUNCTION("""COMPUTED_VALUE"""),200.0)</f>
        <v>200</v>
      </c>
      <c r="G3239" s="6" t="str">
        <f>IFERROR(__xludf.DUMMYFUNCTION("""COMPUTED_VALUE"""),"Roll")</f>
        <v>Roll</v>
      </c>
      <c r="H3239" s="6" t="str">
        <f>IFERROR(__xludf.DUMMYFUNCTION("""COMPUTED_VALUE"""),"IDR")</f>
        <v>IDR</v>
      </c>
      <c r="I3239" s="6">
        <f>IFERROR(__xludf.DUMMYFUNCTION("""COMPUTED_VALUE"""),12000.0)</f>
        <v>12000</v>
      </c>
      <c r="J3239" s="6">
        <f>IFERROR(__xludf.DUMMYFUNCTION("""COMPUTED_VALUE"""),2400000.0)</f>
        <v>2400000</v>
      </c>
      <c r="K3239" s="57">
        <f>IFERROR(__xludf.DUMMYFUNCTION("""COMPUTED_VALUE"""),45429.0)</f>
        <v>45429</v>
      </c>
      <c r="L3239" s="6" t="str">
        <f>IFERROR(__xludf.DUMMYFUNCTION("""COMPUTED_VALUE"""),"FIP General")</f>
        <v>FIP General</v>
      </c>
      <c r="M3239" s="6" t="str">
        <f>IFERROR(__xludf.DUMMYFUNCTION("""COMPUTED_VALUE"""),"Mochammad Fadhillah Hakim,")</f>
        <v>Mochammad Fadhillah Hakim,</v>
      </c>
      <c r="N3239" s="6" t="str">
        <f>IFERROR(__xludf.DUMMYFUNCTION("""COMPUTED_VALUE"""),"FIP Engineering")</f>
        <v>FIP Engineering</v>
      </c>
      <c r="O3239" s="6" t="str">
        <f>IFERROR(__xludf.DUMMYFUNCTION("""COMPUTED_VALUE"""),"FIP-DOM-ENG-51404-0000000-INA-000000")</f>
        <v>FIP-DOM-ENG-51404-0000000-INA-000000</v>
      </c>
      <c r="P3239" s="6" t="str">
        <f>IFERROR(__xludf.DUMMYFUNCTION("""COMPUTED_VALUE"""),"PO Closed")</f>
        <v>PO Closed</v>
      </c>
      <c r="Q3239" s="6" t="str">
        <f>IFERROR(__xludf.DUMMYFUNCTION("""COMPUTED_VALUE"""),"GL2406011")</f>
        <v>GL2406011</v>
      </c>
      <c r="R3239" s="57">
        <f>IFERROR(__xludf.DUMMYFUNCTION("""COMPUTED_VALUE"""),45427.0)</f>
        <v>45427</v>
      </c>
      <c r="S3239" s="57">
        <f>IFERROR(__xludf.DUMMYFUNCTION("""COMPUTED_VALUE"""),45427.0)</f>
        <v>45427</v>
      </c>
      <c r="T3239" s="57">
        <f>IFERROR(__xludf.DUMMYFUNCTION("""COMPUTED_VALUE"""),45463.0)</f>
        <v>45463</v>
      </c>
    </row>
    <row r="3240">
      <c r="A3240" s="6" t="str">
        <f>IFERROR(__xludf.DUMMYFUNCTION("""COMPUTED_VALUE"""),"121701487-1")</f>
        <v>121701487-1</v>
      </c>
      <c r="B3240" s="6" t="str">
        <f>IFERROR(__xludf.DUMMYFUNCTION("""COMPUTED_VALUE"""),"121701487 - APPROVED")</f>
        <v>121701487 - APPROVED</v>
      </c>
      <c r="C3240" s="6">
        <f>IFERROR(__xludf.DUMMYFUNCTION("""COMPUTED_VALUE"""),1.0)</f>
        <v>1</v>
      </c>
      <c r="D3240" s="6" t="str">
        <f>IFERROR(__xludf.DUMMYFUNCTION("""COMPUTED_VALUE"""),"P-12721-00")</f>
        <v>P-12721-00</v>
      </c>
      <c r="E3240" s="6" t="str">
        <f>IFERROR(__xludf.DUMMYFUNCTION("""COMPUTED_VALUE"""),"Reducer PVC AW dia  2inch x 1 1/2inch")</f>
        <v>Reducer PVC AW dia  2inch x 1 1/2inch</v>
      </c>
      <c r="F3240" s="6">
        <f>IFERROR(__xludf.DUMMYFUNCTION("""COMPUTED_VALUE"""),5.0)</f>
        <v>5</v>
      </c>
      <c r="G3240" s="6" t="str">
        <f>IFERROR(__xludf.DUMMYFUNCTION("""COMPUTED_VALUE"""),"Pieces")</f>
        <v>Pieces</v>
      </c>
      <c r="H3240" s="6" t="str">
        <f>IFERROR(__xludf.DUMMYFUNCTION("""COMPUTED_VALUE"""),"IDR")</f>
        <v>IDR</v>
      </c>
      <c r="I3240" s="6">
        <f>IFERROR(__xludf.DUMMYFUNCTION("""COMPUTED_VALUE"""),15500.0)</f>
        <v>15500</v>
      </c>
      <c r="J3240" s="6">
        <f>IFERROR(__xludf.DUMMYFUNCTION("""COMPUTED_VALUE"""),77500.0)</f>
        <v>77500</v>
      </c>
      <c r="K3240" s="57">
        <f>IFERROR(__xludf.DUMMYFUNCTION("""COMPUTED_VALUE"""),45471.0)</f>
        <v>45471</v>
      </c>
      <c r="L3240" s="6" t="str">
        <f>IFERROR(__xludf.DUMMYFUNCTION("""COMPUTED_VALUE"""),"FIP Engineering")</f>
        <v>FIP Engineering</v>
      </c>
      <c r="M3240" s="6" t="str">
        <f>IFERROR(__xludf.DUMMYFUNCTION("""COMPUTED_VALUE"""),"Mochammad Fadhillah Hakim,")</f>
        <v>Mochammad Fadhillah Hakim,</v>
      </c>
      <c r="N3240" s="6" t="str">
        <f>IFERROR(__xludf.DUMMYFUNCTION("""COMPUTED_VALUE"""),"FIP Engineering")</f>
        <v>FIP Engineering</v>
      </c>
      <c r="O3240" s="6" t="str">
        <f>IFERROR(__xludf.DUMMYFUNCTION("""COMPUTED_VALUE"""),"FIP-DOM-000-11304-OS00001-INA-000000")</f>
        <v>FIP-DOM-000-11304-OS00001-INA-000000</v>
      </c>
      <c r="P3240" s="6" t="str">
        <f>IFERROR(__xludf.DUMMYFUNCTION("""COMPUTED_VALUE"""),"PO Closed")</f>
        <v>PO Closed</v>
      </c>
      <c r="Q3240" s="6" t="str">
        <f>IFERROR(__xludf.DUMMYFUNCTION("""COMPUTED_VALUE"""),"GL2406050")</f>
        <v>GL2406050</v>
      </c>
      <c r="R3240" s="57">
        <f>IFERROR(__xludf.DUMMYFUNCTION("""COMPUTED_VALUE"""),45427.0)</f>
        <v>45427</v>
      </c>
      <c r="S3240" s="57">
        <f>IFERROR(__xludf.DUMMYFUNCTION("""COMPUTED_VALUE"""),45448.0)</f>
        <v>45448</v>
      </c>
      <c r="T3240" s="57">
        <f>IFERROR(__xludf.DUMMYFUNCTION("""COMPUTED_VALUE"""),45506.0)</f>
        <v>45506</v>
      </c>
    </row>
    <row r="3241">
      <c r="A3241" s="6" t="str">
        <f>IFERROR(__xludf.DUMMYFUNCTION("""COMPUTED_VALUE"""),"121701487-2")</f>
        <v>121701487-2</v>
      </c>
      <c r="B3241" s="6" t="str">
        <f>IFERROR(__xludf.DUMMYFUNCTION("""COMPUTED_VALUE"""),"121701487 - APPROVED")</f>
        <v>121701487 - APPROVED</v>
      </c>
      <c r="C3241" s="6">
        <f>IFERROR(__xludf.DUMMYFUNCTION("""COMPUTED_VALUE"""),2.0)</f>
        <v>2</v>
      </c>
      <c r="D3241" s="6" t="str">
        <f>IFERROR(__xludf.DUMMYFUNCTION("""COMPUTED_VALUE"""),"P-12816-00")</f>
        <v>P-12816-00</v>
      </c>
      <c r="E3241" s="6" t="str">
        <f>IFERROR(__xludf.DUMMYFUNCTION("""COMPUTED_VALUE"""),"Sock PVC AW dia  1 1/2inch")</f>
        <v>Sock PVC AW dia  1 1/2inch</v>
      </c>
      <c r="F3241" s="6">
        <f>IFERROR(__xludf.DUMMYFUNCTION("""COMPUTED_VALUE"""),5.0)</f>
        <v>5</v>
      </c>
      <c r="G3241" s="6" t="str">
        <f>IFERROR(__xludf.DUMMYFUNCTION("""COMPUTED_VALUE"""),"Pieces")</f>
        <v>Pieces</v>
      </c>
      <c r="H3241" s="6" t="str">
        <f>IFERROR(__xludf.DUMMYFUNCTION("""COMPUTED_VALUE"""),"IDR")</f>
        <v>IDR</v>
      </c>
      <c r="I3241" s="6">
        <f>IFERROR(__xludf.DUMMYFUNCTION("""COMPUTED_VALUE"""),8500.0)</f>
        <v>8500</v>
      </c>
      <c r="J3241" s="6">
        <f>IFERROR(__xludf.DUMMYFUNCTION("""COMPUTED_VALUE"""),42500.0)</f>
        <v>42500</v>
      </c>
      <c r="K3241" s="57">
        <f>IFERROR(__xludf.DUMMYFUNCTION("""COMPUTED_VALUE"""),45471.0)</f>
        <v>45471</v>
      </c>
      <c r="L3241" s="6" t="str">
        <f>IFERROR(__xludf.DUMMYFUNCTION("""COMPUTED_VALUE"""),"FIP Engineering")</f>
        <v>FIP Engineering</v>
      </c>
      <c r="M3241" s="6" t="str">
        <f>IFERROR(__xludf.DUMMYFUNCTION("""COMPUTED_VALUE"""),"Mochammad Fadhillah Hakim,")</f>
        <v>Mochammad Fadhillah Hakim,</v>
      </c>
      <c r="N3241" s="6" t="str">
        <f>IFERROR(__xludf.DUMMYFUNCTION("""COMPUTED_VALUE"""),"FIP Engineering")</f>
        <v>FIP Engineering</v>
      </c>
      <c r="O3241" s="6" t="str">
        <f>IFERROR(__xludf.DUMMYFUNCTION("""COMPUTED_VALUE"""),"FIP-DOM-000-11304-OS00001-INA-000000")</f>
        <v>FIP-DOM-000-11304-OS00001-INA-000000</v>
      </c>
      <c r="P3241" s="6" t="str">
        <f>IFERROR(__xludf.DUMMYFUNCTION("""COMPUTED_VALUE"""),"PO Closed")</f>
        <v>PO Closed</v>
      </c>
      <c r="Q3241" s="6" t="str">
        <f>IFERROR(__xludf.DUMMYFUNCTION("""COMPUTED_VALUE"""),"GL2406050")</f>
        <v>GL2406050</v>
      </c>
      <c r="R3241" s="57">
        <f>IFERROR(__xludf.DUMMYFUNCTION("""COMPUTED_VALUE"""),45427.0)</f>
        <v>45427</v>
      </c>
      <c r="S3241" s="57">
        <f>IFERROR(__xludf.DUMMYFUNCTION("""COMPUTED_VALUE"""),45448.0)</f>
        <v>45448</v>
      </c>
      <c r="T3241" s="57">
        <f>IFERROR(__xludf.DUMMYFUNCTION("""COMPUTED_VALUE"""),45506.0)</f>
        <v>45506</v>
      </c>
    </row>
    <row r="3242">
      <c r="A3242" s="6" t="str">
        <f>IFERROR(__xludf.DUMMYFUNCTION("""COMPUTED_VALUE"""),"121701487-3")</f>
        <v>121701487-3</v>
      </c>
      <c r="B3242" s="6" t="str">
        <f>IFERROR(__xludf.DUMMYFUNCTION("""COMPUTED_VALUE"""),"121701487 - APPROVED")</f>
        <v>121701487 - APPROVED</v>
      </c>
      <c r="C3242" s="6">
        <f>IFERROR(__xludf.DUMMYFUNCTION("""COMPUTED_VALUE"""),3.0)</f>
        <v>3</v>
      </c>
      <c r="D3242" s="6" t="str">
        <f>IFERROR(__xludf.DUMMYFUNCTION("""COMPUTED_VALUE"""),"P-12818-00")</f>
        <v>P-12818-00</v>
      </c>
      <c r="E3242" s="6" t="str">
        <f>IFERROR(__xludf.DUMMYFUNCTION("""COMPUTED_VALUE"""),"Sock PVC AW dia 1inch")</f>
        <v>Sock PVC AW dia 1inch</v>
      </c>
      <c r="F3242" s="6">
        <f>IFERROR(__xludf.DUMMYFUNCTION("""COMPUTED_VALUE"""),5.0)</f>
        <v>5</v>
      </c>
      <c r="G3242" s="6" t="str">
        <f>IFERROR(__xludf.DUMMYFUNCTION("""COMPUTED_VALUE"""),"Pieces")</f>
        <v>Pieces</v>
      </c>
      <c r="H3242" s="6" t="str">
        <f>IFERROR(__xludf.DUMMYFUNCTION("""COMPUTED_VALUE"""),"IDR")</f>
        <v>IDR</v>
      </c>
      <c r="I3242" s="6">
        <f>IFERROR(__xludf.DUMMYFUNCTION("""COMPUTED_VALUE"""),7500.0)</f>
        <v>7500</v>
      </c>
      <c r="J3242" s="6">
        <f>IFERROR(__xludf.DUMMYFUNCTION("""COMPUTED_VALUE"""),37500.0)</f>
        <v>37500</v>
      </c>
      <c r="K3242" s="57">
        <f>IFERROR(__xludf.DUMMYFUNCTION("""COMPUTED_VALUE"""),45471.0)</f>
        <v>45471</v>
      </c>
      <c r="L3242" s="6" t="str">
        <f>IFERROR(__xludf.DUMMYFUNCTION("""COMPUTED_VALUE"""),"FIP Engineering")</f>
        <v>FIP Engineering</v>
      </c>
      <c r="M3242" s="6" t="str">
        <f>IFERROR(__xludf.DUMMYFUNCTION("""COMPUTED_VALUE"""),"Mochammad Fadhillah Hakim,")</f>
        <v>Mochammad Fadhillah Hakim,</v>
      </c>
      <c r="N3242" s="6" t="str">
        <f>IFERROR(__xludf.DUMMYFUNCTION("""COMPUTED_VALUE"""),"FIP Engineering")</f>
        <v>FIP Engineering</v>
      </c>
      <c r="O3242" s="6" t="str">
        <f>IFERROR(__xludf.DUMMYFUNCTION("""COMPUTED_VALUE"""),"FIP-DOM-000-11304-OS00001-INA-000000")</f>
        <v>FIP-DOM-000-11304-OS00001-INA-000000</v>
      </c>
      <c r="P3242" s="6" t="str">
        <f>IFERROR(__xludf.DUMMYFUNCTION("""COMPUTED_VALUE"""),"PO Closed")</f>
        <v>PO Closed</v>
      </c>
      <c r="Q3242" s="6" t="str">
        <f>IFERROR(__xludf.DUMMYFUNCTION("""COMPUTED_VALUE"""),"GL2406050")</f>
        <v>GL2406050</v>
      </c>
      <c r="R3242" s="57">
        <f>IFERROR(__xludf.DUMMYFUNCTION("""COMPUTED_VALUE"""),45427.0)</f>
        <v>45427</v>
      </c>
      <c r="S3242" s="57">
        <f>IFERROR(__xludf.DUMMYFUNCTION("""COMPUTED_VALUE"""),45448.0)</f>
        <v>45448</v>
      </c>
      <c r="T3242" s="57">
        <f>IFERROR(__xludf.DUMMYFUNCTION("""COMPUTED_VALUE"""),45506.0)</f>
        <v>45506</v>
      </c>
    </row>
    <row r="3243">
      <c r="A3243" s="6" t="str">
        <f>IFERROR(__xludf.DUMMYFUNCTION("""COMPUTED_VALUE"""),"121701487-4")</f>
        <v>121701487-4</v>
      </c>
      <c r="B3243" s="6" t="str">
        <f>IFERROR(__xludf.DUMMYFUNCTION("""COMPUTED_VALUE"""),"121701487 - APPROVED")</f>
        <v>121701487 - APPROVED</v>
      </c>
      <c r="C3243" s="6">
        <f>IFERROR(__xludf.DUMMYFUNCTION("""COMPUTED_VALUE"""),4.0)</f>
        <v>4</v>
      </c>
      <c r="D3243" s="6" t="str">
        <f>IFERROR(__xludf.DUMMYFUNCTION("""COMPUTED_VALUE"""),"P-12819-00")</f>
        <v>P-12819-00</v>
      </c>
      <c r="E3243" s="6" t="str">
        <f>IFERROR(__xludf.DUMMYFUNCTION("""COMPUTED_VALUE"""),"Sock PVC AW dia 1/2inch")</f>
        <v>Sock PVC AW dia 1/2inch</v>
      </c>
      <c r="F3243" s="6">
        <f>IFERROR(__xludf.DUMMYFUNCTION("""COMPUTED_VALUE"""),5.0)</f>
        <v>5</v>
      </c>
      <c r="G3243" s="6" t="str">
        <f>IFERROR(__xludf.DUMMYFUNCTION("""COMPUTED_VALUE"""),"Pieces")</f>
        <v>Pieces</v>
      </c>
      <c r="H3243" s="6" t="str">
        <f>IFERROR(__xludf.DUMMYFUNCTION("""COMPUTED_VALUE"""),"IDR")</f>
        <v>IDR</v>
      </c>
      <c r="I3243" s="6">
        <f>IFERROR(__xludf.DUMMYFUNCTION("""COMPUTED_VALUE"""),3000.0)</f>
        <v>3000</v>
      </c>
      <c r="J3243" s="6">
        <f>IFERROR(__xludf.DUMMYFUNCTION("""COMPUTED_VALUE"""),15000.0)</f>
        <v>15000</v>
      </c>
      <c r="K3243" s="57">
        <f>IFERROR(__xludf.DUMMYFUNCTION("""COMPUTED_VALUE"""),45471.0)</f>
        <v>45471</v>
      </c>
      <c r="L3243" s="6" t="str">
        <f>IFERROR(__xludf.DUMMYFUNCTION("""COMPUTED_VALUE"""),"FIP Engineering")</f>
        <v>FIP Engineering</v>
      </c>
      <c r="M3243" s="6" t="str">
        <f>IFERROR(__xludf.DUMMYFUNCTION("""COMPUTED_VALUE"""),"Mochammad Fadhillah Hakim,")</f>
        <v>Mochammad Fadhillah Hakim,</v>
      </c>
      <c r="N3243" s="6" t="str">
        <f>IFERROR(__xludf.DUMMYFUNCTION("""COMPUTED_VALUE"""),"FIP Engineering")</f>
        <v>FIP Engineering</v>
      </c>
      <c r="O3243" s="6" t="str">
        <f>IFERROR(__xludf.DUMMYFUNCTION("""COMPUTED_VALUE"""),"FIP-DOM-000-11304-OS00001-INA-000000")</f>
        <v>FIP-DOM-000-11304-OS00001-INA-000000</v>
      </c>
      <c r="P3243" s="6" t="str">
        <f>IFERROR(__xludf.DUMMYFUNCTION("""COMPUTED_VALUE"""),"PO Closed")</f>
        <v>PO Closed</v>
      </c>
      <c r="Q3243" s="6" t="str">
        <f>IFERROR(__xludf.DUMMYFUNCTION("""COMPUTED_VALUE"""),"GL2406050")</f>
        <v>GL2406050</v>
      </c>
      <c r="R3243" s="57">
        <f>IFERROR(__xludf.DUMMYFUNCTION("""COMPUTED_VALUE"""),45427.0)</f>
        <v>45427</v>
      </c>
      <c r="S3243" s="57">
        <f>IFERROR(__xludf.DUMMYFUNCTION("""COMPUTED_VALUE"""),45448.0)</f>
        <v>45448</v>
      </c>
      <c r="T3243" s="57">
        <f>IFERROR(__xludf.DUMMYFUNCTION("""COMPUTED_VALUE"""),45506.0)</f>
        <v>45506</v>
      </c>
    </row>
    <row r="3244">
      <c r="A3244" s="6" t="str">
        <f>IFERROR(__xludf.DUMMYFUNCTION("""COMPUTED_VALUE"""),"121701487-5")</f>
        <v>121701487-5</v>
      </c>
      <c r="B3244" s="6" t="str">
        <f>IFERROR(__xludf.DUMMYFUNCTION("""COMPUTED_VALUE"""),"121701487 - APPROVED")</f>
        <v>121701487 - APPROVED</v>
      </c>
      <c r="C3244" s="6">
        <f>IFERROR(__xludf.DUMMYFUNCTION("""COMPUTED_VALUE"""),5.0)</f>
        <v>5</v>
      </c>
      <c r="D3244" s="6" t="str">
        <f>IFERROR(__xludf.DUMMYFUNCTION("""COMPUTED_VALUE"""),"P-12820-00")</f>
        <v>P-12820-00</v>
      </c>
      <c r="E3244" s="6" t="str">
        <f>IFERROR(__xludf.DUMMYFUNCTION("""COMPUTED_VALUE"""),"Sock PVC AW dia 2inch")</f>
        <v>Sock PVC AW dia 2inch</v>
      </c>
      <c r="F3244" s="6">
        <f>IFERROR(__xludf.DUMMYFUNCTION("""COMPUTED_VALUE"""),5.0)</f>
        <v>5</v>
      </c>
      <c r="G3244" s="6" t="str">
        <f>IFERROR(__xludf.DUMMYFUNCTION("""COMPUTED_VALUE"""),"Pieces")</f>
        <v>Pieces</v>
      </c>
      <c r="H3244" s="6" t="str">
        <f>IFERROR(__xludf.DUMMYFUNCTION("""COMPUTED_VALUE"""),"IDR")</f>
        <v>IDR</v>
      </c>
      <c r="I3244" s="6">
        <f>IFERROR(__xludf.DUMMYFUNCTION("""COMPUTED_VALUE"""),25000.0)</f>
        <v>25000</v>
      </c>
      <c r="J3244" s="6">
        <f>IFERROR(__xludf.DUMMYFUNCTION("""COMPUTED_VALUE"""),125000.0)</f>
        <v>125000</v>
      </c>
      <c r="K3244" s="57">
        <f>IFERROR(__xludf.DUMMYFUNCTION("""COMPUTED_VALUE"""),45471.0)</f>
        <v>45471</v>
      </c>
      <c r="L3244" s="6" t="str">
        <f>IFERROR(__xludf.DUMMYFUNCTION("""COMPUTED_VALUE"""),"FIP Engineering")</f>
        <v>FIP Engineering</v>
      </c>
      <c r="M3244" s="6" t="str">
        <f>IFERROR(__xludf.DUMMYFUNCTION("""COMPUTED_VALUE"""),"Mochammad Fadhillah Hakim,")</f>
        <v>Mochammad Fadhillah Hakim,</v>
      </c>
      <c r="N3244" s="6" t="str">
        <f>IFERROR(__xludf.DUMMYFUNCTION("""COMPUTED_VALUE"""),"FIP Engineering")</f>
        <v>FIP Engineering</v>
      </c>
      <c r="O3244" s="6" t="str">
        <f>IFERROR(__xludf.DUMMYFUNCTION("""COMPUTED_VALUE"""),"FIP-DOM-000-11304-OS00001-INA-000000")</f>
        <v>FIP-DOM-000-11304-OS00001-INA-000000</v>
      </c>
      <c r="P3244" s="6" t="str">
        <f>IFERROR(__xludf.DUMMYFUNCTION("""COMPUTED_VALUE"""),"PO Closed")</f>
        <v>PO Closed</v>
      </c>
      <c r="Q3244" s="6" t="str">
        <f>IFERROR(__xludf.DUMMYFUNCTION("""COMPUTED_VALUE"""),"GL2406050")</f>
        <v>GL2406050</v>
      </c>
      <c r="R3244" s="57">
        <f>IFERROR(__xludf.DUMMYFUNCTION("""COMPUTED_VALUE"""),45427.0)</f>
        <v>45427</v>
      </c>
      <c r="S3244" s="57">
        <f>IFERROR(__xludf.DUMMYFUNCTION("""COMPUTED_VALUE"""),45448.0)</f>
        <v>45448</v>
      </c>
      <c r="T3244" s="57">
        <f>IFERROR(__xludf.DUMMYFUNCTION("""COMPUTED_VALUE"""),45506.0)</f>
        <v>45506</v>
      </c>
    </row>
    <row r="3245">
      <c r="A3245" s="6" t="str">
        <f>IFERROR(__xludf.DUMMYFUNCTION("""COMPUTED_VALUE"""),"121701489-1")</f>
        <v>121701489-1</v>
      </c>
      <c r="B3245" s="6" t="str">
        <f>IFERROR(__xludf.DUMMYFUNCTION("""COMPUTED_VALUE"""),"121701489 - APPROVED")</f>
        <v>121701489 - APPROVED</v>
      </c>
      <c r="C3245" s="6">
        <f>IFERROR(__xludf.DUMMYFUNCTION("""COMPUTED_VALUE"""),1.0)</f>
        <v>1</v>
      </c>
      <c r="D3245" s="6" t="str">
        <f>IFERROR(__xludf.DUMMYFUNCTION("""COMPUTED_VALUE"""),"O-19911-00")</f>
        <v>O-19911-00</v>
      </c>
      <c r="E3245" s="6" t="str">
        <f>IFERROR(__xludf.DUMMYFUNCTION("""COMPUTED_VALUE"""),"CC600L - Coil Evaporator Uk. 40 cm x 15 x 15, Material Tembaga; Custom; ;")</f>
        <v>CC600L - Coil Evaporator Uk. 40 cm x 15 x 15, Material Tembaga; Custom; ;</v>
      </c>
      <c r="F3245" s="6">
        <f>IFERROR(__xludf.DUMMYFUNCTION("""COMPUTED_VALUE"""),1.0)</f>
        <v>1</v>
      </c>
      <c r="G3245" s="6" t="str">
        <f>IFERROR(__xludf.DUMMYFUNCTION("""COMPUTED_VALUE"""),"Unit")</f>
        <v>Unit</v>
      </c>
      <c r="H3245" s="6" t="str">
        <f>IFERROR(__xludf.DUMMYFUNCTION("""COMPUTED_VALUE"""),"IDR")</f>
        <v>IDR</v>
      </c>
      <c r="I3245" s="6">
        <f>IFERROR(__xludf.DUMMYFUNCTION("""COMPUTED_VALUE"""),7500000.0)</f>
        <v>7500000</v>
      </c>
      <c r="J3245" s="6">
        <f>IFERROR(__xludf.DUMMYFUNCTION("""COMPUTED_VALUE"""),7500000.0)</f>
        <v>7500000</v>
      </c>
      <c r="K3245" s="57">
        <f>IFERROR(__xludf.DUMMYFUNCTION("""COMPUTED_VALUE"""),45429.0)</f>
        <v>45429</v>
      </c>
      <c r="L3245" s="6" t="str">
        <f>IFERROR(__xludf.DUMMYFUNCTION("""COMPUTED_VALUE"""),"FIP Engineering")</f>
        <v>FIP Engineering</v>
      </c>
      <c r="M3245" s="6" t="str">
        <f>IFERROR(__xludf.DUMMYFUNCTION("""COMPUTED_VALUE"""),"Mochammad Fadhillah Hakim,")</f>
        <v>Mochammad Fadhillah Hakim,</v>
      </c>
      <c r="N3245" s="6" t="str">
        <f>IFERROR(__xludf.DUMMYFUNCTION("""COMPUTED_VALUE"""),"FIP Engineering")</f>
        <v>FIP Engineering</v>
      </c>
      <c r="O3245" s="6" t="str">
        <f>IFERROR(__xludf.DUMMYFUNCTION("""COMPUTED_VALUE"""),"FIP-DOM-000-11304-OS00001-INA-000000")</f>
        <v>FIP-DOM-000-11304-OS00001-INA-000000</v>
      </c>
      <c r="P3245" s="6" t="str">
        <f>IFERROR(__xludf.DUMMYFUNCTION("""COMPUTED_VALUE"""),"PO Closed")</f>
        <v>PO Closed</v>
      </c>
      <c r="Q3245" s="6" t="str">
        <f>IFERROR(__xludf.DUMMYFUNCTION("""COMPUTED_VALUE"""),"GL2406004")</f>
        <v>GL2406004</v>
      </c>
      <c r="R3245" s="57">
        <f>IFERROR(__xludf.DUMMYFUNCTION("""COMPUTED_VALUE"""),45427.0)</f>
        <v>45427</v>
      </c>
      <c r="S3245" s="57">
        <f>IFERROR(__xludf.DUMMYFUNCTION("""COMPUTED_VALUE"""),45427.0)</f>
        <v>45427</v>
      </c>
      <c r="T3245" s="57">
        <f>IFERROR(__xludf.DUMMYFUNCTION("""COMPUTED_VALUE"""),45478.0)</f>
        <v>45478</v>
      </c>
    </row>
    <row r="3246">
      <c r="A3246" s="6" t="str">
        <f>IFERROR(__xludf.DUMMYFUNCTION("""COMPUTED_VALUE"""),"121701491-1")</f>
        <v>121701491-1</v>
      </c>
      <c r="B3246" s="6" t="str">
        <f>IFERROR(__xludf.DUMMYFUNCTION("""COMPUTED_VALUE"""),"121701491 - APPROVED")</f>
        <v>121701491 - APPROVED</v>
      </c>
      <c r="C3246" s="6">
        <f>IFERROR(__xludf.DUMMYFUNCTION("""COMPUTED_VALUE"""),1.0)</f>
        <v>1</v>
      </c>
      <c r="D3246" s="6" t="str">
        <f>IFERROR(__xludf.DUMMYFUNCTION("""COMPUTED_VALUE"""),"S-60002-00")</f>
        <v>S-60002-00</v>
      </c>
      <c r="E3246" s="6" t="str">
        <f>IFERROR(__xludf.DUMMYFUNCTION("""COMPUTED_VALUE"""),"Jasa Perbaikan dan Pemeliharaan Mesin Utility")</f>
        <v>Jasa Perbaikan dan Pemeliharaan Mesin Utility</v>
      </c>
      <c r="F3246" s="6">
        <f>IFERROR(__xludf.DUMMYFUNCTION("""COMPUTED_VALUE"""),1.0)</f>
        <v>1</v>
      </c>
      <c r="G3246" s="6" t="str">
        <f>IFERROR(__xludf.DUMMYFUNCTION("""COMPUTED_VALUE"""),"Lot")</f>
        <v>Lot</v>
      </c>
      <c r="H3246" s="6" t="str">
        <f>IFERROR(__xludf.DUMMYFUNCTION("""COMPUTED_VALUE"""),"IDR")</f>
        <v>IDR</v>
      </c>
      <c r="I3246" s="6">
        <f>IFERROR(__xludf.DUMMYFUNCTION("""COMPUTED_VALUE"""),850000.0)</f>
        <v>850000</v>
      </c>
      <c r="J3246" s="6">
        <f>IFERROR(__xludf.DUMMYFUNCTION("""COMPUTED_VALUE"""),850000.0)</f>
        <v>850000</v>
      </c>
      <c r="K3246" s="57">
        <f>IFERROR(__xludf.DUMMYFUNCTION("""COMPUTED_VALUE"""),45429.0)</f>
        <v>45429</v>
      </c>
      <c r="L3246" s="6" t="str">
        <f>IFERROR(__xludf.DUMMYFUNCTION("""COMPUTED_VALUE"""),"FIP General")</f>
        <v>FIP General</v>
      </c>
      <c r="M3246" s="6" t="str">
        <f>IFERROR(__xludf.DUMMYFUNCTION("""COMPUTED_VALUE"""),"Mochammad Fadhillah Hakim,")</f>
        <v>Mochammad Fadhillah Hakim,</v>
      </c>
      <c r="N3246" s="6" t="str">
        <f>IFERROR(__xludf.DUMMYFUNCTION("""COMPUTED_VALUE"""),"FIP Engineering")</f>
        <v>FIP Engineering</v>
      </c>
      <c r="O3246" s="6" t="str">
        <f>IFERROR(__xludf.DUMMYFUNCTION("""COMPUTED_VALUE"""),"FIP-DOM-ENG-51508-0000000-INA-000000")</f>
        <v>FIP-DOM-ENG-51508-0000000-INA-000000</v>
      </c>
      <c r="P3246" s="6" t="str">
        <f>IFERROR(__xludf.DUMMYFUNCTION("""COMPUTED_VALUE"""),"PO Closed")</f>
        <v>PO Closed</v>
      </c>
      <c r="Q3246" s="6" t="str">
        <f>IFERROR(__xludf.DUMMYFUNCTION("""COMPUTED_VALUE"""),"GL2408041")</f>
        <v>GL2408041</v>
      </c>
      <c r="R3246" s="57">
        <f>IFERROR(__xludf.DUMMYFUNCTION("""COMPUTED_VALUE"""),45427.0)</f>
        <v>45427</v>
      </c>
      <c r="S3246" s="57">
        <f>IFERROR(__xludf.DUMMYFUNCTION("""COMPUTED_VALUE"""),45432.0)</f>
        <v>45432</v>
      </c>
      <c r="T3246" s="57">
        <f>IFERROR(__xludf.DUMMYFUNCTION("""COMPUTED_VALUE"""),45562.0)</f>
        <v>45562</v>
      </c>
    </row>
    <row r="3247">
      <c r="A3247" s="6" t="str">
        <f>IFERROR(__xludf.DUMMYFUNCTION("""COMPUTED_VALUE"""),"121701493-1")</f>
        <v>121701493-1</v>
      </c>
      <c r="B3247" s="6" t="str">
        <f>IFERROR(__xludf.DUMMYFUNCTION("""COMPUTED_VALUE"""),"121701493 - APPROVED")</f>
        <v>121701493 - APPROVED</v>
      </c>
      <c r="C3247" s="6">
        <f>IFERROR(__xludf.DUMMYFUNCTION("""COMPUTED_VALUE"""),1.0)</f>
        <v>1</v>
      </c>
      <c r="D3247" s="6" t="str">
        <f>IFERROR(__xludf.DUMMYFUNCTION("""COMPUTED_VALUE"""),"Q-90000-00")</f>
        <v>Q-90000-00</v>
      </c>
      <c r="E3247" s="6" t="str">
        <f>IFERROR(__xludf.DUMMYFUNCTION("""COMPUTED_VALUE"""),"Building Maintenance Pure Expense")</f>
        <v>Building Maintenance Pure Expense</v>
      </c>
      <c r="F3247" s="6">
        <f>IFERROR(__xludf.DUMMYFUNCTION("""COMPUTED_VALUE"""),1.0)</f>
        <v>1</v>
      </c>
      <c r="G3247" s="6" t="str">
        <f>IFERROR(__xludf.DUMMYFUNCTION("""COMPUTED_VALUE"""),"Unit")</f>
        <v>Unit</v>
      </c>
      <c r="H3247" s="6" t="str">
        <f>IFERROR(__xludf.DUMMYFUNCTION("""COMPUTED_VALUE"""),"IDR")</f>
        <v>IDR</v>
      </c>
      <c r="I3247" s="6">
        <f>IFERROR(__xludf.DUMMYFUNCTION("""COMPUTED_VALUE"""),9.896E7)</f>
        <v>98960000</v>
      </c>
      <c r="J3247" s="6">
        <f>IFERROR(__xludf.DUMMYFUNCTION("""COMPUTED_VALUE"""),9.896E7)</f>
        <v>98960000</v>
      </c>
      <c r="K3247" s="57">
        <f>IFERROR(__xludf.DUMMYFUNCTION("""COMPUTED_VALUE"""),45434.0)</f>
        <v>45434</v>
      </c>
      <c r="L3247" s="6" t="str">
        <f>IFERROR(__xludf.DUMMYFUNCTION("""COMPUTED_VALUE"""),"FIP General")</f>
        <v>FIP General</v>
      </c>
      <c r="M3247" s="6" t="str">
        <f>IFERROR(__xludf.DUMMYFUNCTION("""COMPUTED_VALUE"""),"Mochammad Fadhillah Hakim,")</f>
        <v>Mochammad Fadhillah Hakim,</v>
      </c>
      <c r="N3247" s="6" t="str">
        <f>IFERROR(__xludf.DUMMYFUNCTION("""COMPUTED_VALUE"""),"FIP Engineering")</f>
        <v>FIP Engineering</v>
      </c>
      <c r="O3247" s="6" t="str">
        <f>IFERROR(__xludf.DUMMYFUNCTION("""COMPUTED_VALUE"""),"FIP-DOM-ENG-51502-0000000-INA-000000")</f>
        <v>FIP-DOM-ENG-51502-0000000-INA-000000</v>
      </c>
      <c r="P3247" s="6" t="str">
        <f>IFERROR(__xludf.DUMMYFUNCTION("""COMPUTED_VALUE"""),"PO Closed")</f>
        <v>PO Closed</v>
      </c>
      <c r="Q3247" s="6" t="str">
        <f>IFERROR(__xludf.DUMMYFUNCTION("""COMPUTED_VALUE"""),"GL2405028")</f>
        <v>GL2405028</v>
      </c>
      <c r="R3247" s="57">
        <f>IFERROR(__xludf.DUMMYFUNCTION("""COMPUTED_VALUE"""),45432.0)</f>
        <v>45432</v>
      </c>
      <c r="S3247" s="57">
        <f>IFERROR(__xludf.DUMMYFUNCTION("""COMPUTED_VALUE"""),45432.0)</f>
        <v>45432</v>
      </c>
      <c r="T3247" s="57">
        <f>IFERROR(__xludf.DUMMYFUNCTION("""COMPUTED_VALUE"""),45657.0)</f>
        <v>45657</v>
      </c>
    </row>
    <row r="3248">
      <c r="A3248" s="6" t="str">
        <f>IFERROR(__xludf.DUMMYFUNCTION("""COMPUTED_VALUE"""),"121701500-1")</f>
        <v>121701500-1</v>
      </c>
      <c r="B3248" s="6" t="str">
        <f>IFERROR(__xludf.DUMMYFUNCTION("""COMPUTED_VALUE"""),"121701500 - APPROVED")</f>
        <v>121701500 - APPROVED</v>
      </c>
      <c r="C3248" s="6">
        <f>IFERROR(__xludf.DUMMYFUNCTION("""COMPUTED_VALUE"""),1.0)</f>
        <v>1</v>
      </c>
      <c r="D3248" s="6" t="str">
        <f>IFERROR(__xludf.DUMMYFUNCTION("""COMPUTED_VALUE"""),"S-60002-00")</f>
        <v>S-60002-00</v>
      </c>
      <c r="E3248" s="6" t="str">
        <f>IFERROR(__xludf.DUMMYFUNCTION("""COMPUTED_VALUE"""),"Jasa Perbaikan dan Pemeliharaan Mesin Utility")</f>
        <v>Jasa Perbaikan dan Pemeliharaan Mesin Utility</v>
      </c>
      <c r="F3248" s="6">
        <f>IFERROR(__xludf.DUMMYFUNCTION("""COMPUTED_VALUE"""),1.0)</f>
        <v>1</v>
      </c>
      <c r="G3248" s="6" t="str">
        <f>IFERROR(__xludf.DUMMYFUNCTION("""COMPUTED_VALUE"""),"Lot")</f>
        <v>Lot</v>
      </c>
      <c r="H3248" s="6" t="str">
        <f>IFERROR(__xludf.DUMMYFUNCTION("""COMPUTED_VALUE"""),"IDR")</f>
        <v>IDR</v>
      </c>
      <c r="I3248" s="6">
        <f>IFERROR(__xludf.DUMMYFUNCTION("""COMPUTED_VALUE"""),1.521E7)</f>
        <v>15210000</v>
      </c>
      <c r="J3248" s="6">
        <f>IFERROR(__xludf.DUMMYFUNCTION("""COMPUTED_VALUE"""),1.521E7)</f>
        <v>15210000</v>
      </c>
      <c r="K3248" s="57">
        <f>IFERROR(__xludf.DUMMYFUNCTION("""COMPUTED_VALUE"""),45436.0)</f>
        <v>45436</v>
      </c>
      <c r="L3248" s="6" t="str">
        <f>IFERROR(__xludf.DUMMYFUNCTION("""COMPUTED_VALUE"""),"FIP General")</f>
        <v>FIP General</v>
      </c>
      <c r="M3248" s="6" t="str">
        <f>IFERROR(__xludf.DUMMYFUNCTION("""COMPUTED_VALUE"""),"Mochammad Fadhillah Hakim,")</f>
        <v>Mochammad Fadhillah Hakim,</v>
      </c>
      <c r="N3248" s="6" t="str">
        <f>IFERROR(__xludf.DUMMYFUNCTION("""COMPUTED_VALUE"""),"FIP Engineering")</f>
        <v>FIP Engineering</v>
      </c>
      <c r="O3248" s="6" t="str">
        <f>IFERROR(__xludf.DUMMYFUNCTION("""COMPUTED_VALUE"""),"FIP-DOM-ENG-51508-0000000-INA-000000")</f>
        <v>FIP-DOM-ENG-51508-0000000-INA-000000</v>
      </c>
      <c r="P3248" s="6" t="str">
        <f>IFERROR(__xludf.DUMMYFUNCTION("""COMPUTED_VALUE"""),"PO Closed")</f>
        <v>PO Closed</v>
      </c>
      <c r="Q3248" s="6"/>
      <c r="R3248" s="57">
        <f>IFERROR(__xludf.DUMMYFUNCTION("""COMPUTED_VALUE"""),45434.0)</f>
        <v>45434</v>
      </c>
      <c r="S3248" s="57">
        <f>IFERROR(__xludf.DUMMYFUNCTION("""COMPUTED_VALUE"""),45439.0)</f>
        <v>45439</v>
      </c>
      <c r="T3248" s="6"/>
    </row>
    <row r="3249">
      <c r="A3249" s="6" t="str">
        <f>IFERROR(__xludf.DUMMYFUNCTION("""COMPUTED_VALUE"""),"121701503-1")</f>
        <v>121701503-1</v>
      </c>
      <c r="B3249" s="6" t="str">
        <f>IFERROR(__xludf.DUMMYFUNCTION("""COMPUTED_VALUE"""),"121701503 - APPROVED")</f>
        <v>121701503 - APPROVED</v>
      </c>
      <c r="C3249" s="6">
        <f>IFERROR(__xludf.DUMMYFUNCTION("""COMPUTED_VALUE"""),1.0)</f>
        <v>1</v>
      </c>
      <c r="D3249" s="6" t="str">
        <f>IFERROR(__xludf.DUMMYFUNCTION("""COMPUTED_VALUE"""),"P-11422-00")</f>
        <v>P-11422-00</v>
      </c>
      <c r="E3249" s="6" t="str">
        <f>IFERROR(__xludf.DUMMYFUNCTION("""COMPUTED_VALUE"""),"Selang Festo Pun-H-10x1.5 / Blue NR : 197386")</f>
        <v>Selang Festo Pun-H-10x1.5 / Blue NR : 197386</v>
      </c>
      <c r="F3249" s="6">
        <f>IFERROR(__xludf.DUMMYFUNCTION("""COMPUTED_VALUE"""),100.0)</f>
        <v>100</v>
      </c>
      <c r="G3249" s="6" t="str">
        <f>IFERROR(__xludf.DUMMYFUNCTION("""COMPUTED_VALUE"""),"Meter")</f>
        <v>Meter</v>
      </c>
      <c r="H3249" s="6" t="str">
        <f>IFERROR(__xludf.DUMMYFUNCTION("""COMPUTED_VALUE"""),"IDR")</f>
        <v>IDR</v>
      </c>
      <c r="I3249" s="6">
        <f>IFERROR(__xludf.DUMMYFUNCTION("""COMPUTED_VALUE"""),29854.0)</f>
        <v>29854</v>
      </c>
      <c r="J3249" s="6">
        <f>IFERROR(__xludf.DUMMYFUNCTION("""COMPUTED_VALUE"""),2985400.0)</f>
        <v>2985400</v>
      </c>
      <c r="K3249" s="57">
        <f>IFERROR(__xludf.DUMMYFUNCTION("""COMPUTED_VALUE"""),45441.0)</f>
        <v>45441</v>
      </c>
      <c r="L3249" s="6" t="str">
        <f>IFERROR(__xludf.DUMMYFUNCTION("""COMPUTED_VALUE"""),"FIP Engineering")</f>
        <v>FIP Engineering</v>
      </c>
      <c r="M3249" s="6" t="str">
        <f>IFERROR(__xludf.DUMMYFUNCTION("""COMPUTED_VALUE"""),"Mochammad Fadhillah Hakim,")</f>
        <v>Mochammad Fadhillah Hakim,</v>
      </c>
      <c r="N3249" s="6" t="str">
        <f>IFERROR(__xludf.DUMMYFUNCTION("""COMPUTED_VALUE"""),"FIP Engineering")</f>
        <v>FIP Engineering</v>
      </c>
      <c r="O3249" s="6" t="str">
        <f>IFERROR(__xludf.DUMMYFUNCTION("""COMPUTED_VALUE"""),"FIP-DOM-000-11304-OS00001-INA-000000")</f>
        <v>FIP-DOM-000-11304-OS00001-INA-000000</v>
      </c>
      <c r="P3249" s="6" t="str">
        <f>IFERROR(__xludf.DUMMYFUNCTION("""COMPUTED_VALUE"""),"PO Closed")</f>
        <v>PO Closed</v>
      </c>
      <c r="Q3249" s="6" t="str">
        <f>IFERROR(__xludf.DUMMYFUNCTION("""COMPUTED_VALUE"""),"GL2405365")</f>
        <v>GL2405365</v>
      </c>
      <c r="R3249" s="57">
        <f>IFERROR(__xludf.DUMMYFUNCTION("""COMPUTED_VALUE"""),45439.0)</f>
        <v>45439</v>
      </c>
      <c r="S3249" s="57">
        <f>IFERROR(__xludf.DUMMYFUNCTION("""COMPUTED_VALUE"""),45439.0)</f>
        <v>45439</v>
      </c>
      <c r="T3249" s="57">
        <f>IFERROR(__xludf.DUMMYFUNCTION("""COMPUTED_VALUE"""),45453.0)</f>
        <v>45453</v>
      </c>
    </row>
    <row r="3250">
      <c r="A3250" s="6" t="str">
        <f>IFERROR(__xludf.DUMMYFUNCTION("""COMPUTED_VALUE"""),"121701503-2")</f>
        <v>121701503-2</v>
      </c>
      <c r="B3250" s="6" t="str">
        <f>IFERROR(__xludf.DUMMYFUNCTION("""COMPUTED_VALUE"""),"121701503 - APPROVED")</f>
        <v>121701503 - APPROVED</v>
      </c>
      <c r="C3250" s="6">
        <f>IFERROR(__xludf.DUMMYFUNCTION("""COMPUTED_VALUE"""),2.0)</f>
        <v>2</v>
      </c>
      <c r="D3250" s="6" t="str">
        <f>IFERROR(__xludf.DUMMYFUNCTION("""COMPUTED_VALUE"""),"P-11431-00")</f>
        <v>P-11431-00</v>
      </c>
      <c r="E3250" s="6" t="str">
        <f>IFERROR(__xludf.DUMMYFUNCTION("""COMPUTED_VALUE"""),"Selang Festo Pun-H-8x1.25 mm Blue NR : 197385")</f>
        <v>Selang Festo Pun-H-8x1.25 mm Blue NR : 197385</v>
      </c>
      <c r="F3250" s="6">
        <f>IFERROR(__xludf.DUMMYFUNCTION("""COMPUTED_VALUE"""),100.0)</f>
        <v>100</v>
      </c>
      <c r="G3250" s="6" t="str">
        <f>IFERROR(__xludf.DUMMYFUNCTION("""COMPUTED_VALUE"""),"Meter")</f>
        <v>Meter</v>
      </c>
      <c r="H3250" s="6" t="str">
        <f>IFERROR(__xludf.DUMMYFUNCTION("""COMPUTED_VALUE"""),"IDR")</f>
        <v>IDR</v>
      </c>
      <c r="I3250" s="6">
        <f>IFERROR(__xludf.DUMMYFUNCTION("""COMPUTED_VALUE"""),19903.0)</f>
        <v>19903</v>
      </c>
      <c r="J3250" s="6">
        <f>IFERROR(__xludf.DUMMYFUNCTION("""COMPUTED_VALUE"""),1990300.0)</f>
        <v>1990300</v>
      </c>
      <c r="K3250" s="57">
        <f>IFERROR(__xludf.DUMMYFUNCTION("""COMPUTED_VALUE"""),45441.0)</f>
        <v>45441</v>
      </c>
      <c r="L3250" s="6" t="str">
        <f>IFERROR(__xludf.DUMMYFUNCTION("""COMPUTED_VALUE"""),"FIP Engineering")</f>
        <v>FIP Engineering</v>
      </c>
      <c r="M3250" s="6" t="str">
        <f>IFERROR(__xludf.DUMMYFUNCTION("""COMPUTED_VALUE"""),"Mochammad Fadhillah Hakim,")</f>
        <v>Mochammad Fadhillah Hakim,</v>
      </c>
      <c r="N3250" s="6" t="str">
        <f>IFERROR(__xludf.DUMMYFUNCTION("""COMPUTED_VALUE"""),"FIP Engineering")</f>
        <v>FIP Engineering</v>
      </c>
      <c r="O3250" s="6" t="str">
        <f>IFERROR(__xludf.DUMMYFUNCTION("""COMPUTED_VALUE"""),"FIP-DOM-000-11304-OS00001-INA-000000")</f>
        <v>FIP-DOM-000-11304-OS00001-INA-000000</v>
      </c>
      <c r="P3250" s="6" t="str">
        <f>IFERROR(__xludf.DUMMYFUNCTION("""COMPUTED_VALUE"""),"PO Closed")</f>
        <v>PO Closed</v>
      </c>
      <c r="Q3250" s="6" t="str">
        <f>IFERROR(__xludf.DUMMYFUNCTION("""COMPUTED_VALUE"""),"GL2405365")</f>
        <v>GL2405365</v>
      </c>
      <c r="R3250" s="57">
        <f>IFERROR(__xludf.DUMMYFUNCTION("""COMPUTED_VALUE"""),45439.0)</f>
        <v>45439</v>
      </c>
      <c r="S3250" s="57">
        <f>IFERROR(__xludf.DUMMYFUNCTION("""COMPUTED_VALUE"""),45439.0)</f>
        <v>45439</v>
      </c>
      <c r="T3250" s="57">
        <f>IFERROR(__xludf.DUMMYFUNCTION("""COMPUTED_VALUE"""),45453.0)</f>
        <v>45453</v>
      </c>
    </row>
    <row r="3251">
      <c r="A3251" s="6" t="str">
        <f>IFERROR(__xludf.DUMMYFUNCTION("""COMPUTED_VALUE"""),"121701503-3")</f>
        <v>121701503-3</v>
      </c>
      <c r="B3251" s="6" t="str">
        <f>IFERROR(__xludf.DUMMYFUNCTION("""COMPUTED_VALUE"""),"121701503 - APPROVED")</f>
        <v>121701503 - APPROVED</v>
      </c>
      <c r="C3251" s="6">
        <f>IFERROR(__xludf.DUMMYFUNCTION("""COMPUTED_VALUE"""),3.0)</f>
        <v>3</v>
      </c>
      <c r="D3251" s="6" t="str">
        <f>IFERROR(__xludf.DUMMYFUNCTION("""COMPUTED_VALUE"""),"P-11424-00")</f>
        <v>P-11424-00</v>
      </c>
      <c r="E3251" s="6" t="str">
        <f>IFERROR(__xludf.DUMMYFUNCTION("""COMPUTED_VALUE"""),"Selang Festo Pun-H-12x2 Blue 2 x 50 m")</f>
        <v>Selang Festo Pun-H-12x2 Blue 2 x 50 m</v>
      </c>
      <c r="F3251" s="6">
        <f>IFERROR(__xludf.DUMMYFUNCTION("""COMPUTED_VALUE"""),100.0)</f>
        <v>100</v>
      </c>
      <c r="G3251" s="6" t="str">
        <f>IFERROR(__xludf.DUMMYFUNCTION("""COMPUTED_VALUE"""),"Meter")</f>
        <v>Meter</v>
      </c>
      <c r="H3251" s="6" t="str">
        <f>IFERROR(__xludf.DUMMYFUNCTION("""COMPUTED_VALUE"""),"IDR")</f>
        <v>IDR</v>
      </c>
      <c r="I3251" s="6">
        <f>IFERROR(__xludf.DUMMYFUNCTION("""COMPUTED_VALUE"""),41561.0)</f>
        <v>41561</v>
      </c>
      <c r="J3251" s="6">
        <f>IFERROR(__xludf.DUMMYFUNCTION("""COMPUTED_VALUE"""),4156100.0)</f>
        <v>4156100</v>
      </c>
      <c r="K3251" s="57">
        <f>IFERROR(__xludf.DUMMYFUNCTION("""COMPUTED_VALUE"""),45441.0)</f>
        <v>45441</v>
      </c>
      <c r="L3251" s="6" t="str">
        <f>IFERROR(__xludf.DUMMYFUNCTION("""COMPUTED_VALUE"""),"FIP Engineering")</f>
        <v>FIP Engineering</v>
      </c>
      <c r="M3251" s="6" t="str">
        <f>IFERROR(__xludf.DUMMYFUNCTION("""COMPUTED_VALUE"""),"Mochammad Fadhillah Hakim,")</f>
        <v>Mochammad Fadhillah Hakim,</v>
      </c>
      <c r="N3251" s="6" t="str">
        <f>IFERROR(__xludf.DUMMYFUNCTION("""COMPUTED_VALUE"""),"FIP Engineering")</f>
        <v>FIP Engineering</v>
      </c>
      <c r="O3251" s="6" t="str">
        <f>IFERROR(__xludf.DUMMYFUNCTION("""COMPUTED_VALUE"""),"FIP-DOM-000-11304-OS00001-INA-000000")</f>
        <v>FIP-DOM-000-11304-OS00001-INA-000000</v>
      </c>
      <c r="P3251" s="6" t="str">
        <f>IFERROR(__xludf.DUMMYFUNCTION("""COMPUTED_VALUE"""),"PO Closed")</f>
        <v>PO Closed</v>
      </c>
      <c r="Q3251" s="6" t="str">
        <f>IFERROR(__xludf.DUMMYFUNCTION("""COMPUTED_VALUE"""),"GL2405365")</f>
        <v>GL2405365</v>
      </c>
      <c r="R3251" s="57">
        <f>IFERROR(__xludf.DUMMYFUNCTION("""COMPUTED_VALUE"""),45439.0)</f>
        <v>45439</v>
      </c>
      <c r="S3251" s="57">
        <f>IFERROR(__xludf.DUMMYFUNCTION("""COMPUTED_VALUE"""),45439.0)</f>
        <v>45439</v>
      </c>
      <c r="T3251" s="57">
        <f>IFERROR(__xludf.DUMMYFUNCTION("""COMPUTED_VALUE"""),45453.0)</f>
        <v>45453</v>
      </c>
    </row>
    <row r="3252">
      <c r="A3252" s="6" t="str">
        <f>IFERROR(__xludf.DUMMYFUNCTION("""COMPUTED_VALUE"""),"121701503-4")</f>
        <v>121701503-4</v>
      </c>
      <c r="B3252" s="6" t="str">
        <f>IFERROR(__xludf.DUMMYFUNCTION("""COMPUTED_VALUE"""),"121701503 - APPROVED")</f>
        <v>121701503 - APPROVED</v>
      </c>
      <c r="C3252" s="6">
        <f>IFERROR(__xludf.DUMMYFUNCTION("""COMPUTED_VALUE"""),4.0)</f>
        <v>4</v>
      </c>
      <c r="D3252" s="6" t="str">
        <f>IFERROR(__xludf.DUMMYFUNCTION("""COMPUTED_VALUE"""),"O-13501-00")</f>
        <v>O-13501-00</v>
      </c>
      <c r="E3252" s="6" t="str">
        <f>IFERROR(__xludf.DUMMYFUNCTION("""COMPUTED_VALUE"""),"Pneumatic Fitting - QST 12 FESTO P/N : -  pc")</f>
        <v>Pneumatic Fitting - QST 12 FESTO P/N : -  pc</v>
      </c>
      <c r="F3252" s="6">
        <f>IFERROR(__xludf.DUMMYFUNCTION("""COMPUTED_VALUE"""),10.0)</f>
        <v>10</v>
      </c>
      <c r="G3252" s="6" t="str">
        <f>IFERROR(__xludf.DUMMYFUNCTION("""COMPUTED_VALUE"""),"Pieces")</f>
        <v>Pieces</v>
      </c>
      <c r="H3252" s="6" t="str">
        <f>IFERROR(__xludf.DUMMYFUNCTION("""COMPUTED_VALUE"""),"IDR")</f>
        <v>IDR</v>
      </c>
      <c r="I3252" s="6">
        <f>IFERROR(__xludf.DUMMYFUNCTION("""COMPUTED_VALUE"""),112683.0)</f>
        <v>112683</v>
      </c>
      <c r="J3252" s="6">
        <f>IFERROR(__xludf.DUMMYFUNCTION("""COMPUTED_VALUE"""),1126830.0)</f>
        <v>1126830</v>
      </c>
      <c r="K3252" s="57">
        <f>IFERROR(__xludf.DUMMYFUNCTION("""COMPUTED_VALUE"""),45441.0)</f>
        <v>45441</v>
      </c>
      <c r="L3252" s="6" t="str">
        <f>IFERROR(__xludf.DUMMYFUNCTION("""COMPUTED_VALUE"""),"FIP Engineering")</f>
        <v>FIP Engineering</v>
      </c>
      <c r="M3252" s="6" t="str">
        <f>IFERROR(__xludf.DUMMYFUNCTION("""COMPUTED_VALUE"""),"Mochammad Fadhillah Hakim,")</f>
        <v>Mochammad Fadhillah Hakim,</v>
      </c>
      <c r="N3252" s="6" t="str">
        <f>IFERROR(__xludf.DUMMYFUNCTION("""COMPUTED_VALUE"""),"FIP Engineering")</f>
        <v>FIP Engineering</v>
      </c>
      <c r="O3252" s="6" t="str">
        <f>IFERROR(__xludf.DUMMYFUNCTION("""COMPUTED_VALUE"""),"FIP-DOM-000-11304-OS00001-INA-000000")</f>
        <v>FIP-DOM-000-11304-OS00001-INA-000000</v>
      </c>
      <c r="P3252" s="6" t="str">
        <f>IFERROR(__xludf.DUMMYFUNCTION("""COMPUTED_VALUE"""),"PO Closed")</f>
        <v>PO Closed</v>
      </c>
      <c r="Q3252" s="6" t="str">
        <f>IFERROR(__xludf.DUMMYFUNCTION("""COMPUTED_VALUE"""),"GL2405365")</f>
        <v>GL2405365</v>
      </c>
      <c r="R3252" s="57">
        <f>IFERROR(__xludf.DUMMYFUNCTION("""COMPUTED_VALUE"""),45439.0)</f>
        <v>45439</v>
      </c>
      <c r="S3252" s="57">
        <f>IFERROR(__xludf.DUMMYFUNCTION("""COMPUTED_VALUE"""),45439.0)</f>
        <v>45439</v>
      </c>
      <c r="T3252" s="57">
        <f>IFERROR(__xludf.DUMMYFUNCTION("""COMPUTED_VALUE"""),45453.0)</f>
        <v>45453</v>
      </c>
    </row>
    <row r="3253">
      <c r="A3253" s="6" t="str">
        <f>IFERROR(__xludf.DUMMYFUNCTION("""COMPUTED_VALUE"""),"121701503-5")</f>
        <v>121701503-5</v>
      </c>
      <c r="B3253" s="6" t="str">
        <f>IFERROR(__xludf.DUMMYFUNCTION("""COMPUTED_VALUE"""),"121701503 - APPROVED")</f>
        <v>121701503 - APPROVED</v>
      </c>
      <c r="C3253" s="6">
        <f>IFERROR(__xludf.DUMMYFUNCTION("""COMPUTED_VALUE"""),5.0)</f>
        <v>5</v>
      </c>
      <c r="D3253" s="6" t="str">
        <f>IFERROR(__xludf.DUMMYFUNCTION("""COMPUTED_VALUE"""),"P-12282-00")</f>
        <v>P-12282-00</v>
      </c>
      <c r="E3253" s="6" t="str">
        <f>IFERROR(__xludf.DUMMYFUNCTION("""COMPUTED_VALUE"""),"FESTO - QS-12-10 Push in Connector p/n: 153040")</f>
        <v>FESTO - QS-12-10 Push in Connector p/n: 153040</v>
      </c>
      <c r="F3253" s="6">
        <f>IFERROR(__xludf.DUMMYFUNCTION("""COMPUTED_VALUE"""),10.0)</f>
        <v>10</v>
      </c>
      <c r="G3253" s="6" t="str">
        <f>IFERROR(__xludf.DUMMYFUNCTION("""COMPUTED_VALUE"""),"Pieces")</f>
        <v>Pieces</v>
      </c>
      <c r="H3253" s="6" t="str">
        <f>IFERROR(__xludf.DUMMYFUNCTION("""COMPUTED_VALUE"""),"IDR")</f>
        <v>IDR</v>
      </c>
      <c r="I3253" s="6">
        <f>IFERROR(__xludf.DUMMYFUNCTION("""COMPUTED_VALUE"""),66439.0)</f>
        <v>66439</v>
      </c>
      <c r="J3253" s="6">
        <f>IFERROR(__xludf.DUMMYFUNCTION("""COMPUTED_VALUE"""),664390.0)</f>
        <v>664390</v>
      </c>
      <c r="K3253" s="57">
        <f>IFERROR(__xludf.DUMMYFUNCTION("""COMPUTED_VALUE"""),45441.0)</f>
        <v>45441</v>
      </c>
      <c r="L3253" s="6" t="str">
        <f>IFERROR(__xludf.DUMMYFUNCTION("""COMPUTED_VALUE"""),"FIP Engineering")</f>
        <v>FIP Engineering</v>
      </c>
      <c r="M3253" s="6" t="str">
        <f>IFERROR(__xludf.DUMMYFUNCTION("""COMPUTED_VALUE"""),"Mochammad Fadhillah Hakim,")</f>
        <v>Mochammad Fadhillah Hakim,</v>
      </c>
      <c r="N3253" s="6" t="str">
        <f>IFERROR(__xludf.DUMMYFUNCTION("""COMPUTED_VALUE"""),"FIP Engineering")</f>
        <v>FIP Engineering</v>
      </c>
      <c r="O3253" s="6" t="str">
        <f>IFERROR(__xludf.DUMMYFUNCTION("""COMPUTED_VALUE"""),"FIP-DOM-000-11304-OS00001-INA-000000")</f>
        <v>FIP-DOM-000-11304-OS00001-INA-000000</v>
      </c>
      <c r="P3253" s="6" t="str">
        <f>IFERROR(__xludf.DUMMYFUNCTION("""COMPUTED_VALUE"""),"PO Closed")</f>
        <v>PO Closed</v>
      </c>
      <c r="Q3253" s="6" t="str">
        <f>IFERROR(__xludf.DUMMYFUNCTION("""COMPUTED_VALUE"""),"GL2405365")</f>
        <v>GL2405365</v>
      </c>
      <c r="R3253" s="57">
        <f>IFERROR(__xludf.DUMMYFUNCTION("""COMPUTED_VALUE"""),45439.0)</f>
        <v>45439</v>
      </c>
      <c r="S3253" s="57">
        <f>IFERROR(__xludf.DUMMYFUNCTION("""COMPUTED_VALUE"""),45439.0)</f>
        <v>45439</v>
      </c>
      <c r="T3253" s="57">
        <f>IFERROR(__xludf.DUMMYFUNCTION("""COMPUTED_VALUE"""),45453.0)</f>
        <v>45453</v>
      </c>
    </row>
    <row r="3254">
      <c r="A3254" s="6" t="str">
        <f>IFERROR(__xludf.DUMMYFUNCTION("""COMPUTED_VALUE"""),"121701503-6")</f>
        <v>121701503-6</v>
      </c>
      <c r="B3254" s="6" t="str">
        <f>IFERROR(__xludf.DUMMYFUNCTION("""COMPUTED_VALUE"""),"121701503 - APPROVED")</f>
        <v>121701503 - APPROVED</v>
      </c>
      <c r="C3254" s="6">
        <f>IFERROR(__xludf.DUMMYFUNCTION("""COMPUTED_VALUE"""),6.0)</f>
        <v>6</v>
      </c>
      <c r="D3254" s="6" t="str">
        <f>IFERROR(__xludf.DUMMYFUNCTION("""COMPUTED_VALUE"""),"P-19255-00")</f>
        <v>P-19255-00</v>
      </c>
      <c r="E3254" s="6" t="str">
        <f>IFERROR(__xludf.DUMMYFUNCTION("""COMPUTED_VALUE"""),"Plastic Tubing PUN-H-14x2-BL; Festo; 570386;")</f>
        <v>Plastic Tubing PUN-H-14x2-BL; Festo; 570386;</v>
      </c>
      <c r="F3254" s="6">
        <f>IFERROR(__xludf.DUMMYFUNCTION("""COMPUTED_VALUE"""),100.0)</f>
        <v>100</v>
      </c>
      <c r="G3254" s="6" t="str">
        <f>IFERROR(__xludf.DUMMYFUNCTION("""COMPUTED_VALUE"""),"Meter")</f>
        <v>Meter</v>
      </c>
      <c r="H3254" s="6" t="str">
        <f>IFERROR(__xludf.DUMMYFUNCTION("""COMPUTED_VALUE"""),"IDR")</f>
        <v>IDR</v>
      </c>
      <c r="I3254" s="6">
        <f>IFERROR(__xludf.DUMMYFUNCTION("""COMPUTED_VALUE"""),60586.0)</f>
        <v>60586</v>
      </c>
      <c r="J3254" s="6">
        <f>IFERROR(__xludf.DUMMYFUNCTION("""COMPUTED_VALUE"""),6058600.0)</f>
        <v>6058600</v>
      </c>
      <c r="K3254" s="57">
        <f>IFERROR(__xludf.DUMMYFUNCTION("""COMPUTED_VALUE"""),45441.0)</f>
        <v>45441</v>
      </c>
      <c r="L3254" s="6" t="str">
        <f>IFERROR(__xludf.DUMMYFUNCTION("""COMPUTED_VALUE"""),"FIP Engineering")</f>
        <v>FIP Engineering</v>
      </c>
      <c r="M3254" s="6" t="str">
        <f>IFERROR(__xludf.DUMMYFUNCTION("""COMPUTED_VALUE"""),"Mochammad Fadhillah Hakim,")</f>
        <v>Mochammad Fadhillah Hakim,</v>
      </c>
      <c r="N3254" s="6" t="str">
        <f>IFERROR(__xludf.DUMMYFUNCTION("""COMPUTED_VALUE"""),"FIP Engineering")</f>
        <v>FIP Engineering</v>
      </c>
      <c r="O3254" s="6" t="str">
        <f>IFERROR(__xludf.DUMMYFUNCTION("""COMPUTED_VALUE"""),"FIP-DOM-000-11304-OS00001-INA-000000")</f>
        <v>FIP-DOM-000-11304-OS00001-INA-000000</v>
      </c>
      <c r="P3254" s="6" t="str">
        <f>IFERROR(__xludf.DUMMYFUNCTION("""COMPUTED_VALUE"""),"PO Closed")</f>
        <v>PO Closed</v>
      </c>
      <c r="Q3254" s="6" t="str">
        <f>IFERROR(__xludf.DUMMYFUNCTION("""COMPUTED_VALUE"""),"GL2405365")</f>
        <v>GL2405365</v>
      </c>
      <c r="R3254" s="57">
        <f>IFERROR(__xludf.DUMMYFUNCTION("""COMPUTED_VALUE"""),45439.0)</f>
        <v>45439</v>
      </c>
      <c r="S3254" s="57">
        <f>IFERROR(__xludf.DUMMYFUNCTION("""COMPUTED_VALUE"""),45439.0)</f>
        <v>45439</v>
      </c>
      <c r="T3254" s="57">
        <f>IFERROR(__xludf.DUMMYFUNCTION("""COMPUTED_VALUE"""),45453.0)</f>
        <v>45453</v>
      </c>
    </row>
    <row r="3255">
      <c r="A3255" s="6" t="str">
        <f>IFERROR(__xludf.DUMMYFUNCTION("""COMPUTED_VALUE"""),"121701509-1")</f>
        <v>121701509-1</v>
      </c>
      <c r="B3255" s="6" t="str">
        <f>IFERROR(__xludf.DUMMYFUNCTION("""COMPUTED_VALUE"""),"121701509 - APPROVED")</f>
        <v>121701509 - APPROVED</v>
      </c>
      <c r="C3255" s="6">
        <f>IFERROR(__xludf.DUMMYFUNCTION("""COMPUTED_VALUE"""),1.0)</f>
        <v>1</v>
      </c>
      <c r="D3255" s="6" t="str">
        <f>IFERROR(__xludf.DUMMYFUNCTION("""COMPUTED_VALUE"""),"Q-90000-00")</f>
        <v>Q-90000-00</v>
      </c>
      <c r="E3255" s="6" t="str">
        <f>IFERROR(__xludf.DUMMYFUNCTION("""COMPUTED_VALUE"""),"Building Maintenance Pure Expense")</f>
        <v>Building Maintenance Pure Expense</v>
      </c>
      <c r="F3255" s="6">
        <f>IFERROR(__xludf.DUMMYFUNCTION("""COMPUTED_VALUE"""),1.0)</f>
        <v>1</v>
      </c>
      <c r="G3255" s="6" t="str">
        <f>IFERROR(__xludf.DUMMYFUNCTION("""COMPUTED_VALUE"""),"Unit")</f>
        <v>Unit</v>
      </c>
      <c r="H3255" s="6" t="str">
        <f>IFERROR(__xludf.DUMMYFUNCTION("""COMPUTED_VALUE"""),"IDR")</f>
        <v>IDR</v>
      </c>
      <c r="I3255" s="6">
        <f>IFERROR(__xludf.DUMMYFUNCTION("""COMPUTED_VALUE"""),1.14885E8)</f>
        <v>114885000</v>
      </c>
      <c r="J3255" s="6">
        <f>IFERROR(__xludf.DUMMYFUNCTION("""COMPUTED_VALUE"""),1.14885E8)</f>
        <v>114885000</v>
      </c>
      <c r="K3255" s="57">
        <f>IFERROR(__xludf.DUMMYFUNCTION("""COMPUTED_VALUE"""),45443.0)</f>
        <v>45443</v>
      </c>
      <c r="L3255" s="6" t="str">
        <f>IFERROR(__xludf.DUMMYFUNCTION("""COMPUTED_VALUE"""),"FIP General")</f>
        <v>FIP General</v>
      </c>
      <c r="M3255" s="6" t="str">
        <f>IFERROR(__xludf.DUMMYFUNCTION("""COMPUTED_VALUE"""),"Mochammad Fadhillah Hakim,")</f>
        <v>Mochammad Fadhillah Hakim,</v>
      </c>
      <c r="N3255" s="6" t="str">
        <f>IFERROR(__xludf.DUMMYFUNCTION("""COMPUTED_VALUE"""),"FIP Engineering")</f>
        <v>FIP Engineering</v>
      </c>
      <c r="O3255" s="6" t="str">
        <f>IFERROR(__xludf.DUMMYFUNCTION("""COMPUTED_VALUE"""),"FIP-DOM-ENG-51502-0000000-INA-000000")</f>
        <v>FIP-DOM-ENG-51502-0000000-INA-000000</v>
      </c>
      <c r="P3255" s="6" t="str">
        <f>IFERROR(__xludf.DUMMYFUNCTION("""COMPUTED_VALUE"""),"PO Closed")</f>
        <v>PO Closed</v>
      </c>
      <c r="Q3255" s="6" t="str">
        <f>IFERROR(__xludf.DUMMYFUNCTION("""COMPUTED_VALUE"""),"GL2407006")</f>
        <v>GL2407006</v>
      </c>
      <c r="R3255" s="57">
        <f>IFERROR(__xludf.DUMMYFUNCTION("""COMPUTED_VALUE"""),45441.0)</f>
        <v>45441</v>
      </c>
      <c r="S3255" s="57">
        <f>IFERROR(__xludf.DUMMYFUNCTION("""COMPUTED_VALUE"""),45447.0)</f>
        <v>45447</v>
      </c>
      <c r="T3255" s="57">
        <f>IFERROR(__xludf.DUMMYFUNCTION("""COMPUTED_VALUE"""),45504.0)</f>
        <v>45504</v>
      </c>
    </row>
    <row r="3256">
      <c r="A3256" s="6" t="str">
        <f>IFERROR(__xludf.DUMMYFUNCTION("""COMPUTED_VALUE"""),"121701511-1")</f>
        <v>121701511-1</v>
      </c>
      <c r="B3256" s="6" t="str">
        <f>IFERROR(__xludf.DUMMYFUNCTION("""COMPUTED_VALUE"""),"121701511 - APPROVED")</f>
        <v>121701511 - APPROVED</v>
      </c>
      <c r="C3256" s="6">
        <f>IFERROR(__xludf.DUMMYFUNCTION("""COMPUTED_VALUE"""),1.0)</f>
        <v>1</v>
      </c>
      <c r="D3256" s="6" t="str">
        <f>IFERROR(__xludf.DUMMYFUNCTION("""COMPUTED_VALUE"""),"T-20549-00")</f>
        <v>T-20549-00</v>
      </c>
      <c r="E3256" s="6" t="str">
        <f>IFERROR(__xludf.DUMMYFUNCTION("""COMPUTED_VALUE"""),"pH electrode InLab Expert Pro; Mettler Toledo; PN : 51343101; Pcs")</f>
        <v>pH electrode InLab Expert Pro; Mettler Toledo; PN : 51343101; Pcs</v>
      </c>
      <c r="F3256" s="6">
        <f>IFERROR(__xludf.DUMMYFUNCTION("""COMPUTED_VALUE"""),1.0)</f>
        <v>1</v>
      </c>
      <c r="G3256" s="6" t="str">
        <f>IFERROR(__xludf.DUMMYFUNCTION("""COMPUTED_VALUE"""),"Pieces")</f>
        <v>Pieces</v>
      </c>
      <c r="H3256" s="6" t="str">
        <f>IFERROR(__xludf.DUMMYFUNCTION("""COMPUTED_VALUE"""),"IDR")</f>
        <v>IDR</v>
      </c>
      <c r="I3256" s="6">
        <f>IFERROR(__xludf.DUMMYFUNCTION("""COMPUTED_VALUE"""),6140400.0)</f>
        <v>6140400</v>
      </c>
      <c r="J3256" s="6">
        <f>IFERROR(__xludf.DUMMYFUNCTION("""COMPUTED_VALUE"""),6140400.0)</f>
        <v>6140400</v>
      </c>
      <c r="K3256" s="57">
        <f>IFERROR(__xludf.DUMMYFUNCTION("""COMPUTED_VALUE"""),45444.0)</f>
        <v>45444</v>
      </c>
      <c r="L3256" s="6" t="str">
        <f>IFERROR(__xludf.DUMMYFUNCTION("""COMPUTED_VALUE"""),"FIP General")</f>
        <v>FIP General</v>
      </c>
      <c r="M3256" s="6" t="str">
        <f>IFERROR(__xludf.DUMMYFUNCTION("""COMPUTED_VALUE"""),"Mochammad Fadhillah Hakim,")</f>
        <v>Mochammad Fadhillah Hakim,</v>
      </c>
      <c r="N3256" s="6" t="str">
        <f>IFERROR(__xludf.DUMMYFUNCTION("""COMPUTED_VALUE"""),"FIP Engineering")</f>
        <v>FIP Engineering</v>
      </c>
      <c r="O3256" s="6" t="str">
        <f>IFERROR(__xludf.DUMMYFUNCTION("""COMPUTED_VALUE"""),"FIP-DOM-ENG-51505-0000000-INA-000000")</f>
        <v>FIP-DOM-ENG-51505-0000000-INA-000000</v>
      </c>
      <c r="P3256" s="6" t="str">
        <f>IFERROR(__xludf.DUMMYFUNCTION("""COMPUTED_VALUE"""),"PO Closed")</f>
        <v>PO Closed</v>
      </c>
      <c r="Q3256" s="6" t="str">
        <f>IFERROR(__xludf.DUMMYFUNCTION("""COMPUTED_VALUE"""),"GL2406370")</f>
        <v>GL2406370</v>
      </c>
      <c r="R3256" s="57">
        <f>IFERROR(__xludf.DUMMYFUNCTION("""COMPUTED_VALUE"""),45442.0)</f>
        <v>45442</v>
      </c>
      <c r="S3256" s="57">
        <f>IFERROR(__xludf.DUMMYFUNCTION("""COMPUTED_VALUE"""),45443.0)</f>
        <v>45443</v>
      </c>
      <c r="T3256" s="57">
        <f>IFERROR(__xludf.DUMMYFUNCTION("""COMPUTED_VALUE"""),45485.0)</f>
        <v>45485</v>
      </c>
    </row>
    <row r="3257">
      <c r="A3257" s="6" t="str">
        <f>IFERROR(__xludf.DUMMYFUNCTION("""COMPUTED_VALUE"""),"121701512-1")</f>
        <v>121701512-1</v>
      </c>
      <c r="B3257" s="6" t="str">
        <f>IFERROR(__xludf.DUMMYFUNCTION("""COMPUTED_VALUE"""),"121701512 - APPROVED")</f>
        <v>121701512 - APPROVED</v>
      </c>
      <c r="C3257" s="6">
        <f>IFERROR(__xludf.DUMMYFUNCTION("""COMPUTED_VALUE"""),1.0)</f>
        <v>1</v>
      </c>
      <c r="D3257" s="6" t="str">
        <f>IFERROR(__xludf.DUMMYFUNCTION("""COMPUTED_VALUE"""),"Q-90000-00")</f>
        <v>Q-90000-00</v>
      </c>
      <c r="E3257" s="6" t="str">
        <f>IFERROR(__xludf.DUMMYFUNCTION("""COMPUTED_VALUE"""),"Building Maintenance Pure Expense")</f>
        <v>Building Maintenance Pure Expense</v>
      </c>
      <c r="F3257" s="6">
        <f>IFERROR(__xludf.DUMMYFUNCTION("""COMPUTED_VALUE"""),1.0)</f>
        <v>1</v>
      </c>
      <c r="G3257" s="6" t="str">
        <f>IFERROR(__xludf.DUMMYFUNCTION("""COMPUTED_VALUE"""),"Unit")</f>
        <v>Unit</v>
      </c>
      <c r="H3257" s="6" t="str">
        <f>IFERROR(__xludf.DUMMYFUNCTION("""COMPUTED_VALUE"""),"IDR")</f>
        <v>IDR</v>
      </c>
      <c r="I3257" s="6">
        <f>IFERROR(__xludf.DUMMYFUNCTION("""COMPUTED_VALUE"""),2.2425E7)</f>
        <v>22425000</v>
      </c>
      <c r="J3257" s="6">
        <f>IFERROR(__xludf.DUMMYFUNCTION("""COMPUTED_VALUE"""),2.2425E7)</f>
        <v>22425000</v>
      </c>
      <c r="K3257" s="57">
        <f>IFERROR(__xludf.DUMMYFUNCTION("""COMPUTED_VALUE"""),45445.0)</f>
        <v>45445</v>
      </c>
      <c r="L3257" s="6" t="str">
        <f>IFERROR(__xludf.DUMMYFUNCTION("""COMPUTED_VALUE"""),"FIP General")</f>
        <v>FIP General</v>
      </c>
      <c r="M3257" s="6" t="str">
        <f>IFERROR(__xludf.DUMMYFUNCTION("""COMPUTED_VALUE"""),"Mochammad Fadhillah Hakim,")</f>
        <v>Mochammad Fadhillah Hakim,</v>
      </c>
      <c r="N3257" s="6" t="str">
        <f>IFERROR(__xludf.DUMMYFUNCTION("""COMPUTED_VALUE"""),"FIP Engineering")</f>
        <v>FIP Engineering</v>
      </c>
      <c r="O3257" s="6" t="str">
        <f>IFERROR(__xludf.DUMMYFUNCTION("""COMPUTED_VALUE"""),"FIP-DOM-ENG-51502-0000000-INA-000000")</f>
        <v>FIP-DOM-ENG-51502-0000000-INA-000000</v>
      </c>
      <c r="P3257" s="6" t="str">
        <f>IFERROR(__xludf.DUMMYFUNCTION("""COMPUTED_VALUE"""),"PO Closed")</f>
        <v>PO Closed</v>
      </c>
      <c r="Q3257" s="6" t="str">
        <f>IFERROR(__xludf.DUMMYFUNCTION("""COMPUTED_VALUE"""),"GL2406012")</f>
        <v>GL2406012</v>
      </c>
      <c r="R3257" s="57">
        <f>IFERROR(__xludf.DUMMYFUNCTION("""COMPUTED_VALUE"""),45443.0)</f>
        <v>45443</v>
      </c>
      <c r="S3257" s="57">
        <f>IFERROR(__xludf.DUMMYFUNCTION("""COMPUTED_VALUE"""),45443.0)</f>
        <v>45443</v>
      </c>
      <c r="T3257" s="57">
        <f>IFERROR(__xludf.DUMMYFUNCTION("""COMPUTED_VALUE"""),45464.0)</f>
        <v>45464</v>
      </c>
    </row>
    <row r="3258">
      <c r="A3258" s="6" t="str">
        <f>IFERROR(__xludf.DUMMYFUNCTION("""COMPUTED_VALUE"""),"121701513-1")</f>
        <v>121701513-1</v>
      </c>
      <c r="B3258" s="6" t="str">
        <f>IFERROR(__xludf.DUMMYFUNCTION("""COMPUTED_VALUE"""),"121701513 - APPROVED")</f>
        <v>121701513 - APPROVED</v>
      </c>
      <c r="C3258" s="6">
        <f>IFERROR(__xludf.DUMMYFUNCTION("""COMPUTED_VALUE"""),1.0)</f>
        <v>1</v>
      </c>
      <c r="D3258" s="6" t="str">
        <f>IFERROR(__xludf.DUMMYFUNCTION("""COMPUTED_VALUE"""),"S-60050-00")</f>
        <v>S-60050-00</v>
      </c>
      <c r="E3258" s="6" t="str">
        <f>IFERROR(__xludf.DUMMYFUNCTION("""COMPUTED_VALUE"""),"Jasa Perbaikan dan Pemeliharaan Mesin Produksi; ; ;")</f>
        <v>Jasa Perbaikan dan Pemeliharaan Mesin Produksi; ; ;</v>
      </c>
      <c r="F3258" s="6">
        <f>IFERROR(__xludf.DUMMYFUNCTION("""COMPUTED_VALUE"""),1.0)</f>
        <v>1</v>
      </c>
      <c r="G3258" s="6" t="str">
        <f>IFERROR(__xludf.DUMMYFUNCTION("""COMPUTED_VALUE"""),"Pieces")</f>
        <v>Pieces</v>
      </c>
      <c r="H3258" s="6" t="str">
        <f>IFERROR(__xludf.DUMMYFUNCTION("""COMPUTED_VALUE"""),"IDR")</f>
        <v>IDR</v>
      </c>
      <c r="I3258" s="6">
        <f>IFERROR(__xludf.DUMMYFUNCTION("""COMPUTED_VALUE"""),960000.0)</f>
        <v>960000</v>
      </c>
      <c r="J3258" s="6">
        <f>IFERROR(__xludf.DUMMYFUNCTION("""COMPUTED_VALUE"""),960000.0)</f>
        <v>960000</v>
      </c>
      <c r="K3258" s="57">
        <f>IFERROR(__xludf.DUMMYFUNCTION("""COMPUTED_VALUE"""),45445.0)</f>
        <v>45445</v>
      </c>
      <c r="L3258" s="6" t="str">
        <f>IFERROR(__xludf.DUMMYFUNCTION("""COMPUTED_VALUE"""),"FIP General")</f>
        <v>FIP General</v>
      </c>
      <c r="M3258" s="6" t="str">
        <f>IFERROR(__xludf.DUMMYFUNCTION("""COMPUTED_VALUE"""),"Mochammad Fadhillah Hakim,")</f>
        <v>Mochammad Fadhillah Hakim,</v>
      </c>
      <c r="N3258" s="6" t="str">
        <f>IFERROR(__xludf.DUMMYFUNCTION("""COMPUTED_VALUE"""),"FIP Engineering")</f>
        <v>FIP Engineering</v>
      </c>
      <c r="O3258" s="6" t="str">
        <f>IFERROR(__xludf.DUMMYFUNCTION("""COMPUTED_VALUE"""),"FIP-DOM-ENG-51504-0000000-INA-000000")</f>
        <v>FIP-DOM-ENG-51504-0000000-INA-000000</v>
      </c>
      <c r="P3258" s="6" t="str">
        <f>IFERROR(__xludf.DUMMYFUNCTION("""COMPUTED_VALUE"""),"PO Closed")</f>
        <v>PO Closed</v>
      </c>
      <c r="Q3258" s="6" t="str">
        <f>IFERROR(__xludf.DUMMYFUNCTION("""COMPUTED_VALUE"""),"GL2406021")</f>
        <v>GL2406021</v>
      </c>
      <c r="R3258" s="57">
        <f>IFERROR(__xludf.DUMMYFUNCTION("""COMPUTED_VALUE"""),45443.0)</f>
        <v>45443</v>
      </c>
      <c r="S3258" s="57">
        <f>IFERROR(__xludf.DUMMYFUNCTION("""COMPUTED_VALUE"""),45443.0)</f>
        <v>45443</v>
      </c>
      <c r="T3258" s="57">
        <f>IFERROR(__xludf.DUMMYFUNCTION("""COMPUTED_VALUE"""),45478.0)</f>
        <v>45478</v>
      </c>
    </row>
    <row r="3259">
      <c r="A3259" s="6" t="str">
        <f>IFERROR(__xludf.DUMMYFUNCTION("""COMPUTED_VALUE"""),"121701516-1")</f>
        <v>121701516-1</v>
      </c>
      <c r="B3259" s="6" t="str">
        <f>IFERROR(__xludf.DUMMYFUNCTION("""COMPUTED_VALUE"""),"121701516 - APPROVED")</f>
        <v>121701516 - APPROVED</v>
      </c>
      <c r="C3259" s="6">
        <f>IFERROR(__xludf.DUMMYFUNCTION("""COMPUTED_VALUE"""),1.0)</f>
        <v>1</v>
      </c>
      <c r="D3259" s="6" t="str">
        <f>IFERROR(__xludf.DUMMYFUNCTION("""COMPUTED_VALUE"""),"T-20002-00")</f>
        <v>T-20002-00</v>
      </c>
      <c r="E3259" s="6" t="str">
        <f>IFERROR(__xludf.DUMMYFUNCTION("""COMPUTED_VALUE"""),"Jasa Perbaikan Alat Lab")</f>
        <v>Jasa Perbaikan Alat Lab</v>
      </c>
      <c r="F3259" s="6">
        <f>IFERROR(__xludf.DUMMYFUNCTION("""COMPUTED_VALUE"""),1.0)</f>
        <v>1</v>
      </c>
      <c r="G3259" s="6" t="str">
        <f>IFERROR(__xludf.DUMMYFUNCTION("""COMPUTED_VALUE"""),"Pieces")</f>
        <v>Pieces</v>
      </c>
      <c r="H3259" s="6" t="str">
        <f>IFERROR(__xludf.DUMMYFUNCTION("""COMPUTED_VALUE"""),"IDR")</f>
        <v>IDR</v>
      </c>
      <c r="I3259" s="6">
        <f>IFERROR(__xludf.DUMMYFUNCTION("""COMPUTED_VALUE"""),3500000.0)</f>
        <v>3500000</v>
      </c>
      <c r="J3259" s="6">
        <f>IFERROR(__xludf.DUMMYFUNCTION("""COMPUTED_VALUE"""),3500000.0)</f>
        <v>3500000</v>
      </c>
      <c r="K3259" s="57">
        <f>IFERROR(__xludf.DUMMYFUNCTION("""COMPUTED_VALUE"""),45448.0)</f>
        <v>45448</v>
      </c>
      <c r="L3259" s="6" t="str">
        <f>IFERROR(__xludf.DUMMYFUNCTION("""COMPUTED_VALUE"""),"FIP General")</f>
        <v>FIP General</v>
      </c>
      <c r="M3259" s="6" t="str">
        <f>IFERROR(__xludf.DUMMYFUNCTION("""COMPUTED_VALUE"""),"Mochammad Fadhillah Hakim,")</f>
        <v>Mochammad Fadhillah Hakim,</v>
      </c>
      <c r="N3259" s="6" t="str">
        <f>IFERROR(__xludf.DUMMYFUNCTION("""COMPUTED_VALUE"""),"FIP Engineering")</f>
        <v>FIP Engineering</v>
      </c>
      <c r="O3259" s="6" t="str">
        <f>IFERROR(__xludf.DUMMYFUNCTION("""COMPUTED_VALUE"""),"FIP-DOM-ENG-51505-0000000-INA-000000")</f>
        <v>FIP-DOM-ENG-51505-0000000-INA-000000</v>
      </c>
      <c r="P3259" s="6" t="str">
        <f>IFERROR(__xludf.DUMMYFUNCTION("""COMPUTED_VALUE"""),"PO Closed")</f>
        <v>PO Closed</v>
      </c>
      <c r="Q3259" s="6" t="str">
        <f>IFERROR(__xludf.DUMMYFUNCTION("""COMPUTED_VALUE"""),"GL2406383")</f>
        <v>GL2406383</v>
      </c>
      <c r="R3259" s="57">
        <f>IFERROR(__xludf.DUMMYFUNCTION("""COMPUTED_VALUE"""),45446.0)</f>
        <v>45446</v>
      </c>
      <c r="S3259" s="57">
        <f>IFERROR(__xludf.DUMMYFUNCTION("""COMPUTED_VALUE"""),45446.0)</f>
        <v>45446</v>
      </c>
      <c r="T3259" s="57">
        <f>IFERROR(__xludf.DUMMYFUNCTION("""COMPUTED_VALUE"""),45520.0)</f>
        <v>45520</v>
      </c>
    </row>
    <row r="3260">
      <c r="A3260" s="6" t="str">
        <f>IFERROR(__xludf.DUMMYFUNCTION("""COMPUTED_VALUE"""),"121701520-1")</f>
        <v>121701520-1</v>
      </c>
      <c r="B3260" s="6" t="str">
        <f>IFERROR(__xludf.DUMMYFUNCTION("""COMPUTED_VALUE"""),"121701520 - APPROVED")</f>
        <v>121701520 - APPROVED</v>
      </c>
      <c r="C3260" s="6">
        <f>IFERROR(__xludf.DUMMYFUNCTION("""COMPUTED_VALUE"""),1.0)</f>
        <v>1</v>
      </c>
      <c r="D3260" s="6" t="str">
        <f>IFERROR(__xludf.DUMMYFUNCTION("""COMPUTED_VALUE"""),"T-20926-00")</f>
        <v>T-20926-00</v>
      </c>
      <c r="E3260" s="6" t="str">
        <f>IFERROR(__xludf.DUMMYFUNCTION("""COMPUTED_VALUE"""),"Micro fuel Cell, B2C Class ; Teledyne; 1 pcs; Teledyne; ;")</f>
        <v>Micro fuel Cell, B2C Class ; Teledyne; 1 pcs; Teledyne; ;</v>
      </c>
      <c r="F3260" s="6">
        <f>IFERROR(__xludf.DUMMYFUNCTION("""COMPUTED_VALUE"""),1.0)</f>
        <v>1</v>
      </c>
      <c r="G3260" s="6" t="str">
        <f>IFERROR(__xludf.DUMMYFUNCTION("""COMPUTED_VALUE"""),"Pieces")</f>
        <v>Pieces</v>
      </c>
      <c r="H3260" s="6" t="str">
        <f>IFERROR(__xludf.DUMMYFUNCTION("""COMPUTED_VALUE"""),"IDR")</f>
        <v>IDR</v>
      </c>
      <c r="I3260" s="6">
        <f>IFERROR(__xludf.DUMMYFUNCTION("""COMPUTED_VALUE"""),1.1E7)</f>
        <v>11000000</v>
      </c>
      <c r="J3260" s="6">
        <f>IFERROR(__xludf.DUMMYFUNCTION("""COMPUTED_VALUE"""),1.1E7)</f>
        <v>11000000</v>
      </c>
      <c r="K3260" s="57">
        <f>IFERROR(__xludf.DUMMYFUNCTION("""COMPUTED_VALUE"""),45448.0)</f>
        <v>45448</v>
      </c>
      <c r="L3260" s="6" t="str">
        <f>IFERROR(__xludf.DUMMYFUNCTION("""COMPUTED_VALUE"""),"FIP General")</f>
        <v>FIP General</v>
      </c>
      <c r="M3260" s="6" t="str">
        <f>IFERROR(__xludf.DUMMYFUNCTION("""COMPUTED_VALUE"""),"Mochammad Fadhillah Hakim,")</f>
        <v>Mochammad Fadhillah Hakim,</v>
      </c>
      <c r="N3260" s="6" t="str">
        <f>IFERROR(__xludf.DUMMYFUNCTION("""COMPUTED_VALUE"""),"FIP Engineering")</f>
        <v>FIP Engineering</v>
      </c>
      <c r="O3260" s="6" t="str">
        <f>IFERROR(__xludf.DUMMYFUNCTION("""COMPUTED_VALUE"""),"FIP-DOM-ENG-51505-0000000-INA-000000")</f>
        <v>FIP-DOM-ENG-51505-0000000-INA-000000</v>
      </c>
      <c r="P3260" s="6" t="str">
        <f>IFERROR(__xludf.DUMMYFUNCTION("""COMPUTED_VALUE"""),"PO Closed")</f>
        <v>PO Closed</v>
      </c>
      <c r="Q3260" s="6" t="str">
        <f>IFERROR(__xludf.DUMMYFUNCTION("""COMPUTED_VALUE"""),"GL2406383")</f>
        <v>GL2406383</v>
      </c>
      <c r="R3260" s="57">
        <f>IFERROR(__xludf.DUMMYFUNCTION("""COMPUTED_VALUE"""),45446.0)</f>
        <v>45446</v>
      </c>
      <c r="S3260" s="57">
        <f>IFERROR(__xludf.DUMMYFUNCTION("""COMPUTED_VALUE"""),45447.0)</f>
        <v>45447</v>
      </c>
      <c r="T3260" s="57">
        <f>IFERROR(__xludf.DUMMYFUNCTION("""COMPUTED_VALUE"""),45520.0)</f>
        <v>45520</v>
      </c>
    </row>
    <row r="3261">
      <c r="A3261" s="6" t="str">
        <f>IFERROR(__xludf.DUMMYFUNCTION("""COMPUTED_VALUE"""),"121701521-1")</f>
        <v>121701521-1</v>
      </c>
      <c r="B3261" s="6" t="str">
        <f>IFERROR(__xludf.DUMMYFUNCTION("""COMPUTED_VALUE"""),"121701521 - APPROVED")</f>
        <v>121701521 - APPROVED</v>
      </c>
      <c r="C3261" s="6">
        <f>IFERROR(__xludf.DUMMYFUNCTION("""COMPUTED_VALUE"""),1.0)</f>
        <v>1</v>
      </c>
      <c r="D3261" s="6" t="str">
        <f>IFERROR(__xludf.DUMMYFUNCTION("""COMPUTED_VALUE"""),"S-60002-00")</f>
        <v>S-60002-00</v>
      </c>
      <c r="E3261" s="6" t="str">
        <f>IFERROR(__xludf.DUMMYFUNCTION("""COMPUTED_VALUE"""),"Jasa Perbaikan dan Pemeliharaan Mesin Utility")</f>
        <v>Jasa Perbaikan dan Pemeliharaan Mesin Utility</v>
      </c>
      <c r="F3261" s="6">
        <f>IFERROR(__xludf.DUMMYFUNCTION("""COMPUTED_VALUE"""),1.0)</f>
        <v>1</v>
      </c>
      <c r="G3261" s="6" t="str">
        <f>IFERROR(__xludf.DUMMYFUNCTION("""COMPUTED_VALUE"""),"Lot")</f>
        <v>Lot</v>
      </c>
      <c r="H3261" s="6" t="str">
        <f>IFERROR(__xludf.DUMMYFUNCTION("""COMPUTED_VALUE"""),"IDR")</f>
        <v>IDR</v>
      </c>
      <c r="I3261" s="6">
        <f>IFERROR(__xludf.DUMMYFUNCTION("""COMPUTED_VALUE"""),6875000.0)</f>
        <v>6875000</v>
      </c>
      <c r="J3261" s="6">
        <f>IFERROR(__xludf.DUMMYFUNCTION("""COMPUTED_VALUE"""),6875000.0)</f>
        <v>6875000</v>
      </c>
      <c r="K3261" s="57">
        <f>IFERROR(__xludf.DUMMYFUNCTION("""COMPUTED_VALUE"""),45449.0)</f>
        <v>45449</v>
      </c>
      <c r="L3261" s="6" t="str">
        <f>IFERROR(__xludf.DUMMYFUNCTION("""COMPUTED_VALUE"""),"FIP General")</f>
        <v>FIP General</v>
      </c>
      <c r="M3261" s="6" t="str">
        <f>IFERROR(__xludf.DUMMYFUNCTION("""COMPUTED_VALUE"""),"Mochammad Fadhillah Hakim,")</f>
        <v>Mochammad Fadhillah Hakim,</v>
      </c>
      <c r="N3261" s="6" t="str">
        <f>IFERROR(__xludf.DUMMYFUNCTION("""COMPUTED_VALUE"""),"FIP Engineering")</f>
        <v>FIP Engineering</v>
      </c>
      <c r="O3261" s="6" t="str">
        <f>IFERROR(__xludf.DUMMYFUNCTION("""COMPUTED_VALUE"""),"FIP-DOM-ENG-51508-0000000-INA-000000")</f>
        <v>FIP-DOM-ENG-51508-0000000-INA-000000</v>
      </c>
      <c r="P3261" s="6" t="str">
        <f>IFERROR(__xludf.DUMMYFUNCTION("""COMPUTED_VALUE"""),"PO Closed")</f>
        <v>PO Closed</v>
      </c>
      <c r="Q3261" s="6"/>
      <c r="R3261" s="57">
        <f>IFERROR(__xludf.DUMMYFUNCTION("""COMPUTED_VALUE"""),45447.0)</f>
        <v>45447</v>
      </c>
      <c r="S3261" s="57">
        <f>IFERROR(__xludf.DUMMYFUNCTION("""COMPUTED_VALUE"""),45447.0)</f>
        <v>45447</v>
      </c>
      <c r="T3261" s="6"/>
    </row>
    <row r="3262">
      <c r="A3262" s="6" t="str">
        <f>IFERROR(__xludf.DUMMYFUNCTION("""COMPUTED_VALUE"""),"121701534-1")</f>
        <v>121701534-1</v>
      </c>
      <c r="B3262" s="6" t="str">
        <f>IFERROR(__xludf.DUMMYFUNCTION("""COMPUTED_VALUE"""),"121701534 - APPROVED")</f>
        <v>121701534 - APPROVED</v>
      </c>
      <c r="C3262" s="6">
        <f>IFERROR(__xludf.DUMMYFUNCTION("""COMPUTED_VALUE"""),1.0)</f>
        <v>1</v>
      </c>
      <c r="D3262" s="6" t="str">
        <f>IFERROR(__xludf.DUMMYFUNCTION("""COMPUTED_VALUE"""),"Q-10487-00")</f>
        <v>Q-10487-00</v>
      </c>
      <c r="E3262" s="6" t="str">
        <f>IFERROR(__xludf.DUMMYFUNCTION("""COMPUTED_VALUE"""),"Tutup Wastafel TOTO; ; ;")</f>
        <v>Tutup Wastafel TOTO; ; ;</v>
      </c>
      <c r="F3262" s="6">
        <f>IFERROR(__xludf.DUMMYFUNCTION("""COMPUTED_VALUE"""),3.0)</f>
        <v>3</v>
      </c>
      <c r="G3262" s="6" t="str">
        <f>IFERROR(__xludf.DUMMYFUNCTION("""COMPUTED_VALUE"""),"Pieces")</f>
        <v>Pieces</v>
      </c>
      <c r="H3262" s="6" t="str">
        <f>IFERROR(__xludf.DUMMYFUNCTION("""COMPUTED_VALUE"""),"IDR")</f>
        <v>IDR</v>
      </c>
      <c r="I3262" s="6">
        <f>IFERROR(__xludf.DUMMYFUNCTION("""COMPUTED_VALUE"""),225000.0)</f>
        <v>225000</v>
      </c>
      <c r="J3262" s="6">
        <f>IFERROR(__xludf.DUMMYFUNCTION("""COMPUTED_VALUE"""),675000.0)</f>
        <v>675000</v>
      </c>
      <c r="K3262" s="57">
        <f>IFERROR(__xludf.DUMMYFUNCTION("""COMPUTED_VALUE"""),45450.0)</f>
        <v>45450</v>
      </c>
      <c r="L3262" s="6" t="str">
        <f>IFERROR(__xludf.DUMMYFUNCTION("""COMPUTED_VALUE"""),"FIP General")</f>
        <v>FIP General</v>
      </c>
      <c r="M3262" s="6" t="str">
        <f>IFERROR(__xludf.DUMMYFUNCTION("""COMPUTED_VALUE"""),"Mochammad Fadhillah Hakim,")</f>
        <v>Mochammad Fadhillah Hakim,</v>
      </c>
      <c r="N3262" s="6" t="str">
        <f>IFERROR(__xludf.DUMMYFUNCTION("""COMPUTED_VALUE"""),"FIP Engineering")</f>
        <v>FIP Engineering</v>
      </c>
      <c r="O3262" s="6" t="str">
        <f>IFERROR(__xludf.DUMMYFUNCTION("""COMPUTED_VALUE"""),"FIP-DOM-ENG-51502-0000000-INA-000000")</f>
        <v>FIP-DOM-ENG-51502-0000000-INA-000000</v>
      </c>
      <c r="P3262" s="6" t="str">
        <f>IFERROR(__xludf.DUMMYFUNCTION("""COMPUTED_VALUE"""),"PO Closed")</f>
        <v>PO Closed</v>
      </c>
      <c r="Q3262" s="6" t="str">
        <f>IFERROR(__xludf.DUMMYFUNCTION("""COMPUTED_VALUE"""),"GL2406372")</f>
        <v>GL2406372</v>
      </c>
      <c r="R3262" s="57">
        <f>IFERROR(__xludf.DUMMYFUNCTION("""COMPUTED_VALUE"""),45448.0)</f>
        <v>45448</v>
      </c>
      <c r="S3262" s="57">
        <f>IFERROR(__xludf.DUMMYFUNCTION("""COMPUTED_VALUE"""),45448.0)</f>
        <v>45448</v>
      </c>
      <c r="T3262" s="57">
        <f>IFERROR(__xludf.DUMMYFUNCTION("""COMPUTED_VALUE"""),45471.0)</f>
        <v>45471</v>
      </c>
    </row>
    <row r="3263">
      <c r="A3263" s="6" t="str">
        <f>IFERROR(__xludf.DUMMYFUNCTION("""COMPUTED_VALUE"""),"121701534-2")</f>
        <v>121701534-2</v>
      </c>
      <c r="B3263" s="6" t="str">
        <f>IFERROR(__xludf.DUMMYFUNCTION("""COMPUTED_VALUE"""),"121701534 - APPROVED")</f>
        <v>121701534 - APPROVED</v>
      </c>
      <c r="C3263" s="6">
        <f>IFERROR(__xludf.DUMMYFUNCTION("""COMPUTED_VALUE"""),2.0)</f>
        <v>2</v>
      </c>
      <c r="D3263" s="6" t="str">
        <f>IFERROR(__xludf.DUMMYFUNCTION("""COMPUTED_VALUE"""),"P-51559-00")</f>
        <v>P-51559-00</v>
      </c>
      <c r="E3263" s="6" t="str">
        <f>IFERROR(__xludf.DUMMYFUNCTION("""COMPUTED_VALUE"""),"Lampu T5 14watt Putih; Phillips; ;")</f>
        <v>Lampu T5 14watt Putih; Phillips; ;</v>
      </c>
      <c r="F3263" s="6">
        <f>IFERROR(__xludf.DUMMYFUNCTION("""COMPUTED_VALUE"""),80.0)</f>
        <v>80</v>
      </c>
      <c r="G3263" s="6" t="str">
        <f>IFERROR(__xludf.DUMMYFUNCTION("""COMPUTED_VALUE"""),"Pack")</f>
        <v>Pack</v>
      </c>
      <c r="H3263" s="6" t="str">
        <f>IFERROR(__xludf.DUMMYFUNCTION("""COMPUTED_VALUE"""),"IDR")</f>
        <v>IDR</v>
      </c>
      <c r="I3263" s="6">
        <f>IFERROR(__xludf.DUMMYFUNCTION("""COMPUTED_VALUE"""),38000.0)</f>
        <v>38000</v>
      </c>
      <c r="J3263" s="6">
        <f>IFERROR(__xludf.DUMMYFUNCTION("""COMPUTED_VALUE"""),3040000.0)</f>
        <v>3040000</v>
      </c>
      <c r="K3263" s="57">
        <f>IFERROR(__xludf.DUMMYFUNCTION("""COMPUTED_VALUE"""),45450.0)</f>
        <v>45450</v>
      </c>
      <c r="L3263" s="6" t="str">
        <f>IFERROR(__xludf.DUMMYFUNCTION("""COMPUTED_VALUE"""),"FIP Engineering")</f>
        <v>FIP Engineering</v>
      </c>
      <c r="M3263" s="6" t="str">
        <f>IFERROR(__xludf.DUMMYFUNCTION("""COMPUTED_VALUE"""),"Mochammad Fadhillah Hakim,")</f>
        <v>Mochammad Fadhillah Hakim,</v>
      </c>
      <c r="N3263" s="6" t="str">
        <f>IFERROR(__xludf.DUMMYFUNCTION("""COMPUTED_VALUE"""),"FIP Engineering")</f>
        <v>FIP Engineering</v>
      </c>
      <c r="O3263" s="6" t="str">
        <f>IFERROR(__xludf.DUMMYFUNCTION("""COMPUTED_VALUE"""),"FIP-DOM-000-11304-OS00001-INA-000000")</f>
        <v>FIP-DOM-000-11304-OS00001-INA-000000</v>
      </c>
      <c r="P3263" s="6" t="str">
        <f>IFERROR(__xludf.DUMMYFUNCTION("""COMPUTED_VALUE"""),"PO Closed")</f>
        <v>PO Closed</v>
      </c>
      <c r="Q3263" s="6" t="str">
        <f>IFERROR(__xludf.DUMMYFUNCTION("""COMPUTED_VALUE"""),"GL2406053")</f>
        <v>GL2406053</v>
      </c>
      <c r="R3263" s="57">
        <f>IFERROR(__xludf.DUMMYFUNCTION("""COMPUTED_VALUE"""),45448.0)</f>
        <v>45448</v>
      </c>
      <c r="S3263" s="57">
        <f>IFERROR(__xludf.DUMMYFUNCTION("""COMPUTED_VALUE"""),45448.0)</f>
        <v>45448</v>
      </c>
      <c r="T3263" s="57">
        <f>IFERROR(__xludf.DUMMYFUNCTION("""COMPUTED_VALUE"""),45506.0)</f>
        <v>45506</v>
      </c>
    </row>
    <row r="3264">
      <c r="A3264" s="6" t="str">
        <f>IFERROR(__xludf.DUMMYFUNCTION("""COMPUTED_VALUE"""),"121701534-3")</f>
        <v>121701534-3</v>
      </c>
      <c r="B3264" s="6" t="str">
        <f>IFERROR(__xludf.DUMMYFUNCTION("""COMPUTED_VALUE"""),"121701534 - APPROVED")</f>
        <v>121701534 - APPROVED</v>
      </c>
      <c r="C3264" s="6">
        <f>IFERROR(__xludf.DUMMYFUNCTION("""COMPUTED_VALUE"""),3.0)</f>
        <v>3</v>
      </c>
      <c r="D3264" s="6" t="str">
        <f>IFERROR(__xludf.DUMMYFUNCTION("""COMPUTED_VALUE"""),"P-51560-00")</f>
        <v>P-51560-00</v>
      </c>
      <c r="E3264" s="6" t="str">
        <f>IFERROR(__xludf.DUMMYFUNCTION("""COMPUTED_VALUE"""),"Lampu T5 28watt Putih; Phillips; ;")</f>
        <v>Lampu T5 28watt Putih; Phillips; ;</v>
      </c>
      <c r="F3264" s="6">
        <f>IFERROR(__xludf.DUMMYFUNCTION("""COMPUTED_VALUE"""),40.0)</f>
        <v>40</v>
      </c>
      <c r="G3264" s="6" t="str">
        <f>IFERROR(__xludf.DUMMYFUNCTION("""COMPUTED_VALUE"""),"Pieces")</f>
        <v>Pieces</v>
      </c>
      <c r="H3264" s="6" t="str">
        <f>IFERROR(__xludf.DUMMYFUNCTION("""COMPUTED_VALUE"""),"IDR")</f>
        <v>IDR</v>
      </c>
      <c r="I3264" s="6">
        <f>IFERROR(__xludf.DUMMYFUNCTION("""COMPUTED_VALUE"""),46500.0)</f>
        <v>46500</v>
      </c>
      <c r="J3264" s="6">
        <f>IFERROR(__xludf.DUMMYFUNCTION("""COMPUTED_VALUE"""),1860000.0)</f>
        <v>1860000</v>
      </c>
      <c r="K3264" s="57">
        <f>IFERROR(__xludf.DUMMYFUNCTION("""COMPUTED_VALUE"""),45450.0)</f>
        <v>45450</v>
      </c>
      <c r="L3264" s="6" t="str">
        <f>IFERROR(__xludf.DUMMYFUNCTION("""COMPUTED_VALUE"""),"FIP Engineering")</f>
        <v>FIP Engineering</v>
      </c>
      <c r="M3264" s="6" t="str">
        <f>IFERROR(__xludf.DUMMYFUNCTION("""COMPUTED_VALUE"""),"Mochammad Fadhillah Hakim,")</f>
        <v>Mochammad Fadhillah Hakim,</v>
      </c>
      <c r="N3264" s="6" t="str">
        <f>IFERROR(__xludf.DUMMYFUNCTION("""COMPUTED_VALUE"""),"FIP Engineering")</f>
        <v>FIP Engineering</v>
      </c>
      <c r="O3264" s="6" t="str">
        <f>IFERROR(__xludf.DUMMYFUNCTION("""COMPUTED_VALUE"""),"FIP-DOM-000-11304-OS00001-INA-000000")</f>
        <v>FIP-DOM-000-11304-OS00001-INA-000000</v>
      </c>
      <c r="P3264" s="6" t="str">
        <f>IFERROR(__xludf.DUMMYFUNCTION("""COMPUTED_VALUE"""),"PO Closed")</f>
        <v>PO Closed</v>
      </c>
      <c r="Q3264" s="6" t="str">
        <f>IFERROR(__xludf.DUMMYFUNCTION("""COMPUTED_VALUE"""),"GL2406053")</f>
        <v>GL2406053</v>
      </c>
      <c r="R3264" s="57">
        <f>IFERROR(__xludf.DUMMYFUNCTION("""COMPUTED_VALUE"""),45448.0)</f>
        <v>45448</v>
      </c>
      <c r="S3264" s="57">
        <f>IFERROR(__xludf.DUMMYFUNCTION("""COMPUTED_VALUE"""),45448.0)</f>
        <v>45448</v>
      </c>
      <c r="T3264" s="57">
        <f>IFERROR(__xludf.DUMMYFUNCTION("""COMPUTED_VALUE"""),45506.0)</f>
        <v>45506</v>
      </c>
    </row>
    <row r="3265">
      <c r="A3265" s="6" t="str">
        <f>IFERROR(__xludf.DUMMYFUNCTION("""COMPUTED_VALUE"""),"121701534-4")</f>
        <v>121701534-4</v>
      </c>
      <c r="B3265" s="6" t="str">
        <f>IFERROR(__xludf.DUMMYFUNCTION("""COMPUTED_VALUE"""),"121701534 - APPROVED")</f>
        <v>121701534 - APPROVED</v>
      </c>
      <c r="C3265" s="6">
        <f>IFERROR(__xludf.DUMMYFUNCTION("""COMPUTED_VALUE"""),4.0)</f>
        <v>4</v>
      </c>
      <c r="D3265" s="6" t="str">
        <f>IFERROR(__xludf.DUMMYFUNCTION("""COMPUTED_VALUE"""),"P-10945-00")</f>
        <v>P-10945-00</v>
      </c>
      <c r="E3265" s="6" t="str">
        <f>IFERROR(__xludf.DUMMYFUNCTION("""COMPUTED_VALUE"""),"Insulation - Seal Tape onda")</f>
        <v>Insulation - Seal Tape onda</v>
      </c>
      <c r="F3265" s="6">
        <f>IFERROR(__xludf.DUMMYFUNCTION("""COMPUTED_VALUE"""),30.0)</f>
        <v>30</v>
      </c>
      <c r="G3265" s="6" t="str">
        <f>IFERROR(__xludf.DUMMYFUNCTION("""COMPUTED_VALUE"""),"Pieces")</f>
        <v>Pieces</v>
      </c>
      <c r="H3265" s="6" t="str">
        <f>IFERROR(__xludf.DUMMYFUNCTION("""COMPUTED_VALUE"""),"IDR")</f>
        <v>IDR</v>
      </c>
      <c r="I3265" s="6">
        <f>IFERROR(__xludf.DUMMYFUNCTION("""COMPUTED_VALUE"""),5000.0)</f>
        <v>5000</v>
      </c>
      <c r="J3265" s="6">
        <f>IFERROR(__xludf.DUMMYFUNCTION("""COMPUTED_VALUE"""),150000.0)</f>
        <v>150000</v>
      </c>
      <c r="K3265" s="57">
        <f>IFERROR(__xludf.DUMMYFUNCTION("""COMPUTED_VALUE"""),45450.0)</f>
        <v>45450</v>
      </c>
      <c r="L3265" s="6" t="str">
        <f>IFERROR(__xludf.DUMMYFUNCTION("""COMPUTED_VALUE"""),"FIP Engineering")</f>
        <v>FIP Engineering</v>
      </c>
      <c r="M3265" s="6" t="str">
        <f>IFERROR(__xludf.DUMMYFUNCTION("""COMPUTED_VALUE"""),"Mochammad Fadhillah Hakim,")</f>
        <v>Mochammad Fadhillah Hakim,</v>
      </c>
      <c r="N3265" s="6" t="str">
        <f>IFERROR(__xludf.DUMMYFUNCTION("""COMPUTED_VALUE"""),"FIP Engineering")</f>
        <v>FIP Engineering</v>
      </c>
      <c r="O3265" s="6" t="str">
        <f>IFERROR(__xludf.DUMMYFUNCTION("""COMPUTED_VALUE"""),"FIP-DOM-000-11304-OS00001-INA-000000")</f>
        <v>FIP-DOM-000-11304-OS00001-INA-000000</v>
      </c>
      <c r="P3265" s="6" t="str">
        <f>IFERROR(__xludf.DUMMYFUNCTION("""COMPUTED_VALUE"""),"PO Closed")</f>
        <v>PO Closed</v>
      </c>
      <c r="Q3265" s="6" t="str">
        <f>IFERROR(__xludf.DUMMYFUNCTION("""COMPUTED_VALUE"""),"GL2406053")</f>
        <v>GL2406053</v>
      </c>
      <c r="R3265" s="57">
        <f>IFERROR(__xludf.DUMMYFUNCTION("""COMPUTED_VALUE"""),45448.0)</f>
        <v>45448</v>
      </c>
      <c r="S3265" s="57">
        <f>IFERROR(__xludf.DUMMYFUNCTION("""COMPUTED_VALUE"""),45448.0)</f>
        <v>45448</v>
      </c>
      <c r="T3265" s="57">
        <f>IFERROR(__xludf.DUMMYFUNCTION("""COMPUTED_VALUE"""),45506.0)</f>
        <v>45506</v>
      </c>
    </row>
    <row r="3266">
      <c r="A3266" s="6" t="str">
        <f>IFERROR(__xludf.DUMMYFUNCTION("""COMPUTED_VALUE"""),"121701534-5")</f>
        <v>121701534-5</v>
      </c>
      <c r="B3266" s="6" t="str">
        <f>IFERROR(__xludf.DUMMYFUNCTION("""COMPUTED_VALUE"""),"121701534 - APPROVED")</f>
        <v>121701534 - APPROVED</v>
      </c>
      <c r="C3266" s="6">
        <f>IFERROR(__xludf.DUMMYFUNCTION("""COMPUTED_VALUE"""),5.0)</f>
        <v>5</v>
      </c>
      <c r="D3266" s="6" t="str">
        <f>IFERROR(__xludf.DUMMYFUNCTION("""COMPUTED_VALUE"""),"P-12433-00")</f>
        <v>P-12433-00</v>
      </c>
      <c r="E3266" s="6" t="str">
        <f>IFERROR(__xludf.DUMMYFUNCTION("""COMPUTED_VALUE"""),"Isolasi AC- Sansui")</f>
        <v>Isolasi AC- Sansui</v>
      </c>
      <c r="F3266" s="6">
        <f>IFERROR(__xludf.DUMMYFUNCTION("""COMPUTED_VALUE"""),10.0)</f>
        <v>10</v>
      </c>
      <c r="G3266" s="6" t="str">
        <f>IFERROR(__xludf.DUMMYFUNCTION("""COMPUTED_VALUE"""),"Pieces")</f>
        <v>Pieces</v>
      </c>
      <c r="H3266" s="6" t="str">
        <f>IFERROR(__xludf.DUMMYFUNCTION("""COMPUTED_VALUE"""),"IDR")</f>
        <v>IDR</v>
      </c>
      <c r="I3266" s="6">
        <f>IFERROR(__xludf.DUMMYFUNCTION("""COMPUTED_VALUE"""),14000.0)</f>
        <v>14000</v>
      </c>
      <c r="J3266" s="6">
        <f>IFERROR(__xludf.DUMMYFUNCTION("""COMPUTED_VALUE"""),140000.0)</f>
        <v>140000</v>
      </c>
      <c r="K3266" s="57">
        <f>IFERROR(__xludf.DUMMYFUNCTION("""COMPUTED_VALUE"""),45450.0)</f>
        <v>45450</v>
      </c>
      <c r="L3266" s="6" t="str">
        <f>IFERROR(__xludf.DUMMYFUNCTION("""COMPUTED_VALUE"""),"FIP Engineering")</f>
        <v>FIP Engineering</v>
      </c>
      <c r="M3266" s="6" t="str">
        <f>IFERROR(__xludf.DUMMYFUNCTION("""COMPUTED_VALUE"""),"Mochammad Fadhillah Hakim,")</f>
        <v>Mochammad Fadhillah Hakim,</v>
      </c>
      <c r="N3266" s="6" t="str">
        <f>IFERROR(__xludf.DUMMYFUNCTION("""COMPUTED_VALUE"""),"FIP Engineering")</f>
        <v>FIP Engineering</v>
      </c>
      <c r="O3266" s="6" t="str">
        <f>IFERROR(__xludf.DUMMYFUNCTION("""COMPUTED_VALUE"""),"FIP-DOM-000-11304-OS00001-INA-000000")</f>
        <v>FIP-DOM-000-11304-OS00001-INA-000000</v>
      </c>
      <c r="P3266" s="6" t="str">
        <f>IFERROR(__xludf.DUMMYFUNCTION("""COMPUTED_VALUE"""),"PO Closed")</f>
        <v>PO Closed</v>
      </c>
      <c r="Q3266" s="6" t="str">
        <f>IFERROR(__xludf.DUMMYFUNCTION("""COMPUTED_VALUE"""),"GL2406053")</f>
        <v>GL2406053</v>
      </c>
      <c r="R3266" s="57">
        <f>IFERROR(__xludf.DUMMYFUNCTION("""COMPUTED_VALUE"""),45448.0)</f>
        <v>45448</v>
      </c>
      <c r="S3266" s="57">
        <f>IFERROR(__xludf.DUMMYFUNCTION("""COMPUTED_VALUE"""),45448.0)</f>
        <v>45448</v>
      </c>
      <c r="T3266" s="57">
        <f>IFERROR(__xludf.DUMMYFUNCTION("""COMPUTED_VALUE"""),45506.0)</f>
        <v>45506</v>
      </c>
    </row>
    <row r="3267">
      <c r="A3267" s="6" t="str">
        <f>IFERROR(__xludf.DUMMYFUNCTION("""COMPUTED_VALUE"""),"121701534-6")</f>
        <v>121701534-6</v>
      </c>
      <c r="B3267" s="6" t="str">
        <f>IFERROR(__xludf.DUMMYFUNCTION("""COMPUTED_VALUE"""),"121701534 - APPROVED")</f>
        <v>121701534 - APPROVED</v>
      </c>
      <c r="C3267" s="6">
        <f>IFERROR(__xludf.DUMMYFUNCTION("""COMPUTED_VALUE"""),6.0)</f>
        <v>6</v>
      </c>
      <c r="D3267" s="6" t="str">
        <f>IFERROR(__xludf.DUMMYFUNCTION("""COMPUTED_VALUE"""),"P-11991-00")</f>
        <v>P-11991-00</v>
      </c>
      <c r="E3267" s="6" t="str">
        <f>IFERROR(__xludf.DUMMYFUNCTION("""COMPUTED_VALUE"""),"Cable ties CS 200L")</f>
        <v>Cable ties CS 200L</v>
      </c>
      <c r="F3267" s="6">
        <f>IFERROR(__xludf.DUMMYFUNCTION("""COMPUTED_VALUE"""),10.0)</f>
        <v>10</v>
      </c>
      <c r="G3267" s="6" t="str">
        <f>IFERROR(__xludf.DUMMYFUNCTION("""COMPUTED_VALUE"""),"Pieces")</f>
        <v>Pieces</v>
      </c>
      <c r="H3267" s="6" t="str">
        <f>IFERROR(__xludf.DUMMYFUNCTION("""COMPUTED_VALUE"""),"IDR")</f>
        <v>IDR</v>
      </c>
      <c r="I3267" s="6">
        <f>IFERROR(__xludf.DUMMYFUNCTION("""COMPUTED_VALUE"""),34200.0)</f>
        <v>34200</v>
      </c>
      <c r="J3267" s="6">
        <f>IFERROR(__xludf.DUMMYFUNCTION("""COMPUTED_VALUE"""),342000.0)</f>
        <v>342000</v>
      </c>
      <c r="K3267" s="57">
        <f>IFERROR(__xludf.DUMMYFUNCTION("""COMPUTED_VALUE"""),45450.0)</f>
        <v>45450</v>
      </c>
      <c r="L3267" s="6" t="str">
        <f>IFERROR(__xludf.DUMMYFUNCTION("""COMPUTED_VALUE"""),"FIP Engineering")</f>
        <v>FIP Engineering</v>
      </c>
      <c r="M3267" s="6" t="str">
        <f>IFERROR(__xludf.DUMMYFUNCTION("""COMPUTED_VALUE"""),"Mochammad Fadhillah Hakim,")</f>
        <v>Mochammad Fadhillah Hakim,</v>
      </c>
      <c r="N3267" s="6" t="str">
        <f>IFERROR(__xludf.DUMMYFUNCTION("""COMPUTED_VALUE"""),"FIP Engineering")</f>
        <v>FIP Engineering</v>
      </c>
      <c r="O3267" s="6" t="str">
        <f>IFERROR(__xludf.DUMMYFUNCTION("""COMPUTED_VALUE"""),"FIP-DOM-000-11304-OS00001-INA-000000")</f>
        <v>FIP-DOM-000-11304-OS00001-INA-000000</v>
      </c>
      <c r="P3267" s="6" t="str">
        <f>IFERROR(__xludf.DUMMYFUNCTION("""COMPUTED_VALUE"""),"PO Closed")</f>
        <v>PO Closed</v>
      </c>
      <c r="Q3267" s="6" t="str">
        <f>IFERROR(__xludf.DUMMYFUNCTION("""COMPUTED_VALUE"""),"GL2406053")</f>
        <v>GL2406053</v>
      </c>
      <c r="R3267" s="57">
        <f>IFERROR(__xludf.DUMMYFUNCTION("""COMPUTED_VALUE"""),45448.0)</f>
        <v>45448</v>
      </c>
      <c r="S3267" s="57">
        <f>IFERROR(__xludf.DUMMYFUNCTION("""COMPUTED_VALUE"""),45448.0)</f>
        <v>45448</v>
      </c>
      <c r="T3267" s="57">
        <f>IFERROR(__xludf.DUMMYFUNCTION("""COMPUTED_VALUE"""),45506.0)</f>
        <v>45506</v>
      </c>
    </row>
    <row r="3268">
      <c r="A3268" s="6" t="str">
        <f>IFERROR(__xludf.DUMMYFUNCTION("""COMPUTED_VALUE"""),"121701534-7")</f>
        <v>121701534-7</v>
      </c>
      <c r="B3268" s="6" t="str">
        <f>IFERROR(__xludf.DUMMYFUNCTION("""COMPUTED_VALUE"""),"121701534 - APPROVED")</f>
        <v>121701534 - APPROVED</v>
      </c>
      <c r="C3268" s="6">
        <f>IFERROR(__xludf.DUMMYFUNCTION("""COMPUTED_VALUE"""),7.0)</f>
        <v>7</v>
      </c>
      <c r="D3268" s="6" t="str">
        <f>IFERROR(__xludf.DUMMYFUNCTION("""COMPUTED_VALUE"""),"O-19379-00")</f>
        <v>O-19379-00</v>
      </c>
      <c r="E3268" s="6" t="str">
        <f>IFERROR(__xludf.DUMMYFUNCTION("""COMPUTED_VALUE"""),"Oli Refrigeration; Xaerus; XR 534-46;")</f>
        <v>Oli Refrigeration; Xaerus; XR 534-46;</v>
      </c>
      <c r="F3268" s="6">
        <f>IFERROR(__xludf.DUMMYFUNCTION("""COMPUTED_VALUE"""),5.0)</f>
        <v>5</v>
      </c>
      <c r="G3268" s="6" t="str">
        <f>IFERROR(__xludf.DUMMYFUNCTION("""COMPUTED_VALUE"""),"Can")</f>
        <v>Can</v>
      </c>
      <c r="H3268" s="6" t="str">
        <f>IFERROR(__xludf.DUMMYFUNCTION("""COMPUTED_VALUE"""),"IDR")</f>
        <v>IDR</v>
      </c>
      <c r="I3268" s="6">
        <f>IFERROR(__xludf.DUMMYFUNCTION("""COMPUTED_VALUE"""),1550000.0)</f>
        <v>1550000</v>
      </c>
      <c r="J3268" s="6">
        <f>IFERROR(__xludf.DUMMYFUNCTION("""COMPUTED_VALUE"""),7750000.0)</f>
        <v>7750000</v>
      </c>
      <c r="K3268" s="57">
        <f>IFERROR(__xludf.DUMMYFUNCTION("""COMPUTED_VALUE"""),45450.0)</f>
        <v>45450</v>
      </c>
      <c r="L3268" s="6" t="str">
        <f>IFERROR(__xludf.DUMMYFUNCTION("""COMPUTED_VALUE"""),"FIP Engineering")</f>
        <v>FIP Engineering</v>
      </c>
      <c r="M3268" s="6" t="str">
        <f>IFERROR(__xludf.DUMMYFUNCTION("""COMPUTED_VALUE"""),"Mochammad Fadhillah Hakim,")</f>
        <v>Mochammad Fadhillah Hakim,</v>
      </c>
      <c r="N3268" s="6" t="str">
        <f>IFERROR(__xludf.DUMMYFUNCTION("""COMPUTED_VALUE"""),"FIP Engineering")</f>
        <v>FIP Engineering</v>
      </c>
      <c r="O3268" s="6" t="str">
        <f>IFERROR(__xludf.DUMMYFUNCTION("""COMPUTED_VALUE"""),"FIP-DOM-000-11304-OS00001-INA-000000")</f>
        <v>FIP-DOM-000-11304-OS00001-INA-000000</v>
      </c>
      <c r="P3268" s="6" t="str">
        <f>IFERROR(__xludf.DUMMYFUNCTION("""COMPUTED_VALUE"""),"PO Closed")</f>
        <v>PO Closed</v>
      </c>
      <c r="Q3268" s="6" t="str">
        <f>IFERROR(__xludf.DUMMYFUNCTION("""COMPUTED_VALUE"""),"GL2406053")</f>
        <v>GL2406053</v>
      </c>
      <c r="R3268" s="57">
        <f>IFERROR(__xludf.DUMMYFUNCTION("""COMPUTED_VALUE"""),45448.0)</f>
        <v>45448</v>
      </c>
      <c r="S3268" s="57">
        <f>IFERROR(__xludf.DUMMYFUNCTION("""COMPUTED_VALUE"""),45448.0)</f>
        <v>45448</v>
      </c>
      <c r="T3268" s="57">
        <f>IFERROR(__xludf.DUMMYFUNCTION("""COMPUTED_VALUE"""),45506.0)</f>
        <v>45506</v>
      </c>
    </row>
    <row r="3269">
      <c r="A3269" s="6" t="str">
        <f>IFERROR(__xludf.DUMMYFUNCTION("""COMPUTED_VALUE"""),"121701535-1")</f>
        <v>121701535-1</v>
      </c>
      <c r="B3269" s="6" t="str">
        <f>IFERROR(__xludf.DUMMYFUNCTION("""COMPUTED_VALUE"""),"121701535 - APPROVED")</f>
        <v>121701535 - APPROVED</v>
      </c>
      <c r="C3269" s="6">
        <f>IFERROR(__xludf.DUMMYFUNCTION("""COMPUTED_VALUE"""),1.0)</f>
        <v>1</v>
      </c>
      <c r="D3269" s="6" t="str">
        <f>IFERROR(__xludf.DUMMYFUNCTION("""COMPUTED_VALUE"""),"P-14424-00")</f>
        <v>P-14424-00</v>
      </c>
      <c r="E3269" s="6" t="str">
        <f>IFERROR(__xludf.DUMMYFUNCTION("""COMPUTED_VALUE"""),"Garam Kutreat RGN-9800F; ; ; 25Kg/zak")</f>
        <v>Garam Kutreat RGN-9800F; ; ; 25Kg/zak</v>
      </c>
      <c r="F3269" s="6">
        <f>IFERROR(__xludf.DUMMYFUNCTION("""COMPUTED_VALUE"""),150.0)</f>
        <v>150</v>
      </c>
      <c r="G3269" s="6" t="str">
        <f>IFERROR(__xludf.DUMMYFUNCTION("""COMPUTED_VALUE"""),"Kilogram")</f>
        <v>Kilogram</v>
      </c>
      <c r="H3269" s="6" t="str">
        <f>IFERROR(__xludf.DUMMYFUNCTION("""COMPUTED_VALUE"""),"IDR")</f>
        <v>IDR</v>
      </c>
      <c r="I3269" s="6">
        <f>IFERROR(__xludf.DUMMYFUNCTION("""COMPUTED_VALUE"""),9500.0)</f>
        <v>9500</v>
      </c>
      <c r="J3269" s="6">
        <f>IFERROR(__xludf.DUMMYFUNCTION("""COMPUTED_VALUE"""),1425000.0)</f>
        <v>1425000</v>
      </c>
      <c r="K3269" s="57">
        <f>IFERROR(__xludf.DUMMYFUNCTION("""COMPUTED_VALUE"""),45450.0)</f>
        <v>45450</v>
      </c>
      <c r="L3269" s="6" t="str">
        <f>IFERROR(__xludf.DUMMYFUNCTION("""COMPUTED_VALUE"""),"FIP Engineering")</f>
        <v>FIP Engineering</v>
      </c>
      <c r="M3269" s="6" t="str">
        <f>IFERROR(__xludf.DUMMYFUNCTION("""COMPUTED_VALUE"""),"Mochammad Fadhillah Hakim,")</f>
        <v>Mochammad Fadhillah Hakim,</v>
      </c>
      <c r="N3269" s="6" t="str">
        <f>IFERROR(__xludf.DUMMYFUNCTION("""COMPUTED_VALUE"""),"FIP Engineering")</f>
        <v>FIP Engineering</v>
      </c>
      <c r="O3269" s="6" t="str">
        <f>IFERROR(__xludf.DUMMYFUNCTION("""COMPUTED_VALUE"""),"FIP-DOM-000-11304-OS00001-INA-000000")</f>
        <v>FIP-DOM-000-11304-OS00001-INA-000000</v>
      </c>
      <c r="P3269" s="6" t="str">
        <f>IFERROR(__xludf.DUMMYFUNCTION("""COMPUTED_VALUE"""),"PO Closed")</f>
        <v>PO Closed</v>
      </c>
      <c r="Q3269" s="6" t="str">
        <f>IFERROR(__xludf.DUMMYFUNCTION("""COMPUTED_VALUE"""),"GL2406061")</f>
        <v>GL2406061</v>
      </c>
      <c r="R3269" s="57">
        <f>IFERROR(__xludf.DUMMYFUNCTION("""COMPUTED_VALUE"""),45448.0)</f>
        <v>45448</v>
      </c>
      <c r="S3269" s="57">
        <f>IFERROR(__xludf.DUMMYFUNCTION("""COMPUTED_VALUE"""),45448.0)</f>
        <v>45448</v>
      </c>
      <c r="T3269" s="57">
        <f>IFERROR(__xludf.DUMMYFUNCTION("""COMPUTED_VALUE"""),45506.0)</f>
        <v>45506</v>
      </c>
    </row>
    <row r="3270">
      <c r="A3270" s="6" t="str">
        <f>IFERROR(__xludf.DUMMYFUNCTION("""COMPUTED_VALUE"""),"121701542-1")</f>
        <v>121701542-1</v>
      </c>
      <c r="B3270" s="6" t="str">
        <f>IFERROR(__xludf.DUMMYFUNCTION("""COMPUTED_VALUE"""),"121701542 - APPROVED")</f>
        <v>121701542 - APPROVED</v>
      </c>
      <c r="C3270" s="6">
        <f>IFERROR(__xludf.DUMMYFUNCTION("""COMPUTED_VALUE"""),1.0)</f>
        <v>1</v>
      </c>
      <c r="D3270" s="6" t="str">
        <f>IFERROR(__xludf.DUMMYFUNCTION("""COMPUTED_VALUE"""),"Q-70125-00")</f>
        <v>Q-70125-00</v>
      </c>
      <c r="E3270" s="6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F3270" s="6">
        <f>IFERROR(__xludf.DUMMYFUNCTION("""COMPUTED_VALUE"""),1.0)</f>
        <v>1</v>
      </c>
      <c r="G3270" s="6" t="str">
        <f>IFERROR(__xludf.DUMMYFUNCTION("""COMPUTED_VALUE"""),"Set")</f>
        <v>Set</v>
      </c>
      <c r="H3270" s="6" t="str">
        <f>IFERROR(__xludf.DUMMYFUNCTION("""COMPUTED_VALUE"""),"IDR")</f>
        <v>IDR</v>
      </c>
      <c r="I3270" s="6">
        <f>IFERROR(__xludf.DUMMYFUNCTION("""COMPUTED_VALUE"""),4680000.0)</f>
        <v>4680000</v>
      </c>
      <c r="J3270" s="6">
        <f>IFERROR(__xludf.DUMMYFUNCTION("""COMPUTED_VALUE"""),4680000.0)</f>
        <v>4680000</v>
      </c>
      <c r="K3270" s="57">
        <f>IFERROR(__xludf.DUMMYFUNCTION("""COMPUTED_VALUE"""),45452.0)</f>
        <v>45452</v>
      </c>
      <c r="L3270" s="6" t="str">
        <f>IFERROR(__xludf.DUMMYFUNCTION("""COMPUTED_VALUE"""),"FIP General")</f>
        <v>FIP General</v>
      </c>
      <c r="M3270" s="6" t="str">
        <f>IFERROR(__xludf.DUMMYFUNCTION("""COMPUTED_VALUE"""),"Mochammad Fadhillah Hakim,")</f>
        <v>Mochammad Fadhillah Hakim,</v>
      </c>
      <c r="N3270" s="6" t="str">
        <f>IFERROR(__xludf.DUMMYFUNCTION("""COMPUTED_VALUE"""),"FIP Engineering")</f>
        <v>FIP Engineering</v>
      </c>
      <c r="O3270" s="6" t="str">
        <f>IFERROR(__xludf.DUMMYFUNCTION("""COMPUTED_VALUE"""),"FIP-DOM-ENG-51404-0000000-INA-000000")</f>
        <v>FIP-DOM-ENG-51404-0000000-INA-000000</v>
      </c>
      <c r="P3270" s="6" t="str">
        <f>IFERROR(__xludf.DUMMYFUNCTION("""COMPUTED_VALUE"""),"PO Closed")</f>
        <v>PO Closed</v>
      </c>
      <c r="Q3270" s="6" t="str">
        <f>IFERROR(__xludf.DUMMYFUNCTION("""COMPUTED_VALUE"""),"GL2406016")</f>
        <v>GL2406016</v>
      </c>
      <c r="R3270" s="57">
        <f>IFERROR(__xludf.DUMMYFUNCTION("""COMPUTED_VALUE"""),45450.0)</f>
        <v>45450</v>
      </c>
      <c r="S3270" s="57">
        <f>IFERROR(__xludf.DUMMYFUNCTION("""COMPUTED_VALUE"""),45453.0)</f>
        <v>45453</v>
      </c>
      <c r="T3270" s="57">
        <f>IFERROR(__xludf.DUMMYFUNCTION("""COMPUTED_VALUE"""),45464.0)</f>
        <v>45464</v>
      </c>
    </row>
    <row r="3271">
      <c r="A3271" s="6" t="str">
        <f>IFERROR(__xludf.DUMMYFUNCTION("""COMPUTED_VALUE"""),"121701542-2")</f>
        <v>121701542-2</v>
      </c>
      <c r="B3271" s="6" t="str">
        <f>IFERROR(__xludf.DUMMYFUNCTION("""COMPUTED_VALUE"""),"121701542 - APPROVED")</f>
        <v>121701542 - APPROVED</v>
      </c>
      <c r="C3271" s="6">
        <f>IFERROR(__xludf.DUMMYFUNCTION("""COMPUTED_VALUE"""),2.0)</f>
        <v>2</v>
      </c>
      <c r="D3271" s="6" t="str">
        <f>IFERROR(__xludf.DUMMYFUNCTION("""COMPUTED_VALUE"""),"S-11400-00")</f>
        <v>S-11400-00</v>
      </c>
      <c r="E3271" s="6" t="str">
        <f>IFERROR(__xludf.DUMMYFUNCTION("""COMPUTED_VALUE"""),"Kain Majun Ex HINGS Class AA")</f>
        <v>Kain Majun Ex HINGS Class AA</v>
      </c>
      <c r="F3271" s="6">
        <f>IFERROR(__xludf.DUMMYFUNCTION("""COMPUTED_VALUE"""),20.0)</f>
        <v>20</v>
      </c>
      <c r="G3271" s="6" t="str">
        <f>IFERROR(__xludf.DUMMYFUNCTION("""COMPUTED_VALUE"""),"Kilogram")</f>
        <v>Kilogram</v>
      </c>
      <c r="H3271" s="6" t="str">
        <f>IFERROR(__xludf.DUMMYFUNCTION("""COMPUTED_VALUE"""),"IDR")</f>
        <v>IDR</v>
      </c>
      <c r="I3271" s="6">
        <f>IFERROR(__xludf.DUMMYFUNCTION("""COMPUTED_VALUE"""),39000.0)</f>
        <v>39000</v>
      </c>
      <c r="J3271" s="6">
        <f>IFERROR(__xludf.DUMMYFUNCTION("""COMPUTED_VALUE"""),780000.0)</f>
        <v>780000</v>
      </c>
      <c r="K3271" s="57">
        <f>IFERROR(__xludf.DUMMYFUNCTION("""COMPUTED_VALUE"""),45452.0)</f>
        <v>45452</v>
      </c>
      <c r="L3271" s="6" t="str">
        <f>IFERROR(__xludf.DUMMYFUNCTION("""COMPUTED_VALUE"""),"FIP General")</f>
        <v>FIP General</v>
      </c>
      <c r="M3271" s="6" t="str">
        <f>IFERROR(__xludf.DUMMYFUNCTION("""COMPUTED_VALUE"""),"Mochammad Fadhillah Hakim,")</f>
        <v>Mochammad Fadhillah Hakim,</v>
      </c>
      <c r="N3271" s="6" t="str">
        <f>IFERROR(__xludf.DUMMYFUNCTION("""COMPUTED_VALUE"""),"FIP Engineering")</f>
        <v>FIP Engineering</v>
      </c>
      <c r="O3271" s="6" t="str">
        <f>IFERROR(__xludf.DUMMYFUNCTION("""COMPUTED_VALUE"""),"FIP-DOM-ENG-51302-0000000-INA-000000")</f>
        <v>FIP-DOM-ENG-51302-0000000-INA-000000</v>
      </c>
      <c r="P3271" s="6" t="str">
        <f>IFERROR(__xludf.DUMMYFUNCTION("""COMPUTED_VALUE"""),"PO Closed")</f>
        <v>PO Closed</v>
      </c>
      <c r="Q3271" s="6" t="str">
        <f>IFERROR(__xludf.DUMMYFUNCTION("""COMPUTED_VALUE"""),"GL2406386")</f>
        <v>GL2406386</v>
      </c>
      <c r="R3271" s="57">
        <f>IFERROR(__xludf.DUMMYFUNCTION("""COMPUTED_VALUE"""),45450.0)</f>
        <v>45450</v>
      </c>
      <c r="S3271" s="57">
        <f>IFERROR(__xludf.DUMMYFUNCTION("""COMPUTED_VALUE"""),45453.0)</f>
        <v>45453</v>
      </c>
      <c r="T3271" s="57">
        <f>IFERROR(__xludf.DUMMYFUNCTION("""COMPUTED_VALUE"""),45471.0)</f>
        <v>45471</v>
      </c>
    </row>
    <row r="3272">
      <c r="A3272" s="6" t="str">
        <f>IFERROR(__xludf.DUMMYFUNCTION("""COMPUTED_VALUE"""),"121701542-3")</f>
        <v>121701542-3</v>
      </c>
      <c r="B3272" s="6" t="str">
        <f>IFERROR(__xludf.DUMMYFUNCTION("""COMPUTED_VALUE"""),"121701542 - APPROVED")</f>
        <v>121701542 - APPROVED</v>
      </c>
      <c r="C3272" s="6">
        <f>IFERROR(__xludf.DUMMYFUNCTION("""COMPUTED_VALUE"""),3.0)</f>
        <v>3</v>
      </c>
      <c r="D3272" s="6" t="str">
        <f>IFERROR(__xludf.DUMMYFUNCTION("""COMPUTED_VALUE"""),"S-11400-00")</f>
        <v>S-11400-00</v>
      </c>
      <c r="E3272" s="6" t="str">
        <f>IFERROR(__xludf.DUMMYFUNCTION("""COMPUTED_VALUE"""),"Kain Majun Ex HINGS Class AA")</f>
        <v>Kain Majun Ex HINGS Class AA</v>
      </c>
      <c r="F3272" s="6">
        <f>IFERROR(__xludf.DUMMYFUNCTION("""COMPUTED_VALUE"""),20.0)</f>
        <v>20</v>
      </c>
      <c r="G3272" s="6" t="str">
        <f>IFERROR(__xludf.DUMMYFUNCTION("""COMPUTED_VALUE"""),"Kilogram")</f>
        <v>Kilogram</v>
      </c>
      <c r="H3272" s="6" t="str">
        <f>IFERROR(__xludf.DUMMYFUNCTION("""COMPUTED_VALUE"""),"IDR")</f>
        <v>IDR</v>
      </c>
      <c r="I3272" s="6">
        <f>IFERROR(__xludf.DUMMYFUNCTION("""COMPUTED_VALUE"""),39000.0)</f>
        <v>39000</v>
      </c>
      <c r="J3272" s="6">
        <f>IFERROR(__xludf.DUMMYFUNCTION("""COMPUTED_VALUE"""),780000.0)</f>
        <v>780000</v>
      </c>
      <c r="K3272" s="57">
        <f>IFERROR(__xludf.DUMMYFUNCTION("""COMPUTED_VALUE"""),45452.0)</f>
        <v>45452</v>
      </c>
      <c r="L3272" s="6" t="str">
        <f>IFERROR(__xludf.DUMMYFUNCTION("""COMPUTED_VALUE"""),"FIP General")</f>
        <v>FIP General</v>
      </c>
      <c r="M3272" s="6" t="str">
        <f>IFERROR(__xludf.DUMMYFUNCTION("""COMPUTED_VALUE"""),"Mochammad Fadhillah Hakim,")</f>
        <v>Mochammad Fadhillah Hakim,</v>
      </c>
      <c r="N3272" s="6" t="str">
        <f>IFERROR(__xludf.DUMMYFUNCTION("""COMPUTED_VALUE"""),"FIP Engineering")</f>
        <v>FIP Engineering</v>
      </c>
      <c r="O3272" s="6" t="str">
        <f>IFERROR(__xludf.DUMMYFUNCTION("""COMPUTED_VALUE"""),"FIP-DOM-ENG-51302-0000000-INA-000000")</f>
        <v>FIP-DOM-ENG-51302-0000000-INA-000000</v>
      </c>
      <c r="P3272" s="6" t="str">
        <f>IFERROR(__xludf.DUMMYFUNCTION("""COMPUTED_VALUE"""),"PO Closed")</f>
        <v>PO Closed</v>
      </c>
      <c r="Q3272" s="6" t="str">
        <f>IFERROR(__xludf.DUMMYFUNCTION("""COMPUTED_VALUE"""),"GL2406386")</f>
        <v>GL2406386</v>
      </c>
      <c r="R3272" s="57">
        <f>IFERROR(__xludf.DUMMYFUNCTION("""COMPUTED_VALUE"""),45450.0)</f>
        <v>45450</v>
      </c>
      <c r="S3272" s="57">
        <f>IFERROR(__xludf.DUMMYFUNCTION("""COMPUTED_VALUE"""),45453.0)</f>
        <v>45453</v>
      </c>
      <c r="T3272" s="57">
        <f>IFERROR(__xludf.DUMMYFUNCTION("""COMPUTED_VALUE"""),45471.0)</f>
        <v>45471</v>
      </c>
    </row>
    <row r="3273">
      <c r="A3273" s="6" t="str">
        <f>IFERROR(__xludf.DUMMYFUNCTION("""COMPUTED_VALUE"""),"121701542-4")</f>
        <v>121701542-4</v>
      </c>
      <c r="B3273" s="6" t="str">
        <f>IFERROR(__xludf.DUMMYFUNCTION("""COMPUTED_VALUE"""),"121701542 - APPROVED")</f>
        <v>121701542 - APPROVED</v>
      </c>
      <c r="C3273" s="6">
        <f>IFERROR(__xludf.DUMMYFUNCTION("""COMPUTED_VALUE"""),4.0)</f>
        <v>4</v>
      </c>
      <c r="D3273" s="6" t="str">
        <f>IFERROR(__xludf.DUMMYFUNCTION("""COMPUTED_VALUE"""),"S-11400-00")</f>
        <v>S-11400-00</v>
      </c>
      <c r="E3273" s="6" t="str">
        <f>IFERROR(__xludf.DUMMYFUNCTION("""COMPUTED_VALUE"""),"Kain Majun Ex HINGS Class AA")</f>
        <v>Kain Majun Ex HINGS Class AA</v>
      </c>
      <c r="F3273" s="6">
        <f>IFERROR(__xludf.DUMMYFUNCTION("""COMPUTED_VALUE"""),20.0)</f>
        <v>20</v>
      </c>
      <c r="G3273" s="6" t="str">
        <f>IFERROR(__xludf.DUMMYFUNCTION("""COMPUTED_VALUE"""),"Kilogram")</f>
        <v>Kilogram</v>
      </c>
      <c r="H3273" s="6" t="str">
        <f>IFERROR(__xludf.DUMMYFUNCTION("""COMPUTED_VALUE"""),"IDR")</f>
        <v>IDR</v>
      </c>
      <c r="I3273" s="6">
        <f>IFERROR(__xludf.DUMMYFUNCTION("""COMPUTED_VALUE"""),39000.0)</f>
        <v>39000</v>
      </c>
      <c r="J3273" s="6">
        <f>IFERROR(__xludf.DUMMYFUNCTION("""COMPUTED_VALUE"""),780000.0)</f>
        <v>780000</v>
      </c>
      <c r="K3273" s="57">
        <f>IFERROR(__xludf.DUMMYFUNCTION("""COMPUTED_VALUE"""),45513.0)</f>
        <v>45513</v>
      </c>
      <c r="L3273" s="6" t="str">
        <f>IFERROR(__xludf.DUMMYFUNCTION("""COMPUTED_VALUE"""),"FIP General")</f>
        <v>FIP General</v>
      </c>
      <c r="M3273" s="6" t="str">
        <f>IFERROR(__xludf.DUMMYFUNCTION("""COMPUTED_VALUE"""),"Mochammad Fadhillah Hakim,")</f>
        <v>Mochammad Fadhillah Hakim,</v>
      </c>
      <c r="N3273" s="6" t="str">
        <f>IFERROR(__xludf.DUMMYFUNCTION("""COMPUTED_VALUE"""),"FIP Engineering")</f>
        <v>FIP Engineering</v>
      </c>
      <c r="O3273" s="6" t="str">
        <f>IFERROR(__xludf.DUMMYFUNCTION("""COMPUTED_VALUE"""),"FIP-DOM-ENG-51302-0000000-INA-000000")</f>
        <v>FIP-DOM-ENG-51302-0000000-INA-000000</v>
      </c>
      <c r="P3273" s="6" t="str">
        <f>IFERROR(__xludf.DUMMYFUNCTION("""COMPUTED_VALUE"""),"PO Closed")</f>
        <v>PO Closed</v>
      </c>
      <c r="Q3273" s="6" t="str">
        <f>IFERROR(__xludf.DUMMYFUNCTION("""COMPUTED_VALUE"""),"GL2406386")</f>
        <v>GL2406386</v>
      </c>
      <c r="R3273" s="57">
        <f>IFERROR(__xludf.DUMMYFUNCTION("""COMPUTED_VALUE"""),45450.0)</f>
        <v>45450</v>
      </c>
      <c r="S3273" s="57">
        <f>IFERROR(__xludf.DUMMYFUNCTION("""COMPUTED_VALUE"""),45453.0)</f>
        <v>45453</v>
      </c>
      <c r="T3273" s="57">
        <f>IFERROR(__xludf.DUMMYFUNCTION("""COMPUTED_VALUE"""),45513.0)</f>
        <v>45513</v>
      </c>
    </row>
    <row r="3274">
      <c r="A3274" s="6" t="str">
        <f>IFERROR(__xludf.DUMMYFUNCTION("""COMPUTED_VALUE"""),"121701542-5")</f>
        <v>121701542-5</v>
      </c>
      <c r="B3274" s="6" t="str">
        <f>IFERROR(__xludf.DUMMYFUNCTION("""COMPUTED_VALUE"""),"121701542 - APPROVED")</f>
        <v>121701542 - APPROVED</v>
      </c>
      <c r="C3274" s="6">
        <f>IFERROR(__xludf.DUMMYFUNCTION("""COMPUTED_VALUE"""),5.0)</f>
        <v>5</v>
      </c>
      <c r="D3274" s="6" t="str">
        <f>IFERROR(__xludf.DUMMYFUNCTION("""COMPUTED_VALUE"""),"S-20601-00")</f>
        <v>S-20601-00</v>
      </c>
      <c r="E3274" s="6" t="str">
        <f>IFERROR(__xludf.DUMMYFUNCTION("""COMPUTED_VALUE"""),"Coverall dengan topi hoodie, 1 piece, Unione, Biru, 308, Fonko, 3XL; ; ;")</f>
        <v>Coverall dengan topi hoodie, 1 piece, Unione, Biru, 308, Fonko, 3XL; ; ;</v>
      </c>
      <c r="F3274" s="6">
        <f>IFERROR(__xludf.DUMMYFUNCTION("""COMPUTED_VALUE"""),10.0)</f>
        <v>10</v>
      </c>
      <c r="G3274" s="6" t="str">
        <f>IFERROR(__xludf.DUMMYFUNCTION("""COMPUTED_VALUE"""),"Pieces")</f>
        <v>Pieces</v>
      </c>
      <c r="H3274" s="6" t="str">
        <f>IFERROR(__xludf.DUMMYFUNCTION("""COMPUTED_VALUE"""),"IDR")</f>
        <v>IDR</v>
      </c>
      <c r="I3274" s="6">
        <f>IFERROR(__xludf.DUMMYFUNCTION("""COMPUTED_VALUE"""),207500.0)</f>
        <v>207500</v>
      </c>
      <c r="J3274" s="6">
        <f>IFERROR(__xludf.DUMMYFUNCTION("""COMPUTED_VALUE"""),2075000.0)</f>
        <v>2075000</v>
      </c>
      <c r="K3274" s="57">
        <f>IFERROR(__xludf.DUMMYFUNCTION("""COMPUTED_VALUE"""),45574.0)</f>
        <v>45574</v>
      </c>
      <c r="L3274" s="6" t="str">
        <f>IFERROR(__xludf.DUMMYFUNCTION("""COMPUTED_VALUE"""),"FIP General")</f>
        <v>FIP General</v>
      </c>
      <c r="M3274" s="6" t="str">
        <f>IFERROR(__xludf.DUMMYFUNCTION("""COMPUTED_VALUE"""),"Mochammad Fadhillah Hakim,")</f>
        <v>Mochammad Fadhillah Hakim,</v>
      </c>
      <c r="N3274" s="6" t="str">
        <f>IFERROR(__xludf.DUMMYFUNCTION("""COMPUTED_VALUE"""),"FIP Engineering")</f>
        <v>FIP Engineering</v>
      </c>
      <c r="O3274" s="6" t="str">
        <f>IFERROR(__xludf.DUMMYFUNCTION("""COMPUTED_VALUE"""),"FIP-DOM-ENG-51202-0000000-INA-000000")</f>
        <v>FIP-DOM-ENG-51202-0000000-INA-000000</v>
      </c>
      <c r="P3274" s="6" t="str">
        <f>IFERROR(__xludf.DUMMYFUNCTION("""COMPUTED_VALUE"""),"PO Closed")</f>
        <v>PO Closed</v>
      </c>
      <c r="Q3274" s="6" t="str">
        <f>IFERROR(__xludf.DUMMYFUNCTION("""COMPUTED_VALUE"""),"GL2406057")</f>
        <v>GL2406057</v>
      </c>
      <c r="R3274" s="57">
        <f>IFERROR(__xludf.DUMMYFUNCTION("""COMPUTED_VALUE"""),45450.0)</f>
        <v>45450</v>
      </c>
      <c r="S3274" s="57">
        <f>IFERROR(__xludf.DUMMYFUNCTION("""COMPUTED_VALUE"""),45453.0)</f>
        <v>45453</v>
      </c>
      <c r="T3274" s="57">
        <f>IFERROR(__xludf.DUMMYFUNCTION("""COMPUTED_VALUE"""),45495.0)</f>
        <v>45495</v>
      </c>
    </row>
    <row r="3275">
      <c r="A3275" s="6" t="str">
        <f>IFERROR(__xludf.DUMMYFUNCTION("""COMPUTED_VALUE"""),"121701542-6")</f>
        <v>121701542-6</v>
      </c>
      <c r="B3275" s="6" t="str">
        <f>IFERROR(__xludf.DUMMYFUNCTION("""COMPUTED_VALUE"""),"121701542 - APPROVED")</f>
        <v>121701542 - APPROVED</v>
      </c>
      <c r="C3275" s="6">
        <f>IFERROR(__xludf.DUMMYFUNCTION("""COMPUTED_VALUE"""),6.0)</f>
        <v>6</v>
      </c>
      <c r="D3275" s="6" t="str">
        <f>IFERROR(__xludf.DUMMYFUNCTION("""COMPUTED_VALUE"""),"S-20600-00")</f>
        <v>S-20600-00</v>
      </c>
      <c r="E3275" s="6" t="str">
        <f>IFERROR(__xludf.DUMMYFUNCTION("""COMPUTED_VALUE"""),"Coverall dengan topi hoodie, 1 piece, Unione, Biru, 308, Fonko, 2XL; ; ;")</f>
        <v>Coverall dengan topi hoodie, 1 piece, Unione, Biru, 308, Fonko, 2XL; ; ;</v>
      </c>
      <c r="F3275" s="6">
        <f>IFERROR(__xludf.DUMMYFUNCTION("""COMPUTED_VALUE"""),20.0)</f>
        <v>20</v>
      </c>
      <c r="G3275" s="6" t="str">
        <f>IFERROR(__xludf.DUMMYFUNCTION("""COMPUTED_VALUE"""),"Pieces")</f>
        <v>Pieces</v>
      </c>
      <c r="H3275" s="6" t="str">
        <f>IFERROR(__xludf.DUMMYFUNCTION("""COMPUTED_VALUE"""),"IDR")</f>
        <v>IDR</v>
      </c>
      <c r="I3275" s="6">
        <f>IFERROR(__xludf.DUMMYFUNCTION("""COMPUTED_VALUE"""),207500.0)</f>
        <v>207500</v>
      </c>
      <c r="J3275" s="6">
        <f>IFERROR(__xludf.DUMMYFUNCTION("""COMPUTED_VALUE"""),4150000.0)</f>
        <v>4150000</v>
      </c>
      <c r="K3275" s="57">
        <f>IFERROR(__xludf.DUMMYFUNCTION("""COMPUTED_VALUE"""),45452.0)</f>
        <v>45452</v>
      </c>
      <c r="L3275" s="6" t="str">
        <f>IFERROR(__xludf.DUMMYFUNCTION("""COMPUTED_VALUE"""),"FIP General")</f>
        <v>FIP General</v>
      </c>
      <c r="M3275" s="6" t="str">
        <f>IFERROR(__xludf.DUMMYFUNCTION("""COMPUTED_VALUE"""),"Mochammad Fadhillah Hakim,")</f>
        <v>Mochammad Fadhillah Hakim,</v>
      </c>
      <c r="N3275" s="6" t="str">
        <f>IFERROR(__xludf.DUMMYFUNCTION("""COMPUTED_VALUE"""),"FIP Engineering")</f>
        <v>FIP Engineering</v>
      </c>
      <c r="O3275" s="6" t="str">
        <f>IFERROR(__xludf.DUMMYFUNCTION("""COMPUTED_VALUE"""),"FIP-DOM-ENG-51205-0000000-INA-000000")</f>
        <v>FIP-DOM-ENG-51205-0000000-INA-000000</v>
      </c>
      <c r="P3275" s="6" t="str">
        <f>IFERROR(__xludf.DUMMYFUNCTION("""COMPUTED_VALUE"""),"PO Closed")</f>
        <v>PO Closed</v>
      </c>
      <c r="Q3275" s="6" t="str">
        <f>IFERROR(__xludf.DUMMYFUNCTION("""COMPUTED_VALUE"""),"GL2406057")</f>
        <v>GL2406057</v>
      </c>
      <c r="R3275" s="57">
        <f>IFERROR(__xludf.DUMMYFUNCTION("""COMPUTED_VALUE"""),45450.0)</f>
        <v>45450</v>
      </c>
      <c r="S3275" s="57">
        <f>IFERROR(__xludf.DUMMYFUNCTION("""COMPUTED_VALUE"""),45453.0)</f>
        <v>45453</v>
      </c>
      <c r="T3275" s="57">
        <f>IFERROR(__xludf.DUMMYFUNCTION("""COMPUTED_VALUE"""),45495.0)</f>
        <v>45495</v>
      </c>
    </row>
    <row r="3276">
      <c r="A3276" s="6" t="str">
        <f>IFERROR(__xludf.DUMMYFUNCTION("""COMPUTED_VALUE"""),"121701548-1")</f>
        <v>121701548-1</v>
      </c>
      <c r="B3276" s="6" t="str">
        <f>IFERROR(__xludf.DUMMYFUNCTION("""COMPUTED_VALUE"""),"121701548 - APPROVED")</f>
        <v>121701548 - APPROVED</v>
      </c>
      <c r="C3276" s="6">
        <f>IFERROR(__xludf.DUMMYFUNCTION("""COMPUTED_VALUE"""),1.0)</f>
        <v>1</v>
      </c>
      <c r="D3276" s="6"/>
      <c r="E3276" s="6" t="str">
        <f>IFERROR(__xludf.DUMMYFUNCTION("""COMPUTED_VALUE"""),"PR Partisi Sementara New FD")</f>
        <v>PR Partisi Sementara New FD</v>
      </c>
      <c r="F3276" s="6">
        <f>IFERROR(__xludf.DUMMYFUNCTION("""COMPUTED_VALUE"""),1.0)</f>
        <v>1</v>
      </c>
      <c r="G3276" s="6" t="str">
        <f>IFERROR(__xludf.DUMMYFUNCTION("""COMPUTED_VALUE"""),"Lot")</f>
        <v>Lot</v>
      </c>
      <c r="H3276" s="6" t="str">
        <f>IFERROR(__xludf.DUMMYFUNCTION("""COMPUTED_VALUE"""),"IDR")</f>
        <v>IDR</v>
      </c>
      <c r="I3276" s="6">
        <f>IFERROR(__xludf.DUMMYFUNCTION("""COMPUTED_VALUE"""),1.22112E7)</f>
        <v>12211200</v>
      </c>
      <c r="J3276" s="6">
        <f>IFERROR(__xludf.DUMMYFUNCTION("""COMPUTED_VALUE"""),1.22112E7)</f>
        <v>12211200</v>
      </c>
      <c r="K3276" s="57">
        <f>IFERROR(__xludf.DUMMYFUNCTION("""COMPUTED_VALUE"""),45455.0)</f>
        <v>45455</v>
      </c>
      <c r="L3276" s="6" t="str">
        <f>IFERROR(__xludf.DUMMYFUNCTION("""COMPUTED_VALUE"""),"FIP General")</f>
        <v>FIP General</v>
      </c>
      <c r="M3276" s="6" t="str">
        <f>IFERROR(__xludf.DUMMYFUNCTION("""COMPUTED_VALUE"""),"Mochammad Fadhillah Hakim,")</f>
        <v>Mochammad Fadhillah Hakim,</v>
      </c>
      <c r="N3276" s="6" t="str">
        <f>IFERROR(__xludf.DUMMYFUNCTION("""COMPUTED_VALUE"""),"FIP Engineering")</f>
        <v>FIP Engineering</v>
      </c>
      <c r="O3276" s="6" t="str">
        <f>IFERROR(__xludf.DUMMYFUNCTION("""COMPUTED_VALUE"""),"FIP-DOM-ENG-13402-BL24002-INA-000000")</f>
        <v>FIP-DOM-ENG-13402-BL24002-INA-000000</v>
      </c>
      <c r="P3276" s="6" t="str">
        <f>IFERROR(__xludf.DUMMYFUNCTION("""COMPUTED_VALUE"""),"PO Closed")</f>
        <v>PO Closed</v>
      </c>
      <c r="Q3276" s="6" t="str">
        <f>IFERROR(__xludf.DUMMYFUNCTION("""COMPUTED_VALUE"""),"GL2406056")</f>
        <v>GL2406056</v>
      </c>
      <c r="R3276" s="57">
        <f>IFERROR(__xludf.DUMMYFUNCTION("""COMPUTED_VALUE"""),45453.0)</f>
        <v>45453</v>
      </c>
      <c r="S3276" s="57">
        <f>IFERROR(__xludf.DUMMYFUNCTION("""COMPUTED_VALUE"""),45454.0)</f>
        <v>45454</v>
      </c>
      <c r="T3276" s="57">
        <f>IFERROR(__xludf.DUMMYFUNCTION("""COMPUTED_VALUE"""),45478.0)</f>
        <v>45478</v>
      </c>
    </row>
    <row r="3277">
      <c r="A3277" s="6" t="str">
        <f>IFERROR(__xludf.DUMMYFUNCTION("""COMPUTED_VALUE"""),"121701549-1")</f>
        <v>121701549-1</v>
      </c>
      <c r="B3277" s="6" t="str">
        <f>IFERROR(__xludf.DUMMYFUNCTION("""COMPUTED_VALUE"""),"121701549 - APPROVED")</f>
        <v>121701549 - APPROVED</v>
      </c>
      <c r="C3277" s="6">
        <f>IFERROR(__xludf.DUMMYFUNCTION("""COMPUTED_VALUE"""),1.0)</f>
        <v>1</v>
      </c>
      <c r="D3277" s="6" t="str">
        <f>IFERROR(__xludf.DUMMYFUNCTION("""COMPUTED_VALUE"""),"S-60050-00")</f>
        <v>S-60050-00</v>
      </c>
      <c r="E3277" s="6" t="str">
        <f>IFERROR(__xludf.DUMMYFUNCTION("""COMPUTED_VALUE"""),"Jasa Perbaikan dan Pemeliharaan Mesin Produksi; ; ;")</f>
        <v>Jasa Perbaikan dan Pemeliharaan Mesin Produksi; ; ;</v>
      </c>
      <c r="F3277" s="6">
        <f>IFERROR(__xludf.DUMMYFUNCTION("""COMPUTED_VALUE"""),1.0)</f>
        <v>1</v>
      </c>
      <c r="G3277" s="6" t="str">
        <f>IFERROR(__xludf.DUMMYFUNCTION("""COMPUTED_VALUE"""),"Pieces")</f>
        <v>Pieces</v>
      </c>
      <c r="H3277" s="6" t="str">
        <f>IFERROR(__xludf.DUMMYFUNCTION("""COMPUTED_VALUE"""),"IDR")</f>
        <v>IDR</v>
      </c>
      <c r="I3277" s="6">
        <f>IFERROR(__xludf.DUMMYFUNCTION("""COMPUTED_VALUE"""),5500000.0)</f>
        <v>5500000</v>
      </c>
      <c r="J3277" s="6">
        <f>IFERROR(__xludf.DUMMYFUNCTION("""COMPUTED_VALUE"""),5500000.0)</f>
        <v>5500000</v>
      </c>
      <c r="K3277" s="57">
        <f>IFERROR(__xludf.DUMMYFUNCTION("""COMPUTED_VALUE"""),45455.0)</f>
        <v>45455</v>
      </c>
      <c r="L3277" s="6" t="str">
        <f>IFERROR(__xludf.DUMMYFUNCTION("""COMPUTED_VALUE"""),"FIP General")</f>
        <v>FIP General</v>
      </c>
      <c r="M3277" s="6" t="str">
        <f>IFERROR(__xludf.DUMMYFUNCTION("""COMPUTED_VALUE"""),"Mochammad Fadhillah Hakim,")</f>
        <v>Mochammad Fadhillah Hakim,</v>
      </c>
      <c r="N3277" s="6" t="str">
        <f>IFERROR(__xludf.DUMMYFUNCTION("""COMPUTED_VALUE"""),"FIP Engineering")</f>
        <v>FIP Engineering</v>
      </c>
      <c r="O3277" s="6" t="str">
        <f>IFERROR(__xludf.DUMMYFUNCTION("""COMPUTED_VALUE"""),"FIP-DOM-ENG-51504-0000000-INA-000000")</f>
        <v>FIP-DOM-ENG-51504-0000000-INA-000000</v>
      </c>
      <c r="P3277" s="6" t="str">
        <f>IFERROR(__xludf.DUMMYFUNCTION("""COMPUTED_VALUE"""),"PO Closed")</f>
        <v>PO Closed</v>
      </c>
      <c r="Q3277" s="6" t="str">
        <f>IFERROR(__xludf.DUMMYFUNCTION("""COMPUTED_VALUE"""),"GL2407035")</f>
        <v>GL2407035</v>
      </c>
      <c r="R3277" s="57">
        <f>IFERROR(__xludf.DUMMYFUNCTION("""COMPUTED_VALUE"""),45453.0)</f>
        <v>45453</v>
      </c>
      <c r="S3277" s="57">
        <f>IFERROR(__xludf.DUMMYFUNCTION("""COMPUTED_VALUE"""),45453.0)</f>
        <v>45453</v>
      </c>
      <c r="T3277" s="57">
        <f>IFERROR(__xludf.DUMMYFUNCTION("""COMPUTED_VALUE"""),45527.0)</f>
        <v>45527</v>
      </c>
    </row>
    <row r="3278">
      <c r="A3278" s="6" t="str">
        <f>IFERROR(__xludf.DUMMYFUNCTION("""COMPUTED_VALUE"""),"121701550-1")</f>
        <v>121701550-1</v>
      </c>
      <c r="B3278" s="6" t="str">
        <f>IFERROR(__xludf.DUMMYFUNCTION("""COMPUTED_VALUE"""),"121701550 - APPROVED")</f>
        <v>121701550 - APPROVED</v>
      </c>
      <c r="C3278" s="6">
        <f>IFERROR(__xludf.DUMMYFUNCTION("""COMPUTED_VALUE"""),1.0)</f>
        <v>1</v>
      </c>
      <c r="D3278" s="6"/>
      <c r="E3278" s="6" t="str">
        <f>IFERROR(__xludf.DUMMYFUNCTION("""COMPUTED_VALUE"""),"PR PC Thermolab")</f>
        <v>PR PC Thermolab</v>
      </c>
      <c r="F3278" s="6">
        <f>IFERROR(__xludf.DUMMYFUNCTION("""COMPUTED_VALUE"""),1.0)</f>
        <v>1</v>
      </c>
      <c r="G3278" s="6" t="str">
        <f>IFERROR(__xludf.DUMMYFUNCTION("""COMPUTED_VALUE"""),"Unit")</f>
        <v>Unit</v>
      </c>
      <c r="H3278" s="6" t="str">
        <f>IFERROR(__xludf.DUMMYFUNCTION("""COMPUTED_VALUE"""),"IDR")</f>
        <v>IDR</v>
      </c>
      <c r="I3278" s="6">
        <f>IFERROR(__xludf.DUMMYFUNCTION("""COMPUTED_VALUE"""),1.334E7)</f>
        <v>13340000</v>
      </c>
      <c r="J3278" s="6">
        <f>IFERROR(__xludf.DUMMYFUNCTION("""COMPUTED_VALUE"""),1.334E7)</f>
        <v>13340000</v>
      </c>
      <c r="K3278" s="57">
        <f>IFERROR(__xludf.DUMMYFUNCTION("""COMPUTED_VALUE"""),45455.0)</f>
        <v>45455</v>
      </c>
      <c r="L3278" s="6" t="str">
        <f>IFERROR(__xludf.DUMMYFUNCTION("""COMPUTED_VALUE"""),"FIP General")</f>
        <v>FIP General</v>
      </c>
      <c r="M3278" s="6" t="str">
        <f>IFERROR(__xludf.DUMMYFUNCTION("""COMPUTED_VALUE"""),"Mochammad Fadhillah Hakim,")</f>
        <v>Mochammad Fadhillah Hakim,</v>
      </c>
      <c r="N3278" s="6" t="str">
        <f>IFERROR(__xludf.DUMMYFUNCTION("""COMPUTED_VALUE"""),"FIP Engineering")</f>
        <v>FIP Engineering</v>
      </c>
      <c r="O3278" s="6" t="str">
        <f>IFERROR(__xludf.DUMMYFUNCTION("""COMPUTED_VALUE"""),"FIP-DOM-ENG-13408-IT24004-INA-000000")</f>
        <v>FIP-DOM-ENG-13408-IT24004-INA-000000</v>
      </c>
      <c r="P3278" s="6" t="str">
        <f>IFERROR(__xludf.DUMMYFUNCTION("""COMPUTED_VALUE"""),"PO Closed")</f>
        <v>PO Closed</v>
      </c>
      <c r="Q3278" s="6" t="str">
        <f>IFERROR(__xludf.DUMMYFUNCTION("""COMPUTED_VALUE"""),"GL2406064")</f>
        <v>GL2406064</v>
      </c>
      <c r="R3278" s="57">
        <f>IFERROR(__xludf.DUMMYFUNCTION("""COMPUTED_VALUE"""),45453.0)</f>
        <v>45453</v>
      </c>
      <c r="S3278" s="57">
        <f>IFERROR(__xludf.DUMMYFUNCTION("""COMPUTED_VALUE"""),45454.0)</f>
        <v>45454</v>
      </c>
      <c r="T3278" s="57">
        <f>IFERROR(__xludf.DUMMYFUNCTION("""COMPUTED_VALUE"""),45483.0)</f>
        <v>45483</v>
      </c>
    </row>
    <row r="3279">
      <c r="A3279" s="6" t="str">
        <f>IFERROR(__xludf.DUMMYFUNCTION("""COMPUTED_VALUE"""),"121701554-1")</f>
        <v>121701554-1</v>
      </c>
      <c r="B3279" s="6" t="str">
        <f>IFERROR(__xludf.DUMMYFUNCTION("""COMPUTED_VALUE"""),"121701554 - APPROVED")</f>
        <v>121701554 - APPROVED</v>
      </c>
      <c r="C3279" s="6">
        <f>IFERROR(__xludf.DUMMYFUNCTION("""COMPUTED_VALUE"""),1.0)</f>
        <v>1</v>
      </c>
      <c r="D3279" s="6" t="str">
        <f>IFERROR(__xludf.DUMMYFUNCTION("""COMPUTED_VALUE"""),"O-19953-00")</f>
        <v>O-19953-00</v>
      </c>
      <c r="E3279" s="6" t="str">
        <f>IFERROR(__xludf.DUMMYFUNCTION("""COMPUTED_VALUE"""),"Dudukan Cover Motor 243x320x550 mm, Mat SUS 304; Custom; ;")</f>
        <v>Dudukan Cover Motor 243x320x550 mm, Mat SUS 304; Custom; ;</v>
      </c>
      <c r="F3279" s="6">
        <f>IFERROR(__xludf.DUMMYFUNCTION("""COMPUTED_VALUE"""),1.0)</f>
        <v>1</v>
      </c>
      <c r="G3279" s="6" t="str">
        <f>IFERROR(__xludf.DUMMYFUNCTION("""COMPUTED_VALUE"""),"Unit")</f>
        <v>Unit</v>
      </c>
      <c r="H3279" s="6" t="str">
        <f>IFERROR(__xludf.DUMMYFUNCTION("""COMPUTED_VALUE"""),"IDR")</f>
        <v>IDR</v>
      </c>
      <c r="I3279" s="6">
        <f>IFERROR(__xludf.DUMMYFUNCTION("""COMPUTED_VALUE"""),3985000.0)</f>
        <v>3985000</v>
      </c>
      <c r="J3279" s="6">
        <f>IFERROR(__xludf.DUMMYFUNCTION("""COMPUTED_VALUE"""),3985000.0)</f>
        <v>3985000</v>
      </c>
      <c r="K3279" s="57">
        <f>IFERROR(__xludf.DUMMYFUNCTION("""COMPUTED_VALUE"""),45455.0)</f>
        <v>45455</v>
      </c>
      <c r="L3279" s="6" t="str">
        <f>IFERROR(__xludf.DUMMYFUNCTION("""COMPUTED_VALUE"""),"FIP Engineering")</f>
        <v>FIP Engineering</v>
      </c>
      <c r="M3279" s="6" t="str">
        <f>IFERROR(__xludf.DUMMYFUNCTION("""COMPUTED_VALUE"""),"Mochammad Fadhillah Hakim,")</f>
        <v>Mochammad Fadhillah Hakim,</v>
      </c>
      <c r="N3279" s="6" t="str">
        <f>IFERROR(__xludf.DUMMYFUNCTION("""COMPUTED_VALUE"""),"FIP Engineering")</f>
        <v>FIP Engineering</v>
      </c>
      <c r="O3279" s="6" t="str">
        <f>IFERROR(__xludf.DUMMYFUNCTION("""COMPUTED_VALUE"""),"FIP-DOM-000-11304-OS00001-INA-000000")</f>
        <v>FIP-DOM-000-11304-OS00001-INA-000000</v>
      </c>
      <c r="P3279" s="6" t="str">
        <f>IFERROR(__xludf.DUMMYFUNCTION("""COMPUTED_VALUE"""),"PO Closed")</f>
        <v>PO Closed</v>
      </c>
      <c r="Q3279" s="6" t="str">
        <f>IFERROR(__xludf.DUMMYFUNCTION("""COMPUTED_VALUE"""),"GL2406029")</f>
        <v>GL2406029</v>
      </c>
      <c r="R3279" s="57">
        <f>IFERROR(__xludf.DUMMYFUNCTION("""COMPUTED_VALUE"""),45453.0)</f>
        <v>45453</v>
      </c>
      <c r="S3279" s="57">
        <f>IFERROR(__xludf.DUMMYFUNCTION("""COMPUTED_VALUE"""),45456.0)</f>
        <v>45456</v>
      </c>
      <c r="T3279" s="57">
        <f>IFERROR(__xludf.DUMMYFUNCTION("""COMPUTED_VALUE"""),45493.0)</f>
        <v>45493</v>
      </c>
    </row>
    <row r="3280">
      <c r="A3280" s="6" t="str">
        <f>IFERROR(__xludf.DUMMYFUNCTION("""COMPUTED_VALUE"""),"121701554-2")</f>
        <v>121701554-2</v>
      </c>
      <c r="B3280" s="6" t="str">
        <f>IFERROR(__xludf.DUMMYFUNCTION("""COMPUTED_VALUE"""),"121701554 - APPROVED")</f>
        <v>121701554 - APPROVED</v>
      </c>
      <c r="C3280" s="6">
        <f>IFERROR(__xludf.DUMMYFUNCTION("""COMPUTED_VALUE"""),2.0)</f>
        <v>2</v>
      </c>
      <c r="D3280" s="6" t="str">
        <f>IFERROR(__xludf.DUMMYFUNCTION("""COMPUTED_VALUE"""),"O-19954-00")</f>
        <v>O-19954-00</v>
      </c>
      <c r="E3280" s="6" t="str">
        <f>IFERROR(__xludf.DUMMYFUNCTION("""COMPUTED_VALUE"""),"Dudukan Sensor Counter 2x100x100 mm, Mat. SUS 304; Custom; ;")</f>
        <v>Dudukan Sensor Counter 2x100x100 mm, Mat. SUS 304; Custom; ;</v>
      </c>
      <c r="F3280" s="6">
        <f>IFERROR(__xludf.DUMMYFUNCTION("""COMPUTED_VALUE"""),1.0)</f>
        <v>1</v>
      </c>
      <c r="G3280" s="6" t="str">
        <f>IFERROR(__xludf.DUMMYFUNCTION("""COMPUTED_VALUE"""),"Pieces")</f>
        <v>Pieces</v>
      </c>
      <c r="H3280" s="6" t="str">
        <f>IFERROR(__xludf.DUMMYFUNCTION("""COMPUTED_VALUE"""),"IDR")</f>
        <v>IDR</v>
      </c>
      <c r="I3280" s="6">
        <f>IFERROR(__xludf.DUMMYFUNCTION("""COMPUTED_VALUE"""),1385000.0)</f>
        <v>1385000</v>
      </c>
      <c r="J3280" s="6">
        <f>IFERROR(__xludf.DUMMYFUNCTION("""COMPUTED_VALUE"""),1385000.0)</f>
        <v>1385000</v>
      </c>
      <c r="K3280" s="57">
        <f>IFERROR(__xludf.DUMMYFUNCTION("""COMPUTED_VALUE"""),45455.0)</f>
        <v>45455</v>
      </c>
      <c r="L3280" s="6" t="str">
        <f>IFERROR(__xludf.DUMMYFUNCTION("""COMPUTED_VALUE"""),"FIP Engineering")</f>
        <v>FIP Engineering</v>
      </c>
      <c r="M3280" s="6" t="str">
        <f>IFERROR(__xludf.DUMMYFUNCTION("""COMPUTED_VALUE"""),"Mochammad Fadhillah Hakim,")</f>
        <v>Mochammad Fadhillah Hakim,</v>
      </c>
      <c r="N3280" s="6" t="str">
        <f>IFERROR(__xludf.DUMMYFUNCTION("""COMPUTED_VALUE"""),"FIP Engineering")</f>
        <v>FIP Engineering</v>
      </c>
      <c r="O3280" s="6" t="str">
        <f>IFERROR(__xludf.DUMMYFUNCTION("""COMPUTED_VALUE"""),"FIP-DOM-000-11304-OS00001-INA-000000")</f>
        <v>FIP-DOM-000-11304-OS00001-INA-000000</v>
      </c>
      <c r="P3280" s="6" t="str">
        <f>IFERROR(__xludf.DUMMYFUNCTION("""COMPUTED_VALUE"""),"PO Closed")</f>
        <v>PO Closed</v>
      </c>
      <c r="Q3280" s="6" t="str">
        <f>IFERROR(__xludf.DUMMYFUNCTION("""COMPUTED_VALUE"""),"GL2406029")</f>
        <v>GL2406029</v>
      </c>
      <c r="R3280" s="57">
        <f>IFERROR(__xludf.DUMMYFUNCTION("""COMPUTED_VALUE"""),45453.0)</f>
        <v>45453</v>
      </c>
      <c r="S3280" s="57">
        <f>IFERROR(__xludf.DUMMYFUNCTION("""COMPUTED_VALUE"""),45456.0)</f>
        <v>45456</v>
      </c>
      <c r="T3280" s="57">
        <f>IFERROR(__xludf.DUMMYFUNCTION("""COMPUTED_VALUE"""),45493.0)</f>
        <v>45493</v>
      </c>
    </row>
    <row r="3281">
      <c r="A3281" s="6" t="str">
        <f>IFERROR(__xludf.DUMMYFUNCTION("""COMPUTED_VALUE"""),"121701555-1")</f>
        <v>121701555-1</v>
      </c>
      <c r="B3281" s="6" t="str">
        <f>IFERROR(__xludf.DUMMYFUNCTION("""COMPUTED_VALUE"""),"121701555 - APPROVED")</f>
        <v>121701555 - APPROVED</v>
      </c>
      <c r="C3281" s="6">
        <f>IFERROR(__xludf.DUMMYFUNCTION("""COMPUTED_VALUE"""),1.0)</f>
        <v>1</v>
      </c>
      <c r="D3281" s="6" t="str">
        <f>IFERROR(__xludf.DUMMYFUNCTION("""COMPUTED_VALUE"""),"P-52975-00")</f>
        <v>P-52975-00</v>
      </c>
      <c r="E3281" s="6" t="str">
        <f>IFERROR(__xludf.DUMMYFUNCTION("""COMPUTED_VALUE"""),"Limit Switch; EWIG; E8108 IP65; ; ;")</f>
        <v>Limit Switch; EWIG; E8108 IP65; ; ;</v>
      </c>
      <c r="F3281" s="6">
        <f>IFERROR(__xludf.DUMMYFUNCTION("""COMPUTED_VALUE"""),6.0)</f>
        <v>6</v>
      </c>
      <c r="G3281" s="6" t="str">
        <f>IFERROR(__xludf.DUMMYFUNCTION("""COMPUTED_VALUE"""),"Pieces")</f>
        <v>Pieces</v>
      </c>
      <c r="H3281" s="6" t="str">
        <f>IFERROR(__xludf.DUMMYFUNCTION("""COMPUTED_VALUE"""),"IDR")</f>
        <v>IDR</v>
      </c>
      <c r="I3281" s="6">
        <f>IFERROR(__xludf.DUMMYFUNCTION("""COMPUTED_VALUE"""),110000.0)</f>
        <v>110000</v>
      </c>
      <c r="J3281" s="6">
        <f>IFERROR(__xludf.DUMMYFUNCTION("""COMPUTED_VALUE"""),660000.0)</f>
        <v>660000</v>
      </c>
      <c r="K3281" s="57">
        <f>IFERROR(__xludf.DUMMYFUNCTION("""COMPUTED_VALUE"""),45455.0)</f>
        <v>45455</v>
      </c>
      <c r="L3281" s="6" t="str">
        <f>IFERROR(__xludf.DUMMYFUNCTION("""COMPUTED_VALUE"""),"FIP Engineering")</f>
        <v>FIP Engineering</v>
      </c>
      <c r="M3281" s="6" t="str">
        <f>IFERROR(__xludf.DUMMYFUNCTION("""COMPUTED_VALUE"""),"Mochammad Fadhillah Hakim,")</f>
        <v>Mochammad Fadhillah Hakim,</v>
      </c>
      <c r="N3281" s="6" t="str">
        <f>IFERROR(__xludf.DUMMYFUNCTION("""COMPUTED_VALUE"""),"FIP Engineering")</f>
        <v>FIP Engineering</v>
      </c>
      <c r="O3281" s="6" t="str">
        <f>IFERROR(__xludf.DUMMYFUNCTION("""COMPUTED_VALUE"""),"FIP-DOM-000-11304-OS00001-INA-000000")</f>
        <v>FIP-DOM-000-11304-OS00001-INA-000000</v>
      </c>
      <c r="P3281" s="6" t="str">
        <f>IFERROR(__xludf.DUMMYFUNCTION("""COMPUTED_VALUE"""),"PO Closed")</f>
        <v>PO Closed</v>
      </c>
      <c r="Q3281" s="6" t="str">
        <f>IFERROR(__xludf.DUMMYFUNCTION("""COMPUTED_VALUE"""),"GL2406040")</f>
        <v>GL2406040</v>
      </c>
      <c r="R3281" s="57">
        <f>IFERROR(__xludf.DUMMYFUNCTION("""COMPUTED_VALUE"""),45453.0)</f>
        <v>45453</v>
      </c>
      <c r="S3281" s="57">
        <f>IFERROR(__xludf.DUMMYFUNCTION("""COMPUTED_VALUE"""),45454.0)</f>
        <v>45454</v>
      </c>
      <c r="T3281" s="57">
        <f>IFERROR(__xludf.DUMMYFUNCTION("""COMPUTED_VALUE"""),45485.0)</f>
        <v>45485</v>
      </c>
    </row>
    <row r="3282">
      <c r="A3282" s="6" t="str">
        <f>IFERROR(__xludf.DUMMYFUNCTION("""COMPUTED_VALUE"""),"121701555-2")</f>
        <v>121701555-2</v>
      </c>
      <c r="B3282" s="6" t="str">
        <f>IFERROR(__xludf.DUMMYFUNCTION("""COMPUTED_VALUE"""),"121701555 - APPROVED")</f>
        <v>121701555 - APPROVED</v>
      </c>
      <c r="C3282" s="6">
        <f>IFERROR(__xludf.DUMMYFUNCTION("""COMPUTED_VALUE"""),2.0)</f>
        <v>2</v>
      </c>
      <c r="D3282" s="6" t="str">
        <f>IFERROR(__xludf.DUMMYFUNCTION("""COMPUTED_VALUE"""),"O-52269-00")</f>
        <v>O-52269-00</v>
      </c>
      <c r="E3282" s="6" t="str">
        <f>IFERROR(__xludf.DUMMYFUNCTION("""COMPUTED_VALUE"""),"Selenoid Valve 2 Way Brass, 24VDC, 1/2 inch; ; ;")</f>
        <v>Selenoid Valve 2 Way Brass, 24VDC, 1/2 inch; ; ;</v>
      </c>
      <c r="F3282" s="6">
        <f>IFERROR(__xludf.DUMMYFUNCTION("""COMPUTED_VALUE"""),2.0)</f>
        <v>2</v>
      </c>
      <c r="G3282" s="6" t="str">
        <f>IFERROR(__xludf.DUMMYFUNCTION("""COMPUTED_VALUE"""),"Pieces")</f>
        <v>Pieces</v>
      </c>
      <c r="H3282" s="6" t="str">
        <f>IFERROR(__xludf.DUMMYFUNCTION("""COMPUTED_VALUE"""),"IDR")</f>
        <v>IDR</v>
      </c>
      <c r="I3282" s="6">
        <f>IFERROR(__xludf.DUMMYFUNCTION("""COMPUTED_VALUE"""),675000.0)</f>
        <v>675000</v>
      </c>
      <c r="J3282" s="6">
        <f>IFERROR(__xludf.DUMMYFUNCTION("""COMPUTED_VALUE"""),1350000.0)</f>
        <v>1350000</v>
      </c>
      <c r="K3282" s="57">
        <f>IFERROR(__xludf.DUMMYFUNCTION("""COMPUTED_VALUE"""),45455.0)</f>
        <v>45455</v>
      </c>
      <c r="L3282" s="6" t="str">
        <f>IFERROR(__xludf.DUMMYFUNCTION("""COMPUTED_VALUE"""),"FIP Engineering")</f>
        <v>FIP Engineering</v>
      </c>
      <c r="M3282" s="6" t="str">
        <f>IFERROR(__xludf.DUMMYFUNCTION("""COMPUTED_VALUE"""),"Mochammad Fadhillah Hakim,")</f>
        <v>Mochammad Fadhillah Hakim,</v>
      </c>
      <c r="N3282" s="6" t="str">
        <f>IFERROR(__xludf.DUMMYFUNCTION("""COMPUTED_VALUE"""),"FIP Engineering")</f>
        <v>FIP Engineering</v>
      </c>
      <c r="O3282" s="6" t="str">
        <f>IFERROR(__xludf.DUMMYFUNCTION("""COMPUTED_VALUE"""),"FIP-DOM-000-11304-OS00001-INA-000000")</f>
        <v>FIP-DOM-000-11304-OS00001-INA-000000</v>
      </c>
      <c r="P3282" s="6" t="str">
        <f>IFERROR(__xludf.DUMMYFUNCTION("""COMPUTED_VALUE"""),"PO Closed")</f>
        <v>PO Closed</v>
      </c>
      <c r="Q3282" s="6" t="str">
        <f>IFERROR(__xludf.DUMMYFUNCTION("""COMPUTED_VALUE"""),"GL2406040")</f>
        <v>GL2406040</v>
      </c>
      <c r="R3282" s="57">
        <f>IFERROR(__xludf.DUMMYFUNCTION("""COMPUTED_VALUE"""),45453.0)</f>
        <v>45453</v>
      </c>
      <c r="S3282" s="57">
        <f>IFERROR(__xludf.DUMMYFUNCTION("""COMPUTED_VALUE"""),45454.0)</f>
        <v>45454</v>
      </c>
      <c r="T3282" s="57">
        <f>IFERROR(__xludf.DUMMYFUNCTION("""COMPUTED_VALUE"""),45485.0)</f>
        <v>45485</v>
      </c>
    </row>
    <row r="3283">
      <c r="A3283" s="6" t="str">
        <f>IFERROR(__xludf.DUMMYFUNCTION("""COMPUTED_VALUE"""),"121701556-1")</f>
        <v>121701556-1</v>
      </c>
      <c r="B3283" s="6" t="str">
        <f>IFERROR(__xludf.DUMMYFUNCTION("""COMPUTED_VALUE"""),"121701556 - APPROVED")</f>
        <v>121701556 - APPROVED</v>
      </c>
      <c r="C3283" s="6">
        <f>IFERROR(__xludf.DUMMYFUNCTION("""COMPUTED_VALUE"""),1.0)</f>
        <v>1</v>
      </c>
      <c r="D3283" s="6" t="str">
        <f>IFERROR(__xludf.DUMMYFUNCTION("""COMPUTED_VALUE"""),"P-17645-00")</f>
        <v>P-17645-00</v>
      </c>
      <c r="E3283" s="6" t="str">
        <f>IFERROR(__xludf.DUMMYFUNCTION("""COMPUTED_VALUE"""),"Sodium Hiphoclorite; ; ; ltr")</f>
        <v>Sodium Hiphoclorite; ; ; ltr</v>
      </c>
      <c r="F3283" s="6">
        <f>IFERROR(__xludf.DUMMYFUNCTION("""COMPUTED_VALUE"""),20.0)</f>
        <v>20</v>
      </c>
      <c r="G3283" s="6" t="str">
        <f>IFERROR(__xludf.DUMMYFUNCTION("""COMPUTED_VALUE"""),"Liter")</f>
        <v>Liter</v>
      </c>
      <c r="H3283" s="6" t="str">
        <f>IFERROR(__xludf.DUMMYFUNCTION("""COMPUTED_VALUE"""),"IDR")</f>
        <v>IDR</v>
      </c>
      <c r="I3283" s="6">
        <f>IFERROR(__xludf.DUMMYFUNCTION("""COMPUTED_VALUE"""),5000.0)</f>
        <v>5000</v>
      </c>
      <c r="J3283" s="6">
        <f>IFERROR(__xludf.DUMMYFUNCTION("""COMPUTED_VALUE"""),100000.0)</f>
        <v>100000</v>
      </c>
      <c r="K3283" s="57">
        <f>IFERROR(__xludf.DUMMYFUNCTION("""COMPUTED_VALUE"""),45455.0)</f>
        <v>45455</v>
      </c>
      <c r="L3283" s="6" t="str">
        <f>IFERROR(__xludf.DUMMYFUNCTION("""COMPUTED_VALUE"""),"FIP Engineering")</f>
        <v>FIP Engineering</v>
      </c>
      <c r="M3283" s="6" t="str">
        <f>IFERROR(__xludf.DUMMYFUNCTION("""COMPUTED_VALUE"""),"Mochammad Fadhillah Hakim,")</f>
        <v>Mochammad Fadhillah Hakim,</v>
      </c>
      <c r="N3283" s="6" t="str">
        <f>IFERROR(__xludf.DUMMYFUNCTION("""COMPUTED_VALUE"""),"FIP Engineering")</f>
        <v>FIP Engineering</v>
      </c>
      <c r="O3283" s="6" t="str">
        <f>IFERROR(__xludf.DUMMYFUNCTION("""COMPUTED_VALUE"""),"FIP-DOM-000-11304-OS00001-INA-000000")</f>
        <v>FIP-DOM-000-11304-OS00001-INA-000000</v>
      </c>
      <c r="P3283" s="6" t="str">
        <f>IFERROR(__xludf.DUMMYFUNCTION("""COMPUTED_VALUE"""),"PO Closed")</f>
        <v>PO Closed</v>
      </c>
      <c r="Q3283" s="6" t="str">
        <f>IFERROR(__xludf.DUMMYFUNCTION("""COMPUTED_VALUE"""),"GL2406014")</f>
        <v>GL2406014</v>
      </c>
      <c r="R3283" s="57">
        <f>IFERROR(__xludf.DUMMYFUNCTION("""COMPUTED_VALUE"""),45453.0)</f>
        <v>45453</v>
      </c>
      <c r="S3283" s="57">
        <f>IFERROR(__xludf.DUMMYFUNCTION("""COMPUTED_VALUE"""),45453.0)</f>
        <v>45453</v>
      </c>
      <c r="T3283" s="57">
        <f>IFERROR(__xludf.DUMMYFUNCTION("""COMPUTED_VALUE"""),45473.0)</f>
        <v>45473</v>
      </c>
    </row>
    <row r="3284">
      <c r="A3284" s="6" t="str">
        <f>IFERROR(__xludf.DUMMYFUNCTION("""COMPUTED_VALUE"""),"121701558-1")</f>
        <v>121701558-1</v>
      </c>
      <c r="B3284" s="6" t="str">
        <f>IFERROR(__xludf.DUMMYFUNCTION("""COMPUTED_VALUE"""),"121701558 - APPROVED")</f>
        <v>121701558 - APPROVED</v>
      </c>
      <c r="C3284" s="6">
        <f>IFERROR(__xludf.DUMMYFUNCTION("""COMPUTED_VALUE"""),1.0)</f>
        <v>1</v>
      </c>
      <c r="D3284" s="6" t="str">
        <f>IFERROR(__xludf.DUMMYFUNCTION("""COMPUTED_VALUE"""),"O-51827-00")</f>
        <v>O-51827-00</v>
      </c>
      <c r="E3284" s="6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F3284" s="6">
        <f>IFERROR(__xludf.DUMMYFUNCTION("""COMPUTED_VALUE"""),3.0)</f>
        <v>3</v>
      </c>
      <c r="G3284" s="6" t="str">
        <f>IFERROR(__xludf.DUMMYFUNCTION("""COMPUTED_VALUE"""),"Unit")</f>
        <v>Unit</v>
      </c>
      <c r="H3284" s="6" t="str">
        <f>IFERROR(__xludf.DUMMYFUNCTION("""COMPUTED_VALUE"""),"IDR")</f>
        <v>IDR</v>
      </c>
      <c r="I3284" s="6">
        <f>IFERROR(__xludf.DUMMYFUNCTION("""COMPUTED_VALUE"""),2142000.0)</f>
        <v>2142000</v>
      </c>
      <c r="J3284" s="6">
        <f>IFERROR(__xludf.DUMMYFUNCTION("""COMPUTED_VALUE"""),6426000.0)</f>
        <v>6426000</v>
      </c>
      <c r="K3284" s="57">
        <f>IFERROR(__xludf.DUMMYFUNCTION("""COMPUTED_VALUE"""),45456.0)</f>
        <v>45456</v>
      </c>
      <c r="L3284" s="6" t="str">
        <f>IFERROR(__xludf.DUMMYFUNCTION("""COMPUTED_VALUE"""),"FIP Engineering")</f>
        <v>FIP Engineering</v>
      </c>
      <c r="M3284" s="6" t="str">
        <f>IFERROR(__xludf.DUMMYFUNCTION("""COMPUTED_VALUE"""),"Mochammad Fadhillah Hakim,")</f>
        <v>Mochammad Fadhillah Hakim,</v>
      </c>
      <c r="N3284" s="6" t="str">
        <f>IFERROR(__xludf.DUMMYFUNCTION("""COMPUTED_VALUE"""),"FIP Engineering")</f>
        <v>FIP Engineering</v>
      </c>
      <c r="O3284" s="6" t="str">
        <f>IFERROR(__xludf.DUMMYFUNCTION("""COMPUTED_VALUE"""),"FIP-DOM-000-11304-OS00001-INA-000000")</f>
        <v>FIP-DOM-000-11304-OS00001-INA-000000</v>
      </c>
      <c r="P3284" s="6" t="str">
        <f>IFERROR(__xludf.DUMMYFUNCTION("""COMPUTED_VALUE"""),"PO Closed")</f>
        <v>PO Closed</v>
      </c>
      <c r="Q3284" s="6" t="str">
        <f>IFERROR(__xludf.DUMMYFUNCTION("""COMPUTED_VALUE"""),"GL2407029")</f>
        <v>GL2407029</v>
      </c>
      <c r="R3284" s="57">
        <f>IFERROR(__xludf.DUMMYFUNCTION("""COMPUTED_VALUE"""),45454.0)</f>
        <v>45454</v>
      </c>
      <c r="S3284" s="57">
        <f>IFERROR(__xludf.DUMMYFUNCTION("""COMPUTED_VALUE"""),45454.0)</f>
        <v>45454</v>
      </c>
      <c r="T3284" s="57">
        <f>IFERROR(__xludf.DUMMYFUNCTION("""COMPUTED_VALUE"""),45565.0)</f>
        <v>45565</v>
      </c>
    </row>
    <row r="3285">
      <c r="A3285" s="6" t="str">
        <f>IFERROR(__xludf.DUMMYFUNCTION("""COMPUTED_VALUE"""),"121701558-2")</f>
        <v>121701558-2</v>
      </c>
      <c r="B3285" s="6" t="str">
        <f>IFERROR(__xludf.DUMMYFUNCTION("""COMPUTED_VALUE"""),"121701558 - APPROVED")</f>
        <v>121701558 - APPROVED</v>
      </c>
      <c r="C3285" s="6">
        <f>IFERROR(__xludf.DUMMYFUNCTION("""COMPUTED_VALUE"""),2.0)</f>
        <v>2</v>
      </c>
      <c r="D3285" s="6" t="str">
        <f>IFERROR(__xludf.DUMMYFUNCTION("""COMPUTED_VALUE"""),"O-51920-00")</f>
        <v>O-51920-00</v>
      </c>
      <c r="E3285" s="6" t="str">
        <f>IFERROR(__xludf.DUMMYFUNCTION("""COMPUTED_VALUE"""),"Temperature sensor PT100, 4 wire, class AA, Duplex, c/w 10m silicon cable Radix RAC241-D-10-PN; ; ;")</f>
        <v>Temperature sensor PT100, 4 wire, class AA, Duplex, c/w 10m silicon cable Radix RAC241-D-10-PN; ; ;</v>
      </c>
      <c r="F3285" s="6">
        <f>IFERROR(__xludf.DUMMYFUNCTION("""COMPUTED_VALUE"""),3.0)</f>
        <v>3</v>
      </c>
      <c r="G3285" s="6" t="str">
        <f>IFERROR(__xludf.DUMMYFUNCTION("""COMPUTED_VALUE"""),"Unit")</f>
        <v>Unit</v>
      </c>
      <c r="H3285" s="6" t="str">
        <f>IFERROR(__xludf.DUMMYFUNCTION("""COMPUTED_VALUE"""),"IDR")</f>
        <v>IDR</v>
      </c>
      <c r="I3285" s="6">
        <f>IFERROR(__xludf.DUMMYFUNCTION("""COMPUTED_VALUE"""),3182147.0)</f>
        <v>3182147</v>
      </c>
      <c r="J3285" s="6">
        <f>IFERROR(__xludf.DUMMYFUNCTION("""COMPUTED_VALUE"""),9546440.0)</f>
        <v>9546440</v>
      </c>
      <c r="K3285" s="57">
        <f>IFERROR(__xludf.DUMMYFUNCTION("""COMPUTED_VALUE"""),45456.0)</f>
        <v>45456</v>
      </c>
      <c r="L3285" s="6" t="str">
        <f>IFERROR(__xludf.DUMMYFUNCTION("""COMPUTED_VALUE"""),"FIP Engineering")</f>
        <v>FIP Engineering</v>
      </c>
      <c r="M3285" s="6" t="str">
        <f>IFERROR(__xludf.DUMMYFUNCTION("""COMPUTED_VALUE"""),"Mochammad Fadhillah Hakim,")</f>
        <v>Mochammad Fadhillah Hakim,</v>
      </c>
      <c r="N3285" s="6" t="str">
        <f>IFERROR(__xludf.DUMMYFUNCTION("""COMPUTED_VALUE"""),"FIP Engineering")</f>
        <v>FIP Engineering</v>
      </c>
      <c r="O3285" s="6" t="str">
        <f>IFERROR(__xludf.DUMMYFUNCTION("""COMPUTED_VALUE"""),"FIP-DOM-000-11304-OS00001-INA-000000")</f>
        <v>FIP-DOM-000-11304-OS00001-INA-000000</v>
      </c>
      <c r="P3285" s="6" t="str">
        <f>IFERROR(__xludf.DUMMYFUNCTION("""COMPUTED_VALUE"""),"PO Closed")</f>
        <v>PO Closed</v>
      </c>
      <c r="Q3285" s="6" t="str">
        <f>IFERROR(__xludf.DUMMYFUNCTION("""COMPUTED_VALUE"""),"GL2407031")</f>
        <v>GL2407031</v>
      </c>
      <c r="R3285" s="57">
        <f>IFERROR(__xludf.DUMMYFUNCTION("""COMPUTED_VALUE"""),45454.0)</f>
        <v>45454</v>
      </c>
      <c r="S3285" s="57">
        <f>IFERROR(__xludf.DUMMYFUNCTION("""COMPUTED_VALUE"""),45454.0)</f>
        <v>45454</v>
      </c>
      <c r="T3285" s="57">
        <f>IFERROR(__xludf.DUMMYFUNCTION("""COMPUTED_VALUE"""),45578.0)</f>
        <v>45578</v>
      </c>
    </row>
    <row r="3286">
      <c r="A3286" s="6" t="str">
        <f>IFERROR(__xludf.DUMMYFUNCTION("""COMPUTED_VALUE"""),"121701559-1")</f>
        <v>121701559-1</v>
      </c>
      <c r="B3286" s="6" t="str">
        <f>IFERROR(__xludf.DUMMYFUNCTION("""COMPUTED_VALUE"""),"121701559 - APPROVED")</f>
        <v>121701559 - APPROVED</v>
      </c>
      <c r="C3286" s="6">
        <f>IFERROR(__xludf.DUMMYFUNCTION("""COMPUTED_VALUE"""),1.0)</f>
        <v>1</v>
      </c>
      <c r="D3286" s="6" t="str">
        <f>IFERROR(__xludf.DUMMYFUNCTION("""COMPUTED_VALUE"""),"T-20398-00")</f>
        <v>T-20398-00</v>
      </c>
      <c r="E3286" s="6" t="str">
        <f>IFERROR(__xludf.DUMMYFUNCTION("""COMPUTED_VALUE"""),"In-Line Filter Assembly; Waters; Part No. WAT035190; 1pc")</f>
        <v>In-Line Filter Assembly; Waters; Part No. WAT035190; 1pc</v>
      </c>
      <c r="F3286" s="6">
        <f>IFERROR(__xludf.DUMMYFUNCTION("""COMPUTED_VALUE"""),3.0)</f>
        <v>3</v>
      </c>
      <c r="G3286" s="6" t="str">
        <f>IFERROR(__xludf.DUMMYFUNCTION("""COMPUTED_VALUE"""),"Pack")</f>
        <v>Pack</v>
      </c>
      <c r="H3286" s="6" t="str">
        <f>IFERROR(__xludf.DUMMYFUNCTION("""COMPUTED_VALUE"""),"IDR")</f>
        <v>IDR</v>
      </c>
      <c r="I3286" s="6">
        <f>IFERROR(__xludf.DUMMYFUNCTION("""COMPUTED_VALUE"""),1740000.0)</f>
        <v>1740000</v>
      </c>
      <c r="J3286" s="6">
        <f>IFERROR(__xludf.DUMMYFUNCTION("""COMPUTED_VALUE"""),5220000.0)</f>
        <v>5220000</v>
      </c>
      <c r="K3286" s="57">
        <f>IFERROR(__xludf.DUMMYFUNCTION("""COMPUTED_VALUE"""),45456.0)</f>
        <v>45456</v>
      </c>
      <c r="L3286" s="6" t="str">
        <f>IFERROR(__xludf.DUMMYFUNCTION("""COMPUTED_VALUE"""),"FIP General")</f>
        <v>FIP General</v>
      </c>
      <c r="M3286" s="6" t="str">
        <f>IFERROR(__xludf.DUMMYFUNCTION("""COMPUTED_VALUE"""),"Mochammad Fadhillah Hakim,")</f>
        <v>Mochammad Fadhillah Hakim,</v>
      </c>
      <c r="N3286" s="6" t="str">
        <f>IFERROR(__xludf.DUMMYFUNCTION("""COMPUTED_VALUE"""),"FIP Engineering")</f>
        <v>FIP Engineering</v>
      </c>
      <c r="O3286" s="6" t="str">
        <f>IFERROR(__xludf.DUMMYFUNCTION("""COMPUTED_VALUE"""),"FIP-DOM-ENG-51505-0000000-INA-000000")</f>
        <v>FIP-DOM-ENG-51505-0000000-INA-000000</v>
      </c>
      <c r="P3286" s="6" t="str">
        <f>IFERROR(__xludf.DUMMYFUNCTION("""COMPUTED_VALUE"""),"PO Closed")</f>
        <v>PO Closed</v>
      </c>
      <c r="Q3286" s="6" t="str">
        <f>IFERROR(__xludf.DUMMYFUNCTION("""COMPUTED_VALUE"""),"GL2406389")</f>
        <v>GL2406389</v>
      </c>
      <c r="R3286" s="57">
        <f>IFERROR(__xludf.DUMMYFUNCTION("""COMPUTED_VALUE"""),45454.0)</f>
        <v>45454</v>
      </c>
      <c r="S3286" s="57">
        <f>IFERROR(__xludf.DUMMYFUNCTION("""COMPUTED_VALUE"""),45454.0)</f>
        <v>45454</v>
      </c>
      <c r="T3286" s="57">
        <f>IFERROR(__xludf.DUMMYFUNCTION("""COMPUTED_VALUE"""),45506.0)</f>
        <v>45506</v>
      </c>
    </row>
    <row r="3287">
      <c r="A3287" s="6" t="str">
        <f>IFERROR(__xludf.DUMMYFUNCTION("""COMPUTED_VALUE"""),"121701560-1")</f>
        <v>121701560-1</v>
      </c>
      <c r="B3287" s="6" t="str">
        <f>IFERROR(__xludf.DUMMYFUNCTION("""COMPUTED_VALUE"""),"121701560 - APPROVED")</f>
        <v>121701560 - APPROVED</v>
      </c>
      <c r="C3287" s="6">
        <f>IFERROR(__xludf.DUMMYFUNCTION("""COMPUTED_VALUE"""),1.0)</f>
        <v>1</v>
      </c>
      <c r="D3287" s="6" t="str">
        <f>IFERROR(__xludf.DUMMYFUNCTION("""COMPUTED_VALUE"""),"Q-10130-00")</f>
        <v>Q-10130-00</v>
      </c>
      <c r="E3287" s="6" t="str">
        <f>IFERROR(__xludf.DUMMYFUNCTION("""COMPUTED_VALUE"""),"TOTO - Kran Wastafel Faucet TX 126 LE")</f>
        <v>TOTO - Kran Wastafel Faucet TX 126 LE</v>
      </c>
      <c r="F3287" s="6">
        <f>IFERROR(__xludf.DUMMYFUNCTION("""COMPUTED_VALUE"""),3.0)</f>
        <v>3</v>
      </c>
      <c r="G3287" s="6" t="str">
        <f>IFERROR(__xludf.DUMMYFUNCTION("""COMPUTED_VALUE"""),"Pieces")</f>
        <v>Pieces</v>
      </c>
      <c r="H3287" s="6" t="str">
        <f>IFERROR(__xludf.DUMMYFUNCTION("""COMPUTED_VALUE"""),"IDR")</f>
        <v>IDR</v>
      </c>
      <c r="I3287" s="6">
        <f>IFERROR(__xludf.DUMMYFUNCTION("""COMPUTED_VALUE"""),1363250.0)</f>
        <v>1363250</v>
      </c>
      <c r="J3287" s="6">
        <f>IFERROR(__xludf.DUMMYFUNCTION("""COMPUTED_VALUE"""),4089750.0)</f>
        <v>4089750</v>
      </c>
      <c r="K3287" s="57">
        <f>IFERROR(__xludf.DUMMYFUNCTION("""COMPUTED_VALUE"""),45456.0)</f>
        <v>45456</v>
      </c>
      <c r="L3287" s="6" t="str">
        <f>IFERROR(__xludf.DUMMYFUNCTION("""COMPUTED_VALUE"""),"FIP General")</f>
        <v>FIP General</v>
      </c>
      <c r="M3287" s="6" t="str">
        <f>IFERROR(__xludf.DUMMYFUNCTION("""COMPUTED_VALUE"""),"Mochammad Fadhillah Hakim,")</f>
        <v>Mochammad Fadhillah Hakim,</v>
      </c>
      <c r="N3287" s="6" t="str">
        <f>IFERROR(__xludf.DUMMYFUNCTION("""COMPUTED_VALUE"""),"FIP Engineering")</f>
        <v>FIP Engineering</v>
      </c>
      <c r="O3287" s="6" t="str">
        <f>IFERROR(__xludf.DUMMYFUNCTION("""COMPUTED_VALUE"""),"FIP-DOM-ENG-51502-0000000-INA-000000")</f>
        <v>FIP-DOM-ENG-51502-0000000-INA-000000</v>
      </c>
      <c r="P3287" s="6" t="str">
        <f>IFERROR(__xludf.DUMMYFUNCTION("""COMPUTED_VALUE"""),"PO Closed")</f>
        <v>PO Closed</v>
      </c>
      <c r="Q3287" s="6" t="str">
        <f>IFERROR(__xludf.DUMMYFUNCTION("""COMPUTED_VALUE"""),"GL2406018")</f>
        <v>GL2406018</v>
      </c>
      <c r="R3287" s="57">
        <f>IFERROR(__xludf.DUMMYFUNCTION("""COMPUTED_VALUE"""),45454.0)</f>
        <v>45454</v>
      </c>
      <c r="S3287" s="57">
        <f>IFERROR(__xludf.DUMMYFUNCTION("""COMPUTED_VALUE"""),45454.0)</f>
        <v>45454</v>
      </c>
      <c r="T3287" s="57">
        <f>IFERROR(__xludf.DUMMYFUNCTION("""COMPUTED_VALUE"""),45481.0)</f>
        <v>45481</v>
      </c>
    </row>
    <row r="3288">
      <c r="A3288" s="6" t="str">
        <f>IFERROR(__xludf.DUMMYFUNCTION("""COMPUTED_VALUE"""),"121701560-2")</f>
        <v>121701560-2</v>
      </c>
      <c r="B3288" s="6" t="str">
        <f>IFERROR(__xludf.DUMMYFUNCTION("""COMPUTED_VALUE"""),"121701560 - APPROVED")</f>
        <v>121701560 - APPROVED</v>
      </c>
      <c r="C3288" s="6">
        <f>IFERROR(__xludf.DUMMYFUNCTION("""COMPUTED_VALUE"""),2.0)</f>
        <v>2</v>
      </c>
      <c r="D3288" s="6" t="str">
        <f>IFERROR(__xludf.DUMMYFUNCTION("""COMPUTED_VALUE"""),"P-14877-00")</f>
        <v>P-14877-00</v>
      </c>
      <c r="E3288" s="6" t="str">
        <f>IFERROR(__xludf.DUMMYFUNCTION("""COMPUTED_VALUE"""),"Kabel NYYHY 3x2,5mm; ; ;")</f>
        <v>Kabel NYYHY 3x2,5mm; ; ;</v>
      </c>
      <c r="F3288" s="6">
        <f>IFERROR(__xludf.DUMMYFUNCTION("""COMPUTED_VALUE"""),100.0)</f>
        <v>100</v>
      </c>
      <c r="G3288" s="6" t="str">
        <f>IFERROR(__xludf.DUMMYFUNCTION("""COMPUTED_VALUE"""),"Meter")</f>
        <v>Meter</v>
      </c>
      <c r="H3288" s="6" t="str">
        <f>IFERROR(__xludf.DUMMYFUNCTION("""COMPUTED_VALUE"""),"IDR")</f>
        <v>IDR</v>
      </c>
      <c r="I3288" s="6">
        <f>IFERROR(__xludf.DUMMYFUNCTION("""COMPUTED_VALUE"""),23500.0)</f>
        <v>23500</v>
      </c>
      <c r="J3288" s="6">
        <f>IFERROR(__xludf.DUMMYFUNCTION("""COMPUTED_VALUE"""),2350000.0)</f>
        <v>2350000</v>
      </c>
      <c r="K3288" s="57">
        <f>IFERROR(__xludf.DUMMYFUNCTION("""COMPUTED_VALUE"""),45456.0)</f>
        <v>45456</v>
      </c>
      <c r="L3288" s="6" t="str">
        <f>IFERROR(__xludf.DUMMYFUNCTION("""COMPUTED_VALUE"""),"FIP General")</f>
        <v>FIP General</v>
      </c>
      <c r="M3288" s="6" t="str">
        <f>IFERROR(__xludf.DUMMYFUNCTION("""COMPUTED_VALUE"""),"Mochammad Fadhillah Hakim,")</f>
        <v>Mochammad Fadhillah Hakim,</v>
      </c>
      <c r="N3288" s="6" t="str">
        <f>IFERROR(__xludf.DUMMYFUNCTION("""COMPUTED_VALUE"""),"FIP Engineering")</f>
        <v>FIP Engineering</v>
      </c>
      <c r="O3288" s="6" t="str">
        <f>IFERROR(__xludf.DUMMYFUNCTION("""COMPUTED_VALUE"""),"FIP-DOM-ENG-51504-0000000-INA-000000")</f>
        <v>FIP-DOM-ENG-51504-0000000-INA-000000</v>
      </c>
      <c r="P3288" s="6" t="str">
        <f>IFERROR(__xludf.DUMMYFUNCTION("""COMPUTED_VALUE"""),"PO Closed")</f>
        <v>PO Closed</v>
      </c>
      <c r="Q3288" s="6" t="str">
        <f>IFERROR(__xludf.DUMMYFUNCTION("""COMPUTED_VALUE"""),"GL2407411")</f>
        <v>GL2407411</v>
      </c>
      <c r="R3288" s="57">
        <f>IFERROR(__xludf.DUMMYFUNCTION("""COMPUTED_VALUE"""),45454.0)</f>
        <v>45454</v>
      </c>
      <c r="S3288" s="57">
        <f>IFERROR(__xludf.DUMMYFUNCTION("""COMPUTED_VALUE"""),45454.0)</f>
        <v>45454</v>
      </c>
      <c r="T3288" s="57">
        <f>IFERROR(__xludf.DUMMYFUNCTION("""COMPUTED_VALUE"""),45527.0)</f>
        <v>45527</v>
      </c>
    </row>
    <row r="3289">
      <c r="A3289" s="6" t="str">
        <f>IFERROR(__xludf.DUMMYFUNCTION("""COMPUTED_VALUE"""),"121701560-3")</f>
        <v>121701560-3</v>
      </c>
      <c r="B3289" s="6" t="str">
        <f>IFERROR(__xludf.DUMMYFUNCTION("""COMPUTED_VALUE"""),"121701560 - APPROVED")</f>
        <v>121701560 - APPROVED</v>
      </c>
      <c r="C3289" s="6">
        <f>IFERROR(__xludf.DUMMYFUNCTION("""COMPUTED_VALUE"""),3.0)</f>
        <v>3</v>
      </c>
      <c r="D3289" s="6" t="str">
        <f>IFERROR(__xludf.DUMMYFUNCTION("""COMPUTED_VALUE"""),"P-54190-00")</f>
        <v>P-54190-00</v>
      </c>
      <c r="E3289" s="6" t="str">
        <f>IFERROR(__xludf.DUMMYFUNCTION("""COMPUTED_VALUE"""),"Stop Kontak IP55 16A; Legrand; ;")</f>
        <v>Stop Kontak IP55 16A; Legrand; ;</v>
      </c>
      <c r="F3289" s="6">
        <f>IFERROR(__xludf.DUMMYFUNCTION("""COMPUTED_VALUE"""),5.0)</f>
        <v>5</v>
      </c>
      <c r="G3289" s="6" t="str">
        <f>IFERROR(__xludf.DUMMYFUNCTION("""COMPUTED_VALUE"""),"Pieces")</f>
        <v>Pieces</v>
      </c>
      <c r="H3289" s="6" t="str">
        <f>IFERROR(__xludf.DUMMYFUNCTION("""COMPUTED_VALUE"""),"IDR")</f>
        <v>IDR</v>
      </c>
      <c r="I3289" s="6">
        <f>IFERROR(__xludf.DUMMYFUNCTION("""COMPUTED_VALUE"""),185000.0)</f>
        <v>185000</v>
      </c>
      <c r="J3289" s="6">
        <f>IFERROR(__xludf.DUMMYFUNCTION("""COMPUTED_VALUE"""),925000.0)</f>
        <v>925000</v>
      </c>
      <c r="K3289" s="57">
        <f>IFERROR(__xludf.DUMMYFUNCTION("""COMPUTED_VALUE"""),45456.0)</f>
        <v>45456</v>
      </c>
      <c r="L3289" s="6" t="str">
        <f>IFERROR(__xludf.DUMMYFUNCTION("""COMPUTED_VALUE"""),"FIP Engineering")</f>
        <v>FIP Engineering</v>
      </c>
      <c r="M3289" s="6" t="str">
        <f>IFERROR(__xludf.DUMMYFUNCTION("""COMPUTED_VALUE"""),"Mochammad Fadhillah Hakim,")</f>
        <v>Mochammad Fadhillah Hakim,</v>
      </c>
      <c r="N3289" s="6" t="str">
        <f>IFERROR(__xludf.DUMMYFUNCTION("""COMPUTED_VALUE"""),"FIP Engineering")</f>
        <v>FIP Engineering</v>
      </c>
      <c r="O3289" s="6" t="str">
        <f>IFERROR(__xludf.DUMMYFUNCTION("""COMPUTED_VALUE"""),"FIP-DOM-000-11304-OS00001-INA-000000")</f>
        <v>FIP-DOM-000-11304-OS00001-INA-000000</v>
      </c>
      <c r="P3289" s="6" t="str">
        <f>IFERROR(__xludf.DUMMYFUNCTION("""COMPUTED_VALUE"""),"PO Closed")</f>
        <v>PO Closed</v>
      </c>
      <c r="Q3289" s="6" t="str">
        <f>IFERROR(__xludf.DUMMYFUNCTION("""COMPUTED_VALUE"""),"GL2407034")</f>
        <v>GL2407034</v>
      </c>
      <c r="R3289" s="57">
        <f>IFERROR(__xludf.DUMMYFUNCTION("""COMPUTED_VALUE"""),45454.0)</f>
        <v>45454</v>
      </c>
      <c r="S3289" s="57">
        <f>IFERROR(__xludf.DUMMYFUNCTION("""COMPUTED_VALUE"""),45454.0)</f>
        <v>45454</v>
      </c>
      <c r="T3289" s="57">
        <f>IFERROR(__xludf.DUMMYFUNCTION("""COMPUTED_VALUE"""),45529.0)</f>
        <v>45529</v>
      </c>
    </row>
    <row r="3290">
      <c r="A3290" s="6" t="str">
        <f>IFERROR(__xludf.DUMMYFUNCTION("""COMPUTED_VALUE"""),"121701562-1")</f>
        <v>121701562-1</v>
      </c>
      <c r="B3290" s="6" t="str">
        <f>IFERROR(__xludf.DUMMYFUNCTION("""COMPUTED_VALUE"""),"121701562 - APPROVED")</f>
        <v>121701562 - APPROVED</v>
      </c>
      <c r="C3290" s="6">
        <f>IFERROR(__xludf.DUMMYFUNCTION("""COMPUTED_VALUE"""),1.0)</f>
        <v>1</v>
      </c>
      <c r="D3290" s="6"/>
      <c r="E3290" s="6" t="str">
        <f>IFERROR(__xludf.DUMMYFUNCTION("""COMPUTED_VALUE"""),"PR Tools GEA 1")</f>
        <v>PR Tools GEA 1</v>
      </c>
      <c r="F3290" s="6">
        <f>IFERROR(__xludf.DUMMYFUNCTION("""COMPUTED_VALUE"""),1.0)</f>
        <v>1</v>
      </c>
      <c r="G3290" s="6" t="str">
        <f>IFERROR(__xludf.DUMMYFUNCTION("""COMPUTED_VALUE"""),"Pieces")</f>
        <v>Pieces</v>
      </c>
      <c r="H3290" s="6" t="str">
        <f>IFERROR(__xludf.DUMMYFUNCTION("""COMPUTED_VALUE"""),"IDR")</f>
        <v>IDR</v>
      </c>
      <c r="I3290" s="6">
        <f>IFERROR(__xludf.DUMMYFUNCTION("""COMPUTED_VALUE"""),3517800.0)</f>
        <v>3517800</v>
      </c>
      <c r="J3290" s="6">
        <f>IFERROR(__xludf.DUMMYFUNCTION("""COMPUTED_VALUE"""),3517800.0)</f>
        <v>3517800</v>
      </c>
      <c r="K3290" s="57">
        <f>IFERROR(__xludf.DUMMYFUNCTION("""COMPUTED_VALUE"""),45456.0)</f>
        <v>45456</v>
      </c>
      <c r="L3290" s="6" t="str">
        <f>IFERROR(__xludf.DUMMYFUNCTION("""COMPUTED_VALUE"""),"FIP General")</f>
        <v>FIP General</v>
      </c>
      <c r="M3290" s="6" t="str">
        <f>IFERROR(__xludf.DUMMYFUNCTION("""COMPUTED_VALUE"""),"Mochammad Fadhillah Hakim,")</f>
        <v>Mochammad Fadhillah Hakim,</v>
      </c>
      <c r="N3290" s="6" t="str">
        <f>IFERROR(__xludf.DUMMYFUNCTION("""COMPUTED_VALUE"""),"FIP Engineering")</f>
        <v>FIP Engineering</v>
      </c>
      <c r="O3290" s="6" t="str">
        <f>IFERROR(__xludf.DUMMYFUNCTION("""COMPUTED_VALUE"""),"FIP-DOM-ENG-13409-MC24017-INA-000000")</f>
        <v>FIP-DOM-ENG-13409-MC24017-INA-000000</v>
      </c>
      <c r="P3290" s="6" t="str">
        <f>IFERROR(__xludf.DUMMYFUNCTION("""COMPUTED_VALUE"""),"PO Closed")</f>
        <v>PO Closed</v>
      </c>
      <c r="Q3290" s="6" t="str">
        <f>IFERROR(__xludf.DUMMYFUNCTION("""COMPUTED_VALUE"""),"GL2407001")</f>
        <v>GL2407001</v>
      </c>
      <c r="R3290" s="57">
        <f>IFERROR(__xludf.DUMMYFUNCTION("""COMPUTED_VALUE"""),45454.0)</f>
        <v>45454</v>
      </c>
      <c r="S3290" s="57">
        <f>IFERROR(__xludf.DUMMYFUNCTION("""COMPUTED_VALUE"""),45456.0)</f>
        <v>45456</v>
      </c>
      <c r="T3290" s="57">
        <f>IFERROR(__xludf.DUMMYFUNCTION("""COMPUTED_VALUE"""),45478.0)</f>
        <v>45478</v>
      </c>
    </row>
    <row r="3291">
      <c r="A3291" s="6" t="str">
        <f>IFERROR(__xludf.DUMMYFUNCTION("""COMPUTED_VALUE"""),"121701564-1")</f>
        <v>121701564-1</v>
      </c>
      <c r="B3291" s="6" t="str">
        <f>IFERROR(__xludf.DUMMYFUNCTION("""COMPUTED_VALUE"""),"121701564 - APPROVED")</f>
        <v>121701564 - APPROVED</v>
      </c>
      <c r="C3291" s="6">
        <f>IFERROR(__xludf.DUMMYFUNCTION("""COMPUTED_VALUE"""),1.0)</f>
        <v>1</v>
      </c>
      <c r="D3291" s="6" t="str">
        <f>IFERROR(__xludf.DUMMYFUNCTION("""COMPUTED_VALUE"""),"S-60002-00")</f>
        <v>S-60002-00</v>
      </c>
      <c r="E3291" s="6" t="str">
        <f>IFERROR(__xludf.DUMMYFUNCTION("""COMPUTED_VALUE"""),"Jasa Perbaikan dan Pemeliharaan Mesin Utility")</f>
        <v>Jasa Perbaikan dan Pemeliharaan Mesin Utility</v>
      </c>
      <c r="F3291" s="6">
        <f>IFERROR(__xludf.DUMMYFUNCTION("""COMPUTED_VALUE"""),1.0)</f>
        <v>1</v>
      </c>
      <c r="G3291" s="6" t="str">
        <f>IFERROR(__xludf.DUMMYFUNCTION("""COMPUTED_VALUE"""),"Lot")</f>
        <v>Lot</v>
      </c>
      <c r="H3291" s="6" t="str">
        <f>IFERROR(__xludf.DUMMYFUNCTION("""COMPUTED_VALUE"""),"IDR")</f>
        <v>IDR</v>
      </c>
      <c r="I3291" s="6">
        <f>IFERROR(__xludf.DUMMYFUNCTION("""COMPUTED_VALUE"""),7925500.0)</f>
        <v>7925500</v>
      </c>
      <c r="J3291" s="6">
        <f>IFERROR(__xludf.DUMMYFUNCTION("""COMPUTED_VALUE"""),7925500.0)</f>
        <v>7925500</v>
      </c>
      <c r="K3291" s="57">
        <f>IFERROR(__xludf.DUMMYFUNCTION("""COMPUTED_VALUE"""),45457.0)</f>
        <v>45457</v>
      </c>
      <c r="L3291" s="6" t="str">
        <f>IFERROR(__xludf.DUMMYFUNCTION("""COMPUTED_VALUE"""),"FIP General")</f>
        <v>FIP General</v>
      </c>
      <c r="M3291" s="6" t="str">
        <f>IFERROR(__xludf.DUMMYFUNCTION("""COMPUTED_VALUE"""),"Mochammad Fadhillah Hakim,")</f>
        <v>Mochammad Fadhillah Hakim,</v>
      </c>
      <c r="N3291" s="6" t="str">
        <f>IFERROR(__xludf.DUMMYFUNCTION("""COMPUTED_VALUE"""),"FIP Engineering")</f>
        <v>FIP Engineering</v>
      </c>
      <c r="O3291" s="6" t="str">
        <f>IFERROR(__xludf.DUMMYFUNCTION("""COMPUTED_VALUE"""),"FIP-DOM-ENG-51508-OS00001-INA-000000")</f>
        <v>FIP-DOM-ENG-51508-OS00001-INA-000000</v>
      </c>
      <c r="P3291" s="6" t="str">
        <f>IFERROR(__xludf.DUMMYFUNCTION("""COMPUTED_VALUE"""),"PO Closed")</f>
        <v>PO Closed</v>
      </c>
      <c r="Q3291" s="6"/>
      <c r="R3291" s="57">
        <f>IFERROR(__xludf.DUMMYFUNCTION("""COMPUTED_VALUE"""),45455.0)</f>
        <v>45455</v>
      </c>
      <c r="S3291" s="57">
        <f>IFERROR(__xludf.DUMMYFUNCTION("""COMPUTED_VALUE"""),45461.0)</f>
        <v>45461</v>
      </c>
      <c r="T3291" s="6"/>
    </row>
    <row r="3292">
      <c r="A3292" s="6" t="str">
        <f>IFERROR(__xludf.DUMMYFUNCTION("""COMPUTED_VALUE"""),"121701565-2")</f>
        <v>121701565-2</v>
      </c>
      <c r="B3292" s="6" t="str">
        <f>IFERROR(__xludf.DUMMYFUNCTION("""COMPUTED_VALUE"""),"121701565 - APPROVED")</f>
        <v>121701565 - APPROVED</v>
      </c>
      <c r="C3292" s="6">
        <f>IFERROR(__xludf.DUMMYFUNCTION("""COMPUTED_VALUE"""),2.0)</f>
        <v>2</v>
      </c>
      <c r="D3292" s="6" t="str">
        <f>IFERROR(__xludf.DUMMYFUNCTION("""COMPUTED_VALUE"""),"P-51736-00")</f>
        <v>P-51736-00</v>
      </c>
      <c r="E3292" s="6" t="str">
        <f>IFERROR(__xludf.DUMMYFUNCTION("""COMPUTED_VALUE"""),"Kabel UTP isi 8 Cat 5e merk BELDEN; ; ;")</f>
        <v>Kabel UTP isi 8 Cat 5e merk BELDEN; ; ;</v>
      </c>
      <c r="F3292" s="6">
        <f>IFERROR(__xludf.DUMMYFUNCTION("""COMPUTED_VALUE"""),2.0)</f>
        <v>2</v>
      </c>
      <c r="G3292" s="6" t="str">
        <f>IFERROR(__xludf.DUMMYFUNCTION("""COMPUTED_VALUE"""),"Roll")</f>
        <v>Roll</v>
      </c>
      <c r="H3292" s="6" t="str">
        <f>IFERROR(__xludf.DUMMYFUNCTION("""COMPUTED_VALUE"""),"IDR")</f>
        <v>IDR</v>
      </c>
      <c r="I3292" s="6">
        <f>IFERROR(__xludf.DUMMYFUNCTION("""COMPUTED_VALUE"""),1850000.0)</f>
        <v>1850000</v>
      </c>
      <c r="J3292" s="6">
        <f>IFERROR(__xludf.DUMMYFUNCTION("""COMPUTED_VALUE"""),3700000.0)</f>
        <v>3700000</v>
      </c>
      <c r="K3292" s="57">
        <f>IFERROR(__xludf.DUMMYFUNCTION("""COMPUTED_VALUE"""),45463.0)</f>
        <v>45463</v>
      </c>
      <c r="L3292" s="6" t="str">
        <f>IFERROR(__xludf.DUMMYFUNCTION("""COMPUTED_VALUE"""),"FIP Engineering")</f>
        <v>FIP Engineering</v>
      </c>
      <c r="M3292" s="6" t="str">
        <f>IFERROR(__xludf.DUMMYFUNCTION("""COMPUTED_VALUE"""),"Mochammad Fadhillah Hakim,")</f>
        <v>Mochammad Fadhillah Hakim,</v>
      </c>
      <c r="N3292" s="6" t="str">
        <f>IFERROR(__xludf.DUMMYFUNCTION("""COMPUTED_VALUE"""),"FIP Engineering")</f>
        <v>FIP Engineering</v>
      </c>
      <c r="O3292" s="6" t="str">
        <f>IFERROR(__xludf.DUMMYFUNCTION("""COMPUTED_VALUE"""),"FIP-DOM-000-11304-OS00001-INA-000000")</f>
        <v>FIP-DOM-000-11304-OS00001-INA-000000</v>
      </c>
      <c r="P3292" s="6" t="str">
        <f>IFERROR(__xludf.DUMMYFUNCTION("""COMPUTED_VALUE"""),"PO Closed")</f>
        <v>PO Closed</v>
      </c>
      <c r="Q3292" s="6" t="str">
        <f>IFERROR(__xludf.DUMMYFUNCTION("""COMPUTED_VALUE"""),"GL2407030")</f>
        <v>GL2407030</v>
      </c>
      <c r="R3292" s="57">
        <f>IFERROR(__xludf.DUMMYFUNCTION("""COMPUTED_VALUE"""),45455.0)</f>
        <v>45455</v>
      </c>
      <c r="S3292" s="57">
        <f>IFERROR(__xludf.DUMMYFUNCTION("""COMPUTED_VALUE"""),45462.0)</f>
        <v>45462</v>
      </c>
      <c r="T3292" s="57">
        <f>IFERROR(__xludf.DUMMYFUNCTION("""COMPUTED_VALUE"""),45527.0)</f>
        <v>45527</v>
      </c>
    </row>
    <row r="3293">
      <c r="A3293" s="6" t="str">
        <f>IFERROR(__xludf.DUMMYFUNCTION("""COMPUTED_VALUE"""),"121701583-1")</f>
        <v>121701583-1</v>
      </c>
      <c r="B3293" s="6" t="str">
        <f>IFERROR(__xludf.DUMMYFUNCTION("""COMPUTED_VALUE"""),"121701583 - APPROVED")</f>
        <v>121701583 - APPROVED</v>
      </c>
      <c r="C3293" s="6">
        <f>IFERROR(__xludf.DUMMYFUNCTION("""COMPUTED_VALUE"""),1.0)</f>
        <v>1</v>
      </c>
      <c r="D3293" s="6" t="str">
        <f>IFERROR(__xludf.DUMMYFUNCTION("""COMPUTED_VALUE"""),"Q-10947-00")</f>
        <v>Q-10947-00</v>
      </c>
      <c r="E3293" s="6" t="str">
        <f>IFERROR(__xludf.DUMMYFUNCTION("""COMPUTED_VALUE"""),"Plastik Cor Bagunan; ; ;")</f>
        <v>Plastik Cor Bagunan; ; ;</v>
      </c>
      <c r="F3293" s="6">
        <f>IFERROR(__xludf.DUMMYFUNCTION("""COMPUTED_VALUE"""),1.0)</f>
        <v>1</v>
      </c>
      <c r="G3293" s="6" t="str">
        <f>IFERROR(__xludf.DUMMYFUNCTION("""COMPUTED_VALUE"""),"Pieces")</f>
        <v>Pieces</v>
      </c>
      <c r="H3293" s="6" t="str">
        <f>IFERROR(__xludf.DUMMYFUNCTION("""COMPUTED_VALUE"""),"IDR")</f>
        <v>IDR</v>
      </c>
      <c r="I3293" s="6">
        <f>IFERROR(__xludf.DUMMYFUNCTION("""COMPUTED_VALUE"""),210000.0)</f>
        <v>210000</v>
      </c>
      <c r="J3293" s="6">
        <f>IFERROR(__xludf.DUMMYFUNCTION("""COMPUTED_VALUE"""),210000.0)</f>
        <v>210000</v>
      </c>
      <c r="K3293" s="57">
        <f>IFERROR(__xludf.DUMMYFUNCTION("""COMPUTED_VALUE"""),45463.0)</f>
        <v>45463</v>
      </c>
      <c r="L3293" s="6" t="str">
        <f>IFERROR(__xludf.DUMMYFUNCTION("""COMPUTED_VALUE"""),"FIP General")</f>
        <v>FIP General</v>
      </c>
      <c r="M3293" s="6" t="str">
        <f>IFERROR(__xludf.DUMMYFUNCTION("""COMPUTED_VALUE"""),"Mochammad Fadhillah Hakim,")</f>
        <v>Mochammad Fadhillah Hakim,</v>
      </c>
      <c r="N3293" s="6" t="str">
        <f>IFERROR(__xludf.DUMMYFUNCTION("""COMPUTED_VALUE"""),"FIP Engineering")</f>
        <v>FIP Engineering</v>
      </c>
      <c r="O3293" s="6" t="str">
        <f>IFERROR(__xludf.DUMMYFUNCTION("""COMPUTED_VALUE"""),"FIP-DOM-ENG-51502-0000000-INA-000000")</f>
        <v>FIP-DOM-ENG-51502-0000000-INA-000000</v>
      </c>
      <c r="P3293" s="6" t="str">
        <f>IFERROR(__xludf.DUMMYFUNCTION("""COMPUTED_VALUE"""),"PO Closed")</f>
        <v>PO Closed</v>
      </c>
      <c r="Q3293" s="6" t="str">
        <f>IFERROR(__xludf.DUMMYFUNCTION("""COMPUTED_VALUE"""),"GL2406018")</f>
        <v>GL2406018</v>
      </c>
      <c r="R3293" s="57">
        <f>IFERROR(__xludf.DUMMYFUNCTION("""COMPUTED_VALUE"""),45461.0)</f>
        <v>45461</v>
      </c>
      <c r="S3293" s="57">
        <f>IFERROR(__xludf.DUMMYFUNCTION("""COMPUTED_VALUE"""),45462.0)</f>
        <v>45462</v>
      </c>
      <c r="T3293" s="57">
        <f>IFERROR(__xludf.DUMMYFUNCTION("""COMPUTED_VALUE"""),45481.0)</f>
        <v>45481</v>
      </c>
    </row>
    <row r="3294">
      <c r="A3294" s="6" t="str">
        <f>IFERROR(__xludf.DUMMYFUNCTION("""COMPUTED_VALUE"""),"121701590-1")</f>
        <v>121701590-1</v>
      </c>
      <c r="B3294" s="6" t="str">
        <f>IFERROR(__xludf.DUMMYFUNCTION("""COMPUTED_VALUE"""),"121701590 - APPROVED")</f>
        <v>121701590 - APPROVED</v>
      </c>
      <c r="C3294" s="6">
        <f>IFERROR(__xludf.DUMMYFUNCTION("""COMPUTED_VALUE"""),1.0)</f>
        <v>1</v>
      </c>
      <c r="D3294" s="6" t="str">
        <f>IFERROR(__xludf.DUMMYFUNCTION("""COMPUTED_VALUE"""),"P-52579-00")</f>
        <v>P-52579-00</v>
      </c>
      <c r="E3294" s="6" t="str">
        <f>IFERROR(__xludf.DUMMYFUNCTION("""COMPUTED_VALUE"""),"Dosing Pump (Peristaltic Pump) 24 VDC 0-19 ml/min RZ1030-BX; ; ;")</f>
        <v>Dosing Pump (Peristaltic Pump) 24 VDC 0-19 ml/min RZ1030-BX; ; ;</v>
      </c>
      <c r="F3294" s="6">
        <f>IFERROR(__xludf.DUMMYFUNCTION("""COMPUTED_VALUE"""),1.0)</f>
        <v>1</v>
      </c>
      <c r="G3294" s="6" t="str">
        <f>IFERROR(__xludf.DUMMYFUNCTION("""COMPUTED_VALUE"""),"Unit")</f>
        <v>Unit</v>
      </c>
      <c r="H3294" s="6" t="str">
        <f>IFERROR(__xludf.DUMMYFUNCTION("""COMPUTED_VALUE"""),"IDR")</f>
        <v>IDR</v>
      </c>
      <c r="I3294" s="6">
        <f>IFERROR(__xludf.DUMMYFUNCTION("""COMPUTED_VALUE"""),4000000.0)</f>
        <v>4000000</v>
      </c>
      <c r="J3294" s="6">
        <f>IFERROR(__xludf.DUMMYFUNCTION("""COMPUTED_VALUE"""),4000000.0)</f>
        <v>4000000</v>
      </c>
      <c r="K3294" s="57">
        <f>IFERROR(__xludf.DUMMYFUNCTION("""COMPUTED_VALUE"""),45466.0)</f>
        <v>45466</v>
      </c>
      <c r="L3294" s="6" t="str">
        <f>IFERROR(__xludf.DUMMYFUNCTION("""COMPUTED_VALUE"""),"FIP Engineering")</f>
        <v>FIP Engineering</v>
      </c>
      <c r="M3294" s="6" t="str">
        <f>IFERROR(__xludf.DUMMYFUNCTION("""COMPUTED_VALUE"""),"Mochammad Fadhillah Hakim,")</f>
        <v>Mochammad Fadhillah Hakim,</v>
      </c>
      <c r="N3294" s="6" t="str">
        <f>IFERROR(__xludf.DUMMYFUNCTION("""COMPUTED_VALUE"""),"FIP Engineering")</f>
        <v>FIP Engineering</v>
      </c>
      <c r="O3294" s="6" t="str">
        <f>IFERROR(__xludf.DUMMYFUNCTION("""COMPUTED_VALUE"""),"FIP-DOM-000-11304-OS00001-INA-000000")</f>
        <v>FIP-DOM-000-11304-OS00001-INA-000000</v>
      </c>
      <c r="P3294" s="6" t="str">
        <f>IFERROR(__xludf.DUMMYFUNCTION("""COMPUTED_VALUE"""),"PO Closed")</f>
        <v>PO Closed</v>
      </c>
      <c r="Q3294" s="6" t="str">
        <f>IFERROR(__xludf.DUMMYFUNCTION("""COMPUTED_VALUE"""),"GL2407030")</f>
        <v>GL2407030</v>
      </c>
      <c r="R3294" s="57">
        <f>IFERROR(__xludf.DUMMYFUNCTION("""COMPUTED_VALUE"""),45464.0)</f>
        <v>45464</v>
      </c>
      <c r="S3294" s="57">
        <f>IFERROR(__xludf.DUMMYFUNCTION("""COMPUTED_VALUE"""),45464.0)</f>
        <v>45464</v>
      </c>
      <c r="T3294" s="57">
        <f>IFERROR(__xludf.DUMMYFUNCTION("""COMPUTED_VALUE"""),45527.0)</f>
        <v>45527</v>
      </c>
    </row>
    <row r="3295">
      <c r="A3295" s="6" t="str">
        <f>IFERROR(__xludf.DUMMYFUNCTION("""COMPUTED_VALUE"""),"121701595-1")</f>
        <v>121701595-1</v>
      </c>
      <c r="B3295" s="6" t="str">
        <f>IFERROR(__xludf.DUMMYFUNCTION("""COMPUTED_VALUE"""),"121701595 - APPROVED")</f>
        <v>121701595 - APPROVED</v>
      </c>
      <c r="C3295" s="6">
        <f>IFERROR(__xludf.DUMMYFUNCTION("""COMPUTED_VALUE"""),1.0)</f>
        <v>1</v>
      </c>
      <c r="D3295" s="6" t="str">
        <f>IFERROR(__xludf.DUMMYFUNCTION("""COMPUTED_VALUE"""),"P-52844-00")</f>
        <v>P-52844-00</v>
      </c>
      <c r="E3295" s="6" t="str">
        <f>IFERROR(__xludf.DUMMYFUNCTION("""COMPUTED_VALUE"""),"Doshing Pump BT4B Merk Prominent; ; ;")</f>
        <v>Doshing Pump BT4B Merk Prominent; ; ;</v>
      </c>
      <c r="F3295" s="6">
        <f>IFERROR(__xludf.DUMMYFUNCTION("""COMPUTED_VALUE"""),1.0)</f>
        <v>1</v>
      </c>
      <c r="G3295" s="6" t="str">
        <f>IFERROR(__xludf.DUMMYFUNCTION("""COMPUTED_VALUE"""),"Pieces")</f>
        <v>Pieces</v>
      </c>
      <c r="H3295" s="6" t="str">
        <f>IFERROR(__xludf.DUMMYFUNCTION("""COMPUTED_VALUE"""),"IDR")</f>
        <v>IDR</v>
      </c>
      <c r="I3295" s="6">
        <f>IFERROR(__xludf.DUMMYFUNCTION("""COMPUTED_VALUE"""),1.85E7)</f>
        <v>18500000</v>
      </c>
      <c r="J3295" s="6">
        <f>IFERROR(__xludf.DUMMYFUNCTION("""COMPUTED_VALUE"""),1.85E7)</f>
        <v>18500000</v>
      </c>
      <c r="K3295" s="57">
        <f>IFERROR(__xludf.DUMMYFUNCTION("""COMPUTED_VALUE"""),45469.0)</f>
        <v>45469</v>
      </c>
      <c r="L3295" s="6" t="str">
        <f>IFERROR(__xludf.DUMMYFUNCTION("""COMPUTED_VALUE"""),"FIP Engineering")</f>
        <v>FIP Engineering</v>
      </c>
      <c r="M3295" s="6" t="str">
        <f>IFERROR(__xludf.DUMMYFUNCTION("""COMPUTED_VALUE"""),"Mochammad Fadhillah Hakim,")</f>
        <v>Mochammad Fadhillah Hakim,</v>
      </c>
      <c r="N3295" s="6" t="str">
        <f>IFERROR(__xludf.DUMMYFUNCTION("""COMPUTED_VALUE"""),"FIP Engineering")</f>
        <v>FIP Engineering</v>
      </c>
      <c r="O3295" s="6" t="str">
        <f>IFERROR(__xludf.DUMMYFUNCTION("""COMPUTED_VALUE"""),"FIP-DOM-000-11304-OS00001-INA-000000")</f>
        <v>FIP-DOM-000-11304-OS00001-INA-000000</v>
      </c>
      <c r="P3295" s="6" t="str">
        <f>IFERROR(__xludf.DUMMYFUNCTION("""COMPUTED_VALUE"""),"PO Closed")</f>
        <v>PO Closed</v>
      </c>
      <c r="Q3295" s="6" t="str">
        <f>IFERROR(__xludf.DUMMYFUNCTION("""COMPUTED_VALUE"""),"GL2407004")</f>
        <v>GL2407004</v>
      </c>
      <c r="R3295" s="57">
        <f>IFERROR(__xludf.DUMMYFUNCTION("""COMPUTED_VALUE"""),45467.0)</f>
        <v>45467</v>
      </c>
      <c r="S3295" s="57">
        <f>IFERROR(__xludf.DUMMYFUNCTION("""COMPUTED_VALUE"""),45468.0)</f>
        <v>45468</v>
      </c>
      <c r="T3295" s="57">
        <f>IFERROR(__xludf.DUMMYFUNCTION("""COMPUTED_VALUE"""),45502.0)</f>
        <v>45502</v>
      </c>
    </row>
    <row r="3296">
      <c r="A3296" s="6" t="str">
        <f>IFERROR(__xludf.DUMMYFUNCTION("""COMPUTED_VALUE"""),"121701601-1")</f>
        <v>121701601-1</v>
      </c>
      <c r="B3296" s="6" t="str">
        <f>IFERROR(__xludf.DUMMYFUNCTION("""COMPUTED_VALUE"""),"121701601 - APPROVED")</f>
        <v>121701601 - APPROVED</v>
      </c>
      <c r="C3296" s="6">
        <f>IFERROR(__xludf.DUMMYFUNCTION("""COMPUTED_VALUE"""),1.0)</f>
        <v>1</v>
      </c>
      <c r="D3296" s="6"/>
      <c r="E3296" s="6" t="str">
        <f>IFERROR(__xludf.DUMMYFUNCTION("""COMPUTED_VALUE"""),"PR Printer GMP")</f>
        <v>PR Printer GMP</v>
      </c>
      <c r="F3296" s="6">
        <f>IFERROR(__xludf.DUMMYFUNCTION("""COMPUTED_VALUE"""),1.0)</f>
        <v>1</v>
      </c>
      <c r="G3296" s="6" t="str">
        <f>IFERROR(__xludf.DUMMYFUNCTION("""COMPUTED_VALUE"""),"Unit")</f>
        <v>Unit</v>
      </c>
      <c r="H3296" s="6" t="str">
        <f>IFERROR(__xludf.DUMMYFUNCTION("""COMPUTED_VALUE"""),"IDR")</f>
        <v>IDR</v>
      </c>
      <c r="I3296" s="6">
        <f>IFERROR(__xludf.DUMMYFUNCTION("""COMPUTED_VALUE"""),5950000.0)</f>
        <v>5950000</v>
      </c>
      <c r="J3296" s="6">
        <f>IFERROR(__xludf.DUMMYFUNCTION("""COMPUTED_VALUE"""),5950000.0)</f>
        <v>5950000</v>
      </c>
      <c r="K3296" s="57">
        <f>IFERROR(__xludf.DUMMYFUNCTION("""COMPUTED_VALUE"""),45471.0)</f>
        <v>45471</v>
      </c>
      <c r="L3296" s="6" t="str">
        <f>IFERROR(__xludf.DUMMYFUNCTION("""COMPUTED_VALUE"""),"FIP General")</f>
        <v>FIP General</v>
      </c>
      <c r="M3296" s="6" t="str">
        <f>IFERROR(__xludf.DUMMYFUNCTION("""COMPUTED_VALUE"""),"Mochammad Fadhillah Hakim,")</f>
        <v>Mochammad Fadhillah Hakim,</v>
      </c>
      <c r="N3296" s="6" t="str">
        <f>IFERROR(__xludf.DUMMYFUNCTION("""COMPUTED_VALUE"""),"FIP Engineering")</f>
        <v>FIP Engineering</v>
      </c>
      <c r="O3296" s="6" t="str">
        <f>IFERROR(__xludf.DUMMYFUNCTION("""COMPUTED_VALUE"""),"FIP-DOM-ENG-13408-IT24004-INA-000000")</f>
        <v>FIP-DOM-ENG-13408-IT24004-INA-000000</v>
      </c>
      <c r="P3296" s="6" t="str">
        <f>IFERROR(__xludf.DUMMYFUNCTION("""COMPUTED_VALUE"""),"PO Closed")</f>
        <v>PO Closed</v>
      </c>
      <c r="Q3296" s="6" t="str">
        <f>IFERROR(__xludf.DUMMYFUNCTION("""COMPUTED_VALUE"""),"GL2406058")</f>
        <v>GL2406058</v>
      </c>
      <c r="R3296" s="57">
        <f>IFERROR(__xludf.DUMMYFUNCTION("""COMPUTED_VALUE"""),45469.0)</f>
        <v>45469</v>
      </c>
      <c r="S3296" s="57">
        <f>IFERROR(__xludf.DUMMYFUNCTION("""COMPUTED_VALUE"""),45469.0)</f>
        <v>45469</v>
      </c>
      <c r="T3296" s="57">
        <f>IFERROR(__xludf.DUMMYFUNCTION("""COMPUTED_VALUE"""),45476.0)</f>
        <v>45476</v>
      </c>
    </row>
    <row r="3297">
      <c r="A3297" s="6" t="str">
        <f>IFERROR(__xludf.DUMMYFUNCTION("""COMPUTED_VALUE"""),"121701602-1")</f>
        <v>121701602-1</v>
      </c>
      <c r="B3297" s="6" t="str">
        <f>IFERROR(__xludf.DUMMYFUNCTION("""COMPUTED_VALUE"""),"121701602 - APPROVED")</f>
        <v>121701602 - APPROVED</v>
      </c>
      <c r="C3297" s="6">
        <f>IFERROR(__xludf.DUMMYFUNCTION("""COMPUTED_VALUE"""),1.0)</f>
        <v>1</v>
      </c>
      <c r="D3297" s="6" t="str">
        <f>IFERROR(__xludf.DUMMYFUNCTION("""COMPUTED_VALUE"""),"O-18356-00")</f>
        <v>O-18356-00</v>
      </c>
      <c r="E3297" s="6" t="str">
        <f>IFERROR(__xludf.DUMMYFUNCTION("""COMPUTED_VALUE"""),"Pipa Ornamen 2.5 Inch; ; ;; ; ;")</f>
        <v>Pipa Ornamen 2.5 Inch; ; ;; ; ;</v>
      </c>
      <c r="F3297" s="6">
        <f>IFERROR(__xludf.DUMMYFUNCTION("""COMPUTED_VALUE"""),12.0)</f>
        <v>12</v>
      </c>
      <c r="G3297" s="6" t="str">
        <f>IFERROR(__xludf.DUMMYFUNCTION("""COMPUTED_VALUE"""),"Meter")</f>
        <v>Meter</v>
      </c>
      <c r="H3297" s="6" t="str">
        <f>IFERROR(__xludf.DUMMYFUNCTION("""COMPUTED_VALUE"""),"IDR")</f>
        <v>IDR</v>
      </c>
      <c r="I3297" s="6">
        <f>IFERROR(__xludf.DUMMYFUNCTION("""COMPUTED_VALUE"""),219166.0)</f>
        <v>219166</v>
      </c>
      <c r="J3297" s="6">
        <f>IFERROR(__xludf.DUMMYFUNCTION("""COMPUTED_VALUE"""),2629992.0)</f>
        <v>2629992</v>
      </c>
      <c r="K3297" s="57">
        <f>IFERROR(__xludf.DUMMYFUNCTION("""COMPUTED_VALUE"""),45472.0)</f>
        <v>45472</v>
      </c>
      <c r="L3297" s="6" t="str">
        <f>IFERROR(__xludf.DUMMYFUNCTION("""COMPUTED_VALUE"""),"FIP Engineering")</f>
        <v>FIP Engineering</v>
      </c>
      <c r="M3297" s="6" t="str">
        <f>IFERROR(__xludf.DUMMYFUNCTION("""COMPUTED_VALUE"""),"Mochammad Fadhillah Hakim,")</f>
        <v>Mochammad Fadhillah Hakim,</v>
      </c>
      <c r="N3297" s="6" t="str">
        <f>IFERROR(__xludf.DUMMYFUNCTION("""COMPUTED_VALUE"""),"FIP Engineering")</f>
        <v>FIP Engineering</v>
      </c>
      <c r="O3297" s="6" t="str">
        <f>IFERROR(__xludf.DUMMYFUNCTION("""COMPUTED_VALUE"""),"FIP-DOM-000-11304-OS00001-INA-000000")</f>
        <v>FIP-DOM-000-11304-OS00001-INA-000000</v>
      </c>
      <c r="P3297" s="6" t="str">
        <f>IFERROR(__xludf.DUMMYFUNCTION("""COMPUTED_VALUE"""),"PO Closed")</f>
        <v>PO Closed</v>
      </c>
      <c r="Q3297" s="6" t="str">
        <f>IFERROR(__xludf.DUMMYFUNCTION("""COMPUTED_VALUE"""),"GL2407003")</f>
        <v>GL2407003</v>
      </c>
      <c r="R3297" s="57">
        <f>IFERROR(__xludf.DUMMYFUNCTION("""COMPUTED_VALUE"""),45470.0)</f>
        <v>45470</v>
      </c>
      <c r="S3297" s="57">
        <f>IFERROR(__xludf.DUMMYFUNCTION("""COMPUTED_VALUE"""),45470.0)</f>
        <v>45470</v>
      </c>
      <c r="T3297" s="57">
        <f>IFERROR(__xludf.DUMMYFUNCTION("""COMPUTED_VALUE"""),45502.0)</f>
        <v>45502</v>
      </c>
    </row>
    <row r="3298">
      <c r="A3298" s="6" t="str">
        <f>IFERROR(__xludf.DUMMYFUNCTION("""COMPUTED_VALUE"""),"121701603-1")</f>
        <v>121701603-1</v>
      </c>
      <c r="B3298" s="6" t="str">
        <f>IFERROR(__xludf.DUMMYFUNCTION("""COMPUTED_VALUE"""),"121701603 - APPROVED")</f>
        <v>121701603 - APPROVED</v>
      </c>
      <c r="C3298" s="6">
        <f>IFERROR(__xludf.DUMMYFUNCTION("""COMPUTED_VALUE"""),1.0)</f>
        <v>1</v>
      </c>
      <c r="D3298" s="6" t="str">
        <f>IFERROR(__xludf.DUMMYFUNCTION("""COMPUTED_VALUE"""),"P-52844-00")</f>
        <v>P-52844-00</v>
      </c>
      <c r="E3298" s="6" t="str">
        <f>IFERROR(__xludf.DUMMYFUNCTION("""COMPUTED_VALUE"""),"Doshing Pump BT4B Merk Prominent; ; ;")</f>
        <v>Doshing Pump BT4B Merk Prominent; ; ;</v>
      </c>
      <c r="F3298" s="6">
        <f>IFERROR(__xludf.DUMMYFUNCTION("""COMPUTED_VALUE"""),1.0)</f>
        <v>1</v>
      </c>
      <c r="G3298" s="6" t="str">
        <f>IFERROR(__xludf.DUMMYFUNCTION("""COMPUTED_VALUE"""),"Pieces")</f>
        <v>Pieces</v>
      </c>
      <c r="H3298" s="6" t="str">
        <f>IFERROR(__xludf.DUMMYFUNCTION("""COMPUTED_VALUE"""),"IDR")</f>
        <v>IDR</v>
      </c>
      <c r="I3298" s="6">
        <f>IFERROR(__xludf.DUMMYFUNCTION("""COMPUTED_VALUE"""),1.785E7)</f>
        <v>17850000</v>
      </c>
      <c r="J3298" s="6">
        <f>IFERROR(__xludf.DUMMYFUNCTION("""COMPUTED_VALUE"""),1.785E7)</f>
        <v>17850000</v>
      </c>
      <c r="K3298" s="57">
        <f>IFERROR(__xludf.DUMMYFUNCTION("""COMPUTED_VALUE"""),45472.0)</f>
        <v>45472</v>
      </c>
      <c r="L3298" s="6" t="str">
        <f>IFERROR(__xludf.DUMMYFUNCTION("""COMPUTED_VALUE"""),"FIP Engineering")</f>
        <v>FIP Engineering</v>
      </c>
      <c r="M3298" s="6" t="str">
        <f>IFERROR(__xludf.DUMMYFUNCTION("""COMPUTED_VALUE"""),"Mochammad Fadhillah Hakim,")</f>
        <v>Mochammad Fadhillah Hakim,</v>
      </c>
      <c r="N3298" s="6" t="str">
        <f>IFERROR(__xludf.DUMMYFUNCTION("""COMPUTED_VALUE"""),"FIP Engineering")</f>
        <v>FIP Engineering</v>
      </c>
      <c r="O3298" s="6" t="str">
        <f>IFERROR(__xludf.DUMMYFUNCTION("""COMPUTED_VALUE"""),"FIP-DOM-000-11304-OS00001-INA-000000")</f>
        <v>FIP-DOM-000-11304-OS00001-INA-000000</v>
      </c>
      <c r="P3298" s="6" t="str">
        <f>IFERROR(__xludf.DUMMYFUNCTION("""COMPUTED_VALUE"""),"PO Closed")</f>
        <v>PO Closed</v>
      </c>
      <c r="Q3298" s="6" t="str">
        <f>IFERROR(__xludf.DUMMYFUNCTION("""COMPUTED_VALUE"""),"GL2407004")</f>
        <v>GL2407004</v>
      </c>
      <c r="R3298" s="57">
        <f>IFERROR(__xludf.DUMMYFUNCTION("""COMPUTED_VALUE"""),45470.0)</f>
        <v>45470</v>
      </c>
      <c r="S3298" s="57">
        <f>IFERROR(__xludf.DUMMYFUNCTION("""COMPUTED_VALUE"""),45470.0)</f>
        <v>45470</v>
      </c>
      <c r="T3298" s="57">
        <f>IFERROR(__xludf.DUMMYFUNCTION("""COMPUTED_VALUE"""),45502.0)</f>
        <v>45502</v>
      </c>
    </row>
    <row r="3299">
      <c r="A3299" s="6" t="str">
        <f>IFERROR(__xludf.DUMMYFUNCTION("""COMPUTED_VALUE"""),"121701606-1")</f>
        <v>121701606-1</v>
      </c>
      <c r="B3299" s="6" t="str">
        <f>IFERROR(__xludf.DUMMYFUNCTION("""COMPUTED_VALUE"""),"121701606 - APPROVED")</f>
        <v>121701606 - APPROVED</v>
      </c>
      <c r="C3299" s="6">
        <f>IFERROR(__xludf.DUMMYFUNCTION("""COMPUTED_VALUE"""),1.0)</f>
        <v>1</v>
      </c>
      <c r="D3299" s="6" t="str">
        <f>IFERROR(__xludf.DUMMYFUNCTION("""COMPUTED_VALUE"""),"S-60050-00")</f>
        <v>S-60050-00</v>
      </c>
      <c r="E3299" s="6" t="str">
        <f>IFERROR(__xludf.DUMMYFUNCTION("""COMPUTED_VALUE"""),"Jasa Perbaikan dan Pemeliharaan Mesin Produksi; ; ;")</f>
        <v>Jasa Perbaikan dan Pemeliharaan Mesin Produksi; ; ;</v>
      </c>
      <c r="F3299" s="6">
        <f>IFERROR(__xludf.DUMMYFUNCTION("""COMPUTED_VALUE"""),2.0)</f>
        <v>2</v>
      </c>
      <c r="G3299" s="6" t="str">
        <f>IFERROR(__xludf.DUMMYFUNCTION("""COMPUTED_VALUE"""),"Pieces")</f>
        <v>Pieces</v>
      </c>
      <c r="H3299" s="6" t="str">
        <f>IFERROR(__xludf.DUMMYFUNCTION("""COMPUTED_VALUE"""),"IDR")</f>
        <v>IDR</v>
      </c>
      <c r="I3299" s="6">
        <f>IFERROR(__xludf.DUMMYFUNCTION("""COMPUTED_VALUE"""),885000.0)</f>
        <v>885000</v>
      </c>
      <c r="J3299" s="6">
        <f>IFERROR(__xludf.DUMMYFUNCTION("""COMPUTED_VALUE"""),1770000.0)</f>
        <v>1770000</v>
      </c>
      <c r="K3299" s="57">
        <f>IFERROR(__xludf.DUMMYFUNCTION("""COMPUTED_VALUE"""),45476.0)</f>
        <v>45476</v>
      </c>
      <c r="L3299" s="6" t="str">
        <f>IFERROR(__xludf.DUMMYFUNCTION("""COMPUTED_VALUE"""),"FIP General")</f>
        <v>FIP General</v>
      </c>
      <c r="M3299" s="6" t="str">
        <f>IFERROR(__xludf.DUMMYFUNCTION("""COMPUTED_VALUE"""),"Mochammad Fadhillah Hakim,")</f>
        <v>Mochammad Fadhillah Hakim,</v>
      </c>
      <c r="N3299" s="6" t="str">
        <f>IFERROR(__xludf.DUMMYFUNCTION("""COMPUTED_VALUE"""),"FIP Engineering")</f>
        <v>FIP Engineering</v>
      </c>
      <c r="O3299" s="6" t="str">
        <f>IFERROR(__xludf.DUMMYFUNCTION("""COMPUTED_VALUE"""),"FIP-DOM-ENG-51504-0000000-INA-000000")</f>
        <v>FIP-DOM-ENG-51504-0000000-INA-000000</v>
      </c>
      <c r="P3299" s="6" t="str">
        <f>IFERROR(__xludf.DUMMYFUNCTION("""COMPUTED_VALUE"""),"PO Closed")</f>
        <v>PO Closed</v>
      </c>
      <c r="Q3299" s="6" t="str">
        <f>IFERROR(__xludf.DUMMYFUNCTION("""COMPUTED_VALUE"""),"GL2407021")</f>
        <v>GL2407021</v>
      </c>
      <c r="R3299" s="57">
        <f>IFERROR(__xludf.DUMMYFUNCTION("""COMPUTED_VALUE"""),45474.0)</f>
        <v>45474</v>
      </c>
      <c r="S3299" s="57">
        <f>IFERROR(__xludf.DUMMYFUNCTION("""COMPUTED_VALUE"""),45474.0)</f>
        <v>45474</v>
      </c>
      <c r="T3299" s="57">
        <f>IFERROR(__xludf.DUMMYFUNCTION("""COMPUTED_VALUE"""),45506.0)</f>
        <v>45506</v>
      </c>
    </row>
    <row r="3300">
      <c r="A3300" s="6" t="str">
        <f>IFERROR(__xludf.DUMMYFUNCTION("""COMPUTED_VALUE"""),"121701608-1")</f>
        <v>121701608-1</v>
      </c>
      <c r="B3300" s="6" t="str">
        <f>IFERROR(__xludf.DUMMYFUNCTION("""COMPUTED_VALUE"""),"121701608 - APPROVED")</f>
        <v>121701608 - APPROVED</v>
      </c>
      <c r="C3300" s="6">
        <f>IFERROR(__xludf.DUMMYFUNCTION("""COMPUTED_VALUE"""),1.0)</f>
        <v>1</v>
      </c>
      <c r="D3300" s="6" t="str">
        <f>IFERROR(__xludf.DUMMYFUNCTION("""COMPUTED_VALUE"""),"S-62027-00")</f>
        <v>S-62027-00</v>
      </c>
      <c r="E3300" s="6" t="str">
        <f>IFERROR(__xludf.DUMMYFUNCTION("""COMPUTED_VALUE"""),"Gas Nitrogen (N2); 6 M3; Refill; Ultra High Purity (UHP); Purity ? 99.999%")</f>
        <v>Gas Nitrogen (N2); 6 M3; Refill; Ultra High Purity (UHP); Purity ? 99.999%</v>
      </c>
      <c r="F3300" s="6">
        <f>IFERROR(__xludf.DUMMYFUNCTION("""COMPUTED_VALUE"""),3.0)</f>
        <v>3</v>
      </c>
      <c r="G3300" s="6" t="str">
        <f>IFERROR(__xludf.DUMMYFUNCTION("""COMPUTED_VALUE"""),"Tube")</f>
        <v>Tube</v>
      </c>
      <c r="H3300" s="6" t="str">
        <f>IFERROR(__xludf.DUMMYFUNCTION("""COMPUTED_VALUE"""),"IDR")</f>
        <v>IDR</v>
      </c>
      <c r="I3300" s="6">
        <f>IFERROR(__xludf.DUMMYFUNCTION("""COMPUTED_VALUE"""),225000.0)</f>
        <v>225000</v>
      </c>
      <c r="J3300" s="6">
        <f>IFERROR(__xludf.DUMMYFUNCTION("""COMPUTED_VALUE"""),675000.0)</f>
        <v>675000</v>
      </c>
      <c r="K3300" s="57">
        <f>IFERROR(__xludf.DUMMYFUNCTION("""COMPUTED_VALUE"""),45476.0)</f>
        <v>45476</v>
      </c>
      <c r="L3300" s="6" t="str">
        <f>IFERROR(__xludf.DUMMYFUNCTION("""COMPUTED_VALUE"""),"FIP General")</f>
        <v>FIP General</v>
      </c>
      <c r="M3300" s="6" t="str">
        <f>IFERROR(__xludf.DUMMYFUNCTION("""COMPUTED_VALUE"""),"Mochammad Fadhillah Hakim,")</f>
        <v>Mochammad Fadhillah Hakim,</v>
      </c>
      <c r="N3300" s="6" t="str">
        <f>IFERROR(__xludf.DUMMYFUNCTION("""COMPUTED_VALUE"""),"FIP Engineering")</f>
        <v>FIP Engineering</v>
      </c>
      <c r="O3300" s="6" t="str">
        <f>IFERROR(__xludf.DUMMYFUNCTION("""COMPUTED_VALUE"""),"FIP-DOM-ENG-51409-0000000-INA-000000")</f>
        <v>FIP-DOM-ENG-51409-0000000-INA-000000</v>
      </c>
      <c r="P3300" s="6" t="str">
        <f>IFERROR(__xludf.DUMMYFUNCTION("""COMPUTED_VALUE"""),"PO Closed")</f>
        <v>PO Closed</v>
      </c>
      <c r="Q3300" s="6" t="str">
        <f>IFERROR(__xludf.DUMMYFUNCTION("""COMPUTED_VALUE"""),"GL2408420")</f>
        <v>GL2408420</v>
      </c>
      <c r="R3300" s="57">
        <f>IFERROR(__xludf.DUMMYFUNCTION("""COMPUTED_VALUE"""),45474.0)</f>
        <v>45474</v>
      </c>
      <c r="S3300" s="57">
        <f>IFERROR(__xludf.DUMMYFUNCTION("""COMPUTED_VALUE"""),45474.0)</f>
        <v>45474</v>
      </c>
      <c r="T3300" s="57">
        <f>IFERROR(__xludf.DUMMYFUNCTION("""COMPUTED_VALUE"""),45513.0)</f>
        <v>45513</v>
      </c>
    </row>
    <row r="3301">
      <c r="A3301" s="6" t="str">
        <f>IFERROR(__xludf.DUMMYFUNCTION("""COMPUTED_VALUE"""),"121701609-1")</f>
        <v>121701609-1</v>
      </c>
      <c r="B3301" s="6" t="str">
        <f>IFERROR(__xludf.DUMMYFUNCTION("""COMPUTED_VALUE"""),"121701609 - APPROVED")</f>
        <v>121701609 - APPROVED</v>
      </c>
      <c r="C3301" s="6">
        <f>IFERROR(__xludf.DUMMYFUNCTION("""COMPUTED_VALUE"""),1.0)</f>
        <v>1</v>
      </c>
      <c r="D3301" s="6" t="str">
        <f>IFERROR(__xludf.DUMMYFUNCTION("""COMPUTED_VALUE"""),"S-62023-00")</f>
        <v>S-62023-00</v>
      </c>
      <c r="E3301" s="6" t="str">
        <f>IFERROR(__xludf.DUMMYFUNCTION("""COMPUTED_VALUE"""),"Gas Nitrogen 1; Alphagaz; ;")</f>
        <v>Gas Nitrogen 1; Alphagaz; ;</v>
      </c>
      <c r="F3301" s="6">
        <f>IFERROR(__xludf.DUMMYFUNCTION("""COMPUTED_VALUE"""),1.0)</f>
        <v>1</v>
      </c>
      <c r="G3301" s="6" t="str">
        <f>IFERROR(__xludf.DUMMYFUNCTION("""COMPUTED_VALUE"""),"Unit")</f>
        <v>Unit</v>
      </c>
      <c r="H3301" s="6" t="str">
        <f>IFERROR(__xludf.DUMMYFUNCTION("""COMPUTED_VALUE"""),"IDR")</f>
        <v>IDR</v>
      </c>
      <c r="I3301" s="6">
        <f>IFERROR(__xludf.DUMMYFUNCTION("""COMPUTED_VALUE"""),370000.0)</f>
        <v>370000</v>
      </c>
      <c r="J3301" s="6">
        <f>IFERROR(__xludf.DUMMYFUNCTION("""COMPUTED_VALUE"""),370000.0)</f>
        <v>370000</v>
      </c>
      <c r="K3301" s="57">
        <f>IFERROR(__xludf.DUMMYFUNCTION("""COMPUTED_VALUE"""),45476.0)</f>
        <v>45476</v>
      </c>
      <c r="L3301" s="6" t="str">
        <f>IFERROR(__xludf.DUMMYFUNCTION("""COMPUTED_VALUE"""),"FIP General")</f>
        <v>FIP General</v>
      </c>
      <c r="M3301" s="6" t="str">
        <f>IFERROR(__xludf.DUMMYFUNCTION("""COMPUTED_VALUE"""),"Mochammad Fadhillah Hakim,")</f>
        <v>Mochammad Fadhillah Hakim,</v>
      </c>
      <c r="N3301" s="6" t="str">
        <f>IFERROR(__xludf.DUMMYFUNCTION("""COMPUTED_VALUE"""),"FIP Engineering")</f>
        <v>FIP Engineering</v>
      </c>
      <c r="O3301" s="6" t="str">
        <f>IFERROR(__xludf.DUMMYFUNCTION("""COMPUTED_VALUE"""),"FIP-DOM-ENG-51409-0000000-INA-000000")</f>
        <v>FIP-DOM-ENG-51409-0000000-INA-000000</v>
      </c>
      <c r="P3301" s="6" t="str">
        <f>IFERROR(__xludf.DUMMYFUNCTION("""COMPUTED_VALUE"""),"PO Closed")</f>
        <v>PO Closed</v>
      </c>
      <c r="Q3301" s="6" t="str">
        <f>IFERROR(__xludf.DUMMYFUNCTION("""COMPUTED_VALUE"""),"GL2407037")</f>
        <v>GL2407037</v>
      </c>
      <c r="R3301" s="57">
        <f>IFERROR(__xludf.DUMMYFUNCTION("""COMPUTED_VALUE"""),45474.0)</f>
        <v>45474</v>
      </c>
      <c r="S3301" s="57">
        <f>IFERROR(__xludf.DUMMYFUNCTION("""COMPUTED_VALUE"""),45474.0)</f>
        <v>45474</v>
      </c>
      <c r="T3301" s="57">
        <f>IFERROR(__xludf.DUMMYFUNCTION("""COMPUTED_VALUE"""),45510.0)</f>
        <v>45510</v>
      </c>
    </row>
    <row r="3302">
      <c r="A3302" s="6" t="str">
        <f>IFERROR(__xludf.DUMMYFUNCTION("""COMPUTED_VALUE"""),"121701621-1")</f>
        <v>121701621-1</v>
      </c>
      <c r="B3302" s="6" t="str">
        <f>IFERROR(__xludf.DUMMYFUNCTION("""COMPUTED_VALUE"""),"121701621 - APPROVED")</f>
        <v>121701621 - APPROVED</v>
      </c>
      <c r="C3302" s="6">
        <f>IFERROR(__xludf.DUMMYFUNCTION("""COMPUTED_VALUE"""),1.0)</f>
        <v>1</v>
      </c>
      <c r="D3302" s="6" t="str">
        <f>IFERROR(__xludf.DUMMYFUNCTION("""COMPUTED_VALUE"""),"S-62023-00")</f>
        <v>S-62023-00</v>
      </c>
      <c r="E3302" s="6" t="str">
        <f>IFERROR(__xludf.DUMMYFUNCTION("""COMPUTED_VALUE"""),"Gas Nitrogen 1; Alphagaz; ;")</f>
        <v>Gas Nitrogen 1; Alphagaz; ;</v>
      </c>
      <c r="F3302" s="6">
        <f>IFERROR(__xludf.DUMMYFUNCTION("""COMPUTED_VALUE"""),4.0)</f>
        <v>4</v>
      </c>
      <c r="G3302" s="6" t="str">
        <f>IFERROR(__xludf.DUMMYFUNCTION("""COMPUTED_VALUE"""),"Unit")</f>
        <v>Unit</v>
      </c>
      <c r="H3302" s="6" t="str">
        <f>IFERROR(__xludf.DUMMYFUNCTION("""COMPUTED_VALUE"""),"IDR")</f>
        <v>IDR</v>
      </c>
      <c r="I3302" s="6">
        <f>IFERROR(__xludf.DUMMYFUNCTION("""COMPUTED_VALUE"""),370000.0)</f>
        <v>370000</v>
      </c>
      <c r="J3302" s="6">
        <f>IFERROR(__xludf.DUMMYFUNCTION("""COMPUTED_VALUE"""),1480000.0)</f>
        <v>1480000</v>
      </c>
      <c r="K3302" s="57">
        <f>IFERROR(__xludf.DUMMYFUNCTION("""COMPUTED_VALUE"""),45480.0)</f>
        <v>45480</v>
      </c>
      <c r="L3302" s="6" t="str">
        <f>IFERROR(__xludf.DUMMYFUNCTION("""COMPUTED_VALUE"""),"FIP General")</f>
        <v>FIP General</v>
      </c>
      <c r="M3302" s="6" t="str">
        <f>IFERROR(__xludf.DUMMYFUNCTION("""COMPUTED_VALUE"""),"Mochammad Fadhillah Hakim,")</f>
        <v>Mochammad Fadhillah Hakim,</v>
      </c>
      <c r="N3302" s="6" t="str">
        <f>IFERROR(__xludf.DUMMYFUNCTION("""COMPUTED_VALUE"""),"FIP Engineering")</f>
        <v>FIP Engineering</v>
      </c>
      <c r="O3302" s="6" t="str">
        <f>IFERROR(__xludf.DUMMYFUNCTION("""COMPUTED_VALUE"""),"FIP-DOM-ENG-51409-0000000-INA-000000")</f>
        <v>FIP-DOM-ENG-51409-0000000-INA-000000</v>
      </c>
      <c r="P3302" s="6" t="str">
        <f>IFERROR(__xludf.DUMMYFUNCTION("""COMPUTED_VALUE"""),"PO Closed")</f>
        <v>PO Closed</v>
      </c>
      <c r="Q3302" s="6" t="str">
        <f>IFERROR(__xludf.DUMMYFUNCTION("""COMPUTED_VALUE"""),"GL2407037")</f>
        <v>GL2407037</v>
      </c>
      <c r="R3302" s="57">
        <f>IFERROR(__xludf.DUMMYFUNCTION("""COMPUTED_VALUE"""),45478.0)</f>
        <v>45478</v>
      </c>
      <c r="S3302" s="57">
        <f>IFERROR(__xludf.DUMMYFUNCTION("""COMPUTED_VALUE"""),45478.0)</f>
        <v>45478</v>
      </c>
      <c r="T3302" s="57">
        <f>IFERROR(__xludf.DUMMYFUNCTION("""COMPUTED_VALUE"""),45510.0)</f>
        <v>45510</v>
      </c>
    </row>
    <row r="3303">
      <c r="A3303" s="6" t="str">
        <f>IFERROR(__xludf.DUMMYFUNCTION("""COMPUTED_VALUE"""),"121701622-1")</f>
        <v>121701622-1</v>
      </c>
      <c r="B3303" s="6" t="str">
        <f>IFERROR(__xludf.DUMMYFUNCTION("""COMPUTED_VALUE"""),"121701622 - APPROVED")</f>
        <v>121701622 - APPROVED</v>
      </c>
      <c r="C3303" s="6">
        <f>IFERROR(__xludf.DUMMYFUNCTION("""COMPUTED_VALUE"""),1.0)</f>
        <v>1</v>
      </c>
      <c r="D3303" s="6"/>
      <c r="E3303" s="6" t="str">
        <f>IFERROR(__xludf.DUMMYFUNCTION("""COMPUTED_VALUE"""),"Carbon Molecular Sieve 255 KG")</f>
        <v>Carbon Molecular Sieve 255 KG</v>
      </c>
      <c r="F3303" s="6">
        <f>IFERROR(__xludf.DUMMYFUNCTION("""COMPUTED_VALUE"""),1.0)</f>
        <v>1</v>
      </c>
      <c r="G3303" s="6" t="str">
        <f>IFERROR(__xludf.DUMMYFUNCTION("""COMPUTED_VALUE"""),"Unit")</f>
        <v>Unit</v>
      </c>
      <c r="H3303" s="6" t="str">
        <f>IFERROR(__xludf.DUMMYFUNCTION("""COMPUTED_VALUE"""),"IDR")</f>
        <v>IDR</v>
      </c>
      <c r="I3303" s="6">
        <f>IFERROR(__xludf.DUMMYFUNCTION("""COMPUTED_VALUE"""),1.22625E8)</f>
        <v>122625000</v>
      </c>
      <c r="J3303" s="6">
        <f>IFERROR(__xludf.DUMMYFUNCTION("""COMPUTED_VALUE"""),1.22625E8)</f>
        <v>122625000</v>
      </c>
      <c r="K3303" s="57">
        <f>IFERROR(__xludf.DUMMYFUNCTION("""COMPUTED_VALUE"""),45480.0)</f>
        <v>45480</v>
      </c>
      <c r="L3303" s="6" t="str">
        <f>IFERROR(__xludf.DUMMYFUNCTION("""COMPUTED_VALUE"""),"FIP General")</f>
        <v>FIP General</v>
      </c>
      <c r="M3303" s="6" t="str">
        <f>IFERROR(__xludf.DUMMYFUNCTION("""COMPUTED_VALUE"""),"Mochammad Fadhillah Hakim,")</f>
        <v>Mochammad Fadhillah Hakim,</v>
      </c>
      <c r="N3303" s="6" t="str">
        <f>IFERROR(__xludf.DUMMYFUNCTION("""COMPUTED_VALUE"""),"FIP Engineering")</f>
        <v>FIP Engineering</v>
      </c>
      <c r="O3303" s="6" t="str">
        <f>IFERROR(__xludf.DUMMYFUNCTION("""COMPUTED_VALUE"""),"FIP-DOM-ENG-51504-MC24028-INA-000000")</f>
        <v>FIP-DOM-ENG-51504-MC24028-INA-000000</v>
      </c>
      <c r="P3303" s="6" t="str">
        <f>IFERROR(__xludf.DUMMYFUNCTION("""COMPUTED_VALUE"""),"PO Closed")</f>
        <v>PO Closed</v>
      </c>
      <c r="Q3303" s="6" t="str">
        <f>IFERROR(__xludf.DUMMYFUNCTION("""COMPUTED_VALUE"""),"GL2407027")</f>
        <v>GL2407027</v>
      </c>
      <c r="R3303" s="57">
        <f>IFERROR(__xludf.DUMMYFUNCTION("""COMPUTED_VALUE"""),45478.0)</f>
        <v>45478</v>
      </c>
      <c r="S3303" s="57">
        <f>IFERROR(__xludf.DUMMYFUNCTION("""COMPUTED_VALUE"""),45481.0)</f>
        <v>45481</v>
      </c>
      <c r="T3303" s="57">
        <f>IFERROR(__xludf.DUMMYFUNCTION("""COMPUTED_VALUE"""),45555.0)</f>
        <v>45555</v>
      </c>
    </row>
    <row r="3304">
      <c r="A3304" s="6" t="str">
        <f>IFERROR(__xludf.DUMMYFUNCTION("""COMPUTED_VALUE"""),"121701625-1")</f>
        <v>121701625-1</v>
      </c>
      <c r="B3304" s="6" t="str">
        <f>IFERROR(__xludf.DUMMYFUNCTION("""COMPUTED_VALUE"""),"121701625 - APPROVED")</f>
        <v>121701625 - APPROVED</v>
      </c>
      <c r="C3304" s="6">
        <f>IFERROR(__xludf.DUMMYFUNCTION("""COMPUTED_VALUE"""),1.0)</f>
        <v>1</v>
      </c>
      <c r="D3304" s="6" t="str">
        <f>IFERROR(__xludf.DUMMYFUNCTION("""COMPUTED_VALUE"""),"O-53093-00")</f>
        <v>O-53093-00</v>
      </c>
      <c r="E3304" s="6" t="str">
        <f>IFERROR(__xludf.DUMMYFUNCTION("""COMPUTED_VALUE"""),"FD S/N MBE1207 - Amplifier SE3AN21RS1603; Aron; ;")</f>
        <v>FD S/N MBE1207 - Amplifier SE3AN21RS1603; Aron; ;</v>
      </c>
      <c r="F3304" s="6">
        <f>IFERROR(__xludf.DUMMYFUNCTION("""COMPUTED_VALUE"""),1.0)</f>
        <v>1</v>
      </c>
      <c r="G3304" s="6" t="str">
        <f>IFERROR(__xludf.DUMMYFUNCTION("""COMPUTED_VALUE"""),"Pieces")</f>
        <v>Pieces</v>
      </c>
      <c r="H3304" s="6" t="str">
        <f>IFERROR(__xludf.DUMMYFUNCTION("""COMPUTED_VALUE"""),"IDR")</f>
        <v>IDR</v>
      </c>
      <c r="I3304" s="6">
        <f>IFERROR(__xludf.DUMMYFUNCTION("""COMPUTED_VALUE"""),2.36E7)</f>
        <v>23600000</v>
      </c>
      <c r="J3304" s="6">
        <f>IFERROR(__xludf.DUMMYFUNCTION("""COMPUTED_VALUE"""),2.36E7)</f>
        <v>23600000</v>
      </c>
      <c r="K3304" s="57">
        <f>IFERROR(__xludf.DUMMYFUNCTION("""COMPUTED_VALUE"""),45483.0)</f>
        <v>45483</v>
      </c>
      <c r="L3304" s="6" t="str">
        <f>IFERROR(__xludf.DUMMYFUNCTION("""COMPUTED_VALUE"""),"FIP Engineering")</f>
        <v>FIP Engineering</v>
      </c>
      <c r="M3304" s="6" t="str">
        <f>IFERROR(__xludf.DUMMYFUNCTION("""COMPUTED_VALUE"""),"Mochammad Fadhillah Hakim,")</f>
        <v>Mochammad Fadhillah Hakim,</v>
      </c>
      <c r="N3304" s="6" t="str">
        <f>IFERROR(__xludf.DUMMYFUNCTION("""COMPUTED_VALUE"""),"FIP Engineering")</f>
        <v>FIP Engineering</v>
      </c>
      <c r="O3304" s="6" t="str">
        <f>IFERROR(__xludf.DUMMYFUNCTION("""COMPUTED_VALUE"""),"FIP-DOM-000-11304-OS00001-INA-000000")</f>
        <v>FIP-DOM-000-11304-OS00001-INA-000000</v>
      </c>
      <c r="P3304" s="6" t="str">
        <f>IFERROR(__xludf.DUMMYFUNCTION("""COMPUTED_VALUE"""),"PO Closed")</f>
        <v>PO Closed</v>
      </c>
      <c r="Q3304" s="6" t="str">
        <f>IFERROR(__xludf.DUMMYFUNCTION("""COMPUTED_VALUE"""),"GL2407009")</f>
        <v>GL2407009</v>
      </c>
      <c r="R3304" s="57">
        <f>IFERROR(__xludf.DUMMYFUNCTION("""COMPUTED_VALUE"""),45481.0)</f>
        <v>45481</v>
      </c>
      <c r="S3304" s="57">
        <f>IFERROR(__xludf.DUMMYFUNCTION("""COMPUTED_VALUE"""),45482.0)</f>
        <v>45482</v>
      </c>
      <c r="T3304" s="57">
        <f>IFERROR(__xludf.DUMMYFUNCTION("""COMPUTED_VALUE"""),45595.0)</f>
        <v>45595</v>
      </c>
    </row>
    <row r="3305">
      <c r="A3305" s="6" t="str">
        <f>IFERROR(__xludf.DUMMYFUNCTION("""COMPUTED_VALUE"""),"121701625-2")</f>
        <v>121701625-2</v>
      </c>
      <c r="B3305" s="6" t="str">
        <f>IFERROR(__xludf.DUMMYFUNCTION("""COMPUTED_VALUE"""),"121701625 - APPROVED")</f>
        <v>121701625 - APPROVED</v>
      </c>
      <c r="C3305" s="6">
        <f>IFERROR(__xludf.DUMMYFUNCTION("""COMPUTED_VALUE"""),2.0)</f>
        <v>2</v>
      </c>
      <c r="D3305" s="6" t="str">
        <f>IFERROR(__xludf.DUMMYFUNCTION("""COMPUTED_VALUE"""),"O-53094-00")</f>
        <v>O-53094-00</v>
      </c>
      <c r="E3305" s="6" t="str">
        <f>IFERROR(__xludf.DUMMYFUNCTION("""COMPUTED_VALUE"""),"FD S/N MBE1207 - Pressure Switch IPN-350 ISO; ; EB02-00063;")</f>
        <v>FD S/N MBE1207 - Pressure Switch IPN-350 ISO; ; EB02-00063;</v>
      </c>
      <c r="F3305" s="6">
        <f>IFERROR(__xludf.DUMMYFUNCTION("""COMPUTED_VALUE"""),1.0)</f>
        <v>1</v>
      </c>
      <c r="G3305" s="6" t="str">
        <f>IFERROR(__xludf.DUMMYFUNCTION("""COMPUTED_VALUE"""),"Pieces")</f>
        <v>Pieces</v>
      </c>
      <c r="H3305" s="6" t="str">
        <f>IFERROR(__xludf.DUMMYFUNCTION("""COMPUTED_VALUE"""),"IDR")</f>
        <v>IDR</v>
      </c>
      <c r="I3305" s="6">
        <f>IFERROR(__xludf.DUMMYFUNCTION("""COMPUTED_VALUE"""),6371640.0)</f>
        <v>6371640</v>
      </c>
      <c r="J3305" s="6">
        <f>IFERROR(__xludf.DUMMYFUNCTION("""COMPUTED_VALUE"""),6371640.0)</f>
        <v>6371640</v>
      </c>
      <c r="K3305" s="57">
        <f>IFERROR(__xludf.DUMMYFUNCTION("""COMPUTED_VALUE"""),45483.0)</f>
        <v>45483</v>
      </c>
      <c r="L3305" s="6" t="str">
        <f>IFERROR(__xludf.DUMMYFUNCTION("""COMPUTED_VALUE"""),"FIP Engineering")</f>
        <v>FIP Engineering</v>
      </c>
      <c r="M3305" s="6" t="str">
        <f>IFERROR(__xludf.DUMMYFUNCTION("""COMPUTED_VALUE"""),"Mochammad Fadhillah Hakim,")</f>
        <v>Mochammad Fadhillah Hakim,</v>
      </c>
      <c r="N3305" s="6" t="str">
        <f>IFERROR(__xludf.DUMMYFUNCTION("""COMPUTED_VALUE"""),"FIP Engineering")</f>
        <v>FIP Engineering</v>
      </c>
      <c r="O3305" s="6" t="str">
        <f>IFERROR(__xludf.DUMMYFUNCTION("""COMPUTED_VALUE"""),"FIP-DOM-000-11304-OS00001-INA-000000")</f>
        <v>FIP-DOM-000-11304-OS00001-INA-000000</v>
      </c>
      <c r="P3305" s="6" t="str">
        <f>IFERROR(__xludf.DUMMYFUNCTION("""COMPUTED_VALUE"""),"PO Closed")</f>
        <v>PO Closed</v>
      </c>
      <c r="Q3305" s="6" t="str">
        <f>IFERROR(__xludf.DUMMYFUNCTION("""COMPUTED_VALUE"""),"GL2407009")</f>
        <v>GL2407009</v>
      </c>
      <c r="R3305" s="57">
        <f>IFERROR(__xludf.DUMMYFUNCTION("""COMPUTED_VALUE"""),45481.0)</f>
        <v>45481</v>
      </c>
      <c r="S3305" s="57">
        <f>IFERROR(__xludf.DUMMYFUNCTION("""COMPUTED_VALUE"""),45482.0)</f>
        <v>45482</v>
      </c>
      <c r="T3305" s="57">
        <f>IFERROR(__xludf.DUMMYFUNCTION("""COMPUTED_VALUE"""),45595.0)</f>
        <v>45595</v>
      </c>
    </row>
    <row r="3306">
      <c r="A3306" s="6" t="str">
        <f>IFERROR(__xludf.DUMMYFUNCTION("""COMPUTED_VALUE"""),"121701625-3")</f>
        <v>121701625-3</v>
      </c>
      <c r="B3306" s="6" t="str">
        <f>IFERROR(__xludf.DUMMYFUNCTION("""COMPUTED_VALUE"""),"121701625 - APPROVED")</f>
        <v>121701625 - APPROVED</v>
      </c>
      <c r="C3306" s="6">
        <f>IFERROR(__xludf.DUMMYFUNCTION("""COMPUTED_VALUE"""),3.0)</f>
        <v>3</v>
      </c>
      <c r="D3306" s="6" t="str">
        <f>IFERROR(__xludf.DUMMYFUNCTION("""COMPUTED_VALUE"""),"O-19981-00")</f>
        <v>O-19981-00</v>
      </c>
      <c r="E3306" s="6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F3306" s="6">
        <f>IFERROR(__xludf.DUMMYFUNCTION("""COMPUTED_VALUE"""),2.0)</f>
        <v>2</v>
      </c>
      <c r="G3306" s="6" t="str">
        <f>IFERROR(__xludf.DUMMYFUNCTION("""COMPUTED_VALUE"""),"Pieces")</f>
        <v>Pieces</v>
      </c>
      <c r="H3306" s="6" t="str">
        <f>IFERROR(__xludf.DUMMYFUNCTION("""COMPUTED_VALUE"""),"IDR")</f>
        <v>IDR</v>
      </c>
      <c r="I3306" s="6">
        <f>IFERROR(__xludf.DUMMYFUNCTION("""COMPUTED_VALUE"""),3.207468E7)</f>
        <v>32074680</v>
      </c>
      <c r="J3306" s="6">
        <f>IFERROR(__xludf.DUMMYFUNCTION("""COMPUTED_VALUE"""),6.414936E7)</f>
        <v>64149360</v>
      </c>
      <c r="K3306" s="57">
        <f>IFERROR(__xludf.DUMMYFUNCTION("""COMPUTED_VALUE"""),45483.0)</f>
        <v>45483</v>
      </c>
      <c r="L3306" s="6" t="str">
        <f>IFERROR(__xludf.DUMMYFUNCTION("""COMPUTED_VALUE"""),"FIP Engineering")</f>
        <v>FIP Engineering</v>
      </c>
      <c r="M3306" s="6" t="str">
        <f>IFERROR(__xludf.DUMMYFUNCTION("""COMPUTED_VALUE"""),"Mochammad Fadhillah Hakim,")</f>
        <v>Mochammad Fadhillah Hakim,</v>
      </c>
      <c r="N3306" s="6" t="str">
        <f>IFERROR(__xludf.DUMMYFUNCTION("""COMPUTED_VALUE"""),"FIP Engineering")</f>
        <v>FIP Engineering</v>
      </c>
      <c r="O3306" s="6" t="str">
        <f>IFERROR(__xludf.DUMMYFUNCTION("""COMPUTED_VALUE"""),"FIP-DOM-000-11304-OS00001-INA-000000")</f>
        <v>FIP-DOM-000-11304-OS00001-INA-000000</v>
      </c>
      <c r="P3306" s="6" t="str">
        <f>IFERROR(__xludf.DUMMYFUNCTION("""COMPUTED_VALUE"""),"PO Closed")</f>
        <v>PO Closed</v>
      </c>
      <c r="Q3306" s="6" t="str">
        <f>IFERROR(__xludf.DUMMYFUNCTION("""COMPUTED_VALUE"""),"GL2407009")</f>
        <v>GL2407009</v>
      </c>
      <c r="R3306" s="57">
        <f>IFERROR(__xludf.DUMMYFUNCTION("""COMPUTED_VALUE"""),45481.0)</f>
        <v>45481</v>
      </c>
      <c r="S3306" s="57">
        <f>IFERROR(__xludf.DUMMYFUNCTION("""COMPUTED_VALUE"""),45482.0)</f>
        <v>45482</v>
      </c>
      <c r="T3306" s="57">
        <f>IFERROR(__xludf.DUMMYFUNCTION("""COMPUTED_VALUE"""),45595.0)</f>
        <v>45595</v>
      </c>
    </row>
    <row r="3307">
      <c r="A3307" s="6" t="str">
        <f>IFERROR(__xludf.DUMMYFUNCTION("""COMPUTED_VALUE"""),"121701625-4")</f>
        <v>121701625-4</v>
      </c>
      <c r="B3307" s="6" t="str">
        <f>IFERROR(__xludf.DUMMYFUNCTION("""COMPUTED_VALUE"""),"121701625 - APPROVED")</f>
        <v>121701625 - APPROVED</v>
      </c>
      <c r="C3307" s="6">
        <f>IFERROR(__xludf.DUMMYFUNCTION("""COMPUTED_VALUE"""),4.0)</f>
        <v>4</v>
      </c>
      <c r="D3307" s="6" t="str">
        <f>IFERROR(__xludf.DUMMYFUNCTION("""COMPUTED_VALUE"""),"O-53095-00")</f>
        <v>O-53095-00</v>
      </c>
      <c r="E3307" s="6" t="str">
        <f>IFERROR(__xludf.DUMMYFUNCTION("""COMPUTED_VALUE"""),"FD S/N MBE1207 - Electric Control Lock DTDF MCN224; SUN; EB02-00535;")</f>
        <v>FD S/N MBE1207 - Electric Control Lock DTDF MCN224; SUN; EB02-00535;</v>
      </c>
      <c r="F3307" s="6">
        <f>IFERROR(__xludf.DUMMYFUNCTION("""COMPUTED_VALUE"""),2.0)</f>
        <v>2</v>
      </c>
      <c r="G3307" s="6" t="str">
        <f>IFERROR(__xludf.DUMMYFUNCTION("""COMPUTED_VALUE"""),"Pieces")</f>
        <v>Pieces</v>
      </c>
      <c r="H3307" s="6" t="str">
        <f>IFERROR(__xludf.DUMMYFUNCTION("""COMPUTED_VALUE"""),"IDR")</f>
        <v>IDR</v>
      </c>
      <c r="I3307" s="6">
        <f>IFERROR(__xludf.DUMMYFUNCTION("""COMPUTED_VALUE"""),1.1074305E7)</f>
        <v>11074305</v>
      </c>
      <c r="J3307" s="6">
        <f>IFERROR(__xludf.DUMMYFUNCTION("""COMPUTED_VALUE"""),2.214861E7)</f>
        <v>22148610</v>
      </c>
      <c r="K3307" s="57">
        <f>IFERROR(__xludf.DUMMYFUNCTION("""COMPUTED_VALUE"""),45483.0)</f>
        <v>45483</v>
      </c>
      <c r="L3307" s="6" t="str">
        <f>IFERROR(__xludf.DUMMYFUNCTION("""COMPUTED_VALUE"""),"FIP Engineering")</f>
        <v>FIP Engineering</v>
      </c>
      <c r="M3307" s="6" t="str">
        <f>IFERROR(__xludf.DUMMYFUNCTION("""COMPUTED_VALUE"""),"Mochammad Fadhillah Hakim,")</f>
        <v>Mochammad Fadhillah Hakim,</v>
      </c>
      <c r="N3307" s="6" t="str">
        <f>IFERROR(__xludf.DUMMYFUNCTION("""COMPUTED_VALUE"""),"FIP Engineering")</f>
        <v>FIP Engineering</v>
      </c>
      <c r="O3307" s="6" t="str">
        <f>IFERROR(__xludf.DUMMYFUNCTION("""COMPUTED_VALUE"""),"FIP-DOM-000-11304-OS00001-INA-000000")</f>
        <v>FIP-DOM-000-11304-OS00001-INA-000000</v>
      </c>
      <c r="P3307" s="6" t="str">
        <f>IFERROR(__xludf.DUMMYFUNCTION("""COMPUTED_VALUE"""),"PO Closed")</f>
        <v>PO Closed</v>
      </c>
      <c r="Q3307" s="6" t="str">
        <f>IFERROR(__xludf.DUMMYFUNCTION("""COMPUTED_VALUE"""),"GL2407009")</f>
        <v>GL2407009</v>
      </c>
      <c r="R3307" s="57">
        <f>IFERROR(__xludf.DUMMYFUNCTION("""COMPUTED_VALUE"""),45481.0)</f>
        <v>45481</v>
      </c>
      <c r="S3307" s="57">
        <f>IFERROR(__xludf.DUMMYFUNCTION("""COMPUTED_VALUE"""),45482.0)</f>
        <v>45482</v>
      </c>
      <c r="T3307" s="57">
        <f>IFERROR(__xludf.DUMMYFUNCTION("""COMPUTED_VALUE"""),45595.0)</f>
        <v>45595</v>
      </c>
    </row>
    <row r="3308">
      <c r="A3308" s="6" t="str">
        <f>IFERROR(__xludf.DUMMYFUNCTION("""COMPUTED_VALUE"""),"121701625-5")</f>
        <v>121701625-5</v>
      </c>
      <c r="B3308" s="6" t="str">
        <f>IFERROR(__xludf.DUMMYFUNCTION("""COMPUTED_VALUE"""),"121701625 - APPROVED")</f>
        <v>121701625 - APPROVED</v>
      </c>
      <c r="C3308" s="6">
        <f>IFERROR(__xludf.DUMMYFUNCTION("""COMPUTED_VALUE"""),5.0)</f>
        <v>5</v>
      </c>
      <c r="D3308" s="6" t="str">
        <f>IFERROR(__xludf.DUMMYFUNCTION("""COMPUTED_VALUE"""),"O-19983-00")</f>
        <v>O-19983-00</v>
      </c>
      <c r="E3308" s="6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F3308" s="6">
        <f>IFERROR(__xludf.DUMMYFUNCTION("""COMPUTED_VALUE"""),1.0)</f>
        <v>1</v>
      </c>
      <c r="G3308" s="6" t="str">
        <f>IFERROR(__xludf.DUMMYFUNCTION("""COMPUTED_VALUE"""),"Pieces")</f>
        <v>Pieces</v>
      </c>
      <c r="H3308" s="6" t="str">
        <f>IFERROR(__xludf.DUMMYFUNCTION("""COMPUTED_VALUE"""),"IDR")</f>
        <v>IDR</v>
      </c>
      <c r="I3308" s="6">
        <f>IFERROR(__xludf.DUMMYFUNCTION("""COMPUTED_VALUE"""),1.2183105E7)</f>
        <v>12183105</v>
      </c>
      <c r="J3308" s="6">
        <f>IFERROR(__xludf.DUMMYFUNCTION("""COMPUTED_VALUE"""),1.2183105E7)</f>
        <v>12183105</v>
      </c>
      <c r="K3308" s="57">
        <f>IFERROR(__xludf.DUMMYFUNCTION("""COMPUTED_VALUE"""),45483.0)</f>
        <v>45483</v>
      </c>
      <c r="L3308" s="6" t="str">
        <f>IFERROR(__xludf.DUMMYFUNCTION("""COMPUTED_VALUE"""),"FIP Engineering")</f>
        <v>FIP Engineering</v>
      </c>
      <c r="M3308" s="6" t="str">
        <f>IFERROR(__xludf.DUMMYFUNCTION("""COMPUTED_VALUE"""),"Mochammad Fadhillah Hakim,")</f>
        <v>Mochammad Fadhillah Hakim,</v>
      </c>
      <c r="N3308" s="6" t="str">
        <f>IFERROR(__xludf.DUMMYFUNCTION("""COMPUTED_VALUE"""),"FIP Engineering")</f>
        <v>FIP Engineering</v>
      </c>
      <c r="O3308" s="6" t="str">
        <f>IFERROR(__xludf.DUMMYFUNCTION("""COMPUTED_VALUE"""),"FIP-DOM-000-11304-OS00001-INA-000000")</f>
        <v>FIP-DOM-000-11304-OS00001-INA-000000</v>
      </c>
      <c r="P3308" s="6" t="str">
        <f>IFERROR(__xludf.DUMMYFUNCTION("""COMPUTED_VALUE"""),"PO Closed")</f>
        <v>PO Closed</v>
      </c>
      <c r="Q3308" s="6" t="str">
        <f>IFERROR(__xludf.DUMMYFUNCTION("""COMPUTED_VALUE"""),"GL2407009")</f>
        <v>GL2407009</v>
      </c>
      <c r="R3308" s="57">
        <f>IFERROR(__xludf.DUMMYFUNCTION("""COMPUTED_VALUE"""),45481.0)</f>
        <v>45481</v>
      </c>
      <c r="S3308" s="57">
        <f>IFERROR(__xludf.DUMMYFUNCTION("""COMPUTED_VALUE"""),45482.0)</f>
        <v>45482</v>
      </c>
      <c r="T3308" s="57">
        <f>IFERROR(__xludf.DUMMYFUNCTION("""COMPUTED_VALUE"""),45595.0)</f>
        <v>45595</v>
      </c>
    </row>
    <row r="3309">
      <c r="A3309" s="6" t="str">
        <f>IFERROR(__xludf.DUMMYFUNCTION("""COMPUTED_VALUE"""),"121701625-6")</f>
        <v>121701625-6</v>
      </c>
      <c r="B3309" s="6" t="str">
        <f>IFERROR(__xludf.DUMMYFUNCTION("""COMPUTED_VALUE"""),"121701625 - APPROVED")</f>
        <v>121701625 - APPROVED</v>
      </c>
      <c r="C3309" s="6">
        <f>IFERROR(__xludf.DUMMYFUNCTION("""COMPUTED_VALUE"""),6.0)</f>
        <v>6</v>
      </c>
      <c r="D3309" s="6" t="str">
        <f>IFERROR(__xludf.DUMMYFUNCTION("""COMPUTED_VALUE"""),"O-53096-00")</f>
        <v>O-53096-00</v>
      </c>
      <c r="E3309" s="6" t="str">
        <f>IFERROR(__xludf.DUMMYFUNCTION("""COMPUTED_VALUE"""),"FD S/N MBE1207 - Proximity Switch E2E-XB1D12 2M; Omron; EB22-00837;")</f>
        <v>FD S/N MBE1207 - Proximity Switch E2E-XB1D12 2M; Omron; EB22-00837;</v>
      </c>
      <c r="F3309" s="6">
        <f>IFERROR(__xludf.DUMMYFUNCTION("""COMPUTED_VALUE"""),2.0)</f>
        <v>2</v>
      </c>
      <c r="G3309" s="6" t="str">
        <f>IFERROR(__xludf.DUMMYFUNCTION("""COMPUTED_VALUE"""),"Pieces")</f>
        <v>Pieces</v>
      </c>
      <c r="H3309" s="6" t="str">
        <f>IFERROR(__xludf.DUMMYFUNCTION("""COMPUTED_VALUE"""),"IDR")</f>
        <v>IDR</v>
      </c>
      <c r="I3309" s="6">
        <f>IFERROR(__xludf.DUMMYFUNCTION("""COMPUTED_VALUE"""),819225.0)</f>
        <v>819225</v>
      </c>
      <c r="J3309" s="6">
        <f>IFERROR(__xludf.DUMMYFUNCTION("""COMPUTED_VALUE"""),1638450.0)</f>
        <v>1638450</v>
      </c>
      <c r="K3309" s="57">
        <f>IFERROR(__xludf.DUMMYFUNCTION("""COMPUTED_VALUE"""),45483.0)</f>
        <v>45483</v>
      </c>
      <c r="L3309" s="6" t="str">
        <f>IFERROR(__xludf.DUMMYFUNCTION("""COMPUTED_VALUE"""),"FIP Engineering")</f>
        <v>FIP Engineering</v>
      </c>
      <c r="M3309" s="6" t="str">
        <f>IFERROR(__xludf.DUMMYFUNCTION("""COMPUTED_VALUE"""),"Mochammad Fadhillah Hakim,")</f>
        <v>Mochammad Fadhillah Hakim,</v>
      </c>
      <c r="N3309" s="6" t="str">
        <f>IFERROR(__xludf.DUMMYFUNCTION("""COMPUTED_VALUE"""),"FIP Engineering")</f>
        <v>FIP Engineering</v>
      </c>
      <c r="O3309" s="6" t="str">
        <f>IFERROR(__xludf.DUMMYFUNCTION("""COMPUTED_VALUE"""),"FIP-DOM-000-11304-OS00001-INA-000000")</f>
        <v>FIP-DOM-000-11304-OS00001-INA-000000</v>
      </c>
      <c r="P3309" s="6" t="str">
        <f>IFERROR(__xludf.DUMMYFUNCTION("""COMPUTED_VALUE"""),"PO Closed")</f>
        <v>PO Closed</v>
      </c>
      <c r="Q3309" s="6" t="str">
        <f>IFERROR(__xludf.DUMMYFUNCTION("""COMPUTED_VALUE"""),"GL2407009")</f>
        <v>GL2407009</v>
      </c>
      <c r="R3309" s="57">
        <f>IFERROR(__xludf.DUMMYFUNCTION("""COMPUTED_VALUE"""),45481.0)</f>
        <v>45481</v>
      </c>
      <c r="S3309" s="57">
        <f>IFERROR(__xludf.DUMMYFUNCTION("""COMPUTED_VALUE"""),45482.0)</f>
        <v>45482</v>
      </c>
      <c r="T3309" s="57">
        <f>IFERROR(__xludf.DUMMYFUNCTION("""COMPUTED_VALUE"""),45595.0)</f>
        <v>45595</v>
      </c>
    </row>
    <row r="3310">
      <c r="A3310" s="6" t="str">
        <f>IFERROR(__xludf.DUMMYFUNCTION("""COMPUTED_VALUE"""),"121701626-1")</f>
        <v>121701626-1</v>
      </c>
      <c r="B3310" s="6" t="str">
        <f>IFERROR(__xludf.DUMMYFUNCTION("""COMPUTED_VALUE"""),"121701626 - APPROVED")</f>
        <v>121701626 - APPROVED</v>
      </c>
      <c r="C3310" s="6">
        <f>IFERROR(__xludf.DUMMYFUNCTION("""COMPUTED_VALUE"""),1.0)</f>
        <v>1</v>
      </c>
      <c r="D3310" s="6" t="str">
        <f>IFERROR(__xludf.DUMMYFUNCTION("""COMPUTED_VALUE"""),"O-19982-00")</f>
        <v>O-19982-00</v>
      </c>
      <c r="E3310" s="6" t="str">
        <f>IFERROR(__xludf.DUMMYFUNCTION("""COMPUTED_VALUE"""),"FD S/N MBE1207 - Directional Valve XDC3C03N1FS42; Aron; ;")</f>
        <v>FD S/N MBE1207 - Directional Valve XDC3C03N1FS42; Aron; ;</v>
      </c>
      <c r="F3310" s="6">
        <f>IFERROR(__xludf.DUMMYFUNCTION("""COMPUTED_VALUE"""),2.0)</f>
        <v>2</v>
      </c>
      <c r="G3310" s="6" t="str">
        <f>IFERROR(__xludf.DUMMYFUNCTION("""COMPUTED_VALUE"""),"Pieces")</f>
        <v>Pieces</v>
      </c>
      <c r="H3310" s="6" t="str">
        <f>IFERROR(__xludf.DUMMYFUNCTION("""COMPUTED_VALUE"""),"IDR")</f>
        <v>IDR</v>
      </c>
      <c r="I3310" s="6">
        <f>IFERROR(__xludf.DUMMYFUNCTION("""COMPUTED_VALUE"""),2.52E7)</f>
        <v>25200000</v>
      </c>
      <c r="J3310" s="6">
        <f>IFERROR(__xludf.DUMMYFUNCTION("""COMPUTED_VALUE"""),5.04E7)</f>
        <v>50400000</v>
      </c>
      <c r="K3310" s="57">
        <f>IFERROR(__xludf.DUMMYFUNCTION("""COMPUTED_VALUE"""),45483.0)</f>
        <v>45483</v>
      </c>
      <c r="L3310" s="6" t="str">
        <f>IFERROR(__xludf.DUMMYFUNCTION("""COMPUTED_VALUE"""),"FIP Engineering")</f>
        <v>FIP Engineering</v>
      </c>
      <c r="M3310" s="6" t="str">
        <f>IFERROR(__xludf.DUMMYFUNCTION("""COMPUTED_VALUE"""),"Mochammad Fadhillah Hakim,")</f>
        <v>Mochammad Fadhillah Hakim,</v>
      </c>
      <c r="N3310" s="6" t="str">
        <f>IFERROR(__xludf.DUMMYFUNCTION("""COMPUTED_VALUE"""),"FIP Engineering")</f>
        <v>FIP Engineering</v>
      </c>
      <c r="O3310" s="6" t="str">
        <f>IFERROR(__xludf.DUMMYFUNCTION("""COMPUTED_VALUE"""),"FIP-DOM-000-11304-OS00001-INA-000000")</f>
        <v>FIP-DOM-000-11304-OS00001-INA-000000</v>
      </c>
      <c r="P3310" s="6" t="str">
        <f>IFERROR(__xludf.DUMMYFUNCTION("""COMPUTED_VALUE"""),"PO Closed")</f>
        <v>PO Closed</v>
      </c>
      <c r="Q3310" s="6" t="str">
        <f>IFERROR(__xludf.DUMMYFUNCTION("""COMPUTED_VALUE"""),"GL2407014")</f>
        <v>GL2407014</v>
      </c>
      <c r="R3310" s="57">
        <f>IFERROR(__xludf.DUMMYFUNCTION("""COMPUTED_VALUE"""),45481.0)</f>
        <v>45481</v>
      </c>
      <c r="S3310" s="57">
        <f>IFERROR(__xludf.DUMMYFUNCTION("""COMPUTED_VALUE"""),45482.0)</f>
        <v>45482</v>
      </c>
      <c r="T3310" s="57">
        <f>IFERROR(__xludf.DUMMYFUNCTION("""COMPUTED_VALUE"""),45519.0)</f>
        <v>45519</v>
      </c>
    </row>
    <row r="3311">
      <c r="A3311" s="6" t="str">
        <f>IFERROR(__xludf.DUMMYFUNCTION("""COMPUTED_VALUE"""),"121701626-2")</f>
        <v>121701626-2</v>
      </c>
      <c r="B3311" s="6" t="str">
        <f>IFERROR(__xludf.DUMMYFUNCTION("""COMPUTED_VALUE"""),"121701626 - APPROVED")</f>
        <v>121701626 - APPROVED</v>
      </c>
      <c r="C3311" s="6">
        <f>IFERROR(__xludf.DUMMYFUNCTION("""COMPUTED_VALUE"""),2.0)</f>
        <v>2</v>
      </c>
      <c r="D3311" s="6" t="str">
        <f>IFERROR(__xludf.DUMMYFUNCTION("""COMPUTED_VALUE"""),"O-53093-00")</f>
        <v>O-53093-00</v>
      </c>
      <c r="E3311" s="6" t="str">
        <f>IFERROR(__xludf.DUMMYFUNCTION("""COMPUTED_VALUE"""),"FD S/N MBE1207 - Amplifier SE3AN21RS1603; Aron; ;")</f>
        <v>FD S/N MBE1207 - Amplifier SE3AN21RS1603; Aron; ;</v>
      </c>
      <c r="F3311" s="6">
        <f>IFERROR(__xludf.DUMMYFUNCTION("""COMPUTED_VALUE"""),1.0)</f>
        <v>1</v>
      </c>
      <c r="G3311" s="6" t="str">
        <f>IFERROR(__xludf.DUMMYFUNCTION("""COMPUTED_VALUE"""),"Pieces")</f>
        <v>Pieces</v>
      </c>
      <c r="H3311" s="6" t="str">
        <f>IFERROR(__xludf.DUMMYFUNCTION("""COMPUTED_VALUE"""),"IDR")</f>
        <v>IDR</v>
      </c>
      <c r="I3311" s="6">
        <f>IFERROR(__xludf.DUMMYFUNCTION("""COMPUTED_VALUE"""),2.36E7)</f>
        <v>23600000</v>
      </c>
      <c r="J3311" s="6">
        <f>IFERROR(__xludf.DUMMYFUNCTION("""COMPUTED_VALUE"""),2.36E7)</f>
        <v>23600000</v>
      </c>
      <c r="K3311" s="57">
        <f>IFERROR(__xludf.DUMMYFUNCTION("""COMPUTED_VALUE"""),45483.0)</f>
        <v>45483</v>
      </c>
      <c r="L3311" s="6" t="str">
        <f>IFERROR(__xludf.DUMMYFUNCTION("""COMPUTED_VALUE"""),"FIP Engineering")</f>
        <v>FIP Engineering</v>
      </c>
      <c r="M3311" s="6" t="str">
        <f>IFERROR(__xludf.DUMMYFUNCTION("""COMPUTED_VALUE"""),"Mochammad Fadhillah Hakim,")</f>
        <v>Mochammad Fadhillah Hakim,</v>
      </c>
      <c r="N3311" s="6" t="str">
        <f>IFERROR(__xludf.DUMMYFUNCTION("""COMPUTED_VALUE"""),"FIP Engineering")</f>
        <v>FIP Engineering</v>
      </c>
      <c r="O3311" s="6" t="str">
        <f>IFERROR(__xludf.DUMMYFUNCTION("""COMPUTED_VALUE"""),"FIP-DOM-000-11304-OS00001-INA-000000")</f>
        <v>FIP-DOM-000-11304-OS00001-INA-000000</v>
      </c>
      <c r="P3311" s="6" t="str">
        <f>IFERROR(__xludf.DUMMYFUNCTION("""COMPUTED_VALUE"""),"PO Closed")</f>
        <v>PO Closed</v>
      </c>
      <c r="Q3311" s="6" t="str">
        <f>IFERROR(__xludf.DUMMYFUNCTION("""COMPUTED_VALUE"""),"GL2407014")</f>
        <v>GL2407014</v>
      </c>
      <c r="R3311" s="57">
        <f>IFERROR(__xludf.DUMMYFUNCTION("""COMPUTED_VALUE"""),45481.0)</f>
        <v>45481</v>
      </c>
      <c r="S3311" s="57">
        <f>IFERROR(__xludf.DUMMYFUNCTION("""COMPUTED_VALUE"""),45482.0)</f>
        <v>45482</v>
      </c>
      <c r="T3311" s="57">
        <f>IFERROR(__xludf.DUMMYFUNCTION("""COMPUTED_VALUE"""),45519.0)</f>
        <v>45519</v>
      </c>
    </row>
    <row r="3312">
      <c r="A3312" s="6" t="str">
        <f>IFERROR(__xludf.DUMMYFUNCTION("""COMPUTED_VALUE"""),"121701633-1")</f>
        <v>121701633-1</v>
      </c>
      <c r="B3312" s="6" t="str">
        <f>IFERROR(__xludf.DUMMYFUNCTION("""COMPUTED_VALUE"""),"121701633 - APPROVED")</f>
        <v>121701633 - APPROVED</v>
      </c>
      <c r="C3312" s="6">
        <f>IFERROR(__xludf.DUMMYFUNCTION("""COMPUTED_VALUE"""),1.0)</f>
        <v>1</v>
      </c>
      <c r="D3312" s="6" t="str">
        <f>IFERROR(__xludf.DUMMYFUNCTION("""COMPUTED_VALUE"""),"T-80965-00")</f>
        <v>T-80965-00</v>
      </c>
      <c r="E3312" s="6" t="str">
        <f>IFERROR(__xludf.DUMMYFUNCTION("""COMPUTED_VALUE"""),"Epson Tinta 003 black for Epson L3110; Epson; ; pc")</f>
        <v>Epson Tinta 003 black for Epson L3110; Epson; ; pc</v>
      </c>
      <c r="F3312" s="6">
        <f>IFERROR(__xludf.DUMMYFUNCTION("""COMPUTED_VALUE"""),2.0)</f>
        <v>2</v>
      </c>
      <c r="G3312" s="6" t="str">
        <f>IFERROR(__xludf.DUMMYFUNCTION("""COMPUTED_VALUE"""),"Pieces")</f>
        <v>Pieces</v>
      </c>
      <c r="H3312" s="6" t="str">
        <f>IFERROR(__xludf.DUMMYFUNCTION("""COMPUTED_VALUE"""),"IDR")</f>
        <v>IDR</v>
      </c>
      <c r="I3312" s="6">
        <f>IFERROR(__xludf.DUMMYFUNCTION("""COMPUTED_VALUE"""),100000.0)</f>
        <v>100000</v>
      </c>
      <c r="J3312" s="6">
        <f>IFERROR(__xludf.DUMMYFUNCTION("""COMPUTED_VALUE"""),200000.0)</f>
        <v>200000</v>
      </c>
      <c r="K3312" s="57">
        <f>IFERROR(__xludf.DUMMYFUNCTION("""COMPUTED_VALUE"""),45484.0)</f>
        <v>45484</v>
      </c>
      <c r="L3312" s="6" t="str">
        <f>IFERROR(__xludf.DUMMYFUNCTION("""COMPUTED_VALUE"""),"FIP General")</f>
        <v>FIP General</v>
      </c>
      <c r="M3312" s="6" t="str">
        <f>IFERROR(__xludf.DUMMYFUNCTION("""COMPUTED_VALUE"""),"Mochammad Fadhillah Hakim,")</f>
        <v>Mochammad Fadhillah Hakim,</v>
      </c>
      <c r="N3312" s="6" t="str">
        <f>IFERROR(__xludf.DUMMYFUNCTION("""COMPUTED_VALUE"""),"FIP Engineering")</f>
        <v>FIP Engineering</v>
      </c>
      <c r="O3312" s="6" t="str">
        <f>IFERROR(__xludf.DUMMYFUNCTION("""COMPUTED_VALUE"""),"FIP-DOM-ENG-51411-0000000-INA-000000")</f>
        <v>FIP-DOM-ENG-51411-0000000-INA-000000</v>
      </c>
      <c r="P3312" s="6" t="str">
        <f>IFERROR(__xludf.DUMMYFUNCTION("""COMPUTED_VALUE"""),"PO Closed")</f>
        <v>PO Closed</v>
      </c>
      <c r="Q3312" s="6" t="str">
        <f>IFERROR(__xludf.DUMMYFUNCTION("""COMPUTED_VALUE"""),"GL2407040")</f>
        <v>GL2407040</v>
      </c>
      <c r="R3312" s="57">
        <f>IFERROR(__xludf.DUMMYFUNCTION("""COMPUTED_VALUE"""),45482.0)</f>
        <v>45482</v>
      </c>
      <c r="S3312" s="57">
        <f>IFERROR(__xludf.DUMMYFUNCTION("""COMPUTED_VALUE"""),45484.0)</f>
        <v>45484</v>
      </c>
      <c r="T3312" s="57">
        <f>IFERROR(__xludf.DUMMYFUNCTION("""COMPUTED_VALUE"""),45517.0)</f>
        <v>45517</v>
      </c>
    </row>
    <row r="3313">
      <c r="A3313" s="6" t="str">
        <f>IFERROR(__xludf.DUMMYFUNCTION("""COMPUTED_VALUE"""),"121701633-2")</f>
        <v>121701633-2</v>
      </c>
      <c r="B3313" s="6" t="str">
        <f>IFERROR(__xludf.DUMMYFUNCTION("""COMPUTED_VALUE"""),"121701633 - APPROVED")</f>
        <v>121701633 - APPROVED</v>
      </c>
      <c r="C3313" s="6">
        <f>IFERROR(__xludf.DUMMYFUNCTION("""COMPUTED_VALUE"""),2.0)</f>
        <v>2</v>
      </c>
      <c r="D3313" s="6" t="str">
        <f>IFERROR(__xludf.DUMMYFUNCTION("""COMPUTED_VALUE"""),"T-81111-00")</f>
        <v>T-81111-00</v>
      </c>
      <c r="E3313" s="6" t="str">
        <f>IFERROR(__xludf.DUMMYFUNCTION("""COMPUTED_VALUE"""),"Epson Tinta 003 Magenta for Epson L3110; Epson; ;")</f>
        <v>Epson Tinta 003 Magenta for Epson L3110; Epson; ;</v>
      </c>
      <c r="F3313" s="6">
        <f>IFERROR(__xludf.DUMMYFUNCTION("""COMPUTED_VALUE"""),1.0)</f>
        <v>1</v>
      </c>
      <c r="G3313" s="6" t="str">
        <f>IFERROR(__xludf.DUMMYFUNCTION("""COMPUTED_VALUE"""),"Pieces")</f>
        <v>Pieces</v>
      </c>
      <c r="H3313" s="6" t="str">
        <f>IFERROR(__xludf.DUMMYFUNCTION("""COMPUTED_VALUE"""),"IDR")</f>
        <v>IDR</v>
      </c>
      <c r="I3313" s="6">
        <f>IFERROR(__xludf.DUMMYFUNCTION("""COMPUTED_VALUE"""),100000.0)</f>
        <v>100000</v>
      </c>
      <c r="J3313" s="6">
        <f>IFERROR(__xludf.DUMMYFUNCTION("""COMPUTED_VALUE"""),100000.0)</f>
        <v>100000</v>
      </c>
      <c r="K3313" s="57">
        <f>IFERROR(__xludf.DUMMYFUNCTION("""COMPUTED_VALUE"""),45484.0)</f>
        <v>45484</v>
      </c>
      <c r="L3313" s="6" t="str">
        <f>IFERROR(__xludf.DUMMYFUNCTION("""COMPUTED_VALUE"""),"FIP General")</f>
        <v>FIP General</v>
      </c>
      <c r="M3313" s="6" t="str">
        <f>IFERROR(__xludf.DUMMYFUNCTION("""COMPUTED_VALUE"""),"Mochammad Fadhillah Hakim,")</f>
        <v>Mochammad Fadhillah Hakim,</v>
      </c>
      <c r="N3313" s="6" t="str">
        <f>IFERROR(__xludf.DUMMYFUNCTION("""COMPUTED_VALUE"""),"FIP Engineering")</f>
        <v>FIP Engineering</v>
      </c>
      <c r="O3313" s="6" t="str">
        <f>IFERROR(__xludf.DUMMYFUNCTION("""COMPUTED_VALUE"""),"FIP-DOM-ENG-51411-0000000-INA-000000")</f>
        <v>FIP-DOM-ENG-51411-0000000-INA-000000</v>
      </c>
      <c r="P3313" s="6" t="str">
        <f>IFERROR(__xludf.DUMMYFUNCTION("""COMPUTED_VALUE"""),"PO Closed")</f>
        <v>PO Closed</v>
      </c>
      <c r="Q3313" s="6" t="str">
        <f>IFERROR(__xludf.DUMMYFUNCTION("""COMPUTED_VALUE"""),"GL2407040")</f>
        <v>GL2407040</v>
      </c>
      <c r="R3313" s="57">
        <f>IFERROR(__xludf.DUMMYFUNCTION("""COMPUTED_VALUE"""),45482.0)</f>
        <v>45482</v>
      </c>
      <c r="S3313" s="57">
        <f>IFERROR(__xludf.DUMMYFUNCTION("""COMPUTED_VALUE"""),45484.0)</f>
        <v>45484</v>
      </c>
      <c r="T3313" s="57">
        <f>IFERROR(__xludf.DUMMYFUNCTION("""COMPUTED_VALUE"""),45517.0)</f>
        <v>45517</v>
      </c>
    </row>
    <row r="3314">
      <c r="A3314" s="6" t="str">
        <f>IFERROR(__xludf.DUMMYFUNCTION("""COMPUTED_VALUE"""),"121701633-3")</f>
        <v>121701633-3</v>
      </c>
      <c r="B3314" s="6" t="str">
        <f>IFERROR(__xludf.DUMMYFUNCTION("""COMPUTED_VALUE"""),"121701633 - APPROVED")</f>
        <v>121701633 - APPROVED</v>
      </c>
      <c r="C3314" s="6">
        <f>IFERROR(__xludf.DUMMYFUNCTION("""COMPUTED_VALUE"""),3.0)</f>
        <v>3</v>
      </c>
      <c r="D3314" s="6" t="str">
        <f>IFERROR(__xludf.DUMMYFUNCTION("""COMPUTED_VALUE"""),"T-81109-00")</f>
        <v>T-81109-00</v>
      </c>
      <c r="E3314" s="6" t="str">
        <f>IFERROR(__xludf.DUMMYFUNCTION("""COMPUTED_VALUE"""),"Epson Tinta 003 Blue for Epson; Epson; ; pieces")</f>
        <v>Epson Tinta 003 Blue for Epson; Epson; ; pieces</v>
      </c>
      <c r="F3314" s="6">
        <f>IFERROR(__xludf.DUMMYFUNCTION("""COMPUTED_VALUE"""),1.0)</f>
        <v>1</v>
      </c>
      <c r="G3314" s="6" t="str">
        <f>IFERROR(__xludf.DUMMYFUNCTION("""COMPUTED_VALUE"""),"Pieces")</f>
        <v>Pieces</v>
      </c>
      <c r="H3314" s="6" t="str">
        <f>IFERROR(__xludf.DUMMYFUNCTION("""COMPUTED_VALUE"""),"IDR")</f>
        <v>IDR</v>
      </c>
      <c r="I3314" s="6">
        <f>IFERROR(__xludf.DUMMYFUNCTION("""COMPUTED_VALUE"""),100000.0)</f>
        <v>100000</v>
      </c>
      <c r="J3314" s="6">
        <f>IFERROR(__xludf.DUMMYFUNCTION("""COMPUTED_VALUE"""),100000.0)</f>
        <v>100000</v>
      </c>
      <c r="K3314" s="57">
        <f>IFERROR(__xludf.DUMMYFUNCTION("""COMPUTED_VALUE"""),45484.0)</f>
        <v>45484</v>
      </c>
      <c r="L3314" s="6" t="str">
        <f>IFERROR(__xludf.DUMMYFUNCTION("""COMPUTED_VALUE"""),"FIP General")</f>
        <v>FIP General</v>
      </c>
      <c r="M3314" s="6" t="str">
        <f>IFERROR(__xludf.DUMMYFUNCTION("""COMPUTED_VALUE"""),"Mochammad Fadhillah Hakim,")</f>
        <v>Mochammad Fadhillah Hakim,</v>
      </c>
      <c r="N3314" s="6" t="str">
        <f>IFERROR(__xludf.DUMMYFUNCTION("""COMPUTED_VALUE"""),"FIP Engineering")</f>
        <v>FIP Engineering</v>
      </c>
      <c r="O3314" s="6" t="str">
        <f>IFERROR(__xludf.DUMMYFUNCTION("""COMPUTED_VALUE"""),"FIP-DOM-ENG-51411-0000000-INA-000000")</f>
        <v>FIP-DOM-ENG-51411-0000000-INA-000000</v>
      </c>
      <c r="P3314" s="6" t="str">
        <f>IFERROR(__xludf.DUMMYFUNCTION("""COMPUTED_VALUE"""),"PO Closed")</f>
        <v>PO Closed</v>
      </c>
      <c r="Q3314" s="6" t="str">
        <f>IFERROR(__xludf.DUMMYFUNCTION("""COMPUTED_VALUE"""),"GL2407040")</f>
        <v>GL2407040</v>
      </c>
      <c r="R3314" s="57">
        <f>IFERROR(__xludf.DUMMYFUNCTION("""COMPUTED_VALUE"""),45482.0)</f>
        <v>45482</v>
      </c>
      <c r="S3314" s="57">
        <f>IFERROR(__xludf.DUMMYFUNCTION("""COMPUTED_VALUE"""),45484.0)</f>
        <v>45484</v>
      </c>
      <c r="T3314" s="57">
        <f>IFERROR(__xludf.DUMMYFUNCTION("""COMPUTED_VALUE"""),45517.0)</f>
        <v>45517</v>
      </c>
    </row>
    <row r="3315">
      <c r="A3315" s="6" t="str">
        <f>IFERROR(__xludf.DUMMYFUNCTION("""COMPUTED_VALUE"""),"121701635-1")</f>
        <v>121701635-1</v>
      </c>
      <c r="B3315" s="6" t="str">
        <f>IFERROR(__xludf.DUMMYFUNCTION("""COMPUTED_VALUE"""),"121701635 - APPROVED")</f>
        <v>121701635 - APPROVED</v>
      </c>
      <c r="C3315" s="6">
        <f>IFERROR(__xludf.DUMMYFUNCTION("""COMPUTED_VALUE"""),1.0)</f>
        <v>1</v>
      </c>
      <c r="D3315" s="6" t="str">
        <f>IFERROR(__xludf.DUMMYFUNCTION("""COMPUTED_VALUE"""),"P-11422-00")</f>
        <v>P-11422-00</v>
      </c>
      <c r="E3315" s="6" t="str">
        <f>IFERROR(__xludf.DUMMYFUNCTION("""COMPUTED_VALUE"""),"Selang Festo Pun-H-10x1.5 / Blue NR : 197386")</f>
        <v>Selang Festo Pun-H-10x1.5 / Blue NR : 197386</v>
      </c>
      <c r="F3315" s="6">
        <f>IFERROR(__xludf.DUMMYFUNCTION("""COMPUTED_VALUE"""),50.0)</f>
        <v>50</v>
      </c>
      <c r="G3315" s="6" t="str">
        <f>IFERROR(__xludf.DUMMYFUNCTION("""COMPUTED_VALUE"""),"Meter")</f>
        <v>Meter</v>
      </c>
      <c r="H3315" s="6" t="str">
        <f>IFERROR(__xludf.DUMMYFUNCTION("""COMPUTED_VALUE"""),"IDR")</f>
        <v>IDR</v>
      </c>
      <c r="I3315" s="6">
        <f>IFERROR(__xludf.DUMMYFUNCTION("""COMPUTED_VALUE"""),29854.0)</f>
        <v>29854</v>
      </c>
      <c r="J3315" s="6">
        <f>IFERROR(__xludf.DUMMYFUNCTION("""COMPUTED_VALUE"""),1492700.0)</f>
        <v>1492700</v>
      </c>
      <c r="K3315" s="57">
        <f>IFERROR(__xludf.DUMMYFUNCTION("""COMPUTED_VALUE"""),45485.0)</f>
        <v>45485</v>
      </c>
      <c r="L3315" s="6" t="str">
        <f>IFERROR(__xludf.DUMMYFUNCTION("""COMPUTED_VALUE"""),"FIP Engineering")</f>
        <v>FIP Engineering</v>
      </c>
      <c r="M3315" s="6" t="str">
        <f>IFERROR(__xludf.DUMMYFUNCTION("""COMPUTED_VALUE"""),"Mochammad Fadhillah Hakim,")</f>
        <v>Mochammad Fadhillah Hakim,</v>
      </c>
      <c r="N3315" s="6" t="str">
        <f>IFERROR(__xludf.DUMMYFUNCTION("""COMPUTED_VALUE"""),"FIP Engineering")</f>
        <v>FIP Engineering</v>
      </c>
      <c r="O3315" s="6" t="str">
        <f>IFERROR(__xludf.DUMMYFUNCTION("""COMPUTED_VALUE"""),"FIP-DOM-000-11304-OS00001-INA-000000")</f>
        <v>FIP-DOM-000-11304-OS00001-INA-000000</v>
      </c>
      <c r="P3315" s="6" t="str">
        <f>IFERROR(__xludf.DUMMYFUNCTION("""COMPUTED_VALUE"""),"PO Closed")</f>
        <v>PO Closed</v>
      </c>
      <c r="Q3315" s="6" t="str">
        <f>IFERROR(__xludf.DUMMYFUNCTION("""COMPUTED_VALUE"""),"GL2407020")</f>
        <v>GL2407020</v>
      </c>
      <c r="R3315" s="57">
        <f>IFERROR(__xludf.DUMMYFUNCTION("""COMPUTED_VALUE"""),45483.0)</f>
        <v>45483</v>
      </c>
      <c r="S3315" s="57">
        <f>IFERROR(__xludf.DUMMYFUNCTION("""COMPUTED_VALUE"""),45484.0)</f>
        <v>45484</v>
      </c>
      <c r="T3315" s="57">
        <f>IFERROR(__xludf.DUMMYFUNCTION("""COMPUTED_VALUE"""),45502.0)</f>
        <v>45502</v>
      </c>
    </row>
    <row r="3316">
      <c r="A3316" s="6" t="str">
        <f>IFERROR(__xludf.DUMMYFUNCTION("""COMPUTED_VALUE"""),"121701635-2")</f>
        <v>121701635-2</v>
      </c>
      <c r="B3316" s="6" t="str">
        <f>IFERROR(__xludf.DUMMYFUNCTION("""COMPUTED_VALUE"""),"121701635 - APPROVED")</f>
        <v>121701635 - APPROVED</v>
      </c>
      <c r="C3316" s="6">
        <f>IFERROR(__xludf.DUMMYFUNCTION("""COMPUTED_VALUE"""),2.0)</f>
        <v>2</v>
      </c>
      <c r="D3316" s="6" t="str">
        <f>IFERROR(__xludf.DUMMYFUNCTION("""COMPUTED_VALUE"""),"P-11424-00")</f>
        <v>P-11424-00</v>
      </c>
      <c r="E3316" s="6" t="str">
        <f>IFERROR(__xludf.DUMMYFUNCTION("""COMPUTED_VALUE"""),"Selang Festo Pun-H-12x2 Blue 2 x 50 m")</f>
        <v>Selang Festo Pun-H-12x2 Blue 2 x 50 m</v>
      </c>
      <c r="F3316" s="6">
        <f>IFERROR(__xludf.DUMMYFUNCTION("""COMPUTED_VALUE"""),100.0)</f>
        <v>100</v>
      </c>
      <c r="G3316" s="6" t="str">
        <f>IFERROR(__xludf.DUMMYFUNCTION("""COMPUTED_VALUE"""),"Meter")</f>
        <v>Meter</v>
      </c>
      <c r="H3316" s="6" t="str">
        <f>IFERROR(__xludf.DUMMYFUNCTION("""COMPUTED_VALUE"""),"IDR")</f>
        <v>IDR</v>
      </c>
      <c r="I3316" s="6">
        <f>IFERROR(__xludf.DUMMYFUNCTION("""COMPUTED_VALUE"""),41561.0)</f>
        <v>41561</v>
      </c>
      <c r="J3316" s="6">
        <f>IFERROR(__xludf.DUMMYFUNCTION("""COMPUTED_VALUE"""),4156100.0)</f>
        <v>4156100</v>
      </c>
      <c r="K3316" s="57">
        <f>IFERROR(__xludf.DUMMYFUNCTION("""COMPUTED_VALUE"""),45485.0)</f>
        <v>45485</v>
      </c>
      <c r="L3316" s="6" t="str">
        <f>IFERROR(__xludf.DUMMYFUNCTION("""COMPUTED_VALUE"""),"FIP Engineering")</f>
        <v>FIP Engineering</v>
      </c>
      <c r="M3316" s="6" t="str">
        <f>IFERROR(__xludf.DUMMYFUNCTION("""COMPUTED_VALUE"""),"Mochammad Fadhillah Hakim,")</f>
        <v>Mochammad Fadhillah Hakim,</v>
      </c>
      <c r="N3316" s="6" t="str">
        <f>IFERROR(__xludf.DUMMYFUNCTION("""COMPUTED_VALUE"""),"FIP Engineering")</f>
        <v>FIP Engineering</v>
      </c>
      <c r="O3316" s="6" t="str">
        <f>IFERROR(__xludf.DUMMYFUNCTION("""COMPUTED_VALUE"""),"FIP-DOM-000-11304-OS00001-INA-000000")</f>
        <v>FIP-DOM-000-11304-OS00001-INA-000000</v>
      </c>
      <c r="P3316" s="6" t="str">
        <f>IFERROR(__xludf.DUMMYFUNCTION("""COMPUTED_VALUE"""),"PO Closed")</f>
        <v>PO Closed</v>
      </c>
      <c r="Q3316" s="6" t="str">
        <f>IFERROR(__xludf.DUMMYFUNCTION("""COMPUTED_VALUE"""),"GL2407020")</f>
        <v>GL2407020</v>
      </c>
      <c r="R3316" s="57">
        <f>IFERROR(__xludf.DUMMYFUNCTION("""COMPUTED_VALUE"""),45483.0)</f>
        <v>45483</v>
      </c>
      <c r="S3316" s="57">
        <f>IFERROR(__xludf.DUMMYFUNCTION("""COMPUTED_VALUE"""),45484.0)</f>
        <v>45484</v>
      </c>
      <c r="T3316" s="57">
        <f>IFERROR(__xludf.DUMMYFUNCTION("""COMPUTED_VALUE"""),45502.0)</f>
        <v>45502</v>
      </c>
    </row>
    <row r="3317">
      <c r="A3317" s="6" t="str">
        <f>IFERROR(__xludf.DUMMYFUNCTION("""COMPUTED_VALUE"""),"121701635-3")</f>
        <v>121701635-3</v>
      </c>
      <c r="B3317" s="6" t="str">
        <f>IFERROR(__xludf.DUMMYFUNCTION("""COMPUTED_VALUE"""),"121701635 - APPROVED")</f>
        <v>121701635 - APPROVED</v>
      </c>
      <c r="C3317" s="6">
        <f>IFERROR(__xludf.DUMMYFUNCTION("""COMPUTED_VALUE"""),3.0)</f>
        <v>3</v>
      </c>
      <c r="D3317" s="6" t="str">
        <f>IFERROR(__xludf.DUMMYFUNCTION("""COMPUTED_VALUE"""),"P-11431-00")</f>
        <v>P-11431-00</v>
      </c>
      <c r="E3317" s="6" t="str">
        <f>IFERROR(__xludf.DUMMYFUNCTION("""COMPUTED_VALUE"""),"Selang Festo Pun-H-8x1.25 mm Blue NR : 197385")</f>
        <v>Selang Festo Pun-H-8x1.25 mm Blue NR : 197385</v>
      </c>
      <c r="F3317" s="6">
        <f>IFERROR(__xludf.DUMMYFUNCTION("""COMPUTED_VALUE"""),50.0)</f>
        <v>50</v>
      </c>
      <c r="G3317" s="6" t="str">
        <f>IFERROR(__xludf.DUMMYFUNCTION("""COMPUTED_VALUE"""),"Meter")</f>
        <v>Meter</v>
      </c>
      <c r="H3317" s="6" t="str">
        <f>IFERROR(__xludf.DUMMYFUNCTION("""COMPUTED_VALUE"""),"IDR")</f>
        <v>IDR</v>
      </c>
      <c r="I3317" s="6">
        <f>IFERROR(__xludf.DUMMYFUNCTION("""COMPUTED_VALUE"""),19903.0)</f>
        <v>19903</v>
      </c>
      <c r="J3317" s="6">
        <f>IFERROR(__xludf.DUMMYFUNCTION("""COMPUTED_VALUE"""),995150.0)</f>
        <v>995150</v>
      </c>
      <c r="K3317" s="57">
        <f>IFERROR(__xludf.DUMMYFUNCTION("""COMPUTED_VALUE"""),45485.0)</f>
        <v>45485</v>
      </c>
      <c r="L3317" s="6" t="str">
        <f>IFERROR(__xludf.DUMMYFUNCTION("""COMPUTED_VALUE"""),"FIP Engineering")</f>
        <v>FIP Engineering</v>
      </c>
      <c r="M3317" s="6" t="str">
        <f>IFERROR(__xludf.DUMMYFUNCTION("""COMPUTED_VALUE"""),"Mochammad Fadhillah Hakim,")</f>
        <v>Mochammad Fadhillah Hakim,</v>
      </c>
      <c r="N3317" s="6" t="str">
        <f>IFERROR(__xludf.DUMMYFUNCTION("""COMPUTED_VALUE"""),"FIP Engineering")</f>
        <v>FIP Engineering</v>
      </c>
      <c r="O3317" s="6" t="str">
        <f>IFERROR(__xludf.DUMMYFUNCTION("""COMPUTED_VALUE"""),"FIP-DOM-000-11304-OS00001-INA-000000")</f>
        <v>FIP-DOM-000-11304-OS00001-INA-000000</v>
      </c>
      <c r="P3317" s="6" t="str">
        <f>IFERROR(__xludf.DUMMYFUNCTION("""COMPUTED_VALUE"""),"PO Closed")</f>
        <v>PO Closed</v>
      </c>
      <c r="Q3317" s="6" t="str">
        <f>IFERROR(__xludf.DUMMYFUNCTION("""COMPUTED_VALUE"""),"GL2407020")</f>
        <v>GL2407020</v>
      </c>
      <c r="R3317" s="57">
        <f>IFERROR(__xludf.DUMMYFUNCTION("""COMPUTED_VALUE"""),45483.0)</f>
        <v>45483</v>
      </c>
      <c r="S3317" s="57">
        <f>IFERROR(__xludf.DUMMYFUNCTION("""COMPUTED_VALUE"""),45484.0)</f>
        <v>45484</v>
      </c>
      <c r="T3317" s="57">
        <f>IFERROR(__xludf.DUMMYFUNCTION("""COMPUTED_VALUE"""),45502.0)</f>
        <v>45502</v>
      </c>
    </row>
    <row r="3318">
      <c r="A3318" s="6" t="str">
        <f>IFERROR(__xludf.DUMMYFUNCTION("""COMPUTED_VALUE"""),"121701635-4")</f>
        <v>121701635-4</v>
      </c>
      <c r="B3318" s="6" t="str">
        <f>IFERROR(__xludf.DUMMYFUNCTION("""COMPUTED_VALUE"""),"121701635 - APPROVED")</f>
        <v>121701635 - APPROVED</v>
      </c>
      <c r="C3318" s="6">
        <f>IFERROR(__xludf.DUMMYFUNCTION("""COMPUTED_VALUE"""),4.0)</f>
        <v>4</v>
      </c>
      <c r="D3318" s="6" t="str">
        <f>IFERROR(__xludf.DUMMYFUNCTION("""COMPUTED_VALUE"""),"P-12258-00")</f>
        <v>P-12258-00</v>
      </c>
      <c r="E3318" s="6" t="str">
        <f>IFERROR(__xludf.DUMMYFUNCTION("""COMPUTED_VALUE"""),"FESTO - Push In Connector QS-10-10")</f>
        <v>FESTO - Push In Connector QS-10-10</v>
      </c>
      <c r="F3318" s="6">
        <f>IFERROR(__xludf.DUMMYFUNCTION("""COMPUTED_VALUE"""),10.0)</f>
        <v>10</v>
      </c>
      <c r="G3318" s="6" t="str">
        <f>IFERROR(__xludf.DUMMYFUNCTION("""COMPUTED_VALUE"""),"Pieces")</f>
        <v>Pieces</v>
      </c>
      <c r="H3318" s="6" t="str">
        <f>IFERROR(__xludf.DUMMYFUNCTION("""COMPUTED_VALUE"""),"IDR")</f>
        <v>IDR</v>
      </c>
      <c r="I3318" s="6">
        <f>IFERROR(__xludf.DUMMYFUNCTION("""COMPUTED_VALUE"""),70566.0)</f>
        <v>70566</v>
      </c>
      <c r="J3318" s="6">
        <f>IFERROR(__xludf.DUMMYFUNCTION("""COMPUTED_VALUE"""),705660.0)</f>
        <v>705660</v>
      </c>
      <c r="K3318" s="57">
        <f>IFERROR(__xludf.DUMMYFUNCTION("""COMPUTED_VALUE"""),45485.0)</f>
        <v>45485</v>
      </c>
      <c r="L3318" s="6" t="str">
        <f>IFERROR(__xludf.DUMMYFUNCTION("""COMPUTED_VALUE"""),"FIP Engineering")</f>
        <v>FIP Engineering</v>
      </c>
      <c r="M3318" s="6" t="str">
        <f>IFERROR(__xludf.DUMMYFUNCTION("""COMPUTED_VALUE"""),"Mochammad Fadhillah Hakim,")</f>
        <v>Mochammad Fadhillah Hakim,</v>
      </c>
      <c r="N3318" s="6" t="str">
        <f>IFERROR(__xludf.DUMMYFUNCTION("""COMPUTED_VALUE"""),"FIP Engineering")</f>
        <v>FIP Engineering</v>
      </c>
      <c r="O3318" s="6" t="str">
        <f>IFERROR(__xludf.DUMMYFUNCTION("""COMPUTED_VALUE"""),"FIP-DOM-000-11304-OS00001-INA-000000")</f>
        <v>FIP-DOM-000-11304-OS00001-INA-000000</v>
      </c>
      <c r="P3318" s="6" t="str">
        <f>IFERROR(__xludf.DUMMYFUNCTION("""COMPUTED_VALUE"""),"PO Closed")</f>
        <v>PO Closed</v>
      </c>
      <c r="Q3318" s="6" t="str">
        <f>IFERROR(__xludf.DUMMYFUNCTION("""COMPUTED_VALUE"""),"GL2408423")</f>
        <v>GL2408423</v>
      </c>
      <c r="R3318" s="57">
        <f>IFERROR(__xludf.DUMMYFUNCTION("""COMPUTED_VALUE"""),45483.0)</f>
        <v>45483</v>
      </c>
      <c r="S3318" s="57">
        <f>IFERROR(__xludf.DUMMYFUNCTION("""COMPUTED_VALUE"""),45484.0)</f>
        <v>45484</v>
      </c>
      <c r="T3318" s="57">
        <f>IFERROR(__xludf.DUMMYFUNCTION("""COMPUTED_VALUE"""),45567.0)</f>
        <v>45567</v>
      </c>
    </row>
    <row r="3319">
      <c r="A3319" s="6" t="str">
        <f>IFERROR(__xludf.DUMMYFUNCTION("""COMPUTED_VALUE"""),"121701636-1")</f>
        <v>121701636-1</v>
      </c>
      <c r="B3319" s="6" t="str">
        <f>IFERROR(__xludf.DUMMYFUNCTION("""COMPUTED_VALUE"""),"121701636 - APPROVED")</f>
        <v>121701636 - APPROVED</v>
      </c>
      <c r="C3319" s="6">
        <f>IFERROR(__xludf.DUMMYFUNCTION("""COMPUTED_VALUE"""),1.0)</f>
        <v>1</v>
      </c>
      <c r="D3319" s="6" t="str">
        <f>IFERROR(__xludf.DUMMYFUNCTION("""COMPUTED_VALUE"""),"Q-10249-00")</f>
        <v>Q-10249-00</v>
      </c>
      <c r="E3319" s="6" t="str">
        <f>IFERROR(__xludf.DUMMYFUNCTION("""COMPUTED_VALUE"""),"Lem Power Glue; ; ;")</f>
        <v>Lem Power Glue; ; ;</v>
      </c>
      <c r="F3319" s="6">
        <f>IFERROR(__xludf.DUMMYFUNCTION("""COMPUTED_VALUE"""),30.0)</f>
        <v>30</v>
      </c>
      <c r="G3319" s="6" t="str">
        <f>IFERROR(__xludf.DUMMYFUNCTION("""COMPUTED_VALUE"""),"Pieces")</f>
        <v>Pieces</v>
      </c>
      <c r="H3319" s="6" t="str">
        <f>IFERROR(__xludf.DUMMYFUNCTION("""COMPUTED_VALUE"""),"IDR")</f>
        <v>IDR</v>
      </c>
      <c r="I3319" s="6">
        <f>IFERROR(__xludf.DUMMYFUNCTION("""COMPUTED_VALUE"""),5000.0)</f>
        <v>5000</v>
      </c>
      <c r="J3319" s="6">
        <f>IFERROR(__xludf.DUMMYFUNCTION("""COMPUTED_VALUE"""),150000.0)</f>
        <v>150000</v>
      </c>
      <c r="K3319" s="57">
        <f>IFERROR(__xludf.DUMMYFUNCTION("""COMPUTED_VALUE"""),45485.0)</f>
        <v>45485</v>
      </c>
      <c r="L3319" s="6" t="str">
        <f>IFERROR(__xludf.DUMMYFUNCTION("""COMPUTED_VALUE"""),"FIP Engineering")</f>
        <v>FIP Engineering</v>
      </c>
      <c r="M3319" s="6" t="str">
        <f>IFERROR(__xludf.DUMMYFUNCTION("""COMPUTED_VALUE"""),"Mochammad Fadhillah Hakim,")</f>
        <v>Mochammad Fadhillah Hakim,</v>
      </c>
      <c r="N3319" s="6" t="str">
        <f>IFERROR(__xludf.DUMMYFUNCTION("""COMPUTED_VALUE"""),"FIP Engineering")</f>
        <v>FIP Engineering</v>
      </c>
      <c r="O3319" s="6" t="str">
        <f>IFERROR(__xludf.DUMMYFUNCTION("""COMPUTED_VALUE"""),"FIP-DOM-000-11304-OS00001-INA-000000")</f>
        <v>FIP-DOM-000-11304-OS00001-INA-000000</v>
      </c>
      <c r="P3319" s="6" t="str">
        <f>IFERROR(__xludf.DUMMYFUNCTION("""COMPUTED_VALUE"""),"PO Closed")</f>
        <v>PO Closed</v>
      </c>
      <c r="Q3319" s="6" t="str">
        <f>IFERROR(__xludf.DUMMYFUNCTION("""COMPUTED_VALUE"""),"GL2408039")</f>
        <v>GL2408039</v>
      </c>
      <c r="R3319" s="57">
        <f>IFERROR(__xludf.DUMMYFUNCTION("""COMPUTED_VALUE"""),45483.0)</f>
        <v>45483</v>
      </c>
      <c r="S3319" s="57">
        <f>IFERROR(__xludf.DUMMYFUNCTION("""COMPUTED_VALUE"""),45483.0)</f>
        <v>45483</v>
      </c>
      <c r="T3319" s="57">
        <f>IFERROR(__xludf.DUMMYFUNCTION("""COMPUTED_VALUE"""),45541.0)</f>
        <v>45541</v>
      </c>
    </row>
    <row r="3320">
      <c r="A3320" s="6" t="str">
        <f>IFERROR(__xludf.DUMMYFUNCTION("""COMPUTED_VALUE"""),"121701636-2")</f>
        <v>121701636-2</v>
      </c>
      <c r="B3320" s="6" t="str">
        <f>IFERROR(__xludf.DUMMYFUNCTION("""COMPUTED_VALUE"""),"121701636 - APPROVED")</f>
        <v>121701636 - APPROVED</v>
      </c>
      <c r="C3320" s="6">
        <f>IFERROR(__xludf.DUMMYFUNCTION("""COMPUTED_VALUE"""),2.0)</f>
        <v>2</v>
      </c>
      <c r="D3320" s="6" t="str">
        <f>IFERROR(__xludf.DUMMYFUNCTION("""COMPUTED_VALUE"""),"Q-60502-00")</f>
        <v>Q-60502-00</v>
      </c>
      <c r="E3320" s="6" t="str">
        <f>IFERROR(__xludf.DUMMYFUNCTION("""COMPUTED_VALUE"""),"Silicone Sealant, Silglaze, Type N10 White, pack size per pcs")</f>
        <v>Silicone Sealant, Silglaze, Type N10 White, pack size per pcs</v>
      </c>
      <c r="F3320" s="6">
        <f>IFERROR(__xludf.DUMMYFUNCTION("""COMPUTED_VALUE"""),10.0)</f>
        <v>10</v>
      </c>
      <c r="G3320" s="6" t="str">
        <f>IFERROR(__xludf.DUMMYFUNCTION("""COMPUTED_VALUE"""),"Pieces")</f>
        <v>Pieces</v>
      </c>
      <c r="H3320" s="6" t="str">
        <f>IFERROR(__xludf.DUMMYFUNCTION("""COMPUTED_VALUE"""),"IDR")</f>
        <v>IDR</v>
      </c>
      <c r="I3320" s="6">
        <f>IFERROR(__xludf.DUMMYFUNCTION("""COMPUTED_VALUE"""),42500.0)</f>
        <v>42500</v>
      </c>
      <c r="J3320" s="6">
        <f>IFERROR(__xludf.DUMMYFUNCTION("""COMPUTED_VALUE"""),425000.0)</f>
        <v>425000</v>
      </c>
      <c r="K3320" s="57">
        <f>IFERROR(__xludf.DUMMYFUNCTION("""COMPUTED_VALUE"""),45485.0)</f>
        <v>45485</v>
      </c>
      <c r="L3320" s="6" t="str">
        <f>IFERROR(__xludf.DUMMYFUNCTION("""COMPUTED_VALUE"""),"FIP Engineering")</f>
        <v>FIP Engineering</v>
      </c>
      <c r="M3320" s="6" t="str">
        <f>IFERROR(__xludf.DUMMYFUNCTION("""COMPUTED_VALUE"""),"Mochammad Fadhillah Hakim,")</f>
        <v>Mochammad Fadhillah Hakim,</v>
      </c>
      <c r="N3320" s="6" t="str">
        <f>IFERROR(__xludf.DUMMYFUNCTION("""COMPUTED_VALUE"""),"FIP Engineering")</f>
        <v>FIP Engineering</v>
      </c>
      <c r="O3320" s="6" t="str">
        <f>IFERROR(__xludf.DUMMYFUNCTION("""COMPUTED_VALUE"""),"FIP-DOM-000-11304-OS00001-INA-000000")</f>
        <v>FIP-DOM-000-11304-OS00001-INA-000000</v>
      </c>
      <c r="P3320" s="6" t="str">
        <f>IFERROR(__xludf.DUMMYFUNCTION("""COMPUTED_VALUE"""),"PO Closed")</f>
        <v>PO Closed</v>
      </c>
      <c r="Q3320" s="6" t="str">
        <f>IFERROR(__xludf.DUMMYFUNCTION("""COMPUTED_VALUE"""),"GL2408015")</f>
        <v>GL2408015</v>
      </c>
      <c r="R3320" s="57">
        <f>IFERROR(__xludf.DUMMYFUNCTION("""COMPUTED_VALUE"""),45483.0)</f>
        <v>45483</v>
      </c>
      <c r="S3320" s="57">
        <f>IFERROR(__xludf.DUMMYFUNCTION("""COMPUTED_VALUE"""),45483.0)</f>
        <v>45483</v>
      </c>
      <c r="T3320" s="57">
        <f>IFERROR(__xludf.DUMMYFUNCTION("""COMPUTED_VALUE"""),45534.0)</f>
        <v>45534</v>
      </c>
    </row>
    <row r="3321">
      <c r="A3321" s="6" t="str">
        <f>IFERROR(__xludf.DUMMYFUNCTION("""COMPUTED_VALUE"""),"121701636-3")</f>
        <v>121701636-3</v>
      </c>
      <c r="B3321" s="6" t="str">
        <f>IFERROR(__xludf.DUMMYFUNCTION("""COMPUTED_VALUE"""),"121701636 - APPROVED")</f>
        <v>121701636 - APPROVED</v>
      </c>
      <c r="C3321" s="6">
        <f>IFERROR(__xludf.DUMMYFUNCTION("""COMPUTED_VALUE"""),3.0)</f>
        <v>3</v>
      </c>
      <c r="D3321" s="6" t="str">
        <f>IFERROR(__xludf.DUMMYFUNCTION("""COMPUTED_VALUE"""),"Q-10128-00")</f>
        <v>Q-10128-00</v>
      </c>
      <c r="E3321" s="6" t="str">
        <f>IFERROR(__xludf.DUMMYFUNCTION("""COMPUTED_VALUE"""),"Thinner Super End/Impala @ 1 Liter")</f>
        <v>Thinner Super End/Impala @ 1 Liter</v>
      </c>
      <c r="F3321" s="6">
        <f>IFERROR(__xludf.DUMMYFUNCTION("""COMPUTED_VALUE"""),4.0)</f>
        <v>4</v>
      </c>
      <c r="G3321" s="6" t="str">
        <f>IFERROR(__xludf.DUMMYFUNCTION("""COMPUTED_VALUE"""),"Pieces")</f>
        <v>Pieces</v>
      </c>
      <c r="H3321" s="6" t="str">
        <f>IFERROR(__xludf.DUMMYFUNCTION("""COMPUTED_VALUE"""),"IDR")</f>
        <v>IDR</v>
      </c>
      <c r="I3321" s="6">
        <f>IFERROR(__xludf.DUMMYFUNCTION("""COMPUTED_VALUE"""),166500.0)</f>
        <v>166500</v>
      </c>
      <c r="J3321" s="6">
        <f>IFERROR(__xludf.DUMMYFUNCTION("""COMPUTED_VALUE"""),666000.0)</f>
        <v>666000</v>
      </c>
      <c r="K3321" s="57">
        <f>IFERROR(__xludf.DUMMYFUNCTION("""COMPUTED_VALUE"""),45485.0)</f>
        <v>45485</v>
      </c>
      <c r="L3321" s="6" t="str">
        <f>IFERROR(__xludf.DUMMYFUNCTION("""COMPUTED_VALUE"""),"FIP Engineering")</f>
        <v>FIP Engineering</v>
      </c>
      <c r="M3321" s="6" t="str">
        <f>IFERROR(__xludf.DUMMYFUNCTION("""COMPUTED_VALUE"""),"Mochammad Fadhillah Hakim,")</f>
        <v>Mochammad Fadhillah Hakim,</v>
      </c>
      <c r="N3321" s="6" t="str">
        <f>IFERROR(__xludf.DUMMYFUNCTION("""COMPUTED_VALUE"""),"FIP Engineering")</f>
        <v>FIP Engineering</v>
      </c>
      <c r="O3321" s="6" t="str">
        <f>IFERROR(__xludf.DUMMYFUNCTION("""COMPUTED_VALUE"""),"FIP-DOM-000-11304-OS00001-INA-000000")</f>
        <v>FIP-DOM-000-11304-OS00001-INA-000000</v>
      </c>
      <c r="P3321" s="6" t="str">
        <f>IFERROR(__xludf.DUMMYFUNCTION("""COMPUTED_VALUE"""),"PO Closed")</f>
        <v>PO Closed</v>
      </c>
      <c r="Q3321" s="6" t="str">
        <f>IFERROR(__xludf.DUMMYFUNCTION("""COMPUTED_VALUE"""),"GL2408018")</f>
        <v>GL2408018</v>
      </c>
      <c r="R3321" s="57">
        <f>IFERROR(__xludf.DUMMYFUNCTION("""COMPUTED_VALUE"""),45483.0)</f>
        <v>45483</v>
      </c>
      <c r="S3321" s="57">
        <f>IFERROR(__xludf.DUMMYFUNCTION("""COMPUTED_VALUE"""),45483.0)</f>
        <v>45483</v>
      </c>
      <c r="T3321" s="57">
        <f>IFERROR(__xludf.DUMMYFUNCTION("""COMPUTED_VALUE"""),45523.0)</f>
        <v>45523</v>
      </c>
    </row>
    <row r="3322">
      <c r="A3322" s="6" t="str">
        <f>IFERROR(__xludf.DUMMYFUNCTION("""COMPUTED_VALUE"""),"121701637-1")</f>
        <v>121701637-1</v>
      </c>
      <c r="B3322" s="6" t="str">
        <f>IFERROR(__xludf.DUMMYFUNCTION("""COMPUTED_VALUE"""),"121701637 - APPROVED")</f>
        <v>121701637 - APPROVED</v>
      </c>
      <c r="C3322" s="6">
        <f>IFERROR(__xludf.DUMMYFUNCTION("""COMPUTED_VALUE"""),1.0)</f>
        <v>1</v>
      </c>
      <c r="D3322" s="6" t="str">
        <f>IFERROR(__xludf.DUMMYFUNCTION("""COMPUTED_VALUE"""),"O-15931-00")</f>
        <v>O-15931-00</v>
      </c>
      <c r="E3322" s="6" t="str">
        <f>IFERROR(__xludf.DUMMYFUNCTION("""COMPUTED_VALUE"""),"Double Tape 3M 1"" Merah - P/N : -  pc")</f>
        <v>Double Tape 3M 1" Merah - P/N : -  pc</v>
      </c>
      <c r="F3322" s="6">
        <f>IFERROR(__xludf.DUMMYFUNCTION("""COMPUTED_VALUE"""),10.0)</f>
        <v>10</v>
      </c>
      <c r="G3322" s="6" t="str">
        <f>IFERROR(__xludf.DUMMYFUNCTION("""COMPUTED_VALUE"""),"Pieces")</f>
        <v>Pieces</v>
      </c>
      <c r="H3322" s="6" t="str">
        <f>IFERROR(__xludf.DUMMYFUNCTION("""COMPUTED_VALUE"""),"IDR")</f>
        <v>IDR</v>
      </c>
      <c r="I3322" s="6">
        <f>IFERROR(__xludf.DUMMYFUNCTION("""COMPUTED_VALUE"""),78500.0)</f>
        <v>78500</v>
      </c>
      <c r="J3322" s="6">
        <f>IFERROR(__xludf.DUMMYFUNCTION("""COMPUTED_VALUE"""),785000.0)</f>
        <v>785000</v>
      </c>
      <c r="K3322" s="57">
        <f>IFERROR(__xludf.DUMMYFUNCTION("""COMPUTED_VALUE"""),45485.0)</f>
        <v>45485</v>
      </c>
      <c r="L3322" s="6" t="str">
        <f>IFERROR(__xludf.DUMMYFUNCTION("""COMPUTED_VALUE"""),"FIP Engineering")</f>
        <v>FIP Engineering</v>
      </c>
      <c r="M3322" s="6" t="str">
        <f>IFERROR(__xludf.DUMMYFUNCTION("""COMPUTED_VALUE"""),"Mochammad Fadhillah Hakim,")</f>
        <v>Mochammad Fadhillah Hakim,</v>
      </c>
      <c r="N3322" s="6" t="str">
        <f>IFERROR(__xludf.DUMMYFUNCTION("""COMPUTED_VALUE"""),"FIP Engineering")</f>
        <v>FIP Engineering</v>
      </c>
      <c r="O3322" s="6" t="str">
        <f>IFERROR(__xludf.DUMMYFUNCTION("""COMPUTED_VALUE"""),"FIP-DOM-000-11304-OS00001-INA-000000")</f>
        <v>FIP-DOM-000-11304-OS00001-INA-000000</v>
      </c>
      <c r="P3322" s="6" t="str">
        <f>IFERROR(__xludf.DUMMYFUNCTION("""COMPUTED_VALUE"""),"PO Closed")</f>
        <v>PO Closed</v>
      </c>
      <c r="Q3322" s="6" t="str">
        <f>IFERROR(__xludf.DUMMYFUNCTION("""COMPUTED_VALUE"""),"GL2408011")</f>
        <v>GL2408011</v>
      </c>
      <c r="R3322" s="57">
        <f>IFERROR(__xludf.DUMMYFUNCTION("""COMPUTED_VALUE"""),45483.0)</f>
        <v>45483</v>
      </c>
      <c r="S3322" s="57">
        <f>IFERROR(__xludf.DUMMYFUNCTION("""COMPUTED_VALUE"""),45483.0)</f>
        <v>45483</v>
      </c>
      <c r="T3322" s="57">
        <f>IFERROR(__xludf.DUMMYFUNCTION("""COMPUTED_VALUE"""),45573.0)</f>
        <v>45573</v>
      </c>
    </row>
    <row r="3323">
      <c r="A3323" s="6" t="str">
        <f>IFERROR(__xludf.DUMMYFUNCTION("""COMPUTED_VALUE"""),"121701637-2")</f>
        <v>121701637-2</v>
      </c>
      <c r="B3323" s="6" t="str">
        <f>IFERROR(__xludf.DUMMYFUNCTION("""COMPUTED_VALUE"""),"121701637 - APPROVED")</f>
        <v>121701637 - APPROVED</v>
      </c>
      <c r="C3323" s="6">
        <f>IFERROR(__xludf.DUMMYFUNCTION("""COMPUTED_VALUE"""),2.0)</f>
        <v>2</v>
      </c>
      <c r="D3323" s="6" t="str">
        <f>IFERROR(__xludf.DUMMYFUNCTION("""COMPUTED_VALUE"""),"P-15852-00")</f>
        <v>P-15852-00</v>
      </c>
      <c r="E3323" s="6" t="str">
        <f>IFERROR(__xludf.DUMMYFUNCTION("""COMPUTED_VALUE"""),"AMPLAS  EAGLE 500")</f>
        <v>AMPLAS  EAGLE 500</v>
      </c>
      <c r="F3323" s="6">
        <f>IFERROR(__xludf.DUMMYFUNCTION("""COMPUTED_VALUE"""),30.0)</f>
        <v>30</v>
      </c>
      <c r="G3323" s="6" t="str">
        <f>IFERROR(__xludf.DUMMYFUNCTION("""COMPUTED_VALUE"""),"Pieces")</f>
        <v>Pieces</v>
      </c>
      <c r="H3323" s="6" t="str">
        <f>IFERROR(__xludf.DUMMYFUNCTION("""COMPUTED_VALUE"""),"IDR")</f>
        <v>IDR</v>
      </c>
      <c r="I3323" s="6">
        <f>IFERROR(__xludf.DUMMYFUNCTION("""COMPUTED_VALUE"""),5800.0)</f>
        <v>5800</v>
      </c>
      <c r="J3323" s="6">
        <f>IFERROR(__xludf.DUMMYFUNCTION("""COMPUTED_VALUE"""),174000.0)</f>
        <v>174000</v>
      </c>
      <c r="K3323" s="57">
        <f>IFERROR(__xludf.DUMMYFUNCTION("""COMPUTED_VALUE"""),45485.0)</f>
        <v>45485</v>
      </c>
      <c r="L3323" s="6" t="str">
        <f>IFERROR(__xludf.DUMMYFUNCTION("""COMPUTED_VALUE"""),"FIP Engineering")</f>
        <v>FIP Engineering</v>
      </c>
      <c r="M3323" s="6" t="str">
        <f>IFERROR(__xludf.DUMMYFUNCTION("""COMPUTED_VALUE"""),"Mochammad Fadhillah Hakim,")</f>
        <v>Mochammad Fadhillah Hakim,</v>
      </c>
      <c r="N3323" s="6" t="str">
        <f>IFERROR(__xludf.DUMMYFUNCTION("""COMPUTED_VALUE"""),"FIP Engineering")</f>
        <v>FIP Engineering</v>
      </c>
      <c r="O3323" s="6" t="str">
        <f>IFERROR(__xludf.DUMMYFUNCTION("""COMPUTED_VALUE"""),"FIP-DOM-000-11304-OS00001-INA-000000")</f>
        <v>FIP-DOM-000-11304-OS00001-INA-000000</v>
      </c>
      <c r="P3323" s="6" t="str">
        <f>IFERROR(__xludf.DUMMYFUNCTION("""COMPUTED_VALUE"""),"PO Closed")</f>
        <v>PO Closed</v>
      </c>
      <c r="Q3323" s="6" t="str">
        <f>IFERROR(__xludf.DUMMYFUNCTION("""COMPUTED_VALUE"""),"GL2408011")</f>
        <v>GL2408011</v>
      </c>
      <c r="R3323" s="57">
        <f>IFERROR(__xludf.DUMMYFUNCTION("""COMPUTED_VALUE"""),45483.0)</f>
        <v>45483</v>
      </c>
      <c r="S3323" s="57">
        <f>IFERROR(__xludf.DUMMYFUNCTION("""COMPUTED_VALUE"""),45483.0)</f>
        <v>45483</v>
      </c>
      <c r="T3323" s="57">
        <f>IFERROR(__xludf.DUMMYFUNCTION("""COMPUTED_VALUE"""),45573.0)</f>
        <v>45573</v>
      </c>
    </row>
    <row r="3324">
      <c r="A3324" s="6" t="str">
        <f>IFERROR(__xludf.DUMMYFUNCTION("""COMPUTED_VALUE"""),"121701638-1")</f>
        <v>121701638-1</v>
      </c>
      <c r="B3324" s="6" t="str">
        <f>IFERROR(__xludf.DUMMYFUNCTION("""COMPUTED_VALUE"""),"121701638 - APPROVED")</f>
        <v>121701638 - APPROVED</v>
      </c>
      <c r="C3324" s="6">
        <f>IFERROR(__xludf.DUMMYFUNCTION("""COMPUTED_VALUE"""),1.0)</f>
        <v>1</v>
      </c>
      <c r="D3324" s="6" t="str">
        <f>IFERROR(__xludf.DUMMYFUNCTION("""COMPUTED_VALUE"""),"S-60050-00")</f>
        <v>S-60050-00</v>
      </c>
      <c r="E3324" s="6" t="str">
        <f>IFERROR(__xludf.DUMMYFUNCTION("""COMPUTED_VALUE"""),"Jasa Perbaikan dan Pemeliharaan Mesin Produksi; ; ;")</f>
        <v>Jasa Perbaikan dan Pemeliharaan Mesin Produksi; ; ;</v>
      </c>
      <c r="F3324" s="6">
        <f>IFERROR(__xludf.DUMMYFUNCTION("""COMPUTED_VALUE"""),1.0)</f>
        <v>1</v>
      </c>
      <c r="G3324" s="6" t="str">
        <f>IFERROR(__xludf.DUMMYFUNCTION("""COMPUTED_VALUE"""),"Pieces")</f>
        <v>Pieces</v>
      </c>
      <c r="H3324" s="6" t="str">
        <f>IFERROR(__xludf.DUMMYFUNCTION("""COMPUTED_VALUE"""),"IDR")</f>
        <v>IDR</v>
      </c>
      <c r="I3324" s="6">
        <f>IFERROR(__xludf.DUMMYFUNCTION("""COMPUTED_VALUE"""),7500000.0)</f>
        <v>7500000</v>
      </c>
      <c r="J3324" s="6">
        <f>IFERROR(__xludf.DUMMYFUNCTION("""COMPUTED_VALUE"""),7500000.0)</f>
        <v>7500000</v>
      </c>
      <c r="K3324" s="57">
        <f>IFERROR(__xludf.DUMMYFUNCTION("""COMPUTED_VALUE"""),45485.0)</f>
        <v>45485</v>
      </c>
      <c r="L3324" s="6" t="str">
        <f>IFERROR(__xludf.DUMMYFUNCTION("""COMPUTED_VALUE"""),"FIP General")</f>
        <v>FIP General</v>
      </c>
      <c r="M3324" s="6" t="str">
        <f>IFERROR(__xludf.DUMMYFUNCTION("""COMPUTED_VALUE"""),"Mochammad Fadhillah Hakim,")</f>
        <v>Mochammad Fadhillah Hakim,</v>
      </c>
      <c r="N3324" s="6" t="str">
        <f>IFERROR(__xludf.DUMMYFUNCTION("""COMPUTED_VALUE"""),"FIP Engineering")</f>
        <v>FIP Engineering</v>
      </c>
      <c r="O3324" s="6" t="str">
        <f>IFERROR(__xludf.DUMMYFUNCTION("""COMPUTED_VALUE"""),"FIP-DOM-ENG-51504-0000000-INA-000000")</f>
        <v>FIP-DOM-ENG-51504-0000000-INA-000000</v>
      </c>
      <c r="P3324" s="6" t="str">
        <f>IFERROR(__xludf.DUMMYFUNCTION("""COMPUTED_VALUE"""),"PO Closed")</f>
        <v>PO Closed</v>
      </c>
      <c r="Q3324" s="6" t="str">
        <f>IFERROR(__xludf.DUMMYFUNCTION("""COMPUTED_VALUE"""),"GL2407035")</f>
        <v>GL2407035</v>
      </c>
      <c r="R3324" s="57">
        <f>IFERROR(__xludf.DUMMYFUNCTION("""COMPUTED_VALUE"""),45483.0)</f>
        <v>45483</v>
      </c>
      <c r="S3324" s="57">
        <f>IFERROR(__xludf.DUMMYFUNCTION("""COMPUTED_VALUE"""),45484.0)</f>
        <v>45484</v>
      </c>
      <c r="T3324" s="57">
        <f>IFERROR(__xludf.DUMMYFUNCTION("""COMPUTED_VALUE"""),45527.0)</f>
        <v>45527</v>
      </c>
    </row>
    <row r="3325">
      <c r="A3325" s="6" t="str">
        <f>IFERROR(__xludf.DUMMYFUNCTION("""COMPUTED_VALUE"""),"121701639-1")</f>
        <v>121701639-1</v>
      </c>
      <c r="B3325" s="6" t="str">
        <f>IFERROR(__xludf.DUMMYFUNCTION("""COMPUTED_VALUE"""),"121701639 - APPROVED")</f>
        <v>121701639 - APPROVED</v>
      </c>
      <c r="C3325" s="6">
        <f>IFERROR(__xludf.DUMMYFUNCTION("""COMPUTED_VALUE"""),1.0)</f>
        <v>1</v>
      </c>
      <c r="D3325" s="6" t="str">
        <f>IFERROR(__xludf.DUMMYFUNCTION("""COMPUTED_VALUE"""),"S-60050-00")</f>
        <v>S-60050-00</v>
      </c>
      <c r="E3325" s="6" t="str">
        <f>IFERROR(__xludf.DUMMYFUNCTION("""COMPUTED_VALUE"""),"Jasa Perbaikan dan Pemeliharaan Mesin Produksi; ; ;")</f>
        <v>Jasa Perbaikan dan Pemeliharaan Mesin Produksi; ; ;</v>
      </c>
      <c r="F3325" s="6">
        <f>IFERROR(__xludf.DUMMYFUNCTION("""COMPUTED_VALUE"""),1.0)</f>
        <v>1</v>
      </c>
      <c r="G3325" s="6" t="str">
        <f>IFERROR(__xludf.DUMMYFUNCTION("""COMPUTED_VALUE"""),"Pieces")</f>
        <v>Pieces</v>
      </c>
      <c r="H3325" s="6" t="str">
        <f>IFERROR(__xludf.DUMMYFUNCTION("""COMPUTED_VALUE"""),"IDR")</f>
        <v>IDR</v>
      </c>
      <c r="I3325" s="6">
        <f>IFERROR(__xludf.DUMMYFUNCTION("""COMPUTED_VALUE"""),4.75E7)</f>
        <v>47500000</v>
      </c>
      <c r="J3325" s="6">
        <f>IFERROR(__xludf.DUMMYFUNCTION("""COMPUTED_VALUE"""),4.75E7)</f>
        <v>47500000</v>
      </c>
      <c r="K3325" s="57">
        <f>IFERROR(__xludf.DUMMYFUNCTION("""COMPUTED_VALUE"""),45485.0)</f>
        <v>45485</v>
      </c>
      <c r="L3325" s="6" t="str">
        <f>IFERROR(__xludf.DUMMYFUNCTION("""COMPUTED_VALUE"""),"FIP General")</f>
        <v>FIP General</v>
      </c>
      <c r="M3325" s="6" t="str">
        <f>IFERROR(__xludf.DUMMYFUNCTION("""COMPUTED_VALUE"""),"Mochammad Fadhillah Hakim,")</f>
        <v>Mochammad Fadhillah Hakim,</v>
      </c>
      <c r="N3325" s="6" t="str">
        <f>IFERROR(__xludf.DUMMYFUNCTION("""COMPUTED_VALUE"""),"FIP Engineering")</f>
        <v>FIP Engineering</v>
      </c>
      <c r="O3325" s="6" t="str">
        <f>IFERROR(__xludf.DUMMYFUNCTION("""COMPUTED_VALUE"""),"FIP-DOM-ENG-51504-0000000-INA-000000")</f>
        <v>FIP-DOM-ENG-51504-0000000-INA-000000</v>
      </c>
      <c r="P3325" s="6" t="str">
        <f>IFERROR(__xludf.DUMMYFUNCTION("""COMPUTED_VALUE"""),"PO Closed")</f>
        <v>PO Closed</v>
      </c>
      <c r="Q3325" s="6"/>
      <c r="R3325" s="57">
        <f>IFERROR(__xludf.DUMMYFUNCTION("""COMPUTED_VALUE"""),45483.0)</f>
        <v>45483</v>
      </c>
      <c r="S3325" s="57">
        <f>IFERROR(__xludf.DUMMYFUNCTION("""COMPUTED_VALUE"""),45485.0)</f>
        <v>45485</v>
      </c>
      <c r="T3325" s="6"/>
    </row>
    <row r="3326">
      <c r="A3326" s="6" t="str">
        <f>IFERROR(__xludf.DUMMYFUNCTION("""COMPUTED_VALUE"""),"121701640-1")</f>
        <v>121701640-1</v>
      </c>
      <c r="B3326" s="6" t="str">
        <f>IFERROR(__xludf.DUMMYFUNCTION("""COMPUTED_VALUE"""),"121701640 - APPROVED")</f>
        <v>121701640 - APPROVED</v>
      </c>
      <c r="C3326" s="6">
        <f>IFERROR(__xludf.DUMMYFUNCTION("""COMPUTED_VALUE"""),1.0)</f>
        <v>1</v>
      </c>
      <c r="D3326" s="6" t="str">
        <f>IFERROR(__xludf.DUMMYFUNCTION("""COMPUTED_VALUE"""),"R-62025-00")</f>
        <v>R-62025-00</v>
      </c>
      <c r="E3326" s="6" t="str">
        <f>IFERROR(__xludf.DUMMYFUNCTION("""COMPUTED_VALUE"""),"UPS; ; ;")</f>
        <v>UPS; ; ;</v>
      </c>
      <c r="F3326" s="6">
        <f>IFERROR(__xludf.DUMMYFUNCTION("""COMPUTED_VALUE"""),1.0)</f>
        <v>1</v>
      </c>
      <c r="G3326" s="6" t="str">
        <f>IFERROR(__xludf.DUMMYFUNCTION("""COMPUTED_VALUE"""),"Unit")</f>
        <v>Unit</v>
      </c>
      <c r="H3326" s="6" t="str">
        <f>IFERROR(__xludf.DUMMYFUNCTION("""COMPUTED_VALUE"""),"IDR")</f>
        <v>IDR</v>
      </c>
      <c r="I3326" s="6">
        <f>IFERROR(__xludf.DUMMYFUNCTION("""COMPUTED_VALUE"""),4.78E7)</f>
        <v>47800000</v>
      </c>
      <c r="J3326" s="6">
        <f>IFERROR(__xludf.DUMMYFUNCTION("""COMPUTED_VALUE"""),4.78E7)</f>
        <v>47800000</v>
      </c>
      <c r="K3326" s="57">
        <f>IFERROR(__xludf.DUMMYFUNCTION("""COMPUTED_VALUE"""),45486.0)</f>
        <v>45486</v>
      </c>
      <c r="L3326" s="6" t="str">
        <f>IFERROR(__xludf.DUMMYFUNCTION("""COMPUTED_VALUE"""),"FIP General")</f>
        <v>FIP General</v>
      </c>
      <c r="M3326" s="6" t="str">
        <f>IFERROR(__xludf.DUMMYFUNCTION("""COMPUTED_VALUE"""),"Mochammad Fadhillah Hakim,")</f>
        <v>Mochammad Fadhillah Hakim,</v>
      </c>
      <c r="N3326" s="6" t="str">
        <f>IFERROR(__xludf.DUMMYFUNCTION("""COMPUTED_VALUE"""),"FIP Engineering")</f>
        <v>FIP Engineering</v>
      </c>
      <c r="O3326" s="6" t="str">
        <f>IFERROR(__xludf.DUMMYFUNCTION("""COMPUTED_VALUE"""),"FIP-DOM-ENG-13408-IT24004-INA-000000")</f>
        <v>FIP-DOM-ENG-13408-IT24004-INA-000000</v>
      </c>
      <c r="P3326" s="6" t="str">
        <f>IFERROR(__xludf.DUMMYFUNCTION("""COMPUTED_VALUE"""),"PO Closed")</f>
        <v>PO Closed</v>
      </c>
      <c r="Q3326" s="6" t="str">
        <f>IFERROR(__xludf.DUMMYFUNCTION("""COMPUTED_VALUE"""),"GL2407022")</f>
        <v>GL2407022</v>
      </c>
      <c r="R3326" s="57">
        <f>IFERROR(__xludf.DUMMYFUNCTION("""COMPUTED_VALUE"""),45484.0)</f>
        <v>45484</v>
      </c>
      <c r="S3326" s="57">
        <f>IFERROR(__xludf.DUMMYFUNCTION("""COMPUTED_VALUE"""),45485.0)</f>
        <v>45485</v>
      </c>
      <c r="T3326" s="57">
        <f>IFERROR(__xludf.DUMMYFUNCTION("""COMPUTED_VALUE"""),45576.0)</f>
        <v>45576</v>
      </c>
    </row>
    <row r="3327">
      <c r="A3327" s="6" t="str">
        <f>IFERROR(__xludf.DUMMYFUNCTION("""COMPUTED_VALUE"""),"121701646-1")</f>
        <v>121701646-1</v>
      </c>
      <c r="B3327" s="6" t="str">
        <f>IFERROR(__xludf.DUMMYFUNCTION("""COMPUTED_VALUE"""),"121701646 - APPROVED")</f>
        <v>121701646 - APPROVED</v>
      </c>
      <c r="C3327" s="6">
        <f>IFERROR(__xludf.DUMMYFUNCTION("""COMPUTED_VALUE"""),1.0)</f>
        <v>1</v>
      </c>
      <c r="D3327" s="6" t="str">
        <f>IFERROR(__xludf.DUMMYFUNCTION("""COMPUTED_VALUE"""),"P-11164-00")</f>
        <v>P-11164-00</v>
      </c>
      <c r="E3327" s="6" t="str">
        <f>IFERROR(__xludf.DUMMYFUNCTION("""COMPUTED_VALUE"""),"Pneumatic  Fitting - QS 1/2-10 / PN : 190646 / Festo")</f>
        <v>Pneumatic  Fitting - QS 1/2-10 / PN : 190646 / Festo</v>
      </c>
      <c r="F3327" s="6">
        <f>IFERROR(__xludf.DUMMYFUNCTION("""COMPUTED_VALUE"""),5.0)</f>
        <v>5</v>
      </c>
      <c r="G3327" s="6" t="str">
        <f>IFERROR(__xludf.DUMMYFUNCTION("""COMPUTED_VALUE"""),"Pieces")</f>
        <v>Pieces</v>
      </c>
      <c r="H3327" s="6" t="str">
        <f>IFERROR(__xludf.DUMMYFUNCTION("""COMPUTED_VALUE"""),"IDR")</f>
        <v>IDR</v>
      </c>
      <c r="I3327" s="6">
        <f>IFERROR(__xludf.DUMMYFUNCTION("""COMPUTED_VALUE"""),85000.0)</f>
        <v>85000</v>
      </c>
      <c r="J3327" s="6">
        <f>IFERROR(__xludf.DUMMYFUNCTION("""COMPUTED_VALUE"""),425000.0)</f>
        <v>425000</v>
      </c>
      <c r="K3327" s="57">
        <f>IFERROR(__xludf.DUMMYFUNCTION("""COMPUTED_VALUE"""),45486.0)</f>
        <v>45486</v>
      </c>
      <c r="L3327" s="6" t="str">
        <f>IFERROR(__xludf.DUMMYFUNCTION("""COMPUTED_VALUE"""),"FIP Engineering")</f>
        <v>FIP Engineering</v>
      </c>
      <c r="M3327" s="6" t="str">
        <f>IFERROR(__xludf.DUMMYFUNCTION("""COMPUTED_VALUE"""),"Mochammad Fadhillah Hakim,")</f>
        <v>Mochammad Fadhillah Hakim,</v>
      </c>
      <c r="N3327" s="6" t="str">
        <f>IFERROR(__xludf.DUMMYFUNCTION("""COMPUTED_VALUE"""),"FIP Engineering")</f>
        <v>FIP Engineering</v>
      </c>
      <c r="O3327" s="6" t="str">
        <f>IFERROR(__xludf.DUMMYFUNCTION("""COMPUTED_VALUE"""),"FIP-DOM-000-11304-OS00001-INA-000000")</f>
        <v>FIP-DOM-000-11304-OS00001-INA-000000</v>
      </c>
      <c r="P3327" s="6" t="str">
        <f>IFERROR(__xludf.DUMMYFUNCTION("""COMPUTED_VALUE"""),"PO Closed")</f>
        <v>PO Closed</v>
      </c>
      <c r="Q3327" s="6" t="str">
        <f>IFERROR(__xludf.DUMMYFUNCTION("""COMPUTED_VALUE"""),"GL2408423")</f>
        <v>GL2408423</v>
      </c>
      <c r="R3327" s="57">
        <f>IFERROR(__xludf.DUMMYFUNCTION("""COMPUTED_VALUE"""),45484.0)</f>
        <v>45484</v>
      </c>
      <c r="S3327" s="57">
        <f>IFERROR(__xludf.DUMMYFUNCTION("""COMPUTED_VALUE"""),45485.0)</f>
        <v>45485</v>
      </c>
      <c r="T3327" s="57">
        <f>IFERROR(__xludf.DUMMYFUNCTION("""COMPUTED_VALUE"""),45567.0)</f>
        <v>45567</v>
      </c>
    </row>
    <row r="3328">
      <c r="A3328" s="6" t="str">
        <f>IFERROR(__xludf.DUMMYFUNCTION("""COMPUTED_VALUE"""),"121701646-2")</f>
        <v>121701646-2</v>
      </c>
      <c r="B3328" s="6" t="str">
        <f>IFERROR(__xludf.DUMMYFUNCTION("""COMPUTED_VALUE"""),"121701646 - APPROVED")</f>
        <v>121701646 - APPROVED</v>
      </c>
      <c r="C3328" s="6">
        <f>IFERROR(__xludf.DUMMYFUNCTION("""COMPUTED_VALUE"""),2.0)</f>
        <v>2</v>
      </c>
      <c r="D3328" s="6" t="str">
        <f>IFERROR(__xludf.DUMMYFUNCTION("""COMPUTED_VALUE"""),"P-11165-00")</f>
        <v>P-11165-00</v>
      </c>
      <c r="E3328" s="6" t="str">
        <f>IFERROR(__xludf.DUMMYFUNCTION("""COMPUTED_VALUE"""),"Pneumatic  Fitting - QS 1/2-12 / PN : 153010 / Festo")</f>
        <v>Pneumatic  Fitting - QS 1/2-12 / PN : 153010 / Festo</v>
      </c>
      <c r="F3328" s="6">
        <f>IFERROR(__xludf.DUMMYFUNCTION("""COMPUTED_VALUE"""),5.0)</f>
        <v>5</v>
      </c>
      <c r="G3328" s="6" t="str">
        <f>IFERROR(__xludf.DUMMYFUNCTION("""COMPUTED_VALUE"""),"Pieces")</f>
        <v>Pieces</v>
      </c>
      <c r="H3328" s="6" t="str">
        <f>IFERROR(__xludf.DUMMYFUNCTION("""COMPUTED_VALUE"""),"IDR")</f>
        <v>IDR</v>
      </c>
      <c r="I3328" s="6">
        <f>IFERROR(__xludf.DUMMYFUNCTION("""COMPUTED_VALUE"""),90000.0)</f>
        <v>90000</v>
      </c>
      <c r="J3328" s="6">
        <f>IFERROR(__xludf.DUMMYFUNCTION("""COMPUTED_VALUE"""),450000.0)</f>
        <v>450000</v>
      </c>
      <c r="K3328" s="57">
        <f>IFERROR(__xludf.DUMMYFUNCTION("""COMPUTED_VALUE"""),45486.0)</f>
        <v>45486</v>
      </c>
      <c r="L3328" s="6" t="str">
        <f>IFERROR(__xludf.DUMMYFUNCTION("""COMPUTED_VALUE"""),"FIP Engineering")</f>
        <v>FIP Engineering</v>
      </c>
      <c r="M3328" s="6" t="str">
        <f>IFERROR(__xludf.DUMMYFUNCTION("""COMPUTED_VALUE"""),"Mochammad Fadhillah Hakim,")</f>
        <v>Mochammad Fadhillah Hakim,</v>
      </c>
      <c r="N3328" s="6" t="str">
        <f>IFERROR(__xludf.DUMMYFUNCTION("""COMPUTED_VALUE"""),"FIP Engineering")</f>
        <v>FIP Engineering</v>
      </c>
      <c r="O3328" s="6" t="str">
        <f>IFERROR(__xludf.DUMMYFUNCTION("""COMPUTED_VALUE"""),"FIP-DOM-000-11304-OS00001-INA-000000")</f>
        <v>FIP-DOM-000-11304-OS00001-INA-000000</v>
      </c>
      <c r="P3328" s="6" t="str">
        <f>IFERROR(__xludf.DUMMYFUNCTION("""COMPUTED_VALUE"""),"PO Closed")</f>
        <v>PO Closed</v>
      </c>
      <c r="Q3328" s="6" t="str">
        <f>IFERROR(__xludf.DUMMYFUNCTION("""COMPUTED_VALUE"""),"GL2408423")</f>
        <v>GL2408423</v>
      </c>
      <c r="R3328" s="57">
        <f>IFERROR(__xludf.DUMMYFUNCTION("""COMPUTED_VALUE"""),45484.0)</f>
        <v>45484</v>
      </c>
      <c r="S3328" s="57">
        <f>IFERROR(__xludf.DUMMYFUNCTION("""COMPUTED_VALUE"""),45485.0)</f>
        <v>45485</v>
      </c>
      <c r="T3328" s="57">
        <f>IFERROR(__xludf.DUMMYFUNCTION("""COMPUTED_VALUE"""),45567.0)</f>
        <v>45567</v>
      </c>
    </row>
    <row r="3329">
      <c r="A3329" s="6" t="str">
        <f>IFERROR(__xludf.DUMMYFUNCTION("""COMPUTED_VALUE"""),"121701646-3")</f>
        <v>121701646-3</v>
      </c>
      <c r="B3329" s="6" t="str">
        <f>IFERROR(__xludf.DUMMYFUNCTION("""COMPUTED_VALUE"""),"121701646 - APPROVED")</f>
        <v>121701646 - APPROVED</v>
      </c>
      <c r="C3329" s="6">
        <f>IFERROR(__xludf.DUMMYFUNCTION("""COMPUTED_VALUE"""),3.0)</f>
        <v>3</v>
      </c>
      <c r="D3329" s="6" t="str">
        <f>IFERROR(__xludf.DUMMYFUNCTION("""COMPUTED_VALUE"""),"P-11173-00")</f>
        <v>P-11173-00</v>
      </c>
      <c r="E3329" s="6" t="str">
        <f>IFERROR(__xludf.DUMMYFUNCTION("""COMPUTED_VALUE"""),"Pneumatic  Fitting - QS 10 / Festo")</f>
        <v>Pneumatic  Fitting - QS 10 / Festo</v>
      </c>
      <c r="F3329" s="6">
        <f>IFERROR(__xludf.DUMMYFUNCTION("""COMPUTED_VALUE"""),5.0)</f>
        <v>5</v>
      </c>
      <c r="G3329" s="6" t="str">
        <f>IFERROR(__xludf.DUMMYFUNCTION("""COMPUTED_VALUE"""),"Pieces")</f>
        <v>Pieces</v>
      </c>
      <c r="H3329" s="6" t="str">
        <f>IFERROR(__xludf.DUMMYFUNCTION("""COMPUTED_VALUE"""),"IDR")</f>
        <v>IDR</v>
      </c>
      <c r="I3329" s="6">
        <f>IFERROR(__xludf.DUMMYFUNCTION("""COMPUTED_VALUE"""),90000.0)</f>
        <v>90000</v>
      </c>
      <c r="J3329" s="6">
        <f>IFERROR(__xludf.DUMMYFUNCTION("""COMPUTED_VALUE"""),450000.0)</f>
        <v>450000</v>
      </c>
      <c r="K3329" s="57">
        <f>IFERROR(__xludf.DUMMYFUNCTION("""COMPUTED_VALUE"""),45486.0)</f>
        <v>45486</v>
      </c>
      <c r="L3329" s="6" t="str">
        <f>IFERROR(__xludf.DUMMYFUNCTION("""COMPUTED_VALUE"""),"FIP Engineering")</f>
        <v>FIP Engineering</v>
      </c>
      <c r="M3329" s="6" t="str">
        <f>IFERROR(__xludf.DUMMYFUNCTION("""COMPUTED_VALUE"""),"Mochammad Fadhillah Hakim,")</f>
        <v>Mochammad Fadhillah Hakim,</v>
      </c>
      <c r="N3329" s="6" t="str">
        <f>IFERROR(__xludf.DUMMYFUNCTION("""COMPUTED_VALUE"""),"FIP Engineering")</f>
        <v>FIP Engineering</v>
      </c>
      <c r="O3329" s="6" t="str">
        <f>IFERROR(__xludf.DUMMYFUNCTION("""COMPUTED_VALUE"""),"FIP-DOM-000-11304-OS00001-INA-000000")</f>
        <v>FIP-DOM-000-11304-OS00001-INA-000000</v>
      </c>
      <c r="P3329" s="6" t="str">
        <f>IFERROR(__xludf.DUMMYFUNCTION("""COMPUTED_VALUE"""),"PO Closed")</f>
        <v>PO Closed</v>
      </c>
      <c r="Q3329" s="6" t="str">
        <f>IFERROR(__xludf.DUMMYFUNCTION("""COMPUTED_VALUE"""),"GL2408423")</f>
        <v>GL2408423</v>
      </c>
      <c r="R3329" s="57">
        <f>IFERROR(__xludf.DUMMYFUNCTION("""COMPUTED_VALUE"""),45484.0)</f>
        <v>45484</v>
      </c>
      <c r="S3329" s="57">
        <f>IFERROR(__xludf.DUMMYFUNCTION("""COMPUTED_VALUE"""),45485.0)</f>
        <v>45485</v>
      </c>
      <c r="T3329" s="57">
        <f>IFERROR(__xludf.DUMMYFUNCTION("""COMPUTED_VALUE"""),45567.0)</f>
        <v>45567</v>
      </c>
    </row>
    <row r="3330">
      <c r="A3330" s="6" t="str">
        <f>IFERROR(__xludf.DUMMYFUNCTION("""COMPUTED_VALUE"""),"121701646-4")</f>
        <v>121701646-4</v>
      </c>
      <c r="B3330" s="6" t="str">
        <f>IFERROR(__xludf.DUMMYFUNCTION("""COMPUTED_VALUE"""),"121701646 - APPROVED")</f>
        <v>121701646 - APPROVED</v>
      </c>
      <c r="C3330" s="6">
        <f>IFERROR(__xludf.DUMMYFUNCTION("""COMPUTED_VALUE"""),4.0)</f>
        <v>4</v>
      </c>
      <c r="D3330" s="6" t="str">
        <f>IFERROR(__xludf.DUMMYFUNCTION("""COMPUTED_VALUE"""),"P-11175-00")</f>
        <v>P-11175-00</v>
      </c>
      <c r="E3330" s="6" t="str">
        <f>IFERROR(__xludf.DUMMYFUNCTION("""COMPUTED_VALUE"""),"Pneumatic  Fitting - QS 10-8 / PN : 153039 / Festo")</f>
        <v>Pneumatic  Fitting - QS 10-8 / PN : 153039 / Festo</v>
      </c>
      <c r="F3330" s="6">
        <f>IFERROR(__xludf.DUMMYFUNCTION("""COMPUTED_VALUE"""),5.0)</f>
        <v>5</v>
      </c>
      <c r="G3330" s="6" t="str">
        <f>IFERROR(__xludf.DUMMYFUNCTION("""COMPUTED_VALUE"""),"Pieces")</f>
        <v>Pieces</v>
      </c>
      <c r="H3330" s="6" t="str">
        <f>IFERROR(__xludf.DUMMYFUNCTION("""COMPUTED_VALUE"""),"IDR")</f>
        <v>IDR</v>
      </c>
      <c r="I3330" s="6">
        <f>IFERROR(__xludf.DUMMYFUNCTION("""COMPUTED_VALUE"""),63220.0)</f>
        <v>63220</v>
      </c>
      <c r="J3330" s="6">
        <f>IFERROR(__xludf.DUMMYFUNCTION("""COMPUTED_VALUE"""),316100.0)</f>
        <v>316100</v>
      </c>
      <c r="K3330" s="57">
        <f>IFERROR(__xludf.DUMMYFUNCTION("""COMPUTED_VALUE"""),45486.0)</f>
        <v>45486</v>
      </c>
      <c r="L3330" s="6" t="str">
        <f>IFERROR(__xludf.DUMMYFUNCTION("""COMPUTED_VALUE"""),"FIP Engineering")</f>
        <v>FIP Engineering</v>
      </c>
      <c r="M3330" s="6" t="str">
        <f>IFERROR(__xludf.DUMMYFUNCTION("""COMPUTED_VALUE"""),"Mochammad Fadhillah Hakim,")</f>
        <v>Mochammad Fadhillah Hakim,</v>
      </c>
      <c r="N3330" s="6" t="str">
        <f>IFERROR(__xludf.DUMMYFUNCTION("""COMPUTED_VALUE"""),"FIP Engineering")</f>
        <v>FIP Engineering</v>
      </c>
      <c r="O3330" s="6" t="str">
        <f>IFERROR(__xludf.DUMMYFUNCTION("""COMPUTED_VALUE"""),"FIP-DOM-000-11304-OS00001-INA-000000")</f>
        <v>FIP-DOM-000-11304-OS00001-INA-000000</v>
      </c>
      <c r="P3330" s="6" t="str">
        <f>IFERROR(__xludf.DUMMYFUNCTION("""COMPUTED_VALUE"""),"PO Closed")</f>
        <v>PO Closed</v>
      </c>
      <c r="Q3330" s="6" t="str">
        <f>IFERROR(__xludf.DUMMYFUNCTION("""COMPUTED_VALUE"""),"GL2408423")</f>
        <v>GL2408423</v>
      </c>
      <c r="R3330" s="57">
        <f>IFERROR(__xludf.DUMMYFUNCTION("""COMPUTED_VALUE"""),45484.0)</f>
        <v>45484</v>
      </c>
      <c r="S3330" s="57">
        <f>IFERROR(__xludf.DUMMYFUNCTION("""COMPUTED_VALUE"""),45485.0)</f>
        <v>45485</v>
      </c>
      <c r="T3330" s="57">
        <f>IFERROR(__xludf.DUMMYFUNCTION("""COMPUTED_VALUE"""),45567.0)</f>
        <v>45567</v>
      </c>
    </row>
    <row r="3331">
      <c r="A3331" s="6" t="str">
        <f>IFERROR(__xludf.DUMMYFUNCTION("""COMPUTED_VALUE"""),"121701646-5")</f>
        <v>121701646-5</v>
      </c>
      <c r="B3331" s="6" t="str">
        <f>IFERROR(__xludf.DUMMYFUNCTION("""COMPUTED_VALUE"""),"121701646 - APPROVED")</f>
        <v>121701646 - APPROVED</v>
      </c>
      <c r="C3331" s="6">
        <f>IFERROR(__xludf.DUMMYFUNCTION("""COMPUTED_VALUE"""),5.0)</f>
        <v>5</v>
      </c>
      <c r="D3331" s="6" t="str">
        <f>IFERROR(__xludf.DUMMYFUNCTION("""COMPUTED_VALUE"""),"P-11176-00")</f>
        <v>P-11176-00</v>
      </c>
      <c r="E3331" s="6" t="str">
        <f>IFERROR(__xludf.DUMMYFUNCTION("""COMPUTED_VALUE"""),"Pneumatic  Fitting - QS 12 / PN : 153035 / Festo")</f>
        <v>Pneumatic  Fitting - QS 12 / PN : 153035 / Festo</v>
      </c>
      <c r="F3331" s="6">
        <f>IFERROR(__xludf.DUMMYFUNCTION("""COMPUTED_VALUE"""),5.0)</f>
        <v>5</v>
      </c>
      <c r="G3331" s="6" t="str">
        <f>IFERROR(__xludf.DUMMYFUNCTION("""COMPUTED_VALUE"""),"Pieces")</f>
        <v>Pieces</v>
      </c>
      <c r="H3331" s="6" t="str">
        <f>IFERROR(__xludf.DUMMYFUNCTION("""COMPUTED_VALUE"""),"IDR")</f>
        <v>IDR</v>
      </c>
      <c r="I3331" s="6">
        <f>IFERROR(__xludf.DUMMYFUNCTION("""COMPUTED_VALUE"""),100000.0)</f>
        <v>100000</v>
      </c>
      <c r="J3331" s="6">
        <f>IFERROR(__xludf.DUMMYFUNCTION("""COMPUTED_VALUE"""),500000.0)</f>
        <v>500000</v>
      </c>
      <c r="K3331" s="57">
        <f>IFERROR(__xludf.DUMMYFUNCTION("""COMPUTED_VALUE"""),45486.0)</f>
        <v>45486</v>
      </c>
      <c r="L3331" s="6" t="str">
        <f>IFERROR(__xludf.DUMMYFUNCTION("""COMPUTED_VALUE"""),"FIP Engineering")</f>
        <v>FIP Engineering</v>
      </c>
      <c r="M3331" s="6" t="str">
        <f>IFERROR(__xludf.DUMMYFUNCTION("""COMPUTED_VALUE"""),"Mochammad Fadhillah Hakim,")</f>
        <v>Mochammad Fadhillah Hakim,</v>
      </c>
      <c r="N3331" s="6" t="str">
        <f>IFERROR(__xludf.DUMMYFUNCTION("""COMPUTED_VALUE"""),"FIP Engineering")</f>
        <v>FIP Engineering</v>
      </c>
      <c r="O3331" s="6" t="str">
        <f>IFERROR(__xludf.DUMMYFUNCTION("""COMPUTED_VALUE"""),"FIP-DOM-000-11304-OS00001-INA-000000")</f>
        <v>FIP-DOM-000-11304-OS00001-INA-000000</v>
      </c>
      <c r="P3331" s="6" t="str">
        <f>IFERROR(__xludf.DUMMYFUNCTION("""COMPUTED_VALUE"""),"PO Closed")</f>
        <v>PO Closed</v>
      </c>
      <c r="Q3331" s="6" t="str">
        <f>IFERROR(__xludf.DUMMYFUNCTION("""COMPUTED_VALUE"""),"GL2408423")</f>
        <v>GL2408423</v>
      </c>
      <c r="R3331" s="57">
        <f>IFERROR(__xludf.DUMMYFUNCTION("""COMPUTED_VALUE"""),45484.0)</f>
        <v>45484</v>
      </c>
      <c r="S3331" s="57">
        <f>IFERROR(__xludf.DUMMYFUNCTION("""COMPUTED_VALUE"""),45485.0)</f>
        <v>45485</v>
      </c>
      <c r="T3331" s="57">
        <f>IFERROR(__xludf.DUMMYFUNCTION("""COMPUTED_VALUE"""),45567.0)</f>
        <v>45567</v>
      </c>
    </row>
    <row r="3332">
      <c r="A3332" s="6" t="str">
        <f>IFERROR(__xludf.DUMMYFUNCTION("""COMPUTED_VALUE"""),"121701646-6")</f>
        <v>121701646-6</v>
      </c>
      <c r="B3332" s="6" t="str">
        <f>IFERROR(__xludf.DUMMYFUNCTION("""COMPUTED_VALUE"""),"121701646 - APPROVED")</f>
        <v>121701646 - APPROVED</v>
      </c>
      <c r="C3332" s="6">
        <f>IFERROR(__xludf.DUMMYFUNCTION("""COMPUTED_VALUE"""),6.0)</f>
        <v>6</v>
      </c>
      <c r="D3332" s="6" t="str">
        <f>IFERROR(__xludf.DUMMYFUNCTION("""COMPUTED_VALUE"""),"P-11182-00")</f>
        <v>P-11182-00</v>
      </c>
      <c r="E3332" s="6" t="str">
        <f>IFERROR(__xludf.DUMMYFUNCTION("""COMPUTED_VALUE"""),"Pneumatic  Fitting - QS 6 / Festo")</f>
        <v>Pneumatic  Fitting - QS 6 / Festo</v>
      </c>
      <c r="F3332" s="6">
        <f>IFERROR(__xludf.DUMMYFUNCTION("""COMPUTED_VALUE"""),5.0)</f>
        <v>5</v>
      </c>
      <c r="G3332" s="6" t="str">
        <f>IFERROR(__xludf.DUMMYFUNCTION("""COMPUTED_VALUE"""),"Pieces")</f>
        <v>Pieces</v>
      </c>
      <c r="H3332" s="6" t="str">
        <f>IFERROR(__xludf.DUMMYFUNCTION("""COMPUTED_VALUE"""),"IDR")</f>
        <v>IDR</v>
      </c>
      <c r="I3332" s="6">
        <f>IFERROR(__xludf.DUMMYFUNCTION("""COMPUTED_VALUE"""),60000.0)</f>
        <v>60000</v>
      </c>
      <c r="J3332" s="6">
        <f>IFERROR(__xludf.DUMMYFUNCTION("""COMPUTED_VALUE"""),300000.0)</f>
        <v>300000</v>
      </c>
      <c r="K3332" s="57">
        <f>IFERROR(__xludf.DUMMYFUNCTION("""COMPUTED_VALUE"""),45486.0)</f>
        <v>45486</v>
      </c>
      <c r="L3332" s="6" t="str">
        <f>IFERROR(__xludf.DUMMYFUNCTION("""COMPUTED_VALUE"""),"FIP Engineering")</f>
        <v>FIP Engineering</v>
      </c>
      <c r="M3332" s="6" t="str">
        <f>IFERROR(__xludf.DUMMYFUNCTION("""COMPUTED_VALUE"""),"Mochammad Fadhillah Hakim,")</f>
        <v>Mochammad Fadhillah Hakim,</v>
      </c>
      <c r="N3332" s="6" t="str">
        <f>IFERROR(__xludf.DUMMYFUNCTION("""COMPUTED_VALUE"""),"FIP Engineering")</f>
        <v>FIP Engineering</v>
      </c>
      <c r="O3332" s="6" t="str">
        <f>IFERROR(__xludf.DUMMYFUNCTION("""COMPUTED_VALUE"""),"FIP-DOM-000-11304-OS00001-INA-000000")</f>
        <v>FIP-DOM-000-11304-OS00001-INA-000000</v>
      </c>
      <c r="P3332" s="6" t="str">
        <f>IFERROR(__xludf.DUMMYFUNCTION("""COMPUTED_VALUE"""),"PO Closed")</f>
        <v>PO Closed</v>
      </c>
      <c r="Q3332" s="6" t="str">
        <f>IFERROR(__xludf.DUMMYFUNCTION("""COMPUTED_VALUE"""),"GL2408423")</f>
        <v>GL2408423</v>
      </c>
      <c r="R3332" s="57">
        <f>IFERROR(__xludf.DUMMYFUNCTION("""COMPUTED_VALUE"""),45484.0)</f>
        <v>45484</v>
      </c>
      <c r="S3332" s="57">
        <f>IFERROR(__xludf.DUMMYFUNCTION("""COMPUTED_VALUE"""),45485.0)</f>
        <v>45485</v>
      </c>
      <c r="T3332" s="57">
        <f>IFERROR(__xludf.DUMMYFUNCTION("""COMPUTED_VALUE"""),45567.0)</f>
        <v>45567</v>
      </c>
    </row>
    <row r="3333">
      <c r="A3333" s="6" t="str">
        <f>IFERROR(__xludf.DUMMYFUNCTION("""COMPUTED_VALUE"""),"121701646-7")</f>
        <v>121701646-7</v>
      </c>
      <c r="B3333" s="6" t="str">
        <f>IFERROR(__xludf.DUMMYFUNCTION("""COMPUTED_VALUE"""),"121701646 - APPROVED")</f>
        <v>121701646 - APPROVED</v>
      </c>
      <c r="C3333" s="6">
        <f>IFERROR(__xludf.DUMMYFUNCTION("""COMPUTED_VALUE"""),7.0)</f>
        <v>7</v>
      </c>
      <c r="D3333" s="6" t="str">
        <f>IFERROR(__xludf.DUMMYFUNCTION("""COMPUTED_VALUE"""),"P-11184-00")</f>
        <v>P-11184-00</v>
      </c>
      <c r="E3333" s="6" t="str">
        <f>IFERROR(__xludf.DUMMYFUNCTION("""COMPUTED_VALUE"""),"Pneumatic  Fitting - QS 8 / PN : 153033 / Festo")</f>
        <v>Pneumatic  Fitting - QS 8 / PN : 153033 / Festo</v>
      </c>
      <c r="F3333" s="6">
        <f>IFERROR(__xludf.DUMMYFUNCTION("""COMPUTED_VALUE"""),5.0)</f>
        <v>5</v>
      </c>
      <c r="G3333" s="6" t="str">
        <f>IFERROR(__xludf.DUMMYFUNCTION("""COMPUTED_VALUE"""),"Pieces")</f>
        <v>Pieces</v>
      </c>
      <c r="H3333" s="6" t="str">
        <f>IFERROR(__xludf.DUMMYFUNCTION("""COMPUTED_VALUE"""),"IDR")</f>
        <v>IDR</v>
      </c>
      <c r="I3333" s="6">
        <f>IFERROR(__xludf.DUMMYFUNCTION("""COMPUTED_VALUE"""),60000.0)</f>
        <v>60000</v>
      </c>
      <c r="J3333" s="6">
        <f>IFERROR(__xludf.DUMMYFUNCTION("""COMPUTED_VALUE"""),300000.0)</f>
        <v>300000</v>
      </c>
      <c r="K3333" s="57">
        <f>IFERROR(__xludf.DUMMYFUNCTION("""COMPUTED_VALUE"""),45486.0)</f>
        <v>45486</v>
      </c>
      <c r="L3333" s="6" t="str">
        <f>IFERROR(__xludf.DUMMYFUNCTION("""COMPUTED_VALUE"""),"FIP Engineering")</f>
        <v>FIP Engineering</v>
      </c>
      <c r="M3333" s="6" t="str">
        <f>IFERROR(__xludf.DUMMYFUNCTION("""COMPUTED_VALUE"""),"Mochammad Fadhillah Hakim,")</f>
        <v>Mochammad Fadhillah Hakim,</v>
      </c>
      <c r="N3333" s="6" t="str">
        <f>IFERROR(__xludf.DUMMYFUNCTION("""COMPUTED_VALUE"""),"FIP Engineering")</f>
        <v>FIP Engineering</v>
      </c>
      <c r="O3333" s="6" t="str">
        <f>IFERROR(__xludf.DUMMYFUNCTION("""COMPUTED_VALUE"""),"FIP-DOM-000-11304-OS00001-INA-000000")</f>
        <v>FIP-DOM-000-11304-OS00001-INA-000000</v>
      </c>
      <c r="P3333" s="6" t="str">
        <f>IFERROR(__xludf.DUMMYFUNCTION("""COMPUTED_VALUE"""),"PO Closed")</f>
        <v>PO Closed</v>
      </c>
      <c r="Q3333" s="6" t="str">
        <f>IFERROR(__xludf.DUMMYFUNCTION("""COMPUTED_VALUE"""),"GL2408423")</f>
        <v>GL2408423</v>
      </c>
      <c r="R3333" s="57">
        <f>IFERROR(__xludf.DUMMYFUNCTION("""COMPUTED_VALUE"""),45484.0)</f>
        <v>45484</v>
      </c>
      <c r="S3333" s="57">
        <f>IFERROR(__xludf.DUMMYFUNCTION("""COMPUTED_VALUE"""),45485.0)</f>
        <v>45485</v>
      </c>
      <c r="T3333" s="57">
        <f>IFERROR(__xludf.DUMMYFUNCTION("""COMPUTED_VALUE"""),45567.0)</f>
        <v>45567</v>
      </c>
    </row>
    <row r="3334">
      <c r="A3334" s="6" t="str">
        <f>IFERROR(__xludf.DUMMYFUNCTION("""COMPUTED_VALUE"""),"121701646-8")</f>
        <v>121701646-8</v>
      </c>
      <c r="B3334" s="6" t="str">
        <f>IFERROR(__xludf.DUMMYFUNCTION("""COMPUTED_VALUE"""),"121701646 - APPROVED")</f>
        <v>121701646 - APPROVED</v>
      </c>
      <c r="C3334" s="6">
        <f>IFERROR(__xludf.DUMMYFUNCTION("""COMPUTED_VALUE"""),8.0)</f>
        <v>8</v>
      </c>
      <c r="D3334" s="6" t="str">
        <f>IFERROR(__xludf.DUMMYFUNCTION("""COMPUTED_VALUE"""),"P-11185-00")</f>
        <v>P-11185-00</v>
      </c>
      <c r="E3334" s="6" t="str">
        <f>IFERROR(__xludf.DUMMYFUNCTION("""COMPUTED_VALUE"""),"Pneumatic  Fitting - QS 8-6 / Festo")</f>
        <v>Pneumatic  Fitting - QS 8-6 / Festo</v>
      </c>
      <c r="F3334" s="6">
        <f>IFERROR(__xludf.DUMMYFUNCTION("""COMPUTED_VALUE"""),5.0)</f>
        <v>5</v>
      </c>
      <c r="G3334" s="6" t="str">
        <f>IFERROR(__xludf.DUMMYFUNCTION("""COMPUTED_VALUE"""),"Pieces")</f>
        <v>Pieces</v>
      </c>
      <c r="H3334" s="6" t="str">
        <f>IFERROR(__xludf.DUMMYFUNCTION("""COMPUTED_VALUE"""),"IDR")</f>
        <v>IDR</v>
      </c>
      <c r="I3334" s="6">
        <f>IFERROR(__xludf.DUMMYFUNCTION("""COMPUTED_VALUE"""),47707.0)</f>
        <v>47707</v>
      </c>
      <c r="J3334" s="6">
        <f>IFERROR(__xludf.DUMMYFUNCTION("""COMPUTED_VALUE"""),238535.0)</f>
        <v>238535</v>
      </c>
      <c r="K3334" s="57">
        <f>IFERROR(__xludf.DUMMYFUNCTION("""COMPUTED_VALUE"""),45486.0)</f>
        <v>45486</v>
      </c>
      <c r="L3334" s="6" t="str">
        <f>IFERROR(__xludf.DUMMYFUNCTION("""COMPUTED_VALUE"""),"FIP Engineering")</f>
        <v>FIP Engineering</v>
      </c>
      <c r="M3334" s="6" t="str">
        <f>IFERROR(__xludf.DUMMYFUNCTION("""COMPUTED_VALUE"""),"Mochammad Fadhillah Hakim,")</f>
        <v>Mochammad Fadhillah Hakim,</v>
      </c>
      <c r="N3334" s="6" t="str">
        <f>IFERROR(__xludf.DUMMYFUNCTION("""COMPUTED_VALUE"""),"FIP Engineering")</f>
        <v>FIP Engineering</v>
      </c>
      <c r="O3334" s="6" t="str">
        <f>IFERROR(__xludf.DUMMYFUNCTION("""COMPUTED_VALUE"""),"FIP-DOM-000-11304-OS00001-INA-000000")</f>
        <v>FIP-DOM-000-11304-OS00001-INA-000000</v>
      </c>
      <c r="P3334" s="6" t="str">
        <f>IFERROR(__xludf.DUMMYFUNCTION("""COMPUTED_VALUE"""),"PO Closed")</f>
        <v>PO Closed</v>
      </c>
      <c r="Q3334" s="6" t="str">
        <f>IFERROR(__xludf.DUMMYFUNCTION("""COMPUTED_VALUE"""),"GL2408423")</f>
        <v>GL2408423</v>
      </c>
      <c r="R3334" s="57">
        <f>IFERROR(__xludf.DUMMYFUNCTION("""COMPUTED_VALUE"""),45484.0)</f>
        <v>45484</v>
      </c>
      <c r="S3334" s="57">
        <f>IFERROR(__xludf.DUMMYFUNCTION("""COMPUTED_VALUE"""),45485.0)</f>
        <v>45485</v>
      </c>
      <c r="T3334" s="57">
        <f>IFERROR(__xludf.DUMMYFUNCTION("""COMPUTED_VALUE"""),45567.0)</f>
        <v>45567</v>
      </c>
    </row>
    <row r="3335">
      <c r="A3335" s="6" t="str">
        <f>IFERROR(__xludf.DUMMYFUNCTION("""COMPUTED_VALUE"""),"121701646-9")</f>
        <v>121701646-9</v>
      </c>
      <c r="B3335" s="6" t="str">
        <f>IFERROR(__xludf.DUMMYFUNCTION("""COMPUTED_VALUE"""),"121701646 - APPROVED")</f>
        <v>121701646 - APPROVED</v>
      </c>
      <c r="C3335" s="6">
        <f>IFERROR(__xludf.DUMMYFUNCTION("""COMPUTED_VALUE"""),9.0)</f>
        <v>9</v>
      </c>
      <c r="D3335" s="6" t="str">
        <f>IFERROR(__xludf.DUMMYFUNCTION("""COMPUTED_VALUE"""),"O-13508-00")</f>
        <v>O-13508-00</v>
      </c>
      <c r="E3335" s="6" t="str">
        <f>IFERROR(__xludf.DUMMYFUNCTION("""COMPUTED_VALUE"""),"Pneumatic Fitting - QS 8-6 FESTO P/N : -  pc")</f>
        <v>Pneumatic Fitting - QS 8-6 FESTO P/N : -  pc</v>
      </c>
      <c r="F3335" s="6">
        <f>IFERROR(__xludf.DUMMYFUNCTION("""COMPUTED_VALUE"""),5.0)</f>
        <v>5</v>
      </c>
      <c r="G3335" s="6" t="str">
        <f>IFERROR(__xludf.DUMMYFUNCTION("""COMPUTED_VALUE"""),"Pieces")</f>
        <v>Pieces</v>
      </c>
      <c r="H3335" s="6" t="str">
        <f>IFERROR(__xludf.DUMMYFUNCTION("""COMPUTED_VALUE"""),"IDR")</f>
        <v>IDR</v>
      </c>
      <c r="I3335" s="6">
        <f>IFERROR(__xludf.DUMMYFUNCTION("""COMPUTED_VALUE"""),48647.0)</f>
        <v>48647</v>
      </c>
      <c r="J3335" s="6">
        <f>IFERROR(__xludf.DUMMYFUNCTION("""COMPUTED_VALUE"""),243235.0)</f>
        <v>243235</v>
      </c>
      <c r="K3335" s="57">
        <f>IFERROR(__xludf.DUMMYFUNCTION("""COMPUTED_VALUE"""),45486.0)</f>
        <v>45486</v>
      </c>
      <c r="L3335" s="6" t="str">
        <f>IFERROR(__xludf.DUMMYFUNCTION("""COMPUTED_VALUE"""),"FIP Engineering")</f>
        <v>FIP Engineering</v>
      </c>
      <c r="M3335" s="6" t="str">
        <f>IFERROR(__xludf.DUMMYFUNCTION("""COMPUTED_VALUE"""),"Mochammad Fadhillah Hakim,")</f>
        <v>Mochammad Fadhillah Hakim,</v>
      </c>
      <c r="N3335" s="6" t="str">
        <f>IFERROR(__xludf.DUMMYFUNCTION("""COMPUTED_VALUE"""),"FIP Engineering")</f>
        <v>FIP Engineering</v>
      </c>
      <c r="O3335" s="6" t="str">
        <f>IFERROR(__xludf.DUMMYFUNCTION("""COMPUTED_VALUE"""),"FIP-DOM-000-11304-OS00001-INA-000000")</f>
        <v>FIP-DOM-000-11304-OS00001-INA-000000</v>
      </c>
      <c r="P3335" s="6" t="str">
        <f>IFERROR(__xludf.DUMMYFUNCTION("""COMPUTED_VALUE"""),"PO Closed")</f>
        <v>PO Closed</v>
      </c>
      <c r="Q3335" s="6" t="str">
        <f>IFERROR(__xludf.DUMMYFUNCTION("""COMPUTED_VALUE"""),"GL2408423")</f>
        <v>GL2408423</v>
      </c>
      <c r="R3335" s="57">
        <f>IFERROR(__xludf.DUMMYFUNCTION("""COMPUTED_VALUE"""),45484.0)</f>
        <v>45484</v>
      </c>
      <c r="S3335" s="57">
        <f>IFERROR(__xludf.DUMMYFUNCTION("""COMPUTED_VALUE"""),45485.0)</f>
        <v>45485</v>
      </c>
      <c r="T3335" s="57">
        <f>IFERROR(__xludf.DUMMYFUNCTION("""COMPUTED_VALUE"""),45567.0)</f>
        <v>45567</v>
      </c>
    </row>
    <row r="3336">
      <c r="A3336" s="6" t="str">
        <f>IFERROR(__xludf.DUMMYFUNCTION("""COMPUTED_VALUE"""),"121701646-10")</f>
        <v>121701646-10</v>
      </c>
      <c r="B3336" s="6" t="str">
        <f>IFERROR(__xludf.DUMMYFUNCTION("""COMPUTED_VALUE"""),"121701646 - APPROVED")</f>
        <v>121701646 - APPROVED</v>
      </c>
      <c r="C3336" s="6">
        <f>IFERROR(__xludf.DUMMYFUNCTION("""COMPUTED_VALUE"""),10.0)</f>
        <v>10</v>
      </c>
      <c r="D3336" s="6" t="str">
        <f>IFERROR(__xludf.DUMMYFUNCTION("""COMPUTED_VALUE"""),"O-13510-00")</f>
        <v>O-13510-00</v>
      </c>
      <c r="E3336" s="6" t="str">
        <f>IFERROR(__xludf.DUMMYFUNCTION("""COMPUTED_VALUE"""),"Pneumatic Fitting - QS 12-10 FESTO P/N : -  pc")</f>
        <v>Pneumatic Fitting - QS 12-10 FESTO P/N : -  pc</v>
      </c>
      <c r="F3336" s="6">
        <f>IFERROR(__xludf.DUMMYFUNCTION("""COMPUTED_VALUE"""),5.0)</f>
        <v>5</v>
      </c>
      <c r="G3336" s="6" t="str">
        <f>IFERROR(__xludf.DUMMYFUNCTION("""COMPUTED_VALUE"""),"Pieces")</f>
        <v>Pieces</v>
      </c>
      <c r="H3336" s="6" t="str">
        <f>IFERROR(__xludf.DUMMYFUNCTION("""COMPUTED_VALUE"""),"IDR")</f>
        <v>IDR</v>
      </c>
      <c r="I3336" s="6">
        <f>IFERROR(__xludf.DUMMYFUNCTION("""COMPUTED_VALUE"""),66439.0)</f>
        <v>66439</v>
      </c>
      <c r="J3336" s="6">
        <f>IFERROR(__xludf.DUMMYFUNCTION("""COMPUTED_VALUE"""),332195.0)</f>
        <v>332195</v>
      </c>
      <c r="K3336" s="57">
        <f>IFERROR(__xludf.DUMMYFUNCTION("""COMPUTED_VALUE"""),45486.0)</f>
        <v>45486</v>
      </c>
      <c r="L3336" s="6" t="str">
        <f>IFERROR(__xludf.DUMMYFUNCTION("""COMPUTED_VALUE"""),"FIP Engineering")</f>
        <v>FIP Engineering</v>
      </c>
      <c r="M3336" s="6" t="str">
        <f>IFERROR(__xludf.DUMMYFUNCTION("""COMPUTED_VALUE"""),"Mochammad Fadhillah Hakim,")</f>
        <v>Mochammad Fadhillah Hakim,</v>
      </c>
      <c r="N3336" s="6" t="str">
        <f>IFERROR(__xludf.DUMMYFUNCTION("""COMPUTED_VALUE"""),"FIP Engineering")</f>
        <v>FIP Engineering</v>
      </c>
      <c r="O3336" s="6" t="str">
        <f>IFERROR(__xludf.DUMMYFUNCTION("""COMPUTED_VALUE"""),"FIP-DOM-000-11304-OS00001-INA-000000")</f>
        <v>FIP-DOM-000-11304-OS00001-INA-000000</v>
      </c>
      <c r="P3336" s="6" t="str">
        <f>IFERROR(__xludf.DUMMYFUNCTION("""COMPUTED_VALUE"""),"PO Closed")</f>
        <v>PO Closed</v>
      </c>
      <c r="Q3336" s="6" t="str">
        <f>IFERROR(__xludf.DUMMYFUNCTION("""COMPUTED_VALUE"""),"GL2407020")</f>
        <v>GL2407020</v>
      </c>
      <c r="R3336" s="57">
        <f>IFERROR(__xludf.DUMMYFUNCTION("""COMPUTED_VALUE"""),45484.0)</f>
        <v>45484</v>
      </c>
      <c r="S3336" s="57">
        <f>IFERROR(__xludf.DUMMYFUNCTION("""COMPUTED_VALUE"""),45485.0)</f>
        <v>45485</v>
      </c>
      <c r="T3336" s="57">
        <f>IFERROR(__xludf.DUMMYFUNCTION("""COMPUTED_VALUE"""),45502.0)</f>
        <v>45502</v>
      </c>
    </row>
    <row r="3337">
      <c r="A3337" s="6" t="str">
        <f>IFERROR(__xludf.DUMMYFUNCTION("""COMPUTED_VALUE"""),"121701646-11")</f>
        <v>121701646-11</v>
      </c>
      <c r="B3337" s="6" t="str">
        <f>IFERROR(__xludf.DUMMYFUNCTION("""COMPUTED_VALUE"""),"121701646 - APPROVED")</f>
        <v>121701646 - APPROVED</v>
      </c>
      <c r="C3337" s="6">
        <f>IFERROR(__xludf.DUMMYFUNCTION("""COMPUTED_VALUE"""),11.0)</f>
        <v>11</v>
      </c>
      <c r="D3337" s="6" t="str">
        <f>IFERROR(__xludf.DUMMYFUNCTION("""COMPUTED_VALUE"""),"P-19233-00")</f>
        <v>P-19233-00</v>
      </c>
      <c r="E3337" s="6" t="str">
        <f>IFERROR(__xludf.DUMMYFUNCTION("""COMPUTED_VALUE"""),"Fitting QS 1/2 x 8mm; EMC; ;")</f>
        <v>Fitting QS 1/2 x 8mm; EMC; ;</v>
      </c>
      <c r="F3337" s="6">
        <f>IFERROR(__xludf.DUMMYFUNCTION("""COMPUTED_VALUE"""),5.0)</f>
        <v>5</v>
      </c>
      <c r="G3337" s="6" t="str">
        <f>IFERROR(__xludf.DUMMYFUNCTION("""COMPUTED_VALUE"""),"Pieces")</f>
        <v>Pieces</v>
      </c>
      <c r="H3337" s="6" t="str">
        <f>IFERROR(__xludf.DUMMYFUNCTION("""COMPUTED_VALUE"""),"IDR")</f>
        <v>IDR</v>
      </c>
      <c r="I3337" s="6">
        <f>IFERROR(__xludf.DUMMYFUNCTION("""COMPUTED_VALUE"""),23500.0)</f>
        <v>23500</v>
      </c>
      <c r="J3337" s="6">
        <f>IFERROR(__xludf.DUMMYFUNCTION("""COMPUTED_VALUE"""),117500.0)</f>
        <v>117500</v>
      </c>
      <c r="K3337" s="57">
        <f>IFERROR(__xludf.DUMMYFUNCTION("""COMPUTED_VALUE"""),45486.0)</f>
        <v>45486</v>
      </c>
      <c r="L3337" s="6" t="str">
        <f>IFERROR(__xludf.DUMMYFUNCTION("""COMPUTED_VALUE"""),"FIP Engineering")</f>
        <v>FIP Engineering</v>
      </c>
      <c r="M3337" s="6" t="str">
        <f>IFERROR(__xludf.DUMMYFUNCTION("""COMPUTED_VALUE"""),"Mochammad Fadhillah Hakim,")</f>
        <v>Mochammad Fadhillah Hakim,</v>
      </c>
      <c r="N3337" s="6" t="str">
        <f>IFERROR(__xludf.DUMMYFUNCTION("""COMPUTED_VALUE"""),"FIP Engineering")</f>
        <v>FIP Engineering</v>
      </c>
      <c r="O3337" s="6" t="str">
        <f>IFERROR(__xludf.DUMMYFUNCTION("""COMPUTED_VALUE"""),"FIP-DOM-000-11304-OS00001-INA-000000")</f>
        <v>FIP-DOM-000-11304-OS00001-INA-000000</v>
      </c>
      <c r="P3337" s="6" t="str">
        <f>IFERROR(__xludf.DUMMYFUNCTION("""COMPUTED_VALUE"""),"PO Closed")</f>
        <v>PO Closed</v>
      </c>
      <c r="Q3337" s="6" t="str">
        <f>IFERROR(__xludf.DUMMYFUNCTION("""COMPUTED_VALUE"""),"GL2408011")</f>
        <v>GL2408011</v>
      </c>
      <c r="R3337" s="57">
        <f>IFERROR(__xludf.DUMMYFUNCTION("""COMPUTED_VALUE"""),45484.0)</f>
        <v>45484</v>
      </c>
      <c r="S3337" s="57">
        <f>IFERROR(__xludf.DUMMYFUNCTION("""COMPUTED_VALUE"""),45485.0)</f>
        <v>45485</v>
      </c>
      <c r="T3337" s="57">
        <f>IFERROR(__xludf.DUMMYFUNCTION("""COMPUTED_VALUE"""),45573.0)</f>
        <v>45573</v>
      </c>
    </row>
    <row r="3338">
      <c r="A3338" s="6" t="str">
        <f>IFERROR(__xludf.DUMMYFUNCTION("""COMPUTED_VALUE"""),"121701646-12")</f>
        <v>121701646-12</v>
      </c>
      <c r="B3338" s="6" t="str">
        <f>IFERROR(__xludf.DUMMYFUNCTION("""COMPUTED_VALUE"""),"121701646 - APPROVED")</f>
        <v>121701646 - APPROVED</v>
      </c>
      <c r="C3338" s="6">
        <f>IFERROR(__xludf.DUMMYFUNCTION("""COMPUTED_VALUE"""),12.0)</f>
        <v>12</v>
      </c>
      <c r="D3338" s="6" t="str">
        <f>IFERROR(__xludf.DUMMYFUNCTION("""COMPUTED_VALUE"""),"O-13505-00")</f>
        <v>O-13505-00</v>
      </c>
      <c r="E3338" s="6" t="str">
        <f>IFERROR(__xludf.DUMMYFUNCTION("""COMPUTED_VALUE"""),"Pneumatic Fitting - QST 10, FESTO P/N : -  pc")</f>
        <v>Pneumatic Fitting - QST 10, FESTO P/N : -  pc</v>
      </c>
      <c r="F3338" s="6">
        <f>IFERROR(__xludf.DUMMYFUNCTION("""COMPUTED_VALUE"""),5.0)</f>
        <v>5</v>
      </c>
      <c r="G3338" s="6" t="str">
        <f>IFERROR(__xludf.DUMMYFUNCTION("""COMPUTED_VALUE"""),"Pieces")</f>
        <v>Pieces</v>
      </c>
      <c r="H3338" s="6" t="str">
        <f>IFERROR(__xludf.DUMMYFUNCTION("""COMPUTED_VALUE"""),"IDR")</f>
        <v>IDR</v>
      </c>
      <c r="I3338" s="6">
        <f>IFERROR(__xludf.DUMMYFUNCTION("""COMPUTED_VALUE"""),103944.0)</f>
        <v>103944</v>
      </c>
      <c r="J3338" s="6">
        <f>IFERROR(__xludf.DUMMYFUNCTION("""COMPUTED_VALUE"""),519720.0)</f>
        <v>519720</v>
      </c>
      <c r="K3338" s="57">
        <f>IFERROR(__xludf.DUMMYFUNCTION("""COMPUTED_VALUE"""),45486.0)</f>
        <v>45486</v>
      </c>
      <c r="L3338" s="6" t="str">
        <f>IFERROR(__xludf.DUMMYFUNCTION("""COMPUTED_VALUE"""),"FIP Engineering")</f>
        <v>FIP Engineering</v>
      </c>
      <c r="M3338" s="6" t="str">
        <f>IFERROR(__xludf.DUMMYFUNCTION("""COMPUTED_VALUE"""),"Mochammad Fadhillah Hakim,")</f>
        <v>Mochammad Fadhillah Hakim,</v>
      </c>
      <c r="N3338" s="6" t="str">
        <f>IFERROR(__xludf.DUMMYFUNCTION("""COMPUTED_VALUE"""),"FIP Engineering")</f>
        <v>FIP Engineering</v>
      </c>
      <c r="O3338" s="6" t="str">
        <f>IFERROR(__xludf.DUMMYFUNCTION("""COMPUTED_VALUE"""),"FIP-DOM-000-11304-OS00001-INA-000000")</f>
        <v>FIP-DOM-000-11304-OS00001-INA-000000</v>
      </c>
      <c r="P3338" s="6" t="str">
        <f>IFERROR(__xludf.DUMMYFUNCTION("""COMPUTED_VALUE"""),"PO Closed")</f>
        <v>PO Closed</v>
      </c>
      <c r="Q3338" s="6" t="str">
        <f>IFERROR(__xludf.DUMMYFUNCTION("""COMPUTED_VALUE"""),"GL2408423")</f>
        <v>GL2408423</v>
      </c>
      <c r="R3338" s="57">
        <f>IFERROR(__xludf.DUMMYFUNCTION("""COMPUTED_VALUE"""),45484.0)</f>
        <v>45484</v>
      </c>
      <c r="S3338" s="57">
        <f>IFERROR(__xludf.DUMMYFUNCTION("""COMPUTED_VALUE"""),45485.0)</f>
        <v>45485</v>
      </c>
      <c r="T3338" s="57">
        <f>IFERROR(__xludf.DUMMYFUNCTION("""COMPUTED_VALUE"""),45567.0)</f>
        <v>45567</v>
      </c>
    </row>
    <row r="3339">
      <c r="A3339" s="6" t="str">
        <f>IFERROR(__xludf.DUMMYFUNCTION("""COMPUTED_VALUE"""),"121701646-13")</f>
        <v>121701646-13</v>
      </c>
      <c r="B3339" s="6" t="str">
        <f>IFERROR(__xludf.DUMMYFUNCTION("""COMPUTED_VALUE"""),"121701646 - APPROVED")</f>
        <v>121701646 - APPROVED</v>
      </c>
      <c r="C3339" s="6">
        <f>IFERROR(__xludf.DUMMYFUNCTION("""COMPUTED_VALUE"""),13.0)</f>
        <v>13</v>
      </c>
      <c r="D3339" s="6" t="str">
        <f>IFERROR(__xludf.DUMMYFUNCTION("""COMPUTED_VALUE"""),"P-11227-00")</f>
        <v>P-11227-00</v>
      </c>
      <c r="E3339" s="6" t="str">
        <f>IFERROR(__xludf.DUMMYFUNCTION("""COMPUTED_VALUE"""),"Pneumatic  Fitting - QST 6 / Festo")</f>
        <v>Pneumatic  Fitting - QST 6 / Festo</v>
      </c>
      <c r="F3339" s="6">
        <f>IFERROR(__xludf.DUMMYFUNCTION("""COMPUTED_VALUE"""),5.0)</f>
        <v>5</v>
      </c>
      <c r="G3339" s="6" t="str">
        <f>IFERROR(__xludf.DUMMYFUNCTION("""COMPUTED_VALUE"""),"Pieces")</f>
        <v>Pieces</v>
      </c>
      <c r="H3339" s="6" t="str">
        <f>IFERROR(__xludf.DUMMYFUNCTION("""COMPUTED_VALUE"""),"IDR")</f>
        <v>IDR</v>
      </c>
      <c r="I3339" s="6">
        <f>IFERROR(__xludf.DUMMYFUNCTION("""COMPUTED_VALUE"""),80000.0)</f>
        <v>80000</v>
      </c>
      <c r="J3339" s="6">
        <f>IFERROR(__xludf.DUMMYFUNCTION("""COMPUTED_VALUE"""),400000.0)</f>
        <v>400000</v>
      </c>
      <c r="K3339" s="57">
        <f>IFERROR(__xludf.DUMMYFUNCTION("""COMPUTED_VALUE"""),45486.0)</f>
        <v>45486</v>
      </c>
      <c r="L3339" s="6" t="str">
        <f>IFERROR(__xludf.DUMMYFUNCTION("""COMPUTED_VALUE"""),"FIP Engineering")</f>
        <v>FIP Engineering</v>
      </c>
      <c r="M3339" s="6" t="str">
        <f>IFERROR(__xludf.DUMMYFUNCTION("""COMPUTED_VALUE"""),"Mochammad Fadhillah Hakim,")</f>
        <v>Mochammad Fadhillah Hakim,</v>
      </c>
      <c r="N3339" s="6" t="str">
        <f>IFERROR(__xludf.DUMMYFUNCTION("""COMPUTED_VALUE"""),"FIP Engineering")</f>
        <v>FIP Engineering</v>
      </c>
      <c r="O3339" s="6" t="str">
        <f>IFERROR(__xludf.DUMMYFUNCTION("""COMPUTED_VALUE"""),"FIP-DOM-000-11304-OS00001-INA-000000")</f>
        <v>FIP-DOM-000-11304-OS00001-INA-000000</v>
      </c>
      <c r="P3339" s="6" t="str">
        <f>IFERROR(__xludf.DUMMYFUNCTION("""COMPUTED_VALUE"""),"PO Closed")</f>
        <v>PO Closed</v>
      </c>
      <c r="Q3339" s="6" t="str">
        <f>IFERROR(__xludf.DUMMYFUNCTION("""COMPUTED_VALUE"""),"GL2408423")</f>
        <v>GL2408423</v>
      </c>
      <c r="R3339" s="57">
        <f>IFERROR(__xludf.DUMMYFUNCTION("""COMPUTED_VALUE"""),45484.0)</f>
        <v>45484</v>
      </c>
      <c r="S3339" s="57">
        <f>IFERROR(__xludf.DUMMYFUNCTION("""COMPUTED_VALUE"""),45485.0)</f>
        <v>45485</v>
      </c>
      <c r="T3339" s="57">
        <f>IFERROR(__xludf.DUMMYFUNCTION("""COMPUTED_VALUE"""),45567.0)</f>
        <v>45567</v>
      </c>
    </row>
    <row r="3340">
      <c r="A3340" s="6" t="str">
        <f>IFERROR(__xludf.DUMMYFUNCTION("""COMPUTED_VALUE"""),"121701646-14")</f>
        <v>121701646-14</v>
      </c>
      <c r="B3340" s="6" t="str">
        <f>IFERROR(__xludf.DUMMYFUNCTION("""COMPUTED_VALUE"""),"121701646 - APPROVED")</f>
        <v>121701646 - APPROVED</v>
      </c>
      <c r="C3340" s="6">
        <f>IFERROR(__xludf.DUMMYFUNCTION("""COMPUTED_VALUE"""),14.0)</f>
        <v>14</v>
      </c>
      <c r="D3340" s="6" t="str">
        <f>IFERROR(__xludf.DUMMYFUNCTION("""COMPUTED_VALUE"""),"P-11228-00")</f>
        <v>P-11228-00</v>
      </c>
      <c r="E3340" s="6" t="str">
        <f>IFERROR(__xludf.DUMMYFUNCTION("""COMPUTED_VALUE"""),"Pneumatic  Fitting - QST 8 / PN : 153130 / Festo")</f>
        <v>Pneumatic  Fitting - QST 8 / PN : 153130 / Festo</v>
      </c>
      <c r="F3340" s="6">
        <f>IFERROR(__xludf.DUMMYFUNCTION("""COMPUTED_VALUE"""),5.0)</f>
        <v>5</v>
      </c>
      <c r="G3340" s="6" t="str">
        <f>IFERROR(__xludf.DUMMYFUNCTION("""COMPUTED_VALUE"""),"Pieces")</f>
        <v>Pieces</v>
      </c>
      <c r="H3340" s="6" t="str">
        <f>IFERROR(__xludf.DUMMYFUNCTION("""COMPUTED_VALUE"""),"IDR")</f>
        <v>IDR</v>
      </c>
      <c r="I3340" s="6">
        <f>IFERROR(__xludf.DUMMYFUNCTION("""COMPUTED_VALUE"""),100000.0)</f>
        <v>100000</v>
      </c>
      <c r="J3340" s="6">
        <f>IFERROR(__xludf.DUMMYFUNCTION("""COMPUTED_VALUE"""),500000.0)</f>
        <v>500000</v>
      </c>
      <c r="K3340" s="57">
        <f>IFERROR(__xludf.DUMMYFUNCTION("""COMPUTED_VALUE"""),45486.0)</f>
        <v>45486</v>
      </c>
      <c r="L3340" s="6" t="str">
        <f>IFERROR(__xludf.DUMMYFUNCTION("""COMPUTED_VALUE"""),"FIP Engineering")</f>
        <v>FIP Engineering</v>
      </c>
      <c r="M3340" s="6" t="str">
        <f>IFERROR(__xludf.DUMMYFUNCTION("""COMPUTED_VALUE"""),"Mochammad Fadhillah Hakim,")</f>
        <v>Mochammad Fadhillah Hakim,</v>
      </c>
      <c r="N3340" s="6" t="str">
        <f>IFERROR(__xludf.DUMMYFUNCTION("""COMPUTED_VALUE"""),"FIP Engineering")</f>
        <v>FIP Engineering</v>
      </c>
      <c r="O3340" s="6" t="str">
        <f>IFERROR(__xludf.DUMMYFUNCTION("""COMPUTED_VALUE"""),"FIP-DOM-000-11304-OS00001-INA-000000")</f>
        <v>FIP-DOM-000-11304-OS00001-INA-000000</v>
      </c>
      <c r="P3340" s="6" t="str">
        <f>IFERROR(__xludf.DUMMYFUNCTION("""COMPUTED_VALUE"""),"PO Closed")</f>
        <v>PO Closed</v>
      </c>
      <c r="Q3340" s="6" t="str">
        <f>IFERROR(__xludf.DUMMYFUNCTION("""COMPUTED_VALUE"""),"GL2408423")</f>
        <v>GL2408423</v>
      </c>
      <c r="R3340" s="57">
        <f>IFERROR(__xludf.DUMMYFUNCTION("""COMPUTED_VALUE"""),45484.0)</f>
        <v>45484</v>
      </c>
      <c r="S3340" s="57">
        <f>IFERROR(__xludf.DUMMYFUNCTION("""COMPUTED_VALUE"""),45485.0)</f>
        <v>45485</v>
      </c>
      <c r="T3340" s="57">
        <f>IFERROR(__xludf.DUMMYFUNCTION("""COMPUTED_VALUE"""),45567.0)</f>
        <v>45567</v>
      </c>
    </row>
    <row r="3341">
      <c r="A3341" s="6" t="str">
        <f>IFERROR(__xludf.DUMMYFUNCTION("""COMPUTED_VALUE"""),"121701646-15")</f>
        <v>121701646-15</v>
      </c>
      <c r="B3341" s="6" t="str">
        <f>IFERROR(__xludf.DUMMYFUNCTION("""COMPUTED_VALUE"""),"121701646 - APPROVED")</f>
        <v>121701646 - APPROVED</v>
      </c>
      <c r="C3341" s="6">
        <f>IFERROR(__xludf.DUMMYFUNCTION("""COMPUTED_VALUE"""),15.0)</f>
        <v>15</v>
      </c>
      <c r="D3341" s="6" t="str">
        <f>IFERROR(__xludf.DUMMYFUNCTION("""COMPUTED_VALUE"""),"P-14245-00")</f>
        <v>P-14245-00</v>
      </c>
      <c r="E3341" s="6" t="str">
        <f>IFERROR(__xludf.DUMMYFUNCTION("""COMPUTED_VALUE"""),"Manual valve HE-2-QS-8 FESTO; ; ;")</f>
        <v>Manual valve HE-2-QS-8 FESTO; ; ;</v>
      </c>
      <c r="F3341" s="6">
        <f>IFERROR(__xludf.DUMMYFUNCTION("""COMPUTED_VALUE"""),5.0)</f>
        <v>5</v>
      </c>
      <c r="G3341" s="6" t="str">
        <f>IFERROR(__xludf.DUMMYFUNCTION("""COMPUTED_VALUE"""),"Pieces")</f>
        <v>Pieces</v>
      </c>
      <c r="H3341" s="6" t="str">
        <f>IFERROR(__xludf.DUMMYFUNCTION("""COMPUTED_VALUE"""),"IDR")</f>
        <v>IDR</v>
      </c>
      <c r="I3341" s="6">
        <f>IFERROR(__xludf.DUMMYFUNCTION("""COMPUTED_VALUE"""),293759.0)</f>
        <v>293759</v>
      </c>
      <c r="J3341" s="6">
        <f>IFERROR(__xludf.DUMMYFUNCTION("""COMPUTED_VALUE"""),1468795.0)</f>
        <v>1468795</v>
      </c>
      <c r="K3341" s="57">
        <f>IFERROR(__xludf.DUMMYFUNCTION("""COMPUTED_VALUE"""),45486.0)</f>
        <v>45486</v>
      </c>
      <c r="L3341" s="6" t="str">
        <f>IFERROR(__xludf.DUMMYFUNCTION("""COMPUTED_VALUE"""),"FIP Engineering")</f>
        <v>FIP Engineering</v>
      </c>
      <c r="M3341" s="6" t="str">
        <f>IFERROR(__xludf.DUMMYFUNCTION("""COMPUTED_VALUE"""),"Mochammad Fadhillah Hakim,")</f>
        <v>Mochammad Fadhillah Hakim,</v>
      </c>
      <c r="N3341" s="6" t="str">
        <f>IFERROR(__xludf.DUMMYFUNCTION("""COMPUTED_VALUE"""),"FIP Engineering")</f>
        <v>FIP Engineering</v>
      </c>
      <c r="O3341" s="6" t="str">
        <f>IFERROR(__xludf.DUMMYFUNCTION("""COMPUTED_VALUE"""),"FIP-DOM-000-11304-OS00001-INA-000000")</f>
        <v>FIP-DOM-000-11304-OS00001-INA-000000</v>
      </c>
      <c r="P3341" s="6" t="str">
        <f>IFERROR(__xludf.DUMMYFUNCTION("""COMPUTED_VALUE"""),"PO Closed")</f>
        <v>PO Closed</v>
      </c>
      <c r="Q3341" s="6" t="str">
        <f>IFERROR(__xludf.DUMMYFUNCTION("""COMPUTED_VALUE"""),"GL2408423")</f>
        <v>GL2408423</v>
      </c>
      <c r="R3341" s="57">
        <f>IFERROR(__xludf.DUMMYFUNCTION("""COMPUTED_VALUE"""),45484.0)</f>
        <v>45484</v>
      </c>
      <c r="S3341" s="57">
        <f>IFERROR(__xludf.DUMMYFUNCTION("""COMPUTED_VALUE"""),45485.0)</f>
        <v>45485</v>
      </c>
      <c r="T3341" s="57">
        <f>IFERROR(__xludf.DUMMYFUNCTION("""COMPUTED_VALUE"""),45567.0)</f>
        <v>45567</v>
      </c>
    </row>
    <row r="3342">
      <c r="A3342" s="6" t="str">
        <f>IFERROR(__xludf.DUMMYFUNCTION("""COMPUTED_VALUE"""),"121701646-16")</f>
        <v>121701646-16</v>
      </c>
      <c r="B3342" s="6" t="str">
        <f>IFERROR(__xludf.DUMMYFUNCTION("""COMPUTED_VALUE"""),"121701646 - APPROVED")</f>
        <v>121701646 - APPROVED</v>
      </c>
      <c r="C3342" s="6">
        <f>IFERROR(__xludf.DUMMYFUNCTION("""COMPUTED_VALUE"""),16.0)</f>
        <v>16</v>
      </c>
      <c r="D3342" s="6" t="str">
        <f>IFERROR(__xludf.DUMMYFUNCTION("""COMPUTED_VALUE"""),"P-13650-00")</f>
        <v>P-13650-00</v>
      </c>
      <c r="E3342" s="6" t="str">
        <f>IFERROR(__xludf.DUMMYFUNCTION("""COMPUTED_VALUE"""),"Manual Valve HE-2-QS-6; FESTO; ;")</f>
        <v>Manual Valve HE-2-QS-6; FESTO; ;</v>
      </c>
      <c r="F3342" s="6">
        <f>IFERROR(__xludf.DUMMYFUNCTION("""COMPUTED_VALUE"""),5.0)</f>
        <v>5</v>
      </c>
      <c r="G3342" s="6" t="str">
        <f>IFERROR(__xludf.DUMMYFUNCTION("""COMPUTED_VALUE"""),"Pieces")</f>
        <v>Pieces</v>
      </c>
      <c r="H3342" s="6" t="str">
        <f>IFERROR(__xludf.DUMMYFUNCTION("""COMPUTED_VALUE"""),"IDR")</f>
        <v>IDR</v>
      </c>
      <c r="I3342" s="6">
        <f>IFERROR(__xludf.DUMMYFUNCTION("""COMPUTED_VALUE"""),270812.0)</f>
        <v>270812</v>
      </c>
      <c r="J3342" s="6">
        <f>IFERROR(__xludf.DUMMYFUNCTION("""COMPUTED_VALUE"""),1354060.0)</f>
        <v>1354060</v>
      </c>
      <c r="K3342" s="57">
        <f>IFERROR(__xludf.DUMMYFUNCTION("""COMPUTED_VALUE"""),45486.0)</f>
        <v>45486</v>
      </c>
      <c r="L3342" s="6" t="str">
        <f>IFERROR(__xludf.DUMMYFUNCTION("""COMPUTED_VALUE"""),"FIP Engineering")</f>
        <v>FIP Engineering</v>
      </c>
      <c r="M3342" s="6" t="str">
        <f>IFERROR(__xludf.DUMMYFUNCTION("""COMPUTED_VALUE"""),"Mochammad Fadhillah Hakim,")</f>
        <v>Mochammad Fadhillah Hakim,</v>
      </c>
      <c r="N3342" s="6" t="str">
        <f>IFERROR(__xludf.DUMMYFUNCTION("""COMPUTED_VALUE"""),"FIP Engineering")</f>
        <v>FIP Engineering</v>
      </c>
      <c r="O3342" s="6" t="str">
        <f>IFERROR(__xludf.DUMMYFUNCTION("""COMPUTED_VALUE"""),"FIP-DOM-000-11304-OS00001-INA-000000")</f>
        <v>FIP-DOM-000-11304-OS00001-INA-000000</v>
      </c>
      <c r="P3342" s="6" t="str">
        <f>IFERROR(__xludf.DUMMYFUNCTION("""COMPUTED_VALUE"""),"PO Closed")</f>
        <v>PO Closed</v>
      </c>
      <c r="Q3342" s="6" t="str">
        <f>IFERROR(__xludf.DUMMYFUNCTION("""COMPUTED_VALUE"""),"GL2408423")</f>
        <v>GL2408423</v>
      </c>
      <c r="R3342" s="57">
        <f>IFERROR(__xludf.DUMMYFUNCTION("""COMPUTED_VALUE"""),45484.0)</f>
        <v>45484</v>
      </c>
      <c r="S3342" s="57">
        <f>IFERROR(__xludf.DUMMYFUNCTION("""COMPUTED_VALUE"""),45485.0)</f>
        <v>45485</v>
      </c>
      <c r="T3342" s="57">
        <f>IFERROR(__xludf.DUMMYFUNCTION("""COMPUTED_VALUE"""),45567.0)</f>
        <v>45567</v>
      </c>
    </row>
    <row r="3343">
      <c r="A3343" s="6" t="str">
        <f>IFERROR(__xludf.DUMMYFUNCTION("""COMPUTED_VALUE"""),"121701646-17")</f>
        <v>121701646-17</v>
      </c>
      <c r="B3343" s="6" t="str">
        <f>IFERROR(__xludf.DUMMYFUNCTION("""COMPUTED_VALUE"""),"121701646 - APPROVED")</f>
        <v>121701646 - APPROVED</v>
      </c>
      <c r="C3343" s="6">
        <f>IFERROR(__xludf.DUMMYFUNCTION("""COMPUTED_VALUE"""),17.0)</f>
        <v>17</v>
      </c>
      <c r="D3343" s="6" t="str">
        <f>IFERROR(__xludf.DUMMYFUNCTION("""COMPUTED_VALUE"""),"P-19255-00")</f>
        <v>P-19255-00</v>
      </c>
      <c r="E3343" s="6" t="str">
        <f>IFERROR(__xludf.DUMMYFUNCTION("""COMPUTED_VALUE"""),"Plastic Tubing PUN-H-14x2-BL; Festo; 570386;")</f>
        <v>Plastic Tubing PUN-H-14x2-BL; Festo; 570386;</v>
      </c>
      <c r="F3343" s="6">
        <f>IFERROR(__xludf.DUMMYFUNCTION("""COMPUTED_VALUE"""),50.0)</f>
        <v>50</v>
      </c>
      <c r="G3343" s="6" t="str">
        <f>IFERROR(__xludf.DUMMYFUNCTION("""COMPUTED_VALUE"""),"Meter")</f>
        <v>Meter</v>
      </c>
      <c r="H3343" s="6" t="str">
        <f>IFERROR(__xludf.DUMMYFUNCTION("""COMPUTED_VALUE"""),"IDR")</f>
        <v>IDR</v>
      </c>
      <c r="I3343" s="6">
        <f>IFERROR(__xludf.DUMMYFUNCTION("""COMPUTED_VALUE"""),60586.0)</f>
        <v>60586</v>
      </c>
      <c r="J3343" s="6">
        <f>IFERROR(__xludf.DUMMYFUNCTION("""COMPUTED_VALUE"""),3029300.0)</f>
        <v>3029300</v>
      </c>
      <c r="K3343" s="57">
        <f>IFERROR(__xludf.DUMMYFUNCTION("""COMPUTED_VALUE"""),45486.0)</f>
        <v>45486</v>
      </c>
      <c r="L3343" s="6" t="str">
        <f>IFERROR(__xludf.DUMMYFUNCTION("""COMPUTED_VALUE"""),"FIP Engineering")</f>
        <v>FIP Engineering</v>
      </c>
      <c r="M3343" s="6" t="str">
        <f>IFERROR(__xludf.DUMMYFUNCTION("""COMPUTED_VALUE"""),"Mochammad Fadhillah Hakim,")</f>
        <v>Mochammad Fadhillah Hakim,</v>
      </c>
      <c r="N3343" s="6" t="str">
        <f>IFERROR(__xludf.DUMMYFUNCTION("""COMPUTED_VALUE"""),"FIP Engineering")</f>
        <v>FIP Engineering</v>
      </c>
      <c r="O3343" s="6" t="str">
        <f>IFERROR(__xludf.DUMMYFUNCTION("""COMPUTED_VALUE"""),"FIP-DOM-000-11304-OS00001-INA-000000")</f>
        <v>FIP-DOM-000-11304-OS00001-INA-000000</v>
      </c>
      <c r="P3343" s="6" t="str">
        <f>IFERROR(__xludf.DUMMYFUNCTION("""COMPUTED_VALUE"""),"PO Closed")</f>
        <v>PO Closed</v>
      </c>
      <c r="Q3343" s="6" t="str">
        <f>IFERROR(__xludf.DUMMYFUNCTION("""COMPUTED_VALUE"""),"GL2407020")</f>
        <v>GL2407020</v>
      </c>
      <c r="R3343" s="57">
        <f>IFERROR(__xludf.DUMMYFUNCTION("""COMPUTED_VALUE"""),45484.0)</f>
        <v>45484</v>
      </c>
      <c r="S3343" s="57">
        <f>IFERROR(__xludf.DUMMYFUNCTION("""COMPUTED_VALUE"""),45485.0)</f>
        <v>45485</v>
      </c>
      <c r="T3343" s="57">
        <f>IFERROR(__xludf.DUMMYFUNCTION("""COMPUTED_VALUE"""),45502.0)</f>
        <v>45502</v>
      </c>
    </row>
    <row r="3344">
      <c r="A3344" s="6" t="str">
        <f>IFERROR(__xludf.DUMMYFUNCTION("""COMPUTED_VALUE"""),"121701650-1")</f>
        <v>121701650-1</v>
      </c>
      <c r="B3344" s="6" t="str">
        <f>IFERROR(__xludf.DUMMYFUNCTION("""COMPUTED_VALUE"""),"121701650 - APPROVED")</f>
        <v>121701650 - APPROVED</v>
      </c>
      <c r="C3344" s="6">
        <f>IFERROR(__xludf.DUMMYFUNCTION("""COMPUTED_VALUE"""),1.0)</f>
        <v>1</v>
      </c>
      <c r="D3344" s="6" t="str">
        <f>IFERROR(__xludf.DUMMYFUNCTION("""COMPUTED_VALUE"""),"P-52590-00")</f>
        <v>P-52590-00</v>
      </c>
      <c r="E3344" s="6" t="str">
        <f>IFERROR(__xludf.DUMMYFUNCTION("""COMPUTED_VALUE"""),"Heater Duchting DIA.11.2 x 300mm 220 V 5000 W; ; ;")</f>
        <v>Heater Duchting DIA.11.2 x 300mm 220 V 5000 W; ; ;</v>
      </c>
      <c r="F3344" s="6">
        <f>IFERROR(__xludf.DUMMYFUNCTION("""COMPUTED_VALUE"""),3.0)</f>
        <v>3</v>
      </c>
      <c r="G3344" s="6" t="str">
        <f>IFERROR(__xludf.DUMMYFUNCTION("""COMPUTED_VALUE"""),"Pieces")</f>
        <v>Pieces</v>
      </c>
      <c r="H3344" s="6" t="str">
        <f>IFERROR(__xludf.DUMMYFUNCTION("""COMPUTED_VALUE"""),"IDR")</f>
        <v>IDR</v>
      </c>
      <c r="I3344" s="6">
        <f>IFERROR(__xludf.DUMMYFUNCTION("""COMPUTED_VALUE"""),830000.0)</f>
        <v>830000</v>
      </c>
      <c r="J3344" s="6">
        <f>IFERROR(__xludf.DUMMYFUNCTION("""COMPUTED_VALUE"""),2490000.0)</f>
        <v>2490000</v>
      </c>
      <c r="K3344" s="57">
        <f>IFERROR(__xludf.DUMMYFUNCTION("""COMPUTED_VALUE"""),45490.0)</f>
        <v>45490</v>
      </c>
      <c r="L3344" s="6" t="str">
        <f>IFERROR(__xludf.DUMMYFUNCTION("""COMPUTED_VALUE"""),"FIP Engineering")</f>
        <v>FIP Engineering</v>
      </c>
      <c r="M3344" s="6" t="str">
        <f>IFERROR(__xludf.DUMMYFUNCTION("""COMPUTED_VALUE"""),"Mochammad Fadhillah Hakim,")</f>
        <v>Mochammad Fadhillah Hakim,</v>
      </c>
      <c r="N3344" s="6" t="str">
        <f>IFERROR(__xludf.DUMMYFUNCTION("""COMPUTED_VALUE"""),"FIP Engineering")</f>
        <v>FIP Engineering</v>
      </c>
      <c r="O3344" s="6" t="str">
        <f>IFERROR(__xludf.DUMMYFUNCTION("""COMPUTED_VALUE"""),"FIP-DOM-000-11304-OS00001-INA-000000")</f>
        <v>FIP-DOM-000-11304-OS00001-INA-000000</v>
      </c>
      <c r="P3344" s="6" t="str">
        <f>IFERROR(__xludf.DUMMYFUNCTION("""COMPUTED_VALUE"""),"PO Closed")</f>
        <v>PO Closed</v>
      </c>
      <c r="Q3344" s="6" t="str">
        <f>IFERROR(__xludf.DUMMYFUNCTION("""COMPUTED_VALUE"""),"GL2408014")</f>
        <v>GL2408014</v>
      </c>
      <c r="R3344" s="57">
        <f>IFERROR(__xludf.DUMMYFUNCTION("""COMPUTED_VALUE"""),45488.0)</f>
        <v>45488</v>
      </c>
      <c r="S3344" s="57">
        <f>IFERROR(__xludf.DUMMYFUNCTION("""COMPUTED_VALUE"""),45488.0)</f>
        <v>45488</v>
      </c>
      <c r="T3344" s="57">
        <f>IFERROR(__xludf.DUMMYFUNCTION("""COMPUTED_VALUE"""),45574.0)</f>
        <v>45574</v>
      </c>
    </row>
    <row r="3345">
      <c r="A3345" s="6" t="str">
        <f>IFERROR(__xludf.DUMMYFUNCTION("""COMPUTED_VALUE"""),"121701656-1")</f>
        <v>121701656-1</v>
      </c>
      <c r="B3345" s="6" t="str">
        <f>IFERROR(__xludf.DUMMYFUNCTION("""COMPUTED_VALUE"""),"121701656 - APPROVED")</f>
        <v>121701656 - APPROVED</v>
      </c>
      <c r="C3345" s="6">
        <f>IFERROR(__xludf.DUMMYFUNCTION("""COMPUTED_VALUE"""),1.0)</f>
        <v>1</v>
      </c>
      <c r="D3345" s="6" t="str">
        <f>IFERROR(__xludf.DUMMYFUNCTION("""COMPUTED_VALUE"""),"P-15449-00")</f>
        <v>P-15449-00</v>
      </c>
      <c r="E3345" s="6" t="str">
        <f>IFERROR(__xludf.DUMMYFUNCTION("""COMPUTED_VALUE"""),"Flowmeter Mfg : Dwyer; Type : RMA-1-SSV-ARB; Range : 0.05-0.4 SCFH AIR; ; ;")</f>
        <v>Flowmeter Mfg : Dwyer; Type : RMA-1-SSV-ARB; Range : 0.05-0.4 SCFH AIR; ; ;</v>
      </c>
      <c r="F3345" s="6">
        <f>IFERROR(__xludf.DUMMYFUNCTION("""COMPUTED_VALUE"""),2.0)</f>
        <v>2</v>
      </c>
      <c r="G3345" s="6" t="str">
        <f>IFERROR(__xludf.DUMMYFUNCTION("""COMPUTED_VALUE"""),"Unit")</f>
        <v>Unit</v>
      </c>
      <c r="H3345" s="6" t="str">
        <f>IFERROR(__xludf.DUMMYFUNCTION("""COMPUTED_VALUE"""),"IDR")</f>
        <v>IDR</v>
      </c>
      <c r="I3345" s="6">
        <f>IFERROR(__xludf.DUMMYFUNCTION("""COMPUTED_VALUE"""),1232500.0)</f>
        <v>1232500</v>
      </c>
      <c r="J3345" s="6">
        <f>IFERROR(__xludf.DUMMYFUNCTION("""COMPUTED_VALUE"""),2465000.0)</f>
        <v>2465000</v>
      </c>
      <c r="K3345" s="57">
        <f>IFERROR(__xludf.DUMMYFUNCTION("""COMPUTED_VALUE"""),45497.0)</f>
        <v>45497</v>
      </c>
      <c r="L3345" s="6" t="str">
        <f>IFERROR(__xludf.DUMMYFUNCTION("""COMPUTED_VALUE"""),"FIP General")</f>
        <v>FIP General</v>
      </c>
      <c r="M3345" s="6" t="str">
        <f>IFERROR(__xludf.DUMMYFUNCTION("""COMPUTED_VALUE"""),"Mochammad Fadhillah Hakim,")</f>
        <v>Mochammad Fadhillah Hakim,</v>
      </c>
      <c r="N3345" s="6" t="str">
        <f>IFERROR(__xludf.DUMMYFUNCTION("""COMPUTED_VALUE"""),"FIP Engineering")</f>
        <v>FIP Engineering</v>
      </c>
      <c r="O3345" s="6" t="str">
        <f>IFERROR(__xludf.DUMMYFUNCTION("""COMPUTED_VALUE"""),"FIP-DOM-ENG-51404-0000000-INA-000000")</f>
        <v>FIP-DOM-ENG-51404-0000000-INA-000000</v>
      </c>
      <c r="P3345" s="6" t="str">
        <f>IFERROR(__xludf.DUMMYFUNCTION("""COMPUTED_VALUE"""),"PO Closed")</f>
        <v>PO Closed</v>
      </c>
      <c r="Q3345" s="6" t="str">
        <f>IFERROR(__xludf.DUMMYFUNCTION("""COMPUTED_VALUE"""),"GL2408052")</f>
        <v>GL2408052</v>
      </c>
      <c r="R3345" s="57">
        <f>IFERROR(__xludf.DUMMYFUNCTION("""COMPUTED_VALUE"""),45491.0)</f>
        <v>45491</v>
      </c>
      <c r="S3345" s="57">
        <f>IFERROR(__xludf.DUMMYFUNCTION("""COMPUTED_VALUE"""),45496.0)</f>
        <v>45496</v>
      </c>
      <c r="T3345" s="57">
        <f>IFERROR(__xludf.DUMMYFUNCTION("""COMPUTED_VALUE"""),45565.0)</f>
        <v>45565</v>
      </c>
    </row>
    <row r="3346">
      <c r="A3346" s="6" t="str">
        <f>IFERROR(__xludf.DUMMYFUNCTION("""COMPUTED_VALUE"""),"121701658-1")</f>
        <v>121701658-1</v>
      </c>
      <c r="B3346" s="6" t="str">
        <f>IFERROR(__xludf.DUMMYFUNCTION("""COMPUTED_VALUE"""),"121701658 - APPROVED")</f>
        <v>121701658 - APPROVED</v>
      </c>
      <c r="C3346" s="6">
        <f>IFERROR(__xludf.DUMMYFUNCTION("""COMPUTED_VALUE"""),1.0)</f>
        <v>1</v>
      </c>
      <c r="D3346" s="6" t="str">
        <f>IFERROR(__xludf.DUMMYFUNCTION("""COMPUTED_VALUE"""),"T-80373-00")</f>
        <v>T-80373-00</v>
      </c>
      <c r="E3346" s="6" t="str">
        <f>IFERROR(__xludf.DUMMYFUNCTION("""COMPUTED_VALUE"""),"Plakband Bening 2 inch")</f>
        <v>Plakband Bening 2 inch</v>
      </c>
      <c r="F3346" s="6">
        <f>IFERROR(__xludf.DUMMYFUNCTION("""COMPUTED_VALUE"""),15.0)</f>
        <v>15</v>
      </c>
      <c r="G3346" s="6" t="str">
        <f>IFERROR(__xludf.DUMMYFUNCTION("""COMPUTED_VALUE"""),"Roll")</f>
        <v>Roll</v>
      </c>
      <c r="H3346" s="6" t="str">
        <f>IFERROR(__xludf.DUMMYFUNCTION("""COMPUTED_VALUE"""),"IDR")</f>
        <v>IDR</v>
      </c>
      <c r="I3346" s="6">
        <f>IFERROR(__xludf.DUMMYFUNCTION("""COMPUTED_VALUE"""),7500.0)</f>
        <v>7500</v>
      </c>
      <c r="J3346" s="6">
        <f>IFERROR(__xludf.DUMMYFUNCTION("""COMPUTED_VALUE"""),112500.0)</f>
        <v>112500</v>
      </c>
      <c r="K3346" s="57">
        <f>IFERROR(__xludf.DUMMYFUNCTION("""COMPUTED_VALUE"""),45494.0)</f>
        <v>45494</v>
      </c>
      <c r="L3346" s="6" t="str">
        <f>IFERROR(__xludf.DUMMYFUNCTION("""COMPUTED_VALUE"""),"FIP General")</f>
        <v>FIP General</v>
      </c>
      <c r="M3346" s="6" t="str">
        <f>IFERROR(__xludf.DUMMYFUNCTION("""COMPUTED_VALUE"""),"Mochammad Fadhillah Hakim,")</f>
        <v>Mochammad Fadhillah Hakim,</v>
      </c>
      <c r="N3346" s="6" t="str">
        <f>IFERROR(__xludf.DUMMYFUNCTION("""COMPUTED_VALUE"""),"FIP Engineering")</f>
        <v>FIP Engineering</v>
      </c>
      <c r="O3346" s="6" t="str">
        <f>IFERROR(__xludf.DUMMYFUNCTION("""COMPUTED_VALUE"""),"FIP-DOM-ENG-51411-0000000-INA-000000")</f>
        <v>FIP-DOM-ENG-51411-0000000-INA-000000</v>
      </c>
      <c r="P3346" s="6" t="str">
        <f>IFERROR(__xludf.DUMMYFUNCTION("""COMPUTED_VALUE"""),"PO Closed")</f>
        <v>PO Closed</v>
      </c>
      <c r="Q3346" s="6" t="str">
        <f>IFERROR(__xludf.DUMMYFUNCTION("""COMPUTED_VALUE"""),"GL2407042")</f>
        <v>GL2407042</v>
      </c>
      <c r="R3346" s="57">
        <f>IFERROR(__xludf.DUMMYFUNCTION("""COMPUTED_VALUE"""),45492.0)</f>
        <v>45492</v>
      </c>
      <c r="S3346" s="57">
        <f>IFERROR(__xludf.DUMMYFUNCTION("""COMPUTED_VALUE"""),45492.0)</f>
        <v>45492</v>
      </c>
      <c r="T3346" s="57">
        <f>IFERROR(__xludf.DUMMYFUNCTION("""COMPUTED_VALUE"""),45517.0)</f>
        <v>45517</v>
      </c>
    </row>
    <row r="3347">
      <c r="A3347" s="6" t="str">
        <f>IFERROR(__xludf.DUMMYFUNCTION("""COMPUTED_VALUE"""),"121701658-2")</f>
        <v>121701658-2</v>
      </c>
      <c r="B3347" s="6" t="str">
        <f>IFERROR(__xludf.DUMMYFUNCTION("""COMPUTED_VALUE"""),"121701658 - APPROVED")</f>
        <v>121701658 - APPROVED</v>
      </c>
      <c r="C3347" s="6">
        <f>IFERROR(__xludf.DUMMYFUNCTION("""COMPUTED_VALUE"""),2.0)</f>
        <v>2</v>
      </c>
      <c r="D3347" s="6" t="str">
        <f>IFERROR(__xludf.DUMMYFUNCTION("""COMPUTED_VALUE"""),"T-80376-00")</f>
        <v>T-80376-00</v>
      </c>
      <c r="E3347" s="6" t="str">
        <f>IFERROR(__xludf.DUMMYFUNCTION("""COMPUTED_VALUE"""),"Plakband Hitam 2 inch")</f>
        <v>Plakband Hitam 2 inch</v>
      </c>
      <c r="F3347" s="6">
        <f>IFERROR(__xludf.DUMMYFUNCTION("""COMPUTED_VALUE"""),7.0)</f>
        <v>7</v>
      </c>
      <c r="G3347" s="6" t="str">
        <f>IFERROR(__xludf.DUMMYFUNCTION("""COMPUTED_VALUE"""),"Roll")</f>
        <v>Roll</v>
      </c>
      <c r="H3347" s="6" t="str">
        <f>IFERROR(__xludf.DUMMYFUNCTION("""COMPUTED_VALUE"""),"IDR")</f>
        <v>IDR</v>
      </c>
      <c r="I3347" s="6">
        <f>IFERROR(__xludf.DUMMYFUNCTION("""COMPUTED_VALUE"""),13000.0)</f>
        <v>13000</v>
      </c>
      <c r="J3347" s="6">
        <f>IFERROR(__xludf.DUMMYFUNCTION("""COMPUTED_VALUE"""),91000.0)</f>
        <v>91000</v>
      </c>
      <c r="K3347" s="57">
        <f>IFERROR(__xludf.DUMMYFUNCTION("""COMPUTED_VALUE"""),45494.0)</f>
        <v>45494</v>
      </c>
      <c r="L3347" s="6" t="str">
        <f>IFERROR(__xludf.DUMMYFUNCTION("""COMPUTED_VALUE"""),"FIP General")</f>
        <v>FIP General</v>
      </c>
      <c r="M3347" s="6" t="str">
        <f>IFERROR(__xludf.DUMMYFUNCTION("""COMPUTED_VALUE"""),"Mochammad Fadhillah Hakim,")</f>
        <v>Mochammad Fadhillah Hakim,</v>
      </c>
      <c r="N3347" s="6" t="str">
        <f>IFERROR(__xludf.DUMMYFUNCTION("""COMPUTED_VALUE"""),"FIP Engineering")</f>
        <v>FIP Engineering</v>
      </c>
      <c r="O3347" s="6" t="str">
        <f>IFERROR(__xludf.DUMMYFUNCTION("""COMPUTED_VALUE"""),"FIP-DOM-ENG-51411-0000000-INA-000000")</f>
        <v>FIP-DOM-ENG-51411-0000000-INA-000000</v>
      </c>
      <c r="P3347" s="6" t="str">
        <f>IFERROR(__xludf.DUMMYFUNCTION("""COMPUTED_VALUE"""),"PO Closed")</f>
        <v>PO Closed</v>
      </c>
      <c r="Q3347" s="6" t="str">
        <f>IFERROR(__xludf.DUMMYFUNCTION("""COMPUTED_VALUE"""),"GL2407042")</f>
        <v>GL2407042</v>
      </c>
      <c r="R3347" s="57">
        <f>IFERROR(__xludf.DUMMYFUNCTION("""COMPUTED_VALUE"""),45492.0)</f>
        <v>45492</v>
      </c>
      <c r="S3347" s="57">
        <f>IFERROR(__xludf.DUMMYFUNCTION("""COMPUTED_VALUE"""),45492.0)</f>
        <v>45492</v>
      </c>
      <c r="T3347" s="57">
        <f>IFERROR(__xludf.DUMMYFUNCTION("""COMPUTED_VALUE"""),45517.0)</f>
        <v>45517</v>
      </c>
    </row>
    <row r="3348">
      <c r="A3348" s="6" t="str">
        <f>IFERROR(__xludf.DUMMYFUNCTION("""COMPUTED_VALUE"""),"121701658-3")</f>
        <v>121701658-3</v>
      </c>
      <c r="B3348" s="6" t="str">
        <f>IFERROR(__xludf.DUMMYFUNCTION("""COMPUTED_VALUE"""),"121701658 - APPROVED")</f>
        <v>121701658 - APPROVED</v>
      </c>
      <c r="C3348" s="6">
        <f>IFERROR(__xludf.DUMMYFUNCTION("""COMPUTED_VALUE"""),3.0)</f>
        <v>3</v>
      </c>
      <c r="D3348" s="6" t="str">
        <f>IFERROR(__xludf.DUMMYFUNCTION("""COMPUTED_VALUE"""),"T-80732-00")</f>
        <v>T-80732-00</v>
      </c>
      <c r="E3348" s="6" t="str">
        <f>IFERROR(__xludf.DUMMYFUNCTION("""COMPUTED_VALUE"""),"Plakban Lantai Merk 3M, ukuran 2 in x 36 yd, tebal 0.14 mm, Warna Kuning; 3M; ;")</f>
        <v>Plakban Lantai Merk 3M, ukuran 2 in x 36 yd, tebal 0.14 mm, Warna Kuning; 3M; ;</v>
      </c>
      <c r="F3348" s="6">
        <f>IFERROR(__xludf.DUMMYFUNCTION("""COMPUTED_VALUE"""),5.0)</f>
        <v>5</v>
      </c>
      <c r="G3348" s="6" t="str">
        <f>IFERROR(__xludf.DUMMYFUNCTION("""COMPUTED_VALUE"""),"Roll")</f>
        <v>Roll</v>
      </c>
      <c r="H3348" s="6" t="str">
        <f>IFERROR(__xludf.DUMMYFUNCTION("""COMPUTED_VALUE"""),"IDR")</f>
        <v>IDR</v>
      </c>
      <c r="I3348" s="6">
        <f>IFERROR(__xludf.DUMMYFUNCTION("""COMPUTED_VALUE"""),85000.0)</f>
        <v>85000</v>
      </c>
      <c r="J3348" s="6">
        <f>IFERROR(__xludf.DUMMYFUNCTION("""COMPUTED_VALUE"""),425000.0)</f>
        <v>425000</v>
      </c>
      <c r="K3348" s="57">
        <f>IFERROR(__xludf.DUMMYFUNCTION("""COMPUTED_VALUE"""),45494.0)</f>
        <v>45494</v>
      </c>
      <c r="L3348" s="6" t="str">
        <f>IFERROR(__xludf.DUMMYFUNCTION("""COMPUTED_VALUE"""),"FIP General")</f>
        <v>FIP General</v>
      </c>
      <c r="M3348" s="6" t="str">
        <f>IFERROR(__xludf.DUMMYFUNCTION("""COMPUTED_VALUE"""),"Mochammad Fadhillah Hakim,")</f>
        <v>Mochammad Fadhillah Hakim,</v>
      </c>
      <c r="N3348" s="6" t="str">
        <f>IFERROR(__xludf.DUMMYFUNCTION("""COMPUTED_VALUE"""),"FIP Engineering")</f>
        <v>FIP Engineering</v>
      </c>
      <c r="O3348" s="6" t="str">
        <f>IFERROR(__xludf.DUMMYFUNCTION("""COMPUTED_VALUE"""),"FIP-DOM-ENG-51411-0000000-INA-000000")</f>
        <v>FIP-DOM-ENG-51411-0000000-INA-000000</v>
      </c>
      <c r="P3348" s="6" t="str">
        <f>IFERROR(__xludf.DUMMYFUNCTION("""COMPUTED_VALUE"""),"PO Closed")</f>
        <v>PO Closed</v>
      </c>
      <c r="Q3348" s="6" t="str">
        <f>IFERROR(__xludf.DUMMYFUNCTION("""COMPUTED_VALUE"""),"GL2407042")</f>
        <v>GL2407042</v>
      </c>
      <c r="R3348" s="57">
        <f>IFERROR(__xludf.DUMMYFUNCTION("""COMPUTED_VALUE"""),45492.0)</f>
        <v>45492</v>
      </c>
      <c r="S3348" s="57">
        <f>IFERROR(__xludf.DUMMYFUNCTION("""COMPUTED_VALUE"""),45492.0)</f>
        <v>45492</v>
      </c>
      <c r="T3348" s="57">
        <f>IFERROR(__xludf.DUMMYFUNCTION("""COMPUTED_VALUE"""),45517.0)</f>
        <v>45517</v>
      </c>
    </row>
    <row r="3349">
      <c r="A3349" s="6" t="str">
        <f>IFERROR(__xludf.DUMMYFUNCTION("""COMPUTED_VALUE"""),"121701659-1")</f>
        <v>121701659-1</v>
      </c>
      <c r="B3349" s="6" t="str">
        <f>IFERROR(__xludf.DUMMYFUNCTION("""COMPUTED_VALUE"""),"121701659 - APPROVED")</f>
        <v>121701659 - APPROVED</v>
      </c>
      <c r="C3349" s="6">
        <f>IFERROR(__xludf.DUMMYFUNCTION("""COMPUTED_VALUE"""),1.0)</f>
        <v>1</v>
      </c>
      <c r="D3349" s="6" t="str">
        <f>IFERROR(__xludf.DUMMYFUNCTION("""COMPUTED_VALUE"""),"P-19271-00")</f>
        <v>P-19271-00</v>
      </c>
      <c r="E3349" s="6" t="str">
        <f>IFERROR(__xludf.DUMMYFUNCTION("""COMPUTED_VALUE"""),"Free Float Steam Trap 1/2 inch (DN15); TLV; J3X10;")</f>
        <v>Free Float Steam Trap 1/2 inch (DN15); TLV; J3X10;</v>
      </c>
      <c r="F3349" s="6">
        <f>IFERROR(__xludf.DUMMYFUNCTION("""COMPUTED_VALUE"""),1.0)</f>
        <v>1</v>
      </c>
      <c r="G3349" s="6" t="str">
        <f>IFERROR(__xludf.DUMMYFUNCTION("""COMPUTED_VALUE"""),"Pieces")</f>
        <v>Pieces</v>
      </c>
      <c r="H3349" s="6" t="str">
        <f>IFERROR(__xludf.DUMMYFUNCTION("""COMPUTED_VALUE"""),"IDR")</f>
        <v>IDR</v>
      </c>
      <c r="I3349" s="6">
        <f>IFERROR(__xludf.DUMMYFUNCTION("""COMPUTED_VALUE"""),5600000.0)</f>
        <v>5600000</v>
      </c>
      <c r="J3349" s="6">
        <f>IFERROR(__xludf.DUMMYFUNCTION("""COMPUTED_VALUE"""),5600000.0)</f>
        <v>5600000</v>
      </c>
      <c r="K3349" s="57">
        <f>IFERROR(__xludf.DUMMYFUNCTION("""COMPUTED_VALUE"""),45494.0)</f>
        <v>45494</v>
      </c>
      <c r="L3349" s="6" t="str">
        <f>IFERROR(__xludf.DUMMYFUNCTION("""COMPUTED_VALUE"""),"FIP Engineering")</f>
        <v>FIP Engineering</v>
      </c>
      <c r="M3349" s="6" t="str">
        <f>IFERROR(__xludf.DUMMYFUNCTION("""COMPUTED_VALUE"""),"Mochammad Fadhillah Hakim,")</f>
        <v>Mochammad Fadhillah Hakim,</v>
      </c>
      <c r="N3349" s="6" t="str">
        <f>IFERROR(__xludf.DUMMYFUNCTION("""COMPUTED_VALUE"""),"FIP Engineering")</f>
        <v>FIP Engineering</v>
      </c>
      <c r="O3349" s="6" t="str">
        <f>IFERROR(__xludf.DUMMYFUNCTION("""COMPUTED_VALUE"""),"FIP-DOM-000-11304-OS00001-INA-000000")</f>
        <v>FIP-DOM-000-11304-OS00001-INA-000000</v>
      </c>
      <c r="P3349" s="6" t="str">
        <f>IFERROR(__xludf.DUMMYFUNCTION("""COMPUTED_VALUE"""),"PO Closed")</f>
        <v>PO Closed</v>
      </c>
      <c r="Q3349" s="6" t="str">
        <f>IFERROR(__xludf.DUMMYFUNCTION("""COMPUTED_VALUE"""),"GL2408010")</f>
        <v>GL2408010</v>
      </c>
      <c r="R3349" s="57">
        <f>IFERROR(__xludf.DUMMYFUNCTION("""COMPUTED_VALUE"""),45492.0)</f>
        <v>45492</v>
      </c>
      <c r="S3349" s="57">
        <f>IFERROR(__xludf.DUMMYFUNCTION("""COMPUTED_VALUE"""),45498.0)</f>
        <v>45498</v>
      </c>
      <c r="T3349" s="57">
        <f>IFERROR(__xludf.DUMMYFUNCTION("""COMPUTED_VALUE"""),45656.0)</f>
        <v>45656</v>
      </c>
    </row>
    <row r="3350">
      <c r="A3350" s="6" t="str">
        <f>IFERROR(__xludf.DUMMYFUNCTION("""COMPUTED_VALUE"""),"121701659-2")</f>
        <v>121701659-2</v>
      </c>
      <c r="B3350" s="6" t="str">
        <f>IFERROR(__xludf.DUMMYFUNCTION("""COMPUTED_VALUE"""),"121701659 - APPROVED")</f>
        <v>121701659 - APPROVED</v>
      </c>
      <c r="C3350" s="6">
        <f>IFERROR(__xludf.DUMMYFUNCTION("""COMPUTED_VALUE"""),2.0)</f>
        <v>2</v>
      </c>
      <c r="D3350" s="6" t="str">
        <f>IFERROR(__xludf.DUMMYFUNCTION("""COMPUTED_VALUE"""),"P-19272-00")</f>
        <v>P-19272-00</v>
      </c>
      <c r="E3350" s="6" t="str">
        <f>IFERROR(__xludf.DUMMYFUNCTION("""COMPUTED_VALUE"""),"Free Float Steam Trap 3/4 Inch (DN 20); TLV; J3X10;")</f>
        <v>Free Float Steam Trap 3/4 Inch (DN 20); TLV; J3X10;</v>
      </c>
      <c r="F3350" s="6">
        <f>IFERROR(__xludf.DUMMYFUNCTION("""COMPUTED_VALUE"""),6.0)</f>
        <v>6</v>
      </c>
      <c r="G3350" s="6" t="str">
        <f>IFERROR(__xludf.DUMMYFUNCTION("""COMPUTED_VALUE"""),"Pieces")</f>
        <v>Pieces</v>
      </c>
      <c r="H3350" s="6" t="str">
        <f>IFERROR(__xludf.DUMMYFUNCTION("""COMPUTED_VALUE"""),"IDR")</f>
        <v>IDR</v>
      </c>
      <c r="I3350" s="6">
        <f>IFERROR(__xludf.DUMMYFUNCTION("""COMPUTED_VALUE"""),5700000.0)</f>
        <v>5700000</v>
      </c>
      <c r="J3350" s="6">
        <f>IFERROR(__xludf.DUMMYFUNCTION("""COMPUTED_VALUE"""),3.42E7)</f>
        <v>34200000</v>
      </c>
      <c r="K3350" s="57">
        <f>IFERROR(__xludf.DUMMYFUNCTION("""COMPUTED_VALUE"""),45494.0)</f>
        <v>45494</v>
      </c>
      <c r="L3350" s="6" t="str">
        <f>IFERROR(__xludf.DUMMYFUNCTION("""COMPUTED_VALUE"""),"FIP Engineering")</f>
        <v>FIP Engineering</v>
      </c>
      <c r="M3350" s="6" t="str">
        <f>IFERROR(__xludf.DUMMYFUNCTION("""COMPUTED_VALUE"""),"Mochammad Fadhillah Hakim,")</f>
        <v>Mochammad Fadhillah Hakim,</v>
      </c>
      <c r="N3350" s="6" t="str">
        <f>IFERROR(__xludf.DUMMYFUNCTION("""COMPUTED_VALUE"""),"FIP Engineering")</f>
        <v>FIP Engineering</v>
      </c>
      <c r="O3350" s="6" t="str">
        <f>IFERROR(__xludf.DUMMYFUNCTION("""COMPUTED_VALUE"""),"FIP-DOM-000-11304-OS00001-INA-000000")</f>
        <v>FIP-DOM-000-11304-OS00001-INA-000000</v>
      </c>
      <c r="P3350" s="6" t="str">
        <f>IFERROR(__xludf.DUMMYFUNCTION("""COMPUTED_VALUE"""),"PO Closed")</f>
        <v>PO Closed</v>
      </c>
      <c r="Q3350" s="6" t="str">
        <f>IFERROR(__xludf.DUMMYFUNCTION("""COMPUTED_VALUE"""),"GL2408010")</f>
        <v>GL2408010</v>
      </c>
      <c r="R3350" s="57">
        <f>IFERROR(__xludf.DUMMYFUNCTION("""COMPUTED_VALUE"""),45492.0)</f>
        <v>45492</v>
      </c>
      <c r="S3350" s="57">
        <f>IFERROR(__xludf.DUMMYFUNCTION("""COMPUTED_VALUE"""),45498.0)</f>
        <v>45498</v>
      </c>
      <c r="T3350" s="57">
        <f>IFERROR(__xludf.DUMMYFUNCTION("""COMPUTED_VALUE"""),45573.0)</f>
        <v>45573</v>
      </c>
    </row>
    <row r="3351">
      <c r="A3351" s="6" t="str">
        <f>IFERROR(__xludf.DUMMYFUNCTION("""COMPUTED_VALUE"""),"121701659-3")</f>
        <v>121701659-3</v>
      </c>
      <c r="B3351" s="6" t="str">
        <f>IFERROR(__xludf.DUMMYFUNCTION("""COMPUTED_VALUE"""),"121701659 - APPROVED")</f>
        <v>121701659 - APPROVED</v>
      </c>
      <c r="C3351" s="6">
        <f>IFERROR(__xludf.DUMMYFUNCTION("""COMPUTED_VALUE"""),3.0)</f>
        <v>3</v>
      </c>
      <c r="D3351" s="6" t="str">
        <f>IFERROR(__xludf.DUMMYFUNCTION("""COMPUTED_VALUE"""),"P-19273-00")</f>
        <v>P-19273-00</v>
      </c>
      <c r="E3351" s="6" t="str">
        <f>IFERROR(__xludf.DUMMYFUNCTION("""COMPUTED_VALUE"""),"Free Float Steam Trap 3/4 inch (DN 20); TLV; J5X10;")</f>
        <v>Free Float Steam Trap 3/4 inch (DN 20); TLV; J5X10;</v>
      </c>
      <c r="F3351" s="6">
        <f>IFERROR(__xludf.DUMMYFUNCTION("""COMPUTED_VALUE"""),1.0)</f>
        <v>1</v>
      </c>
      <c r="G3351" s="6" t="str">
        <f>IFERROR(__xludf.DUMMYFUNCTION("""COMPUTED_VALUE"""),"Pieces")</f>
        <v>Pieces</v>
      </c>
      <c r="H3351" s="6" t="str">
        <f>IFERROR(__xludf.DUMMYFUNCTION("""COMPUTED_VALUE"""),"IDR")</f>
        <v>IDR</v>
      </c>
      <c r="I3351" s="6">
        <f>IFERROR(__xludf.DUMMYFUNCTION("""COMPUTED_VALUE"""),1.03E7)</f>
        <v>10300000</v>
      </c>
      <c r="J3351" s="6">
        <f>IFERROR(__xludf.DUMMYFUNCTION("""COMPUTED_VALUE"""),1.03E7)</f>
        <v>10300000</v>
      </c>
      <c r="K3351" s="57">
        <f>IFERROR(__xludf.DUMMYFUNCTION("""COMPUTED_VALUE"""),45494.0)</f>
        <v>45494</v>
      </c>
      <c r="L3351" s="6" t="str">
        <f>IFERROR(__xludf.DUMMYFUNCTION("""COMPUTED_VALUE"""),"FIP Engineering")</f>
        <v>FIP Engineering</v>
      </c>
      <c r="M3351" s="6" t="str">
        <f>IFERROR(__xludf.DUMMYFUNCTION("""COMPUTED_VALUE"""),"Mochammad Fadhillah Hakim,")</f>
        <v>Mochammad Fadhillah Hakim,</v>
      </c>
      <c r="N3351" s="6" t="str">
        <f>IFERROR(__xludf.DUMMYFUNCTION("""COMPUTED_VALUE"""),"FIP Engineering")</f>
        <v>FIP Engineering</v>
      </c>
      <c r="O3351" s="6" t="str">
        <f>IFERROR(__xludf.DUMMYFUNCTION("""COMPUTED_VALUE"""),"FIP-DOM-000-11304-OS00001-INA-000000")</f>
        <v>FIP-DOM-000-11304-OS00001-INA-000000</v>
      </c>
      <c r="P3351" s="6" t="str">
        <f>IFERROR(__xludf.DUMMYFUNCTION("""COMPUTED_VALUE"""),"PO Closed")</f>
        <v>PO Closed</v>
      </c>
      <c r="Q3351" s="6" t="str">
        <f>IFERROR(__xludf.DUMMYFUNCTION("""COMPUTED_VALUE"""),"GL2408010")</f>
        <v>GL2408010</v>
      </c>
      <c r="R3351" s="57">
        <f>IFERROR(__xludf.DUMMYFUNCTION("""COMPUTED_VALUE"""),45492.0)</f>
        <v>45492</v>
      </c>
      <c r="S3351" s="57">
        <f>IFERROR(__xludf.DUMMYFUNCTION("""COMPUTED_VALUE"""),45498.0)</f>
        <v>45498</v>
      </c>
      <c r="T3351" s="57">
        <f>IFERROR(__xludf.DUMMYFUNCTION("""COMPUTED_VALUE"""),45573.0)</f>
        <v>45573</v>
      </c>
    </row>
    <row r="3352">
      <c r="A3352" s="6" t="str">
        <f>IFERROR(__xludf.DUMMYFUNCTION("""COMPUTED_VALUE"""),"121701659-4")</f>
        <v>121701659-4</v>
      </c>
      <c r="B3352" s="6" t="str">
        <f>IFERROR(__xludf.DUMMYFUNCTION("""COMPUTED_VALUE"""),"121701659 - APPROVED")</f>
        <v>121701659 - APPROVED</v>
      </c>
      <c r="C3352" s="6">
        <f>IFERROR(__xludf.DUMMYFUNCTION("""COMPUTED_VALUE"""),4.0)</f>
        <v>4</v>
      </c>
      <c r="D3352" s="6" t="str">
        <f>IFERROR(__xludf.DUMMYFUNCTION("""COMPUTED_VALUE"""),"P-18472-00")</f>
        <v>P-18472-00</v>
      </c>
      <c r="E3352" s="6" t="str">
        <f>IFERROR(__xludf.DUMMYFUNCTION("""COMPUTED_VALUE"""),"Thermostatic Steam Trap LV6-CE DN20 Stainless Steel; TLV; ;")</f>
        <v>Thermostatic Steam Trap LV6-CE DN20 Stainless Steel; TLV; ;</v>
      </c>
      <c r="F3352" s="6">
        <f>IFERROR(__xludf.DUMMYFUNCTION("""COMPUTED_VALUE"""),1.0)</f>
        <v>1</v>
      </c>
      <c r="G3352" s="6" t="str">
        <f>IFERROR(__xludf.DUMMYFUNCTION("""COMPUTED_VALUE"""),"Pieces")</f>
        <v>Pieces</v>
      </c>
      <c r="H3352" s="6" t="str">
        <f>IFERROR(__xludf.DUMMYFUNCTION("""COMPUTED_VALUE"""),"IDR")</f>
        <v>IDR</v>
      </c>
      <c r="I3352" s="6">
        <f>IFERROR(__xludf.DUMMYFUNCTION("""COMPUTED_VALUE"""),7900000.0)</f>
        <v>7900000</v>
      </c>
      <c r="J3352" s="6">
        <f>IFERROR(__xludf.DUMMYFUNCTION("""COMPUTED_VALUE"""),7900000.0)</f>
        <v>7900000</v>
      </c>
      <c r="K3352" s="57">
        <f>IFERROR(__xludf.DUMMYFUNCTION("""COMPUTED_VALUE"""),45494.0)</f>
        <v>45494</v>
      </c>
      <c r="L3352" s="6" t="str">
        <f>IFERROR(__xludf.DUMMYFUNCTION("""COMPUTED_VALUE"""),"FIP Engineering")</f>
        <v>FIP Engineering</v>
      </c>
      <c r="M3352" s="6" t="str">
        <f>IFERROR(__xludf.DUMMYFUNCTION("""COMPUTED_VALUE"""),"Mochammad Fadhillah Hakim,")</f>
        <v>Mochammad Fadhillah Hakim,</v>
      </c>
      <c r="N3352" s="6" t="str">
        <f>IFERROR(__xludf.DUMMYFUNCTION("""COMPUTED_VALUE"""),"FIP Engineering")</f>
        <v>FIP Engineering</v>
      </c>
      <c r="O3352" s="6" t="str">
        <f>IFERROR(__xludf.DUMMYFUNCTION("""COMPUTED_VALUE"""),"FIP-DOM-000-11304-OS00001-INA-000000")</f>
        <v>FIP-DOM-000-11304-OS00001-INA-000000</v>
      </c>
      <c r="P3352" s="6" t="str">
        <f>IFERROR(__xludf.DUMMYFUNCTION("""COMPUTED_VALUE"""),"PO Closed")</f>
        <v>PO Closed</v>
      </c>
      <c r="Q3352" s="6" t="str">
        <f>IFERROR(__xludf.DUMMYFUNCTION("""COMPUTED_VALUE"""),"GL2408010")</f>
        <v>GL2408010</v>
      </c>
      <c r="R3352" s="57">
        <f>IFERROR(__xludf.DUMMYFUNCTION("""COMPUTED_VALUE"""),45492.0)</f>
        <v>45492</v>
      </c>
      <c r="S3352" s="57">
        <f>IFERROR(__xludf.DUMMYFUNCTION("""COMPUTED_VALUE"""),45498.0)</f>
        <v>45498</v>
      </c>
      <c r="T3352" s="57">
        <f>IFERROR(__xludf.DUMMYFUNCTION("""COMPUTED_VALUE"""),45573.0)</f>
        <v>45573</v>
      </c>
    </row>
    <row r="3353">
      <c r="A3353" s="6" t="str">
        <f>IFERROR(__xludf.DUMMYFUNCTION("""COMPUTED_VALUE"""),"121701660-1")</f>
        <v>121701660-1</v>
      </c>
      <c r="B3353" s="6" t="str">
        <f>IFERROR(__xludf.DUMMYFUNCTION("""COMPUTED_VALUE"""),"121701660 - APPROVED")</f>
        <v>121701660 - APPROVED</v>
      </c>
      <c r="C3353" s="6">
        <f>IFERROR(__xludf.DUMMYFUNCTION("""COMPUTED_VALUE"""),1.0)</f>
        <v>1</v>
      </c>
      <c r="D3353" s="6" t="str">
        <f>IFERROR(__xludf.DUMMYFUNCTION("""COMPUTED_VALUE"""),"O-13799-00")</f>
        <v>O-13799-00</v>
      </c>
      <c r="E3353" s="6" t="str">
        <f>IFERROR(__xludf.DUMMYFUNCTION("""COMPUTED_VALUE"""),"Carbon Vanes VT4.40 INTIDAYA DINAMIKA SEJATI, PT P/N : -  pc")</f>
        <v>Carbon Vanes VT4.40 INTIDAYA DINAMIKA SEJATI, PT P/N : -  pc</v>
      </c>
      <c r="F3353" s="6">
        <f>IFERROR(__xludf.DUMMYFUNCTION("""COMPUTED_VALUE"""),1.0)</f>
        <v>1</v>
      </c>
      <c r="G3353" s="6" t="str">
        <f>IFERROR(__xludf.DUMMYFUNCTION("""COMPUTED_VALUE"""),"Pieces")</f>
        <v>Pieces</v>
      </c>
      <c r="H3353" s="6" t="str">
        <f>IFERROR(__xludf.DUMMYFUNCTION("""COMPUTED_VALUE"""),"IDR")</f>
        <v>IDR</v>
      </c>
      <c r="I3353" s="6">
        <f>IFERROR(__xludf.DUMMYFUNCTION("""COMPUTED_VALUE"""),1.12E7)</f>
        <v>11200000</v>
      </c>
      <c r="J3353" s="6">
        <f>IFERROR(__xludf.DUMMYFUNCTION("""COMPUTED_VALUE"""),1.12E7)</f>
        <v>11200000</v>
      </c>
      <c r="K3353" s="57">
        <f>IFERROR(__xludf.DUMMYFUNCTION("""COMPUTED_VALUE"""),45494.0)</f>
        <v>45494</v>
      </c>
      <c r="L3353" s="6" t="str">
        <f>IFERROR(__xludf.DUMMYFUNCTION("""COMPUTED_VALUE"""),"FIP Engineering")</f>
        <v>FIP Engineering</v>
      </c>
      <c r="M3353" s="6" t="str">
        <f>IFERROR(__xludf.DUMMYFUNCTION("""COMPUTED_VALUE"""),"Mochammad Fadhillah Hakim,")</f>
        <v>Mochammad Fadhillah Hakim,</v>
      </c>
      <c r="N3353" s="6" t="str">
        <f>IFERROR(__xludf.DUMMYFUNCTION("""COMPUTED_VALUE"""),"FIP Engineering")</f>
        <v>FIP Engineering</v>
      </c>
      <c r="O3353" s="6" t="str">
        <f>IFERROR(__xludf.DUMMYFUNCTION("""COMPUTED_VALUE"""),"FIP-DOM-000-11304-OS00001-INA-000000")</f>
        <v>FIP-DOM-000-11304-OS00001-INA-000000</v>
      </c>
      <c r="P3353" s="6" t="str">
        <f>IFERROR(__xludf.DUMMYFUNCTION("""COMPUTED_VALUE"""),"PO Closed")</f>
        <v>PO Closed</v>
      </c>
      <c r="Q3353" s="6" t="str">
        <f>IFERROR(__xludf.DUMMYFUNCTION("""COMPUTED_VALUE"""),"GL2408012")</f>
        <v>GL2408012</v>
      </c>
      <c r="R3353" s="57">
        <f>IFERROR(__xludf.DUMMYFUNCTION("""COMPUTED_VALUE"""),45492.0)</f>
        <v>45492</v>
      </c>
      <c r="S3353" s="57">
        <f>IFERROR(__xludf.DUMMYFUNCTION("""COMPUTED_VALUE"""),45495.0)</f>
        <v>45495</v>
      </c>
      <c r="T3353" s="57">
        <f>IFERROR(__xludf.DUMMYFUNCTION("""COMPUTED_VALUE"""),45575.0)</f>
        <v>45575</v>
      </c>
    </row>
    <row r="3354">
      <c r="A3354" s="6" t="str">
        <f>IFERROR(__xludf.DUMMYFUNCTION("""COMPUTED_VALUE"""),"121701661-1")</f>
        <v>121701661-1</v>
      </c>
      <c r="B3354" s="6" t="str">
        <f>IFERROR(__xludf.DUMMYFUNCTION("""COMPUTED_VALUE"""),"121701661 - APPROVED")</f>
        <v>121701661 - APPROVED</v>
      </c>
      <c r="C3354" s="6">
        <f>IFERROR(__xludf.DUMMYFUNCTION("""COMPUTED_VALUE"""),1.0)</f>
        <v>1</v>
      </c>
      <c r="D3354" s="6" t="str">
        <f>IFERROR(__xludf.DUMMYFUNCTION("""COMPUTED_VALUE"""),"P-13370-00")</f>
        <v>P-13370-00</v>
      </c>
      <c r="E3354" s="6" t="str">
        <f>IFERROR(__xludf.DUMMYFUNCTION("""COMPUTED_VALUE"""),"Pulser SCR Heater Contoller; Regin; ;")</f>
        <v>Pulser SCR Heater Contoller; Regin; ;</v>
      </c>
      <c r="F3354" s="6">
        <f>IFERROR(__xludf.DUMMYFUNCTION("""COMPUTED_VALUE"""),3.0)</f>
        <v>3</v>
      </c>
      <c r="G3354" s="6" t="str">
        <f>IFERROR(__xludf.DUMMYFUNCTION("""COMPUTED_VALUE"""),"Unit")</f>
        <v>Unit</v>
      </c>
      <c r="H3354" s="6" t="str">
        <f>IFERROR(__xludf.DUMMYFUNCTION("""COMPUTED_VALUE"""),"IDR")</f>
        <v>IDR</v>
      </c>
      <c r="I3354" s="6">
        <f>IFERROR(__xludf.DUMMYFUNCTION("""COMPUTED_VALUE"""),2887500.0)</f>
        <v>2887500</v>
      </c>
      <c r="J3354" s="6">
        <f>IFERROR(__xludf.DUMMYFUNCTION("""COMPUTED_VALUE"""),8662500.0)</f>
        <v>8662500</v>
      </c>
      <c r="K3354" s="57">
        <f>IFERROR(__xludf.DUMMYFUNCTION("""COMPUTED_VALUE"""),45494.0)</f>
        <v>45494</v>
      </c>
      <c r="L3354" s="6" t="str">
        <f>IFERROR(__xludf.DUMMYFUNCTION("""COMPUTED_VALUE"""),"FIP Engineering")</f>
        <v>FIP Engineering</v>
      </c>
      <c r="M3354" s="6" t="str">
        <f>IFERROR(__xludf.DUMMYFUNCTION("""COMPUTED_VALUE"""),"Mochammad Fadhillah Hakim,")</f>
        <v>Mochammad Fadhillah Hakim,</v>
      </c>
      <c r="N3354" s="6" t="str">
        <f>IFERROR(__xludf.DUMMYFUNCTION("""COMPUTED_VALUE"""),"FIP Engineering")</f>
        <v>FIP Engineering</v>
      </c>
      <c r="O3354" s="6" t="str">
        <f>IFERROR(__xludf.DUMMYFUNCTION("""COMPUTED_VALUE"""),"FIP-DOM-000-11304-OS00001-INA-000000")</f>
        <v>FIP-DOM-000-11304-OS00001-INA-000000</v>
      </c>
      <c r="P3354" s="6" t="str">
        <f>IFERROR(__xludf.DUMMYFUNCTION("""COMPUTED_VALUE"""),"PO Closed")</f>
        <v>PO Closed</v>
      </c>
      <c r="Q3354" s="6" t="str">
        <f>IFERROR(__xludf.DUMMYFUNCTION("""COMPUTED_VALUE"""),"GL2408036")</f>
        <v>GL2408036</v>
      </c>
      <c r="R3354" s="57">
        <f>IFERROR(__xludf.DUMMYFUNCTION("""COMPUTED_VALUE"""),45492.0)</f>
        <v>45492</v>
      </c>
      <c r="S3354" s="57">
        <f>IFERROR(__xludf.DUMMYFUNCTION("""COMPUTED_VALUE"""),45494.0)</f>
        <v>45494</v>
      </c>
      <c r="T3354" s="57">
        <f>IFERROR(__xludf.DUMMYFUNCTION("""COMPUTED_VALUE"""),45612.0)</f>
        <v>45612</v>
      </c>
    </row>
    <row r="3355">
      <c r="A3355" s="6" t="str">
        <f>IFERROR(__xludf.DUMMYFUNCTION("""COMPUTED_VALUE"""),"121701662-1")</f>
        <v>121701662-1</v>
      </c>
      <c r="B3355" s="6" t="str">
        <f>IFERROR(__xludf.DUMMYFUNCTION("""COMPUTED_VALUE"""),"121701662 - APPROVED")</f>
        <v>121701662 - APPROVED</v>
      </c>
      <c r="C3355" s="6">
        <f>IFERROR(__xludf.DUMMYFUNCTION("""COMPUTED_VALUE"""),1.0)</f>
        <v>1</v>
      </c>
      <c r="D3355" s="6" t="str">
        <f>IFERROR(__xludf.DUMMYFUNCTION("""COMPUTED_VALUE"""),"P-17645-00")</f>
        <v>P-17645-00</v>
      </c>
      <c r="E3355" s="6" t="str">
        <f>IFERROR(__xludf.DUMMYFUNCTION("""COMPUTED_VALUE"""),"Sodium Hiphoclorite; ; ; ltr")</f>
        <v>Sodium Hiphoclorite; ; ; ltr</v>
      </c>
      <c r="F3355" s="6">
        <f>IFERROR(__xludf.DUMMYFUNCTION("""COMPUTED_VALUE"""),25.0)</f>
        <v>25</v>
      </c>
      <c r="G3355" s="6" t="str">
        <f>IFERROR(__xludf.DUMMYFUNCTION("""COMPUTED_VALUE"""),"Liter")</f>
        <v>Liter</v>
      </c>
      <c r="H3355" s="6" t="str">
        <f>IFERROR(__xludf.DUMMYFUNCTION("""COMPUTED_VALUE"""),"IDR")</f>
        <v>IDR</v>
      </c>
      <c r="I3355" s="6">
        <f>IFERROR(__xludf.DUMMYFUNCTION("""COMPUTED_VALUE"""),5000.0)</f>
        <v>5000</v>
      </c>
      <c r="J3355" s="6">
        <f>IFERROR(__xludf.DUMMYFUNCTION("""COMPUTED_VALUE"""),125000.0)</f>
        <v>125000</v>
      </c>
      <c r="K3355" s="57">
        <f>IFERROR(__xludf.DUMMYFUNCTION("""COMPUTED_VALUE"""),45534.0)</f>
        <v>45534</v>
      </c>
      <c r="L3355" s="6" t="str">
        <f>IFERROR(__xludf.DUMMYFUNCTION("""COMPUTED_VALUE"""),"FIP Engineering")</f>
        <v>FIP Engineering</v>
      </c>
      <c r="M3355" s="6" t="str">
        <f>IFERROR(__xludf.DUMMYFUNCTION("""COMPUTED_VALUE"""),"Mochammad Fadhillah Hakim,")</f>
        <v>Mochammad Fadhillah Hakim,</v>
      </c>
      <c r="N3355" s="6" t="str">
        <f>IFERROR(__xludf.DUMMYFUNCTION("""COMPUTED_VALUE"""),"FIP Engineering")</f>
        <v>FIP Engineering</v>
      </c>
      <c r="O3355" s="6" t="str">
        <f>IFERROR(__xludf.DUMMYFUNCTION("""COMPUTED_VALUE"""),"FIP-DOM-000-11304-OS00001-INA-000000")</f>
        <v>FIP-DOM-000-11304-OS00001-INA-000000</v>
      </c>
      <c r="P3355" s="6" t="str">
        <f>IFERROR(__xludf.DUMMYFUNCTION("""COMPUTED_VALUE"""),"PO Closed")</f>
        <v>PO Closed</v>
      </c>
      <c r="Q3355" s="6" t="str">
        <f>IFERROR(__xludf.DUMMYFUNCTION("""COMPUTED_VALUE"""),"GL2408035")</f>
        <v>GL2408035</v>
      </c>
      <c r="R3355" s="57">
        <f>IFERROR(__xludf.DUMMYFUNCTION("""COMPUTED_VALUE"""),45496.0)</f>
        <v>45496</v>
      </c>
      <c r="S3355" s="57">
        <f>IFERROR(__xludf.DUMMYFUNCTION("""COMPUTED_VALUE"""),45496.0)</f>
        <v>45496</v>
      </c>
      <c r="T3355" s="57">
        <f>IFERROR(__xludf.DUMMYFUNCTION("""COMPUTED_VALUE"""),45596.0)</f>
        <v>45596</v>
      </c>
    </row>
    <row r="3356">
      <c r="A3356" s="6" t="str">
        <f>IFERROR(__xludf.DUMMYFUNCTION("""COMPUTED_VALUE"""),"121701662-2")</f>
        <v>121701662-2</v>
      </c>
      <c r="B3356" s="6" t="str">
        <f>IFERROR(__xludf.DUMMYFUNCTION("""COMPUTED_VALUE"""),"121701662 - APPROVED")</f>
        <v>121701662 - APPROVED</v>
      </c>
      <c r="C3356" s="6">
        <f>IFERROR(__xludf.DUMMYFUNCTION("""COMPUTED_VALUE"""),2.0)</f>
        <v>2</v>
      </c>
      <c r="D3356" s="6" t="str">
        <f>IFERROR(__xludf.DUMMYFUNCTION("""COMPUTED_VALUE"""),"P-17645-00")</f>
        <v>P-17645-00</v>
      </c>
      <c r="E3356" s="6" t="str">
        <f>IFERROR(__xludf.DUMMYFUNCTION("""COMPUTED_VALUE"""),"Sodium Hiphoclorite; ; ; ltr")</f>
        <v>Sodium Hiphoclorite; ; ; ltr</v>
      </c>
      <c r="F3356" s="6">
        <f>IFERROR(__xludf.DUMMYFUNCTION("""COMPUTED_VALUE"""),25.0)</f>
        <v>25</v>
      </c>
      <c r="G3356" s="6" t="str">
        <f>IFERROR(__xludf.DUMMYFUNCTION("""COMPUTED_VALUE"""),"Liter")</f>
        <v>Liter</v>
      </c>
      <c r="H3356" s="6" t="str">
        <f>IFERROR(__xludf.DUMMYFUNCTION("""COMPUTED_VALUE"""),"IDR")</f>
        <v>IDR</v>
      </c>
      <c r="I3356" s="6">
        <f>IFERROR(__xludf.DUMMYFUNCTION("""COMPUTED_VALUE"""),5000.0)</f>
        <v>5000</v>
      </c>
      <c r="J3356" s="6">
        <f>IFERROR(__xludf.DUMMYFUNCTION("""COMPUTED_VALUE"""),125000.0)</f>
        <v>125000</v>
      </c>
      <c r="K3356" s="57">
        <f>IFERROR(__xludf.DUMMYFUNCTION("""COMPUTED_VALUE"""),45625.0)</f>
        <v>45625</v>
      </c>
      <c r="L3356" s="6" t="str">
        <f>IFERROR(__xludf.DUMMYFUNCTION("""COMPUTED_VALUE"""),"FIP Engineering")</f>
        <v>FIP Engineering</v>
      </c>
      <c r="M3356" s="6" t="str">
        <f>IFERROR(__xludf.DUMMYFUNCTION("""COMPUTED_VALUE"""),"Mochammad Fadhillah Hakim,")</f>
        <v>Mochammad Fadhillah Hakim,</v>
      </c>
      <c r="N3356" s="6" t="str">
        <f>IFERROR(__xludf.DUMMYFUNCTION("""COMPUTED_VALUE"""),"FIP Engineering")</f>
        <v>FIP Engineering</v>
      </c>
      <c r="O3356" s="6" t="str">
        <f>IFERROR(__xludf.DUMMYFUNCTION("""COMPUTED_VALUE"""),"FIP-DOM-000-11304-OS00001-INA-000000")</f>
        <v>FIP-DOM-000-11304-OS00001-INA-000000</v>
      </c>
      <c r="P3356" s="6" t="str">
        <f>IFERROR(__xludf.DUMMYFUNCTION("""COMPUTED_VALUE"""),"PO Closed")</f>
        <v>PO Closed</v>
      </c>
      <c r="Q3356" s="6" t="str">
        <f>IFERROR(__xludf.DUMMYFUNCTION("""COMPUTED_VALUE"""),"GL2408035")</f>
        <v>GL2408035</v>
      </c>
      <c r="R3356" s="57">
        <f>IFERROR(__xludf.DUMMYFUNCTION("""COMPUTED_VALUE"""),45496.0)</f>
        <v>45496</v>
      </c>
      <c r="S3356" s="57">
        <f>IFERROR(__xludf.DUMMYFUNCTION("""COMPUTED_VALUE"""),45496.0)</f>
        <v>45496</v>
      </c>
      <c r="T3356" s="57">
        <f>IFERROR(__xludf.DUMMYFUNCTION("""COMPUTED_VALUE"""),45596.0)</f>
        <v>45596</v>
      </c>
    </row>
    <row r="3357">
      <c r="A3357" s="6" t="str">
        <f>IFERROR(__xludf.DUMMYFUNCTION("""COMPUTED_VALUE"""),"121701663-1")</f>
        <v>121701663-1</v>
      </c>
      <c r="B3357" s="6" t="str">
        <f>IFERROR(__xludf.DUMMYFUNCTION("""COMPUTED_VALUE"""),"121701663 - APPROVED")</f>
        <v>121701663 - APPROVED</v>
      </c>
      <c r="C3357" s="6">
        <f>IFERROR(__xludf.DUMMYFUNCTION("""COMPUTED_VALUE"""),1.0)</f>
        <v>1</v>
      </c>
      <c r="D3357" s="6" t="str">
        <f>IFERROR(__xludf.DUMMYFUNCTION("""COMPUTED_VALUE"""),"P-51559-00")</f>
        <v>P-51559-00</v>
      </c>
      <c r="E3357" s="6" t="str">
        <f>IFERROR(__xludf.DUMMYFUNCTION("""COMPUTED_VALUE"""),"Lampu T5 14watt Putih; Phillips; ;")</f>
        <v>Lampu T5 14watt Putih; Phillips; ;</v>
      </c>
      <c r="F3357" s="6">
        <f>IFERROR(__xludf.DUMMYFUNCTION("""COMPUTED_VALUE"""),100.0)</f>
        <v>100</v>
      </c>
      <c r="G3357" s="6" t="str">
        <f>IFERROR(__xludf.DUMMYFUNCTION("""COMPUTED_VALUE"""),"Pack")</f>
        <v>Pack</v>
      </c>
      <c r="H3357" s="6" t="str">
        <f>IFERROR(__xludf.DUMMYFUNCTION("""COMPUTED_VALUE"""),"IDR")</f>
        <v>IDR</v>
      </c>
      <c r="I3357" s="6">
        <f>IFERROR(__xludf.DUMMYFUNCTION("""COMPUTED_VALUE"""),38000.0)</f>
        <v>38000</v>
      </c>
      <c r="J3357" s="6">
        <f>IFERROR(__xludf.DUMMYFUNCTION("""COMPUTED_VALUE"""),3800000.0)</f>
        <v>3800000</v>
      </c>
      <c r="K3357" s="57">
        <f>IFERROR(__xludf.DUMMYFUNCTION("""COMPUTED_VALUE"""),45534.0)</f>
        <v>45534</v>
      </c>
      <c r="L3357" s="6" t="str">
        <f>IFERROR(__xludf.DUMMYFUNCTION("""COMPUTED_VALUE"""),"FIP Engineering")</f>
        <v>FIP Engineering</v>
      </c>
      <c r="M3357" s="6" t="str">
        <f>IFERROR(__xludf.DUMMYFUNCTION("""COMPUTED_VALUE"""),"Mochammad Fadhillah Hakim,")</f>
        <v>Mochammad Fadhillah Hakim,</v>
      </c>
      <c r="N3357" s="6" t="str">
        <f>IFERROR(__xludf.DUMMYFUNCTION("""COMPUTED_VALUE"""),"FIP Engineering")</f>
        <v>FIP Engineering</v>
      </c>
      <c r="O3357" s="6" t="str">
        <f>IFERROR(__xludf.DUMMYFUNCTION("""COMPUTED_VALUE"""),"FIP-DOM-000-11304-OS00001-INA-000000")</f>
        <v>FIP-DOM-000-11304-OS00001-INA-000000</v>
      </c>
      <c r="P3357" s="6" t="str">
        <f>IFERROR(__xludf.DUMMYFUNCTION("""COMPUTED_VALUE"""),"PO Closed")</f>
        <v>PO Closed</v>
      </c>
      <c r="Q3357" s="6" t="str">
        <f>IFERROR(__xludf.DUMMYFUNCTION("""COMPUTED_VALUE"""),"GL2408013")</f>
        <v>GL2408013</v>
      </c>
      <c r="R3357" s="57">
        <f>IFERROR(__xludf.DUMMYFUNCTION("""COMPUTED_VALUE"""),45496.0)</f>
        <v>45496</v>
      </c>
      <c r="S3357" s="57">
        <f>IFERROR(__xludf.DUMMYFUNCTION("""COMPUTED_VALUE"""),45497.0)</f>
        <v>45497</v>
      </c>
      <c r="T3357" s="57">
        <f>IFERROR(__xludf.DUMMYFUNCTION("""COMPUTED_VALUE"""),45569.0)</f>
        <v>45569</v>
      </c>
    </row>
    <row r="3358">
      <c r="A3358" s="6" t="str">
        <f>IFERROR(__xludf.DUMMYFUNCTION("""COMPUTED_VALUE"""),"121701663-2")</f>
        <v>121701663-2</v>
      </c>
      <c r="B3358" s="6" t="str">
        <f>IFERROR(__xludf.DUMMYFUNCTION("""COMPUTED_VALUE"""),"121701663 - APPROVED")</f>
        <v>121701663 - APPROVED</v>
      </c>
      <c r="C3358" s="6">
        <f>IFERROR(__xludf.DUMMYFUNCTION("""COMPUTED_VALUE"""),2.0)</f>
        <v>2</v>
      </c>
      <c r="D3358" s="6" t="str">
        <f>IFERROR(__xludf.DUMMYFUNCTION("""COMPUTED_VALUE"""),"P-51559-00")</f>
        <v>P-51559-00</v>
      </c>
      <c r="E3358" s="6" t="str">
        <f>IFERROR(__xludf.DUMMYFUNCTION("""COMPUTED_VALUE"""),"Lampu T5 14watt Putih; Phillips; ;")</f>
        <v>Lampu T5 14watt Putih; Phillips; ;</v>
      </c>
      <c r="F3358" s="6">
        <f>IFERROR(__xludf.DUMMYFUNCTION("""COMPUTED_VALUE"""),100.0)</f>
        <v>100</v>
      </c>
      <c r="G3358" s="6" t="str">
        <f>IFERROR(__xludf.DUMMYFUNCTION("""COMPUTED_VALUE"""),"Pack")</f>
        <v>Pack</v>
      </c>
      <c r="H3358" s="6" t="str">
        <f>IFERROR(__xludf.DUMMYFUNCTION("""COMPUTED_VALUE"""),"IDR")</f>
        <v>IDR</v>
      </c>
      <c r="I3358" s="6">
        <f>IFERROR(__xludf.DUMMYFUNCTION("""COMPUTED_VALUE"""),38000.0)</f>
        <v>38000</v>
      </c>
      <c r="J3358" s="6">
        <f>IFERROR(__xludf.DUMMYFUNCTION("""COMPUTED_VALUE"""),3800000.0)</f>
        <v>3800000</v>
      </c>
      <c r="K3358" s="57">
        <f>IFERROR(__xludf.DUMMYFUNCTION("""COMPUTED_VALUE"""),45625.0)</f>
        <v>45625</v>
      </c>
      <c r="L3358" s="6" t="str">
        <f>IFERROR(__xludf.DUMMYFUNCTION("""COMPUTED_VALUE"""),"FIP Engineering")</f>
        <v>FIP Engineering</v>
      </c>
      <c r="M3358" s="6" t="str">
        <f>IFERROR(__xludf.DUMMYFUNCTION("""COMPUTED_VALUE"""),"Mochammad Fadhillah Hakim,")</f>
        <v>Mochammad Fadhillah Hakim,</v>
      </c>
      <c r="N3358" s="6" t="str">
        <f>IFERROR(__xludf.DUMMYFUNCTION("""COMPUTED_VALUE"""),"FIP Engineering")</f>
        <v>FIP Engineering</v>
      </c>
      <c r="O3358" s="6" t="str">
        <f>IFERROR(__xludf.DUMMYFUNCTION("""COMPUTED_VALUE"""),"FIP-DOM-000-11304-OS00001-INA-000000")</f>
        <v>FIP-DOM-000-11304-OS00001-INA-000000</v>
      </c>
      <c r="P3358" s="6" t="str">
        <f>IFERROR(__xludf.DUMMYFUNCTION("""COMPUTED_VALUE"""),"PO Closed")</f>
        <v>PO Closed</v>
      </c>
      <c r="Q3358" s="6" t="str">
        <f>IFERROR(__xludf.DUMMYFUNCTION("""COMPUTED_VALUE"""),"GL2408013")</f>
        <v>GL2408013</v>
      </c>
      <c r="R3358" s="57">
        <f>IFERROR(__xludf.DUMMYFUNCTION("""COMPUTED_VALUE"""),45496.0)</f>
        <v>45496</v>
      </c>
      <c r="S3358" s="57">
        <f>IFERROR(__xludf.DUMMYFUNCTION("""COMPUTED_VALUE"""),45497.0)</f>
        <v>45497</v>
      </c>
      <c r="T3358" s="57">
        <f>IFERROR(__xludf.DUMMYFUNCTION("""COMPUTED_VALUE"""),45569.0)</f>
        <v>45569</v>
      </c>
    </row>
    <row r="3359">
      <c r="A3359" s="6" t="str">
        <f>IFERROR(__xludf.DUMMYFUNCTION("""COMPUTED_VALUE"""),"121701663-3")</f>
        <v>121701663-3</v>
      </c>
      <c r="B3359" s="6" t="str">
        <f>IFERROR(__xludf.DUMMYFUNCTION("""COMPUTED_VALUE"""),"121701663 - APPROVED")</f>
        <v>121701663 - APPROVED</v>
      </c>
      <c r="C3359" s="6">
        <f>IFERROR(__xludf.DUMMYFUNCTION("""COMPUTED_VALUE"""),3.0)</f>
        <v>3</v>
      </c>
      <c r="D3359" s="6" t="str">
        <f>IFERROR(__xludf.DUMMYFUNCTION("""COMPUTED_VALUE"""),"P-51560-00")</f>
        <v>P-51560-00</v>
      </c>
      <c r="E3359" s="6" t="str">
        <f>IFERROR(__xludf.DUMMYFUNCTION("""COMPUTED_VALUE"""),"Lampu T5 28watt Putih; Phillips; ;")</f>
        <v>Lampu T5 28watt Putih; Phillips; ;</v>
      </c>
      <c r="F3359" s="6">
        <f>IFERROR(__xludf.DUMMYFUNCTION("""COMPUTED_VALUE"""),70.0)</f>
        <v>70</v>
      </c>
      <c r="G3359" s="6" t="str">
        <f>IFERROR(__xludf.DUMMYFUNCTION("""COMPUTED_VALUE"""),"Pieces")</f>
        <v>Pieces</v>
      </c>
      <c r="H3359" s="6" t="str">
        <f>IFERROR(__xludf.DUMMYFUNCTION("""COMPUTED_VALUE"""),"IDR")</f>
        <v>IDR</v>
      </c>
      <c r="I3359" s="6">
        <f>IFERROR(__xludf.DUMMYFUNCTION("""COMPUTED_VALUE"""),46500.0)</f>
        <v>46500</v>
      </c>
      <c r="J3359" s="6">
        <f>IFERROR(__xludf.DUMMYFUNCTION("""COMPUTED_VALUE"""),3255000.0)</f>
        <v>3255000</v>
      </c>
      <c r="K3359" s="57">
        <f>IFERROR(__xludf.DUMMYFUNCTION("""COMPUTED_VALUE"""),45534.0)</f>
        <v>45534</v>
      </c>
      <c r="L3359" s="6" t="str">
        <f>IFERROR(__xludf.DUMMYFUNCTION("""COMPUTED_VALUE"""),"FIP Engineering")</f>
        <v>FIP Engineering</v>
      </c>
      <c r="M3359" s="6" t="str">
        <f>IFERROR(__xludf.DUMMYFUNCTION("""COMPUTED_VALUE"""),"Mochammad Fadhillah Hakim,")</f>
        <v>Mochammad Fadhillah Hakim,</v>
      </c>
      <c r="N3359" s="6" t="str">
        <f>IFERROR(__xludf.DUMMYFUNCTION("""COMPUTED_VALUE"""),"FIP Engineering")</f>
        <v>FIP Engineering</v>
      </c>
      <c r="O3359" s="6" t="str">
        <f>IFERROR(__xludf.DUMMYFUNCTION("""COMPUTED_VALUE"""),"FIP-DOM-000-11304-OS00001-INA-000000")</f>
        <v>FIP-DOM-000-11304-OS00001-INA-000000</v>
      </c>
      <c r="P3359" s="6" t="str">
        <f>IFERROR(__xludf.DUMMYFUNCTION("""COMPUTED_VALUE"""),"PO Closed")</f>
        <v>PO Closed</v>
      </c>
      <c r="Q3359" s="6" t="str">
        <f>IFERROR(__xludf.DUMMYFUNCTION("""COMPUTED_VALUE"""),"GL2408013")</f>
        <v>GL2408013</v>
      </c>
      <c r="R3359" s="57">
        <f>IFERROR(__xludf.DUMMYFUNCTION("""COMPUTED_VALUE"""),45496.0)</f>
        <v>45496</v>
      </c>
      <c r="S3359" s="57">
        <f>IFERROR(__xludf.DUMMYFUNCTION("""COMPUTED_VALUE"""),45497.0)</f>
        <v>45497</v>
      </c>
      <c r="T3359" s="57">
        <f>IFERROR(__xludf.DUMMYFUNCTION("""COMPUTED_VALUE"""),45569.0)</f>
        <v>45569</v>
      </c>
    </row>
    <row r="3360">
      <c r="A3360" s="6" t="str">
        <f>IFERROR(__xludf.DUMMYFUNCTION("""COMPUTED_VALUE"""),"121701663-4")</f>
        <v>121701663-4</v>
      </c>
      <c r="B3360" s="6" t="str">
        <f>IFERROR(__xludf.DUMMYFUNCTION("""COMPUTED_VALUE"""),"121701663 - APPROVED")</f>
        <v>121701663 - APPROVED</v>
      </c>
      <c r="C3360" s="6">
        <f>IFERROR(__xludf.DUMMYFUNCTION("""COMPUTED_VALUE"""),4.0)</f>
        <v>4</v>
      </c>
      <c r="D3360" s="6" t="str">
        <f>IFERROR(__xludf.DUMMYFUNCTION("""COMPUTED_VALUE"""),"P-51560-00")</f>
        <v>P-51560-00</v>
      </c>
      <c r="E3360" s="6" t="str">
        <f>IFERROR(__xludf.DUMMYFUNCTION("""COMPUTED_VALUE"""),"Lampu T5 28watt Putih; Phillips; ;")</f>
        <v>Lampu T5 28watt Putih; Phillips; ;</v>
      </c>
      <c r="F3360" s="6">
        <f>IFERROR(__xludf.DUMMYFUNCTION("""COMPUTED_VALUE"""),70.0)</f>
        <v>70</v>
      </c>
      <c r="G3360" s="6" t="str">
        <f>IFERROR(__xludf.DUMMYFUNCTION("""COMPUTED_VALUE"""),"Pieces")</f>
        <v>Pieces</v>
      </c>
      <c r="H3360" s="6" t="str">
        <f>IFERROR(__xludf.DUMMYFUNCTION("""COMPUTED_VALUE"""),"IDR")</f>
        <v>IDR</v>
      </c>
      <c r="I3360" s="6">
        <f>IFERROR(__xludf.DUMMYFUNCTION("""COMPUTED_VALUE"""),46500.0)</f>
        <v>46500</v>
      </c>
      <c r="J3360" s="6">
        <f>IFERROR(__xludf.DUMMYFUNCTION("""COMPUTED_VALUE"""),3255000.0)</f>
        <v>3255000</v>
      </c>
      <c r="K3360" s="57">
        <f>IFERROR(__xludf.DUMMYFUNCTION("""COMPUTED_VALUE"""),45625.0)</f>
        <v>45625</v>
      </c>
      <c r="L3360" s="6" t="str">
        <f>IFERROR(__xludf.DUMMYFUNCTION("""COMPUTED_VALUE"""),"FIP Engineering")</f>
        <v>FIP Engineering</v>
      </c>
      <c r="M3360" s="6" t="str">
        <f>IFERROR(__xludf.DUMMYFUNCTION("""COMPUTED_VALUE"""),"Mochammad Fadhillah Hakim,")</f>
        <v>Mochammad Fadhillah Hakim,</v>
      </c>
      <c r="N3360" s="6" t="str">
        <f>IFERROR(__xludf.DUMMYFUNCTION("""COMPUTED_VALUE"""),"FIP Engineering")</f>
        <v>FIP Engineering</v>
      </c>
      <c r="O3360" s="6" t="str">
        <f>IFERROR(__xludf.DUMMYFUNCTION("""COMPUTED_VALUE"""),"FIP-DOM-000-11304-OS00001-INA-000000")</f>
        <v>FIP-DOM-000-11304-OS00001-INA-000000</v>
      </c>
      <c r="P3360" s="6" t="str">
        <f>IFERROR(__xludf.DUMMYFUNCTION("""COMPUTED_VALUE"""),"PO Closed")</f>
        <v>PO Closed</v>
      </c>
      <c r="Q3360" s="6" t="str">
        <f>IFERROR(__xludf.DUMMYFUNCTION("""COMPUTED_VALUE"""),"GL2408013")</f>
        <v>GL2408013</v>
      </c>
      <c r="R3360" s="57">
        <f>IFERROR(__xludf.DUMMYFUNCTION("""COMPUTED_VALUE"""),45496.0)</f>
        <v>45496</v>
      </c>
      <c r="S3360" s="57">
        <f>IFERROR(__xludf.DUMMYFUNCTION("""COMPUTED_VALUE"""),45497.0)</f>
        <v>45497</v>
      </c>
      <c r="T3360" s="57">
        <f>IFERROR(__xludf.DUMMYFUNCTION("""COMPUTED_VALUE"""),45569.0)</f>
        <v>45569</v>
      </c>
    </row>
    <row r="3361">
      <c r="A3361" s="6" t="str">
        <f>IFERROR(__xludf.DUMMYFUNCTION("""COMPUTED_VALUE"""),"121701663-5")</f>
        <v>121701663-5</v>
      </c>
      <c r="B3361" s="6" t="str">
        <f>IFERROR(__xludf.DUMMYFUNCTION("""COMPUTED_VALUE"""),"121701663 - APPROVED")</f>
        <v>121701663 - APPROVED</v>
      </c>
      <c r="C3361" s="6">
        <f>IFERROR(__xludf.DUMMYFUNCTION("""COMPUTED_VALUE"""),5.0)</f>
        <v>5</v>
      </c>
      <c r="D3361" s="6" t="str">
        <f>IFERROR(__xludf.DUMMYFUNCTION("""COMPUTED_VALUE"""),"P-50140-00")</f>
        <v>P-50140-00</v>
      </c>
      <c r="E3361" s="6" t="str">
        <f>IFERROR(__xludf.DUMMYFUNCTION("""COMPUTED_VALUE"""),"Battery UPS - Battery kering Merk YUASA 12V 9AH")</f>
        <v>Battery UPS - Battery kering Merk YUASA 12V 9AH</v>
      </c>
      <c r="F3361" s="6">
        <f>IFERROR(__xludf.DUMMYFUNCTION("""COMPUTED_VALUE"""),7.0)</f>
        <v>7</v>
      </c>
      <c r="G3361" s="6" t="str">
        <f>IFERROR(__xludf.DUMMYFUNCTION("""COMPUTED_VALUE"""),"Pieces")</f>
        <v>Pieces</v>
      </c>
      <c r="H3361" s="6" t="str">
        <f>IFERROR(__xludf.DUMMYFUNCTION("""COMPUTED_VALUE"""),"IDR")</f>
        <v>IDR</v>
      </c>
      <c r="I3361" s="6">
        <f>IFERROR(__xludf.DUMMYFUNCTION("""COMPUTED_VALUE"""),600000.0)</f>
        <v>600000</v>
      </c>
      <c r="J3361" s="6">
        <f>IFERROR(__xludf.DUMMYFUNCTION("""COMPUTED_VALUE"""),4200000.0)</f>
        <v>4200000</v>
      </c>
      <c r="K3361" s="57">
        <f>IFERROR(__xludf.DUMMYFUNCTION("""COMPUTED_VALUE"""),45534.0)</f>
        <v>45534</v>
      </c>
      <c r="L3361" s="6" t="str">
        <f>IFERROR(__xludf.DUMMYFUNCTION("""COMPUTED_VALUE"""),"FIP Engineering")</f>
        <v>FIP Engineering</v>
      </c>
      <c r="M3361" s="6" t="str">
        <f>IFERROR(__xludf.DUMMYFUNCTION("""COMPUTED_VALUE"""),"Mochammad Fadhillah Hakim,")</f>
        <v>Mochammad Fadhillah Hakim,</v>
      </c>
      <c r="N3361" s="6" t="str">
        <f>IFERROR(__xludf.DUMMYFUNCTION("""COMPUTED_VALUE"""),"FIP Engineering")</f>
        <v>FIP Engineering</v>
      </c>
      <c r="O3361" s="6" t="str">
        <f>IFERROR(__xludf.DUMMYFUNCTION("""COMPUTED_VALUE"""),"FIP-DOM-000-11304-OS00001-INA-000000")</f>
        <v>FIP-DOM-000-11304-OS00001-INA-000000</v>
      </c>
      <c r="P3361" s="6" t="str">
        <f>IFERROR(__xludf.DUMMYFUNCTION("""COMPUTED_VALUE"""),"PO Closed")</f>
        <v>PO Closed</v>
      </c>
      <c r="Q3361" s="6" t="str">
        <f>IFERROR(__xludf.DUMMYFUNCTION("""COMPUTED_VALUE"""),"GL2408013")</f>
        <v>GL2408013</v>
      </c>
      <c r="R3361" s="57">
        <f>IFERROR(__xludf.DUMMYFUNCTION("""COMPUTED_VALUE"""),45496.0)</f>
        <v>45496</v>
      </c>
      <c r="S3361" s="57">
        <f>IFERROR(__xludf.DUMMYFUNCTION("""COMPUTED_VALUE"""),45497.0)</f>
        <v>45497</v>
      </c>
      <c r="T3361" s="57">
        <f>IFERROR(__xludf.DUMMYFUNCTION("""COMPUTED_VALUE"""),45569.0)</f>
        <v>45569</v>
      </c>
    </row>
    <row r="3362">
      <c r="A3362" s="6" t="str">
        <f>IFERROR(__xludf.DUMMYFUNCTION("""COMPUTED_VALUE"""),"121701663-6")</f>
        <v>121701663-6</v>
      </c>
      <c r="B3362" s="6" t="str">
        <f>IFERROR(__xludf.DUMMYFUNCTION("""COMPUTED_VALUE"""),"121701663 - APPROVED")</f>
        <v>121701663 - APPROVED</v>
      </c>
      <c r="C3362" s="6">
        <f>IFERROR(__xludf.DUMMYFUNCTION("""COMPUTED_VALUE"""),6.0)</f>
        <v>6</v>
      </c>
      <c r="D3362" s="6" t="str">
        <f>IFERROR(__xludf.DUMMYFUNCTION("""COMPUTED_VALUE"""),"P-50140-00")</f>
        <v>P-50140-00</v>
      </c>
      <c r="E3362" s="6" t="str">
        <f>IFERROR(__xludf.DUMMYFUNCTION("""COMPUTED_VALUE"""),"Battery UPS - Battery kering Merk YUASA 12V 9AH")</f>
        <v>Battery UPS - Battery kering Merk YUASA 12V 9AH</v>
      </c>
      <c r="F3362" s="6">
        <f>IFERROR(__xludf.DUMMYFUNCTION("""COMPUTED_VALUE"""),7.0)</f>
        <v>7</v>
      </c>
      <c r="G3362" s="6" t="str">
        <f>IFERROR(__xludf.DUMMYFUNCTION("""COMPUTED_VALUE"""),"Pieces")</f>
        <v>Pieces</v>
      </c>
      <c r="H3362" s="6" t="str">
        <f>IFERROR(__xludf.DUMMYFUNCTION("""COMPUTED_VALUE"""),"IDR")</f>
        <v>IDR</v>
      </c>
      <c r="I3362" s="6">
        <f>IFERROR(__xludf.DUMMYFUNCTION("""COMPUTED_VALUE"""),600000.0)</f>
        <v>600000</v>
      </c>
      <c r="J3362" s="6">
        <f>IFERROR(__xludf.DUMMYFUNCTION("""COMPUTED_VALUE"""),4200000.0)</f>
        <v>4200000</v>
      </c>
      <c r="K3362" s="57">
        <f>IFERROR(__xludf.DUMMYFUNCTION("""COMPUTED_VALUE"""),45625.0)</f>
        <v>45625</v>
      </c>
      <c r="L3362" s="6" t="str">
        <f>IFERROR(__xludf.DUMMYFUNCTION("""COMPUTED_VALUE"""),"FIP Engineering")</f>
        <v>FIP Engineering</v>
      </c>
      <c r="M3362" s="6" t="str">
        <f>IFERROR(__xludf.DUMMYFUNCTION("""COMPUTED_VALUE"""),"Mochammad Fadhillah Hakim,")</f>
        <v>Mochammad Fadhillah Hakim,</v>
      </c>
      <c r="N3362" s="6" t="str">
        <f>IFERROR(__xludf.DUMMYFUNCTION("""COMPUTED_VALUE"""),"FIP Engineering")</f>
        <v>FIP Engineering</v>
      </c>
      <c r="O3362" s="6" t="str">
        <f>IFERROR(__xludf.DUMMYFUNCTION("""COMPUTED_VALUE"""),"FIP-DOM-000-11304-OS00001-INA-000000")</f>
        <v>FIP-DOM-000-11304-OS00001-INA-000000</v>
      </c>
      <c r="P3362" s="6" t="str">
        <f>IFERROR(__xludf.DUMMYFUNCTION("""COMPUTED_VALUE"""),"PO Closed")</f>
        <v>PO Closed</v>
      </c>
      <c r="Q3362" s="6" t="str">
        <f>IFERROR(__xludf.DUMMYFUNCTION("""COMPUTED_VALUE"""),"GL2408013")</f>
        <v>GL2408013</v>
      </c>
      <c r="R3362" s="57">
        <f>IFERROR(__xludf.DUMMYFUNCTION("""COMPUTED_VALUE"""),45496.0)</f>
        <v>45496</v>
      </c>
      <c r="S3362" s="57">
        <f>IFERROR(__xludf.DUMMYFUNCTION("""COMPUTED_VALUE"""),45497.0)</f>
        <v>45497</v>
      </c>
      <c r="T3362" s="57">
        <f>IFERROR(__xludf.DUMMYFUNCTION("""COMPUTED_VALUE"""),45569.0)</f>
        <v>45569</v>
      </c>
    </row>
    <row r="3363">
      <c r="A3363" s="6" t="str">
        <f>IFERROR(__xludf.DUMMYFUNCTION("""COMPUTED_VALUE"""),"121701663-7")</f>
        <v>121701663-7</v>
      </c>
      <c r="B3363" s="6" t="str">
        <f>IFERROR(__xludf.DUMMYFUNCTION("""COMPUTED_VALUE"""),"121701663 - APPROVED")</f>
        <v>121701663 - APPROVED</v>
      </c>
      <c r="C3363" s="6">
        <f>IFERROR(__xludf.DUMMYFUNCTION("""COMPUTED_VALUE"""),7.0)</f>
        <v>7</v>
      </c>
      <c r="D3363" s="6" t="str">
        <f>IFERROR(__xludf.DUMMYFUNCTION("""COMPUTED_VALUE"""),"Q-60503-00")</f>
        <v>Q-60503-00</v>
      </c>
      <c r="E3363" s="6" t="str">
        <f>IFERROR(__xludf.DUMMYFUNCTION("""COMPUTED_VALUE"""),"Silicone Sealant, Silglaze, Type N10 Grey, pack size per pcs")</f>
        <v>Silicone Sealant, Silglaze, Type N10 Grey, pack size per pcs</v>
      </c>
      <c r="F3363" s="6">
        <f>IFERROR(__xludf.DUMMYFUNCTION("""COMPUTED_VALUE"""),7.0)</f>
        <v>7</v>
      </c>
      <c r="G3363" s="6" t="str">
        <f>IFERROR(__xludf.DUMMYFUNCTION("""COMPUTED_VALUE"""),"Pieces")</f>
        <v>Pieces</v>
      </c>
      <c r="H3363" s="6" t="str">
        <f>IFERROR(__xludf.DUMMYFUNCTION("""COMPUTED_VALUE"""),"IDR")</f>
        <v>IDR</v>
      </c>
      <c r="I3363" s="6">
        <f>IFERROR(__xludf.DUMMYFUNCTION("""COMPUTED_VALUE"""),42500.0)</f>
        <v>42500</v>
      </c>
      <c r="J3363" s="6">
        <f>IFERROR(__xludf.DUMMYFUNCTION("""COMPUTED_VALUE"""),297500.0)</f>
        <v>297500</v>
      </c>
      <c r="K3363" s="57">
        <f>IFERROR(__xludf.DUMMYFUNCTION("""COMPUTED_VALUE"""),45534.0)</f>
        <v>45534</v>
      </c>
      <c r="L3363" s="6" t="str">
        <f>IFERROR(__xludf.DUMMYFUNCTION("""COMPUTED_VALUE"""),"FIP Engineering")</f>
        <v>FIP Engineering</v>
      </c>
      <c r="M3363" s="6" t="str">
        <f>IFERROR(__xludf.DUMMYFUNCTION("""COMPUTED_VALUE"""),"Mochammad Fadhillah Hakim,")</f>
        <v>Mochammad Fadhillah Hakim,</v>
      </c>
      <c r="N3363" s="6" t="str">
        <f>IFERROR(__xludf.DUMMYFUNCTION("""COMPUTED_VALUE"""),"FIP Engineering")</f>
        <v>FIP Engineering</v>
      </c>
      <c r="O3363" s="6" t="str">
        <f>IFERROR(__xludf.DUMMYFUNCTION("""COMPUTED_VALUE"""),"FIP-DOM-000-11304-OS00001-INA-000000")</f>
        <v>FIP-DOM-000-11304-OS00001-INA-000000</v>
      </c>
      <c r="P3363" s="6" t="str">
        <f>IFERROR(__xludf.DUMMYFUNCTION("""COMPUTED_VALUE"""),"PO Closed")</f>
        <v>PO Closed</v>
      </c>
      <c r="Q3363" s="6" t="str">
        <f>IFERROR(__xludf.DUMMYFUNCTION("""COMPUTED_VALUE"""),"GL2408015")</f>
        <v>GL2408015</v>
      </c>
      <c r="R3363" s="57">
        <f>IFERROR(__xludf.DUMMYFUNCTION("""COMPUTED_VALUE"""),45496.0)</f>
        <v>45496</v>
      </c>
      <c r="S3363" s="57">
        <f>IFERROR(__xludf.DUMMYFUNCTION("""COMPUTED_VALUE"""),45497.0)</f>
        <v>45497</v>
      </c>
      <c r="T3363" s="57">
        <f>IFERROR(__xludf.DUMMYFUNCTION("""COMPUTED_VALUE"""),45534.0)</f>
        <v>45534</v>
      </c>
    </row>
    <row r="3364">
      <c r="A3364" s="6" t="str">
        <f>IFERROR(__xludf.DUMMYFUNCTION("""COMPUTED_VALUE"""),"121701663-8")</f>
        <v>121701663-8</v>
      </c>
      <c r="B3364" s="6" t="str">
        <f>IFERROR(__xludf.DUMMYFUNCTION("""COMPUTED_VALUE"""),"121701663 - APPROVED")</f>
        <v>121701663 - APPROVED</v>
      </c>
      <c r="C3364" s="6">
        <f>IFERROR(__xludf.DUMMYFUNCTION("""COMPUTED_VALUE"""),8.0)</f>
        <v>8</v>
      </c>
      <c r="D3364" s="6" t="str">
        <f>IFERROR(__xludf.DUMMYFUNCTION("""COMPUTED_VALUE"""),"Q-60503-00")</f>
        <v>Q-60503-00</v>
      </c>
      <c r="E3364" s="6" t="str">
        <f>IFERROR(__xludf.DUMMYFUNCTION("""COMPUTED_VALUE"""),"Silicone Sealant, Silglaze, Type N10 Grey, pack size per pcs")</f>
        <v>Silicone Sealant, Silglaze, Type N10 Grey, pack size per pcs</v>
      </c>
      <c r="F3364" s="6">
        <f>IFERROR(__xludf.DUMMYFUNCTION("""COMPUTED_VALUE"""),7.0)</f>
        <v>7</v>
      </c>
      <c r="G3364" s="6" t="str">
        <f>IFERROR(__xludf.DUMMYFUNCTION("""COMPUTED_VALUE"""),"Pieces")</f>
        <v>Pieces</v>
      </c>
      <c r="H3364" s="6" t="str">
        <f>IFERROR(__xludf.DUMMYFUNCTION("""COMPUTED_VALUE"""),"IDR")</f>
        <v>IDR</v>
      </c>
      <c r="I3364" s="6">
        <f>IFERROR(__xludf.DUMMYFUNCTION("""COMPUTED_VALUE"""),42500.0)</f>
        <v>42500</v>
      </c>
      <c r="J3364" s="6">
        <f>IFERROR(__xludf.DUMMYFUNCTION("""COMPUTED_VALUE"""),297500.0)</f>
        <v>297500</v>
      </c>
      <c r="K3364" s="57">
        <f>IFERROR(__xludf.DUMMYFUNCTION("""COMPUTED_VALUE"""),45625.0)</f>
        <v>45625</v>
      </c>
      <c r="L3364" s="6" t="str">
        <f>IFERROR(__xludf.DUMMYFUNCTION("""COMPUTED_VALUE"""),"FIP Engineering")</f>
        <v>FIP Engineering</v>
      </c>
      <c r="M3364" s="6" t="str">
        <f>IFERROR(__xludf.DUMMYFUNCTION("""COMPUTED_VALUE"""),"Mochammad Fadhillah Hakim,")</f>
        <v>Mochammad Fadhillah Hakim,</v>
      </c>
      <c r="N3364" s="6" t="str">
        <f>IFERROR(__xludf.DUMMYFUNCTION("""COMPUTED_VALUE"""),"FIP Engineering")</f>
        <v>FIP Engineering</v>
      </c>
      <c r="O3364" s="6" t="str">
        <f>IFERROR(__xludf.DUMMYFUNCTION("""COMPUTED_VALUE"""),"FIP-DOM-000-11304-OS00001-INA-000000")</f>
        <v>FIP-DOM-000-11304-OS00001-INA-000000</v>
      </c>
      <c r="P3364" s="6" t="str">
        <f>IFERROR(__xludf.DUMMYFUNCTION("""COMPUTED_VALUE"""),"PO Closed")</f>
        <v>PO Closed</v>
      </c>
      <c r="Q3364" s="6" t="str">
        <f>IFERROR(__xludf.DUMMYFUNCTION("""COMPUTED_VALUE"""),"GL2408015")</f>
        <v>GL2408015</v>
      </c>
      <c r="R3364" s="57">
        <f>IFERROR(__xludf.DUMMYFUNCTION("""COMPUTED_VALUE"""),45496.0)</f>
        <v>45496</v>
      </c>
      <c r="S3364" s="57">
        <f>IFERROR(__xludf.DUMMYFUNCTION("""COMPUTED_VALUE"""),45497.0)</f>
        <v>45497</v>
      </c>
      <c r="T3364" s="57">
        <f>IFERROR(__xludf.DUMMYFUNCTION("""COMPUTED_VALUE"""),45625.0)</f>
        <v>45625</v>
      </c>
    </row>
    <row r="3365">
      <c r="A3365" s="6" t="str">
        <f>IFERROR(__xludf.DUMMYFUNCTION("""COMPUTED_VALUE"""),"121701663-9")</f>
        <v>121701663-9</v>
      </c>
      <c r="B3365" s="6" t="str">
        <f>IFERROR(__xludf.DUMMYFUNCTION("""COMPUTED_VALUE"""),"121701663 - APPROVED")</f>
        <v>121701663 - APPROVED</v>
      </c>
      <c r="C3365" s="6">
        <f>IFERROR(__xludf.DUMMYFUNCTION("""COMPUTED_VALUE"""),9.0)</f>
        <v>9</v>
      </c>
      <c r="D3365" s="6" t="str">
        <f>IFERROR(__xludf.DUMMYFUNCTION("""COMPUTED_VALUE"""),"O-54013-00")</f>
        <v>O-54013-00</v>
      </c>
      <c r="E3365" s="6" t="str">
        <f>IFERROR(__xludf.DUMMYFUNCTION("""COMPUTED_VALUE"""),"SOCKET RJ 45 CAT 5")</f>
        <v>SOCKET RJ 45 CAT 5</v>
      </c>
      <c r="F3365" s="6">
        <f>IFERROR(__xludf.DUMMYFUNCTION("""COMPUTED_VALUE"""),12.0)</f>
        <v>12</v>
      </c>
      <c r="G3365" s="6" t="str">
        <f>IFERROR(__xludf.DUMMYFUNCTION("""COMPUTED_VALUE"""),"Pieces")</f>
        <v>Pieces</v>
      </c>
      <c r="H3365" s="6" t="str">
        <f>IFERROR(__xludf.DUMMYFUNCTION("""COMPUTED_VALUE"""),"IDR")</f>
        <v>IDR</v>
      </c>
      <c r="I3365" s="6">
        <f>IFERROR(__xludf.DUMMYFUNCTION("""COMPUTED_VALUE"""),1500.0)</f>
        <v>1500</v>
      </c>
      <c r="J3365" s="6">
        <f>IFERROR(__xludf.DUMMYFUNCTION("""COMPUTED_VALUE"""),18000.0)</f>
        <v>18000</v>
      </c>
      <c r="K3365" s="57">
        <f>IFERROR(__xludf.DUMMYFUNCTION("""COMPUTED_VALUE"""),45534.0)</f>
        <v>45534</v>
      </c>
      <c r="L3365" s="6" t="str">
        <f>IFERROR(__xludf.DUMMYFUNCTION("""COMPUTED_VALUE"""),"FIP Engineering")</f>
        <v>FIP Engineering</v>
      </c>
      <c r="M3365" s="6" t="str">
        <f>IFERROR(__xludf.DUMMYFUNCTION("""COMPUTED_VALUE"""),"Mochammad Fadhillah Hakim,")</f>
        <v>Mochammad Fadhillah Hakim,</v>
      </c>
      <c r="N3365" s="6" t="str">
        <f>IFERROR(__xludf.DUMMYFUNCTION("""COMPUTED_VALUE"""),"FIP Engineering")</f>
        <v>FIP Engineering</v>
      </c>
      <c r="O3365" s="6" t="str">
        <f>IFERROR(__xludf.DUMMYFUNCTION("""COMPUTED_VALUE"""),"FIP-DOM-000-11304-OS00001-INA-000000")</f>
        <v>FIP-DOM-000-11304-OS00001-INA-000000</v>
      </c>
      <c r="P3365" s="6" t="str">
        <f>IFERROR(__xludf.DUMMYFUNCTION("""COMPUTED_VALUE"""),"PO Closed")</f>
        <v>PO Closed</v>
      </c>
      <c r="Q3365" s="6" t="str">
        <f>IFERROR(__xludf.DUMMYFUNCTION("""COMPUTED_VALUE"""),"GL2408013")</f>
        <v>GL2408013</v>
      </c>
      <c r="R3365" s="57">
        <f>IFERROR(__xludf.DUMMYFUNCTION("""COMPUTED_VALUE"""),45496.0)</f>
        <v>45496</v>
      </c>
      <c r="S3365" s="57">
        <f>IFERROR(__xludf.DUMMYFUNCTION("""COMPUTED_VALUE"""),45497.0)</f>
        <v>45497</v>
      </c>
      <c r="T3365" s="57">
        <f>IFERROR(__xludf.DUMMYFUNCTION("""COMPUTED_VALUE"""),45569.0)</f>
        <v>45569</v>
      </c>
    </row>
    <row r="3366">
      <c r="A3366" s="6" t="str">
        <f>IFERROR(__xludf.DUMMYFUNCTION("""COMPUTED_VALUE"""),"121701663-10")</f>
        <v>121701663-10</v>
      </c>
      <c r="B3366" s="6" t="str">
        <f>IFERROR(__xludf.DUMMYFUNCTION("""COMPUTED_VALUE"""),"121701663 - APPROVED")</f>
        <v>121701663 - APPROVED</v>
      </c>
      <c r="C3366" s="6">
        <f>IFERROR(__xludf.DUMMYFUNCTION("""COMPUTED_VALUE"""),10.0)</f>
        <v>10</v>
      </c>
      <c r="D3366" s="6" t="str">
        <f>IFERROR(__xludf.DUMMYFUNCTION("""COMPUTED_VALUE"""),"O-54013-00")</f>
        <v>O-54013-00</v>
      </c>
      <c r="E3366" s="6" t="str">
        <f>IFERROR(__xludf.DUMMYFUNCTION("""COMPUTED_VALUE"""),"SOCKET RJ 45 CAT 5")</f>
        <v>SOCKET RJ 45 CAT 5</v>
      </c>
      <c r="F3366" s="6">
        <f>IFERROR(__xludf.DUMMYFUNCTION("""COMPUTED_VALUE"""),12.0)</f>
        <v>12</v>
      </c>
      <c r="G3366" s="6" t="str">
        <f>IFERROR(__xludf.DUMMYFUNCTION("""COMPUTED_VALUE"""),"Pieces")</f>
        <v>Pieces</v>
      </c>
      <c r="H3366" s="6" t="str">
        <f>IFERROR(__xludf.DUMMYFUNCTION("""COMPUTED_VALUE"""),"IDR")</f>
        <v>IDR</v>
      </c>
      <c r="I3366" s="6">
        <f>IFERROR(__xludf.DUMMYFUNCTION("""COMPUTED_VALUE"""),1500.0)</f>
        <v>1500</v>
      </c>
      <c r="J3366" s="6">
        <f>IFERROR(__xludf.DUMMYFUNCTION("""COMPUTED_VALUE"""),18000.0)</f>
        <v>18000</v>
      </c>
      <c r="K3366" s="57">
        <f>IFERROR(__xludf.DUMMYFUNCTION("""COMPUTED_VALUE"""),45625.0)</f>
        <v>45625</v>
      </c>
      <c r="L3366" s="6" t="str">
        <f>IFERROR(__xludf.DUMMYFUNCTION("""COMPUTED_VALUE"""),"FIP Engineering")</f>
        <v>FIP Engineering</v>
      </c>
      <c r="M3366" s="6" t="str">
        <f>IFERROR(__xludf.DUMMYFUNCTION("""COMPUTED_VALUE"""),"Mochammad Fadhillah Hakim,")</f>
        <v>Mochammad Fadhillah Hakim,</v>
      </c>
      <c r="N3366" s="6" t="str">
        <f>IFERROR(__xludf.DUMMYFUNCTION("""COMPUTED_VALUE"""),"FIP Engineering")</f>
        <v>FIP Engineering</v>
      </c>
      <c r="O3366" s="6" t="str">
        <f>IFERROR(__xludf.DUMMYFUNCTION("""COMPUTED_VALUE"""),"FIP-DOM-000-11304-OS00001-INA-000000")</f>
        <v>FIP-DOM-000-11304-OS00001-INA-000000</v>
      </c>
      <c r="P3366" s="6" t="str">
        <f>IFERROR(__xludf.DUMMYFUNCTION("""COMPUTED_VALUE"""),"PO Closed")</f>
        <v>PO Closed</v>
      </c>
      <c r="Q3366" s="6" t="str">
        <f>IFERROR(__xludf.DUMMYFUNCTION("""COMPUTED_VALUE"""),"GL2408013")</f>
        <v>GL2408013</v>
      </c>
      <c r="R3366" s="57">
        <f>IFERROR(__xludf.DUMMYFUNCTION("""COMPUTED_VALUE"""),45496.0)</f>
        <v>45496</v>
      </c>
      <c r="S3366" s="57">
        <f>IFERROR(__xludf.DUMMYFUNCTION("""COMPUTED_VALUE"""),45497.0)</f>
        <v>45497</v>
      </c>
      <c r="T3366" s="57">
        <f>IFERROR(__xludf.DUMMYFUNCTION("""COMPUTED_VALUE"""),45569.0)</f>
        <v>45569</v>
      </c>
    </row>
    <row r="3367">
      <c r="A3367" s="6" t="str">
        <f>IFERROR(__xludf.DUMMYFUNCTION("""COMPUTED_VALUE"""),"121701664-1")</f>
        <v>121701664-1</v>
      </c>
      <c r="B3367" s="6" t="str">
        <f>IFERROR(__xludf.DUMMYFUNCTION("""COMPUTED_VALUE"""),"121701664 - APPROVED")</f>
        <v>121701664 - APPROVED</v>
      </c>
      <c r="C3367" s="6">
        <f>IFERROR(__xludf.DUMMYFUNCTION("""COMPUTED_VALUE"""),1.0)</f>
        <v>1</v>
      </c>
      <c r="D3367" s="6" t="str">
        <f>IFERROR(__xludf.DUMMYFUNCTION("""COMPUTED_VALUE"""),"P-12433-00")</f>
        <v>P-12433-00</v>
      </c>
      <c r="E3367" s="6" t="str">
        <f>IFERROR(__xludf.DUMMYFUNCTION("""COMPUTED_VALUE"""),"Isolasi AC- Sansui")</f>
        <v>Isolasi AC- Sansui</v>
      </c>
      <c r="F3367" s="6">
        <f>IFERROR(__xludf.DUMMYFUNCTION("""COMPUTED_VALUE"""),6.0)</f>
        <v>6</v>
      </c>
      <c r="G3367" s="6" t="str">
        <f>IFERROR(__xludf.DUMMYFUNCTION("""COMPUTED_VALUE"""),"Pieces")</f>
        <v>Pieces</v>
      </c>
      <c r="H3367" s="6" t="str">
        <f>IFERROR(__xludf.DUMMYFUNCTION("""COMPUTED_VALUE"""),"IDR")</f>
        <v>IDR</v>
      </c>
      <c r="I3367" s="6">
        <f>IFERROR(__xludf.DUMMYFUNCTION("""COMPUTED_VALUE"""),14000.0)</f>
        <v>14000</v>
      </c>
      <c r="J3367" s="6">
        <f>IFERROR(__xludf.DUMMYFUNCTION("""COMPUTED_VALUE"""),84000.0)</f>
        <v>84000</v>
      </c>
      <c r="K3367" s="57">
        <f>IFERROR(__xludf.DUMMYFUNCTION("""COMPUTED_VALUE"""),45534.0)</f>
        <v>45534</v>
      </c>
      <c r="L3367" s="6" t="str">
        <f>IFERROR(__xludf.DUMMYFUNCTION("""COMPUTED_VALUE"""),"FIP Engineering")</f>
        <v>FIP Engineering</v>
      </c>
      <c r="M3367" s="6" t="str">
        <f>IFERROR(__xludf.DUMMYFUNCTION("""COMPUTED_VALUE"""),"Mochammad Fadhillah Hakim,")</f>
        <v>Mochammad Fadhillah Hakim,</v>
      </c>
      <c r="N3367" s="6" t="str">
        <f>IFERROR(__xludf.DUMMYFUNCTION("""COMPUTED_VALUE"""),"FIP Engineering")</f>
        <v>FIP Engineering</v>
      </c>
      <c r="O3367" s="6" t="str">
        <f>IFERROR(__xludf.DUMMYFUNCTION("""COMPUTED_VALUE"""),"FIP-DOM-000-11304-OS00001-INA-000000")</f>
        <v>FIP-DOM-000-11304-OS00001-INA-000000</v>
      </c>
      <c r="P3367" s="6" t="str">
        <f>IFERROR(__xludf.DUMMYFUNCTION("""COMPUTED_VALUE"""),"PO Closed")</f>
        <v>PO Closed</v>
      </c>
      <c r="Q3367" s="6" t="str">
        <f>IFERROR(__xludf.DUMMYFUNCTION("""COMPUTED_VALUE"""),"GL2408013")</f>
        <v>GL2408013</v>
      </c>
      <c r="R3367" s="57">
        <f>IFERROR(__xludf.DUMMYFUNCTION("""COMPUTED_VALUE"""),45496.0)</f>
        <v>45496</v>
      </c>
      <c r="S3367" s="57">
        <f>IFERROR(__xludf.DUMMYFUNCTION("""COMPUTED_VALUE"""),45496.0)</f>
        <v>45496</v>
      </c>
      <c r="T3367" s="57">
        <f>IFERROR(__xludf.DUMMYFUNCTION("""COMPUTED_VALUE"""),45569.0)</f>
        <v>45569</v>
      </c>
    </row>
    <row r="3368">
      <c r="A3368" s="6" t="str">
        <f>IFERROR(__xludf.DUMMYFUNCTION("""COMPUTED_VALUE"""),"121701664-2")</f>
        <v>121701664-2</v>
      </c>
      <c r="B3368" s="6" t="str">
        <f>IFERROR(__xludf.DUMMYFUNCTION("""COMPUTED_VALUE"""),"121701664 - APPROVED")</f>
        <v>121701664 - APPROVED</v>
      </c>
      <c r="C3368" s="6">
        <f>IFERROR(__xludf.DUMMYFUNCTION("""COMPUTED_VALUE"""),2.0)</f>
        <v>2</v>
      </c>
      <c r="D3368" s="6" t="str">
        <f>IFERROR(__xludf.DUMMYFUNCTION("""COMPUTED_VALUE"""),"P-12433-00")</f>
        <v>P-12433-00</v>
      </c>
      <c r="E3368" s="6" t="str">
        <f>IFERROR(__xludf.DUMMYFUNCTION("""COMPUTED_VALUE"""),"Isolasi AC- Sansui")</f>
        <v>Isolasi AC- Sansui</v>
      </c>
      <c r="F3368" s="6">
        <f>IFERROR(__xludf.DUMMYFUNCTION("""COMPUTED_VALUE"""),6.0)</f>
        <v>6</v>
      </c>
      <c r="G3368" s="6" t="str">
        <f>IFERROR(__xludf.DUMMYFUNCTION("""COMPUTED_VALUE"""),"Pieces")</f>
        <v>Pieces</v>
      </c>
      <c r="H3368" s="6" t="str">
        <f>IFERROR(__xludf.DUMMYFUNCTION("""COMPUTED_VALUE"""),"IDR")</f>
        <v>IDR</v>
      </c>
      <c r="I3368" s="6">
        <f>IFERROR(__xludf.DUMMYFUNCTION("""COMPUTED_VALUE"""),14000.0)</f>
        <v>14000</v>
      </c>
      <c r="J3368" s="6">
        <f>IFERROR(__xludf.DUMMYFUNCTION("""COMPUTED_VALUE"""),84000.0)</f>
        <v>84000</v>
      </c>
      <c r="K3368" s="57">
        <f>IFERROR(__xludf.DUMMYFUNCTION("""COMPUTED_VALUE"""),45625.0)</f>
        <v>45625</v>
      </c>
      <c r="L3368" s="6" t="str">
        <f>IFERROR(__xludf.DUMMYFUNCTION("""COMPUTED_VALUE"""),"FIP Engineering")</f>
        <v>FIP Engineering</v>
      </c>
      <c r="M3368" s="6" t="str">
        <f>IFERROR(__xludf.DUMMYFUNCTION("""COMPUTED_VALUE"""),"Mochammad Fadhillah Hakim,")</f>
        <v>Mochammad Fadhillah Hakim,</v>
      </c>
      <c r="N3368" s="6" t="str">
        <f>IFERROR(__xludf.DUMMYFUNCTION("""COMPUTED_VALUE"""),"FIP Engineering")</f>
        <v>FIP Engineering</v>
      </c>
      <c r="O3368" s="6" t="str">
        <f>IFERROR(__xludf.DUMMYFUNCTION("""COMPUTED_VALUE"""),"FIP-DOM-000-11304-OS00001-INA-000000")</f>
        <v>FIP-DOM-000-11304-OS00001-INA-000000</v>
      </c>
      <c r="P3368" s="6" t="str">
        <f>IFERROR(__xludf.DUMMYFUNCTION("""COMPUTED_VALUE"""),"PO Closed")</f>
        <v>PO Closed</v>
      </c>
      <c r="Q3368" s="6" t="str">
        <f>IFERROR(__xludf.DUMMYFUNCTION("""COMPUTED_VALUE"""),"GL2408013")</f>
        <v>GL2408013</v>
      </c>
      <c r="R3368" s="57">
        <f>IFERROR(__xludf.DUMMYFUNCTION("""COMPUTED_VALUE"""),45496.0)</f>
        <v>45496</v>
      </c>
      <c r="S3368" s="57">
        <f>IFERROR(__xludf.DUMMYFUNCTION("""COMPUTED_VALUE"""),45496.0)</f>
        <v>45496</v>
      </c>
      <c r="T3368" s="57">
        <f>IFERROR(__xludf.DUMMYFUNCTION("""COMPUTED_VALUE"""),45569.0)</f>
        <v>45569</v>
      </c>
    </row>
    <row r="3369">
      <c r="A3369" s="6" t="str">
        <f>IFERROR(__xludf.DUMMYFUNCTION("""COMPUTED_VALUE"""),"121701664-5")</f>
        <v>121701664-5</v>
      </c>
      <c r="B3369" s="6" t="str">
        <f>IFERROR(__xludf.DUMMYFUNCTION("""COMPUTED_VALUE"""),"121701664 - APPROVED")</f>
        <v>121701664 - APPROVED</v>
      </c>
      <c r="C3369" s="6">
        <f>IFERROR(__xludf.DUMMYFUNCTION("""COMPUTED_VALUE"""),5.0)</f>
        <v>5</v>
      </c>
      <c r="D3369" s="6" t="str">
        <f>IFERROR(__xludf.DUMMYFUNCTION("""COMPUTED_VALUE"""),"P-14379-00")</f>
        <v>P-14379-00</v>
      </c>
      <c r="E3369" s="6" t="str">
        <f>IFERROR(__xludf.DUMMYFUNCTION("""COMPUTED_VALUE"""),"Gasket 3/4"" /EPDM; ; ;")</f>
        <v>Gasket 3/4" /EPDM; ; ;</v>
      </c>
      <c r="F3369" s="6">
        <f>IFERROR(__xludf.DUMMYFUNCTION("""COMPUTED_VALUE"""),3.0)</f>
        <v>3</v>
      </c>
      <c r="G3369" s="6" t="str">
        <f>IFERROR(__xludf.DUMMYFUNCTION("""COMPUTED_VALUE"""),"Pieces")</f>
        <v>Pieces</v>
      </c>
      <c r="H3369" s="6" t="str">
        <f>IFERROR(__xludf.DUMMYFUNCTION("""COMPUTED_VALUE"""),"IDR")</f>
        <v>IDR</v>
      </c>
      <c r="I3369" s="6">
        <f>IFERROR(__xludf.DUMMYFUNCTION("""COMPUTED_VALUE"""),15000.0)</f>
        <v>15000</v>
      </c>
      <c r="J3369" s="6">
        <f>IFERROR(__xludf.DUMMYFUNCTION("""COMPUTED_VALUE"""),45000.0)</f>
        <v>45000</v>
      </c>
      <c r="K3369" s="57">
        <f>IFERROR(__xludf.DUMMYFUNCTION("""COMPUTED_VALUE"""),45534.0)</f>
        <v>45534</v>
      </c>
      <c r="L3369" s="6" t="str">
        <f>IFERROR(__xludf.DUMMYFUNCTION("""COMPUTED_VALUE"""),"FIP Engineering")</f>
        <v>FIP Engineering</v>
      </c>
      <c r="M3369" s="6" t="str">
        <f>IFERROR(__xludf.DUMMYFUNCTION("""COMPUTED_VALUE"""),"Mochammad Fadhillah Hakim,")</f>
        <v>Mochammad Fadhillah Hakim,</v>
      </c>
      <c r="N3369" s="6" t="str">
        <f>IFERROR(__xludf.DUMMYFUNCTION("""COMPUTED_VALUE"""),"FIP Engineering")</f>
        <v>FIP Engineering</v>
      </c>
      <c r="O3369" s="6" t="str">
        <f>IFERROR(__xludf.DUMMYFUNCTION("""COMPUTED_VALUE"""),"FIP-DOM-000-11304-OS00001-INA-000000")</f>
        <v>FIP-DOM-000-11304-OS00001-INA-000000</v>
      </c>
      <c r="P3369" s="6" t="str">
        <f>IFERROR(__xludf.DUMMYFUNCTION("""COMPUTED_VALUE"""),"PO Closed")</f>
        <v>PO Closed</v>
      </c>
      <c r="Q3369" s="6" t="str">
        <f>IFERROR(__xludf.DUMMYFUNCTION("""COMPUTED_VALUE"""),"GL2408013")</f>
        <v>GL2408013</v>
      </c>
      <c r="R3369" s="57">
        <f>IFERROR(__xludf.DUMMYFUNCTION("""COMPUTED_VALUE"""),45496.0)</f>
        <v>45496</v>
      </c>
      <c r="S3369" s="57">
        <f>IFERROR(__xludf.DUMMYFUNCTION("""COMPUTED_VALUE"""),45496.0)</f>
        <v>45496</v>
      </c>
      <c r="T3369" s="57">
        <f>IFERROR(__xludf.DUMMYFUNCTION("""COMPUTED_VALUE"""),45569.0)</f>
        <v>45569</v>
      </c>
    </row>
    <row r="3370">
      <c r="A3370" s="6" t="str">
        <f>IFERROR(__xludf.DUMMYFUNCTION("""COMPUTED_VALUE"""),"121701664-6")</f>
        <v>121701664-6</v>
      </c>
      <c r="B3370" s="6" t="str">
        <f>IFERROR(__xludf.DUMMYFUNCTION("""COMPUTED_VALUE"""),"121701664 - APPROVED")</f>
        <v>121701664 - APPROVED</v>
      </c>
      <c r="C3370" s="6">
        <f>IFERROR(__xludf.DUMMYFUNCTION("""COMPUTED_VALUE"""),6.0)</f>
        <v>6</v>
      </c>
      <c r="D3370" s="6" t="str">
        <f>IFERROR(__xludf.DUMMYFUNCTION("""COMPUTED_VALUE"""),"P-14379-00")</f>
        <v>P-14379-00</v>
      </c>
      <c r="E3370" s="6" t="str">
        <f>IFERROR(__xludf.DUMMYFUNCTION("""COMPUTED_VALUE"""),"Gasket 3/4"" /EPDM; ; ;")</f>
        <v>Gasket 3/4" /EPDM; ; ;</v>
      </c>
      <c r="F3370" s="6">
        <f>IFERROR(__xludf.DUMMYFUNCTION("""COMPUTED_VALUE"""),3.0)</f>
        <v>3</v>
      </c>
      <c r="G3370" s="6" t="str">
        <f>IFERROR(__xludf.DUMMYFUNCTION("""COMPUTED_VALUE"""),"Pieces")</f>
        <v>Pieces</v>
      </c>
      <c r="H3370" s="6" t="str">
        <f>IFERROR(__xludf.DUMMYFUNCTION("""COMPUTED_VALUE"""),"IDR")</f>
        <v>IDR</v>
      </c>
      <c r="I3370" s="6">
        <f>IFERROR(__xludf.DUMMYFUNCTION("""COMPUTED_VALUE"""),15000.0)</f>
        <v>15000</v>
      </c>
      <c r="J3370" s="6">
        <f>IFERROR(__xludf.DUMMYFUNCTION("""COMPUTED_VALUE"""),45000.0)</f>
        <v>45000</v>
      </c>
      <c r="K3370" s="57">
        <f>IFERROR(__xludf.DUMMYFUNCTION("""COMPUTED_VALUE"""),45498.0)</f>
        <v>45498</v>
      </c>
      <c r="L3370" s="6" t="str">
        <f>IFERROR(__xludf.DUMMYFUNCTION("""COMPUTED_VALUE"""),"FIP Engineering")</f>
        <v>FIP Engineering</v>
      </c>
      <c r="M3370" s="6" t="str">
        <f>IFERROR(__xludf.DUMMYFUNCTION("""COMPUTED_VALUE"""),"Mochammad Fadhillah Hakim,")</f>
        <v>Mochammad Fadhillah Hakim,</v>
      </c>
      <c r="N3370" s="6" t="str">
        <f>IFERROR(__xludf.DUMMYFUNCTION("""COMPUTED_VALUE"""),"FIP Engineering")</f>
        <v>FIP Engineering</v>
      </c>
      <c r="O3370" s="6" t="str">
        <f>IFERROR(__xludf.DUMMYFUNCTION("""COMPUTED_VALUE"""),"FIP-DOM-000-11304-OS00001-INA-000000")</f>
        <v>FIP-DOM-000-11304-OS00001-INA-000000</v>
      </c>
      <c r="P3370" s="6" t="str">
        <f>IFERROR(__xludf.DUMMYFUNCTION("""COMPUTED_VALUE"""),"PO Closed")</f>
        <v>PO Closed</v>
      </c>
      <c r="Q3370" s="6" t="str">
        <f>IFERROR(__xludf.DUMMYFUNCTION("""COMPUTED_VALUE"""),"GL2408013")</f>
        <v>GL2408013</v>
      </c>
      <c r="R3370" s="57">
        <f>IFERROR(__xludf.DUMMYFUNCTION("""COMPUTED_VALUE"""),45496.0)</f>
        <v>45496</v>
      </c>
      <c r="S3370" s="57">
        <f>IFERROR(__xludf.DUMMYFUNCTION("""COMPUTED_VALUE"""),45496.0)</f>
        <v>45496</v>
      </c>
      <c r="T3370" s="57">
        <f>IFERROR(__xludf.DUMMYFUNCTION("""COMPUTED_VALUE"""),45569.0)</f>
        <v>45569</v>
      </c>
    </row>
    <row r="3371">
      <c r="A3371" s="6" t="str">
        <f>IFERROR(__xludf.DUMMYFUNCTION("""COMPUTED_VALUE"""),"121701664-7")</f>
        <v>121701664-7</v>
      </c>
      <c r="B3371" s="6" t="str">
        <f>IFERROR(__xludf.DUMMYFUNCTION("""COMPUTED_VALUE"""),"121701664 - APPROVED")</f>
        <v>121701664 - APPROVED</v>
      </c>
      <c r="C3371" s="6">
        <f>IFERROR(__xludf.DUMMYFUNCTION("""COMPUTED_VALUE"""),7.0)</f>
        <v>7</v>
      </c>
      <c r="D3371" s="6" t="str">
        <f>IFERROR(__xludf.DUMMYFUNCTION("""COMPUTED_VALUE"""),"P-11694-00")</f>
        <v>P-11694-00</v>
      </c>
      <c r="E3371" s="6" t="str">
        <f>IFERROR(__xludf.DUMMYFUNCTION("""COMPUTED_VALUE"""),"Mata Gerinda 4""")</f>
        <v>Mata Gerinda 4"</v>
      </c>
      <c r="F3371" s="6">
        <f>IFERROR(__xludf.DUMMYFUNCTION("""COMPUTED_VALUE"""),2.0)</f>
        <v>2</v>
      </c>
      <c r="G3371" s="6" t="str">
        <f>IFERROR(__xludf.DUMMYFUNCTION("""COMPUTED_VALUE"""),"Pieces")</f>
        <v>Pieces</v>
      </c>
      <c r="H3371" s="6" t="str">
        <f>IFERROR(__xludf.DUMMYFUNCTION("""COMPUTED_VALUE"""),"IDR")</f>
        <v>IDR</v>
      </c>
      <c r="I3371" s="6">
        <f>IFERROR(__xludf.DUMMYFUNCTION("""COMPUTED_VALUE"""),115000.0)</f>
        <v>115000</v>
      </c>
      <c r="J3371" s="6">
        <f>IFERROR(__xludf.DUMMYFUNCTION("""COMPUTED_VALUE"""),230000.0)</f>
        <v>230000</v>
      </c>
      <c r="K3371" s="57">
        <f>IFERROR(__xludf.DUMMYFUNCTION("""COMPUTED_VALUE"""),45534.0)</f>
        <v>45534</v>
      </c>
      <c r="L3371" s="6" t="str">
        <f>IFERROR(__xludf.DUMMYFUNCTION("""COMPUTED_VALUE"""),"FIP General")</f>
        <v>FIP General</v>
      </c>
      <c r="M3371" s="6" t="str">
        <f>IFERROR(__xludf.DUMMYFUNCTION("""COMPUTED_VALUE"""),"Mochammad Fadhillah Hakim,")</f>
        <v>Mochammad Fadhillah Hakim,</v>
      </c>
      <c r="N3371" s="6" t="str">
        <f>IFERROR(__xludf.DUMMYFUNCTION("""COMPUTED_VALUE"""),"FIP Engineering")</f>
        <v>FIP Engineering</v>
      </c>
      <c r="O3371" s="6" t="str">
        <f>IFERROR(__xludf.DUMMYFUNCTION("""COMPUTED_VALUE"""),"FIP-DOM-ENG-51404-0000000-INA-000000")</f>
        <v>FIP-DOM-ENG-51404-0000000-INA-000000</v>
      </c>
      <c r="P3371" s="6" t="str">
        <f>IFERROR(__xludf.DUMMYFUNCTION("""COMPUTED_VALUE"""),"PO Closed")</f>
        <v>PO Closed</v>
      </c>
      <c r="Q3371" s="6" t="str">
        <f>IFERROR(__xludf.DUMMYFUNCTION("""COMPUTED_VALUE"""),"GL2408011")</f>
        <v>GL2408011</v>
      </c>
      <c r="R3371" s="57">
        <f>IFERROR(__xludf.DUMMYFUNCTION("""COMPUTED_VALUE"""),45496.0)</f>
        <v>45496</v>
      </c>
      <c r="S3371" s="57">
        <f>IFERROR(__xludf.DUMMYFUNCTION("""COMPUTED_VALUE"""),45496.0)</f>
        <v>45496</v>
      </c>
      <c r="T3371" s="57">
        <f>IFERROR(__xludf.DUMMYFUNCTION("""COMPUTED_VALUE"""),45573.0)</f>
        <v>45573</v>
      </c>
    </row>
    <row r="3372">
      <c r="A3372" s="6" t="str">
        <f>IFERROR(__xludf.DUMMYFUNCTION("""COMPUTED_VALUE"""),"121701664-8")</f>
        <v>121701664-8</v>
      </c>
      <c r="B3372" s="6" t="str">
        <f>IFERROR(__xludf.DUMMYFUNCTION("""COMPUTED_VALUE"""),"121701664 - APPROVED")</f>
        <v>121701664 - APPROVED</v>
      </c>
      <c r="C3372" s="6">
        <f>IFERROR(__xludf.DUMMYFUNCTION("""COMPUTED_VALUE"""),8.0)</f>
        <v>8</v>
      </c>
      <c r="D3372" s="6" t="str">
        <f>IFERROR(__xludf.DUMMYFUNCTION("""COMPUTED_VALUE"""),"P-11694-00")</f>
        <v>P-11694-00</v>
      </c>
      <c r="E3372" s="6" t="str">
        <f>IFERROR(__xludf.DUMMYFUNCTION("""COMPUTED_VALUE"""),"Mata Gerinda 4""")</f>
        <v>Mata Gerinda 4"</v>
      </c>
      <c r="F3372" s="6">
        <f>IFERROR(__xludf.DUMMYFUNCTION("""COMPUTED_VALUE"""),2.0)</f>
        <v>2</v>
      </c>
      <c r="G3372" s="6" t="str">
        <f>IFERROR(__xludf.DUMMYFUNCTION("""COMPUTED_VALUE"""),"Pieces")</f>
        <v>Pieces</v>
      </c>
      <c r="H3372" s="6" t="str">
        <f>IFERROR(__xludf.DUMMYFUNCTION("""COMPUTED_VALUE"""),"IDR")</f>
        <v>IDR</v>
      </c>
      <c r="I3372" s="6">
        <f>IFERROR(__xludf.DUMMYFUNCTION("""COMPUTED_VALUE"""),115000.0)</f>
        <v>115000</v>
      </c>
      <c r="J3372" s="6">
        <f>IFERROR(__xludf.DUMMYFUNCTION("""COMPUTED_VALUE"""),230000.0)</f>
        <v>230000</v>
      </c>
      <c r="K3372" s="57">
        <f>IFERROR(__xludf.DUMMYFUNCTION("""COMPUTED_VALUE"""),45625.0)</f>
        <v>45625</v>
      </c>
      <c r="L3372" s="6" t="str">
        <f>IFERROR(__xludf.DUMMYFUNCTION("""COMPUTED_VALUE"""),"FIP General")</f>
        <v>FIP General</v>
      </c>
      <c r="M3372" s="6" t="str">
        <f>IFERROR(__xludf.DUMMYFUNCTION("""COMPUTED_VALUE"""),"Mochammad Fadhillah Hakim,")</f>
        <v>Mochammad Fadhillah Hakim,</v>
      </c>
      <c r="N3372" s="6" t="str">
        <f>IFERROR(__xludf.DUMMYFUNCTION("""COMPUTED_VALUE"""),"FIP Engineering")</f>
        <v>FIP Engineering</v>
      </c>
      <c r="O3372" s="6" t="str">
        <f>IFERROR(__xludf.DUMMYFUNCTION("""COMPUTED_VALUE"""),"FIP-DOM-ENG-51404-0000000-INA-000000")</f>
        <v>FIP-DOM-ENG-51404-0000000-INA-000000</v>
      </c>
      <c r="P3372" s="6" t="str">
        <f>IFERROR(__xludf.DUMMYFUNCTION("""COMPUTED_VALUE"""),"PO Closed")</f>
        <v>PO Closed</v>
      </c>
      <c r="Q3372" s="6" t="str">
        <f>IFERROR(__xludf.DUMMYFUNCTION("""COMPUTED_VALUE"""),"GL2408011")</f>
        <v>GL2408011</v>
      </c>
      <c r="R3372" s="57">
        <f>IFERROR(__xludf.DUMMYFUNCTION("""COMPUTED_VALUE"""),45496.0)</f>
        <v>45496</v>
      </c>
      <c r="S3372" s="57">
        <f>IFERROR(__xludf.DUMMYFUNCTION("""COMPUTED_VALUE"""),45496.0)</f>
        <v>45496</v>
      </c>
      <c r="T3372" s="57">
        <f>IFERROR(__xludf.DUMMYFUNCTION("""COMPUTED_VALUE"""),45573.0)</f>
        <v>45573</v>
      </c>
    </row>
    <row r="3373">
      <c r="A3373" s="6" t="str">
        <f>IFERROR(__xludf.DUMMYFUNCTION("""COMPUTED_VALUE"""),"121701664-9")</f>
        <v>121701664-9</v>
      </c>
      <c r="B3373" s="6" t="str">
        <f>IFERROR(__xludf.DUMMYFUNCTION("""COMPUTED_VALUE"""),"121701664 - APPROVED")</f>
        <v>121701664 - APPROVED</v>
      </c>
      <c r="C3373" s="6">
        <f>IFERROR(__xludf.DUMMYFUNCTION("""COMPUTED_VALUE"""),9.0)</f>
        <v>9</v>
      </c>
      <c r="D3373" s="6" t="str">
        <f>IFERROR(__xludf.DUMMYFUNCTION("""COMPUTED_VALUE"""),"P-15851-00")</f>
        <v>P-15851-00</v>
      </c>
      <c r="E3373" s="6" t="str">
        <f>IFERROR(__xludf.DUMMYFUNCTION("""COMPUTED_VALUE"""),"AMPLAS  EAGLE 100")</f>
        <v>AMPLAS  EAGLE 100</v>
      </c>
      <c r="F3373" s="6">
        <f>IFERROR(__xludf.DUMMYFUNCTION("""COMPUTED_VALUE"""),20.0)</f>
        <v>20</v>
      </c>
      <c r="G3373" s="6" t="str">
        <f>IFERROR(__xludf.DUMMYFUNCTION("""COMPUTED_VALUE"""),"Pieces")</f>
        <v>Pieces</v>
      </c>
      <c r="H3373" s="6" t="str">
        <f>IFERROR(__xludf.DUMMYFUNCTION("""COMPUTED_VALUE"""),"IDR")</f>
        <v>IDR</v>
      </c>
      <c r="I3373" s="6">
        <f>IFERROR(__xludf.DUMMYFUNCTION("""COMPUTED_VALUE"""),5000.0)</f>
        <v>5000</v>
      </c>
      <c r="J3373" s="6">
        <f>IFERROR(__xludf.DUMMYFUNCTION("""COMPUTED_VALUE"""),100000.0)</f>
        <v>100000</v>
      </c>
      <c r="K3373" s="57">
        <f>IFERROR(__xludf.DUMMYFUNCTION("""COMPUTED_VALUE"""),45498.0)</f>
        <v>45498</v>
      </c>
      <c r="L3373" s="6" t="str">
        <f>IFERROR(__xludf.DUMMYFUNCTION("""COMPUTED_VALUE"""),"FIP Engineering")</f>
        <v>FIP Engineering</v>
      </c>
      <c r="M3373" s="6" t="str">
        <f>IFERROR(__xludf.DUMMYFUNCTION("""COMPUTED_VALUE"""),"Mochammad Fadhillah Hakim,")</f>
        <v>Mochammad Fadhillah Hakim,</v>
      </c>
      <c r="N3373" s="6" t="str">
        <f>IFERROR(__xludf.DUMMYFUNCTION("""COMPUTED_VALUE"""),"FIP Engineering")</f>
        <v>FIP Engineering</v>
      </c>
      <c r="O3373" s="6" t="str">
        <f>IFERROR(__xludf.DUMMYFUNCTION("""COMPUTED_VALUE"""),"FIP-DOM-000-11304-OS00001-INA-000000")</f>
        <v>FIP-DOM-000-11304-OS00001-INA-000000</v>
      </c>
      <c r="P3373" s="6" t="str">
        <f>IFERROR(__xludf.DUMMYFUNCTION("""COMPUTED_VALUE"""),"PO Closed")</f>
        <v>PO Closed</v>
      </c>
      <c r="Q3373" s="6" t="str">
        <f>IFERROR(__xludf.DUMMYFUNCTION("""COMPUTED_VALUE"""),"GL2408031")</f>
        <v>GL2408031</v>
      </c>
      <c r="R3373" s="57">
        <f>IFERROR(__xludf.DUMMYFUNCTION("""COMPUTED_VALUE"""),45496.0)</f>
        <v>45496</v>
      </c>
      <c r="S3373" s="57">
        <f>IFERROR(__xludf.DUMMYFUNCTION("""COMPUTED_VALUE"""),45496.0)</f>
        <v>45496</v>
      </c>
      <c r="T3373" s="57">
        <f>IFERROR(__xludf.DUMMYFUNCTION("""COMPUTED_VALUE"""),45551.0)</f>
        <v>45551</v>
      </c>
    </row>
    <row r="3374">
      <c r="A3374" s="6" t="str">
        <f>IFERROR(__xludf.DUMMYFUNCTION("""COMPUTED_VALUE"""),"121701664-10")</f>
        <v>121701664-10</v>
      </c>
      <c r="B3374" s="6" t="str">
        <f>IFERROR(__xludf.DUMMYFUNCTION("""COMPUTED_VALUE"""),"121701664 - APPROVED")</f>
        <v>121701664 - APPROVED</v>
      </c>
      <c r="C3374" s="6">
        <f>IFERROR(__xludf.DUMMYFUNCTION("""COMPUTED_VALUE"""),10.0)</f>
        <v>10</v>
      </c>
      <c r="D3374" s="6" t="str">
        <f>IFERROR(__xludf.DUMMYFUNCTION("""COMPUTED_VALUE"""),"P-15851-00")</f>
        <v>P-15851-00</v>
      </c>
      <c r="E3374" s="6" t="str">
        <f>IFERROR(__xludf.DUMMYFUNCTION("""COMPUTED_VALUE"""),"AMPLAS  EAGLE 100")</f>
        <v>AMPLAS  EAGLE 100</v>
      </c>
      <c r="F3374" s="6">
        <f>IFERROR(__xludf.DUMMYFUNCTION("""COMPUTED_VALUE"""),20.0)</f>
        <v>20</v>
      </c>
      <c r="G3374" s="6" t="str">
        <f>IFERROR(__xludf.DUMMYFUNCTION("""COMPUTED_VALUE"""),"Pieces")</f>
        <v>Pieces</v>
      </c>
      <c r="H3374" s="6" t="str">
        <f>IFERROR(__xludf.DUMMYFUNCTION("""COMPUTED_VALUE"""),"IDR")</f>
        <v>IDR</v>
      </c>
      <c r="I3374" s="6">
        <f>IFERROR(__xludf.DUMMYFUNCTION("""COMPUTED_VALUE"""),5000.0)</f>
        <v>5000</v>
      </c>
      <c r="J3374" s="6">
        <f>IFERROR(__xludf.DUMMYFUNCTION("""COMPUTED_VALUE"""),100000.0)</f>
        <v>100000</v>
      </c>
      <c r="K3374" s="57">
        <f>IFERROR(__xludf.DUMMYFUNCTION("""COMPUTED_VALUE"""),45498.0)</f>
        <v>45498</v>
      </c>
      <c r="L3374" s="6" t="str">
        <f>IFERROR(__xludf.DUMMYFUNCTION("""COMPUTED_VALUE"""),"FIP Engineering")</f>
        <v>FIP Engineering</v>
      </c>
      <c r="M3374" s="6" t="str">
        <f>IFERROR(__xludf.DUMMYFUNCTION("""COMPUTED_VALUE"""),"Mochammad Fadhillah Hakim,")</f>
        <v>Mochammad Fadhillah Hakim,</v>
      </c>
      <c r="N3374" s="6" t="str">
        <f>IFERROR(__xludf.DUMMYFUNCTION("""COMPUTED_VALUE"""),"FIP Engineering")</f>
        <v>FIP Engineering</v>
      </c>
      <c r="O3374" s="6" t="str">
        <f>IFERROR(__xludf.DUMMYFUNCTION("""COMPUTED_VALUE"""),"FIP-DOM-000-11304-OS00001-INA-000000")</f>
        <v>FIP-DOM-000-11304-OS00001-INA-000000</v>
      </c>
      <c r="P3374" s="6" t="str">
        <f>IFERROR(__xludf.DUMMYFUNCTION("""COMPUTED_VALUE"""),"PO Closed")</f>
        <v>PO Closed</v>
      </c>
      <c r="Q3374" s="6" t="str">
        <f>IFERROR(__xludf.DUMMYFUNCTION("""COMPUTED_VALUE"""),"GL2408031")</f>
        <v>GL2408031</v>
      </c>
      <c r="R3374" s="57">
        <f>IFERROR(__xludf.DUMMYFUNCTION("""COMPUTED_VALUE"""),45496.0)</f>
        <v>45496</v>
      </c>
      <c r="S3374" s="57">
        <f>IFERROR(__xludf.DUMMYFUNCTION("""COMPUTED_VALUE"""),45496.0)</f>
        <v>45496</v>
      </c>
      <c r="T3374" s="57">
        <f>IFERROR(__xludf.DUMMYFUNCTION("""COMPUTED_VALUE"""),45551.0)</f>
        <v>45551</v>
      </c>
    </row>
    <row r="3375">
      <c r="A3375" s="6" t="str">
        <f>IFERROR(__xludf.DUMMYFUNCTION("""COMPUTED_VALUE"""),"121701665-1")</f>
        <v>121701665-1</v>
      </c>
      <c r="B3375" s="6" t="str">
        <f>IFERROR(__xludf.DUMMYFUNCTION("""COMPUTED_VALUE"""),"121701665 - APPROVED")</f>
        <v>121701665 - APPROVED</v>
      </c>
      <c r="C3375" s="6">
        <f>IFERROR(__xludf.DUMMYFUNCTION("""COMPUTED_VALUE"""),1.0)</f>
        <v>1</v>
      </c>
      <c r="D3375" s="6" t="str">
        <f>IFERROR(__xludf.DUMMYFUNCTION("""COMPUTED_VALUE"""),"P-14455-00")</f>
        <v>P-14455-00</v>
      </c>
      <c r="E3375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3375" s="6">
        <f>IFERROR(__xludf.DUMMYFUNCTION("""COMPUTED_VALUE"""),1.0)</f>
        <v>1</v>
      </c>
      <c r="G3375" s="6" t="str">
        <f>IFERROR(__xludf.DUMMYFUNCTION("""COMPUTED_VALUE"""),"Pieces")</f>
        <v>Pieces</v>
      </c>
      <c r="H3375" s="6" t="str">
        <f>IFERROR(__xludf.DUMMYFUNCTION("""COMPUTED_VALUE"""),"IDR")</f>
        <v>IDR</v>
      </c>
      <c r="I3375" s="6">
        <f>IFERROR(__xludf.DUMMYFUNCTION("""COMPUTED_VALUE"""),1200000.0)</f>
        <v>1200000</v>
      </c>
      <c r="J3375" s="6">
        <f>IFERROR(__xludf.DUMMYFUNCTION("""COMPUTED_VALUE"""),1200000.0)</f>
        <v>1200000</v>
      </c>
      <c r="K3375" s="57">
        <f>IFERROR(__xludf.DUMMYFUNCTION("""COMPUTED_VALUE"""),45534.0)</f>
        <v>45534</v>
      </c>
      <c r="L3375" s="6" t="str">
        <f>IFERROR(__xludf.DUMMYFUNCTION("""COMPUTED_VALUE"""),"FIP Engineering")</f>
        <v>FIP Engineering</v>
      </c>
      <c r="M3375" s="6" t="str">
        <f>IFERROR(__xludf.DUMMYFUNCTION("""COMPUTED_VALUE"""),"Mochammad Fadhillah Hakim,")</f>
        <v>Mochammad Fadhillah Hakim,</v>
      </c>
      <c r="N3375" s="6" t="str">
        <f>IFERROR(__xludf.DUMMYFUNCTION("""COMPUTED_VALUE"""),"FIP Engineering")</f>
        <v>FIP Engineering</v>
      </c>
      <c r="O3375" s="6" t="str">
        <f>IFERROR(__xludf.DUMMYFUNCTION("""COMPUTED_VALUE"""),"FIP-DOM-000-11304-OS00001-INA-000000")</f>
        <v>FIP-DOM-000-11304-OS00001-INA-000000</v>
      </c>
      <c r="P3375" s="6" t="str">
        <f>IFERROR(__xludf.DUMMYFUNCTION("""COMPUTED_VALUE"""),"PO Closed")</f>
        <v>PO Closed</v>
      </c>
      <c r="Q3375" s="6" t="str">
        <f>IFERROR(__xludf.DUMMYFUNCTION("""COMPUTED_VALUE"""),"GL2408037")</f>
        <v>GL2408037</v>
      </c>
      <c r="R3375" s="57">
        <f>IFERROR(__xludf.DUMMYFUNCTION("""COMPUTED_VALUE"""),45496.0)</f>
        <v>45496</v>
      </c>
      <c r="S3375" s="57">
        <f>IFERROR(__xludf.DUMMYFUNCTION("""COMPUTED_VALUE"""),45497.0)</f>
        <v>45497</v>
      </c>
      <c r="T3375" s="57">
        <f>IFERROR(__xludf.DUMMYFUNCTION("""COMPUTED_VALUE"""),45555.0)</f>
        <v>45555</v>
      </c>
    </row>
    <row r="3376">
      <c r="A3376" s="6" t="str">
        <f>IFERROR(__xludf.DUMMYFUNCTION("""COMPUTED_VALUE"""),"121701665-2")</f>
        <v>121701665-2</v>
      </c>
      <c r="B3376" s="6" t="str">
        <f>IFERROR(__xludf.DUMMYFUNCTION("""COMPUTED_VALUE"""),"121701665 - APPROVED")</f>
        <v>121701665 - APPROVED</v>
      </c>
      <c r="C3376" s="6">
        <f>IFERROR(__xludf.DUMMYFUNCTION("""COMPUTED_VALUE"""),2.0)</f>
        <v>2</v>
      </c>
      <c r="D3376" s="6" t="str">
        <f>IFERROR(__xludf.DUMMYFUNCTION("""COMPUTED_VALUE"""),"P-14455-00")</f>
        <v>P-14455-00</v>
      </c>
      <c r="E3376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F3376" s="6">
        <f>IFERROR(__xludf.DUMMYFUNCTION("""COMPUTED_VALUE"""),1.0)</f>
        <v>1</v>
      </c>
      <c r="G3376" s="6" t="str">
        <f>IFERROR(__xludf.DUMMYFUNCTION("""COMPUTED_VALUE"""),"Pieces")</f>
        <v>Pieces</v>
      </c>
      <c r="H3376" s="6" t="str">
        <f>IFERROR(__xludf.DUMMYFUNCTION("""COMPUTED_VALUE"""),"IDR")</f>
        <v>IDR</v>
      </c>
      <c r="I3376" s="6">
        <f>IFERROR(__xludf.DUMMYFUNCTION("""COMPUTED_VALUE"""),1200000.0)</f>
        <v>1200000</v>
      </c>
      <c r="J3376" s="6">
        <f>IFERROR(__xludf.DUMMYFUNCTION("""COMPUTED_VALUE"""),1200000.0)</f>
        <v>1200000</v>
      </c>
      <c r="K3376" s="57">
        <f>IFERROR(__xludf.DUMMYFUNCTION("""COMPUTED_VALUE"""),45498.0)</f>
        <v>45498</v>
      </c>
      <c r="L3376" s="6" t="str">
        <f>IFERROR(__xludf.DUMMYFUNCTION("""COMPUTED_VALUE"""),"FIP Engineering")</f>
        <v>FIP Engineering</v>
      </c>
      <c r="M3376" s="6" t="str">
        <f>IFERROR(__xludf.DUMMYFUNCTION("""COMPUTED_VALUE"""),"Mochammad Fadhillah Hakim,")</f>
        <v>Mochammad Fadhillah Hakim,</v>
      </c>
      <c r="N3376" s="6" t="str">
        <f>IFERROR(__xludf.DUMMYFUNCTION("""COMPUTED_VALUE"""),"FIP Engineering")</f>
        <v>FIP Engineering</v>
      </c>
      <c r="O3376" s="6" t="str">
        <f>IFERROR(__xludf.DUMMYFUNCTION("""COMPUTED_VALUE"""),"FIP-DOM-000-11304-OS00001-INA-000000")</f>
        <v>FIP-DOM-000-11304-OS00001-INA-000000</v>
      </c>
      <c r="P3376" s="6" t="str">
        <f>IFERROR(__xludf.DUMMYFUNCTION("""COMPUTED_VALUE"""),"PO Closed")</f>
        <v>PO Closed</v>
      </c>
      <c r="Q3376" s="6" t="str">
        <f>IFERROR(__xludf.DUMMYFUNCTION("""COMPUTED_VALUE"""),"GL2408037")</f>
        <v>GL2408037</v>
      </c>
      <c r="R3376" s="57">
        <f>IFERROR(__xludf.DUMMYFUNCTION("""COMPUTED_VALUE"""),45496.0)</f>
        <v>45496</v>
      </c>
      <c r="S3376" s="57">
        <f>IFERROR(__xludf.DUMMYFUNCTION("""COMPUTED_VALUE"""),45497.0)</f>
        <v>45497</v>
      </c>
      <c r="T3376" s="57">
        <f>IFERROR(__xludf.DUMMYFUNCTION("""COMPUTED_VALUE"""),45555.0)</f>
        <v>45555</v>
      </c>
    </row>
    <row r="3377">
      <c r="A3377" s="6" t="str">
        <f>IFERROR(__xludf.DUMMYFUNCTION("""COMPUTED_VALUE"""),"121701665-3")</f>
        <v>121701665-3</v>
      </c>
      <c r="B3377" s="6" t="str">
        <f>IFERROR(__xludf.DUMMYFUNCTION("""COMPUTED_VALUE"""),"121701665 - APPROVED")</f>
        <v>121701665 - APPROVED</v>
      </c>
      <c r="C3377" s="6">
        <f>IFERROR(__xludf.DUMMYFUNCTION("""COMPUTED_VALUE"""),3.0)</f>
        <v>3</v>
      </c>
      <c r="D3377" s="6" t="str">
        <f>IFERROR(__xludf.DUMMYFUNCTION("""COMPUTED_VALUE"""),"P-14456-00")</f>
        <v>P-14456-00</v>
      </c>
      <c r="E3377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3377" s="6">
        <f>IFERROR(__xludf.DUMMYFUNCTION("""COMPUTED_VALUE"""),1.0)</f>
        <v>1</v>
      </c>
      <c r="G3377" s="6" t="str">
        <f>IFERROR(__xludf.DUMMYFUNCTION("""COMPUTED_VALUE"""),"Pieces")</f>
        <v>Pieces</v>
      </c>
      <c r="H3377" s="6" t="str">
        <f>IFERROR(__xludf.DUMMYFUNCTION("""COMPUTED_VALUE"""),"IDR")</f>
        <v>IDR</v>
      </c>
      <c r="I3377" s="6">
        <f>IFERROR(__xludf.DUMMYFUNCTION("""COMPUTED_VALUE"""),800000.0)</f>
        <v>800000</v>
      </c>
      <c r="J3377" s="6">
        <f>IFERROR(__xludf.DUMMYFUNCTION("""COMPUTED_VALUE"""),800000.0)</f>
        <v>800000</v>
      </c>
      <c r="K3377" s="57">
        <f>IFERROR(__xludf.DUMMYFUNCTION("""COMPUTED_VALUE"""),45498.0)</f>
        <v>45498</v>
      </c>
      <c r="L3377" s="6" t="str">
        <f>IFERROR(__xludf.DUMMYFUNCTION("""COMPUTED_VALUE"""),"FIP Engineering")</f>
        <v>FIP Engineering</v>
      </c>
      <c r="M3377" s="6" t="str">
        <f>IFERROR(__xludf.DUMMYFUNCTION("""COMPUTED_VALUE"""),"Mochammad Fadhillah Hakim,")</f>
        <v>Mochammad Fadhillah Hakim,</v>
      </c>
      <c r="N3377" s="6" t="str">
        <f>IFERROR(__xludf.DUMMYFUNCTION("""COMPUTED_VALUE"""),"FIP Engineering")</f>
        <v>FIP Engineering</v>
      </c>
      <c r="O3377" s="6" t="str">
        <f>IFERROR(__xludf.DUMMYFUNCTION("""COMPUTED_VALUE"""),"FIP-DOM-000-11304-OS00001-INA-000000")</f>
        <v>FIP-DOM-000-11304-OS00001-INA-000000</v>
      </c>
      <c r="P3377" s="6" t="str">
        <f>IFERROR(__xludf.DUMMYFUNCTION("""COMPUTED_VALUE"""),"PO Closed")</f>
        <v>PO Closed</v>
      </c>
      <c r="Q3377" s="6" t="str">
        <f>IFERROR(__xludf.DUMMYFUNCTION("""COMPUTED_VALUE"""),"GL2408037")</f>
        <v>GL2408037</v>
      </c>
      <c r="R3377" s="57">
        <f>IFERROR(__xludf.DUMMYFUNCTION("""COMPUTED_VALUE"""),45496.0)</f>
        <v>45496</v>
      </c>
      <c r="S3377" s="57">
        <f>IFERROR(__xludf.DUMMYFUNCTION("""COMPUTED_VALUE"""),45497.0)</f>
        <v>45497</v>
      </c>
      <c r="T3377" s="57">
        <f>IFERROR(__xludf.DUMMYFUNCTION("""COMPUTED_VALUE"""),45555.0)</f>
        <v>45555</v>
      </c>
    </row>
    <row r="3378">
      <c r="A3378" s="6" t="str">
        <f>IFERROR(__xludf.DUMMYFUNCTION("""COMPUTED_VALUE"""),"121701665-4")</f>
        <v>121701665-4</v>
      </c>
      <c r="B3378" s="6" t="str">
        <f>IFERROR(__xludf.DUMMYFUNCTION("""COMPUTED_VALUE"""),"121701665 - APPROVED")</f>
        <v>121701665 - APPROVED</v>
      </c>
      <c r="C3378" s="6">
        <f>IFERROR(__xludf.DUMMYFUNCTION("""COMPUTED_VALUE"""),4.0)</f>
        <v>4</v>
      </c>
      <c r="D3378" s="6" t="str">
        <f>IFERROR(__xludf.DUMMYFUNCTION("""COMPUTED_VALUE"""),"P-14456-00")</f>
        <v>P-14456-00</v>
      </c>
      <c r="E3378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F3378" s="6">
        <f>IFERROR(__xludf.DUMMYFUNCTION("""COMPUTED_VALUE"""),1.0)</f>
        <v>1</v>
      </c>
      <c r="G3378" s="6" t="str">
        <f>IFERROR(__xludf.DUMMYFUNCTION("""COMPUTED_VALUE"""),"Pieces")</f>
        <v>Pieces</v>
      </c>
      <c r="H3378" s="6" t="str">
        <f>IFERROR(__xludf.DUMMYFUNCTION("""COMPUTED_VALUE"""),"IDR")</f>
        <v>IDR</v>
      </c>
      <c r="I3378" s="6">
        <f>IFERROR(__xludf.DUMMYFUNCTION("""COMPUTED_VALUE"""),800000.0)</f>
        <v>800000</v>
      </c>
      <c r="J3378" s="6">
        <f>IFERROR(__xludf.DUMMYFUNCTION("""COMPUTED_VALUE"""),800000.0)</f>
        <v>800000</v>
      </c>
      <c r="K3378" s="57">
        <f>IFERROR(__xludf.DUMMYFUNCTION("""COMPUTED_VALUE"""),45498.0)</f>
        <v>45498</v>
      </c>
      <c r="L3378" s="6" t="str">
        <f>IFERROR(__xludf.DUMMYFUNCTION("""COMPUTED_VALUE"""),"FIP Engineering")</f>
        <v>FIP Engineering</v>
      </c>
      <c r="M3378" s="6" t="str">
        <f>IFERROR(__xludf.DUMMYFUNCTION("""COMPUTED_VALUE"""),"Mochammad Fadhillah Hakim,")</f>
        <v>Mochammad Fadhillah Hakim,</v>
      </c>
      <c r="N3378" s="6" t="str">
        <f>IFERROR(__xludf.DUMMYFUNCTION("""COMPUTED_VALUE"""),"FIP Engineering")</f>
        <v>FIP Engineering</v>
      </c>
      <c r="O3378" s="6" t="str">
        <f>IFERROR(__xludf.DUMMYFUNCTION("""COMPUTED_VALUE"""),"FIP-DOM-000-11304-OS00001-INA-000000")</f>
        <v>FIP-DOM-000-11304-OS00001-INA-000000</v>
      </c>
      <c r="P3378" s="6" t="str">
        <f>IFERROR(__xludf.DUMMYFUNCTION("""COMPUTED_VALUE"""),"PO Closed")</f>
        <v>PO Closed</v>
      </c>
      <c r="Q3378" s="6" t="str">
        <f>IFERROR(__xludf.DUMMYFUNCTION("""COMPUTED_VALUE"""),"GL2408037")</f>
        <v>GL2408037</v>
      </c>
      <c r="R3378" s="57">
        <f>IFERROR(__xludf.DUMMYFUNCTION("""COMPUTED_VALUE"""),45496.0)</f>
        <v>45496</v>
      </c>
      <c r="S3378" s="57">
        <f>IFERROR(__xludf.DUMMYFUNCTION("""COMPUTED_VALUE"""),45497.0)</f>
        <v>45497</v>
      </c>
      <c r="T3378" s="57">
        <f>IFERROR(__xludf.DUMMYFUNCTION("""COMPUTED_VALUE"""),45555.0)</f>
        <v>45555</v>
      </c>
    </row>
    <row r="3379">
      <c r="A3379" s="6" t="str">
        <f>IFERROR(__xludf.DUMMYFUNCTION("""COMPUTED_VALUE"""),"121701666-1")</f>
        <v>121701666-1</v>
      </c>
      <c r="B3379" s="6" t="str">
        <f>IFERROR(__xludf.DUMMYFUNCTION("""COMPUTED_VALUE"""),"121701666 - APPROVED")</f>
        <v>121701666 - APPROVED</v>
      </c>
      <c r="C3379" s="6">
        <f>IFERROR(__xludf.DUMMYFUNCTION("""COMPUTED_VALUE"""),1.0)</f>
        <v>1</v>
      </c>
      <c r="D3379" s="6" t="str">
        <f>IFERROR(__xludf.DUMMYFUNCTION("""COMPUTED_VALUE"""),"P-14424-00")</f>
        <v>P-14424-00</v>
      </c>
      <c r="E3379" s="6" t="str">
        <f>IFERROR(__xludf.DUMMYFUNCTION("""COMPUTED_VALUE"""),"Garam Kutreat RGN-9800F; ; ; 25Kg/zak")</f>
        <v>Garam Kutreat RGN-9800F; ; ; 25Kg/zak</v>
      </c>
      <c r="F3379" s="6">
        <f>IFERROR(__xludf.DUMMYFUNCTION("""COMPUTED_VALUE"""),75.0)</f>
        <v>75</v>
      </c>
      <c r="G3379" s="6" t="str">
        <f>IFERROR(__xludf.DUMMYFUNCTION("""COMPUTED_VALUE"""),"Kilogram")</f>
        <v>Kilogram</v>
      </c>
      <c r="H3379" s="6" t="str">
        <f>IFERROR(__xludf.DUMMYFUNCTION("""COMPUTED_VALUE"""),"IDR")</f>
        <v>IDR</v>
      </c>
      <c r="I3379" s="6">
        <f>IFERROR(__xludf.DUMMYFUNCTION("""COMPUTED_VALUE"""),10200.0)</f>
        <v>10200</v>
      </c>
      <c r="J3379" s="6">
        <f>IFERROR(__xludf.DUMMYFUNCTION("""COMPUTED_VALUE"""),765000.0)</f>
        <v>765000</v>
      </c>
      <c r="K3379" s="57">
        <f>IFERROR(__xludf.DUMMYFUNCTION("""COMPUTED_VALUE"""),45534.0)</f>
        <v>45534</v>
      </c>
      <c r="L3379" s="6" t="str">
        <f>IFERROR(__xludf.DUMMYFUNCTION("""COMPUTED_VALUE"""),"FIP Engineering")</f>
        <v>FIP Engineering</v>
      </c>
      <c r="M3379" s="6" t="str">
        <f>IFERROR(__xludf.DUMMYFUNCTION("""COMPUTED_VALUE"""),"Mochammad Fadhillah Hakim,")</f>
        <v>Mochammad Fadhillah Hakim,</v>
      </c>
      <c r="N3379" s="6" t="str">
        <f>IFERROR(__xludf.DUMMYFUNCTION("""COMPUTED_VALUE"""),"FIP Engineering")</f>
        <v>FIP Engineering</v>
      </c>
      <c r="O3379" s="6" t="str">
        <f>IFERROR(__xludf.DUMMYFUNCTION("""COMPUTED_VALUE"""),"FIP-DOM-000-11304-OS00001-INA-000000")</f>
        <v>FIP-DOM-000-11304-OS00001-INA-000000</v>
      </c>
      <c r="P3379" s="6" t="str">
        <f>IFERROR(__xludf.DUMMYFUNCTION("""COMPUTED_VALUE"""),"PO Closed")</f>
        <v>PO Closed</v>
      </c>
      <c r="Q3379" s="6" t="str">
        <f>IFERROR(__xludf.DUMMYFUNCTION("""COMPUTED_VALUE"""),"GL2408032")</f>
        <v>GL2408032</v>
      </c>
      <c r="R3379" s="57">
        <f>IFERROR(__xludf.DUMMYFUNCTION("""COMPUTED_VALUE"""),45496.0)</f>
        <v>45496</v>
      </c>
      <c r="S3379" s="57">
        <f>IFERROR(__xludf.DUMMYFUNCTION("""COMPUTED_VALUE"""),45497.0)</f>
        <v>45497</v>
      </c>
      <c r="T3379" s="57">
        <f>IFERROR(__xludf.DUMMYFUNCTION("""COMPUTED_VALUE"""),45551.0)</f>
        <v>45551</v>
      </c>
    </row>
    <row r="3380">
      <c r="A3380" s="6" t="str">
        <f>IFERROR(__xludf.DUMMYFUNCTION("""COMPUTED_VALUE"""),"121701666-2")</f>
        <v>121701666-2</v>
      </c>
      <c r="B3380" s="6" t="str">
        <f>IFERROR(__xludf.DUMMYFUNCTION("""COMPUTED_VALUE"""),"121701666 - APPROVED")</f>
        <v>121701666 - APPROVED</v>
      </c>
      <c r="C3380" s="6">
        <f>IFERROR(__xludf.DUMMYFUNCTION("""COMPUTED_VALUE"""),2.0)</f>
        <v>2</v>
      </c>
      <c r="D3380" s="6" t="str">
        <f>IFERROR(__xludf.DUMMYFUNCTION("""COMPUTED_VALUE"""),"P-14424-00")</f>
        <v>P-14424-00</v>
      </c>
      <c r="E3380" s="6" t="str">
        <f>IFERROR(__xludf.DUMMYFUNCTION("""COMPUTED_VALUE"""),"Garam Kutreat RGN-9800F; ; ; 25Kg/zak")</f>
        <v>Garam Kutreat RGN-9800F; ; ; 25Kg/zak</v>
      </c>
      <c r="F3380" s="6">
        <f>IFERROR(__xludf.DUMMYFUNCTION("""COMPUTED_VALUE"""),75.0)</f>
        <v>75</v>
      </c>
      <c r="G3380" s="6" t="str">
        <f>IFERROR(__xludf.DUMMYFUNCTION("""COMPUTED_VALUE"""),"Kilogram")</f>
        <v>Kilogram</v>
      </c>
      <c r="H3380" s="6" t="str">
        <f>IFERROR(__xludf.DUMMYFUNCTION("""COMPUTED_VALUE"""),"IDR")</f>
        <v>IDR</v>
      </c>
      <c r="I3380" s="6">
        <f>IFERROR(__xludf.DUMMYFUNCTION("""COMPUTED_VALUE"""),10200.0)</f>
        <v>10200</v>
      </c>
      <c r="J3380" s="6">
        <f>IFERROR(__xludf.DUMMYFUNCTION("""COMPUTED_VALUE"""),765000.0)</f>
        <v>765000</v>
      </c>
      <c r="K3380" s="57">
        <f>IFERROR(__xludf.DUMMYFUNCTION("""COMPUTED_VALUE"""),45625.0)</f>
        <v>45625</v>
      </c>
      <c r="L3380" s="6" t="str">
        <f>IFERROR(__xludf.DUMMYFUNCTION("""COMPUTED_VALUE"""),"FIP Engineering")</f>
        <v>FIP Engineering</v>
      </c>
      <c r="M3380" s="6" t="str">
        <f>IFERROR(__xludf.DUMMYFUNCTION("""COMPUTED_VALUE"""),"Mochammad Fadhillah Hakim,")</f>
        <v>Mochammad Fadhillah Hakim,</v>
      </c>
      <c r="N3380" s="6" t="str">
        <f>IFERROR(__xludf.DUMMYFUNCTION("""COMPUTED_VALUE"""),"FIP Engineering")</f>
        <v>FIP Engineering</v>
      </c>
      <c r="O3380" s="6" t="str">
        <f>IFERROR(__xludf.DUMMYFUNCTION("""COMPUTED_VALUE"""),"FIP-DOM-000-11304-OS00001-INA-000000")</f>
        <v>FIP-DOM-000-11304-OS00001-INA-000000</v>
      </c>
      <c r="P3380" s="6" t="str">
        <f>IFERROR(__xludf.DUMMYFUNCTION("""COMPUTED_VALUE"""),"PO Closed")</f>
        <v>PO Closed</v>
      </c>
      <c r="Q3380" s="6" t="str">
        <f>IFERROR(__xludf.DUMMYFUNCTION("""COMPUTED_VALUE"""),"GL2408032")</f>
        <v>GL2408032</v>
      </c>
      <c r="R3380" s="57">
        <f>IFERROR(__xludf.DUMMYFUNCTION("""COMPUTED_VALUE"""),45496.0)</f>
        <v>45496</v>
      </c>
      <c r="S3380" s="57">
        <f>IFERROR(__xludf.DUMMYFUNCTION("""COMPUTED_VALUE"""),45497.0)</f>
        <v>45497</v>
      </c>
      <c r="T3380" s="57">
        <f>IFERROR(__xludf.DUMMYFUNCTION("""COMPUTED_VALUE"""),45551.0)</f>
        <v>45551</v>
      </c>
    </row>
    <row r="3381">
      <c r="A3381" s="6" t="str">
        <f>IFERROR(__xludf.DUMMYFUNCTION("""COMPUTED_VALUE"""),"121701667-1")</f>
        <v>121701667-1</v>
      </c>
      <c r="B3381" s="6" t="str">
        <f>IFERROR(__xludf.DUMMYFUNCTION("""COMPUTED_VALUE"""),"121701667 - APPROVED")</f>
        <v>121701667 - APPROVED</v>
      </c>
      <c r="C3381" s="6">
        <f>IFERROR(__xludf.DUMMYFUNCTION("""COMPUTED_VALUE"""),1.0)</f>
        <v>1</v>
      </c>
      <c r="D3381" s="6" t="str">
        <f>IFERROR(__xludf.DUMMYFUNCTION("""COMPUTED_VALUE"""),"P-15862-00")</f>
        <v>P-15862-00</v>
      </c>
      <c r="E3381" s="6" t="str">
        <f>IFERROR(__xludf.DUMMYFUNCTION("""COMPUTED_VALUE"""),"PAPER RECORD YOKOGAWA; FOLDING CHART B9565AW")</f>
        <v>PAPER RECORD YOKOGAWA; FOLDING CHART B9565AW</v>
      </c>
      <c r="F3381" s="6">
        <f>IFERROR(__xludf.DUMMYFUNCTION("""COMPUTED_VALUE"""),3.0)</f>
        <v>3</v>
      </c>
      <c r="G3381" s="6" t="str">
        <f>IFERROR(__xludf.DUMMYFUNCTION("""COMPUTED_VALUE"""),"Pieces")</f>
        <v>Pieces</v>
      </c>
      <c r="H3381" s="6" t="str">
        <f>IFERROR(__xludf.DUMMYFUNCTION("""COMPUTED_VALUE"""),"IDR")</f>
        <v>IDR</v>
      </c>
      <c r="I3381" s="6">
        <f>IFERROR(__xludf.DUMMYFUNCTION("""COMPUTED_VALUE"""),230000.0)</f>
        <v>230000</v>
      </c>
      <c r="J3381" s="6">
        <f>IFERROR(__xludf.DUMMYFUNCTION("""COMPUTED_VALUE"""),690000.0)</f>
        <v>690000</v>
      </c>
      <c r="K3381" s="57">
        <f>IFERROR(__xludf.DUMMYFUNCTION("""COMPUTED_VALUE"""),45534.0)</f>
        <v>45534</v>
      </c>
      <c r="L3381" s="6" t="str">
        <f>IFERROR(__xludf.DUMMYFUNCTION("""COMPUTED_VALUE"""),"FIP Engineering")</f>
        <v>FIP Engineering</v>
      </c>
      <c r="M3381" s="6" t="str">
        <f>IFERROR(__xludf.DUMMYFUNCTION("""COMPUTED_VALUE"""),"Mochammad Fadhillah Hakim,")</f>
        <v>Mochammad Fadhillah Hakim,</v>
      </c>
      <c r="N3381" s="6" t="str">
        <f>IFERROR(__xludf.DUMMYFUNCTION("""COMPUTED_VALUE"""),"FIP Engineering")</f>
        <v>FIP Engineering</v>
      </c>
      <c r="O3381" s="6" t="str">
        <f>IFERROR(__xludf.DUMMYFUNCTION("""COMPUTED_VALUE"""),"FIP-DOM-000-11304-OS00001-INA-000000")</f>
        <v>FIP-DOM-000-11304-OS00001-INA-000000</v>
      </c>
      <c r="P3381" s="6" t="str">
        <f>IFERROR(__xludf.DUMMYFUNCTION("""COMPUTED_VALUE"""),"PO Closed")</f>
        <v>PO Closed</v>
      </c>
      <c r="Q3381" s="6" t="str">
        <f>IFERROR(__xludf.DUMMYFUNCTION("""COMPUTED_VALUE"""),"GL2408049")</f>
        <v>GL2408049</v>
      </c>
      <c r="R3381" s="57">
        <f>IFERROR(__xludf.DUMMYFUNCTION("""COMPUTED_VALUE"""),45496.0)</f>
        <v>45496</v>
      </c>
      <c r="S3381" s="57">
        <f>IFERROR(__xludf.DUMMYFUNCTION("""COMPUTED_VALUE"""),45497.0)</f>
        <v>45497</v>
      </c>
      <c r="T3381" s="57">
        <f>IFERROR(__xludf.DUMMYFUNCTION("""COMPUTED_VALUE"""),45570.0)</f>
        <v>45570</v>
      </c>
    </row>
    <row r="3382">
      <c r="A3382" s="6" t="str">
        <f>IFERROR(__xludf.DUMMYFUNCTION("""COMPUTED_VALUE"""),"121701667-2")</f>
        <v>121701667-2</v>
      </c>
      <c r="B3382" s="6" t="str">
        <f>IFERROR(__xludf.DUMMYFUNCTION("""COMPUTED_VALUE"""),"121701667 - APPROVED")</f>
        <v>121701667 - APPROVED</v>
      </c>
      <c r="C3382" s="6">
        <f>IFERROR(__xludf.DUMMYFUNCTION("""COMPUTED_VALUE"""),2.0)</f>
        <v>2</v>
      </c>
      <c r="D3382" s="6" t="str">
        <f>IFERROR(__xludf.DUMMYFUNCTION("""COMPUTED_VALUE"""),"P-15862-00")</f>
        <v>P-15862-00</v>
      </c>
      <c r="E3382" s="6" t="str">
        <f>IFERROR(__xludf.DUMMYFUNCTION("""COMPUTED_VALUE"""),"PAPER RECORD YOKOGAWA; FOLDING CHART B9565AW")</f>
        <v>PAPER RECORD YOKOGAWA; FOLDING CHART B9565AW</v>
      </c>
      <c r="F3382" s="6">
        <f>IFERROR(__xludf.DUMMYFUNCTION("""COMPUTED_VALUE"""),3.0)</f>
        <v>3</v>
      </c>
      <c r="G3382" s="6" t="str">
        <f>IFERROR(__xludf.DUMMYFUNCTION("""COMPUTED_VALUE"""),"Pieces")</f>
        <v>Pieces</v>
      </c>
      <c r="H3382" s="6" t="str">
        <f>IFERROR(__xludf.DUMMYFUNCTION("""COMPUTED_VALUE"""),"IDR")</f>
        <v>IDR</v>
      </c>
      <c r="I3382" s="6">
        <f>IFERROR(__xludf.DUMMYFUNCTION("""COMPUTED_VALUE"""),230000.0)</f>
        <v>230000</v>
      </c>
      <c r="J3382" s="6">
        <f>IFERROR(__xludf.DUMMYFUNCTION("""COMPUTED_VALUE"""),690000.0)</f>
        <v>690000</v>
      </c>
      <c r="K3382" s="57">
        <f>IFERROR(__xludf.DUMMYFUNCTION("""COMPUTED_VALUE"""),45625.0)</f>
        <v>45625</v>
      </c>
      <c r="L3382" s="6" t="str">
        <f>IFERROR(__xludf.DUMMYFUNCTION("""COMPUTED_VALUE"""),"FIP Engineering")</f>
        <v>FIP Engineering</v>
      </c>
      <c r="M3382" s="6" t="str">
        <f>IFERROR(__xludf.DUMMYFUNCTION("""COMPUTED_VALUE"""),"Mochammad Fadhillah Hakim,")</f>
        <v>Mochammad Fadhillah Hakim,</v>
      </c>
      <c r="N3382" s="6" t="str">
        <f>IFERROR(__xludf.DUMMYFUNCTION("""COMPUTED_VALUE"""),"FIP Engineering")</f>
        <v>FIP Engineering</v>
      </c>
      <c r="O3382" s="6" t="str">
        <f>IFERROR(__xludf.DUMMYFUNCTION("""COMPUTED_VALUE"""),"FIP-DOM-000-11304-OS00001-INA-000000")</f>
        <v>FIP-DOM-000-11304-OS00001-INA-000000</v>
      </c>
      <c r="P3382" s="6" t="str">
        <f>IFERROR(__xludf.DUMMYFUNCTION("""COMPUTED_VALUE"""),"PO Closed")</f>
        <v>PO Closed</v>
      </c>
      <c r="Q3382" s="6" t="str">
        <f>IFERROR(__xludf.DUMMYFUNCTION("""COMPUTED_VALUE"""),"GL2408049")</f>
        <v>GL2408049</v>
      </c>
      <c r="R3382" s="57">
        <f>IFERROR(__xludf.DUMMYFUNCTION("""COMPUTED_VALUE"""),45496.0)</f>
        <v>45496</v>
      </c>
      <c r="S3382" s="57">
        <f>IFERROR(__xludf.DUMMYFUNCTION("""COMPUTED_VALUE"""),45497.0)</f>
        <v>45497</v>
      </c>
      <c r="T3382" s="57">
        <f>IFERROR(__xludf.DUMMYFUNCTION("""COMPUTED_VALUE"""),45570.0)</f>
        <v>45570</v>
      </c>
    </row>
    <row r="3383">
      <c r="A3383" s="6" t="str">
        <f>IFERROR(__xludf.DUMMYFUNCTION("""COMPUTED_VALUE"""),"121701669-1")</f>
        <v>121701669-1</v>
      </c>
      <c r="B3383" s="6" t="str">
        <f>IFERROR(__xludf.DUMMYFUNCTION("""COMPUTED_VALUE"""),"121701669 - APPROVED")</f>
        <v>121701669 - APPROVED</v>
      </c>
      <c r="C3383" s="6">
        <f>IFERROR(__xludf.DUMMYFUNCTION("""COMPUTED_VALUE"""),1.0)</f>
        <v>1</v>
      </c>
      <c r="D3383" s="6" t="str">
        <f>IFERROR(__xludf.DUMMYFUNCTION("""COMPUTED_VALUE"""),"O-16647-00")</f>
        <v>O-16647-00</v>
      </c>
      <c r="E3383" s="6" t="str">
        <f>IFERROR(__xludf.DUMMYFUNCTION("""COMPUTED_VALUE"""),"Washing RAR4 - Oring Silicone Merah 23x18x2.5 mm; ; ;")</f>
        <v>Washing RAR4 - Oring Silicone Merah 23x18x2.5 mm; ; ;</v>
      </c>
      <c r="F3383" s="6">
        <f>IFERROR(__xludf.DUMMYFUNCTION("""COMPUTED_VALUE"""),40.0)</f>
        <v>40</v>
      </c>
      <c r="G3383" s="6" t="str">
        <f>IFERROR(__xludf.DUMMYFUNCTION("""COMPUTED_VALUE"""),"Pieces")</f>
        <v>Pieces</v>
      </c>
      <c r="H3383" s="6" t="str">
        <f>IFERROR(__xludf.DUMMYFUNCTION("""COMPUTED_VALUE"""),"IDR")</f>
        <v>IDR</v>
      </c>
      <c r="I3383" s="6">
        <f>IFERROR(__xludf.DUMMYFUNCTION("""COMPUTED_VALUE"""),35000.0)</f>
        <v>35000</v>
      </c>
      <c r="J3383" s="6">
        <f>IFERROR(__xludf.DUMMYFUNCTION("""COMPUTED_VALUE"""),1400000.0)</f>
        <v>1400000</v>
      </c>
      <c r="K3383" s="57">
        <f>IFERROR(__xludf.DUMMYFUNCTION("""COMPUTED_VALUE"""),45534.0)</f>
        <v>45534</v>
      </c>
      <c r="L3383" s="6" t="str">
        <f>IFERROR(__xludf.DUMMYFUNCTION("""COMPUTED_VALUE"""),"FIP Engineering")</f>
        <v>FIP Engineering</v>
      </c>
      <c r="M3383" s="6" t="str">
        <f>IFERROR(__xludf.DUMMYFUNCTION("""COMPUTED_VALUE"""),"Mochammad Fadhillah Hakim,")</f>
        <v>Mochammad Fadhillah Hakim,</v>
      </c>
      <c r="N3383" s="6" t="str">
        <f>IFERROR(__xludf.DUMMYFUNCTION("""COMPUTED_VALUE"""),"FIP Engineering")</f>
        <v>FIP Engineering</v>
      </c>
      <c r="O3383" s="6" t="str">
        <f>IFERROR(__xludf.DUMMYFUNCTION("""COMPUTED_VALUE"""),"FIP-DOM-000-11304-OS00001-INA-000000")</f>
        <v>FIP-DOM-000-11304-OS00001-INA-000000</v>
      </c>
      <c r="P3383" s="6" t="str">
        <f>IFERROR(__xludf.DUMMYFUNCTION("""COMPUTED_VALUE"""),"PO Closed")</f>
        <v>PO Closed</v>
      </c>
      <c r="Q3383" s="6" t="str">
        <f>IFERROR(__xludf.DUMMYFUNCTION("""COMPUTED_VALUE"""),"GL2408011")</f>
        <v>GL2408011</v>
      </c>
      <c r="R3383" s="57">
        <f>IFERROR(__xludf.DUMMYFUNCTION("""COMPUTED_VALUE"""),45496.0)</f>
        <v>45496</v>
      </c>
      <c r="S3383" s="57">
        <f>IFERROR(__xludf.DUMMYFUNCTION("""COMPUTED_VALUE"""),45497.0)</f>
        <v>45497</v>
      </c>
      <c r="T3383" s="57">
        <f>IFERROR(__xludf.DUMMYFUNCTION("""COMPUTED_VALUE"""),45573.0)</f>
        <v>45573</v>
      </c>
    </row>
    <row r="3384">
      <c r="A3384" s="6" t="str">
        <f>IFERROR(__xludf.DUMMYFUNCTION("""COMPUTED_VALUE"""),"121701669-2")</f>
        <v>121701669-2</v>
      </c>
      <c r="B3384" s="6" t="str">
        <f>IFERROR(__xludf.DUMMYFUNCTION("""COMPUTED_VALUE"""),"121701669 - APPROVED")</f>
        <v>121701669 - APPROVED</v>
      </c>
      <c r="C3384" s="6">
        <f>IFERROR(__xludf.DUMMYFUNCTION("""COMPUTED_VALUE"""),2.0)</f>
        <v>2</v>
      </c>
      <c r="D3384" s="6" t="str">
        <f>IFERROR(__xludf.DUMMYFUNCTION("""COMPUTED_VALUE"""),"O-16647-00")</f>
        <v>O-16647-00</v>
      </c>
      <c r="E3384" s="6" t="str">
        <f>IFERROR(__xludf.DUMMYFUNCTION("""COMPUTED_VALUE"""),"Washing RAR4 - Oring Silicone Merah 23x18x2.5 mm; ; ;")</f>
        <v>Washing RAR4 - Oring Silicone Merah 23x18x2.5 mm; ; ;</v>
      </c>
      <c r="F3384" s="6">
        <f>IFERROR(__xludf.DUMMYFUNCTION("""COMPUTED_VALUE"""),40.0)</f>
        <v>40</v>
      </c>
      <c r="G3384" s="6" t="str">
        <f>IFERROR(__xludf.DUMMYFUNCTION("""COMPUTED_VALUE"""),"Pieces")</f>
        <v>Pieces</v>
      </c>
      <c r="H3384" s="6" t="str">
        <f>IFERROR(__xludf.DUMMYFUNCTION("""COMPUTED_VALUE"""),"IDR")</f>
        <v>IDR</v>
      </c>
      <c r="I3384" s="6">
        <f>IFERROR(__xludf.DUMMYFUNCTION("""COMPUTED_VALUE"""),35000.0)</f>
        <v>35000</v>
      </c>
      <c r="J3384" s="6">
        <f>IFERROR(__xludf.DUMMYFUNCTION("""COMPUTED_VALUE"""),1400000.0)</f>
        <v>1400000</v>
      </c>
      <c r="K3384" s="57">
        <f>IFERROR(__xludf.DUMMYFUNCTION("""COMPUTED_VALUE"""),45625.0)</f>
        <v>45625</v>
      </c>
      <c r="L3384" s="6" t="str">
        <f>IFERROR(__xludf.DUMMYFUNCTION("""COMPUTED_VALUE"""),"FIP Engineering")</f>
        <v>FIP Engineering</v>
      </c>
      <c r="M3384" s="6" t="str">
        <f>IFERROR(__xludf.DUMMYFUNCTION("""COMPUTED_VALUE"""),"Mochammad Fadhillah Hakim,")</f>
        <v>Mochammad Fadhillah Hakim,</v>
      </c>
      <c r="N3384" s="6" t="str">
        <f>IFERROR(__xludf.DUMMYFUNCTION("""COMPUTED_VALUE"""),"FIP Engineering")</f>
        <v>FIP Engineering</v>
      </c>
      <c r="O3384" s="6" t="str">
        <f>IFERROR(__xludf.DUMMYFUNCTION("""COMPUTED_VALUE"""),"FIP-DOM-000-11304-OS00001-INA-000000")</f>
        <v>FIP-DOM-000-11304-OS00001-INA-000000</v>
      </c>
      <c r="P3384" s="6" t="str">
        <f>IFERROR(__xludf.DUMMYFUNCTION("""COMPUTED_VALUE"""),"PO Closed")</f>
        <v>PO Closed</v>
      </c>
      <c r="Q3384" s="6" t="str">
        <f>IFERROR(__xludf.DUMMYFUNCTION("""COMPUTED_VALUE"""),"GL2408011")</f>
        <v>GL2408011</v>
      </c>
      <c r="R3384" s="57">
        <f>IFERROR(__xludf.DUMMYFUNCTION("""COMPUTED_VALUE"""),45496.0)</f>
        <v>45496</v>
      </c>
      <c r="S3384" s="57">
        <f>IFERROR(__xludf.DUMMYFUNCTION("""COMPUTED_VALUE"""),45497.0)</f>
        <v>45497</v>
      </c>
      <c r="T3384" s="57">
        <f>IFERROR(__xludf.DUMMYFUNCTION("""COMPUTED_VALUE"""),45573.0)</f>
        <v>45573</v>
      </c>
    </row>
    <row r="3385">
      <c r="A3385" s="6" t="str">
        <f>IFERROR(__xludf.DUMMYFUNCTION("""COMPUTED_VALUE"""),"121701669-3")</f>
        <v>121701669-3</v>
      </c>
      <c r="B3385" s="6" t="str">
        <f>IFERROR(__xludf.DUMMYFUNCTION("""COMPUTED_VALUE"""),"121701669 - APPROVED")</f>
        <v>121701669 - APPROVED</v>
      </c>
      <c r="C3385" s="6">
        <f>IFERROR(__xludf.DUMMYFUNCTION("""COMPUTED_VALUE"""),3.0)</f>
        <v>3</v>
      </c>
      <c r="D3385" s="6" t="str">
        <f>IFERROR(__xludf.DUMMYFUNCTION("""COMPUTED_VALUE"""),"P-13389-00")</f>
        <v>P-13389-00</v>
      </c>
      <c r="E3385" s="6" t="str">
        <f>IFERROR(__xludf.DUMMYFUNCTION("""COMPUTED_VALUE"""),"Scotch Brite 3M; ; ;")</f>
        <v>Scotch Brite 3M; ; ;</v>
      </c>
      <c r="F3385" s="6">
        <f>IFERROR(__xludf.DUMMYFUNCTION("""COMPUTED_VALUE"""),20.0)</f>
        <v>20</v>
      </c>
      <c r="G3385" s="6" t="str">
        <f>IFERROR(__xludf.DUMMYFUNCTION("""COMPUTED_VALUE"""),"Pieces")</f>
        <v>Pieces</v>
      </c>
      <c r="H3385" s="6" t="str">
        <f>IFERROR(__xludf.DUMMYFUNCTION("""COMPUTED_VALUE"""),"IDR")</f>
        <v>IDR</v>
      </c>
      <c r="I3385" s="6">
        <f>IFERROR(__xludf.DUMMYFUNCTION("""COMPUTED_VALUE"""),13500.0)</f>
        <v>13500</v>
      </c>
      <c r="J3385" s="6">
        <f>IFERROR(__xludf.DUMMYFUNCTION("""COMPUTED_VALUE"""),270000.0)</f>
        <v>270000</v>
      </c>
      <c r="K3385" s="57">
        <f>IFERROR(__xludf.DUMMYFUNCTION("""COMPUTED_VALUE"""),45534.0)</f>
        <v>45534</v>
      </c>
      <c r="L3385" s="6" t="str">
        <f>IFERROR(__xludf.DUMMYFUNCTION("""COMPUTED_VALUE"""),"FIP Engineering")</f>
        <v>FIP Engineering</v>
      </c>
      <c r="M3385" s="6" t="str">
        <f>IFERROR(__xludf.DUMMYFUNCTION("""COMPUTED_VALUE"""),"Mochammad Fadhillah Hakim,")</f>
        <v>Mochammad Fadhillah Hakim,</v>
      </c>
      <c r="N3385" s="6" t="str">
        <f>IFERROR(__xludf.DUMMYFUNCTION("""COMPUTED_VALUE"""),"FIP Engineering")</f>
        <v>FIP Engineering</v>
      </c>
      <c r="O3385" s="6" t="str">
        <f>IFERROR(__xludf.DUMMYFUNCTION("""COMPUTED_VALUE"""),"FIP-DOM-000-11304-OS00001-INA-000000")</f>
        <v>FIP-DOM-000-11304-OS00001-INA-000000</v>
      </c>
      <c r="P3385" s="6" t="str">
        <f>IFERROR(__xludf.DUMMYFUNCTION("""COMPUTED_VALUE"""),"PO Closed")</f>
        <v>PO Closed</v>
      </c>
      <c r="Q3385" s="6" t="str">
        <f>IFERROR(__xludf.DUMMYFUNCTION("""COMPUTED_VALUE"""),"GL2408011")</f>
        <v>GL2408011</v>
      </c>
      <c r="R3385" s="57">
        <f>IFERROR(__xludf.DUMMYFUNCTION("""COMPUTED_VALUE"""),45496.0)</f>
        <v>45496</v>
      </c>
      <c r="S3385" s="57">
        <f>IFERROR(__xludf.DUMMYFUNCTION("""COMPUTED_VALUE"""),45497.0)</f>
        <v>45497</v>
      </c>
      <c r="T3385" s="57">
        <f>IFERROR(__xludf.DUMMYFUNCTION("""COMPUTED_VALUE"""),45573.0)</f>
        <v>45573</v>
      </c>
    </row>
    <row r="3386">
      <c r="A3386" s="6" t="str">
        <f>IFERROR(__xludf.DUMMYFUNCTION("""COMPUTED_VALUE"""),"121701669-4")</f>
        <v>121701669-4</v>
      </c>
      <c r="B3386" s="6" t="str">
        <f>IFERROR(__xludf.DUMMYFUNCTION("""COMPUTED_VALUE"""),"121701669 - APPROVED")</f>
        <v>121701669 - APPROVED</v>
      </c>
      <c r="C3386" s="6">
        <f>IFERROR(__xludf.DUMMYFUNCTION("""COMPUTED_VALUE"""),4.0)</f>
        <v>4</v>
      </c>
      <c r="D3386" s="6" t="str">
        <f>IFERROR(__xludf.DUMMYFUNCTION("""COMPUTED_VALUE"""),"P-13389-00")</f>
        <v>P-13389-00</v>
      </c>
      <c r="E3386" s="6" t="str">
        <f>IFERROR(__xludf.DUMMYFUNCTION("""COMPUTED_VALUE"""),"Scotch Brite 3M; ; ;")</f>
        <v>Scotch Brite 3M; ; ;</v>
      </c>
      <c r="F3386" s="6">
        <f>IFERROR(__xludf.DUMMYFUNCTION("""COMPUTED_VALUE"""),20.0)</f>
        <v>20</v>
      </c>
      <c r="G3386" s="6" t="str">
        <f>IFERROR(__xludf.DUMMYFUNCTION("""COMPUTED_VALUE"""),"Pieces")</f>
        <v>Pieces</v>
      </c>
      <c r="H3386" s="6" t="str">
        <f>IFERROR(__xludf.DUMMYFUNCTION("""COMPUTED_VALUE"""),"IDR")</f>
        <v>IDR</v>
      </c>
      <c r="I3386" s="6">
        <f>IFERROR(__xludf.DUMMYFUNCTION("""COMPUTED_VALUE"""),13500.0)</f>
        <v>13500</v>
      </c>
      <c r="J3386" s="6">
        <f>IFERROR(__xludf.DUMMYFUNCTION("""COMPUTED_VALUE"""),270000.0)</f>
        <v>270000</v>
      </c>
      <c r="K3386" s="57">
        <f>IFERROR(__xludf.DUMMYFUNCTION("""COMPUTED_VALUE"""),45625.0)</f>
        <v>45625</v>
      </c>
      <c r="L3386" s="6" t="str">
        <f>IFERROR(__xludf.DUMMYFUNCTION("""COMPUTED_VALUE"""),"FIP Engineering")</f>
        <v>FIP Engineering</v>
      </c>
      <c r="M3386" s="6" t="str">
        <f>IFERROR(__xludf.DUMMYFUNCTION("""COMPUTED_VALUE"""),"Mochammad Fadhillah Hakim,")</f>
        <v>Mochammad Fadhillah Hakim,</v>
      </c>
      <c r="N3386" s="6" t="str">
        <f>IFERROR(__xludf.DUMMYFUNCTION("""COMPUTED_VALUE"""),"FIP Engineering")</f>
        <v>FIP Engineering</v>
      </c>
      <c r="O3386" s="6" t="str">
        <f>IFERROR(__xludf.DUMMYFUNCTION("""COMPUTED_VALUE"""),"FIP-DOM-000-11304-OS00001-INA-000000")</f>
        <v>FIP-DOM-000-11304-OS00001-INA-000000</v>
      </c>
      <c r="P3386" s="6" t="str">
        <f>IFERROR(__xludf.DUMMYFUNCTION("""COMPUTED_VALUE"""),"PO Closed")</f>
        <v>PO Closed</v>
      </c>
      <c r="Q3386" s="6" t="str">
        <f>IFERROR(__xludf.DUMMYFUNCTION("""COMPUTED_VALUE"""),"GL2408011")</f>
        <v>GL2408011</v>
      </c>
      <c r="R3386" s="57">
        <f>IFERROR(__xludf.DUMMYFUNCTION("""COMPUTED_VALUE"""),45496.0)</f>
        <v>45496</v>
      </c>
      <c r="S3386" s="57">
        <f>IFERROR(__xludf.DUMMYFUNCTION("""COMPUTED_VALUE"""),45497.0)</f>
        <v>45497</v>
      </c>
      <c r="T3386" s="57">
        <f>IFERROR(__xludf.DUMMYFUNCTION("""COMPUTED_VALUE"""),45573.0)</f>
        <v>45573</v>
      </c>
    </row>
    <row r="3387">
      <c r="A3387" s="6" t="str">
        <f>IFERROR(__xludf.DUMMYFUNCTION("""COMPUTED_VALUE"""),"121701669-5")</f>
        <v>121701669-5</v>
      </c>
      <c r="B3387" s="6" t="str">
        <f>IFERROR(__xludf.DUMMYFUNCTION("""COMPUTED_VALUE"""),"121701669 - APPROVED")</f>
        <v>121701669 - APPROVED</v>
      </c>
      <c r="C3387" s="6">
        <f>IFERROR(__xludf.DUMMYFUNCTION("""COMPUTED_VALUE"""),5.0)</f>
        <v>5</v>
      </c>
      <c r="D3387" s="6" t="str">
        <f>IFERROR(__xludf.DUMMYFUNCTION("""COMPUTED_VALUE"""),"Q-10249-00")</f>
        <v>Q-10249-00</v>
      </c>
      <c r="E3387" s="6" t="str">
        <f>IFERROR(__xludf.DUMMYFUNCTION("""COMPUTED_VALUE"""),"Lem Power Glue; ; ;")</f>
        <v>Lem Power Glue; ; ;</v>
      </c>
      <c r="F3387" s="6">
        <f>IFERROR(__xludf.DUMMYFUNCTION("""COMPUTED_VALUE"""),15.0)</f>
        <v>15</v>
      </c>
      <c r="G3387" s="6" t="str">
        <f>IFERROR(__xludf.DUMMYFUNCTION("""COMPUTED_VALUE"""),"Pieces")</f>
        <v>Pieces</v>
      </c>
      <c r="H3387" s="6" t="str">
        <f>IFERROR(__xludf.DUMMYFUNCTION("""COMPUTED_VALUE"""),"IDR")</f>
        <v>IDR</v>
      </c>
      <c r="I3387" s="6">
        <f>IFERROR(__xludf.DUMMYFUNCTION("""COMPUTED_VALUE"""),5000.0)</f>
        <v>5000</v>
      </c>
      <c r="J3387" s="6">
        <f>IFERROR(__xludf.DUMMYFUNCTION("""COMPUTED_VALUE"""),75000.0)</f>
        <v>75000</v>
      </c>
      <c r="K3387" s="57">
        <f>IFERROR(__xludf.DUMMYFUNCTION("""COMPUTED_VALUE"""),45625.0)</f>
        <v>45625</v>
      </c>
      <c r="L3387" s="6" t="str">
        <f>IFERROR(__xludf.DUMMYFUNCTION("""COMPUTED_VALUE"""),"FIP Engineering")</f>
        <v>FIP Engineering</v>
      </c>
      <c r="M3387" s="6" t="str">
        <f>IFERROR(__xludf.DUMMYFUNCTION("""COMPUTED_VALUE"""),"Mochammad Fadhillah Hakim,")</f>
        <v>Mochammad Fadhillah Hakim,</v>
      </c>
      <c r="N3387" s="6" t="str">
        <f>IFERROR(__xludf.DUMMYFUNCTION("""COMPUTED_VALUE"""),"FIP Engineering")</f>
        <v>FIP Engineering</v>
      </c>
      <c r="O3387" s="6" t="str">
        <f>IFERROR(__xludf.DUMMYFUNCTION("""COMPUTED_VALUE"""),"FIP-DOM-000-11304-OS00001-INA-000000")</f>
        <v>FIP-DOM-000-11304-OS00001-INA-000000</v>
      </c>
      <c r="P3387" s="6" t="str">
        <f>IFERROR(__xludf.DUMMYFUNCTION("""COMPUTED_VALUE"""),"PO Closed")</f>
        <v>PO Closed</v>
      </c>
      <c r="Q3387" s="6" t="str">
        <f>IFERROR(__xludf.DUMMYFUNCTION("""COMPUTED_VALUE"""),"GL2408039")</f>
        <v>GL2408039</v>
      </c>
      <c r="R3387" s="57">
        <f>IFERROR(__xludf.DUMMYFUNCTION("""COMPUTED_VALUE"""),45496.0)</f>
        <v>45496</v>
      </c>
      <c r="S3387" s="57">
        <f>IFERROR(__xludf.DUMMYFUNCTION("""COMPUTED_VALUE"""),45497.0)</f>
        <v>45497</v>
      </c>
      <c r="T3387" s="57">
        <f>IFERROR(__xludf.DUMMYFUNCTION("""COMPUTED_VALUE"""),45541.0)</f>
        <v>45541</v>
      </c>
    </row>
    <row r="3388">
      <c r="A3388" s="6" t="str">
        <f>IFERROR(__xludf.DUMMYFUNCTION("""COMPUTED_VALUE"""),"121701669-6")</f>
        <v>121701669-6</v>
      </c>
      <c r="B3388" s="6" t="str">
        <f>IFERROR(__xludf.DUMMYFUNCTION("""COMPUTED_VALUE"""),"121701669 - APPROVED")</f>
        <v>121701669 - APPROVED</v>
      </c>
      <c r="C3388" s="6">
        <f>IFERROR(__xludf.DUMMYFUNCTION("""COMPUTED_VALUE"""),6.0)</f>
        <v>6</v>
      </c>
      <c r="D3388" s="6" t="str">
        <f>IFERROR(__xludf.DUMMYFUNCTION("""COMPUTED_VALUE"""),"Q-10249-00")</f>
        <v>Q-10249-00</v>
      </c>
      <c r="E3388" s="6" t="str">
        <f>IFERROR(__xludf.DUMMYFUNCTION("""COMPUTED_VALUE"""),"Lem Power Glue; ; ;")</f>
        <v>Lem Power Glue; ; ;</v>
      </c>
      <c r="F3388" s="6">
        <f>IFERROR(__xludf.DUMMYFUNCTION("""COMPUTED_VALUE"""),15.0)</f>
        <v>15</v>
      </c>
      <c r="G3388" s="6" t="str">
        <f>IFERROR(__xludf.DUMMYFUNCTION("""COMPUTED_VALUE"""),"Pieces")</f>
        <v>Pieces</v>
      </c>
      <c r="H3388" s="6" t="str">
        <f>IFERROR(__xludf.DUMMYFUNCTION("""COMPUTED_VALUE"""),"IDR")</f>
        <v>IDR</v>
      </c>
      <c r="I3388" s="6">
        <f>IFERROR(__xludf.DUMMYFUNCTION("""COMPUTED_VALUE"""),5000.0)</f>
        <v>5000</v>
      </c>
      <c r="J3388" s="6">
        <f>IFERROR(__xludf.DUMMYFUNCTION("""COMPUTED_VALUE"""),75000.0)</f>
        <v>75000</v>
      </c>
      <c r="K3388" s="57">
        <f>IFERROR(__xludf.DUMMYFUNCTION("""COMPUTED_VALUE"""),45534.0)</f>
        <v>45534</v>
      </c>
      <c r="L3388" s="6" t="str">
        <f>IFERROR(__xludf.DUMMYFUNCTION("""COMPUTED_VALUE"""),"FIP Engineering")</f>
        <v>FIP Engineering</v>
      </c>
      <c r="M3388" s="6" t="str">
        <f>IFERROR(__xludf.DUMMYFUNCTION("""COMPUTED_VALUE"""),"Mochammad Fadhillah Hakim,")</f>
        <v>Mochammad Fadhillah Hakim,</v>
      </c>
      <c r="N3388" s="6" t="str">
        <f>IFERROR(__xludf.DUMMYFUNCTION("""COMPUTED_VALUE"""),"FIP Engineering")</f>
        <v>FIP Engineering</v>
      </c>
      <c r="O3388" s="6" t="str">
        <f>IFERROR(__xludf.DUMMYFUNCTION("""COMPUTED_VALUE"""),"FIP-DOM-000-11304-OS00001-INA-000000")</f>
        <v>FIP-DOM-000-11304-OS00001-INA-000000</v>
      </c>
      <c r="P3388" s="6" t="str">
        <f>IFERROR(__xludf.DUMMYFUNCTION("""COMPUTED_VALUE"""),"PO Closed")</f>
        <v>PO Closed</v>
      </c>
      <c r="Q3388" s="6" t="str">
        <f>IFERROR(__xludf.DUMMYFUNCTION("""COMPUTED_VALUE"""),"GL2408039")</f>
        <v>GL2408039</v>
      </c>
      <c r="R3388" s="57">
        <f>IFERROR(__xludf.DUMMYFUNCTION("""COMPUTED_VALUE"""),45496.0)</f>
        <v>45496</v>
      </c>
      <c r="S3388" s="57">
        <f>IFERROR(__xludf.DUMMYFUNCTION("""COMPUTED_VALUE"""),45497.0)</f>
        <v>45497</v>
      </c>
      <c r="T3388" s="57">
        <f>IFERROR(__xludf.DUMMYFUNCTION("""COMPUTED_VALUE"""),45541.0)</f>
        <v>45541</v>
      </c>
    </row>
    <row r="3389">
      <c r="A3389" s="6" t="str">
        <f>IFERROR(__xludf.DUMMYFUNCTION("""COMPUTED_VALUE"""),"121701669-7")</f>
        <v>121701669-7</v>
      </c>
      <c r="B3389" s="6" t="str">
        <f>IFERROR(__xludf.DUMMYFUNCTION("""COMPUTED_VALUE"""),"121701669 - APPROVED")</f>
        <v>121701669 - APPROVED</v>
      </c>
      <c r="C3389" s="6">
        <f>IFERROR(__xludf.DUMMYFUNCTION("""COMPUTED_VALUE"""),7.0)</f>
        <v>7</v>
      </c>
      <c r="D3389" s="6" t="str">
        <f>IFERROR(__xludf.DUMMYFUNCTION("""COMPUTED_VALUE"""),"Q-10154-00")</f>
        <v>Q-10154-00</v>
      </c>
      <c r="E3389" s="6" t="str">
        <f>IFERROR(__xludf.DUMMYFUNCTION("""COMPUTED_VALUE"""),"Roller cat 230mm")</f>
        <v>Roller cat 230mm</v>
      </c>
      <c r="F3389" s="6">
        <f>IFERROR(__xludf.DUMMYFUNCTION("""COMPUTED_VALUE"""),2.0)</f>
        <v>2</v>
      </c>
      <c r="G3389" s="6" t="str">
        <f>IFERROR(__xludf.DUMMYFUNCTION("""COMPUTED_VALUE"""),"Pieces")</f>
        <v>Pieces</v>
      </c>
      <c r="H3389" s="6" t="str">
        <f>IFERROR(__xludf.DUMMYFUNCTION("""COMPUTED_VALUE"""),"IDR")</f>
        <v>IDR</v>
      </c>
      <c r="I3389" s="6">
        <f>IFERROR(__xludf.DUMMYFUNCTION("""COMPUTED_VALUE"""),37000.0)</f>
        <v>37000</v>
      </c>
      <c r="J3389" s="6">
        <f>IFERROR(__xludf.DUMMYFUNCTION("""COMPUTED_VALUE"""),74000.0)</f>
        <v>74000</v>
      </c>
      <c r="K3389" s="57">
        <f>IFERROR(__xludf.DUMMYFUNCTION("""COMPUTED_VALUE"""),45625.0)</f>
        <v>45625</v>
      </c>
      <c r="L3389" s="6" t="str">
        <f>IFERROR(__xludf.DUMMYFUNCTION("""COMPUTED_VALUE"""),"FIP Engineering")</f>
        <v>FIP Engineering</v>
      </c>
      <c r="M3389" s="6" t="str">
        <f>IFERROR(__xludf.DUMMYFUNCTION("""COMPUTED_VALUE"""),"Mochammad Fadhillah Hakim,")</f>
        <v>Mochammad Fadhillah Hakim,</v>
      </c>
      <c r="N3389" s="6" t="str">
        <f>IFERROR(__xludf.DUMMYFUNCTION("""COMPUTED_VALUE"""),"FIP Engineering")</f>
        <v>FIP Engineering</v>
      </c>
      <c r="O3389" s="6" t="str">
        <f>IFERROR(__xludf.DUMMYFUNCTION("""COMPUTED_VALUE"""),"FIP-DOM-000-11304-OS00001-INA-000000")</f>
        <v>FIP-DOM-000-11304-OS00001-INA-000000</v>
      </c>
      <c r="P3389" s="6" t="str">
        <f>IFERROR(__xludf.DUMMYFUNCTION("""COMPUTED_VALUE"""),"PO Closed")</f>
        <v>PO Closed</v>
      </c>
      <c r="Q3389" s="6" t="str">
        <f>IFERROR(__xludf.DUMMYFUNCTION("""COMPUTED_VALUE"""),"GL2408017")</f>
        <v>GL2408017</v>
      </c>
      <c r="R3389" s="57">
        <f>IFERROR(__xludf.DUMMYFUNCTION("""COMPUTED_VALUE"""),45496.0)</f>
        <v>45496</v>
      </c>
      <c r="S3389" s="57">
        <f>IFERROR(__xludf.DUMMYFUNCTION("""COMPUTED_VALUE"""),45497.0)</f>
        <v>45497</v>
      </c>
      <c r="T3389" s="57">
        <f>IFERROR(__xludf.DUMMYFUNCTION("""COMPUTED_VALUE"""),45625.0)</f>
        <v>45625</v>
      </c>
    </row>
    <row r="3390">
      <c r="A3390" s="6" t="str">
        <f>IFERROR(__xludf.DUMMYFUNCTION("""COMPUTED_VALUE"""),"121701669-8")</f>
        <v>121701669-8</v>
      </c>
      <c r="B3390" s="6" t="str">
        <f>IFERROR(__xludf.DUMMYFUNCTION("""COMPUTED_VALUE"""),"121701669 - APPROVED")</f>
        <v>121701669 - APPROVED</v>
      </c>
      <c r="C3390" s="6">
        <f>IFERROR(__xludf.DUMMYFUNCTION("""COMPUTED_VALUE"""),8.0)</f>
        <v>8</v>
      </c>
      <c r="D3390" s="6" t="str">
        <f>IFERROR(__xludf.DUMMYFUNCTION("""COMPUTED_VALUE"""),"Q-10154-00")</f>
        <v>Q-10154-00</v>
      </c>
      <c r="E3390" s="6" t="str">
        <f>IFERROR(__xludf.DUMMYFUNCTION("""COMPUTED_VALUE"""),"Roller cat 230mm")</f>
        <v>Roller cat 230mm</v>
      </c>
      <c r="F3390" s="6">
        <f>IFERROR(__xludf.DUMMYFUNCTION("""COMPUTED_VALUE"""),2.0)</f>
        <v>2</v>
      </c>
      <c r="G3390" s="6" t="str">
        <f>IFERROR(__xludf.DUMMYFUNCTION("""COMPUTED_VALUE"""),"Pieces")</f>
        <v>Pieces</v>
      </c>
      <c r="H3390" s="6" t="str">
        <f>IFERROR(__xludf.DUMMYFUNCTION("""COMPUTED_VALUE"""),"IDR")</f>
        <v>IDR</v>
      </c>
      <c r="I3390" s="6">
        <f>IFERROR(__xludf.DUMMYFUNCTION("""COMPUTED_VALUE"""),37000.0)</f>
        <v>37000</v>
      </c>
      <c r="J3390" s="6">
        <f>IFERROR(__xludf.DUMMYFUNCTION("""COMPUTED_VALUE"""),74000.0)</f>
        <v>74000</v>
      </c>
      <c r="K3390" s="57">
        <f>IFERROR(__xludf.DUMMYFUNCTION("""COMPUTED_VALUE"""),45534.0)</f>
        <v>45534</v>
      </c>
      <c r="L3390" s="6" t="str">
        <f>IFERROR(__xludf.DUMMYFUNCTION("""COMPUTED_VALUE"""),"FIP Engineering")</f>
        <v>FIP Engineering</v>
      </c>
      <c r="M3390" s="6" t="str">
        <f>IFERROR(__xludf.DUMMYFUNCTION("""COMPUTED_VALUE"""),"Mochammad Fadhillah Hakim,")</f>
        <v>Mochammad Fadhillah Hakim,</v>
      </c>
      <c r="N3390" s="6" t="str">
        <f>IFERROR(__xludf.DUMMYFUNCTION("""COMPUTED_VALUE"""),"FIP Engineering")</f>
        <v>FIP Engineering</v>
      </c>
      <c r="O3390" s="6" t="str">
        <f>IFERROR(__xludf.DUMMYFUNCTION("""COMPUTED_VALUE"""),"FIP-DOM-000-11304-OS00001-INA-000000")</f>
        <v>FIP-DOM-000-11304-OS00001-INA-000000</v>
      </c>
      <c r="P3390" s="6" t="str">
        <f>IFERROR(__xludf.DUMMYFUNCTION("""COMPUTED_VALUE"""),"PO Closed")</f>
        <v>PO Closed</v>
      </c>
      <c r="Q3390" s="6" t="str">
        <f>IFERROR(__xludf.DUMMYFUNCTION("""COMPUTED_VALUE"""),"GL2408017")</f>
        <v>GL2408017</v>
      </c>
      <c r="R3390" s="57">
        <f>IFERROR(__xludf.DUMMYFUNCTION("""COMPUTED_VALUE"""),45496.0)</f>
        <v>45496</v>
      </c>
      <c r="S3390" s="57">
        <f>IFERROR(__xludf.DUMMYFUNCTION("""COMPUTED_VALUE"""),45497.0)</f>
        <v>45497</v>
      </c>
      <c r="T3390" s="57">
        <f>IFERROR(__xludf.DUMMYFUNCTION("""COMPUTED_VALUE"""),45534.0)</f>
        <v>45534</v>
      </c>
    </row>
    <row r="3391">
      <c r="A3391" s="6" t="str">
        <f>IFERROR(__xludf.DUMMYFUNCTION("""COMPUTED_VALUE"""),"121701669-9")</f>
        <v>121701669-9</v>
      </c>
      <c r="B3391" s="6" t="str">
        <f>IFERROR(__xludf.DUMMYFUNCTION("""COMPUTED_VALUE"""),"121701669 - APPROVED")</f>
        <v>121701669 - APPROVED</v>
      </c>
      <c r="C3391" s="6">
        <f>IFERROR(__xludf.DUMMYFUNCTION("""COMPUTED_VALUE"""),9.0)</f>
        <v>9</v>
      </c>
      <c r="D3391" s="6" t="str">
        <f>IFERROR(__xludf.DUMMYFUNCTION("""COMPUTED_VALUE"""),"Q-10153-00")</f>
        <v>Q-10153-00</v>
      </c>
      <c r="E3391" s="6" t="str">
        <f>IFERROR(__xludf.DUMMYFUNCTION("""COMPUTED_VALUE"""),"Roller cat 110mm")</f>
        <v>Roller cat 110mm</v>
      </c>
      <c r="F3391" s="6">
        <f>IFERROR(__xludf.DUMMYFUNCTION("""COMPUTED_VALUE"""),2.0)</f>
        <v>2</v>
      </c>
      <c r="G3391" s="6" t="str">
        <f>IFERROR(__xludf.DUMMYFUNCTION("""COMPUTED_VALUE"""),"Pieces")</f>
        <v>Pieces</v>
      </c>
      <c r="H3391" s="6" t="str">
        <f>IFERROR(__xludf.DUMMYFUNCTION("""COMPUTED_VALUE"""),"IDR")</f>
        <v>IDR</v>
      </c>
      <c r="I3391" s="6">
        <f>IFERROR(__xludf.DUMMYFUNCTION("""COMPUTED_VALUE"""),27000.0)</f>
        <v>27000</v>
      </c>
      <c r="J3391" s="6">
        <f>IFERROR(__xludf.DUMMYFUNCTION("""COMPUTED_VALUE"""),54000.0)</f>
        <v>54000</v>
      </c>
      <c r="K3391" s="57">
        <f>IFERROR(__xludf.DUMMYFUNCTION("""COMPUTED_VALUE"""),45534.0)</f>
        <v>45534</v>
      </c>
      <c r="L3391" s="6" t="str">
        <f>IFERROR(__xludf.DUMMYFUNCTION("""COMPUTED_VALUE"""),"FIP Engineering")</f>
        <v>FIP Engineering</v>
      </c>
      <c r="M3391" s="6" t="str">
        <f>IFERROR(__xludf.DUMMYFUNCTION("""COMPUTED_VALUE"""),"Mochammad Fadhillah Hakim,")</f>
        <v>Mochammad Fadhillah Hakim,</v>
      </c>
      <c r="N3391" s="6" t="str">
        <f>IFERROR(__xludf.DUMMYFUNCTION("""COMPUTED_VALUE"""),"FIP Engineering")</f>
        <v>FIP Engineering</v>
      </c>
      <c r="O3391" s="6" t="str">
        <f>IFERROR(__xludf.DUMMYFUNCTION("""COMPUTED_VALUE"""),"FIP-DOM-000-11304-OS00001-INA-000000")</f>
        <v>FIP-DOM-000-11304-OS00001-INA-000000</v>
      </c>
      <c r="P3391" s="6" t="str">
        <f>IFERROR(__xludf.DUMMYFUNCTION("""COMPUTED_VALUE"""),"PO Closed")</f>
        <v>PO Closed</v>
      </c>
      <c r="Q3391" s="6" t="str">
        <f>IFERROR(__xludf.DUMMYFUNCTION("""COMPUTED_VALUE"""),"GL2408017")</f>
        <v>GL2408017</v>
      </c>
      <c r="R3391" s="57">
        <f>IFERROR(__xludf.DUMMYFUNCTION("""COMPUTED_VALUE"""),45496.0)</f>
        <v>45496</v>
      </c>
      <c r="S3391" s="57">
        <f>IFERROR(__xludf.DUMMYFUNCTION("""COMPUTED_VALUE"""),45497.0)</f>
        <v>45497</v>
      </c>
      <c r="T3391" s="57">
        <f>IFERROR(__xludf.DUMMYFUNCTION("""COMPUTED_VALUE"""),45534.0)</f>
        <v>45534</v>
      </c>
    </row>
    <row r="3392">
      <c r="A3392" s="6" t="str">
        <f>IFERROR(__xludf.DUMMYFUNCTION("""COMPUTED_VALUE"""),"121701669-10")</f>
        <v>121701669-10</v>
      </c>
      <c r="B3392" s="6" t="str">
        <f>IFERROR(__xludf.DUMMYFUNCTION("""COMPUTED_VALUE"""),"121701669 - APPROVED")</f>
        <v>121701669 - APPROVED</v>
      </c>
      <c r="C3392" s="6">
        <f>IFERROR(__xludf.DUMMYFUNCTION("""COMPUTED_VALUE"""),10.0)</f>
        <v>10</v>
      </c>
      <c r="D3392" s="6" t="str">
        <f>IFERROR(__xludf.DUMMYFUNCTION("""COMPUTED_VALUE"""),"Q-10153-00")</f>
        <v>Q-10153-00</v>
      </c>
      <c r="E3392" s="6" t="str">
        <f>IFERROR(__xludf.DUMMYFUNCTION("""COMPUTED_VALUE"""),"Roller cat 110mm")</f>
        <v>Roller cat 110mm</v>
      </c>
      <c r="F3392" s="6">
        <f>IFERROR(__xludf.DUMMYFUNCTION("""COMPUTED_VALUE"""),2.0)</f>
        <v>2</v>
      </c>
      <c r="G3392" s="6" t="str">
        <f>IFERROR(__xludf.DUMMYFUNCTION("""COMPUTED_VALUE"""),"Pieces")</f>
        <v>Pieces</v>
      </c>
      <c r="H3392" s="6" t="str">
        <f>IFERROR(__xludf.DUMMYFUNCTION("""COMPUTED_VALUE"""),"IDR")</f>
        <v>IDR</v>
      </c>
      <c r="I3392" s="6">
        <f>IFERROR(__xludf.DUMMYFUNCTION("""COMPUTED_VALUE"""),27000.0)</f>
        <v>27000</v>
      </c>
      <c r="J3392" s="6">
        <f>IFERROR(__xludf.DUMMYFUNCTION("""COMPUTED_VALUE"""),54000.0)</f>
        <v>54000</v>
      </c>
      <c r="K3392" s="57">
        <f>IFERROR(__xludf.DUMMYFUNCTION("""COMPUTED_VALUE"""),45625.0)</f>
        <v>45625</v>
      </c>
      <c r="L3392" s="6" t="str">
        <f>IFERROR(__xludf.DUMMYFUNCTION("""COMPUTED_VALUE"""),"FIP Engineering")</f>
        <v>FIP Engineering</v>
      </c>
      <c r="M3392" s="6" t="str">
        <f>IFERROR(__xludf.DUMMYFUNCTION("""COMPUTED_VALUE"""),"Mochammad Fadhillah Hakim,")</f>
        <v>Mochammad Fadhillah Hakim,</v>
      </c>
      <c r="N3392" s="6" t="str">
        <f>IFERROR(__xludf.DUMMYFUNCTION("""COMPUTED_VALUE"""),"FIP Engineering")</f>
        <v>FIP Engineering</v>
      </c>
      <c r="O3392" s="6" t="str">
        <f>IFERROR(__xludf.DUMMYFUNCTION("""COMPUTED_VALUE"""),"FIP-DOM-000-11304-OS00001-INA-000000")</f>
        <v>FIP-DOM-000-11304-OS00001-INA-000000</v>
      </c>
      <c r="P3392" s="6" t="str">
        <f>IFERROR(__xludf.DUMMYFUNCTION("""COMPUTED_VALUE"""),"PO Closed")</f>
        <v>PO Closed</v>
      </c>
      <c r="Q3392" s="6" t="str">
        <f>IFERROR(__xludf.DUMMYFUNCTION("""COMPUTED_VALUE"""),"GL2408017")</f>
        <v>GL2408017</v>
      </c>
      <c r="R3392" s="57">
        <f>IFERROR(__xludf.DUMMYFUNCTION("""COMPUTED_VALUE"""),45496.0)</f>
        <v>45496</v>
      </c>
      <c r="S3392" s="57">
        <f>IFERROR(__xludf.DUMMYFUNCTION("""COMPUTED_VALUE"""),45497.0)</f>
        <v>45497</v>
      </c>
      <c r="T3392" s="57">
        <f>IFERROR(__xludf.DUMMYFUNCTION("""COMPUTED_VALUE"""),45625.0)</f>
        <v>45625</v>
      </c>
    </row>
    <row r="3393">
      <c r="A3393" s="6" t="str">
        <f>IFERROR(__xludf.DUMMYFUNCTION("""COMPUTED_VALUE"""),"121701670-1")</f>
        <v>121701670-1</v>
      </c>
      <c r="B3393" s="6" t="str">
        <f>IFERROR(__xludf.DUMMYFUNCTION("""COMPUTED_VALUE"""),"121701670 - APPROVED")</f>
        <v>121701670 - APPROVED</v>
      </c>
      <c r="C3393" s="6">
        <f>IFERROR(__xludf.DUMMYFUNCTION("""COMPUTED_VALUE"""),1.0)</f>
        <v>1</v>
      </c>
      <c r="D3393" s="6" t="str">
        <f>IFERROR(__xludf.DUMMYFUNCTION("""COMPUTED_VALUE"""),"O-54014-00")</f>
        <v>O-54014-00</v>
      </c>
      <c r="E3393" s="6" t="str">
        <f>IFERROR(__xludf.DUMMYFUNCTION("""COMPUTED_VALUE"""),"STEKER 1 PHASE, BROCO")</f>
        <v>STEKER 1 PHASE, BROCO</v>
      </c>
      <c r="F3393" s="6">
        <f>IFERROR(__xludf.DUMMYFUNCTION("""COMPUTED_VALUE"""),5.0)</f>
        <v>5</v>
      </c>
      <c r="G3393" s="6" t="str">
        <f>IFERROR(__xludf.DUMMYFUNCTION("""COMPUTED_VALUE"""),"Pieces")</f>
        <v>Pieces</v>
      </c>
      <c r="H3393" s="6" t="str">
        <f>IFERROR(__xludf.DUMMYFUNCTION("""COMPUTED_VALUE"""),"IDR")</f>
        <v>IDR</v>
      </c>
      <c r="I3393" s="6">
        <f>IFERROR(__xludf.DUMMYFUNCTION("""COMPUTED_VALUE"""),11500.0)</f>
        <v>11500</v>
      </c>
      <c r="J3393" s="6">
        <f>IFERROR(__xludf.DUMMYFUNCTION("""COMPUTED_VALUE"""),57500.0)</f>
        <v>57500</v>
      </c>
      <c r="K3393" s="57">
        <f>IFERROR(__xludf.DUMMYFUNCTION("""COMPUTED_VALUE"""),45498.0)</f>
        <v>45498</v>
      </c>
      <c r="L3393" s="6" t="str">
        <f>IFERROR(__xludf.DUMMYFUNCTION("""COMPUTED_VALUE"""),"FIP Engineering")</f>
        <v>FIP Engineering</v>
      </c>
      <c r="M3393" s="6" t="str">
        <f>IFERROR(__xludf.DUMMYFUNCTION("""COMPUTED_VALUE"""),"Mochammad Fadhillah Hakim,")</f>
        <v>Mochammad Fadhillah Hakim,</v>
      </c>
      <c r="N3393" s="6" t="str">
        <f>IFERROR(__xludf.DUMMYFUNCTION("""COMPUTED_VALUE"""),"FIP Engineering")</f>
        <v>FIP Engineering</v>
      </c>
      <c r="O3393" s="6" t="str">
        <f>IFERROR(__xludf.DUMMYFUNCTION("""COMPUTED_VALUE"""),"FIP-DOM-000-11304-OS00001-INA-000000")</f>
        <v>FIP-DOM-000-11304-OS00001-INA-000000</v>
      </c>
      <c r="P3393" s="6" t="str">
        <f>IFERROR(__xludf.DUMMYFUNCTION("""COMPUTED_VALUE"""),"PO Closed")</f>
        <v>PO Closed</v>
      </c>
      <c r="Q3393" s="6" t="str">
        <f>IFERROR(__xludf.DUMMYFUNCTION("""COMPUTED_VALUE"""),"GL2408011")</f>
        <v>GL2408011</v>
      </c>
      <c r="R3393" s="57">
        <f>IFERROR(__xludf.DUMMYFUNCTION("""COMPUTED_VALUE"""),45496.0)</f>
        <v>45496</v>
      </c>
      <c r="S3393" s="57">
        <f>IFERROR(__xludf.DUMMYFUNCTION("""COMPUTED_VALUE"""),45497.0)</f>
        <v>45497</v>
      </c>
      <c r="T3393" s="57">
        <f>IFERROR(__xludf.DUMMYFUNCTION("""COMPUTED_VALUE"""),45573.0)</f>
        <v>45573</v>
      </c>
    </row>
    <row r="3394">
      <c r="A3394" s="6" t="str">
        <f>IFERROR(__xludf.DUMMYFUNCTION("""COMPUTED_VALUE"""),"121701670-2")</f>
        <v>121701670-2</v>
      </c>
      <c r="B3394" s="6" t="str">
        <f>IFERROR(__xludf.DUMMYFUNCTION("""COMPUTED_VALUE"""),"121701670 - APPROVED")</f>
        <v>121701670 - APPROVED</v>
      </c>
      <c r="C3394" s="6">
        <f>IFERROR(__xludf.DUMMYFUNCTION("""COMPUTED_VALUE"""),2.0)</f>
        <v>2</v>
      </c>
      <c r="D3394" s="6" t="str">
        <f>IFERROR(__xludf.DUMMYFUNCTION("""COMPUTED_VALUE"""),"O-54014-00")</f>
        <v>O-54014-00</v>
      </c>
      <c r="E3394" s="6" t="str">
        <f>IFERROR(__xludf.DUMMYFUNCTION("""COMPUTED_VALUE"""),"STEKER 1 PHASE, BROCO")</f>
        <v>STEKER 1 PHASE, BROCO</v>
      </c>
      <c r="F3394" s="6">
        <f>IFERROR(__xludf.DUMMYFUNCTION("""COMPUTED_VALUE"""),5.0)</f>
        <v>5</v>
      </c>
      <c r="G3394" s="6" t="str">
        <f>IFERROR(__xludf.DUMMYFUNCTION("""COMPUTED_VALUE"""),"Pieces")</f>
        <v>Pieces</v>
      </c>
      <c r="H3394" s="6" t="str">
        <f>IFERROR(__xludf.DUMMYFUNCTION("""COMPUTED_VALUE"""),"IDR")</f>
        <v>IDR</v>
      </c>
      <c r="I3394" s="6">
        <f>IFERROR(__xludf.DUMMYFUNCTION("""COMPUTED_VALUE"""),11500.0)</f>
        <v>11500</v>
      </c>
      <c r="J3394" s="6">
        <f>IFERROR(__xludf.DUMMYFUNCTION("""COMPUTED_VALUE"""),57500.0)</f>
        <v>57500</v>
      </c>
      <c r="K3394" s="57">
        <f>IFERROR(__xludf.DUMMYFUNCTION("""COMPUTED_VALUE"""),45498.0)</f>
        <v>45498</v>
      </c>
      <c r="L3394" s="6" t="str">
        <f>IFERROR(__xludf.DUMMYFUNCTION("""COMPUTED_VALUE"""),"FIP Engineering")</f>
        <v>FIP Engineering</v>
      </c>
      <c r="M3394" s="6" t="str">
        <f>IFERROR(__xludf.DUMMYFUNCTION("""COMPUTED_VALUE"""),"Mochammad Fadhillah Hakim,")</f>
        <v>Mochammad Fadhillah Hakim,</v>
      </c>
      <c r="N3394" s="6" t="str">
        <f>IFERROR(__xludf.DUMMYFUNCTION("""COMPUTED_VALUE"""),"FIP Engineering")</f>
        <v>FIP Engineering</v>
      </c>
      <c r="O3394" s="6" t="str">
        <f>IFERROR(__xludf.DUMMYFUNCTION("""COMPUTED_VALUE"""),"FIP-DOM-000-11304-OS00001-INA-000000")</f>
        <v>FIP-DOM-000-11304-OS00001-INA-000000</v>
      </c>
      <c r="P3394" s="6" t="str">
        <f>IFERROR(__xludf.DUMMYFUNCTION("""COMPUTED_VALUE"""),"PO Closed")</f>
        <v>PO Closed</v>
      </c>
      <c r="Q3394" s="6" t="str">
        <f>IFERROR(__xludf.DUMMYFUNCTION("""COMPUTED_VALUE"""),"GL2408011")</f>
        <v>GL2408011</v>
      </c>
      <c r="R3394" s="57">
        <f>IFERROR(__xludf.DUMMYFUNCTION("""COMPUTED_VALUE"""),45496.0)</f>
        <v>45496</v>
      </c>
      <c r="S3394" s="57">
        <f>IFERROR(__xludf.DUMMYFUNCTION("""COMPUTED_VALUE"""),45497.0)</f>
        <v>45497</v>
      </c>
      <c r="T3394" s="57">
        <f>IFERROR(__xludf.DUMMYFUNCTION("""COMPUTED_VALUE"""),45573.0)</f>
        <v>45573</v>
      </c>
    </row>
    <row r="3395">
      <c r="A3395" s="6" t="str">
        <f>IFERROR(__xludf.DUMMYFUNCTION("""COMPUTED_VALUE"""),"121701670-3")</f>
        <v>121701670-3</v>
      </c>
      <c r="B3395" s="6" t="str">
        <f>IFERROR(__xludf.DUMMYFUNCTION("""COMPUTED_VALUE"""),"121701670 - APPROVED")</f>
        <v>121701670 - APPROVED</v>
      </c>
      <c r="C3395" s="6">
        <f>IFERROR(__xludf.DUMMYFUNCTION("""COMPUTED_VALUE"""),3.0)</f>
        <v>3</v>
      </c>
      <c r="D3395" s="6" t="str">
        <f>IFERROR(__xludf.DUMMYFUNCTION("""COMPUTED_VALUE"""),"P-15852-00")</f>
        <v>P-15852-00</v>
      </c>
      <c r="E3395" s="6" t="str">
        <f>IFERROR(__xludf.DUMMYFUNCTION("""COMPUTED_VALUE"""),"AMPLAS  EAGLE 500")</f>
        <v>AMPLAS  EAGLE 500</v>
      </c>
      <c r="F3395" s="6">
        <f>IFERROR(__xludf.DUMMYFUNCTION("""COMPUTED_VALUE"""),15.0)</f>
        <v>15</v>
      </c>
      <c r="G3395" s="6" t="str">
        <f>IFERROR(__xludf.DUMMYFUNCTION("""COMPUTED_VALUE"""),"Pieces")</f>
        <v>Pieces</v>
      </c>
      <c r="H3395" s="6" t="str">
        <f>IFERROR(__xludf.DUMMYFUNCTION("""COMPUTED_VALUE"""),"IDR")</f>
        <v>IDR</v>
      </c>
      <c r="I3395" s="6">
        <f>IFERROR(__xludf.DUMMYFUNCTION("""COMPUTED_VALUE"""),5800.0)</f>
        <v>5800</v>
      </c>
      <c r="J3395" s="6">
        <f>IFERROR(__xludf.DUMMYFUNCTION("""COMPUTED_VALUE"""),87000.0)</f>
        <v>87000</v>
      </c>
      <c r="K3395" s="57">
        <f>IFERROR(__xludf.DUMMYFUNCTION("""COMPUTED_VALUE"""),45498.0)</f>
        <v>45498</v>
      </c>
      <c r="L3395" s="6" t="str">
        <f>IFERROR(__xludf.DUMMYFUNCTION("""COMPUTED_VALUE"""),"FIP Engineering")</f>
        <v>FIP Engineering</v>
      </c>
      <c r="M3395" s="6" t="str">
        <f>IFERROR(__xludf.DUMMYFUNCTION("""COMPUTED_VALUE"""),"Mochammad Fadhillah Hakim,")</f>
        <v>Mochammad Fadhillah Hakim,</v>
      </c>
      <c r="N3395" s="6" t="str">
        <f>IFERROR(__xludf.DUMMYFUNCTION("""COMPUTED_VALUE"""),"FIP Engineering")</f>
        <v>FIP Engineering</v>
      </c>
      <c r="O3395" s="6" t="str">
        <f>IFERROR(__xludf.DUMMYFUNCTION("""COMPUTED_VALUE"""),"FIP-DOM-000-11304-OS00001-INA-000000")</f>
        <v>FIP-DOM-000-11304-OS00001-INA-000000</v>
      </c>
      <c r="P3395" s="6" t="str">
        <f>IFERROR(__xludf.DUMMYFUNCTION("""COMPUTED_VALUE"""),"PO Closed")</f>
        <v>PO Closed</v>
      </c>
      <c r="Q3395" s="6" t="str">
        <f>IFERROR(__xludf.DUMMYFUNCTION("""COMPUTED_VALUE"""),"GL2408034")</f>
        <v>GL2408034</v>
      </c>
      <c r="R3395" s="57">
        <f>IFERROR(__xludf.DUMMYFUNCTION("""COMPUTED_VALUE"""),45496.0)</f>
        <v>45496</v>
      </c>
      <c r="S3395" s="57">
        <f>IFERROR(__xludf.DUMMYFUNCTION("""COMPUTED_VALUE"""),45497.0)</f>
        <v>45497</v>
      </c>
      <c r="T3395" s="57">
        <f>IFERROR(__xludf.DUMMYFUNCTION("""COMPUTED_VALUE"""),45551.0)</f>
        <v>45551</v>
      </c>
    </row>
    <row r="3396">
      <c r="A3396" s="6" t="str">
        <f>IFERROR(__xludf.DUMMYFUNCTION("""COMPUTED_VALUE"""),"121701670-4")</f>
        <v>121701670-4</v>
      </c>
      <c r="B3396" s="6" t="str">
        <f>IFERROR(__xludf.DUMMYFUNCTION("""COMPUTED_VALUE"""),"121701670 - APPROVED")</f>
        <v>121701670 - APPROVED</v>
      </c>
      <c r="C3396" s="6">
        <f>IFERROR(__xludf.DUMMYFUNCTION("""COMPUTED_VALUE"""),4.0)</f>
        <v>4</v>
      </c>
      <c r="D3396" s="6" t="str">
        <f>IFERROR(__xludf.DUMMYFUNCTION("""COMPUTED_VALUE"""),"P-15852-00")</f>
        <v>P-15852-00</v>
      </c>
      <c r="E3396" s="6" t="str">
        <f>IFERROR(__xludf.DUMMYFUNCTION("""COMPUTED_VALUE"""),"AMPLAS  EAGLE 500")</f>
        <v>AMPLAS  EAGLE 500</v>
      </c>
      <c r="F3396" s="6">
        <f>IFERROR(__xludf.DUMMYFUNCTION("""COMPUTED_VALUE"""),15.0)</f>
        <v>15</v>
      </c>
      <c r="G3396" s="6" t="str">
        <f>IFERROR(__xludf.DUMMYFUNCTION("""COMPUTED_VALUE"""),"Pieces")</f>
        <v>Pieces</v>
      </c>
      <c r="H3396" s="6" t="str">
        <f>IFERROR(__xludf.DUMMYFUNCTION("""COMPUTED_VALUE"""),"IDR")</f>
        <v>IDR</v>
      </c>
      <c r="I3396" s="6">
        <f>IFERROR(__xludf.DUMMYFUNCTION("""COMPUTED_VALUE"""),5800.0)</f>
        <v>5800</v>
      </c>
      <c r="J3396" s="6">
        <f>IFERROR(__xludf.DUMMYFUNCTION("""COMPUTED_VALUE"""),87000.0)</f>
        <v>87000</v>
      </c>
      <c r="K3396" s="57">
        <f>IFERROR(__xludf.DUMMYFUNCTION("""COMPUTED_VALUE"""),45498.0)</f>
        <v>45498</v>
      </c>
      <c r="L3396" s="6" t="str">
        <f>IFERROR(__xludf.DUMMYFUNCTION("""COMPUTED_VALUE"""),"FIP Engineering")</f>
        <v>FIP Engineering</v>
      </c>
      <c r="M3396" s="6" t="str">
        <f>IFERROR(__xludf.DUMMYFUNCTION("""COMPUTED_VALUE"""),"Mochammad Fadhillah Hakim,")</f>
        <v>Mochammad Fadhillah Hakim,</v>
      </c>
      <c r="N3396" s="6" t="str">
        <f>IFERROR(__xludf.DUMMYFUNCTION("""COMPUTED_VALUE"""),"FIP Engineering")</f>
        <v>FIP Engineering</v>
      </c>
      <c r="O3396" s="6" t="str">
        <f>IFERROR(__xludf.DUMMYFUNCTION("""COMPUTED_VALUE"""),"FIP-DOM-000-11304-OS00001-INA-000000")</f>
        <v>FIP-DOM-000-11304-OS00001-INA-000000</v>
      </c>
      <c r="P3396" s="6" t="str">
        <f>IFERROR(__xludf.DUMMYFUNCTION("""COMPUTED_VALUE"""),"PO Closed")</f>
        <v>PO Closed</v>
      </c>
      <c r="Q3396" s="6" t="str">
        <f>IFERROR(__xludf.DUMMYFUNCTION("""COMPUTED_VALUE"""),"GL2408034")</f>
        <v>GL2408034</v>
      </c>
      <c r="R3396" s="57">
        <f>IFERROR(__xludf.DUMMYFUNCTION("""COMPUTED_VALUE"""),45496.0)</f>
        <v>45496</v>
      </c>
      <c r="S3396" s="57">
        <f>IFERROR(__xludf.DUMMYFUNCTION("""COMPUTED_VALUE"""),45497.0)</f>
        <v>45497</v>
      </c>
      <c r="T3396" s="57">
        <f>IFERROR(__xludf.DUMMYFUNCTION("""COMPUTED_VALUE"""),45551.0)</f>
        <v>45551</v>
      </c>
    </row>
    <row r="3397">
      <c r="A3397" s="6" t="str">
        <f>IFERROR(__xludf.DUMMYFUNCTION("""COMPUTED_VALUE"""),"121701670-5")</f>
        <v>121701670-5</v>
      </c>
      <c r="B3397" s="6" t="str">
        <f>IFERROR(__xludf.DUMMYFUNCTION("""COMPUTED_VALUE"""),"121701670 - APPROVED")</f>
        <v>121701670 - APPROVED</v>
      </c>
      <c r="C3397" s="6">
        <f>IFERROR(__xludf.DUMMYFUNCTION("""COMPUTED_VALUE"""),5.0)</f>
        <v>5</v>
      </c>
      <c r="D3397" s="6" t="str">
        <f>IFERROR(__xludf.DUMMYFUNCTION("""COMPUTED_VALUE"""),"P-51027-00")</f>
        <v>P-51027-00</v>
      </c>
      <c r="E3397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3397" s="6">
        <f>IFERROR(__xludf.DUMMYFUNCTION("""COMPUTED_VALUE"""),6.0)</f>
        <v>6</v>
      </c>
      <c r="G3397" s="6" t="str">
        <f>IFERROR(__xludf.DUMMYFUNCTION("""COMPUTED_VALUE"""),"Pieces")</f>
        <v>Pieces</v>
      </c>
      <c r="H3397" s="6" t="str">
        <f>IFERROR(__xludf.DUMMYFUNCTION("""COMPUTED_VALUE"""),"IDR")</f>
        <v>IDR</v>
      </c>
      <c r="I3397" s="6">
        <f>IFERROR(__xludf.DUMMYFUNCTION("""COMPUTED_VALUE"""),57000.0)</f>
        <v>57000</v>
      </c>
      <c r="J3397" s="6">
        <f>IFERROR(__xludf.DUMMYFUNCTION("""COMPUTED_VALUE"""),342000.0)</f>
        <v>342000</v>
      </c>
      <c r="K3397" s="57">
        <f>IFERROR(__xludf.DUMMYFUNCTION("""COMPUTED_VALUE"""),45498.0)</f>
        <v>45498</v>
      </c>
      <c r="L3397" s="6" t="str">
        <f>IFERROR(__xludf.DUMMYFUNCTION("""COMPUTED_VALUE"""),"FIP Engineering")</f>
        <v>FIP Engineering</v>
      </c>
      <c r="M3397" s="6" t="str">
        <f>IFERROR(__xludf.DUMMYFUNCTION("""COMPUTED_VALUE"""),"Mochammad Fadhillah Hakim,")</f>
        <v>Mochammad Fadhillah Hakim,</v>
      </c>
      <c r="N3397" s="6" t="str">
        <f>IFERROR(__xludf.DUMMYFUNCTION("""COMPUTED_VALUE"""),"FIP Engineering")</f>
        <v>FIP Engineering</v>
      </c>
      <c r="O3397" s="6" t="str">
        <f>IFERROR(__xludf.DUMMYFUNCTION("""COMPUTED_VALUE"""),"FIP-DOM-000-11304-OS00001-INA-000000")</f>
        <v>FIP-DOM-000-11304-OS00001-INA-000000</v>
      </c>
      <c r="P3397" s="6" t="str">
        <f>IFERROR(__xludf.DUMMYFUNCTION("""COMPUTED_VALUE"""),"PO Closed")</f>
        <v>PO Closed</v>
      </c>
      <c r="Q3397" s="6" t="str">
        <f>IFERROR(__xludf.DUMMYFUNCTION("""COMPUTED_VALUE"""),"GL2408011")</f>
        <v>GL2408011</v>
      </c>
      <c r="R3397" s="57">
        <f>IFERROR(__xludf.DUMMYFUNCTION("""COMPUTED_VALUE"""),45496.0)</f>
        <v>45496</v>
      </c>
      <c r="S3397" s="57">
        <f>IFERROR(__xludf.DUMMYFUNCTION("""COMPUTED_VALUE"""),45497.0)</f>
        <v>45497</v>
      </c>
      <c r="T3397" s="57">
        <f>IFERROR(__xludf.DUMMYFUNCTION("""COMPUTED_VALUE"""),45573.0)</f>
        <v>45573</v>
      </c>
    </row>
    <row r="3398">
      <c r="A3398" s="6" t="str">
        <f>IFERROR(__xludf.DUMMYFUNCTION("""COMPUTED_VALUE"""),"121701670-6")</f>
        <v>121701670-6</v>
      </c>
      <c r="B3398" s="6" t="str">
        <f>IFERROR(__xludf.DUMMYFUNCTION("""COMPUTED_VALUE"""),"121701670 - APPROVED")</f>
        <v>121701670 - APPROVED</v>
      </c>
      <c r="C3398" s="6">
        <f>IFERROR(__xludf.DUMMYFUNCTION("""COMPUTED_VALUE"""),6.0)</f>
        <v>6</v>
      </c>
      <c r="D3398" s="6" t="str">
        <f>IFERROR(__xludf.DUMMYFUNCTION("""COMPUTED_VALUE"""),"P-51027-00")</f>
        <v>P-51027-00</v>
      </c>
      <c r="E3398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3398" s="6">
        <f>IFERROR(__xludf.DUMMYFUNCTION("""COMPUTED_VALUE"""),6.0)</f>
        <v>6</v>
      </c>
      <c r="G3398" s="6" t="str">
        <f>IFERROR(__xludf.DUMMYFUNCTION("""COMPUTED_VALUE"""),"Pieces")</f>
        <v>Pieces</v>
      </c>
      <c r="H3398" s="6" t="str">
        <f>IFERROR(__xludf.DUMMYFUNCTION("""COMPUTED_VALUE"""),"IDR")</f>
        <v>IDR</v>
      </c>
      <c r="I3398" s="6">
        <f>IFERROR(__xludf.DUMMYFUNCTION("""COMPUTED_VALUE"""),57000.0)</f>
        <v>57000</v>
      </c>
      <c r="J3398" s="6">
        <f>IFERROR(__xludf.DUMMYFUNCTION("""COMPUTED_VALUE"""),342000.0)</f>
        <v>342000</v>
      </c>
      <c r="K3398" s="57">
        <f>IFERROR(__xludf.DUMMYFUNCTION("""COMPUTED_VALUE"""),45498.0)</f>
        <v>45498</v>
      </c>
      <c r="L3398" s="6" t="str">
        <f>IFERROR(__xludf.DUMMYFUNCTION("""COMPUTED_VALUE"""),"FIP Engineering")</f>
        <v>FIP Engineering</v>
      </c>
      <c r="M3398" s="6" t="str">
        <f>IFERROR(__xludf.DUMMYFUNCTION("""COMPUTED_VALUE"""),"Mochammad Fadhillah Hakim,")</f>
        <v>Mochammad Fadhillah Hakim,</v>
      </c>
      <c r="N3398" s="6" t="str">
        <f>IFERROR(__xludf.DUMMYFUNCTION("""COMPUTED_VALUE"""),"FIP Engineering")</f>
        <v>FIP Engineering</v>
      </c>
      <c r="O3398" s="6" t="str">
        <f>IFERROR(__xludf.DUMMYFUNCTION("""COMPUTED_VALUE"""),"FIP-DOM-000-11304-OS00001-INA-000000")</f>
        <v>FIP-DOM-000-11304-OS00001-INA-000000</v>
      </c>
      <c r="P3398" s="6" t="str">
        <f>IFERROR(__xludf.DUMMYFUNCTION("""COMPUTED_VALUE"""),"PO Closed")</f>
        <v>PO Closed</v>
      </c>
      <c r="Q3398" s="6" t="str">
        <f>IFERROR(__xludf.DUMMYFUNCTION("""COMPUTED_VALUE"""),"GL2408011")</f>
        <v>GL2408011</v>
      </c>
      <c r="R3398" s="57">
        <f>IFERROR(__xludf.DUMMYFUNCTION("""COMPUTED_VALUE"""),45496.0)</f>
        <v>45496</v>
      </c>
      <c r="S3398" s="57">
        <f>IFERROR(__xludf.DUMMYFUNCTION("""COMPUTED_VALUE"""),45497.0)</f>
        <v>45497</v>
      </c>
      <c r="T3398" s="57">
        <f>IFERROR(__xludf.DUMMYFUNCTION("""COMPUTED_VALUE"""),45573.0)</f>
        <v>45573</v>
      </c>
    </row>
    <row r="3399">
      <c r="A3399" s="6" t="str">
        <f>IFERROR(__xludf.DUMMYFUNCTION("""COMPUTED_VALUE"""),"121701670-7")</f>
        <v>121701670-7</v>
      </c>
      <c r="B3399" s="6" t="str">
        <f>IFERROR(__xludf.DUMMYFUNCTION("""COMPUTED_VALUE"""),"121701670 - APPROVED")</f>
        <v>121701670 - APPROVED</v>
      </c>
      <c r="C3399" s="6">
        <f>IFERROR(__xludf.DUMMYFUNCTION("""COMPUTED_VALUE"""),7.0)</f>
        <v>7</v>
      </c>
      <c r="D3399" s="6" t="str">
        <f>IFERROR(__xludf.DUMMYFUNCTION("""COMPUTED_VALUE"""),"P-53169-00")</f>
        <v>P-53169-00</v>
      </c>
      <c r="E3399" s="6" t="str">
        <f>IFERROR(__xludf.DUMMYFUNCTION("""COMPUTED_VALUE"""),"Ballast Electronic EB-C 228 TL5, 2x28W; Phillips; ;")</f>
        <v>Ballast Electronic EB-C 228 TL5, 2x28W; Phillips; ;</v>
      </c>
      <c r="F3399" s="6">
        <f>IFERROR(__xludf.DUMMYFUNCTION("""COMPUTED_VALUE"""),5.0)</f>
        <v>5</v>
      </c>
      <c r="G3399" s="6" t="str">
        <f>IFERROR(__xludf.DUMMYFUNCTION("""COMPUTED_VALUE"""),"Pieces")</f>
        <v>Pieces</v>
      </c>
      <c r="H3399" s="6" t="str">
        <f>IFERROR(__xludf.DUMMYFUNCTION("""COMPUTED_VALUE"""),"IDR")</f>
        <v>IDR</v>
      </c>
      <c r="I3399" s="6">
        <f>IFERROR(__xludf.DUMMYFUNCTION("""COMPUTED_VALUE"""),165000.0)</f>
        <v>165000</v>
      </c>
      <c r="J3399" s="6">
        <f>IFERROR(__xludf.DUMMYFUNCTION("""COMPUTED_VALUE"""),825000.0)</f>
        <v>825000</v>
      </c>
      <c r="K3399" s="57">
        <f>IFERROR(__xludf.DUMMYFUNCTION("""COMPUTED_VALUE"""),45498.0)</f>
        <v>45498</v>
      </c>
      <c r="L3399" s="6" t="str">
        <f>IFERROR(__xludf.DUMMYFUNCTION("""COMPUTED_VALUE"""),"FIP Engineering")</f>
        <v>FIP Engineering</v>
      </c>
      <c r="M3399" s="6" t="str">
        <f>IFERROR(__xludf.DUMMYFUNCTION("""COMPUTED_VALUE"""),"Mochammad Fadhillah Hakim,")</f>
        <v>Mochammad Fadhillah Hakim,</v>
      </c>
      <c r="N3399" s="6" t="str">
        <f>IFERROR(__xludf.DUMMYFUNCTION("""COMPUTED_VALUE"""),"FIP Engineering")</f>
        <v>FIP Engineering</v>
      </c>
      <c r="O3399" s="6" t="str">
        <f>IFERROR(__xludf.DUMMYFUNCTION("""COMPUTED_VALUE"""),"FIP-DOM-000-11304-OS00001-INA-000000")</f>
        <v>FIP-DOM-000-11304-OS00001-INA-000000</v>
      </c>
      <c r="P3399" s="6" t="str">
        <f>IFERROR(__xludf.DUMMYFUNCTION("""COMPUTED_VALUE"""),"PO Closed")</f>
        <v>PO Closed</v>
      </c>
      <c r="Q3399" s="6" t="str">
        <f>IFERROR(__xludf.DUMMYFUNCTION("""COMPUTED_VALUE"""),"GL2408011")</f>
        <v>GL2408011</v>
      </c>
      <c r="R3399" s="57">
        <f>IFERROR(__xludf.DUMMYFUNCTION("""COMPUTED_VALUE"""),45496.0)</f>
        <v>45496</v>
      </c>
      <c r="S3399" s="57">
        <f>IFERROR(__xludf.DUMMYFUNCTION("""COMPUTED_VALUE"""),45497.0)</f>
        <v>45497</v>
      </c>
      <c r="T3399" s="57">
        <f>IFERROR(__xludf.DUMMYFUNCTION("""COMPUTED_VALUE"""),45573.0)</f>
        <v>45573</v>
      </c>
    </row>
    <row r="3400">
      <c r="A3400" s="6" t="str">
        <f>IFERROR(__xludf.DUMMYFUNCTION("""COMPUTED_VALUE"""),"121701670-8")</f>
        <v>121701670-8</v>
      </c>
      <c r="B3400" s="6" t="str">
        <f>IFERROR(__xludf.DUMMYFUNCTION("""COMPUTED_VALUE"""),"121701670 - APPROVED")</f>
        <v>121701670 - APPROVED</v>
      </c>
      <c r="C3400" s="6">
        <f>IFERROR(__xludf.DUMMYFUNCTION("""COMPUTED_VALUE"""),8.0)</f>
        <v>8</v>
      </c>
      <c r="D3400" s="6" t="str">
        <f>IFERROR(__xludf.DUMMYFUNCTION("""COMPUTED_VALUE"""),"P-53169-00")</f>
        <v>P-53169-00</v>
      </c>
      <c r="E3400" s="6" t="str">
        <f>IFERROR(__xludf.DUMMYFUNCTION("""COMPUTED_VALUE"""),"Ballast Electronic EB-C 228 TL5, 2x28W; Phillips; ;")</f>
        <v>Ballast Electronic EB-C 228 TL5, 2x28W; Phillips; ;</v>
      </c>
      <c r="F3400" s="6">
        <f>IFERROR(__xludf.DUMMYFUNCTION("""COMPUTED_VALUE"""),5.0)</f>
        <v>5</v>
      </c>
      <c r="G3400" s="6" t="str">
        <f>IFERROR(__xludf.DUMMYFUNCTION("""COMPUTED_VALUE"""),"Pieces")</f>
        <v>Pieces</v>
      </c>
      <c r="H3400" s="6" t="str">
        <f>IFERROR(__xludf.DUMMYFUNCTION("""COMPUTED_VALUE"""),"IDR")</f>
        <v>IDR</v>
      </c>
      <c r="I3400" s="6">
        <f>IFERROR(__xludf.DUMMYFUNCTION("""COMPUTED_VALUE"""),165000.0)</f>
        <v>165000</v>
      </c>
      <c r="J3400" s="6">
        <f>IFERROR(__xludf.DUMMYFUNCTION("""COMPUTED_VALUE"""),825000.0)</f>
        <v>825000</v>
      </c>
      <c r="K3400" s="57">
        <f>IFERROR(__xludf.DUMMYFUNCTION("""COMPUTED_VALUE"""),45498.0)</f>
        <v>45498</v>
      </c>
      <c r="L3400" s="6" t="str">
        <f>IFERROR(__xludf.DUMMYFUNCTION("""COMPUTED_VALUE"""),"FIP Engineering")</f>
        <v>FIP Engineering</v>
      </c>
      <c r="M3400" s="6" t="str">
        <f>IFERROR(__xludf.DUMMYFUNCTION("""COMPUTED_VALUE"""),"Mochammad Fadhillah Hakim,")</f>
        <v>Mochammad Fadhillah Hakim,</v>
      </c>
      <c r="N3400" s="6" t="str">
        <f>IFERROR(__xludf.DUMMYFUNCTION("""COMPUTED_VALUE"""),"FIP Engineering")</f>
        <v>FIP Engineering</v>
      </c>
      <c r="O3400" s="6" t="str">
        <f>IFERROR(__xludf.DUMMYFUNCTION("""COMPUTED_VALUE"""),"FIP-DOM-000-11304-OS00001-INA-000000")</f>
        <v>FIP-DOM-000-11304-OS00001-INA-000000</v>
      </c>
      <c r="P3400" s="6" t="str">
        <f>IFERROR(__xludf.DUMMYFUNCTION("""COMPUTED_VALUE"""),"PO Closed")</f>
        <v>PO Closed</v>
      </c>
      <c r="Q3400" s="6" t="str">
        <f>IFERROR(__xludf.DUMMYFUNCTION("""COMPUTED_VALUE"""),"GL2408011")</f>
        <v>GL2408011</v>
      </c>
      <c r="R3400" s="57">
        <f>IFERROR(__xludf.DUMMYFUNCTION("""COMPUTED_VALUE"""),45496.0)</f>
        <v>45496</v>
      </c>
      <c r="S3400" s="57">
        <f>IFERROR(__xludf.DUMMYFUNCTION("""COMPUTED_VALUE"""),45497.0)</f>
        <v>45497</v>
      </c>
      <c r="T3400" s="57">
        <f>IFERROR(__xludf.DUMMYFUNCTION("""COMPUTED_VALUE"""),45573.0)</f>
        <v>45573</v>
      </c>
    </row>
    <row r="3401">
      <c r="A3401" s="6" t="str">
        <f>IFERROR(__xludf.DUMMYFUNCTION("""COMPUTED_VALUE"""),"121701671-1")</f>
        <v>121701671-1</v>
      </c>
      <c r="B3401" s="6" t="str">
        <f>IFERROR(__xludf.DUMMYFUNCTION("""COMPUTED_VALUE"""),"121701671 - APPROVED")</f>
        <v>121701671 - APPROVED</v>
      </c>
      <c r="C3401" s="6">
        <f>IFERROR(__xludf.DUMMYFUNCTION("""COMPUTED_VALUE"""),1.0)</f>
        <v>1</v>
      </c>
      <c r="D3401" s="6" t="str">
        <f>IFERROR(__xludf.DUMMYFUNCTION("""COMPUTED_VALUE"""),"O-14640-00")</f>
        <v>O-14640-00</v>
      </c>
      <c r="E3401" s="6" t="str">
        <f>IFERROR(__xludf.DUMMYFUNCTION("""COMPUTED_VALUE"""),"Silicone Gasket for Ferrule dia. 3/4"" - P/N : -  pc")</f>
        <v>Silicone Gasket for Ferrule dia. 3/4" - P/N : -  pc</v>
      </c>
      <c r="F3401" s="6">
        <f>IFERROR(__xludf.DUMMYFUNCTION("""COMPUTED_VALUE"""),11.0)</f>
        <v>11</v>
      </c>
      <c r="G3401" s="6" t="str">
        <f>IFERROR(__xludf.DUMMYFUNCTION("""COMPUTED_VALUE"""),"Pieces")</f>
        <v>Pieces</v>
      </c>
      <c r="H3401" s="6" t="str">
        <f>IFERROR(__xludf.DUMMYFUNCTION("""COMPUTED_VALUE"""),"IDR")</f>
        <v>IDR</v>
      </c>
      <c r="I3401" s="6">
        <f>IFERROR(__xludf.DUMMYFUNCTION("""COMPUTED_VALUE"""),11000.0)</f>
        <v>11000</v>
      </c>
      <c r="J3401" s="6">
        <f>IFERROR(__xludf.DUMMYFUNCTION("""COMPUTED_VALUE"""),121000.0)</f>
        <v>121000</v>
      </c>
      <c r="K3401" s="57">
        <f>IFERROR(__xludf.DUMMYFUNCTION("""COMPUTED_VALUE"""),45534.0)</f>
        <v>45534</v>
      </c>
      <c r="L3401" s="6" t="str">
        <f>IFERROR(__xludf.DUMMYFUNCTION("""COMPUTED_VALUE"""),"FIP Engineering")</f>
        <v>FIP Engineering</v>
      </c>
      <c r="M3401" s="6" t="str">
        <f>IFERROR(__xludf.DUMMYFUNCTION("""COMPUTED_VALUE"""),"Mochammad Fadhillah Hakim,")</f>
        <v>Mochammad Fadhillah Hakim,</v>
      </c>
      <c r="N3401" s="6" t="str">
        <f>IFERROR(__xludf.DUMMYFUNCTION("""COMPUTED_VALUE"""),"FIP Engineering")</f>
        <v>FIP Engineering</v>
      </c>
      <c r="O3401" s="6" t="str">
        <f>IFERROR(__xludf.DUMMYFUNCTION("""COMPUTED_VALUE"""),"FIP-DOM-000-11304-OS00001-INA-000000")</f>
        <v>FIP-DOM-000-11304-OS00001-INA-000000</v>
      </c>
      <c r="P3401" s="6" t="str">
        <f>IFERROR(__xludf.DUMMYFUNCTION("""COMPUTED_VALUE"""),"PO Closed")</f>
        <v>PO Closed</v>
      </c>
      <c r="Q3401" s="6" t="str">
        <f>IFERROR(__xludf.DUMMYFUNCTION("""COMPUTED_VALUE"""),"GL2408051")</f>
        <v>GL2408051</v>
      </c>
      <c r="R3401" s="57">
        <f>IFERROR(__xludf.DUMMYFUNCTION("""COMPUTED_VALUE"""),45496.0)</f>
        <v>45496</v>
      </c>
      <c r="S3401" s="57">
        <f>IFERROR(__xludf.DUMMYFUNCTION("""COMPUTED_VALUE"""),45497.0)</f>
        <v>45497</v>
      </c>
      <c r="T3401" s="57">
        <f>IFERROR(__xludf.DUMMYFUNCTION("""COMPUTED_VALUE"""),45564.0)</f>
        <v>45564</v>
      </c>
    </row>
    <row r="3402">
      <c r="A3402" s="6" t="str">
        <f>IFERROR(__xludf.DUMMYFUNCTION("""COMPUTED_VALUE"""),"121701671-2")</f>
        <v>121701671-2</v>
      </c>
      <c r="B3402" s="6" t="str">
        <f>IFERROR(__xludf.DUMMYFUNCTION("""COMPUTED_VALUE"""),"121701671 - APPROVED")</f>
        <v>121701671 - APPROVED</v>
      </c>
      <c r="C3402" s="6">
        <f>IFERROR(__xludf.DUMMYFUNCTION("""COMPUTED_VALUE"""),2.0)</f>
        <v>2</v>
      </c>
      <c r="D3402" s="6" t="str">
        <f>IFERROR(__xludf.DUMMYFUNCTION("""COMPUTED_VALUE"""),"O-14640-00")</f>
        <v>O-14640-00</v>
      </c>
      <c r="E3402" s="6" t="str">
        <f>IFERROR(__xludf.DUMMYFUNCTION("""COMPUTED_VALUE"""),"Silicone Gasket for Ferrule dia. 3/4"" - P/N : -  pc")</f>
        <v>Silicone Gasket for Ferrule dia. 3/4" - P/N : -  pc</v>
      </c>
      <c r="F3402" s="6">
        <f>IFERROR(__xludf.DUMMYFUNCTION("""COMPUTED_VALUE"""),11.0)</f>
        <v>11</v>
      </c>
      <c r="G3402" s="6" t="str">
        <f>IFERROR(__xludf.DUMMYFUNCTION("""COMPUTED_VALUE"""),"Pieces")</f>
        <v>Pieces</v>
      </c>
      <c r="H3402" s="6" t="str">
        <f>IFERROR(__xludf.DUMMYFUNCTION("""COMPUTED_VALUE"""),"IDR")</f>
        <v>IDR</v>
      </c>
      <c r="I3402" s="6">
        <f>IFERROR(__xludf.DUMMYFUNCTION("""COMPUTED_VALUE"""),11000.0)</f>
        <v>11000</v>
      </c>
      <c r="J3402" s="6">
        <f>IFERROR(__xludf.DUMMYFUNCTION("""COMPUTED_VALUE"""),121000.0)</f>
        <v>121000</v>
      </c>
      <c r="K3402" s="57">
        <f>IFERROR(__xludf.DUMMYFUNCTION("""COMPUTED_VALUE"""),45625.0)</f>
        <v>45625</v>
      </c>
      <c r="L3402" s="6" t="str">
        <f>IFERROR(__xludf.DUMMYFUNCTION("""COMPUTED_VALUE"""),"FIP Engineering")</f>
        <v>FIP Engineering</v>
      </c>
      <c r="M3402" s="6" t="str">
        <f>IFERROR(__xludf.DUMMYFUNCTION("""COMPUTED_VALUE"""),"Mochammad Fadhillah Hakim,")</f>
        <v>Mochammad Fadhillah Hakim,</v>
      </c>
      <c r="N3402" s="6" t="str">
        <f>IFERROR(__xludf.DUMMYFUNCTION("""COMPUTED_VALUE"""),"FIP Engineering")</f>
        <v>FIP Engineering</v>
      </c>
      <c r="O3402" s="6" t="str">
        <f>IFERROR(__xludf.DUMMYFUNCTION("""COMPUTED_VALUE"""),"FIP-DOM-000-11304-OS00001-INA-000000")</f>
        <v>FIP-DOM-000-11304-OS00001-INA-000000</v>
      </c>
      <c r="P3402" s="6" t="str">
        <f>IFERROR(__xludf.DUMMYFUNCTION("""COMPUTED_VALUE"""),"PO Closed")</f>
        <v>PO Closed</v>
      </c>
      <c r="Q3402" s="6" t="str">
        <f>IFERROR(__xludf.DUMMYFUNCTION("""COMPUTED_VALUE"""),"GL2408051")</f>
        <v>GL2408051</v>
      </c>
      <c r="R3402" s="57">
        <f>IFERROR(__xludf.DUMMYFUNCTION("""COMPUTED_VALUE"""),45496.0)</f>
        <v>45496</v>
      </c>
      <c r="S3402" s="57">
        <f>IFERROR(__xludf.DUMMYFUNCTION("""COMPUTED_VALUE"""),45497.0)</f>
        <v>45497</v>
      </c>
      <c r="T3402" s="57">
        <f>IFERROR(__xludf.DUMMYFUNCTION("""COMPUTED_VALUE"""),45564.0)</f>
        <v>45564</v>
      </c>
    </row>
    <row r="3403">
      <c r="A3403" s="6" t="str">
        <f>IFERROR(__xludf.DUMMYFUNCTION("""COMPUTED_VALUE"""),"121701676-1")</f>
        <v>121701676-1</v>
      </c>
      <c r="B3403" s="6" t="str">
        <f>IFERROR(__xludf.DUMMYFUNCTION("""COMPUTED_VALUE"""),"121701676 - APPROVED")</f>
        <v>121701676 - APPROVED</v>
      </c>
      <c r="C3403" s="6">
        <f>IFERROR(__xludf.DUMMYFUNCTION("""COMPUTED_VALUE"""),1.0)</f>
        <v>1</v>
      </c>
      <c r="D3403" s="6" t="str">
        <f>IFERROR(__xludf.DUMMYFUNCTION("""COMPUTED_VALUE"""),"S-60050-00")</f>
        <v>S-60050-00</v>
      </c>
      <c r="E3403" s="6" t="str">
        <f>IFERROR(__xludf.DUMMYFUNCTION("""COMPUTED_VALUE"""),"Jasa Perbaikan dan Pemeliharaan Mesin Produksi; ; ;")</f>
        <v>Jasa Perbaikan dan Pemeliharaan Mesin Produksi; ; ;</v>
      </c>
      <c r="F3403" s="6">
        <f>IFERROR(__xludf.DUMMYFUNCTION("""COMPUTED_VALUE"""),1.0)</f>
        <v>1</v>
      </c>
      <c r="G3403" s="6" t="str">
        <f>IFERROR(__xludf.DUMMYFUNCTION("""COMPUTED_VALUE"""),"Pieces")</f>
        <v>Pieces</v>
      </c>
      <c r="H3403" s="6" t="str">
        <f>IFERROR(__xludf.DUMMYFUNCTION("""COMPUTED_VALUE"""),"IDR")</f>
        <v>IDR</v>
      </c>
      <c r="I3403" s="6">
        <f>IFERROR(__xludf.DUMMYFUNCTION("""COMPUTED_VALUE"""),2.748582E7)</f>
        <v>27485820</v>
      </c>
      <c r="J3403" s="6">
        <f>IFERROR(__xludf.DUMMYFUNCTION("""COMPUTED_VALUE"""),2.748582E7)</f>
        <v>27485820</v>
      </c>
      <c r="K3403" s="57">
        <f>IFERROR(__xludf.DUMMYFUNCTION("""COMPUTED_VALUE"""),45500.0)</f>
        <v>45500</v>
      </c>
      <c r="L3403" s="6" t="str">
        <f>IFERROR(__xludf.DUMMYFUNCTION("""COMPUTED_VALUE"""),"FIP General")</f>
        <v>FIP General</v>
      </c>
      <c r="M3403" s="6" t="str">
        <f>IFERROR(__xludf.DUMMYFUNCTION("""COMPUTED_VALUE"""),"Mochammad Fadhillah Hakim,")</f>
        <v>Mochammad Fadhillah Hakim,</v>
      </c>
      <c r="N3403" s="6" t="str">
        <f>IFERROR(__xludf.DUMMYFUNCTION("""COMPUTED_VALUE"""),"FIP Engineering")</f>
        <v>FIP Engineering</v>
      </c>
      <c r="O3403" s="6" t="str">
        <f>IFERROR(__xludf.DUMMYFUNCTION("""COMPUTED_VALUE"""),"FIP-DOM-ENG-51504-0000000-INA-000000")</f>
        <v>FIP-DOM-ENG-51504-0000000-INA-000000</v>
      </c>
      <c r="P3403" s="6" t="str">
        <f>IFERROR(__xludf.DUMMYFUNCTION("""COMPUTED_VALUE"""),"PO Closed")</f>
        <v>PO Closed</v>
      </c>
      <c r="Q3403" s="6"/>
      <c r="R3403" s="57">
        <f>IFERROR(__xludf.DUMMYFUNCTION("""COMPUTED_VALUE"""),45498.0)</f>
        <v>45498</v>
      </c>
      <c r="S3403" s="57">
        <f>IFERROR(__xludf.DUMMYFUNCTION("""COMPUTED_VALUE"""),45499.0)</f>
        <v>45499</v>
      </c>
      <c r="T3403" s="6"/>
    </row>
    <row r="3404">
      <c r="A3404" s="6" t="str">
        <f>IFERROR(__xludf.DUMMYFUNCTION("""COMPUTED_VALUE"""),"121701681-1")</f>
        <v>121701681-1</v>
      </c>
      <c r="B3404" s="6" t="str">
        <f>IFERROR(__xludf.DUMMYFUNCTION("""COMPUTED_VALUE"""),"121701681 - APPROVED")</f>
        <v>121701681 - APPROVED</v>
      </c>
      <c r="C3404" s="6">
        <f>IFERROR(__xludf.DUMMYFUNCTION("""COMPUTED_VALUE"""),1.0)</f>
        <v>1</v>
      </c>
      <c r="D3404" s="6" t="str">
        <f>IFERROR(__xludf.DUMMYFUNCTION("""COMPUTED_VALUE"""),"P-52991-00")</f>
        <v>P-52991-00</v>
      </c>
      <c r="E3404" s="6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F3404" s="6">
        <f>IFERROR(__xludf.DUMMYFUNCTION("""COMPUTED_VALUE"""),2.0)</f>
        <v>2</v>
      </c>
      <c r="G3404" s="6" t="str">
        <f>IFERROR(__xludf.DUMMYFUNCTION("""COMPUTED_VALUE"""),"Unit")</f>
        <v>Unit</v>
      </c>
      <c r="H3404" s="6" t="str">
        <f>IFERROR(__xludf.DUMMYFUNCTION("""COMPUTED_VALUE"""),"IDR")</f>
        <v>IDR</v>
      </c>
      <c r="I3404" s="6">
        <f>IFERROR(__xludf.DUMMYFUNCTION("""COMPUTED_VALUE"""),2.525E7)</f>
        <v>25250000</v>
      </c>
      <c r="J3404" s="6">
        <f>IFERROR(__xludf.DUMMYFUNCTION("""COMPUTED_VALUE"""),5.05E7)</f>
        <v>50500000</v>
      </c>
      <c r="K3404" s="57">
        <f>IFERROR(__xludf.DUMMYFUNCTION("""COMPUTED_VALUE"""),45501.0)</f>
        <v>45501</v>
      </c>
      <c r="L3404" s="6" t="str">
        <f>IFERROR(__xludf.DUMMYFUNCTION("""COMPUTED_VALUE"""),"FIP Engineering")</f>
        <v>FIP Engineering</v>
      </c>
      <c r="M3404" s="6" t="str">
        <f>IFERROR(__xludf.DUMMYFUNCTION("""COMPUTED_VALUE"""),"Mochammad Fadhillah Hakim,")</f>
        <v>Mochammad Fadhillah Hakim,</v>
      </c>
      <c r="N3404" s="6" t="str">
        <f>IFERROR(__xludf.DUMMYFUNCTION("""COMPUTED_VALUE"""),"FIP Engineering")</f>
        <v>FIP Engineering</v>
      </c>
      <c r="O3404" s="6" t="str">
        <f>IFERROR(__xludf.DUMMYFUNCTION("""COMPUTED_VALUE"""),"FIP-DOM-000-11304-OS00001-INA-000000")</f>
        <v>FIP-DOM-000-11304-OS00001-INA-000000</v>
      </c>
      <c r="P3404" s="6" t="str">
        <f>IFERROR(__xludf.DUMMYFUNCTION("""COMPUTED_VALUE"""),"PO Closed")</f>
        <v>PO Closed</v>
      </c>
      <c r="Q3404" s="6" t="str">
        <f>IFERROR(__xludf.DUMMYFUNCTION("""COMPUTED_VALUE"""),"GL2408014")</f>
        <v>GL2408014</v>
      </c>
      <c r="R3404" s="57">
        <f>IFERROR(__xludf.DUMMYFUNCTION("""COMPUTED_VALUE"""),45499.0)</f>
        <v>45499</v>
      </c>
      <c r="S3404" s="57">
        <f>IFERROR(__xludf.DUMMYFUNCTION("""COMPUTED_VALUE"""),45502.0)</f>
        <v>45502</v>
      </c>
      <c r="T3404" s="57">
        <f>IFERROR(__xludf.DUMMYFUNCTION("""COMPUTED_VALUE"""),45574.0)</f>
        <v>45574</v>
      </c>
    </row>
    <row r="3405">
      <c r="A3405" s="6" t="str">
        <f>IFERROR(__xludf.DUMMYFUNCTION("""COMPUTED_VALUE"""),"121701682-1")</f>
        <v>121701682-1</v>
      </c>
      <c r="B3405" s="6" t="str">
        <f>IFERROR(__xludf.DUMMYFUNCTION("""COMPUTED_VALUE"""),"121701682 - APPROVED")</f>
        <v>121701682 - APPROVED</v>
      </c>
      <c r="C3405" s="6">
        <f>IFERROR(__xludf.DUMMYFUNCTION("""COMPUTED_VALUE"""),1.0)</f>
        <v>1</v>
      </c>
      <c r="D3405" s="6" t="str">
        <f>IFERROR(__xludf.DUMMYFUNCTION("""COMPUTED_VALUE"""),"S-60002-00")</f>
        <v>S-60002-00</v>
      </c>
      <c r="E3405" s="6" t="str">
        <f>IFERROR(__xludf.DUMMYFUNCTION("""COMPUTED_VALUE"""),"Jasa Perbaikan dan Pemeliharaan Mesin Utility")</f>
        <v>Jasa Perbaikan dan Pemeliharaan Mesin Utility</v>
      </c>
      <c r="F3405" s="6">
        <f>IFERROR(__xludf.DUMMYFUNCTION("""COMPUTED_VALUE"""),1.0)</f>
        <v>1</v>
      </c>
      <c r="G3405" s="6" t="str">
        <f>IFERROR(__xludf.DUMMYFUNCTION("""COMPUTED_VALUE"""),"Lot")</f>
        <v>Lot</v>
      </c>
      <c r="H3405" s="6" t="str">
        <f>IFERROR(__xludf.DUMMYFUNCTION("""COMPUTED_VALUE"""),"IDR")</f>
        <v>IDR</v>
      </c>
      <c r="I3405" s="6">
        <f>IFERROR(__xludf.DUMMYFUNCTION("""COMPUTED_VALUE"""),2500000.0)</f>
        <v>2500000</v>
      </c>
      <c r="J3405" s="6">
        <f>IFERROR(__xludf.DUMMYFUNCTION("""COMPUTED_VALUE"""),2500000.0)</f>
        <v>2500000</v>
      </c>
      <c r="K3405" s="57">
        <f>IFERROR(__xludf.DUMMYFUNCTION("""COMPUTED_VALUE"""),45501.0)</f>
        <v>45501</v>
      </c>
      <c r="L3405" s="6" t="str">
        <f>IFERROR(__xludf.DUMMYFUNCTION("""COMPUTED_VALUE"""),"FIP General")</f>
        <v>FIP General</v>
      </c>
      <c r="M3405" s="6" t="str">
        <f>IFERROR(__xludf.DUMMYFUNCTION("""COMPUTED_VALUE"""),"Mochammad Fadhillah Hakim,")</f>
        <v>Mochammad Fadhillah Hakim,</v>
      </c>
      <c r="N3405" s="6" t="str">
        <f>IFERROR(__xludf.DUMMYFUNCTION("""COMPUTED_VALUE"""),"FIP Engineering")</f>
        <v>FIP Engineering</v>
      </c>
      <c r="O3405" s="6" t="str">
        <f>IFERROR(__xludf.DUMMYFUNCTION("""COMPUTED_VALUE"""),"FIP-DOM-ENG-51508-0000000-INA-000000")</f>
        <v>FIP-DOM-ENG-51508-0000000-INA-000000</v>
      </c>
      <c r="P3405" s="6" t="str">
        <f>IFERROR(__xludf.DUMMYFUNCTION("""COMPUTED_VALUE"""),"PO Closed")</f>
        <v>PO Closed</v>
      </c>
      <c r="Q3405" s="6" t="str">
        <f>IFERROR(__xludf.DUMMYFUNCTION("""COMPUTED_VALUE"""),"GL2408014")</f>
        <v>GL2408014</v>
      </c>
      <c r="R3405" s="57">
        <f>IFERROR(__xludf.DUMMYFUNCTION("""COMPUTED_VALUE"""),45499.0)</f>
        <v>45499</v>
      </c>
      <c r="S3405" s="57">
        <f>IFERROR(__xludf.DUMMYFUNCTION("""COMPUTED_VALUE"""),45513.0)</f>
        <v>45513</v>
      </c>
      <c r="T3405" s="57">
        <f>IFERROR(__xludf.DUMMYFUNCTION("""COMPUTED_VALUE"""),45574.0)</f>
        <v>45574</v>
      </c>
    </row>
    <row r="3406">
      <c r="A3406" s="6" t="str">
        <f>IFERROR(__xludf.DUMMYFUNCTION("""COMPUTED_VALUE"""),"121701683-1")</f>
        <v>121701683-1</v>
      </c>
      <c r="B3406" s="6" t="str">
        <f>IFERROR(__xludf.DUMMYFUNCTION("""COMPUTED_VALUE"""),"121701683 - APPROVED")</f>
        <v>121701683 - APPROVED</v>
      </c>
      <c r="C3406" s="6">
        <f>IFERROR(__xludf.DUMMYFUNCTION("""COMPUTED_VALUE"""),1.0)</f>
        <v>1</v>
      </c>
      <c r="D3406" s="6" t="str">
        <f>IFERROR(__xludf.DUMMYFUNCTION("""COMPUTED_VALUE"""),"P-52992-00")</f>
        <v>P-52992-00</v>
      </c>
      <c r="E3406" s="6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F3406" s="6">
        <f>IFERROR(__xludf.DUMMYFUNCTION("""COMPUTED_VALUE"""),2.0)</f>
        <v>2</v>
      </c>
      <c r="G3406" s="6" t="str">
        <f>IFERROR(__xludf.DUMMYFUNCTION("""COMPUTED_VALUE"""),"Unit")</f>
        <v>Unit</v>
      </c>
      <c r="H3406" s="6" t="str">
        <f>IFERROR(__xludf.DUMMYFUNCTION("""COMPUTED_VALUE"""),"IDR")</f>
        <v>IDR</v>
      </c>
      <c r="I3406" s="6">
        <f>IFERROR(__xludf.DUMMYFUNCTION("""COMPUTED_VALUE"""),3500000.0)</f>
        <v>3500000</v>
      </c>
      <c r="J3406" s="6">
        <f>IFERROR(__xludf.DUMMYFUNCTION("""COMPUTED_VALUE"""),7000000.0)</f>
        <v>7000000</v>
      </c>
      <c r="K3406" s="57">
        <f>IFERROR(__xludf.DUMMYFUNCTION("""COMPUTED_VALUE"""),45501.0)</f>
        <v>45501</v>
      </c>
      <c r="L3406" s="6" t="str">
        <f>IFERROR(__xludf.DUMMYFUNCTION("""COMPUTED_VALUE"""),"FIP Engineering")</f>
        <v>FIP Engineering</v>
      </c>
      <c r="M3406" s="6" t="str">
        <f>IFERROR(__xludf.DUMMYFUNCTION("""COMPUTED_VALUE"""),"Mochammad Fadhillah Hakim,")</f>
        <v>Mochammad Fadhillah Hakim,</v>
      </c>
      <c r="N3406" s="6" t="str">
        <f>IFERROR(__xludf.DUMMYFUNCTION("""COMPUTED_VALUE"""),"FIP Engineering")</f>
        <v>FIP Engineering</v>
      </c>
      <c r="O3406" s="6" t="str">
        <f>IFERROR(__xludf.DUMMYFUNCTION("""COMPUTED_VALUE"""),"FIP-DOM-000-11304-OS00001-INA-000000")</f>
        <v>FIP-DOM-000-11304-OS00001-INA-000000</v>
      </c>
      <c r="P3406" s="6" t="str">
        <f>IFERROR(__xludf.DUMMYFUNCTION("""COMPUTED_VALUE"""),"PO Closed")</f>
        <v>PO Closed</v>
      </c>
      <c r="Q3406" s="6" t="str">
        <f>IFERROR(__xludf.DUMMYFUNCTION("""COMPUTED_VALUE"""),"GL2408023")</f>
        <v>GL2408023</v>
      </c>
      <c r="R3406" s="57">
        <f>IFERROR(__xludf.DUMMYFUNCTION("""COMPUTED_VALUE"""),45499.0)</f>
        <v>45499</v>
      </c>
      <c r="S3406" s="57">
        <f>IFERROR(__xludf.DUMMYFUNCTION("""COMPUTED_VALUE"""),45505.0)</f>
        <v>45505</v>
      </c>
      <c r="T3406" s="57">
        <f>IFERROR(__xludf.DUMMYFUNCTION("""COMPUTED_VALUE"""),45565.0)</f>
        <v>45565</v>
      </c>
    </row>
    <row r="3407">
      <c r="A3407" s="6" t="str">
        <f>IFERROR(__xludf.DUMMYFUNCTION("""COMPUTED_VALUE"""),"121701684-1")</f>
        <v>121701684-1</v>
      </c>
      <c r="B3407" s="6" t="str">
        <f>IFERROR(__xludf.DUMMYFUNCTION("""COMPUTED_VALUE"""),"121701684 - APPROVED")</f>
        <v>121701684 - APPROVED</v>
      </c>
      <c r="C3407" s="6">
        <f>IFERROR(__xludf.DUMMYFUNCTION("""COMPUTED_VALUE"""),1.0)</f>
        <v>1</v>
      </c>
      <c r="D3407" s="6" t="str">
        <f>IFERROR(__xludf.DUMMYFUNCTION("""COMPUTED_VALUE"""),"P-18646-00")</f>
        <v>P-18646-00</v>
      </c>
      <c r="E3407" s="6" t="str">
        <f>IFERROR(__xludf.DUMMYFUNCTION("""COMPUTED_VALUE"""),"Global Power Supply PN. 6R_SA2120-01C; ; ;")</f>
        <v>Global Power Supply PN. 6R_SA2120-01C; ; ;</v>
      </c>
      <c r="F3407" s="6">
        <f>IFERROR(__xludf.DUMMYFUNCTION("""COMPUTED_VALUE"""),1.0)</f>
        <v>1</v>
      </c>
      <c r="G3407" s="6" t="str">
        <f>IFERROR(__xludf.DUMMYFUNCTION("""COMPUTED_VALUE"""),"Pieces")</f>
        <v>Pieces</v>
      </c>
      <c r="H3407" s="6" t="str">
        <f>IFERROR(__xludf.DUMMYFUNCTION("""COMPUTED_VALUE"""),"IDR")</f>
        <v>IDR</v>
      </c>
      <c r="I3407" s="6">
        <f>IFERROR(__xludf.DUMMYFUNCTION("""COMPUTED_VALUE"""),3.1E7)</f>
        <v>31000000</v>
      </c>
      <c r="J3407" s="6">
        <f>IFERROR(__xludf.DUMMYFUNCTION("""COMPUTED_VALUE"""),3.1E7)</f>
        <v>31000000</v>
      </c>
      <c r="K3407" s="57">
        <f>IFERROR(__xludf.DUMMYFUNCTION("""COMPUTED_VALUE"""),45501.0)</f>
        <v>45501</v>
      </c>
      <c r="L3407" s="6" t="str">
        <f>IFERROR(__xludf.DUMMYFUNCTION("""COMPUTED_VALUE"""),"FIP Engineering")</f>
        <v>FIP Engineering</v>
      </c>
      <c r="M3407" s="6" t="str">
        <f>IFERROR(__xludf.DUMMYFUNCTION("""COMPUTED_VALUE"""),"Mochammad Fadhillah Hakim,")</f>
        <v>Mochammad Fadhillah Hakim,</v>
      </c>
      <c r="N3407" s="6" t="str">
        <f>IFERROR(__xludf.DUMMYFUNCTION("""COMPUTED_VALUE"""),"FIP Engineering")</f>
        <v>FIP Engineering</v>
      </c>
      <c r="O3407" s="6" t="str">
        <f>IFERROR(__xludf.DUMMYFUNCTION("""COMPUTED_VALUE"""),"FIP-DOM-000-11304-OS00001-INA-000000")</f>
        <v>FIP-DOM-000-11304-OS00001-INA-000000</v>
      </c>
      <c r="P3407" s="6" t="str">
        <f>IFERROR(__xludf.DUMMYFUNCTION("""COMPUTED_VALUE"""),"PO Closed")</f>
        <v>PO Closed</v>
      </c>
      <c r="Q3407" s="6" t="str">
        <f>IFERROR(__xludf.DUMMYFUNCTION("""COMPUTED_VALUE"""),"GL2409029")</f>
        <v>GL2409029</v>
      </c>
      <c r="R3407" s="57">
        <f>IFERROR(__xludf.DUMMYFUNCTION("""COMPUTED_VALUE"""),45499.0)</f>
        <v>45499</v>
      </c>
      <c r="S3407" s="57">
        <f>IFERROR(__xludf.DUMMYFUNCTION("""COMPUTED_VALUE"""),45513.0)</f>
        <v>45513</v>
      </c>
      <c r="T3407" s="57">
        <f>IFERROR(__xludf.DUMMYFUNCTION("""COMPUTED_VALUE"""),45606.0)</f>
        <v>45606</v>
      </c>
    </row>
    <row r="3408">
      <c r="A3408" s="6" t="str">
        <f>IFERROR(__xludf.DUMMYFUNCTION("""COMPUTED_VALUE"""),"121701684-2")</f>
        <v>121701684-2</v>
      </c>
      <c r="B3408" s="6" t="str">
        <f>IFERROR(__xludf.DUMMYFUNCTION("""COMPUTED_VALUE"""),"121701684 - APPROVED")</f>
        <v>121701684 - APPROVED</v>
      </c>
      <c r="C3408" s="6">
        <f>IFERROR(__xludf.DUMMYFUNCTION("""COMPUTED_VALUE"""),2.0)</f>
        <v>2</v>
      </c>
      <c r="D3408" s="6" t="str">
        <f>IFERROR(__xludf.DUMMYFUNCTION("""COMPUTED_VALUE"""),"S-60002-00")</f>
        <v>S-60002-00</v>
      </c>
      <c r="E3408" s="6" t="str">
        <f>IFERROR(__xludf.DUMMYFUNCTION("""COMPUTED_VALUE"""),"Jasa Perbaikan dan Pemeliharaan Mesin Utility")</f>
        <v>Jasa Perbaikan dan Pemeliharaan Mesin Utility</v>
      </c>
      <c r="F3408" s="6">
        <f>IFERROR(__xludf.DUMMYFUNCTION("""COMPUTED_VALUE"""),1.0)</f>
        <v>1</v>
      </c>
      <c r="G3408" s="6" t="str">
        <f>IFERROR(__xludf.DUMMYFUNCTION("""COMPUTED_VALUE"""),"Lot")</f>
        <v>Lot</v>
      </c>
      <c r="H3408" s="6" t="str">
        <f>IFERROR(__xludf.DUMMYFUNCTION("""COMPUTED_VALUE"""),"IDR")</f>
        <v>IDR</v>
      </c>
      <c r="I3408" s="6">
        <f>IFERROR(__xludf.DUMMYFUNCTION("""COMPUTED_VALUE"""),800000.0)</f>
        <v>800000</v>
      </c>
      <c r="J3408" s="6">
        <f>IFERROR(__xludf.DUMMYFUNCTION("""COMPUTED_VALUE"""),800000.0)</f>
        <v>800000</v>
      </c>
      <c r="K3408" s="57">
        <f>IFERROR(__xludf.DUMMYFUNCTION("""COMPUTED_VALUE"""),45501.0)</f>
        <v>45501</v>
      </c>
      <c r="L3408" s="6" t="str">
        <f>IFERROR(__xludf.DUMMYFUNCTION("""COMPUTED_VALUE"""),"FIP General")</f>
        <v>FIP General</v>
      </c>
      <c r="M3408" s="6" t="str">
        <f>IFERROR(__xludf.DUMMYFUNCTION("""COMPUTED_VALUE"""),"Mochammad Fadhillah Hakim,")</f>
        <v>Mochammad Fadhillah Hakim,</v>
      </c>
      <c r="N3408" s="6" t="str">
        <f>IFERROR(__xludf.DUMMYFUNCTION("""COMPUTED_VALUE"""),"FIP Engineering")</f>
        <v>FIP Engineering</v>
      </c>
      <c r="O3408" s="6" t="str">
        <f>IFERROR(__xludf.DUMMYFUNCTION("""COMPUTED_VALUE"""),"FIP-DOM-ENG-51508-0000000-INA-000000")</f>
        <v>FIP-DOM-ENG-51508-0000000-INA-000000</v>
      </c>
      <c r="P3408" s="6" t="str">
        <f>IFERROR(__xludf.DUMMYFUNCTION("""COMPUTED_VALUE"""),"PO Closed")</f>
        <v>PO Closed</v>
      </c>
      <c r="Q3408" s="6" t="str">
        <f>IFERROR(__xludf.DUMMYFUNCTION("""COMPUTED_VALUE"""),"GL2409029")</f>
        <v>GL2409029</v>
      </c>
      <c r="R3408" s="57">
        <f>IFERROR(__xludf.DUMMYFUNCTION("""COMPUTED_VALUE"""),45499.0)</f>
        <v>45499</v>
      </c>
      <c r="S3408" s="57">
        <f>IFERROR(__xludf.DUMMYFUNCTION("""COMPUTED_VALUE"""),45513.0)</f>
        <v>45513</v>
      </c>
      <c r="T3408" s="57">
        <f>IFERROR(__xludf.DUMMYFUNCTION("""COMPUTED_VALUE"""),45606.0)</f>
        <v>45606</v>
      </c>
    </row>
    <row r="3409">
      <c r="A3409" s="6" t="str">
        <f>IFERROR(__xludf.DUMMYFUNCTION("""COMPUTED_VALUE"""),"121701685-1")</f>
        <v>121701685-1</v>
      </c>
      <c r="B3409" s="6" t="str">
        <f>IFERROR(__xludf.DUMMYFUNCTION("""COMPUTED_VALUE"""),"121701685 - APPROVED")</f>
        <v>121701685 - APPROVED</v>
      </c>
      <c r="C3409" s="6">
        <f>IFERROR(__xludf.DUMMYFUNCTION("""COMPUTED_VALUE"""),1.0)</f>
        <v>1</v>
      </c>
      <c r="D3409" s="6" t="str">
        <f>IFERROR(__xludf.DUMMYFUNCTION("""COMPUTED_VALUE"""),"T-80635-00")</f>
        <v>T-80635-00</v>
      </c>
      <c r="E3409" s="6" t="str">
        <f>IFERROR(__xludf.DUMMYFUNCTION("""COMPUTED_VALUE"""),"Kertas HVS A4 70 gram; ; ;")</f>
        <v>Kertas HVS A4 70 gram; ; ;</v>
      </c>
      <c r="F3409" s="6">
        <f>IFERROR(__xludf.DUMMYFUNCTION("""COMPUTED_VALUE"""),10.0)</f>
        <v>10</v>
      </c>
      <c r="G3409" s="6" t="str">
        <f>IFERROR(__xludf.DUMMYFUNCTION("""COMPUTED_VALUE"""),"Rim")</f>
        <v>Rim</v>
      </c>
      <c r="H3409" s="6" t="str">
        <f>IFERROR(__xludf.DUMMYFUNCTION("""COMPUTED_VALUE"""),"IDR")</f>
        <v>IDR</v>
      </c>
      <c r="I3409" s="6">
        <f>IFERROR(__xludf.DUMMYFUNCTION("""COMPUTED_VALUE"""),33000.0)</f>
        <v>33000</v>
      </c>
      <c r="J3409" s="6">
        <f>IFERROR(__xludf.DUMMYFUNCTION("""COMPUTED_VALUE"""),330000.0)</f>
        <v>330000</v>
      </c>
      <c r="K3409" s="57">
        <f>IFERROR(__xludf.DUMMYFUNCTION("""COMPUTED_VALUE"""),45501.0)</f>
        <v>45501</v>
      </c>
      <c r="L3409" s="6" t="str">
        <f>IFERROR(__xludf.DUMMYFUNCTION("""COMPUTED_VALUE"""),"FIP General")</f>
        <v>FIP General</v>
      </c>
      <c r="M3409" s="6" t="str">
        <f>IFERROR(__xludf.DUMMYFUNCTION("""COMPUTED_VALUE"""),"Mochammad Fadhillah Hakim,")</f>
        <v>Mochammad Fadhillah Hakim,</v>
      </c>
      <c r="N3409" s="6" t="str">
        <f>IFERROR(__xludf.DUMMYFUNCTION("""COMPUTED_VALUE"""),"FIP Engineering")</f>
        <v>FIP Engineering</v>
      </c>
      <c r="O3409" s="6" t="str">
        <f>IFERROR(__xludf.DUMMYFUNCTION("""COMPUTED_VALUE"""),"FIP-DOM-ENG-51411-0000000-INA-000000")</f>
        <v>FIP-DOM-ENG-51411-0000000-INA-000000</v>
      </c>
      <c r="P3409" s="6" t="str">
        <f>IFERROR(__xludf.DUMMYFUNCTION("""COMPUTED_VALUE"""),"PO Closed")</f>
        <v>PO Closed</v>
      </c>
      <c r="Q3409" s="6" t="str">
        <f>IFERROR(__xludf.DUMMYFUNCTION("""COMPUTED_VALUE"""),"GL2408025")</f>
        <v>GL2408025</v>
      </c>
      <c r="R3409" s="57">
        <f>IFERROR(__xludf.DUMMYFUNCTION("""COMPUTED_VALUE"""),45499.0)</f>
        <v>45499</v>
      </c>
      <c r="S3409" s="57">
        <f>IFERROR(__xludf.DUMMYFUNCTION("""COMPUTED_VALUE"""),45505.0)</f>
        <v>45505</v>
      </c>
      <c r="T3409" s="57">
        <f>IFERROR(__xludf.DUMMYFUNCTION("""COMPUTED_VALUE"""),45532.0)</f>
        <v>45532</v>
      </c>
    </row>
    <row r="3410">
      <c r="A3410" s="6" t="str">
        <f>IFERROR(__xludf.DUMMYFUNCTION("""COMPUTED_VALUE"""),"121701685-2")</f>
        <v>121701685-2</v>
      </c>
      <c r="B3410" s="6" t="str">
        <f>IFERROR(__xludf.DUMMYFUNCTION("""COMPUTED_VALUE"""),"121701685 - APPROVED")</f>
        <v>121701685 - APPROVED</v>
      </c>
      <c r="C3410" s="6">
        <f>IFERROR(__xludf.DUMMYFUNCTION("""COMPUTED_VALUE"""),2.0)</f>
        <v>2</v>
      </c>
      <c r="D3410" s="6" t="str">
        <f>IFERROR(__xludf.DUMMYFUNCTION("""COMPUTED_VALUE"""),"T-80731-00")</f>
        <v>T-80731-00</v>
      </c>
      <c r="E3410" s="6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F3410" s="6">
        <f>IFERROR(__xludf.DUMMYFUNCTION("""COMPUTED_VALUE"""),6.0)</f>
        <v>6</v>
      </c>
      <c r="G3410" s="6" t="str">
        <f>IFERROR(__xludf.DUMMYFUNCTION("""COMPUTED_VALUE"""),"Pack")</f>
        <v>Pack</v>
      </c>
      <c r="H3410" s="6" t="str">
        <f>IFERROR(__xludf.DUMMYFUNCTION("""COMPUTED_VALUE"""),"IDR")</f>
        <v>IDR</v>
      </c>
      <c r="I3410" s="6">
        <f>IFERROR(__xludf.DUMMYFUNCTION("""COMPUTED_VALUE"""),100000.0)</f>
        <v>100000</v>
      </c>
      <c r="J3410" s="6">
        <f>IFERROR(__xludf.DUMMYFUNCTION("""COMPUTED_VALUE"""),600000.0)</f>
        <v>600000</v>
      </c>
      <c r="K3410" s="57">
        <f>IFERROR(__xludf.DUMMYFUNCTION("""COMPUTED_VALUE"""),45501.0)</f>
        <v>45501</v>
      </c>
      <c r="L3410" s="6" t="str">
        <f>IFERROR(__xludf.DUMMYFUNCTION("""COMPUTED_VALUE"""),"FIP General")</f>
        <v>FIP General</v>
      </c>
      <c r="M3410" s="6" t="str">
        <f>IFERROR(__xludf.DUMMYFUNCTION("""COMPUTED_VALUE"""),"Mochammad Fadhillah Hakim,")</f>
        <v>Mochammad Fadhillah Hakim,</v>
      </c>
      <c r="N3410" s="6" t="str">
        <f>IFERROR(__xludf.DUMMYFUNCTION("""COMPUTED_VALUE"""),"FIP Engineering")</f>
        <v>FIP Engineering</v>
      </c>
      <c r="O3410" s="6" t="str">
        <f>IFERROR(__xludf.DUMMYFUNCTION("""COMPUTED_VALUE"""),"FIP-DOM-ENG-51411-0000000-INA-000000")</f>
        <v>FIP-DOM-ENG-51411-0000000-INA-000000</v>
      </c>
      <c r="P3410" s="6" t="str">
        <f>IFERROR(__xludf.DUMMYFUNCTION("""COMPUTED_VALUE"""),"PO Closed")</f>
        <v>PO Closed</v>
      </c>
      <c r="Q3410" s="6" t="str">
        <f>IFERROR(__xludf.DUMMYFUNCTION("""COMPUTED_VALUE"""),"GL2408028")</f>
        <v>GL2408028</v>
      </c>
      <c r="R3410" s="57">
        <f>IFERROR(__xludf.DUMMYFUNCTION("""COMPUTED_VALUE"""),45499.0)</f>
        <v>45499</v>
      </c>
      <c r="S3410" s="57">
        <f>IFERROR(__xludf.DUMMYFUNCTION("""COMPUTED_VALUE"""),45505.0)</f>
        <v>45505</v>
      </c>
      <c r="T3410" s="57">
        <f>IFERROR(__xludf.DUMMYFUNCTION("""COMPUTED_VALUE"""),45532.0)</f>
        <v>45532</v>
      </c>
    </row>
    <row r="3411">
      <c r="A3411" s="6" t="str">
        <f>IFERROR(__xludf.DUMMYFUNCTION("""COMPUTED_VALUE"""),"121701685-3")</f>
        <v>121701685-3</v>
      </c>
      <c r="B3411" s="6" t="str">
        <f>IFERROR(__xludf.DUMMYFUNCTION("""COMPUTED_VALUE"""),"121701685 - APPROVED")</f>
        <v>121701685 - APPROVED</v>
      </c>
      <c r="C3411" s="6">
        <f>IFERROR(__xludf.DUMMYFUNCTION("""COMPUTED_VALUE"""),3.0)</f>
        <v>3</v>
      </c>
      <c r="D3411" s="6" t="str">
        <f>IFERROR(__xludf.DUMMYFUNCTION("""COMPUTED_VALUE"""),"T-80169-00")</f>
        <v>T-80169-00</v>
      </c>
      <c r="E3411" s="6" t="str">
        <f>IFERROR(__xludf.DUMMYFUNCTION("""COMPUTED_VALUE"""),"Double Tape 1 inch")</f>
        <v>Double Tape 1 inch</v>
      </c>
      <c r="F3411" s="6">
        <f>IFERROR(__xludf.DUMMYFUNCTION("""COMPUTED_VALUE"""),3.0)</f>
        <v>3</v>
      </c>
      <c r="G3411" s="6" t="str">
        <f>IFERROR(__xludf.DUMMYFUNCTION("""COMPUTED_VALUE"""),"Roll")</f>
        <v>Roll</v>
      </c>
      <c r="H3411" s="6" t="str">
        <f>IFERROR(__xludf.DUMMYFUNCTION("""COMPUTED_VALUE"""),"IDR")</f>
        <v>IDR</v>
      </c>
      <c r="I3411" s="6">
        <f>IFERROR(__xludf.DUMMYFUNCTION("""COMPUTED_VALUE"""),5000.0)</f>
        <v>5000</v>
      </c>
      <c r="J3411" s="6">
        <f>IFERROR(__xludf.DUMMYFUNCTION("""COMPUTED_VALUE"""),15000.0)</f>
        <v>15000</v>
      </c>
      <c r="K3411" s="57">
        <f>IFERROR(__xludf.DUMMYFUNCTION("""COMPUTED_VALUE"""),45501.0)</f>
        <v>45501</v>
      </c>
      <c r="L3411" s="6" t="str">
        <f>IFERROR(__xludf.DUMMYFUNCTION("""COMPUTED_VALUE"""),"FIP General")</f>
        <v>FIP General</v>
      </c>
      <c r="M3411" s="6" t="str">
        <f>IFERROR(__xludf.DUMMYFUNCTION("""COMPUTED_VALUE"""),"Mochammad Fadhillah Hakim,")</f>
        <v>Mochammad Fadhillah Hakim,</v>
      </c>
      <c r="N3411" s="6" t="str">
        <f>IFERROR(__xludf.DUMMYFUNCTION("""COMPUTED_VALUE"""),"FIP Engineering")</f>
        <v>FIP Engineering</v>
      </c>
      <c r="O3411" s="6" t="str">
        <f>IFERROR(__xludf.DUMMYFUNCTION("""COMPUTED_VALUE"""),"FIP-DOM-ENG-51411-0000000-INA-000000")</f>
        <v>FIP-DOM-ENG-51411-0000000-INA-000000</v>
      </c>
      <c r="P3411" s="6" t="str">
        <f>IFERROR(__xludf.DUMMYFUNCTION("""COMPUTED_VALUE"""),"PO Closed")</f>
        <v>PO Closed</v>
      </c>
      <c r="Q3411" s="6" t="str">
        <f>IFERROR(__xludf.DUMMYFUNCTION("""COMPUTED_VALUE"""),"GL2408028")</f>
        <v>GL2408028</v>
      </c>
      <c r="R3411" s="57">
        <f>IFERROR(__xludf.DUMMYFUNCTION("""COMPUTED_VALUE"""),45499.0)</f>
        <v>45499</v>
      </c>
      <c r="S3411" s="57">
        <f>IFERROR(__xludf.DUMMYFUNCTION("""COMPUTED_VALUE"""),45505.0)</f>
        <v>45505</v>
      </c>
      <c r="T3411" s="57">
        <f>IFERROR(__xludf.DUMMYFUNCTION("""COMPUTED_VALUE"""),45532.0)</f>
        <v>45532</v>
      </c>
    </row>
    <row r="3412">
      <c r="A3412" s="6" t="str">
        <f>IFERROR(__xludf.DUMMYFUNCTION("""COMPUTED_VALUE"""),"121701685-4")</f>
        <v>121701685-4</v>
      </c>
      <c r="B3412" s="6" t="str">
        <f>IFERROR(__xludf.DUMMYFUNCTION("""COMPUTED_VALUE"""),"121701685 - APPROVED")</f>
        <v>121701685 - APPROVED</v>
      </c>
      <c r="C3412" s="6">
        <f>IFERROR(__xludf.DUMMYFUNCTION("""COMPUTED_VALUE"""),4.0)</f>
        <v>4</v>
      </c>
      <c r="D3412" s="6" t="str">
        <f>IFERROR(__xludf.DUMMYFUNCTION("""COMPUTED_VALUE"""),"T-80168-00")</f>
        <v>T-80168-00</v>
      </c>
      <c r="E3412" s="6" t="str">
        <f>IFERROR(__xludf.DUMMYFUNCTION("""COMPUTED_VALUE"""),"Double Tape 1/2 inch")</f>
        <v>Double Tape 1/2 inch</v>
      </c>
      <c r="F3412" s="6">
        <f>IFERROR(__xludf.DUMMYFUNCTION("""COMPUTED_VALUE"""),3.0)</f>
        <v>3</v>
      </c>
      <c r="G3412" s="6" t="str">
        <f>IFERROR(__xludf.DUMMYFUNCTION("""COMPUTED_VALUE"""),"Roll")</f>
        <v>Roll</v>
      </c>
      <c r="H3412" s="6" t="str">
        <f>IFERROR(__xludf.DUMMYFUNCTION("""COMPUTED_VALUE"""),"IDR")</f>
        <v>IDR</v>
      </c>
      <c r="I3412" s="6">
        <f>IFERROR(__xludf.DUMMYFUNCTION("""COMPUTED_VALUE"""),3000.0)</f>
        <v>3000</v>
      </c>
      <c r="J3412" s="6">
        <f>IFERROR(__xludf.DUMMYFUNCTION("""COMPUTED_VALUE"""),9000.0)</f>
        <v>9000</v>
      </c>
      <c r="K3412" s="57">
        <f>IFERROR(__xludf.DUMMYFUNCTION("""COMPUTED_VALUE"""),45501.0)</f>
        <v>45501</v>
      </c>
      <c r="L3412" s="6" t="str">
        <f>IFERROR(__xludf.DUMMYFUNCTION("""COMPUTED_VALUE"""),"FIP General")</f>
        <v>FIP General</v>
      </c>
      <c r="M3412" s="6" t="str">
        <f>IFERROR(__xludf.DUMMYFUNCTION("""COMPUTED_VALUE"""),"Mochammad Fadhillah Hakim,")</f>
        <v>Mochammad Fadhillah Hakim,</v>
      </c>
      <c r="N3412" s="6" t="str">
        <f>IFERROR(__xludf.DUMMYFUNCTION("""COMPUTED_VALUE"""),"FIP Engineering")</f>
        <v>FIP Engineering</v>
      </c>
      <c r="O3412" s="6" t="str">
        <f>IFERROR(__xludf.DUMMYFUNCTION("""COMPUTED_VALUE"""),"FIP-DOM-ENG-51411-0000000-INA-000000")</f>
        <v>FIP-DOM-ENG-51411-0000000-INA-000000</v>
      </c>
      <c r="P3412" s="6" t="str">
        <f>IFERROR(__xludf.DUMMYFUNCTION("""COMPUTED_VALUE"""),"PO Closed")</f>
        <v>PO Closed</v>
      </c>
      <c r="Q3412" s="6" t="str">
        <f>IFERROR(__xludf.DUMMYFUNCTION("""COMPUTED_VALUE"""),"GL2408028")</f>
        <v>GL2408028</v>
      </c>
      <c r="R3412" s="57">
        <f>IFERROR(__xludf.DUMMYFUNCTION("""COMPUTED_VALUE"""),45499.0)</f>
        <v>45499</v>
      </c>
      <c r="S3412" s="57">
        <f>IFERROR(__xludf.DUMMYFUNCTION("""COMPUTED_VALUE"""),45505.0)</f>
        <v>45505</v>
      </c>
      <c r="T3412" s="57">
        <f>IFERROR(__xludf.DUMMYFUNCTION("""COMPUTED_VALUE"""),45532.0)</f>
        <v>45532</v>
      </c>
    </row>
    <row r="3413">
      <c r="A3413" s="6" t="str">
        <f>IFERROR(__xludf.DUMMYFUNCTION("""COMPUTED_VALUE"""),"121701685-5")</f>
        <v>121701685-5</v>
      </c>
      <c r="B3413" s="6" t="str">
        <f>IFERROR(__xludf.DUMMYFUNCTION("""COMPUTED_VALUE"""),"121701685 - APPROVED")</f>
        <v>121701685 - APPROVED</v>
      </c>
      <c r="C3413" s="6">
        <f>IFERROR(__xludf.DUMMYFUNCTION("""COMPUTED_VALUE"""),5.0)</f>
        <v>5</v>
      </c>
      <c r="D3413" s="6" t="str">
        <f>IFERROR(__xludf.DUMMYFUNCTION("""COMPUTED_VALUE"""),"T-80199-00")</f>
        <v>T-80199-00</v>
      </c>
      <c r="E3413" s="6" t="str">
        <f>IFERROR(__xludf.DUMMYFUNCTION("""COMPUTED_VALUE"""),"Isi Stapler Kecil NO 10")</f>
        <v>Isi Stapler Kecil NO 10</v>
      </c>
      <c r="F3413" s="6">
        <f>IFERROR(__xludf.DUMMYFUNCTION("""COMPUTED_VALUE"""),10.0)</f>
        <v>10</v>
      </c>
      <c r="G3413" s="6" t="str">
        <f>IFERROR(__xludf.DUMMYFUNCTION("""COMPUTED_VALUE"""),"Pack")</f>
        <v>Pack</v>
      </c>
      <c r="H3413" s="6" t="str">
        <f>IFERROR(__xludf.DUMMYFUNCTION("""COMPUTED_VALUE"""),"IDR")</f>
        <v>IDR</v>
      </c>
      <c r="I3413" s="6">
        <f>IFERROR(__xludf.DUMMYFUNCTION("""COMPUTED_VALUE"""),2000.0)</f>
        <v>2000</v>
      </c>
      <c r="J3413" s="6">
        <f>IFERROR(__xludf.DUMMYFUNCTION("""COMPUTED_VALUE"""),20000.0)</f>
        <v>20000</v>
      </c>
      <c r="K3413" s="57">
        <f>IFERROR(__xludf.DUMMYFUNCTION("""COMPUTED_VALUE"""),45501.0)</f>
        <v>45501</v>
      </c>
      <c r="L3413" s="6" t="str">
        <f>IFERROR(__xludf.DUMMYFUNCTION("""COMPUTED_VALUE"""),"FIP General")</f>
        <v>FIP General</v>
      </c>
      <c r="M3413" s="6" t="str">
        <f>IFERROR(__xludf.DUMMYFUNCTION("""COMPUTED_VALUE"""),"Mochammad Fadhillah Hakim,")</f>
        <v>Mochammad Fadhillah Hakim,</v>
      </c>
      <c r="N3413" s="6" t="str">
        <f>IFERROR(__xludf.DUMMYFUNCTION("""COMPUTED_VALUE"""),"FIP Engineering")</f>
        <v>FIP Engineering</v>
      </c>
      <c r="O3413" s="6" t="str">
        <f>IFERROR(__xludf.DUMMYFUNCTION("""COMPUTED_VALUE"""),"FIP-DOM-ENG-51411-0000000-INA-000000")</f>
        <v>FIP-DOM-ENG-51411-0000000-INA-000000</v>
      </c>
      <c r="P3413" s="6" t="str">
        <f>IFERROR(__xludf.DUMMYFUNCTION("""COMPUTED_VALUE"""),"PO Closed")</f>
        <v>PO Closed</v>
      </c>
      <c r="Q3413" s="6" t="str">
        <f>IFERROR(__xludf.DUMMYFUNCTION("""COMPUTED_VALUE"""),"GL2408028")</f>
        <v>GL2408028</v>
      </c>
      <c r="R3413" s="57">
        <f>IFERROR(__xludf.DUMMYFUNCTION("""COMPUTED_VALUE"""),45499.0)</f>
        <v>45499</v>
      </c>
      <c r="S3413" s="57">
        <f>IFERROR(__xludf.DUMMYFUNCTION("""COMPUTED_VALUE"""),45505.0)</f>
        <v>45505</v>
      </c>
      <c r="T3413" s="57">
        <f>IFERROR(__xludf.DUMMYFUNCTION("""COMPUTED_VALUE"""),45532.0)</f>
        <v>45532</v>
      </c>
    </row>
    <row r="3414">
      <c r="A3414" s="6" t="str">
        <f>IFERROR(__xludf.DUMMYFUNCTION("""COMPUTED_VALUE"""),"121701685-6")</f>
        <v>121701685-6</v>
      </c>
      <c r="B3414" s="6" t="str">
        <f>IFERROR(__xludf.DUMMYFUNCTION("""COMPUTED_VALUE"""),"121701685 - APPROVED")</f>
        <v>121701685 - APPROVED</v>
      </c>
      <c r="C3414" s="6">
        <f>IFERROR(__xludf.DUMMYFUNCTION("""COMPUTED_VALUE"""),6.0)</f>
        <v>6</v>
      </c>
      <c r="D3414" s="6" t="str">
        <f>IFERROR(__xludf.DUMMYFUNCTION("""COMPUTED_VALUE"""),"T-80429-00")</f>
        <v>T-80429-00</v>
      </c>
      <c r="E3414" s="6" t="str">
        <f>IFERROR(__xludf.DUMMYFUNCTION("""COMPUTED_VALUE"""),"Spidol Permanent Biru")</f>
        <v>Spidol Permanent Biru</v>
      </c>
      <c r="F3414" s="6">
        <f>IFERROR(__xludf.DUMMYFUNCTION("""COMPUTED_VALUE"""),3.0)</f>
        <v>3</v>
      </c>
      <c r="G3414" s="6" t="str">
        <f>IFERROR(__xludf.DUMMYFUNCTION("""COMPUTED_VALUE"""),"Pieces")</f>
        <v>Pieces</v>
      </c>
      <c r="H3414" s="6" t="str">
        <f>IFERROR(__xludf.DUMMYFUNCTION("""COMPUTED_VALUE"""),"IDR")</f>
        <v>IDR</v>
      </c>
      <c r="I3414" s="6">
        <f>IFERROR(__xludf.DUMMYFUNCTION("""COMPUTED_VALUE"""),4500.0)</f>
        <v>4500</v>
      </c>
      <c r="J3414" s="6">
        <f>IFERROR(__xludf.DUMMYFUNCTION("""COMPUTED_VALUE"""),13500.0)</f>
        <v>13500</v>
      </c>
      <c r="K3414" s="57">
        <f>IFERROR(__xludf.DUMMYFUNCTION("""COMPUTED_VALUE"""),45501.0)</f>
        <v>45501</v>
      </c>
      <c r="L3414" s="6" t="str">
        <f>IFERROR(__xludf.DUMMYFUNCTION("""COMPUTED_VALUE"""),"FIP General")</f>
        <v>FIP General</v>
      </c>
      <c r="M3414" s="6" t="str">
        <f>IFERROR(__xludf.DUMMYFUNCTION("""COMPUTED_VALUE"""),"Mochammad Fadhillah Hakim,")</f>
        <v>Mochammad Fadhillah Hakim,</v>
      </c>
      <c r="N3414" s="6" t="str">
        <f>IFERROR(__xludf.DUMMYFUNCTION("""COMPUTED_VALUE"""),"FIP Engineering")</f>
        <v>FIP Engineering</v>
      </c>
      <c r="O3414" s="6" t="str">
        <f>IFERROR(__xludf.DUMMYFUNCTION("""COMPUTED_VALUE"""),"FIP-DOM-ENG-51411-0000000-INA-000000")</f>
        <v>FIP-DOM-ENG-51411-0000000-INA-000000</v>
      </c>
      <c r="P3414" s="6" t="str">
        <f>IFERROR(__xludf.DUMMYFUNCTION("""COMPUTED_VALUE"""),"PO Closed")</f>
        <v>PO Closed</v>
      </c>
      <c r="Q3414" s="6" t="str">
        <f>IFERROR(__xludf.DUMMYFUNCTION("""COMPUTED_VALUE"""),"GL2408028")</f>
        <v>GL2408028</v>
      </c>
      <c r="R3414" s="57">
        <f>IFERROR(__xludf.DUMMYFUNCTION("""COMPUTED_VALUE"""),45499.0)</f>
        <v>45499</v>
      </c>
      <c r="S3414" s="57">
        <f>IFERROR(__xludf.DUMMYFUNCTION("""COMPUTED_VALUE"""),45505.0)</f>
        <v>45505</v>
      </c>
      <c r="T3414" s="57">
        <f>IFERROR(__xludf.DUMMYFUNCTION("""COMPUTED_VALUE"""),45532.0)</f>
        <v>45532</v>
      </c>
    </row>
    <row r="3415">
      <c r="A3415" s="6" t="str">
        <f>IFERROR(__xludf.DUMMYFUNCTION("""COMPUTED_VALUE"""),"121701685-7")</f>
        <v>121701685-7</v>
      </c>
      <c r="B3415" s="6" t="str">
        <f>IFERROR(__xludf.DUMMYFUNCTION("""COMPUTED_VALUE"""),"121701685 - APPROVED")</f>
        <v>121701685 - APPROVED</v>
      </c>
      <c r="C3415" s="6">
        <f>IFERROR(__xludf.DUMMYFUNCTION("""COMPUTED_VALUE"""),7.0)</f>
        <v>7</v>
      </c>
      <c r="D3415" s="6" t="str">
        <f>IFERROR(__xludf.DUMMYFUNCTION("""COMPUTED_VALUE"""),"T-80159-00")</f>
        <v>T-80159-00</v>
      </c>
      <c r="E3415" s="6" t="str">
        <f>IFERROR(__xludf.DUMMYFUNCTION("""COMPUTED_VALUE"""),"Divider Bulan Jan - Dec")</f>
        <v>Divider Bulan Jan - Dec</v>
      </c>
      <c r="F3415" s="6">
        <f>IFERROR(__xludf.DUMMYFUNCTION("""COMPUTED_VALUE"""),5.0)</f>
        <v>5</v>
      </c>
      <c r="G3415" s="6" t="str">
        <f>IFERROR(__xludf.DUMMYFUNCTION("""COMPUTED_VALUE"""),"Pack")</f>
        <v>Pack</v>
      </c>
      <c r="H3415" s="6" t="str">
        <f>IFERROR(__xludf.DUMMYFUNCTION("""COMPUTED_VALUE"""),"IDR")</f>
        <v>IDR</v>
      </c>
      <c r="I3415" s="6">
        <f>IFERROR(__xludf.DUMMYFUNCTION("""COMPUTED_VALUE"""),22000.0)</f>
        <v>22000</v>
      </c>
      <c r="J3415" s="6">
        <f>IFERROR(__xludf.DUMMYFUNCTION("""COMPUTED_VALUE"""),110000.0)</f>
        <v>110000</v>
      </c>
      <c r="K3415" s="57">
        <f>IFERROR(__xludf.DUMMYFUNCTION("""COMPUTED_VALUE"""),45501.0)</f>
        <v>45501</v>
      </c>
      <c r="L3415" s="6" t="str">
        <f>IFERROR(__xludf.DUMMYFUNCTION("""COMPUTED_VALUE"""),"FIP General")</f>
        <v>FIP General</v>
      </c>
      <c r="M3415" s="6" t="str">
        <f>IFERROR(__xludf.DUMMYFUNCTION("""COMPUTED_VALUE"""),"Mochammad Fadhillah Hakim,")</f>
        <v>Mochammad Fadhillah Hakim,</v>
      </c>
      <c r="N3415" s="6" t="str">
        <f>IFERROR(__xludf.DUMMYFUNCTION("""COMPUTED_VALUE"""),"FIP Engineering")</f>
        <v>FIP Engineering</v>
      </c>
      <c r="O3415" s="6" t="str">
        <f>IFERROR(__xludf.DUMMYFUNCTION("""COMPUTED_VALUE"""),"FIP-DOM-ENG-51411-0000000-INA-000000")</f>
        <v>FIP-DOM-ENG-51411-0000000-INA-000000</v>
      </c>
      <c r="P3415" s="6" t="str">
        <f>IFERROR(__xludf.DUMMYFUNCTION("""COMPUTED_VALUE"""),"PO Closed")</f>
        <v>PO Closed</v>
      </c>
      <c r="Q3415" s="6" t="str">
        <f>IFERROR(__xludf.DUMMYFUNCTION("""COMPUTED_VALUE"""),"GL2408026")</f>
        <v>GL2408026</v>
      </c>
      <c r="R3415" s="57">
        <f>IFERROR(__xludf.DUMMYFUNCTION("""COMPUTED_VALUE"""),45499.0)</f>
        <v>45499</v>
      </c>
      <c r="S3415" s="57">
        <f>IFERROR(__xludf.DUMMYFUNCTION("""COMPUTED_VALUE"""),45505.0)</f>
        <v>45505</v>
      </c>
      <c r="T3415" s="57">
        <f>IFERROR(__xludf.DUMMYFUNCTION("""COMPUTED_VALUE"""),45532.0)</f>
        <v>45532</v>
      </c>
    </row>
    <row r="3416">
      <c r="A3416" s="6" t="str">
        <f>IFERROR(__xludf.DUMMYFUNCTION("""COMPUTED_VALUE"""),"121701685-8")</f>
        <v>121701685-8</v>
      </c>
      <c r="B3416" s="6" t="str">
        <f>IFERROR(__xludf.DUMMYFUNCTION("""COMPUTED_VALUE"""),"121701685 - APPROVED")</f>
        <v>121701685 - APPROVED</v>
      </c>
      <c r="C3416" s="6">
        <f>IFERROR(__xludf.DUMMYFUNCTION("""COMPUTED_VALUE"""),8.0)</f>
        <v>8</v>
      </c>
      <c r="D3416" s="6" t="str">
        <f>IFERROR(__xludf.DUMMYFUNCTION("""COMPUTED_VALUE"""),"T-80028-00")</f>
        <v>T-80028-00</v>
      </c>
      <c r="E3416" s="6" t="str">
        <f>IFERROR(__xludf.DUMMYFUNCTION("""COMPUTED_VALUE"""),"Ballpoint Snowman V1 Hitam/Biru/Merah")</f>
        <v>Ballpoint Snowman V1 Hitam/Biru/Merah</v>
      </c>
      <c r="F3416" s="6">
        <f>IFERROR(__xludf.DUMMYFUNCTION("""COMPUTED_VALUE"""),24.0)</f>
        <v>24</v>
      </c>
      <c r="G3416" s="6" t="str">
        <f>IFERROR(__xludf.DUMMYFUNCTION("""COMPUTED_VALUE"""),"Pieces")</f>
        <v>Pieces</v>
      </c>
      <c r="H3416" s="6" t="str">
        <f>IFERROR(__xludf.DUMMYFUNCTION("""COMPUTED_VALUE"""),"IDR")</f>
        <v>IDR</v>
      </c>
      <c r="I3416" s="6">
        <f>IFERROR(__xludf.DUMMYFUNCTION("""COMPUTED_VALUE"""),2000.0)</f>
        <v>2000</v>
      </c>
      <c r="J3416" s="6">
        <f>IFERROR(__xludf.DUMMYFUNCTION("""COMPUTED_VALUE"""),48000.0)</f>
        <v>48000</v>
      </c>
      <c r="K3416" s="57">
        <f>IFERROR(__xludf.DUMMYFUNCTION("""COMPUTED_VALUE"""),45501.0)</f>
        <v>45501</v>
      </c>
      <c r="L3416" s="6" t="str">
        <f>IFERROR(__xludf.DUMMYFUNCTION("""COMPUTED_VALUE"""),"FIP General")</f>
        <v>FIP General</v>
      </c>
      <c r="M3416" s="6" t="str">
        <f>IFERROR(__xludf.DUMMYFUNCTION("""COMPUTED_VALUE"""),"Mochammad Fadhillah Hakim,")</f>
        <v>Mochammad Fadhillah Hakim,</v>
      </c>
      <c r="N3416" s="6" t="str">
        <f>IFERROR(__xludf.DUMMYFUNCTION("""COMPUTED_VALUE"""),"FIP Engineering")</f>
        <v>FIP Engineering</v>
      </c>
      <c r="O3416" s="6" t="str">
        <f>IFERROR(__xludf.DUMMYFUNCTION("""COMPUTED_VALUE"""),"FIP-DOM-ENG-51411-0000000-INA-000000")</f>
        <v>FIP-DOM-ENG-51411-0000000-INA-000000</v>
      </c>
      <c r="P3416" s="6" t="str">
        <f>IFERROR(__xludf.DUMMYFUNCTION("""COMPUTED_VALUE"""),"PO Closed")</f>
        <v>PO Closed</v>
      </c>
      <c r="Q3416" s="6" t="str">
        <f>IFERROR(__xludf.DUMMYFUNCTION("""COMPUTED_VALUE"""),"GL2408028")</f>
        <v>GL2408028</v>
      </c>
      <c r="R3416" s="57">
        <f>IFERROR(__xludf.DUMMYFUNCTION("""COMPUTED_VALUE"""),45499.0)</f>
        <v>45499</v>
      </c>
      <c r="S3416" s="57">
        <f>IFERROR(__xludf.DUMMYFUNCTION("""COMPUTED_VALUE"""),45505.0)</f>
        <v>45505</v>
      </c>
      <c r="T3416" s="57">
        <f>IFERROR(__xludf.DUMMYFUNCTION("""COMPUTED_VALUE"""),45532.0)</f>
        <v>45532</v>
      </c>
    </row>
    <row r="3417">
      <c r="A3417" s="6" t="str">
        <f>IFERROR(__xludf.DUMMYFUNCTION("""COMPUTED_VALUE"""),"121701685-9")</f>
        <v>121701685-9</v>
      </c>
      <c r="B3417" s="6" t="str">
        <f>IFERROR(__xludf.DUMMYFUNCTION("""COMPUTED_VALUE"""),"121701685 - APPROVED")</f>
        <v>121701685 - APPROVED</v>
      </c>
      <c r="C3417" s="6">
        <f>IFERROR(__xludf.DUMMYFUNCTION("""COMPUTED_VALUE"""),9.0)</f>
        <v>9</v>
      </c>
      <c r="D3417" s="6" t="str">
        <f>IFERROR(__xludf.DUMMYFUNCTION("""COMPUTED_VALUE"""),"T-80184-00")</f>
        <v>T-80184-00</v>
      </c>
      <c r="E3417" s="6" t="str">
        <f>IFERROR(__xludf.DUMMYFUNCTION("""COMPUTED_VALUE"""),"Gunting Besar - 8.5 inch")</f>
        <v>Gunting Besar - 8.5 inch</v>
      </c>
      <c r="F3417" s="6">
        <f>IFERROR(__xludf.DUMMYFUNCTION("""COMPUTED_VALUE"""),3.0)</f>
        <v>3</v>
      </c>
      <c r="G3417" s="6" t="str">
        <f>IFERROR(__xludf.DUMMYFUNCTION("""COMPUTED_VALUE"""),"Pieces")</f>
        <v>Pieces</v>
      </c>
      <c r="H3417" s="6" t="str">
        <f>IFERROR(__xludf.DUMMYFUNCTION("""COMPUTED_VALUE"""),"IDR")</f>
        <v>IDR</v>
      </c>
      <c r="I3417" s="6">
        <f>IFERROR(__xludf.DUMMYFUNCTION("""COMPUTED_VALUE"""),8000.0)</f>
        <v>8000</v>
      </c>
      <c r="J3417" s="6">
        <f>IFERROR(__xludf.DUMMYFUNCTION("""COMPUTED_VALUE"""),24000.0)</f>
        <v>24000</v>
      </c>
      <c r="K3417" s="57">
        <f>IFERROR(__xludf.DUMMYFUNCTION("""COMPUTED_VALUE"""),45501.0)</f>
        <v>45501</v>
      </c>
      <c r="L3417" s="6" t="str">
        <f>IFERROR(__xludf.DUMMYFUNCTION("""COMPUTED_VALUE"""),"FIP General")</f>
        <v>FIP General</v>
      </c>
      <c r="M3417" s="6" t="str">
        <f>IFERROR(__xludf.DUMMYFUNCTION("""COMPUTED_VALUE"""),"Mochammad Fadhillah Hakim,")</f>
        <v>Mochammad Fadhillah Hakim,</v>
      </c>
      <c r="N3417" s="6" t="str">
        <f>IFERROR(__xludf.DUMMYFUNCTION("""COMPUTED_VALUE"""),"FIP Engineering")</f>
        <v>FIP Engineering</v>
      </c>
      <c r="O3417" s="6" t="str">
        <f>IFERROR(__xludf.DUMMYFUNCTION("""COMPUTED_VALUE"""),"FIP-DOM-ENG-51411-0000000-INA-000000")</f>
        <v>FIP-DOM-ENG-51411-0000000-INA-000000</v>
      </c>
      <c r="P3417" s="6" t="str">
        <f>IFERROR(__xludf.DUMMYFUNCTION("""COMPUTED_VALUE"""),"PO Closed")</f>
        <v>PO Closed</v>
      </c>
      <c r="Q3417" s="6" t="str">
        <f>IFERROR(__xludf.DUMMYFUNCTION("""COMPUTED_VALUE"""),"GL2408028")</f>
        <v>GL2408028</v>
      </c>
      <c r="R3417" s="57">
        <f>IFERROR(__xludf.DUMMYFUNCTION("""COMPUTED_VALUE"""),45499.0)</f>
        <v>45499</v>
      </c>
      <c r="S3417" s="57">
        <f>IFERROR(__xludf.DUMMYFUNCTION("""COMPUTED_VALUE"""),45505.0)</f>
        <v>45505</v>
      </c>
      <c r="T3417" s="57">
        <f>IFERROR(__xludf.DUMMYFUNCTION("""COMPUTED_VALUE"""),45532.0)</f>
        <v>45532</v>
      </c>
    </row>
    <row r="3418">
      <c r="A3418" s="6" t="str">
        <f>IFERROR(__xludf.DUMMYFUNCTION("""COMPUTED_VALUE"""),"121701703-1")</f>
        <v>121701703-1</v>
      </c>
      <c r="B3418" s="6" t="str">
        <f>IFERROR(__xludf.DUMMYFUNCTION("""COMPUTED_VALUE"""),"121701703 - APPROVED")</f>
        <v>121701703 - APPROVED</v>
      </c>
      <c r="C3418" s="6">
        <f>IFERROR(__xludf.DUMMYFUNCTION("""COMPUTED_VALUE"""),1.0)</f>
        <v>1</v>
      </c>
      <c r="D3418" s="6" t="str">
        <f>IFERROR(__xludf.DUMMYFUNCTION("""COMPUTED_VALUE"""),"O-17011-00")</f>
        <v>O-17011-00</v>
      </c>
      <c r="E3418" s="6" t="str">
        <f>IFERROR(__xludf.DUMMYFUNCTION("""COMPUTED_VALUE"""),"Parallel Keys MISUMI P/N : KET3 pc")</f>
        <v>Parallel Keys MISUMI P/N : KET3 pc</v>
      </c>
      <c r="F3418" s="6">
        <f>IFERROR(__xludf.DUMMYFUNCTION("""COMPUTED_VALUE"""),5.0)</f>
        <v>5</v>
      </c>
      <c r="G3418" s="6" t="str">
        <f>IFERROR(__xludf.DUMMYFUNCTION("""COMPUTED_VALUE"""),"Pieces")</f>
        <v>Pieces</v>
      </c>
      <c r="H3418" s="6" t="str">
        <f>IFERROR(__xludf.DUMMYFUNCTION("""COMPUTED_VALUE"""),"IDR")</f>
        <v>IDR</v>
      </c>
      <c r="I3418" s="6">
        <f>IFERROR(__xludf.DUMMYFUNCTION("""COMPUTED_VALUE"""),69210.0)</f>
        <v>69210</v>
      </c>
      <c r="J3418" s="6">
        <f>IFERROR(__xludf.DUMMYFUNCTION("""COMPUTED_VALUE"""),346050.0)</f>
        <v>346050</v>
      </c>
      <c r="K3418" s="57">
        <f>IFERROR(__xludf.DUMMYFUNCTION("""COMPUTED_VALUE"""),45508.0)</f>
        <v>45508</v>
      </c>
      <c r="L3418" s="6" t="str">
        <f>IFERROR(__xludf.DUMMYFUNCTION("""COMPUTED_VALUE"""),"FIP Engineering")</f>
        <v>FIP Engineering</v>
      </c>
      <c r="M3418" s="6" t="str">
        <f>IFERROR(__xludf.DUMMYFUNCTION("""COMPUTED_VALUE"""),"Mochammad Fadhillah Hakim,")</f>
        <v>Mochammad Fadhillah Hakim,</v>
      </c>
      <c r="N3418" s="6" t="str">
        <f>IFERROR(__xludf.DUMMYFUNCTION("""COMPUTED_VALUE"""),"FIP Engineering")</f>
        <v>FIP Engineering</v>
      </c>
      <c r="O3418" s="6" t="str">
        <f>IFERROR(__xludf.DUMMYFUNCTION("""COMPUTED_VALUE"""),"FIP-DOM-000-11304-OS00001-INA-000000")</f>
        <v>FIP-DOM-000-11304-OS00001-INA-000000</v>
      </c>
      <c r="P3418" s="6" t="str">
        <f>IFERROR(__xludf.DUMMYFUNCTION("""COMPUTED_VALUE"""),"PO Closed")</f>
        <v>PO Closed</v>
      </c>
      <c r="Q3418" s="6" t="str">
        <f>IFERROR(__xludf.DUMMYFUNCTION("""COMPUTED_VALUE"""),"GL2408048")</f>
        <v>GL2408048</v>
      </c>
      <c r="R3418" s="57">
        <f>IFERROR(__xludf.DUMMYFUNCTION("""COMPUTED_VALUE"""),45506.0)</f>
        <v>45506</v>
      </c>
      <c r="S3418" s="57">
        <f>IFERROR(__xludf.DUMMYFUNCTION("""COMPUTED_VALUE"""),45506.0)</f>
        <v>45506</v>
      </c>
      <c r="T3418" s="57">
        <f>IFERROR(__xludf.DUMMYFUNCTION("""COMPUTED_VALUE"""),45570.0)</f>
        <v>45570</v>
      </c>
    </row>
    <row r="3419">
      <c r="A3419" s="6" t="str">
        <f>IFERROR(__xludf.DUMMYFUNCTION("""COMPUTED_VALUE"""),"121701704-1")</f>
        <v>121701704-1</v>
      </c>
      <c r="B3419" s="6" t="str">
        <f>IFERROR(__xludf.DUMMYFUNCTION("""COMPUTED_VALUE"""),"121701704 - APPROVED")</f>
        <v>121701704 - APPROVED</v>
      </c>
      <c r="C3419" s="6">
        <f>IFERROR(__xludf.DUMMYFUNCTION("""COMPUTED_VALUE"""),1.0)</f>
        <v>1</v>
      </c>
      <c r="D3419" s="6" t="str">
        <f>IFERROR(__xludf.DUMMYFUNCTION("""COMPUTED_VALUE"""),"P-52994-00")</f>
        <v>P-52994-00</v>
      </c>
      <c r="E3419" s="6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F3419" s="6">
        <f>IFERROR(__xludf.DUMMYFUNCTION("""COMPUTED_VALUE"""),3.0)</f>
        <v>3</v>
      </c>
      <c r="G3419" s="6" t="str">
        <f>IFERROR(__xludf.DUMMYFUNCTION("""COMPUTED_VALUE"""),"Pieces")</f>
        <v>Pieces</v>
      </c>
      <c r="H3419" s="6" t="str">
        <f>IFERROR(__xludf.DUMMYFUNCTION("""COMPUTED_VALUE"""),"IDR")</f>
        <v>IDR</v>
      </c>
      <c r="I3419" s="6">
        <f>IFERROR(__xludf.DUMMYFUNCTION("""COMPUTED_VALUE"""),1012500.0)</f>
        <v>1012500</v>
      </c>
      <c r="J3419" s="6">
        <f>IFERROR(__xludf.DUMMYFUNCTION("""COMPUTED_VALUE"""),3037500.0)</f>
        <v>3037500</v>
      </c>
      <c r="K3419" s="57">
        <f>IFERROR(__xludf.DUMMYFUNCTION("""COMPUTED_VALUE"""),45508.0)</f>
        <v>45508</v>
      </c>
      <c r="L3419" s="6" t="str">
        <f>IFERROR(__xludf.DUMMYFUNCTION("""COMPUTED_VALUE"""),"FIP Engineering")</f>
        <v>FIP Engineering</v>
      </c>
      <c r="M3419" s="6" t="str">
        <f>IFERROR(__xludf.DUMMYFUNCTION("""COMPUTED_VALUE"""),"Mochammad Fadhillah Hakim,")</f>
        <v>Mochammad Fadhillah Hakim,</v>
      </c>
      <c r="N3419" s="6" t="str">
        <f>IFERROR(__xludf.DUMMYFUNCTION("""COMPUTED_VALUE"""),"FIP Engineering")</f>
        <v>FIP Engineering</v>
      </c>
      <c r="O3419" s="6" t="str">
        <f>IFERROR(__xludf.DUMMYFUNCTION("""COMPUTED_VALUE"""),"FIP-DOM-000-11304-OS00001-INA-000000")</f>
        <v>FIP-DOM-000-11304-OS00001-INA-000000</v>
      </c>
      <c r="P3419" s="6" t="str">
        <f>IFERROR(__xludf.DUMMYFUNCTION("""COMPUTED_VALUE"""),"PO Closed")</f>
        <v>PO Closed</v>
      </c>
      <c r="Q3419" s="6" t="str">
        <f>IFERROR(__xludf.DUMMYFUNCTION("""COMPUTED_VALUE"""),"GL2409022")</f>
        <v>GL2409022</v>
      </c>
      <c r="R3419" s="57">
        <f>IFERROR(__xludf.DUMMYFUNCTION("""COMPUTED_VALUE"""),45506.0)</f>
        <v>45506</v>
      </c>
      <c r="S3419" s="57">
        <f>IFERROR(__xludf.DUMMYFUNCTION("""COMPUTED_VALUE"""),45509.0)</f>
        <v>45509</v>
      </c>
      <c r="T3419" s="57">
        <f>IFERROR(__xludf.DUMMYFUNCTION("""COMPUTED_VALUE"""),45588.0)</f>
        <v>45588</v>
      </c>
    </row>
    <row r="3420">
      <c r="A3420" s="6" t="str">
        <f>IFERROR(__xludf.DUMMYFUNCTION("""COMPUTED_VALUE"""),"121701705-1")</f>
        <v>121701705-1</v>
      </c>
      <c r="B3420" s="6" t="str">
        <f>IFERROR(__xludf.DUMMYFUNCTION("""COMPUTED_VALUE"""),"121701705 - APPROVED")</f>
        <v>121701705 - APPROVED</v>
      </c>
      <c r="C3420" s="6">
        <f>IFERROR(__xludf.DUMMYFUNCTION("""COMPUTED_VALUE"""),1.0)</f>
        <v>1</v>
      </c>
      <c r="D3420" s="6" t="str">
        <f>IFERROR(__xludf.DUMMYFUNCTION("""COMPUTED_VALUE"""),"P-15938-00")</f>
        <v>P-15938-00</v>
      </c>
      <c r="E3420" s="6" t="str">
        <f>IFERROR(__xludf.DUMMYFUNCTION("""COMPUTED_VALUE"""),"Water Hardness Test Kit; ; ;")</f>
        <v>Water Hardness Test Kit; ; ;</v>
      </c>
      <c r="F3420" s="6">
        <f>IFERROR(__xludf.DUMMYFUNCTION("""COMPUTED_VALUE"""),3.0)</f>
        <v>3</v>
      </c>
      <c r="G3420" s="6" t="str">
        <f>IFERROR(__xludf.DUMMYFUNCTION("""COMPUTED_VALUE"""),"Box")</f>
        <v>Box</v>
      </c>
      <c r="H3420" s="6" t="str">
        <f>IFERROR(__xludf.DUMMYFUNCTION("""COMPUTED_VALUE"""),"IDR")</f>
        <v>IDR</v>
      </c>
      <c r="I3420" s="6">
        <f>IFERROR(__xludf.DUMMYFUNCTION("""COMPUTED_VALUE"""),273500.0)</f>
        <v>273500</v>
      </c>
      <c r="J3420" s="6">
        <f>IFERROR(__xludf.DUMMYFUNCTION("""COMPUTED_VALUE"""),820500.0)</f>
        <v>820500</v>
      </c>
      <c r="K3420" s="57">
        <f>IFERROR(__xludf.DUMMYFUNCTION("""COMPUTED_VALUE"""),45508.0)</f>
        <v>45508</v>
      </c>
      <c r="L3420" s="6" t="str">
        <f>IFERROR(__xludf.DUMMYFUNCTION("""COMPUTED_VALUE"""),"FIP General")</f>
        <v>FIP General</v>
      </c>
      <c r="M3420" s="6" t="str">
        <f>IFERROR(__xludf.DUMMYFUNCTION("""COMPUTED_VALUE"""),"Mochammad Fadhillah Hakim,")</f>
        <v>Mochammad Fadhillah Hakim,</v>
      </c>
      <c r="N3420" s="6" t="str">
        <f>IFERROR(__xludf.DUMMYFUNCTION("""COMPUTED_VALUE"""),"FIP Engineering")</f>
        <v>FIP Engineering</v>
      </c>
      <c r="O3420" s="6" t="str">
        <f>IFERROR(__xludf.DUMMYFUNCTION("""COMPUTED_VALUE"""),"FIP-DOM-ENG-51504-0000000-INA-000000")</f>
        <v>FIP-DOM-ENG-51504-0000000-INA-000000</v>
      </c>
      <c r="P3420" s="6" t="str">
        <f>IFERROR(__xludf.DUMMYFUNCTION("""COMPUTED_VALUE"""),"PO Closed")</f>
        <v>PO Closed</v>
      </c>
      <c r="Q3420" s="6" t="str">
        <f>IFERROR(__xludf.DUMMYFUNCTION("""COMPUTED_VALUE"""),"GL2409019")</f>
        <v>GL2409019</v>
      </c>
      <c r="R3420" s="57">
        <f>IFERROR(__xludf.DUMMYFUNCTION("""COMPUTED_VALUE"""),45506.0)</f>
        <v>45506</v>
      </c>
      <c r="S3420" s="57">
        <f>IFERROR(__xludf.DUMMYFUNCTION("""COMPUTED_VALUE"""),45509.0)</f>
        <v>45509</v>
      </c>
      <c r="T3420" s="57">
        <f>IFERROR(__xludf.DUMMYFUNCTION("""COMPUTED_VALUE"""),45601.0)</f>
        <v>45601</v>
      </c>
    </row>
    <row r="3421">
      <c r="A3421" s="6" t="str">
        <f>IFERROR(__xludf.DUMMYFUNCTION("""COMPUTED_VALUE"""),"121701719-1")</f>
        <v>121701719-1</v>
      </c>
      <c r="B3421" s="6" t="str">
        <f>IFERROR(__xludf.DUMMYFUNCTION("""COMPUTED_VALUE"""),"121701719 - APPROVED")</f>
        <v>121701719 - APPROVED</v>
      </c>
      <c r="C3421" s="6">
        <f>IFERROR(__xludf.DUMMYFUNCTION("""COMPUTED_VALUE"""),1.0)</f>
        <v>1</v>
      </c>
      <c r="D3421" s="6" t="str">
        <f>IFERROR(__xludf.DUMMYFUNCTION("""COMPUTED_VALUE"""),"Q-60242-00")</f>
        <v>Q-60242-00</v>
      </c>
      <c r="E3421" s="6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F3421" s="6">
        <f>IFERROR(__xludf.DUMMYFUNCTION("""COMPUTED_VALUE"""),1.0)</f>
        <v>1</v>
      </c>
      <c r="G3421" s="6" t="str">
        <f>IFERROR(__xludf.DUMMYFUNCTION("""COMPUTED_VALUE"""),"Pail")</f>
        <v>Pail</v>
      </c>
      <c r="H3421" s="6" t="str">
        <f>IFERROR(__xludf.DUMMYFUNCTION("""COMPUTED_VALUE"""),"IDR")</f>
        <v>IDR</v>
      </c>
      <c r="I3421" s="6">
        <f>IFERROR(__xludf.DUMMYFUNCTION("""COMPUTED_VALUE"""),1400000.0)</f>
        <v>1400000</v>
      </c>
      <c r="J3421" s="6">
        <f>IFERROR(__xludf.DUMMYFUNCTION("""COMPUTED_VALUE"""),1400000.0)</f>
        <v>1400000</v>
      </c>
      <c r="K3421" s="57">
        <f>IFERROR(__xludf.DUMMYFUNCTION("""COMPUTED_VALUE"""),45515.0)</f>
        <v>45515</v>
      </c>
      <c r="L3421" s="6" t="str">
        <f>IFERROR(__xludf.DUMMYFUNCTION("""COMPUTED_VALUE"""),"FIP Engineering")</f>
        <v>FIP Engineering</v>
      </c>
      <c r="M3421" s="6" t="str">
        <f>IFERROR(__xludf.DUMMYFUNCTION("""COMPUTED_VALUE"""),"Mochammad Fadhillah Hakim,")</f>
        <v>Mochammad Fadhillah Hakim,</v>
      </c>
      <c r="N3421" s="6" t="str">
        <f>IFERROR(__xludf.DUMMYFUNCTION("""COMPUTED_VALUE"""),"FIP Engineering")</f>
        <v>FIP Engineering</v>
      </c>
      <c r="O3421" s="6" t="str">
        <f>IFERROR(__xludf.DUMMYFUNCTION("""COMPUTED_VALUE"""),"FIP-DOM-000-11304-OS00001-INA-000000")</f>
        <v>FIP-DOM-000-11304-OS00001-INA-000000</v>
      </c>
      <c r="P3421" s="6" t="str">
        <f>IFERROR(__xludf.DUMMYFUNCTION("""COMPUTED_VALUE"""),"PO Closed")</f>
        <v>PO Closed</v>
      </c>
      <c r="Q3421" s="6" t="str">
        <f>IFERROR(__xludf.DUMMYFUNCTION("""COMPUTED_VALUE"""),"GL2408018")</f>
        <v>GL2408018</v>
      </c>
      <c r="R3421" s="57">
        <f>IFERROR(__xludf.DUMMYFUNCTION("""COMPUTED_VALUE"""),45513.0)</f>
        <v>45513</v>
      </c>
      <c r="S3421" s="57">
        <f>IFERROR(__xludf.DUMMYFUNCTION("""COMPUTED_VALUE"""),45516.0)</f>
        <v>45516</v>
      </c>
      <c r="T3421" s="57">
        <f>IFERROR(__xludf.DUMMYFUNCTION("""COMPUTED_VALUE"""),45523.0)</f>
        <v>45523</v>
      </c>
    </row>
    <row r="3422">
      <c r="A3422" s="6" t="str">
        <f>IFERROR(__xludf.DUMMYFUNCTION("""COMPUTED_VALUE"""),"121701719-2")</f>
        <v>121701719-2</v>
      </c>
      <c r="B3422" s="6" t="str">
        <f>IFERROR(__xludf.DUMMYFUNCTION("""COMPUTED_VALUE"""),"121701719 - APPROVED")</f>
        <v>121701719 - APPROVED</v>
      </c>
      <c r="C3422" s="6">
        <f>IFERROR(__xludf.DUMMYFUNCTION("""COMPUTED_VALUE"""),2.0)</f>
        <v>2</v>
      </c>
      <c r="D3422" s="6" t="str">
        <f>IFERROR(__xludf.DUMMYFUNCTION("""COMPUTED_VALUE"""),"Q-60226-00")</f>
        <v>Q-60226-00</v>
      </c>
      <c r="E3422" s="6" t="str">
        <f>IFERROR(__xludf.DUMMYFUNCTION("""COMPUTED_VALUE"""),"Cat F-Talit KF 731, F-Talit, Type Super White 115-00, pack size per 1 kg")</f>
        <v>Cat F-Talit KF 731, F-Talit, Type Super White 115-00, pack size per 1 kg</v>
      </c>
      <c r="F3422" s="6">
        <f>IFERROR(__xludf.DUMMYFUNCTION("""COMPUTED_VALUE"""),2.0)</f>
        <v>2</v>
      </c>
      <c r="G3422" s="6" t="str">
        <f>IFERROR(__xludf.DUMMYFUNCTION("""COMPUTED_VALUE"""),"Can")</f>
        <v>Can</v>
      </c>
      <c r="H3422" s="6" t="str">
        <f>IFERROR(__xludf.DUMMYFUNCTION("""COMPUTED_VALUE"""),"IDR")</f>
        <v>IDR</v>
      </c>
      <c r="I3422" s="6">
        <f>IFERROR(__xludf.DUMMYFUNCTION("""COMPUTED_VALUE"""),80000.0)</f>
        <v>80000</v>
      </c>
      <c r="J3422" s="6">
        <f>IFERROR(__xludf.DUMMYFUNCTION("""COMPUTED_VALUE"""),160000.0)</f>
        <v>160000</v>
      </c>
      <c r="K3422" s="57">
        <f>IFERROR(__xludf.DUMMYFUNCTION("""COMPUTED_VALUE"""),45515.0)</f>
        <v>45515</v>
      </c>
      <c r="L3422" s="6" t="str">
        <f>IFERROR(__xludf.DUMMYFUNCTION("""COMPUTED_VALUE"""),"FIP Engineering")</f>
        <v>FIP Engineering</v>
      </c>
      <c r="M3422" s="6" t="str">
        <f>IFERROR(__xludf.DUMMYFUNCTION("""COMPUTED_VALUE"""),"Mochammad Fadhillah Hakim,")</f>
        <v>Mochammad Fadhillah Hakim,</v>
      </c>
      <c r="N3422" s="6" t="str">
        <f>IFERROR(__xludf.DUMMYFUNCTION("""COMPUTED_VALUE"""),"FIP Engineering")</f>
        <v>FIP Engineering</v>
      </c>
      <c r="O3422" s="6" t="str">
        <f>IFERROR(__xludf.DUMMYFUNCTION("""COMPUTED_VALUE"""),"FIP-DOM-000-11304-OS00001-INA-000000")</f>
        <v>FIP-DOM-000-11304-OS00001-INA-000000</v>
      </c>
      <c r="P3422" s="6" t="str">
        <f>IFERROR(__xludf.DUMMYFUNCTION("""COMPUTED_VALUE"""),"PO Closed")</f>
        <v>PO Closed</v>
      </c>
      <c r="Q3422" s="6" t="str">
        <f>IFERROR(__xludf.DUMMYFUNCTION("""COMPUTED_VALUE"""),"GL2408018")</f>
        <v>GL2408018</v>
      </c>
      <c r="R3422" s="57">
        <f>IFERROR(__xludf.DUMMYFUNCTION("""COMPUTED_VALUE"""),45513.0)</f>
        <v>45513</v>
      </c>
      <c r="S3422" s="57">
        <f>IFERROR(__xludf.DUMMYFUNCTION("""COMPUTED_VALUE"""),45516.0)</f>
        <v>45516</v>
      </c>
      <c r="T3422" s="57">
        <f>IFERROR(__xludf.DUMMYFUNCTION("""COMPUTED_VALUE"""),45523.0)</f>
        <v>45523</v>
      </c>
    </row>
    <row r="3423">
      <c r="A3423" s="6" t="str">
        <f>IFERROR(__xludf.DUMMYFUNCTION("""COMPUTED_VALUE"""),"121701719-3")</f>
        <v>121701719-3</v>
      </c>
      <c r="B3423" s="6" t="str">
        <f>IFERROR(__xludf.DUMMYFUNCTION("""COMPUTED_VALUE"""),"121701719 - APPROVED")</f>
        <v>121701719 - APPROVED</v>
      </c>
      <c r="C3423" s="6">
        <f>IFERROR(__xludf.DUMMYFUNCTION("""COMPUTED_VALUE"""),3.0)</f>
        <v>3</v>
      </c>
      <c r="D3423" s="6" t="str">
        <f>IFERROR(__xludf.DUMMYFUNCTION("""COMPUTED_VALUE"""),"Q-60213-00")</f>
        <v>Q-60213-00</v>
      </c>
      <c r="E3423" s="6" t="str">
        <f>IFERROR(__xludf.DUMMYFUNCTION("""COMPUTED_VALUE"""),"Cat F-Talit KF 125, F-Talit, Type Grass Green, pack size per 1 kg")</f>
        <v>Cat F-Talit KF 125, F-Talit, Type Grass Green, pack size per 1 kg</v>
      </c>
      <c r="F3423" s="6">
        <f>IFERROR(__xludf.DUMMYFUNCTION("""COMPUTED_VALUE"""),8.0)</f>
        <v>8</v>
      </c>
      <c r="G3423" s="6" t="str">
        <f>IFERROR(__xludf.DUMMYFUNCTION("""COMPUTED_VALUE"""),"Can")</f>
        <v>Can</v>
      </c>
      <c r="H3423" s="6" t="str">
        <f>IFERROR(__xludf.DUMMYFUNCTION("""COMPUTED_VALUE"""),"IDR")</f>
        <v>IDR</v>
      </c>
      <c r="I3423" s="6">
        <f>IFERROR(__xludf.DUMMYFUNCTION("""COMPUTED_VALUE"""),90000.0)</f>
        <v>90000</v>
      </c>
      <c r="J3423" s="6">
        <f>IFERROR(__xludf.DUMMYFUNCTION("""COMPUTED_VALUE"""),720000.0)</f>
        <v>720000</v>
      </c>
      <c r="K3423" s="57">
        <f>IFERROR(__xludf.DUMMYFUNCTION("""COMPUTED_VALUE"""),45515.0)</f>
        <v>45515</v>
      </c>
      <c r="L3423" s="6" t="str">
        <f>IFERROR(__xludf.DUMMYFUNCTION("""COMPUTED_VALUE"""),"FIP Engineering")</f>
        <v>FIP Engineering</v>
      </c>
      <c r="M3423" s="6" t="str">
        <f>IFERROR(__xludf.DUMMYFUNCTION("""COMPUTED_VALUE"""),"Mochammad Fadhillah Hakim,")</f>
        <v>Mochammad Fadhillah Hakim,</v>
      </c>
      <c r="N3423" s="6" t="str">
        <f>IFERROR(__xludf.DUMMYFUNCTION("""COMPUTED_VALUE"""),"FIP Engineering")</f>
        <v>FIP Engineering</v>
      </c>
      <c r="O3423" s="6" t="str">
        <f>IFERROR(__xludf.DUMMYFUNCTION("""COMPUTED_VALUE"""),"FIP-DOM-000-11304-OS00001-INA-000000")</f>
        <v>FIP-DOM-000-11304-OS00001-INA-000000</v>
      </c>
      <c r="P3423" s="6" t="str">
        <f>IFERROR(__xludf.DUMMYFUNCTION("""COMPUTED_VALUE"""),"PO Closed")</f>
        <v>PO Closed</v>
      </c>
      <c r="Q3423" s="6" t="str">
        <f>IFERROR(__xludf.DUMMYFUNCTION("""COMPUTED_VALUE"""),"GL2408018")</f>
        <v>GL2408018</v>
      </c>
      <c r="R3423" s="57">
        <f>IFERROR(__xludf.DUMMYFUNCTION("""COMPUTED_VALUE"""),45513.0)</f>
        <v>45513</v>
      </c>
      <c r="S3423" s="57">
        <f>IFERROR(__xludf.DUMMYFUNCTION("""COMPUTED_VALUE"""),45516.0)</f>
        <v>45516</v>
      </c>
      <c r="T3423" s="57">
        <f>IFERROR(__xludf.DUMMYFUNCTION("""COMPUTED_VALUE"""),45523.0)</f>
        <v>45523</v>
      </c>
    </row>
    <row r="3424">
      <c r="A3424" s="6" t="str">
        <f>IFERROR(__xludf.DUMMYFUNCTION("""COMPUTED_VALUE"""),"121701719-4")</f>
        <v>121701719-4</v>
      </c>
      <c r="B3424" s="6" t="str">
        <f>IFERROR(__xludf.DUMMYFUNCTION("""COMPUTED_VALUE"""),"121701719 - APPROVED")</f>
        <v>121701719 - APPROVED</v>
      </c>
      <c r="C3424" s="6">
        <f>IFERROR(__xludf.DUMMYFUNCTION("""COMPUTED_VALUE"""),4.0)</f>
        <v>4</v>
      </c>
      <c r="D3424" s="6" t="str">
        <f>IFERROR(__xludf.DUMMYFUNCTION("""COMPUTED_VALUE"""),"Q-10331-00")</f>
        <v>Q-10331-00</v>
      </c>
      <c r="E3424" s="6" t="str">
        <f>IFERROR(__xludf.DUMMYFUNCTION("""COMPUTED_VALUE"""),"Cat F-Talit Hella Grey KF-611 Netto : 1 kg")</f>
        <v>Cat F-Talit Hella Grey KF-611 Netto : 1 kg</v>
      </c>
      <c r="F3424" s="6">
        <f>IFERROR(__xludf.DUMMYFUNCTION("""COMPUTED_VALUE"""),40.0)</f>
        <v>40</v>
      </c>
      <c r="G3424" s="6" t="str">
        <f>IFERROR(__xludf.DUMMYFUNCTION("""COMPUTED_VALUE"""),"Can")</f>
        <v>Can</v>
      </c>
      <c r="H3424" s="6" t="str">
        <f>IFERROR(__xludf.DUMMYFUNCTION("""COMPUTED_VALUE"""),"IDR")</f>
        <v>IDR</v>
      </c>
      <c r="I3424" s="6">
        <f>IFERROR(__xludf.DUMMYFUNCTION("""COMPUTED_VALUE"""),65000.0)</f>
        <v>65000</v>
      </c>
      <c r="J3424" s="6">
        <f>IFERROR(__xludf.DUMMYFUNCTION("""COMPUTED_VALUE"""),2600000.0)</f>
        <v>2600000</v>
      </c>
      <c r="K3424" s="57">
        <f>IFERROR(__xludf.DUMMYFUNCTION("""COMPUTED_VALUE"""),45515.0)</f>
        <v>45515</v>
      </c>
      <c r="L3424" s="6" t="str">
        <f>IFERROR(__xludf.DUMMYFUNCTION("""COMPUTED_VALUE"""),"FIP Engineering")</f>
        <v>FIP Engineering</v>
      </c>
      <c r="M3424" s="6" t="str">
        <f>IFERROR(__xludf.DUMMYFUNCTION("""COMPUTED_VALUE"""),"Mochammad Fadhillah Hakim,")</f>
        <v>Mochammad Fadhillah Hakim,</v>
      </c>
      <c r="N3424" s="6" t="str">
        <f>IFERROR(__xludf.DUMMYFUNCTION("""COMPUTED_VALUE"""),"FIP Engineering")</f>
        <v>FIP Engineering</v>
      </c>
      <c r="O3424" s="6" t="str">
        <f>IFERROR(__xludf.DUMMYFUNCTION("""COMPUTED_VALUE"""),"FIP-DOM-000-11304-OS00001-INA-000000")</f>
        <v>FIP-DOM-000-11304-OS00001-INA-000000</v>
      </c>
      <c r="P3424" s="6" t="str">
        <f>IFERROR(__xludf.DUMMYFUNCTION("""COMPUTED_VALUE"""),"PO Closed")</f>
        <v>PO Closed</v>
      </c>
      <c r="Q3424" s="6" t="str">
        <f>IFERROR(__xludf.DUMMYFUNCTION("""COMPUTED_VALUE"""),"GL2408018")</f>
        <v>GL2408018</v>
      </c>
      <c r="R3424" s="57">
        <f>IFERROR(__xludf.DUMMYFUNCTION("""COMPUTED_VALUE"""),45513.0)</f>
        <v>45513</v>
      </c>
      <c r="S3424" s="57">
        <f>IFERROR(__xludf.DUMMYFUNCTION("""COMPUTED_VALUE"""),45516.0)</f>
        <v>45516</v>
      </c>
      <c r="T3424" s="57">
        <f>IFERROR(__xludf.DUMMYFUNCTION("""COMPUTED_VALUE"""),45523.0)</f>
        <v>45523</v>
      </c>
    </row>
    <row r="3425">
      <c r="A3425" s="6" t="str">
        <f>IFERROR(__xludf.DUMMYFUNCTION("""COMPUTED_VALUE"""),"121701719-5")</f>
        <v>121701719-5</v>
      </c>
      <c r="B3425" s="6" t="str">
        <f>IFERROR(__xludf.DUMMYFUNCTION("""COMPUTED_VALUE"""),"121701719 - APPROVED")</f>
        <v>121701719 - APPROVED</v>
      </c>
      <c r="C3425" s="6">
        <f>IFERROR(__xludf.DUMMYFUNCTION("""COMPUTED_VALUE"""),5.0)</f>
        <v>5</v>
      </c>
      <c r="D3425" s="6" t="str">
        <f>IFERROR(__xludf.DUMMYFUNCTION("""COMPUTED_VALUE"""),"Q-10128-00")</f>
        <v>Q-10128-00</v>
      </c>
      <c r="E3425" s="6" t="str">
        <f>IFERROR(__xludf.DUMMYFUNCTION("""COMPUTED_VALUE"""),"Thinner Super End/Impala @ 1 Liter")</f>
        <v>Thinner Super End/Impala @ 1 Liter</v>
      </c>
      <c r="F3425" s="6">
        <f>IFERROR(__xludf.DUMMYFUNCTION("""COMPUTED_VALUE"""),30.0)</f>
        <v>30</v>
      </c>
      <c r="G3425" s="6" t="str">
        <f>IFERROR(__xludf.DUMMYFUNCTION("""COMPUTED_VALUE"""),"Pieces")</f>
        <v>Pieces</v>
      </c>
      <c r="H3425" s="6" t="str">
        <f>IFERROR(__xludf.DUMMYFUNCTION("""COMPUTED_VALUE"""),"IDR")</f>
        <v>IDR</v>
      </c>
      <c r="I3425" s="6">
        <f>IFERROR(__xludf.DUMMYFUNCTION("""COMPUTED_VALUE"""),166500.0)</f>
        <v>166500</v>
      </c>
      <c r="J3425" s="6">
        <f>IFERROR(__xludf.DUMMYFUNCTION("""COMPUTED_VALUE"""),4995000.0)</f>
        <v>4995000</v>
      </c>
      <c r="K3425" s="57">
        <f>IFERROR(__xludf.DUMMYFUNCTION("""COMPUTED_VALUE"""),45515.0)</f>
        <v>45515</v>
      </c>
      <c r="L3425" s="6" t="str">
        <f>IFERROR(__xludf.DUMMYFUNCTION("""COMPUTED_VALUE"""),"FIP Engineering")</f>
        <v>FIP Engineering</v>
      </c>
      <c r="M3425" s="6" t="str">
        <f>IFERROR(__xludf.DUMMYFUNCTION("""COMPUTED_VALUE"""),"Mochammad Fadhillah Hakim,")</f>
        <v>Mochammad Fadhillah Hakim,</v>
      </c>
      <c r="N3425" s="6" t="str">
        <f>IFERROR(__xludf.DUMMYFUNCTION("""COMPUTED_VALUE"""),"FIP Engineering")</f>
        <v>FIP Engineering</v>
      </c>
      <c r="O3425" s="6" t="str">
        <f>IFERROR(__xludf.DUMMYFUNCTION("""COMPUTED_VALUE"""),"FIP-DOM-000-11304-OS00001-INA-000000")</f>
        <v>FIP-DOM-000-11304-OS00001-INA-000000</v>
      </c>
      <c r="P3425" s="6" t="str">
        <f>IFERROR(__xludf.DUMMYFUNCTION("""COMPUTED_VALUE"""),"PO Closed")</f>
        <v>PO Closed</v>
      </c>
      <c r="Q3425" s="6" t="str">
        <f>IFERROR(__xludf.DUMMYFUNCTION("""COMPUTED_VALUE"""),"GL2408018")</f>
        <v>GL2408018</v>
      </c>
      <c r="R3425" s="57">
        <f>IFERROR(__xludf.DUMMYFUNCTION("""COMPUTED_VALUE"""),45513.0)</f>
        <v>45513</v>
      </c>
      <c r="S3425" s="57">
        <f>IFERROR(__xludf.DUMMYFUNCTION("""COMPUTED_VALUE"""),45516.0)</f>
        <v>45516</v>
      </c>
      <c r="T3425" s="57">
        <f>IFERROR(__xludf.DUMMYFUNCTION("""COMPUTED_VALUE"""),45523.0)</f>
        <v>45523</v>
      </c>
    </row>
    <row r="3426">
      <c r="A3426" s="6" t="str">
        <f>IFERROR(__xludf.DUMMYFUNCTION("""COMPUTED_VALUE"""),"121701728-1")</f>
        <v>121701728-1</v>
      </c>
      <c r="B3426" s="6" t="str">
        <f>IFERROR(__xludf.DUMMYFUNCTION("""COMPUTED_VALUE"""),"121701728 - APPROVED")</f>
        <v>121701728 - APPROVED</v>
      </c>
      <c r="C3426" s="6">
        <f>IFERROR(__xludf.DUMMYFUNCTION("""COMPUTED_VALUE"""),1.0)</f>
        <v>1</v>
      </c>
      <c r="D3426" s="6" t="str">
        <f>IFERROR(__xludf.DUMMYFUNCTION("""COMPUTED_VALUE"""),"P-19274-00")</f>
        <v>P-19274-00</v>
      </c>
      <c r="E3426" s="6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F3426" s="6">
        <f>IFERROR(__xludf.DUMMYFUNCTION("""COMPUTED_VALUE"""),4.0)</f>
        <v>4</v>
      </c>
      <c r="G3426" s="6" t="str">
        <f>IFERROR(__xludf.DUMMYFUNCTION("""COMPUTED_VALUE"""),"Pieces")</f>
        <v>Pieces</v>
      </c>
      <c r="H3426" s="6" t="str">
        <f>IFERROR(__xludf.DUMMYFUNCTION("""COMPUTED_VALUE"""),"IDR")</f>
        <v>IDR</v>
      </c>
      <c r="I3426" s="6">
        <f>IFERROR(__xludf.DUMMYFUNCTION("""COMPUTED_VALUE"""),4820000.0)</f>
        <v>4820000</v>
      </c>
      <c r="J3426" s="6">
        <f>IFERROR(__xludf.DUMMYFUNCTION("""COMPUTED_VALUE"""),1.928E7)</f>
        <v>19280000</v>
      </c>
      <c r="K3426" s="57">
        <f>IFERROR(__xludf.DUMMYFUNCTION("""COMPUTED_VALUE"""),45519.0)</f>
        <v>45519</v>
      </c>
      <c r="L3426" s="6" t="str">
        <f>IFERROR(__xludf.DUMMYFUNCTION("""COMPUTED_VALUE"""),"FIP Engineering")</f>
        <v>FIP Engineering</v>
      </c>
      <c r="M3426" s="6" t="str">
        <f>IFERROR(__xludf.DUMMYFUNCTION("""COMPUTED_VALUE"""),"Mochammad Fadhillah Hakim,")</f>
        <v>Mochammad Fadhillah Hakim,</v>
      </c>
      <c r="N3426" s="6" t="str">
        <f>IFERROR(__xludf.DUMMYFUNCTION("""COMPUTED_VALUE"""),"FIP Engineering")</f>
        <v>FIP Engineering</v>
      </c>
      <c r="O3426" s="6" t="str">
        <f>IFERROR(__xludf.DUMMYFUNCTION("""COMPUTED_VALUE"""),"FIP-DOM-000-11304-OS00001-INA-000000")</f>
        <v>FIP-DOM-000-11304-OS00001-INA-000000</v>
      </c>
      <c r="P3426" s="6" t="str">
        <f>IFERROR(__xludf.DUMMYFUNCTION("""COMPUTED_VALUE"""),"PO Closed")</f>
        <v>PO Closed</v>
      </c>
      <c r="Q3426" s="6" t="str">
        <f>IFERROR(__xludf.DUMMYFUNCTION("""COMPUTED_VALUE"""),"GL2409031")</f>
        <v>GL2409031</v>
      </c>
      <c r="R3426" s="57">
        <f>IFERROR(__xludf.DUMMYFUNCTION("""COMPUTED_VALUE"""),45517.0)</f>
        <v>45517</v>
      </c>
      <c r="S3426" s="57">
        <f>IFERROR(__xludf.DUMMYFUNCTION("""COMPUTED_VALUE"""),45518.0)</f>
        <v>45518</v>
      </c>
      <c r="T3426" s="57">
        <f>IFERROR(__xludf.DUMMYFUNCTION("""COMPUTED_VALUE"""),45591.0)</f>
        <v>45591</v>
      </c>
    </row>
    <row r="3427">
      <c r="A3427" s="6" t="str">
        <f>IFERROR(__xludf.DUMMYFUNCTION("""COMPUTED_VALUE"""),"121701729-1")</f>
        <v>121701729-1</v>
      </c>
      <c r="B3427" s="6" t="str">
        <f>IFERROR(__xludf.DUMMYFUNCTION("""COMPUTED_VALUE"""),"121701729 - APPROVED")</f>
        <v>121701729 - APPROVED</v>
      </c>
      <c r="C3427" s="6">
        <f>IFERROR(__xludf.DUMMYFUNCTION("""COMPUTED_VALUE"""),1.0)</f>
        <v>1</v>
      </c>
      <c r="D3427" s="6" t="str">
        <f>IFERROR(__xludf.DUMMYFUNCTION("""COMPUTED_VALUE"""),"S-60002-00")</f>
        <v>S-60002-00</v>
      </c>
      <c r="E3427" s="6" t="str">
        <f>IFERROR(__xludf.DUMMYFUNCTION("""COMPUTED_VALUE"""),"Jasa Perbaikan dan Pemeliharaan Mesin Utility")</f>
        <v>Jasa Perbaikan dan Pemeliharaan Mesin Utility</v>
      </c>
      <c r="F3427" s="6">
        <f>IFERROR(__xludf.DUMMYFUNCTION("""COMPUTED_VALUE"""),1.0)</f>
        <v>1</v>
      </c>
      <c r="G3427" s="6" t="str">
        <f>IFERROR(__xludf.DUMMYFUNCTION("""COMPUTED_VALUE"""),"Lot")</f>
        <v>Lot</v>
      </c>
      <c r="H3427" s="6" t="str">
        <f>IFERROR(__xludf.DUMMYFUNCTION("""COMPUTED_VALUE"""),"IDR")</f>
        <v>IDR</v>
      </c>
      <c r="I3427" s="6">
        <f>IFERROR(__xludf.DUMMYFUNCTION("""COMPUTED_VALUE"""),1.075E7)</f>
        <v>10750000</v>
      </c>
      <c r="J3427" s="6">
        <f>IFERROR(__xludf.DUMMYFUNCTION("""COMPUTED_VALUE"""),1.075E7)</f>
        <v>10750000</v>
      </c>
      <c r="K3427" s="57">
        <f>IFERROR(__xludf.DUMMYFUNCTION("""COMPUTED_VALUE"""),45520.0)</f>
        <v>45520</v>
      </c>
      <c r="L3427" s="6" t="str">
        <f>IFERROR(__xludf.DUMMYFUNCTION("""COMPUTED_VALUE"""),"FIP General")</f>
        <v>FIP General</v>
      </c>
      <c r="M3427" s="6" t="str">
        <f>IFERROR(__xludf.DUMMYFUNCTION("""COMPUTED_VALUE"""),"Mochammad Fadhillah Hakim,")</f>
        <v>Mochammad Fadhillah Hakim,</v>
      </c>
      <c r="N3427" s="6" t="str">
        <f>IFERROR(__xludf.DUMMYFUNCTION("""COMPUTED_VALUE"""),"FIP Engineering")</f>
        <v>FIP Engineering</v>
      </c>
      <c r="O3427" s="6" t="str">
        <f>IFERROR(__xludf.DUMMYFUNCTION("""COMPUTED_VALUE"""),"FIP-DOM-ENG-51508-0000000-INA-000000")</f>
        <v>FIP-DOM-ENG-51508-0000000-INA-000000</v>
      </c>
      <c r="P3427" s="6" t="str">
        <f>IFERROR(__xludf.DUMMYFUNCTION("""COMPUTED_VALUE"""),"PO Closed")</f>
        <v>PO Closed</v>
      </c>
      <c r="Q3427" s="6"/>
      <c r="R3427" s="57">
        <f>IFERROR(__xludf.DUMMYFUNCTION("""COMPUTED_VALUE"""),45518.0)</f>
        <v>45518</v>
      </c>
      <c r="S3427" s="57">
        <f>IFERROR(__xludf.DUMMYFUNCTION("""COMPUTED_VALUE"""),45526.0)</f>
        <v>45526</v>
      </c>
      <c r="T3427" s="6"/>
    </row>
    <row r="3428">
      <c r="A3428" s="6" t="str">
        <f>IFERROR(__xludf.DUMMYFUNCTION("""COMPUTED_VALUE"""),"121701730-1")</f>
        <v>121701730-1</v>
      </c>
      <c r="B3428" s="6" t="str">
        <f>IFERROR(__xludf.DUMMYFUNCTION("""COMPUTED_VALUE"""),"121701730 - APPROVED")</f>
        <v>121701730 - APPROVED</v>
      </c>
      <c r="C3428" s="6">
        <f>IFERROR(__xludf.DUMMYFUNCTION("""COMPUTED_VALUE"""),1.0)</f>
        <v>1</v>
      </c>
      <c r="D3428" s="6"/>
      <c r="E3428" s="6" t="str">
        <f>IFERROR(__xludf.DUMMYFUNCTION("""COMPUTED_VALUE"""),"Jet Washer High Pressure Cleaner Home Use 130 Bar")</f>
        <v>Jet Washer High Pressure Cleaner Home Use 130 Bar</v>
      </c>
      <c r="F3428" s="6">
        <f>IFERROR(__xludf.DUMMYFUNCTION("""COMPUTED_VALUE"""),1.0)</f>
        <v>1</v>
      </c>
      <c r="G3428" s="6" t="str">
        <f>IFERROR(__xludf.DUMMYFUNCTION("""COMPUTED_VALUE"""),"Unit")</f>
        <v>Unit</v>
      </c>
      <c r="H3428" s="6" t="str">
        <f>IFERROR(__xludf.DUMMYFUNCTION("""COMPUTED_VALUE"""),"IDR")</f>
        <v>IDR</v>
      </c>
      <c r="I3428" s="6">
        <f>IFERROR(__xludf.DUMMYFUNCTION("""COMPUTED_VALUE"""),1809000.0)</f>
        <v>1809000</v>
      </c>
      <c r="J3428" s="6">
        <f>IFERROR(__xludf.DUMMYFUNCTION("""COMPUTED_VALUE"""),1809000.0)</f>
        <v>1809000</v>
      </c>
      <c r="K3428" s="57">
        <f>IFERROR(__xludf.DUMMYFUNCTION("""COMPUTED_VALUE"""),45520.0)</f>
        <v>45520</v>
      </c>
      <c r="L3428" s="6" t="str">
        <f>IFERROR(__xludf.DUMMYFUNCTION("""COMPUTED_VALUE"""),"FIP General")</f>
        <v>FIP General</v>
      </c>
      <c r="M3428" s="6" t="str">
        <f>IFERROR(__xludf.DUMMYFUNCTION("""COMPUTED_VALUE"""),"Mochammad Fadhillah Hakim,")</f>
        <v>Mochammad Fadhillah Hakim,</v>
      </c>
      <c r="N3428" s="6" t="str">
        <f>IFERROR(__xludf.DUMMYFUNCTION("""COMPUTED_VALUE"""),"FIP Engineering")</f>
        <v>FIP Engineering</v>
      </c>
      <c r="O3428" s="6" t="str">
        <f>IFERROR(__xludf.DUMMYFUNCTION("""COMPUTED_VALUE"""),"FIP-DOM-ENG-13409-MC24018-INA-000000")</f>
        <v>FIP-DOM-ENG-13409-MC24018-INA-000000</v>
      </c>
      <c r="P3428" s="6" t="str">
        <f>IFERROR(__xludf.DUMMYFUNCTION("""COMPUTED_VALUE"""),"PO Closed")</f>
        <v>PO Closed</v>
      </c>
      <c r="Q3428" s="6" t="str">
        <f>IFERROR(__xludf.DUMMYFUNCTION("""COMPUTED_VALUE"""),"GL2410016")</f>
        <v>GL2410016</v>
      </c>
      <c r="R3428" s="57">
        <f>IFERROR(__xludf.DUMMYFUNCTION("""COMPUTED_VALUE"""),45518.0)</f>
        <v>45518</v>
      </c>
      <c r="S3428" s="57">
        <f>IFERROR(__xludf.DUMMYFUNCTION("""COMPUTED_VALUE"""),45518.0)</f>
        <v>45518</v>
      </c>
      <c r="T3428" s="57">
        <f>IFERROR(__xludf.DUMMYFUNCTION("""COMPUTED_VALUE"""),45632.0)</f>
        <v>45632</v>
      </c>
    </row>
    <row r="3429">
      <c r="A3429" s="6" t="str">
        <f>IFERROR(__xludf.DUMMYFUNCTION("""COMPUTED_VALUE"""),"121701732-1")</f>
        <v>121701732-1</v>
      </c>
      <c r="B3429" s="6" t="str">
        <f>IFERROR(__xludf.DUMMYFUNCTION("""COMPUTED_VALUE"""),"121701732 - APPROVED")</f>
        <v>121701732 - APPROVED</v>
      </c>
      <c r="C3429" s="6">
        <f>IFERROR(__xludf.DUMMYFUNCTION("""COMPUTED_VALUE"""),1.0)</f>
        <v>1</v>
      </c>
      <c r="D3429" s="6"/>
      <c r="E3429" s="6" t="str">
        <f>IFERROR(__xludf.DUMMYFUNCTION("""COMPUTED_VALUE"""),"Vacuum Cleaner Ryu (UN) RVC 15 3 in 1 Wet &amp; Dry &amp; Blow")</f>
        <v>Vacuum Cleaner Ryu (UN) RVC 15 3 in 1 Wet &amp; Dry &amp; Blow</v>
      </c>
      <c r="F3429" s="6">
        <f>IFERROR(__xludf.DUMMYFUNCTION("""COMPUTED_VALUE"""),1.0)</f>
        <v>1</v>
      </c>
      <c r="G3429" s="6" t="str">
        <f>IFERROR(__xludf.DUMMYFUNCTION("""COMPUTED_VALUE"""),"Unit")</f>
        <v>Unit</v>
      </c>
      <c r="H3429" s="6" t="str">
        <f>IFERROR(__xludf.DUMMYFUNCTION("""COMPUTED_VALUE"""),"IDR")</f>
        <v>IDR</v>
      </c>
      <c r="I3429" s="6">
        <f>IFERROR(__xludf.DUMMYFUNCTION("""COMPUTED_VALUE"""),735000.0)</f>
        <v>735000</v>
      </c>
      <c r="J3429" s="6">
        <f>IFERROR(__xludf.DUMMYFUNCTION("""COMPUTED_VALUE"""),735000.0)</f>
        <v>735000</v>
      </c>
      <c r="K3429" s="57">
        <f>IFERROR(__xludf.DUMMYFUNCTION("""COMPUTED_VALUE"""),45521.0)</f>
        <v>45521</v>
      </c>
      <c r="L3429" s="6" t="str">
        <f>IFERROR(__xludf.DUMMYFUNCTION("""COMPUTED_VALUE"""),"FIP General")</f>
        <v>FIP General</v>
      </c>
      <c r="M3429" s="6" t="str">
        <f>IFERROR(__xludf.DUMMYFUNCTION("""COMPUTED_VALUE"""),"Mochammad Fadhillah Hakim,")</f>
        <v>Mochammad Fadhillah Hakim,</v>
      </c>
      <c r="N3429" s="6" t="str">
        <f>IFERROR(__xludf.DUMMYFUNCTION("""COMPUTED_VALUE"""),"FIP Engineering")</f>
        <v>FIP Engineering</v>
      </c>
      <c r="O3429" s="6" t="str">
        <f>IFERROR(__xludf.DUMMYFUNCTION("""COMPUTED_VALUE"""),"FIP-DOM-ENG-13409-MC24018-INA-000000")</f>
        <v>FIP-DOM-ENG-13409-MC24018-INA-000000</v>
      </c>
      <c r="P3429" s="6" t="str">
        <f>IFERROR(__xludf.DUMMYFUNCTION("""COMPUTED_VALUE"""),"PO Closed")</f>
        <v>PO Closed</v>
      </c>
      <c r="Q3429" s="6" t="str">
        <f>IFERROR(__xludf.DUMMYFUNCTION("""COMPUTED_VALUE"""),"GL2410010")</f>
        <v>GL2410010</v>
      </c>
      <c r="R3429" s="57">
        <f>IFERROR(__xludf.DUMMYFUNCTION("""COMPUTED_VALUE"""),45519.0)</f>
        <v>45519</v>
      </c>
      <c r="S3429" s="57">
        <f>IFERROR(__xludf.DUMMYFUNCTION("""COMPUTED_VALUE"""),45519.0)</f>
        <v>45519</v>
      </c>
      <c r="T3429" s="57">
        <f>IFERROR(__xludf.DUMMYFUNCTION("""COMPUTED_VALUE"""),45632.0)</f>
        <v>45632</v>
      </c>
    </row>
    <row r="3430">
      <c r="A3430" s="6" t="str">
        <f>IFERROR(__xludf.DUMMYFUNCTION("""COMPUTED_VALUE"""),"121701734-1")</f>
        <v>121701734-1</v>
      </c>
      <c r="B3430" s="6" t="str">
        <f>IFERROR(__xludf.DUMMYFUNCTION("""COMPUTED_VALUE"""),"121701734 - APPROVED")</f>
        <v>121701734 - APPROVED</v>
      </c>
      <c r="C3430" s="6">
        <f>IFERROR(__xludf.DUMMYFUNCTION("""COMPUTED_VALUE"""),1.0)</f>
        <v>1</v>
      </c>
      <c r="D3430" s="6" t="str">
        <f>IFERROR(__xludf.DUMMYFUNCTION("""COMPUTED_VALUE"""),"S-20055-00")</f>
        <v>S-20055-00</v>
      </c>
      <c r="E3430" s="6" t="str">
        <f>IFERROR(__xludf.DUMMYFUNCTION("""COMPUTED_VALUE"""),"Sarung Tangan Promaster")</f>
        <v>Sarung Tangan Promaster</v>
      </c>
      <c r="F3430" s="6">
        <f>IFERROR(__xludf.DUMMYFUNCTION("""COMPUTED_VALUE"""),6.0)</f>
        <v>6</v>
      </c>
      <c r="G3430" s="6" t="str">
        <f>IFERROR(__xludf.DUMMYFUNCTION("""COMPUTED_VALUE"""),"Box")</f>
        <v>Box</v>
      </c>
      <c r="H3430" s="6" t="str">
        <f>IFERROR(__xludf.DUMMYFUNCTION("""COMPUTED_VALUE"""),"IDR")</f>
        <v>IDR</v>
      </c>
      <c r="I3430" s="6">
        <f>IFERROR(__xludf.DUMMYFUNCTION("""COMPUTED_VALUE"""),125000.0)</f>
        <v>125000</v>
      </c>
      <c r="J3430" s="6">
        <f>IFERROR(__xludf.DUMMYFUNCTION("""COMPUTED_VALUE"""),750000.0)</f>
        <v>750000</v>
      </c>
      <c r="K3430" s="57">
        <f>IFERROR(__xludf.DUMMYFUNCTION("""COMPUTED_VALUE"""),45521.0)</f>
        <v>45521</v>
      </c>
      <c r="L3430" s="6" t="str">
        <f>IFERROR(__xludf.DUMMYFUNCTION("""COMPUTED_VALUE"""),"FIP General")</f>
        <v>FIP General</v>
      </c>
      <c r="M3430" s="6" t="str">
        <f>IFERROR(__xludf.DUMMYFUNCTION("""COMPUTED_VALUE"""),"Mochammad Fadhillah Hakim,")</f>
        <v>Mochammad Fadhillah Hakim,</v>
      </c>
      <c r="N3430" s="6" t="str">
        <f>IFERROR(__xludf.DUMMYFUNCTION("""COMPUTED_VALUE"""),"FIP Engineering")</f>
        <v>FIP Engineering</v>
      </c>
      <c r="O3430" s="6" t="str">
        <f>IFERROR(__xludf.DUMMYFUNCTION("""COMPUTED_VALUE"""),"FIP-DOM-ENG-51202-0000000-INA-000000")</f>
        <v>FIP-DOM-ENG-51202-0000000-INA-000000</v>
      </c>
      <c r="P3430" s="6" t="str">
        <f>IFERROR(__xludf.DUMMYFUNCTION("""COMPUTED_VALUE"""),"PO Closed")</f>
        <v>PO Closed</v>
      </c>
      <c r="Q3430" s="6" t="str">
        <f>IFERROR(__xludf.DUMMYFUNCTION("""COMPUTED_VALUE"""),"GL2408017")</f>
        <v>GL2408017</v>
      </c>
      <c r="R3430" s="57">
        <f>IFERROR(__xludf.DUMMYFUNCTION("""COMPUTED_VALUE"""),45519.0)</f>
        <v>45519</v>
      </c>
      <c r="S3430" s="57">
        <f>IFERROR(__xludf.DUMMYFUNCTION("""COMPUTED_VALUE"""),45519.0)</f>
        <v>45519</v>
      </c>
      <c r="T3430" s="57">
        <f>IFERROR(__xludf.DUMMYFUNCTION("""COMPUTED_VALUE"""),45534.0)</f>
        <v>45534</v>
      </c>
    </row>
    <row r="3431">
      <c r="A3431" s="6" t="str">
        <f>IFERROR(__xludf.DUMMYFUNCTION("""COMPUTED_VALUE"""),"121701737-1")</f>
        <v>121701737-1</v>
      </c>
      <c r="B3431" s="6" t="str">
        <f>IFERROR(__xludf.DUMMYFUNCTION("""COMPUTED_VALUE"""),"121701737 - APPROVED")</f>
        <v>121701737 - APPROVED</v>
      </c>
      <c r="C3431" s="6">
        <f>IFERROR(__xludf.DUMMYFUNCTION("""COMPUTED_VALUE"""),1.0)</f>
        <v>1</v>
      </c>
      <c r="D3431" s="6" t="str">
        <f>IFERROR(__xludf.DUMMYFUNCTION("""COMPUTED_VALUE"""),"S-46550-00")</f>
        <v>S-46550-00</v>
      </c>
      <c r="E3431" s="6" t="str">
        <f>IFERROR(__xludf.DUMMYFUNCTION("""COMPUTED_VALUE"""),"Ladder with Cushion Foam 4 Step BLKYS2462P; Krisbow; 294499;")</f>
        <v>Ladder with Cushion Foam 4 Step BLKYS2462P; Krisbow; 294499;</v>
      </c>
      <c r="F3431" s="6">
        <f>IFERROR(__xludf.DUMMYFUNCTION("""COMPUTED_VALUE"""),1.0)</f>
        <v>1</v>
      </c>
      <c r="G3431" s="6" t="str">
        <f>IFERROR(__xludf.DUMMYFUNCTION("""COMPUTED_VALUE"""),"Pieces")</f>
        <v>Pieces</v>
      </c>
      <c r="H3431" s="6" t="str">
        <f>IFERROR(__xludf.DUMMYFUNCTION("""COMPUTED_VALUE"""),"IDR")</f>
        <v>IDR</v>
      </c>
      <c r="I3431" s="6">
        <f>IFERROR(__xludf.DUMMYFUNCTION("""COMPUTED_VALUE"""),880000.0)</f>
        <v>880000</v>
      </c>
      <c r="J3431" s="6">
        <f>IFERROR(__xludf.DUMMYFUNCTION("""COMPUTED_VALUE"""),880000.0)</f>
        <v>880000</v>
      </c>
      <c r="K3431" s="57">
        <f>IFERROR(__xludf.DUMMYFUNCTION("""COMPUTED_VALUE"""),45525.0)</f>
        <v>45525</v>
      </c>
      <c r="L3431" s="6" t="str">
        <f>IFERROR(__xludf.DUMMYFUNCTION("""COMPUTED_VALUE"""),"FIP General")</f>
        <v>FIP General</v>
      </c>
      <c r="M3431" s="6" t="str">
        <f>IFERROR(__xludf.DUMMYFUNCTION("""COMPUTED_VALUE"""),"Mochammad Fadhillah Hakim,")</f>
        <v>Mochammad Fadhillah Hakim,</v>
      </c>
      <c r="N3431" s="6" t="str">
        <f>IFERROR(__xludf.DUMMYFUNCTION("""COMPUTED_VALUE"""),"FIP Engineering")</f>
        <v>FIP Engineering</v>
      </c>
      <c r="O3431" s="6" t="str">
        <f>IFERROR(__xludf.DUMMYFUNCTION("""COMPUTED_VALUE"""),"FIP-DOM-ENG-51404-0000000-INA-000000")</f>
        <v>FIP-DOM-ENG-51404-0000000-INA-000000</v>
      </c>
      <c r="P3431" s="6" t="str">
        <f>IFERROR(__xludf.DUMMYFUNCTION("""COMPUTED_VALUE"""),"PO Closed")</f>
        <v>PO Closed</v>
      </c>
      <c r="Q3431" s="6" t="str">
        <f>IFERROR(__xludf.DUMMYFUNCTION("""COMPUTED_VALUE"""),"GL2408054")</f>
        <v>GL2408054</v>
      </c>
      <c r="R3431" s="57">
        <f>IFERROR(__xludf.DUMMYFUNCTION("""COMPUTED_VALUE"""),45523.0)</f>
        <v>45523</v>
      </c>
      <c r="S3431" s="57">
        <f>IFERROR(__xludf.DUMMYFUNCTION("""COMPUTED_VALUE"""),45524.0)</f>
        <v>45524</v>
      </c>
      <c r="T3431" s="57">
        <f>IFERROR(__xludf.DUMMYFUNCTION("""COMPUTED_VALUE"""),45551.0)</f>
        <v>45551</v>
      </c>
    </row>
    <row r="3432">
      <c r="A3432" s="6" t="str">
        <f>IFERROR(__xludf.DUMMYFUNCTION("""COMPUTED_VALUE"""),"121701738-1")</f>
        <v>121701738-1</v>
      </c>
      <c r="B3432" s="6" t="str">
        <f>IFERROR(__xludf.DUMMYFUNCTION("""COMPUTED_VALUE"""),"121701738 - APPROVED")</f>
        <v>121701738 - APPROVED</v>
      </c>
      <c r="C3432" s="6">
        <f>IFERROR(__xludf.DUMMYFUNCTION("""COMPUTED_VALUE"""),1.0)</f>
        <v>1</v>
      </c>
      <c r="D3432" s="6" t="str">
        <f>IFERROR(__xludf.DUMMYFUNCTION("""COMPUTED_VALUE"""),"S-62003-00")</f>
        <v>S-62003-00</v>
      </c>
      <c r="E3432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32" s="6">
        <f>IFERROR(__xludf.DUMMYFUNCTION("""COMPUTED_VALUE"""),1.0)</f>
        <v>1</v>
      </c>
      <c r="G3432" s="6" t="str">
        <f>IFERROR(__xludf.DUMMYFUNCTION("""COMPUTED_VALUE"""),"Tube")</f>
        <v>Tube</v>
      </c>
      <c r="H3432" s="6" t="str">
        <f>IFERROR(__xludf.DUMMYFUNCTION("""COMPUTED_VALUE"""),"IDR")</f>
        <v>IDR</v>
      </c>
      <c r="I3432" s="6">
        <f>IFERROR(__xludf.DUMMYFUNCTION("""COMPUTED_VALUE"""),790000.0)</f>
        <v>790000</v>
      </c>
      <c r="J3432" s="6">
        <f>IFERROR(__xludf.DUMMYFUNCTION("""COMPUTED_VALUE"""),790000.0)</f>
        <v>790000</v>
      </c>
      <c r="K3432" s="57">
        <f>IFERROR(__xludf.DUMMYFUNCTION("""COMPUTED_VALUE"""),45526.0)</f>
        <v>45526</v>
      </c>
      <c r="L3432" s="6" t="str">
        <f>IFERROR(__xludf.DUMMYFUNCTION("""COMPUTED_VALUE"""),"FIP General")</f>
        <v>FIP General</v>
      </c>
      <c r="M3432" s="6" t="str">
        <f>IFERROR(__xludf.DUMMYFUNCTION("""COMPUTED_VALUE"""),"Mochammad Fadhillah Hakim,")</f>
        <v>Mochammad Fadhillah Hakim,</v>
      </c>
      <c r="N3432" s="6" t="str">
        <f>IFERROR(__xludf.DUMMYFUNCTION("""COMPUTED_VALUE"""),"FIP Engineering")</f>
        <v>FIP Engineering</v>
      </c>
      <c r="O3432" s="6" t="str">
        <f>IFERROR(__xludf.DUMMYFUNCTION("""COMPUTED_VALUE"""),"FIP-DOM-ENG-51409-0000000-INA-000000")</f>
        <v>FIP-DOM-ENG-51409-0000000-INA-000000</v>
      </c>
      <c r="P3432" s="6" t="str">
        <f>IFERROR(__xludf.DUMMYFUNCTION("""COMPUTED_VALUE"""),"PO Closed")</f>
        <v>PO Closed</v>
      </c>
      <c r="Q3432" s="6" t="str">
        <f>IFERROR(__xludf.DUMMYFUNCTION("""COMPUTED_VALUE"""),"GL2409431")</f>
        <v>GL2409431</v>
      </c>
      <c r="R3432" s="57">
        <f>IFERROR(__xludf.DUMMYFUNCTION("""COMPUTED_VALUE"""),45524.0)</f>
        <v>45524</v>
      </c>
      <c r="S3432" s="57">
        <f>IFERROR(__xludf.DUMMYFUNCTION("""COMPUTED_VALUE"""),45524.0)</f>
        <v>45524</v>
      </c>
      <c r="T3432" s="57">
        <f>IFERROR(__xludf.DUMMYFUNCTION("""COMPUTED_VALUE"""),45545.0)</f>
        <v>45545</v>
      </c>
    </row>
    <row r="3433">
      <c r="A3433" s="6" t="str">
        <f>IFERROR(__xludf.DUMMYFUNCTION("""COMPUTED_VALUE"""),"121701743-1")</f>
        <v>121701743-1</v>
      </c>
      <c r="B3433" s="6" t="str">
        <f>IFERROR(__xludf.DUMMYFUNCTION("""COMPUTED_VALUE"""),"121701743 - APPROVED")</f>
        <v>121701743 - APPROVED</v>
      </c>
      <c r="C3433" s="6">
        <f>IFERROR(__xludf.DUMMYFUNCTION("""COMPUTED_VALUE"""),1.0)</f>
        <v>1</v>
      </c>
      <c r="D3433" s="6" t="str">
        <f>IFERROR(__xludf.DUMMYFUNCTION("""COMPUTED_VALUE"""),"P-52999-00")</f>
        <v>P-52999-00</v>
      </c>
      <c r="E3433" s="6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F3433" s="6">
        <f>IFERROR(__xludf.DUMMYFUNCTION("""COMPUTED_VALUE"""),1.0)</f>
        <v>1</v>
      </c>
      <c r="G3433" s="6" t="str">
        <f>IFERROR(__xludf.DUMMYFUNCTION("""COMPUTED_VALUE"""),"Pieces")</f>
        <v>Pieces</v>
      </c>
      <c r="H3433" s="6" t="str">
        <f>IFERROR(__xludf.DUMMYFUNCTION("""COMPUTED_VALUE"""),"IDR")</f>
        <v>IDR</v>
      </c>
      <c r="I3433" s="6">
        <f>IFERROR(__xludf.DUMMYFUNCTION("""COMPUTED_VALUE"""),2.46E7)</f>
        <v>24600000</v>
      </c>
      <c r="J3433" s="6">
        <f>IFERROR(__xludf.DUMMYFUNCTION("""COMPUTED_VALUE"""),2.46E7)</f>
        <v>24600000</v>
      </c>
      <c r="K3433" s="57">
        <f>IFERROR(__xludf.DUMMYFUNCTION("""COMPUTED_VALUE"""),45527.0)</f>
        <v>45527</v>
      </c>
      <c r="L3433" s="6" t="str">
        <f>IFERROR(__xludf.DUMMYFUNCTION("""COMPUTED_VALUE"""),"FIP Engineering")</f>
        <v>FIP Engineering</v>
      </c>
      <c r="M3433" s="6" t="str">
        <f>IFERROR(__xludf.DUMMYFUNCTION("""COMPUTED_VALUE"""),"Mochammad Fadhillah Hakim,")</f>
        <v>Mochammad Fadhillah Hakim,</v>
      </c>
      <c r="N3433" s="6" t="str">
        <f>IFERROR(__xludf.DUMMYFUNCTION("""COMPUTED_VALUE"""),"FIP Engineering")</f>
        <v>FIP Engineering</v>
      </c>
      <c r="O3433" s="6" t="str">
        <f>IFERROR(__xludf.DUMMYFUNCTION("""COMPUTED_VALUE"""),"FIP-DOM-000-11304-OS00001-INA-000000")</f>
        <v>FIP-DOM-000-11304-OS00001-INA-000000</v>
      </c>
      <c r="P3433" s="6" t="str">
        <f>IFERROR(__xludf.DUMMYFUNCTION("""COMPUTED_VALUE"""),"PO Closed")</f>
        <v>PO Closed</v>
      </c>
      <c r="Q3433" s="6" t="str">
        <f>IFERROR(__xludf.DUMMYFUNCTION("""COMPUTED_VALUE"""),"GL2408046")</f>
        <v>GL2408046</v>
      </c>
      <c r="R3433" s="57">
        <f>IFERROR(__xludf.DUMMYFUNCTION("""COMPUTED_VALUE"""),45525.0)</f>
        <v>45525</v>
      </c>
      <c r="S3433" s="57">
        <f>IFERROR(__xludf.DUMMYFUNCTION("""COMPUTED_VALUE"""),45527.0)</f>
        <v>45527</v>
      </c>
      <c r="T3433" s="57">
        <f>IFERROR(__xludf.DUMMYFUNCTION("""COMPUTED_VALUE"""),45565.0)</f>
        <v>45565</v>
      </c>
    </row>
    <row r="3434">
      <c r="A3434" s="6" t="str">
        <f>IFERROR(__xludf.DUMMYFUNCTION("""COMPUTED_VALUE"""),"121701744-1")</f>
        <v>121701744-1</v>
      </c>
      <c r="B3434" s="6" t="str">
        <f>IFERROR(__xludf.DUMMYFUNCTION("""COMPUTED_VALUE"""),"121701744 - APPROVED")</f>
        <v>121701744 - APPROVED</v>
      </c>
      <c r="C3434" s="6">
        <f>IFERROR(__xludf.DUMMYFUNCTION("""COMPUTED_VALUE"""),1.0)</f>
        <v>1</v>
      </c>
      <c r="D3434" s="6" t="str">
        <f>IFERROR(__xludf.DUMMYFUNCTION("""COMPUTED_VALUE"""),"P-17645-00")</f>
        <v>P-17645-00</v>
      </c>
      <c r="E3434" s="6" t="str">
        <f>IFERROR(__xludf.DUMMYFUNCTION("""COMPUTED_VALUE"""),"Sodium Hiphoclorite; ; ; ltr")</f>
        <v>Sodium Hiphoclorite; ; ; ltr</v>
      </c>
      <c r="F3434" s="6">
        <f>IFERROR(__xludf.DUMMYFUNCTION("""COMPUTED_VALUE"""),60.0)</f>
        <v>60</v>
      </c>
      <c r="G3434" s="6" t="str">
        <f>IFERROR(__xludf.DUMMYFUNCTION("""COMPUTED_VALUE"""),"Liter")</f>
        <v>Liter</v>
      </c>
      <c r="H3434" s="6" t="str">
        <f>IFERROR(__xludf.DUMMYFUNCTION("""COMPUTED_VALUE"""),"IDR")</f>
        <v>IDR</v>
      </c>
      <c r="I3434" s="6">
        <f>IFERROR(__xludf.DUMMYFUNCTION("""COMPUTED_VALUE"""),5000.0)</f>
        <v>5000</v>
      </c>
      <c r="J3434" s="6">
        <f>IFERROR(__xludf.DUMMYFUNCTION("""COMPUTED_VALUE"""),300000.0)</f>
        <v>300000</v>
      </c>
      <c r="K3434" s="57">
        <f>IFERROR(__xludf.DUMMYFUNCTION("""COMPUTED_VALUE"""),45528.0)</f>
        <v>45528</v>
      </c>
      <c r="L3434" s="6" t="str">
        <f>IFERROR(__xludf.DUMMYFUNCTION("""COMPUTED_VALUE"""),"FIP Engineering")</f>
        <v>FIP Engineering</v>
      </c>
      <c r="M3434" s="6" t="str">
        <f>IFERROR(__xludf.DUMMYFUNCTION("""COMPUTED_VALUE"""),"Mochammad Fadhillah Hakim,")</f>
        <v>Mochammad Fadhillah Hakim,</v>
      </c>
      <c r="N3434" s="6" t="str">
        <f>IFERROR(__xludf.DUMMYFUNCTION("""COMPUTED_VALUE"""),"FIP Engineering")</f>
        <v>FIP Engineering</v>
      </c>
      <c r="O3434" s="6" t="str">
        <f>IFERROR(__xludf.DUMMYFUNCTION("""COMPUTED_VALUE"""),"FIP-DOM-000-11304-OS00001-INA-000000")</f>
        <v>FIP-DOM-000-11304-OS00001-INA-000000</v>
      </c>
      <c r="P3434" s="6" t="str">
        <f>IFERROR(__xludf.DUMMYFUNCTION("""COMPUTED_VALUE"""),"PO Closed")</f>
        <v>PO Closed</v>
      </c>
      <c r="Q3434" s="6" t="str">
        <f>IFERROR(__xludf.DUMMYFUNCTION("""COMPUTED_VALUE"""),"GL2409024")</f>
        <v>GL2409024</v>
      </c>
      <c r="R3434" s="57">
        <f>IFERROR(__xludf.DUMMYFUNCTION("""COMPUTED_VALUE"""),45526.0)</f>
        <v>45526</v>
      </c>
      <c r="S3434" s="57">
        <f>IFERROR(__xludf.DUMMYFUNCTION("""COMPUTED_VALUE"""),45526.0)</f>
        <v>45526</v>
      </c>
      <c r="T3434" s="57">
        <f>IFERROR(__xludf.DUMMYFUNCTION("""COMPUTED_VALUE"""),45591.0)</f>
        <v>45591</v>
      </c>
    </row>
    <row r="3435">
      <c r="A3435" s="6" t="str">
        <f>IFERROR(__xludf.DUMMYFUNCTION("""COMPUTED_VALUE"""),"121701744-2")</f>
        <v>121701744-2</v>
      </c>
      <c r="B3435" s="6" t="str">
        <f>IFERROR(__xludf.DUMMYFUNCTION("""COMPUTED_VALUE"""),"121701744 - APPROVED")</f>
        <v>121701744 - APPROVED</v>
      </c>
      <c r="C3435" s="6">
        <f>IFERROR(__xludf.DUMMYFUNCTION("""COMPUTED_VALUE"""),2.0)</f>
        <v>2</v>
      </c>
      <c r="D3435" s="6" t="str">
        <f>IFERROR(__xludf.DUMMYFUNCTION("""COMPUTED_VALUE"""),"P-12830-00")</f>
        <v>P-12830-00</v>
      </c>
      <c r="E3435" s="6" t="str">
        <f>IFERROR(__xludf.DUMMYFUNCTION("""COMPUTED_VALUE"""),"Sodium metabisulfit")</f>
        <v>Sodium metabisulfit</v>
      </c>
      <c r="F3435" s="6">
        <f>IFERROR(__xludf.DUMMYFUNCTION("""COMPUTED_VALUE"""),2.0)</f>
        <v>2</v>
      </c>
      <c r="G3435" s="6" t="str">
        <f>IFERROR(__xludf.DUMMYFUNCTION("""COMPUTED_VALUE"""),"Pieces")</f>
        <v>Pieces</v>
      </c>
      <c r="H3435" s="6" t="str">
        <f>IFERROR(__xludf.DUMMYFUNCTION("""COMPUTED_VALUE"""),"IDR")</f>
        <v>IDR</v>
      </c>
      <c r="I3435" s="6">
        <f>IFERROR(__xludf.DUMMYFUNCTION("""COMPUTED_VALUE"""),550000.0)</f>
        <v>550000</v>
      </c>
      <c r="J3435" s="6">
        <f>IFERROR(__xludf.DUMMYFUNCTION("""COMPUTED_VALUE"""),1100000.0)</f>
        <v>1100000</v>
      </c>
      <c r="K3435" s="57">
        <f>IFERROR(__xludf.DUMMYFUNCTION("""COMPUTED_VALUE"""),45528.0)</f>
        <v>45528</v>
      </c>
      <c r="L3435" s="6" t="str">
        <f>IFERROR(__xludf.DUMMYFUNCTION("""COMPUTED_VALUE"""),"FIP Engineering")</f>
        <v>FIP Engineering</v>
      </c>
      <c r="M3435" s="6" t="str">
        <f>IFERROR(__xludf.DUMMYFUNCTION("""COMPUTED_VALUE"""),"Mochammad Fadhillah Hakim,")</f>
        <v>Mochammad Fadhillah Hakim,</v>
      </c>
      <c r="N3435" s="6" t="str">
        <f>IFERROR(__xludf.DUMMYFUNCTION("""COMPUTED_VALUE"""),"FIP Engineering")</f>
        <v>FIP Engineering</v>
      </c>
      <c r="O3435" s="6" t="str">
        <f>IFERROR(__xludf.DUMMYFUNCTION("""COMPUTED_VALUE"""),"FIP-DOM-000-11304-OS00001-INA-000000")</f>
        <v>FIP-DOM-000-11304-OS00001-INA-000000</v>
      </c>
      <c r="P3435" s="6" t="str">
        <f>IFERROR(__xludf.DUMMYFUNCTION("""COMPUTED_VALUE"""),"PO Closed")</f>
        <v>PO Closed</v>
      </c>
      <c r="Q3435" s="6" t="str">
        <f>IFERROR(__xludf.DUMMYFUNCTION("""COMPUTED_VALUE"""),"GL2409024")</f>
        <v>GL2409024</v>
      </c>
      <c r="R3435" s="57">
        <f>IFERROR(__xludf.DUMMYFUNCTION("""COMPUTED_VALUE"""),45526.0)</f>
        <v>45526</v>
      </c>
      <c r="S3435" s="57">
        <f>IFERROR(__xludf.DUMMYFUNCTION("""COMPUTED_VALUE"""),45526.0)</f>
        <v>45526</v>
      </c>
      <c r="T3435" s="57">
        <f>IFERROR(__xludf.DUMMYFUNCTION("""COMPUTED_VALUE"""),45591.0)</f>
        <v>45591</v>
      </c>
    </row>
    <row r="3436">
      <c r="A3436" s="6" t="str">
        <f>IFERROR(__xludf.DUMMYFUNCTION("""COMPUTED_VALUE"""),"121701746-1")</f>
        <v>121701746-1</v>
      </c>
      <c r="B3436" s="6" t="str">
        <f>IFERROR(__xludf.DUMMYFUNCTION("""COMPUTED_VALUE"""),"121701746 - APPROVED")</f>
        <v>121701746 - APPROVED</v>
      </c>
      <c r="C3436" s="6">
        <f>IFERROR(__xludf.DUMMYFUNCTION("""COMPUTED_VALUE"""),1.0)</f>
        <v>1</v>
      </c>
      <c r="D3436" s="6" t="str">
        <f>IFERROR(__xludf.DUMMYFUNCTION("""COMPUTED_VALUE"""),"P-17347-00")</f>
        <v>P-17347-00</v>
      </c>
      <c r="E3436" s="6" t="str">
        <f>IFERROR(__xludf.DUMMYFUNCTION("""COMPUTED_VALUE"""),"Pre Filter G4 2m x 20m x 2mm; ; ;")</f>
        <v>Pre Filter G4 2m x 20m x 2mm; ; ;</v>
      </c>
      <c r="F3436" s="6">
        <f>IFERROR(__xludf.DUMMYFUNCTION("""COMPUTED_VALUE"""),1.0)</f>
        <v>1</v>
      </c>
      <c r="G3436" s="6" t="str">
        <f>IFERROR(__xludf.DUMMYFUNCTION("""COMPUTED_VALUE"""),"Pieces")</f>
        <v>Pieces</v>
      </c>
      <c r="H3436" s="6" t="str">
        <f>IFERROR(__xludf.DUMMYFUNCTION("""COMPUTED_VALUE"""),"IDR")</f>
        <v>IDR</v>
      </c>
      <c r="I3436" s="6">
        <f>IFERROR(__xludf.DUMMYFUNCTION("""COMPUTED_VALUE"""),2145000.0)</f>
        <v>2145000</v>
      </c>
      <c r="J3436" s="6">
        <f>IFERROR(__xludf.DUMMYFUNCTION("""COMPUTED_VALUE"""),2145000.0)</f>
        <v>2145000</v>
      </c>
      <c r="K3436" s="57">
        <f>IFERROR(__xludf.DUMMYFUNCTION("""COMPUTED_VALUE"""),45528.0)</f>
        <v>45528</v>
      </c>
      <c r="L3436" s="6" t="str">
        <f>IFERROR(__xludf.DUMMYFUNCTION("""COMPUTED_VALUE"""),"FIP Engineering")</f>
        <v>FIP Engineering</v>
      </c>
      <c r="M3436" s="6" t="str">
        <f>IFERROR(__xludf.DUMMYFUNCTION("""COMPUTED_VALUE"""),"Mochammad Fadhillah Hakim,")</f>
        <v>Mochammad Fadhillah Hakim,</v>
      </c>
      <c r="N3436" s="6" t="str">
        <f>IFERROR(__xludf.DUMMYFUNCTION("""COMPUTED_VALUE"""),"FIP Engineering")</f>
        <v>FIP Engineering</v>
      </c>
      <c r="O3436" s="6" t="str">
        <f>IFERROR(__xludf.DUMMYFUNCTION("""COMPUTED_VALUE"""),"FIP-DOM-000-11304-OS00001-INA-000000")</f>
        <v>FIP-DOM-000-11304-OS00001-INA-000000</v>
      </c>
      <c r="P3436" s="6" t="str">
        <f>IFERROR(__xludf.DUMMYFUNCTION("""COMPUTED_VALUE"""),"PO Closed")</f>
        <v>PO Closed</v>
      </c>
      <c r="Q3436" s="6" t="str">
        <f>IFERROR(__xludf.DUMMYFUNCTION("""COMPUTED_VALUE"""),"GL2409028")</f>
        <v>GL2409028</v>
      </c>
      <c r="R3436" s="57">
        <f>IFERROR(__xludf.DUMMYFUNCTION("""COMPUTED_VALUE"""),45526.0)</f>
        <v>45526</v>
      </c>
      <c r="S3436" s="57">
        <f>IFERROR(__xludf.DUMMYFUNCTION("""COMPUTED_VALUE"""),45527.0)</f>
        <v>45527</v>
      </c>
      <c r="T3436" s="57">
        <f>IFERROR(__xludf.DUMMYFUNCTION("""COMPUTED_VALUE"""),45591.0)</f>
        <v>45591</v>
      </c>
    </row>
    <row r="3437">
      <c r="A3437" s="6" t="str">
        <f>IFERROR(__xludf.DUMMYFUNCTION("""COMPUTED_VALUE"""),"121701747-1")</f>
        <v>121701747-1</v>
      </c>
      <c r="B3437" s="6" t="str">
        <f>IFERROR(__xludf.DUMMYFUNCTION("""COMPUTED_VALUE"""),"121701747 - APPROVED")</f>
        <v>121701747 - APPROVED</v>
      </c>
      <c r="C3437" s="6">
        <f>IFERROR(__xludf.DUMMYFUNCTION("""COMPUTED_VALUE"""),1.0)</f>
        <v>1</v>
      </c>
      <c r="D3437" s="6" t="str">
        <f>IFERROR(__xludf.DUMMYFUNCTION("""COMPUTED_VALUE"""),"T-80109-00")</f>
        <v>T-80109-00</v>
      </c>
      <c r="E3437" s="6" t="str">
        <f>IFERROR(__xludf.DUMMYFUNCTION("""COMPUTED_VALUE"""),"Cellotape Kertas 1 inch warna Putih")</f>
        <v>Cellotape Kertas 1 inch warna Putih</v>
      </c>
      <c r="F3437" s="6">
        <f>IFERROR(__xludf.DUMMYFUNCTION("""COMPUTED_VALUE"""),80.0)</f>
        <v>80</v>
      </c>
      <c r="G3437" s="6" t="str">
        <f>IFERROR(__xludf.DUMMYFUNCTION("""COMPUTED_VALUE"""),"Roll")</f>
        <v>Roll</v>
      </c>
      <c r="H3437" s="6" t="str">
        <f>IFERROR(__xludf.DUMMYFUNCTION("""COMPUTED_VALUE"""),"IDR")</f>
        <v>IDR</v>
      </c>
      <c r="I3437" s="6">
        <f>IFERROR(__xludf.DUMMYFUNCTION("""COMPUTED_VALUE"""),4500.0)</f>
        <v>4500</v>
      </c>
      <c r="J3437" s="6">
        <f>IFERROR(__xludf.DUMMYFUNCTION("""COMPUTED_VALUE"""),360000.0)</f>
        <v>360000</v>
      </c>
      <c r="K3437" s="57">
        <f>IFERROR(__xludf.DUMMYFUNCTION("""COMPUTED_VALUE"""),45528.0)</f>
        <v>45528</v>
      </c>
      <c r="L3437" s="6" t="str">
        <f>IFERROR(__xludf.DUMMYFUNCTION("""COMPUTED_VALUE"""),"FIP General")</f>
        <v>FIP General</v>
      </c>
      <c r="M3437" s="6" t="str">
        <f>IFERROR(__xludf.DUMMYFUNCTION("""COMPUTED_VALUE"""),"Mochammad Fadhillah Hakim,")</f>
        <v>Mochammad Fadhillah Hakim,</v>
      </c>
      <c r="N3437" s="6" t="str">
        <f>IFERROR(__xludf.DUMMYFUNCTION("""COMPUTED_VALUE"""),"FIP Engineering")</f>
        <v>FIP Engineering</v>
      </c>
      <c r="O3437" s="6" t="str">
        <f>IFERROR(__xludf.DUMMYFUNCTION("""COMPUTED_VALUE"""),"FIP-DOM-ENG-51411-0000000-INA-000000")</f>
        <v>FIP-DOM-ENG-51411-0000000-INA-000000</v>
      </c>
      <c r="P3437" s="6" t="str">
        <f>IFERROR(__xludf.DUMMYFUNCTION("""COMPUTED_VALUE"""),"PO Closed")</f>
        <v>PO Closed</v>
      </c>
      <c r="Q3437" s="6" t="str">
        <f>IFERROR(__xludf.DUMMYFUNCTION("""COMPUTED_VALUE"""),"GL2409016")</f>
        <v>GL2409016</v>
      </c>
      <c r="R3437" s="57">
        <f>IFERROR(__xludf.DUMMYFUNCTION("""COMPUTED_VALUE"""),45526.0)</f>
        <v>45526</v>
      </c>
      <c r="S3437" s="57">
        <f>IFERROR(__xludf.DUMMYFUNCTION("""COMPUTED_VALUE"""),45526.0)</f>
        <v>45526</v>
      </c>
      <c r="T3437" s="57">
        <f>IFERROR(__xludf.DUMMYFUNCTION("""COMPUTED_VALUE"""),45562.0)</f>
        <v>45562</v>
      </c>
    </row>
    <row r="3438">
      <c r="A3438" s="6" t="str">
        <f>IFERROR(__xludf.DUMMYFUNCTION("""COMPUTED_VALUE"""),"121701748-1")</f>
        <v>121701748-1</v>
      </c>
      <c r="B3438" s="6" t="str">
        <f>IFERROR(__xludf.DUMMYFUNCTION("""COMPUTED_VALUE"""),"121701748 - APPROVED")</f>
        <v>121701748 - APPROVED</v>
      </c>
      <c r="C3438" s="6">
        <f>IFERROR(__xludf.DUMMYFUNCTION("""COMPUTED_VALUE"""),1.0)</f>
        <v>1</v>
      </c>
      <c r="D3438" s="6" t="str">
        <f>IFERROR(__xludf.DUMMYFUNCTION("""COMPUTED_VALUE"""),"P-11424-00")</f>
        <v>P-11424-00</v>
      </c>
      <c r="E3438" s="6" t="str">
        <f>IFERROR(__xludf.DUMMYFUNCTION("""COMPUTED_VALUE"""),"Selang Festo Pun-H-12x2 Blue 2 x 50 m")</f>
        <v>Selang Festo Pun-H-12x2 Blue 2 x 50 m</v>
      </c>
      <c r="F3438" s="6">
        <f>IFERROR(__xludf.DUMMYFUNCTION("""COMPUTED_VALUE"""),50.0)</f>
        <v>50</v>
      </c>
      <c r="G3438" s="6" t="str">
        <f>IFERROR(__xludf.DUMMYFUNCTION("""COMPUTED_VALUE"""),"Meter")</f>
        <v>Meter</v>
      </c>
      <c r="H3438" s="6" t="str">
        <f>IFERROR(__xludf.DUMMYFUNCTION("""COMPUTED_VALUE"""),"IDR")</f>
        <v>IDR</v>
      </c>
      <c r="I3438" s="6">
        <f>IFERROR(__xludf.DUMMYFUNCTION("""COMPUTED_VALUE"""),41561.0)</f>
        <v>41561</v>
      </c>
      <c r="J3438" s="6">
        <f>IFERROR(__xludf.DUMMYFUNCTION("""COMPUTED_VALUE"""),2078050.0)</f>
        <v>2078050</v>
      </c>
      <c r="K3438" s="57">
        <f>IFERROR(__xludf.DUMMYFUNCTION("""COMPUTED_VALUE"""),45528.0)</f>
        <v>45528</v>
      </c>
      <c r="L3438" s="6" t="str">
        <f>IFERROR(__xludf.DUMMYFUNCTION("""COMPUTED_VALUE"""),"FIP Engineering")</f>
        <v>FIP Engineering</v>
      </c>
      <c r="M3438" s="6" t="str">
        <f>IFERROR(__xludf.DUMMYFUNCTION("""COMPUTED_VALUE"""),"Mochammad Fadhillah Hakim,")</f>
        <v>Mochammad Fadhillah Hakim,</v>
      </c>
      <c r="N3438" s="6" t="str">
        <f>IFERROR(__xludf.DUMMYFUNCTION("""COMPUTED_VALUE"""),"FIP Engineering")</f>
        <v>FIP Engineering</v>
      </c>
      <c r="O3438" s="6" t="str">
        <f>IFERROR(__xludf.DUMMYFUNCTION("""COMPUTED_VALUE"""),"FIP-DOM-000-11304-OS00001-INA-000000")</f>
        <v>FIP-DOM-000-11304-OS00001-INA-000000</v>
      </c>
      <c r="P3438" s="6" t="str">
        <f>IFERROR(__xludf.DUMMYFUNCTION("""COMPUTED_VALUE"""),"PO Closed")</f>
        <v>PO Closed</v>
      </c>
      <c r="Q3438" s="6" t="str">
        <f>IFERROR(__xludf.DUMMYFUNCTION("""COMPUTED_VALUE"""),"GL2409438")</f>
        <v>GL2409438</v>
      </c>
      <c r="R3438" s="57">
        <f>IFERROR(__xludf.DUMMYFUNCTION("""COMPUTED_VALUE"""),45526.0)</f>
        <v>45526</v>
      </c>
      <c r="S3438" s="57">
        <f>IFERROR(__xludf.DUMMYFUNCTION("""COMPUTED_VALUE"""),45527.0)</f>
        <v>45527</v>
      </c>
      <c r="T3438" s="57">
        <f>IFERROR(__xludf.DUMMYFUNCTION("""COMPUTED_VALUE"""),45583.0)</f>
        <v>45583</v>
      </c>
    </row>
    <row r="3439">
      <c r="A3439" s="6" t="str">
        <f>IFERROR(__xludf.DUMMYFUNCTION("""COMPUTED_VALUE"""),"121701748-2")</f>
        <v>121701748-2</v>
      </c>
      <c r="B3439" s="6" t="str">
        <f>IFERROR(__xludf.DUMMYFUNCTION("""COMPUTED_VALUE"""),"121701748 - APPROVED")</f>
        <v>121701748 - APPROVED</v>
      </c>
      <c r="C3439" s="6">
        <f>IFERROR(__xludf.DUMMYFUNCTION("""COMPUTED_VALUE"""),2.0)</f>
        <v>2</v>
      </c>
      <c r="D3439" s="6" t="str">
        <f>IFERROR(__xludf.DUMMYFUNCTION("""COMPUTED_VALUE"""),"P-12258-00")</f>
        <v>P-12258-00</v>
      </c>
      <c r="E3439" s="6" t="str">
        <f>IFERROR(__xludf.DUMMYFUNCTION("""COMPUTED_VALUE"""),"FESTO - Push In Connector QS-10-10")</f>
        <v>FESTO - Push In Connector QS-10-10</v>
      </c>
      <c r="F3439" s="6">
        <f>IFERROR(__xludf.DUMMYFUNCTION("""COMPUTED_VALUE"""),10.0)</f>
        <v>10</v>
      </c>
      <c r="G3439" s="6" t="str">
        <f>IFERROR(__xludf.DUMMYFUNCTION("""COMPUTED_VALUE"""),"Pieces")</f>
        <v>Pieces</v>
      </c>
      <c r="H3439" s="6" t="str">
        <f>IFERROR(__xludf.DUMMYFUNCTION("""COMPUTED_VALUE"""),"IDR")</f>
        <v>IDR</v>
      </c>
      <c r="I3439" s="6">
        <f>IFERROR(__xludf.DUMMYFUNCTION("""COMPUTED_VALUE"""),63220.0)</f>
        <v>63220</v>
      </c>
      <c r="J3439" s="6">
        <f>IFERROR(__xludf.DUMMYFUNCTION("""COMPUTED_VALUE"""),632200.0)</f>
        <v>632200</v>
      </c>
      <c r="K3439" s="57">
        <f>IFERROR(__xludf.DUMMYFUNCTION("""COMPUTED_VALUE"""),45528.0)</f>
        <v>45528</v>
      </c>
      <c r="L3439" s="6" t="str">
        <f>IFERROR(__xludf.DUMMYFUNCTION("""COMPUTED_VALUE"""),"FIP Engineering")</f>
        <v>FIP Engineering</v>
      </c>
      <c r="M3439" s="6" t="str">
        <f>IFERROR(__xludf.DUMMYFUNCTION("""COMPUTED_VALUE"""),"Mochammad Fadhillah Hakim,")</f>
        <v>Mochammad Fadhillah Hakim,</v>
      </c>
      <c r="N3439" s="6" t="str">
        <f>IFERROR(__xludf.DUMMYFUNCTION("""COMPUTED_VALUE"""),"FIP Engineering")</f>
        <v>FIP Engineering</v>
      </c>
      <c r="O3439" s="6" t="str">
        <f>IFERROR(__xludf.DUMMYFUNCTION("""COMPUTED_VALUE"""),"FIP-DOM-000-11304-OS00001-INA-000000")</f>
        <v>FIP-DOM-000-11304-OS00001-INA-000000</v>
      </c>
      <c r="P3439" s="6" t="str">
        <f>IFERROR(__xludf.DUMMYFUNCTION("""COMPUTED_VALUE"""),"PO Closed")</f>
        <v>PO Closed</v>
      </c>
      <c r="Q3439" s="6" t="str">
        <f>IFERROR(__xludf.DUMMYFUNCTION("""COMPUTED_VALUE"""),"GL2409438")</f>
        <v>GL2409438</v>
      </c>
      <c r="R3439" s="57">
        <f>IFERROR(__xludf.DUMMYFUNCTION("""COMPUTED_VALUE"""),45526.0)</f>
        <v>45526</v>
      </c>
      <c r="S3439" s="57">
        <f>IFERROR(__xludf.DUMMYFUNCTION("""COMPUTED_VALUE"""),45527.0)</f>
        <v>45527</v>
      </c>
      <c r="T3439" s="57">
        <f>IFERROR(__xludf.DUMMYFUNCTION("""COMPUTED_VALUE"""),45583.0)</f>
        <v>45583</v>
      </c>
    </row>
    <row r="3440">
      <c r="A3440" s="6" t="str">
        <f>IFERROR(__xludf.DUMMYFUNCTION("""COMPUTED_VALUE"""),"121701748-3")</f>
        <v>121701748-3</v>
      </c>
      <c r="B3440" s="6" t="str">
        <f>IFERROR(__xludf.DUMMYFUNCTION("""COMPUTED_VALUE"""),"121701748 - APPROVED")</f>
        <v>121701748 - APPROVED</v>
      </c>
      <c r="C3440" s="6">
        <f>IFERROR(__xludf.DUMMYFUNCTION("""COMPUTED_VALUE"""),3.0)</f>
        <v>3</v>
      </c>
      <c r="D3440" s="6" t="str">
        <f>IFERROR(__xludf.DUMMYFUNCTION("""COMPUTED_VALUE"""),"P-13650-00")</f>
        <v>P-13650-00</v>
      </c>
      <c r="E3440" s="6" t="str">
        <f>IFERROR(__xludf.DUMMYFUNCTION("""COMPUTED_VALUE"""),"Manual Valve HE-2-QS-6; FESTO; ;")</f>
        <v>Manual Valve HE-2-QS-6; FESTO; ;</v>
      </c>
      <c r="F3440" s="6">
        <f>IFERROR(__xludf.DUMMYFUNCTION("""COMPUTED_VALUE"""),5.0)</f>
        <v>5</v>
      </c>
      <c r="G3440" s="6" t="str">
        <f>IFERROR(__xludf.DUMMYFUNCTION("""COMPUTED_VALUE"""),"Pieces")</f>
        <v>Pieces</v>
      </c>
      <c r="H3440" s="6" t="str">
        <f>IFERROR(__xludf.DUMMYFUNCTION("""COMPUTED_VALUE"""),"IDR")</f>
        <v>IDR</v>
      </c>
      <c r="I3440" s="6">
        <f>IFERROR(__xludf.DUMMYFUNCTION("""COMPUTED_VALUE"""),217610.0)</f>
        <v>217610</v>
      </c>
      <c r="J3440" s="6">
        <f>IFERROR(__xludf.DUMMYFUNCTION("""COMPUTED_VALUE"""),1088050.0)</f>
        <v>1088050</v>
      </c>
      <c r="K3440" s="57">
        <f>IFERROR(__xludf.DUMMYFUNCTION("""COMPUTED_VALUE"""),45528.0)</f>
        <v>45528</v>
      </c>
      <c r="L3440" s="6" t="str">
        <f>IFERROR(__xludf.DUMMYFUNCTION("""COMPUTED_VALUE"""),"FIP Engineering")</f>
        <v>FIP Engineering</v>
      </c>
      <c r="M3440" s="6" t="str">
        <f>IFERROR(__xludf.DUMMYFUNCTION("""COMPUTED_VALUE"""),"Mochammad Fadhillah Hakim,")</f>
        <v>Mochammad Fadhillah Hakim,</v>
      </c>
      <c r="N3440" s="6" t="str">
        <f>IFERROR(__xludf.DUMMYFUNCTION("""COMPUTED_VALUE"""),"FIP Engineering")</f>
        <v>FIP Engineering</v>
      </c>
      <c r="O3440" s="6" t="str">
        <f>IFERROR(__xludf.DUMMYFUNCTION("""COMPUTED_VALUE"""),"FIP-DOM-000-11304-OS00001-INA-000000")</f>
        <v>FIP-DOM-000-11304-OS00001-INA-000000</v>
      </c>
      <c r="P3440" s="6" t="str">
        <f>IFERROR(__xludf.DUMMYFUNCTION("""COMPUTED_VALUE"""),"PO Closed")</f>
        <v>PO Closed</v>
      </c>
      <c r="Q3440" s="6" t="str">
        <f>IFERROR(__xludf.DUMMYFUNCTION("""COMPUTED_VALUE"""),"GL2409438")</f>
        <v>GL2409438</v>
      </c>
      <c r="R3440" s="57">
        <f>IFERROR(__xludf.DUMMYFUNCTION("""COMPUTED_VALUE"""),45526.0)</f>
        <v>45526</v>
      </c>
      <c r="S3440" s="57">
        <f>IFERROR(__xludf.DUMMYFUNCTION("""COMPUTED_VALUE"""),45527.0)</f>
        <v>45527</v>
      </c>
      <c r="T3440" s="57">
        <f>IFERROR(__xludf.DUMMYFUNCTION("""COMPUTED_VALUE"""),45583.0)</f>
        <v>45583</v>
      </c>
    </row>
    <row r="3441">
      <c r="A3441" s="6" t="str">
        <f>IFERROR(__xludf.DUMMYFUNCTION("""COMPUTED_VALUE"""),"121701749-1")</f>
        <v>121701749-1</v>
      </c>
      <c r="B3441" s="6" t="str">
        <f>IFERROR(__xludf.DUMMYFUNCTION("""COMPUTED_VALUE"""),"121701749 - APPROVED")</f>
        <v>121701749 - APPROVED</v>
      </c>
      <c r="C3441" s="6">
        <f>IFERROR(__xludf.DUMMYFUNCTION("""COMPUTED_VALUE"""),1.0)</f>
        <v>1</v>
      </c>
      <c r="D3441" s="6" t="str">
        <f>IFERROR(__xludf.DUMMYFUNCTION("""COMPUTED_VALUE"""),"P-50140-00")</f>
        <v>P-50140-00</v>
      </c>
      <c r="E3441" s="6" t="str">
        <f>IFERROR(__xludf.DUMMYFUNCTION("""COMPUTED_VALUE"""),"Battery UPS - Battery kering Merk YUASA 12V 9AH")</f>
        <v>Battery UPS - Battery kering Merk YUASA 12V 9AH</v>
      </c>
      <c r="F3441" s="6">
        <f>IFERROR(__xludf.DUMMYFUNCTION("""COMPUTED_VALUE"""),2.0)</f>
        <v>2</v>
      </c>
      <c r="G3441" s="6" t="str">
        <f>IFERROR(__xludf.DUMMYFUNCTION("""COMPUTED_VALUE"""),"Pieces")</f>
        <v>Pieces</v>
      </c>
      <c r="H3441" s="6" t="str">
        <f>IFERROR(__xludf.DUMMYFUNCTION("""COMPUTED_VALUE"""),"IDR")</f>
        <v>IDR</v>
      </c>
      <c r="I3441" s="6">
        <f>IFERROR(__xludf.DUMMYFUNCTION("""COMPUTED_VALUE"""),600000.0)</f>
        <v>600000</v>
      </c>
      <c r="J3441" s="6">
        <f>IFERROR(__xludf.DUMMYFUNCTION("""COMPUTED_VALUE"""),1200000.0)</f>
        <v>1200000</v>
      </c>
      <c r="K3441" s="57">
        <f>IFERROR(__xludf.DUMMYFUNCTION("""COMPUTED_VALUE"""),45528.0)</f>
        <v>45528</v>
      </c>
      <c r="L3441" s="6" t="str">
        <f>IFERROR(__xludf.DUMMYFUNCTION("""COMPUTED_VALUE"""),"FIP Engineering")</f>
        <v>FIP Engineering</v>
      </c>
      <c r="M3441" s="6" t="str">
        <f>IFERROR(__xludf.DUMMYFUNCTION("""COMPUTED_VALUE"""),"Mochammad Fadhillah Hakim,")</f>
        <v>Mochammad Fadhillah Hakim,</v>
      </c>
      <c r="N3441" s="6" t="str">
        <f>IFERROR(__xludf.DUMMYFUNCTION("""COMPUTED_VALUE"""),"FIP Engineering")</f>
        <v>FIP Engineering</v>
      </c>
      <c r="O3441" s="6" t="str">
        <f>IFERROR(__xludf.DUMMYFUNCTION("""COMPUTED_VALUE"""),"FIP-DOM-000-11304-OS00001-INA-000000")</f>
        <v>FIP-DOM-000-11304-OS00001-INA-000000</v>
      </c>
      <c r="P3441" s="6" t="str">
        <f>IFERROR(__xludf.DUMMYFUNCTION("""COMPUTED_VALUE"""),"PO Closed")</f>
        <v>PO Closed</v>
      </c>
      <c r="Q3441" s="6" t="str">
        <f>IFERROR(__xludf.DUMMYFUNCTION("""COMPUTED_VALUE"""),"GL2409439")</f>
        <v>GL2409439</v>
      </c>
      <c r="R3441" s="57">
        <f>IFERROR(__xludf.DUMMYFUNCTION("""COMPUTED_VALUE"""),45526.0)</f>
        <v>45526</v>
      </c>
      <c r="S3441" s="57">
        <f>IFERROR(__xludf.DUMMYFUNCTION("""COMPUTED_VALUE"""),45526.0)</f>
        <v>45526</v>
      </c>
      <c r="T3441" s="57">
        <f>IFERROR(__xludf.DUMMYFUNCTION("""COMPUTED_VALUE"""),45595.0)</f>
        <v>45595</v>
      </c>
    </row>
    <row r="3442">
      <c r="A3442" s="6" t="str">
        <f>IFERROR(__xludf.DUMMYFUNCTION("""COMPUTED_VALUE"""),"121701749-2")</f>
        <v>121701749-2</v>
      </c>
      <c r="B3442" s="6" t="str">
        <f>IFERROR(__xludf.DUMMYFUNCTION("""COMPUTED_VALUE"""),"121701749 - APPROVED")</f>
        <v>121701749 - APPROVED</v>
      </c>
      <c r="C3442" s="6">
        <f>IFERROR(__xludf.DUMMYFUNCTION("""COMPUTED_VALUE"""),2.0)</f>
        <v>2</v>
      </c>
      <c r="D3442" s="6" t="str">
        <f>IFERROR(__xludf.DUMMYFUNCTION("""COMPUTED_VALUE"""),"P-53214-00")</f>
        <v>P-53214-00</v>
      </c>
      <c r="E3442" s="6" t="str">
        <f>IFERROR(__xludf.DUMMYFUNCTION("""COMPUTED_VALUE"""),"Epoxy Adhesive DEXTONE; ; ;")</f>
        <v>Epoxy Adhesive DEXTONE; ; ;</v>
      </c>
      <c r="F3442" s="6">
        <f>IFERROR(__xludf.DUMMYFUNCTION("""COMPUTED_VALUE"""),6.0)</f>
        <v>6</v>
      </c>
      <c r="G3442" s="6" t="str">
        <f>IFERROR(__xludf.DUMMYFUNCTION("""COMPUTED_VALUE"""),"Pieces")</f>
        <v>Pieces</v>
      </c>
      <c r="H3442" s="6" t="str">
        <f>IFERROR(__xludf.DUMMYFUNCTION("""COMPUTED_VALUE"""),"IDR")</f>
        <v>IDR</v>
      </c>
      <c r="I3442" s="6">
        <f>IFERROR(__xludf.DUMMYFUNCTION("""COMPUTED_VALUE"""),16500.0)</f>
        <v>16500</v>
      </c>
      <c r="J3442" s="6">
        <f>IFERROR(__xludf.DUMMYFUNCTION("""COMPUTED_VALUE"""),99000.0)</f>
        <v>99000</v>
      </c>
      <c r="K3442" s="57">
        <f>IFERROR(__xludf.DUMMYFUNCTION("""COMPUTED_VALUE"""),45528.0)</f>
        <v>45528</v>
      </c>
      <c r="L3442" s="6" t="str">
        <f>IFERROR(__xludf.DUMMYFUNCTION("""COMPUTED_VALUE"""),"FIP Engineering")</f>
        <v>FIP Engineering</v>
      </c>
      <c r="M3442" s="6" t="str">
        <f>IFERROR(__xludf.DUMMYFUNCTION("""COMPUTED_VALUE"""),"Mochammad Fadhillah Hakim,")</f>
        <v>Mochammad Fadhillah Hakim,</v>
      </c>
      <c r="N3442" s="6" t="str">
        <f>IFERROR(__xludf.DUMMYFUNCTION("""COMPUTED_VALUE"""),"FIP Engineering")</f>
        <v>FIP Engineering</v>
      </c>
      <c r="O3442" s="6" t="str">
        <f>IFERROR(__xludf.DUMMYFUNCTION("""COMPUTED_VALUE"""),"FIP-DOM-000-11304-OS00001-INA-000000")</f>
        <v>FIP-DOM-000-11304-OS00001-INA-000000</v>
      </c>
      <c r="P3442" s="6" t="str">
        <f>IFERROR(__xludf.DUMMYFUNCTION("""COMPUTED_VALUE"""),"PO Closed")</f>
        <v>PO Closed</v>
      </c>
      <c r="Q3442" s="6" t="str">
        <f>IFERROR(__xludf.DUMMYFUNCTION("""COMPUTED_VALUE"""),"GL2409439")</f>
        <v>GL2409439</v>
      </c>
      <c r="R3442" s="57">
        <f>IFERROR(__xludf.DUMMYFUNCTION("""COMPUTED_VALUE"""),45526.0)</f>
        <v>45526</v>
      </c>
      <c r="S3442" s="57">
        <f>IFERROR(__xludf.DUMMYFUNCTION("""COMPUTED_VALUE"""),45526.0)</f>
        <v>45526</v>
      </c>
      <c r="T3442" s="57">
        <f>IFERROR(__xludf.DUMMYFUNCTION("""COMPUTED_VALUE"""),45595.0)</f>
        <v>45595</v>
      </c>
    </row>
    <row r="3443">
      <c r="A3443" s="6" t="str">
        <f>IFERROR(__xludf.DUMMYFUNCTION("""COMPUTED_VALUE"""),"121701749-3")</f>
        <v>121701749-3</v>
      </c>
      <c r="B3443" s="6" t="str">
        <f>IFERROR(__xludf.DUMMYFUNCTION("""COMPUTED_VALUE"""),"121701749 - APPROVED")</f>
        <v>121701749 - APPROVED</v>
      </c>
      <c r="C3443" s="6">
        <f>IFERROR(__xludf.DUMMYFUNCTION("""COMPUTED_VALUE"""),3.0)</f>
        <v>3</v>
      </c>
      <c r="D3443" s="6" t="str">
        <f>IFERROR(__xludf.DUMMYFUNCTION("""COMPUTED_VALUE"""),"P-15438-00")</f>
        <v>P-15438-00</v>
      </c>
      <c r="E3443" s="6" t="str">
        <f>IFERROR(__xludf.DUMMYFUNCTION("""COMPUTED_VALUE"""),"CABLE SPIRAL WRAPPING, TYPE KS12, BRAND KSS; ; ;")</f>
        <v>CABLE SPIRAL WRAPPING, TYPE KS12, BRAND KSS; ; ;</v>
      </c>
      <c r="F3443" s="6">
        <f>IFERROR(__xludf.DUMMYFUNCTION("""COMPUTED_VALUE"""),3.0)</f>
        <v>3</v>
      </c>
      <c r="G3443" s="6" t="str">
        <f>IFERROR(__xludf.DUMMYFUNCTION("""COMPUTED_VALUE"""),"Pack")</f>
        <v>Pack</v>
      </c>
      <c r="H3443" s="6" t="str">
        <f>IFERROR(__xludf.DUMMYFUNCTION("""COMPUTED_VALUE"""),"IDR")</f>
        <v>IDR</v>
      </c>
      <c r="I3443" s="6">
        <f>IFERROR(__xludf.DUMMYFUNCTION("""COMPUTED_VALUE"""),62000.0)</f>
        <v>62000</v>
      </c>
      <c r="J3443" s="6">
        <f>IFERROR(__xludf.DUMMYFUNCTION("""COMPUTED_VALUE"""),186000.0)</f>
        <v>186000</v>
      </c>
      <c r="K3443" s="57">
        <f>IFERROR(__xludf.DUMMYFUNCTION("""COMPUTED_VALUE"""),45528.0)</f>
        <v>45528</v>
      </c>
      <c r="L3443" s="6" t="str">
        <f>IFERROR(__xludf.DUMMYFUNCTION("""COMPUTED_VALUE"""),"FIP Engineering")</f>
        <v>FIP Engineering</v>
      </c>
      <c r="M3443" s="6" t="str">
        <f>IFERROR(__xludf.DUMMYFUNCTION("""COMPUTED_VALUE"""),"Mochammad Fadhillah Hakim,")</f>
        <v>Mochammad Fadhillah Hakim,</v>
      </c>
      <c r="N3443" s="6" t="str">
        <f>IFERROR(__xludf.DUMMYFUNCTION("""COMPUTED_VALUE"""),"FIP Engineering")</f>
        <v>FIP Engineering</v>
      </c>
      <c r="O3443" s="6" t="str">
        <f>IFERROR(__xludf.DUMMYFUNCTION("""COMPUTED_VALUE"""),"FIP-DOM-000-11304-OS00001-INA-000000")</f>
        <v>FIP-DOM-000-11304-OS00001-INA-000000</v>
      </c>
      <c r="P3443" s="6" t="str">
        <f>IFERROR(__xludf.DUMMYFUNCTION("""COMPUTED_VALUE"""),"PO Closed")</f>
        <v>PO Closed</v>
      </c>
      <c r="Q3443" s="6" t="str">
        <f>IFERROR(__xludf.DUMMYFUNCTION("""COMPUTED_VALUE"""),"GL2409439")</f>
        <v>GL2409439</v>
      </c>
      <c r="R3443" s="57">
        <f>IFERROR(__xludf.DUMMYFUNCTION("""COMPUTED_VALUE"""),45526.0)</f>
        <v>45526</v>
      </c>
      <c r="S3443" s="57">
        <f>IFERROR(__xludf.DUMMYFUNCTION("""COMPUTED_VALUE"""),45526.0)</f>
        <v>45526</v>
      </c>
      <c r="T3443" s="57">
        <f>IFERROR(__xludf.DUMMYFUNCTION("""COMPUTED_VALUE"""),45595.0)</f>
        <v>45595</v>
      </c>
    </row>
    <row r="3444">
      <c r="A3444" s="6" t="str">
        <f>IFERROR(__xludf.DUMMYFUNCTION("""COMPUTED_VALUE"""),"121701749-4")</f>
        <v>121701749-4</v>
      </c>
      <c r="B3444" s="6" t="str">
        <f>IFERROR(__xludf.DUMMYFUNCTION("""COMPUTED_VALUE"""),"121701749 - APPROVED")</f>
        <v>121701749 - APPROVED</v>
      </c>
      <c r="C3444" s="6">
        <f>IFERROR(__xludf.DUMMYFUNCTION("""COMPUTED_VALUE"""),4.0)</f>
        <v>4</v>
      </c>
      <c r="D3444" s="6" t="str">
        <f>IFERROR(__xludf.DUMMYFUNCTION("""COMPUTED_VALUE"""),"P-15437-00")</f>
        <v>P-15437-00</v>
      </c>
      <c r="E3444" s="6" t="str">
        <f>IFERROR(__xludf.DUMMYFUNCTION("""COMPUTED_VALUE"""),"CABLE SPIRAL WRAPPING, TYPE KS24, BRAND KSS; ; ;")</f>
        <v>CABLE SPIRAL WRAPPING, TYPE KS24, BRAND KSS; ; ;</v>
      </c>
      <c r="F3444" s="6">
        <f>IFERROR(__xludf.DUMMYFUNCTION("""COMPUTED_VALUE"""),5.0)</f>
        <v>5</v>
      </c>
      <c r="G3444" s="6" t="str">
        <f>IFERROR(__xludf.DUMMYFUNCTION("""COMPUTED_VALUE"""),"Pack")</f>
        <v>Pack</v>
      </c>
      <c r="H3444" s="6" t="str">
        <f>IFERROR(__xludf.DUMMYFUNCTION("""COMPUTED_VALUE"""),"IDR")</f>
        <v>IDR</v>
      </c>
      <c r="I3444" s="6">
        <f>IFERROR(__xludf.DUMMYFUNCTION("""COMPUTED_VALUE"""),14000.0)</f>
        <v>14000</v>
      </c>
      <c r="J3444" s="6">
        <f>IFERROR(__xludf.DUMMYFUNCTION("""COMPUTED_VALUE"""),70000.0)</f>
        <v>70000</v>
      </c>
      <c r="K3444" s="57">
        <f>IFERROR(__xludf.DUMMYFUNCTION("""COMPUTED_VALUE"""),45528.0)</f>
        <v>45528</v>
      </c>
      <c r="L3444" s="6" t="str">
        <f>IFERROR(__xludf.DUMMYFUNCTION("""COMPUTED_VALUE"""),"FIP Engineering")</f>
        <v>FIP Engineering</v>
      </c>
      <c r="M3444" s="6" t="str">
        <f>IFERROR(__xludf.DUMMYFUNCTION("""COMPUTED_VALUE"""),"Mochammad Fadhillah Hakim,")</f>
        <v>Mochammad Fadhillah Hakim,</v>
      </c>
      <c r="N3444" s="6" t="str">
        <f>IFERROR(__xludf.DUMMYFUNCTION("""COMPUTED_VALUE"""),"FIP Engineering")</f>
        <v>FIP Engineering</v>
      </c>
      <c r="O3444" s="6" t="str">
        <f>IFERROR(__xludf.DUMMYFUNCTION("""COMPUTED_VALUE"""),"FIP-DOM-000-11304-OS00001-INA-000000")</f>
        <v>FIP-DOM-000-11304-OS00001-INA-000000</v>
      </c>
      <c r="P3444" s="6" t="str">
        <f>IFERROR(__xludf.DUMMYFUNCTION("""COMPUTED_VALUE"""),"PO Closed")</f>
        <v>PO Closed</v>
      </c>
      <c r="Q3444" s="6" t="str">
        <f>IFERROR(__xludf.DUMMYFUNCTION("""COMPUTED_VALUE"""),"GL2409439")</f>
        <v>GL2409439</v>
      </c>
      <c r="R3444" s="57">
        <f>IFERROR(__xludf.DUMMYFUNCTION("""COMPUTED_VALUE"""),45526.0)</f>
        <v>45526</v>
      </c>
      <c r="S3444" s="57">
        <f>IFERROR(__xludf.DUMMYFUNCTION("""COMPUTED_VALUE"""),45526.0)</f>
        <v>45526</v>
      </c>
      <c r="T3444" s="57">
        <f>IFERROR(__xludf.DUMMYFUNCTION("""COMPUTED_VALUE"""),45595.0)</f>
        <v>45595</v>
      </c>
    </row>
    <row r="3445">
      <c r="A3445" s="6" t="str">
        <f>IFERROR(__xludf.DUMMYFUNCTION("""COMPUTED_VALUE"""),"121701750-1")</f>
        <v>121701750-1</v>
      </c>
      <c r="B3445" s="6" t="str">
        <f>IFERROR(__xludf.DUMMYFUNCTION("""COMPUTED_VALUE"""),"121701750 - APPROVED")</f>
        <v>121701750 - APPROVED</v>
      </c>
      <c r="C3445" s="6">
        <f>IFERROR(__xludf.DUMMYFUNCTION("""COMPUTED_VALUE"""),1.0)</f>
        <v>1</v>
      </c>
      <c r="D3445" s="6" t="str">
        <f>IFERROR(__xludf.DUMMYFUNCTION("""COMPUTED_VALUE"""),"Q-10487-00")</f>
        <v>Q-10487-00</v>
      </c>
      <c r="E3445" s="6" t="str">
        <f>IFERROR(__xludf.DUMMYFUNCTION("""COMPUTED_VALUE"""),"Tutup Wastafel TOTO; ; ;")</f>
        <v>Tutup Wastafel TOTO; ; ;</v>
      </c>
      <c r="F3445" s="6">
        <f>IFERROR(__xludf.DUMMYFUNCTION("""COMPUTED_VALUE"""),2.0)</f>
        <v>2</v>
      </c>
      <c r="G3445" s="6" t="str">
        <f>IFERROR(__xludf.DUMMYFUNCTION("""COMPUTED_VALUE"""),"Pieces")</f>
        <v>Pieces</v>
      </c>
      <c r="H3445" s="6" t="str">
        <f>IFERROR(__xludf.DUMMYFUNCTION("""COMPUTED_VALUE"""),"IDR")</f>
        <v>IDR</v>
      </c>
      <c r="I3445" s="6">
        <f>IFERROR(__xludf.DUMMYFUNCTION("""COMPUTED_VALUE"""),285000.0)</f>
        <v>285000</v>
      </c>
      <c r="J3445" s="6">
        <f>IFERROR(__xludf.DUMMYFUNCTION("""COMPUTED_VALUE"""),570000.0)</f>
        <v>570000</v>
      </c>
      <c r="K3445" s="57">
        <f>IFERROR(__xludf.DUMMYFUNCTION("""COMPUTED_VALUE"""),45528.0)</f>
        <v>45528</v>
      </c>
      <c r="L3445" s="6" t="str">
        <f>IFERROR(__xludf.DUMMYFUNCTION("""COMPUTED_VALUE"""),"FIP General")</f>
        <v>FIP General</v>
      </c>
      <c r="M3445" s="6" t="str">
        <f>IFERROR(__xludf.DUMMYFUNCTION("""COMPUTED_VALUE"""),"Mochammad Fadhillah Hakim,")</f>
        <v>Mochammad Fadhillah Hakim,</v>
      </c>
      <c r="N3445" s="6" t="str">
        <f>IFERROR(__xludf.DUMMYFUNCTION("""COMPUTED_VALUE"""),"FIP Engineering")</f>
        <v>FIP Engineering</v>
      </c>
      <c r="O3445" s="6" t="str">
        <f>IFERROR(__xludf.DUMMYFUNCTION("""COMPUTED_VALUE"""),"FIP-DOM-ENG-51502-0000000-INA-000000")</f>
        <v>FIP-DOM-ENG-51502-0000000-INA-000000</v>
      </c>
      <c r="P3445" s="6" t="str">
        <f>IFERROR(__xludf.DUMMYFUNCTION("""COMPUTED_VALUE"""),"PO Closed")</f>
        <v>PO Closed</v>
      </c>
      <c r="Q3445" s="6" t="str">
        <f>IFERROR(__xludf.DUMMYFUNCTION("""COMPUTED_VALUE"""),"GL2409436")</f>
        <v>GL2409436</v>
      </c>
      <c r="R3445" s="57">
        <f>IFERROR(__xludf.DUMMYFUNCTION("""COMPUTED_VALUE"""),45526.0)</f>
        <v>45526</v>
      </c>
      <c r="S3445" s="57">
        <f>IFERROR(__xludf.DUMMYFUNCTION("""COMPUTED_VALUE"""),45544.0)</f>
        <v>45544</v>
      </c>
      <c r="T3445" s="57">
        <f>IFERROR(__xludf.DUMMYFUNCTION("""COMPUTED_VALUE"""),45565.0)</f>
        <v>45565</v>
      </c>
    </row>
    <row r="3446">
      <c r="A3446" s="6" t="str">
        <f>IFERROR(__xludf.DUMMYFUNCTION("""COMPUTED_VALUE"""),"121701750-2")</f>
        <v>121701750-2</v>
      </c>
      <c r="B3446" s="6" t="str">
        <f>IFERROR(__xludf.DUMMYFUNCTION("""COMPUTED_VALUE"""),"121701750 - APPROVED")</f>
        <v>121701750 - APPROVED</v>
      </c>
      <c r="C3446" s="6">
        <f>IFERROR(__xludf.DUMMYFUNCTION("""COMPUTED_VALUE"""),2.0)</f>
        <v>2</v>
      </c>
      <c r="D3446" s="6" t="str">
        <f>IFERROR(__xludf.DUMMYFUNCTION("""COMPUTED_VALUE"""),"Q-60026-00")</f>
        <v>Q-60026-00</v>
      </c>
      <c r="E3446" s="6" t="str">
        <f>IFERROR(__xludf.DUMMYFUNCTION("""COMPUTED_VALUE"""),"Kuas Eterna 2 inchi")</f>
        <v>Kuas Eterna 2 inchi</v>
      </c>
      <c r="F3446" s="6">
        <f>IFERROR(__xludf.DUMMYFUNCTION("""COMPUTED_VALUE"""),20.0)</f>
        <v>20</v>
      </c>
      <c r="G3446" s="6" t="str">
        <f>IFERROR(__xludf.DUMMYFUNCTION("""COMPUTED_VALUE"""),"Pieces")</f>
        <v>Pieces</v>
      </c>
      <c r="H3446" s="6" t="str">
        <f>IFERROR(__xludf.DUMMYFUNCTION("""COMPUTED_VALUE"""),"IDR")</f>
        <v>IDR</v>
      </c>
      <c r="I3446" s="6">
        <f>IFERROR(__xludf.DUMMYFUNCTION("""COMPUTED_VALUE"""),5000.0)</f>
        <v>5000</v>
      </c>
      <c r="J3446" s="6">
        <f>IFERROR(__xludf.DUMMYFUNCTION("""COMPUTED_VALUE"""),100000.0)</f>
        <v>100000</v>
      </c>
      <c r="K3446" s="57">
        <f>IFERROR(__xludf.DUMMYFUNCTION("""COMPUTED_VALUE"""),45528.0)</f>
        <v>45528</v>
      </c>
      <c r="L3446" s="6" t="str">
        <f>IFERROR(__xludf.DUMMYFUNCTION("""COMPUTED_VALUE"""),"FIP General")</f>
        <v>FIP General</v>
      </c>
      <c r="M3446" s="6" t="str">
        <f>IFERROR(__xludf.DUMMYFUNCTION("""COMPUTED_VALUE"""),"Mochammad Fadhillah Hakim,")</f>
        <v>Mochammad Fadhillah Hakim,</v>
      </c>
      <c r="N3446" s="6" t="str">
        <f>IFERROR(__xludf.DUMMYFUNCTION("""COMPUTED_VALUE"""),"FIP Engineering")</f>
        <v>FIP Engineering</v>
      </c>
      <c r="O3446" s="6" t="str">
        <f>IFERROR(__xludf.DUMMYFUNCTION("""COMPUTED_VALUE"""),"FIP-DOM-ENG-51404-0000000-INA-000000")</f>
        <v>FIP-DOM-ENG-51404-0000000-INA-000000</v>
      </c>
      <c r="P3446" s="6" t="str">
        <f>IFERROR(__xludf.DUMMYFUNCTION("""COMPUTED_VALUE"""),"PO Closed")</f>
        <v>PO Closed</v>
      </c>
      <c r="Q3446" s="6" t="str">
        <f>IFERROR(__xludf.DUMMYFUNCTION("""COMPUTED_VALUE"""),"GL2409020")</f>
        <v>GL2409020</v>
      </c>
      <c r="R3446" s="57">
        <f>IFERROR(__xludf.DUMMYFUNCTION("""COMPUTED_VALUE"""),45526.0)</f>
        <v>45526</v>
      </c>
      <c r="S3446" s="57">
        <f>IFERROR(__xludf.DUMMYFUNCTION("""COMPUTED_VALUE"""),45544.0)</f>
        <v>45544</v>
      </c>
      <c r="T3446" s="57">
        <f>IFERROR(__xludf.DUMMYFUNCTION("""COMPUTED_VALUE"""),45544.0)</f>
        <v>45544</v>
      </c>
    </row>
    <row r="3447">
      <c r="A3447" s="6" t="str">
        <f>IFERROR(__xludf.DUMMYFUNCTION("""COMPUTED_VALUE"""),"121701750-3")</f>
        <v>121701750-3</v>
      </c>
      <c r="B3447" s="6" t="str">
        <f>IFERROR(__xludf.DUMMYFUNCTION("""COMPUTED_VALUE"""),"121701750 - APPROVED")</f>
        <v>121701750 - APPROVED</v>
      </c>
      <c r="C3447" s="6">
        <f>IFERROR(__xludf.DUMMYFUNCTION("""COMPUTED_VALUE"""),3.0)</f>
        <v>3</v>
      </c>
      <c r="D3447" s="6" t="str">
        <f>IFERROR(__xludf.DUMMYFUNCTION("""COMPUTED_VALUE"""),"Q-60025-00")</f>
        <v>Q-60025-00</v>
      </c>
      <c r="E3447" s="6" t="str">
        <f>IFERROR(__xludf.DUMMYFUNCTION("""COMPUTED_VALUE"""),"Kuas Eterna 1 inchi")</f>
        <v>Kuas Eterna 1 inchi</v>
      </c>
      <c r="F3447" s="6">
        <f>IFERROR(__xludf.DUMMYFUNCTION("""COMPUTED_VALUE"""),30.0)</f>
        <v>30</v>
      </c>
      <c r="G3447" s="6" t="str">
        <f>IFERROR(__xludf.DUMMYFUNCTION("""COMPUTED_VALUE"""),"Pieces")</f>
        <v>Pieces</v>
      </c>
      <c r="H3447" s="6" t="str">
        <f>IFERROR(__xludf.DUMMYFUNCTION("""COMPUTED_VALUE"""),"IDR")</f>
        <v>IDR</v>
      </c>
      <c r="I3447" s="6">
        <f>IFERROR(__xludf.DUMMYFUNCTION("""COMPUTED_VALUE"""),2000.0)</f>
        <v>2000</v>
      </c>
      <c r="J3447" s="6">
        <f>IFERROR(__xludf.DUMMYFUNCTION("""COMPUTED_VALUE"""),60000.0)</f>
        <v>60000</v>
      </c>
      <c r="K3447" s="57">
        <f>IFERROR(__xludf.DUMMYFUNCTION("""COMPUTED_VALUE"""),45528.0)</f>
        <v>45528</v>
      </c>
      <c r="L3447" s="6" t="str">
        <f>IFERROR(__xludf.DUMMYFUNCTION("""COMPUTED_VALUE"""),"FIP General")</f>
        <v>FIP General</v>
      </c>
      <c r="M3447" s="6" t="str">
        <f>IFERROR(__xludf.DUMMYFUNCTION("""COMPUTED_VALUE"""),"Mochammad Fadhillah Hakim,")</f>
        <v>Mochammad Fadhillah Hakim,</v>
      </c>
      <c r="N3447" s="6" t="str">
        <f>IFERROR(__xludf.DUMMYFUNCTION("""COMPUTED_VALUE"""),"FIP Engineering")</f>
        <v>FIP Engineering</v>
      </c>
      <c r="O3447" s="6" t="str">
        <f>IFERROR(__xludf.DUMMYFUNCTION("""COMPUTED_VALUE"""),"FIP-DOM-ENG-51404-0000000-INA-000000")</f>
        <v>FIP-DOM-ENG-51404-0000000-INA-000000</v>
      </c>
      <c r="P3447" s="6" t="str">
        <f>IFERROR(__xludf.DUMMYFUNCTION("""COMPUTED_VALUE"""),"PO Closed")</f>
        <v>PO Closed</v>
      </c>
      <c r="Q3447" s="6" t="str">
        <f>IFERROR(__xludf.DUMMYFUNCTION("""COMPUTED_VALUE"""),"GL2409020")</f>
        <v>GL2409020</v>
      </c>
      <c r="R3447" s="57">
        <f>IFERROR(__xludf.DUMMYFUNCTION("""COMPUTED_VALUE"""),45526.0)</f>
        <v>45526</v>
      </c>
      <c r="S3447" s="57">
        <f>IFERROR(__xludf.DUMMYFUNCTION("""COMPUTED_VALUE"""),45544.0)</f>
        <v>45544</v>
      </c>
      <c r="T3447" s="57">
        <f>IFERROR(__xludf.DUMMYFUNCTION("""COMPUTED_VALUE"""),45544.0)</f>
        <v>45544</v>
      </c>
    </row>
    <row r="3448">
      <c r="A3448" s="6" t="str">
        <f>IFERROR(__xludf.DUMMYFUNCTION("""COMPUTED_VALUE"""),"121701751-1")</f>
        <v>121701751-1</v>
      </c>
      <c r="B3448" s="6" t="str">
        <f>IFERROR(__xludf.DUMMYFUNCTION("""COMPUTED_VALUE"""),"121701751 - APPROVED")</f>
        <v>121701751 - APPROVED</v>
      </c>
      <c r="C3448" s="6">
        <f>IFERROR(__xludf.DUMMYFUNCTION("""COMPUTED_VALUE"""),1.0)</f>
        <v>1</v>
      </c>
      <c r="D3448" s="6" t="str">
        <f>IFERROR(__xludf.DUMMYFUNCTION("""COMPUTED_VALUE"""),"P-14457-00")</f>
        <v>P-14457-00</v>
      </c>
      <c r="E3448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3448" s="6">
        <f>IFERROR(__xludf.DUMMYFUNCTION("""COMPUTED_VALUE"""),6.0)</f>
        <v>6</v>
      </c>
      <c r="G3448" s="6" t="str">
        <f>IFERROR(__xludf.DUMMYFUNCTION("""COMPUTED_VALUE"""),"Pieces")</f>
        <v>Pieces</v>
      </c>
      <c r="H3448" s="6" t="str">
        <f>IFERROR(__xludf.DUMMYFUNCTION("""COMPUTED_VALUE"""),"IDR")</f>
        <v>IDR</v>
      </c>
      <c r="I3448" s="6">
        <f>IFERROR(__xludf.DUMMYFUNCTION("""COMPUTED_VALUE"""),1440000.0)</f>
        <v>1440000</v>
      </c>
      <c r="J3448" s="6">
        <f>IFERROR(__xludf.DUMMYFUNCTION("""COMPUTED_VALUE"""),8640000.0)</f>
        <v>8640000</v>
      </c>
      <c r="K3448" s="57">
        <f>IFERROR(__xludf.DUMMYFUNCTION("""COMPUTED_VALUE"""),45528.0)</f>
        <v>45528</v>
      </c>
      <c r="L3448" s="6" t="str">
        <f>IFERROR(__xludf.DUMMYFUNCTION("""COMPUTED_VALUE"""),"FIP Engineering")</f>
        <v>FIP Engineering</v>
      </c>
      <c r="M3448" s="6" t="str">
        <f>IFERROR(__xludf.DUMMYFUNCTION("""COMPUTED_VALUE"""),"Mochammad Fadhillah Hakim,")</f>
        <v>Mochammad Fadhillah Hakim,</v>
      </c>
      <c r="N3448" s="6" t="str">
        <f>IFERROR(__xludf.DUMMYFUNCTION("""COMPUTED_VALUE"""),"FIP Engineering")</f>
        <v>FIP Engineering</v>
      </c>
      <c r="O3448" s="6" t="str">
        <f>IFERROR(__xludf.DUMMYFUNCTION("""COMPUTED_VALUE"""),"FIP-DOM-000-11304-OS00001-INA-000000")</f>
        <v>FIP-DOM-000-11304-OS00001-INA-000000</v>
      </c>
      <c r="P3448" s="6" t="str">
        <f>IFERROR(__xludf.DUMMYFUNCTION("""COMPUTED_VALUE"""),"PO Closed")</f>
        <v>PO Closed</v>
      </c>
      <c r="Q3448" s="6" t="str">
        <f>IFERROR(__xludf.DUMMYFUNCTION("""COMPUTED_VALUE"""),"GL2409026")</f>
        <v>GL2409026</v>
      </c>
      <c r="R3448" s="57">
        <f>IFERROR(__xludf.DUMMYFUNCTION("""COMPUTED_VALUE"""),45526.0)</f>
        <v>45526</v>
      </c>
      <c r="S3448" s="57">
        <f>IFERROR(__xludf.DUMMYFUNCTION("""COMPUTED_VALUE"""),45526.0)</f>
        <v>45526</v>
      </c>
      <c r="T3448" s="57">
        <f>IFERROR(__xludf.DUMMYFUNCTION("""COMPUTED_VALUE"""),45591.0)</f>
        <v>45591</v>
      </c>
    </row>
    <row r="3449">
      <c r="A3449" s="6" t="str">
        <f>IFERROR(__xludf.DUMMYFUNCTION("""COMPUTED_VALUE"""),"121701751-2")</f>
        <v>121701751-2</v>
      </c>
      <c r="B3449" s="6" t="str">
        <f>IFERROR(__xludf.DUMMYFUNCTION("""COMPUTED_VALUE"""),"121701751 - APPROVED")</f>
        <v>121701751 - APPROVED</v>
      </c>
      <c r="C3449" s="6">
        <f>IFERROR(__xludf.DUMMYFUNCTION("""COMPUTED_VALUE"""),2.0)</f>
        <v>2</v>
      </c>
      <c r="D3449" s="6" t="str">
        <f>IFERROR(__xludf.DUMMYFUNCTION("""COMPUTED_VALUE"""),"P-14458-00")</f>
        <v>P-14458-00</v>
      </c>
      <c r="E3449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3449" s="6">
        <f>IFERROR(__xludf.DUMMYFUNCTION("""COMPUTED_VALUE"""),6.0)</f>
        <v>6</v>
      </c>
      <c r="G3449" s="6" t="str">
        <f>IFERROR(__xludf.DUMMYFUNCTION("""COMPUTED_VALUE"""),"Pieces")</f>
        <v>Pieces</v>
      </c>
      <c r="H3449" s="6" t="str">
        <f>IFERROR(__xludf.DUMMYFUNCTION("""COMPUTED_VALUE"""),"IDR")</f>
        <v>IDR</v>
      </c>
      <c r="I3449" s="6">
        <f>IFERROR(__xludf.DUMMYFUNCTION("""COMPUTED_VALUE"""),700000.0)</f>
        <v>700000</v>
      </c>
      <c r="J3449" s="6">
        <f>IFERROR(__xludf.DUMMYFUNCTION("""COMPUTED_VALUE"""),4200000.0)</f>
        <v>4200000</v>
      </c>
      <c r="K3449" s="57">
        <f>IFERROR(__xludf.DUMMYFUNCTION("""COMPUTED_VALUE"""),45528.0)</f>
        <v>45528</v>
      </c>
      <c r="L3449" s="6" t="str">
        <f>IFERROR(__xludf.DUMMYFUNCTION("""COMPUTED_VALUE"""),"FIP Engineering")</f>
        <v>FIP Engineering</v>
      </c>
      <c r="M3449" s="6" t="str">
        <f>IFERROR(__xludf.DUMMYFUNCTION("""COMPUTED_VALUE"""),"Mochammad Fadhillah Hakim,")</f>
        <v>Mochammad Fadhillah Hakim,</v>
      </c>
      <c r="N3449" s="6" t="str">
        <f>IFERROR(__xludf.DUMMYFUNCTION("""COMPUTED_VALUE"""),"FIP Engineering")</f>
        <v>FIP Engineering</v>
      </c>
      <c r="O3449" s="6" t="str">
        <f>IFERROR(__xludf.DUMMYFUNCTION("""COMPUTED_VALUE"""),"FIP-DOM-000-11304-OS00001-INA-000000")</f>
        <v>FIP-DOM-000-11304-OS00001-INA-000000</v>
      </c>
      <c r="P3449" s="6" t="str">
        <f>IFERROR(__xludf.DUMMYFUNCTION("""COMPUTED_VALUE"""),"PO Closed")</f>
        <v>PO Closed</v>
      </c>
      <c r="Q3449" s="6" t="str">
        <f>IFERROR(__xludf.DUMMYFUNCTION("""COMPUTED_VALUE"""),"GL2409026")</f>
        <v>GL2409026</v>
      </c>
      <c r="R3449" s="57">
        <f>IFERROR(__xludf.DUMMYFUNCTION("""COMPUTED_VALUE"""),45526.0)</f>
        <v>45526</v>
      </c>
      <c r="S3449" s="57">
        <f>IFERROR(__xludf.DUMMYFUNCTION("""COMPUTED_VALUE"""),45526.0)</f>
        <v>45526</v>
      </c>
      <c r="T3449" s="57">
        <f>IFERROR(__xludf.DUMMYFUNCTION("""COMPUTED_VALUE"""),45591.0)</f>
        <v>45591</v>
      </c>
    </row>
    <row r="3450">
      <c r="A3450" s="6" t="str">
        <f>IFERROR(__xludf.DUMMYFUNCTION("""COMPUTED_VALUE"""),"121701752-1")</f>
        <v>121701752-1</v>
      </c>
      <c r="B3450" s="6" t="str">
        <f>IFERROR(__xludf.DUMMYFUNCTION("""COMPUTED_VALUE"""),"121701752 - APPROVED")</f>
        <v>121701752 - APPROVED</v>
      </c>
      <c r="C3450" s="6">
        <f>IFERROR(__xludf.DUMMYFUNCTION("""COMPUTED_VALUE"""),1.0)</f>
        <v>1</v>
      </c>
      <c r="D3450" s="6" t="str">
        <f>IFERROR(__xludf.DUMMYFUNCTION("""COMPUTED_VALUE"""),"P-12898-00")</f>
        <v>P-12898-00</v>
      </c>
      <c r="E3450" s="6" t="str">
        <f>IFERROR(__xludf.DUMMYFUNCTION("""COMPUTED_VALUE"""),"Thermaflex lembaran uk. 1.5x1mtr tebal 1inch")</f>
        <v>Thermaflex lembaran uk. 1.5x1mtr tebal 1inch</v>
      </c>
      <c r="F3450" s="6">
        <f>IFERROR(__xludf.DUMMYFUNCTION("""COMPUTED_VALUE"""),3.0)</f>
        <v>3</v>
      </c>
      <c r="G3450" s="6" t="str">
        <f>IFERROR(__xludf.DUMMYFUNCTION("""COMPUTED_VALUE"""),"Pieces")</f>
        <v>Pieces</v>
      </c>
      <c r="H3450" s="6" t="str">
        <f>IFERROR(__xludf.DUMMYFUNCTION("""COMPUTED_VALUE"""),"IDR")</f>
        <v>IDR</v>
      </c>
      <c r="I3450" s="6">
        <f>IFERROR(__xludf.DUMMYFUNCTION("""COMPUTED_VALUE"""),100000.0)</f>
        <v>100000</v>
      </c>
      <c r="J3450" s="6">
        <f>IFERROR(__xludf.DUMMYFUNCTION("""COMPUTED_VALUE"""),300000.0)</f>
        <v>300000</v>
      </c>
      <c r="K3450" s="57">
        <f>IFERROR(__xludf.DUMMYFUNCTION("""COMPUTED_VALUE"""),45528.0)</f>
        <v>45528</v>
      </c>
      <c r="L3450" s="6" t="str">
        <f>IFERROR(__xludf.DUMMYFUNCTION("""COMPUTED_VALUE"""),"FIP Engineering")</f>
        <v>FIP Engineering</v>
      </c>
      <c r="M3450" s="6" t="str">
        <f>IFERROR(__xludf.DUMMYFUNCTION("""COMPUTED_VALUE"""),"Mochammad Fadhillah Hakim,")</f>
        <v>Mochammad Fadhillah Hakim,</v>
      </c>
      <c r="N3450" s="6" t="str">
        <f>IFERROR(__xludf.DUMMYFUNCTION("""COMPUTED_VALUE"""),"FIP Engineering")</f>
        <v>FIP Engineering</v>
      </c>
      <c r="O3450" s="6" t="str">
        <f>IFERROR(__xludf.DUMMYFUNCTION("""COMPUTED_VALUE"""),"FIP-DOM-000-11304-OS00001-INA-000000")</f>
        <v>FIP-DOM-000-11304-OS00001-INA-000000</v>
      </c>
      <c r="P3450" s="6" t="str">
        <f>IFERROR(__xludf.DUMMYFUNCTION("""COMPUTED_VALUE"""),"PO Closed")</f>
        <v>PO Closed</v>
      </c>
      <c r="Q3450" s="6" t="str">
        <f>IFERROR(__xludf.DUMMYFUNCTION("""COMPUTED_VALUE"""),"GL2409027")</f>
        <v>GL2409027</v>
      </c>
      <c r="R3450" s="57">
        <f>IFERROR(__xludf.DUMMYFUNCTION("""COMPUTED_VALUE"""),45526.0)</f>
        <v>45526</v>
      </c>
      <c r="S3450" s="57">
        <f>IFERROR(__xludf.DUMMYFUNCTION("""COMPUTED_VALUE"""),45527.0)</f>
        <v>45527</v>
      </c>
      <c r="T3450" s="57">
        <f>IFERROR(__xludf.DUMMYFUNCTION("""COMPUTED_VALUE"""),45591.0)</f>
        <v>45591</v>
      </c>
    </row>
    <row r="3451">
      <c r="A3451" s="6" t="str">
        <f>IFERROR(__xludf.DUMMYFUNCTION("""COMPUTED_VALUE"""),"121701752-2")</f>
        <v>121701752-2</v>
      </c>
      <c r="B3451" s="6" t="str">
        <f>IFERROR(__xludf.DUMMYFUNCTION("""COMPUTED_VALUE"""),"121701752 - APPROVED")</f>
        <v>121701752 - APPROVED</v>
      </c>
      <c r="C3451" s="6">
        <f>IFERROR(__xludf.DUMMYFUNCTION("""COMPUTED_VALUE"""),2.0)</f>
        <v>2</v>
      </c>
      <c r="D3451" s="6" t="str">
        <f>IFERROR(__xludf.DUMMYFUNCTION("""COMPUTED_VALUE"""),"P-51239-00")</f>
        <v>P-51239-00</v>
      </c>
      <c r="E3451" s="6" t="str">
        <f>IFERROR(__xludf.DUMMYFUNCTION("""COMPUTED_VALUE"""),"Skun ( I ) Pin uk.2.5-5 m hitam")</f>
        <v>Skun ( I ) Pin uk.2.5-5 m hitam</v>
      </c>
      <c r="F3451" s="6">
        <f>IFERROR(__xludf.DUMMYFUNCTION("""COMPUTED_VALUE"""),3.0)</f>
        <v>3</v>
      </c>
      <c r="G3451" s="6" t="str">
        <f>IFERROR(__xludf.DUMMYFUNCTION("""COMPUTED_VALUE"""),"Pieces")</f>
        <v>Pieces</v>
      </c>
      <c r="H3451" s="6" t="str">
        <f>IFERROR(__xludf.DUMMYFUNCTION("""COMPUTED_VALUE"""),"IDR")</f>
        <v>IDR</v>
      </c>
      <c r="I3451" s="6">
        <f>IFERROR(__xludf.DUMMYFUNCTION("""COMPUTED_VALUE"""),50000.0)</f>
        <v>50000</v>
      </c>
      <c r="J3451" s="6">
        <f>IFERROR(__xludf.DUMMYFUNCTION("""COMPUTED_VALUE"""),150000.0)</f>
        <v>150000</v>
      </c>
      <c r="K3451" s="57">
        <f>IFERROR(__xludf.DUMMYFUNCTION("""COMPUTED_VALUE"""),45528.0)</f>
        <v>45528</v>
      </c>
      <c r="L3451" s="6" t="str">
        <f>IFERROR(__xludf.DUMMYFUNCTION("""COMPUTED_VALUE"""),"FIP Engineering")</f>
        <v>FIP Engineering</v>
      </c>
      <c r="M3451" s="6" t="str">
        <f>IFERROR(__xludf.DUMMYFUNCTION("""COMPUTED_VALUE"""),"Mochammad Fadhillah Hakim,")</f>
        <v>Mochammad Fadhillah Hakim,</v>
      </c>
      <c r="N3451" s="6" t="str">
        <f>IFERROR(__xludf.DUMMYFUNCTION("""COMPUTED_VALUE"""),"FIP Engineering")</f>
        <v>FIP Engineering</v>
      </c>
      <c r="O3451" s="6" t="str">
        <f>IFERROR(__xludf.DUMMYFUNCTION("""COMPUTED_VALUE"""),"FIP-DOM-000-11304-OS00001-INA-000000")</f>
        <v>FIP-DOM-000-11304-OS00001-INA-000000</v>
      </c>
      <c r="P3451" s="6" t="str">
        <f>IFERROR(__xludf.DUMMYFUNCTION("""COMPUTED_VALUE"""),"PO Closed")</f>
        <v>PO Closed</v>
      </c>
      <c r="Q3451" s="6" t="str">
        <f>IFERROR(__xludf.DUMMYFUNCTION("""COMPUTED_VALUE"""),"GL2409027")</f>
        <v>GL2409027</v>
      </c>
      <c r="R3451" s="57">
        <f>IFERROR(__xludf.DUMMYFUNCTION("""COMPUTED_VALUE"""),45526.0)</f>
        <v>45526</v>
      </c>
      <c r="S3451" s="57">
        <f>IFERROR(__xludf.DUMMYFUNCTION("""COMPUTED_VALUE"""),45527.0)</f>
        <v>45527</v>
      </c>
      <c r="T3451" s="57">
        <f>IFERROR(__xludf.DUMMYFUNCTION("""COMPUTED_VALUE"""),45591.0)</f>
        <v>45591</v>
      </c>
    </row>
    <row r="3452">
      <c r="A3452" s="6" t="str">
        <f>IFERROR(__xludf.DUMMYFUNCTION("""COMPUTED_VALUE"""),"121701752-3")</f>
        <v>121701752-3</v>
      </c>
      <c r="B3452" s="6" t="str">
        <f>IFERROR(__xludf.DUMMYFUNCTION("""COMPUTED_VALUE"""),"121701752 - APPROVED")</f>
        <v>121701752 - APPROVED</v>
      </c>
      <c r="C3452" s="6">
        <f>IFERROR(__xludf.DUMMYFUNCTION("""COMPUTED_VALUE"""),3.0)</f>
        <v>3</v>
      </c>
      <c r="D3452" s="6" t="str">
        <f>IFERROR(__xludf.DUMMYFUNCTION("""COMPUTED_VALUE"""),"P-13389-00")</f>
        <v>P-13389-00</v>
      </c>
      <c r="E3452" s="6" t="str">
        <f>IFERROR(__xludf.DUMMYFUNCTION("""COMPUTED_VALUE"""),"Scotch Brite 3M; ; ;")</f>
        <v>Scotch Brite 3M; ; ;</v>
      </c>
      <c r="F3452" s="6">
        <f>IFERROR(__xludf.DUMMYFUNCTION("""COMPUTED_VALUE"""),10.0)</f>
        <v>10</v>
      </c>
      <c r="G3452" s="6" t="str">
        <f>IFERROR(__xludf.DUMMYFUNCTION("""COMPUTED_VALUE"""),"Pieces")</f>
        <v>Pieces</v>
      </c>
      <c r="H3452" s="6" t="str">
        <f>IFERROR(__xludf.DUMMYFUNCTION("""COMPUTED_VALUE"""),"IDR")</f>
        <v>IDR</v>
      </c>
      <c r="I3452" s="6">
        <f>IFERROR(__xludf.DUMMYFUNCTION("""COMPUTED_VALUE"""),13500.0)</f>
        <v>13500</v>
      </c>
      <c r="J3452" s="6">
        <f>IFERROR(__xludf.DUMMYFUNCTION("""COMPUTED_VALUE"""),135000.0)</f>
        <v>135000</v>
      </c>
      <c r="K3452" s="57">
        <f>IFERROR(__xludf.DUMMYFUNCTION("""COMPUTED_VALUE"""),45528.0)</f>
        <v>45528</v>
      </c>
      <c r="L3452" s="6" t="str">
        <f>IFERROR(__xludf.DUMMYFUNCTION("""COMPUTED_VALUE"""),"FIP Engineering")</f>
        <v>FIP Engineering</v>
      </c>
      <c r="M3452" s="6" t="str">
        <f>IFERROR(__xludf.DUMMYFUNCTION("""COMPUTED_VALUE"""),"Mochammad Fadhillah Hakim,")</f>
        <v>Mochammad Fadhillah Hakim,</v>
      </c>
      <c r="N3452" s="6" t="str">
        <f>IFERROR(__xludf.DUMMYFUNCTION("""COMPUTED_VALUE"""),"FIP Engineering")</f>
        <v>FIP Engineering</v>
      </c>
      <c r="O3452" s="6" t="str">
        <f>IFERROR(__xludf.DUMMYFUNCTION("""COMPUTED_VALUE"""),"FIP-DOM-000-11304-OS00001-INA-000000")</f>
        <v>FIP-DOM-000-11304-OS00001-INA-000000</v>
      </c>
      <c r="P3452" s="6" t="str">
        <f>IFERROR(__xludf.DUMMYFUNCTION("""COMPUTED_VALUE"""),"PO Closed")</f>
        <v>PO Closed</v>
      </c>
      <c r="Q3452" s="6" t="str">
        <f>IFERROR(__xludf.DUMMYFUNCTION("""COMPUTED_VALUE"""),"GL2409019")</f>
        <v>GL2409019</v>
      </c>
      <c r="R3452" s="57">
        <f>IFERROR(__xludf.DUMMYFUNCTION("""COMPUTED_VALUE"""),45526.0)</f>
        <v>45526</v>
      </c>
      <c r="S3452" s="57">
        <f>IFERROR(__xludf.DUMMYFUNCTION("""COMPUTED_VALUE"""),45527.0)</f>
        <v>45527</v>
      </c>
      <c r="T3452" s="57">
        <f>IFERROR(__xludf.DUMMYFUNCTION("""COMPUTED_VALUE"""),45601.0)</f>
        <v>45601</v>
      </c>
    </row>
    <row r="3453">
      <c r="A3453" s="6" t="str">
        <f>IFERROR(__xludf.DUMMYFUNCTION("""COMPUTED_VALUE"""),"121701752-4")</f>
        <v>121701752-4</v>
      </c>
      <c r="B3453" s="6" t="str">
        <f>IFERROR(__xludf.DUMMYFUNCTION("""COMPUTED_VALUE"""),"121701752 - APPROVED")</f>
        <v>121701752 - APPROVED</v>
      </c>
      <c r="C3453" s="6">
        <f>IFERROR(__xludf.DUMMYFUNCTION("""COMPUTED_VALUE"""),4.0)</f>
        <v>4</v>
      </c>
      <c r="D3453" s="6" t="str">
        <f>IFERROR(__xludf.DUMMYFUNCTION("""COMPUTED_VALUE"""),"O-15931-00")</f>
        <v>O-15931-00</v>
      </c>
      <c r="E3453" s="6" t="str">
        <f>IFERROR(__xludf.DUMMYFUNCTION("""COMPUTED_VALUE"""),"Double Tape 3M 1"" Merah - P/N : -  pc")</f>
        <v>Double Tape 3M 1" Merah - P/N : -  pc</v>
      </c>
      <c r="F3453" s="6">
        <f>IFERROR(__xludf.DUMMYFUNCTION("""COMPUTED_VALUE"""),8.0)</f>
        <v>8</v>
      </c>
      <c r="G3453" s="6" t="str">
        <f>IFERROR(__xludf.DUMMYFUNCTION("""COMPUTED_VALUE"""),"Pieces")</f>
        <v>Pieces</v>
      </c>
      <c r="H3453" s="6" t="str">
        <f>IFERROR(__xludf.DUMMYFUNCTION("""COMPUTED_VALUE"""),"IDR")</f>
        <v>IDR</v>
      </c>
      <c r="I3453" s="6">
        <f>IFERROR(__xludf.DUMMYFUNCTION("""COMPUTED_VALUE"""),78500.0)</f>
        <v>78500</v>
      </c>
      <c r="J3453" s="6">
        <f>IFERROR(__xludf.DUMMYFUNCTION("""COMPUTED_VALUE"""),628000.0)</f>
        <v>628000</v>
      </c>
      <c r="K3453" s="57">
        <f>IFERROR(__xludf.DUMMYFUNCTION("""COMPUTED_VALUE"""),45528.0)</f>
        <v>45528</v>
      </c>
      <c r="L3453" s="6" t="str">
        <f>IFERROR(__xludf.DUMMYFUNCTION("""COMPUTED_VALUE"""),"FIP Engineering")</f>
        <v>FIP Engineering</v>
      </c>
      <c r="M3453" s="6" t="str">
        <f>IFERROR(__xludf.DUMMYFUNCTION("""COMPUTED_VALUE"""),"Mochammad Fadhillah Hakim,")</f>
        <v>Mochammad Fadhillah Hakim,</v>
      </c>
      <c r="N3453" s="6" t="str">
        <f>IFERROR(__xludf.DUMMYFUNCTION("""COMPUTED_VALUE"""),"FIP Engineering")</f>
        <v>FIP Engineering</v>
      </c>
      <c r="O3453" s="6" t="str">
        <f>IFERROR(__xludf.DUMMYFUNCTION("""COMPUTED_VALUE"""),"FIP-DOM-000-11304-OS00001-INA-000000")</f>
        <v>FIP-DOM-000-11304-OS00001-INA-000000</v>
      </c>
      <c r="P3453" s="6" t="str">
        <f>IFERROR(__xludf.DUMMYFUNCTION("""COMPUTED_VALUE"""),"PO Closed")</f>
        <v>PO Closed</v>
      </c>
      <c r="Q3453" s="6" t="str">
        <f>IFERROR(__xludf.DUMMYFUNCTION("""COMPUTED_VALUE"""),"GL2409019")</f>
        <v>GL2409019</v>
      </c>
      <c r="R3453" s="57">
        <f>IFERROR(__xludf.DUMMYFUNCTION("""COMPUTED_VALUE"""),45526.0)</f>
        <v>45526</v>
      </c>
      <c r="S3453" s="57">
        <f>IFERROR(__xludf.DUMMYFUNCTION("""COMPUTED_VALUE"""),45527.0)</f>
        <v>45527</v>
      </c>
      <c r="T3453" s="57">
        <f>IFERROR(__xludf.DUMMYFUNCTION("""COMPUTED_VALUE"""),45601.0)</f>
        <v>45601</v>
      </c>
    </row>
    <row r="3454">
      <c r="A3454" s="6" t="str">
        <f>IFERROR(__xludf.DUMMYFUNCTION("""COMPUTED_VALUE"""),"121701752-5")</f>
        <v>121701752-5</v>
      </c>
      <c r="B3454" s="6" t="str">
        <f>IFERROR(__xludf.DUMMYFUNCTION("""COMPUTED_VALUE"""),"121701752 - APPROVED")</f>
        <v>121701752 - APPROVED</v>
      </c>
      <c r="C3454" s="6">
        <f>IFERROR(__xludf.DUMMYFUNCTION("""COMPUTED_VALUE"""),5.0)</f>
        <v>5</v>
      </c>
      <c r="D3454" s="6" t="str">
        <f>IFERROR(__xludf.DUMMYFUNCTION("""COMPUTED_VALUE"""),"P-13383-00")</f>
        <v>P-13383-00</v>
      </c>
      <c r="E3454" s="6" t="str">
        <f>IFERROR(__xludf.DUMMYFUNCTION("""COMPUTED_VALUE"""),"Silicone Sealant High Temp Red; ; ;")</f>
        <v>Silicone Sealant High Temp Red; ; ;</v>
      </c>
      <c r="F3454" s="6">
        <f>IFERROR(__xludf.DUMMYFUNCTION("""COMPUTED_VALUE"""),5.0)</f>
        <v>5</v>
      </c>
      <c r="G3454" s="6" t="str">
        <f>IFERROR(__xludf.DUMMYFUNCTION("""COMPUTED_VALUE"""),"Pieces")</f>
        <v>Pieces</v>
      </c>
      <c r="H3454" s="6" t="str">
        <f>IFERROR(__xludf.DUMMYFUNCTION("""COMPUTED_VALUE"""),"IDR")</f>
        <v>IDR</v>
      </c>
      <c r="I3454" s="6">
        <f>IFERROR(__xludf.DUMMYFUNCTION("""COMPUTED_VALUE"""),33250.0)</f>
        <v>33250</v>
      </c>
      <c r="J3454" s="6">
        <f>IFERROR(__xludf.DUMMYFUNCTION("""COMPUTED_VALUE"""),166250.0)</f>
        <v>166250</v>
      </c>
      <c r="K3454" s="57">
        <f>IFERROR(__xludf.DUMMYFUNCTION("""COMPUTED_VALUE"""),45528.0)</f>
        <v>45528</v>
      </c>
      <c r="L3454" s="6" t="str">
        <f>IFERROR(__xludf.DUMMYFUNCTION("""COMPUTED_VALUE"""),"FIP Engineering")</f>
        <v>FIP Engineering</v>
      </c>
      <c r="M3454" s="6" t="str">
        <f>IFERROR(__xludf.DUMMYFUNCTION("""COMPUTED_VALUE"""),"Mochammad Fadhillah Hakim,")</f>
        <v>Mochammad Fadhillah Hakim,</v>
      </c>
      <c r="N3454" s="6" t="str">
        <f>IFERROR(__xludf.DUMMYFUNCTION("""COMPUTED_VALUE"""),"FIP Engineering")</f>
        <v>FIP Engineering</v>
      </c>
      <c r="O3454" s="6" t="str">
        <f>IFERROR(__xludf.DUMMYFUNCTION("""COMPUTED_VALUE"""),"FIP-DOM-000-11304-OS00001-INA-000000")</f>
        <v>FIP-DOM-000-11304-OS00001-INA-000000</v>
      </c>
      <c r="P3454" s="6" t="str">
        <f>IFERROR(__xludf.DUMMYFUNCTION("""COMPUTED_VALUE"""),"PO Closed")</f>
        <v>PO Closed</v>
      </c>
      <c r="Q3454" s="6" t="str">
        <f>IFERROR(__xludf.DUMMYFUNCTION("""COMPUTED_VALUE"""),"GL2409019")</f>
        <v>GL2409019</v>
      </c>
      <c r="R3454" s="57">
        <f>IFERROR(__xludf.DUMMYFUNCTION("""COMPUTED_VALUE"""),45526.0)</f>
        <v>45526</v>
      </c>
      <c r="S3454" s="57">
        <f>IFERROR(__xludf.DUMMYFUNCTION("""COMPUTED_VALUE"""),45527.0)</f>
        <v>45527</v>
      </c>
      <c r="T3454" s="57">
        <f>IFERROR(__xludf.DUMMYFUNCTION("""COMPUTED_VALUE"""),45601.0)</f>
        <v>45601</v>
      </c>
    </row>
    <row r="3455">
      <c r="A3455" s="6" t="str">
        <f>IFERROR(__xludf.DUMMYFUNCTION("""COMPUTED_VALUE"""),"121701753-1")</f>
        <v>121701753-1</v>
      </c>
      <c r="B3455" s="6" t="str">
        <f>IFERROR(__xludf.DUMMYFUNCTION("""COMPUTED_VALUE"""),"121701753 - APPROVED")</f>
        <v>121701753 - APPROVED</v>
      </c>
      <c r="C3455" s="6">
        <f>IFERROR(__xludf.DUMMYFUNCTION("""COMPUTED_VALUE"""),1.0)</f>
        <v>1</v>
      </c>
      <c r="D3455" s="6" t="str">
        <f>IFERROR(__xludf.DUMMYFUNCTION("""COMPUTED_VALUE"""),"Q-10517-00")</f>
        <v>Q-10517-00</v>
      </c>
      <c r="E3455" s="6" t="str">
        <f>IFERROR(__xludf.DUMMYFUNCTION("""COMPUTED_VALUE"""),"Scraper / Kape Besi; ; ;")</f>
        <v>Scraper / Kape Besi; ; ;</v>
      </c>
      <c r="F3455" s="6">
        <f>IFERROR(__xludf.DUMMYFUNCTION("""COMPUTED_VALUE"""),3.0)</f>
        <v>3</v>
      </c>
      <c r="G3455" s="6" t="str">
        <f>IFERROR(__xludf.DUMMYFUNCTION("""COMPUTED_VALUE"""),"Pieces")</f>
        <v>Pieces</v>
      </c>
      <c r="H3455" s="6" t="str">
        <f>IFERROR(__xludf.DUMMYFUNCTION("""COMPUTED_VALUE"""),"IDR")</f>
        <v>IDR</v>
      </c>
      <c r="I3455" s="6">
        <f>IFERROR(__xludf.DUMMYFUNCTION("""COMPUTED_VALUE"""),18000.0)</f>
        <v>18000</v>
      </c>
      <c r="J3455" s="6">
        <f>IFERROR(__xludf.DUMMYFUNCTION("""COMPUTED_VALUE"""),54000.0)</f>
        <v>54000</v>
      </c>
      <c r="K3455" s="57">
        <f>IFERROR(__xludf.DUMMYFUNCTION("""COMPUTED_VALUE"""),45528.0)</f>
        <v>45528</v>
      </c>
      <c r="L3455" s="6" t="str">
        <f>IFERROR(__xludf.DUMMYFUNCTION("""COMPUTED_VALUE"""),"FIP General")</f>
        <v>FIP General</v>
      </c>
      <c r="M3455" s="6" t="str">
        <f>IFERROR(__xludf.DUMMYFUNCTION("""COMPUTED_VALUE"""),"Mochammad Fadhillah Hakim,")</f>
        <v>Mochammad Fadhillah Hakim,</v>
      </c>
      <c r="N3455" s="6" t="str">
        <f>IFERROR(__xludf.DUMMYFUNCTION("""COMPUTED_VALUE"""),"FIP Engineering")</f>
        <v>FIP Engineering</v>
      </c>
      <c r="O3455" s="6" t="str">
        <f>IFERROR(__xludf.DUMMYFUNCTION("""COMPUTED_VALUE"""),"FIP-DOM-ENG-51502-0000000-INA-000000")</f>
        <v>FIP-DOM-ENG-51502-0000000-INA-000000</v>
      </c>
      <c r="P3455" s="6" t="str">
        <f>IFERROR(__xludf.DUMMYFUNCTION("""COMPUTED_VALUE"""),"PO Closed")</f>
        <v>PO Closed</v>
      </c>
      <c r="Q3455" s="6" t="str">
        <f>IFERROR(__xludf.DUMMYFUNCTION("""COMPUTED_VALUE"""),"GL2409436")</f>
        <v>GL2409436</v>
      </c>
      <c r="R3455" s="57">
        <f>IFERROR(__xludf.DUMMYFUNCTION("""COMPUTED_VALUE"""),45526.0)</f>
        <v>45526</v>
      </c>
      <c r="S3455" s="57">
        <f>IFERROR(__xludf.DUMMYFUNCTION("""COMPUTED_VALUE"""),45527.0)</f>
        <v>45527</v>
      </c>
      <c r="T3455" s="57">
        <f>IFERROR(__xludf.DUMMYFUNCTION("""COMPUTED_VALUE"""),45565.0)</f>
        <v>45565</v>
      </c>
    </row>
    <row r="3456">
      <c r="A3456" s="6" t="str">
        <f>IFERROR(__xludf.DUMMYFUNCTION("""COMPUTED_VALUE"""),"121701753-2")</f>
        <v>121701753-2</v>
      </c>
      <c r="B3456" s="6" t="str">
        <f>IFERROR(__xludf.DUMMYFUNCTION("""COMPUTED_VALUE"""),"121701753 - APPROVED")</f>
        <v>121701753 - APPROVED</v>
      </c>
      <c r="C3456" s="6">
        <f>IFERROR(__xludf.DUMMYFUNCTION("""COMPUTED_VALUE"""),2.0)</f>
        <v>2</v>
      </c>
      <c r="D3456" s="6" t="str">
        <f>IFERROR(__xludf.DUMMYFUNCTION("""COMPUTED_VALUE"""),"Q-10153-00")</f>
        <v>Q-10153-00</v>
      </c>
      <c r="E3456" s="6" t="str">
        <f>IFERROR(__xludf.DUMMYFUNCTION("""COMPUTED_VALUE"""),"Roller cat 110mm")</f>
        <v>Roller cat 110mm</v>
      </c>
      <c r="F3456" s="6">
        <f>IFERROR(__xludf.DUMMYFUNCTION("""COMPUTED_VALUE"""),2.0)</f>
        <v>2</v>
      </c>
      <c r="G3456" s="6" t="str">
        <f>IFERROR(__xludf.DUMMYFUNCTION("""COMPUTED_VALUE"""),"Pieces")</f>
        <v>Pieces</v>
      </c>
      <c r="H3456" s="6" t="str">
        <f>IFERROR(__xludf.DUMMYFUNCTION("""COMPUTED_VALUE"""),"IDR")</f>
        <v>IDR</v>
      </c>
      <c r="I3456" s="6">
        <f>IFERROR(__xludf.DUMMYFUNCTION("""COMPUTED_VALUE"""),27000.0)</f>
        <v>27000</v>
      </c>
      <c r="J3456" s="6">
        <f>IFERROR(__xludf.DUMMYFUNCTION("""COMPUTED_VALUE"""),54000.0)</f>
        <v>54000</v>
      </c>
      <c r="K3456" s="57">
        <f>IFERROR(__xludf.DUMMYFUNCTION("""COMPUTED_VALUE"""),45528.0)</f>
        <v>45528</v>
      </c>
      <c r="L3456" s="6" t="str">
        <f>IFERROR(__xludf.DUMMYFUNCTION("""COMPUTED_VALUE"""),"FIP Engineering")</f>
        <v>FIP Engineering</v>
      </c>
      <c r="M3456" s="6" t="str">
        <f>IFERROR(__xludf.DUMMYFUNCTION("""COMPUTED_VALUE"""),"Mochammad Fadhillah Hakim,")</f>
        <v>Mochammad Fadhillah Hakim,</v>
      </c>
      <c r="N3456" s="6" t="str">
        <f>IFERROR(__xludf.DUMMYFUNCTION("""COMPUTED_VALUE"""),"FIP Engineering")</f>
        <v>FIP Engineering</v>
      </c>
      <c r="O3456" s="6" t="str">
        <f>IFERROR(__xludf.DUMMYFUNCTION("""COMPUTED_VALUE"""),"FIP-DOM-000-11304-OS00001-INA-000000")</f>
        <v>FIP-DOM-000-11304-OS00001-INA-000000</v>
      </c>
      <c r="P3456" s="6" t="str">
        <f>IFERROR(__xludf.DUMMYFUNCTION("""COMPUTED_VALUE"""),"PO Closed")</f>
        <v>PO Closed</v>
      </c>
      <c r="Q3456" s="6" t="str">
        <f>IFERROR(__xludf.DUMMYFUNCTION("""COMPUTED_VALUE"""),"GL2409436")</f>
        <v>GL2409436</v>
      </c>
      <c r="R3456" s="57">
        <f>IFERROR(__xludf.DUMMYFUNCTION("""COMPUTED_VALUE"""),45526.0)</f>
        <v>45526</v>
      </c>
      <c r="S3456" s="57">
        <f>IFERROR(__xludf.DUMMYFUNCTION("""COMPUTED_VALUE"""),45527.0)</f>
        <v>45527</v>
      </c>
      <c r="T3456" s="57">
        <f>IFERROR(__xludf.DUMMYFUNCTION("""COMPUTED_VALUE"""),45565.0)</f>
        <v>45565</v>
      </c>
    </row>
    <row r="3457">
      <c r="A3457" s="6" t="str">
        <f>IFERROR(__xludf.DUMMYFUNCTION("""COMPUTED_VALUE"""),"121701753-3")</f>
        <v>121701753-3</v>
      </c>
      <c r="B3457" s="6" t="str">
        <f>IFERROR(__xludf.DUMMYFUNCTION("""COMPUTED_VALUE"""),"121701753 - APPROVED")</f>
        <v>121701753 - APPROVED</v>
      </c>
      <c r="C3457" s="6">
        <f>IFERROR(__xludf.DUMMYFUNCTION("""COMPUTED_VALUE"""),3.0)</f>
        <v>3</v>
      </c>
      <c r="D3457" s="6" t="str">
        <f>IFERROR(__xludf.DUMMYFUNCTION("""COMPUTED_VALUE"""),"Q-10154-00")</f>
        <v>Q-10154-00</v>
      </c>
      <c r="E3457" s="6" t="str">
        <f>IFERROR(__xludf.DUMMYFUNCTION("""COMPUTED_VALUE"""),"Roller cat 230mm")</f>
        <v>Roller cat 230mm</v>
      </c>
      <c r="F3457" s="6">
        <f>IFERROR(__xludf.DUMMYFUNCTION("""COMPUTED_VALUE"""),2.0)</f>
        <v>2</v>
      </c>
      <c r="G3457" s="6" t="str">
        <f>IFERROR(__xludf.DUMMYFUNCTION("""COMPUTED_VALUE"""),"Pieces")</f>
        <v>Pieces</v>
      </c>
      <c r="H3457" s="6" t="str">
        <f>IFERROR(__xludf.DUMMYFUNCTION("""COMPUTED_VALUE"""),"IDR")</f>
        <v>IDR</v>
      </c>
      <c r="I3457" s="6">
        <f>IFERROR(__xludf.DUMMYFUNCTION("""COMPUTED_VALUE"""),37000.0)</f>
        <v>37000</v>
      </c>
      <c r="J3457" s="6">
        <f>IFERROR(__xludf.DUMMYFUNCTION("""COMPUTED_VALUE"""),74000.0)</f>
        <v>74000</v>
      </c>
      <c r="K3457" s="57">
        <f>IFERROR(__xludf.DUMMYFUNCTION("""COMPUTED_VALUE"""),45528.0)</f>
        <v>45528</v>
      </c>
      <c r="L3457" s="6" t="str">
        <f>IFERROR(__xludf.DUMMYFUNCTION("""COMPUTED_VALUE"""),"FIP Engineering")</f>
        <v>FIP Engineering</v>
      </c>
      <c r="M3457" s="6" t="str">
        <f>IFERROR(__xludf.DUMMYFUNCTION("""COMPUTED_VALUE"""),"Mochammad Fadhillah Hakim,")</f>
        <v>Mochammad Fadhillah Hakim,</v>
      </c>
      <c r="N3457" s="6" t="str">
        <f>IFERROR(__xludf.DUMMYFUNCTION("""COMPUTED_VALUE"""),"FIP Engineering")</f>
        <v>FIP Engineering</v>
      </c>
      <c r="O3457" s="6" t="str">
        <f>IFERROR(__xludf.DUMMYFUNCTION("""COMPUTED_VALUE"""),"FIP-DOM-000-11304-OS00001-INA-000000")</f>
        <v>FIP-DOM-000-11304-OS00001-INA-000000</v>
      </c>
      <c r="P3457" s="6" t="str">
        <f>IFERROR(__xludf.DUMMYFUNCTION("""COMPUTED_VALUE"""),"PO Closed")</f>
        <v>PO Closed</v>
      </c>
      <c r="Q3457" s="6" t="str">
        <f>IFERROR(__xludf.DUMMYFUNCTION("""COMPUTED_VALUE"""),"GL2409436")</f>
        <v>GL2409436</v>
      </c>
      <c r="R3457" s="57">
        <f>IFERROR(__xludf.DUMMYFUNCTION("""COMPUTED_VALUE"""),45526.0)</f>
        <v>45526</v>
      </c>
      <c r="S3457" s="57">
        <f>IFERROR(__xludf.DUMMYFUNCTION("""COMPUTED_VALUE"""),45527.0)</f>
        <v>45527</v>
      </c>
      <c r="T3457" s="57">
        <f>IFERROR(__xludf.DUMMYFUNCTION("""COMPUTED_VALUE"""),45565.0)</f>
        <v>45565</v>
      </c>
    </row>
    <row r="3458">
      <c r="A3458" s="6" t="str">
        <f>IFERROR(__xludf.DUMMYFUNCTION("""COMPUTED_VALUE"""),"121701754-1")</f>
        <v>121701754-1</v>
      </c>
      <c r="B3458" s="6" t="str">
        <f>IFERROR(__xludf.DUMMYFUNCTION("""COMPUTED_VALUE"""),"121701754 - APPROVED")</f>
        <v>121701754 - APPROVED</v>
      </c>
      <c r="C3458" s="6">
        <f>IFERROR(__xludf.DUMMYFUNCTION("""COMPUTED_VALUE"""),1.0)</f>
        <v>1</v>
      </c>
      <c r="D3458" s="6" t="str">
        <f>IFERROR(__xludf.DUMMYFUNCTION("""COMPUTED_VALUE"""),"S-62003-00")</f>
        <v>S-62003-00</v>
      </c>
      <c r="E3458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58" s="6">
        <f>IFERROR(__xludf.DUMMYFUNCTION("""COMPUTED_VALUE"""),1.0)</f>
        <v>1</v>
      </c>
      <c r="G3458" s="6" t="str">
        <f>IFERROR(__xludf.DUMMYFUNCTION("""COMPUTED_VALUE"""),"Tube")</f>
        <v>Tube</v>
      </c>
      <c r="H3458" s="6" t="str">
        <f>IFERROR(__xludf.DUMMYFUNCTION("""COMPUTED_VALUE"""),"IDR")</f>
        <v>IDR</v>
      </c>
      <c r="I3458" s="6">
        <f>IFERROR(__xludf.DUMMYFUNCTION("""COMPUTED_VALUE"""),790000.0)</f>
        <v>790000</v>
      </c>
      <c r="J3458" s="6">
        <f>IFERROR(__xludf.DUMMYFUNCTION("""COMPUTED_VALUE"""),790000.0)</f>
        <v>790000</v>
      </c>
      <c r="K3458" s="57">
        <f>IFERROR(__xludf.DUMMYFUNCTION("""COMPUTED_VALUE"""),45529.0)</f>
        <v>45529</v>
      </c>
      <c r="L3458" s="6" t="str">
        <f>IFERROR(__xludf.DUMMYFUNCTION("""COMPUTED_VALUE"""),"FIP General")</f>
        <v>FIP General</v>
      </c>
      <c r="M3458" s="6" t="str">
        <f>IFERROR(__xludf.DUMMYFUNCTION("""COMPUTED_VALUE"""),"Mochammad Fadhillah Hakim,")</f>
        <v>Mochammad Fadhillah Hakim,</v>
      </c>
      <c r="N3458" s="6" t="str">
        <f>IFERROR(__xludf.DUMMYFUNCTION("""COMPUTED_VALUE"""),"FIP Engineering")</f>
        <v>FIP Engineering</v>
      </c>
      <c r="O3458" s="6" t="str">
        <f>IFERROR(__xludf.DUMMYFUNCTION("""COMPUTED_VALUE"""),"FIP-DOM-ENG-51409-0000000-INA-000000")</f>
        <v>FIP-DOM-ENG-51409-0000000-INA-000000</v>
      </c>
      <c r="P3458" s="6" t="str">
        <f>IFERROR(__xludf.DUMMYFUNCTION("""COMPUTED_VALUE"""),"PO Closed")</f>
        <v>PO Closed</v>
      </c>
      <c r="Q3458" s="6" t="str">
        <f>IFERROR(__xludf.DUMMYFUNCTION("""COMPUTED_VALUE"""),"GL2409431")</f>
        <v>GL2409431</v>
      </c>
      <c r="R3458" s="57">
        <f>IFERROR(__xludf.DUMMYFUNCTION("""COMPUTED_VALUE"""),45527.0)</f>
        <v>45527</v>
      </c>
      <c r="S3458" s="57">
        <f>IFERROR(__xludf.DUMMYFUNCTION("""COMPUTED_VALUE"""),45527.0)</f>
        <v>45527</v>
      </c>
      <c r="T3458" s="57">
        <f>IFERROR(__xludf.DUMMYFUNCTION("""COMPUTED_VALUE"""),45545.0)</f>
        <v>45545</v>
      </c>
    </row>
    <row r="3459">
      <c r="A3459" s="6" t="str">
        <f>IFERROR(__xludf.DUMMYFUNCTION("""COMPUTED_VALUE"""),"121701755-1")</f>
        <v>121701755-1</v>
      </c>
      <c r="B3459" s="6" t="str">
        <f>IFERROR(__xludf.DUMMYFUNCTION("""COMPUTED_VALUE"""),"121701755 - APPROVED")</f>
        <v>121701755 - APPROVED</v>
      </c>
      <c r="C3459" s="6">
        <f>IFERROR(__xludf.DUMMYFUNCTION("""COMPUTED_VALUE"""),1.0)</f>
        <v>1</v>
      </c>
      <c r="D3459" s="6" t="str">
        <f>IFERROR(__xludf.DUMMYFUNCTION("""COMPUTED_VALUE"""),"S-62023-00")</f>
        <v>S-62023-00</v>
      </c>
      <c r="E3459" s="6" t="str">
        <f>IFERROR(__xludf.DUMMYFUNCTION("""COMPUTED_VALUE"""),"Gas Nitrogen 1; Alphagaz; ;")</f>
        <v>Gas Nitrogen 1; Alphagaz; ;</v>
      </c>
      <c r="F3459" s="6">
        <f>IFERROR(__xludf.DUMMYFUNCTION("""COMPUTED_VALUE"""),3.0)</f>
        <v>3</v>
      </c>
      <c r="G3459" s="6" t="str">
        <f>IFERROR(__xludf.DUMMYFUNCTION("""COMPUTED_VALUE"""),"Unit")</f>
        <v>Unit</v>
      </c>
      <c r="H3459" s="6" t="str">
        <f>IFERROR(__xludf.DUMMYFUNCTION("""COMPUTED_VALUE"""),"IDR")</f>
        <v>IDR</v>
      </c>
      <c r="I3459" s="6">
        <f>IFERROR(__xludf.DUMMYFUNCTION("""COMPUTED_VALUE"""),370000.0)</f>
        <v>370000</v>
      </c>
      <c r="J3459" s="6">
        <f>IFERROR(__xludf.DUMMYFUNCTION("""COMPUTED_VALUE"""),1110000.0)</f>
        <v>1110000</v>
      </c>
      <c r="K3459" s="57">
        <f>IFERROR(__xludf.DUMMYFUNCTION("""COMPUTED_VALUE"""),45529.0)</f>
        <v>45529</v>
      </c>
      <c r="L3459" s="6" t="str">
        <f>IFERROR(__xludf.DUMMYFUNCTION("""COMPUTED_VALUE"""),"FIP General")</f>
        <v>FIP General</v>
      </c>
      <c r="M3459" s="6" t="str">
        <f>IFERROR(__xludf.DUMMYFUNCTION("""COMPUTED_VALUE"""),"Mochammad Fadhillah Hakim,")</f>
        <v>Mochammad Fadhillah Hakim,</v>
      </c>
      <c r="N3459" s="6" t="str">
        <f>IFERROR(__xludf.DUMMYFUNCTION("""COMPUTED_VALUE"""),"FIP Engineering")</f>
        <v>FIP Engineering</v>
      </c>
      <c r="O3459" s="6" t="str">
        <f>IFERROR(__xludf.DUMMYFUNCTION("""COMPUTED_VALUE"""),"FIP-DOM-ENG-51409-0000000-INA-000000")</f>
        <v>FIP-DOM-ENG-51409-0000000-INA-000000</v>
      </c>
      <c r="P3459" s="6" t="str">
        <f>IFERROR(__xludf.DUMMYFUNCTION("""COMPUTED_VALUE"""),"PO Closed")</f>
        <v>PO Closed</v>
      </c>
      <c r="Q3459" s="6" t="str">
        <f>IFERROR(__xludf.DUMMYFUNCTION("""COMPUTED_VALUE"""),"GL2409428")</f>
        <v>GL2409428</v>
      </c>
      <c r="R3459" s="57">
        <f>IFERROR(__xludf.DUMMYFUNCTION("""COMPUTED_VALUE"""),45527.0)</f>
        <v>45527</v>
      </c>
      <c r="S3459" s="57">
        <f>IFERROR(__xludf.DUMMYFUNCTION("""COMPUTED_VALUE"""),45527.0)</f>
        <v>45527</v>
      </c>
      <c r="T3459" s="57">
        <f>IFERROR(__xludf.DUMMYFUNCTION("""COMPUTED_VALUE"""),45551.0)</f>
        <v>45551</v>
      </c>
    </row>
    <row r="3460">
      <c r="A3460" s="6" t="str">
        <f>IFERROR(__xludf.DUMMYFUNCTION("""COMPUTED_VALUE"""),"121701758-1")</f>
        <v>121701758-1</v>
      </c>
      <c r="B3460" s="6" t="str">
        <f>IFERROR(__xludf.DUMMYFUNCTION("""COMPUTED_VALUE"""),"121701758 - APPROVED")</f>
        <v>121701758 - APPROVED</v>
      </c>
      <c r="C3460" s="6">
        <f>IFERROR(__xludf.DUMMYFUNCTION("""COMPUTED_VALUE"""),1.0)</f>
        <v>1</v>
      </c>
      <c r="D3460" s="6" t="str">
        <f>IFERROR(__xludf.DUMMYFUNCTION("""COMPUTED_VALUE"""),"P-10392-00")</f>
        <v>P-10392-00</v>
      </c>
      <c r="E3460" s="6" t="str">
        <f>IFERROR(__xludf.DUMMYFUNCTION("""COMPUTED_VALUE"""),"Ball Valve SS 1"" / 1000 WOG Sankyo")</f>
        <v>Ball Valve SS 1" / 1000 WOG Sankyo</v>
      </c>
      <c r="F3460" s="6">
        <f>IFERROR(__xludf.DUMMYFUNCTION("""COMPUTED_VALUE"""),3.0)</f>
        <v>3</v>
      </c>
      <c r="G3460" s="6" t="str">
        <f>IFERROR(__xludf.DUMMYFUNCTION("""COMPUTED_VALUE"""),"Pieces")</f>
        <v>Pieces</v>
      </c>
      <c r="H3460" s="6" t="str">
        <f>IFERROR(__xludf.DUMMYFUNCTION("""COMPUTED_VALUE"""),"IDR")</f>
        <v>IDR</v>
      </c>
      <c r="I3460" s="6">
        <f>IFERROR(__xludf.DUMMYFUNCTION("""COMPUTED_VALUE"""),150000.0)</f>
        <v>150000</v>
      </c>
      <c r="J3460" s="6">
        <f>IFERROR(__xludf.DUMMYFUNCTION("""COMPUTED_VALUE"""),450000.0)</f>
        <v>450000</v>
      </c>
      <c r="K3460" s="57">
        <f>IFERROR(__xludf.DUMMYFUNCTION("""COMPUTED_VALUE"""),45532.0)</f>
        <v>45532</v>
      </c>
      <c r="L3460" s="6" t="str">
        <f>IFERROR(__xludf.DUMMYFUNCTION("""COMPUTED_VALUE"""),"FIP Engineering")</f>
        <v>FIP Engineering</v>
      </c>
      <c r="M3460" s="6" t="str">
        <f>IFERROR(__xludf.DUMMYFUNCTION("""COMPUTED_VALUE"""),"Mochammad Fadhillah Hakim,")</f>
        <v>Mochammad Fadhillah Hakim,</v>
      </c>
      <c r="N3460" s="6" t="str">
        <f>IFERROR(__xludf.DUMMYFUNCTION("""COMPUTED_VALUE"""),"FIP Engineering")</f>
        <v>FIP Engineering</v>
      </c>
      <c r="O3460" s="6" t="str">
        <f>IFERROR(__xludf.DUMMYFUNCTION("""COMPUTED_VALUE"""),"FIP-DOM-000-11304-OS00001-INA-000000")</f>
        <v>FIP-DOM-000-11304-OS00001-INA-000000</v>
      </c>
      <c r="P3460" s="6" t="str">
        <f>IFERROR(__xludf.DUMMYFUNCTION("""COMPUTED_VALUE"""),"PO Closed")</f>
        <v>PO Closed</v>
      </c>
      <c r="Q3460" s="6" t="str">
        <f>IFERROR(__xludf.DUMMYFUNCTION("""COMPUTED_VALUE"""),"GL2409019")</f>
        <v>GL2409019</v>
      </c>
      <c r="R3460" s="57">
        <f>IFERROR(__xludf.DUMMYFUNCTION("""COMPUTED_VALUE"""),45530.0)</f>
        <v>45530</v>
      </c>
      <c r="S3460" s="57">
        <f>IFERROR(__xludf.DUMMYFUNCTION("""COMPUTED_VALUE"""),45532.0)</f>
        <v>45532</v>
      </c>
      <c r="T3460" s="57">
        <f>IFERROR(__xludf.DUMMYFUNCTION("""COMPUTED_VALUE"""),45601.0)</f>
        <v>45601</v>
      </c>
    </row>
    <row r="3461">
      <c r="A3461" s="6" t="str">
        <f>IFERROR(__xludf.DUMMYFUNCTION("""COMPUTED_VALUE"""),"121701759-1")</f>
        <v>121701759-1</v>
      </c>
      <c r="B3461" s="6" t="str">
        <f>IFERROR(__xludf.DUMMYFUNCTION("""COMPUTED_VALUE"""),"121701759 - APPROVED")</f>
        <v>121701759 - APPROVED</v>
      </c>
      <c r="C3461" s="6">
        <f>IFERROR(__xludf.DUMMYFUNCTION("""COMPUTED_VALUE"""),1.0)</f>
        <v>1</v>
      </c>
      <c r="D3461" s="6" t="str">
        <f>IFERROR(__xludf.DUMMYFUNCTION("""COMPUTED_VALUE"""),"P-19144-00")</f>
        <v>P-19144-00</v>
      </c>
      <c r="E3461" s="6" t="str">
        <f>IFERROR(__xludf.DUMMYFUNCTION("""COMPUTED_VALUE"""),"O-ring Silicon Diameter 5,33mm; Lokal; ;")</f>
        <v>O-ring Silicon Diameter 5,33mm; Lokal; ;</v>
      </c>
      <c r="F3461" s="6">
        <f>IFERROR(__xludf.DUMMYFUNCTION("""COMPUTED_VALUE"""),5.0)</f>
        <v>5</v>
      </c>
      <c r="G3461" s="6" t="str">
        <f>IFERROR(__xludf.DUMMYFUNCTION("""COMPUTED_VALUE"""),"Meter")</f>
        <v>Meter</v>
      </c>
      <c r="H3461" s="6" t="str">
        <f>IFERROR(__xludf.DUMMYFUNCTION("""COMPUTED_VALUE"""),"IDR")</f>
        <v>IDR</v>
      </c>
      <c r="I3461" s="6">
        <f>IFERROR(__xludf.DUMMYFUNCTION("""COMPUTED_VALUE"""),135000.0)</f>
        <v>135000</v>
      </c>
      <c r="J3461" s="6">
        <f>IFERROR(__xludf.DUMMYFUNCTION("""COMPUTED_VALUE"""),675000.0)</f>
        <v>675000</v>
      </c>
      <c r="K3461" s="57">
        <f>IFERROR(__xludf.DUMMYFUNCTION("""COMPUTED_VALUE"""),45532.0)</f>
        <v>45532</v>
      </c>
      <c r="L3461" s="6" t="str">
        <f>IFERROR(__xludf.DUMMYFUNCTION("""COMPUTED_VALUE"""),"FIP Engineering")</f>
        <v>FIP Engineering</v>
      </c>
      <c r="M3461" s="6" t="str">
        <f>IFERROR(__xludf.DUMMYFUNCTION("""COMPUTED_VALUE"""),"Mochammad Fadhillah Hakim,")</f>
        <v>Mochammad Fadhillah Hakim,</v>
      </c>
      <c r="N3461" s="6" t="str">
        <f>IFERROR(__xludf.DUMMYFUNCTION("""COMPUTED_VALUE"""),"FIP Engineering")</f>
        <v>FIP Engineering</v>
      </c>
      <c r="O3461" s="6" t="str">
        <f>IFERROR(__xludf.DUMMYFUNCTION("""COMPUTED_VALUE"""),"FIP-DOM-000-11304-OS00001-INA-000000")</f>
        <v>FIP-DOM-000-11304-OS00001-INA-000000</v>
      </c>
      <c r="P3461" s="6" t="str">
        <f>IFERROR(__xludf.DUMMYFUNCTION("""COMPUTED_VALUE"""),"PO Closed")</f>
        <v>PO Closed</v>
      </c>
      <c r="Q3461" s="6" t="str">
        <f>IFERROR(__xludf.DUMMYFUNCTION("""COMPUTED_VALUE"""),"GL2410006")</f>
        <v>GL2410006</v>
      </c>
      <c r="R3461" s="57">
        <f>IFERROR(__xludf.DUMMYFUNCTION("""COMPUTED_VALUE"""),45530.0)</f>
        <v>45530</v>
      </c>
      <c r="S3461" s="57">
        <f>IFERROR(__xludf.DUMMYFUNCTION("""COMPUTED_VALUE"""),45544.0)</f>
        <v>45544</v>
      </c>
      <c r="T3461" s="57">
        <f>IFERROR(__xludf.DUMMYFUNCTION("""COMPUTED_VALUE"""),45616.0)</f>
        <v>45616</v>
      </c>
    </row>
    <row r="3462">
      <c r="A3462" s="6" t="str">
        <f>IFERROR(__xludf.DUMMYFUNCTION("""COMPUTED_VALUE"""),"121701760-1")</f>
        <v>121701760-1</v>
      </c>
      <c r="B3462" s="6" t="str">
        <f>IFERROR(__xludf.DUMMYFUNCTION("""COMPUTED_VALUE"""),"121701760 - APPROVED")</f>
        <v>121701760 - APPROVED</v>
      </c>
      <c r="C3462" s="6">
        <f>IFERROR(__xludf.DUMMYFUNCTION("""COMPUTED_VALUE"""),1.0)</f>
        <v>1</v>
      </c>
      <c r="D3462" s="6" t="str">
        <f>IFERROR(__xludf.DUMMYFUNCTION("""COMPUTED_VALUE"""),"S-60050-00")</f>
        <v>S-60050-00</v>
      </c>
      <c r="E3462" s="6" t="str">
        <f>IFERROR(__xludf.DUMMYFUNCTION("""COMPUTED_VALUE"""),"Jasa Perbaikan dan Pemeliharaan Mesin Produksi; ; ;")</f>
        <v>Jasa Perbaikan dan Pemeliharaan Mesin Produksi; ; ;</v>
      </c>
      <c r="F3462" s="6">
        <f>IFERROR(__xludf.DUMMYFUNCTION("""COMPUTED_VALUE"""),1.0)</f>
        <v>1</v>
      </c>
      <c r="G3462" s="6" t="str">
        <f>IFERROR(__xludf.DUMMYFUNCTION("""COMPUTED_VALUE"""),"Pieces")</f>
        <v>Pieces</v>
      </c>
      <c r="H3462" s="6" t="str">
        <f>IFERROR(__xludf.DUMMYFUNCTION("""COMPUTED_VALUE"""),"IDR")</f>
        <v>IDR</v>
      </c>
      <c r="I3462" s="6">
        <f>IFERROR(__xludf.DUMMYFUNCTION("""COMPUTED_VALUE"""),3.5E7)</f>
        <v>35000000</v>
      </c>
      <c r="J3462" s="6">
        <f>IFERROR(__xludf.DUMMYFUNCTION("""COMPUTED_VALUE"""),3.5E7)</f>
        <v>35000000</v>
      </c>
      <c r="K3462" s="57">
        <f>IFERROR(__xludf.DUMMYFUNCTION("""COMPUTED_VALUE"""),45532.0)</f>
        <v>45532</v>
      </c>
      <c r="L3462" s="6" t="str">
        <f>IFERROR(__xludf.DUMMYFUNCTION("""COMPUTED_VALUE"""),"FIP General")</f>
        <v>FIP General</v>
      </c>
      <c r="M3462" s="6" t="str">
        <f>IFERROR(__xludf.DUMMYFUNCTION("""COMPUTED_VALUE"""),"Mochammad Fadhillah Hakim,")</f>
        <v>Mochammad Fadhillah Hakim,</v>
      </c>
      <c r="N3462" s="6" t="str">
        <f>IFERROR(__xludf.DUMMYFUNCTION("""COMPUTED_VALUE"""),"FIP Engineering")</f>
        <v>FIP Engineering</v>
      </c>
      <c r="O3462" s="6" t="str">
        <f>IFERROR(__xludf.DUMMYFUNCTION("""COMPUTED_VALUE"""),"FIP-DOM-ENG-51504-0000000-INA-000000")</f>
        <v>FIP-DOM-ENG-51504-0000000-INA-000000</v>
      </c>
      <c r="P3462" s="6" t="str">
        <f>IFERROR(__xludf.DUMMYFUNCTION("""COMPUTED_VALUE"""),"PO Closed")</f>
        <v>PO Closed</v>
      </c>
      <c r="Q3462" s="6"/>
      <c r="R3462" s="57">
        <f>IFERROR(__xludf.DUMMYFUNCTION("""COMPUTED_VALUE"""),45530.0)</f>
        <v>45530</v>
      </c>
      <c r="S3462" s="57">
        <f>IFERROR(__xludf.DUMMYFUNCTION("""COMPUTED_VALUE"""),45544.0)</f>
        <v>45544</v>
      </c>
      <c r="T3462" s="6"/>
    </row>
    <row r="3463">
      <c r="A3463" s="6" t="str">
        <f>IFERROR(__xludf.DUMMYFUNCTION("""COMPUTED_VALUE"""),"121701771-1")</f>
        <v>121701771-1</v>
      </c>
      <c r="B3463" s="6" t="str">
        <f>IFERROR(__xludf.DUMMYFUNCTION("""COMPUTED_VALUE"""),"121701771 - APPROVED")</f>
        <v>121701771 - APPROVED</v>
      </c>
      <c r="C3463" s="6">
        <f>IFERROR(__xludf.DUMMYFUNCTION("""COMPUTED_VALUE"""),1.0)</f>
        <v>1</v>
      </c>
      <c r="D3463" s="6" t="str">
        <f>IFERROR(__xludf.DUMMYFUNCTION("""COMPUTED_VALUE"""),"S-62003-00")</f>
        <v>S-62003-00</v>
      </c>
      <c r="E3463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63" s="6">
        <f>IFERROR(__xludf.DUMMYFUNCTION("""COMPUTED_VALUE"""),1.0)</f>
        <v>1</v>
      </c>
      <c r="G3463" s="6" t="str">
        <f>IFERROR(__xludf.DUMMYFUNCTION("""COMPUTED_VALUE"""),"Tube")</f>
        <v>Tube</v>
      </c>
      <c r="H3463" s="6" t="str">
        <f>IFERROR(__xludf.DUMMYFUNCTION("""COMPUTED_VALUE"""),"IDR")</f>
        <v>IDR</v>
      </c>
      <c r="I3463" s="6">
        <f>IFERROR(__xludf.DUMMYFUNCTION("""COMPUTED_VALUE"""),790000.0)</f>
        <v>790000</v>
      </c>
      <c r="J3463" s="6">
        <f>IFERROR(__xludf.DUMMYFUNCTION("""COMPUTED_VALUE"""),790000.0)</f>
        <v>790000</v>
      </c>
      <c r="K3463" s="57">
        <f>IFERROR(__xludf.DUMMYFUNCTION("""COMPUTED_VALUE"""),45536.0)</f>
        <v>45536</v>
      </c>
      <c r="L3463" s="6" t="str">
        <f>IFERROR(__xludf.DUMMYFUNCTION("""COMPUTED_VALUE"""),"FIP General")</f>
        <v>FIP General</v>
      </c>
      <c r="M3463" s="6" t="str">
        <f>IFERROR(__xludf.DUMMYFUNCTION("""COMPUTED_VALUE"""),"Mochammad Fadhillah Hakim,")</f>
        <v>Mochammad Fadhillah Hakim,</v>
      </c>
      <c r="N3463" s="6" t="str">
        <f>IFERROR(__xludf.DUMMYFUNCTION("""COMPUTED_VALUE"""),"FIP Engineering")</f>
        <v>FIP Engineering</v>
      </c>
      <c r="O3463" s="6" t="str">
        <f>IFERROR(__xludf.DUMMYFUNCTION("""COMPUTED_VALUE"""),"FIP-DOM-ENG-51409-0000000-INA-000000")</f>
        <v>FIP-DOM-ENG-51409-0000000-INA-000000</v>
      </c>
      <c r="P3463" s="6" t="str">
        <f>IFERROR(__xludf.DUMMYFUNCTION("""COMPUTED_VALUE"""),"PO Closed")</f>
        <v>PO Closed</v>
      </c>
      <c r="Q3463" s="6" t="str">
        <f>IFERROR(__xludf.DUMMYFUNCTION("""COMPUTED_VALUE"""),"GL2409431")</f>
        <v>GL2409431</v>
      </c>
      <c r="R3463" s="57">
        <f>IFERROR(__xludf.DUMMYFUNCTION("""COMPUTED_VALUE"""),45534.0)</f>
        <v>45534</v>
      </c>
      <c r="S3463" s="57">
        <f>IFERROR(__xludf.DUMMYFUNCTION("""COMPUTED_VALUE"""),45537.0)</f>
        <v>45537</v>
      </c>
      <c r="T3463" s="57">
        <f>IFERROR(__xludf.DUMMYFUNCTION("""COMPUTED_VALUE"""),45545.0)</f>
        <v>45545</v>
      </c>
    </row>
    <row r="3464">
      <c r="A3464" s="6" t="str">
        <f>IFERROR(__xludf.DUMMYFUNCTION("""COMPUTED_VALUE"""),"121701772-1")</f>
        <v>121701772-1</v>
      </c>
      <c r="B3464" s="6" t="str">
        <f>IFERROR(__xludf.DUMMYFUNCTION("""COMPUTED_VALUE"""),"121701772 - APPROVED")</f>
        <v>121701772 - APPROVED</v>
      </c>
      <c r="C3464" s="6">
        <f>IFERROR(__xludf.DUMMYFUNCTION("""COMPUTED_VALUE"""),1.0)</f>
        <v>1</v>
      </c>
      <c r="D3464" s="6"/>
      <c r="E3464" s="6" t="str">
        <f>IFERROR(__xludf.DUMMYFUNCTION("""COMPUTED_VALUE"""),"Tools untuk mixer")</f>
        <v>Tools untuk mixer</v>
      </c>
      <c r="F3464" s="6">
        <f>IFERROR(__xludf.DUMMYFUNCTION("""COMPUTED_VALUE"""),1.0)</f>
        <v>1</v>
      </c>
      <c r="G3464" s="6" t="str">
        <f>IFERROR(__xludf.DUMMYFUNCTION("""COMPUTED_VALUE"""),"Set")</f>
        <v>Set</v>
      </c>
      <c r="H3464" s="6" t="str">
        <f>IFERROR(__xludf.DUMMYFUNCTION("""COMPUTED_VALUE"""),"IDR")</f>
        <v>IDR</v>
      </c>
      <c r="I3464" s="6">
        <f>IFERROR(__xludf.DUMMYFUNCTION("""COMPUTED_VALUE"""),4710000.0)</f>
        <v>4710000</v>
      </c>
      <c r="J3464" s="6">
        <f>IFERROR(__xludf.DUMMYFUNCTION("""COMPUTED_VALUE"""),4710000.0)</f>
        <v>4710000</v>
      </c>
      <c r="K3464" s="57">
        <f>IFERROR(__xludf.DUMMYFUNCTION("""COMPUTED_VALUE"""),45536.0)</f>
        <v>45536</v>
      </c>
      <c r="L3464" s="6" t="str">
        <f>IFERROR(__xludf.DUMMYFUNCTION("""COMPUTED_VALUE"""),"FIP General")</f>
        <v>FIP General</v>
      </c>
      <c r="M3464" s="6" t="str">
        <f>IFERROR(__xludf.DUMMYFUNCTION("""COMPUTED_VALUE"""),"Mochammad Fadhillah Hakim,")</f>
        <v>Mochammad Fadhillah Hakim,</v>
      </c>
      <c r="N3464" s="6" t="str">
        <f>IFERROR(__xludf.DUMMYFUNCTION("""COMPUTED_VALUE"""),"FIP Engineering")</f>
        <v>FIP Engineering</v>
      </c>
      <c r="O3464" s="6" t="str">
        <f>IFERROR(__xludf.DUMMYFUNCTION("""COMPUTED_VALUE"""),"FIP-DOM-ENG-51404-MC24018-INA-000000")</f>
        <v>FIP-DOM-ENG-51404-MC24018-INA-000000</v>
      </c>
      <c r="P3464" s="6" t="str">
        <f>IFERROR(__xludf.DUMMYFUNCTION("""COMPUTED_VALUE"""),"PO Closed")</f>
        <v>PO Closed</v>
      </c>
      <c r="Q3464" s="6" t="str">
        <f>IFERROR(__xludf.DUMMYFUNCTION("""COMPUTED_VALUE"""),"GL2410035")</f>
        <v>GL2410035</v>
      </c>
      <c r="R3464" s="57">
        <f>IFERROR(__xludf.DUMMYFUNCTION("""COMPUTED_VALUE"""),45534.0)</f>
        <v>45534</v>
      </c>
      <c r="S3464" s="57">
        <f>IFERROR(__xludf.DUMMYFUNCTION("""COMPUTED_VALUE"""),45537.0)</f>
        <v>45537</v>
      </c>
      <c r="T3464" s="57">
        <f>IFERROR(__xludf.DUMMYFUNCTION("""COMPUTED_VALUE"""),45616.0)</f>
        <v>45616</v>
      </c>
    </row>
    <row r="3465">
      <c r="A3465" s="6" t="str">
        <f>IFERROR(__xludf.DUMMYFUNCTION("""COMPUTED_VALUE"""),"121701776-1")</f>
        <v>121701776-1</v>
      </c>
      <c r="B3465" s="6" t="str">
        <f>IFERROR(__xludf.DUMMYFUNCTION("""COMPUTED_VALUE"""),"121701776 - APPROVED")</f>
        <v>121701776 - APPROVED</v>
      </c>
      <c r="C3465" s="6">
        <f>IFERROR(__xludf.DUMMYFUNCTION("""COMPUTED_VALUE"""),1.0)</f>
        <v>1</v>
      </c>
      <c r="D3465" s="6" t="str">
        <f>IFERROR(__xludf.DUMMYFUNCTION("""COMPUTED_VALUE"""),"O-51827-00")</f>
        <v>O-51827-00</v>
      </c>
      <c r="E3465" s="6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F3465" s="6">
        <f>IFERROR(__xludf.DUMMYFUNCTION("""COMPUTED_VALUE"""),1.0)</f>
        <v>1</v>
      </c>
      <c r="G3465" s="6" t="str">
        <f>IFERROR(__xludf.DUMMYFUNCTION("""COMPUTED_VALUE"""),"Unit")</f>
        <v>Unit</v>
      </c>
      <c r="H3465" s="6" t="str">
        <f>IFERROR(__xludf.DUMMYFUNCTION("""COMPUTED_VALUE"""),"IDR")</f>
        <v>IDR</v>
      </c>
      <c r="I3465" s="6">
        <f>IFERROR(__xludf.DUMMYFUNCTION("""COMPUTED_VALUE"""),2142000.0)</f>
        <v>2142000</v>
      </c>
      <c r="J3465" s="6">
        <f>IFERROR(__xludf.DUMMYFUNCTION("""COMPUTED_VALUE"""),2142000.0)</f>
        <v>2142000</v>
      </c>
      <c r="K3465" s="57">
        <f>IFERROR(__xludf.DUMMYFUNCTION("""COMPUTED_VALUE"""),45539.0)</f>
        <v>45539</v>
      </c>
      <c r="L3465" s="6" t="str">
        <f>IFERROR(__xludf.DUMMYFUNCTION("""COMPUTED_VALUE"""),"FIP Engineering")</f>
        <v>FIP Engineering</v>
      </c>
      <c r="M3465" s="6" t="str">
        <f>IFERROR(__xludf.DUMMYFUNCTION("""COMPUTED_VALUE"""),"Mochammad Fadhillah Hakim,")</f>
        <v>Mochammad Fadhillah Hakim,</v>
      </c>
      <c r="N3465" s="6" t="str">
        <f>IFERROR(__xludf.DUMMYFUNCTION("""COMPUTED_VALUE"""),"FIP Engineering")</f>
        <v>FIP Engineering</v>
      </c>
      <c r="O3465" s="6" t="str">
        <f>IFERROR(__xludf.DUMMYFUNCTION("""COMPUTED_VALUE"""),"FIP-DOM-000-11304-OS00001-INA-000000")</f>
        <v>FIP-DOM-000-11304-OS00001-INA-000000</v>
      </c>
      <c r="P3465" s="6" t="str">
        <f>IFERROR(__xludf.DUMMYFUNCTION("""COMPUTED_VALUE"""),"PO Closed")</f>
        <v>PO Closed</v>
      </c>
      <c r="Q3465" s="6" t="str">
        <f>IFERROR(__xludf.DUMMYFUNCTION("""COMPUTED_VALUE"""),"GL2410048")</f>
        <v>GL2410048</v>
      </c>
      <c r="R3465" s="57">
        <f>IFERROR(__xludf.DUMMYFUNCTION("""COMPUTED_VALUE"""),45537.0)</f>
        <v>45537</v>
      </c>
      <c r="S3465" s="57">
        <f>IFERROR(__xludf.DUMMYFUNCTION("""COMPUTED_VALUE"""),45544.0)</f>
        <v>45544</v>
      </c>
      <c r="T3465" s="57">
        <f>IFERROR(__xludf.DUMMYFUNCTION("""COMPUTED_VALUE"""),45716.0)</f>
        <v>45716</v>
      </c>
    </row>
    <row r="3466">
      <c r="A3466" s="6" t="str">
        <f>IFERROR(__xludf.DUMMYFUNCTION("""COMPUTED_VALUE"""),"121701781-1")</f>
        <v>121701781-1</v>
      </c>
      <c r="B3466" s="6" t="str">
        <f>IFERROR(__xludf.DUMMYFUNCTION("""COMPUTED_VALUE"""),"121701781 - APPROVED")</f>
        <v>121701781 - APPROVED</v>
      </c>
      <c r="C3466" s="6">
        <f>IFERROR(__xludf.DUMMYFUNCTION("""COMPUTED_VALUE"""),1.0)</f>
        <v>1</v>
      </c>
      <c r="D3466" s="6" t="str">
        <f>IFERROR(__xludf.DUMMYFUNCTION("""COMPUTED_VALUE"""),"O-16314-00")</f>
        <v>O-16314-00</v>
      </c>
      <c r="E3466" s="6" t="str">
        <f>IFERROR(__xludf.DUMMYFUNCTION("""COMPUTED_VALUE"""),"Membrane Diaphragm Valve EPDM PTFE DN 4-15 p/n: 600 8M 5A-221 Gemu; ; ;")</f>
        <v>Membrane Diaphragm Valve EPDM PTFE DN 4-15 p/n: 600 8M 5A-221 Gemu; ; ;</v>
      </c>
      <c r="F3466" s="6">
        <f>IFERROR(__xludf.DUMMYFUNCTION("""COMPUTED_VALUE"""),3.0)</f>
        <v>3</v>
      </c>
      <c r="G3466" s="6" t="str">
        <f>IFERROR(__xludf.DUMMYFUNCTION("""COMPUTED_VALUE"""),"Pieces")</f>
        <v>Pieces</v>
      </c>
      <c r="H3466" s="6" t="str">
        <f>IFERROR(__xludf.DUMMYFUNCTION("""COMPUTED_VALUE"""),"IDR")</f>
        <v>IDR</v>
      </c>
      <c r="I3466" s="6">
        <f>IFERROR(__xludf.DUMMYFUNCTION("""COMPUTED_VALUE"""),1200000.0)</f>
        <v>1200000</v>
      </c>
      <c r="J3466" s="6">
        <f>IFERROR(__xludf.DUMMYFUNCTION("""COMPUTED_VALUE"""),3600000.0)</f>
        <v>3600000</v>
      </c>
      <c r="K3466" s="57">
        <f>IFERROR(__xludf.DUMMYFUNCTION("""COMPUTED_VALUE"""),45539.0)</f>
        <v>45539</v>
      </c>
      <c r="L3466" s="6" t="str">
        <f>IFERROR(__xludf.DUMMYFUNCTION("""COMPUTED_VALUE"""),"FIP Engineering")</f>
        <v>FIP Engineering</v>
      </c>
      <c r="M3466" s="6" t="str">
        <f>IFERROR(__xludf.DUMMYFUNCTION("""COMPUTED_VALUE"""),"Mochammad Fadhillah Hakim,")</f>
        <v>Mochammad Fadhillah Hakim,</v>
      </c>
      <c r="N3466" s="6" t="str">
        <f>IFERROR(__xludf.DUMMYFUNCTION("""COMPUTED_VALUE"""),"FIP Engineering")</f>
        <v>FIP Engineering</v>
      </c>
      <c r="O3466" s="6" t="str">
        <f>IFERROR(__xludf.DUMMYFUNCTION("""COMPUTED_VALUE"""),"FIP-DOM-000-11304-OS00001-INA-000000")</f>
        <v>FIP-DOM-000-11304-OS00001-INA-000000</v>
      </c>
      <c r="P3466" s="6" t="str">
        <f>IFERROR(__xludf.DUMMYFUNCTION("""COMPUTED_VALUE"""),"PO Closed")</f>
        <v>PO Closed</v>
      </c>
      <c r="Q3466" s="6" t="str">
        <f>IFERROR(__xludf.DUMMYFUNCTION("""COMPUTED_VALUE"""),"GL2409021")</f>
        <v>GL2409021</v>
      </c>
      <c r="R3466" s="57">
        <f>IFERROR(__xludf.DUMMYFUNCTION("""COMPUTED_VALUE"""),45537.0)</f>
        <v>45537</v>
      </c>
      <c r="S3466" s="57">
        <f>IFERROR(__xludf.DUMMYFUNCTION("""COMPUTED_VALUE"""),45544.0)</f>
        <v>45544</v>
      </c>
      <c r="T3466" s="57">
        <f>IFERROR(__xludf.DUMMYFUNCTION("""COMPUTED_VALUE"""),45588.0)</f>
        <v>45588</v>
      </c>
    </row>
    <row r="3467">
      <c r="A3467" s="6" t="str">
        <f>IFERROR(__xludf.DUMMYFUNCTION("""COMPUTED_VALUE"""),"121701782-1")</f>
        <v>121701782-1</v>
      </c>
      <c r="B3467" s="6" t="str">
        <f>IFERROR(__xludf.DUMMYFUNCTION("""COMPUTED_VALUE"""),"121701782 - APPROVED")</f>
        <v>121701782 - APPROVED</v>
      </c>
      <c r="C3467" s="6">
        <f>IFERROR(__xludf.DUMMYFUNCTION("""COMPUTED_VALUE"""),1.0)</f>
        <v>1</v>
      </c>
      <c r="D3467" s="6" t="str">
        <f>IFERROR(__xludf.DUMMYFUNCTION("""COMPUTED_VALUE"""),"P-54199-00")</f>
        <v>P-54199-00</v>
      </c>
      <c r="E3467" s="6" t="str">
        <f>IFERROR(__xludf.DUMMYFUNCTION("""COMPUTED_VALUE"""),"Stop Kontak AC Kaki 3 Broco; Broco; ;")</f>
        <v>Stop Kontak AC Kaki 3 Broco; Broco; ;</v>
      </c>
      <c r="F3467" s="6">
        <f>IFERROR(__xludf.DUMMYFUNCTION("""COMPUTED_VALUE"""),4.0)</f>
        <v>4</v>
      </c>
      <c r="G3467" s="6" t="str">
        <f>IFERROR(__xludf.DUMMYFUNCTION("""COMPUTED_VALUE"""),"Set")</f>
        <v>Set</v>
      </c>
      <c r="H3467" s="6" t="str">
        <f>IFERROR(__xludf.DUMMYFUNCTION("""COMPUTED_VALUE"""),"IDR")</f>
        <v>IDR</v>
      </c>
      <c r="I3467" s="6">
        <f>IFERROR(__xludf.DUMMYFUNCTION("""COMPUTED_VALUE"""),70000.0)</f>
        <v>70000</v>
      </c>
      <c r="J3467" s="6">
        <f>IFERROR(__xludf.DUMMYFUNCTION("""COMPUTED_VALUE"""),280000.0)</f>
        <v>280000</v>
      </c>
      <c r="K3467" s="57">
        <f>IFERROR(__xludf.DUMMYFUNCTION("""COMPUTED_VALUE"""),45539.0)</f>
        <v>45539</v>
      </c>
      <c r="L3467" s="6" t="str">
        <f>IFERROR(__xludf.DUMMYFUNCTION("""COMPUTED_VALUE"""),"FIP Engineering")</f>
        <v>FIP Engineering</v>
      </c>
      <c r="M3467" s="6" t="str">
        <f>IFERROR(__xludf.DUMMYFUNCTION("""COMPUTED_VALUE"""),"Mochammad Fadhillah Hakim,")</f>
        <v>Mochammad Fadhillah Hakim,</v>
      </c>
      <c r="N3467" s="6" t="str">
        <f>IFERROR(__xludf.DUMMYFUNCTION("""COMPUTED_VALUE"""),"FIP Engineering")</f>
        <v>FIP Engineering</v>
      </c>
      <c r="O3467" s="6" t="str">
        <f>IFERROR(__xludf.DUMMYFUNCTION("""COMPUTED_VALUE"""),"FIP-DOM-000-11304-OS00001-INA-000000")</f>
        <v>FIP-DOM-000-11304-OS00001-INA-000000</v>
      </c>
      <c r="P3467" s="6" t="str">
        <f>IFERROR(__xludf.DUMMYFUNCTION("""COMPUTED_VALUE"""),"PO Closed")</f>
        <v>PO Closed</v>
      </c>
      <c r="Q3467" s="6" t="str">
        <f>IFERROR(__xludf.DUMMYFUNCTION("""COMPUTED_VALUE"""),"GL2409019")</f>
        <v>GL2409019</v>
      </c>
      <c r="R3467" s="57">
        <f>IFERROR(__xludf.DUMMYFUNCTION("""COMPUTED_VALUE"""),45537.0)</f>
        <v>45537</v>
      </c>
      <c r="S3467" s="57">
        <f>IFERROR(__xludf.DUMMYFUNCTION("""COMPUTED_VALUE"""),45541.0)</f>
        <v>45541</v>
      </c>
      <c r="T3467" s="57">
        <f>IFERROR(__xludf.DUMMYFUNCTION("""COMPUTED_VALUE"""),45601.0)</f>
        <v>45601</v>
      </c>
    </row>
    <row r="3468">
      <c r="A3468" s="6" t="str">
        <f>IFERROR(__xludf.DUMMYFUNCTION("""COMPUTED_VALUE"""),"121701786-1")</f>
        <v>121701786-1</v>
      </c>
      <c r="B3468" s="6" t="str">
        <f>IFERROR(__xludf.DUMMYFUNCTION("""COMPUTED_VALUE"""),"121701786 - APPROVED")</f>
        <v>121701786 - APPROVED</v>
      </c>
      <c r="C3468" s="6">
        <f>IFERROR(__xludf.DUMMYFUNCTION("""COMPUTED_VALUE"""),1.0)</f>
        <v>1</v>
      </c>
      <c r="D3468" s="6" t="str">
        <f>IFERROR(__xludf.DUMMYFUNCTION("""COMPUTED_VALUE"""),"S-60050-00")</f>
        <v>S-60050-00</v>
      </c>
      <c r="E3468" s="6" t="str">
        <f>IFERROR(__xludf.DUMMYFUNCTION("""COMPUTED_VALUE"""),"Jasa Perbaikan dan Pemeliharaan Mesin Produksi; ; ;")</f>
        <v>Jasa Perbaikan dan Pemeliharaan Mesin Produksi; ; ;</v>
      </c>
      <c r="F3468" s="6">
        <f>IFERROR(__xludf.DUMMYFUNCTION("""COMPUTED_VALUE"""),1.0)</f>
        <v>1</v>
      </c>
      <c r="G3468" s="6" t="str">
        <f>IFERROR(__xludf.DUMMYFUNCTION("""COMPUTED_VALUE"""),"Pieces")</f>
        <v>Pieces</v>
      </c>
      <c r="H3468" s="6" t="str">
        <f>IFERROR(__xludf.DUMMYFUNCTION("""COMPUTED_VALUE"""),"IDR")</f>
        <v>IDR</v>
      </c>
      <c r="I3468" s="6">
        <f>IFERROR(__xludf.DUMMYFUNCTION("""COMPUTED_VALUE"""),9944000.0)</f>
        <v>9944000</v>
      </c>
      <c r="J3468" s="6">
        <f>IFERROR(__xludf.DUMMYFUNCTION("""COMPUTED_VALUE"""),9944000.0)</f>
        <v>9944000</v>
      </c>
      <c r="K3468" s="57">
        <f>IFERROR(__xludf.DUMMYFUNCTION("""COMPUTED_VALUE"""),45541.0)</f>
        <v>45541</v>
      </c>
      <c r="L3468" s="6" t="str">
        <f>IFERROR(__xludf.DUMMYFUNCTION("""COMPUTED_VALUE"""),"FIP General")</f>
        <v>FIP General</v>
      </c>
      <c r="M3468" s="6" t="str">
        <f>IFERROR(__xludf.DUMMYFUNCTION("""COMPUTED_VALUE"""),"Mochammad Fadhillah Hakim,")</f>
        <v>Mochammad Fadhillah Hakim,</v>
      </c>
      <c r="N3468" s="6" t="str">
        <f>IFERROR(__xludf.DUMMYFUNCTION("""COMPUTED_VALUE"""),"FIP Engineering")</f>
        <v>FIP Engineering</v>
      </c>
      <c r="O3468" s="6" t="str">
        <f>IFERROR(__xludf.DUMMYFUNCTION("""COMPUTED_VALUE"""),"FIP-DOM-ENG-51504-0000000-INA-000000")</f>
        <v>FIP-DOM-ENG-51504-0000000-INA-000000</v>
      </c>
      <c r="P3468" s="6" t="str">
        <f>IFERROR(__xludf.DUMMYFUNCTION("""COMPUTED_VALUE"""),"PO Closed")</f>
        <v>PO Closed</v>
      </c>
      <c r="Q3468" s="6" t="str">
        <f>IFERROR(__xludf.DUMMYFUNCTION("""COMPUTED_VALUE"""),"GL2410003")</f>
        <v>GL2410003</v>
      </c>
      <c r="R3468" s="57">
        <f>IFERROR(__xludf.DUMMYFUNCTION("""COMPUTED_VALUE"""),45539.0)</f>
        <v>45539</v>
      </c>
      <c r="S3468" s="57">
        <f>IFERROR(__xludf.DUMMYFUNCTION("""COMPUTED_VALUE"""),45554.0)</f>
        <v>45554</v>
      </c>
      <c r="T3468" s="57">
        <f>IFERROR(__xludf.DUMMYFUNCTION("""COMPUTED_VALUE"""),45744.0)</f>
        <v>45744</v>
      </c>
    </row>
    <row r="3469">
      <c r="A3469" s="6" t="str">
        <f>IFERROR(__xludf.DUMMYFUNCTION("""COMPUTED_VALUE"""),"121701789-1")</f>
        <v>121701789-1</v>
      </c>
      <c r="B3469" s="6" t="str">
        <f>IFERROR(__xludf.DUMMYFUNCTION("""COMPUTED_VALUE"""),"121701789 - APPROVED")</f>
        <v>121701789 - APPROVED</v>
      </c>
      <c r="C3469" s="6">
        <f>IFERROR(__xludf.DUMMYFUNCTION("""COMPUTED_VALUE"""),1.0)</f>
        <v>1</v>
      </c>
      <c r="D3469" s="6" t="str">
        <f>IFERROR(__xludf.DUMMYFUNCTION("""COMPUTED_VALUE"""),"S-62003-00")</f>
        <v>S-62003-00</v>
      </c>
      <c r="E3469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69" s="6">
        <f>IFERROR(__xludf.DUMMYFUNCTION("""COMPUTED_VALUE"""),1.0)</f>
        <v>1</v>
      </c>
      <c r="G3469" s="6" t="str">
        <f>IFERROR(__xludf.DUMMYFUNCTION("""COMPUTED_VALUE"""),"Tube")</f>
        <v>Tube</v>
      </c>
      <c r="H3469" s="6" t="str">
        <f>IFERROR(__xludf.DUMMYFUNCTION("""COMPUTED_VALUE"""),"IDR")</f>
        <v>IDR</v>
      </c>
      <c r="I3469" s="6">
        <f>IFERROR(__xludf.DUMMYFUNCTION("""COMPUTED_VALUE"""),790000.0)</f>
        <v>790000</v>
      </c>
      <c r="J3469" s="6">
        <f>IFERROR(__xludf.DUMMYFUNCTION("""COMPUTED_VALUE"""),790000.0)</f>
        <v>790000</v>
      </c>
      <c r="K3469" s="57">
        <f>IFERROR(__xludf.DUMMYFUNCTION("""COMPUTED_VALUE"""),45541.0)</f>
        <v>45541</v>
      </c>
      <c r="L3469" s="6" t="str">
        <f>IFERROR(__xludf.DUMMYFUNCTION("""COMPUTED_VALUE"""),"FIP General")</f>
        <v>FIP General</v>
      </c>
      <c r="M3469" s="6" t="str">
        <f>IFERROR(__xludf.DUMMYFUNCTION("""COMPUTED_VALUE"""),"Mochammad Fadhillah Hakim,")</f>
        <v>Mochammad Fadhillah Hakim,</v>
      </c>
      <c r="N3469" s="6" t="str">
        <f>IFERROR(__xludf.DUMMYFUNCTION("""COMPUTED_VALUE"""),"FIP Engineering")</f>
        <v>FIP Engineering</v>
      </c>
      <c r="O3469" s="6" t="str">
        <f>IFERROR(__xludf.DUMMYFUNCTION("""COMPUTED_VALUE"""),"FIP-DOM-ENG-51409-0000000-INA-000000")</f>
        <v>FIP-DOM-ENG-51409-0000000-INA-000000</v>
      </c>
      <c r="P3469" s="6" t="str">
        <f>IFERROR(__xludf.DUMMYFUNCTION("""COMPUTED_VALUE"""),"PO Closed")</f>
        <v>PO Closed</v>
      </c>
      <c r="Q3469" s="6" t="str">
        <f>IFERROR(__xludf.DUMMYFUNCTION("""COMPUTED_VALUE"""),"GL2410445")</f>
        <v>GL2410445</v>
      </c>
      <c r="R3469" s="57">
        <f>IFERROR(__xludf.DUMMYFUNCTION("""COMPUTED_VALUE"""),45539.0)</f>
        <v>45539</v>
      </c>
      <c r="S3469" s="57">
        <f>IFERROR(__xludf.DUMMYFUNCTION("""COMPUTED_VALUE"""),45541.0)</f>
        <v>45541</v>
      </c>
      <c r="T3469" s="57">
        <f>IFERROR(__xludf.DUMMYFUNCTION("""COMPUTED_VALUE"""),45583.0)</f>
        <v>45583</v>
      </c>
    </row>
    <row r="3470">
      <c r="A3470" s="6" t="str">
        <f>IFERROR(__xludf.DUMMYFUNCTION("""COMPUTED_VALUE"""),"121701794-1")</f>
        <v>121701794-1</v>
      </c>
      <c r="B3470" s="6" t="str">
        <f>IFERROR(__xludf.DUMMYFUNCTION("""COMPUTED_VALUE"""),"121701794 - APPROVED")</f>
        <v>121701794 - APPROVED</v>
      </c>
      <c r="C3470" s="6">
        <f>IFERROR(__xludf.DUMMYFUNCTION("""COMPUTED_VALUE"""),1.0)</f>
        <v>1</v>
      </c>
      <c r="D3470" s="6" t="str">
        <f>IFERROR(__xludf.DUMMYFUNCTION("""COMPUTED_VALUE"""),"P-50717-00")</f>
        <v>P-50717-00</v>
      </c>
      <c r="E3470" s="6" t="str">
        <f>IFERROR(__xludf.DUMMYFUNCTION("""COMPUTED_VALUE"""),"Kabel UTP 4 pairs Cat 6 merk BELDEN")</f>
        <v>Kabel UTP 4 pairs Cat 6 merk BELDEN</v>
      </c>
      <c r="F3470" s="6">
        <f>IFERROR(__xludf.DUMMYFUNCTION("""COMPUTED_VALUE"""),1220.0)</f>
        <v>1220</v>
      </c>
      <c r="G3470" s="6" t="str">
        <f>IFERROR(__xludf.DUMMYFUNCTION("""COMPUTED_VALUE"""),"Meter")</f>
        <v>Meter</v>
      </c>
      <c r="H3470" s="6" t="str">
        <f>IFERROR(__xludf.DUMMYFUNCTION("""COMPUTED_VALUE"""),"IDR")</f>
        <v>IDR</v>
      </c>
      <c r="I3470" s="6">
        <f>IFERROR(__xludf.DUMMYFUNCTION("""COMPUTED_VALUE"""),10000.0)</f>
        <v>10000</v>
      </c>
      <c r="J3470" s="6">
        <f>IFERROR(__xludf.DUMMYFUNCTION("""COMPUTED_VALUE"""),1.22E7)</f>
        <v>12200000</v>
      </c>
      <c r="K3470" s="57">
        <f>IFERROR(__xludf.DUMMYFUNCTION("""COMPUTED_VALUE"""),45541.0)</f>
        <v>45541</v>
      </c>
      <c r="L3470" s="6" t="str">
        <f>IFERROR(__xludf.DUMMYFUNCTION("""COMPUTED_VALUE"""),"FIP Engineering")</f>
        <v>FIP Engineering</v>
      </c>
      <c r="M3470" s="6" t="str">
        <f>IFERROR(__xludf.DUMMYFUNCTION("""COMPUTED_VALUE"""),"Mochammad Fadhillah Hakim,")</f>
        <v>Mochammad Fadhillah Hakim,</v>
      </c>
      <c r="N3470" s="6" t="str">
        <f>IFERROR(__xludf.DUMMYFUNCTION("""COMPUTED_VALUE"""),"FIP Engineering")</f>
        <v>FIP Engineering</v>
      </c>
      <c r="O3470" s="6" t="str">
        <f>IFERROR(__xludf.DUMMYFUNCTION("""COMPUTED_VALUE"""),"FIP-DOM-000-11304-OS00001-INA-000000")</f>
        <v>FIP-DOM-000-11304-OS00001-INA-000000</v>
      </c>
      <c r="P3470" s="6" t="str">
        <f>IFERROR(__xludf.DUMMYFUNCTION("""COMPUTED_VALUE"""),"PO Closed")</f>
        <v>PO Closed</v>
      </c>
      <c r="Q3470" s="6" t="str">
        <f>IFERROR(__xludf.DUMMYFUNCTION("""COMPUTED_VALUE"""),"GL2409018")</f>
        <v>GL2409018</v>
      </c>
      <c r="R3470" s="57">
        <f>IFERROR(__xludf.DUMMYFUNCTION("""COMPUTED_VALUE"""),45539.0)</f>
        <v>45539</v>
      </c>
      <c r="S3470" s="57">
        <f>IFERROR(__xludf.DUMMYFUNCTION("""COMPUTED_VALUE"""),45541.0)</f>
        <v>45541</v>
      </c>
      <c r="T3470" s="57">
        <f>IFERROR(__xludf.DUMMYFUNCTION("""COMPUTED_VALUE"""),45583.0)</f>
        <v>45583</v>
      </c>
    </row>
    <row r="3471">
      <c r="A3471" s="6" t="str">
        <f>IFERROR(__xludf.DUMMYFUNCTION("""COMPUTED_VALUE"""),"121701796-1")</f>
        <v>121701796-1</v>
      </c>
      <c r="B3471" s="6" t="str">
        <f>IFERROR(__xludf.DUMMYFUNCTION("""COMPUTED_VALUE"""),"121701796 - APPROVED")</f>
        <v>121701796 - APPROVED</v>
      </c>
      <c r="C3471" s="6">
        <f>IFERROR(__xludf.DUMMYFUNCTION("""COMPUTED_VALUE"""),1.0)</f>
        <v>1</v>
      </c>
      <c r="D3471" s="6" t="str">
        <f>IFERROR(__xludf.DUMMYFUNCTION("""COMPUTED_VALUE"""),"O-51000-00")</f>
        <v>O-51000-00</v>
      </c>
      <c r="E3471" s="6" t="str">
        <f>IFERROR(__xludf.DUMMYFUNCTION("""COMPUTED_VALUE"""),"Colamark - Print Head for Part TTO Domino p/n EPP001359 SP; ; ;")</f>
        <v>Colamark - Print Head for Part TTO Domino p/n EPP001359 SP; ; ;</v>
      </c>
      <c r="F3471" s="6">
        <f>IFERROR(__xludf.DUMMYFUNCTION("""COMPUTED_VALUE"""),1.0)</f>
        <v>1</v>
      </c>
      <c r="G3471" s="6" t="str">
        <f>IFERROR(__xludf.DUMMYFUNCTION("""COMPUTED_VALUE"""),"Pieces")</f>
        <v>Pieces</v>
      </c>
      <c r="H3471" s="6" t="str">
        <f>IFERROR(__xludf.DUMMYFUNCTION("""COMPUTED_VALUE"""),"IDR")</f>
        <v>IDR</v>
      </c>
      <c r="I3471" s="6">
        <f>IFERROR(__xludf.DUMMYFUNCTION("""COMPUTED_VALUE"""),1.21E7)</f>
        <v>12100000</v>
      </c>
      <c r="J3471" s="6">
        <f>IFERROR(__xludf.DUMMYFUNCTION("""COMPUTED_VALUE"""),1.21E7)</f>
        <v>12100000</v>
      </c>
      <c r="K3471" s="57">
        <f>IFERROR(__xludf.DUMMYFUNCTION("""COMPUTED_VALUE"""),45542.0)</f>
        <v>45542</v>
      </c>
      <c r="L3471" s="6" t="str">
        <f>IFERROR(__xludf.DUMMYFUNCTION("""COMPUTED_VALUE"""),"FIP General")</f>
        <v>FIP General</v>
      </c>
      <c r="M3471" s="6" t="str">
        <f>IFERROR(__xludf.DUMMYFUNCTION("""COMPUTED_VALUE"""),"Mochammad Fadhillah Hakim,")</f>
        <v>Mochammad Fadhillah Hakim,</v>
      </c>
      <c r="N3471" s="6" t="str">
        <f>IFERROR(__xludf.DUMMYFUNCTION("""COMPUTED_VALUE"""),"FIP Engineering")</f>
        <v>FIP Engineering</v>
      </c>
      <c r="O3471" s="6" t="str">
        <f>IFERROR(__xludf.DUMMYFUNCTION("""COMPUTED_VALUE"""),"FIP-DOM-ENG-51504-0000000-INA-000000")</f>
        <v>FIP-DOM-ENG-51504-0000000-INA-000000</v>
      </c>
      <c r="P3471" s="6" t="str">
        <f>IFERROR(__xludf.DUMMYFUNCTION("""COMPUTED_VALUE"""),"PO Closed")</f>
        <v>PO Closed</v>
      </c>
      <c r="Q3471" s="6" t="str">
        <f>IFERROR(__xludf.DUMMYFUNCTION("""COMPUTED_VALUE"""),"GL2410452")</f>
        <v>GL2410452</v>
      </c>
      <c r="R3471" s="57">
        <f>IFERROR(__xludf.DUMMYFUNCTION("""COMPUTED_VALUE"""),45540.0)</f>
        <v>45540</v>
      </c>
      <c r="S3471" s="57">
        <f>IFERROR(__xludf.DUMMYFUNCTION("""COMPUTED_VALUE"""),45554.0)</f>
        <v>45554</v>
      </c>
      <c r="T3471" s="57">
        <f>IFERROR(__xludf.DUMMYFUNCTION("""COMPUTED_VALUE"""),45618.0)</f>
        <v>45618</v>
      </c>
    </row>
    <row r="3472">
      <c r="A3472" s="6" t="str">
        <f>IFERROR(__xludf.DUMMYFUNCTION("""COMPUTED_VALUE"""),"121701800-1")</f>
        <v>121701800-1</v>
      </c>
      <c r="B3472" s="6" t="str">
        <f>IFERROR(__xludf.DUMMYFUNCTION("""COMPUTED_VALUE"""),"121701800 - APPROVED")</f>
        <v>121701800 - APPROVED</v>
      </c>
      <c r="C3472" s="6">
        <f>IFERROR(__xludf.DUMMYFUNCTION("""COMPUTED_VALUE"""),1.0)</f>
        <v>1</v>
      </c>
      <c r="D3472" s="6" t="str">
        <f>IFERROR(__xludf.DUMMYFUNCTION("""COMPUTED_VALUE"""),"S-62003-00")</f>
        <v>S-62003-00</v>
      </c>
      <c r="E3472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72" s="6">
        <f>IFERROR(__xludf.DUMMYFUNCTION("""COMPUTED_VALUE"""),1.0)</f>
        <v>1</v>
      </c>
      <c r="G3472" s="6" t="str">
        <f>IFERROR(__xludf.DUMMYFUNCTION("""COMPUTED_VALUE"""),"Tube")</f>
        <v>Tube</v>
      </c>
      <c r="H3472" s="6" t="str">
        <f>IFERROR(__xludf.DUMMYFUNCTION("""COMPUTED_VALUE"""),"IDR")</f>
        <v>IDR</v>
      </c>
      <c r="I3472" s="6">
        <f>IFERROR(__xludf.DUMMYFUNCTION("""COMPUTED_VALUE"""),790000.0)</f>
        <v>790000</v>
      </c>
      <c r="J3472" s="6">
        <f>IFERROR(__xludf.DUMMYFUNCTION("""COMPUTED_VALUE"""),790000.0)</f>
        <v>790000</v>
      </c>
      <c r="K3472" s="57">
        <f>IFERROR(__xludf.DUMMYFUNCTION("""COMPUTED_VALUE"""),45543.0)</f>
        <v>45543</v>
      </c>
      <c r="L3472" s="6" t="str">
        <f>IFERROR(__xludf.DUMMYFUNCTION("""COMPUTED_VALUE"""),"FIP General")</f>
        <v>FIP General</v>
      </c>
      <c r="M3472" s="6" t="str">
        <f>IFERROR(__xludf.DUMMYFUNCTION("""COMPUTED_VALUE"""),"Mochammad Fadhillah Hakim,")</f>
        <v>Mochammad Fadhillah Hakim,</v>
      </c>
      <c r="N3472" s="6" t="str">
        <f>IFERROR(__xludf.DUMMYFUNCTION("""COMPUTED_VALUE"""),"FIP Engineering")</f>
        <v>FIP Engineering</v>
      </c>
      <c r="O3472" s="6" t="str">
        <f>IFERROR(__xludf.DUMMYFUNCTION("""COMPUTED_VALUE"""),"FIP-DOM-ENG-51409-0000000-INA-000000")</f>
        <v>FIP-DOM-ENG-51409-0000000-INA-000000</v>
      </c>
      <c r="P3472" s="6" t="str">
        <f>IFERROR(__xludf.DUMMYFUNCTION("""COMPUTED_VALUE"""),"PO Closed")</f>
        <v>PO Closed</v>
      </c>
      <c r="Q3472" s="6" t="str">
        <f>IFERROR(__xludf.DUMMYFUNCTION("""COMPUTED_VALUE"""),"GL2410445")</f>
        <v>GL2410445</v>
      </c>
      <c r="R3472" s="57">
        <f>IFERROR(__xludf.DUMMYFUNCTION("""COMPUTED_VALUE"""),45541.0)</f>
        <v>45541</v>
      </c>
      <c r="S3472" s="57">
        <f>IFERROR(__xludf.DUMMYFUNCTION("""COMPUTED_VALUE"""),45541.0)</f>
        <v>45541</v>
      </c>
      <c r="T3472" s="57">
        <f>IFERROR(__xludf.DUMMYFUNCTION("""COMPUTED_VALUE"""),45583.0)</f>
        <v>45583</v>
      </c>
    </row>
    <row r="3473">
      <c r="A3473" s="6" t="str">
        <f>IFERROR(__xludf.DUMMYFUNCTION("""COMPUTED_VALUE"""),"121701802-1")</f>
        <v>121701802-1</v>
      </c>
      <c r="B3473" s="6" t="str">
        <f>IFERROR(__xludf.DUMMYFUNCTION("""COMPUTED_VALUE"""),"121701802 - APPROVED")</f>
        <v>121701802 - APPROVED</v>
      </c>
      <c r="C3473" s="6">
        <f>IFERROR(__xludf.DUMMYFUNCTION("""COMPUTED_VALUE"""),1.0)</f>
        <v>1</v>
      </c>
      <c r="D3473" s="6" t="str">
        <f>IFERROR(__xludf.DUMMYFUNCTION("""COMPUTED_VALUE"""),"O-20041-00")</f>
        <v>O-20041-00</v>
      </c>
      <c r="E3473" s="6" t="str">
        <f>IFERROR(__xludf.DUMMYFUNCTION("""COMPUTED_VALUE"""),"Capping VCM200 - Bearing NKIA5902; INA; ;")</f>
        <v>Capping VCM200 - Bearing NKIA5902; INA; ;</v>
      </c>
      <c r="F3473" s="6">
        <f>IFERROR(__xludf.DUMMYFUNCTION("""COMPUTED_VALUE"""),20.0)</f>
        <v>20</v>
      </c>
      <c r="G3473" s="6" t="str">
        <f>IFERROR(__xludf.DUMMYFUNCTION("""COMPUTED_VALUE"""),"Pieces")</f>
        <v>Pieces</v>
      </c>
      <c r="H3473" s="6" t="str">
        <f>IFERROR(__xludf.DUMMYFUNCTION("""COMPUTED_VALUE"""),"IDR")</f>
        <v>IDR</v>
      </c>
      <c r="I3473" s="6">
        <f>IFERROR(__xludf.DUMMYFUNCTION("""COMPUTED_VALUE"""),210675.0)</f>
        <v>210675</v>
      </c>
      <c r="J3473" s="6">
        <f>IFERROR(__xludf.DUMMYFUNCTION("""COMPUTED_VALUE"""),4213500.0)</f>
        <v>4213500</v>
      </c>
      <c r="K3473" s="57">
        <f>IFERROR(__xludf.DUMMYFUNCTION("""COMPUTED_VALUE"""),45546.0)</f>
        <v>45546</v>
      </c>
      <c r="L3473" s="6" t="str">
        <f>IFERROR(__xludf.DUMMYFUNCTION("""COMPUTED_VALUE"""),"FIP Engineering")</f>
        <v>FIP Engineering</v>
      </c>
      <c r="M3473" s="6" t="str">
        <f>IFERROR(__xludf.DUMMYFUNCTION("""COMPUTED_VALUE"""),"Mochammad Fadhillah Hakim,")</f>
        <v>Mochammad Fadhillah Hakim,</v>
      </c>
      <c r="N3473" s="6" t="str">
        <f>IFERROR(__xludf.DUMMYFUNCTION("""COMPUTED_VALUE"""),"FIP Engineering")</f>
        <v>FIP Engineering</v>
      </c>
      <c r="O3473" s="6" t="str">
        <f>IFERROR(__xludf.DUMMYFUNCTION("""COMPUTED_VALUE"""),"FIP-DOM-000-11304-OS00001-INA-000000")</f>
        <v>FIP-DOM-000-11304-OS00001-INA-000000</v>
      </c>
      <c r="P3473" s="6" t="str">
        <f>IFERROR(__xludf.DUMMYFUNCTION("""COMPUTED_VALUE"""),"PO Closed")</f>
        <v>PO Closed</v>
      </c>
      <c r="Q3473" s="6" t="str">
        <f>IFERROR(__xludf.DUMMYFUNCTION("""COMPUTED_VALUE"""),"GL2409017")</f>
        <v>GL2409017</v>
      </c>
      <c r="R3473" s="57">
        <f>IFERROR(__xludf.DUMMYFUNCTION("""COMPUTED_VALUE"""),45544.0)</f>
        <v>45544</v>
      </c>
      <c r="S3473" s="57">
        <f>IFERROR(__xludf.DUMMYFUNCTION("""COMPUTED_VALUE"""),45545.0)</f>
        <v>45545</v>
      </c>
      <c r="T3473" s="57">
        <f>IFERROR(__xludf.DUMMYFUNCTION("""COMPUTED_VALUE"""),45583.0)</f>
        <v>45583</v>
      </c>
    </row>
    <row r="3474">
      <c r="A3474" s="6" t="str">
        <f>IFERROR(__xludf.DUMMYFUNCTION("""COMPUTED_VALUE"""),"121701803-1")</f>
        <v>121701803-1</v>
      </c>
      <c r="B3474" s="6" t="str">
        <f>IFERROR(__xludf.DUMMYFUNCTION("""COMPUTED_VALUE"""),"121701803 - APPROVED")</f>
        <v>121701803 - APPROVED</v>
      </c>
      <c r="C3474" s="6">
        <f>IFERROR(__xludf.DUMMYFUNCTION("""COMPUTED_VALUE"""),1.0)</f>
        <v>1</v>
      </c>
      <c r="D3474" s="6" t="str">
        <f>IFERROR(__xludf.DUMMYFUNCTION("""COMPUTED_VALUE"""),"P-53000-00")</f>
        <v>P-53000-00</v>
      </c>
      <c r="E3474" s="6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F3474" s="6">
        <f>IFERROR(__xludf.DUMMYFUNCTION("""COMPUTED_VALUE"""),3.0)</f>
        <v>3</v>
      </c>
      <c r="G3474" s="6" t="str">
        <f>IFERROR(__xludf.DUMMYFUNCTION("""COMPUTED_VALUE"""),"Pieces")</f>
        <v>Pieces</v>
      </c>
      <c r="H3474" s="6" t="str">
        <f>IFERROR(__xludf.DUMMYFUNCTION("""COMPUTED_VALUE"""),"IDR")</f>
        <v>IDR</v>
      </c>
      <c r="I3474" s="6">
        <f>IFERROR(__xludf.DUMMYFUNCTION("""COMPUTED_VALUE"""),2250000.0)</f>
        <v>2250000</v>
      </c>
      <c r="J3474" s="6">
        <f>IFERROR(__xludf.DUMMYFUNCTION("""COMPUTED_VALUE"""),6750000.0)</f>
        <v>6750000</v>
      </c>
      <c r="K3474" s="57">
        <f>IFERROR(__xludf.DUMMYFUNCTION("""COMPUTED_VALUE"""),45546.0)</f>
        <v>45546</v>
      </c>
      <c r="L3474" s="6" t="str">
        <f>IFERROR(__xludf.DUMMYFUNCTION("""COMPUTED_VALUE"""),"FIP Engineering")</f>
        <v>FIP Engineering</v>
      </c>
      <c r="M3474" s="6" t="str">
        <f>IFERROR(__xludf.DUMMYFUNCTION("""COMPUTED_VALUE"""),"Mochammad Fadhillah Hakim,")</f>
        <v>Mochammad Fadhillah Hakim,</v>
      </c>
      <c r="N3474" s="6" t="str">
        <f>IFERROR(__xludf.DUMMYFUNCTION("""COMPUTED_VALUE"""),"FIP Engineering")</f>
        <v>FIP Engineering</v>
      </c>
      <c r="O3474" s="6" t="str">
        <f>IFERROR(__xludf.DUMMYFUNCTION("""COMPUTED_VALUE"""),"FIP-DOM-000-11304-OS00001-INA-000000")</f>
        <v>FIP-DOM-000-11304-OS00001-INA-000000</v>
      </c>
      <c r="P3474" s="6" t="str">
        <f>IFERROR(__xludf.DUMMYFUNCTION("""COMPUTED_VALUE"""),"PO Closed")</f>
        <v>PO Closed</v>
      </c>
      <c r="Q3474" s="6" t="str">
        <f>IFERROR(__xludf.DUMMYFUNCTION("""COMPUTED_VALUE"""),"GL2409030")</f>
        <v>GL2409030</v>
      </c>
      <c r="R3474" s="57">
        <f>IFERROR(__xludf.DUMMYFUNCTION("""COMPUTED_VALUE"""),45544.0)</f>
        <v>45544</v>
      </c>
      <c r="S3474" s="57">
        <f>IFERROR(__xludf.DUMMYFUNCTION("""COMPUTED_VALUE"""),45545.0)</f>
        <v>45545</v>
      </c>
      <c r="T3474" s="57">
        <f>IFERROR(__xludf.DUMMYFUNCTION("""COMPUTED_VALUE"""),45593.0)</f>
        <v>45593</v>
      </c>
    </row>
    <row r="3475">
      <c r="A3475" s="6" t="str">
        <f>IFERROR(__xludf.DUMMYFUNCTION("""COMPUTED_VALUE"""),"121701805-1")</f>
        <v>121701805-1</v>
      </c>
      <c r="B3475" s="6" t="str">
        <f>IFERROR(__xludf.DUMMYFUNCTION("""COMPUTED_VALUE"""),"121701805 - APPROVED")</f>
        <v>121701805 - APPROVED</v>
      </c>
      <c r="C3475" s="6">
        <f>IFERROR(__xludf.DUMMYFUNCTION("""COMPUTED_VALUE"""),1.0)</f>
        <v>1</v>
      </c>
      <c r="D3475" s="6" t="str">
        <f>IFERROR(__xludf.DUMMYFUNCTION("""COMPUTED_VALUE"""),"S-62003-00")</f>
        <v>S-62003-00</v>
      </c>
      <c r="E3475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75" s="6">
        <f>IFERROR(__xludf.DUMMYFUNCTION("""COMPUTED_VALUE"""),1.0)</f>
        <v>1</v>
      </c>
      <c r="G3475" s="6" t="str">
        <f>IFERROR(__xludf.DUMMYFUNCTION("""COMPUTED_VALUE"""),"Tube")</f>
        <v>Tube</v>
      </c>
      <c r="H3475" s="6" t="str">
        <f>IFERROR(__xludf.DUMMYFUNCTION("""COMPUTED_VALUE"""),"IDR")</f>
        <v>IDR</v>
      </c>
      <c r="I3475" s="6">
        <f>IFERROR(__xludf.DUMMYFUNCTION("""COMPUTED_VALUE"""),790000.0)</f>
        <v>790000</v>
      </c>
      <c r="J3475" s="6">
        <f>IFERROR(__xludf.DUMMYFUNCTION("""COMPUTED_VALUE"""),790000.0)</f>
        <v>790000</v>
      </c>
      <c r="K3475" s="57">
        <f>IFERROR(__xludf.DUMMYFUNCTION("""COMPUTED_VALUE"""),45547.0)</f>
        <v>45547</v>
      </c>
      <c r="L3475" s="6" t="str">
        <f>IFERROR(__xludf.DUMMYFUNCTION("""COMPUTED_VALUE"""),"FIP General")</f>
        <v>FIP General</v>
      </c>
      <c r="M3475" s="6" t="str">
        <f>IFERROR(__xludf.DUMMYFUNCTION("""COMPUTED_VALUE"""),"Mochammad Fadhillah Hakim,")</f>
        <v>Mochammad Fadhillah Hakim,</v>
      </c>
      <c r="N3475" s="6" t="str">
        <f>IFERROR(__xludf.DUMMYFUNCTION("""COMPUTED_VALUE"""),"FIP Engineering")</f>
        <v>FIP Engineering</v>
      </c>
      <c r="O3475" s="6" t="str">
        <f>IFERROR(__xludf.DUMMYFUNCTION("""COMPUTED_VALUE"""),"FIP-DOM-ENG-51409-0000000-INA-000000")</f>
        <v>FIP-DOM-ENG-51409-0000000-INA-000000</v>
      </c>
      <c r="P3475" s="6" t="str">
        <f>IFERROR(__xludf.DUMMYFUNCTION("""COMPUTED_VALUE"""),"PO Closed")</f>
        <v>PO Closed</v>
      </c>
      <c r="Q3475" s="6" t="str">
        <f>IFERROR(__xludf.DUMMYFUNCTION("""COMPUTED_VALUE"""),"GL2410445")</f>
        <v>GL2410445</v>
      </c>
      <c r="R3475" s="57">
        <f>IFERROR(__xludf.DUMMYFUNCTION("""COMPUTED_VALUE"""),45545.0)</f>
        <v>45545</v>
      </c>
      <c r="S3475" s="57">
        <f>IFERROR(__xludf.DUMMYFUNCTION("""COMPUTED_VALUE"""),45547.0)</f>
        <v>45547</v>
      </c>
      <c r="T3475" s="57">
        <f>IFERROR(__xludf.DUMMYFUNCTION("""COMPUTED_VALUE"""),45583.0)</f>
        <v>45583</v>
      </c>
    </row>
    <row r="3476">
      <c r="A3476" s="6" t="str">
        <f>IFERROR(__xludf.DUMMYFUNCTION("""COMPUTED_VALUE"""),"121701808-1")</f>
        <v>121701808-1</v>
      </c>
      <c r="B3476" s="6" t="str">
        <f>IFERROR(__xludf.DUMMYFUNCTION("""COMPUTED_VALUE"""),"121701808 - APPROVED")</f>
        <v>121701808 - APPROVED</v>
      </c>
      <c r="C3476" s="6">
        <f>IFERROR(__xludf.DUMMYFUNCTION("""COMPUTED_VALUE"""),1.0)</f>
        <v>1</v>
      </c>
      <c r="D3476" s="6" t="str">
        <f>IFERROR(__xludf.DUMMYFUNCTION("""COMPUTED_VALUE"""),"P-19303-00")</f>
        <v>P-19303-00</v>
      </c>
      <c r="E3476" s="6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F3476" s="6">
        <f>IFERROR(__xludf.DUMMYFUNCTION("""COMPUTED_VALUE"""),2.0)</f>
        <v>2</v>
      </c>
      <c r="G3476" s="6" t="str">
        <f>IFERROR(__xludf.DUMMYFUNCTION("""COMPUTED_VALUE"""),"Pieces")</f>
        <v>Pieces</v>
      </c>
      <c r="H3476" s="6" t="str">
        <f>IFERROR(__xludf.DUMMYFUNCTION("""COMPUTED_VALUE"""),"IDR")</f>
        <v>IDR</v>
      </c>
      <c r="I3476" s="6">
        <f>IFERROR(__xludf.DUMMYFUNCTION("""COMPUTED_VALUE"""),6900000.0)</f>
        <v>6900000</v>
      </c>
      <c r="J3476" s="6">
        <f>IFERROR(__xludf.DUMMYFUNCTION("""COMPUTED_VALUE"""),1.38E7)</f>
        <v>13800000</v>
      </c>
      <c r="K3476" s="57">
        <f>IFERROR(__xludf.DUMMYFUNCTION("""COMPUTED_VALUE"""),45548.0)</f>
        <v>45548</v>
      </c>
      <c r="L3476" s="6" t="str">
        <f>IFERROR(__xludf.DUMMYFUNCTION("""COMPUTED_VALUE"""),"FIP Engineering")</f>
        <v>FIP Engineering</v>
      </c>
      <c r="M3476" s="6" t="str">
        <f>IFERROR(__xludf.DUMMYFUNCTION("""COMPUTED_VALUE"""),"Mochammad Fadhillah Hakim,")</f>
        <v>Mochammad Fadhillah Hakim,</v>
      </c>
      <c r="N3476" s="6" t="str">
        <f>IFERROR(__xludf.DUMMYFUNCTION("""COMPUTED_VALUE"""),"FIP Engineering")</f>
        <v>FIP Engineering</v>
      </c>
      <c r="O3476" s="6" t="str">
        <f>IFERROR(__xludf.DUMMYFUNCTION("""COMPUTED_VALUE"""),"FIP-DOM-000-11304-OS00001-INA-000000")</f>
        <v>FIP-DOM-000-11304-OS00001-INA-000000</v>
      </c>
      <c r="P3476" s="6" t="str">
        <f>IFERROR(__xludf.DUMMYFUNCTION("""COMPUTED_VALUE"""),"PO Closed")</f>
        <v>PO Closed</v>
      </c>
      <c r="Q3476" s="6" t="str">
        <f>IFERROR(__xludf.DUMMYFUNCTION("""COMPUTED_VALUE"""),"GL2410018")</f>
        <v>GL2410018</v>
      </c>
      <c r="R3476" s="57">
        <f>IFERROR(__xludf.DUMMYFUNCTION("""COMPUTED_VALUE"""),45546.0)</f>
        <v>45546</v>
      </c>
      <c r="S3476" s="57">
        <f>IFERROR(__xludf.DUMMYFUNCTION("""COMPUTED_VALUE"""),45552.0)</f>
        <v>45552</v>
      </c>
      <c r="T3476" s="57">
        <f>IFERROR(__xludf.DUMMYFUNCTION("""COMPUTED_VALUE"""),45646.0)</f>
        <v>45646</v>
      </c>
    </row>
    <row r="3477">
      <c r="A3477" s="6" t="str">
        <f>IFERROR(__xludf.DUMMYFUNCTION("""COMPUTED_VALUE"""),"121701808-2")</f>
        <v>121701808-2</v>
      </c>
      <c r="B3477" s="6" t="str">
        <f>IFERROR(__xludf.DUMMYFUNCTION("""COMPUTED_VALUE"""),"121701808 - APPROVED")</f>
        <v>121701808 - APPROVED</v>
      </c>
      <c r="C3477" s="6">
        <f>IFERROR(__xludf.DUMMYFUNCTION("""COMPUTED_VALUE"""),2.0)</f>
        <v>2</v>
      </c>
      <c r="D3477" s="6" t="str">
        <f>IFERROR(__xludf.DUMMYFUNCTION("""COMPUTED_VALUE"""),"O-14364-00")</f>
        <v>O-14364-00</v>
      </c>
      <c r="E3477" s="6" t="str">
        <f>IFERROR(__xludf.DUMMYFUNCTION("""COMPUTED_VALUE"""),"Membrane Diaphragm Valve EPDM PTFE DN 50 p/n: 600 50M5E-221 Gemu; ; ;")</f>
        <v>Membrane Diaphragm Valve EPDM PTFE DN 50 p/n: 600 50M5E-221 Gemu; ; ;</v>
      </c>
      <c r="F3477" s="6">
        <f>IFERROR(__xludf.DUMMYFUNCTION("""COMPUTED_VALUE"""),2.0)</f>
        <v>2</v>
      </c>
      <c r="G3477" s="6" t="str">
        <f>IFERROR(__xludf.DUMMYFUNCTION("""COMPUTED_VALUE"""),"Pieces")</f>
        <v>Pieces</v>
      </c>
      <c r="H3477" s="6" t="str">
        <f>IFERROR(__xludf.DUMMYFUNCTION("""COMPUTED_VALUE"""),"IDR")</f>
        <v>IDR</v>
      </c>
      <c r="I3477" s="6">
        <f>IFERROR(__xludf.DUMMYFUNCTION("""COMPUTED_VALUE"""),4200000.0)</f>
        <v>4200000</v>
      </c>
      <c r="J3477" s="6">
        <f>IFERROR(__xludf.DUMMYFUNCTION("""COMPUTED_VALUE"""),8400000.0)</f>
        <v>8400000</v>
      </c>
      <c r="K3477" s="57">
        <f>IFERROR(__xludf.DUMMYFUNCTION("""COMPUTED_VALUE"""),45548.0)</f>
        <v>45548</v>
      </c>
      <c r="L3477" s="6" t="str">
        <f>IFERROR(__xludf.DUMMYFUNCTION("""COMPUTED_VALUE"""),"FIP Engineering")</f>
        <v>FIP Engineering</v>
      </c>
      <c r="M3477" s="6" t="str">
        <f>IFERROR(__xludf.DUMMYFUNCTION("""COMPUTED_VALUE"""),"Mochammad Fadhillah Hakim,")</f>
        <v>Mochammad Fadhillah Hakim,</v>
      </c>
      <c r="N3477" s="6" t="str">
        <f>IFERROR(__xludf.DUMMYFUNCTION("""COMPUTED_VALUE"""),"FIP Engineering")</f>
        <v>FIP Engineering</v>
      </c>
      <c r="O3477" s="6" t="str">
        <f>IFERROR(__xludf.DUMMYFUNCTION("""COMPUTED_VALUE"""),"FIP-DOM-000-11304-OS00001-INA-000000")</f>
        <v>FIP-DOM-000-11304-OS00001-INA-000000</v>
      </c>
      <c r="P3477" s="6" t="str">
        <f>IFERROR(__xludf.DUMMYFUNCTION("""COMPUTED_VALUE"""),"PO Closed")</f>
        <v>PO Closed</v>
      </c>
      <c r="Q3477" s="6" t="str">
        <f>IFERROR(__xludf.DUMMYFUNCTION("""COMPUTED_VALUE"""),"GL2410018")</f>
        <v>GL2410018</v>
      </c>
      <c r="R3477" s="57">
        <f>IFERROR(__xludf.DUMMYFUNCTION("""COMPUTED_VALUE"""),45546.0)</f>
        <v>45546</v>
      </c>
      <c r="S3477" s="57">
        <f>IFERROR(__xludf.DUMMYFUNCTION("""COMPUTED_VALUE"""),45552.0)</f>
        <v>45552</v>
      </c>
      <c r="T3477" s="57">
        <f>IFERROR(__xludf.DUMMYFUNCTION("""COMPUTED_VALUE"""),45646.0)</f>
        <v>45646</v>
      </c>
    </row>
    <row r="3478">
      <c r="A3478" s="6" t="str">
        <f>IFERROR(__xludf.DUMMYFUNCTION("""COMPUTED_VALUE"""),"121701808-3")</f>
        <v>121701808-3</v>
      </c>
      <c r="B3478" s="6" t="str">
        <f>IFERROR(__xludf.DUMMYFUNCTION("""COMPUTED_VALUE"""),"121701808 - APPROVED")</f>
        <v>121701808 - APPROVED</v>
      </c>
      <c r="C3478" s="6">
        <f>IFERROR(__xludf.DUMMYFUNCTION("""COMPUTED_VALUE"""),3.0)</f>
        <v>3</v>
      </c>
      <c r="D3478" s="6" t="str">
        <f>IFERROR(__xludf.DUMMYFUNCTION("""COMPUTED_VALUE"""),"O-14363-00")</f>
        <v>O-14363-00</v>
      </c>
      <c r="E3478" s="6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F3478" s="6">
        <f>IFERROR(__xludf.DUMMYFUNCTION("""COMPUTED_VALUE"""),4.0)</f>
        <v>4</v>
      </c>
      <c r="G3478" s="6" t="str">
        <f>IFERROR(__xludf.DUMMYFUNCTION("""COMPUTED_VALUE"""),"Pieces")</f>
        <v>Pieces</v>
      </c>
      <c r="H3478" s="6" t="str">
        <f>IFERROR(__xludf.DUMMYFUNCTION("""COMPUTED_VALUE"""),"IDR")</f>
        <v>IDR</v>
      </c>
      <c r="I3478" s="6">
        <f>IFERROR(__xludf.DUMMYFUNCTION("""COMPUTED_VALUE"""),2200000.0)</f>
        <v>2200000</v>
      </c>
      <c r="J3478" s="6">
        <f>IFERROR(__xludf.DUMMYFUNCTION("""COMPUTED_VALUE"""),8800000.0)</f>
        <v>8800000</v>
      </c>
      <c r="K3478" s="57">
        <f>IFERROR(__xludf.DUMMYFUNCTION("""COMPUTED_VALUE"""),45548.0)</f>
        <v>45548</v>
      </c>
      <c r="L3478" s="6" t="str">
        <f>IFERROR(__xludf.DUMMYFUNCTION("""COMPUTED_VALUE"""),"FIP Engineering")</f>
        <v>FIP Engineering</v>
      </c>
      <c r="M3478" s="6" t="str">
        <f>IFERROR(__xludf.DUMMYFUNCTION("""COMPUTED_VALUE"""),"Mochammad Fadhillah Hakim,")</f>
        <v>Mochammad Fadhillah Hakim,</v>
      </c>
      <c r="N3478" s="6" t="str">
        <f>IFERROR(__xludf.DUMMYFUNCTION("""COMPUTED_VALUE"""),"FIP Engineering")</f>
        <v>FIP Engineering</v>
      </c>
      <c r="O3478" s="6" t="str">
        <f>IFERROR(__xludf.DUMMYFUNCTION("""COMPUTED_VALUE"""),"FIP-DOM-000-11304-OS00001-INA-000000")</f>
        <v>FIP-DOM-000-11304-OS00001-INA-000000</v>
      </c>
      <c r="P3478" s="6" t="str">
        <f>IFERROR(__xludf.DUMMYFUNCTION("""COMPUTED_VALUE"""),"PO Closed")</f>
        <v>PO Closed</v>
      </c>
      <c r="Q3478" s="6" t="str">
        <f>IFERROR(__xludf.DUMMYFUNCTION("""COMPUTED_VALUE"""),"GL2411004")</f>
        <v>GL2411004</v>
      </c>
      <c r="R3478" s="57">
        <f>IFERROR(__xludf.DUMMYFUNCTION("""COMPUTED_VALUE"""),45546.0)</f>
        <v>45546</v>
      </c>
      <c r="S3478" s="57">
        <f>IFERROR(__xludf.DUMMYFUNCTION("""COMPUTED_VALUE"""),45552.0)</f>
        <v>45552</v>
      </c>
      <c r="T3478" s="57">
        <f>IFERROR(__xludf.DUMMYFUNCTION("""COMPUTED_VALUE"""),45630.0)</f>
        <v>45630</v>
      </c>
    </row>
    <row r="3479">
      <c r="A3479" s="6" t="str">
        <f>IFERROR(__xludf.DUMMYFUNCTION("""COMPUTED_VALUE"""),"121701808-4")</f>
        <v>121701808-4</v>
      </c>
      <c r="B3479" s="6" t="str">
        <f>IFERROR(__xludf.DUMMYFUNCTION("""COMPUTED_VALUE"""),"121701808 - APPROVED")</f>
        <v>121701808 - APPROVED</v>
      </c>
      <c r="C3479" s="6">
        <f>IFERROR(__xludf.DUMMYFUNCTION("""COMPUTED_VALUE"""),4.0)</f>
        <v>4</v>
      </c>
      <c r="D3479" s="6" t="str">
        <f>IFERROR(__xludf.DUMMYFUNCTION("""COMPUTED_VALUE"""),"O-14360-00")</f>
        <v>O-14360-00</v>
      </c>
      <c r="E3479" s="6" t="str">
        <f>IFERROR(__xludf.DUMMYFUNCTION("""COMPUTED_VALUE"""),"Membran Valve EPDM PTFE DN 40  Gemu KRISNA DWI MITRA P/N : 600 40M5E-221 pc")</f>
        <v>Membran Valve EPDM PTFE DN 40  Gemu KRISNA DWI MITRA P/N : 600 40M5E-221 pc</v>
      </c>
      <c r="F3479" s="6">
        <f>IFERROR(__xludf.DUMMYFUNCTION("""COMPUTED_VALUE"""),5.0)</f>
        <v>5</v>
      </c>
      <c r="G3479" s="6" t="str">
        <f>IFERROR(__xludf.DUMMYFUNCTION("""COMPUTED_VALUE"""),"Pieces")</f>
        <v>Pieces</v>
      </c>
      <c r="H3479" s="6" t="str">
        <f>IFERROR(__xludf.DUMMYFUNCTION("""COMPUTED_VALUE"""),"IDR")</f>
        <v>IDR</v>
      </c>
      <c r="I3479" s="6">
        <f>IFERROR(__xludf.DUMMYFUNCTION("""COMPUTED_VALUE"""),3200000.0)</f>
        <v>3200000</v>
      </c>
      <c r="J3479" s="6">
        <f>IFERROR(__xludf.DUMMYFUNCTION("""COMPUTED_VALUE"""),1.6E7)</f>
        <v>16000000</v>
      </c>
      <c r="K3479" s="57">
        <f>IFERROR(__xludf.DUMMYFUNCTION("""COMPUTED_VALUE"""),45548.0)</f>
        <v>45548</v>
      </c>
      <c r="L3479" s="6" t="str">
        <f>IFERROR(__xludf.DUMMYFUNCTION("""COMPUTED_VALUE"""),"FIP Engineering")</f>
        <v>FIP Engineering</v>
      </c>
      <c r="M3479" s="6" t="str">
        <f>IFERROR(__xludf.DUMMYFUNCTION("""COMPUTED_VALUE"""),"Mochammad Fadhillah Hakim,")</f>
        <v>Mochammad Fadhillah Hakim,</v>
      </c>
      <c r="N3479" s="6" t="str">
        <f>IFERROR(__xludf.DUMMYFUNCTION("""COMPUTED_VALUE"""),"FIP Engineering")</f>
        <v>FIP Engineering</v>
      </c>
      <c r="O3479" s="6" t="str">
        <f>IFERROR(__xludf.DUMMYFUNCTION("""COMPUTED_VALUE"""),"FIP-DOM-000-11304-OS00001-INA-000000")</f>
        <v>FIP-DOM-000-11304-OS00001-INA-000000</v>
      </c>
      <c r="P3479" s="6" t="str">
        <f>IFERROR(__xludf.DUMMYFUNCTION("""COMPUTED_VALUE"""),"PO Closed")</f>
        <v>PO Closed</v>
      </c>
      <c r="Q3479" s="6" t="str">
        <f>IFERROR(__xludf.DUMMYFUNCTION("""COMPUTED_VALUE"""),"GL2410018")</f>
        <v>GL2410018</v>
      </c>
      <c r="R3479" s="57">
        <f>IFERROR(__xludf.DUMMYFUNCTION("""COMPUTED_VALUE"""),45546.0)</f>
        <v>45546</v>
      </c>
      <c r="S3479" s="57">
        <f>IFERROR(__xludf.DUMMYFUNCTION("""COMPUTED_VALUE"""),45552.0)</f>
        <v>45552</v>
      </c>
      <c r="T3479" s="57">
        <f>IFERROR(__xludf.DUMMYFUNCTION("""COMPUTED_VALUE"""),45646.0)</f>
        <v>45646</v>
      </c>
    </row>
    <row r="3480">
      <c r="A3480" s="6" t="str">
        <f>IFERROR(__xludf.DUMMYFUNCTION("""COMPUTED_VALUE"""),"121701808-5")</f>
        <v>121701808-5</v>
      </c>
      <c r="B3480" s="6" t="str">
        <f>IFERROR(__xludf.DUMMYFUNCTION("""COMPUTED_VALUE"""),"121701808 - APPROVED")</f>
        <v>121701808 - APPROVED</v>
      </c>
      <c r="C3480" s="6">
        <f>IFERROR(__xludf.DUMMYFUNCTION("""COMPUTED_VALUE"""),5.0)</f>
        <v>5</v>
      </c>
      <c r="D3480" s="6" t="str">
        <f>IFERROR(__xludf.DUMMYFUNCTION("""COMPUTED_VALUE"""),"P-19304-00")</f>
        <v>P-19304-00</v>
      </c>
      <c r="E3480" s="6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F3480" s="6">
        <f>IFERROR(__xludf.DUMMYFUNCTION("""COMPUTED_VALUE"""),8.0)</f>
        <v>8</v>
      </c>
      <c r="G3480" s="6" t="str">
        <f>IFERROR(__xludf.DUMMYFUNCTION("""COMPUTED_VALUE"""),"Pieces")</f>
        <v>Pieces</v>
      </c>
      <c r="H3480" s="6" t="str">
        <f>IFERROR(__xludf.DUMMYFUNCTION("""COMPUTED_VALUE"""),"IDR")</f>
        <v>IDR</v>
      </c>
      <c r="I3480" s="6">
        <f>IFERROR(__xludf.DUMMYFUNCTION("""COMPUTED_VALUE"""),1100000.0)</f>
        <v>1100000</v>
      </c>
      <c r="J3480" s="6">
        <f>IFERROR(__xludf.DUMMYFUNCTION("""COMPUTED_VALUE"""),8800000.0)</f>
        <v>8800000</v>
      </c>
      <c r="K3480" s="57">
        <f>IFERROR(__xludf.DUMMYFUNCTION("""COMPUTED_VALUE"""),45548.0)</f>
        <v>45548</v>
      </c>
      <c r="L3480" s="6" t="str">
        <f>IFERROR(__xludf.DUMMYFUNCTION("""COMPUTED_VALUE"""),"FIP Engineering")</f>
        <v>FIP Engineering</v>
      </c>
      <c r="M3480" s="6" t="str">
        <f>IFERROR(__xludf.DUMMYFUNCTION("""COMPUTED_VALUE"""),"Mochammad Fadhillah Hakim,")</f>
        <v>Mochammad Fadhillah Hakim,</v>
      </c>
      <c r="N3480" s="6" t="str">
        <f>IFERROR(__xludf.DUMMYFUNCTION("""COMPUTED_VALUE"""),"FIP Engineering")</f>
        <v>FIP Engineering</v>
      </c>
      <c r="O3480" s="6" t="str">
        <f>IFERROR(__xludf.DUMMYFUNCTION("""COMPUTED_VALUE"""),"FIP-DOM-000-11304-OS00001-INA-000000")</f>
        <v>FIP-DOM-000-11304-OS00001-INA-000000</v>
      </c>
      <c r="P3480" s="6" t="str">
        <f>IFERROR(__xludf.DUMMYFUNCTION("""COMPUTED_VALUE"""),"PO Closed")</f>
        <v>PO Closed</v>
      </c>
      <c r="Q3480" s="6" t="str">
        <f>IFERROR(__xludf.DUMMYFUNCTION("""COMPUTED_VALUE"""),"GL2410018")</f>
        <v>GL2410018</v>
      </c>
      <c r="R3480" s="57">
        <f>IFERROR(__xludf.DUMMYFUNCTION("""COMPUTED_VALUE"""),45546.0)</f>
        <v>45546</v>
      </c>
      <c r="S3480" s="57">
        <f>IFERROR(__xludf.DUMMYFUNCTION("""COMPUTED_VALUE"""),45552.0)</f>
        <v>45552</v>
      </c>
      <c r="T3480" s="57">
        <f>IFERROR(__xludf.DUMMYFUNCTION("""COMPUTED_VALUE"""),45646.0)</f>
        <v>45646</v>
      </c>
    </row>
    <row r="3481">
      <c r="A3481" s="6" t="str">
        <f>IFERROR(__xludf.DUMMYFUNCTION("""COMPUTED_VALUE"""),"121701809-1")</f>
        <v>121701809-1</v>
      </c>
      <c r="B3481" s="6" t="str">
        <f>IFERROR(__xludf.DUMMYFUNCTION("""COMPUTED_VALUE"""),"121701809 - APPROVED")</f>
        <v>121701809 - APPROVED</v>
      </c>
      <c r="C3481" s="6">
        <f>IFERROR(__xludf.DUMMYFUNCTION("""COMPUTED_VALUE"""),1.0)</f>
        <v>1</v>
      </c>
      <c r="D3481" s="6" t="str">
        <f>IFERROR(__xludf.DUMMYFUNCTION("""COMPUTED_VALUE"""),"O-19077-00")</f>
        <v>O-19077-00</v>
      </c>
      <c r="E3481" s="6" t="str">
        <f>IFERROR(__xludf.DUMMYFUNCTION("""COMPUTED_VALUE"""),"Autoclave Fedegari FVA2/A1 NB2963AT - Gasket Safety Valve; ; ;")</f>
        <v>Autoclave Fedegari FVA2/A1 NB2963AT - Gasket Safety Valve; ; ;</v>
      </c>
      <c r="F3481" s="6">
        <f>IFERROR(__xludf.DUMMYFUNCTION("""COMPUTED_VALUE"""),10.0)</f>
        <v>10</v>
      </c>
      <c r="G3481" s="6" t="str">
        <f>IFERROR(__xludf.DUMMYFUNCTION("""COMPUTED_VALUE"""),"Pieces")</f>
        <v>Pieces</v>
      </c>
      <c r="H3481" s="6" t="str">
        <f>IFERROR(__xludf.DUMMYFUNCTION("""COMPUTED_VALUE"""),"IDR")</f>
        <v>IDR</v>
      </c>
      <c r="I3481" s="6">
        <f>IFERROR(__xludf.DUMMYFUNCTION("""COMPUTED_VALUE"""),285000.0)</f>
        <v>285000</v>
      </c>
      <c r="J3481" s="6">
        <f>IFERROR(__xludf.DUMMYFUNCTION("""COMPUTED_VALUE"""),2850000.0)</f>
        <v>2850000</v>
      </c>
      <c r="K3481" s="57">
        <f>IFERROR(__xludf.DUMMYFUNCTION("""COMPUTED_VALUE"""),45548.0)</f>
        <v>45548</v>
      </c>
      <c r="L3481" s="6" t="str">
        <f>IFERROR(__xludf.DUMMYFUNCTION("""COMPUTED_VALUE"""),"FIP Engineering")</f>
        <v>FIP Engineering</v>
      </c>
      <c r="M3481" s="6" t="str">
        <f>IFERROR(__xludf.DUMMYFUNCTION("""COMPUTED_VALUE"""),"Mochammad Fadhillah Hakim,")</f>
        <v>Mochammad Fadhillah Hakim,</v>
      </c>
      <c r="N3481" s="6" t="str">
        <f>IFERROR(__xludf.DUMMYFUNCTION("""COMPUTED_VALUE"""),"FIP Engineering")</f>
        <v>FIP Engineering</v>
      </c>
      <c r="O3481" s="6" t="str">
        <f>IFERROR(__xludf.DUMMYFUNCTION("""COMPUTED_VALUE"""),"FIP-DOM-000-11304-OS00001-INA-000000")</f>
        <v>FIP-DOM-000-11304-OS00001-INA-000000</v>
      </c>
      <c r="P3481" s="6" t="str">
        <f>IFERROR(__xludf.DUMMYFUNCTION("""COMPUTED_VALUE"""),"PO Closed")</f>
        <v>PO Closed</v>
      </c>
      <c r="Q3481" s="6" t="str">
        <f>IFERROR(__xludf.DUMMYFUNCTION("""COMPUTED_VALUE"""),"GL2410015")</f>
        <v>GL2410015</v>
      </c>
      <c r="R3481" s="57">
        <f>IFERROR(__xludf.DUMMYFUNCTION("""COMPUTED_VALUE"""),45546.0)</f>
        <v>45546</v>
      </c>
      <c r="S3481" s="57">
        <f>IFERROR(__xludf.DUMMYFUNCTION("""COMPUTED_VALUE"""),45547.0)</f>
        <v>45547</v>
      </c>
      <c r="T3481" s="57">
        <f>IFERROR(__xludf.DUMMYFUNCTION("""COMPUTED_VALUE"""),45606.0)</f>
        <v>45606</v>
      </c>
    </row>
    <row r="3482">
      <c r="A3482" s="6" t="str">
        <f>IFERROR(__xludf.DUMMYFUNCTION("""COMPUTED_VALUE"""),"121701810-1")</f>
        <v>121701810-1</v>
      </c>
      <c r="B3482" s="6" t="str">
        <f>IFERROR(__xludf.DUMMYFUNCTION("""COMPUTED_VALUE"""),"121701810 - APPROVED")</f>
        <v>121701810 - APPROVED</v>
      </c>
      <c r="C3482" s="6">
        <f>IFERROR(__xludf.DUMMYFUNCTION("""COMPUTED_VALUE"""),1.0)</f>
        <v>1</v>
      </c>
      <c r="D3482" s="6" t="str">
        <f>IFERROR(__xludf.DUMMYFUNCTION("""COMPUTED_VALUE"""),"S-60002-00")</f>
        <v>S-60002-00</v>
      </c>
      <c r="E3482" s="6" t="str">
        <f>IFERROR(__xludf.DUMMYFUNCTION("""COMPUTED_VALUE"""),"Jasa Perbaikan dan Pemeliharaan Mesin Utility ; ; ; - Perbaikan N2")</f>
        <v>Jasa Perbaikan dan Pemeliharaan Mesin Utility ; ; ; - Perbaikan N2</v>
      </c>
      <c r="F3482" s="6">
        <f>IFERROR(__xludf.DUMMYFUNCTION("""COMPUTED_VALUE"""),1.0)</f>
        <v>1</v>
      </c>
      <c r="G3482" s="6" t="str">
        <f>IFERROR(__xludf.DUMMYFUNCTION("""COMPUTED_VALUE"""),"Lot")</f>
        <v>Lot</v>
      </c>
      <c r="H3482" s="6" t="str">
        <f>IFERROR(__xludf.DUMMYFUNCTION("""COMPUTED_VALUE"""),"IDR")</f>
        <v>IDR</v>
      </c>
      <c r="I3482" s="6">
        <f>IFERROR(__xludf.DUMMYFUNCTION("""COMPUTED_VALUE"""),8500000.0)</f>
        <v>8500000</v>
      </c>
      <c r="J3482" s="6">
        <f>IFERROR(__xludf.DUMMYFUNCTION("""COMPUTED_VALUE"""),8500000.0)</f>
        <v>8500000</v>
      </c>
      <c r="K3482" s="57">
        <f>IFERROR(__xludf.DUMMYFUNCTION("""COMPUTED_VALUE"""),45548.0)</f>
        <v>45548</v>
      </c>
      <c r="L3482" s="6" t="str">
        <f>IFERROR(__xludf.DUMMYFUNCTION("""COMPUTED_VALUE"""),"FIP General")</f>
        <v>FIP General</v>
      </c>
      <c r="M3482" s="6" t="str">
        <f>IFERROR(__xludf.DUMMYFUNCTION("""COMPUTED_VALUE"""),"Mochammad Fadhillah Hakim,")</f>
        <v>Mochammad Fadhillah Hakim,</v>
      </c>
      <c r="N3482" s="6" t="str">
        <f>IFERROR(__xludf.DUMMYFUNCTION("""COMPUTED_VALUE"""),"FIP Engineering")</f>
        <v>FIP Engineering</v>
      </c>
      <c r="O3482" s="6" t="str">
        <f>IFERROR(__xludf.DUMMYFUNCTION("""COMPUTED_VALUE"""),"FIP-DOM-ENG-51508-0000000-INA-000000")</f>
        <v>FIP-DOM-ENG-51508-0000000-INA-000000</v>
      </c>
      <c r="P3482" s="6" t="str">
        <f>IFERROR(__xludf.DUMMYFUNCTION("""COMPUTED_VALUE"""),"PO Open")</f>
        <v>PO Open</v>
      </c>
      <c r="Q3482" s="6" t="str">
        <f>IFERROR(__xludf.DUMMYFUNCTION("""COMPUTED_VALUE"""),"GL2410045")</f>
        <v>GL2410045</v>
      </c>
      <c r="R3482" s="57">
        <f>IFERROR(__xludf.DUMMYFUNCTION("""COMPUTED_VALUE"""),45546.0)</f>
        <v>45546</v>
      </c>
      <c r="S3482" s="57">
        <f>IFERROR(__xludf.DUMMYFUNCTION("""COMPUTED_VALUE"""),45560.0)</f>
        <v>45560</v>
      </c>
      <c r="T3482" s="57">
        <f>IFERROR(__xludf.DUMMYFUNCTION("""COMPUTED_VALUE"""),45618.0)</f>
        <v>45618</v>
      </c>
    </row>
    <row r="3483">
      <c r="A3483" s="6" t="str">
        <f>IFERROR(__xludf.DUMMYFUNCTION("""COMPUTED_VALUE"""),"121701811-1")</f>
        <v>121701811-1</v>
      </c>
      <c r="B3483" s="6" t="str">
        <f>IFERROR(__xludf.DUMMYFUNCTION("""COMPUTED_VALUE"""),"121701811 - APPROVED")</f>
        <v>121701811 - APPROVED</v>
      </c>
      <c r="C3483" s="6">
        <f>IFERROR(__xludf.DUMMYFUNCTION("""COMPUTED_VALUE"""),1.0)</f>
        <v>1</v>
      </c>
      <c r="D3483" s="6" t="str">
        <f>IFERROR(__xludf.DUMMYFUNCTION("""COMPUTED_VALUE"""),"O-19783-00")</f>
        <v>O-19783-00</v>
      </c>
      <c r="E3483" s="6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F3483" s="6">
        <f>IFERROR(__xludf.DUMMYFUNCTION("""COMPUTED_VALUE"""),2.0)</f>
        <v>2</v>
      </c>
      <c r="G3483" s="6" t="str">
        <f>IFERROR(__xludf.DUMMYFUNCTION("""COMPUTED_VALUE"""),"Pieces")</f>
        <v>Pieces</v>
      </c>
      <c r="H3483" s="6" t="str">
        <f>IFERROR(__xludf.DUMMYFUNCTION("""COMPUTED_VALUE"""),"IDR")</f>
        <v>IDR</v>
      </c>
      <c r="I3483" s="6">
        <f>IFERROR(__xludf.DUMMYFUNCTION("""COMPUTED_VALUE"""),1755000.0)</f>
        <v>1755000</v>
      </c>
      <c r="J3483" s="6">
        <f>IFERROR(__xludf.DUMMYFUNCTION("""COMPUTED_VALUE"""),3510000.0)</f>
        <v>3510000</v>
      </c>
      <c r="K3483" s="57">
        <f>IFERROR(__xludf.DUMMYFUNCTION("""COMPUTED_VALUE"""),45548.0)</f>
        <v>45548</v>
      </c>
      <c r="L3483" s="6" t="str">
        <f>IFERROR(__xludf.DUMMYFUNCTION("""COMPUTED_VALUE"""),"FIP Engineering")</f>
        <v>FIP Engineering</v>
      </c>
      <c r="M3483" s="6" t="str">
        <f>IFERROR(__xludf.DUMMYFUNCTION("""COMPUTED_VALUE"""),"Mochammad Fadhillah Hakim,")</f>
        <v>Mochammad Fadhillah Hakim,</v>
      </c>
      <c r="N3483" s="6" t="str">
        <f>IFERROR(__xludf.DUMMYFUNCTION("""COMPUTED_VALUE"""),"FIP Engineering")</f>
        <v>FIP Engineering</v>
      </c>
      <c r="O3483" s="6" t="str">
        <f>IFERROR(__xludf.DUMMYFUNCTION("""COMPUTED_VALUE"""),"FIP-DOM-000-11304-OS00001-INA-000000")</f>
        <v>FIP-DOM-000-11304-OS00001-INA-000000</v>
      </c>
      <c r="P3483" s="6" t="str">
        <f>IFERROR(__xludf.DUMMYFUNCTION("""COMPUTED_VALUE"""),"PO Closed")</f>
        <v>PO Closed</v>
      </c>
      <c r="Q3483" s="6" t="str">
        <f>IFERROR(__xludf.DUMMYFUNCTION("""COMPUTED_VALUE"""),"GL2410042")</f>
        <v>GL2410042</v>
      </c>
      <c r="R3483" s="57">
        <f>IFERROR(__xludf.DUMMYFUNCTION("""COMPUTED_VALUE"""),45546.0)</f>
        <v>45546</v>
      </c>
      <c r="S3483" s="57">
        <f>IFERROR(__xludf.DUMMYFUNCTION("""COMPUTED_VALUE"""),45547.0)</f>
        <v>45547</v>
      </c>
      <c r="T3483" s="57">
        <f>IFERROR(__xludf.DUMMYFUNCTION("""COMPUTED_VALUE"""),45612.0)</f>
        <v>45612</v>
      </c>
    </row>
    <row r="3484">
      <c r="A3484" s="6" t="str">
        <f>IFERROR(__xludf.DUMMYFUNCTION("""COMPUTED_VALUE"""),"121701812-1")</f>
        <v>121701812-1</v>
      </c>
      <c r="B3484" s="6" t="str">
        <f>IFERROR(__xludf.DUMMYFUNCTION("""COMPUTED_VALUE"""),"121701812 - APPROVED")</f>
        <v>121701812 - APPROVED</v>
      </c>
      <c r="C3484" s="6">
        <f>IFERROR(__xludf.DUMMYFUNCTION("""COMPUTED_VALUE"""),1.0)</f>
        <v>1</v>
      </c>
      <c r="D3484" s="6" t="str">
        <f>IFERROR(__xludf.DUMMYFUNCTION("""COMPUTED_VALUE"""),"P-12471-00")</f>
        <v>P-12471-00</v>
      </c>
      <c r="E3484" s="6" t="str">
        <f>IFERROR(__xludf.DUMMYFUNCTION("""COMPUTED_VALUE"""),"Lem silicone Elastosil ? E41")</f>
        <v>Lem silicone Elastosil ? E41</v>
      </c>
      <c r="F3484" s="6">
        <f>IFERROR(__xludf.DUMMYFUNCTION("""COMPUTED_VALUE"""),12.0)</f>
        <v>12</v>
      </c>
      <c r="G3484" s="6" t="str">
        <f>IFERROR(__xludf.DUMMYFUNCTION("""COMPUTED_VALUE"""),"Pieces")</f>
        <v>Pieces</v>
      </c>
      <c r="H3484" s="6" t="str">
        <f>IFERROR(__xludf.DUMMYFUNCTION("""COMPUTED_VALUE"""),"IDR")</f>
        <v>IDR</v>
      </c>
      <c r="I3484" s="6">
        <f>IFERROR(__xludf.DUMMYFUNCTION("""COMPUTED_VALUE"""),579000.0)</f>
        <v>579000</v>
      </c>
      <c r="J3484" s="6">
        <f>IFERROR(__xludf.DUMMYFUNCTION("""COMPUTED_VALUE"""),6948000.0)</f>
        <v>6948000</v>
      </c>
      <c r="K3484" s="57">
        <f>IFERROR(__xludf.DUMMYFUNCTION("""COMPUTED_VALUE"""),45548.0)</f>
        <v>45548</v>
      </c>
      <c r="L3484" s="6" t="str">
        <f>IFERROR(__xludf.DUMMYFUNCTION("""COMPUTED_VALUE"""),"FIP Engineering")</f>
        <v>FIP Engineering</v>
      </c>
      <c r="M3484" s="6" t="str">
        <f>IFERROR(__xludf.DUMMYFUNCTION("""COMPUTED_VALUE"""),"Mochammad Fadhillah Hakim,")</f>
        <v>Mochammad Fadhillah Hakim,</v>
      </c>
      <c r="N3484" s="6" t="str">
        <f>IFERROR(__xludf.DUMMYFUNCTION("""COMPUTED_VALUE"""),"FIP Engineering")</f>
        <v>FIP Engineering</v>
      </c>
      <c r="O3484" s="6" t="str">
        <f>IFERROR(__xludf.DUMMYFUNCTION("""COMPUTED_VALUE"""),"FIP-DOM-000-11304-OS00001-INA-000000")</f>
        <v>FIP-DOM-000-11304-OS00001-INA-000000</v>
      </c>
      <c r="P3484" s="6" t="str">
        <f>IFERROR(__xludf.DUMMYFUNCTION("""COMPUTED_VALUE"""),"PO Closed")</f>
        <v>PO Closed</v>
      </c>
      <c r="Q3484" s="6" t="str">
        <f>IFERROR(__xludf.DUMMYFUNCTION("""COMPUTED_VALUE"""),"GL2410023")</f>
        <v>GL2410023</v>
      </c>
      <c r="R3484" s="57">
        <f>IFERROR(__xludf.DUMMYFUNCTION("""COMPUTED_VALUE"""),45546.0)</f>
        <v>45546</v>
      </c>
      <c r="S3484" s="57">
        <f>IFERROR(__xludf.DUMMYFUNCTION("""COMPUTED_VALUE"""),45547.0)</f>
        <v>45547</v>
      </c>
      <c r="T3484" s="57">
        <f>IFERROR(__xludf.DUMMYFUNCTION("""COMPUTED_VALUE"""),45590.0)</f>
        <v>45590</v>
      </c>
    </row>
    <row r="3485">
      <c r="A3485" s="6" t="str">
        <f>IFERROR(__xludf.DUMMYFUNCTION("""COMPUTED_VALUE"""),"121701814-1")</f>
        <v>121701814-1</v>
      </c>
      <c r="B3485" s="6" t="str">
        <f>IFERROR(__xludf.DUMMYFUNCTION("""COMPUTED_VALUE"""),"121701814 - APPROVED")</f>
        <v>121701814 - APPROVED</v>
      </c>
      <c r="C3485" s="6">
        <f>IFERROR(__xludf.DUMMYFUNCTION("""COMPUTED_VALUE"""),1.0)</f>
        <v>1</v>
      </c>
      <c r="D3485" s="6" t="str">
        <f>IFERROR(__xludf.DUMMYFUNCTION("""COMPUTED_VALUE"""),"S-62003-00")</f>
        <v>S-62003-00</v>
      </c>
      <c r="E3485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85" s="6">
        <f>IFERROR(__xludf.DUMMYFUNCTION("""COMPUTED_VALUE"""),1.0)</f>
        <v>1</v>
      </c>
      <c r="G3485" s="6" t="str">
        <f>IFERROR(__xludf.DUMMYFUNCTION("""COMPUTED_VALUE"""),"Tube")</f>
        <v>Tube</v>
      </c>
      <c r="H3485" s="6" t="str">
        <f>IFERROR(__xludf.DUMMYFUNCTION("""COMPUTED_VALUE"""),"IDR")</f>
        <v>IDR</v>
      </c>
      <c r="I3485" s="6">
        <f>IFERROR(__xludf.DUMMYFUNCTION("""COMPUTED_VALUE"""),790000.0)</f>
        <v>790000</v>
      </c>
      <c r="J3485" s="6">
        <f>IFERROR(__xludf.DUMMYFUNCTION("""COMPUTED_VALUE"""),790000.0)</f>
        <v>790000</v>
      </c>
      <c r="K3485" s="57">
        <f>IFERROR(__xludf.DUMMYFUNCTION("""COMPUTED_VALUE"""),45549.0)</f>
        <v>45549</v>
      </c>
      <c r="L3485" s="6" t="str">
        <f>IFERROR(__xludf.DUMMYFUNCTION("""COMPUTED_VALUE"""),"FIP General")</f>
        <v>FIP General</v>
      </c>
      <c r="M3485" s="6" t="str">
        <f>IFERROR(__xludf.DUMMYFUNCTION("""COMPUTED_VALUE"""),"Mochammad Fadhillah Hakim,")</f>
        <v>Mochammad Fadhillah Hakim,</v>
      </c>
      <c r="N3485" s="6" t="str">
        <f>IFERROR(__xludf.DUMMYFUNCTION("""COMPUTED_VALUE"""),"FIP Engineering")</f>
        <v>FIP Engineering</v>
      </c>
      <c r="O3485" s="6" t="str">
        <f>IFERROR(__xludf.DUMMYFUNCTION("""COMPUTED_VALUE"""),"FIP-DOM-ENG-51409-0000000-INA-000000")</f>
        <v>FIP-DOM-ENG-51409-0000000-INA-000000</v>
      </c>
      <c r="P3485" s="6" t="str">
        <f>IFERROR(__xludf.DUMMYFUNCTION("""COMPUTED_VALUE"""),"PO Closed")</f>
        <v>PO Closed</v>
      </c>
      <c r="Q3485" s="6" t="str">
        <f>IFERROR(__xludf.DUMMYFUNCTION("""COMPUTED_VALUE"""),"GL2410445")</f>
        <v>GL2410445</v>
      </c>
      <c r="R3485" s="57">
        <f>IFERROR(__xludf.DUMMYFUNCTION("""COMPUTED_VALUE"""),45547.0)</f>
        <v>45547</v>
      </c>
      <c r="S3485" s="57">
        <f>IFERROR(__xludf.DUMMYFUNCTION("""COMPUTED_VALUE"""),45547.0)</f>
        <v>45547</v>
      </c>
      <c r="T3485" s="57">
        <f>IFERROR(__xludf.DUMMYFUNCTION("""COMPUTED_VALUE"""),45583.0)</f>
        <v>45583</v>
      </c>
    </row>
    <row r="3486">
      <c r="A3486" s="6" t="str">
        <f>IFERROR(__xludf.DUMMYFUNCTION("""COMPUTED_VALUE"""),"121701819-1")</f>
        <v>121701819-1</v>
      </c>
      <c r="B3486" s="6" t="str">
        <f>IFERROR(__xludf.DUMMYFUNCTION("""COMPUTED_VALUE"""),"121701819 - APPROVED")</f>
        <v>121701819 - APPROVED</v>
      </c>
      <c r="C3486" s="6">
        <f>IFERROR(__xludf.DUMMYFUNCTION("""COMPUTED_VALUE"""),1.0)</f>
        <v>1</v>
      </c>
      <c r="D3486" s="6" t="str">
        <f>IFERROR(__xludf.DUMMYFUNCTION("""COMPUTED_VALUE"""),"O-18124-00")</f>
        <v>O-18124-00</v>
      </c>
      <c r="E3486" s="6" t="str">
        <f>IFERROR(__xludf.DUMMYFUNCTION("""COMPUTED_VALUE"""),"Mixing Tank Adam - USM T60 Impeller with 20mm Silicon Carbide, G10-012; ; ;")</f>
        <v>Mixing Tank Adam - USM T60 Impeller with 20mm Silicon Carbide, G10-012; ; ;</v>
      </c>
      <c r="F3486" s="6">
        <f>IFERROR(__xludf.DUMMYFUNCTION("""COMPUTED_VALUE"""),1.0)</f>
        <v>1</v>
      </c>
      <c r="G3486" s="6" t="str">
        <f>IFERROR(__xludf.DUMMYFUNCTION("""COMPUTED_VALUE"""),"Pieces")</f>
        <v>Pieces</v>
      </c>
      <c r="H3486" s="6" t="str">
        <f>IFERROR(__xludf.DUMMYFUNCTION("""COMPUTED_VALUE"""),"IDR")</f>
        <v>IDR</v>
      </c>
      <c r="I3486" s="6">
        <f>IFERROR(__xludf.DUMMYFUNCTION("""COMPUTED_VALUE"""),7.0248325E7)</f>
        <v>70248325</v>
      </c>
      <c r="J3486" s="6">
        <f>IFERROR(__xludf.DUMMYFUNCTION("""COMPUTED_VALUE"""),7.0248325E7)</f>
        <v>70248325</v>
      </c>
      <c r="K3486" s="57">
        <f>IFERROR(__xludf.DUMMYFUNCTION("""COMPUTED_VALUE"""),45554.0)</f>
        <v>45554</v>
      </c>
      <c r="L3486" s="6" t="str">
        <f>IFERROR(__xludf.DUMMYFUNCTION("""COMPUTED_VALUE"""),"FIP Engineering")</f>
        <v>FIP Engineering</v>
      </c>
      <c r="M3486" s="6" t="str">
        <f>IFERROR(__xludf.DUMMYFUNCTION("""COMPUTED_VALUE"""),"Mochammad Fadhillah Hakim,")</f>
        <v>Mochammad Fadhillah Hakim,</v>
      </c>
      <c r="N3486" s="6" t="str">
        <f>IFERROR(__xludf.DUMMYFUNCTION("""COMPUTED_VALUE"""),"FIP Engineering")</f>
        <v>FIP Engineering</v>
      </c>
      <c r="O3486" s="6" t="str">
        <f>IFERROR(__xludf.DUMMYFUNCTION("""COMPUTED_VALUE"""),"FIP-DOM-000-11304-OS00001-INA-000000")</f>
        <v>FIP-DOM-000-11304-OS00001-INA-000000</v>
      </c>
      <c r="P3486" s="6" t="str">
        <f>IFERROR(__xludf.DUMMYFUNCTION("""COMPUTED_VALUE"""),"PO Closed")</f>
        <v>PO Closed</v>
      </c>
      <c r="Q3486" s="6" t="str">
        <f>IFERROR(__xludf.DUMMYFUNCTION("""COMPUTED_VALUE"""),"GL2410034")</f>
        <v>GL2410034</v>
      </c>
      <c r="R3486" s="57">
        <f>IFERROR(__xludf.DUMMYFUNCTION("""COMPUTED_VALUE"""),45552.0)</f>
        <v>45552</v>
      </c>
      <c r="S3486" s="57">
        <f>IFERROR(__xludf.DUMMYFUNCTION("""COMPUTED_VALUE"""),45552.0)</f>
        <v>45552</v>
      </c>
      <c r="T3486" s="57">
        <f>IFERROR(__xludf.DUMMYFUNCTION("""COMPUTED_VALUE"""),45640.0)</f>
        <v>45640</v>
      </c>
    </row>
    <row r="3487">
      <c r="A3487" s="6" t="str">
        <f>IFERROR(__xludf.DUMMYFUNCTION("""COMPUTED_VALUE"""),"121701819-2")</f>
        <v>121701819-2</v>
      </c>
      <c r="B3487" s="6" t="str">
        <f>IFERROR(__xludf.DUMMYFUNCTION("""COMPUTED_VALUE"""),"121701819 - APPROVED")</f>
        <v>121701819 - APPROVED</v>
      </c>
      <c r="C3487" s="6">
        <f>IFERROR(__xludf.DUMMYFUNCTION("""COMPUTED_VALUE"""),2.0)</f>
        <v>2</v>
      </c>
      <c r="D3487" s="6" t="str">
        <f>IFERROR(__xludf.DUMMYFUNCTION("""COMPUTED_VALUE"""),"O-18125-00")</f>
        <v>O-18125-00</v>
      </c>
      <c r="E3487" s="6" t="str">
        <f>IFERROR(__xludf.DUMMYFUNCTION("""COMPUTED_VALUE"""),"Mixing Tank Adam - USM T60 Male Bearing Pin 20mm Silicon Carbide, G20-008; ; ;")</f>
        <v>Mixing Tank Adam - USM T60 Male Bearing Pin 20mm Silicon Carbide, G20-008; ; ;</v>
      </c>
      <c r="F3487" s="6">
        <f>IFERROR(__xludf.DUMMYFUNCTION("""COMPUTED_VALUE"""),1.0)</f>
        <v>1</v>
      </c>
      <c r="G3487" s="6" t="str">
        <f>IFERROR(__xludf.DUMMYFUNCTION("""COMPUTED_VALUE"""),"Pieces")</f>
        <v>Pieces</v>
      </c>
      <c r="H3487" s="6" t="str">
        <f>IFERROR(__xludf.DUMMYFUNCTION("""COMPUTED_VALUE"""),"IDR")</f>
        <v>IDR</v>
      </c>
      <c r="I3487" s="6">
        <f>IFERROR(__xludf.DUMMYFUNCTION("""COMPUTED_VALUE"""),2.5186105E7)</f>
        <v>25186105</v>
      </c>
      <c r="J3487" s="6">
        <f>IFERROR(__xludf.DUMMYFUNCTION("""COMPUTED_VALUE"""),2.5186105E7)</f>
        <v>25186105</v>
      </c>
      <c r="K3487" s="57">
        <f>IFERROR(__xludf.DUMMYFUNCTION("""COMPUTED_VALUE"""),45554.0)</f>
        <v>45554</v>
      </c>
      <c r="L3487" s="6" t="str">
        <f>IFERROR(__xludf.DUMMYFUNCTION("""COMPUTED_VALUE"""),"FIP Engineering")</f>
        <v>FIP Engineering</v>
      </c>
      <c r="M3487" s="6" t="str">
        <f>IFERROR(__xludf.DUMMYFUNCTION("""COMPUTED_VALUE"""),"Mochammad Fadhillah Hakim,")</f>
        <v>Mochammad Fadhillah Hakim,</v>
      </c>
      <c r="N3487" s="6" t="str">
        <f>IFERROR(__xludf.DUMMYFUNCTION("""COMPUTED_VALUE"""),"FIP Engineering")</f>
        <v>FIP Engineering</v>
      </c>
      <c r="O3487" s="6" t="str">
        <f>IFERROR(__xludf.DUMMYFUNCTION("""COMPUTED_VALUE"""),"FIP-DOM-000-11304-OS00001-INA-000000")</f>
        <v>FIP-DOM-000-11304-OS00001-INA-000000</v>
      </c>
      <c r="P3487" s="6" t="str">
        <f>IFERROR(__xludf.DUMMYFUNCTION("""COMPUTED_VALUE"""),"PO Closed")</f>
        <v>PO Closed</v>
      </c>
      <c r="Q3487" s="6" t="str">
        <f>IFERROR(__xludf.DUMMYFUNCTION("""COMPUTED_VALUE"""),"GL2410034")</f>
        <v>GL2410034</v>
      </c>
      <c r="R3487" s="57">
        <f>IFERROR(__xludf.DUMMYFUNCTION("""COMPUTED_VALUE"""),45552.0)</f>
        <v>45552</v>
      </c>
      <c r="S3487" s="57">
        <f>IFERROR(__xludf.DUMMYFUNCTION("""COMPUTED_VALUE"""),45552.0)</f>
        <v>45552</v>
      </c>
      <c r="T3487" s="57">
        <f>IFERROR(__xludf.DUMMYFUNCTION("""COMPUTED_VALUE"""),46187.0)</f>
        <v>46187</v>
      </c>
    </row>
    <row r="3488">
      <c r="A3488" s="6" t="str">
        <f>IFERROR(__xludf.DUMMYFUNCTION("""COMPUTED_VALUE"""),"121701820-1")</f>
        <v>121701820-1</v>
      </c>
      <c r="B3488" s="6" t="str">
        <f>IFERROR(__xludf.DUMMYFUNCTION("""COMPUTED_VALUE"""),"121701820 - APPROVED")</f>
        <v>121701820 - APPROVED</v>
      </c>
      <c r="C3488" s="6">
        <f>IFERROR(__xludf.DUMMYFUNCTION("""COMPUTED_VALUE"""),1.0)</f>
        <v>1</v>
      </c>
      <c r="D3488" s="6" t="str">
        <f>IFERROR(__xludf.DUMMYFUNCTION("""COMPUTED_VALUE"""),"R-62025-00")</f>
        <v>R-62025-00</v>
      </c>
      <c r="E3488" s="6" t="str">
        <f>IFERROR(__xludf.DUMMYFUNCTION("""COMPUTED_VALUE"""),"UPS; ; ;")</f>
        <v>UPS; ; ;</v>
      </c>
      <c r="F3488" s="6">
        <f>IFERROR(__xludf.DUMMYFUNCTION("""COMPUTED_VALUE"""),1.0)</f>
        <v>1</v>
      </c>
      <c r="G3488" s="6" t="str">
        <f>IFERROR(__xludf.DUMMYFUNCTION("""COMPUTED_VALUE"""),"Unit")</f>
        <v>Unit</v>
      </c>
      <c r="H3488" s="6" t="str">
        <f>IFERROR(__xludf.DUMMYFUNCTION("""COMPUTED_VALUE"""),"IDR")</f>
        <v>IDR</v>
      </c>
      <c r="I3488" s="6">
        <f>IFERROR(__xludf.DUMMYFUNCTION("""COMPUTED_VALUE"""),4.78E7)</f>
        <v>47800000</v>
      </c>
      <c r="J3488" s="6">
        <f>IFERROR(__xludf.DUMMYFUNCTION("""COMPUTED_VALUE"""),4.78E7)</f>
        <v>47800000</v>
      </c>
      <c r="K3488" s="57">
        <f>IFERROR(__xludf.DUMMYFUNCTION("""COMPUTED_VALUE"""),45554.0)</f>
        <v>45554</v>
      </c>
      <c r="L3488" s="6" t="str">
        <f>IFERROR(__xludf.DUMMYFUNCTION("""COMPUTED_VALUE"""),"FIP General")</f>
        <v>FIP General</v>
      </c>
      <c r="M3488" s="6" t="str">
        <f>IFERROR(__xludf.DUMMYFUNCTION("""COMPUTED_VALUE"""),"Mochammad Fadhillah Hakim,")</f>
        <v>Mochammad Fadhillah Hakim,</v>
      </c>
      <c r="N3488" s="6" t="str">
        <f>IFERROR(__xludf.DUMMYFUNCTION("""COMPUTED_VALUE"""),"FIP Engineering")</f>
        <v>FIP Engineering</v>
      </c>
      <c r="O3488" s="6" t="str">
        <f>IFERROR(__xludf.DUMMYFUNCTION("""COMPUTED_VALUE"""),"FIP-DOM-ENG-13408-IT24004-INA-000000")</f>
        <v>FIP-DOM-ENG-13408-IT24004-INA-000000</v>
      </c>
      <c r="P3488" s="6" t="str">
        <f>IFERROR(__xludf.DUMMYFUNCTION("""COMPUTED_VALUE"""),"PO Closed")</f>
        <v>PO Closed</v>
      </c>
      <c r="Q3488" s="6" t="str">
        <f>IFERROR(__xludf.DUMMYFUNCTION("""COMPUTED_VALUE"""),"GL2410011")</f>
        <v>GL2410011</v>
      </c>
      <c r="R3488" s="57">
        <f>IFERROR(__xludf.DUMMYFUNCTION("""COMPUTED_VALUE"""),45552.0)</f>
        <v>45552</v>
      </c>
      <c r="S3488" s="57">
        <f>IFERROR(__xludf.DUMMYFUNCTION("""COMPUTED_VALUE"""),45560.0)</f>
        <v>45560</v>
      </c>
      <c r="T3488" s="57">
        <f>IFERROR(__xludf.DUMMYFUNCTION("""COMPUTED_VALUE"""),45583.0)</f>
        <v>45583</v>
      </c>
    </row>
    <row r="3489">
      <c r="A3489" s="6" t="str">
        <f>IFERROR(__xludf.DUMMYFUNCTION("""COMPUTED_VALUE"""),"121701821-1")</f>
        <v>121701821-1</v>
      </c>
      <c r="B3489" s="6" t="str">
        <f>IFERROR(__xludf.DUMMYFUNCTION("""COMPUTED_VALUE"""),"121701821 - APPROVED")</f>
        <v>121701821 - APPROVED</v>
      </c>
      <c r="C3489" s="6">
        <f>IFERROR(__xludf.DUMMYFUNCTION("""COMPUTED_VALUE"""),1.0)</f>
        <v>1</v>
      </c>
      <c r="D3489" s="6" t="str">
        <f>IFERROR(__xludf.DUMMYFUNCTION("""COMPUTED_VALUE"""),"S-62003-00")</f>
        <v>S-62003-00</v>
      </c>
      <c r="E3489" s="6" t="str">
        <f>IFERROR(__xludf.DUMMYFUNCTION("""COMPUTED_VALUE"""),"Gas Liquid Nitrogen (LIN) - PGS; 120 M3; Refill; 14.7 Bar; Purity ? 99.999%")</f>
        <v>Gas Liquid Nitrogen (LIN) - PGS; 120 M3; Refill; 14.7 Bar; Purity ? 99.999%</v>
      </c>
      <c r="F3489" s="6">
        <f>IFERROR(__xludf.DUMMYFUNCTION("""COMPUTED_VALUE"""),1.0)</f>
        <v>1</v>
      </c>
      <c r="G3489" s="6" t="str">
        <f>IFERROR(__xludf.DUMMYFUNCTION("""COMPUTED_VALUE"""),"Tube")</f>
        <v>Tube</v>
      </c>
      <c r="H3489" s="6" t="str">
        <f>IFERROR(__xludf.DUMMYFUNCTION("""COMPUTED_VALUE"""),"IDR")</f>
        <v>IDR</v>
      </c>
      <c r="I3489" s="6">
        <f>IFERROR(__xludf.DUMMYFUNCTION("""COMPUTED_VALUE"""),790000.0)</f>
        <v>790000</v>
      </c>
      <c r="J3489" s="6">
        <f>IFERROR(__xludf.DUMMYFUNCTION("""COMPUTED_VALUE"""),790000.0)</f>
        <v>790000</v>
      </c>
      <c r="K3489" s="57">
        <f>IFERROR(__xludf.DUMMYFUNCTION("""COMPUTED_VALUE"""),45554.0)</f>
        <v>45554</v>
      </c>
      <c r="L3489" s="6" t="str">
        <f>IFERROR(__xludf.DUMMYFUNCTION("""COMPUTED_VALUE"""),"FIP General")</f>
        <v>FIP General</v>
      </c>
      <c r="M3489" s="6" t="str">
        <f>IFERROR(__xludf.DUMMYFUNCTION("""COMPUTED_VALUE"""),"Mochammad Fadhillah Hakim,")</f>
        <v>Mochammad Fadhillah Hakim,</v>
      </c>
      <c r="N3489" s="6" t="str">
        <f>IFERROR(__xludf.DUMMYFUNCTION("""COMPUTED_VALUE"""),"FIP Engineering")</f>
        <v>FIP Engineering</v>
      </c>
      <c r="O3489" s="6" t="str">
        <f>IFERROR(__xludf.DUMMYFUNCTION("""COMPUTED_VALUE"""),"FIP-DOM-ENG-51409-0000000-INA-000000")</f>
        <v>FIP-DOM-ENG-51409-0000000-INA-000000</v>
      </c>
      <c r="P3489" s="6" t="str">
        <f>IFERROR(__xludf.DUMMYFUNCTION("""COMPUTED_VALUE"""),"PO Closed")</f>
        <v>PO Closed</v>
      </c>
      <c r="Q3489" s="6" t="str">
        <f>IFERROR(__xludf.DUMMYFUNCTION("""COMPUTED_VALUE"""),"GL2410445")</f>
        <v>GL2410445</v>
      </c>
      <c r="R3489" s="57">
        <f>IFERROR(__xludf.DUMMYFUNCTION("""COMPUTED_VALUE"""),45552.0)</f>
        <v>45552</v>
      </c>
      <c r="S3489" s="57">
        <f>IFERROR(__xludf.DUMMYFUNCTION("""COMPUTED_VALUE"""),45554.0)</f>
        <v>45554</v>
      </c>
      <c r="T3489" s="57">
        <f>IFERROR(__xludf.DUMMYFUNCTION("""COMPUTED_VALUE"""),45583.0)</f>
        <v>45583</v>
      </c>
    </row>
    <row r="3490">
      <c r="A3490" s="6" t="str">
        <f>IFERROR(__xludf.DUMMYFUNCTION("""COMPUTED_VALUE"""),"121701822-1")</f>
        <v>121701822-1</v>
      </c>
      <c r="B3490" s="6" t="str">
        <f>IFERROR(__xludf.DUMMYFUNCTION("""COMPUTED_VALUE"""),"121701822 - APPROVED")</f>
        <v>121701822 - APPROVED</v>
      </c>
      <c r="C3490" s="6">
        <f>IFERROR(__xludf.DUMMYFUNCTION("""COMPUTED_VALUE"""),1.0)</f>
        <v>1</v>
      </c>
      <c r="D3490" s="6" t="str">
        <f>IFERROR(__xludf.DUMMYFUNCTION("""COMPUTED_VALUE"""),"Q-90000-00")</f>
        <v>Q-90000-00</v>
      </c>
      <c r="E3490" s="6" t="str">
        <f>IFERROR(__xludf.DUMMYFUNCTION("""COMPUTED_VALUE"""),"Building Maintenance Pure Expense")</f>
        <v>Building Maintenance Pure Expense</v>
      </c>
      <c r="F3490" s="6">
        <f>IFERROR(__xludf.DUMMYFUNCTION("""COMPUTED_VALUE"""),1.0)</f>
        <v>1</v>
      </c>
      <c r="G3490" s="6" t="str">
        <f>IFERROR(__xludf.DUMMYFUNCTION("""COMPUTED_VALUE"""),"Unit")</f>
        <v>Unit</v>
      </c>
      <c r="H3490" s="6" t="str">
        <f>IFERROR(__xludf.DUMMYFUNCTION("""COMPUTED_VALUE"""),"IDR")</f>
        <v>IDR</v>
      </c>
      <c r="I3490" s="6">
        <f>IFERROR(__xludf.DUMMYFUNCTION("""COMPUTED_VALUE"""),1.5645E7)</f>
        <v>15645000</v>
      </c>
      <c r="J3490" s="6">
        <f>IFERROR(__xludf.DUMMYFUNCTION("""COMPUTED_VALUE"""),1.5645E7)</f>
        <v>15645000</v>
      </c>
      <c r="K3490" s="57">
        <f>IFERROR(__xludf.DUMMYFUNCTION("""COMPUTED_VALUE"""),45554.0)</f>
        <v>45554</v>
      </c>
      <c r="L3490" s="6" t="str">
        <f>IFERROR(__xludf.DUMMYFUNCTION("""COMPUTED_VALUE"""),"FIP General")</f>
        <v>FIP General</v>
      </c>
      <c r="M3490" s="6" t="str">
        <f>IFERROR(__xludf.DUMMYFUNCTION("""COMPUTED_VALUE"""),"Mochammad Fadhillah Hakim,")</f>
        <v>Mochammad Fadhillah Hakim,</v>
      </c>
      <c r="N3490" s="6" t="str">
        <f>IFERROR(__xludf.DUMMYFUNCTION("""COMPUTED_VALUE"""),"FIP Engineering")</f>
        <v>FIP Engineering</v>
      </c>
      <c r="O3490" s="6" t="str">
        <f>IFERROR(__xludf.DUMMYFUNCTION("""COMPUTED_VALUE"""),"FIP-DOM-ENG-51502-0000000-INA-000000")</f>
        <v>FIP-DOM-ENG-51502-0000000-INA-000000</v>
      </c>
      <c r="P3490" s="6" t="str">
        <f>IFERROR(__xludf.DUMMYFUNCTION("""COMPUTED_VALUE"""),"PO Closed")</f>
        <v>PO Closed</v>
      </c>
      <c r="Q3490" s="6"/>
      <c r="R3490" s="57">
        <f>IFERROR(__xludf.DUMMYFUNCTION("""COMPUTED_VALUE"""),45552.0)</f>
        <v>45552</v>
      </c>
      <c r="S3490" s="57">
        <f>IFERROR(__xludf.DUMMYFUNCTION("""COMPUTED_VALUE"""),45560.0)</f>
        <v>45560</v>
      </c>
      <c r="T3490" s="57">
        <f>IFERROR(__xludf.DUMMYFUNCTION("""COMPUTED_VALUE"""),45554.0)</f>
        <v>45554</v>
      </c>
    </row>
    <row r="3491">
      <c r="A3491" s="6" t="str">
        <f>IFERROR(__xludf.DUMMYFUNCTION("""COMPUTED_VALUE"""),"121701826-1")</f>
        <v>121701826-1</v>
      </c>
      <c r="B3491" s="6" t="str">
        <f>IFERROR(__xludf.DUMMYFUNCTION("""COMPUTED_VALUE"""),"121701826 - APPROVED")</f>
        <v>121701826 - APPROVED</v>
      </c>
      <c r="C3491" s="6">
        <f>IFERROR(__xludf.DUMMYFUNCTION("""COMPUTED_VALUE"""),1.0)</f>
        <v>1</v>
      </c>
      <c r="D3491" s="6" t="str">
        <f>IFERROR(__xludf.DUMMYFUNCTION("""COMPUTED_VALUE"""),"P-19354-00")</f>
        <v>P-19354-00</v>
      </c>
      <c r="E3491" s="6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F3491" s="6">
        <f>IFERROR(__xludf.DUMMYFUNCTION("""COMPUTED_VALUE"""),3.0)</f>
        <v>3</v>
      </c>
      <c r="G3491" s="6" t="str">
        <f>IFERROR(__xludf.DUMMYFUNCTION("""COMPUTED_VALUE"""),"Unit")</f>
        <v>Unit</v>
      </c>
      <c r="H3491" s="6" t="str">
        <f>IFERROR(__xludf.DUMMYFUNCTION("""COMPUTED_VALUE"""),"IDR")</f>
        <v>IDR</v>
      </c>
      <c r="I3491" s="6">
        <f>IFERROR(__xludf.DUMMYFUNCTION("""COMPUTED_VALUE"""),8400000.0)</f>
        <v>8400000</v>
      </c>
      <c r="J3491" s="6">
        <f>IFERROR(__xludf.DUMMYFUNCTION("""COMPUTED_VALUE"""),2.52E7)</f>
        <v>25200000</v>
      </c>
      <c r="K3491" s="57">
        <f>IFERROR(__xludf.DUMMYFUNCTION("""COMPUTED_VALUE"""),45555.0)</f>
        <v>45555</v>
      </c>
      <c r="L3491" s="6" t="str">
        <f>IFERROR(__xludf.DUMMYFUNCTION("""COMPUTED_VALUE"""),"FIP Engineering")</f>
        <v>FIP Engineering</v>
      </c>
      <c r="M3491" s="6" t="str">
        <f>IFERROR(__xludf.DUMMYFUNCTION("""COMPUTED_VALUE"""),"Mochammad Fadhillah Hakim,")</f>
        <v>Mochammad Fadhillah Hakim,</v>
      </c>
      <c r="N3491" s="6" t="str">
        <f>IFERROR(__xludf.DUMMYFUNCTION("""COMPUTED_VALUE"""),"FIP Engineering")</f>
        <v>FIP Engineering</v>
      </c>
      <c r="O3491" s="6" t="str">
        <f>IFERROR(__xludf.DUMMYFUNCTION("""COMPUTED_VALUE"""),"FIP-DOM-000-11304-OS00001-INA-000000")</f>
        <v>FIP-DOM-000-11304-OS00001-INA-000000</v>
      </c>
      <c r="P3491" s="6" t="str">
        <f>IFERROR(__xludf.DUMMYFUNCTION("""COMPUTED_VALUE"""),"PO Closed")</f>
        <v>PO Closed</v>
      </c>
      <c r="Q3491" s="6" t="str">
        <f>IFERROR(__xludf.DUMMYFUNCTION("""COMPUTED_VALUE"""),"GL2410001")</f>
        <v>GL2410001</v>
      </c>
      <c r="R3491" s="57">
        <f>IFERROR(__xludf.DUMMYFUNCTION("""COMPUTED_VALUE"""),45553.0)</f>
        <v>45553</v>
      </c>
      <c r="S3491" s="57">
        <f>IFERROR(__xludf.DUMMYFUNCTION("""COMPUTED_VALUE"""),45554.0)</f>
        <v>45554</v>
      </c>
      <c r="T3491" s="57">
        <f>IFERROR(__xludf.DUMMYFUNCTION("""COMPUTED_VALUE"""),45595.0)</f>
        <v>45595</v>
      </c>
    </row>
    <row r="3492">
      <c r="A3492" s="6" t="str">
        <f>IFERROR(__xludf.DUMMYFUNCTION("""COMPUTED_VALUE"""),"121701826-2")</f>
        <v>121701826-2</v>
      </c>
      <c r="B3492" s="6" t="str">
        <f>IFERROR(__xludf.DUMMYFUNCTION("""COMPUTED_VALUE"""),"121701826 - APPROVED")</f>
        <v>121701826 - APPROVED</v>
      </c>
      <c r="C3492" s="6">
        <f>IFERROR(__xludf.DUMMYFUNCTION("""COMPUTED_VALUE"""),2.0)</f>
        <v>2</v>
      </c>
      <c r="D3492" s="6" t="str">
        <f>IFERROR(__xludf.DUMMYFUNCTION("""COMPUTED_VALUE"""),"O-14363-00")</f>
        <v>O-14363-00</v>
      </c>
      <c r="E3492" s="6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F3492" s="6">
        <f>IFERROR(__xludf.DUMMYFUNCTION("""COMPUTED_VALUE"""),3.0)</f>
        <v>3</v>
      </c>
      <c r="G3492" s="6" t="str">
        <f>IFERROR(__xludf.DUMMYFUNCTION("""COMPUTED_VALUE"""),"Pieces")</f>
        <v>Pieces</v>
      </c>
      <c r="H3492" s="6" t="str">
        <f>IFERROR(__xludf.DUMMYFUNCTION("""COMPUTED_VALUE"""),"IDR")</f>
        <v>IDR</v>
      </c>
      <c r="I3492" s="6">
        <f>IFERROR(__xludf.DUMMYFUNCTION("""COMPUTED_VALUE"""),2700000.0)</f>
        <v>2700000</v>
      </c>
      <c r="J3492" s="6">
        <f>IFERROR(__xludf.DUMMYFUNCTION("""COMPUTED_VALUE"""),8100000.0)</f>
        <v>8100000</v>
      </c>
      <c r="K3492" s="57">
        <f>IFERROR(__xludf.DUMMYFUNCTION("""COMPUTED_VALUE"""),45555.0)</f>
        <v>45555</v>
      </c>
      <c r="L3492" s="6" t="str">
        <f>IFERROR(__xludf.DUMMYFUNCTION("""COMPUTED_VALUE"""),"FIP Engineering")</f>
        <v>FIP Engineering</v>
      </c>
      <c r="M3492" s="6" t="str">
        <f>IFERROR(__xludf.DUMMYFUNCTION("""COMPUTED_VALUE"""),"Mochammad Fadhillah Hakim,")</f>
        <v>Mochammad Fadhillah Hakim,</v>
      </c>
      <c r="N3492" s="6" t="str">
        <f>IFERROR(__xludf.DUMMYFUNCTION("""COMPUTED_VALUE"""),"FIP Engineering")</f>
        <v>FIP Engineering</v>
      </c>
      <c r="O3492" s="6" t="str">
        <f>IFERROR(__xludf.DUMMYFUNCTION("""COMPUTED_VALUE"""),"FIP-DOM-000-11304-OS00001-INA-000000")</f>
        <v>FIP-DOM-000-11304-OS00001-INA-000000</v>
      </c>
      <c r="P3492" s="6" t="str">
        <f>IFERROR(__xludf.DUMMYFUNCTION("""COMPUTED_VALUE"""),"PO Closed")</f>
        <v>PO Closed</v>
      </c>
      <c r="Q3492" s="6" t="str">
        <f>IFERROR(__xludf.DUMMYFUNCTION("""COMPUTED_VALUE"""),"GL2410001")</f>
        <v>GL2410001</v>
      </c>
      <c r="R3492" s="57">
        <f>IFERROR(__xludf.DUMMYFUNCTION("""COMPUTED_VALUE"""),45553.0)</f>
        <v>45553</v>
      </c>
      <c r="S3492" s="57">
        <f>IFERROR(__xludf.DUMMYFUNCTION("""COMPUTED_VALUE"""),45554.0)</f>
        <v>45554</v>
      </c>
      <c r="T3492" s="57">
        <f>IFERROR(__xludf.DUMMYFUNCTION("""COMPUTED_VALUE"""),45595.0)</f>
        <v>45595</v>
      </c>
    </row>
    <row r="3493">
      <c r="A3493" s="6" t="str">
        <f>IFERROR(__xludf.DUMMYFUNCTION("""COMPUTED_VALUE"""),"121701828-1")</f>
        <v>121701828-1</v>
      </c>
      <c r="B3493" s="6" t="str">
        <f>IFERROR(__xludf.DUMMYFUNCTION("""COMPUTED_VALUE"""),"121701828 - APPROVED")</f>
        <v>121701828 - APPROVED</v>
      </c>
      <c r="C3493" s="6">
        <f>IFERROR(__xludf.DUMMYFUNCTION("""COMPUTED_VALUE"""),1.0)</f>
        <v>1</v>
      </c>
      <c r="D3493" s="6" t="str">
        <f>IFERROR(__xludf.DUMMYFUNCTION("""COMPUTED_VALUE"""),"O-16317-00")</f>
        <v>O-16317-00</v>
      </c>
      <c r="E3493" s="6" t="str">
        <f>IFERROR(__xludf.DUMMYFUNCTION("""COMPUTED_VALUE"""),"FD Lyofast 10 - Oli Vaccum Ultragrade 20 Edwards; ; ;")</f>
        <v>FD Lyofast 10 - Oli Vaccum Ultragrade 20 Edwards; ; ;</v>
      </c>
      <c r="F3493" s="6">
        <f>IFERROR(__xludf.DUMMYFUNCTION("""COMPUTED_VALUE"""),1.0)</f>
        <v>1</v>
      </c>
      <c r="G3493" s="6" t="str">
        <f>IFERROR(__xludf.DUMMYFUNCTION("""COMPUTED_VALUE"""),"Liter")</f>
        <v>Liter</v>
      </c>
      <c r="H3493" s="6" t="str">
        <f>IFERROR(__xludf.DUMMYFUNCTION("""COMPUTED_VALUE"""),"IDR")</f>
        <v>IDR</v>
      </c>
      <c r="I3493" s="6">
        <f>IFERROR(__xludf.DUMMYFUNCTION("""COMPUTED_VALUE"""),2850000.0)</f>
        <v>2850000</v>
      </c>
      <c r="J3493" s="6">
        <f>IFERROR(__xludf.DUMMYFUNCTION("""COMPUTED_VALUE"""),2850000.0)</f>
        <v>2850000</v>
      </c>
      <c r="K3493" s="57">
        <f>IFERROR(__xludf.DUMMYFUNCTION("""COMPUTED_VALUE"""),45555.0)</f>
        <v>45555</v>
      </c>
      <c r="L3493" s="6" t="str">
        <f>IFERROR(__xludf.DUMMYFUNCTION("""COMPUTED_VALUE"""),"FIP Engineering")</f>
        <v>FIP Engineering</v>
      </c>
      <c r="M3493" s="6" t="str">
        <f>IFERROR(__xludf.DUMMYFUNCTION("""COMPUTED_VALUE"""),"Mochammad Fadhillah Hakim,")</f>
        <v>Mochammad Fadhillah Hakim,</v>
      </c>
      <c r="N3493" s="6" t="str">
        <f>IFERROR(__xludf.DUMMYFUNCTION("""COMPUTED_VALUE"""),"FIP Engineering")</f>
        <v>FIP Engineering</v>
      </c>
      <c r="O3493" s="6" t="str">
        <f>IFERROR(__xludf.DUMMYFUNCTION("""COMPUTED_VALUE"""),"FIP-DOM-000-11304-OS00001-INA-000000")</f>
        <v>FIP-DOM-000-11304-OS00001-INA-000000</v>
      </c>
      <c r="P3493" s="6" t="str">
        <f>IFERROR(__xludf.DUMMYFUNCTION("""COMPUTED_VALUE"""),"PO Closed")</f>
        <v>PO Closed</v>
      </c>
      <c r="Q3493" s="6" t="str">
        <f>IFERROR(__xludf.DUMMYFUNCTION("""COMPUTED_VALUE"""),"GL2410026")</f>
        <v>GL2410026</v>
      </c>
      <c r="R3493" s="57">
        <f>IFERROR(__xludf.DUMMYFUNCTION("""COMPUTED_VALUE"""),45553.0)</f>
        <v>45553</v>
      </c>
      <c r="S3493" s="57">
        <f>IFERROR(__xludf.DUMMYFUNCTION("""COMPUTED_VALUE"""),45554.0)</f>
        <v>45554</v>
      </c>
      <c r="T3493" s="57">
        <f>IFERROR(__xludf.DUMMYFUNCTION("""COMPUTED_VALUE"""),45641.0)</f>
        <v>45641</v>
      </c>
    </row>
    <row r="3494">
      <c r="A3494" s="6" t="str">
        <f>IFERROR(__xludf.DUMMYFUNCTION("""COMPUTED_VALUE"""),"121701831-1")</f>
        <v>121701831-1</v>
      </c>
      <c r="B3494" s="6" t="str">
        <f>IFERROR(__xludf.DUMMYFUNCTION("""COMPUTED_VALUE"""),"121701831 - APPROVED")</f>
        <v>121701831 - APPROVED</v>
      </c>
      <c r="C3494" s="6">
        <f>IFERROR(__xludf.DUMMYFUNCTION("""COMPUTED_VALUE"""),1.0)</f>
        <v>1</v>
      </c>
      <c r="D3494" s="6" t="str">
        <f>IFERROR(__xludf.DUMMYFUNCTION("""COMPUTED_VALUE"""),"O-19379-00")</f>
        <v>O-19379-00</v>
      </c>
      <c r="E3494" s="6" t="str">
        <f>IFERROR(__xludf.DUMMYFUNCTION("""COMPUTED_VALUE"""),"Oli Refrigeration; Xaerus; XR 534-46;")</f>
        <v>Oli Refrigeration; Xaerus; XR 534-46;</v>
      </c>
      <c r="F3494" s="6">
        <f>IFERROR(__xludf.DUMMYFUNCTION("""COMPUTED_VALUE"""),5.0)</f>
        <v>5</v>
      </c>
      <c r="G3494" s="6" t="str">
        <f>IFERROR(__xludf.DUMMYFUNCTION("""COMPUTED_VALUE"""),"Can")</f>
        <v>Can</v>
      </c>
      <c r="H3494" s="6" t="str">
        <f>IFERROR(__xludf.DUMMYFUNCTION("""COMPUTED_VALUE"""),"IDR")</f>
        <v>IDR</v>
      </c>
      <c r="I3494" s="6">
        <f>IFERROR(__xludf.DUMMYFUNCTION("""COMPUTED_VALUE"""),1800000.0)</f>
        <v>1800000</v>
      </c>
      <c r="J3494" s="6">
        <f>IFERROR(__xludf.DUMMYFUNCTION("""COMPUTED_VALUE"""),9000000.0)</f>
        <v>9000000</v>
      </c>
      <c r="K3494" s="57">
        <f>IFERROR(__xludf.DUMMYFUNCTION("""COMPUTED_VALUE"""),45555.0)</f>
        <v>45555</v>
      </c>
      <c r="L3494" s="6" t="str">
        <f>IFERROR(__xludf.DUMMYFUNCTION("""COMPUTED_VALUE"""),"FIP Engineering")</f>
        <v>FIP Engineering</v>
      </c>
      <c r="M3494" s="6" t="str">
        <f>IFERROR(__xludf.DUMMYFUNCTION("""COMPUTED_VALUE"""),"Mochammad Fadhillah Hakim,")</f>
        <v>Mochammad Fadhillah Hakim,</v>
      </c>
      <c r="N3494" s="6" t="str">
        <f>IFERROR(__xludf.DUMMYFUNCTION("""COMPUTED_VALUE"""),"FIP Engineering")</f>
        <v>FIP Engineering</v>
      </c>
      <c r="O3494" s="6" t="str">
        <f>IFERROR(__xludf.DUMMYFUNCTION("""COMPUTED_VALUE"""),"FIP-DOM-000-11304-OS00001-INA-000000")</f>
        <v>FIP-DOM-000-11304-OS00001-INA-000000</v>
      </c>
      <c r="P3494" s="6" t="str">
        <f>IFERROR(__xludf.DUMMYFUNCTION("""COMPUTED_VALUE"""),"PO Closed")</f>
        <v>PO Closed</v>
      </c>
      <c r="Q3494" s="6" t="str">
        <f>IFERROR(__xludf.DUMMYFUNCTION("""COMPUTED_VALUE"""),"GL2410027")</f>
        <v>GL2410027</v>
      </c>
      <c r="R3494" s="57">
        <f>IFERROR(__xludf.DUMMYFUNCTION("""COMPUTED_VALUE"""),45553.0)</f>
        <v>45553</v>
      </c>
      <c r="S3494" s="57">
        <f>IFERROR(__xludf.DUMMYFUNCTION("""COMPUTED_VALUE"""),45553.0)</f>
        <v>45553</v>
      </c>
      <c r="T3494" s="57">
        <f>IFERROR(__xludf.DUMMYFUNCTION("""COMPUTED_VALUE"""),45611.0)</f>
        <v>45611</v>
      </c>
    </row>
    <row r="3495">
      <c r="A3495" s="6" t="str">
        <f>IFERROR(__xludf.DUMMYFUNCTION("""COMPUTED_VALUE"""),"121701832-1")</f>
        <v>121701832-1</v>
      </c>
      <c r="B3495" s="6" t="str">
        <f>IFERROR(__xludf.DUMMYFUNCTION("""COMPUTED_VALUE"""),"121701832 - APPROVED")</f>
        <v>121701832 - APPROVED</v>
      </c>
      <c r="C3495" s="6">
        <f>IFERROR(__xludf.DUMMYFUNCTION("""COMPUTED_VALUE"""),1.0)</f>
        <v>1</v>
      </c>
      <c r="D3495" s="6" t="str">
        <f>IFERROR(__xludf.DUMMYFUNCTION("""COMPUTED_VALUE"""),"O-19848-00")</f>
        <v>O-19848-00</v>
      </c>
      <c r="E3495" s="6" t="str">
        <f>IFERROR(__xludf.DUMMYFUNCTION("""COMPUTED_VALUE"""),"Pneumatic ball valve_1 inch weldedWORCESTEREDF50-00196")</f>
        <v>Pneumatic ball valve_1 inch weldedWORCESTEREDF50-00196</v>
      </c>
      <c r="F3495" s="6">
        <f>IFERROR(__xludf.DUMMYFUNCTION("""COMPUTED_VALUE"""),2.0)</f>
        <v>2</v>
      </c>
      <c r="G3495" s="6" t="str">
        <f>IFERROR(__xludf.DUMMYFUNCTION("""COMPUTED_VALUE"""),"Pieces")</f>
        <v>Pieces</v>
      </c>
      <c r="H3495" s="6" t="str">
        <f>IFERROR(__xludf.DUMMYFUNCTION("""COMPUTED_VALUE"""),"IDR")</f>
        <v>IDR</v>
      </c>
      <c r="I3495" s="6">
        <f>IFERROR(__xludf.DUMMYFUNCTION("""COMPUTED_VALUE"""),1150000.0)</f>
        <v>1150000</v>
      </c>
      <c r="J3495" s="6">
        <f>IFERROR(__xludf.DUMMYFUNCTION("""COMPUTED_VALUE"""),2300000.0)</f>
        <v>2300000</v>
      </c>
      <c r="K3495" s="57">
        <f>IFERROR(__xludf.DUMMYFUNCTION("""COMPUTED_VALUE"""),45555.0)</f>
        <v>45555</v>
      </c>
      <c r="L3495" s="6" t="str">
        <f>IFERROR(__xludf.DUMMYFUNCTION("""COMPUTED_VALUE"""),"FIP Engineering")</f>
        <v>FIP Engineering</v>
      </c>
      <c r="M3495" s="6" t="str">
        <f>IFERROR(__xludf.DUMMYFUNCTION("""COMPUTED_VALUE"""),"Mochammad Fadhillah Hakim,")</f>
        <v>Mochammad Fadhillah Hakim,</v>
      </c>
      <c r="N3495" s="6" t="str">
        <f>IFERROR(__xludf.DUMMYFUNCTION("""COMPUTED_VALUE"""),"FIP Engineering")</f>
        <v>FIP Engineering</v>
      </c>
      <c r="O3495" s="6" t="str">
        <f>IFERROR(__xludf.DUMMYFUNCTION("""COMPUTED_VALUE"""),"FIP-DOM-000-11304-OS00001-INA-000000")</f>
        <v>FIP-DOM-000-11304-OS00001-INA-000000</v>
      </c>
      <c r="P3495" s="6" t="str">
        <f>IFERROR(__xludf.DUMMYFUNCTION("""COMPUTED_VALUE"""),"PO Closed")</f>
        <v>PO Closed</v>
      </c>
      <c r="Q3495" s="6" t="str">
        <f>IFERROR(__xludf.DUMMYFUNCTION("""COMPUTED_VALUE"""),"GL2411061")</f>
        <v>GL2411061</v>
      </c>
      <c r="R3495" s="57">
        <f>IFERROR(__xludf.DUMMYFUNCTION("""COMPUTED_VALUE"""),45553.0)</f>
        <v>45553</v>
      </c>
      <c r="S3495" s="57">
        <f>IFERROR(__xludf.DUMMYFUNCTION("""COMPUTED_VALUE"""),45554.0)</f>
        <v>45554</v>
      </c>
      <c r="T3495" s="57">
        <f>IFERROR(__xludf.DUMMYFUNCTION("""COMPUTED_VALUE"""),45879.0)</f>
        <v>45879</v>
      </c>
    </row>
    <row r="3496">
      <c r="A3496" s="6" t="str">
        <f>IFERROR(__xludf.DUMMYFUNCTION("""COMPUTED_VALUE"""),"121701832-2")</f>
        <v>121701832-2</v>
      </c>
      <c r="B3496" s="6" t="str">
        <f>IFERROR(__xludf.DUMMYFUNCTION("""COMPUTED_VALUE"""),"121701832 - APPROVED")</f>
        <v>121701832 - APPROVED</v>
      </c>
      <c r="C3496" s="6">
        <f>IFERROR(__xludf.DUMMYFUNCTION("""COMPUTED_VALUE"""),2.0)</f>
        <v>2</v>
      </c>
      <c r="D3496" s="6" t="str">
        <f>IFERROR(__xludf.DUMMYFUNCTION("""COMPUTED_VALUE"""),"O-20026-00")</f>
        <v>O-20026-00</v>
      </c>
      <c r="E3496" s="6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F3496" s="6">
        <f>IFERROR(__xludf.DUMMYFUNCTION("""COMPUTED_VALUE"""),2.0)</f>
        <v>2</v>
      </c>
      <c r="G3496" s="6" t="str">
        <f>IFERROR(__xludf.DUMMYFUNCTION("""COMPUTED_VALUE"""),"Pieces")</f>
        <v>Pieces</v>
      </c>
      <c r="H3496" s="6" t="str">
        <f>IFERROR(__xludf.DUMMYFUNCTION("""COMPUTED_VALUE"""),"IDR")</f>
        <v>IDR</v>
      </c>
      <c r="I3496" s="6">
        <f>IFERROR(__xludf.DUMMYFUNCTION("""COMPUTED_VALUE"""),2.763136E7)</f>
        <v>27631360</v>
      </c>
      <c r="J3496" s="6">
        <f>IFERROR(__xludf.DUMMYFUNCTION("""COMPUTED_VALUE"""),5.526272E7)</f>
        <v>55262720</v>
      </c>
      <c r="K3496" s="57">
        <f>IFERROR(__xludf.DUMMYFUNCTION("""COMPUTED_VALUE"""),45555.0)</f>
        <v>45555</v>
      </c>
      <c r="L3496" s="6" t="str">
        <f>IFERROR(__xludf.DUMMYFUNCTION("""COMPUTED_VALUE"""),"FIP Engineering")</f>
        <v>FIP Engineering</v>
      </c>
      <c r="M3496" s="6" t="str">
        <f>IFERROR(__xludf.DUMMYFUNCTION("""COMPUTED_VALUE"""),"Mochammad Fadhillah Hakim,")</f>
        <v>Mochammad Fadhillah Hakim,</v>
      </c>
      <c r="N3496" s="6" t="str">
        <f>IFERROR(__xludf.DUMMYFUNCTION("""COMPUTED_VALUE"""),"FIP Engineering")</f>
        <v>FIP Engineering</v>
      </c>
      <c r="O3496" s="6" t="str">
        <f>IFERROR(__xludf.DUMMYFUNCTION("""COMPUTED_VALUE"""),"FIP-DOM-000-11304-OS00001-INA-000000")</f>
        <v>FIP-DOM-000-11304-OS00001-INA-000000</v>
      </c>
      <c r="P3496" s="6" t="str">
        <f>IFERROR(__xludf.DUMMYFUNCTION("""COMPUTED_VALUE"""),"PO Closed")</f>
        <v>PO Closed</v>
      </c>
      <c r="Q3496" s="6" t="str">
        <f>IFERROR(__xludf.DUMMYFUNCTION("""COMPUTED_VALUE"""),"GL2411061")</f>
        <v>GL2411061</v>
      </c>
      <c r="R3496" s="57">
        <f>IFERROR(__xludf.DUMMYFUNCTION("""COMPUTED_VALUE"""),45553.0)</f>
        <v>45553</v>
      </c>
      <c r="S3496" s="57">
        <f>IFERROR(__xludf.DUMMYFUNCTION("""COMPUTED_VALUE"""),45554.0)</f>
        <v>45554</v>
      </c>
      <c r="T3496" s="57">
        <f>IFERROR(__xludf.DUMMYFUNCTION("""COMPUTED_VALUE"""),45879.0)</f>
        <v>45879</v>
      </c>
    </row>
    <row r="3497">
      <c r="A3497" s="6" t="str">
        <f>IFERROR(__xludf.DUMMYFUNCTION("""COMPUTED_VALUE"""),"121701832-3")</f>
        <v>121701832-3</v>
      </c>
      <c r="B3497" s="6" t="str">
        <f>IFERROR(__xludf.DUMMYFUNCTION("""COMPUTED_VALUE"""),"121701832 - APPROVED")</f>
        <v>121701832 - APPROVED</v>
      </c>
      <c r="C3497" s="6">
        <f>IFERROR(__xludf.DUMMYFUNCTION("""COMPUTED_VALUE"""),3.0)</f>
        <v>3</v>
      </c>
      <c r="D3497" s="6" t="str">
        <f>IFERROR(__xludf.DUMMYFUNCTION("""COMPUTED_VALUE"""),"O-18929-00")</f>
        <v>O-18929-00</v>
      </c>
      <c r="E3497" s="6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F3497" s="6">
        <f>IFERROR(__xludf.DUMMYFUNCTION("""COMPUTED_VALUE"""),2.0)</f>
        <v>2</v>
      </c>
      <c r="G3497" s="6" t="str">
        <f>IFERROR(__xludf.DUMMYFUNCTION("""COMPUTED_VALUE"""),"Pieces")</f>
        <v>Pieces</v>
      </c>
      <c r="H3497" s="6" t="str">
        <f>IFERROR(__xludf.DUMMYFUNCTION("""COMPUTED_VALUE"""),"IDR")</f>
        <v>IDR</v>
      </c>
      <c r="I3497" s="6">
        <f>IFERROR(__xludf.DUMMYFUNCTION("""COMPUTED_VALUE"""),1021094.0)</f>
        <v>1021094</v>
      </c>
      <c r="J3497" s="6">
        <f>IFERROR(__xludf.DUMMYFUNCTION("""COMPUTED_VALUE"""),2042188.0)</f>
        <v>2042188</v>
      </c>
      <c r="K3497" s="57">
        <f>IFERROR(__xludf.DUMMYFUNCTION("""COMPUTED_VALUE"""),45555.0)</f>
        <v>45555</v>
      </c>
      <c r="L3497" s="6" t="str">
        <f>IFERROR(__xludf.DUMMYFUNCTION("""COMPUTED_VALUE"""),"FIP Engineering")</f>
        <v>FIP Engineering</v>
      </c>
      <c r="M3497" s="6" t="str">
        <f>IFERROR(__xludf.DUMMYFUNCTION("""COMPUTED_VALUE"""),"Mochammad Fadhillah Hakim,")</f>
        <v>Mochammad Fadhillah Hakim,</v>
      </c>
      <c r="N3497" s="6" t="str">
        <f>IFERROR(__xludf.DUMMYFUNCTION("""COMPUTED_VALUE"""),"FIP Engineering")</f>
        <v>FIP Engineering</v>
      </c>
      <c r="O3497" s="6" t="str">
        <f>IFERROR(__xludf.DUMMYFUNCTION("""COMPUTED_VALUE"""),"FIP-DOM-000-11304-OS00001-INA-000000")</f>
        <v>FIP-DOM-000-11304-OS00001-INA-000000</v>
      </c>
      <c r="P3497" s="6" t="str">
        <f>IFERROR(__xludf.DUMMYFUNCTION("""COMPUTED_VALUE"""),"PO Closed")</f>
        <v>PO Closed</v>
      </c>
      <c r="Q3497" s="6" t="str">
        <f>IFERROR(__xludf.DUMMYFUNCTION("""COMPUTED_VALUE"""),"GL2411061")</f>
        <v>GL2411061</v>
      </c>
      <c r="R3497" s="57">
        <f>IFERROR(__xludf.DUMMYFUNCTION("""COMPUTED_VALUE"""),45553.0)</f>
        <v>45553</v>
      </c>
      <c r="S3497" s="57">
        <f>IFERROR(__xludf.DUMMYFUNCTION("""COMPUTED_VALUE"""),45554.0)</f>
        <v>45554</v>
      </c>
      <c r="T3497" s="57">
        <f>IFERROR(__xludf.DUMMYFUNCTION("""COMPUTED_VALUE"""),45879.0)</f>
        <v>45879</v>
      </c>
    </row>
    <row r="3498">
      <c r="A3498" s="6" t="str">
        <f>IFERROR(__xludf.DUMMYFUNCTION("""COMPUTED_VALUE"""),"121701832-4")</f>
        <v>121701832-4</v>
      </c>
      <c r="B3498" s="6" t="str">
        <f>IFERROR(__xludf.DUMMYFUNCTION("""COMPUTED_VALUE"""),"121701832 - APPROVED")</f>
        <v>121701832 - APPROVED</v>
      </c>
      <c r="C3498" s="6">
        <f>IFERROR(__xludf.DUMMYFUNCTION("""COMPUTED_VALUE"""),4.0)</f>
        <v>4</v>
      </c>
      <c r="D3498" s="6" t="str">
        <f>IFERROR(__xludf.DUMMYFUNCTION("""COMPUTED_VALUE"""),"O-53026-00")</f>
        <v>O-53026-00</v>
      </c>
      <c r="E3498" s="6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F3498" s="6">
        <f>IFERROR(__xludf.DUMMYFUNCTION("""COMPUTED_VALUE"""),2.0)</f>
        <v>2</v>
      </c>
      <c r="G3498" s="6" t="str">
        <f>IFERROR(__xludf.DUMMYFUNCTION("""COMPUTED_VALUE"""),"Pieces")</f>
        <v>Pieces</v>
      </c>
      <c r="H3498" s="6" t="str">
        <f>IFERROR(__xludf.DUMMYFUNCTION("""COMPUTED_VALUE"""),"IDR")</f>
        <v>IDR</v>
      </c>
      <c r="I3498" s="6">
        <f>IFERROR(__xludf.DUMMYFUNCTION("""COMPUTED_VALUE"""),9264000.0)</f>
        <v>9264000</v>
      </c>
      <c r="J3498" s="6">
        <f>IFERROR(__xludf.DUMMYFUNCTION("""COMPUTED_VALUE"""),1.8528E7)</f>
        <v>18528000</v>
      </c>
      <c r="K3498" s="57">
        <f>IFERROR(__xludf.DUMMYFUNCTION("""COMPUTED_VALUE"""),45555.0)</f>
        <v>45555</v>
      </c>
      <c r="L3498" s="6" t="str">
        <f>IFERROR(__xludf.DUMMYFUNCTION("""COMPUTED_VALUE"""),"FIP Engineering")</f>
        <v>FIP Engineering</v>
      </c>
      <c r="M3498" s="6" t="str">
        <f>IFERROR(__xludf.DUMMYFUNCTION("""COMPUTED_VALUE"""),"Mochammad Fadhillah Hakim,")</f>
        <v>Mochammad Fadhillah Hakim,</v>
      </c>
      <c r="N3498" s="6" t="str">
        <f>IFERROR(__xludf.DUMMYFUNCTION("""COMPUTED_VALUE"""),"FIP Engineering")</f>
        <v>FIP Engineering</v>
      </c>
      <c r="O3498" s="6" t="str">
        <f>IFERROR(__xludf.DUMMYFUNCTION("""COMPUTED_VALUE"""),"FIP-DOM-000-11304-OS00001-INA-000000")</f>
        <v>FIP-DOM-000-11304-OS00001-INA-000000</v>
      </c>
      <c r="P3498" s="6" t="str">
        <f>IFERROR(__xludf.DUMMYFUNCTION("""COMPUTED_VALUE"""),"PO Closed")</f>
        <v>PO Closed</v>
      </c>
      <c r="Q3498" s="6" t="str">
        <f>IFERROR(__xludf.DUMMYFUNCTION("""COMPUTED_VALUE"""),"GL2411061")</f>
        <v>GL2411061</v>
      </c>
      <c r="R3498" s="57">
        <f>IFERROR(__xludf.DUMMYFUNCTION("""COMPUTED_VALUE"""),45553.0)</f>
        <v>45553</v>
      </c>
      <c r="S3498" s="57">
        <f>IFERROR(__xludf.DUMMYFUNCTION("""COMPUTED_VALUE"""),45554.0)</f>
        <v>45554</v>
      </c>
      <c r="T3498" s="57">
        <f>IFERROR(__xludf.DUMMYFUNCTION("""COMPUTED_VALUE"""),45879.0)</f>
        <v>45879</v>
      </c>
    </row>
    <row r="3499">
      <c r="A3499" s="6" t="str">
        <f>IFERROR(__xludf.DUMMYFUNCTION("""COMPUTED_VALUE"""),"121701832-5")</f>
        <v>121701832-5</v>
      </c>
      <c r="B3499" s="6" t="str">
        <f>IFERROR(__xludf.DUMMYFUNCTION("""COMPUTED_VALUE"""),"121701832 - APPROVED")</f>
        <v>121701832 - APPROVED</v>
      </c>
      <c r="C3499" s="6">
        <f>IFERROR(__xludf.DUMMYFUNCTION("""COMPUTED_VALUE"""),5.0)</f>
        <v>5</v>
      </c>
      <c r="D3499" s="6" t="str">
        <f>IFERROR(__xludf.DUMMYFUNCTION("""COMPUTED_VALUE"""),"O-17998-00")</f>
        <v>O-17998-00</v>
      </c>
      <c r="E3499" s="6" t="str">
        <f>IFERROR(__xludf.DUMMYFUNCTION("""COMPUTED_VALUE"""),"Freeze Dryer MBE1207 - Main Door Gasket P/N : EB41-00568; ; ;")</f>
        <v>Freeze Dryer MBE1207 - Main Door Gasket P/N : EB41-00568; ; ;</v>
      </c>
      <c r="F3499" s="6">
        <f>IFERROR(__xludf.DUMMYFUNCTION("""COMPUTED_VALUE"""),8.0)</f>
        <v>8</v>
      </c>
      <c r="G3499" s="6" t="str">
        <f>IFERROR(__xludf.DUMMYFUNCTION("""COMPUTED_VALUE"""),"Meter")</f>
        <v>Meter</v>
      </c>
      <c r="H3499" s="6" t="str">
        <f>IFERROR(__xludf.DUMMYFUNCTION("""COMPUTED_VALUE"""),"IDR")</f>
        <v>IDR</v>
      </c>
      <c r="I3499" s="6">
        <f>IFERROR(__xludf.DUMMYFUNCTION("""COMPUTED_VALUE"""),2049996.0)</f>
        <v>2049996</v>
      </c>
      <c r="J3499" s="6">
        <f>IFERROR(__xludf.DUMMYFUNCTION("""COMPUTED_VALUE"""),1.6399972E7)</f>
        <v>16399972</v>
      </c>
      <c r="K3499" s="57">
        <f>IFERROR(__xludf.DUMMYFUNCTION("""COMPUTED_VALUE"""),45555.0)</f>
        <v>45555</v>
      </c>
      <c r="L3499" s="6" t="str">
        <f>IFERROR(__xludf.DUMMYFUNCTION("""COMPUTED_VALUE"""),"FIP Engineering")</f>
        <v>FIP Engineering</v>
      </c>
      <c r="M3499" s="6" t="str">
        <f>IFERROR(__xludf.DUMMYFUNCTION("""COMPUTED_VALUE"""),"Mochammad Fadhillah Hakim,")</f>
        <v>Mochammad Fadhillah Hakim,</v>
      </c>
      <c r="N3499" s="6" t="str">
        <f>IFERROR(__xludf.DUMMYFUNCTION("""COMPUTED_VALUE"""),"FIP Engineering")</f>
        <v>FIP Engineering</v>
      </c>
      <c r="O3499" s="6" t="str">
        <f>IFERROR(__xludf.DUMMYFUNCTION("""COMPUTED_VALUE"""),"FIP-DOM-000-11304-OS00001-INA-000000")</f>
        <v>FIP-DOM-000-11304-OS00001-INA-000000</v>
      </c>
      <c r="P3499" s="6" t="str">
        <f>IFERROR(__xludf.DUMMYFUNCTION("""COMPUTED_VALUE"""),"PO Closed")</f>
        <v>PO Closed</v>
      </c>
      <c r="Q3499" s="6" t="str">
        <f>IFERROR(__xludf.DUMMYFUNCTION("""COMPUTED_VALUE"""),"GL2411061")</f>
        <v>GL2411061</v>
      </c>
      <c r="R3499" s="57">
        <f>IFERROR(__xludf.DUMMYFUNCTION("""COMPUTED_VALUE"""),45553.0)</f>
        <v>45553</v>
      </c>
      <c r="S3499" s="57">
        <f>IFERROR(__xludf.DUMMYFUNCTION("""COMPUTED_VALUE"""),45554.0)</f>
        <v>45554</v>
      </c>
      <c r="T3499" s="57">
        <f>IFERROR(__xludf.DUMMYFUNCTION("""COMPUTED_VALUE"""),45879.0)</f>
        <v>45879</v>
      </c>
    </row>
    <row r="3500">
      <c r="A3500" s="6" t="str">
        <f>IFERROR(__xludf.DUMMYFUNCTION("""COMPUTED_VALUE"""),"121701837-1")</f>
        <v>121701837-1</v>
      </c>
      <c r="B3500" s="6" t="str">
        <f>IFERROR(__xludf.DUMMYFUNCTION("""COMPUTED_VALUE"""),"121701837 - APPROVED")</f>
        <v>121701837 - APPROVED</v>
      </c>
      <c r="C3500" s="6">
        <f>IFERROR(__xludf.DUMMYFUNCTION("""COMPUTED_VALUE"""),1.0)</f>
        <v>1</v>
      </c>
      <c r="D3500" s="6"/>
      <c r="E3500" s="6" t="str">
        <f>IFERROR(__xludf.DUMMYFUNCTION("""COMPUTED_VALUE"""),"PR Aset Glove Leak Tester")</f>
        <v>PR Aset Glove Leak Tester</v>
      </c>
      <c r="F3500" s="6">
        <f>IFERROR(__xludf.DUMMYFUNCTION("""COMPUTED_VALUE"""),1.0)</f>
        <v>1</v>
      </c>
      <c r="G3500" s="6" t="str">
        <f>IFERROR(__xludf.DUMMYFUNCTION("""COMPUTED_VALUE"""),"Set")</f>
        <v>Set</v>
      </c>
      <c r="H3500" s="6" t="str">
        <f>IFERROR(__xludf.DUMMYFUNCTION("""COMPUTED_VALUE"""),"IDR")</f>
        <v>IDR</v>
      </c>
      <c r="I3500" s="6">
        <f>IFERROR(__xludf.DUMMYFUNCTION("""COMPUTED_VALUE"""),1.2975E7)</f>
        <v>12975000</v>
      </c>
      <c r="J3500" s="6">
        <f>IFERROR(__xludf.DUMMYFUNCTION("""COMPUTED_VALUE"""),1.2975E7)</f>
        <v>12975000</v>
      </c>
      <c r="K3500" s="57">
        <f>IFERROR(__xludf.DUMMYFUNCTION("""COMPUTED_VALUE"""),45557.0)</f>
        <v>45557</v>
      </c>
      <c r="L3500" s="6" t="str">
        <f>IFERROR(__xludf.DUMMYFUNCTION("""COMPUTED_VALUE"""),"FIP General")</f>
        <v>FIP General</v>
      </c>
      <c r="M3500" s="6" t="str">
        <f>IFERROR(__xludf.DUMMYFUNCTION("""COMPUTED_VALUE"""),"Mochammad Fadhillah Hakim,")</f>
        <v>Mochammad Fadhillah Hakim,</v>
      </c>
      <c r="N3500" s="6" t="str">
        <f>IFERROR(__xludf.DUMMYFUNCTION("""COMPUTED_VALUE"""),"FIP Engineering")</f>
        <v>FIP Engineering</v>
      </c>
      <c r="O3500" s="6" t="str">
        <f>IFERROR(__xludf.DUMMYFUNCTION("""COMPUTED_VALUE"""),"FIP-DOM-ENG-13404-MC24018-INA-000000")</f>
        <v>FIP-DOM-ENG-13404-MC24018-INA-000000</v>
      </c>
      <c r="P3500" s="6" t="str">
        <f>IFERROR(__xludf.DUMMYFUNCTION("""COMPUTED_VALUE"""),"PO Closed")</f>
        <v>PO Closed</v>
      </c>
      <c r="Q3500" s="6" t="str">
        <f>IFERROR(__xludf.DUMMYFUNCTION("""COMPUTED_VALUE"""),"GL2411056")</f>
        <v>GL2411056</v>
      </c>
      <c r="R3500" s="57">
        <f>IFERROR(__xludf.DUMMYFUNCTION("""COMPUTED_VALUE"""),45555.0)</f>
        <v>45555</v>
      </c>
      <c r="S3500" s="57">
        <f>IFERROR(__xludf.DUMMYFUNCTION("""COMPUTED_VALUE"""),45568.0)</f>
        <v>45568</v>
      </c>
      <c r="T3500" s="57">
        <f>IFERROR(__xludf.DUMMYFUNCTION("""COMPUTED_VALUE"""),45646.0)</f>
        <v>45646</v>
      </c>
    </row>
    <row r="3501">
      <c r="A3501" s="6" t="str">
        <f>IFERROR(__xludf.DUMMYFUNCTION("""COMPUTED_VALUE"""),"121701838-1")</f>
        <v>121701838-1</v>
      </c>
      <c r="B3501" s="6" t="str">
        <f>IFERROR(__xludf.DUMMYFUNCTION("""COMPUTED_VALUE"""),"121701838 - APPROVED")</f>
        <v>121701838 - APPROVED</v>
      </c>
      <c r="C3501" s="6">
        <f>IFERROR(__xludf.DUMMYFUNCTION("""COMPUTED_VALUE"""),1.0)</f>
        <v>1</v>
      </c>
      <c r="D3501" s="6" t="str">
        <f>IFERROR(__xludf.DUMMYFUNCTION("""COMPUTED_VALUE"""),"P-14877-00")</f>
        <v>P-14877-00</v>
      </c>
      <c r="E3501" s="6" t="str">
        <f>IFERROR(__xludf.DUMMYFUNCTION("""COMPUTED_VALUE"""),"Kabel NYYHY 3x2,5mm; ; ;")</f>
        <v>Kabel NYYHY 3x2,5mm; ; ;</v>
      </c>
      <c r="F3501" s="6">
        <f>IFERROR(__xludf.DUMMYFUNCTION("""COMPUTED_VALUE"""),200.0)</f>
        <v>200</v>
      </c>
      <c r="G3501" s="6" t="str">
        <f>IFERROR(__xludf.DUMMYFUNCTION("""COMPUTED_VALUE"""),"Meter")</f>
        <v>Meter</v>
      </c>
      <c r="H3501" s="6" t="str">
        <f>IFERROR(__xludf.DUMMYFUNCTION("""COMPUTED_VALUE"""),"IDR")</f>
        <v>IDR</v>
      </c>
      <c r="I3501" s="6">
        <f>IFERROR(__xludf.DUMMYFUNCTION("""COMPUTED_VALUE"""),26250.0)</f>
        <v>26250</v>
      </c>
      <c r="J3501" s="6">
        <f>IFERROR(__xludf.DUMMYFUNCTION("""COMPUTED_VALUE"""),5250000.0)</f>
        <v>5250000</v>
      </c>
      <c r="K3501" s="57">
        <f>IFERROR(__xludf.DUMMYFUNCTION("""COMPUTED_VALUE"""),45557.0)</f>
        <v>45557</v>
      </c>
      <c r="L3501" s="6" t="str">
        <f>IFERROR(__xludf.DUMMYFUNCTION("""COMPUTED_VALUE"""),"FIP General")</f>
        <v>FIP General</v>
      </c>
      <c r="M3501" s="6" t="str">
        <f>IFERROR(__xludf.DUMMYFUNCTION("""COMPUTED_VALUE"""),"Mochammad Fadhillah Hakim,")</f>
        <v>Mochammad Fadhillah Hakim,</v>
      </c>
      <c r="N3501" s="6" t="str">
        <f>IFERROR(__xludf.DUMMYFUNCTION("""COMPUTED_VALUE"""),"FIP Engineering")</f>
        <v>FIP Engineering</v>
      </c>
      <c r="O3501" s="6" t="str">
        <f>IFERROR(__xludf.DUMMYFUNCTION("""COMPUTED_VALUE"""),"FIP-DOM-ENG-51504-0000000-INA-000000")</f>
        <v>FIP-DOM-ENG-51504-0000000-INA-000000</v>
      </c>
      <c r="P3501" s="6" t="str">
        <f>IFERROR(__xludf.DUMMYFUNCTION("""COMPUTED_VALUE"""),"PO Closed")</f>
        <v>PO Closed</v>
      </c>
      <c r="Q3501" s="6" t="str">
        <f>IFERROR(__xludf.DUMMYFUNCTION("""COMPUTED_VALUE"""),"GL2410024")</f>
        <v>GL2410024</v>
      </c>
      <c r="R3501" s="57">
        <f>IFERROR(__xludf.DUMMYFUNCTION("""COMPUTED_VALUE"""),45555.0)</f>
        <v>45555</v>
      </c>
      <c r="S3501" s="57">
        <f>IFERROR(__xludf.DUMMYFUNCTION("""COMPUTED_VALUE"""),45560.0)</f>
        <v>45560</v>
      </c>
      <c r="T3501" s="57">
        <f>IFERROR(__xludf.DUMMYFUNCTION("""COMPUTED_VALUE"""),45586.0)</f>
        <v>45586</v>
      </c>
    </row>
    <row r="3502">
      <c r="A3502" s="6" t="str">
        <f>IFERROR(__xludf.DUMMYFUNCTION("""COMPUTED_VALUE"""),"121701851-1")</f>
        <v>121701851-1</v>
      </c>
      <c r="B3502" s="6" t="str">
        <f>IFERROR(__xludf.DUMMYFUNCTION("""COMPUTED_VALUE"""),"121701851 - APPROVED")</f>
        <v>121701851 - APPROVED</v>
      </c>
      <c r="C3502" s="6">
        <f>IFERROR(__xludf.DUMMYFUNCTION("""COMPUTED_VALUE"""),1.0)</f>
        <v>1</v>
      </c>
      <c r="D3502" s="6" t="str">
        <f>IFERROR(__xludf.DUMMYFUNCTION("""COMPUTED_VALUE"""),"O-19861-00")</f>
        <v>O-19861-00</v>
      </c>
      <c r="E3502" s="6" t="str">
        <f>IFERROR(__xludf.DUMMYFUNCTION("""COMPUTED_VALUE"""),"Bearing Cam Follower KR16-PP-AINA")</f>
        <v>Bearing Cam Follower KR16-PP-AINA</v>
      </c>
      <c r="F3502" s="6">
        <f>IFERROR(__xludf.DUMMYFUNCTION("""COMPUTED_VALUE"""),10.0)</f>
        <v>10</v>
      </c>
      <c r="G3502" s="6" t="str">
        <f>IFERROR(__xludf.DUMMYFUNCTION("""COMPUTED_VALUE"""),"Pieces")</f>
        <v>Pieces</v>
      </c>
      <c r="H3502" s="6" t="str">
        <f>IFERROR(__xludf.DUMMYFUNCTION("""COMPUTED_VALUE"""),"IDR")</f>
        <v>IDR</v>
      </c>
      <c r="I3502" s="6">
        <f>IFERROR(__xludf.DUMMYFUNCTION("""COMPUTED_VALUE"""),549000.0)</f>
        <v>549000</v>
      </c>
      <c r="J3502" s="6">
        <f>IFERROR(__xludf.DUMMYFUNCTION("""COMPUTED_VALUE"""),5490000.0)</f>
        <v>5490000</v>
      </c>
      <c r="K3502" s="57">
        <f>IFERROR(__xludf.DUMMYFUNCTION("""COMPUTED_VALUE"""),45561.0)</f>
        <v>45561</v>
      </c>
      <c r="L3502" s="6" t="str">
        <f>IFERROR(__xludf.DUMMYFUNCTION("""COMPUTED_VALUE"""),"FIP Engineering")</f>
        <v>FIP Engineering</v>
      </c>
      <c r="M3502" s="6" t="str">
        <f>IFERROR(__xludf.DUMMYFUNCTION("""COMPUTED_VALUE"""),"Mochammad Fadhillah Hakim,")</f>
        <v>Mochammad Fadhillah Hakim,</v>
      </c>
      <c r="N3502" s="6" t="str">
        <f>IFERROR(__xludf.DUMMYFUNCTION("""COMPUTED_VALUE"""),"FIP Engineering")</f>
        <v>FIP Engineering</v>
      </c>
      <c r="O3502" s="6" t="str">
        <f>IFERROR(__xludf.DUMMYFUNCTION("""COMPUTED_VALUE"""),"FIP-DOM-000-11304-OS00001-INA-000000")</f>
        <v>FIP-DOM-000-11304-OS00001-INA-000000</v>
      </c>
      <c r="P3502" s="6" t="str">
        <f>IFERROR(__xludf.DUMMYFUNCTION("""COMPUTED_VALUE"""),"PO Closed")</f>
        <v>PO Closed</v>
      </c>
      <c r="Q3502" s="6" t="str">
        <f>IFERROR(__xludf.DUMMYFUNCTION("""COMPUTED_VALUE"""),"GL2410025")</f>
        <v>GL2410025</v>
      </c>
      <c r="R3502" s="57">
        <f>IFERROR(__xludf.DUMMYFUNCTION("""COMPUTED_VALUE"""),45559.0)</f>
        <v>45559</v>
      </c>
      <c r="S3502" s="57">
        <f>IFERROR(__xludf.DUMMYFUNCTION("""COMPUTED_VALUE"""),45560.0)</f>
        <v>45560</v>
      </c>
      <c r="T3502" s="57">
        <f>IFERROR(__xludf.DUMMYFUNCTION("""COMPUTED_VALUE"""),45610.0)</f>
        <v>45610</v>
      </c>
    </row>
    <row r="3503">
      <c r="A3503" s="6" t="str">
        <f>IFERROR(__xludf.DUMMYFUNCTION("""COMPUTED_VALUE"""),"121701851-2")</f>
        <v>121701851-2</v>
      </c>
      <c r="B3503" s="6" t="str">
        <f>IFERROR(__xludf.DUMMYFUNCTION("""COMPUTED_VALUE"""),"121701851 - APPROVED")</f>
        <v>121701851 - APPROVED</v>
      </c>
      <c r="C3503" s="6">
        <f>IFERROR(__xludf.DUMMYFUNCTION("""COMPUTED_VALUE"""),2.0)</f>
        <v>2</v>
      </c>
      <c r="D3503" s="6" t="str">
        <f>IFERROR(__xludf.DUMMYFUNCTION("""COMPUTED_VALUE"""),"O-11181-00")</f>
        <v>O-11181-00</v>
      </c>
      <c r="E3503" s="6" t="str">
        <f>IFERROR(__xludf.DUMMYFUNCTION("""COMPUTED_VALUE"""),"Bearing 626-2Z")</f>
        <v>Bearing 626-2Z</v>
      </c>
      <c r="F3503" s="6">
        <f>IFERROR(__xludf.DUMMYFUNCTION("""COMPUTED_VALUE"""),10.0)</f>
        <v>10</v>
      </c>
      <c r="G3503" s="6" t="str">
        <f>IFERROR(__xludf.DUMMYFUNCTION("""COMPUTED_VALUE"""),"Pieces")</f>
        <v>Pieces</v>
      </c>
      <c r="H3503" s="6" t="str">
        <f>IFERROR(__xludf.DUMMYFUNCTION("""COMPUTED_VALUE"""),"IDR")</f>
        <v>IDR</v>
      </c>
      <c r="I3503" s="6">
        <f>IFERROR(__xludf.DUMMYFUNCTION("""COMPUTED_VALUE"""),31600.0)</f>
        <v>31600</v>
      </c>
      <c r="J3503" s="6">
        <f>IFERROR(__xludf.DUMMYFUNCTION("""COMPUTED_VALUE"""),316000.0)</f>
        <v>316000</v>
      </c>
      <c r="K3503" s="57">
        <f>IFERROR(__xludf.DUMMYFUNCTION("""COMPUTED_VALUE"""),45561.0)</f>
        <v>45561</v>
      </c>
      <c r="L3503" s="6" t="str">
        <f>IFERROR(__xludf.DUMMYFUNCTION("""COMPUTED_VALUE"""),"FIP Engineering")</f>
        <v>FIP Engineering</v>
      </c>
      <c r="M3503" s="6" t="str">
        <f>IFERROR(__xludf.DUMMYFUNCTION("""COMPUTED_VALUE"""),"Mochammad Fadhillah Hakim,")</f>
        <v>Mochammad Fadhillah Hakim,</v>
      </c>
      <c r="N3503" s="6" t="str">
        <f>IFERROR(__xludf.DUMMYFUNCTION("""COMPUTED_VALUE"""),"FIP Engineering")</f>
        <v>FIP Engineering</v>
      </c>
      <c r="O3503" s="6" t="str">
        <f>IFERROR(__xludf.DUMMYFUNCTION("""COMPUTED_VALUE"""),"FIP-DOM-000-11304-OS00001-INA-000000")</f>
        <v>FIP-DOM-000-11304-OS00001-INA-000000</v>
      </c>
      <c r="P3503" s="6" t="str">
        <f>IFERROR(__xludf.DUMMYFUNCTION("""COMPUTED_VALUE"""),"PO Closed")</f>
        <v>PO Closed</v>
      </c>
      <c r="Q3503" s="6" t="str">
        <f>IFERROR(__xludf.DUMMYFUNCTION("""COMPUTED_VALUE"""),"GL2410025")</f>
        <v>GL2410025</v>
      </c>
      <c r="R3503" s="57">
        <f>IFERROR(__xludf.DUMMYFUNCTION("""COMPUTED_VALUE"""),45559.0)</f>
        <v>45559</v>
      </c>
      <c r="S3503" s="57">
        <f>IFERROR(__xludf.DUMMYFUNCTION("""COMPUTED_VALUE"""),45560.0)</f>
        <v>45560</v>
      </c>
      <c r="T3503" s="57">
        <f>IFERROR(__xludf.DUMMYFUNCTION("""COMPUTED_VALUE"""),45610.0)</f>
        <v>45610</v>
      </c>
    </row>
    <row r="3504">
      <c r="A3504" s="6" t="str">
        <f>IFERROR(__xludf.DUMMYFUNCTION("""COMPUTED_VALUE"""),"121701851-4")</f>
        <v>121701851-4</v>
      </c>
      <c r="B3504" s="6" t="str">
        <f>IFERROR(__xludf.DUMMYFUNCTION("""COMPUTED_VALUE"""),"121701851 - APPROVED")</f>
        <v>121701851 - APPROVED</v>
      </c>
      <c r="C3504" s="6">
        <f>IFERROR(__xludf.DUMMYFUNCTION("""COMPUTED_VALUE"""),4.0)</f>
        <v>4</v>
      </c>
      <c r="D3504" s="6" t="str">
        <f>IFERROR(__xludf.DUMMYFUNCTION("""COMPUTED_VALUE"""),"O-11181-00")</f>
        <v>O-11181-00</v>
      </c>
      <c r="E3504" s="6" t="str">
        <f>IFERROR(__xludf.DUMMYFUNCTION("""COMPUTED_VALUE"""),"Bearing 626-2Z")</f>
        <v>Bearing 626-2Z</v>
      </c>
      <c r="F3504" s="6">
        <f>IFERROR(__xludf.DUMMYFUNCTION("""COMPUTED_VALUE"""),10.0)</f>
        <v>10</v>
      </c>
      <c r="G3504" s="6" t="str">
        <f>IFERROR(__xludf.DUMMYFUNCTION("""COMPUTED_VALUE"""),"Pieces")</f>
        <v>Pieces</v>
      </c>
      <c r="H3504" s="6" t="str">
        <f>IFERROR(__xludf.DUMMYFUNCTION("""COMPUTED_VALUE"""),"IDR")</f>
        <v>IDR</v>
      </c>
      <c r="I3504" s="6">
        <f>IFERROR(__xludf.DUMMYFUNCTION("""COMPUTED_VALUE"""),31600.0)</f>
        <v>31600</v>
      </c>
      <c r="J3504" s="6">
        <f>IFERROR(__xludf.DUMMYFUNCTION("""COMPUTED_VALUE"""),316000.0)</f>
        <v>316000</v>
      </c>
      <c r="K3504" s="57">
        <f>IFERROR(__xludf.DUMMYFUNCTION("""COMPUTED_VALUE"""),45561.0)</f>
        <v>45561</v>
      </c>
      <c r="L3504" s="6" t="str">
        <f>IFERROR(__xludf.DUMMYFUNCTION("""COMPUTED_VALUE"""),"FIP Engineering")</f>
        <v>FIP Engineering</v>
      </c>
      <c r="M3504" s="6" t="str">
        <f>IFERROR(__xludf.DUMMYFUNCTION("""COMPUTED_VALUE"""),"Mochammad Fadhillah Hakim,")</f>
        <v>Mochammad Fadhillah Hakim,</v>
      </c>
      <c r="N3504" s="6" t="str">
        <f>IFERROR(__xludf.DUMMYFUNCTION("""COMPUTED_VALUE"""),"FIP Engineering")</f>
        <v>FIP Engineering</v>
      </c>
      <c r="O3504" s="6" t="str">
        <f>IFERROR(__xludf.DUMMYFUNCTION("""COMPUTED_VALUE"""),"FIP-DOM-000-11304-OS00001-INA-000000")</f>
        <v>FIP-DOM-000-11304-OS00001-INA-000000</v>
      </c>
      <c r="P3504" s="6" t="str">
        <f>IFERROR(__xludf.DUMMYFUNCTION("""COMPUTED_VALUE"""),"PO Closed")</f>
        <v>PO Closed</v>
      </c>
      <c r="Q3504" s="6" t="str">
        <f>IFERROR(__xludf.DUMMYFUNCTION("""COMPUTED_VALUE"""),"GL2410025")</f>
        <v>GL2410025</v>
      </c>
      <c r="R3504" s="57">
        <f>IFERROR(__xludf.DUMMYFUNCTION("""COMPUTED_VALUE"""),45559.0)</f>
        <v>45559</v>
      </c>
      <c r="S3504" s="57">
        <f>IFERROR(__xludf.DUMMYFUNCTION("""COMPUTED_VALUE"""),45560.0)</f>
        <v>45560</v>
      </c>
      <c r="T3504" s="57">
        <f>IFERROR(__xludf.DUMMYFUNCTION("""COMPUTED_VALUE"""),45610.0)</f>
        <v>45610</v>
      </c>
    </row>
    <row r="3505">
      <c r="A3505" s="6" t="str">
        <f>IFERROR(__xludf.DUMMYFUNCTION("""COMPUTED_VALUE"""),"121701852-1")</f>
        <v>121701852-1</v>
      </c>
      <c r="B3505" s="6" t="str">
        <f>IFERROR(__xludf.DUMMYFUNCTION("""COMPUTED_VALUE"""),"121701852 - APPROVED")</f>
        <v>121701852 - APPROVED</v>
      </c>
      <c r="C3505" s="6">
        <f>IFERROR(__xludf.DUMMYFUNCTION("""COMPUTED_VALUE"""),1.0)</f>
        <v>1</v>
      </c>
      <c r="D3505" s="6" t="str">
        <f>IFERROR(__xludf.DUMMYFUNCTION("""COMPUTED_VALUE"""),"P-17645-00")</f>
        <v>P-17645-00</v>
      </c>
      <c r="E3505" s="6" t="str">
        <f>IFERROR(__xludf.DUMMYFUNCTION("""COMPUTED_VALUE"""),"Sodium Hiphoclorite; ; ; ltr")</f>
        <v>Sodium Hiphoclorite; ; ; ltr</v>
      </c>
      <c r="F3505" s="6">
        <f>IFERROR(__xludf.DUMMYFUNCTION("""COMPUTED_VALUE"""),200.0)</f>
        <v>200</v>
      </c>
      <c r="G3505" s="6" t="str">
        <f>IFERROR(__xludf.DUMMYFUNCTION("""COMPUTED_VALUE"""),"Liter")</f>
        <v>Liter</v>
      </c>
      <c r="H3505" s="6" t="str">
        <f>IFERROR(__xludf.DUMMYFUNCTION("""COMPUTED_VALUE"""),"IDR")</f>
        <v>IDR</v>
      </c>
      <c r="I3505" s="6">
        <f>IFERROR(__xludf.DUMMYFUNCTION("""COMPUTED_VALUE"""),5000.0)</f>
        <v>5000</v>
      </c>
      <c r="J3505" s="6">
        <f>IFERROR(__xludf.DUMMYFUNCTION("""COMPUTED_VALUE"""),1000000.0)</f>
        <v>1000000</v>
      </c>
      <c r="K3505" s="57">
        <f>IFERROR(__xludf.DUMMYFUNCTION("""COMPUTED_VALUE"""),45561.0)</f>
        <v>45561</v>
      </c>
      <c r="L3505" s="6" t="str">
        <f>IFERROR(__xludf.DUMMYFUNCTION("""COMPUTED_VALUE"""),"FIP Engineering")</f>
        <v>FIP Engineering</v>
      </c>
      <c r="M3505" s="6" t="str">
        <f>IFERROR(__xludf.DUMMYFUNCTION("""COMPUTED_VALUE"""),"Mochammad Fadhillah Hakim,")</f>
        <v>Mochammad Fadhillah Hakim,</v>
      </c>
      <c r="N3505" s="6" t="str">
        <f>IFERROR(__xludf.DUMMYFUNCTION("""COMPUTED_VALUE"""),"FIP Engineering")</f>
        <v>FIP Engineering</v>
      </c>
      <c r="O3505" s="6" t="str">
        <f>IFERROR(__xludf.DUMMYFUNCTION("""COMPUTED_VALUE"""),"FIP-DOM-000-11304-OS00001-INA-000000")</f>
        <v>FIP-DOM-000-11304-OS00001-INA-000000</v>
      </c>
      <c r="P3505" s="6" t="str">
        <f>IFERROR(__xludf.DUMMYFUNCTION("""COMPUTED_VALUE"""),"PO Closed")</f>
        <v>PO Closed</v>
      </c>
      <c r="Q3505" s="6" t="str">
        <f>IFERROR(__xludf.DUMMYFUNCTION("""COMPUTED_VALUE"""),"GL2410513")</f>
        <v>GL2410513</v>
      </c>
      <c r="R3505" s="57">
        <f>IFERROR(__xludf.DUMMYFUNCTION("""COMPUTED_VALUE"""),45559.0)</f>
        <v>45559</v>
      </c>
      <c r="S3505" s="57">
        <f>IFERROR(__xludf.DUMMYFUNCTION("""COMPUTED_VALUE"""),45559.0)</f>
        <v>45559</v>
      </c>
      <c r="T3505" s="57">
        <f>IFERROR(__xludf.DUMMYFUNCTION("""COMPUTED_VALUE"""),45589.0)</f>
        <v>45589</v>
      </c>
    </row>
    <row r="3506">
      <c r="A3506" s="6" t="str">
        <f>IFERROR(__xludf.DUMMYFUNCTION("""COMPUTED_VALUE"""),"121701853-1")</f>
        <v>121701853-1</v>
      </c>
      <c r="B3506" s="6" t="str">
        <f>IFERROR(__xludf.DUMMYFUNCTION("""COMPUTED_VALUE"""),"121701853 - APPROVED")</f>
        <v>121701853 - APPROVED</v>
      </c>
      <c r="C3506" s="6">
        <f>IFERROR(__xludf.DUMMYFUNCTION("""COMPUTED_VALUE"""),1.0)</f>
        <v>1</v>
      </c>
      <c r="D3506" s="6" t="str">
        <f>IFERROR(__xludf.DUMMYFUNCTION("""COMPUTED_VALUE"""),"T-80168-00")</f>
        <v>T-80168-00</v>
      </c>
      <c r="E3506" s="6" t="str">
        <f>IFERROR(__xludf.DUMMYFUNCTION("""COMPUTED_VALUE"""),"Double Tape 1/2 inch")</f>
        <v>Double Tape 1/2 inch</v>
      </c>
      <c r="F3506" s="6">
        <f>IFERROR(__xludf.DUMMYFUNCTION("""COMPUTED_VALUE"""),5.0)</f>
        <v>5</v>
      </c>
      <c r="G3506" s="6" t="str">
        <f>IFERROR(__xludf.DUMMYFUNCTION("""COMPUTED_VALUE"""),"Roll")</f>
        <v>Roll</v>
      </c>
      <c r="H3506" s="6" t="str">
        <f>IFERROR(__xludf.DUMMYFUNCTION("""COMPUTED_VALUE"""),"IDR")</f>
        <v>IDR</v>
      </c>
      <c r="I3506" s="6">
        <f>IFERROR(__xludf.DUMMYFUNCTION("""COMPUTED_VALUE"""),3000.0)</f>
        <v>3000</v>
      </c>
      <c r="J3506" s="6">
        <f>IFERROR(__xludf.DUMMYFUNCTION("""COMPUTED_VALUE"""),15000.0)</f>
        <v>15000</v>
      </c>
      <c r="K3506" s="57">
        <f>IFERROR(__xludf.DUMMYFUNCTION("""COMPUTED_VALUE"""),45561.0)</f>
        <v>45561</v>
      </c>
      <c r="L3506" s="6" t="str">
        <f>IFERROR(__xludf.DUMMYFUNCTION("""COMPUTED_VALUE"""),"FIP General")</f>
        <v>FIP General</v>
      </c>
      <c r="M3506" s="6" t="str">
        <f>IFERROR(__xludf.DUMMYFUNCTION("""COMPUTED_VALUE"""),"Mochammad Fadhillah Hakim,")</f>
        <v>Mochammad Fadhillah Hakim,</v>
      </c>
      <c r="N3506" s="6" t="str">
        <f>IFERROR(__xludf.DUMMYFUNCTION("""COMPUTED_VALUE"""),"FIP Engineering")</f>
        <v>FIP Engineering</v>
      </c>
      <c r="O3506" s="6" t="str">
        <f>IFERROR(__xludf.DUMMYFUNCTION("""COMPUTED_VALUE"""),"FIP-DOM-ENG-51411-0000000-INA-000000")</f>
        <v>FIP-DOM-ENG-51411-0000000-INA-000000</v>
      </c>
      <c r="P3506" s="6" t="str">
        <f>IFERROR(__xludf.DUMMYFUNCTION("""COMPUTED_VALUE"""),"PO Closed")</f>
        <v>PO Closed</v>
      </c>
      <c r="Q3506" s="6" t="str">
        <f>IFERROR(__xludf.DUMMYFUNCTION("""COMPUTED_VALUE"""),"GL2410031")</f>
        <v>GL2410031</v>
      </c>
      <c r="R3506" s="57">
        <f>IFERROR(__xludf.DUMMYFUNCTION("""COMPUTED_VALUE"""),45559.0)</f>
        <v>45559</v>
      </c>
      <c r="S3506" s="57">
        <f>IFERROR(__xludf.DUMMYFUNCTION("""COMPUTED_VALUE"""),45559.0)</f>
        <v>45559</v>
      </c>
      <c r="T3506" s="57">
        <f>IFERROR(__xludf.DUMMYFUNCTION("""COMPUTED_VALUE"""),45593.0)</f>
        <v>45593</v>
      </c>
    </row>
    <row r="3507">
      <c r="A3507" s="6" t="str">
        <f>IFERROR(__xludf.DUMMYFUNCTION("""COMPUTED_VALUE"""),"121701853-2")</f>
        <v>121701853-2</v>
      </c>
      <c r="B3507" s="6" t="str">
        <f>IFERROR(__xludf.DUMMYFUNCTION("""COMPUTED_VALUE"""),"121701853 - APPROVED")</f>
        <v>121701853 - APPROVED</v>
      </c>
      <c r="C3507" s="6">
        <f>IFERROR(__xludf.DUMMYFUNCTION("""COMPUTED_VALUE"""),2.0)</f>
        <v>2</v>
      </c>
      <c r="D3507" s="6" t="str">
        <f>IFERROR(__xludf.DUMMYFUNCTION("""COMPUTED_VALUE"""),"T-80344-00")</f>
        <v>T-80344-00</v>
      </c>
      <c r="E3507" s="6" t="str">
        <f>IFERROR(__xludf.DUMMYFUNCTION("""COMPUTED_VALUE"""),"Penggaris  Besi 30cm")</f>
        <v>Penggaris  Besi 30cm</v>
      </c>
      <c r="F3507" s="6">
        <f>IFERROR(__xludf.DUMMYFUNCTION("""COMPUTED_VALUE"""),2.0)</f>
        <v>2</v>
      </c>
      <c r="G3507" s="6" t="str">
        <f>IFERROR(__xludf.DUMMYFUNCTION("""COMPUTED_VALUE"""),"Pieces")</f>
        <v>Pieces</v>
      </c>
      <c r="H3507" s="6" t="str">
        <f>IFERROR(__xludf.DUMMYFUNCTION("""COMPUTED_VALUE"""),"IDR")</f>
        <v>IDR</v>
      </c>
      <c r="I3507" s="6">
        <f>IFERROR(__xludf.DUMMYFUNCTION("""COMPUTED_VALUE"""),5000.0)</f>
        <v>5000</v>
      </c>
      <c r="J3507" s="6">
        <f>IFERROR(__xludf.DUMMYFUNCTION("""COMPUTED_VALUE"""),10000.0)</f>
        <v>10000</v>
      </c>
      <c r="K3507" s="57">
        <f>IFERROR(__xludf.DUMMYFUNCTION("""COMPUTED_VALUE"""),45561.0)</f>
        <v>45561</v>
      </c>
      <c r="L3507" s="6" t="str">
        <f>IFERROR(__xludf.DUMMYFUNCTION("""COMPUTED_VALUE"""),"FIP General")</f>
        <v>FIP General</v>
      </c>
      <c r="M3507" s="6" t="str">
        <f>IFERROR(__xludf.DUMMYFUNCTION("""COMPUTED_VALUE"""),"Mochammad Fadhillah Hakim,")</f>
        <v>Mochammad Fadhillah Hakim,</v>
      </c>
      <c r="N3507" s="6" t="str">
        <f>IFERROR(__xludf.DUMMYFUNCTION("""COMPUTED_VALUE"""),"FIP Engineering")</f>
        <v>FIP Engineering</v>
      </c>
      <c r="O3507" s="6" t="str">
        <f>IFERROR(__xludf.DUMMYFUNCTION("""COMPUTED_VALUE"""),"FIP-DOM-ENG-51411-0000000-INA-000000")</f>
        <v>FIP-DOM-ENG-51411-0000000-INA-000000</v>
      </c>
      <c r="P3507" s="6" t="str">
        <f>IFERROR(__xludf.DUMMYFUNCTION("""COMPUTED_VALUE"""),"PO Closed")</f>
        <v>PO Closed</v>
      </c>
      <c r="Q3507" s="6" t="str">
        <f>IFERROR(__xludf.DUMMYFUNCTION("""COMPUTED_VALUE"""),"GL2410031")</f>
        <v>GL2410031</v>
      </c>
      <c r="R3507" s="57">
        <f>IFERROR(__xludf.DUMMYFUNCTION("""COMPUTED_VALUE"""),45559.0)</f>
        <v>45559</v>
      </c>
      <c r="S3507" s="57">
        <f>IFERROR(__xludf.DUMMYFUNCTION("""COMPUTED_VALUE"""),45559.0)</f>
        <v>45559</v>
      </c>
      <c r="T3507" s="57">
        <f>IFERROR(__xludf.DUMMYFUNCTION("""COMPUTED_VALUE"""),45593.0)</f>
        <v>45593</v>
      </c>
    </row>
    <row r="3508">
      <c r="A3508" s="6" t="str">
        <f>IFERROR(__xludf.DUMMYFUNCTION("""COMPUTED_VALUE"""),"121701853-3")</f>
        <v>121701853-3</v>
      </c>
      <c r="B3508" s="6" t="str">
        <f>IFERROR(__xludf.DUMMYFUNCTION("""COMPUTED_VALUE"""),"121701853 - APPROVED")</f>
        <v>121701853 - APPROVED</v>
      </c>
      <c r="C3508" s="6">
        <f>IFERROR(__xludf.DUMMYFUNCTION("""COMPUTED_VALUE"""),3.0)</f>
        <v>3</v>
      </c>
      <c r="D3508" s="6" t="str">
        <f>IFERROR(__xludf.DUMMYFUNCTION("""COMPUTED_VALUE"""),"T-80686-00")</f>
        <v>T-80686-00</v>
      </c>
      <c r="E3508" s="6" t="str">
        <f>IFERROR(__xludf.DUMMYFUNCTION("""COMPUTED_VALUE"""),"Spidol OHP uk. Fine (satuan) - OPF Biru; Snowman; ; Pcs")</f>
        <v>Spidol OHP uk. Fine (satuan) - OPF Biru; Snowman; ; Pcs</v>
      </c>
      <c r="F3508" s="6">
        <f>IFERROR(__xludf.DUMMYFUNCTION("""COMPUTED_VALUE"""),2.0)</f>
        <v>2</v>
      </c>
      <c r="G3508" s="6" t="str">
        <f>IFERROR(__xludf.DUMMYFUNCTION("""COMPUTED_VALUE"""),"Pieces")</f>
        <v>Pieces</v>
      </c>
      <c r="H3508" s="6" t="str">
        <f>IFERROR(__xludf.DUMMYFUNCTION("""COMPUTED_VALUE"""),"IDR")</f>
        <v>IDR</v>
      </c>
      <c r="I3508" s="6">
        <f>IFERROR(__xludf.DUMMYFUNCTION("""COMPUTED_VALUE"""),10000.0)</f>
        <v>10000</v>
      </c>
      <c r="J3508" s="6">
        <f>IFERROR(__xludf.DUMMYFUNCTION("""COMPUTED_VALUE"""),20000.0)</f>
        <v>20000</v>
      </c>
      <c r="K3508" s="57">
        <f>IFERROR(__xludf.DUMMYFUNCTION("""COMPUTED_VALUE"""),45561.0)</f>
        <v>45561</v>
      </c>
      <c r="L3508" s="6" t="str">
        <f>IFERROR(__xludf.DUMMYFUNCTION("""COMPUTED_VALUE"""),"FIP General")</f>
        <v>FIP General</v>
      </c>
      <c r="M3508" s="6" t="str">
        <f>IFERROR(__xludf.DUMMYFUNCTION("""COMPUTED_VALUE"""),"Mochammad Fadhillah Hakim,")</f>
        <v>Mochammad Fadhillah Hakim,</v>
      </c>
      <c r="N3508" s="6" t="str">
        <f>IFERROR(__xludf.DUMMYFUNCTION("""COMPUTED_VALUE"""),"FIP Engineering")</f>
        <v>FIP Engineering</v>
      </c>
      <c r="O3508" s="6" t="str">
        <f>IFERROR(__xludf.DUMMYFUNCTION("""COMPUTED_VALUE"""),"FIP-DOM-ENG-51411-0000000-INA-000000")</f>
        <v>FIP-DOM-ENG-51411-0000000-INA-000000</v>
      </c>
      <c r="P3508" s="6" t="str">
        <f>IFERROR(__xludf.DUMMYFUNCTION("""COMPUTED_VALUE"""),"PO Closed")</f>
        <v>PO Closed</v>
      </c>
      <c r="Q3508" s="6" t="str">
        <f>IFERROR(__xludf.DUMMYFUNCTION("""COMPUTED_VALUE"""),"GL2410031")</f>
        <v>GL2410031</v>
      </c>
      <c r="R3508" s="57">
        <f>IFERROR(__xludf.DUMMYFUNCTION("""COMPUTED_VALUE"""),45559.0)</f>
        <v>45559</v>
      </c>
      <c r="S3508" s="57">
        <f>IFERROR(__xludf.DUMMYFUNCTION("""COMPUTED_VALUE"""),45559.0)</f>
        <v>45559</v>
      </c>
      <c r="T3508" s="57">
        <f>IFERROR(__xludf.DUMMYFUNCTION("""COMPUTED_VALUE"""),45593.0)</f>
        <v>45593</v>
      </c>
    </row>
    <row r="3509">
      <c r="A3509" s="6" t="str">
        <f>IFERROR(__xludf.DUMMYFUNCTION("""COMPUTED_VALUE"""),"121701853-4")</f>
        <v>121701853-4</v>
      </c>
      <c r="B3509" s="6" t="str">
        <f>IFERROR(__xludf.DUMMYFUNCTION("""COMPUTED_VALUE"""),"121701853 - APPROVED")</f>
        <v>121701853 - APPROVED</v>
      </c>
      <c r="C3509" s="6">
        <f>IFERROR(__xludf.DUMMYFUNCTION("""COMPUTED_VALUE"""),4.0)</f>
        <v>4</v>
      </c>
      <c r="D3509" s="6" t="str">
        <f>IFERROR(__xludf.DUMMYFUNCTION("""COMPUTED_VALUE"""),"T-80337-00")</f>
        <v>T-80337-00</v>
      </c>
      <c r="E3509" s="6" t="str">
        <f>IFERROR(__xludf.DUMMYFUNCTION("""COMPUTED_VALUE"""),"Paper Clips Trigonal No. 1")</f>
        <v>Paper Clips Trigonal No. 1</v>
      </c>
      <c r="F3509" s="6">
        <f>IFERROR(__xludf.DUMMYFUNCTION("""COMPUTED_VALUE"""),3.0)</f>
        <v>3</v>
      </c>
      <c r="G3509" s="6" t="str">
        <f>IFERROR(__xludf.DUMMYFUNCTION("""COMPUTED_VALUE"""),"Box")</f>
        <v>Box</v>
      </c>
      <c r="H3509" s="6" t="str">
        <f>IFERROR(__xludf.DUMMYFUNCTION("""COMPUTED_VALUE"""),"IDR")</f>
        <v>IDR</v>
      </c>
      <c r="I3509" s="6">
        <f>IFERROR(__xludf.DUMMYFUNCTION("""COMPUTED_VALUE"""),2500.0)</f>
        <v>2500</v>
      </c>
      <c r="J3509" s="6">
        <f>IFERROR(__xludf.DUMMYFUNCTION("""COMPUTED_VALUE"""),7500.0)</f>
        <v>7500</v>
      </c>
      <c r="K3509" s="57">
        <f>IFERROR(__xludf.DUMMYFUNCTION("""COMPUTED_VALUE"""),45561.0)</f>
        <v>45561</v>
      </c>
      <c r="L3509" s="6" t="str">
        <f>IFERROR(__xludf.DUMMYFUNCTION("""COMPUTED_VALUE"""),"FIP General")</f>
        <v>FIP General</v>
      </c>
      <c r="M3509" s="6" t="str">
        <f>IFERROR(__xludf.DUMMYFUNCTION("""COMPUTED_VALUE"""),"Mochammad Fadhillah Hakim,")</f>
        <v>Mochammad Fadhillah Hakim,</v>
      </c>
      <c r="N3509" s="6" t="str">
        <f>IFERROR(__xludf.DUMMYFUNCTION("""COMPUTED_VALUE"""),"FIP Engineering")</f>
        <v>FIP Engineering</v>
      </c>
      <c r="O3509" s="6" t="str">
        <f>IFERROR(__xludf.DUMMYFUNCTION("""COMPUTED_VALUE"""),"FIP-DOM-ENG-51411-0000000-INA-000000")</f>
        <v>FIP-DOM-ENG-51411-0000000-INA-000000</v>
      </c>
      <c r="P3509" s="6" t="str">
        <f>IFERROR(__xludf.DUMMYFUNCTION("""COMPUTED_VALUE"""),"PO Closed")</f>
        <v>PO Closed</v>
      </c>
      <c r="Q3509" s="6" t="str">
        <f>IFERROR(__xludf.DUMMYFUNCTION("""COMPUTED_VALUE"""),"GL2410031")</f>
        <v>GL2410031</v>
      </c>
      <c r="R3509" s="57">
        <f>IFERROR(__xludf.DUMMYFUNCTION("""COMPUTED_VALUE"""),45559.0)</f>
        <v>45559</v>
      </c>
      <c r="S3509" s="57">
        <f>IFERROR(__xludf.DUMMYFUNCTION("""COMPUTED_VALUE"""),45559.0)</f>
        <v>45559</v>
      </c>
      <c r="T3509" s="57">
        <f>IFERROR(__xludf.DUMMYFUNCTION("""COMPUTED_VALUE"""),45593.0)</f>
        <v>45593</v>
      </c>
    </row>
    <row r="3510">
      <c r="A3510" s="6" t="str">
        <f>IFERROR(__xludf.DUMMYFUNCTION("""COMPUTED_VALUE"""),"121701853-5")</f>
        <v>121701853-5</v>
      </c>
      <c r="B3510" s="6" t="str">
        <f>IFERROR(__xludf.DUMMYFUNCTION("""COMPUTED_VALUE"""),"121701853 - APPROVED")</f>
        <v>121701853 - APPROVED</v>
      </c>
      <c r="C3510" s="6">
        <f>IFERROR(__xludf.DUMMYFUNCTION("""COMPUTED_VALUE"""),5.0)</f>
        <v>5</v>
      </c>
      <c r="D3510" s="6" t="str">
        <f>IFERROR(__xludf.DUMMYFUNCTION("""COMPUTED_VALUE"""),"T-80110-00")</f>
        <v>T-80110-00</v>
      </c>
      <c r="E3510" s="6" t="str">
        <f>IFERROR(__xludf.DUMMYFUNCTION("""COMPUTED_VALUE"""),"Clear Holder A4 Bening")</f>
        <v>Clear Holder A4 Bening</v>
      </c>
      <c r="F3510" s="6">
        <f>IFERROR(__xludf.DUMMYFUNCTION("""COMPUTED_VALUE"""),5.0)</f>
        <v>5</v>
      </c>
      <c r="G3510" s="6" t="str">
        <f>IFERROR(__xludf.DUMMYFUNCTION("""COMPUTED_VALUE"""),"Pack")</f>
        <v>Pack</v>
      </c>
      <c r="H3510" s="6" t="str">
        <f>IFERROR(__xludf.DUMMYFUNCTION("""COMPUTED_VALUE"""),"IDR")</f>
        <v>IDR</v>
      </c>
      <c r="I3510" s="6">
        <f>IFERROR(__xludf.DUMMYFUNCTION("""COMPUTED_VALUE"""),19000.0)</f>
        <v>19000</v>
      </c>
      <c r="J3510" s="6">
        <f>IFERROR(__xludf.DUMMYFUNCTION("""COMPUTED_VALUE"""),95000.0)</f>
        <v>95000</v>
      </c>
      <c r="K3510" s="57">
        <f>IFERROR(__xludf.DUMMYFUNCTION("""COMPUTED_VALUE"""),45561.0)</f>
        <v>45561</v>
      </c>
      <c r="L3510" s="6" t="str">
        <f>IFERROR(__xludf.DUMMYFUNCTION("""COMPUTED_VALUE"""),"FIP General")</f>
        <v>FIP General</v>
      </c>
      <c r="M3510" s="6" t="str">
        <f>IFERROR(__xludf.DUMMYFUNCTION("""COMPUTED_VALUE"""),"Mochammad Fadhillah Hakim,")</f>
        <v>Mochammad Fadhillah Hakim,</v>
      </c>
      <c r="N3510" s="6" t="str">
        <f>IFERROR(__xludf.DUMMYFUNCTION("""COMPUTED_VALUE"""),"FIP Engineering")</f>
        <v>FIP Engineering</v>
      </c>
      <c r="O3510" s="6" t="str">
        <f>IFERROR(__xludf.DUMMYFUNCTION("""COMPUTED_VALUE"""),"FIP-DOM-ENG-51411-0000000-INA-000000")</f>
        <v>FIP-DOM-ENG-51411-0000000-INA-000000</v>
      </c>
      <c r="P3510" s="6" t="str">
        <f>IFERROR(__xludf.DUMMYFUNCTION("""COMPUTED_VALUE"""),"PO Closed")</f>
        <v>PO Closed</v>
      </c>
      <c r="Q3510" s="6" t="str">
        <f>IFERROR(__xludf.DUMMYFUNCTION("""COMPUTED_VALUE"""),"GL2410031")</f>
        <v>GL2410031</v>
      </c>
      <c r="R3510" s="57">
        <f>IFERROR(__xludf.DUMMYFUNCTION("""COMPUTED_VALUE"""),45559.0)</f>
        <v>45559</v>
      </c>
      <c r="S3510" s="57">
        <f>IFERROR(__xludf.DUMMYFUNCTION("""COMPUTED_VALUE"""),45559.0)</f>
        <v>45559</v>
      </c>
      <c r="T3510" s="57">
        <f>IFERROR(__xludf.DUMMYFUNCTION("""COMPUTED_VALUE"""),45593.0)</f>
        <v>45593</v>
      </c>
    </row>
    <row r="3511">
      <c r="A3511" s="6" t="str">
        <f>IFERROR(__xludf.DUMMYFUNCTION("""COMPUTED_VALUE"""),"121701854-1")</f>
        <v>121701854-1</v>
      </c>
      <c r="B3511" s="6" t="str">
        <f>IFERROR(__xludf.DUMMYFUNCTION("""COMPUTED_VALUE"""),"121701854 - APPROVED")</f>
        <v>121701854 - APPROVED</v>
      </c>
      <c r="C3511" s="6">
        <f>IFERROR(__xludf.DUMMYFUNCTION("""COMPUTED_VALUE"""),1.0)</f>
        <v>1</v>
      </c>
      <c r="D3511" s="6" t="str">
        <f>IFERROR(__xludf.DUMMYFUNCTION("""COMPUTED_VALUE"""),"O-52884-00")</f>
        <v>O-52884-00</v>
      </c>
      <c r="E3511" s="6" t="str">
        <f>IFERROR(__xludf.DUMMYFUNCTION("""COMPUTED_VALUE"""),"Filling VFM100 - Laser Sensor World beam QS18VP6LAF250Q5 10-30 VDC; Banner; ;")</f>
        <v>Filling VFM100 - Laser Sensor World beam QS18VP6LAF250Q5 10-30 VDC; Banner; ;</v>
      </c>
      <c r="F3511" s="6">
        <f>IFERROR(__xludf.DUMMYFUNCTION("""COMPUTED_VALUE"""),1.0)</f>
        <v>1</v>
      </c>
      <c r="G3511" s="6" t="str">
        <f>IFERROR(__xludf.DUMMYFUNCTION("""COMPUTED_VALUE"""),"Pieces")</f>
        <v>Pieces</v>
      </c>
      <c r="H3511" s="6" t="str">
        <f>IFERROR(__xludf.DUMMYFUNCTION("""COMPUTED_VALUE"""),"IDR")</f>
        <v>IDR</v>
      </c>
      <c r="I3511" s="6">
        <f>IFERROR(__xludf.DUMMYFUNCTION("""COMPUTED_VALUE"""),7600000.0)</f>
        <v>7600000</v>
      </c>
      <c r="J3511" s="6">
        <f>IFERROR(__xludf.DUMMYFUNCTION("""COMPUTED_VALUE"""),7600000.0)</f>
        <v>7600000</v>
      </c>
      <c r="K3511" s="57">
        <f>IFERROR(__xludf.DUMMYFUNCTION("""COMPUTED_VALUE"""),45561.0)</f>
        <v>45561</v>
      </c>
      <c r="L3511" s="6" t="str">
        <f>IFERROR(__xludf.DUMMYFUNCTION("""COMPUTED_VALUE"""),"FIP Engineering")</f>
        <v>FIP Engineering</v>
      </c>
      <c r="M3511" s="6" t="str">
        <f>IFERROR(__xludf.DUMMYFUNCTION("""COMPUTED_VALUE"""),"Mochammad Fadhillah Hakim,")</f>
        <v>Mochammad Fadhillah Hakim,</v>
      </c>
      <c r="N3511" s="6" t="str">
        <f>IFERROR(__xludf.DUMMYFUNCTION("""COMPUTED_VALUE"""),"FIP Engineering")</f>
        <v>FIP Engineering</v>
      </c>
      <c r="O3511" s="6" t="str">
        <f>IFERROR(__xludf.DUMMYFUNCTION("""COMPUTED_VALUE"""),"FIP-DOM-000-11304-OS00001-INA-000000")</f>
        <v>FIP-DOM-000-11304-OS00001-INA-000000</v>
      </c>
      <c r="P3511" s="6" t="str">
        <f>IFERROR(__xludf.DUMMYFUNCTION("""COMPUTED_VALUE"""),"PO Closed")</f>
        <v>PO Closed</v>
      </c>
      <c r="Q3511" s="6" t="str">
        <f>IFERROR(__xludf.DUMMYFUNCTION("""COMPUTED_VALUE"""),"GL2410069")</f>
        <v>GL2410069</v>
      </c>
      <c r="R3511" s="57">
        <f>IFERROR(__xludf.DUMMYFUNCTION("""COMPUTED_VALUE"""),45559.0)</f>
        <v>45559</v>
      </c>
      <c r="S3511" s="57">
        <f>IFERROR(__xludf.DUMMYFUNCTION("""COMPUTED_VALUE"""),45560.0)</f>
        <v>45560</v>
      </c>
      <c r="T3511" s="57">
        <f>IFERROR(__xludf.DUMMYFUNCTION("""COMPUTED_VALUE"""),45687.0)</f>
        <v>45687</v>
      </c>
    </row>
    <row r="3512">
      <c r="A3512" s="6" t="str">
        <f>IFERROR(__xludf.DUMMYFUNCTION("""COMPUTED_VALUE"""),"121701855-1")</f>
        <v>121701855-1</v>
      </c>
      <c r="B3512" s="6" t="str">
        <f>IFERROR(__xludf.DUMMYFUNCTION("""COMPUTED_VALUE"""),"121701855 - APPROVED")</f>
        <v>121701855 - APPROVED</v>
      </c>
      <c r="C3512" s="6">
        <f>IFERROR(__xludf.DUMMYFUNCTION("""COMPUTED_VALUE"""),1.0)</f>
        <v>1</v>
      </c>
      <c r="D3512" s="6" t="str">
        <f>IFERROR(__xludf.DUMMYFUNCTION("""COMPUTED_VALUE"""),"O-16731-00")</f>
        <v>O-16731-00</v>
      </c>
      <c r="E3512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F3512" s="6">
        <f>IFERROR(__xludf.DUMMYFUNCTION("""COMPUTED_VALUE"""),3.0)</f>
        <v>3</v>
      </c>
      <c r="G3512" s="6" t="str">
        <f>IFERROR(__xludf.DUMMYFUNCTION("""COMPUTED_VALUE"""),"Pieces")</f>
        <v>Pieces</v>
      </c>
      <c r="H3512" s="6" t="str">
        <f>IFERROR(__xludf.DUMMYFUNCTION("""COMPUTED_VALUE"""),"IDR")</f>
        <v>IDR</v>
      </c>
      <c r="I3512" s="6">
        <f>IFERROR(__xludf.DUMMYFUNCTION("""COMPUTED_VALUE"""),492731.0)</f>
        <v>492731</v>
      </c>
      <c r="J3512" s="6">
        <f>IFERROR(__xludf.DUMMYFUNCTION("""COMPUTED_VALUE"""),1478192.0)</f>
        <v>1478192</v>
      </c>
      <c r="K3512" s="57">
        <f>IFERROR(__xludf.DUMMYFUNCTION("""COMPUTED_VALUE"""),45561.0)</f>
        <v>45561</v>
      </c>
      <c r="L3512" s="6" t="str">
        <f>IFERROR(__xludf.DUMMYFUNCTION("""COMPUTED_VALUE"""),"FIP Engineering")</f>
        <v>FIP Engineering</v>
      </c>
      <c r="M3512" s="6" t="str">
        <f>IFERROR(__xludf.DUMMYFUNCTION("""COMPUTED_VALUE"""),"Mochammad Fadhillah Hakim,")</f>
        <v>Mochammad Fadhillah Hakim,</v>
      </c>
      <c r="N3512" s="6" t="str">
        <f>IFERROR(__xludf.DUMMYFUNCTION("""COMPUTED_VALUE"""),"FIP Engineering")</f>
        <v>FIP Engineering</v>
      </c>
      <c r="O3512" s="6" t="str">
        <f>IFERROR(__xludf.DUMMYFUNCTION("""COMPUTED_VALUE"""),"FIP-DOM-000-11304-OS00001-INA-000000")</f>
        <v>FIP-DOM-000-11304-OS00001-INA-000000</v>
      </c>
      <c r="P3512" s="6" t="str">
        <f>IFERROR(__xludf.DUMMYFUNCTION("""COMPUTED_VALUE"""),"PO Closed")</f>
        <v>PO Closed</v>
      </c>
      <c r="Q3512" s="6" t="str">
        <f>IFERROR(__xludf.DUMMYFUNCTION("""COMPUTED_VALUE"""),"GL2410048")</f>
        <v>GL2410048</v>
      </c>
      <c r="R3512" s="57">
        <f>IFERROR(__xludf.DUMMYFUNCTION("""COMPUTED_VALUE"""),45559.0)</f>
        <v>45559</v>
      </c>
      <c r="S3512" s="57">
        <f>IFERROR(__xludf.DUMMYFUNCTION("""COMPUTED_VALUE"""),45560.0)</f>
        <v>45560</v>
      </c>
      <c r="T3512" s="57">
        <f>IFERROR(__xludf.DUMMYFUNCTION("""COMPUTED_VALUE"""),45716.0)</f>
        <v>45716</v>
      </c>
    </row>
    <row r="3513">
      <c r="A3513" s="6" t="str">
        <f>IFERROR(__xludf.DUMMYFUNCTION("""COMPUTED_VALUE"""),"121701856-1")</f>
        <v>121701856-1</v>
      </c>
      <c r="B3513" s="6" t="str">
        <f>IFERROR(__xludf.DUMMYFUNCTION("""COMPUTED_VALUE"""),"121701856 - APPROVED")</f>
        <v>121701856 - APPROVED</v>
      </c>
      <c r="C3513" s="6">
        <f>IFERROR(__xludf.DUMMYFUNCTION("""COMPUTED_VALUE"""),1.0)</f>
        <v>1</v>
      </c>
      <c r="D3513" s="6" t="str">
        <f>IFERROR(__xludf.DUMMYFUNCTION("""COMPUTED_VALUE"""),"P-53102-00")</f>
        <v>P-53102-00</v>
      </c>
      <c r="E3513" s="6" t="str">
        <f>IFERROR(__xludf.DUMMYFUNCTION("""COMPUTED_VALUE"""),"Lampu PLC 13watt/E27 Putih; Phillips; ;")</f>
        <v>Lampu PLC 13watt/E27 Putih; Phillips; ;</v>
      </c>
      <c r="F3513" s="6">
        <f>IFERROR(__xludf.DUMMYFUNCTION("""COMPUTED_VALUE"""),10.0)</f>
        <v>10</v>
      </c>
      <c r="G3513" s="6" t="str">
        <f>IFERROR(__xludf.DUMMYFUNCTION("""COMPUTED_VALUE"""),"Pieces")</f>
        <v>Pieces</v>
      </c>
      <c r="H3513" s="6" t="str">
        <f>IFERROR(__xludf.DUMMYFUNCTION("""COMPUTED_VALUE"""),"IDR")</f>
        <v>IDR</v>
      </c>
      <c r="I3513" s="6">
        <f>IFERROR(__xludf.DUMMYFUNCTION("""COMPUTED_VALUE"""),46000.0)</f>
        <v>46000</v>
      </c>
      <c r="J3513" s="6">
        <f>IFERROR(__xludf.DUMMYFUNCTION("""COMPUTED_VALUE"""),460000.0)</f>
        <v>460000</v>
      </c>
      <c r="K3513" s="57">
        <f>IFERROR(__xludf.DUMMYFUNCTION("""COMPUTED_VALUE"""),45561.0)</f>
        <v>45561</v>
      </c>
      <c r="L3513" s="6" t="str">
        <f>IFERROR(__xludf.DUMMYFUNCTION("""COMPUTED_VALUE"""),"FIP Engineering")</f>
        <v>FIP Engineering</v>
      </c>
      <c r="M3513" s="6" t="str">
        <f>IFERROR(__xludf.DUMMYFUNCTION("""COMPUTED_VALUE"""),"Mochammad Fadhillah Hakim,")</f>
        <v>Mochammad Fadhillah Hakim,</v>
      </c>
      <c r="N3513" s="6" t="str">
        <f>IFERROR(__xludf.DUMMYFUNCTION("""COMPUTED_VALUE"""),"FIP Engineering")</f>
        <v>FIP Engineering</v>
      </c>
      <c r="O3513" s="6" t="str">
        <f>IFERROR(__xludf.DUMMYFUNCTION("""COMPUTED_VALUE"""),"FIP-DOM-000-11304-OS00001-INA-000000")</f>
        <v>FIP-DOM-000-11304-OS00001-INA-000000</v>
      </c>
      <c r="P3513" s="6" t="str">
        <f>IFERROR(__xludf.DUMMYFUNCTION("""COMPUTED_VALUE"""),"PO Closed")</f>
        <v>PO Closed</v>
      </c>
      <c r="Q3513" s="6" t="str">
        <f>IFERROR(__xludf.DUMMYFUNCTION("""COMPUTED_VALUE"""),"GL2410507")</f>
        <v>GL2410507</v>
      </c>
      <c r="R3513" s="57">
        <f>IFERROR(__xludf.DUMMYFUNCTION("""COMPUTED_VALUE"""),45559.0)</f>
        <v>45559</v>
      </c>
      <c r="S3513" s="57">
        <f>IFERROR(__xludf.DUMMYFUNCTION("""COMPUTED_VALUE"""),45560.0)</f>
        <v>45560</v>
      </c>
      <c r="T3513" s="57">
        <f>IFERROR(__xludf.DUMMYFUNCTION("""COMPUTED_VALUE"""),45588.0)</f>
        <v>45588</v>
      </c>
    </row>
    <row r="3514">
      <c r="A3514" s="6" t="str">
        <f>IFERROR(__xludf.DUMMYFUNCTION("""COMPUTED_VALUE"""),"121701856-2")</f>
        <v>121701856-2</v>
      </c>
      <c r="B3514" s="6" t="str">
        <f>IFERROR(__xludf.DUMMYFUNCTION("""COMPUTED_VALUE"""),"121701856 - APPROVED")</f>
        <v>121701856 - APPROVED</v>
      </c>
      <c r="C3514" s="6">
        <f>IFERROR(__xludf.DUMMYFUNCTION("""COMPUTED_VALUE"""),2.0)</f>
        <v>2</v>
      </c>
      <c r="D3514" s="6" t="str">
        <f>IFERROR(__xludf.DUMMYFUNCTION("""COMPUTED_VALUE"""),"P-10945-00")</f>
        <v>P-10945-00</v>
      </c>
      <c r="E3514" s="6" t="str">
        <f>IFERROR(__xludf.DUMMYFUNCTION("""COMPUTED_VALUE"""),"General - Seal Tape 1 Inch 10 M; Onda; ST 02; 1 pcs")</f>
        <v>General - Seal Tape 1 Inch 10 M; Onda; ST 02; 1 pcs</v>
      </c>
      <c r="F3514" s="6">
        <f>IFERROR(__xludf.DUMMYFUNCTION("""COMPUTED_VALUE"""),20.0)</f>
        <v>20</v>
      </c>
      <c r="G3514" s="6" t="str">
        <f>IFERROR(__xludf.DUMMYFUNCTION("""COMPUTED_VALUE"""),"Pieces")</f>
        <v>Pieces</v>
      </c>
      <c r="H3514" s="6" t="str">
        <f>IFERROR(__xludf.DUMMYFUNCTION("""COMPUTED_VALUE"""),"IDR")</f>
        <v>IDR</v>
      </c>
      <c r="I3514" s="6">
        <f>IFERROR(__xludf.DUMMYFUNCTION("""COMPUTED_VALUE"""),4500.0)</f>
        <v>4500</v>
      </c>
      <c r="J3514" s="6">
        <f>IFERROR(__xludf.DUMMYFUNCTION("""COMPUTED_VALUE"""),90000.0)</f>
        <v>90000</v>
      </c>
      <c r="K3514" s="57">
        <f>IFERROR(__xludf.DUMMYFUNCTION("""COMPUTED_VALUE"""),45561.0)</f>
        <v>45561</v>
      </c>
      <c r="L3514" s="6" t="str">
        <f>IFERROR(__xludf.DUMMYFUNCTION("""COMPUTED_VALUE"""),"FIP Engineering")</f>
        <v>FIP Engineering</v>
      </c>
      <c r="M3514" s="6" t="str">
        <f>IFERROR(__xludf.DUMMYFUNCTION("""COMPUTED_VALUE"""),"Mochammad Fadhillah Hakim,")</f>
        <v>Mochammad Fadhillah Hakim,</v>
      </c>
      <c r="N3514" s="6" t="str">
        <f>IFERROR(__xludf.DUMMYFUNCTION("""COMPUTED_VALUE"""),"FIP Engineering")</f>
        <v>FIP Engineering</v>
      </c>
      <c r="O3514" s="6" t="str">
        <f>IFERROR(__xludf.DUMMYFUNCTION("""COMPUTED_VALUE"""),"FIP-DOM-000-11304-OS00001-INA-000000")</f>
        <v>FIP-DOM-000-11304-OS00001-INA-000000</v>
      </c>
      <c r="P3514" s="6" t="str">
        <f>IFERROR(__xludf.DUMMYFUNCTION("""COMPUTED_VALUE"""),"PO Closed")</f>
        <v>PO Closed</v>
      </c>
      <c r="Q3514" s="6" t="str">
        <f>IFERROR(__xludf.DUMMYFUNCTION("""COMPUTED_VALUE"""),"GL2410507")</f>
        <v>GL2410507</v>
      </c>
      <c r="R3514" s="57">
        <f>IFERROR(__xludf.DUMMYFUNCTION("""COMPUTED_VALUE"""),45559.0)</f>
        <v>45559</v>
      </c>
      <c r="S3514" s="57">
        <f>IFERROR(__xludf.DUMMYFUNCTION("""COMPUTED_VALUE"""),45560.0)</f>
        <v>45560</v>
      </c>
      <c r="T3514" s="57">
        <f>IFERROR(__xludf.DUMMYFUNCTION("""COMPUTED_VALUE"""),45588.0)</f>
        <v>45588</v>
      </c>
    </row>
    <row r="3515">
      <c r="A3515" s="6" t="str">
        <f>IFERROR(__xludf.DUMMYFUNCTION("""COMPUTED_VALUE"""),"121701856-3")</f>
        <v>121701856-3</v>
      </c>
      <c r="B3515" s="6" t="str">
        <f>IFERROR(__xludf.DUMMYFUNCTION("""COMPUTED_VALUE"""),"121701856 - APPROVED")</f>
        <v>121701856 - APPROVED</v>
      </c>
      <c r="C3515" s="6">
        <f>IFERROR(__xludf.DUMMYFUNCTION("""COMPUTED_VALUE"""),3.0)</f>
        <v>3</v>
      </c>
      <c r="D3515" s="6" t="str">
        <f>IFERROR(__xludf.DUMMYFUNCTION("""COMPUTED_VALUE"""),"P-15961-00")</f>
        <v>P-15961-00</v>
      </c>
      <c r="E3515" s="6" t="str">
        <f>IFERROR(__xludf.DUMMYFUNCTION("""COMPUTED_VALUE"""),"Freon 134A ;; ; ;")</f>
        <v>Freon 134A ;; ; ;</v>
      </c>
      <c r="F3515" s="6">
        <f>IFERROR(__xludf.DUMMYFUNCTION("""COMPUTED_VALUE"""),2.0)</f>
        <v>2</v>
      </c>
      <c r="G3515" s="6" t="str">
        <f>IFERROR(__xludf.DUMMYFUNCTION("""COMPUTED_VALUE"""),"Can")</f>
        <v>Can</v>
      </c>
      <c r="H3515" s="6" t="str">
        <f>IFERROR(__xludf.DUMMYFUNCTION("""COMPUTED_VALUE"""),"IDR")</f>
        <v>IDR</v>
      </c>
      <c r="I3515" s="6">
        <f>IFERROR(__xludf.DUMMYFUNCTION("""COMPUTED_VALUE"""),2000000.0)</f>
        <v>2000000</v>
      </c>
      <c r="J3515" s="6">
        <f>IFERROR(__xludf.DUMMYFUNCTION("""COMPUTED_VALUE"""),4000000.0)</f>
        <v>4000000</v>
      </c>
      <c r="K3515" s="57">
        <f>IFERROR(__xludf.DUMMYFUNCTION("""COMPUTED_VALUE"""),45561.0)</f>
        <v>45561</v>
      </c>
      <c r="L3515" s="6" t="str">
        <f>IFERROR(__xludf.DUMMYFUNCTION("""COMPUTED_VALUE"""),"FIP Engineering")</f>
        <v>FIP Engineering</v>
      </c>
      <c r="M3515" s="6" t="str">
        <f>IFERROR(__xludf.DUMMYFUNCTION("""COMPUTED_VALUE"""),"Mochammad Fadhillah Hakim,")</f>
        <v>Mochammad Fadhillah Hakim,</v>
      </c>
      <c r="N3515" s="6" t="str">
        <f>IFERROR(__xludf.DUMMYFUNCTION("""COMPUTED_VALUE"""),"FIP Engineering")</f>
        <v>FIP Engineering</v>
      </c>
      <c r="O3515" s="6" t="str">
        <f>IFERROR(__xludf.DUMMYFUNCTION("""COMPUTED_VALUE"""),"FIP-DOM-000-11304-OS00001-INA-000000")</f>
        <v>FIP-DOM-000-11304-OS00001-INA-000000</v>
      </c>
      <c r="P3515" s="6" t="str">
        <f>IFERROR(__xludf.DUMMYFUNCTION("""COMPUTED_VALUE"""),"PO Closed")</f>
        <v>PO Closed</v>
      </c>
      <c r="Q3515" s="6" t="str">
        <f>IFERROR(__xludf.DUMMYFUNCTION("""COMPUTED_VALUE"""),"GL2410507")</f>
        <v>GL2410507</v>
      </c>
      <c r="R3515" s="57">
        <f>IFERROR(__xludf.DUMMYFUNCTION("""COMPUTED_VALUE"""),45559.0)</f>
        <v>45559</v>
      </c>
      <c r="S3515" s="57">
        <f>IFERROR(__xludf.DUMMYFUNCTION("""COMPUTED_VALUE"""),45560.0)</f>
        <v>45560</v>
      </c>
      <c r="T3515" s="57">
        <f>IFERROR(__xludf.DUMMYFUNCTION("""COMPUTED_VALUE"""),45588.0)</f>
        <v>45588</v>
      </c>
    </row>
    <row r="3516">
      <c r="A3516" s="6" t="str">
        <f>IFERROR(__xludf.DUMMYFUNCTION("""COMPUTED_VALUE"""),"121701856-4")</f>
        <v>121701856-4</v>
      </c>
      <c r="B3516" s="6" t="str">
        <f>IFERROR(__xludf.DUMMYFUNCTION("""COMPUTED_VALUE"""),"121701856 - APPROVED")</f>
        <v>121701856 - APPROVED</v>
      </c>
      <c r="C3516" s="6">
        <f>IFERROR(__xludf.DUMMYFUNCTION("""COMPUTED_VALUE"""),4.0)</f>
        <v>4</v>
      </c>
      <c r="D3516" s="6" t="str">
        <f>IFERROR(__xludf.DUMMYFUNCTION("""COMPUTED_VALUE"""),"P-18504-00")</f>
        <v>P-18504-00</v>
      </c>
      <c r="E3516" s="6" t="str">
        <f>IFERROR(__xludf.DUMMYFUNCTION("""COMPUTED_VALUE"""),"Chemours - Freon 404A;; ; ;")</f>
        <v>Chemours - Freon 404A;; ; ;</v>
      </c>
      <c r="F3516" s="6">
        <f>IFERROR(__xludf.DUMMYFUNCTION("""COMPUTED_VALUE"""),1.0)</f>
        <v>1</v>
      </c>
      <c r="G3516" s="6" t="str">
        <f>IFERROR(__xludf.DUMMYFUNCTION("""COMPUTED_VALUE"""),"Can")</f>
        <v>Can</v>
      </c>
      <c r="H3516" s="6" t="str">
        <f>IFERROR(__xludf.DUMMYFUNCTION("""COMPUTED_VALUE"""),"IDR")</f>
        <v>IDR</v>
      </c>
      <c r="I3516" s="6">
        <f>IFERROR(__xludf.DUMMYFUNCTION("""COMPUTED_VALUE"""),2100000.0)</f>
        <v>2100000</v>
      </c>
      <c r="J3516" s="6">
        <f>IFERROR(__xludf.DUMMYFUNCTION("""COMPUTED_VALUE"""),2100000.0)</f>
        <v>2100000</v>
      </c>
      <c r="K3516" s="57">
        <f>IFERROR(__xludf.DUMMYFUNCTION("""COMPUTED_VALUE"""),45561.0)</f>
        <v>45561</v>
      </c>
      <c r="L3516" s="6" t="str">
        <f>IFERROR(__xludf.DUMMYFUNCTION("""COMPUTED_VALUE"""),"FIP Engineering")</f>
        <v>FIP Engineering</v>
      </c>
      <c r="M3516" s="6" t="str">
        <f>IFERROR(__xludf.DUMMYFUNCTION("""COMPUTED_VALUE"""),"Mochammad Fadhillah Hakim,")</f>
        <v>Mochammad Fadhillah Hakim,</v>
      </c>
      <c r="N3516" s="6" t="str">
        <f>IFERROR(__xludf.DUMMYFUNCTION("""COMPUTED_VALUE"""),"FIP Engineering")</f>
        <v>FIP Engineering</v>
      </c>
      <c r="O3516" s="6" t="str">
        <f>IFERROR(__xludf.DUMMYFUNCTION("""COMPUTED_VALUE"""),"FIP-DOM-000-11304-OS00001-INA-000000")</f>
        <v>FIP-DOM-000-11304-OS00001-INA-000000</v>
      </c>
      <c r="P3516" s="6" t="str">
        <f>IFERROR(__xludf.DUMMYFUNCTION("""COMPUTED_VALUE"""),"PO Closed")</f>
        <v>PO Closed</v>
      </c>
      <c r="Q3516" s="6" t="str">
        <f>IFERROR(__xludf.DUMMYFUNCTION("""COMPUTED_VALUE"""),"GL2410507")</f>
        <v>GL2410507</v>
      </c>
      <c r="R3516" s="57">
        <f>IFERROR(__xludf.DUMMYFUNCTION("""COMPUTED_VALUE"""),45559.0)</f>
        <v>45559</v>
      </c>
      <c r="S3516" s="57">
        <f>IFERROR(__xludf.DUMMYFUNCTION("""COMPUTED_VALUE"""),45560.0)</f>
        <v>45560</v>
      </c>
      <c r="T3516" s="57">
        <f>IFERROR(__xludf.DUMMYFUNCTION("""COMPUTED_VALUE"""),45588.0)</f>
        <v>45588</v>
      </c>
    </row>
    <row r="3517">
      <c r="A3517" s="6" t="str">
        <f>IFERROR(__xludf.DUMMYFUNCTION("""COMPUTED_VALUE"""),"121701858-1")</f>
        <v>121701858-1</v>
      </c>
      <c r="B3517" s="6" t="str">
        <f>IFERROR(__xludf.DUMMYFUNCTION("""COMPUTED_VALUE"""),"121701858 - APPROVED")</f>
        <v>121701858 - APPROVED</v>
      </c>
      <c r="C3517" s="6">
        <f>IFERROR(__xludf.DUMMYFUNCTION("""COMPUTED_VALUE"""),1.0)</f>
        <v>1</v>
      </c>
      <c r="D3517" s="6" t="str">
        <f>IFERROR(__xludf.DUMMYFUNCTION("""COMPUTED_VALUE"""),"Q-10134-00")</f>
        <v>Q-10134-00</v>
      </c>
      <c r="E3517" s="6" t="str">
        <f>IFERROR(__xludf.DUMMYFUNCTION("""COMPUTED_VALUE"""),"TOTO - Jet Shower spray TX 403S")</f>
        <v>TOTO - Jet Shower spray TX 403S</v>
      </c>
      <c r="F3517" s="6">
        <f>IFERROR(__xludf.DUMMYFUNCTION("""COMPUTED_VALUE"""),10.0)</f>
        <v>10</v>
      </c>
      <c r="G3517" s="6" t="str">
        <f>IFERROR(__xludf.DUMMYFUNCTION("""COMPUTED_VALUE"""),"Pieces")</f>
        <v>Pieces</v>
      </c>
      <c r="H3517" s="6" t="str">
        <f>IFERROR(__xludf.DUMMYFUNCTION("""COMPUTED_VALUE"""),"IDR")</f>
        <v>IDR</v>
      </c>
      <c r="I3517" s="6">
        <f>IFERROR(__xludf.DUMMYFUNCTION("""COMPUTED_VALUE"""),550000.0)</f>
        <v>550000</v>
      </c>
      <c r="J3517" s="6">
        <f>IFERROR(__xludf.DUMMYFUNCTION("""COMPUTED_VALUE"""),5500000.0)</f>
        <v>5500000</v>
      </c>
      <c r="K3517" s="57">
        <f>IFERROR(__xludf.DUMMYFUNCTION("""COMPUTED_VALUE"""),45561.0)</f>
        <v>45561</v>
      </c>
      <c r="L3517" s="6" t="str">
        <f>IFERROR(__xludf.DUMMYFUNCTION("""COMPUTED_VALUE"""),"FIP Engineering")</f>
        <v>FIP Engineering</v>
      </c>
      <c r="M3517" s="6" t="str">
        <f>IFERROR(__xludf.DUMMYFUNCTION("""COMPUTED_VALUE"""),"Mochammad Fadhillah Hakim,")</f>
        <v>Mochammad Fadhillah Hakim,</v>
      </c>
      <c r="N3517" s="6" t="str">
        <f>IFERROR(__xludf.DUMMYFUNCTION("""COMPUTED_VALUE"""),"FIP Engineering")</f>
        <v>FIP Engineering</v>
      </c>
      <c r="O3517" s="6" t="str">
        <f>IFERROR(__xludf.DUMMYFUNCTION("""COMPUTED_VALUE"""),"FIP-DOM-000-11304-OS00001-INA-000000")</f>
        <v>FIP-DOM-000-11304-OS00001-INA-000000</v>
      </c>
      <c r="P3517" s="6" t="str">
        <f>IFERROR(__xludf.DUMMYFUNCTION("""COMPUTED_VALUE"""),"PO Closed")</f>
        <v>PO Closed</v>
      </c>
      <c r="Q3517" s="6" t="str">
        <f>IFERROR(__xludf.DUMMYFUNCTION("""COMPUTED_VALUE"""),"GL2409020")</f>
        <v>GL2409020</v>
      </c>
      <c r="R3517" s="57">
        <f>IFERROR(__xludf.DUMMYFUNCTION("""COMPUTED_VALUE"""),45559.0)</f>
        <v>45559</v>
      </c>
      <c r="S3517" s="57">
        <f>IFERROR(__xludf.DUMMYFUNCTION("""COMPUTED_VALUE"""),45560.0)</f>
        <v>45560</v>
      </c>
      <c r="T3517" s="57">
        <f>IFERROR(__xludf.DUMMYFUNCTION("""COMPUTED_VALUE"""),45544.0)</f>
        <v>45544</v>
      </c>
    </row>
    <row r="3518">
      <c r="A3518" s="6" t="str">
        <f>IFERROR(__xludf.DUMMYFUNCTION("""COMPUTED_VALUE"""),"121701859-1")</f>
        <v>121701859-1</v>
      </c>
      <c r="B3518" s="6" t="str">
        <f>IFERROR(__xludf.DUMMYFUNCTION("""COMPUTED_VALUE"""),"121701859 - APPROVED")</f>
        <v>121701859 - APPROVED</v>
      </c>
      <c r="C3518" s="6">
        <f>IFERROR(__xludf.DUMMYFUNCTION("""COMPUTED_VALUE"""),1.0)</f>
        <v>1</v>
      </c>
      <c r="D3518" s="6" t="str">
        <f>IFERROR(__xludf.DUMMYFUNCTION("""COMPUTED_VALUE"""),"O-19901-00")</f>
        <v>O-19901-00</v>
      </c>
      <c r="E3518" s="6" t="str">
        <f>IFERROR(__xludf.DUMMYFUNCTION("""COMPUTED_VALUE"""),"Freeze Dryer MBE1207 - New Seat Valve Dia 36x22x7; Custom; ;")</f>
        <v>Freeze Dryer MBE1207 - New Seat Valve Dia 36x22x7; Custom; ;</v>
      </c>
      <c r="F3518" s="6">
        <f>IFERROR(__xludf.DUMMYFUNCTION("""COMPUTED_VALUE"""),2.0)</f>
        <v>2</v>
      </c>
      <c r="G3518" s="6" t="str">
        <f>IFERROR(__xludf.DUMMYFUNCTION("""COMPUTED_VALUE"""),"Set")</f>
        <v>Set</v>
      </c>
      <c r="H3518" s="6" t="str">
        <f>IFERROR(__xludf.DUMMYFUNCTION("""COMPUTED_VALUE"""),"IDR")</f>
        <v>IDR</v>
      </c>
      <c r="I3518" s="6">
        <f>IFERROR(__xludf.DUMMYFUNCTION("""COMPUTED_VALUE"""),1850000.0)</f>
        <v>1850000</v>
      </c>
      <c r="J3518" s="6">
        <f>IFERROR(__xludf.DUMMYFUNCTION("""COMPUTED_VALUE"""),3700000.0)</f>
        <v>3700000</v>
      </c>
      <c r="K3518" s="57">
        <f>IFERROR(__xludf.DUMMYFUNCTION("""COMPUTED_VALUE"""),45561.0)</f>
        <v>45561</v>
      </c>
      <c r="L3518" s="6" t="str">
        <f>IFERROR(__xludf.DUMMYFUNCTION("""COMPUTED_VALUE"""),"FIP Engineering")</f>
        <v>FIP Engineering</v>
      </c>
      <c r="M3518" s="6" t="str">
        <f>IFERROR(__xludf.DUMMYFUNCTION("""COMPUTED_VALUE"""),"Mochammad Fadhillah Hakim,")</f>
        <v>Mochammad Fadhillah Hakim,</v>
      </c>
      <c r="N3518" s="6" t="str">
        <f>IFERROR(__xludf.DUMMYFUNCTION("""COMPUTED_VALUE"""),"FIP Engineering")</f>
        <v>FIP Engineering</v>
      </c>
      <c r="O3518" s="6" t="str">
        <f>IFERROR(__xludf.DUMMYFUNCTION("""COMPUTED_VALUE"""),"FIP-DOM-000-11304-OS00001-INA-000000")</f>
        <v>FIP-DOM-000-11304-OS00001-INA-000000</v>
      </c>
      <c r="P3518" s="6" t="str">
        <f>IFERROR(__xludf.DUMMYFUNCTION("""COMPUTED_VALUE"""),"PO Closed")</f>
        <v>PO Closed</v>
      </c>
      <c r="Q3518" s="6" t="str">
        <f>IFERROR(__xludf.DUMMYFUNCTION("""COMPUTED_VALUE"""),"GL2410060")</f>
        <v>GL2410060</v>
      </c>
      <c r="R3518" s="57">
        <f>IFERROR(__xludf.DUMMYFUNCTION("""COMPUTED_VALUE"""),45559.0)</f>
        <v>45559</v>
      </c>
      <c r="S3518" s="57">
        <f>IFERROR(__xludf.DUMMYFUNCTION("""COMPUTED_VALUE"""),45560.0)</f>
        <v>45560</v>
      </c>
      <c r="T3518" s="57">
        <f>IFERROR(__xludf.DUMMYFUNCTION("""COMPUTED_VALUE"""),45621.0)</f>
        <v>45621</v>
      </c>
    </row>
    <row r="3519">
      <c r="A3519" s="6" t="str">
        <f>IFERROR(__xludf.DUMMYFUNCTION("""COMPUTED_VALUE"""),"121701859-2")</f>
        <v>121701859-2</v>
      </c>
      <c r="B3519" s="6" t="str">
        <f>IFERROR(__xludf.DUMMYFUNCTION("""COMPUTED_VALUE"""),"121701859 - APPROVED")</f>
        <v>121701859 - APPROVED</v>
      </c>
      <c r="C3519" s="6">
        <f>IFERROR(__xludf.DUMMYFUNCTION("""COMPUTED_VALUE"""),2.0)</f>
        <v>2</v>
      </c>
      <c r="D3519" s="6" t="str">
        <f>IFERROR(__xludf.DUMMYFUNCTION("""COMPUTED_VALUE"""),"O-19810-00")</f>
        <v>O-19810-00</v>
      </c>
      <c r="E3519" s="6" t="str">
        <f>IFERROR(__xludf.DUMMYFUNCTION("""COMPUTED_VALUE"""),"Freeze Dryer MBE1207 - Gasket Teflon Uk. 45x41x1.5; Custom; ;")</f>
        <v>Freeze Dryer MBE1207 - Gasket Teflon Uk. 45x41x1.5; Custom; ;</v>
      </c>
      <c r="F3519" s="6">
        <f>IFERROR(__xludf.DUMMYFUNCTION("""COMPUTED_VALUE"""),2.0)</f>
        <v>2</v>
      </c>
      <c r="G3519" s="6" t="str">
        <f>IFERROR(__xludf.DUMMYFUNCTION("""COMPUTED_VALUE"""),"Set")</f>
        <v>Set</v>
      </c>
      <c r="H3519" s="6" t="str">
        <f>IFERROR(__xludf.DUMMYFUNCTION("""COMPUTED_VALUE"""),"IDR")</f>
        <v>IDR</v>
      </c>
      <c r="I3519" s="6">
        <f>IFERROR(__xludf.DUMMYFUNCTION("""COMPUTED_VALUE"""),650000.0)</f>
        <v>650000</v>
      </c>
      <c r="J3519" s="6">
        <f>IFERROR(__xludf.DUMMYFUNCTION("""COMPUTED_VALUE"""),1300000.0)</f>
        <v>1300000</v>
      </c>
      <c r="K3519" s="57">
        <f>IFERROR(__xludf.DUMMYFUNCTION("""COMPUTED_VALUE"""),45561.0)</f>
        <v>45561</v>
      </c>
      <c r="L3519" s="6" t="str">
        <f>IFERROR(__xludf.DUMMYFUNCTION("""COMPUTED_VALUE"""),"FIP Engineering")</f>
        <v>FIP Engineering</v>
      </c>
      <c r="M3519" s="6" t="str">
        <f>IFERROR(__xludf.DUMMYFUNCTION("""COMPUTED_VALUE"""),"Mochammad Fadhillah Hakim,")</f>
        <v>Mochammad Fadhillah Hakim,</v>
      </c>
      <c r="N3519" s="6" t="str">
        <f>IFERROR(__xludf.DUMMYFUNCTION("""COMPUTED_VALUE"""),"FIP Engineering")</f>
        <v>FIP Engineering</v>
      </c>
      <c r="O3519" s="6" t="str">
        <f>IFERROR(__xludf.DUMMYFUNCTION("""COMPUTED_VALUE"""),"FIP-DOM-000-11304-OS00001-INA-000000")</f>
        <v>FIP-DOM-000-11304-OS00001-INA-000000</v>
      </c>
      <c r="P3519" s="6" t="str">
        <f>IFERROR(__xludf.DUMMYFUNCTION("""COMPUTED_VALUE"""),"PO Closed")</f>
        <v>PO Closed</v>
      </c>
      <c r="Q3519" s="6" t="str">
        <f>IFERROR(__xludf.DUMMYFUNCTION("""COMPUTED_VALUE"""),"GL2410060")</f>
        <v>GL2410060</v>
      </c>
      <c r="R3519" s="57">
        <f>IFERROR(__xludf.DUMMYFUNCTION("""COMPUTED_VALUE"""),45559.0)</f>
        <v>45559</v>
      </c>
      <c r="S3519" s="57">
        <f>IFERROR(__xludf.DUMMYFUNCTION("""COMPUTED_VALUE"""),45560.0)</f>
        <v>45560</v>
      </c>
      <c r="T3519" s="57">
        <f>IFERROR(__xludf.DUMMYFUNCTION("""COMPUTED_VALUE"""),45630.0)</f>
        <v>45630</v>
      </c>
    </row>
    <row r="3520">
      <c r="A3520" s="6" t="str">
        <f>IFERROR(__xludf.DUMMYFUNCTION("""COMPUTED_VALUE"""),"121701860-1")</f>
        <v>121701860-1</v>
      </c>
      <c r="B3520" s="6" t="str">
        <f>IFERROR(__xludf.DUMMYFUNCTION("""COMPUTED_VALUE"""),"121701860 - APPROVED")</f>
        <v>121701860 - APPROVED</v>
      </c>
      <c r="C3520" s="6">
        <f>IFERROR(__xludf.DUMMYFUNCTION("""COMPUTED_VALUE"""),1.0)</f>
        <v>1</v>
      </c>
      <c r="D3520" s="6" t="str">
        <f>IFERROR(__xludf.DUMMYFUNCTION("""COMPUTED_VALUE"""),"O-12735-00")</f>
        <v>O-12735-00</v>
      </c>
      <c r="E3520" s="6" t="str">
        <f>IFERROR(__xludf.DUMMYFUNCTION("""COMPUTED_VALUE"""),"Tubing Polyurethane TU0604 Clear; SMC; Part No. X3; roll")</f>
        <v>Tubing Polyurethane TU0604 Clear; SMC; Part No. X3; roll</v>
      </c>
      <c r="F3520" s="6">
        <f>IFERROR(__xludf.DUMMYFUNCTION("""COMPUTED_VALUE"""),100.0)</f>
        <v>100</v>
      </c>
      <c r="G3520" s="6" t="str">
        <f>IFERROR(__xludf.DUMMYFUNCTION("""COMPUTED_VALUE"""),"Roll")</f>
        <v>Roll</v>
      </c>
      <c r="H3520" s="6" t="str">
        <f>IFERROR(__xludf.DUMMYFUNCTION("""COMPUTED_VALUE"""),"IDR")</f>
        <v>IDR</v>
      </c>
      <c r="I3520" s="6">
        <f>IFERROR(__xludf.DUMMYFUNCTION("""COMPUTED_VALUE"""),11400.0)</f>
        <v>11400</v>
      </c>
      <c r="J3520" s="6">
        <f>IFERROR(__xludf.DUMMYFUNCTION("""COMPUTED_VALUE"""),1140000.0)</f>
        <v>1140000</v>
      </c>
      <c r="K3520" s="57">
        <f>IFERROR(__xludf.DUMMYFUNCTION("""COMPUTED_VALUE"""),45561.0)</f>
        <v>45561</v>
      </c>
      <c r="L3520" s="6" t="str">
        <f>IFERROR(__xludf.DUMMYFUNCTION("""COMPUTED_VALUE"""),"FIP General")</f>
        <v>FIP General</v>
      </c>
      <c r="M3520" s="6" t="str">
        <f>IFERROR(__xludf.DUMMYFUNCTION("""COMPUTED_VALUE"""),"Mochammad Fadhillah Hakim,")</f>
        <v>Mochammad Fadhillah Hakim,</v>
      </c>
      <c r="N3520" s="6" t="str">
        <f>IFERROR(__xludf.DUMMYFUNCTION("""COMPUTED_VALUE"""),"FIP Engineering")</f>
        <v>FIP Engineering</v>
      </c>
      <c r="O3520" s="6" t="str">
        <f>IFERROR(__xludf.DUMMYFUNCTION("""COMPUTED_VALUE"""),"FIP-DOM-ENG-51404-0000000-INA-000000")</f>
        <v>FIP-DOM-ENG-51404-0000000-INA-000000</v>
      </c>
      <c r="P3520" s="6" t="str">
        <f>IFERROR(__xludf.DUMMYFUNCTION("""COMPUTED_VALUE"""),"PO Closed")</f>
        <v>PO Closed</v>
      </c>
      <c r="Q3520" s="6" t="str">
        <f>IFERROR(__xludf.DUMMYFUNCTION("""COMPUTED_VALUE"""),"GL2410061")</f>
        <v>GL2410061</v>
      </c>
      <c r="R3520" s="57">
        <f>IFERROR(__xludf.DUMMYFUNCTION("""COMPUTED_VALUE"""),45559.0)</f>
        <v>45559</v>
      </c>
      <c r="S3520" s="57">
        <f>IFERROR(__xludf.DUMMYFUNCTION("""COMPUTED_VALUE"""),45559.0)</f>
        <v>45559</v>
      </c>
      <c r="T3520" s="57">
        <f>IFERROR(__xludf.DUMMYFUNCTION("""COMPUTED_VALUE"""),45624.0)</f>
        <v>45624</v>
      </c>
    </row>
    <row r="3521">
      <c r="A3521" s="6" t="str">
        <f>IFERROR(__xludf.DUMMYFUNCTION("""COMPUTED_VALUE"""),"121701861-1")</f>
        <v>121701861-1</v>
      </c>
      <c r="B3521" s="6" t="str">
        <f>IFERROR(__xludf.DUMMYFUNCTION("""COMPUTED_VALUE"""),"121701861 - APPROVED")</f>
        <v>121701861 - APPROVED</v>
      </c>
      <c r="C3521" s="6">
        <f>IFERROR(__xludf.DUMMYFUNCTION("""COMPUTED_VALUE"""),1.0)</f>
        <v>1</v>
      </c>
      <c r="D3521" s="6" t="str">
        <f>IFERROR(__xludf.DUMMYFUNCTION("""COMPUTED_VALUE"""),"P-13389-00")</f>
        <v>P-13389-00</v>
      </c>
      <c r="E3521" s="6" t="str">
        <f>IFERROR(__xludf.DUMMYFUNCTION("""COMPUTED_VALUE"""),"Scotch Brite 3M; ; ;")</f>
        <v>Scotch Brite 3M; ; ;</v>
      </c>
      <c r="F3521" s="6">
        <f>IFERROR(__xludf.DUMMYFUNCTION("""COMPUTED_VALUE"""),20.0)</f>
        <v>20</v>
      </c>
      <c r="G3521" s="6" t="str">
        <f>IFERROR(__xludf.DUMMYFUNCTION("""COMPUTED_VALUE"""),"Pieces")</f>
        <v>Pieces</v>
      </c>
      <c r="H3521" s="6" t="str">
        <f>IFERROR(__xludf.DUMMYFUNCTION("""COMPUTED_VALUE"""),"IDR")</f>
        <v>IDR</v>
      </c>
      <c r="I3521" s="6">
        <f>IFERROR(__xludf.DUMMYFUNCTION("""COMPUTED_VALUE"""),13500.0)</f>
        <v>13500</v>
      </c>
      <c r="J3521" s="6">
        <f>IFERROR(__xludf.DUMMYFUNCTION("""COMPUTED_VALUE"""),270000.0)</f>
        <v>270000</v>
      </c>
      <c r="K3521" s="57">
        <f>IFERROR(__xludf.DUMMYFUNCTION("""COMPUTED_VALUE"""),45561.0)</f>
        <v>45561</v>
      </c>
      <c r="L3521" s="6" t="str">
        <f>IFERROR(__xludf.DUMMYFUNCTION("""COMPUTED_VALUE"""),"FIP Engineering")</f>
        <v>FIP Engineering</v>
      </c>
      <c r="M3521" s="6" t="str">
        <f>IFERROR(__xludf.DUMMYFUNCTION("""COMPUTED_VALUE"""),"Mochammad Fadhillah Hakim,")</f>
        <v>Mochammad Fadhillah Hakim,</v>
      </c>
      <c r="N3521" s="6" t="str">
        <f>IFERROR(__xludf.DUMMYFUNCTION("""COMPUTED_VALUE"""),"FIP Engineering")</f>
        <v>FIP Engineering</v>
      </c>
      <c r="O3521" s="6" t="str">
        <f>IFERROR(__xludf.DUMMYFUNCTION("""COMPUTED_VALUE"""),"FIP-DOM-000-11304-OS00001-INA-000000")</f>
        <v>FIP-DOM-000-11304-OS00001-INA-000000</v>
      </c>
      <c r="P3521" s="6" t="str">
        <f>IFERROR(__xludf.DUMMYFUNCTION("""COMPUTED_VALUE"""),"PO Closed")</f>
        <v>PO Closed</v>
      </c>
      <c r="Q3521" s="6" t="str">
        <f>IFERROR(__xludf.DUMMYFUNCTION("""COMPUTED_VALUE"""),"GL2410512")</f>
        <v>GL2410512</v>
      </c>
      <c r="R3521" s="57">
        <f>IFERROR(__xludf.DUMMYFUNCTION("""COMPUTED_VALUE"""),45559.0)</f>
        <v>45559</v>
      </c>
      <c r="S3521" s="57">
        <f>IFERROR(__xludf.DUMMYFUNCTION("""COMPUTED_VALUE"""),45559.0)</f>
        <v>45559</v>
      </c>
      <c r="T3521" s="57">
        <f>IFERROR(__xludf.DUMMYFUNCTION("""COMPUTED_VALUE"""),45590.0)</f>
        <v>45590</v>
      </c>
    </row>
    <row r="3522">
      <c r="A3522" s="6" t="str">
        <f>IFERROR(__xludf.DUMMYFUNCTION("""COMPUTED_VALUE"""),"121701861-2")</f>
        <v>121701861-2</v>
      </c>
      <c r="B3522" s="6" t="str">
        <f>IFERROR(__xludf.DUMMYFUNCTION("""COMPUTED_VALUE"""),"121701861 - APPROVED")</f>
        <v>121701861 - APPROVED</v>
      </c>
      <c r="C3522" s="6">
        <f>IFERROR(__xludf.DUMMYFUNCTION("""COMPUTED_VALUE"""),2.0)</f>
        <v>2</v>
      </c>
      <c r="D3522" s="6" t="str">
        <f>IFERROR(__xludf.DUMMYFUNCTION("""COMPUTED_VALUE"""),"O-15931-00")</f>
        <v>O-15931-00</v>
      </c>
      <c r="E3522" s="6" t="str">
        <f>IFERROR(__xludf.DUMMYFUNCTION("""COMPUTED_VALUE"""),"Double Tape 3M 1"" Merah - P/N : -  pc")</f>
        <v>Double Tape 3M 1" Merah - P/N : -  pc</v>
      </c>
      <c r="F3522" s="6">
        <f>IFERROR(__xludf.DUMMYFUNCTION("""COMPUTED_VALUE"""),15.0)</f>
        <v>15</v>
      </c>
      <c r="G3522" s="6" t="str">
        <f>IFERROR(__xludf.DUMMYFUNCTION("""COMPUTED_VALUE"""),"Pieces")</f>
        <v>Pieces</v>
      </c>
      <c r="H3522" s="6" t="str">
        <f>IFERROR(__xludf.DUMMYFUNCTION("""COMPUTED_VALUE"""),"IDR")</f>
        <v>IDR</v>
      </c>
      <c r="I3522" s="6">
        <f>IFERROR(__xludf.DUMMYFUNCTION("""COMPUTED_VALUE"""),78500.0)</f>
        <v>78500</v>
      </c>
      <c r="J3522" s="6">
        <f>IFERROR(__xludf.DUMMYFUNCTION("""COMPUTED_VALUE"""),1177500.0)</f>
        <v>1177500</v>
      </c>
      <c r="K3522" s="57">
        <f>IFERROR(__xludf.DUMMYFUNCTION("""COMPUTED_VALUE"""),45561.0)</f>
        <v>45561</v>
      </c>
      <c r="L3522" s="6" t="str">
        <f>IFERROR(__xludf.DUMMYFUNCTION("""COMPUTED_VALUE"""),"FIP Engineering")</f>
        <v>FIP Engineering</v>
      </c>
      <c r="M3522" s="6" t="str">
        <f>IFERROR(__xludf.DUMMYFUNCTION("""COMPUTED_VALUE"""),"Mochammad Fadhillah Hakim,")</f>
        <v>Mochammad Fadhillah Hakim,</v>
      </c>
      <c r="N3522" s="6" t="str">
        <f>IFERROR(__xludf.DUMMYFUNCTION("""COMPUTED_VALUE"""),"FIP Engineering")</f>
        <v>FIP Engineering</v>
      </c>
      <c r="O3522" s="6" t="str">
        <f>IFERROR(__xludf.DUMMYFUNCTION("""COMPUTED_VALUE"""),"FIP-DOM-000-11304-OS00001-INA-000000")</f>
        <v>FIP-DOM-000-11304-OS00001-INA-000000</v>
      </c>
      <c r="P3522" s="6" t="str">
        <f>IFERROR(__xludf.DUMMYFUNCTION("""COMPUTED_VALUE"""),"PO Closed")</f>
        <v>PO Closed</v>
      </c>
      <c r="Q3522" s="6" t="str">
        <f>IFERROR(__xludf.DUMMYFUNCTION("""COMPUTED_VALUE"""),"GL2410512")</f>
        <v>GL2410512</v>
      </c>
      <c r="R3522" s="57">
        <f>IFERROR(__xludf.DUMMYFUNCTION("""COMPUTED_VALUE"""),45559.0)</f>
        <v>45559</v>
      </c>
      <c r="S3522" s="57">
        <f>IFERROR(__xludf.DUMMYFUNCTION("""COMPUTED_VALUE"""),45559.0)</f>
        <v>45559</v>
      </c>
      <c r="T3522" s="57">
        <f>IFERROR(__xludf.DUMMYFUNCTION("""COMPUTED_VALUE"""),45590.0)</f>
        <v>45590</v>
      </c>
    </row>
    <row r="3523">
      <c r="A3523" s="6" t="str">
        <f>IFERROR(__xludf.DUMMYFUNCTION("""COMPUTED_VALUE"""),"121701861-3")</f>
        <v>121701861-3</v>
      </c>
      <c r="B3523" s="6" t="str">
        <f>IFERROR(__xludf.DUMMYFUNCTION("""COMPUTED_VALUE"""),"121701861 - APPROVED")</f>
        <v>121701861 - APPROVED</v>
      </c>
      <c r="C3523" s="6">
        <f>IFERROR(__xludf.DUMMYFUNCTION("""COMPUTED_VALUE"""),3.0)</f>
        <v>3</v>
      </c>
      <c r="D3523" s="6" t="str">
        <f>IFERROR(__xludf.DUMMYFUNCTION("""COMPUTED_VALUE"""),"O-54014-00")</f>
        <v>O-54014-00</v>
      </c>
      <c r="E3523" s="6" t="str">
        <f>IFERROR(__xludf.DUMMYFUNCTION("""COMPUTED_VALUE"""),"STEKER 1 PHASE, BROCO")</f>
        <v>STEKER 1 PHASE, BROCO</v>
      </c>
      <c r="F3523" s="6">
        <f>IFERROR(__xludf.DUMMYFUNCTION("""COMPUTED_VALUE"""),10.0)</f>
        <v>10</v>
      </c>
      <c r="G3523" s="6" t="str">
        <f>IFERROR(__xludf.DUMMYFUNCTION("""COMPUTED_VALUE"""),"Pieces")</f>
        <v>Pieces</v>
      </c>
      <c r="H3523" s="6" t="str">
        <f>IFERROR(__xludf.DUMMYFUNCTION("""COMPUTED_VALUE"""),"IDR")</f>
        <v>IDR</v>
      </c>
      <c r="I3523" s="6">
        <f>IFERROR(__xludf.DUMMYFUNCTION("""COMPUTED_VALUE"""),11500.0)</f>
        <v>11500</v>
      </c>
      <c r="J3523" s="6">
        <f>IFERROR(__xludf.DUMMYFUNCTION("""COMPUTED_VALUE"""),115000.0)</f>
        <v>115000</v>
      </c>
      <c r="K3523" s="57">
        <f>IFERROR(__xludf.DUMMYFUNCTION("""COMPUTED_VALUE"""),45561.0)</f>
        <v>45561</v>
      </c>
      <c r="L3523" s="6" t="str">
        <f>IFERROR(__xludf.DUMMYFUNCTION("""COMPUTED_VALUE"""),"FIP Engineering")</f>
        <v>FIP Engineering</v>
      </c>
      <c r="M3523" s="6" t="str">
        <f>IFERROR(__xludf.DUMMYFUNCTION("""COMPUTED_VALUE"""),"Mochammad Fadhillah Hakim,")</f>
        <v>Mochammad Fadhillah Hakim,</v>
      </c>
      <c r="N3523" s="6" t="str">
        <f>IFERROR(__xludf.DUMMYFUNCTION("""COMPUTED_VALUE"""),"FIP Engineering")</f>
        <v>FIP Engineering</v>
      </c>
      <c r="O3523" s="6" t="str">
        <f>IFERROR(__xludf.DUMMYFUNCTION("""COMPUTED_VALUE"""),"FIP-DOM-000-11304-OS00001-INA-000000")</f>
        <v>FIP-DOM-000-11304-OS00001-INA-000000</v>
      </c>
      <c r="P3523" s="6" t="str">
        <f>IFERROR(__xludf.DUMMYFUNCTION("""COMPUTED_VALUE"""),"PO Closed")</f>
        <v>PO Closed</v>
      </c>
      <c r="Q3523" s="6" t="str">
        <f>IFERROR(__xludf.DUMMYFUNCTION("""COMPUTED_VALUE"""),"GL2410512")</f>
        <v>GL2410512</v>
      </c>
      <c r="R3523" s="57">
        <f>IFERROR(__xludf.DUMMYFUNCTION("""COMPUTED_VALUE"""),45559.0)</f>
        <v>45559</v>
      </c>
      <c r="S3523" s="57">
        <f>IFERROR(__xludf.DUMMYFUNCTION("""COMPUTED_VALUE"""),45559.0)</f>
        <v>45559</v>
      </c>
      <c r="T3523" s="57">
        <f>IFERROR(__xludf.DUMMYFUNCTION("""COMPUTED_VALUE"""),45590.0)</f>
        <v>45590</v>
      </c>
    </row>
    <row r="3524">
      <c r="A3524" s="6" t="str">
        <f>IFERROR(__xludf.DUMMYFUNCTION("""COMPUTED_VALUE"""),"121701862-1")</f>
        <v>121701862-1</v>
      </c>
      <c r="B3524" s="6" t="str">
        <f>IFERROR(__xludf.DUMMYFUNCTION("""COMPUTED_VALUE"""),"121701862 - APPROVED")</f>
        <v>121701862 - APPROVED</v>
      </c>
      <c r="C3524" s="6">
        <f>IFERROR(__xludf.DUMMYFUNCTION("""COMPUTED_VALUE"""),1.0)</f>
        <v>1</v>
      </c>
      <c r="D3524" s="6" t="str">
        <f>IFERROR(__xludf.DUMMYFUNCTION("""COMPUTED_VALUE"""),"Q-10656-00")</f>
        <v>Q-10656-00</v>
      </c>
      <c r="E3524" s="6" t="str">
        <f>IFERROR(__xludf.DUMMYFUNCTION("""COMPUTED_VALUE"""),"Kuas Cat Uk. 5 inch;Eterna;Tipe 633;pack size per pcs")</f>
        <v>Kuas Cat Uk. 5 inch;Eterna;Tipe 633;pack size per pcs</v>
      </c>
      <c r="F3524" s="6">
        <f>IFERROR(__xludf.DUMMYFUNCTION("""COMPUTED_VALUE"""),4.0)</f>
        <v>4</v>
      </c>
      <c r="G3524" s="6" t="str">
        <f>IFERROR(__xludf.DUMMYFUNCTION("""COMPUTED_VALUE"""),"Pieces")</f>
        <v>Pieces</v>
      </c>
      <c r="H3524" s="6" t="str">
        <f>IFERROR(__xludf.DUMMYFUNCTION("""COMPUTED_VALUE"""),"IDR")</f>
        <v>IDR</v>
      </c>
      <c r="I3524" s="6">
        <f>IFERROR(__xludf.DUMMYFUNCTION("""COMPUTED_VALUE"""),18500.0)</f>
        <v>18500</v>
      </c>
      <c r="J3524" s="6">
        <f>IFERROR(__xludf.DUMMYFUNCTION("""COMPUTED_VALUE"""),74000.0)</f>
        <v>74000</v>
      </c>
      <c r="K3524" s="57">
        <f>IFERROR(__xludf.DUMMYFUNCTION("""COMPUTED_VALUE"""),45561.0)</f>
        <v>45561</v>
      </c>
      <c r="L3524" s="6" t="str">
        <f>IFERROR(__xludf.DUMMYFUNCTION("""COMPUTED_VALUE"""),"FIP Engineering")</f>
        <v>FIP Engineering</v>
      </c>
      <c r="M3524" s="6" t="str">
        <f>IFERROR(__xludf.DUMMYFUNCTION("""COMPUTED_VALUE"""),"Mochammad Fadhillah Hakim,")</f>
        <v>Mochammad Fadhillah Hakim,</v>
      </c>
      <c r="N3524" s="6" t="str">
        <f>IFERROR(__xludf.DUMMYFUNCTION("""COMPUTED_VALUE"""),"FIP Engineering")</f>
        <v>FIP Engineering</v>
      </c>
      <c r="O3524" s="6" t="str">
        <f>IFERROR(__xludf.DUMMYFUNCTION("""COMPUTED_VALUE"""),"FIP-DOM-000-11304-OS00001-INA-000000")</f>
        <v>FIP-DOM-000-11304-OS00001-INA-000000</v>
      </c>
      <c r="P3524" s="6" t="str">
        <f>IFERROR(__xludf.DUMMYFUNCTION("""COMPUTED_VALUE"""),"PO Closed")</f>
        <v>PO Closed</v>
      </c>
      <c r="Q3524" s="6" t="str">
        <f>IFERROR(__xludf.DUMMYFUNCTION("""COMPUTED_VALUE"""),"GL2410022")</f>
        <v>GL2410022</v>
      </c>
      <c r="R3524" s="57">
        <f>IFERROR(__xludf.DUMMYFUNCTION("""COMPUTED_VALUE"""),45559.0)</f>
        <v>45559</v>
      </c>
      <c r="S3524" s="57">
        <f>IFERROR(__xludf.DUMMYFUNCTION("""COMPUTED_VALUE"""),45568.0)</f>
        <v>45568</v>
      </c>
      <c r="T3524" s="57">
        <f>IFERROR(__xludf.DUMMYFUNCTION("""COMPUTED_VALUE"""),45596.0)</f>
        <v>45596</v>
      </c>
    </row>
    <row r="3525">
      <c r="A3525" s="6" t="str">
        <f>IFERROR(__xludf.DUMMYFUNCTION("""COMPUTED_VALUE"""),"121701862-2")</f>
        <v>121701862-2</v>
      </c>
      <c r="B3525" s="6" t="str">
        <f>IFERROR(__xludf.DUMMYFUNCTION("""COMPUTED_VALUE"""),"121701862 - APPROVED")</f>
        <v>121701862 - APPROVED</v>
      </c>
      <c r="C3525" s="6">
        <f>IFERROR(__xludf.DUMMYFUNCTION("""COMPUTED_VALUE"""),2.0)</f>
        <v>2</v>
      </c>
      <c r="D3525" s="6" t="str">
        <f>IFERROR(__xludf.DUMMYFUNCTION("""COMPUTED_VALUE"""),"Q-10153-00")</f>
        <v>Q-10153-00</v>
      </c>
      <c r="E3525" s="6" t="str">
        <f>IFERROR(__xludf.DUMMYFUNCTION("""COMPUTED_VALUE"""),"Roller cat 110mm")</f>
        <v>Roller cat 110mm</v>
      </c>
      <c r="F3525" s="6">
        <f>IFERROR(__xludf.DUMMYFUNCTION("""COMPUTED_VALUE"""),10.0)</f>
        <v>10</v>
      </c>
      <c r="G3525" s="6" t="str">
        <f>IFERROR(__xludf.DUMMYFUNCTION("""COMPUTED_VALUE"""),"Pieces")</f>
        <v>Pieces</v>
      </c>
      <c r="H3525" s="6" t="str">
        <f>IFERROR(__xludf.DUMMYFUNCTION("""COMPUTED_VALUE"""),"IDR")</f>
        <v>IDR</v>
      </c>
      <c r="I3525" s="6">
        <f>IFERROR(__xludf.DUMMYFUNCTION("""COMPUTED_VALUE"""),27000.0)</f>
        <v>27000</v>
      </c>
      <c r="J3525" s="6">
        <f>IFERROR(__xludf.DUMMYFUNCTION("""COMPUTED_VALUE"""),270000.0)</f>
        <v>270000</v>
      </c>
      <c r="K3525" s="57">
        <f>IFERROR(__xludf.DUMMYFUNCTION("""COMPUTED_VALUE"""),45562.0)</f>
        <v>45562</v>
      </c>
      <c r="L3525" s="6" t="str">
        <f>IFERROR(__xludf.DUMMYFUNCTION("""COMPUTED_VALUE"""),"FIP Engineering")</f>
        <v>FIP Engineering</v>
      </c>
      <c r="M3525" s="6" t="str">
        <f>IFERROR(__xludf.DUMMYFUNCTION("""COMPUTED_VALUE"""),"Mochammad Fadhillah Hakim,")</f>
        <v>Mochammad Fadhillah Hakim,</v>
      </c>
      <c r="N3525" s="6" t="str">
        <f>IFERROR(__xludf.DUMMYFUNCTION("""COMPUTED_VALUE"""),"FIP Engineering")</f>
        <v>FIP Engineering</v>
      </c>
      <c r="O3525" s="6" t="str">
        <f>IFERROR(__xludf.DUMMYFUNCTION("""COMPUTED_VALUE"""),"FIP-DOM-000-11304-OS00001-INA-000000")</f>
        <v>FIP-DOM-000-11304-OS00001-INA-000000</v>
      </c>
      <c r="P3525" s="6" t="str">
        <f>IFERROR(__xludf.DUMMYFUNCTION("""COMPUTED_VALUE"""),"PO Closed")</f>
        <v>PO Closed</v>
      </c>
      <c r="Q3525" s="6" t="str">
        <f>IFERROR(__xludf.DUMMYFUNCTION("""COMPUTED_VALUE"""),"GL2410022")</f>
        <v>GL2410022</v>
      </c>
      <c r="R3525" s="57">
        <f>IFERROR(__xludf.DUMMYFUNCTION("""COMPUTED_VALUE"""),45559.0)</f>
        <v>45559</v>
      </c>
      <c r="S3525" s="57">
        <f>IFERROR(__xludf.DUMMYFUNCTION("""COMPUTED_VALUE"""),45568.0)</f>
        <v>45568</v>
      </c>
      <c r="T3525" s="57">
        <f>IFERROR(__xludf.DUMMYFUNCTION("""COMPUTED_VALUE"""),45596.0)</f>
        <v>45596</v>
      </c>
    </row>
    <row r="3526">
      <c r="A3526" s="6" t="str">
        <f>IFERROR(__xludf.DUMMYFUNCTION("""COMPUTED_VALUE"""),"121701882-1")</f>
        <v>121701882-1</v>
      </c>
      <c r="B3526" s="6" t="str">
        <f>IFERROR(__xludf.DUMMYFUNCTION("""COMPUTED_VALUE"""),"121701882 - APPROVED")</f>
        <v>121701882 - APPROVED</v>
      </c>
      <c r="C3526" s="6">
        <f>IFERROR(__xludf.DUMMYFUNCTION("""COMPUTED_VALUE"""),1.0)</f>
        <v>1</v>
      </c>
      <c r="D3526" s="6" t="str">
        <f>IFERROR(__xludf.DUMMYFUNCTION("""COMPUTED_VALUE"""),"S-60050-00")</f>
        <v>S-60050-00</v>
      </c>
      <c r="E3526" s="6" t="str">
        <f>IFERROR(__xludf.DUMMYFUNCTION("""COMPUTED_VALUE"""),"Jasa Perbaikan dan Pemeliharaan Mesin Produksi; ; ;")</f>
        <v>Jasa Perbaikan dan Pemeliharaan Mesin Produksi; ; ;</v>
      </c>
      <c r="F3526" s="6">
        <f>IFERROR(__xludf.DUMMYFUNCTION("""COMPUTED_VALUE"""),1.0)</f>
        <v>1</v>
      </c>
      <c r="G3526" s="6" t="str">
        <f>IFERROR(__xludf.DUMMYFUNCTION("""COMPUTED_VALUE"""),"Pieces")</f>
        <v>Pieces</v>
      </c>
      <c r="H3526" s="6" t="str">
        <f>IFERROR(__xludf.DUMMYFUNCTION("""COMPUTED_VALUE"""),"IDR")</f>
        <v>IDR</v>
      </c>
      <c r="I3526" s="6">
        <f>IFERROR(__xludf.DUMMYFUNCTION("""COMPUTED_VALUE"""),1.23115281E8)</f>
        <v>123115281</v>
      </c>
      <c r="J3526" s="6">
        <f>IFERROR(__xludf.DUMMYFUNCTION("""COMPUTED_VALUE"""),1.23115281E8)</f>
        <v>123115281</v>
      </c>
      <c r="K3526" s="57">
        <f>IFERROR(__xludf.DUMMYFUNCTION("""COMPUTED_VALUE"""),45569.0)</f>
        <v>45569</v>
      </c>
      <c r="L3526" s="6" t="str">
        <f>IFERROR(__xludf.DUMMYFUNCTION("""COMPUTED_VALUE"""),"FIP General")</f>
        <v>FIP General</v>
      </c>
      <c r="M3526" s="6" t="str">
        <f>IFERROR(__xludf.DUMMYFUNCTION("""COMPUTED_VALUE"""),"Mochammad Fadhillah Hakim,")</f>
        <v>Mochammad Fadhillah Hakim,</v>
      </c>
      <c r="N3526" s="6" t="str">
        <f>IFERROR(__xludf.DUMMYFUNCTION("""COMPUTED_VALUE"""),"FIP Engineering")</f>
        <v>FIP Engineering</v>
      </c>
      <c r="O3526" s="6" t="str">
        <f>IFERROR(__xludf.DUMMYFUNCTION("""COMPUTED_VALUE"""),"FIP-DOM-ENG-51504-0000000-INA-000000")</f>
        <v>FIP-DOM-ENG-51504-0000000-INA-000000</v>
      </c>
      <c r="P3526" s="6" t="str">
        <f>IFERROR(__xludf.DUMMYFUNCTION("""COMPUTED_VALUE"""),"PO Closed")</f>
        <v>PO Closed</v>
      </c>
      <c r="Q3526" s="6"/>
      <c r="R3526" s="57">
        <f>IFERROR(__xludf.DUMMYFUNCTION("""COMPUTED_VALUE"""),45567.0)</f>
        <v>45567</v>
      </c>
      <c r="S3526" s="57">
        <f>IFERROR(__xludf.DUMMYFUNCTION("""COMPUTED_VALUE"""),45581.0)</f>
        <v>45581</v>
      </c>
      <c r="T3526" s="6"/>
    </row>
    <row r="3527">
      <c r="A3527" s="6" t="str">
        <f>IFERROR(__xludf.DUMMYFUNCTION("""COMPUTED_VALUE"""),"121701883-1")</f>
        <v>121701883-1</v>
      </c>
      <c r="B3527" s="6" t="str">
        <f>IFERROR(__xludf.DUMMYFUNCTION("""COMPUTED_VALUE"""),"121701883 - APPROVED")</f>
        <v>121701883 - APPROVED</v>
      </c>
      <c r="C3527" s="6">
        <f>IFERROR(__xludf.DUMMYFUNCTION("""COMPUTED_VALUE"""),1.0)</f>
        <v>1</v>
      </c>
      <c r="D3527" s="6" t="str">
        <f>IFERROR(__xludf.DUMMYFUNCTION("""COMPUTED_VALUE"""),"S-60002-00")</f>
        <v>S-60002-00</v>
      </c>
      <c r="E3527" s="6" t="str">
        <f>IFERROR(__xludf.DUMMYFUNCTION("""COMPUTED_VALUE"""),"Jasa Perbaikan dan Pemeliharaan Mesin Utility")</f>
        <v>Jasa Perbaikan dan Pemeliharaan Mesin Utility</v>
      </c>
      <c r="F3527" s="6">
        <f>IFERROR(__xludf.DUMMYFUNCTION("""COMPUTED_VALUE"""),1.0)</f>
        <v>1</v>
      </c>
      <c r="G3527" s="6" t="str">
        <f>IFERROR(__xludf.DUMMYFUNCTION("""COMPUTED_VALUE"""),"Lot")</f>
        <v>Lot</v>
      </c>
      <c r="H3527" s="6" t="str">
        <f>IFERROR(__xludf.DUMMYFUNCTION("""COMPUTED_VALUE"""),"IDR")</f>
        <v>IDR</v>
      </c>
      <c r="I3527" s="6">
        <f>IFERROR(__xludf.DUMMYFUNCTION("""COMPUTED_VALUE"""),9205100.0)</f>
        <v>9205100</v>
      </c>
      <c r="J3527" s="6">
        <f>IFERROR(__xludf.DUMMYFUNCTION("""COMPUTED_VALUE"""),9205100.0)</f>
        <v>9205100</v>
      </c>
      <c r="K3527" s="57">
        <f>IFERROR(__xludf.DUMMYFUNCTION("""COMPUTED_VALUE"""),45569.0)</f>
        <v>45569</v>
      </c>
      <c r="L3527" s="6" t="str">
        <f>IFERROR(__xludf.DUMMYFUNCTION("""COMPUTED_VALUE"""),"FIP General")</f>
        <v>FIP General</v>
      </c>
      <c r="M3527" s="6" t="str">
        <f>IFERROR(__xludf.DUMMYFUNCTION("""COMPUTED_VALUE"""),"Mochammad Fadhillah Hakim,")</f>
        <v>Mochammad Fadhillah Hakim,</v>
      </c>
      <c r="N3527" s="6" t="str">
        <f>IFERROR(__xludf.DUMMYFUNCTION("""COMPUTED_VALUE"""),"FIP Engineering")</f>
        <v>FIP Engineering</v>
      </c>
      <c r="O3527" s="6" t="str">
        <f>IFERROR(__xludf.DUMMYFUNCTION("""COMPUTED_VALUE"""),"FIP-DOM-ENG-51508-0000000-INA-000000")</f>
        <v>FIP-DOM-ENG-51508-0000000-INA-000000</v>
      </c>
      <c r="P3527" s="6" t="str">
        <f>IFERROR(__xludf.DUMMYFUNCTION("""COMPUTED_VALUE"""),"PO Closed")</f>
        <v>PO Closed</v>
      </c>
      <c r="Q3527" s="6" t="str">
        <f>IFERROR(__xludf.DUMMYFUNCTION("""COMPUTED_VALUE"""),"GL2411029")</f>
        <v>GL2411029</v>
      </c>
      <c r="R3527" s="57">
        <f>IFERROR(__xludf.DUMMYFUNCTION("""COMPUTED_VALUE"""),45567.0)</f>
        <v>45567</v>
      </c>
      <c r="S3527" s="57">
        <f>IFERROR(__xludf.DUMMYFUNCTION("""COMPUTED_VALUE"""),45568.0)</f>
        <v>45568</v>
      </c>
      <c r="T3527" s="57">
        <f>IFERROR(__xludf.DUMMYFUNCTION("""COMPUTED_VALUE"""),45646.0)</f>
        <v>45646</v>
      </c>
    </row>
    <row r="3528">
      <c r="A3528" s="6" t="str">
        <f>IFERROR(__xludf.DUMMYFUNCTION("""COMPUTED_VALUE"""),"121701884-1")</f>
        <v>121701884-1</v>
      </c>
      <c r="B3528" s="6" t="str">
        <f>IFERROR(__xludf.DUMMYFUNCTION("""COMPUTED_VALUE"""),"121701884 - APPROVED")</f>
        <v>121701884 - APPROVED</v>
      </c>
      <c r="C3528" s="6">
        <f>IFERROR(__xludf.DUMMYFUNCTION("""COMPUTED_VALUE"""),1.0)</f>
        <v>1</v>
      </c>
      <c r="D3528" s="6" t="str">
        <f>IFERROR(__xludf.DUMMYFUNCTION("""COMPUTED_VALUE"""),"Q-90000-00")</f>
        <v>Q-90000-00</v>
      </c>
      <c r="E3528" s="6" t="str">
        <f>IFERROR(__xludf.DUMMYFUNCTION("""COMPUTED_VALUE"""),"Building Maintenance Pure Expense")</f>
        <v>Building Maintenance Pure Expense</v>
      </c>
      <c r="F3528" s="6">
        <f>IFERROR(__xludf.DUMMYFUNCTION("""COMPUTED_VALUE"""),1.0)</f>
        <v>1</v>
      </c>
      <c r="G3528" s="6" t="str">
        <f>IFERROR(__xludf.DUMMYFUNCTION("""COMPUTED_VALUE"""),"Unit")</f>
        <v>Unit</v>
      </c>
      <c r="H3528" s="6" t="str">
        <f>IFERROR(__xludf.DUMMYFUNCTION("""COMPUTED_VALUE"""),"IDR")</f>
        <v>IDR</v>
      </c>
      <c r="I3528" s="6">
        <f>IFERROR(__xludf.DUMMYFUNCTION("""COMPUTED_VALUE"""),2.295E7)</f>
        <v>22950000</v>
      </c>
      <c r="J3528" s="6">
        <f>IFERROR(__xludf.DUMMYFUNCTION("""COMPUTED_VALUE"""),2.295E7)</f>
        <v>22950000</v>
      </c>
      <c r="K3528" s="57">
        <f>IFERROR(__xludf.DUMMYFUNCTION("""COMPUTED_VALUE"""),45569.0)</f>
        <v>45569</v>
      </c>
      <c r="L3528" s="6" t="str">
        <f>IFERROR(__xludf.DUMMYFUNCTION("""COMPUTED_VALUE"""),"FIP General")</f>
        <v>FIP General</v>
      </c>
      <c r="M3528" s="6" t="str">
        <f>IFERROR(__xludf.DUMMYFUNCTION("""COMPUTED_VALUE"""),"Mochammad Fadhillah Hakim,")</f>
        <v>Mochammad Fadhillah Hakim,</v>
      </c>
      <c r="N3528" s="6" t="str">
        <f>IFERROR(__xludf.DUMMYFUNCTION("""COMPUTED_VALUE"""),"FIP Engineering")</f>
        <v>FIP Engineering</v>
      </c>
      <c r="O3528" s="6" t="str">
        <f>IFERROR(__xludf.DUMMYFUNCTION("""COMPUTED_VALUE"""),"FIP-DOM-ENG-51502-0000000-INA-000000")</f>
        <v>FIP-DOM-ENG-51502-0000000-INA-000000</v>
      </c>
      <c r="P3528" s="6" t="str">
        <f>IFERROR(__xludf.DUMMYFUNCTION("""COMPUTED_VALUE"""),"PO Closed")</f>
        <v>PO Closed</v>
      </c>
      <c r="Q3528" s="6" t="str">
        <f>IFERROR(__xludf.DUMMYFUNCTION("""COMPUTED_VALUE"""),"GL2410028")</f>
        <v>GL2410028</v>
      </c>
      <c r="R3528" s="57">
        <f>IFERROR(__xludf.DUMMYFUNCTION("""COMPUTED_VALUE"""),45567.0)</f>
        <v>45567</v>
      </c>
      <c r="S3528" s="57">
        <f>IFERROR(__xludf.DUMMYFUNCTION("""COMPUTED_VALUE"""),45567.0)</f>
        <v>45567</v>
      </c>
      <c r="T3528" s="57">
        <f>IFERROR(__xludf.DUMMYFUNCTION("""COMPUTED_VALUE"""),45625.0)</f>
        <v>45625</v>
      </c>
    </row>
    <row r="3529">
      <c r="A3529" s="6" t="str">
        <f>IFERROR(__xludf.DUMMYFUNCTION("""COMPUTED_VALUE"""),"121701885-1")</f>
        <v>121701885-1</v>
      </c>
      <c r="B3529" s="6" t="str">
        <f>IFERROR(__xludf.DUMMYFUNCTION("""COMPUTED_VALUE"""),"121701885 - APPROVED")</f>
        <v>121701885 - APPROVED</v>
      </c>
      <c r="C3529" s="6">
        <f>IFERROR(__xludf.DUMMYFUNCTION("""COMPUTED_VALUE"""),1.0)</f>
        <v>1</v>
      </c>
      <c r="D3529" s="6" t="str">
        <f>IFERROR(__xludf.DUMMYFUNCTION("""COMPUTED_VALUE"""),"Q-90000-00")</f>
        <v>Q-90000-00</v>
      </c>
      <c r="E3529" s="6" t="str">
        <f>IFERROR(__xludf.DUMMYFUNCTION("""COMPUTED_VALUE"""),"Building Maintenance Pure Expense")</f>
        <v>Building Maintenance Pure Expense</v>
      </c>
      <c r="F3529" s="6">
        <f>IFERROR(__xludf.DUMMYFUNCTION("""COMPUTED_VALUE"""),1.0)</f>
        <v>1</v>
      </c>
      <c r="G3529" s="6" t="str">
        <f>IFERROR(__xludf.DUMMYFUNCTION("""COMPUTED_VALUE"""),"Unit")</f>
        <v>Unit</v>
      </c>
      <c r="H3529" s="6" t="str">
        <f>IFERROR(__xludf.DUMMYFUNCTION("""COMPUTED_VALUE"""),"IDR")</f>
        <v>IDR</v>
      </c>
      <c r="I3529" s="6">
        <f>IFERROR(__xludf.DUMMYFUNCTION("""COMPUTED_VALUE"""),1425000.0)</f>
        <v>1425000</v>
      </c>
      <c r="J3529" s="6">
        <f>IFERROR(__xludf.DUMMYFUNCTION("""COMPUTED_VALUE"""),1425000.0)</f>
        <v>1425000</v>
      </c>
      <c r="K3529" s="57">
        <f>IFERROR(__xludf.DUMMYFUNCTION("""COMPUTED_VALUE"""),45569.0)</f>
        <v>45569</v>
      </c>
      <c r="L3529" s="6" t="str">
        <f>IFERROR(__xludf.DUMMYFUNCTION("""COMPUTED_VALUE"""),"FIP General")</f>
        <v>FIP General</v>
      </c>
      <c r="M3529" s="6" t="str">
        <f>IFERROR(__xludf.DUMMYFUNCTION("""COMPUTED_VALUE"""),"Mochammad Fadhillah Hakim,")</f>
        <v>Mochammad Fadhillah Hakim,</v>
      </c>
      <c r="N3529" s="6" t="str">
        <f>IFERROR(__xludf.DUMMYFUNCTION("""COMPUTED_VALUE"""),"FIP Engineering")</f>
        <v>FIP Engineering</v>
      </c>
      <c r="O3529" s="6" t="str">
        <f>IFERROR(__xludf.DUMMYFUNCTION("""COMPUTED_VALUE"""),"FIP-DOM-ENG-51502-0000000-INA-000000")</f>
        <v>FIP-DOM-ENG-51502-0000000-INA-000000</v>
      </c>
      <c r="P3529" s="6" t="str">
        <f>IFERROR(__xludf.DUMMYFUNCTION("""COMPUTED_VALUE"""),"PO Closed")</f>
        <v>PO Closed</v>
      </c>
      <c r="Q3529" s="6" t="str">
        <f>IFERROR(__xludf.DUMMYFUNCTION("""COMPUTED_VALUE"""),"GL2410028")</f>
        <v>GL2410028</v>
      </c>
      <c r="R3529" s="57">
        <f>IFERROR(__xludf.DUMMYFUNCTION("""COMPUTED_VALUE"""),45567.0)</f>
        <v>45567</v>
      </c>
      <c r="S3529" s="57">
        <f>IFERROR(__xludf.DUMMYFUNCTION("""COMPUTED_VALUE"""),45567.0)</f>
        <v>45567</v>
      </c>
      <c r="T3529" s="57">
        <f>IFERROR(__xludf.DUMMYFUNCTION("""COMPUTED_VALUE"""),45625.0)</f>
        <v>45625</v>
      </c>
    </row>
    <row r="3530">
      <c r="A3530" s="6" t="str">
        <f>IFERROR(__xludf.DUMMYFUNCTION("""COMPUTED_VALUE"""),"121701886-1")</f>
        <v>121701886-1</v>
      </c>
      <c r="B3530" s="6" t="str">
        <f>IFERROR(__xludf.DUMMYFUNCTION("""COMPUTED_VALUE"""),"121701886 - APPROVED")</f>
        <v>121701886 - APPROVED</v>
      </c>
      <c r="C3530" s="6">
        <f>IFERROR(__xludf.DUMMYFUNCTION("""COMPUTED_VALUE"""),1.0)</f>
        <v>1</v>
      </c>
      <c r="D3530" s="6" t="str">
        <f>IFERROR(__xludf.DUMMYFUNCTION("""COMPUTED_VALUE"""),"Q-90000-00")</f>
        <v>Q-90000-00</v>
      </c>
      <c r="E3530" s="6" t="str">
        <f>IFERROR(__xludf.DUMMYFUNCTION("""COMPUTED_VALUE"""),"Building Maintenance Pure Expense")</f>
        <v>Building Maintenance Pure Expense</v>
      </c>
      <c r="F3530" s="6">
        <f>IFERROR(__xludf.DUMMYFUNCTION("""COMPUTED_VALUE"""),1.0)</f>
        <v>1</v>
      </c>
      <c r="G3530" s="6" t="str">
        <f>IFERROR(__xludf.DUMMYFUNCTION("""COMPUTED_VALUE"""),"Unit")</f>
        <v>Unit</v>
      </c>
      <c r="H3530" s="6" t="str">
        <f>IFERROR(__xludf.DUMMYFUNCTION("""COMPUTED_VALUE"""),"IDR")</f>
        <v>IDR</v>
      </c>
      <c r="I3530" s="6">
        <f>IFERROR(__xludf.DUMMYFUNCTION("""COMPUTED_VALUE"""),5817000.0)</f>
        <v>5817000</v>
      </c>
      <c r="J3530" s="6">
        <f>IFERROR(__xludf.DUMMYFUNCTION("""COMPUTED_VALUE"""),5817000.0)</f>
        <v>5817000</v>
      </c>
      <c r="K3530" s="57">
        <f>IFERROR(__xludf.DUMMYFUNCTION("""COMPUTED_VALUE"""),45569.0)</f>
        <v>45569</v>
      </c>
      <c r="L3530" s="6" t="str">
        <f>IFERROR(__xludf.DUMMYFUNCTION("""COMPUTED_VALUE"""),"FIP General")</f>
        <v>FIP General</v>
      </c>
      <c r="M3530" s="6" t="str">
        <f>IFERROR(__xludf.DUMMYFUNCTION("""COMPUTED_VALUE"""),"Mochammad Fadhillah Hakim,")</f>
        <v>Mochammad Fadhillah Hakim,</v>
      </c>
      <c r="N3530" s="6" t="str">
        <f>IFERROR(__xludf.DUMMYFUNCTION("""COMPUTED_VALUE"""),"FIP Engineering")</f>
        <v>FIP Engineering</v>
      </c>
      <c r="O3530" s="6" t="str">
        <f>IFERROR(__xludf.DUMMYFUNCTION("""COMPUTED_VALUE"""),"FIP-DOM-ENG-51502-0000000-INA-000000")</f>
        <v>FIP-DOM-ENG-51502-0000000-INA-000000</v>
      </c>
      <c r="P3530" s="6" t="str">
        <f>IFERROR(__xludf.DUMMYFUNCTION("""COMPUTED_VALUE"""),"PO Closed")</f>
        <v>PO Closed</v>
      </c>
      <c r="Q3530" s="6" t="str">
        <f>IFERROR(__xludf.DUMMYFUNCTION("""COMPUTED_VALUE"""),"GL2509001")</f>
        <v>GL2509001</v>
      </c>
      <c r="R3530" s="57">
        <f>IFERROR(__xludf.DUMMYFUNCTION("""COMPUTED_VALUE"""),45567.0)</f>
        <v>45567</v>
      </c>
      <c r="S3530" s="57">
        <f>IFERROR(__xludf.DUMMYFUNCTION("""COMPUTED_VALUE"""),45846.0)</f>
        <v>45846</v>
      </c>
      <c r="T3530" s="57">
        <f>IFERROR(__xludf.DUMMYFUNCTION("""COMPUTED_VALUE"""),45930.0)</f>
        <v>45930</v>
      </c>
    </row>
    <row r="3531">
      <c r="A3531" s="6" t="str">
        <f>IFERROR(__xludf.DUMMYFUNCTION("""COMPUTED_VALUE"""),"121701887-1")</f>
        <v>121701887-1</v>
      </c>
      <c r="B3531" s="6" t="str">
        <f>IFERROR(__xludf.DUMMYFUNCTION("""COMPUTED_VALUE"""),"121701887 - APPROVED")</f>
        <v>121701887 - APPROVED</v>
      </c>
      <c r="C3531" s="6">
        <f>IFERROR(__xludf.DUMMYFUNCTION("""COMPUTED_VALUE"""),1.0)</f>
        <v>1</v>
      </c>
      <c r="D3531" s="6" t="str">
        <f>IFERROR(__xludf.DUMMYFUNCTION("""COMPUTED_VALUE"""),"S-60002-00")</f>
        <v>S-60002-00</v>
      </c>
      <c r="E3531" s="6" t="str">
        <f>IFERROR(__xludf.DUMMYFUNCTION("""COMPUTED_VALUE"""),"Jasa Perbaikan dan Pemeliharaan Mesin Utility; ; ; - Perbaikan Engsel Moveable Drawer")</f>
        <v>Jasa Perbaikan dan Pemeliharaan Mesin Utility; ; ; - Perbaikan Engsel Moveable Drawer</v>
      </c>
      <c r="F3531" s="6">
        <f>IFERROR(__xludf.DUMMYFUNCTION("""COMPUTED_VALUE"""),1.0)</f>
        <v>1</v>
      </c>
      <c r="G3531" s="6" t="str">
        <f>IFERROR(__xludf.DUMMYFUNCTION("""COMPUTED_VALUE"""),"Lot")</f>
        <v>Lot</v>
      </c>
      <c r="H3531" s="6" t="str">
        <f>IFERROR(__xludf.DUMMYFUNCTION("""COMPUTED_VALUE"""),"IDR")</f>
        <v>IDR</v>
      </c>
      <c r="I3531" s="6">
        <f>IFERROR(__xludf.DUMMYFUNCTION("""COMPUTED_VALUE"""),2775000.0)</f>
        <v>2775000</v>
      </c>
      <c r="J3531" s="6">
        <f>IFERROR(__xludf.DUMMYFUNCTION("""COMPUTED_VALUE"""),2775000.0)</f>
        <v>2775000</v>
      </c>
      <c r="K3531" s="57">
        <f>IFERROR(__xludf.DUMMYFUNCTION("""COMPUTED_VALUE"""),45569.0)</f>
        <v>45569</v>
      </c>
      <c r="L3531" s="6" t="str">
        <f>IFERROR(__xludf.DUMMYFUNCTION("""COMPUTED_VALUE"""),"FIP General")</f>
        <v>FIP General</v>
      </c>
      <c r="M3531" s="6" t="str">
        <f>IFERROR(__xludf.DUMMYFUNCTION("""COMPUTED_VALUE"""),"Mochammad Fadhillah Hakim,")</f>
        <v>Mochammad Fadhillah Hakim,</v>
      </c>
      <c r="N3531" s="6" t="str">
        <f>IFERROR(__xludf.DUMMYFUNCTION("""COMPUTED_VALUE"""),"FIP Engineering")</f>
        <v>FIP Engineering</v>
      </c>
      <c r="O3531" s="6" t="str">
        <f>IFERROR(__xludf.DUMMYFUNCTION("""COMPUTED_VALUE"""),"FIP-DOM-ENG-51508-0000000-INA-000000")</f>
        <v>FIP-DOM-ENG-51508-0000000-INA-000000</v>
      </c>
      <c r="P3531" s="6" t="str">
        <f>IFERROR(__xludf.DUMMYFUNCTION("""COMPUTED_VALUE"""),"PO Open")</f>
        <v>PO Open</v>
      </c>
      <c r="Q3531" s="6" t="str">
        <f>IFERROR(__xludf.DUMMYFUNCTION("""COMPUTED_VALUE"""),"GL2410019")</f>
        <v>GL2410019</v>
      </c>
      <c r="R3531" s="57">
        <f>IFERROR(__xludf.DUMMYFUNCTION("""COMPUTED_VALUE"""),45567.0)</f>
        <v>45567</v>
      </c>
      <c r="S3531" s="57">
        <f>IFERROR(__xludf.DUMMYFUNCTION("""COMPUTED_VALUE"""),45567.0)</f>
        <v>45567</v>
      </c>
      <c r="T3531" s="6"/>
    </row>
    <row r="3532">
      <c r="A3532" s="6" t="str">
        <f>IFERROR(__xludf.DUMMYFUNCTION("""COMPUTED_VALUE"""),"121701891-1")</f>
        <v>121701891-1</v>
      </c>
      <c r="B3532" s="6" t="str">
        <f>IFERROR(__xludf.DUMMYFUNCTION("""COMPUTED_VALUE"""),"121701891 - APPROVED")</f>
        <v>121701891 - APPROVED</v>
      </c>
      <c r="C3532" s="6">
        <f>IFERROR(__xludf.DUMMYFUNCTION("""COMPUTED_VALUE"""),1.0)</f>
        <v>1</v>
      </c>
      <c r="D3532" s="6" t="str">
        <f>IFERROR(__xludf.DUMMYFUNCTION("""COMPUTED_VALUE"""),"P-18214-00")</f>
        <v>P-18214-00</v>
      </c>
      <c r="E3532" s="6" t="str">
        <f>IFERROR(__xludf.DUMMYFUNCTION("""COMPUTED_VALUE"""),"Part for Isolator - RTP 190 mm; Alpha port 190 mm dia; ; ;")</f>
        <v>Part for Isolator - RTP 190 mm; Alpha port 190 mm dia; ; ;</v>
      </c>
      <c r="F3532" s="6">
        <f>IFERROR(__xludf.DUMMYFUNCTION("""COMPUTED_VALUE"""),2.0)</f>
        <v>2</v>
      </c>
      <c r="G3532" s="6" t="str">
        <f>IFERROR(__xludf.DUMMYFUNCTION("""COMPUTED_VALUE"""),"Unit")</f>
        <v>Unit</v>
      </c>
      <c r="H3532" s="6" t="str">
        <f>IFERROR(__xludf.DUMMYFUNCTION("""COMPUTED_VALUE"""),"IDR")</f>
        <v>IDR</v>
      </c>
      <c r="I3532" s="6">
        <f>IFERROR(__xludf.DUMMYFUNCTION("""COMPUTED_VALUE"""),4400000.0)</f>
        <v>4400000</v>
      </c>
      <c r="J3532" s="6">
        <f>IFERROR(__xludf.DUMMYFUNCTION("""COMPUTED_VALUE"""),8800000.0)</f>
        <v>8800000</v>
      </c>
      <c r="K3532" s="57">
        <f>IFERROR(__xludf.DUMMYFUNCTION("""COMPUTED_VALUE"""),45569.0)</f>
        <v>45569</v>
      </c>
      <c r="L3532" s="6" t="str">
        <f>IFERROR(__xludf.DUMMYFUNCTION("""COMPUTED_VALUE"""),"FIP Engineering")</f>
        <v>FIP Engineering</v>
      </c>
      <c r="M3532" s="6" t="str">
        <f>IFERROR(__xludf.DUMMYFUNCTION("""COMPUTED_VALUE"""),"Mochammad Fadhillah Hakim,")</f>
        <v>Mochammad Fadhillah Hakim,</v>
      </c>
      <c r="N3532" s="6" t="str">
        <f>IFERROR(__xludf.DUMMYFUNCTION("""COMPUTED_VALUE"""),"FIP Engineering")</f>
        <v>FIP Engineering</v>
      </c>
      <c r="O3532" s="6" t="str">
        <f>IFERROR(__xludf.DUMMYFUNCTION("""COMPUTED_VALUE"""),"FIP-DOM-000-11304-OS00001-INA-000000")</f>
        <v>FIP-DOM-000-11304-OS00001-INA-000000</v>
      </c>
      <c r="P3532" s="6" t="str">
        <f>IFERROR(__xludf.DUMMYFUNCTION("""COMPUTED_VALUE"""),"PO Closed")</f>
        <v>PO Closed</v>
      </c>
      <c r="Q3532" s="6" t="str">
        <f>IFERROR(__xludf.DUMMYFUNCTION("""COMPUTED_VALUE"""),"GL2410506")</f>
        <v>GL2410506</v>
      </c>
      <c r="R3532" s="57">
        <f>IFERROR(__xludf.DUMMYFUNCTION("""COMPUTED_VALUE"""),45567.0)</f>
        <v>45567</v>
      </c>
      <c r="S3532" s="57">
        <f>IFERROR(__xludf.DUMMYFUNCTION("""COMPUTED_VALUE"""),45568.0)</f>
        <v>45568</v>
      </c>
      <c r="T3532" s="57">
        <f>IFERROR(__xludf.DUMMYFUNCTION("""COMPUTED_VALUE"""),45590.0)</f>
        <v>45590</v>
      </c>
    </row>
    <row r="3533">
      <c r="A3533" s="6" t="str">
        <f>IFERROR(__xludf.DUMMYFUNCTION("""COMPUTED_VALUE"""),"121701892-1")</f>
        <v>121701892-1</v>
      </c>
      <c r="B3533" s="6" t="str">
        <f>IFERROR(__xludf.DUMMYFUNCTION("""COMPUTED_VALUE"""),"121701892 - APPROVED")</f>
        <v>121701892 - APPROVED</v>
      </c>
      <c r="C3533" s="6">
        <f>IFERROR(__xludf.DUMMYFUNCTION("""COMPUTED_VALUE"""),1.0)</f>
        <v>1</v>
      </c>
      <c r="D3533" s="6" t="str">
        <f>IFERROR(__xludf.DUMMYFUNCTION("""COMPUTED_VALUE"""),"O-19785-00")</f>
        <v>O-19785-00</v>
      </c>
      <c r="E3533" s="6" t="str">
        <f>IFERROR(__xludf.DUMMYFUNCTION("""COMPUTED_VALUE"""),"Roda Trolley Autoclave Uk. 152,2 x 30 mm; Custom; ;")</f>
        <v>Roda Trolley Autoclave Uk. 152,2 x 30 mm; Custom; ;</v>
      </c>
      <c r="F3533" s="6">
        <f>IFERROR(__xludf.DUMMYFUNCTION("""COMPUTED_VALUE"""),2.0)</f>
        <v>2</v>
      </c>
      <c r="G3533" s="6" t="str">
        <f>IFERROR(__xludf.DUMMYFUNCTION("""COMPUTED_VALUE"""),"Pieces")</f>
        <v>Pieces</v>
      </c>
      <c r="H3533" s="6" t="str">
        <f>IFERROR(__xludf.DUMMYFUNCTION("""COMPUTED_VALUE"""),"IDR")</f>
        <v>IDR</v>
      </c>
      <c r="I3533" s="6">
        <f>IFERROR(__xludf.DUMMYFUNCTION("""COMPUTED_VALUE"""),2785000.0)</f>
        <v>2785000</v>
      </c>
      <c r="J3533" s="6">
        <f>IFERROR(__xludf.DUMMYFUNCTION("""COMPUTED_VALUE"""),5570000.0)</f>
        <v>5570000</v>
      </c>
      <c r="K3533" s="57">
        <f>IFERROR(__xludf.DUMMYFUNCTION("""COMPUTED_VALUE"""),45569.0)</f>
        <v>45569</v>
      </c>
      <c r="L3533" s="6" t="str">
        <f>IFERROR(__xludf.DUMMYFUNCTION("""COMPUTED_VALUE"""),"FIP Engineering")</f>
        <v>FIP Engineering</v>
      </c>
      <c r="M3533" s="6" t="str">
        <f>IFERROR(__xludf.DUMMYFUNCTION("""COMPUTED_VALUE"""),"Mochammad Fadhillah Hakim,")</f>
        <v>Mochammad Fadhillah Hakim,</v>
      </c>
      <c r="N3533" s="6" t="str">
        <f>IFERROR(__xludf.DUMMYFUNCTION("""COMPUTED_VALUE"""),"FIP Engineering")</f>
        <v>FIP Engineering</v>
      </c>
      <c r="O3533" s="6" t="str">
        <f>IFERROR(__xludf.DUMMYFUNCTION("""COMPUTED_VALUE"""),"FIP-DOM-000-11304-OS00001-INA-000000")</f>
        <v>FIP-DOM-000-11304-OS00001-INA-000000</v>
      </c>
      <c r="P3533" s="6" t="str">
        <f>IFERROR(__xludf.DUMMYFUNCTION("""COMPUTED_VALUE"""),"PO Closed")</f>
        <v>PO Closed</v>
      </c>
      <c r="Q3533" s="6" t="str">
        <f>IFERROR(__xludf.DUMMYFUNCTION("""COMPUTED_VALUE"""),"GL2410042")</f>
        <v>GL2410042</v>
      </c>
      <c r="R3533" s="57">
        <f>IFERROR(__xludf.DUMMYFUNCTION("""COMPUTED_VALUE"""),45567.0)</f>
        <v>45567</v>
      </c>
      <c r="S3533" s="57">
        <f>IFERROR(__xludf.DUMMYFUNCTION("""COMPUTED_VALUE"""),45568.0)</f>
        <v>45568</v>
      </c>
      <c r="T3533" s="57">
        <f>IFERROR(__xludf.DUMMYFUNCTION("""COMPUTED_VALUE"""),45612.0)</f>
        <v>45612</v>
      </c>
    </row>
    <row r="3534">
      <c r="A3534" s="6" t="str">
        <f>IFERROR(__xludf.DUMMYFUNCTION("""COMPUTED_VALUE"""),"121701893-1")</f>
        <v>121701893-1</v>
      </c>
      <c r="B3534" s="6" t="str">
        <f>IFERROR(__xludf.DUMMYFUNCTION("""COMPUTED_VALUE"""),"121701893 - APPROVED")</f>
        <v>121701893 - APPROVED</v>
      </c>
      <c r="C3534" s="6">
        <f>IFERROR(__xludf.DUMMYFUNCTION("""COMPUTED_VALUE"""),1.0)</f>
        <v>1</v>
      </c>
      <c r="D3534" s="6" t="str">
        <f>IFERROR(__xludf.DUMMYFUNCTION("""COMPUTED_VALUE"""),"P-11968-00")</f>
        <v>P-11968-00</v>
      </c>
      <c r="E3534" s="6" t="str">
        <f>IFERROR(__xludf.DUMMYFUNCTION("""COMPUTED_VALUE"""),"Berusynt FGH Spray H1 - Bechem")</f>
        <v>Berusynt FGH Spray H1 - Bechem</v>
      </c>
      <c r="F3534" s="6">
        <f>IFERROR(__xludf.DUMMYFUNCTION("""COMPUTED_VALUE"""),4.0)</f>
        <v>4</v>
      </c>
      <c r="G3534" s="6" t="str">
        <f>IFERROR(__xludf.DUMMYFUNCTION("""COMPUTED_VALUE"""),"Pieces")</f>
        <v>Pieces</v>
      </c>
      <c r="H3534" s="6" t="str">
        <f>IFERROR(__xludf.DUMMYFUNCTION("""COMPUTED_VALUE"""),"IDR")</f>
        <v>IDR</v>
      </c>
      <c r="I3534" s="6">
        <f>IFERROR(__xludf.DUMMYFUNCTION("""COMPUTED_VALUE"""),380000.0)</f>
        <v>380000</v>
      </c>
      <c r="J3534" s="6">
        <f>IFERROR(__xludf.DUMMYFUNCTION("""COMPUTED_VALUE"""),1520000.0)</f>
        <v>1520000</v>
      </c>
      <c r="K3534" s="57">
        <f>IFERROR(__xludf.DUMMYFUNCTION("""COMPUTED_VALUE"""),45569.0)</f>
        <v>45569</v>
      </c>
      <c r="L3534" s="6" t="str">
        <f>IFERROR(__xludf.DUMMYFUNCTION("""COMPUTED_VALUE"""),"FIP Engineering")</f>
        <v>FIP Engineering</v>
      </c>
      <c r="M3534" s="6" t="str">
        <f>IFERROR(__xludf.DUMMYFUNCTION("""COMPUTED_VALUE"""),"Mochammad Fadhillah Hakim,")</f>
        <v>Mochammad Fadhillah Hakim,</v>
      </c>
      <c r="N3534" s="6" t="str">
        <f>IFERROR(__xludf.DUMMYFUNCTION("""COMPUTED_VALUE"""),"FIP Engineering")</f>
        <v>FIP Engineering</v>
      </c>
      <c r="O3534" s="6" t="str">
        <f>IFERROR(__xludf.DUMMYFUNCTION("""COMPUTED_VALUE"""),"FIP-DOM-000-11304-OS00001-INA-000000")</f>
        <v>FIP-DOM-000-11304-OS00001-INA-000000</v>
      </c>
      <c r="P3534" s="6" t="str">
        <f>IFERROR(__xludf.DUMMYFUNCTION("""COMPUTED_VALUE"""),"PO Closed")</f>
        <v>PO Closed</v>
      </c>
      <c r="Q3534" s="6" t="str">
        <f>IFERROR(__xludf.DUMMYFUNCTION("""COMPUTED_VALUE"""),"GL2410017")</f>
        <v>GL2410017</v>
      </c>
      <c r="R3534" s="57">
        <f>IFERROR(__xludf.DUMMYFUNCTION("""COMPUTED_VALUE"""),45567.0)</f>
        <v>45567</v>
      </c>
      <c r="S3534" s="57">
        <f>IFERROR(__xludf.DUMMYFUNCTION("""COMPUTED_VALUE"""),45568.0)</f>
        <v>45568</v>
      </c>
      <c r="T3534" s="57">
        <f>IFERROR(__xludf.DUMMYFUNCTION("""COMPUTED_VALUE"""),45644.0)</f>
        <v>45644</v>
      </c>
    </row>
    <row r="3535">
      <c r="A3535" s="6" t="str">
        <f>IFERROR(__xludf.DUMMYFUNCTION("""COMPUTED_VALUE"""),"121701894-1")</f>
        <v>121701894-1</v>
      </c>
      <c r="B3535" s="6" t="str">
        <f>IFERROR(__xludf.DUMMYFUNCTION("""COMPUTED_VALUE"""),"121701894 - APPROVED")</f>
        <v>121701894 - APPROVED</v>
      </c>
      <c r="C3535" s="6">
        <f>IFERROR(__xludf.DUMMYFUNCTION("""COMPUTED_VALUE"""),1.0)</f>
        <v>1</v>
      </c>
      <c r="D3535" s="6" t="str">
        <f>IFERROR(__xludf.DUMMYFUNCTION("""COMPUTED_VALUE"""),"S-60050-00")</f>
        <v>S-60050-00</v>
      </c>
      <c r="E3535" s="6" t="str">
        <f>IFERROR(__xludf.DUMMYFUNCTION("""COMPUTED_VALUE"""),"Jasa Perbaikan dan Pemeliharaan Mesin Produksi; ; ;")</f>
        <v>Jasa Perbaikan dan Pemeliharaan Mesin Produksi; ; ;</v>
      </c>
      <c r="F3535" s="6">
        <f>IFERROR(__xludf.DUMMYFUNCTION("""COMPUTED_VALUE"""),1.0)</f>
        <v>1</v>
      </c>
      <c r="G3535" s="6" t="str">
        <f>IFERROR(__xludf.DUMMYFUNCTION("""COMPUTED_VALUE"""),"Pieces")</f>
        <v>Pieces</v>
      </c>
      <c r="H3535" s="6" t="str">
        <f>IFERROR(__xludf.DUMMYFUNCTION("""COMPUTED_VALUE"""),"IDR")</f>
        <v>IDR</v>
      </c>
      <c r="I3535" s="6">
        <f>IFERROR(__xludf.DUMMYFUNCTION("""COMPUTED_VALUE"""),7881000.0)</f>
        <v>7881000</v>
      </c>
      <c r="J3535" s="6">
        <f>IFERROR(__xludf.DUMMYFUNCTION("""COMPUTED_VALUE"""),7881000.0)</f>
        <v>7881000</v>
      </c>
      <c r="K3535" s="57">
        <f>IFERROR(__xludf.DUMMYFUNCTION("""COMPUTED_VALUE"""),45569.0)</f>
        <v>45569</v>
      </c>
      <c r="L3535" s="6" t="str">
        <f>IFERROR(__xludf.DUMMYFUNCTION("""COMPUTED_VALUE"""),"FIP General")</f>
        <v>FIP General</v>
      </c>
      <c r="M3535" s="6" t="str">
        <f>IFERROR(__xludf.DUMMYFUNCTION("""COMPUTED_VALUE"""),"Mochammad Fadhillah Hakim,")</f>
        <v>Mochammad Fadhillah Hakim,</v>
      </c>
      <c r="N3535" s="6" t="str">
        <f>IFERROR(__xludf.DUMMYFUNCTION("""COMPUTED_VALUE"""),"FIP Engineering")</f>
        <v>FIP Engineering</v>
      </c>
      <c r="O3535" s="6" t="str">
        <f>IFERROR(__xludf.DUMMYFUNCTION("""COMPUTED_VALUE"""),"FIP-DOM-ENG-51504-0000000-INA-000000")</f>
        <v>FIP-DOM-ENG-51504-0000000-INA-000000</v>
      </c>
      <c r="P3535" s="6" t="str">
        <f>IFERROR(__xludf.DUMMYFUNCTION("""COMPUTED_VALUE"""),"PO Closed")</f>
        <v>PO Closed</v>
      </c>
      <c r="Q3535" s="6" t="str">
        <f>IFERROR(__xludf.DUMMYFUNCTION("""COMPUTED_VALUE"""),"GL2410076")</f>
        <v>GL2410076</v>
      </c>
      <c r="R3535" s="57">
        <f>IFERROR(__xludf.DUMMYFUNCTION("""COMPUTED_VALUE"""),45567.0)</f>
        <v>45567</v>
      </c>
      <c r="S3535" s="57">
        <f>IFERROR(__xludf.DUMMYFUNCTION("""COMPUTED_VALUE"""),45568.0)</f>
        <v>45568</v>
      </c>
      <c r="T3535" s="57">
        <f>IFERROR(__xludf.DUMMYFUNCTION("""COMPUTED_VALUE"""),45618.0)</f>
        <v>45618</v>
      </c>
    </row>
    <row r="3536">
      <c r="A3536" s="6" t="str">
        <f>IFERROR(__xludf.DUMMYFUNCTION("""COMPUTED_VALUE"""),"121701904-1")</f>
        <v>121701904-1</v>
      </c>
      <c r="B3536" s="6" t="str">
        <f>IFERROR(__xludf.DUMMYFUNCTION("""COMPUTED_VALUE"""),"121701904 - APPROVED")</f>
        <v>121701904 - APPROVED</v>
      </c>
      <c r="C3536" s="6">
        <f>IFERROR(__xludf.DUMMYFUNCTION("""COMPUTED_VALUE"""),1.0)</f>
        <v>1</v>
      </c>
      <c r="D3536" s="6" t="str">
        <f>IFERROR(__xludf.DUMMYFUNCTION("""COMPUTED_VALUE"""),"S-62003-00")</f>
        <v>S-62003-00</v>
      </c>
      <c r="E3536" s="6" t="str">
        <f>IFERROR(__xludf.DUMMYFUNCTION("""COMPUTED_VALUE"""),"Gas Liquid Nitrogen (LIN) - PGS; 120 M3; Refill; 14.7 Bar; Purity ? 99.999%")</f>
        <v>Gas Liquid Nitrogen (LIN) - PGS; 120 M3; Refill; 14.7 Bar; Purity ? 99.999%</v>
      </c>
      <c r="F3536" s="6">
        <f>IFERROR(__xludf.DUMMYFUNCTION("""COMPUTED_VALUE"""),1.0)</f>
        <v>1</v>
      </c>
      <c r="G3536" s="6" t="str">
        <f>IFERROR(__xludf.DUMMYFUNCTION("""COMPUTED_VALUE"""),"Tube")</f>
        <v>Tube</v>
      </c>
      <c r="H3536" s="6" t="str">
        <f>IFERROR(__xludf.DUMMYFUNCTION("""COMPUTED_VALUE"""),"IDR")</f>
        <v>IDR</v>
      </c>
      <c r="I3536" s="6">
        <f>IFERROR(__xludf.DUMMYFUNCTION("""COMPUTED_VALUE"""),790000.0)</f>
        <v>790000</v>
      </c>
      <c r="J3536" s="6">
        <f>IFERROR(__xludf.DUMMYFUNCTION("""COMPUTED_VALUE"""),790000.0)</f>
        <v>790000</v>
      </c>
      <c r="K3536" s="57">
        <f>IFERROR(__xludf.DUMMYFUNCTION("""COMPUTED_VALUE"""),45571.0)</f>
        <v>45571</v>
      </c>
      <c r="L3536" s="6" t="str">
        <f>IFERROR(__xludf.DUMMYFUNCTION("""COMPUTED_VALUE"""),"FIP General")</f>
        <v>FIP General</v>
      </c>
      <c r="M3536" s="6" t="str">
        <f>IFERROR(__xludf.DUMMYFUNCTION("""COMPUTED_VALUE"""),"Mochammad Fadhillah Hakim,")</f>
        <v>Mochammad Fadhillah Hakim,</v>
      </c>
      <c r="N3536" s="6" t="str">
        <f>IFERROR(__xludf.DUMMYFUNCTION("""COMPUTED_VALUE"""),"FIP Engineering")</f>
        <v>FIP Engineering</v>
      </c>
      <c r="O3536" s="6" t="str">
        <f>IFERROR(__xludf.DUMMYFUNCTION("""COMPUTED_VALUE"""),"FIP-DOM-ENG-51409-0000000-INA-000000")</f>
        <v>FIP-DOM-ENG-51409-0000000-INA-000000</v>
      </c>
      <c r="P3536" s="6" t="str">
        <f>IFERROR(__xludf.DUMMYFUNCTION("""COMPUTED_VALUE"""),"PO Closed")</f>
        <v>PO Closed</v>
      </c>
      <c r="Q3536" s="6" t="str">
        <f>IFERROR(__xludf.DUMMYFUNCTION("""COMPUTED_VALUE"""),"GL2410445")</f>
        <v>GL2410445</v>
      </c>
      <c r="R3536" s="57">
        <f>IFERROR(__xludf.DUMMYFUNCTION("""COMPUTED_VALUE"""),45569.0)</f>
        <v>45569</v>
      </c>
      <c r="S3536" s="57">
        <f>IFERROR(__xludf.DUMMYFUNCTION("""COMPUTED_VALUE"""),45579.0)</f>
        <v>45579</v>
      </c>
      <c r="T3536" s="57">
        <f>IFERROR(__xludf.DUMMYFUNCTION("""COMPUTED_VALUE"""),45583.0)</f>
        <v>45583</v>
      </c>
    </row>
    <row r="3537">
      <c r="A3537" s="6" t="str">
        <f>IFERROR(__xludf.DUMMYFUNCTION("""COMPUTED_VALUE"""),"121701906-1")</f>
        <v>121701906-1</v>
      </c>
      <c r="B3537" s="6" t="str">
        <f>IFERROR(__xludf.DUMMYFUNCTION("""COMPUTED_VALUE"""),"121701906 - APPROVED")</f>
        <v>121701906 - APPROVED</v>
      </c>
      <c r="C3537" s="6">
        <f>IFERROR(__xludf.DUMMYFUNCTION("""COMPUTED_VALUE"""),1.0)</f>
        <v>1</v>
      </c>
      <c r="D3537" s="6" t="str">
        <f>IFERROR(__xludf.DUMMYFUNCTION("""COMPUTED_VALUE"""),"S-62003-00")</f>
        <v>S-62003-00</v>
      </c>
      <c r="E3537" s="6" t="str">
        <f>IFERROR(__xludf.DUMMYFUNCTION("""COMPUTED_VALUE"""),"Gas Liquid Nitrogen (LIN) - PGS; 120 M3; Refill; 14.7 Bar; Purity ? 99.999%")</f>
        <v>Gas Liquid Nitrogen (LIN) - PGS; 120 M3; Refill; 14.7 Bar; Purity ? 99.999%</v>
      </c>
      <c r="F3537" s="6">
        <f>IFERROR(__xludf.DUMMYFUNCTION("""COMPUTED_VALUE"""),1.0)</f>
        <v>1</v>
      </c>
      <c r="G3537" s="6" t="str">
        <f>IFERROR(__xludf.DUMMYFUNCTION("""COMPUTED_VALUE"""),"Tube")</f>
        <v>Tube</v>
      </c>
      <c r="H3537" s="6" t="str">
        <f>IFERROR(__xludf.DUMMYFUNCTION("""COMPUTED_VALUE"""),"IDR")</f>
        <v>IDR</v>
      </c>
      <c r="I3537" s="6">
        <f>IFERROR(__xludf.DUMMYFUNCTION("""COMPUTED_VALUE"""),790000.0)</f>
        <v>790000</v>
      </c>
      <c r="J3537" s="6">
        <f>IFERROR(__xludf.DUMMYFUNCTION("""COMPUTED_VALUE"""),790000.0)</f>
        <v>790000</v>
      </c>
      <c r="K3537" s="57">
        <f>IFERROR(__xludf.DUMMYFUNCTION("""COMPUTED_VALUE"""),45574.0)</f>
        <v>45574</v>
      </c>
      <c r="L3537" s="6" t="str">
        <f>IFERROR(__xludf.DUMMYFUNCTION("""COMPUTED_VALUE"""),"FIP General")</f>
        <v>FIP General</v>
      </c>
      <c r="M3537" s="6" t="str">
        <f>IFERROR(__xludf.DUMMYFUNCTION("""COMPUTED_VALUE"""),"Mochammad Fadhillah Hakim,")</f>
        <v>Mochammad Fadhillah Hakim,</v>
      </c>
      <c r="N3537" s="6" t="str">
        <f>IFERROR(__xludf.DUMMYFUNCTION("""COMPUTED_VALUE"""),"FIP Engineering")</f>
        <v>FIP Engineering</v>
      </c>
      <c r="O3537" s="6" t="str">
        <f>IFERROR(__xludf.DUMMYFUNCTION("""COMPUTED_VALUE"""),"FIP-DOM-ENG-51409-0000000-INA-000000")</f>
        <v>FIP-DOM-ENG-51409-0000000-INA-000000</v>
      </c>
      <c r="P3537" s="6" t="str">
        <f>IFERROR(__xludf.DUMMYFUNCTION("""COMPUTED_VALUE"""),"PO Closed")</f>
        <v>PO Closed</v>
      </c>
      <c r="Q3537" s="6" t="str">
        <f>IFERROR(__xludf.DUMMYFUNCTION("""COMPUTED_VALUE"""),"GL2411018")</f>
        <v>GL2411018</v>
      </c>
      <c r="R3537" s="57">
        <f>IFERROR(__xludf.DUMMYFUNCTION("""COMPUTED_VALUE"""),45572.0)</f>
        <v>45572</v>
      </c>
      <c r="S3537" s="57">
        <f>IFERROR(__xludf.DUMMYFUNCTION("""COMPUTED_VALUE"""),45579.0)</f>
        <v>45579</v>
      </c>
      <c r="T3537" s="57">
        <f>IFERROR(__xludf.DUMMYFUNCTION("""COMPUTED_VALUE"""),45611.0)</f>
        <v>45611</v>
      </c>
    </row>
    <row r="3538">
      <c r="A3538" s="6" t="str">
        <f>IFERROR(__xludf.DUMMYFUNCTION("""COMPUTED_VALUE"""),"121701908-1")</f>
        <v>121701908-1</v>
      </c>
      <c r="B3538" s="6" t="str">
        <f>IFERROR(__xludf.DUMMYFUNCTION("""COMPUTED_VALUE"""),"121701908 - APPROVED")</f>
        <v>121701908 - APPROVED</v>
      </c>
      <c r="C3538" s="6">
        <f>IFERROR(__xludf.DUMMYFUNCTION("""COMPUTED_VALUE"""),1.0)</f>
        <v>1</v>
      </c>
      <c r="D3538" s="6" t="str">
        <f>IFERROR(__xludf.DUMMYFUNCTION("""COMPUTED_VALUE"""),"S-60002-00")</f>
        <v>S-60002-00</v>
      </c>
      <c r="E3538" s="6" t="str">
        <f>IFERROR(__xludf.DUMMYFUNCTION("""COMPUTED_VALUE"""),"Jasa Perbaikan dan Pemeliharaan Mesin Utility")</f>
        <v>Jasa Perbaikan dan Pemeliharaan Mesin Utility</v>
      </c>
      <c r="F3538" s="6">
        <f>IFERROR(__xludf.DUMMYFUNCTION("""COMPUTED_VALUE"""),1.0)</f>
        <v>1</v>
      </c>
      <c r="G3538" s="6" t="str">
        <f>IFERROR(__xludf.DUMMYFUNCTION("""COMPUTED_VALUE"""),"Lot")</f>
        <v>Lot</v>
      </c>
      <c r="H3538" s="6" t="str">
        <f>IFERROR(__xludf.DUMMYFUNCTION("""COMPUTED_VALUE"""),"IDR")</f>
        <v>IDR</v>
      </c>
      <c r="I3538" s="6">
        <f>IFERROR(__xludf.DUMMYFUNCTION("""COMPUTED_VALUE"""),8400000.0)</f>
        <v>8400000</v>
      </c>
      <c r="J3538" s="6">
        <f>IFERROR(__xludf.DUMMYFUNCTION("""COMPUTED_VALUE"""),8400000.0)</f>
        <v>8400000</v>
      </c>
      <c r="K3538" s="57">
        <f>IFERROR(__xludf.DUMMYFUNCTION("""COMPUTED_VALUE"""),45574.0)</f>
        <v>45574</v>
      </c>
      <c r="L3538" s="6" t="str">
        <f>IFERROR(__xludf.DUMMYFUNCTION("""COMPUTED_VALUE"""),"FIP General")</f>
        <v>FIP General</v>
      </c>
      <c r="M3538" s="6" t="str">
        <f>IFERROR(__xludf.DUMMYFUNCTION("""COMPUTED_VALUE"""),"Mochammad Fadhillah Hakim,")</f>
        <v>Mochammad Fadhillah Hakim,</v>
      </c>
      <c r="N3538" s="6" t="str">
        <f>IFERROR(__xludf.DUMMYFUNCTION("""COMPUTED_VALUE"""),"FIP Engineering")</f>
        <v>FIP Engineering</v>
      </c>
      <c r="O3538" s="6" t="str">
        <f>IFERROR(__xludf.DUMMYFUNCTION("""COMPUTED_VALUE"""),"FIP-DOM-ENG-51508-0000000-INA-000000")</f>
        <v>FIP-DOM-ENG-51508-0000000-INA-000000</v>
      </c>
      <c r="P3538" s="6" t="str">
        <f>IFERROR(__xludf.DUMMYFUNCTION("""COMPUTED_VALUE"""),"PO Closed")</f>
        <v>PO Closed</v>
      </c>
      <c r="Q3538" s="6" t="str">
        <f>IFERROR(__xludf.DUMMYFUNCTION("""COMPUTED_VALUE"""),"GL2410074")</f>
        <v>GL2410074</v>
      </c>
      <c r="R3538" s="57">
        <f>IFERROR(__xludf.DUMMYFUNCTION("""COMPUTED_VALUE"""),45572.0)</f>
        <v>45572</v>
      </c>
      <c r="S3538" s="57">
        <f>IFERROR(__xludf.DUMMYFUNCTION("""COMPUTED_VALUE"""),45572.0)</f>
        <v>45572</v>
      </c>
      <c r="T3538" s="57">
        <f>IFERROR(__xludf.DUMMYFUNCTION("""COMPUTED_VALUE"""),45625.0)</f>
        <v>45625</v>
      </c>
    </row>
    <row r="3539">
      <c r="A3539" s="6" t="str">
        <f>IFERROR(__xludf.DUMMYFUNCTION("""COMPUTED_VALUE"""),"121701916-1")</f>
        <v>121701916-1</v>
      </c>
      <c r="B3539" s="6" t="str">
        <f>IFERROR(__xludf.DUMMYFUNCTION("""COMPUTED_VALUE"""),"121701916 - APPROVED")</f>
        <v>121701916 - APPROVED</v>
      </c>
      <c r="C3539" s="6">
        <f>IFERROR(__xludf.DUMMYFUNCTION("""COMPUTED_VALUE"""),1.0)</f>
        <v>1</v>
      </c>
      <c r="D3539" s="6" t="str">
        <f>IFERROR(__xludf.DUMMYFUNCTION("""COMPUTED_VALUE"""),"O-19912-00")</f>
        <v>O-19912-00</v>
      </c>
      <c r="E3539" s="6" t="str">
        <f>IFERROR(__xludf.DUMMYFUNCTION("""COMPUTED_VALUE"""),"Pipa N2 Mixing SUS 316 dia 1/2 &amp; 1 inch, uk 248x50 mm; Custom; ;")</f>
        <v>Pipa N2 Mixing SUS 316 dia 1/2 &amp; 1 inch, uk 248x50 mm; Custom; ;</v>
      </c>
      <c r="F3539" s="6">
        <f>IFERROR(__xludf.DUMMYFUNCTION("""COMPUTED_VALUE"""),2.0)</f>
        <v>2</v>
      </c>
      <c r="G3539" s="6" t="str">
        <f>IFERROR(__xludf.DUMMYFUNCTION("""COMPUTED_VALUE"""),"Pieces")</f>
        <v>Pieces</v>
      </c>
      <c r="H3539" s="6" t="str">
        <f>IFERROR(__xludf.DUMMYFUNCTION("""COMPUTED_VALUE"""),"IDR")</f>
        <v>IDR</v>
      </c>
      <c r="I3539" s="6">
        <f>IFERROR(__xludf.DUMMYFUNCTION("""COMPUTED_VALUE"""),2775000.0)</f>
        <v>2775000</v>
      </c>
      <c r="J3539" s="6">
        <f>IFERROR(__xludf.DUMMYFUNCTION("""COMPUTED_VALUE"""),5550000.0)</f>
        <v>5550000</v>
      </c>
      <c r="K3539" s="57">
        <f>IFERROR(__xludf.DUMMYFUNCTION("""COMPUTED_VALUE"""),45575.0)</f>
        <v>45575</v>
      </c>
      <c r="L3539" s="6" t="str">
        <f>IFERROR(__xludf.DUMMYFUNCTION("""COMPUTED_VALUE"""),"FIP Engineering")</f>
        <v>FIP Engineering</v>
      </c>
      <c r="M3539" s="6" t="str">
        <f>IFERROR(__xludf.DUMMYFUNCTION("""COMPUTED_VALUE"""),"Mochammad Fadhillah Hakim,")</f>
        <v>Mochammad Fadhillah Hakim,</v>
      </c>
      <c r="N3539" s="6" t="str">
        <f>IFERROR(__xludf.DUMMYFUNCTION("""COMPUTED_VALUE"""),"FIP Engineering")</f>
        <v>FIP Engineering</v>
      </c>
      <c r="O3539" s="6" t="str">
        <f>IFERROR(__xludf.DUMMYFUNCTION("""COMPUTED_VALUE"""),"FIP-DOM-000-11304-OS00001-INA-000000")</f>
        <v>FIP-DOM-000-11304-OS00001-INA-000000</v>
      </c>
      <c r="P3539" s="6" t="str">
        <f>IFERROR(__xludf.DUMMYFUNCTION("""COMPUTED_VALUE"""),"PO Closed")</f>
        <v>PO Closed</v>
      </c>
      <c r="Q3539" s="6" t="str">
        <f>IFERROR(__xludf.DUMMYFUNCTION("""COMPUTED_VALUE"""),"GL2411005")</f>
        <v>GL2411005</v>
      </c>
      <c r="R3539" s="57">
        <f>IFERROR(__xludf.DUMMYFUNCTION("""COMPUTED_VALUE"""),45573.0)</f>
        <v>45573</v>
      </c>
      <c r="S3539" s="57">
        <f>IFERROR(__xludf.DUMMYFUNCTION("""COMPUTED_VALUE"""),45579.0)</f>
        <v>45579</v>
      </c>
      <c r="T3539" s="57">
        <f>IFERROR(__xludf.DUMMYFUNCTION("""COMPUTED_VALUE"""),45632.0)</f>
        <v>45632</v>
      </c>
    </row>
    <row r="3540">
      <c r="A3540" s="6" t="str">
        <f>IFERROR(__xludf.DUMMYFUNCTION("""COMPUTED_VALUE"""),"121701928-1")</f>
        <v>121701928-1</v>
      </c>
      <c r="B3540" s="6" t="str">
        <f>IFERROR(__xludf.DUMMYFUNCTION("""COMPUTED_VALUE"""),"121701928 - APPROVED")</f>
        <v>121701928 - APPROVED</v>
      </c>
      <c r="C3540" s="6">
        <f>IFERROR(__xludf.DUMMYFUNCTION("""COMPUTED_VALUE"""),1.0)</f>
        <v>1</v>
      </c>
      <c r="D3540" s="6" t="str">
        <f>IFERROR(__xludf.DUMMYFUNCTION("""COMPUTED_VALUE"""),"S-60002-00")</f>
        <v>S-60002-00</v>
      </c>
      <c r="E3540" s="6" t="str">
        <f>IFERROR(__xludf.DUMMYFUNCTION("""COMPUTED_VALUE"""),"Jasa Perbaikan dan Pemeliharaan Mesin Utility")</f>
        <v>Jasa Perbaikan dan Pemeliharaan Mesin Utility</v>
      </c>
      <c r="F3540" s="6">
        <f>IFERROR(__xludf.DUMMYFUNCTION("""COMPUTED_VALUE"""),1.0)</f>
        <v>1</v>
      </c>
      <c r="G3540" s="6" t="str">
        <f>IFERROR(__xludf.DUMMYFUNCTION("""COMPUTED_VALUE"""),"Lot")</f>
        <v>Lot</v>
      </c>
      <c r="H3540" s="6" t="str">
        <f>IFERROR(__xludf.DUMMYFUNCTION("""COMPUTED_VALUE"""),"IDR")</f>
        <v>IDR</v>
      </c>
      <c r="I3540" s="6">
        <f>IFERROR(__xludf.DUMMYFUNCTION("""COMPUTED_VALUE"""),3500000.0)</f>
        <v>3500000</v>
      </c>
      <c r="J3540" s="6">
        <f>IFERROR(__xludf.DUMMYFUNCTION("""COMPUTED_VALUE"""),3500000.0)</f>
        <v>3500000</v>
      </c>
      <c r="K3540" s="57">
        <f>IFERROR(__xludf.DUMMYFUNCTION("""COMPUTED_VALUE"""),45577.0)</f>
        <v>45577</v>
      </c>
      <c r="L3540" s="6" t="str">
        <f>IFERROR(__xludf.DUMMYFUNCTION("""COMPUTED_VALUE"""),"FIP General")</f>
        <v>FIP General</v>
      </c>
      <c r="M3540" s="6" t="str">
        <f>IFERROR(__xludf.DUMMYFUNCTION("""COMPUTED_VALUE"""),"Mochammad Fadhillah Hakim,")</f>
        <v>Mochammad Fadhillah Hakim,</v>
      </c>
      <c r="N3540" s="6" t="str">
        <f>IFERROR(__xludf.DUMMYFUNCTION("""COMPUTED_VALUE"""),"FIP Engineering")</f>
        <v>FIP Engineering</v>
      </c>
      <c r="O3540" s="6" t="str">
        <f>IFERROR(__xludf.DUMMYFUNCTION("""COMPUTED_VALUE"""),"FIP-DOM-ENG-51508-0000000-INA-000000")</f>
        <v>FIP-DOM-ENG-51508-0000000-INA-000000</v>
      </c>
      <c r="P3540" s="6" t="str">
        <f>IFERROR(__xludf.DUMMYFUNCTION("""COMPUTED_VALUE"""),"PO Closed")</f>
        <v>PO Closed</v>
      </c>
      <c r="Q3540" s="6" t="str">
        <f>IFERROR(__xludf.DUMMYFUNCTION("""COMPUTED_VALUE"""),"GL2410074")</f>
        <v>GL2410074</v>
      </c>
      <c r="R3540" s="57">
        <f>IFERROR(__xludf.DUMMYFUNCTION("""COMPUTED_VALUE"""),45575.0)</f>
        <v>45575</v>
      </c>
      <c r="S3540" s="57">
        <f>IFERROR(__xludf.DUMMYFUNCTION("""COMPUTED_VALUE"""),45579.0)</f>
        <v>45579</v>
      </c>
      <c r="T3540" s="57">
        <f>IFERROR(__xludf.DUMMYFUNCTION("""COMPUTED_VALUE"""),45625.0)</f>
        <v>45625</v>
      </c>
    </row>
    <row r="3541">
      <c r="A3541" s="6" t="str">
        <f>IFERROR(__xludf.DUMMYFUNCTION("""COMPUTED_VALUE"""),"121701935-1")</f>
        <v>121701935-1</v>
      </c>
      <c r="B3541" s="6" t="str">
        <f>IFERROR(__xludf.DUMMYFUNCTION("""COMPUTED_VALUE"""),"121701935 - APPROVED")</f>
        <v>121701935 - APPROVED</v>
      </c>
      <c r="C3541" s="6">
        <f>IFERROR(__xludf.DUMMYFUNCTION("""COMPUTED_VALUE"""),1.0)</f>
        <v>1</v>
      </c>
      <c r="D3541" s="6" t="str">
        <f>IFERROR(__xludf.DUMMYFUNCTION("""COMPUTED_VALUE"""),"T-20105-00")</f>
        <v>T-20105-00</v>
      </c>
      <c r="E3541" s="6" t="str">
        <f>IFERROR(__xludf.DUMMYFUNCTION("""COMPUTED_VALUE"""),"900 Resin Bed for TOC Sievers; ; ;")</f>
        <v>900 Resin Bed for TOC Sievers; ; ;</v>
      </c>
      <c r="F3541" s="6">
        <f>IFERROR(__xludf.DUMMYFUNCTION("""COMPUTED_VALUE"""),1.0)</f>
        <v>1</v>
      </c>
      <c r="G3541" s="6" t="str">
        <f>IFERROR(__xludf.DUMMYFUNCTION("""COMPUTED_VALUE"""),"Pieces")</f>
        <v>Pieces</v>
      </c>
      <c r="H3541" s="6" t="str">
        <f>IFERROR(__xludf.DUMMYFUNCTION("""COMPUTED_VALUE"""),"IDR")</f>
        <v>IDR</v>
      </c>
      <c r="I3541" s="6">
        <f>IFERROR(__xludf.DUMMYFUNCTION("""COMPUTED_VALUE"""),1.766E7)</f>
        <v>17660000</v>
      </c>
      <c r="J3541" s="6">
        <f>IFERROR(__xludf.DUMMYFUNCTION("""COMPUTED_VALUE"""),1.766E7)</f>
        <v>17660000</v>
      </c>
      <c r="K3541" s="57">
        <f>IFERROR(__xludf.DUMMYFUNCTION("""COMPUTED_VALUE"""),45581.0)</f>
        <v>45581</v>
      </c>
      <c r="L3541" s="6" t="str">
        <f>IFERROR(__xludf.DUMMYFUNCTION("""COMPUTED_VALUE"""),"FIP General")</f>
        <v>FIP General</v>
      </c>
      <c r="M3541" s="6" t="str">
        <f>IFERROR(__xludf.DUMMYFUNCTION("""COMPUTED_VALUE"""),"Mochammad Fadhillah Hakim,")</f>
        <v>Mochammad Fadhillah Hakim,</v>
      </c>
      <c r="N3541" s="6" t="str">
        <f>IFERROR(__xludf.DUMMYFUNCTION("""COMPUTED_VALUE"""),"FIP Engineering")</f>
        <v>FIP Engineering</v>
      </c>
      <c r="O3541" s="6" t="str">
        <f>IFERROR(__xludf.DUMMYFUNCTION("""COMPUTED_VALUE"""),"FIP-DOM-ENG-51505-0000000-INA-000000")</f>
        <v>FIP-DOM-ENG-51505-0000000-INA-000000</v>
      </c>
      <c r="P3541" s="6" t="str">
        <f>IFERROR(__xludf.DUMMYFUNCTION("""COMPUTED_VALUE"""),"PO Closed")</f>
        <v>PO Closed</v>
      </c>
      <c r="Q3541" s="6" t="str">
        <f>IFERROR(__xludf.DUMMYFUNCTION("""COMPUTED_VALUE"""),"GL2411455")</f>
        <v>GL2411455</v>
      </c>
      <c r="R3541" s="57">
        <f>IFERROR(__xludf.DUMMYFUNCTION("""COMPUTED_VALUE"""),45579.0)</f>
        <v>45579</v>
      </c>
      <c r="S3541" s="57">
        <f>IFERROR(__xludf.DUMMYFUNCTION("""COMPUTED_VALUE"""),45595.0)</f>
        <v>45595</v>
      </c>
      <c r="T3541" s="57">
        <f>IFERROR(__xludf.DUMMYFUNCTION("""COMPUTED_VALUE"""),45618.0)</f>
        <v>45618</v>
      </c>
    </row>
    <row r="3542">
      <c r="A3542" s="6" t="str">
        <f>IFERROR(__xludf.DUMMYFUNCTION("""COMPUTED_VALUE"""),"121701935-2")</f>
        <v>121701935-2</v>
      </c>
      <c r="B3542" s="6" t="str">
        <f>IFERROR(__xludf.DUMMYFUNCTION("""COMPUTED_VALUE"""),"121701935 - APPROVED")</f>
        <v>121701935 - APPROVED</v>
      </c>
      <c r="C3542" s="6">
        <f>IFERROR(__xludf.DUMMYFUNCTION("""COMPUTED_VALUE"""),2.0)</f>
        <v>2</v>
      </c>
      <c r="D3542" s="6" t="str">
        <f>IFERROR(__xludf.DUMMYFUNCTION("""COMPUTED_VALUE"""),"T-20113-00")</f>
        <v>T-20113-00</v>
      </c>
      <c r="E3542" s="6" t="str">
        <f>IFERROR(__xludf.DUMMYFUNCTION("""COMPUTED_VALUE"""),"900 UV lamp; Sievers; P/N CARK35010-01; 1 pc")</f>
        <v>900 UV lamp; Sievers; P/N CARK35010-01; 1 pc</v>
      </c>
      <c r="F3542" s="6">
        <f>IFERROR(__xludf.DUMMYFUNCTION("""COMPUTED_VALUE"""),1.0)</f>
        <v>1</v>
      </c>
      <c r="G3542" s="6" t="str">
        <f>IFERROR(__xludf.DUMMYFUNCTION("""COMPUTED_VALUE"""),"Pieces")</f>
        <v>Pieces</v>
      </c>
      <c r="H3542" s="6" t="str">
        <f>IFERROR(__xludf.DUMMYFUNCTION("""COMPUTED_VALUE"""),"IDR")</f>
        <v>IDR</v>
      </c>
      <c r="I3542" s="6">
        <f>IFERROR(__xludf.DUMMYFUNCTION("""COMPUTED_VALUE"""),1.568E7)</f>
        <v>15680000</v>
      </c>
      <c r="J3542" s="6">
        <f>IFERROR(__xludf.DUMMYFUNCTION("""COMPUTED_VALUE"""),1.568E7)</f>
        <v>15680000</v>
      </c>
      <c r="K3542" s="57">
        <f>IFERROR(__xludf.DUMMYFUNCTION("""COMPUTED_VALUE"""),45581.0)</f>
        <v>45581</v>
      </c>
      <c r="L3542" s="6" t="str">
        <f>IFERROR(__xludf.DUMMYFUNCTION("""COMPUTED_VALUE"""),"FIP General")</f>
        <v>FIP General</v>
      </c>
      <c r="M3542" s="6" t="str">
        <f>IFERROR(__xludf.DUMMYFUNCTION("""COMPUTED_VALUE"""),"Mochammad Fadhillah Hakim,")</f>
        <v>Mochammad Fadhillah Hakim,</v>
      </c>
      <c r="N3542" s="6" t="str">
        <f>IFERROR(__xludf.DUMMYFUNCTION("""COMPUTED_VALUE"""),"FIP Engineering")</f>
        <v>FIP Engineering</v>
      </c>
      <c r="O3542" s="6" t="str">
        <f>IFERROR(__xludf.DUMMYFUNCTION("""COMPUTED_VALUE"""),"FIP-DOM-ENG-51505-0000000-INA-000000")</f>
        <v>FIP-DOM-ENG-51505-0000000-INA-000000</v>
      </c>
      <c r="P3542" s="6" t="str">
        <f>IFERROR(__xludf.DUMMYFUNCTION("""COMPUTED_VALUE"""),"PO Closed")</f>
        <v>PO Closed</v>
      </c>
      <c r="Q3542" s="6" t="str">
        <f>IFERROR(__xludf.DUMMYFUNCTION("""COMPUTED_VALUE"""),"GL2411455")</f>
        <v>GL2411455</v>
      </c>
      <c r="R3542" s="57">
        <f>IFERROR(__xludf.DUMMYFUNCTION("""COMPUTED_VALUE"""),45579.0)</f>
        <v>45579</v>
      </c>
      <c r="S3542" s="57">
        <f>IFERROR(__xludf.DUMMYFUNCTION("""COMPUTED_VALUE"""),45595.0)</f>
        <v>45595</v>
      </c>
      <c r="T3542" s="57">
        <f>IFERROR(__xludf.DUMMYFUNCTION("""COMPUTED_VALUE"""),45618.0)</f>
        <v>45618</v>
      </c>
    </row>
    <row r="3543">
      <c r="A3543" s="6" t="str">
        <f>IFERROR(__xludf.DUMMYFUNCTION("""COMPUTED_VALUE"""),"121701935-3")</f>
        <v>121701935-3</v>
      </c>
      <c r="B3543" s="6" t="str">
        <f>IFERROR(__xludf.DUMMYFUNCTION("""COMPUTED_VALUE"""),"121701935 - APPROVED")</f>
        <v>121701935 - APPROVED</v>
      </c>
      <c r="C3543" s="6">
        <f>IFERROR(__xludf.DUMMYFUNCTION("""COMPUTED_VALUE"""),3.0)</f>
        <v>3</v>
      </c>
      <c r="D3543" s="6" t="str">
        <f>IFERROR(__xludf.DUMMYFUNCTION("""COMPUTED_VALUE"""),"T-20112-00")</f>
        <v>T-20112-00</v>
      </c>
      <c r="E3543" s="6" t="str">
        <f>IFERROR(__xludf.DUMMYFUNCTION("""COMPUTED_VALUE"""),"900 Sample pump tubing; Sievers; P/N CATU 96200; 1 pc")</f>
        <v>900 Sample pump tubing; Sievers; P/N CATU 96200; 1 pc</v>
      </c>
      <c r="F3543" s="6">
        <f>IFERROR(__xludf.DUMMYFUNCTION("""COMPUTED_VALUE"""),1.0)</f>
        <v>1</v>
      </c>
      <c r="G3543" s="6" t="str">
        <f>IFERROR(__xludf.DUMMYFUNCTION("""COMPUTED_VALUE"""),"Pieces")</f>
        <v>Pieces</v>
      </c>
      <c r="H3543" s="6" t="str">
        <f>IFERROR(__xludf.DUMMYFUNCTION("""COMPUTED_VALUE"""),"IDR")</f>
        <v>IDR</v>
      </c>
      <c r="I3543" s="6">
        <f>IFERROR(__xludf.DUMMYFUNCTION("""COMPUTED_VALUE"""),3775000.0)</f>
        <v>3775000</v>
      </c>
      <c r="J3543" s="6">
        <f>IFERROR(__xludf.DUMMYFUNCTION("""COMPUTED_VALUE"""),3775000.0)</f>
        <v>3775000</v>
      </c>
      <c r="K3543" s="57">
        <f>IFERROR(__xludf.DUMMYFUNCTION("""COMPUTED_VALUE"""),45581.0)</f>
        <v>45581</v>
      </c>
      <c r="L3543" s="6" t="str">
        <f>IFERROR(__xludf.DUMMYFUNCTION("""COMPUTED_VALUE"""),"FIP General")</f>
        <v>FIP General</v>
      </c>
      <c r="M3543" s="6" t="str">
        <f>IFERROR(__xludf.DUMMYFUNCTION("""COMPUTED_VALUE"""),"Mochammad Fadhillah Hakim,")</f>
        <v>Mochammad Fadhillah Hakim,</v>
      </c>
      <c r="N3543" s="6" t="str">
        <f>IFERROR(__xludf.DUMMYFUNCTION("""COMPUTED_VALUE"""),"FIP Engineering")</f>
        <v>FIP Engineering</v>
      </c>
      <c r="O3543" s="6" t="str">
        <f>IFERROR(__xludf.DUMMYFUNCTION("""COMPUTED_VALUE"""),"FIP-DOM-ENG-51505-0000000-INA-000000")</f>
        <v>FIP-DOM-ENG-51505-0000000-INA-000000</v>
      </c>
      <c r="P3543" s="6" t="str">
        <f>IFERROR(__xludf.DUMMYFUNCTION("""COMPUTED_VALUE"""),"PO Closed")</f>
        <v>PO Closed</v>
      </c>
      <c r="Q3543" s="6" t="str">
        <f>IFERROR(__xludf.DUMMYFUNCTION("""COMPUTED_VALUE"""),"GL2411455")</f>
        <v>GL2411455</v>
      </c>
      <c r="R3543" s="57">
        <f>IFERROR(__xludf.DUMMYFUNCTION("""COMPUTED_VALUE"""),45579.0)</f>
        <v>45579</v>
      </c>
      <c r="S3543" s="57">
        <f>IFERROR(__xludf.DUMMYFUNCTION("""COMPUTED_VALUE"""),45595.0)</f>
        <v>45595</v>
      </c>
      <c r="T3543" s="57">
        <f>IFERROR(__xludf.DUMMYFUNCTION("""COMPUTED_VALUE"""),45618.0)</f>
        <v>45618</v>
      </c>
    </row>
    <row r="3544">
      <c r="A3544" s="6" t="str">
        <f>IFERROR(__xludf.DUMMYFUNCTION("""COMPUTED_VALUE"""),"121701936-1")</f>
        <v>121701936-1</v>
      </c>
      <c r="B3544" s="6" t="str">
        <f>IFERROR(__xludf.DUMMYFUNCTION("""COMPUTED_VALUE"""),"121701936 - APPROVED")</f>
        <v>121701936 - APPROVED</v>
      </c>
      <c r="C3544" s="6">
        <f>IFERROR(__xludf.DUMMYFUNCTION("""COMPUTED_VALUE"""),1.0)</f>
        <v>1</v>
      </c>
      <c r="D3544" s="6" t="str">
        <f>IFERROR(__xludf.DUMMYFUNCTION("""COMPUTED_VALUE"""),"O-53047-00")</f>
        <v>O-53047-00</v>
      </c>
      <c r="E3544" s="6" t="str">
        <f>IFERROR(__xludf.DUMMYFUNCTION("""COMPUTED_VALUE"""),"MCB 400V 10kA 3Pole; Siemens; 5SL4304-7CC;")</f>
        <v>MCB 400V 10kA 3Pole; Siemens; 5SL4304-7CC;</v>
      </c>
      <c r="F3544" s="6">
        <f>IFERROR(__xludf.DUMMYFUNCTION("""COMPUTED_VALUE"""),3.0)</f>
        <v>3</v>
      </c>
      <c r="G3544" s="6" t="str">
        <f>IFERROR(__xludf.DUMMYFUNCTION("""COMPUTED_VALUE"""),"Pieces")</f>
        <v>Pieces</v>
      </c>
      <c r="H3544" s="6" t="str">
        <f>IFERROR(__xludf.DUMMYFUNCTION("""COMPUTED_VALUE"""),"IDR")</f>
        <v>IDR</v>
      </c>
      <c r="I3544" s="6">
        <f>IFERROR(__xludf.DUMMYFUNCTION("""COMPUTED_VALUE"""),775000.0)</f>
        <v>775000</v>
      </c>
      <c r="J3544" s="6">
        <f>IFERROR(__xludf.DUMMYFUNCTION("""COMPUTED_VALUE"""),2325000.0)</f>
        <v>2325000</v>
      </c>
      <c r="K3544" s="57">
        <f>IFERROR(__xludf.DUMMYFUNCTION("""COMPUTED_VALUE"""),45581.0)</f>
        <v>45581</v>
      </c>
      <c r="L3544" s="6" t="str">
        <f>IFERROR(__xludf.DUMMYFUNCTION("""COMPUTED_VALUE"""),"FIP Engineering")</f>
        <v>FIP Engineering</v>
      </c>
      <c r="M3544" s="6" t="str">
        <f>IFERROR(__xludf.DUMMYFUNCTION("""COMPUTED_VALUE"""),"Mochammad Fadhillah Hakim,")</f>
        <v>Mochammad Fadhillah Hakim,</v>
      </c>
      <c r="N3544" s="6" t="str">
        <f>IFERROR(__xludf.DUMMYFUNCTION("""COMPUTED_VALUE"""),"FIP Engineering")</f>
        <v>FIP Engineering</v>
      </c>
      <c r="O3544" s="6" t="str">
        <f>IFERROR(__xludf.DUMMYFUNCTION("""COMPUTED_VALUE"""),"FIP-DOM-000-11304-OS00001-INA-000000")</f>
        <v>FIP-DOM-000-11304-OS00001-INA-000000</v>
      </c>
      <c r="P3544" s="6" t="str">
        <f>IFERROR(__xludf.DUMMYFUNCTION("""COMPUTED_VALUE"""),"PO Closed")</f>
        <v>PO Closed</v>
      </c>
      <c r="Q3544" s="6" t="str">
        <f>IFERROR(__xludf.DUMMYFUNCTION("""COMPUTED_VALUE"""),"GL2411052")</f>
        <v>GL2411052</v>
      </c>
      <c r="R3544" s="57">
        <f>IFERROR(__xludf.DUMMYFUNCTION("""COMPUTED_VALUE"""),45579.0)</f>
        <v>45579</v>
      </c>
      <c r="S3544" s="57">
        <f>IFERROR(__xludf.DUMMYFUNCTION("""COMPUTED_VALUE"""),45581.0)</f>
        <v>45581</v>
      </c>
      <c r="T3544" s="57">
        <f>IFERROR(__xludf.DUMMYFUNCTION("""COMPUTED_VALUE"""),45646.0)</f>
        <v>45646</v>
      </c>
    </row>
    <row r="3545">
      <c r="A3545" s="6" t="str">
        <f>IFERROR(__xludf.DUMMYFUNCTION("""COMPUTED_VALUE"""),"121701942-1")</f>
        <v>121701942-1</v>
      </c>
      <c r="B3545" s="6" t="str">
        <f>IFERROR(__xludf.DUMMYFUNCTION("""COMPUTED_VALUE"""),"121701942 - APPROVED")</f>
        <v>121701942 - APPROVED</v>
      </c>
      <c r="C3545" s="6">
        <f>IFERROR(__xludf.DUMMYFUNCTION("""COMPUTED_VALUE"""),1.0)</f>
        <v>1</v>
      </c>
      <c r="D3545" s="6"/>
      <c r="E3545" s="6" t="str">
        <f>IFERROR(__xludf.DUMMYFUNCTION("""COMPUTED_VALUE"""),"Pemasangan Lampu LED (Replace Lampu Mercury) Warehouse")</f>
        <v>Pemasangan Lampu LED (Replace Lampu Mercury) Warehouse</v>
      </c>
      <c r="F3545" s="6">
        <f>IFERROR(__xludf.DUMMYFUNCTION("""COMPUTED_VALUE"""),1.0)</f>
        <v>1</v>
      </c>
      <c r="G3545" s="6" t="str">
        <f>IFERROR(__xludf.DUMMYFUNCTION("""COMPUTED_VALUE"""),"Lot")</f>
        <v>Lot</v>
      </c>
      <c r="H3545" s="6" t="str">
        <f>IFERROR(__xludf.DUMMYFUNCTION("""COMPUTED_VALUE"""),"IDR")</f>
        <v>IDR</v>
      </c>
      <c r="I3545" s="6">
        <f>IFERROR(__xludf.DUMMYFUNCTION("""COMPUTED_VALUE"""),3.52E7)</f>
        <v>35200000</v>
      </c>
      <c r="J3545" s="6">
        <f>IFERROR(__xludf.DUMMYFUNCTION("""COMPUTED_VALUE"""),3.52E7)</f>
        <v>35200000</v>
      </c>
      <c r="K3545" s="57">
        <f>IFERROR(__xludf.DUMMYFUNCTION("""COMPUTED_VALUE"""),45582.0)</f>
        <v>45582</v>
      </c>
      <c r="L3545" s="6" t="str">
        <f>IFERROR(__xludf.DUMMYFUNCTION("""COMPUTED_VALUE"""),"FIP General")</f>
        <v>FIP General</v>
      </c>
      <c r="M3545" s="6" t="str">
        <f>IFERROR(__xludf.DUMMYFUNCTION("""COMPUTED_VALUE"""),"Mochammad Fadhillah Hakim,")</f>
        <v>Mochammad Fadhillah Hakim,</v>
      </c>
      <c r="N3545" s="6" t="str">
        <f>IFERROR(__xludf.DUMMYFUNCTION("""COMPUTED_VALUE"""),"FIP Engineering")</f>
        <v>FIP Engineering</v>
      </c>
      <c r="O3545" s="6" t="str">
        <f>IFERROR(__xludf.DUMMYFUNCTION("""COMPUTED_VALUE"""),"FIP-DOM-ENG-13405-EQ24054-INA-000000")</f>
        <v>FIP-DOM-ENG-13405-EQ24054-INA-000000</v>
      </c>
      <c r="P3545" s="6" t="str">
        <f>IFERROR(__xludf.DUMMYFUNCTION("""COMPUTED_VALUE"""),"PO Closed")</f>
        <v>PO Closed</v>
      </c>
      <c r="Q3545" s="6" t="str">
        <f>IFERROR(__xludf.DUMMYFUNCTION("""COMPUTED_VALUE"""),"GL2411007")</f>
        <v>GL2411007</v>
      </c>
      <c r="R3545" s="57">
        <f>IFERROR(__xludf.DUMMYFUNCTION("""COMPUTED_VALUE"""),45580.0)</f>
        <v>45580</v>
      </c>
      <c r="S3545" s="57">
        <f>IFERROR(__xludf.DUMMYFUNCTION("""COMPUTED_VALUE"""),45590.0)</f>
        <v>45590</v>
      </c>
      <c r="T3545" s="57">
        <f>IFERROR(__xludf.DUMMYFUNCTION("""COMPUTED_VALUE"""),45644.0)</f>
        <v>45644</v>
      </c>
    </row>
    <row r="3546">
      <c r="A3546" s="6" t="str">
        <f>IFERROR(__xludf.DUMMYFUNCTION("""COMPUTED_VALUE"""),"121701949-1")</f>
        <v>121701949-1</v>
      </c>
      <c r="B3546" s="6" t="str">
        <f>IFERROR(__xludf.DUMMYFUNCTION("""COMPUTED_VALUE"""),"121701949 - APPROVED")</f>
        <v>121701949 - APPROVED</v>
      </c>
      <c r="C3546" s="6">
        <f>IFERROR(__xludf.DUMMYFUNCTION("""COMPUTED_VALUE"""),1.0)</f>
        <v>1</v>
      </c>
      <c r="D3546" s="6" t="str">
        <f>IFERROR(__xludf.DUMMYFUNCTION("""COMPUTED_VALUE"""),"S-60002-00")</f>
        <v>S-60002-00</v>
      </c>
      <c r="E3546" s="6" t="str">
        <f>IFERROR(__xludf.DUMMYFUNCTION("""COMPUTED_VALUE"""),"Jasa Perbaikan dan Pemeliharaan Mesin Utility")</f>
        <v>Jasa Perbaikan dan Pemeliharaan Mesin Utility</v>
      </c>
      <c r="F3546" s="6">
        <f>IFERROR(__xludf.DUMMYFUNCTION("""COMPUTED_VALUE"""),1.0)</f>
        <v>1</v>
      </c>
      <c r="G3546" s="6" t="str">
        <f>IFERROR(__xludf.DUMMYFUNCTION("""COMPUTED_VALUE"""),"Lot")</f>
        <v>Lot</v>
      </c>
      <c r="H3546" s="6" t="str">
        <f>IFERROR(__xludf.DUMMYFUNCTION("""COMPUTED_VALUE"""),"IDR")</f>
        <v>IDR</v>
      </c>
      <c r="I3546" s="6">
        <f>IFERROR(__xludf.DUMMYFUNCTION("""COMPUTED_VALUE"""),1.26E7)</f>
        <v>12600000</v>
      </c>
      <c r="J3546" s="6">
        <f>IFERROR(__xludf.DUMMYFUNCTION("""COMPUTED_VALUE"""),1.26E7)</f>
        <v>12600000</v>
      </c>
      <c r="K3546" s="57">
        <f>IFERROR(__xludf.DUMMYFUNCTION("""COMPUTED_VALUE"""),45583.0)</f>
        <v>45583</v>
      </c>
      <c r="L3546" s="6" t="str">
        <f>IFERROR(__xludf.DUMMYFUNCTION("""COMPUTED_VALUE"""),"FIP General")</f>
        <v>FIP General</v>
      </c>
      <c r="M3546" s="6" t="str">
        <f>IFERROR(__xludf.DUMMYFUNCTION("""COMPUTED_VALUE"""),"Mochammad Fadhillah Hakim,")</f>
        <v>Mochammad Fadhillah Hakim,</v>
      </c>
      <c r="N3546" s="6" t="str">
        <f>IFERROR(__xludf.DUMMYFUNCTION("""COMPUTED_VALUE"""),"FIP Engineering")</f>
        <v>FIP Engineering</v>
      </c>
      <c r="O3546" s="6" t="str">
        <f>IFERROR(__xludf.DUMMYFUNCTION("""COMPUTED_VALUE"""),"FIP-DOM-ENG-51508-0000000-INA-000000")</f>
        <v>FIP-DOM-ENG-51508-0000000-INA-000000</v>
      </c>
      <c r="P3546" s="6" t="str">
        <f>IFERROR(__xludf.DUMMYFUNCTION("""COMPUTED_VALUE"""),"PO Closed")</f>
        <v>PO Closed</v>
      </c>
      <c r="Q3546" s="6" t="str">
        <f>IFERROR(__xludf.DUMMYFUNCTION("""COMPUTED_VALUE"""),"GL2410074")</f>
        <v>GL2410074</v>
      </c>
      <c r="R3546" s="57">
        <f>IFERROR(__xludf.DUMMYFUNCTION("""COMPUTED_VALUE"""),45581.0)</f>
        <v>45581</v>
      </c>
      <c r="S3546" s="57">
        <f>IFERROR(__xludf.DUMMYFUNCTION("""COMPUTED_VALUE"""),45581.0)</f>
        <v>45581</v>
      </c>
      <c r="T3546" s="57">
        <f>IFERROR(__xludf.DUMMYFUNCTION("""COMPUTED_VALUE"""),45625.0)</f>
        <v>45625</v>
      </c>
    </row>
    <row r="3547">
      <c r="A3547" s="6" t="str">
        <f>IFERROR(__xludf.DUMMYFUNCTION("""COMPUTED_VALUE"""),"121701950-1")</f>
        <v>121701950-1</v>
      </c>
      <c r="B3547" s="6" t="str">
        <f>IFERROR(__xludf.DUMMYFUNCTION("""COMPUTED_VALUE"""),"121701950 - APPROVED")</f>
        <v>121701950 - APPROVED</v>
      </c>
      <c r="C3547" s="6">
        <f>IFERROR(__xludf.DUMMYFUNCTION("""COMPUTED_VALUE"""),1.0)</f>
        <v>1</v>
      </c>
      <c r="D3547" s="6" t="str">
        <f>IFERROR(__xludf.DUMMYFUNCTION("""COMPUTED_VALUE"""),"S-60002-00")</f>
        <v>S-60002-00</v>
      </c>
      <c r="E3547" s="6" t="str">
        <f>IFERROR(__xludf.DUMMYFUNCTION("""COMPUTED_VALUE"""),"Jasa Perbaikan dan Pemeliharaan Mesin Utility")</f>
        <v>Jasa Perbaikan dan Pemeliharaan Mesin Utility</v>
      </c>
      <c r="F3547" s="6">
        <f>IFERROR(__xludf.DUMMYFUNCTION("""COMPUTED_VALUE"""),1.0)</f>
        <v>1</v>
      </c>
      <c r="G3547" s="6" t="str">
        <f>IFERROR(__xludf.DUMMYFUNCTION("""COMPUTED_VALUE"""),"Lot")</f>
        <v>Lot</v>
      </c>
      <c r="H3547" s="6" t="str">
        <f>IFERROR(__xludf.DUMMYFUNCTION("""COMPUTED_VALUE"""),"IDR")</f>
        <v>IDR</v>
      </c>
      <c r="I3547" s="6">
        <f>IFERROR(__xludf.DUMMYFUNCTION("""COMPUTED_VALUE"""),4100000.0)</f>
        <v>4100000</v>
      </c>
      <c r="J3547" s="6">
        <f>IFERROR(__xludf.DUMMYFUNCTION("""COMPUTED_VALUE"""),4100000.0)</f>
        <v>4100000</v>
      </c>
      <c r="K3547" s="57">
        <f>IFERROR(__xludf.DUMMYFUNCTION("""COMPUTED_VALUE"""),45583.0)</f>
        <v>45583</v>
      </c>
      <c r="L3547" s="6" t="str">
        <f>IFERROR(__xludf.DUMMYFUNCTION("""COMPUTED_VALUE"""),"FIP General")</f>
        <v>FIP General</v>
      </c>
      <c r="M3547" s="6" t="str">
        <f>IFERROR(__xludf.DUMMYFUNCTION("""COMPUTED_VALUE"""),"Mochammad Fadhillah Hakim,")</f>
        <v>Mochammad Fadhillah Hakim,</v>
      </c>
      <c r="N3547" s="6" t="str">
        <f>IFERROR(__xludf.DUMMYFUNCTION("""COMPUTED_VALUE"""),"FIP Engineering")</f>
        <v>FIP Engineering</v>
      </c>
      <c r="O3547" s="6" t="str">
        <f>IFERROR(__xludf.DUMMYFUNCTION("""COMPUTED_VALUE"""),"FIP-DOM-ENG-51508-0000000-INA-000000")</f>
        <v>FIP-DOM-ENG-51508-0000000-INA-000000</v>
      </c>
      <c r="P3547" s="6" t="str">
        <f>IFERROR(__xludf.DUMMYFUNCTION("""COMPUTED_VALUE"""),"PO Closed")</f>
        <v>PO Closed</v>
      </c>
      <c r="Q3547" s="6" t="str">
        <f>IFERROR(__xludf.DUMMYFUNCTION("""COMPUTED_VALUE"""),"GL2410074")</f>
        <v>GL2410074</v>
      </c>
      <c r="R3547" s="57">
        <f>IFERROR(__xludf.DUMMYFUNCTION("""COMPUTED_VALUE"""),45581.0)</f>
        <v>45581</v>
      </c>
      <c r="S3547" s="57">
        <f>IFERROR(__xludf.DUMMYFUNCTION("""COMPUTED_VALUE"""),45581.0)</f>
        <v>45581</v>
      </c>
      <c r="T3547" s="57">
        <f>IFERROR(__xludf.DUMMYFUNCTION("""COMPUTED_VALUE"""),45625.0)</f>
        <v>45625</v>
      </c>
    </row>
    <row r="3548">
      <c r="A3548" s="6" t="str">
        <f>IFERROR(__xludf.DUMMYFUNCTION("""COMPUTED_VALUE"""),"121701953-1")</f>
        <v>121701953-1</v>
      </c>
      <c r="B3548" s="6" t="str">
        <f>IFERROR(__xludf.DUMMYFUNCTION("""COMPUTED_VALUE"""),"121701953 - APPROVED")</f>
        <v>121701953 - APPROVED</v>
      </c>
      <c r="C3548" s="6">
        <f>IFERROR(__xludf.DUMMYFUNCTION("""COMPUTED_VALUE"""),1.0)</f>
        <v>1</v>
      </c>
      <c r="D3548" s="6" t="str">
        <f>IFERROR(__xludf.DUMMYFUNCTION("""COMPUTED_VALUE"""),"P-19410-00")</f>
        <v>P-19410-00</v>
      </c>
      <c r="E3548" s="6" t="str">
        <f>IFERROR(__xludf.DUMMYFUNCTION("""COMPUTED_VALUE"""),"General - Bearing NATA5902; IKO; -; 1 pc")</f>
        <v>General - Bearing NATA5902; IKO; -; 1 pc</v>
      </c>
      <c r="F3548" s="6">
        <f>IFERROR(__xludf.DUMMYFUNCTION("""COMPUTED_VALUE"""),20.0)</f>
        <v>20</v>
      </c>
      <c r="G3548" s="6" t="str">
        <f>IFERROR(__xludf.DUMMYFUNCTION("""COMPUTED_VALUE"""),"Pieces")</f>
        <v>Pieces</v>
      </c>
      <c r="H3548" s="6" t="str">
        <f>IFERROR(__xludf.DUMMYFUNCTION("""COMPUTED_VALUE"""),"IDR")</f>
        <v>IDR</v>
      </c>
      <c r="I3548" s="6">
        <f>IFERROR(__xludf.DUMMYFUNCTION("""COMPUTED_VALUE"""),136635.0)</f>
        <v>136635</v>
      </c>
      <c r="J3548" s="6">
        <f>IFERROR(__xludf.DUMMYFUNCTION("""COMPUTED_VALUE"""),2732700.0)</f>
        <v>2732700</v>
      </c>
      <c r="K3548" s="57">
        <f>IFERROR(__xludf.DUMMYFUNCTION("""COMPUTED_VALUE"""),45588.0)</f>
        <v>45588</v>
      </c>
      <c r="L3548" s="6" t="str">
        <f>IFERROR(__xludf.DUMMYFUNCTION("""COMPUTED_VALUE"""),"FIP Engineering")</f>
        <v>FIP Engineering</v>
      </c>
      <c r="M3548" s="6" t="str">
        <f>IFERROR(__xludf.DUMMYFUNCTION("""COMPUTED_VALUE"""),"Mochammad Fadhillah Hakim,")</f>
        <v>Mochammad Fadhillah Hakim,</v>
      </c>
      <c r="N3548" s="6" t="str">
        <f>IFERROR(__xludf.DUMMYFUNCTION("""COMPUTED_VALUE"""),"FIP Engineering")</f>
        <v>FIP Engineering</v>
      </c>
      <c r="O3548" s="6" t="str">
        <f>IFERROR(__xludf.DUMMYFUNCTION("""COMPUTED_VALUE"""),"FIP-DOM-ENG-51504-OS00001-INA-000000")</f>
        <v>FIP-DOM-ENG-51504-OS00001-INA-000000</v>
      </c>
      <c r="P3548" s="6" t="str">
        <f>IFERROR(__xludf.DUMMYFUNCTION("""COMPUTED_VALUE"""),"PO Closed")</f>
        <v>PO Closed</v>
      </c>
      <c r="Q3548" s="6" t="str">
        <f>IFERROR(__xludf.DUMMYFUNCTION("""COMPUTED_VALUE"""),"GL2411024")</f>
        <v>GL2411024</v>
      </c>
      <c r="R3548" s="57">
        <f>IFERROR(__xludf.DUMMYFUNCTION("""COMPUTED_VALUE"""),45586.0)</f>
        <v>45586</v>
      </c>
      <c r="S3548" s="57">
        <f>IFERROR(__xludf.DUMMYFUNCTION("""COMPUTED_VALUE"""),45586.0)</f>
        <v>45586</v>
      </c>
      <c r="T3548" s="57">
        <f>IFERROR(__xludf.DUMMYFUNCTION("""COMPUTED_VALUE"""),45618.0)</f>
        <v>45618</v>
      </c>
    </row>
    <row r="3549">
      <c r="A3549" s="6" t="str">
        <f>IFERROR(__xludf.DUMMYFUNCTION("""COMPUTED_VALUE"""),"121701957-1")</f>
        <v>121701957-1</v>
      </c>
      <c r="B3549" s="6" t="str">
        <f>IFERROR(__xludf.DUMMYFUNCTION("""COMPUTED_VALUE"""),"121701957 - APPROVED")</f>
        <v>121701957 - APPROVED</v>
      </c>
      <c r="C3549" s="6">
        <f>IFERROR(__xludf.DUMMYFUNCTION("""COMPUTED_VALUE"""),1.0)</f>
        <v>1</v>
      </c>
      <c r="D3549" s="6" t="str">
        <f>IFERROR(__xludf.DUMMYFUNCTION("""COMPUTED_VALUE"""),"O-19849-00")</f>
        <v>O-19849-00</v>
      </c>
      <c r="E3549" s="6" t="str">
        <f>IFERROR(__xludf.DUMMYFUNCTION("""COMPUTED_VALUE"""),"Sabuk Tangki MixingCustom")</f>
        <v>Sabuk Tangki MixingCustom</v>
      </c>
      <c r="F3549" s="6">
        <f>IFERROR(__xludf.DUMMYFUNCTION("""COMPUTED_VALUE"""),2.0)</f>
        <v>2</v>
      </c>
      <c r="G3549" s="6" t="str">
        <f>IFERROR(__xludf.DUMMYFUNCTION("""COMPUTED_VALUE"""),"Pieces")</f>
        <v>Pieces</v>
      </c>
      <c r="H3549" s="6" t="str">
        <f>IFERROR(__xludf.DUMMYFUNCTION("""COMPUTED_VALUE"""),"IDR")</f>
        <v>IDR</v>
      </c>
      <c r="I3549" s="6">
        <f>IFERROR(__xludf.DUMMYFUNCTION("""COMPUTED_VALUE"""),2245000.0)</f>
        <v>2245000</v>
      </c>
      <c r="J3549" s="6">
        <f>IFERROR(__xludf.DUMMYFUNCTION("""COMPUTED_VALUE"""),4490000.0)</f>
        <v>4490000</v>
      </c>
      <c r="K3549" s="57">
        <f>IFERROR(__xludf.DUMMYFUNCTION("""COMPUTED_VALUE"""),45588.0)</f>
        <v>45588</v>
      </c>
      <c r="L3549" s="6" t="str">
        <f>IFERROR(__xludf.DUMMYFUNCTION("""COMPUTED_VALUE"""),"FIP Engineering")</f>
        <v>FIP Engineering</v>
      </c>
      <c r="M3549" s="6" t="str">
        <f>IFERROR(__xludf.DUMMYFUNCTION("""COMPUTED_VALUE"""),"Mochammad Fadhillah Hakim,")</f>
        <v>Mochammad Fadhillah Hakim,</v>
      </c>
      <c r="N3549" s="6" t="str">
        <f>IFERROR(__xludf.DUMMYFUNCTION("""COMPUTED_VALUE"""),"FIP Engineering")</f>
        <v>FIP Engineering</v>
      </c>
      <c r="O3549" s="6" t="str">
        <f>IFERROR(__xludf.DUMMYFUNCTION("""COMPUTED_VALUE"""),"FIP-DOM-000-11304-OS00001-INA-000000")</f>
        <v>FIP-DOM-000-11304-OS00001-INA-000000</v>
      </c>
      <c r="P3549" s="6" t="str">
        <f>IFERROR(__xludf.DUMMYFUNCTION("""COMPUTED_VALUE"""),"PO Closed")</f>
        <v>PO Closed</v>
      </c>
      <c r="Q3549" s="6" t="str">
        <f>IFERROR(__xludf.DUMMYFUNCTION("""COMPUTED_VALUE"""),"GL2411005")</f>
        <v>GL2411005</v>
      </c>
      <c r="R3549" s="57">
        <f>IFERROR(__xludf.DUMMYFUNCTION("""COMPUTED_VALUE"""),45586.0)</f>
        <v>45586</v>
      </c>
      <c r="S3549" s="57">
        <f>IFERROR(__xludf.DUMMYFUNCTION("""COMPUTED_VALUE"""),45587.0)</f>
        <v>45587</v>
      </c>
      <c r="T3549" s="57">
        <f>IFERROR(__xludf.DUMMYFUNCTION("""COMPUTED_VALUE"""),45632.0)</f>
        <v>45632</v>
      </c>
    </row>
    <row r="3550">
      <c r="A3550" s="6" t="str">
        <f>IFERROR(__xludf.DUMMYFUNCTION("""COMPUTED_VALUE"""),"121701958-1")</f>
        <v>121701958-1</v>
      </c>
      <c r="B3550" s="6" t="str">
        <f>IFERROR(__xludf.DUMMYFUNCTION("""COMPUTED_VALUE"""),"121701958 - APPROVED")</f>
        <v>121701958 - APPROVED</v>
      </c>
      <c r="C3550" s="6">
        <f>IFERROR(__xludf.DUMMYFUNCTION("""COMPUTED_VALUE"""),1.0)</f>
        <v>1</v>
      </c>
      <c r="D3550" s="6" t="str">
        <f>IFERROR(__xludf.DUMMYFUNCTION("""COMPUTED_VALUE"""),"O-53133-00")</f>
        <v>O-53133-00</v>
      </c>
      <c r="E3550" s="6" t="str">
        <f>IFERROR(__xludf.DUMMYFUNCTION("""COMPUTED_VALUE"""),"Washing RAR4 - Cable; Steriline; EC RD1A M12F8; 1 Pc")</f>
        <v>Washing RAR4 - Cable; Steriline; EC RD1A M12F8; 1 Pc</v>
      </c>
      <c r="F3550" s="6">
        <f>IFERROR(__xludf.DUMMYFUNCTION("""COMPUTED_VALUE"""),1.0)</f>
        <v>1</v>
      </c>
      <c r="G3550" s="6" t="str">
        <f>IFERROR(__xludf.DUMMYFUNCTION("""COMPUTED_VALUE"""),"Pieces")</f>
        <v>Pieces</v>
      </c>
      <c r="H3550" s="6" t="str">
        <f>IFERROR(__xludf.DUMMYFUNCTION("""COMPUTED_VALUE"""),"IDR")</f>
        <v>IDR</v>
      </c>
      <c r="I3550" s="6">
        <f>IFERROR(__xludf.DUMMYFUNCTION("""COMPUTED_VALUE"""),1082560.0)</f>
        <v>1082560</v>
      </c>
      <c r="J3550" s="6">
        <f>IFERROR(__xludf.DUMMYFUNCTION("""COMPUTED_VALUE"""),1082560.0)</f>
        <v>1082560</v>
      </c>
      <c r="K3550" s="57">
        <f>IFERROR(__xludf.DUMMYFUNCTION("""COMPUTED_VALUE"""),45588.0)</f>
        <v>45588</v>
      </c>
      <c r="L3550" s="6" t="str">
        <f>IFERROR(__xludf.DUMMYFUNCTION("""COMPUTED_VALUE"""),"FIP Engineering")</f>
        <v>FIP Engineering</v>
      </c>
      <c r="M3550" s="6" t="str">
        <f>IFERROR(__xludf.DUMMYFUNCTION("""COMPUTED_VALUE"""),"Mochammad Fadhillah Hakim,")</f>
        <v>Mochammad Fadhillah Hakim,</v>
      </c>
      <c r="N3550" s="6" t="str">
        <f>IFERROR(__xludf.DUMMYFUNCTION("""COMPUTED_VALUE"""),"FIP Engineering")</f>
        <v>FIP Engineering</v>
      </c>
      <c r="O3550" s="6" t="str">
        <f>IFERROR(__xludf.DUMMYFUNCTION("""COMPUTED_VALUE"""),"FIP-DOM-000-11304-OS00001-INA-000000")</f>
        <v>FIP-DOM-000-11304-OS00001-INA-000000</v>
      </c>
      <c r="P3550" s="6" t="str">
        <f>IFERROR(__xludf.DUMMYFUNCTION("""COMPUTED_VALUE"""),"PO Closed")</f>
        <v>PO Closed</v>
      </c>
      <c r="Q3550" s="6" t="str">
        <f>IFERROR(__xludf.DUMMYFUNCTION("""COMPUTED_VALUE"""),"GL2411060")</f>
        <v>GL2411060</v>
      </c>
      <c r="R3550" s="57">
        <f>IFERROR(__xludf.DUMMYFUNCTION("""COMPUTED_VALUE"""),45586.0)</f>
        <v>45586</v>
      </c>
      <c r="S3550" s="57">
        <f>IFERROR(__xludf.DUMMYFUNCTION("""COMPUTED_VALUE"""),45587.0)</f>
        <v>45587</v>
      </c>
      <c r="T3550" s="57">
        <f>IFERROR(__xludf.DUMMYFUNCTION("""COMPUTED_VALUE"""),45727.0)</f>
        <v>45727</v>
      </c>
    </row>
    <row r="3551">
      <c r="A3551" s="6" t="str">
        <f>IFERROR(__xludf.DUMMYFUNCTION("""COMPUTED_VALUE"""),"121701958-2")</f>
        <v>121701958-2</v>
      </c>
      <c r="B3551" s="6" t="str">
        <f>IFERROR(__xludf.DUMMYFUNCTION("""COMPUTED_VALUE"""),"121701958 - APPROVED")</f>
        <v>121701958 - APPROVED</v>
      </c>
      <c r="C3551" s="6">
        <f>IFERROR(__xludf.DUMMYFUNCTION("""COMPUTED_VALUE"""),2.0)</f>
        <v>2</v>
      </c>
      <c r="D3551" s="6" t="str">
        <f>IFERROR(__xludf.DUMMYFUNCTION("""COMPUTED_VALUE"""),"O-53134-00")</f>
        <v>O-53134-00</v>
      </c>
      <c r="E3551" s="6" t="str">
        <f>IFERROR(__xludf.DUMMYFUNCTION("""COMPUTED_VALUE"""),"Washing RAR4 - IF92 Programing box with USB connection; Steriline; ; 1 Pc")</f>
        <v>Washing RAR4 - IF92 Programing box with USB connection; Steriline; ; 1 Pc</v>
      </c>
      <c r="F3551" s="6">
        <f>IFERROR(__xludf.DUMMYFUNCTION("""COMPUTED_VALUE"""),1.0)</f>
        <v>1</v>
      </c>
      <c r="G3551" s="6" t="str">
        <f>IFERROR(__xludf.DUMMYFUNCTION("""COMPUTED_VALUE"""),"Pieces")</f>
        <v>Pieces</v>
      </c>
      <c r="H3551" s="6" t="str">
        <f>IFERROR(__xludf.DUMMYFUNCTION("""COMPUTED_VALUE"""),"IDR")</f>
        <v>IDR</v>
      </c>
      <c r="I3551" s="6">
        <f>IFERROR(__xludf.DUMMYFUNCTION("""COMPUTED_VALUE"""),7977080.0)</f>
        <v>7977080</v>
      </c>
      <c r="J3551" s="6">
        <f>IFERROR(__xludf.DUMMYFUNCTION("""COMPUTED_VALUE"""),7977080.0)</f>
        <v>7977080</v>
      </c>
      <c r="K3551" s="57">
        <f>IFERROR(__xludf.DUMMYFUNCTION("""COMPUTED_VALUE"""),45588.0)</f>
        <v>45588</v>
      </c>
      <c r="L3551" s="6" t="str">
        <f>IFERROR(__xludf.DUMMYFUNCTION("""COMPUTED_VALUE"""),"FIP Engineering")</f>
        <v>FIP Engineering</v>
      </c>
      <c r="M3551" s="6" t="str">
        <f>IFERROR(__xludf.DUMMYFUNCTION("""COMPUTED_VALUE"""),"Mochammad Fadhillah Hakim,")</f>
        <v>Mochammad Fadhillah Hakim,</v>
      </c>
      <c r="N3551" s="6" t="str">
        <f>IFERROR(__xludf.DUMMYFUNCTION("""COMPUTED_VALUE"""),"FIP Engineering")</f>
        <v>FIP Engineering</v>
      </c>
      <c r="O3551" s="6" t="str">
        <f>IFERROR(__xludf.DUMMYFUNCTION("""COMPUTED_VALUE"""),"FIP-DOM-000-11304-OS00001-INA-000000")</f>
        <v>FIP-DOM-000-11304-OS00001-INA-000000</v>
      </c>
      <c r="P3551" s="6" t="str">
        <f>IFERROR(__xludf.DUMMYFUNCTION("""COMPUTED_VALUE"""),"PO Closed")</f>
        <v>PO Closed</v>
      </c>
      <c r="Q3551" s="6" t="str">
        <f>IFERROR(__xludf.DUMMYFUNCTION("""COMPUTED_VALUE"""),"GL2411060")</f>
        <v>GL2411060</v>
      </c>
      <c r="R3551" s="57">
        <f>IFERROR(__xludf.DUMMYFUNCTION("""COMPUTED_VALUE"""),45586.0)</f>
        <v>45586</v>
      </c>
      <c r="S3551" s="57">
        <f>IFERROR(__xludf.DUMMYFUNCTION("""COMPUTED_VALUE"""),45587.0)</f>
        <v>45587</v>
      </c>
      <c r="T3551" s="57">
        <f>IFERROR(__xludf.DUMMYFUNCTION("""COMPUTED_VALUE"""),45727.0)</f>
        <v>45727</v>
      </c>
    </row>
    <row r="3552">
      <c r="A3552" s="6" t="str">
        <f>IFERROR(__xludf.DUMMYFUNCTION("""COMPUTED_VALUE"""),"121701962-1")</f>
        <v>121701962-1</v>
      </c>
      <c r="B3552" s="6" t="str">
        <f>IFERROR(__xludf.DUMMYFUNCTION("""COMPUTED_VALUE"""),"121701962 - APPROVED")</f>
        <v>121701962 - APPROVED</v>
      </c>
      <c r="C3552" s="6">
        <f>IFERROR(__xludf.DUMMYFUNCTION("""COMPUTED_VALUE"""),1.0)</f>
        <v>1</v>
      </c>
      <c r="D3552" s="6" t="str">
        <f>IFERROR(__xludf.DUMMYFUNCTION("""COMPUTED_VALUE"""),"S-60050-00")</f>
        <v>S-60050-00</v>
      </c>
      <c r="E3552" s="6" t="str">
        <f>IFERROR(__xludf.DUMMYFUNCTION("""COMPUTED_VALUE"""),"Jasa Perbaikan dan Pemeliharaan Mesin Produksi; ; ;")</f>
        <v>Jasa Perbaikan dan Pemeliharaan Mesin Produksi; ; ;</v>
      </c>
      <c r="F3552" s="6">
        <f>IFERROR(__xludf.DUMMYFUNCTION("""COMPUTED_VALUE"""),1.0)</f>
        <v>1</v>
      </c>
      <c r="G3552" s="6" t="str">
        <f>IFERROR(__xludf.DUMMYFUNCTION("""COMPUTED_VALUE"""),"Pieces")</f>
        <v>Pieces</v>
      </c>
      <c r="H3552" s="6" t="str">
        <f>IFERROR(__xludf.DUMMYFUNCTION("""COMPUTED_VALUE"""),"IDR")</f>
        <v>IDR</v>
      </c>
      <c r="I3552" s="6">
        <f>IFERROR(__xludf.DUMMYFUNCTION("""COMPUTED_VALUE"""),6000000.0)</f>
        <v>6000000</v>
      </c>
      <c r="J3552" s="6">
        <f>IFERROR(__xludf.DUMMYFUNCTION("""COMPUTED_VALUE"""),6000000.0)</f>
        <v>6000000</v>
      </c>
      <c r="K3552" s="57">
        <f>IFERROR(__xludf.DUMMYFUNCTION("""COMPUTED_VALUE"""),45589.0)</f>
        <v>45589</v>
      </c>
      <c r="L3552" s="6" t="str">
        <f>IFERROR(__xludf.DUMMYFUNCTION("""COMPUTED_VALUE"""),"FIP General")</f>
        <v>FIP General</v>
      </c>
      <c r="M3552" s="6" t="str">
        <f>IFERROR(__xludf.DUMMYFUNCTION("""COMPUTED_VALUE"""),"Mochammad Fadhillah Hakim,")</f>
        <v>Mochammad Fadhillah Hakim,</v>
      </c>
      <c r="N3552" s="6" t="str">
        <f>IFERROR(__xludf.DUMMYFUNCTION("""COMPUTED_VALUE"""),"FIP Engineering")</f>
        <v>FIP Engineering</v>
      </c>
      <c r="O3552" s="6" t="str">
        <f>IFERROR(__xludf.DUMMYFUNCTION("""COMPUTED_VALUE"""),"FIP-DOM-ENG-51504-0000000-INA-000000")</f>
        <v>FIP-DOM-ENG-51504-0000000-INA-000000</v>
      </c>
      <c r="P3552" s="6" t="str">
        <f>IFERROR(__xludf.DUMMYFUNCTION("""COMPUTED_VALUE"""),"PO Closed")</f>
        <v>PO Closed</v>
      </c>
      <c r="Q3552" s="6" t="str">
        <f>IFERROR(__xludf.DUMMYFUNCTION("""COMPUTED_VALUE"""),"GL2412030")</f>
        <v>GL2412030</v>
      </c>
      <c r="R3552" s="57">
        <f>IFERROR(__xludf.DUMMYFUNCTION("""COMPUTED_VALUE"""),45587.0)</f>
        <v>45587</v>
      </c>
      <c r="S3552" s="57">
        <f>IFERROR(__xludf.DUMMYFUNCTION("""COMPUTED_VALUE"""),45614.0)</f>
        <v>45614</v>
      </c>
      <c r="T3552" s="57">
        <f>IFERROR(__xludf.DUMMYFUNCTION("""COMPUTED_VALUE"""),45301.0)</f>
        <v>45301</v>
      </c>
    </row>
    <row r="3553">
      <c r="A3553" s="6" t="str">
        <f>IFERROR(__xludf.DUMMYFUNCTION("""COMPUTED_VALUE"""),"121701964-1")</f>
        <v>121701964-1</v>
      </c>
      <c r="B3553" s="6" t="str">
        <f>IFERROR(__xludf.DUMMYFUNCTION("""COMPUTED_VALUE"""),"121701964 - APPROVED")</f>
        <v>121701964 - APPROVED</v>
      </c>
      <c r="C3553" s="6">
        <f>IFERROR(__xludf.DUMMYFUNCTION("""COMPUTED_VALUE"""),1.0)</f>
        <v>1</v>
      </c>
      <c r="D3553" s="6" t="str">
        <f>IFERROR(__xludf.DUMMYFUNCTION("""COMPUTED_VALUE"""),"Q-10153-00")</f>
        <v>Q-10153-00</v>
      </c>
      <c r="E3553" s="6" t="str">
        <f>IFERROR(__xludf.DUMMYFUNCTION("""COMPUTED_VALUE"""),"Kuas Cat Roller uk. 110 mm;No Brand;;pack size per set")</f>
        <v>Kuas Cat Roller uk. 110 mm;No Brand;;pack size per set</v>
      </c>
      <c r="F3553" s="6">
        <f>IFERROR(__xludf.DUMMYFUNCTION("""COMPUTED_VALUE"""),10.0)</f>
        <v>10</v>
      </c>
      <c r="G3553" s="6" t="str">
        <f>IFERROR(__xludf.DUMMYFUNCTION("""COMPUTED_VALUE"""),"Pieces")</f>
        <v>Pieces</v>
      </c>
      <c r="H3553" s="6" t="str">
        <f>IFERROR(__xludf.DUMMYFUNCTION("""COMPUTED_VALUE"""),"IDR")</f>
        <v>IDR</v>
      </c>
      <c r="I3553" s="6">
        <f>IFERROR(__xludf.DUMMYFUNCTION("""COMPUTED_VALUE"""),27000.0)</f>
        <v>27000</v>
      </c>
      <c r="J3553" s="6">
        <f>IFERROR(__xludf.DUMMYFUNCTION("""COMPUTED_VALUE"""),270000.0)</f>
        <v>270000</v>
      </c>
      <c r="K3553" s="57">
        <f>IFERROR(__xludf.DUMMYFUNCTION("""COMPUTED_VALUE"""),45590.0)</f>
        <v>45590</v>
      </c>
      <c r="L3553" s="6" t="str">
        <f>IFERROR(__xludf.DUMMYFUNCTION("""COMPUTED_VALUE"""),"FIP Engineering")</f>
        <v>FIP Engineering</v>
      </c>
      <c r="M3553" s="6" t="str">
        <f>IFERROR(__xludf.DUMMYFUNCTION("""COMPUTED_VALUE"""),"Mochammad Fadhillah Hakim,")</f>
        <v>Mochammad Fadhillah Hakim,</v>
      </c>
      <c r="N3553" s="6" t="str">
        <f>IFERROR(__xludf.DUMMYFUNCTION("""COMPUTED_VALUE"""),"FIP Engineering")</f>
        <v>FIP Engineering</v>
      </c>
      <c r="O3553" s="6" t="str">
        <f>IFERROR(__xludf.DUMMYFUNCTION("""COMPUTED_VALUE"""),"FIP-DOM-000-11304-OS00001-INA-000000")</f>
        <v>FIP-DOM-000-11304-OS00001-INA-000000</v>
      </c>
      <c r="P3553" s="6" t="str">
        <f>IFERROR(__xludf.DUMMYFUNCTION("""COMPUTED_VALUE"""),"PO Closed")</f>
        <v>PO Closed</v>
      </c>
      <c r="Q3553" s="6" t="str">
        <f>IFERROR(__xludf.DUMMYFUNCTION("""COMPUTED_VALUE"""),"GL2412458")</f>
        <v>GL2412458</v>
      </c>
      <c r="R3553" s="57">
        <f>IFERROR(__xludf.DUMMYFUNCTION("""COMPUTED_VALUE"""),45588.0)</f>
        <v>45588</v>
      </c>
      <c r="S3553" s="57">
        <f>IFERROR(__xludf.DUMMYFUNCTION("""COMPUTED_VALUE"""),45589.0)</f>
        <v>45589</v>
      </c>
      <c r="T3553" s="57">
        <f>IFERROR(__xludf.DUMMYFUNCTION("""COMPUTED_VALUE"""),45650.0)</f>
        <v>45650</v>
      </c>
    </row>
    <row r="3554">
      <c r="A3554" s="6" t="str">
        <f>IFERROR(__xludf.DUMMYFUNCTION("""COMPUTED_VALUE"""),"121701964-2")</f>
        <v>121701964-2</v>
      </c>
      <c r="B3554" s="6" t="str">
        <f>IFERROR(__xludf.DUMMYFUNCTION("""COMPUTED_VALUE"""),"121701964 - APPROVED")</f>
        <v>121701964 - APPROVED</v>
      </c>
      <c r="C3554" s="6">
        <f>IFERROR(__xludf.DUMMYFUNCTION("""COMPUTED_VALUE"""),2.0)</f>
        <v>2</v>
      </c>
      <c r="D3554" s="6" t="str">
        <f>IFERROR(__xludf.DUMMYFUNCTION("""COMPUTED_VALUE"""),"Q-10656-00")</f>
        <v>Q-10656-00</v>
      </c>
      <c r="E3554" s="6" t="str">
        <f>IFERROR(__xludf.DUMMYFUNCTION("""COMPUTED_VALUE"""),"Kuas Cat Uk. 5 inch;No Brand;;pack size per pcs")</f>
        <v>Kuas Cat Uk. 5 inch;No Brand;;pack size per pcs</v>
      </c>
      <c r="F3554" s="6">
        <f>IFERROR(__xludf.DUMMYFUNCTION("""COMPUTED_VALUE"""),5.0)</f>
        <v>5</v>
      </c>
      <c r="G3554" s="6" t="str">
        <f>IFERROR(__xludf.DUMMYFUNCTION("""COMPUTED_VALUE"""),"Pieces")</f>
        <v>Pieces</v>
      </c>
      <c r="H3554" s="6" t="str">
        <f>IFERROR(__xludf.DUMMYFUNCTION("""COMPUTED_VALUE"""),"IDR")</f>
        <v>IDR</v>
      </c>
      <c r="I3554" s="6">
        <f>IFERROR(__xludf.DUMMYFUNCTION("""COMPUTED_VALUE"""),18500.0)</f>
        <v>18500</v>
      </c>
      <c r="J3554" s="6">
        <f>IFERROR(__xludf.DUMMYFUNCTION("""COMPUTED_VALUE"""),92500.0)</f>
        <v>92500</v>
      </c>
      <c r="K3554" s="57">
        <f>IFERROR(__xludf.DUMMYFUNCTION("""COMPUTED_VALUE"""),45590.0)</f>
        <v>45590</v>
      </c>
      <c r="L3554" s="6" t="str">
        <f>IFERROR(__xludf.DUMMYFUNCTION("""COMPUTED_VALUE"""),"FIP Engineering")</f>
        <v>FIP Engineering</v>
      </c>
      <c r="M3554" s="6" t="str">
        <f>IFERROR(__xludf.DUMMYFUNCTION("""COMPUTED_VALUE"""),"Mochammad Fadhillah Hakim,")</f>
        <v>Mochammad Fadhillah Hakim,</v>
      </c>
      <c r="N3554" s="6" t="str">
        <f>IFERROR(__xludf.DUMMYFUNCTION("""COMPUTED_VALUE"""),"FIP Engineering")</f>
        <v>FIP Engineering</v>
      </c>
      <c r="O3554" s="6" t="str">
        <f>IFERROR(__xludf.DUMMYFUNCTION("""COMPUTED_VALUE"""),"FIP-DOM-000-11304-OS00001-INA-000000")</f>
        <v>FIP-DOM-000-11304-OS00001-INA-000000</v>
      </c>
      <c r="P3554" s="6" t="str">
        <f>IFERROR(__xludf.DUMMYFUNCTION("""COMPUTED_VALUE"""),"PO Closed")</f>
        <v>PO Closed</v>
      </c>
      <c r="Q3554" s="6" t="str">
        <f>IFERROR(__xludf.DUMMYFUNCTION("""COMPUTED_VALUE"""),"GL2412458")</f>
        <v>GL2412458</v>
      </c>
      <c r="R3554" s="57">
        <f>IFERROR(__xludf.DUMMYFUNCTION("""COMPUTED_VALUE"""),45588.0)</f>
        <v>45588</v>
      </c>
      <c r="S3554" s="57">
        <f>IFERROR(__xludf.DUMMYFUNCTION("""COMPUTED_VALUE"""),45589.0)</f>
        <v>45589</v>
      </c>
      <c r="T3554" s="57">
        <f>IFERROR(__xludf.DUMMYFUNCTION("""COMPUTED_VALUE"""),45650.0)</f>
        <v>45650</v>
      </c>
    </row>
    <row r="3555">
      <c r="A3555" s="6" t="str">
        <f>IFERROR(__xludf.DUMMYFUNCTION("""COMPUTED_VALUE"""),"121701965-1")</f>
        <v>121701965-1</v>
      </c>
      <c r="B3555" s="6" t="str">
        <f>IFERROR(__xludf.DUMMYFUNCTION("""COMPUTED_VALUE"""),"121701965 - APPROVED")</f>
        <v>121701965 - APPROVED</v>
      </c>
      <c r="C3555" s="6">
        <f>IFERROR(__xludf.DUMMYFUNCTION("""COMPUTED_VALUE"""),1.0)</f>
        <v>1</v>
      </c>
      <c r="D3555" s="6" t="str">
        <f>IFERROR(__xludf.DUMMYFUNCTION("""COMPUTED_VALUE"""),"O-15931-00")</f>
        <v>O-15931-00</v>
      </c>
      <c r="E3555" s="6" t="str">
        <f>IFERROR(__xludf.DUMMYFUNCTION("""COMPUTED_VALUE"""),"Double Tape 3M 1"" Merah - P/N : -  pc")</f>
        <v>Double Tape 3M 1" Merah - P/N : -  pc</v>
      </c>
      <c r="F3555" s="6">
        <f>IFERROR(__xludf.DUMMYFUNCTION("""COMPUTED_VALUE"""),5.0)</f>
        <v>5</v>
      </c>
      <c r="G3555" s="6" t="str">
        <f>IFERROR(__xludf.DUMMYFUNCTION("""COMPUTED_VALUE"""),"Pieces")</f>
        <v>Pieces</v>
      </c>
      <c r="H3555" s="6" t="str">
        <f>IFERROR(__xludf.DUMMYFUNCTION("""COMPUTED_VALUE"""),"IDR")</f>
        <v>IDR</v>
      </c>
      <c r="I3555" s="6">
        <f>IFERROR(__xludf.DUMMYFUNCTION("""COMPUTED_VALUE"""),78500.0)</f>
        <v>78500</v>
      </c>
      <c r="J3555" s="6">
        <f>IFERROR(__xludf.DUMMYFUNCTION("""COMPUTED_VALUE"""),392500.0)</f>
        <v>392500</v>
      </c>
      <c r="K3555" s="57">
        <f>IFERROR(__xludf.DUMMYFUNCTION("""COMPUTED_VALUE"""),45590.0)</f>
        <v>45590</v>
      </c>
      <c r="L3555" s="6" t="str">
        <f>IFERROR(__xludf.DUMMYFUNCTION("""COMPUTED_VALUE"""),"FIP Engineering")</f>
        <v>FIP Engineering</v>
      </c>
      <c r="M3555" s="6" t="str">
        <f>IFERROR(__xludf.DUMMYFUNCTION("""COMPUTED_VALUE"""),"Mochammad Fadhillah Hakim,")</f>
        <v>Mochammad Fadhillah Hakim,</v>
      </c>
      <c r="N3555" s="6" t="str">
        <f>IFERROR(__xludf.DUMMYFUNCTION("""COMPUTED_VALUE"""),"FIP Engineering")</f>
        <v>FIP Engineering</v>
      </c>
      <c r="O3555" s="6" t="str">
        <f>IFERROR(__xludf.DUMMYFUNCTION("""COMPUTED_VALUE"""),"FIP-DOM-000-11304-OS00001-INA-000000")</f>
        <v>FIP-DOM-000-11304-OS00001-INA-000000</v>
      </c>
      <c r="P3555" s="6" t="str">
        <f>IFERROR(__xludf.DUMMYFUNCTION("""COMPUTED_VALUE"""),"PO Closed")</f>
        <v>PO Closed</v>
      </c>
      <c r="Q3555" s="6" t="str">
        <f>IFERROR(__xludf.DUMMYFUNCTION("""COMPUTED_VALUE"""),"GL2411012")</f>
        <v>GL2411012</v>
      </c>
      <c r="R3555" s="57">
        <f>IFERROR(__xludf.DUMMYFUNCTION("""COMPUTED_VALUE"""),45588.0)</f>
        <v>45588</v>
      </c>
      <c r="S3555" s="57">
        <f>IFERROR(__xludf.DUMMYFUNCTION("""COMPUTED_VALUE"""),45588.0)</f>
        <v>45588</v>
      </c>
      <c r="T3555" s="57">
        <f>IFERROR(__xludf.DUMMYFUNCTION("""COMPUTED_VALUE"""),45637.0)</f>
        <v>45637</v>
      </c>
    </row>
    <row r="3556">
      <c r="A3556" s="6" t="str">
        <f>IFERROR(__xludf.DUMMYFUNCTION("""COMPUTED_VALUE"""),"121701965-2")</f>
        <v>121701965-2</v>
      </c>
      <c r="B3556" s="6" t="str">
        <f>IFERROR(__xludf.DUMMYFUNCTION("""COMPUTED_VALUE"""),"121701965 - APPROVED")</f>
        <v>121701965 - APPROVED</v>
      </c>
      <c r="C3556" s="6">
        <f>IFERROR(__xludf.DUMMYFUNCTION("""COMPUTED_VALUE"""),2.0)</f>
        <v>2</v>
      </c>
      <c r="D3556" s="6" t="str">
        <f>IFERROR(__xludf.DUMMYFUNCTION("""COMPUTED_VALUE"""),"O-54014-00")</f>
        <v>O-54014-00</v>
      </c>
      <c r="E3556" s="6" t="str">
        <f>IFERROR(__xludf.DUMMYFUNCTION("""COMPUTED_VALUE"""),"STEKER 1 PHASE, BROCO")</f>
        <v>STEKER 1 PHASE, BROCO</v>
      </c>
      <c r="F3556" s="6">
        <f>IFERROR(__xludf.DUMMYFUNCTION("""COMPUTED_VALUE"""),5.0)</f>
        <v>5</v>
      </c>
      <c r="G3556" s="6" t="str">
        <f>IFERROR(__xludf.DUMMYFUNCTION("""COMPUTED_VALUE"""),"Pieces")</f>
        <v>Pieces</v>
      </c>
      <c r="H3556" s="6" t="str">
        <f>IFERROR(__xludf.DUMMYFUNCTION("""COMPUTED_VALUE"""),"IDR")</f>
        <v>IDR</v>
      </c>
      <c r="I3556" s="6">
        <f>IFERROR(__xludf.DUMMYFUNCTION("""COMPUTED_VALUE"""),11500.0)</f>
        <v>11500</v>
      </c>
      <c r="J3556" s="6">
        <f>IFERROR(__xludf.DUMMYFUNCTION("""COMPUTED_VALUE"""),57500.0)</f>
        <v>57500</v>
      </c>
      <c r="K3556" s="57">
        <f>IFERROR(__xludf.DUMMYFUNCTION("""COMPUTED_VALUE"""),45590.0)</f>
        <v>45590</v>
      </c>
      <c r="L3556" s="6" t="str">
        <f>IFERROR(__xludf.DUMMYFUNCTION("""COMPUTED_VALUE"""),"FIP Engineering")</f>
        <v>FIP Engineering</v>
      </c>
      <c r="M3556" s="6" t="str">
        <f>IFERROR(__xludf.DUMMYFUNCTION("""COMPUTED_VALUE"""),"Mochammad Fadhillah Hakim,")</f>
        <v>Mochammad Fadhillah Hakim,</v>
      </c>
      <c r="N3556" s="6" t="str">
        <f>IFERROR(__xludf.DUMMYFUNCTION("""COMPUTED_VALUE"""),"FIP Engineering")</f>
        <v>FIP Engineering</v>
      </c>
      <c r="O3556" s="6" t="str">
        <f>IFERROR(__xludf.DUMMYFUNCTION("""COMPUTED_VALUE"""),"FIP-DOM-000-11304-OS00001-INA-000000")</f>
        <v>FIP-DOM-000-11304-OS00001-INA-000000</v>
      </c>
      <c r="P3556" s="6" t="str">
        <f>IFERROR(__xludf.DUMMYFUNCTION("""COMPUTED_VALUE"""),"PO Closed")</f>
        <v>PO Closed</v>
      </c>
      <c r="Q3556" s="6" t="str">
        <f>IFERROR(__xludf.DUMMYFUNCTION("""COMPUTED_VALUE"""),"GL2411012")</f>
        <v>GL2411012</v>
      </c>
      <c r="R3556" s="57">
        <f>IFERROR(__xludf.DUMMYFUNCTION("""COMPUTED_VALUE"""),45588.0)</f>
        <v>45588</v>
      </c>
      <c r="S3556" s="57">
        <f>IFERROR(__xludf.DUMMYFUNCTION("""COMPUTED_VALUE"""),45588.0)</f>
        <v>45588</v>
      </c>
      <c r="T3556" s="57">
        <f>IFERROR(__xludf.DUMMYFUNCTION("""COMPUTED_VALUE"""),45637.0)</f>
        <v>45637</v>
      </c>
    </row>
    <row r="3557">
      <c r="A3557" s="6" t="str">
        <f>IFERROR(__xludf.DUMMYFUNCTION("""COMPUTED_VALUE"""),"121701967-1")</f>
        <v>121701967-1</v>
      </c>
      <c r="B3557" s="6" t="str">
        <f>IFERROR(__xludf.DUMMYFUNCTION("""COMPUTED_VALUE"""),"121701967 - APPROVED")</f>
        <v>121701967 - APPROVED</v>
      </c>
      <c r="C3557" s="6">
        <f>IFERROR(__xludf.DUMMYFUNCTION("""COMPUTED_VALUE"""),1.0)</f>
        <v>1</v>
      </c>
      <c r="D3557" s="6" t="str">
        <f>IFERROR(__xludf.DUMMYFUNCTION("""COMPUTED_VALUE"""),"P-17645-00")</f>
        <v>P-17645-00</v>
      </c>
      <c r="E3557" s="6" t="str">
        <f>IFERROR(__xludf.DUMMYFUNCTION("""COMPUTED_VALUE"""),"Sodium Hiphoclorite; ; ; ltr")</f>
        <v>Sodium Hiphoclorite; ; ; ltr</v>
      </c>
      <c r="F3557" s="6">
        <f>IFERROR(__xludf.DUMMYFUNCTION("""COMPUTED_VALUE"""),75.0)</f>
        <v>75</v>
      </c>
      <c r="G3557" s="6" t="str">
        <f>IFERROR(__xludf.DUMMYFUNCTION("""COMPUTED_VALUE"""),"Liter")</f>
        <v>Liter</v>
      </c>
      <c r="H3557" s="6" t="str">
        <f>IFERROR(__xludf.DUMMYFUNCTION("""COMPUTED_VALUE"""),"IDR")</f>
        <v>IDR</v>
      </c>
      <c r="I3557" s="6">
        <f>IFERROR(__xludf.DUMMYFUNCTION("""COMPUTED_VALUE"""),5000.0)</f>
        <v>5000</v>
      </c>
      <c r="J3557" s="6">
        <f>IFERROR(__xludf.DUMMYFUNCTION("""COMPUTED_VALUE"""),375000.0)</f>
        <v>375000</v>
      </c>
      <c r="K3557" s="57">
        <f>IFERROR(__xludf.DUMMYFUNCTION("""COMPUTED_VALUE"""),45590.0)</f>
        <v>45590</v>
      </c>
      <c r="L3557" s="6" t="str">
        <f>IFERROR(__xludf.DUMMYFUNCTION("""COMPUTED_VALUE"""),"FIP Engineering")</f>
        <v>FIP Engineering</v>
      </c>
      <c r="M3557" s="6" t="str">
        <f>IFERROR(__xludf.DUMMYFUNCTION("""COMPUTED_VALUE"""),"Mochammad Fadhillah Hakim,")</f>
        <v>Mochammad Fadhillah Hakim,</v>
      </c>
      <c r="N3557" s="6" t="str">
        <f>IFERROR(__xludf.DUMMYFUNCTION("""COMPUTED_VALUE"""),"FIP Engineering")</f>
        <v>FIP Engineering</v>
      </c>
      <c r="O3557" s="6" t="str">
        <f>IFERROR(__xludf.DUMMYFUNCTION("""COMPUTED_VALUE"""),"FIP-DOM-000-11304-OS00001-INA-000000")</f>
        <v>FIP-DOM-000-11304-OS00001-INA-000000</v>
      </c>
      <c r="P3557" s="6" t="str">
        <f>IFERROR(__xludf.DUMMYFUNCTION("""COMPUTED_VALUE"""),"PO Closed")</f>
        <v>PO Closed</v>
      </c>
      <c r="Q3557" s="6" t="str">
        <f>IFERROR(__xludf.DUMMYFUNCTION("""COMPUTED_VALUE"""),"GL2411038")</f>
        <v>GL2411038</v>
      </c>
      <c r="R3557" s="57">
        <f>IFERROR(__xludf.DUMMYFUNCTION("""COMPUTED_VALUE"""),45588.0)</f>
        <v>45588</v>
      </c>
      <c r="S3557" s="57">
        <f>IFERROR(__xludf.DUMMYFUNCTION("""COMPUTED_VALUE"""),45593.0)</f>
        <v>45593</v>
      </c>
      <c r="T3557" s="57">
        <f>IFERROR(__xludf.DUMMYFUNCTION("""COMPUTED_VALUE"""),45622.0)</f>
        <v>45622</v>
      </c>
    </row>
    <row r="3558">
      <c r="A3558" s="6" t="str">
        <f>IFERROR(__xludf.DUMMYFUNCTION("""COMPUTED_VALUE"""),"121701968-1")</f>
        <v>121701968-1</v>
      </c>
      <c r="B3558" s="6" t="str">
        <f>IFERROR(__xludf.DUMMYFUNCTION("""COMPUTED_VALUE"""),"121701968 - APPROVED")</f>
        <v>121701968 - APPROVED</v>
      </c>
      <c r="C3558" s="6">
        <f>IFERROR(__xludf.DUMMYFUNCTION("""COMPUTED_VALUE"""),1.0)</f>
        <v>1</v>
      </c>
      <c r="D3558" s="6" t="str">
        <f>IFERROR(__xludf.DUMMYFUNCTION("""COMPUTED_VALUE"""),"S-11400-00")</f>
        <v>S-11400-00</v>
      </c>
      <c r="E3558" s="6" t="str">
        <f>IFERROR(__xludf.DUMMYFUNCTION("""COMPUTED_VALUE"""),"Majun AA, No Brand, Budhi Supplies, pack size per kg")</f>
        <v>Majun AA, No Brand, Budhi Supplies, pack size per kg</v>
      </c>
      <c r="F3558" s="6">
        <f>IFERROR(__xludf.DUMMYFUNCTION("""COMPUTED_VALUE"""),40.0)</f>
        <v>40</v>
      </c>
      <c r="G3558" s="6" t="str">
        <f>IFERROR(__xludf.DUMMYFUNCTION("""COMPUTED_VALUE"""),"Kilogram")</f>
        <v>Kilogram</v>
      </c>
      <c r="H3558" s="6" t="str">
        <f>IFERROR(__xludf.DUMMYFUNCTION("""COMPUTED_VALUE"""),"IDR")</f>
        <v>IDR</v>
      </c>
      <c r="I3558" s="6">
        <f>IFERROR(__xludf.DUMMYFUNCTION("""COMPUTED_VALUE"""),39000.0)</f>
        <v>39000</v>
      </c>
      <c r="J3558" s="6">
        <f>IFERROR(__xludf.DUMMYFUNCTION("""COMPUTED_VALUE"""),1560000.0)</f>
        <v>1560000</v>
      </c>
      <c r="K3558" s="57">
        <f>IFERROR(__xludf.DUMMYFUNCTION("""COMPUTED_VALUE"""),45590.0)</f>
        <v>45590</v>
      </c>
      <c r="L3558" s="6" t="str">
        <f>IFERROR(__xludf.DUMMYFUNCTION("""COMPUTED_VALUE"""),"FIP General")</f>
        <v>FIP General</v>
      </c>
      <c r="M3558" s="6" t="str">
        <f>IFERROR(__xludf.DUMMYFUNCTION("""COMPUTED_VALUE"""),"Mochammad Fadhillah Hakim,")</f>
        <v>Mochammad Fadhillah Hakim,</v>
      </c>
      <c r="N3558" s="6" t="str">
        <f>IFERROR(__xludf.DUMMYFUNCTION("""COMPUTED_VALUE"""),"FIP Engineering")</f>
        <v>FIP Engineering</v>
      </c>
      <c r="O3558" s="6" t="str">
        <f>IFERROR(__xludf.DUMMYFUNCTION("""COMPUTED_VALUE"""),"FIP-DOM-ENG-51302-0000000-INA-000000")</f>
        <v>FIP-DOM-ENG-51302-0000000-INA-000000</v>
      </c>
      <c r="P3558" s="6" t="str">
        <f>IFERROR(__xludf.DUMMYFUNCTION("""COMPUTED_VALUE"""),"PO Closed")</f>
        <v>PO Closed</v>
      </c>
      <c r="Q3558" s="6" t="str">
        <f>IFERROR(__xludf.DUMMYFUNCTION("""COMPUTED_VALUE"""),"GL2411033")</f>
        <v>GL2411033</v>
      </c>
      <c r="R3558" s="57">
        <f>IFERROR(__xludf.DUMMYFUNCTION("""COMPUTED_VALUE"""),45588.0)</f>
        <v>45588</v>
      </c>
      <c r="S3558" s="57">
        <f>IFERROR(__xludf.DUMMYFUNCTION("""COMPUTED_VALUE"""),45588.0)</f>
        <v>45588</v>
      </c>
      <c r="T3558" s="57">
        <f>IFERROR(__xludf.DUMMYFUNCTION("""COMPUTED_VALUE"""),45625.0)</f>
        <v>45625</v>
      </c>
    </row>
    <row r="3559">
      <c r="A3559" s="6" t="str">
        <f>IFERROR(__xludf.DUMMYFUNCTION("""COMPUTED_VALUE"""),"121701969-1")</f>
        <v>121701969-1</v>
      </c>
      <c r="B3559" s="6" t="str">
        <f>IFERROR(__xludf.DUMMYFUNCTION("""COMPUTED_VALUE"""),"121701969 - APPROVED")</f>
        <v>121701969 - APPROVED</v>
      </c>
      <c r="C3559" s="6">
        <f>IFERROR(__xludf.DUMMYFUNCTION("""COMPUTED_VALUE"""),1.0)</f>
        <v>1</v>
      </c>
      <c r="D3559" s="6" t="str">
        <f>IFERROR(__xludf.DUMMYFUNCTION("""COMPUTED_VALUE"""),"P-11422-00")</f>
        <v>P-11422-00</v>
      </c>
      <c r="E3559" s="6" t="str">
        <f>IFERROR(__xludf.DUMMYFUNCTION("""COMPUTED_VALUE"""),"Selang Festo Pun-H-10x1.5 / Blue NR : 197386")</f>
        <v>Selang Festo Pun-H-10x1.5 / Blue NR : 197386</v>
      </c>
      <c r="F3559" s="6">
        <f>IFERROR(__xludf.DUMMYFUNCTION("""COMPUTED_VALUE"""),50.0)</f>
        <v>50</v>
      </c>
      <c r="G3559" s="6" t="str">
        <f>IFERROR(__xludf.DUMMYFUNCTION("""COMPUTED_VALUE"""),"Meter")</f>
        <v>Meter</v>
      </c>
      <c r="H3559" s="6" t="str">
        <f>IFERROR(__xludf.DUMMYFUNCTION("""COMPUTED_VALUE"""),"IDR")</f>
        <v>IDR</v>
      </c>
      <c r="I3559" s="6">
        <f>IFERROR(__xludf.DUMMYFUNCTION("""COMPUTED_VALUE"""),129854.0)</f>
        <v>129854</v>
      </c>
      <c r="J3559" s="6">
        <f>IFERROR(__xludf.DUMMYFUNCTION("""COMPUTED_VALUE"""),6492700.0)</f>
        <v>6492700</v>
      </c>
      <c r="K3559" s="57">
        <f>IFERROR(__xludf.DUMMYFUNCTION("""COMPUTED_VALUE"""),45590.0)</f>
        <v>45590</v>
      </c>
      <c r="L3559" s="6" t="str">
        <f>IFERROR(__xludf.DUMMYFUNCTION("""COMPUTED_VALUE"""),"FIP Engineering")</f>
        <v>FIP Engineering</v>
      </c>
      <c r="M3559" s="6" t="str">
        <f>IFERROR(__xludf.DUMMYFUNCTION("""COMPUTED_VALUE"""),"Mochammad Fadhillah Hakim,")</f>
        <v>Mochammad Fadhillah Hakim,</v>
      </c>
      <c r="N3559" s="6" t="str">
        <f>IFERROR(__xludf.DUMMYFUNCTION("""COMPUTED_VALUE"""),"FIP Engineering")</f>
        <v>FIP Engineering</v>
      </c>
      <c r="O3559" s="6" t="str">
        <f>IFERROR(__xludf.DUMMYFUNCTION("""COMPUTED_VALUE"""),"FIP-DOM-000-11304-OS00001-INA-000000")</f>
        <v>FIP-DOM-000-11304-OS00001-INA-000000</v>
      </c>
      <c r="P3559" s="6" t="str">
        <f>IFERROR(__xludf.DUMMYFUNCTION("""COMPUTED_VALUE"""),"PO Closed")</f>
        <v>PO Closed</v>
      </c>
      <c r="Q3559" s="6" t="str">
        <f>IFERROR(__xludf.DUMMYFUNCTION("""COMPUTED_VALUE"""),"GL2504358")</f>
        <v>GL2504358</v>
      </c>
      <c r="R3559" s="57">
        <f>IFERROR(__xludf.DUMMYFUNCTION("""COMPUTED_VALUE"""),45588.0)</f>
        <v>45588</v>
      </c>
      <c r="S3559" s="57">
        <f>IFERROR(__xludf.DUMMYFUNCTION("""COMPUTED_VALUE"""),45756.0)</f>
        <v>45756</v>
      </c>
      <c r="T3559" s="57">
        <f>IFERROR(__xludf.DUMMYFUNCTION("""COMPUTED_VALUE"""),45590.0)</f>
        <v>45590</v>
      </c>
    </row>
    <row r="3560">
      <c r="A3560" s="6" t="str">
        <f>IFERROR(__xludf.DUMMYFUNCTION("""COMPUTED_VALUE"""),"121701969-2")</f>
        <v>121701969-2</v>
      </c>
      <c r="B3560" s="6" t="str">
        <f>IFERROR(__xludf.DUMMYFUNCTION("""COMPUTED_VALUE"""),"121701969 - APPROVED")</f>
        <v>121701969 - APPROVED</v>
      </c>
      <c r="C3560" s="6">
        <f>IFERROR(__xludf.DUMMYFUNCTION("""COMPUTED_VALUE"""),2.0)</f>
        <v>2</v>
      </c>
      <c r="D3560" s="6" t="str">
        <f>IFERROR(__xludf.DUMMYFUNCTION("""COMPUTED_VALUE"""),"P-12305-00")</f>
        <v>P-12305-00</v>
      </c>
      <c r="E3560" s="6" t="str">
        <f>IFERROR(__xludf.DUMMYFUNCTION("""COMPUTED_VALUE"""),"FESTO - QST-6 Push in t-connection p/n 153129")</f>
        <v>FESTO - QST-6 Push in t-connection p/n 153129</v>
      </c>
      <c r="F3560" s="6">
        <f>IFERROR(__xludf.DUMMYFUNCTION("""COMPUTED_VALUE"""),5.0)</f>
        <v>5</v>
      </c>
      <c r="G3560" s="6" t="str">
        <f>IFERROR(__xludf.DUMMYFUNCTION("""COMPUTED_VALUE"""),"Pieces")</f>
        <v>Pieces</v>
      </c>
      <c r="H3560" s="6" t="str">
        <f>IFERROR(__xludf.DUMMYFUNCTION("""COMPUTED_VALUE"""),"IDR")</f>
        <v>IDR</v>
      </c>
      <c r="I3560" s="6">
        <f>IFERROR(__xludf.DUMMYFUNCTION("""COMPUTED_VALUE"""),66319.0)</f>
        <v>66319</v>
      </c>
      <c r="J3560" s="6">
        <f>IFERROR(__xludf.DUMMYFUNCTION("""COMPUTED_VALUE"""),331595.0)</f>
        <v>331595</v>
      </c>
      <c r="K3560" s="57">
        <f>IFERROR(__xludf.DUMMYFUNCTION("""COMPUTED_VALUE"""),45590.0)</f>
        <v>45590</v>
      </c>
      <c r="L3560" s="6" t="str">
        <f>IFERROR(__xludf.DUMMYFUNCTION("""COMPUTED_VALUE"""),"FIP Engineering")</f>
        <v>FIP Engineering</v>
      </c>
      <c r="M3560" s="6" t="str">
        <f>IFERROR(__xludf.DUMMYFUNCTION("""COMPUTED_VALUE"""),"Mochammad Fadhillah Hakim,")</f>
        <v>Mochammad Fadhillah Hakim,</v>
      </c>
      <c r="N3560" s="6" t="str">
        <f>IFERROR(__xludf.DUMMYFUNCTION("""COMPUTED_VALUE"""),"FIP Engineering")</f>
        <v>FIP Engineering</v>
      </c>
      <c r="O3560" s="6" t="str">
        <f>IFERROR(__xludf.DUMMYFUNCTION("""COMPUTED_VALUE"""),"FIP-DOM-000-11304-OS00001-INA-000000")</f>
        <v>FIP-DOM-000-11304-OS00001-INA-000000</v>
      </c>
      <c r="P3560" s="6" t="str">
        <f>IFERROR(__xludf.DUMMYFUNCTION("""COMPUTED_VALUE"""),"PO Closed")</f>
        <v>PO Closed</v>
      </c>
      <c r="Q3560" s="6" t="str">
        <f>IFERROR(__xludf.DUMMYFUNCTION("""COMPUTED_VALUE"""),"GL2505366")</f>
        <v>GL2505366</v>
      </c>
      <c r="R3560" s="57">
        <f>IFERROR(__xludf.DUMMYFUNCTION("""COMPUTED_VALUE"""),45588.0)</f>
        <v>45588</v>
      </c>
      <c r="S3560" s="57">
        <f>IFERROR(__xludf.DUMMYFUNCTION("""COMPUTED_VALUE"""),45756.0)</f>
        <v>45756</v>
      </c>
      <c r="T3560" s="57">
        <f>IFERROR(__xludf.DUMMYFUNCTION("""COMPUTED_VALUE"""),45800.0)</f>
        <v>45800</v>
      </c>
    </row>
    <row r="3561">
      <c r="A3561" s="6" t="str">
        <f>IFERROR(__xludf.DUMMYFUNCTION("""COMPUTED_VALUE"""),"121701972-1")</f>
        <v>121701972-1</v>
      </c>
      <c r="B3561" s="6" t="str">
        <f>IFERROR(__xludf.DUMMYFUNCTION("""COMPUTED_VALUE"""),"121701972 - APPROVED")</f>
        <v>121701972 - APPROVED</v>
      </c>
      <c r="C3561" s="6">
        <f>IFERROR(__xludf.DUMMYFUNCTION("""COMPUTED_VALUE"""),1.0)</f>
        <v>1</v>
      </c>
      <c r="D3561" s="6" t="str">
        <f>IFERROR(__xludf.DUMMYFUNCTION("""COMPUTED_VALUE"""),"Q-90000-00")</f>
        <v>Q-90000-00</v>
      </c>
      <c r="E3561" s="6" t="str">
        <f>IFERROR(__xludf.DUMMYFUNCTION("""COMPUTED_VALUE"""),"Building Maintenance Pure Expense")</f>
        <v>Building Maintenance Pure Expense</v>
      </c>
      <c r="F3561" s="6">
        <f>IFERROR(__xludf.DUMMYFUNCTION("""COMPUTED_VALUE"""),5.0)</f>
        <v>5</v>
      </c>
      <c r="G3561" s="6" t="str">
        <f>IFERROR(__xludf.DUMMYFUNCTION("""COMPUTED_VALUE"""),"Unit")</f>
        <v>Unit</v>
      </c>
      <c r="H3561" s="6" t="str">
        <f>IFERROR(__xludf.DUMMYFUNCTION("""COMPUTED_VALUE"""),"IDR")</f>
        <v>IDR</v>
      </c>
      <c r="I3561" s="6">
        <f>IFERROR(__xludf.DUMMYFUNCTION("""COMPUTED_VALUE"""),375000.0)</f>
        <v>375000</v>
      </c>
      <c r="J3561" s="6">
        <f>IFERROR(__xludf.DUMMYFUNCTION("""COMPUTED_VALUE"""),1875000.0)</f>
        <v>1875000</v>
      </c>
      <c r="K3561" s="57">
        <f>IFERROR(__xludf.DUMMYFUNCTION("""COMPUTED_VALUE"""),45590.0)</f>
        <v>45590</v>
      </c>
      <c r="L3561" s="6" t="str">
        <f>IFERROR(__xludf.DUMMYFUNCTION("""COMPUTED_VALUE"""),"FIP General")</f>
        <v>FIP General</v>
      </c>
      <c r="M3561" s="6" t="str">
        <f>IFERROR(__xludf.DUMMYFUNCTION("""COMPUTED_VALUE"""),"Mochammad Fadhillah Hakim,")</f>
        <v>Mochammad Fadhillah Hakim,</v>
      </c>
      <c r="N3561" s="6" t="str">
        <f>IFERROR(__xludf.DUMMYFUNCTION("""COMPUTED_VALUE"""),"FIP Engineering")</f>
        <v>FIP Engineering</v>
      </c>
      <c r="O3561" s="6" t="str">
        <f>IFERROR(__xludf.DUMMYFUNCTION("""COMPUTED_VALUE"""),"FIP-DOM-ENG-51502-0000000-INA-000000")</f>
        <v>FIP-DOM-ENG-51502-0000000-INA-000000</v>
      </c>
      <c r="P3561" s="6" t="str">
        <f>IFERROR(__xludf.DUMMYFUNCTION("""COMPUTED_VALUE"""),"PO Closed")</f>
        <v>PO Closed</v>
      </c>
      <c r="Q3561" s="6" t="str">
        <f>IFERROR(__xludf.DUMMYFUNCTION("""COMPUTED_VALUE"""),"GL2410059")</f>
        <v>GL2410059</v>
      </c>
      <c r="R3561" s="57">
        <f>IFERROR(__xludf.DUMMYFUNCTION("""COMPUTED_VALUE"""),45588.0)</f>
        <v>45588</v>
      </c>
      <c r="S3561" s="57">
        <f>IFERROR(__xludf.DUMMYFUNCTION("""COMPUTED_VALUE"""),45588.0)</f>
        <v>45588</v>
      </c>
      <c r="T3561" s="57">
        <f>IFERROR(__xludf.DUMMYFUNCTION("""COMPUTED_VALUE"""),45618.0)</f>
        <v>45618</v>
      </c>
    </row>
    <row r="3562">
      <c r="A3562" s="6" t="str">
        <f>IFERROR(__xludf.DUMMYFUNCTION("""COMPUTED_VALUE"""),"121701973-1")</f>
        <v>121701973-1</v>
      </c>
      <c r="B3562" s="6" t="str">
        <f>IFERROR(__xludf.DUMMYFUNCTION("""COMPUTED_VALUE"""),"121701973 - APPROVED")</f>
        <v>121701973 - APPROVED</v>
      </c>
      <c r="C3562" s="6">
        <f>IFERROR(__xludf.DUMMYFUNCTION("""COMPUTED_VALUE"""),1.0)</f>
        <v>1</v>
      </c>
      <c r="D3562" s="6" t="str">
        <f>IFERROR(__xludf.DUMMYFUNCTION("""COMPUTED_VALUE"""),"Q-90000-00")</f>
        <v>Q-90000-00</v>
      </c>
      <c r="E3562" s="6" t="str">
        <f>IFERROR(__xludf.DUMMYFUNCTION("""COMPUTED_VALUE"""),"Building Maintenance Pure Expense")</f>
        <v>Building Maintenance Pure Expense</v>
      </c>
      <c r="F3562" s="6">
        <f>IFERROR(__xludf.DUMMYFUNCTION("""COMPUTED_VALUE"""),1.0)</f>
        <v>1</v>
      </c>
      <c r="G3562" s="6" t="str">
        <f>IFERROR(__xludf.DUMMYFUNCTION("""COMPUTED_VALUE"""),"Unit")</f>
        <v>Unit</v>
      </c>
      <c r="H3562" s="6" t="str">
        <f>IFERROR(__xludf.DUMMYFUNCTION("""COMPUTED_VALUE"""),"IDR")</f>
        <v>IDR</v>
      </c>
      <c r="I3562" s="6">
        <f>IFERROR(__xludf.DUMMYFUNCTION("""COMPUTED_VALUE"""),4575000.0)</f>
        <v>4575000</v>
      </c>
      <c r="J3562" s="6">
        <f>IFERROR(__xludf.DUMMYFUNCTION("""COMPUTED_VALUE"""),4575000.0)</f>
        <v>4575000</v>
      </c>
      <c r="K3562" s="57">
        <f>IFERROR(__xludf.DUMMYFUNCTION("""COMPUTED_VALUE"""),45591.0)</f>
        <v>45591</v>
      </c>
      <c r="L3562" s="6" t="str">
        <f>IFERROR(__xludf.DUMMYFUNCTION("""COMPUTED_VALUE"""),"FIP General")</f>
        <v>FIP General</v>
      </c>
      <c r="M3562" s="6" t="str">
        <f>IFERROR(__xludf.DUMMYFUNCTION("""COMPUTED_VALUE"""),"Mochammad Fadhillah Hakim,")</f>
        <v>Mochammad Fadhillah Hakim,</v>
      </c>
      <c r="N3562" s="6" t="str">
        <f>IFERROR(__xludf.DUMMYFUNCTION("""COMPUTED_VALUE"""),"FIP Engineering")</f>
        <v>FIP Engineering</v>
      </c>
      <c r="O3562" s="6" t="str">
        <f>IFERROR(__xludf.DUMMYFUNCTION("""COMPUTED_VALUE"""),"FIP-DOM-ENG-51502-0000000-INA-000000")</f>
        <v>FIP-DOM-ENG-51502-0000000-INA-000000</v>
      </c>
      <c r="P3562" s="6" t="str">
        <f>IFERROR(__xludf.DUMMYFUNCTION("""COMPUTED_VALUE"""),"PO Closed")</f>
        <v>PO Closed</v>
      </c>
      <c r="Q3562" s="6" t="str">
        <f>IFERROR(__xludf.DUMMYFUNCTION("""COMPUTED_VALUE"""),"GL2411031")</f>
        <v>GL2411031</v>
      </c>
      <c r="R3562" s="57">
        <f>IFERROR(__xludf.DUMMYFUNCTION("""COMPUTED_VALUE"""),45589.0)</f>
        <v>45589</v>
      </c>
      <c r="S3562" s="57">
        <f>IFERROR(__xludf.DUMMYFUNCTION("""COMPUTED_VALUE"""),45604.0)</f>
        <v>45604</v>
      </c>
      <c r="T3562" s="57">
        <f>IFERROR(__xludf.DUMMYFUNCTION("""COMPUTED_VALUE"""),45646.0)</f>
        <v>45646</v>
      </c>
    </row>
    <row r="3563">
      <c r="A3563" s="6" t="str">
        <f>IFERROR(__xludf.DUMMYFUNCTION("""COMPUTED_VALUE"""),"121701977-1")</f>
        <v>121701977-1</v>
      </c>
      <c r="B3563" s="6" t="str">
        <f>IFERROR(__xludf.DUMMYFUNCTION("""COMPUTED_VALUE"""),"121701977 - APPROVED")</f>
        <v>121701977 - APPROVED</v>
      </c>
      <c r="C3563" s="6">
        <f>IFERROR(__xludf.DUMMYFUNCTION("""COMPUTED_VALUE"""),1.0)</f>
        <v>1</v>
      </c>
      <c r="D3563" s="6"/>
      <c r="E3563" s="6" t="str">
        <f>IFERROR(__xludf.DUMMYFUNCTION("""COMPUTED_VALUE"""),"Sparepart BAS EMS (Module Power Supply)")</f>
        <v>Sparepart BAS EMS (Module Power Supply)</v>
      </c>
      <c r="F3563" s="6">
        <f>IFERROR(__xludf.DUMMYFUNCTION("""COMPUTED_VALUE"""),1.0)</f>
        <v>1</v>
      </c>
      <c r="G3563" s="6" t="str">
        <f>IFERROR(__xludf.DUMMYFUNCTION("""COMPUTED_VALUE"""),"Unit")</f>
        <v>Unit</v>
      </c>
      <c r="H3563" s="6" t="str">
        <f>IFERROR(__xludf.DUMMYFUNCTION("""COMPUTED_VALUE"""),"IDR")</f>
        <v>IDR</v>
      </c>
      <c r="I3563" s="6">
        <f>IFERROR(__xludf.DUMMYFUNCTION("""COMPUTED_VALUE"""),1.49E7)</f>
        <v>14900000</v>
      </c>
      <c r="J3563" s="6">
        <f>IFERROR(__xludf.DUMMYFUNCTION("""COMPUTED_VALUE"""),1.49E7)</f>
        <v>14900000</v>
      </c>
      <c r="K3563" s="57">
        <f>IFERROR(__xludf.DUMMYFUNCTION("""COMPUTED_VALUE"""),45592.0)</f>
        <v>45592</v>
      </c>
      <c r="L3563" s="6" t="str">
        <f>IFERROR(__xludf.DUMMYFUNCTION("""COMPUTED_VALUE"""),"FIP General")</f>
        <v>FIP General</v>
      </c>
      <c r="M3563" s="6" t="str">
        <f>IFERROR(__xludf.DUMMYFUNCTION("""COMPUTED_VALUE"""),"Mochammad Fadhillah Hakim,")</f>
        <v>Mochammad Fadhillah Hakim,</v>
      </c>
      <c r="N3563" s="6" t="str">
        <f>IFERROR(__xludf.DUMMYFUNCTION("""COMPUTED_VALUE"""),"FIP Engineering")</f>
        <v>FIP Engineering</v>
      </c>
      <c r="O3563" s="6" t="str">
        <f>IFERROR(__xludf.DUMMYFUNCTION("""COMPUTED_VALUE"""),"FIP-DOM-ENG-13404-MC24030-INA-000000")</f>
        <v>FIP-DOM-ENG-13404-MC24030-INA-000000</v>
      </c>
      <c r="P3563" s="6" t="str">
        <f>IFERROR(__xludf.DUMMYFUNCTION("""COMPUTED_VALUE"""),"PO Closed")</f>
        <v>PO Closed</v>
      </c>
      <c r="Q3563" s="6" t="str">
        <f>IFERROR(__xludf.DUMMYFUNCTION("""COMPUTED_VALUE"""),"GL2411019")</f>
        <v>GL2411019</v>
      </c>
      <c r="R3563" s="57">
        <f>IFERROR(__xludf.DUMMYFUNCTION("""COMPUTED_VALUE"""),45590.0)</f>
        <v>45590</v>
      </c>
      <c r="S3563" s="57">
        <f>IFERROR(__xludf.DUMMYFUNCTION("""COMPUTED_VALUE"""),45600.0)</f>
        <v>45600</v>
      </c>
      <c r="T3563" s="57">
        <f>IFERROR(__xludf.DUMMYFUNCTION("""COMPUTED_VALUE"""),45629.0)</f>
        <v>45629</v>
      </c>
    </row>
    <row r="3564">
      <c r="A3564" s="6" t="str">
        <f>IFERROR(__xludf.DUMMYFUNCTION("""COMPUTED_VALUE"""),"121701977-2")</f>
        <v>121701977-2</v>
      </c>
      <c r="B3564" s="6" t="str">
        <f>IFERROR(__xludf.DUMMYFUNCTION("""COMPUTED_VALUE"""),"121701977 - APPROVED")</f>
        <v>121701977 - APPROVED</v>
      </c>
      <c r="C3564" s="6">
        <f>IFERROR(__xludf.DUMMYFUNCTION("""COMPUTED_VALUE"""),2.0)</f>
        <v>2</v>
      </c>
      <c r="D3564" s="6"/>
      <c r="E3564" s="6" t="str">
        <f>IFERROR(__xludf.DUMMYFUNCTION("""COMPUTED_VALUE"""),"Sparepart BAS EMS (I/O Module TXM1.8X)")</f>
        <v>Sparepart BAS EMS (I/O Module TXM1.8X)</v>
      </c>
      <c r="F3564" s="6">
        <f>IFERROR(__xludf.DUMMYFUNCTION("""COMPUTED_VALUE"""),1.0)</f>
        <v>1</v>
      </c>
      <c r="G3564" s="6" t="str">
        <f>IFERROR(__xludf.DUMMYFUNCTION("""COMPUTED_VALUE"""),"Unit")</f>
        <v>Unit</v>
      </c>
      <c r="H3564" s="6" t="str">
        <f>IFERROR(__xludf.DUMMYFUNCTION("""COMPUTED_VALUE"""),"IDR")</f>
        <v>IDR</v>
      </c>
      <c r="I3564" s="6">
        <f>IFERROR(__xludf.DUMMYFUNCTION("""COMPUTED_VALUE"""),1.218E7)</f>
        <v>12180000</v>
      </c>
      <c r="J3564" s="6">
        <f>IFERROR(__xludf.DUMMYFUNCTION("""COMPUTED_VALUE"""),1.218E7)</f>
        <v>12180000</v>
      </c>
      <c r="K3564" s="57">
        <f>IFERROR(__xludf.DUMMYFUNCTION("""COMPUTED_VALUE"""),45592.0)</f>
        <v>45592</v>
      </c>
      <c r="L3564" s="6" t="str">
        <f>IFERROR(__xludf.DUMMYFUNCTION("""COMPUTED_VALUE"""),"FIP General")</f>
        <v>FIP General</v>
      </c>
      <c r="M3564" s="6" t="str">
        <f>IFERROR(__xludf.DUMMYFUNCTION("""COMPUTED_VALUE"""),"Mochammad Fadhillah Hakim,")</f>
        <v>Mochammad Fadhillah Hakim,</v>
      </c>
      <c r="N3564" s="6" t="str">
        <f>IFERROR(__xludf.DUMMYFUNCTION("""COMPUTED_VALUE"""),"FIP Engineering")</f>
        <v>FIP Engineering</v>
      </c>
      <c r="O3564" s="6" t="str">
        <f>IFERROR(__xludf.DUMMYFUNCTION("""COMPUTED_VALUE"""),"FIP-DOM-ENG-13404-MC24030-INA-000000")</f>
        <v>FIP-DOM-ENG-13404-MC24030-INA-000000</v>
      </c>
      <c r="P3564" s="6" t="str">
        <f>IFERROR(__xludf.DUMMYFUNCTION("""COMPUTED_VALUE"""),"PO Closed")</f>
        <v>PO Closed</v>
      </c>
      <c r="Q3564" s="6" t="str">
        <f>IFERROR(__xludf.DUMMYFUNCTION("""COMPUTED_VALUE"""),"GL2411019")</f>
        <v>GL2411019</v>
      </c>
      <c r="R3564" s="57">
        <f>IFERROR(__xludf.DUMMYFUNCTION("""COMPUTED_VALUE"""),45590.0)</f>
        <v>45590</v>
      </c>
      <c r="S3564" s="57">
        <f>IFERROR(__xludf.DUMMYFUNCTION("""COMPUTED_VALUE"""),45600.0)</f>
        <v>45600</v>
      </c>
      <c r="T3564" s="57">
        <f>IFERROR(__xludf.DUMMYFUNCTION("""COMPUTED_VALUE"""),45629.0)</f>
        <v>45629</v>
      </c>
    </row>
    <row r="3565">
      <c r="A3565" s="6" t="str">
        <f>IFERROR(__xludf.DUMMYFUNCTION("""COMPUTED_VALUE"""),"121701982-1")</f>
        <v>121701982-1</v>
      </c>
      <c r="B3565" s="6" t="str">
        <f>IFERROR(__xludf.DUMMYFUNCTION("""COMPUTED_VALUE"""),"121701982 - APPROVED")</f>
        <v>121701982 - APPROVED</v>
      </c>
      <c r="C3565" s="6">
        <f>IFERROR(__xludf.DUMMYFUNCTION("""COMPUTED_VALUE"""),1.0)</f>
        <v>1</v>
      </c>
      <c r="D3565" s="6" t="str">
        <f>IFERROR(__xludf.DUMMYFUNCTION("""COMPUTED_VALUE"""),"P-50099-00")</f>
        <v>P-50099-00</v>
      </c>
      <c r="E3565" s="6" t="str">
        <f>IFERROR(__xludf.DUMMYFUNCTION("""COMPUTED_VALUE"""),"MCB 10A 10 KA 1 Phase NC45")</f>
        <v>MCB 10A 10 KA 1 Phase NC45</v>
      </c>
      <c r="F3565" s="6">
        <f>IFERROR(__xludf.DUMMYFUNCTION("""COMPUTED_VALUE"""),3.0)</f>
        <v>3</v>
      </c>
      <c r="G3565" s="6" t="str">
        <f>IFERROR(__xludf.DUMMYFUNCTION("""COMPUTED_VALUE"""),"Pieces")</f>
        <v>Pieces</v>
      </c>
      <c r="H3565" s="6" t="str">
        <f>IFERROR(__xludf.DUMMYFUNCTION("""COMPUTED_VALUE"""),"IDR")</f>
        <v>IDR</v>
      </c>
      <c r="I3565" s="6">
        <f>IFERROR(__xludf.DUMMYFUNCTION("""COMPUTED_VALUE"""),150000.0)</f>
        <v>150000</v>
      </c>
      <c r="J3565" s="6">
        <f>IFERROR(__xludf.DUMMYFUNCTION("""COMPUTED_VALUE"""),450000.0)</f>
        <v>450000</v>
      </c>
      <c r="K3565" s="57">
        <f>IFERROR(__xludf.DUMMYFUNCTION("""COMPUTED_VALUE"""),45592.0)</f>
        <v>45592</v>
      </c>
      <c r="L3565" s="6" t="str">
        <f>IFERROR(__xludf.DUMMYFUNCTION("""COMPUTED_VALUE"""),"FIP Engineering")</f>
        <v>FIP Engineering</v>
      </c>
      <c r="M3565" s="6" t="str">
        <f>IFERROR(__xludf.DUMMYFUNCTION("""COMPUTED_VALUE"""),"Mochammad Fadhillah Hakim,")</f>
        <v>Mochammad Fadhillah Hakim,</v>
      </c>
      <c r="N3565" s="6" t="str">
        <f>IFERROR(__xludf.DUMMYFUNCTION("""COMPUTED_VALUE"""),"FIP Engineering")</f>
        <v>FIP Engineering</v>
      </c>
      <c r="O3565" s="6" t="str">
        <f>IFERROR(__xludf.DUMMYFUNCTION("""COMPUTED_VALUE"""),"FIP-DOM-000-11304-OS00001-INA-000000")</f>
        <v>FIP-DOM-000-11304-OS00001-INA-000000</v>
      </c>
      <c r="P3565" s="6" t="str">
        <f>IFERROR(__xludf.DUMMYFUNCTION("""COMPUTED_VALUE"""),"PO Closed")</f>
        <v>PO Closed</v>
      </c>
      <c r="Q3565" s="6" t="str">
        <f>IFERROR(__xludf.DUMMYFUNCTION("""COMPUTED_VALUE"""),"GL2411032")</f>
        <v>GL2411032</v>
      </c>
      <c r="R3565" s="57">
        <f>IFERROR(__xludf.DUMMYFUNCTION("""COMPUTED_VALUE"""),45590.0)</f>
        <v>45590</v>
      </c>
      <c r="S3565" s="57">
        <f>IFERROR(__xludf.DUMMYFUNCTION("""COMPUTED_VALUE"""),45593.0)</f>
        <v>45593</v>
      </c>
      <c r="T3565" s="57">
        <f>IFERROR(__xludf.DUMMYFUNCTION("""COMPUTED_VALUE"""),45592.0)</f>
        <v>45592</v>
      </c>
    </row>
    <row r="3566">
      <c r="A3566" s="6" t="str">
        <f>IFERROR(__xludf.DUMMYFUNCTION("""COMPUTED_VALUE"""),"121701982-2")</f>
        <v>121701982-2</v>
      </c>
      <c r="B3566" s="6" t="str">
        <f>IFERROR(__xludf.DUMMYFUNCTION("""COMPUTED_VALUE"""),"121701982 - APPROVED")</f>
        <v>121701982 - APPROVED</v>
      </c>
      <c r="C3566" s="6">
        <f>IFERROR(__xludf.DUMMYFUNCTION("""COMPUTED_VALUE"""),2.0)</f>
        <v>2</v>
      </c>
      <c r="D3566" s="6" t="str">
        <f>IFERROR(__xludf.DUMMYFUNCTION("""COMPUTED_VALUE"""),"P-54190-00")</f>
        <v>P-54190-00</v>
      </c>
      <c r="E3566" s="6" t="str">
        <f>IFERROR(__xludf.DUMMYFUNCTION("""COMPUTED_VALUE"""),"Stop Kontak IP55 16A; Legrand; ;")</f>
        <v>Stop Kontak IP55 16A; Legrand; ;</v>
      </c>
      <c r="F3566" s="6">
        <f>IFERROR(__xludf.DUMMYFUNCTION("""COMPUTED_VALUE"""),2.0)</f>
        <v>2</v>
      </c>
      <c r="G3566" s="6" t="str">
        <f>IFERROR(__xludf.DUMMYFUNCTION("""COMPUTED_VALUE"""),"Pieces")</f>
        <v>Pieces</v>
      </c>
      <c r="H3566" s="6" t="str">
        <f>IFERROR(__xludf.DUMMYFUNCTION("""COMPUTED_VALUE"""),"IDR")</f>
        <v>IDR</v>
      </c>
      <c r="I3566" s="6">
        <f>IFERROR(__xludf.DUMMYFUNCTION("""COMPUTED_VALUE"""),185000.0)</f>
        <v>185000</v>
      </c>
      <c r="J3566" s="6">
        <f>IFERROR(__xludf.DUMMYFUNCTION("""COMPUTED_VALUE"""),370000.0)</f>
        <v>370000</v>
      </c>
      <c r="K3566" s="57">
        <f>IFERROR(__xludf.DUMMYFUNCTION("""COMPUTED_VALUE"""),45592.0)</f>
        <v>45592</v>
      </c>
      <c r="L3566" s="6" t="str">
        <f>IFERROR(__xludf.DUMMYFUNCTION("""COMPUTED_VALUE"""),"FIP Engineering")</f>
        <v>FIP Engineering</v>
      </c>
      <c r="M3566" s="6" t="str">
        <f>IFERROR(__xludf.DUMMYFUNCTION("""COMPUTED_VALUE"""),"Mochammad Fadhillah Hakim,")</f>
        <v>Mochammad Fadhillah Hakim,</v>
      </c>
      <c r="N3566" s="6" t="str">
        <f>IFERROR(__xludf.DUMMYFUNCTION("""COMPUTED_VALUE"""),"FIP Engineering")</f>
        <v>FIP Engineering</v>
      </c>
      <c r="O3566" s="6" t="str">
        <f>IFERROR(__xludf.DUMMYFUNCTION("""COMPUTED_VALUE"""),"FIP-DOM-000-11304-OS00001-INA-000000")</f>
        <v>FIP-DOM-000-11304-OS00001-INA-000000</v>
      </c>
      <c r="P3566" s="6" t="str">
        <f>IFERROR(__xludf.DUMMYFUNCTION("""COMPUTED_VALUE"""),"PO Closed")</f>
        <v>PO Closed</v>
      </c>
      <c r="Q3566" s="6" t="str">
        <f>IFERROR(__xludf.DUMMYFUNCTION("""COMPUTED_VALUE"""),"GL2411036")</f>
        <v>GL2411036</v>
      </c>
      <c r="R3566" s="57">
        <f>IFERROR(__xludf.DUMMYFUNCTION("""COMPUTED_VALUE"""),45590.0)</f>
        <v>45590</v>
      </c>
      <c r="S3566" s="57">
        <f>IFERROR(__xludf.DUMMYFUNCTION("""COMPUTED_VALUE"""),45593.0)</f>
        <v>45593</v>
      </c>
      <c r="T3566" s="57">
        <f>IFERROR(__xludf.DUMMYFUNCTION("""COMPUTED_VALUE"""),45618.0)</f>
        <v>45618</v>
      </c>
    </row>
    <row r="3567">
      <c r="A3567" s="6" t="str">
        <f>IFERROR(__xludf.DUMMYFUNCTION("""COMPUTED_VALUE"""),"121701984-1")</f>
        <v>121701984-1</v>
      </c>
      <c r="B3567" s="6" t="str">
        <f>IFERROR(__xludf.DUMMYFUNCTION("""COMPUTED_VALUE"""),"121701984 - APPROVED")</f>
        <v>121701984 - APPROVED</v>
      </c>
      <c r="C3567" s="6">
        <f>IFERROR(__xludf.DUMMYFUNCTION("""COMPUTED_VALUE"""),1.0)</f>
        <v>1</v>
      </c>
      <c r="D3567" s="6" t="str">
        <f>IFERROR(__xludf.DUMMYFUNCTION("""COMPUTED_VALUE"""),"S-40335-00")</f>
        <v>S-40335-00</v>
      </c>
      <c r="E3567" s="6" t="str">
        <f>IFERROR(__xludf.DUMMYFUNCTION("""COMPUTED_VALUE"""),"Lem Insuflex Insulation; ; ;")</f>
        <v>Lem Insuflex Insulation; ; ;</v>
      </c>
      <c r="F3567" s="6">
        <f>IFERROR(__xludf.DUMMYFUNCTION("""COMPUTED_VALUE"""),3.0)</f>
        <v>3</v>
      </c>
      <c r="G3567" s="6" t="str">
        <f>IFERROR(__xludf.DUMMYFUNCTION("""COMPUTED_VALUE"""),"Can")</f>
        <v>Can</v>
      </c>
      <c r="H3567" s="6" t="str">
        <f>IFERROR(__xludf.DUMMYFUNCTION("""COMPUTED_VALUE"""),"IDR")</f>
        <v>IDR</v>
      </c>
      <c r="I3567" s="6">
        <f>IFERROR(__xludf.DUMMYFUNCTION("""COMPUTED_VALUE"""),168750.0)</f>
        <v>168750</v>
      </c>
      <c r="J3567" s="6">
        <f>IFERROR(__xludf.DUMMYFUNCTION("""COMPUTED_VALUE"""),506250.0)</f>
        <v>506250</v>
      </c>
      <c r="K3567" s="57">
        <f>IFERROR(__xludf.DUMMYFUNCTION("""COMPUTED_VALUE"""),45592.0)</f>
        <v>45592</v>
      </c>
      <c r="L3567" s="6" t="str">
        <f>IFERROR(__xludf.DUMMYFUNCTION("""COMPUTED_VALUE"""),"FIP General")</f>
        <v>FIP General</v>
      </c>
      <c r="M3567" s="6" t="str">
        <f>IFERROR(__xludf.DUMMYFUNCTION("""COMPUTED_VALUE"""),"Mochammad Fadhillah Hakim,")</f>
        <v>Mochammad Fadhillah Hakim,</v>
      </c>
      <c r="N3567" s="6" t="str">
        <f>IFERROR(__xludf.DUMMYFUNCTION("""COMPUTED_VALUE"""),"FIP Engineering")</f>
        <v>FIP Engineering</v>
      </c>
      <c r="O3567" s="6" t="str">
        <f>IFERROR(__xludf.DUMMYFUNCTION("""COMPUTED_VALUE"""),"FIP-DOM-ENG-51404-0000000-INA-000000")</f>
        <v>FIP-DOM-ENG-51404-0000000-INA-000000</v>
      </c>
      <c r="P3567" s="6" t="str">
        <f>IFERROR(__xludf.DUMMYFUNCTION("""COMPUTED_VALUE"""),"PO Closed")</f>
        <v>PO Closed</v>
      </c>
      <c r="Q3567" s="6" t="str">
        <f>IFERROR(__xludf.DUMMYFUNCTION("""COMPUTED_VALUE"""),"GL2504028")</f>
        <v>GL2504028</v>
      </c>
      <c r="R3567" s="57">
        <f>IFERROR(__xludf.DUMMYFUNCTION("""COMPUTED_VALUE"""),45590.0)</f>
        <v>45590</v>
      </c>
      <c r="S3567" s="57">
        <f>IFERROR(__xludf.DUMMYFUNCTION("""COMPUTED_VALUE"""),45593.0)</f>
        <v>45593</v>
      </c>
      <c r="T3567" s="57">
        <f>IFERROR(__xludf.DUMMYFUNCTION("""COMPUTED_VALUE"""),45791.0)</f>
        <v>45791</v>
      </c>
    </row>
    <row r="3568">
      <c r="A3568" s="6" t="str">
        <f>IFERROR(__xludf.DUMMYFUNCTION("""COMPUTED_VALUE"""),"121701985-1")</f>
        <v>121701985-1</v>
      </c>
      <c r="B3568" s="6" t="str">
        <f>IFERROR(__xludf.DUMMYFUNCTION("""COMPUTED_VALUE"""),"121701985 - APPROVED")</f>
        <v>121701985 - APPROVED</v>
      </c>
      <c r="C3568" s="6">
        <f>IFERROR(__xludf.DUMMYFUNCTION("""COMPUTED_VALUE"""),1.0)</f>
        <v>1</v>
      </c>
      <c r="D3568" s="6" t="str">
        <f>IFERROR(__xludf.DUMMYFUNCTION("""COMPUTED_VALUE"""),"O-20104-00")</f>
        <v>O-20104-00</v>
      </c>
      <c r="E3568" s="6" t="str">
        <f>IFERROR(__xludf.DUMMYFUNCTION("""COMPUTED_VALUE"""),"General - Bearing 61926; SKF; ; 1 Pc")</f>
        <v>General - Bearing 61926; SKF; ; 1 Pc</v>
      </c>
      <c r="F3568" s="6">
        <f>IFERROR(__xludf.DUMMYFUNCTION("""COMPUTED_VALUE"""),2.0)</f>
        <v>2</v>
      </c>
      <c r="G3568" s="6" t="str">
        <f>IFERROR(__xludf.DUMMYFUNCTION("""COMPUTED_VALUE"""),"Pieces")</f>
        <v>Pieces</v>
      </c>
      <c r="H3568" s="6" t="str">
        <f>IFERROR(__xludf.DUMMYFUNCTION("""COMPUTED_VALUE"""),"IDR")</f>
        <v>IDR</v>
      </c>
      <c r="I3568" s="6">
        <f>IFERROR(__xludf.DUMMYFUNCTION("""COMPUTED_VALUE"""),7860000.0)</f>
        <v>7860000</v>
      </c>
      <c r="J3568" s="6">
        <f>IFERROR(__xludf.DUMMYFUNCTION("""COMPUTED_VALUE"""),1.572E7)</f>
        <v>15720000</v>
      </c>
      <c r="K3568" s="57">
        <f>IFERROR(__xludf.DUMMYFUNCTION("""COMPUTED_VALUE"""),45592.0)</f>
        <v>45592</v>
      </c>
      <c r="L3568" s="6" t="str">
        <f>IFERROR(__xludf.DUMMYFUNCTION("""COMPUTED_VALUE"""),"FIP Engineering")</f>
        <v>FIP Engineering</v>
      </c>
      <c r="M3568" s="6" t="str">
        <f>IFERROR(__xludf.DUMMYFUNCTION("""COMPUTED_VALUE"""),"Mochammad Fadhillah Hakim,")</f>
        <v>Mochammad Fadhillah Hakim,</v>
      </c>
      <c r="N3568" s="6" t="str">
        <f>IFERROR(__xludf.DUMMYFUNCTION("""COMPUTED_VALUE"""),"FIP Engineering")</f>
        <v>FIP Engineering</v>
      </c>
      <c r="O3568" s="6" t="str">
        <f>IFERROR(__xludf.DUMMYFUNCTION("""COMPUTED_VALUE"""),"FIP-DOM-000-11304-OS00001-INA-000000")</f>
        <v>FIP-DOM-000-11304-OS00001-INA-000000</v>
      </c>
      <c r="P3568" s="6" t="str">
        <f>IFERROR(__xludf.DUMMYFUNCTION("""COMPUTED_VALUE"""),"PO Closed")</f>
        <v>PO Closed</v>
      </c>
      <c r="Q3568" s="6" t="str">
        <f>IFERROR(__xludf.DUMMYFUNCTION("""COMPUTED_VALUE"""),"GL2411043")</f>
        <v>GL2411043</v>
      </c>
      <c r="R3568" s="57">
        <f>IFERROR(__xludf.DUMMYFUNCTION("""COMPUTED_VALUE"""),45590.0)</f>
        <v>45590</v>
      </c>
      <c r="S3568" s="57">
        <f>IFERROR(__xludf.DUMMYFUNCTION("""COMPUTED_VALUE"""),45593.0)</f>
        <v>45593</v>
      </c>
      <c r="T3568" s="57">
        <f>IFERROR(__xludf.DUMMYFUNCTION("""COMPUTED_VALUE"""),45644.0)</f>
        <v>45644</v>
      </c>
    </row>
    <row r="3569">
      <c r="A3569" s="6" t="str">
        <f>IFERROR(__xludf.DUMMYFUNCTION("""COMPUTED_VALUE"""),"121701985-2")</f>
        <v>121701985-2</v>
      </c>
      <c r="B3569" s="6" t="str">
        <f>IFERROR(__xludf.DUMMYFUNCTION("""COMPUTED_VALUE"""),"121701985 - APPROVED")</f>
        <v>121701985 - APPROVED</v>
      </c>
      <c r="C3569" s="6">
        <f>IFERROR(__xludf.DUMMYFUNCTION("""COMPUTED_VALUE"""),2.0)</f>
        <v>2</v>
      </c>
      <c r="D3569" s="6" t="str">
        <f>IFERROR(__xludf.DUMMYFUNCTION("""COMPUTED_VALUE"""),"P-10558-00")</f>
        <v>P-10558-00</v>
      </c>
      <c r="E3569" s="6" t="str">
        <f>IFERROR(__xludf.DUMMYFUNCTION("""COMPUTED_VALUE"""),"General - Bearing 51113; SKF; 1 Pc")</f>
        <v>General - Bearing 51113; SKF; 1 Pc</v>
      </c>
      <c r="F3569" s="6">
        <f>IFERROR(__xludf.DUMMYFUNCTION("""COMPUTED_VALUE"""),2.0)</f>
        <v>2</v>
      </c>
      <c r="G3569" s="6" t="str">
        <f>IFERROR(__xludf.DUMMYFUNCTION("""COMPUTED_VALUE"""),"Pieces")</f>
        <v>Pieces</v>
      </c>
      <c r="H3569" s="6" t="str">
        <f>IFERROR(__xludf.DUMMYFUNCTION("""COMPUTED_VALUE"""),"IDR")</f>
        <v>IDR</v>
      </c>
      <c r="I3569" s="6">
        <f>IFERROR(__xludf.DUMMYFUNCTION("""COMPUTED_VALUE"""),522000.0)</f>
        <v>522000</v>
      </c>
      <c r="J3569" s="6">
        <f>IFERROR(__xludf.DUMMYFUNCTION("""COMPUTED_VALUE"""),1044000.0)</f>
        <v>1044000</v>
      </c>
      <c r="K3569" s="57">
        <f>IFERROR(__xludf.DUMMYFUNCTION("""COMPUTED_VALUE"""),45592.0)</f>
        <v>45592</v>
      </c>
      <c r="L3569" s="6" t="str">
        <f>IFERROR(__xludf.DUMMYFUNCTION("""COMPUTED_VALUE"""),"FIP Engineering")</f>
        <v>FIP Engineering</v>
      </c>
      <c r="M3569" s="6" t="str">
        <f>IFERROR(__xludf.DUMMYFUNCTION("""COMPUTED_VALUE"""),"Mochammad Fadhillah Hakim,")</f>
        <v>Mochammad Fadhillah Hakim,</v>
      </c>
      <c r="N3569" s="6" t="str">
        <f>IFERROR(__xludf.DUMMYFUNCTION("""COMPUTED_VALUE"""),"FIP Engineering")</f>
        <v>FIP Engineering</v>
      </c>
      <c r="O3569" s="6" t="str">
        <f>IFERROR(__xludf.DUMMYFUNCTION("""COMPUTED_VALUE"""),"FIP-DOM-000-11304-OS00001-INA-000000")</f>
        <v>FIP-DOM-000-11304-OS00001-INA-000000</v>
      </c>
      <c r="P3569" s="6" t="str">
        <f>IFERROR(__xludf.DUMMYFUNCTION("""COMPUTED_VALUE"""),"PO Closed")</f>
        <v>PO Closed</v>
      </c>
      <c r="Q3569" s="6" t="str">
        <f>IFERROR(__xludf.DUMMYFUNCTION("""COMPUTED_VALUE"""),"GL2411024")</f>
        <v>GL2411024</v>
      </c>
      <c r="R3569" s="57">
        <f>IFERROR(__xludf.DUMMYFUNCTION("""COMPUTED_VALUE"""),45590.0)</f>
        <v>45590</v>
      </c>
      <c r="S3569" s="57">
        <f>IFERROR(__xludf.DUMMYFUNCTION("""COMPUTED_VALUE"""),45593.0)</f>
        <v>45593</v>
      </c>
      <c r="T3569" s="57">
        <f>IFERROR(__xludf.DUMMYFUNCTION("""COMPUTED_VALUE"""),45618.0)</f>
        <v>45618</v>
      </c>
    </row>
    <row r="3570">
      <c r="A3570" s="6" t="str">
        <f>IFERROR(__xludf.DUMMYFUNCTION("""COMPUTED_VALUE"""),"121701985-3")</f>
        <v>121701985-3</v>
      </c>
      <c r="B3570" s="6" t="str">
        <f>IFERROR(__xludf.DUMMYFUNCTION("""COMPUTED_VALUE"""),"121701985 - APPROVED")</f>
        <v>121701985 - APPROVED</v>
      </c>
      <c r="C3570" s="6">
        <f>IFERROR(__xludf.DUMMYFUNCTION("""COMPUTED_VALUE"""),3.0)</f>
        <v>3</v>
      </c>
      <c r="D3570" s="6" t="str">
        <f>IFERROR(__xludf.DUMMYFUNCTION("""COMPUTED_VALUE"""),"O-20105-00")</f>
        <v>O-20105-00</v>
      </c>
      <c r="E3570" s="6" t="str">
        <f>IFERROR(__xludf.DUMMYFUNCTION("""COMPUTED_VALUE"""),"General - Bearing 51104; SKF; ; 1 Pc")</f>
        <v>General - Bearing 51104; SKF; ; 1 Pc</v>
      </c>
      <c r="F3570" s="6">
        <f>IFERROR(__xludf.DUMMYFUNCTION("""COMPUTED_VALUE"""),2.0)</f>
        <v>2</v>
      </c>
      <c r="G3570" s="6" t="str">
        <f>IFERROR(__xludf.DUMMYFUNCTION("""COMPUTED_VALUE"""),"Pieces")</f>
        <v>Pieces</v>
      </c>
      <c r="H3570" s="6" t="str">
        <f>IFERROR(__xludf.DUMMYFUNCTION("""COMPUTED_VALUE"""),"IDR")</f>
        <v>IDR</v>
      </c>
      <c r="I3570" s="6">
        <f>IFERROR(__xludf.DUMMYFUNCTION("""COMPUTED_VALUE"""),183600.0)</f>
        <v>183600</v>
      </c>
      <c r="J3570" s="6">
        <f>IFERROR(__xludf.DUMMYFUNCTION("""COMPUTED_VALUE"""),367200.0)</f>
        <v>367200</v>
      </c>
      <c r="K3570" s="57">
        <f>IFERROR(__xludf.DUMMYFUNCTION("""COMPUTED_VALUE"""),45592.0)</f>
        <v>45592</v>
      </c>
      <c r="L3570" s="6" t="str">
        <f>IFERROR(__xludf.DUMMYFUNCTION("""COMPUTED_VALUE"""),"FIP Engineering")</f>
        <v>FIP Engineering</v>
      </c>
      <c r="M3570" s="6" t="str">
        <f>IFERROR(__xludf.DUMMYFUNCTION("""COMPUTED_VALUE"""),"Mochammad Fadhillah Hakim,")</f>
        <v>Mochammad Fadhillah Hakim,</v>
      </c>
      <c r="N3570" s="6" t="str">
        <f>IFERROR(__xludf.DUMMYFUNCTION("""COMPUTED_VALUE"""),"FIP Engineering")</f>
        <v>FIP Engineering</v>
      </c>
      <c r="O3570" s="6" t="str">
        <f>IFERROR(__xludf.DUMMYFUNCTION("""COMPUTED_VALUE"""),"FIP-DOM-000-11304-OS00001-INA-000000")</f>
        <v>FIP-DOM-000-11304-OS00001-INA-000000</v>
      </c>
      <c r="P3570" s="6" t="str">
        <f>IFERROR(__xludf.DUMMYFUNCTION("""COMPUTED_VALUE"""),"PO Closed")</f>
        <v>PO Closed</v>
      </c>
      <c r="Q3570" s="6" t="str">
        <f>IFERROR(__xludf.DUMMYFUNCTION("""COMPUTED_VALUE"""),"GL2411043")</f>
        <v>GL2411043</v>
      </c>
      <c r="R3570" s="57">
        <f>IFERROR(__xludf.DUMMYFUNCTION("""COMPUTED_VALUE"""),45590.0)</f>
        <v>45590</v>
      </c>
      <c r="S3570" s="57">
        <f>IFERROR(__xludf.DUMMYFUNCTION("""COMPUTED_VALUE"""),45593.0)</f>
        <v>45593</v>
      </c>
      <c r="T3570" s="57">
        <f>IFERROR(__xludf.DUMMYFUNCTION("""COMPUTED_VALUE"""),45644.0)</f>
        <v>45644</v>
      </c>
    </row>
    <row r="3571">
      <c r="A3571" s="6" t="str">
        <f>IFERROR(__xludf.DUMMYFUNCTION("""COMPUTED_VALUE"""),"121701985-4")</f>
        <v>121701985-4</v>
      </c>
      <c r="B3571" s="6" t="str">
        <f>IFERROR(__xludf.DUMMYFUNCTION("""COMPUTED_VALUE"""),"121701985 - APPROVED")</f>
        <v>121701985 - APPROVED</v>
      </c>
      <c r="C3571" s="6">
        <f>IFERROR(__xludf.DUMMYFUNCTION("""COMPUTED_VALUE"""),4.0)</f>
        <v>4</v>
      </c>
      <c r="D3571" s="6" t="str">
        <f>IFERROR(__xludf.DUMMYFUNCTION("""COMPUTED_VALUE"""),"O-20106-00")</f>
        <v>O-20106-00</v>
      </c>
      <c r="E3571" s="6" t="str">
        <f>IFERROR(__xludf.DUMMYFUNCTION("""COMPUTED_VALUE"""),"General - Bearing 32011 X; SKF; ; 1 Pc")</f>
        <v>General - Bearing 32011 X; SKF; ; 1 Pc</v>
      </c>
      <c r="F3571" s="6">
        <f>IFERROR(__xludf.DUMMYFUNCTION("""COMPUTED_VALUE"""),2.0)</f>
        <v>2</v>
      </c>
      <c r="G3571" s="6" t="str">
        <f>IFERROR(__xludf.DUMMYFUNCTION("""COMPUTED_VALUE"""),"Pieces")</f>
        <v>Pieces</v>
      </c>
      <c r="H3571" s="6" t="str">
        <f>IFERROR(__xludf.DUMMYFUNCTION("""COMPUTED_VALUE"""),"IDR")</f>
        <v>IDR</v>
      </c>
      <c r="I3571" s="6">
        <f>IFERROR(__xludf.DUMMYFUNCTION("""COMPUTED_VALUE"""),384750.0)</f>
        <v>384750</v>
      </c>
      <c r="J3571" s="6">
        <f>IFERROR(__xludf.DUMMYFUNCTION("""COMPUTED_VALUE"""),769500.0)</f>
        <v>769500</v>
      </c>
      <c r="K3571" s="57">
        <f>IFERROR(__xludf.DUMMYFUNCTION("""COMPUTED_VALUE"""),45592.0)</f>
        <v>45592</v>
      </c>
      <c r="L3571" s="6" t="str">
        <f>IFERROR(__xludf.DUMMYFUNCTION("""COMPUTED_VALUE"""),"FIP Engineering")</f>
        <v>FIP Engineering</v>
      </c>
      <c r="M3571" s="6" t="str">
        <f>IFERROR(__xludf.DUMMYFUNCTION("""COMPUTED_VALUE"""),"Mochammad Fadhillah Hakim,")</f>
        <v>Mochammad Fadhillah Hakim,</v>
      </c>
      <c r="N3571" s="6" t="str">
        <f>IFERROR(__xludf.DUMMYFUNCTION("""COMPUTED_VALUE"""),"FIP Engineering")</f>
        <v>FIP Engineering</v>
      </c>
      <c r="O3571" s="6" t="str">
        <f>IFERROR(__xludf.DUMMYFUNCTION("""COMPUTED_VALUE"""),"FIP-DOM-000-11304-OS00001-INA-000000")</f>
        <v>FIP-DOM-000-11304-OS00001-INA-000000</v>
      </c>
      <c r="P3571" s="6" t="str">
        <f>IFERROR(__xludf.DUMMYFUNCTION("""COMPUTED_VALUE"""),"PO Closed")</f>
        <v>PO Closed</v>
      </c>
      <c r="Q3571" s="6" t="str">
        <f>IFERROR(__xludf.DUMMYFUNCTION("""COMPUTED_VALUE"""),"GL2411043")</f>
        <v>GL2411043</v>
      </c>
      <c r="R3571" s="57">
        <f>IFERROR(__xludf.DUMMYFUNCTION("""COMPUTED_VALUE"""),45590.0)</f>
        <v>45590</v>
      </c>
      <c r="S3571" s="57">
        <f>IFERROR(__xludf.DUMMYFUNCTION("""COMPUTED_VALUE"""),45593.0)</f>
        <v>45593</v>
      </c>
      <c r="T3571" s="57">
        <f>IFERROR(__xludf.DUMMYFUNCTION("""COMPUTED_VALUE"""),45644.0)</f>
        <v>45644</v>
      </c>
    </row>
    <row r="3572">
      <c r="A3572" s="6" t="str">
        <f>IFERROR(__xludf.DUMMYFUNCTION("""COMPUTED_VALUE"""),"121701985-5")</f>
        <v>121701985-5</v>
      </c>
      <c r="B3572" s="6" t="str">
        <f>IFERROR(__xludf.DUMMYFUNCTION("""COMPUTED_VALUE"""),"121701985 - APPROVED")</f>
        <v>121701985 - APPROVED</v>
      </c>
      <c r="C3572" s="6">
        <f>IFERROR(__xludf.DUMMYFUNCTION("""COMPUTED_VALUE"""),5.0)</f>
        <v>5</v>
      </c>
      <c r="D3572" s="6" t="str">
        <f>IFERROR(__xludf.DUMMYFUNCTION("""COMPUTED_VALUE"""),"O-20117-00")</f>
        <v>O-20117-00</v>
      </c>
      <c r="E3572" s="6" t="str">
        <f>IFERROR(__xludf.DUMMYFUNCTION("""COMPUTED_VALUE"""),"General - Oil Seal TC 140x170x12; No Brand; ; 1 Pc")</f>
        <v>General - Oil Seal TC 140x170x12; No Brand; ; 1 Pc</v>
      </c>
      <c r="F3572" s="6">
        <f>IFERROR(__xludf.DUMMYFUNCTION("""COMPUTED_VALUE"""),2.0)</f>
        <v>2</v>
      </c>
      <c r="G3572" s="6" t="str">
        <f>IFERROR(__xludf.DUMMYFUNCTION("""COMPUTED_VALUE"""),"Pieces")</f>
        <v>Pieces</v>
      </c>
      <c r="H3572" s="6" t="str">
        <f>IFERROR(__xludf.DUMMYFUNCTION("""COMPUTED_VALUE"""),"IDR")</f>
        <v>IDR</v>
      </c>
      <c r="I3572" s="6">
        <f>IFERROR(__xludf.DUMMYFUNCTION("""COMPUTED_VALUE"""),105000.0)</f>
        <v>105000</v>
      </c>
      <c r="J3572" s="6">
        <f>IFERROR(__xludf.DUMMYFUNCTION("""COMPUTED_VALUE"""),210000.0)</f>
        <v>210000</v>
      </c>
      <c r="K3572" s="57">
        <f>IFERROR(__xludf.DUMMYFUNCTION("""COMPUTED_VALUE"""),45592.0)</f>
        <v>45592</v>
      </c>
      <c r="L3572" s="6" t="str">
        <f>IFERROR(__xludf.DUMMYFUNCTION("""COMPUTED_VALUE"""),"FIP Engineering")</f>
        <v>FIP Engineering</v>
      </c>
      <c r="M3572" s="6" t="str">
        <f>IFERROR(__xludf.DUMMYFUNCTION("""COMPUTED_VALUE"""),"Mochammad Fadhillah Hakim,")</f>
        <v>Mochammad Fadhillah Hakim,</v>
      </c>
      <c r="N3572" s="6" t="str">
        <f>IFERROR(__xludf.DUMMYFUNCTION("""COMPUTED_VALUE"""),"FIP Engineering")</f>
        <v>FIP Engineering</v>
      </c>
      <c r="O3572" s="6" t="str">
        <f>IFERROR(__xludf.DUMMYFUNCTION("""COMPUTED_VALUE"""),"FIP-DOM-000-11304-OS00001-INA-000000")</f>
        <v>FIP-DOM-000-11304-OS00001-INA-000000</v>
      </c>
      <c r="P3572" s="6" t="str">
        <f>IFERROR(__xludf.DUMMYFUNCTION("""COMPUTED_VALUE"""),"PO Closed")</f>
        <v>PO Closed</v>
      </c>
      <c r="Q3572" s="6" t="str">
        <f>IFERROR(__xludf.DUMMYFUNCTION("""COMPUTED_VALUE"""),"GL2411009")</f>
        <v>GL2411009</v>
      </c>
      <c r="R3572" s="57">
        <f>IFERROR(__xludf.DUMMYFUNCTION("""COMPUTED_VALUE"""),45590.0)</f>
        <v>45590</v>
      </c>
      <c r="S3572" s="57">
        <f>IFERROR(__xludf.DUMMYFUNCTION("""COMPUTED_VALUE"""),45593.0)</f>
        <v>45593</v>
      </c>
      <c r="T3572" s="57">
        <f>IFERROR(__xludf.DUMMYFUNCTION("""COMPUTED_VALUE"""),45632.0)</f>
        <v>45632</v>
      </c>
    </row>
    <row r="3573">
      <c r="A3573" s="6" t="str">
        <f>IFERROR(__xludf.DUMMYFUNCTION("""COMPUTED_VALUE"""),"121701985-6")</f>
        <v>121701985-6</v>
      </c>
      <c r="B3573" s="6" t="str">
        <f>IFERROR(__xludf.DUMMYFUNCTION("""COMPUTED_VALUE"""),"121701985 - APPROVED")</f>
        <v>121701985 - APPROVED</v>
      </c>
      <c r="C3573" s="6">
        <f>IFERROR(__xludf.DUMMYFUNCTION("""COMPUTED_VALUE"""),6.0)</f>
        <v>6</v>
      </c>
      <c r="D3573" s="6" t="str">
        <f>IFERROR(__xludf.DUMMYFUNCTION("""COMPUTED_VALUE"""),"O-20118-00")</f>
        <v>O-20118-00</v>
      </c>
      <c r="E3573" s="6" t="str">
        <f>IFERROR(__xludf.DUMMYFUNCTION("""COMPUTED_VALUE"""),"General - Oil Seal TC 150x180x12; No Brand; ; 1 Pc")</f>
        <v>General - Oil Seal TC 150x180x12; No Brand; ; 1 Pc</v>
      </c>
      <c r="F3573" s="6">
        <f>IFERROR(__xludf.DUMMYFUNCTION("""COMPUTED_VALUE"""),2.0)</f>
        <v>2</v>
      </c>
      <c r="G3573" s="6" t="str">
        <f>IFERROR(__xludf.DUMMYFUNCTION("""COMPUTED_VALUE"""),"Pieces")</f>
        <v>Pieces</v>
      </c>
      <c r="H3573" s="6" t="str">
        <f>IFERROR(__xludf.DUMMYFUNCTION("""COMPUTED_VALUE"""),"IDR")</f>
        <v>IDR</v>
      </c>
      <c r="I3573" s="6">
        <f>IFERROR(__xludf.DUMMYFUNCTION("""COMPUTED_VALUE"""),90000.0)</f>
        <v>90000</v>
      </c>
      <c r="J3573" s="6">
        <f>IFERROR(__xludf.DUMMYFUNCTION("""COMPUTED_VALUE"""),180000.0)</f>
        <v>180000</v>
      </c>
      <c r="K3573" s="57">
        <f>IFERROR(__xludf.DUMMYFUNCTION("""COMPUTED_VALUE"""),45592.0)</f>
        <v>45592</v>
      </c>
      <c r="L3573" s="6" t="str">
        <f>IFERROR(__xludf.DUMMYFUNCTION("""COMPUTED_VALUE"""),"FIP Engineering")</f>
        <v>FIP Engineering</v>
      </c>
      <c r="M3573" s="6" t="str">
        <f>IFERROR(__xludf.DUMMYFUNCTION("""COMPUTED_VALUE"""),"Mochammad Fadhillah Hakim,")</f>
        <v>Mochammad Fadhillah Hakim,</v>
      </c>
      <c r="N3573" s="6" t="str">
        <f>IFERROR(__xludf.DUMMYFUNCTION("""COMPUTED_VALUE"""),"FIP Engineering")</f>
        <v>FIP Engineering</v>
      </c>
      <c r="O3573" s="6" t="str">
        <f>IFERROR(__xludf.DUMMYFUNCTION("""COMPUTED_VALUE"""),"FIP-DOM-000-11304-OS00001-INA-000000")</f>
        <v>FIP-DOM-000-11304-OS00001-INA-000000</v>
      </c>
      <c r="P3573" s="6" t="str">
        <f>IFERROR(__xludf.DUMMYFUNCTION("""COMPUTED_VALUE"""),"PO Closed")</f>
        <v>PO Closed</v>
      </c>
      <c r="Q3573" s="6" t="str">
        <f>IFERROR(__xludf.DUMMYFUNCTION("""COMPUTED_VALUE"""),"GL2411009")</f>
        <v>GL2411009</v>
      </c>
      <c r="R3573" s="57">
        <f>IFERROR(__xludf.DUMMYFUNCTION("""COMPUTED_VALUE"""),45590.0)</f>
        <v>45590</v>
      </c>
      <c r="S3573" s="57">
        <f>IFERROR(__xludf.DUMMYFUNCTION("""COMPUTED_VALUE"""),45593.0)</f>
        <v>45593</v>
      </c>
      <c r="T3573" s="57">
        <f>IFERROR(__xludf.DUMMYFUNCTION("""COMPUTED_VALUE"""),45632.0)</f>
        <v>45632</v>
      </c>
    </row>
    <row r="3574">
      <c r="A3574" s="6" t="str">
        <f>IFERROR(__xludf.DUMMYFUNCTION("""COMPUTED_VALUE"""),"121701985-7")</f>
        <v>121701985-7</v>
      </c>
      <c r="B3574" s="6" t="str">
        <f>IFERROR(__xludf.DUMMYFUNCTION("""COMPUTED_VALUE"""),"121701985 - APPROVED")</f>
        <v>121701985 - APPROVED</v>
      </c>
      <c r="C3574" s="6">
        <f>IFERROR(__xludf.DUMMYFUNCTION("""COMPUTED_VALUE"""),7.0)</f>
        <v>7</v>
      </c>
      <c r="D3574" s="6" t="str">
        <f>IFERROR(__xludf.DUMMYFUNCTION("""COMPUTED_VALUE"""),"O-20119-00")</f>
        <v>O-20119-00</v>
      </c>
      <c r="E3574" s="6" t="str">
        <f>IFERROR(__xludf.DUMMYFUNCTION("""COMPUTED_VALUE"""),"General - Oil Seal TC 70x90x10; No Brand; ; 1 Pc")</f>
        <v>General - Oil Seal TC 70x90x10; No Brand; ; 1 Pc</v>
      </c>
      <c r="F3574" s="6">
        <f>IFERROR(__xludf.DUMMYFUNCTION("""COMPUTED_VALUE"""),2.0)</f>
        <v>2</v>
      </c>
      <c r="G3574" s="6" t="str">
        <f>IFERROR(__xludf.DUMMYFUNCTION("""COMPUTED_VALUE"""),"Pieces")</f>
        <v>Pieces</v>
      </c>
      <c r="H3574" s="6" t="str">
        <f>IFERROR(__xludf.DUMMYFUNCTION("""COMPUTED_VALUE"""),"IDR")</f>
        <v>IDR</v>
      </c>
      <c r="I3574" s="6">
        <f>IFERROR(__xludf.DUMMYFUNCTION("""COMPUTED_VALUE"""),32000.0)</f>
        <v>32000</v>
      </c>
      <c r="J3574" s="6">
        <f>IFERROR(__xludf.DUMMYFUNCTION("""COMPUTED_VALUE"""),64000.0)</f>
        <v>64000</v>
      </c>
      <c r="K3574" s="57">
        <f>IFERROR(__xludf.DUMMYFUNCTION("""COMPUTED_VALUE"""),45592.0)</f>
        <v>45592</v>
      </c>
      <c r="L3574" s="6" t="str">
        <f>IFERROR(__xludf.DUMMYFUNCTION("""COMPUTED_VALUE"""),"FIP Engineering")</f>
        <v>FIP Engineering</v>
      </c>
      <c r="M3574" s="6" t="str">
        <f>IFERROR(__xludf.DUMMYFUNCTION("""COMPUTED_VALUE"""),"Mochammad Fadhillah Hakim,")</f>
        <v>Mochammad Fadhillah Hakim,</v>
      </c>
      <c r="N3574" s="6" t="str">
        <f>IFERROR(__xludf.DUMMYFUNCTION("""COMPUTED_VALUE"""),"FIP Engineering")</f>
        <v>FIP Engineering</v>
      </c>
      <c r="O3574" s="6" t="str">
        <f>IFERROR(__xludf.DUMMYFUNCTION("""COMPUTED_VALUE"""),"FIP-DOM-000-11304-OS00001-INA-000000")</f>
        <v>FIP-DOM-000-11304-OS00001-INA-000000</v>
      </c>
      <c r="P3574" s="6" t="str">
        <f>IFERROR(__xludf.DUMMYFUNCTION("""COMPUTED_VALUE"""),"PO Closed")</f>
        <v>PO Closed</v>
      </c>
      <c r="Q3574" s="6" t="str">
        <f>IFERROR(__xludf.DUMMYFUNCTION("""COMPUTED_VALUE"""),"GL2411009")</f>
        <v>GL2411009</v>
      </c>
      <c r="R3574" s="57">
        <f>IFERROR(__xludf.DUMMYFUNCTION("""COMPUTED_VALUE"""),45590.0)</f>
        <v>45590</v>
      </c>
      <c r="S3574" s="57">
        <f>IFERROR(__xludf.DUMMYFUNCTION("""COMPUTED_VALUE"""),45593.0)</f>
        <v>45593</v>
      </c>
      <c r="T3574" s="57">
        <f>IFERROR(__xludf.DUMMYFUNCTION("""COMPUTED_VALUE"""),45632.0)</f>
        <v>45632</v>
      </c>
    </row>
    <row r="3575">
      <c r="A3575" s="6" t="str">
        <f>IFERROR(__xludf.DUMMYFUNCTION("""COMPUTED_VALUE"""),"121701986-1")</f>
        <v>121701986-1</v>
      </c>
      <c r="B3575" s="6" t="str">
        <f>IFERROR(__xludf.DUMMYFUNCTION("""COMPUTED_VALUE"""),"121701986 - APPROVED")</f>
        <v>121701986 - APPROVED</v>
      </c>
      <c r="C3575" s="6">
        <f>IFERROR(__xludf.DUMMYFUNCTION("""COMPUTED_VALUE"""),1.0)</f>
        <v>1</v>
      </c>
      <c r="D3575" s="6" t="str">
        <f>IFERROR(__xludf.DUMMYFUNCTION("""COMPUTED_VALUE"""),"O-20120-00")</f>
        <v>O-20120-00</v>
      </c>
      <c r="E3575" s="6" t="str">
        <f>IFERROR(__xludf.DUMMYFUNCTION("""COMPUTED_VALUE"""),"General - Belt T10 840 25 MM; Optibelt; ; 1 Pc")</f>
        <v>General - Belt T10 840 25 MM; Optibelt; ; 1 Pc</v>
      </c>
      <c r="F3575" s="6">
        <f>IFERROR(__xludf.DUMMYFUNCTION("""COMPUTED_VALUE"""),2.0)</f>
        <v>2</v>
      </c>
      <c r="G3575" s="6" t="str">
        <f>IFERROR(__xludf.DUMMYFUNCTION("""COMPUTED_VALUE"""),"Pieces")</f>
        <v>Pieces</v>
      </c>
      <c r="H3575" s="6" t="str">
        <f>IFERROR(__xludf.DUMMYFUNCTION("""COMPUTED_VALUE"""),"IDR")</f>
        <v>IDR</v>
      </c>
      <c r="I3575" s="6">
        <f>IFERROR(__xludf.DUMMYFUNCTION("""COMPUTED_VALUE"""),336000.0)</f>
        <v>336000</v>
      </c>
      <c r="J3575" s="6">
        <f>IFERROR(__xludf.DUMMYFUNCTION("""COMPUTED_VALUE"""),672000.0)</f>
        <v>672000</v>
      </c>
      <c r="K3575" s="57">
        <f>IFERROR(__xludf.DUMMYFUNCTION("""COMPUTED_VALUE"""),45592.0)</f>
        <v>45592</v>
      </c>
      <c r="L3575" s="6" t="str">
        <f>IFERROR(__xludf.DUMMYFUNCTION("""COMPUTED_VALUE"""),"FIP Engineering")</f>
        <v>FIP Engineering</v>
      </c>
      <c r="M3575" s="6" t="str">
        <f>IFERROR(__xludf.DUMMYFUNCTION("""COMPUTED_VALUE"""),"Mochammad Fadhillah Hakim,")</f>
        <v>Mochammad Fadhillah Hakim,</v>
      </c>
      <c r="N3575" s="6" t="str">
        <f>IFERROR(__xludf.DUMMYFUNCTION("""COMPUTED_VALUE"""),"FIP Engineering")</f>
        <v>FIP Engineering</v>
      </c>
      <c r="O3575" s="6" t="str">
        <f>IFERROR(__xludf.DUMMYFUNCTION("""COMPUTED_VALUE"""),"FIP-DOM-000-11304-OS00001-INA-000000")</f>
        <v>FIP-DOM-000-11304-OS00001-INA-000000</v>
      </c>
      <c r="P3575" s="6" t="str">
        <f>IFERROR(__xludf.DUMMYFUNCTION("""COMPUTED_VALUE"""),"PO Closed")</f>
        <v>PO Closed</v>
      </c>
      <c r="Q3575" s="6" t="str">
        <f>IFERROR(__xludf.DUMMYFUNCTION("""COMPUTED_VALUE"""),"GL2411008")</f>
        <v>GL2411008</v>
      </c>
      <c r="R3575" s="57">
        <f>IFERROR(__xludf.DUMMYFUNCTION("""COMPUTED_VALUE"""),45590.0)</f>
        <v>45590</v>
      </c>
      <c r="S3575" s="57">
        <f>IFERROR(__xludf.DUMMYFUNCTION("""COMPUTED_VALUE"""),45593.0)</f>
        <v>45593</v>
      </c>
      <c r="T3575" s="57">
        <f>IFERROR(__xludf.DUMMYFUNCTION("""COMPUTED_VALUE"""),45632.0)</f>
        <v>45632</v>
      </c>
    </row>
    <row r="3576">
      <c r="A3576" s="6" t="str">
        <f>IFERROR(__xludf.DUMMYFUNCTION("""COMPUTED_VALUE"""),"121701987-1")</f>
        <v>121701987-1</v>
      </c>
      <c r="B3576" s="6" t="str">
        <f>IFERROR(__xludf.DUMMYFUNCTION("""COMPUTED_VALUE"""),"121701987 - APPROVED")</f>
        <v>121701987 - APPROVED</v>
      </c>
      <c r="C3576" s="6">
        <f>IFERROR(__xludf.DUMMYFUNCTION("""COMPUTED_VALUE"""),1.0)</f>
        <v>1</v>
      </c>
      <c r="D3576" s="6" t="str">
        <f>IFERROR(__xludf.DUMMYFUNCTION("""COMPUTED_VALUE"""),"Q-70135-00")</f>
        <v>Q-70135-00</v>
      </c>
      <c r="E3576" s="6" t="str">
        <f>IFERROR(__xludf.DUMMYFUNCTION("""COMPUTED_VALUE"""),"Mini Grinder 3mm with ACC. 217 pcs IRDGS; Krisbow; 10107083; pack size per set")</f>
        <v>Mini Grinder 3mm with ACC. 217 pcs IRDGS; Krisbow; 10107083; pack size per set</v>
      </c>
      <c r="F3576" s="6">
        <f>IFERROR(__xludf.DUMMYFUNCTION("""COMPUTED_VALUE"""),1.0)</f>
        <v>1</v>
      </c>
      <c r="G3576" s="6" t="str">
        <f>IFERROR(__xludf.DUMMYFUNCTION("""COMPUTED_VALUE"""),"Set")</f>
        <v>Set</v>
      </c>
      <c r="H3576" s="6" t="str">
        <f>IFERROR(__xludf.DUMMYFUNCTION("""COMPUTED_VALUE"""),"IDR")</f>
        <v>IDR</v>
      </c>
      <c r="I3576" s="6">
        <f>IFERROR(__xludf.DUMMYFUNCTION("""COMPUTED_VALUE"""),820250.0)</f>
        <v>820250</v>
      </c>
      <c r="J3576" s="6">
        <f>IFERROR(__xludf.DUMMYFUNCTION("""COMPUTED_VALUE"""),820250.0)</f>
        <v>820250</v>
      </c>
      <c r="K3576" s="57">
        <f>IFERROR(__xludf.DUMMYFUNCTION("""COMPUTED_VALUE"""),45595.0)</f>
        <v>45595</v>
      </c>
      <c r="L3576" s="6" t="str">
        <f>IFERROR(__xludf.DUMMYFUNCTION("""COMPUTED_VALUE"""),"FIP General")</f>
        <v>FIP General</v>
      </c>
      <c r="M3576" s="6" t="str">
        <f>IFERROR(__xludf.DUMMYFUNCTION("""COMPUTED_VALUE"""),"Mochammad Fadhillah Hakim,")</f>
        <v>Mochammad Fadhillah Hakim,</v>
      </c>
      <c r="N3576" s="6" t="str">
        <f>IFERROR(__xludf.DUMMYFUNCTION("""COMPUTED_VALUE"""),"FIP Engineering")</f>
        <v>FIP Engineering</v>
      </c>
      <c r="O3576" s="6" t="str">
        <f>IFERROR(__xludf.DUMMYFUNCTION("""COMPUTED_VALUE"""),"FIP-DOM-ENG-51404-0000000-INA-000000")</f>
        <v>FIP-DOM-ENG-51404-0000000-INA-000000</v>
      </c>
      <c r="P3576" s="6" t="str">
        <f>IFERROR(__xludf.DUMMYFUNCTION("""COMPUTED_VALUE"""),"PO Closed")</f>
        <v>PO Closed</v>
      </c>
      <c r="Q3576" s="6" t="str">
        <f>IFERROR(__xludf.DUMMYFUNCTION("""COMPUTED_VALUE"""),"GL2411023")</f>
        <v>GL2411023</v>
      </c>
      <c r="R3576" s="57">
        <f>IFERROR(__xludf.DUMMYFUNCTION("""COMPUTED_VALUE"""),45593.0)</f>
        <v>45593</v>
      </c>
      <c r="S3576" s="57">
        <f>IFERROR(__xludf.DUMMYFUNCTION("""COMPUTED_VALUE"""),45593.0)</f>
        <v>45593</v>
      </c>
      <c r="T3576" s="57">
        <f>IFERROR(__xludf.DUMMYFUNCTION("""COMPUTED_VALUE"""),45624.0)</f>
        <v>45624</v>
      </c>
    </row>
    <row r="3577">
      <c r="A3577" s="6" t="str">
        <f>IFERROR(__xludf.DUMMYFUNCTION("""COMPUTED_VALUE"""),"121701988-1")</f>
        <v>121701988-1</v>
      </c>
      <c r="B3577" s="6" t="str">
        <f>IFERROR(__xludf.DUMMYFUNCTION("""COMPUTED_VALUE"""),"121701988 - APPROVED")</f>
        <v>121701988 - APPROVED</v>
      </c>
      <c r="C3577" s="6">
        <f>IFERROR(__xludf.DUMMYFUNCTION("""COMPUTED_VALUE"""),1.0)</f>
        <v>1</v>
      </c>
      <c r="D3577" s="6" t="str">
        <f>IFERROR(__xludf.DUMMYFUNCTION("""COMPUTED_VALUE"""),"P-19405-00")</f>
        <v>P-19405-00</v>
      </c>
      <c r="E3577" s="6" t="str">
        <f>IFERROR(__xludf.DUMMYFUNCTION("""COMPUTED_VALUE"""),"General- Mechanical Sear CR 32 HQQE; Grundfoss; P/N : 96525458; 1 Pc")</f>
        <v>General- Mechanical Sear CR 32 HQQE; Grundfoss; P/N : 96525458; 1 Pc</v>
      </c>
      <c r="F3577" s="6">
        <f>IFERROR(__xludf.DUMMYFUNCTION("""COMPUTED_VALUE"""),1.0)</f>
        <v>1</v>
      </c>
      <c r="G3577" s="6" t="str">
        <f>IFERROR(__xludf.DUMMYFUNCTION("""COMPUTED_VALUE"""),"Unit")</f>
        <v>Unit</v>
      </c>
      <c r="H3577" s="6" t="str">
        <f>IFERROR(__xludf.DUMMYFUNCTION("""COMPUTED_VALUE"""),"IDR")</f>
        <v>IDR</v>
      </c>
      <c r="I3577" s="6">
        <f>IFERROR(__xludf.DUMMYFUNCTION("""COMPUTED_VALUE"""),6700000.0)</f>
        <v>6700000</v>
      </c>
      <c r="J3577" s="6">
        <f>IFERROR(__xludf.DUMMYFUNCTION("""COMPUTED_VALUE"""),6700000.0)</f>
        <v>6700000</v>
      </c>
      <c r="K3577" s="57">
        <f>IFERROR(__xludf.DUMMYFUNCTION("""COMPUTED_VALUE"""),45595.0)</f>
        <v>45595</v>
      </c>
      <c r="L3577" s="6" t="str">
        <f>IFERROR(__xludf.DUMMYFUNCTION("""COMPUTED_VALUE"""),"FIP Engineering")</f>
        <v>FIP Engineering</v>
      </c>
      <c r="M3577" s="6" t="str">
        <f>IFERROR(__xludf.DUMMYFUNCTION("""COMPUTED_VALUE"""),"Mochammad Fadhillah Hakim,")</f>
        <v>Mochammad Fadhillah Hakim,</v>
      </c>
      <c r="N3577" s="6" t="str">
        <f>IFERROR(__xludf.DUMMYFUNCTION("""COMPUTED_VALUE"""),"FIP Engineering")</f>
        <v>FIP Engineering</v>
      </c>
      <c r="O3577" s="6" t="str">
        <f>IFERROR(__xludf.DUMMYFUNCTION("""COMPUTED_VALUE"""),"FIP-DOM-000-11304-OS00001-INA-000000")</f>
        <v>FIP-DOM-000-11304-OS00001-INA-000000</v>
      </c>
      <c r="P3577" s="6" t="str">
        <f>IFERROR(__xludf.DUMMYFUNCTION("""COMPUTED_VALUE"""),"PO Closed")</f>
        <v>PO Closed</v>
      </c>
      <c r="Q3577" s="6" t="str">
        <f>IFERROR(__xludf.DUMMYFUNCTION("""COMPUTED_VALUE"""),"GL2411032")</f>
        <v>GL2411032</v>
      </c>
      <c r="R3577" s="57">
        <f>IFERROR(__xludf.DUMMYFUNCTION("""COMPUTED_VALUE"""),45593.0)</f>
        <v>45593</v>
      </c>
      <c r="S3577" s="57">
        <f>IFERROR(__xludf.DUMMYFUNCTION("""COMPUTED_VALUE"""),45595.0)</f>
        <v>45595</v>
      </c>
      <c r="T3577" s="57">
        <f>IFERROR(__xludf.DUMMYFUNCTION("""COMPUTED_VALUE"""),45618.0)</f>
        <v>45618</v>
      </c>
    </row>
    <row r="3578">
      <c r="A3578" s="6" t="str">
        <f>IFERROR(__xludf.DUMMYFUNCTION("""COMPUTED_VALUE"""),"121702000-1")</f>
        <v>121702000-1</v>
      </c>
      <c r="B3578" s="6" t="str">
        <f>IFERROR(__xludf.DUMMYFUNCTION("""COMPUTED_VALUE"""),"121702000 - APPROVED")</f>
        <v>121702000 - APPROVED</v>
      </c>
      <c r="C3578" s="6">
        <f>IFERROR(__xludf.DUMMYFUNCTION("""COMPUTED_VALUE"""),1.0)</f>
        <v>1</v>
      </c>
      <c r="D3578" s="6" t="str">
        <f>IFERROR(__xludf.DUMMYFUNCTION("""COMPUTED_VALUE"""),"P-53023-00")</f>
        <v>P-53023-00</v>
      </c>
      <c r="E3578" s="6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F3578" s="6">
        <f>IFERROR(__xludf.DUMMYFUNCTION("""COMPUTED_VALUE"""),1.0)</f>
        <v>1</v>
      </c>
      <c r="G3578" s="6" t="str">
        <f>IFERROR(__xludf.DUMMYFUNCTION("""COMPUTED_VALUE"""),"Unit")</f>
        <v>Unit</v>
      </c>
      <c r="H3578" s="6" t="str">
        <f>IFERROR(__xludf.DUMMYFUNCTION("""COMPUTED_VALUE"""),"IDR")</f>
        <v>IDR</v>
      </c>
      <c r="I3578" s="6">
        <f>IFERROR(__xludf.DUMMYFUNCTION("""COMPUTED_VALUE"""),1.7E7)</f>
        <v>17000000</v>
      </c>
      <c r="J3578" s="6">
        <f>IFERROR(__xludf.DUMMYFUNCTION("""COMPUTED_VALUE"""),1.7E7)</f>
        <v>17000000</v>
      </c>
      <c r="K3578" s="57">
        <f>IFERROR(__xludf.DUMMYFUNCTION("""COMPUTED_VALUE"""),45597.0)</f>
        <v>45597</v>
      </c>
      <c r="L3578" s="6" t="str">
        <f>IFERROR(__xludf.DUMMYFUNCTION("""COMPUTED_VALUE"""),"FIP Engineering")</f>
        <v>FIP Engineering</v>
      </c>
      <c r="M3578" s="6" t="str">
        <f>IFERROR(__xludf.DUMMYFUNCTION("""COMPUTED_VALUE"""),"Mochammad Fadhillah Hakim,")</f>
        <v>Mochammad Fadhillah Hakim,</v>
      </c>
      <c r="N3578" s="6" t="str">
        <f>IFERROR(__xludf.DUMMYFUNCTION("""COMPUTED_VALUE"""),"FIP Engineering")</f>
        <v>FIP Engineering</v>
      </c>
      <c r="O3578" s="6" t="str">
        <f>IFERROR(__xludf.DUMMYFUNCTION("""COMPUTED_VALUE"""),"FIP-DOM-000-11304-OS00001-INA-000000")</f>
        <v>FIP-DOM-000-11304-OS00001-INA-000000</v>
      </c>
      <c r="P3578" s="6" t="str">
        <f>IFERROR(__xludf.DUMMYFUNCTION("""COMPUTED_VALUE"""),"PO Closed")</f>
        <v>PO Closed</v>
      </c>
      <c r="Q3578" s="6" t="str">
        <f>IFERROR(__xludf.DUMMYFUNCTION("""COMPUTED_VALUE"""),"GL2410072")</f>
        <v>GL2410072</v>
      </c>
      <c r="R3578" s="57">
        <f>IFERROR(__xludf.DUMMYFUNCTION("""COMPUTED_VALUE"""),45595.0)</f>
        <v>45595</v>
      </c>
      <c r="S3578" s="57">
        <f>IFERROR(__xludf.DUMMYFUNCTION("""COMPUTED_VALUE"""),45596.0)</f>
        <v>45596</v>
      </c>
      <c r="T3578" s="57">
        <f>IFERROR(__xludf.DUMMYFUNCTION("""COMPUTED_VALUE"""),45610.0)</f>
        <v>45610</v>
      </c>
    </row>
    <row r="3579">
      <c r="A3579" s="6" t="str">
        <f>IFERROR(__xludf.DUMMYFUNCTION("""COMPUTED_VALUE"""),"121702025-1")</f>
        <v>121702025-1</v>
      </c>
      <c r="B3579" s="6" t="str">
        <f>IFERROR(__xludf.DUMMYFUNCTION("""COMPUTED_VALUE"""),"121702025 - APPROVED")</f>
        <v>121702025 - APPROVED</v>
      </c>
      <c r="C3579" s="6">
        <f>IFERROR(__xludf.DUMMYFUNCTION("""COMPUTED_VALUE"""),1.0)</f>
        <v>1</v>
      </c>
      <c r="D3579" s="6" t="str">
        <f>IFERROR(__xludf.DUMMYFUNCTION("""COMPUTED_VALUE"""),"P-13398-00")</f>
        <v>P-13398-00</v>
      </c>
      <c r="E3579" s="6" t="str">
        <f>IFERROR(__xludf.DUMMYFUNCTION("""COMPUTED_VALUE"""),"MEASURING TAPE 5MX19MM W/MAGNET; ; Part No. 10070238;")</f>
        <v>MEASURING TAPE 5MX19MM W/MAGNET; ; Part No. 10070238;</v>
      </c>
      <c r="F3579" s="6">
        <f>IFERROR(__xludf.DUMMYFUNCTION("""COMPUTED_VALUE"""),5.0)</f>
        <v>5</v>
      </c>
      <c r="G3579" s="6" t="str">
        <f>IFERROR(__xludf.DUMMYFUNCTION("""COMPUTED_VALUE"""),"Pieces")</f>
        <v>Pieces</v>
      </c>
      <c r="H3579" s="6" t="str">
        <f>IFERROR(__xludf.DUMMYFUNCTION("""COMPUTED_VALUE"""),"IDR")</f>
        <v>IDR</v>
      </c>
      <c r="I3579" s="6">
        <f>IFERROR(__xludf.DUMMYFUNCTION("""COMPUTED_VALUE"""),45560.0)</f>
        <v>45560</v>
      </c>
      <c r="J3579" s="6">
        <f>IFERROR(__xludf.DUMMYFUNCTION("""COMPUTED_VALUE"""),227800.0)</f>
        <v>227800</v>
      </c>
      <c r="K3579" s="57">
        <f>IFERROR(__xludf.DUMMYFUNCTION("""COMPUTED_VALUE"""),45602.0)</f>
        <v>45602</v>
      </c>
      <c r="L3579" s="6" t="str">
        <f>IFERROR(__xludf.DUMMYFUNCTION("""COMPUTED_VALUE"""),"FIP General")</f>
        <v>FIP General</v>
      </c>
      <c r="M3579" s="6" t="str">
        <f>IFERROR(__xludf.DUMMYFUNCTION("""COMPUTED_VALUE"""),"Mochammad Fadhillah Hakim,")</f>
        <v>Mochammad Fadhillah Hakim,</v>
      </c>
      <c r="N3579" s="6" t="str">
        <f>IFERROR(__xludf.DUMMYFUNCTION("""COMPUTED_VALUE"""),"FIP Engineering")</f>
        <v>FIP Engineering</v>
      </c>
      <c r="O3579" s="6" t="str">
        <f>IFERROR(__xludf.DUMMYFUNCTION("""COMPUTED_VALUE"""),"FIP-DOM-ENG-51404-0000000-INA-000000")</f>
        <v>FIP-DOM-ENG-51404-0000000-INA-000000</v>
      </c>
      <c r="P3579" s="6" t="str">
        <f>IFERROR(__xludf.DUMMYFUNCTION("""COMPUTED_VALUE"""),"PO Closed")</f>
        <v>PO Closed</v>
      </c>
      <c r="Q3579" s="6" t="str">
        <f>IFERROR(__xludf.DUMMYFUNCTION("""COMPUTED_VALUE"""),"GL2412024")</f>
        <v>GL2412024</v>
      </c>
      <c r="R3579" s="57">
        <f>IFERROR(__xludf.DUMMYFUNCTION("""COMPUTED_VALUE"""),45600.0)</f>
        <v>45600</v>
      </c>
      <c r="S3579" s="57">
        <f>IFERROR(__xludf.DUMMYFUNCTION("""COMPUTED_VALUE"""),45600.0)</f>
        <v>45600</v>
      </c>
      <c r="T3579" s="57">
        <f>IFERROR(__xludf.DUMMYFUNCTION("""COMPUTED_VALUE"""),45646.0)</f>
        <v>45646</v>
      </c>
    </row>
    <row r="3580">
      <c r="A3580" s="6" t="str">
        <f>IFERROR(__xludf.DUMMYFUNCTION("""COMPUTED_VALUE"""),"121702030-1")</f>
        <v>121702030-1</v>
      </c>
      <c r="B3580" s="6" t="str">
        <f>IFERROR(__xludf.DUMMYFUNCTION("""COMPUTED_VALUE"""),"121702030 - APPROVED")</f>
        <v>121702030 - APPROVED</v>
      </c>
      <c r="C3580" s="6">
        <f>IFERROR(__xludf.DUMMYFUNCTION("""COMPUTED_VALUE"""),1.0)</f>
        <v>1</v>
      </c>
      <c r="D3580" s="6" t="str">
        <f>IFERROR(__xludf.DUMMYFUNCTION("""COMPUTED_VALUE"""),"O-18344-00")</f>
        <v>O-18344-00</v>
      </c>
      <c r="E3580" s="6" t="str">
        <f>IFERROR(__xludf.DUMMYFUNCTION("""COMPUTED_VALUE"""),"Capping VCM200 - Roller trimmer D=48X18 inclination=7 for alucap D=20; ; ;")</f>
        <v>Capping VCM200 - Roller trimmer D=48X18 inclination=7 for alucap D=20; ; ;</v>
      </c>
      <c r="F3580" s="6">
        <f>IFERROR(__xludf.DUMMYFUNCTION("""COMPUTED_VALUE"""),10.0)</f>
        <v>10</v>
      </c>
      <c r="G3580" s="6" t="str">
        <f>IFERROR(__xludf.DUMMYFUNCTION("""COMPUTED_VALUE"""),"Pieces")</f>
        <v>Pieces</v>
      </c>
      <c r="H3580" s="6" t="str">
        <f>IFERROR(__xludf.DUMMYFUNCTION("""COMPUTED_VALUE"""),"IDR")</f>
        <v>IDR</v>
      </c>
      <c r="I3580" s="6">
        <f>IFERROR(__xludf.DUMMYFUNCTION("""COMPUTED_VALUE"""),5937366.0)</f>
        <v>5937366</v>
      </c>
      <c r="J3580" s="6">
        <f>IFERROR(__xludf.DUMMYFUNCTION("""COMPUTED_VALUE"""),5.9373658E7)</f>
        <v>59373658</v>
      </c>
      <c r="K3580" s="57">
        <f>IFERROR(__xludf.DUMMYFUNCTION("""COMPUTED_VALUE"""),45603.0)</f>
        <v>45603</v>
      </c>
      <c r="L3580" s="6" t="str">
        <f>IFERROR(__xludf.DUMMYFUNCTION("""COMPUTED_VALUE"""),"FIP Engineering")</f>
        <v>FIP Engineering</v>
      </c>
      <c r="M3580" s="6" t="str">
        <f>IFERROR(__xludf.DUMMYFUNCTION("""COMPUTED_VALUE"""),"Mochammad Fadhillah Hakim,")</f>
        <v>Mochammad Fadhillah Hakim,</v>
      </c>
      <c r="N3580" s="6" t="str">
        <f>IFERROR(__xludf.DUMMYFUNCTION("""COMPUTED_VALUE"""),"FIP Engineering")</f>
        <v>FIP Engineering</v>
      </c>
      <c r="O3580" s="6" t="str">
        <f>IFERROR(__xludf.DUMMYFUNCTION("""COMPUTED_VALUE"""),"FIP-DOM-000-11304-OS00001-INA-000000")</f>
        <v>FIP-DOM-000-11304-OS00001-INA-000000</v>
      </c>
      <c r="P3580" s="6" t="str">
        <f>IFERROR(__xludf.DUMMYFUNCTION("""COMPUTED_VALUE"""),"PO Closed")</f>
        <v>PO Closed</v>
      </c>
      <c r="Q3580" s="6" t="str">
        <f>IFERROR(__xludf.DUMMYFUNCTION("""COMPUTED_VALUE"""),"GL2411060")</f>
        <v>GL2411060</v>
      </c>
      <c r="R3580" s="57">
        <f>IFERROR(__xludf.DUMMYFUNCTION("""COMPUTED_VALUE"""),45601.0)</f>
        <v>45601</v>
      </c>
      <c r="S3580" s="57">
        <f>IFERROR(__xludf.DUMMYFUNCTION("""COMPUTED_VALUE"""),45602.0)</f>
        <v>45602</v>
      </c>
      <c r="T3580" s="57">
        <f>IFERROR(__xludf.DUMMYFUNCTION("""COMPUTED_VALUE"""),45727.0)</f>
        <v>45727</v>
      </c>
    </row>
    <row r="3581">
      <c r="A3581" s="6" t="str">
        <f>IFERROR(__xludf.DUMMYFUNCTION("""COMPUTED_VALUE"""),"121702031-1")</f>
        <v>121702031-1</v>
      </c>
      <c r="B3581" s="6" t="str">
        <f>IFERROR(__xludf.DUMMYFUNCTION("""COMPUTED_VALUE"""),"121702031 - APPROVED")</f>
        <v>121702031 - APPROVED</v>
      </c>
      <c r="C3581" s="6">
        <f>IFERROR(__xludf.DUMMYFUNCTION("""COMPUTED_VALUE"""),1.0)</f>
        <v>1</v>
      </c>
      <c r="D3581" s="6" t="str">
        <f>IFERROR(__xludf.DUMMYFUNCTION("""COMPUTED_VALUE"""),"O-15902-00")</f>
        <v>O-15902-00</v>
      </c>
      <c r="E3581" s="6" t="str">
        <f>IFERROR(__xludf.DUMMYFUNCTION("""COMPUTED_VALUE"""),"Suction Cup capping size 6R; P/N : 011010; ; ;")</f>
        <v>Suction Cup capping size 6R; P/N : 011010; ; ;</v>
      </c>
      <c r="F3581" s="6">
        <f>IFERROR(__xludf.DUMMYFUNCTION("""COMPUTED_VALUE"""),100.0)</f>
        <v>100</v>
      </c>
      <c r="G3581" s="6" t="str">
        <f>IFERROR(__xludf.DUMMYFUNCTION("""COMPUTED_VALUE"""),"Pieces")</f>
        <v>Pieces</v>
      </c>
      <c r="H3581" s="6" t="str">
        <f>IFERROR(__xludf.DUMMYFUNCTION("""COMPUTED_VALUE"""),"IDR")</f>
        <v>IDR</v>
      </c>
      <c r="I3581" s="6">
        <f>IFERROR(__xludf.DUMMYFUNCTION("""COMPUTED_VALUE"""),33034.0)</f>
        <v>33034</v>
      </c>
      <c r="J3581" s="6">
        <f>IFERROR(__xludf.DUMMYFUNCTION("""COMPUTED_VALUE"""),3303360.0)</f>
        <v>3303360</v>
      </c>
      <c r="K3581" s="57">
        <f>IFERROR(__xludf.DUMMYFUNCTION("""COMPUTED_VALUE"""),45603.0)</f>
        <v>45603</v>
      </c>
      <c r="L3581" s="6" t="str">
        <f>IFERROR(__xludf.DUMMYFUNCTION("""COMPUTED_VALUE"""),"FIP Engineering")</f>
        <v>FIP Engineering</v>
      </c>
      <c r="M3581" s="6" t="str">
        <f>IFERROR(__xludf.DUMMYFUNCTION("""COMPUTED_VALUE"""),"Mochammad Fadhillah Hakim,")</f>
        <v>Mochammad Fadhillah Hakim,</v>
      </c>
      <c r="N3581" s="6" t="str">
        <f>IFERROR(__xludf.DUMMYFUNCTION("""COMPUTED_VALUE"""),"FIP Engineering")</f>
        <v>FIP Engineering</v>
      </c>
      <c r="O3581" s="6" t="str">
        <f>IFERROR(__xludf.DUMMYFUNCTION("""COMPUTED_VALUE"""),"FIP-DOM-000-11304-OS00001-INA-000000")</f>
        <v>FIP-DOM-000-11304-OS00001-INA-000000</v>
      </c>
      <c r="P3581" s="6" t="str">
        <f>IFERROR(__xludf.DUMMYFUNCTION("""COMPUTED_VALUE"""),"PO Closed")</f>
        <v>PO Closed</v>
      </c>
      <c r="Q3581" s="6" t="str">
        <f>IFERROR(__xludf.DUMMYFUNCTION("""COMPUTED_VALUE"""),"GL2501032")</f>
        <v>GL2501032</v>
      </c>
      <c r="R3581" s="57">
        <f>IFERROR(__xludf.DUMMYFUNCTION("""COMPUTED_VALUE"""),45601.0)</f>
        <v>45601</v>
      </c>
      <c r="S3581" s="57">
        <f>IFERROR(__xludf.DUMMYFUNCTION("""COMPUTED_VALUE"""),45602.0)</f>
        <v>45602</v>
      </c>
      <c r="T3581" s="57">
        <f>IFERROR(__xludf.DUMMYFUNCTION("""COMPUTED_VALUE"""),45723.0)</f>
        <v>45723</v>
      </c>
    </row>
    <row r="3582">
      <c r="A3582" s="6" t="str">
        <f>IFERROR(__xludf.DUMMYFUNCTION("""COMPUTED_VALUE"""),"121702032-1")</f>
        <v>121702032-1</v>
      </c>
      <c r="B3582" s="6" t="str">
        <f>IFERROR(__xludf.DUMMYFUNCTION("""COMPUTED_VALUE"""),"121702032 - APPROVED")</f>
        <v>121702032 - APPROVED</v>
      </c>
      <c r="C3582" s="6">
        <f>IFERROR(__xludf.DUMMYFUNCTION("""COMPUTED_VALUE"""),1.0)</f>
        <v>1</v>
      </c>
      <c r="D3582" s="6" t="str">
        <f>IFERROR(__xludf.DUMMYFUNCTION("""COMPUTED_VALUE"""),"P-19434-00")</f>
        <v>P-19434-00</v>
      </c>
      <c r="E3582" s="6" t="str">
        <f>IFERROR(__xludf.DUMMYFUNCTION("""COMPUTED_VALUE"""),"General - Chemical Cleaning; Kuclean; AC 101; 1 PL = 25 Kg")</f>
        <v>General - Chemical Cleaning; Kuclean; AC 101; 1 PL = 25 Kg</v>
      </c>
      <c r="F3582" s="6">
        <f>IFERROR(__xludf.DUMMYFUNCTION("""COMPUTED_VALUE"""),1.0)</f>
        <v>1</v>
      </c>
      <c r="G3582" s="6" t="str">
        <f>IFERROR(__xludf.DUMMYFUNCTION("""COMPUTED_VALUE"""),"Pail")</f>
        <v>Pail</v>
      </c>
      <c r="H3582" s="6" t="str">
        <f>IFERROR(__xludf.DUMMYFUNCTION("""COMPUTED_VALUE"""),"IDR")</f>
        <v>IDR</v>
      </c>
      <c r="I3582" s="6">
        <f>IFERROR(__xludf.DUMMYFUNCTION("""COMPUTED_VALUE"""),875000.0)</f>
        <v>875000</v>
      </c>
      <c r="J3582" s="6">
        <f>IFERROR(__xludf.DUMMYFUNCTION("""COMPUTED_VALUE"""),875000.0)</f>
        <v>875000</v>
      </c>
      <c r="K3582" s="57">
        <f>IFERROR(__xludf.DUMMYFUNCTION("""COMPUTED_VALUE"""),45603.0)</f>
        <v>45603</v>
      </c>
      <c r="L3582" s="6" t="str">
        <f>IFERROR(__xludf.DUMMYFUNCTION("""COMPUTED_VALUE"""),"FIP Engineering")</f>
        <v>FIP Engineering</v>
      </c>
      <c r="M3582" s="6" t="str">
        <f>IFERROR(__xludf.DUMMYFUNCTION("""COMPUTED_VALUE"""),"Mochammad Fadhillah Hakim,")</f>
        <v>Mochammad Fadhillah Hakim,</v>
      </c>
      <c r="N3582" s="6" t="str">
        <f>IFERROR(__xludf.DUMMYFUNCTION("""COMPUTED_VALUE"""),"FIP Engineering")</f>
        <v>FIP Engineering</v>
      </c>
      <c r="O3582" s="6" t="str">
        <f>IFERROR(__xludf.DUMMYFUNCTION("""COMPUTED_VALUE"""),"FIP-DOM-000-11304-OS00001-INA-000000")</f>
        <v>FIP-DOM-000-11304-OS00001-INA-000000</v>
      </c>
      <c r="P3582" s="6" t="str">
        <f>IFERROR(__xludf.DUMMYFUNCTION("""COMPUTED_VALUE"""),"PO Closed")</f>
        <v>PO Closed</v>
      </c>
      <c r="Q3582" s="6" t="str">
        <f>IFERROR(__xludf.DUMMYFUNCTION("""COMPUTED_VALUE"""),"GL2411062")</f>
        <v>GL2411062</v>
      </c>
      <c r="R3582" s="57">
        <f>IFERROR(__xludf.DUMMYFUNCTION("""COMPUTED_VALUE"""),45601.0)</f>
        <v>45601</v>
      </c>
      <c r="S3582" s="57">
        <f>IFERROR(__xludf.DUMMYFUNCTION("""COMPUTED_VALUE"""),45602.0)</f>
        <v>45602</v>
      </c>
      <c r="T3582" s="57">
        <f>IFERROR(__xludf.DUMMYFUNCTION("""COMPUTED_VALUE"""),45603.0)</f>
        <v>45603</v>
      </c>
    </row>
    <row r="3583">
      <c r="A3583" s="6" t="str">
        <f>IFERROR(__xludf.DUMMYFUNCTION("""COMPUTED_VALUE"""),"121702033-1")</f>
        <v>121702033-1</v>
      </c>
      <c r="B3583" s="6" t="str">
        <f>IFERROR(__xludf.DUMMYFUNCTION("""COMPUTED_VALUE"""),"121702033 - APPROVED")</f>
        <v>121702033 - APPROVED</v>
      </c>
      <c r="C3583" s="6">
        <f>IFERROR(__xludf.DUMMYFUNCTION("""COMPUTED_VALUE"""),1.0)</f>
        <v>1</v>
      </c>
      <c r="D3583" s="6" t="str">
        <f>IFERROR(__xludf.DUMMYFUNCTION("""COMPUTED_VALUE"""),"P-11356-00")</f>
        <v>P-11356-00</v>
      </c>
      <c r="E3583" s="6" t="str">
        <f>IFERROR(__xludf.DUMMYFUNCTION("""COMPUTED_VALUE"""),"Roda Trolly ABUS 4"" ( 100 x 27 ) Without Breake")</f>
        <v>Roda Trolly ABUS 4" ( 100 x 27 ) Without Breake</v>
      </c>
      <c r="F3583" s="6">
        <f>IFERROR(__xludf.DUMMYFUNCTION("""COMPUTED_VALUE"""),2.0)</f>
        <v>2</v>
      </c>
      <c r="G3583" s="6" t="str">
        <f>IFERROR(__xludf.DUMMYFUNCTION("""COMPUTED_VALUE"""),"Pieces")</f>
        <v>Pieces</v>
      </c>
      <c r="H3583" s="6" t="str">
        <f>IFERROR(__xludf.DUMMYFUNCTION("""COMPUTED_VALUE"""),"IDR")</f>
        <v>IDR</v>
      </c>
      <c r="I3583" s="6">
        <f>IFERROR(__xludf.DUMMYFUNCTION("""COMPUTED_VALUE"""),465000.0)</f>
        <v>465000</v>
      </c>
      <c r="J3583" s="6">
        <f>IFERROR(__xludf.DUMMYFUNCTION("""COMPUTED_VALUE"""),930000.0)</f>
        <v>930000</v>
      </c>
      <c r="K3583" s="57">
        <f>IFERROR(__xludf.DUMMYFUNCTION("""COMPUTED_VALUE"""),45603.0)</f>
        <v>45603</v>
      </c>
      <c r="L3583" s="6" t="str">
        <f>IFERROR(__xludf.DUMMYFUNCTION("""COMPUTED_VALUE"""),"FIP Engineering")</f>
        <v>FIP Engineering</v>
      </c>
      <c r="M3583" s="6" t="str">
        <f>IFERROR(__xludf.DUMMYFUNCTION("""COMPUTED_VALUE"""),"Mochammad Fadhillah Hakim,")</f>
        <v>Mochammad Fadhillah Hakim,</v>
      </c>
      <c r="N3583" s="6" t="str">
        <f>IFERROR(__xludf.DUMMYFUNCTION("""COMPUTED_VALUE"""),"FIP Engineering")</f>
        <v>FIP Engineering</v>
      </c>
      <c r="O3583" s="6" t="str">
        <f>IFERROR(__xludf.DUMMYFUNCTION("""COMPUTED_VALUE"""),"FIP-DOM-000-11304-OS00001-INA-000000")</f>
        <v>FIP-DOM-000-11304-OS00001-INA-000000</v>
      </c>
      <c r="P3583" s="6" t="str">
        <f>IFERROR(__xludf.DUMMYFUNCTION("""COMPUTED_VALUE"""),"PO Closed")</f>
        <v>PO Closed</v>
      </c>
      <c r="Q3583" s="6" t="str">
        <f>IFERROR(__xludf.DUMMYFUNCTION("""COMPUTED_VALUE"""),"GL2411051")</f>
        <v>GL2411051</v>
      </c>
      <c r="R3583" s="57">
        <f>IFERROR(__xludf.DUMMYFUNCTION("""COMPUTED_VALUE"""),45601.0)</f>
        <v>45601</v>
      </c>
      <c r="S3583" s="57">
        <f>IFERROR(__xludf.DUMMYFUNCTION("""COMPUTED_VALUE"""),45601.0)</f>
        <v>45601</v>
      </c>
      <c r="T3583" s="57">
        <f>IFERROR(__xludf.DUMMYFUNCTION("""COMPUTED_VALUE"""),45646.0)</f>
        <v>45646</v>
      </c>
    </row>
    <row r="3584">
      <c r="A3584" s="6" t="str">
        <f>IFERROR(__xludf.DUMMYFUNCTION("""COMPUTED_VALUE"""),"121702034-1")</f>
        <v>121702034-1</v>
      </c>
      <c r="B3584" s="6" t="str">
        <f>IFERROR(__xludf.DUMMYFUNCTION("""COMPUTED_VALUE"""),"121702034 - APPROVED")</f>
        <v>121702034 - APPROVED</v>
      </c>
      <c r="C3584" s="6">
        <f>IFERROR(__xludf.DUMMYFUNCTION("""COMPUTED_VALUE"""),1.0)</f>
        <v>1</v>
      </c>
      <c r="D3584" s="6" t="str">
        <f>IFERROR(__xludf.DUMMYFUNCTION("""COMPUTED_VALUE"""),"T-20791-00")</f>
        <v>T-20791-00</v>
      </c>
      <c r="E3584" s="6" t="str">
        <f>IFERROR(__xludf.DUMMYFUNCTION("""COMPUTED_VALUE"""),"Heater/Cooler Engine 2690; Waters; 700001066;")</f>
        <v>Heater/Cooler Engine 2690; Waters; 700001066;</v>
      </c>
      <c r="F3584" s="6">
        <f>IFERROR(__xludf.DUMMYFUNCTION("""COMPUTED_VALUE"""),1.0)</f>
        <v>1</v>
      </c>
      <c r="G3584" s="6" t="str">
        <f>IFERROR(__xludf.DUMMYFUNCTION("""COMPUTED_VALUE"""),"Unit")</f>
        <v>Unit</v>
      </c>
      <c r="H3584" s="6" t="str">
        <f>IFERROR(__xludf.DUMMYFUNCTION("""COMPUTED_VALUE"""),"IDR")</f>
        <v>IDR</v>
      </c>
      <c r="I3584" s="6">
        <f>IFERROR(__xludf.DUMMYFUNCTION("""COMPUTED_VALUE"""),2.280285E7)</f>
        <v>22802850</v>
      </c>
      <c r="J3584" s="6">
        <f>IFERROR(__xludf.DUMMYFUNCTION("""COMPUTED_VALUE"""),2.280285E7)</f>
        <v>22802850</v>
      </c>
      <c r="K3584" s="57">
        <f>IFERROR(__xludf.DUMMYFUNCTION("""COMPUTED_VALUE"""),45603.0)</f>
        <v>45603</v>
      </c>
      <c r="L3584" s="6" t="str">
        <f>IFERROR(__xludf.DUMMYFUNCTION("""COMPUTED_VALUE"""),"FIP General")</f>
        <v>FIP General</v>
      </c>
      <c r="M3584" s="6" t="str">
        <f>IFERROR(__xludf.DUMMYFUNCTION("""COMPUTED_VALUE"""),"Mochammad Fadhillah Hakim,")</f>
        <v>Mochammad Fadhillah Hakim,</v>
      </c>
      <c r="N3584" s="6" t="str">
        <f>IFERROR(__xludf.DUMMYFUNCTION("""COMPUTED_VALUE"""),"FIP Engineering")</f>
        <v>FIP Engineering</v>
      </c>
      <c r="O3584" s="6" t="str">
        <f>IFERROR(__xludf.DUMMYFUNCTION("""COMPUTED_VALUE"""),"FIP-DOM-ENG-51505-0000000-INA-000000")</f>
        <v>FIP-DOM-ENG-51505-0000000-INA-000000</v>
      </c>
      <c r="P3584" s="6" t="str">
        <f>IFERROR(__xludf.DUMMYFUNCTION("""COMPUTED_VALUE"""),"PO Closed")</f>
        <v>PO Closed</v>
      </c>
      <c r="Q3584" s="6" t="str">
        <f>IFERROR(__xludf.DUMMYFUNCTION("""COMPUTED_VALUE"""),"GL2412466")</f>
        <v>GL2412466</v>
      </c>
      <c r="R3584" s="57">
        <f>IFERROR(__xludf.DUMMYFUNCTION("""COMPUTED_VALUE"""),45601.0)</f>
        <v>45601</v>
      </c>
      <c r="S3584" s="57">
        <f>IFERROR(__xludf.DUMMYFUNCTION("""COMPUTED_VALUE"""),45601.0)</f>
        <v>45601</v>
      </c>
      <c r="T3584" s="57">
        <f>IFERROR(__xludf.DUMMYFUNCTION("""COMPUTED_VALUE"""),45603.0)</f>
        <v>45603</v>
      </c>
    </row>
    <row r="3585">
      <c r="A3585" s="6" t="str">
        <f>IFERROR(__xludf.DUMMYFUNCTION("""COMPUTED_VALUE"""),"121702035-1")</f>
        <v>121702035-1</v>
      </c>
      <c r="B3585" s="6" t="str">
        <f>IFERROR(__xludf.DUMMYFUNCTION("""COMPUTED_VALUE"""),"121702035 - APPROVED")</f>
        <v>121702035 - APPROVED</v>
      </c>
      <c r="C3585" s="6">
        <f>IFERROR(__xludf.DUMMYFUNCTION("""COMPUTED_VALUE"""),1.0)</f>
        <v>1</v>
      </c>
      <c r="D3585" s="6" t="str">
        <f>IFERROR(__xludf.DUMMYFUNCTION("""COMPUTED_VALUE"""),"O-20093-00")</f>
        <v>O-20093-00</v>
      </c>
      <c r="E3585" s="6" t="str">
        <f>IFERROR(__xludf.DUMMYFUNCTION("""COMPUTED_VALUE"""),"Washing RAR4 - Dudukan Selang WFI Washing 20x45x35; Custom/Lokal; ; 1 Pc")</f>
        <v>Washing RAR4 - Dudukan Selang WFI Washing 20x45x35; Custom/Lokal; ; 1 Pc</v>
      </c>
      <c r="F3585" s="6">
        <f>IFERROR(__xludf.DUMMYFUNCTION("""COMPUTED_VALUE"""),1.0)</f>
        <v>1</v>
      </c>
      <c r="G3585" s="6" t="str">
        <f>IFERROR(__xludf.DUMMYFUNCTION("""COMPUTED_VALUE"""),"Pieces")</f>
        <v>Pieces</v>
      </c>
      <c r="H3585" s="6" t="str">
        <f>IFERROR(__xludf.DUMMYFUNCTION("""COMPUTED_VALUE"""),"IDR")</f>
        <v>IDR</v>
      </c>
      <c r="I3585" s="6">
        <f>IFERROR(__xludf.DUMMYFUNCTION("""COMPUTED_VALUE"""),1695000.0)</f>
        <v>1695000</v>
      </c>
      <c r="J3585" s="6">
        <f>IFERROR(__xludf.DUMMYFUNCTION("""COMPUTED_VALUE"""),1695000.0)</f>
        <v>1695000</v>
      </c>
      <c r="K3585" s="57">
        <f>IFERROR(__xludf.DUMMYFUNCTION("""COMPUTED_VALUE"""),45603.0)</f>
        <v>45603</v>
      </c>
      <c r="L3585" s="6" t="str">
        <f>IFERROR(__xludf.DUMMYFUNCTION("""COMPUTED_VALUE"""),"FIP Engineering")</f>
        <v>FIP Engineering</v>
      </c>
      <c r="M3585" s="6" t="str">
        <f>IFERROR(__xludf.DUMMYFUNCTION("""COMPUTED_VALUE"""),"Mochammad Fadhillah Hakim,")</f>
        <v>Mochammad Fadhillah Hakim,</v>
      </c>
      <c r="N3585" s="6" t="str">
        <f>IFERROR(__xludf.DUMMYFUNCTION("""COMPUTED_VALUE"""),"FIP Engineering")</f>
        <v>FIP Engineering</v>
      </c>
      <c r="O3585" s="6" t="str">
        <f>IFERROR(__xludf.DUMMYFUNCTION("""COMPUTED_VALUE"""),"FIP-DOM-000-11304-OS00001-INA-000000")</f>
        <v>FIP-DOM-000-11304-OS00001-INA-000000</v>
      </c>
      <c r="P3585" s="6" t="str">
        <f>IFERROR(__xludf.DUMMYFUNCTION("""COMPUTED_VALUE"""),"PO Closed")</f>
        <v>PO Closed</v>
      </c>
      <c r="Q3585" s="6" t="str">
        <f>IFERROR(__xludf.DUMMYFUNCTION("""COMPUTED_VALUE"""),"GL2501005")</f>
        <v>GL2501005</v>
      </c>
      <c r="R3585" s="57">
        <f>IFERROR(__xludf.DUMMYFUNCTION("""COMPUTED_VALUE"""),45601.0)</f>
        <v>45601</v>
      </c>
      <c r="S3585" s="57">
        <f>IFERROR(__xludf.DUMMYFUNCTION("""COMPUTED_VALUE"""),45602.0)</f>
        <v>45602</v>
      </c>
      <c r="T3585" s="57">
        <f>IFERROR(__xludf.DUMMYFUNCTION("""COMPUTED_VALUE"""),45698.0)</f>
        <v>45698</v>
      </c>
    </row>
    <row r="3586">
      <c r="A3586" s="6" t="str">
        <f>IFERROR(__xludf.DUMMYFUNCTION("""COMPUTED_VALUE"""),"121702035-2")</f>
        <v>121702035-2</v>
      </c>
      <c r="B3586" s="6" t="str">
        <f>IFERROR(__xludf.DUMMYFUNCTION("""COMPUTED_VALUE"""),"121702035 - APPROVED")</f>
        <v>121702035 - APPROVED</v>
      </c>
      <c r="C3586" s="6">
        <f>IFERROR(__xludf.DUMMYFUNCTION("""COMPUTED_VALUE"""),2.0)</f>
        <v>2</v>
      </c>
      <c r="D3586" s="6" t="str">
        <f>IFERROR(__xludf.DUMMYFUNCTION("""COMPUTED_VALUE"""),"O-20094-00")</f>
        <v>O-20094-00</v>
      </c>
      <c r="E3586" s="6" t="str">
        <f>IFERROR(__xludf.DUMMYFUNCTION("""COMPUTED_VALUE"""),"Washing RAR4 - Plate Washing Spraying 166x20mm,; Custom/Lokal; ; 1 Pc")</f>
        <v>Washing RAR4 - Plate Washing Spraying 166x20mm,; Custom/Lokal; ; 1 Pc</v>
      </c>
      <c r="F3586" s="6">
        <f>IFERROR(__xludf.DUMMYFUNCTION("""COMPUTED_VALUE"""),1.0)</f>
        <v>1</v>
      </c>
      <c r="G3586" s="6" t="str">
        <f>IFERROR(__xludf.DUMMYFUNCTION("""COMPUTED_VALUE"""),"Pieces")</f>
        <v>Pieces</v>
      </c>
      <c r="H3586" s="6" t="str">
        <f>IFERROR(__xludf.DUMMYFUNCTION("""COMPUTED_VALUE"""),"IDR")</f>
        <v>IDR</v>
      </c>
      <c r="I3586" s="6">
        <f>IFERROR(__xludf.DUMMYFUNCTION("""COMPUTED_VALUE"""),985000.0)</f>
        <v>985000</v>
      </c>
      <c r="J3586" s="6">
        <f>IFERROR(__xludf.DUMMYFUNCTION("""COMPUTED_VALUE"""),985000.0)</f>
        <v>985000</v>
      </c>
      <c r="K3586" s="57">
        <f>IFERROR(__xludf.DUMMYFUNCTION("""COMPUTED_VALUE"""),45603.0)</f>
        <v>45603</v>
      </c>
      <c r="L3586" s="6" t="str">
        <f>IFERROR(__xludf.DUMMYFUNCTION("""COMPUTED_VALUE"""),"FIP Engineering")</f>
        <v>FIP Engineering</v>
      </c>
      <c r="M3586" s="6" t="str">
        <f>IFERROR(__xludf.DUMMYFUNCTION("""COMPUTED_VALUE"""),"Mochammad Fadhillah Hakim,")</f>
        <v>Mochammad Fadhillah Hakim,</v>
      </c>
      <c r="N3586" s="6" t="str">
        <f>IFERROR(__xludf.DUMMYFUNCTION("""COMPUTED_VALUE"""),"FIP Engineering")</f>
        <v>FIP Engineering</v>
      </c>
      <c r="O3586" s="6" t="str">
        <f>IFERROR(__xludf.DUMMYFUNCTION("""COMPUTED_VALUE"""),"FIP-DOM-000-11304-OS00001-INA-000000")</f>
        <v>FIP-DOM-000-11304-OS00001-INA-000000</v>
      </c>
      <c r="P3586" s="6" t="str">
        <f>IFERROR(__xludf.DUMMYFUNCTION("""COMPUTED_VALUE"""),"PO Closed")</f>
        <v>PO Closed</v>
      </c>
      <c r="Q3586" s="6" t="str">
        <f>IFERROR(__xludf.DUMMYFUNCTION("""COMPUTED_VALUE"""),"GL2501005")</f>
        <v>GL2501005</v>
      </c>
      <c r="R3586" s="57">
        <f>IFERROR(__xludf.DUMMYFUNCTION("""COMPUTED_VALUE"""),45601.0)</f>
        <v>45601</v>
      </c>
      <c r="S3586" s="57">
        <f>IFERROR(__xludf.DUMMYFUNCTION("""COMPUTED_VALUE"""),45602.0)</f>
        <v>45602</v>
      </c>
      <c r="T3586" s="57">
        <f>IFERROR(__xludf.DUMMYFUNCTION("""COMPUTED_VALUE"""),45698.0)</f>
        <v>45698</v>
      </c>
    </row>
    <row r="3587">
      <c r="A3587" s="6" t="str">
        <f>IFERROR(__xludf.DUMMYFUNCTION("""COMPUTED_VALUE"""),"121702041-1")</f>
        <v>121702041-1</v>
      </c>
      <c r="B3587" s="6" t="str">
        <f>IFERROR(__xludf.DUMMYFUNCTION("""COMPUTED_VALUE"""),"121702041 - APPROVED")</f>
        <v>121702041 - APPROVED</v>
      </c>
      <c r="C3587" s="6">
        <f>IFERROR(__xludf.DUMMYFUNCTION("""COMPUTED_VALUE"""),1.0)</f>
        <v>1</v>
      </c>
      <c r="D3587" s="6" t="str">
        <f>IFERROR(__xludf.DUMMYFUNCTION("""COMPUTED_VALUE"""),"Q-90000-00")</f>
        <v>Q-90000-00</v>
      </c>
      <c r="E3587" s="6" t="str">
        <f>IFERROR(__xludf.DUMMYFUNCTION("""COMPUTED_VALUE"""),"Building Maintenance Pure Expense")</f>
        <v>Building Maintenance Pure Expense</v>
      </c>
      <c r="F3587" s="6">
        <f>IFERROR(__xludf.DUMMYFUNCTION("""COMPUTED_VALUE"""),1.0)</f>
        <v>1</v>
      </c>
      <c r="G3587" s="6" t="str">
        <f>IFERROR(__xludf.DUMMYFUNCTION("""COMPUTED_VALUE"""),"Unit")</f>
        <v>Unit</v>
      </c>
      <c r="H3587" s="6" t="str">
        <f>IFERROR(__xludf.DUMMYFUNCTION("""COMPUTED_VALUE"""),"IDR")</f>
        <v>IDR</v>
      </c>
      <c r="I3587" s="6">
        <f>IFERROR(__xludf.DUMMYFUNCTION("""COMPUTED_VALUE"""),6495000.0)</f>
        <v>6495000</v>
      </c>
      <c r="J3587" s="6">
        <f>IFERROR(__xludf.DUMMYFUNCTION("""COMPUTED_VALUE"""),6495000.0)</f>
        <v>6495000</v>
      </c>
      <c r="K3587" s="57">
        <f>IFERROR(__xludf.DUMMYFUNCTION("""COMPUTED_VALUE"""),45604.0)</f>
        <v>45604</v>
      </c>
      <c r="L3587" s="6" t="str">
        <f>IFERROR(__xludf.DUMMYFUNCTION("""COMPUTED_VALUE"""),"FIP General")</f>
        <v>FIP General</v>
      </c>
      <c r="M3587" s="6" t="str">
        <f>IFERROR(__xludf.DUMMYFUNCTION("""COMPUTED_VALUE"""),"Mochammad Fadhillah Hakim,")</f>
        <v>Mochammad Fadhillah Hakim,</v>
      </c>
      <c r="N3587" s="6" t="str">
        <f>IFERROR(__xludf.DUMMYFUNCTION("""COMPUTED_VALUE"""),"FIP Engineering")</f>
        <v>FIP Engineering</v>
      </c>
      <c r="O3587" s="6" t="str">
        <f>IFERROR(__xludf.DUMMYFUNCTION("""COMPUTED_VALUE"""),"FIP-DOM-ENG-51502-0000000-INA-000000")</f>
        <v>FIP-DOM-ENG-51502-0000000-INA-000000</v>
      </c>
      <c r="P3587" s="6" t="str">
        <f>IFERROR(__xludf.DUMMYFUNCTION("""COMPUTED_VALUE"""),"PO Closed")</f>
        <v>PO Closed</v>
      </c>
      <c r="Q3587" s="6" t="str">
        <f>IFERROR(__xludf.DUMMYFUNCTION("""COMPUTED_VALUE"""),"GL2411058")</f>
        <v>GL2411058</v>
      </c>
      <c r="R3587" s="57">
        <f>IFERROR(__xludf.DUMMYFUNCTION("""COMPUTED_VALUE"""),45602.0)</f>
        <v>45602</v>
      </c>
      <c r="S3587" s="57">
        <f>IFERROR(__xludf.DUMMYFUNCTION("""COMPUTED_VALUE"""),45615.0)</f>
        <v>45615</v>
      </c>
      <c r="T3587" s="57">
        <f>IFERROR(__xludf.DUMMYFUNCTION("""COMPUTED_VALUE"""),45653.0)</f>
        <v>45653</v>
      </c>
    </row>
    <row r="3588">
      <c r="A3588" s="6" t="str">
        <f>IFERROR(__xludf.DUMMYFUNCTION("""COMPUTED_VALUE"""),"121702043-1")</f>
        <v>121702043-1</v>
      </c>
      <c r="B3588" s="6" t="str">
        <f>IFERROR(__xludf.DUMMYFUNCTION("""COMPUTED_VALUE"""),"121702043 - APPROVED")</f>
        <v>121702043 - APPROVED</v>
      </c>
      <c r="C3588" s="6">
        <f>IFERROR(__xludf.DUMMYFUNCTION("""COMPUTED_VALUE"""),1.0)</f>
        <v>1</v>
      </c>
      <c r="D3588" s="6" t="str">
        <f>IFERROR(__xludf.DUMMYFUNCTION("""COMPUTED_VALUE"""),"T-20002-00")</f>
        <v>T-20002-00</v>
      </c>
      <c r="E3588" s="6" t="str">
        <f>IFERROR(__xludf.DUMMYFUNCTION("""COMPUTED_VALUE"""),"Jasa Perbaikan Alat Lab")</f>
        <v>Jasa Perbaikan Alat Lab</v>
      </c>
      <c r="F3588" s="6">
        <f>IFERROR(__xludf.DUMMYFUNCTION("""COMPUTED_VALUE"""),2.0)</f>
        <v>2</v>
      </c>
      <c r="G3588" s="6" t="str">
        <f>IFERROR(__xludf.DUMMYFUNCTION("""COMPUTED_VALUE"""),"Pieces")</f>
        <v>Pieces</v>
      </c>
      <c r="H3588" s="6" t="str">
        <f>IFERROR(__xludf.DUMMYFUNCTION("""COMPUTED_VALUE"""),"IDR")</f>
        <v>IDR</v>
      </c>
      <c r="I3588" s="6">
        <f>IFERROR(__xludf.DUMMYFUNCTION("""COMPUTED_VALUE"""),350000.0)</f>
        <v>350000</v>
      </c>
      <c r="J3588" s="6">
        <f>IFERROR(__xludf.DUMMYFUNCTION("""COMPUTED_VALUE"""),700000.0)</f>
        <v>700000</v>
      </c>
      <c r="K3588" s="57">
        <f>IFERROR(__xludf.DUMMYFUNCTION("""COMPUTED_VALUE"""),45604.0)</f>
        <v>45604</v>
      </c>
      <c r="L3588" s="6" t="str">
        <f>IFERROR(__xludf.DUMMYFUNCTION("""COMPUTED_VALUE"""),"FIP General")</f>
        <v>FIP General</v>
      </c>
      <c r="M3588" s="6" t="str">
        <f>IFERROR(__xludf.DUMMYFUNCTION("""COMPUTED_VALUE"""),"Mochammad Fadhillah Hakim,")</f>
        <v>Mochammad Fadhillah Hakim,</v>
      </c>
      <c r="N3588" s="6" t="str">
        <f>IFERROR(__xludf.DUMMYFUNCTION("""COMPUTED_VALUE"""),"FIP Engineering")</f>
        <v>FIP Engineering</v>
      </c>
      <c r="O3588" s="6" t="str">
        <f>IFERROR(__xludf.DUMMYFUNCTION("""COMPUTED_VALUE"""),"FIP-DOM-ENG-51505-0000000-INA-000000")</f>
        <v>FIP-DOM-ENG-51505-0000000-INA-000000</v>
      </c>
      <c r="P3588" s="6" t="str">
        <f>IFERROR(__xludf.DUMMYFUNCTION("""COMPUTED_VALUE"""),"PO Closed")</f>
        <v>PO Closed</v>
      </c>
      <c r="Q3588" s="6" t="str">
        <f>IFERROR(__xludf.DUMMYFUNCTION("""COMPUTED_VALUE"""),"GL2412045")</f>
        <v>GL2412045</v>
      </c>
      <c r="R3588" s="57">
        <f>IFERROR(__xludf.DUMMYFUNCTION("""COMPUTED_VALUE"""),45602.0)</f>
        <v>45602</v>
      </c>
      <c r="S3588" s="57">
        <f>IFERROR(__xludf.DUMMYFUNCTION("""COMPUTED_VALUE"""),45609.0)</f>
        <v>45609</v>
      </c>
      <c r="T3588" s="57">
        <f>IFERROR(__xludf.DUMMYFUNCTION("""COMPUTED_VALUE"""),45679.0)</f>
        <v>45679</v>
      </c>
    </row>
    <row r="3589">
      <c r="A3589" s="6" t="str">
        <f>IFERROR(__xludf.DUMMYFUNCTION("""COMPUTED_VALUE"""),"121702044-1")</f>
        <v>121702044-1</v>
      </c>
      <c r="B3589" s="6" t="str">
        <f>IFERROR(__xludf.DUMMYFUNCTION("""COMPUTED_VALUE"""),"121702044 - APPROVED")</f>
        <v>121702044 - APPROVED</v>
      </c>
      <c r="C3589" s="6">
        <f>IFERROR(__xludf.DUMMYFUNCTION("""COMPUTED_VALUE"""),1.0)</f>
        <v>1</v>
      </c>
      <c r="D3589" s="6" t="str">
        <f>IFERROR(__xludf.DUMMYFUNCTION("""COMPUTED_VALUE"""),"T-20201-00")</f>
        <v>T-20201-00</v>
      </c>
      <c r="E3589" s="6" t="str">
        <f>IFERROR(__xludf.DUMMYFUNCTION("""COMPUTED_VALUE"""),"ASSY,SOLVENT FILTER., Waters, Part No. WAT025531")</f>
        <v>ASSY,SOLVENT FILTER., Waters, Part No. WAT025531</v>
      </c>
      <c r="F3589" s="6">
        <f>IFERROR(__xludf.DUMMYFUNCTION("""COMPUTED_VALUE"""),2.0)</f>
        <v>2</v>
      </c>
      <c r="G3589" s="6" t="str">
        <f>IFERROR(__xludf.DUMMYFUNCTION("""COMPUTED_VALUE"""),"Pieces")</f>
        <v>Pieces</v>
      </c>
      <c r="H3589" s="6" t="str">
        <f>IFERROR(__xludf.DUMMYFUNCTION("""COMPUTED_VALUE"""),"IDR")</f>
        <v>IDR</v>
      </c>
      <c r="I3589" s="6">
        <f>IFERROR(__xludf.DUMMYFUNCTION("""COMPUTED_VALUE"""),2325000.0)</f>
        <v>2325000</v>
      </c>
      <c r="J3589" s="6">
        <f>IFERROR(__xludf.DUMMYFUNCTION("""COMPUTED_VALUE"""),4650000.0)</f>
        <v>4650000</v>
      </c>
      <c r="K3589" s="57">
        <f>IFERROR(__xludf.DUMMYFUNCTION("""COMPUTED_VALUE"""),45604.0)</f>
        <v>45604</v>
      </c>
      <c r="L3589" s="6" t="str">
        <f>IFERROR(__xludf.DUMMYFUNCTION("""COMPUTED_VALUE"""),"FIP General")</f>
        <v>FIP General</v>
      </c>
      <c r="M3589" s="6" t="str">
        <f>IFERROR(__xludf.DUMMYFUNCTION("""COMPUTED_VALUE"""),"Mochammad Fadhillah Hakim,")</f>
        <v>Mochammad Fadhillah Hakim,</v>
      </c>
      <c r="N3589" s="6" t="str">
        <f>IFERROR(__xludf.DUMMYFUNCTION("""COMPUTED_VALUE"""),"FIP Engineering")</f>
        <v>FIP Engineering</v>
      </c>
      <c r="O3589" s="6" t="str">
        <f>IFERROR(__xludf.DUMMYFUNCTION("""COMPUTED_VALUE"""),"FIP-DOM-ENG-51505-0000000-INA-000000")</f>
        <v>FIP-DOM-ENG-51505-0000000-INA-000000</v>
      </c>
      <c r="P3589" s="6" t="str">
        <f>IFERROR(__xludf.DUMMYFUNCTION("""COMPUTED_VALUE"""),"PO Closed")</f>
        <v>PO Closed</v>
      </c>
      <c r="Q3589" s="6" t="str">
        <f>IFERROR(__xludf.DUMMYFUNCTION("""COMPUTED_VALUE"""),"GL2412466")</f>
        <v>GL2412466</v>
      </c>
      <c r="R3589" s="57">
        <f>IFERROR(__xludf.DUMMYFUNCTION("""COMPUTED_VALUE"""),45602.0)</f>
        <v>45602</v>
      </c>
      <c r="S3589" s="57">
        <f>IFERROR(__xludf.DUMMYFUNCTION("""COMPUTED_VALUE"""),45615.0)</f>
        <v>45615</v>
      </c>
      <c r="T3589" s="57">
        <f>IFERROR(__xludf.DUMMYFUNCTION("""COMPUTED_VALUE"""),45604.0)</f>
        <v>45604</v>
      </c>
    </row>
    <row r="3590">
      <c r="A3590" s="6" t="str">
        <f>IFERROR(__xludf.DUMMYFUNCTION("""COMPUTED_VALUE"""),"121702044-2")</f>
        <v>121702044-2</v>
      </c>
      <c r="B3590" s="6" t="str">
        <f>IFERROR(__xludf.DUMMYFUNCTION("""COMPUTED_VALUE"""),"121702044 - APPROVED")</f>
        <v>121702044 - APPROVED</v>
      </c>
      <c r="C3590" s="6">
        <f>IFERROR(__xludf.DUMMYFUNCTION("""COMPUTED_VALUE"""),2.0)</f>
        <v>2</v>
      </c>
      <c r="D3590" s="6" t="str">
        <f>IFERROR(__xludf.DUMMYFUNCTION("""COMPUTED_VALUE"""),"T-20118-00")</f>
        <v>T-20118-00</v>
      </c>
      <c r="E3590" s="6" t="str">
        <f>IFERROR(__xludf.DUMMYFUNCTION("""COMPUTED_VALUE"""),"FILTER INSERT ASSY; Waters; P/N WAT088084; 1 pc")</f>
        <v>FILTER INSERT ASSY; Waters; P/N WAT088084; 1 pc</v>
      </c>
      <c r="F3590" s="6">
        <f>IFERROR(__xludf.DUMMYFUNCTION("""COMPUTED_VALUE"""),2.0)</f>
        <v>2</v>
      </c>
      <c r="G3590" s="6" t="str">
        <f>IFERROR(__xludf.DUMMYFUNCTION("""COMPUTED_VALUE"""),"Pieces")</f>
        <v>Pieces</v>
      </c>
      <c r="H3590" s="6" t="str">
        <f>IFERROR(__xludf.DUMMYFUNCTION("""COMPUTED_VALUE"""),"IDR")</f>
        <v>IDR</v>
      </c>
      <c r="I3590" s="6">
        <f>IFERROR(__xludf.DUMMYFUNCTION("""COMPUTED_VALUE"""),325166.0)</f>
        <v>325166</v>
      </c>
      <c r="J3590" s="6">
        <f>IFERROR(__xludf.DUMMYFUNCTION("""COMPUTED_VALUE"""),650332.0)</f>
        <v>650332</v>
      </c>
      <c r="K3590" s="57">
        <f>IFERROR(__xludf.DUMMYFUNCTION("""COMPUTED_VALUE"""),45604.0)</f>
        <v>45604</v>
      </c>
      <c r="L3590" s="6" t="str">
        <f>IFERROR(__xludf.DUMMYFUNCTION("""COMPUTED_VALUE"""),"FIP General")</f>
        <v>FIP General</v>
      </c>
      <c r="M3590" s="6" t="str">
        <f>IFERROR(__xludf.DUMMYFUNCTION("""COMPUTED_VALUE"""),"Mochammad Fadhillah Hakim,")</f>
        <v>Mochammad Fadhillah Hakim,</v>
      </c>
      <c r="N3590" s="6" t="str">
        <f>IFERROR(__xludf.DUMMYFUNCTION("""COMPUTED_VALUE"""),"FIP Engineering")</f>
        <v>FIP Engineering</v>
      </c>
      <c r="O3590" s="6" t="str">
        <f>IFERROR(__xludf.DUMMYFUNCTION("""COMPUTED_VALUE"""),"FIP-DOM-ENG-51505-0000000-INA-000000")</f>
        <v>FIP-DOM-ENG-51505-0000000-INA-000000</v>
      </c>
      <c r="P3590" s="6" t="str">
        <f>IFERROR(__xludf.DUMMYFUNCTION("""COMPUTED_VALUE"""),"PO Closed")</f>
        <v>PO Closed</v>
      </c>
      <c r="Q3590" s="6" t="str">
        <f>IFERROR(__xludf.DUMMYFUNCTION("""COMPUTED_VALUE"""),"GL2412466")</f>
        <v>GL2412466</v>
      </c>
      <c r="R3590" s="57">
        <f>IFERROR(__xludf.DUMMYFUNCTION("""COMPUTED_VALUE"""),45602.0)</f>
        <v>45602</v>
      </c>
      <c r="S3590" s="57">
        <f>IFERROR(__xludf.DUMMYFUNCTION("""COMPUTED_VALUE"""),45615.0)</f>
        <v>45615</v>
      </c>
      <c r="T3590" s="57">
        <f>IFERROR(__xludf.DUMMYFUNCTION("""COMPUTED_VALUE"""),45604.0)</f>
        <v>45604</v>
      </c>
    </row>
    <row r="3591">
      <c r="A3591" s="6" t="str">
        <f>IFERROR(__xludf.DUMMYFUNCTION("""COMPUTED_VALUE"""),"121702044-3")</f>
        <v>121702044-3</v>
      </c>
      <c r="B3591" s="6" t="str">
        <f>IFERROR(__xludf.DUMMYFUNCTION("""COMPUTED_VALUE"""),"121702044 - APPROVED")</f>
        <v>121702044 - APPROVED</v>
      </c>
      <c r="C3591" s="6">
        <f>IFERROR(__xludf.DUMMYFUNCTION("""COMPUTED_VALUE"""),3.0)</f>
        <v>3</v>
      </c>
      <c r="D3591" s="6" t="str">
        <f>IFERROR(__xludf.DUMMYFUNCTION("""COMPUTED_VALUE"""),"T-20591-00")</f>
        <v>T-20591-00</v>
      </c>
      <c r="E3591" s="6" t="str">
        <f>IFERROR(__xludf.DUMMYFUNCTION("""COMPUTED_VALUE"""),"Kit, Performance PLUS seal pack rebuild; Waters; 700011783; 1 pieces / pack")</f>
        <v>Kit, Performance PLUS seal pack rebuild; Waters; 700011783; 1 pieces / pack</v>
      </c>
      <c r="F3591" s="6">
        <f>IFERROR(__xludf.DUMMYFUNCTION("""COMPUTED_VALUE"""),1.0)</f>
        <v>1</v>
      </c>
      <c r="G3591" s="6" t="str">
        <f>IFERROR(__xludf.DUMMYFUNCTION("""COMPUTED_VALUE"""),"Pieces")</f>
        <v>Pieces</v>
      </c>
      <c r="H3591" s="6" t="str">
        <f>IFERROR(__xludf.DUMMYFUNCTION("""COMPUTED_VALUE"""),"IDR")</f>
        <v>IDR</v>
      </c>
      <c r="I3591" s="6">
        <f>IFERROR(__xludf.DUMMYFUNCTION("""COMPUTED_VALUE"""),5107770.0)</f>
        <v>5107770</v>
      </c>
      <c r="J3591" s="6">
        <f>IFERROR(__xludf.DUMMYFUNCTION("""COMPUTED_VALUE"""),5107770.0)</f>
        <v>5107770</v>
      </c>
      <c r="K3591" s="57">
        <f>IFERROR(__xludf.DUMMYFUNCTION("""COMPUTED_VALUE"""),45604.0)</f>
        <v>45604</v>
      </c>
      <c r="L3591" s="6" t="str">
        <f>IFERROR(__xludf.DUMMYFUNCTION("""COMPUTED_VALUE"""),"FIP General")</f>
        <v>FIP General</v>
      </c>
      <c r="M3591" s="6" t="str">
        <f>IFERROR(__xludf.DUMMYFUNCTION("""COMPUTED_VALUE"""),"Mochammad Fadhillah Hakim,")</f>
        <v>Mochammad Fadhillah Hakim,</v>
      </c>
      <c r="N3591" s="6" t="str">
        <f>IFERROR(__xludf.DUMMYFUNCTION("""COMPUTED_VALUE"""),"FIP Engineering")</f>
        <v>FIP Engineering</v>
      </c>
      <c r="O3591" s="6" t="str">
        <f>IFERROR(__xludf.DUMMYFUNCTION("""COMPUTED_VALUE"""),"FIP-DOM-ENG-51505-0000000-INA-000000")</f>
        <v>FIP-DOM-ENG-51505-0000000-INA-000000</v>
      </c>
      <c r="P3591" s="6" t="str">
        <f>IFERROR(__xludf.DUMMYFUNCTION("""COMPUTED_VALUE"""),"PO Closed")</f>
        <v>PO Closed</v>
      </c>
      <c r="Q3591" s="6" t="str">
        <f>IFERROR(__xludf.DUMMYFUNCTION("""COMPUTED_VALUE"""),"GL2412466")</f>
        <v>GL2412466</v>
      </c>
      <c r="R3591" s="57">
        <f>IFERROR(__xludf.DUMMYFUNCTION("""COMPUTED_VALUE"""),45602.0)</f>
        <v>45602</v>
      </c>
      <c r="S3591" s="57">
        <f>IFERROR(__xludf.DUMMYFUNCTION("""COMPUTED_VALUE"""),45615.0)</f>
        <v>45615</v>
      </c>
      <c r="T3591" s="57">
        <f>IFERROR(__xludf.DUMMYFUNCTION("""COMPUTED_VALUE"""),45604.0)</f>
        <v>45604</v>
      </c>
    </row>
    <row r="3592">
      <c r="A3592" s="6" t="str">
        <f>IFERROR(__xludf.DUMMYFUNCTION("""COMPUTED_VALUE"""),"121702044-4")</f>
        <v>121702044-4</v>
      </c>
      <c r="B3592" s="6" t="str">
        <f>IFERROR(__xludf.DUMMYFUNCTION("""COMPUTED_VALUE"""),"121702044 - APPROVED")</f>
        <v>121702044 - APPROVED</v>
      </c>
      <c r="C3592" s="6">
        <f>IFERROR(__xludf.DUMMYFUNCTION("""COMPUTED_VALUE"""),4.0)</f>
        <v>4</v>
      </c>
      <c r="D3592" s="6" t="str">
        <f>IFERROR(__xludf.DUMMYFUNCTION("""COMPUTED_VALUE"""),"T-20055-00")</f>
        <v>T-20055-00</v>
      </c>
      <c r="E3592" s="6" t="str">
        <f>IFERROR(__xludf.DUMMYFUNCTION("""COMPUTED_VALUE"""),"PerformancePlus Check Valve Cartridge; Waters; p/n 700002399;")</f>
        <v>PerformancePlus Check Valve Cartridge; Waters; p/n 700002399;</v>
      </c>
      <c r="F3592" s="6">
        <f>IFERROR(__xludf.DUMMYFUNCTION("""COMPUTED_VALUE"""),4.0)</f>
        <v>4</v>
      </c>
      <c r="G3592" s="6" t="str">
        <f>IFERROR(__xludf.DUMMYFUNCTION("""COMPUTED_VALUE"""),"Pieces")</f>
        <v>Pieces</v>
      </c>
      <c r="H3592" s="6" t="str">
        <f>IFERROR(__xludf.DUMMYFUNCTION("""COMPUTED_VALUE"""),"IDR")</f>
        <v>IDR</v>
      </c>
      <c r="I3592" s="6">
        <f>IFERROR(__xludf.DUMMYFUNCTION("""COMPUTED_VALUE"""),4377240.0)</f>
        <v>4377240</v>
      </c>
      <c r="J3592" s="6">
        <f>IFERROR(__xludf.DUMMYFUNCTION("""COMPUTED_VALUE"""),1.750896E7)</f>
        <v>17508960</v>
      </c>
      <c r="K3592" s="57">
        <f>IFERROR(__xludf.DUMMYFUNCTION("""COMPUTED_VALUE"""),45604.0)</f>
        <v>45604</v>
      </c>
      <c r="L3592" s="6" t="str">
        <f>IFERROR(__xludf.DUMMYFUNCTION("""COMPUTED_VALUE"""),"FIP General")</f>
        <v>FIP General</v>
      </c>
      <c r="M3592" s="6" t="str">
        <f>IFERROR(__xludf.DUMMYFUNCTION("""COMPUTED_VALUE"""),"Mochammad Fadhillah Hakim,")</f>
        <v>Mochammad Fadhillah Hakim,</v>
      </c>
      <c r="N3592" s="6" t="str">
        <f>IFERROR(__xludf.DUMMYFUNCTION("""COMPUTED_VALUE"""),"FIP Engineering")</f>
        <v>FIP Engineering</v>
      </c>
      <c r="O3592" s="6" t="str">
        <f>IFERROR(__xludf.DUMMYFUNCTION("""COMPUTED_VALUE"""),"FIP-DOM-ENG-51505-0000000-INA-000000")</f>
        <v>FIP-DOM-ENG-51505-0000000-INA-000000</v>
      </c>
      <c r="P3592" s="6" t="str">
        <f>IFERROR(__xludf.DUMMYFUNCTION("""COMPUTED_VALUE"""),"PO Closed")</f>
        <v>PO Closed</v>
      </c>
      <c r="Q3592" s="6" t="str">
        <f>IFERROR(__xludf.DUMMYFUNCTION("""COMPUTED_VALUE"""),"GL2412466")</f>
        <v>GL2412466</v>
      </c>
      <c r="R3592" s="57">
        <f>IFERROR(__xludf.DUMMYFUNCTION("""COMPUTED_VALUE"""),45602.0)</f>
        <v>45602</v>
      </c>
      <c r="S3592" s="57">
        <f>IFERROR(__xludf.DUMMYFUNCTION("""COMPUTED_VALUE"""),45615.0)</f>
        <v>45615</v>
      </c>
      <c r="T3592" s="57">
        <f>IFERROR(__xludf.DUMMYFUNCTION("""COMPUTED_VALUE"""),45604.0)</f>
        <v>45604</v>
      </c>
    </row>
    <row r="3593">
      <c r="A3593" s="6" t="str">
        <f>IFERROR(__xludf.DUMMYFUNCTION("""COMPUTED_VALUE"""),"121702044-5")</f>
        <v>121702044-5</v>
      </c>
      <c r="B3593" s="6" t="str">
        <f>IFERROR(__xludf.DUMMYFUNCTION("""COMPUTED_VALUE"""),"121702044 - APPROVED")</f>
        <v>121702044 - APPROVED</v>
      </c>
      <c r="C3593" s="6">
        <f>IFERROR(__xludf.DUMMYFUNCTION("""COMPUTED_VALUE"""),5.0)</f>
        <v>5</v>
      </c>
      <c r="D3593" s="6" t="str">
        <f>IFERROR(__xludf.DUMMYFUNCTION("""COMPUTED_VALUE"""),"T-20975-00")</f>
        <v>T-20975-00</v>
      </c>
      <c r="E3593" s="6" t="str">
        <f>IFERROR(__xludf.DUMMYFUNCTION("""COMPUTED_VALUE"""),"ASSY, FILTER WHEEL,ACQUITY TUV;; Waters; 700005266; 1 pcs/pack")</f>
        <v>ASSY, FILTER WHEEL,ACQUITY TUV;; Waters; 700005266; 1 pcs/pack</v>
      </c>
      <c r="F3593" s="6">
        <f>IFERROR(__xludf.DUMMYFUNCTION("""COMPUTED_VALUE"""),2.0)</f>
        <v>2</v>
      </c>
      <c r="G3593" s="6" t="str">
        <f>IFERROR(__xludf.DUMMYFUNCTION("""COMPUTED_VALUE"""),"Pack")</f>
        <v>Pack</v>
      </c>
      <c r="H3593" s="6" t="str">
        <f>IFERROR(__xludf.DUMMYFUNCTION("""COMPUTED_VALUE"""),"IDR")</f>
        <v>IDR</v>
      </c>
      <c r="I3593" s="6">
        <f>IFERROR(__xludf.DUMMYFUNCTION("""COMPUTED_VALUE"""),5254538.0)</f>
        <v>5254538</v>
      </c>
      <c r="J3593" s="6">
        <f>IFERROR(__xludf.DUMMYFUNCTION("""COMPUTED_VALUE"""),1.0509075E7)</f>
        <v>10509075</v>
      </c>
      <c r="K3593" s="57">
        <f>IFERROR(__xludf.DUMMYFUNCTION("""COMPUTED_VALUE"""),45604.0)</f>
        <v>45604</v>
      </c>
      <c r="L3593" s="6" t="str">
        <f>IFERROR(__xludf.DUMMYFUNCTION("""COMPUTED_VALUE"""),"FIP General")</f>
        <v>FIP General</v>
      </c>
      <c r="M3593" s="6" t="str">
        <f>IFERROR(__xludf.DUMMYFUNCTION("""COMPUTED_VALUE"""),"Mochammad Fadhillah Hakim,")</f>
        <v>Mochammad Fadhillah Hakim,</v>
      </c>
      <c r="N3593" s="6" t="str">
        <f>IFERROR(__xludf.DUMMYFUNCTION("""COMPUTED_VALUE"""),"FIP Engineering")</f>
        <v>FIP Engineering</v>
      </c>
      <c r="O3593" s="6" t="str">
        <f>IFERROR(__xludf.DUMMYFUNCTION("""COMPUTED_VALUE"""),"FIP-DOM-ENG-51505-0000000-INA-000000")</f>
        <v>FIP-DOM-ENG-51505-0000000-INA-000000</v>
      </c>
      <c r="P3593" s="6" t="str">
        <f>IFERROR(__xludf.DUMMYFUNCTION("""COMPUTED_VALUE"""),"PO Closed")</f>
        <v>PO Closed</v>
      </c>
      <c r="Q3593" s="6" t="str">
        <f>IFERROR(__xludf.DUMMYFUNCTION("""COMPUTED_VALUE"""),"GL2412466")</f>
        <v>GL2412466</v>
      </c>
      <c r="R3593" s="57">
        <f>IFERROR(__xludf.DUMMYFUNCTION("""COMPUTED_VALUE"""),45602.0)</f>
        <v>45602</v>
      </c>
      <c r="S3593" s="57">
        <f>IFERROR(__xludf.DUMMYFUNCTION("""COMPUTED_VALUE"""),45615.0)</f>
        <v>45615</v>
      </c>
      <c r="T3593" s="57">
        <f>IFERROR(__xludf.DUMMYFUNCTION("""COMPUTED_VALUE"""),45604.0)</f>
        <v>45604</v>
      </c>
    </row>
    <row r="3594">
      <c r="A3594" s="6" t="str">
        <f>IFERROR(__xludf.DUMMYFUNCTION("""COMPUTED_VALUE"""),"121702047-1")</f>
        <v>121702047-1</v>
      </c>
      <c r="B3594" s="6" t="str">
        <f>IFERROR(__xludf.DUMMYFUNCTION("""COMPUTED_VALUE"""),"121702047 - APPROVED")</f>
        <v>121702047 - APPROVED</v>
      </c>
      <c r="C3594" s="6">
        <f>IFERROR(__xludf.DUMMYFUNCTION("""COMPUTED_VALUE"""),1.0)</f>
        <v>1</v>
      </c>
      <c r="D3594" s="6" t="str">
        <f>IFERROR(__xludf.DUMMYFUNCTION("""COMPUTED_VALUE"""),"Q-10207-00")</f>
        <v>Q-10207-00</v>
      </c>
      <c r="E3594" s="6" t="str">
        <f>IFERROR(__xludf.DUMMYFUNCTION("""COMPUTED_VALUE"""),"Keramik Roman Warna Putih 40 x 40 cm;Roman;CN: 447106;pack size per pack")</f>
        <v>Keramik Roman Warna Putih 40 x 40 cm;Roman;CN: 447106;pack size per pack</v>
      </c>
      <c r="F3594" s="6">
        <f>IFERROR(__xludf.DUMMYFUNCTION("""COMPUTED_VALUE"""),10.0)</f>
        <v>10</v>
      </c>
      <c r="G3594" s="6" t="str">
        <f>IFERROR(__xludf.DUMMYFUNCTION("""COMPUTED_VALUE"""),"Box")</f>
        <v>Box</v>
      </c>
      <c r="H3594" s="6" t="str">
        <f>IFERROR(__xludf.DUMMYFUNCTION("""COMPUTED_VALUE"""),"IDR")</f>
        <v>IDR</v>
      </c>
      <c r="I3594" s="6">
        <f>IFERROR(__xludf.DUMMYFUNCTION("""COMPUTED_VALUE"""),150000.0)</f>
        <v>150000</v>
      </c>
      <c r="J3594" s="6">
        <f>IFERROR(__xludf.DUMMYFUNCTION("""COMPUTED_VALUE"""),1500000.0)</f>
        <v>1500000</v>
      </c>
      <c r="K3594" s="57">
        <f>IFERROR(__xludf.DUMMYFUNCTION("""COMPUTED_VALUE"""),45605.0)</f>
        <v>45605</v>
      </c>
      <c r="L3594" s="6" t="str">
        <f>IFERROR(__xludf.DUMMYFUNCTION("""COMPUTED_VALUE"""),"FIP Engineering")</f>
        <v>FIP Engineering</v>
      </c>
      <c r="M3594" s="6" t="str">
        <f>IFERROR(__xludf.DUMMYFUNCTION("""COMPUTED_VALUE"""),"Mochammad Fadhillah Hakim,")</f>
        <v>Mochammad Fadhillah Hakim,</v>
      </c>
      <c r="N3594" s="6" t="str">
        <f>IFERROR(__xludf.DUMMYFUNCTION("""COMPUTED_VALUE"""),"FIP Engineering")</f>
        <v>FIP Engineering</v>
      </c>
      <c r="O3594" s="6" t="str">
        <f>IFERROR(__xludf.DUMMYFUNCTION("""COMPUTED_VALUE"""),"FIP-DOM-000-11304-OS00001-INA-000000")</f>
        <v>FIP-DOM-000-11304-OS00001-INA-000000</v>
      </c>
      <c r="P3594" s="6" t="str">
        <f>IFERROR(__xludf.DUMMYFUNCTION("""COMPUTED_VALUE"""),"PO Closed")</f>
        <v>PO Closed</v>
      </c>
      <c r="Q3594" s="6" t="str">
        <f>IFERROR(__xludf.DUMMYFUNCTION("""COMPUTED_VALUE"""),"GL2412458")</f>
        <v>GL2412458</v>
      </c>
      <c r="R3594" s="57">
        <f>IFERROR(__xludf.DUMMYFUNCTION("""COMPUTED_VALUE"""),45603.0)</f>
        <v>45603</v>
      </c>
      <c r="S3594" s="57">
        <f>IFERROR(__xludf.DUMMYFUNCTION("""COMPUTED_VALUE"""),45610.0)</f>
        <v>45610</v>
      </c>
      <c r="T3594" s="57">
        <f>IFERROR(__xludf.DUMMYFUNCTION("""COMPUTED_VALUE"""),45650.0)</f>
        <v>45650</v>
      </c>
    </row>
    <row r="3595">
      <c r="A3595" s="6" t="str">
        <f>IFERROR(__xludf.DUMMYFUNCTION("""COMPUTED_VALUE"""),"121702051-1")</f>
        <v>121702051-1</v>
      </c>
      <c r="B3595" s="6" t="str">
        <f>IFERROR(__xludf.DUMMYFUNCTION("""COMPUTED_VALUE"""),"121702051 - APPROVED")</f>
        <v>121702051 - APPROVED</v>
      </c>
      <c r="C3595" s="6">
        <f>IFERROR(__xludf.DUMMYFUNCTION("""COMPUTED_VALUE"""),1.0)</f>
        <v>1</v>
      </c>
      <c r="D3595" s="6" t="str">
        <f>IFERROR(__xludf.DUMMYFUNCTION("""COMPUTED_VALUE"""),"P-51928-00")</f>
        <v>P-51928-00</v>
      </c>
      <c r="E3595" s="6" t="str">
        <f>IFERROR(__xludf.DUMMYFUNCTION("""COMPUTED_VALUE"""),"Battery Lithium 3V CR2477N; ; ;")</f>
        <v>Battery Lithium 3V CR2477N; ; ;</v>
      </c>
      <c r="F3595" s="6">
        <f>IFERROR(__xludf.DUMMYFUNCTION("""COMPUTED_VALUE"""),5.0)</f>
        <v>5</v>
      </c>
      <c r="G3595" s="6" t="str">
        <f>IFERROR(__xludf.DUMMYFUNCTION("""COMPUTED_VALUE"""),"Pieces")</f>
        <v>Pieces</v>
      </c>
      <c r="H3595" s="6" t="str">
        <f>IFERROR(__xludf.DUMMYFUNCTION("""COMPUTED_VALUE"""),"IDR")</f>
        <v>IDR</v>
      </c>
      <c r="I3595" s="6">
        <f>IFERROR(__xludf.DUMMYFUNCTION("""COMPUTED_VALUE"""),153000.0)</f>
        <v>153000</v>
      </c>
      <c r="J3595" s="6">
        <f>IFERROR(__xludf.DUMMYFUNCTION("""COMPUTED_VALUE"""),765000.0)</f>
        <v>765000</v>
      </c>
      <c r="K3595" s="57">
        <f>IFERROR(__xludf.DUMMYFUNCTION("""COMPUTED_VALUE"""),45606.0)</f>
        <v>45606</v>
      </c>
      <c r="L3595" s="6" t="str">
        <f>IFERROR(__xludf.DUMMYFUNCTION("""COMPUTED_VALUE"""),"FIP Engineering")</f>
        <v>FIP Engineering</v>
      </c>
      <c r="M3595" s="6" t="str">
        <f>IFERROR(__xludf.DUMMYFUNCTION("""COMPUTED_VALUE"""),"Mochammad Fadhillah Hakim,")</f>
        <v>Mochammad Fadhillah Hakim,</v>
      </c>
      <c r="N3595" s="6" t="str">
        <f>IFERROR(__xludf.DUMMYFUNCTION("""COMPUTED_VALUE"""),"FIP Engineering")</f>
        <v>FIP Engineering</v>
      </c>
      <c r="O3595" s="6" t="str">
        <f>IFERROR(__xludf.DUMMYFUNCTION("""COMPUTED_VALUE"""),"FIP-DOM-000-11304-OS00001-INA-000000")</f>
        <v>FIP-DOM-000-11304-OS00001-INA-000000</v>
      </c>
      <c r="P3595" s="6" t="str">
        <f>IFERROR(__xludf.DUMMYFUNCTION("""COMPUTED_VALUE"""),"PO Closed")</f>
        <v>PO Closed</v>
      </c>
      <c r="Q3595" s="6" t="str">
        <f>IFERROR(__xludf.DUMMYFUNCTION("""COMPUTED_VALUE"""),"GL2411051")</f>
        <v>GL2411051</v>
      </c>
      <c r="R3595" s="57">
        <f>IFERROR(__xludf.DUMMYFUNCTION("""COMPUTED_VALUE"""),45604.0)</f>
        <v>45604</v>
      </c>
      <c r="S3595" s="57">
        <f>IFERROR(__xludf.DUMMYFUNCTION("""COMPUTED_VALUE"""),45609.0)</f>
        <v>45609</v>
      </c>
      <c r="T3595" s="57">
        <f>IFERROR(__xludf.DUMMYFUNCTION("""COMPUTED_VALUE"""),45646.0)</f>
        <v>45646</v>
      </c>
    </row>
    <row r="3596">
      <c r="A3596" s="6" t="str">
        <f>IFERROR(__xludf.DUMMYFUNCTION("""COMPUTED_VALUE"""),"121702051-2")</f>
        <v>121702051-2</v>
      </c>
      <c r="B3596" s="6" t="str">
        <f>IFERROR(__xludf.DUMMYFUNCTION("""COMPUTED_VALUE"""),"121702051 - APPROVED")</f>
        <v>121702051 - APPROVED</v>
      </c>
      <c r="C3596" s="6">
        <f>IFERROR(__xludf.DUMMYFUNCTION("""COMPUTED_VALUE"""),2.0)</f>
        <v>2</v>
      </c>
      <c r="D3596" s="6" t="str">
        <f>IFERROR(__xludf.DUMMYFUNCTION("""COMPUTED_VALUE"""),"S-40011-00")</f>
        <v>S-40011-00</v>
      </c>
      <c r="E3596" s="6" t="str">
        <f>IFERROR(__xludf.DUMMYFUNCTION("""COMPUTED_VALUE"""),"Battery Lithium 3,6 V LS 14250, Shaft")</f>
        <v>Battery Lithium 3,6 V LS 14250, Shaft</v>
      </c>
      <c r="F3596" s="6">
        <f>IFERROR(__xludf.DUMMYFUNCTION("""COMPUTED_VALUE"""),2.0)</f>
        <v>2</v>
      </c>
      <c r="G3596" s="6" t="str">
        <f>IFERROR(__xludf.DUMMYFUNCTION("""COMPUTED_VALUE"""),"Pieces")</f>
        <v>Pieces</v>
      </c>
      <c r="H3596" s="6" t="str">
        <f>IFERROR(__xludf.DUMMYFUNCTION("""COMPUTED_VALUE"""),"IDR")</f>
        <v>IDR</v>
      </c>
      <c r="I3596" s="6">
        <f>IFERROR(__xludf.DUMMYFUNCTION("""COMPUTED_VALUE"""),300000.0)</f>
        <v>300000</v>
      </c>
      <c r="J3596" s="6">
        <f>IFERROR(__xludf.DUMMYFUNCTION("""COMPUTED_VALUE"""),600000.0)</f>
        <v>600000</v>
      </c>
      <c r="K3596" s="57">
        <f>IFERROR(__xludf.DUMMYFUNCTION("""COMPUTED_VALUE"""),45606.0)</f>
        <v>45606</v>
      </c>
      <c r="L3596" s="6" t="str">
        <f>IFERROR(__xludf.DUMMYFUNCTION("""COMPUTED_VALUE"""),"FIP General")</f>
        <v>FIP General</v>
      </c>
      <c r="M3596" s="6" t="str">
        <f>IFERROR(__xludf.DUMMYFUNCTION("""COMPUTED_VALUE"""),"Mochammad Fadhillah Hakim,")</f>
        <v>Mochammad Fadhillah Hakim,</v>
      </c>
      <c r="N3596" s="6" t="str">
        <f>IFERROR(__xludf.DUMMYFUNCTION("""COMPUTED_VALUE"""),"FIP Engineering")</f>
        <v>FIP Engineering</v>
      </c>
      <c r="O3596" s="6" t="str">
        <f>IFERROR(__xludf.DUMMYFUNCTION("""COMPUTED_VALUE"""),"FIP-DOM-ENG-51504-0000000-INA-000000")</f>
        <v>FIP-DOM-ENG-51504-0000000-INA-000000</v>
      </c>
      <c r="P3596" s="6" t="str">
        <f>IFERROR(__xludf.DUMMYFUNCTION("""COMPUTED_VALUE"""),"PO Closed")</f>
        <v>PO Closed</v>
      </c>
      <c r="Q3596" s="6" t="str">
        <f>IFERROR(__xludf.DUMMYFUNCTION("""COMPUTED_VALUE"""),"GL2412020")</f>
        <v>GL2412020</v>
      </c>
      <c r="R3596" s="57">
        <f>IFERROR(__xludf.DUMMYFUNCTION("""COMPUTED_VALUE"""),45604.0)</f>
        <v>45604</v>
      </c>
      <c r="S3596" s="57">
        <f>IFERROR(__xludf.DUMMYFUNCTION("""COMPUTED_VALUE"""),45609.0)</f>
        <v>45609</v>
      </c>
      <c r="T3596" s="57">
        <f>IFERROR(__xludf.DUMMYFUNCTION("""COMPUTED_VALUE"""),45653.0)</f>
        <v>45653</v>
      </c>
    </row>
    <row r="3597">
      <c r="A3597" s="6" t="str">
        <f>IFERROR(__xludf.DUMMYFUNCTION("""COMPUTED_VALUE"""),"121702059-1")</f>
        <v>121702059-1</v>
      </c>
      <c r="B3597" s="6" t="str">
        <f>IFERROR(__xludf.DUMMYFUNCTION("""COMPUTED_VALUE"""),"121702059 - APPROVED")</f>
        <v>121702059 - APPROVED</v>
      </c>
      <c r="C3597" s="6">
        <f>IFERROR(__xludf.DUMMYFUNCTION("""COMPUTED_VALUE"""),1.0)</f>
        <v>1</v>
      </c>
      <c r="D3597" s="6"/>
      <c r="E3597" s="6" t="str">
        <f>IFERROR(__xludf.DUMMYFUNCTION("""COMPUTED_VALUE"""),"AC Portable MIDEA MPF2-12CRN 1,5PK")</f>
        <v>AC Portable MIDEA MPF2-12CRN 1,5PK</v>
      </c>
      <c r="F3597" s="6">
        <f>IFERROR(__xludf.DUMMYFUNCTION("""COMPUTED_VALUE"""),2.0)</f>
        <v>2</v>
      </c>
      <c r="G3597" s="6" t="str">
        <f>IFERROR(__xludf.DUMMYFUNCTION("""COMPUTED_VALUE"""),"Unit")</f>
        <v>Unit</v>
      </c>
      <c r="H3597" s="6" t="str">
        <f>IFERROR(__xludf.DUMMYFUNCTION("""COMPUTED_VALUE"""),"IDR")</f>
        <v>IDR</v>
      </c>
      <c r="I3597" s="6">
        <f>IFERROR(__xludf.DUMMYFUNCTION("""COMPUTED_VALUE"""),5875000.0)</f>
        <v>5875000</v>
      </c>
      <c r="J3597" s="6">
        <f>IFERROR(__xludf.DUMMYFUNCTION("""COMPUTED_VALUE"""),1.175E7)</f>
        <v>11750000</v>
      </c>
      <c r="K3597" s="57">
        <f>IFERROR(__xludf.DUMMYFUNCTION("""COMPUTED_VALUE"""),45609.0)</f>
        <v>45609</v>
      </c>
      <c r="L3597" s="6" t="str">
        <f>IFERROR(__xludf.DUMMYFUNCTION("""COMPUTED_VALUE"""),"FIP General")</f>
        <v>FIP General</v>
      </c>
      <c r="M3597" s="6" t="str">
        <f>IFERROR(__xludf.DUMMYFUNCTION("""COMPUTED_VALUE"""),"Mochammad Fadhillah Hakim,")</f>
        <v>Mochammad Fadhillah Hakim,</v>
      </c>
      <c r="N3597" s="6" t="str">
        <f>IFERROR(__xludf.DUMMYFUNCTION("""COMPUTED_VALUE"""),"FIP Engineering")</f>
        <v>FIP Engineering</v>
      </c>
      <c r="O3597" s="6" t="str">
        <f>IFERROR(__xludf.DUMMYFUNCTION("""COMPUTED_VALUE"""),"FIP-DOM-ENG-13404-MC24030-INA-000000")</f>
        <v>FIP-DOM-ENG-13404-MC24030-INA-000000</v>
      </c>
      <c r="P3597" s="6" t="str">
        <f>IFERROR(__xludf.DUMMYFUNCTION("""COMPUTED_VALUE"""),"PO Closed")</f>
        <v>PO Closed</v>
      </c>
      <c r="Q3597" s="6" t="str">
        <f>IFERROR(__xludf.DUMMYFUNCTION("""COMPUTED_VALUE"""),"GL2412043")</f>
        <v>GL2412043</v>
      </c>
      <c r="R3597" s="57">
        <f>IFERROR(__xludf.DUMMYFUNCTION("""COMPUTED_VALUE"""),45607.0)</f>
        <v>45607</v>
      </c>
      <c r="S3597" s="57">
        <f>IFERROR(__xludf.DUMMYFUNCTION("""COMPUTED_VALUE"""),45609.0)</f>
        <v>45609</v>
      </c>
      <c r="T3597" s="57">
        <f>IFERROR(__xludf.DUMMYFUNCTION("""COMPUTED_VALUE"""),45663.0)</f>
        <v>45663</v>
      </c>
    </row>
    <row r="3598">
      <c r="A3598" s="6" t="str">
        <f>IFERROR(__xludf.DUMMYFUNCTION("""COMPUTED_VALUE"""),"121702060-1")</f>
        <v>121702060-1</v>
      </c>
      <c r="B3598" s="6" t="str">
        <f>IFERROR(__xludf.DUMMYFUNCTION("""COMPUTED_VALUE"""),"121702060 - APPROVED")</f>
        <v>121702060 - APPROVED</v>
      </c>
      <c r="C3598" s="6">
        <f>IFERROR(__xludf.DUMMYFUNCTION("""COMPUTED_VALUE"""),1.0)</f>
        <v>1</v>
      </c>
      <c r="D3598" s="6" t="str">
        <f>IFERROR(__xludf.DUMMYFUNCTION("""COMPUTED_VALUE"""),"T-25577-00")</f>
        <v>T-25577-00</v>
      </c>
      <c r="E3598" s="6" t="str">
        <f>IFERROR(__xludf.DUMMYFUNCTION("""COMPUTED_VALUE"""),"UV LAMP FOR M500 TOC Analyzer; Sievers; TOC M500; 1 pc")</f>
        <v>UV LAMP FOR M500 TOC Analyzer; Sievers; TOC M500; 1 pc</v>
      </c>
      <c r="F3598" s="6">
        <f>IFERROR(__xludf.DUMMYFUNCTION("""COMPUTED_VALUE"""),1.0)</f>
        <v>1</v>
      </c>
      <c r="G3598" s="6" t="str">
        <f>IFERROR(__xludf.DUMMYFUNCTION("""COMPUTED_VALUE"""),"Pieces")</f>
        <v>Pieces</v>
      </c>
      <c r="H3598" s="6" t="str">
        <f>IFERROR(__xludf.DUMMYFUNCTION("""COMPUTED_VALUE"""),"IDR")</f>
        <v>IDR</v>
      </c>
      <c r="I3598" s="6">
        <f>IFERROR(__xludf.DUMMYFUNCTION("""COMPUTED_VALUE"""),1.678E7)</f>
        <v>16780000</v>
      </c>
      <c r="J3598" s="6">
        <f>IFERROR(__xludf.DUMMYFUNCTION("""COMPUTED_VALUE"""),1.678E7)</f>
        <v>16780000</v>
      </c>
      <c r="K3598" s="57">
        <f>IFERROR(__xludf.DUMMYFUNCTION("""COMPUTED_VALUE"""),45609.0)</f>
        <v>45609</v>
      </c>
      <c r="L3598" s="6" t="str">
        <f>IFERROR(__xludf.DUMMYFUNCTION("""COMPUTED_VALUE"""),"FIP General")</f>
        <v>FIP General</v>
      </c>
      <c r="M3598" s="6" t="str">
        <f>IFERROR(__xludf.DUMMYFUNCTION("""COMPUTED_VALUE"""),"Mochammad Fadhillah Hakim,")</f>
        <v>Mochammad Fadhillah Hakim,</v>
      </c>
      <c r="N3598" s="6" t="str">
        <f>IFERROR(__xludf.DUMMYFUNCTION("""COMPUTED_VALUE"""),"FIP Engineering")</f>
        <v>FIP Engineering</v>
      </c>
      <c r="O3598" s="6" t="str">
        <f>IFERROR(__xludf.DUMMYFUNCTION("""COMPUTED_VALUE"""),"FIP-DOM-ENG-51505-0000000-INA-000000")</f>
        <v>FIP-DOM-ENG-51505-0000000-INA-000000</v>
      </c>
      <c r="P3598" s="6" t="str">
        <f>IFERROR(__xludf.DUMMYFUNCTION("""COMPUTED_VALUE"""),"PO Closed")</f>
        <v>PO Closed</v>
      </c>
      <c r="Q3598" s="6" t="str">
        <f>IFERROR(__xludf.DUMMYFUNCTION("""COMPUTED_VALUE"""),"GL2411047")</f>
        <v>GL2411047</v>
      </c>
      <c r="R3598" s="57">
        <f>IFERROR(__xludf.DUMMYFUNCTION("""COMPUTED_VALUE"""),45607.0)</f>
        <v>45607</v>
      </c>
      <c r="S3598" s="57">
        <f>IFERROR(__xludf.DUMMYFUNCTION("""COMPUTED_VALUE"""),45615.0)</f>
        <v>45615</v>
      </c>
      <c r="T3598" s="57">
        <f>IFERROR(__xludf.DUMMYFUNCTION("""COMPUTED_VALUE"""),45672.0)</f>
        <v>45672</v>
      </c>
    </row>
    <row r="3599">
      <c r="A3599" s="6" t="str">
        <f>IFERROR(__xludf.DUMMYFUNCTION("""COMPUTED_VALUE"""),"121702060-2")</f>
        <v>121702060-2</v>
      </c>
      <c r="B3599" s="6" t="str">
        <f>IFERROR(__xludf.DUMMYFUNCTION("""COMPUTED_VALUE"""),"121702060 - APPROVED")</f>
        <v>121702060 - APPROVED</v>
      </c>
      <c r="C3599" s="6">
        <f>IFERROR(__xludf.DUMMYFUNCTION("""COMPUTED_VALUE"""),2.0)</f>
        <v>2</v>
      </c>
      <c r="D3599" s="6" t="str">
        <f>IFERROR(__xludf.DUMMYFUNCTION("""COMPUTED_VALUE"""),"T-25578-00")</f>
        <v>T-25578-00</v>
      </c>
      <c r="E3599" s="6" t="str">
        <f>IFERROR(__xludf.DUMMYFUNCTION("""COMPUTED_VALUE"""),"SAMPLE PUMP HEAD FOR M500 TOC Analyzer; Sievers; TOC M500; 1 pc")</f>
        <v>SAMPLE PUMP HEAD FOR M500 TOC Analyzer; Sievers; TOC M500; 1 pc</v>
      </c>
      <c r="F3599" s="6">
        <f>IFERROR(__xludf.DUMMYFUNCTION("""COMPUTED_VALUE"""),1.0)</f>
        <v>1</v>
      </c>
      <c r="G3599" s="6" t="str">
        <f>IFERROR(__xludf.DUMMYFUNCTION("""COMPUTED_VALUE"""),"Pieces")</f>
        <v>Pieces</v>
      </c>
      <c r="H3599" s="6" t="str">
        <f>IFERROR(__xludf.DUMMYFUNCTION("""COMPUTED_VALUE"""),"IDR")</f>
        <v>IDR</v>
      </c>
      <c r="I3599" s="6">
        <f>IFERROR(__xludf.DUMMYFUNCTION("""COMPUTED_VALUE"""),7200000.0)</f>
        <v>7200000</v>
      </c>
      <c r="J3599" s="6">
        <f>IFERROR(__xludf.DUMMYFUNCTION("""COMPUTED_VALUE"""),7200000.0)</f>
        <v>7200000</v>
      </c>
      <c r="K3599" s="57">
        <f>IFERROR(__xludf.DUMMYFUNCTION("""COMPUTED_VALUE"""),45609.0)</f>
        <v>45609</v>
      </c>
      <c r="L3599" s="6" t="str">
        <f>IFERROR(__xludf.DUMMYFUNCTION("""COMPUTED_VALUE"""),"FIP General")</f>
        <v>FIP General</v>
      </c>
      <c r="M3599" s="6" t="str">
        <f>IFERROR(__xludf.DUMMYFUNCTION("""COMPUTED_VALUE"""),"Mochammad Fadhillah Hakim,")</f>
        <v>Mochammad Fadhillah Hakim,</v>
      </c>
      <c r="N3599" s="6" t="str">
        <f>IFERROR(__xludf.DUMMYFUNCTION("""COMPUTED_VALUE"""),"FIP Engineering")</f>
        <v>FIP Engineering</v>
      </c>
      <c r="O3599" s="6" t="str">
        <f>IFERROR(__xludf.DUMMYFUNCTION("""COMPUTED_VALUE"""),"FIP-DOM-ENG-51505-0000000-INA-000000")</f>
        <v>FIP-DOM-ENG-51505-0000000-INA-000000</v>
      </c>
      <c r="P3599" s="6" t="str">
        <f>IFERROR(__xludf.DUMMYFUNCTION("""COMPUTED_VALUE"""),"PO Closed")</f>
        <v>PO Closed</v>
      </c>
      <c r="Q3599" s="6" t="str">
        <f>IFERROR(__xludf.DUMMYFUNCTION("""COMPUTED_VALUE"""),"GL2411047")</f>
        <v>GL2411047</v>
      </c>
      <c r="R3599" s="57">
        <f>IFERROR(__xludf.DUMMYFUNCTION("""COMPUTED_VALUE"""),45607.0)</f>
        <v>45607</v>
      </c>
      <c r="S3599" s="57">
        <f>IFERROR(__xludf.DUMMYFUNCTION("""COMPUTED_VALUE"""),45615.0)</f>
        <v>45615</v>
      </c>
      <c r="T3599" s="57">
        <f>IFERROR(__xludf.DUMMYFUNCTION("""COMPUTED_VALUE"""),45672.0)</f>
        <v>45672</v>
      </c>
    </row>
    <row r="3600">
      <c r="A3600" s="6" t="str">
        <f>IFERROR(__xludf.DUMMYFUNCTION("""COMPUTED_VALUE"""),"121702060-3")</f>
        <v>121702060-3</v>
      </c>
      <c r="B3600" s="6" t="str">
        <f>IFERROR(__xludf.DUMMYFUNCTION("""COMPUTED_VALUE"""),"121702060 - APPROVED")</f>
        <v>121702060 - APPROVED</v>
      </c>
      <c r="C3600" s="6">
        <f>IFERROR(__xludf.DUMMYFUNCTION("""COMPUTED_VALUE"""),3.0)</f>
        <v>3</v>
      </c>
      <c r="D3600" s="6" t="str">
        <f>IFERROR(__xludf.DUMMYFUNCTION("""COMPUTED_VALUE"""),"T-25579-00")</f>
        <v>T-25579-00</v>
      </c>
      <c r="E3600" s="6" t="str">
        <f>IFERROR(__xludf.DUMMYFUNCTION("""COMPUTED_VALUE"""),"RESIN BED REPLACEMENT FOR M500 TOC Analyzer; Sievers; TOC M500; 1 pc")</f>
        <v>RESIN BED REPLACEMENT FOR M500 TOC Analyzer; Sievers; TOC M500; 1 pc</v>
      </c>
      <c r="F3600" s="6">
        <f>IFERROR(__xludf.DUMMYFUNCTION("""COMPUTED_VALUE"""),1.0)</f>
        <v>1</v>
      </c>
      <c r="G3600" s="6" t="str">
        <f>IFERROR(__xludf.DUMMYFUNCTION("""COMPUTED_VALUE"""),"Pieces")</f>
        <v>Pieces</v>
      </c>
      <c r="H3600" s="6" t="str">
        <f>IFERROR(__xludf.DUMMYFUNCTION("""COMPUTED_VALUE"""),"IDR")</f>
        <v>IDR</v>
      </c>
      <c r="I3600" s="6">
        <f>IFERROR(__xludf.DUMMYFUNCTION("""COMPUTED_VALUE"""),1.9725E7)</f>
        <v>19725000</v>
      </c>
      <c r="J3600" s="6">
        <f>IFERROR(__xludf.DUMMYFUNCTION("""COMPUTED_VALUE"""),1.9725E7)</f>
        <v>19725000</v>
      </c>
      <c r="K3600" s="57">
        <f>IFERROR(__xludf.DUMMYFUNCTION("""COMPUTED_VALUE"""),45609.0)</f>
        <v>45609</v>
      </c>
      <c r="L3600" s="6" t="str">
        <f>IFERROR(__xludf.DUMMYFUNCTION("""COMPUTED_VALUE"""),"FIP General")</f>
        <v>FIP General</v>
      </c>
      <c r="M3600" s="6" t="str">
        <f>IFERROR(__xludf.DUMMYFUNCTION("""COMPUTED_VALUE"""),"Mochammad Fadhillah Hakim,")</f>
        <v>Mochammad Fadhillah Hakim,</v>
      </c>
      <c r="N3600" s="6" t="str">
        <f>IFERROR(__xludf.DUMMYFUNCTION("""COMPUTED_VALUE"""),"FIP Engineering")</f>
        <v>FIP Engineering</v>
      </c>
      <c r="O3600" s="6" t="str">
        <f>IFERROR(__xludf.DUMMYFUNCTION("""COMPUTED_VALUE"""),"FIP-DOM-ENG-51505-0000000-INA-000000")</f>
        <v>FIP-DOM-ENG-51505-0000000-INA-000000</v>
      </c>
      <c r="P3600" s="6" t="str">
        <f>IFERROR(__xludf.DUMMYFUNCTION("""COMPUTED_VALUE"""),"PO Closed")</f>
        <v>PO Closed</v>
      </c>
      <c r="Q3600" s="6" t="str">
        <f>IFERROR(__xludf.DUMMYFUNCTION("""COMPUTED_VALUE"""),"GL2411047")</f>
        <v>GL2411047</v>
      </c>
      <c r="R3600" s="57">
        <f>IFERROR(__xludf.DUMMYFUNCTION("""COMPUTED_VALUE"""),45607.0)</f>
        <v>45607</v>
      </c>
      <c r="S3600" s="57">
        <f>IFERROR(__xludf.DUMMYFUNCTION("""COMPUTED_VALUE"""),45615.0)</f>
        <v>45615</v>
      </c>
      <c r="T3600" s="57">
        <f>IFERROR(__xludf.DUMMYFUNCTION("""COMPUTED_VALUE"""),45672.0)</f>
        <v>45672</v>
      </c>
    </row>
    <row r="3601">
      <c r="A3601" s="6" t="str">
        <f>IFERROR(__xludf.DUMMYFUNCTION("""COMPUTED_VALUE"""),"121702062-1")</f>
        <v>121702062-1</v>
      </c>
      <c r="B3601" s="6" t="str">
        <f>IFERROR(__xludf.DUMMYFUNCTION("""COMPUTED_VALUE"""),"121702062 - APPROVED")</f>
        <v>121702062 - APPROVED</v>
      </c>
      <c r="C3601" s="6">
        <f>IFERROR(__xludf.DUMMYFUNCTION("""COMPUTED_VALUE"""),1.0)</f>
        <v>1</v>
      </c>
      <c r="D3601" s="6" t="str">
        <f>IFERROR(__xludf.DUMMYFUNCTION("""COMPUTED_VALUE"""),"Q-12060-00")</f>
        <v>Q-12060-00</v>
      </c>
      <c r="E3601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F3601" s="6">
        <f>IFERROR(__xludf.DUMMYFUNCTION("""COMPUTED_VALUE"""),5.0)</f>
        <v>5</v>
      </c>
      <c r="G3601" s="6" t="str">
        <f>IFERROR(__xludf.DUMMYFUNCTION("""COMPUTED_VALUE"""),"Botol")</f>
        <v>Botol</v>
      </c>
      <c r="H3601" s="6" t="str">
        <f>IFERROR(__xludf.DUMMYFUNCTION("""COMPUTED_VALUE"""),"IDR")</f>
        <v>IDR</v>
      </c>
      <c r="I3601" s="6">
        <f>IFERROR(__xludf.DUMMYFUNCTION("""COMPUTED_VALUE"""),67500.0)</f>
        <v>67500</v>
      </c>
      <c r="J3601" s="6">
        <f>IFERROR(__xludf.DUMMYFUNCTION("""COMPUTED_VALUE"""),337500.0)</f>
        <v>337500</v>
      </c>
      <c r="K3601" s="57">
        <f>IFERROR(__xludf.DUMMYFUNCTION("""COMPUTED_VALUE"""),45610.0)</f>
        <v>45610</v>
      </c>
      <c r="L3601" s="6" t="str">
        <f>IFERROR(__xludf.DUMMYFUNCTION("""COMPUTED_VALUE"""),"FIP Engineering")</f>
        <v>FIP Engineering</v>
      </c>
      <c r="M3601" s="6" t="str">
        <f>IFERROR(__xludf.DUMMYFUNCTION("""COMPUTED_VALUE"""),"Mochammad Fadhillah Hakim,")</f>
        <v>Mochammad Fadhillah Hakim,</v>
      </c>
      <c r="N3601" s="6" t="str">
        <f>IFERROR(__xludf.DUMMYFUNCTION("""COMPUTED_VALUE"""),"FIP Engineering")</f>
        <v>FIP Engineering</v>
      </c>
      <c r="O3601" s="6" t="str">
        <f>IFERROR(__xludf.DUMMYFUNCTION("""COMPUTED_VALUE"""),"FIP-DOM-000-11304-OS00001-INA-000000")</f>
        <v>FIP-DOM-000-11304-OS00001-INA-000000</v>
      </c>
      <c r="P3601" s="6" t="str">
        <f>IFERROR(__xludf.DUMMYFUNCTION("""COMPUTED_VALUE"""),"PO Closed")</f>
        <v>PO Closed</v>
      </c>
      <c r="Q3601" s="6" t="str">
        <f>IFERROR(__xludf.DUMMYFUNCTION("""COMPUTED_VALUE"""),"GL2412458")</f>
        <v>GL2412458</v>
      </c>
      <c r="R3601" s="57">
        <f>IFERROR(__xludf.DUMMYFUNCTION("""COMPUTED_VALUE"""),45608.0)</f>
        <v>45608</v>
      </c>
      <c r="S3601" s="57">
        <f>IFERROR(__xludf.DUMMYFUNCTION("""COMPUTED_VALUE"""),45608.0)</f>
        <v>45608</v>
      </c>
      <c r="T3601" s="57">
        <f>IFERROR(__xludf.DUMMYFUNCTION("""COMPUTED_VALUE"""),45650.0)</f>
        <v>45650</v>
      </c>
    </row>
    <row r="3602">
      <c r="A3602" s="6" t="str">
        <f>IFERROR(__xludf.DUMMYFUNCTION("""COMPUTED_VALUE"""),"121702073-1")</f>
        <v>121702073-1</v>
      </c>
      <c r="B3602" s="6" t="str">
        <f>IFERROR(__xludf.DUMMYFUNCTION("""COMPUTED_VALUE"""),"121702073 - APPROVED")</f>
        <v>121702073 - APPROVED</v>
      </c>
      <c r="C3602" s="6">
        <f>IFERROR(__xludf.DUMMYFUNCTION("""COMPUTED_VALUE"""),1.0)</f>
        <v>1</v>
      </c>
      <c r="D3602" s="6" t="str">
        <f>IFERROR(__xludf.DUMMYFUNCTION("""COMPUTED_VALUE"""),"P-17645-00")</f>
        <v>P-17645-00</v>
      </c>
      <c r="E3602" s="6" t="str">
        <f>IFERROR(__xludf.DUMMYFUNCTION("""COMPUTED_VALUE"""),"Sodium Hiphoclorite; ; ; ltr")</f>
        <v>Sodium Hiphoclorite; ; ; ltr</v>
      </c>
      <c r="F3602" s="6">
        <f>IFERROR(__xludf.DUMMYFUNCTION("""COMPUTED_VALUE"""),450.0)</f>
        <v>450</v>
      </c>
      <c r="G3602" s="6" t="str">
        <f>IFERROR(__xludf.DUMMYFUNCTION("""COMPUTED_VALUE"""),"Liter")</f>
        <v>Liter</v>
      </c>
      <c r="H3602" s="6" t="str">
        <f>IFERROR(__xludf.DUMMYFUNCTION("""COMPUTED_VALUE"""),"IDR")</f>
        <v>IDR</v>
      </c>
      <c r="I3602" s="6">
        <f>IFERROR(__xludf.DUMMYFUNCTION("""COMPUTED_VALUE"""),5000.0)</f>
        <v>5000</v>
      </c>
      <c r="J3602" s="6">
        <f>IFERROR(__xludf.DUMMYFUNCTION("""COMPUTED_VALUE"""),2250000.0)</f>
        <v>2250000</v>
      </c>
      <c r="K3602" s="57">
        <f>IFERROR(__xludf.DUMMYFUNCTION("""COMPUTED_VALUE"""),45617.0)</f>
        <v>45617</v>
      </c>
      <c r="L3602" s="6" t="str">
        <f>IFERROR(__xludf.DUMMYFUNCTION("""COMPUTED_VALUE"""),"FIP Engineering")</f>
        <v>FIP Engineering</v>
      </c>
      <c r="M3602" s="6" t="str">
        <f>IFERROR(__xludf.DUMMYFUNCTION("""COMPUTED_VALUE"""),"Mochammad Fadhillah Hakim,")</f>
        <v>Mochammad Fadhillah Hakim,</v>
      </c>
      <c r="N3602" s="6" t="str">
        <f>IFERROR(__xludf.DUMMYFUNCTION("""COMPUTED_VALUE"""),"FIP Engineering")</f>
        <v>FIP Engineering</v>
      </c>
      <c r="O3602" s="6" t="str">
        <f>IFERROR(__xludf.DUMMYFUNCTION("""COMPUTED_VALUE"""),"FIP-DOM-000-11304-OS00001-INA-000000")</f>
        <v>FIP-DOM-000-11304-OS00001-INA-000000</v>
      </c>
      <c r="P3602" s="6" t="str">
        <f>IFERROR(__xludf.DUMMYFUNCTION("""COMPUTED_VALUE"""),"PO Closed")</f>
        <v>PO Closed</v>
      </c>
      <c r="Q3602" s="6" t="str">
        <f>IFERROR(__xludf.DUMMYFUNCTION("""COMPUTED_VALUE"""),"GL2411046")</f>
        <v>GL2411046</v>
      </c>
      <c r="R3602" s="57">
        <f>IFERROR(__xludf.DUMMYFUNCTION("""COMPUTED_VALUE"""),45615.0)</f>
        <v>45615</v>
      </c>
      <c r="S3602" s="57">
        <f>IFERROR(__xludf.DUMMYFUNCTION("""COMPUTED_VALUE"""),45615.0)</f>
        <v>45615</v>
      </c>
      <c r="T3602" s="57">
        <f>IFERROR(__xludf.DUMMYFUNCTION("""COMPUTED_VALUE"""),45622.0)</f>
        <v>45622</v>
      </c>
    </row>
    <row r="3603">
      <c r="A3603" s="6" t="str">
        <f>IFERROR(__xludf.DUMMYFUNCTION("""COMPUTED_VALUE"""),"121702074-1")</f>
        <v>121702074-1</v>
      </c>
      <c r="B3603" s="6" t="str">
        <f>IFERROR(__xludf.DUMMYFUNCTION("""COMPUTED_VALUE"""),"121702074 - APPROVED")</f>
        <v>121702074 - APPROVED</v>
      </c>
      <c r="C3603" s="6">
        <f>IFERROR(__xludf.DUMMYFUNCTION("""COMPUTED_VALUE"""),1.0)</f>
        <v>1</v>
      </c>
      <c r="D3603" s="6" t="str">
        <f>IFERROR(__xludf.DUMMYFUNCTION("""COMPUTED_VALUE"""),"T-80109-00")</f>
        <v>T-80109-00</v>
      </c>
      <c r="E3603" s="6" t="str">
        <f>IFERROR(__xludf.DUMMYFUNCTION("""COMPUTED_VALUE"""),"Cellotape Kertas 1 inch warna Putih")</f>
        <v>Cellotape Kertas 1 inch warna Putih</v>
      </c>
      <c r="F3603" s="6">
        <f>IFERROR(__xludf.DUMMYFUNCTION("""COMPUTED_VALUE"""),10.0)</f>
        <v>10</v>
      </c>
      <c r="G3603" s="6" t="str">
        <f>IFERROR(__xludf.DUMMYFUNCTION("""COMPUTED_VALUE"""),"Roll")</f>
        <v>Roll</v>
      </c>
      <c r="H3603" s="6" t="str">
        <f>IFERROR(__xludf.DUMMYFUNCTION("""COMPUTED_VALUE"""),"IDR")</f>
        <v>IDR</v>
      </c>
      <c r="I3603" s="6">
        <f>IFERROR(__xludf.DUMMYFUNCTION("""COMPUTED_VALUE"""),5500.0)</f>
        <v>5500</v>
      </c>
      <c r="J3603" s="6">
        <f>IFERROR(__xludf.DUMMYFUNCTION("""COMPUTED_VALUE"""),55000.0)</f>
        <v>55000</v>
      </c>
      <c r="K3603" s="57">
        <f>IFERROR(__xludf.DUMMYFUNCTION("""COMPUTED_VALUE"""),45617.0)</f>
        <v>45617</v>
      </c>
      <c r="L3603" s="6" t="str">
        <f>IFERROR(__xludf.DUMMYFUNCTION("""COMPUTED_VALUE"""),"FIP General")</f>
        <v>FIP General</v>
      </c>
      <c r="M3603" s="6" t="str">
        <f>IFERROR(__xludf.DUMMYFUNCTION("""COMPUTED_VALUE"""),"Mochammad Fadhillah Hakim,")</f>
        <v>Mochammad Fadhillah Hakim,</v>
      </c>
      <c r="N3603" s="6" t="str">
        <f>IFERROR(__xludf.DUMMYFUNCTION("""COMPUTED_VALUE"""),"FIP Engineering")</f>
        <v>FIP Engineering</v>
      </c>
      <c r="O3603" s="6" t="str">
        <f>IFERROR(__xludf.DUMMYFUNCTION("""COMPUTED_VALUE"""),"FIP-DOM-ENG-51411-OS00001-INA-000000")</f>
        <v>FIP-DOM-ENG-51411-OS00001-INA-000000</v>
      </c>
      <c r="P3603" s="6" t="str">
        <f>IFERROR(__xludf.DUMMYFUNCTION("""COMPUTED_VALUE"""),"PO Closed")</f>
        <v>PO Closed</v>
      </c>
      <c r="Q3603" s="6" t="str">
        <f>IFERROR(__xludf.DUMMYFUNCTION("""COMPUTED_VALUE"""),"GL2412025")</f>
        <v>GL2412025</v>
      </c>
      <c r="R3603" s="57">
        <f>IFERROR(__xludf.DUMMYFUNCTION("""COMPUTED_VALUE"""),45615.0)</f>
        <v>45615</v>
      </c>
      <c r="S3603" s="57">
        <f>IFERROR(__xludf.DUMMYFUNCTION("""COMPUTED_VALUE"""),45615.0)</f>
        <v>45615</v>
      </c>
      <c r="T3603" s="57">
        <f>IFERROR(__xludf.DUMMYFUNCTION("""COMPUTED_VALUE"""),45646.0)</f>
        <v>45646</v>
      </c>
    </row>
    <row r="3604">
      <c r="A3604" s="6" t="str">
        <f>IFERROR(__xludf.DUMMYFUNCTION("""COMPUTED_VALUE"""),"121702075-1")</f>
        <v>121702075-1</v>
      </c>
      <c r="B3604" s="6" t="str">
        <f>IFERROR(__xludf.DUMMYFUNCTION("""COMPUTED_VALUE"""),"121702075 - APPROVED")</f>
        <v>121702075 - APPROVED</v>
      </c>
      <c r="C3604" s="6">
        <f>IFERROR(__xludf.DUMMYFUNCTION("""COMPUTED_VALUE"""),1.0)</f>
        <v>1</v>
      </c>
      <c r="D3604" s="6" t="str">
        <f>IFERROR(__xludf.DUMMYFUNCTION("""COMPUTED_VALUE"""),"O-16731-00")</f>
        <v>O-16731-00</v>
      </c>
      <c r="E3604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F3604" s="6">
        <f>IFERROR(__xludf.DUMMYFUNCTION("""COMPUTED_VALUE"""),6.0)</f>
        <v>6</v>
      </c>
      <c r="G3604" s="6" t="str">
        <f>IFERROR(__xludf.DUMMYFUNCTION("""COMPUTED_VALUE"""),"Pieces")</f>
        <v>Pieces</v>
      </c>
      <c r="H3604" s="6" t="str">
        <f>IFERROR(__xludf.DUMMYFUNCTION("""COMPUTED_VALUE"""),"IDR")</f>
        <v>IDR</v>
      </c>
      <c r="I3604" s="6">
        <f>IFERROR(__xludf.DUMMYFUNCTION("""COMPUTED_VALUE"""),488680.0)</f>
        <v>488680</v>
      </c>
      <c r="J3604" s="6">
        <f>IFERROR(__xludf.DUMMYFUNCTION("""COMPUTED_VALUE"""),2932079.0)</f>
        <v>2932079</v>
      </c>
      <c r="K3604" s="57">
        <f>IFERROR(__xludf.DUMMYFUNCTION("""COMPUTED_VALUE"""),45617.0)</f>
        <v>45617</v>
      </c>
      <c r="L3604" s="6" t="str">
        <f>IFERROR(__xludf.DUMMYFUNCTION("""COMPUTED_VALUE"""),"FIP Engineering")</f>
        <v>FIP Engineering</v>
      </c>
      <c r="M3604" s="6" t="str">
        <f>IFERROR(__xludf.DUMMYFUNCTION("""COMPUTED_VALUE"""),"Mochammad Fadhillah Hakim,")</f>
        <v>Mochammad Fadhillah Hakim,</v>
      </c>
      <c r="N3604" s="6" t="str">
        <f>IFERROR(__xludf.DUMMYFUNCTION("""COMPUTED_VALUE"""),"FIP Engineering")</f>
        <v>FIP Engineering</v>
      </c>
      <c r="O3604" s="6" t="str">
        <f>IFERROR(__xludf.DUMMYFUNCTION("""COMPUTED_VALUE"""),"FIP-DOM-000-11304-OS00001-INA-000000")</f>
        <v>FIP-DOM-000-11304-OS00001-INA-000000</v>
      </c>
      <c r="P3604" s="6" t="str">
        <f>IFERROR(__xludf.DUMMYFUNCTION("""COMPUTED_VALUE"""),"PO Closed")</f>
        <v>PO Closed</v>
      </c>
      <c r="Q3604" s="6" t="str">
        <f>IFERROR(__xludf.DUMMYFUNCTION("""COMPUTED_VALUE"""),"GL2501027")</f>
        <v>GL2501027</v>
      </c>
      <c r="R3604" s="57">
        <f>IFERROR(__xludf.DUMMYFUNCTION("""COMPUTED_VALUE"""),45615.0)</f>
        <v>45615</v>
      </c>
      <c r="S3604" s="57">
        <f>IFERROR(__xludf.DUMMYFUNCTION("""COMPUTED_VALUE"""),45617.0)</f>
        <v>45617</v>
      </c>
      <c r="T3604" s="57">
        <f>IFERROR(__xludf.DUMMYFUNCTION("""COMPUTED_VALUE"""),45716.0)</f>
        <v>45716</v>
      </c>
    </row>
    <row r="3605">
      <c r="A3605" s="6" t="str">
        <f>IFERROR(__xludf.DUMMYFUNCTION("""COMPUTED_VALUE"""),"121702076-1")</f>
        <v>121702076-1</v>
      </c>
      <c r="B3605" s="6" t="str">
        <f>IFERROR(__xludf.DUMMYFUNCTION("""COMPUTED_VALUE"""),"121702076 - APPROVED")</f>
        <v>121702076 - APPROVED</v>
      </c>
      <c r="C3605" s="6">
        <f>IFERROR(__xludf.DUMMYFUNCTION("""COMPUTED_VALUE"""),1.0)</f>
        <v>1</v>
      </c>
      <c r="D3605" s="6" t="str">
        <f>IFERROR(__xludf.DUMMYFUNCTION("""COMPUTED_VALUE"""),"P-11169-00")</f>
        <v>P-11169-00</v>
      </c>
      <c r="E3605" s="6" t="str">
        <f>IFERROR(__xludf.DUMMYFUNCTION("""COMPUTED_VALUE"""),"Pneumatic  Fitting - QS 1/4-6 / PN : 153003 / Festo")</f>
        <v>Pneumatic  Fitting - QS 1/4-6 / PN : 153003 / Festo</v>
      </c>
      <c r="F3605" s="6">
        <f>IFERROR(__xludf.DUMMYFUNCTION("""COMPUTED_VALUE"""),5.0)</f>
        <v>5</v>
      </c>
      <c r="G3605" s="6" t="str">
        <f>IFERROR(__xludf.DUMMYFUNCTION("""COMPUTED_VALUE"""),"Pieces")</f>
        <v>Pieces</v>
      </c>
      <c r="H3605" s="6" t="str">
        <f>IFERROR(__xludf.DUMMYFUNCTION("""COMPUTED_VALUE"""),"IDR")</f>
        <v>IDR</v>
      </c>
      <c r="I3605" s="6">
        <f>IFERROR(__xludf.DUMMYFUNCTION("""COMPUTED_VALUE"""),32832.0)</f>
        <v>32832</v>
      </c>
      <c r="J3605" s="6">
        <f>IFERROR(__xludf.DUMMYFUNCTION("""COMPUTED_VALUE"""),164160.0)</f>
        <v>164160</v>
      </c>
      <c r="K3605" s="57">
        <f>IFERROR(__xludf.DUMMYFUNCTION("""COMPUTED_VALUE"""),45617.0)</f>
        <v>45617</v>
      </c>
      <c r="L3605" s="6" t="str">
        <f>IFERROR(__xludf.DUMMYFUNCTION("""COMPUTED_VALUE"""),"FIP Engineering")</f>
        <v>FIP Engineering</v>
      </c>
      <c r="M3605" s="6" t="str">
        <f>IFERROR(__xludf.DUMMYFUNCTION("""COMPUTED_VALUE"""),"Mochammad Fadhillah Hakim,")</f>
        <v>Mochammad Fadhillah Hakim,</v>
      </c>
      <c r="N3605" s="6" t="str">
        <f>IFERROR(__xludf.DUMMYFUNCTION("""COMPUTED_VALUE"""),"FIP Engineering")</f>
        <v>FIP Engineering</v>
      </c>
      <c r="O3605" s="6" t="str">
        <f>IFERROR(__xludf.DUMMYFUNCTION("""COMPUTED_VALUE"""),"FIP-DOM-000-11304-OS00001-INA-000000")</f>
        <v>FIP-DOM-000-11304-OS00001-INA-000000</v>
      </c>
      <c r="P3605" s="6" t="str">
        <f>IFERROR(__xludf.DUMMYFUNCTION("""COMPUTED_VALUE"""),"PO Closed")</f>
        <v>PO Closed</v>
      </c>
      <c r="Q3605" s="6" t="str">
        <f>IFERROR(__xludf.DUMMYFUNCTION("""COMPUTED_VALUE"""),"GL2411049")</f>
        <v>GL2411049</v>
      </c>
      <c r="R3605" s="57">
        <f>IFERROR(__xludf.DUMMYFUNCTION("""COMPUTED_VALUE"""),45615.0)</f>
        <v>45615</v>
      </c>
      <c r="S3605" s="57">
        <f>IFERROR(__xludf.DUMMYFUNCTION("""COMPUTED_VALUE"""),45615.0)</f>
        <v>45615</v>
      </c>
      <c r="T3605" s="57">
        <f>IFERROR(__xludf.DUMMYFUNCTION("""COMPUTED_VALUE"""),45625.0)</f>
        <v>45625</v>
      </c>
    </row>
    <row r="3606">
      <c r="A3606" s="6" t="str">
        <f>IFERROR(__xludf.DUMMYFUNCTION("""COMPUTED_VALUE"""),"121702076-2")</f>
        <v>121702076-2</v>
      </c>
      <c r="B3606" s="6" t="str">
        <f>IFERROR(__xludf.DUMMYFUNCTION("""COMPUTED_VALUE"""),"121702076 - APPROVED")</f>
        <v>121702076 - APPROVED</v>
      </c>
      <c r="C3606" s="6">
        <f>IFERROR(__xludf.DUMMYFUNCTION("""COMPUTED_VALUE"""),2.0)</f>
        <v>2</v>
      </c>
      <c r="D3606" s="6" t="str">
        <f>IFERROR(__xludf.DUMMYFUNCTION("""COMPUTED_VALUE"""),"P-12305-00")</f>
        <v>P-12305-00</v>
      </c>
      <c r="E3606" s="6" t="str">
        <f>IFERROR(__xludf.DUMMYFUNCTION("""COMPUTED_VALUE"""),"FESTO - QST-6 Push in t-connection p/n 153129")</f>
        <v>FESTO - QST-6 Push in t-connection p/n 153129</v>
      </c>
      <c r="F3606" s="6">
        <f>IFERROR(__xludf.DUMMYFUNCTION("""COMPUTED_VALUE"""),8.0)</f>
        <v>8</v>
      </c>
      <c r="G3606" s="6" t="str">
        <f>IFERROR(__xludf.DUMMYFUNCTION("""COMPUTED_VALUE"""),"Pieces")</f>
        <v>Pieces</v>
      </c>
      <c r="H3606" s="6" t="str">
        <f>IFERROR(__xludf.DUMMYFUNCTION("""COMPUTED_VALUE"""),"IDR")</f>
        <v>IDR</v>
      </c>
      <c r="I3606" s="6">
        <f>IFERROR(__xludf.DUMMYFUNCTION("""COMPUTED_VALUE"""),66319.0)</f>
        <v>66319</v>
      </c>
      <c r="J3606" s="6">
        <f>IFERROR(__xludf.DUMMYFUNCTION("""COMPUTED_VALUE"""),530552.0)</f>
        <v>530552</v>
      </c>
      <c r="K3606" s="57">
        <f>IFERROR(__xludf.DUMMYFUNCTION("""COMPUTED_VALUE"""),45617.0)</f>
        <v>45617</v>
      </c>
      <c r="L3606" s="6" t="str">
        <f>IFERROR(__xludf.DUMMYFUNCTION("""COMPUTED_VALUE"""),"FIP Engineering")</f>
        <v>FIP Engineering</v>
      </c>
      <c r="M3606" s="6" t="str">
        <f>IFERROR(__xludf.DUMMYFUNCTION("""COMPUTED_VALUE"""),"Mochammad Fadhillah Hakim,")</f>
        <v>Mochammad Fadhillah Hakim,</v>
      </c>
      <c r="N3606" s="6" t="str">
        <f>IFERROR(__xludf.DUMMYFUNCTION("""COMPUTED_VALUE"""),"FIP Engineering")</f>
        <v>FIP Engineering</v>
      </c>
      <c r="O3606" s="6" t="str">
        <f>IFERROR(__xludf.DUMMYFUNCTION("""COMPUTED_VALUE"""),"FIP-DOM-000-11304-OS00001-INA-000000")</f>
        <v>FIP-DOM-000-11304-OS00001-INA-000000</v>
      </c>
      <c r="P3606" s="6" t="str">
        <f>IFERROR(__xludf.DUMMYFUNCTION("""COMPUTED_VALUE"""),"PO Closed")</f>
        <v>PO Closed</v>
      </c>
      <c r="Q3606" s="6" t="str">
        <f>IFERROR(__xludf.DUMMYFUNCTION("""COMPUTED_VALUE"""),"GL2411049")</f>
        <v>GL2411049</v>
      </c>
      <c r="R3606" s="57">
        <f>IFERROR(__xludf.DUMMYFUNCTION("""COMPUTED_VALUE"""),45615.0)</f>
        <v>45615</v>
      </c>
      <c r="S3606" s="57">
        <f>IFERROR(__xludf.DUMMYFUNCTION("""COMPUTED_VALUE"""),45615.0)</f>
        <v>45615</v>
      </c>
      <c r="T3606" s="57">
        <f>IFERROR(__xludf.DUMMYFUNCTION("""COMPUTED_VALUE"""),45625.0)</f>
        <v>45625</v>
      </c>
    </row>
    <row r="3607">
      <c r="A3607" s="6" t="str">
        <f>IFERROR(__xludf.DUMMYFUNCTION("""COMPUTED_VALUE"""),"121702077-1")</f>
        <v>121702077-1</v>
      </c>
      <c r="B3607" s="6" t="str">
        <f>IFERROR(__xludf.DUMMYFUNCTION("""COMPUTED_VALUE"""),"121702077 - APPROVED")</f>
        <v>121702077 - APPROVED</v>
      </c>
      <c r="C3607" s="6">
        <f>IFERROR(__xludf.DUMMYFUNCTION("""COMPUTED_VALUE"""),1.0)</f>
        <v>1</v>
      </c>
      <c r="D3607" s="6" t="str">
        <f>IFERROR(__xludf.DUMMYFUNCTION("""COMPUTED_VALUE"""),"P-53102-00")</f>
        <v>P-53102-00</v>
      </c>
      <c r="E3607" s="6" t="str">
        <f>IFERROR(__xludf.DUMMYFUNCTION("""COMPUTED_VALUE"""),"Lampu PLC 13watt/E27 Putih; Phillips; ;")</f>
        <v>Lampu PLC 13watt/E27 Putih; Phillips; ;</v>
      </c>
      <c r="F3607" s="6">
        <f>IFERROR(__xludf.DUMMYFUNCTION("""COMPUTED_VALUE"""),10.0)</f>
        <v>10</v>
      </c>
      <c r="G3607" s="6" t="str">
        <f>IFERROR(__xludf.DUMMYFUNCTION("""COMPUTED_VALUE"""),"Pieces")</f>
        <v>Pieces</v>
      </c>
      <c r="H3607" s="6" t="str">
        <f>IFERROR(__xludf.DUMMYFUNCTION("""COMPUTED_VALUE"""),"IDR")</f>
        <v>IDR</v>
      </c>
      <c r="I3607" s="6">
        <f>IFERROR(__xludf.DUMMYFUNCTION("""COMPUTED_VALUE"""),46000.0)</f>
        <v>46000</v>
      </c>
      <c r="J3607" s="6">
        <f>IFERROR(__xludf.DUMMYFUNCTION("""COMPUTED_VALUE"""),460000.0)</f>
        <v>460000</v>
      </c>
      <c r="K3607" s="57">
        <f>IFERROR(__xludf.DUMMYFUNCTION("""COMPUTED_VALUE"""),45617.0)</f>
        <v>45617</v>
      </c>
      <c r="L3607" s="6" t="str">
        <f>IFERROR(__xludf.DUMMYFUNCTION("""COMPUTED_VALUE"""),"FIP Engineering")</f>
        <v>FIP Engineering</v>
      </c>
      <c r="M3607" s="6" t="str">
        <f>IFERROR(__xludf.DUMMYFUNCTION("""COMPUTED_VALUE"""),"Mochammad Fadhillah Hakim,")</f>
        <v>Mochammad Fadhillah Hakim,</v>
      </c>
      <c r="N3607" s="6" t="str">
        <f>IFERROR(__xludf.DUMMYFUNCTION("""COMPUTED_VALUE"""),"FIP Engineering")</f>
        <v>FIP Engineering</v>
      </c>
      <c r="O3607" s="6" t="str">
        <f>IFERROR(__xludf.DUMMYFUNCTION("""COMPUTED_VALUE"""),"FIP-DOM-000-11304-OS00001-INA-000000")</f>
        <v>FIP-DOM-000-11304-OS00001-INA-000000</v>
      </c>
      <c r="P3607" s="6" t="str">
        <f>IFERROR(__xludf.DUMMYFUNCTION("""COMPUTED_VALUE"""),"PO Closed")</f>
        <v>PO Closed</v>
      </c>
      <c r="Q3607" s="6" t="str">
        <f>IFERROR(__xludf.DUMMYFUNCTION("""COMPUTED_VALUE"""),"GL2411051")</f>
        <v>GL2411051</v>
      </c>
      <c r="R3607" s="57">
        <f>IFERROR(__xludf.DUMMYFUNCTION("""COMPUTED_VALUE"""),45615.0)</f>
        <v>45615</v>
      </c>
      <c r="S3607" s="57">
        <f>IFERROR(__xludf.DUMMYFUNCTION("""COMPUTED_VALUE"""),45615.0)</f>
        <v>45615</v>
      </c>
      <c r="T3607" s="57">
        <f>IFERROR(__xludf.DUMMYFUNCTION("""COMPUTED_VALUE"""),45646.0)</f>
        <v>45646</v>
      </c>
    </row>
    <row r="3608">
      <c r="A3608" s="6" t="str">
        <f>IFERROR(__xludf.DUMMYFUNCTION("""COMPUTED_VALUE"""),"121702078-1")</f>
        <v>121702078-1</v>
      </c>
      <c r="B3608" s="6" t="str">
        <f>IFERROR(__xludf.DUMMYFUNCTION("""COMPUTED_VALUE"""),"121702078 - APPROVED")</f>
        <v>121702078 - APPROVED</v>
      </c>
      <c r="C3608" s="6">
        <f>IFERROR(__xludf.DUMMYFUNCTION("""COMPUTED_VALUE"""),1.0)</f>
        <v>1</v>
      </c>
      <c r="D3608" s="6" t="str">
        <f>IFERROR(__xludf.DUMMYFUNCTION("""COMPUTED_VALUE"""),"O-54015-00")</f>
        <v>O-54015-00</v>
      </c>
      <c r="E3608" s="6" t="str">
        <f>IFERROR(__xludf.DUMMYFUNCTION("""COMPUTED_VALUE"""),"STOP KONTAK LUBANG 4, BROCO")</f>
        <v>STOP KONTAK LUBANG 4, BROCO</v>
      </c>
      <c r="F3608" s="6">
        <f>IFERROR(__xludf.DUMMYFUNCTION("""COMPUTED_VALUE"""),15.0)</f>
        <v>15</v>
      </c>
      <c r="G3608" s="6" t="str">
        <f>IFERROR(__xludf.DUMMYFUNCTION("""COMPUTED_VALUE"""),"Unit")</f>
        <v>Unit</v>
      </c>
      <c r="H3608" s="6" t="str">
        <f>IFERROR(__xludf.DUMMYFUNCTION("""COMPUTED_VALUE"""),"IDR")</f>
        <v>IDR</v>
      </c>
      <c r="I3608" s="6">
        <f>IFERROR(__xludf.DUMMYFUNCTION("""COMPUTED_VALUE"""),49000.0)</f>
        <v>49000</v>
      </c>
      <c r="J3608" s="6">
        <f>IFERROR(__xludf.DUMMYFUNCTION("""COMPUTED_VALUE"""),735000.0)</f>
        <v>735000</v>
      </c>
      <c r="K3608" s="57">
        <f>IFERROR(__xludf.DUMMYFUNCTION("""COMPUTED_VALUE"""),45617.0)</f>
        <v>45617</v>
      </c>
      <c r="L3608" s="6" t="str">
        <f>IFERROR(__xludf.DUMMYFUNCTION("""COMPUTED_VALUE"""),"FIP Engineering")</f>
        <v>FIP Engineering</v>
      </c>
      <c r="M3608" s="6" t="str">
        <f>IFERROR(__xludf.DUMMYFUNCTION("""COMPUTED_VALUE"""),"Mochammad Fadhillah Hakim,")</f>
        <v>Mochammad Fadhillah Hakim,</v>
      </c>
      <c r="N3608" s="6" t="str">
        <f>IFERROR(__xludf.DUMMYFUNCTION("""COMPUTED_VALUE"""),"FIP Engineering")</f>
        <v>FIP Engineering</v>
      </c>
      <c r="O3608" s="6" t="str">
        <f>IFERROR(__xludf.DUMMYFUNCTION("""COMPUTED_VALUE"""),"FIP-DOM-000-11304-OS00001-INA-000000")</f>
        <v>FIP-DOM-000-11304-OS00001-INA-000000</v>
      </c>
      <c r="P3608" s="6" t="str">
        <f>IFERROR(__xludf.DUMMYFUNCTION("""COMPUTED_VALUE"""),"PO Closed")</f>
        <v>PO Closed</v>
      </c>
      <c r="Q3608" s="6" t="str">
        <f>IFERROR(__xludf.DUMMYFUNCTION("""COMPUTED_VALUE"""),"GL2412035")</f>
        <v>GL2412035</v>
      </c>
      <c r="R3608" s="57">
        <f>IFERROR(__xludf.DUMMYFUNCTION("""COMPUTED_VALUE"""),45615.0)</f>
        <v>45615</v>
      </c>
      <c r="S3608" s="57">
        <f>IFERROR(__xludf.DUMMYFUNCTION("""COMPUTED_VALUE"""),45615.0)</f>
        <v>45615</v>
      </c>
      <c r="T3608" s="57">
        <f>IFERROR(__xludf.DUMMYFUNCTION("""COMPUTED_VALUE"""),45678.0)</f>
        <v>45678</v>
      </c>
    </row>
    <row r="3609">
      <c r="A3609" s="6" t="str">
        <f>IFERROR(__xludf.DUMMYFUNCTION("""COMPUTED_VALUE"""),"121702081-1")</f>
        <v>121702081-1</v>
      </c>
      <c r="B3609" s="6" t="str">
        <f>IFERROR(__xludf.DUMMYFUNCTION("""COMPUTED_VALUE"""),"121702081 - APPROVED")</f>
        <v>121702081 - APPROVED</v>
      </c>
      <c r="C3609" s="6">
        <f>IFERROR(__xludf.DUMMYFUNCTION("""COMPUTED_VALUE"""),1.0)</f>
        <v>1</v>
      </c>
      <c r="D3609" s="6" t="str">
        <f>IFERROR(__xludf.DUMMYFUNCTION("""COMPUTED_VALUE"""),"O-54014-00")</f>
        <v>O-54014-00</v>
      </c>
      <c r="E3609" s="6" t="str">
        <f>IFERROR(__xludf.DUMMYFUNCTION("""COMPUTED_VALUE"""),"STEKER 1 PHASE, BROCO")</f>
        <v>STEKER 1 PHASE, BROCO</v>
      </c>
      <c r="F3609" s="6">
        <f>IFERROR(__xludf.DUMMYFUNCTION("""COMPUTED_VALUE"""),10.0)</f>
        <v>10</v>
      </c>
      <c r="G3609" s="6" t="str">
        <f>IFERROR(__xludf.DUMMYFUNCTION("""COMPUTED_VALUE"""),"Pieces")</f>
        <v>Pieces</v>
      </c>
      <c r="H3609" s="6" t="str">
        <f>IFERROR(__xludf.DUMMYFUNCTION("""COMPUTED_VALUE"""),"IDR")</f>
        <v>IDR</v>
      </c>
      <c r="I3609" s="6">
        <f>IFERROR(__xludf.DUMMYFUNCTION("""COMPUTED_VALUE"""),13500.0)</f>
        <v>13500</v>
      </c>
      <c r="J3609" s="6">
        <f>IFERROR(__xludf.DUMMYFUNCTION("""COMPUTED_VALUE"""),135000.0)</f>
        <v>135000</v>
      </c>
      <c r="K3609" s="57">
        <f>IFERROR(__xludf.DUMMYFUNCTION("""COMPUTED_VALUE"""),45617.0)</f>
        <v>45617</v>
      </c>
      <c r="L3609" s="6" t="str">
        <f>IFERROR(__xludf.DUMMYFUNCTION("""COMPUTED_VALUE"""),"FIP Engineering")</f>
        <v>FIP Engineering</v>
      </c>
      <c r="M3609" s="6" t="str">
        <f>IFERROR(__xludf.DUMMYFUNCTION("""COMPUTED_VALUE"""),"Mochammad Fadhillah Hakim,")</f>
        <v>Mochammad Fadhillah Hakim,</v>
      </c>
      <c r="N3609" s="6" t="str">
        <f>IFERROR(__xludf.DUMMYFUNCTION("""COMPUTED_VALUE"""),"FIP Engineering")</f>
        <v>FIP Engineering</v>
      </c>
      <c r="O3609" s="6" t="str">
        <f>IFERROR(__xludf.DUMMYFUNCTION("""COMPUTED_VALUE"""),"FIP-DOM-000-11304-OS00001-INA-000000")</f>
        <v>FIP-DOM-000-11304-OS00001-INA-000000</v>
      </c>
      <c r="P3609" s="6" t="str">
        <f>IFERROR(__xludf.DUMMYFUNCTION("""COMPUTED_VALUE"""),"PO Closed")</f>
        <v>PO Closed</v>
      </c>
      <c r="Q3609" s="6" t="str">
        <f>IFERROR(__xludf.DUMMYFUNCTION("""COMPUTED_VALUE"""),"GL2501029")</f>
        <v>GL2501029</v>
      </c>
      <c r="R3609" s="57">
        <f>IFERROR(__xludf.DUMMYFUNCTION("""COMPUTED_VALUE"""),45615.0)</f>
        <v>45615</v>
      </c>
      <c r="S3609" s="57">
        <f>IFERROR(__xludf.DUMMYFUNCTION("""COMPUTED_VALUE"""),45615.0)</f>
        <v>45615</v>
      </c>
      <c r="T3609" s="57">
        <f>IFERROR(__xludf.DUMMYFUNCTION("""COMPUTED_VALUE"""),45693.0)</f>
        <v>45693</v>
      </c>
    </row>
    <row r="3610">
      <c r="A3610" s="6" t="str">
        <f>IFERROR(__xludf.DUMMYFUNCTION("""COMPUTED_VALUE"""),"121702082-1")</f>
        <v>121702082-1</v>
      </c>
      <c r="B3610" s="6" t="str">
        <f>IFERROR(__xludf.DUMMYFUNCTION("""COMPUTED_VALUE"""),"121702082 - APPROVED")</f>
        <v>121702082 - APPROVED</v>
      </c>
      <c r="C3610" s="6">
        <f>IFERROR(__xludf.DUMMYFUNCTION("""COMPUTED_VALUE"""),1.0)</f>
        <v>1</v>
      </c>
      <c r="D3610" s="6" t="str">
        <f>IFERROR(__xludf.DUMMYFUNCTION("""COMPUTED_VALUE"""),"S-63035-00")</f>
        <v>S-63035-00</v>
      </c>
      <c r="E3610" s="6" t="str">
        <f>IFERROR(__xludf.DUMMYFUNCTION("""COMPUTED_VALUE"""),"Cover Penutup Saklar; ; ;")</f>
        <v>Cover Penutup Saklar; ; ;</v>
      </c>
      <c r="F3610" s="6">
        <f>IFERROR(__xludf.DUMMYFUNCTION("""COMPUTED_VALUE"""),30.0)</f>
        <v>30</v>
      </c>
      <c r="G3610" s="6" t="str">
        <f>IFERROR(__xludf.DUMMYFUNCTION("""COMPUTED_VALUE"""),"Pieces")</f>
        <v>Pieces</v>
      </c>
      <c r="H3610" s="6" t="str">
        <f>IFERROR(__xludf.DUMMYFUNCTION("""COMPUTED_VALUE"""),"IDR")</f>
        <v>IDR</v>
      </c>
      <c r="I3610" s="6">
        <f>IFERROR(__xludf.DUMMYFUNCTION("""COMPUTED_VALUE"""),18000.0)</f>
        <v>18000</v>
      </c>
      <c r="J3610" s="6">
        <f>IFERROR(__xludf.DUMMYFUNCTION("""COMPUTED_VALUE"""),540000.0)</f>
        <v>540000</v>
      </c>
      <c r="K3610" s="57">
        <f>IFERROR(__xludf.DUMMYFUNCTION("""COMPUTED_VALUE"""),45617.0)</f>
        <v>45617</v>
      </c>
      <c r="L3610" s="6" t="str">
        <f>IFERROR(__xludf.DUMMYFUNCTION("""COMPUTED_VALUE"""),"FIP General")</f>
        <v>FIP General</v>
      </c>
      <c r="M3610" s="6" t="str">
        <f>IFERROR(__xludf.DUMMYFUNCTION("""COMPUTED_VALUE"""),"Mochammad Fadhillah Hakim,")</f>
        <v>Mochammad Fadhillah Hakim,</v>
      </c>
      <c r="N3610" s="6" t="str">
        <f>IFERROR(__xludf.DUMMYFUNCTION("""COMPUTED_VALUE"""),"FIP Engineering")</f>
        <v>FIP Engineering</v>
      </c>
      <c r="O3610" s="6" t="str">
        <f>IFERROR(__xludf.DUMMYFUNCTION("""COMPUTED_VALUE"""),"FIP-DOM-ENG-51504-0000000-INA-000000")</f>
        <v>FIP-DOM-ENG-51504-0000000-INA-000000</v>
      </c>
      <c r="P3610" s="6" t="str">
        <f>IFERROR(__xludf.DUMMYFUNCTION("""COMPUTED_VALUE"""),"PO Closed")</f>
        <v>PO Closed</v>
      </c>
      <c r="Q3610" s="6" t="str">
        <f>IFERROR(__xludf.DUMMYFUNCTION("""COMPUTED_VALUE"""),"GL2501004")</f>
        <v>GL2501004</v>
      </c>
      <c r="R3610" s="57">
        <f>IFERROR(__xludf.DUMMYFUNCTION("""COMPUTED_VALUE"""),45615.0)</f>
        <v>45615</v>
      </c>
      <c r="S3610" s="57">
        <f>IFERROR(__xludf.DUMMYFUNCTION("""COMPUTED_VALUE"""),45622.0)</f>
        <v>45622</v>
      </c>
      <c r="T3610" s="57">
        <f>IFERROR(__xludf.DUMMYFUNCTION("""COMPUTED_VALUE"""),45688.0)</f>
        <v>45688</v>
      </c>
    </row>
    <row r="3611">
      <c r="A3611" s="6" t="str">
        <f>IFERROR(__xludf.DUMMYFUNCTION("""COMPUTED_VALUE"""),"121702083-1")</f>
        <v>121702083-1</v>
      </c>
      <c r="B3611" s="6" t="str">
        <f>IFERROR(__xludf.DUMMYFUNCTION("""COMPUTED_VALUE"""),"121702083 - APPROVED")</f>
        <v>121702083 - APPROVED</v>
      </c>
      <c r="C3611" s="6">
        <f>IFERROR(__xludf.DUMMYFUNCTION("""COMPUTED_VALUE"""),1.0)</f>
        <v>1</v>
      </c>
      <c r="D3611" s="6" t="str">
        <f>IFERROR(__xludf.DUMMYFUNCTION("""COMPUTED_VALUE"""),"Q-10656-00")</f>
        <v>Q-10656-00</v>
      </c>
      <c r="E3611" s="6" t="str">
        <f>IFERROR(__xludf.DUMMYFUNCTION("""COMPUTED_VALUE"""),"Kuas Cat Uk. 5 inch;No Brand;;pack size per pcs")</f>
        <v>Kuas Cat Uk. 5 inch;No Brand;;pack size per pcs</v>
      </c>
      <c r="F3611" s="6">
        <f>IFERROR(__xludf.DUMMYFUNCTION("""COMPUTED_VALUE"""),10.0)</f>
        <v>10</v>
      </c>
      <c r="G3611" s="6" t="str">
        <f>IFERROR(__xludf.DUMMYFUNCTION("""COMPUTED_VALUE"""),"Pieces")</f>
        <v>Pieces</v>
      </c>
      <c r="H3611" s="6" t="str">
        <f>IFERROR(__xludf.DUMMYFUNCTION("""COMPUTED_VALUE"""),"IDR")</f>
        <v>IDR</v>
      </c>
      <c r="I3611" s="6">
        <f>IFERROR(__xludf.DUMMYFUNCTION("""COMPUTED_VALUE"""),18500.0)</f>
        <v>18500</v>
      </c>
      <c r="J3611" s="6">
        <f>IFERROR(__xludf.DUMMYFUNCTION("""COMPUTED_VALUE"""),185000.0)</f>
        <v>185000</v>
      </c>
      <c r="K3611" s="57">
        <f>IFERROR(__xludf.DUMMYFUNCTION("""COMPUTED_VALUE"""),45617.0)</f>
        <v>45617</v>
      </c>
      <c r="L3611" s="6" t="str">
        <f>IFERROR(__xludf.DUMMYFUNCTION("""COMPUTED_VALUE"""),"FIP Engineering")</f>
        <v>FIP Engineering</v>
      </c>
      <c r="M3611" s="6" t="str">
        <f>IFERROR(__xludf.DUMMYFUNCTION("""COMPUTED_VALUE"""),"Mochammad Fadhillah Hakim,")</f>
        <v>Mochammad Fadhillah Hakim,</v>
      </c>
      <c r="N3611" s="6" t="str">
        <f>IFERROR(__xludf.DUMMYFUNCTION("""COMPUTED_VALUE"""),"FIP Engineering")</f>
        <v>FIP Engineering</v>
      </c>
      <c r="O3611" s="6" t="str">
        <f>IFERROR(__xludf.DUMMYFUNCTION("""COMPUTED_VALUE"""),"FIP-DOM-000-11304-OS00001-INA-000000")</f>
        <v>FIP-DOM-000-11304-OS00001-INA-000000</v>
      </c>
      <c r="P3611" s="6" t="str">
        <f>IFERROR(__xludf.DUMMYFUNCTION("""COMPUTED_VALUE"""),"PO Closed")</f>
        <v>PO Closed</v>
      </c>
      <c r="Q3611" s="6" t="str">
        <f>IFERROR(__xludf.DUMMYFUNCTION("""COMPUTED_VALUE"""),"GL2412458")</f>
        <v>GL2412458</v>
      </c>
      <c r="R3611" s="57">
        <f>IFERROR(__xludf.DUMMYFUNCTION("""COMPUTED_VALUE"""),45615.0)</f>
        <v>45615</v>
      </c>
      <c r="S3611" s="57">
        <f>IFERROR(__xludf.DUMMYFUNCTION("""COMPUTED_VALUE"""),45617.0)</f>
        <v>45617</v>
      </c>
      <c r="T3611" s="57">
        <f>IFERROR(__xludf.DUMMYFUNCTION("""COMPUTED_VALUE"""),45650.0)</f>
        <v>45650</v>
      </c>
    </row>
    <row r="3612">
      <c r="A3612" s="6" t="str">
        <f>IFERROR(__xludf.DUMMYFUNCTION("""COMPUTED_VALUE"""),"121702084-1")</f>
        <v>121702084-1</v>
      </c>
      <c r="B3612" s="6" t="str">
        <f>IFERROR(__xludf.DUMMYFUNCTION("""COMPUTED_VALUE"""),"121702084 - APPROVED")</f>
        <v>121702084 - APPROVED</v>
      </c>
      <c r="C3612" s="6">
        <f>IFERROR(__xludf.DUMMYFUNCTION("""COMPUTED_VALUE"""),1.0)</f>
        <v>1</v>
      </c>
      <c r="D3612" s="6" t="str">
        <f>IFERROR(__xludf.DUMMYFUNCTION("""COMPUTED_VALUE"""),"S-40645-00")</f>
        <v>S-40645-00</v>
      </c>
      <c r="E3612" s="6" t="str">
        <f>IFERROR(__xludf.DUMMYFUNCTION("""COMPUTED_VALUE"""),"Cable Ties, 200 x 4.8 mm; SIGMA; CS 200L; Putih;100 pcs/pack")</f>
        <v>Cable Ties, 200 x 4.8 mm; SIGMA; CS 200L; Putih;100 pcs/pack</v>
      </c>
      <c r="F3612" s="6">
        <f>IFERROR(__xludf.DUMMYFUNCTION("""COMPUTED_VALUE"""),20.0)</f>
        <v>20</v>
      </c>
      <c r="G3612" s="6" t="str">
        <f>IFERROR(__xludf.DUMMYFUNCTION("""COMPUTED_VALUE"""),"Pack")</f>
        <v>Pack</v>
      </c>
      <c r="H3612" s="6" t="str">
        <f>IFERROR(__xludf.DUMMYFUNCTION("""COMPUTED_VALUE"""),"IDR")</f>
        <v>IDR</v>
      </c>
      <c r="I3612" s="6">
        <f>IFERROR(__xludf.DUMMYFUNCTION("""COMPUTED_VALUE"""),32000.0)</f>
        <v>32000</v>
      </c>
      <c r="J3612" s="6">
        <f>IFERROR(__xludf.DUMMYFUNCTION("""COMPUTED_VALUE"""),640000.0)</f>
        <v>640000</v>
      </c>
      <c r="K3612" s="57">
        <f>IFERROR(__xludf.DUMMYFUNCTION("""COMPUTED_VALUE"""),45617.0)</f>
        <v>45617</v>
      </c>
      <c r="L3612" s="6" t="str">
        <f>IFERROR(__xludf.DUMMYFUNCTION("""COMPUTED_VALUE"""),"FIP General")</f>
        <v>FIP General</v>
      </c>
      <c r="M3612" s="6" t="str">
        <f>IFERROR(__xludf.DUMMYFUNCTION("""COMPUTED_VALUE"""),"Mochammad Fadhillah Hakim,")</f>
        <v>Mochammad Fadhillah Hakim,</v>
      </c>
      <c r="N3612" s="6" t="str">
        <f>IFERROR(__xludf.DUMMYFUNCTION("""COMPUTED_VALUE"""),"FIP Engineering")</f>
        <v>FIP Engineering</v>
      </c>
      <c r="O3612" s="6" t="str">
        <f>IFERROR(__xludf.DUMMYFUNCTION("""COMPUTED_VALUE"""),"FIP-DOM-ENG-51404-0000000-INA-000000")</f>
        <v>FIP-DOM-ENG-51404-0000000-INA-000000</v>
      </c>
      <c r="P3612" s="6" t="str">
        <f>IFERROR(__xludf.DUMMYFUNCTION("""COMPUTED_VALUE"""),"PO Closed")</f>
        <v>PO Closed</v>
      </c>
      <c r="Q3612" s="6" t="str">
        <f>IFERROR(__xludf.DUMMYFUNCTION("""COMPUTED_VALUE"""),"GL2411025")</f>
        <v>GL2411025</v>
      </c>
      <c r="R3612" s="57">
        <f>IFERROR(__xludf.DUMMYFUNCTION("""COMPUTED_VALUE"""),45615.0)</f>
        <v>45615</v>
      </c>
      <c r="S3612" s="57">
        <f>IFERROR(__xludf.DUMMYFUNCTION("""COMPUTED_VALUE"""),45615.0)</f>
        <v>45615</v>
      </c>
      <c r="T3612" s="57">
        <f>IFERROR(__xludf.DUMMYFUNCTION("""COMPUTED_VALUE"""),45638.0)</f>
        <v>45638</v>
      </c>
    </row>
    <row r="3613">
      <c r="A3613" s="6" t="str">
        <f>IFERROR(__xludf.DUMMYFUNCTION("""COMPUTED_VALUE"""),"121702085-1")</f>
        <v>121702085-1</v>
      </c>
      <c r="B3613" s="6" t="str">
        <f>IFERROR(__xludf.DUMMYFUNCTION("""COMPUTED_VALUE"""),"121702085 - APPROVED")</f>
        <v>121702085 - APPROVED</v>
      </c>
      <c r="C3613" s="6">
        <f>IFERROR(__xludf.DUMMYFUNCTION("""COMPUTED_VALUE"""),1.0)</f>
        <v>1</v>
      </c>
      <c r="D3613" s="6" t="str">
        <f>IFERROR(__xludf.DUMMYFUNCTION("""COMPUTED_VALUE"""),"Q-60502-00")</f>
        <v>Q-60502-00</v>
      </c>
      <c r="E3613" s="6" t="str">
        <f>IFERROR(__xludf.DUMMYFUNCTION("""COMPUTED_VALUE"""),"Silicone Sealant, Silglaze, Type N10 White, pack size per pcs")</f>
        <v>Silicone Sealant, Silglaze, Type N10 White, pack size per pcs</v>
      </c>
      <c r="F3613" s="6">
        <f>IFERROR(__xludf.DUMMYFUNCTION("""COMPUTED_VALUE"""),5.0)</f>
        <v>5</v>
      </c>
      <c r="G3613" s="6" t="str">
        <f>IFERROR(__xludf.DUMMYFUNCTION("""COMPUTED_VALUE"""),"Pieces")</f>
        <v>Pieces</v>
      </c>
      <c r="H3613" s="6" t="str">
        <f>IFERROR(__xludf.DUMMYFUNCTION("""COMPUTED_VALUE"""),"IDR")</f>
        <v>IDR</v>
      </c>
      <c r="I3613" s="6">
        <f>IFERROR(__xludf.DUMMYFUNCTION("""COMPUTED_VALUE"""),39000.0)</f>
        <v>39000</v>
      </c>
      <c r="J3613" s="6">
        <f>IFERROR(__xludf.DUMMYFUNCTION("""COMPUTED_VALUE"""),195000.0)</f>
        <v>195000</v>
      </c>
      <c r="K3613" s="57">
        <f>IFERROR(__xludf.DUMMYFUNCTION("""COMPUTED_VALUE"""),45617.0)</f>
        <v>45617</v>
      </c>
      <c r="L3613" s="6" t="str">
        <f>IFERROR(__xludf.DUMMYFUNCTION("""COMPUTED_VALUE"""),"FIP Engineering")</f>
        <v>FIP Engineering</v>
      </c>
      <c r="M3613" s="6" t="str">
        <f>IFERROR(__xludf.DUMMYFUNCTION("""COMPUTED_VALUE"""),"Mochammad Fadhillah Hakim,")</f>
        <v>Mochammad Fadhillah Hakim,</v>
      </c>
      <c r="N3613" s="6" t="str">
        <f>IFERROR(__xludf.DUMMYFUNCTION("""COMPUTED_VALUE"""),"FIP Engineering")</f>
        <v>FIP Engineering</v>
      </c>
      <c r="O3613" s="6" t="str">
        <f>IFERROR(__xludf.DUMMYFUNCTION("""COMPUTED_VALUE"""),"FIP-DOM-000-11304-OS00001-INA-000000")</f>
        <v>FIP-DOM-000-11304-OS00001-INA-000000</v>
      </c>
      <c r="P3613" s="6" t="str">
        <f>IFERROR(__xludf.DUMMYFUNCTION("""COMPUTED_VALUE"""),"PO Closed")</f>
        <v>PO Closed</v>
      </c>
      <c r="Q3613" s="6" t="str">
        <f>IFERROR(__xludf.DUMMYFUNCTION("""COMPUTED_VALUE"""),"GL2412014")</f>
        <v>GL2412014</v>
      </c>
      <c r="R3613" s="57">
        <f>IFERROR(__xludf.DUMMYFUNCTION("""COMPUTED_VALUE"""),45615.0)</f>
        <v>45615</v>
      </c>
      <c r="S3613" s="57">
        <f>IFERROR(__xludf.DUMMYFUNCTION("""COMPUTED_VALUE"""),45615.0)</f>
        <v>45615</v>
      </c>
      <c r="T3613" s="57">
        <f>IFERROR(__xludf.DUMMYFUNCTION("""COMPUTED_VALUE"""),45650.0)</f>
        <v>45650</v>
      </c>
    </row>
    <row r="3614">
      <c r="A3614" s="6" t="str">
        <f>IFERROR(__xludf.DUMMYFUNCTION("""COMPUTED_VALUE"""),"121702086-1")</f>
        <v>121702086-1</v>
      </c>
      <c r="B3614" s="6" t="str">
        <f>IFERROR(__xludf.DUMMYFUNCTION("""COMPUTED_VALUE"""),"121702086 - APPROVED")</f>
        <v>121702086 - APPROVED</v>
      </c>
      <c r="C3614" s="6">
        <f>IFERROR(__xludf.DUMMYFUNCTION("""COMPUTED_VALUE"""),1.0)</f>
        <v>1</v>
      </c>
      <c r="D3614" s="6" t="str">
        <f>IFERROR(__xludf.DUMMYFUNCTION("""COMPUTED_VALUE"""),"Q-10128-00")</f>
        <v>Q-10128-00</v>
      </c>
      <c r="E3614" s="6" t="str">
        <f>IFERROR(__xludf.DUMMYFUNCTION("""COMPUTED_VALUE"""),"Thinner Super End/Impala @ 1 Liter")</f>
        <v>Thinner Super End/Impala @ 1 Liter</v>
      </c>
      <c r="F3614" s="6">
        <f>IFERROR(__xludf.DUMMYFUNCTION("""COMPUTED_VALUE"""),5.0)</f>
        <v>5</v>
      </c>
      <c r="G3614" s="6" t="str">
        <f>IFERROR(__xludf.DUMMYFUNCTION("""COMPUTED_VALUE"""),"Pieces")</f>
        <v>Pieces</v>
      </c>
      <c r="H3614" s="6" t="str">
        <f>IFERROR(__xludf.DUMMYFUNCTION("""COMPUTED_VALUE"""),"IDR")</f>
        <v>IDR</v>
      </c>
      <c r="I3614" s="6">
        <f>IFERROR(__xludf.DUMMYFUNCTION("""COMPUTED_VALUE"""),37500.0)</f>
        <v>37500</v>
      </c>
      <c r="J3614" s="6">
        <f>IFERROR(__xludf.DUMMYFUNCTION("""COMPUTED_VALUE"""),187500.0)</f>
        <v>187500</v>
      </c>
      <c r="K3614" s="57">
        <f>IFERROR(__xludf.DUMMYFUNCTION("""COMPUTED_VALUE"""),45617.0)</f>
        <v>45617</v>
      </c>
      <c r="L3614" s="6" t="str">
        <f>IFERROR(__xludf.DUMMYFUNCTION("""COMPUTED_VALUE"""),"FIP Engineering")</f>
        <v>FIP Engineering</v>
      </c>
      <c r="M3614" s="6" t="str">
        <f>IFERROR(__xludf.DUMMYFUNCTION("""COMPUTED_VALUE"""),"Mochammad Fadhillah Hakim,")</f>
        <v>Mochammad Fadhillah Hakim,</v>
      </c>
      <c r="N3614" s="6" t="str">
        <f>IFERROR(__xludf.DUMMYFUNCTION("""COMPUTED_VALUE"""),"FIP Engineering")</f>
        <v>FIP Engineering</v>
      </c>
      <c r="O3614" s="6" t="str">
        <f>IFERROR(__xludf.DUMMYFUNCTION("""COMPUTED_VALUE"""),"FIP-DOM-000-11304-OS00001-INA-000000")</f>
        <v>FIP-DOM-000-11304-OS00001-INA-000000</v>
      </c>
      <c r="P3614" s="6" t="str">
        <f>IFERROR(__xludf.DUMMYFUNCTION("""COMPUTED_VALUE"""),"PO Closed")</f>
        <v>PO Closed</v>
      </c>
      <c r="Q3614" s="6" t="str">
        <f>IFERROR(__xludf.DUMMYFUNCTION("""COMPUTED_VALUE"""),"GL2412458")</f>
        <v>GL2412458</v>
      </c>
      <c r="R3614" s="57">
        <f>IFERROR(__xludf.DUMMYFUNCTION("""COMPUTED_VALUE"""),45615.0)</f>
        <v>45615</v>
      </c>
      <c r="S3614" s="57">
        <f>IFERROR(__xludf.DUMMYFUNCTION("""COMPUTED_VALUE"""),45615.0)</f>
        <v>45615</v>
      </c>
      <c r="T3614" s="57">
        <f>IFERROR(__xludf.DUMMYFUNCTION("""COMPUTED_VALUE"""),45650.0)</f>
        <v>45650</v>
      </c>
    </row>
    <row r="3615">
      <c r="A3615" s="6" t="str">
        <f>IFERROR(__xludf.DUMMYFUNCTION("""COMPUTED_VALUE"""),"121702087-1")</f>
        <v>121702087-1</v>
      </c>
      <c r="B3615" s="6" t="str">
        <f>IFERROR(__xludf.DUMMYFUNCTION("""COMPUTED_VALUE"""),"121702087 - APPROVED")</f>
        <v>121702087 - APPROVED</v>
      </c>
      <c r="C3615" s="6">
        <f>IFERROR(__xludf.DUMMYFUNCTION("""COMPUTED_VALUE"""),1.0)</f>
        <v>1</v>
      </c>
      <c r="D3615" s="6" t="str">
        <f>IFERROR(__xludf.DUMMYFUNCTION("""COMPUTED_VALUE"""),"O-19822-00")</f>
        <v>O-19822-00</v>
      </c>
      <c r="E3615" s="6" t="str">
        <f>IFERROR(__xludf.DUMMYFUNCTION("""COMPUTED_VALUE"""),"Flexible Front End 916 - (125.0 - 125.0)")</f>
        <v>Flexible Front End 916 - (125.0 - 125.0)</v>
      </c>
      <c r="F3615" s="6">
        <f>IFERROR(__xludf.DUMMYFUNCTION("""COMPUTED_VALUE"""),1.0)</f>
        <v>1</v>
      </c>
      <c r="G3615" s="6" t="str">
        <f>IFERROR(__xludf.DUMMYFUNCTION("""COMPUTED_VALUE"""),"Pieces")</f>
        <v>Pieces</v>
      </c>
      <c r="H3615" s="6" t="str">
        <f>IFERROR(__xludf.DUMMYFUNCTION("""COMPUTED_VALUE"""),"IDR")</f>
        <v>IDR</v>
      </c>
      <c r="I3615" s="6">
        <f>IFERROR(__xludf.DUMMYFUNCTION("""COMPUTED_VALUE"""),1.4075392E7)</f>
        <v>14075392</v>
      </c>
      <c r="J3615" s="6">
        <f>IFERROR(__xludf.DUMMYFUNCTION("""COMPUTED_VALUE"""),1.4075392E7)</f>
        <v>14075392</v>
      </c>
      <c r="K3615" s="57">
        <f>IFERROR(__xludf.DUMMYFUNCTION("""COMPUTED_VALUE"""),45618.0)</f>
        <v>45618</v>
      </c>
      <c r="L3615" s="6" t="str">
        <f>IFERROR(__xludf.DUMMYFUNCTION("""COMPUTED_VALUE"""),"FIP Engineering")</f>
        <v>FIP Engineering</v>
      </c>
      <c r="M3615" s="6" t="str">
        <f>IFERROR(__xludf.DUMMYFUNCTION("""COMPUTED_VALUE"""),"Mochammad Fadhillah Hakim,")</f>
        <v>Mochammad Fadhillah Hakim,</v>
      </c>
      <c r="N3615" s="6" t="str">
        <f>IFERROR(__xludf.DUMMYFUNCTION("""COMPUTED_VALUE"""),"FIP Engineering")</f>
        <v>FIP Engineering</v>
      </c>
      <c r="O3615" s="6" t="str">
        <f>IFERROR(__xludf.DUMMYFUNCTION("""COMPUTED_VALUE"""),"FIP-DOM-000-11304-OS00001-INA-000000")</f>
        <v>FIP-DOM-000-11304-OS00001-INA-000000</v>
      </c>
      <c r="P3615" s="6" t="str">
        <f>IFERROR(__xludf.DUMMYFUNCTION("""COMPUTED_VALUE"""),"PO Closed")</f>
        <v>PO Closed</v>
      </c>
      <c r="Q3615" s="6" t="str">
        <f>IFERROR(__xludf.DUMMYFUNCTION("""COMPUTED_VALUE"""),"GL2501021")</f>
        <v>GL2501021</v>
      </c>
      <c r="R3615" s="57">
        <f>IFERROR(__xludf.DUMMYFUNCTION("""COMPUTED_VALUE"""),45616.0)</f>
        <v>45616</v>
      </c>
      <c r="S3615" s="57">
        <f>IFERROR(__xludf.DUMMYFUNCTION("""COMPUTED_VALUE"""),45617.0)</f>
        <v>45617</v>
      </c>
      <c r="T3615" s="57">
        <f>IFERROR(__xludf.DUMMYFUNCTION("""COMPUTED_VALUE"""),45731.0)</f>
        <v>45731</v>
      </c>
    </row>
    <row r="3616">
      <c r="A3616" s="6" t="str">
        <f>IFERROR(__xludf.DUMMYFUNCTION("""COMPUTED_VALUE"""),"121702090-1")</f>
        <v>121702090-1</v>
      </c>
      <c r="B3616" s="6" t="str">
        <f>IFERROR(__xludf.DUMMYFUNCTION("""COMPUTED_VALUE"""),"121702090 - APPROVED")</f>
        <v>121702090 - APPROVED</v>
      </c>
      <c r="C3616" s="6">
        <f>IFERROR(__xludf.DUMMYFUNCTION("""COMPUTED_VALUE"""),1.0)</f>
        <v>1</v>
      </c>
      <c r="D3616" s="6" t="str">
        <f>IFERROR(__xludf.DUMMYFUNCTION("""COMPUTED_VALUE"""),"Q-10586-00")</f>
        <v>Q-10586-00</v>
      </c>
      <c r="E3616" s="6" t="str">
        <f>IFERROR(__xludf.DUMMYFUNCTION("""COMPUTED_VALUE"""),"Lampu LED T5-9W-600mm; ; ;")</f>
        <v>Lampu LED T5-9W-600mm; ; ;</v>
      </c>
      <c r="F3616" s="6">
        <f>IFERROR(__xludf.DUMMYFUNCTION("""COMPUTED_VALUE"""),3.0)</f>
        <v>3</v>
      </c>
      <c r="G3616" s="6" t="str">
        <f>IFERROR(__xludf.DUMMYFUNCTION("""COMPUTED_VALUE"""),"Pieces")</f>
        <v>Pieces</v>
      </c>
      <c r="H3616" s="6" t="str">
        <f>IFERROR(__xludf.DUMMYFUNCTION("""COMPUTED_VALUE"""),"IDR")</f>
        <v>IDR</v>
      </c>
      <c r="I3616" s="6">
        <f>IFERROR(__xludf.DUMMYFUNCTION("""COMPUTED_VALUE"""),55000.0)</f>
        <v>55000</v>
      </c>
      <c r="J3616" s="6">
        <f>IFERROR(__xludf.DUMMYFUNCTION("""COMPUTED_VALUE"""),165000.0)</f>
        <v>165000</v>
      </c>
      <c r="K3616" s="57">
        <f>IFERROR(__xludf.DUMMYFUNCTION("""COMPUTED_VALUE"""),45618.0)</f>
        <v>45618</v>
      </c>
      <c r="L3616" s="6" t="str">
        <f>IFERROR(__xludf.DUMMYFUNCTION("""COMPUTED_VALUE"""),"FIP Engineering")</f>
        <v>FIP Engineering</v>
      </c>
      <c r="M3616" s="6" t="str">
        <f>IFERROR(__xludf.DUMMYFUNCTION("""COMPUTED_VALUE"""),"Mochammad Fadhillah Hakim,")</f>
        <v>Mochammad Fadhillah Hakim,</v>
      </c>
      <c r="N3616" s="6" t="str">
        <f>IFERROR(__xludf.DUMMYFUNCTION("""COMPUTED_VALUE"""),"FIP Engineering")</f>
        <v>FIP Engineering</v>
      </c>
      <c r="O3616" s="6" t="str">
        <f>IFERROR(__xludf.DUMMYFUNCTION("""COMPUTED_VALUE"""),"FIP-DOM-000-11304-OS00001-INA-000000")</f>
        <v>FIP-DOM-000-11304-OS00001-INA-000000</v>
      </c>
      <c r="P3616" s="6" t="str">
        <f>IFERROR(__xludf.DUMMYFUNCTION("""COMPUTED_VALUE"""),"PO Closed")</f>
        <v>PO Closed</v>
      </c>
      <c r="Q3616" s="6" t="str">
        <f>IFERROR(__xludf.DUMMYFUNCTION("""COMPUTED_VALUE"""),"GL2412458")</f>
        <v>GL2412458</v>
      </c>
      <c r="R3616" s="57">
        <f>IFERROR(__xludf.DUMMYFUNCTION("""COMPUTED_VALUE"""),45616.0)</f>
        <v>45616</v>
      </c>
      <c r="S3616" s="57">
        <f>IFERROR(__xludf.DUMMYFUNCTION("""COMPUTED_VALUE"""),45616.0)</f>
        <v>45616</v>
      </c>
      <c r="T3616" s="57">
        <f>IFERROR(__xludf.DUMMYFUNCTION("""COMPUTED_VALUE"""),45650.0)</f>
        <v>45650</v>
      </c>
    </row>
    <row r="3617">
      <c r="A3617" s="6" t="str">
        <f>IFERROR(__xludf.DUMMYFUNCTION("""COMPUTED_VALUE"""),"121702093-1")</f>
        <v>121702093-1</v>
      </c>
      <c r="B3617" s="6" t="str">
        <f>IFERROR(__xludf.DUMMYFUNCTION("""COMPUTED_VALUE"""),"121702093 - APPROVED")</f>
        <v>121702093 - APPROVED</v>
      </c>
      <c r="C3617" s="6">
        <f>IFERROR(__xludf.DUMMYFUNCTION("""COMPUTED_VALUE"""),1.0)</f>
        <v>1</v>
      </c>
      <c r="D3617" s="6" t="str">
        <f>IFERROR(__xludf.DUMMYFUNCTION("""COMPUTED_VALUE"""),"P-53031-00")</f>
        <v>P-53031-00</v>
      </c>
      <c r="E3617" s="6" t="str">
        <f>IFERROR(__xludf.DUMMYFUNCTION("""COMPUTED_VALUE"""),"General - Cooling Fan; Fulltech; UF15AC23-BTH; 1 Pc")</f>
        <v>General - Cooling Fan; Fulltech; UF15AC23-BTH; 1 Pc</v>
      </c>
      <c r="F3617" s="6">
        <f>IFERROR(__xludf.DUMMYFUNCTION("""COMPUTED_VALUE"""),2.0)</f>
        <v>2</v>
      </c>
      <c r="G3617" s="6" t="str">
        <f>IFERROR(__xludf.DUMMYFUNCTION("""COMPUTED_VALUE"""),"Pieces")</f>
        <v>Pieces</v>
      </c>
      <c r="H3617" s="6" t="str">
        <f>IFERROR(__xludf.DUMMYFUNCTION("""COMPUTED_VALUE"""),"IDR")</f>
        <v>IDR</v>
      </c>
      <c r="I3617" s="6">
        <f>IFERROR(__xludf.DUMMYFUNCTION("""COMPUTED_VALUE"""),775000.0)</f>
        <v>775000</v>
      </c>
      <c r="J3617" s="6">
        <f>IFERROR(__xludf.DUMMYFUNCTION("""COMPUTED_VALUE"""),1550000.0)</f>
        <v>1550000</v>
      </c>
      <c r="K3617" s="57">
        <f>IFERROR(__xludf.DUMMYFUNCTION("""COMPUTED_VALUE"""),45618.0)</f>
        <v>45618</v>
      </c>
      <c r="L3617" s="6" t="str">
        <f>IFERROR(__xludf.DUMMYFUNCTION("""COMPUTED_VALUE"""),"FIP Engineering")</f>
        <v>FIP Engineering</v>
      </c>
      <c r="M3617" s="6" t="str">
        <f>IFERROR(__xludf.DUMMYFUNCTION("""COMPUTED_VALUE"""),"Mochammad Fadhillah Hakim,")</f>
        <v>Mochammad Fadhillah Hakim,</v>
      </c>
      <c r="N3617" s="6" t="str">
        <f>IFERROR(__xludf.DUMMYFUNCTION("""COMPUTED_VALUE"""),"FIP Engineering")</f>
        <v>FIP Engineering</v>
      </c>
      <c r="O3617" s="6" t="str">
        <f>IFERROR(__xludf.DUMMYFUNCTION("""COMPUTED_VALUE"""),"FIP-DOM-000-11304-OS00001-INA-000000")</f>
        <v>FIP-DOM-000-11304-OS00001-INA-000000</v>
      </c>
      <c r="P3617" s="6" t="str">
        <f>IFERROR(__xludf.DUMMYFUNCTION("""COMPUTED_VALUE"""),"PO Closed")</f>
        <v>PO Closed</v>
      </c>
      <c r="Q3617" s="6" t="str">
        <f>IFERROR(__xludf.DUMMYFUNCTION("""COMPUTED_VALUE"""),"GL2411057")</f>
        <v>GL2411057</v>
      </c>
      <c r="R3617" s="57">
        <f>IFERROR(__xludf.DUMMYFUNCTION("""COMPUTED_VALUE"""),45616.0)</f>
        <v>45616</v>
      </c>
      <c r="S3617" s="57">
        <f>IFERROR(__xludf.DUMMYFUNCTION("""COMPUTED_VALUE"""),45617.0)</f>
        <v>45617</v>
      </c>
      <c r="T3617" s="57">
        <f>IFERROR(__xludf.DUMMYFUNCTION("""COMPUTED_VALUE"""),45632.0)</f>
        <v>45632</v>
      </c>
    </row>
    <row r="3618">
      <c r="A3618" s="6" t="str">
        <f>IFERROR(__xludf.DUMMYFUNCTION("""COMPUTED_VALUE"""),"121702095-1")</f>
        <v>121702095-1</v>
      </c>
      <c r="B3618" s="6" t="str">
        <f>IFERROR(__xludf.DUMMYFUNCTION("""COMPUTED_VALUE"""),"121702095 - APPROVED")</f>
        <v>121702095 - APPROVED</v>
      </c>
      <c r="C3618" s="6">
        <f>IFERROR(__xludf.DUMMYFUNCTION("""COMPUTED_VALUE"""),1.0)</f>
        <v>1</v>
      </c>
      <c r="D3618" s="6" t="str">
        <f>IFERROR(__xludf.DUMMYFUNCTION("""COMPUTED_VALUE"""),"P-19449-00")</f>
        <v>P-19449-00</v>
      </c>
      <c r="E3618" s="6" t="str">
        <f>IFERROR(__xludf.DUMMYFUNCTION("""COMPUTED_VALUE"""),"Mesin Chamber - Coil Evaporator Uk. 52 X 22 X 11; Custom/Lokal; -; 1 Pc")</f>
        <v>Mesin Chamber - Coil Evaporator Uk. 52 X 22 X 11; Custom/Lokal; -; 1 Pc</v>
      </c>
      <c r="F3618" s="6">
        <f>IFERROR(__xludf.DUMMYFUNCTION("""COMPUTED_VALUE"""),2.0)</f>
        <v>2</v>
      </c>
      <c r="G3618" s="6" t="str">
        <f>IFERROR(__xludf.DUMMYFUNCTION("""COMPUTED_VALUE"""),"Unit")</f>
        <v>Unit</v>
      </c>
      <c r="H3618" s="6" t="str">
        <f>IFERROR(__xludf.DUMMYFUNCTION("""COMPUTED_VALUE"""),"IDR")</f>
        <v>IDR</v>
      </c>
      <c r="I3618" s="6">
        <f>IFERROR(__xludf.DUMMYFUNCTION("""COMPUTED_VALUE"""),6750000.0)</f>
        <v>6750000</v>
      </c>
      <c r="J3618" s="6">
        <f>IFERROR(__xludf.DUMMYFUNCTION("""COMPUTED_VALUE"""),1.35E7)</f>
        <v>13500000</v>
      </c>
      <c r="K3618" s="57">
        <f>IFERROR(__xludf.DUMMYFUNCTION("""COMPUTED_VALUE"""),45618.0)</f>
        <v>45618</v>
      </c>
      <c r="L3618" s="6" t="str">
        <f>IFERROR(__xludf.DUMMYFUNCTION("""COMPUTED_VALUE"""),"FIP Engineering")</f>
        <v>FIP Engineering</v>
      </c>
      <c r="M3618" s="6" t="str">
        <f>IFERROR(__xludf.DUMMYFUNCTION("""COMPUTED_VALUE"""),"Mochammad Fadhillah Hakim,")</f>
        <v>Mochammad Fadhillah Hakim,</v>
      </c>
      <c r="N3618" s="6" t="str">
        <f>IFERROR(__xludf.DUMMYFUNCTION("""COMPUTED_VALUE"""),"FIP Engineering")</f>
        <v>FIP Engineering</v>
      </c>
      <c r="O3618" s="6" t="str">
        <f>IFERROR(__xludf.DUMMYFUNCTION("""COMPUTED_VALUE"""),"FIP-DOM-000-11304-OS00001-INA-000000")</f>
        <v>FIP-DOM-000-11304-OS00001-INA-000000</v>
      </c>
      <c r="P3618" s="6" t="str">
        <f>IFERROR(__xludf.DUMMYFUNCTION("""COMPUTED_VALUE"""),"PO Closed")</f>
        <v>PO Closed</v>
      </c>
      <c r="Q3618" s="6" t="str">
        <f>IFERROR(__xludf.DUMMYFUNCTION("""COMPUTED_VALUE"""),"GL2412010")</f>
        <v>GL2412010</v>
      </c>
      <c r="R3618" s="57">
        <f>IFERROR(__xludf.DUMMYFUNCTION("""COMPUTED_VALUE"""),45616.0)</f>
        <v>45616</v>
      </c>
      <c r="S3618" s="57">
        <f>IFERROR(__xludf.DUMMYFUNCTION("""COMPUTED_VALUE"""),45617.0)</f>
        <v>45617</v>
      </c>
      <c r="T3618" s="57">
        <f>IFERROR(__xludf.DUMMYFUNCTION("""COMPUTED_VALUE"""),45646.0)</f>
        <v>45646</v>
      </c>
    </row>
    <row r="3619">
      <c r="A3619" s="6" t="str">
        <f>IFERROR(__xludf.DUMMYFUNCTION("""COMPUTED_VALUE"""),"121702104-1")</f>
        <v>121702104-1</v>
      </c>
      <c r="B3619" s="6" t="str">
        <f>IFERROR(__xludf.DUMMYFUNCTION("""COMPUTED_VALUE"""),"121702104 - APPROVED")</f>
        <v>121702104 - APPROVED</v>
      </c>
      <c r="C3619" s="6">
        <f>IFERROR(__xludf.DUMMYFUNCTION("""COMPUTED_VALUE"""),1.0)</f>
        <v>1</v>
      </c>
      <c r="D3619" s="6" t="str">
        <f>IFERROR(__xludf.DUMMYFUNCTION("""COMPUTED_VALUE"""),"O-53144-00")</f>
        <v>O-53144-00</v>
      </c>
      <c r="E3619" s="6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F3619" s="6">
        <f>IFERROR(__xludf.DUMMYFUNCTION("""COMPUTED_VALUE"""),1.0)</f>
        <v>1</v>
      </c>
      <c r="G3619" s="6" t="str">
        <f>IFERROR(__xludf.DUMMYFUNCTION("""COMPUTED_VALUE"""),"Pieces")</f>
        <v>Pieces</v>
      </c>
      <c r="H3619" s="6" t="str">
        <f>IFERROR(__xludf.DUMMYFUNCTION("""COMPUTED_VALUE"""),"IDR")</f>
        <v>IDR</v>
      </c>
      <c r="I3619" s="6">
        <f>IFERROR(__xludf.DUMMYFUNCTION("""COMPUTED_VALUE"""),1960000.0)</f>
        <v>1960000</v>
      </c>
      <c r="J3619" s="6">
        <f>IFERROR(__xludf.DUMMYFUNCTION("""COMPUTED_VALUE"""),1960000.0)</f>
        <v>1960000</v>
      </c>
      <c r="K3619" s="57">
        <f>IFERROR(__xludf.DUMMYFUNCTION("""COMPUTED_VALUE"""),45623.0)</f>
        <v>45623</v>
      </c>
      <c r="L3619" s="6" t="str">
        <f>IFERROR(__xludf.DUMMYFUNCTION("""COMPUTED_VALUE"""),"FIP Engineering")</f>
        <v>FIP Engineering</v>
      </c>
      <c r="M3619" s="6" t="str">
        <f>IFERROR(__xludf.DUMMYFUNCTION("""COMPUTED_VALUE"""),"Mochammad Fadhillah Hakim,")</f>
        <v>Mochammad Fadhillah Hakim,</v>
      </c>
      <c r="N3619" s="6" t="str">
        <f>IFERROR(__xludf.DUMMYFUNCTION("""COMPUTED_VALUE"""),"FIP Engineering")</f>
        <v>FIP Engineering</v>
      </c>
      <c r="O3619" s="6" t="str">
        <f>IFERROR(__xludf.DUMMYFUNCTION("""COMPUTED_VALUE"""),"FIP-DOM-000-11304-OS00001-INA-000000")</f>
        <v>FIP-DOM-000-11304-OS00001-INA-000000</v>
      </c>
      <c r="P3619" s="6" t="str">
        <f>IFERROR(__xludf.DUMMYFUNCTION("""COMPUTED_VALUE"""),"PO Closed")</f>
        <v>PO Closed</v>
      </c>
      <c r="Q3619" s="6" t="str">
        <f>IFERROR(__xludf.DUMMYFUNCTION("""COMPUTED_VALUE"""),"GL2411059")</f>
        <v>GL2411059</v>
      </c>
      <c r="R3619" s="57">
        <f>IFERROR(__xludf.DUMMYFUNCTION("""COMPUTED_VALUE"""),45621.0)</f>
        <v>45621</v>
      </c>
      <c r="S3619" s="57">
        <f>IFERROR(__xludf.DUMMYFUNCTION("""COMPUTED_VALUE"""),45622.0)</f>
        <v>45622</v>
      </c>
      <c r="T3619" s="57">
        <f>IFERROR(__xludf.DUMMYFUNCTION("""COMPUTED_VALUE"""),45646.0)</f>
        <v>45646</v>
      </c>
    </row>
    <row r="3620">
      <c r="A3620" s="6" t="str">
        <f>IFERROR(__xludf.DUMMYFUNCTION("""COMPUTED_VALUE"""),"121702105-1")</f>
        <v>121702105-1</v>
      </c>
      <c r="B3620" s="6" t="str">
        <f>IFERROR(__xludf.DUMMYFUNCTION("""COMPUTED_VALUE"""),"121702105 - APPROVED")</f>
        <v>121702105 - APPROVED</v>
      </c>
      <c r="C3620" s="6">
        <f>IFERROR(__xludf.DUMMYFUNCTION("""COMPUTED_VALUE"""),1.0)</f>
        <v>1</v>
      </c>
      <c r="D3620" s="6" t="str">
        <f>IFERROR(__xludf.DUMMYFUNCTION("""COMPUTED_VALUE"""),"T-20592-00")</f>
        <v>T-20592-00</v>
      </c>
      <c r="E3620" s="6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F3620" s="6">
        <f>IFERROR(__xludf.DUMMYFUNCTION("""COMPUTED_VALUE"""),1.0)</f>
        <v>1</v>
      </c>
      <c r="G3620" s="6" t="str">
        <f>IFERROR(__xludf.DUMMYFUNCTION("""COMPUTED_VALUE"""),"Pack")</f>
        <v>Pack</v>
      </c>
      <c r="H3620" s="6" t="str">
        <f>IFERROR(__xludf.DUMMYFUNCTION("""COMPUTED_VALUE"""),"IDR")</f>
        <v>IDR</v>
      </c>
      <c r="I3620" s="6">
        <f>IFERROR(__xludf.DUMMYFUNCTION("""COMPUTED_VALUE"""),1.3425E7)</f>
        <v>13425000</v>
      </c>
      <c r="J3620" s="6">
        <f>IFERROR(__xludf.DUMMYFUNCTION("""COMPUTED_VALUE"""),1.3425E7)</f>
        <v>13425000</v>
      </c>
      <c r="K3620" s="57">
        <f>IFERROR(__xludf.DUMMYFUNCTION("""COMPUTED_VALUE"""),45623.0)</f>
        <v>45623</v>
      </c>
      <c r="L3620" s="6" t="str">
        <f>IFERROR(__xludf.DUMMYFUNCTION("""COMPUTED_VALUE"""),"FIP General")</f>
        <v>FIP General</v>
      </c>
      <c r="M3620" s="6" t="str">
        <f>IFERROR(__xludf.DUMMYFUNCTION("""COMPUTED_VALUE"""),"Mochammad Fadhillah Hakim,")</f>
        <v>Mochammad Fadhillah Hakim,</v>
      </c>
      <c r="N3620" s="6" t="str">
        <f>IFERROR(__xludf.DUMMYFUNCTION("""COMPUTED_VALUE"""),"FIP Engineering")</f>
        <v>FIP Engineering</v>
      </c>
      <c r="O3620" s="6" t="str">
        <f>IFERROR(__xludf.DUMMYFUNCTION("""COMPUTED_VALUE"""),"FIP-DOM-ENG-51505-0000000-INA-000000")</f>
        <v>FIP-DOM-ENG-51505-0000000-INA-000000</v>
      </c>
      <c r="P3620" s="6" t="str">
        <f>IFERROR(__xludf.DUMMYFUNCTION("""COMPUTED_VALUE"""),"PO Closed")</f>
        <v>PO Closed</v>
      </c>
      <c r="Q3620" s="6" t="str">
        <f>IFERROR(__xludf.DUMMYFUNCTION("""COMPUTED_VALUE"""),"GL2412465")</f>
        <v>GL2412465</v>
      </c>
      <c r="R3620" s="57">
        <f>IFERROR(__xludf.DUMMYFUNCTION("""COMPUTED_VALUE"""),45621.0)</f>
        <v>45621</v>
      </c>
      <c r="S3620" s="57">
        <f>IFERROR(__xludf.DUMMYFUNCTION("""COMPUTED_VALUE"""),45621.0)</f>
        <v>45621</v>
      </c>
      <c r="T3620" s="57">
        <f>IFERROR(__xludf.DUMMYFUNCTION("""COMPUTED_VALUE"""),45656.0)</f>
        <v>45656</v>
      </c>
    </row>
    <row r="3621">
      <c r="A3621" s="6" t="str">
        <f>IFERROR(__xludf.DUMMYFUNCTION("""COMPUTED_VALUE"""),"121702109-1")</f>
        <v>121702109-1</v>
      </c>
      <c r="B3621" s="6" t="str">
        <f>IFERROR(__xludf.DUMMYFUNCTION("""COMPUTED_VALUE"""),"121702109 - APPROVED")</f>
        <v>121702109 - APPROVED</v>
      </c>
      <c r="C3621" s="6">
        <f>IFERROR(__xludf.DUMMYFUNCTION("""COMPUTED_VALUE"""),1.0)</f>
        <v>1</v>
      </c>
      <c r="D3621" s="6" t="str">
        <f>IFERROR(__xludf.DUMMYFUNCTION("""COMPUTED_VALUE"""),"P-53031-00")</f>
        <v>P-53031-00</v>
      </c>
      <c r="E3621" s="6" t="str">
        <f>IFERROR(__xludf.DUMMYFUNCTION("""COMPUTED_VALUE"""),"General - Cooling Fan; Fulltech; UF15AC23-BTH; 1 Pc")</f>
        <v>General - Cooling Fan; Fulltech; UF15AC23-BTH; 1 Pc</v>
      </c>
      <c r="F3621" s="6">
        <f>IFERROR(__xludf.DUMMYFUNCTION("""COMPUTED_VALUE"""),3.0)</f>
        <v>3</v>
      </c>
      <c r="G3621" s="6" t="str">
        <f>IFERROR(__xludf.DUMMYFUNCTION("""COMPUTED_VALUE"""),"Pieces")</f>
        <v>Pieces</v>
      </c>
      <c r="H3621" s="6" t="str">
        <f>IFERROR(__xludf.DUMMYFUNCTION("""COMPUTED_VALUE"""),"IDR")</f>
        <v>IDR</v>
      </c>
      <c r="I3621" s="6">
        <f>IFERROR(__xludf.DUMMYFUNCTION("""COMPUTED_VALUE"""),775000.0)</f>
        <v>775000</v>
      </c>
      <c r="J3621" s="6">
        <f>IFERROR(__xludf.DUMMYFUNCTION("""COMPUTED_VALUE"""),2325000.0)</f>
        <v>2325000</v>
      </c>
      <c r="K3621" s="57">
        <f>IFERROR(__xludf.DUMMYFUNCTION("""COMPUTED_VALUE"""),45624.0)</f>
        <v>45624</v>
      </c>
      <c r="L3621" s="6" t="str">
        <f>IFERROR(__xludf.DUMMYFUNCTION("""COMPUTED_VALUE"""),"FIP Engineering")</f>
        <v>FIP Engineering</v>
      </c>
      <c r="M3621" s="6" t="str">
        <f>IFERROR(__xludf.DUMMYFUNCTION("""COMPUTED_VALUE"""),"Mochammad Fadhillah Hakim,")</f>
        <v>Mochammad Fadhillah Hakim,</v>
      </c>
      <c r="N3621" s="6" t="str">
        <f>IFERROR(__xludf.DUMMYFUNCTION("""COMPUTED_VALUE"""),"FIP Engineering")</f>
        <v>FIP Engineering</v>
      </c>
      <c r="O3621" s="6" t="str">
        <f>IFERROR(__xludf.DUMMYFUNCTION("""COMPUTED_VALUE"""),"FIP-DOM-000-11304-OS00001-INA-000000")</f>
        <v>FIP-DOM-000-11304-OS00001-INA-000000</v>
      </c>
      <c r="P3621" s="6" t="str">
        <f>IFERROR(__xludf.DUMMYFUNCTION("""COMPUTED_VALUE"""),"PO Closed")</f>
        <v>PO Closed</v>
      </c>
      <c r="Q3621" s="6" t="str">
        <f>IFERROR(__xludf.DUMMYFUNCTION("""COMPUTED_VALUE"""),"GL2502005")</f>
        <v>GL2502005</v>
      </c>
      <c r="R3621" s="57">
        <f>IFERROR(__xludf.DUMMYFUNCTION("""COMPUTED_VALUE"""),45622.0)</f>
        <v>45622</v>
      </c>
      <c r="S3621" s="57">
        <f>IFERROR(__xludf.DUMMYFUNCTION("""COMPUTED_VALUE"""),45622.0)</f>
        <v>45622</v>
      </c>
      <c r="T3621" s="57">
        <f>IFERROR(__xludf.DUMMYFUNCTION("""COMPUTED_VALUE"""),45699.0)</f>
        <v>45699</v>
      </c>
    </row>
    <row r="3622">
      <c r="A3622" s="6" t="str">
        <f>IFERROR(__xludf.DUMMYFUNCTION("""COMPUTED_VALUE"""),"121702110-1")</f>
        <v>121702110-1</v>
      </c>
      <c r="B3622" s="6" t="str">
        <f>IFERROR(__xludf.DUMMYFUNCTION("""COMPUTED_VALUE"""),"121702110 - APPROVED")</f>
        <v>121702110 - APPROVED</v>
      </c>
      <c r="C3622" s="6">
        <f>IFERROR(__xludf.DUMMYFUNCTION("""COMPUTED_VALUE"""),1.0)</f>
        <v>1</v>
      </c>
      <c r="D3622" s="6" t="str">
        <f>IFERROR(__xludf.DUMMYFUNCTION("""COMPUTED_VALUE"""),"O-53013-00")</f>
        <v>O-53013-00</v>
      </c>
      <c r="E3622" s="6" t="str">
        <f>IFERROR(__xludf.DUMMYFUNCTION("""COMPUTED_VALUE"""),"Heavy Duty Connector 4Pin (Male + Female); Lokal; ;")</f>
        <v>Heavy Duty Connector 4Pin (Male + Female); Lokal; ;</v>
      </c>
      <c r="F3622" s="6">
        <f>IFERROR(__xludf.DUMMYFUNCTION("""COMPUTED_VALUE"""),2.0)</f>
        <v>2</v>
      </c>
      <c r="G3622" s="6" t="str">
        <f>IFERROR(__xludf.DUMMYFUNCTION("""COMPUTED_VALUE"""),"Set")</f>
        <v>Set</v>
      </c>
      <c r="H3622" s="6" t="str">
        <f>IFERROR(__xludf.DUMMYFUNCTION("""COMPUTED_VALUE"""),"IDR")</f>
        <v>IDR</v>
      </c>
      <c r="I3622" s="6">
        <f>IFERROR(__xludf.DUMMYFUNCTION("""COMPUTED_VALUE"""),387500.0)</f>
        <v>387500</v>
      </c>
      <c r="J3622" s="6">
        <f>IFERROR(__xludf.DUMMYFUNCTION("""COMPUTED_VALUE"""),775000.0)</f>
        <v>775000</v>
      </c>
      <c r="K3622" s="57">
        <f>IFERROR(__xludf.DUMMYFUNCTION("""COMPUTED_VALUE"""),45624.0)</f>
        <v>45624</v>
      </c>
      <c r="L3622" s="6" t="str">
        <f>IFERROR(__xludf.DUMMYFUNCTION("""COMPUTED_VALUE"""),"FIP Engineering")</f>
        <v>FIP Engineering</v>
      </c>
      <c r="M3622" s="6" t="str">
        <f>IFERROR(__xludf.DUMMYFUNCTION("""COMPUTED_VALUE"""),"Mochammad Fadhillah Hakim,")</f>
        <v>Mochammad Fadhillah Hakim,</v>
      </c>
      <c r="N3622" s="6" t="str">
        <f>IFERROR(__xludf.DUMMYFUNCTION("""COMPUTED_VALUE"""),"FIP Engineering")</f>
        <v>FIP Engineering</v>
      </c>
      <c r="O3622" s="6" t="str">
        <f>IFERROR(__xludf.DUMMYFUNCTION("""COMPUTED_VALUE"""),"FIP-DOM-000-11304-OS00001-INA-000000")</f>
        <v>FIP-DOM-000-11304-OS00001-INA-000000</v>
      </c>
      <c r="P3622" s="6" t="str">
        <f>IFERROR(__xludf.DUMMYFUNCTION("""COMPUTED_VALUE"""),"PO Closed")</f>
        <v>PO Closed</v>
      </c>
      <c r="Q3622" s="6" t="str">
        <f>IFERROR(__xludf.DUMMYFUNCTION("""COMPUTED_VALUE"""),"GL2501020")</f>
        <v>GL2501020</v>
      </c>
      <c r="R3622" s="57">
        <f>IFERROR(__xludf.DUMMYFUNCTION("""COMPUTED_VALUE"""),45622.0)</f>
        <v>45622</v>
      </c>
      <c r="S3622" s="57">
        <f>IFERROR(__xludf.DUMMYFUNCTION("""COMPUTED_VALUE"""),45622.0)</f>
        <v>45622</v>
      </c>
      <c r="T3622" s="57">
        <f>IFERROR(__xludf.DUMMYFUNCTION("""COMPUTED_VALUE"""),45698.0)</f>
        <v>45698</v>
      </c>
    </row>
    <row r="3623">
      <c r="A3623" s="6" t="str">
        <f>IFERROR(__xludf.DUMMYFUNCTION("""COMPUTED_VALUE"""),"121702115-1")</f>
        <v>121702115-1</v>
      </c>
      <c r="B3623" s="6" t="str">
        <f>IFERROR(__xludf.DUMMYFUNCTION("""COMPUTED_VALUE"""),"121702115 - APPROVED")</f>
        <v>121702115 - APPROVED</v>
      </c>
      <c r="C3623" s="6">
        <f>IFERROR(__xludf.DUMMYFUNCTION("""COMPUTED_VALUE"""),1.0)</f>
        <v>1</v>
      </c>
      <c r="D3623" s="6" t="str">
        <f>IFERROR(__xludf.DUMMYFUNCTION("""COMPUTED_VALUE"""),"Q-60401-00")</f>
        <v>Q-60401-00</v>
      </c>
      <c r="E3623" s="6" t="str">
        <f>IFERROR(__xludf.DUMMYFUNCTION("""COMPUTED_VALUE"""),"Handle Pintu Bulat, Elbow Press Lock; Meroni; N13NE TB127;")</f>
        <v>Handle Pintu Bulat, Elbow Press Lock; Meroni; N13NE TB127;</v>
      </c>
      <c r="F3623" s="6">
        <f>IFERROR(__xludf.DUMMYFUNCTION("""COMPUTED_VALUE"""),5.0)</f>
        <v>5</v>
      </c>
      <c r="G3623" s="6" t="str">
        <f>IFERROR(__xludf.DUMMYFUNCTION("""COMPUTED_VALUE"""),"Pieces")</f>
        <v>Pieces</v>
      </c>
      <c r="H3623" s="6" t="str">
        <f>IFERROR(__xludf.DUMMYFUNCTION("""COMPUTED_VALUE"""),"IDR")</f>
        <v>IDR</v>
      </c>
      <c r="I3623" s="6">
        <f>IFERROR(__xludf.DUMMYFUNCTION("""COMPUTED_VALUE"""),4584956.0)</f>
        <v>4584956</v>
      </c>
      <c r="J3623" s="6">
        <f>IFERROR(__xludf.DUMMYFUNCTION("""COMPUTED_VALUE"""),2.292478E7)</f>
        <v>22924780</v>
      </c>
      <c r="K3623" s="57">
        <f>IFERROR(__xludf.DUMMYFUNCTION("""COMPUTED_VALUE"""),45626.0)</f>
        <v>45626</v>
      </c>
      <c r="L3623" s="6" t="str">
        <f>IFERROR(__xludf.DUMMYFUNCTION("""COMPUTED_VALUE"""),"FIP Engineering")</f>
        <v>FIP Engineering</v>
      </c>
      <c r="M3623" s="6" t="str">
        <f>IFERROR(__xludf.DUMMYFUNCTION("""COMPUTED_VALUE"""),"Mochammad Fadhillah Hakim,")</f>
        <v>Mochammad Fadhillah Hakim,</v>
      </c>
      <c r="N3623" s="6" t="str">
        <f>IFERROR(__xludf.DUMMYFUNCTION("""COMPUTED_VALUE"""),"FIP Engineering")</f>
        <v>FIP Engineering</v>
      </c>
      <c r="O3623" s="6" t="str">
        <f>IFERROR(__xludf.DUMMYFUNCTION("""COMPUTED_VALUE"""),"FIP-DOM-000-11304-OS00001-INA-000000")</f>
        <v>FIP-DOM-000-11304-OS00001-INA-000000</v>
      </c>
      <c r="P3623" s="6" t="str">
        <f>IFERROR(__xludf.DUMMYFUNCTION("""COMPUTED_VALUE"""),"PO Closed")</f>
        <v>PO Closed</v>
      </c>
      <c r="Q3623" s="6" t="str">
        <f>IFERROR(__xludf.DUMMYFUNCTION("""COMPUTED_VALUE"""),"GL2506048")</f>
        <v>GL2506048</v>
      </c>
      <c r="R3623" s="57">
        <f>IFERROR(__xludf.DUMMYFUNCTION("""COMPUTED_VALUE"""),45624.0)</f>
        <v>45624</v>
      </c>
      <c r="S3623" s="57">
        <f>IFERROR(__xludf.DUMMYFUNCTION("""COMPUTED_VALUE"""),45811.0)</f>
        <v>45811</v>
      </c>
      <c r="T3623" s="57">
        <f>IFERROR(__xludf.DUMMYFUNCTION("""COMPUTED_VALUE"""),45884.0)</f>
        <v>45884</v>
      </c>
    </row>
    <row r="3624">
      <c r="A3624" s="6" t="str">
        <f>IFERROR(__xludf.DUMMYFUNCTION("""COMPUTED_VALUE"""),"121702125-1")</f>
        <v>121702125-1</v>
      </c>
      <c r="B3624" s="6" t="str">
        <f>IFERROR(__xludf.DUMMYFUNCTION("""COMPUTED_VALUE"""),"121702125 - APPROVED")</f>
        <v>121702125 - APPROVED</v>
      </c>
      <c r="C3624" s="6">
        <f>IFERROR(__xludf.DUMMYFUNCTION("""COMPUTED_VALUE"""),1.0)</f>
        <v>1</v>
      </c>
      <c r="D3624" s="6" t="str">
        <f>IFERROR(__xludf.DUMMYFUNCTION("""COMPUTED_VALUE"""),"P-16540-00")</f>
        <v>P-16540-00</v>
      </c>
      <c r="E3624" s="6" t="str">
        <f>IFERROR(__xludf.DUMMYFUNCTION("""COMPUTED_VALUE"""),"Meteran Saku Panjang : 5 mtr")</f>
        <v>Meteran Saku Panjang : 5 mtr</v>
      </c>
      <c r="F3624" s="6">
        <f>IFERROR(__xludf.DUMMYFUNCTION("""COMPUTED_VALUE"""),5.0)</f>
        <v>5</v>
      </c>
      <c r="G3624" s="6" t="str">
        <f>IFERROR(__xludf.DUMMYFUNCTION("""COMPUTED_VALUE"""),"Pieces")</f>
        <v>Pieces</v>
      </c>
      <c r="H3624" s="6" t="str">
        <f>IFERROR(__xludf.DUMMYFUNCTION("""COMPUTED_VALUE"""),"IDR")</f>
        <v>IDR</v>
      </c>
      <c r="I3624" s="6">
        <f>IFERROR(__xludf.DUMMYFUNCTION("""COMPUTED_VALUE"""),55000.0)</f>
        <v>55000</v>
      </c>
      <c r="J3624" s="6">
        <f>IFERROR(__xludf.DUMMYFUNCTION("""COMPUTED_VALUE"""),275000.0)</f>
        <v>275000</v>
      </c>
      <c r="K3624" s="57">
        <f>IFERROR(__xludf.DUMMYFUNCTION("""COMPUTED_VALUE"""),45632.0)</f>
        <v>45632</v>
      </c>
      <c r="L3624" s="6" t="str">
        <f>IFERROR(__xludf.DUMMYFUNCTION("""COMPUTED_VALUE"""),"FIP General")</f>
        <v>FIP General</v>
      </c>
      <c r="M3624" s="6" t="str">
        <f>IFERROR(__xludf.DUMMYFUNCTION("""COMPUTED_VALUE"""),"Mochammad Fadhillah Hakim,")</f>
        <v>Mochammad Fadhillah Hakim,</v>
      </c>
      <c r="N3624" s="6" t="str">
        <f>IFERROR(__xludf.DUMMYFUNCTION("""COMPUTED_VALUE"""),"FIP Engineering")</f>
        <v>FIP Engineering</v>
      </c>
      <c r="O3624" s="6" t="str">
        <f>IFERROR(__xludf.DUMMYFUNCTION("""COMPUTED_VALUE"""),"FIP-DOM-ENG-51404-0000000-INA-000000")</f>
        <v>FIP-DOM-ENG-51404-0000000-INA-000000</v>
      </c>
      <c r="P3624" s="6" t="str">
        <f>IFERROR(__xludf.DUMMYFUNCTION("""COMPUTED_VALUE"""),"PO Closed")</f>
        <v>PO Closed</v>
      </c>
      <c r="Q3624" s="6" t="str">
        <f>IFERROR(__xludf.DUMMYFUNCTION("""COMPUTED_VALUE"""),"GL2411051")</f>
        <v>GL2411051</v>
      </c>
      <c r="R3624" s="57">
        <f>IFERROR(__xludf.DUMMYFUNCTION("""COMPUTED_VALUE"""),45630.0)</f>
        <v>45630</v>
      </c>
      <c r="S3624" s="57">
        <f>IFERROR(__xludf.DUMMYFUNCTION("""COMPUTED_VALUE"""),45630.0)</f>
        <v>45630</v>
      </c>
      <c r="T3624" s="57">
        <f>IFERROR(__xludf.DUMMYFUNCTION("""COMPUTED_VALUE"""),45646.0)</f>
        <v>45646</v>
      </c>
    </row>
    <row r="3625">
      <c r="A3625" s="6" t="str">
        <f>IFERROR(__xludf.DUMMYFUNCTION("""COMPUTED_VALUE"""),"121702126-1")</f>
        <v>121702126-1</v>
      </c>
      <c r="B3625" s="6" t="str">
        <f>IFERROR(__xludf.DUMMYFUNCTION("""COMPUTED_VALUE"""),"121702126 - APPROVED")</f>
        <v>121702126 - APPROVED</v>
      </c>
      <c r="C3625" s="6">
        <f>IFERROR(__xludf.DUMMYFUNCTION("""COMPUTED_VALUE"""),1.0)</f>
        <v>1</v>
      </c>
      <c r="D3625" s="6" t="str">
        <f>IFERROR(__xludf.DUMMYFUNCTION("""COMPUTED_VALUE"""),"T-20859-00")</f>
        <v>T-20859-00</v>
      </c>
      <c r="E3625" s="6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F3625" s="6">
        <f>IFERROR(__xludf.DUMMYFUNCTION("""COMPUTED_VALUE"""),1.0)</f>
        <v>1</v>
      </c>
      <c r="G3625" s="6" t="str">
        <f>IFERROR(__xludf.DUMMYFUNCTION("""COMPUTED_VALUE"""),"Pack")</f>
        <v>Pack</v>
      </c>
      <c r="H3625" s="6" t="str">
        <f>IFERROR(__xludf.DUMMYFUNCTION("""COMPUTED_VALUE"""),"IDR")</f>
        <v>IDR</v>
      </c>
      <c r="I3625" s="6">
        <f>IFERROR(__xludf.DUMMYFUNCTION("""COMPUTED_VALUE"""),3855000.0)</f>
        <v>3855000</v>
      </c>
      <c r="J3625" s="6">
        <f>IFERROR(__xludf.DUMMYFUNCTION("""COMPUTED_VALUE"""),3855000.0)</f>
        <v>3855000</v>
      </c>
      <c r="K3625" s="57">
        <f>IFERROR(__xludf.DUMMYFUNCTION("""COMPUTED_VALUE"""),45632.0)</f>
        <v>45632</v>
      </c>
      <c r="L3625" s="6" t="str">
        <f>IFERROR(__xludf.DUMMYFUNCTION("""COMPUTED_VALUE"""),"FIP General")</f>
        <v>FIP General</v>
      </c>
      <c r="M3625" s="6" t="str">
        <f>IFERROR(__xludf.DUMMYFUNCTION("""COMPUTED_VALUE"""),"Mochammad Fadhillah Hakim,")</f>
        <v>Mochammad Fadhillah Hakim,</v>
      </c>
      <c r="N3625" s="6" t="str">
        <f>IFERROR(__xludf.DUMMYFUNCTION("""COMPUTED_VALUE"""),"FIP Engineering")</f>
        <v>FIP Engineering</v>
      </c>
      <c r="O3625" s="6" t="str">
        <f>IFERROR(__xludf.DUMMYFUNCTION("""COMPUTED_VALUE"""),"FIP-DOM-ENG-51505-0000000-INA-000000")</f>
        <v>FIP-DOM-ENG-51505-0000000-INA-000000</v>
      </c>
      <c r="P3625" s="6" t="str">
        <f>IFERROR(__xludf.DUMMYFUNCTION("""COMPUTED_VALUE"""),"PO Closed")</f>
        <v>PO Closed</v>
      </c>
      <c r="Q3625" s="6" t="str">
        <f>IFERROR(__xludf.DUMMYFUNCTION("""COMPUTED_VALUE"""),"GL2412465")</f>
        <v>GL2412465</v>
      </c>
      <c r="R3625" s="57">
        <f>IFERROR(__xludf.DUMMYFUNCTION("""COMPUTED_VALUE"""),45630.0)</f>
        <v>45630</v>
      </c>
      <c r="S3625" s="57">
        <f>IFERROR(__xludf.DUMMYFUNCTION("""COMPUTED_VALUE"""),45630.0)</f>
        <v>45630</v>
      </c>
      <c r="T3625" s="57">
        <f>IFERROR(__xludf.DUMMYFUNCTION("""COMPUTED_VALUE"""),45308.0)</f>
        <v>45308</v>
      </c>
    </row>
    <row r="3626">
      <c r="A3626" s="6" t="str">
        <f>IFERROR(__xludf.DUMMYFUNCTION("""COMPUTED_VALUE"""),"121702126-2")</f>
        <v>121702126-2</v>
      </c>
      <c r="B3626" s="6" t="str">
        <f>IFERROR(__xludf.DUMMYFUNCTION("""COMPUTED_VALUE"""),"121702126 - APPROVED")</f>
        <v>121702126 - APPROVED</v>
      </c>
      <c r="C3626" s="6">
        <f>IFERROR(__xludf.DUMMYFUNCTION("""COMPUTED_VALUE"""),2.0)</f>
        <v>2</v>
      </c>
      <c r="D3626" s="6" t="str">
        <f>IFERROR(__xludf.DUMMYFUNCTION("""COMPUTED_VALUE"""),"T-20860-00")</f>
        <v>T-20860-00</v>
      </c>
      <c r="E3626" s="6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F3626" s="6">
        <f>IFERROR(__xludf.DUMMYFUNCTION("""COMPUTED_VALUE"""),1.0)</f>
        <v>1</v>
      </c>
      <c r="G3626" s="6" t="str">
        <f>IFERROR(__xludf.DUMMYFUNCTION("""COMPUTED_VALUE"""),"Pack")</f>
        <v>Pack</v>
      </c>
      <c r="H3626" s="6" t="str">
        <f>IFERROR(__xludf.DUMMYFUNCTION("""COMPUTED_VALUE"""),"IDR")</f>
        <v>IDR</v>
      </c>
      <c r="I3626" s="6">
        <f>IFERROR(__xludf.DUMMYFUNCTION("""COMPUTED_VALUE"""),5968000.0)</f>
        <v>5968000</v>
      </c>
      <c r="J3626" s="6">
        <f>IFERROR(__xludf.DUMMYFUNCTION("""COMPUTED_VALUE"""),5968000.0)</f>
        <v>5968000</v>
      </c>
      <c r="K3626" s="57">
        <f>IFERROR(__xludf.DUMMYFUNCTION("""COMPUTED_VALUE"""),45632.0)</f>
        <v>45632</v>
      </c>
      <c r="L3626" s="6" t="str">
        <f>IFERROR(__xludf.DUMMYFUNCTION("""COMPUTED_VALUE"""),"FIP General")</f>
        <v>FIP General</v>
      </c>
      <c r="M3626" s="6" t="str">
        <f>IFERROR(__xludf.DUMMYFUNCTION("""COMPUTED_VALUE"""),"Mochammad Fadhillah Hakim,")</f>
        <v>Mochammad Fadhillah Hakim,</v>
      </c>
      <c r="N3626" s="6" t="str">
        <f>IFERROR(__xludf.DUMMYFUNCTION("""COMPUTED_VALUE"""),"FIP Engineering")</f>
        <v>FIP Engineering</v>
      </c>
      <c r="O3626" s="6" t="str">
        <f>IFERROR(__xludf.DUMMYFUNCTION("""COMPUTED_VALUE"""),"FIP-DOM-ENG-51505-0000000-INA-000000")</f>
        <v>FIP-DOM-ENG-51505-0000000-INA-000000</v>
      </c>
      <c r="P3626" s="6" t="str">
        <f>IFERROR(__xludf.DUMMYFUNCTION("""COMPUTED_VALUE"""),"PO Closed")</f>
        <v>PO Closed</v>
      </c>
      <c r="Q3626" s="6" t="str">
        <f>IFERROR(__xludf.DUMMYFUNCTION("""COMPUTED_VALUE"""),"GL2412465")</f>
        <v>GL2412465</v>
      </c>
      <c r="R3626" s="57">
        <f>IFERROR(__xludf.DUMMYFUNCTION("""COMPUTED_VALUE"""),45630.0)</f>
        <v>45630</v>
      </c>
      <c r="S3626" s="57">
        <f>IFERROR(__xludf.DUMMYFUNCTION("""COMPUTED_VALUE"""),45630.0)</f>
        <v>45630</v>
      </c>
      <c r="T3626" s="57">
        <f>IFERROR(__xludf.DUMMYFUNCTION("""COMPUTED_VALUE"""),45315.0)</f>
        <v>45315</v>
      </c>
    </row>
    <row r="3627">
      <c r="A3627" s="6" t="str">
        <f>IFERROR(__xludf.DUMMYFUNCTION("""COMPUTED_VALUE"""),"121702128-1")</f>
        <v>121702128-1</v>
      </c>
      <c r="B3627" s="6" t="str">
        <f>IFERROR(__xludf.DUMMYFUNCTION("""COMPUTED_VALUE"""),"121702128 - APPROVED")</f>
        <v>121702128 - APPROVED</v>
      </c>
      <c r="C3627" s="6">
        <f>IFERROR(__xludf.DUMMYFUNCTION("""COMPUTED_VALUE"""),1.0)</f>
        <v>1</v>
      </c>
      <c r="D3627" s="6" t="str">
        <f>IFERROR(__xludf.DUMMYFUNCTION("""COMPUTED_VALUE"""),"Q-10526-00")</f>
        <v>Q-10526-00</v>
      </c>
      <c r="E3627" s="6" t="str">
        <f>IFERROR(__xludf.DUMMYFUNCTION("""COMPUTED_VALUE"""),"Cat Dustproof Propan Decor DAE 550 Peacock Blue; ; ; - TEAL-5412")</f>
        <v>Cat Dustproof Propan Decor DAE 550 Peacock Blue; ; ; - TEAL-5412</v>
      </c>
      <c r="F3627" s="6">
        <f>IFERROR(__xludf.DUMMYFUNCTION("""COMPUTED_VALUE"""),40.0)</f>
        <v>40</v>
      </c>
      <c r="G3627" s="6" t="str">
        <f>IFERROR(__xludf.DUMMYFUNCTION("""COMPUTED_VALUE"""),"Kilogram")</f>
        <v>Kilogram</v>
      </c>
      <c r="H3627" s="6" t="str">
        <f>IFERROR(__xludf.DUMMYFUNCTION("""COMPUTED_VALUE"""),"IDR")</f>
        <v>IDR</v>
      </c>
      <c r="I3627" s="6">
        <f>IFERROR(__xludf.DUMMYFUNCTION("""COMPUTED_VALUE"""),112500.0)</f>
        <v>112500</v>
      </c>
      <c r="J3627" s="6">
        <f>IFERROR(__xludf.DUMMYFUNCTION("""COMPUTED_VALUE"""),4500000.0)</f>
        <v>4500000</v>
      </c>
      <c r="K3627" s="57">
        <f>IFERROR(__xludf.DUMMYFUNCTION("""COMPUTED_VALUE"""),45632.0)</f>
        <v>45632</v>
      </c>
      <c r="L3627" s="6" t="str">
        <f>IFERROR(__xludf.DUMMYFUNCTION("""COMPUTED_VALUE"""),"FIP General")</f>
        <v>FIP General</v>
      </c>
      <c r="M3627" s="6" t="str">
        <f>IFERROR(__xludf.DUMMYFUNCTION("""COMPUTED_VALUE"""),"Mochammad Fadhillah Hakim,")</f>
        <v>Mochammad Fadhillah Hakim,</v>
      </c>
      <c r="N3627" s="6" t="str">
        <f>IFERROR(__xludf.DUMMYFUNCTION("""COMPUTED_VALUE"""),"FIP Engineering")</f>
        <v>FIP Engineering</v>
      </c>
      <c r="O3627" s="6" t="str">
        <f>IFERROR(__xludf.DUMMYFUNCTION("""COMPUTED_VALUE"""),"FIP-DOM-ENG-51502-0000000-INA-000000")</f>
        <v>FIP-DOM-ENG-51502-0000000-INA-000000</v>
      </c>
      <c r="P3627" s="6" t="str">
        <f>IFERROR(__xludf.DUMMYFUNCTION("""COMPUTED_VALUE"""),"PO Closed")</f>
        <v>PO Closed</v>
      </c>
      <c r="Q3627" s="6" t="str">
        <f>IFERROR(__xludf.DUMMYFUNCTION("""COMPUTED_VALUE"""),"GL2412013")</f>
        <v>GL2412013</v>
      </c>
      <c r="R3627" s="57">
        <f>IFERROR(__xludf.DUMMYFUNCTION("""COMPUTED_VALUE"""),45630.0)</f>
        <v>45630</v>
      </c>
      <c r="S3627" s="57">
        <f>IFERROR(__xludf.DUMMYFUNCTION("""COMPUTED_VALUE"""),45630.0)</f>
        <v>45630</v>
      </c>
      <c r="T3627" s="57">
        <f>IFERROR(__xludf.DUMMYFUNCTION("""COMPUTED_VALUE"""),45657.0)</f>
        <v>45657</v>
      </c>
    </row>
    <row r="3628">
      <c r="A3628" s="6" t="str">
        <f>IFERROR(__xludf.DUMMYFUNCTION("""COMPUTED_VALUE"""),"121702128-2")</f>
        <v>121702128-2</v>
      </c>
      <c r="B3628" s="6" t="str">
        <f>IFERROR(__xludf.DUMMYFUNCTION("""COMPUTED_VALUE"""),"121702128 - APPROVED")</f>
        <v>121702128 - APPROVED</v>
      </c>
      <c r="C3628" s="6">
        <f>IFERROR(__xludf.DUMMYFUNCTION("""COMPUTED_VALUE"""),2.0)</f>
        <v>2</v>
      </c>
      <c r="D3628" s="6" t="str">
        <f>IFERROR(__xludf.DUMMYFUNCTION("""COMPUTED_VALUE"""),"Q-10475-00")</f>
        <v>Q-10475-00</v>
      </c>
      <c r="E3628" s="6" t="str">
        <f>IFERROR(__xludf.DUMMYFUNCTION("""COMPUTED_VALUE"""),"Cat Tembok; ; ; - Cat Dulux Ambiance Brilliant White @ 20 Ltr")</f>
        <v>Cat Tembok; ; ; - Cat Dulux Ambiance Brilliant White @ 20 Ltr</v>
      </c>
      <c r="F3628" s="6">
        <f>IFERROR(__xludf.DUMMYFUNCTION("""COMPUTED_VALUE"""),3.0)</f>
        <v>3</v>
      </c>
      <c r="G3628" s="6" t="str">
        <f>IFERROR(__xludf.DUMMYFUNCTION("""COMPUTED_VALUE"""),"Can")</f>
        <v>Can</v>
      </c>
      <c r="H3628" s="6" t="str">
        <f>IFERROR(__xludf.DUMMYFUNCTION("""COMPUTED_VALUE"""),"IDR")</f>
        <v>IDR</v>
      </c>
      <c r="I3628" s="6">
        <f>IFERROR(__xludf.DUMMYFUNCTION("""COMPUTED_VALUE"""),2382500.0)</f>
        <v>2382500</v>
      </c>
      <c r="J3628" s="6">
        <f>IFERROR(__xludf.DUMMYFUNCTION("""COMPUTED_VALUE"""),7147500.0)</f>
        <v>7147500</v>
      </c>
      <c r="K3628" s="57">
        <f>IFERROR(__xludf.DUMMYFUNCTION("""COMPUTED_VALUE"""),45632.0)</f>
        <v>45632</v>
      </c>
      <c r="L3628" s="6" t="str">
        <f>IFERROR(__xludf.DUMMYFUNCTION("""COMPUTED_VALUE"""),"FIP General")</f>
        <v>FIP General</v>
      </c>
      <c r="M3628" s="6" t="str">
        <f>IFERROR(__xludf.DUMMYFUNCTION("""COMPUTED_VALUE"""),"Mochammad Fadhillah Hakim,")</f>
        <v>Mochammad Fadhillah Hakim,</v>
      </c>
      <c r="N3628" s="6" t="str">
        <f>IFERROR(__xludf.DUMMYFUNCTION("""COMPUTED_VALUE"""),"FIP Engineering")</f>
        <v>FIP Engineering</v>
      </c>
      <c r="O3628" s="6" t="str">
        <f>IFERROR(__xludf.DUMMYFUNCTION("""COMPUTED_VALUE"""),"FIP-DOM-ENG-51502-0000000-INA-000000")</f>
        <v>FIP-DOM-ENG-51502-0000000-INA-000000</v>
      </c>
      <c r="P3628" s="6" t="str">
        <f>IFERROR(__xludf.DUMMYFUNCTION("""COMPUTED_VALUE"""),"PO Closed")</f>
        <v>PO Closed</v>
      </c>
      <c r="Q3628" s="6" t="str">
        <f>IFERROR(__xludf.DUMMYFUNCTION("""COMPUTED_VALUE"""),"GL2412458")</f>
        <v>GL2412458</v>
      </c>
      <c r="R3628" s="57">
        <f>IFERROR(__xludf.DUMMYFUNCTION("""COMPUTED_VALUE"""),45630.0)</f>
        <v>45630</v>
      </c>
      <c r="S3628" s="57">
        <f>IFERROR(__xludf.DUMMYFUNCTION("""COMPUTED_VALUE"""),45630.0)</f>
        <v>45630</v>
      </c>
      <c r="T3628" s="57">
        <f>IFERROR(__xludf.DUMMYFUNCTION("""COMPUTED_VALUE"""),45650.0)</f>
        <v>45650</v>
      </c>
    </row>
    <row r="3629">
      <c r="A3629" s="6" t="str">
        <f>IFERROR(__xludf.DUMMYFUNCTION("""COMPUTED_VALUE"""),"121702129-1")</f>
        <v>121702129-1</v>
      </c>
      <c r="B3629" s="6" t="str">
        <f>IFERROR(__xludf.DUMMYFUNCTION("""COMPUTED_VALUE"""),"121702129 - APPROVED")</f>
        <v>121702129 - APPROVED</v>
      </c>
      <c r="C3629" s="6">
        <f>IFERROR(__xludf.DUMMYFUNCTION("""COMPUTED_VALUE"""),1.0)</f>
        <v>1</v>
      </c>
      <c r="D3629" s="6" t="str">
        <f>IFERROR(__xludf.DUMMYFUNCTION("""COMPUTED_VALUE"""),"Q-10526-00")</f>
        <v>Q-10526-00</v>
      </c>
      <c r="E3629" s="6" t="str">
        <f>IFERROR(__xludf.DUMMYFUNCTION("""COMPUTED_VALUE"""),"Cat Dustproof Propan Decor DAE 550 Peacock Blue; ; ; - TEAL-5412")</f>
        <v>Cat Dustproof Propan Decor DAE 550 Peacock Blue; ; ; - TEAL-5412</v>
      </c>
      <c r="F3629" s="6">
        <f>IFERROR(__xludf.DUMMYFUNCTION("""COMPUTED_VALUE"""),40.0)</f>
        <v>40</v>
      </c>
      <c r="G3629" s="6" t="str">
        <f>IFERROR(__xludf.DUMMYFUNCTION("""COMPUTED_VALUE"""),"Kilogram")</f>
        <v>Kilogram</v>
      </c>
      <c r="H3629" s="6" t="str">
        <f>IFERROR(__xludf.DUMMYFUNCTION("""COMPUTED_VALUE"""),"IDR")</f>
        <v>IDR</v>
      </c>
      <c r="I3629" s="6">
        <f>IFERROR(__xludf.DUMMYFUNCTION("""COMPUTED_VALUE"""),112500.0)</f>
        <v>112500</v>
      </c>
      <c r="J3629" s="6">
        <f>IFERROR(__xludf.DUMMYFUNCTION("""COMPUTED_VALUE"""),4500000.0)</f>
        <v>4500000</v>
      </c>
      <c r="K3629" s="57">
        <f>IFERROR(__xludf.DUMMYFUNCTION("""COMPUTED_VALUE"""),45632.0)</f>
        <v>45632</v>
      </c>
      <c r="L3629" s="6" t="str">
        <f>IFERROR(__xludf.DUMMYFUNCTION("""COMPUTED_VALUE"""),"FIP General")</f>
        <v>FIP General</v>
      </c>
      <c r="M3629" s="6" t="str">
        <f>IFERROR(__xludf.DUMMYFUNCTION("""COMPUTED_VALUE"""),"Mochammad Fadhillah Hakim,")</f>
        <v>Mochammad Fadhillah Hakim,</v>
      </c>
      <c r="N3629" s="6" t="str">
        <f>IFERROR(__xludf.DUMMYFUNCTION("""COMPUTED_VALUE"""),"FIP Engineering")</f>
        <v>FIP Engineering</v>
      </c>
      <c r="O3629" s="6" t="str">
        <f>IFERROR(__xludf.DUMMYFUNCTION("""COMPUTED_VALUE"""),"FIP-DOM-ENG-51502-0000000-INA-000000")</f>
        <v>FIP-DOM-ENG-51502-0000000-INA-000000</v>
      </c>
      <c r="P3629" s="6" t="str">
        <f>IFERROR(__xludf.DUMMYFUNCTION("""COMPUTED_VALUE"""),"PO Closed")</f>
        <v>PO Closed</v>
      </c>
      <c r="Q3629" s="6" t="str">
        <f>IFERROR(__xludf.DUMMYFUNCTION("""COMPUTED_VALUE"""),"GL2412013")</f>
        <v>GL2412013</v>
      </c>
      <c r="R3629" s="57">
        <f>IFERROR(__xludf.DUMMYFUNCTION("""COMPUTED_VALUE"""),45630.0)</f>
        <v>45630</v>
      </c>
      <c r="S3629" s="57">
        <f>IFERROR(__xludf.DUMMYFUNCTION("""COMPUTED_VALUE"""),45630.0)</f>
        <v>45630</v>
      </c>
      <c r="T3629" s="57">
        <f>IFERROR(__xludf.DUMMYFUNCTION("""COMPUTED_VALUE"""),45657.0)</f>
        <v>45657</v>
      </c>
    </row>
    <row r="3630">
      <c r="A3630" s="6" t="str">
        <f>IFERROR(__xludf.DUMMYFUNCTION("""COMPUTED_VALUE"""),"121702129-2")</f>
        <v>121702129-2</v>
      </c>
      <c r="B3630" s="6" t="str">
        <f>IFERROR(__xludf.DUMMYFUNCTION("""COMPUTED_VALUE"""),"121702129 - APPROVED")</f>
        <v>121702129 - APPROVED</v>
      </c>
      <c r="C3630" s="6">
        <f>IFERROR(__xludf.DUMMYFUNCTION("""COMPUTED_VALUE"""),2.0)</f>
        <v>2</v>
      </c>
      <c r="D3630" s="6" t="str">
        <f>IFERROR(__xludf.DUMMYFUNCTION("""COMPUTED_VALUE"""),"Q-10475-00")</f>
        <v>Q-10475-00</v>
      </c>
      <c r="E3630" s="6" t="str">
        <f>IFERROR(__xludf.DUMMYFUNCTION("""COMPUTED_VALUE"""),"Cat Tembok; ; ; - Cat Dulux Ambiance Brilliant White @ 20 Ltr")</f>
        <v>Cat Tembok; ; ; - Cat Dulux Ambiance Brilliant White @ 20 Ltr</v>
      </c>
      <c r="F3630" s="6">
        <f>IFERROR(__xludf.DUMMYFUNCTION("""COMPUTED_VALUE"""),3.0)</f>
        <v>3</v>
      </c>
      <c r="G3630" s="6" t="str">
        <f>IFERROR(__xludf.DUMMYFUNCTION("""COMPUTED_VALUE"""),"Can")</f>
        <v>Can</v>
      </c>
      <c r="H3630" s="6" t="str">
        <f>IFERROR(__xludf.DUMMYFUNCTION("""COMPUTED_VALUE"""),"IDR")</f>
        <v>IDR</v>
      </c>
      <c r="I3630" s="6">
        <f>IFERROR(__xludf.DUMMYFUNCTION("""COMPUTED_VALUE"""),2382500.0)</f>
        <v>2382500</v>
      </c>
      <c r="J3630" s="6">
        <f>IFERROR(__xludf.DUMMYFUNCTION("""COMPUTED_VALUE"""),7147500.0)</f>
        <v>7147500</v>
      </c>
      <c r="K3630" s="57">
        <f>IFERROR(__xludf.DUMMYFUNCTION("""COMPUTED_VALUE"""),45632.0)</f>
        <v>45632</v>
      </c>
      <c r="L3630" s="6" t="str">
        <f>IFERROR(__xludf.DUMMYFUNCTION("""COMPUTED_VALUE"""),"FIP General")</f>
        <v>FIP General</v>
      </c>
      <c r="M3630" s="6" t="str">
        <f>IFERROR(__xludf.DUMMYFUNCTION("""COMPUTED_VALUE"""),"Mochammad Fadhillah Hakim,")</f>
        <v>Mochammad Fadhillah Hakim,</v>
      </c>
      <c r="N3630" s="6" t="str">
        <f>IFERROR(__xludf.DUMMYFUNCTION("""COMPUTED_VALUE"""),"FIP Engineering")</f>
        <v>FIP Engineering</v>
      </c>
      <c r="O3630" s="6" t="str">
        <f>IFERROR(__xludf.DUMMYFUNCTION("""COMPUTED_VALUE"""),"FIP-DOM-ENG-51502-0000000-INA-000000")</f>
        <v>FIP-DOM-ENG-51502-0000000-INA-000000</v>
      </c>
      <c r="P3630" s="6" t="str">
        <f>IFERROR(__xludf.DUMMYFUNCTION("""COMPUTED_VALUE"""),"PO Closed")</f>
        <v>PO Closed</v>
      </c>
      <c r="Q3630" s="6" t="str">
        <f>IFERROR(__xludf.DUMMYFUNCTION("""COMPUTED_VALUE"""),"GL2412458")</f>
        <v>GL2412458</v>
      </c>
      <c r="R3630" s="57">
        <f>IFERROR(__xludf.DUMMYFUNCTION("""COMPUTED_VALUE"""),45630.0)</f>
        <v>45630</v>
      </c>
      <c r="S3630" s="57">
        <f>IFERROR(__xludf.DUMMYFUNCTION("""COMPUTED_VALUE"""),45630.0)</f>
        <v>45630</v>
      </c>
      <c r="T3630" s="57">
        <f>IFERROR(__xludf.DUMMYFUNCTION("""COMPUTED_VALUE"""),45650.0)</f>
        <v>45650</v>
      </c>
    </row>
    <row r="3631">
      <c r="A3631" s="6" t="str">
        <f>IFERROR(__xludf.DUMMYFUNCTION("""COMPUTED_VALUE"""),"121702131-1")</f>
        <v>121702131-1</v>
      </c>
      <c r="B3631" s="6" t="str">
        <f>IFERROR(__xludf.DUMMYFUNCTION("""COMPUTED_VALUE"""),"121702131 - APPROVED")</f>
        <v>121702131 - APPROVED</v>
      </c>
      <c r="C3631" s="6">
        <f>IFERROR(__xludf.DUMMYFUNCTION("""COMPUTED_VALUE"""),1.0)</f>
        <v>1</v>
      </c>
      <c r="D3631" s="6" t="str">
        <f>IFERROR(__xludf.DUMMYFUNCTION("""COMPUTED_VALUE"""),"P-50288-00")</f>
        <v>P-50288-00</v>
      </c>
      <c r="E3631" s="6" t="str">
        <f>IFERROR(__xludf.DUMMYFUNCTION("""COMPUTED_VALUE"""),"Bola Lampu - Halogen 20 W Osram")</f>
        <v>Bola Lampu - Halogen 20 W Osram</v>
      </c>
      <c r="F3631" s="6">
        <f>IFERROR(__xludf.DUMMYFUNCTION("""COMPUTED_VALUE"""),5.0)</f>
        <v>5</v>
      </c>
      <c r="G3631" s="6" t="str">
        <f>IFERROR(__xludf.DUMMYFUNCTION("""COMPUTED_VALUE"""),"Pieces")</f>
        <v>Pieces</v>
      </c>
      <c r="H3631" s="6" t="str">
        <f>IFERROR(__xludf.DUMMYFUNCTION("""COMPUTED_VALUE"""),"IDR")</f>
        <v>IDR</v>
      </c>
      <c r="I3631" s="6">
        <f>IFERROR(__xludf.DUMMYFUNCTION("""COMPUTED_VALUE"""),76500.0)</f>
        <v>76500</v>
      </c>
      <c r="J3631" s="6">
        <f>IFERROR(__xludf.DUMMYFUNCTION("""COMPUTED_VALUE"""),382500.0)</f>
        <v>382500</v>
      </c>
      <c r="K3631" s="57">
        <f>IFERROR(__xludf.DUMMYFUNCTION("""COMPUTED_VALUE"""),45632.0)</f>
        <v>45632</v>
      </c>
      <c r="L3631" s="6" t="str">
        <f>IFERROR(__xludf.DUMMYFUNCTION("""COMPUTED_VALUE"""),"FIP Engineering")</f>
        <v>FIP Engineering</v>
      </c>
      <c r="M3631" s="6" t="str">
        <f>IFERROR(__xludf.DUMMYFUNCTION("""COMPUTED_VALUE"""),"Mochammad Fadhillah Hakim,")</f>
        <v>Mochammad Fadhillah Hakim,</v>
      </c>
      <c r="N3631" s="6" t="str">
        <f>IFERROR(__xludf.DUMMYFUNCTION("""COMPUTED_VALUE"""),"FIP Engineering")</f>
        <v>FIP Engineering</v>
      </c>
      <c r="O3631" s="6" t="str">
        <f>IFERROR(__xludf.DUMMYFUNCTION("""COMPUTED_VALUE"""),"FIP-DOM-000-11304-OS00001-INA-000000")</f>
        <v>FIP-DOM-000-11304-OS00001-INA-000000</v>
      </c>
      <c r="P3631" s="6" t="str">
        <f>IFERROR(__xludf.DUMMYFUNCTION("""COMPUTED_VALUE"""),"PO Closed")</f>
        <v>PO Closed</v>
      </c>
      <c r="Q3631" s="6" t="str">
        <f>IFERROR(__xludf.DUMMYFUNCTION("""COMPUTED_VALUE"""),"GL2501304")</f>
        <v>GL2501304</v>
      </c>
      <c r="R3631" s="57">
        <f>IFERROR(__xludf.DUMMYFUNCTION("""COMPUTED_VALUE"""),45630.0)</f>
        <v>45630</v>
      </c>
      <c r="S3631" s="57">
        <f>IFERROR(__xludf.DUMMYFUNCTION("""COMPUTED_VALUE"""),45631.0)</f>
        <v>45631</v>
      </c>
      <c r="T3631" s="57">
        <f>IFERROR(__xludf.DUMMYFUNCTION("""COMPUTED_VALUE"""),45706.0)</f>
        <v>45706</v>
      </c>
    </row>
    <row r="3632">
      <c r="A3632" s="6" t="str">
        <f>IFERROR(__xludf.DUMMYFUNCTION("""COMPUTED_VALUE"""),"121702145-1")</f>
        <v>121702145-1</v>
      </c>
      <c r="B3632" s="6" t="str">
        <f>IFERROR(__xludf.DUMMYFUNCTION("""COMPUTED_VALUE"""),"121702145 - APPROVED")</f>
        <v>121702145 - APPROVED</v>
      </c>
      <c r="C3632" s="6">
        <f>IFERROR(__xludf.DUMMYFUNCTION("""COMPUTED_VALUE"""),1.0)</f>
        <v>1</v>
      </c>
      <c r="D3632" s="6" t="str">
        <f>IFERROR(__xludf.DUMMYFUNCTION("""COMPUTED_VALUE"""),"O-12868-00")</f>
        <v>O-12868-00</v>
      </c>
      <c r="E3632" s="6" t="str">
        <f>IFERROR(__xludf.DUMMYFUNCTION("""COMPUTED_VALUE"""),"Emflon PFR Membrane Filter Cartridges 0.2 um PALL P/N : AB05 PFR2 PVH4 pc")</f>
        <v>Emflon PFR Membrane Filter Cartridges 0.2 um PALL P/N : AB05 PFR2 PVH4 pc</v>
      </c>
      <c r="F3632" s="6">
        <f>IFERROR(__xludf.DUMMYFUNCTION("""COMPUTED_VALUE"""),2.0)</f>
        <v>2</v>
      </c>
      <c r="G3632" s="6" t="str">
        <f>IFERROR(__xludf.DUMMYFUNCTION("""COMPUTED_VALUE"""),"Pieces")</f>
        <v>Pieces</v>
      </c>
      <c r="H3632" s="6" t="str">
        <f>IFERROR(__xludf.DUMMYFUNCTION("""COMPUTED_VALUE"""),"IDR")</f>
        <v>IDR</v>
      </c>
      <c r="I3632" s="6">
        <f>IFERROR(__xludf.DUMMYFUNCTION("""COMPUTED_VALUE"""),4892000.0)</f>
        <v>4892000</v>
      </c>
      <c r="J3632" s="6">
        <f>IFERROR(__xludf.DUMMYFUNCTION("""COMPUTED_VALUE"""),9784000.0)</f>
        <v>9784000</v>
      </c>
      <c r="K3632" s="57">
        <f>IFERROR(__xludf.DUMMYFUNCTION("""COMPUTED_VALUE"""),45645.0)</f>
        <v>45645</v>
      </c>
      <c r="L3632" s="6" t="str">
        <f>IFERROR(__xludf.DUMMYFUNCTION("""COMPUTED_VALUE"""),"FIP Engineering")</f>
        <v>FIP Engineering</v>
      </c>
      <c r="M3632" s="6" t="str">
        <f>IFERROR(__xludf.DUMMYFUNCTION("""COMPUTED_VALUE"""),"Mochammad Fadhillah Hakim,")</f>
        <v>Mochammad Fadhillah Hakim,</v>
      </c>
      <c r="N3632" s="6" t="str">
        <f>IFERROR(__xludf.DUMMYFUNCTION("""COMPUTED_VALUE"""),"FIP Engineering")</f>
        <v>FIP Engineering</v>
      </c>
      <c r="O3632" s="6" t="str">
        <f>IFERROR(__xludf.DUMMYFUNCTION("""COMPUTED_VALUE"""),"FIP-DOM-000-11304-OS00001-INA-000000")</f>
        <v>FIP-DOM-000-11304-OS00001-INA-000000</v>
      </c>
      <c r="P3632" s="6" t="str">
        <f>IFERROR(__xludf.DUMMYFUNCTION("""COMPUTED_VALUE"""),"PO Closed")</f>
        <v>PO Closed</v>
      </c>
      <c r="Q3632" s="6" t="str">
        <f>IFERROR(__xludf.DUMMYFUNCTION("""COMPUTED_VALUE"""),"GL2501006")</f>
        <v>GL2501006</v>
      </c>
      <c r="R3632" s="57">
        <f>IFERROR(__xludf.DUMMYFUNCTION("""COMPUTED_VALUE"""),45643.0)</f>
        <v>45643</v>
      </c>
      <c r="S3632" s="57">
        <f>IFERROR(__xludf.DUMMYFUNCTION("""COMPUTED_VALUE"""),45643.0)</f>
        <v>45643</v>
      </c>
      <c r="T3632" s="57">
        <f>IFERROR(__xludf.DUMMYFUNCTION("""COMPUTED_VALUE"""),45698.0)</f>
        <v>45698</v>
      </c>
    </row>
    <row r="3633">
      <c r="A3633" s="6" t="str">
        <f>IFERROR(__xludf.DUMMYFUNCTION("""COMPUTED_VALUE"""),"121702145-2")</f>
        <v>121702145-2</v>
      </c>
      <c r="B3633" s="6" t="str">
        <f>IFERROR(__xludf.DUMMYFUNCTION("""COMPUTED_VALUE"""),"121702145 - APPROVED")</f>
        <v>121702145 - APPROVED</v>
      </c>
      <c r="C3633" s="6">
        <f>IFERROR(__xludf.DUMMYFUNCTION("""COMPUTED_VALUE"""),2.0)</f>
        <v>2</v>
      </c>
      <c r="D3633" s="6" t="str">
        <f>IFERROR(__xludf.DUMMYFUNCTION("""COMPUTED_VALUE"""),"P-13641-00")</f>
        <v>P-13641-00</v>
      </c>
      <c r="E3633" s="6" t="str">
        <f>IFERROR(__xludf.DUMMYFUNCTION("""COMPUTED_VALUE"""),"Filter SO 5 micron 30 inch O-ring 222 Bayonet; ; ;")</f>
        <v>Filter SO 5 micron 30 inch O-ring 222 Bayonet; ; ;</v>
      </c>
      <c r="F3633" s="6">
        <f>IFERROR(__xludf.DUMMYFUNCTION("""COMPUTED_VALUE"""),5.0)</f>
        <v>5</v>
      </c>
      <c r="G3633" s="6" t="str">
        <f>IFERROR(__xludf.DUMMYFUNCTION("""COMPUTED_VALUE"""),"Pieces")</f>
        <v>Pieces</v>
      </c>
      <c r="H3633" s="6" t="str">
        <f>IFERROR(__xludf.DUMMYFUNCTION("""COMPUTED_VALUE"""),"IDR")</f>
        <v>IDR</v>
      </c>
      <c r="I3633" s="6">
        <f>IFERROR(__xludf.DUMMYFUNCTION("""COMPUTED_VALUE"""),1890000.0)</f>
        <v>1890000</v>
      </c>
      <c r="J3633" s="6">
        <f>IFERROR(__xludf.DUMMYFUNCTION("""COMPUTED_VALUE"""),9450000.0)</f>
        <v>9450000</v>
      </c>
      <c r="K3633" s="57">
        <f>IFERROR(__xludf.DUMMYFUNCTION("""COMPUTED_VALUE"""),45645.0)</f>
        <v>45645</v>
      </c>
      <c r="L3633" s="6" t="str">
        <f>IFERROR(__xludf.DUMMYFUNCTION("""COMPUTED_VALUE"""),"FIP Engineering")</f>
        <v>FIP Engineering</v>
      </c>
      <c r="M3633" s="6" t="str">
        <f>IFERROR(__xludf.DUMMYFUNCTION("""COMPUTED_VALUE"""),"Mochammad Fadhillah Hakim,")</f>
        <v>Mochammad Fadhillah Hakim,</v>
      </c>
      <c r="N3633" s="6" t="str">
        <f>IFERROR(__xludf.DUMMYFUNCTION("""COMPUTED_VALUE"""),"FIP Engineering")</f>
        <v>FIP Engineering</v>
      </c>
      <c r="O3633" s="6" t="str">
        <f>IFERROR(__xludf.DUMMYFUNCTION("""COMPUTED_VALUE"""),"FIP-DOM-000-11304-OS00001-INA-000000")</f>
        <v>FIP-DOM-000-11304-OS00001-INA-000000</v>
      </c>
      <c r="P3633" s="6" t="str">
        <f>IFERROR(__xludf.DUMMYFUNCTION("""COMPUTED_VALUE"""),"PO Closed")</f>
        <v>PO Closed</v>
      </c>
      <c r="Q3633" s="6" t="str">
        <f>IFERROR(__xludf.DUMMYFUNCTION("""COMPUTED_VALUE"""),"GL2501009")</f>
        <v>GL2501009</v>
      </c>
      <c r="R3633" s="57">
        <f>IFERROR(__xludf.DUMMYFUNCTION("""COMPUTED_VALUE"""),45643.0)</f>
        <v>45643</v>
      </c>
      <c r="S3633" s="57">
        <f>IFERROR(__xludf.DUMMYFUNCTION("""COMPUTED_VALUE"""),45643.0)</f>
        <v>45643</v>
      </c>
      <c r="T3633" s="57">
        <f>IFERROR(__xludf.DUMMYFUNCTION("""COMPUTED_VALUE"""),45688.0)</f>
        <v>45688</v>
      </c>
    </row>
    <row r="3634">
      <c r="A3634" s="6" t="str">
        <f>IFERROR(__xludf.DUMMYFUNCTION("""COMPUTED_VALUE"""),"121702146-1")</f>
        <v>121702146-1</v>
      </c>
      <c r="B3634" s="6" t="str">
        <f>IFERROR(__xludf.DUMMYFUNCTION("""COMPUTED_VALUE"""),"121702146 - APPROVED")</f>
        <v>121702146 - APPROVED</v>
      </c>
      <c r="C3634" s="6">
        <f>IFERROR(__xludf.DUMMYFUNCTION("""COMPUTED_VALUE"""),1.0)</f>
        <v>1</v>
      </c>
      <c r="D3634" s="6" t="str">
        <f>IFERROR(__xludf.DUMMYFUNCTION("""COMPUTED_VALUE"""),"P-12994-00")</f>
        <v>P-12994-00</v>
      </c>
      <c r="E3634" s="6" t="str">
        <f>IFERROR(__xludf.DUMMYFUNCTION("""COMPUTED_VALUE"""),"Nippon Tape - ASF-110FR")</f>
        <v>Nippon Tape - ASF-110FR</v>
      </c>
      <c r="F3634" s="6">
        <f>IFERROR(__xludf.DUMMYFUNCTION("""COMPUTED_VALUE"""),3.0)</f>
        <v>3</v>
      </c>
      <c r="G3634" s="6" t="str">
        <f>IFERROR(__xludf.DUMMYFUNCTION("""COMPUTED_VALUE"""),"Pieces")</f>
        <v>Pieces</v>
      </c>
      <c r="H3634" s="6" t="str">
        <f>IFERROR(__xludf.DUMMYFUNCTION("""COMPUTED_VALUE"""),"IDR")</f>
        <v>IDR</v>
      </c>
      <c r="I3634" s="6">
        <f>IFERROR(__xludf.DUMMYFUNCTION("""COMPUTED_VALUE"""),600000.0)</f>
        <v>600000</v>
      </c>
      <c r="J3634" s="6">
        <f>IFERROR(__xludf.DUMMYFUNCTION("""COMPUTED_VALUE"""),1800000.0)</f>
        <v>1800000</v>
      </c>
      <c r="K3634" s="57">
        <f>IFERROR(__xludf.DUMMYFUNCTION("""COMPUTED_VALUE"""),45645.0)</f>
        <v>45645</v>
      </c>
      <c r="L3634" s="6" t="str">
        <f>IFERROR(__xludf.DUMMYFUNCTION("""COMPUTED_VALUE"""),"FIP Engineering")</f>
        <v>FIP Engineering</v>
      </c>
      <c r="M3634" s="6" t="str">
        <f>IFERROR(__xludf.DUMMYFUNCTION("""COMPUTED_VALUE"""),"Mochammad Fadhillah Hakim,")</f>
        <v>Mochammad Fadhillah Hakim,</v>
      </c>
      <c r="N3634" s="6" t="str">
        <f>IFERROR(__xludf.DUMMYFUNCTION("""COMPUTED_VALUE"""),"FIP Engineering")</f>
        <v>FIP Engineering</v>
      </c>
      <c r="O3634" s="6" t="str">
        <f>IFERROR(__xludf.DUMMYFUNCTION("""COMPUTED_VALUE"""),"FIP-DOM-000-11304-OS00001-INA-000000")</f>
        <v>FIP-DOM-000-11304-OS00001-INA-000000</v>
      </c>
      <c r="P3634" s="6" t="str">
        <f>IFERROR(__xludf.DUMMYFUNCTION("""COMPUTED_VALUE"""),"PO Closed")</f>
        <v>PO Closed</v>
      </c>
      <c r="Q3634" s="6" t="str">
        <f>IFERROR(__xludf.DUMMYFUNCTION("""COMPUTED_VALUE"""),"GL2501304")</f>
        <v>GL2501304</v>
      </c>
      <c r="R3634" s="57">
        <f>IFERROR(__xludf.DUMMYFUNCTION("""COMPUTED_VALUE"""),45643.0)</f>
        <v>45643</v>
      </c>
      <c r="S3634" s="57">
        <f>IFERROR(__xludf.DUMMYFUNCTION("""COMPUTED_VALUE"""),45643.0)</f>
        <v>45643</v>
      </c>
      <c r="T3634" s="57">
        <f>IFERROR(__xludf.DUMMYFUNCTION("""COMPUTED_VALUE"""),45706.0)</f>
        <v>45706</v>
      </c>
    </row>
    <row r="3635">
      <c r="A3635" s="6" t="str">
        <f>IFERROR(__xludf.DUMMYFUNCTION("""COMPUTED_VALUE"""),"121702152-1")</f>
        <v>121702152-1</v>
      </c>
      <c r="B3635" s="6" t="str">
        <f>IFERROR(__xludf.DUMMYFUNCTION("""COMPUTED_VALUE"""),"121702152 - APPROVED")</f>
        <v>121702152 - APPROVED</v>
      </c>
      <c r="C3635" s="6">
        <f>IFERROR(__xludf.DUMMYFUNCTION("""COMPUTED_VALUE"""),1.0)</f>
        <v>1</v>
      </c>
      <c r="D3635" s="6" t="str">
        <f>IFERROR(__xludf.DUMMYFUNCTION("""COMPUTED_VALUE"""),"S-60002-00")</f>
        <v>S-60002-00</v>
      </c>
      <c r="E3635" s="6" t="str">
        <f>IFERROR(__xludf.DUMMYFUNCTION("""COMPUTED_VALUE"""),"Jasa Perbaikan dan Pemeliharaan Mesin Utility")</f>
        <v>Jasa Perbaikan dan Pemeliharaan Mesin Utility</v>
      </c>
      <c r="F3635" s="6">
        <f>IFERROR(__xludf.DUMMYFUNCTION("""COMPUTED_VALUE"""),1.0)</f>
        <v>1</v>
      </c>
      <c r="G3635" s="6" t="str">
        <f>IFERROR(__xludf.DUMMYFUNCTION("""COMPUTED_VALUE"""),"Lot")</f>
        <v>Lot</v>
      </c>
      <c r="H3635" s="6" t="str">
        <f>IFERROR(__xludf.DUMMYFUNCTION("""COMPUTED_VALUE"""),"IDR")</f>
        <v>IDR</v>
      </c>
      <c r="I3635" s="6">
        <f>IFERROR(__xludf.DUMMYFUNCTION("""COMPUTED_VALUE"""),1.0755E7)</f>
        <v>10755000</v>
      </c>
      <c r="J3635" s="6">
        <f>IFERROR(__xludf.DUMMYFUNCTION("""COMPUTED_VALUE"""),1.0755E7)</f>
        <v>10755000</v>
      </c>
      <c r="K3635" s="57">
        <f>IFERROR(__xludf.DUMMYFUNCTION("""COMPUTED_VALUE"""),45645.0)</f>
        <v>45645</v>
      </c>
      <c r="L3635" s="6" t="str">
        <f>IFERROR(__xludf.DUMMYFUNCTION("""COMPUTED_VALUE"""),"FIP General")</f>
        <v>FIP General</v>
      </c>
      <c r="M3635" s="6" t="str">
        <f>IFERROR(__xludf.DUMMYFUNCTION("""COMPUTED_VALUE"""),"Mochammad Fadhillah Hakim,")</f>
        <v>Mochammad Fadhillah Hakim,</v>
      </c>
      <c r="N3635" s="6" t="str">
        <f>IFERROR(__xludf.DUMMYFUNCTION("""COMPUTED_VALUE"""),"FIP Engineering")</f>
        <v>FIP Engineering</v>
      </c>
      <c r="O3635" s="6" t="str">
        <f>IFERROR(__xludf.DUMMYFUNCTION("""COMPUTED_VALUE"""),"FIP-DOM-ENG-51508-0000000-INA-000000")</f>
        <v>FIP-DOM-ENG-51508-0000000-INA-000000</v>
      </c>
      <c r="P3635" s="6" t="str">
        <f>IFERROR(__xludf.DUMMYFUNCTION("""COMPUTED_VALUE"""),"PO Closed")</f>
        <v>PO Closed</v>
      </c>
      <c r="Q3635" s="6" t="str">
        <f>IFERROR(__xludf.DUMMYFUNCTION("""COMPUTED_VALUE"""),"GL2501039")</f>
        <v>GL2501039</v>
      </c>
      <c r="R3635" s="57">
        <f>IFERROR(__xludf.DUMMYFUNCTION("""COMPUTED_VALUE"""),45643.0)</f>
        <v>45643</v>
      </c>
      <c r="S3635" s="57">
        <f>IFERROR(__xludf.DUMMYFUNCTION("""COMPUTED_VALUE"""),45666.0)</f>
        <v>45666</v>
      </c>
      <c r="T3635" s="57">
        <f>IFERROR(__xludf.DUMMYFUNCTION("""COMPUTED_VALUE"""),45730.0)</f>
        <v>45730</v>
      </c>
    </row>
    <row r="3636">
      <c r="A3636" s="6" t="str">
        <f>IFERROR(__xludf.DUMMYFUNCTION("""COMPUTED_VALUE"""),"121702158-1")</f>
        <v>121702158-1</v>
      </c>
      <c r="B3636" s="6" t="str">
        <f>IFERROR(__xludf.DUMMYFUNCTION("""COMPUTED_VALUE"""),"121702158 - APPROVED")</f>
        <v>121702158 - APPROVED</v>
      </c>
      <c r="C3636" s="6">
        <f>IFERROR(__xludf.DUMMYFUNCTION("""COMPUTED_VALUE"""),1.0)</f>
        <v>1</v>
      </c>
      <c r="D3636" s="6" t="str">
        <f>IFERROR(__xludf.DUMMYFUNCTION("""COMPUTED_VALUE"""),"T-20002-00")</f>
        <v>T-20002-00</v>
      </c>
      <c r="E3636" s="6" t="str">
        <f>IFERROR(__xludf.DUMMYFUNCTION("""COMPUTED_VALUE"""),"Jasa Perbaikan Alat Lab")</f>
        <v>Jasa Perbaikan Alat Lab</v>
      </c>
      <c r="F3636" s="6">
        <f>IFERROR(__xludf.DUMMYFUNCTION("""COMPUTED_VALUE"""),1.0)</f>
        <v>1</v>
      </c>
      <c r="G3636" s="6" t="str">
        <f>IFERROR(__xludf.DUMMYFUNCTION("""COMPUTED_VALUE"""),"Pieces")</f>
        <v>Pieces</v>
      </c>
      <c r="H3636" s="6" t="str">
        <f>IFERROR(__xludf.DUMMYFUNCTION("""COMPUTED_VALUE"""),"IDR")</f>
        <v>IDR</v>
      </c>
      <c r="I3636" s="6">
        <f>IFERROR(__xludf.DUMMYFUNCTION("""COMPUTED_VALUE"""),2000000.0)</f>
        <v>2000000</v>
      </c>
      <c r="J3636" s="6">
        <f>IFERROR(__xludf.DUMMYFUNCTION("""COMPUTED_VALUE"""),2000000.0)</f>
        <v>2000000</v>
      </c>
      <c r="K3636" s="57">
        <f>IFERROR(__xludf.DUMMYFUNCTION("""COMPUTED_VALUE"""),45647.0)</f>
        <v>45647</v>
      </c>
      <c r="L3636" s="6" t="str">
        <f>IFERROR(__xludf.DUMMYFUNCTION("""COMPUTED_VALUE"""),"FIP General")</f>
        <v>FIP General</v>
      </c>
      <c r="M3636" s="6" t="str">
        <f>IFERROR(__xludf.DUMMYFUNCTION("""COMPUTED_VALUE"""),"Mochammad Fadhillah Hakim,")</f>
        <v>Mochammad Fadhillah Hakim,</v>
      </c>
      <c r="N3636" s="6" t="str">
        <f>IFERROR(__xludf.DUMMYFUNCTION("""COMPUTED_VALUE"""),"FIP Engineering")</f>
        <v>FIP Engineering</v>
      </c>
      <c r="O3636" s="6" t="str">
        <f>IFERROR(__xludf.DUMMYFUNCTION("""COMPUTED_VALUE"""),"FIP-DOM-ENG-51505-0000000-INA-000000")</f>
        <v>FIP-DOM-ENG-51505-0000000-INA-000000</v>
      </c>
      <c r="P3636" s="6" t="str">
        <f>IFERROR(__xludf.DUMMYFUNCTION("""COMPUTED_VALUE"""),"PO Closed")</f>
        <v>PO Closed</v>
      </c>
      <c r="Q3636" s="6" t="str">
        <f>IFERROR(__xludf.DUMMYFUNCTION("""COMPUTED_VALUE"""),"GL2502017")</f>
        <v>GL2502017</v>
      </c>
      <c r="R3636" s="57">
        <f>IFERROR(__xludf.DUMMYFUNCTION("""COMPUTED_VALUE"""),45645.0)</f>
        <v>45645</v>
      </c>
      <c r="S3636" s="57">
        <f>IFERROR(__xludf.DUMMYFUNCTION("""COMPUTED_VALUE"""),45649.0)</f>
        <v>45649</v>
      </c>
      <c r="T3636" s="57">
        <f>IFERROR(__xludf.DUMMYFUNCTION("""COMPUTED_VALUE"""),45713.0)</f>
        <v>45713</v>
      </c>
    </row>
    <row r="3637">
      <c r="A3637" s="6" t="str">
        <f>IFERROR(__xludf.DUMMYFUNCTION("""COMPUTED_VALUE"""),"121702165-1")</f>
        <v>121702165-1</v>
      </c>
      <c r="B3637" s="6" t="str">
        <f>IFERROR(__xludf.DUMMYFUNCTION("""COMPUTED_VALUE"""),"121702165 - APPROVED")</f>
        <v>121702165 - APPROVED</v>
      </c>
      <c r="C3637" s="6">
        <f>IFERROR(__xludf.DUMMYFUNCTION("""COMPUTED_VALUE"""),1.0)</f>
        <v>1</v>
      </c>
      <c r="D3637" s="6" t="str">
        <f>IFERROR(__xludf.DUMMYFUNCTION("""COMPUTED_VALUE"""),"P-51851-00")</f>
        <v>P-51851-00</v>
      </c>
      <c r="E3637" s="6" t="str">
        <f>IFERROR(__xludf.DUMMYFUNCTION("""COMPUTED_VALUE"""),"Capasitor/Kapasitor 2 micro Farad 400 VAC; ; ; pc")</f>
        <v>Capasitor/Kapasitor 2 micro Farad 400 VAC; ; ; pc</v>
      </c>
      <c r="F3637" s="6">
        <f>IFERROR(__xludf.DUMMYFUNCTION("""COMPUTED_VALUE"""),5.0)</f>
        <v>5</v>
      </c>
      <c r="G3637" s="6" t="str">
        <f>IFERROR(__xludf.DUMMYFUNCTION("""COMPUTED_VALUE"""),"Pieces")</f>
        <v>Pieces</v>
      </c>
      <c r="H3637" s="6" t="str">
        <f>IFERROR(__xludf.DUMMYFUNCTION("""COMPUTED_VALUE"""),"IDR")</f>
        <v>IDR</v>
      </c>
      <c r="I3637" s="6">
        <f>IFERROR(__xludf.DUMMYFUNCTION("""COMPUTED_VALUE"""),20000.0)</f>
        <v>20000</v>
      </c>
      <c r="J3637" s="6">
        <f>IFERROR(__xludf.DUMMYFUNCTION("""COMPUTED_VALUE"""),100000.0)</f>
        <v>100000</v>
      </c>
      <c r="K3637" s="57">
        <f>IFERROR(__xludf.DUMMYFUNCTION("""COMPUTED_VALUE"""),45648.0)</f>
        <v>45648</v>
      </c>
      <c r="L3637" s="6" t="str">
        <f>IFERROR(__xludf.DUMMYFUNCTION("""COMPUTED_VALUE"""),"FIP Engineering")</f>
        <v>FIP Engineering</v>
      </c>
      <c r="M3637" s="6" t="str">
        <f>IFERROR(__xludf.DUMMYFUNCTION("""COMPUTED_VALUE"""),"Mochammad Fadhillah Hakim,")</f>
        <v>Mochammad Fadhillah Hakim,</v>
      </c>
      <c r="N3637" s="6" t="str">
        <f>IFERROR(__xludf.DUMMYFUNCTION("""COMPUTED_VALUE"""),"FIP Engineering")</f>
        <v>FIP Engineering</v>
      </c>
      <c r="O3637" s="6" t="str">
        <f>IFERROR(__xludf.DUMMYFUNCTION("""COMPUTED_VALUE"""),"FIP-DOM-000-11304-OS00001-INA-000000")</f>
        <v>FIP-DOM-000-11304-OS00001-INA-000000</v>
      </c>
      <c r="P3637" s="6" t="str">
        <f>IFERROR(__xludf.DUMMYFUNCTION("""COMPUTED_VALUE"""),"PO Closed")</f>
        <v>PO Closed</v>
      </c>
      <c r="Q3637" s="6" t="str">
        <f>IFERROR(__xludf.DUMMYFUNCTION("""COMPUTED_VALUE"""),"GL2501319")</f>
        <v>GL2501319</v>
      </c>
      <c r="R3637" s="57">
        <f>IFERROR(__xludf.DUMMYFUNCTION("""COMPUTED_VALUE"""),45646.0)</f>
        <v>45646</v>
      </c>
      <c r="S3637" s="57">
        <f>IFERROR(__xludf.DUMMYFUNCTION("""COMPUTED_VALUE"""),45649.0)</f>
        <v>45649</v>
      </c>
      <c r="T3637" s="57">
        <f>IFERROR(__xludf.DUMMYFUNCTION("""COMPUTED_VALUE"""),45708.0)</f>
        <v>45708</v>
      </c>
    </row>
    <row r="3638">
      <c r="A3638" s="6" t="str">
        <f>IFERROR(__xludf.DUMMYFUNCTION("""COMPUTED_VALUE"""),"121702168-1")</f>
        <v>121702168-1</v>
      </c>
      <c r="B3638" s="6" t="str">
        <f>IFERROR(__xludf.DUMMYFUNCTION("""COMPUTED_VALUE"""),"121702168 - APPROVED")</f>
        <v>121702168 - APPROVED</v>
      </c>
      <c r="C3638" s="6">
        <f>IFERROR(__xludf.DUMMYFUNCTION("""COMPUTED_VALUE"""),1.0)</f>
        <v>1</v>
      </c>
      <c r="D3638" s="6" t="str">
        <f>IFERROR(__xludf.DUMMYFUNCTION("""COMPUTED_VALUE"""),"O-20230-00")</f>
        <v>O-20230-00</v>
      </c>
      <c r="E3638" s="6" t="str">
        <f>IFERROR(__xludf.DUMMYFUNCTION("""COMPUTED_VALUE"""),"Washing RAV4 - Black Arm Mat. SUS 304; Custom/Lokal; -; 1 Pc")</f>
        <v>Washing RAV4 - Black Arm Mat. SUS 304; Custom/Lokal; -; 1 Pc</v>
      </c>
      <c r="F3638" s="6">
        <f>IFERROR(__xludf.DUMMYFUNCTION("""COMPUTED_VALUE"""),2.0)</f>
        <v>2</v>
      </c>
      <c r="G3638" s="6" t="str">
        <f>IFERROR(__xludf.DUMMYFUNCTION("""COMPUTED_VALUE"""),"Pieces")</f>
        <v>Pieces</v>
      </c>
      <c r="H3638" s="6" t="str">
        <f>IFERROR(__xludf.DUMMYFUNCTION("""COMPUTED_VALUE"""),"IDR")</f>
        <v>IDR</v>
      </c>
      <c r="I3638" s="6">
        <f>IFERROR(__xludf.DUMMYFUNCTION("""COMPUTED_VALUE"""),2355000.0)</f>
        <v>2355000</v>
      </c>
      <c r="J3638" s="6">
        <f>IFERROR(__xludf.DUMMYFUNCTION("""COMPUTED_VALUE"""),4710000.0)</f>
        <v>4710000</v>
      </c>
      <c r="K3638" s="57">
        <f>IFERROR(__xludf.DUMMYFUNCTION("""COMPUTED_VALUE"""),45648.0)</f>
        <v>45648</v>
      </c>
      <c r="L3638" s="6" t="str">
        <f>IFERROR(__xludf.DUMMYFUNCTION("""COMPUTED_VALUE"""),"FIP Engineering")</f>
        <v>FIP Engineering</v>
      </c>
      <c r="M3638" s="6" t="str">
        <f>IFERROR(__xludf.DUMMYFUNCTION("""COMPUTED_VALUE"""),"Mochammad Fadhillah Hakim,")</f>
        <v>Mochammad Fadhillah Hakim,</v>
      </c>
      <c r="N3638" s="6" t="str">
        <f>IFERROR(__xludf.DUMMYFUNCTION("""COMPUTED_VALUE"""),"FIP Engineering")</f>
        <v>FIP Engineering</v>
      </c>
      <c r="O3638" s="6" t="str">
        <f>IFERROR(__xludf.DUMMYFUNCTION("""COMPUTED_VALUE"""),"FIP-DOM-000-11304-OS00001-INA-000000")</f>
        <v>FIP-DOM-000-11304-OS00001-INA-000000</v>
      </c>
      <c r="P3638" s="6" t="str">
        <f>IFERROR(__xludf.DUMMYFUNCTION("""COMPUTED_VALUE"""),"PO Closed")</f>
        <v>PO Closed</v>
      </c>
      <c r="Q3638" s="6" t="str">
        <f>IFERROR(__xludf.DUMMYFUNCTION("""COMPUTED_VALUE"""),"GL2502021")</f>
        <v>GL2502021</v>
      </c>
      <c r="R3638" s="57">
        <f>IFERROR(__xludf.DUMMYFUNCTION("""COMPUTED_VALUE"""),45646.0)</f>
        <v>45646</v>
      </c>
      <c r="S3638" s="57">
        <f>IFERROR(__xludf.DUMMYFUNCTION("""COMPUTED_VALUE"""),45649.0)</f>
        <v>45649</v>
      </c>
      <c r="T3638" s="57">
        <f>IFERROR(__xludf.DUMMYFUNCTION("""COMPUTED_VALUE"""),45736.0)</f>
        <v>45736</v>
      </c>
    </row>
    <row r="3639">
      <c r="A3639" s="6" t="str">
        <f>IFERROR(__xludf.DUMMYFUNCTION("""COMPUTED_VALUE"""),"121702168-2")</f>
        <v>121702168-2</v>
      </c>
      <c r="B3639" s="6" t="str">
        <f>IFERROR(__xludf.DUMMYFUNCTION("""COMPUTED_VALUE"""),"121702168 - APPROVED")</f>
        <v>121702168 - APPROVED</v>
      </c>
      <c r="C3639" s="6">
        <f>IFERROR(__xludf.DUMMYFUNCTION("""COMPUTED_VALUE"""),2.0)</f>
        <v>2</v>
      </c>
      <c r="D3639" s="6" t="str">
        <f>IFERROR(__xludf.DUMMYFUNCTION("""COMPUTED_VALUE"""),"O-20231-00")</f>
        <v>O-20231-00</v>
      </c>
      <c r="E3639" s="6" t="str">
        <f>IFERROR(__xludf.DUMMYFUNCTION("""COMPUTED_VALUE"""),"Washing RAV4 - Base Black Arm Mat. VCN; Custom/Lokal; -; 1 Pc")</f>
        <v>Washing RAV4 - Base Black Arm Mat. VCN; Custom/Lokal; -; 1 Pc</v>
      </c>
      <c r="F3639" s="6">
        <f>IFERROR(__xludf.DUMMYFUNCTION("""COMPUTED_VALUE"""),1.0)</f>
        <v>1</v>
      </c>
      <c r="G3639" s="6" t="str">
        <f>IFERROR(__xludf.DUMMYFUNCTION("""COMPUTED_VALUE"""),"Pieces")</f>
        <v>Pieces</v>
      </c>
      <c r="H3639" s="6" t="str">
        <f>IFERROR(__xludf.DUMMYFUNCTION("""COMPUTED_VALUE"""),"IDR")</f>
        <v>IDR</v>
      </c>
      <c r="I3639" s="6">
        <f>IFERROR(__xludf.DUMMYFUNCTION("""COMPUTED_VALUE"""),2650000.0)</f>
        <v>2650000</v>
      </c>
      <c r="J3639" s="6">
        <f>IFERROR(__xludf.DUMMYFUNCTION("""COMPUTED_VALUE"""),2650000.0)</f>
        <v>2650000</v>
      </c>
      <c r="K3639" s="57">
        <f>IFERROR(__xludf.DUMMYFUNCTION("""COMPUTED_VALUE"""),45648.0)</f>
        <v>45648</v>
      </c>
      <c r="L3639" s="6" t="str">
        <f>IFERROR(__xludf.DUMMYFUNCTION("""COMPUTED_VALUE"""),"FIP Engineering")</f>
        <v>FIP Engineering</v>
      </c>
      <c r="M3639" s="6" t="str">
        <f>IFERROR(__xludf.DUMMYFUNCTION("""COMPUTED_VALUE"""),"Mochammad Fadhillah Hakim,")</f>
        <v>Mochammad Fadhillah Hakim,</v>
      </c>
      <c r="N3639" s="6" t="str">
        <f>IFERROR(__xludf.DUMMYFUNCTION("""COMPUTED_VALUE"""),"FIP Engineering")</f>
        <v>FIP Engineering</v>
      </c>
      <c r="O3639" s="6" t="str">
        <f>IFERROR(__xludf.DUMMYFUNCTION("""COMPUTED_VALUE"""),"FIP-DOM-000-11304-OS00001-INA-000000")</f>
        <v>FIP-DOM-000-11304-OS00001-INA-000000</v>
      </c>
      <c r="P3639" s="6" t="str">
        <f>IFERROR(__xludf.DUMMYFUNCTION("""COMPUTED_VALUE"""),"PO Closed")</f>
        <v>PO Closed</v>
      </c>
      <c r="Q3639" s="6" t="str">
        <f>IFERROR(__xludf.DUMMYFUNCTION("""COMPUTED_VALUE"""),"GL2502021")</f>
        <v>GL2502021</v>
      </c>
      <c r="R3639" s="57">
        <f>IFERROR(__xludf.DUMMYFUNCTION("""COMPUTED_VALUE"""),45646.0)</f>
        <v>45646</v>
      </c>
      <c r="S3639" s="57">
        <f>IFERROR(__xludf.DUMMYFUNCTION("""COMPUTED_VALUE"""),45649.0)</f>
        <v>45649</v>
      </c>
      <c r="T3639" s="57">
        <f>IFERROR(__xludf.DUMMYFUNCTION("""COMPUTED_VALUE"""),45736.0)</f>
        <v>45736</v>
      </c>
    </row>
    <row r="3640">
      <c r="A3640" s="6" t="str">
        <f>IFERROR(__xludf.DUMMYFUNCTION("""COMPUTED_VALUE"""),"121702169-1")</f>
        <v>121702169-1</v>
      </c>
      <c r="B3640" s="6" t="str">
        <f>IFERROR(__xludf.DUMMYFUNCTION("""COMPUTED_VALUE"""),"121702169 - APPROVED")</f>
        <v>121702169 - APPROVED</v>
      </c>
      <c r="C3640" s="6">
        <f>IFERROR(__xludf.DUMMYFUNCTION("""COMPUTED_VALUE"""),1.0)</f>
        <v>1</v>
      </c>
      <c r="D3640" s="6" t="str">
        <f>IFERROR(__xludf.DUMMYFUNCTION("""COMPUTED_VALUE"""),"O-53150-00")</f>
        <v>O-53150-00</v>
      </c>
      <c r="E3640" s="6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F3640" s="6">
        <f>IFERROR(__xludf.DUMMYFUNCTION("""COMPUTED_VALUE"""),2.0)</f>
        <v>2</v>
      </c>
      <c r="G3640" s="6" t="str">
        <f>IFERROR(__xludf.DUMMYFUNCTION("""COMPUTED_VALUE"""),"Pieces")</f>
        <v>Pieces</v>
      </c>
      <c r="H3640" s="6" t="str">
        <f>IFERROR(__xludf.DUMMYFUNCTION("""COMPUTED_VALUE"""),"IDR")</f>
        <v>IDR</v>
      </c>
      <c r="I3640" s="6">
        <f>IFERROR(__xludf.DUMMYFUNCTION("""COMPUTED_VALUE"""),6822420.0)</f>
        <v>6822420</v>
      </c>
      <c r="J3640" s="6">
        <f>IFERROR(__xludf.DUMMYFUNCTION("""COMPUTED_VALUE"""),1.364484E7)</f>
        <v>13644840</v>
      </c>
      <c r="K3640" s="57">
        <f>IFERROR(__xludf.DUMMYFUNCTION("""COMPUTED_VALUE"""),45648.0)</f>
        <v>45648</v>
      </c>
      <c r="L3640" s="6" t="str">
        <f>IFERROR(__xludf.DUMMYFUNCTION("""COMPUTED_VALUE"""),"FIP Engineering")</f>
        <v>FIP Engineering</v>
      </c>
      <c r="M3640" s="6" t="str">
        <f>IFERROR(__xludf.DUMMYFUNCTION("""COMPUTED_VALUE"""),"Mochammad Fadhillah Hakim,")</f>
        <v>Mochammad Fadhillah Hakim,</v>
      </c>
      <c r="N3640" s="6" t="str">
        <f>IFERROR(__xludf.DUMMYFUNCTION("""COMPUTED_VALUE"""),"FIP Engineering")</f>
        <v>FIP Engineering</v>
      </c>
      <c r="O3640" s="6" t="str">
        <f>IFERROR(__xludf.DUMMYFUNCTION("""COMPUTED_VALUE"""),"FIP-DOM-000-11304-OS00001-INA-000000")</f>
        <v>FIP-DOM-000-11304-OS00001-INA-000000</v>
      </c>
      <c r="P3640" s="6" t="str">
        <f>IFERROR(__xludf.DUMMYFUNCTION("""COMPUTED_VALUE"""),"PO Closed")</f>
        <v>PO Closed</v>
      </c>
      <c r="Q3640" s="6" t="str">
        <f>IFERROR(__xludf.DUMMYFUNCTION("""COMPUTED_VALUE"""),"GL2411061")</f>
        <v>GL2411061</v>
      </c>
      <c r="R3640" s="57">
        <f>IFERROR(__xludf.DUMMYFUNCTION("""COMPUTED_VALUE"""),45646.0)</f>
        <v>45646</v>
      </c>
      <c r="S3640" s="57">
        <f>IFERROR(__xludf.DUMMYFUNCTION("""COMPUTED_VALUE"""),45649.0)</f>
        <v>45649</v>
      </c>
      <c r="T3640" s="57">
        <f>IFERROR(__xludf.DUMMYFUNCTION("""COMPUTED_VALUE"""),45879.0)</f>
        <v>45879</v>
      </c>
    </row>
    <row r="3641">
      <c r="A3641" s="6" t="str">
        <f>IFERROR(__xludf.DUMMYFUNCTION("""COMPUTED_VALUE"""),"121702169-2")</f>
        <v>121702169-2</v>
      </c>
      <c r="B3641" s="6" t="str">
        <f>IFERROR(__xludf.DUMMYFUNCTION("""COMPUTED_VALUE"""),"121702169 - APPROVED")</f>
        <v>121702169 - APPROVED</v>
      </c>
      <c r="C3641" s="6">
        <f>IFERROR(__xludf.DUMMYFUNCTION("""COMPUTED_VALUE"""),2.0)</f>
        <v>2</v>
      </c>
      <c r="D3641" s="6" t="str">
        <f>IFERROR(__xludf.DUMMYFUNCTION("""COMPUTED_VALUE"""),"O-53151-00")</f>
        <v>O-53151-00</v>
      </c>
      <c r="E3641" s="6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F3641" s="6">
        <f>IFERROR(__xludf.DUMMYFUNCTION("""COMPUTED_VALUE"""),2.0)</f>
        <v>2</v>
      </c>
      <c r="G3641" s="6" t="str">
        <f>IFERROR(__xludf.DUMMYFUNCTION("""COMPUTED_VALUE"""),"Pieces")</f>
        <v>Pieces</v>
      </c>
      <c r="H3641" s="6" t="str">
        <f>IFERROR(__xludf.DUMMYFUNCTION("""COMPUTED_VALUE"""),"IDR")</f>
        <v>IDR</v>
      </c>
      <c r="I3641" s="6">
        <f>IFERROR(__xludf.DUMMYFUNCTION("""COMPUTED_VALUE"""),9567195.0)</f>
        <v>9567195</v>
      </c>
      <c r="J3641" s="6">
        <f>IFERROR(__xludf.DUMMYFUNCTION("""COMPUTED_VALUE"""),1.913439E7)</f>
        <v>19134390</v>
      </c>
      <c r="K3641" s="57">
        <f>IFERROR(__xludf.DUMMYFUNCTION("""COMPUTED_VALUE"""),45648.0)</f>
        <v>45648</v>
      </c>
      <c r="L3641" s="6" t="str">
        <f>IFERROR(__xludf.DUMMYFUNCTION("""COMPUTED_VALUE"""),"FIP Engineering")</f>
        <v>FIP Engineering</v>
      </c>
      <c r="M3641" s="6" t="str">
        <f>IFERROR(__xludf.DUMMYFUNCTION("""COMPUTED_VALUE"""),"Mochammad Fadhillah Hakim,")</f>
        <v>Mochammad Fadhillah Hakim,</v>
      </c>
      <c r="N3641" s="6" t="str">
        <f>IFERROR(__xludf.DUMMYFUNCTION("""COMPUTED_VALUE"""),"FIP Engineering")</f>
        <v>FIP Engineering</v>
      </c>
      <c r="O3641" s="6" t="str">
        <f>IFERROR(__xludf.DUMMYFUNCTION("""COMPUTED_VALUE"""),"FIP-DOM-000-11304-OS00001-INA-000000")</f>
        <v>FIP-DOM-000-11304-OS00001-INA-000000</v>
      </c>
      <c r="P3641" s="6" t="str">
        <f>IFERROR(__xludf.DUMMYFUNCTION("""COMPUTED_VALUE"""),"PO Closed")</f>
        <v>PO Closed</v>
      </c>
      <c r="Q3641" s="6" t="str">
        <f>IFERROR(__xludf.DUMMYFUNCTION("""COMPUTED_VALUE"""),"GL2411061")</f>
        <v>GL2411061</v>
      </c>
      <c r="R3641" s="57">
        <f>IFERROR(__xludf.DUMMYFUNCTION("""COMPUTED_VALUE"""),45646.0)</f>
        <v>45646</v>
      </c>
      <c r="S3641" s="57">
        <f>IFERROR(__xludf.DUMMYFUNCTION("""COMPUTED_VALUE"""),45649.0)</f>
        <v>45649</v>
      </c>
      <c r="T3641" s="57">
        <f>IFERROR(__xludf.DUMMYFUNCTION("""COMPUTED_VALUE"""),45879.0)</f>
        <v>45879</v>
      </c>
    </row>
    <row r="3642">
      <c r="A3642" s="6" t="str">
        <f>IFERROR(__xludf.DUMMYFUNCTION("""COMPUTED_VALUE"""),"121702169-3")</f>
        <v>121702169-3</v>
      </c>
      <c r="B3642" s="6" t="str">
        <f>IFERROR(__xludf.DUMMYFUNCTION("""COMPUTED_VALUE"""),"121702169 - APPROVED")</f>
        <v>121702169 - APPROVED</v>
      </c>
      <c r="C3642" s="6">
        <f>IFERROR(__xludf.DUMMYFUNCTION("""COMPUTED_VALUE"""),3.0)</f>
        <v>3</v>
      </c>
      <c r="D3642" s="6" t="str">
        <f>IFERROR(__xludf.DUMMYFUNCTION("""COMPUTED_VALUE"""),"O-20211-00")</f>
        <v>O-20211-00</v>
      </c>
      <c r="E3642" s="6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F3642" s="6">
        <f>IFERROR(__xludf.DUMMYFUNCTION("""COMPUTED_VALUE"""),2.0)</f>
        <v>2</v>
      </c>
      <c r="G3642" s="6" t="str">
        <f>IFERROR(__xludf.DUMMYFUNCTION("""COMPUTED_VALUE"""),"Pieces")</f>
        <v>Pieces</v>
      </c>
      <c r="H3642" s="6" t="str">
        <f>IFERROR(__xludf.DUMMYFUNCTION("""COMPUTED_VALUE"""),"IDR")</f>
        <v>IDR</v>
      </c>
      <c r="I3642" s="6">
        <f>IFERROR(__xludf.DUMMYFUNCTION("""COMPUTED_VALUE"""),544995.0)</f>
        <v>544995</v>
      </c>
      <c r="J3642" s="6">
        <f>IFERROR(__xludf.DUMMYFUNCTION("""COMPUTED_VALUE"""),1089990.0)</f>
        <v>1089990</v>
      </c>
      <c r="K3642" s="57">
        <f>IFERROR(__xludf.DUMMYFUNCTION("""COMPUTED_VALUE"""),45648.0)</f>
        <v>45648</v>
      </c>
      <c r="L3642" s="6" t="str">
        <f>IFERROR(__xludf.DUMMYFUNCTION("""COMPUTED_VALUE"""),"FIP Engineering")</f>
        <v>FIP Engineering</v>
      </c>
      <c r="M3642" s="6" t="str">
        <f>IFERROR(__xludf.DUMMYFUNCTION("""COMPUTED_VALUE"""),"Mochammad Fadhillah Hakim,")</f>
        <v>Mochammad Fadhillah Hakim,</v>
      </c>
      <c r="N3642" s="6" t="str">
        <f>IFERROR(__xludf.DUMMYFUNCTION("""COMPUTED_VALUE"""),"FIP Engineering")</f>
        <v>FIP Engineering</v>
      </c>
      <c r="O3642" s="6" t="str">
        <f>IFERROR(__xludf.DUMMYFUNCTION("""COMPUTED_VALUE"""),"FIP-DOM-000-11304-OS00001-INA-000000")</f>
        <v>FIP-DOM-000-11304-OS00001-INA-000000</v>
      </c>
      <c r="P3642" s="6" t="str">
        <f>IFERROR(__xludf.DUMMYFUNCTION("""COMPUTED_VALUE"""),"PO Closed")</f>
        <v>PO Closed</v>
      </c>
      <c r="Q3642" s="6" t="str">
        <f>IFERROR(__xludf.DUMMYFUNCTION("""COMPUTED_VALUE"""),"GL2411061")</f>
        <v>GL2411061</v>
      </c>
      <c r="R3642" s="57">
        <f>IFERROR(__xludf.DUMMYFUNCTION("""COMPUTED_VALUE"""),45646.0)</f>
        <v>45646</v>
      </c>
      <c r="S3642" s="57">
        <f>IFERROR(__xludf.DUMMYFUNCTION("""COMPUTED_VALUE"""),45649.0)</f>
        <v>45649</v>
      </c>
      <c r="T3642" s="57">
        <f>IFERROR(__xludf.DUMMYFUNCTION("""COMPUTED_VALUE"""),45879.0)</f>
        <v>45879</v>
      </c>
    </row>
    <row r="3643">
      <c r="A3643" s="6" t="str">
        <f>IFERROR(__xludf.DUMMYFUNCTION("""COMPUTED_VALUE"""),"121702170-1")</f>
        <v>121702170-1</v>
      </c>
      <c r="B3643" s="6" t="str">
        <f>IFERROR(__xludf.DUMMYFUNCTION("""COMPUTED_VALUE"""),"121702170 - APPROVED")</f>
        <v>121702170 - APPROVED</v>
      </c>
      <c r="C3643" s="6">
        <f>IFERROR(__xludf.DUMMYFUNCTION("""COMPUTED_VALUE"""),1.0)</f>
        <v>1</v>
      </c>
      <c r="D3643" s="6" t="str">
        <f>IFERROR(__xludf.DUMMYFUNCTION("""COMPUTED_VALUE"""),"P-15834-00")</f>
        <v>P-15834-00</v>
      </c>
      <c r="E3643" s="6" t="str">
        <f>IFERROR(__xludf.DUMMYFUNCTION("""COMPUTED_VALUE"""),"SMC - Pressure Filter Regulator Auto Drain AW40-40DG-A; ; ;")</f>
        <v>SMC - Pressure Filter Regulator Auto Drain AW40-40DG-A; ; ;</v>
      </c>
      <c r="F3643" s="6">
        <f>IFERROR(__xludf.DUMMYFUNCTION("""COMPUTED_VALUE"""),5.0)</f>
        <v>5</v>
      </c>
      <c r="G3643" s="6" t="str">
        <f>IFERROR(__xludf.DUMMYFUNCTION("""COMPUTED_VALUE"""),"Pieces")</f>
        <v>Pieces</v>
      </c>
      <c r="H3643" s="6" t="str">
        <f>IFERROR(__xludf.DUMMYFUNCTION("""COMPUTED_VALUE"""),"IDR")</f>
        <v>IDR</v>
      </c>
      <c r="I3643" s="6">
        <f>IFERROR(__xludf.DUMMYFUNCTION("""COMPUTED_VALUE"""),2000000.0)</f>
        <v>2000000</v>
      </c>
      <c r="J3643" s="6">
        <f>IFERROR(__xludf.DUMMYFUNCTION("""COMPUTED_VALUE"""),1.0E7)</f>
        <v>10000000</v>
      </c>
      <c r="K3643" s="57">
        <f>IFERROR(__xludf.DUMMYFUNCTION("""COMPUTED_VALUE"""),45648.0)</f>
        <v>45648</v>
      </c>
      <c r="L3643" s="6" t="str">
        <f>IFERROR(__xludf.DUMMYFUNCTION("""COMPUTED_VALUE"""),"FIP Engineering")</f>
        <v>FIP Engineering</v>
      </c>
      <c r="M3643" s="6" t="str">
        <f>IFERROR(__xludf.DUMMYFUNCTION("""COMPUTED_VALUE"""),"Mochammad Fadhillah Hakim,")</f>
        <v>Mochammad Fadhillah Hakim,</v>
      </c>
      <c r="N3643" s="6" t="str">
        <f>IFERROR(__xludf.DUMMYFUNCTION("""COMPUTED_VALUE"""),"FIP Engineering")</f>
        <v>FIP Engineering</v>
      </c>
      <c r="O3643" s="6" t="str">
        <f>IFERROR(__xludf.DUMMYFUNCTION("""COMPUTED_VALUE"""),"FIP-DOM-000-11304-OS00001-INA-000000")</f>
        <v>FIP-DOM-000-11304-OS00001-INA-000000</v>
      </c>
      <c r="P3643" s="6" t="str">
        <f>IFERROR(__xludf.DUMMYFUNCTION("""COMPUTED_VALUE"""),"PO Closed")</f>
        <v>PO Closed</v>
      </c>
      <c r="Q3643" s="6" t="str">
        <f>IFERROR(__xludf.DUMMYFUNCTION("""COMPUTED_VALUE"""),"GL2501023")</f>
        <v>GL2501023</v>
      </c>
      <c r="R3643" s="57">
        <f>IFERROR(__xludf.DUMMYFUNCTION("""COMPUTED_VALUE"""),45646.0)</f>
        <v>45646</v>
      </c>
      <c r="S3643" s="57">
        <f>IFERROR(__xludf.DUMMYFUNCTION("""COMPUTED_VALUE"""),45649.0)</f>
        <v>45649</v>
      </c>
      <c r="T3643" s="57">
        <f>IFERROR(__xludf.DUMMYFUNCTION("""COMPUTED_VALUE"""),45685.0)</f>
        <v>45685</v>
      </c>
    </row>
    <row r="3644">
      <c r="A3644" s="6" t="str">
        <f>IFERROR(__xludf.DUMMYFUNCTION("""COMPUTED_VALUE"""),"121702171-1")</f>
        <v>121702171-1</v>
      </c>
      <c r="B3644" s="6" t="str">
        <f>IFERROR(__xludf.DUMMYFUNCTION("""COMPUTED_VALUE"""),"121702171 - APPROVED")</f>
        <v>121702171 - APPROVED</v>
      </c>
      <c r="C3644" s="6">
        <f>IFERROR(__xludf.DUMMYFUNCTION("""COMPUTED_VALUE"""),1.0)</f>
        <v>1</v>
      </c>
      <c r="D3644" s="6" t="str">
        <f>IFERROR(__xludf.DUMMYFUNCTION("""COMPUTED_VALUE"""),"S-46129-00")</f>
        <v>S-46129-00</v>
      </c>
      <c r="E3644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F3644" s="6">
        <f>IFERROR(__xludf.DUMMYFUNCTION("""COMPUTED_VALUE"""),10.0)</f>
        <v>10</v>
      </c>
      <c r="G3644" s="6" t="str">
        <f>IFERROR(__xludf.DUMMYFUNCTION("""COMPUTED_VALUE"""),"Roll")</f>
        <v>Roll</v>
      </c>
      <c r="H3644" s="6" t="str">
        <f>IFERROR(__xludf.DUMMYFUNCTION("""COMPUTED_VALUE"""),"IDR")</f>
        <v>IDR</v>
      </c>
      <c r="I3644" s="6">
        <f>IFERROR(__xludf.DUMMYFUNCTION("""COMPUTED_VALUE"""),60000.0)</f>
        <v>60000</v>
      </c>
      <c r="J3644" s="6">
        <f>IFERROR(__xludf.DUMMYFUNCTION("""COMPUTED_VALUE"""),600000.0)</f>
        <v>600000</v>
      </c>
      <c r="K3644" s="57">
        <f>IFERROR(__xludf.DUMMYFUNCTION("""COMPUTED_VALUE"""),45648.0)</f>
        <v>45648</v>
      </c>
      <c r="L3644" s="6" t="str">
        <f>IFERROR(__xludf.DUMMYFUNCTION("""COMPUTED_VALUE"""),"FIP General")</f>
        <v>FIP General</v>
      </c>
      <c r="M3644" s="6" t="str">
        <f>IFERROR(__xludf.DUMMYFUNCTION("""COMPUTED_VALUE"""),"Mochammad Fadhillah Hakim,")</f>
        <v>Mochammad Fadhillah Hakim,</v>
      </c>
      <c r="N3644" s="6" t="str">
        <f>IFERROR(__xludf.DUMMYFUNCTION("""COMPUTED_VALUE"""),"FIP Engineering")</f>
        <v>FIP Engineering</v>
      </c>
      <c r="O3644" s="6" t="str">
        <f>IFERROR(__xludf.DUMMYFUNCTION("""COMPUTED_VALUE"""),"FIP-DOM-ENG-51404-0000000-INA-000000")</f>
        <v>FIP-DOM-ENG-51404-0000000-INA-000000</v>
      </c>
      <c r="P3644" s="6" t="str">
        <f>IFERROR(__xludf.DUMMYFUNCTION("""COMPUTED_VALUE"""),"PO Closed")</f>
        <v>PO Closed</v>
      </c>
      <c r="Q3644" s="6" t="str">
        <f>IFERROR(__xludf.DUMMYFUNCTION("""COMPUTED_VALUE"""),"GL2501010")</f>
        <v>GL2501010</v>
      </c>
      <c r="R3644" s="57">
        <f>IFERROR(__xludf.DUMMYFUNCTION("""COMPUTED_VALUE"""),45646.0)</f>
        <v>45646</v>
      </c>
      <c r="S3644" s="57">
        <f>IFERROR(__xludf.DUMMYFUNCTION("""COMPUTED_VALUE"""),45649.0)</f>
        <v>45649</v>
      </c>
      <c r="T3644" s="57">
        <f>IFERROR(__xludf.DUMMYFUNCTION("""COMPUTED_VALUE"""),45685.0)</f>
        <v>45685</v>
      </c>
    </row>
    <row r="3645">
      <c r="A3645" s="6" t="str">
        <f>IFERROR(__xludf.DUMMYFUNCTION("""COMPUTED_VALUE"""),"121702171-2")</f>
        <v>121702171-2</v>
      </c>
      <c r="B3645" s="6" t="str">
        <f>IFERROR(__xludf.DUMMYFUNCTION("""COMPUTED_VALUE"""),"121702171 - APPROVED")</f>
        <v>121702171 - APPROVED</v>
      </c>
      <c r="C3645" s="6">
        <f>IFERROR(__xludf.DUMMYFUNCTION("""COMPUTED_VALUE"""),2.0)</f>
        <v>2</v>
      </c>
      <c r="D3645" s="6" t="str">
        <f>IFERROR(__xludf.DUMMYFUNCTION("""COMPUTED_VALUE"""),"P-13429-00")</f>
        <v>P-13429-00</v>
      </c>
      <c r="E3645" s="6" t="str">
        <f>IFERROR(__xludf.DUMMYFUNCTION("""COMPUTED_VALUE"""),"Cable Ducting 25x40mm; ; ;")</f>
        <v>Cable Ducting 25x40mm; ; ;</v>
      </c>
      <c r="F3645" s="6">
        <f>IFERROR(__xludf.DUMMYFUNCTION("""COMPUTED_VALUE"""),5.0)</f>
        <v>5</v>
      </c>
      <c r="G3645" s="6" t="str">
        <f>IFERROR(__xludf.DUMMYFUNCTION("""COMPUTED_VALUE"""),"Pieces")</f>
        <v>Pieces</v>
      </c>
      <c r="H3645" s="6" t="str">
        <f>IFERROR(__xludf.DUMMYFUNCTION("""COMPUTED_VALUE"""),"IDR")</f>
        <v>IDR</v>
      </c>
      <c r="I3645" s="6">
        <f>IFERROR(__xludf.DUMMYFUNCTION("""COMPUTED_VALUE"""),45000.0)</f>
        <v>45000</v>
      </c>
      <c r="J3645" s="6">
        <f>IFERROR(__xludf.DUMMYFUNCTION("""COMPUTED_VALUE"""),225000.0)</f>
        <v>225000</v>
      </c>
      <c r="K3645" s="57">
        <f>IFERROR(__xludf.DUMMYFUNCTION("""COMPUTED_VALUE"""),45648.0)</f>
        <v>45648</v>
      </c>
      <c r="L3645" s="6" t="str">
        <f>IFERROR(__xludf.DUMMYFUNCTION("""COMPUTED_VALUE"""),"FIP General")</f>
        <v>FIP General</v>
      </c>
      <c r="M3645" s="6" t="str">
        <f>IFERROR(__xludf.DUMMYFUNCTION("""COMPUTED_VALUE"""),"Mochammad Fadhillah Hakim,")</f>
        <v>Mochammad Fadhillah Hakim,</v>
      </c>
      <c r="N3645" s="6" t="str">
        <f>IFERROR(__xludf.DUMMYFUNCTION("""COMPUTED_VALUE"""),"FIP Engineering")</f>
        <v>FIP Engineering</v>
      </c>
      <c r="O3645" s="6" t="str">
        <f>IFERROR(__xludf.DUMMYFUNCTION("""COMPUTED_VALUE"""),"FIP-DOM-ENG-51502-0000000-INA-000000")</f>
        <v>FIP-DOM-ENG-51502-0000000-INA-000000</v>
      </c>
      <c r="P3645" s="6" t="str">
        <f>IFERROR(__xludf.DUMMYFUNCTION("""COMPUTED_VALUE"""),"PO Closed")</f>
        <v>PO Closed</v>
      </c>
      <c r="Q3645" s="6" t="str">
        <f>IFERROR(__xludf.DUMMYFUNCTION("""COMPUTED_VALUE"""),"GL2501304")</f>
        <v>GL2501304</v>
      </c>
      <c r="R3645" s="57">
        <f>IFERROR(__xludf.DUMMYFUNCTION("""COMPUTED_VALUE"""),45646.0)</f>
        <v>45646</v>
      </c>
      <c r="S3645" s="57">
        <f>IFERROR(__xludf.DUMMYFUNCTION("""COMPUTED_VALUE"""),45649.0)</f>
        <v>45649</v>
      </c>
      <c r="T3645" s="57">
        <f>IFERROR(__xludf.DUMMYFUNCTION("""COMPUTED_VALUE"""),45706.0)</f>
        <v>45706</v>
      </c>
    </row>
    <row r="3646">
      <c r="A3646" s="6" t="str">
        <f>IFERROR(__xludf.DUMMYFUNCTION("""COMPUTED_VALUE"""),"121702172-1")</f>
        <v>121702172-1</v>
      </c>
      <c r="B3646" s="6" t="str">
        <f>IFERROR(__xludf.DUMMYFUNCTION("""COMPUTED_VALUE"""),"121702172 - APPROVED")</f>
        <v>121702172 - APPROVED</v>
      </c>
      <c r="C3646" s="6">
        <f>IFERROR(__xludf.DUMMYFUNCTION("""COMPUTED_VALUE"""),1.0)</f>
        <v>1</v>
      </c>
      <c r="D3646" s="6" t="str">
        <f>IFERROR(__xludf.DUMMYFUNCTION("""COMPUTED_VALUE"""),"P-14424-00")</f>
        <v>P-14424-00</v>
      </c>
      <c r="E3646" s="6" t="str">
        <f>IFERROR(__xludf.DUMMYFUNCTION("""COMPUTED_VALUE"""),"Garam Kutreat RGN-9800F; ; ; 25Kg/zak")</f>
        <v>Garam Kutreat RGN-9800F; ; ; 25Kg/zak</v>
      </c>
      <c r="F3646" s="6">
        <f>IFERROR(__xludf.DUMMYFUNCTION("""COMPUTED_VALUE"""),225.0)</f>
        <v>225</v>
      </c>
      <c r="G3646" s="6" t="str">
        <f>IFERROR(__xludf.DUMMYFUNCTION("""COMPUTED_VALUE"""),"Kilogram")</f>
        <v>Kilogram</v>
      </c>
      <c r="H3646" s="6" t="str">
        <f>IFERROR(__xludf.DUMMYFUNCTION("""COMPUTED_VALUE"""),"IDR")</f>
        <v>IDR</v>
      </c>
      <c r="I3646" s="6">
        <f>IFERROR(__xludf.DUMMYFUNCTION("""COMPUTED_VALUE"""),10200.0)</f>
        <v>10200</v>
      </c>
      <c r="J3646" s="6">
        <f>IFERROR(__xludf.DUMMYFUNCTION("""COMPUTED_VALUE"""),2295000.0)</f>
        <v>2295000</v>
      </c>
      <c r="K3646" s="57">
        <f>IFERROR(__xludf.DUMMYFUNCTION("""COMPUTED_VALUE"""),45688.0)</f>
        <v>45688</v>
      </c>
      <c r="L3646" s="6" t="str">
        <f>IFERROR(__xludf.DUMMYFUNCTION("""COMPUTED_VALUE"""),"FIP Engineering")</f>
        <v>FIP Engineering</v>
      </c>
      <c r="M3646" s="6" t="str">
        <f>IFERROR(__xludf.DUMMYFUNCTION("""COMPUTED_VALUE"""),"Mochammad Fadhillah Hakim,")</f>
        <v>Mochammad Fadhillah Hakim,</v>
      </c>
      <c r="N3646" s="6" t="str">
        <f>IFERROR(__xludf.DUMMYFUNCTION("""COMPUTED_VALUE"""),"FIP Engineering")</f>
        <v>FIP Engineering</v>
      </c>
      <c r="O3646" s="6" t="str">
        <f>IFERROR(__xludf.DUMMYFUNCTION("""COMPUTED_VALUE"""),"FIP-DOM-000-11304-OS00001-INA-000000")</f>
        <v>FIP-DOM-000-11304-OS00001-INA-000000</v>
      </c>
      <c r="P3646" s="6" t="str">
        <f>IFERROR(__xludf.DUMMYFUNCTION("""COMPUTED_VALUE"""),"PO Closed")</f>
        <v>PO Closed</v>
      </c>
      <c r="Q3646" s="6" t="str">
        <f>IFERROR(__xludf.DUMMYFUNCTION("""COMPUTED_VALUE"""),"GL2501308")</f>
        <v>GL2501308</v>
      </c>
      <c r="R3646" s="57">
        <f>IFERROR(__xludf.DUMMYFUNCTION("""COMPUTED_VALUE"""),45646.0)</f>
        <v>45646</v>
      </c>
      <c r="S3646" s="57">
        <f>IFERROR(__xludf.DUMMYFUNCTION("""COMPUTED_VALUE"""),45649.0)</f>
        <v>45649</v>
      </c>
      <c r="T3646" s="57">
        <f>IFERROR(__xludf.DUMMYFUNCTION("""COMPUTED_VALUE"""),45695.0)</f>
        <v>45695</v>
      </c>
    </row>
    <row r="3647">
      <c r="A3647" s="6" t="str">
        <f>IFERROR(__xludf.DUMMYFUNCTION("""COMPUTED_VALUE"""),"121702172-2")</f>
        <v>121702172-2</v>
      </c>
      <c r="B3647" s="6" t="str">
        <f>IFERROR(__xludf.DUMMYFUNCTION("""COMPUTED_VALUE"""),"121702172 - APPROVED")</f>
        <v>121702172 - APPROVED</v>
      </c>
      <c r="C3647" s="6">
        <f>IFERROR(__xludf.DUMMYFUNCTION("""COMPUTED_VALUE"""),2.0)</f>
        <v>2</v>
      </c>
      <c r="D3647" s="6" t="str">
        <f>IFERROR(__xludf.DUMMYFUNCTION("""COMPUTED_VALUE"""),"P-14424-00")</f>
        <v>P-14424-00</v>
      </c>
      <c r="E3647" s="6" t="str">
        <f>IFERROR(__xludf.DUMMYFUNCTION("""COMPUTED_VALUE"""),"Garam Kutreat RGN-9800F; ; ; 25Kg/zak")</f>
        <v>Garam Kutreat RGN-9800F; ; ; 25Kg/zak</v>
      </c>
      <c r="F3647" s="6">
        <f>IFERROR(__xludf.DUMMYFUNCTION("""COMPUTED_VALUE"""),225.0)</f>
        <v>225</v>
      </c>
      <c r="G3647" s="6" t="str">
        <f>IFERROR(__xludf.DUMMYFUNCTION("""COMPUTED_VALUE"""),"Kilogram")</f>
        <v>Kilogram</v>
      </c>
      <c r="H3647" s="6" t="str">
        <f>IFERROR(__xludf.DUMMYFUNCTION("""COMPUTED_VALUE"""),"IDR")</f>
        <v>IDR</v>
      </c>
      <c r="I3647" s="6">
        <f>IFERROR(__xludf.DUMMYFUNCTION("""COMPUTED_VALUE"""),10200.0)</f>
        <v>10200</v>
      </c>
      <c r="J3647" s="6">
        <f>IFERROR(__xludf.DUMMYFUNCTION("""COMPUTED_VALUE"""),2295000.0)</f>
        <v>2295000</v>
      </c>
      <c r="K3647" s="57">
        <f>IFERROR(__xludf.DUMMYFUNCTION("""COMPUTED_VALUE"""),45777.0)</f>
        <v>45777</v>
      </c>
      <c r="L3647" s="6" t="str">
        <f>IFERROR(__xludf.DUMMYFUNCTION("""COMPUTED_VALUE"""),"FIP Engineering")</f>
        <v>FIP Engineering</v>
      </c>
      <c r="M3647" s="6" t="str">
        <f>IFERROR(__xludf.DUMMYFUNCTION("""COMPUTED_VALUE"""),"Mochammad Fadhillah Hakim,")</f>
        <v>Mochammad Fadhillah Hakim,</v>
      </c>
      <c r="N3647" s="6" t="str">
        <f>IFERROR(__xludf.DUMMYFUNCTION("""COMPUTED_VALUE"""),"FIP Engineering")</f>
        <v>FIP Engineering</v>
      </c>
      <c r="O3647" s="6" t="str">
        <f>IFERROR(__xludf.DUMMYFUNCTION("""COMPUTED_VALUE"""),"FIP-DOM-000-11304-OS00001-INA-000000")</f>
        <v>FIP-DOM-000-11304-OS00001-INA-000000</v>
      </c>
      <c r="P3647" s="6" t="str">
        <f>IFERROR(__xludf.DUMMYFUNCTION("""COMPUTED_VALUE"""),"PO Closed")</f>
        <v>PO Closed</v>
      </c>
      <c r="Q3647" s="6" t="str">
        <f>IFERROR(__xludf.DUMMYFUNCTION("""COMPUTED_VALUE"""),"GL2501308")</f>
        <v>GL2501308</v>
      </c>
      <c r="R3647" s="57">
        <f>IFERROR(__xludf.DUMMYFUNCTION("""COMPUTED_VALUE"""),45646.0)</f>
        <v>45646</v>
      </c>
      <c r="S3647" s="57">
        <f>IFERROR(__xludf.DUMMYFUNCTION("""COMPUTED_VALUE"""),45649.0)</f>
        <v>45649</v>
      </c>
      <c r="T3647" s="57">
        <f>IFERROR(__xludf.DUMMYFUNCTION("""COMPUTED_VALUE"""),45695.0)</f>
        <v>45695</v>
      </c>
    </row>
    <row r="3648">
      <c r="A3648" s="6" t="str">
        <f>IFERROR(__xludf.DUMMYFUNCTION("""COMPUTED_VALUE"""),"121702173-1")</f>
        <v>121702173-1</v>
      </c>
      <c r="B3648" s="6" t="str">
        <f>IFERROR(__xludf.DUMMYFUNCTION("""COMPUTED_VALUE"""),"121702173 - APPROVED")</f>
        <v>121702173 - APPROVED</v>
      </c>
      <c r="C3648" s="6">
        <f>IFERROR(__xludf.DUMMYFUNCTION("""COMPUTED_VALUE"""),1.0)</f>
        <v>1</v>
      </c>
      <c r="D3648" s="6" t="str">
        <f>IFERROR(__xludf.DUMMYFUNCTION("""COMPUTED_VALUE"""),"P-17390-00")</f>
        <v>P-17390-00</v>
      </c>
      <c r="E3648" s="6" t="str">
        <f>IFERROR(__xludf.DUMMYFUNCTION("""COMPUTED_VALUE"""),"PALL - AB1PFR7PVH4, 0.2 um; ; ;")</f>
        <v>PALL - AB1PFR7PVH4, 0.2 um; ; ;</v>
      </c>
      <c r="F3648" s="6">
        <f>IFERROR(__xludf.DUMMYFUNCTION("""COMPUTED_VALUE"""),2.0)</f>
        <v>2</v>
      </c>
      <c r="G3648" s="6" t="str">
        <f>IFERROR(__xludf.DUMMYFUNCTION("""COMPUTED_VALUE"""),"Pieces")</f>
        <v>Pieces</v>
      </c>
      <c r="H3648" s="6" t="str">
        <f>IFERROR(__xludf.DUMMYFUNCTION("""COMPUTED_VALUE"""),"IDR")</f>
        <v>IDR</v>
      </c>
      <c r="I3648" s="6">
        <f>IFERROR(__xludf.DUMMYFUNCTION("""COMPUTED_VALUE"""),6264000.0)</f>
        <v>6264000</v>
      </c>
      <c r="J3648" s="6">
        <f>IFERROR(__xludf.DUMMYFUNCTION("""COMPUTED_VALUE"""),1.2528E7)</f>
        <v>12528000</v>
      </c>
      <c r="K3648" s="57">
        <f>IFERROR(__xludf.DUMMYFUNCTION("""COMPUTED_VALUE"""),45648.0)</f>
        <v>45648</v>
      </c>
      <c r="L3648" s="6" t="str">
        <f>IFERROR(__xludf.DUMMYFUNCTION("""COMPUTED_VALUE"""),"FIP Engineering")</f>
        <v>FIP Engineering</v>
      </c>
      <c r="M3648" s="6" t="str">
        <f>IFERROR(__xludf.DUMMYFUNCTION("""COMPUTED_VALUE"""),"Mochammad Fadhillah Hakim,")</f>
        <v>Mochammad Fadhillah Hakim,</v>
      </c>
      <c r="N3648" s="6" t="str">
        <f>IFERROR(__xludf.DUMMYFUNCTION("""COMPUTED_VALUE"""),"FIP Engineering")</f>
        <v>FIP Engineering</v>
      </c>
      <c r="O3648" s="6" t="str">
        <f>IFERROR(__xludf.DUMMYFUNCTION("""COMPUTED_VALUE"""),"FIP-DOM-000-11304-OS00001-INA-000000")</f>
        <v>FIP-DOM-000-11304-OS00001-INA-000000</v>
      </c>
      <c r="P3648" s="6" t="str">
        <f>IFERROR(__xludf.DUMMYFUNCTION("""COMPUTED_VALUE"""),"PO Closed")</f>
        <v>PO Closed</v>
      </c>
      <c r="Q3648" s="6" t="str">
        <f>IFERROR(__xludf.DUMMYFUNCTION("""COMPUTED_VALUE"""),"GL2501024")</f>
        <v>GL2501024</v>
      </c>
      <c r="R3648" s="57">
        <f>IFERROR(__xludf.DUMMYFUNCTION("""COMPUTED_VALUE"""),45646.0)</f>
        <v>45646</v>
      </c>
      <c r="S3648" s="57">
        <f>IFERROR(__xludf.DUMMYFUNCTION("""COMPUTED_VALUE"""),45649.0)</f>
        <v>45649</v>
      </c>
      <c r="T3648" s="57">
        <f>IFERROR(__xludf.DUMMYFUNCTION("""COMPUTED_VALUE"""),45680.0)</f>
        <v>45680</v>
      </c>
    </row>
    <row r="3649">
      <c r="A3649" s="6" t="str">
        <f>IFERROR(__xludf.DUMMYFUNCTION("""COMPUTED_VALUE"""),"121702177-1")</f>
        <v>121702177-1</v>
      </c>
      <c r="B3649" s="6" t="str">
        <f>IFERROR(__xludf.DUMMYFUNCTION("""COMPUTED_VALUE"""),"121702177 - APPROVED")</f>
        <v>121702177 - APPROVED</v>
      </c>
      <c r="C3649" s="6">
        <f>IFERROR(__xludf.DUMMYFUNCTION("""COMPUTED_VALUE"""),1.0)</f>
        <v>1</v>
      </c>
      <c r="D3649" s="6" t="str">
        <f>IFERROR(__xludf.DUMMYFUNCTION("""COMPUTED_VALUE"""),"O-53155-00")</f>
        <v>O-53155-00</v>
      </c>
      <c r="E3649" s="6" t="str">
        <f>IFERROR(__xludf.DUMMYFUNCTION("""COMPUTED_VALUE"""),"General - Logoscreen 601; JUMO; 706521/08-114-23/000; 1 Pc")</f>
        <v>General - Logoscreen 601; JUMO; 706521/08-114-23/000; 1 Pc</v>
      </c>
      <c r="F3649" s="6">
        <f>IFERROR(__xludf.DUMMYFUNCTION("""COMPUTED_VALUE"""),1.0)</f>
        <v>1</v>
      </c>
      <c r="G3649" s="6" t="str">
        <f>IFERROR(__xludf.DUMMYFUNCTION("""COMPUTED_VALUE"""),"Pieces")</f>
        <v>Pieces</v>
      </c>
      <c r="H3649" s="6" t="str">
        <f>IFERROR(__xludf.DUMMYFUNCTION("""COMPUTED_VALUE"""),"IDR")</f>
        <v>IDR</v>
      </c>
      <c r="I3649" s="6">
        <f>IFERROR(__xludf.DUMMYFUNCTION("""COMPUTED_VALUE"""),2.7E7)</f>
        <v>27000000</v>
      </c>
      <c r="J3649" s="6">
        <f>IFERROR(__xludf.DUMMYFUNCTION("""COMPUTED_VALUE"""),2.7E7)</f>
        <v>27000000</v>
      </c>
      <c r="K3649" s="57">
        <f>IFERROR(__xludf.DUMMYFUNCTION("""COMPUTED_VALUE"""),45651.0)</f>
        <v>45651</v>
      </c>
      <c r="L3649" s="6" t="str">
        <f>IFERROR(__xludf.DUMMYFUNCTION("""COMPUTED_VALUE"""),"FIP Engineering")</f>
        <v>FIP Engineering</v>
      </c>
      <c r="M3649" s="6" t="str">
        <f>IFERROR(__xludf.DUMMYFUNCTION("""COMPUTED_VALUE"""),"Mochammad Fadhillah Hakim,")</f>
        <v>Mochammad Fadhillah Hakim,</v>
      </c>
      <c r="N3649" s="6" t="str">
        <f>IFERROR(__xludf.DUMMYFUNCTION("""COMPUTED_VALUE"""),"FIP Engineering")</f>
        <v>FIP Engineering</v>
      </c>
      <c r="O3649" s="6" t="str">
        <f>IFERROR(__xludf.DUMMYFUNCTION("""COMPUTED_VALUE"""),"FIP-DOM-000-11304-OS00001-INA-000000")</f>
        <v>FIP-DOM-000-11304-OS00001-INA-000000</v>
      </c>
      <c r="P3649" s="6" t="str">
        <f>IFERROR(__xludf.DUMMYFUNCTION("""COMPUTED_VALUE"""),"PO Closed")</f>
        <v>PO Closed</v>
      </c>
      <c r="Q3649" s="6" t="str">
        <f>IFERROR(__xludf.DUMMYFUNCTION("""COMPUTED_VALUE"""),"GL2502037")</f>
        <v>GL2502037</v>
      </c>
      <c r="R3649" s="57">
        <f>IFERROR(__xludf.DUMMYFUNCTION("""COMPUTED_VALUE"""),45649.0)</f>
        <v>45649</v>
      </c>
      <c r="S3649" s="57">
        <f>IFERROR(__xludf.DUMMYFUNCTION("""COMPUTED_VALUE"""),45656.0)</f>
        <v>45656</v>
      </c>
      <c r="T3649" s="57">
        <f>IFERROR(__xludf.DUMMYFUNCTION("""COMPUTED_VALUE"""),45741.0)</f>
        <v>45741</v>
      </c>
    </row>
    <row r="3650">
      <c r="A3650" s="6" t="str">
        <f>IFERROR(__xludf.DUMMYFUNCTION("""COMPUTED_VALUE"""),"121702182-1")</f>
        <v>121702182-1</v>
      </c>
      <c r="B3650" s="6" t="str">
        <f>IFERROR(__xludf.DUMMYFUNCTION("""COMPUTED_VALUE"""),"121702182 - APPROVED")</f>
        <v>121702182 - APPROVED</v>
      </c>
      <c r="C3650" s="6">
        <f>IFERROR(__xludf.DUMMYFUNCTION("""COMPUTED_VALUE"""),1.0)</f>
        <v>1</v>
      </c>
      <c r="D3650" s="6" t="str">
        <f>IFERROR(__xludf.DUMMYFUNCTION("""COMPUTED_VALUE"""),"S-60002-00")</f>
        <v>S-60002-00</v>
      </c>
      <c r="E3650" s="6" t="str">
        <f>IFERROR(__xludf.DUMMYFUNCTION("""COMPUTED_VALUE"""),"Jasa Perbaikan dan Pemeliharaan Mesin Utility - Perbaikan Power Board WICC")</f>
        <v>Jasa Perbaikan dan Pemeliharaan Mesin Utility - Perbaikan Power Board WICC</v>
      </c>
      <c r="F3650" s="6">
        <f>IFERROR(__xludf.DUMMYFUNCTION("""COMPUTED_VALUE"""),1.0)</f>
        <v>1</v>
      </c>
      <c r="G3650" s="6" t="str">
        <f>IFERROR(__xludf.DUMMYFUNCTION("""COMPUTED_VALUE"""),"Lot")</f>
        <v>Lot</v>
      </c>
      <c r="H3650" s="6" t="str">
        <f>IFERROR(__xludf.DUMMYFUNCTION("""COMPUTED_VALUE"""),"IDR")</f>
        <v>IDR</v>
      </c>
      <c r="I3650" s="6">
        <f>IFERROR(__xludf.DUMMYFUNCTION("""COMPUTED_VALUE"""),1764632.0)</f>
        <v>1764632</v>
      </c>
      <c r="J3650" s="6">
        <f>IFERROR(__xludf.DUMMYFUNCTION("""COMPUTED_VALUE"""),1764632.0)</f>
        <v>1764632</v>
      </c>
      <c r="K3650" s="57">
        <f>IFERROR(__xludf.DUMMYFUNCTION("""COMPUTED_VALUE"""),45654.0)</f>
        <v>45654</v>
      </c>
      <c r="L3650" s="6" t="str">
        <f>IFERROR(__xludf.DUMMYFUNCTION("""COMPUTED_VALUE"""),"FIP General")</f>
        <v>FIP General</v>
      </c>
      <c r="M3650" s="6" t="str">
        <f>IFERROR(__xludf.DUMMYFUNCTION("""COMPUTED_VALUE"""),"Mochammad Fadhillah Hakim,")</f>
        <v>Mochammad Fadhillah Hakim,</v>
      </c>
      <c r="N3650" s="6" t="str">
        <f>IFERROR(__xludf.DUMMYFUNCTION("""COMPUTED_VALUE"""),"FIP Engineering")</f>
        <v>FIP Engineering</v>
      </c>
      <c r="O3650" s="6" t="str">
        <f>IFERROR(__xludf.DUMMYFUNCTION("""COMPUTED_VALUE"""),"FIP-DOM-ENG-51508-0000000-INA-000000")</f>
        <v>FIP-DOM-ENG-51508-0000000-INA-000000</v>
      </c>
      <c r="P3650" s="6" t="str">
        <f>IFERROR(__xludf.DUMMYFUNCTION("""COMPUTED_VALUE"""),"PO Closed")</f>
        <v>PO Closed</v>
      </c>
      <c r="Q3650" s="6" t="str">
        <f>IFERROR(__xludf.DUMMYFUNCTION("""COMPUTED_VALUE"""),"GL2501034")</f>
        <v>GL2501034</v>
      </c>
      <c r="R3650" s="57">
        <f>IFERROR(__xludf.DUMMYFUNCTION("""COMPUTED_VALUE"""),45652.0)</f>
        <v>45652</v>
      </c>
      <c r="S3650" s="57">
        <f>IFERROR(__xludf.DUMMYFUNCTION("""COMPUTED_VALUE"""),45653.0)</f>
        <v>45653</v>
      </c>
      <c r="T3650" s="57">
        <f>IFERROR(__xludf.DUMMYFUNCTION("""COMPUTED_VALUE"""),45723.0)</f>
        <v>45723</v>
      </c>
    </row>
    <row r="3651">
      <c r="A3651" s="6" t="str">
        <f>IFERROR(__xludf.DUMMYFUNCTION("""COMPUTED_VALUE"""),"121702183-1")</f>
        <v>121702183-1</v>
      </c>
      <c r="B3651" s="6" t="str">
        <f>IFERROR(__xludf.DUMMYFUNCTION("""COMPUTED_VALUE"""),"121702183 - APPROVED")</f>
        <v>121702183 - APPROVED</v>
      </c>
      <c r="C3651" s="6">
        <f>IFERROR(__xludf.DUMMYFUNCTION("""COMPUTED_VALUE"""),1.0)</f>
        <v>1</v>
      </c>
      <c r="D3651" s="6" t="str">
        <f>IFERROR(__xludf.DUMMYFUNCTION("""COMPUTED_VALUE"""),"S-60002-00")</f>
        <v>S-60002-00</v>
      </c>
      <c r="E3651" s="6" t="str">
        <f>IFERROR(__xludf.DUMMYFUNCTION("""COMPUTED_VALUE"""),"Jasa Perbaikan dan Pemeliharaan Mesin Utility - Perbaikan WIHC 2 Evaporator dan Compressor 2")</f>
        <v>Jasa Perbaikan dan Pemeliharaan Mesin Utility - Perbaikan WIHC 2 Evaporator dan Compressor 2</v>
      </c>
      <c r="F3651" s="6">
        <f>IFERROR(__xludf.DUMMYFUNCTION("""COMPUTED_VALUE"""),1.0)</f>
        <v>1</v>
      </c>
      <c r="G3651" s="6" t="str">
        <f>IFERROR(__xludf.DUMMYFUNCTION("""COMPUTED_VALUE"""),"Lot")</f>
        <v>Lot</v>
      </c>
      <c r="H3651" s="6" t="str">
        <f>IFERROR(__xludf.DUMMYFUNCTION("""COMPUTED_VALUE"""),"IDR")</f>
        <v>IDR</v>
      </c>
      <c r="I3651" s="6">
        <f>IFERROR(__xludf.DUMMYFUNCTION("""COMPUTED_VALUE"""),8000000.0)</f>
        <v>8000000</v>
      </c>
      <c r="J3651" s="6">
        <f>IFERROR(__xludf.DUMMYFUNCTION("""COMPUTED_VALUE"""),8000000.0)</f>
        <v>8000000</v>
      </c>
      <c r="K3651" s="57">
        <f>IFERROR(__xludf.DUMMYFUNCTION("""COMPUTED_VALUE"""),45654.0)</f>
        <v>45654</v>
      </c>
      <c r="L3651" s="6" t="str">
        <f>IFERROR(__xludf.DUMMYFUNCTION("""COMPUTED_VALUE"""),"FIP General")</f>
        <v>FIP General</v>
      </c>
      <c r="M3651" s="6" t="str">
        <f>IFERROR(__xludf.DUMMYFUNCTION("""COMPUTED_VALUE"""),"Mochammad Fadhillah Hakim,")</f>
        <v>Mochammad Fadhillah Hakim,</v>
      </c>
      <c r="N3651" s="6" t="str">
        <f>IFERROR(__xludf.DUMMYFUNCTION("""COMPUTED_VALUE"""),"FIP Engineering")</f>
        <v>FIP Engineering</v>
      </c>
      <c r="O3651" s="6" t="str">
        <f>IFERROR(__xludf.DUMMYFUNCTION("""COMPUTED_VALUE"""),"FIP-DOM-ENG-51508-0000000-INA-000000")</f>
        <v>FIP-DOM-ENG-51508-0000000-INA-000000</v>
      </c>
      <c r="P3651" s="6" t="str">
        <f>IFERROR(__xludf.DUMMYFUNCTION("""COMPUTED_VALUE"""),"PO Closed")</f>
        <v>PO Closed</v>
      </c>
      <c r="Q3651" s="6"/>
      <c r="R3651" s="57">
        <f>IFERROR(__xludf.DUMMYFUNCTION("""COMPUTED_VALUE"""),45652.0)</f>
        <v>45652</v>
      </c>
      <c r="S3651" s="57">
        <f>IFERROR(__xludf.DUMMYFUNCTION("""COMPUTED_VALUE"""),45656.0)</f>
        <v>45656</v>
      </c>
      <c r="T3651" s="6"/>
    </row>
    <row r="3652">
      <c r="A3652" s="6" t="str">
        <f>IFERROR(__xludf.DUMMYFUNCTION("""COMPUTED_VALUE"""),"121702201-1")</f>
        <v>121702201-1</v>
      </c>
      <c r="B3652" s="6" t="str">
        <f>IFERROR(__xludf.DUMMYFUNCTION("""COMPUTED_VALUE"""),"121702201 - APPROVED")</f>
        <v>121702201 - APPROVED</v>
      </c>
      <c r="C3652" s="6">
        <f>IFERROR(__xludf.DUMMYFUNCTION("""COMPUTED_VALUE"""),1.0)</f>
        <v>1</v>
      </c>
      <c r="D3652" s="6"/>
      <c r="E3652" s="6" t="str">
        <f>IFERROR(__xludf.DUMMYFUNCTION("""COMPUTED_VALUE"""),"IONPURE CEDI MODULE - IP-LXM30X-4")</f>
        <v>IONPURE CEDI MODULE - IP-LXM30X-4</v>
      </c>
      <c r="F3652" s="6">
        <f>IFERROR(__xludf.DUMMYFUNCTION("""COMPUTED_VALUE"""),1.0)</f>
        <v>1</v>
      </c>
      <c r="G3652" s="6" t="str">
        <f>IFERROR(__xludf.DUMMYFUNCTION("""COMPUTED_VALUE"""),"Pieces")</f>
        <v>Pieces</v>
      </c>
      <c r="H3652" s="6" t="str">
        <f>IFERROR(__xludf.DUMMYFUNCTION("""COMPUTED_VALUE"""),"IDR")</f>
        <v>IDR</v>
      </c>
      <c r="I3652" s="6">
        <f>IFERROR(__xludf.DUMMYFUNCTION("""COMPUTED_VALUE"""),1.718088E8)</f>
        <v>171808800</v>
      </c>
      <c r="J3652" s="6">
        <f>IFERROR(__xludf.DUMMYFUNCTION("""COMPUTED_VALUE"""),1.718088E8)</f>
        <v>171808800</v>
      </c>
      <c r="K3652" s="57">
        <f>IFERROR(__xludf.DUMMYFUNCTION("""COMPUTED_VALUE"""),45662.0)</f>
        <v>45662</v>
      </c>
      <c r="L3652" s="6" t="str">
        <f>IFERROR(__xludf.DUMMYFUNCTION("""COMPUTED_VALUE"""),"FIP General")</f>
        <v>FIP General</v>
      </c>
      <c r="M3652" s="6" t="str">
        <f>IFERROR(__xludf.DUMMYFUNCTION("""COMPUTED_VALUE"""),"Mochammad Fadhillah Hakim,")</f>
        <v>Mochammad Fadhillah Hakim,</v>
      </c>
      <c r="N3652" s="6" t="str">
        <f>IFERROR(__xludf.DUMMYFUNCTION("""COMPUTED_VALUE"""),"FIP Engineering")</f>
        <v>FIP Engineering</v>
      </c>
      <c r="O3652" s="6" t="str">
        <f>IFERROR(__xludf.DUMMYFUNCTION("""COMPUTED_VALUE"""),"FIP-DOM-ENG-13405-EQ25003-INA-000000")</f>
        <v>FIP-DOM-ENG-13405-EQ25003-INA-000000</v>
      </c>
      <c r="P3652" s="6" t="str">
        <f>IFERROR(__xludf.DUMMYFUNCTION("""COMPUTED_VALUE"""),"PO Closed")</f>
        <v>PO Closed</v>
      </c>
      <c r="Q3652" s="6" t="str">
        <f>IFERROR(__xludf.DUMMYFUNCTION("""COMPUTED_VALUE"""),"GL2502011")</f>
        <v>GL2502011</v>
      </c>
      <c r="R3652" s="57">
        <f>IFERROR(__xludf.DUMMYFUNCTION("""COMPUTED_VALUE"""),45660.0)</f>
        <v>45660</v>
      </c>
      <c r="S3652" s="57">
        <f>IFERROR(__xludf.DUMMYFUNCTION("""COMPUTED_VALUE"""),45660.0)</f>
        <v>45660</v>
      </c>
      <c r="T3652" s="57">
        <f>IFERROR(__xludf.DUMMYFUNCTION("""COMPUTED_VALUE"""),45768.0)</f>
        <v>45768</v>
      </c>
    </row>
    <row r="3653">
      <c r="A3653" s="6" t="str">
        <f>IFERROR(__xludf.DUMMYFUNCTION("""COMPUTED_VALUE"""),"121702204-1")</f>
        <v>121702204-1</v>
      </c>
      <c r="B3653" s="6" t="str">
        <f>IFERROR(__xludf.DUMMYFUNCTION("""COMPUTED_VALUE"""),"121702204 - APPROVED")</f>
        <v>121702204 - APPROVED</v>
      </c>
      <c r="C3653" s="6">
        <f>IFERROR(__xludf.DUMMYFUNCTION("""COMPUTED_VALUE"""),1.0)</f>
        <v>1</v>
      </c>
      <c r="D3653" s="6" t="str">
        <f>IFERROR(__xludf.DUMMYFUNCTION("""COMPUTED_VALUE"""),"S-60002-00")</f>
        <v>S-60002-00</v>
      </c>
      <c r="E3653" s="6" t="str">
        <f>IFERROR(__xludf.DUMMYFUNCTION("""COMPUTED_VALUE"""),"Jasa Perbaikan dan Pemeliharaan Mesin Utility")</f>
        <v>Jasa Perbaikan dan Pemeliharaan Mesin Utility</v>
      </c>
      <c r="F3653" s="6">
        <f>IFERROR(__xludf.DUMMYFUNCTION("""COMPUTED_VALUE"""),1.0)</f>
        <v>1</v>
      </c>
      <c r="G3653" s="6" t="str">
        <f>IFERROR(__xludf.DUMMYFUNCTION("""COMPUTED_VALUE"""),"Lot")</f>
        <v>Lot</v>
      </c>
      <c r="H3653" s="6" t="str">
        <f>IFERROR(__xludf.DUMMYFUNCTION("""COMPUTED_VALUE"""),"IDR")</f>
        <v>IDR</v>
      </c>
      <c r="I3653" s="6">
        <f>IFERROR(__xludf.DUMMYFUNCTION("""COMPUTED_VALUE"""),3.975E7)</f>
        <v>39750000</v>
      </c>
      <c r="J3653" s="6">
        <f>IFERROR(__xludf.DUMMYFUNCTION("""COMPUTED_VALUE"""),3.975E7)</f>
        <v>39750000</v>
      </c>
      <c r="K3653" s="57">
        <f>IFERROR(__xludf.DUMMYFUNCTION("""COMPUTED_VALUE"""),45662.0)</f>
        <v>45662</v>
      </c>
      <c r="L3653" s="6" t="str">
        <f>IFERROR(__xludf.DUMMYFUNCTION("""COMPUTED_VALUE"""),"FIP General")</f>
        <v>FIP General</v>
      </c>
      <c r="M3653" s="6" t="str">
        <f>IFERROR(__xludf.DUMMYFUNCTION("""COMPUTED_VALUE"""),"Mochammad Fadhillah Hakim,")</f>
        <v>Mochammad Fadhillah Hakim,</v>
      </c>
      <c r="N3653" s="6" t="str">
        <f>IFERROR(__xludf.DUMMYFUNCTION("""COMPUTED_VALUE"""),"FIP Engineering")</f>
        <v>FIP Engineering</v>
      </c>
      <c r="O3653" s="6" t="str">
        <f>IFERROR(__xludf.DUMMYFUNCTION("""COMPUTED_VALUE"""),"FIP-DOM-ENG-51508-0000000-INA-000000")</f>
        <v>FIP-DOM-ENG-51508-0000000-INA-000000</v>
      </c>
      <c r="P3653" s="6" t="str">
        <f>IFERROR(__xludf.DUMMYFUNCTION("""COMPUTED_VALUE"""),"PO Closed")</f>
        <v>PO Closed</v>
      </c>
      <c r="Q3653" s="6"/>
      <c r="R3653" s="57">
        <f>IFERROR(__xludf.DUMMYFUNCTION("""COMPUTED_VALUE"""),45660.0)</f>
        <v>45660</v>
      </c>
      <c r="S3653" s="57">
        <f>IFERROR(__xludf.DUMMYFUNCTION("""COMPUTED_VALUE"""),45660.0)</f>
        <v>45660</v>
      </c>
      <c r="T3653" s="6"/>
    </row>
    <row r="3654">
      <c r="A3654" s="6" t="str">
        <f>IFERROR(__xludf.DUMMYFUNCTION("""COMPUTED_VALUE"""),"121702205-1")</f>
        <v>121702205-1</v>
      </c>
      <c r="B3654" s="6" t="str">
        <f>IFERROR(__xludf.DUMMYFUNCTION("""COMPUTED_VALUE"""),"121702205 - APPROVED")</f>
        <v>121702205 - APPROVED</v>
      </c>
      <c r="C3654" s="6">
        <f>IFERROR(__xludf.DUMMYFUNCTION("""COMPUTED_VALUE"""),1.0)</f>
        <v>1</v>
      </c>
      <c r="D3654" s="6" t="str">
        <f>IFERROR(__xludf.DUMMYFUNCTION("""COMPUTED_VALUE"""),"O-54171-00")</f>
        <v>O-54171-00</v>
      </c>
      <c r="E3654" s="6" t="str">
        <f>IFERROR(__xludf.DUMMYFUNCTION("""COMPUTED_VALUE"""),"Service Push Button With Plug; Melchers; ENG-SEI-42-057679-00;")</f>
        <v>Service Push Button With Plug; Melchers; ENG-SEI-42-057679-00;</v>
      </c>
      <c r="F3654" s="6">
        <f>IFERROR(__xludf.DUMMYFUNCTION("""COMPUTED_VALUE"""),1.0)</f>
        <v>1</v>
      </c>
      <c r="G3654" s="6" t="str">
        <f>IFERROR(__xludf.DUMMYFUNCTION("""COMPUTED_VALUE"""),"Set")</f>
        <v>Set</v>
      </c>
      <c r="H3654" s="6" t="str">
        <f>IFERROR(__xludf.DUMMYFUNCTION("""COMPUTED_VALUE"""),"IDR")</f>
        <v>IDR</v>
      </c>
      <c r="I3654" s="6">
        <f>IFERROR(__xludf.DUMMYFUNCTION("""COMPUTED_VALUE"""),2.55E7)</f>
        <v>25500000</v>
      </c>
      <c r="J3654" s="6">
        <f>IFERROR(__xludf.DUMMYFUNCTION("""COMPUTED_VALUE"""),2.55E7)</f>
        <v>25500000</v>
      </c>
      <c r="K3654" s="57">
        <f>IFERROR(__xludf.DUMMYFUNCTION("""COMPUTED_VALUE"""),45662.0)</f>
        <v>45662</v>
      </c>
      <c r="L3654" s="6" t="str">
        <f>IFERROR(__xludf.DUMMYFUNCTION("""COMPUTED_VALUE"""),"FIP Engineering")</f>
        <v>FIP Engineering</v>
      </c>
      <c r="M3654" s="6" t="str">
        <f>IFERROR(__xludf.DUMMYFUNCTION("""COMPUTED_VALUE"""),"Mochammad Fadhillah Hakim,")</f>
        <v>Mochammad Fadhillah Hakim,</v>
      </c>
      <c r="N3654" s="6" t="str">
        <f>IFERROR(__xludf.DUMMYFUNCTION("""COMPUTED_VALUE"""),"FIP Engineering")</f>
        <v>FIP Engineering</v>
      </c>
      <c r="O3654" s="6" t="str">
        <f>IFERROR(__xludf.DUMMYFUNCTION("""COMPUTED_VALUE"""),"FIP-DOM-000-11304-OS00001-INA-000000")</f>
        <v>FIP-DOM-000-11304-OS00001-INA-000000</v>
      </c>
      <c r="P3654" s="6" t="str">
        <f>IFERROR(__xludf.DUMMYFUNCTION("""COMPUTED_VALUE"""),"PO Closed")</f>
        <v>PO Closed</v>
      </c>
      <c r="Q3654" s="6" t="str">
        <f>IFERROR(__xludf.DUMMYFUNCTION("""COMPUTED_VALUE"""),"GL2503003")</f>
        <v>GL2503003</v>
      </c>
      <c r="R3654" s="57">
        <f>IFERROR(__xludf.DUMMYFUNCTION("""COMPUTED_VALUE"""),45660.0)</f>
        <v>45660</v>
      </c>
      <c r="S3654" s="57">
        <f>IFERROR(__xludf.DUMMYFUNCTION("""COMPUTED_VALUE"""),45660.0)</f>
        <v>45660</v>
      </c>
      <c r="T3654" s="57">
        <f>IFERROR(__xludf.DUMMYFUNCTION("""COMPUTED_VALUE"""),45853.0)</f>
        <v>45853</v>
      </c>
    </row>
    <row r="3655">
      <c r="A3655" s="6" t="str">
        <f>IFERROR(__xludf.DUMMYFUNCTION("""COMPUTED_VALUE"""),"121702229-1")</f>
        <v>121702229-1</v>
      </c>
      <c r="B3655" s="6" t="str">
        <f>IFERROR(__xludf.DUMMYFUNCTION("""COMPUTED_VALUE"""),"121702229 - APPROVED")</f>
        <v>121702229 - APPROVED</v>
      </c>
      <c r="C3655" s="6">
        <f>IFERROR(__xludf.DUMMYFUNCTION("""COMPUTED_VALUE"""),1.0)</f>
        <v>1</v>
      </c>
      <c r="D3655" s="6" t="str">
        <f>IFERROR(__xludf.DUMMYFUNCTION("""COMPUTED_VALUE"""),"P-19512-00")</f>
        <v>P-19512-00</v>
      </c>
      <c r="E3655" s="6" t="str">
        <f>IFERROR(__xludf.DUMMYFUNCTION("""COMPUTED_VALUE"""),"General - Karet Pintu Kaca Strip Silikon H 10mm; Lokal; -; 1 meter")</f>
        <v>General - Karet Pintu Kaca Strip Silikon H 10mm; Lokal; -; 1 meter</v>
      </c>
      <c r="F3655" s="6">
        <f>IFERROR(__xludf.DUMMYFUNCTION("""COMPUTED_VALUE"""),40.0)</f>
        <v>40</v>
      </c>
      <c r="G3655" s="6" t="str">
        <f>IFERROR(__xludf.DUMMYFUNCTION("""COMPUTED_VALUE"""),"Meter")</f>
        <v>Meter</v>
      </c>
      <c r="H3655" s="6" t="str">
        <f>IFERROR(__xludf.DUMMYFUNCTION("""COMPUTED_VALUE"""),"IDR")</f>
        <v>IDR</v>
      </c>
      <c r="I3655" s="6">
        <f>IFERROR(__xludf.DUMMYFUNCTION("""COMPUTED_VALUE"""),30000.0)</f>
        <v>30000</v>
      </c>
      <c r="J3655" s="6">
        <f>IFERROR(__xludf.DUMMYFUNCTION("""COMPUTED_VALUE"""),1200000.0)</f>
        <v>1200000</v>
      </c>
      <c r="K3655" s="57">
        <f>IFERROR(__xludf.DUMMYFUNCTION("""COMPUTED_VALUE"""),45668.0)</f>
        <v>45668</v>
      </c>
      <c r="L3655" s="6" t="str">
        <f>IFERROR(__xludf.DUMMYFUNCTION("""COMPUTED_VALUE"""),"FIP Engineering")</f>
        <v>FIP Engineering</v>
      </c>
      <c r="M3655" s="6" t="str">
        <f>IFERROR(__xludf.DUMMYFUNCTION("""COMPUTED_VALUE"""),"Mochammad Fadhillah Hakim,")</f>
        <v>Mochammad Fadhillah Hakim,</v>
      </c>
      <c r="N3655" s="6" t="str">
        <f>IFERROR(__xludf.DUMMYFUNCTION("""COMPUTED_VALUE"""),"FIP Engineering")</f>
        <v>FIP Engineering</v>
      </c>
      <c r="O3655" s="6" t="str">
        <f>IFERROR(__xludf.DUMMYFUNCTION("""COMPUTED_VALUE"""),"FIP-DOM-000-11304-OS00001-INA-000000")</f>
        <v>FIP-DOM-000-11304-OS00001-INA-000000</v>
      </c>
      <c r="P3655" s="6" t="str">
        <f>IFERROR(__xludf.DUMMYFUNCTION("""COMPUTED_VALUE"""),"PO Closed")</f>
        <v>PO Closed</v>
      </c>
      <c r="Q3655" s="6" t="str">
        <f>IFERROR(__xludf.DUMMYFUNCTION("""COMPUTED_VALUE"""),"GL2502056")</f>
        <v>GL2502056</v>
      </c>
      <c r="R3655" s="57">
        <f>IFERROR(__xludf.DUMMYFUNCTION("""COMPUTED_VALUE"""),45666.0)</f>
        <v>45666</v>
      </c>
      <c r="S3655" s="57">
        <f>IFERROR(__xludf.DUMMYFUNCTION("""COMPUTED_VALUE"""),45666.0)</f>
        <v>45666</v>
      </c>
      <c r="T3655" s="57">
        <f>IFERROR(__xludf.DUMMYFUNCTION("""COMPUTED_VALUE"""),45716.0)</f>
        <v>45716</v>
      </c>
    </row>
    <row r="3656">
      <c r="A3656" s="6" t="str">
        <f>IFERROR(__xludf.DUMMYFUNCTION("""COMPUTED_VALUE"""),"121702233-1")</f>
        <v>121702233-1</v>
      </c>
      <c r="B3656" s="6" t="str">
        <f>IFERROR(__xludf.DUMMYFUNCTION("""COMPUTED_VALUE"""),"121702233 - APPROVED")</f>
        <v>121702233 - APPROVED</v>
      </c>
      <c r="C3656" s="6">
        <f>IFERROR(__xludf.DUMMYFUNCTION("""COMPUTED_VALUE"""),1.0)</f>
        <v>1</v>
      </c>
      <c r="D3656" s="6" t="str">
        <f>IFERROR(__xludf.DUMMYFUNCTION("""COMPUTED_VALUE"""),"S-60050-00")</f>
        <v>S-60050-00</v>
      </c>
      <c r="E3656" s="6" t="str">
        <f>IFERROR(__xludf.DUMMYFUNCTION("""COMPUTED_VALUE"""),"Jasa Perbaikan dan Pemeliharaan Mesin Produksi; ; ;")</f>
        <v>Jasa Perbaikan dan Pemeliharaan Mesin Produksi; ; ;</v>
      </c>
      <c r="F3656" s="6">
        <f>IFERROR(__xludf.DUMMYFUNCTION("""COMPUTED_VALUE"""),1.0)</f>
        <v>1</v>
      </c>
      <c r="G3656" s="6" t="str">
        <f>IFERROR(__xludf.DUMMYFUNCTION("""COMPUTED_VALUE"""),"Pieces")</f>
        <v>Pieces</v>
      </c>
      <c r="H3656" s="6" t="str">
        <f>IFERROR(__xludf.DUMMYFUNCTION("""COMPUTED_VALUE"""),"IDR")</f>
        <v>IDR</v>
      </c>
      <c r="I3656" s="6">
        <f>IFERROR(__xludf.DUMMYFUNCTION("""COMPUTED_VALUE"""),2.1211E7)</f>
        <v>21211000</v>
      </c>
      <c r="J3656" s="6">
        <f>IFERROR(__xludf.DUMMYFUNCTION("""COMPUTED_VALUE"""),2.1211E7)</f>
        <v>21211000</v>
      </c>
      <c r="K3656" s="57">
        <f>IFERROR(__xludf.DUMMYFUNCTION("""COMPUTED_VALUE"""),45668.0)</f>
        <v>45668</v>
      </c>
      <c r="L3656" s="6" t="str">
        <f>IFERROR(__xludf.DUMMYFUNCTION("""COMPUTED_VALUE"""),"FIP General")</f>
        <v>FIP General</v>
      </c>
      <c r="M3656" s="6" t="str">
        <f>IFERROR(__xludf.DUMMYFUNCTION("""COMPUTED_VALUE"""),"Mochammad Fadhillah Hakim,")</f>
        <v>Mochammad Fadhillah Hakim,</v>
      </c>
      <c r="N3656" s="6" t="str">
        <f>IFERROR(__xludf.DUMMYFUNCTION("""COMPUTED_VALUE"""),"FIP Engineering")</f>
        <v>FIP Engineering</v>
      </c>
      <c r="O3656" s="6" t="str">
        <f>IFERROR(__xludf.DUMMYFUNCTION("""COMPUTED_VALUE"""),"FIP-DOM-ENG-51504-0000000-INA-000000")</f>
        <v>FIP-DOM-ENG-51504-0000000-INA-000000</v>
      </c>
      <c r="P3656" s="6" t="str">
        <f>IFERROR(__xludf.DUMMYFUNCTION("""COMPUTED_VALUE"""),"PO Closed")</f>
        <v>PO Closed</v>
      </c>
      <c r="Q3656" s="6"/>
      <c r="R3656" s="57">
        <f>IFERROR(__xludf.DUMMYFUNCTION("""COMPUTED_VALUE"""),45666.0)</f>
        <v>45666</v>
      </c>
      <c r="S3656" s="57">
        <f>IFERROR(__xludf.DUMMYFUNCTION("""COMPUTED_VALUE"""),45666.0)</f>
        <v>45666</v>
      </c>
      <c r="T3656" s="6"/>
    </row>
    <row r="3657">
      <c r="A3657" s="6" t="str">
        <f>IFERROR(__xludf.DUMMYFUNCTION("""COMPUTED_VALUE"""),"121702236-1")</f>
        <v>121702236-1</v>
      </c>
      <c r="B3657" s="6" t="str">
        <f>IFERROR(__xludf.DUMMYFUNCTION("""COMPUTED_VALUE"""),"121702236 - APPROVED")</f>
        <v>121702236 - APPROVED</v>
      </c>
      <c r="C3657" s="6">
        <f>IFERROR(__xludf.DUMMYFUNCTION("""COMPUTED_VALUE"""),1.0)</f>
        <v>1</v>
      </c>
      <c r="D3657" s="6" t="str">
        <f>IFERROR(__xludf.DUMMYFUNCTION("""COMPUTED_VALUE"""),"P-54254-00")</f>
        <v>P-54254-00</v>
      </c>
      <c r="E3657" s="6" t="str">
        <f>IFERROR(__xludf.DUMMYFUNCTION("""COMPUTED_VALUE"""),"General - Control Valve DN20 with Actuator; Regin; DFCM-220X; 1 pcs")</f>
        <v>General - Control Valve DN20 with Actuator; Regin; DFCM-220X; 1 pcs</v>
      </c>
      <c r="F3657" s="6">
        <f>IFERROR(__xludf.DUMMYFUNCTION("""COMPUTED_VALUE"""),6.0)</f>
        <v>6</v>
      </c>
      <c r="G3657" s="6" t="str">
        <f>IFERROR(__xludf.DUMMYFUNCTION("""COMPUTED_VALUE"""),"Pieces")</f>
        <v>Pieces</v>
      </c>
      <c r="H3657" s="6" t="str">
        <f>IFERROR(__xludf.DUMMYFUNCTION("""COMPUTED_VALUE"""),"IDR")</f>
        <v>IDR</v>
      </c>
      <c r="I3657" s="6">
        <f>IFERROR(__xludf.DUMMYFUNCTION("""COMPUTED_VALUE"""),1365000.0)</f>
        <v>1365000</v>
      </c>
      <c r="J3657" s="6">
        <f>IFERROR(__xludf.DUMMYFUNCTION("""COMPUTED_VALUE"""),8190000.0)</f>
        <v>8190000</v>
      </c>
      <c r="K3657" s="57">
        <f>IFERROR(__xludf.DUMMYFUNCTION("""COMPUTED_VALUE"""),45668.0)</f>
        <v>45668</v>
      </c>
      <c r="L3657" s="6" t="str">
        <f>IFERROR(__xludf.DUMMYFUNCTION("""COMPUTED_VALUE"""),"FIP Engineering")</f>
        <v>FIP Engineering</v>
      </c>
      <c r="M3657" s="6" t="str">
        <f>IFERROR(__xludf.DUMMYFUNCTION("""COMPUTED_VALUE"""),"Mochammad Fadhillah Hakim,")</f>
        <v>Mochammad Fadhillah Hakim,</v>
      </c>
      <c r="N3657" s="6" t="str">
        <f>IFERROR(__xludf.DUMMYFUNCTION("""COMPUTED_VALUE"""),"FIP Engineering")</f>
        <v>FIP Engineering</v>
      </c>
      <c r="O3657" s="6" t="str">
        <f>IFERROR(__xludf.DUMMYFUNCTION("""COMPUTED_VALUE"""),"FIP-DOM-000-11304-OS00001-INA-000000")</f>
        <v>FIP-DOM-000-11304-OS00001-INA-000000</v>
      </c>
      <c r="P3657" s="6" t="str">
        <f>IFERROR(__xludf.DUMMYFUNCTION("""COMPUTED_VALUE"""),"PO Closed")</f>
        <v>PO Closed</v>
      </c>
      <c r="Q3657" s="6" t="str">
        <f>IFERROR(__xludf.DUMMYFUNCTION("""COMPUTED_VALUE"""),"GL2501047")</f>
        <v>GL2501047</v>
      </c>
      <c r="R3657" s="57">
        <f>IFERROR(__xludf.DUMMYFUNCTION("""COMPUTED_VALUE"""),45666.0)</f>
        <v>45666</v>
      </c>
      <c r="S3657" s="57">
        <f>IFERROR(__xludf.DUMMYFUNCTION("""COMPUTED_VALUE"""),45667.0)</f>
        <v>45667</v>
      </c>
      <c r="T3657" s="57">
        <f>IFERROR(__xludf.DUMMYFUNCTION("""COMPUTED_VALUE"""),45692.0)</f>
        <v>45692</v>
      </c>
    </row>
    <row r="3658">
      <c r="A3658" s="6" t="str">
        <f>IFERROR(__xludf.DUMMYFUNCTION("""COMPUTED_VALUE"""),"121702237-1")</f>
        <v>121702237-1</v>
      </c>
      <c r="B3658" s="6" t="str">
        <f>IFERROR(__xludf.DUMMYFUNCTION("""COMPUTED_VALUE"""),"121702237 - APPROVED")</f>
        <v>121702237 - APPROVED</v>
      </c>
      <c r="C3658" s="6">
        <f>IFERROR(__xludf.DUMMYFUNCTION("""COMPUTED_VALUE"""),1.0)</f>
        <v>1</v>
      </c>
      <c r="D3658" s="6" t="str">
        <f>IFERROR(__xludf.DUMMYFUNCTION("""COMPUTED_VALUE"""),"P-19484-00")</f>
        <v>P-19484-00</v>
      </c>
      <c r="E3658" s="6" t="str">
        <f>IFERROR(__xludf.DUMMYFUNCTION("""COMPUTED_VALUE"""),"General - Sliding Pintu Lift Barang Uk. 50 x 32 mm; Custom/Lokal; -; 1 Pc")</f>
        <v>General - Sliding Pintu Lift Barang Uk. 50 x 32 mm; Custom/Lokal; -; 1 Pc</v>
      </c>
      <c r="F3658" s="6">
        <f>IFERROR(__xludf.DUMMYFUNCTION("""COMPUTED_VALUE"""),50.0)</f>
        <v>50</v>
      </c>
      <c r="G3658" s="6" t="str">
        <f>IFERROR(__xludf.DUMMYFUNCTION("""COMPUTED_VALUE"""),"Pieces")</f>
        <v>Pieces</v>
      </c>
      <c r="H3658" s="6" t="str">
        <f>IFERROR(__xludf.DUMMYFUNCTION("""COMPUTED_VALUE"""),"IDR")</f>
        <v>IDR</v>
      </c>
      <c r="I3658" s="6">
        <f>IFERROR(__xludf.DUMMYFUNCTION("""COMPUTED_VALUE"""),27600.0)</f>
        <v>27600</v>
      </c>
      <c r="J3658" s="6">
        <f>IFERROR(__xludf.DUMMYFUNCTION("""COMPUTED_VALUE"""),1380000.0)</f>
        <v>1380000</v>
      </c>
      <c r="K3658" s="57">
        <f>IFERROR(__xludf.DUMMYFUNCTION("""COMPUTED_VALUE"""),45668.0)</f>
        <v>45668</v>
      </c>
      <c r="L3658" s="6" t="str">
        <f>IFERROR(__xludf.DUMMYFUNCTION("""COMPUTED_VALUE"""),"FIP Engineering")</f>
        <v>FIP Engineering</v>
      </c>
      <c r="M3658" s="6" t="str">
        <f>IFERROR(__xludf.DUMMYFUNCTION("""COMPUTED_VALUE"""),"Mochammad Fadhillah Hakim,")</f>
        <v>Mochammad Fadhillah Hakim,</v>
      </c>
      <c r="N3658" s="6" t="str">
        <f>IFERROR(__xludf.DUMMYFUNCTION("""COMPUTED_VALUE"""),"FIP Engineering")</f>
        <v>FIP Engineering</v>
      </c>
      <c r="O3658" s="6" t="str">
        <f>IFERROR(__xludf.DUMMYFUNCTION("""COMPUTED_VALUE"""),"FIP-DOM-000-11304-OS00001-INA-000000")</f>
        <v>FIP-DOM-000-11304-OS00001-INA-000000</v>
      </c>
      <c r="P3658" s="6" t="str">
        <f>IFERROR(__xludf.DUMMYFUNCTION("""COMPUTED_VALUE"""),"PO Closed")</f>
        <v>PO Closed</v>
      </c>
      <c r="Q3658" s="6" t="str">
        <f>IFERROR(__xludf.DUMMYFUNCTION("""COMPUTED_VALUE"""),"GL2502056")</f>
        <v>GL2502056</v>
      </c>
      <c r="R3658" s="57">
        <f>IFERROR(__xludf.DUMMYFUNCTION("""COMPUTED_VALUE"""),45666.0)</f>
        <v>45666</v>
      </c>
      <c r="S3658" s="57">
        <f>IFERROR(__xludf.DUMMYFUNCTION("""COMPUTED_VALUE"""),45667.0)</f>
        <v>45667</v>
      </c>
      <c r="T3658" s="57">
        <f>IFERROR(__xludf.DUMMYFUNCTION("""COMPUTED_VALUE"""),45716.0)</f>
        <v>45716</v>
      </c>
    </row>
    <row r="3659">
      <c r="A3659" s="6" t="str">
        <f>IFERROR(__xludf.DUMMYFUNCTION("""COMPUTED_VALUE"""),"121702240-1")</f>
        <v>121702240-1</v>
      </c>
      <c r="B3659" s="6" t="str">
        <f>IFERROR(__xludf.DUMMYFUNCTION("""COMPUTED_VALUE"""),"121702240 - APPROVED")</f>
        <v>121702240 - APPROVED</v>
      </c>
      <c r="C3659" s="6">
        <f>IFERROR(__xludf.DUMMYFUNCTION("""COMPUTED_VALUE"""),1.0)</f>
        <v>1</v>
      </c>
      <c r="D3659" s="6" t="str">
        <f>IFERROR(__xludf.DUMMYFUNCTION("""COMPUTED_VALUE"""),"P-19483-00")</f>
        <v>P-19483-00</v>
      </c>
      <c r="E3659" s="6" t="str">
        <f>IFERROR(__xludf.DUMMYFUNCTION("""COMPUTED_VALUE"""),"General - Float Vent 1/2 Inch; Yoshitake; TA-22; 1 Pc")</f>
        <v>General - Float Vent 1/2 Inch; Yoshitake; TA-22; 1 Pc</v>
      </c>
      <c r="F3659" s="6">
        <f>IFERROR(__xludf.DUMMYFUNCTION("""COMPUTED_VALUE"""),4.0)</f>
        <v>4</v>
      </c>
      <c r="G3659" s="6" t="str">
        <f>IFERROR(__xludf.DUMMYFUNCTION("""COMPUTED_VALUE"""),"Pieces")</f>
        <v>Pieces</v>
      </c>
      <c r="H3659" s="6" t="str">
        <f>IFERROR(__xludf.DUMMYFUNCTION("""COMPUTED_VALUE"""),"IDR")</f>
        <v>IDR</v>
      </c>
      <c r="I3659" s="6">
        <f>IFERROR(__xludf.DUMMYFUNCTION("""COMPUTED_VALUE"""),1620000.0)</f>
        <v>1620000</v>
      </c>
      <c r="J3659" s="6">
        <f>IFERROR(__xludf.DUMMYFUNCTION("""COMPUTED_VALUE"""),6480000.0)</f>
        <v>6480000</v>
      </c>
      <c r="K3659" s="57">
        <f>IFERROR(__xludf.DUMMYFUNCTION("""COMPUTED_VALUE"""),45668.0)</f>
        <v>45668</v>
      </c>
      <c r="L3659" s="6" t="str">
        <f>IFERROR(__xludf.DUMMYFUNCTION("""COMPUTED_VALUE"""),"FIP Engineering")</f>
        <v>FIP Engineering</v>
      </c>
      <c r="M3659" s="6" t="str">
        <f>IFERROR(__xludf.DUMMYFUNCTION("""COMPUTED_VALUE"""),"Mochammad Fadhillah Hakim,")</f>
        <v>Mochammad Fadhillah Hakim,</v>
      </c>
      <c r="N3659" s="6" t="str">
        <f>IFERROR(__xludf.DUMMYFUNCTION("""COMPUTED_VALUE"""),"FIP Engineering")</f>
        <v>FIP Engineering</v>
      </c>
      <c r="O3659" s="6" t="str">
        <f>IFERROR(__xludf.DUMMYFUNCTION("""COMPUTED_VALUE"""),"FIP-DOM-000-11304-OS00001-INA-000000")</f>
        <v>FIP-DOM-000-11304-OS00001-INA-000000</v>
      </c>
      <c r="P3659" s="6" t="str">
        <f>IFERROR(__xludf.DUMMYFUNCTION("""COMPUTED_VALUE"""),"PO Closed")</f>
        <v>PO Closed</v>
      </c>
      <c r="Q3659" s="6" t="str">
        <f>IFERROR(__xludf.DUMMYFUNCTION("""COMPUTED_VALUE"""),"GL2502056")</f>
        <v>GL2502056</v>
      </c>
      <c r="R3659" s="57">
        <f>IFERROR(__xludf.DUMMYFUNCTION("""COMPUTED_VALUE"""),45666.0)</f>
        <v>45666</v>
      </c>
      <c r="S3659" s="57">
        <f>IFERROR(__xludf.DUMMYFUNCTION("""COMPUTED_VALUE"""),45667.0)</f>
        <v>45667</v>
      </c>
      <c r="T3659" s="57">
        <f>IFERROR(__xludf.DUMMYFUNCTION("""COMPUTED_VALUE"""),45719.0)</f>
        <v>45719</v>
      </c>
    </row>
    <row r="3660">
      <c r="A3660" s="6" t="str">
        <f>IFERROR(__xludf.DUMMYFUNCTION("""COMPUTED_VALUE"""),"121702242-1")</f>
        <v>121702242-1</v>
      </c>
      <c r="B3660" s="6" t="str">
        <f>IFERROR(__xludf.DUMMYFUNCTION("""COMPUTED_VALUE"""),"121702242 - APPROVED")</f>
        <v>121702242 - APPROVED</v>
      </c>
      <c r="C3660" s="6">
        <f>IFERROR(__xludf.DUMMYFUNCTION("""COMPUTED_VALUE"""),1.0)</f>
        <v>1</v>
      </c>
      <c r="D3660" s="6"/>
      <c r="E3660" s="6" t="str">
        <f>IFERROR(__xludf.DUMMYFUNCTION("""COMPUTED_VALUE"""),"ThinkpadE14 Gen6 Intel")</f>
        <v>ThinkpadE14 Gen6 Intel</v>
      </c>
      <c r="F3660" s="6">
        <f>IFERROR(__xludf.DUMMYFUNCTION("""COMPUTED_VALUE"""),1.0)</f>
        <v>1</v>
      </c>
      <c r="G3660" s="6" t="str">
        <f>IFERROR(__xludf.DUMMYFUNCTION("""COMPUTED_VALUE"""),"Unit")</f>
        <v>Unit</v>
      </c>
      <c r="H3660" s="6" t="str">
        <f>IFERROR(__xludf.DUMMYFUNCTION("""COMPUTED_VALUE"""),"IDR")</f>
        <v>IDR</v>
      </c>
      <c r="I3660" s="6">
        <f>IFERROR(__xludf.DUMMYFUNCTION("""COMPUTED_VALUE"""),1.5E7)</f>
        <v>15000000</v>
      </c>
      <c r="J3660" s="6">
        <f>IFERROR(__xludf.DUMMYFUNCTION("""COMPUTED_VALUE"""),1.5E7)</f>
        <v>15000000</v>
      </c>
      <c r="K3660" s="57">
        <f>IFERROR(__xludf.DUMMYFUNCTION("""COMPUTED_VALUE"""),45668.0)</f>
        <v>45668</v>
      </c>
      <c r="L3660" s="6" t="str">
        <f>IFERROR(__xludf.DUMMYFUNCTION("""COMPUTED_VALUE"""),"FIP General")</f>
        <v>FIP General</v>
      </c>
      <c r="M3660" s="6" t="str">
        <f>IFERROR(__xludf.DUMMYFUNCTION("""COMPUTED_VALUE"""),"Mochammad Fadhillah Hakim,")</f>
        <v>Mochammad Fadhillah Hakim,</v>
      </c>
      <c r="N3660" s="6" t="str">
        <f>IFERROR(__xludf.DUMMYFUNCTION("""COMPUTED_VALUE"""),"FIP Engineering")</f>
        <v>FIP Engineering</v>
      </c>
      <c r="O3660" s="6" t="str">
        <f>IFERROR(__xludf.DUMMYFUNCTION("""COMPUTED_VALUE"""),"FIP-DOM-ENG-13408-IT25001-INA-000000")</f>
        <v>FIP-DOM-ENG-13408-IT25001-INA-000000</v>
      </c>
      <c r="P3660" s="6" t="str">
        <f>IFERROR(__xludf.DUMMYFUNCTION("""COMPUTED_VALUE"""),"PO Closed")</f>
        <v>PO Closed</v>
      </c>
      <c r="Q3660" s="6" t="str">
        <f>IFERROR(__xludf.DUMMYFUNCTION("""COMPUTED_VALUE"""),"GL2502035")</f>
        <v>GL2502035</v>
      </c>
      <c r="R3660" s="57">
        <f>IFERROR(__xludf.DUMMYFUNCTION("""COMPUTED_VALUE"""),45666.0)</f>
        <v>45666</v>
      </c>
      <c r="S3660" s="57">
        <f>IFERROR(__xludf.DUMMYFUNCTION("""COMPUTED_VALUE"""),45677.0)</f>
        <v>45677</v>
      </c>
      <c r="T3660" s="57">
        <f>IFERROR(__xludf.DUMMYFUNCTION("""COMPUTED_VALUE"""),45783.0)</f>
        <v>45783</v>
      </c>
    </row>
    <row r="3661">
      <c r="A3661" s="6" t="str">
        <f>IFERROR(__xludf.DUMMYFUNCTION("""COMPUTED_VALUE"""),"121702254-1")</f>
        <v>121702254-1</v>
      </c>
      <c r="B3661" s="6" t="str">
        <f>IFERROR(__xludf.DUMMYFUNCTION("""COMPUTED_VALUE"""),"121702254 - APPROVED")</f>
        <v>121702254 - APPROVED</v>
      </c>
      <c r="C3661" s="6">
        <f>IFERROR(__xludf.DUMMYFUNCTION("""COMPUTED_VALUE"""),1.0)</f>
        <v>1</v>
      </c>
      <c r="D3661" s="6" t="str">
        <f>IFERROR(__xludf.DUMMYFUNCTION("""COMPUTED_VALUE"""),"S-60002-00")</f>
        <v>S-60002-00</v>
      </c>
      <c r="E3661" s="6" t="str">
        <f>IFERROR(__xludf.DUMMYFUNCTION("""COMPUTED_VALUE"""),"Jasa Perbaikan dan Pemeliharaan Mesin Utility - Untuk perbaikan Chamber Stability")</f>
        <v>Jasa Perbaikan dan Pemeliharaan Mesin Utility - Untuk perbaikan Chamber Stability</v>
      </c>
      <c r="F3661" s="6">
        <f>IFERROR(__xludf.DUMMYFUNCTION("""COMPUTED_VALUE"""),1.0)</f>
        <v>1</v>
      </c>
      <c r="G3661" s="6" t="str">
        <f>IFERROR(__xludf.DUMMYFUNCTION("""COMPUTED_VALUE"""),"Lot")</f>
        <v>Lot</v>
      </c>
      <c r="H3661" s="6" t="str">
        <f>IFERROR(__xludf.DUMMYFUNCTION("""COMPUTED_VALUE"""),"IDR")</f>
        <v>IDR</v>
      </c>
      <c r="I3661" s="6">
        <f>IFERROR(__xludf.DUMMYFUNCTION("""COMPUTED_VALUE"""),9000000.0)</f>
        <v>9000000</v>
      </c>
      <c r="J3661" s="6">
        <f>IFERROR(__xludf.DUMMYFUNCTION("""COMPUTED_VALUE"""),9000000.0)</f>
        <v>9000000</v>
      </c>
      <c r="K3661" s="57">
        <f>IFERROR(__xludf.DUMMYFUNCTION("""COMPUTED_VALUE"""),45669.0)</f>
        <v>45669</v>
      </c>
      <c r="L3661" s="6" t="str">
        <f>IFERROR(__xludf.DUMMYFUNCTION("""COMPUTED_VALUE"""),"FIP General")</f>
        <v>FIP General</v>
      </c>
      <c r="M3661" s="6" t="str">
        <f>IFERROR(__xludf.DUMMYFUNCTION("""COMPUTED_VALUE"""),"Mochammad Fadhillah Hakim,")</f>
        <v>Mochammad Fadhillah Hakim,</v>
      </c>
      <c r="N3661" s="6" t="str">
        <f>IFERROR(__xludf.DUMMYFUNCTION("""COMPUTED_VALUE"""),"FIP Engineering")</f>
        <v>FIP Engineering</v>
      </c>
      <c r="O3661" s="6" t="str">
        <f>IFERROR(__xludf.DUMMYFUNCTION("""COMPUTED_VALUE"""),"FIP-DOM-ENG-51508-0000000-INA-000000")</f>
        <v>FIP-DOM-ENG-51508-0000000-INA-000000</v>
      </c>
      <c r="P3661" s="6" t="str">
        <f>IFERROR(__xludf.DUMMYFUNCTION("""COMPUTED_VALUE"""),"PO Closed")</f>
        <v>PO Closed</v>
      </c>
      <c r="Q3661" s="6" t="str">
        <f>IFERROR(__xludf.DUMMYFUNCTION("""COMPUTED_VALUE"""),"GL2501039")</f>
        <v>GL2501039</v>
      </c>
      <c r="R3661" s="57">
        <f>IFERROR(__xludf.DUMMYFUNCTION("""COMPUTED_VALUE"""),45667.0)</f>
        <v>45667</v>
      </c>
      <c r="S3661" s="57">
        <f>IFERROR(__xludf.DUMMYFUNCTION("""COMPUTED_VALUE"""),45670.0)</f>
        <v>45670</v>
      </c>
      <c r="T3661" s="57">
        <f>IFERROR(__xludf.DUMMYFUNCTION("""COMPUTED_VALUE"""),45730.0)</f>
        <v>45730</v>
      </c>
    </row>
    <row r="3662">
      <c r="A3662" s="6" t="str">
        <f>IFERROR(__xludf.DUMMYFUNCTION("""COMPUTED_VALUE"""),"121702256-1")</f>
        <v>121702256-1</v>
      </c>
      <c r="B3662" s="6" t="str">
        <f>IFERROR(__xludf.DUMMYFUNCTION("""COMPUTED_VALUE"""),"121702256 - APPROVED")</f>
        <v>121702256 - APPROVED</v>
      </c>
      <c r="C3662" s="6">
        <f>IFERROR(__xludf.DUMMYFUNCTION("""COMPUTED_VALUE"""),1.0)</f>
        <v>1</v>
      </c>
      <c r="D3662" s="6" t="str">
        <f>IFERROR(__xludf.DUMMYFUNCTION("""COMPUTED_VALUE"""),"Q-60501-00")</f>
        <v>Q-60501-00</v>
      </c>
      <c r="E3662" s="6" t="str">
        <f>IFERROR(__xludf.DUMMYFUNCTION("""COMPUTED_VALUE"""),"Silicone Sealant, Silglaze, Type N10 Clear, pack size per pcs")</f>
        <v>Silicone Sealant, Silglaze, Type N10 Clear, pack size per pcs</v>
      </c>
      <c r="F3662" s="6">
        <f>IFERROR(__xludf.DUMMYFUNCTION("""COMPUTED_VALUE"""),15.0)</f>
        <v>15</v>
      </c>
      <c r="G3662" s="6" t="str">
        <f>IFERROR(__xludf.DUMMYFUNCTION("""COMPUTED_VALUE"""),"Pieces")</f>
        <v>Pieces</v>
      </c>
      <c r="H3662" s="6" t="str">
        <f>IFERROR(__xludf.DUMMYFUNCTION("""COMPUTED_VALUE"""),"IDR")</f>
        <v>IDR</v>
      </c>
      <c r="I3662" s="6">
        <f>IFERROR(__xludf.DUMMYFUNCTION("""COMPUTED_VALUE"""),42500.0)</f>
        <v>42500</v>
      </c>
      <c r="J3662" s="6">
        <f>IFERROR(__xludf.DUMMYFUNCTION("""COMPUTED_VALUE"""),637500.0)</f>
        <v>637500</v>
      </c>
      <c r="K3662" s="57">
        <f>IFERROR(__xludf.DUMMYFUNCTION("""COMPUTED_VALUE"""),45672.0)</f>
        <v>45672</v>
      </c>
      <c r="L3662" s="6" t="str">
        <f>IFERROR(__xludf.DUMMYFUNCTION("""COMPUTED_VALUE"""),"FIP Engineering")</f>
        <v>FIP Engineering</v>
      </c>
      <c r="M3662" s="6" t="str">
        <f>IFERROR(__xludf.DUMMYFUNCTION("""COMPUTED_VALUE"""),"Mochammad Fadhillah Hakim,")</f>
        <v>Mochammad Fadhillah Hakim,</v>
      </c>
      <c r="N3662" s="6" t="str">
        <f>IFERROR(__xludf.DUMMYFUNCTION("""COMPUTED_VALUE"""),"FIP Engineering")</f>
        <v>FIP Engineering</v>
      </c>
      <c r="O3662" s="6" t="str">
        <f>IFERROR(__xludf.DUMMYFUNCTION("""COMPUTED_VALUE"""),"FIP-DOM-000-11304-OS00001-INA-000000")</f>
        <v>FIP-DOM-000-11304-OS00001-INA-000000</v>
      </c>
      <c r="P3662" s="6" t="str">
        <f>IFERROR(__xludf.DUMMYFUNCTION("""COMPUTED_VALUE"""),"PO Closed")</f>
        <v>PO Closed</v>
      </c>
      <c r="Q3662" s="6" t="str">
        <f>IFERROR(__xludf.DUMMYFUNCTION("""COMPUTED_VALUE"""),"GL2502008")</f>
        <v>GL2502008</v>
      </c>
      <c r="R3662" s="57">
        <f>IFERROR(__xludf.DUMMYFUNCTION("""COMPUTED_VALUE"""),45670.0)</f>
        <v>45670</v>
      </c>
      <c r="S3662" s="57">
        <f>IFERROR(__xludf.DUMMYFUNCTION("""COMPUTED_VALUE"""),45670.0)</f>
        <v>45670</v>
      </c>
      <c r="T3662" s="57">
        <f>IFERROR(__xludf.DUMMYFUNCTION("""COMPUTED_VALUE"""),45758.0)</f>
        <v>45758</v>
      </c>
    </row>
    <row r="3663">
      <c r="A3663" s="6" t="str">
        <f>IFERROR(__xludf.DUMMYFUNCTION("""COMPUTED_VALUE"""),"121702256-2")</f>
        <v>121702256-2</v>
      </c>
      <c r="B3663" s="6" t="str">
        <f>IFERROR(__xludf.DUMMYFUNCTION("""COMPUTED_VALUE"""),"121702256 - APPROVED")</f>
        <v>121702256 - APPROVED</v>
      </c>
      <c r="C3663" s="6">
        <f>IFERROR(__xludf.DUMMYFUNCTION("""COMPUTED_VALUE"""),2.0)</f>
        <v>2</v>
      </c>
      <c r="D3663" s="6" t="str">
        <f>IFERROR(__xludf.DUMMYFUNCTION("""COMPUTED_VALUE"""),"Q-60501-00")</f>
        <v>Q-60501-00</v>
      </c>
      <c r="E3663" s="6" t="str">
        <f>IFERROR(__xludf.DUMMYFUNCTION("""COMPUTED_VALUE"""),"Silicone Sealant, Silglaze, Type N10 Clear, pack size per pcs")</f>
        <v>Silicone Sealant, Silglaze, Type N10 Clear, pack size per pcs</v>
      </c>
      <c r="F3663" s="6">
        <f>IFERROR(__xludf.DUMMYFUNCTION("""COMPUTED_VALUE"""),15.0)</f>
        <v>15</v>
      </c>
      <c r="G3663" s="6" t="str">
        <f>IFERROR(__xludf.DUMMYFUNCTION("""COMPUTED_VALUE"""),"Pieces")</f>
        <v>Pieces</v>
      </c>
      <c r="H3663" s="6" t="str">
        <f>IFERROR(__xludf.DUMMYFUNCTION("""COMPUTED_VALUE"""),"IDR")</f>
        <v>IDR</v>
      </c>
      <c r="I3663" s="6">
        <f>IFERROR(__xludf.DUMMYFUNCTION("""COMPUTED_VALUE"""),42500.0)</f>
        <v>42500</v>
      </c>
      <c r="J3663" s="6">
        <f>IFERROR(__xludf.DUMMYFUNCTION("""COMPUTED_VALUE"""),637500.0)</f>
        <v>637500</v>
      </c>
      <c r="K3663" s="57">
        <f>IFERROR(__xludf.DUMMYFUNCTION("""COMPUTED_VALUE"""),45672.0)</f>
        <v>45672</v>
      </c>
      <c r="L3663" s="6" t="str">
        <f>IFERROR(__xludf.DUMMYFUNCTION("""COMPUTED_VALUE"""),"FIP Engineering")</f>
        <v>FIP Engineering</v>
      </c>
      <c r="M3663" s="6" t="str">
        <f>IFERROR(__xludf.DUMMYFUNCTION("""COMPUTED_VALUE"""),"Mochammad Fadhillah Hakim,")</f>
        <v>Mochammad Fadhillah Hakim,</v>
      </c>
      <c r="N3663" s="6" t="str">
        <f>IFERROR(__xludf.DUMMYFUNCTION("""COMPUTED_VALUE"""),"FIP Engineering")</f>
        <v>FIP Engineering</v>
      </c>
      <c r="O3663" s="6" t="str">
        <f>IFERROR(__xludf.DUMMYFUNCTION("""COMPUTED_VALUE"""),"FIP-DOM-000-11304-OS00001-INA-000000")</f>
        <v>FIP-DOM-000-11304-OS00001-INA-000000</v>
      </c>
      <c r="P3663" s="6" t="str">
        <f>IFERROR(__xludf.DUMMYFUNCTION("""COMPUTED_VALUE"""),"PO Closed")</f>
        <v>PO Closed</v>
      </c>
      <c r="Q3663" s="6" t="str">
        <f>IFERROR(__xludf.DUMMYFUNCTION("""COMPUTED_VALUE"""),"GL2502008")</f>
        <v>GL2502008</v>
      </c>
      <c r="R3663" s="57">
        <f>IFERROR(__xludf.DUMMYFUNCTION("""COMPUTED_VALUE"""),45670.0)</f>
        <v>45670</v>
      </c>
      <c r="S3663" s="57">
        <f>IFERROR(__xludf.DUMMYFUNCTION("""COMPUTED_VALUE"""),45670.0)</f>
        <v>45670</v>
      </c>
      <c r="T3663" s="57">
        <f>IFERROR(__xludf.DUMMYFUNCTION("""COMPUTED_VALUE"""),45758.0)</f>
        <v>45758</v>
      </c>
    </row>
    <row r="3664">
      <c r="A3664" s="6" t="str">
        <f>IFERROR(__xludf.DUMMYFUNCTION("""COMPUTED_VALUE"""),"121702257-1")</f>
        <v>121702257-1</v>
      </c>
      <c r="B3664" s="6" t="str">
        <f>IFERROR(__xludf.DUMMYFUNCTION("""COMPUTED_VALUE"""),"121702257 - APPROVED")</f>
        <v>121702257 - APPROVED</v>
      </c>
      <c r="C3664" s="6">
        <f>IFERROR(__xludf.DUMMYFUNCTION("""COMPUTED_VALUE"""),1.0)</f>
        <v>1</v>
      </c>
      <c r="D3664" s="6" t="str">
        <f>IFERROR(__xludf.DUMMYFUNCTION("""COMPUTED_VALUE"""),"P-17830-00")</f>
        <v>P-17830-00</v>
      </c>
      <c r="E3664" s="6" t="str">
        <f>IFERROR(__xludf.DUMMYFUNCTION("""COMPUTED_VALUE"""),"Cleaner Stainless Stell &amp; Polish; 3M; ;")</f>
        <v>Cleaner Stainless Stell &amp; Polish; 3M; ;</v>
      </c>
      <c r="F3664" s="6">
        <f>IFERROR(__xludf.DUMMYFUNCTION("""COMPUTED_VALUE"""),2.0)</f>
        <v>2</v>
      </c>
      <c r="G3664" s="6" t="str">
        <f>IFERROR(__xludf.DUMMYFUNCTION("""COMPUTED_VALUE"""),"Can")</f>
        <v>Can</v>
      </c>
      <c r="H3664" s="6" t="str">
        <f>IFERROR(__xludf.DUMMYFUNCTION("""COMPUTED_VALUE"""),"IDR")</f>
        <v>IDR</v>
      </c>
      <c r="I3664" s="6">
        <f>IFERROR(__xludf.DUMMYFUNCTION("""COMPUTED_VALUE"""),215000.0)</f>
        <v>215000</v>
      </c>
      <c r="J3664" s="6">
        <f>IFERROR(__xludf.DUMMYFUNCTION("""COMPUTED_VALUE"""),430000.0)</f>
        <v>430000</v>
      </c>
      <c r="K3664" s="57">
        <f>IFERROR(__xludf.DUMMYFUNCTION("""COMPUTED_VALUE"""),45705.0)</f>
        <v>45705</v>
      </c>
      <c r="L3664" s="6" t="str">
        <f>IFERROR(__xludf.DUMMYFUNCTION("""COMPUTED_VALUE"""),"FIP Engineering")</f>
        <v>FIP Engineering</v>
      </c>
      <c r="M3664" s="6" t="str">
        <f>IFERROR(__xludf.DUMMYFUNCTION("""COMPUTED_VALUE"""),"Mochammad Fadhillah Hakim,")</f>
        <v>Mochammad Fadhillah Hakim,</v>
      </c>
      <c r="N3664" s="6" t="str">
        <f>IFERROR(__xludf.DUMMYFUNCTION("""COMPUTED_VALUE"""),"FIP Engineering")</f>
        <v>FIP Engineering</v>
      </c>
      <c r="O3664" s="6" t="str">
        <f>IFERROR(__xludf.DUMMYFUNCTION("""COMPUTED_VALUE"""),"FIP-DOM-000-11304-OS00001-INA-000000")</f>
        <v>FIP-DOM-000-11304-OS00001-INA-000000</v>
      </c>
      <c r="P3664" s="6" t="str">
        <f>IFERROR(__xludf.DUMMYFUNCTION("""COMPUTED_VALUE"""),"PO Closed")</f>
        <v>PO Closed</v>
      </c>
      <c r="Q3664" s="6" t="str">
        <f>IFERROR(__xludf.DUMMYFUNCTION("""COMPUTED_VALUE"""),"GL2501319")</f>
        <v>GL2501319</v>
      </c>
      <c r="R3664" s="57">
        <f>IFERROR(__xludf.DUMMYFUNCTION("""COMPUTED_VALUE"""),45670.0)</f>
        <v>45670</v>
      </c>
      <c r="S3664" s="57">
        <f>IFERROR(__xludf.DUMMYFUNCTION("""COMPUTED_VALUE"""),45670.0)</f>
        <v>45670</v>
      </c>
      <c r="T3664" s="57">
        <f>IFERROR(__xludf.DUMMYFUNCTION("""COMPUTED_VALUE"""),45712.0)</f>
        <v>45712</v>
      </c>
    </row>
    <row r="3665">
      <c r="A3665" s="6" t="str">
        <f>IFERROR(__xludf.DUMMYFUNCTION("""COMPUTED_VALUE"""),"121702257-2")</f>
        <v>121702257-2</v>
      </c>
      <c r="B3665" s="6" t="str">
        <f>IFERROR(__xludf.DUMMYFUNCTION("""COMPUTED_VALUE"""),"121702257 - APPROVED")</f>
        <v>121702257 - APPROVED</v>
      </c>
      <c r="C3665" s="6">
        <f>IFERROR(__xludf.DUMMYFUNCTION("""COMPUTED_VALUE"""),2.0)</f>
        <v>2</v>
      </c>
      <c r="D3665" s="6" t="str">
        <f>IFERROR(__xludf.DUMMYFUNCTION("""COMPUTED_VALUE"""),"P-17830-00")</f>
        <v>P-17830-00</v>
      </c>
      <c r="E3665" s="6" t="str">
        <f>IFERROR(__xludf.DUMMYFUNCTION("""COMPUTED_VALUE"""),"Cleaner Stainless Stell &amp; Polish; 3M; ;")</f>
        <v>Cleaner Stainless Stell &amp; Polish; 3M; ;</v>
      </c>
      <c r="F3665" s="6">
        <f>IFERROR(__xludf.DUMMYFUNCTION("""COMPUTED_VALUE"""),2.0)</f>
        <v>2</v>
      </c>
      <c r="G3665" s="6" t="str">
        <f>IFERROR(__xludf.DUMMYFUNCTION("""COMPUTED_VALUE"""),"Can")</f>
        <v>Can</v>
      </c>
      <c r="H3665" s="6" t="str">
        <f>IFERROR(__xludf.DUMMYFUNCTION("""COMPUTED_VALUE"""),"IDR")</f>
        <v>IDR</v>
      </c>
      <c r="I3665" s="6">
        <f>IFERROR(__xludf.DUMMYFUNCTION("""COMPUTED_VALUE"""),215000.0)</f>
        <v>215000</v>
      </c>
      <c r="J3665" s="6">
        <f>IFERROR(__xludf.DUMMYFUNCTION("""COMPUTED_VALUE"""),430000.0)</f>
        <v>430000</v>
      </c>
      <c r="K3665" s="57">
        <f>IFERROR(__xludf.DUMMYFUNCTION("""COMPUTED_VALUE"""),45880.0)</f>
        <v>45880</v>
      </c>
      <c r="L3665" s="6" t="str">
        <f>IFERROR(__xludf.DUMMYFUNCTION("""COMPUTED_VALUE"""),"FIP Engineering")</f>
        <v>FIP Engineering</v>
      </c>
      <c r="M3665" s="6" t="str">
        <f>IFERROR(__xludf.DUMMYFUNCTION("""COMPUTED_VALUE"""),"Mochammad Fadhillah Hakim,")</f>
        <v>Mochammad Fadhillah Hakim,</v>
      </c>
      <c r="N3665" s="6" t="str">
        <f>IFERROR(__xludf.DUMMYFUNCTION("""COMPUTED_VALUE"""),"FIP Engineering")</f>
        <v>FIP Engineering</v>
      </c>
      <c r="O3665" s="6" t="str">
        <f>IFERROR(__xludf.DUMMYFUNCTION("""COMPUTED_VALUE"""),"FIP-DOM-000-11304-OS00001-INA-000000")</f>
        <v>FIP-DOM-000-11304-OS00001-INA-000000</v>
      </c>
      <c r="P3665" s="6" t="str">
        <f>IFERROR(__xludf.DUMMYFUNCTION("""COMPUTED_VALUE"""),"PO Closed")</f>
        <v>PO Closed</v>
      </c>
      <c r="Q3665" s="6" t="str">
        <f>IFERROR(__xludf.DUMMYFUNCTION("""COMPUTED_VALUE"""),"GL2501319")</f>
        <v>GL2501319</v>
      </c>
      <c r="R3665" s="57">
        <f>IFERROR(__xludf.DUMMYFUNCTION("""COMPUTED_VALUE"""),45670.0)</f>
        <v>45670</v>
      </c>
      <c r="S3665" s="57">
        <f>IFERROR(__xludf.DUMMYFUNCTION("""COMPUTED_VALUE"""),45670.0)</f>
        <v>45670</v>
      </c>
      <c r="T3665" s="57">
        <f>IFERROR(__xludf.DUMMYFUNCTION("""COMPUTED_VALUE"""),45880.0)</f>
        <v>45880</v>
      </c>
    </row>
    <row r="3666">
      <c r="A3666" s="6" t="str">
        <f>IFERROR(__xludf.DUMMYFUNCTION("""COMPUTED_VALUE"""),"121702258-1")</f>
        <v>121702258-1</v>
      </c>
      <c r="B3666" s="6" t="str">
        <f>IFERROR(__xludf.DUMMYFUNCTION("""COMPUTED_VALUE"""),"121702258 - APPROVED")</f>
        <v>121702258 - APPROVED</v>
      </c>
      <c r="C3666" s="6">
        <f>IFERROR(__xludf.DUMMYFUNCTION("""COMPUTED_VALUE"""),1.0)</f>
        <v>1</v>
      </c>
      <c r="D3666" s="6" t="str">
        <f>IFERROR(__xludf.DUMMYFUNCTION("""COMPUTED_VALUE"""),"P-19521-00")</f>
        <v>P-19521-00</v>
      </c>
      <c r="E3666" s="6" t="str">
        <f>IFERROR(__xludf.DUMMYFUNCTION("""COMPUTED_VALUE"""),"General - Regulator Gas Hydrogen; Harris; 25GX-15-H2; 1 pcs")</f>
        <v>General - Regulator Gas Hydrogen; Harris; 25GX-15-H2; 1 pcs</v>
      </c>
      <c r="F3666" s="6">
        <f>IFERROR(__xludf.DUMMYFUNCTION("""COMPUTED_VALUE"""),1.0)</f>
        <v>1</v>
      </c>
      <c r="G3666" s="6" t="str">
        <f>IFERROR(__xludf.DUMMYFUNCTION("""COMPUTED_VALUE"""),"Pieces")</f>
        <v>Pieces</v>
      </c>
      <c r="H3666" s="6" t="str">
        <f>IFERROR(__xludf.DUMMYFUNCTION("""COMPUTED_VALUE"""),"IDR")</f>
        <v>IDR</v>
      </c>
      <c r="I3666" s="6">
        <f>IFERROR(__xludf.DUMMYFUNCTION("""COMPUTED_VALUE"""),3850000.0)</f>
        <v>3850000</v>
      </c>
      <c r="J3666" s="6">
        <f>IFERROR(__xludf.DUMMYFUNCTION("""COMPUTED_VALUE"""),3850000.0)</f>
        <v>3850000</v>
      </c>
      <c r="K3666" s="57">
        <f>IFERROR(__xludf.DUMMYFUNCTION("""COMPUTED_VALUE"""),45672.0)</f>
        <v>45672</v>
      </c>
      <c r="L3666" s="6" t="str">
        <f>IFERROR(__xludf.DUMMYFUNCTION("""COMPUTED_VALUE"""),"FIP Engineering")</f>
        <v>FIP Engineering</v>
      </c>
      <c r="M3666" s="6" t="str">
        <f>IFERROR(__xludf.DUMMYFUNCTION("""COMPUTED_VALUE"""),"Mochammad Fadhillah Hakim,")</f>
        <v>Mochammad Fadhillah Hakim,</v>
      </c>
      <c r="N3666" s="6" t="str">
        <f>IFERROR(__xludf.DUMMYFUNCTION("""COMPUTED_VALUE"""),"FIP Engineering")</f>
        <v>FIP Engineering</v>
      </c>
      <c r="O3666" s="6" t="str">
        <f>IFERROR(__xludf.DUMMYFUNCTION("""COMPUTED_VALUE"""),"FIP-DOM-000-11304-OS00001-INA-000000")</f>
        <v>FIP-DOM-000-11304-OS00001-INA-000000</v>
      </c>
      <c r="P3666" s="6" t="str">
        <f>IFERROR(__xludf.DUMMYFUNCTION("""COMPUTED_VALUE"""),"PO Closed")</f>
        <v>PO Closed</v>
      </c>
      <c r="Q3666" s="6" t="str">
        <f>IFERROR(__xludf.DUMMYFUNCTION("""COMPUTED_VALUE"""),"GL2501319")</f>
        <v>GL2501319</v>
      </c>
      <c r="R3666" s="57">
        <f>IFERROR(__xludf.DUMMYFUNCTION("""COMPUTED_VALUE"""),45670.0)</f>
        <v>45670</v>
      </c>
      <c r="S3666" s="57">
        <f>IFERROR(__xludf.DUMMYFUNCTION("""COMPUTED_VALUE"""),45670.0)</f>
        <v>45670</v>
      </c>
      <c r="T3666" s="57">
        <f>IFERROR(__xludf.DUMMYFUNCTION("""COMPUTED_VALUE"""),45708.0)</f>
        <v>45708</v>
      </c>
    </row>
    <row r="3667">
      <c r="A3667" s="6" t="str">
        <f>IFERROR(__xludf.DUMMYFUNCTION("""COMPUTED_VALUE"""),"121702259-1")</f>
        <v>121702259-1</v>
      </c>
      <c r="B3667" s="6" t="str">
        <f>IFERROR(__xludf.DUMMYFUNCTION("""COMPUTED_VALUE"""),"121702259 - APPROVED")</f>
        <v>121702259 - APPROVED</v>
      </c>
      <c r="C3667" s="6">
        <f>IFERROR(__xludf.DUMMYFUNCTION("""COMPUTED_VALUE"""),1.0)</f>
        <v>1</v>
      </c>
      <c r="D3667" s="6" t="str">
        <f>IFERROR(__xludf.DUMMYFUNCTION("""COMPUTED_VALUE"""),"S-40530-00")</f>
        <v>S-40530-00</v>
      </c>
      <c r="E3667" s="6" t="str">
        <f>IFERROR(__xludf.DUMMYFUNCTION("""COMPUTED_VALUE"""),"Acrylic Box; ; ; - Ukuran 63,7x43,5x0,8 cm")</f>
        <v>Acrylic Box; ; ; - Ukuran 63,7x43,5x0,8 cm</v>
      </c>
      <c r="F3667" s="6">
        <f>IFERROR(__xludf.DUMMYFUNCTION("""COMPUTED_VALUE"""),4.0)</f>
        <v>4</v>
      </c>
      <c r="G3667" s="6" t="str">
        <f>IFERROR(__xludf.DUMMYFUNCTION("""COMPUTED_VALUE"""),"Pieces")</f>
        <v>Pieces</v>
      </c>
      <c r="H3667" s="6" t="str">
        <f>IFERROR(__xludf.DUMMYFUNCTION("""COMPUTED_VALUE"""),"IDR")</f>
        <v>IDR</v>
      </c>
      <c r="I3667" s="6">
        <f>IFERROR(__xludf.DUMMYFUNCTION("""COMPUTED_VALUE"""),350000.0)</f>
        <v>350000</v>
      </c>
      <c r="J3667" s="6">
        <f>IFERROR(__xludf.DUMMYFUNCTION("""COMPUTED_VALUE"""),1400000.0)</f>
        <v>1400000</v>
      </c>
      <c r="K3667" s="57">
        <f>IFERROR(__xludf.DUMMYFUNCTION("""COMPUTED_VALUE"""),45672.0)</f>
        <v>45672</v>
      </c>
      <c r="L3667" s="6" t="str">
        <f>IFERROR(__xludf.DUMMYFUNCTION("""COMPUTED_VALUE"""),"FIP General")</f>
        <v>FIP General</v>
      </c>
      <c r="M3667" s="6" t="str">
        <f>IFERROR(__xludf.DUMMYFUNCTION("""COMPUTED_VALUE"""),"Mochammad Fadhillah Hakim,")</f>
        <v>Mochammad Fadhillah Hakim,</v>
      </c>
      <c r="N3667" s="6" t="str">
        <f>IFERROR(__xludf.DUMMYFUNCTION("""COMPUTED_VALUE"""),"FIP Engineering")</f>
        <v>FIP Engineering</v>
      </c>
      <c r="O3667" s="6" t="str">
        <f>IFERROR(__xludf.DUMMYFUNCTION("""COMPUTED_VALUE"""),"FIP-DOM-ENG-51404-0000000-INA-000000")</f>
        <v>FIP-DOM-ENG-51404-0000000-INA-000000</v>
      </c>
      <c r="P3667" s="6" t="str">
        <f>IFERROR(__xludf.DUMMYFUNCTION("""COMPUTED_VALUE"""),"PO Closed")</f>
        <v>PO Closed</v>
      </c>
      <c r="Q3667" s="6" t="str">
        <f>IFERROR(__xludf.DUMMYFUNCTION("""COMPUTED_VALUE"""),"GL2501031")</f>
        <v>GL2501031</v>
      </c>
      <c r="R3667" s="57">
        <f>IFERROR(__xludf.DUMMYFUNCTION("""COMPUTED_VALUE"""),45670.0)</f>
        <v>45670</v>
      </c>
      <c r="S3667" s="57">
        <f>IFERROR(__xludf.DUMMYFUNCTION("""COMPUTED_VALUE"""),45670.0)</f>
        <v>45670</v>
      </c>
      <c r="T3667" s="57">
        <f>IFERROR(__xludf.DUMMYFUNCTION("""COMPUTED_VALUE"""),45688.0)</f>
        <v>45688</v>
      </c>
    </row>
    <row r="3668">
      <c r="A3668" s="6" t="str">
        <f>IFERROR(__xludf.DUMMYFUNCTION("""COMPUTED_VALUE"""),"121702260-1")</f>
        <v>121702260-1</v>
      </c>
      <c r="B3668" s="6" t="str">
        <f>IFERROR(__xludf.DUMMYFUNCTION("""COMPUTED_VALUE"""),"121702260 - APPROVED")</f>
        <v>121702260 - APPROVED</v>
      </c>
      <c r="C3668" s="6">
        <f>IFERROR(__xludf.DUMMYFUNCTION("""COMPUTED_VALUE"""),1.0)</f>
        <v>1</v>
      </c>
      <c r="D3668" s="6" t="str">
        <f>IFERROR(__xludf.DUMMYFUNCTION("""COMPUTED_VALUE"""),"S-60050-00")</f>
        <v>S-60050-00</v>
      </c>
      <c r="E3668" s="6" t="str">
        <f>IFERROR(__xludf.DUMMYFUNCTION("""COMPUTED_VALUE"""),"Jasa Perbaikan dan Pemeliharaan Mesin Produksi; ; ; - Perbaikan Printer Markem")</f>
        <v>Jasa Perbaikan dan Pemeliharaan Mesin Produksi; ; ; - Perbaikan Printer Markem</v>
      </c>
      <c r="F3668" s="6">
        <f>IFERROR(__xludf.DUMMYFUNCTION("""COMPUTED_VALUE"""),1.0)</f>
        <v>1</v>
      </c>
      <c r="G3668" s="6" t="str">
        <f>IFERROR(__xludf.DUMMYFUNCTION("""COMPUTED_VALUE"""),"Pieces")</f>
        <v>Pieces</v>
      </c>
      <c r="H3668" s="6" t="str">
        <f>IFERROR(__xludf.DUMMYFUNCTION("""COMPUTED_VALUE"""),"IDR")</f>
        <v>IDR</v>
      </c>
      <c r="I3668" s="6">
        <f>IFERROR(__xludf.DUMMYFUNCTION("""COMPUTED_VALUE"""),6.154E7)</f>
        <v>61540000</v>
      </c>
      <c r="J3668" s="6">
        <f>IFERROR(__xludf.DUMMYFUNCTION("""COMPUTED_VALUE"""),6.154E7)</f>
        <v>61540000</v>
      </c>
      <c r="K3668" s="57">
        <f>IFERROR(__xludf.DUMMYFUNCTION("""COMPUTED_VALUE"""),45672.0)</f>
        <v>45672</v>
      </c>
      <c r="L3668" s="6" t="str">
        <f>IFERROR(__xludf.DUMMYFUNCTION("""COMPUTED_VALUE"""),"FIP General")</f>
        <v>FIP General</v>
      </c>
      <c r="M3668" s="6" t="str">
        <f>IFERROR(__xludf.DUMMYFUNCTION("""COMPUTED_VALUE"""),"Mochammad Fadhillah Hakim,")</f>
        <v>Mochammad Fadhillah Hakim,</v>
      </c>
      <c r="N3668" s="6" t="str">
        <f>IFERROR(__xludf.DUMMYFUNCTION("""COMPUTED_VALUE"""),"FIP Engineering")</f>
        <v>FIP Engineering</v>
      </c>
      <c r="O3668" s="6" t="str">
        <f>IFERROR(__xludf.DUMMYFUNCTION("""COMPUTED_VALUE"""),"FIP-DOM-ENG-51504-0000000-INA-000000")</f>
        <v>FIP-DOM-ENG-51504-0000000-INA-000000</v>
      </c>
      <c r="P3668" s="6" t="str">
        <f>IFERROR(__xludf.DUMMYFUNCTION("""COMPUTED_VALUE"""),"PO Closed")</f>
        <v>PO Closed</v>
      </c>
      <c r="Q3668" s="6" t="str">
        <f>IFERROR(__xludf.DUMMYFUNCTION("""COMPUTED_VALUE"""),"GL2506054")</f>
        <v>GL2506054</v>
      </c>
      <c r="R3668" s="57">
        <f>IFERROR(__xludf.DUMMYFUNCTION("""COMPUTED_VALUE"""),45670.0)</f>
        <v>45670</v>
      </c>
      <c r="S3668" s="57">
        <f>IFERROR(__xludf.DUMMYFUNCTION("""COMPUTED_VALUE"""),45784.0)</f>
        <v>45784</v>
      </c>
      <c r="T3668" s="57">
        <f>IFERROR(__xludf.DUMMYFUNCTION("""COMPUTED_VALUE"""),45915.0)</f>
        <v>45915</v>
      </c>
    </row>
    <row r="3669">
      <c r="A3669" s="6" t="str">
        <f>IFERROR(__xludf.DUMMYFUNCTION("""COMPUTED_VALUE"""),"121702272-1")</f>
        <v>121702272-1</v>
      </c>
      <c r="B3669" s="6" t="str">
        <f>IFERROR(__xludf.DUMMYFUNCTION("""COMPUTED_VALUE"""),"121702272 - APPROVED")</f>
        <v>121702272 - APPROVED</v>
      </c>
      <c r="C3669" s="6">
        <f>IFERROR(__xludf.DUMMYFUNCTION("""COMPUTED_VALUE"""),1.0)</f>
        <v>1</v>
      </c>
      <c r="D3669" s="6" t="str">
        <f>IFERROR(__xludf.DUMMYFUNCTION("""COMPUTED_VALUE"""),"T-80046-00")</f>
        <v>T-80046-00</v>
      </c>
      <c r="E3669" s="6" t="str">
        <f>IFERROR(__xludf.DUMMYFUNCTION("""COMPUTED_VALUE"""),"Battery ALKALINE AA")</f>
        <v>Battery ALKALINE AA</v>
      </c>
      <c r="F3669" s="6">
        <f>IFERROR(__xludf.DUMMYFUNCTION("""COMPUTED_VALUE"""),10.0)</f>
        <v>10</v>
      </c>
      <c r="G3669" s="6" t="str">
        <f>IFERROR(__xludf.DUMMYFUNCTION("""COMPUTED_VALUE"""),"Pieces")</f>
        <v>Pieces</v>
      </c>
      <c r="H3669" s="6" t="str">
        <f>IFERROR(__xludf.DUMMYFUNCTION("""COMPUTED_VALUE"""),"IDR")</f>
        <v>IDR</v>
      </c>
      <c r="I3669" s="6">
        <f>IFERROR(__xludf.DUMMYFUNCTION("""COMPUTED_VALUE"""),28500.0)</f>
        <v>28500</v>
      </c>
      <c r="J3669" s="6">
        <f>IFERROR(__xludf.DUMMYFUNCTION("""COMPUTED_VALUE"""),285000.0)</f>
        <v>285000</v>
      </c>
      <c r="K3669" s="57">
        <f>IFERROR(__xludf.DUMMYFUNCTION("""COMPUTED_VALUE"""),45673.0)</f>
        <v>45673</v>
      </c>
      <c r="L3669" s="6" t="str">
        <f>IFERROR(__xludf.DUMMYFUNCTION("""COMPUTED_VALUE"""),"FIP General")</f>
        <v>FIP General</v>
      </c>
      <c r="M3669" s="6" t="str">
        <f>IFERROR(__xludf.DUMMYFUNCTION("""COMPUTED_VALUE"""),"Mochammad Fadhillah Hakim,")</f>
        <v>Mochammad Fadhillah Hakim,</v>
      </c>
      <c r="N3669" s="6" t="str">
        <f>IFERROR(__xludf.DUMMYFUNCTION("""COMPUTED_VALUE"""),"FIP Engineering")</f>
        <v>FIP Engineering</v>
      </c>
      <c r="O3669" s="6" t="str">
        <f>IFERROR(__xludf.DUMMYFUNCTION("""COMPUTED_VALUE"""),"FIP-DOM-ENG-51411-0000000-INA-000000")</f>
        <v>FIP-DOM-ENG-51411-0000000-INA-000000</v>
      </c>
      <c r="P3669" s="6" t="str">
        <f>IFERROR(__xludf.DUMMYFUNCTION("""COMPUTED_VALUE"""),"PO Closed")</f>
        <v>PO Closed</v>
      </c>
      <c r="Q3669" s="6" t="str">
        <f>IFERROR(__xludf.DUMMYFUNCTION("""COMPUTED_VALUE"""),"GL2501045")</f>
        <v>GL2501045</v>
      </c>
      <c r="R3669" s="57">
        <f>IFERROR(__xludf.DUMMYFUNCTION("""COMPUTED_VALUE"""),45671.0)</f>
        <v>45671</v>
      </c>
      <c r="S3669" s="57">
        <f>IFERROR(__xludf.DUMMYFUNCTION("""COMPUTED_VALUE"""),45672.0)</f>
        <v>45672</v>
      </c>
      <c r="T3669" s="57">
        <f>IFERROR(__xludf.DUMMYFUNCTION("""COMPUTED_VALUE"""),45688.0)</f>
        <v>45688</v>
      </c>
    </row>
    <row r="3670">
      <c r="A3670" s="6" t="str">
        <f>IFERROR(__xludf.DUMMYFUNCTION("""COMPUTED_VALUE"""),"121702272-2")</f>
        <v>121702272-2</v>
      </c>
      <c r="B3670" s="6" t="str">
        <f>IFERROR(__xludf.DUMMYFUNCTION("""COMPUTED_VALUE"""),"121702272 - APPROVED")</f>
        <v>121702272 - APPROVED</v>
      </c>
      <c r="C3670" s="6">
        <f>IFERROR(__xludf.DUMMYFUNCTION("""COMPUTED_VALUE"""),2.0)</f>
        <v>2</v>
      </c>
      <c r="D3670" s="6" t="str">
        <f>IFERROR(__xludf.DUMMYFUNCTION("""COMPUTED_VALUE"""),"T-80047-00")</f>
        <v>T-80047-00</v>
      </c>
      <c r="E3670" s="6" t="str">
        <f>IFERROR(__xludf.DUMMYFUNCTION("""COMPUTED_VALUE"""),"Battery ALKALINE AAA")</f>
        <v>Battery ALKALINE AAA</v>
      </c>
      <c r="F3670" s="6">
        <f>IFERROR(__xludf.DUMMYFUNCTION("""COMPUTED_VALUE"""),5.0)</f>
        <v>5</v>
      </c>
      <c r="G3670" s="6" t="str">
        <f>IFERROR(__xludf.DUMMYFUNCTION("""COMPUTED_VALUE"""),"Pieces")</f>
        <v>Pieces</v>
      </c>
      <c r="H3670" s="6" t="str">
        <f>IFERROR(__xludf.DUMMYFUNCTION("""COMPUTED_VALUE"""),"IDR")</f>
        <v>IDR</v>
      </c>
      <c r="I3670" s="6">
        <f>IFERROR(__xludf.DUMMYFUNCTION("""COMPUTED_VALUE"""),28500.0)</f>
        <v>28500</v>
      </c>
      <c r="J3670" s="6">
        <f>IFERROR(__xludf.DUMMYFUNCTION("""COMPUTED_VALUE"""),142500.0)</f>
        <v>142500</v>
      </c>
      <c r="K3670" s="57">
        <f>IFERROR(__xludf.DUMMYFUNCTION("""COMPUTED_VALUE"""),45673.0)</f>
        <v>45673</v>
      </c>
      <c r="L3670" s="6" t="str">
        <f>IFERROR(__xludf.DUMMYFUNCTION("""COMPUTED_VALUE"""),"FIP General")</f>
        <v>FIP General</v>
      </c>
      <c r="M3670" s="6" t="str">
        <f>IFERROR(__xludf.DUMMYFUNCTION("""COMPUTED_VALUE"""),"Mochammad Fadhillah Hakim,")</f>
        <v>Mochammad Fadhillah Hakim,</v>
      </c>
      <c r="N3670" s="6" t="str">
        <f>IFERROR(__xludf.DUMMYFUNCTION("""COMPUTED_VALUE"""),"FIP Engineering")</f>
        <v>FIP Engineering</v>
      </c>
      <c r="O3670" s="6" t="str">
        <f>IFERROR(__xludf.DUMMYFUNCTION("""COMPUTED_VALUE"""),"FIP-DOM-ENG-51411-0000000-INA-000000")</f>
        <v>FIP-DOM-ENG-51411-0000000-INA-000000</v>
      </c>
      <c r="P3670" s="6" t="str">
        <f>IFERROR(__xludf.DUMMYFUNCTION("""COMPUTED_VALUE"""),"PO Closed")</f>
        <v>PO Closed</v>
      </c>
      <c r="Q3670" s="6" t="str">
        <f>IFERROR(__xludf.DUMMYFUNCTION("""COMPUTED_VALUE"""),"GL2501045")</f>
        <v>GL2501045</v>
      </c>
      <c r="R3670" s="57">
        <f>IFERROR(__xludf.DUMMYFUNCTION("""COMPUTED_VALUE"""),45671.0)</f>
        <v>45671</v>
      </c>
      <c r="S3670" s="57">
        <f>IFERROR(__xludf.DUMMYFUNCTION("""COMPUTED_VALUE"""),45672.0)</f>
        <v>45672</v>
      </c>
      <c r="T3670" s="57">
        <f>IFERROR(__xludf.DUMMYFUNCTION("""COMPUTED_VALUE"""),45688.0)</f>
        <v>45688</v>
      </c>
    </row>
    <row r="3671">
      <c r="A3671" s="6" t="str">
        <f>IFERROR(__xludf.DUMMYFUNCTION("""COMPUTED_VALUE"""),"121702272-3")</f>
        <v>121702272-3</v>
      </c>
      <c r="B3671" s="6" t="str">
        <f>IFERROR(__xludf.DUMMYFUNCTION("""COMPUTED_VALUE"""),"121702272 - APPROVED")</f>
        <v>121702272 - APPROVED</v>
      </c>
      <c r="C3671" s="6">
        <f>IFERROR(__xludf.DUMMYFUNCTION("""COMPUTED_VALUE"""),3.0)</f>
        <v>3</v>
      </c>
      <c r="D3671" s="6" t="str">
        <f>IFERROR(__xludf.DUMMYFUNCTION("""COMPUTED_VALUE"""),"T-80043-00")</f>
        <v>T-80043-00</v>
      </c>
      <c r="E3671" s="6" t="str">
        <f>IFERROR(__xludf.DUMMYFUNCTION("""COMPUTED_VALUE"""),"Battery ABC Kotak 9V")</f>
        <v>Battery ABC Kotak 9V</v>
      </c>
      <c r="F3671" s="6">
        <f>IFERROR(__xludf.DUMMYFUNCTION("""COMPUTED_VALUE"""),5.0)</f>
        <v>5</v>
      </c>
      <c r="G3671" s="6" t="str">
        <f>IFERROR(__xludf.DUMMYFUNCTION("""COMPUTED_VALUE"""),"Pieces")</f>
        <v>Pieces</v>
      </c>
      <c r="H3671" s="6" t="str">
        <f>IFERROR(__xludf.DUMMYFUNCTION("""COMPUTED_VALUE"""),"IDR")</f>
        <v>IDR</v>
      </c>
      <c r="I3671" s="6">
        <f>IFERROR(__xludf.DUMMYFUNCTION("""COMPUTED_VALUE"""),22000.0)</f>
        <v>22000</v>
      </c>
      <c r="J3671" s="6">
        <f>IFERROR(__xludf.DUMMYFUNCTION("""COMPUTED_VALUE"""),110000.0)</f>
        <v>110000</v>
      </c>
      <c r="K3671" s="57">
        <f>IFERROR(__xludf.DUMMYFUNCTION("""COMPUTED_VALUE"""),45673.0)</f>
        <v>45673</v>
      </c>
      <c r="L3671" s="6" t="str">
        <f>IFERROR(__xludf.DUMMYFUNCTION("""COMPUTED_VALUE"""),"FIP General")</f>
        <v>FIP General</v>
      </c>
      <c r="M3671" s="6" t="str">
        <f>IFERROR(__xludf.DUMMYFUNCTION("""COMPUTED_VALUE"""),"Mochammad Fadhillah Hakim,")</f>
        <v>Mochammad Fadhillah Hakim,</v>
      </c>
      <c r="N3671" s="6" t="str">
        <f>IFERROR(__xludf.DUMMYFUNCTION("""COMPUTED_VALUE"""),"FIP Engineering")</f>
        <v>FIP Engineering</v>
      </c>
      <c r="O3671" s="6" t="str">
        <f>IFERROR(__xludf.DUMMYFUNCTION("""COMPUTED_VALUE"""),"FIP-DOM-ENG-51411-0000000-INA-000000")</f>
        <v>FIP-DOM-ENG-51411-0000000-INA-000000</v>
      </c>
      <c r="P3671" s="6" t="str">
        <f>IFERROR(__xludf.DUMMYFUNCTION("""COMPUTED_VALUE"""),"PO Closed")</f>
        <v>PO Closed</v>
      </c>
      <c r="Q3671" s="6" t="str">
        <f>IFERROR(__xludf.DUMMYFUNCTION("""COMPUTED_VALUE"""),"GL2501045")</f>
        <v>GL2501045</v>
      </c>
      <c r="R3671" s="57">
        <f>IFERROR(__xludf.DUMMYFUNCTION("""COMPUTED_VALUE"""),45671.0)</f>
        <v>45671</v>
      </c>
      <c r="S3671" s="57">
        <f>IFERROR(__xludf.DUMMYFUNCTION("""COMPUTED_VALUE"""),45672.0)</f>
        <v>45672</v>
      </c>
      <c r="T3671" s="57">
        <f>IFERROR(__xludf.DUMMYFUNCTION("""COMPUTED_VALUE"""),45688.0)</f>
        <v>45688</v>
      </c>
    </row>
    <row r="3672">
      <c r="A3672" s="6" t="str">
        <f>IFERROR(__xludf.DUMMYFUNCTION("""COMPUTED_VALUE"""),"121702272-4")</f>
        <v>121702272-4</v>
      </c>
      <c r="B3672" s="6" t="str">
        <f>IFERROR(__xludf.DUMMYFUNCTION("""COMPUTED_VALUE"""),"121702272 - APPROVED")</f>
        <v>121702272 - APPROVED</v>
      </c>
      <c r="C3672" s="6">
        <f>IFERROR(__xludf.DUMMYFUNCTION("""COMPUTED_VALUE"""),4.0)</f>
        <v>4</v>
      </c>
      <c r="D3672" s="6" t="str">
        <f>IFERROR(__xludf.DUMMYFUNCTION("""COMPUTED_VALUE"""),"T-80681-00")</f>
        <v>T-80681-00</v>
      </c>
      <c r="E3672" s="6" t="str">
        <f>IFERROR(__xludf.DUMMYFUNCTION("""COMPUTED_VALUE"""),"Battery Kancing Energizer CR2032  3V Lithium; ; ;")</f>
        <v>Battery Kancing Energizer CR2032  3V Lithium; ; ;</v>
      </c>
      <c r="F3672" s="6">
        <f>IFERROR(__xludf.DUMMYFUNCTION("""COMPUTED_VALUE"""),5.0)</f>
        <v>5</v>
      </c>
      <c r="G3672" s="6" t="str">
        <f>IFERROR(__xludf.DUMMYFUNCTION("""COMPUTED_VALUE"""),"Pack")</f>
        <v>Pack</v>
      </c>
      <c r="H3672" s="6" t="str">
        <f>IFERROR(__xludf.DUMMYFUNCTION("""COMPUTED_VALUE"""),"IDR")</f>
        <v>IDR</v>
      </c>
      <c r="I3672" s="6">
        <f>IFERROR(__xludf.DUMMYFUNCTION("""COMPUTED_VALUE"""),30000.0)</f>
        <v>30000</v>
      </c>
      <c r="J3672" s="6">
        <f>IFERROR(__xludf.DUMMYFUNCTION("""COMPUTED_VALUE"""),150000.0)</f>
        <v>150000</v>
      </c>
      <c r="K3672" s="57">
        <f>IFERROR(__xludf.DUMMYFUNCTION("""COMPUTED_VALUE"""),45673.0)</f>
        <v>45673</v>
      </c>
      <c r="L3672" s="6" t="str">
        <f>IFERROR(__xludf.DUMMYFUNCTION("""COMPUTED_VALUE"""),"FIP General")</f>
        <v>FIP General</v>
      </c>
      <c r="M3672" s="6" t="str">
        <f>IFERROR(__xludf.DUMMYFUNCTION("""COMPUTED_VALUE"""),"Mochammad Fadhillah Hakim,")</f>
        <v>Mochammad Fadhillah Hakim,</v>
      </c>
      <c r="N3672" s="6" t="str">
        <f>IFERROR(__xludf.DUMMYFUNCTION("""COMPUTED_VALUE"""),"FIP Engineering")</f>
        <v>FIP Engineering</v>
      </c>
      <c r="O3672" s="6" t="str">
        <f>IFERROR(__xludf.DUMMYFUNCTION("""COMPUTED_VALUE"""),"FIP-DOM-ENG-51404-0000000-INA-000000")</f>
        <v>FIP-DOM-ENG-51404-0000000-INA-000000</v>
      </c>
      <c r="P3672" s="6" t="str">
        <f>IFERROR(__xludf.DUMMYFUNCTION("""COMPUTED_VALUE"""),"PO Closed")</f>
        <v>PO Closed</v>
      </c>
      <c r="Q3672" s="6" t="str">
        <f>IFERROR(__xludf.DUMMYFUNCTION("""COMPUTED_VALUE"""),"GL2501045")</f>
        <v>GL2501045</v>
      </c>
      <c r="R3672" s="57">
        <f>IFERROR(__xludf.DUMMYFUNCTION("""COMPUTED_VALUE"""),45671.0)</f>
        <v>45671</v>
      </c>
      <c r="S3672" s="57">
        <f>IFERROR(__xludf.DUMMYFUNCTION("""COMPUTED_VALUE"""),45672.0)</f>
        <v>45672</v>
      </c>
      <c r="T3672" s="57">
        <f>IFERROR(__xludf.DUMMYFUNCTION("""COMPUTED_VALUE"""),45688.0)</f>
        <v>45688</v>
      </c>
    </row>
    <row r="3673">
      <c r="A3673" s="6" t="str">
        <f>IFERROR(__xludf.DUMMYFUNCTION("""COMPUTED_VALUE"""),"121702284-1")</f>
        <v>121702284-1</v>
      </c>
      <c r="B3673" s="6" t="str">
        <f>IFERROR(__xludf.DUMMYFUNCTION("""COMPUTED_VALUE"""),"121702284 - APPROVED")</f>
        <v>121702284 - APPROVED</v>
      </c>
      <c r="C3673" s="6">
        <f>IFERROR(__xludf.DUMMYFUNCTION("""COMPUTED_VALUE"""),1.0)</f>
        <v>1</v>
      </c>
      <c r="D3673" s="6"/>
      <c r="E3673" s="6" t="str">
        <f>IFERROR(__xludf.DUMMYFUNCTION("""COMPUTED_VALUE"""),"KURSI KANTOR CHAIRMAN SC 1609 WARNA HITAM")</f>
        <v>KURSI KANTOR CHAIRMAN SC 1609 WARNA HITAM</v>
      </c>
      <c r="F3673" s="6">
        <f>IFERROR(__xludf.DUMMYFUNCTION("""COMPUTED_VALUE"""),6.0)</f>
        <v>6</v>
      </c>
      <c r="G3673" s="6" t="str">
        <f>IFERROR(__xludf.DUMMYFUNCTION("""COMPUTED_VALUE"""),"Unit")</f>
        <v>Unit</v>
      </c>
      <c r="H3673" s="6" t="str">
        <f>IFERROR(__xludf.DUMMYFUNCTION("""COMPUTED_VALUE"""),"IDR")</f>
        <v>IDR</v>
      </c>
      <c r="I3673" s="6">
        <f>IFERROR(__xludf.DUMMYFUNCTION("""COMPUTED_VALUE"""),700000.0)</f>
        <v>700000</v>
      </c>
      <c r="J3673" s="6">
        <f>IFERROR(__xludf.DUMMYFUNCTION("""COMPUTED_VALUE"""),4200000.0)</f>
        <v>4200000</v>
      </c>
      <c r="K3673" s="57">
        <f>IFERROR(__xludf.DUMMYFUNCTION("""COMPUTED_VALUE"""),45674.0)</f>
        <v>45674</v>
      </c>
      <c r="L3673" s="6" t="str">
        <f>IFERROR(__xludf.DUMMYFUNCTION("""COMPUTED_VALUE"""),"FIP General")</f>
        <v>FIP General</v>
      </c>
      <c r="M3673" s="6" t="str">
        <f>IFERROR(__xludf.DUMMYFUNCTION("""COMPUTED_VALUE"""),"Mochammad Fadhillah Hakim,")</f>
        <v>Mochammad Fadhillah Hakim,</v>
      </c>
      <c r="N3673" s="6" t="str">
        <f>IFERROR(__xludf.DUMMYFUNCTION("""COMPUTED_VALUE"""),"FIP Engineering")</f>
        <v>FIP Engineering</v>
      </c>
      <c r="O3673" s="6" t="str">
        <f>IFERROR(__xludf.DUMMYFUNCTION("""COMPUTED_VALUE"""),"FIP-DOM-ENG-13406-FR25001-INA-000000")</f>
        <v>FIP-DOM-ENG-13406-FR25001-INA-000000</v>
      </c>
      <c r="P3673" s="6" t="str">
        <f>IFERROR(__xludf.DUMMYFUNCTION("""COMPUTED_VALUE"""),"PO Closed")</f>
        <v>PO Closed</v>
      </c>
      <c r="Q3673" s="6" t="str">
        <f>IFERROR(__xludf.DUMMYFUNCTION("""COMPUTED_VALUE"""),"GL2502004")</f>
        <v>GL2502004</v>
      </c>
      <c r="R3673" s="57">
        <f>IFERROR(__xludf.DUMMYFUNCTION("""COMPUTED_VALUE"""),45672.0)</f>
        <v>45672</v>
      </c>
      <c r="S3673" s="57">
        <f>IFERROR(__xludf.DUMMYFUNCTION("""COMPUTED_VALUE"""),45681.0)</f>
        <v>45681</v>
      </c>
      <c r="T3673" s="57">
        <f>IFERROR(__xludf.DUMMYFUNCTION("""COMPUTED_VALUE"""),45702.0)</f>
        <v>45702</v>
      </c>
    </row>
    <row r="3674">
      <c r="A3674" s="6" t="str">
        <f>IFERROR(__xludf.DUMMYFUNCTION("""COMPUTED_VALUE"""),"121702286-1")</f>
        <v>121702286-1</v>
      </c>
      <c r="B3674" s="6" t="str">
        <f>IFERROR(__xludf.DUMMYFUNCTION("""COMPUTED_VALUE"""),"121702286 - APPROVED")</f>
        <v>121702286 - APPROVED</v>
      </c>
      <c r="C3674" s="6">
        <f>IFERROR(__xludf.DUMMYFUNCTION("""COMPUTED_VALUE"""),1.0)</f>
        <v>1</v>
      </c>
      <c r="D3674" s="6" t="str">
        <f>IFERROR(__xludf.DUMMYFUNCTION("""COMPUTED_VALUE"""),"O-16980-00")</f>
        <v>O-16980-00</v>
      </c>
      <c r="E3674" s="6" t="str">
        <f>IFERROR(__xludf.DUMMYFUNCTION("""COMPUTED_VALUE"""),"Freeze Dryer MBE1207 - Diaphrapm DA040E2 M4 Saunders CIPTA SOLUSI ANDALAN, PT P/N : -  pc")</f>
        <v>Freeze Dryer MBE1207 - Diaphrapm DA040E2 M4 Saunders CIPTA SOLUSI ANDALAN, PT P/N : -  pc</v>
      </c>
      <c r="F3674" s="6">
        <f>IFERROR(__xludf.DUMMYFUNCTION("""COMPUTED_VALUE"""),18.0)</f>
        <v>18</v>
      </c>
      <c r="G3674" s="6" t="str">
        <f>IFERROR(__xludf.DUMMYFUNCTION("""COMPUTED_VALUE"""),"Pieces")</f>
        <v>Pieces</v>
      </c>
      <c r="H3674" s="6" t="str">
        <f>IFERROR(__xludf.DUMMYFUNCTION("""COMPUTED_VALUE"""),"IDR")</f>
        <v>IDR</v>
      </c>
      <c r="I3674" s="6">
        <f>IFERROR(__xludf.DUMMYFUNCTION("""COMPUTED_VALUE"""),1554200.0)</f>
        <v>1554200</v>
      </c>
      <c r="J3674" s="6">
        <f>IFERROR(__xludf.DUMMYFUNCTION("""COMPUTED_VALUE"""),2.79756E7)</f>
        <v>27975600</v>
      </c>
      <c r="K3674" s="57">
        <f>IFERROR(__xludf.DUMMYFUNCTION("""COMPUTED_VALUE"""),45675.0)</f>
        <v>45675</v>
      </c>
      <c r="L3674" s="6" t="str">
        <f>IFERROR(__xludf.DUMMYFUNCTION("""COMPUTED_VALUE"""),"FIP Engineering")</f>
        <v>FIP Engineering</v>
      </c>
      <c r="M3674" s="6" t="str">
        <f>IFERROR(__xludf.DUMMYFUNCTION("""COMPUTED_VALUE"""),"Mochammad Fadhillah Hakim,")</f>
        <v>Mochammad Fadhillah Hakim,</v>
      </c>
      <c r="N3674" s="6" t="str">
        <f>IFERROR(__xludf.DUMMYFUNCTION("""COMPUTED_VALUE"""),"FIP Engineering")</f>
        <v>FIP Engineering</v>
      </c>
      <c r="O3674" s="6" t="str">
        <f>IFERROR(__xludf.DUMMYFUNCTION("""COMPUTED_VALUE"""),"FIP-DOM-000-11304-OS00001-INA-000000")</f>
        <v>FIP-DOM-000-11304-OS00001-INA-000000</v>
      </c>
      <c r="P3674" s="6" t="str">
        <f>IFERROR(__xludf.DUMMYFUNCTION("""COMPUTED_VALUE"""),"PO Closed")</f>
        <v>PO Closed</v>
      </c>
      <c r="Q3674" s="6" t="str">
        <f>IFERROR(__xludf.DUMMYFUNCTION("""COMPUTED_VALUE"""),"GL2503039")</f>
        <v>GL2503039</v>
      </c>
      <c r="R3674" s="57">
        <f>IFERROR(__xludf.DUMMYFUNCTION("""COMPUTED_VALUE"""),45673.0)</f>
        <v>45673</v>
      </c>
      <c r="S3674" s="57">
        <f>IFERROR(__xludf.DUMMYFUNCTION("""COMPUTED_VALUE"""),45677.0)</f>
        <v>45677</v>
      </c>
      <c r="T3674" s="57">
        <f>IFERROR(__xludf.DUMMYFUNCTION("""COMPUTED_VALUE"""),45868.0)</f>
        <v>45868</v>
      </c>
    </row>
    <row r="3675">
      <c r="A3675" s="6" t="str">
        <f>IFERROR(__xludf.DUMMYFUNCTION("""COMPUTED_VALUE"""),"121702286-2")</f>
        <v>121702286-2</v>
      </c>
      <c r="B3675" s="6" t="str">
        <f>IFERROR(__xludf.DUMMYFUNCTION("""COMPUTED_VALUE"""),"121702286 - APPROVED")</f>
        <v>121702286 - APPROVED</v>
      </c>
      <c r="C3675" s="6">
        <f>IFERROR(__xludf.DUMMYFUNCTION("""COMPUTED_VALUE"""),2.0)</f>
        <v>2</v>
      </c>
      <c r="D3675" s="6" t="str">
        <f>IFERROR(__xludf.DUMMYFUNCTION("""COMPUTED_VALUE"""),"O-16981-00")</f>
        <v>O-16981-00</v>
      </c>
      <c r="E3675" s="6" t="str">
        <f>IFERROR(__xludf.DUMMYFUNCTION("""COMPUTED_VALUE"""),"Freeze Dryer MBE1207 - Diaphrapm DA025E2 M4 Saunders CIPTA SOLUSI ANDALAN, PT P/N : -  pc")</f>
        <v>Freeze Dryer MBE1207 - Diaphrapm DA025E2 M4 Saunders CIPTA SOLUSI ANDALAN, PT P/N : -  pc</v>
      </c>
      <c r="F3675" s="6">
        <f>IFERROR(__xludf.DUMMYFUNCTION("""COMPUTED_VALUE"""),30.0)</f>
        <v>30</v>
      </c>
      <c r="G3675" s="6" t="str">
        <f>IFERROR(__xludf.DUMMYFUNCTION("""COMPUTED_VALUE"""),"Pieces")</f>
        <v>Pieces</v>
      </c>
      <c r="H3675" s="6" t="str">
        <f>IFERROR(__xludf.DUMMYFUNCTION("""COMPUTED_VALUE"""),"IDR")</f>
        <v>IDR</v>
      </c>
      <c r="I3675" s="6">
        <f>IFERROR(__xludf.DUMMYFUNCTION("""COMPUTED_VALUE"""),1102000.0)</f>
        <v>1102000</v>
      </c>
      <c r="J3675" s="6">
        <f>IFERROR(__xludf.DUMMYFUNCTION("""COMPUTED_VALUE"""),3.306E7)</f>
        <v>33060000</v>
      </c>
      <c r="K3675" s="57">
        <f>IFERROR(__xludf.DUMMYFUNCTION("""COMPUTED_VALUE"""),45675.0)</f>
        <v>45675</v>
      </c>
      <c r="L3675" s="6" t="str">
        <f>IFERROR(__xludf.DUMMYFUNCTION("""COMPUTED_VALUE"""),"FIP Engineering")</f>
        <v>FIP Engineering</v>
      </c>
      <c r="M3675" s="6" t="str">
        <f>IFERROR(__xludf.DUMMYFUNCTION("""COMPUTED_VALUE"""),"Mochammad Fadhillah Hakim,")</f>
        <v>Mochammad Fadhillah Hakim,</v>
      </c>
      <c r="N3675" s="6" t="str">
        <f>IFERROR(__xludf.DUMMYFUNCTION("""COMPUTED_VALUE"""),"FIP Engineering")</f>
        <v>FIP Engineering</v>
      </c>
      <c r="O3675" s="6" t="str">
        <f>IFERROR(__xludf.DUMMYFUNCTION("""COMPUTED_VALUE"""),"FIP-DOM-000-11304-OS00001-INA-000000")</f>
        <v>FIP-DOM-000-11304-OS00001-INA-000000</v>
      </c>
      <c r="P3675" s="6" t="str">
        <f>IFERROR(__xludf.DUMMYFUNCTION("""COMPUTED_VALUE"""),"PO Closed")</f>
        <v>PO Closed</v>
      </c>
      <c r="Q3675" s="6" t="str">
        <f>IFERROR(__xludf.DUMMYFUNCTION("""COMPUTED_VALUE"""),"GL2503039")</f>
        <v>GL2503039</v>
      </c>
      <c r="R3675" s="57">
        <f>IFERROR(__xludf.DUMMYFUNCTION("""COMPUTED_VALUE"""),45673.0)</f>
        <v>45673</v>
      </c>
      <c r="S3675" s="57">
        <f>IFERROR(__xludf.DUMMYFUNCTION("""COMPUTED_VALUE"""),45677.0)</f>
        <v>45677</v>
      </c>
      <c r="T3675" s="57">
        <f>IFERROR(__xludf.DUMMYFUNCTION("""COMPUTED_VALUE"""),45868.0)</f>
        <v>45868</v>
      </c>
    </row>
    <row r="3676">
      <c r="A3676" s="6" t="str">
        <f>IFERROR(__xludf.DUMMYFUNCTION("""COMPUTED_VALUE"""),"121702293-1")</f>
        <v>121702293-1</v>
      </c>
      <c r="B3676" s="6" t="str">
        <f>IFERROR(__xludf.DUMMYFUNCTION("""COMPUTED_VALUE"""),"121702293 - APPROVED")</f>
        <v>121702293 - APPROVED</v>
      </c>
      <c r="C3676" s="6">
        <f>IFERROR(__xludf.DUMMYFUNCTION("""COMPUTED_VALUE"""),1.0)</f>
        <v>1</v>
      </c>
      <c r="D3676" s="6" t="str">
        <f>IFERROR(__xludf.DUMMYFUNCTION("""COMPUTED_VALUE"""),"O-15398-00")</f>
        <v>O-15398-00</v>
      </c>
      <c r="E3676" s="6" t="str">
        <f>IFERROR(__xludf.DUMMYFUNCTION("""COMPUTED_VALUE"""),"Bearing - 61800-2RS1 - P/N : -  pc")</f>
        <v>Bearing - 61800-2RS1 - P/N : -  pc</v>
      </c>
      <c r="F3676" s="6">
        <f>IFERROR(__xludf.DUMMYFUNCTION("""COMPUTED_VALUE"""),10.0)</f>
        <v>10</v>
      </c>
      <c r="G3676" s="6" t="str">
        <f>IFERROR(__xludf.DUMMYFUNCTION("""COMPUTED_VALUE"""),"Pieces")</f>
        <v>Pieces</v>
      </c>
      <c r="H3676" s="6" t="str">
        <f>IFERROR(__xludf.DUMMYFUNCTION("""COMPUTED_VALUE"""),"IDR")</f>
        <v>IDR</v>
      </c>
      <c r="I3676" s="6">
        <f>IFERROR(__xludf.DUMMYFUNCTION("""COMPUTED_VALUE"""),100000.0)</f>
        <v>100000</v>
      </c>
      <c r="J3676" s="6">
        <f>IFERROR(__xludf.DUMMYFUNCTION("""COMPUTED_VALUE"""),1000000.0)</f>
        <v>1000000</v>
      </c>
      <c r="K3676" s="57">
        <f>IFERROR(__xludf.DUMMYFUNCTION("""COMPUTED_VALUE"""),45676.0)</f>
        <v>45676</v>
      </c>
      <c r="L3676" s="6" t="str">
        <f>IFERROR(__xludf.DUMMYFUNCTION("""COMPUTED_VALUE"""),"FIP Engineering")</f>
        <v>FIP Engineering</v>
      </c>
      <c r="M3676" s="6" t="str">
        <f>IFERROR(__xludf.DUMMYFUNCTION("""COMPUTED_VALUE"""),"Mochammad Fadhillah Hakim,")</f>
        <v>Mochammad Fadhillah Hakim,</v>
      </c>
      <c r="N3676" s="6" t="str">
        <f>IFERROR(__xludf.DUMMYFUNCTION("""COMPUTED_VALUE"""),"FIP Engineering")</f>
        <v>FIP Engineering</v>
      </c>
      <c r="O3676" s="6" t="str">
        <f>IFERROR(__xludf.DUMMYFUNCTION("""COMPUTED_VALUE"""),"FIP-DOM-000-11304-OS00001-INA-000000")</f>
        <v>FIP-DOM-000-11304-OS00001-INA-000000</v>
      </c>
      <c r="P3676" s="6" t="str">
        <f>IFERROR(__xludf.DUMMYFUNCTION("""COMPUTED_VALUE"""),"PO Closed")</f>
        <v>PO Closed</v>
      </c>
      <c r="Q3676" s="6" t="str">
        <f>IFERROR(__xludf.DUMMYFUNCTION("""COMPUTED_VALUE"""),"GL2503014")</f>
        <v>GL2503014</v>
      </c>
      <c r="R3676" s="57">
        <f>IFERROR(__xludf.DUMMYFUNCTION("""COMPUTED_VALUE"""),45674.0)</f>
        <v>45674</v>
      </c>
      <c r="S3676" s="57">
        <f>IFERROR(__xludf.DUMMYFUNCTION("""COMPUTED_VALUE"""),45680.0)</f>
        <v>45680</v>
      </c>
      <c r="T3676" s="57">
        <f>IFERROR(__xludf.DUMMYFUNCTION("""COMPUTED_VALUE"""),45762.0)</f>
        <v>45762</v>
      </c>
    </row>
    <row r="3677">
      <c r="A3677" s="6" t="str">
        <f>IFERROR(__xludf.DUMMYFUNCTION("""COMPUTED_VALUE"""),"121702293-2")</f>
        <v>121702293-2</v>
      </c>
      <c r="B3677" s="6" t="str">
        <f>IFERROR(__xludf.DUMMYFUNCTION("""COMPUTED_VALUE"""),"121702293 - APPROVED")</f>
        <v>121702293 - APPROVED</v>
      </c>
      <c r="C3677" s="6">
        <f>IFERROR(__xludf.DUMMYFUNCTION("""COMPUTED_VALUE"""),2.0)</f>
        <v>2</v>
      </c>
      <c r="D3677" s="6" t="str">
        <f>IFERROR(__xludf.DUMMYFUNCTION("""COMPUTED_VALUE"""),"O-15398-00")</f>
        <v>O-15398-00</v>
      </c>
      <c r="E3677" s="6" t="str">
        <f>IFERROR(__xludf.DUMMYFUNCTION("""COMPUTED_VALUE"""),"Bearing - 61800-2RS1 - P/N : -  pc")</f>
        <v>Bearing - 61800-2RS1 - P/N : -  pc</v>
      </c>
      <c r="F3677" s="6">
        <f>IFERROR(__xludf.DUMMYFUNCTION("""COMPUTED_VALUE"""),1.0)</f>
        <v>1</v>
      </c>
      <c r="G3677" s="6" t="str">
        <f>IFERROR(__xludf.DUMMYFUNCTION("""COMPUTED_VALUE"""),"Pieces")</f>
        <v>Pieces</v>
      </c>
      <c r="H3677" s="6" t="str">
        <f>IFERROR(__xludf.DUMMYFUNCTION("""COMPUTED_VALUE"""),"IDR")</f>
        <v>IDR</v>
      </c>
      <c r="I3677" s="6">
        <f>IFERROR(__xludf.DUMMYFUNCTION("""COMPUTED_VALUE"""),100000.0)</f>
        <v>100000</v>
      </c>
      <c r="J3677" s="6">
        <f>IFERROR(__xludf.DUMMYFUNCTION("""COMPUTED_VALUE"""),100000.0)</f>
        <v>100000</v>
      </c>
      <c r="K3677" s="57">
        <f>IFERROR(__xludf.DUMMYFUNCTION("""COMPUTED_VALUE"""),45677.0)</f>
        <v>45677</v>
      </c>
      <c r="L3677" s="6" t="str">
        <f>IFERROR(__xludf.DUMMYFUNCTION("""COMPUTED_VALUE"""),"FIP Engineering")</f>
        <v>FIP Engineering</v>
      </c>
      <c r="M3677" s="6" t="str">
        <f>IFERROR(__xludf.DUMMYFUNCTION("""COMPUTED_VALUE"""),"Mochammad Fadhillah Hakim,")</f>
        <v>Mochammad Fadhillah Hakim,</v>
      </c>
      <c r="N3677" s="6" t="str">
        <f>IFERROR(__xludf.DUMMYFUNCTION("""COMPUTED_VALUE"""),"FIP Engineering")</f>
        <v>FIP Engineering</v>
      </c>
      <c r="O3677" s="6" t="str">
        <f>IFERROR(__xludf.DUMMYFUNCTION("""COMPUTED_VALUE"""),"FIP-DOM-000-11304-OS00001-INA-000000")</f>
        <v>FIP-DOM-000-11304-OS00001-INA-000000</v>
      </c>
      <c r="P3677" s="6" t="str">
        <f>IFERROR(__xludf.DUMMYFUNCTION("""COMPUTED_VALUE"""),"PO Closed")</f>
        <v>PO Closed</v>
      </c>
      <c r="Q3677" s="6" t="str">
        <f>IFERROR(__xludf.DUMMYFUNCTION("""COMPUTED_VALUE"""),"GL2503014")</f>
        <v>GL2503014</v>
      </c>
      <c r="R3677" s="57">
        <f>IFERROR(__xludf.DUMMYFUNCTION("""COMPUTED_VALUE"""),45674.0)</f>
        <v>45674</v>
      </c>
      <c r="S3677" s="57">
        <f>IFERROR(__xludf.DUMMYFUNCTION("""COMPUTED_VALUE"""),45680.0)</f>
        <v>45680</v>
      </c>
      <c r="T3677" s="57">
        <f>IFERROR(__xludf.DUMMYFUNCTION("""COMPUTED_VALUE"""),45762.0)</f>
        <v>45762</v>
      </c>
    </row>
    <row r="3678">
      <c r="A3678" s="6" t="str">
        <f>IFERROR(__xludf.DUMMYFUNCTION("""COMPUTED_VALUE"""),"121702298-1")</f>
        <v>121702298-1</v>
      </c>
      <c r="B3678" s="6" t="str">
        <f>IFERROR(__xludf.DUMMYFUNCTION("""COMPUTED_VALUE"""),"121702298 - APPROVED")</f>
        <v>121702298 - APPROVED</v>
      </c>
      <c r="C3678" s="6">
        <f>IFERROR(__xludf.DUMMYFUNCTION("""COMPUTED_VALUE"""),1.0)</f>
        <v>1</v>
      </c>
      <c r="D3678" s="6" t="str">
        <f>IFERROR(__xludf.DUMMYFUNCTION("""COMPUTED_VALUE"""),"P-14245-00")</f>
        <v>P-14245-00</v>
      </c>
      <c r="E3678" s="6" t="str">
        <f>IFERROR(__xludf.DUMMYFUNCTION("""COMPUTED_VALUE"""),"General - Shut off valve HE-2-QS-8;  FESTO; P/N : 153468; 1 Pc")</f>
        <v>General - Shut off valve HE-2-QS-8;  FESTO; P/N : 153468; 1 Pc</v>
      </c>
      <c r="F3678" s="6">
        <f>IFERROR(__xludf.DUMMYFUNCTION("""COMPUTED_VALUE"""),5.0)</f>
        <v>5</v>
      </c>
      <c r="G3678" s="6" t="str">
        <f>IFERROR(__xludf.DUMMYFUNCTION("""COMPUTED_VALUE"""),"Pieces")</f>
        <v>Pieces</v>
      </c>
      <c r="H3678" s="6" t="str">
        <f>IFERROR(__xludf.DUMMYFUNCTION("""COMPUTED_VALUE"""),"IDR")</f>
        <v>IDR</v>
      </c>
      <c r="I3678" s="6">
        <f>IFERROR(__xludf.DUMMYFUNCTION("""COMPUTED_VALUE"""),236049.0)</f>
        <v>236049</v>
      </c>
      <c r="J3678" s="6">
        <f>IFERROR(__xludf.DUMMYFUNCTION("""COMPUTED_VALUE"""),1180245.0)</f>
        <v>1180245</v>
      </c>
      <c r="K3678" s="57">
        <f>IFERROR(__xludf.DUMMYFUNCTION("""COMPUTED_VALUE"""),45705.0)</f>
        <v>45705</v>
      </c>
      <c r="L3678" s="6" t="str">
        <f>IFERROR(__xludf.DUMMYFUNCTION("""COMPUTED_VALUE"""),"FIP Engineering")</f>
        <v>FIP Engineering</v>
      </c>
      <c r="M3678" s="6" t="str">
        <f>IFERROR(__xludf.DUMMYFUNCTION("""COMPUTED_VALUE"""),"Mochammad Fadhillah Hakim,")</f>
        <v>Mochammad Fadhillah Hakim,</v>
      </c>
      <c r="N3678" s="6" t="str">
        <f>IFERROR(__xludf.DUMMYFUNCTION("""COMPUTED_VALUE"""),"FIP Engineering")</f>
        <v>FIP Engineering</v>
      </c>
      <c r="O3678" s="6" t="str">
        <f>IFERROR(__xludf.DUMMYFUNCTION("""COMPUTED_VALUE"""),"FIP-DOM-000-11304-OS00001-INA-000000")</f>
        <v>FIP-DOM-000-11304-OS00001-INA-000000</v>
      </c>
      <c r="P3678" s="6" t="str">
        <f>IFERROR(__xludf.DUMMYFUNCTION("""COMPUTED_VALUE"""),"PO Closed")</f>
        <v>PO Closed</v>
      </c>
      <c r="Q3678" s="6" t="str">
        <f>IFERROR(__xludf.DUMMYFUNCTION("""COMPUTED_VALUE"""),"GL2502334")</f>
        <v>GL2502334</v>
      </c>
      <c r="R3678" s="57">
        <f>IFERROR(__xludf.DUMMYFUNCTION("""COMPUTED_VALUE"""),45675.0)</f>
        <v>45675</v>
      </c>
      <c r="S3678" s="57">
        <f>IFERROR(__xludf.DUMMYFUNCTION("""COMPUTED_VALUE"""),45678.0)</f>
        <v>45678</v>
      </c>
      <c r="T3678" s="57">
        <f>IFERROR(__xludf.DUMMYFUNCTION("""COMPUTED_VALUE"""),45705.0)</f>
        <v>45705</v>
      </c>
    </row>
    <row r="3679">
      <c r="A3679" s="6" t="str">
        <f>IFERROR(__xludf.DUMMYFUNCTION("""COMPUTED_VALUE"""),"121702298-2")</f>
        <v>121702298-2</v>
      </c>
      <c r="B3679" s="6" t="str">
        <f>IFERROR(__xludf.DUMMYFUNCTION("""COMPUTED_VALUE"""),"121702298 - APPROVED")</f>
        <v>121702298 - APPROVED</v>
      </c>
      <c r="C3679" s="6">
        <f>IFERROR(__xludf.DUMMYFUNCTION("""COMPUTED_VALUE"""),2.0)</f>
        <v>2</v>
      </c>
      <c r="D3679" s="6" t="str">
        <f>IFERROR(__xludf.DUMMYFUNCTION("""COMPUTED_VALUE"""),"P-14245-00")</f>
        <v>P-14245-00</v>
      </c>
      <c r="E3679" s="6" t="str">
        <f>IFERROR(__xludf.DUMMYFUNCTION("""COMPUTED_VALUE"""),"General - Shut off valve HE-2-QS-8;  FESTO; P/N : 153468; 1 Pc")</f>
        <v>General - Shut off valve HE-2-QS-8;  FESTO; P/N : 153468; 1 Pc</v>
      </c>
      <c r="F3679" s="6">
        <f>IFERROR(__xludf.DUMMYFUNCTION("""COMPUTED_VALUE"""),5.0)</f>
        <v>5</v>
      </c>
      <c r="G3679" s="6" t="str">
        <f>IFERROR(__xludf.DUMMYFUNCTION("""COMPUTED_VALUE"""),"Pieces")</f>
        <v>Pieces</v>
      </c>
      <c r="H3679" s="6" t="str">
        <f>IFERROR(__xludf.DUMMYFUNCTION("""COMPUTED_VALUE"""),"IDR")</f>
        <v>IDR</v>
      </c>
      <c r="I3679" s="6">
        <f>IFERROR(__xludf.DUMMYFUNCTION("""COMPUTED_VALUE"""),236049.0)</f>
        <v>236049</v>
      </c>
      <c r="J3679" s="6">
        <f>IFERROR(__xludf.DUMMYFUNCTION("""COMPUTED_VALUE"""),1180245.0)</f>
        <v>1180245</v>
      </c>
      <c r="K3679" s="57">
        <f>IFERROR(__xludf.DUMMYFUNCTION("""COMPUTED_VALUE"""),45677.0)</f>
        <v>45677</v>
      </c>
      <c r="L3679" s="6" t="str">
        <f>IFERROR(__xludf.DUMMYFUNCTION("""COMPUTED_VALUE"""),"FIP Engineering")</f>
        <v>FIP Engineering</v>
      </c>
      <c r="M3679" s="6" t="str">
        <f>IFERROR(__xludf.DUMMYFUNCTION("""COMPUTED_VALUE"""),"Mochammad Fadhillah Hakim,")</f>
        <v>Mochammad Fadhillah Hakim,</v>
      </c>
      <c r="N3679" s="6" t="str">
        <f>IFERROR(__xludf.DUMMYFUNCTION("""COMPUTED_VALUE"""),"FIP Engineering")</f>
        <v>FIP Engineering</v>
      </c>
      <c r="O3679" s="6" t="str">
        <f>IFERROR(__xludf.DUMMYFUNCTION("""COMPUTED_VALUE"""),"FIP-DOM-000-11304-OS00001-INA-000000")</f>
        <v>FIP-DOM-000-11304-OS00001-INA-000000</v>
      </c>
      <c r="P3679" s="6" t="str">
        <f>IFERROR(__xludf.DUMMYFUNCTION("""COMPUTED_VALUE"""),"PO Closed")</f>
        <v>PO Closed</v>
      </c>
      <c r="Q3679" s="6" t="str">
        <f>IFERROR(__xludf.DUMMYFUNCTION("""COMPUTED_VALUE"""),"GL2502334")</f>
        <v>GL2502334</v>
      </c>
      <c r="R3679" s="57">
        <f>IFERROR(__xludf.DUMMYFUNCTION("""COMPUTED_VALUE"""),45675.0)</f>
        <v>45675</v>
      </c>
      <c r="S3679" s="57">
        <f>IFERROR(__xludf.DUMMYFUNCTION("""COMPUTED_VALUE"""),45678.0)</f>
        <v>45678</v>
      </c>
      <c r="T3679" s="57">
        <f>IFERROR(__xludf.DUMMYFUNCTION("""COMPUTED_VALUE"""),45677.0)</f>
        <v>45677</v>
      </c>
    </row>
    <row r="3680">
      <c r="A3680" s="6" t="str">
        <f>IFERROR(__xludf.DUMMYFUNCTION("""COMPUTED_VALUE"""),"121702299-1")</f>
        <v>121702299-1</v>
      </c>
      <c r="B3680" s="6" t="str">
        <f>IFERROR(__xludf.DUMMYFUNCTION("""COMPUTED_VALUE"""),"121702299 - APPROVED")</f>
        <v>121702299 - APPROVED</v>
      </c>
      <c r="C3680" s="6">
        <f>IFERROR(__xludf.DUMMYFUNCTION("""COMPUTED_VALUE"""),1.0)</f>
        <v>1</v>
      </c>
      <c r="D3680" s="6" t="str">
        <f>IFERROR(__xludf.DUMMYFUNCTION("""COMPUTED_VALUE"""),"P-11228-00")</f>
        <v>P-11228-00</v>
      </c>
      <c r="E3680" s="6" t="str">
        <f>IFERROR(__xludf.DUMMYFUNCTION("""COMPUTED_VALUE"""),"Pneumatic  Fitting - QST 8 / PN : 153130 / Festo")</f>
        <v>Pneumatic  Fitting - QST 8 / PN : 153130 / Festo</v>
      </c>
      <c r="F3680" s="6">
        <f>IFERROR(__xludf.DUMMYFUNCTION("""COMPUTED_VALUE"""),3.0)</f>
        <v>3</v>
      </c>
      <c r="G3680" s="6" t="str">
        <f>IFERROR(__xludf.DUMMYFUNCTION("""COMPUTED_VALUE"""),"Pieces")</f>
        <v>Pieces</v>
      </c>
      <c r="H3680" s="6" t="str">
        <f>IFERROR(__xludf.DUMMYFUNCTION("""COMPUTED_VALUE"""),"IDR")</f>
        <v>IDR</v>
      </c>
      <c r="I3680" s="6">
        <f>IFERROR(__xludf.DUMMYFUNCTION("""COMPUTED_VALUE"""),70683.0)</f>
        <v>70683</v>
      </c>
      <c r="J3680" s="6">
        <f>IFERROR(__xludf.DUMMYFUNCTION("""COMPUTED_VALUE"""),212049.0)</f>
        <v>212049</v>
      </c>
      <c r="K3680" s="57">
        <f>IFERROR(__xludf.DUMMYFUNCTION("""COMPUTED_VALUE"""),45733.0)</f>
        <v>45733</v>
      </c>
      <c r="L3680" s="6" t="str">
        <f>IFERROR(__xludf.DUMMYFUNCTION("""COMPUTED_VALUE"""),"FIP Engineering")</f>
        <v>FIP Engineering</v>
      </c>
      <c r="M3680" s="6" t="str">
        <f>IFERROR(__xludf.DUMMYFUNCTION("""COMPUTED_VALUE"""),"Mochammad Fadhillah Hakim,")</f>
        <v>Mochammad Fadhillah Hakim,</v>
      </c>
      <c r="N3680" s="6" t="str">
        <f>IFERROR(__xludf.DUMMYFUNCTION("""COMPUTED_VALUE"""),"FIP Engineering")</f>
        <v>FIP Engineering</v>
      </c>
      <c r="O3680" s="6" t="str">
        <f>IFERROR(__xludf.DUMMYFUNCTION("""COMPUTED_VALUE"""),"FIP-DOM-000-11304-OS00001-INA-000000")</f>
        <v>FIP-DOM-000-11304-OS00001-INA-000000</v>
      </c>
      <c r="P3680" s="6" t="str">
        <f>IFERROR(__xludf.DUMMYFUNCTION("""COMPUTED_VALUE"""),"PO Closed")</f>
        <v>PO Closed</v>
      </c>
      <c r="Q3680" s="6" t="str">
        <f>IFERROR(__xludf.DUMMYFUNCTION("""COMPUTED_VALUE"""),"GL2502334")</f>
        <v>GL2502334</v>
      </c>
      <c r="R3680" s="57">
        <f>IFERROR(__xludf.DUMMYFUNCTION("""COMPUTED_VALUE"""),45675.0)</f>
        <v>45675</v>
      </c>
      <c r="S3680" s="57">
        <f>IFERROR(__xludf.DUMMYFUNCTION("""COMPUTED_VALUE"""),45677.0)</f>
        <v>45677</v>
      </c>
      <c r="T3680" s="57">
        <f>IFERROR(__xludf.DUMMYFUNCTION("""COMPUTED_VALUE"""),45733.0)</f>
        <v>45733</v>
      </c>
    </row>
    <row r="3681">
      <c r="A3681" s="6" t="str">
        <f>IFERROR(__xludf.DUMMYFUNCTION("""COMPUTED_VALUE"""),"121702299-2")</f>
        <v>121702299-2</v>
      </c>
      <c r="B3681" s="6" t="str">
        <f>IFERROR(__xludf.DUMMYFUNCTION("""COMPUTED_VALUE"""),"121702299 - APPROVED")</f>
        <v>121702299 - APPROVED</v>
      </c>
      <c r="C3681" s="6">
        <f>IFERROR(__xludf.DUMMYFUNCTION("""COMPUTED_VALUE"""),2.0)</f>
        <v>2</v>
      </c>
      <c r="D3681" s="6" t="str">
        <f>IFERROR(__xludf.DUMMYFUNCTION("""COMPUTED_VALUE"""),"P-11228-00")</f>
        <v>P-11228-00</v>
      </c>
      <c r="E3681" s="6" t="str">
        <f>IFERROR(__xludf.DUMMYFUNCTION("""COMPUTED_VALUE"""),"Pneumatic  Fitting - QST 8 / PN : 153130 / Festo")</f>
        <v>Pneumatic  Fitting - QST 8 / PN : 153130 / Festo</v>
      </c>
      <c r="F3681" s="6">
        <f>IFERROR(__xludf.DUMMYFUNCTION("""COMPUTED_VALUE"""),3.0)</f>
        <v>3</v>
      </c>
      <c r="G3681" s="6" t="str">
        <f>IFERROR(__xludf.DUMMYFUNCTION("""COMPUTED_VALUE"""),"Pieces")</f>
        <v>Pieces</v>
      </c>
      <c r="H3681" s="6" t="str">
        <f>IFERROR(__xludf.DUMMYFUNCTION("""COMPUTED_VALUE"""),"IDR")</f>
        <v>IDR</v>
      </c>
      <c r="I3681" s="6">
        <f>IFERROR(__xludf.DUMMYFUNCTION("""COMPUTED_VALUE"""),70683.0)</f>
        <v>70683</v>
      </c>
      <c r="J3681" s="6">
        <f>IFERROR(__xludf.DUMMYFUNCTION("""COMPUTED_VALUE"""),212049.0)</f>
        <v>212049</v>
      </c>
      <c r="K3681" s="57">
        <f>IFERROR(__xludf.DUMMYFUNCTION("""COMPUTED_VALUE"""),45796.0)</f>
        <v>45796</v>
      </c>
      <c r="L3681" s="6" t="str">
        <f>IFERROR(__xludf.DUMMYFUNCTION("""COMPUTED_VALUE"""),"FIP Engineering")</f>
        <v>FIP Engineering</v>
      </c>
      <c r="M3681" s="6" t="str">
        <f>IFERROR(__xludf.DUMMYFUNCTION("""COMPUTED_VALUE"""),"Mochammad Fadhillah Hakim,")</f>
        <v>Mochammad Fadhillah Hakim,</v>
      </c>
      <c r="N3681" s="6" t="str">
        <f>IFERROR(__xludf.DUMMYFUNCTION("""COMPUTED_VALUE"""),"FIP Engineering")</f>
        <v>FIP Engineering</v>
      </c>
      <c r="O3681" s="6" t="str">
        <f>IFERROR(__xludf.DUMMYFUNCTION("""COMPUTED_VALUE"""),"FIP-DOM-000-11304-OS00001-INA-000000")</f>
        <v>FIP-DOM-000-11304-OS00001-INA-000000</v>
      </c>
      <c r="P3681" s="6" t="str">
        <f>IFERROR(__xludf.DUMMYFUNCTION("""COMPUTED_VALUE"""),"PO Closed")</f>
        <v>PO Closed</v>
      </c>
      <c r="Q3681" s="6" t="str">
        <f>IFERROR(__xludf.DUMMYFUNCTION("""COMPUTED_VALUE"""),"GL2502334")</f>
        <v>GL2502334</v>
      </c>
      <c r="R3681" s="57">
        <f>IFERROR(__xludf.DUMMYFUNCTION("""COMPUTED_VALUE"""),45675.0)</f>
        <v>45675</v>
      </c>
      <c r="S3681" s="57">
        <f>IFERROR(__xludf.DUMMYFUNCTION("""COMPUTED_VALUE"""),45677.0)</f>
        <v>45677</v>
      </c>
      <c r="T3681" s="57">
        <f>IFERROR(__xludf.DUMMYFUNCTION("""COMPUTED_VALUE"""),45796.0)</f>
        <v>45796</v>
      </c>
    </row>
    <row r="3682">
      <c r="A3682" s="6" t="str">
        <f>IFERROR(__xludf.DUMMYFUNCTION("""COMPUTED_VALUE"""),"121702301-1")</f>
        <v>121702301-1</v>
      </c>
      <c r="B3682" s="6" t="str">
        <f>IFERROR(__xludf.DUMMYFUNCTION("""COMPUTED_VALUE"""),"121702301 - APPROVED")</f>
        <v>121702301 - APPROVED</v>
      </c>
      <c r="C3682" s="6">
        <f>IFERROR(__xludf.DUMMYFUNCTION("""COMPUTED_VALUE"""),1.0)</f>
        <v>1</v>
      </c>
      <c r="D3682" s="6" t="str">
        <f>IFERROR(__xludf.DUMMYFUNCTION("""COMPUTED_VALUE"""),"Q-10153-00")</f>
        <v>Q-10153-00</v>
      </c>
      <c r="E3682" s="6" t="str">
        <f>IFERROR(__xludf.DUMMYFUNCTION("""COMPUTED_VALUE"""),"Kuas Cat Roller uk. 110 mm;No Brand;;pack size per set")</f>
        <v>Kuas Cat Roller uk. 110 mm;No Brand;;pack size per set</v>
      </c>
      <c r="F3682" s="6">
        <f>IFERROR(__xludf.DUMMYFUNCTION("""COMPUTED_VALUE"""),25.0)</f>
        <v>25</v>
      </c>
      <c r="G3682" s="6" t="str">
        <f>IFERROR(__xludf.DUMMYFUNCTION("""COMPUTED_VALUE"""),"Pieces")</f>
        <v>Pieces</v>
      </c>
      <c r="H3682" s="6" t="str">
        <f>IFERROR(__xludf.DUMMYFUNCTION("""COMPUTED_VALUE"""),"IDR")</f>
        <v>IDR</v>
      </c>
      <c r="I3682" s="6">
        <f>IFERROR(__xludf.DUMMYFUNCTION("""COMPUTED_VALUE"""),27000.0)</f>
        <v>27000</v>
      </c>
      <c r="J3682" s="6">
        <f>IFERROR(__xludf.DUMMYFUNCTION("""COMPUTED_VALUE"""),675000.0)</f>
        <v>675000</v>
      </c>
      <c r="K3682" s="57">
        <f>IFERROR(__xludf.DUMMYFUNCTION("""COMPUTED_VALUE"""),45712.0)</f>
        <v>45712</v>
      </c>
      <c r="L3682" s="6" t="str">
        <f>IFERROR(__xludf.DUMMYFUNCTION("""COMPUTED_VALUE"""),"FIP Engineering")</f>
        <v>FIP Engineering</v>
      </c>
      <c r="M3682" s="6" t="str">
        <f>IFERROR(__xludf.DUMMYFUNCTION("""COMPUTED_VALUE"""),"Mochammad Fadhillah Hakim,")</f>
        <v>Mochammad Fadhillah Hakim,</v>
      </c>
      <c r="N3682" s="6" t="str">
        <f>IFERROR(__xludf.DUMMYFUNCTION("""COMPUTED_VALUE"""),"FIP Engineering")</f>
        <v>FIP Engineering</v>
      </c>
      <c r="O3682" s="6" t="str">
        <f>IFERROR(__xludf.DUMMYFUNCTION("""COMPUTED_VALUE"""),"FIP-DOM-000-11304-OS00001-INA-000000")</f>
        <v>FIP-DOM-000-11304-OS00001-INA-000000</v>
      </c>
      <c r="P3682" s="6" t="str">
        <f>IFERROR(__xludf.DUMMYFUNCTION("""COMPUTED_VALUE"""),"PO Closed")</f>
        <v>PO Closed</v>
      </c>
      <c r="Q3682" s="6" t="str">
        <f>IFERROR(__xludf.DUMMYFUNCTION("""COMPUTED_VALUE"""),"GL2502028")</f>
        <v>GL2502028</v>
      </c>
      <c r="R3682" s="57">
        <f>IFERROR(__xludf.DUMMYFUNCTION("""COMPUTED_VALUE"""),45675.0)</f>
        <v>45675</v>
      </c>
      <c r="S3682" s="57">
        <f>IFERROR(__xludf.DUMMYFUNCTION("""COMPUTED_VALUE"""),45678.0)</f>
        <v>45678</v>
      </c>
      <c r="T3682" s="57">
        <f>IFERROR(__xludf.DUMMYFUNCTION("""COMPUTED_VALUE"""),45709.0)</f>
        <v>45709</v>
      </c>
    </row>
    <row r="3683">
      <c r="A3683" s="6" t="str">
        <f>IFERROR(__xludf.DUMMYFUNCTION("""COMPUTED_VALUE"""),"121702301-2")</f>
        <v>121702301-2</v>
      </c>
      <c r="B3683" s="6" t="str">
        <f>IFERROR(__xludf.DUMMYFUNCTION("""COMPUTED_VALUE"""),"121702301 - APPROVED")</f>
        <v>121702301 - APPROVED</v>
      </c>
      <c r="C3683" s="6">
        <f>IFERROR(__xludf.DUMMYFUNCTION("""COMPUTED_VALUE"""),2.0)</f>
        <v>2</v>
      </c>
      <c r="D3683" s="6" t="str">
        <f>IFERROR(__xludf.DUMMYFUNCTION("""COMPUTED_VALUE"""),"Q-10153-00")</f>
        <v>Q-10153-00</v>
      </c>
      <c r="E3683" s="6" t="str">
        <f>IFERROR(__xludf.DUMMYFUNCTION("""COMPUTED_VALUE"""),"Kuas Cat Roller uk. 110 mm;No Brand;;pack size per set")</f>
        <v>Kuas Cat Roller uk. 110 mm;No Brand;;pack size per set</v>
      </c>
      <c r="F3683" s="6">
        <f>IFERROR(__xludf.DUMMYFUNCTION("""COMPUTED_VALUE"""),25.0)</f>
        <v>25</v>
      </c>
      <c r="G3683" s="6" t="str">
        <f>IFERROR(__xludf.DUMMYFUNCTION("""COMPUTED_VALUE"""),"Pieces")</f>
        <v>Pieces</v>
      </c>
      <c r="H3683" s="6" t="str">
        <f>IFERROR(__xludf.DUMMYFUNCTION("""COMPUTED_VALUE"""),"IDR")</f>
        <v>IDR</v>
      </c>
      <c r="I3683" s="6">
        <f>IFERROR(__xludf.DUMMYFUNCTION("""COMPUTED_VALUE"""),27000.0)</f>
        <v>27000</v>
      </c>
      <c r="J3683" s="6">
        <f>IFERROR(__xludf.DUMMYFUNCTION("""COMPUTED_VALUE"""),675000.0)</f>
        <v>675000</v>
      </c>
      <c r="K3683" s="57">
        <f>IFERROR(__xludf.DUMMYFUNCTION("""COMPUTED_VALUE"""),45775.0)</f>
        <v>45775</v>
      </c>
      <c r="L3683" s="6" t="str">
        <f>IFERROR(__xludf.DUMMYFUNCTION("""COMPUTED_VALUE"""),"FIP Engineering")</f>
        <v>FIP Engineering</v>
      </c>
      <c r="M3683" s="6" t="str">
        <f>IFERROR(__xludf.DUMMYFUNCTION("""COMPUTED_VALUE"""),"Mochammad Fadhillah Hakim,")</f>
        <v>Mochammad Fadhillah Hakim,</v>
      </c>
      <c r="N3683" s="6" t="str">
        <f>IFERROR(__xludf.DUMMYFUNCTION("""COMPUTED_VALUE"""),"FIP Engineering")</f>
        <v>FIP Engineering</v>
      </c>
      <c r="O3683" s="6" t="str">
        <f>IFERROR(__xludf.DUMMYFUNCTION("""COMPUTED_VALUE"""),"FIP-DOM-000-11304-OS00001-INA-000000")</f>
        <v>FIP-DOM-000-11304-OS00001-INA-000000</v>
      </c>
      <c r="P3683" s="6" t="str">
        <f>IFERROR(__xludf.DUMMYFUNCTION("""COMPUTED_VALUE"""),"PO Closed")</f>
        <v>PO Closed</v>
      </c>
      <c r="Q3683" s="6" t="str">
        <f>IFERROR(__xludf.DUMMYFUNCTION("""COMPUTED_VALUE"""),"GL2502028")</f>
        <v>GL2502028</v>
      </c>
      <c r="R3683" s="57">
        <f>IFERROR(__xludf.DUMMYFUNCTION("""COMPUTED_VALUE"""),45675.0)</f>
        <v>45675</v>
      </c>
      <c r="S3683" s="57">
        <f>IFERROR(__xludf.DUMMYFUNCTION("""COMPUTED_VALUE"""),45678.0)</f>
        <v>45678</v>
      </c>
      <c r="T3683" s="57">
        <f>IFERROR(__xludf.DUMMYFUNCTION("""COMPUTED_VALUE"""),45768.0)</f>
        <v>45768</v>
      </c>
    </row>
    <row r="3684">
      <c r="A3684" s="6" t="str">
        <f>IFERROR(__xludf.DUMMYFUNCTION("""COMPUTED_VALUE"""),"121702303-1")</f>
        <v>121702303-1</v>
      </c>
      <c r="B3684" s="6" t="str">
        <f>IFERROR(__xludf.DUMMYFUNCTION("""COMPUTED_VALUE"""),"121702303 - APPROVED")</f>
        <v>121702303 - APPROVED</v>
      </c>
      <c r="C3684" s="6">
        <f>IFERROR(__xludf.DUMMYFUNCTION("""COMPUTED_VALUE"""),1.0)</f>
        <v>1</v>
      </c>
      <c r="D3684" s="6" t="str">
        <f>IFERROR(__xludf.DUMMYFUNCTION("""COMPUTED_VALUE"""),"Q-60025-00")</f>
        <v>Q-60025-00</v>
      </c>
      <c r="E3684" s="6" t="str">
        <f>IFERROR(__xludf.DUMMYFUNCTION("""COMPUTED_VALUE"""),"Kuas Cat Uk. 1 inch;Eterna;Tipe 611;pack size per pcs")</f>
        <v>Kuas Cat Uk. 1 inch;Eterna;Tipe 611;pack size per pcs</v>
      </c>
      <c r="F3684" s="6">
        <f>IFERROR(__xludf.DUMMYFUNCTION("""COMPUTED_VALUE"""),5.0)</f>
        <v>5</v>
      </c>
      <c r="G3684" s="6" t="str">
        <f>IFERROR(__xludf.DUMMYFUNCTION("""COMPUTED_VALUE"""),"Pieces")</f>
        <v>Pieces</v>
      </c>
      <c r="H3684" s="6" t="str">
        <f>IFERROR(__xludf.DUMMYFUNCTION("""COMPUTED_VALUE"""),"IDR")</f>
        <v>IDR</v>
      </c>
      <c r="I3684" s="6">
        <f>IFERROR(__xludf.DUMMYFUNCTION("""COMPUTED_VALUE"""),2500.0)</f>
        <v>2500</v>
      </c>
      <c r="J3684" s="6">
        <f>IFERROR(__xludf.DUMMYFUNCTION("""COMPUTED_VALUE"""),12500.0)</f>
        <v>12500</v>
      </c>
      <c r="K3684" s="57">
        <f>IFERROR(__xludf.DUMMYFUNCTION("""COMPUTED_VALUE"""),45677.0)</f>
        <v>45677</v>
      </c>
      <c r="L3684" s="6" t="str">
        <f>IFERROR(__xludf.DUMMYFUNCTION("""COMPUTED_VALUE"""),"FIP General")</f>
        <v>FIP General</v>
      </c>
      <c r="M3684" s="6" t="str">
        <f>IFERROR(__xludf.DUMMYFUNCTION("""COMPUTED_VALUE"""),"Mochammad Fadhillah Hakim,")</f>
        <v>Mochammad Fadhillah Hakim,</v>
      </c>
      <c r="N3684" s="6" t="str">
        <f>IFERROR(__xludf.DUMMYFUNCTION("""COMPUTED_VALUE"""),"FIP Engineering")</f>
        <v>FIP Engineering</v>
      </c>
      <c r="O3684" s="6" t="str">
        <f>IFERROR(__xludf.DUMMYFUNCTION("""COMPUTED_VALUE"""),"FIP-DOM-ENG-51404-0000000-INA-000000")</f>
        <v>FIP-DOM-ENG-51404-0000000-INA-000000</v>
      </c>
      <c r="P3684" s="6" t="str">
        <f>IFERROR(__xludf.DUMMYFUNCTION("""COMPUTED_VALUE"""),"PO Closed")</f>
        <v>PO Closed</v>
      </c>
      <c r="Q3684" s="6" t="str">
        <f>IFERROR(__xludf.DUMMYFUNCTION("""COMPUTED_VALUE"""),"GL2502052")</f>
        <v>GL2502052</v>
      </c>
      <c r="R3684" s="57">
        <f>IFERROR(__xludf.DUMMYFUNCTION("""COMPUTED_VALUE"""),45675.0)</f>
        <v>45675</v>
      </c>
      <c r="S3684" s="57">
        <f>IFERROR(__xludf.DUMMYFUNCTION("""COMPUTED_VALUE"""),45677.0)</f>
        <v>45677</v>
      </c>
      <c r="T3684" s="57">
        <f>IFERROR(__xludf.DUMMYFUNCTION("""COMPUTED_VALUE"""),45721.0)</f>
        <v>45721</v>
      </c>
    </row>
    <row r="3685">
      <c r="A3685" s="6" t="str">
        <f>IFERROR(__xludf.DUMMYFUNCTION("""COMPUTED_VALUE"""),"121702304-1")</f>
        <v>121702304-1</v>
      </c>
      <c r="B3685" s="6" t="str">
        <f>IFERROR(__xludf.DUMMYFUNCTION("""COMPUTED_VALUE"""),"121702304 - APPROVED")</f>
        <v>121702304 - APPROVED</v>
      </c>
      <c r="C3685" s="6">
        <f>IFERROR(__xludf.DUMMYFUNCTION("""COMPUTED_VALUE"""),1.0)</f>
        <v>1</v>
      </c>
      <c r="D3685" s="6" t="str">
        <f>IFERROR(__xludf.DUMMYFUNCTION("""COMPUTED_VALUE"""),"O-54015-00")</f>
        <v>O-54015-00</v>
      </c>
      <c r="E3685" s="6" t="str">
        <f>IFERROR(__xludf.DUMMYFUNCTION("""COMPUTED_VALUE"""),"STOP KONTAK LUBANG 4, BROCO")</f>
        <v>STOP KONTAK LUBANG 4, BROCO</v>
      </c>
      <c r="F3685" s="6">
        <f>IFERROR(__xludf.DUMMYFUNCTION("""COMPUTED_VALUE"""),15.0)</f>
        <v>15</v>
      </c>
      <c r="G3685" s="6" t="str">
        <f>IFERROR(__xludf.DUMMYFUNCTION("""COMPUTED_VALUE"""),"Unit")</f>
        <v>Unit</v>
      </c>
      <c r="H3685" s="6" t="str">
        <f>IFERROR(__xludf.DUMMYFUNCTION("""COMPUTED_VALUE"""),"IDR")</f>
        <v>IDR</v>
      </c>
      <c r="I3685" s="6">
        <f>IFERROR(__xludf.DUMMYFUNCTION("""COMPUTED_VALUE"""),49000.0)</f>
        <v>49000</v>
      </c>
      <c r="J3685" s="6">
        <f>IFERROR(__xludf.DUMMYFUNCTION("""COMPUTED_VALUE"""),735000.0)</f>
        <v>735000</v>
      </c>
      <c r="K3685" s="57">
        <f>IFERROR(__xludf.DUMMYFUNCTION("""COMPUTED_VALUE"""),45719.0)</f>
        <v>45719</v>
      </c>
      <c r="L3685" s="6" t="str">
        <f>IFERROR(__xludf.DUMMYFUNCTION("""COMPUTED_VALUE"""),"FIP Engineering")</f>
        <v>FIP Engineering</v>
      </c>
      <c r="M3685" s="6" t="str">
        <f>IFERROR(__xludf.DUMMYFUNCTION("""COMPUTED_VALUE"""),"Mochammad Fadhillah Hakim,")</f>
        <v>Mochammad Fadhillah Hakim,</v>
      </c>
      <c r="N3685" s="6" t="str">
        <f>IFERROR(__xludf.DUMMYFUNCTION("""COMPUTED_VALUE"""),"FIP Engineering")</f>
        <v>FIP Engineering</v>
      </c>
      <c r="O3685" s="6" t="str">
        <f>IFERROR(__xludf.DUMMYFUNCTION("""COMPUTED_VALUE"""),"FIP-DOM-000-11304-OS00001-INA-000000")</f>
        <v>FIP-DOM-000-11304-OS00001-INA-000000</v>
      </c>
      <c r="P3685" s="6" t="str">
        <f>IFERROR(__xludf.DUMMYFUNCTION("""COMPUTED_VALUE"""),"PO Closed")</f>
        <v>PO Closed</v>
      </c>
      <c r="Q3685" s="6" t="str">
        <f>IFERROR(__xludf.DUMMYFUNCTION("""COMPUTED_VALUE"""),"GL2502338")</f>
        <v>GL2502338</v>
      </c>
      <c r="R3685" s="57">
        <f>IFERROR(__xludf.DUMMYFUNCTION("""COMPUTED_VALUE"""),45675.0)</f>
        <v>45675</v>
      </c>
      <c r="S3685" s="57">
        <f>IFERROR(__xludf.DUMMYFUNCTION("""COMPUTED_VALUE"""),45677.0)</f>
        <v>45677</v>
      </c>
      <c r="T3685" s="57">
        <f>IFERROR(__xludf.DUMMYFUNCTION("""COMPUTED_VALUE"""),45726.0)</f>
        <v>45726</v>
      </c>
    </row>
    <row r="3686">
      <c r="A3686" s="6" t="str">
        <f>IFERROR(__xludf.DUMMYFUNCTION("""COMPUTED_VALUE"""),"121702304-2")</f>
        <v>121702304-2</v>
      </c>
      <c r="B3686" s="6" t="str">
        <f>IFERROR(__xludf.DUMMYFUNCTION("""COMPUTED_VALUE"""),"121702304 - APPROVED")</f>
        <v>121702304 - APPROVED</v>
      </c>
      <c r="C3686" s="6">
        <f>IFERROR(__xludf.DUMMYFUNCTION("""COMPUTED_VALUE"""),2.0)</f>
        <v>2</v>
      </c>
      <c r="D3686" s="6" t="str">
        <f>IFERROR(__xludf.DUMMYFUNCTION("""COMPUTED_VALUE"""),"O-54015-00")</f>
        <v>O-54015-00</v>
      </c>
      <c r="E3686" s="6" t="str">
        <f>IFERROR(__xludf.DUMMYFUNCTION("""COMPUTED_VALUE"""),"STOP KONTAK LUBANG 4, BROCO")</f>
        <v>STOP KONTAK LUBANG 4, BROCO</v>
      </c>
      <c r="F3686" s="6">
        <f>IFERROR(__xludf.DUMMYFUNCTION("""COMPUTED_VALUE"""),15.0)</f>
        <v>15</v>
      </c>
      <c r="G3686" s="6" t="str">
        <f>IFERROR(__xludf.DUMMYFUNCTION("""COMPUTED_VALUE"""),"Unit")</f>
        <v>Unit</v>
      </c>
      <c r="H3686" s="6" t="str">
        <f>IFERROR(__xludf.DUMMYFUNCTION("""COMPUTED_VALUE"""),"IDR")</f>
        <v>IDR</v>
      </c>
      <c r="I3686" s="6">
        <f>IFERROR(__xludf.DUMMYFUNCTION("""COMPUTED_VALUE"""),49000.0)</f>
        <v>49000</v>
      </c>
      <c r="J3686" s="6">
        <f>IFERROR(__xludf.DUMMYFUNCTION("""COMPUTED_VALUE"""),735000.0)</f>
        <v>735000</v>
      </c>
      <c r="K3686" s="57">
        <f>IFERROR(__xludf.DUMMYFUNCTION("""COMPUTED_VALUE"""),45803.0)</f>
        <v>45803</v>
      </c>
      <c r="L3686" s="6" t="str">
        <f>IFERROR(__xludf.DUMMYFUNCTION("""COMPUTED_VALUE"""),"FIP Engineering")</f>
        <v>FIP Engineering</v>
      </c>
      <c r="M3686" s="6" t="str">
        <f>IFERROR(__xludf.DUMMYFUNCTION("""COMPUTED_VALUE"""),"Mochammad Fadhillah Hakim,")</f>
        <v>Mochammad Fadhillah Hakim,</v>
      </c>
      <c r="N3686" s="6" t="str">
        <f>IFERROR(__xludf.DUMMYFUNCTION("""COMPUTED_VALUE"""),"FIP Engineering")</f>
        <v>FIP Engineering</v>
      </c>
      <c r="O3686" s="6" t="str">
        <f>IFERROR(__xludf.DUMMYFUNCTION("""COMPUTED_VALUE"""),"FIP-DOM-000-11304-OS00001-INA-000000")</f>
        <v>FIP-DOM-000-11304-OS00001-INA-000000</v>
      </c>
      <c r="P3686" s="6" t="str">
        <f>IFERROR(__xludf.DUMMYFUNCTION("""COMPUTED_VALUE"""),"PO Closed")</f>
        <v>PO Closed</v>
      </c>
      <c r="Q3686" s="6" t="str">
        <f>IFERROR(__xludf.DUMMYFUNCTION("""COMPUTED_VALUE"""),"GL2502338")</f>
        <v>GL2502338</v>
      </c>
      <c r="R3686" s="57">
        <f>IFERROR(__xludf.DUMMYFUNCTION("""COMPUTED_VALUE"""),45675.0)</f>
        <v>45675</v>
      </c>
      <c r="S3686" s="57">
        <f>IFERROR(__xludf.DUMMYFUNCTION("""COMPUTED_VALUE"""),45677.0)</f>
        <v>45677</v>
      </c>
      <c r="T3686" s="57">
        <f>IFERROR(__xludf.DUMMYFUNCTION("""COMPUTED_VALUE"""),45803.0)</f>
        <v>45803</v>
      </c>
    </row>
    <row r="3687">
      <c r="A3687" s="6" t="str">
        <f>IFERROR(__xludf.DUMMYFUNCTION("""COMPUTED_VALUE"""),"121702305-1")</f>
        <v>121702305-1</v>
      </c>
      <c r="B3687" s="6" t="str">
        <f>IFERROR(__xludf.DUMMYFUNCTION("""COMPUTED_VALUE"""),"121702305 - APPROVED")</f>
        <v>121702305 - APPROVED</v>
      </c>
      <c r="C3687" s="6">
        <f>IFERROR(__xludf.DUMMYFUNCTION("""COMPUTED_VALUE"""),1.0)</f>
        <v>1</v>
      </c>
      <c r="D3687" s="6" t="str">
        <f>IFERROR(__xludf.DUMMYFUNCTION("""COMPUTED_VALUE"""),"P-14877-00")</f>
        <v>P-14877-00</v>
      </c>
      <c r="E3687" s="6" t="str">
        <f>IFERROR(__xludf.DUMMYFUNCTION("""COMPUTED_VALUE"""),"General - Kabel NYYHY 3 x 2,5mm; Supreme; -; 1 meter")</f>
        <v>General - Kabel NYYHY 3 x 2,5mm; Supreme; -; 1 meter</v>
      </c>
      <c r="F3687" s="6">
        <f>IFERROR(__xludf.DUMMYFUNCTION("""COMPUTED_VALUE"""),100.0)</f>
        <v>100</v>
      </c>
      <c r="G3687" s="6" t="str">
        <f>IFERROR(__xludf.DUMMYFUNCTION("""COMPUTED_VALUE"""),"Meter")</f>
        <v>Meter</v>
      </c>
      <c r="H3687" s="6" t="str">
        <f>IFERROR(__xludf.DUMMYFUNCTION("""COMPUTED_VALUE"""),"IDR")</f>
        <v>IDR</v>
      </c>
      <c r="I3687" s="6">
        <f>IFERROR(__xludf.DUMMYFUNCTION("""COMPUTED_VALUE"""),24875.0)</f>
        <v>24875</v>
      </c>
      <c r="J3687" s="6">
        <f>IFERROR(__xludf.DUMMYFUNCTION("""COMPUTED_VALUE"""),2487500.0)</f>
        <v>2487500</v>
      </c>
      <c r="K3687" s="57">
        <f>IFERROR(__xludf.DUMMYFUNCTION("""COMPUTED_VALUE"""),45719.0)</f>
        <v>45719</v>
      </c>
      <c r="L3687" s="6" t="str">
        <f>IFERROR(__xludf.DUMMYFUNCTION("""COMPUTED_VALUE"""),"FIP General")</f>
        <v>FIP General</v>
      </c>
      <c r="M3687" s="6" t="str">
        <f>IFERROR(__xludf.DUMMYFUNCTION("""COMPUTED_VALUE"""),"Mochammad Fadhillah Hakim,")</f>
        <v>Mochammad Fadhillah Hakim,</v>
      </c>
      <c r="N3687" s="6" t="str">
        <f>IFERROR(__xludf.DUMMYFUNCTION("""COMPUTED_VALUE"""),"FIP Engineering")</f>
        <v>FIP Engineering</v>
      </c>
      <c r="O3687" s="6" t="str">
        <f>IFERROR(__xludf.DUMMYFUNCTION("""COMPUTED_VALUE"""),"FIP-DOM-ENG-51504-0000000-INA-000000")</f>
        <v>FIP-DOM-ENG-51504-0000000-INA-000000</v>
      </c>
      <c r="P3687" s="6" t="str">
        <f>IFERROR(__xludf.DUMMYFUNCTION("""COMPUTED_VALUE"""),"PO Closed")</f>
        <v>PO Closed</v>
      </c>
      <c r="Q3687" s="6" t="str">
        <f>IFERROR(__xludf.DUMMYFUNCTION("""COMPUTED_VALUE"""),"GL2502332")</f>
        <v>GL2502332</v>
      </c>
      <c r="R3687" s="57">
        <f>IFERROR(__xludf.DUMMYFUNCTION("""COMPUTED_VALUE"""),45675.0)</f>
        <v>45675</v>
      </c>
      <c r="S3687" s="57">
        <f>IFERROR(__xludf.DUMMYFUNCTION("""COMPUTED_VALUE"""),45678.0)</f>
        <v>45678</v>
      </c>
      <c r="T3687" s="57">
        <f>IFERROR(__xludf.DUMMYFUNCTION("""COMPUTED_VALUE"""),45719.0)</f>
        <v>45719</v>
      </c>
    </row>
    <row r="3688">
      <c r="A3688" s="6" t="str">
        <f>IFERROR(__xludf.DUMMYFUNCTION("""COMPUTED_VALUE"""),"121702306-1")</f>
        <v>121702306-1</v>
      </c>
      <c r="B3688" s="6" t="str">
        <f>IFERROR(__xludf.DUMMYFUNCTION("""COMPUTED_VALUE"""),"121702306 - APPROVED")</f>
        <v>121702306 - APPROVED</v>
      </c>
      <c r="C3688" s="6">
        <f>IFERROR(__xludf.DUMMYFUNCTION("""COMPUTED_VALUE"""),1.0)</f>
        <v>1</v>
      </c>
      <c r="D3688" s="6" t="str">
        <f>IFERROR(__xludf.DUMMYFUNCTION("""COMPUTED_VALUE"""),"P-53102-00")</f>
        <v>P-53102-00</v>
      </c>
      <c r="E3688" s="6" t="str">
        <f>IFERROR(__xludf.DUMMYFUNCTION("""COMPUTED_VALUE"""),"Lampu PLC 13watt/E27 Putih; Phillips; ;")</f>
        <v>Lampu PLC 13watt/E27 Putih; Phillips; ;</v>
      </c>
      <c r="F3688" s="6">
        <f>IFERROR(__xludf.DUMMYFUNCTION("""COMPUTED_VALUE"""),15.0)</f>
        <v>15</v>
      </c>
      <c r="G3688" s="6" t="str">
        <f>IFERROR(__xludf.DUMMYFUNCTION("""COMPUTED_VALUE"""),"Pieces")</f>
        <v>Pieces</v>
      </c>
      <c r="H3688" s="6" t="str">
        <f>IFERROR(__xludf.DUMMYFUNCTION("""COMPUTED_VALUE"""),"IDR")</f>
        <v>IDR</v>
      </c>
      <c r="I3688" s="6">
        <f>IFERROR(__xludf.DUMMYFUNCTION("""COMPUTED_VALUE"""),53000.0)</f>
        <v>53000</v>
      </c>
      <c r="J3688" s="6">
        <f>IFERROR(__xludf.DUMMYFUNCTION("""COMPUTED_VALUE"""),795000.0)</f>
        <v>795000</v>
      </c>
      <c r="K3688" s="57">
        <f>IFERROR(__xludf.DUMMYFUNCTION("""COMPUTED_VALUE"""),45748.0)</f>
        <v>45748</v>
      </c>
      <c r="L3688" s="6" t="str">
        <f>IFERROR(__xludf.DUMMYFUNCTION("""COMPUTED_VALUE"""),"FIP Engineering")</f>
        <v>FIP Engineering</v>
      </c>
      <c r="M3688" s="6" t="str">
        <f>IFERROR(__xludf.DUMMYFUNCTION("""COMPUTED_VALUE"""),"Mochammad Fadhillah Hakim,")</f>
        <v>Mochammad Fadhillah Hakim,</v>
      </c>
      <c r="N3688" s="6" t="str">
        <f>IFERROR(__xludf.DUMMYFUNCTION("""COMPUTED_VALUE"""),"FIP Engineering")</f>
        <v>FIP Engineering</v>
      </c>
      <c r="O3688" s="6" t="str">
        <f>IFERROR(__xludf.DUMMYFUNCTION("""COMPUTED_VALUE"""),"FIP-DOM-000-11304-OS00001-INA-000000")</f>
        <v>FIP-DOM-000-11304-OS00001-INA-000000</v>
      </c>
      <c r="P3688" s="6" t="str">
        <f>IFERROR(__xludf.DUMMYFUNCTION("""COMPUTED_VALUE"""),"PO Closed")</f>
        <v>PO Closed</v>
      </c>
      <c r="Q3688" s="6" t="str">
        <f>IFERROR(__xludf.DUMMYFUNCTION("""COMPUTED_VALUE"""),"GL2501319")</f>
        <v>GL2501319</v>
      </c>
      <c r="R3688" s="57">
        <f>IFERROR(__xludf.DUMMYFUNCTION("""COMPUTED_VALUE"""),45675.0)</f>
        <v>45675</v>
      </c>
      <c r="S3688" s="57">
        <f>IFERROR(__xludf.DUMMYFUNCTION("""COMPUTED_VALUE"""),45675.0)</f>
        <v>45675</v>
      </c>
      <c r="T3688" s="57">
        <f>IFERROR(__xludf.DUMMYFUNCTION("""COMPUTED_VALUE"""),45748.0)</f>
        <v>45748</v>
      </c>
    </row>
    <row r="3689">
      <c r="A3689" s="6" t="str">
        <f>IFERROR(__xludf.DUMMYFUNCTION("""COMPUTED_VALUE"""),"121702306-2")</f>
        <v>121702306-2</v>
      </c>
      <c r="B3689" s="6" t="str">
        <f>IFERROR(__xludf.DUMMYFUNCTION("""COMPUTED_VALUE"""),"121702306 - APPROVED")</f>
        <v>121702306 - APPROVED</v>
      </c>
      <c r="C3689" s="6">
        <f>IFERROR(__xludf.DUMMYFUNCTION("""COMPUTED_VALUE"""),2.0)</f>
        <v>2</v>
      </c>
      <c r="D3689" s="6" t="str">
        <f>IFERROR(__xludf.DUMMYFUNCTION("""COMPUTED_VALUE"""),"P-53102-00")</f>
        <v>P-53102-00</v>
      </c>
      <c r="E3689" s="6" t="str">
        <f>IFERROR(__xludf.DUMMYFUNCTION("""COMPUTED_VALUE"""),"Lampu PLC 13watt/E27 Putih; Phillips; ;")</f>
        <v>Lampu PLC 13watt/E27 Putih; Phillips; ;</v>
      </c>
      <c r="F3689" s="6">
        <f>IFERROR(__xludf.DUMMYFUNCTION("""COMPUTED_VALUE"""),15.0)</f>
        <v>15</v>
      </c>
      <c r="G3689" s="6" t="str">
        <f>IFERROR(__xludf.DUMMYFUNCTION("""COMPUTED_VALUE"""),"Pieces")</f>
        <v>Pieces</v>
      </c>
      <c r="H3689" s="6" t="str">
        <f>IFERROR(__xludf.DUMMYFUNCTION("""COMPUTED_VALUE"""),"IDR")</f>
        <v>IDR</v>
      </c>
      <c r="I3689" s="6">
        <f>IFERROR(__xludf.DUMMYFUNCTION("""COMPUTED_VALUE"""),53000.0)</f>
        <v>53000</v>
      </c>
      <c r="J3689" s="6">
        <f>IFERROR(__xludf.DUMMYFUNCTION("""COMPUTED_VALUE"""),795000.0)</f>
        <v>795000</v>
      </c>
      <c r="K3689" s="57">
        <f>IFERROR(__xludf.DUMMYFUNCTION("""COMPUTED_VALUE"""),45824.0)</f>
        <v>45824</v>
      </c>
      <c r="L3689" s="6" t="str">
        <f>IFERROR(__xludf.DUMMYFUNCTION("""COMPUTED_VALUE"""),"FIP Engineering")</f>
        <v>FIP Engineering</v>
      </c>
      <c r="M3689" s="6" t="str">
        <f>IFERROR(__xludf.DUMMYFUNCTION("""COMPUTED_VALUE"""),"Mochammad Fadhillah Hakim,")</f>
        <v>Mochammad Fadhillah Hakim,</v>
      </c>
      <c r="N3689" s="6" t="str">
        <f>IFERROR(__xludf.DUMMYFUNCTION("""COMPUTED_VALUE"""),"FIP Engineering")</f>
        <v>FIP Engineering</v>
      </c>
      <c r="O3689" s="6" t="str">
        <f>IFERROR(__xludf.DUMMYFUNCTION("""COMPUTED_VALUE"""),"FIP-DOM-000-11304-OS00001-INA-000000")</f>
        <v>FIP-DOM-000-11304-OS00001-INA-000000</v>
      </c>
      <c r="P3689" s="6" t="str">
        <f>IFERROR(__xludf.DUMMYFUNCTION("""COMPUTED_VALUE"""),"PO Closed")</f>
        <v>PO Closed</v>
      </c>
      <c r="Q3689" s="6" t="str">
        <f>IFERROR(__xludf.DUMMYFUNCTION("""COMPUTED_VALUE"""),"GL2501319")</f>
        <v>GL2501319</v>
      </c>
      <c r="R3689" s="57">
        <f>IFERROR(__xludf.DUMMYFUNCTION("""COMPUTED_VALUE"""),45675.0)</f>
        <v>45675</v>
      </c>
      <c r="S3689" s="57">
        <f>IFERROR(__xludf.DUMMYFUNCTION("""COMPUTED_VALUE"""),45675.0)</f>
        <v>45675</v>
      </c>
      <c r="T3689" s="57">
        <f>IFERROR(__xludf.DUMMYFUNCTION("""COMPUTED_VALUE"""),45824.0)</f>
        <v>45824</v>
      </c>
    </row>
    <row r="3690">
      <c r="A3690" s="6" t="str">
        <f>IFERROR(__xludf.DUMMYFUNCTION("""COMPUTED_VALUE"""),"121702307-1")</f>
        <v>121702307-1</v>
      </c>
      <c r="B3690" s="6" t="str">
        <f>IFERROR(__xludf.DUMMYFUNCTION("""COMPUTED_VALUE"""),"121702307 - APPROVED")</f>
        <v>121702307 - APPROVED</v>
      </c>
      <c r="C3690" s="6">
        <f>IFERROR(__xludf.DUMMYFUNCTION("""COMPUTED_VALUE"""),1.0)</f>
        <v>1</v>
      </c>
      <c r="D3690" s="6" t="str">
        <f>IFERROR(__xludf.DUMMYFUNCTION("""COMPUTED_VALUE"""),"T-80109-00")</f>
        <v>T-80109-00</v>
      </c>
      <c r="E3690" s="6" t="str">
        <f>IFERROR(__xludf.DUMMYFUNCTION("""COMPUTED_VALUE"""),"Cellotape / Lakban Kertas 1 inch warna Putih")</f>
        <v>Cellotape / Lakban Kertas 1 inch warna Putih</v>
      </c>
      <c r="F3690" s="6">
        <f>IFERROR(__xludf.DUMMYFUNCTION("""COMPUTED_VALUE"""),30.0)</f>
        <v>30</v>
      </c>
      <c r="G3690" s="6" t="str">
        <f>IFERROR(__xludf.DUMMYFUNCTION("""COMPUTED_VALUE"""),"Roll")</f>
        <v>Roll</v>
      </c>
      <c r="H3690" s="6" t="str">
        <f>IFERROR(__xludf.DUMMYFUNCTION("""COMPUTED_VALUE"""),"IDR")</f>
        <v>IDR</v>
      </c>
      <c r="I3690" s="6">
        <f>IFERROR(__xludf.DUMMYFUNCTION("""COMPUTED_VALUE"""),5500.0)</f>
        <v>5500</v>
      </c>
      <c r="J3690" s="6">
        <f>IFERROR(__xludf.DUMMYFUNCTION("""COMPUTED_VALUE"""),165000.0)</f>
        <v>165000</v>
      </c>
      <c r="K3690" s="57">
        <f>IFERROR(__xludf.DUMMYFUNCTION("""COMPUTED_VALUE"""),45712.0)</f>
        <v>45712</v>
      </c>
      <c r="L3690" s="6" t="str">
        <f>IFERROR(__xludf.DUMMYFUNCTION("""COMPUTED_VALUE"""),"FIP General")</f>
        <v>FIP General</v>
      </c>
      <c r="M3690" s="6" t="str">
        <f>IFERROR(__xludf.DUMMYFUNCTION("""COMPUTED_VALUE"""),"Mochammad Fadhillah Hakim,")</f>
        <v>Mochammad Fadhillah Hakim,</v>
      </c>
      <c r="N3690" s="6" t="str">
        <f>IFERROR(__xludf.DUMMYFUNCTION("""COMPUTED_VALUE"""),"FIP Engineering")</f>
        <v>FIP Engineering</v>
      </c>
      <c r="O3690" s="6" t="str">
        <f>IFERROR(__xludf.DUMMYFUNCTION("""COMPUTED_VALUE"""),"FIP-DOM-ENG-51411-0000000-INA-000000")</f>
        <v>FIP-DOM-ENG-51411-0000000-INA-000000</v>
      </c>
      <c r="P3690" s="6" t="str">
        <f>IFERROR(__xludf.DUMMYFUNCTION("""COMPUTED_VALUE"""),"PO Closed")</f>
        <v>PO Closed</v>
      </c>
      <c r="Q3690" s="6" t="str">
        <f>IFERROR(__xludf.DUMMYFUNCTION("""COMPUTED_VALUE"""),"GL2501045")</f>
        <v>GL2501045</v>
      </c>
      <c r="R3690" s="57">
        <f>IFERROR(__xludf.DUMMYFUNCTION("""COMPUTED_VALUE"""),45675.0)</f>
        <v>45675</v>
      </c>
      <c r="S3690" s="57">
        <f>IFERROR(__xludf.DUMMYFUNCTION("""COMPUTED_VALUE"""),45675.0)</f>
        <v>45675</v>
      </c>
      <c r="T3690" s="57">
        <f>IFERROR(__xludf.DUMMYFUNCTION("""COMPUTED_VALUE"""),45712.0)</f>
        <v>45712</v>
      </c>
    </row>
    <row r="3691">
      <c r="A3691" s="6" t="str">
        <f>IFERROR(__xludf.DUMMYFUNCTION("""COMPUTED_VALUE"""),"121702307-2")</f>
        <v>121702307-2</v>
      </c>
      <c r="B3691" s="6" t="str">
        <f>IFERROR(__xludf.DUMMYFUNCTION("""COMPUTED_VALUE"""),"121702307 - APPROVED")</f>
        <v>121702307 - APPROVED</v>
      </c>
      <c r="C3691" s="6">
        <f>IFERROR(__xludf.DUMMYFUNCTION("""COMPUTED_VALUE"""),2.0)</f>
        <v>2</v>
      </c>
      <c r="D3691" s="6" t="str">
        <f>IFERROR(__xludf.DUMMYFUNCTION("""COMPUTED_VALUE"""),"T-80109-00")</f>
        <v>T-80109-00</v>
      </c>
      <c r="E3691" s="6" t="str">
        <f>IFERROR(__xludf.DUMMYFUNCTION("""COMPUTED_VALUE"""),"Cellotape / Lakban Kertas 1 inch warna Putih")</f>
        <v>Cellotape / Lakban Kertas 1 inch warna Putih</v>
      </c>
      <c r="F3691" s="6">
        <f>IFERROR(__xludf.DUMMYFUNCTION("""COMPUTED_VALUE"""),30.0)</f>
        <v>30</v>
      </c>
      <c r="G3691" s="6" t="str">
        <f>IFERROR(__xludf.DUMMYFUNCTION("""COMPUTED_VALUE"""),"Roll")</f>
        <v>Roll</v>
      </c>
      <c r="H3691" s="6" t="str">
        <f>IFERROR(__xludf.DUMMYFUNCTION("""COMPUTED_VALUE"""),"IDR")</f>
        <v>IDR</v>
      </c>
      <c r="I3691" s="6">
        <f>IFERROR(__xludf.DUMMYFUNCTION("""COMPUTED_VALUE"""),5500.0)</f>
        <v>5500</v>
      </c>
      <c r="J3691" s="6">
        <f>IFERROR(__xludf.DUMMYFUNCTION("""COMPUTED_VALUE"""),165000.0)</f>
        <v>165000</v>
      </c>
      <c r="K3691" s="57">
        <f>IFERROR(__xludf.DUMMYFUNCTION("""COMPUTED_VALUE"""),45782.0)</f>
        <v>45782</v>
      </c>
      <c r="L3691" s="6" t="str">
        <f>IFERROR(__xludf.DUMMYFUNCTION("""COMPUTED_VALUE"""),"FIP General")</f>
        <v>FIP General</v>
      </c>
      <c r="M3691" s="6" t="str">
        <f>IFERROR(__xludf.DUMMYFUNCTION("""COMPUTED_VALUE"""),"Mochammad Fadhillah Hakim,")</f>
        <v>Mochammad Fadhillah Hakim,</v>
      </c>
      <c r="N3691" s="6" t="str">
        <f>IFERROR(__xludf.DUMMYFUNCTION("""COMPUTED_VALUE"""),"FIP Engineering")</f>
        <v>FIP Engineering</v>
      </c>
      <c r="O3691" s="6" t="str">
        <f>IFERROR(__xludf.DUMMYFUNCTION("""COMPUTED_VALUE"""),"FIP-DOM-ENG-51411-0000000-INA-000000")</f>
        <v>FIP-DOM-ENG-51411-0000000-INA-000000</v>
      </c>
      <c r="P3691" s="6" t="str">
        <f>IFERROR(__xludf.DUMMYFUNCTION("""COMPUTED_VALUE"""),"PO Closed")</f>
        <v>PO Closed</v>
      </c>
      <c r="Q3691" s="6" t="str">
        <f>IFERROR(__xludf.DUMMYFUNCTION("""COMPUTED_VALUE"""),"GL2501045")</f>
        <v>GL2501045</v>
      </c>
      <c r="R3691" s="57">
        <f>IFERROR(__xludf.DUMMYFUNCTION("""COMPUTED_VALUE"""),45675.0)</f>
        <v>45675</v>
      </c>
      <c r="S3691" s="57">
        <f>IFERROR(__xludf.DUMMYFUNCTION("""COMPUTED_VALUE"""),45675.0)</f>
        <v>45675</v>
      </c>
      <c r="T3691" s="57">
        <f>IFERROR(__xludf.DUMMYFUNCTION("""COMPUTED_VALUE"""),45782.0)</f>
        <v>45782</v>
      </c>
    </row>
    <row r="3692">
      <c r="A3692" s="6" t="str">
        <f>IFERROR(__xludf.DUMMYFUNCTION("""COMPUTED_VALUE"""),"121702309-1")</f>
        <v>121702309-1</v>
      </c>
      <c r="B3692" s="6" t="str">
        <f>IFERROR(__xludf.DUMMYFUNCTION("""COMPUTED_VALUE"""),"121702309 - APPROVED")</f>
        <v>121702309 - APPROVED</v>
      </c>
      <c r="C3692" s="6">
        <f>IFERROR(__xludf.DUMMYFUNCTION("""COMPUTED_VALUE"""),1.0)</f>
        <v>1</v>
      </c>
      <c r="D3692" s="6" t="str">
        <f>IFERROR(__xludf.DUMMYFUNCTION("""COMPUTED_VALUE"""),"P-17645-00")</f>
        <v>P-17645-00</v>
      </c>
      <c r="E3692" s="6" t="str">
        <f>IFERROR(__xludf.DUMMYFUNCTION("""COMPUTED_VALUE"""),"Sodium Hiphoclorite; ; ; ltr")</f>
        <v>Sodium Hiphoclorite; ; ; ltr</v>
      </c>
      <c r="F3692" s="6">
        <f>IFERROR(__xludf.DUMMYFUNCTION("""COMPUTED_VALUE"""),240.0)</f>
        <v>240</v>
      </c>
      <c r="G3692" s="6" t="str">
        <f>IFERROR(__xludf.DUMMYFUNCTION("""COMPUTED_VALUE"""),"Liter")</f>
        <v>Liter</v>
      </c>
      <c r="H3692" s="6" t="str">
        <f>IFERROR(__xludf.DUMMYFUNCTION("""COMPUTED_VALUE"""),"IDR")</f>
        <v>IDR</v>
      </c>
      <c r="I3692" s="6">
        <f>IFERROR(__xludf.DUMMYFUNCTION("""COMPUTED_VALUE"""),5000.0)</f>
        <v>5000</v>
      </c>
      <c r="J3692" s="6">
        <f>IFERROR(__xludf.DUMMYFUNCTION("""COMPUTED_VALUE"""),1200000.0)</f>
        <v>1200000</v>
      </c>
      <c r="K3692" s="57">
        <f>IFERROR(__xludf.DUMMYFUNCTION("""COMPUTED_VALUE"""),45719.0)</f>
        <v>45719</v>
      </c>
      <c r="L3692" s="6" t="str">
        <f>IFERROR(__xludf.DUMMYFUNCTION("""COMPUTED_VALUE"""),"FIP Engineering")</f>
        <v>FIP Engineering</v>
      </c>
      <c r="M3692" s="6" t="str">
        <f>IFERROR(__xludf.DUMMYFUNCTION("""COMPUTED_VALUE"""),"Mochammad Fadhillah Hakim,")</f>
        <v>Mochammad Fadhillah Hakim,</v>
      </c>
      <c r="N3692" s="6" t="str">
        <f>IFERROR(__xludf.DUMMYFUNCTION("""COMPUTED_VALUE"""),"FIP Engineering")</f>
        <v>FIP Engineering</v>
      </c>
      <c r="O3692" s="6" t="str">
        <f>IFERROR(__xludf.DUMMYFUNCTION("""COMPUTED_VALUE"""),"FIP-DOM-000-11304-OS00001-INA-000000")</f>
        <v>FIP-DOM-000-11304-OS00001-INA-000000</v>
      </c>
      <c r="P3692" s="6" t="str">
        <f>IFERROR(__xludf.DUMMYFUNCTION("""COMPUTED_VALUE"""),"PO Closed")</f>
        <v>PO Closed</v>
      </c>
      <c r="Q3692" s="6" t="str">
        <f>IFERROR(__xludf.DUMMYFUNCTION("""COMPUTED_VALUE"""),"GL2501044")</f>
        <v>GL2501044</v>
      </c>
      <c r="R3692" s="57">
        <f>IFERROR(__xludf.DUMMYFUNCTION("""COMPUTED_VALUE"""),45675.0)</f>
        <v>45675</v>
      </c>
      <c r="S3692" s="57">
        <f>IFERROR(__xludf.DUMMYFUNCTION("""COMPUTED_VALUE"""),45675.0)</f>
        <v>45675</v>
      </c>
      <c r="T3692" s="57">
        <f>IFERROR(__xludf.DUMMYFUNCTION("""COMPUTED_VALUE"""),45719.0)</f>
        <v>45719</v>
      </c>
    </row>
    <row r="3693">
      <c r="A3693" s="6" t="str">
        <f>IFERROR(__xludf.DUMMYFUNCTION("""COMPUTED_VALUE"""),"121702309-2")</f>
        <v>121702309-2</v>
      </c>
      <c r="B3693" s="6" t="str">
        <f>IFERROR(__xludf.DUMMYFUNCTION("""COMPUTED_VALUE"""),"121702309 - APPROVED")</f>
        <v>121702309 - APPROVED</v>
      </c>
      <c r="C3693" s="6">
        <f>IFERROR(__xludf.DUMMYFUNCTION("""COMPUTED_VALUE"""),2.0)</f>
        <v>2</v>
      </c>
      <c r="D3693" s="6" t="str">
        <f>IFERROR(__xludf.DUMMYFUNCTION("""COMPUTED_VALUE"""),"P-17645-00")</f>
        <v>P-17645-00</v>
      </c>
      <c r="E3693" s="6" t="str">
        <f>IFERROR(__xludf.DUMMYFUNCTION("""COMPUTED_VALUE"""),"Sodium Hiphoclorite; ; ; ltr")</f>
        <v>Sodium Hiphoclorite; ; ; ltr</v>
      </c>
      <c r="F3693" s="6">
        <f>IFERROR(__xludf.DUMMYFUNCTION("""COMPUTED_VALUE"""),240.0)</f>
        <v>240</v>
      </c>
      <c r="G3693" s="6" t="str">
        <f>IFERROR(__xludf.DUMMYFUNCTION("""COMPUTED_VALUE"""),"Liter")</f>
        <v>Liter</v>
      </c>
      <c r="H3693" s="6" t="str">
        <f>IFERROR(__xludf.DUMMYFUNCTION("""COMPUTED_VALUE"""),"IDR")</f>
        <v>IDR</v>
      </c>
      <c r="I3693" s="6">
        <f>IFERROR(__xludf.DUMMYFUNCTION("""COMPUTED_VALUE"""),5000.0)</f>
        <v>5000</v>
      </c>
      <c r="J3693" s="6">
        <f>IFERROR(__xludf.DUMMYFUNCTION("""COMPUTED_VALUE"""),1200000.0)</f>
        <v>1200000</v>
      </c>
      <c r="K3693" s="57">
        <f>IFERROR(__xludf.DUMMYFUNCTION("""COMPUTED_VALUE"""),45803.0)</f>
        <v>45803</v>
      </c>
      <c r="L3693" s="6" t="str">
        <f>IFERROR(__xludf.DUMMYFUNCTION("""COMPUTED_VALUE"""),"FIP Engineering")</f>
        <v>FIP Engineering</v>
      </c>
      <c r="M3693" s="6" t="str">
        <f>IFERROR(__xludf.DUMMYFUNCTION("""COMPUTED_VALUE"""),"Mochammad Fadhillah Hakim,")</f>
        <v>Mochammad Fadhillah Hakim,</v>
      </c>
      <c r="N3693" s="6" t="str">
        <f>IFERROR(__xludf.DUMMYFUNCTION("""COMPUTED_VALUE"""),"FIP Engineering")</f>
        <v>FIP Engineering</v>
      </c>
      <c r="O3693" s="6" t="str">
        <f>IFERROR(__xludf.DUMMYFUNCTION("""COMPUTED_VALUE"""),"FIP-DOM-000-11304-OS00001-INA-000000")</f>
        <v>FIP-DOM-000-11304-OS00001-INA-000000</v>
      </c>
      <c r="P3693" s="6" t="str">
        <f>IFERROR(__xludf.DUMMYFUNCTION("""COMPUTED_VALUE"""),"PO Closed")</f>
        <v>PO Closed</v>
      </c>
      <c r="Q3693" s="6" t="str">
        <f>IFERROR(__xludf.DUMMYFUNCTION("""COMPUTED_VALUE"""),"GL2501044")</f>
        <v>GL2501044</v>
      </c>
      <c r="R3693" s="57">
        <f>IFERROR(__xludf.DUMMYFUNCTION("""COMPUTED_VALUE"""),45675.0)</f>
        <v>45675</v>
      </c>
      <c r="S3693" s="57">
        <f>IFERROR(__xludf.DUMMYFUNCTION("""COMPUTED_VALUE"""),45675.0)</f>
        <v>45675</v>
      </c>
      <c r="T3693" s="57">
        <f>IFERROR(__xludf.DUMMYFUNCTION("""COMPUTED_VALUE"""),45803.0)</f>
        <v>45803</v>
      </c>
    </row>
    <row r="3694">
      <c r="A3694" s="6" t="str">
        <f>IFERROR(__xludf.DUMMYFUNCTION("""COMPUTED_VALUE"""),"121702312-1")</f>
        <v>121702312-1</v>
      </c>
      <c r="B3694" s="6" t="str">
        <f>IFERROR(__xludf.DUMMYFUNCTION("""COMPUTED_VALUE"""),"121702312 - APPROVED")</f>
        <v>121702312 - APPROVED</v>
      </c>
      <c r="C3694" s="6">
        <f>IFERROR(__xludf.DUMMYFUNCTION("""COMPUTED_VALUE"""),1.0)</f>
        <v>1</v>
      </c>
      <c r="D3694" s="6" t="str">
        <f>IFERROR(__xludf.DUMMYFUNCTION("""COMPUTED_VALUE"""),"P-13389-00")</f>
        <v>P-13389-00</v>
      </c>
      <c r="E3694" s="6" t="str">
        <f>IFERROR(__xludf.DUMMYFUNCTION("""COMPUTED_VALUE"""),"Scotch Brite 3M; ; ;")</f>
        <v>Scotch Brite 3M; ; ;</v>
      </c>
      <c r="F3694" s="6">
        <f>IFERROR(__xludf.DUMMYFUNCTION("""COMPUTED_VALUE"""),40.0)</f>
        <v>40</v>
      </c>
      <c r="G3694" s="6" t="str">
        <f>IFERROR(__xludf.DUMMYFUNCTION("""COMPUTED_VALUE"""),"Pieces")</f>
        <v>Pieces</v>
      </c>
      <c r="H3694" s="6" t="str">
        <f>IFERROR(__xludf.DUMMYFUNCTION("""COMPUTED_VALUE"""),"IDR")</f>
        <v>IDR</v>
      </c>
      <c r="I3694" s="6">
        <f>IFERROR(__xludf.DUMMYFUNCTION("""COMPUTED_VALUE"""),13500.0)</f>
        <v>13500</v>
      </c>
      <c r="J3694" s="6">
        <f>IFERROR(__xludf.DUMMYFUNCTION("""COMPUTED_VALUE"""),540000.0)</f>
        <v>540000</v>
      </c>
      <c r="K3694" s="57">
        <f>IFERROR(__xludf.DUMMYFUNCTION("""COMPUTED_VALUE"""),45712.0)</f>
        <v>45712</v>
      </c>
      <c r="L3694" s="6" t="str">
        <f>IFERROR(__xludf.DUMMYFUNCTION("""COMPUTED_VALUE"""),"FIP Engineering")</f>
        <v>FIP Engineering</v>
      </c>
      <c r="M3694" s="6" t="str">
        <f>IFERROR(__xludf.DUMMYFUNCTION("""COMPUTED_VALUE"""),"Mochammad Fadhillah Hakim,")</f>
        <v>Mochammad Fadhillah Hakim,</v>
      </c>
      <c r="N3694" s="6" t="str">
        <f>IFERROR(__xludf.DUMMYFUNCTION("""COMPUTED_VALUE"""),"FIP Engineering")</f>
        <v>FIP Engineering</v>
      </c>
      <c r="O3694" s="6" t="str">
        <f>IFERROR(__xludf.DUMMYFUNCTION("""COMPUTED_VALUE"""),"FIP-DOM-000-11304-OS00001-INA-000000")</f>
        <v>FIP-DOM-000-11304-OS00001-INA-000000</v>
      </c>
      <c r="P3694" s="6" t="str">
        <f>IFERROR(__xludf.DUMMYFUNCTION("""COMPUTED_VALUE"""),"PO Closed")</f>
        <v>PO Closed</v>
      </c>
      <c r="Q3694" s="6" t="str">
        <f>IFERROR(__xludf.DUMMYFUNCTION("""COMPUTED_VALUE"""),"GL2501319")</f>
        <v>GL2501319</v>
      </c>
      <c r="R3694" s="57">
        <f>IFERROR(__xludf.DUMMYFUNCTION("""COMPUTED_VALUE"""),45675.0)</f>
        <v>45675</v>
      </c>
      <c r="S3694" s="57">
        <f>IFERROR(__xludf.DUMMYFUNCTION("""COMPUTED_VALUE"""),45675.0)</f>
        <v>45675</v>
      </c>
      <c r="T3694" s="57">
        <f>IFERROR(__xludf.DUMMYFUNCTION("""COMPUTED_VALUE"""),45708.0)</f>
        <v>45708</v>
      </c>
    </row>
    <row r="3695">
      <c r="A3695" s="6" t="str">
        <f>IFERROR(__xludf.DUMMYFUNCTION("""COMPUTED_VALUE"""),"121702312-2")</f>
        <v>121702312-2</v>
      </c>
      <c r="B3695" s="6" t="str">
        <f>IFERROR(__xludf.DUMMYFUNCTION("""COMPUTED_VALUE"""),"121702312 - APPROVED")</f>
        <v>121702312 - APPROVED</v>
      </c>
      <c r="C3695" s="6">
        <f>IFERROR(__xludf.DUMMYFUNCTION("""COMPUTED_VALUE"""),2.0)</f>
        <v>2</v>
      </c>
      <c r="D3695" s="6" t="str">
        <f>IFERROR(__xludf.DUMMYFUNCTION("""COMPUTED_VALUE"""),"P-13389-00")</f>
        <v>P-13389-00</v>
      </c>
      <c r="E3695" s="6" t="str">
        <f>IFERROR(__xludf.DUMMYFUNCTION("""COMPUTED_VALUE"""),"Scotch Brite 3M; ; ;")</f>
        <v>Scotch Brite 3M; ; ;</v>
      </c>
      <c r="F3695" s="6">
        <f>IFERROR(__xludf.DUMMYFUNCTION("""COMPUTED_VALUE"""),40.0)</f>
        <v>40</v>
      </c>
      <c r="G3695" s="6" t="str">
        <f>IFERROR(__xludf.DUMMYFUNCTION("""COMPUTED_VALUE"""),"Pieces")</f>
        <v>Pieces</v>
      </c>
      <c r="H3695" s="6" t="str">
        <f>IFERROR(__xludf.DUMMYFUNCTION("""COMPUTED_VALUE"""),"IDR")</f>
        <v>IDR</v>
      </c>
      <c r="I3695" s="6">
        <f>IFERROR(__xludf.DUMMYFUNCTION("""COMPUTED_VALUE"""),13500.0)</f>
        <v>13500</v>
      </c>
      <c r="J3695" s="6">
        <f>IFERROR(__xludf.DUMMYFUNCTION("""COMPUTED_VALUE"""),540000.0)</f>
        <v>540000</v>
      </c>
      <c r="K3695" s="57">
        <f>IFERROR(__xludf.DUMMYFUNCTION("""COMPUTED_VALUE"""),45782.0)</f>
        <v>45782</v>
      </c>
      <c r="L3695" s="6" t="str">
        <f>IFERROR(__xludf.DUMMYFUNCTION("""COMPUTED_VALUE"""),"FIP Engineering")</f>
        <v>FIP Engineering</v>
      </c>
      <c r="M3695" s="6" t="str">
        <f>IFERROR(__xludf.DUMMYFUNCTION("""COMPUTED_VALUE"""),"Mochammad Fadhillah Hakim,")</f>
        <v>Mochammad Fadhillah Hakim,</v>
      </c>
      <c r="N3695" s="6" t="str">
        <f>IFERROR(__xludf.DUMMYFUNCTION("""COMPUTED_VALUE"""),"FIP Engineering")</f>
        <v>FIP Engineering</v>
      </c>
      <c r="O3695" s="6" t="str">
        <f>IFERROR(__xludf.DUMMYFUNCTION("""COMPUTED_VALUE"""),"FIP-DOM-000-11304-OS00001-INA-000000")</f>
        <v>FIP-DOM-000-11304-OS00001-INA-000000</v>
      </c>
      <c r="P3695" s="6" t="str">
        <f>IFERROR(__xludf.DUMMYFUNCTION("""COMPUTED_VALUE"""),"PO Closed")</f>
        <v>PO Closed</v>
      </c>
      <c r="Q3695" s="6" t="str">
        <f>IFERROR(__xludf.DUMMYFUNCTION("""COMPUTED_VALUE"""),"GL2501319")</f>
        <v>GL2501319</v>
      </c>
      <c r="R3695" s="57">
        <f>IFERROR(__xludf.DUMMYFUNCTION("""COMPUTED_VALUE"""),45675.0)</f>
        <v>45675</v>
      </c>
      <c r="S3695" s="57">
        <f>IFERROR(__xludf.DUMMYFUNCTION("""COMPUTED_VALUE"""),45675.0)</f>
        <v>45675</v>
      </c>
      <c r="T3695" s="57">
        <f>IFERROR(__xludf.DUMMYFUNCTION("""COMPUTED_VALUE"""),45782.0)</f>
        <v>45782</v>
      </c>
    </row>
    <row r="3696">
      <c r="A3696" s="6" t="str">
        <f>IFERROR(__xludf.DUMMYFUNCTION("""COMPUTED_VALUE"""),"121702313-1")</f>
        <v>121702313-1</v>
      </c>
      <c r="B3696" s="6" t="str">
        <f>IFERROR(__xludf.DUMMYFUNCTION("""COMPUTED_VALUE"""),"121702313 - APPROVED")</f>
        <v>121702313 - APPROVED</v>
      </c>
      <c r="C3696" s="6">
        <f>IFERROR(__xludf.DUMMYFUNCTION("""COMPUTED_VALUE"""),1.0)</f>
        <v>1</v>
      </c>
      <c r="D3696" s="6" t="str">
        <f>IFERROR(__xludf.DUMMYFUNCTION("""COMPUTED_VALUE"""),"Q-10249-00")</f>
        <v>Q-10249-00</v>
      </c>
      <c r="E3696" s="6" t="str">
        <f>IFERROR(__xludf.DUMMYFUNCTION("""COMPUTED_VALUE"""),"Lem Power Glue; ; ;")</f>
        <v>Lem Power Glue; ; ;</v>
      </c>
      <c r="F3696" s="6">
        <f>IFERROR(__xludf.DUMMYFUNCTION("""COMPUTED_VALUE"""),40.0)</f>
        <v>40</v>
      </c>
      <c r="G3696" s="6" t="str">
        <f>IFERROR(__xludf.DUMMYFUNCTION("""COMPUTED_VALUE"""),"Pieces")</f>
        <v>Pieces</v>
      </c>
      <c r="H3696" s="6" t="str">
        <f>IFERROR(__xludf.DUMMYFUNCTION("""COMPUTED_VALUE"""),"IDR")</f>
        <v>IDR</v>
      </c>
      <c r="I3696" s="6">
        <f>IFERROR(__xludf.DUMMYFUNCTION("""COMPUTED_VALUE"""),5000.0)</f>
        <v>5000</v>
      </c>
      <c r="J3696" s="6">
        <f>IFERROR(__xludf.DUMMYFUNCTION("""COMPUTED_VALUE"""),200000.0)</f>
        <v>200000</v>
      </c>
      <c r="K3696" s="57">
        <f>IFERROR(__xludf.DUMMYFUNCTION("""COMPUTED_VALUE"""),45740.0)</f>
        <v>45740</v>
      </c>
      <c r="L3696" s="6" t="str">
        <f>IFERROR(__xludf.DUMMYFUNCTION("""COMPUTED_VALUE"""),"FIP Engineering")</f>
        <v>FIP Engineering</v>
      </c>
      <c r="M3696" s="6" t="str">
        <f>IFERROR(__xludf.DUMMYFUNCTION("""COMPUTED_VALUE"""),"Mochammad Fadhillah Hakim,")</f>
        <v>Mochammad Fadhillah Hakim,</v>
      </c>
      <c r="N3696" s="6" t="str">
        <f>IFERROR(__xludf.DUMMYFUNCTION("""COMPUTED_VALUE"""),"FIP Engineering")</f>
        <v>FIP Engineering</v>
      </c>
      <c r="O3696" s="6" t="str">
        <f>IFERROR(__xludf.DUMMYFUNCTION("""COMPUTED_VALUE"""),"FIP-DOM-000-11304-OS00001-INA-000000")</f>
        <v>FIP-DOM-000-11304-OS00001-INA-000000</v>
      </c>
      <c r="P3696" s="6" t="str">
        <f>IFERROR(__xludf.DUMMYFUNCTION("""COMPUTED_VALUE"""),"PO Closed")</f>
        <v>PO Closed</v>
      </c>
      <c r="Q3696" s="6" t="str">
        <f>IFERROR(__xludf.DUMMYFUNCTION("""COMPUTED_VALUE"""),"GL2502053")</f>
        <v>GL2502053</v>
      </c>
      <c r="R3696" s="57">
        <f>IFERROR(__xludf.DUMMYFUNCTION("""COMPUTED_VALUE"""),45675.0)</f>
        <v>45675</v>
      </c>
      <c r="S3696" s="57">
        <f>IFERROR(__xludf.DUMMYFUNCTION("""COMPUTED_VALUE"""),45675.0)</f>
        <v>45675</v>
      </c>
      <c r="T3696" s="57">
        <f>IFERROR(__xludf.DUMMYFUNCTION("""COMPUTED_VALUE"""),45736.0)</f>
        <v>45736</v>
      </c>
    </row>
    <row r="3697">
      <c r="A3697" s="6" t="str">
        <f>IFERROR(__xludf.DUMMYFUNCTION("""COMPUTED_VALUE"""),"121702313-2")</f>
        <v>121702313-2</v>
      </c>
      <c r="B3697" s="6" t="str">
        <f>IFERROR(__xludf.DUMMYFUNCTION("""COMPUTED_VALUE"""),"121702313 - APPROVED")</f>
        <v>121702313 - APPROVED</v>
      </c>
      <c r="C3697" s="6">
        <f>IFERROR(__xludf.DUMMYFUNCTION("""COMPUTED_VALUE"""),2.0)</f>
        <v>2</v>
      </c>
      <c r="D3697" s="6" t="str">
        <f>IFERROR(__xludf.DUMMYFUNCTION("""COMPUTED_VALUE"""),"Q-10249-00")</f>
        <v>Q-10249-00</v>
      </c>
      <c r="E3697" s="6" t="str">
        <f>IFERROR(__xludf.DUMMYFUNCTION("""COMPUTED_VALUE"""),"Lem Power Glue; ; ;")</f>
        <v>Lem Power Glue; ; ;</v>
      </c>
      <c r="F3697" s="6">
        <f>IFERROR(__xludf.DUMMYFUNCTION("""COMPUTED_VALUE"""),40.0)</f>
        <v>40</v>
      </c>
      <c r="G3697" s="6" t="str">
        <f>IFERROR(__xludf.DUMMYFUNCTION("""COMPUTED_VALUE"""),"Pieces")</f>
        <v>Pieces</v>
      </c>
      <c r="H3697" s="6" t="str">
        <f>IFERROR(__xludf.DUMMYFUNCTION("""COMPUTED_VALUE"""),"IDR")</f>
        <v>IDR</v>
      </c>
      <c r="I3697" s="6">
        <f>IFERROR(__xludf.DUMMYFUNCTION("""COMPUTED_VALUE"""),5000.0)</f>
        <v>5000</v>
      </c>
      <c r="J3697" s="6">
        <f>IFERROR(__xludf.DUMMYFUNCTION("""COMPUTED_VALUE"""),200000.0)</f>
        <v>200000</v>
      </c>
      <c r="K3697" s="57">
        <f>IFERROR(__xludf.DUMMYFUNCTION("""COMPUTED_VALUE"""),45789.0)</f>
        <v>45789</v>
      </c>
      <c r="L3697" s="6" t="str">
        <f>IFERROR(__xludf.DUMMYFUNCTION("""COMPUTED_VALUE"""),"FIP Engineering")</f>
        <v>FIP Engineering</v>
      </c>
      <c r="M3697" s="6" t="str">
        <f>IFERROR(__xludf.DUMMYFUNCTION("""COMPUTED_VALUE"""),"Mochammad Fadhillah Hakim,")</f>
        <v>Mochammad Fadhillah Hakim,</v>
      </c>
      <c r="N3697" s="6" t="str">
        <f>IFERROR(__xludf.DUMMYFUNCTION("""COMPUTED_VALUE"""),"FIP Engineering")</f>
        <v>FIP Engineering</v>
      </c>
      <c r="O3697" s="6" t="str">
        <f>IFERROR(__xludf.DUMMYFUNCTION("""COMPUTED_VALUE"""),"FIP-DOM-000-11304-OS00001-INA-000000")</f>
        <v>FIP-DOM-000-11304-OS00001-INA-000000</v>
      </c>
      <c r="P3697" s="6" t="str">
        <f>IFERROR(__xludf.DUMMYFUNCTION("""COMPUTED_VALUE"""),"PO Closed")</f>
        <v>PO Closed</v>
      </c>
      <c r="Q3697" s="6" t="str">
        <f>IFERROR(__xludf.DUMMYFUNCTION("""COMPUTED_VALUE"""),"GL2502053")</f>
        <v>GL2502053</v>
      </c>
      <c r="R3697" s="57">
        <f>IFERROR(__xludf.DUMMYFUNCTION("""COMPUTED_VALUE"""),45675.0)</f>
        <v>45675</v>
      </c>
      <c r="S3697" s="57">
        <f>IFERROR(__xludf.DUMMYFUNCTION("""COMPUTED_VALUE"""),45675.0)</f>
        <v>45675</v>
      </c>
      <c r="T3697" s="57">
        <f>IFERROR(__xludf.DUMMYFUNCTION("""COMPUTED_VALUE"""),45736.0)</f>
        <v>45736</v>
      </c>
    </row>
    <row r="3698">
      <c r="A3698" s="6" t="str">
        <f>IFERROR(__xludf.DUMMYFUNCTION("""COMPUTED_VALUE"""),"121702317-1")</f>
        <v>121702317-1</v>
      </c>
      <c r="B3698" s="6" t="str">
        <f>IFERROR(__xludf.DUMMYFUNCTION("""COMPUTED_VALUE"""),"121702317 - APPROVED")</f>
        <v>121702317 - APPROVED</v>
      </c>
      <c r="C3698" s="6">
        <f>IFERROR(__xludf.DUMMYFUNCTION("""COMPUTED_VALUE"""),1.0)</f>
        <v>1</v>
      </c>
      <c r="D3698" s="6" t="str">
        <f>IFERROR(__xludf.DUMMYFUNCTION("""COMPUTED_VALUE"""),"Q-60502-00")</f>
        <v>Q-60502-00</v>
      </c>
      <c r="E3698" s="6" t="str">
        <f>IFERROR(__xludf.DUMMYFUNCTION("""COMPUTED_VALUE"""),"Silicone Sealant, Silglaze, Type N10 White, pack size per pcs")</f>
        <v>Silicone Sealant, Silglaze, Type N10 White, pack size per pcs</v>
      </c>
      <c r="F3698" s="6">
        <f>IFERROR(__xludf.DUMMYFUNCTION("""COMPUTED_VALUE"""),15.0)</f>
        <v>15</v>
      </c>
      <c r="G3698" s="6" t="str">
        <f>IFERROR(__xludf.DUMMYFUNCTION("""COMPUTED_VALUE"""),"Pieces")</f>
        <v>Pieces</v>
      </c>
      <c r="H3698" s="6" t="str">
        <f>IFERROR(__xludf.DUMMYFUNCTION("""COMPUTED_VALUE"""),"IDR")</f>
        <v>IDR</v>
      </c>
      <c r="I3698" s="6">
        <f>IFERROR(__xludf.DUMMYFUNCTION("""COMPUTED_VALUE"""),39000.0)</f>
        <v>39000</v>
      </c>
      <c r="J3698" s="6">
        <f>IFERROR(__xludf.DUMMYFUNCTION("""COMPUTED_VALUE"""),585000.0)</f>
        <v>585000</v>
      </c>
      <c r="K3698" s="57">
        <f>IFERROR(__xludf.DUMMYFUNCTION("""COMPUTED_VALUE"""),45698.0)</f>
        <v>45698</v>
      </c>
      <c r="L3698" s="6" t="str">
        <f>IFERROR(__xludf.DUMMYFUNCTION("""COMPUTED_VALUE"""),"FIP Engineering")</f>
        <v>FIP Engineering</v>
      </c>
      <c r="M3698" s="6" t="str">
        <f>IFERROR(__xludf.DUMMYFUNCTION("""COMPUTED_VALUE"""),"Mochammad Fadhillah Hakim,")</f>
        <v>Mochammad Fadhillah Hakim,</v>
      </c>
      <c r="N3698" s="6" t="str">
        <f>IFERROR(__xludf.DUMMYFUNCTION("""COMPUTED_VALUE"""),"FIP Engineering")</f>
        <v>FIP Engineering</v>
      </c>
      <c r="O3698" s="6" t="str">
        <f>IFERROR(__xludf.DUMMYFUNCTION("""COMPUTED_VALUE"""),"FIP-DOM-000-11304-OS00001-INA-000000")</f>
        <v>FIP-DOM-000-11304-OS00001-INA-000000</v>
      </c>
      <c r="P3698" s="6" t="str">
        <f>IFERROR(__xludf.DUMMYFUNCTION("""COMPUTED_VALUE"""),"PO Closed")</f>
        <v>PO Closed</v>
      </c>
      <c r="Q3698" s="6" t="str">
        <f>IFERROR(__xludf.DUMMYFUNCTION("""COMPUTED_VALUE"""),"GL2502008")</f>
        <v>GL2502008</v>
      </c>
      <c r="R3698" s="57">
        <f>IFERROR(__xludf.DUMMYFUNCTION("""COMPUTED_VALUE"""),45677.0)</f>
        <v>45677</v>
      </c>
      <c r="S3698" s="57">
        <f>IFERROR(__xludf.DUMMYFUNCTION("""COMPUTED_VALUE"""),45677.0)</f>
        <v>45677</v>
      </c>
      <c r="T3698" s="57">
        <f>IFERROR(__xludf.DUMMYFUNCTION("""COMPUTED_VALUE"""),45758.0)</f>
        <v>45758</v>
      </c>
    </row>
    <row r="3699">
      <c r="A3699" s="6" t="str">
        <f>IFERROR(__xludf.DUMMYFUNCTION("""COMPUTED_VALUE"""),"121702317-2")</f>
        <v>121702317-2</v>
      </c>
      <c r="B3699" s="6" t="str">
        <f>IFERROR(__xludf.DUMMYFUNCTION("""COMPUTED_VALUE"""),"121702317 - APPROVED")</f>
        <v>121702317 - APPROVED</v>
      </c>
      <c r="C3699" s="6">
        <f>IFERROR(__xludf.DUMMYFUNCTION("""COMPUTED_VALUE"""),2.0)</f>
        <v>2</v>
      </c>
      <c r="D3699" s="6" t="str">
        <f>IFERROR(__xludf.DUMMYFUNCTION("""COMPUTED_VALUE"""),"Q-60502-00")</f>
        <v>Q-60502-00</v>
      </c>
      <c r="E3699" s="6" t="str">
        <f>IFERROR(__xludf.DUMMYFUNCTION("""COMPUTED_VALUE"""),"Silicone Sealant, Silglaze, Type N10 White, pack size per pcs")</f>
        <v>Silicone Sealant, Silglaze, Type N10 White, pack size per pcs</v>
      </c>
      <c r="F3699" s="6">
        <f>IFERROR(__xludf.DUMMYFUNCTION("""COMPUTED_VALUE"""),15.0)</f>
        <v>15</v>
      </c>
      <c r="G3699" s="6" t="str">
        <f>IFERROR(__xludf.DUMMYFUNCTION("""COMPUTED_VALUE"""),"Pieces")</f>
        <v>Pieces</v>
      </c>
      <c r="H3699" s="6" t="str">
        <f>IFERROR(__xludf.DUMMYFUNCTION("""COMPUTED_VALUE"""),"IDR")</f>
        <v>IDR</v>
      </c>
      <c r="I3699" s="6">
        <f>IFERROR(__xludf.DUMMYFUNCTION("""COMPUTED_VALUE"""),39000.0)</f>
        <v>39000</v>
      </c>
      <c r="J3699" s="6">
        <f>IFERROR(__xludf.DUMMYFUNCTION("""COMPUTED_VALUE"""),585000.0)</f>
        <v>585000</v>
      </c>
      <c r="K3699" s="57">
        <f>IFERROR(__xludf.DUMMYFUNCTION("""COMPUTED_VALUE"""),45803.0)</f>
        <v>45803</v>
      </c>
      <c r="L3699" s="6" t="str">
        <f>IFERROR(__xludf.DUMMYFUNCTION("""COMPUTED_VALUE"""),"FIP Engineering")</f>
        <v>FIP Engineering</v>
      </c>
      <c r="M3699" s="6" t="str">
        <f>IFERROR(__xludf.DUMMYFUNCTION("""COMPUTED_VALUE"""),"Mochammad Fadhillah Hakim,")</f>
        <v>Mochammad Fadhillah Hakim,</v>
      </c>
      <c r="N3699" s="6" t="str">
        <f>IFERROR(__xludf.DUMMYFUNCTION("""COMPUTED_VALUE"""),"FIP Engineering")</f>
        <v>FIP Engineering</v>
      </c>
      <c r="O3699" s="6" t="str">
        <f>IFERROR(__xludf.DUMMYFUNCTION("""COMPUTED_VALUE"""),"FIP-DOM-000-11304-OS00001-INA-000000")</f>
        <v>FIP-DOM-000-11304-OS00001-INA-000000</v>
      </c>
      <c r="P3699" s="6" t="str">
        <f>IFERROR(__xludf.DUMMYFUNCTION("""COMPUTED_VALUE"""),"PO Closed")</f>
        <v>PO Closed</v>
      </c>
      <c r="Q3699" s="6" t="str">
        <f>IFERROR(__xludf.DUMMYFUNCTION("""COMPUTED_VALUE"""),"GL2502008")</f>
        <v>GL2502008</v>
      </c>
      <c r="R3699" s="57">
        <f>IFERROR(__xludf.DUMMYFUNCTION("""COMPUTED_VALUE"""),45677.0)</f>
        <v>45677</v>
      </c>
      <c r="S3699" s="57">
        <f>IFERROR(__xludf.DUMMYFUNCTION("""COMPUTED_VALUE"""),45677.0)</f>
        <v>45677</v>
      </c>
      <c r="T3699" s="57">
        <f>IFERROR(__xludf.DUMMYFUNCTION("""COMPUTED_VALUE"""),45782.0)</f>
        <v>45782</v>
      </c>
    </row>
    <row r="3700">
      <c r="A3700" s="6" t="str">
        <f>IFERROR(__xludf.DUMMYFUNCTION("""COMPUTED_VALUE"""),"121702318-1")</f>
        <v>121702318-1</v>
      </c>
      <c r="B3700" s="6" t="str">
        <f>IFERROR(__xludf.DUMMYFUNCTION("""COMPUTED_VALUE"""),"121702318 - APPROVED")</f>
        <v>121702318 - APPROVED</v>
      </c>
      <c r="C3700" s="6">
        <f>IFERROR(__xludf.DUMMYFUNCTION("""COMPUTED_VALUE"""),1.0)</f>
        <v>1</v>
      </c>
      <c r="D3700" s="6" t="str">
        <f>IFERROR(__xludf.DUMMYFUNCTION("""COMPUTED_VALUE"""),"O-54014-00")</f>
        <v>O-54014-00</v>
      </c>
      <c r="E3700" s="6" t="str">
        <f>IFERROR(__xludf.DUMMYFUNCTION("""COMPUTED_VALUE"""),"STEKER 1 PHASE, BROCO")</f>
        <v>STEKER 1 PHASE, BROCO</v>
      </c>
      <c r="F3700" s="6">
        <f>IFERROR(__xludf.DUMMYFUNCTION("""COMPUTED_VALUE"""),25.0)</f>
        <v>25</v>
      </c>
      <c r="G3700" s="6" t="str">
        <f>IFERROR(__xludf.DUMMYFUNCTION("""COMPUTED_VALUE"""),"Pieces")</f>
        <v>Pieces</v>
      </c>
      <c r="H3700" s="6" t="str">
        <f>IFERROR(__xludf.DUMMYFUNCTION("""COMPUTED_VALUE"""),"IDR")</f>
        <v>IDR</v>
      </c>
      <c r="I3700" s="6">
        <f>IFERROR(__xludf.DUMMYFUNCTION("""COMPUTED_VALUE"""),13500.0)</f>
        <v>13500</v>
      </c>
      <c r="J3700" s="6">
        <f>IFERROR(__xludf.DUMMYFUNCTION("""COMPUTED_VALUE"""),337500.0)</f>
        <v>337500</v>
      </c>
      <c r="K3700" s="57">
        <f>IFERROR(__xludf.DUMMYFUNCTION("""COMPUTED_VALUE"""),45719.0)</f>
        <v>45719</v>
      </c>
      <c r="L3700" s="6" t="str">
        <f>IFERROR(__xludf.DUMMYFUNCTION("""COMPUTED_VALUE"""),"FIP Engineering")</f>
        <v>FIP Engineering</v>
      </c>
      <c r="M3700" s="6" t="str">
        <f>IFERROR(__xludf.DUMMYFUNCTION("""COMPUTED_VALUE"""),"Mochammad Fadhillah Hakim,")</f>
        <v>Mochammad Fadhillah Hakim,</v>
      </c>
      <c r="N3700" s="6" t="str">
        <f>IFERROR(__xludf.DUMMYFUNCTION("""COMPUTED_VALUE"""),"FIP Engineering")</f>
        <v>FIP Engineering</v>
      </c>
      <c r="O3700" s="6" t="str">
        <f>IFERROR(__xludf.DUMMYFUNCTION("""COMPUTED_VALUE"""),"FIP-DOM-000-11304-OS00001-INA-000000")</f>
        <v>FIP-DOM-000-11304-OS00001-INA-000000</v>
      </c>
      <c r="P3700" s="6" t="str">
        <f>IFERROR(__xludf.DUMMYFUNCTION("""COMPUTED_VALUE"""),"PO Closed")</f>
        <v>PO Closed</v>
      </c>
      <c r="Q3700" s="6" t="str">
        <f>IFERROR(__xludf.DUMMYFUNCTION("""COMPUTED_VALUE"""),"GL2502338")</f>
        <v>GL2502338</v>
      </c>
      <c r="R3700" s="57">
        <f>IFERROR(__xludf.DUMMYFUNCTION("""COMPUTED_VALUE"""),45677.0)</f>
        <v>45677</v>
      </c>
      <c r="S3700" s="57">
        <f>IFERROR(__xludf.DUMMYFUNCTION("""COMPUTED_VALUE"""),45680.0)</f>
        <v>45680</v>
      </c>
      <c r="T3700" s="57">
        <f>IFERROR(__xludf.DUMMYFUNCTION("""COMPUTED_VALUE"""),45726.0)</f>
        <v>45726</v>
      </c>
    </row>
    <row r="3701">
      <c r="A3701" s="6" t="str">
        <f>IFERROR(__xludf.DUMMYFUNCTION("""COMPUTED_VALUE"""),"121702318-2")</f>
        <v>121702318-2</v>
      </c>
      <c r="B3701" s="6" t="str">
        <f>IFERROR(__xludf.DUMMYFUNCTION("""COMPUTED_VALUE"""),"121702318 - APPROVED")</f>
        <v>121702318 - APPROVED</v>
      </c>
      <c r="C3701" s="6">
        <f>IFERROR(__xludf.DUMMYFUNCTION("""COMPUTED_VALUE"""),2.0)</f>
        <v>2</v>
      </c>
      <c r="D3701" s="6" t="str">
        <f>IFERROR(__xludf.DUMMYFUNCTION("""COMPUTED_VALUE"""),"O-54014-00")</f>
        <v>O-54014-00</v>
      </c>
      <c r="E3701" s="6" t="str">
        <f>IFERROR(__xludf.DUMMYFUNCTION("""COMPUTED_VALUE"""),"STEKER 1 PHASE, BROCO")</f>
        <v>STEKER 1 PHASE, BROCO</v>
      </c>
      <c r="F3701" s="6">
        <f>IFERROR(__xludf.DUMMYFUNCTION("""COMPUTED_VALUE"""),25.0)</f>
        <v>25</v>
      </c>
      <c r="G3701" s="6" t="str">
        <f>IFERROR(__xludf.DUMMYFUNCTION("""COMPUTED_VALUE"""),"Pieces")</f>
        <v>Pieces</v>
      </c>
      <c r="H3701" s="6" t="str">
        <f>IFERROR(__xludf.DUMMYFUNCTION("""COMPUTED_VALUE"""),"IDR")</f>
        <v>IDR</v>
      </c>
      <c r="I3701" s="6">
        <f>IFERROR(__xludf.DUMMYFUNCTION("""COMPUTED_VALUE"""),13500.0)</f>
        <v>13500</v>
      </c>
      <c r="J3701" s="6">
        <f>IFERROR(__xludf.DUMMYFUNCTION("""COMPUTED_VALUE"""),337500.0)</f>
        <v>337500</v>
      </c>
      <c r="K3701" s="57">
        <f>IFERROR(__xludf.DUMMYFUNCTION("""COMPUTED_VALUE"""),45679.0)</f>
        <v>45679</v>
      </c>
      <c r="L3701" s="6" t="str">
        <f>IFERROR(__xludf.DUMMYFUNCTION("""COMPUTED_VALUE"""),"FIP Engineering")</f>
        <v>FIP Engineering</v>
      </c>
      <c r="M3701" s="6" t="str">
        <f>IFERROR(__xludf.DUMMYFUNCTION("""COMPUTED_VALUE"""),"Mochammad Fadhillah Hakim,")</f>
        <v>Mochammad Fadhillah Hakim,</v>
      </c>
      <c r="N3701" s="6" t="str">
        <f>IFERROR(__xludf.DUMMYFUNCTION("""COMPUTED_VALUE"""),"FIP Engineering")</f>
        <v>FIP Engineering</v>
      </c>
      <c r="O3701" s="6" t="str">
        <f>IFERROR(__xludf.DUMMYFUNCTION("""COMPUTED_VALUE"""),"FIP-DOM-000-11304-OS00001-INA-000000")</f>
        <v>FIP-DOM-000-11304-OS00001-INA-000000</v>
      </c>
      <c r="P3701" s="6" t="str">
        <f>IFERROR(__xludf.DUMMYFUNCTION("""COMPUTED_VALUE"""),"PO Closed")</f>
        <v>PO Closed</v>
      </c>
      <c r="Q3701" s="6" t="str">
        <f>IFERROR(__xludf.DUMMYFUNCTION("""COMPUTED_VALUE"""),"GL2502338")</f>
        <v>GL2502338</v>
      </c>
      <c r="R3701" s="57">
        <f>IFERROR(__xludf.DUMMYFUNCTION("""COMPUTED_VALUE"""),45677.0)</f>
        <v>45677</v>
      </c>
      <c r="S3701" s="57">
        <f>IFERROR(__xludf.DUMMYFUNCTION("""COMPUTED_VALUE"""),45680.0)</f>
        <v>45680</v>
      </c>
      <c r="T3701" s="57">
        <f>IFERROR(__xludf.DUMMYFUNCTION("""COMPUTED_VALUE"""),45726.0)</f>
        <v>45726</v>
      </c>
    </row>
    <row r="3702">
      <c r="A3702" s="6" t="str">
        <f>IFERROR(__xludf.DUMMYFUNCTION("""COMPUTED_VALUE"""),"121702319-1")</f>
        <v>121702319-1</v>
      </c>
      <c r="B3702" s="6" t="str">
        <f>IFERROR(__xludf.DUMMYFUNCTION("""COMPUTED_VALUE"""),"121702319 - APPROVED")</f>
        <v>121702319 - APPROVED</v>
      </c>
      <c r="C3702" s="6">
        <f>IFERROR(__xludf.DUMMYFUNCTION("""COMPUTED_VALUE"""),1.0)</f>
        <v>1</v>
      </c>
      <c r="D3702" s="6" t="str">
        <f>IFERROR(__xludf.DUMMYFUNCTION("""COMPUTED_VALUE"""),"Q-10128-00")</f>
        <v>Q-10128-00</v>
      </c>
      <c r="E3702" s="6" t="str">
        <f>IFERROR(__xludf.DUMMYFUNCTION("""COMPUTED_VALUE"""),"Thinner Super End/Impala @ 1 Liter")</f>
        <v>Thinner Super End/Impala @ 1 Liter</v>
      </c>
      <c r="F3702" s="6">
        <f>IFERROR(__xludf.DUMMYFUNCTION("""COMPUTED_VALUE"""),5.0)</f>
        <v>5</v>
      </c>
      <c r="G3702" s="6" t="str">
        <f>IFERROR(__xludf.DUMMYFUNCTION("""COMPUTED_VALUE"""),"Pieces")</f>
        <v>Pieces</v>
      </c>
      <c r="H3702" s="6" t="str">
        <f>IFERROR(__xludf.DUMMYFUNCTION("""COMPUTED_VALUE"""),"IDR")</f>
        <v>IDR</v>
      </c>
      <c r="I3702" s="6">
        <f>IFERROR(__xludf.DUMMYFUNCTION("""COMPUTED_VALUE"""),40000.0)</f>
        <v>40000</v>
      </c>
      <c r="J3702" s="6">
        <f>IFERROR(__xludf.DUMMYFUNCTION("""COMPUTED_VALUE"""),200000.0)</f>
        <v>200000</v>
      </c>
      <c r="K3702" s="57">
        <f>IFERROR(__xludf.DUMMYFUNCTION("""COMPUTED_VALUE"""),45719.0)</f>
        <v>45719</v>
      </c>
      <c r="L3702" s="6" t="str">
        <f>IFERROR(__xludf.DUMMYFUNCTION("""COMPUTED_VALUE"""),"FIP Engineering")</f>
        <v>FIP Engineering</v>
      </c>
      <c r="M3702" s="6" t="str">
        <f>IFERROR(__xludf.DUMMYFUNCTION("""COMPUTED_VALUE"""),"Mochammad Fadhillah Hakim,")</f>
        <v>Mochammad Fadhillah Hakim,</v>
      </c>
      <c r="N3702" s="6" t="str">
        <f>IFERROR(__xludf.DUMMYFUNCTION("""COMPUTED_VALUE"""),"FIP Engineering")</f>
        <v>FIP Engineering</v>
      </c>
      <c r="O3702" s="6" t="str">
        <f>IFERROR(__xludf.DUMMYFUNCTION("""COMPUTED_VALUE"""),"FIP-DOM-000-11304-OS00001-INA-000000")</f>
        <v>FIP-DOM-000-11304-OS00001-INA-000000</v>
      </c>
      <c r="P3702" s="6" t="str">
        <f>IFERROR(__xludf.DUMMYFUNCTION("""COMPUTED_VALUE"""),"PO Closed")</f>
        <v>PO Closed</v>
      </c>
      <c r="Q3702" s="6" t="str">
        <f>IFERROR(__xludf.DUMMYFUNCTION("""COMPUTED_VALUE"""),"GL2502052")</f>
        <v>GL2502052</v>
      </c>
      <c r="R3702" s="57">
        <f>IFERROR(__xludf.DUMMYFUNCTION("""COMPUTED_VALUE"""),45677.0)</f>
        <v>45677</v>
      </c>
      <c r="S3702" s="57">
        <f>IFERROR(__xludf.DUMMYFUNCTION("""COMPUTED_VALUE"""),45680.0)</f>
        <v>45680</v>
      </c>
      <c r="T3702" s="57">
        <f>IFERROR(__xludf.DUMMYFUNCTION("""COMPUTED_VALUE"""),45721.0)</f>
        <v>45721</v>
      </c>
    </row>
    <row r="3703">
      <c r="A3703" s="6" t="str">
        <f>IFERROR(__xludf.DUMMYFUNCTION("""COMPUTED_VALUE"""),"121702319-2")</f>
        <v>121702319-2</v>
      </c>
      <c r="B3703" s="6" t="str">
        <f>IFERROR(__xludf.DUMMYFUNCTION("""COMPUTED_VALUE"""),"121702319 - APPROVED")</f>
        <v>121702319 - APPROVED</v>
      </c>
      <c r="C3703" s="6">
        <f>IFERROR(__xludf.DUMMYFUNCTION("""COMPUTED_VALUE"""),2.0)</f>
        <v>2</v>
      </c>
      <c r="D3703" s="6" t="str">
        <f>IFERROR(__xludf.DUMMYFUNCTION("""COMPUTED_VALUE"""),"Q-10128-00")</f>
        <v>Q-10128-00</v>
      </c>
      <c r="E3703" s="6" t="str">
        <f>IFERROR(__xludf.DUMMYFUNCTION("""COMPUTED_VALUE"""),"Thinner Super End/Impala @ 1 Liter")</f>
        <v>Thinner Super End/Impala @ 1 Liter</v>
      </c>
      <c r="F3703" s="6">
        <f>IFERROR(__xludf.DUMMYFUNCTION("""COMPUTED_VALUE"""),5.0)</f>
        <v>5</v>
      </c>
      <c r="G3703" s="6" t="str">
        <f>IFERROR(__xludf.DUMMYFUNCTION("""COMPUTED_VALUE"""),"Pieces")</f>
        <v>Pieces</v>
      </c>
      <c r="H3703" s="6" t="str">
        <f>IFERROR(__xludf.DUMMYFUNCTION("""COMPUTED_VALUE"""),"IDR")</f>
        <v>IDR</v>
      </c>
      <c r="I3703" s="6">
        <f>IFERROR(__xludf.DUMMYFUNCTION("""COMPUTED_VALUE"""),40000.0)</f>
        <v>40000</v>
      </c>
      <c r="J3703" s="6">
        <f>IFERROR(__xludf.DUMMYFUNCTION("""COMPUTED_VALUE"""),200000.0)</f>
        <v>200000</v>
      </c>
      <c r="K3703" s="57">
        <f>IFERROR(__xludf.DUMMYFUNCTION("""COMPUTED_VALUE"""),45810.0)</f>
        <v>45810</v>
      </c>
      <c r="L3703" s="6" t="str">
        <f>IFERROR(__xludf.DUMMYFUNCTION("""COMPUTED_VALUE"""),"FIP Engineering")</f>
        <v>FIP Engineering</v>
      </c>
      <c r="M3703" s="6" t="str">
        <f>IFERROR(__xludf.DUMMYFUNCTION("""COMPUTED_VALUE"""),"Mochammad Fadhillah Hakim,")</f>
        <v>Mochammad Fadhillah Hakim,</v>
      </c>
      <c r="N3703" s="6" t="str">
        <f>IFERROR(__xludf.DUMMYFUNCTION("""COMPUTED_VALUE"""),"FIP Engineering")</f>
        <v>FIP Engineering</v>
      </c>
      <c r="O3703" s="6" t="str">
        <f>IFERROR(__xludf.DUMMYFUNCTION("""COMPUTED_VALUE"""),"FIP-DOM-000-11304-OS00001-INA-000000")</f>
        <v>FIP-DOM-000-11304-OS00001-INA-000000</v>
      </c>
      <c r="P3703" s="6" t="str">
        <f>IFERROR(__xludf.DUMMYFUNCTION("""COMPUTED_VALUE"""),"PO Closed")</f>
        <v>PO Closed</v>
      </c>
      <c r="Q3703" s="6" t="str">
        <f>IFERROR(__xludf.DUMMYFUNCTION("""COMPUTED_VALUE"""),"GL2502052")</f>
        <v>GL2502052</v>
      </c>
      <c r="R3703" s="57">
        <f>IFERROR(__xludf.DUMMYFUNCTION("""COMPUTED_VALUE"""),45677.0)</f>
        <v>45677</v>
      </c>
      <c r="S3703" s="57">
        <f>IFERROR(__xludf.DUMMYFUNCTION("""COMPUTED_VALUE"""),45680.0)</f>
        <v>45680</v>
      </c>
      <c r="T3703" s="57">
        <f>IFERROR(__xludf.DUMMYFUNCTION("""COMPUTED_VALUE"""),45813.0)</f>
        <v>45813</v>
      </c>
    </row>
    <row r="3704">
      <c r="A3704" s="6" t="str">
        <f>IFERROR(__xludf.DUMMYFUNCTION("""COMPUTED_VALUE"""),"121702320-1")</f>
        <v>121702320-1</v>
      </c>
      <c r="B3704" s="6" t="str">
        <f>IFERROR(__xludf.DUMMYFUNCTION("""COMPUTED_VALUE"""),"121702320 - APPROVED")</f>
        <v>121702320 - APPROVED</v>
      </c>
      <c r="C3704" s="6">
        <f>IFERROR(__xludf.DUMMYFUNCTION("""COMPUTED_VALUE"""),1.0)</f>
        <v>1</v>
      </c>
      <c r="D3704" s="6" t="str">
        <f>IFERROR(__xludf.DUMMYFUNCTION("""COMPUTED_VALUE"""),"Q-60501-00")</f>
        <v>Q-60501-00</v>
      </c>
      <c r="E3704" s="6" t="str">
        <f>IFERROR(__xludf.DUMMYFUNCTION("""COMPUTED_VALUE"""),"Silicone Sealant, Silglaze, Type N10 Clear, pack size per pcs")</f>
        <v>Silicone Sealant, Silglaze, Type N10 Clear, pack size per pcs</v>
      </c>
      <c r="F3704" s="6">
        <f>IFERROR(__xludf.DUMMYFUNCTION("""COMPUTED_VALUE"""),20.0)</f>
        <v>20</v>
      </c>
      <c r="G3704" s="6" t="str">
        <f>IFERROR(__xludf.DUMMYFUNCTION("""COMPUTED_VALUE"""),"Pieces")</f>
        <v>Pieces</v>
      </c>
      <c r="H3704" s="6" t="str">
        <f>IFERROR(__xludf.DUMMYFUNCTION("""COMPUTED_VALUE"""),"IDR")</f>
        <v>IDR</v>
      </c>
      <c r="I3704" s="6">
        <f>IFERROR(__xludf.DUMMYFUNCTION("""COMPUTED_VALUE"""),42500.0)</f>
        <v>42500</v>
      </c>
      <c r="J3704" s="6">
        <f>IFERROR(__xludf.DUMMYFUNCTION("""COMPUTED_VALUE"""),850000.0)</f>
        <v>850000</v>
      </c>
      <c r="K3704" s="57">
        <f>IFERROR(__xludf.DUMMYFUNCTION("""COMPUTED_VALUE"""),45698.0)</f>
        <v>45698</v>
      </c>
      <c r="L3704" s="6" t="str">
        <f>IFERROR(__xludf.DUMMYFUNCTION("""COMPUTED_VALUE"""),"FIP Engineering")</f>
        <v>FIP Engineering</v>
      </c>
      <c r="M3704" s="6" t="str">
        <f>IFERROR(__xludf.DUMMYFUNCTION("""COMPUTED_VALUE"""),"Mochammad Fadhillah Hakim,")</f>
        <v>Mochammad Fadhillah Hakim,</v>
      </c>
      <c r="N3704" s="6" t="str">
        <f>IFERROR(__xludf.DUMMYFUNCTION("""COMPUTED_VALUE"""),"FIP Engineering")</f>
        <v>FIP Engineering</v>
      </c>
      <c r="O3704" s="6" t="str">
        <f>IFERROR(__xludf.DUMMYFUNCTION("""COMPUTED_VALUE"""),"FIP-DOM-000-11304-OS00001-INA-000000")</f>
        <v>FIP-DOM-000-11304-OS00001-INA-000000</v>
      </c>
      <c r="P3704" s="6" t="str">
        <f>IFERROR(__xludf.DUMMYFUNCTION("""COMPUTED_VALUE"""),"PO Closed")</f>
        <v>PO Closed</v>
      </c>
      <c r="Q3704" s="6" t="str">
        <f>IFERROR(__xludf.DUMMYFUNCTION("""COMPUTED_VALUE"""),"GL2502008")</f>
        <v>GL2502008</v>
      </c>
      <c r="R3704" s="57">
        <f>IFERROR(__xludf.DUMMYFUNCTION("""COMPUTED_VALUE"""),45677.0)</f>
        <v>45677</v>
      </c>
      <c r="S3704" s="57">
        <f>IFERROR(__xludf.DUMMYFUNCTION("""COMPUTED_VALUE"""),45680.0)</f>
        <v>45680</v>
      </c>
      <c r="T3704" s="57">
        <f>IFERROR(__xludf.DUMMYFUNCTION("""COMPUTED_VALUE"""),45758.0)</f>
        <v>45758</v>
      </c>
    </row>
    <row r="3705">
      <c r="A3705" s="6" t="str">
        <f>IFERROR(__xludf.DUMMYFUNCTION("""COMPUTED_VALUE"""),"121702320-2")</f>
        <v>121702320-2</v>
      </c>
      <c r="B3705" s="6" t="str">
        <f>IFERROR(__xludf.DUMMYFUNCTION("""COMPUTED_VALUE"""),"121702320 - APPROVED")</f>
        <v>121702320 - APPROVED</v>
      </c>
      <c r="C3705" s="6">
        <f>IFERROR(__xludf.DUMMYFUNCTION("""COMPUTED_VALUE"""),2.0)</f>
        <v>2</v>
      </c>
      <c r="D3705" s="6" t="str">
        <f>IFERROR(__xludf.DUMMYFUNCTION("""COMPUTED_VALUE"""),"Q-60501-00")</f>
        <v>Q-60501-00</v>
      </c>
      <c r="E3705" s="6" t="str">
        <f>IFERROR(__xludf.DUMMYFUNCTION("""COMPUTED_VALUE"""),"Silicone Sealant, Silglaze, Type N10 Clear, pack size per pcs")</f>
        <v>Silicone Sealant, Silglaze, Type N10 Clear, pack size per pcs</v>
      </c>
      <c r="F3705" s="6">
        <f>IFERROR(__xludf.DUMMYFUNCTION("""COMPUTED_VALUE"""),20.0)</f>
        <v>20</v>
      </c>
      <c r="G3705" s="6" t="str">
        <f>IFERROR(__xludf.DUMMYFUNCTION("""COMPUTED_VALUE"""),"Pieces")</f>
        <v>Pieces</v>
      </c>
      <c r="H3705" s="6" t="str">
        <f>IFERROR(__xludf.DUMMYFUNCTION("""COMPUTED_VALUE"""),"IDR")</f>
        <v>IDR</v>
      </c>
      <c r="I3705" s="6">
        <f>IFERROR(__xludf.DUMMYFUNCTION("""COMPUTED_VALUE"""),42500.0)</f>
        <v>42500</v>
      </c>
      <c r="J3705" s="6">
        <f>IFERROR(__xludf.DUMMYFUNCTION("""COMPUTED_VALUE"""),850000.0)</f>
        <v>850000</v>
      </c>
      <c r="K3705" s="57">
        <f>IFERROR(__xludf.DUMMYFUNCTION("""COMPUTED_VALUE"""),45782.0)</f>
        <v>45782</v>
      </c>
      <c r="L3705" s="6" t="str">
        <f>IFERROR(__xludf.DUMMYFUNCTION("""COMPUTED_VALUE"""),"FIP Engineering")</f>
        <v>FIP Engineering</v>
      </c>
      <c r="M3705" s="6" t="str">
        <f>IFERROR(__xludf.DUMMYFUNCTION("""COMPUTED_VALUE"""),"Mochammad Fadhillah Hakim,")</f>
        <v>Mochammad Fadhillah Hakim,</v>
      </c>
      <c r="N3705" s="6" t="str">
        <f>IFERROR(__xludf.DUMMYFUNCTION("""COMPUTED_VALUE"""),"FIP Engineering")</f>
        <v>FIP Engineering</v>
      </c>
      <c r="O3705" s="6" t="str">
        <f>IFERROR(__xludf.DUMMYFUNCTION("""COMPUTED_VALUE"""),"FIP-DOM-000-11304-OS00001-INA-000000")</f>
        <v>FIP-DOM-000-11304-OS00001-INA-000000</v>
      </c>
      <c r="P3705" s="6" t="str">
        <f>IFERROR(__xludf.DUMMYFUNCTION("""COMPUTED_VALUE"""),"PO Closed")</f>
        <v>PO Closed</v>
      </c>
      <c r="Q3705" s="6" t="str">
        <f>IFERROR(__xludf.DUMMYFUNCTION("""COMPUTED_VALUE"""),"GL2502008")</f>
        <v>GL2502008</v>
      </c>
      <c r="R3705" s="57">
        <f>IFERROR(__xludf.DUMMYFUNCTION("""COMPUTED_VALUE"""),45677.0)</f>
        <v>45677</v>
      </c>
      <c r="S3705" s="57">
        <f>IFERROR(__xludf.DUMMYFUNCTION("""COMPUTED_VALUE"""),45680.0)</f>
        <v>45680</v>
      </c>
      <c r="T3705" s="57">
        <f>IFERROR(__xludf.DUMMYFUNCTION("""COMPUTED_VALUE"""),45782.0)</f>
        <v>45782</v>
      </c>
    </row>
    <row r="3706">
      <c r="A3706" s="6" t="str">
        <f>IFERROR(__xludf.DUMMYFUNCTION("""COMPUTED_VALUE"""),"121702321-1")</f>
        <v>121702321-1</v>
      </c>
      <c r="B3706" s="6" t="str">
        <f>IFERROR(__xludf.DUMMYFUNCTION("""COMPUTED_VALUE"""),"121702321 - APPROVED")</f>
        <v>121702321 - APPROVED</v>
      </c>
      <c r="C3706" s="6">
        <f>IFERROR(__xludf.DUMMYFUNCTION("""COMPUTED_VALUE"""),1.0)</f>
        <v>1</v>
      </c>
      <c r="D3706" s="6" t="str">
        <f>IFERROR(__xludf.DUMMYFUNCTION("""COMPUTED_VALUE"""),"P-51027-00")</f>
        <v>P-51027-00</v>
      </c>
      <c r="E3706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3706" s="6">
        <f>IFERROR(__xludf.DUMMYFUNCTION("""COMPUTED_VALUE"""),5.0)</f>
        <v>5</v>
      </c>
      <c r="G3706" s="6" t="str">
        <f>IFERROR(__xludf.DUMMYFUNCTION("""COMPUTED_VALUE"""),"Pieces")</f>
        <v>Pieces</v>
      </c>
      <c r="H3706" s="6" t="str">
        <f>IFERROR(__xludf.DUMMYFUNCTION("""COMPUTED_VALUE"""),"IDR")</f>
        <v>IDR</v>
      </c>
      <c r="I3706" s="6">
        <f>IFERROR(__xludf.DUMMYFUNCTION("""COMPUTED_VALUE"""),57000.0)</f>
        <v>57000</v>
      </c>
      <c r="J3706" s="6">
        <f>IFERROR(__xludf.DUMMYFUNCTION("""COMPUTED_VALUE"""),285000.0)</f>
        <v>285000</v>
      </c>
      <c r="K3706" s="57">
        <f>IFERROR(__xludf.DUMMYFUNCTION("""COMPUTED_VALUE"""),45747.0)</f>
        <v>45747</v>
      </c>
      <c r="L3706" s="6" t="str">
        <f>IFERROR(__xludf.DUMMYFUNCTION("""COMPUTED_VALUE"""),"FIP Engineering")</f>
        <v>FIP Engineering</v>
      </c>
      <c r="M3706" s="6" t="str">
        <f>IFERROR(__xludf.DUMMYFUNCTION("""COMPUTED_VALUE"""),"Mochammad Fadhillah Hakim,")</f>
        <v>Mochammad Fadhillah Hakim,</v>
      </c>
      <c r="N3706" s="6" t="str">
        <f>IFERROR(__xludf.DUMMYFUNCTION("""COMPUTED_VALUE"""),"FIP Engineering")</f>
        <v>FIP Engineering</v>
      </c>
      <c r="O3706" s="6" t="str">
        <f>IFERROR(__xludf.DUMMYFUNCTION("""COMPUTED_VALUE"""),"FIP-DOM-000-11304-OS00001-INA-000000")</f>
        <v>FIP-DOM-000-11304-OS00001-INA-000000</v>
      </c>
      <c r="P3706" s="6" t="str">
        <f>IFERROR(__xludf.DUMMYFUNCTION("""COMPUTED_VALUE"""),"PO Closed")</f>
        <v>PO Closed</v>
      </c>
      <c r="Q3706" s="6" t="str">
        <f>IFERROR(__xludf.DUMMYFUNCTION("""COMPUTED_VALUE"""),"GL2502332")</f>
        <v>GL2502332</v>
      </c>
      <c r="R3706" s="57">
        <f>IFERROR(__xludf.DUMMYFUNCTION("""COMPUTED_VALUE"""),45677.0)</f>
        <v>45677</v>
      </c>
      <c r="S3706" s="57">
        <f>IFERROR(__xludf.DUMMYFUNCTION("""COMPUTED_VALUE"""),45680.0)</f>
        <v>45680</v>
      </c>
      <c r="T3706" s="57">
        <f>IFERROR(__xludf.DUMMYFUNCTION("""COMPUTED_VALUE"""),45747.0)</f>
        <v>45747</v>
      </c>
    </row>
    <row r="3707">
      <c r="A3707" s="6" t="str">
        <f>IFERROR(__xludf.DUMMYFUNCTION("""COMPUTED_VALUE"""),"121702321-2")</f>
        <v>121702321-2</v>
      </c>
      <c r="B3707" s="6" t="str">
        <f>IFERROR(__xludf.DUMMYFUNCTION("""COMPUTED_VALUE"""),"121702321 - APPROVED")</f>
        <v>121702321 - APPROVED</v>
      </c>
      <c r="C3707" s="6">
        <f>IFERROR(__xludf.DUMMYFUNCTION("""COMPUTED_VALUE"""),2.0)</f>
        <v>2</v>
      </c>
      <c r="D3707" s="6" t="str">
        <f>IFERROR(__xludf.DUMMYFUNCTION("""COMPUTED_VALUE"""),"P-51027-00")</f>
        <v>P-51027-00</v>
      </c>
      <c r="E3707" s="6" t="str">
        <f>IFERROR(__xludf.DUMMYFUNCTION("""COMPUTED_VALUE"""),"Isolasi Kabel  SCOTCH super 33+ size: 19 mmx20x0.177 mm ( vinyl electric tape ) Black 3M")</f>
        <v>Isolasi Kabel  SCOTCH super 33+ size: 19 mmx20x0.177 mm ( vinyl electric tape ) Black 3M</v>
      </c>
      <c r="F3707" s="6">
        <f>IFERROR(__xludf.DUMMYFUNCTION("""COMPUTED_VALUE"""),5.0)</f>
        <v>5</v>
      </c>
      <c r="G3707" s="6" t="str">
        <f>IFERROR(__xludf.DUMMYFUNCTION("""COMPUTED_VALUE"""),"Pieces")</f>
        <v>Pieces</v>
      </c>
      <c r="H3707" s="6" t="str">
        <f>IFERROR(__xludf.DUMMYFUNCTION("""COMPUTED_VALUE"""),"IDR")</f>
        <v>IDR</v>
      </c>
      <c r="I3707" s="6">
        <f>IFERROR(__xludf.DUMMYFUNCTION("""COMPUTED_VALUE"""),57000.0)</f>
        <v>57000</v>
      </c>
      <c r="J3707" s="6">
        <f>IFERROR(__xludf.DUMMYFUNCTION("""COMPUTED_VALUE"""),285000.0)</f>
        <v>285000</v>
      </c>
      <c r="K3707" s="57">
        <f>IFERROR(__xludf.DUMMYFUNCTION("""COMPUTED_VALUE"""),45810.0)</f>
        <v>45810</v>
      </c>
      <c r="L3707" s="6" t="str">
        <f>IFERROR(__xludf.DUMMYFUNCTION("""COMPUTED_VALUE"""),"FIP Engineering")</f>
        <v>FIP Engineering</v>
      </c>
      <c r="M3707" s="6" t="str">
        <f>IFERROR(__xludf.DUMMYFUNCTION("""COMPUTED_VALUE"""),"Mochammad Fadhillah Hakim,")</f>
        <v>Mochammad Fadhillah Hakim,</v>
      </c>
      <c r="N3707" s="6" t="str">
        <f>IFERROR(__xludf.DUMMYFUNCTION("""COMPUTED_VALUE"""),"FIP Engineering")</f>
        <v>FIP Engineering</v>
      </c>
      <c r="O3707" s="6" t="str">
        <f>IFERROR(__xludf.DUMMYFUNCTION("""COMPUTED_VALUE"""),"FIP-DOM-000-11304-OS00001-INA-000000")</f>
        <v>FIP-DOM-000-11304-OS00001-INA-000000</v>
      </c>
      <c r="P3707" s="6" t="str">
        <f>IFERROR(__xludf.DUMMYFUNCTION("""COMPUTED_VALUE"""),"PO Closed")</f>
        <v>PO Closed</v>
      </c>
      <c r="Q3707" s="6" t="str">
        <f>IFERROR(__xludf.DUMMYFUNCTION("""COMPUTED_VALUE"""),"GL2502332")</f>
        <v>GL2502332</v>
      </c>
      <c r="R3707" s="57">
        <f>IFERROR(__xludf.DUMMYFUNCTION("""COMPUTED_VALUE"""),45677.0)</f>
        <v>45677</v>
      </c>
      <c r="S3707" s="57">
        <f>IFERROR(__xludf.DUMMYFUNCTION("""COMPUTED_VALUE"""),45680.0)</f>
        <v>45680</v>
      </c>
      <c r="T3707" s="57">
        <f>IFERROR(__xludf.DUMMYFUNCTION("""COMPUTED_VALUE"""),45810.0)</f>
        <v>45810</v>
      </c>
    </row>
    <row r="3708">
      <c r="A3708" s="6" t="str">
        <f>IFERROR(__xludf.DUMMYFUNCTION("""COMPUTED_VALUE"""),"121702322-1")</f>
        <v>121702322-1</v>
      </c>
      <c r="B3708" s="6" t="str">
        <f>IFERROR(__xludf.DUMMYFUNCTION("""COMPUTED_VALUE"""),"121702322 - APPROVED")</f>
        <v>121702322 - APPROVED</v>
      </c>
      <c r="C3708" s="6">
        <f>IFERROR(__xludf.DUMMYFUNCTION("""COMPUTED_VALUE"""),1.0)</f>
        <v>1</v>
      </c>
      <c r="D3708" s="6" t="str">
        <f>IFERROR(__xludf.DUMMYFUNCTION("""COMPUTED_VALUE"""),"S-40645-00")</f>
        <v>S-40645-00</v>
      </c>
      <c r="E3708" s="6" t="str">
        <f>IFERROR(__xludf.DUMMYFUNCTION("""COMPUTED_VALUE"""),"Cable Ties, 200 x 4.8 mm; SIGMA; CS 200L; Putih;100 pcs/pack")</f>
        <v>Cable Ties, 200 x 4.8 mm; SIGMA; CS 200L; Putih;100 pcs/pack</v>
      </c>
      <c r="F3708" s="6">
        <f>IFERROR(__xludf.DUMMYFUNCTION("""COMPUTED_VALUE"""),5.0)</f>
        <v>5</v>
      </c>
      <c r="G3708" s="6" t="str">
        <f>IFERROR(__xludf.DUMMYFUNCTION("""COMPUTED_VALUE"""),"Pack")</f>
        <v>Pack</v>
      </c>
      <c r="H3708" s="6" t="str">
        <f>IFERROR(__xludf.DUMMYFUNCTION("""COMPUTED_VALUE"""),"IDR")</f>
        <v>IDR</v>
      </c>
      <c r="I3708" s="6">
        <f>IFERROR(__xludf.DUMMYFUNCTION("""COMPUTED_VALUE"""),30000.0)</f>
        <v>30000</v>
      </c>
      <c r="J3708" s="6">
        <f>IFERROR(__xludf.DUMMYFUNCTION("""COMPUTED_VALUE"""),150000.0)</f>
        <v>150000</v>
      </c>
      <c r="K3708" s="57">
        <f>IFERROR(__xludf.DUMMYFUNCTION("""COMPUTED_VALUE"""),45684.0)</f>
        <v>45684</v>
      </c>
      <c r="L3708" s="6" t="str">
        <f>IFERROR(__xludf.DUMMYFUNCTION("""COMPUTED_VALUE"""),"FIP General")</f>
        <v>FIP General</v>
      </c>
      <c r="M3708" s="6" t="str">
        <f>IFERROR(__xludf.DUMMYFUNCTION("""COMPUTED_VALUE"""),"Mochammad Fadhillah Hakim,")</f>
        <v>Mochammad Fadhillah Hakim,</v>
      </c>
      <c r="N3708" s="6" t="str">
        <f>IFERROR(__xludf.DUMMYFUNCTION("""COMPUTED_VALUE"""),"FIP Engineering")</f>
        <v>FIP Engineering</v>
      </c>
      <c r="O3708" s="6" t="str">
        <f>IFERROR(__xludf.DUMMYFUNCTION("""COMPUTED_VALUE"""),"FIP-DOM-ENG-51404-0000000-INA-000000")</f>
        <v>FIP-DOM-ENG-51404-0000000-INA-000000</v>
      </c>
      <c r="P3708" s="6" t="str">
        <f>IFERROR(__xludf.DUMMYFUNCTION("""COMPUTED_VALUE"""),"PO Closed")</f>
        <v>PO Closed</v>
      </c>
      <c r="Q3708" s="6" t="str">
        <f>IFERROR(__xludf.DUMMYFUNCTION("""COMPUTED_VALUE"""),"GL2501030")</f>
        <v>GL2501030</v>
      </c>
      <c r="R3708" s="57">
        <f>IFERROR(__xludf.DUMMYFUNCTION("""COMPUTED_VALUE"""),45677.0)</f>
        <v>45677</v>
      </c>
      <c r="S3708" s="57">
        <f>IFERROR(__xludf.DUMMYFUNCTION("""COMPUTED_VALUE"""),45680.0)</f>
        <v>45680</v>
      </c>
      <c r="T3708" s="57">
        <f>IFERROR(__xludf.DUMMYFUNCTION("""COMPUTED_VALUE"""),45693.0)</f>
        <v>45693</v>
      </c>
    </row>
    <row r="3709">
      <c r="A3709" s="6" t="str">
        <f>IFERROR(__xludf.DUMMYFUNCTION("""COMPUTED_VALUE"""),"121702322-2")</f>
        <v>121702322-2</v>
      </c>
      <c r="B3709" s="6" t="str">
        <f>IFERROR(__xludf.DUMMYFUNCTION("""COMPUTED_VALUE"""),"121702322 - APPROVED")</f>
        <v>121702322 - APPROVED</v>
      </c>
      <c r="C3709" s="6">
        <f>IFERROR(__xludf.DUMMYFUNCTION("""COMPUTED_VALUE"""),2.0)</f>
        <v>2</v>
      </c>
      <c r="D3709" s="6" t="str">
        <f>IFERROR(__xludf.DUMMYFUNCTION("""COMPUTED_VALUE"""),"S-40645-00")</f>
        <v>S-40645-00</v>
      </c>
      <c r="E3709" s="6" t="str">
        <f>IFERROR(__xludf.DUMMYFUNCTION("""COMPUTED_VALUE"""),"Cable Ties, 200 x 4.8 mm; SIGMA; CS 200L; Putih;100 pcs/pack")</f>
        <v>Cable Ties, 200 x 4.8 mm; SIGMA; CS 200L; Putih;100 pcs/pack</v>
      </c>
      <c r="F3709" s="6">
        <f>IFERROR(__xludf.DUMMYFUNCTION("""COMPUTED_VALUE"""),5.0)</f>
        <v>5</v>
      </c>
      <c r="G3709" s="6" t="str">
        <f>IFERROR(__xludf.DUMMYFUNCTION("""COMPUTED_VALUE"""),"Pack")</f>
        <v>Pack</v>
      </c>
      <c r="H3709" s="6" t="str">
        <f>IFERROR(__xludf.DUMMYFUNCTION("""COMPUTED_VALUE"""),"IDR")</f>
        <v>IDR</v>
      </c>
      <c r="I3709" s="6">
        <f>IFERROR(__xludf.DUMMYFUNCTION("""COMPUTED_VALUE"""),30000.0)</f>
        <v>30000</v>
      </c>
      <c r="J3709" s="6">
        <f>IFERROR(__xludf.DUMMYFUNCTION("""COMPUTED_VALUE"""),150000.0)</f>
        <v>150000</v>
      </c>
      <c r="K3709" s="57">
        <f>IFERROR(__xludf.DUMMYFUNCTION("""COMPUTED_VALUE"""),45810.0)</f>
        <v>45810</v>
      </c>
      <c r="L3709" s="6" t="str">
        <f>IFERROR(__xludf.DUMMYFUNCTION("""COMPUTED_VALUE"""),"FIP General")</f>
        <v>FIP General</v>
      </c>
      <c r="M3709" s="6" t="str">
        <f>IFERROR(__xludf.DUMMYFUNCTION("""COMPUTED_VALUE"""),"Mochammad Fadhillah Hakim,")</f>
        <v>Mochammad Fadhillah Hakim,</v>
      </c>
      <c r="N3709" s="6" t="str">
        <f>IFERROR(__xludf.DUMMYFUNCTION("""COMPUTED_VALUE"""),"FIP Engineering")</f>
        <v>FIP Engineering</v>
      </c>
      <c r="O3709" s="6" t="str">
        <f>IFERROR(__xludf.DUMMYFUNCTION("""COMPUTED_VALUE"""),"FIP-DOM-ENG-51404-0000000-INA-000000")</f>
        <v>FIP-DOM-ENG-51404-0000000-INA-000000</v>
      </c>
      <c r="P3709" s="6" t="str">
        <f>IFERROR(__xludf.DUMMYFUNCTION("""COMPUTED_VALUE"""),"PO Closed")</f>
        <v>PO Closed</v>
      </c>
      <c r="Q3709" s="6" t="str">
        <f>IFERROR(__xludf.DUMMYFUNCTION("""COMPUTED_VALUE"""),"GL2501030")</f>
        <v>GL2501030</v>
      </c>
      <c r="R3709" s="57">
        <f>IFERROR(__xludf.DUMMYFUNCTION("""COMPUTED_VALUE"""),45677.0)</f>
        <v>45677</v>
      </c>
      <c r="S3709" s="57">
        <f>IFERROR(__xludf.DUMMYFUNCTION("""COMPUTED_VALUE"""),45680.0)</f>
        <v>45680</v>
      </c>
      <c r="T3709" s="57">
        <f>IFERROR(__xludf.DUMMYFUNCTION("""COMPUTED_VALUE"""),45752.0)</f>
        <v>45752</v>
      </c>
    </row>
    <row r="3710">
      <c r="A3710" s="6" t="str">
        <f>IFERROR(__xludf.DUMMYFUNCTION("""COMPUTED_VALUE"""),"121702323-1")</f>
        <v>121702323-1</v>
      </c>
      <c r="B3710" s="6" t="str">
        <f>IFERROR(__xludf.DUMMYFUNCTION("""COMPUTED_VALUE"""),"121702323 - APPROVED")</f>
        <v>121702323 - APPROVED</v>
      </c>
      <c r="C3710" s="6">
        <f>IFERROR(__xludf.DUMMYFUNCTION("""COMPUTED_VALUE"""),1.0)</f>
        <v>1</v>
      </c>
      <c r="D3710" s="6" t="str">
        <f>IFERROR(__xludf.DUMMYFUNCTION("""COMPUTED_VALUE"""),"S-60050-00")</f>
        <v>S-60050-00</v>
      </c>
      <c r="E3710" s="6" t="str">
        <f>IFERROR(__xludf.DUMMYFUNCTION("""COMPUTED_VALUE"""),"Jasa Perbaikan dan Pemeliharaan Mesin Produksi; ; ; - Perbaikan Motor dan Fan Tunnel")</f>
        <v>Jasa Perbaikan dan Pemeliharaan Mesin Produksi; ; ; - Perbaikan Motor dan Fan Tunnel</v>
      </c>
      <c r="F3710" s="6">
        <f>IFERROR(__xludf.DUMMYFUNCTION("""COMPUTED_VALUE"""),1.0)</f>
        <v>1</v>
      </c>
      <c r="G3710" s="6" t="str">
        <f>IFERROR(__xludf.DUMMYFUNCTION("""COMPUTED_VALUE"""),"Pieces")</f>
        <v>Pieces</v>
      </c>
      <c r="H3710" s="6" t="str">
        <f>IFERROR(__xludf.DUMMYFUNCTION("""COMPUTED_VALUE"""),"IDR")</f>
        <v>IDR</v>
      </c>
      <c r="I3710" s="6">
        <f>IFERROR(__xludf.DUMMYFUNCTION("""COMPUTED_VALUE"""),4020000.0)</f>
        <v>4020000</v>
      </c>
      <c r="J3710" s="6">
        <f>IFERROR(__xludf.DUMMYFUNCTION("""COMPUTED_VALUE"""),4020000.0)</f>
        <v>4020000</v>
      </c>
      <c r="K3710" s="57">
        <f>IFERROR(__xludf.DUMMYFUNCTION("""COMPUTED_VALUE"""),45680.0)</f>
        <v>45680</v>
      </c>
      <c r="L3710" s="6" t="str">
        <f>IFERROR(__xludf.DUMMYFUNCTION("""COMPUTED_VALUE"""),"FIP General")</f>
        <v>FIP General</v>
      </c>
      <c r="M3710" s="6" t="str">
        <f>IFERROR(__xludf.DUMMYFUNCTION("""COMPUTED_VALUE"""),"Mochammad Fadhillah Hakim,")</f>
        <v>Mochammad Fadhillah Hakim,</v>
      </c>
      <c r="N3710" s="6" t="str">
        <f>IFERROR(__xludf.DUMMYFUNCTION("""COMPUTED_VALUE"""),"FIP Engineering")</f>
        <v>FIP Engineering</v>
      </c>
      <c r="O3710" s="6" t="str">
        <f>IFERROR(__xludf.DUMMYFUNCTION("""COMPUTED_VALUE"""),"FIP-DOM-ENG-51504-0000000-INA-000000")</f>
        <v>FIP-DOM-ENG-51504-0000000-INA-000000</v>
      </c>
      <c r="P3710" s="6" t="str">
        <f>IFERROR(__xludf.DUMMYFUNCTION("""COMPUTED_VALUE"""),"PO Closed")</f>
        <v>PO Closed</v>
      </c>
      <c r="Q3710" s="6" t="str">
        <f>IFERROR(__xludf.DUMMYFUNCTION("""COMPUTED_VALUE"""),"GL2502054")</f>
        <v>GL2502054</v>
      </c>
      <c r="R3710" s="57">
        <f>IFERROR(__xludf.DUMMYFUNCTION("""COMPUTED_VALUE"""),45678.0)</f>
        <v>45678</v>
      </c>
      <c r="S3710" s="57">
        <f>IFERROR(__xludf.DUMMYFUNCTION("""COMPUTED_VALUE"""),45680.0)</f>
        <v>45680</v>
      </c>
      <c r="T3710" s="57">
        <f>IFERROR(__xludf.DUMMYFUNCTION("""COMPUTED_VALUE"""),45680.0)</f>
        <v>45680</v>
      </c>
    </row>
    <row r="3711">
      <c r="A3711" s="6" t="str">
        <f>IFERROR(__xludf.DUMMYFUNCTION("""COMPUTED_VALUE"""),"121702324-1")</f>
        <v>121702324-1</v>
      </c>
      <c r="B3711" s="6" t="str">
        <f>IFERROR(__xludf.DUMMYFUNCTION("""COMPUTED_VALUE"""),"121702324 - APPROVED")</f>
        <v>121702324 - APPROVED</v>
      </c>
      <c r="C3711" s="6">
        <f>IFERROR(__xludf.DUMMYFUNCTION("""COMPUTED_VALUE"""),1.0)</f>
        <v>1</v>
      </c>
      <c r="D3711" s="6" t="str">
        <f>IFERROR(__xludf.DUMMYFUNCTION("""COMPUTED_VALUE"""),"O-51967-00")</f>
        <v>O-51967-00</v>
      </c>
      <c r="E3711" s="6" t="str">
        <f>IFERROR(__xludf.DUMMYFUNCTION("""COMPUTED_VALUE"""),"Solid State Relay 3-32 VDC - 330 VAC 25 A; ; ;")</f>
        <v>Solid State Relay 3-32 VDC - 330 VAC 25 A; ; ;</v>
      </c>
      <c r="F3711" s="6">
        <f>IFERROR(__xludf.DUMMYFUNCTION("""COMPUTED_VALUE"""),5.0)</f>
        <v>5</v>
      </c>
      <c r="G3711" s="6" t="str">
        <f>IFERROR(__xludf.DUMMYFUNCTION("""COMPUTED_VALUE"""),"Pieces")</f>
        <v>Pieces</v>
      </c>
      <c r="H3711" s="6" t="str">
        <f>IFERROR(__xludf.DUMMYFUNCTION("""COMPUTED_VALUE"""),"IDR")</f>
        <v>IDR</v>
      </c>
      <c r="I3711" s="6">
        <f>IFERROR(__xludf.DUMMYFUNCTION("""COMPUTED_VALUE"""),390000.0)</f>
        <v>390000</v>
      </c>
      <c r="J3711" s="6">
        <f>IFERROR(__xludf.DUMMYFUNCTION("""COMPUTED_VALUE"""),1950000.0)</f>
        <v>1950000</v>
      </c>
      <c r="K3711" s="57">
        <f>IFERROR(__xludf.DUMMYFUNCTION("""COMPUTED_VALUE"""),45680.0)</f>
        <v>45680</v>
      </c>
      <c r="L3711" s="6" t="str">
        <f>IFERROR(__xludf.DUMMYFUNCTION("""COMPUTED_VALUE"""),"FIP Engineering")</f>
        <v>FIP Engineering</v>
      </c>
      <c r="M3711" s="6" t="str">
        <f>IFERROR(__xludf.DUMMYFUNCTION("""COMPUTED_VALUE"""),"Mochammad Fadhillah Hakim,")</f>
        <v>Mochammad Fadhillah Hakim,</v>
      </c>
      <c r="N3711" s="6" t="str">
        <f>IFERROR(__xludf.DUMMYFUNCTION("""COMPUTED_VALUE"""),"FIP Engineering")</f>
        <v>FIP Engineering</v>
      </c>
      <c r="O3711" s="6" t="str">
        <f>IFERROR(__xludf.DUMMYFUNCTION("""COMPUTED_VALUE"""),"FIP-DOM-000-11304-OS00001-INA-000000")</f>
        <v>FIP-DOM-000-11304-OS00001-INA-000000</v>
      </c>
      <c r="P3711" s="6" t="str">
        <f>IFERROR(__xludf.DUMMYFUNCTION("""COMPUTED_VALUE"""),"PO Closed")</f>
        <v>PO Closed</v>
      </c>
      <c r="Q3711" s="6" t="str">
        <f>IFERROR(__xludf.DUMMYFUNCTION("""COMPUTED_VALUE"""),"GL2502338")</f>
        <v>GL2502338</v>
      </c>
      <c r="R3711" s="57">
        <f>IFERROR(__xludf.DUMMYFUNCTION("""COMPUTED_VALUE"""),45678.0)</f>
        <v>45678</v>
      </c>
      <c r="S3711" s="57">
        <f>IFERROR(__xludf.DUMMYFUNCTION("""COMPUTED_VALUE"""),45680.0)</f>
        <v>45680</v>
      </c>
      <c r="T3711" s="57">
        <f>IFERROR(__xludf.DUMMYFUNCTION("""COMPUTED_VALUE"""),45726.0)</f>
        <v>45726</v>
      </c>
    </row>
    <row r="3712">
      <c r="A3712" s="6" t="str">
        <f>IFERROR(__xludf.DUMMYFUNCTION("""COMPUTED_VALUE"""),"121702328-1")</f>
        <v>121702328-1</v>
      </c>
      <c r="B3712" s="6" t="str">
        <f>IFERROR(__xludf.DUMMYFUNCTION("""COMPUTED_VALUE"""),"121702328 - APPROVED")</f>
        <v>121702328 - APPROVED</v>
      </c>
      <c r="C3712" s="6">
        <f>IFERROR(__xludf.DUMMYFUNCTION("""COMPUTED_VALUE"""),1.0)</f>
        <v>1</v>
      </c>
      <c r="D3712" s="6" t="str">
        <f>IFERROR(__xludf.DUMMYFUNCTION("""COMPUTED_VALUE"""),"O-18055-00")</f>
        <v>O-18055-00</v>
      </c>
      <c r="E3712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3712" s="6">
        <f>IFERROR(__xludf.DUMMYFUNCTION("""COMPUTED_VALUE"""),20.0)</f>
        <v>20</v>
      </c>
      <c r="G3712" s="6" t="str">
        <f>IFERROR(__xludf.DUMMYFUNCTION("""COMPUTED_VALUE"""),"Pieces")</f>
        <v>Pieces</v>
      </c>
      <c r="H3712" s="6" t="str">
        <f>IFERROR(__xludf.DUMMYFUNCTION("""COMPUTED_VALUE"""),"IDR")</f>
        <v>IDR</v>
      </c>
      <c r="I3712" s="6">
        <f>IFERROR(__xludf.DUMMYFUNCTION("""COMPUTED_VALUE"""),150000.0)</f>
        <v>150000</v>
      </c>
      <c r="J3712" s="6">
        <f>IFERROR(__xludf.DUMMYFUNCTION("""COMPUTED_VALUE"""),3000000.0)</f>
        <v>3000000</v>
      </c>
      <c r="K3712" s="57">
        <f>IFERROR(__xludf.DUMMYFUNCTION("""COMPUTED_VALUE"""),45698.0)</f>
        <v>45698</v>
      </c>
      <c r="L3712" s="6" t="str">
        <f>IFERROR(__xludf.DUMMYFUNCTION("""COMPUTED_VALUE"""),"FIP Engineering")</f>
        <v>FIP Engineering</v>
      </c>
      <c r="M3712" s="6" t="str">
        <f>IFERROR(__xludf.DUMMYFUNCTION("""COMPUTED_VALUE"""),"Mochammad Fadhillah Hakim,")</f>
        <v>Mochammad Fadhillah Hakim,</v>
      </c>
      <c r="N3712" s="6" t="str">
        <f>IFERROR(__xludf.DUMMYFUNCTION("""COMPUTED_VALUE"""),"FIP Engineering")</f>
        <v>FIP Engineering</v>
      </c>
      <c r="O3712" s="6" t="str">
        <f>IFERROR(__xludf.DUMMYFUNCTION("""COMPUTED_VALUE"""),"FIP-DOM-000-11304-OS00001-INA-000000")</f>
        <v>FIP-DOM-000-11304-OS00001-INA-000000</v>
      </c>
      <c r="P3712" s="6" t="str">
        <f>IFERROR(__xludf.DUMMYFUNCTION("""COMPUTED_VALUE"""),"PO Closed")</f>
        <v>PO Closed</v>
      </c>
      <c r="Q3712" s="6" t="str">
        <f>IFERROR(__xludf.DUMMYFUNCTION("""COMPUTED_VALUE"""),"GL2503015")</f>
        <v>GL2503015</v>
      </c>
      <c r="R3712" s="57">
        <f>IFERROR(__xludf.DUMMYFUNCTION("""COMPUTED_VALUE"""),45678.0)</f>
        <v>45678</v>
      </c>
      <c r="S3712" s="57">
        <f>IFERROR(__xludf.DUMMYFUNCTION("""COMPUTED_VALUE"""),45680.0)</f>
        <v>45680</v>
      </c>
      <c r="T3712" s="57">
        <f>IFERROR(__xludf.DUMMYFUNCTION("""COMPUTED_VALUE"""),45746.0)</f>
        <v>45746</v>
      </c>
    </row>
    <row r="3713">
      <c r="A3713" s="6" t="str">
        <f>IFERROR(__xludf.DUMMYFUNCTION("""COMPUTED_VALUE"""),"121702328-2")</f>
        <v>121702328-2</v>
      </c>
      <c r="B3713" s="6" t="str">
        <f>IFERROR(__xludf.DUMMYFUNCTION("""COMPUTED_VALUE"""),"121702328 - APPROVED")</f>
        <v>121702328 - APPROVED</v>
      </c>
      <c r="C3713" s="6">
        <f>IFERROR(__xludf.DUMMYFUNCTION("""COMPUTED_VALUE"""),2.0)</f>
        <v>2</v>
      </c>
      <c r="D3713" s="6" t="str">
        <f>IFERROR(__xludf.DUMMYFUNCTION("""COMPUTED_VALUE"""),"O-18055-00")</f>
        <v>O-18055-00</v>
      </c>
      <c r="E3713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3713" s="6">
        <f>IFERROR(__xludf.DUMMYFUNCTION("""COMPUTED_VALUE"""),20.0)</f>
        <v>20</v>
      </c>
      <c r="G3713" s="6" t="str">
        <f>IFERROR(__xludf.DUMMYFUNCTION("""COMPUTED_VALUE"""),"Pieces")</f>
        <v>Pieces</v>
      </c>
      <c r="H3713" s="6" t="str">
        <f>IFERROR(__xludf.DUMMYFUNCTION("""COMPUTED_VALUE"""),"IDR")</f>
        <v>IDR</v>
      </c>
      <c r="I3713" s="6">
        <f>IFERROR(__xludf.DUMMYFUNCTION("""COMPUTED_VALUE"""),150000.0)</f>
        <v>150000</v>
      </c>
      <c r="J3713" s="6">
        <f>IFERROR(__xludf.DUMMYFUNCTION("""COMPUTED_VALUE"""),3000000.0)</f>
        <v>3000000</v>
      </c>
      <c r="K3713" s="57">
        <f>IFERROR(__xludf.DUMMYFUNCTION("""COMPUTED_VALUE"""),45880.0)</f>
        <v>45880</v>
      </c>
      <c r="L3713" s="6" t="str">
        <f>IFERROR(__xludf.DUMMYFUNCTION("""COMPUTED_VALUE"""),"FIP Engineering")</f>
        <v>FIP Engineering</v>
      </c>
      <c r="M3713" s="6" t="str">
        <f>IFERROR(__xludf.DUMMYFUNCTION("""COMPUTED_VALUE"""),"Mochammad Fadhillah Hakim,")</f>
        <v>Mochammad Fadhillah Hakim,</v>
      </c>
      <c r="N3713" s="6" t="str">
        <f>IFERROR(__xludf.DUMMYFUNCTION("""COMPUTED_VALUE"""),"FIP Engineering")</f>
        <v>FIP Engineering</v>
      </c>
      <c r="O3713" s="6" t="str">
        <f>IFERROR(__xludf.DUMMYFUNCTION("""COMPUTED_VALUE"""),"FIP-DOM-000-11304-OS00001-INA-000000")</f>
        <v>FIP-DOM-000-11304-OS00001-INA-000000</v>
      </c>
      <c r="P3713" s="6" t="str">
        <f>IFERROR(__xludf.DUMMYFUNCTION("""COMPUTED_VALUE"""),"PO Closed")</f>
        <v>PO Closed</v>
      </c>
      <c r="Q3713" s="6" t="str">
        <f>IFERROR(__xludf.DUMMYFUNCTION("""COMPUTED_VALUE"""),"GL2503015")</f>
        <v>GL2503015</v>
      </c>
      <c r="R3713" s="57">
        <f>IFERROR(__xludf.DUMMYFUNCTION("""COMPUTED_VALUE"""),45678.0)</f>
        <v>45678</v>
      </c>
      <c r="S3713" s="57">
        <f>IFERROR(__xludf.DUMMYFUNCTION("""COMPUTED_VALUE"""),45680.0)</f>
        <v>45680</v>
      </c>
      <c r="T3713" s="57">
        <f>IFERROR(__xludf.DUMMYFUNCTION("""COMPUTED_VALUE"""),45880.0)</f>
        <v>45880</v>
      </c>
    </row>
    <row r="3714">
      <c r="A3714" s="6" t="str">
        <f>IFERROR(__xludf.DUMMYFUNCTION("""COMPUTED_VALUE"""),"121702333-1")</f>
        <v>121702333-1</v>
      </c>
      <c r="B3714" s="6" t="str">
        <f>IFERROR(__xludf.DUMMYFUNCTION("""COMPUTED_VALUE"""),"121702333 - APPROVED")</f>
        <v>121702333 - APPROVED</v>
      </c>
      <c r="C3714" s="6">
        <f>IFERROR(__xludf.DUMMYFUNCTION("""COMPUTED_VALUE"""),1.0)</f>
        <v>1</v>
      </c>
      <c r="D3714" s="6" t="str">
        <f>IFERROR(__xludf.DUMMYFUNCTION("""COMPUTED_VALUE"""),"S-11400-00")</f>
        <v>S-11400-00</v>
      </c>
      <c r="E3714" s="6" t="str">
        <f>IFERROR(__xludf.DUMMYFUNCTION("""COMPUTED_VALUE"""),"Majun AA, No Brand, Budhi Supplies, pack size per kg")</f>
        <v>Majun AA, No Brand, Budhi Supplies, pack size per kg</v>
      </c>
      <c r="F3714" s="6">
        <f>IFERROR(__xludf.DUMMYFUNCTION("""COMPUTED_VALUE"""),40.0)</f>
        <v>40</v>
      </c>
      <c r="G3714" s="6" t="str">
        <f>IFERROR(__xludf.DUMMYFUNCTION("""COMPUTED_VALUE"""),"Kilogram")</f>
        <v>Kilogram</v>
      </c>
      <c r="H3714" s="6" t="str">
        <f>IFERROR(__xludf.DUMMYFUNCTION("""COMPUTED_VALUE"""),"IDR")</f>
        <v>IDR</v>
      </c>
      <c r="I3714" s="6">
        <f>IFERROR(__xludf.DUMMYFUNCTION("""COMPUTED_VALUE"""),39000.0)</f>
        <v>39000</v>
      </c>
      <c r="J3714" s="6">
        <f>IFERROR(__xludf.DUMMYFUNCTION("""COMPUTED_VALUE"""),1560000.0)</f>
        <v>1560000</v>
      </c>
      <c r="K3714" s="57">
        <f>IFERROR(__xludf.DUMMYFUNCTION("""COMPUTED_VALUE"""),45719.0)</f>
        <v>45719</v>
      </c>
      <c r="L3714" s="6" t="str">
        <f>IFERROR(__xludf.DUMMYFUNCTION("""COMPUTED_VALUE"""),"FIP General")</f>
        <v>FIP General</v>
      </c>
      <c r="M3714" s="6" t="str">
        <f>IFERROR(__xludf.DUMMYFUNCTION("""COMPUTED_VALUE"""),"Mochammad Fadhillah Hakim,")</f>
        <v>Mochammad Fadhillah Hakim,</v>
      </c>
      <c r="N3714" s="6" t="str">
        <f>IFERROR(__xludf.DUMMYFUNCTION("""COMPUTED_VALUE"""),"FIP Engineering")</f>
        <v>FIP Engineering</v>
      </c>
      <c r="O3714" s="6" t="str">
        <f>IFERROR(__xludf.DUMMYFUNCTION("""COMPUTED_VALUE"""),"FIP-DOM-ENG-51302-0000000-INA-000000")</f>
        <v>FIP-DOM-ENG-51302-0000000-INA-000000</v>
      </c>
      <c r="P3714" s="6" t="str">
        <f>IFERROR(__xludf.DUMMYFUNCTION("""COMPUTED_VALUE"""),"PO Closed")</f>
        <v>PO Closed</v>
      </c>
      <c r="Q3714" s="6" t="str">
        <f>IFERROR(__xludf.DUMMYFUNCTION("""COMPUTED_VALUE"""),"GL2502014")</f>
        <v>GL2502014</v>
      </c>
      <c r="R3714" s="57">
        <f>IFERROR(__xludf.DUMMYFUNCTION("""COMPUTED_VALUE"""),45678.0)</f>
        <v>45678</v>
      </c>
      <c r="S3714" s="57">
        <f>IFERROR(__xludf.DUMMYFUNCTION("""COMPUTED_VALUE"""),45680.0)</f>
        <v>45680</v>
      </c>
      <c r="T3714" s="57">
        <f>IFERROR(__xludf.DUMMYFUNCTION("""COMPUTED_VALUE"""),45708.0)</f>
        <v>45708</v>
      </c>
    </row>
    <row r="3715">
      <c r="A3715" s="6" t="str">
        <f>IFERROR(__xludf.DUMMYFUNCTION("""COMPUTED_VALUE"""),"121702333-2")</f>
        <v>121702333-2</v>
      </c>
      <c r="B3715" s="6" t="str">
        <f>IFERROR(__xludf.DUMMYFUNCTION("""COMPUTED_VALUE"""),"121702333 - APPROVED")</f>
        <v>121702333 - APPROVED</v>
      </c>
      <c r="C3715" s="6">
        <f>IFERROR(__xludf.DUMMYFUNCTION("""COMPUTED_VALUE"""),2.0)</f>
        <v>2</v>
      </c>
      <c r="D3715" s="6" t="str">
        <f>IFERROR(__xludf.DUMMYFUNCTION("""COMPUTED_VALUE"""),"S-11400-00")</f>
        <v>S-11400-00</v>
      </c>
      <c r="E3715" s="6" t="str">
        <f>IFERROR(__xludf.DUMMYFUNCTION("""COMPUTED_VALUE"""),"Majun AA, No Brand, Budhi Supplies, pack size per kg")</f>
        <v>Majun AA, No Brand, Budhi Supplies, pack size per kg</v>
      </c>
      <c r="F3715" s="6">
        <f>IFERROR(__xludf.DUMMYFUNCTION("""COMPUTED_VALUE"""),40.0)</f>
        <v>40</v>
      </c>
      <c r="G3715" s="6" t="str">
        <f>IFERROR(__xludf.DUMMYFUNCTION("""COMPUTED_VALUE"""),"Kilogram")</f>
        <v>Kilogram</v>
      </c>
      <c r="H3715" s="6" t="str">
        <f>IFERROR(__xludf.DUMMYFUNCTION("""COMPUTED_VALUE"""),"IDR")</f>
        <v>IDR</v>
      </c>
      <c r="I3715" s="6">
        <f>IFERROR(__xludf.DUMMYFUNCTION("""COMPUTED_VALUE"""),39000.0)</f>
        <v>39000</v>
      </c>
      <c r="J3715" s="6">
        <f>IFERROR(__xludf.DUMMYFUNCTION("""COMPUTED_VALUE"""),1560000.0)</f>
        <v>1560000</v>
      </c>
      <c r="K3715" s="57">
        <f>IFERROR(__xludf.DUMMYFUNCTION("""COMPUTED_VALUE"""),45796.0)</f>
        <v>45796</v>
      </c>
      <c r="L3715" s="6" t="str">
        <f>IFERROR(__xludf.DUMMYFUNCTION("""COMPUTED_VALUE"""),"FIP General")</f>
        <v>FIP General</v>
      </c>
      <c r="M3715" s="6" t="str">
        <f>IFERROR(__xludf.DUMMYFUNCTION("""COMPUTED_VALUE"""),"Mochammad Fadhillah Hakim,")</f>
        <v>Mochammad Fadhillah Hakim,</v>
      </c>
      <c r="N3715" s="6" t="str">
        <f>IFERROR(__xludf.DUMMYFUNCTION("""COMPUTED_VALUE"""),"FIP Engineering")</f>
        <v>FIP Engineering</v>
      </c>
      <c r="O3715" s="6" t="str">
        <f>IFERROR(__xludf.DUMMYFUNCTION("""COMPUTED_VALUE"""),"FIP-DOM-ENG-51302-0000000-INA-000000")</f>
        <v>FIP-DOM-ENG-51302-0000000-INA-000000</v>
      </c>
      <c r="P3715" s="6" t="str">
        <f>IFERROR(__xludf.DUMMYFUNCTION("""COMPUTED_VALUE"""),"PO Closed")</f>
        <v>PO Closed</v>
      </c>
      <c r="Q3715" s="6" t="str">
        <f>IFERROR(__xludf.DUMMYFUNCTION("""COMPUTED_VALUE"""),"GL2502014")</f>
        <v>GL2502014</v>
      </c>
      <c r="R3715" s="57">
        <f>IFERROR(__xludf.DUMMYFUNCTION("""COMPUTED_VALUE"""),45678.0)</f>
        <v>45678</v>
      </c>
      <c r="S3715" s="57">
        <f>IFERROR(__xludf.DUMMYFUNCTION("""COMPUTED_VALUE"""),45680.0)</f>
        <v>45680</v>
      </c>
      <c r="T3715" s="57">
        <f>IFERROR(__xludf.DUMMYFUNCTION("""COMPUTED_VALUE"""),45797.0)</f>
        <v>45797</v>
      </c>
    </row>
    <row r="3716">
      <c r="A3716" s="6" t="str">
        <f>IFERROR(__xludf.DUMMYFUNCTION("""COMPUTED_VALUE"""),"121702336-1")</f>
        <v>121702336-1</v>
      </c>
      <c r="B3716" s="6" t="str">
        <f>IFERROR(__xludf.DUMMYFUNCTION("""COMPUTED_VALUE"""),"121702336 - APPROVED")</f>
        <v>121702336 - APPROVED</v>
      </c>
      <c r="C3716" s="6">
        <f>IFERROR(__xludf.DUMMYFUNCTION("""COMPUTED_VALUE"""),1.0)</f>
        <v>1</v>
      </c>
      <c r="D3716" s="6" t="str">
        <f>IFERROR(__xludf.DUMMYFUNCTION("""COMPUTED_VALUE"""),"P-17347-00")</f>
        <v>P-17347-00</v>
      </c>
      <c r="E3716" s="6" t="str">
        <f>IFERROR(__xludf.DUMMYFUNCTION("""COMPUTED_VALUE"""),"General - Pre Filter G4 2m x 20m x 2mm; Hencolin; -; 1 Roll")</f>
        <v>General - Pre Filter G4 2m x 20m x 2mm; Hencolin; -; 1 Roll</v>
      </c>
      <c r="F3716" s="6">
        <f>IFERROR(__xludf.DUMMYFUNCTION("""COMPUTED_VALUE"""),1.0)</f>
        <v>1</v>
      </c>
      <c r="G3716" s="6" t="str">
        <f>IFERROR(__xludf.DUMMYFUNCTION("""COMPUTED_VALUE"""),"Pieces")</f>
        <v>Pieces</v>
      </c>
      <c r="H3716" s="6" t="str">
        <f>IFERROR(__xludf.DUMMYFUNCTION("""COMPUTED_VALUE"""),"IDR")</f>
        <v>IDR</v>
      </c>
      <c r="I3716" s="6">
        <f>IFERROR(__xludf.DUMMYFUNCTION("""COMPUTED_VALUE"""),2145000.0)</f>
        <v>2145000</v>
      </c>
      <c r="J3716" s="6">
        <f>IFERROR(__xludf.DUMMYFUNCTION("""COMPUTED_VALUE"""),2145000.0)</f>
        <v>2145000</v>
      </c>
      <c r="K3716" s="57">
        <f>IFERROR(__xludf.DUMMYFUNCTION("""COMPUTED_VALUE"""),45681.0)</f>
        <v>45681</v>
      </c>
      <c r="L3716" s="6" t="str">
        <f>IFERROR(__xludf.DUMMYFUNCTION("""COMPUTED_VALUE"""),"FIP Engineering")</f>
        <v>FIP Engineering</v>
      </c>
      <c r="M3716" s="6" t="str">
        <f>IFERROR(__xludf.DUMMYFUNCTION("""COMPUTED_VALUE"""),"Mochammad Fadhillah Hakim,")</f>
        <v>Mochammad Fadhillah Hakim,</v>
      </c>
      <c r="N3716" s="6" t="str">
        <f>IFERROR(__xludf.DUMMYFUNCTION("""COMPUTED_VALUE"""),"FIP Engineering")</f>
        <v>FIP Engineering</v>
      </c>
      <c r="O3716" s="6" t="str">
        <f>IFERROR(__xludf.DUMMYFUNCTION("""COMPUTED_VALUE"""),"FIP-DOM-000-11304-OS00001-INA-000000")</f>
        <v>FIP-DOM-000-11304-OS00001-INA-000000</v>
      </c>
      <c r="P3716" s="6" t="str">
        <f>IFERROR(__xludf.DUMMYFUNCTION("""COMPUTED_VALUE"""),"PO Closed")</f>
        <v>PO Closed</v>
      </c>
      <c r="Q3716" s="6" t="str">
        <f>IFERROR(__xludf.DUMMYFUNCTION("""COMPUTED_VALUE"""),"GL2502046")</f>
        <v>GL2502046</v>
      </c>
      <c r="R3716" s="57">
        <f>IFERROR(__xludf.DUMMYFUNCTION("""COMPUTED_VALUE"""),45679.0)</f>
        <v>45679</v>
      </c>
      <c r="S3716" s="57">
        <f>IFERROR(__xludf.DUMMYFUNCTION("""COMPUTED_VALUE"""),45680.0)</f>
        <v>45680</v>
      </c>
      <c r="T3716" s="57">
        <f>IFERROR(__xludf.DUMMYFUNCTION("""COMPUTED_VALUE"""),45712.0)</f>
        <v>45712</v>
      </c>
    </row>
    <row r="3717">
      <c r="A3717" s="6" t="str">
        <f>IFERROR(__xludf.DUMMYFUNCTION("""COMPUTED_VALUE"""),"121702337-1")</f>
        <v>121702337-1</v>
      </c>
      <c r="B3717" s="6" t="str">
        <f>IFERROR(__xludf.DUMMYFUNCTION("""COMPUTED_VALUE"""),"121702337 - APPROVED")</f>
        <v>121702337 - APPROVED</v>
      </c>
      <c r="C3717" s="6">
        <f>IFERROR(__xludf.DUMMYFUNCTION("""COMPUTED_VALUE"""),1.0)</f>
        <v>1</v>
      </c>
      <c r="D3717" s="6" t="str">
        <f>IFERROR(__xludf.DUMMYFUNCTION("""COMPUTED_VALUE"""),"S-62036-00")</f>
        <v>S-62036-00</v>
      </c>
      <c r="E3717" s="6" t="str">
        <f>IFERROR(__xludf.DUMMYFUNCTION("""COMPUTED_VALUE"""),"Gas Argon (Ar); 6 M3; Refill; High Purity (HP); Purity ? 99.995%")</f>
        <v>Gas Argon (Ar); 6 M3; Refill; High Purity (HP); Purity ? 99.995%</v>
      </c>
      <c r="F3717" s="6">
        <f>IFERROR(__xludf.DUMMYFUNCTION("""COMPUTED_VALUE"""),1.0)</f>
        <v>1</v>
      </c>
      <c r="G3717" s="6" t="str">
        <f>IFERROR(__xludf.DUMMYFUNCTION("""COMPUTED_VALUE"""),"Tube")</f>
        <v>Tube</v>
      </c>
      <c r="H3717" s="6" t="str">
        <f>IFERROR(__xludf.DUMMYFUNCTION("""COMPUTED_VALUE"""),"IDR")</f>
        <v>IDR</v>
      </c>
      <c r="I3717" s="6">
        <f>IFERROR(__xludf.DUMMYFUNCTION("""COMPUTED_VALUE"""),225000.0)</f>
        <v>225000</v>
      </c>
      <c r="J3717" s="6">
        <f>IFERROR(__xludf.DUMMYFUNCTION("""COMPUTED_VALUE"""),225000.0)</f>
        <v>225000</v>
      </c>
      <c r="K3717" s="57">
        <f>IFERROR(__xludf.DUMMYFUNCTION("""COMPUTED_VALUE"""),45681.0)</f>
        <v>45681</v>
      </c>
      <c r="L3717" s="6" t="str">
        <f>IFERROR(__xludf.DUMMYFUNCTION("""COMPUTED_VALUE"""),"FIP General")</f>
        <v>FIP General</v>
      </c>
      <c r="M3717" s="6" t="str">
        <f>IFERROR(__xludf.DUMMYFUNCTION("""COMPUTED_VALUE"""),"Mochammad Fadhillah Hakim,")</f>
        <v>Mochammad Fadhillah Hakim,</v>
      </c>
      <c r="N3717" s="6" t="str">
        <f>IFERROR(__xludf.DUMMYFUNCTION("""COMPUTED_VALUE"""),"FIP Engineering")</f>
        <v>FIP Engineering</v>
      </c>
      <c r="O3717" s="6" t="str">
        <f>IFERROR(__xludf.DUMMYFUNCTION("""COMPUTED_VALUE"""),"FIP-DOM-ENG-51404-0000000-INA-000000")</f>
        <v>FIP-DOM-ENG-51404-0000000-INA-000000</v>
      </c>
      <c r="P3717" s="6" t="str">
        <f>IFERROR(__xludf.DUMMYFUNCTION("""COMPUTED_VALUE"""),"PO Closed")</f>
        <v>PO Closed</v>
      </c>
      <c r="Q3717" s="6" t="str">
        <f>IFERROR(__xludf.DUMMYFUNCTION("""COMPUTED_VALUE"""),"GL2502009")</f>
        <v>GL2502009</v>
      </c>
      <c r="R3717" s="57">
        <f>IFERROR(__xludf.DUMMYFUNCTION("""COMPUTED_VALUE"""),45679.0)</f>
        <v>45679</v>
      </c>
      <c r="S3717" s="57">
        <f>IFERROR(__xludf.DUMMYFUNCTION("""COMPUTED_VALUE"""),45680.0)</f>
        <v>45680</v>
      </c>
      <c r="T3717" s="57">
        <f>IFERROR(__xludf.DUMMYFUNCTION("""COMPUTED_VALUE"""),45700.0)</f>
        <v>45700</v>
      </c>
    </row>
    <row r="3718">
      <c r="A3718" s="6" t="str">
        <f>IFERROR(__xludf.DUMMYFUNCTION("""COMPUTED_VALUE"""),"121702338-1")</f>
        <v>121702338-1</v>
      </c>
      <c r="B3718" s="6" t="str">
        <f>IFERROR(__xludf.DUMMYFUNCTION("""COMPUTED_VALUE"""),"121702338 - APPROVED")</f>
        <v>121702338 - APPROVED</v>
      </c>
      <c r="C3718" s="6">
        <f>IFERROR(__xludf.DUMMYFUNCTION("""COMPUTED_VALUE"""),1.0)</f>
        <v>1</v>
      </c>
      <c r="D3718" s="6" t="str">
        <f>IFERROR(__xludf.DUMMYFUNCTION("""COMPUTED_VALUE"""),"O-53166-00")</f>
        <v>O-53166-00</v>
      </c>
      <c r="E3718" s="6" t="str">
        <f>IFERROR(__xludf.DUMMYFUNCTION("""COMPUTED_VALUE"""),"General - Contactor AX 12-30-10 220-230 Vac 50Hz ABB 1SBL911074R8010")</f>
        <v>General - Contactor AX 12-30-10 220-230 Vac 50Hz ABB 1SBL911074R8010</v>
      </c>
      <c r="F3718" s="6">
        <f>IFERROR(__xludf.DUMMYFUNCTION("""COMPUTED_VALUE"""),1.0)</f>
        <v>1</v>
      </c>
      <c r="G3718" s="6" t="str">
        <f>IFERROR(__xludf.DUMMYFUNCTION("""COMPUTED_VALUE"""),"Pieces")</f>
        <v>Pieces</v>
      </c>
      <c r="H3718" s="6" t="str">
        <f>IFERROR(__xludf.DUMMYFUNCTION("""COMPUTED_VALUE"""),"IDR")</f>
        <v>IDR</v>
      </c>
      <c r="I3718" s="6">
        <f>IFERROR(__xludf.DUMMYFUNCTION("""COMPUTED_VALUE"""),242700.0)</f>
        <v>242700</v>
      </c>
      <c r="J3718" s="6">
        <f>IFERROR(__xludf.DUMMYFUNCTION("""COMPUTED_VALUE"""),242700.0)</f>
        <v>242700</v>
      </c>
      <c r="K3718" s="57">
        <f>IFERROR(__xludf.DUMMYFUNCTION("""COMPUTED_VALUE"""),45681.0)</f>
        <v>45681</v>
      </c>
      <c r="L3718" s="6" t="str">
        <f>IFERROR(__xludf.DUMMYFUNCTION("""COMPUTED_VALUE"""),"FIP Engineering")</f>
        <v>FIP Engineering</v>
      </c>
      <c r="M3718" s="6" t="str">
        <f>IFERROR(__xludf.DUMMYFUNCTION("""COMPUTED_VALUE"""),"Mochammad Fadhillah Hakim,")</f>
        <v>Mochammad Fadhillah Hakim,</v>
      </c>
      <c r="N3718" s="6" t="str">
        <f>IFERROR(__xludf.DUMMYFUNCTION("""COMPUTED_VALUE"""),"FIP Engineering")</f>
        <v>FIP Engineering</v>
      </c>
      <c r="O3718" s="6" t="str">
        <f>IFERROR(__xludf.DUMMYFUNCTION("""COMPUTED_VALUE"""),"FIP-DOM-000-11304-OS00001-INA-000000")</f>
        <v>FIP-DOM-000-11304-OS00001-INA-000000</v>
      </c>
      <c r="P3718" s="6" t="str">
        <f>IFERROR(__xludf.DUMMYFUNCTION("""COMPUTED_VALUE"""),"PO Closed")</f>
        <v>PO Closed</v>
      </c>
      <c r="Q3718" s="6" t="str">
        <f>IFERROR(__xludf.DUMMYFUNCTION("""COMPUTED_VALUE"""),"GL2503022")</f>
        <v>GL2503022</v>
      </c>
      <c r="R3718" s="57">
        <f>IFERROR(__xludf.DUMMYFUNCTION("""COMPUTED_VALUE"""),45679.0)</f>
        <v>45679</v>
      </c>
      <c r="S3718" s="57">
        <f>IFERROR(__xludf.DUMMYFUNCTION("""COMPUTED_VALUE"""),45680.0)</f>
        <v>45680</v>
      </c>
      <c r="T3718" s="57">
        <f>IFERROR(__xludf.DUMMYFUNCTION("""COMPUTED_VALUE"""),45757.0)</f>
        <v>45757</v>
      </c>
    </row>
    <row r="3719">
      <c r="A3719" s="6" t="str">
        <f>IFERROR(__xludf.DUMMYFUNCTION("""COMPUTED_VALUE"""),"121702338-2")</f>
        <v>121702338-2</v>
      </c>
      <c r="B3719" s="6" t="str">
        <f>IFERROR(__xludf.DUMMYFUNCTION("""COMPUTED_VALUE"""),"121702338 - APPROVED")</f>
        <v>121702338 - APPROVED</v>
      </c>
      <c r="C3719" s="6">
        <f>IFERROR(__xludf.DUMMYFUNCTION("""COMPUTED_VALUE"""),2.0)</f>
        <v>2</v>
      </c>
      <c r="D3719" s="6" t="str">
        <f>IFERROR(__xludf.DUMMYFUNCTION("""COMPUTED_VALUE"""),"O-53167-00")</f>
        <v>O-53167-00</v>
      </c>
      <c r="E3719" s="6" t="str">
        <f>IFERROR(__xludf.DUMMYFUNCTION("""COMPUTED_VALUE"""),"General - Manual Motor Starter 100 Ka MS 132-10 ABB 1SAM350000R1010")</f>
        <v>General - Manual Motor Starter 100 Ka MS 132-10 ABB 1SAM350000R1010</v>
      </c>
      <c r="F3719" s="6">
        <f>IFERROR(__xludf.DUMMYFUNCTION("""COMPUTED_VALUE"""),1.0)</f>
        <v>1</v>
      </c>
      <c r="G3719" s="6" t="str">
        <f>IFERROR(__xludf.DUMMYFUNCTION("""COMPUTED_VALUE"""),"Pieces")</f>
        <v>Pieces</v>
      </c>
      <c r="H3719" s="6" t="str">
        <f>IFERROR(__xludf.DUMMYFUNCTION("""COMPUTED_VALUE"""),"IDR")</f>
        <v>IDR</v>
      </c>
      <c r="I3719" s="6">
        <f>IFERROR(__xludf.DUMMYFUNCTION("""COMPUTED_VALUE"""),1355000.0)</f>
        <v>1355000</v>
      </c>
      <c r="J3719" s="6">
        <f>IFERROR(__xludf.DUMMYFUNCTION("""COMPUTED_VALUE"""),1355000.0)</f>
        <v>1355000</v>
      </c>
      <c r="K3719" s="57">
        <f>IFERROR(__xludf.DUMMYFUNCTION("""COMPUTED_VALUE"""),45681.0)</f>
        <v>45681</v>
      </c>
      <c r="L3719" s="6" t="str">
        <f>IFERROR(__xludf.DUMMYFUNCTION("""COMPUTED_VALUE"""),"FIP Engineering")</f>
        <v>FIP Engineering</v>
      </c>
      <c r="M3719" s="6" t="str">
        <f>IFERROR(__xludf.DUMMYFUNCTION("""COMPUTED_VALUE"""),"Mochammad Fadhillah Hakim,")</f>
        <v>Mochammad Fadhillah Hakim,</v>
      </c>
      <c r="N3719" s="6" t="str">
        <f>IFERROR(__xludf.DUMMYFUNCTION("""COMPUTED_VALUE"""),"FIP Engineering")</f>
        <v>FIP Engineering</v>
      </c>
      <c r="O3719" s="6" t="str">
        <f>IFERROR(__xludf.DUMMYFUNCTION("""COMPUTED_VALUE"""),"FIP-DOM-000-11304-OS00001-INA-000000")</f>
        <v>FIP-DOM-000-11304-OS00001-INA-000000</v>
      </c>
      <c r="P3719" s="6" t="str">
        <f>IFERROR(__xludf.DUMMYFUNCTION("""COMPUTED_VALUE"""),"PO Closed")</f>
        <v>PO Closed</v>
      </c>
      <c r="Q3719" s="6" t="str">
        <f>IFERROR(__xludf.DUMMYFUNCTION("""COMPUTED_VALUE"""),"GL2503022")</f>
        <v>GL2503022</v>
      </c>
      <c r="R3719" s="57">
        <f>IFERROR(__xludf.DUMMYFUNCTION("""COMPUTED_VALUE"""),45679.0)</f>
        <v>45679</v>
      </c>
      <c r="S3719" s="57">
        <f>IFERROR(__xludf.DUMMYFUNCTION("""COMPUTED_VALUE"""),45680.0)</f>
        <v>45680</v>
      </c>
      <c r="T3719" s="57">
        <f>IFERROR(__xludf.DUMMYFUNCTION("""COMPUTED_VALUE"""),45757.0)</f>
        <v>45757</v>
      </c>
    </row>
    <row r="3720">
      <c r="A3720" s="6" t="str">
        <f>IFERROR(__xludf.DUMMYFUNCTION("""COMPUTED_VALUE"""),"121702338-3")</f>
        <v>121702338-3</v>
      </c>
      <c r="B3720" s="6" t="str">
        <f>IFERROR(__xludf.DUMMYFUNCTION("""COMPUTED_VALUE"""),"121702338 - APPROVED")</f>
        <v>121702338 - APPROVED</v>
      </c>
      <c r="C3720" s="6">
        <f>IFERROR(__xludf.DUMMYFUNCTION("""COMPUTED_VALUE"""),3.0)</f>
        <v>3</v>
      </c>
      <c r="D3720" s="6" t="str">
        <f>IFERROR(__xludf.DUMMYFUNCTION("""COMPUTED_VALUE"""),"O-53168-00")</f>
        <v>O-53168-00</v>
      </c>
      <c r="E3720" s="6" t="str">
        <f>IFERROR(__xludf.DUMMYFUNCTION("""COMPUTED_VALUE"""),"General - Manual Motor Starter 100 Ka MS 132-4.0 ABB 1SAM350000R1008")</f>
        <v>General - Manual Motor Starter 100 Ka MS 132-4.0 ABB 1SAM350000R1008</v>
      </c>
      <c r="F3720" s="6">
        <f>IFERROR(__xludf.DUMMYFUNCTION("""COMPUTED_VALUE"""),1.0)</f>
        <v>1</v>
      </c>
      <c r="G3720" s="6" t="str">
        <f>IFERROR(__xludf.DUMMYFUNCTION("""COMPUTED_VALUE"""),"Pieces")</f>
        <v>Pieces</v>
      </c>
      <c r="H3720" s="6" t="str">
        <f>IFERROR(__xludf.DUMMYFUNCTION("""COMPUTED_VALUE"""),"IDR")</f>
        <v>IDR</v>
      </c>
      <c r="I3720" s="6">
        <f>IFERROR(__xludf.DUMMYFUNCTION("""COMPUTED_VALUE"""),783770.0)</f>
        <v>783770</v>
      </c>
      <c r="J3720" s="6">
        <f>IFERROR(__xludf.DUMMYFUNCTION("""COMPUTED_VALUE"""),783770.0)</f>
        <v>783770</v>
      </c>
      <c r="K3720" s="57">
        <f>IFERROR(__xludf.DUMMYFUNCTION("""COMPUTED_VALUE"""),45681.0)</f>
        <v>45681</v>
      </c>
      <c r="L3720" s="6" t="str">
        <f>IFERROR(__xludf.DUMMYFUNCTION("""COMPUTED_VALUE"""),"FIP Engineering")</f>
        <v>FIP Engineering</v>
      </c>
      <c r="M3720" s="6" t="str">
        <f>IFERROR(__xludf.DUMMYFUNCTION("""COMPUTED_VALUE"""),"Mochammad Fadhillah Hakim,")</f>
        <v>Mochammad Fadhillah Hakim,</v>
      </c>
      <c r="N3720" s="6" t="str">
        <f>IFERROR(__xludf.DUMMYFUNCTION("""COMPUTED_VALUE"""),"FIP Engineering")</f>
        <v>FIP Engineering</v>
      </c>
      <c r="O3720" s="6" t="str">
        <f>IFERROR(__xludf.DUMMYFUNCTION("""COMPUTED_VALUE"""),"FIP-DOM-000-11304-OS00001-INA-000000")</f>
        <v>FIP-DOM-000-11304-OS00001-INA-000000</v>
      </c>
      <c r="P3720" s="6" t="str">
        <f>IFERROR(__xludf.DUMMYFUNCTION("""COMPUTED_VALUE"""),"PO Closed")</f>
        <v>PO Closed</v>
      </c>
      <c r="Q3720" s="6" t="str">
        <f>IFERROR(__xludf.DUMMYFUNCTION("""COMPUTED_VALUE"""),"GL2503022")</f>
        <v>GL2503022</v>
      </c>
      <c r="R3720" s="57">
        <f>IFERROR(__xludf.DUMMYFUNCTION("""COMPUTED_VALUE"""),45679.0)</f>
        <v>45679</v>
      </c>
      <c r="S3720" s="57">
        <f>IFERROR(__xludf.DUMMYFUNCTION("""COMPUTED_VALUE"""),45680.0)</f>
        <v>45680</v>
      </c>
      <c r="T3720" s="57">
        <f>IFERROR(__xludf.DUMMYFUNCTION("""COMPUTED_VALUE"""),45782.0)</f>
        <v>45782</v>
      </c>
    </row>
    <row r="3721">
      <c r="A3721" s="6" t="str">
        <f>IFERROR(__xludf.DUMMYFUNCTION("""COMPUTED_VALUE"""),"121702338-4")</f>
        <v>121702338-4</v>
      </c>
      <c r="B3721" s="6" t="str">
        <f>IFERROR(__xludf.DUMMYFUNCTION("""COMPUTED_VALUE"""),"121702338 - APPROVED")</f>
        <v>121702338 - APPROVED</v>
      </c>
      <c r="C3721" s="6">
        <f>IFERROR(__xludf.DUMMYFUNCTION("""COMPUTED_VALUE"""),4.0)</f>
        <v>4</v>
      </c>
      <c r="D3721" s="6" t="str">
        <f>IFERROR(__xludf.DUMMYFUNCTION("""COMPUTED_VALUE"""),"O-53169-00")</f>
        <v>O-53169-00</v>
      </c>
      <c r="E3721" s="6" t="str">
        <f>IFERROR(__xludf.DUMMYFUNCTION("""COMPUTED_VALUE"""),"General - Manual Motor Starter 50 Ka MS 132-20 ABB 1SAM350000R1003")</f>
        <v>General - Manual Motor Starter 50 Ka MS 132-20 ABB 1SAM350000R1003</v>
      </c>
      <c r="F3721" s="6">
        <f>IFERROR(__xludf.DUMMYFUNCTION("""COMPUTED_VALUE"""),1.0)</f>
        <v>1</v>
      </c>
      <c r="G3721" s="6" t="str">
        <f>IFERROR(__xludf.DUMMYFUNCTION("""COMPUTED_VALUE"""),"Pieces")</f>
        <v>Pieces</v>
      </c>
      <c r="H3721" s="6" t="str">
        <f>IFERROR(__xludf.DUMMYFUNCTION("""COMPUTED_VALUE"""),"IDR")</f>
        <v>IDR</v>
      </c>
      <c r="I3721" s="6">
        <f>IFERROR(__xludf.DUMMYFUNCTION("""COMPUTED_VALUE"""),1066200.0)</f>
        <v>1066200</v>
      </c>
      <c r="J3721" s="6">
        <f>IFERROR(__xludf.DUMMYFUNCTION("""COMPUTED_VALUE"""),1066200.0)</f>
        <v>1066200</v>
      </c>
      <c r="K3721" s="57">
        <f>IFERROR(__xludf.DUMMYFUNCTION("""COMPUTED_VALUE"""),45681.0)</f>
        <v>45681</v>
      </c>
      <c r="L3721" s="6" t="str">
        <f>IFERROR(__xludf.DUMMYFUNCTION("""COMPUTED_VALUE"""),"FIP Engineering")</f>
        <v>FIP Engineering</v>
      </c>
      <c r="M3721" s="6" t="str">
        <f>IFERROR(__xludf.DUMMYFUNCTION("""COMPUTED_VALUE"""),"Mochammad Fadhillah Hakim,")</f>
        <v>Mochammad Fadhillah Hakim,</v>
      </c>
      <c r="N3721" s="6" t="str">
        <f>IFERROR(__xludf.DUMMYFUNCTION("""COMPUTED_VALUE"""),"FIP Engineering")</f>
        <v>FIP Engineering</v>
      </c>
      <c r="O3721" s="6" t="str">
        <f>IFERROR(__xludf.DUMMYFUNCTION("""COMPUTED_VALUE"""),"FIP-DOM-000-11304-OS00001-INA-000000")</f>
        <v>FIP-DOM-000-11304-OS00001-INA-000000</v>
      </c>
      <c r="P3721" s="6" t="str">
        <f>IFERROR(__xludf.DUMMYFUNCTION("""COMPUTED_VALUE"""),"PO Closed")</f>
        <v>PO Closed</v>
      </c>
      <c r="Q3721" s="6" t="str">
        <f>IFERROR(__xludf.DUMMYFUNCTION("""COMPUTED_VALUE"""),"GL2503022")</f>
        <v>GL2503022</v>
      </c>
      <c r="R3721" s="57">
        <f>IFERROR(__xludf.DUMMYFUNCTION("""COMPUTED_VALUE"""),45679.0)</f>
        <v>45679</v>
      </c>
      <c r="S3721" s="57">
        <f>IFERROR(__xludf.DUMMYFUNCTION("""COMPUTED_VALUE"""),45680.0)</f>
        <v>45680</v>
      </c>
      <c r="T3721" s="57">
        <f>IFERROR(__xludf.DUMMYFUNCTION("""COMPUTED_VALUE"""),45832.0)</f>
        <v>45832</v>
      </c>
    </row>
    <row r="3722">
      <c r="A3722" s="6" t="str">
        <f>IFERROR(__xludf.DUMMYFUNCTION("""COMPUTED_VALUE"""),"121702338-5")</f>
        <v>121702338-5</v>
      </c>
      <c r="B3722" s="6" t="str">
        <f>IFERROR(__xludf.DUMMYFUNCTION("""COMPUTED_VALUE"""),"121702338 - APPROVED")</f>
        <v>121702338 - APPROVED</v>
      </c>
      <c r="C3722" s="6">
        <f>IFERROR(__xludf.DUMMYFUNCTION("""COMPUTED_VALUE"""),5.0)</f>
        <v>5</v>
      </c>
      <c r="D3722" s="6" t="str">
        <f>IFERROR(__xludf.DUMMYFUNCTION("""COMPUTED_VALUE"""),"O-53170-00")</f>
        <v>O-53170-00</v>
      </c>
      <c r="E3722" s="6" t="str">
        <f>IFERROR(__xludf.DUMMYFUNCTION("""COMPUTED_VALUE"""),"General - Mini Contactor B6-30-10-80 220...240 Vac ABB GJL1211001R8100")</f>
        <v>General - Mini Contactor B6-30-10-80 220...240 Vac ABB GJL1211001R8100</v>
      </c>
      <c r="F3722" s="6">
        <f>IFERROR(__xludf.DUMMYFUNCTION("""COMPUTED_VALUE"""),1.0)</f>
        <v>1</v>
      </c>
      <c r="G3722" s="6" t="str">
        <f>IFERROR(__xludf.DUMMYFUNCTION("""COMPUTED_VALUE"""),"Pieces")</f>
        <v>Pieces</v>
      </c>
      <c r="H3722" s="6" t="str">
        <f>IFERROR(__xludf.DUMMYFUNCTION("""COMPUTED_VALUE"""),"IDR")</f>
        <v>IDR</v>
      </c>
      <c r="I3722" s="6">
        <f>IFERROR(__xludf.DUMMYFUNCTION("""COMPUTED_VALUE"""),432960.0)</f>
        <v>432960</v>
      </c>
      <c r="J3722" s="6">
        <f>IFERROR(__xludf.DUMMYFUNCTION("""COMPUTED_VALUE"""),432960.0)</f>
        <v>432960</v>
      </c>
      <c r="K3722" s="57">
        <f>IFERROR(__xludf.DUMMYFUNCTION("""COMPUTED_VALUE"""),45681.0)</f>
        <v>45681</v>
      </c>
      <c r="L3722" s="6" t="str">
        <f>IFERROR(__xludf.DUMMYFUNCTION("""COMPUTED_VALUE"""),"FIP Engineering")</f>
        <v>FIP Engineering</v>
      </c>
      <c r="M3722" s="6" t="str">
        <f>IFERROR(__xludf.DUMMYFUNCTION("""COMPUTED_VALUE"""),"Mochammad Fadhillah Hakim,")</f>
        <v>Mochammad Fadhillah Hakim,</v>
      </c>
      <c r="N3722" s="6" t="str">
        <f>IFERROR(__xludf.DUMMYFUNCTION("""COMPUTED_VALUE"""),"FIP Engineering")</f>
        <v>FIP Engineering</v>
      </c>
      <c r="O3722" s="6" t="str">
        <f>IFERROR(__xludf.DUMMYFUNCTION("""COMPUTED_VALUE"""),"FIP-DOM-000-11304-OS00001-INA-000000")</f>
        <v>FIP-DOM-000-11304-OS00001-INA-000000</v>
      </c>
      <c r="P3722" s="6" t="str">
        <f>IFERROR(__xludf.DUMMYFUNCTION("""COMPUTED_VALUE"""),"PO Closed")</f>
        <v>PO Closed</v>
      </c>
      <c r="Q3722" s="6" t="str">
        <f>IFERROR(__xludf.DUMMYFUNCTION("""COMPUTED_VALUE"""),"GL2503022")</f>
        <v>GL2503022</v>
      </c>
      <c r="R3722" s="57">
        <f>IFERROR(__xludf.DUMMYFUNCTION("""COMPUTED_VALUE"""),45679.0)</f>
        <v>45679</v>
      </c>
      <c r="S3722" s="57">
        <f>IFERROR(__xludf.DUMMYFUNCTION("""COMPUTED_VALUE"""),45680.0)</f>
        <v>45680</v>
      </c>
      <c r="T3722" s="57">
        <f>IFERROR(__xludf.DUMMYFUNCTION("""COMPUTED_VALUE"""),45757.0)</f>
        <v>45757</v>
      </c>
    </row>
    <row r="3723">
      <c r="A3723" s="6" t="str">
        <f>IFERROR(__xludf.DUMMYFUNCTION("""COMPUTED_VALUE"""),"121702338-6")</f>
        <v>121702338-6</v>
      </c>
      <c r="B3723" s="6" t="str">
        <f>IFERROR(__xludf.DUMMYFUNCTION("""COMPUTED_VALUE"""),"121702338 - APPROVED")</f>
        <v>121702338 - APPROVED</v>
      </c>
      <c r="C3723" s="6">
        <f>IFERROR(__xludf.DUMMYFUNCTION("""COMPUTED_VALUE"""),6.0)</f>
        <v>6</v>
      </c>
      <c r="D3723" s="6" t="str">
        <f>IFERROR(__xludf.DUMMYFUNCTION("""COMPUTED_VALUE"""),"O-53171-00")</f>
        <v>O-53171-00</v>
      </c>
      <c r="E3723" s="6" t="str">
        <f>IFERROR(__xludf.DUMMYFUNCTION("""COMPUTED_VALUE"""),"General - Three Phase Monitoring Cm-Pfs.S. ABB 1SVR730824R9300")</f>
        <v>General - Three Phase Monitoring Cm-Pfs.S. ABB 1SVR730824R9300</v>
      </c>
      <c r="F3723" s="6">
        <f>IFERROR(__xludf.DUMMYFUNCTION("""COMPUTED_VALUE"""),1.0)</f>
        <v>1</v>
      </c>
      <c r="G3723" s="6" t="str">
        <f>IFERROR(__xludf.DUMMYFUNCTION("""COMPUTED_VALUE"""),"Pieces")</f>
        <v>Pieces</v>
      </c>
      <c r="H3723" s="6" t="str">
        <f>IFERROR(__xludf.DUMMYFUNCTION("""COMPUTED_VALUE"""),"IDR")</f>
        <v>IDR</v>
      </c>
      <c r="I3723" s="6">
        <f>IFERROR(__xludf.DUMMYFUNCTION("""COMPUTED_VALUE"""),2615000.0)</f>
        <v>2615000</v>
      </c>
      <c r="J3723" s="6">
        <f>IFERROR(__xludf.DUMMYFUNCTION("""COMPUTED_VALUE"""),2615000.0)</f>
        <v>2615000</v>
      </c>
      <c r="K3723" s="57">
        <f>IFERROR(__xludf.DUMMYFUNCTION("""COMPUTED_VALUE"""),45681.0)</f>
        <v>45681</v>
      </c>
      <c r="L3723" s="6" t="str">
        <f>IFERROR(__xludf.DUMMYFUNCTION("""COMPUTED_VALUE"""),"FIP Engineering")</f>
        <v>FIP Engineering</v>
      </c>
      <c r="M3723" s="6" t="str">
        <f>IFERROR(__xludf.DUMMYFUNCTION("""COMPUTED_VALUE"""),"Mochammad Fadhillah Hakim,")</f>
        <v>Mochammad Fadhillah Hakim,</v>
      </c>
      <c r="N3723" s="6" t="str">
        <f>IFERROR(__xludf.DUMMYFUNCTION("""COMPUTED_VALUE"""),"FIP Engineering")</f>
        <v>FIP Engineering</v>
      </c>
      <c r="O3723" s="6" t="str">
        <f>IFERROR(__xludf.DUMMYFUNCTION("""COMPUTED_VALUE"""),"FIP-DOM-000-11304-OS00001-INA-000000")</f>
        <v>FIP-DOM-000-11304-OS00001-INA-000000</v>
      </c>
      <c r="P3723" s="6" t="str">
        <f>IFERROR(__xludf.DUMMYFUNCTION("""COMPUTED_VALUE"""),"PO Closed")</f>
        <v>PO Closed</v>
      </c>
      <c r="Q3723" s="6" t="str">
        <f>IFERROR(__xludf.DUMMYFUNCTION("""COMPUTED_VALUE"""),"GL2503022")</f>
        <v>GL2503022</v>
      </c>
      <c r="R3723" s="57">
        <f>IFERROR(__xludf.DUMMYFUNCTION("""COMPUTED_VALUE"""),45679.0)</f>
        <v>45679</v>
      </c>
      <c r="S3723" s="57">
        <f>IFERROR(__xludf.DUMMYFUNCTION("""COMPUTED_VALUE"""),45680.0)</f>
        <v>45680</v>
      </c>
      <c r="T3723" s="57">
        <f>IFERROR(__xludf.DUMMYFUNCTION("""COMPUTED_VALUE"""),45757.0)</f>
        <v>45757</v>
      </c>
    </row>
    <row r="3724">
      <c r="A3724" s="6" t="str">
        <f>IFERROR(__xludf.DUMMYFUNCTION("""COMPUTED_VALUE"""),"121702340-1")</f>
        <v>121702340-1</v>
      </c>
      <c r="B3724" s="6" t="str">
        <f>IFERROR(__xludf.DUMMYFUNCTION("""COMPUTED_VALUE"""),"121702340 - APPROVED")</f>
        <v>121702340 - APPROVED</v>
      </c>
      <c r="C3724" s="6">
        <f>IFERROR(__xludf.DUMMYFUNCTION("""COMPUTED_VALUE"""),1.0)</f>
        <v>1</v>
      </c>
      <c r="D3724" s="6" t="str">
        <f>IFERROR(__xludf.DUMMYFUNCTION("""COMPUTED_VALUE"""),"O-20298-00")</f>
        <v>O-20298-00</v>
      </c>
      <c r="E3724" s="6" t="str">
        <f>IFERROR(__xludf.DUMMYFUNCTION("""COMPUTED_VALUE"""),"Marchesini Ma155 - Belt  Conveyor PU UOUO 1120 x 75 x 1.1 mmE Custom/Lokal  -")</f>
        <v>Marchesini Ma155 - Belt  Conveyor PU UOUO 1120 x 75 x 1.1 mmE Custom/Lokal  -</v>
      </c>
      <c r="F3724" s="6">
        <f>IFERROR(__xludf.DUMMYFUNCTION("""COMPUTED_VALUE"""),4.0)</f>
        <v>4</v>
      </c>
      <c r="G3724" s="6" t="str">
        <f>IFERROR(__xludf.DUMMYFUNCTION("""COMPUTED_VALUE"""),"Pieces")</f>
        <v>Pieces</v>
      </c>
      <c r="H3724" s="6" t="str">
        <f>IFERROR(__xludf.DUMMYFUNCTION("""COMPUTED_VALUE"""),"IDR")</f>
        <v>IDR</v>
      </c>
      <c r="I3724" s="6">
        <f>IFERROR(__xludf.DUMMYFUNCTION("""COMPUTED_VALUE"""),186700.0)</f>
        <v>186700</v>
      </c>
      <c r="J3724" s="6">
        <f>IFERROR(__xludf.DUMMYFUNCTION("""COMPUTED_VALUE"""),746800.0)</f>
        <v>746800</v>
      </c>
      <c r="K3724" s="57">
        <f>IFERROR(__xludf.DUMMYFUNCTION("""COMPUTED_VALUE"""),45681.0)</f>
        <v>45681</v>
      </c>
      <c r="L3724" s="6" t="str">
        <f>IFERROR(__xludf.DUMMYFUNCTION("""COMPUTED_VALUE"""),"FIP Engineering")</f>
        <v>FIP Engineering</v>
      </c>
      <c r="M3724" s="6" t="str">
        <f>IFERROR(__xludf.DUMMYFUNCTION("""COMPUTED_VALUE"""),"Mochammad Fadhillah Hakim,")</f>
        <v>Mochammad Fadhillah Hakim,</v>
      </c>
      <c r="N3724" s="6" t="str">
        <f>IFERROR(__xludf.DUMMYFUNCTION("""COMPUTED_VALUE"""),"FIP Engineering")</f>
        <v>FIP Engineering</v>
      </c>
      <c r="O3724" s="6" t="str">
        <f>IFERROR(__xludf.DUMMYFUNCTION("""COMPUTED_VALUE"""),"FIP-DOM-000-11304-OS00001-INA-000000")</f>
        <v>FIP-DOM-000-11304-OS00001-INA-000000</v>
      </c>
      <c r="P3724" s="6" t="str">
        <f>IFERROR(__xludf.DUMMYFUNCTION("""COMPUTED_VALUE"""),"PO Closed")</f>
        <v>PO Closed</v>
      </c>
      <c r="Q3724" s="6" t="str">
        <f>IFERROR(__xludf.DUMMYFUNCTION("""COMPUTED_VALUE"""),"GL2503016")</f>
        <v>GL2503016</v>
      </c>
      <c r="R3724" s="57">
        <f>IFERROR(__xludf.DUMMYFUNCTION("""COMPUTED_VALUE"""),45679.0)</f>
        <v>45679</v>
      </c>
      <c r="S3724" s="57">
        <f>IFERROR(__xludf.DUMMYFUNCTION("""COMPUTED_VALUE"""),45680.0)</f>
        <v>45680</v>
      </c>
      <c r="T3724" s="57">
        <f>IFERROR(__xludf.DUMMYFUNCTION("""COMPUTED_VALUE"""),45771.0)</f>
        <v>45771</v>
      </c>
    </row>
    <row r="3725">
      <c r="A3725" s="6" t="str">
        <f>IFERROR(__xludf.DUMMYFUNCTION("""COMPUTED_VALUE"""),"121702341-1")</f>
        <v>121702341-1</v>
      </c>
      <c r="B3725" s="6" t="str">
        <f>IFERROR(__xludf.DUMMYFUNCTION("""COMPUTED_VALUE"""),"121702341 - APPROVED")</f>
        <v>121702341 - APPROVED</v>
      </c>
      <c r="C3725" s="6">
        <f>IFERROR(__xludf.DUMMYFUNCTION("""COMPUTED_VALUE"""),1.0)</f>
        <v>1</v>
      </c>
      <c r="D3725" s="6" t="str">
        <f>IFERROR(__xludf.DUMMYFUNCTION("""COMPUTED_VALUE"""),"O-20296-00")</f>
        <v>O-20296-00</v>
      </c>
      <c r="E3725" s="6" t="str">
        <f>IFERROR(__xludf.DUMMYFUNCTION("""COMPUTED_VALUE"""),"General - Rotating Pincer Pneumatik  SMC MRHQ20D-180S-DIN00358")</f>
        <v>General - Rotating Pincer Pneumatik  SMC MRHQ20D-180S-DIN00358</v>
      </c>
      <c r="F3725" s="6">
        <f>IFERROR(__xludf.DUMMYFUNCTION("""COMPUTED_VALUE"""),5.0)</f>
        <v>5</v>
      </c>
      <c r="G3725" s="6" t="str">
        <f>IFERROR(__xludf.DUMMYFUNCTION("""COMPUTED_VALUE"""),"Pieces")</f>
        <v>Pieces</v>
      </c>
      <c r="H3725" s="6" t="str">
        <f>IFERROR(__xludf.DUMMYFUNCTION("""COMPUTED_VALUE"""),"IDR")</f>
        <v>IDR</v>
      </c>
      <c r="I3725" s="6">
        <f>IFERROR(__xludf.DUMMYFUNCTION("""COMPUTED_VALUE"""),1.2065E7)</f>
        <v>12065000</v>
      </c>
      <c r="J3725" s="6">
        <f>IFERROR(__xludf.DUMMYFUNCTION("""COMPUTED_VALUE"""),6.0325E7)</f>
        <v>60325000</v>
      </c>
      <c r="K3725" s="57">
        <f>IFERROR(__xludf.DUMMYFUNCTION("""COMPUTED_VALUE"""),45681.0)</f>
        <v>45681</v>
      </c>
      <c r="L3725" s="6" t="str">
        <f>IFERROR(__xludf.DUMMYFUNCTION("""COMPUTED_VALUE"""),"FIP Engineering")</f>
        <v>FIP Engineering</v>
      </c>
      <c r="M3725" s="6" t="str">
        <f>IFERROR(__xludf.DUMMYFUNCTION("""COMPUTED_VALUE"""),"Mochammad Fadhillah Hakim,")</f>
        <v>Mochammad Fadhillah Hakim,</v>
      </c>
      <c r="N3725" s="6" t="str">
        <f>IFERROR(__xludf.DUMMYFUNCTION("""COMPUTED_VALUE"""),"FIP Engineering")</f>
        <v>FIP Engineering</v>
      </c>
      <c r="O3725" s="6" t="str">
        <f>IFERROR(__xludf.DUMMYFUNCTION("""COMPUTED_VALUE"""),"FIP-DOM-000-11304-OS00001-INA-000000")</f>
        <v>FIP-DOM-000-11304-OS00001-INA-000000</v>
      </c>
      <c r="P3725" s="6" t="str">
        <f>IFERROR(__xludf.DUMMYFUNCTION("""COMPUTED_VALUE"""),"PO Closed")</f>
        <v>PO Closed</v>
      </c>
      <c r="Q3725" s="6" t="str">
        <f>IFERROR(__xludf.DUMMYFUNCTION("""COMPUTED_VALUE"""),"GL2503005")</f>
        <v>GL2503005</v>
      </c>
      <c r="R3725" s="57">
        <f>IFERROR(__xludf.DUMMYFUNCTION("""COMPUTED_VALUE"""),45679.0)</f>
        <v>45679</v>
      </c>
      <c r="S3725" s="57">
        <f>IFERROR(__xludf.DUMMYFUNCTION("""COMPUTED_VALUE"""),45681.0)</f>
        <v>45681</v>
      </c>
      <c r="T3725" s="57">
        <f>IFERROR(__xludf.DUMMYFUNCTION("""COMPUTED_VALUE"""),45787.0)</f>
        <v>45787</v>
      </c>
    </row>
    <row r="3726">
      <c r="A3726" s="6" t="str">
        <f>IFERROR(__xludf.DUMMYFUNCTION("""COMPUTED_VALUE"""),"121702342-1")</f>
        <v>121702342-1</v>
      </c>
      <c r="B3726" s="6" t="str">
        <f>IFERROR(__xludf.DUMMYFUNCTION("""COMPUTED_VALUE"""),"121702342 - APPROVED")</f>
        <v>121702342 - APPROVED</v>
      </c>
      <c r="C3726" s="6">
        <f>IFERROR(__xludf.DUMMYFUNCTION("""COMPUTED_VALUE"""),1.0)</f>
        <v>1</v>
      </c>
      <c r="D3726" s="6" t="str">
        <f>IFERROR(__xludf.DUMMYFUNCTION("""COMPUTED_VALUE"""),"O-20299-00")</f>
        <v>O-20299-00</v>
      </c>
      <c r="E3726" s="6" t="str">
        <f>IFERROR(__xludf.DUMMYFUNCTION("""COMPUTED_VALUE"""),"Mixing Tank - Tatakan Sampling Duran 100 57 x 101,6 x 155 mm Custom/Lokal  -")</f>
        <v>Mixing Tank - Tatakan Sampling Duran 100 57 x 101,6 x 155 mm Custom/Lokal  -</v>
      </c>
      <c r="F3726" s="6">
        <f>IFERROR(__xludf.DUMMYFUNCTION("""COMPUTED_VALUE"""),1.0)</f>
        <v>1</v>
      </c>
      <c r="G3726" s="6" t="str">
        <f>IFERROR(__xludf.DUMMYFUNCTION("""COMPUTED_VALUE"""),"Pieces")</f>
        <v>Pieces</v>
      </c>
      <c r="H3726" s="6" t="str">
        <f>IFERROR(__xludf.DUMMYFUNCTION("""COMPUTED_VALUE"""),"IDR")</f>
        <v>IDR</v>
      </c>
      <c r="I3726" s="6">
        <f>IFERROR(__xludf.DUMMYFUNCTION("""COMPUTED_VALUE"""),1875000.0)</f>
        <v>1875000</v>
      </c>
      <c r="J3726" s="6">
        <f>IFERROR(__xludf.DUMMYFUNCTION("""COMPUTED_VALUE"""),1875000.0)</f>
        <v>1875000</v>
      </c>
      <c r="K3726" s="57">
        <f>IFERROR(__xludf.DUMMYFUNCTION("""COMPUTED_VALUE"""),45681.0)</f>
        <v>45681</v>
      </c>
      <c r="L3726" s="6" t="str">
        <f>IFERROR(__xludf.DUMMYFUNCTION("""COMPUTED_VALUE"""),"FIP Engineering")</f>
        <v>FIP Engineering</v>
      </c>
      <c r="M3726" s="6" t="str">
        <f>IFERROR(__xludf.DUMMYFUNCTION("""COMPUTED_VALUE"""),"Mochammad Fadhillah Hakim,")</f>
        <v>Mochammad Fadhillah Hakim,</v>
      </c>
      <c r="N3726" s="6" t="str">
        <f>IFERROR(__xludf.DUMMYFUNCTION("""COMPUTED_VALUE"""),"FIP Engineering")</f>
        <v>FIP Engineering</v>
      </c>
      <c r="O3726" s="6" t="str">
        <f>IFERROR(__xludf.DUMMYFUNCTION("""COMPUTED_VALUE"""),"FIP-DOM-000-11304-OS00001-INA-000000")</f>
        <v>FIP-DOM-000-11304-OS00001-INA-000000</v>
      </c>
      <c r="P3726" s="6" t="str">
        <f>IFERROR(__xludf.DUMMYFUNCTION("""COMPUTED_VALUE"""),"PO Closed")</f>
        <v>PO Closed</v>
      </c>
      <c r="Q3726" s="6" t="str">
        <f>IFERROR(__xludf.DUMMYFUNCTION("""COMPUTED_VALUE"""),"GL2503018")</f>
        <v>GL2503018</v>
      </c>
      <c r="R3726" s="57">
        <f>IFERROR(__xludf.DUMMYFUNCTION("""COMPUTED_VALUE"""),45679.0)</f>
        <v>45679</v>
      </c>
      <c r="S3726" s="57">
        <f>IFERROR(__xludf.DUMMYFUNCTION("""COMPUTED_VALUE"""),45680.0)</f>
        <v>45680</v>
      </c>
      <c r="T3726" s="57">
        <f>IFERROR(__xludf.DUMMYFUNCTION("""COMPUTED_VALUE"""),45771.0)</f>
        <v>45771</v>
      </c>
    </row>
    <row r="3727">
      <c r="A3727" s="6" t="str">
        <f>IFERROR(__xludf.DUMMYFUNCTION("""COMPUTED_VALUE"""),"121702342-2")</f>
        <v>121702342-2</v>
      </c>
      <c r="B3727" s="6" t="str">
        <f>IFERROR(__xludf.DUMMYFUNCTION("""COMPUTED_VALUE"""),"121702342 - APPROVED")</f>
        <v>121702342 - APPROVED</v>
      </c>
      <c r="C3727" s="6">
        <f>IFERROR(__xludf.DUMMYFUNCTION("""COMPUTED_VALUE"""),2.0)</f>
        <v>2</v>
      </c>
      <c r="D3727" s="6" t="str">
        <f>IFERROR(__xludf.DUMMYFUNCTION("""COMPUTED_VALUE"""),"O-20300-00")</f>
        <v>O-20300-00</v>
      </c>
      <c r="E3727" s="6" t="str">
        <f>IFERROR(__xludf.DUMMYFUNCTION("""COMPUTED_VALUE"""),"Mixing Tank - Tatakan Sampling Duran 200 70 x 110 x 40 mm Custom/Lokal  -")</f>
        <v>Mixing Tank - Tatakan Sampling Duran 200 70 x 110 x 40 mm Custom/Lokal  -</v>
      </c>
      <c r="F3727" s="6">
        <f>IFERROR(__xludf.DUMMYFUNCTION("""COMPUTED_VALUE"""),1.0)</f>
        <v>1</v>
      </c>
      <c r="G3727" s="6" t="str">
        <f>IFERROR(__xludf.DUMMYFUNCTION("""COMPUTED_VALUE"""),"Pieces")</f>
        <v>Pieces</v>
      </c>
      <c r="H3727" s="6" t="str">
        <f>IFERROR(__xludf.DUMMYFUNCTION("""COMPUTED_VALUE"""),"IDR")</f>
        <v>IDR</v>
      </c>
      <c r="I3727" s="6">
        <f>IFERROR(__xludf.DUMMYFUNCTION("""COMPUTED_VALUE"""),1255000.0)</f>
        <v>1255000</v>
      </c>
      <c r="J3727" s="6">
        <f>IFERROR(__xludf.DUMMYFUNCTION("""COMPUTED_VALUE"""),1255000.0)</f>
        <v>1255000</v>
      </c>
      <c r="K3727" s="57">
        <f>IFERROR(__xludf.DUMMYFUNCTION("""COMPUTED_VALUE"""),45681.0)</f>
        <v>45681</v>
      </c>
      <c r="L3727" s="6" t="str">
        <f>IFERROR(__xludf.DUMMYFUNCTION("""COMPUTED_VALUE"""),"FIP Engineering")</f>
        <v>FIP Engineering</v>
      </c>
      <c r="M3727" s="6" t="str">
        <f>IFERROR(__xludf.DUMMYFUNCTION("""COMPUTED_VALUE"""),"Mochammad Fadhillah Hakim,")</f>
        <v>Mochammad Fadhillah Hakim,</v>
      </c>
      <c r="N3727" s="6" t="str">
        <f>IFERROR(__xludf.DUMMYFUNCTION("""COMPUTED_VALUE"""),"FIP Engineering")</f>
        <v>FIP Engineering</v>
      </c>
      <c r="O3727" s="6" t="str">
        <f>IFERROR(__xludf.DUMMYFUNCTION("""COMPUTED_VALUE"""),"FIP-DOM-000-11304-OS00001-INA-000000")</f>
        <v>FIP-DOM-000-11304-OS00001-INA-000000</v>
      </c>
      <c r="P3727" s="6" t="str">
        <f>IFERROR(__xludf.DUMMYFUNCTION("""COMPUTED_VALUE"""),"PO Closed")</f>
        <v>PO Closed</v>
      </c>
      <c r="Q3727" s="6" t="str">
        <f>IFERROR(__xludf.DUMMYFUNCTION("""COMPUTED_VALUE"""),"GL2503018")</f>
        <v>GL2503018</v>
      </c>
      <c r="R3727" s="57">
        <f>IFERROR(__xludf.DUMMYFUNCTION("""COMPUTED_VALUE"""),45679.0)</f>
        <v>45679</v>
      </c>
      <c r="S3727" s="57">
        <f>IFERROR(__xludf.DUMMYFUNCTION("""COMPUTED_VALUE"""),45680.0)</f>
        <v>45680</v>
      </c>
      <c r="T3727" s="57">
        <f>IFERROR(__xludf.DUMMYFUNCTION("""COMPUTED_VALUE"""),45771.0)</f>
        <v>45771</v>
      </c>
    </row>
    <row r="3728">
      <c r="A3728" s="6" t="str">
        <f>IFERROR(__xludf.DUMMYFUNCTION("""COMPUTED_VALUE"""),"121702343-1")</f>
        <v>121702343-1</v>
      </c>
      <c r="B3728" s="6" t="str">
        <f>IFERROR(__xludf.DUMMYFUNCTION("""COMPUTED_VALUE"""),"121702343 - APPROVED")</f>
        <v>121702343 - APPROVED</v>
      </c>
      <c r="C3728" s="6">
        <f>IFERROR(__xludf.DUMMYFUNCTION("""COMPUTED_VALUE"""),1.0)</f>
        <v>1</v>
      </c>
      <c r="D3728" s="6" t="str">
        <f>IFERROR(__xludf.DUMMYFUNCTION("""COMPUTED_VALUE"""),"P-19540-00")</f>
        <v>P-19540-00</v>
      </c>
      <c r="E3728" s="6" t="str">
        <f>IFERROR(__xludf.DUMMYFUNCTION("""COMPUTED_VALUE"""),"General - Roda Pu 3 Inch Drat 1/2 Inch X 30Mm  -  -")</f>
        <v>General - Roda Pu 3 Inch Drat 1/2 Inch X 30Mm  -  -</v>
      </c>
      <c r="F3728" s="6">
        <f>IFERROR(__xludf.DUMMYFUNCTION("""COMPUTED_VALUE"""),8.0)</f>
        <v>8</v>
      </c>
      <c r="G3728" s="6" t="str">
        <f>IFERROR(__xludf.DUMMYFUNCTION("""COMPUTED_VALUE"""),"Set")</f>
        <v>Set</v>
      </c>
      <c r="H3728" s="6" t="str">
        <f>IFERROR(__xludf.DUMMYFUNCTION("""COMPUTED_VALUE"""),"IDR")</f>
        <v>IDR</v>
      </c>
      <c r="I3728" s="6">
        <f>IFERROR(__xludf.DUMMYFUNCTION("""COMPUTED_VALUE"""),185000.0)</f>
        <v>185000</v>
      </c>
      <c r="J3728" s="6">
        <f>IFERROR(__xludf.DUMMYFUNCTION("""COMPUTED_VALUE"""),1480000.0)</f>
        <v>1480000</v>
      </c>
      <c r="K3728" s="57">
        <f>IFERROR(__xludf.DUMMYFUNCTION("""COMPUTED_VALUE"""),45681.0)</f>
        <v>45681</v>
      </c>
      <c r="L3728" s="6" t="str">
        <f>IFERROR(__xludf.DUMMYFUNCTION("""COMPUTED_VALUE"""),"FIP Engineering")</f>
        <v>FIP Engineering</v>
      </c>
      <c r="M3728" s="6" t="str">
        <f>IFERROR(__xludf.DUMMYFUNCTION("""COMPUTED_VALUE"""),"Mochammad Fadhillah Hakim,")</f>
        <v>Mochammad Fadhillah Hakim,</v>
      </c>
      <c r="N3728" s="6" t="str">
        <f>IFERROR(__xludf.DUMMYFUNCTION("""COMPUTED_VALUE"""),"FIP Engineering")</f>
        <v>FIP Engineering</v>
      </c>
      <c r="O3728" s="6" t="str">
        <f>IFERROR(__xludf.DUMMYFUNCTION("""COMPUTED_VALUE"""),"FIP-DOM-000-11304-OS00001-INA-000000")</f>
        <v>FIP-DOM-000-11304-OS00001-INA-000000</v>
      </c>
      <c r="P3728" s="6" t="str">
        <f>IFERROR(__xludf.DUMMYFUNCTION("""COMPUTED_VALUE"""),"PO Closed")</f>
        <v>PO Closed</v>
      </c>
      <c r="Q3728" s="6" t="str">
        <f>IFERROR(__xludf.DUMMYFUNCTION("""COMPUTED_VALUE"""),"GL2502332")</f>
        <v>GL2502332</v>
      </c>
      <c r="R3728" s="57">
        <f>IFERROR(__xludf.DUMMYFUNCTION("""COMPUTED_VALUE"""),45679.0)</f>
        <v>45679</v>
      </c>
      <c r="S3728" s="57">
        <f>IFERROR(__xludf.DUMMYFUNCTION("""COMPUTED_VALUE"""),45680.0)</f>
        <v>45680</v>
      </c>
      <c r="T3728" s="57">
        <f>IFERROR(__xludf.DUMMYFUNCTION("""COMPUTED_VALUE"""),45681.0)</f>
        <v>45681</v>
      </c>
    </row>
    <row r="3729">
      <c r="A3729" s="6" t="str">
        <f>IFERROR(__xludf.DUMMYFUNCTION("""COMPUTED_VALUE"""),"121702344-1")</f>
        <v>121702344-1</v>
      </c>
      <c r="B3729" s="6" t="str">
        <f>IFERROR(__xludf.DUMMYFUNCTION("""COMPUTED_VALUE"""),"121702344 - APPROVED")</f>
        <v>121702344 - APPROVED</v>
      </c>
      <c r="C3729" s="6">
        <f>IFERROR(__xludf.DUMMYFUNCTION("""COMPUTED_VALUE"""),1.0)</f>
        <v>1</v>
      </c>
      <c r="D3729" s="6" t="str">
        <f>IFERROR(__xludf.DUMMYFUNCTION("""COMPUTED_VALUE"""),"P-19539-00")</f>
        <v>P-19539-00</v>
      </c>
      <c r="E3729" s="6" t="str">
        <f>IFERROR(__xludf.DUMMYFUNCTION("""COMPUTED_VALUE"""),"General - Roda Pu 3 Inch 75X32 Mm Tanpa Bracket  -  -")</f>
        <v>General - Roda Pu 3 Inch 75X32 Mm Tanpa Bracket  -  -</v>
      </c>
      <c r="F3729" s="6">
        <f>IFERROR(__xludf.DUMMYFUNCTION("""COMPUTED_VALUE"""),10.0)</f>
        <v>10</v>
      </c>
      <c r="G3729" s="6" t="str">
        <f>IFERROR(__xludf.DUMMYFUNCTION("""COMPUTED_VALUE"""),"Pieces")</f>
        <v>Pieces</v>
      </c>
      <c r="H3729" s="6" t="str">
        <f>IFERROR(__xludf.DUMMYFUNCTION("""COMPUTED_VALUE"""),"IDR")</f>
        <v>IDR</v>
      </c>
      <c r="I3729" s="6">
        <f>IFERROR(__xludf.DUMMYFUNCTION("""COMPUTED_VALUE"""),22500.0)</f>
        <v>22500</v>
      </c>
      <c r="J3729" s="6">
        <f>IFERROR(__xludf.DUMMYFUNCTION("""COMPUTED_VALUE"""),225000.0)</f>
        <v>225000</v>
      </c>
      <c r="K3729" s="57">
        <f>IFERROR(__xludf.DUMMYFUNCTION("""COMPUTED_VALUE"""),45681.0)</f>
        <v>45681</v>
      </c>
      <c r="L3729" s="6" t="str">
        <f>IFERROR(__xludf.DUMMYFUNCTION("""COMPUTED_VALUE"""),"FIP Engineering")</f>
        <v>FIP Engineering</v>
      </c>
      <c r="M3729" s="6" t="str">
        <f>IFERROR(__xludf.DUMMYFUNCTION("""COMPUTED_VALUE"""),"Mochammad Fadhillah Hakim,")</f>
        <v>Mochammad Fadhillah Hakim,</v>
      </c>
      <c r="N3729" s="6" t="str">
        <f>IFERROR(__xludf.DUMMYFUNCTION("""COMPUTED_VALUE"""),"FIP Engineering")</f>
        <v>FIP Engineering</v>
      </c>
      <c r="O3729" s="6" t="str">
        <f>IFERROR(__xludf.DUMMYFUNCTION("""COMPUTED_VALUE"""),"FIP-DOM-000-11304-OS00001-INA-000000")</f>
        <v>FIP-DOM-000-11304-OS00001-INA-000000</v>
      </c>
      <c r="P3729" s="6" t="str">
        <f>IFERROR(__xludf.DUMMYFUNCTION("""COMPUTED_VALUE"""),"PO Closed")</f>
        <v>PO Closed</v>
      </c>
      <c r="Q3729" s="6" t="str">
        <f>IFERROR(__xludf.DUMMYFUNCTION("""COMPUTED_VALUE"""),"GL2502332")</f>
        <v>GL2502332</v>
      </c>
      <c r="R3729" s="57">
        <f>IFERROR(__xludf.DUMMYFUNCTION("""COMPUTED_VALUE"""),45679.0)</f>
        <v>45679</v>
      </c>
      <c r="S3729" s="57">
        <f>IFERROR(__xludf.DUMMYFUNCTION("""COMPUTED_VALUE"""),45681.0)</f>
        <v>45681</v>
      </c>
      <c r="T3729" s="57">
        <f>IFERROR(__xludf.DUMMYFUNCTION("""COMPUTED_VALUE"""),45681.0)</f>
        <v>45681</v>
      </c>
    </row>
    <row r="3730">
      <c r="A3730" s="6" t="str">
        <f>IFERROR(__xludf.DUMMYFUNCTION("""COMPUTED_VALUE"""),"121702351-1")</f>
        <v>121702351-1</v>
      </c>
      <c r="B3730" s="6" t="str">
        <f>IFERROR(__xludf.DUMMYFUNCTION("""COMPUTED_VALUE"""),"121702351 - APPROVED")</f>
        <v>121702351 - APPROVED</v>
      </c>
      <c r="C3730" s="6">
        <f>IFERROR(__xludf.DUMMYFUNCTION("""COMPUTED_VALUE"""),1.0)</f>
        <v>1</v>
      </c>
      <c r="D3730" s="6" t="str">
        <f>IFERROR(__xludf.DUMMYFUNCTION("""COMPUTED_VALUE"""),"S-60050-00")</f>
        <v>S-60050-00</v>
      </c>
      <c r="E3730" s="6" t="str">
        <f>IFERROR(__xludf.DUMMYFUNCTION("""COMPUTED_VALUE"""),"Jasa Perbaikan dan Pemeliharaan Mesin Produksi; ; ; - Perbaikan Loundry Danube")</f>
        <v>Jasa Perbaikan dan Pemeliharaan Mesin Produksi; ; ; - Perbaikan Loundry Danube</v>
      </c>
      <c r="F3730" s="6">
        <f>IFERROR(__xludf.DUMMYFUNCTION("""COMPUTED_VALUE"""),1.0)</f>
        <v>1</v>
      </c>
      <c r="G3730" s="6" t="str">
        <f>IFERROR(__xludf.DUMMYFUNCTION("""COMPUTED_VALUE"""),"Pieces")</f>
        <v>Pieces</v>
      </c>
      <c r="H3730" s="6" t="str">
        <f>IFERROR(__xludf.DUMMYFUNCTION("""COMPUTED_VALUE"""),"IDR")</f>
        <v>IDR</v>
      </c>
      <c r="I3730" s="6">
        <f>IFERROR(__xludf.DUMMYFUNCTION("""COMPUTED_VALUE"""),9025000.0)</f>
        <v>9025000</v>
      </c>
      <c r="J3730" s="6">
        <f>IFERROR(__xludf.DUMMYFUNCTION("""COMPUTED_VALUE"""),9025000.0)</f>
        <v>9025000</v>
      </c>
      <c r="K3730" s="57">
        <f>IFERROR(__xludf.DUMMYFUNCTION("""COMPUTED_VALUE"""),45682.0)</f>
        <v>45682</v>
      </c>
      <c r="L3730" s="6" t="str">
        <f>IFERROR(__xludf.DUMMYFUNCTION("""COMPUTED_VALUE"""),"FIP General")</f>
        <v>FIP General</v>
      </c>
      <c r="M3730" s="6" t="str">
        <f>IFERROR(__xludf.DUMMYFUNCTION("""COMPUTED_VALUE"""),"Mochammad Fadhillah Hakim,")</f>
        <v>Mochammad Fadhillah Hakim,</v>
      </c>
      <c r="N3730" s="6" t="str">
        <f>IFERROR(__xludf.DUMMYFUNCTION("""COMPUTED_VALUE"""),"FIP Engineering")</f>
        <v>FIP Engineering</v>
      </c>
      <c r="O3730" s="6" t="str">
        <f>IFERROR(__xludf.DUMMYFUNCTION("""COMPUTED_VALUE"""),"FIP-DOM-ENG-51504-0000000-INA-000000")</f>
        <v>FIP-DOM-ENG-51504-0000000-INA-000000</v>
      </c>
      <c r="P3730" s="6" t="str">
        <f>IFERROR(__xludf.DUMMYFUNCTION("""COMPUTED_VALUE"""),"PO Closed")</f>
        <v>PO Closed</v>
      </c>
      <c r="Q3730" s="6"/>
      <c r="R3730" s="57">
        <f>IFERROR(__xludf.DUMMYFUNCTION("""COMPUTED_VALUE"""),45680.0)</f>
        <v>45680</v>
      </c>
      <c r="S3730" s="57">
        <f>IFERROR(__xludf.DUMMYFUNCTION("""COMPUTED_VALUE"""),45716.0)</f>
        <v>45716</v>
      </c>
      <c r="T3730" s="57">
        <f>IFERROR(__xludf.DUMMYFUNCTION("""COMPUTED_VALUE"""),45807.0)</f>
        <v>45807</v>
      </c>
    </row>
    <row r="3731">
      <c r="A3731" s="6" t="str">
        <f>IFERROR(__xludf.DUMMYFUNCTION("""COMPUTED_VALUE"""),"121702352-1")</f>
        <v>121702352-1</v>
      </c>
      <c r="B3731" s="6" t="str">
        <f>IFERROR(__xludf.DUMMYFUNCTION("""COMPUTED_VALUE"""),"121702352 - APPROVED")</f>
        <v>121702352 - APPROVED</v>
      </c>
      <c r="C3731" s="6">
        <f>IFERROR(__xludf.DUMMYFUNCTION("""COMPUTED_VALUE"""),1.0)</f>
        <v>1</v>
      </c>
      <c r="D3731" s="6" t="str">
        <f>IFERROR(__xludf.DUMMYFUNCTION("""COMPUTED_VALUE"""),"P-52662-00")</f>
        <v>P-52662-00</v>
      </c>
      <c r="E3731" s="6" t="str">
        <f>IFERROR(__xludf.DUMMYFUNCTION("""COMPUTED_VALUE"""),"Temperature Controller - TK4S- 14SN 100-240 VAC AUTONICS; ; ;")</f>
        <v>Temperature Controller - TK4S- 14SN 100-240 VAC AUTONICS; ; ;</v>
      </c>
      <c r="F3731" s="6">
        <f>IFERROR(__xludf.DUMMYFUNCTION("""COMPUTED_VALUE"""),2.0)</f>
        <v>2</v>
      </c>
      <c r="G3731" s="6" t="str">
        <f>IFERROR(__xludf.DUMMYFUNCTION("""COMPUTED_VALUE"""),"Pieces")</f>
        <v>Pieces</v>
      </c>
      <c r="H3731" s="6" t="str">
        <f>IFERROR(__xludf.DUMMYFUNCTION("""COMPUTED_VALUE"""),"IDR")</f>
        <v>IDR</v>
      </c>
      <c r="I3731" s="6">
        <f>IFERROR(__xludf.DUMMYFUNCTION("""COMPUTED_VALUE"""),646100.0)</f>
        <v>646100</v>
      </c>
      <c r="J3731" s="6">
        <f>IFERROR(__xludf.DUMMYFUNCTION("""COMPUTED_VALUE"""),1292200.0)</f>
        <v>1292200</v>
      </c>
      <c r="K3731" s="57">
        <f>IFERROR(__xludf.DUMMYFUNCTION("""COMPUTED_VALUE"""),45682.0)</f>
        <v>45682</v>
      </c>
      <c r="L3731" s="6" t="str">
        <f>IFERROR(__xludf.DUMMYFUNCTION("""COMPUTED_VALUE"""),"FIP Engineering")</f>
        <v>FIP Engineering</v>
      </c>
      <c r="M3731" s="6" t="str">
        <f>IFERROR(__xludf.DUMMYFUNCTION("""COMPUTED_VALUE"""),"Mochammad Fadhillah Hakim,")</f>
        <v>Mochammad Fadhillah Hakim,</v>
      </c>
      <c r="N3731" s="6" t="str">
        <f>IFERROR(__xludf.DUMMYFUNCTION("""COMPUTED_VALUE"""),"FIP Engineering")</f>
        <v>FIP Engineering</v>
      </c>
      <c r="O3731" s="6" t="str">
        <f>IFERROR(__xludf.DUMMYFUNCTION("""COMPUTED_VALUE"""),"FIP-DOM-000-11304-OS00001-INA-000000")</f>
        <v>FIP-DOM-000-11304-OS00001-INA-000000</v>
      </c>
      <c r="P3731" s="6" t="str">
        <f>IFERROR(__xludf.DUMMYFUNCTION("""COMPUTED_VALUE"""),"PO Closed")</f>
        <v>PO Closed</v>
      </c>
      <c r="Q3731" s="6" t="str">
        <f>IFERROR(__xludf.DUMMYFUNCTION("""COMPUTED_VALUE"""),"GL2503033")</f>
        <v>GL2503033</v>
      </c>
      <c r="R3731" s="57">
        <f>IFERROR(__xludf.DUMMYFUNCTION("""COMPUTED_VALUE"""),45680.0)</f>
        <v>45680</v>
      </c>
      <c r="S3731" s="57">
        <f>IFERROR(__xludf.DUMMYFUNCTION("""COMPUTED_VALUE"""),45687.0)</f>
        <v>45687</v>
      </c>
      <c r="T3731" s="57">
        <f>IFERROR(__xludf.DUMMYFUNCTION("""COMPUTED_VALUE"""),45682.0)</f>
        <v>45682</v>
      </c>
    </row>
    <row r="3732">
      <c r="A3732" s="6" t="str">
        <f>IFERROR(__xludf.DUMMYFUNCTION("""COMPUTED_VALUE"""),"121702353-1")</f>
        <v>121702353-1</v>
      </c>
      <c r="B3732" s="6" t="str">
        <f>IFERROR(__xludf.DUMMYFUNCTION("""COMPUTED_VALUE"""),"121702353 - APPROVED")</f>
        <v>121702353 - APPROVED</v>
      </c>
      <c r="C3732" s="6">
        <f>IFERROR(__xludf.DUMMYFUNCTION("""COMPUTED_VALUE"""),1.0)</f>
        <v>1</v>
      </c>
      <c r="D3732" s="6" t="str">
        <f>IFERROR(__xludf.DUMMYFUNCTION("""COMPUTED_VALUE"""),"Q-10984-00")</f>
        <v>Q-10984-00</v>
      </c>
      <c r="E3732" s="6" t="str">
        <f>IFERROR(__xludf.DUMMYFUNCTION("""COMPUTED_VALUE"""),"Door Seal Karet Penutup Bawah Pintu Abu 2,5 cm x 1 M; ; ;")</f>
        <v>Door Seal Karet Penutup Bawah Pintu Abu 2,5 cm x 1 M; ; ;</v>
      </c>
      <c r="F3732" s="6">
        <f>IFERROR(__xludf.DUMMYFUNCTION("""COMPUTED_VALUE"""),10.0)</f>
        <v>10</v>
      </c>
      <c r="G3732" s="6" t="str">
        <f>IFERROR(__xludf.DUMMYFUNCTION("""COMPUTED_VALUE"""),"Pieces")</f>
        <v>Pieces</v>
      </c>
      <c r="H3732" s="6" t="str">
        <f>IFERROR(__xludf.DUMMYFUNCTION("""COMPUTED_VALUE"""),"IDR")</f>
        <v>IDR</v>
      </c>
      <c r="I3732" s="6">
        <f>IFERROR(__xludf.DUMMYFUNCTION("""COMPUTED_VALUE"""),26000.0)</f>
        <v>26000</v>
      </c>
      <c r="J3732" s="6">
        <f>IFERROR(__xludf.DUMMYFUNCTION("""COMPUTED_VALUE"""),260000.0)</f>
        <v>260000</v>
      </c>
      <c r="K3732" s="57">
        <f>IFERROR(__xludf.DUMMYFUNCTION("""COMPUTED_VALUE"""),45682.0)</f>
        <v>45682</v>
      </c>
      <c r="L3732" s="6" t="str">
        <f>IFERROR(__xludf.DUMMYFUNCTION("""COMPUTED_VALUE"""),"FIP General")</f>
        <v>FIP General</v>
      </c>
      <c r="M3732" s="6" t="str">
        <f>IFERROR(__xludf.DUMMYFUNCTION("""COMPUTED_VALUE"""),"Mochammad Fadhillah Hakim,")</f>
        <v>Mochammad Fadhillah Hakim,</v>
      </c>
      <c r="N3732" s="6" t="str">
        <f>IFERROR(__xludf.DUMMYFUNCTION("""COMPUTED_VALUE"""),"FIP Engineering")</f>
        <v>FIP Engineering</v>
      </c>
      <c r="O3732" s="6" t="str">
        <f>IFERROR(__xludf.DUMMYFUNCTION("""COMPUTED_VALUE"""),"FIP-DOM-000-51502-0000000-INA-000000")</f>
        <v>FIP-DOM-000-51502-0000000-INA-000000</v>
      </c>
      <c r="P3732" s="6" t="str">
        <f>IFERROR(__xludf.DUMMYFUNCTION("""COMPUTED_VALUE"""),"PO Closed")</f>
        <v>PO Closed</v>
      </c>
      <c r="Q3732" s="6" t="str">
        <f>IFERROR(__xludf.DUMMYFUNCTION("""COMPUTED_VALUE"""),"GL2502028")</f>
        <v>GL2502028</v>
      </c>
      <c r="R3732" s="57">
        <f>IFERROR(__xludf.DUMMYFUNCTION("""COMPUTED_VALUE"""),45680.0)</f>
        <v>45680</v>
      </c>
      <c r="S3732" s="57">
        <f>IFERROR(__xludf.DUMMYFUNCTION("""COMPUTED_VALUE"""),45687.0)</f>
        <v>45687</v>
      </c>
      <c r="T3732" s="57">
        <f>IFERROR(__xludf.DUMMYFUNCTION("""COMPUTED_VALUE"""),45709.0)</f>
        <v>45709</v>
      </c>
    </row>
    <row r="3733">
      <c r="A3733" s="6" t="str">
        <f>IFERROR(__xludf.DUMMYFUNCTION("""COMPUTED_VALUE"""),"121702354-1")</f>
        <v>121702354-1</v>
      </c>
      <c r="B3733" s="6" t="str">
        <f>IFERROR(__xludf.DUMMYFUNCTION("""COMPUTED_VALUE"""),"121702354 - APPROVED")</f>
        <v>121702354 - APPROVED</v>
      </c>
      <c r="C3733" s="6">
        <f>IFERROR(__xludf.DUMMYFUNCTION("""COMPUTED_VALUE"""),1.0)</f>
        <v>1</v>
      </c>
      <c r="D3733" s="6" t="str">
        <f>IFERROR(__xludf.DUMMYFUNCTION("""COMPUTED_VALUE"""),"Q-10302-00")</f>
        <v>Q-10302-00</v>
      </c>
      <c r="E3733" s="6" t="str">
        <f>IFERROR(__xludf.DUMMYFUNCTION("""COMPUTED_VALUE"""),"Compound / Kompon Gypsum;No Brand;;pack size 20 kg per pck")</f>
        <v>Compound / Kompon Gypsum;No Brand;;pack size 20 kg per pck</v>
      </c>
      <c r="F3733" s="6">
        <f>IFERROR(__xludf.DUMMYFUNCTION("""COMPUTED_VALUE"""),3.0)</f>
        <v>3</v>
      </c>
      <c r="G3733" s="6" t="str">
        <f>IFERROR(__xludf.DUMMYFUNCTION("""COMPUTED_VALUE"""),"Pack")</f>
        <v>Pack</v>
      </c>
      <c r="H3733" s="6" t="str">
        <f>IFERROR(__xludf.DUMMYFUNCTION("""COMPUTED_VALUE"""),"IDR")</f>
        <v>IDR</v>
      </c>
      <c r="I3733" s="6">
        <f>IFERROR(__xludf.DUMMYFUNCTION("""COMPUTED_VALUE"""),175000.0)</f>
        <v>175000</v>
      </c>
      <c r="J3733" s="6">
        <f>IFERROR(__xludf.DUMMYFUNCTION("""COMPUTED_VALUE"""),525000.0)</f>
        <v>525000</v>
      </c>
      <c r="K3733" s="57">
        <f>IFERROR(__xludf.DUMMYFUNCTION("""COMPUTED_VALUE"""),45682.0)</f>
        <v>45682</v>
      </c>
      <c r="L3733" s="6" t="str">
        <f>IFERROR(__xludf.DUMMYFUNCTION("""COMPUTED_VALUE"""),"FIP General")</f>
        <v>FIP General</v>
      </c>
      <c r="M3733" s="6" t="str">
        <f>IFERROR(__xludf.DUMMYFUNCTION("""COMPUTED_VALUE"""),"Mochammad Fadhillah Hakim,")</f>
        <v>Mochammad Fadhillah Hakim,</v>
      </c>
      <c r="N3733" s="6" t="str">
        <f>IFERROR(__xludf.DUMMYFUNCTION("""COMPUTED_VALUE"""),"FIP Engineering")</f>
        <v>FIP Engineering</v>
      </c>
      <c r="O3733" s="6" t="str">
        <f>IFERROR(__xludf.DUMMYFUNCTION("""COMPUTED_VALUE"""),"FIP-DOM-000-51502-0000000-INA-000000")</f>
        <v>FIP-DOM-000-51502-0000000-INA-000000</v>
      </c>
      <c r="P3733" s="6" t="str">
        <f>IFERROR(__xludf.DUMMYFUNCTION("""COMPUTED_VALUE"""),"PO Closed")</f>
        <v>PO Closed</v>
      </c>
      <c r="Q3733" s="6" t="str">
        <f>IFERROR(__xludf.DUMMYFUNCTION("""COMPUTED_VALUE"""),"GL2502052")</f>
        <v>GL2502052</v>
      </c>
      <c r="R3733" s="57">
        <f>IFERROR(__xludf.DUMMYFUNCTION("""COMPUTED_VALUE"""),45680.0)</f>
        <v>45680</v>
      </c>
      <c r="S3733" s="57">
        <f>IFERROR(__xludf.DUMMYFUNCTION("""COMPUTED_VALUE"""),45687.0)</f>
        <v>45687</v>
      </c>
      <c r="T3733" s="57">
        <f>IFERROR(__xludf.DUMMYFUNCTION("""COMPUTED_VALUE"""),45721.0)</f>
        <v>45721</v>
      </c>
    </row>
    <row r="3734">
      <c r="A3734" s="6" t="str">
        <f>IFERROR(__xludf.DUMMYFUNCTION("""COMPUTED_VALUE"""),"121702356-1")</f>
        <v>121702356-1</v>
      </c>
      <c r="B3734" s="6" t="str">
        <f>IFERROR(__xludf.DUMMYFUNCTION("""COMPUTED_VALUE"""),"121702356 - APPROVED")</f>
        <v>121702356 - APPROVED</v>
      </c>
      <c r="C3734" s="6">
        <f>IFERROR(__xludf.DUMMYFUNCTION("""COMPUTED_VALUE"""),1.0)</f>
        <v>1</v>
      </c>
      <c r="D3734" s="6" t="str">
        <f>IFERROR(__xludf.DUMMYFUNCTION("""COMPUTED_VALUE"""),"T-20002-00")</f>
        <v>T-20002-00</v>
      </c>
      <c r="E3734" s="6" t="str">
        <f>IFERROR(__xludf.DUMMYFUNCTION("""COMPUTED_VALUE"""),"Jasa Perbaikan Alat Lab - Perbaikan Chamber BOD")</f>
        <v>Jasa Perbaikan Alat Lab - Perbaikan Chamber BOD</v>
      </c>
      <c r="F3734" s="6">
        <f>IFERROR(__xludf.DUMMYFUNCTION("""COMPUTED_VALUE"""),1.0)</f>
        <v>1</v>
      </c>
      <c r="G3734" s="6" t="str">
        <f>IFERROR(__xludf.DUMMYFUNCTION("""COMPUTED_VALUE"""),"Pieces")</f>
        <v>Pieces</v>
      </c>
      <c r="H3734" s="6" t="str">
        <f>IFERROR(__xludf.DUMMYFUNCTION("""COMPUTED_VALUE"""),"IDR")</f>
        <v>IDR</v>
      </c>
      <c r="I3734" s="6">
        <f>IFERROR(__xludf.DUMMYFUNCTION("""COMPUTED_VALUE"""),8600000.0)</f>
        <v>8600000</v>
      </c>
      <c r="J3734" s="6">
        <f>IFERROR(__xludf.DUMMYFUNCTION("""COMPUTED_VALUE"""),8600000.0)</f>
        <v>8600000</v>
      </c>
      <c r="K3734" s="57">
        <f>IFERROR(__xludf.DUMMYFUNCTION("""COMPUTED_VALUE"""),45683.0)</f>
        <v>45683</v>
      </c>
      <c r="L3734" s="6" t="str">
        <f>IFERROR(__xludf.DUMMYFUNCTION("""COMPUTED_VALUE"""),"FIP General")</f>
        <v>FIP General</v>
      </c>
      <c r="M3734" s="6" t="str">
        <f>IFERROR(__xludf.DUMMYFUNCTION("""COMPUTED_VALUE"""),"Mochammad Fadhillah Hakim,")</f>
        <v>Mochammad Fadhillah Hakim,</v>
      </c>
      <c r="N3734" s="6" t="str">
        <f>IFERROR(__xludf.DUMMYFUNCTION("""COMPUTED_VALUE"""),"FIP Engineering")</f>
        <v>FIP Engineering</v>
      </c>
      <c r="O3734" s="6" t="str">
        <f>IFERROR(__xludf.DUMMYFUNCTION("""COMPUTED_VALUE"""),"FIP-DOM-ENG-51505-0000000-INA-000000")</f>
        <v>FIP-DOM-ENG-51505-0000000-INA-000000</v>
      </c>
      <c r="P3734" s="6" t="str">
        <f>IFERROR(__xludf.DUMMYFUNCTION("""COMPUTED_VALUE"""),"PO Closed")</f>
        <v>PO Closed</v>
      </c>
      <c r="Q3734" s="6" t="str">
        <f>IFERROR(__xludf.DUMMYFUNCTION("""COMPUTED_VALUE"""),"GL2502051")</f>
        <v>GL2502051</v>
      </c>
      <c r="R3734" s="57">
        <f>IFERROR(__xludf.DUMMYFUNCTION("""COMPUTED_VALUE"""),45681.0)</f>
        <v>45681</v>
      </c>
      <c r="S3734" s="57">
        <f>IFERROR(__xludf.DUMMYFUNCTION("""COMPUTED_VALUE"""),45687.0)</f>
        <v>45687</v>
      </c>
      <c r="T3734" s="57">
        <f>IFERROR(__xludf.DUMMYFUNCTION("""COMPUTED_VALUE"""),45716.0)</f>
        <v>45716</v>
      </c>
    </row>
    <row r="3735">
      <c r="A3735" s="6" t="str">
        <f>IFERROR(__xludf.DUMMYFUNCTION("""COMPUTED_VALUE"""),"121702357-1")</f>
        <v>121702357-1</v>
      </c>
      <c r="B3735" s="6" t="str">
        <f>IFERROR(__xludf.DUMMYFUNCTION("""COMPUTED_VALUE"""),"121702357 - APPROVED")</f>
        <v>121702357 - APPROVED</v>
      </c>
      <c r="C3735" s="6">
        <f>IFERROR(__xludf.DUMMYFUNCTION("""COMPUTED_VALUE"""),1.0)</f>
        <v>1</v>
      </c>
      <c r="D3735" s="6" t="str">
        <f>IFERROR(__xludf.DUMMYFUNCTION("""COMPUTED_VALUE"""),"P-53059-00")</f>
        <v>P-53059-00</v>
      </c>
      <c r="E3735" s="6" t="str">
        <f>IFERROR(__xludf.DUMMYFUNCTION("""COMPUTED_VALUE"""),"General - Mainboard Photometer 2I SN 23425 ATI P/N : 0400170")</f>
        <v>General - Mainboard Photometer 2I SN 23425 ATI P/N : 0400170</v>
      </c>
      <c r="F3735" s="6">
        <f>IFERROR(__xludf.DUMMYFUNCTION("""COMPUTED_VALUE"""),1.0)</f>
        <v>1</v>
      </c>
      <c r="G3735" s="6" t="str">
        <f>IFERROR(__xludf.DUMMYFUNCTION("""COMPUTED_VALUE"""),"Unit")</f>
        <v>Unit</v>
      </c>
      <c r="H3735" s="6" t="str">
        <f>IFERROR(__xludf.DUMMYFUNCTION("""COMPUTED_VALUE"""),"IDR")</f>
        <v>IDR</v>
      </c>
      <c r="I3735" s="6">
        <f>IFERROR(__xludf.DUMMYFUNCTION("""COMPUTED_VALUE"""),3.45E7)</f>
        <v>34500000</v>
      </c>
      <c r="J3735" s="6">
        <f>IFERROR(__xludf.DUMMYFUNCTION("""COMPUTED_VALUE"""),3.45E7)</f>
        <v>34500000</v>
      </c>
      <c r="K3735" s="57">
        <f>IFERROR(__xludf.DUMMYFUNCTION("""COMPUTED_VALUE"""),45683.0)</f>
        <v>45683</v>
      </c>
      <c r="L3735" s="6" t="str">
        <f>IFERROR(__xludf.DUMMYFUNCTION("""COMPUTED_VALUE"""),"FIP Engineering")</f>
        <v>FIP Engineering</v>
      </c>
      <c r="M3735" s="6" t="str">
        <f>IFERROR(__xludf.DUMMYFUNCTION("""COMPUTED_VALUE"""),"Mochammad Fadhillah Hakim,")</f>
        <v>Mochammad Fadhillah Hakim,</v>
      </c>
      <c r="N3735" s="6" t="str">
        <f>IFERROR(__xludf.DUMMYFUNCTION("""COMPUTED_VALUE"""),"FIP Engineering")</f>
        <v>FIP Engineering</v>
      </c>
      <c r="O3735" s="6" t="str">
        <f>IFERROR(__xludf.DUMMYFUNCTION("""COMPUTED_VALUE"""),"FIP-DOM-000-11304-OS00001-INA-000000")</f>
        <v>FIP-DOM-000-11304-OS00001-INA-000000</v>
      </c>
      <c r="P3735" s="6" t="str">
        <f>IFERROR(__xludf.DUMMYFUNCTION("""COMPUTED_VALUE"""),"PO Closed")</f>
        <v>PO Closed</v>
      </c>
      <c r="Q3735" s="6" t="str">
        <f>IFERROR(__xludf.DUMMYFUNCTION("""COMPUTED_VALUE"""),"GL2502045")</f>
        <v>GL2502045</v>
      </c>
      <c r="R3735" s="57">
        <f>IFERROR(__xludf.DUMMYFUNCTION("""COMPUTED_VALUE"""),45681.0)</f>
        <v>45681</v>
      </c>
      <c r="S3735" s="57">
        <f>IFERROR(__xludf.DUMMYFUNCTION("""COMPUTED_VALUE"""),45687.0)</f>
        <v>45687</v>
      </c>
      <c r="T3735" s="57">
        <f>IFERROR(__xludf.DUMMYFUNCTION("""COMPUTED_VALUE"""),45712.0)</f>
        <v>45712</v>
      </c>
    </row>
    <row r="3736">
      <c r="A3736" s="6" t="str">
        <f>IFERROR(__xludf.DUMMYFUNCTION("""COMPUTED_VALUE"""),"121702358-1")</f>
        <v>121702358-1</v>
      </c>
      <c r="B3736" s="6" t="str">
        <f>IFERROR(__xludf.DUMMYFUNCTION("""COMPUTED_VALUE"""),"121702358 - APPROVED")</f>
        <v>121702358 - APPROVED</v>
      </c>
      <c r="C3736" s="6">
        <f>IFERROR(__xludf.DUMMYFUNCTION("""COMPUTED_VALUE"""),1.0)</f>
        <v>1</v>
      </c>
      <c r="D3736" s="6" t="str">
        <f>IFERROR(__xludf.DUMMYFUNCTION("""COMPUTED_VALUE"""),"O-20292-00")</f>
        <v>O-20292-00</v>
      </c>
      <c r="E3736" s="6" t="str">
        <f>IFERROR(__xludf.DUMMYFUNCTION("""COMPUTED_VALUE"""),"Strainer Machine - Strainer Crabs CR4 Capping 18X20 mm Custom/Lokal")</f>
        <v>Strainer Machine - Strainer Crabs CR4 Capping 18X20 mm Custom/Lokal</v>
      </c>
      <c r="F3736" s="6">
        <f>IFERROR(__xludf.DUMMYFUNCTION("""COMPUTED_VALUE"""),1.0)</f>
        <v>1</v>
      </c>
      <c r="G3736" s="6" t="str">
        <f>IFERROR(__xludf.DUMMYFUNCTION("""COMPUTED_VALUE"""),"Pieces")</f>
        <v>Pieces</v>
      </c>
      <c r="H3736" s="6" t="str">
        <f>IFERROR(__xludf.DUMMYFUNCTION("""COMPUTED_VALUE"""),"IDR")</f>
        <v>IDR</v>
      </c>
      <c r="I3736" s="6">
        <f>IFERROR(__xludf.DUMMYFUNCTION("""COMPUTED_VALUE"""),1875000.0)</f>
        <v>1875000</v>
      </c>
      <c r="J3736" s="6">
        <f>IFERROR(__xludf.DUMMYFUNCTION("""COMPUTED_VALUE"""),1875000.0)</f>
        <v>1875000</v>
      </c>
      <c r="K3736" s="57">
        <f>IFERROR(__xludf.DUMMYFUNCTION("""COMPUTED_VALUE"""),45683.0)</f>
        <v>45683</v>
      </c>
      <c r="L3736" s="6" t="str">
        <f>IFERROR(__xludf.DUMMYFUNCTION("""COMPUTED_VALUE"""),"FIP Engineering")</f>
        <v>FIP Engineering</v>
      </c>
      <c r="M3736" s="6" t="str">
        <f>IFERROR(__xludf.DUMMYFUNCTION("""COMPUTED_VALUE"""),"Mochammad Fadhillah Hakim,")</f>
        <v>Mochammad Fadhillah Hakim,</v>
      </c>
      <c r="N3736" s="6" t="str">
        <f>IFERROR(__xludf.DUMMYFUNCTION("""COMPUTED_VALUE"""),"FIP Engineering")</f>
        <v>FIP Engineering</v>
      </c>
      <c r="O3736" s="6" t="str">
        <f>IFERROR(__xludf.DUMMYFUNCTION("""COMPUTED_VALUE"""),"FIP-DOM-000-11304-OS00001-INA-000000")</f>
        <v>FIP-DOM-000-11304-OS00001-INA-000000</v>
      </c>
      <c r="P3736" s="6" t="str">
        <f>IFERROR(__xludf.DUMMYFUNCTION("""COMPUTED_VALUE"""),"PO Closed")</f>
        <v>PO Closed</v>
      </c>
      <c r="Q3736" s="6" t="str">
        <f>IFERROR(__xludf.DUMMYFUNCTION("""COMPUTED_VALUE"""),"GL2503018")</f>
        <v>GL2503018</v>
      </c>
      <c r="R3736" s="57">
        <f>IFERROR(__xludf.DUMMYFUNCTION("""COMPUTED_VALUE"""),45681.0)</f>
        <v>45681</v>
      </c>
      <c r="S3736" s="57">
        <f>IFERROR(__xludf.DUMMYFUNCTION("""COMPUTED_VALUE"""),45687.0)</f>
        <v>45687</v>
      </c>
      <c r="T3736" s="57">
        <f>IFERROR(__xludf.DUMMYFUNCTION("""COMPUTED_VALUE"""),45771.0)</f>
        <v>45771</v>
      </c>
    </row>
    <row r="3737">
      <c r="A3737" s="6" t="str">
        <f>IFERROR(__xludf.DUMMYFUNCTION("""COMPUTED_VALUE"""),"121702359-1")</f>
        <v>121702359-1</v>
      </c>
      <c r="B3737" s="6" t="str">
        <f>IFERROR(__xludf.DUMMYFUNCTION("""COMPUTED_VALUE"""),"121702359 - APPROVED")</f>
        <v>121702359 - APPROVED</v>
      </c>
      <c r="C3737" s="6">
        <f>IFERROR(__xludf.DUMMYFUNCTION("""COMPUTED_VALUE"""),1.0)</f>
        <v>1</v>
      </c>
      <c r="D3737" s="6" t="str">
        <f>IFERROR(__xludf.DUMMYFUNCTION("""COMPUTED_VALUE"""),"P-53094-00")</f>
        <v>P-53094-00</v>
      </c>
      <c r="E3737" s="6" t="str">
        <f>IFERROR(__xludf.DUMMYFUNCTION("""COMPUTED_VALUE"""),"General - Actuator; Belimo; GMX120-3; 1 pcs")</f>
        <v>General - Actuator; Belimo; GMX120-3; 1 pcs</v>
      </c>
      <c r="F3737" s="6">
        <f>IFERROR(__xludf.DUMMYFUNCTION("""COMPUTED_VALUE"""),4.0)</f>
        <v>4</v>
      </c>
      <c r="G3737" s="6" t="str">
        <f>IFERROR(__xludf.DUMMYFUNCTION("""COMPUTED_VALUE"""),"Pieces")</f>
        <v>Pieces</v>
      </c>
      <c r="H3737" s="6" t="str">
        <f>IFERROR(__xludf.DUMMYFUNCTION("""COMPUTED_VALUE"""),"IDR")</f>
        <v>IDR</v>
      </c>
      <c r="I3737" s="6">
        <f>IFERROR(__xludf.DUMMYFUNCTION("""COMPUTED_VALUE"""),1.2E7)</f>
        <v>12000000</v>
      </c>
      <c r="J3737" s="6">
        <f>IFERROR(__xludf.DUMMYFUNCTION("""COMPUTED_VALUE"""),4.8E7)</f>
        <v>48000000</v>
      </c>
      <c r="K3737" s="57">
        <f>IFERROR(__xludf.DUMMYFUNCTION("""COMPUTED_VALUE"""),45683.0)</f>
        <v>45683</v>
      </c>
      <c r="L3737" s="6" t="str">
        <f>IFERROR(__xludf.DUMMYFUNCTION("""COMPUTED_VALUE"""),"FIP Engineering")</f>
        <v>FIP Engineering</v>
      </c>
      <c r="M3737" s="6" t="str">
        <f>IFERROR(__xludf.DUMMYFUNCTION("""COMPUTED_VALUE"""),"Mochammad Fadhillah Hakim,")</f>
        <v>Mochammad Fadhillah Hakim,</v>
      </c>
      <c r="N3737" s="6" t="str">
        <f>IFERROR(__xludf.DUMMYFUNCTION("""COMPUTED_VALUE"""),"FIP Engineering")</f>
        <v>FIP Engineering</v>
      </c>
      <c r="O3737" s="6" t="str">
        <f>IFERROR(__xludf.DUMMYFUNCTION("""COMPUTED_VALUE"""),"FIP-DOM-000-11304-OS00001-INA-000000")</f>
        <v>FIP-DOM-000-11304-OS00001-INA-000000</v>
      </c>
      <c r="P3737" s="6" t="str">
        <f>IFERROR(__xludf.DUMMYFUNCTION("""COMPUTED_VALUE"""),"PO Closed")</f>
        <v>PO Closed</v>
      </c>
      <c r="Q3737" s="6" t="str">
        <f>IFERROR(__xludf.DUMMYFUNCTION("""COMPUTED_VALUE"""),"GL2502005")</f>
        <v>GL2502005</v>
      </c>
      <c r="R3737" s="57">
        <f>IFERROR(__xludf.DUMMYFUNCTION("""COMPUTED_VALUE"""),45681.0)</f>
        <v>45681</v>
      </c>
      <c r="S3737" s="57">
        <f>IFERROR(__xludf.DUMMYFUNCTION("""COMPUTED_VALUE"""),45687.0)</f>
        <v>45687</v>
      </c>
      <c r="T3737" s="57">
        <f>IFERROR(__xludf.DUMMYFUNCTION("""COMPUTED_VALUE"""),45699.0)</f>
        <v>45699</v>
      </c>
    </row>
    <row r="3738">
      <c r="A3738" s="6" t="str">
        <f>IFERROR(__xludf.DUMMYFUNCTION("""COMPUTED_VALUE"""),"121702361-1")</f>
        <v>121702361-1</v>
      </c>
      <c r="B3738" s="6" t="str">
        <f>IFERROR(__xludf.DUMMYFUNCTION("""COMPUTED_VALUE"""),"121702361 - APPROVED")</f>
        <v>121702361 - APPROVED</v>
      </c>
      <c r="C3738" s="6">
        <f>IFERROR(__xludf.DUMMYFUNCTION("""COMPUTED_VALUE"""),1.0)</f>
        <v>1</v>
      </c>
      <c r="D3738" s="6"/>
      <c r="E3738" s="6" t="str">
        <f>IFERROR(__xludf.DUMMYFUNCTION("""COMPUTED_VALUE"""),"Grundfos CR 32-3 A-F-A-E-HQQE 3x400D 50 HZ")</f>
        <v>Grundfos CR 32-3 A-F-A-E-HQQE 3x400D 50 HZ</v>
      </c>
      <c r="F3738" s="6">
        <f>IFERROR(__xludf.DUMMYFUNCTION("""COMPUTED_VALUE"""),1.0)</f>
        <v>1</v>
      </c>
      <c r="G3738" s="6" t="str">
        <f>IFERROR(__xludf.DUMMYFUNCTION("""COMPUTED_VALUE"""),"Unit")</f>
        <v>Unit</v>
      </c>
      <c r="H3738" s="6" t="str">
        <f>IFERROR(__xludf.DUMMYFUNCTION("""COMPUTED_VALUE"""),"IDR")</f>
        <v>IDR</v>
      </c>
      <c r="I3738" s="6">
        <f>IFERROR(__xludf.DUMMYFUNCTION("""COMPUTED_VALUE"""),6.5E7)</f>
        <v>65000000</v>
      </c>
      <c r="J3738" s="6">
        <f>IFERROR(__xludf.DUMMYFUNCTION("""COMPUTED_VALUE"""),6.5E7)</f>
        <v>65000000</v>
      </c>
      <c r="K3738" s="57">
        <f>IFERROR(__xludf.DUMMYFUNCTION("""COMPUTED_VALUE"""),45683.0)</f>
        <v>45683</v>
      </c>
      <c r="L3738" s="6" t="str">
        <f>IFERROR(__xludf.DUMMYFUNCTION("""COMPUTED_VALUE"""),"FIP General")</f>
        <v>FIP General</v>
      </c>
      <c r="M3738" s="6" t="str">
        <f>IFERROR(__xludf.DUMMYFUNCTION("""COMPUTED_VALUE"""),"Mochammad Fadhillah Hakim,")</f>
        <v>Mochammad Fadhillah Hakim,</v>
      </c>
      <c r="N3738" s="6" t="str">
        <f>IFERROR(__xludf.DUMMYFUNCTION("""COMPUTED_VALUE"""),"FIP Engineering")</f>
        <v>FIP Engineering</v>
      </c>
      <c r="O3738" s="6" t="str">
        <f>IFERROR(__xludf.DUMMYFUNCTION("""COMPUTED_VALUE"""),"FIP-DOM-ENG-13405-EQ25005-INA-000000")</f>
        <v>FIP-DOM-ENG-13405-EQ25005-INA-000000</v>
      </c>
      <c r="P3738" s="6" t="str">
        <f>IFERROR(__xludf.DUMMYFUNCTION("""COMPUTED_VALUE"""),"PO Closed")</f>
        <v>PO Closed</v>
      </c>
      <c r="Q3738" s="6" t="str">
        <f>IFERROR(__xludf.DUMMYFUNCTION("""COMPUTED_VALUE"""),"GL2506040")</f>
        <v>GL2506040</v>
      </c>
      <c r="R3738" s="57">
        <f>IFERROR(__xludf.DUMMYFUNCTION("""COMPUTED_VALUE"""),45681.0)</f>
        <v>45681</v>
      </c>
      <c r="S3738" s="57">
        <f>IFERROR(__xludf.DUMMYFUNCTION("""COMPUTED_VALUE"""),45756.0)</f>
        <v>45756</v>
      </c>
      <c r="T3738" s="57">
        <f>IFERROR(__xludf.DUMMYFUNCTION("""COMPUTED_VALUE"""),45899.0)</f>
        <v>45899</v>
      </c>
    </row>
    <row r="3739">
      <c r="A3739" s="6" t="str">
        <f>IFERROR(__xludf.DUMMYFUNCTION("""COMPUTED_VALUE"""),"121702378-1")</f>
        <v>121702378-1</v>
      </c>
      <c r="B3739" s="6" t="str">
        <f>IFERROR(__xludf.DUMMYFUNCTION("""COMPUTED_VALUE"""),"121702378 - APPROVED")</f>
        <v>121702378 - APPROVED</v>
      </c>
      <c r="C3739" s="6">
        <f>IFERROR(__xludf.DUMMYFUNCTION("""COMPUTED_VALUE"""),1.0)</f>
        <v>1</v>
      </c>
      <c r="D3739" s="6" t="str">
        <f>IFERROR(__xludf.DUMMYFUNCTION("""COMPUTED_VALUE"""),"T-12045-00")</f>
        <v>T-12045-00</v>
      </c>
      <c r="E3739" s="6" t="str">
        <f>IFERROR(__xludf.DUMMYFUNCTION("""COMPUTED_VALUE"""),"Hard disk Desktop Internal Seagate 1TB SATA; Seagate; ;")</f>
        <v>Hard disk Desktop Internal Seagate 1TB SATA; Seagate; ;</v>
      </c>
      <c r="F3739" s="6">
        <f>IFERROR(__xludf.DUMMYFUNCTION("""COMPUTED_VALUE"""),3.0)</f>
        <v>3</v>
      </c>
      <c r="G3739" s="6" t="str">
        <f>IFERROR(__xludf.DUMMYFUNCTION("""COMPUTED_VALUE"""),"Pieces")</f>
        <v>Pieces</v>
      </c>
      <c r="H3739" s="6" t="str">
        <f>IFERROR(__xludf.DUMMYFUNCTION("""COMPUTED_VALUE"""),"IDR")</f>
        <v>IDR</v>
      </c>
      <c r="I3739" s="6">
        <f>IFERROR(__xludf.DUMMYFUNCTION("""COMPUTED_VALUE"""),1382700.0)</f>
        <v>1382700</v>
      </c>
      <c r="J3739" s="6">
        <f>IFERROR(__xludf.DUMMYFUNCTION("""COMPUTED_VALUE"""),4148100.0)</f>
        <v>4148100</v>
      </c>
      <c r="K3739" s="57">
        <f>IFERROR(__xludf.DUMMYFUNCTION("""COMPUTED_VALUE"""),45693.0)</f>
        <v>45693</v>
      </c>
      <c r="L3739" s="6" t="str">
        <f>IFERROR(__xludf.DUMMYFUNCTION("""COMPUTED_VALUE"""),"FIP General")</f>
        <v>FIP General</v>
      </c>
      <c r="M3739" s="6" t="str">
        <f>IFERROR(__xludf.DUMMYFUNCTION("""COMPUTED_VALUE"""),"Mochammad Fadhillah Hakim,")</f>
        <v>Mochammad Fadhillah Hakim,</v>
      </c>
      <c r="N3739" s="6" t="str">
        <f>IFERROR(__xludf.DUMMYFUNCTION("""COMPUTED_VALUE"""),"FIP Engineering")</f>
        <v>FIP Engineering</v>
      </c>
      <c r="O3739" s="6" t="str">
        <f>IFERROR(__xludf.DUMMYFUNCTION("""COMPUTED_VALUE"""),"FIP-DOM-ENG-51404-0000000-INA-000000")</f>
        <v>FIP-DOM-ENG-51404-0000000-INA-000000</v>
      </c>
      <c r="P3739" s="6" t="str">
        <f>IFERROR(__xludf.DUMMYFUNCTION("""COMPUTED_VALUE"""),"PO Closed")</f>
        <v>PO Closed</v>
      </c>
      <c r="Q3739" s="6" t="str">
        <f>IFERROR(__xludf.DUMMYFUNCTION("""COMPUTED_VALUE"""),"GL2503040")</f>
        <v>GL2503040</v>
      </c>
      <c r="R3739" s="57">
        <f>IFERROR(__xludf.DUMMYFUNCTION("""COMPUTED_VALUE"""),45691.0)</f>
        <v>45691</v>
      </c>
      <c r="S3739" s="57">
        <f>IFERROR(__xludf.DUMMYFUNCTION("""COMPUTED_VALUE"""),45693.0)</f>
        <v>45693</v>
      </c>
      <c r="T3739" s="57">
        <f>IFERROR(__xludf.DUMMYFUNCTION("""COMPUTED_VALUE"""),45740.0)</f>
        <v>45740</v>
      </c>
    </row>
    <row r="3740">
      <c r="A3740" s="6" t="str">
        <f>IFERROR(__xludf.DUMMYFUNCTION("""COMPUTED_VALUE"""),"121702382-1")</f>
        <v>121702382-1</v>
      </c>
      <c r="B3740" s="6" t="str">
        <f>IFERROR(__xludf.DUMMYFUNCTION("""COMPUTED_VALUE"""),"121702382 - APPROVED")</f>
        <v>121702382 - APPROVED</v>
      </c>
      <c r="C3740" s="6">
        <f>IFERROR(__xludf.DUMMYFUNCTION("""COMPUTED_VALUE"""),1.0)</f>
        <v>1</v>
      </c>
      <c r="D3740" s="6" t="str">
        <f>IFERROR(__xludf.DUMMYFUNCTION("""COMPUTED_VALUE"""),"Q-90000-00")</f>
        <v>Q-90000-00</v>
      </c>
      <c r="E3740" s="6" t="str">
        <f>IFERROR(__xludf.DUMMYFUNCTION("""COMPUTED_VALUE"""),"Building Maintenance Pure Expense - Bobok Dinding")</f>
        <v>Building Maintenance Pure Expense - Bobok Dinding</v>
      </c>
      <c r="F3740" s="6">
        <f>IFERROR(__xludf.DUMMYFUNCTION("""COMPUTED_VALUE"""),1.0)</f>
        <v>1</v>
      </c>
      <c r="G3740" s="6" t="str">
        <f>IFERROR(__xludf.DUMMYFUNCTION("""COMPUTED_VALUE"""),"Unit")</f>
        <v>Unit</v>
      </c>
      <c r="H3740" s="6" t="str">
        <f>IFERROR(__xludf.DUMMYFUNCTION("""COMPUTED_VALUE"""),"IDR")</f>
        <v>IDR</v>
      </c>
      <c r="I3740" s="6">
        <f>IFERROR(__xludf.DUMMYFUNCTION("""COMPUTED_VALUE"""),1.5536E7)</f>
        <v>15536000</v>
      </c>
      <c r="J3740" s="6">
        <f>IFERROR(__xludf.DUMMYFUNCTION("""COMPUTED_VALUE"""),1.5536E7)</f>
        <v>15536000</v>
      </c>
      <c r="K3740" s="57">
        <f>IFERROR(__xludf.DUMMYFUNCTION("""COMPUTED_VALUE"""),45694.0)</f>
        <v>45694</v>
      </c>
      <c r="L3740" s="6" t="str">
        <f>IFERROR(__xludf.DUMMYFUNCTION("""COMPUTED_VALUE"""),"FIP General")</f>
        <v>FIP General</v>
      </c>
      <c r="M3740" s="6" t="str">
        <f>IFERROR(__xludf.DUMMYFUNCTION("""COMPUTED_VALUE"""),"Mochammad Fadhillah Hakim,")</f>
        <v>Mochammad Fadhillah Hakim,</v>
      </c>
      <c r="N3740" s="6" t="str">
        <f>IFERROR(__xludf.DUMMYFUNCTION("""COMPUTED_VALUE"""),"FIP Engineering")</f>
        <v>FIP Engineering</v>
      </c>
      <c r="O3740" s="6" t="str">
        <f>IFERROR(__xludf.DUMMYFUNCTION("""COMPUTED_VALUE"""),"FIP-DOM-ENG-51502-0000000-INA-000000")</f>
        <v>FIP-DOM-ENG-51502-0000000-INA-000000</v>
      </c>
      <c r="P3740" s="6" t="str">
        <f>IFERROR(__xludf.DUMMYFUNCTION("""COMPUTED_VALUE"""),"PO Closed")</f>
        <v>PO Closed</v>
      </c>
      <c r="Q3740" s="6" t="str">
        <f>IFERROR(__xludf.DUMMYFUNCTION("""COMPUTED_VALUE"""),"GL2502026")</f>
        <v>GL2502026</v>
      </c>
      <c r="R3740" s="57">
        <f>IFERROR(__xludf.DUMMYFUNCTION("""COMPUTED_VALUE"""),45692.0)</f>
        <v>45692</v>
      </c>
      <c r="S3740" s="57">
        <f>IFERROR(__xludf.DUMMYFUNCTION("""COMPUTED_VALUE"""),45693.0)</f>
        <v>45693</v>
      </c>
      <c r="T3740" s="57">
        <f>IFERROR(__xludf.DUMMYFUNCTION("""COMPUTED_VALUE"""),45709.0)</f>
        <v>45709</v>
      </c>
    </row>
    <row r="3741">
      <c r="A3741" s="6" t="str">
        <f>IFERROR(__xludf.DUMMYFUNCTION("""COMPUTED_VALUE"""),"121702396-1")</f>
        <v>121702396-1</v>
      </c>
      <c r="B3741" s="6" t="str">
        <f>IFERROR(__xludf.DUMMYFUNCTION("""COMPUTED_VALUE"""),"121702396 - APPROVED")</f>
        <v>121702396 - APPROVED</v>
      </c>
      <c r="C3741" s="6">
        <f>IFERROR(__xludf.DUMMYFUNCTION("""COMPUTED_VALUE"""),1.0)</f>
        <v>1</v>
      </c>
      <c r="D3741" s="6" t="str">
        <f>IFERROR(__xludf.DUMMYFUNCTION("""COMPUTED_VALUE"""),"P-10859-00")</f>
        <v>P-10859-00</v>
      </c>
      <c r="E3741" s="6" t="str">
        <f>IFERROR(__xludf.DUMMYFUNCTION("""COMPUTED_VALUE"""),"Fitting PVC - Elbow PVC 1/2"" Rucika AW")</f>
        <v>Fitting PVC - Elbow PVC 1/2" Rucika AW</v>
      </c>
      <c r="F3741" s="6">
        <f>IFERROR(__xludf.DUMMYFUNCTION("""COMPUTED_VALUE"""),5.0)</f>
        <v>5</v>
      </c>
      <c r="G3741" s="6" t="str">
        <f>IFERROR(__xludf.DUMMYFUNCTION("""COMPUTED_VALUE"""),"Pieces")</f>
        <v>Pieces</v>
      </c>
      <c r="H3741" s="6" t="str">
        <f>IFERROR(__xludf.DUMMYFUNCTION("""COMPUTED_VALUE"""),"IDR")</f>
        <v>IDR</v>
      </c>
      <c r="I3741" s="6">
        <f>IFERROR(__xludf.DUMMYFUNCTION("""COMPUTED_VALUE"""),3500.0)</f>
        <v>3500</v>
      </c>
      <c r="J3741" s="6">
        <f>IFERROR(__xludf.DUMMYFUNCTION("""COMPUTED_VALUE"""),17500.0)</f>
        <v>17500</v>
      </c>
      <c r="K3741" s="57">
        <f>IFERROR(__xludf.DUMMYFUNCTION("""COMPUTED_VALUE"""),45697.0)</f>
        <v>45697</v>
      </c>
      <c r="L3741" s="6" t="str">
        <f>IFERROR(__xludf.DUMMYFUNCTION("""COMPUTED_VALUE"""),"FIP Engineering")</f>
        <v>FIP Engineering</v>
      </c>
      <c r="M3741" s="6" t="str">
        <f>IFERROR(__xludf.DUMMYFUNCTION("""COMPUTED_VALUE"""),"Mochammad Fadhillah Hakim,")</f>
        <v>Mochammad Fadhillah Hakim,</v>
      </c>
      <c r="N3741" s="6" t="str">
        <f>IFERROR(__xludf.DUMMYFUNCTION("""COMPUTED_VALUE"""),"FIP Engineering")</f>
        <v>FIP Engineering</v>
      </c>
      <c r="O3741" s="6" t="str">
        <f>IFERROR(__xludf.DUMMYFUNCTION("""COMPUTED_VALUE"""),"FIP-DOM-000-11304-OS00001-INA-000000")</f>
        <v>FIP-DOM-000-11304-OS00001-INA-000000</v>
      </c>
      <c r="P3741" s="6" t="str">
        <f>IFERROR(__xludf.DUMMYFUNCTION("""COMPUTED_VALUE"""),"PO Closed")</f>
        <v>PO Closed</v>
      </c>
      <c r="Q3741" s="6" t="str">
        <f>IFERROR(__xludf.DUMMYFUNCTION("""COMPUTED_VALUE"""),"GL2502339")</f>
        <v>GL2502339</v>
      </c>
      <c r="R3741" s="57">
        <f>IFERROR(__xludf.DUMMYFUNCTION("""COMPUTED_VALUE"""),45695.0)</f>
        <v>45695</v>
      </c>
      <c r="S3741" s="57">
        <f>IFERROR(__xludf.DUMMYFUNCTION("""COMPUTED_VALUE"""),45698.0)</f>
        <v>45698</v>
      </c>
      <c r="T3741" s="57">
        <f>IFERROR(__xludf.DUMMYFUNCTION("""COMPUTED_VALUE"""),45724.0)</f>
        <v>45724</v>
      </c>
    </row>
    <row r="3742">
      <c r="A3742" s="6" t="str">
        <f>IFERROR(__xludf.DUMMYFUNCTION("""COMPUTED_VALUE"""),"121702396-2")</f>
        <v>121702396-2</v>
      </c>
      <c r="B3742" s="6" t="str">
        <f>IFERROR(__xludf.DUMMYFUNCTION("""COMPUTED_VALUE"""),"121702396 - APPROVED")</f>
        <v>121702396 - APPROVED</v>
      </c>
      <c r="C3742" s="6">
        <f>IFERROR(__xludf.DUMMYFUNCTION("""COMPUTED_VALUE"""),2.0)</f>
        <v>2</v>
      </c>
      <c r="D3742" s="6" t="str">
        <f>IFERROR(__xludf.DUMMYFUNCTION("""COMPUTED_VALUE"""),"P-10865-00")</f>
        <v>P-10865-00</v>
      </c>
      <c r="E3742" s="6" t="str">
        <f>IFERROR(__xludf.DUMMYFUNCTION("""COMPUTED_VALUE"""),"Fitting PVC - Elbow PVC 3/4""")</f>
        <v>Fitting PVC - Elbow PVC 3/4"</v>
      </c>
      <c r="F3742" s="6">
        <f>IFERROR(__xludf.DUMMYFUNCTION("""COMPUTED_VALUE"""),5.0)</f>
        <v>5</v>
      </c>
      <c r="G3742" s="6" t="str">
        <f>IFERROR(__xludf.DUMMYFUNCTION("""COMPUTED_VALUE"""),"Pieces")</f>
        <v>Pieces</v>
      </c>
      <c r="H3742" s="6" t="str">
        <f>IFERROR(__xludf.DUMMYFUNCTION("""COMPUTED_VALUE"""),"IDR")</f>
        <v>IDR</v>
      </c>
      <c r="I3742" s="6">
        <f>IFERROR(__xludf.DUMMYFUNCTION("""COMPUTED_VALUE"""),4750.0)</f>
        <v>4750</v>
      </c>
      <c r="J3742" s="6">
        <f>IFERROR(__xludf.DUMMYFUNCTION("""COMPUTED_VALUE"""),23750.0)</f>
        <v>23750</v>
      </c>
      <c r="K3742" s="57">
        <f>IFERROR(__xludf.DUMMYFUNCTION("""COMPUTED_VALUE"""),45697.0)</f>
        <v>45697</v>
      </c>
      <c r="L3742" s="6" t="str">
        <f>IFERROR(__xludf.DUMMYFUNCTION("""COMPUTED_VALUE"""),"FIP Engineering")</f>
        <v>FIP Engineering</v>
      </c>
      <c r="M3742" s="6" t="str">
        <f>IFERROR(__xludf.DUMMYFUNCTION("""COMPUTED_VALUE"""),"Mochammad Fadhillah Hakim,")</f>
        <v>Mochammad Fadhillah Hakim,</v>
      </c>
      <c r="N3742" s="6" t="str">
        <f>IFERROR(__xludf.DUMMYFUNCTION("""COMPUTED_VALUE"""),"FIP Engineering")</f>
        <v>FIP Engineering</v>
      </c>
      <c r="O3742" s="6" t="str">
        <f>IFERROR(__xludf.DUMMYFUNCTION("""COMPUTED_VALUE"""),"FIP-DOM-000-11304-OS00001-INA-000000")</f>
        <v>FIP-DOM-000-11304-OS00001-INA-000000</v>
      </c>
      <c r="P3742" s="6" t="str">
        <f>IFERROR(__xludf.DUMMYFUNCTION("""COMPUTED_VALUE"""),"PO Closed")</f>
        <v>PO Closed</v>
      </c>
      <c r="Q3742" s="6" t="str">
        <f>IFERROR(__xludf.DUMMYFUNCTION("""COMPUTED_VALUE"""),"GL2502339")</f>
        <v>GL2502339</v>
      </c>
      <c r="R3742" s="57">
        <f>IFERROR(__xludf.DUMMYFUNCTION("""COMPUTED_VALUE"""),45695.0)</f>
        <v>45695</v>
      </c>
      <c r="S3742" s="57">
        <f>IFERROR(__xludf.DUMMYFUNCTION("""COMPUTED_VALUE"""),45698.0)</f>
        <v>45698</v>
      </c>
      <c r="T3742" s="57">
        <f>IFERROR(__xludf.DUMMYFUNCTION("""COMPUTED_VALUE"""),45724.0)</f>
        <v>45724</v>
      </c>
    </row>
    <row r="3743">
      <c r="A3743" s="6" t="str">
        <f>IFERROR(__xludf.DUMMYFUNCTION("""COMPUTED_VALUE"""),"121702396-3")</f>
        <v>121702396-3</v>
      </c>
      <c r="B3743" s="6" t="str">
        <f>IFERROR(__xludf.DUMMYFUNCTION("""COMPUTED_VALUE"""),"121702396 - APPROVED")</f>
        <v>121702396 - APPROVED</v>
      </c>
      <c r="C3743" s="6">
        <f>IFERROR(__xludf.DUMMYFUNCTION("""COMPUTED_VALUE"""),3.0)</f>
        <v>3</v>
      </c>
      <c r="D3743" s="6" t="str">
        <f>IFERROR(__xludf.DUMMYFUNCTION("""COMPUTED_VALUE"""),"P-10860-00")</f>
        <v>P-10860-00</v>
      </c>
      <c r="E3743" s="6" t="str">
        <f>IFERROR(__xludf.DUMMYFUNCTION("""COMPUTED_VALUE"""),"Fitting PVC - Elbow PVC 1""")</f>
        <v>Fitting PVC - Elbow PVC 1"</v>
      </c>
      <c r="F3743" s="6">
        <f>IFERROR(__xludf.DUMMYFUNCTION("""COMPUTED_VALUE"""),5.0)</f>
        <v>5</v>
      </c>
      <c r="G3743" s="6" t="str">
        <f>IFERROR(__xludf.DUMMYFUNCTION("""COMPUTED_VALUE"""),"Pieces")</f>
        <v>Pieces</v>
      </c>
      <c r="H3743" s="6" t="str">
        <f>IFERROR(__xludf.DUMMYFUNCTION("""COMPUTED_VALUE"""),"IDR")</f>
        <v>IDR</v>
      </c>
      <c r="I3743" s="6">
        <f>IFERROR(__xludf.DUMMYFUNCTION("""COMPUTED_VALUE"""),7500.0)</f>
        <v>7500</v>
      </c>
      <c r="J3743" s="6">
        <f>IFERROR(__xludf.DUMMYFUNCTION("""COMPUTED_VALUE"""),37500.0)</f>
        <v>37500</v>
      </c>
      <c r="K3743" s="57">
        <f>IFERROR(__xludf.DUMMYFUNCTION("""COMPUTED_VALUE"""),45697.0)</f>
        <v>45697</v>
      </c>
      <c r="L3743" s="6" t="str">
        <f>IFERROR(__xludf.DUMMYFUNCTION("""COMPUTED_VALUE"""),"FIP Engineering")</f>
        <v>FIP Engineering</v>
      </c>
      <c r="M3743" s="6" t="str">
        <f>IFERROR(__xludf.DUMMYFUNCTION("""COMPUTED_VALUE"""),"Mochammad Fadhillah Hakim,")</f>
        <v>Mochammad Fadhillah Hakim,</v>
      </c>
      <c r="N3743" s="6" t="str">
        <f>IFERROR(__xludf.DUMMYFUNCTION("""COMPUTED_VALUE"""),"FIP Engineering")</f>
        <v>FIP Engineering</v>
      </c>
      <c r="O3743" s="6" t="str">
        <f>IFERROR(__xludf.DUMMYFUNCTION("""COMPUTED_VALUE"""),"FIP-DOM-000-11304-OS00001-INA-000000")</f>
        <v>FIP-DOM-000-11304-OS00001-INA-000000</v>
      </c>
      <c r="P3743" s="6" t="str">
        <f>IFERROR(__xludf.DUMMYFUNCTION("""COMPUTED_VALUE"""),"PO Closed")</f>
        <v>PO Closed</v>
      </c>
      <c r="Q3743" s="6" t="str">
        <f>IFERROR(__xludf.DUMMYFUNCTION("""COMPUTED_VALUE"""),"GL2502339")</f>
        <v>GL2502339</v>
      </c>
      <c r="R3743" s="57">
        <f>IFERROR(__xludf.DUMMYFUNCTION("""COMPUTED_VALUE"""),45695.0)</f>
        <v>45695</v>
      </c>
      <c r="S3743" s="57">
        <f>IFERROR(__xludf.DUMMYFUNCTION("""COMPUTED_VALUE"""),45698.0)</f>
        <v>45698</v>
      </c>
      <c r="T3743" s="57">
        <f>IFERROR(__xludf.DUMMYFUNCTION("""COMPUTED_VALUE"""),45724.0)</f>
        <v>45724</v>
      </c>
    </row>
    <row r="3744">
      <c r="A3744" s="6" t="str">
        <f>IFERROR(__xludf.DUMMYFUNCTION("""COMPUTED_VALUE"""),"121702396-4")</f>
        <v>121702396-4</v>
      </c>
      <c r="B3744" s="6" t="str">
        <f>IFERROR(__xludf.DUMMYFUNCTION("""COMPUTED_VALUE"""),"121702396 - APPROVED")</f>
        <v>121702396 - APPROVED</v>
      </c>
      <c r="C3744" s="6">
        <f>IFERROR(__xludf.DUMMYFUNCTION("""COMPUTED_VALUE"""),4.0)</f>
        <v>4</v>
      </c>
      <c r="D3744" s="6" t="str">
        <f>IFERROR(__xludf.DUMMYFUNCTION("""COMPUTED_VALUE"""),"P-10858-00")</f>
        <v>P-10858-00</v>
      </c>
      <c r="E3744" s="6" t="str">
        <f>IFERROR(__xludf.DUMMYFUNCTION("""COMPUTED_VALUE"""),"Fitting PVC - Elbow PVC 1 1/4""")</f>
        <v>Fitting PVC - Elbow PVC 1 1/4"</v>
      </c>
      <c r="F3744" s="6">
        <f>IFERROR(__xludf.DUMMYFUNCTION("""COMPUTED_VALUE"""),5.0)</f>
        <v>5</v>
      </c>
      <c r="G3744" s="6" t="str">
        <f>IFERROR(__xludf.DUMMYFUNCTION("""COMPUTED_VALUE"""),"Pieces")</f>
        <v>Pieces</v>
      </c>
      <c r="H3744" s="6" t="str">
        <f>IFERROR(__xludf.DUMMYFUNCTION("""COMPUTED_VALUE"""),"IDR")</f>
        <v>IDR</v>
      </c>
      <c r="I3744" s="6">
        <f>IFERROR(__xludf.DUMMYFUNCTION("""COMPUTED_VALUE"""),8000.0)</f>
        <v>8000</v>
      </c>
      <c r="J3744" s="6">
        <f>IFERROR(__xludf.DUMMYFUNCTION("""COMPUTED_VALUE"""),40000.0)</f>
        <v>40000</v>
      </c>
      <c r="K3744" s="57">
        <f>IFERROR(__xludf.DUMMYFUNCTION("""COMPUTED_VALUE"""),45697.0)</f>
        <v>45697</v>
      </c>
      <c r="L3744" s="6" t="str">
        <f>IFERROR(__xludf.DUMMYFUNCTION("""COMPUTED_VALUE"""),"FIP Engineering")</f>
        <v>FIP Engineering</v>
      </c>
      <c r="M3744" s="6" t="str">
        <f>IFERROR(__xludf.DUMMYFUNCTION("""COMPUTED_VALUE"""),"Mochammad Fadhillah Hakim,")</f>
        <v>Mochammad Fadhillah Hakim,</v>
      </c>
      <c r="N3744" s="6" t="str">
        <f>IFERROR(__xludf.DUMMYFUNCTION("""COMPUTED_VALUE"""),"FIP Engineering")</f>
        <v>FIP Engineering</v>
      </c>
      <c r="O3744" s="6" t="str">
        <f>IFERROR(__xludf.DUMMYFUNCTION("""COMPUTED_VALUE"""),"FIP-DOM-000-11304-OS00001-INA-000000")</f>
        <v>FIP-DOM-000-11304-OS00001-INA-000000</v>
      </c>
      <c r="P3744" s="6" t="str">
        <f>IFERROR(__xludf.DUMMYFUNCTION("""COMPUTED_VALUE"""),"PO Closed")</f>
        <v>PO Closed</v>
      </c>
      <c r="Q3744" s="6" t="str">
        <f>IFERROR(__xludf.DUMMYFUNCTION("""COMPUTED_VALUE"""),"GL2502339")</f>
        <v>GL2502339</v>
      </c>
      <c r="R3744" s="57">
        <f>IFERROR(__xludf.DUMMYFUNCTION("""COMPUTED_VALUE"""),45695.0)</f>
        <v>45695</v>
      </c>
      <c r="S3744" s="57">
        <f>IFERROR(__xludf.DUMMYFUNCTION("""COMPUTED_VALUE"""),45698.0)</f>
        <v>45698</v>
      </c>
      <c r="T3744" s="57">
        <f>IFERROR(__xludf.DUMMYFUNCTION("""COMPUTED_VALUE"""),45724.0)</f>
        <v>45724</v>
      </c>
    </row>
    <row r="3745">
      <c r="A3745" s="6" t="str">
        <f>IFERROR(__xludf.DUMMYFUNCTION("""COMPUTED_VALUE"""),"121702396-5")</f>
        <v>121702396-5</v>
      </c>
      <c r="B3745" s="6" t="str">
        <f>IFERROR(__xludf.DUMMYFUNCTION("""COMPUTED_VALUE"""),"121702396 - APPROVED")</f>
        <v>121702396 - APPROVED</v>
      </c>
      <c r="C3745" s="6">
        <f>IFERROR(__xludf.DUMMYFUNCTION("""COMPUTED_VALUE"""),5.0)</f>
        <v>5</v>
      </c>
      <c r="D3745" s="6" t="str">
        <f>IFERROR(__xludf.DUMMYFUNCTION("""COMPUTED_VALUE"""),"P-10857-00")</f>
        <v>P-10857-00</v>
      </c>
      <c r="E3745" s="6" t="str">
        <f>IFERROR(__xludf.DUMMYFUNCTION("""COMPUTED_VALUE"""),"Fitting PVC - Elbow PVC 1 1/2"" Rucika AW")</f>
        <v>Fitting PVC - Elbow PVC 1 1/2" Rucika AW</v>
      </c>
      <c r="F3745" s="6">
        <f>IFERROR(__xludf.DUMMYFUNCTION("""COMPUTED_VALUE"""),5.0)</f>
        <v>5</v>
      </c>
      <c r="G3745" s="6" t="str">
        <f>IFERROR(__xludf.DUMMYFUNCTION("""COMPUTED_VALUE"""),"Pieces")</f>
        <v>Pieces</v>
      </c>
      <c r="H3745" s="6" t="str">
        <f>IFERROR(__xludf.DUMMYFUNCTION("""COMPUTED_VALUE"""),"IDR")</f>
        <v>IDR</v>
      </c>
      <c r="I3745" s="6">
        <f>IFERROR(__xludf.DUMMYFUNCTION("""COMPUTED_VALUE"""),10500.0)</f>
        <v>10500</v>
      </c>
      <c r="J3745" s="6">
        <f>IFERROR(__xludf.DUMMYFUNCTION("""COMPUTED_VALUE"""),52500.0)</f>
        <v>52500</v>
      </c>
      <c r="K3745" s="57">
        <f>IFERROR(__xludf.DUMMYFUNCTION("""COMPUTED_VALUE"""),45697.0)</f>
        <v>45697</v>
      </c>
      <c r="L3745" s="6" t="str">
        <f>IFERROR(__xludf.DUMMYFUNCTION("""COMPUTED_VALUE"""),"FIP Engineering")</f>
        <v>FIP Engineering</v>
      </c>
      <c r="M3745" s="6" t="str">
        <f>IFERROR(__xludf.DUMMYFUNCTION("""COMPUTED_VALUE"""),"Mochammad Fadhillah Hakim,")</f>
        <v>Mochammad Fadhillah Hakim,</v>
      </c>
      <c r="N3745" s="6" t="str">
        <f>IFERROR(__xludf.DUMMYFUNCTION("""COMPUTED_VALUE"""),"FIP Engineering")</f>
        <v>FIP Engineering</v>
      </c>
      <c r="O3745" s="6" t="str">
        <f>IFERROR(__xludf.DUMMYFUNCTION("""COMPUTED_VALUE"""),"FIP-DOM-000-11304-OS00001-INA-000000")</f>
        <v>FIP-DOM-000-11304-OS00001-INA-000000</v>
      </c>
      <c r="P3745" s="6" t="str">
        <f>IFERROR(__xludf.DUMMYFUNCTION("""COMPUTED_VALUE"""),"PO Closed")</f>
        <v>PO Closed</v>
      </c>
      <c r="Q3745" s="6" t="str">
        <f>IFERROR(__xludf.DUMMYFUNCTION("""COMPUTED_VALUE"""),"GL2502339")</f>
        <v>GL2502339</v>
      </c>
      <c r="R3745" s="57">
        <f>IFERROR(__xludf.DUMMYFUNCTION("""COMPUTED_VALUE"""),45695.0)</f>
        <v>45695</v>
      </c>
      <c r="S3745" s="57">
        <f>IFERROR(__xludf.DUMMYFUNCTION("""COMPUTED_VALUE"""),45698.0)</f>
        <v>45698</v>
      </c>
      <c r="T3745" s="57">
        <f>IFERROR(__xludf.DUMMYFUNCTION("""COMPUTED_VALUE"""),45724.0)</f>
        <v>45724</v>
      </c>
    </row>
    <row r="3746">
      <c r="A3746" s="6" t="str">
        <f>IFERROR(__xludf.DUMMYFUNCTION("""COMPUTED_VALUE"""),"121702396-6")</f>
        <v>121702396-6</v>
      </c>
      <c r="B3746" s="6" t="str">
        <f>IFERROR(__xludf.DUMMYFUNCTION("""COMPUTED_VALUE"""),"121702396 - APPROVED")</f>
        <v>121702396 - APPROVED</v>
      </c>
      <c r="C3746" s="6">
        <f>IFERROR(__xludf.DUMMYFUNCTION("""COMPUTED_VALUE"""),6.0)</f>
        <v>6</v>
      </c>
      <c r="D3746" s="6" t="str">
        <f>IFERROR(__xludf.DUMMYFUNCTION("""COMPUTED_VALUE"""),"P-10863-00")</f>
        <v>P-10863-00</v>
      </c>
      <c r="E3746" s="6" t="str">
        <f>IFERROR(__xludf.DUMMYFUNCTION("""COMPUTED_VALUE"""),"Fitting PVC - Elbow PVC 2""")</f>
        <v>Fitting PVC - Elbow PVC 2"</v>
      </c>
      <c r="F3746" s="6">
        <f>IFERROR(__xludf.DUMMYFUNCTION("""COMPUTED_VALUE"""),5.0)</f>
        <v>5</v>
      </c>
      <c r="G3746" s="6" t="str">
        <f>IFERROR(__xludf.DUMMYFUNCTION("""COMPUTED_VALUE"""),"Pieces")</f>
        <v>Pieces</v>
      </c>
      <c r="H3746" s="6" t="str">
        <f>IFERROR(__xludf.DUMMYFUNCTION("""COMPUTED_VALUE"""),"IDR")</f>
        <v>IDR</v>
      </c>
      <c r="I3746" s="6">
        <f>IFERROR(__xludf.DUMMYFUNCTION("""COMPUTED_VALUE"""),15000.0)</f>
        <v>15000</v>
      </c>
      <c r="J3746" s="6">
        <f>IFERROR(__xludf.DUMMYFUNCTION("""COMPUTED_VALUE"""),75000.0)</f>
        <v>75000</v>
      </c>
      <c r="K3746" s="57">
        <f>IFERROR(__xludf.DUMMYFUNCTION("""COMPUTED_VALUE"""),45697.0)</f>
        <v>45697</v>
      </c>
      <c r="L3746" s="6" t="str">
        <f>IFERROR(__xludf.DUMMYFUNCTION("""COMPUTED_VALUE"""),"FIP Engineering")</f>
        <v>FIP Engineering</v>
      </c>
      <c r="M3746" s="6" t="str">
        <f>IFERROR(__xludf.DUMMYFUNCTION("""COMPUTED_VALUE"""),"Mochammad Fadhillah Hakim,")</f>
        <v>Mochammad Fadhillah Hakim,</v>
      </c>
      <c r="N3746" s="6" t="str">
        <f>IFERROR(__xludf.DUMMYFUNCTION("""COMPUTED_VALUE"""),"FIP Engineering")</f>
        <v>FIP Engineering</v>
      </c>
      <c r="O3746" s="6" t="str">
        <f>IFERROR(__xludf.DUMMYFUNCTION("""COMPUTED_VALUE"""),"FIP-DOM-000-11304-OS00001-INA-000000")</f>
        <v>FIP-DOM-000-11304-OS00001-INA-000000</v>
      </c>
      <c r="P3746" s="6" t="str">
        <f>IFERROR(__xludf.DUMMYFUNCTION("""COMPUTED_VALUE"""),"PO Closed")</f>
        <v>PO Closed</v>
      </c>
      <c r="Q3746" s="6" t="str">
        <f>IFERROR(__xludf.DUMMYFUNCTION("""COMPUTED_VALUE"""),"GL2502339")</f>
        <v>GL2502339</v>
      </c>
      <c r="R3746" s="57">
        <f>IFERROR(__xludf.DUMMYFUNCTION("""COMPUTED_VALUE"""),45695.0)</f>
        <v>45695</v>
      </c>
      <c r="S3746" s="57">
        <f>IFERROR(__xludf.DUMMYFUNCTION("""COMPUTED_VALUE"""),45698.0)</f>
        <v>45698</v>
      </c>
      <c r="T3746" s="57">
        <f>IFERROR(__xludf.DUMMYFUNCTION("""COMPUTED_VALUE"""),45724.0)</f>
        <v>45724</v>
      </c>
    </row>
    <row r="3747">
      <c r="A3747" s="6" t="str">
        <f>IFERROR(__xludf.DUMMYFUNCTION("""COMPUTED_VALUE"""),"121702396-7")</f>
        <v>121702396-7</v>
      </c>
      <c r="B3747" s="6" t="str">
        <f>IFERROR(__xludf.DUMMYFUNCTION("""COMPUTED_VALUE"""),"121702396 - APPROVED")</f>
        <v>121702396 - APPROVED</v>
      </c>
      <c r="C3747" s="6">
        <f>IFERROR(__xludf.DUMMYFUNCTION("""COMPUTED_VALUE"""),7.0)</f>
        <v>7</v>
      </c>
      <c r="D3747" s="6" t="str">
        <f>IFERROR(__xludf.DUMMYFUNCTION("""COMPUTED_VALUE"""),"P-10862-00")</f>
        <v>P-10862-00</v>
      </c>
      <c r="E3747" s="6" t="str">
        <f>IFERROR(__xludf.DUMMYFUNCTION("""COMPUTED_VALUE"""),"Fitting PVC - Elbow PVC 2 1/2""")</f>
        <v>Fitting PVC - Elbow PVC 2 1/2"</v>
      </c>
      <c r="F3747" s="6">
        <f>IFERROR(__xludf.DUMMYFUNCTION("""COMPUTED_VALUE"""),5.0)</f>
        <v>5</v>
      </c>
      <c r="G3747" s="6" t="str">
        <f>IFERROR(__xludf.DUMMYFUNCTION("""COMPUTED_VALUE"""),"Pieces")</f>
        <v>Pieces</v>
      </c>
      <c r="H3747" s="6" t="str">
        <f>IFERROR(__xludf.DUMMYFUNCTION("""COMPUTED_VALUE"""),"IDR")</f>
        <v>IDR</v>
      </c>
      <c r="I3747" s="6">
        <f>IFERROR(__xludf.DUMMYFUNCTION("""COMPUTED_VALUE"""),17000.0)</f>
        <v>17000</v>
      </c>
      <c r="J3747" s="6">
        <f>IFERROR(__xludf.DUMMYFUNCTION("""COMPUTED_VALUE"""),85000.0)</f>
        <v>85000</v>
      </c>
      <c r="K3747" s="57">
        <f>IFERROR(__xludf.DUMMYFUNCTION("""COMPUTED_VALUE"""),45697.0)</f>
        <v>45697</v>
      </c>
      <c r="L3747" s="6" t="str">
        <f>IFERROR(__xludf.DUMMYFUNCTION("""COMPUTED_VALUE"""),"FIP Engineering")</f>
        <v>FIP Engineering</v>
      </c>
      <c r="M3747" s="6" t="str">
        <f>IFERROR(__xludf.DUMMYFUNCTION("""COMPUTED_VALUE"""),"Mochammad Fadhillah Hakim,")</f>
        <v>Mochammad Fadhillah Hakim,</v>
      </c>
      <c r="N3747" s="6" t="str">
        <f>IFERROR(__xludf.DUMMYFUNCTION("""COMPUTED_VALUE"""),"FIP Engineering")</f>
        <v>FIP Engineering</v>
      </c>
      <c r="O3747" s="6" t="str">
        <f>IFERROR(__xludf.DUMMYFUNCTION("""COMPUTED_VALUE"""),"FIP-DOM-000-11304-OS00001-INA-000000")</f>
        <v>FIP-DOM-000-11304-OS00001-INA-000000</v>
      </c>
      <c r="P3747" s="6" t="str">
        <f>IFERROR(__xludf.DUMMYFUNCTION("""COMPUTED_VALUE"""),"PO Closed")</f>
        <v>PO Closed</v>
      </c>
      <c r="Q3747" s="6" t="str">
        <f>IFERROR(__xludf.DUMMYFUNCTION("""COMPUTED_VALUE"""),"GL2502339")</f>
        <v>GL2502339</v>
      </c>
      <c r="R3747" s="57">
        <f>IFERROR(__xludf.DUMMYFUNCTION("""COMPUTED_VALUE"""),45695.0)</f>
        <v>45695</v>
      </c>
      <c r="S3747" s="57">
        <f>IFERROR(__xludf.DUMMYFUNCTION("""COMPUTED_VALUE"""),45698.0)</f>
        <v>45698</v>
      </c>
      <c r="T3747" s="57">
        <f>IFERROR(__xludf.DUMMYFUNCTION("""COMPUTED_VALUE"""),45724.0)</f>
        <v>45724</v>
      </c>
    </row>
    <row r="3748">
      <c r="A3748" s="6" t="str">
        <f>IFERROR(__xludf.DUMMYFUNCTION("""COMPUTED_VALUE"""),"121702396-8")</f>
        <v>121702396-8</v>
      </c>
      <c r="B3748" s="6" t="str">
        <f>IFERROR(__xludf.DUMMYFUNCTION("""COMPUTED_VALUE"""),"121702396 - APPROVED")</f>
        <v>121702396 - APPROVED</v>
      </c>
      <c r="C3748" s="6">
        <f>IFERROR(__xludf.DUMMYFUNCTION("""COMPUTED_VALUE"""),8.0)</f>
        <v>8</v>
      </c>
      <c r="D3748" s="6" t="str">
        <f>IFERROR(__xludf.DUMMYFUNCTION("""COMPUTED_VALUE"""),"P-10899-00")</f>
        <v>P-10899-00</v>
      </c>
      <c r="E3748" s="6" t="str">
        <f>IFERROR(__xludf.DUMMYFUNCTION("""COMPUTED_VALUE"""),"Fitting PVC - Sock PVC 3/4""")</f>
        <v>Fitting PVC - Sock PVC 3/4"</v>
      </c>
      <c r="F3748" s="6">
        <f>IFERROR(__xludf.DUMMYFUNCTION("""COMPUTED_VALUE"""),4.0)</f>
        <v>4</v>
      </c>
      <c r="G3748" s="6" t="str">
        <f>IFERROR(__xludf.DUMMYFUNCTION("""COMPUTED_VALUE"""),"Pieces")</f>
        <v>Pieces</v>
      </c>
      <c r="H3748" s="6" t="str">
        <f>IFERROR(__xludf.DUMMYFUNCTION("""COMPUTED_VALUE"""),"IDR")</f>
        <v>IDR</v>
      </c>
      <c r="I3748" s="6">
        <f>IFERROR(__xludf.DUMMYFUNCTION("""COMPUTED_VALUE"""),3000.0)</f>
        <v>3000</v>
      </c>
      <c r="J3748" s="6">
        <f>IFERROR(__xludf.DUMMYFUNCTION("""COMPUTED_VALUE"""),12000.0)</f>
        <v>12000</v>
      </c>
      <c r="K3748" s="57">
        <f>IFERROR(__xludf.DUMMYFUNCTION("""COMPUTED_VALUE"""),45697.0)</f>
        <v>45697</v>
      </c>
      <c r="L3748" s="6" t="str">
        <f>IFERROR(__xludf.DUMMYFUNCTION("""COMPUTED_VALUE"""),"FIP Engineering")</f>
        <v>FIP Engineering</v>
      </c>
      <c r="M3748" s="6" t="str">
        <f>IFERROR(__xludf.DUMMYFUNCTION("""COMPUTED_VALUE"""),"Mochammad Fadhillah Hakim,")</f>
        <v>Mochammad Fadhillah Hakim,</v>
      </c>
      <c r="N3748" s="6" t="str">
        <f>IFERROR(__xludf.DUMMYFUNCTION("""COMPUTED_VALUE"""),"FIP Engineering")</f>
        <v>FIP Engineering</v>
      </c>
      <c r="O3748" s="6" t="str">
        <f>IFERROR(__xludf.DUMMYFUNCTION("""COMPUTED_VALUE"""),"FIP-DOM-000-11304-OS00001-INA-000000")</f>
        <v>FIP-DOM-000-11304-OS00001-INA-000000</v>
      </c>
      <c r="P3748" s="6" t="str">
        <f>IFERROR(__xludf.DUMMYFUNCTION("""COMPUTED_VALUE"""),"PO Closed")</f>
        <v>PO Closed</v>
      </c>
      <c r="Q3748" s="6" t="str">
        <f>IFERROR(__xludf.DUMMYFUNCTION("""COMPUTED_VALUE"""),"GL2502339")</f>
        <v>GL2502339</v>
      </c>
      <c r="R3748" s="57">
        <f>IFERROR(__xludf.DUMMYFUNCTION("""COMPUTED_VALUE"""),45695.0)</f>
        <v>45695</v>
      </c>
      <c r="S3748" s="57">
        <f>IFERROR(__xludf.DUMMYFUNCTION("""COMPUTED_VALUE"""),45698.0)</f>
        <v>45698</v>
      </c>
      <c r="T3748" s="57">
        <f>IFERROR(__xludf.DUMMYFUNCTION("""COMPUTED_VALUE"""),45724.0)</f>
        <v>45724</v>
      </c>
    </row>
    <row r="3749">
      <c r="A3749" s="6" t="str">
        <f>IFERROR(__xludf.DUMMYFUNCTION("""COMPUTED_VALUE"""),"121702396-9")</f>
        <v>121702396-9</v>
      </c>
      <c r="B3749" s="6" t="str">
        <f>IFERROR(__xludf.DUMMYFUNCTION("""COMPUTED_VALUE"""),"121702396 - APPROVED")</f>
        <v>121702396 - APPROVED</v>
      </c>
      <c r="C3749" s="6">
        <f>IFERROR(__xludf.DUMMYFUNCTION("""COMPUTED_VALUE"""),9.0)</f>
        <v>9</v>
      </c>
      <c r="D3749" s="6" t="str">
        <f>IFERROR(__xludf.DUMMYFUNCTION("""COMPUTED_VALUE"""),"P-10897-00")</f>
        <v>P-10897-00</v>
      </c>
      <c r="E3749" s="6" t="str">
        <f>IFERROR(__xludf.DUMMYFUNCTION("""COMPUTED_VALUE"""),"Fitting PVC - Sock PVC 1""")</f>
        <v>Fitting PVC - Sock PVC 1"</v>
      </c>
      <c r="F3749" s="6">
        <f>IFERROR(__xludf.DUMMYFUNCTION("""COMPUTED_VALUE"""),4.0)</f>
        <v>4</v>
      </c>
      <c r="G3749" s="6" t="str">
        <f>IFERROR(__xludf.DUMMYFUNCTION("""COMPUTED_VALUE"""),"Pieces")</f>
        <v>Pieces</v>
      </c>
      <c r="H3749" s="6" t="str">
        <f>IFERROR(__xludf.DUMMYFUNCTION("""COMPUTED_VALUE"""),"IDR")</f>
        <v>IDR</v>
      </c>
      <c r="I3749" s="6">
        <f>IFERROR(__xludf.DUMMYFUNCTION("""COMPUTED_VALUE"""),3000.0)</f>
        <v>3000</v>
      </c>
      <c r="J3749" s="6">
        <f>IFERROR(__xludf.DUMMYFUNCTION("""COMPUTED_VALUE"""),12000.0)</f>
        <v>12000</v>
      </c>
      <c r="K3749" s="57">
        <f>IFERROR(__xludf.DUMMYFUNCTION("""COMPUTED_VALUE"""),45697.0)</f>
        <v>45697</v>
      </c>
      <c r="L3749" s="6" t="str">
        <f>IFERROR(__xludf.DUMMYFUNCTION("""COMPUTED_VALUE"""),"FIP Engineering")</f>
        <v>FIP Engineering</v>
      </c>
      <c r="M3749" s="6" t="str">
        <f>IFERROR(__xludf.DUMMYFUNCTION("""COMPUTED_VALUE"""),"Mochammad Fadhillah Hakim,")</f>
        <v>Mochammad Fadhillah Hakim,</v>
      </c>
      <c r="N3749" s="6" t="str">
        <f>IFERROR(__xludf.DUMMYFUNCTION("""COMPUTED_VALUE"""),"FIP Engineering")</f>
        <v>FIP Engineering</v>
      </c>
      <c r="O3749" s="6" t="str">
        <f>IFERROR(__xludf.DUMMYFUNCTION("""COMPUTED_VALUE"""),"FIP-DOM-000-11304-OS00001-INA-000000")</f>
        <v>FIP-DOM-000-11304-OS00001-INA-000000</v>
      </c>
      <c r="P3749" s="6" t="str">
        <f>IFERROR(__xludf.DUMMYFUNCTION("""COMPUTED_VALUE"""),"PO Closed")</f>
        <v>PO Closed</v>
      </c>
      <c r="Q3749" s="6" t="str">
        <f>IFERROR(__xludf.DUMMYFUNCTION("""COMPUTED_VALUE"""),"GL2502339")</f>
        <v>GL2502339</v>
      </c>
      <c r="R3749" s="57">
        <f>IFERROR(__xludf.DUMMYFUNCTION("""COMPUTED_VALUE"""),45695.0)</f>
        <v>45695</v>
      </c>
      <c r="S3749" s="57">
        <f>IFERROR(__xludf.DUMMYFUNCTION("""COMPUTED_VALUE"""),45698.0)</f>
        <v>45698</v>
      </c>
      <c r="T3749" s="57">
        <f>IFERROR(__xludf.DUMMYFUNCTION("""COMPUTED_VALUE"""),45724.0)</f>
        <v>45724</v>
      </c>
    </row>
    <row r="3750">
      <c r="A3750" s="6" t="str">
        <f>IFERROR(__xludf.DUMMYFUNCTION("""COMPUTED_VALUE"""),"121702396-10")</f>
        <v>121702396-10</v>
      </c>
      <c r="B3750" s="6" t="str">
        <f>IFERROR(__xludf.DUMMYFUNCTION("""COMPUTED_VALUE"""),"121702396 - APPROVED")</f>
        <v>121702396 - APPROVED</v>
      </c>
      <c r="C3750" s="6">
        <f>IFERROR(__xludf.DUMMYFUNCTION("""COMPUTED_VALUE"""),10.0)</f>
        <v>10</v>
      </c>
      <c r="D3750" s="6" t="str">
        <f>IFERROR(__xludf.DUMMYFUNCTION("""COMPUTED_VALUE"""),"P-10898-00")</f>
        <v>P-10898-00</v>
      </c>
      <c r="E3750" s="6" t="str">
        <f>IFERROR(__xludf.DUMMYFUNCTION("""COMPUTED_VALUE"""),"Fitting PVC - Sock PVC 2""")</f>
        <v>Fitting PVC - Sock PVC 2"</v>
      </c>
      <c r="F3750" s="6">
        <f>IFERROR(__xludf.DUMMYFUNCTION("""COMPUTED_VALUE"""),4.0)</f>
        <v>4</v>
      </c>
      <c r="G3750" s="6" t="str">
        <f>IFERROR(__xludf.DUMMYFUNCTION("""COMPUTED_VALUE"""),"Pieces")</f>
        <v>Pieces</v>
      </c>
      <c r="H3750" s="6" t="str">
        <f>IFERROR(__xludf.DUMMYFUNCTION("""COMPUTED_VALUE"""),"IDR")</f>
        <v>IDR</v>
      </c>
      <c r="I3750" s="6">
        <f>IFERROR(__xludf.DUMMYFUNCTION("""COMPUTED_VALUE"""),10000.0)</f>
        <v>10000</v>
      </c>
      <c r="J3750" s="6">
        <f>IFERROR(__xludf.DUMMYFUNCTION("""COMPUTED_VALUE"""),40000.0)</f>
        <v>40000</v>
      </c>
      <c r="K3750" s="57">
        <f>IFERROR(__xludf.DUMMYFUNCTION("""COMPUTED_VALUE"""),45697.0)</f>
        <v>45697</v>
      </c>
      <c r="L3750" s="6" t="str">
        <f>IFERROR(__xludf.DUMMYFUNCTION("""COMPUTED_VALUE"""),"FIP Engineering")</f>
        <v>FIP Engineering</v>
      </c>
      <c r="M3750" s="6" t="str">
        <f>IFERROR(__xludf.DUMMYFUNCTION("""COMPUTED_VALUE"""),"Mochammad Fadhillah Hakim,")</f>
        <v>Mochammad Fadhillah Hakim,</v>
      </c>
      <c r="N3750" s="6" t="str">
        <f>IFERROR(__xludf.DUMMYFUNCTION("""COMPUTED_VALUE"""),"FIP Engineering")</f>
        <v>FIP Engineering</v>
      </c>
      <c r="O3750" s="6" t="str">
        <f>IFERROR(__xludf.DUMMYFUNCTION("""COMPUTED_VALUE"""),"FIP-DOM-000-11304-OS00001-INA-000000")</f>
        <v>FIP-DOM-000-11304-OS00001-INA-000000</v>
      </c>
      <c r="P3750" s="6" t="str">
        <f>IFERROR(__xludf.DUMMYFUNCTION("""COMPUTED_VALUE"""),"PO Closed")</f>
        <v>PO Closed</v>
      </c>
      <c r="Q3750" s="6" t="str">
        <f>IFERROR(__xludf.DUMMYFUNCTION("""COMPUTED_VALUE"""),"GL2502339")</f>
        <v>GL2502339</v>
      </c>
      <c r="R3750" s="57">
        <f>IFERROR(__xludf.DUMMYFUNCTION("""COMPUTED_VALUE"""),45695.0)</f>
        <v>45695</v>
      </c>
      <c r="S3750" s="57">
        <f>IFERROR(__xludf.DUMMYFUNCTION("""COMPUTED_VALUE"""),45698.0)</f>
        <v>45698</v>
      </c>
      <c r="T3750" s="57">
        <f>IFERROR(__xludf.DUMMYFUNCTION("""COMPUTED_VALUE"""),45724.0)</f>
        <v>45724</v>
      </c>
    </row>
    <row r="3751">
      <c r="A3751" s="6" t="str">
        <f>IFERROR(__xludf.DUMMYFUNCTION("""COMPUTED_VALUE"""),"121702396-11")</f>
        <v>121702396-11</v>
      </c>
      <c r="B3751" s="6" t="str">
        <f>IFERROR(__xludf.DUMMYFUNCTION("""COMPUTED_VALUE"""),"121702396 - APPROVED")</f>
        <v>121702396 - APPROVED</v>
      </c>
      <c r="C3751" s="6">
        <f>IFERROR(__xludf.DUMMYFUNCTION("""COMPUTED_VALUE"""),11.0)</f>
        <v>11</v>
      </c>
      <c r="D3751" s="6" t="str">
        <f>IFERROR(__xludf.DUMMYFUNCTION("""COMPUTED_VALUE"""),"P-10906-00")</f>
        <v>P-10906-00</v>
      </c>
      <c r="E3751" s="6" t="str">
        <f>IFERROR(__xludf.DUMMYFUNCTION("""COMPUTED_VALUE"""),"Fitting PVC - Tee PVC 1"" Rucika AW")</f>
        <v>Fitting PVC - Tee PVC 1" Rucika AW</v>
      </c>
      <c r="F3751" s="6">
        <f>IFERROR(__xludf.DUMMYFUNCTION("""COMPUTED_VALUE"""),4.0)</f>
        <v>4</v>
      </c>
      <c r="G3751" s="6" t="str">
        <f>IFERROR(__xludf.DUMMYFUNCTION("""COMPUTED_VALUE"""),"Pieces")</f>
        <v>Pieces</v>
      </c>
      <c r="H3751" s="6" t="str">
        <f>IFERROR(__xludf.DUMMYFUNCTION("""COMPUTED_VALUE"""),"IDR")</f>
        <v>IDR</v>
      </c>
      <c r="I3751" s="6">
        <f>IFERROR(__xludf.DUMMYFUNCTION("""COMPUTED_VALUE"""),6000.0)</f>
        <v>6000</v>
      </c>
      <c r="J3751" s="6">
        <f>IFERROR(__xludf.DUMMYFUNCTION("""COMPUTED_VALUE"""),24000.0)</f>
        <v>24000</v>
      </c>
      <c r="K3751" s="57">
        <f>IFERROR(__xludf.DUMMYFUNCTION("""COMPUTED_VALUE"""),45697.0)</f>
        <v>45697</v>
      </c>
      <c r="L3751" s="6" t="str">
        <f>IFERROR(__xludf.DUMMYFUNCTION("""COMPUTED_VALUE"""),"FIP Engineering")</f>
        <v>FIP Engineering</v>
      </c>
      <c r="M3751" s="6" t="str">
        <f>IFERROR(__xludf.DUMMYFUNCTION("""COMPUTED_VALUE"""),"Mochammad Fadhillah Hakim,")</f>
        <v>Mochammad Fadhillah Hakim,</v>
      </c>
      <c r="N3751" s="6" t="str">
        <f>IFERROR(__xludf.DUMMYFUNCTION("""COMPUTED_VALUE"""),"FIP Engineering")</f>
        <v>FIP Engineering</v>
      </c>
      <c r="O3751" s="6" t="str">
        <f>IFERROR(__xludf.DUMMYFUNCTION("""COMPUTED_VALUE"""),"FIP-DOM-000-11304-OS00001-INA-000000")</f>
        <v>FIP-DOM-000-11304-OS00001-INA-000000</v>
      </c>
      <c r="P3751" s="6" t="str">
        <f>IFERROR(__xludf.DUMMYFUNCTION("""COMPUTED_VALUE"""),"PO Closed")</f>
        <v>PO Closed</v>
      </c>
      <c r="Q3751" s="6" t="str">
        <f>IFERROR(__xludf.DUMMYFUNCTION("""COMPUTED_VALUE"""),"GL2502339")</f>
        <v>GL2502339</v>
      </c>
      <c r="R3751" s="57">
        <f>IFERROR(__xludf.DUMMYFUNCTION("""COMPUTED_VALUE"""),45695.0)</f>
        <v>45695</v>
      </c>
      <c r="S3751" s="57">
        <f>IFERROR(__xludf.DUMMYFUNCTION("""COMPUTED_VALUE"""),45698.0)</f>
        <v>45698</v>
      </c>
      <c r="T3751" s="57">
        <f>IFERROR(__xludf.DUMMYFUNCTION("""COMPUTED_VALUE"""),45724.0)</f>
        <v>45724</v>
      </c>
    </row>
    <row r="3752">
      <c r="A3752" s="6" t="str">
        <f>IFERROR(__xludf.DUMMYFUNCTION("""COMPUTED_VALUE"""),"121702400-1")</f>
        <v>121702400-1</v>
      </c>
      <c r="B3752" s="6" t="str">
        <f>IFERROR(__xludf.DUMMYFUNCTION("""COMPUTED_VALUE"""),"121702400 - APPROVED")</f>
        <v>121702400 - APPROVED</v>
      </c>
      <c r="C3752" s="6">
        <f>IFERROR(__xludf.DUMMYFUNCTION("""COMPUTED_VALUE"""),1.0)</f>
        <v>1</v>
      </c>
      <c r="D3752" s="6" t="str">
        <f>IFERROR(__xludf.DUMMYFUNCTION("""COMPUTED_VALUE"""),"O-20297-00")</f>
        <v>O-20297-00</v>
      </c>
      <c r="E3752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F3752" s="6">
        <f>IFERROR(__xludf.DUMMYFUNCTION("""COMPUTED_VALUE"""),20.0)</f>
        <v>20</v>
      </c>
      <c r="G3752" s="6" t="str">
        <f>IFERROR(__xludf.DUMMYFUNCTION("""COMPUTED_VALUE"""),"Pieces")</f>
        <v>Pieces</v>
      </c>
      <c r="H3752" s="6" t="str">
        <f>IFERROR(__xludf.DUMMYFUNCTION("""COMPUTED_VALUE"""),"IDR")</f>
        <v>IDR</v>
      </c>
      <c r="I3752" s="6">
        <f>IFERROR(__xludf.DUMMYFUNCTION("""COMPUTED_VALUE"""),27500.0)</f>
        <v>27500</v>
      </c>
      <c r="J3752" s="6">
        <f>IFERROR(__xludf.DUMMYFUNCTION("""COMPUTED_VALUE"""),550000.0)</f>
        <v>550000</v>
      </c>
      <c r="K3752" s="57">
        <f>IFERROR(__xludf.DUMMYFUNCTION("""COMPUTED_VALUE"""),45700.0)</f>
        <v>45700</v>
      </c>
      <c r="L3752" s="6" t="str">
        <f>IFERROR(__xludf.DUMMYFUNCTION("""COMPUTED_VALUE"""),"FIP Engineering")</f>
        <v>FIP Engineering</v>
      </c>
      <c r="M3752" s="6" t="str">
        <f>IFERROR(__xludf.DUMMYFUNCTION("""COMPUTED_VALUE"""),"Mochammad Fadhillah Hakim,")</f>
        <v>Mochammad Fadhillah Hakim,</v>
      </c>
      <c r="N3752" s="6" t="str">
        <f>IFERROR(__xludf.DUMMYFUNCTION("""COMPUTED_VALUE"""),"FIP Engineering")</f>
        <v>FIP Engineering</v>
      </c>
      <c r="O3752" s="6" t="str">
        <f>IFERROR(__xludf.DUMMYFUNCTION("""COMPUTED_VALUE"""),"FIP-DOM-000-11304-OS00001-INA-000000")</f>
        <v>FIP-DOM-000-11304-OS00001-INA-000000</v>
      </c>
      <c r="P3752" s="6" t="str">
        <f>IFERROR(__xludf.DUMMYFUNCTION("""COMPUTED_VALUE"""),"PO Closed")</f>
        <v>PO Closed</v>
      </c>
      <c r="Q3752" s="6" t="str">
        <f>IFERROR(__xludf.DUMMYFUNCTION("""COMPUTED_VALUE"""),"GL2503061")</f>
        <v>GL2503061</v>
      </c>
      <c r="R3752" s="57">
        <f>IFERROR(__xludf.DUMMYFUNCTION("""COMPUTED_VALUE"""),45698.0)</f>
        <v>45698</v>
      </c>
      <c r="S3752" s="57">
        <f>IFERROR(__xludf.DUMMYFUNCTION("""COMPUTED_VALUE"""),45698.0)</f>
        <v>45698</v>
      </c>
      <c r="T3752" s="57">
        <f>IFERROR(__xludf.DUMMYFUNCTION("""COMPUTED_VALUE"""),45782.0)</f>
        <v>45782</v>
      </c>
    </row>
    <row r="3753">
      <c r="A3753" s="6" t="str">
        <f>IFERROR(__xludf.DUMMYFUNCTION("""COMPUTED_VALUE"""),"121702404-1")</f>
        <v>121702404-1</v>
      </c>
      <c r="B3753" s="6" t="str">
        <f>IFERROR(__xludf.DUMMYFUNCTION("""COMPUTED_VALUE"""),"121702404 - APPROVED")</f>
        <v>121702404 - APPROVED</v>
      </c>
      <c r="C3753" s="6">
        <f>IFERROR(__xludf.DUMMYFUNCTION("""COMPUTED_VALUE"""),1.0)</f>
        <v>1</v>
      </c>
      <c r="D3753" s="6" t="str">
        <f>IFERROR(__xludf.DUMMYFUNCTION("""COMPUTED_VALUE"""),"P-52369-00")</f>
        <v>P-52369-00</v>
      </c>
      <c r="E3753" s="6" t="str">
        <f>IFERROR(__xludf.DUMMYFUNCTION("""COMPUTED_VALUE"""),"HVAC - Pressure Flow Control MF PFC Ver.3 24 VAC/VDC 0 - 100 Pa Micatrone; ; ;")</f>
        <v>HVAC - Pressure Flow Control MF PFC Ver.3 24 VAC/VDC 0 - 100 Pa Micatrone; ; ;</v>
      </c>
      <c r="F3753" s="6">
        <f>IFERROR(__xludf.DUMMYFUNCTION("""COMPUTED_VALUE"""),4.0)</f>
        <v>4</v>
      </c>
      <c r="G3753" s="6" t="str">
        <f>IFERROR(__xludf.DUMMYFUNCTION("""COMPUTED_VALUE"""),"Unit")</f>
        <v>Unit</v>
      </c>
      <c r="H3753" s="6" t="str">
        <f>IFERROR(__xludf.DUMMYFUNCTION("""COMPUTED_VALUE"""),"IDR")</f>
        <v>IDR</v>
      </c>
      <c r="I3753" s="6">
        <f>IFERROR(__xludf.DUMMYFUNCTION("""COMPUTED_VALUE"""),1.11195E7)</f>
        <v>11119500</v>
      </c>
      <c r="J3753" s="6">
        <f>IFERROR(__xludf.DUMMYFUNCTION("""COMPUTED_VALUE"""),4.4478E7)</f>
        <v>44478000</v>
      </c>
      <c r="K3753" s="57">
        <f>IFERROR(__xludf.DUMMYFUNCTION("""COMPUTED_VALUE"""),45700.0)</f>
        <v>45700</v>
      </c>
      <c r="L3753" s="6" t="str">
        <f>IFERROR(__xludf.DUMMYFUNCTION("""COMPUTED_VALUE"""),"FIP Engineering")</f>
        <v>FIP Engineering</v>
      </c>
      <c r="M3753" s="6" t="str">
        <f>IFERROR(__xludf.DUMMYFUNCTION("""COMPUTED_VALUE"""),"Mochammad Fadhillah Hakim,")</f>
        <v>Mochammad Fadhillah Hakim,</v>
      </c>
      <c r="N3753" s="6" t="str">
        <f>IFERROR(__xludf.DUMMYFUNCTION("""COMPUTED_VALUE"""),"FIP Engineering")</f>
        <v>FIP Engineering</v>
      </c>
      <c r="O3753" s="6" t="str">
        <f>IFERROR(__xludf.DUMMYFUNCTION("""COMPUTED_VALUE"""),"FIP-DOM-000-11304-OS00001-INA-000000")</f>
        <v>FIP-DOM-000-11304-OS00001-INA-000000</v>
      </c>
      <c r="P3753" s="6" t="str">
        <f>IFERROR(__xludf.DUMMYFUNCTION("""COMPUTED_VALUE"""),"PO Closed")</f>
        <v>PO Closed</v>
      </c>
      <c r="Q3753" s="6" t="str">
        <f>IFERROR(__xludf.DUMMYFUNCTION("""COMPUTED_VALUE"""),"GL2503009")</f>
        <v>GL2503009</v>
      </c>
      <c r="R3753" s="57">
        <f>IFERROR(__xludf.DUMMYFUNCTION("""COMPUTED_VALUE"""),45698.0)</f>
        <v>45698</v>
      </c>
      <c r="S3753" s="57">
        <f>IFERROR(__xludf.DUMMYFUNCTION("""COMPUTED_VALUE"""),45703.0)</f>
        <v>45703</v>
      </c>
      <c r="T3753" s="57">
        <f>IFERROR(__xludf.DUMMYFUNCTION("""COMPUTED_VALUE"""),45792.0)</f>
        <v>45792</v>
      </c>
    </row>
    <row r="3754">
      <c r="A3754" s="6" t="str">
        <f>IFERROR(__xludf.DUMMYFUNCTION("""COMPUTED_VALUE"""),"121702407-1")</f>
        <v>121702407-1</v>
      </c>
      <c r="B3754" s="6" t="str">
        <f>IFERROR(__xludf.DUMMYFUNCTION("""COMPUTED_VALUE"""),"121702407 - APPROVED")</f>
        <v>121702407 - APPROVED</v>
      </c>
      <c r="C3754" s="6">
        <f>IFERROR(__xludf.DUMMYFUNCTION("""COMPUTED_VALUE"""),1.0)</f>
        <v>1</v>
      </c>
      <c r="D3754" s="6" t="str">
        <f>IFERROR(__xludf.DUMMYFUNCTION("""COMPUTED_VALUE"""),"P-53023-00")</f>
        <v>P-53023-00</v>
      </c>
      <c r="E3754" s="6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F3754" s="6">
        <f>IFERROR(__xludf.DUMMYFUNCTION("""COMPUTED_VALUE"""),2.0)</f>
        <v>2</v>
      </c>
      <c r="G3754" s="6" t="str">
        <f>IFERROR(__xludf.DUMMYFUNCTION("""COMPUTED_VALUE"""),"Unit")</f>
        <v>Unit</v>
      </c>
      <c r="H3754" s="6" t="str">
        <f>IFERROR(__xludf.DUMMYFUNCTION("""COMPUTED_VALUE"""),"IDR")</f>
        <v>IDR</v>
      </c>
      <c r="I3754" s="6">
        <f>IFERROR(__xludf.DUMMYFUNCTION("""COMPUTED_VALUE"""),1.7E7)</f>
        <v>17000000</v>
      </c>
      <c r="J3754" s="6">
        <f>IFERROR(__xludf.DUMMYFUNCTION("""COMPUTED_VALUE"""),3.4E7)</f>
        <v>34000000</v>
      </c>
      <c r="K3754" s="57">
        <f>IFERROR(__xludf.DUMMYFUNCTION("""COMPUTED_VALUE"""),45700.0)</f>
        <v>45700</v>
      </c>
      <c r="L3754" s="6" t="str">
        <f>IFERROR(__xludf.DUMMYFUNCTION("""COMPUTED_VALUE"""),"FIP Engineering")</f>
        <v>FIP Engineering</v>
      </c>
      <c r="M3754" s="6" t="str">
        <f>IFERROR(__xludf.DUMMYFUNCTION("""COMPUTED_VALUE"""),"Mochammad Fadhillah Hakim,")</f>
        <v>Mochammad Fadhillah Hakim,</v>
      </c>
      <c r="N3754" s="6" t="str">
        <f>IFERROR(__xludf.DUMMYFUNCTION("""COMPUTED_VALUE"""),"FIP Engineering")</f>
        <v>FIP Engineering</v>
      </c>
      <c r="O3754" s="6" t="str">
        <f>IFERROR(__xludf.DUMMYFUNCTION("""COMPUTED_VALUE"""),"FIP-DOM-000-11304-OS00001-INA-000000")</f>
        <v>FIP-DOM-000-11304-OS00001-INA-000000</v>
      </c>
      <c r="P3754" s="6" t="str">
        <f>IFERROR(__xludf.DUMMYFUNCTION("""COMPUTED_VALUE"""),"PO Closed")</f>
        <v>PO Closed</v>
      </c>
      <c r="Q3754" s="6" t="str">
        <f>IFERROR(__xludf.DUMMYFUNCTION("""COMPUTED_VALUE"""),"GL2503012")</f>
        <v>GL2503012</v>
      </c>
      <c r="R3754" s="57">
        <f>IFERROR(__xludf.DUMMYFUNCTION("""COMPUTED_VALUE"""),45698.0)</f>
        <v>45698</v>
      </c>
      <c r="S3754" s="57">
        <f>IFERROR(__xludf.DUMMYFUNCTION("""COMPUTED_VALUE"""),45699.0)</f>
        <v>45699</v>
      </c>
      <c r="T3754" s="57">
        <f>IFERROR(__xludf.DUMMYFUNCTION("""COMPUTED_VALUE"""),45761.0)</f>
        <v>45761</v>
      </c>
    </row>
    <row r="3755">
      <c r="A3755" s="6" t="str">
        <f>IFERROR(__xludf.DUMMYFUNCTION("""COMPUTED_VALUE"""),"121702408-1")</f>
        <v>121702408-1</v>
      </c>
      <c r="B3755" s="6" t="str">
        <f>IFERROR(__xludf.DUMMYFUNCTION("""COMPUTED_VALUE"""),"121702408 - APPROVED")</f>
        <v>121702408 - APPROVED</v>
      </c>
      <c r="C3755" s="6">
        <f>IFERROR(__xludf.DUMMYFUNCTION("""COMPUTED_VALUE"""),1.0)</f>
        <v>1</v>
      </c>
      <c r="D3755" s="6" t="str">
        <f>IFERROR(__xludf.DUMMYFUNCTION("""COMPUTED_VALUE"""),"P-12750-00")</f>
        <v>P-12750-00</v>
      </c>
      <c r="E3755" s="6" t="str">
        <f>IFERROR(__xludf.DUMMYFUNCTION("""COMPUTED_VALUE"""),"RUCIKA - Pipa PVC aw dia 1/2 inch Warna Abu-Abu")</f>
        <v>RUCIKA - Pipa PVC aw dia 1/2 inch Warna Abu-Abu</v>
      </c>
      <c r="F3755" s="6">
        <f>IFERROR(__xludf.DUMMYFUNCTION("""COMPUTED_VALUE"""),4.0)</f>
        <v>4</v>
      </c>
      <c r="G3755" s="6" t="str">
        <f>IFERROR(__xludf.DUMMYFUNCTION("""COMPUTED_VALUE"""),"Pieces")</f>
        <v>Pieces</v>
      </c>
      <c r="H3755" s="6" t="str">
        <f>IFERROR(__xludf.DUMMYFUNCTION("""COMPUTED_VALUE"""),"IDR")</f>
        <v>IDR</v>
      </c>
      <c r="I3755" s="6">
        <f>IFERROR(__xludf.DUMMYFUNCTION("""COMPUTED_VALUE"""),28000.0)</f>
        <v>28000</v>
      </c>
      <c r="J3755" s="6">
        <f>IFERROR(__xludf.DUMMYFUNCTION("""COMPUTED_VALUE"""),112000.0)</f>
        <v>112000</v>
      </c>
      <c r="K3755" s="57">
        <f>IFERROR(__xludf.DUMMYFUNCTION("""COMPUTED_VALUE"""),45700.0)</f>
        <v>45700</v>
      </c>
      <c r="L3755" s="6" t="str">
        <f>IFERROR(__xludf.DUMMYFUNCTION("""COMPUTED_VALUE"""),"FIP Engineering")</f>
        <v>FIP Engineering</v>
      </c>
      <c r="M3755" s="6" t="str">
        <f>IFERROR(__xludf.DUMMYFUNCTION("""COMPUTED_VALUE"""),"Mochammad Fadhillah Hakim,")</f>
        <v>Mochammad Fadhillah Hakim,</v>
      </c>
      <c r="N3755" s="6" t="str">
        <f>IFERROR(__xludf.DUMMYFUNCTION("""COMPUTED_VALUE"""),"FIP Engineering")</f>
        <v>FIP Engineering</v>
      </c>
      <c r="O3755" s="6" t="str">
        <f>IFERROR(__xludf.DUMMYFUNCTION("""COMPUTED_VALUE"""),"FIP-DOM-000-11304-OS00001-INA-000000")</f>
        <v>FIP-DOM-000-11304-OS00001-INA-000000</v>
      </c>
      <c r="P3755" s="6" t="str">
        <f>IFERROR(__xludf.DUMMYFUNCTION("""COMPUTED_VALUE"""),"PO Closed")</f>
        <v>PO Closed</v>
      </c>
      <c r="Q3755" s="6" t="str">
        <f>IFERROR(__xludf.DUMMYFUNCTION("""COMPUTED_VALUE"""),"GL2502339")</f>
        <v>GL2502339</v>
      </c>
      <c r="R3755" s="57">
        <f>IFERROR(__xludf.DUMMYFUNCTION("""COMPUTED_VALUE"""),45698.0)</f>
        <v>45698</v>
      </c>
      <c r="S3755" s="57">
        <f>IFERROR(__xludf.DUMMYFUNCTION("""COMPUTED_VALUE"""),45699.0)</f>
        <v>45699</v>
      </c>
      <c r="T3755" s="57">
        <f>IFERROR(__xludf.DUMMYFUNCTION("""COMPUTED_VALUE"""),45700.0)</f>
        <v>45700</v>
      </c>
    </row>
    <row r="3756">
      <c r="A3756" s="6" t="str">
        <f>IFERROR(__xludf.DUMMYFUNCTION("""COMPUTED_VALUE"""),"121702408-2")</f>
        <v>121702408-2</v>
      </c>
      <c r="B3756" s="6" t="str">
        <f>IFERROR(__xludf.DUMMYFUNCTION("""COMPUTED_VALUE"""),"121702408 - APPROVED")</f>
        <v>121702408 - APPROVED</v>
      </c>
      <c r="C3756" s="6">
        <f>IFERROR(__xludf.DUMMYFUNCTION("""COMPUTED_VALUE"""),2.0)</f>
        <v>2</v>
      </c>
      <c r="D3756" s="6" t="str">
        <f>IFERROR(__xludf.DUMMYFUNCTION("""COMPUTED_VALUE"""),"P-10859-00")</f>
        <v>P-10859-00</v>
      </c>
      <c r="E3756" s="6" t="str">
        <f>IFERROR(__xludf.DUMMYFUNCTION("""COMPUTED_VALUE"""),"Fitting PVC - Elbow PVC 1/2"" Rucika AW")</f>
        <v>Fitting PVC - Elbow PVC 1/2" Rucika AW</v>
      </c>
      <c r="F3756" s="6">
        <f>IFERROR(__xludf.DUMMYFUNCTION("""COMPUTED_VALUE"""),6.0)</f>
        <v>6</v>
      </c>
      <c r="G3756" s="6" t="str">
        <f>IFERROR(__xludf.DUMMYFUNCTION("""COMPUTED_VALUE"""),"Pieces")</f>
        <v>Pieces</v>
      </c>
      <c r="H3756" s="6" t="str">
        <f>IFERROR(__xludf.DUMMYFUNCTION("""COMPUTED_VALUE"""),"IDR")</f>
        <v>IDR</v>
      </c>
      <c r="I3756" s="6">
        <f>IFERROR(__xludf.DUMMYFUNCTION("""COMPUTED_VALUE"""),3500.0)</f>
        <v>3500</v>
      </c>
      <c r="J3756" s="6">
        <f>IFERROR(__xludf.DUMMYFUNCTION("""COMPUTED_VALUE"""),21000.0)</f>
        <v>21000</v>
      </c>
      <c r="K3756" s="57">
        <f>IFERROR(__xludf.DUMMYFUNCTION("""COMPUTED_VALUE"""),45700.0)</f>
        <v>45700</v>
      </c>
      <c r="L3756" s="6" t="str">
        <f>IFERROR(__xludf.DUMMYFUNCTION("""COMPUTED_VALUE"""),"FIP Engineering")</f>
        <v>FIP Engineering</v>
      </c>
      <c r="M3756" s="6" t="str">
        <f>IFERROR(__xludf.DUMMYFUNCTION("""COMPUTED_VALUE"""),"Mochammad Fadhillah Hakim,")</f>
        <v>Mochammad Fadhillah Hakim,</v>
      </c>
      <c r="N3756" s="6" t="str">
        <f>IFERROR(__xludf.DUMMYFUNCTION("""COMPUTED_VALUE"""),"FIP Engineering")</f>
        <v>FIP Engineering</v>
      </c>
      <c r="O3756" s="6" t="str">
        <f>IFERROR(__xludf.DUMMYFUNCTION("""COMPUTED_VALUE"""),"FIP-DOM-000-11304-OS00001-INA-000000")</f>
        <v>FIP-DOM-000-11304-OS00001-INA-000000</v>
      </c>
      <c r="P3756" s="6" t="str">
        <f>IFERROR(__xludf.DUMMYFUNCTION("""COMPUTED_VALUE"""),"PO Closed")</f>
        <v>PO Closed</v>
      </c>
      <c r="Q3756" s="6" t="str">
        <f>IFERROR(__xludf.DUMMYFUNCTION("""COMPUTED_VALUE"""),"GL2502339")</f>
        <v>GL2502339</v>
      </c>
      <c r="R3756" s="57">
        <f>IFERROR(__xludf.DUMMYFUNCTION("""COMPUTED_VALUE"""),45698.0)</f>
        <v>45698</v>
      </c>
      <c r="S3756" s="57">
        <f>IFERROR(__xludf.DUMMYFUNCTION("""COMPUTED_VALUE"""),45699.0)</f>
        <v>45699</v>
      </c>
      <c r="T3756" s="57">
        <f>IFERROR(__xludf.DUMMYFUNCTION("""COMPUTED_VALUE"""),45724.0)</f>
        <v>45724</v>
      </c>
    </row>
    <row r="3757">
      <c r="A3757" s="6" t="str">
        <f>IFERROR(__xludf.DUMMYFUNCTION("""COMPUTED_VALUE"""),"121702408-3")</f>
        <v>121702408-3</v>
      </c>
      <c r="B3757" s="6" t="str">
        <f>IFERROR(__xludf.DUMMYFUNCTION("""COMPUTED_VALUE"""),"121702408 - APPROVED")</f>
        <v>121702408 - APPROVED</v>
      </c>
      <c r="C3757" s="6">
        <f>IFERROR(__xludf.DUMMYFUNCTION("""COMPUTED_VALUE"""),3.0)</f>
        <v>3</v>
      </c>
      <c r="D3757" s="6" t="str">
        <f>IFERROR(__xludf.DUMMYFUNCTION("""COMPUTED_VALUE"""),"P-12749-00")</f>
        <v>P-12749-00</v>
      </c>
      <c r="E3757" s="6" t="str">
        <f>IFERROR(__xludf.DUMMYFUNCTION("""COMPUTED_VALUE"""),"RUCIKA - Pipa PVC AW dia 1 inch Warna Abu-Abu")</f>
        <v>RUCIKA - Pipa PVC AW dia 1 inch Warna Abu-Abu</v>
      </c>
      <c r="F3757" s="6">
        <f>IFERROR(__xludf.DUMMYFUNCTION("""COMPUTED_VALUE"""),5.0)</f>
        <v>5</v>
      </c>
      <c r="G3757" s="6" t="str">
        <f>IFERROR(__xludf.DUMMYFUNCTION("""COMPUTED_VALUE"""),"Pieces")</f>
        <v>Pieces</v>
      </c>
      <c r="H3757" s="6" t="str">
        <f>IFERROR(__xludf.DUMMYFUNCTION("""COMPUTED_VALUE"""),"IDR")</f>
        <v>IDR</v>
      </c>
      <c r="I3757" s="6">
        <f>IFERROR(__xludf.DUMMYFUNCTION("""COMPUTED_VALUE"""),75500.0)</f>
        <v>75500</v>
      </c>
      <c r="J3757" s="6">
        <f>IFERROR(__xludf.DUMMYFUNCTION("""COMPUTED_VALUE"""),377500.0)</f>
        <v>377500</v>
      </c>
      <c r="K3757" s="57">
        <f>IFERROR(__xludf.DUMMYFUNCTION("""COMPUTED_VALUE"""),45700.0)</f>
        <v>45700</v>
      </c>
      <c r="L3757" s="6" t="str">
        <f>IFERROR(__xludf.DUMMYFUNCTION("""COMPUTED_VALUE"""),"FIP Engineering")</f>
        <v>FIP Engineering</v>
      </c>
      <c r="M3757" s="6" t="str">
        <f>IFERROR(__xludf.DUMMYFUNCTION("""COMPUTED_VALUE"""),"Mochammad Fadhillah Hakim,")</f>
        <v>Mochammad Fadhillah Hakim,</v>
      </c>
      <c r="N3757" s="6" t="str">
        <f>IFERROR(__xludf.DUMMYFUNCTION("""COMPUTED_VALUE"""),"FIP Engineering")</f>
        <v>FIP Engineering</v>
      </c>
      <c r="O3757" s="6" t="str">
        <f>IFERROR(__xludf.DUMMYFUNCTION("""COMPUTED_VALUE"""),"FIP-DOM-000-11304-OS00001-INA-000000")</f>
        <v>FIP-DOM-000-11304-OS00001-INA-000000</v>
      </c>
      <c r="P3757" s="6" t="str">
        <f>IFERROR(__xludf.DUMMYFUNCTION("""COMPUTED_VALUE"""),"PO Closed")</f>
        <v>PO Closed</v>
      </c>
      <c r="Q3757" s="6" t="str">
        <f>IFERROR(__xludf.DUMMYFUNCTION("""COMPUTED_VALUE"""),"GL2502339")</f>
        <v>GL2502339</v>
      </c>
      <c r="R3757" s="57">
        <f>IFERROR(__xludf.DUMMYFUNCTION("""COMPUTED_VALUE"""),45698.0)</f>
        <v>45698</v>
      </c>
      <c r="S3757" s="57">
        <f>IFERROR(__xludf.DUMMYFUNCTION("""COMPUTED_VALUE"""),45699.0)</f>
        <v>45699</v>
      </c>
      <c r="T3757" s="57">
        <f>IFERROR(__xludf.DUMMYFUNCTION("""COMPUTED_VALUE"""),45724.0)</f>
        <v>45724</v>
      </c>
    </row>
    <row r="3758">
      <c r="A3758" s="6" t="str">
        <f>IFERROR(__xludf.DUMMYFUNCTION("""COMPUTED_VALUE"""),"121702408-4")</f>
        <v>121702408-4</v>
      </c>
      <c r="B3758" s="6" t="str">
        <f>IFERROR(__xludf.DUMMYFUNCTION("""COMPUTED_VALUE"""),"121702408 - APPROVED")</f>
        <v>121702408 - APPROVED</v>
      </c>
      <c r="C3758" s="6">
        <f>IFERROR(__xludf.DUMMYFUNCTION("""COMPUTED_VALUE"""),4.0)</f>
        <v>4</v>
      </c>
      <c r="D3758" s="6" t="str">
        <f>IFERROR(__xludf.DUMMYFUNCTION("""COMPUTED_VALUE"""),"P-12750-00")</f>
        <v>P-12750-00</v>
      </c>
      <c r="E3758" s="6" t="str">
        <f>IFERROR(__xludf.DUMMYFUNCTION("""COMPUTED_VALUE"""),"RUCIKA - Pipa PVC aw dia 1/2 inch Warna Abu-Abu")</f>
        <v>RUCIKA - Pipa PVC aw dia 1/2 inch Warna Abu-Abu</v>
      </c>
      <c r="F3758" s="6">
        <f>IFERROR(__xludf.DUMMYFUNCTION("""COMPUTED_VALUE"""),5.0)</f>
        <v>5</v>
      </c>
      <c r="G3758" s="6" t="str">
        <f>IFERROR(__xludf.DUMMYFUNCTION("""COMPUTED_VALUE"""),"Pieces")</f>
        <v>Pieces</v>
      </c>
      <c r="H3758" s="6" t="str">
        <f>IFERROR(__xludf.DUMMYFUNCTION("""COMPUTED_VALUE"""),"IDR")</f>
        <v>IDR</v>
      </c>
      <c r="I3758" s="6">
        <f>IFERROR(__xludf.DUMMYFUNCTION("""COMPUTED_VALUE"""),28000.0)</f>
        <v>28000</v>
      </c>
      <c r="J3758" s="6">
        <f>IFERROR(__xludf.DUMMYFUNCTION("""COMPUTED_VALUE"""),140000.0)</f>
        <v>140000</v>
      </c>
      <c r="K3758" s="57">
        <f>IFERROR(__xludf.DUMMYFUNCTION("""COMPUTED_VALUE"""),45700.0)</f>
        <v>45700</v>
      </c>
      <c r="L3758" s="6" t="str">
        <f>IFERROR(__xludf.DUMMYFUNCTION("""COMPUTED_VALUE"""),"FIP Engineering")</f>
        <v>FIP Engineering</v>
      </c>
      <c r="M3758" s="6" t="str">
        <f>IFERROR(__xludf.DUMMYFUNCTION("""COMPUTED_VALUE"""),"Mochammad Fadhillah Hakim,")</f>
        <v>Mochammad Fadhillah Hakim,</v>
      </c>
      <c r="N3758" s="6" t="str">
        <f>IFERROR(__xludf.DUMMYFUNCTION("""COMPUTED_VALUE"""),"FIP Engineering")</f>
        <v>FIP Engineering</v>
      </c>
      <c r="O3758" s="6" t="str">
        <f>IFERROR(__xludf.DUMMYFUNCTION("""COMPUTED_VALUE"""),"FIP-DOM-000-11304-OS00001-INA-000000")</f>
        <v>FIP-DOM-000-11304-OS00001-INA-000000</v>
      </c>
      <c r="P3758" s="6" t="str">
        <f>IFERROR(__xludf.DUMMYFUNCTION("""COMPUTED_VALUE"""),"PO Closed")</f>
        <v>PO Closed</v>
      </c>
      <c r="Q3758" s="6" t="str">
        <f>IFERROR(__xludf.DUMMYFUNCTION("""COMPUTED_VALUE"""),"GL2502339")</f>
        <v>GL2502339</v>
      </c>
      <c r="R3758" s="57">
        <f>IFERROR(__xludf.DUMMYFUNCTION("""COMPUTED_VALUE"""),45698.0)</f>
        <v>45698</v>
      </c>
      <c r="S3758" s="57">
        <f>IFERROR(__xludf.DUMMYFUNCTION("""COMPUTED_VALUE"""),45699.0)</f>
        <v>45699</v>
      </c>
      <c r="T3758" s="57">
        <f>IFERROR(__xludf.DUMMYFUNCTION("""COMPUTED_VALUE"""),45700.0)</f>
        <v>45700</v>
      </c>
    </row>
    <row r="3759">
      <c r="A3759" s="6" t="str">
        <f>IFERROR(__xludf.DUMMYFUNCTION("""COMPUTED_VALUE"""),"121702408-5")</f>
        <v>121702408-5</v>
      </c>
      <c r="B3759" s="6" t="str">
        <f>IFERROR(__xludf.DUMMYFUNCTION("""COMPUTED_VALUE"""),"121702408 - APPROVED")</f>
        <v>121702408 - APPROVED</v>
      </c>
      <c r="C3759" s="6">
        <f>IFERROR(__xludf.DUMMYFUNCTION("""COMPUTED_VALUE"""),5.0)</f>
        <v>5</v>
      </c>
      <c r="D3759" s="6" t="str">
        <f>IFERROR(__xludf.DUMMYFUNCTION("""COMPUTED_VALUE"""),"P-12747-00")</f>
        <v>P-12747-00</v>
      </c>
      <c r="E3759" s="6" t="str">
        <f>IFERROR(__xludf.DUMMYFUNCTION("""COMPUTED_VALUE"""),"RUCIKA - Pipa PVC AW dia 3/4inch")</f>
        <v>RUCIKA - Pipa PVC AW dia 3/4inch</v>
      </c>
      <c r="F3759" s="6">
        <f>IFERROR(__xludf.DUMMYFUNCTION("""COMPUTED_VALUE"""),5.0)</f>
        <v>5</v>
      </c>
      <c r="G3759" s="6" t="str">
        <f>IFERROR(__xludf.DUMMYFUNCTION("""COMPUTED_VALUE"""),"Pieces")</f>
        <v>Pieces</v>
      </c>
      <c r="H3759" s="6" t="str">
        <f>IFERROR(__xludf.DUMMYFUNCTION("""COMPUTED_VALUE"""),"IDR")</f>
        <v>IDR</v>
      </c>
      <c r="I3759" s="6">
        <f>IFERROR(__xludf.DUMMYFUNCTION("""COMPUTED_VALUE"""),84500.0)</f>
        <v>84500</v>
      </c>
      <c r="J3759" s="6">
        <f>IFERROR(__xludf.DUMMYFUNCTION("""COMPUTED_VALUE"""),422500.0)</f>
        <v>422500</v>
      </c>
      <c r="K3759" s="57">
        <f>IFERROR(__xludf.DUMMYFUNCTION("""COMPUTED_VALUE"""),45700.0)</f>
        <v>45700</v>
      </c>
      <c r="L3759" s="6" t="str">
        <f>IFERROR(__xludf.DUMMYFUNCTION("""COMPUTED_VALUE"""),"FIP Engineering")</f>
        <v>FIP Engineering</v>
      </c>
      <c r="M3759" s="6" t="str">
        <f>IFERROR(__xludf.DUMMYFUNCTION("""COMPUTED_VALUE"""),"Mochammad Fadhillah Hakim,")</f>
        <v>Mochammad Fadhillah Hakim,</v>
      </c>
      <c r="N3759" s="6" t="str">
        <f>IFERROR(__xludf.DUMMYFUNCTION("""COMPUTED_VALUE"""),"FIP Engineering")</f>
        <v>FIP Engineering</v>
      </c>
      <c r="O3759" s="6" t="str">
        <f>IFERROR(__xludf.DUMMYFUNCTION("""COMPUTED_VALUE"""),"FIP-DOM-000-11304-OS00001-INA-000000")</f>
        <v>FIP-DOM-000-11304-OS00001-INA-000000</v>
      </c>
      <c r="P3759" s="6" t="str">
        <f>IFERROR(__xludf.DUMMYFUNCTION("""COMPUTED_VALUE"""),"PO Closed")</f>
        <v>PO Closed</v>
      </c>
      <c r="Q3759" s="6" t="str">
        <f>IFERROR(__xludf.DUMMYFUNCTION("""COMPUTED_VALUE"""),"GL2502339")</f>
        <v>GL2502339</v>
      </c>
      <c r="R3759" s="57">
        <f>IFERROR(__xludf.DUMMYFUNCTION("""COMPUTED_VALUE"""),45698.0)</f>
        <v>45698</v>
      </c>
      <c r="S3759" s="57">
        <f>IFERROR(__xludf.DUMMYFUNCTION("""COMPUTED_VALUE"""),45699.0)</f>
        <v>45699</v>
      </c>
      <c r="T3759" s="57">
        <f>IFERROR(__xludf.DUMMYFUNCTION("""COMPUTED_VALUE"""),45724.0)</f>
        <v>45724</v>
      </c>
    </row>
    <row r="3760">
      <c r="A3760" s="6" t="str">
        <f>IFERROR(__xludf.DUMMYFUNCTION("""COMPUTED_VALUE"""),"121702410-1")</f>
        <v>121702410-1</v>
      </c>
      <c r="B3760" s="6" t="str">
        <f>IFERROR(__xludf.DUMMYFUNCTION("""COMPUTED_VALUE"""),"121702410 - APPROVED")</f>
        <v>121702410 - APPROVED</v>
      </c>
      <c r="C3760" s="6">
        <f>IFERROR(__xludf.DUMMYFUNCTION("""COMPUTED_VALUE"""),1.0)</f>
        <v>1</v>
      </c>
      <c r="D3760" s="6" t="str">
        <f>IFERROR(__xludf.DUMMYFUNCTION("""COMPUTED_VALUE"""),"O-16334-00")</f>
        <v>O-16334-00</v>
      </c>
      <c r="E3760" s="6" t="str">
        <f>IFERROR(__xludf.DUMMYFUNCTION("""COMPUTED_VALUE"""),"Regulator Nitrogen ( N2 )  YAMATO P/N : -  pc")</f>
        <v>Regulator Nitrogen ( N2 )  YAMATO P/N : -  pc</v>
      </c>
      <c r="F3760" s="6">
        <f>IFERROR(__xludf.DUMMYFUNCTION("""COMPUTED_VALUE"""),1.0)</f>
        <v>1</v>
      </c>
      <c r="G3760" s="6" t="str">
        <f>IFERROR(__xludf.DUMMYFUNCTION("""COMPUTED_VALUE"""),"Pieces")</f>
        <v>Pieces</v>
      </c>
      <c r="H3760" s="6" t="str">
        <f>IFERROR(__xludf.DUMMYFUNCTION("""COMPUTED_VALUE"""),"IDR")</f>
        <v>IDR</v>
      </c>
      <c r="I3760" s="6">
        <f>IFERROR(__xludf.DUMMYFUNCTION("""COMPUTED_VALUE"""),1350000.0)</f>
        <v>1350000</v>
      </c>
      <c r="J3760" s="6">
        <f>IFERROR(__xludf.DUMMYFUNCTION("""COMPUTED_VALUE"""),1350000.0)</f>
        <v>1350000</v>
      </c>
      <c r="K3760" s="57">
        <f>IFERROR(__xludf.DUMMYFUNCTION("""COMPUTED_VALUE"""),45701.0)</f>
        <v>45701</v>
      </c>
      <c r="L3760" s="6" t="str">
        <f>IFERROR(__xludf.DUMMYFUNCTION("""COMPUTED_VALUE"""),"FIP Engineering")</f>
        <v>FIP Engineering</v>
      </c>
      <c r="M3760" s="6" t="str">
        <f>IFERROR(__xludf.DUMMYFUNCTION("""COMPUTED_VALUE"""),"Mochammad Fadhillah Hakim,")</f>
        <v>Mochammad Fadhillah Hakim,</v>
      </c>
      <c r="N3760" s="6" t="str">
        <f>IFERROR(__xludf.DUMMYFUNCTION("""COMPUTED_VALUE"""),"FIP Engineering")</f>
        <v>FIP Engineering</v>
      </c>
      <c r="O3760" s="6" t="str">
        <f>IFERROR(__xludf.DUMMYFUNCTION("""COMPUTED_VALUE"""),"FIP-DOM-000-11304-OS00001-INA-000000")</f>
        <v>FIP-DOM-000-11304-OS00001-INA-000000</v>
      </c>
      <c r="P3760" s="6" t="str">
        <f>IFERROR(__xludf.DUMMYFUNCTION("""COMPUTED_VALUE"""),"PO Closed")</f>
        <v>PO Closed</v>
      </c>
      <c r="Q3760" s="6" t="str">
        <f>IFERROR(__xludf.DUMMYFUNCTION("""COMPUTED_VALUE"""),"GL2503051")</f>
        <v>GL2503051</v>
      </c>
      <c r="R3760" s="57">
        <f>IFERROR(__xludf.DUMMYFUNCTION("""COMPUTED_VALUE"""),45699.0)</f>
        <v>45699</v>
      </c>
      <c r="S3760" s="57">
        <f>IFERROR(__xludf.DUMMYFUNCTION("""COMPUTED_VALUE"""),45700.0)</f>
        <v>45700</v>
      </c>
      <c r="T3760" s="57">
        <f>IFERROR(__xludf.DUMMYFUNCTION("""COMPUTED_VALUE"""),45760.0)</f>
        <v>45760</v>
      </c>
    </row>
    <row r="3761">
      <c r="A3761" s="6" t="str">
        <f>IFERROR(__xludf.DUMMYFUNCTION("""COMPUTED_VALUE"""),"121702411-1")</f>
        <v>121702411-1</v>
      </c>
      <c r="B3761" s="6" t="str">
        <f>IFERROR(__xludf.DUMMYFUNCTION("""COMPUTED_VALUE"""),"121702411 - APPROVED")</f>
        <v>121702411 - APPROVED</v>
      </c>
      <c r="C3761" s="6">
        <f>IFERROR(__xludf.DUMMYFUNCTION("""COMPUTED_VALUE"""),1.0)</f>
        <v>1</v>
      </c>
      <c r="D3761" s="6" t="str">
        <f>IFERROR(__xludf.DUMMYFUNCTION("""COMPUTED_VALUE"""),"P-12883-00")</f>
        <v>P-12883-00</v>
      </c>
      <c r="E3761" s="6" t="str">
        <f>IFERROR(__xludf.DUMMYFUNCTION("""COMPUTED_VALUE"""),"Tee PVC AW dia 1/2inch X 1/2inch")</f>
        <v>Tee PVC AW dia 1/2inch X 1/2inch</v>
      </c>
      <c r="F3761" s="6">
        <f>IFERROR(__xludf.DUMMYFUNCTION("""COMPUTED_VALUE"""),2.0)</f>
        <v>2</v>
      </c>
      <c r="G3761" s="6" t="str">
        <f>IFERROR(__xludf.DUMMYFUNCTION("""COMPUTED_VALUE"""),"Pieces")</f>
        <v>Pieces</v>
      </c>
      <c r="H3761" s="6" t="str">
        <f>IFERROR(__xludf.DUMMYFUNCTION("""COMPUTED_VALUE"""),"IDR")</f>
        <v>IDR</v>
      </c>
      <c r="I3761" s="6">
        <f>IFERROR(__xludf.DUMMYFUNCTION("""COMPUTED_VALUE"""),3150.0)</f>
        <v>3150</v>
      </c>
      <c r="J3761" s="6">
        <f>IFERROR(__xludf.DUMMYFUNCTION("""COMPUTED_VALUE"""),6300.0)</f>
        <v>6300</v>
      </c>
      <c r="K3761" s="57">
        <f>IFERROR(__xludf.DUMMYFUNCTION("""COMPUTED_VALUE"""),45701.0)</f>
        <v>45701</v>
      </c>
      <c r="L3761" s="6" t="str">
        <f>IFERROR(__xludf.DUMMYFUNCTION("""COMPUTED_VALUE"""),"FIP Engineering")</f>
        <v>FIP Engineering</v>
      </c>
      <c r="M3761" s="6" t="str">
        <f>IFERROR(__xludf.DUMMYFUNCTION("""COMPUTED_VALUE"""),"Mochammad Fadhillah Hakim,")</f>
        <v>Mochammad Fadhillah Hakim,</v>
      </c>
      <c r="N3761" s="6" t="str">
        <f>IFERROR(__xludf.DUMMYFUNCTION("""COMPUTED_VALUE"""),"FIP Engineering")</f>
        <v>FIP Engineering</v>
      </c>
      <c r="O3761" s="6" t="str">
        <f>IFERROR(__xludf.DUMMYFUNCTION("""COMPUTED_VALUE"""),"FIP-DOM-000-11304-OS00001-INA-000000")</f>
        <v>FIP-DOM-000-11304-OS00001-INA-000000</v>
      </c>
      <c r="P3761" s="6" t="str">
        <f>IFERROR(__xludf.DUMMYFUNCTION("""COMPUTED_VALUE"""),"PO Closed")</f>
        <v>PO Closed</v>
      </c>
      <c r="Q3761" s="6" t="str">
        <f>IFERROR(__xludf.DUMMYFUNCTION("""COMPUTED_VALUE"""),"GL2502339")</f>
        <v>GL2502339</v>
      </c>
      <c r="R3761" s="57">
        <f>IFERROR(__xludf.DUMMYFUNCTION("""COMPUTED_VALUE"""),45699.0)</f>
        <v>45699</v>
      </c>
      <c r="S3761" s="57">
        <f>IFERROR(__xludf.DUMMYFUNCTION("""COMPUTED_VALUE"""),45700.0)</f>
        <v>45700</v>
      </c>
      <c r="T3761" s="57">
        <f>IFERROR(__xludf.DUMMYFUNCTION("""COMPUTED_VALUE"""),45724.0)</f>
        <v>45724</v>
      </c>
    </row>
    <row r="3762">
      <c r="A3762" s="6" t="str">
        <f>IFERROR(__xludf.DUMMYFUNCTION("""COMPUTED_VALUE"""),"121702411-2")</f>
        <v>121702411-2</v>
      </c>
      <c r="B3762" s="6" t="str">
        <f>IFERROR(__xludf.DUMMYFUNCTION("""COMPUTED_VALUE"""),"121702411 - APPROVED")</f>
        <v>121702411 - APPROVED</v>
      </c>
      <c r="C3762" s="6">
        <f>IFERROR(__xludf.DUMMYFUNCTION("""COMPUTED_VALUE"""),2.0)</f>
        <v>2</v>
      </c>
      <c r="D3762" s="6" t="str">
        <f>IFERROR(__xludf.DUMMYFUNCTION("""COMPUTED_VALUE"""),"P-13735-00")</f>
        <v>P-13735-00</v>
      </c>
      <c r="E3762" s="6" t="str">
        <f>IFERROR(__xludf.DUMMYFUNCTION("""COMPUTED_VALUE"""),"Cable Duct Round Putih 35 x 10 mm; ; ;")</f>
        <v>Cable Duct Round Putih 35 x 10 mm; ; ;</v>
      </c>
      <c r="F3762" s="6">
        <f>IFERROR(__xludf.DUMMYFUNCTION("""COMPUTED_VALUE"""),2.0)</f>
        <v>2</v>
      </c>
      <c r="G3762" s="6" t="str">
        <f>IFERROR(__xludf.DUMMYFUNCTION("""COMPUTED_VALUE"""),"Pieces")</f>
        <v>Pieces</v>
      </c>
      <c r="H3762" s="6" t="str">
        <f>IFERROR(__xludf.DUMMYFUNCTION("""COMPUTED_VALUE"""),"IDR")</f>
        <v>IDR</v>
      </c>
      <c r="I3762" s="6">
        <f>IFERROR(__xludf.DUMMYFUNCTION("""COMPUTED_VALUE"""),85000.0)</f>
        <v>85000</v>
      </c>
      <c r="J3762" s="6">
        <f>IFERROR(__xludf.DUMMYFUNCTION("""COMPUTED_VALUE"""),170000.0)</f>
        <v>170000</v>
      </c>
      <c r="K3762" s="57">
        <f>IFERROR(__xludf.DUMMYFUNCTION("""COMPUTED_VALUE"""),45701.0)</f>
        <v>45701</v>
      </c>
      <c r="L3762" s="6" t="str">
        <f>IFERROR(__xludf.DUMMYFUNCTION("""COMPUTED_VALUE"""),"FIP Engineering")</f>
        <v>FIP Engineering</v>
      </c>
      <c r="M3762" s="6" t="str">
        <f>IFERROR(__xludf.DUMMYFUNCTION("""COMPUTED_VALUE"""),"Mochammad Fadhillah Hakim,")</f>
        <v>Mochammad Fadhillah Hakim,</v>
      </c>
      <c r="N3762" s="6" t="str">
        <f>IFERROR(__xludf.DUMMYFUNCTION("""COMPUTED_VALUE"""),"FIP Engineering")</f>
        <v>FIP Engineering</v>
      </c>
      <c r="O3762" s="6" t="str">
        <f>IFERROR(__xludf.DUMMYFUNCTION("""COMPUTED_VALUE"""),"FIP-DOM-000-11304-OS00001-INA-000000")</f>
        <v>FIP-DOM-000-11304-OS00001-INA-000000</v>
      </c>
      <c r="P3762" s="6" t="str">
        <f>IFERROR(__xludf.DUMMYFUNCTION("""COMPUTED_VALUE"""),"PO Closed")</f>
        <v>PO Closed</v>
      </c>
      <c r="Q3762" s="6" t="str">
        <f>IFERROR(__xludf.DUMMYFUNCTION("""COMPUTED_VALUE"""),"GL2503342")</f>
        <v>GL2503342</v>
      </c>
      <c r="R3762" s="57">
        <f>IFERROR(__xludf.DUMMYFUNCTION("""COMPUTED_VALUE"""),45699.0)</f>
        <v>45699</v>
      </c>
      <c r="S3762" s="57">
        <f>IFERROR(__xludf.DUMMYFUNCTION("""COMPUTED_VALUE"""),45700.0)</f>
        <v>45700</v>
      </c>
      <c r="T3762" s="57">
        <f>IFERROR(__xludf.DUMMYFUNCTION("""COMPUTED_VALUE"""),45735.0)</f>
        <v>45735</v>
      </c>
    </row>
    <row r="3763">
      <c r="A3763" s="6" t="str">
        <f>IFERROR(__xludf.DUMMYFUNCTION("""COMPUTED_VALUE"""),"121702411-3")</f>
        <v>121702411-3</v>
      </c>
      <c r="B3763" s="6" t="str">
        <f>IFERROR(__xludf.DUMMYFUNCTION("""COMPUTED_VALUE"""),"121702411 - APPROVED")</f>
        <v>121702411 - APPROVED</v>
      </c>
      <c r="C3763" s="6">
        <f>IFERROR(__xludf.DUMMYFUNCTION("""COMPUTED_VALUE"""),3.0)</f>
        <v>3</v>
      </c>
      <c r="D3763" s="6" t="str">
        <f>IFERROR(__xludf.DUMMYFUNCTION("""COMPUTED_VALUE"""),"P-51891-00")</f>
        <v>P-51891-00</v>
      </c>
      <c r="E3763" s="6" t="str">
        <f>IFERROR(__xludf.DUMMYFUNCTION("""COMPUTED_VALUE"""),"Exhaust Fan Panel 240VAC; ; ;")</f>
        <v>Exhaust Fan Panel 240VAC; ; ;</v>
      </c>
      <c r="F3763" s="6">
        <f>IFERROR(__xludf.DUMMYFUNCTION("""COMPUTED_VALUE"""),2.0)</f>
        <v>2</v>
      </c>
      <c r="G3763" s="6" t="str">
        <f>IFERROR(__xludf.DUMMYFUNCTION("""COMPUTED_VALUE"""),"Pieces")</f>
        <v>Pieces</v>
      </c>
      <c r="H3763" s="6" t="str">
        <f>IFERROR(__xludf.DUMMYFUNCTION("""COMPUTED_VALUE"""),"IDR")</f>
        <v>IDR</v>
      </c>
      <c r="I3763" s="6">
        <f>IFERROR(__xludf.DUMMYFUNCTION("""COMPUTED_VALUE"""),150000.0)</f>
        <v>150000</v>
      </c>
      <c r="J3763" s="6">
        <f>IFERROR(__xludf.DUMMYFUNCTION("""COMPUTED_VALUE"""),300000.0)</f>
        <v>300000</v>
      </c>
      <c r="K3763" s="57">
        <f>IFERROR(__xludf.DUMMYFUNCTION("""COMPUTED_VALUE"""),45701.0)</f>
        <v>45701</v>
      </c>
      <c r="L3763" s="6" t="str">
        <f>IFERROR(__xludf.DUMMYFUNCTION("""COMPUTED_VALUE"""),"FIP Engineering")</f>
        <v>FIP Engineering</v>
      </c>
      <c r="M3763" s="6" t="str">
        <f>IFERROR(__xludf.DUMMYFUNCTION("""COMPUTED_VALUE"""),"Mochammad Fadhillah Hakim,")</f>
        <v>Mochammad Fadhillah Hakim,</v>
      </c>
      <c r="N3763" s="6" t="str">
        <f>IFERROR(__xludf.DUMMYFUNCTION("""COMPUTED_VALUE"""),"FIP Engineering")</f>
        <v>FIP Engineering</v>
      </c>
      <c r="O3763" s="6" t="str">
        <f>IFERROR(__xludf.DUMMYFUNCTION("""COMPUTED_VALUE"""),"FIP-DOM-000-11304-OS00001-INA-000000")</f>
        <v>FIP-DOM-000-11304-OS00001-INA-000000</v>
      </c>
      <c r="P3763" s="6" t="str">
        <f>IFERROR(__xludf.DUMMYFUNCTION("""COMPUTED_VALUE"""),"PO Closed")</f>
        <v>PO Closed</v>
      </c>
      <c r="Q3763" s="6" t="str">
        <f>IFERROR(__xludf.DUMMYFUNCTION("""COMPUTED_VALUE"""),"GL2503342")</f>
        <v>GL2503342</v>
      </c>
      <c r="R3763" s="57">
        <f>IFERROR(__xludf.DUMMYFUNCTION("""COMPUTED_VALUE"""),45699.0)</f>
        <v>45699</v>
      </c>
      <c r="S3763" s="57">
        <f>IFERROR(__xludf.DUMMYFUNCTION("""COMPUTED_VALUE"""),45700.0)</f>
        <v>45700</v>
      </c>
      <c r="T3763" s="57">
        <f>IFERROR(__xludf.DUMMYFUNCTION("""COMPUTED_VALUE"""),45735.0)</f>
        <v>45735</v>
      </c>
    </row>
    <row r="3764">
      <c r="A3764" s="6" t="str">
        <f>IFERROR(__xludf.DUMMYFUNCTION("""COMPUTED_VALUE"""),"121702412-1")</f>
        <v>121702412-1</v>
      </c>
      <c r="B3764" s="6" t="str">
        <f>IFERROR(__xludf.DUMMYFUNCTION("""COMPUTED_VALUE"""),"121702412 - APPROVED")</f>
        <v>121702412 - APPROVED</v>
      </c>
      <c r="C3764" s="6">
        <f>IFERROR(__xludf.DUMMYFUNCTION("""COMPUTED_VALUE"""),1.0)</f>
        <v>1</v>
      </c>
      <c r="D3764" s="6" t="str">
        <f>IFERROR(__xludf.DUMMYFUNCTION("""COMPUTED_VALUE"""),"Q-60026-00")</f>
        <v>Q-60026-00</v>
      </c>
      <c r="E3764" s="6" t="str">
        <f>IFERROR(__xludf.DUMMYFUNCTION("""COMPUTED_VALUE"""),"Kuas Cat Uk. 2 inch;Eterna;Tipe 611;pack size per pcs")</f>
        <v>Kuas Cat Uk. 2 inch;Eterna;Tipe 611;pack size per pcs</v>
      </c>
      <c r="F3764" s="6">
        <f>IFERROR(__xludf.DUMMYFUNCTION("""COMPUTED_VALUE"""),10.0)</f>
        <v>10</v>
      </c>
      <c r="G3764" s="6" t="str">
        <f>IFERROR(__xludf.DUMMYFUNCTION("""COMPUTED_VALUE"""),"Pieces")</f>
        <v>Pieces</v>
      </c>
      <c r="H3764" s="6" t="str">
        <f>IFERROR(__xludf.DUMMYFUNCTION("""COMPUTED_VALUE"""),"IDR")</f>
        <v>IDR</v>
      </c>
      <c r="I3764" s="6">
        <f>IFERROR(__xludf.DUMMYFUNCTION("""COMPUTED_VALUE"""),5000.0)</f>
        <v>5000</v>
      </c>
      <c r="J3764" s="6">
        <f>IFERROR(__xludf.DUMMYFUNCTION("""COMPUTED_VALUE"""),50000.0)</f>
        <v>50000</v>
      </c>
      <c r="K3764" s="57">
        <f>IFERROR(__xludf.DUMMYFUNCTION("""COMPUTED_VALUE"""),45701.0)</f>
        <v>45701</v>
      </c>
      <c r="L3764" s="6" t="str">
        <f>IFERROR(__xludf.DUMMYFUNCTION("""COMPUTED_VALUE"""),"FIP General")</f>
        <v>FIP General</v>
      </c>
      <c r="M3764" s="6" t="str">
        <f>IFERROR(__xludf.DUMMYFUNCTION("""COMPUTED_VALUE"""),"Mochammad Fadhillah Hakim,")</f>
        <v>Mochammad Fadhillah Hakim,</v>
      </c>
      <c r="N3764" s="6" t="str">
        <f>IFERROR(__xludf.DUMMYFUNCTION("""COMPUTED_VALUE"""),"FIP Engineering")</f>
        <v>FIP Engineering</v>
      </c>
      <c r="O3764" s="6" t="str">
        <f>IFERROR(__xludf.DUMMYFUNCTION("""COMPUTED_VALUE"""),"FIP-DOM-ENG-51404-OS00001-INA-000000")</f>
        <v>FIP-DOM-ENG-51404-OS00001-INA-000000</v>
      </c>
      <c r="P3764" s="6" t="str">
        <f>IFERROR(__xludf.DUMMYFUNCTION("""COMPUTED_VALUE"""),"PO Closed")</f>
        <v>PO Closed</v>
      </c>
      <c r="Q3764" s="6" t="str">
        <f>IFERROR(__xludf.DUMMYFUNCTION("""COMPUTED_VALUE"""),"GL2502052")</f>
        <v>GL2502052</v>
      </c>
      <c r="R3764" s="57">
        <f>IFERROR(__xludf.DUMMYFUNCTION("""COMPUTED_VALUE"""),45699.0)</f>
        <v>45699</v>
      </c>
      <c r="S3764" s="57">
        <f>IFERROR(__xludf.DUMMYFUNCTION("""COMPUTED_VALUE"""),45700.0)</f>
        <v>45700</v>
      </c>
      <c r="T3764" s="57">
        <f>IFERROR(__xludf.DUMMYFUNCTION("""COMPUTED_VALUE"""),45721.0)</f>
        <v>45721</v>
      </c>
    </row>
    <row r="3765">
      <c r="A3765" s="6" t="str">
        <f>IFERROR(__xludf.DUMMYFUNCTION("""COMPUTED_VALUE"""),"121702413-1")</f>
        <v>121702413-1</v>
      </c>
      <c r="B3765" s="6" t="str">
        <f>IFERROR(__xludf.DUMMYFUNCTION("""COMPUTED_VALUE"""),"121702413 - APPROVED")</f>
        <v>121702413 - APPROVED</v>
      </c>
      <c r="C3765" s="6">
        <f>IFERROR(__xludf.DUMMYFUNCTION("""COMPUTED_VALUE"""),1.0)</f>
        <v>1</v>
      </c>
      <c r="D3765" s="6" t="str">
        <f>IFERROR(__xludf.DUMMYFUNCTION("""COMPUTED_VALUE"""),"P-53051-00")</f>
        <v>P-53051-00</v>
      </c>
      <c r="E3765" s="6" t="str">
        <f>IFERROR(__xludf.DUMMYFUNCTION("""COMPUTED_VALUE"""),"General - Baterai NiCad Emergency TL 6V; Hokistar; BT-006; 1 Pc")</f>
        <v>General - Baterai NiCad Emergency TL 6V; Hokistar; BT-006; 1 Pc</v>
      </c>
      <c r="F3765" s="6">
        <f>IFERROR(__xludf.DUMMYFUNCTION("""COMPUTED_VALUE"""),15.0)</f>
        <v>15</v>
      </c>
      <c r="G3765" s="6" t="str">
        <f>IFERROR(__xludf.DUMMYFUNCTION("""COMPUTED_VALUE"""),"Pieces")</f>
        <v>Pieces</v>
      </c>
      <c r="H3765" s="6" t="str">
        <f>IFERROR(__xludf.DUMMYFUNCTION("""COMPUTED_VALUE"""),"IDR")</f>
        <v>IDR</v>
      </c>
      <c r="I3765" s="6">
        <f>IFERROR(__xludf.DUMMYFUNCTION("""COMPUTED_VALUE"""),150000.0)</f>
        <v>150000</v>
      </c>
      <c r="J3765" s="6">
        <f>IFERROR(__xludf.DUMMYFUNCTION("""COMPUTED_VALUE"""),2250000.0)</f>
        <v>2250000</v>
      </c>
      <c r="K3765" s="57">
        <f>IFERROR(__xludf.DUMMYFUNCTION("""COMPUTED_VALUE"""),45701.0)</f>
        <v>45701</v>
      </c>
      <c r="L3765" s="6" t="str">
        <f>IFERROR(__xludf.DUMMYFUNCTION("""COMPUTED_VALUE"""),"FIP Engineering")</f>
        <v>FIP Engineering</v>
      </c>
      <c r="M3765" s="6" t="str">
        <f>IFERROR(__xludf.DUMMYFUNCTION("""COMPUTED_VALUE"""),"Mochammad Fadhillah Hakim,")</f>
        <v>Mochammad Fadhillah Hakim,</v>
      </c>
      <c r="N3765" s="6" t="str">
        <f>IFERROR(__xludf.DUMMYFUNCTION("""COMPUTED_VALUE"""),"FIP Engineering")</f>
        <v>FIP Engineering</v>
      </c>
      <c r="O3765" s="6" t="str">
        <f>IFERROR(__xludf.DUMMYFUNCTION("""COMPUTED_VALUE"""),"FIP-DOM-000-11304-OS00001-INA-000000")</f>
        <v>FIP-DOM-000-11304-OS00001-INA-000000</v>
      </c>
      <c r="P3765" s="6" t="str">
        <f>IFERROR(__xludf.DUMMYFUNCTION("""COMPUTED_VALUE"""),"PO Closed")</f>
        <v>PO Closed</v>
      </c>
      <c r="Q3765" s="6" t="str">
        <f>IFERROR(__xludf.DUMMYFUNCTION("""COMPUTED_VALUE"""),"GL2503034")</f>
        <v>GL2503034</v>
      </c>
      <c r="R3765" s="57">
        <f>IFERROR(__xludf.DUMMYFUNCTION("""COMPUTED_VALUE"""),45699.0)</f>
        <v>45699</v>
      </c>
      <c r="S3765" s="57">
        <f>IFERROR(__xludf.DUMMYFUNCTION("""COMPUTED_VALUE"""),45700.0)</f>
        <v>45700</v>
      </c>
      <c r="T3765" s="57">
        <f>IFERROR(__xludf.DUMMYFUNCTION("""COMPUTED_VALUE"""),45740.0)</f>
        <v>45740</v>
      </c>
    </row>
    <row r="3766">
      <c r="A3766" s="6" t="str">
        <f>IFERROR(__xludf.DUMMYFUNCTION("""COMPUTED_VALUE"""),"121702414-1")</f>
        <v>121702414-1</v>
      </c>
      <c r="B3766" s="6" t="str">
        <f>IFERROR(__xludf.DUMMYFUNCTION("""COMPUTED_VALUE"""),"121702414 - APPROVED")</f>
        <v>121702414 - APPROVED</v>
      </c>
      <c r="C3766" s="6">
        <f>IFERROR(__xludf.DUMMYFUNCTION("""COMPUTED_VALUE"""),1.0)</f>
        <v>1</v>
      </c>
      <c r="D3766" s="6" t="str">
        <f>IFERROR(__xludf.DUMMYFUNCTION("""COMPUTED_VALUE"""),"P-10874-00")</f>
        <v>P-10874-00</v>
      </c>
      <c r="E3766" s="6" t="str">
        <f>IFERROR(__xludf.DUMMYFUNCTION("""COMPUTED_VALUE"""),"Fitting PVC - Reducer PVC 1"" - 1/2""")</f>
        <v>Fitting PVC - Reducer PVC 1" - 1/2"</v>
      </c>
      <c r="F3766" s="6">
        <f>IFERROR(__xludf.DUMMYFUNCTION("""COMPUTED_VALUE"""),4.0)</f>
        <v>4</v>
      </c>
      <c r="G3766" s="6" t="str">
        <f>IFERROR(__xludf.DUMMYFUNCTION("""COMPUTED_VALUE"""),"Pieces")</f>
        <v>Pieces</v>
      </c>
      <c r="H3766" s="6" t="str">
        <f>IFERROR(__xludf.DUMMYFUNCTION("""COMPUTED_VALUE"""),"IDR")</f>
        <v>IDR</v>
      </c>
      <c r="I3766" s="6">
        <f>IFERROR(__xludf.DUMMYFUNCTION("""COMPUTED_VALUE"""),6500.0)</f>
        <v>6500</v>
      </c>
      <c r="J3766" s="6">
        <f>IFERROR(__xludf.DUMMYFUNCTION("""COMPUTED_VALUE"""),26000.0)</f>
        <v>26000</v>
      </c>
      <c r="K3766" s="57">
        <f>IFERROR(__xludf.DUMMYFUNCTION("""COMPUTED_VALUE"""),45701.0)</f>
        <v>45701</v>
      </c>
      <c r="L3766" s="6" t="str">
        <f>IFERROR(__xludf.DUMMYFUNCTION("""COMPUTED_VALUE"""),"FIP Engineering")</f>
        <v>FIP Engineering</v>
      </c>
      <c r="M3766" s="6" t="str">
        <f>IFERROR(__xludf.DUMMYFUNCTION("""COMPUTED_VALUE"""),"Mochammad Fadhillah Hakim,")</f>
        <v>Mochammad Fadhillah Hakim,</v>
      </c>
      <c r="N3766" s="6" t="str">
        <f>IFERROR(__xludf.DUMMYFUNCTION("""COMPUTED_VALUE"""),"FIP Engineering")</f>
        <v>FIP Engineering</v>
      </c>
      <c r="O3766" s="6" t="str">
        <f>IFERROR(__xludf.DUMMYFUNCTION("""COMPUTED_VALUE"""),"FIP-DOM-000-11304-OS00001-INA-000000")</f>
        <v>FIP-DOM-000-11304-OS00001-INA-000000</v>
      </c>
      <c r="P3766" s="6" t="str">
        <f>IFERROR(__xludf.DUMMYFUNCTION("""COMPUTED_VALUE"""),"PO Closed")</f>
        <v>PO Closed</v>
      </c>
      <c r="Q3766" s="6" t="str">
        <f>IFERROR(__xludf.DUMMYFUNCTION("""COMPUTED_VALUE"""),"GL2502339")</f>
        <v>GL2502339</v>
      </c>
      <c r="R3766" s="57">
        <f>IFERROR(__xludf.DUMMYFUNCTION("""COMPUTED_VALUE"""),45699.0)</f>
        <v>45699</v>
      </c>
      <c r="S3766" s="57">
        <f>IFERROR(__xludf.DUMMYFUNCTION("""COMPUTED_VALUE"""),45700.0)</f>
        <v>45700</v>
      </c>
      <c r="T3766" s="57">
        <f>IFERROR(__xludf.DUMMYFUNCTION("""COMPUTED_VALUE"""),45724.0)</f>
        <v>45724</v>
      </c>
    </row>
    <row r="3767">
      <c r="A3767" s="6" t="str">
        <f>IFERROR(__xludf.DUMMYFUNCTION("""COMPUTED_VALUE"""),"121702414-2")</f>
        <v>121702414-2</v>
      </c>
      <c r="B3767" s="6" t="str">
        <f>IFERROR(__xludf.DUMMYFUNCTION("""COMPUTED_VALUE"""),"121702414 - APPROVED")</f>
        <v>121702414 - APPROVED</v>
      </c>
      <c r="C3767" s="6">
        <f>IFERROR(__xludf.DUMMYFUNCTION("""COMPUTED_VALUE"""),2.0)</f>
        <v>2</v>
      </c>
      <c r="D3767" s="6" t="str">
        <f>IFERROR(__xludf.DUMMYFUNCTION("""COMPUTED_VALUE"""),"P-10904-00")</f>
        <v>P-10904-00</v>
      </c>
      <c r="E3767" s="6" t="str">
        <f>IFERROR(__xludf.DUMMYFUNCTION("""COMPUTED_VALUE"""),"Fitting PVC - Tee PVC 1 1/4""")</f>
        <v>Fitting PVC - Tee PVC 1 1/4"</v>
      </c>
      <c r="F3767" s="6">
        <f>IFERROR(__xludf.DUMMYFUNCTION("""COMPUTED_VALUE"""),1.0)</f>
        <v>1</v>
      </c>
      <c r="G3767" s="6" t="str">
        <f>IFERROR(__xludf.DUMMYFUNCTION("""COMPUTED_VALUE"""),"Pieces")</f>
        <v>Pieces</v>
      </c>
      <c r="H3767" s="6" t="str">
        <f>IFERROR(__xludf.DUMMYFUNCTION("""COMPUTED_VALUE"""),"IDR")</f>
        <v>IDR</v>
      </c>
      <c r="I3767" s="6">
        <f>IFERROR(__xludf.DUMMYFUNCTION("""COMPUTED_VALUE"""),10000.0)</f>
        <v>10000</v>
      </c>
      <c r="J3767" s="6">
        <f>IFERROR(__xludf.DUMMYFUNCTION("""COMPUTED_VALUE"""),10000.0)</f>
        <v>10000</v>
      </c>
      <c r="K3767" s="57">
        <f>IFERROR(__xludf.DUMMYFUNCTION("""COMPUTED_VALUE"""),45701.0)</f>
        <v>45701</v>
      </c>
      <c r="L3767" s="6" t="str">
        <f>IFERROR(__xludf.DUMMYFUNCTION("""COMPUTED_VALUE"""),"FIP Engineering")</f>
        <v>FIP Engineering</v>
      </c>
      <c r="M3767" s="6" t="str">
        <f>IFERROR(__xludf.DUMMYFUNCTION("""COMPUTED_VALUE"""),"Mochammad Fadhillah Hakim,")</f>
        <v>Mochammad Fadhillah Hakim,</v>
      </c>
      <c r="N3767" s="6" t="str">
        <f>IFERROR(__xludf.DUMMYFUNCTION("""COMPUTED_VALUE"""),"FIP Engineering")</f>
        <v>FIP Engineering</v>
      </c>
      <c r="O3767" s="6" t="str">
        <f>IFERROR(__xludf.DUMMYFUNCTION("""COMPUTED_VALUE"""),"FIP-DOM-000-11304-OS00001-INA-000000")</f>
        <v>FIP-DOM-000-11304-OS00001-INA-000000</v>
      </c>
      <c r="P3767" s="6" t="str">
        <f>IFERROR(__xludf.DUMMYFUNCTION("""COMPUTED_VALUE"""),"PO Closed")</f>
        <v>PO Closed</v>
      </c>
      <c r="Q3767" s="6" t="str">
        <f>IFERROR(__xludf.DUMMYFUNCTION("""COMPUTED_VALUE"""),"GL2502339")</f>
        <v>GL2502339</v>
      </c>
      <c r="R3767" s="57">
        <f>IFERROR(__xludf.DUMMYFUNCTION("""COMPUTED_VALUE"""),45699.0)</f>
        <v>45699</v>
      </c>
      <c r="S3767" s="57">
        <f>IFERROR(__xludf.DUMMYFUNCTION("""COMPUTED_VALUE"""),45700.0)</f>
        <v>45700</v>
      </c>
      <c r="T3767" s="57">
        <f>IFERROR(__xludf.DUMMYFUNCTION("""COMPUTED_VALUE"""),45724.0)</f>
        <v>45724</v>
      </c>
    </row>
    <row r="3768">
      <c r="A3768" s="6" t="str">
        <f>IFERROR(__xludf.DUMMYFUNCTION("""COMPUTED_VALUE"""),"121702414-3")</f>
        <v>121702414-3</v>
      </c>
      <c r="B3768" s="6" t="str">
        <f>IFERROR(__xludf.DUMMYFUNCTION("""COMPUTED_VALUE"""),"121702414 - APPROVED")</f>
        <v>121702414 - APPROVED</v>
      </c>
      <c r="C3768" s="6">
        <f>IFERROR(__xludf.DUMMYFUNCTION("""COMPUTED_VALUE"""),3.0)</f>
        <v>3</v>
      </c>
      <c r="D3768" s="6" t="str">
        <f>IFERROR(__xludf.DUMMYFUNCTION("""COMPUTED_VALUE"""),"P-12943-00")</f>
        <v>P-12943-00</v>
      </c>
      <c r="E3768" s="6" t="str">
        <f>IFERROR(__xludf.DUMMYFUNCTION("""COMPUTED_VALUE"""),"Water Mur PVC dia 1/2inch")</f>
        <v>Water Mur PVC dia 1/2inch</v>
      </c>
      <c r="F3768" s="6">
        <f>IFERROR(__xludf.DUMMYFUNCTION("""COMPUTED_VALUE"""),3.0)</f>
        <v>3</v>
      </c>
      <c r="G3768" s="6" t="str">
        <f>IFERROR(__xludf.DUMMYFUNCTION("""COMPUTED_VALUE"""),"Pieces")</f>
        <v>Pieces</v>
      </c>
      <c r="H3768" s="6" t="str">
        <f>IFERROR(__xludf.DUMMYFUNCTION("""COMPUTED_VALUE"""),"IDR")</f>
        <v>IDR</v>
      </c>
      <c r="I3768" s="6">
        <f>IFERROR(__xludf.DUMMYFUNCTION("""COMPUTED_VALUE"""),32500.0)</f>
        <v>32500</v>
      </c>
      <c r="J3768" s="6">
        <f>IFERROR(__xludf.DUMMYFUNCTION("""COMPUTED_VALUE"""),97500.0)</f>
        <v>97500</v>
      </c>
      <c r="K3768" s="57">
        <f>IFERROR(__xludf.DUMMYFUNCTION("""COMPUTED_VALUE"""),45701.0)</f>
        <v>45701</v>
      </c>
      <c r="L3768" s="6" t="str">
        <f>IFERROR(__xludf.DUMMYFUNCTION("""COMPUTED_VALUE"""),"FIP Engineering")</f>
        <v>FIP Engineering</v>
      </c>
      <c r="M3768" s="6" t="str">
        <f>IFERROR(__xludf.DUMMYFUNCTION("""COMPUTED_VALUE"""),"Mochammad Fadhillah Hakim,")</f>
        <v>Mochammad Fadhillah Hakim,</v>
      </c>
      <c r="N3768" s="6" t="str">
        <f>IFERROR(__xludf.DUMMYFUNCTION("""COMPUTED_VALUE"""),"FIP Engineering")</f>
        <v>FIP Engineering</v>
      </c>
      <c r="O3768" s="6" t="str">
        <f>IFERROR(__xludf.DUMMYFUNCTION("""COMPUTED_VALUE"""),"FIP-DOM-000-11304-OS00001-INA-000000")</f>
        <v>FIP-DOM-000-11304-OS00001-INA-000000</v>
      </c>
      <c r="P3768" s="6" t="str">
        <f>IFERROR(__xludf.DUMMYFUNCTION("""COMPUTED_VALUE"""),"PO Closed")</f>
        <v>PO Closed</v>
      </c>
      <c r="Q3768" s="6" t="str">
        <f>IFERROR(__xludf.DUMMYFUNCTION("""COMPUTED_VALUE"""),"GL2502339")</f>
        <v>GL2502339</v>
      </c>
      <c r="R3768" s="57">
        <f>IFERROR(__xludf.DUMMYFUNCTION("""COMPUTED_VALUE"""),45699.0)</f>
        <v>45699</v>
      </c>
      <c r="S3768" s="57">
        <f>IFERROR(__xludf.DUMMYFUNCTION("""COMPUTED_VALUE"""),45700.0)</f>
        <v>45700</v>
      </c>
      <c r="T3768" s="57">
        <f>IFERROR(__xludf.DUMMYFUNCTION("""COMPUTED_VALUE"""),45724.0)</f>
        <v>45724</v>
      </c>
    </row>
    <row r="3769">
      <c r="A3769" s="6" t="str">
        <f>IFERROR(__xludf.DUMMYFUNCTION("""COMPUTED_VALUE"""),"121702414-4")</f>
        <v>121702414-4</v>
      </c>
      <c r="B3769" s="6" t="str">
        <f>IFERROR(__xludf.DUMMYFUNCTION("""COMPUTED_VALUE"""),"121702414 - APPROVED")</f>
        <v>121702414 - APPROVED</v>
      </c>
      <c r="C3769" s="6">
        <f>IFERROR(__xludf.DUMMYFUNCTION("""COMPUTED_VALUE"""),4.0)</f>
        <v>4</v>
      </c>
      <c r="D3769" s="6" t="str">
        <f>IFERROR(__xludf.DUMMYFUNCTION("""COMPUTED_VALUE"""),"P-13598-00")</f>
        <v>P-13598-00</v>
      </c>
      <c r="E3769" s="6" t="str">
        <f>IFERROR(__xludf.DUMMYFUNCTION("""COMPUTED_VALUE"""),"Regulator Hydrogen 96A-10M Morris; ; ;")</f>
        <v>Regulator Hydrogen 96A-10M Morris; ; ;</v>
      </c>
      <c r="F3769" s="6">
        <f>IFERROR(__xludf.DUMMYFUNCTION("""COMPUTED_VALUE"""),1.0)</f>
        <v>1</v>
      </c>
      <c r="G3769" s="6" t="str">
        <f>IFERROR(__xludf.DUMMYFUNCTION("""COMPUTED_VALUE"""),"Pieces")</f>
        <v>Pieces</v>
      </c>
      <c r="H3769" s="6" t="str">
        <f>IFERROR(__xludf.DUMMYFUNCTION("""COMPUTED_VALUE"""),"IDR")</f>
        <v>IDR</v>
      </c>
      <c r="I3769" s="6">
        <f>IFERROR(__xludf.DUMMYFUNCTION("""COMPUTED_VALUE"""),1603000.0)</f>
        <v>1603000</v>
      </c>
      <c r="J3769" s="6">
        <f>IFERROR(__xludf.DUMMYFUNCTION("""COMPUTED_VALUE"""),1603000.0)</f>
        <v>1603000</v>
      </c>
      <c r="K3769" s="57">
        <f>IFERROR(__xludf.DUMMYFUNCTION("""COMPUTED_VALUE"""),45701.0)</f>
        <v>45701</v>
      </c>
      <c r="L3769" s="6" t="str">
        <f>IFERROR(__xludf.DUMMYFUNCTION("""COMPUTED_VALUE"""),"FIP Engineering")</f>
        <v>FIP Engineering</v>
      </c>
      <c r="M3769" s="6" t="str">
        <f>IFERROR(__xludf.DUMMYFUNCTION("""COMPUTED_VALUE"""),"Mochammad Fadhillah Hakim,")</f>
        <v>Mochammad Fadhillah Hakim,</v>
      </c>
      <c r="N3769" s="6" t="str">
        <f>IFERROR(__xludf.DUMMYFUNCTION("""COMPUTED_VALUE"""),"FIP Engineering")</f>
        <v>FIP Engineering</v>
      </c>
      <c r="O3769" s="6" t="str">
        <f>IFERROR(__xludf.DUMMYFUNCTION("""COMPUTED_VALUE"""),"FIP-DOM-000-11304-OS00001-INA-000000")</f>
        <v>FIP-DOM-000-11304-OS00001-INA-000000</v>
      </c>
      <c r="P3769" s="6" t="str">
        <f>IFERROR(__xludf.DUMMYFUNCTION("""COMPUTED_VALUE"""),"PO Closed")</f>
        <v>PO Closed</v>
      </c>
      <c r="Q3769" s="6" t="str">
        <f>IFERROR(__xludf.DUMMYFUNCTION("""COMPUTED_VALUE"""),"GL2503344")</f>
        <v>GL2503344</v>
      </c>
      <c r="R3769" s="57">
        <f>IFERROR(__xludf.DUMMYFUNCTION("""COMPUTED_VALUE"""),45699.0)</f>
        <v>45699</v>
      </c>
      <c r="S3769" s="57">
        <f>IFERROR(__xludf.DUMMYFUNCTION("""COMPUTED_VALUE"""),45700.0)</f>
        <v>45700</v>
      </c>
      <c r="T3769" s="57">
        <f>IFERROR(__xludf.DUMMYFUNCTION("""COMPUTED_VALUE"""),45735.0)</f>
        <v>45735</v>
      </c>
    </row>
    <row r="3770">
      <c r="A3770" s="6" t="str">
        <f>IFERROR(__xludf.DUMMYFUNCTION("""COMPUTED_VALUE"""),"121702414-5")</f>
        <v>121702414-5</v>
      </c>
      <c r="B3770" s="6" t="str">
        <f>IFERROR(__xludf.DUMMYFUNCTION("""COMPUTED_VALUE"""),"121702414 - APPROVED")</f>
        <v>121702414 - APPROVED</v>
      </c>
      <c r="C3770" s="6">
        <f>IFERROR(__xludf.DUMMYFUNCTION("""COMPUTED_VALUE"""),5.0)</f>
        <v>5</v>
      </c>
      <c r="D3770" s="6" t="str">
        <f>IFERROR(__xludf.DUMMYFUNCTION("""COMPUTED_VALUE"""),"P-14959-00")</f>
        <v>P-14959-00</v>
      </c>
      <c r="E3770" s="6" t="str">
        <f>IFERROR(__xludf.DUMMYFUNCTION("""COMPUTED_VALUE"""),"PVC - Dop 1/2 inch; ; ;")</f>
        <v>PVC - Dop 1/2 inch; ; ;</v>
      </c>
      <c r="F3770" s="6">
        <f>IFERROR(__xludf.DUMMYFUNCTION("""COMPUTED_VALUE"""),2.0)</f>
        <v>2</v>
      </c>
      <c r="G3770" s="6" t="str">
        <f>IFERROR(__xludf.DUMMYFUNCTION("""COMPUTED_VALUE"""),"Pieces")</f>
        <v>Pieces</v>
      </c>
      <c r="H3770" s="6" t="str">
        <f>IFERROR(__xludf.DUMMYFUNCTION("""COMPUTED_VALUE"""),"IDR")</f>
        <v>IDR</v>
      </c>
      <c r="I3770" s="6">
        <f>IFERROR(__xludf.DUMMYFUNCTION("""COMPUTED_VALUE"""),4000.0)</f>
        <v>4000</v>
      </c>
      <c r="J3770" s="6">
        <f>IFERROR(__xludf.DUMMYFUNCTION("""COMPUTED_VALUE"""),8000.0)</f>
        <v>8000</v>
      </c>
      <c r="K3770" s="57">
        <f>IFERROR(__xludf.DUMMYFUNCTION("""COMPUTED_VALUE"""),45701.0)</f>
        <v>45701</v>
      </c>
      <c r="L3770" s="6" t="str">
        <f>IFERROR(__xludf.DUMMYFUNCTION("""COMPUTED_VALUE"""),"FIP General")</f>
        <v>FIP General</v>
      </c>
      <c r="M3770" s="6" t="str">
        <f>IFERROR(__xludf.DUMMYFUNCTION("""COMPUTED_VALUE"""),"Mochammad Fadhillah Hakim,")</f>
        <v>Mochammad Fadhillah Hakim,</v>
      </c>
      <c r="N3770" s="6" t="str">
        <f>IFERROR(__xludf.DUMMYFUNCTION("""COMPUTED_VALUE"""),"FIP Engineering")</f>
        <v>FIP Engineering</v>
      </c>
      <c r="O3770" s="6" t="str">
        <f>IFERROR(__xludf.DUMMYFUNCTION("""COMPUTED_VALUE"""),"FIP-DOM-ENG-51404-0000000-INA-000000")</f>
        <v>FIP-DOM-ENG-51404-0000000-INA-000000</v>
      </c>
      <c r="P3770" s="6" t="str">
        <f>IFERROR(__xludf.DUMMYFUNCTION("""COMPUTED_VALUE"""),"PO Closed")</f>
        <v>PO Closed</v>
      </c>
      <c r="Q3770" s="6" t="str">
        <f>IFERROR(__xludf.DUMMYFUNCTION("""COMPUTED_VALUE"""),"GL2502339")</f>
        <v>GL2502339</v>
      </c>
      <c r="R3770" s="57">
        <f>IFERROR(__xludf.DUMMYFUNCTION("""COMPUTED_VALUE"""),45699.0)</f>
        <v>45699</v>
      </c>
      <c r="S3770" s="57">
        <f>IFERROR(__xludf.DUMMYFUNCTION("""COMPUTED_VALUE"""),45700.0)</f>
        <v>45700</v>
      </c>
      <c r="T3770" s="57">
        <f>IFERROR(__xludf.DUMMYFUNCTION("""COMPUTED_VALUE"""),45724.0)</f>
        <v>45724</v>
      </c>
    </row>
    <row r="3771">
      <c r="A3771" s="6" t="str">
        <f>IFERROR(__xludf.DUMMYFUNCTION("""COMPUTED_VALUE"""),"121702414-6")</f>
        <v>121702414-6</v>
      </c>
      <c r="B3771" s="6" t="str">
        <f>IFERROR(__xludf.DUMMYFUNCTION("""COMPUTED_VALUE"""),"121702414 - APPROVED")</f>
        <v>121702414 - APPROVED</v>
      </c>
      <c r="C3771" s="6">
        <f>IFERROR(__xludf.DUMMYFUNCTION("""COMPUTED_VALUE"""),6.0)</f>
        <v>6</v>
      </c>
      <c r="D3771" s="6" t="str">
        <f>IFERROR(__xludf.DUMMYFUNCTION("""COMPUTED_VALUE"""),"P-14960-00")</f>
        <v>P-14960-00</v>
      </c>
      <c r="E3771" s="6" t="str">
        <f>IFERROR(__xludf.DUMMYFUNCTION("""COMPUTED_VALUE"""),"PVC - Dop 1 inch; ; ;")</f>
        <v>PVC - Dop 1 inch; ; ;</v>
      </c>
      <c r="F3771" s="6">
        <f>IFERROR(__xludf.DUMMYFUNCTION("""COMPUTED_VALUE"""),4.0)</f>
        <v>4</v>
      </c>
      <c r="G3771" s="6" t="str">
        <f>IFERROR(__xludf.DUMMYFUNCTION("""COMPUTED_VALUE"""),"Pieces")</f>
        <v>Pieces</v>
      </c>
      <c r="H3771" s="6" t="str">
        <f>IFERROR(__xludf.DUMMYFUNCTION("""COMPUTED_VALUE"""),"IDR")</f>
        <v>IDR</v>
      </c>
      <c r="I3771" s="6">
        <f>IFERROR(__xludf.DUMMYFUNCTION("""COMPUTED_VALUE"""),3000.0)</f>
        <v>3000</v>
      </c>
      <c r="J3771" s="6">
        <f>IFERROR(__xludf.DUMMYFUNCTION("""COMPUTED_VALUE"""),12000.0)</f>
        <v>12000</v>
      </c>
      <c r="K3771" s="57">
        <f>IFERROR(__xludf.DUMMYFUNCTION("""COMPUTED_VALUE"""),45701.0)</f>
        <v>45701</v>
      </c>
      <c r="L3771" s="6" t="str">
        <f>IFERROR(__xludf.DUMMYFUNCTION("""COMPUTED_VALUE"""),"FIP General")</f>
        <v>FIP General</v>
      </c>
      <c r="M3771" s="6" t="str">
        <f>IFERROR(__xludf.DUMMYFUNCTION("""COMPUTED_VALUE"""),"Mochammad Fadhillah Hakim,")</f>
        <v>Mochammad Fadhillah Hakim,</v>
      </c>
      <c r="N3771" s="6" t="str">
        <f>IFERROR(__xludf.DUMMYFUNCTION("""COMPUTED_VALUE"""),"FIP Engineering")</f>
        <v>FIP Engineering</v>
      </c>
      <c r="O3771" s="6" t="str">
        <f>IFERROR(__xludf.DUMMYFUNCTION("""COMPUTED_VALUE"""),"FIP-DOM-ENG-51504-0000000-INA-000000")</f>
        <v>FIP-DOM-ENG-51504-0000000-INA-000000</v>
      </c>
      <c r="P3771" s="6" t="str">
        <f>IFERROR(__xludf.DUMMYFUNCTION("""COMPUTED_VALUE"""),"PO Closed")</f>
        <v>PO Closed</v>
      </c>
      <c r="Q3771" s="6" t="str">
        <f>IFERROR(__xludf.DUMMYFUNCTION("""COMPUTED_VALUE"""),"GL2502339")</f>
        <v>GL2502339</v>
      </c>
      <c r="R3771" s="57">
        <f>IFERROR(__xludf.DUMMYFUNCTION("""COMPUTED_VALUE"""),45699.0)</f>
        <v>45699</v>
      </c>
      <c r="S3771" s="57">
        <f>IFERROR(__xludf.DUMMYFUNCTION("""COMPUTED_VALUE"""),45700.0)</f>
        <v>45700</v>
      </c>
      <c r="T3771" s="57">
        <f>IFERROR(__xludf.DUMMYFUNCTION("""COMPUTED_VALUE"""),45724.0)</f>
        <v>45724</v>
      </c>
    </row>
    <row r="3772">
      <c r="A3772" s="6" t="str">
        <f>IFERROR(__xludf.DUMMYFUNCTION("""COMPUTED_VALUE"""),"121702415-1")</f>
        <v>121702415-1</v>
      </c>
      <c r="B3772" s="6" t="str">
        <f>IFERROR(__xludf.DUMMYFUNCTION("""COMPUTED_VALUE"""),"121702415 - APPROVED")</f>
        <v>121702415 - APPROVED</v>
      </c>
      <c r="C3772" s="6">
        <f>IFERROR(__xludf.DUMMYFUNCTION("""COMPUTED_VALUE"""),1.0)</f>
        <v>1</v>
      </c>
      <c r="D3772" s="6" t="str">
        <f>IFERROR(__xludf.DUMMYFUNCTION("""COMPUTED_VALUE"""),"Q-10302-00")</f>
        <v>Q-10302-00</v>
      </c>
      <c r="E3772" s="6" t="str">
        <f>IFERROR(__xludf.DUMMYFUNCTION("""COMPUTED_VALUE"""),"Compound / Kompon Gypsum;No Brand;;pack size 20 kg per pck")</f>
        <v>Compound / Kompon Gypsum;No Brand;;pack size 20 kg per pck</v>
      </c>
      <c r="F3772" s="6">
        <f>IFERROR(__xludf.DUMMYFUNCTION("""COMPUTED_VALUE"""),5.0)</f>
        <v>5</v>
      </c>
      <c r="G3772" s="6" t="str">
        <f>IFERROR(__xludf.DUMMYFUNCTION("""COMPUTED_VALUE"""),"Pack")</f>
        <v>Pack</v>
      </c>
      <c r="H3772" s="6" t="str">
        <f>IFERROR(__xludf.DUMMYFUNCTION("""COMPUTED_VALUE"""),"IDR")</f>
        <v>IDR</v>
      </c>
      <c r="I3772" s="6">
        <f>IFERROR(__xludf.DUMMYFUNCTION("""COMPUTED_VALUE"""),75000.0)</f>
        <v>75000</v>
      </c>
      <c r="J3772" s="6">
        <f>IFERROR(__xludf.DUMMYFUNCTION("""COMPUTED_VALUE"""),375000.0)</f>
        <v>375000</v>
      </c>
      <c r="K3772" s="57">
        <f>IFERROR(__xludf.DUMMYFUNCTION("""COMPUTED_VALUE"""),45701.0)</f>
        <v>45701</v>
      </c>
      <c r="L3772" s="6" t="str">
        <f>IFERROR(__xludf.DUMMYFUNCTION("""COMPUTED_VALUE"""),"FIP General")</f>
        <v>FIP General</v>
      </c>
      <c r="M3772" s="6" t="str">
        <f>IFERROR(__xludf.DUMMYFUNCTION("""COMPUTED_VALUE"""),"Mochammad Fadhillah Hakim,")</f>
        <v>Mochammad Fadhillah Hakim,</v>
      </c>
      <c r="N3772" s="6" t="str">
        <f>IFERROR(__xludf.DUMMYFUNCTION("""COMPUTED_VALUE"""),"FIP Engineering")</f>
        <v>FIP Engineering</v>
      </c>
      <c r="O3772" s="6" t="str">
        <f>IFERROR(__xludf.DUMMYFUNCTION("""COMPUTED_VALUE"""),"FIP-DOM-ENG-51502-0000000-INA-000000")</f>
        <v>FIP-DOM-ENG-51502-0000000-INA-000000</v>
      </c>
      <c r="P3772" s="6" t="str">
        <f>IFERROR(__xludf.DUMMYFUNCTION("""COMPUTED_VALUE"""),"PO Closed")</f>
        <v>PO Closed</v>
      </c>
      <c r="Q3772" s="6" t="str">
        <f>IFERROR(__xludf.DUMMYFUNCTION("""COMPUTED_VALUE"""),"GL2502052")</f>
        <v>GL2502052</v>
      </c>
      <c r="R3772" s="57">
        <f>IFERROR(__xludf.DUMMYFUNCTION("""COMPUTED_VALUE"""),45699.0)</f>
        <v>45699</v>
      </c>
      <c r="S3772" s="57">
        <f>IFERROR(__xludf.DUMMYFUNCTION("""COMPUTED_VALUE"""),45700.0)</f>
        <v>45700</v>
      </c>
      <c r="T3772" s="57">
        <f>IFERROR(__xludf.DUMMYFUNCTION("""COMPUTED_VALUE"""),45721.0)</f>
        <v>45721</v>
      </c>
    </row>
    <row r="3773">
      <c r="A3773" s="6" t="str">
        <f>IFERROR(__xludf.DUMMYFUNCTION("""COMPUTED_VALUE"""),"121702415-2")</f>
        <v>121702415-2</v>
      </c>
      <c r="B3773" s="6" t="str">
        <f>IFERROR(__xludf.DUMMYFUNCTION("""COMPUTED_VALUE"""),"121702415 - APPROVED")</f>
        <v>121702415 - APPROVED</v>
      </c>
      <c r="C3773" s="6">
        <f>IFERROR(__xludf.DUMMYFUNCTION("""COMPUTED_VALUE"""),2.0)</f>
        <v>2</v>
      </c>
      <c r="D3773" s="6" t="str">
        <f>IFERROR(__xludf.DUMMYFUNCTION("""COMPUTED_VALUE"""),"Q-10750-00")</f>
        <v>Q-10750-00</v>
      </c>
      <c r="E3773" s="6" t="str">
        <f>IFERROR(__xludf.DUMMYFUNCTION("""COMPUTED_VALUE"""),"Hollow Baja Ringan 4x4cm, Tebal 0.5mm, Panjang 4m; ; ;")</f>
        <v>Hollow Baja Ringan 4x4cm, Tebal 0.5mm, Panjang 4m; ; ;</v>
      </c>
      <c r="F3773" s="6">
        <f>IFERROR(__xludf.DUMMYFUNCTION("""COMPUTED_VALUE"""),3.0)</f>
        <v>3</v>
      </c>
      <c r="G3773" s="6" t="str">
        <f>IFERROR(__xludf.DUMMYFUNCTION("""COMPUTED_VALUE"""),"Pieces")</f>
        <v>Pieces</v>
      </c>
      <c r="H3773" s="6" t="str">
        <f>IFERROR(__xludf.DUMMYFUNCTION("""COMPUTED_VALUE"""),"IDR")</f>
        <v>IDR</v>
      </c>
      <c r="I3773" s="6">
        <f>IFERROR(__xludf.DUMMYFUNCTION("""COMPUTED_VALUE"""),410795.0)</f>
        <v>410795</v>
      </c>
      <c r="J3773" s="6">
        <f>IFERROR(__xludf.DUMMYFUNCTION("""COMPUTED_VALUE"""),1232385.0)</f>
        <v>1232385</v>
      </c>
      <c r="K3773" s="57">
        <f>IFERROR(__xludf.DUMMYFUNCTION("""COMPUTED_VALUE"""),45701.0)</f>
        <v>45701</v>
      </c>
      <c r="L3773" s="6" t="str">
        <f>IFERROR(__xludf.DUMMYFUNCTION("""COMPUTED_VALUE"""),"FIP General")</f>
        <v>FIP General</v>
      </c>
      <c r="M3773" s="6" t="str">
        <f>IFERROR(__xludf.DUMMYFUNCTION("""COMPUTED_VALUE"""),"Mochammad Fadhillah Hakim,")</f>
        <v>Mochammad Fadhillah Hakim,</v>
      </c>
      <c r="N3773" s="6" t="str">
        <f>IFERROR(__xludf.DUMMYFUNCTION("""COMPUTED_VALUE"""),"FIP Engineering")</f>
        <v>FIP Engineering</v>
      </c>
      <c r="O3773" s="6" t="str">
        <f>IFERROR(__xludf.DUMMYFUNCTION("""COMPUTED_VALUE"""),"FIP-DOM-ENG-51502-0000000-INA-000000")</f>
        <v>FIP-DOM-ENG-51502-0000000-INA-000000</v>
      </c>
      <c r="P3773" s="6" t="str">
        <f>IFERROR(__xludf.DUMMYFUNCTION("""COMPUTED_VALUE"""),"PO Closed")</f>
        <v>PO Closed</v>
      </c>
      <c r="Q3773" s="6" t="str">
        <f>IFERROR(__xludf.DUMMYFUNCTION("""COMPUTED_VALUE"""),"GL2503010")</f>
        <v>GL2503010</v>
      </c>
      <c r="R3773" s="57">
        <f>IFERROR(__xludf.DUMMYFUNCTION("""COMPUTED_VALUE"""),45699.0)</f>
        <v>45699</v>
      </c>
      <c r="S3773" s="57">
        <f>IFERROR(__xludf.DUMMYFUNCTION("""COMPUTED_VALUE"""),45700.0)</f>
        <v>45700</v>
      </c>
      <c r="T3773" s="57">
        <f>IFERROR(__xludf.DUMMYFUNCTION("""COMPUTED_VALUE"""),45736.0)</f>
        <v>45736</v>
      </c>
    </row>
    <row r="3774">
      <c r="A3774" s="6" t="str">
        <f>IFERROR(__xludf.DUMMYFUNCTION("""COMPUTED_VALUE"""),"121702427-1")</f>
        <v>121702427-1</v>
      </c>
      <c r="B3774" s="6" t="str">
        <f>IFERROR(__xludf.DUMMYFUNCTION("""COMPUTED_VALUE"""),"121702427 - APPROVED")</f>
        <v>121702427 - APPROVED</v>
      </c>
      <c r="C3774" s="6">
        <f>IFERROR(__xludf.DUMMYFUNCTION("""COMPUTED_VALUE"""),1.0)</f>
        <v>1</v>
      </c>
      <c r="D3774" s="6" t="str">
        <f>IFERROR(__xludf.DUMMYFUNCTION("""COMPUTED_VALUE"""),"T-12277-00")</f>
        <v>T-12277-00</v>
      </c>
      <c r="E3774" s="6" t="str">
        <f>IFERROR(__xludf.DUMMYFUNCTION("""COMPUTED_VALUE"""),"Seagate One Touch 5TB External Hardisk; ; ;")</f>
        <v>Seagate One Touch 5TB External Hardisk; ; ;</v>
      </c>
      <c r="F3774" s="6">
        <f>IFERROR(__xludf.DUMMYFUNCTION("""COMPUTED_VALUE"""),1.0)</f>
        <v>1</v>
      </c>
      <c r="G3774" s="6" t="str">
        <f>IFERROR(__xludf.DUMMYFUNCTION("""COMPUTED_VALUE"""),"Pieces")</f>
        <v>Pieces</v>
      </c>
      <c r="H3774" s="6" t="str">
        <f>IFERROR(__xludf.DUMMYFUNCTION("""COMPUTED_VALUE"""),"IDR")</f>
        <v>IDR</v>
      </c>
      <c r="I3774" s="6">
        <f>IFERROR(__xludf.DUMMYFUNCTION("""COMPUTED_VALUE"""),3160360.0)</f>
        <v>3160360</v>
      </c>
      <c r="J3774" s="6">
        <f>IFERROR(__xludf.DUMMYFUNCTION("""COMPUTED_VALUE"""),3160360.0)</f>
        <v>3160360</v>
      </c>
      <c r="K3774" s="57">
        <f>IFERROR(__xludf.DUMMYFUNCTION("""COMPUTED_VALUE"""),45704.0)</f>
        <v>45704</v>
      </c>
      <c r="L3774" s="6" t="str">
        <f>IFERROR(__xludf.DUMMYFUNCTION("""COMPUTED_VALUE"""),"FIP General")</f>
        <v>FIP General</v>
      </c>
      <c r="M3774" s="6" t="str">
        <f>IFERROR(__xludf.DUMMYFUNCTION("""COMPUTED_VALUE"""),"Mochammad Fadhillah Hakim,")</f>
        <v>Mochammad Fadhillah Hakim,</v>
      </c>
      <c r="N3774" s="6" t="str">
        <f>IFERROR(__xludf.DUMMYFUNCTION("""COMPUTED_VALUE"""),"FIP Engineering")</f>
        <v>FIP Engineering</v>
      </c>
      <c r="O3774" s="6" t="str">
        <f>IFERROR(__xludf.DUMMYFUNCTION("""COMPUTED_VALUE"""),"FIP-DOM-ENG-51404-0000000-INA-000000")</f>
        <v>FIP-DOM-ENG-51404-0000000-INA-000000</v>
      </c>
      <c r="P3774" s="6" t="str">
        <f>IFERROR(__xludf.DUMMYFUNCTION("""COMPUTED_VALUE"""),"PO Closed")</f>
        <v>PO Closed</v>
      </c>
      <c r="Q3774" s="6" t="str">
        <f>IFERROR(__xludf.DUMMYFUNCTION("""COMPUTED_VALUE"""),"GL2503029")</f>
        <v>GL2503029</v>
      </c>
      <c r="R3774" s="57">
        <f>IFERROR(__xludf.DUMMYFUNCTION("""COMPUTED_VALUE"""),45702.0)</f>
        <v>45702</v>
      </c>
      <c r="S3774" s="57">
        <f>IFERROR(__xludf.DUMMYFUNCTION("""COMPUTED_VALUE"""),45705.0)</f>
        <v>45705</v>
      </c>
      <c r="T3774" s="57">
        <f>IFERROR(__xludf.DUMMYFUNCTION("""COMPUTED_VALUE"""),45744.0)</f>
        <v>45744</v>
      </c>
    </row>
    <row r="3775">
      <c r="A3775" s="6" t="str">
        <f>IFERROR(__xludf.DUMMYFUNCTION("""COMPUTED_VALUE"""),"121702439-1")</f>
        <v>121702439-1</v>
      </c>
      <c r="B3775" s="6" t="str">
        <f>IFERROR(__xludf.DUMMYFUNCTION("""COMPUTED_VALUE"""),"121702439 - APPROVED")</f>
        <v>121702439 - APPROVED</v>
      </c>
      <c r="C3775" s="6">
        <f>IFERROR(__xludf.DUMMYFUNCTION("""COMPUTED_VALUE"""),1.0)</f>
        <v>1</v>
      </c>
      <c r="D3775" s="6" t="str">
        <f>IFERROR(__xludf.DUMMYFUNCTION("""COMPUTED_VALUE"""),"S-60050-00")</f>
        <v>S-60050-00</v>
      </c>
      <c r="E3775" s="6" t="str">
        <f>IFERROR(__xludf.DUMMYFUNCTION("""COMPUTED_VALUE"""),"Jasa Perbaikan dan Pemeliharaan Mesin Produksi; ; ;")</f>
        <v>Jasa Perbaikan dan Pemeliharaan Mesin Produksi; ; ;</v>
      </c>
      <c r="F3775" s="6">
        <f>IFERROR(__xludf.DUMMYFUNCTION("""COMPUTED_VALUE"""),1.0)</f>
        <v>1</v>
      </c>
      <c r="G3775" s="6" t="str">
        <f>IFERROR(__xludf.DUMMYFUNCTION("""COMPUTED_VALUE"""),"Pieces")</f>
        <v>Pieces</v>
      </c>
      <c r="H3775" s="6" t="str">
        <f>IFERROR(__xludf.DUMMYFUNCTION("""COMPUTED_VALUE"""),"IDR")</f>
        <v>IDR</v>
      </c>
      <c r="I3775" s="6">
        <f>IFERROR(__xludf.DUMMYFUNCTION("""COMPUTED_VALUE"""),3000000.0)</f>
        <v>3000000</v>
      </c>
      <c r="J3775" s="6">
        <f>IFERROR(__xludf.DUMMYFUNCTION("""COMPUTED_VALUE"""),3000000.0)</f>
        <v>3000000</v>
      </c>
      <c r="K3775" s="57">
        <f>IFERROR(__xludf.DUMMYFUNCTION("""COMPUTED_VALUE"""),45716.0)</f>
        <v>45716</v>
      </c>
      <c r="L3775" s="6" t="str">
        <f>IFERROR(__xludf.DUMMYFUNCTION("""COMPUTED_VALUE"""),"FIP General")</f>
        <v>FIP General</v>
      </c>
      <c r="M3775" s="6" t="str">
        <f>IFERROR(__xludf.DUMMYFUNCTION("""COMPUTED_VALUE"""),"Mochammad Fadhillah Hakim,")</f>
        <v>Mochammad Fadhillah Hakim,</v>
      </c>
      <c r="N3775" s="6" t="str">
        <f>IFERROR(__xludf.DUMMYFUNCTION("""COMPUTED_VALUE"""),"FIP Engineering")</f>
        <v>FIP Engineering</v>
      </c>
      <c r="O3775" s="6" t="str">
        <f>IFERROR(__xludf.DUMMYFUNCTION("""COMPUTED_VALUE"""),"FIP-DOM-ENG-51504-0000000-INA-000000")</f>
        <v>FIP-DOM-ENG-51504-0000000-INA-000000</v>
      </c>
      <c r="P3775" s="6" t="str">
        <f>IFERROR(__xludf.DUMMYFUNCTION("""COMPUTED_VALUE"""),"PO Closed")</f>
        <v>PO Closed</v>
      </c>
      <c r="Q3775" s="6" t="str">
        <f>IFERROR(__xludf.DUMMYFUNCTION("""COMPUTED_VALUE"""),"GL2502057")</f>
        <v>GL2502057</v>
      </c>
      <c r="R3775" s="57">
        <f>IFERROR(__xludf.DUMMYFUNCTION("""COMPUTED_VALUE"""),45706.0)</f>
        <v>45706</v>
      </c>
      <c r="S3775" s="57">
        <f>IFERROR(__xludf.DUMMYFUNCTION("""COMPUTED_VALUE"""),45706.0)</f>
        <v>45706</v>
      </c>
      <c r="T3775" s="57">
        <f>IFERROR(__xludf.DUMMYFUNCTION("""COMPUTED_VALUE"""),45772.0)</f>
        <v>45772</v>
      </c>
    </row>
    <row r="3776">
      <c r="A3776" s="6" t="str">
        <f>IFERROR(__xludf.DUMMYFUNCTION("""COMPUTED_VALUE"""),"121702440-1")</f>
        <v>121702440-1</v>
      </c>
      <c r="B3776" s="6" t="str">
        <f>IFERROR(__xludf.DUMMYFUNCTION("""COMPUTED_VALUE"""),"121702440 - APPROVED")</f>
        <v>121702440 - APPROVED</v>
      </c>
      <c r="C3776" s="6">
        <f>IFERROR(__xludf.DUMMYFUNCTION("""COMPUTED_VALUE"""),1.0)</f>
        <v>1</v>
      </c>
      <c r="D3776" s="6" t="str">
        <f>IFERROR(__xludf.DUMMYFUNCTION("""COMPUTED_VALUE"""),"O-18347-00")</f>
        <v>O-18347-00</v>
      </c>
      <c r="E3776" s="6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F3776" s="6">
        <f>IFERROR(__xludf.DUMMYFUNCTION("""COMPUTED_VALUE"""),2.0)</f>
        <v>2</v>
      </c>
      <c r="G3776" s="6" t="str">
        <f>IFERROR(__xludf.DUMMYFUNCTION("""COMPUTED_VALUE"""),"Pieces")</f>
        <v>Pieces</v>
      </c>
      <c r="H3776" s="6" t="str">
        <f>IFERROR(__xludf.DUMMYFUNCTION("""COMPUTED_VALUE"""),"IDR")</f>
        <v>IDR</v>
      </c>
      <c r="I3776" s="6">
        <f>IFERROR(__xludf.DUMMYFUNCTION("""COMPUTED_VALUE"""),1.1109797E7)</f>
        <v>11109797</v>
      </c>
      <c r="J3776" s="6">
        <f>IFERROR(__xludf.DUMMYFUNCTION("""COMPUTED_VALUE"""),2.2219595E7)</f>
        <v>22219595</v>
      </c>
      <c r="K3776" s="57">
        <f>IFERROR(__xludf.DUMMYFUNCTION("""COMPUTED_VALUE"""),45826.0)</f>
        <v>45826</v>
      </c>
      <c r="L3776" s="6" t="str">
        <f>IFERROR(__xludf.DUMMYFUNCTION("""COMPUTED_VALUE"""),"FIP Engineering")</f>
        <v>FIP Engineering</v>
      </c>
      <c r="M3776" s="6" t="str">
        <f>IFERROR(__xludf.DUMMYFUNCTION("""COMPUTED_VALUE"""),"Mochammad Fadhillah Hakim,")</f>
        <v>Mochammad Fadhillah Hakim,</v>
      </c>
      <c r="N3776" s="6" t="str">
        <f>IFERROR(__xludf.DUMMYFUNCTION("""COMPUTED_VALUE"""),"FIP Engineering")</f>
        <v>FIP Engineering</v>
      </c>
      <c r="O3776" s="6" t="str">
        <f>IFERROR(__xludf.DUMMYFUNCTION("""COMPUTED_VALUE"""),"FIP-DOM-000-11304-OS00001-INA-000000")</f>
        <v>FIP-DOM-000-11304-OS00001-INA-000000</v>
      </c>
      <c r="P3776" s="6" t="str">
        <f>IFERROR(__xludf.DUMMYFUNCTION("""COMPUTED_VALUE"""),"PO Closed")</f>
        <v>PO Closed</v>
      </c>
      <c r="Q3776" s="6" t="str">
        <f>IFERROR(__xludf.DUMMYFUNCTION("""COMPUTED_VALUE"""),"GL2503050")</f>
        <v>GL2503050</v>
      </c>
      <c r="R3776" s="57">
        <f>IFERROR(__xludf.DUMMYFUNCTION("""COMPUTED_VALUE"""),45706.0)</f>
        <v>45706</v>
      </c>
      <c r="S3776" s="57">
        <f>IFERROR(__xludf.DUMMYFUNCTION("""COMPUTED_VALUE"""),45707.0)</f>
        <v>45707</v>
      </c>
      <c r="T3776" s="57">
        <f>IFERROR(__xludf.DUMMYFUNCTION("""COMPUTED_VALUE"""),45826.0)</f>
        <v>45826</v>
      </c>
    </row>
    <row r="3777">
      <c r="A3777" s="6" t="str">
        <f>IFERROR(__xludf.DUMMYFUNCTION("""COMPUTED_VALUE"""),"121702440-2")</f>
        <v>121702440-2</v>
      </c>
      <c r="B3777" s="6" t="str">
        <f>IFERROR(__xludf.DUMMYFUNCTION("""COMPUTED_VALUE"""),"121702440 - APPROVED")</f>
        <v>121702440 - APPROVED</v>
      </c>
      <c r="C3777" s="6">
        <f>IFERROR(__xludf.DUMMYFUNCTION("""COMPUTED_VALUE"""),2.0)</f>
        <v>2</v>
      </c>
      <c r="D3777" s="6" t="str">
        <f>IFERROR(__xludf.DUMMYFUNCTION("""COMPUTED_VALUE"""),"O-53194-00")</f>
        <v>O-53194-00</v>
      </c>
      <c r="E3777" s="6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F3777" s="6">
        <f>IFERROR(__xludf.DUMMYFUNCTION("""COMPUTED_VALUE"""),1.0)</f>
        <v>1</v>
      </c>
      <c r="G3777" s="6" t="str">
        <f>IFERROR(__xludf.DUMMYFUNCTION("""COMPUTED_VALUE"""),"Pieces")</f>
        <v>Pieces</v>
      </c>
      <c r="H3777" s="6" t="str">
        <f>IFERROR(__xludf.DUMMYFUNCTION("""COMPUTED_VALUE"""),"IDR")</f>
        <v>IDR</v>
      </c>
      <c r="I3777" s="6">
        <f>IFERROR(__xludf.DUMMYFUNCTION("""COMPUTED_VALUE"""),1.7050809E7)</f>
        <v>17050809</v>
      </c>
      <c r="J3777" s="6">
        <f>IFERROR(__xludf.DUMMYFUNCTION("""COMPUTED_VALUE"""),1.7050809E7)</f>
        <v>17050809</v>
      </c>
      <c r="K3777" s="57">
        <f>IFERROR(__xludf.DUMMYFUNCTION("""COMPUTED_VALUE"""),45826.0)</f>
        <v>45826</v>
      </c>
      <c r="L3777" s="6" t="str">
        <f>IFERROR(__xludf.DUMMYFUNCTION("""COMPUTED_VALUE"""),"FIP Engineering")</f>
        <v>FIP Engineering</v>
      </c>
      <c r="M3777" s="6" t="str">
        <f>IFERROR(__xludf.DUMMYFUNCTION("""COMPUTED_VALUE"""),"Mochammad Fadhillah Hakim,")</f>
        <v>Mochammad Fadhillah Hakim,</v>
      </c>
      <c r="N3777" s="6" t="str">
        <f>IFERROR(__xludf.DUMMYFUNCTION("""COMPUTED_VALUE"""),"FIP Engineering")</f>
        <v>FIP Engineering</v>
      </c>
      <c r="O3777" s="6" t="str">
        <f>IFERROR(__xludf.DUMMYFUNCTION("""COMPUTED_VALUE"""),"FIP-DOM-000-11304-OS00001-INA-000000")</f>
        <v>FIP-DOM-000-11304-OS00001-INA-000000</v>
      </c>
      <c r="P3777" s="6" t="str">
        <f>IFERROR(__xludf.DUMMYFUNCTION("""COMPUTED_VALUE"""),"PO Closed")</f>
        <v>PO Closed</v>
      </c>
      <c r="Q3777" s="6" t="str">
        <f>IFERROR(__xludf.DUMMYFUNCTION("""COMPUTED_VALUE"""),"GL2503050")</f>
        <v>GL2503050</v>
      </c>
      <c r="R3777" s="57">
        <f>IFERROR(__xludf.DUMMYFUNCTION("""COMPUTED_VALUE"""),45706.0)</f>
        <v>45706</v>
      </c>
      <c r="S3777" s="57">
        <f>IFERROR(__xludf.DUMMYFUNCTION("""COMPUTED_VALUE"""),45707.0)</f>
        <v>45707</v>
      </c>
      <c r="T3777" s="57">
        <f>IFERROR(__xludf.DUMMYFUNCTION("""COMPUTED_VALUE"""),45826.0)</f>
        <v>45826</v>
      </c>
    </row>
    <row r="3778">
      <c r="A3778" s="6" t="str">
        <f>IFERROR(__xludf.DUMMYFUNCTION("""COMPUTED_VALUE"""),"121702440-3")</f>
        <v>121702440-3</v>
      </c>
      <c r="B3778" s="6" t="str">
        <f>IFERROR(__xludf.DUMMYFUNCTION("""COMPUTED_VALUE"""),"121702440 - APPROVED")</f>
        <v>121702440 - APPROVED</v>
      </c>
      <c r="C3778" s="6">
        <f>IFERROR(__xludf.DUMMYFUNCTION("""COMPUTED_VALUE"""),3.0)</f>
        <v>3</v>
      </c>
      <c r="D3778" s="6" t="str">
        <f>IFERROR(__xludf.DUMMYFUNCTION("""COMPUTED_VALUE"""),"O-53196-00")</f>
        <v>O-53196-00</v>
      </c>
      <c r="E3778" s="6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F3778" s="6">
        <f>IFERROR(__xludf.DUMMYFUNCTION("""COMPUTED_VALUE"""),1.0)</f>
        <v>1</v>
      </c>
      <c r="G3778" s="6" t="str">
        <f>IFERROR(__xludf.DUMMYFUNCTION("""COMPUTED_VALUE"""),"Pieces")</f>
        <v>Pieces</v>
      </c>
      <c r="H3778" s="6" t="str">
        <f>IFERROR(__xludf.DUMMYFUNCTION("""COMPUTED_VALUE"""),"IDR")</f>
        <v>IDR</v>
      </c>
      <c r="I3778" s="6">
        <f>IFERROR(__xludf.DUMMYFUNCTION("""COMPUTED_VALUE"""),3367020.0)</f>
        <v>3367020</v>
      </c>
      <c r="J3778" s="6">
        <f>IFERROR(__xludf.DUMMYFUNCTION("""COMPUTED_VALUE"""),3367020.0)</f>
        <v>3367020</v>
      </c>
      <c r="K3778" s="57">
        <f>IFERROR(__xludf.DUMMYFUNCTION("""COMPUTED_VALUE"""),45826.0)</f>
        <v>45826</v>
      </c>
      <c r="L3778" s="6" t="str">
        <f>IFERROR(__xludf.DUMMYFUNCTION("""COMPUTED_VALUE"""),"FIP Engineering")</f>
        <v>FIP Engineering</v>
      </c>
      <c r="M3778" s="6" t="str">
        <f>IFERROR(__xludf.DUMMYFUNCTION("""COMPUTED_VALUE"""),"Mochammad Fadhillah Hakim,")</f>
        <v>Mochammad Fadhillah Hakim,</v>
      </c>
      <c r="N3778" s="6" t="str">
        <f>IFERROR(__xludf.DUMMYFUNCTION("""COMPUTED_VALUE"""),"FIP Engineering")</f>
        <v>FIP Engineering</v>
      </c>
      <c r="O3778" s="6" t="str">
        <f>IFERROR(__xludf.DUMMYFUNCTION("""COMPUTED_VALUE"""),"FIP-DOM-000-11304-OS00001-INA-000000")</f>
        <v>FIP-DOM-000-11304-OS00001-INA-000000</v>
      </c>
      <c r="P3778" s="6" t="str">
        <f>IFERROR(__xludf.DUMMYFUNCTION("""COMPUTED_VALUE"""),"PO Closed")</f>
        <v>PO Closed</v>
      </c>
      <c r="Q3778" s="6" t="str">
        <f>IFERROR(__xludf.DUMMYFUNCTION("""COMPUTED_VALUE"""),"GL2503050")</f>
        <v>GL2503050</v>
      </c>
      <c r="R3778" s="57">
        <f>IFERROR(__xludf.DUMMYFUNCTION("""COMPUTED_VALUE"""),45706.0)</f>
        <v>45706</v>
      </c>
      <c r="S3778" s="57">
        <f>IFERROR(__xludf.DUMMYFUNCTION("""COMPUTED_VALUE"""),45707.0)</f>
        <v>45707</v>
      </c>
      <c r="T3778" s="57">
        <f>IFERROR(__xludf.DUMMYFUNCTION("""COMPUTED_VALUE"""),45826.0)</f>
        <v>45826</v>
      </c>
    </row>
    <row r="3779">
      <c r="A3779" s="6" t="str">
        <f>IFERROR(__xludf.DUMMYFUNCTION("""COMPUTED_VALUE"""),"121702440-4")</f>
        <v>121702440-4</v>
      </c>
      <c r="B3779" s="6" t="str">
        <f>IFERROR(__xludf.DUMMYFUNCTION("""COMPUTED_VALUE"""),"121702440 - APPROVED")</f>
        <v>121702440 - APPROVED</v>
      </c>
      <c r="C3779" s="6">
        <f>IFERROR(__xludf.DUMMYFUNCTION("""COMPUTED_VALUE"""),4.0)</f>
        <v>4</v>
      </c>
      <c r="D3779" s="6" t="str">
        <f>IFERROR(__xludf.DUMMYFUNCTION("""COMPUTED_VALUE"""),"O-53195-00")</f>
        <v>O-53195-00</v>
      </c>
      <c r="E3779" s="6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F3779" s="6">
        <f>IFERROR(__xludf.DUMMYFUNCTION("""COMPUTED_VALUE"""),1.0)</f>
        <v>1</v>
      </c>
      <c r="G3779" s="6" t="str">
        <f>IFERROR(__xludf.DUMMYFUNCTION("""COMPUTED_VALUE"""),"Pieces")</f>
        <v>Pieces</v>
      </c>
      <c r="H3779" s="6" t="str">
        <f>IFERROR(__xludf.DUMMYFUNCTION("""COMPUTED_VALUE"""),"IDR")</f>
        <v>IDR</v>
      </c>
      <c r="I3779" s="6">
        <f>IFERROR(__xludf.DUMMYFUNCTION("""COMPUTED_VALUE"""),6474960.0)</f>
        <v>6474960</v>
      </c>
      <c r="J3779" s="6">
        <f>IFERROR(__xludf.DUMMYFUNCTION("""COMPUTED_VALUE"""),6474960.0)</f>
        <v>6474960</v>
      </c>
      <c r="K3779" s="57">
        <f>IFERROR(__xludf.DUMMYFUNCTION("""COMPUTED_VALUE"""),45826.0)</f>
        <v>45826</v>
      </c>
      <c r="L3779" s="6" t="str">
        <f>IFERROR(__xludf.DUMMYFUNCTION("""COMPUTED_VALUE"""),"FIP Engineering")</f>
        <v>FIP Engineering</v>
      </c>
      <c r="M3779" s="6" t="str">
        <f>IFERROR(__xludf.DUMMYFUNCTION("""COMPUTED_VALUE"""),"Mochammad Fadhillah Hakim,")</f>
        <v>Mochammad Fadhillah Hakim,</v>
      </c>
      <c r="N3779" s="6" t="str">
        <f>IFERROR(__xludf.DUMMYFUNCTION("""COMPUTED_VALUE"""),"FIP Engineering")</f>
        <v>FIP Engineering</v>
      </c>
      <c r="O3779" s="6" t="str">
        <f>IFERROR(__xludf.DUMMYFUNCTION("""COMPUTED_VALUE"""),"FIP-DOM-000-11304-OS00001-INA-000000")</f>
        <v>FIP-DOM-000-11304-OS00001-INA-000000</v>
      </c>
      <c r="P3779" s="6" t="str">
        <f>IFERROR(__xludf.DUMMYFUNCTION("""COMPUTED_VALUE"""),"PO Closed")</f>
        <v>PO Closed</v>
      </c>
      <c r="Q3779" s="6" t="str">
        <f>IFERROR(__xludf.DUMMYFUNCTION("""COMPUTED_VALUE"""),"GL2503050")</f>
        <v>GL2503050</v>
      </c>
      <c r="R3779" s="57">
        <f>IFERROR(__xludf.DUMMYFUNCTION("""COMPUTED_VALUE"""),45706.0)</f>
        <v>45706</v>
      </c>
      <c r="S3779" s="57">
        <f>IFERROR(__xludf.DUMMYFUNCTION("""COMPUTED_VALUE"""),45707.0)</f>
        <v>45707</v>
      </c>
      <c r="T3779" s="57">
        <f>IFERROR(__xludf.DUMMYFUNCTION("""COMPUTED_VALUE"""),45826.0)</f>
        <v>45826</v>
      </c>
    </row>
    <row r="3780">
      <c r="A3780" s="6" t="str">
        <f>IFERROR(__xludf.DUMMYFUNCTION("""COMPUTED_VALUE"""),"121702440-5")</f>
        <v>121702440-5</v>
      </c>
      <c r="B3780" s="6" t="str">
        <f>IFERROR(__xludf.DUMMYFUNCTION("""COMPUTED_VALUE"""),"121702440 - APPROVED")</f>
        <v>121702440 - APPROVED</v>
      </c>
      <c r="C3780" s="6">
        <f>IFERROR(__xludf.DUMMYFUNCTION("""COMPUTED_VALUE"""),5.0)</f>
        <v>5</v>
      </c>
      <c r="D3780" s="6" t="str">
        <f>IFERROR(__xludf.DUMMYFUNCTION("""COMPUTED_VALUE"""),"O-53197-00")</f>
        <v>O-53197-00</v>
      </c>
      <c r="E3780" s="6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F3780" s="6">
        <f>IFERROR(__xludf.DUMMYFUNCTION("""COMPUTED_VALUE"""),1.0)</f>
        <v>1</v>
      </c>
      <c r="G3780" s="6" t="str">
        <f>IFERROR(__xludf.DUMMYFUNCTION("""COMPUTED_VALUE"""),"Pieces")</f>
        <v>Pieces</v>
      </c>
      <c r="H3780" s="6" t="str">
        <f>IFERROR(__xludf.DUMMYFUNCTION("""COMPUTED_VALUE"""),"IDR")</f>
        <v>IDR</v>
      </c>
      <c r="I3780" s="6">
        <f>IFERROR(__xludf.DUMMYFUNCTION("""COMPUTED_VALUE"""),1.9209075E7)</f>
        <v>19209075</v>
      </c>
      <c r="J3780" s="6">
        <f>IFERROR(__xludf.DUMMYFUNCTION("""COMPUTED_VALUE"""),1.9209075E7)</f>
        <v>19209075</v>
      </c>
      <c r="K3780" s="57">
        <f>IFERROR(__xludf.DUMMYFUNCTION("""COMPUTED_VALUE"""),45826.0)</f>
        <v>45826</v>
      </c>
      <c r="L3780" s="6" t="str">
        <f>IFERROR(__xludf.DUMMYFUNCTION("""COMPUTED_VALUE"""),"FIP Engineering")</f>
        <v>FIP Engineering</v>
      </c>
      <c r="M3780" s="6" t="str">
        <f>IFERROR(__xludf.DUMMYFUNCTION("""COMPUTED_VALUE"""),"Mochammad Fadhillah Hakim,")</f>
        <v>Mochammad Fadhillah Hakim,</v>
      </c>
      <c r="N3780" s="6" t="str">
        <f>IFERROR(__xludf.DUMMYFUNCTION("""COMPUTED_VALUE"""),"FIP Engineering")</f>
        <v>FIP Engineering</v>
      </c>
      <c r="O3780" s="6" t="str">
        <f>IFERROR(__xludf.DUMMYFUNCTION("""COMPUTED_VALUE"""),"FIP-DOM-000-11304-OS00001-INA-000000")</f>
        <v>FIP-DOM-000-11304-OS00001-INA-000000</v>
      </c>
      <c r="P3780" s="6" t="str">
        <f>IFERROR(__xludf.DUMMYFUNCTION("""COMPUTED_VALUE"""),"PO Closed")</f>
        <v>PO Closed</v>
      </c>
      <c r="Q3780" s="6" t="str">
        <f>IFERROR(__xludf.DUMMYFUNCTION("""COMPUTED_VALUE"""),"GL2503050")</f>
        <v>GL2503050</v>
      </c>
      <c r="R3780" s="57">
        <f>IFERROR(__xludf.DUMMYFUNCTION("""COMPUTED_VALUE"""),45706.0)</f>
        <v>45706</v>
      </c>
      <c r="S3780" s="57">
        <f>IFERROR(__xludf.DUMMYFUNCTION("""COMPUTED_VALUE"""),45707.0)</f>
        <v>45707</v>
      </c>
      <c r="T3780" s="57">
        <f>IFERROR(__xludf.DUMMYFUNCTION("""COMPUTED_VALUE"""),45826.0)</f>
        <v>45826</v>
      </c>
    </row>
    <row r="3781">
      <c r="A3781" s="6" t="str">
        <f>IFERROR(__xludf.DUMMYFUNCTION("""COMPUTED_VALUE"""),"121702440-6")</f>
        <v>121702440-6</v>
      </c>
      <c r="B3781" s="6" t="str">
        <f>IFERROR(__xludf.DUMMYFUNCTION("""COMPUTED_VALUE"""),"121702440 - APPROVED")</f>
        <v>121702440 - APPROVED</v>
      </c>
      <c r="C3781" s="6">
        <f>IFERROR(__xludf.DUMMYFUNCTION("""COMPUTED_VALUE"""),6.0)</f>
        <v>6</v>
      </c>
      <c r="D3781" s="6" t="str">
        <f>IFERROR(__xludf.DUMMYFUNCTION("""COMPUTED_VALUE"""),"O-53198-00")</f>
        <v>O-53198-00</v>
      </c>
      <c r="E3781" s="6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F3781" s="6">
        <f>IFERROR(__xludf.DUMMYFUNCTION("""COMPUTED_VALUE"""),1.0)</f>
        <v>1</v>
      </c>
      <c r="G3781" s="6" t="str">
        <f>IFERROR(__xludf.DUMMYFUNCTION("""COMPUTED_VALUE"""),"Pieces")</f>
        <v>Pieces</v>
      </c>
      <c r="H3781" s="6" t="str">
        <f>IFERROR(__xludf.DUMMYFUNCTION("""COMPUTED_VALUE"""),"IDR")</f>
        <v>IDR</v>
      </c>
      <c r="I3781" s="6">
        <f>IFERROR(__xludf.DUMMYFUNCTION("""COMPUTED_VALUE"""),1.627376E7)</f>
        <v>16273760</v>
      </c>
      <c r="J3781" s="6">
        <f>IFERROR(__xludf.DUMMYFUNCTION("""COMPUTED_VALUE"""),1.627376E7)</f>
        <v>16273760</v>
      </c>
      <c r="K3781" s="57">
        <f>IFERROR(__xludf.DUMMYFUNCTION("""COMPUTED_VALUE"""),45826.0)</f>
        <v>45826</v>
      </c>
      <c r="L3781" s="6" t="str">
        <f>IFERROR(__xludf.DUMMYFUNCTION("""COMPUTED_VALUE"""),"FIP Engineering")</f>
        <v>FIP Engineering</v>
      </c>
      <c r="M3781" s="6" t="str">
        <f>IFERROR(__xludf.DUMMYFUNCTION("""COMPUTED_VALUE"""),"Mochammad Fadhillah Hakim,")</f>
        <v>Mochammad Fadhillah Hakim,</v>
      </c>
      <c r="N3781" s="6" t="str">
        <f>IFERROR(__xludf.DUMMYFUNCTION("""COMPUTED_VALUE"""),"FIP Engineering")</f>
        <v>FIP Engineering</v>
      </c>
      <c r="O3781" s="6" t="str">
        <f>IFERROR(__xludf.DUMMYFUNCTION("""COMPUTED_VALUE"""),"FIP-DOM-000-11304-OS00001-INA-000000")</f>
        <v>FIP-DOM-000-11304-OS00001-INA-000000</v>
      </c>
      <c r="P3781" s="6" t="str">
        <f>IFERROR(__xludf.DUMMYFUNCTION("""COMPUTED_VALUE"""),"PO Closed")</f>
        <v>PO Closed</v>
      </c>
      <c r="Q3781" s="6" t="str">
        <f>IFERROR(__xludf.DUMMYFUNCTION("""COMPUTED_VALUE"""),"GL2503050")</f>
        <v>GL2503050</v>
      </c>
      <c r="R3781" s="57">
        <f>IFERROR(__xludf.DUMMYFUNCTION("""COMPUTED_VALUE"""),45706.0)</f>
        <v>45706</v>
      </c>
      <c r="S3781" s="57">
        <f>IFERROR(__xludf.DUMMYFUNCTION("""COMPUTED_VALUE"""),45707.0)</f>
        <v>45707</v>
      </c>
      <c r="T3781" s="57">
        <f>IFERROR(__xludf.DUMMYFUNCTION("""COMPUTED_VALUE"""),45826.0)</f>
        <v>45826</v>
      </c>
    </row>
    <row r="3782">
      <c r="A3782" s="6" t="str">
        <f>IFERROR(__xludf.DUMMYFUNCTION("""COMPUTED_VALUE"""),"121702440-7")</f>
        <v>121702440-7</v>
      </c>
      <c r="B3782" s="6" t="str">
        <f>IFERROR(__xludf.DUMMYFUNCTION("""COMPUTED_VALUE"""),"121702440 - APPROVED")</f>
        <v>121702440 - APPROVED</v>
      </c>
      <c r="C3782" s="6">
        <f>IFERROR(__xludf.DUMMYFUNCTION("""COMPUTED_VALUE"""),7.0)</f>
        <v>7</v>
      </c>
      <c r="D3782" s="6" t="str">
        <f>IFERROR(__xludf.DUMMYFUNCTION("""COMPUTED_VALUE"""),"O-53199-00")</f>
        <v>O-53199-00</v>
      </c>
      <c r="E3782" s="6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F3782" s="6">
        <f>IFERROR(__xludf.DUMMYFUNCTION("""COMPUTED_VALUE"""),2.0)</f>
        <v>2</v>
      </c>
      <c r="G3782" s="6" t="str">
        <f>IFERROR(__xludf.DUMMYFUNCTION("""COMPUTED_VALUE"""),"Pieces")</f>
        <v>Pieces</v>
      </c>
      <c r="H3782" s="6" t="str">
        <f>IFERROR(__xludf.DUMMYFUNCTION("""COMPUTED_VALUE"""),"IDR")</f>
        <v>IDR</v>
      </c>
      <c r="I3782" s="6">
        <f>IFERROR(__xludf.DUMMYFUNCTION("""COMPUTED_VALUE"""),5438980.0)</f>
        <v>5438980</v>
      </c>
      <c r="J3782" s="6">
        <f>IFERROR(__xludf.DUMMYFUNCTION("""COMPUTED_VALUE"""),1.087796E7)</f>
        <v>10877960</v>
      </c>
      <c r="K3782" s="57">
        <f>IFERROR(__xludf.DUMMYFUNCTION("""COMPUTED_VALUE"""),45826.0)</f>
        <v>45826</v>
      </c>
      <c r="L3782" s="6" t="str">
        <f>IFERROR(__xludf.DUMMYFUNCTION("""COMPUTED_VALUE"""),"FIP Engineering")</f>
        <v>FIP Engineering</v>
      </c>
      <c r="M3782" s="6" t="str">
        <f>IFERROR(__xludf.DUMMYFUNCTION("""COMPUTED_VALUE"""),"Mochammad Fadhillah Hakim,")</f>
        <v>Mochammad Fadhillah Hakim,</v>
      </c>
      <c r="N3782" s="6" t="str">
        <f>IFERROR(__xludf.DUMMYFUNCTION("""COMPUTED_VALUE"""),"FIP Engineering")</f>
        <v>FIP Engineering</v>
      </c>
      <c r="O3782" s="6" t="str">
        <f>IFERROR(__xludf.DUMMYFUNCTION("""COMPUTED_VALUE"""),"FIP-DOM-000-11304-OS00001-INA-000000")</f>
        <v>FIP-DOM-000-11304-OS00001-INA-000000</v>
      </c>
      <c r="P3782" s="6" t="str">
        <f>IFERROR(__xludf.DUMMYFUNCTION("""COMPUTED_VALUE"""),"PO Closed")</f>
        <v>PO Closed</v>
      </c>
      <c r="Q3782" s="6" t="str">
        <f>IFERROR(__xludf.DUMMYFUNCTION("""COMPUTED_VALUE"""),"GL2503050")</f>
        <v>GL2503050</v>
      </c>
      <c r="R3782" s="57">
        <f>IFERROR(__xludf.DUMMYFUNCTION("""COMPUTED_VALUE"""),45706.0)</f>
        <v>45706</v>
      </c>
      <c r="S3782" s="57">
        <f>IFERROR(__xludf.DUMMYFUNCTION("""COMPUTED_VALUE"""),45707.0)</f>
        <v>45707</v>
      </c>
      <c r="T3782" s="57">
        <f>IFERROR(__xludf.DUMMYFUNCTION("""COMPUTED_VALUE"""),45826.0)</f>
        <v>45826</v>
      </c>
    </row>
    <row r="3783">
      <c r="A3783" s="6" t="str">
        <f>IFERROR(__xludf.DUMMYFUNCTION("""COMPUTED_VALUE"""),"121702440-8")</f>
        <v>121702440-8</v>
      </c>
      <c r="B3783" s="6" t="str">
        <f>IFERROR(__xludf.DUMMYFUNCTION("""COMPUTED_VALUE"""),"121702440 - APPROVED")</f>
        <v>121702440 - APPROVED</v>
      </c>
      <c r="C3783" s="6">
        <f>IFERROR(__xludf.DUMMYFUNCTION("""COMPUTED_VALUE"""),8.0)</f>
        <v>8</v>
      </c>
      <c r="D3783" s="6" t="str">
        <f>IFERROR(__xludf.DUMMYFUNCTION("""COMPUTED_VALUE"""),"O-53200-00")</f>
        <v>O-53200-00</v>
      </c>
      <c r="E3783" s="6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F3783" s="6">
        <f>IFERROR(__xludf.DUMMYFUNCTION("""COMPUTED_VALUE"""),1.0)</f>
        <v>1</v>
      </c>
      <c r="G3783" s="6" t="str">
        <f>IFERROR(__xludf.DUMMYFUNCTION("""COMPUTED_VALUE"""),"Pieces")</f>
        <v>Pieces</v>
      </c>
      <c r="H3783" s="6" t="str">
        <f>IFERROR(__xludf.DUMMYFUNCTION("""COMPUTED_VALUE"""),"IDR")</f>
        <v>IDR</v>
      </c>
      <c r="I3783" s="6">
        <f>IFERROR(__xludf.DUMMYFUNCTION("""COMPUTED_VALUE"""),5438980.0)</f>
        <v>5438980</v>
      </c>
      <c r="J3783" s="6">
        <f>IFERROR(__xludf.DUMMYFUNCTION("""COMPUTED_VALUE"""),5438980.0)</f>
        <v>5438980</v>
      </c>
      <c r="K3783" s="57">
        <f>IFERROR(__xludf.DUMMYFUNCTION("""COMPUTED_VALUE"""),45826.0)</f>
        <v>45826</v>
      </c>
      <c r="L3783" s="6" t="str">
        <f>IFERROR(__xludf.DUMMYFUNCTION("""COMPUTED_VALUE"""),"FIP Engineering")</f>
        <v>FIP Engineering</v>
      </c>
      <c r="M3783" s="6" t="str">
        <f>IFERROR(__xludf.DUMMYFUNCTION("""COMPUTED_VALUE"""),"Mochammad Fadhillah Hakim,")</f>
        <v>Mochammad Fadhillah Hakim,</v>
      </c>
      <c r="N3783" s="6" t="str">
        <f>IFERROR(__xludf.DUMMYFUNCTION("""COMPUTED_VALUE"""),"FIP Engineering")</f>
        <v>FIP Engineering</v>
      </c>
      <c r="O3783" s="6" t="str">
        <f>IFERROR(__xludf.DUMMYFUNCTION("""COMPUTED_VALUE"""),"FIP-DOM-000-11304-OS00001-INA-000000")</f>
        <v>FIP-DOM-000-11304-OS00001-INA-000000</v>
      </c>
      <c r="P3783" s="6" t="str">
        <f>IFERROR(__xludf.DUMMYFUNCTION("""COMPUTED_VALUE"""),"PO Closed")</f>
        <v>PO Closed</v>
      </c>
      <c r="Q3783" s="6" t="str">
        <f>IFERROR(__xludf.DUMMYFUNCTION("""COMPUTED_VALUE"""),"GL2503050")</f>
        <v>GL2503050</v>
      </c>
      <c r="R3783" s="57">
        <f>IFERROR(__xludf.DUMMYFUNCTION("""COMPUTED_VALUE"""),45706.0)</f>
        <v>45706</v>
      </c>
      <c r="S3783" s="57">
        <f>IFERROR(__xludf.DUMMYFUNCTION("""COMPUTED_VALUE"""),45707.0)</f>
        <v>45707</v>
      </c>
      <c r="T3783" s="57">
        <f>IFERROR(__xludf.DUMMYFUNCTION("""COMPUTED_VALUE"""),45826.0)</f>
        <v>45826</v>
      </c>
    </row>
    <row r="3784">
      <c r="A3784" s="6" t="str">
        <f>IFERROR(__xludf.DUMMYFUNCTION("""COMPUTED_VALUE"""),"121702442-1")</f>
        <v>121702442-1</v>
      </c>
      <c r="B3784" s="6" t="str">
        <f>IFERROR(__xludf.DUMMYFUNCTION("""COMPUTED_VALUE"""),"121702442 - APPROVED")</f>
        <v>121702442 - APPROVED</v>
      </c>
      <c r="C3784" s="6">
        <f>IFERROR(__xludf.DUMMYFUNCTION("""COMPUTED_VALUE"""),1.0)</f>
        <v>1</v>
      </c>
      <c r="D3784" s="6" t="str">
        <f>IFERROR(__xludf.DUMMYFUNCTION("""COMPUTED_VALUE"""),"O-14639-00")</f>
        <v>O-14639-00</v>
      </c>
      <c r="E3784" s="6" t="str">
        <f>IFERROR(__xludf.DUMMYFUNCTION("""COMPUTED_VALUE"""),"EPDM Gasket for Ferrule dia. 1/2"" - P/N : -  pc")</f>
        <v>EPDM Gasket for Ferrule dia. 1/2" - P/N : -  pc</v>
      </c>
      <c r="F3784" s="6">
        <f>IFERROR(__xludf.DUMMYFUNCTION("""COMPUTED_VALUE"""),50.0)</f>
        <v>50</v>
      </c>
      <c r="G3784" s="6" t="str">
        <f>IFERROR(__xludf.DUMMYFUNCTION("""COMPUTED_VALUE"""),"Pieces")</f>
        <v>Pieces</v>
      </c>
      <c r="H3784" s="6" t="str">
        <f>IFERROR(__xludf.DUMMYFUNCTION("""COMPUTED_VALUE"""),"IDR")</f>
        <v>IDR</v>
      </c>
      <c r="I3784" s="6">
        <f>IFERROR(__xludf.DUMMYFUNCTION("""COMPUTED_VALUE"""),16500.0)</f>
        <v>16500</v>
      </c>
      <c r="J3784" s="6">
        <f>IFERROR(__xludf.DUMMYFUNCTION("""COMPUTED_VALUE"""),825000.0)</f>
        <v>825000</v>
      </c>
      <c r="K3784" s="57">
        <f>IFERROR(__xludf.DUMMYFUNCTION("""COMPUTED_VALUE"""),45751.0)</f>
        <v>45751</v>
      </c>
      <c r="L3784" s="6" t="str">
        <f>IFERROR(__xludf.DUMMYFUNCTION("""COMPUTED_VALUE"""),"FIP Engineering")</f>
        <v>FIP Engineering</v>
      </c>
      <c r="M3784" s="6" t="str">
        <f>IFERROR(__xludf.DUMMYFUNCTION("""COMPUTED_VALUE"""),"Mochammad Fadhillah Hakim,")</f>
        <v>Mochammad Fadhillah Hakim,</v>
      </c>
      <c r="N3784" s="6" t="str">
        <f>IFERROR(__xludf.DUMMYFUNCTION("""COMPUTED_VALUE"""),"FIP Engineering")</f>
        <v>FIP Engineering</v>
      </c>
      <c r="O3784" s="6" t="str">
        <f>IFERROR(__xludf.DUMMYFUNCTION("""COMPUTED_VALUE"""),"FIP-DOM-000-11304-OS00001-INA-000000")</f>
        <v>FIP-DOM-000-11304-OS00001-INA-000000</v>
      </c>
      <c r="P3784" s="6" t="str">
        <f>IFERROR(__xludf.DUMMYFUNCTION("""COMPUTED_VALUE"""),"PO Closed")</f>
        <v>PO Closed</v>
      </c>
      <c r="Q3784" s="6" t="str">
        <f>IFERROR(__xludf.DUMMYFUNCTION("""COMPUTED_VALUE"""),"GL2503023")</f>
        <v>GL2503023</v>
      </c>
      <c r="R3784" s="57">
        <f>IFERROR(__xludf.DUMMYFUNCTION("""COMPUTED_VALUE"""),45706.0)</f>
        <v>45706</v>
      </c>
      <c r="S3784" s="57">
        <f>IFERROR(__xludf.DUMMYFUNCTION("""COMPUTED_VALUE"""),45707.0)</f>
        <v>45707</v>
      </c>
      <c r="T3784" s="57">
        <f>IFERROR(__xludf.DUMMYFUNCTION("""COMPUTED_VALUE"""),45757.0)</f>
        <v>45757</v>
      </c>
    </row>
    <row r="3785">
      <c r="A3785" s="6" t="str">
        <f>IFERROR(__xludf.DUMMYFUNCTION("""COMPUTED_VALUE"""),"121702442-2")</f>
        <v>121702442-2</v>
      </c>
      <c r="B3785" s="6" t="str">
        <f>IFERROR(__xludf.DUMMYFUNCTION("""COMPUTED_VALUE"""),"121702442 - APPROVED")</f>
        <v>121702442 - APPROVED</v>
      </c>
      <c r="C3785" s="6">
        <f>IFERROR(__xludf.DUMMYFUNCTION("""COMPUTED_VALUE"""),2.0)</f>
        <v>2</v>
      </c>
      <c r="D3785" s="6" t="str">
        <f>IFERROR(__xludf.DUMMYFUNCTION("""COMPUTED_VALUE"""),"O-14641-00")</f>
        <v>O-14641-00</v>
      </c>
      <c r="E3785" s="6" t="str">
        <f>IFERROR(__xludf.DUMMYFUNCTION("""COMPUTED_VALUE"""),"General - Silicone Gasket for Ferrule dia. 1"" SMS/3A; -; -; 1 pc")</f>
        <v>General - Silicone Gasket for Ferrule dia. 1" SMS/3A; -; -; 1 pc</v>
      </c>
      <c r="F3785" s="6">
        <f>IFERROR(__xludf.DUMMYFUNCTION("""COMPUTED_VALUE"""),30.0)</f>
        <v>30</v>
      </c>
      <c r="G3785" s="6" t="str">
        <f>IFERROR(__xludf.DUMMYFUNCTION("""COMPUTED_VALUE"""),"Pieces")</f>
        <v>Pieces</v>
      </c>
      <c r="H3785" s="6" t="str">
        <f>IFERROR(__xludf.DUMMYFUNCTION("""COMPUTED_VALUE"""),"IDR")</f>
        <v>IDR</v>
      </c>
      <c r="I3785" s="6">
        <f>IFERROR(__xludf.DUMMYFUNCTION("""COMPUTED_VALUE"""),14520.0)</f>
        <v>14520</v>
      </c>
      <c r="J3785" s="6">
        <f>IFERROR(__xludf.DUMMYFUNCTION("""COMPUTED_VALUE"""),435600.0)</f>
        <v>435600</v>
      </c>
      <c r="K3785" s="57">
        <f>IFERROR(__xludf.DUMMYFUNCTION("""COMPUTED_VALUE"""),45751.0)</f>
        <v>45751</v>
      </c>
      <c r="L3785" s="6" t="str">
        <f>IFERROR(__xludf.DUMMYFUNCTION("""COMPUTED_VALUE"""),"FIP Engineering")</f>
        <v>FIP Engineering</v>
      </c>
      <c r="M3785" s="6" t="str">
        <f>IFERROR(__xludf.DUMMYFUNCTION("""COMPUTED_VALUE"""),"Mochammad Fadhillah Hakim,")</f>
        <v>Mochammad Fadhillah Hakim,</v>
      </c>
      <c r="N3785" s="6" t="str">
        <f>IFERROR(__xludf.DUMMYFUNCTION("""COMPUTED_VALUE"""),"FIP Engineering")</f>
        <v>FIP Engineering</v>
      </c>
      <c r="O3785" s="6" t="str">
        <f>IFERROR(__xludf.DUMMYFUNCTION("""COMPUTED_VALUE"""),"FIP-DOM-000-11304-OS00001-INA-000000")</f>
        <v>FIP-DOM-000-11304-OS00001-INA-000000</v>
      </c>
      <c r="P3785" s="6" t="str">
        <f>IFERROR(__xludf.DUMMYFUNCTION("""COMPUTED_VALUE"""),"PO Closed")</f>
        <v>PO Closed</v>
      </c>
      <c r="Q3785" s="6" t="str">
        <f>IFERROR(__xludf.DUMMYFUNCTION("""COMPUTED_VALUE"""),"GL2503023")</f>
        <v>GL2503023</v>
      </c>
      <c r="R3785" s="57">
        <f>IFERROR(__xludf.DUMMYFUNCTION("""COMPUTED_VALUE"""),45706.0)</f>
        <v>45706</v>
      </c>
      <c r="S3785" s="57">
        <f>IFERROR(__xludf.DUMMYFUNCTION("""COMPUTED_VALUE"""),45707.0)</f>
        <v>45707</v>
      </c>
      <c r="T3785" s="57">
        <f>IFERROR(__xludf.DUMMYFUNCTION("""COMPUTED_VALUE"""),45757.0)</f>
        <v>45757</v>
      </c>
    </row>
    <row r="3786">
      <c r="A3786" s="6" t="str">
        <f>IFERROR(__xludf.DUMMYFUNCTION("""COMPUTED_VALUE"""),"121702442-3")</f>
        <v>121702442-3</v>
      </c>
      <c r="B3786" s="6" t="str">
        <f>IFERROR(__xludf.DUMMYFUNCTION("""COMPUTED_VALUE"""),"121702442 - APPROVED")</f>
        <v>121702442 - APPROVED</v>
      </c>
      <c r="C3786" s="6">
        <f>IFERROR(__xludf.DUMMYFUNCTION("""COMPUTED_VALUE"""),3.0)</f>
        <v>3</v>
      </c>
      <c r="D3786" s="6" t="str">
        <f>IFERROR(__xludf.DUMMYFUNCTION("""COMPUTED_VALUE"""),"P-12763-00")</f>
        <v>P-12763-00</v>
      </c>
      <c r="E3786" s="6" t="str">
        <f>IFERROR(__xludf.DUMMYFUNCTION("""COMPUTED_VALUE"""),"Silicone gasket for ferrule dia 1 1/2inch Taiwan")</f>
        <v>Silicone gasket for ferrule dia 1 1/2inch Taiwan</v>
      </c>
      <c r="F3786" s="6">
        <f>IFERROR(__xludf.DUMMYFUNCTION("""COMPUTED_VALUE"""),30.0)</f>
        <v>30</v>
      </c>
      <c r="G3786" s="6" t="str">
        <f>IFERROR(__xludf.DUMMYFUNCTION("""COMPUTED_VALUE"""),"Pieces")</f>
        <v>Pieces</v>
      </c>
      <c r="H3786" s="6" t="str">
        <f>IFERROR(__xludf.DUMMYFUNCTION("""COMPUTED_VALUE"""),"IDR")</f>
        <v>IDR</v>
      </c>
      <c r="I3786" s="6">
        <f>IFERROR(__xludf.DUMMYFUNCTION("""COMPUTED_VALUE"""),16445.0)</f>
        <v>16445</v>
      </c>
      <c r="J3786" s="6">
        <f>IFERROR(__xludf.DUMMYFUNCTION("""COMPUTED_VALUE"""),493350.0)</f>
        <v>493350</v>
      </c>
      <c r="K3786" s="57">
        <f>IFERROR(__xludf.DUMMYFUNCTION("""COMPUTED_VALUE"""),45751.0)</f>
        <v>45751</v>
      </c>
      <c r="L3786" s="6" t="str">
        <f>IFERROR(__xludf.DUMMYFUNCTION("""COMPUTED_VALUE"""),"FIP Engineering")</f>
        <v>FIP Engineering</v>
      </c>
      <c r="M3786" s="6" t="str">
        <f>IFERROR(__xludf.DUMMYFUNCTION("""COMPUTED_VALUE"""),"Mochammad Fadhillah Hakim,")</f>
        <v>Mochammad Fadhillah Hakim,</v>
      </c>
      <c r="N3786" s="6" t="str">
        <f>IFERROR(__xludf.DUMMYFUNCTION("""COMPUTED_VALUE"""),"FIP Engineering")</f>
        <v>FIP Engineering</v>
      </c>
      <c r="O3786" s="6" t="str">
        <f>IFERROR(__xludf.DUMMYFUNCTION("""COMPUTED_VALUE"""),"FIP-DOM-000-11304-OS00001-INA-000000")</f>
        <v>FIP-DOM-000-11304-OS00001-INA-000000</v>
      </c>
      <c r="P3786" s="6" t="str">
        <f>IFERROR(__xludf.DUMMYFUNCTION("""COMPUTED_VALUE"""),"PO Closed")</f>
        <v>PO Closed</v>
      </c>
      <c r="Q3786" s="6" t="str">
        <f>IFERROR(__xludf.DUMMYFUNCTION("""COMPUTED_VALUE"""),"GL2503037")</f>
        <v>GL2503037</v>
      </c>
      <c r="R3786" s="57">
        <f>IFERROR(__xludf.DUMMYFUNCTION("""COMPUTED_VALUE"""),45706.0)</f>
        <v>45706</v>
      </c>
      <c r="S3786" s="57">
        <f>IFERROR(__xludf.DUMMYFUNCTION("""COMPUTED_VALUE"""),45707.0)</f>
        <v>45707</v>
      </c>
      <c r="T3786" s="57">
        <f>IFERROR(__xludf.DUMMYFUNCTION("""COMPUTED_VALUE"""),45751.0)</f>
        <v>45751</v>
      </c>
    </row>
    <row r="3787">
      <c r="A3787" s="6" t="str">
        <f>IFERROR(__xludf.DUMMYFUNCTION("""COMPUTED_VALUE"""),"121702442-4")</f>
        <v>121702442-4</v>
      </c>
      <c r="B3787" s="6" t="str">
        <f>IFERROR(__xludf.DUMMYFUNCTION("""COMPUTED_VALUE"""),"121702442 - APPROVED")</f>
        <v>121702442 - APPROVED</v>
      </c>
      <c r="C3787" s="6">
        <f>IFERROR(__xludf.DUMMYFUNCTION("""COMPUTED_VALUE"""),4.0)</f>
        <v>4</v>
      </c>
      <c r="D3787" s="6" t="str">
        <f>IFERROR(__xludf.DUMMYFUNCTION("""COMPUTED_VALUE"""),"P-12765-00")</f>
        <v>P-12765-00</v>
      </c>
      <c r="E3787" s="6" t="str">
        <f>IFERROR(__xludf.DUMMYFUNCTION("""COMPUTED_VALUE"""),"Silicone gasket for ferrule dia 2inch Taiwan")</f>
        <v>Silicone gasket for ferrule dia 2inch Taiwan</v>
      </c>
      <c r="F3787" s="6">
        <f>IFERROR(__xludf.DUMMYFUNCTION("""COMPUTED_VALUE"""),20.0)</f>
        <v>20</v>
      </c>
      <c r="G3787" s="6" t="str">
        <f>IFERROR(__xludf.DUMMYFUNCTION("""COMPUTED_VALUE"""),"Pieces")</f>
        <v>Pieces</v>
      </c>
      <c r="H3787" s="6" t="str">
        <f>IFERROR(__xludf.DUMMYFUNCTION("""COMPUTED_VALUE"""),"IDR")</f>
        <v>IDR</v>
      </c>
      <c r="I3787" s="6">
        <f>IFERROR(__xludf.DUMMYFUNCTION("""COMPUTED_VALUE"""),17160.0)</f>
        <v>17160</v>
      </c>
      <c r="J3787" s="6">
        <f>IFERROR(__xludf.DUMMYFUNCTION("""COMPUTED_VALUE"""),343200.0)</f>
        <v>343200</v>
      </c>
      <c r="K3787" s="57">
        <f>IFERROR(__xludf.DUMMYFUNCTION("""COMPUTED_VALUE"""),45751.0)</f>
        <v>45751</v>
      </c>
      <c r="L3787" s="6" t="str">
        <f>IFERROR(__xludf.DUMMYFUNCTION("""COMPUTED_VALUE"""),"FIP Engineering")</f>
        <v>FIP Engineering</v>
      </c>
      <c r="M3787" s="6" t="str">
        <f>IFERROR(__xludf.DUMMYFUNCTION("""COMPUTED_VALUE"""),"Mochammad Fadhillah Hakim,")</f>
        <v>Mochammad Fadhillah Hakim,</v>
      </c>
      <c r="N3787" s="6" t="str">
        <f>IFERROR(__xludf.DUMMYFUNCTION("""COMPUTED_VALUE"""),"FIP Engineering")</f>
        <v>FIP Engineering</v>
      </c>
      <c r="O3787" s="6" t="str">
        <f>IFERROR(__xludf.DUMMYFUNCTION("""COMPUTED_VALUE"""),"FIP-DOM-000-11304-OS00001-INA-000000")</f>
        <v>FIP-DOM-000-11304-OS00001-INA-000000</v>
      </c>
      <c r="P3787" s="6" t="str">
        <f>IFERROR(__xludf.DUMMYFUNCTION("""COMPUTED_VALUE"""),"PO Closed")</f>
        <v>PO Closed</v>
      </c>
      <c r="Q3787" s="6" t="str">
        <f>IFERROR(__xludf.DUMMYFUNCTION("""COMPUTED_VALUE"""),"GL2503037")</f>
        <v>GL2503037</v>
      </c>
      <c r="R3787" s="57">
        <f>IFERROR(__xludf.DUMMYFUNCTION("""COMPUTED_VALUE"""),45706.0)</f>
        <v>45706</v>
      </c>
      <c r="S3787" s="57">
        <f>IFERROR(__xludf.DUMMYFUNCTION("""COMPUTED_VALUE"""),45707.0)</f>
        <v>45707</v>
      </c>
      <c r="T3787" s="57">
        <f>IFERROR(__xludf.DUMMYFUNCTION("""COMPUTED_VALUE"""),45751.0)</f>
        <v>45751</v>
      </c>
    </row>
    <row r="3788">
      <c r="A3788" s="6" t="str">
        <f>IFERROR(__xludf.DUMMYFUNCTION("""COMPUTED_VALUE"""),"121702442-5")</f>
        <v>121702442-5</v>
      </c>
      <c r="B3788" s="6" t="str">
        <f>IFERROR(__xludf.DUMMYFUNCTION("""COMPUTED_VALUE"""),"121702442 - APPROVED")</f>
        <v>121702442 - APPROVED</v>
      </c>
      <c r="C3788" s="6">
        <f>IFERROR(__xludf.DUMMYFUNCTION("""COMPUTED_VALUE"""),5.0)</f>
        <v>5</v>
      </c>
      <c r="D3788" s="6" t="str">
        <f>IFERROR(__xludf.DUMMYFUNCTION("""COMPUTED_VALUE"""),"O-14642-00")</f>
        <v>O-14642-00</v>
      </c>
      <c r="E3788" s="6" t="str">
        <f>IFERROR(__xludf.DUMMYFUNCTION("""COMPUTED_VALUE"""),"Silicone Gasket for Ferrule dia. 2,5""; ; ;")</f>
        <v>Silicone Gasket for Ferrule dia. 2,5"; ; ;</v>
      </c>
      <c r="F3788" s="6">
        <f>IFERROR(__xludf.DUMMYFUNCTION("""COMPUTED_VALUE"""),25.0)</f>
        <v>25</v>
      </c>
      <c r="G3788" s="6" t="str">
        <f>IFERROR(__xludf.DUMMYFUNCTION("""COMPUTED_VALUE"""),"Pieces")</f>
        <v>Pieces</v>
      </c>
      <c r="H3788" s="6" t="str">
        <f>IFERROR(__xludf.DUMMYFUNCTION("""COMPUTED_VALUE"""),"IDR")</f>
        <v>IDR</v>
      </c>
      <c r="I3788" s="6">
        <f>IFERROR(__xludf.DUMMYFUNCTION("""COMPUTED_VALUE"""),19057.0)</f>
        <v>19057</v>
      </c>
      <c r="J3788" s="6">
        <f>IFERROR(__xludf.DUMMYFUNCTION("""COMPUTED_VALUE"""),476425.0)</f>
        <v>476425</v>
      </c>
      <c r="K3788" s="57">
        <f>IFERROR(__xludf.DUMMYFUNCTION("""COMPUTED_VALUE"""),45751.0)</f>
        <v>45751</v>
      </c>
      <c r="L3788" s="6" t="str">
        <f>IFERROR(__xludf.DUMMYFUNCTION("""COMPUTED_VALUE"""),"FIP Engineering")</f>
        <v>FIP Engineering</v>
      </c>
      <c r="M3788" s="6" t="str">
        <f>IFERROR(__xludf.DUMMYFUNCTION("""COMPUTED_VALUE"""),"Mochammad Fadhillah Hakim,")</f>
        <v>Mochammad Fadhillah Hakim,</v>
      </c>
      <c r="N3788" s="6" t="str">
        <f>IFERROR(__xludf.DUMMYFUNCTION("""COMPUTED_VALUE"""),"FIP Engineering")</f>
        <v>FIP Engineering</v>
      </c>
      <c r="O3788" s="6" t="str">
        <f>IFERROR(__xludf.DUMMYFUNCTION("""COMPUTED_VALUE"""),"FIP-DOM-000-11304-OS00001-INA-000000")</f>
        <v>FIP-DOM-000-11304-OS00001-INA-000000</v>
      </c>
      <c r="P3788" s="6" t="str">
        <f>IFERROR(__xludf.DUMMYFUNCTION("""COMPUTED_VALUE"""),"PO Closed")</f>
        <v>PO Closed</v>
      </c>
      <c r="Q3788" s="6" t="str">
        <f>IFERROR(__xludf.DUMMYFUNCTION("""COMPUTED_VALUE"""),"GL2503023")</f>
        <v>GL2503023</v>
      </c>
      <c r="R3788" s="57">
        <f>IFERROR(__xludf.DUMMYFUNCTION("""COMPUTED_VALUE"""),45706.0)</f>
        <v>45706</v>
      </c>
      <c r="S3788" s="57">
        <f>IFERROR(__xludf.DUMMYFUNCTION("""COMPUTED_VALUE"""),45707.0)</f>
        <v>45707</v>
      </c>
      <c r="T3788" s="57">
        <f>IFERROR(__xludf.DUMMYFUNCTION("""COMPUTED_VALUE"""),45757.0)</f>
        <v>45757</v>
      </c>
    </row>
    <row r="3789">
      <c r="A3789" s="6" t="str">
        <f>IFERROR(__xludf.DUMMYFUNCTION("""COMPUTED_VALUE"""),"121702442-6")</f>
        <v>121702442-6</v>
      </c>
      <c r="B3789" s="6" t="str">
        <f>IFERROR(__xludf.DUMMYFUNCTION("""COMPUTED_VALUE"""),"121702442 - APPROVED")</f>
        <v>121702442 - APPROVED</v>
      </c>
      <c r="C3789" s="6">
        <f>IFERROR(__xludf.DUMMYFUNCTION("""COMPUTED_VALUE"""),6.0)</f>
        <v>6</v>
      </c>
      <c r="D3789" s="6" t="str">
        <f>IFERROR(__xludf.DUMMYFUNCTION("""COMPUTED_VALUE"""),"O-14644-00")</f>
        <v>O-14644-00</v>
      </c>
      <c r="E3789" s="6" t="str">
        <f>IFERROR(__xludf.DUMMYFUNCTION("""COMPUTED_VALUE"""),"Silicone Gasket for Ferrule dia. 4""; ; ;")</f>
        <v>Silicone Gasket for Ferrule dia. 4"; ; ;</v>
      </c>
      <c r="F3789" s="6">
        <f>IFERROR(__xludf.DUMMYFUNCTION("""COMPUTED_VALUE"""),10.0)</f>
        <v>10</v>
      </c>
      <c r="G3789" s="6" t="str">
        <f>IFERROR(__xludf.DUMMYFUNCTION("""COMPUTED_VALUE"""),"Pieces")</f>
        <v>Pieces</v>
      </c>
      <c r="H3789" s="6" t="str">
        <f>IFERROR(__xludf.DUMMYFUNCTION("""COMPUTED_VALUE"""),"IDR")</f>
        <v>IDR</v>
      </c>
      <c r="I3789" s="6">
        <f>IFERROR(__xludf.DUMMYFUNCTION("""COMPUTED_VALUE"""),30800.0)</f>
        <v>30800</v>
      </c>
      <c r="J3789" s="6">
        <f>IFERROR(__xludf.DUMMYFUNCTION("""COMPUTED_VALUE"""),308000.0)</f>
        <v>308000</v>
      </c>
      <c r="K3789" s="57">
        <f>IFERROR(__xludf.DUMMYFUNCTION("""COMPUTED_VALUE"""),45751.0)</f>
        <v>45751</v>
      </c>
      <c r="L3789" s="6" t="str">
        <f>IFERROR(__xludf.DUMMYFUNCTION("""COMPUTED_VALUE"""),"FIP Engineering")</f>
        <v>FIP Engineering</v>
      </c>
      <c r="M3789" s="6" t="str">
        <f>IFERROR(__xludf.DUMMYFUNCTION("""COMPUTED_VALUE"""),"Mochammad Fadhillah Hakim,")</f>
        <v>Mochammad Fadhillah Hakim,</v>
      </c>
      <c r="N3789" s="6" t="str">
        <f>IFERROR(__xludf.DUMMYFUNCTION("""COMPUTED_VALUE"""),"FIP Engineering")</f>
        <v>FIP Engineering</v>
      </c>
      <c r="O3789" s="6" t="str">
        <f>IFERROR(__xludf.DUMMYFUNCTION("""COMPUTED_VALUE"""),"FIP-DOM-000-11304-OS00001-INA-000000")</f>
        <v>FIP-DOM-000-11304-OS00001-INA-000000</v>
      </c>
      <c r="P3789" s="6" t="str">
        <f>IFERROR(__xludf.DUMMYFUNCTION("""COMPUTED_VALUE"""),"PO Closed")</f>
        <v>PO Closed</v>
      </c>
      <c r="Q3789" s="6" t="str">
        <f>IFERROR(__xludf.DUMMYFUNCTION("""COMPUTED_VALUE"""),"GL2503023")</f>
        <v>GL2503023</v>
      </c>
      <c r="R3789" s="57">
        <f>IFERROR(__xludf.DUMMYFUNCTION("""COMPUTED_VALUE"""),45706.0)</f>
        <v>45706</v>
      </c>
      <c r="S3789" s="57">
        <f>IFERROR(__xludf.DUMMYFUNCTION("""COMPUTED_VALUE"""),45707.0)</f>
        <v>45707</v>
      </c>
      <c r="T3789" s="57">
        <f>IFERROR(__xludf.DUMMYFUNCTION("""COMPUTED_VALUE"""),45757.0)</f>
        <v>45757</v>
      </c>
    </row>
    <row r="3790">
      <c r="A3790" s="6" t="str">
        <f>IFERROR(__xludf.DUMMYFUNCTION("""COMPUTED_VALUE"""),"121702442-7")</f>
        <v>121702442-7</v>
      </c>
      <c r="B3790" s="6" t="str">
        <f>IFERROR(__xludf.DUMMYFUNCTION("""COMPUTED_VALUE"""),"121702442 - APPROVED")</f>
        <v>121702442 - APPROVED</v>
      </c>
      <c r="C3790" s="6">
        <f>IFERROR(__xludf.DUMMYFUNCTION("""COMPUTED_VALUE"""),7.0)</f>
        <v>7</v>
      </c>
      <c r="D3790" s="6" t="str">
        <f>IFERROR(__xludf.DUMMYFUNCTION("""COMPUTED_VALUE"""),"O-14643-00")</f>
        <v>O-14643-00</v>
      </c>
      <c r="E3790" s="6" t="str">
        <f>IFERROR(__xludf.DUMMYFUNCTION("""COMPUTED_VALUE"""),"EPDM Gasket for Ferrule dia. 3""; ; ;")</f>
        <v>EPDM Gasket for Ferrule dia. 3"; ; ;</v>
      </c>
      <c r="F3790" s="6">
        <f>IFERROR(__xludf.DUMMYFUNCTION("""COMPUTED_VALUE"""),10.0)</f>
        <v>10</v>
      </c>
      <c r="G3790" s="6" t="str">
        <f>IFERROR(__xludf.DUMMYFUNCTION("""COMPUTED_VALUE"""),"Pieces")</f>
        <v>Pieces</v>
      </c>
      <c r="H3790" s="6" t="str">
        <f>IFERROR(__xludf.DUMMYFUNCTION("""COMPUTED_VALUE"""),"IDR")</f>
        <v>IDR</v>
      </c>
      <c r="I3790" s="6">
        <f>IFERROR(__xludf.DUMMYFUNCTION("""COMPUTED_VALUE"""),37950.0)</f>
        <v>37950</v>
      </c>
      <c r="J3790" s="6">
        <f>IFERROR(__xludf.DUMMYFUNCTION("""COMPUTED_VALUE"""),379500.0)</f>
        <v>379500</v>
      </c>
      <c r="K3790" s="57">
        <f>IFERROR(__xludf.DUMMYFUNCTION("""COMPUTED_VALUE"""),45751.0)</f>
        <v>45751</v>
      </c>
      <c r="L3790" s="6" t="str">
        <f>IFERROR(__xludf.DUMMYFUNCTION("""COMPUTED_VALUE"""),"FIP Engineering")</f>
        <v>FIP Engineering</v>
      </c>
      <c r="M3790" s="6" t="str">
        <f>IFERROR(__xludf.DUMMYFUNCTION("""COMPUTED_VALUE"""),"Mochammad Fadhillah Hakim,")</f>
        <v>Mochammad Fadhillah Hakim,</v>
      </c>
      <c r="N3790" s="6" t="str">
        <f>IFERROR(__xludf.DUMMYFUNCTION("""COMPUTED_VALUE"""),"FIP Engineering")</f>
        <v>FIP Engineering</v>
      </c>
      <c r="O3790" s="6" t="str">
        <f>IFERROR(__xludf.DUMMYFUNCTION("""COMPUTED_VALUE"""),"FIP-DOM-000-11304-OS00001-INA-000000")</f>
        <v>FIP-DOM-000-11304-OS00001-INA-000000</v>
      </c>
      <c r="P3790" s="6" t="str">
        <f>IFERROR(__xludf.DUMMYFUNCTION("""COMPUTED_VALUE"""),"PO Closed")</f>
        <v>PO Closed</v>
      </c>
      <c r="Q3790" s="6" t="str">
        <f>IFERROR(__xludf.DUMMYFUNCTION("""COMPUTED_VALUE"""),"GL2503023")</f>
        <v>GL2503023</v>
      </c>
      <c r="R3790" s="57">
        <f>IFERROR(__xludf.DUMMYFUNCTION("""COMPUTED_VALUE"""),45706.0)</f>
        <v>45706</v>
      </c>
      <c r="S3790" s="57">
        <f>IFERROR(__xludf.DUMMYFUNCTION("""COMPUTED_VALUE"""),45707.0)</f>
        <v>45707</v>
      </c>
      <c r="T3790" s="57">
        <f>IFERROR(__xludf.DUMMYFUNCTION("""COMPUTED_VALUE"""),45757.0)</f>
        <v>45757</v>
      </c>
    </row>
    <row r="3791">
      <c r="A3791" s="6" t="str">
        <f>IFERROR(__xludf.DUMMYFUNCTION("""COMPUTED_VALUE"""),"121702444-1")</f>
        <v>121702444-1</v>
      </c>
      <c r="B3791" s="6" t="str">
        <f>IFERROR(__xludf.DUMMYFUNCTION("""COMPUTED_VALUE"""),"121702444 - APPROVED")</f>
        <v>121702444 - APPROVED</v>
      </c>
      <c r="C3791" s="6">
        <f>IFERROR(__xludf.DUMMYFUNCTION("""COMPUTED_VALUE"""),1.0)</f>
        <v>1</v>
      </c>
      <c r="D3791" s="6" t="str">
        <f>IFERROR(__xludf.DUMMYFUNCTION("""COMPUTED_VALUE"""),"S-60002-00")</f>
        <v>S-60002-00</v>
      </c>
      <c r="E3791" s="6" t="str">
        <f>IFERROR(__xludf.DUMMYFUNCTION("""COMPUTED_VALUE"""),"Jasa Perbaikan dan Pemeliharaan Mesin Utility - Perbaikan dan Kalibrasi Velo")</f>
        <v>Jasa Perbaikan dan Pemeliharaan Mesin Utility - Perbaikan dan Kalibrasi Velo</v>
      </c>
      <c r="F3791" s="6">
        <f>IFERROR(__xludf.DUMMYFUNCTION("""COMPUTED_VALUE"""),1.0)</f>
        <v>1</v>
      </c>
      <c r="G3791" s="6" t="str">
        <f>IFERROR(__xludf.DUMMYFUNCTION("""COMPUTED_VALUE"""),"Lot")</f>
        <v>Lot</v>
      </c>
      <c r="H3791" s="6" t="str">
        <f>IFERROR(__xludf.DUMMYFUNCTION("""COMPUTED_VALUE"""),"IDR")</f>
        <v>IDR</v>
      </c>
      <c r="I3791" s="6">
        <f>IFERROR(__xludf.DUMMYFUNCTION("""COMPUTED_VALUE"""),2.1E7)</f>
        <v>21000000</v>
      </c>
      <c r="J3791" s="6">
        <f>IFERROR(__xludf.DUMMYFUNCTION("""COMPUTED_VALUE"""),2.1E7)</f>
        <v>21000000</v>
      </c>
      <c r="K3791" s="57">
        <f>IFERROR(__xludf.DUMMYFUNCTION("""COMPUTED_VALUE"""),45734.0)</f>
        <v>45734</v>
      </c>
      <c r="L3791" s="6" t="str">
        <f>IFERROR(__xludf.DUMMYFUNCTION("""COMPUTED_VALUE"""),"FIP General")</f>
        <v>FIP General</v>
      </c>
      <c r="M3791" s="6" t="str">
        <f>IFERROR(__xludf.DUMMYFUNCTION("""COMPUTED_VALUE"""),"Mochammad Fadhillah Hakim,")</f>
        <v>Mochammad Fadhillah Hakim,</v>
      </c>
      <c r="N3791" s="6" t="str">
        <f>IFERROR(__xludf.DUMMYFUNCTION("""COMPUTED_VALUE"""),"FIP Engineering")</f>
        <v>FIP Engineering</v>
      </c>
      <c r="O3791" s="6" t="str">
        <f>IFERROR(__xludf.DUMMYFUNCTION("""COMPUTED_VALUE"""),"FIP-DOM-ENG-51508-0000000-INA-000000")</f>
        <v>FIP-DOM-ENG-51508-0000000-INA-000000</v>
      </c>
      <c r="P3791" s="6" t="str">
        <f>IFERROR(__xludf.DUMMYFUNCTION("""COMPUTED_VALUE"""),"PO Closed")</f>
        <v>PO Closed</v>
      </c>
      <c r="Q3791" s="6" t="str">
        <f>IFERROR(__xludf.DUMMYFUNCTION("""COMPUTED_VALUE"""),"GL2504049")</f>
        <v>GL2504049</v>
      </c>
      <c r="R3791" s="57">
        <f>IFERROR(__xludf.DUMMYFUNCTION("""COMPUTED_VALUE"""),45707.0)</f>
        <v>45707</v>
      </c>
      <c r="S3791" s="57">
        <f>IFERROR(__xludf.DUMMYFUNCTION("""COMPUTED_VALUE"""),45707.0)</f>
        <v>45707</v>
      </c>
      <c r="T3791" s="57">
        <f>IFERROR(__xludf.DUMMYFUNCTION("""COMPUTED_VALUE"""),45863.0)</f>
        <v>45863</v>
      </c>
    </row>
    <row r="3792">
      <c r="A3792" s="6" t="str">
        <f>IFERROR(__xludf.DUMMYFUNCTION("""COMPUTED_VALUE"""),"121702446-1")</f>
        <v>121702446-1</v>
      </c>
      <c r="B3792" s="6" t="str">
        <f>IFERROR(__xludf.DUMMYFUNCTION("""COMPUTED_VALUE"""),"121702446 - APPROVED")</f>
        <v>121702446 - APPROVED</v>
      </c>
      <c r="C3792" s="6">
        <f>IFERROR(__xludf.DUMMYFUNCTION("""COMPUTED_VALUE"""),1.0)</f>
        <v>1</v>
      </c>
      <c r="D3792" s="6" t="str">
        <f>IFERROR(__xludf.DUMMYFUNCTION("""COMPUTED_VALUE"""),"P-53050-00")</f>
        <v>P-53050-00</v>
      </c>
      <c r="E3792" s="6" t="str">
        <f>IFERROR(__xludf.DUMMYFUNCTION("""COMPUTED_VALUE"""),"General - Pompa Magnetik 150W 1 phase; Sanso; PMD 1564; 1 Unit")</f>
        <v>General - Pompa Magnetik 150W 1 phase; Sanso; PMD 1564; 1 Unit</v>
      </c>
      <c r="F3792" s="6">
        <f>IFERROR(__xludf.DUMMYFUNCTION("""COMPUTED_VALUE"""),2.0)</f>
        <v>2</v>
      </c>
      <c r="G3792" s="6" t="str">
        <f>IFERROR(__xludf.DUMMYFUNCTION("""COMPUTED_VALUE"""),"Unit")</f>
        <v>Unit</v>
      </c>
      <c r="H3792" s="6" t="str">
        <f>IFERROR(__xludf.DUMMYFUNCTION("""COMPUTED_VALUE"""),"IDR")</f>
        <v>IDR</v>
      </c>
      <c r="I3792" s="6">
        <f>IFERROR(__xludf.DUMMYFUNCTION("""COMPUTED_VALUE"""),6702000.0)</f>
        <v>6702000</v>
      </c>
      <c r="J3792" s="6">
        <f>IFERROR(__xludf.DUMMYFUNCTION("""COMPUTED_VALUE"""),1.3404E7)</f>
        <v>13404000</v>
      </c>
      <c r="K3792" s="57">
        <f>IFERROR(__xludf.DUMMYFUNCTION("""COMPUTED_VALUE"""),45735.0)</f>
        <v>45735</v>
      </c>
      <c r="L3792" s="6" t="str">
        <f>IFERROR(__xludf.DUMMYFUNCTION("""COMPUTED_VALUE"""),"FIP Engineering")</f>
        <v>FIP Engineering</v>
      </c>
      <c r="M3792" s="6" t="str">
        <f>IFERROR(__xludf.DUMMYFUNCTION("""COMPUTED_VALUE"""),"Mochammad Fadhillah Hakim,")</f>
        <v>Mochammad Fadhillah Hakim,</v>
      </c>
      <c r="N3792" s="6" t="str">
        <f>IFERROR(__xludf.DUMMYFUNCTION("""COMPUTED_VALUE"""),"FIP Engineering")</f>
        <v>FIP Engineering</v>
      </c>
      <c r="O3792" s="6" t="str">
        <f>IFERROR(__xludf.DUMMYFUNCTION("""COMPUTED_VALUE"""),"FIP-DOM-000-11304-OS00001-INA-000000")</f>
        <v>FIP-DOM-000-11304-OS00001-INA-000000</v>
      </c>
      <c r="P3792" s="6" t="str">
        <f>IFERROR(__xludf.DUMMYFUNCTION("""COMPUTED_VALUE"""),"PO Closed")</f>
        <v>PO Closed</v>
      </c>
      <c r="Q3792" s="6" t="str">
        <f>IFERROR(__xludf.DUMMYFUNCTION("""COMPUTED_VALUE"""),"GL2503034")</f>
        <v>GL2503034</v>
      </c>
      <c r="R3792" s="57">
        <f>IFERROR(__xludf.DUMMYFUNCTION("""COMPUTED_VALUE"""),45707.0)</f>
        <v>45707</v>
      </c>
      <c r="S3792" s="57">
        <f>IFERROR(__xludf.DUMMYFUNCTION("""COMPUTED_VALUE"""),45707.0)</f>
        <v>45707</v>
      </c>
      <c r="T3792" s="57">
        <f>IFERROR(__xludf.DUMMYFUNCTION("""COMPUTED_VALUE"""),45740.0)</f>
        <v>45740</v>
      </c>
    </row>
    <row r="3793">
      <c r="A3793" s="6" t="str">
        <f>IFERROR(__xludf.DUMMYFUNCTION("""COMPUTED_VALUE"""),"121702449-1")</f>
        <v>121702449-1</v>
      </c>
      <c r="B3793" s="6" t="str">
        <f>IFERROR(__xludf.DUMMYFUNCTION("""COMPUTED_VALUE"""),"121702449 - APPROVED")</f>
        <v>121702449 - APPROVED</v>
      </c>
      <c r="C3793" s="6">
        <f>IFERROR(__xludf.DUMMYFUNCTION("""COMPUTED_VALUE"""),1.0)</f>
        <v>1</v>
      </c>
      <c r="D3793" s="6" t="str">
        <f>IFERROR(__xludf.DUMMYFUNCTION("""COMPUTED_VALUE"""),"O-19212-00")</f>
        <v>O-19212-00</v>
      </c>
      <c r="E3793" s="6" t="str">
        <f>IFERROR(__xludf.DUMMYFUNCTION("""COMPUTED_VALUE"""),"Freeze Dryer MBE1207 -  Orifice No. 03 068-2006; Danfoss; ;")</f>
        <v>Freeze Dryer MBE1207 -  Orifice No. 03 068-2006; Danfoss; ;</v>
      </c>
      <c r="F3793" s="6">
        <f>IFERROR(__xludf.DUMMYFUNCTION("""COMPUTED_VALUE"""),4.0)</f>
        <v>4</v>
      </c>
      <c r="G3793" s="6" t="str">
        <f>IFERROR(__xludf.DUMMYFUNCTION("""COMPUTED_VALUE"""),"Pieces")</f>
        <v>Pieces</v>
      </c>
      <c r="H3793" s="6" t="str">
        <f>IFERROR(__xludf.DUMMYFUNCTION("""COMPUTED_VALUE"""),"IDR")</f>
        <v>IDR</v>
      </c>
      <c r="I3793" s="6">
        <f>IFERROR(__xludf.DUMMYFUNCTION("""COMPUTED_VALUE"""),130000.0)</f>
        <v>130000</v>
      </c>
      <c r="J3793" s="6">
        <f>IFERROR(__xludf.DUMMYFUNCTION("""COMPUTED_VALUE"""),520000.0)</f>
        <v>520000</v>
      </c>
      <c r="K3793" s="57">
        <f>IFERROR(__xludf.DUMMYFUNCTION("""COMPUTED_VALUE"""),45749.0)</f>
        <v>45749</v>
      </c>
      <c r="L3793" s="6" t="str">
        <f>IFERROR(__xludf.DUMMYFUNCTION("""COMPUTED_VALUE"""),"FIP Engineering")</f>
        <v>FIP Engineering</v>
      </c>
      <c r="M3793" s="6" t="str">
        <f>IFERROR(__xludf.DUMMYFUNCTION("""COMPUTED_VALUE"""),"Mochammad Fadhillah Hakim,")</f>
        <v>Mochammad Fadhillah Hakim,</v>
      </c>
      <c r="N3793" s="6" t="str">
        <f>IFERROR(__xludf.DUMMYFUNCTION("""COMPUTED_VALUE"""),"FIP Engineering")</f>
        <v>FIP Engineering</v>
      </c>
      <c r="O3793" s="6" t="str">
        <f>IFERROR(__xludf.DUMMYFUNCTION("""COMPUTED_VALUE"""),"FIP-DOM-000-11304-OS00001-INA-000000")</f>
        <v>FIP-DOM-000-11304-OS00001-INA-000000</v>
      </c>
      <c r="P3793" s="6" t="str">
        <f>IFERROR(__xludf.DUMMYFUNCTION("""COMPUTED_VALUE"""),"PO Closed")</f>
        <v>PO Closed</v>
      </c>
      <c r="Q3793" s="6" t="str">
        <f>IFERROR(__xludf.DUMMYFUNCTION("""COMPUTED_VALUE"""),"GL2503057")</f>
        <v>GL2503057</v>
      </c>
      <c r="R3793" s="57">
        <f>IFERROR(__xludf.DUMMYFUNCTION("""COMPUTED_VALUE"""),45707.0)</f>
        <v>45707</v>
      </c>
      <c r="S3793" s="57">
        <f>IFERROR(__xludf.DUMMYFUNCTION("""COMPUTED_VALUE"""),45707.0)</f>
        <v>45707</v>
      </c>
      <c r="T3793" s="57">
        <f>IFERROR(__xludf.DUMMYFUNCTION("""COMPUTED_VALUE"""),45780.0)</f>
        <v>45780</v>
      </c>
    </row>
    <row r="3794">
      <c r="A3794" s="6" t="str">
        <f>IFERROR(__xludf.DUMMYFUNCTION("""COMPUTED_VALUE"""),"121702450-1")</f>
        <v>121702450-1</v>
      </c>
      <c r="B3794" s="6" t="str">
        <f>IFERROR(__xludf.DUMMYFUNCTION("""COMPUTED_VALUE"""),"121702450 - APPROVED")</f>
        <v>121702450 - APPROVED</v>
      </c>
      <c r="C3794" s="6">
        <f>IFERROR(__xludf.DUMMYFUNCTION("""COMPUTED_VALUE"""),1.0)</f>
        <v>1</v>
      </c>
      <c r="D3794" s="6" t="str">
        <f>IFERROR(__xludf.DUMMYFUNCTION("""COMPUTED_VALUE"""),"O-18560-00")</f>
        <v>O-18560-00</v>
      </c>
      <c r="E3794" s="6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F3794" s="6">
        <f>IFERROR(__xludf.DUMMYFUNCTION("""COMPUTED_VALUE"""),1.0)</f>
        <v>1</v>
      </c>
      <c r="G3794" s="6" t="str">
        <f>IFERROR(__xludf.DUMMYFUNCTION("""COMPUTED_VALUE"""),"Pieces")</f>
        <v>Pieces</v>
      </c>
      <c r="H3794" s="6" t="str">
        <f>IFERROR(__xludf.DUMMYFUNCTION("""COMPUTED_VALUE"""),"IDR")</f>
        <v>IDR</v>
      </c>
      <c r="I3794" s="6">
        <f>IFERROR(__xludf.DUMMYFUNCTION("""COMPUTED_VALUE"""),6694445.0)</f>
        <v>6694445</v>
      </c>
      <c r="J3794" s="6">
        <f>IFERROR(__xludf.DUMMYFUNCTION("""COMPUTED_VALUE"""),6694445.0)</f>
        <v>6694445</v>
      </c>
      <c r="K3794" s="57">
        <f>IFERROR(__xludf.DUMMYFUNCTION("""COMPUTED_VALUE"""),45826.0)</f>
        <v>45826</v>
      </c>
      <c r="L3794" s="6" t="str">
        <f>IFERROR(__xludf.DUMMYFUNCTION("""COMPUTED_VALUE"""),"FIP Engineering")</f>
        <v>FIP Engineering</v>
      </c>
      <c r="M3794" s="6" t="str">
        <f>IFERROR(__xludf.DUMMYFUNCTION("""COMPUTED_VALUE"""),"Mochammad Fadhillah Hakim,")</f>
        <v>Mochammad Fadhillah Hakim,</v>
      </c>
      <c r="N3794" s="6" t="str">
        <f>IFERROR(__xludf.DUMMYFUNCTION("""COMPUTED_VALUE"""),"FIP Engineering")</f>
        <v>FIP Engineering</v>
      </c>
      <c r="O3794" s="6" t="str">
        <f>IFERROR(__xludf.DUMMYFUNCTION("""COMPUTED_VALUE"""),"FIP-DOM-000-11304-OS00001-INA-000000")</f>
        <v>FIP-DOM-000-11304-OS00001-INA-000000</v>
      </c>
      <c r="P3794" s="6" t="str">
        <f>IFERROR(__xludf.DUMMYFUNCTION("""COMPUTED_VALUE"""),"PO Closed")</f>
        <v>PO Closed</v>
      </c>
      <c r="Q3794" s="6" t="str">
        <f>IFERROR(__xludf.DUMMYFUNCTION("""COMPUTED_VALUE"""),"GL2503058")</f>
        <v>GL2503058</v>
      </c>
      <c r="R3794" s="57">
        <f>IFERROR(__xludf.DUMMYFUNCTION("""COMPUTED_VALUE"""),45707.0)</f>
        <v>45707</v>
      </c>
      <c r="S3794" s="57">
        <f>IFERROR(__xludf.DUMMYFUNCTION("""COMPUTED_VALUE"""),45707.0)</f>
        <v>45707</v>
      </c>
      <c r="T3794" s="57">
        <f>IFERROR(__xludf.DUMMYFUNCTION("""COMPUTED_VALUE"""),45887.0)</f>
        <v>45887</v>
      </c>
    </row>
    <row r="3795">
      <c r="A3795" s="6" t="str">
        <f>IFERROR(__xludf.DUMMYFUNCTION("""COMPUTED_VALUE"""),"121702450-2")</f>
        <v>121702450-2</v>
      </c>
      <c r="B3795" s="6" t="str">
        <f>IFERROR(__xludf.DUMMYFUNCTION("""COMPUTED_VALUE"""),"121702450 - APPROVED")</f>
        <v>121702450 - APPROVED</v>
      </c>
      <c r="C3795" s="6">
        <f>IFERROR(__xludf.DUMMYFUNCTION("""COMPUTED_VALUE"""),2.0)</f>
        <v>2</v>
      </c>
      <c r="D3795" s="6" t="str">
        <f>IFERROR(__xludf.DUMMYFUNCTION("""COMPUTED_VALUE"""),"O-52831-00")</f>
        <v>O-52831-00</v>
      </c>
      <c r="E3795" s="6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F3795" s="6">
        <f>IFERROR(__xludf.DUMMYFUNCTION("""COMPUTED_VALUE"""),2.0)</f>
        <v>2</v>
      </c>
      <c r="G3795" s="6" t="str">
        <f>IFERROR(__xludf.DUMMYFUNCTION("""COMPUTED_VALUE"""),"Unit")</f>
        <v>Unit</v>
      </c>
      <c r="H3795" s="6" t="str">
        <f>IFERROR(__xludf.DUMMYFUNCTION("""COMPUTED_VALUE"""),"IDR")</f>
        <v>IDR</v>
      </c>
      <c r="I3795" s="6">
        <f>IFERROR(__xludf.DUMMYFUNCTION("""COMPUTED_VALUE"""),1.2474326E7)</f>
        <v>12474326</v>
      </c>
      <c r="J3795" s="6">
        <f>IFERROR(__xludf.DUMMYFUNCTION("""COMPUTED_VALUE"""),2.4948653E7)</f>
        <v>24948653</v>
      </c>
      <c r="K3795" s="57">
        <f>IFERROR(__xludf.DUMMYFUNCTION("""COMPUTED_VALUE"""),45826.0)</f>
        <v>45826</v>
      </c>
      <c r="L3795" s="6" t="str">
        <f>IFERROR(__xludf.DUMMYFUNCTION("""COMPUTED_VALUE"""),"FIP Engineering")</f>
        <v>FIP Engineering</v>
      </c>
      <c r="M3795" s="6" t="str">
        <f>IFERROR(__xludf.DUMMYFUNCTION("""COMPUTED_VALUE"""),"Mochammad Fadhillah Hakim,")</f>
        <v>Mochammad Fadhillah Hakim,</v>
      </c>
      <c r="N3795" s="6" t="str">
        <f>IFERROR(__xludf.DUMMYFUNCTION("""COMPUTED_VALUE"""),"FIP Engineering")</f>
        <v>FIP Engineering</v>
      </c>
      <c r="O3795" s="6" t="str">
        <f>IFERROR(__xludf.DUMMYFUNCTION("""COMPUTED_VALUE"""),"FIP-DOM-000-11304-OS00001-INA-000000")</f>
        <v>FIP-DOM-000-11304-OS00001-INA-000000</v>
      </c>
      <c r="P3795" s="6" t="str">
        <f>IFERROR(__xludf.DUMMYFUNCTION("""COMPUTED_VALUE"""),"PO Closed")</f>
        <v>PO Closed</v>
      </c>
      <c r="Q3795" s="6" t="str">
        <f>IFERROR(__xludf.DUMMYFUNCTION("""COMPUTED_VALUE"""),"GL2503058")</f>
        <v>GL2503058</v>
      </c>
      <c r="R3795" s="57">
        <f>IFERROR(__xludf.DUMMYFUNCTION("""COMPUTED_VALUE"""),45707.0)</f>
        <v>45707</v>
      </c>
      <c r="S3795" s="57">
        <f>IFERROR(__xludf.DUMMYFUNCTION("""COMPUTED_VALUE"""),45707.0)</f>
        <v>45707</v>
      </c>
      <c r="T3795" s="57">
        <f>IFERROR(__xludf.DUMMYFUNCTION("""COMPUTED_VALUE"""),45887.0)</f>
        <v>45887</v>
      </c>
    </row>
    <row r="3796">
      <c r="A3796" s="6" t="str">
        <f>IFERROR(__xludf.DUMMYFUNCTION("""COMPUTED_VALUE"""),"121702450-3")</f>
        <v>121702450-3</v>
      </c>
      <c r="B3796" s="6" t="str">
        <f>IFERROR(__xludf.DUMMYFUNCTION("""COMPUTED_VALUE"""),"121702450 - APPROVED")</f>
        <v>121702450 - APPROVED</v>
      </c>
      <c r="C3796" s="6">
        <f>IFERROR(__xludf.DUMMYFUNCTION("""COMPUTED_VALUE"""),3.0)</f>
        <v>3</v>
      </c>
      <c r="D3796" s="6" t="str">
        <f>IFERROR(__xludf.DUMMYFUNCTION("""COMPUTED_VALUE"""),"O-18914-00")</f>
        <v>O-18914-00</v>
      </c>
      <c r="E3796" s="6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F3796" s="6">
        <f>IFERROR(__xludf.DUMMYFUNCTION("""COMPUTED_VALUE"""),2.0)</f>
        <v>2</v>
      </c>
      <c r="G3796" s="6" t="str">
        <f>IFERROR(__xludf.DUMMYFUNCTION("""COMPUTED_VALUE"""),"Pieces")</f>
        <v>Pieces</v>
      </c>
      <c r="H3796" s="6" t="str">
        <f>IFERROR(__xludf.DUMMYFUNCTION("""COMPUTED_VALUE"""),"IDR")</f>
        <v>IDR</v>
      </c>
      <c r="I3796" s="6">
        <f>IFERROR(__xludf.DUMMYFUNCTION("""COMPUTED_VALUE"""),1216105.0)</f>
        <v>1216105</v>
      </c>
      <c r="J3796" s="6">
        <f>IFERROR(__xludf.DUMMYFUNCTION("""COMPUTED_VALUE"""),2432211.0)</f>
        <v>2432211</v>
      </c>
      <c r="K3796" s="57">
        <f>IFERROR(__xludf.DUMMYFUNCTION("""COMPUTED_VALUE"""),45826.0)</f>
        <v>45826</v>
      </c>
      <c r="L3796" s="6" t="str">
        <f>IFERROR(__xludf.DUMMYFUNCTION("""COMPUTED_VALUE"""),"FIP Engineering")</f>
        <v>FIP Engineering</v>
      </c>
      <c r="M3796" s="6" t="str">
        <f>IFERROR(__xludf.DUMMYFUNCTION("""COMPUTED_VALUE"""),"Mochammad Fadhillah Hakim,")</f>
        <v>Mochammad Fadhillah Hakim,</v>
      </c>
      <c r="N3796" s="6" t="str">
        <f>IFERROR(__xludf.DUMMYFUNCTION("""COMPUTED_VALUE"""),"FIP Engineering")</f>
        <v>FIP Engineering</v>
      </c>
      <c r="O3796" s="6" t="str">
        <f>IFERROR(__xludf.DUMMYFUNCTION("""COMPUTED_VALUE"""),"FIP-DOM-000-11304-OS00001-INA-000000")</f>
        <v>FIP-DOM-000-11304-OS00001-INA-000000</v>
      </c>
      <c r="P3796" s="6" t="str">
        <f>IFERROR(__xludf.DUMMYFUNCTION("""COMPUTED_VALUE"""),"PO Closed")</f>
        <v>PO Closed</v>
      </c>
      <c r="Q3796" s="6" t="str">
        <f>IFERROR(__xludf.DUMMYFUNCTION("""COMPUTED_VALUE"""),"GL2503058")</f>
        <v>GL2503058</v>
      </c>
      <c r="R3796" s="57">
        <f>IFERROR(__xludf.DUMMYFUNCTION("""COMPUTED_VALUE"""),45707.0)</f>
        <v>45707</v>
      </c>
      <c r="S3796" s="57">
        <f>IFERROR(__xludf.DUMMYFUNCTION("""COMPUTED_VALUE"""),45707.0)</f>
        <v>45707</v>
      </c>
      <c r="T3796" s="57">
        <f>IFERROR(__xludf.DUMMYFUNCTION("""COMPUTED_VALUE"""),45887.0)</f>
        <v>45887</v>
      </c>
    </row>
    <row r="3797">
      <c r="A3797" s="6" t="str">
        <f>IFERROR(__xludf.DUMMYFUNCTION("""COMPUTED_VALUE"""),"121702452-1")</f>
        <v>121702452-1</v>
      </c>
      <c r="B3797" s="6" t="str">
        <f>IFERROR(__xludf.DUMMYFUNCTION("""COMPUTED_VALUE"""),"121702452 - APPROVED")</f>
        <v>121702452 - APPROVED</v>
      </c>
      <c r="C3797" s="6">
        <f>IFERROR(__xludf.DUMMYFUNCTION("""COMPUTED_VALUE"""),1.0)</f>
        <v>1</v>
      </c>
      <c r="D3797" s="6" t="str">
        <f>IFERROR(__xludf.DUMMYFUNCTION("""COMPUTED_VALUE"""),"O-19798-00")</f>
        <v>O-19798-00</v>
      </c>
      <c r="E3797" s="6" t="str">
        <f>IFERROR(__xludf.DUMMYFUNCTION("""COMPUTED_VALUE"""),"Clamp Vacuum KF16 Alumunium; ; ;")</f>
        <v>Clamp Vacuum KF16 Alumunium; ; ;</v>
      </c>
      <c r="F3797" s="6">
        <f>IFERROR(__xludf.DUMMYFUNCTION("""COMPUTED_VALUE"""),10.0)</f>
        <v>10</v>
      </c>
      <c r="G3797" s="6" t="str">
        <f>IFERROR(__xludf.DUMMYFUNCTION("""COMPUTED_VALUE"""),"Pieces")</f>
        <v>Pieces</v>
      </c>
      <c r="H3797" s="6" t="str">
        <f>IFERROR(__xludf.DUMMYFUNCTION("""COMPUTED_VALUE"""),"IDR")</f>
        <v>IDR</v>
      </c>
      <c r="I3797" s="6">
        <f>IFERROR(__xludf.DUMMYFUNCTION("""COMPUTED_VALUE"""),607500.0)</f>
        <v>607500</v>
      </c>
      <c r="J3797" s="6">
        <f>IFERROR(__xludf.DUMMYFUNCTION("""COMPUTED_VALUE"""),6075000.0)</f>
        <v>6075000</v>
      </c>
      <c r="K3797" s="57">
        <f>IFERROR(__xludf.DUMMYFUNCTION("""COMPUTED_VALUE"""),45735.0)</f>
        <v>45735</v>
      </c>
      <c r="L3797" s="6" t="str">
        <f>IFERROR(__xludf.DUMMYFUNCTION("""COMPUTED_VALUE"""),"FIP Engineering")</f>
        <v>FIP Engineering</v>
      </c>
      <c r="M3797" s="6" t="str">
        <f>IFERROR(__xludf.DUMMYFUNCTION("""COMPUTED_VALUE"""),"Mochammad Fadhillah Hakim,")</f>
        <v>Mochammad Fadhillah Hakim,</v>
      </c>
      <c r="N3797" s="6" t="str">
        <f>IFERROR(__xludf.DUMMYFUNCTION("""COMPUTED_VALUE"""),"FIP Engineering")</f>
        <v>FIP Engineering</v>
      </c>
      <c r="O3797" s="6" t="str">
        <f>IFERROR(__xludf.DUMMYFUNCTION("""COMPUTED_VALUE"""),"FIP-DOM-000-11304-OS00001-INA-000000")</f>
        <v>FIP-DOM-000-11304-OS00001-INA-000000</v>
      </c>
      <c r="P3797" s="6" t="str">
        <f>IFERROR(__xludf.DUMMYFUNCTION("""COMPUTED_VALUE"""),"PO Closed")</f>
        <v>PO Closed</v>
      </c>
      <c r="Q3797" s="6" t="str">
        <f>IFERROR(__xludf.DUMMYFUNCTION("""COMPUTED_VALUE"""),"GL2503057")</f>
        <v>GL2503057</v>
      </c>
      <c r="R3797" s="57">
        <f>IFERROR(__xludf.DUMMYFUNCTION("""COMPUTED_VALUE"""),45707.0)</f>
        <v>45707</v>
      </c>
      <c r="S3797" s="57">
        <f>IFERROR(__xludf.DUMMYFUNCTION("""COMPUTED_VALUE"""),45707.0)</f>
        <v>45707</v>
      </c>
      <c r="T3797" s="57">
        <f>IFERROR(__xludf.DUMMYFUNCTION("""COMPUTED_VALUE"""),45780.0)</f>
        <v>45780</v>
      </c>
    </row>
    <row r="3798">
      <c r="A3798" s="6" t="str">
        <f>IFERROR(__xludf.DUMMYFUNCTION("""COMPUTED_VALUE"""),"121702453-1")</f>
        <v>121702453-1</v>
      </c>
      <c r="B3798" s="6" t="str">
        <f>IFERROR(__xludf.DUMMYFUNCTION("""COMPUTED_VALUE"""),"121702453 - APPROVED")</f>
        <v>121702453 - APPROVED</v>
      </c>
      <c r="C3798" s="6">
        <f>IFERROR(__xludf.DUMMYFUNCTION("""COMPUTED_VALUE"""),1.0)</f>
        <v>1</v>
      </c>
      <c r="D3798" s="6" t="str">
        <f>IFERROR(__xludf.DUMMYFUNCTION("""COMPUTED_VALUE"""),"O-17242-00")</f>
        <v>O-17242-00</v>
      </c>
      <c r="E3798" s="6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F3798" s="6">
        <f>IFERROR(__xludf.DUMMYFUNCTION("""COMPUTED_VALUE"""),3.0)</f>
        <v>3</v>
      </c>
      <c r="G3798" s="6" t="str">
        <f>IFERROR(__xludf.DUMMYFUNCTION("""COMPUTED_VALUE"""),"Pieces")</f>
        <v>Pieces</v>
      </c>
      <c r="H3798" s="6" t="str">
        <f>IFERROR(__xludf.DUMMYFUNCTION("""COMPUTED_VALUE"""),"IDR")</f>
        <v>IDR</v>
      </c>
      <c r="I3798" s="6">
        <f>IFERROR(__xludf.DUMMYFUNCTION("""COMPUTED_VALUE"""),2600000.0)</f>
        <v>2600000</v>
      </c>
      <c r="J3798" s="6">
        <f>IFERROR(__xludf.DUMMYFUNCTION("""COMPUTED_VALUE"""),7800000.0)</f>
        <v>7800000</v>
      </c>
      <c r="K3798" s="57">
        <f>IFERROR(__xludf.DUMMYFUNCTION("""COMPUTED_VALUE"""),45765.0)</f>
        <v>45765</v>
      </c>
      <c r="L3798" s="6" t="str">
        <f>IFERROR(__xludf.DUMMYFUNCTION("""COMPUTED_VALUE"""),"FIP Engineering")</f>
        <v>FIP Engineering</v>
      </c>
      <c r="M3798" s="6" t="str">
        <f>IFERROR(__xludf.DUMMYFUNCTION("""COMPUTED_VALUE"""),"Mochammad Fadhillah Hakim,")</f>
        <v>Mochammad Fadhillah Hakim,</v>
      </c>
      <c r="N3798" s="6" t="str">
        <f>IFERROR(__xludf.DUMMYFUNCTION("""COMPUTED_VALUE"""),"FIP Engineering")</f>
        <v>FIP Engineering</v>
      </c>
      <c r="O3798" s="6" t="str">
        <f>IFERROR(__xludf.DUMMYFUNCTION("""COMPUTED_VALUE"""),"FIP-DOM-000-11304-OS00001-INA-000000")</f>
        <v>FIP-DOM-000-11304-OS00001-INA-000000</v>
      </c>
      <c r="P3798" s="6" t="str">
        <f>IFERROR(__xludf.DUMMYFUNCTION("""COMPUTED_VALUE"""),"PO Closed")</f>
        <v>PO Closed</v>
      </c>
      <c r="Q3798" s="6" t="str">
        <f>IFERROR(__xludf.DUMMYFUNCTION("""COMPUTED_VALUE"""),"GL2503049")</f>
        <v>GL2503049</v>
      </c>
      <c r="R3798" s="57">
        <f>IFERROR(__xludf.DUMMYFUNCTION("""COMPUTED_VALUE"""),45707.0)</f>
        <v>45707</v>
      </c>
      <c r="S3798" s="57">
        <f>IFERROR(__xludf.DUMMYFUNCTION("""COMPUTED_VALUE"""),45709.0)</f>
        <v>45709</v>
      </c>
      <c r="T3798" s="57">
        <f>IFERROR(__xludf.DUMMYFUNCTION("""COMPUTED_VALUE"""),45787.0)</f>
        <v>45787</v>
      </c>
    </row>
    <row r="3799">
      <c r="A3799" s="6" t="str">
        <f>IFERROR(__xludf.DUMMYFUNCTION("""COMPUTED_VALUE"""),"121702454-1")</f>
        <v>121702454-1</v>
      </c>
      <c r="B3799" s="6" t="str">
        <f>IFERROR(__xludf.DUMMYFUNCTION("""COMPUTED_VALUE"""),"121702454 - APPROVED")</f>
        <v>121702454 - APPROVED</v>
      </c>
      <c r="C3799" s="6">
        <f>IFERROR(__xludf.DUMMYFUNCTION("""COMPUTED_VALUE"""),1.0)</f>
        <v>1</v>
      </c>
      <c r="D3799" s="6" t="str">
        <f>IFERROR(__xludf.DUMMYFUNCTION("""COMPUTED_VALUE"""),"P-50797-00")</f>
        <v>P-50797-00</v>
      </c>
      <c r="E3799" s="6" t="str">
        <f>IFERROR(__xludf.DUMMYFUNCTION("""COMPUTED_VALUE"""),"Bola lampu 24V 5 Watt")</f>
        <v>Bola lampu 24V 5 Watt</v>
      </c>
      <c r="F3799" s="6">
        <f>IFERROR(__xludf.DUMMYFUNCTION("""COMPUTED_VALUE"""),20.0)</f>
        <v>20</v>
      </c>
      <c r="G3799" s="6" t="str">
        <f>IFERROR(__xludf.DUMMYFUNCTION("""COMPUTED_VALUE"""),"Pieces")</f>
        <v>Pieces</v>
      </c>
      <c r="H3799" s="6" t="str">
        <f>IFERROR(__xludf.DUMMYFUNCTION("""COMPUTED_VALUE"""),"IDR")</f>
        <v>IDR</v>
      </c>
      <c r="I3799" s="6">
        <f>IFERROR(__xludf.DUMMYFUNCTION("""COMPUTED_VALUE"""),20700.0)</f>
        <v>20700</v>
      </c>
      <c r="J3799" s="6">
        <f>IFERROR(__xludf.DUMMYFUNCTION("""COMPUTED_VALUE"""),414000.0)</f>
        <v>414000</v>
      </c>
      <c r="K3799" s="57">
        <f>IFERROR(__xludf.DUMMYFUNCTION("""COMPUTED_VALUE"""),45735.0)</f>
        <v>45735</v>
      </c>
      <c r="L3799" s="6" t="str">
        <f>IFERROR(__xludf.DUMMYFUNCTION("""COMPUTED_VALUE"""),"FIP Engineering")</f>
        <v>FIP Engineering</v>
      </c>
      <c r="M3799" s="6" t="str">
        <f>IFERROR(__xludf.DUMMYFUNCTION("""COMPUTED_VALUE"""),"Mochammad Fadhillah Hakim,")</f>
        <v>Mochammad Fadhillah Hakim,</v>
      </c>
      <c r="N3799" s="6" t="str">
        <f>IFERROR(__xludf.DUMMYFUNCTION("""COMPUTED_VALUE"""),"FIP Engineering")</f>
        <v>FIP Engineering</v>
      </c>
      <c r="O3799" s="6" t="str">
        <f>IFERROR(__xludf.DUMMYFUNCTION("""COMPUTED_VALUE"""),"FIP-DOM-000-11304-OS00001-INA-000000")</f>
        <v>FIP-DOM-000-11304-OS00001-INA-000000</v>
      </c>
      <c r="P3799" s="6" t="str">
        <f>IFERROR(__xludf.DUMMYFUNCTION("""COMPUTED_VALUE"""),"PO Closed")</f>
        <v>PO Closed</v>
      </c>
      <c r="Q3799" s="6" t="str">
        <f>IFERROR(__xludf.DUMMYFUNCTION("""COMPUTED_VALUE"""),"GL2503342")</f>
        <v>GL2503342</v>
      </c>
      <c r="R3799" s="57">
        <f>IFERROR(__xludf.DUMMYFUNCTION("""COMPUTED_VALUE"""),45707.0)</f>
        <v>45707</v>
      </c>
      <c r="S3799" s="57">
        <f>IFERROR(__xludf.DUMMYFUNCTION("""COMPUTED_VALUE"""),45709.0)</f>
        <v>45709</v>
      </c>
      <c r="T3799" s="57">
        <f>IFERROR(__xludf.DUMMYFUNCTION("""COMPUTED_VALUE"""),45735.0)</f>
        <v>45735</v>
      </c>
    </row>
    <row r="3800">
      <c r="A3800" s="6" t="str">
        <f>IFERROR(__xludf.DUMMYFUNCTION("""COMPUTED_VALUE"""),"121702454-2")</f>
        <v>121702454-2</v>
      </c>
      <c r="B3800" s="6" t="str">
        <f>IFERROR(__xludf.DUMMYFUNCTION("""COMPUTED_VALUE"""),"121702454 - APPROVED")</f>
        <v>121702454 - APPROVED</v>
      </c>
      <c r="C3800" s="6">
        <f>IFERROR(__xludf.DUMMYFUNCTION("""COMPUTED_VALUE"""),2.0)</f>
        <v>2</v>
      </c>
      <c r="D3800" s="6" t="str">
        <f>IFERROR(__xludf.DUMMYFUNCTION("""COMPUTED_VALUE"""),"P-51891-00")</f>
        <v>P-51891-00</v>
      </c>
      <c r="E3800" s="6" t="str">
        <f>IFERROR(__xludf.DUMMYFUNCTION("""COMPUTED_VALUE"""),"Exhaust Fan Panel 240VAC; ; ;")</f>
        <v>Exhaust Fan Panel 240VAC; ; ;</v>
      </c>
      <c r="F3800" s="6">
        <f>IFERROR(__xludf.DUMMYFUNCTION("""COMPUTED_VALUE"""),2.0)</f>
        <v>2</v>
      </c>
      <c r="G3800" s="6" t="str">
        <f>IFERROR(__xludf.DUMMYFUNCTION("""COMPUTED_VALUE"""),"Pieces")</f>
        <v>Pieces</v>
      </c>
      <c r="H3800" s="6" t="str">
        <f>IFERROR(__xludf.DUMMYFUNCTION("""COMPUTED_VALUE"""),"IDR")</f>
        <v>IDR</v>
      </c>
      <c r="I3800" s="6">
        <f>IFERROR(__xludf.DUMMYFUNCTION("""COMPUTED_VALUE"""),150000.0)</f>
        <v>150000</v>
      </c>
      <c r="J3800" s="6">
        <f>IFERROR(__xludf.DUMMYFUNCTION("""COMPUTED_VALUE"""),300000.0)</f>
        <v>300000</v>
      </c>
      <c r="K3800" s="57">
        <f>IFERROR(__xludf.DUMMYFUNCTION("""COMPUTED_VALUE"""),45735.0)</f>
        <v>45735</v>
      </c>
      <c r="L3800" s="6" t="str">
        <f>IFERROR(__xludf.DUMMYFUNCTION("""COMPUTED_VALUE"""),"FIP Engineering")</f>
        <v>FIP Engineering</v>
      </c>
      <c r="M3800" s="6" t="str">
        <f>IFERROR(__xludf.DUMMYFUNCTION("""COMPUTED_VALUE"""),"Mochammad Fadhillah Hakim,")</f>
        <v>Mochammad Fadhillah Hakim,</v>
      </c>
      <c r="N3800" s="6" t="str">
        <f>IFERROR(__xludf.DUMMYFUNCTION("""COMPUTED_VALUE"""),"FIP Engineering")</f>
        <v>FIP Engineering</v>
      </c>
      <c r="O3800" s="6" t="str">
        <f>IFERROR(__xludf.DUMMYFUNCTION("""COMPUTED_VALUE"""),"FIP-DOM-000-11304-OS00001-INA-000000")</f>
        <v>FIP-DOM-000-11304-OS00001-INA-000000</v>
      </c>
      <c r="P3800" s="6" t="str">
        <f>IFERROR(__xludf.DUMMYFUNCTION("""COMPUTED_VALUE"""),"PO Closed")</f>
        <v>PO Closed</v>
      </c>
      <c r="Q3800" s="6" t="str">
        <f>IFERROR(__xludf.DUMMYFUNCTION("""COMPUTED_VALUE"""),"GL2503342")</f>
        <v>GL2503342</v>
      </c>
      <c r="R3800" s="57">
        <f>IFERROR(__xludf.DUMMYFUNCTION("""COMPUTED_VALUE"""),45707.0)</f>
        <v>45707</v>
      </c>
      <c r="S3800" s="57">
        <f>IFERROR(__xludf.DUMMYFUNCTION("""COMPUTED_VALUE"""),45709.0)</f>
        <v>45709</v>
      </c>
      <c r="T3800" s="57">
        <f>IFERROR(__xludf.DUMMYFUNCTION("""COMPUTED_VALUE"""),45735.0)</f>
        <v>45735</v>
      </c>
    </row>
    <row r="3801">
      <c r="A3801" s="6" t="str">
        <f>IFERROR(__xludf.DUMMYFUNCTION("""COMPUTED_VALUE"""),"121702455-1")</f>
        <v>121702455-1</v>
      </c>
      <c r="B3801" s="6" t="str">
        <f>IFERROR(__xludf.DUMMYFUNCTION("""COMPUTED_VALUE"""),"121702455 - APPROVED")</f>
        <v>121702455 - APPROVED</v>
      </c>
      <c r="C3801" s="6">
        <f>IFERROR(__xludf.DUMMYFUNCTION("""COMPUTED_VALUE"""),1.0)</f>
        <v>1</v>
      </c>
      <c r="D3801" s="6" t="str">
        <f>IFERROR(__xludf.DUMMYFUNCTION("""COMPUTED_VALUE"""),"P-11356-00")</f>
        <v>P-11356-00</v>
      </c>
      <c r="E3801" s="6" t="str">
        <f>IFERROR(__xludf.DUMMYFUNCTION("""COMPUTED_VALUE"""),"Roda Trolly ABUS 4"" ( 100 x 27 ) Without Breake")</f>
        <v>Roda Trolly ABUS 4" ( 100 x 27 ) Without Breake</v>
      </c>
      <c r="F3801" s="6">
        <f>IFERROR(__xludf.DUMMYFUNCTION("""COMPUTED_VALUE"""),2.0)</f>
        <v>2</v>
      </c>
      <c r="G3801" s="6" t="str">
        <f>IFERROR(__xludf.DUMMYFUNCTION("""COMPUTED_VALUE"""),"Pieces")</f>
        <v>Pieces</v>
      </c>
      <c r="H3801" s="6" t="str">
        <f>IFERROR(__xludf.DUMMYFUNCTION("""COMPUTED_VALUE"""),"IDR")</f>
        <v>IDR</v>
      </c>
      <c r="I3801" s="6">
        <f>IFERROR(__xludf.DUMMYFUNCTION("""COMPUTED_VALUE"""),451000.0)</f>
        <v>451000</v>
      </c>
      <c r="J3801" s="6">
        <f>IFERROR(__xludf.DUMMYFUNCTION("""COMPUTED_VALUE"""),902000.0)</f>
        <v>902000</v>
      </c>
      <c r="K3801" s="57">
        <f>IFERROR(__xludf.DUMMYFUNCTION("""COMPUTED_VALUE"""),45735.0)</f>
        <v>45735</v>
      </c>
      <c r="L3801" s="6" t="str">
        <f>IFERROR(__xludf.DUMMYFUNCTION("""COMPUTED_VALUE"""),"FIP Engineering")</f>
        <v>FIP Engineering</v>
      </c>
      <c r="M3801" s="6" t="str">
        <f>IFERROR(__xludf.DUMMYFUNCTION("""COMPUTED_VALUE"""),"Mochammad Fadhillah Hakim,")</f>
        <v>Mochammad Fadhillah Hakim,</v>
      </c>
      <c r="N3801" s="6" t="str">
        <f>IFERROR(__xludf.DUMMYFUNCTION("""COMPUTED_VALUE"""),"FIP Engineering")</f>
        <v>FIP Engineering</v>
      </c>
      <c r="O3801" s="6" t="str">
        <f>IFERROR(__xludf.DUMMYFUNCTION("""COMPUTED_VALUE"""),"FIP-DOM-000-11304-OS00001-INA-000000")</f>
        <v>FIP-DOM-000-11304-OS00001-INA-000000</v>
      </c>
      <c r="P3801" s="6" t="str">
        <f>IFERROR(__xludf.DUMMYFUNCTION("""COMPUTED_VALUE"""),"PO Closed")</f>
        <v>PO Closed</v>
      </c>
      <c r="Q3801" s="6" t="str">
        <f>IFERROR(__xludf.DUMMYFUNCTION("""COMPUTED_VALUE"""),"GL2503344")</f>
        <v>GL2503344</v>
      </c>
      <c r="R3801" s="57">
        <f>IFERROR(__xludf.DUMMYFUNCTION("""COMPUTED_VALUE"""),45707.0)</f>
        <v>45707</v>
      </c>
      <c r="S3801" s="57">
        <f>IFERROR(__xludf.DUMMYFUNCTION("""COMPUTED_VALUE"""),45709.0)</f>
        <v>45709</v>
      </c>
      <c r="T3801" s="57">
        <f>IFERROR(__xludf.DUMMYFUNCTION("""COMPUTED_VALUE"""),45735.0)</f>
        <v>45735</v>
      </c>
    </row>
    <row r="3802">
      <c r="A3802" s="6" t="str">
        <f>IFERROR(__xludf.DUMMYFUNCTION("""COMPUTED_VALUE"""),"121702456-1")</f>
        <v>121702456-1</v>
      </c>
      <c r="B3802" s="6" t="str">
        <f>IFERROR(__xludf.DUMMYFUNCTION("""COMPUTED_VALUE"""),"121702456 - APPROVED")</f>
        <v>121702456 - APPROVED</v>
      </c>
      <c r="C3802" s="6">
        <f>IFERROR(__xludf.DUMMYFUNCTION("""COMPUTED_VALUE"""),1.0)</f>
        <v>1</v>
      </c>
      <c r="D3802" s="6" t="str">
        <f>IFERROR(__xludf.DUMMYFUNCTION("""COMPUTED_VALUE"""),"Q-10128-00")</f>
        <v>Q-10128-00</v>
      </c>
      <c r="E3802" s="6" t="str">
        <f>IFERROR(__xludf.DUMMYFUNCTION("""COMPUTED_VALUE"""),"Thinner Super End/Impala @ 1 Liter")</f>
        <v>Thinner Super End/Impala @ 1 Liter</v>
      </c>
      <c r="F3802" s="6">
        <f>IFERROR(__xludf.DUMMYFUNCTION("""COMPUTED_VALUE"""),20.0)</f>
        <v>20</v>
      </c>
      <c r="G3802" s="6" t="str">
        <f>IFERROR(__xludf.DUMMYFUNCTION("""COMPUTED_VALUE"""),"Pieces")</f>
        <v>Pieces</v>
      </c>
      <c r="H3802" s="6" t="str">
        <f>IFERROR(__xludf.DUMMYFUNCTION("""COMPUTED_VALUE"""),"IDR")</f>
        <v>IDR</v>
      </c>
      <c r="I3802" s="6">
        <f>IFERROR(__xludf.DUMMYFUNCTION("""COMPUTED_VALUE"""),37500.0)</f>
        <v>37500</v>
      </c>
      <c r="J3802" s="6">
        <f>IFERROR(__xludf.DUMMYFUNCTION("""COMPUTED_VALUE"""),750000.0)</f>
        <v>750000</v>
      </c>
      <c r="K3802" s="57">
        <f>IFERROR(__xludf.DUMMYFUNCTION("""COMPUTED_VALUE"""),45735.0)</f>
        <v>45735</v>
      </c>
      <c r="L3802" s="6" t="str">
        <f>IFERROR(__xludf.DUMMYFUNCTION("""COMPUTED_VALUE"""),"FIP Engineering")</f>
        <v>FIP Engineering</v>
      </c>
      <c r="M3802" s="6" t="str">
        <f>IFERROR(__xludf.DUMMYFUNCTION("""COMPUTED_VALUE"""),"Mochammad Fadhillah Hakim,")</f>
        <v>Mochammad Fadhillah Hakim,</v>
      </c>
      <c r="N3802" s="6" t="str">
        <f>IFERROR(__xludf.DUMMYFUNCTION("""COMPUTED_VALUE"""),"FIP Engineering")</f>
        <v>FIP Engineering</v>
      </c>
      <c r="O3802" s="6" t="str">
        <f>IFERROR(__xludf.DUMMYFUNCTION("""COMPUTED_VALUE"""),"FIP-DOM-000-11304-OS00001-INA-000000")</f>
        <v>FIP-DOM-000-11304-OS00001-INA-000000</v>
      </c>
      <c r="P3802" s="6" t="str">
        <f>IFERROR(__xludf.DUMMYFUNCTION("""COMPUTED_VALUE"""),"PO Closed")</f>
        <v>PO Closed</v>
      </c>
      <c r="Q3802" s="6" t="str">
        <f>IFERROR(__xludf.DUMMYFUNCTION("""COMPUTED_VALUE"""),"GL2503011")</f>
        <v>GL2503011</v>
      </c>
      <c r="R3802" s="57">
        <f>IFERROR(__xludf.DUMMYFUNCTION("""COMPUTED_VALUE"""),45707.0)</f>
        <v>45707</v>
      </c>
      <c r="S3802" s="57">
        <f>IFERROR(__xludf.DUMMYFUNCTION("""COMPUTED_VALUE"""),45709.0)</f>
        <v>45709</v>
      </c>
      <c r="T3802" s="57">
        <f>IFERROR(__xludf.DUMMYFUNCTION("""COMPUTED_VALUE"""),45736.0)</f>
        <v>45736</v>
      </c>
    </row>
    <row r="3803">
      <c r="A3803" s="6" t="str">
        <f>IFERROR(__xludf.DUMMYFUNCTION("""COMPUTED_VALUE"""),"121702461-1")</f>
        <v>121702461-1</v>
      </c>
      <c r="B3803" s="6" t="str">
        <f>IFERROR(__xludf.DUMMYFUNCTION("""COMPUTED_VALUE"""),"121702461 - APPROVED")</f>
        <v>121702461 - APPROVED</v>
      </c>
      <c r="C3803" s="6">
        <f>IFERROR(__xludf.DUMMYFUNCTION("""COMPUTED_VALUE"""),1.0)</f>
        <v>1</v>
      </c>
      <c r="D3803" s="6" t="str">
        <f>IFERROR(__xludf.DUMMYFUNCTION("""COMPUTED_VALUE"""),"O-51742-00")</f>
        <v>O-51742-00</v>
      </c>
      <c r="E3803" s="6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F3803" s="6">
        <f>IFERROR(__xludf.DUMMYFUNCTION("""COMPUTED_VALUE"""),3.0)</f>
        <v>3</v>
      </c>
      <c r="G3803" s="6" t="str">
        <f>IFERROR(__xludf.DUMMYFUNCTION("""COMPUTED_VALUE"""),"Unit")</f>
        <v>Unit</v>
      </c>
      <c r="H3803" s="6" t="str">
        <f>IFERROR(__xludf.DUMMYFUNCTION("""COMPUTED_VALUE"""),"IDR")</f>
        <v>IDR</v>
      </c>
      <c r="I3803" s="6">
        <f>IFERROR(__xludf.DUMMYFUNCTION("""COMPUTED_VALUE"""),5750000.0)</f>
        <v>5750000</v>
      </c>
      <c r="J3803" s="6">
        <f>IFERROR(__xludf.DUMMYFUNCTION("""COMPUTED_VALUE"""),1.725E7)</f>
        <v>17250000</v>
      </c>
      <c r="K3803" s="57">
        <f>IFERROR(__xludf.DUMMYFUNCTION("""COMPUTED_VALUE"""),45723.0)</f>
        <v>45723</v>
      </c>
      <c r="L3803" s="6" t="str">
        <f>IFERROR(__xludf.DUMMYFUNCTION("""COMPUTED_VALUE"""),"FIP Engineering")</f>
        <v>FIP Engineering</v>
      </c>
      <c r="M3803" s="6" t="str">
        <f>IFERROR(__xludf.DUMMYFUNCTION("""COMPUTED_VALUE"""),"Mochammad Fadhillah Hakim,")</f>
        <v>Mochammad Fadhillah Hakim,</v>
      </c>
      <c r="N3803" s="6" t="str">
        <f>IFERROR(__xludf.DUMMYFUNCTION("""COMPUTED_VALUE"""),"FIP Engineering")</f>
        <v>FIP Engineering</v>
      </c>
      <c r="O3803" s="6" t="str">
        <f>IFERROR(__xludf.DUMMYFUNCTION("""COMPUTED_VALUE"""),"FIP-DOM-000-11304-OS00001-INA-000000")</f>
        <v>FIP-DOM-000-11304-OS00001-INA-000000</v>
      </c>
      <c r="P3803" s="6" t="str">
        <f>IFERROR(__xludf.DUMMYFUNCTION("""COMPUTED_VALUE"""),"PO Closed")</f>
        <v>PO Closed</v>
      </c>
      <c r="Q3803" s="6" t="str">
        <f>IFERROR(__xludf.DUMMYFUNCTION("""COMPUTED_VALUE"""),"GL2503035")</f>
        <v>GL2503035</v>
      </c>
      <c r="R3803" s="57">
        <f>IFERROR(__xludf.DUMMYFUNCTION("""COMPUTED_VALUE"""),45709.0)</f>
        <v>45709</v>
      </c>
      <c r="S3803" s="57">
        <f>IFERROR(__xludf.DUMMYFUNCTION("""COMPUTED_VALUE"""),45709.0)</f>
        <v>45709</v>
      </c>
      <c r="T3803" s="57">
        <f>IFERROR(__xludf.DUMMYFUNCTION("""COMPUTED_VALUE"""),45838.0)</f>
        <v>45838</v>
      </c>
    </row>
    <row r="3804">
      <c r="A3804" s="6" t="str">
        <f>IFERROR(__xludf.DUMMYFUNCTION("""COMPUTED_VALUE"""),"121702463-1")</f>
        <v>121702463-1</v>
      </c>
      <c r="B3804" s="6" t="str">
        <f>IFERROR(__xludf.DUMMYFUNCTION("""COMPUTED_VALUE"""),"121702463 - APPROVED")</f>
        <v>121702463 - APPROVED</v>
      </c>
      <c r="C3804" s="6">
        <f>IFERROR(__xludf.DUMMYFUNCTION("""COMPUTED_VALUE"""),1.0)</f>
        <v>1</v>
      </c>
      <c r="D3804" s="6" t="str">
        <f>IFERROR(__xludf.DUMMYFUNCTION("""COMPUTED_VALUE"""),"Q-60402-00")</f>
        <v>Q-60402-00</v>
      </c>
      <c r="E3804" s="6" t="str">
        <f>IFERROR(__xludf.DUMMYFUNCTION("""COMPUTED_VALUE"""),"Aquaproof Abu Abu; Aquaproof; Type 061 Abu Abu; 20 liter/pail")</f>
        <v>Aquaproof Abu Abu; Aquaproof; Type 061 Abu Abu; 20 liter/pail</v>
      </c>
      <c r="F3804" s="6">
        <f>IFERROR(__xludf.DUMMYFUNCTION("""COMPUTED_VALUE"""),12.0)</f>
        <v>12</v>
      </c>
      <c r="G3804" s="6" t="str">
        <f>IFERROR(__xludf.DUMMYFUNCTION("""COMPUTED_VALUE"""),"Pail")</f>
        <v>Pail</v>
      </c>
      <c r="H3804" s="6" t="str">
        <f>IFERROR(__xludf.DUMMYFUNCTION("""COMPUTED_VALUE"""),"IDR")</f>
        <v>IDR</v>
      </c>
      <c r="I3804" s="6">
        <f>IFERROR(__xludf.DUMMYFUNCTION("""COMPUTED_VALUE"""),1060000.0)</f>
        <v>1060000</v>
      </c>
      <c r="J3804" s="6">
        <f>IFERROR(__xludf.DUMMYFUNCTION("""COMPUTED_VALUE"""),1.272E7)</f>
        <v>12720000</v>
      </c>
      <c r="K3804" s="57">
        <f>IFERROR(__xludf.DUMMYFUNCTION("""COMPUTED_VALUE"""),45737.0)</f>
        <v>45737</v>
      </c>
      <c r="L3804" s="6" t="str">
        <f>IFERROR(__xludf.DUMMYFUNCTION("""COMPUTED_VALUE"""),"FIP General")</f>
        <v>FIP General</v>
      </c>
      <c r="M3804" s="6" t="str">
        <f>IFERROR(__xludf.DUMMYFUNCTION("""COMPUTED_VALUE"""),"Mochammad Fadhillah Hakim,")</f>
        <v>Mochammad Fadhillah Hakim,</v>
      </c>
      <c r="N3804" s="6" t="str">
        <f>IFERROR(__xludf.DUMMYFUNCTION("""COMPUTED_VALUE"""),"FIP Engineering")</f>
        <v>FIP Engineering</v>
      </c>
      <c r="O3804" s="6" t="str">
        <f>IFERROR(__xludf.DUMMYFUNCTION("""COMPUTED_VALUE"""),"FIP-DOM-ENG-51502-0000000-INA-000000")</f>
        <v>FIP-DOM-ENG-51502-0000000-INA-000000</v>
      </c>
      <c r="P3804" s="6" t="str">
        <f>IFERROR(__xludf.DUMMYFUNCTION("""COMPUTED_VALUE"""),"PO Closed")</f>
        <v>PO Closed</v>
      </c>
      <c r="Q3804" s="6" t="str">
        <f>IFERROR(__xludf.DUMMYFUNCTION("""COMPUTED_VALUE"""),"GL2503011")</f>
        <v>GL2503011</v>
      </c>
      <c r="R3804" s="57">
        <f>IFERROR(__xludf.DUMMYFUNCTION("""COMPUTED_VALUE"""),45709.0)</f>
        <v>45709</v>
      </c>
      <c r="S3804" s="57">
        <f>IFERROR(__xludf.DUMMYFUNCTION("""COMPUTED_VALUE"""),45712.0)</f>
        <v>45712</v>
      </c>
      <c r="T3804" s="57">
        <f>IFERROR(__xludf.DUMMYFUNCTION("""COMPUTED_VALUE"""),45736.0)</f>
        <v>45736</v>
      </c>
    </row>
    <row r="3805">
      <c r="A3805" s="6" t="str">
        <f>IFERROR(__xludf.DUMMYFUNCTION("""COMPUTED_VALUE"""),"121702467-1")</f>
        <v>121702467-1</v>
      </c>
      <c r="B3805" s="6" t="str">
        <f>IFERROR(__xludf.DUMMYFUNCTION("""COMPUTED_VALUE"""),"121702467 - APPROVED")</f>
        <v>121702467 - APPROVED</v>
      </c>
      <c r="C3805" s="6">
        <f>IFERROR(__xludf.DUMMYFUNCTION("""COMPUTED_VALUE"""),1.0)</f>
        <v>1</v>
      </c>
      <c r="D3805" s="6" t="str">
        <f>IFERROR(__xludf.DUMMYFUNCTION("""COMPUTED_VALUE"""),"P-14424-00")</f>
        <v>P-14424-00</v>
      </c>
      <c r="E3805" s="6" t="str">
        <f>IFERROR(__xludf.DUMMYFUNCTION("""COMPUTED_VALUE"""),"Garam Kutreat RGN-9800F; ; ; 25Kg/zak")</f>
        <v>Garam Kutreat RGN-9800F; ; ; 25Kg/zak</v>
      </c>
      <c r="F3805" s="6">
        <f>IFERROR(__xludf.DUMMYFUNCTION("""COMPUTED_VALUE"""),450.0)</f>
        <v>450</v>
      </c>
      <c r="G3805" s="6" t="str">
        <f>IFERROR(__xludf.DUMMYFUNCTION("""COMPUTED_VALUE"""),"Kilogram")</f>
        <v>Kilogram</v>
      </c>
      <c r="H3805" s="6" t="str">
        <f>IFERROR(__xludf.DUMMYFUNCTION("""COMPUTED_VALUE"""),"IDR")</f>
        <v>IDR</v>
      </c>
      <c r="I3805" s="6">
        <f>IFERROR(__xludf.DUMMYFUNCTION("""COMPUTED_VALUE"""),10200.0)</f>
        <v>10200</v>
      </c>
      <c r="J3805" s="6">
        <f>IFERROR(__xludf.DUMMYFUNCTION("""COMPUTED_VALUE"""),4590000.0)</f>
        <v>4590000</v>
      </c>
      <c r="K3805" s="57">
        <f>IFERROR(__xludf.DUMMYFUNCTION("""COMPUTED_VALUE"""),45926.0)</f>
        <v>45926</v>
      </c>
      <c r="L3805" s="6" t="str">
        <f>IFERROR(__xludf.DUMMYFUNCTION("""COMPUTED_VALUE"""),"FIP Engineering")</f>
        <v>FIP Engineering</v>
      </c>
      <c r="M3805" s="6" t="str">
        <f>IFERROR(__xludf.DUMMYFUNCTION("""COMPUTED_VALUE"""),"Mochammad Fadhillah Hakim,")</f>
        <v>Mochammad Fadhillah Hakim,</v>
      </c>
      <c r="N3805" s="6" t="str">
        <f>IFERROR(__xludf.DUMMYFUNCTION("""COMPUTED_VALUE"""),"FIP Engineering")</f>
        <v>FIP Engineering</v>
      </c>
      <c r="O3805" s="6" t="str">
        <f>IFERROR(__xludf.DUMMYFUNCTION("""COMPUTED_VALUE"""),"FIP-DOM-000-11304-OS00001-INA-000000")</f>
        <v>FIP-DOM-000-11304-OS00001-INA-000000</v>
      </c>
      <c r="P3805" s="6" t="str">
        <f>IFERROR(__xludf.DUMMYFUNCTION("""COMPUTED_VALUE"""),"PO Closed")</f>
        <v>PO Closed</v>
      </c>
      <c r="Q3805" s="6" t="str">
        <f>IFERROR(__xludf.DUMMYFUNCTION("""COMPUTED_VALUE"""),"GL2503345")</f>
        <v>GL2503345</v>
      </c>
      <c r="R3805" s="57">
        <f>IFERROR(__xludf.DUMMYFUNCTION("""COMPUTED_VALUE"""),45714.0)</f>
        <v>45714</v>
      </c>
      <c r="S3805" s="57">
        <f>IFERROR(__xludf.DUMMYFUNCTION("""COMPUTED_VALUE"""),45714.0)</f>
        <v>45714</v>
      </c>
      <c r="T3805" s="57">
        <f>IFERROR(__xludf.DUMMYFUNCTION("""COMPUTED_VALUE"""),45926.0)</f>
        <v>45926</v>
      </c>
    </row>
    <row r="3806">
      <c r="A3806" s="6" t="str">
        <f>IFERROR(__xludf.DUMMYFUNCTION("""COMPUTED_VALUE"""),"121702474-1")</f>
        <v>121702474-1</v>
      </c>
      <c r="B3806" s="6" t="str">
        <f>IFERROR(__xludf.DUMMYFUNCTION("""COMPUTED_VALUE"""),"121702474 - APPROVED")</f>
        <v>121702474 - APPROVED</v>
      </c>
      <c r="C3806" s="6">
        <f>IFERROR(__xludf.DUMMYFUNCTION("""COMPUTED_VALUE"""),1.0)</f>
        <v>1</v>
      </c>
      <c r="D3806" s="6" t="str">
        <f>IFERROR(__xludf.DUMMYFUNCTION("""COMPUTED_VALUE"""),"S-60050-00")</f>
        <v>S-60050-00</v>
      </c>
      <c r="E3806" s="6" t="str">
        <f>IFERROR(__xludf.DUMMYFUNCTION("""COMPUTED_VALUE"""),"Jasa Perbaikan dan Pemeliharaan Mesin Produksi; ; ; - Pembuatan Tee Reducer untuk sampling N2 mesin FD")</f>
        <v>Jasa Perbaikan dan Pemeliharaan Mesin Produksi; ; ; - Pembuatan Tee Reducer untuk sampling N2 mesin FD</v>
      </c>
      <c r="F3806" s="6">
        <f>IFERROR(__xludf.DUMMYFUNCTION("""COMPUTED_VALUE"""),1.0)</f>
        <v>1</v>
      </c>
      <c r="G3806" s="6" t="str">
        <f>IFERROR(__xludf.DUMMYFUNCTION("""COMPUTED_VALUE"""),"Pieces")</f>
        <v>Pieces</v>
      </c>
      <c r="H3806" s="6" t="str">
        <f>IFERROR(__xludf.DUMMYFUNCTION("""COMPUTED_VALUE"""),"IDR")</f>
        <v>IDR</v>
      </c>
      <c r="I3806" s="6">
        <f>IFERROR(__xludf.DUMMYFUNCTION("""COMPUTED_VALUE"""),4676500.0)</f>
        <v>4676500</v>
      </c>
      <c r="J3806" s="6">
        <f>IFERROR(__xludf.DUMMYFUNCTION("""COMPUTED_VALUE"""),4676500.0)</f>
        <v>4676500</v>
      </c>
      <c r="K3806" s="57">
        <f>IFERROR(__xludf.DUMMYFUNCTION("""COMPUTED_VALUE"""),45718.0)</f>
        <v>45718</v>
      </c>
      <c r="L3806" s="6" t="str">
        <f>IFERROR(__xludf.DUMMYFUNCTION("""COMPUTED_VALUE"""),"FIP General")</f>
        <v>FIP General</v>
      </c>
      <c r="M3806" s="6" t="str">
        <f>IFERROR(__xludf.DUMMYFUNCTION("""COMPUTED_VALUE"""),"Mochammad Fadhillah Hakim,")</f>
        <v>Mochammad Fadhillah Hakim,</v>
      </c>
      <c r="N3806" s="6" t="str">
        <f>IFERROR(__xludf.DUMMYFUNCTION("""COMPUTED_VALUE"""),"FIP Engineering")</f>
        <v>FIP Engineering</v>
      </c>
      <c r="O3806" s="6" t="str">
        <f>IFERROR(__xludf.DUMMYFUNCTION("""COMPUTED_VALUE"""),"FIP-DOM-ENG-51504-0000000-INA-000000")</f>
        <v>FIP-DOM-ENG-51504-0000000-INA-000000</v>
      </c>
      <c r="P3806" s="6" t="str">
        <f>IFERROR(__xludf.DUMMYFUNCTION("""COMPUTED_VALUE"""),"PO Closed")</f>
        <v>PO Closed</v>
      </c>
      <c r="Q3806" s="6" t="str">
        <f>IFERROR(__xludf.DUMMYFUNCTION("""COMPUTED_VALUE"""),"GL2504005")</f>
        <v>GL2504005</v>
      </c>
      <c r="R3806" s="57">
        <f>IFERROR(__xludf.DUMMYFUNCTION("""COMPUTED_VALUE"""),45716.0)</f>
        <v>45716</v>
      </c>
      <c r="S3806" s="57">
        <f>IFERROR(__xludf.DUMMYFUNCTION("""COMPUTED_VALUE"""),45716.0)</f>
        <v>45716</v>
      </c>
      <c r="T3806" s="57">
        <f>IFERROR(__xludf.DUMMYFUNCTION("""COMPUTED_VALUE"""),45793.0)</f>
        <v>45793</v>
      </c>
    </row>
    <row r="3807">
      <c r="A3807" s="6" t="str">
        <f>IFERROR(__xludf.DUMMYFUNCTION("""COMPUTED_VALUE"""),"121702475-1")</f>
        <v>121702475-1</v>
      </c>
      <c r="B3807" s="6" t="str">
        <f>IFERROR(__xludf.DUMMYFUNCTION("""COMPUTED_VALUE"""),"121702475 - APPROVED")</f>
        <v>121702475 - APPROVED</v>
      </c>
      <c r="C3807" s="6">
        <f>IFERROR(__xludf.DUMMYFUNCTION("""COMPUTED_VALUE"""),1.0)</f>
        <v>1</v>
      </c>
      <c r="D3807" s="6" t="str">
        <f>IFERROR(__xludf.DUMMYFUNCTION("""COMPUTED_VALUE"""),"T-20123-00")</f>
        <v>T-20123-00</v>
      </c>
      <c r="E3807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807" s="6">
        <f>IFERROR(__xludf.DUMMYFUNCTION("""COMPUTED_VALUE"""),3.0)</f>
        <v>3</v>
      </c>
      <c r="G3807" s="6" t="str">
        <f>IFERROR(__xludf.DUMMYFUNCTION("""COMPUTED_VALUE"""),"Pieces")</f>
        <v>Pieces</v>
      </c>
      <c r="H3807" s="6" t="str">
        <f>IFERROR(__xludf.DUMMYFUNCTION("""COMPUTED_VALUE"""),"IDR")</f>
        <v>IDR</v>
      </c>
      <c r="I3807" s="6">
        <f>IFERROR(__xludf.DUMMYFUNCTION("""COMPUTED_VALUE"""),1.2328425E7)</f>
        <v>12328425</v>
      </c>
      <c r="J3807" s="6">
        <f>IFERROR(__xludf.DUMMYFUNCTION("""COMPUTED_VALUE"""),3.6985275E7)</f>
        <v>36985275</v>
      </c>
      <c r="K3807" s="57">
        <f>IFERROR(__xludf.DUMMYFUNCTION("""COMPUTED_VALUE"""),45744.0)</f>
        <v>45744</v>
      </c>
      <c r="L3807" s="6" t="str">
        <f>IFERROR(__xludf.DUMMYFUNCTION("""COMPUTED_VALUE"""),"FIP General")</f>
        <v>FIP General</v>
      </c>
      <c r="M3807" s="6" t="str">
        <f>IFERROR(__xludf.DUMMYFUNCTION("""COMPUTED_VALUE"""),"Mochammad Fadhillah Hakim,")</f>
        <v>Mochammad Fadhillah Hakim,</v>
      </c>
      <c r="N3807" s="6" t="str">
        <f>IFERROR(__xludf.DUMMYFUNCTION("""COMPUTED_VALUE"""),"FIP Engineering")</f>
        <v>FIP Engineering</v>
      </c>
      <c r="O3807" s="6" t="str">
        <f>IFERROR(__xludf.DUMMYFUNCTION("""COMPUTED_VALUE"""),"FIP-DOM-ENG-51505-0000000-INA-000000")</f>
        <v>FIP-DOM-ENG-51505-0000000-INA-000000</v>
      </c>
      <c r="P3807" s="6" t="str">
        <f>IFERROR(__xludf.DUMMYFUNCTION("""COMPUTED_VALUE"""),"PO Closed")</f>
        <v>PO Closed</v>
      </c>
      <c r="Q3807" s="6" t="str">
        <f>IFERROR(__xludf.DUMMYFUNCTION("""COMPUTED_VALUE"""),"GL2506377")</f>
        <v>GL2506377</v>
      </c>
      <c r="R3807" s="57">
        <f>IFERROR(__xludf.DUMMYFUNCTION("""COMPUTED_VALUE"""),45716.0)</f>
        <v>45716</v>
      </c>
      <c r="S3807" s="57">
        <f>IFERROR(__xludf.DUMMYFUNCTION("""COMPUTED_VALUE"""),45721.0)</f>
        <v>45721</v>
      </c>
      <c r="T3807" s="57">
        <f>IFERROR(__xludf.DUMMYFUNCTION("""COMPUTED_VALUE"""),45933.0)</f>
        <v>45933</v>
      </c>
    </row>
    <row r="3808">
      <c r="A3808" s="6" t="str">
        <f>IFERROR(__xludf.DUMMYFUNCTION("""COMPUTED_VALUE"""),"121702475-2")</f>
        <v>121702475-2</v>
      </c>
      <c r="B3808" s="6" t="str">
        <f>IFERROR(__xludf.DUMMYFUNCTION("""COMPUTED_VALUE"""),"121702475 - APPROVED")</f>
        <v>121702475 - APPROVED</v>
      </c>
      <c r="C3808" s="6">
        <f>IFERROR(__xludf.DUMMYFUNCTION("""COMPUTED_VALUE"""),2.0)</f>
        <v>2</v>
      </c>
      <c r="D3808" s="6" t="str">
        <f>IFERROR(__xludf.DUMMYFUNCTION("""COMPUTED_VALUE"""),"T-20123-00")</f>
        <v>T-20123-00</v>
      </c>
      <c r="E3808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3808" s="6">
        <f>IFERROR(__xludf.DUMMYFUNCTION("""COMPUTED_VALUE"""),3.0)</f>
        <v>3</v>
      </c>
      <c r="G3808" s="6" t="str">
        <f>IFERROR(__xludf.DUMMYFUNCTION("""COMPUTED_VALUE"""),"Pieces")</f>
        <v>Pieces</v>
      </c>
      <c r="H3808" s="6" t="str">
        <f>IFERROR(__xludf.DUMMYFUNCTION("""COMPUTED_VALUE"""),"IDR")</f>
        <v>IDR</v>
      </c>
      <c r="I3808" s="6">
        <f>IFERROR(__xludf.DUMMYFUNCTION("""COMPUTED_VALUE"""),1.2328425E7)</f>
        <v>12328425</v>
      </c>
      <c r="J3808" s="6">
        <f>IFERROR(__xludf.DUMMYFUNCTION("""COMPUTED_VALUE"""),3.6985275E7)</f>
        <v>36985275</v>
      </c>
      <c r="K3808" s="57">
        <f>IFERROR(__xludf.DUMMYFUNCTION("""COMPUTED_VALUE"""),45835.0)</f>
        <v>45835</v>
      </c>
      <c r="L3808" s="6" t="str">
        <f>IFERROR(__xludf.DUMMYFUNCTION("""COMPUTED_VALUE"""),"FIP General")</f>
        <v>FIP General</v>
      </c>
      <c r="M3808" s="6" t="str">
        <f>IFERROR(__xludf.DUMMYFUNCTION("""COMPUTED_VALUE"""),"Mochammad Fadhillah Hakim,")</f>
        <v>Mochammad Fadhillah Hakim,</v>
      </c>
      <c r="N3808" s="6" t="str">
        <f>IFERROR(__xludf.DUMMYFUNCTION("""COMPUTED_VALUE"""),"FIP Engineering")</f>
        <v>FIP Engineering</v>
      </c>
      <c r="O3808" s="6" t="str">
        <f>IFERROR(__xludf.DUMMYFUNCTION("""COMPUTED_VALUE"""),"FIP-DOM-ENG-51505-0000000-INA-000000")</f>
        <v>FIP-DOM-ENG-51505-0000000-INA-000000</v>
      </c>
      <c r="P3808" s="6" t="str">
        <f>IFERROR(__xludf.DUMMYFUNCTION("""COMPUTED_VALUE"""),"PO Closed")</f>
        <v>PO Closed</v>
      </c>
      <c r="Q3808" s="6" t="str">
        <f>IFERROR(__xludf.DUMMYFUNCTION("""COMPUTED_VALUE"""),"GL2506377")</f>
        <v>GL2506377</v>
      </c>
      <c r="R3808" s="57">
        <f>IFERROR(__xludf.DUMMYFUNCTION("""COMPUTED_VALUE"""),45716.0)</f>
        <v>45716</v>
      </c>
      <c r="S3808" s="57">
        <f>IFERROR(__xludf.DUMMYFUNCTION("""COMPUTED_VALUE"""),45721.0)</f>
        <v>45721</v>
      </c>
      <c r="T3808" s="57">
        <f>IFERROR(__xludf.DUMMYFUNCTION("""COMPUTED_VALUE"""),45933.0)</f>
        <v>45933</v>
      </c>
    </row>
    <row r="3809">
      <c r="A3809" s="6" t="str">
        <f>IFERROR(__xludf.DUMMYFUNCTION("""COMPUTED_VALUE"""),"121702480-1")</f>
        <v>121702480-1</v>
      </c>
      <c r="B3809" s="6" t="str">
        <f>IFERROR(__xludf.DUMMYFUNCTION("""COMPUTED_VALUE"""),"121702480 - APPROVED")</f>
        <v>121702480 - APPROVED</v>
      </c>
      <c r="C3809" s="6">
        <f>IFERROR(__xludf.DUMMYFUNCTION("""COMPUTED_VALUE"""),1.0)</f>
        <v>1</v>
      </c>
      <c r="D3809" s="6" t="str">
        <f>IFERROR(__xludf.DUMMYFUNCTION("""COMPUTED_VALUE"""),"O-53218-00")</f>
        <v>O-53218-00</v>
      </c>
      <c r="E3809" s="6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F3809" s="6">
        <f>IFERROR(__xludf.DUMMYFUNCTION("""COMPUTED_VALUE"""),1.0)</f>
        <v>1</v>
      </c>
      <c r="G3809" s="6" t="str">
        <f>IFERROR(__xludf.DUMMYFUNCTION("""COMPUTED_VALUE"""),"Pieces")</f>
        <v>Pieces</v>
      </c>
      <c r="H3809" s="6" t="str">
        <f>IFERROR(__xludf.DUMMYFUNCTION("""COMPUTED_VALUE"""),"IDR")</f>
        <v>IDR</v>
      </c>
      <c r="I3809" s="6">
        <f>IFERROR(__xludf.DUMMYFUNCTION("""COMPUTED_VALUE"""),3820000.0)</f>
        <v>3820000</v>
      </c>
      <c r="J3809" s="6">
        <f>IFERROR(__xludf.DUMMYFUNCTION("""COMPUTED_VALUE"""),3820000.0)</f>
        <v>3820000</v>
      </c>
      <c r="K3809" s="57">
        <f>IFERROR(__xludf.DUMMYFUNCTION("""COMPUTED_VALUE"""),45751.0)</f>
        <v>45751</v>
      </c>
      <c r="L3809" s="6" t="str">
        <f>IFERROR(__xludf.DUMMYFUNCTION("""COMPUTED_VALUE"""),"FIP Engineering")</f>
        <v>FIP Engineering</v>
      </c>
      <c r="M3809" s="6" t="str">
        <f>IFERROR(__xludf.DUMMYFUNCTION("""COMPUTED_VALUE"""),"Mochammad Fadhillah Hakim,")</f>
        <v>Mochammad Fadhillah Hakim,</v>
      </c>
      <c r="N3809" s="6" t="str">
        <f>IFERROR(__xludf.DUMMYFUNCTION("""COMPUTED_VALUE"""),"FIP Engineering")</f>
        <v>FIP Engineering</v>
      </c>
      <c r="O3809" s="6" t="str">
        <f>IFERROR(__xludf.DUMMYFUNCTION("""COMPUTED_VALUE"""),"FIP-DOM-000-11304-OS00001-INA-000000")</f>
        <v>FIP-DOM-000-11304-OS00001-INA-000000</v>
      </c>
      <c r="P3809" s="6" t="str">
        <f>IFERROR(__xludf.DUMMYFUNCTION("""COMPUTED_VALUE"""),"PO Closed")</f>
        <v>PO Closed</v>
      </c>
      <c r="Q3809" s="6" t="str">
        <f>IFERROR(__xludf.DUMMYFUNCTION("""COMPUTED_VALUE"""),"GL2503059")</f>
        <v>GL2503059</v>
      </c>
      <c r="R3809" s="57">
        <f>IFERROR(__xludf.DUMMYFUNCTION("""COMPUTED_VALUE"""),45716.0)</f>
        <v>45716</v>
      </c>
      <c r="S3809" s="57">
        <f>IFERROR(__xludf.DUMMYFUNCTION("""COMPUTED_VALUE"""),45719.0)</f>
        <v>45719</v>
      </c>
      <c r="T3809" s="57">
        <f>IFERROR(__xludf.DUMMYFUNCTION("""COMPUTED_VALUE"""),45781.0)</f>
        <v>45781</v>
      </c>
    </row>
    <row r="3810">
      <c r="A3810" s="6" t="str">
        <f>IFERROR(__xludf.DUMMYFUNCTION("""COMPUTED_VALUE"""),"121702487-1")</f>
        <v>121702487-1</v>
      </c>
      <c r="B3810" s="6" t="str">
        <f>IFERROR(__xludf.DUMMYFUNCTION("""COMPUTED_VALUE"""),"121702487 - APPROVED")</f>
        <v>121702487 - APPROVED</v>
      </c>
      <c r="C3810" s="6">
        <f>IFERROR(__xludf.DUMMYFUNCTION("""COMPUTED_VALUE"""),1.0)</f>
        <v>1</v>
      </c>
      <c r="D3810" s="6" t="str">
        <f>IFERROR(__xludf.DUMMYFUNCTION("""COMPUTED_VALUE"""),"P-52119-00")</f>
        <v>P-52119-00</v>
      </c>
      <c r="E3810" s="6" t="str">
        <f>IFERROR(__xludf.DUMMYFUNCTION("""COMPUTED_VALUE"""),"Battery UPS / 40 AH / 12 V; Panasonic/Vision; ;")</f>
        <v>Battery UPS / 40 AH / 12 V; Panasonic/Vision; ;</v>
      </c>
      <c r="F3810" s="6">
        <f>IFERROR(__xludf.DUMMYFUNCTION("""COMPUTED_VALUE"""),32.0)</f>
        <v>32</v>
      </c>
      <c r="G3810" s="6" t="str">
        <f>IFERROR(__xludf.DUMMYFUNCTION("""COMPUTED_VALUE"""),"Pieces")</f>
        <v>Pieces</v>
      </c>
      <c r="H3810" s="6" t="str">
        <f>IFERROR(__xludf.DUMMYFUNCTION("""COMPUTED_VALUE"""),"IDR")</f>
        <v>IDR</v>
      </c>
      <c r="I3810" s="6">
        <f>IFERROR(__xludf.DUMMYFUNCTION("""COMPUTED_VALUE"""),1300000.0)</f>
        <v>1300000</v>
      </c>
      <c r="J3810" s="6">
        <f>IFERROR(__xludf.DUMMYFUNCTION("""COMPUTED_VALUE"""),4.16E7)</f>
        <v>41600000</v>
      </c>
      <c r="K3810" s="57">
        <f>IFERROR(__xludf.DUMMYFUNCTION("""COMPUTED_VALUE"""),45750.0)</f>
        <v>45750</v>
      </c>
      <c r="L3810" s="6" t="str">
        <f>IFERROR(__xludf.DUMMYFUNCTION("""COMPUTED_VALUE"""),"FIP Engineering")</f>
        <v>FIP Engineering</v>
      </c>
      <c r="M3810" s="6" t="str">
        <f>IFERROR(__xludf.DUMMYFUNCTION("""COMPUTED_VALUE"""),"Mochammad Fadhillah Hakim,")</f>
        <v>Mochammad Fadhillah Hakim,</v>
      </c>
      <c r="N3810" s="6" t="str">
        <f>IFERROR(__xludf.DUMMYFUNCTION("""COMPUTED_VALUE"""),"FIP Engineering")</f>
        <v>FIP Engineering</v>
      </c>
      <c r="O3810" s="6" t="str">
        <f>IFERROR(__xludf.DUMMYFUNCTION("""COMPUTED_VALUE"""),"FIP-DOM-000-11304-OS00001-INA-000000")</f>
        <v>FIP-DOM-000-11304-OS00001-INA-000000</v>
      </c>
      <c r="P3810" s="6" t="str">
        <f>IFERROR(__xludf.DUMMYFUNCTION("""COMPUTED_VALUE"""),"PO Closed")</f>
        <v>PO Closed</v>
      </c>
      <c r="Q3810" s="6" t="str">
        <f>IFERROR(__xludf.DUMMYFUNCTION("""COMPUTED_VALUE"""),"GL2503036")</f>
        <v>GL2503036</v>
      </c>
      <c r="R3810" s="57">
        <f>IFERROR(__xludf.DUMMYFUNCTION("""COMPUTED_VALUE"""),45719.0)</f>
        <v>45719</v>
      </c>
      <c r="S3810" s="57">
        <f>IFERROR(__xludf.DUMMYFUNCTION("""COMPUTED_VALUE"""),45720.0)</f>
        <v>45720</v>
      </c>
      <c r="T3810" s="57">
        <f>IFERROR(__xludf.DUMMYFUNCTION("""COMPUTED_VALUE"""),45750.0)</f>
        <v>45750</v>
      </c>
    </row>
    <row r="3811">
      <c r="A3811" s="6" t="str">
        <f>IFERROR(__xludf.DUMMYFUNCTION("""COMPUTED_VALUE"""),"121702489-1")</f>
        <v>121702489-1</v>
      </c>
      <c r="B3811" s="6" t="str">
        <f>IFERROR(__xludf.DUMMYFUNCTION("""COMPUTED_VALUE"""),"121702489 - APPROVED")</f>
        <v>121702489 - APPROVED</v>
      </c>
      <c r="C3811" s="6">
        <f>IFERROR(__xludf.DUMMYFUNCTION("""COMPUTED_VALUE"""),1.0)</f>
        <v>1</v>
      </c>
      <c r="D3811" s="6" t="str">
        <f>IFERROR(__xludf.DUMMYFUNCTION("""COMPUTED_VALUE"""),"Q-12073-00")</f>
        <v>Q-12073-00</v>
      </c>
      <c r="E3811" s="6" t="str">
        <f>IFERROR(__xludf.DUMMYFUNCTION("""COMPUTED_VALUE"""),"Door Seal Brush Alumunium; Lokal; Ukuran 100 cm x 3,5 cm; pc")</f>
        <v>Door Seal Brush Alumunium; Lokal; Ukuran 100 cm x 3,5 cm; pc</v>
      </c>
      <c r="F3811" s="6">
        <f>IFERROR(__xludf.DUMMYFUNCTION("""COMPUTED_VALUE"""),4.0)</f>
        <v>4</v>
      </c>
      <c r="G3811" s="6" t="str">
        <f>IFERROR(__xludf.DUMMYFUNCTION("""COMPUTED_VALUE"""),"Pieces")</f>
        <v>Pieces</v>
      </c>
      <c r="H3811" s="6" t="str">
        <f>IFERROR(__xludf.DUMMYFUNCTION("""COMPUTED_VALUE"""),"IDR")</f>
        <v>IDR</v>
      </c>
      <c r="I3811" s="6">
        <f>IFERROR(__xludf.DUMMYFUNCTION("""COMPUTED_VALUE"""),155000.0)</f>
        <v>155000</v>
      </c>
      <c r="J3811" s="6">
        <f>IFERROR(__xludf.DUMMYFUNCTION("""COMPUTED_VALUE"""),620000.0)</f>
        <v>620000</v>
      </c>
      <c r="K3811" s="57">
        <f>IFERROR(__xludf.DUMMYFUNCTION("""COMPUTED_VALUE"""),45736.0)</f>
        <v>45736</v>
      </c>
      <c r="L3811" s="6" t="str">
        <f>IFERROR(__xludf.DUMMYFUNCTION("""COMPUTED_VALUE"""),"FIP Engineering")</f>
        <v>FIP Engineering</v>
      </c>
      <c r="M3811" s="6" t="str">
        <f>IFERROR(__xludf.DUMMYFUNCTION("""COMPUTED_VALUE"""),"Mochammad Fadhillah Hakim,")</f>
        <v>Mochammad Fadhillah Hakim,</v>
      </c>
      <c r="N3811" s="6" t="str">
        <f>IFERROR(__xludf.DUMMYFUNCTION("""COMPUTED_VALUE"""),"FIP Engineering")</f>
        <v>FIP Engineering</v>
      </c>
      <c r="O3811" s="6" t="str">
        <f>IFERROR(__xludf.DUMMYFUNCTION("""COMPUTED_VALUE"""),"FIP-DOM-000-11304-OS00001-INA-000000")</f>
        <v>FIP-DOM-000-11304-OS00001-INA-000000</v>
      </c>
      <c r="P3811" s="6" t="str">
        <f>IFERROR(__xludf.DUMMYFUNCTION("""COMPUTED_VALUE"""),"PO Closed")</f>
        <v>PO Closed</v>
      </c>
      <c r="Q3811" s="6" t="str">
        <f>IFERROR(__xludf.DUMMYFUNCTION("""COMPUTED_VALUE"""),"GL2503078")</f>
        <v>GL2503078</v>
      </c>
      <c r="R3811" s="57">
        <f>IFERROR(__xludf.DUMMYFUNCTION("""COMPUTED_VALUE"""),45719.0)</f>
        <v>45719</v>
      </c>
      <c r="S3811" s="57">
        <f>IFERROR(__xludf.DUMMYFUNCTION("""COMPUTED_VALUE"""),45720.0)</f>
        <v>45720</v>
      </c>
      <c r="T3811" s="57">
        <f>IFERROR(__xludf.DUMMYFUNCTION("""COMPUTED_VALUE"""),45762.0)</f>
        <v>45762</v>
      </c>
    </row>
    <row r="3812">
      <c r="A3812" s="6" t="str">
        <f>IFERROR(__xludf.DUMMYFUNCTION("""COMPUTED_VALUE"""),"121702491-1")</f>
        <v>121702491-1</v>
      </c>
      <c r="B3812" s="6" t="str">
        <f>IFERROR(__xludf.DUMMYFUNCTION("""COMPUTED_VALUE"""),"121702491 - APPROVED")</f>
        <v>121702491 - APPROVED</v>
      </c>
      <c r="C3812" s="6">
        <f>IFERROR(__xludf.DUMMYFUNCTION("""COMPUTED_VALUE"""),1.0)</f>
        <v>1</v>
      </c>
      <c r="D3812" s="6" t="str">
        <f>IFERROR(__xludf.DUMMYFUNCTION("""COMPUTED_VALUE"""),"O-12733-00")</f>
        <v>O-12733-00</v>
      </c>
      <c r="E3812" s="6" t="str">
        <f>IFERROR(__xludf.DUMMYFUNCTION("""COMPUTED_VALUE"""),"Tubing Polyurethane TU1065 Clear, SMC, roll SINAR MUTIARA CAKRABUANA, PT P/N : X3 pc")</f>
        <v>Tubing Polyurethane TU1065 Clear, SMC, roll SINAR MUTIARA CAKRABUANA, PT P/N : X3 pc</v>
      </c>
      <c r="F3812" s="6">
        <f>IFERROR(__xludf.DUMMYFUNCTION("""COMPUTED_VALUE"""),4.0)</f>
        <v>4</v>
      </c>
      <c r="G3812" s="6" t="str">
        <f>IFERROR(__xludf.DUMMYFUNCTION("""COMPUTED_VALUE"""),"Roll")</f>
        <v>Roll</v>
      </c>
      <c r="H3812" s="6" t="str">
        <f>IFERROR(__xludf.DUMMYFUNCTION("""COMPUTED_VALUE"""),"IDR")</f>
        <v>IDR</v>
      </c>
      <c r="I3812" s="6">
        <f>IFERROR(__xludf.DUMMYFUNCTION("""COMPUTED_VALUE"""),760000.0)</f>
        <v>760000</v>
      </c>
      <c r="J3812" s="6">
        <f>IFERROR(__xludf.DUMMYFUNCTION("""COMPUTED_VALUE"""),3040000.0)</f>
        <v>3040000</v>
      </c>
      <c r="K3812" s="57">
        <f>IFERROR(__xludf.DUMMYFUNCTION("""COMPUTED_VALUE"""),45750.0)</f>
        <v>45750</v>
      </c>
      <c r="L3812" s="6" t="str">
        <f>IFERROR(__xludf.DUMMYFUNCTION("""COMPUTED_VALUE"""),"FIP General")</f>
        <v>FIP General</v>
      </c>
      <c r="M3812" s="6" t="str">
        <f>IFERROR(__xludf.DUMMYFUNCTION("""COMPUTED_VALUE"""),"Mochammad Fadhillah Hakim,")</f>
        <v>Mochammad Fadhillah Hakim,</v>
      </c>
      <c r="N3812" s="6" t="str">
        <f>IFERROR(__xludf.DUMMYFUNCTION("""COMPUTED_VALUE"""),"FIP Engineering")</f>
        <v>FIP Engineering</v>
      </c>
      <c r="O3812" s="6" t="str">
        <f>IFERROR(__xludf.DUMMYFUNCTION("""COMPUTED_VALUE"""),"FIP-DOM-ENG-51404-0000000-INA-000000")</f>
        <v>FIP-DOM-ENG-51404-0000000-INA-000000</v>
      </c>
      <c r="P3812" s="6" t="str">
        <f>IFERROR(__xludf.DUMMYFUNCTION("""COMPUTED_VALUE"""),"PO Closed")</f>
        <v>PO Closed</v>
      </c>
      <c r="Q3812" s="6" t="str">
        <f>IFERROR(__xludf.DUMMYFUNCTION("""COMPUTED_VALUE"""),"GL2503056")</f>
        <v>GL2503056</v>
      </c>
      <c r="R3812" s="57">
        <f>IFERROR(__xludf.DUMMYFUNCTION("""COMPUTED_VALUE"""),45719.0)</f>
        <v>45719</v>
      </c>
      <c r="S3812" s="57">
        <f>IFERROR(__xludf.DUMMYFUNCTION("""COMPUTED_VALUE"""),45720.0)</f>
        <v>45720</v>
      </c>
      <c r="T3812" s="57">
        <f>IFERROR(__xludf.DUMMYFUNCTION("""COMPUTED_VALUE"""),45780.0)</f>
        <v>45780</v>
      </c>
    </row>
    <row r="3813">
      <c r="A3813" s="6" t="str">
        <f>IFERROR(__xludf.DUMMYFUNCTION("""COMPUTED_VALUE"""),"121702492-1")</f>
        <v>121702492-1</v>
      </c>
      <c r="B3813" s="6" t="str">
        <f>IFERROR(__xludf.DUMMYFUNCTION("""COMPUTED_VALUE"""),"121702492 - APPROVED")</f>
        <v>121702492 - APPROVED</v>
      </c>
      <c r="C3813" s="6">
        <f>IFERROR(__xludf.DUMMYFUNCTION("""COMPUTED_VALUE"""),1.0)</f>
        <v>1</v>
      </c>
      <c r="D3813" s="6" t="str">
        <f>IFERROR(__xludf.DUMMYFUNCTION("""COMPUTED_VALUE"""),"P-10398-00")</f>
        <v>P-10398-00</v>
      </c>
      <c r="E3813" s="6" t="str">
        <f>IFERROR(__xludf.DUMMYFUNCTION("""COMPUTED_VALUE"""),"Ball Valve SS 316 1/2"" 1000 WOG SANKYO")</f>
        <v>Ball Valve SS 316 1/2" 1000 WOG SANKYO</v>
      </c>
      <c r="F3813" s="6">
        <f>IFERROR(__xludf.DUMMYFUNCTION("""COMPUTED_VALUE"""),3.0)</f>
        <v>3</v>
      </c>
      <c r="G3813" s="6" t="str">
        <f>IFERROR(__xludf.DUMMYFUNCTION("""COMPUTED_VALUE"""),"Pieces")</f>
        <v>Pieces</v>
      </c>
      <c r="H3813" s="6" t="str">
        <f>IFERROR(__xludf.DUMMYFUNCTION("""COMPUTED_VALUE"""),"IDR")</f>
        <v>IDR</v>
      </c>
      <c r="I3813" s="6">
        <f>IFERROR(__xludf.DUMMYFUNCTION("""COMPUTED_VALUE"""),54000.0)</f>
        <v>54000</v>
      </c>
      <c r="J3813" s="6">
        <f>IFERROR(__xludf.DUMMYFUNCTION("""COMPUTED_VALUE"""),162000.0)</f>
        <v>162000</v>
      </c>
      <c r="K3813" s="57">
        <f>IFERROR(__xludf.DUMMYFUNCTION("""COMPUTED_VALUE"""),45750.0)</f>
        <v>45750</v>
      </c>
      <c r="L3813" s="6" t="str">
        <f>IFERROR(__xludf.DUMMYFUNCTION("""COMPUTED_VALUE"""),"FIP Engineering")</f>
        <v>FIP Engineering</v>
      </c>
      <c r="M3813" s="6" t="str">
        <f>IFERROR(__xludf.DUMMYFUNCTION("""COMPUTED_VALUE"""),"Mochammad Fadhillah Hakim,")</f>
        <v>Mochammad Fadhillah Hakim,</v>
      </c>
      <c r="N3813" s="6" t="str">
        <f>IFERROR(__xludf.DUMMYFUNCTION("""COMPUTED_VALUE"""),"FIP Engineering")</f>
        <v>FIP Engineering</v>
      </c>
      <c r="O3813" s="6" t="str">
        <f>IFERROR(__xludf.DUMMYFUNCTION("""COMPUTED_VALUE"""),"FIP-DOM-000-11304-OS00001-INA-000000")</f>
        <v>FIP-DOM-000-11304-OS00001-INA-000000</v>
      </c>
      <c r="P3813" s="6" t="str">
        <f>IFERROR(__xludf.DUMMYFUNCTION("""COMPUTED_VALUE"""),"PO Closed")</f>
        <v>PO Closed</v>
      </c>
      <c r="Q3813" s="6" t="str">
        <f>IFERROR(__xludf.DUMMYFUNCTION("""COMPUTED_VALUE"""),"GL2503351")</f>
        <v>GL2503351</v>
      </c>
      <c r="R3813" s="57">
        <f>IFERROR(__xludf.DUMMYFUNCTION("""COMPUTED_VALUE"""),45719.0)</f>
        <v>45719</v>
      </c>
      <c r="S3813" s="57">
        <f>IFERROR(__xludf.DUMMYFUNCTION("""COMPUTED_VALUE"""),45720.0)</f>
        <v>45720</v>
      </c>
      <c r="T3813" s="57">
        <f>IFERROR(__xludf.DUMMYFUNCTION("""COMPUTED_VALUE"""),45759.0)</f>
        <v>45759</v>
      </c>
    </row>
    <row r="3814">
      <c r="A3814" s="6" t="str">
        <f>IFERROR(__xludf.DUMMYFUNCTION("""COMPUTED_VALUE"""),"121702494-1")</f>
        <v>121702494-1</v>
      </c>
      <c r="B3814" s="6" t="str">
        <f>IFERROR(__xludf.DUMMYFUNCTION("""COMPUTED_VALUE"""),"121702494 - APPROVED")</f>
        <v>121702494 - APPROVED</v>
      </c>
      <c r="C3814" s="6">
        <f>IFERROR(__xludf.DUMMYFUNCTION("""COMPUTED_VALUE"""),1.0)</f>
        <v>1</v>
      </c>
      <c r="D3814" s="6" t="str">
        <f>IFERROR(__xludf.DUMMYFUNCTION("""COMPUTED_VALUE"""),"T-25578-00")</f>
        <v>T-25578-00</v>
      </c>
      <c r="E3814" s="6" t="str">
        <f>IFERROR(__xludf.DUMMYFUNCTION("""COMPUTED_VALUE"""),"SAMPLE PUMP HEAD FOR M500 TOC Analyzer; Sievers; TOC M500; 1 pc")</f>
        <v>SAMPLE PUMP HEAD FOR M500 TOC Analyzer; Sievers; TOC M500; 1 pc</v>
      </c>
      <c r="F3814" s="6">
        <f>IFERROR(__xludf.DUMMYFUNCTION("""COMPUTED_VALUE"""),1.0)</f>
        <v>1</v>
      </c>
      <c r="G3814" s="6" t="str">
        <f>IFERROR(__xludf.DUMMYFUNCTION("""COMPUTED_VALUE"""),"Pieces")</f>
        <v>Pieces</v>
      </c>
      <c r="H3814" s="6" t="str">
        <f>IFERROR(__xludf.DUMMYFUNCTION("""COMPUTED_VALUE"""),"IDR")</f>
        <v>IDR</v>
      </c>
      <c r="I3814" s="6">
        <f>IFERROR(__xludf.DUMMYFUNCTION("""COMPUTED_VALUE"""),7200000.0)</f>
        <v>7200000</v>
      </c>
      <c r="J3814" s="6">
        <f>IFERROR(__xludf.DUMMYFUNCTION("""COMPUTED_VALUE"""),7200000.0)</f>
        <v>7200000</v>
      </c>
      <c r="K3814" s="57">
        <f>IFERROR(__xludf.DUMMYFUNCTION("""COMPUTED_VALUE"""),45750.0)</f>
        <v>45750</v>
      </c>
      <c r="L3814" s="6" t="str">
        <f>IFERROR(__xludf.DUMMYFUNCTION("""COMPUTED_VALUE"""),"FIP General")</f>
        <v>FIP General</v>
      </c>
      <c r="M3814" s="6" t="str">
        <f>IFERROR(__xludf.DUMMYFUNCTION("""COMPUTED_VALUE"""),"Mochammad Fadhillah Hakim,")</f>
        <v>Mochammad Fadhillah Hakim,</v>
      </c>
      <c r="N3814" s="6" t="str">
        <f>IFERROR(__xludf.DUMMYFUNCTION("""COMPUTED_VALUE"""),"FIP Engineering")</f>
        <v>FIP Engineering</v>
      </c>
      <c r="O3814" s="6" t="str">
        <f>IFERROR(__xludf.DUMMYFUNCTION("""COMPUTED_VALUE"""),"FIP-DOM-ENG-51505-0000000-INA-000000")</f>
        <v>FIP-DOM-ENG-51505-0000000-INA-000000</v>
      </c>
      <c r="P3814" s="6" t="str">
        <f>IFERROR(__xludf.DUMMYFUNCTION("""COMPUTED_VALUE"""),"PO Closed")</f>
        <v>PO Closed</v>
      </c>
      <c r="Q3814" s="6" t="str">
        <f>IFERROR(__xludf.DUMMYFUNCTION("""COMPUTED_VALUE"""),"GL2503348")</f>
        <v>GL2503348</v>
      </c>
      <c r="R3814" s="57">
        <f>IFERROR(__xludf.DUMMYFUNCTION("""COMPUTED_VALUE"""),45719.0)</f>
        <v>45719</v>
      </c>
      <c r="S3814" s="57">
        <f>IFERROR(__xludf.DUMMYFUNCTION("""COMPUTED_VALUE"""),45720.0)</f>
        <v>45720</v>
      </c>
      <c r="T3814" s="57">
        <f>IFERROR(__xludf.DUMMYFUNCTION("""COMPUTED_VALUE"""),45758.0)</f>
        <v>45758</v>
      </c>
    </row>
    <row r="3815">
      <c r="A3815" s="6" t="str">
        <f>IFERROR(__xludf.DUMMYFUNCTION("""COMPUTED_VALUE"""),"121702494-2")</f>
        <v>121702494-2</v>
      </c>
      <c r="B3815" s="6" t="str">
        <f>IFERROR(__xludf.DUMMYFUNCTION("""COMPUTED_VALUE"""),"121702494 - APPROVED")</f>
        <v>121702494 - APPROVED</v>
      </c>
      <c r="C3815" s="6">
        <f>IFERROR(__xludf.DUMMYFUNCTION("""COMPUTED_VALUE"""),2.0)</f>
        <v>2</v>
      </c>
      <c r="D3815" s="6" t="str">
        <f>IFERROR(__xludf.DUMMYFUNCTION("""COMPUTED_VALUE"""),"T-25579-00")</f>
        <v>T-25579-00</v>
      </c>
      <c r="E3815" s="6" t="str">
        <f>IFERROR(__xludf.DUMMYFUNCTION("""COMPUTED_VALUE"""),"RESIN BED REPLACEMENT FOR M500 TOC Analyzer; Sievers; TOC M500; 1 pc")</f>
        <v>RESIN BED REPLACEMENT FOR M500 TOC Analyzer; Sievers; TOC M500; 1 pc</v>
      </c>
      <c r="F3815" s="6">
        <f>IFERROR(__xludf.DUMMYFUNCTION("""COMPUTED_VALUE"""),1.0)</f>
        <v>1</v>
      </c>
      <c r="G3815" s="6" t="str">
        <f>IFERROR(__xludf.DUMMYFUNCTION("""COMPUTED_VALUE"""),"Pieces")</f>
        <v>Pieces</v>
      </c>
      <c r="H3815" s="6" t="str">
        <f>IFERROR(__xludf.DUMMYFUNCTION("""COMPUTED_VALUE"""),"IDR")</f>
        <v>IDR</v>
      </c>
      <c r="I3815" s="6">
        <f>IFERROR(__xludf.DUMMYFUNCTION("""COMPUTED_VALUE"""),1.9725E7)</f>
        <v>19725000</v>
      </c>
      <c r="J3815" s="6">
        <f>IFERROR(__xludf.DUMMYFUNCTION("""COMPUTED_VALUE"""),1.9725E7)</f>
        <v>19725000</v>
      </c>
      <c r="K3815" s="57">
        <f>IFERROR(__xludf.DUMMYFUNCTION("""COMPUTED_VALUE"""),45750.0)</f>
        <v>45750</v>
      </c>
      <c r="L3815" s="6" t="str">
        <f>IFERROR(__xludf.DUMMYFUNCTION("""COMPUTED_VALUE"""),"FIP General")</f>
        <v>FIP General</v>
      </c>
      <c r="M3815" s="6" t="str">
        <f>IFERROR(__xludf.DUMMYFUNCTION("""COMPUTED_VALUE"""),"Mochammad Fadhillah Hakim,")</f>
        <v>Mochammad Fadhillah Hakim,</v>
      </c>
      <c r="N3815" s="6" t="str">
        <f>IFERROR(__xludf.DUMMYFUNCTION("""COMPUTED_VALUE"""),"FIP Engineering")</f>
        <v>FIP Engineering</v>
      </c>
      <c r="O3815" s="6" t="str">
        <f>IFERROR(__xludf.DUMMYFUNCTION("""COMPUTED_VALUE"""),"FIP-DOM-ENG-51505-0000000-INA-000000")</f>
        <v>FIP-DOM-ENG-51505-0000000-INA-000000</v>
      </c>
      <c r="P3815" s="6" t="str">
        <f>IFERROR(__xludf.DUMMYFUNCTION("""COMPUTED_VALUE"""),"PO Closed")</f>
        <v>PO Closed</v>
      </c>
      <c r="Q3815" s="6" t="str">
        <f>IFERROR(__xludf.DUMMYFUNCTION("""COMPUTED_VALUE"""),"GL2503348")</f>
        <v>GL2503348</v>
      </c>
      <c r="R3815" s="57">
        <f>IFERROR(__xludf.DUMMYFUNCTION("""COMPUTED_VALUE"""),45719.0)</f>
        <v>45719</v>
      </c>
      <c r="S3815" s="57">
        <f>IFERROR(__xludf.DUMMYFUNCTION("""COMPUTED_VALUE"""),45720.0)</f>
        <v>45720</v>
      </c>
      <c r="T3815" s="57">
        <f>IFERROR(__xludf.DUMMYFUNCTION("""COMPUTED_VALUE"""),45758.0)</f>
        <v>45758</v>
      </c>
    </row>
    <row r="3816">
      <c r="A3816" s="6" t="str">
        <f>IFERROR(__xludf.DUMMYFUNCTION("""COMPUTED_VALUE"""),"121702494-3")</f>
        <v>121702494-3</v>
      </c>
      <c r="B3816" s="6" t="str">
        <f>IFERROR(__xludf.DUMMYFUNCTION("""COMPUTED_VALUE"""),"121702494 - APPROVED")</f>
        <v>121702494 - APPROVED</v>
      </c>
      <c r="C3816" s="6">
        <f>IFERROR(__xludf.DUMMYFUNCTION("""COMPUTED_VALUE"""),3.0)</f>
        <v>3</v>
      </c>
      <c r="D3816" s="6" t="str">
        <f>IFERROR(__xludf.DUMMYFUNCTION("""COMPUTED_VALUE"""),"T-25577-00")</f>
        <v>T-25577-00</v>
      </c>
      <c r="E3816" s="6" t="str">
        <f>IFERROR(__xludf.DUMMYFUNCTION("""COMPUTED_VALUE"""),"UV LAMP FOR M500 TOC Analyzer; Sievers; TOC M500; 1 pc")</f>
        <v>UV LAMP FOR M500 TOC Analyzer; Sievers; TOC M500; 1 pc</v>
      </c>
      <c r="F3816" s="6">
        <f>IFERROR(__xludf.DUMMYFUNCTION("""COMPUTED_VALUE"""),2.0)</f>
        <v>2</v>
      </c>
      <c r="G3816" s="6" t="str">
        <f>IFERROR(__xludf.DUMMYFUNCTION("""COMPUTED_VALUE"""),"Pieces")</f>
        <v>Pieces</v>
      </c>
      <c r="H3816" s="6" t="str">
        <f>IFERROR(__xludf.DUMMYFUNCTION("""COMPUTED_VALUE"""),"IDR")</f>
        <v>IDR</v>
      </c>
      <c r="I3816" s="6">
        <f>IFERROR(__xludf.DUMMYFUNCTION("""COMPUTED_VALUE"""),1.678E7)</f>
        <v>16780000</v>
      </c>
      <c r="J3816" s="6">
        <f>IFERROR(__xludf.DUMMYFUNCTION("""COMPUTED_VALUE"""),3.356E7)</f>
        <v>33560000</v>
      </c>
      <c r="K3816" s="57">
        <f>IFERROR(__xludf.DUMMYFUNCTION("""COMPUTED_VALUE"""),45750.0)</f>
        <v>45750</v>
      </c>
      <c r="L3816" s="6" t="str">
        <f>IFERROR(__xludf.DUMMYFUNCTION("""COMPUTED_VALUE"""),"FIP General")</f>
        <v>FIP General</v>
      </c>
      <c r="M3816" s="6" t="str">
        <f>IFERROR(__xludf.DUMMYFUNCTION("""COMPUTED_VALUE"""),"Mochammad Fadhillah Hakim,")</f>
        <v>Mochammad Fadhillah Hakim,</v>
      </c>
      <c r="N3816" s="6" t="str">
        <f>IFERROR(__xludf.DUMMYFUNCTION("""COMPUTED_VALUE"""),"FIP Engineering")</f>
        <v>FIP Engineering</v>
      </c>
      <c r="O3816" s="6" t="str">
        <f>IFERROR(__xludf.DUMMYFUNCTION("""COMPUTED_VALUE"""),"FIP-DOM-ENG-51505-0000000-INA-000000")</f>
        <v>FIP-DOM-ENG-51505-0000000-INA-000000</v>
      </c>
      <c r="P3816" s="6" t="str">
        <f>IFERROR(__xludf.DUMMYFUNCTION("""COMPUTED_VALUE"""),"PO Closed")</f>
        <v>PO Closed</v>
      </c>
      <c r="Q3816" s="6" t="str">
        <f>IFERROR(__xludf.DUMMYFUNCTION("""COMPUTED_VALUE"""),"GL2503348")</f>
        <v>GL2503348</v>
      </c>
      <c r="R3816" s="57">
        <f>IFERROR(__xludf.DUMMYFUNCTION("""COMPUTED_VALUE"""),45719.0)</f>
        <v>45719</v>
      </c>
      <c r="S3816" s="57">
        <f>IFERROR(__xludf.DUMMYFUNCTION("""COMPUTED_VALUE"""),45720.0)</f>
        <v>45720</v>
      </c>
      <c r="T3816" s="57">
        <f>IFERROR(__xludf.DUMMYFUNCTION("""COMPUTED_VALUE"""),45758.0)</f>
        <v>45758</v>
      </c>
    </row>
    <row r="3817">
      <c r="A3817" s="6" t="str">
        <f>IFERROR(__xludf.DUMMYFUNCTION("""COMPUTED_VALUE"""),"121702495-1")</f>
        <v>121702495-1</v>
      </c>
      <c r="B3817" s="6" t="str">
        <f>IFERROR(__xludf.DUMMYFUNCTION("""COMPUTED_VALUE"""),"121702495 - APPROVED")</f>
        <v>121702495 - APPROVED</v>
      </c>
      <c r="C3817" s="6">
        <f>IFERROR(__xludf.DUMMYFUNCTION("""COMPUTED_VALUE"""),1.0)</f>
        <v>1</v>
      </c>
      <c r="D3817" s="6" t="str">
        <f>IFERROR(__xludf.DUMMYFUNCTION("""COMPUTED_VALUE"""),"Q-90000-00")</f>
        <v>Q-90000-00</v>
      </c>
      <c r="E3817" s="6" t="str">
        <f>IFERROR(__xludf.DUMMYFUNCTION("""COMPUTED_VALUE"""),"Building Maintenance Pure Expense - Pemasangan Mesh di area AHU")</f>
        <v>Building Maintenance Pure Expense - Pemasangan Mesh di area AHU</v>
      </c>
      <c r="F3817" s="6">
        <f>IFERROR(__xludf.DUMMYFUNCTION("""COMPUTED_VALUE"""),1.0)</f>
        <v>1</v>
      </c>
      <c r="G3817" s="6" t="str">
        <f>IFERROR(__xludf.DUMMYFUNCTION("""COMPUTED_VALUE"""),"Unit")</f>
        <v>Unit</v>
      </c>
      <c r="H3817" s="6" t="str">
        <f>IFERROR(__xludf.DUMMYFUNCTION("""COMPUTED_VALUE"""),"IDR")</f>
        <v>IDR</v>
      </c>
      <c r="I3817" s="6">
        <f>IFERROR(__xludf.DUMMYFUNCTION("""COMPUTED_VALUE"""),5021775.0)</f>
        <v>5021775</v>
      </c>
      <c r="J3817" s="6">
        <f>IFERROR(__xludf.DUMMYFUNCTION("""COMPUTED_VALUE"""),5021775.0)</f>
        <v>5021775</v>
      </c>
      <c r="K3817" s="57">
        <f>IFERROR(__xludf.DUMMYFUNCTION("""COMPUTED_VALUE"""),45750.0)</f>
        <v>45750</v>
      </c>
      <c r="L3817" s="6" t="str">
        <f>IFERROR(__xludf.DUMMYFUNCTION("""COMPUTED_VALUE"""),"FIP General")</f>
        <v>FIP General</v>
      </c>
      <c r="M3817" s="6" t="str">
        <f>IFERROR(__xludf.DUMMYFUNCTION("""COMPUTED_VALUE"""),"Mochammad Fadhillah Hakim,")</f>
        <v>Mochammad Fadhillah Hakim,</v>
      </c>
      <c r="N3817" s="6" t="str">
        <f>IFERROR(__xludf.DUMMYFUNCTION("""COMPUTED_VALUE"""),"FIP Engineering")</f>
        <v>FIP Engineering</v>
      </c>
      <c r="O3817" s="6" t="str">
        <f>IFERROR(__xludf.DUMMYFUNCTION("""COMPUTED_VALUE"""),"FIP-DOM-ENG-51502-0000000-INA-000000")</f>
        <v>FIP-DOM-ENG-51502-0000000-INA-000000</v>
      </c>
      <c r="P3817" s="6" t="str">
        <f>IFERROR(__xludf.DUMMYFUNCTION("""COMPUTED_VALUE"""),"PO Closed")</f>
        <v>PO Closed</v>
      </c>
      <c r="Q3817" s="6" t="str">
        <f>IFERROR(__xludf.DUMMYFUNCTION("""COMPUTED_VALUE"""),"GL2503038")</f>
        <v>GL2503038</v>
      </c>
      <c r="R3817" s="57">
        <f>IFERROR(__xludf.DUMMYFUNCTION("""COMPUTED_VALUE"""),45719.0)</f>
        <v>45719</v>
      </c>
      <c r="S3817" s="57">
        <f>IFERROR(__xludf.DUMMYFUNCTION("""COMPUTED_VALUE"""),45720.0)</f>
        <v>45720</v>
      </c>
      <c r="T3817" s="57">
        <f>IFERROR(__xludf.DUMMYFUNCTION("""COMPUTED_VALUE"""),45750.0)</f>
        <v>45750</v>
      </c>
    </row>
    <row r="3818">
      <c r="A3818" s="6" t="str">
        <f>IFERROR(__xludf.DUMMYFUNCTION("""COMPUTED_VALUE"""),"121702499-1")</f>
        <v>121702499-1</v>
      </c>
      <c r="B3818" s="6" t="str">
        <f>IFERROR(__xludf.DUMMYFUNCTION("""COMPUTED_VALUE"""),"121702499 - APPROVED")</f>
        <v>121702499 - APPROVED</v>
      </c>
      <c r="C3818" s="6">
        <f>IFERROR(__xludf.DUMMYFUNCTION("""COMPUTED_VALUE"""),1.0)</f>
        <v>1</v>
      </c>
      <c r="D3818" s="6" t="str">
        <f>IFERROR(__xludf.DUMMYFUNCTION("""COMPUTED_VALUE"""),"Q-10460-00")</f>
        <v>Q-10460-00</v>
      </c>
      <c r="E3818" s="6" t="str">
        <f>IFERROR(__xludf.DUMMYFUNCTION("""COMPUTED_VALUE"""),"Magnetic door stopper; Dekson; Part No. MDS 889 SN;")</f>
        <v>Magnetic door stopper; Dekson; Part No. MDS 889 SN;</v>
      </c>
      <c r="F3818" s="6">
        <f>IFERROR(__xludf.DUMMYFUNCTION("""COMPUTED_VALUE"""),35.0)</f>
        <v>35</v>
      </c>
      <c r="G3818" s="6" t="str">
        <f>IFERROR(__xludf.DUMMYFUNCTION("""COMPUTED_VALUE"""),"Pieces")</f>
        <v>Pieces</v>
      </c>
      <c r="H3818" s="6" t="str">
        <f>IFERROR(__xludf.DUMMYFUNCTION("""COMPUTED_VALUE"""),"IDR")</f>
        <v>IDR</v>
      </c>
      <c r="I3818" s="6">
        <f>IFERROR(__xludf.DUMMYFUNCTION("""COMPUTED_VALUE"""),48600.0)</f>
        <v>48600</v>
      </c>
      <c r="J3818" s="6">
        <f>IFERROR(__xludf.DUMMYFUNCTION("""COMPUTED_VALUE"""),1701000.0)</f>
        <v>1701000</v>
      </c>
      <c r="K3818" s="57">
        <f>IFERROR(__xludf.DUMMYFUNCTION("""COMPUTED_VALUE"""),45737.0)</f>
        <v>45737</v>
      </c>
      <c r="L3818" s="6" t="str">
        <f>IFERROR(__xludf.DUMMYFUNCTION("""COMPUTED_VALUE"""),"FIP General")</f>
        <v>FIP General</v>
      </c>
      <c r="M3818" s="6" t="str">
        <f>IFERROR(__xludf.DUMMYFUNCTION("""COMPUTED_VALUE"""),"Mochammad Fadhillah Hakim,")</f>
        <v>Mochammad Fadhillah Hakim,</v>
      </c>
      <c r="N3818" s="6" t="str">
        <f>IFERROR(__xludf.DUMMYFUNCTION("""COMPUTED_VALUE"""),"FIP Engineering")</f>
        <v>FIP Engineering</v>
      </c>
      <c r="O3818" s="6" t="str">
        <f>IFERROR(__xludf.DUMMYFUNCTION("""COMPUTED_VALUE"""),"FIP-DOM-ENG-51502-0000000-INA-000000")</f>
        <v>FIP-DOM-ENG-51502-0000000-INA-000000</v>
      </c>
      <c r="P3818" s="6" t="str">
        <f>IFERROR(__xludf.DUMMYFUNCTION("""COMPUTED_VALUE"""),"PO Closed")</f>
        <v>PO Closed</v>
      </c>
      <c r="Q3818" s="6" t="str">
        <f>IFERROR(__xludf.DUMMYFUNCTION("""COMPUTED_VALUE"""),"GL2503079")</f>
        <v>GL2503079</v>
      </c>
      <c r="R3818" s="57">
        <f>IFERROR(__xludf.DUMMYFUNCTION("""COMPUTED_VALUE"""),45720.0)</f>
        <v>45720</v>
      </c>
      <c r="S3818" s="57">
        <f>IFERROR(__xludf.DUMMYFUNCTION("""COMPUTED_VALUE"""),45721.0)</f>
        <v>45721</v>
      </c>
      <c r="T3818" s="57">
        <f>IFERROR(__xludf.DUMMYFUNCTION("""COMPUTED_VALUE"""),45765.0)</f>
        <v>45765</v>
      </c>
    </row>
    <row r="3819">
      <c r="A3819" s="6" t="str">
        <f>IFERROR(__xludf.DUMMYFUNCTION("""COMPUTED_VALUE"""),"121702500-1")</f>
        <v>121702500-1</v>
      </c>
      <c r="B3819" s="6" t="str">
        <f>IFERROR(__xludf.DUMMYFUNCTION("""COMPUTED_VALUE"""),"121702500 - APPROVED")</f>
        <v>121702500 - APPROVED</v>
      </c>
      <c r="C3819" s="6">
        <f>IFERROR(__xludf.DUMMYFUNCTION("""COMPUTED_VALUE"""),1.0)</f>
        <v>1</v>
      </c>
      <c r="D3819" s="6"/>
      <c r="E3819" s="6" t="str">
        <f>IFERROR(__xludf.DUMMYFUNCTION("""COMPUTED_VALUE"""),"Weighing Load Cell SL250/300-M")</f>
        <v>Weighing Load Cell SL250/300-M</v>
      </c>
      <c r="F3819" s="6">
        <f>IFERROR(__xludf.DUMMYFUNCTION("""COMPUTED_VALUE"""),1.0)</f>
        <v>1</v>
      </c>
      <c r="G3819" s="6" t="str">
        <f>IFERROR(__xludf.DUMMYFUNCTION("""COMPUTED_VALUE"""),"Unit")</f>
        <v>Unit</v>
      </c>
      <c r="H3819" s="6" t="str">
        <f>IFERROR(__xludf.DUMMYFUNCTION("""COMPUTED_VALUE"""),"EUR")</f>
        <v>EUR</v>
      </c>
      <c r="I3819" s="6">
        <f>IFERROR(__xludf.DUMMYFUNCTION("""COMPUTED_VALUE"""),1.88964695E8)</f>
        <v>188964695</v>
      </c>
      <c r="J3819" s="6">
        <f>IFERROR(__xludf.DUMMYFUNCTION("""COMPUTED_VALUE"""),1.88964695E8)</f>
        <v>188964695</v>
      </c>
      <c r="K3819" s="57">
        <f>IFERROR(__xludf.DUMMYFUNCTION("""COMPUTED_VALUE"""),45905.0)</f>
        <v>45905</v>
      </c>
      <c r="L3819" s="6" t="str">
        <f>IFERROR(__xludf.DUMMYFUNCTION("""COMPUTED_VALUE"""),"FIP General")</f>
        <v>FIP General</v>
      </c>
      <c r="M3819" s="6" t="str">
        <f>IFERROR(__xludf.DUMMYFUNCTION("""COMPUTED_VALUE"""),"Mochammad Fadhillah Hakim,")</f>
        <v>Mochammad Fadhillah Hakim,</v>
      </c>
      <c r="N3819" s="6" t="str">
        <f>IFERROR(__xludf.DUMMYFUNCTION("""COMPUTED_VALUE"""),"FIP Engineering")</f>
        <v>FIP Engineering</v>
      </c>
      <c r="O3819" s="6" t="str">
        <f>IFERROR(__xludf.DUMMYFUNCTION("""COMPUTED_VALUE"""),"FIP-DOM-ENG-13404-MC25002-INA-000000")</f>
        <v>FIP-DOM-ENG-13404-MC25002-INA-000000</v>
      </c>
      <c r="P3819" s="6" t="str">
        <f>IFERROR(__xludf.DUMMYFUNCTION("""COMPUTED_VALUE"""),"PO Closed")</f>
        <v>PO Closed</v>
      </c>
      <c r="Q3819" s="6" t="str">
        <f>IFERROR(__xludf.DUMMYFUNCTION("""COMPUTED_VALUE"""),"GL2505019")</f>
        <v>GL2505019</v>
      </c>
      <c r="R3819" s="57">
        <f>IFERROR(__xludf.DUMMYFUNCTION("""COMPUTED_VALUE"""),45721.0)</f>
        <v>45721</v>
      </c>
      <c r="S3819" s="57">
        <f>IFERROR(__xludf.DUMMYFUNCTION("""COMPUTED_VALUE"""),45729.0)</f>
        <v>45729</v>
      </c>
      <c r="T3819" s="57">
        <f>IFERROR(__xludf.DUMMYFUNCTION("""COMPUTED_VALUE"""),45912.0)</f>
        <v>45912</v>
      </c>
    </row>
    <row r="3820">
      <c r="A3820" s="6" t="str">
        <f>IFERROR(__xludf.DUMMYFUNCTION("""COMPUTED_VALUE"""),"121702501-1")</f>
        <v>121702501-1</v>
      </c>
      <c r="B3820" s="6" t="str">
        <f>IFERROR(__xludf.DUMMYFUNCTION("""COMPUTED_VALUE"""),"121702501 - APPROVED")</f>
        <v>121702501 - APPROVED</v>
      </c>
      <c r="C3820" s="6">
        <f>IFERROR(__xludf.DUMMYFUNCTION("""COMPUTED_VALUE"""),1.0)</f>
        <v>1</v>
      </c>
      <c r="D3820" s="6" t="str">
        <f>IFERROR(__xludf.DUMMYFUNCTION("""COMPUTED_VALUE"""),"S-60050-00")</f>
        <v>S-60050-00</v>
      </c>
      <c r="E3820" s="6" t="str">
        <f>IFERROR(__xludf.DUMMYFUNCTION("""COMPUTED_VALUE"""),"Jasa Perbaikan dan Pemeliharaan Mesin Produksi; ; ; - Perbaikan Kompresor BoD")</f>
        <v>Jasa Perbaikan dan Pemeliharaan Mesin Produksi; ; ; - Perbaikan Kompresor BoD</v>
      </c>
      <c r="F3820" s="6">
        <f>IFERROR(__xludf.DUMMYFUNCTION("""COMPUTED_VALUE"""),1.0)</f>
        <v>1</v>
      </c>
      <c r="G3820" s="6" t="str">
        <f>IFERROR(__xludf.DUMMYFUNCTION("""COMPUTED_VALUE"""),"Pieces")</f>
        <v>Pieces</v>
      </c>
      <c r="H3820" s="6" t="str">
        <f>IFERROR(__xludf.DUMMYFUNCTION("""COMPUTED_VALUE"""),"IDR")</f>
        <v>IDR</v>
      </c>
      <c r="I3820" s="6">
        <f>IFERROR(__xludf.DUMMYFUNCTION("""COMPUTED_VALUE"""),8400000.0)</f>
        <v>8400000</v>
      </c>
      <c r="J3820" s="6">
        <f>IFERROR(__xludf.DUMMYFUNCTION("""COMPUTED_VALUE"""),8400000.0)</f>
        <v>8400000</v>
      </c>
      <c r="K3820" s="57">
        <f>IFERROR(__xludf.DUMMYFUNCTION("""COMPUTED_VALUE"""),45736.0)</f>
        <v>45736</v>
      </c>
      <c r="L3820" s="6" t="str">
        <f>IFERROR(__xludf.DUMMYFUNCTION("""COMPUTED_VALUE"""),"FIP General")</f>
        <v>FIP General</v>
      </c>
      <c r="M3820" s="6" t="str">
        <f>IFERROR(__xludf.DUMMYFUNCTION("""COMPUTED_VALUE"""),"Mochammad Fadhillah Hakim,")</f>
        <v>Mochammad Fadhillah Hakim,</v>
      </c>
      <c r="N3820" s="6" t="str">
        <f>IFERROR(__xludf.DUMMYFUNCTION("""COMPUTED_VALUE"""),"FIP Engineering")</f>
        <v>FIP Engineering</v>
      </c>
      <c r="O3820" s="6" t="str">
        <f>IFERROR(__xludf.DUMMYFUNCTION("""COMPUTED_VALUE"""),"FIP-DOM-ENG-51504-0000000-INA-000000")</f>
        <v>FIP-DOM-ENG-51504-0000000-INA-000000</v>
      </c>
      <c r="P3820" s="6" t="str">
        <f>IFERROR(__xludf.DUMMYFUNCTION("""COMPUTED_VALUE"""),"PO Closed")</f>
        <v>PO Closed</v>
      </c>
      <c r="Q3820" s="6" t="str">
        <f>IFERROR(__xludf.DUMMYFUNCTION("""COMPUTED_VALUE"""),"GL2503052")</f>
        <v>GL2503052</v>
      </c>
      <c r="R3820" s="57">
        <f>IFERROR(__xludf.DUMMYFUNCTION("""COMPUTED_VALUE"""),45721.0)</f>
        <v>45721</v>
      </c>
      <c r="S3820" s="57">
        <f>IFERROR(__xludf.DUMMYFUNCTION("""COMPUTED_VALUE"""),45721.0)</f>
        <v>45721</v>
      </c>
      <c r="T3820" s="57">
        <f>IFERROR(__xludf.DUMMYFUNCTION("""COMPUTED_VALUE"""),45772.0)</f>
        <v>45772</v>
      </c>
    </row>
    <row r="3821">
      <c r="A3821" s="6" t="str">
        <f>IFERROR(__xludf.DUMMYFUNCTION("""COMPUTED_VALUE"""),"121702502-1")</f>
        <v>121702502-1</v>
      </c>
      <c r="B3821" s="6" t="str">
        <f>IFERROR(__xludf.DUMMYFUNCTION("""COMPUTED_VALUE"""),"121702502 - APPROVED")</f>
        <v>121702502 - APPROVED</v>
      </c>
      <c r="C3821" s="6">
        <f>IFERROR(__xludf.DUMMYFUNCTION("""COMPUTED_VALUE"""),1.0)</f>
        <v>1</v>
      </c>
      <c r="D3821" s="6" t="str">
        <f>IFERROR(__xludf.DUMMYFUNCTION("""COMPUTED_VALUE"""),"S-46149-00")</f>
        <v>S-46149-00</v>
      </c>
      <c r="E3821" s="6" t="str">
        <f>IFERROR(__xludf.DUMMYFUNCTION("""COMPUTED_VALUE"""),"Plastik PE Murni Polos 75 cmx100cmx 0.08mm; No Brand; ; pack size per kg")</f>
        <v>Plastik PE Murni Polos 75 cmx100cmx 0.08mm; No Brand; ; pack size per kg</v>
      </c>
      <c r="F3821" s="6">
        <f>IFERROR(__xludf.DUMMYFUNCTION("""COMPUTED_VALUE"""),200.0)</f>
        <v>200</v>
      </c>
      <c r="G3821" s="6" t="str">
        <f>IFERROR(__xludf.DUMMYFUNCTION("""COMPUTED_VALUE"""),"Kilogram")</f>
        <v>Kilogram</v>
      </c>
      <c r="H3821" s="6" t="str">
        <f>IFERROR(__xludf.DUMMYFUNCTION("""COMPUTED_VALUE"""),"IDR")</f>
        <v>IDR</v>
      </c>
      <c r="I3821" s="6">
        <f>IFERROR(__xludf.DUMMYFUNCTION("""COMPUTED_VALUE"""),25500.0)</f>
        <v>25500</v>
      </c>
      <c r="J3821" s="6">
        <f>IFERROR(__xludf.DUMMYFUNCTION("""COMPUTED_VALUE"""),5100000.0)</f>
        <v>5100000</v>
      </c>
      <c r="K3821" s="57">
        <f>IFERROR(__xludf.DUMMYFUNCTION("""COMPUTED_VALUE"""),45754.0)</f>
        <v>45754</v>
      </c>
      <c r="L3821" s="6" t="str">
        <f>IFERROR(__xludf.DUMMYFUNCTION("""COMPUTED_VALUE"""),"FIP General")</f>
        <v>FIP General</v>
      </c>
      <c r="M3821" s="6" t="str">
        <f>IFERROR(__xludf.DUMMYFUNCTION("""COMPUTED_VALUE"""),"Mochammad Fadhillah Hakim,")</f>
        <v>Mochammad Fadhillah Hakim,</v>
      </c>
      <c r="N3821" s="6" t="str">
        <f>IFERROR(__xludf.DUMMYFUNCTION("""COMPUTED_VALUE"""),"FIP Engineering")</f>
        <v>FIP Engineering</v>
      </c>
      <c r="O3821" s="6" t="str">
        <f>IFERROR(__xludf.DUMMYFUNCTION("""COMPUTED_VALUE"""),"FIP-DOM-ENG-51504-0000000-INA-000000")</f>
        <v>FIP-DOM-ENG-51504-0000000-INA-000000</v>
      </c>
      <c r="P3821" s="6" t="str">
        <f>IFERROR(__xludf.DUMMYFUNCTION("""COMPUTED_VALUE"""),"PO Closed")</f>
        <v>PO Closed</v>
      </c>
      <c r="Q3821" s="6" t="str">
        <f>IFERROR(__xludf.DUMMYFUNCTION("""COMPUTED_VALUE"""),"GL2503025")</f>
        <v>GL2503025</v>
      </c>
      <c r="R3821" s="57">
        <f>IFERROR(__xludf.DUMMYFUNCTION("""COMPUTED_VALUE"""),45721.0)</f>
        <v>45721</v>
      </c>
      <c r="S3821" s="57">
        <f>IFERROR(__xludf.DUMMYFUNCTION("""COMPUTED_VALUE"""),45721.0)</f>
        <v>45721</v>
      </c>
      <c r="T3821" s="57">
        <f>IFERROR(__xludf.DUMMYFUNCTION("""COMPUTED_VALUE"""),45754.0)</f>
        <v>45754</v>
      </c>
    </row>
    <row r="3822">
      <c r="A3822" s="6" t="str">
        <f>IFERROR(__xludf.DUMMYFUNCTION("""COMPUTED_VALUE"""),"121702502-2")</f>
        <v>121702502-2</v>
      </c>
      <c r="B3822" s="6" t="str">
        <f>IFERROR(__xludf.DUMMYFUNCTION("""COMPUTED_VALUE"""),"121702502 - APPROVED")</f>
        <v>121702502 - APPROVED</v>
      </c>
      <c r="C3822" s="6">
        <f>IFERROR(__xludf.DUMMYFUNCTION("""COMPUTED_VALUE"""),2.0)</f>
        <v>2</v>
      </c>
      <c r="D3822" s="6" t="str">
        <f>IFERROR(__xludf.DUMMYFUNCTION("""COMPUTED_VALUE"""),"S-46148-00")</f>
        <v>S-46148-00</v>
      </c>
      <c r="E3822" s="6" t="str">
        <f>IFERROR(__xludf.DUMMYFUNCTION("""COMPUTED_VALUE"""),"Plastik PE Murni Polos 50cmx75cmx 0.08mm; No Brand; ; pack size per kg")</f>
        <v>Plastik PE Murni Polos 50cmx75cmx 0.08mm; No Brand; ; pack size per kg</v>
      </c>
      <c r="F3822" s="6">
        <f>IFERROR(__xludf.DUMMYFUNCTION("""COMPUTED_VALUE"""),200.0)</f>
        <v>200</v>
      </c>
      <c r="G3822" s="6" t="str">
        <f>IFERROR(__xludf.DUMMYFUNCTION("""COMPUTED_VALUE"""),"Kilogram")</f>
        <v>Kilogram</v>
      </c>
      <c r="H3822" s="6" t="str">
        <f>IFERROR(__xludf.DUMMYFUNCTION("""COMPUTED_VALUE"""),"IDR")</f>
        <v>IDR</v>
      </c>
      <c r="I3822" s="6">
        <f>IFERROR(__xludf.DUMMYFUNCTION("""COMPUTED_VALUE"""),25500.0)</f>
        <v>25500</v>
      </c>
      <c r="J3822" s="6">
        <f>IFERROR(__xludf.DUMMYFUNCTION("""COMPUTED_VALUE"""),5100000.0)</f>
        <v>5100000</v>
      </c>
      <c r="K3822" s="57">
        <f>IFERROR(__xludf.DUMMYFUNCTION("""COMPUTED_VALUE"""),45754.0)</f>
        <v>45754</v>
      </c>
      <c r="L3822" s="6" t="str">
        <f>IFERROR(__xludf.DUMMYFUNCTION("""COMPUTED_VALUE"""),"FIP General")</f>
        <v>FIP General</v>
      </c>
      <c r="M3822" s="6" t="str">
        <f>IFERROR(__xludf.DUMMYFUNCTION("""COMPUTED_VALUE"""),"Mochammad Fadhillah Hakim,")</f>
        <v>Mochammad Fadhillah Hakim,</v>
      </c>
      <c r="N3822" s="6" t="str">
        <f>IFERROR(__xludf.DUMMYFUNCTION("""COMPUTED_VALUE"""),"FIP Engineering")</f>
        <v>FIP Engineering</v>
      </c>
      <c r="O3822" s="6" t="str">
        <f>IFERROR(__xludf.DUMMYFUNCTION("""COMPUTED_VALUE"""),"FIP-DOM-ENG-51504-0000000-INA-000000")</f>
        <v>FIP-DOM-ENG-51504-0000000-INA-000000</v>
      </c>
      <c r="P3822" s="6" t="str">
        <f>IFERROR(__xludf.DUMMYFUNCTION("""COMPUTED_VALUE"""),"PO Closed")</f>
        <v>PO Closed</v>
      </c>
      <c r="Q3822" s="6" t="str">
        <f>IFERROR(__xludf.DUMMYFUNCTION("""COMPUTED_VALUE"""),"GL2503025")</f>
        <v>GL2503025</v>
      </c>
      <c r="R3822" s="57">
        <f>IFERROR(__xludf.DUMMYFUNCTION("""COMPUTED_VALUE"""),45721.0)</f>
        <v>45721</v>
      </c>
      <c r="S3822" s="57">
        <f>IFERROR(__xludf.DUMMYFUNCTION("""COMPUTED_VALUE"""),45721.0)</f>
        <v>45721</v>
      </c>
      <c r="T3822" s="57">
        <f>IFERROR(__xludf.DUMMYFUNCTION("""COMPUTED_VALUE"""),45754.0)</f>
        <v>45754</v>
      </c>
    </row>
    <row r="3823">
      <c r="A3823" s="6" t="str">
        <f>IFERROR(__xludf.DUMMYFUNCTION("""COMPUTED_VALUE"""),"121702504-1")</f>
        <v>121702504-1</v>
      </c>
      <c r="B3823" s="6" t="str">
        <f>IFERROR(__xludf.DUMMYFUNCTION("""COMPUTED_VALUE"""),"121702504 - APPROVED")</f>
        <v>121702504 - APPROVED</v>
      </c>
      <c r="C3823" s="6">
        <f>IFERROR(__xludf.DUMMYFUNCTION("""COMPUTED_VALUE"""),1.0)</f>
        <v>1</v>
      </c>
      <c r="D3823" s="6" t="str">
        <f>IFERROR(__xludf.DUMMYFUNCTION("""COMPUTED_VALUE"""),"P-52278-00")</f>
        <v>P-52278-00</v>
      </c>
      <c r="E3823" s="6" t="str">
        <f>IFERROR(__xludf.DUMMYFUNCTION("""COMPUTED_VALUE"""),"Capacitor 50F 250VAC 25A 5% Screw (KMT) P/N : 6R 01502010; ; ;")</f>
        <v>Capacitor 50F 250VAC 25A 5% Screw (KMT) P/N : 6R 01502010; ; ;</v>
      </c>
      <c r="F3823" s="6">
        <f>IFERROR(__xludf.DUMMYFUNCTION("""COMPUTED_VALUE"""),10.0)</f>
        <v>10</v>
      </c>
      <c r="G3823" s="6" t="str">
        <f>IFERROR(__xludf.DUMMYFUNCTION("""COMPUTED_VALUE"""),"Pieces")</f>
        <v>Pieces</v>
      </c>
      <c r="H3823" s="6" t="str">
        <f>IFERROR(__xludf.DUMMYFUNCTION("""COMPUTED_VALUE"""),"IDR")</f>
        <v>IDR</v>
      </c>
      <c r="I3823" s="6">
        <f>IFERROR(__xludf.DUMMYFUNCTION("""COMPUTED_VALUE"""),2200000.0)</f>
        <v>2200000</v>
      </c>
      <c r="J3823" s="6">
        <f>IFERROR(__xludf.DUMMYFUNCTION("""COMPUTED_VALUE"""),2.2E7)</f>
        <v>22000000</v>
      </c>
      <c r="K3823" s="57">
        <f>IFERROR(__xludf.DUMMYFUNCTION("""COMPUTED_VALUE"""),45754.0)</f>
        <v>45754</v>
      </c>
      <c r="L3823" s="6" t="str">
        <f>IFERROR(__xludf.DUMMYFUNCTION("""COMPUTED_VALUE"""),"FIP Engineering")</f>
        <v>FIP Engineering</v>
      </c>
      <c r="M3823" s="6" t="str">
        <f>IFERROR(__xludf.DUMMYFUNCTION("""COMPUTED_VALUE"""),"Mochammad Fadhillah Hakim,")</f>
        <v>Mochammad Fadhillah Hakim,</v>
      </c>
      <c r="N3823" s="6" t="str">
        <f>IFERROR(__xludf.DUMMYFUNCTION("""COMPUTED_VALUE"""),"FIP Engineering")</f>
        <v>FIP Engineering</v>
      </c>
      <c r="O3823" s="6" t="str">
        <f>IFERROR(__xludf.DUMMYFUNCTION("""COMPUTED_VALUE"""),"FIP-DOM-000-11304-OS00001-INA-000000")</f>
        <v>FIP-DOM-000-11304-OS00001-INA-000000</v>
      </c>
      <c r="P3823" s="6" t="str">
        <f>IFERROR(__xludf.DUMMYFUNCTION("""COMPUTED_VALUE"""),"PO Closed")</f>
        <v>PO Closed</v>
      </c>
      <c r="Q3823" s="6" t="str">
        <f>IFERROR(__xludf.DUMMYFUNCTION("""COMPUTED_VALUE"""),"GL2504017")</f>
        <v>GL2504017</v>
      </c>
      <c r="R3823" s="57">
        <f>IFERROR(__xludf.DUMMYFUNCTION("""COMPUTED_VALUE"""),45721.0)</f>
        <v>45721</v>
      </c>
      <c r="S3823" s="57">
        <f>IFERROR(__xludf.DUMMYFUNCTION("""COMPUTED_VALUE"""),45722.0)</f>
        <v>45722</v>
      </c>
      <c r="T3823" s="57">
        <f>IFERROR(__xludf.DUMMYFUNCTION("""COMPUTED_VALUE"""),45764.0)</f>
        <v>45764</v>
      </c>
    </row>
    <row r="3824">
      <c r="A3824" s="6" t="str">
        <f>IFERROR(__xludf.DUMMYFUNCTION("""COMPUTED_VALUE"""),"121702506-1")</f>
        <v>121702506-1</v>
      </c>
      <c r="B3824" s="6" t="str">
        <f>IFERROR(__xludf.DUMMYFUNCTION("""COMPUTED_VALUE"""),"121702506 - APPROVED")</f>
        <v>121702506 - APPROVED</v>
      </c>
      <c r="C3824" s="6">
        <f>IFERROR(__xludf.DUMMYFUNCTION("""COMPUTED_VALUE"""),1.0)</f>
        <v>1</v>
      </c>
      <c r="D3824" s="6" t="str">
        <f>IFERROR(__xludf.DUMMYFUNCTION("""COMPUTED_VALUE"""),"Q-50013-00")</f>
        <v>Q-50013-00</v>
      </c>
      <c r="E3824" s="6" t="str">
        <f>IFERROR(__xludf.DUMMYFUNCTION("""COMPUTED_VALUE"""),"Frame or Perimeter Seal RP48 White; Raven; R48W6; 6 meter/pck")</f>
        <v>Frame or Perimeter Seal RP48 White; Raven; R48W6; 6 meter/pck</v>
      </c>
      <c r="F3824" s="6">
        <f>IFERROR(__xludf.DUMMYFUNCTION("""COMPUTED_VALUE"""),17.0)</f>
        <v>17</v>
      </c>
      <c r="G3824" s="6" t="str">
        <f>IFERROR(__xludf.DUMMYFUNCTION("""COMPUTED_VALUE"""),"Pack")</f>
        <v>Pack</v>
      </c>
      <c r="H3824" s="6" t="str">
        <f>IFERROR(__xludf.DUMMYFUNCTION("""COMPUTED_VALUE"""),"IDR")</f>
        <v>IDR</v>
      </c>
      <c r="I3824" s="6">
        <f>IFERROR(__xludf.DUMMYFUNCTION("""COMPUTED_VALUE"""),128400.0)</f>
        <v>128400</v>
      </c>
      <c r="J3824" s="6">
        <f>IFERROR(__xludf.DUMMYFUNCTION("""COMPUTED_VALUE"""),2182800.0)</f>
        <v>2182800</v>
      </c>
      <c r="K3824" s="57">
        <f>IFERROR(__xludf.DUMMYFUNCTION("""COMPUTED_VALUE"""),45754.0)</f>
        <v>45754</v>
      </c>
      <c r="L3824" s="6" t="str">
        <f>IFERROR(__xludf.DUMMYFUNCTION("""COMPUTED_VALUE"""),"FIP General")</f>
        <v>FIP General</v>
      </c>
      <c r="M3824" s="6" t="str">
        <f>IFERROR(__xludf.DUMMYFUNCTION("""COMPUTED_VALUE"""),"Mochammad Fadhillah Hakim,")</f>
        <v>Mochammad Fadhillah Hakim,</v>
      </c>
      <c r="N3824" s="6" t="str">
        <f>IFERROR(__xludf.DUMMYFUNCTION("""COMPUTED_VALUE"""),"FIP Engineering")</f>
        <v>FIP Engineering</v>
      </c>
      <c r="O3824" s="6" t="str">
        <f>IFERROR(__xludf.DUMMYFUNCTION("""COMPUTED_VALUE"""),"FIP-DOM-ENG-51502-0000000-INA-000000")</f>
        <v>FIP-DOM-ENG-51502-0000000-INA-000000</v>
      </c>
      <c r="P3824" s="6" t="str">
        <f>IFERROR(__xludf.DUMMYFUNCTION("""COMPUTED_VALUE"""),"PO Closed")</f>
        <v>PO Closed</v>
      </c>
      <c r="Q3824" s="6" t="str">
        <f>IFERROR(__xludf.DUMMYFUNCTION("""COMPUTED_VALUE"""),"GL2503031")</f>
        <v>GL2503031</v>
      </c>
      <c r="R3824" s="57">
        <f>IFERROR(__xludf.DUMMYFUNCTION("""COMPUTED_VALUE"""),45721.0)</f>
        <v>45721</v>
      </c>
      <c r="S3824" s="57">
        <f>IFERROR(__xludf.DUMMYFUNCTION("""COMPUTED_VALUE"""),45722.0)</f>
        <v>45722</v>
      </c>
      <c r="T3824" s="57">
        <f>IFERROR(__xludf.DUMMYFUNCTION("""COMPUTED_VALUE"""),45754.0)</f>
        <v>45754</v>
      </c>
    </row>
    <row r="3825">
      <c r="A3825" s="6" t="str">
        <f>IFERROR(__xludf.DUMMYFUNCTION("""COMPUTED_VALUE"""),"121702508-1")</f>
        <v>121702508-1</v>
      </c>
      <c r="B3825" s="6" t="str">
        <f>IFERROR(__xludf.DUMMYFUNCTION("""COMPUTED_VALUE"""),"121702508 - APPROVED")</f>
        <v>121702508 - APPROVED</v>
      </c>
      <c r="C3825" s="6">
        <f>IFERROR(__xludf.DUMMYFUNCTION("""COMPUTED_VALUE"""),1.0)</f>
        <v>1</v>
      </c>
      <c r="D3825" s="6" t="str">
        <f>IFERROR(__xludf.DUMMYFUNCTION("""COMPUTED_VALUE"""),"P-19571-00")</f>
        <v>P-19571-00</v>
      </c>
      <c r="E3825" s="6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F3825" s="6">
        <f>IFERROR(__xludf.DUMMYFUNCTION("""COMPUTED_VALUE"""),3.0)</f>
        <v>3</v>
      </c>
      <c r="G3825" s="6" t="str">
        <f>IFERROR(__xludf.DUMMYFUNCTION("""COMPUTED_VALUE"""),"Pieces")</f>
        <v>Pieces</v>
      </c>
      <c r="H3825" s="6" t="str">
        <f>IFERROR(__xludf.DUMMYFUNCTION("""COMPUTED_VALUE"""),"IDR")</f>
        <v>IDR</v>
      </c>
      <c r="I3825" s="6">
        <f>IFERROR(__xludf.DUMMYFUNCTION("""COMPUTED_VALUE"""),702900.0)</f>
        <v>702900</v>
      </c>
      <c r="J3825" s="6">
        <f>IFERROR(__xludf.DUMMYFUNCTION("""COMPUTED_VALUE"""),2108700.0)</f>
        <v>2108700</v>
      </c>
      <c r="K3825" s="57">
        <f>IFERROR(__xludf.DUMMYFUNCTION("""COMPUTED_VALUE"""),45754.0)</f>
        <v>45754</v>
      </c>
      <c r="L3825" s="6" t="str">
        <f>IFERROR(__xludf.DUMMYFUNCTION("""COMPUTED_VALUE"""),"FIP Engineering")</f>
        <v>FIP Engineering</v>
      </c>
      <c r="M3825" s="6" t="str">
        <f>IFERROR(__xludf.DUMMYFUNCTION("""COMPUTED_VALUE"""),"Mochammad Fadhillah Hakim,")</f>
        <v>Mochammad Fadhillah Hakim,</v>
      </c>
      <c r="N3825" s="6" t="str">
        <f>IFERROR(__xludf.DUMMYFUNCTION("""COMPUTED_VALUE"""),"FIP Engineering")</f>
        <v>FIP Engineering</v>
      </c>
      <c r="O3825" s="6" t="str">
        <f>IFERROR(__xludf.DUMMYFUNCTION("""COMPUTED_VALUE"""),"FIP-DOM-000-11304-OS00001-INA-000000")</f>
        <v>FIP-DOM-000-11304-OS00001-INA-000000</v>
      </c>
      <c r="P3825" s="6" t="str">
        <f>IFERROR(__xludf.DUMMYFUNCTION("""COMPUTED_VALUE"""),"PO Closed")</f>
        <v>PO Closed</v>
      </c>
      <c r="Q3825" s="6" t="str">
        <f>IFERROR(__xludf.DUMMYFUNCTION("""COMPUTED_VALUE"""),"GL2503355")</f>
        <v>GL2503355</v>
      </c>
      <c r="R3825" s="57">
        <f>IFERROR(__xludf.DUMMYFUNCTION("""COMPUTED_VALUE"""),45721.0)</f>
        <v>45721</v>
      </c>
      <c r="S3825" s="57">
        <f>IFERROR(__xludf.DUMMYFUNCTION("""COMPUTED_VALUE"""),45722.0)</f>
        <v>45722</v>
      </c>
      <c r="T3825" s="57">
        <f>IFERROR(__xludf.DUMMYFUNCTION("""COMPUTED_VALUE"""),45759.0)</f>
        <v>45759</v>
      </c>
    </row>
    <row r="3826">
      <c r="A3826" s="6" t="str">
        <f>IFERROR(__xludf.DUMMYFUNCTION("""COMPUTED_VALUE"""),"121702508-2")</f>
        <v>121702508-2</v>
      </c>
      <c r="B3826" s="6" t="str">
        <f>IFERROR(__xludf.DUMMYFUNCTION("""COMPUTED_VALUE"""),"121702508 - APPROVED")</f>
        <v>121702508 - APPROVED</v>
      </c>
      <c r="C3826" s="6">
        <f>IFERROR(__xludf.DUMMYFUNCTION("""COMPUTED_VALUE"""),2.0)</f>
        <v>2</v>
      </c>
      <c r="D3826" s="6" t="str">
        <f>IFERROR(__xludf.DUMMYFUNCTION("""COMPUTED_VALUE"""),"P-19570-00")</f>
        <v>P-19570-00</v>
      </c>
      <c r="E3826" s="6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F3826" s="6">
        <f>IFERROR(__xludf.DUMMYFUNCTION("""COMPUTED_VALUE"""),3.0)</f>
        <v>3</v>
      </c>
      <c r="G3826" s="6" t="str">
        <f>IFERROR(__xludf.DUMMYFUNCTION("""COMPUTED_VALUE"""),"Pieces")</f>
        <v>Pieces</v>
      </c>
      <c r="H3826" s="6" t="str">
        <f>IFERROR(__xludf.DUMMYFUNCTION("""COMPUTED_VALUE"""),"IDR")</f>
        <v>IDR</v>
      </c>
      <c r="I3826" s="6">
        <f>IFERROR(__xludf.DUMMYFUNCTION("""COMPUTED_VALUE"""),1075479.0)</f>
        <v>1075479</v>
      </c>
      <c r="J3826" s="6">
        <f>IFERROR(__xludf.DUMMYFUNCTION("""COMPUTED_VALUE"""),3226437.0)</f>
        <v>3226437</v>
      </c>
      <c r="K3826" s="57">
        <f>IFERROR(__xludf.DUMMYFUNCTION("""COMPUTED_VALUE"""),45754.0)</f>
        <v>45754</v>
      </c>
      <c r="L3826" s="6" t="str">
        <f>IFERROR(__xludf.DUMMYFUNCTION("""COMPUTED_VALUE"""),"FIP Engineering")</f>
        <v>FIP Engineering</v>
      </c>
      <c r="M3826" s="6" t="str">
        <f>IFERROR(__xludf.DUMMYFUNCTION("""COMPUTED_VALUE"""),"Mochammad Fadhillah Hakim,")</f>
        <v>Mochammad Fadhillah Hakim,</v>
      </c>
      <c r="N3826" s="6" t="str">
        <f>IFERROR(__xludf.DUMMYFUNCTION("""COMPUTED_VALUE"""),"FIP Engineering")</f>
        <v>FIP Engineering</v>
      </c>
      <c r="O3826" s="6" t="str">
        <f>IFERROR(__xludf.DUMMYFUNCTION("""COMPUTED_VALUE"""),"FIP-DOM-000-11304-OS00001-INA-000000")</f>
        <v>FIP-DOM-000-11304-OS00001-INA-000000</v>
      </c>
      <c r="P3826" s="6" t="str">
        <f>IFERROR(__xludf.DUMMYFUNCTION("""COMPUTED_VALUE"""),"PO Closed")</f>
        <v>PO Closed</v>
      </c>
      <c r="Q3826" s="6" t="str">
        <f>IFERROR(__xludf.DUMMYFUNCTION("""COMPUTED_VALUE"""),"GL2503355")</f>
        <v>GL2503355</v>
      </c>
      <c r="R3826" s="57">
        <f>IFERROR(__xludf.DUMMYFUNCTION("""COMPUTED_VALUE"""),45721.0)</f>
        <v>45721</v>
      </c>
      <c r="S3826" s="57">
        <f>IFERROR(__xludf.DUMMYFUNCTION("""COMPUTED_VALUE"""),45722.0)</f>
        <v>45722</v>
      </c>
      <c r="T3826" s="57">
        <f>IFERROR(__xludf.DUMMYFUNCTION("""COMPUTED_VALUE"""),45759.0)</f>
        <v>45759</v>
      </c>
    </row>
    <row r="3827">
      <c r="A3827" s="6" t="str">
        <f>IFERROR(__xludf.DUMMYFUNCTION("""COMPUTED_VALUE"""),"121702508-3")</f>
        <v>121702508-3</v>
      </c>
      <c r="B3827" s="6" t="str">
        <f>IFERROR(__xludf.DUMMYFUNCTION("""COMPUTED_VALUE"""),"121702508 - APPROVED")</f>
        <v>121702508 - APPROVED</v>
      </c>
      <c r="C3827" s="6">
        <f>IFERROR(__xludf.DUMMYFUNCTION("""COMPUTED_VALUE"""),3.0)</f>
        <v>3</v>
      </c>
      <c r="D3827" s="6" t="str">
        <f>IFERROR(__xludf.DUMMYFUNCTION("""COMPUTED_VALUE"""),"P-19569-00")</f>
        <v>P-19569-00</v>
      </c>
      <c r="E3827" s="6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F3827" s="6">
        <f>IFERROR(__xludf.DUMMYFUNCTION("""COMPUTED_VALUE"""),3.0)</f>
        <v>3</v>
      </c>
      <c r="G3827" s="6" t="str">
        <f>IFERROR(__xludf.DUMMYFUNCTION("""COMPUTED_VALUE"""),"Pieces")</f>
        <v>Pieces</v>
      </c>
      <c r="H3827" s="6" t="str">
        <f>IFERROR(__xludf.DUMMYFUNCTION("""COMPUTED_VALUE"""),"IDR")</f>
        <v>IDR</v>
      </c>
      <c r="I3827" s="6">
        <f>IFERROR(__xludf.DUMMYFUNCTION("""COMPUTED_VALUE"""),1617000.0)</f>
        <v>1617000</v>
      </c>
      <c r="J3827" s="6">
        <f>IFERROR(__xludf.DUMMYFUNCTION("""COMPUTED_VALUE"""),4851000.0)</f>
        <v>4851000</v>
      </c>
      <c r="K3827" s="57">
        <f>IFERROR(__xludf.DUMMYFUNCTION("""COMPUTED_VALUE"""),45754.0)</f>
        <v>45754</v>
      </c>
      <c r="L3827" s="6" t="str">
        <f>IFERROR(__xludf.DUMMYFUNCTION("""COMPUTED_VALUE"""),"FIP Engineering")</f>
        <v>FIP Engineering</v>
      </c>
      <c r="M3827" s="6" t="str">
        <f>IFERROR(__xludf.DUMMYFUNCTION("""COMPUTED_VALUE"""),"Mochammad Fadhillah Hakim,")</f>
        <v>Mochammad Fadhillah Hakim,</v>
      </c>
      <c r="N3827" s="6" t="str">
        <f>IFERROR(__xludf.DUMMYFUNCTION("""COMPUTED_VALUE"""),"FIP Engineering")</f>
        <v>FIP Engineering</v>
      </c>
      <c r="O3827" s="6" t="str">
        <f>IFERROR(__xludf.DUMMYFUNCTION("""COMPUTED_VALUE"""),"FIP-DOM-000-11304-OS00001-INA-000000")</f>
        <v>FIP-DOM-000-11304-OS00001-INA-000000</v>
      </c>
      <c r="P3827" s="6" t="str">
        <f>IFERROR(__xludf.DUMMYFUNCTION("""COMPUTED_VALUE"""),"PO Closed")</f>
        <v>PO Closed</v>
      </c>
      <c r="Q3827" s="6" t="str">
        <f>IFERROR(__xludf.DUMMYFUNCTION("""COMPUTED_VALUE"""),"GL2503355")</f>
        <v>GL2503355</v>
      </c>
      <c r="R3827" s="57">
        <f>IFERROR(__xludf.DUMMYFUNCTION("""COMPUTED_VALUE"""),45721.0)</f>
        <v>45721</v>
      </c>
      <c r="S3827" s="57">
        <f>IFERROR(__xludf.DUMMYFUNCTION("""COMPUTED_VALUE"""),45722.0)</f>
        <v>45722</v>
      </c>
      <c r="T3827" s="57">
        <f>IFERROR(__xludf.DUMMYFUNCTION("""COMPUTED_VALUE"""),45759.0)</f>
        <v>45759</v>
      </c>
    </row>
    <row r="3828">
      <c r="A3828" s="6" t="str">
        <f>IFERROR(__xludf.DUMMYFUNCTION("""COMPUTED_VALUE"""),"121702511-1")</f>
        <v>121702511-1</v>
      </c>
      <c r="B3828" s="6" t="str">
        <f>IFERROR(__xludf.DUMMYFUNCTION("""COMPUTED_VALUE"""),"121702511 - APPROVED")</f>
        <v>121702511 - APPROVED</v>
      </c>
      <c r="C3828" s="6">
        <f>IFERROR(__xludf.DUMMYFUNCTION("""COMPUTED_VALUE"""),1.0)</f>
        <v>1</v>
      </c>
      <c r="D3828" s="6" t="str">
        <f>IFERROR(__xludf.DUMMYFUNCTION("""COMPUTED_VALUE"""),"O-17535-00")</f>
        <v>O-17535-00</v>
      </c>
      <c r="E3828" s="6" t="str">
        <f>IFERROR(__xludf.DUMMYFUNCTION("""COMPUTED_VALUE"""),"Hepa-Filter, Miele PRIMA INSTRUMENT ANALITIKA, PT P/N : 10083920 pc")</f>
        <v>Hepa-Filter, Miele PRIMA INSTRUMENT ANALITIKA, PT P/N : 10083920 pc</v>
      </c>
      <c r="F3828" s="6">
        <f>IFERROR(__xludf.DUMMYFUNCTION("""COMPUTED_VALUE"""),1.0)</f>
        <v>1</v>
      </c>
      <c r="G3828" s="6" t="str">
        <f>IFERROR(__xludf.DUMMYFUNCTION("""COMPUTED_VALUE"""),"Pieces")</f>
        <v>Pieces</v>
      </c>
      <c r="H3828" s="6" t="str">
        <f>IFERROR(__xludf.DUMMYFUNCTION("""COMPUTED_VALUE"""),"IDR")</f>
        <v>IDR</v>
      </c>
      <c r="I3828" s="6">
        <f>IFERROR(__xludf.DUMMYFUNCTION("""COMPUTED_VALUE"""),2520000.0)</f>
        <v>2520000</v>
      </c>
      <c r="J3828" s="6">
        <f>IFERROR(__xludf.DUMMYFUNCTION("""COMPUTED_VALUE"""),2520000.0)</f>
        <v>2520000</v>
      </c>
      <c r="K3828" s="57">
        <f>IFERROR(__xludf.DUMMYFUNCTION("""COMPUTED_VALUE"""),45754.0)</f>
        <v>45754</v>
      </c>
      <c r="L3828" s="6" t="str">
        <f>IFERROR(__xludf.DUMMYFUNCTION("""COMPUTED_VALUE"""),"FIP Engineering")</f>
        <v>FIP Engineering</v>
      </c>
      <c r="M3828" s="6" t="str">
        <f>IFERROR(__xludf.DUMMYFUNCTION("""COMPUTED_VALUE"""),"Mochammad Fadhillah Hakim,")</f>
        <v>Mochammad Fadhillah Hakim,</v>
      </c>
      <c r="N3828" s="6" t="str">
        <f>IFERROR(__xludf.DUMMYFUNCTION("""COMPUTED_VALUE"""),"FIP Engineering")</f>
        <v>FIP Engineering</v>
      </c>
      <c r="O3828" s="6" t="str">
        <f>IFERROR(__xludf.DUMMYFUNCTION("""COMPUTED_VALUE"""),"FIP-DOM-000-11304-OS00001-INA-000000")</f>
        <v>FIP-DOM-000-11304-OS00001-INA-000000</v>
      </c>
      <c r="P3828" s="6" t="str">
        <f>IFERROR(__xludf.DUMMYFUNCTION("""COMPUTED_VALUE"""),"PO Closed")</f>
        <v>PO Closed</v>
      </c>
      <c r="Q3828" s="6" t="str">
        <f>IFERROR(__xludf.DUMMYFUNCTION("""COMPUTED_VALUE"""),"GL2504027")</f>
        <v>GL2504027</v>
      </c>
      <c r="R3828" s="57">
        <f>IFERROR(__xludf.DUMMYFUNCTION("""COMPUTED_VALUE"""),45722.0)</f>
        <v>45722</v>
      </c>
      <c r="S3828" s="57">
        <f>IFERROR(__xludf.DUMMYFUNCTION("""COMPUTED_VALUE"""),45722.0)</f>
        <v>45722</v>
      </c>
      <c r="T3828" s="57">
        <f>IFERROR(__xludf.DUMMYFUNCTION("""COMPUTED_VALUE"""),45818.0)</f>
        <v>45818</v>
      </c>
    </row>
    <row r="3829">
      <c r="A3829" s="6" t="str">
        <f>IFERROR(__xludf.DUMMYFUNCTION("""COMPUTED_VALUE"""),"121702513-1")</f>
        <v>121702513-1</v>
      </c>
      <c r="B3829" s="6" t="str">
        <f>IFERROR(__xludf.DUMMYFUNCTION("""COMPUTED_VALUE"""),"121702513 - APPROVED")</f>
        <v>121702513 - APPROVED</v>
      </c>
      <c r="C3829" s="6">
        <f>IFERROR(__xludf.DUMMYFUNCTION("""COMPUTED_VALUE"""),1.0)</f>
        <v>1</v>
      </c>
      <c r="D3829" s="6" t="str">
        <f>IFERROR(__xludf.DUMMYFUNCTION("""COMPUTED_VALUE"""),"T-21028-00")</f>
        <v>T-21028-00</v>
      </c>
      <c r="E3829" s="6" t="str">
        <f>IFERROR(__xludf.DUMMYFUNCTION("""COMPUTED_VALUE"""),"Gas Clean hydrocarbon purifier; Agilent; Part No. CP17972; 1/pk")</f>
        <v>Gas Clean hydrocarbon purifier; Agilent; Part No. CP17972; 1/pk</v>
      </c>
      <c r="F3829" s="6">
        <f>IFERROR(__xludf.DUMMYFUNCTION("""COMPUTED_VALUE"""),2.0)</f>
        <v>2</v>
      </c>
      <c r="G3829" s="6" t="str">
        <f>IFERROR(__xludf.DUMMYFUNCTION("""COMPUTED_VALUE"""),"Pieces")</f>
        <v>Pieces</v>
      </c>
      <c r="H3829" s="6" t="str">
        <f>IFERROR(__xludf.DUMMYFUNCTION("""COMPUTED_VALUE"""),"IDR")</f>
        <v>IDR</v>
      </c>
      <c r="I3829" s="6">
        <f>IFERROR(__xludf.DUMMYFUNCTION("""COMPUTED_VALUE"""),3923100.0)</f>
        <v>3923100</v>
      </c>
      <c r="J3829" s="6">
        <f>IFERROR(__xludf.DUMMYFUNCTION("""COMPUTED_VALUE"""),7846200.0)</f>
        <v>7846200</v>
      </c>
      <c r="K3829" s="57">
        <f>IFERROR(__xludf.DUMMYFUNCTION("""COMPUTED_VALUE"""),45754.0)</f>
        <v>45754</v>
      </c>
      <c r="L3829" s="6" t="str">
        <f>IFERROR(__xludf.DUMMYFUNCTION("""COMPUTED_VALUE"""),"FIP General")</f>
        <v>FIP General</v>
      </c>
      <c r="M3829" s="6" t="str">
        <f>IFERROR(__xludf.DUMMYFUNCTION("""COMPUTED_VALUE"""),"Mochammad Fadhillah Hakim,")</f>
        <v>Mochammad Fadhillah Hakim,</v>
      </c>
      <c r="N3829" s="6" t="str">
        <f>IFERROR(__xludf.DUMMYFUNCTION("""COMPUTED_VALUE"""),"FIP Engineering")</f>
        <v>FIP Engineering</v>
      </c>
      <c r="O3829" s="6" t="str">
        <f>IFERROR(__xludf.DUMMYFUNCTION("""COMPUTED_VALUE"""),"FIP-DOM-ENG-51505-0000000-INA-000000")</f>
        <v>FIP-DOM-ENG-51505-0000000-INA-000000</v>
      </c>
      <c r="P3829" s="6" t="str">
        <f>IFERROR(__xludf.DUMMYFUNCTION("""COMPUTED_VALUE"""),"PO Closed")</f>
        <v>PO Closed</v>
      </c>
      <c r="Q3829" s="6" t="str">
        <f>IFERROR(__xludf.DUMMYFUNCTION("""COMPUTED_VALUE"""),"GL2503073")</f>
        <v>GL2503073</v>
      </c>
      <c r="R3829" s="57">
        <f>IFERROR(__xludf.DUMMYFUNCTION("""COMPUTED_VALUE"""),45723.0)</f>
        <v>45723</v>
      </c>
      <c r="S3829" s="57">
        <f>IFERROR(__xludf.DUMMYFUNCTION("""COMPUTED_VALUE"""),45728.0)</f>
        <v>45728</v>
      </c>
      <c r="T3829" s="57">
        <f>IFERROR(__xludf.DUMMYFUNCTION("""COMPUTED_VALUE"""),45758.0)</f>
        <v>45758</v>
      </c>
    </row>
    <row r="3830">
      <c r="A3830" s="6" t="str">
        <f>IFERROR(__xludf.DUMMYFUNCTION("""COMPUTED_VALUE"""),"121702513-2")</f>
        <v>121702513-2</v>
      </c>
      <c r="B3830" s="6" t="str">
        <f>IFERROR(__xludf.DUMMYFUNCTION("""COMPUTED_VALUE"""),"121702513 - APPROVED")</f>
        <v>121702513 - APPROVED</v>
      </c>
      <c r="C3830" s="6">
        <f>IFERROR(__xludf.DUMMYFUNCTION("""COMPUTED_VALUE"""),2.0)</f>
        <v>2</v>
      </c>
      <c r="D3830" s="6" t="str">
        <f>IFERROR(__xludf.DUMMYFUNCTION("""COMPUTED_VALUE"""),"T-21029-00")</f>
        <v>T-21029-00</v>
      </c>
      <c r="E3830" s="6" t="str">
        <f>IFERROR(__xludf.DUMMYFUNCTION("""COMPUTED_VALUE"""),"Gas Clean moisture purifier; Agilent; Part No. CP17971; 1/pk")</f>
        <v>Gas Clean moisture purifier; Agilent; Part No. CP17971; 1/pk</v>
      </c>
      <c r="F3830" s="6">
        <f>IFERROR(__xludf.DUMMYFUNCTION("""COMPUTED_VALUE"""),1.0)</f>
        <v>1</v>
      </c>
      <c r="G3830" s="6" t="str">
        <f>IFERROR(__xludf.DUMMYFUNCTION("""COMPUTED_VALUE"""),"Pieces")</f>
        <v>Pieces</v>
      </c>
      <c r="H3830" s="6" t="str">
        <f>IFERROR(__xludf.DUMMYFUNCTION("""COMPUTED_VALUE"""),"IDR")</f>
        <v>IDR</v>
      </c>
      <c r="I3830" s="6">
        <f>IFERROR(__xludf.DUMMYFUNCTION("""COMPUTED_VALUE"""),3410100.0)</f>
        <v>3410100</v>
      </c>
      <c r="J3830" s="6">
        <f>IFERROR(__xludf.DUMMYFUNCTION("""COMPUTED_VALUE"""),3410100.0)</f>
        <v>3410100</v>
      </c>
      <c r="K3830" s="57">
        <f>IFERROR(__xludf.DUMMYFUNCTION("""COMPUTED_VALUE"""),45754.0)</f>
        <v>45754</v>
      </c>
      <c r="L3830" s="6" t="str">
        <f>IFERROR(__xludf.DUMMYFUNCTION("""COMPUTED_VALUE"""),"FIP General")</f>
        <v>FIP General</v>
      </c>
      <c r="M3830" s="6" t="str">
        <f>IFERROR(__xludf.DUMMYFUNCTION("""COMPUTED_VALUE"""),"Mochammad Fadhillah Hakim,")</f>
        <v>Mochammad Fadhillah Hakim,</v>
      </c>
      <c r="N3830" s="6" t="str">
        <f>IFERROR(__xludf.DUMMYFUNCTION("""COMPUTED_VALUE"""),"FIP Engineering")</f>
        <v>FIP Engineering</v>
      </c>
      <c r="O3830" s="6" t="str">
        <f>IFERROR(__xludf.DUMMYFUNCTION("""COMPUTED_VALUE"""),"FIP-DOM-ENG-51505-0000000-INA-000000")</f>
        <v>FIP-DOM-ENG-51505-0000000-INA-000000</v>
      </c>
      <c r="P3830" s="6" t="str">
        <f>IFERROR(__xludf.DUMMYFUNCTION("""COMPUTED_VALUE"""),"PO Closed")</f>
        <v>PO Closed</v>
      </c>
      <c r="Q3830" s="6" t="str">
        <f>IFERROR(__xludf.DUMMYFUNCTION("""COMPUTED_VALUE"""),"GL2503073")</f>
        <v>GL2503073</v>
      </c>
      <c r="R3830" s="57">
        <f>IFERROR(__xludf.DUMMYFUNCTION("""COMPUTED_VALUE"""),45723.0)</f>
        <v>45723</v>
      </c>
      <c r="S3830" s="57">
        <f>IFERROR(__xludf.DUMMYFUNCTION("""COMPUTED_VALUE"""),45728.0)</f>
        <v>45728</v>
      </c>
      <c r="T3830" s="57">
        <f>IFERROR(__xludf.DUMMYFUNCTION("""COMPUTED_VALUE"""),45758.0)</f>
        <v>45758</v>
      </c>
    </row>
    <row r="3831">
      <c r="A3831" s="6" t="str">
        <f>IFERROR(__xludf.DUMMYFUNCTION("""COMPUTED_VALUE"""),"121702513-3")</f>
        <v>121702513-3</v>
      </c>
      <c r="B3831" s="6" t="str">
        <f>IFERROR(__xludf.DUMMYFUNCTION("""COMPUTED_VALUE"""),"121702513 - APPROVED")</f>
        <v>121702513 - APPROVED</v>
      </c>
      <c r="C3831" s="6">
        <f>IFERROR(__xludf.DUMMYFUNCTION("""COMPUTED_VALUE"""),3.0)</f>
        <v>3</v>
      </c>
      <c r="D3831" s="6" t="str">
        <f>IFERROR(__xludf.DUMMYFUNCTION("""COMPUTED_VALUE"""),"T-21030-00")</f>
        <v>T-21030-00</v>
      </c>
      <c r="E3831" s="6" t="str">
        <f>IFERROR(__xludf.DUMMYFUNCTION("""COMPUTED_VALUE"""),"Gas Clean oxygen purifier; Agilent; Part No. CP17970; 1/pk")</f>
        <v>Gas Clean oxygen purifier; Agilent; Part No. CP17970; 1/pk</v>
      </c>
      <c r="F3831" s="6">
        <f>IFERROR(__xludf.DUMMYFUNCTION("""COMPUTED_VALUE"""),1.0)</f>
        <v>1</v>
      </c>
      <c r="G3831" s="6" t="str">
        <f>IFERROR(__xludf.DUMMYFUNCTION("""COMPUTED_VALUE"""),"Pieces")</f>
        <v>Pieces</v>
      </c>
      <c r="H3831" s="6" t="str">
        <f>IFERROR(__xludf.DUMMYFUNCTION("""COMPUTED_VALUE"""),"IDR")</f>
        <v>IDR</v>
      </c>
      <c r="I3831" s="6">
        <f>IFERROR(__xludf.DUMMYFUNCTION("""COMPUTED_VALUE"""),3437640.0)</f>
        <v>3437640</v>
      </c>
      <c r="J3831" s="6">
        <f>IFERROR(__xludf.DUMMYFUNCTION("""COMPUTED_VALUE"""),3437640.0)</f>
        <v>3437640</v>
      </c>
      <c r="K3831" s="57">
        <f>IFERROR(__xludf.DUMMYFUNCTION("""COMPUTED_VALUE"""),45754.0)</f>
        <v>45754</v>
      </c>
      <c r="L3831" s="6" t="str">
        <f>IFERROR(__xludf.DUMMYFUNCTION("""COMPUTED_VALUE"""),"FIP General")</f>
        <v>FIP General</v>
      </c>
      <c r="M3831" s="6" t="str">
        <f>IFERROR(__xludf.DUMMYFUNCTION("""COMPUTED_VALUE"""),"Mochammad Fadhillah Hakim,")</f>
        <v>Mochammad Fadhillah Hakim,</v>
      </c>
      <c r="N3831" s="6" t="str">
        <f>IFERROR(__xludf.DUMMYFUNCTION("""COMPUTED_VALUE"""),"FIP Engineering")</f>
        <v>FIP Engineering</v>
      </c>
      <c r="O3831" s="6" t="str">
        <f>IFERROR(__xludf.DUMMYFUNCTION("""COMPUTED_VALUE"""),"FIP-DOM-ENG-51505-0000000-INA-000000")</f>
        <v>FIP-DOM-ENG-51505-0000000-INA-000000</v>
      </c>
      <c r="P3831" s="6" t="str">
        <f>IFERROR(__xludf.DUMMYFUNCTION("""COMPUTED_VALUE"""),"PO Closed")</f>
        <v>PO Closed</v>
      </c>
      <c r="Q3831" s="6" t="str">
        <f>IFERROR(__xludf.DUMMYFUNCTION("""COMPUTED_VALUE"""),"GL2503073")</f>
        <v>GL2503073</v>
      </c>
      <c r="R3831" s="57">
        <f>IFERROR(__xludf.DUMMYFUNCTION("""COMPUTED_VALUE"""),45723.0)</f>
        <v>45723</v>
      </c>
      <c r="S3831" s="57">
        <f>IFERROR(__xludf.DUMMYFUNCTION("""COMPUTED_VALUE"""),45728.0)</f>
        <v>45728</v>
      </c>
      <c r="T3831" s="57">
        <f>IFERROR(__xludf.DUMMYFUNCTION("""COMPUTED_VALUE"""),45758.0)</f>
        <v>45758</v>
      </c>
    </row>
    <row r="3832">
      <c r="A3832" s="6" t="str">
        <f>IFERROR(__xludf.DUMMYFUNCTION("""COMPUTED_VALUE"""),"121702516-1")</f>
        <v>121702516-1</v>
      </c>
      <c r="B3832" s="6" t="str">
        <f>IFERROR(__xludf.DUMMYFUNCTION("""COMPUTED_VALUE"""),"121702516 - APPROVED")</f>
        <v>121702516 - APPROVED</v>
      </c>
      <c r="C3832" s="6">
        <f>IFERROR(__xludf.DUMMYFUNCTION("""COMPUTED_VALUE"""),1.0)</f>
        <v>1</v>
      </c>
      <c r="D3832" s="6" t="str">
        <f>IFERROR(__xludf.DUMMYFUNCTION("""COMPUTED_VALUE"""),"P-52068-00")</f>
        <v>P-52068-00</v>
      </c>
      <c r="E3832" s="6" t="str">
        <f>IFERROR(__xludf.DUMMYFUNCTION("""COMPUTED_VALUE"""),"Regin Pulser Basic SCR Heater Controller 230/400 V 16 A; ; ; unit")</f>
        <v>Regin Pulser Basic SCR Heater Controller 230/400 V 16 A; ; ; unit</v>
      </c>
      <c r="F3832" s="6">
        <f>IFERROR(__xludf.DUMMYFUNCTION("""COMPUTED_VALUE"""),1.0)</f>
        <v>1</v>
      </c>
      <c r="G3832" s="6" t="str">
        <f>IFERROR(__xludf.DUMMYFUNCTION("""COMPUTED_VALUE"""),"Unit")</f>
        <v>Unit</v>
      </c>
      <c r="H3832" s="6" t="str">
        <f>IFERROR(__xludf.DUMMYFUNCTION("""COMPUTED_VALUE"""),"IDR")</f>
        <v>IDR</v>
      </c>
      <c r="I3832" s="6">
        <f>IFERROR(__xludf.DUMMYFUNCTION("""COMPUTED_VALUE"""),8050000.0)</f>
        <v>8050000</v>
      </c>
      <c r="J3832" s="6">
        <f>IFERROR(__xludf.DUMMYFUNCTION("""COMPUTED_VALUE"""),8050000.0)</f>
        <v>8050000</v>
      </c>
      <c r="K3832" s="57">
        <f>IFERROR(__xludf.DUMMYFUNCTION("""COMPUTED_VALUE"""),45754.0)</f>
        <v>45754</v>
      </c>
      <c r="L3832" s="6" t="str">
        <f>IFERROR(__xludf.DUMMYFUNCTION("""COMPUTED_VALUE"""),"FIP Engineering")</f>
        <v>FIP Engineering</v>
      </c>
      <c r="M3832" s="6" t="str">
        <f>IFERROR(__xludf.DUMMYFUNCTION("""COMPUTED_VALUE"""),"Mochammad Fadhillah Hakim,")</f>
        <v>Mochammad Fadhillah Hakim,</v>
      </c>
      <c r="N3832" s="6" t="str">
        <f>IFERROR(__xludf.DUMMYFUNCTION("""COMPUTED_VALUE"""),"FIP Engineering")</f>
        <v>FIP Engineering</v>
      </c>
      <c r="O3832" s="6" t="str">
        <f>IFERROR(__xludf.DUMMYFUNCTION("""COMPUTED_VALUE"""),"FIP-DOM-000-11304-OS00001-INA-000000")</f>
        <v>FIP-DOM-000-11304-OS00001-INA-000000</v>
      </c>
      <c r="P3832" s="6" t="str">
        <f>IFERROR(__xludf.DUMMYFUNCTION("""COMPUTED_VALUE"""),"PO Closed")</f>
        <v>PO Closed</v>
      </c>
      <c r="Q3832" s="6" t="str">
        <f>IFERROR(__xludf.DUMMYFUNCTION("""COMPUTED_VALUE"""),"GL2504019")</f>
        <v>GL2504019</v>
      </c>
      <c r="R3832" s="57">
        <f>IFERROR(__xludf.DUMMYFUNCTION("""COMPUTED_VALUE"""),45723.0)</f>
        <v>45723</v>
      </c>
      <c r="S3832" s="57">
        <f>IFERROR(__xludf.DUMMYFUNCTION("""COMPUTED_VALUE"""),45728.0)</f>
        <v>45728</v>
      </c>
      <c r="T3832" s="57">
        <f>IFERROR(__xludf.DUMMYFUNCTION("""COMPUTED_VALUE"""),45764.0)</f>
        <v>45764</v>
      </c>
    </row>
    <row r="3833">
      <c r="A3833" s="6" t="str">
        <f>IFERROR(__xludf.DUMMYFUNCTION("""COMPUTED_VALUE"""),"121702517-1")</f>
        <v>121702517-1</v>
      </c>
      <c r="B3833" s="6" t="str">
        <f>IFERROR(__xludf.DUMMYFUNCTION("""COMPUTED_VALUE"""),"121702517 - APPROVED")</f>
        <v>121702517 - APPROVED</v>
      </c>
      <c r="C3833" s="6">
        <f>IFERROR(__xludf.DUMMYFUNCTION("""COMPUTED_VALUE"""),1.0)</f>
        <v>1</v>
      </c>
      <c r="D3833" s="6" t="str">
        <f>IFERROR(__xludf.DUMMYFUNCTION("""COMPUTED_VALUE"""),"P-11184-00")</f>
        <v>P-11184-00</v>
      </c>
      <c r="E3833" s="6" t="str">
        <f>IFERROR(__xludf.DUMMYFUNCTION("""COMPUTED_VALUE"""),"General - Push-in Connector, QS-8-6; Festo; 153038; 1 pcs")</f>
        <v>General - Push-in Connector, QS-8-6; Festo; 153038; 1 pcs</v>
      </c>
      <c r="F3833" s="6">
        <f>IFERROR(__xludf.DUMMYFUNCTION("""COMPUTED_VALUE"""),4.0)</f>
        <v>4</v>
      </c>
      <c r="G3833" s="6" t="str">
        <f>IFERROR(__xludf.DUMMYFUNCTION("""COMPUTED_VALUE"""),"Pieces")</f>
        <v>Pieces</v>
      </c>
      <c r="H3833" s="6" t="str">
        <f>IFERROR(__xludf.DUMMYFUNCTION("""COMPUTED_VALUE"""),"IDR")</f>
        <v>IDR</v>
      </c>
      <c r="I3833" s="6">
        <f>IFERROR(__xludf.DUMMYFUNCTION("""COMPUTED_VALUE"""),47707.0)</f>
        <v>47707</v>
      </c>
      <c r="J3833" s="6">
        <f>IFERROR(__xludf.DUMMYFUNCTION("""COMPUTED_VALUE"""),190828.0)</f>
        <v>190828</v>
      </c>
      <c r="K3833" s="57">
        <f>IFERROR(__xludf.DUMMYFUNCTION("""COMPUTED_VALUE"""),45754.0)</f>
        <v>45754</v>
      </c>
      <c r="L3833" s="6" t="str">
        <f>IFERROR(__xludf.DUMMYFUNCTION("""COMPUTED_VALUE"""),"FIP Engineering")</f>
        <v>FIP Engineering</v>
      </c>
      <c r="M3833" s="6" t="str">
        <f>IFERROR(__xludf.DUMMYFUNCTION("""COMPUTED_VALUE"""),"Mochammad Fadhillah Hakim,")</f>
        <v>Mochammad Fadhillah Hakim,</v>
      </c>
      <c r="N3833" s="6" t="str">
        <f>IFERROR(__xludf.DUMMYFUNCTION("""COMPUTED_VALUE"""),"FIP Engineering")</f>
        <v>FIP Engineering</v>
      </c>
      <c r="O3833" s="6" t="str">
        <f>IFERROR(__xludf.DUMMYFUNCTION("""COMPUTED_VALUE"""),"FIP-DOM-000-11304-OS00001-INA-000000")</f>
        <v>FIP-DOM-000-11304-OS00001-INA-000000</v>
      </c>
      <c r="P3833" s="6" t="str">
        <f>IFERROR(__xludf.DUMMYFUNCTION("""COMPUTED_VALUE"""),"PO Closed")</f>
        <v>PO Closed</v>
      </c>
      <c r="Q3833" s="6" t="str">
        <f>IFERROR(__xludf.DUMMYFUNCTION("""COMPUTED_VALUE"""),"GL2504358")</f>
        <v>GL2504358</v>
      </c>
      <c r="R3833" s="57">
        <f>IFERROR(__xludf.DUMMYFUNCTION("""COMPUTED_VALUE"""),45723.0)</f>
        <v>45723</v>
      </c>
      <c r="S3833" s="57">
        <f>IFERROR(__xludf.DUMMYFUNCTION("""COMPUTED_VALUE"""),45729.0)</f>
        <v>45729</v>
      </c>
      <c r="T3833" s="57">
        <f>IFERROR(__xludf.DUMMYFUNCTION("""COMPUTED_VALUE"""),45754.0)</f>
        <v>45754</v>
      </c>
    </row>
    <row r="3834">
      <c r="A3834" s="6" t="str">
        <f>IFERROR(__xludf.DUMMYFUNCTION("""COMPUTED_VALUE"""),"121702518-1")</f>
        <v>121702518-1</v>
      </c>
      <c r="B3834" s="6" t="str">
        <f>IFERROR(__xludf.DUMMYFUNCTION("""COMPUTED_VALUE"""),"121702518 - APPROVED")</f>
        <v>121702518 - APPROVED</v>
      </c>
      <c r="C3834" s="6">
        <f>IFERROR(__xludf.DUMMYFUNCTION("""COMPUTED_VALUE"""),1.0)</f>
        <v>1</v>
      </c>
      <c r="D3834" s="6" t="str">
        <f>IFERROR(__xludf.DUMMYFUNCTION("""COMPUTED_VALUE"""),"O-11356-00")</f>
        <v>O-11356-00</v>
      </c>
      <c r="E3834" s="6" t="str">
        <f>IFERROR(__xludf.DUMMYFUNCTION("""COMPUTED_VALUE"""),"Lubricant ? Food grade oil Viscolab 150 - Pc=Liter")</f>
        <v>Lubricant ? Food grade oil Viscolab 150 - Pc=Liter</v>
      </c>
      <c r="F3834" s="6">
        <f>IFERROR(__xludf.DUMMYFUNCTION("""COMPUTED_VALUE"""),40.0)</f>
        <v>40</v>
      </c>
      <c r="G3834" s="6" t="str">
        <f>IFERROR(__xludf.DUMMYFUNCTION("""COMPUTED_VALUE"""),"Pieces")</f>
        <v>Pieces</v>
      </c>
      <c r="H3834" s="6" t="str">
        <f>IFERROR(__xludf.DUMMYFUNCTION("""COMPUTED_VALUE"""),"IDR")</f>
        <v>IDR</v>
      </c>
      <c r="I3834" s="6">
        <f>IFERROR(__xludf.DUMMYFUNCTION("""COMPUTED_VALUE"""),513930.0)</f>
        <v>513930</v>
      </c>
      <c r="J3834" s="6">
        <f>IFERROR(__xludf.DUMMYFUNCTION("""COMPUTED_VALUE"""),2.05572E7)</f>
        <v>20557200</v>
      </c>
      <c r="K3834" s="57">
        <f>IFERROR(__xludf.DUMMYFUNCTION("""COMPUTED_VALUE"""),45754.0)</f>
        <v>45754</v>
      </c>
      <c r="L3834" s="6" t="str">
        <f>IFERROR(__xludf.DUMMYFUNCTION("""COMPUTED_VALUE"""),"FIP Engineering")</f>
        <v>FIP Engineering</v>
      </c>
      <c r="M3834" s="6" t="str">
        <f>IFERROR(__xludf.DUMMYFUNCTION("""COMPUTED_VALUE"""),"Mochammad Fadhillah Hakim,")</f>
        <v>Mochammad Fadhillah Hakim,</v>
      </c>
      <c r="N3834" s="6" t="str">
        <f>IFERROR(__xludf.DUMMYFUNCTION("""COMPUTED_VALUE"""),"FIP Engineering")</f>
        <v>FIP Engineering</v>
      </c>
      <c r="O3834" s="6" t="str">
        <f>IFERROR(__xludf.DUMMYFUNCTION("""COMPUTED_VALUE"""),"FIP-DOM-000-11304-OS00001-INA-000000")</f>
        <v>FIP-DOM-000-11304-OS00001-INA-000000</v>
      </c>
      <c r="P3834" s="6" t="str">
        <f>IFERROR(__xludf.DUMMYFUNCTION("""COMPUTED_VALUE"""),"PO Closed")</f>
        <v>PO Closed</v>
      </c>
      <c r="Q3834" s="6" t="str">
        <f>IFERROR(__xludf.DUMMYFUNCTION("""COMPUTED_VALUE"""),"GL2504022")</f>
        <v>GL2504022</v>
      </c>
      <c r="R3834" s="57">
        <f>IFERROR(__xludf.DUMMYFUNCTION("""COMPUTED_VALUE"""),45723.0)</f>
        <v>45723</v>
      </c>
      <c r="S3834" s="57">
        <f>IFERROR(__xludf.DUMMYFUNCTION("""COMPUTED_VALUE"""),45728.0)</f>
        <v>45728</v>
      </c>
      <c r="T3834" s="57">
        <f>IFERROR(__xludf.DUMMYFUNCTION("""COMPUTED_VALUE"""),45787.0)</f>
        <v>45787</v>
      </c>
    </row>
    <row r="3835">
      <c r="A3835" s="6" t="str">
        <f>IFERROR(__xludf.DUMMYFUNCTION("""COMPUTED_VALUE"""),"121702519-1")</f>
        <v>121702519-1</v>
      </c>
      <c r="B3835" s="6" t="str">
        <f>IFERROR(__xludf.DUMMYFUNCTION("""COMPUTED_VALUE"""),"121702519 - APPROVED")</f>
        <v>121702519 - APPROVED</v>
      </c>
      <c r="C3835" s="6">
        <f>IFERROR(__xludf.DUMMYFUNCTION("""COMPUTED_VALUE"""),1.0)</f>
        <v>1</v>
      </c>
      <c r="D3835" s="6" t="str">
        <f>IFERROR(__xludf.DUMMYFUNCTION("""COMPUTED_VALUE"""),"T-20473-00")</f>
        <v>T-20473-00</v>
      </c>
      <c r="E3835" s="6" t="str">
        <f>IFERROR(__xludf.DUMMYFUNCTION("""COMPUTED_VALUE"""),"1/16"" OD SS TUBING CUTTER +3; Waters; Part No. WAT022384; 1 pc/pack")</f>
        <v>1/16" OD SS TUBING CUTTER +3; Waters; Part No. WAT022384; 1 pc/pack</v>
      </c>
      <c r="F3835" s="6">
        <f>IFERROR(__xludf.DUMMYFUNCTION("""COMPUTED_VALUE"""),1.0)</f>
        <v>1</v>
      </c>
      <c r="G3835" s="6" t="str">
        <f>IFERROR(__xludf.DUMMYFUNCTION("""COMPUTED_VALUE"""),"Pack")</f>
        <v>Pack</v>
      </c>
      <c r="H3835" s="6" t="str">
        <f>IFERROR(__xludf.DUMMYFUNCTION("""COMPUTED_VALUE"""),"IDR")</f>
        <v>IDR</v>
      </c>
      <c r="I3835" s="6">
        <f>IFERROR(__xludf.DUMMYFUNCTION("""COMPUTED_VALUE"""),5913750.0)</f>
        <v>5913750</v>
      </c>
      <c r="J3835" s="6">
        <f>IFERROR(__xludf.DUMMYFUNCTION("""COMPUTED_VALUE"""),5913750.0)</f>
        <v>5913750</v>
      </c>
      <c r="K3835" s="57">
        <f>IFERROR(__xludf.DUMMYFUNCTION("""COMPUTED_VALUE"""),45754.0)</f>
        <v>45754</v>
      </c>
      <c r="L3835" s="6" t="str">
        <f>IFERROR(__xludf.DUMMYFUNCTION("""COMPUTED_VALUE"""),"FIP General")</f>
        <v>FIP General</v>
      </c>
      <c r="M3835" s="6" t="str">
        <f>IFERROR(__xludf.DUMMYFUNCTION("""COMPUTED_VALUE"""),"Mochammad Fadhillah Hakim,")</f>
        <v>Mochammad Fadhillah Hakim,</v>
      </c>
      <c r="N3835" s="6" t="str">
        <f>IFERROR(__xludf.DUMMYFUNCTION("""COMPUTED_VALUE"""),"FIP Engineering")</f>
        <v>FIP Engineering</v>
      </c>
      <c r="O3835" s="6" t="str">
        <f>IFERROR(__xludf.DUMMYFUNCTION("""COMPUTED_VALUE"""),"FIP-DOM-ENG-51505-0000000-INA-000000")</f>
        <v>FIP-DOM-ENG-51505-0000000-INA-000000</v>
      </c>
      <c r="P3835" s="6" t="str">
        <f>IFERROR(__xludf.DUMMYFUNCTION("""COMPUTED_VALUE"""),"PO Closed")</f>
        <v>PO Closed</v>
      </c>
      <c r="Q3835" s="6" t="str">
        <f>IFERROR(__xludf.DUMMYFUNCTION("""COMPUTED_VALUE"""),"GL2502329")</f>
        <v>GL2502329</v>
      </c>
      <c r="R3835" s="57">
        <f>IFERROR(__xludf.DUMMYFUNCTION("""COMPUTED_VALUE"""),45723.0)</f>
        <v>45723</v>
      </c>
      <c r="S3835" s="57">
        <f>IFERROR(__xludf.DUMMYFUNCTION("""COMPUTED_VALUE"""),45728.0)</f>
        <v>45728</v>
      </c>
      <c r="T3835" s="57">
        <f>IFERROR(__xludf.DUMMYFUNCTION("""COMPUTED_VALUE"""),45772.0)</f>
        <v>45772</v>
      </c>
    </row>
    <row r="3836">
      <c r="A3836" s="6" t="str">
        <f>IFERROR(__xludf.DUMMYFUNCTION("""COMPUTED_VALUE"""),"121702519-2")</f>
        <v>121702519-2</v>
      </c>
      <c r="B3836" s="6" t="str">
        <f>IFERROR(__xludf.DUMMYFUNCTION("""COMPUTED_VALUE"""),"121702519 - APPROVED")</f>
        <v>121702519 - APPROVED</v>
      </c>
      <c r="C3836" s="6">
        <f>IFERROR(__xludf.DUMMYFUNCTION("""COMPUTED_VALUE"""),2.0)</f>
        <v>2</v>
      </c>
      <c r="D3836" s="6" t="str">
        <f>IFERROR(__xludf.DUMMYFUNCTION("""COMPUTED_VALUE"""),"T-20725-00")</f>
        <v>T-20725-00</v>
      </c>
      <c r="E3836" s="6" t="str">
        <f>IFERROR(__xludf.DUMMYFUNCTION("""COMPUTED_VALUE"""),"Performance Plus Check Valve Housing; Waters; 700002332;")</f>
        <v>Performance Plus Check Valve Housing; Waters; 700002332;</v>
      </c>
      <c r="F3836" s="6">
        <f>IFERROR(__xludf.DUMMYFUNCTION("""COMPUTED_VALUE"""),2.0)</f>
        <v>2</v>
      </c>
      <c r="G3836" s="6" t="str">
        <f>IFERROR(__xludf.DUMMYFUNCTION("""COMPUTED_VALUE"""),"Pack")</f>
        <v>Pack</v>
      </c>
      <c r="H3836" s="6" t="str">
        <f>IFERROR(__xludf.DUMMYFUNCTION("""COMPUTED_VALUE"""),"IDR")</f>
        <v>IDR</v>
      </c>
      <c r="I3836" s="6">
        <f>IFERROR(__xludf.DUMMYFUNCTION("""COMPUTED_VALUE"""),4549837.0)</f>
        <v>4549837</v>
      </c>
      <c r="J3836" s="6">
        <f>IFERROR(__xludf.DUMMYFUNCTION("""COMPUTED_VALUE"""),9099674.0)</f>
        <v>9099674</v>
      </c>
      <c r="K3836" s="57">
        <f>IFERROR(__xludf.DUMMYFUNCTION("""COMPUTED_VALUE"""),45754.0)</f>
        <v>45754</v>
      </c>
      <c r="L3836" s="6" t="str">
        <f>IFERROR(__xludf.DUMMYFUNCTION("""COMPUTED_VALUE"""),"FIP General")</f>
        <v>FIP General</v>
      </c>
      <c r="M3836" s="6" t="str">
        <f>IFERROR(__xludf.DUMMYFUNCTION("""COMPUTED_VALUE"""),"Mochammad Fadhillah Hakim,")</f>
        <v>Mochammad Fadhillah Hakim,</v>
      </c>
      <c r="N3836" s="6" t="str">
        <f>IFERROR(__xludf.DUMMYFUNCTION("""COMPUTED_VALUE"""),"FIP Engineering")</f>
        <v>FIP Engineering</v>
      </c>
      <c r="O3836" s="6" t="str">
        <f>IFERROR(__xludf.DUMMYFUNCTION("""COMPUTED_VALUE"""),"FIP-DOM-ENG-51505-0000000-INA-000000")</f>
        <v>FIP-DOM-ENG-51505-0000000-INA-000000</v>
      </c>
      <c r="P3836" s="6" t="str">
        <f>IFERROR(__xludf.DUMMYFUNCTION("""COMPUTED_VALUE"""),"PO Closed")</f>
        <v>PO Closed</v>
      </c>
      <c r="Q3836" s="6" t="str">
        <f>IFERROR(__xludf.DUMMYFUNCTION("""COMPUTED_VALUE"""),"GL2502329")</f>
        <v>GL2502329</v>
      </c>
      <c r="R3836" s="57">
        <f>IFERROR(__xludf.DUMMYFUNCTION("""COMPUTED_VALUE"""),45723.0)</f>
        <v>45723</v>
      </c>
      <c r="S3836" s="57">
        <f>IFERROR(__xludf.DUMMYFUNCTION("""COMPUTED_VALUE"""),45728.0)</f>
        <v>45728</v>
      </c>
      <c r="T3836" s="57">
        <f>IFERROR(__xludf.DUMMYFUNCTION("""COMPUTED_VALUE"""),45772.0)</f>
        <v>45772</v>
      </c>
    </row>
    <row r="3837">
      <c r="A3837" s="6" t="str">
        <f>IFERROR(__xludf.DUMMYFUNCTION("""COMPUTED_VALUE"""),"121702527-1")</f>
        <v>121702527-1</v>
      </c>
      <c r="B3837" s="6" t="str">
        <f>IFERROR(__xludf.DUMMYFUNCTION("""COMPUTED_VALUE"""),"121702527 - APPROVED")</f>
        <v>121702527 - APPROVED</v>
      </c>
      <c r="C3837" s="6">
        <f>IFERROR(__xludf.DUMMYFUNCTION("""COMPUTED_VALUE"""),1.0)</f>
        <v>1</v>
      </c>
      <c r="D3837" s="6" t="str">
        <f>IFERROR(__xludf.DUMMYFUNCTION("""COMPUTED_VALUE"""),"P-14244-00")</f>
        <v>P-14244-00</v>
      </c>
      <c r="E3837" s="6" t="str">
        <f>IFERROR(__xludf.DUMMYFUNCTION("""COMPUTED_VALUE"""),"UV lamp, Model HANOVI; AUSTAR; ;")</f>
        <v>UV lamp, Model HANOVI; AUSTAR; ;</v>
      </c>
      <c r="F3837" s="6">
        <f>IFERROR(__xludf.DUMMYFUNCTION("""COMPUTED_VALUE"""),2.0)</f>
        <v>2</v>
      </c>
      <c r="G3837" s="6" t="str">
        <f>IFERROR(__xludf.DUMMYFUNCTION("""COMPUTED_VALUE"""),"Pieces")</f>
        <v>Pieces</v>
      </c>
      <c r="H3837" s="6" t="str">
        <f>IFERROR(__xludf.DUMMYFUNCTION("""COMPUTED_VALUE"""),"IDR")</f>
        <v>IDR</v>
      </c>
      <c r="I3837" s="6">
        <f>IFERROR(__xludf.DUMMYFUNCTION("""COMPUTED_VALUE"""),2.48931E7)</f>
        <v>24893100</v>
      </c>
      <c r="J3837" s="6">
        <f>IFERROR(__xludf.DUMMYFUNCTION("""COMPUTED_VALUE"""),4.97862E7)</f>
        <v>49786200</v>
      </c>
      <c r="K3837" s="57">
        <f>IFERROR(__xludf.DUMMYFUNCTION("""COMPUTED_VALUE"""),45789.0)</f>
        <v>45789</v>
      </c>
      <c r="L3837" s="6" t="str">
        <f>IFERROR(__xludf.DUMMYFUNCTION("""COMPUTED_VALUE"""),"FIP General")</f>
        <v>FIP General</v>
      </c>
      <c r="M3837" s="6" t="str">
        <f>IFERROR(__xludf.DUMMYFUNCTION("""COMPUTED_VALUE"""),"Mochammad Fadhillah Hakim,")</f>
        <v>Mochammad Fadhillah Hakim,</v>
      </c>
      <c r="N3837" s="6" t="str">
        <f>IFERROR(__xludf.DUMMYFUNCTION("""COMPUTED_VALUE"""),"FIP Engineering")</f>
        <v>FIP Engineering</v>
      </c>
      <c r="O3837" s="6" t="str">
        <f>IFERROR(__xludf.DUMMYFUNCTION("""COMPUTED_VALUE"""),"FIP-DOM-ENG-51504-0000000-INA-000000")</f>
        <v>FIP-DOM-ENG-51504-0000000-INA-000000</v>
      </c>
      <c r="P3837" s="6" t="str">
        <f>IFERROR(__xludf.DUMMYFUNCTION("""COMPUTED_VALUE"""),"PO Closed")</f>
        <v>PO Closed</v>
      </c>
      <c r="Q3837" s="6" t="str">
        <f>IFERROR(__xludf.DUMMYFUNCTION("""COMPUTED_VALUE"""),"GL2504002")</f>
        <v>GL2504002</v>
      </c>
      <c r="R3837" s="57">
        <f>IFERROR(__xludf.DUMMYFUNCTION("""COMPUTED_VALUE"""),45727.0)</f>
        <v>45727</v>
      </c>
      <c r="S3837" s="57">
        <f>IFERROR(__xludf.DUMMYFUNCTION("""COMPUTED_VALUE"""),45728.0)</f>
        <v>45728</v>
      </c>
      <c r="T3837" s="57">
        <f>IFERROR(__xludf.DUMMYFUNCTION("""COMPUTED_VALUE"""),45789.0)</f>
        <v>45789</v>
      </c>
    </row>
    <row r="3838">
      <c r="A3838" s="6" t="str">
        <f>IFERROR(__xludf.DUMMYFUNCTION("""COMPUTED_VALUE"""),"121702528-1")</f>
        <v>121702528-1</v>
      </c>
      <c r="B3838" s="6" t="str">
        <f>IFERROR(__xludf.DUMMYFUNCTION("""COMPUTED_VALUE"""),"121702528 - APPROVED")</f>
        <v>121702528 - APPROVED</v>
      </c>
      <c r="C3838" s="6">
        <f>IFERROR(__xludf.DUMMYFUNCTION("""COMPUTED_VALUE"""),1.0)</f>
        <v>1</v>
      </c>
      <c r="D3838" s="6" t="str">
        <f>IFERROR(__xludf.DUMMYFUNCTION("""COMPUTED_VALUE"""),"Q-50012-00")</f>
        <v>Q-50012-00</v>
      </c>
      <c r="E3838" s="6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F3838" s="6">
        <f>IFERROR(__xludf.DUMMYFUNCTION("""COMPUTED_VALUE"""),2.0)</f>
        <v>2</v>
      </c>
      <c r="G3838" s="6" t="str">
        <f>IFERROR(__xludf.DUMMYFUNCTION("""COMPUTED_VALUE"""),"Set")</f>
        <v>Set</v>
      </c>
      <c r="H3838" s="6" t="str">
        <f>IFERROR(__xludf.DUMMYFUNCTION("""COMPUTED_VALUE"""),"IDR")</f>
        <v>IDR</v>
      </c>
      <c r="I3838" s="6">
        <f>IFERROR(__xludf.DUMMYFUNCTION("""COMPUTED_VALUE"""),160000.0)</f>
        <v>160000</v>
      </c>
      <c r="J3838" s="6">
        <f>IFERROR(__xludf.DUMMYFUNCTION("""COMPUTED_VALUE"""),320000.0)</f>
        <v>320000</v>
      </c>
      <c r="K3838" s="57">
        <f>IFERROR(__xludf.DUMMYFUNCTION("""COMPUTED_VALUE"""),45758.0)</f>
        <v>45758</v>
      </c>
      <c r="L3838" s="6" t="str">
        <f>IFERROR(__xludf.DUMMYFUNCTION("""COMPUTED_VALUE"""),"FIP General")</f>
        <v>FIP General</v>
      </c>
      <c r="M3838" s="6" t="str">
        <f>IFERROR(__xludf.DUMMYFUNCTION("""COMPUTED_VALUE"""),"Mochammad Fadhillah Hakim,")</f>
        <v>Mochammad Fadhillah Hakim,</v>
      </c>
      <c r="N3838" s="6" t="str">
        <f>IFERROR(__xludf.DUMMYFUNCTION("""COMPUTED_VALUE"""),"FIP Engineering")</f>
        <v>FIP Engineering</v>
      </c>
      <c r="O3838" s="6" t="str">
        <f>IFERROR(__xludf.DUMMYFUNCTION("""COMPUTED_VALUE"""),"FIP-DOM-ENG-51502-0000000-INA-000000")</f>
        <v>FIP-DOM-ENG-51502-0000000-INA-000000</v>
      </c>
      <c r="P3838" s="6" t="str">
        <f>IFERROR(__xludf.DUMMYFUNCTION("""COMPUTED_VALUE"""),"PO Closed")</f>
        <v>PO Closed</v>
      </c>
      <c r="Q3838" s="6" t="str">
        <f>IFERROR(__xludf.DUMMYFUNCTION("""COMPUTED_VALUE"""),"GL2503079")</f>
        <v>GL2503079</v>
      </c>
      <c r="R3838" s="57">
        <f>IFERROR(__xludf.DUMMYFUNCTION("""COMPUTED_VALUE"""),45727.0)</f>
        <v>45727</v>
      </c>
      <c r="S3838" s="57">
        <f>IFERROR(__xludf.DUMMYFUNCTION("""COMPUTED_VALUE"""),45727.0)</f>
        <v>45727</v>
      </c>
      <c r="T3838" s="57">
        <f>IFERROR(__xludf.DUMMYFUNCTION("""COMPUTED_VALUE"""),45765.0)</f>
        <v>45765</v>
      </c>
    </row>
    <row r="3839">
      <c r="A3839" s="6" t="str">
        <f>IFERROR(__xludf.DUMMYFUNCTION("""COMPUTED_VALUE"""),"121702528-2")</f>
        <v>121702528-2</v>
      </c>
      <c r="B3839" s="6" t="str">
        <f>IFERROR(__xludf.DUMMYFUNCTION("""COMPUTED_VALUE"""),"121702528 - APPROVED")</f>
        <v>121702528 - APPROVED</v>
      </c>
      <c r="C3839" s="6">
        <f>IFERROR(__xludf.DUMMYFUNCTION("""COMPUTED_VALUE"""),2.0)</f>
        <v>2</v>
      </c>
      <c r="D3839" s="6" t="str">
        <f>IFERROR(__xludf.DUMMYFUNCTION("""COMPUTED_VALUE"""),"Q-70156-00")</f>
        <v>Q-70156-00</v>
      </c>
      <c r="E3839" s="6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F3839" s="6">
        <f>IFERROR(__xludf.DUMMYFUNCTION("""COMPUTED_VALUE"""),1.0)</f>
        <v>1</v>
      </c>
      <c r="G3839" s="6" t="str">
        <f>IFERROR(__xludf.DUMMYFUNCTION("""COMPUTED_VALUE"""),"Set")</f>
        <v>Set</v>
      </c>
      <c r="H3839" s="6" t="str">
        <f>IFERROR(__xludf.DUMMYFUNCTION("""COMPUTED_VALUE"""),"IDR")</f>
        <v>IDR</v>
      </c>
      <c r="I3839" s="6">
        <f>IFERROR(__xludf.DUMMYFUNCTION("""COMPUTED_VALUE"""),2000000.0)</f>
        <v>2000000</v>
      </c>
      <c r="J3839" s="6">
        <f>IFERROR(__xludf.DUMMYFUNCTION("""COMPUTED_VALUE"""),2000000.0)</f>
        <v>2000000</v>
      </c>
      <c r="K3839" s="57">
        <f>IFERROR(__xludf.DUMMYFUNCTION("""COMPUTED_VALUE"""),45758.0)</f>
        <v>45758</v>
      </c>
      <c r="L3839" s="6" t="str">
        <f>IFERROR(__xludf.DUMMYFUNCTION("""COMPUTED_VALUE"""),"FIP General")</f>
        <v>FIP General</v>
      </c>
      <c r="M3839" s="6" t="str">
        <f>IFERROR(__xludf.DUMMYFUNCTION("""COMPUTED_VALUE"""),"Mochammad Fadhillah Hakim,")</f>
        <v>Mochammad Fadhillah Hakim,</v>
      </c>
      <c r="N3839" s="6" t="str">
        <f>IFERROR(__xludf.DUMMYFUNCTION("""COMPUTED_VALUE"""),"FIP Engineering")</f>
        <v>FIP Engineering</v>
      </c>
      <c r="O3839" s="6" t="str">
        <f>IFERROR(__xludf.DUMMYFUNCTION("""COMPUTED_VALUE"""),"FIP-DOM-ENG-51404-0000000-INA-000000")</f>
        <v>FIP-DOM-ENG-51404-0000000-INA-000000</v>
      </c>
      <c r="P3839" s="6" t="str">
        <f>IFERROR(__xludf.DUMMYFUNCTION("""COMPUTED_VALUE"""),"PO Closed")</f>
        <v>PO Closed</v>
      </c>
      <c r="Q3839" s="6" t="str">
        <f>IFERROR(__xludf.DUMMYFUNCTION("""COMPUTED_VALUE"""),"GL2503078")</f>
        <v>GL2503078</v>
      </c>
      <c r="R3839" s="57">
        <f>IFERROR(__xludf.DUMMYFUNCTION("""COMPUTED_VALUE"""),45727.0)</f>
        <v>45727</v>
      </c>
      <c r="S3839" s="57">
        <f>IFERROR(__xludf.DUMMYFUNCTION("""COMPUTED_VALUE"""),45727.0)</f>
        <v>45727</v>
      </c>
      <c r="T3839" s="57">
        <f>IFERROR(__xludf.DUMMYFUNCTION("""COMPUTED_VALUE"""),45762.0)</f>
        <v>45762</v>
      </c>
    </row>
    <row r="3840">
      <c r="A3840" s="6" t="str">
        <f>IFERROR(__xludf.DUMMYFUNCTION("""COMPUTED_VALUE"""),"121702528-3")</f>
        <v>121702528-3</v>
      </c>
      <c r="B3840" s="6" t="str">
        <f>IFERROR(__xludf.DUMMYFUNCTION("""COMPUTED_VALUE"""),"121702528 - APPROVED")</f>
        <v>121702528 - APPROVED</v>
      </c>
      <c r="C3840" s="6">
        <f>IFERROR(__xludf.DUMMYFUNCTION("""COMPUTED_VALUE"""),3.0)</f>
        <v>3</v>
      </c>
      <c r="D3840" s="6" t="str">
        <f>IFERROR(__xludf.DUMMYFUNCTION("""COMPUTED_VALUE"""),"Q-70158-00")</f>
        <v>Q-70158-00</v>
      </c>
      <c r="E3840" s="6" t="str">
        <f>IFERROR(__xludf.DUMMYFUNCTION("""COMPUTED_VALUE"""),"Bor Impact Drill GSB 600; Bosch; 06011A03K2; set")</f>
        <v>Bor Impact Drill GSB 600; Bosch; 06011A03K2; set</v>
      </c>
      <c r="F3840" s="6">
        <f>IFERROR(__xludf.DUMMYFUNCTION("""COMPUTED_VALUE"""),1.0)</f>
        <v>1</v>
      </c>
      <c r="G3840" s="6" t="str">
        <f>IFERROR(__xludf.DUMMYFUNCTION("""COMPUTED_VALUE"""),"Set")</f>
        <v>Set</v>
      </c>
      <c r="H3840" s="6" t="str">
        <f>IFERROR(__xludf.DUMMYFUNCTION("""COMPUTED_VALUE"""),"IDR")</f>
        <v>IDR</v>
      </c>
      <c r="I3840" s="6">
        <f>IFERROR(__xludf.DUMMYFUNCTION("""COMPUTED_VALUE"""),1350000.0)</f>
        <v>1350000</v>
      </c>
      <c r="J3840" s="6">
        <f>IFERROR(__xludf.DUMMYFUNCTION("""COMPUTED_VALUE"""),1350000.0)</f>
        <v>1350000</v>
      </c>
      <c r="K3840" s="57">
        <f>IFERROR(__xludf.DUMMYFUNCTION("""COMPUTED_VALUE"""),45758.0)</f>
        <v>45758</v>
      </c>
      <c r="L3840" s="6" t="str">
        <f>IFERROR(__xludf.DUMMYFUNCTION("""COMPUTED_VALUE"""),"FIP General")</f>
        <v>FIP General</v>
      </c>
      <c r="M3840" s="6" t="str">
        <f>IFERROR(__xludf.DUMMYFUNCTION("""COMPUTED_VALUE"""),"Mochammad Fadhillah Hakim,")</f>
        <v>Mochammad Fadhillah Hakim,</v>
      </c>
      <c r="N3840" s="6" t="str">
        <f>IFERROR(__xludf.DUMMYFUNCTION("""COMPUTED_VALUE"""),"FIP Engineering")</f>
        <v>FIP Engineering</v>
      </c>
      <c r="O3840" s="6" t="str">
        <f>IFERROR(__xludf.DUMMYFUNCTION("""COMPUTED_VALUE"""),"FIP-DOM-ENG-51404-0000000-INA-000000")</f>
        <v>FIP-DOM-ENG-51404-0000000-INA-000000</v>
      </c>
      <c r="P3840" s="6" t="str">
        <f>IFERROR(__xludf.DUMMYFUNCTION("""COMPUTED_VALUE"""),"PO Closed")</f>
        <v>PO Closed</v>
      </c>
      <c r="Q3840" s="6" t="str">
        <f>IFERROR(__xludf.DUMMYFUNCTION("""COMPUTED_VALUE"""),"GL2503078")</f>
        <v>GL2503078</v>
      </c>
      <c r="R3840" s="57">
        <f>IFERROR(__xludf.DUMMYFUNCTION("""COMPUTED_VALUE"""),45727.0)</f>
        <v>45727</v>
      </c>
      <c r="S3840" s="57">
        <f>IFERROR(__xludf.DUMMYFUNCTION("""COMPUTED_VALUE"""),45727.0)</f>
        <v>45727</v>
      </c>
      <c r="T3840" s="57">
        <f>IFERROR(__xludf.DUMMYFUNCTION("""COMPUTED_VALUE"""),45762.0)</f>
        <v>45762</v>
      </c>
    </row>
    <row r="3841">
      <c r="A3841" s="6" t="str">
        <f>IFERROR(__xludf.DUMMYFUNCTION("""COMPUTED_VALUE"""),"121702529-1")</f>
        <v>121702529-1</v>
      </c>
      <c r="B3841" s="6" t="str">
        <f>IFERROR(__xludf.DUMMYFUNCTION("""COMPUTED_VALUE"""),"121702529 - APPROVED")</f>
        <v>121702529 - APPROVED</v>
      </c>
      <c r="C3841" s="6">
        <f>IFERROR(__xludf.DUMMYFUNCTION("""COMPUTED_VALUE"""),1.0)</f>
        <v>1</v>
      </c>
      <c r="D3841" s="6" t="str">
        <f>IFERROR(__xludf.DUMMYFUNCTION("""COMPUTED_VALUE"""),"O-16033-00")</f>
        <v>O-16033-00</v>
      </c>
      <c r="E384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F3841" s="6">
        <f>IFERROR(__xludf.DUMMYFUNCTION("""COMPUTED_VALUE"""),20.0)</f>
        <v>20</v>
      </c>
      <c r="G3841" s="6" t="str">
        <f>IFERROR(__xludf.DUMMYFUNCTION("""COMPUTED_VALUE"""),"Unit")</f>
        <v>Unit</v>
      </c>
      <c r="H3841" s="6" t="str">
        <f>IFERROR(__xludf.DUMMYFUNCTION("""COMPUTED_VALUE"""),"EUR")</f>
        <v>EUR</v>
      </c>
      <c r="I3841" s="6">
        <f>IFERROR(__xludf.DUMMYFUNCTION("""COMPUTED_VALUE"""),1370175.0)</f>
        <v>1370175</v>
      </c>
      <c r="J3841" s="6">
        <f>IFERROR(__xludf.DUMMYFUNCTION("""COMPUTED_VALUE"""),2.7403503E7)</f>
        <v>27403503</v>
      </c>
      <c r="K3841" s="57">
        <f>IFERROR(__xludf.DUMMYFUNCTION("""COMPUTED_VALUE"""),45789.0)</f>
        <v>45789</v>
      </c>
      <c r="L3841" s="6" t="str">
        <f>IFERROR(__xludf.DUMMYFUNCTION("""COMPUTED_VALUE"""),"FIP Engineering")</f>
        <v>FIP Engineering</v>
      </c>
      <c r="M3841" s="6" t="str">
        <f>IFERROR(__xludf.DUMMYFUNCTION("""COMPUTED_VALUE"""),"Mochammad Fadhillah Hakim,")</f>
        <v>Mochammad Fadhillah Hakim,</v>
      </c>
      <c r="N3841" s="6" t="str">
        <f>IFERROR(__xludf.DUMMYFUNCTION("""COMPUTED_VALUE"""),"FIP Engineering")</f>
        <v>FIP Engineering</v>
      </c>
      <c r="O3841" s="6" t="str">
        <f>IFERROR(__xludf.DUMMYFUNCTION("""COMPUTED_VALUE"""),"FIP-DOM-000-11304-OS00001-INA-000000")</f>
        <v>FIP-DOM-000-11304-OS00001-INA-000000</v>
      </c>
      <c r="P3841" s="6" t="str">
        <f>IFERROR(__xludf.DUMMYFUNCTION("""COMPUTED_VALUE"""),"PO Closed")</f>
        <v>PO Closed</v>
      </c>
      <c r="Q3841" s="6" t="str">
        <f>IFERROR(__xludf.DUMMYFUNCTION("""COMPUTED_VALUE"""),"GL2504023")</f>
        <v>GL2504023</v>
      </c>
      <c r="R3841" s="57">
        <f>IFERROR(__xludf.DUMMYFUNCTION("""COMPUTED_VALUE"""),45728.0)</f>
        <v>45728</v>
      </c>
      <c r="S3841" s="57">
        <f>IFERROR(__xludf.DUMMYFUNCTION("""COMPUTED_VALUE"""),45728.0)</f>
        <v>45728</v>
      </c>
      <c r="T3841" s="57">
        <f>IFERROR(__xludf.DUMMYFUNCTION("""COMPUTED_VALUE"""),45807.0)</f>
        <v>45807</v>
      </c>
    </row>
    <row r="3842">
      <c r="A3842" s="6" t="str">
        <f>IFERROR(__xludf.DUMMYFUNCTION("""COMPUTED_VALUE"""),"121702535-1")</f>
        <v>121702535-1</v>
      </c>
      <c r="B3842" s="6" t="str">
        <f>IFERROR(__xludf.DUMMYFUNCTION("""COMPUTED_VALUE"""),"121702535 - APPROVED")</f>
        <v>121702535 - APPROVED</v>
      </c>
      <c r="C3842" s="6">
        <f>IFERROR(__xludf.DUMMYFUNCTION("""COMPUTED_VALUE"""),1.0)</f>
        <v>1</v>
      </c>
      <c r="D3842" s="6" t="str">
        <f>IFERROR(__xludf.DUMMYFUNCTION("""COMPUTED_VALUE"""),"P-53294-00")</f>
        <v>P-53294-00</v>
      </c>
      <c r="E3842" s="6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F3842" s="6">
        <f>IFERROR(__xludf.DUMMYFUNCTION("""COMPUTED_VALUE"""),2.0)</f>
        <v>2</v>
      </c>
      <c r="G3842" s="6" t="str">
        <f>IFERROR(__xludf.DUMMYFUNCTION("""COMPUTED_VALUE"""),"Unit")</f>
        <v>Unit</v>
      </c>
      <c r="H3842" s="6" t="str">
        <f>IFERROR(__xludf.DUMMYFUNCTION("""COMPUTED_VALUE"""),"IDR")</f>
        <v>IDR</v>
      </c>
      <c r="I3842" s="6">
        <f>IFERROR(__xludf.DUMMYFUNCTION("""COMPUTED_VALUE"""),6000000.0)</f>
        <v>6000000</v>
      </c>
      <c r="J3842" s="6">
        <f>IFERROR(__xludf.DUMMYFUNCTION("""COMPUTED_VALUE"""),1.2E7)</f>
        <v>12000000</v>
      </c>
      <c r="K3842" s="57">
        <f>IFERROR(__xludf.DUMMYFUNCTION("""COMPUTED_VALUE"""),45761.0)</f>
        <v>45761</v>
      </c>
      <c r="L3842" s="6" t="str">
        <f>IFERROR(__xludf.DUMMYFUNCTION("""COMPUTED_VALUE"""),"FIP Engineering")</f>
        <v>FIP Engineering</v>
      </c>
      <c r="M3842" s="6" t="str">
        <f>IFERROR(__xludf.DUMMYFUNCTION("""COMPUTED_VALUE"""),"Mochammad Fadhillah Hakim,")</f>
        <v>Mochammad Fadhillah Hakim,</v>
      </c>
      <c r="N3842" s="6" t="str">
        <f>IFERROR(__xludf.DUMMYFUNCTION("""COMPUTED_VALUE"""),"FIP Engineering")</f>
        <v>FIP Engineering</v>
      </c>
      <c r="O3842" s="6" t="str">
        <f>IFERROR(__xludf.DUMMYFUNCTION("""COMPUTED_VALUE"""),"FIP-DOM-000-11304-OS00001-INA-000000")</f>
        <v>FIP-DOM-000-11304-OS00001-INA-000000</v>
      </c>
      <c r="P3842" s="6" t="str">
        <f>IFERROR(__xludf.DUMMYFUNCTION("""COMPUTED_VALUE"""),"PO Closed")</f>
        <v>PO Closed</v>
      </c>
      <c r="Q3842" s="6" t="str">
        <f>IFERROR(__xludf.DUMMYFUNCTION("""COMPUTED_VALUE"""),"GL2504014")</f>
        <v>GL2504014</v>
      </c>
      <c r="R3842" s="57">
        <f>IFERROR(__xludf.DUMMYFUNCTION("""COMPUTED_VALUE"""),45728.0)</f>
        <v>45728</v>
      </c>
      <c r="S3842" s="57">
        <f>IFERROR(__xludf.DUMMYFUNCTION("""COMPUTED_VALUE"""),45729.0)</f>
        <v>45729</v>
      </c>
      <c r="T3842" s="57">
        <f>IFERROR(__xludf.DUMMYFUNCTION("""COMPUTED_VALUE"""),45761.0)</f>
        <v>45761</v>
      </c>
    </row>
    <row r="3843">
      <c r="A3843" s="6" t="str">
        <f>IFERROR(__xludf.DUMMYFUNCTION("""COMPUTED_VALUE"""),"121702536-1")</f>
        <v>121702536-1</v>
      </c>
      <c r="B3843" s="6" t="str">
        <f>IFERROR(__xludf.DUMMYFUNCTION("""COMPUTED_VALUE"""),"121702536 - APPROVED")</f>
        <v>121702536 - APPROVED</v>
      </c>
      <c r="C3843" s="6">
        <f>IFERROR(__xludf.DUMMYFUNCTION("""COMPUTED_VALUE"""),1.0)</f>
        <v>1</v>
      </c>
      <c r="D3843" s="6" t="str">
        <f>IFERROR(__xludf.DUMMYFUNCTION("""COMPUTED_VALUE"""),"P-19600-00")</f>
        <v>P-19600-00</v>
      </c>
      <c r="E3843" s="6" t="str">
        <f>IFERROR(__xludf.DUMMYFUNCTION("""COMPUTED_VALUE"""),"General - Tubing TLM0604N-100; SMC; -; 1 meter")</f>
        <v>General - Tubing TLM0604N-100; SMC; -; 1 meter</v>
      </c>
      <c r="F3843" s="6">
        <f>IFERROR(__xludf.DUMMYFUNCTION("""COMPUTED_VALUE"""),100.0)</f>
        <v>100</v>
      </c>
      <c r="G3843" s="6" t="str">
        <f>IFERROR(__xludf.DUMMYFUNCTION("""COMPUTED_VALUE"""),"Meter")</f>
        <v>Meter</v>
      </c>
      <c r="H3843" s="6" t="str">
        <f>IFERROR(__xludf.DUMMYFUNCTION("""COMPUTED_VALUE"""),"IDR")</f>
        <v>IDR</v>
      </c>
      <c r="I3843" s="6">
        <f>IFERROR(__xludf.DUMMYFUNCTION("""COMPUTED_VALUE"""),93300.0)</f>
        <v>93300</v>
      </c>
      <c r="J3843" s="6">
        <f>IFERROR(__xludf.DUMMYFUNCTION("""COMPUTED_VALUE"""),9330000.0)</f>
        <v>9330000</v>
      </c>
      <c r="K3843" s="57">
        <f>IFERROR(__xludf.DUMMYFUNCTION("""COMPUTED_VALUE"""),45761.0)</f>
        <v>45761</v>
      </c>
      <c r="L3843" s="6" t="str">
        <f>IFERROR(__xludf.DUMMYFUNCTION("""COMPUTED_VALUE"""),"FIP General")</f>
        <v>FIP General</v>
      </c>
      <c r="M3843" s="6" t="str">
        <f>IFERROR(__xludf.DUMMYFUNCTION("""COMPUTED_VALUE"""),"Mochammad Fadhillah Hakim,")</f>
        <v>Mochammad Fadhillah Hakim,</v>
      </c>
      <c r="N3843" s="6" t="str">
        <f>IFERROR(__xludf.DUMMYFUNCTION("""COMPUTED_VALUE"""),"FIP Engineering")</f>
        <v>FIP Engineering</v>
      </c>
      <c r="O3843" s="6" t="str">
        <f>IFERROR(__xludf.DUMMYFUNCTION("""COMPUTED_VALUE"""),"FIP-DOM-ENG-51404-0000000-INA-000000")</f>
        <v>FIP-DOM-ENG-51404-0000000-INA-000000</v>
      </c>
      <c r="P3843" s="6" t="str">
        <f>IFERROR(__xludf.DUMMYFUNCTION("""COMPUTED_VALUE"""),"PO Closed")</f>
        <v>PO Closed</v>
      </c>
      <c r="Q3843" s="6" t="str">
        <f>IFERROR(__xludf.DUMMYFUNCTION("""COMPUTED_VALUE"""),"GL2504020")</f>
        <v>GL2504020</v>
      </c>
      <c r="R3843" s="57">
        <f>IFERROR(__xludf.DUMMYFUNCTION("""COMPUTED_VALUE"""),45728.0)</f>
        <v>45728</v>
      </c>
      <c r="S3843" s="57">
        <f>IFERROR(__xludf.DUMMYFUNCTION("""COMPUTED_VALUE"""),45729.0)</f>
        <v>45729</v>
      </c>
      <c r="T3843" s="57">
        <f>IFERROR(__xludf.DUMMYFUNCTION("""COMPUTED_VALUE"""),45761.0)</f>
        <v>45761</v>
      </c>
    </row>
    <row r="3844">
      <c r="A3844" s="6" t="str">
        <f>IFERROR(__xludf.DUMMYFUNCTION("""COMPUTED_VALUE"""),"121702537-1")</f>
        <v>121702537-1</v>
      </c>
      <c r="B3844" s="6" t="str">
        <f>IFERROR(__xludf.DUMMYFUNCTION("""COMPUTED_VALUE"""),"121702537 - APPROVED")</f>
        <v>121702537 - APPROVED</v>
      </c>
      <c r="C3844" s="6">
        <f>IFERROR(__xludf.DUMMYFUNCTION("""COMPUTED_VALUE"""),1.0)</f>
        <v>1</v>
      </c>
      <c r="D3844" s="6" t="str">
        <f>IFERROR(__xludf.DUMMYFUNCTION("""COMPUTED_VALUE"""),"O-53215-00")</f>
        <v>O-53215-00</v>
      </c>
      <c r="E3844" s="6" t="str">
        <f>IFERROR(__xludf.DUMMYFUNCTION("""COMPUTED_VALUE"""),"General - Exhaust Fan;Ebm-Papst;R3G190-RC05-03;")</f>
        <v>General - Exhaust Fan;Ebm-Papst;R3G190-RC05-03;</v>
      </c>
      <c r="F3844" s="6">
        <f>IFERROR(__xludf.DUMMYFUNCTION("""COMPUTED_VALUE"""),1.0)</f>
        <v>1</v>
      </c>
      <c r="G3844" s="6" t="str">
        <f>IFERROR(__xludf.DUMMYFUNCTION("""COMPUTED_VALUE"""),"Pieces")</f>
        <v>Pieces</v>
      </c>
      <c r="H3844" s="6" t="str">
        <f>IFERROR(__xludf.DUMMYFUNCTION("""COMPUTED_VALUE"""),"IDR")</f>
        <v>IDR</v>
      </c>
      <c r="I3844" s="6">
        <f>IFERROR(__xludf.DUMMYFUNCTION("""COMPUTED_VALUE"""),8505000.0)</f>
        <v>8505000</v>
      </c>
      <c r="J3844" s="6">
        <f>IFERROR(__xludf.DUMMYFUNCTION("""COMPUTED_VALUE"""),8505000.0)</f>
        <v>8505000</v>
      </c>
      <c r="K3844" s="57">
        <f>IFERROR(__xludf.DUMMYFUNCTION("""COMPUTED_VALUE"""),45761.0)</f>
        <v>45761</v>
      </c>
      <c r="L3844" s="6" t="str">
        <f>IFERROR(__xludf.DUMMYFUNCTION("""COMPUTED_VALUE"""),"FIP Engineering")</f>
        <v>FIP Engineering</v>
      </c>
      <c r="M3844" s="6" t="str">
        <f>IFERROR(__xludf.DUMMYFUNCTION("""COMPUTED_VALUE"""),"Mochammad Fadhillah Hakim,")</f>
        <v>Mochammad Fadhillah Hakim,</v>
      </c>
      <c r="N3844" s="6" t="str">
        <f>IFERROR(__xludf.DUMMYFUNCTION("""COMPUTED_VALUE"""),"FIP Engineering")</f>
        <v>FIP Engineering</v>
      </c>
      <c r="O3844" s="6" t="str">
        <f>IFERROR(__xludf.DUMMYFUNCTION("""COMPUTED_VALUE"""),"FIP-DOM-000-11304-OS00001-INA-000000")</f>
        <v>FIP-DOM-000-11304-OS00001-INA-000000</v>
      </c>
      <c r="P3844" s="6" t="str">
        <f>IFERROR(__xludf.DUMMYFUNCTION("""COMPUTED_VALUE"""),"PO Closed")</f>
        <v>PO Closed</v>
      </c>
      <c r="Q3844" s="6" t="str">
        <f>IFERROR(__xludf.DUMMYFUNCTION("""COMPUTED_VALUE"""),"GL2504024")</f>
        <v>GL2504024</v>
      </c>
      <c r="R3844" s="57">
        <f>IFERROR(__xludf.DUMMYFUNCTION("""COMPUTED_VALUE"""),45728.0)</f>
        <v>45728</v>
      </c>
      <c r="S3844" s="57">
        <f>IFERROR(__xludf.DUMMYFUNCTION("""COMPUTED_VALUE"""),45733.0)</f>
        <v>45733</v>
      </c>
      <c r="T3844" s="57">
        <f>IFERROR(__xludf.DUMMYFUNCTION("""COMPUTED_VALUE"""),45797.0)</f>
        <v>45797</v>
      </c>
    </row>
    <row r="3845">
      <c r="A3845" s="6" t="str">
        <f>IFERROR(__xludf.DUMMYFUNCTION("""COMPUTED_VALUE"""),"121702538-1")</f>
        <v>121702538-1</v>
      </c>
      <c r="B3845" s="6" t="str">
        <f>IFERROR(__xludf.DUMMYFUNCTION("""COMPUTED_VALUE"""),"121702538 - APPROVED")</f>
        <v>121702538 - APPROVED</v>
      </c>
      <c r="C3845" s="6">
        <f>IFERROR(__xludf.DUMMYFUNCTION("""COMPUTED_VALUE"""),1.0)</f>
        <v>1</v>
      </c>
      <c r="D3845" s="6" t="str">
        <f>IFERROR(__xludf.DUMMYFUNCTION("""COMPUTED_VALUE"""),"P-12942-00")</f>
        <v>P-12942-00</v>
      </c>
      <c r="E3845" s="6" t="str">
        <f>IFERROR(__xludf.DUMMYFUNCTION("""COMPUTED_VALUE"""),"Water Mur PVC dia 1inch")</f>
        <v>Water Mur PVC dia 1inch</v>
      </c>
      <c r="F3845" s="6">
        <f>IFERROR(__xludf.DUMMYFUNCTION("""COMPUTED_VALUE"""),4.0)</f>
        <v>4</v>
      </c>
      <c r="G3845" s="6" t="str">
        <f>IFERROR(__xludf.DUMMYFUNCTION("""COMPUTED_VALUE"""),"Pieces")</f>
        <v>Pieces</v>
      </c>
      <c r="H3845" s="6" t="str">
        <f>IFERROR(__xludf.DUMMYFUNCTION("""COMPUTED_VALUE"""),"IDR")</f>
        <v>IDR</v>
      </c>
      <c r="I3845" s="6">
        <f>IFERROR(__xludf.DUMMYFUNCTION("""COMPUTED_VALUE"""),26000.0)</f>
        <v>26000</v>
      </c>
      <c r="J3845" s="6">
        <f>IFERROR(__xludf.DUMMYFUNCTION("""COMPUTED_VALUE"""),104000.0)</f>
        <v>104000</v>
      </c>
      <c r="K3845" s="57">
        <f>IFERROR(__xludf.DUMMYFUNCTION("""COMPUTED_VALUE"""),45761.0)</f>
        <v>45761</v>
      </c>
      <c r="L3845" s="6" t="str">
        <f>IFERROR(__xludf.DUMMYFUNCTION("""COMPUTED_VALUE"""),"FIP Engineering")</f>
        <v>FIP Engineering</v>
      </c>
      <c r="M3845" s="6" t="str">
        <f>IFERROR(__xludf.DUMMYFUNCTION("""COMPUTED_VALUE"""),"Mochammad Fadhillah Hakim,")</f>
        <v>Mochammad Fadhillah Hakim,</v>
      </c>
      <c r="N3845" s="6" t="str">
        <f>IFERROR(__xludf.DUMMYFUNCTION("""COMPUTED_VALUE"""),"FIP Engineering")</f>
        <v>FIP Engineering</v>
      </c>
      <c r="O3845" s="6" t="str">
        <f>IFERROR(__xludf.DUMMYFUNCTION("""COMPUTED_VALUE"""),"FIP-DOM-000-11304-OS00001-INA-000000")</f>
        <v>FIP-DOM-000-11304-OS00001-INA-000000</v>
      </c>
      <c r="P3845" s="6" t="str">
        <f>IFERROR(__xludf.DUMMYFUNCTION("""COMPUTED_VALUE"""),"PO Closed")</f>
        <v>PO Closed</v>
      </c>
      <c r="Q3845" s="6" t="str">
        <f>IFERROR(__xludf.DUMMYFUNCTION("""COMPUTED_VALUE"""),"GL2504357")</f>
        <v>GL2504357</v>
      </c>
      <c r="R3845" s="57">
        <f>IFERROR(__xludf.DUMMYFUNCTION("""COMPUTED_VALUE"""),45729.0)</f>
        <v>45729</v>
      </c>
      <c r="S3845" s="57">
        <f>IFERROR(__xludf.DUMMYFUNCTION("""COMPUTED_VALUE"""),45729.0)</f>
        <v>45729</v>
      </c>
      <c r="T3845" s="57">
        <f>IFERROR(__xludf.DUMMYFUNCTION("""COMPUTED_VALUE"""),45768.0)</f>
        <v>45768</v>
      </c>
    </row>
    <row r="3846">
      <c r="A3846" s="6" t="str">
        <f>IFERROR(__xludf.DUMMYFUNCTION("""COMPUTED_VALUE"""),"121702538-2")</f>
        <v>121702538-2</v>
      </c>
      <c r="B3846" s="6" t="str">
        <f>IFERROR(__xludf.DUMMYFUNCTION("""COMPUTED_VALUE"""),"121702538 - APPROVED")</f>
        <v>121702538 - APPROVED</v>
      </c>
      <c r="C3846" s="6">
        <f>IFERROR(__xludf.DUMMYFUNCTION("""COMPUTED_VALUE"""),2.0)</f>
        <v>2</v>
      </c>
      <c r="D3846" s="6" t="str">
        <f>IFERROR(__xludf.DUMMYFUNCTION("""COMPUTED_VALUE"""),"P-19659-00")</f>
        <v>P-19659-00</v>
      </c>
      <c r="E3846" s="6" t="str">
        <f>IFERROR(__xludf.DUMMYFUNCTION("""COMPUTED_VALUE"""),"General - Dop, PVC AW, 3/4""; No Brand; -; 1 pc")</f>
        <v>General - Dop, PVC AW, 3/4"; No Brand; -; 1 pc</v>
      </c>
      <c r="F3846" s="6">
        <f>IFERROR(__xludf.DUMMYFUNCTION("""COMPUTED_VALUE"""),4.0)</f>
        <v>4</v>
      </c>
      <c r="G3846" s="6" t="str">
        <f>IFERROR(__xludf.DUMMYFUNCTION("""COMPUTED_VALUE"""),"Pieces")</f>
        <v>Pieces</v>
      </c>
      <c r="H3846" s="6" t="str">
        <f>IFERROR(__xludf.DUMMYFUNCTION("""COMPUTED_VALUE"""),"IDR")</f>
        <v>IDR</v>
      </c>
      <c r="I3846" s="6">
        <f>IFERROR(__xludf.DUMMYFUNCTION("""COMPUTED_VALUE"""),6500.0)</f>
        <v>6500</v>
      </c>
      <c r="J3846" s="6">
        <f>IFERROR(__xludf.DUMMYFUNCTION("""COMPUTED_VALUE"""),26000.0)</f>
        <v>26000</v>
      </c>
      <c r="K3846" s="57">
        <f>IFERROR(__xludf.DUMMYFUNCTION("""COMPUTED_VALUE"""),45761.0)</f>
        <v>45761</v>
      </c>
      <c r="L3846" s="6" t="str">
        <f>IFERROR(__xludf.DUMMYFUNCTION("""COMPUTED_VALUE"""),"FIP Engineering")</f>
        <v>FIP Engineering</v>
      </c>
      <c r="M3846" s="6" t="str">
        <f>IFERROR(__xludf.DUMMYFUNCTION("""COMPUTED_VALUE"""),"Mochammad Fadhillah Hakim,")</f>
        <v>Mochammad Fadhillah Hakim,</v>
      </c>
      <c r="N3846" s="6" t="str">
        <f>IFERROR(__xludf.DUMMYFUNCTION("""COMPUTED_VALUE"""),"FIP Engineering")</f>
        <v>FIP Engineering</v>
      </c>
      <c r="O3846" s="6" t="str">
        <f>IFERROR(__xludf.DUMMYFUNCTION("""COMPUTED_VALUE"""),"FIP-DOM-000-11304-OS00001-INA-000000")</f>
        <v>FIP-DOM-000-11304-OS00001-INA-000000</v>
      </c>
      <c r="P3846" s="6" t="str">
        <f>IFERROR(__xludf.DUMMYFUNCTION("""COMPUTED_VALUE"""),"PO Closed")</f>
        <v>PO Closed</v>
      </c>
      <c r="Q3846" s="6" t="str">
        <f>IFERROR(__xludf.DUMMYFUNCTION("""COMPUTED_VALUE"""),"GL2504357")</f>
        <v>GL2504357</v>
      </c>
      <c r="R3846" s="57">
        <f>IFERROR(__xludf.DUMMYFUNCTION("""COMPUTED_VALUE"""),45729.0)</f>
        <v>45729</v>
      </c>
      <c r="S3846" s="57">
        <f>IFERROR(__xludf.DUMMYFUNCTION("""COMPUTED_VALUE"""),45729.0)</f>
        <v>45729</v>
      </c>
      <c r="T3846" s="57">
        <f>IFERROR(__xludf.DUMMYFUNCTION("""COMPUTED_VALUE"""),45768.0)</f>
        <v>45768</v>
      </c>
    </row>
    <row r="3847">
      <c r="A3847" s="6" t="str">
        <f>IFERROR(__xludf.DUMMYFUNCTION("""COMPUTED_VALUE"""),"121702538-3")</f>
        <v>121702538-3</v>
      </c>
      <c r="B3847" s="6" t="str">
        <f>IFERROR(__xludf.DUMMYFUNCTION("""COMPUTED_VALUE"""),"121702538 - APPROVED")</f>
        <v>121702538 - APPROVED</v>
      </c>
      <c r="C3847" s="6">
        <f>IFERROR(__xludf.DUMMYFUNCTION("""COMPUTED_VALUE"""),3.0)</f>
        <v>3</v>
      </c>
      <c r="D3847" s="6" t="str">
        <f>IFERROR(__xludf.DUMMYFUNCTION("""COMPUTED_VALUE"""),"P-19678-00")</f>
        <v>P-19678-00</v>
      </c>
      <c r="E3847" s="6" t="str">
        <f>IFERROR(__xludf.DUMMYFUNCTION("""COMPUTED_VALUE"""),"General - Kompresor Udata Gun 1/4inch; Lokal; -; 1 pc")</f>
        <v>General - Kompresor Udata Gun 1/4inch; Lokal; -; 1 pc</v>
      </c>
      <c r="F3847" s="6">
        <f>IFERROR(__xludf.DUMMYFUNCTION("""COMPUTED_VALUE"""),2.0)</f>
        <v>2</v>
      </c>
      <c r="G3847" s="6" t="str">
        <f>IFERROR(__xludf.DUMMYFUNCTION("""COMPUTED_VALUE"""),"Pieces")</f>
        <v>Pieces</v>
      </c>
      <c r="H3847" s="6" t="str">
        <f>IFERROR(__xludf.DUMMYFUNCTION("""COMPUTED_VALUE"""),"IDR")</f>
        <v>IDR</v>
      </c>
      <c r="I3847" s="6">
        <f>IFERROR(__xludf.DUMMYFUNCTION("""COMPUTED_VALUE"""),32500.0)</f>
        <v>32500</v>
      </c>
      <c r="J3847" s="6">
        <f>IFERROR(__xludf.DUMMYFUNCTION("""COMPUTED_VALUE"""),65000.0)</f>
        <v>65000</v>
      </c>
      <c r="K3847" s="57">
        <f>IFERROR(__xludf.DUMMYFUNCTION("""COMPUTED_VALUE"""),45761.0)</f>
        <v>45761</v>
      </c>
      <c r="L3847" s="6" t="str">
        <f>IFERROR(__xludf.DUMMYFUNCTION("""COMPUTED_VALUE"""),"FIP Engineering")</f>
        <v>FIP Engineering</v>
      </c>
      <c r="M3847" s="6" t="str">
        <f>IFERROR(__xludf.DUMMYFUNCTION("""COMPUTED_VALUE"""),"Mochammad Fadhillah Hakim,")</f>
        <v>Mochammad Fadhillah Hakim,</v>
      </c>
      <c r="N3847" s="6" t="str">
        <f>IFERROR(__xludf.DUMMYFUNCTION("""COMPUTED_VALUE"""),"FIP Engineering")</f>
        <v>FIP Engineering</v>
      </c>
      <c r="O3847" s="6" t="str">
        <f>IFERROR(__xludf.DUMMYFUNCTION("""COMPUTED_VALUE"""),"FIP-DOM-000-11304-OS00001-INA-000000")</f>
        <v>FIP-DOM-000-11304-OS00001-INA-000000</v>
      </c>
      <c r="P3847" s="6" t="str">
        <f>IFERROR(__xludf.DUMMYFUNCTION("""COMPUTED_VALUE"""),"PO Closed")</f>
        <v>PO Closed</v>
      </c>
      <c r="Q3847" s="6" t="str">
        <f>IFERROR(__xludf.DUMMYFUNCTION("""COMPUTED_VALUE"""),"GL2504359")</f>
        <v>GL2504359</v>
      </c>
      <c r="R3847" s="57">
        <f>IFERROR(__xludf.DUMMYFUNCTION("""COMPUTED_VALUE"""),45729.0)</f>
        <v>45729</v>
      </c>
      <c r="S3847" s="57">
        <f>IFERROR(__xludf.DUMMYFUNCTION("""COMPUTED_VALUE"""),45729.0)</f>
        <v>45729</v>
      </c>
      <c r="T3847" s="57">
        <f>IFERROR(__xludf.DUMMYFUNCTION("""COMPUTED_VALUE"""),45761.0)</f>
        <v>45761</v>
      </c>
    </row>
    <row r="3848">
      <c r="A3848" s="6" t="str">
        <f>IFERROR(__xludf.DUMMYFUNCTION("""COMPUTED_VALUE"""),"121702538-4")</f>
        <v>121702538-4</v>
      </c>
      <c r="B3848" s="6" t="str">
        <f>IFERROR(__xludf.DUMMYFUNCTION("""COMPUTED_VALUE"""),"121702538 - APPROVED")</f>
        <v>121702538 - APPROVED</v>
      </c>
      <c r="C3848" s="6">
        <f>IFERROR(__xludf.DUMMYFUNCTION("""COMPUTED_VALUE"""),4.0)</f>
        <v>4</v>
      </c>
      <c r="D3848" s="6" t="str">
        <f>IFERROR(__xludf.DUMMYFUNCTION("""COMPUTED_VALUE"""),"P-53293-00")</f>
        <v>P-53293-00</v>
      </c>
      <c r="E3848" s="6" t="str">
        <f>IFERROR(__xludf.DUMMYFUNCTION("""COMPUTED_VALUE"""),"General - Lampu Emergency TL LED 16W Waterproof IP65; Briliant; -; 1 pc")</f>
        <v>General - Lampu Emergency TL LED 16W Waterproof IP65; Briliant; -; 1 pc</v>
      </c>
      <c r="F3848" s="6">
        <f>IFERROR(__xludf.DUMMYFUNCTION("""COMPUTED_VALUE"""),5.0)</f>
        <v>5</v>
      </c>
      <c r="G3848" s="6" t="str">
        <f>IFERROR(__xludf.DUMMYFUNCTION("""COMPUTED_VALUE"""),"Pieces")</f>
        <v>Pieces</v>
      </c>
      <c r="H3848" s="6" t="str">
        <f>IFERROR(__xludf.DUMMYFUNCTION("""COMPUTED_VALUE"""),"IDR")</f>
        <v>IDR</v>
      </c>
      <c r="I3848" s="6">
        <f>IFERROR(__xludf.DUMMYFUNCTION("""COMPUTED_VALUE"""),481000.0)</f>
        <v>481000</v>
      </c>
      <c r="J3848" s="6">
        <f>IFERROR(__xludf.DUMMYFUNCTION("""COMPUTED_VALUE"""),2405000.0)</f>
        <v>2405000</v>
      </c>
      <c r="K3848" s="57">
        <f>IFERROR(__xludf.DUMMYFUNCTION("""COMPUTED_VALUE"""),45761.0)</f>
        <v>45761</v>
      </c>
      <c r="L3848" s="6" t="str">
        <f>IFERROR(__xludf.DUMMYFUNCTION("""COMPUTED_VALUE"""),"FIP Engineering")</f>
        <v>FIP Engineering</v>
      </c>
      <c r="M3848" s="6" t="str">
        <f>IFERROR(__xludf.DUMMYFUNCTION("""COMPUTED_VALUE"""),"Mochammad Fadhillah Hakim,")</f>
        <v>Mochammad Fadhillah Hakim,</v>
      </c>
      <c r="N3848" s="6" t="str">
        <f>IFERROR(__xludf.DUMMYFUNCTION("""COMPUTED_VALUE"""),"FIP Engineering")</f>
        <v>FIP Engineering</v>
      </c>
      <c r="O3848" s="6" t="str">
        <f>IFERROR(__xludf.DUMMYFUNCTION("""COMPUTED_VALUE"""),"FIP-DOM-000-11304-OS00001-INA-000000")</f>
        <v>FIP-DOM-000-11304-OS00001-INA-000000</v>
      </c>
      <c r="P3848" s="6" t="str">
        <f>IFERROR(__xludf.DUMMYFUNCTION("""COMPUTED_VALUE"""),"PO Closed")</f>
        <v>PO Closed</v>
      </c>
      <c r="Q3848" s="6" t="str">
        <f>IFERROR(__xludf.DUMMYFUNCTION("""COMPUTED_VALUE"""),"GL2504359")</f>
        <v>GL2504359</v>
      </c>
      <c r="R3848" s="57">
        <f>IFERROR(__xludf.DUMMYFUNCTION("""COMPUTED_VALUE"""),45729.0)</f>
        <v>45729</v>
      </c>
      <c r="S3848" s="57">
        <f>IFERROR(__xludf.DUMMYFUNCTION("""COMPUTED_VALUE"""),45729.0)</f>
        <v>45729</v>
      </c>
      <c r="T3848" s="57">
        <f>IFERROR(__xludf.DUMMYFUNCTION("""COMPUTED_VALUE"""),45761.0)</f>
        <v>45761</v>
      </c>
    </row>
    <row r="3849">
      <c r="A3849" s="6" t="str">
        <f>IFERROR(__xludf.DUMMYFUNCTION("""COMPUTED_VALUE"""),"121702538-5")</f>
        <v>121702538-5</v>
      </c>
      <c r="B3849" s="6" t="str">
        <f>IFERROR(__xludf.DUMMYFUNCTION("""COMPUTED_VALUE"""),"121702538 - APPROVED")</f>
        <v>121702538 - APPROVED</v>
      </c>
      <c r="C3849" s="6">
        <f>IFERROR(__xludf.DUMMYFUNCTION("""COMPUTED_VALUE"""),5.0)</f>
        <v>5</v>
      </c>
      <c r="D3849" s="6" t="str">
        <f>IFERROR(__xludf.DUMMYFUNCTION("""COMPUTED_VALUE"""),"P-53298-00")</f>
        <v>P-53298-00</v>
      </c>
      <c r="E3849" s="6" t="str">
        <f>IFERROR(__xludf.DUMMYFUNCTION("""COMPUTED_VALUE"""),"General - Solenoid Valve DP-10; Yoshitake; -; 1 pc")</f>
        <v>General - Solenoid Valve DP-10; Yoshitake; -; 1 pc</v>
      </c>
      <c r="F3849" s="6">
        <f>IFERROR(__xludf.DUMMYFUNCTION("""COMPUTED_VALUE"""),3.0)</f>
        <v>3</v>
      </c>
      <c r="G3849" s="6" t="str">
        <f>IFERROR(__xludf.DUMMYFUNCTION("""COMPUTED_VALUE"""),"Pieces")</f>
        <v>Pieces</v>
      </c>
      <c r="H3849" s="6" t="str">
        <f>IFERROR(__xludf.DUMMYFUNCTION("""COMPUTED_VALUE"""),"IDR")</f>
        <v>IDR</v>
      </c>
      <c r="I3849" s="6">
        <f>IFERROR(__xludf.DUMMYFUNCTION("""COMPUTED_VALUE"""),5460000.0)</f>
        <v>5460000</v>
      </c>
      <c r="J3849" s="6">
        <f>IFERROR(__xludf.DUMMYFUNCTION("""COMPUTED_VALUE"""),1.638E7)</f>
        <v>16380000</v>
      </c>
      <c r="K3849" s="57">
        <f>IFERROR(__xludf.DUMMYFUNCTION("""COMPUTED_VALUE"""),45761.0)</f>
        <v>45761</v>
      </c>
      <c r="L3849" s="6" t="str">
        <f>IFERROR(__xludf.DUMMYFUNCTION("""COMPUTED_VALUE"""),"FIP Engineering")</f>
        <v>FIP Engineering</v>
      </c>
      <c r="M3849" s="6" t="str">
        <f>IFERROR(__xludf.DUMMYFUNCTION("""COMPUTED_VALUE"""),"Mochammad Fadhillah Hakim,")</f>
        <v>Mochammad Fadhillah Hakim,</v>
      </c>
      <c r="N3849" s="6" t="str">
        <f>IFERROR(__xludf.DUMMYFUNCTION("""COMPUTED_VALUE"""),"FIP Engineering")</f>
        <v>FIP Engineering</v>
      </c>
      <c r="O3849" s="6" t="str">
        <f>IFERROR(__xludf.DUMMYFUNCTION("""COMPUTED_VALUE"""),"FIP-DOM-000-11304-OS00001-INA-000000")</f>
        <v>FIP-DOM-000-11304-OS00001-INA-000000</v>
      </c>
      <c r="P3849" s="6" t="str">
        <f>IFERROR(__xludf.DUMMYFUNCTION("""COMPUTED_VALUE"""),"PO Closed")</f>
        <v>PO Closed</v>
      </c>
      <c r="Q3849" s="6" t="str">
        <f>IFERROR(__xludf.DUMMYFUNCTION("""COMPUTED_VALUE"""),"GL2504359")</f>
        <v>GL2504359</v>
      </c>
      <c r="R3849" s="57">
        <f>IFERROR(__xludf.DUMMYFUNCTION("""COMPUTED_VALUE"""),45729.0)</f>
        <v>45729</v>
      </c>
      <c r="S3849" s="57">
        <f>IFERROR(__xludf.DUMMYFUNCTION("""COMPUTED_VALUE"""),45729.0)</f>
        <v>45729</v>
      </c>
      <c r="T3849" s="57">
        <f>IFERROR(__xludf.DUMMYFUNCTION("""COMPUTED_VALUE"""),45761.0)</f>
        <v>45761</v>
      </c>
    </row>
    <row r="3850">
      <c r="A3850" s="6" t="str">
        <f>IFERROR(__xludf.DUMMYFUNCTION("""COMPUTED_VALUE"""),"121702544-1")</f>
        <v>121702544-1</v>
      </c>
      <c r="B3850" s="6" t="str">
        <f>IFERROR(__xludf.DUMMYFUNCTION("""COMPUTED_VALUE"""),"121702544 - APPROVED")</f>
        <v>121702544 - APPROVED</v>
      </c>
      <c r="C3850" s="6">
        <f>IFERROR(__xludf.DUMMYFUNCTION("""COMPUTED_VALUE"""),1.0)</f>
        <v>1</v>
      </c>
      <c r="D3850" s="6" t="str">
        <f>IFERROR(__xludf.DUMMYFUNCTION("""COMPUTED_VALUE"""),"S-60050-00")</f>
        <v>S-60050-00</v>
      </c>
      <c r="E3850" s="6" t="str">
        <f>IFERROR(__xludf.DUMMYFUNCTION("""COMPUTED_VALUE"""),"Jasa Perbaikan dan Pemeliharaan Mesin Produksi; ; ; - Modifikasi Meja Inspeksi")</f>
        <v>Jasa Perbaikan dan Pemeliharaan Mesin Produksi; ; ; - Modifikasi Meja Inspeksi</v>
      </c>
      <c r="F3850" s="6">
        <f>IFERROR(__xludf.DUMMYFUNCTION("""COMPUTED_VALUE"""),1.0)</f>
        <v>1</v>
      </c>
      <c r="G3850" s="6" t="str">
        <f>IFERROR(__xludf.DUMMYFUNCTION("""COMPUTED_VALUE"""),"Pieces")</f>
        <v>Pieces</v>
      </c>
      <c r="H3850" s="6" t="str">
        <f>IFERROR(__xludf.DUMMYFUNCTION("""COMPUTED_VALUE"""),"IDR")</f>
        <v>IDR</v>
      </c>
      <c r="I3850" s="6">
        <f>IFERROR(__xludf.DUMMYFUNCTION("""COMPUTED_VALUE"""),4850000.0)</f>
        <v>4850000</v>
      </c>
      <c r="J3850" s="6">
        <f>IFERROR(__xludf.DUMMYFUNCTION("""COMPUTED_VALUE"""),4850000.0)</f>
        <v>4850000</v>
      </c>
      <c r="K3850" s="57">
        <f>IFERROR(__xludf.DUMMYFUNCTION("""COMPUTED_VALUE"""),45761.0)</f>
        <v>45761</v>
      </c>
      <c r="L3850" s="6" t="str">
        <f>IFERROR(__xludf.DUMMYFUNCTION("""COMPUTED_VALUE"""),"FIP General")</f>
        <v>FIP General</v>
      </c>
      <c r="M3850" s="6" t="str">
        <f>IFERROR(__xludf.DUMMYFUNCTION("""COMPUTED_VALUE"""),"Mochammad Fadhillah Hakim,")</f>
        <v>Mochammad Fadhillah Hakim,</v>
      </c>
      <c r="N3850" s="6" t="str">
        <f>IFERROR(__xludf.DUMMYFUNCTION("""COMPUTED_VALUE"""),"FIP Engineering")</f>
        <v>FIP Engineering</v>
      </c>
      <c r="O3850" s="6" t="str">
        <f>IFERROR(__xludf.DUMMYFUNCTION("""COMPUTED_VALUE"""),"FIP-DOM-ENG-51504-0000000-INA-000000")</f>
        <v>FIP-DOM-ENG-51504-0000000-INA-000000</v>
      </c>
      <c r="P3850" s="6" t="str">
        <f>IFERROR(__xludf.DUMMYFUNCTION("""COMPUTED_VALUE"""),"PO Closed")</f>
        <v>PO Closed</v>
      </c>
      <c r="Q3850" s="6" t="str">
        <f>IFERROR(__xludf.DUMMYFUNCTION("""COMPUTED_VALUE"""),"GL2505043")</f>
        <v>GL2505043</v>
      </c>
      <c r="R3850" s="57">
        <f>IFERROR(__xludf.DUMMYFUNCTION("""COMPUTED_VALUE"""),45730.0)</f>
        <v>45730</v>
      </c>
      <c r="S3850" s="57">
        <f>IFERROR(__xludf.DUMMYFUNCTION("""COMPUTED_VALUE"""),45730.0)</f>
        <v>45730</v>
      </c>
      <c r="T3850" s="57">
        <f>IFERROR(__xludf.DUMMYFUNCTION("""COMPUTED_VALUE"""),45835.0)</f>
        <v>45835</v>
      </c>
    </row>
    <row r="3851">
      <c r="A3851" s="6" t="str">
        <f>IFERROR(__xludf.DUMMYFUNCTION("""COMPUTED_VALUE"""),"121702545-1")</f>
        <v>121702545-1</v>
      </c>
      <c r="B3851" s="6" t="str">
        <f>IFERROR(__xludf.DUMMYFUNCTION("""COMPUTED_VALUE"""),"121702545 - APPROVED")</f>
        <v>121702545 - APPROVED</v>
      </c>
      <c r="C3851" s="6">
        <f>IFERROR(__xludf.DUMMYFUNCTION("""COMPUTED_VALUE"""),1.0)</f>
        <v>1</v>
      </c>
      <c r="D3851" s="6" t="str">
        <f>IFERROR(__xludf.DUMMYFUNCTION("""COMPUTED_VALUE"""),"O-53032-00")</f>
        <v>O-53032-00</v>
      </c>
      <c r="E3851" s="6" t="str">
        <f>IFERROR(__xludf.DUMMYFUNCTION("""COMPUTED_VALUE"""),"Cable Temperature Sensor Silicone 1,5m PT1000 QAP2012.150")</f>
        <v>Cable Temperature Sensor Silicone 1,5m PT1000 QAP2012.150</v>
      </c>
      <c r="F3851" s="6">
        <f>IFERROR(__xludf.DUMMYFUNCTION("""COMPUTED_VALUE"""),4.0)</f>
        <v>4</v>
      </c>
      <c r="G3851" s="6" t="str">
        <f>IFERROR(__xludf.DUMMYFUNCTION("""COMPUTED_VALUE"""),"Pieces")</f>
        <v>Pieces</v>
      </c>
      <c r="H3851" s="6" t="str">
        <f>IFERROR(__xludf.DUMMYFUNCTION("""COMPUTED_VALUE"""),"IDR")</f>
        <v>IDR</v>
      </c>
      <c r="I3851" s="6">
        <f>IFERROR(__xludf.DUMMYFUNCTION("""COMPUTED_VALUE"""),650000.0)</f>
        <v>650000</v>
      </c>
      <c r="J3851" s="6">
        <f>IFERROR(__xludf.DUMMYFUNCTION("""COMPUTED_VALUE"""),2600000.0)</f>
        <v>2600000</v>
      </c>
      <c r="K3851" s="57">
        <f>IFERROR(__xludf.DUMMYFUNCTION("""COMPUTED_VALUE"""),45761.0)</f>
        <v>45761</v>
      </c>
      <c r="L3851" s="6" t="str">
        <f>IFERROR(__xludf.DUMMYFUNCTION("""COMPUTED_VALUE"""),"FIP Engineering")</f>
        <v>FIP Engineering</v>
      </c>
      <c r="M3851" s="6" t="str">
        <f>IFERROR(__xludf.DUMMYFUNCTION("""COMPUTED_VALUE"""),"Mochammad Fadhillah Hakim,")</f>
        <v>Mochammad Fadhillah Hakim,</v>
      </c>
      <c r="N3851" s="6" t="str">
        <f>IFERROR(__xludf.DUMMYFUNCTION("""COMPUTED_VALUE"""),"FIP Engineering")</f>
        <v>FIP Engineering</v>
      </c>
      <c r="O3851" s="6" t="str">
        <f>IFERROR(__xludf.DUMMYFUNCTION("""COMPUTED_VALUE"""),"FIP-DOM-000-11304-OS00001-INA-000000")</f>
        <v>FIP-DOM-000-11304-OS00001-INA-000000</v>
      </c>
      <c r="P3851" s="6" t="str">
        <f>IFERROR(__xludf.DUMMYFUNCTION("""COMPUTED_VALUE"""),"PO Closed")</f>
        <v>PO Closed</v>
      </c>
      <c r="Q3851" s="6" t="str">
        <f>IFERROR(__xludf.DUMMYFUNCTION("""COMPUTED_VALUE"""),"GL2504025")</f>
        <v>GL2504025</v>
      </c>
      <c r="R3851" s="57">
        <f>IFERROR(__xludf.DUMMYFUNCTION("""COMPUTED_VALUE"""),45730.0)</f>
        <v>45730</v>
      </c>
      <c r="S3851" s="57">
        <f>IFERROR(__xludf.DUMMYFUNCTION("""COMPUTED_VALUE"""),45733.0)</f>
        <v>45733</v>
      </c>
      <c r="T3851" s="57">
        <f>IFERROR(__xludf.DUMMYFUNCTION("""COMPUTED_VALUE"""),45792.0)</f>
        <v>45792</v>
      </c>
    </row>
    <row r="3852">
      <c r="A3852" s="6" t="str">
        <f>IFERROR(__xludf.DUMMYFUNCTION("""COMPUTED_VALUE"""),"121702552-1")</f>
        <v>121702552-1</v>
      </c>
      <c r="B3852" s="6" t="str">
        <f>IFERROR(__xludf.DUMMYFUNCTION("""COMPUTED_VALUE"""),"121702552 - APPROVED")</f>
        <v>121702552 - APPROVED</v>
      </c>
      <c r="C3852" s="6">
        <f>IFERROR(__xludf.DUMMYFUNCTION("""COMPUTED_VALUE"""),1.0)</f>
        <v>1</v>
      </c>
      <c r="D3852" s="6" t="str">
        <f>IFERROR(__xludf.DUMMYFUNCTION("""COMPUTED_VALUE"""),"S-60050-00")</f>
        <v>S-60050-00</v>
      </c>
      <c r="E3852" s="6" t="str">
        <f>IFERROR(__xludf.DUMMYFUNCTION("""COMPUTED_VALUE"""),"Jasa Perbaikan dan Pemeliharaan Mesin Produksi; ; ;")</f>
        <v>Jasa Perbaikan dan Pemeliharaan Mesin Produksi; ; ;</v>
      </c>
      <c r="F3852" s="6">
        <f>IFERROR(__xludf.DUMMYFUNCTION("""COMPUTED_VALUE"""),1.0)</f>
        <v>1</v>
      </c>
      <c r="G3852" s="6" t="str">
        <f>IFERROR(__xludf.DUMMYFUNCTION("""COMPUTED_VALUE"""),"Pieces")</f>
        <v>Pieces</v>
      </c>
      <c r="H3852" s="6" t="str">
        <f>IFERROR(__xludf.DUMMYFUNCTION("""COMPUTED_VALUE"""),"IDR")</f>
        <v>IDR</v>
      </c>
      <c r="I3852" s="6">
        <f>IFERROR(__xludf.DUMMYFUNCTION("""COMPUTED_VALUE"""),1975000.0)</f>
        <v>1975000</v>
      </c>
      <c r="J3852" s="6">
        <f>IFERROR(__xludf.DUMMYFUNCTION("""COMPUTED_VALUE"""),1975000.0)</f>
        <v>1975000</v>
      </c>
      <c r="K3852" s="57">
        <f>IFERROR(__xludf.DUMMYFUNCTION("""COMPUTED_VALUE"""),45768.0)</f>
        <v>45768</v>
      </c>
      <c r="L3852" s="6" t="str">
        <f>IFERROR(__xludf.DUMMYFUNCTION("""COMPUTED_VALUE"""),"FIP General")</f>
        <v>FIP General</v>
      </c>
      <c r="M3852" s="6" t="str">
        <f>IFERROR(__xludf.DUMMYFUNCTION("""COMPUTED_VALUE"""),"Mochammad Fadhillah Hakim,")</f>
        <v>Mochammad Fadhillah Hakim,</v>
      </c>
      <c r="N3852" s="6" t="str">
        <f>IFERROR(__xludf.DUMMYFUNCTION("""COMPUTED_VALUE"""),"FIP Engineering")</f>
        <v>FIP Engineering</v>
      </c>
      <c r="O3852" s="6" t="str">
        <f>IFERROR(__xludf.DUMMYFUNCTION("""COMPUTED_VALUE"""),"FIP-DOM-ENG-51504-0000000-INA-000000")</f>
        <v>FIP-DOM-ENG-51504-0000000-INA-000000</v>
      </c>
      <c r="P3852" s="6" t="str">
        <f>IFERROR(__xludf.DUMMYFUNCTION("""COMPUTED_VALUE"""),"PO Closed")</f>
        <v>PO Closed</v>
      </c>
      <c r="Q3852" s="6" t="str">
        <f>IFERROR(__xludf.DUMMYFUNCTION("""COMPUTED_VALUE"""),"GL2504011")</f>
        <v>GL2504011</v>
      </c>
      <c r="R3852" s="57">
        <f>IFERROR(__xludf.DUMMYFUNCTION("""COMPUTED_VALUE"""),45736.0)</f>
        <v>45736</v>
      </c>
      <c r="S3852" s="57">
        <f>IFERROR(__xludf.DUMMYFUNCTION("""COMPUTED_VALUE"""),45737.0)</f>
        <v>45737</v>
      </c>
      <c r="T3852" s="57">
        <f>IFERROR(__xludf.DUMMYFUNCTION("""COMPUTED_VALUE"""),45793.0)</f>
        <v>45793</v>
      </c>
    </row>
    <row r="3853">
      <c r="A3853" s="6" t="str">
        <f>IFERROR(__xludf.DUMMYFUNCTION("""COMPUTED_VALUE"""),"121702553-1")</f>
        <v>121702553-1</v>
      </c>
      <c r="B3853" s="6" t="str">
        <f>IFERROR(__xludf.DUMMYFUNCTION("""COMPUTED_VALUE"""),"121702553 - APPROVED")</f>
        <v>121702553 - APPROVED</v>
      </c>
      <c r="C3853" s="6">
        <f>IFERROR(__xludf.DUMMYFUNCTION("""COMPUTED_VALUE"""),1.0)</f>
        <v>1</v>
      </c>
      <c r="D3853" s="6" t="str">
        <f>IFERROR(__xludf.DUMMYFUNCTION("""COMPUTED_VALUE"""),"S-40586-00")</f>
        <v>S-40586-00</v>
      </c>
      <c r="E3853" s="6" t="str">
        <f>IFERROR(__xludf.DUMMYFUNCTION("""COMPUTED_VALUE"""),"Container Box; Claris; ; - Container/Box Plastik claris 70 liter (77x42x32) Type 1022")</f>
        <v>Container Box; Claris; ; - Container/Box Plastik claris 70 liter (77x42x32) Type 1022</v>
      </c>
      <c r="F3853" s="6">
        <f>IFERROR(__xludf.DUMMYFUNCTION("""COMPUTED_VALUE"""),5.0)</f>
        <v>5</v>
      </c>
      <c r="G3853" s="6" t="str">
        <f>IFERROR(__xludf.DUMMYFUNCTION("""COMPUTED_VALUE"""),"Pieces")</f>
        <v>Pieces</v>
      </c>
      <c r="H3853" s="6" t="str">
        <f>IFERROR(__xludf.DUMMYFUNCTION("""COMPUTED_VALUE"""),"IDR")</f>
        <v>IDR</v>
      </c>
      <c r="I3853" s="6">
        <f>IFERROR(__xludf.DUMMYFUNCTION("""COMPUTED_VALUE"""),275000.0)</f>
        <v>275000</v>
      </c>
      <c r="J3853" s="6">
        <f>IFERROR(__xludf.DUMMYFUNCTION("""COMPUTED_VALUE"""),1375000.0)</f>
        <v>1375000</v>
      </c>
      <c r="K3853" s="57">
        <f>IFERROR(__xludf.DUMMYFUNCTION("""COMPUTED_VALUE"""),45768.0)</f>
        <v>45768</v>
      </c>
      <c r="L3853" s="6" t="str">
        <f>IFERROR(__xludf.DUMMYFUNCTION("""COMPUTED_VALUE"""),"FIP General")</f>
        <v>FIP General</v>
      </c>
      <c r="M3853" s="6" t="str">
        <f>IFERROR(__xludf.DUMMYFUNCTION("""COMPUTED_VALUE"""),"Mochammad Fadhillah Hakim,")</f>
        <v>Mochammad Fadhillah Hakim,</v>
      </c>
      <c r="N3853" s="6" t="str">
        <f>IFERROR(__xludf.DUMMYFUNCTION("""COMPUTED_VALUE"""),"FIP Engineering")</f>
        <v>FIP Engineering</v>
      </c>
      <c r="O3853" s="6" t="str">
        <f>IFERROR(__xludf.DUMMYFUNCTION("""COMPUTED_VALUE"""),"FIP-DOM-ENG-51404-0000000-INA-000000")</f>
        <v>FIP-DOM-ENG-51404-0000000-INA-000000</v>
      </c>
      <c r="P3853" s="6" t="str">
        <f>IFERROR(__xludf.DUMMYFUNCTION("""COMPUTED_VALUE"""),"PO Closed")</f>
        <v>PO Closed</v>
      </c>
      <c r="Q3853" s="6" t="str">
        <f>IFERROR(__xludf.DUMMYFUNCTION("""COMPUTED_VALUE"""),"GL2504004")</f>
        <v>GL2504004</v>
      </c>
      <c r="R3853" s="57">
        <f>IFERROR(__xludf.DUMMYFUNCTION("""COMPUTED_VALUE"""),45736.0)</f>
        <v>45736</v>
      </c>
      <c r="S3853" s="57">
        <f>IFERROR(__xludf.DUMMYFUNCTION("""COMPUTED_VALUE"""),45737.0)</f>
        <v>45737</v>
      </c>
      <c r="T3853" s="57">
        <f>IFERROR(__xludf.DUMMYFUNCTION("""COMPUTED_VALUE"""),45800.0)</f>
        <v>45800</v>
      </c>
    </row>
    <row r="3854">
      <c r="A3854" s="6" t="str">
        <f>IFERROR(__xludf.DUMMYFUNCTION("""COMPUTED_VALUE"""),"121702554-1")</f>
        <v>121702554-1</v>
      </c>
      <c r="B3854" s="6" t="str">
        <f>IFERROR(__xludf.DUMMYFUNCTION("""COMPUTED_VALUE"""),"121702554 - APPROVED")</f>
        <v>121702554 - APPROVED</v>
      </c>
      <c r="C3854" s="6">
        <f>IFERROR(__xludf.DUMMYFUNCTION("""COMPUTED_VALUE"""),1.0)</f>
        <v>1</v>
      </c>
      <c r="D3854" s="6" t="str">
        <f>IFERROR(__xludf.DUMMYFUNCTION("""COMPUTED_VALUE"""),"P-53381-00")</f>
        <v>P-53381-00</v>
      </c>
      <c r="E3854" s="6" t="str">
        <f>IFERROR(__xludf.DUMMYFUNCTION("""COMPUTED_VALUE"""),"General - Display Inverter LCP 02; Danfoss; 130B1107; 1 pc")</f>
        <v>General - Display Inverter LCP 02; Danfoss; 130B1107; 1 pc</v>
      </c>
      <c r="F3854" s="6">
        <f>IFERROR(__xludf.DUMMYFUNCTION("""COMPUTED_VALUE"""),3.0)</f>
        <v>3</v>
      </c>
      <c r="G3854" s="6" t="str">
        <f>IFERROR(__xludf.DUMMYFUNCTION("""COMPUTED_VALUE"""),"Pieces")</f>
        <v>Pieces</v>
      </c>
      <c r="H3854" s="6" t="str">
        <f>IFERROR(__xludf.DUMMYFUNCTION("""COMPUTED_VALUE"""),"IDR")</f>
        <v>IDR</v>
      </c>
      <c r="I3854" s="6">
        <f>IFERROR(__xludf.DUMMYFUNCTION("""COMPUTED_VALUE"""),2100000.0)</f>
        <v>2100000</v>
      </c>
      <c r="J3854" s="6">
        <f>IFERROR(__xludf.DUMMYFUNCTION("""COMPUTED_VALUE"""),6300000.0)</f>
        <v>6300000</v>
      </c>
      <c r="K3854" s="57">
        <f>IFERROR(__xludf.DUMMYFUNCTION("""COMPUTED_VALUE"""),45768.0)</f>
        <v>45768</v>
      </c>
      <c r="L3854" s="6" t="str">
        <f>IFERROR(__xludf.DUMMYFUNCTION("""COMPUTED_VALUE"""),"FIP Engineering")</f>
        <v>FIP Engineering</v>
      </c>
      <c r="M3854" s="6" t="str">
        <f>IFERROR(__xludf.DUMMYFUNCTION("""COMPUTED_VALUE"""),"Mochammad Fadhillah Hakim,")</f>
        <v>Mochammad Fadhillah Hakim,</v>
      </c>
      <c r="N3854" s="6" t="str">
        <f>IFERROR(__xludf.DUMMYFUNCTION("""COMPUTED_VALUE"""),"FIP Engineering")</f>
        <v>FIP Engineering</v>
      </c>
      <c r="O3854" s="6" t="str">
        <f>IFERROR(__xludf.DUMMYFUNCTION("""COMPUTED_VALUE"""),"FIP-DOM-000-11304-OS00001-INA-000000")</f>
        <v>FIP-DOM-000-11304-OS00001-INA-000000</v>
      </c>
      <c r="P3854" s="6" t="str">
        <f>IFERROR(__xludf.DUMMYFUNCTION("""COMPUTED_VALUE"""),"PO Closed")</f>
        <v>PO Closed</v>
      </c>
      <c r="Q3854" s="6" t="str">
        <f>IFERROR(__xludf.DUMMYFUNCTION("""COMPUTED_VALUE"""),"GL2504029")</f>
        <v>GL2504029</v>
      </c>
      <c r="R3854" s="57">
        <f>IFERROR(__xludf.DUMMYFUNCTION("""COMPUTED_VALUE"""),45736.0)</f>
        <v>45736</v>
      </c>
      <c r="S3854" s="57">
        <f>IFERROR(__xludf.DUMMYFUNCTION("""COMPUTED_VALUE"""),45737.0)</f>
        <v>45737</v>
      </c>
      <c r="T3854" s="57">
        <f>IFERROR(__xludf.DUMMYFUNCTION("""COMPUTED_VALUE"""),45768.0)</f>
        <v>45768</v>
      </c>
    </row>
    <row r="3855">
      <c r="A3855" s="6" t="str">
        <f>IFERROR(__xludf.DUMMYFUNCTION("""COMPUTED_VALUE"""),"121702555-1")</f>
        <v>121702555-1</v>
      </c>
      <c r="B3855" s="6" t="str">
        <f>IFERROR(__xludf.DUMMYFUNCTION("""COMPUTED_VALUE"""),"121702555 - APPROVED")</f>
        <v>121702555 - APPROVED</v>
      </c>
      <c r="C3855" s="6">
        <f>IFERROR(__xludf.DUMMYFUNCTION("""COMPUTED_VALUE"""),1.0)</f>
        <v>1</v>
      </c>
      <c r="D3855" s="6" t="str">
        <f>IFERROR(__xludf.DUMMYFUNCTION("""COMPUTED_VALUE"""),"O-18446-00")</f>
        <v>O-18446-00</v>
      </c>
      <c r="E3855" s="6" t="str">
        <f>IFERROR(__xludf.DUMMYFUNCTION("""COMPUTED_VALUE"""),"Silicone Guide Infeed; ; ;")</f>
        <v>Silicone Guide Infeed; ; ;</v>
      </c>
      <c r="F3855" s="6">
        <f>IFERROR(__xludf.DUMMYFUNCTION("""COMPUTED_VALUE"""),1.0)</f>
        <v>1</v>
      </c>
      <c r="G3855" s="6" t="str">
        <f>IFERROR(__xludf.DUMMYFUNCTION("""COMPUTED_VALUE"""),"Pieces")</f>
        <v>Pieces</v>
      </c>
      <c r="H3855" s="6" t="str">
        <f>IFERROR(__xludf.DUMMYFUNCTION("""COMPUTED_VALUE"""),"IDR")</f>
        <v>IDR</v>
      </c>
      <c r="I3855" s="6">
        <f>IFERROR(__xludf.DUMMYFUNCTION("""COMPUTED_VALUE"""),6520000.0)</f>
        <v>6520000</v>
      </c>
      <c r="J3855" s="6">
        <f>IFERROR(__xludf.DUMMYFUNCTION("""COMPUTED_VALUE"""),6520000.0)</f>
        <v>6520000</v>
      </c>
      <c r="K3855" s="57">
        <f>IFERROR(__xludf.DUMMYFUNCTION("""COMPUTED_VALUE"""),45768.0)</f>
        <v>45768</v>
      </c>
      <c r="L3855" s="6" t="str">
        <f>IFERROR(__xludf.DUMMYFUNCTION("""COMPUTED_VALUE"""),"FIP Engineering")</f>
        <v>FIP Engineering</v>
      </c>
      <c r="M3855" s="6" t="str">
        <f>IFERROR(__xludf.DUMMYFUNCTION("""COMPUTED_VALUE"""),"Mochammad Fadhillah Hakim,")</f>
        <v>Mochammad Fadhillah Hakim,</v>
      </c>
      <c r="N3855" s="6" t="str">
        <f>IFERROR(__xludf.DUMMYFUNCTION("""COMPUTED_VALUE"""),"FIP Engineering")</f>
        <v>FIP Engineering</v>
      </c>
      <c r="O3855" s="6" t="str">
        <f>IFERROR(__xludf.DUMMYFUNCTION("""COMPUTED_VALUE"""),"FIP-DOM-000-11304-OS00001-INA-000000")</f>
        <v>FIP-DOM-000-11304-OS00001-INA-000000</v>
      </c>
      <c r="P3855" s="6" t="str">
        <f>IFERROR(__xludf.DUMMYFUNCTION("""COMPUTED_VALUE"""),"PO Closed")</f>
        <v>PO Closed</v>
      </c>
      <c r="Q3855" s="6" t="str">
        <f>IFERROR(__xludf.DUMMYFUNCTION("""COMPUTED_VALUE"""),"GL2505005")</f>
        <v>GL2505005</v>
      </c>
      <c r="R3855" s="57">
        <f>IFERROR(__xludf.DUMMYFUNCTION("""COMPUTED_VALUE"""),45736.0)</f>
        <v>45736</v>
      </c>
      <c r="S3855" s="57">
        <f>IFERROR(__xludf.DUMMYFUNCTION("""COMPUTED_VALUE"""),45756.0)</f>
        <v>45756</v>
      </c>
      <c r="T3855" s="57">
        <f>IFERROR(__xludf.DUMMYFUNCTION("""COMPUTED_VALUE"""),45818.0)</f>
        <v>45818</v>
      </c>
    </row>
    <row r="3856">
      <c r="A3856" s="6" t="str">
        <f>IFERROR(__xludf.DUMMYFUNCTION("""COMPUTED_VALUE"""),"121702555-2")</f>
        <v>121702555-2</v>
      </c>
      <c r="B3856" s="6" t="str">
        <f>IFERROR(__xludf.DUMMYFUNCTION("""COMPUTED_VALUE"""),"121702555 - APPROVED")</f>
        <v>121702555 - APPROVED</v>
      </c>
      <c r="C3856" s="6">
        <f>IFERROR(__xludf.DUMMYFUNCTION("""COMPUTED_VALUE"""),2.0)</f>
        <v>2</v>
      </c>
      <c r="D3856" s="6" t="str">
        <f>IFERROR(__xludf.DUMMYFUNCTION("""COMPUTED_VALUE"""),"O-18447-00")</f>
        <v>O-18447-00</v>
      </c>
      <c r="E3856" s="6" t="str">
        <f>IFERROR(__xludf.DUMMYFUNCTION("""COMPUTED_VALUE"""),"Silicone Guide Outfeed; ; ;")</f>
        <v>Silicone Guide Outfeed; ; ;</v>
      </c>
      <c r="F3856" s="6">
        <f>IFERROR(__xludf.DUMMYFUNCTION("""COMPUTED_VALUE"""),1.0)</f>
        <v>1</v>
      </c>
      <c r="G3856" s="6" t="str">
        <f>IFERROR(__xludf.DUMMYFUNCTION("""COMPUTED_VALUE"""),"Pieces")</f>
        <v>Pieces</v>
      </c>
      <c r="H3856" s="6" t="str">
        <f>IFERROR(__xludf.DUMMYFUNCTION("""COMPUTED_VALUE"""),"IDR")</f>
        <v>IDR</v>
      </c>
      <c r="I3856" s="6">
        <f>IFERROR(__xludf.DUMMYFUNCTION("""COMPUTED_VALUE"""),6183000.0)</f>
        <v>6183000</v>
      </c>
      <c r="J3856" s="6">
        <f>IFERROR(__xludf.DUMMYFUNCTION("""COMPUTED_VALUE"""),6183000.0)</f>
        <v>6183000</v>
      </c>
      <c r="K3856" s="57">
        <f>IFERROR(__xludf.DUMMYFUNCTION("""COMPUTED_VALUE"""),45738.0)</f>
        <v>45738</v>
      </c>
      <c r="L3856" s="6" t="str">
        <f>IFERROR(__xludf.DUMMYFUNCTION("""COMPUTED_VALUE"""),"FIP Engineering")</f>
        <v>FIP Engineering</v>
      </c>
      <c r="M3856" s="6" t="str">
        <f>IFERROR(__xludf.DUMMYFUNCTION("""COMPUTED_VALUE"""),"Mochammad Fadhillah Hakim,")</f>
        <v>Mochammad Fadhillah Hakim,</v>
      </c>
      <c r="N3856" s="6" t="str">
        <f>IFERROR(__xludf.DUMMYFUNCTION("""COMPUTED_VALUE"""),"FIP Engineering")</f>
        <v>FIP Engineering</v>
      </c>
      <c r="O3856" s="6" t="str">
        <f>IFERROR(__xludf.DUMMYFUNCTION("""COMPUTED_VALUE"""),"FIP-DOM-000-11304-OS00001-INA-000000")</f>
        <v>FIP-DOM-000-11304-OS00001-INA-000000</v>
      </c>
      <c r="P3856" s="6" t="str">
        <f>IFERROR(__xludf.DUMMYFUNCTION("""COMPUTED_VALUE"""),"PO Closed")</f>
        <v>PO Closed</v>
      </c>
      <c r="Q3856" s="6" t="str">
        <f>IFERROR(__xludf.DUMMYFUNCTION("""COMPUTED_VALUE"""),"GL2505005")</f>
        <v>GL2505005</v>
      </c>
      <c r="R3856" s="57">
        <f>IFERROR(__xludf.DUMMYFUNCTION("""COMPUTED_VALUE"""),45736.0)</f>
        <v>45736</v>
      </c>
      <c r="S3856" s="57">
        <f>IFERROR(__xludf.DUMMYFUNCTION("""COMPUTED_VALUE"""),45756.0)</f>
        <v>45756</v>
      </c>
      <c r="T3856" s="57">
        <f>IFERROR(__xludf.DUMMYFUNCTION("""COMPUTED_VALUE"""),45818.0)</f>
        <v>45818</v>
      </c>
    </row>
    <row r="3857">
      <c r="A3857" s="6" t="str">
        <f>IFERROR(__xludf.DUMMYFUNCTION("""COMPUTED_VALUE"""),"121702556-1")</f>
        <v>121702556-1</v>
      </c>
      <c r="B3857" s="6" t="str">
        <f>IFERROR(__xludf.DUMMYFUNCTION("""COMPUTED_VALUE"""),"121702556 - APPROVED")</f>
        <v>121702556 - APPROVED</v>
      </c>
      <c r="C3857" s="6">
        <f>IFERROR(__xludf.DUMMYFUNCTION("""COMPUTED_VALUE"""),1.0)</f>
        <v>1</v>
      </c>
      <c r="D3857" s="6" t="str">
        <f>IFERROR(__xludf.DUMMYFUNCTION("""COMPUTED_VALUE"""),"P-50288-00")</f>
        <v>P-50288-00</v>
      </c>
      <c r="E3857" s="6" t="str">
        <f>IFERROR(__xludf.DUMMYFUNCTION("""COMPUTED_VALUE"""),"Bola Lampu - Halogen 20 W Osram")</f>
        <v>Bola Lampu - Halogen 20 W Osram</v>
      </c>
      <c r="F3857" s="6">
        <f>IFERROR(__xludf.DUMMYFUNCTION("""COMPUTED_VALUE"""),4.0)</f>
        <v>4</v>
      </c>
      <c r="G3857" s="6" t="str">
        <f>IFERROR(__xludf.DUMMYFUNCTION("""COMPUTED_VALUE"""),"Pieces")</f>
        <v>Pieces</v>
      </c>
      <c r="H3857" s="6" t="str">
        <f>IFERROR(__xludf.DUMMYFUNCTION("""COMPUTED_VALUE"""),"IDR")</f>
        <v>IDR</v>
      </c>
      <c r="I3857" s="6">
        <f>IFERROR(__xludf.DUMMYFUNCTION("""COMPUTED_VALUE"""),76000.0)</f>
        <v>76000</v>
      </c>
      <c r="J3857" s="6">
        <f>IFERROR(__xludf.DUMMYFUNCTION("""COMPUTED_VALUE"""),304000.0)</f>
        <v>304000</v>
      </c>
      <c r="K3857" s="57">
        <f>IFERROR(__xludf.DUMMYFUNCTION("""COMPUTED_VALUE"""),45768.0)</f>
        <v>45768</v>
      </c>
      <c r="L3857" s="6" t="str">
        <f>IFERROR(__xludf.DUMMYFUNCTION("""COMPUTED_VALUE"""),"FIP Engineering")</f>
        <v>FIP Engineering</v>
      </c>
      <c r="M3857" s="6" t="str">
        <f>IFERROR(__xludf.DUMMYFUNCTION("""COMPUTED_VALUE"""),"Mochammad Fadhillah Hakim,")</f>
        <v>Mochammad Fadhillah Hakim,</v>
      </c>
      <c r="N3857" s="6" t="str">
        <f>IFERROR(__xludf.DUMMYFUNCTION("""COMPUTED_VALUE"""),"FIP Engineering")</f>
        <v>FIP Engineering</v>
      </c>
      <c r="O3857" s="6" t="str">
        <f>IFERROR(__xludf.DUMMYFUNCTION("""COMPUTED_VALUE"""),"FIP-DOM-000-11304-OS00001-INA-000000")</f>
        <v>FIP-DOM-000-11304-OS00001-INA-000000</v>
      </c>
      <c r="P3857" s="6" t="str">
        <f>IFERROR(__xludf.DUMMYFUNCTION("""COMPUTED_VALUE"""),"PO Closed")</f>
        <v>PO Closed</v>
      </c>
      <c r="Q3857" s="6" t="str">
        <f>IFERROR(__xludf.DUMMYFUNCTION("""COMPUTED_VALUE"""),"GL2504359")</f>
        <v>GL2504359</v>
      </c>
      <c r="R3857" s="57">
        <f>IFERROR(__xludf.DUMMYFUNCTION("""COMPUTED_VALUE"""),45736.0)</f>
        <v>45736</v>
      </c>
      <c r="S3857" s="57">
        <f>IFERROR(__xludf.DUMMYFUNCTION("""COMPUTED_VALUE"""),45737.0)</f>
        <v>45737</v>
      </c>
      <c r="T3857" s="57">
        <f>IFERROR(__xludf.DUMMYFUNCTION("""COMPUTED_VALUE"""),45768.0)</f>
        <v>45768</v>
      </c>
    </row>
    <row r="3858">
      <c r="A3858" s="6" t="str">
        <f>IFERROR(__xludf.DUMMYFUNCTION("""COMPUTED_VALUE"""),"121702556-2")</f>
        <v>121702556-2</v>
      </c>
      <c r="B3858" s="6" t="str">
        <f>IFERROR(__xludf.DUMMYFUNCTION("""COMPUTED_VALUE"""),"121702556 - APPROVED")</f>
        <v>121702556 - APPROVED</v>
      </c>
      <c r="C3858" s="6">
        <f>IFERROR(__xludf.DUMMYFUNCTION("""COMPUTED_VALUE"""),2.0)</f>
        <v>2</v>
      </c>
      <c r="D3858" s="6" t="str">
        <f>IFERROR(__xludf.DUMMYFUNCTION("""COMPUTED_VALUE"""),"P-52420-00")</f>
        <v>P-52420-00</v>
      </c>
      <c r="E3858" s="6" t="str">
        <f>IFERROR(__xludf.DUMMYFUNCTION("""COMPUTED_VALUE"""),"Ceiling Exhaust Fan FV-25TGU5; KDK; ;")</f>
        <v>Ceiling Exhaust Fan FV-25TGU5; KDK; ;</v>
      </c>
      <c r="F3858" s="6">
        <f>IFERROR(__xludf.DUMMYFUNCTION("""COMPUTED_VALUE"""),1.0)</f>
        <v>1</v>
      </c>
      <c r="G3858" s="6" t="str">
        <f>IFERROR(__xludf.DUMMYFUNCTION("""COMPUTED_VALUE"""),"Unit")</f>
        <v>Unit</v>
      </c>
      <c r="H3858" s="6" t="str">
        <f>IFERROR(__xludf.DUMMYFUNCTION("""COMPUTED_VALUE"""),"IDR")</f>
        <v>IDR</v>
      </c>
      <c r="I3858" s="6">
        <f>IFERROR(__xludf.DUMMYFUNCTION("""COMPUTED_VALUE"""),459000.0)</f>
        <v>459000</v>
      </c>
      <c r="J3858" s="6">
        <f>IFERROR(__xludf.DUMMYFUNCTION("""COMPUTED_VALUE"""),459000.0)</f>
        <v>459000</v>
      </c>
      <c r="K3858" s="57">
        <f>IFERROR(__xludf.DUMMYFUNCTION("""COMPUTED_VALUE"""),45768.0)</f>
        <v>45768</v>
      </c>
      <c r="L3858" s="6" t="str">
        <f>IFERROR(__xludf.DUMMYFUNCTION("""COMPUTED_VALUE"""),"FIP Engineering")</f>
        <v>FIP Engineering</v>
      </c>
      <c r="M3858" s="6" t="str">
        <f>IFERROR(__xludf.DUMMYFUNCTION("""COMPUTED_VALUE"""),"Mochammad Fadhillah Hakim,")</f>
        <v>Mochammad Fadhillah Hakim,</v>
      </c>
      <c r="N3858" s="6" t="str">
        <f>IFERROR(__xludf.DUMMYFUNCTION("""COMPUTED_VALUE"""),"FIP Engineering")</f>
        <v>FIP Engineering</v>
      </c>
      <c r="O3858" s="6" t="str">
        <f>IFERROR(__xludf.DUMMYFUNCTION("""COMPUTED_VALUE"""),"FIP-DOM-000-11304-OS00001-INA-000000")</f>
        <v>FIP-DOM-000-11304-OS00001-INA-000000</v>
      </c>
      <c r="P3858" s="6" t="str">
        <f>IFERROR(__xludf.DUMMYFUNCTION("""COMPUTED_VALUE"""),"PO Closed")</f>
        <v>PO Closed</v>
      </c>
      <c r="Q3858" s="6" t="str">
        <f>IFERROR(__xludf.DUMMYFUNCTION("""COMPUTED_VALUE"""),"GL2504359")</f>
        <v>GL2504359</v>
      </c>
      <c r="R3858" s="57">
        <f>IFERROR(__xludf.DUMMYFUNCTION("""COMPUTED_VALUE"""),45736.0)</f>
        <v>45736</v>
      </c>
      <c r="S3858" s="57">
        <f>IFERROR(__xludf.DUMMYFUNCTION("""COMPUTED_VALUE"""),45737.0)</f>
        <v>45737</v>
      </c>
      <c r="T3858" s="57">
        <f>IFERROR(__xludf.DUMMYFUNCTION("""COMPUTED_VALUE"""),45768.0)</f>
        <v>45768</v>
      </c>
    </row>
    <row r="3859">
      <c r="A3859" s="6" t="str">
        <f>IFERROR(__xludf.DUMMYFUNCTION("""COMPUTED_VALUE"""),"121702559-1")</f>
        <v>121702559-1</v>
      </c>
      <c r="B3859" s="6" t="str">
        <f>IFERROR(__xludf.DUMMYFUNCTION("""COMPUTED_VALUE"""),"121702559 - APPROVED")</f>
        <v>121702559 - APPROVED</v>
      </c>
      <c r="C3859" s="6">
        <f>IFERROR(__xludf.DUMMYFUNCTION("""COMPUTED_VALUE"""),1.0)</f>
        <v>1</v>
      </c>
      <c r="D3859" s="6" t="str">
        <f>IFERROR(__xludf.DUMMYFUNCTION("""COMPUTED_VALUE"""),"O-16715-00")</f>
        <v>O-16715-00</v>
      </c>
      <c r="E3859" s="6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F3859" s="6">
        <f>IFERROR(__xludf.DUMMYFUNCTION("""COMPUTED_VALUE"""),5.0)</f>
        <v>5</v>
      </c>
      <c r="G3859" s="6" t="str">
        <f>IFERROR(__xludf.DUMMYFUNCTION("""COMPUTED_VALUE"""),"Pieces")</f>
        <v>Pieces</v>
      </c>
      <c r="H3859" s="6" t="str">
        <f>IFERROR(__xludf.DUMMYFUNCTION("""COMPUTED_VALUE"""),"IDR")</f>
        <v>IDR</v>
      </c>
      <c r="I3859" s="6">
        <f>IFERROR(__xludf.DUMMYFUNCTION("""COMPUTED_VALUE"""),3000000.0)</f>
        <v>3000000</v>
      </c>
      <c r="J3859" s="6">
        <f>IFERROR(__xludf.DUMMYFUNCTION("""COMPUTED_VALUE"""),1.5E7)</f>
        <v>15000000</v>
      </c>
      <c r="K3859" s="57">
        <f>IFERROR(__xludf.DUMMYFUNCTION("""COMPUTED_VALUE"""),45798.0)</f>
        <v>45798</v>
      </c>
      <c r="L3859" s="6" t="str">
        <f>IFERROR(__xludf.DUMMYFUNCTION("""COMPUTED_VALUE"""),"FIP Engineering")</f>
        <v>FIP Engineering</v>
      </c>
      <c r="M3859" s="6" t="str">
        <f>IFERROR(__xludf.DUMMYFUNCTION("""COMPUTED_VALUE"""),"Mochammad Fadhillah Hakim,")</f>
        <v>Mochammad Fadhillah Hakim,</v>
      </c>
      <c r="N3859" s="6" t="str">
        <f>IFERROR(__xludf.DUMMYFUNCTION("""COMPUTED_VALUE"""),"FIP Engineering")</f>
        <v>FIP Engineering</v>
      </c>
      <c r="O3859" s="6" t="str">
        <f>IFERROR(__xludf.DUMMYFUNCTION("""COMPUTED_VALUE"""),"FIP-DOM-000-11304-OS00001-INA-000000")</f>
        <v>FIP-DOM-000-11304-OS00001-INA-000000</v>
      </c>
      <c r="P3859" s="6" t="str">
        <f>IFERROR(__xludf.DUMMYFUNCTION("""COMPUTED_VALUE"""),"PO Closed")</f>
        <v>PO Closed</v>
      </c>
      <c r="Q3859" s="6" t="str">
        <f>IFERROR(__xludf.DUMMYFUNCTION("""COMPUTED_VALUE"""),"GL2505006")</f>
        <v>GL2505006</v>
      </c>
      <c r="R3859" s="57">
        <f>IFERROR(__xludf.DUMMYFUNCTION("""COMPUTED_VALUE"""),45737.0)</f>
        <v>45737</v>
      </c>
      <c r="S3859" s="57">
        <f>IFERROR(__xludf.DUMMYFUNCTION("""COMPUTED_VALUE"""),45756.0)</f>
        <v>45756</v>
      </c>
      <c r="T3859" s="57">
        <f>IFERROR(__xludf.DUMMYFUNCTION("""COMPUTED_VALUE"""),45838.0)</f>
        <v>45838</v>
      </c>
    </row>
    <row r="3860">
      <c r="A3860" s="6" t="str">
        <f>IFERROR(__xludf.DUMMYFUNCTION("""COMPUTED_VALUE"""),"121702559-2")</f>
        <v>121702559-2</v>
      </c>
      <c r="B3860" s="6" t="str">
        <f>IFERROR(__xludf.DUMMYFUNCTION("""COMPUTED_VALUE"""),"121702559 - APPROVED")</f>
        <v>121702559 - APPROVED</v>
      </c>
      <c r="C3860" s="6">
        <f>IFERROR(__xludf.DUMMYFUNCTION("""COMPUTED_VALUE"""),2.0)</f>
        <v>2</v>
      </c>
      <c r="D3860" s="6" t="str">
        <f>IFERROR(__xludf.DUMMYFUNCTION("""COMPUTED_VALUE"""),"O-18388-00")</f>
        <v>O-18388-00</v>
      </c>
      <c r="E3860" s="6" t="str">
        <f>IFERROR(__xludf.DUMMYFUNCTION("""COMPUTED_VALUE"""),"Membrane Valve PTFE/EPDM DN15 type 612 GEMU; ; ;")</f>
        <v>Membrane Valve PTFE/EPDM DN15 type 612 GEMU; ; ;</v>
      </c>
      <c r="F3860" s="6">
        <f>IFERROR(__xludf.DUMMYFUNCTION("""COMPUTED_VALUE"""),5.0)</f>
        <v>5</v>
      </c>
      <c r="G3860" s="6" t="str">
        <f>IFERROR(__xludf.DUMMYFUNCTION("""COMPUTED_VALUE"""),"Pieces")</f>
        <v>Pieces</v>
      </c>
      <c r="H3860" s="6" t="str">
        <f>IFERROR(__xludf.DUMMYFUNCTION("""COMPUTED_VALUE"""),"IDR")</f>
        <v>IDR</v>
      </c>
      <c r="I3860" s="6">
        <f>IFERROR(__xludf.DUMMYFUNCTION("""COMPUTED_VALUE"""),1800000.0)</f>
        <v>1800000</v>
      </c>
      <c r="J3860" s="6">
        <f>IFERROR(__xludf.DUMMYFUNCTION("""COMPUTED_VALUE"""),9000000.0)</f>
        <v>9000000</v>
      </c>
      <c r="K3860" s="57">
        <f>IFERROR(__xludf.DUMMYFUNCTION("""COMPUTED_VALUE"""),45798.0)</f>
        <v>45798</v>
      </c>
      <c r="L3860" s="6" t="str">
        <f>IFERROR(__xludf.DUMMYFUNCTION("""COMPUTED_VALUE"""),"FIP Engineering")</f>
        <v>FIP Engineering</v>
      </c>
      <c r="M3860" s="6" t="str">
        <f>IFERROR(__xludf.DUMMYFUNCTION("""COMPUTED_VALUE"""),"Mochammad Fadhillah Hakim,")</f>
        <v>Mochammad Fadhillah Hakim,</v>
      </c>
      <c r="N3860" s="6" t="str">
        <f>IFERROR(__xludf.DUMMYFUNCTION("""COMPUTED_VALUE"""),"FIP Engineering")</f>
        <v>FIP Engineering</v>
      </c>
      <c r="O3860" s="6" t="str">
        <f>IFERROR(__xludf.DUMMYFUNCTION("""COMPUTED_VALUE"""),"FIP-DOM-000-11304-OS00001-INA-000000")</f>
        <v>FIP-DOM-000-11304-OS00001-INA-000000</v>
      </c>
      <c r="P3860" s="6" t="str">
        <f>IFERROR(__xludf.DUMMYFUNCTION("""COMPUTED_VALUE"""),"PO Closed")</f>
        <v>PO Closed</v>
      </c>
      <c r="Q3860" s="6" t="str">
        <f>IFERROR(__xludf.DUMMYFUNCTION("""COMPUTED_VALUE"""),"GL2505006")</f>
        <v>GL2505006</v>
      </c>
      <c r="R3860" s="57">
        <f>IFERROR(__xludf.DUMMYFUNCTION("""COMPUTED_VALUE"""),45737.0)</f>
        <v>45737</v>
      </c>
      <c r="S3860" s="57">
        <f>IFERROR(__xludf.DUMMYFUNCTION("""COMPUTED_VALUE"""),45756.0)</f>
        <v>45756</v>
      </c>
      <c r="T3860" s="57">
        <f>IFERROR(__xludf.DUMMYFUNCTION("""COMPUTED_VALUE"""),45820.0)</f>
        <v>45820</v>
      </c>
    </row>
    <row r="3861">
      <c r="A3861" s="6" t="str">
        <f>IFERROR(__xludf.DUMMYFUNCTION("""COMPUTED_VALUE"""),"121702560-1")</f>
        <v>121702560-1</v>
      </c>
      <c r="B3861" s="6" t="str">
        <f>IFERROR(__xludf.DUMMYFUNCTION("""COMPUTED_VALUE"""),"121702560 - APPROVED")</f>
        <v>121702560 - APPROVED</v>
      </c>
      <c r="C3861" s="6">
        <f>IFERROR(__xludf.DUMMYFUNCTION("""COMPUTED_VALUE"""),1.0)</f>
        <v>1</v>
      </c>
      <c r="D3861" s="6" t="str">
        <f>IFERROR(__xludf.DUMMYFUNCTION("""COMPUTED_VALUE"""),"P-13383-00")</f>
        <v>P-13383-00</v>
      </c>
      <c r="E3861" s="6" t="str">
        <f>IFERROR(__xludf.DUMMYFUNCTION("""COMPUTED_VALUE"""),"Silicone Sealant High Temp Red; ; ;")</f>
        <v>Silicone Sealant High Temp Red; ; ;</v>
      </c>
      <c r="F3861" s="6">
        <f>IFERROR(__xludf.DUMMYFUNCTION("""COMPUTED_VALUE"""),5.0)</f>
        <v>5</v>
      </c>
      <c r="G3861" s="6" t="str">
        <f>IFERROR(__xludf.DUMMYFUNCTION("""COMPUTED_VALUE"""),"Pieces")</f>
        <v>Pieces</v>
      </c>
      <c r="H3861" s="6" t="str">
        <f>IFERROR(__xludf.DUMMYFUNCTION("""COMPUTED_VALUE"""),"IDR")</f>
        <v>IDR</v>
      </c>
      <c r="I3861" s="6">
        <f>IFERROR(__xludf.DUMMYFUNCTION("""COMPUTED_VALUE"""),33250.0)</f>
        <v>33250</v>
      </c>
      <c r="J3861" s="6">
        <f>IFERROR(__xludf.DUMMYFUNCTION("""COMPUTED_VALUE"""),166250.0)</f>
        <v>166250</v>
      </c>
      <c r="K3861" s="57">
        <f>IFERROR(__xludf.DUMMYFUNCTION("""COMPUTED_VALUE"""),45768.0)</f>
        <v>45768</v>
      </c>
      <c r="L3861" s="6" t="str">
        <f>IFERROR(__xludf.DUMMYFUNCTION("""COMPUTED_VALUE"""),"FIP Engineering")</f>
        <v>FIP Engineering</v>
      </c>
      <c r="M3861" s="6" t="str">
        <f>IFERROR(__xludf.DUMMYFUNCTION("""COMPUTED_VALUE"""),"Mochammad Fadhillah Hakim,")</f>
        <v>Mochammad Fadhillah Hakim,</v>
      </c>
      <c r="N3861" s="6" t="str">
        <f>IFERROR(__xludf.DUMMYFUNCTION("""COMPUTED_VALUE"""),"FIP Engineering")</f>
        <v>FIP Engineering</v>
      </c>
      <c r="O3861" s="6" t="str">
        <f>IFERROR(__xludf.DUMMYFUNCTION("""COMPUTED_VALUE"""),"FIP-DOM-000-11304-OS00001-INA-000000")</f>
        <v>FIP-DOM-000-11304-OS00001-INA-000000</v>
      </c>
      <c r="P3861" s="6" t="str">
        <f>IFERROR(__xludf.DUMMYFUNCTION("""COMPUTED_VALUE"""),"PO Closed")</f>
        <v>PO Closed</v>
      </c>
      <c r="Q3861" s="6" t="str">
        <f>IFERROR(__xludf.DUMMYFUNCTION("""COMPUTED_VALUE"""),"GL2503353")</f>
        <v>GL2503353</v>
      </c>
      <c r="R3861" s="57">
        <f>IFERROR(__xludf.DUMMYFUNCTION("""COMPUTED_VALUE"""),45737.0)</f>
        <v>45737</v>
      </c>
      <c r="S3861" s="57">
        <f>IFERROR(__xludf.DUMMYFUNCTION("""COMPUTED_VALUE"""),45741.0)</f>
        <v>45741</v>
      </c>
      <c r="T3861" s="57">
        <f>IFERROR(__xludf.DUMMYFUNCTION("""COMPUTED_VALUE"""),45759.0)</f>
        <v>45759</v>
      </c>
    </row>
    <row r="3862">
      <c r="A3862" s="6" t="str">
        <f>IFERROR(__xludf.DUMMYFUNCTION("""COMPUTED_VALUE"""),"121702560-2")</f>
        <v>121702560-2</v>
      </c>
      <c r="B3862" s="6" t="str">
        <f>IFERROR(__xludf.DUMMYFUNCTION("""COMPUTED_VALUE"""),"121702560 - APPROVED")</f>
        <v>121702560 - APPROVED</v>
      </c>
      <c r="C3862" s="6">
        <f>IFERROR(__xludf.DUMMYFUNCTION("""COMPUTED_VALUE"""),2.0)</f>
        <v>2</v>
      </c>
      <c r="D3862" s="6" t="str">
        <f>IFERROR(__xludf.DUMMYFUNCTION("""COMPUTED_VALUE"""),"P-15078-00")</f>
        <v>P-15078-00</v>
      </c>
      <c r="E3862" s="6" t="str">
        <f>IFERROR(__xludf.DUMMYFUNCTION("""COMPUTED_VALUE"""),"General - ELBOW PVC AW 2"" ; Rucika; -; 1 pc")</f>
        <v>General - ELBOW PVC AW 2" ; Rucika; -; 1 pc</v>
      </c>
      <c r="F3862" s="6">
        <f>IFERROR(__xludf.DUMMYFUNCTION("""COMPUTED_VALUE"""),4.0)</f>
        <v>4</v>
      </c>
      <c r="G3862" s="6" t="str">
        <f>IFERROR(__xludf.DUMMYFUNCTION("""COMPUTED_VALUE"""),"Pieces")</f>
        <v>Pieces</v>
      </c>
      <c r="H3862" s="6" t="str">
        <f>IFERROR(__xludf.DUMMYFUNCTION("""COMPUTED_VALUE"""),"IDR")</f>
        <v>IDR</v>
      </c>
      <c r="I3862" s="6">
        <f>IFERROR(__xludf.DUMMYFUNCTION("""COMPUTED_VALUE"""),15000.0)</f>
        <v>15000</v>
      </c>
      <c r="J3862" s="6">
        <f>IFERROR(__xludf.DUMMYFUNCTION("""COMPUTED_VALUE"""),60000.0)</f>
        <v>60000</v>
      </c>
      <c r="K3862" s="57">
        <f>IFERROR(__xludf.DUMMYFUNCTION("""COMPUTED_VALUE"""),45768.0)</f>
        <v>45768</v>
      </c>
      <c r="L3862" s="6" t="str">
        <f>IFERROR(__xludf.DUMMYFUNCTION("""COMPUTED_VALUE"""),"FIP Engineering")</f>
        <v>FIP Engineering</v>
      </c>
      <c r="M3862" s="6" t="str">
        <f>IFERROR(__xludf.DUMMYFUNCTION("""COMPUTED_VALUE"""),"Mochammad Fadhillah Hakim,")</f>
        <v>Mochammad Fadhillah Hakim,</v>
      </c>
      <c r="N3862" s="6" t="str">
        <f>IFERROR(__xludf.DUMMYFUNCTION("""COMPUTED_VALUE"""),"FIP Engineering")</f>
        <v>FIP Engineering</v>
      </c>
      <c r="O3862" s="6" t="str">
        <f>IFERROR(__xludf.DUMMYFUNCTION("""COMPUTED_VALUE"""),"FIP-DOM-000-11304-OS00001-INA-000000")</f>
        <v>FIP-DOM-000-11304-OS00001-INA-000000</v>
      </c>
      <c r="P3862" s="6" t="str">
        <f>IFERROR(__xludf.DUMMYFUNCTION("""COMPUTED_VALUE"""),"PO Closed")</f>
        <v>PO Closed</v>
      </c>
      <c r="Q3862" s="6" t="str">
        <f>IFERROR(__xludf.DUMMYFUNCTION("""COMPUTED_VALUE"""),"GL2504357")</f>
        <v>GL2504357</v>
      </c>
      <c r="R3862" s="57">
        <f>IFERROR(__xludf.DUMMYFUNCTION("""COMPUTED_VALUE"""),45737.0)</f>
        <v>45737</v>
      </c>
      <c r="S3862" s="57">
        <f>IFERROR(__xludf.DUMMYFUNCTION("""COMPUTED_VALUE"""),45741.0)</f>
        <v>45741</v>
      </c>
      <c r="T3862" s="57">
        <f>IFERROR(__xludf.DUMMYFUNCTION("""COMPUTED_VALUE"""),45768.0)</f>
        <v>45768</v>
      </c>
    </row>
    <row r="3863">
      <c r="A3863" s="6" t="str">
        <f>IFERROR(__xludf.DUMMYFUNCTION("""COMPUTED_VALUE"""),"121702560-3")</f>
        <v>121702560-3</v>
      </c>
      <c r="B3863" s="6" t="str">
        <f>IFERROR(__xludf.DUMMYFUNCTION("""COMPUTED_VALUE"""),"121702560 - APPROVED")</f>
        <v>121702560 - APPROVED</v>
      </c>
      <c r="C3863" s="6">
        <f>IFERROR(__xludf.DUMMYFUNCTION("""COMPUTED_VALUE"""),3.0)</f>
        <v>3</v>
      </c>
      <c r="D3863" s="6" t="str">
        <f>IFERROR(__xludf.DUMMYFUNCTION("""COMPUTED_VALUE"""),"P-17679-00")</f>
        <v>P-17679-00</v>
      </c>
      <c r="E3863" s="6" t="str">
        <f>IFERROR(__xludf.DUMMYFUNCTION("""COMPUTED_VALUE"""),"Water Mur PVC DIA 1 1/2""; ; ; pcs")</f>
        <v>Water Mur PVC DIA 1 1/2"; ; ; pcs</v>
      </c>
      <c r="F3863" s="6">
        <f>IFERROR(__xludf.DUMMYFUNCTION("""COMPUTED_VALUE"""),4.0)</f>
        <v>4</v>
      </c>
      <c r="G3863" s="6" t="str">
        <f>IFERROR(__xludf.DUMMYFUNCTION("""COMPUTED_VALUE"""),"Pieces")</f>
        <v>Pieces</v>
      </c>
      <c r="H3863" s="6" t="str">
        <f>IFERROR(__xludf.DUMMYFUNCTION("""COMPUTED_VALUE"""),"IDR")</f>
        <v>IDR</v>
      </c>
      <c r="I3863" s="6">
        <f>IFERROR(__xludf.DUMMYFUNCTION("""COMPUTED_VALUE"""),65000.0)</f>
        <v>65000</v>
      </c>
      <c r="J3863" s="6">
        <f>IFERROR(__xludf.DUMMYFUNCTION("""COMPUTED_VALUE"""),260000.0)</f>
        <v>260000</v>
      </c>
      <c r="K3863" s="57">
        <f>IFERROR(__xludf.DUMMYFUNCTION("""COMPUTED_VALUE"""),45768.0)</f>
        <v>45768</v>
      </c>
      <c r="L3863" s="6" t="str">
        <f>IFERROR(__xludf.DUMMYFUNCTION("""COMPUTED_VALUE"""),"FIP Engineering")</f>
        <v>FIP Engineering</v>
      </c>
      <c r="M3863" s="6" t="str">
        <f>IFERROR(__xludf.DUMMYFUNCTION("""COMPUTED_VALUE"""),"Mochammad Fadhillah Hakim,")</f>
        <v>Mochammad Fadhillah Hakim,</v>
      </c>
      <c r="N3863" s="6" t="str">
        <f>IFERROR(__xludf.DUMMYFUNCTION("""COMPUTED_VALUE"""),"FIP Engineering")</f>
        <v>FIP Engineering</v>
      </c>
      <c r="O3863" s="6" t="str">
        <f>IFERROR(__xludf.DUMMYFUNCTION("""COMPUTED_VALUE"""),"FIP-DOM-000-11304-OS00001-INA-000000")</f>
        <v>FIP-DOM-000-11304-OS00001-INA-000000</v>
      </c>
      <c r="P3863" s="6" t="str">
        <f>IFERROR(__xludf.DUMMYFUNCTION("""COMPUTED_VALUE"""),"PO Closed")</f>
        <v>PO Closed</v>
      </c>
      <c r="Q3863" s="6" t="str">
        <f>IFERROR(__xludf.DUMMYFUNCTION("""COMPUTED_VALUE"""),"GL2504357")</f>
        <v>GL2504357</v>
      </c>
      <c r="R3863" s="57">
        <f>IFERROR(__xludf.DUMMYFUNCTION("""COMPUTED_VALUE"""),45737.0)</f>
        <v>45737</v>
      </c>
      <c r="S3863" s="57">
        <f>IFERROR(__xludf.DUMMYFUNCTION("""COMPUTED_VALUE"""),45741.0)</f>
        <v>45741</v>
      </c>
      <c r="T3863" s="57">
        <f>IFERROR(__xludf.DUMMYFUNCTION("""COMPUTED_VALUE"""),45768.0)</f>
        <v>45768</v>
      </c>
    </row>
    <row r="3864">
      <c r="A3864" s="6" t="str">
        <f>IFERROR(__xludf.DUMMYFUNCTION("""COMPUTED_VALUE"""),"121702560-4")</f>
        <v>121702560-4</v>
      </c>
      <c r="B3864" s="6" t="str">
        <f>IFERROR(__xludf.DUMMYFUNCTION("""COMPUTED_VALUE"""),"121702560 - APPROVED")</f>
        <v>121702560 - APPROVED</v>
      </c>
      <c r="C3864" s="6">
        <f>IFERROR(__xludf.DUMMYFUNCTION("""COMPUTED_VALUE"""),4.0)</f>
        <v>4</v>
      </c>
      <c r="D3864" s="6" t="str">
        <f>IFERROR(__xludf.DUMMYFUNCTION("""COMPUTED_VALUE"""),"P-17680-00")</f>
        <v>P-17680-00</v>
      </c>
      <c r="E3864" s="6" t="str">
        <f>IFERROR(__xludf.DUMMYFUNCTION("""COMPUTED_VALUE"""),"General - Water Mur PVC dia. 2 1/2inch; No Brand; -; 1 pcs")</f>
        <v>General - Water Mur PVC dia. 2 1/2inch; No Brand; -; 1 pcs</v>
      </c>
      <c r="F3864" s="6">
        <f>IFERROR(__xludf.DUMMYFUNCTION("""COMPUTED_VALUE"""),4.0)</f>
        <v>4</v>
      </c>
      <c r="G3864" s="6" t="str">
        <f>IFERROR(__xludf.DUMMYFUNCTION("""COMPUTED_VALUE"""),"Pieces")</f>
        <v>Pieces</v>
      </c>
      <c r="H3864" s="6" t="str">
        <f>IFERROR(__xludf.DUMMYFUNCTION("""COMPUTED_VALUE"""),"IDR")</f>
        <v>IDR</v>
      </c>
      <c r="I3864" s="6">
        <f>IFERROR(__xludf.DUMMYFUNCTION("""COMPUTED_VALUE"""),145000.0)</f>
        <v>145000</v>
      </c>
      <c r="J3864" s="6">
        <f>IFERROR(__xludf.DUMMYFUNCTION("""COMPUTED_VALUE"""),580000.0)</f>
        <v>580000</v>
      </c>
      <c r="K3864" s="57">
        <f>IFERROR(__xludf.DUMMYFUNCTION("""COMPUTED_VALUE"""),45768.0)</f>
        <v>45768</v>
      </c>
      <c r="L3864" s="6" t="str">
        <f>IFERROR(__xludf.DUMMYFUNCTION("""COMPUTED_VALUE"""),"FIP Engineering")</f>
        <v>FIP Engineering</v>
      </c>
      <c r="M3864" s="6" t="str">
        <f>IFERROR(__xludf.DUMMYFUNCTION("""COMPUTED_VALUE"""),"Mochammad Fadhillah Hakim,")</f>
        <v>Mochammad Fadhillah Hakim,</v>
      </c>
      <c r="N3864" s="6" t="str">
        <f>IFERROR(__xludf.DUMMYFUNCTION("""COMPUTED_VALUE"""),"FIP Engineering")</f>
        <v>FIP Engineering</v>
      </c>
      <c r="O3864" s="6" t="str">
        <f>IFERROR(__xludf.DUMMYFUNCTION("""COMPUTED_VALUE"""),"FIP-DOM-000-11304-OS00001-INA-000000")</f>
        <v>FIP-DOM-000-11304-OS00001-INA-000000</v>
      </c>
      <c r="P3864" s="6" t="str">
        <f>IFERROR(__xludf.DUMMYFUNCTION("""COMPUTED_VALUE"""),"PO Closed")</f>
        <v>PO Closed</v>
      </c>
      <c r="Q3864" s="6" t="str">
        <f>IFERROR(__xludf.DUMMYFUNCTION("""COMPUTED_VALUE"""),"GL2504357")</f>
        <v>GL2504357</v>
      </c>
      <c r="R3864" s="57">
        <f>IFERROR(__xludf.DUMMYFUNCTION("""COMPUTED_VALUE"""),45737.0)</f>
        <v>45737</v>
      </c>
      <c r="S3864" s="57">
        <f>IFERROR(__xludf.DUMMYFUNCTION("""COMPUTED_VALUE"""),45741.0)</f>
        <v>45741</v>
      </c>
      <c r="T3864" s="57">
        <f>IFERROR(__xludf.DUMMYFUNCTION("""COMPUTED_VALUE"""),45768.0)</f>
        <v>45768</v>
      </c>
    </row>
    <row r="3865">
      <c r="A3865" s="6" t="str">
        <f>IFERROR(__xludf.DUMMYFUNCTION("""COMPUTED_VALUE"""),"121702560-5")</f>
        <v>121702560-5</v>
      </c>
      <c r="B3865" s="6" t="str">
        <f>IFERROR(__xludf.DUMMYFUNCTION("""COMPUTED_VALUE"""),"121702560 - APPROVED")</f>
        <v>121702560 - APPROVED</v>
      </c>
      <c r="C3865" s="6">
        <f>IFERROR(__xludf.DUMMYFUNCTION("""COMPUTED_VALUE"""),5.0)</f>
        <v>5</v>
      </c>
      <c r="D3865" s="6" t="str">
        <f>IFERROR(__xludf.DUMMYFUNCTION("""COMPUTED_VALUE"""),"P-18277-00")</f>
        <v>P-18277-00</v>
      </c>
      <c r="E3865" s="6" t="str">
        <f>IFERROR(__xludf.DUMMYFUNCTION("""COMPUTED_VALUE"""),"Elbow PVC AW 45 deg dia 2 Inch; ; ;")</f>
        <v>Elbow PVC AW 45 deg dia 2 Inch; ; ;</v>
      </c>
      <c r="F3865" s="6">
        <f>IFERROR(__xludf.DUMMYFUNCTION("""COMPUTED_VALUE"""),4.0)</f>
        <v>4</v>
      </c>
      <c r="G3865" s="6" t="str">
        <f>IFERROR(__xludf.DUMMYFUNCTION("""COMPUTED_VALUE"""),"Pieces")</f>
        <v>Pieces</v>
      </c>
      <c r="H3865" s="6" t="str">
        <f>IFERROR(__xludf.DUMMYFUNCTION("""COMPUTED_VALUE"""),"IDR")</f>
        <v>IDR</v>
      </c>
      <c r="I3865" s="6">
        <f>IFERROR(__xludf.DUMMYFUNCTION("""COMPUTED_VALUE"""),42000.0)</f>
        <v>42000</v>
      </c>
      <c r="J3865" s="6">
        <f>IFERROR(__xludf.DUMMYFUNCTION("""COMPUTED_VALUE"""),168000.0)</f>
        <v>168000</v>
      </c>
      <c r="K3865" s="57">
        <f>IFERROR(__xludf.DUMMYFUNCTION("""COMPUTED_VALUE"""),45768.0)</f>
        <v>45768</v>
      </c>
      <c r="L3865" s="6" t="str">
        <f>IFERROR(__xludf.DUMMYFUNCTION("""COMPUTED_VALUE"""),"FIP Engineering")</f>
        <v>FIP Engineering</v>
      </c>
      <c r="M3865" s="6" t="str">
        <f>IFERROR(__xludf.DUMMYFUNCTION("""COMPUTED_VALUE"""),"Mochammad Fadhillah Hakim,")</f>
        <v>Mochammad Fadhillah Hakim,</v>
      </c>
      <c r="N3865" s="6" t="str">
        <f>IFERROR(__xludf.DUMMYFUNCTION("""COMPUTED_VALUE"""),"FIP Engineering")</f>
        <v>FIP Engineering</v>
      </c>
      <c r="O3865" s="6" t="str">
        <f>IFERROR(__xludf.DUMMYFUNCTION("""COMPUTED_VALUE"""),"FIP-DOM-000-11304-OS00001-INA-000000")</f>
        <v>FIP-DOM-000-11304-OS00001-INA-000000</v>
      </c>
      <c r="P3865" s="6" t="str">
        <f>IFERROR(__xludf.DUMMYFUNCTION("""COMPUTED_VALUE"""),"PO Closed")</f>
        <v>PO Closed</v>
      </c>
      <c r="Q3865" s="6" t="str">
        <f>IFERROR(__xludf.DUMMYFUNCTION("""COMPUTED_VALUE"""),"GL2504357")</f>
        <v>GL2504357</v>
      </c>
      <c r="R3865" s="57">
        <f>IFERROR(__xludf.DUMMYFUNCTION("""COMPUTED_VALUE"""),45737.0)</f>
        <v>45737</v>
      </c>
      <c r="S3865" s="57">
        <f>IFERROR(__xludf.DUMMYFUNCTION("""COMPUTED_VALUE"""),45741.0)</f>
        <v>45741</v>
      </c>
      <c r="T3865" s="57">
        <f>IFERROR(__xludf.DUMMYFUNCTION("""COMPUTED_VALUE"""),45768.0)</f>
        <v>45768</v>
      </c>
    </row>
    <row r="3866">
      <c r="A3866" s="6" t="str">
        <f>IFERROR(__xludf.DUMMYFUNCTION("""COMPUTED_VALUE"""),"121702560-6")</f>
        <v>121702560-6</v>
      </c>
      <c r="B3866" s="6" t="str">
        <f>IFERROR(__xludf.DUMMYFUNCTION("""COMPUTED_VALUE"""),"121702560 - APPROVED")</f>
        <v>121702560 - APPROVED</v>
      </c>
      <c r="C3866" s="6">
        <f>IFERROR(__xludf.DUMMYFUNCTION("""COMPUTED_VALUE"""),6.0)</f>
        <v>6</v>
      </c>
      <c r="D3866" s="6" t="str">
        <f>IFERROR(__xludf.DUMMYFUNCTION("""COMPUTED_VALUE"""),"P-19542-00")</f>
        <v>P-19542-00</v>
      </c>
      <c r="E3866" s="6" t="str">
        <f>IFERROR(__xludf.DUMMYFUNCTION("""COMPUTED_VALUE"""),"General - Regulator Gas Helium, 96-15M-He; Morris; -; 1 pc")</f>
        <v>General - Regulator Gas Helium, 96-15M-He; Morris; -; 1 pc</v>
      </c>
      <c r="F3866" s="6">
        <f>IFERROR(__xludf.DUMMYFUNCTION("""COMPUTED_VALUE"""),1.0)</f>
        <v>1</v>
      </c>
      <c r="G3866" s="6" t="str">
        <f>IFERROR(__xludf.DUMMYFUNCTION("""COMPUTED_VALUE"""),"Pieces")</f>
        <v>Pieces</v>
      </c>
      <c r="H3866" s="6" t="str">
        <f>IFERROR(__xludf.DUMMYFUNCTION("""COMPUTED_VALUE"""),"IDR")</f>
        <v>IDR</v>
      </c>
      <c r="I3866" s="6">
        <f>IFERROR(__xludf.DUMMYFUNCTION("""COMPUTED_VALUE"""),1985000.0)</f>
        <v>1985000</v>
      </c>
      <c r="J3866" s="6">
        <f>IFERROR(__xludf.DUMMYFUNCTION("""COMPUTED_VALUE"""),1985000.0)</f>
        <v>1985000</v>
      </c>
      <c r="K3866" s="57">
        <f>IFERROR(__xludf.DUMMYFUNCTION("""COMPUTED_VALUE"""),45768.0)</f>
        <v>45768</v>
      </c>
      <c r="L3866" s="6" t="str">
        <f>IFERROR(__xludf.DUMMYFUNCTION("""COMPUTED_VALUE"""),"FIP Engineering")</f>
        <v>FIP Engineering</v>
      </c>
      <c r="M3866" s="6" t="str">
        <f>IFERROR(__xludf.DUMMYFUNCTION("""COMPUTED_VALUE"""),"Mochammad Fadhillah Hakim,")</f>
        <v>Mochammad Fadhillah Hakim,</v>
      </c>
      <c r="N3866" s="6" t="str">
        <f>IFERROR(__xludf.DUMMYFUNCTION("""COMPUTED_VALUE"""),"FIP Engineering")</f>
        <v>FIP Engineering</v>
      </c>
      <c r="O3866" s="6" t="str">
        <f>IFERROR(__xludf.DUMMYFUNCTION("""COMPUTED_VALUE"""),"FIP-DOM-000-11304-OS00001-INA-000000")</f>
        <v>FIP-DOM-000-11304-OS00001-INA-000000</v>
      </c>
      <c r="P3866" s="6" t="str">
        <f>IFERROR(__xludf.DUMMYFUNCTION("""COMPUTED_VALUE"""),"PO Closed")</f>
        <v>PO Closed</v>
      </c>
      <c r="Q3866" s="6" t="str">
        <f>IFERROR(__xludf.DUMMYFUNCTION("""COMPUTED_VALUE"""),"GL2504359")</f>
        <v>GL2504359</v>
      </c>
      <c r="R3866" s="57">
        <f>IFERROR(__xludf.DUMMYFUNCTION("""COMPUTED_VALUE"""),45737.0)</f>
        <v>45737</v>
      </c>
      <c r="S3866" s="57">
        <f>IFERROR(__xludf.DUMMYFUNCTION("""COMPUTED_VALUE"""),45741.0)</f>
        <v>45741</v>
      </c>
      <c r="T3866" s="57">
        <f>IFERROR(__xludf.DUMMYFUNCTION("""COMPUTED_VALUE"""),45768.0)</f>
        <v>45768</v>
      </c>
    </row>
    <row r="3867">
      <c r="A3867" s="6" t="str">
        <f>IFERROR(__xludf.DUMMYFUNCTION("""COMPUTED_VALUE"""),"121702560-7")</f>
        <v>121702560-7</v>
      </c>
      <c r="B3867" s="6" t="str">
        <f>IFERROR(__xludf.DUMMYFUNCTION("""COMPUTED_VALUE"""),"121702560 - APPROVED")</f>
        <v>121702560 - APPROVED</v>
      </c>
      <c r="C3867" s="6">
        <f>IFERROR(__xludf.DUMMYFUNCTION("""COMPUTED_VALUE"""),7.0)</f>
        <v>7</v>
      </c>
      <c r="D3867" s="6" t="str">
        <f>IFERROR(__xludf.DUMMYFUNCTION("""COMPUTED_VALUE"""),"P-53382-00")</f>
        <v>P-53382-00</v>
      </c>
      <c r="E3867" s="6" t="str">
        <f>IFERROR(__xludf.DUMMYFUNCTION("""COMPUTED_VALUE"""),"General - Exhaust Fan; KDK; 24CDQNA; 1 unit")</f>
        <v>General - Exhaust Fan; KDK; 24CDQNA; 1 unit</v>
      </c>
      <c r="F3867" s="6">
        <f>IFERROR(__xludf.DUMMYFUNCTION("""COMPUTED_VALUE"""),2.0)</f>
        <v>2</v>
      </c>
      <c r="G3867" s="6" t="str">
        <f>IFERROR(__xludf.DUMMYFUNCTION("""COMPUTED_VALUE"""),"Unit")</f>
        <v>Unit</v>
      </c>
      <c r="H3867" s="6" t="str">
        <f>IFERROR(__xludf.DUMMYFUNCTION("""COMPUTED_VALUE"""),"IDR")</f>
        <v>IDR</v>
      </c>
      <c r="I3867" s="6">
        <f>IFERROR(__xludf.DUMMYFUNCTION("""COMPUTED_VALUE"""),985000.0)</f>
        <v>985000</v>
      </c>
      <c r="J3867" s="6">
        <f>IFERROR(__xludf.DUMMYFUNCTION("""COMPUTED_VALUE"""),1970000.0)</f>
        <v>1970000</v>
      </c>
      <c r="K3867" s="57">
        <f>IFERROR(__xludf.DUMMYFUNCTION("""COMPUTED_VALUE"""),45768.0)</f>
        <v>45768</v>
      </c>
      <c r="L3867" s="6" t="str">
        <f>IFERROR(__xludf.DUMMYFUNCTION("""COMPUTED_VALUE"""),"FIP Engineering")</f>
        <v>FIP Engineering</v>
      </c>
      <c r="M3867" s="6" t="str">
        <f>IFERROR(__xludf.DUMMYFUNCTION("""COMPUTED_VALUE"""),"Mochammad Fadhillah Hakim,")</f>
        <v>Mochammad Fadhillah Hakim,</v>
      </c>
      <c r="N3867" s="6" t="str">
        <f>IFERROR(__xludf.DUMMYFUNCTION("""COMPUTED_VALUE"""),"FIP Engineering")</f>
        <v>FIP Engineering</v>
      </c>
      <c r="O3867" s="6" t="str">
        <f>IFERROR(__xludf.DUMMYFUNCTION("""COMPUTED_VALUE"""),"FIP-DOM-000-11304-OS00001-INA-000000")</f>
        <v>FIP-DOM-000-11304-OS00001-INA-000000</v>
      </c>
      <c r="P3867" s="6" t="str">
        <f>IFERROR(__xludf.DUMMYFUNCTION("""COMPUTED_VALUE"""),"PO Closed")</f>
        <v>PO Closed</v>
      </c>
      <c r="Q3867" s="6" t="str">
        <f>IFERROR(__xludf.DUMMYFUNCTION("""COMPUTED_VALUE"""),"GL2504359")</f>
        <v>GL2504359</v>
      </c>
      <c r="R3867" s="57">
        <f>IFERROR(__xludf.DUMMYFUNCTION("""COMPUTED_VALUE"""),45737.0)</f>
        <v>45737</v>
      </c>
      <c r="S3867" s="57">
        <f>IFERROR(__xludf.DUMMYFUNCTION("""COMPUTED_VALUE"""),45741.0)</f>
        <v>45741</v>
      </c>
      <c r="T3867" s="57">
        <f>IFERROR(__xludf.DUMMYFUNCTION("""COMPUTED_VALUE"""),45768.0)</f>
        <v>45768</v>
      </c>
    </row>
    <row r="3868">
      <c r="A3868" s="6" t="str">
        <f>IFERROR(__xludf.DUMMYFUNCTION("""COMPUTED_VALUE"""),"121702560-8")</f>
        <v>121702560-8</v>
      </c>
      <c r="B3868" s="6" t="str">
        <f>IFERROR(__xludf.DUMMYFUNCTION("""COMPUTED_VALUE"""),"121702560 - APPROVED")</f>
        <v>121702560 - APPROVED</v>
      </c>
      <c r="C3868" s="6">
        <f>IFERROR(__xludf.DUMMYFUNCTION("""COMPUTED_VALUE"""),8.0)</f>
        <v>8</v>
      </c>
      <c r="D3868" s="6" t="str">
        <f>IFERROR(__xludf.DUMMYFUNCTION("""COMPUTED_VALUE"""),"P-53383-00")</f>
        <v>P-53383-00</v>
      </c>
      <c r="E3868" s="6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F3868" s="6">
        <f>IFERROR(__xludf.DUMMYFUNCTION("""COMPUTED_VALUE"""),2.0)</f>
        <v>2</v>
      </c>
      <c r="G3868" s="6" t="str">
        <f>IFERROR(__xludf.DUMMYFUNCTION("""COMPUTED_VALUE"""),"Pieces")</f>
        <v>Pieces</v>
      </c>
      <c r="H3868" s="6" t="str">
        <f>IFERROR(__xludf.DUMMYFUNCTION("""COMPUTED_VALUE"""),"IDR")</f>
        <v>IDR</v>
      </c>
      <c r="I3868" s="6">
        <f>IFERROR(__xludf.DUMMYFUNCTION("""COMPUTED_VALUE"""),395000.0)</f>
        <v>395000</v>
      </c>
      <c r="J3868" s="6">
        <f>IFERROR(__xludf.DUMMYFUNCTION("""COMPUTED_VALUE"""),790000.0)</f>
        <v>790000</v>
      </c>
      <c r="K3868" s="57">
        <f>IFERROR(__xludf.DUMMYFUNCTION("""COMPUTED_VALUE"""),45768.0)</f>
        <v>45768</v>
      </c>
      <c r="L3868" s="6" t="str">
        <f>IFERROR(__xludf.DUMMYFUNCTION("""COMPUTED_VALUE"""),"FIP Engineering")</f>
        <v>FIP Engineering</v>
      </c>
      <c r="M3868" s="6" t="str">
        <f>IFERROR(__xludf.DUMMYFUNCTION("""COMPUTED_VALUE"""),"Mochammad Fadhillah Hakim,")</f>
        <v>Mochammad Fadhillah Hakim,</v>
      </c>
      <c r="N3868" s="6" t="str">
        <f>IFERROR(__xludf.DUMMYFUNCTION("""COMPUTED_VALUE"""),"FIP Engineering")</f>
        <v>FIP Engineering</v>
      </c>
      <c r="O3868" s="6" t="str">
        <f>IFERROR(__xludf.DUMMYFUNCTION("""COMPUTED_VALUE"""),"FIP-DOM-000-11304-OS00001-INA-000000")</f>
        <v>FIP-DOM-000-11304-OS00001-INA-000000</v>
      </c>
      <c r="P3868" s="6" t="str">
        <f>IFERROR(__xludf.DUMMYFUNCTION("""COMPUTED_VALUE"""),"PO Closed")</f>
        <v>PO Closed</v>
      </c>
      <c r="Q3868" s="6" t="str">
        <f>IFERROR(__xludf.DUMMYFUNCTION("""COMPUTED_VALUE"""),"GL2504359")</f>
        <v>GL2504359</v>
      </c>
      <c r="R3868" s="57">
        <f>IFERROR(__xludf.DUMMYFUNCTION("""COMPUTED_VALUE"""),45737.0)</f>
        <v>45737</v>
      </c>
      <c r="S3868" s="57">
        <f>IFERROR(__xludf.DUMMYFUNCTION("""COMPUTED_VALUE"""),45741.0)</f>
        <v>45741</v>
      </c>
      <c r="T3868" s="57">
        <f>IFERROR(__xludf.DUMMYFUNCTION("""COMPUTED_VALUE"""),45768.0)</f>
        <v>45768</v>
      </c>
    </row>
    <row r="3869">
      <c r="A3869" s="6" t="str">
        <f>IFERROR(__xludf.DUMMYFUNCTION("""COMPUTED_VALUE"""),"121702560-9")</f>
        <v>121702560-9</v>
      </c>
      <c r="B3869" s="6" t="str">
        <f>IFERROR(__xludf.DUMMYFUNCTION("""COMPUTED_VALUE"""),"121702560 - APPROVED")</f>
        <v>121702560 - APPROVED</v>
      </c>
      <c r="C3869" s="6">
        <f>IFERROR(__xludf.DUMMYFUNCTION("""COMPUTED_VALUE"""),9.0)</f>
        <v>9</v>
      </c>
      <c r="D3869" s="6" t="str">
        <f>IFERROR(__xludf.DUMMYFUNCTION("""COMPUTED_VALUE"""),"P-10726-00")</f>
        <v>P-10726-00</v>
      </c>
      <c r="E3869" s="6" t="str">
        <f>IFERROR(__xludf.DUMMYFUNCTION("""COMPUTED_VALUE"""),"Cleaner - Contact Cleaner CRC CO 2016 500 ml")</f>
        <v>Cleaner - Contact Cleaner CRC CO 2016 500 ml</v>
      </c>
      <c r="F3869" s="6">
        <f>IFERROR(__xludf.DUMMYFUNCTION("""COMPUTED_VALUE"""),3.0)</f>
        <v>3</v>
      </c>
      <c r="G3869" s="6" t="str">
        <f>IFERROR(__xludf.DUMMYFUNCTION("""COMPUTED_VALUE"""),"Pieces")</f>
        <v>Pieces</v>
      </c>
      <c r="H3869" s="6" t="str">
        <f>IFERROR(__xludf.DUMMYFUNCTION("""COMPUTED_VALUE"""),"IDR")</f>
        <v>IDR</v>
      </c>
      <c r="I3869" s="6">
        <f>IFERROR(__xludf.DUMMYFUNCTION("""COMPUTED_VALUE"""),90000.0)</f>
        <v>90000</v>
      </c>
      <c r="J3869" s="6">
        <f>IFERROR(__xludf.DUMMYFUNCTION("""COMPUTED_VALUE"""),270000.0)</f>
        <v>270000</v>
      </c>
      <c r="K3869" s="57">
        <f>IFERROR(__xludf.DUMMYFUNCTION("""COMPUTED_VALUE"""),45768.0)</f>
        <v>45768</v>
      </c>
      <c r="L3869" s="6" t="str">
        <f>IFERROR(__xludf.DUMMYFUNCTION("""COMPUTED_VALUE"""),"FIP Engineering")</f>
        <v>FIP Engineering</v>
      </c>
      <c r="M3869" s="6" t="str">
        <f>IFERROR(__xludf.DUMMYFUNCTION("""COMPUTED_VALUE"""),"Mochammad Fadhillah Hakim,")</f>
        <v>Mochammad Fadhillah Hakim,</v>
      </c>
      <c r="N3869" s="6" t="str">
        <f>IFERROR(__xludf.DUMMYFUNCTION("""COMPUTED_VALUE"""),"FIP Engineering")</f>
        <v>FIP Engineering</v>
      </c>
      <c r="O3869" s="6" t="str">
        <f>IFERROR(__xludf.DUMMYFUNCTION("""COMPUTED_VALUE"""),"FIP-DOM-000-11304-OS00001-INA-000000")</f>
        <v>FIP-DOM-000-11304-OS00001-INA-000000</v>
      </c>
      <c r="P3869" s="6" t="str">
        <f>IFERROR(__xludf.DUMMYFUNCTION("""COMPUTED_VALUE"""),"PO Closed")</f>
        <v>PO Closed</v>
      </c>
      <c r="Q3869" s="6" t="str">
        <f>IFERROR(__xludf.DUMMYFUNCTION("""COMPUTED_VALUE"""),"GL2503353")</f>
        <v>GL2503353</v>
      </c>
      <c r="R3869" s="57">
        <f>IFERROR(__xludf.DUMMYFUNCTION("""COMPUTED_VALUE"""),45737.0)</f>
        <v>45737</v>
      </c>
      <c r="S3869" s="57">
        <f>IFERROR(__xludf.DUMMYFUNCTION("""COMPUTED_VALUE"""),45741.0)</f>
        <v>45741</v>
      </c>
      <c r="T3869" s="57">
        <f>IFERROR(__xludf.DUMMYFUNCTION("""COMPUTED_VALUE"""),45759.0)</f>
        <v>45759</v>
      </c>
    </row>
    <row r="3870">
      <c r="A3870" s="6" t="str">
        <f>IFERROR(__xludf.DUMMYFUNCTION("""COMPUTED_VALUE"""),"121702560-10")</f>
        <v>121702560-10</v>
      </c>
      <c r="B3870" s="6" t="str">
        <f>IFERROR(__xludf.DUMMYFUNCTION("""COMPUTED_VALUE"""),"121702560 - APPROVED")</f>
        <v>121702560 - APPROVED</v>
      </c>
      <c r="C3870" s="6">
        <f>IFERROR(__xludf.DUMMYFUNCTION("""COMPUTED_VALUE"""),10.0)</f>
        <v>10</v>
      </c>
      <c r="D3870" s="6" t="str">
        <f>IFERROR(__xludf.DUMMYFUNCTION("""COMPUTED_VALUE"""),"P-54226-00")</f>
        <v>P-54226-00</v>
      </c>
      <c r="E3870" s="6" t="str">
        <f>IFERROR(__xludf.DUMMYFUNCTION("""COMPUTED_VALUE"""),"Pompa Celup SS SE-268 San-Ei; San-Ei; ;")</f>
        <v>Pompa Celup SS SE-268 San-Ei; San-Ei; ;</v>
      </c>
      <c r="F3870" s="6">
        <f>IFERROR(__xludf.DUMMYFUNCTION("""COMPUTED_VALUE"""),1.0)</f>
        <v>1</v>
      </c>
      <c r="G3870" s="6" t="str">
        <f>IFERROR(__xludf.DUMMYFUNCTION("""COMPUTED_VALUE"""),"Unit")</f>
        <v>Unit</v>
      </c>
      <c r="H3870" s="6" t="str">
        <f>IFERROR(__xludf.DUMMYFUNCTION("""COMPUTED_VALUE"""),"IDR")</f>
        <v>IDR</v>
      </c>
      <c r="I3870" s="6">
        <f>IFERROR(__xludf.DUMMYFUNCTION("""COMPUTED_VALUE"""),1325000.0)</f>
        <v>1325000</v>
      </c>
      <c r="J3870" s="6">
        <f>IFERROR(__xludf.DUMMYFUNCTION("""COMPUTED_VALUE"""),1325000.0)</f>
        <v>1325000</v>
      </c>
      <c r="K3870" s="57">
        <f>IFERROR(__xludf.DUMMYFUNCTION("""COMPUTED_VALUE"""),45740.0)</f>
        <v>45740</v>
      </c>
      <c r="L3870" s="6" t="str">
        <f>IFERROR(__xludf.DUMMYFUNCTION("""COMPUTED_VALUE"""),"FIP General")</f>
        <v>FIP General</v>
      </c>
      <c r="M3870" s="6" t="str">
        <f>IFERROR(__xludf.DUMMYFUNCTION("""COMPUTED_VALUE"""),"Mochammad Fadhillah Hakim,")</f>
        <v>Mochammad Fadhillah Hakim,</v>
      </c>
      <c r="N3870" s="6" t="str">
        <f>IFERROR(__xludf.DUMMYFUNCTION("""COMPUTED_VALUE"""),"FIP Engineering")</f>
        <v>FIP Engineering</v>
      </c>
      <c r="O3870" s="6" t="str">
        <f>IFERROR(__xludf.DUMMYFUNCTION("""COMPUTED_VALUE"""),"FIP-DOM-ENG-51504-0000000-INA-000000")</f>
        <v>FIP-DOM-ENG-51504-0000000-INA-000000</v>
      </c>
      <c r="P3870" s="6" t="str">
        <f>IFERROR(__xludf.DUMMYFUNCTION("""COMPUTED_VALUE"""),"PO Closed")</f>
        <v>PO Closed</v>
      </c>
      <c r="Q3870" s="6" t="str">
        <f>IFERROR(__xludf.DUMMYFUNCTION("""COMPUTED_VALUE"""),"GL2503353")</f>
        <v>GL2503353</v>
      </c>
      <c r="R3870" s="57">
        <f>IFERROR(__xludf.DUMMYFUNCTION("""COMPUTED_VALUE"""),45737.0)</f>
        <v>45737</v>
      </c>
      <c r="S3870" s="57">
        <f>IFERROR(__xludf.DUMMYFUNCTION("""COMPUTED_VALUE"""),45741.0)</f>
        <v>45741</v>
      </c>
      <c r="T3870" s="57">
        <f>IFERROR(__xludf.DUMMYFUNCTION("""COMPUTED_VALUE"""),45759.0)</f>
        <v>45759</v>
      </c>
    </row>
    <row r="3871">
      <c r="A3871" s="6" t="str">
        <f>IFERROR(__xludf.DUMMYFUNCTION("""COMPUTED_VALUE"""),"121702561-1")</f>
        <v>121702561-1</v>
      </c>
      <c r="B3871" s="6" t="str">
        <f>IFERROR(__xludf.DUMMYFUNCTION("""COMPUTED_VALUE"""),"121702561 - APPROVED")</f>
        <v>121702561 - APPROVED</v>
      </c>
      <c r="C3871" s="6">
        <f>IFERROR(__xludf.DUMMYFUNCTION("""COMPUTED_VALUE"""),1.0)</f>
        <v>1</v>
      </c>
      <c r="D3871" s="6" t="str">
        <f>IFERROR(__xludf.DUMMYFUNCTION("""COMPUTED_VALUE"""),"P-14974-00")</f>
        <v>P-14974-00</v>
      </c>
      <c r="E3871" s="6" t="str">
        <f>IFERROR(__xludf.DUMMYFUNCTION("""COMPUTED_VALUE"""),"PVC - Sock AW 2 1/2""; ; ;")</f>
        <v>PVC - Sock AW 2 1/2"; ; ;</v>
      </c>
      <c r="F3871" s="6">
        <f>IFERROR(__xludf.DUMMYFUNCTION("""COMPUTED_VALUE"""),4.0)</f>
        <v>4</v>
      </c>
      <c r="G3871" s="6" t="str">
        <f>IFERROR(__xludf.DUMMYFUNCTION("""COMPUTED_VALUE"""),"Pieces")</f>
        <v>Pieces</v>
      </c>
      <c r="H3871" s="6" t="str">
        <f>IFERROR(__xludf.DUMMYFUNCTION("""COMPUTED_VALUE"""),"IDR")</f>
        <v>IDR</v>
      </c>
      <c r="I3871" s="6">
        <f>IFERROR(__xludf.DUMMYFUNCTION("""COMPUTED_VALUE"""),7000.0)</f>
        <v>7000</v>
      </c>
      <c r="J3871" s="6">
        <f>IFERROR(__xludf.DUMMYFUNCTION("""COMPUTED_VALUE"""),28000.0)</f>
        <v>28000</v>
      </c>
      <c r="K3871" s="57">
        <f>IFERROR(__xludf.DUMMYFUNCTION("""COMPUTED_VALUE"""),45769.0)</f>
        <v>45769</v>
      </c>
      <c r="L3871" s="6" t="str">
        <f>IFERROR(__xludf.DUMMYFUNCTION("""COMPUTED_VALUE"""),"FIP Engineering")</f>
        <v>FIP Engineering</v>
      </c>
      <c r="M3871" s="6" t="str">
        <f>IFERROR(__xludf.DUMMYFUNCTION("""COMPUTED_VALUE"""),"Mochammad Fadhillah Hakim,")</f>
        <v>Mochammad Fadhillah Hakim,</v>
      </c>
      <c r="N3871" s="6" t="str">
        <f>IFERROR(__xludf.DUMMYFUNCTION("""COMPUTED_VALUE"""),"FIP Engineering")</f>
        <v>FIP Engineering</v>
      </c>
      <c r="O3871" s="6" t="str">
        <f>IFERROR(__xludf.DUMMYFUNCTION("""COMPUTED_VALUE"""),"FIP-DOM-000-11304-OS00001-INA-000000")</f>
        <v>FIP-DOM-000-11304-OS00001-INA-000000</v>
      </c>
      <c r="P3871" s="6" t="str">
        <f>IFERROR(__xludf.DUMMYFUNCTION("""COMPUTED_VALUE"""),"PO Closed")</f>
        <v>PO Closed</v>
      </c>
      <c r="Q3871" s="6" t="str">
        <f>IFERROR(__xludf.DUMMYFUNCTION("""COMPUTED_VALUE"""),"GL2504357")</f>
        <v>GL2504357</v>
      </c>
      <c r="R3871" s="57">
        <f>IFERROR(__xludf.DUMMYFUNCTION("""COMPUTED_VALUE"""),45738.0)</f>
        <v>45738</v>
      </c>
      <c r="S3871" s="57">
        <f>IFERROR(__xludf.DUMMYFUNCTION("""COMPUTED_VALUE"""),45741.0)</f>
        <v>45741</v>
      </c>
      <c r="T3871" s="57">
        <f>IFERROR(__xludf.DUMMYFUNCTION("""COMPUTED_VALUE"""),45769.0)</f>
        <v>45769</v>
      </c>
    </row>
    <row r="3872">
      <c r="A3872" s="6" t="str">
        <f>IFERROR(__xludf.DUMMYFUNCTION("""COMPUTED_VALUE"""),"121702561-2")</f>
        <v>121702561-2</v>
      </c>
      <c r="B3872" s="6" t="str">
        <f>IFERROR(__xludf.DUMMYFUNCTION("""COMPUTED_VALUE"""),"121702561 - APPROVED")</f>
        <v>121702561 - APPROVED</v>
      </c>
      <c r="C3872" s="6">
        <f>IFERROR(__xludf.DUMMYFUNCTION("""COMPUTED_VALUE"""),2.0)</f>
        <v>2</v>
      </c>
      <c r="D3872" s="6" t="str">
        <f>IFERROR(__xludf.DUMMYFUNCTION("""COMPUTED_VALUE"""),"P-15766-00")</f>
        <v>P-15766-00</v>
      </c>
      <c r="E3872" s="6" t="str">
        <f>IFERROR(__xludf.DUMMYFUNCTION("""COMPUTED_VALUE"""),"Tee PVC dia. 1 1/2""")</f>
        <v>Tee PVC dia. 1 1/2"</v>
      </c>
      <c r="F3872" s="6">
        <f>IFERROR(__xludf.DUMMYFUNCTION("""COMPUTED_VALUE"""),4.0)</f>
        <v>4</v>
      </c>
      <c r="G3872" s="6" t="str">
        <f>IFERROR(__xludf.DUMMYFUNCTION("""COMPUTED_VALUE"""),"Pieces")</f>
        <v>Pieces</v>
      </c>
      <c r="H3872" s="6" t="str">
        <f>IFERROR(__xludf.DUMMYFUNCTION("""COMPUTED_VALUE"""),"IDR")</f>
        <v>IDR</v>
      </c>
      <c r="I3872" s="6">
        <f>IFERROR(__xludf.DUMMYFUNCTION("""COMPUTED_VALUE"""),12500.0)</f>
        <v>12500</v>
      </c>
      <c r="J3872" s="6">
        <f>IFERROR(__xludf.DUMMYFUNCTION("""COMPUTED_VALUE"""),50000.0)</f>
        <v>50000</v>
      </c>
      <c r="K3872" s="57">
        <f>IFERROR(__xludf.DUMMYFUNCTION("""COMPUTED_VALUE"""),45769.0)</f>
        <v>45769</v>
      </c>
      <c r="L3872" s="6" t="str">
        <f>IFERROR(__xludf.DUMMYFUNCTION("""COMPUTED_VALUE"""),"FIP Engineering")</f>
        <v>FIP Engineering</v>
      </c>
      <c r="M3872" s="6" t="str">
        <f>IFERROR(__xludf.DUMMYFUNCTION("""COMPUTED_VALUE"""),"Mochammad Fadhillah Hakim,")</f>
        <v>Mochammad Fadhillah Hakim,</v>
      </c>
      <c r="N3872" s="6" t="str">
        <f>IFERROR(__xludf.DUMMYFUNCTION("""COMPUTED_VALUE"""),"FIP Engineering")</f>
        <v>FIP Engineering</v>
      </c>
      <c r="O3872" s="6" t="str">
        <f>IFERROR(__xludf.DUMMYFUNCTION("""COMPUTED_VALUE"""),"FIP-DOM-000-11304-OS00001-INA-000000")</f>
        <v>FIP-DOM-000-11304-OS00001-INA-000000</v>
      </c>
      <c r="P3872" s="6" t="str">
        <f>IFERROR(__xludf.DUMMYFUNCTION("""COMPUTED_VALUE"""),"PO Closed")</f>
        <v>PO Closed</v>
      </c>
      <c r="Q3872" s="6" t="str">
        <f>IFERROR(__xludf.DUMMYFUNCTION("""COMPUTED_VALUE"""),"GL2504357")</f>
        <v>GL2504357</v>
      </c>
      <c r="R3872" s="57">
        <f>IFERROR(__xludf.DUMMYFUNCTION("""COMPUTED_VALUE"""),45738.0)</f>
        <v>45738</v>
      </c>
      <c r="S3872" s="57">
        <f>IFERROR(__xludf.DUMMYFUNCTION("""COMPUTED_VALUE"""),45741.0)</f>
        <v>45741</v>
      </c>
      <c r="T3872" s="57">
        <f>IFERROR(__xludf.DUMMYFUNCTION("""COMPUTED_VALUE"""),45769.0)</f>
        <v>45769</v>
      </c>
    </row>
    <row r="3873">
      <c r="A3873" s="6" t="str">
        <f>IFERROR(__xludf.DUMMYFUNCTION("""COMPUTED_VALUE"""),"121702561-3")</f>
        <v>121702561-3</v>
      </c>
      <c r="B3873" s="6" t="str">
        <f>IFERROR(__xludf.DUMMYFUNCTION("""COMPUTED_VALUE"""),"121702561 - APPROVED")</f>
        <v>121702561 - APPROVED</v>
      </c>
      <c r="C3873" s="6">
        <f>IFERROR(__xludf.DUMMYFUNCTION("""COMPUTED_VALUE"""),3.0)</f>
        <v>3</v>
      </c>
      <c r="D3873" s="6" t="str">
        <f>IFERROR(__xludf.DUMMYFUNCTION("""COMPUTED_VALUE"""),"P-17223-00")</f>
        <v>P-17223-00</v>
      </c>
      <c r="E3873" s="6" t="str">
        <f>IFERROR(__xludf.DUMMYFUNCTION("""COMPUTED_VALUE"""),"Shock Pipa PVC 1 1/2""; RUCIKA; ; pcs")</f>
        <v>Shock Pipa PVC 1 1/2"; RUCIKA; ; pcs</v>
      </c>
      <c r="F3873" s="6">
        <f>IFERROR(__xludf.DUMMYFUNCTION("""COMPUTED_VALUE"""),4.0)</f>
        <v>4</v>
      </c>
      <c r="G3873" s="6" t="str">
        <f>IFERROR(__xludf.DUMMYFUNCTION("""COMPUTED_VALUE"""),"Pieces")</f>
        <v>Pieces</v>
      </c>
      <c r="H3873" s="6" t="str">
        <f>IFERROR(__xludf.DUMMYFUNCTION("""COMPUTED_VALUE"""),"IDR")</f>
        <v>IDR</v>
      </c>
      <c r="I3873" s="6">
        <f>IFERROR(__xludf.DUMMYFUNCTION("""COMPUTED_VALUE"""),4000.0)</f>
        <v>4000</v>
      </c>
      <c r="J3873" s="6">
        <f>IFERROR(__xludf.DUMMYFUNCTION("""COMPUTED_VALUE"""),16000.0)</f>
        <v>16000</v>
      </c>
      <c r="K3873" s="57">
        <f>IFERROR(__xludf.DUMMYFUNCTION("""COMPUTED_VALUE"""),45769.0)</f>
        <v>45769</v>
      </c>
      <c r="L3873" s="6" t="str">
        <f>IFERROR(__xludf.DUMMYFUNCTION("""COMPUTED_VALUE"""),"FIP Engineering")</f>
        <v>FIP Engineering</v>
      </c>
      <c r="M3873" s="6" t="str">
        <f>IFERROR(__xludf.DUMMYFUNCTION("""COMPUTED_VALUE"""),"Mochammad Fadhillah Hakim,")</f>
        <v>Mochammad Fadhillah Hakim,</v>
      </c>
      <c r="N3873" s="6" t="str">
        <f>IFERROR(__xludf.DUMMYFUNCTION("""COMPUTED_VALUE"""),"FIP Engineering")</f>
        <v>FIP Engineering</v>
      </c>
      <c r="O3873" s="6" t="str">
        <f>IFERROR(__xludf.DUMMYFUNCTION("""COMPUTED_VALUE"""),"FIP-DOM-000-11304-OS00001-INA-000000")</f>
        <v>FIP-DOM-000-11304-OS00001-INA-000000</v>
      </c>
      <c r="P3873" s="6" t="str">
        <f>IFERROR(__xludf.DUMMYFUNCTION("""COMPUTED_VALUE"""),"PO Closed")</f>
        <v>PO Closed</v>
      </c>
      <c r="Q3873" s="6" t="str">
        <f>IFERROR(__xludf.DUMMYFUNCTION("""COMPUTED_VALUE"""),"GL2504357")</f>
        <v>GL2504357</v>
      </c>
      <c r="R3873" s="57">
        <f>IFERROR(__xludf.DUMMYFUNCTION("""COMPUTED_VALUE"""),45738.0)</f>
        <v>45738</v>
      </c>
      <c r="S3873" s="57">
        <f>IFERROR(__xludf.DUMMYFUNCTION("""COMPUTED_VALUE"""),45741.0)</f>
        <v>45741</v>
      </c>
      <c r="T3873" s="57">
        <f>IFERROR(__xludf.DUMMYFUNCTION("""COMPUTED_VALUE"""),45769.0)</f>
        <v>45769</v>
      </c>
    </row>
    <row r="3874">
      <c r="A3874" s="6" t="str">
        <f>IFERROR(__xludf.DUMMYFUNCTION("""COMPUTED_VALUE"""),"121702561-4")</f>
        <v>121702561-4</v>
      </c>
      <c r="B3874" s="6" t="str">
        <f>IFERROR(__xludf.DUMMYFUNCTION("""COMPUTED_VALUE"""),"121702561 - APPROVED")</f>
        <v>121702561 - APPROVED</v>
      </c>
      <c r="C3874" s="6">
        <f>IFERROR(__xludf.DUMMYFUNCTION("""COMPUTED_VALUE"""),4.0)</f>
        <v>4</v>
      </c>
      <c r="D3874" s="6" t="str">
        <f>IFERROR(__xludf.DUMMYFUNCTION("""COMPUTED_VALUE"""),"P-19660-00")</f>
        <v>P-19660-00</v>
      </c>
      <c r="E3874" s="6" t="str">
        <f>IFERROR(__xludf.DUMMYFUNCTION("""COMPUTED_VALUE"""),"Fitting PVC - Tee PVC 2.5 Inch; Rucika; -; 1 pc")</f>
        <v>Fitting PVC - Tee PVC 2.5 Inch; Rucika; -; 1 pc</v>
      </c>
      <c r="F3874" s="6">
        <f>IFERROR(__xludf.DUMMYFUNCTION("""COMPUTED_VALUE"""),4.0)</f>
        <v>4</v>
      </c>
      <c r="G3874" s="6" t="str">
        <f>IFERROR(__xludf.DUMMYFUNCTION("""COMPUTED_VALUE"""),"Pieces")</f>
        <v>Pieces</v>
      </c>
      <c r="H3874" s="6" t="str">
        <f>IFERROR(__xludf.DUMMYFUNCTION("""COMPUTED_VALUE"""),"IDR")</f>
        <v>IDR</v>
      </c>
      <c r="I3874" s="6">
        <f>IFERROR(__xludf.DUMMYFUNCTION("""COMPUTED_VALUE"""),45000.0)</f>
        <v>45000</v>
      </c>
      <c r="J3874" s="6">
        <f>IFERROR(__xludf.DUMMYFUNCTION("""COMPUTED_VALUE"""),180000.0)</f>
        <v>180000</v>
      </c>
      <c r="K3874" s="57">
        <f>IFERROR(__xludf.DUMMYFUNCTION("""COMPUTED_VALUE"""),45769.0)</f>
        <v>45769</v>
      </c>
      <c r="L3874" s="6" t="str">
        <f>IFERROR(__xludf.DUMMYFUNCTION("""COMPUTED_VALUE"""),"FIP Engineering")</f>
        <v>FIP Engineering</v>
      </c>
      <c r="M3874" s="6" t="str">
        <f>IFERROR(__xludf.DUMMYFUNCTION("""COMPUTED_VALUE"""),"Mochammad Fadhillah Hakim,")</f>
        <v>Mochammad Fadhillah Hakim,</v>
      </c>
      <c r="N3874" s="6" t="str">
        <f>IFERROR(__xludf.DUMMYFUNCTION("""COMPUTED_VALUE"""),"FIP Engineering")</f>
        <v>FIP Engineering</v>
      </c>
      <c r="O3874" s="6" t="str">
        <f>IFERROR(__xludf.DUMMYFUNCTION("""COMPUTED_VALUE"""),"FIP-DOM-000-11304-OS00001-INA-000000")</f>
        <v>FIP-DOM-000-11304-OS00001-INA-000000</v>
      </c>
      <c r="P3874" s="6" t="str">
        <f>IFERROR(__xludf.DUMMYFUNCTION("""COMPUTED_VALUE"""),"PO Closed")</f>
        <v>PO Closed</v>
      </c>
      <c r="Q3874" s="6" t="str">
        <f>IFERROR(__xludf.DUMMYFUNCTION("""COMPUTED_VALUE"""),"GL2504357")</f>
        <v>GL2504357</v>
      </c>
      <c r="R3874" s="57">
        <f>IFERROR(__xludf.DUMMYFUNCTION("""COMPUTED_VALUE"""),45738.0)</f>
        <v>45738</v>
      </c>
      <c r="S3874" s="57">
        <f>IFERROR(__xludf.DUMMYFUNCTION("""COMPUTED_VALUE"""),45741.0)</f>
        <v>45741</v>
      </c>
      <c r="T3874" s="57">
        <f>IFERROR(__xludf.DUMMYFUNCTION("""COMPUTED_VALUE"""),45769.0)</f>
        <v>45769</v>
      </c>
    </row>
    <row r="3875">
      <c r="A3875" s="6" t="str">
        <f>IFERROR(__xludf.DUMMYFUNCTION("""COMPUTED_VALUE"""),"121702562-1")</f>
        <v>121702562-1</v>
      </c>
      <c r="B3875" s="6" t="str">
        <f>IFERROR(__xludf.DUMMYFUNCTION("""COMPUTED_VALUE"""),"121702562 - APPROVED")</f>
        <v>121702562 - APPROVED</v>
      </c>
      <c r="C3875" s="6">
        <f>IFERROR(__xludf.DUMMYFUNCTION("""COMPUTED_VALUE"""),1.0)</f>
        <v>1</v>
      </c>
      <c r="D3875" s="6" t="str">
        <f>IFERROR(__xludf.DUMMYFUNCTION("""COMPUTED_VALUE"""),"Q-70159-00")</f>
        <v>Q-70159-00</v>
      </c>
      <c r="E3875" s="6" t="str">
        <f>IFERROR(__xludf.DUMMYFUNCTION("""COMPUTED_VALUE"""),"Buckle CB5 Galvanized Steel 16mm; Lokal; ; pcs")</f>
        <v>Buckle CB5 Galvanized Steel 16mm; Lokal; ; pcs</v>
      </c>
      <c r="F3875" s="6">
        <f>IFERROR(__xludf.DUMMYFUNCTION("""COMPUTED_VALUE"""),312.0)</f>
        <v>312</v>
      </c>
      <c r="G3875" s="6" t="str">
        <f>IFERROR(__xludf.DUMMYFUNCTION("""COMPUTED_VALUE"""),"Pieces")</f>
        <v>Pieces</v>
      </c>
      <c r="H3875" s="6" t="str">
        <f>IFERROR(__xludf.DUMMYFUNCTION("""COMPUTED_VALUE"""),"IDR")</f>
        <v>IDR</v>
      </c>
      <c r="I3875" s="6">
        <f>IFERROR(__xludf.DUMMYFUNCTION("""COMPUTED_VALUE"""),5330.0)</f>
        <v>5330</v>
      </c>
      <c r="J3875" s="6">
        <f>IFERROR(__xludf.DUMMYFUNCTION("""COMPUTED_VALUE"""),1662960.0)</f>
        <v>1662960</v>
      </c>
      <c r="K3875" s="57">
        <f>IFERROR(__xludf.DUMMYFUNCTION("""COMPUTED_VALUE"""),45769.0)</f>
        <v>45769</v>
      </c>
      <c r="L3875" s="6" t="str">
        <f>IFERROR(__xludf.DUMMYFUNCTION("""COMPUTED_VALUE"""),"FIP General")</f>
        <v>FIP General</v>
      </c>
      <c r="M3875" s="6" t="str">
        <f>IFERROR(__xludf.DUMMYFUNCTION("""COMPUTED_VALUE"""),"Mochammad Fadhillah Hakim,")</f>
        <v>Mochammad Fadhillah Hakim,</v>
      </c>
      <c r="N3875" s="6" t="str">
        <f>IFERROR(__xludf.DUMMYFUNCTION("""COMPUTED_VALUE"""),"FIP Engineering")</f>
        <v>FIP Engineering</v>
      </c>
      <c r="O3875" s="6" t="str">
        <f>IFERROR(__xludf.DUMMYFUNCTION("""COMPUTED_VALUE"""),"FIP-DOM-ENG-51404-0000000-INA-000000")</f>
        <v>FIP-DOM-ENG-51404-0000000-INA-000000</v>
      </c>
      <c r="P3875" s="6" t="str">
        <f>IFERROR(__xludf.DUMMYFUNCTION("""COMPUTED_VALUE"""),"PO Closed")</f>
        <v>PO Closed</v>
      </c>
      <c r="Q3875" s="6" t="str">
        <f>IFERROR(__xludf.DUMMYFUNCTION("""COMPUTED_VALUE"""),"GL2504030")</f>
        <v>GL2504030</v>
      </c>
      <c r="R3875" s="57">
        <f>IFERROR(__xludf.DUMMYFUNCTION("""COMPUTED_VALUE"""),45738.0)</f>
        <v>45738</v>
      </c>
      <c r="S3875" s="57">
        <f>IFERROR(__xludf.DUMMYFUNCTION("""COMPUTED_VALUE"""),45741.0)</f>
        <v>45741</v>
      </c>
      <c r="T3875" s="57">
        <f>IFERROR(__xludf.DUMMYFUNCTION("""COMPUTED_VALUE"""),45769.0)</f>
        <v>45769</v>
      </c>
    </row>
    <row r="3876">
      <c r="A3876" s="6" t="str">
        <f>IFERROR(__xludf.DUMMYFUNCTION("""COMPUTED_VALUE"""),"121702562-2")</f>
        <v>121702562-2</v>
      </c>
      <c r="B3876" s="6" t="str">
        <f>IFERROR(__xludf.DUMMYFUNCTION("""COMPUTED_VALUE"""),"121702562 - APPROVED")</f>
        <v>121702562 - APPROVED</v>
      </c>
      <c r="C3876" s="6">
        <f>IFERROR(__xludf.DUMMYFUNCTION("""COMPUTED_VALUE"""),2.0)</f>
        <v>2</v>
      </c>
      <c r="D3876" s="6" t="str">
        <f>IFERROR(__xludf.DUMMYFUNCTION("""COMPUTED_VALUE"""),"Q-70160-00")</f>
        <v>Q-70160-00</v>
      </c>
      <c r="E3876" s="6" t="str">
        <f>IFERROR(__xludf.DUMMYFUNCTION("""COMPUTED_VALUE"""),"Tali Webbing 4mm; Lokal; ; 50 meter/rol")</f>
        <v>Tali Webbing 4mm; Lokal; ; 50 meter/rol</v>
      </c>
      <c r="F3876" s="6">
        <f>IFERROR(__xludf.DUMMYFUNCTION("""COMPUTED_VALUE"""),13.0)</f>
        <v>13</v>
      </c>
      <c r="G3876" s="6" t="str">
        <f>IFERROR(__xludf.DUMMYFUNCTION("""COMPUTED_VALUE"""),"Roll")</f>
        <v>Roll</v>
      </c>
      <c r="H3876" s="6" t="str">
        <f>IFERROR(__xludf.DUMMYFUNCTION("""COMPUTED_VALUE"""),"IDR")</f>
        <v>IDR</v>
      </c>
      <c r="I3876" s="6">
        <f>IFERROR(__xludf.DUMMYFUNCTION("""COMPUTED_VALUE"""),1300000.0)</f>
        <v>1300000</v>
      </c>
      <c r="J3876" s="6">
        <f>IFERROR(__xludf.DUMMYFUNCTION("""COMPUTED_VALUE"""),1.69E7)</f>
        <v>16900000</v>
      </c>
      <c r="K3876" s="57">
        <f>IFERROR(__xludf.DUMMYFUNCTION("""COMPUTED_VALUE"""),45769.0)</f>
        <v>45769</v>
      </c>
      <c r="L3876" s="6" t="str">
        <f>IFERROR(__xludf.DUMMYFUNCTION("""COMPUTED_VALUE"""),"FIP General")</f>
        <v>FIP General</v>
      </c>
      <c r="M3876" s="6" t="str">
        <f>IFERROR(__xludf.DUMMYFUNCTION("""COMPUTED_VALUE"""),"Mochammad Fadhillah Hakim,")</f>
        <v>Mochammad Fadhillah Hakim,</v>
      </c>
      <c r="N3876" s="6" t="str">
        <f>IFERROR(__xludf.DUMMYFUNCTION("""COMPUTED_VALUE"""),"FIP Engineering")</f>
        <v>FIP Engineering</v>
      </c>
      <c r="O3876" s="6" t="str">
        <f>IFERROR(__xludf.DUMMYFUNCTION("""COMPUTED_VALUE"""),"FIP-DOM-ENG-51404-0000000-INA-000000")</f>
        <v>FIP-DOM-ENG-51404-0000000-INA-000000</v>
      </c>
      <c r="P3876" s="6" t="str">
        <f>IFERROR(__xludf.DUMMYFUNCTION("""COMPUTED_VALUE"""),"PO Closed")</f>
        <v>PO Closed</v>
      </c>
      <c r="Q3876" s="6" t="str">
        <f>IFERROR(__xludf.DUMMYFUNCTION("""COMPUTED_VALUE"""),"GL2504030")</f>
        <v>GL2504030</v>
      </c>
      <c r="R3876" s="57">
        <f>IFERROR(__xludf.DUMMYFUNCTION("""COMPUTED_VALUE"""),45738.0)</f>
        <v>45738</v>
      </c>
      <c r="S3876" s="57">
        <f>IFERROR(__xludf.DUMMYFUNCTION("""COMPUTED_VALUE"""),45741.0)</f>
        <v>45741</v>
      </c>
      <c r="T3876" s="57">
        <f>IFERROR(__xludf.DUMMYFUNCTION("""COMPUTED_VALUE"""),45769.0)</f>
        <v>45769</v>
      </c>
    </row>
    <row r="3877">
      <c r="A3877" s="6" t="str">
        <f>IFERROR(__xludf.DUMMYFUNCTION("""COMPUTED_VALUE"""),"121702563-1")</f>
        <v>121702563-1</v>
      </c>
      <c r="B3877" s="6" t="str">
        <f>IFERROR(__xludf.DUMMYFUNCTION("""COMPUTED_VALUE"""),"121702563 - APPROVED")</f>
        <v>121702563 - APPROVED</v>
      </c>
      <c r="C3877" s="6">
        <f>IFERROR(__xludf.DUMMYFUNCTION("""COMPUTED_VALUE"""),1.0)</f>
        <v>1</v>
      </c>
      <c r="D3877" s="6" t="str">
        <f>IFERROR(__xludf.DUMMYFUNCTION("""COMPUTED_VALUE"""),"O-20294-00")</f>
        <v>O-20294-00</v>
      </c>
      <c r="E3877" s="6" t="str">
        <f>IFERROR(__xludf.DUMMYFUNCTION("""COMPUTED_VALUE"""),"Autoclave - Oring 70 x 59 x 5.5 mm Viton Custom/Lokal  -")</f>
        <v>Autoclave - Oring 70 x 59 x 5.5 mm Viton Custom/Lokal  -</v>
      </c>
      <c r="F3877" s="6">
        <f>IFERROR(__xludf.DUMMYFUNCTION("""COMPUTED_VALUE"""),5.0)</f>
        <v>5</v>
      </c>
      <c r="G3877" s="6" t="str">
        <f>IFERROR(__xludf.DUMMYFUNCTION("""COMPUTED_VALUE"""),"Pieces")</f>
        <v>Pieces</v>
      </c>
      <c r="H3877" s="6" t="str">
        <f>IFERROR(__xludf.DUMMYFUNCTION("""COMPUTED_VALUE"""),"IDR")</f>
        <v>IDR</v>
      </c>
      <c r="I3877" s="6">
        <f>IFERROR(__xludf.DUMMYFUNCTION("""COMPUTED_VALUE"""),75000.0)</f>
        <v>75000</v>
      </c>
      <c r="J3877" s="6">
        <f>IFERROR(__xludf.DUMMYFUNCTION("""COMPUTED_VALUE"""),375000.0)</f>
        <v>375000</v>
      </c>
      <c r="K3877" s="57">
        <f>IFERROR(__xludf.DUMMYFUNCTION("""COMPUTED_VALUE"""),45769.0)</f>
        <v>45769</v>
      </c>
      <c r="L3877" s="6" t="str">
        <f>IFERROR(__xludf.DUMMYFUNCTION("""COMPUTED_VALUE"""),"FIP Engineering")</f>
        <v>FIP Engineering</v>
      </c>
      <c r="M3877" s="6" t="str">
        <f>IFERROR(__xludf.DUMMYFUNCTION("""COMPUTED_VALUE"""),"Mochammad Fadhillah Hakim,")</f>
        <v>Mochammad Fadhillah Hakim,</v>
      </c>
      <c r="N3877" s="6" t="str">
        <f>IFERROR(__xludf.DUMMYFUNCTION("""COMPUTED_VALUE"""),"FIP Engineering")</f>
        <v>FIP Engineering</v>
      </c>
      <c r="O3877" s="6" t="str">
        <f>IFERROR(__xludf.DUMMYFUNCTION("""COMPUTED_VALUE"""),"FIP-DOM-000-11304-OS00001-INA-000000")</f>
        <v>FIP-DOM-000-11304-OS00001-INA-000000</v>
      </c>
      <c r="P3877" s="6" t="str">
        <f>IFERROR(__xludf.DUMMYFUNCTION("""COMPUTED_VALUE"""),"PO Closed")</f>
        <v>PO Closed</v>
      </c>
      <c r="Q3877" s="6" t="str">
        <f>IFERROR(__xludf.DUMMYFUNCTION("""COMPUTED_VALUE"""),"GL2504021")</f>
        <v>GL2504021</v>
      </c>
      <c r="R3877" s="57">
        <f>IFERROR(__xludf.DUMMYFUNCTION("""COMPUTED_VALUE"""),45738.0)</f>
        <v>45738</v>
      </c>
      <c r="S3877" s="57">
        <f>IFERROR(__xludf.DUMMYFUNCTION("""COMPUTED_VALUE"""),45741.0)</f>
        <v>45741</v>
      </c>
      <c r="T3877" s="57">
        <f>IFERROR(__xludf.DUMMYFUNCTION("""COMPUTED_VALUE"""),45799.0)</f>
        <v>45799</v>
      </c>
    </row>
    <row r="3878">
      <c r="A3878" s="6" t="str">
        <f>IFERROR(__xludf.DUMMYFUNCTION("""COMPUTED_VALUE"""),"121702565-1")</f>
        <v>121702565-1</v>
      </c>
      <c r="B3878" s="6" t="str">
        <f>IFERROR(__xludf.DUMMYFUNCTION("""COMPUTED_VALUE"""),"121702565 - APPROVED")</f>
        <v>121702565 - APPROVED</v>
      </c>
      <c r="C3878" s="6">
        <f>IFERROR(__xludf.DUMMYFUNCTION("""COMPUTED_VALUE"""),1.0)</f>
        <v>1</v>
      </c>
      <c r="D3878" s="6" t="str">
        <f>IFERROR(__xludf.DUMMYFUNCTION("""COMPUTED_VALUE"""),"S-60002-00")</f>
        <v>S-60002-00</v>
      </c>
      <c r="E3878" s="6" t="str">
        <f>IFERROR(__xludf.DUMMYFUNCTION("""COMPUTED_VALUE"""),"Jasa Perbaikan dan Pemeliharaan Mesin Utility - Rewinding Exhaust")</f>
        <v>Jasa Perbaikan dan Pemeliharaan Mesin Utility - Rewinding Exhaust</v>
      </c>
      <c r="F3878" s="6">
        <f>IFERROR(__xludf.DUMMYFUNCTION("""COMPUTED_VALUE"""),1.0)</f>
        <v>1</v>
      </c>
      <c r="G3878" s="6" t="str">
        <f>IFERROR(__xludf.DUMMYFUNCTION("""COMPUTED_VALUE"""),"Lot")</f>
        <v>Lot</v>
      </c>
      <c r="H3878" s="6" t="str">
        <f>IFERROR(__xludf.DUMMYFUNCTION("""COMPUTED_VALUE"""),"IDR")</f>
        <v>IDR</v>
      </c>
      <c r="I3878" s="6">
        <f>IFERROR(__xludf.DUMMYFUNCTION("""COMPUTED_VALUE"""),590000.0)</f>
        <v>590000</v>
      </c>
      <c r="J3878" s="6">
        <f>IFERROR(__xludf.DUMMYFUNCTION("""COMPUTED_VALUE"""),590000.0)</f>
        <v>590000</v>
      </c>
      <c r="K3878" s="57">
        <f>IFERROR(__xludf.DUMMYFUNCTION("""COMPUTED_VALUE"""),45769.0)</f>
        <v>45769</v>
      </c>
      <c r="L3878" s="6" t="str">
        <f>IFERROR(__xludf.DUMMYFUNCTION("""COMPUTED_VALUE"""),"FIP General")</f>
        <v>FIP General</v>
      </c>
      <c r="M3878" s="6" t="str">
        <f>IFERROR(__xludf.DUMMYFUNCTION("""COMPUTED_VALUE"""),"Mochammad Fadhillah Hakim,")</f>
        <v>Mochammad Fadhillah Hakim,</v>
      </c>
      <c r="N3878" s="6" t="str">
        <f>IFERROR(__xludf.DUMMYFUNCTION("""COMPUTED_VALUE"""),"FIP Engineering")</f>
        <v>FIP Engineering</v>
      </c>
      <c r="O3878" s="6" t="str">
        <f>IFERROR(__xludf.DUMMYFUNCTION("""COMPUTED_VALUE"""),"FIP-DOM-ENG-51508-0000000-INA-000000")</f>
        <v>FIP-DOM-ENG-51508-0000000-INA-000000</v>
      </c>
      <c r="P3878" s="6" t="str">
        <f>IFERROR(__xludf.DUMMYFUNCTION("""COMPUTED_VALUE"""),"PO Closed")</f>
        <v>PO Closed</v>
      </c>
      <c r="Q3878" s="6" t="str">
        <f>IFERROR(__xludf.DUMMYFUNCTION("""COMPUTED_VALUE"""),"GL2504016")</f>
        <v>GL2504016</v>
      </c>
      <c r="R3878" s="57">
        <f>IFERROR(__xludf.DUMMYFUNCTION("""COMPUTED_VALUE"""),45738.0)</f>
        <v>45738</v>
      </c>
      <c r="S3878" s="57">
        <f>IFERROR(__xludf.DUMMYFUNCTION("""COMPUTED_VALUE"""),45741.0)</f>
        <v>45741</v>
      </c>
      <c r="T3878" s="57">
        <f>IFERROR(__xludf.DUMMYFUNCTION("""COMPUTED_VALUE"""),45793.0)</f>
        <v>45793</v>
      </c>
    </row>
    <row r="3879">
      <c r="A3879" s="6" t="str">
        <f>IFERROR(__xludf.DUMMYFUNCTION("""COMPUTED_VALUE"""),"121702566-1")</f>
        <v>121702566-1</v>
      </c>
      <c r="B3879" s="6" t="str">
        <f>IFERROR(__xludf.DUMMYFUNCTION("""COMPUTED_VALUE"""),"121702566 - APPROVED")</f>
        <v>121702566 - APPROVED</v>
      </c>
      <c r="C3879" s="6">
        <f>IFERROR(__xludf.DUMMYFUNCTION("""COMPUTED_VALUE"""),1.0)</f>
        <v>1</v>
      </c>
      <c r="D3879" s="6" t="str">
        <f>IFERROR(__xludf.DUMMYFUNCTION("""COMPUTED_VALUE"""),"P-11404-00")</f>
        <v>P-11404-00</v>
      </c>
      <c r="E3879" s="6" t="str">
        <f>IFERROR(__xludf.DUMMYFUNCTION("""COMPUTED_VALUE"""),"Seal Ferrule Teflon 1 1/2""")</f>
        <v>Seal Ferrule Teflon 1 1/2"</v>
      </c>
      <c r="F3879" s="6">
        <f>IFERROR(__xludf.DUMMYFUNCTION("""COMPUTED_VALUE"""),5.0)</f>
        <v>5</v>
      </c>
      <c r="G3879" s="6" t="str">
        <f>IFERROR(__xludf.DUMMYFUNCTION("""COMPUTED_VALUE"""),"Pieces")</f>
        <v>Pieces</v>
      </c>
      <c r="H3879" s="6" t="str">
        <f>IFERROR(__xludf.DUMMYFUNCTION("""COMPUTED_VALUE"""),"IDR")</f>
        <v>IDR</v>
      </c>
      <c r="I3879" s="6">
        <f>IFERROR(__xludf.DUMMYFUNCTION("""COMPUTED_VALUE"""),75000.0)</f>
        <v>75000</v>
      </c>
      <c r="J3879" s="6">
        <f>IFERROR(__xludf.DUMMYFUNCTION("""COMPUTED_VALUE"""),375000.0)</f>
        <v>375000</v>
      </c>
      <c r="K3879" s="57">
        <f>IFERROR(__xludf.DUMMYFUNCTION("""COMPUTED_VALUE"""),45769.0)</f>
        <v>45769</v>
      </c>
      <c r="L3879" s="6" t="str">
        <f>IFERROR(__xludf.DUMMYFUNCTION("""COMPUTED_VALUE"""),"FIP Engineering")</f>
        <v>FIP Engineering</v>
      </c>
      <c r="M3879" s="6" t="str">
        <f>IFERROR(__xludf.DUMMYFUNCTION("""COMPUTED_VALUE"""),"Mochammad Fadhillah Hakim,")</f>
        <v>Mochammad Fadhillah Hakim,</v>
      </c>
      <c r="N3879" s="6" t="str">
        <f>IFERROR(__xludf.DUMMYFUNCTION("""COMPUTED_VALUE"""),"FIP Engineering")</f>
        <v>FIP Engineering</v>
      </c>
      <c r="O3879" s="6" t="str">
        <f>IFERROR(__xludf.DUMMYFUNCTION("""COMPUTED_VALUE"""),"FIP-DOM-000-11304-OS00001-INA-000000")</f>
        <v>FIP-DOM-000-11304-OS00001-INA-000000</v>
      </c>
      <c r="P3879" s="6" t="str">
        <f>IFERROR(__xludf.DUMMYFUNCTION("""COMPUTED_VALUE"""),"PO Closed")</f>
        <v>PO Closed</v>
      </c>
      <c r="Q3879" s="6" t="str">
        <f>IFERROR(__xludf.DUMMYFUNCTION("""COMPUTED_VALUE"""),"GL2504360")</f>
        <v>GL2504360</v>
      </c>
      <c r="R3879" s="57">
        <f>IFERROR(__xludf.DUMMYFUNCTION("""COMPUTED_VALUE"""),45738.0)</f>
        <v>45738</v>
      </c>
      <c r="S3879" s="57">
        <f>IFERROR(__xludf.DUMMYFUNCTION("""COMPUTED_VALUE"""),45741.0)</f>
        <v>45741</v>
      </c>
      <c r="T3879" s="57">
        <f>IFERROR(__xludf.DUMMYFUNCTION("""COMPUTED_VALUE"""),45771.0)</f>
        <v>45771</v>
      </c>
    </row>
    <row r="3880">
      <c r="A3880" s="6" t="str">
        <f>IFERROR(__xludf.DUMMYFUNCTION("""COMPUTED_VALUE"""),"121702566-2")</f>
        <v>121702566-2</v>
      </c>
      <c r="B3880" s="6" t="str">
        <f>IFERROR(__xludf.DUMMYFUNCTION("""COMPUTED_VALUE"""),"121702566 - APPROVED")</f>
        <v>121702566 - APPROVED</v>
      </c>
      <c r="C3880" s="6">
        <f>IFERROR(__xludf.DUMMYFUNCTION("""COMPUTED_VALUE"""),2.0)</f>
        <v>2</v>
      </c>
      <c r="D3880" s="6" t="str">
        <f>IFERROR(__xludf.DUMMYFUNCTION("""COMPUTED_VALUE"""),"P-11405-00")</f>
        <v>P-11405-00</v>
      </c>
      <c r="E3880" s="6" t="str">
        <f>IFERROR(__xludf.DUMMYFUNCTION("""COMPUTED_VALUE"""),"Seal Ferrule Teflon 1""")</f>
        <v>Seal Ferrule Teflon 1"</v>
      </c>
      <c r="F3880" s="6">
        <f>IFERROR(__xludf.DUMMYFUNCTION("""COMPUTED_VALUE"""),5.0)</f>
        <v>5</v>
      </c>
      <c r="G3880" s="6" t="str">
        <f>IFERROR(__xludf.DUMMYFUNCTION("""COMPUTED_VALUE"""),"Pieces")</f>
        <v>Pieces</v>
      </c>
      <c r="H3880" s="6" t="str">
        <f>IFERROR(__xludf.DUMMYFUNCTION("""COMPUTED_VALUE"""),"IDR")</f>
        <v>IDR</v>
      </c>
      <c r="I3880" s="6">
        <f>IFERROR(__xludf.DUMMYFUNCTION("""COMPUTED_VALUE"""),36850.0)</f>
        <v>36850</v>
      </c>
      <c r="J3880" s="6">
        <f>IFERROR(__xludf.DUMMYFUNCTION("""COMPUTED_VALUE"""),184250.0)</f>
        <v>184250</v>
      </c>
      <c r="K3880" s="57">
        <f>IFERROR(__xludf.DUMMYFUNCTION("""COMPUTED_VALUE"""),45740.0)</f>
        <v>45740</v>
      </c>
      <c r="L3880" s="6" t="str">
        <f>IFERROR(__xludf.DUMMYFUNCTION("""COMPUTED_VALUE"""),"FIP Engineering")</f>
        <v>FIP Engineering</v>
      </c>
      <c r="M3880" s="6" t="str">
        <f>IFERROR(__xludf.DUMMYFUNCTION("""COMPUTED_VALUE"""),"Mochammad Fadhillah Hakim,")</f>
        <v>Mochammad Fadhillah Hakim,</v>
      </c>
      <c r="N3880" s="6" t="str">
        <f>IFERROR(__xludf.DUMMYFUNCTION("""COMPUTED_VALUE"""),"FIP Engineering")</f>
        <v>FIP Engineering</v>
      </c>
      <c r="O3880" s="6" t="str">
        <f>IFERROR(__xludf.DUMMYFUNCTION("""COMPUTED_VALUE"""),"FIP-DOM-000-11304-OS00001-INA-000000")</f>
        <v>FIP-DOM-000-11304-OS00001-INA-000000</v>
      </c>
      <c r="P3880" s="6" t="str">
        <f>IFERROR(__xludf.DUMMYFUNCTION("""COMPUTED_VALUE"""),"PO Closed")</f>
        <v>PO Closed</v>
      </c>
      <c r="Q3880" s="6" t="str">
        <f>IFERROR(__xludf.DUMMYFUNCTION("""COMPUTED_VALUE"""),"GL2504360")</f>
        <v>GL2504360</v>
      </c>
      <c r="R3880" s="57">
        <f>IFERROR(__xludf.DUMMYFUNCTION("""COMPUTED_VALUE"""),45738.0)</f>
        <v>45738</v>
      </c>
      <c r="S3880" s="57">
        <f>IFERROR(__xludf.DUMMYFUNCTION("""COMPUTED_VALUE"""),45741.0)</f>
        <v>45741</v>
      </c>
      <c r="T3880" s="57">
        <f>IFERROR(__xludf.DUMMYFUNCTION("""COMPUTED_VALUE"""),45740.0)</f>
        <v>45740</v>
      </c>
    </row>
    <row r="3881">
      <c r="A3881" s="6" t="str">
        <f>IFERROR(__xludf.DUMMYFUNCTION("""COMPUTED_VALUE"""),"121702566-3")</f>
        <v>121702566-3</v>
      </c>
      <c r="B3881" s="6" t="str">
        <f>IFERROR(__xludf.DUMMYFUNCTION("""COMPUTED_VALUE"""),"121702566 - APPROVED")</f>
        <v>121702566 - APPROVED</v>
      </c>
      <c r="C3881" s="6">
        <f>IFERROR(__xludf.DUMMYFUNCTION("""COMPUTED_VALUE"""),3.0)</f>
        <v>3</v>
      </c>
      <c r="D3881" s="6" t="str">
        <f>IFERROR(__xludf.DUMMYFUNCTION("""COMPUTED_VALUE"""),"P-14980-00")</f>
        <v>P-14980-00</v>
      </c>
      <c r="E3881" s="6" t="str">
        <f>IFERROR(__xludf.DUMMYFUNCTION("""COMPUTED_VALUE"""),"Seal Ferrule Teflon 3/4 inch; ; ;")</f>
        <v>Seal Ferrule Teflon 3/4 inch; ; ;</v>
      </c>
      <c r="F3881" s="6">
        <f>IFERROR(__xludf.DUMMYFUNCTION("""COMPUTED_VALUE"""),10.0)</f>
        <v>10</v>
      </c>
      <c r="G3881" s="6" t="str">
        <f>IFERROR(__xludf.DUMMYFUNCTION("""COMPUTED_VALUE"""),"Pieces")</f>
        <v>Pieces</v>
      </c>
      <c r="H3881" s="6" t="str">
        <f>IFERROR(__xludf.DUMMYFUNCTION("""COMPUTED_VALUE"""),"IDR")</f>
        <v>IDR</v>
      </c>
      <c r="I3881" s="6">
        <f>IFERROR(__xludf.DUMMYFUNCTION("""COMPUTED_VALUE"""),30000.0)</f>
        <v>30000</v>
      </c>
      <c r="J3881" s="6">
        <f>IFERROR(__xludf.DUMMYFUNCTION("""COMPUTED_VALUE"""),300000.0)</f>
        <v>300000</v>
      </c>
      <c r="K3881" s="57">
        <f>IFERROR(__xludf.DUMMYFUNCTION("""COMPUTED_VALUE"""),45740.0)</f>
        <v>45740</v>
      </c>
      <c r="L3881" s="6" t="str">
        <f>IFERROR(__xludf.DUMMYFUNCTION("""COMPUTED_VALUE"""),"FIP Engineering")</f>
        <v>FIP Engineering</v>
      </c>
      <c r="M3881" s="6" t="str">
        <f>IFERROR(__xludf.DUMMYFUNCTION("""COMPUTED_VALUE"""),"Mochammad Fadhillah Hakim,")</f>
        <v>Mochammad Fadhillah Hakim,</v>
      </c>
      <c r="N3881" s="6" t="str">
        <f>IFERROR(__xludf.DUMMYFUNCTION("""COMPUTED_VALUE"""),"FIP Engineering")</f>
        <v>FIP Engineering</v>
      </c>
      <c r="O3881" s="6" t="str">
        <f>IFERROR(__xludf.DUMMYFUNCTION("""COMPUTED_VALUE"""),"FIP-DOM-000-11304-OS00001-INA-000000")</f>
        <v>FIP-DOM-000-11304-OS00001-INA-000000</v>
      </c>
      <c r="P3881" s="6" t="str">
        <f>IFERROR(__xludf.DUMMYFUNCTION("""COMPUTED_VALUE"""),"PO Closed")</f>
        <v>PO Closed</v>
      </c>
      <c r="Q3881" s="6" t="str">
        <f>IFERROR(__xludf.DUMMYFUNCTION("""COMPUTED_VALUE"""),"GL2504360")</f>
        <v>GL2504360</v>
      </c>
      <c r="R3881" s="57">
        <f>IFERROR(__xludf.DUMMYFUNCTION("""COMPUTED_VALUE"""),45738.0)</f>
        <v>45738</v>
      </c>
      <c r="S3881" s="57">
        <f>IFERROR(__xludf.DUMMYFUNCTION("""COMPUTED_VALUE"""),45741.0)</f>
        <v>45741</v>
      </c>
      <c r="T3881" s="57">
        <f>IFERROR(__xludf.DUMMYFUNCTION("""COMPUTED_VALUE"""),45740.0)</f>
        <v>45740</v>
      </c>
    </row>
    <row r="3882">
      <c r="A3882" s="6" t="str">
        <f>IFERROR(__xludf.DUMMYFUNCTION("""COMPUTED_VALUE"""),"121702567-1")</f>
        <v>121702567-1</v>
      </c>
      <c r="B3882" s="6" t="str">
        <f>IFERROR(__xludf.DUMMYFUNCTION("""COMPUTED_VALUE"""),"121702567 - APPROVED")</f>
        <v>121702567 - APPROVED</v>
      </c>
      <c r="C3882" s="6">
        <f>IFERROR(__xludf.DUMMYFUNCTION("""COMPUTED_VALUE"""),1.0)</f>
        <v>1</v>
      </c>
      <c r="D3882" s="6" t="str">
        <f>IFERROR(__xludf.DUMMYFUNCTION("""COMPUTED_VALUE"""),"P-19542-00")</f>
        <v>P-19542-00</v>
      </c>
      <c r="E3882" s="6" t="str">
        <f>IFERROR(__xludf.DUMMYFUNCTION("""COMPUTED_VALUE"""),"General - Regulator Gas Helium, 96-15M-He; Morris; -; 1 pc")</f>
        <v>General - Regulator Gas Helium, 96-15M-He; Morris; -; 1 pc</v>
      </c>
      <c r="F3882" s="6">
        <f>IFERROR(__xludf.DUMMYFUNCTION("""COMPUTED_VALUE"""),1.0)</f>
        <v>1</v>
      </c>
      <c r="G3882" s="6" t="str">
        <f>IFERROR(__xludf.DUMMYFUNCTION("""COMPUTED_VALUE"""),"Pieces")</f>
        <v>Pieces</v>
      </c>
      <c r="H3882" s="6" t="str">
        <f>IFERROR(__xludf.DUMMYFUNCTION("""COMPUTED_VALUE"""),"IDR")</f>
        <v>IDR</v>
      </c>
      <c r="I3882" s="6">
        <f>IFERROR(__xludf.DUMMYFUNCTION("""COMPUTED_VALUE"""),1920000.0)</f>
        <v>1920000</v>
      </c>
      <c r="J3882" s="6">
        <f>IFERROR(__xludf.DUMMYFUNCTION("""COMPUTED_VALUE"""),1920000.0)</f>
        <v>1920000</v>
      </c>
      <c r="K3882" s="57">
        <f>IFERROR(__xludf.DUMMYFUNCTION("""COMPUTED_VALUE"""),45769.0)</f>
        <v>45769</v>
      </c>
      <c r="L3882" s="6" t="str">
        <f>IFERROR(__xludf.DUMMYFUNCTION("""COMPUTED_VALUE"""),"FIP Engineering")</f>
        <v>FIP Engineering</v>
      </c>
      <c r="M3882" s="6" t="str">
        <f>IFERROR(__xludf.DUMMYFUNCTION("""COMPUTED_VALUE"""),"Mochammad Fadhillah Hakim,")</f>
        <v>Mochammad Fadhillah Hakim,</v>
      </c>
      <c r="N3882" s="6" t="str">
        <f>IFERROR(__xludf.DUMMYFUNCTION("""COMPUTED_VALUE"""),"FIP Engineering")</f>
        <v>FIP Engineering</v>
      </c>
      <c r="O3882" s="6" t="str">
        <f>IFERROR(__xludf.DUMMYFUNCTION("""COMPUTED_VALUE"""),"FIP-DOM-000-11304-OS00001-INA-000000")</f>
        <v>FIP-DOM-000-11304-OS00001-INA-000000</v>
      </c>
      <c r="P3882" s="6" t="str">
        <f>IFERROR(__xludf.DUMMYFUNCTION("""COMPUTED_VALUE"""),"PO Closed")</f>
        <v>PO Closed</v>
      </c>
      <c r="Q3882" s="6" t="str">
        <f>IFERROR(__xludf.DUMMYFUNCTION("""COMPUTED_VALUE"""),"GL2504359")</f>
        <v>GL2504359</v>
      </c>
      <c r="R3882" s="57">
        <f>IFERROR(__xludf.DUMMYFUNCTION("""COMPUTED_VALUE"""),45738.0)</f>
        <v>45738</v>
      </c>
      <c r="S3882" s="57">
        <f>IFERROR(__xludf.DUMMYFUNCTION("""COMPUTED_VALUE"""),45741.0)</f>
        <v>45741</v>
      </c>
      <c r="T3882" s="57">
        <f>IFERROR(__xludf.DUMMYFUNCTION("""COMPUTED_VALUE"""),45769.0)</f>
        <v>45769</v>
      </c>
    </row>
    <row r="3883">
      <c r="A3883" s="6" t="str">
        <f>IFERROR(__xludf.DUMMYFUNCTION("""COMPUTED_VALUE"""),"121702567-2")</f>
        <v>121702567-2</v>
      </c>
      <c r="B3883" s="6" t="str">
        <f>IFERROR(__xludf.DUMMYFUNCTION("""COMPUTED_VALUE"""),"121702567 - APPROVED")</f>
        <v>121702567 - APPROVED</v>
      </c>
      <c r="C3883" s="6">
        <f>IFERROR(__xludf.DUMMYFUNCTION("""COMPUTED_VALUE"""),2.0)</f>
        <v>2</v>
      </c>
      <c r="D3883" s="6" t="str">
        <f>IFERROR(__xludf.DUMMYFUNCTION("""COMPUTED_VALUE"""),"P-19623-00")</f>
        <v>P-19623-00</v>
      </c>
      <c r="E3883" s="6" t="str">
        <f>IFERROR(__xludf.DUMMYFUNCTION("""COMPUTED_VALUE"""),"General - Air Gun 10 Inch; Tekiro; -; 1 pc")</f>
        <v>General - Air Gun 10 Inch; Tekiro; -; 1 pc</v>
      </c>
      <c r="F3883" s="6">
        <f>IFERROR(__xludf.DUMMYFUNCTION("""COMPUTED_VALUE"""),1.0)</f>
        <v>1</v>
      </c>
      <c r="G3883" s="6" t="str">
        <f>IFERROR(__xludf.DUMMYFUNCTION("""COMPUTED_VALUE"""),"Pieces")</f>
        <v>Pieces</v>
      </c>
      <c r="H3883" s="6" t="str">
        <f>IFERROR(__xludf.DUMMYFUNCTION("""COMPUTED_VALUE"""),"IDR")</f>
        <v>IDR</v>
      </c>
      <c r="I3883" s="6">
        <f>IFERROR(__xludf.DUMMYFUNCTION("""COMPUTED_VALUE"""),91500.0)</f>
        <v>91500</v>
      </c>
      <c r="J3883" s="6">
        <f>IFERROR(__xludf.DUMMYFUNCTION("""COMPUTED_VALUE"""),91500.0)</f>
        <v>91500</v>
      </c>
      <c r="K3883" s="57">
        <f>IFERROR(__xludf.DUMMYFUNCTION("""COMPUTED_VALUE"""),45769.0)</f>
        <v>45769</v>
      </c>
      <c r="L3883" s="6" t="str">
        <f>IFERROR(__xludf.DUMMYFUNCTION("""COMPUTED_VALUE"""),"FIP Engineering")</f>
        <v>FIP Engineering</v>
      </c>
      <c r="M3883" s="6" t="str">
        <f>IFERROR(__xludf.DUMMYFUNCTION("""COMPUTED_VALUE"""),"Mochammad Fadhillah Hakim,")</f>
        <v>Mochammad Fadhillah Hakim,</v>
      </c>
      <c r="N3883" s="6" t="str">
        <f>IFERROR(__xludf.DUMMYFUNCTION("""COMPUTED_VALUE"""),"FIP Engineering")</f>
        <v>FIP Engineering</v>
      </c>
      <c r="O3883" s="6" t="str">
        <f>IFERROR(__xludf.DUMMYFUNCTION("""COMPUTED_VALUE"""),"FIP-DOM-000-11304-OS00001-INA-000000")</f>
        <v>FIP-DOM-000-11304-OS00001-INA-000000</v>
      </c>
      <c r="P3883" s="6" t="str">
        <f>IFERROR(__xludf.DUMMYFUNCTION("""COMPUTED_VALUE"""),"PO Closed")</f>
        <v>PO Closed</v>
      </c>
      <c r="Q3883" s="6" t="str">
        <f>IFERROR(__xludf.DUMMYFUNCTION("""COMPUTED_VALUE"""),"GL2504359")</f>
        <v>GL2504359</v>
      </c>
      <c r="R3883" s="57">
        <f>IFERROR(__xludf.DUMMYFUNCTION("""COMPUTED_VALUE"""),45738.0)</f>
        <v>45738</v>
      </c>
      <c r="S3883" s="57">
        <f>IFERROR(__xludf.DUMMYFUNCTION("""COMPUTED_VALUE"""),45741.0)</f>
        <v>45741</v>
      </c>
      <c r="T3883" s="57">
        <f>IFERROR(__xludf.DUMMYFUNCTION("""COMPUTED_VALUE"""),45769.0)</f>
        <v>45769</v>
      </c>
    </row>
    <row r="3884">
      <c r="A3884" s="6" t="str">
        <f>IFERROR(__xludf.DUMMYFUNCTION("""COMPUTED_VALUE"""),"121702567-3")</f>
        <v>121702567-3</v>
      </c>
      <c r="B3884" s="6" t="str">
        <f>IFERROR(__xludf.DUMMYFUNCTION("""COMPUTED_VALUE"""),"121702567 - APPROVED")</f>
        <v>121702567 - APPROVED</v>
      </c>
      <c r="C3884" s="6">
        <f>IFERROR(__xludf.DUMMYFUNCTION("""COMPUTED_VALUE"""),3.0)</f>
        <v>3</v>
      </c>
      <c r="D3884" s="6" t="str">
        <f>IFERROR(__xludf.DUMMYFUNCTION("""COMPUTED_VALUE"""),"P-19637-00")</f>
        <v>P-19637-00</v>
      </c>
      <c r="E3884" s="6" t="str">
        <f>IFERROR(__xludf.DUMMYFUNCTION("""COMPUTED_VALUE"""),"General - Recoil Spiral Hose dia. 5 x 8mm x 12 meter; No Brand; -; 1 pc")</f>
        <v>General - Recoil Spiral Hose dia. 5 x 8mm x 12 meter; No Brand; -; 1 pc</v>
      </c>
      <c r="F3884" s="6">
        <f>IFERROR(__xludf.DUMMYFUNCTION("""COMPUTED_VALUE"""),1.0)</f>
        <v>1</v>
      </c>
      <c r="G3884" s="6" t="str">
        <f>IFERROR(__xludf.DUMMYFUNCTION("""COMPUTED_VALUE"""),"Pieces")</f>
        <v>Pieces</v>
      </c>
      <c r="H3884" s="6" t="str">
        <f>IFERROR(__xludf.DUMMYFUNCTION("""COMPUTED_VALUE"""),"IDR")</f>
        <v>IDR</v>
      </c>
      <c r="I3884" s="6">
        <f>IFERROR(__xludf.DUMMYFUNCTION("""COMPUTED_VALUE"""),110500.0)</f>
        <v>110500</v>
      </c>
      <c r="J3884" s="6">
        <f>IFERROR(__xludf.DUMMYFUNCTION("""COMPUTED_VALUE"""),110500.0)</f>
        <v>110500</v>
      </c>
      <c r="K3884" s="57">
        <f>IFERROR(__xludf.DUMMYFUNCTION("""COMPUTED_VALUE"""),45769.0)</f>
        <v>45769</v>
      </c>
      <c r="L3884" s="6" t="str">
        <f>IFERROR(__xludf.DUMMYFUNCTION("""COMPUTED_VALUE"""),"FIP Engineering")</f>
        <v>FIP Engineering</v>
      </c>
      <c r="M3884" s="6" t="str">
        <f>IFERROR(__xludf.DUMMYFUNCTION("""COMPUTED_VALUE"""),"Mochammad Fadhillah Hakim,")</f>
        <v>Mochammad Fadhillah Hakim,</v>
      </c>
      <c r="N3884" s="6" t="str">
        <f>IFERROR(__xludf.DUMMYFUNCTION("""COMPUTED_VALUE"""),"FIP Engineering")</f>
        <v>FIP Engineering</v>
      </c>
      <c r="O3884" s="6" t="str">
        <f>IFERROR(__xludf.DUMMYFUNCTION("""COMPUTED_VALUE"""),"FIP-DOM-000-11304-OS00001-INA-000000")</f>
        <v>FIP-DOM-000-11304-OS00001-INA-000000</v>
      </c>
      <c r="P3884" s="6" t="str">
        <f>IFERROR(__xludf.DUMMYFUNCTION("""COMPUTED_VALUE"""),"PO Closed")</f>
        <v>PO Closed</v>
      </c>
      <c r="Q3884" s="6" t="str">
        <f>IFERROR(__xludf.DUMMYFUNCTION("""COMPUTED_VALUE"""),"GL2504359")</f>
        <v>GL2504359</v>
      </c>
      <c r="R3884" s="57">
        <f>IFERROR(__xludf.DUMMYFUNCTION("""COMPUTED_VALUE"""),45738.0)</f>
        <v>45738</v>
      </c>
      <c r="S3884" s="57">
        <f>IFERROR(__xludf.DUMMYFUNCTION("""COMPUTED_VALUE"""),45741.0)</f>
        <v>45741</v>
      </c>
      <c r="T3884" s="57">
        <f>IFERROR(__xludf.DUMMYFUNCTION("""COMPUTED_VALUE"""),45769.0)</f>
        <v>45769</v>
      </c>
    </row>
    <row r="3885">
      <c r="A3885" s="6" t="str">
        <f>IFERROR(__xludf.DUMMYFUNCTION("""COMPUTED_VALUE"""),"121702567-4")</f>
        <v>121702567-4</v>
      </c>
      <c r="B3885" s="6" t="str">
        <f>IFERROR(__xludf.DUMMYFUNCTION("""COMPUTED_VALUE"""),"121702567 - APPROVED")</f>
        <v>121702567 - APPROVED</v>
      </c>
      <c r="C3885" s="6">
        <f>IFERROR(__xludf.DUMMYFUNCTION("""COMPUTED_VALUE"""),4.0)</f>
        <v>4</v>
      </c>
      <c r="D3885" s="6" t="str">
        <f>IFERROR(__xludf.DUMMYFUNCTION("""COMPUTED_VALUE"""),"P-19638-00")</f>
        <v>P-19638-00</v>
      </c>
      <c r="E3885" s="6" t="str">
        <f>IFERROR(__xludf.DUMMYFUNCTION("""COMPUTED_VALUE"""),"General - Mini Regulator for Spray Gun with Filter; No Brand; -; 1 pc")</f>
        <v>General - Mini Regulator for Spray Gun with Filter; No Brand; -; 1 pc</v>
      </c>
      <c r="F3885" s="6">
        <f>IFERROR(__xludf.DUMMYFUNCTION("""COMPUTED_VALUE"""),1.0)</f>
        <v>1</v>
      </c>
      <c r="G3885" s="6" t="str">
        <f>IFERROR(__xludf.DUMMYFUNCTION("""COMPUTED_VALUE"""),"Pieces")</f>
        <v>Pieces</v>
      </c>
      <c r="H3885" s="6" t="str">
        <f>IFERROR(__xludf.DUMMYFUNCTION("""COMPUTED_VALUE"""),"IDR")</f>
        <v>IDR</v>
      </c>
      <c r="I3885" s="6">
        <f>IFERROR(__xludf.DUMMYFUNCTION("""COMPUTED_VALUE"""),115000.0)</f>
        <v>115000</v>
      </c>
      <c r="J3885" s="6">
        <f>IFERROR(__xludf.DUMMYFUNCTION("""COMPUTED_VALUE"""),115000.0)</f>
        <v>115000</v>
      </c>
      <c r="K3885" s="57">
        <f>IFERROR(__xludf.DUMMYFUNCTION("""COMPUTED_VALUE"""),45769.0)</f>
        <v>45769</v>
      </c>
      <c r="L3885" s="6" t="str">
        <f>IFERROR(__xludf.DUMMYFUNCTION("""COMPUTED_VALUE"""),"FIP Engineering")</f>
        <v>FIP Engineering</v>
      </c>
      <c r="M3885" s="6" t="str">
        <f>IFERROR(__xludf.DUMMYFUNCTION("""COMPUTED_VALUE"""),"Mochammad Fadhillah Hakim,")</f>
        <v>Mochammad Fadhillah Hakim,</v>
      </c>
      <c r="N3885" s="6" t="str">
        <f>IFERROR(__xludf.DUMMYFUNCTION("""COMPUTED_VALUE"""),"FIP Engineering")</f>
        <v>FIP Engineering</v>
      </c>
      <c r="O3885" s="6" t="str">
        <f>IFERROR(__xludf.DUMMYFUNCTION("""COMPUTED_VALUE"""),"FIP-DOM-000-11304-OS00001-INA-000000")</f>
        <v>FIP-DOM-000-11304-OS00001-INA-000000</v>
      </c>
      <c r="P3885" s="6" t="str">
        <f>IFERROR(__xludf.DUMMYFUNCTION("""COMPUTED_VALUE"""),"PO Closed")</f>
        <v>PO Closed</v>
      </c>
      <c r="Q3885" s="6" t="str">
        <f>IFERROR(__xludf.DUMMYFUNCTION("""COMPUTED_VALUE"""),"GL2504359")</f>
        <v>GL2504359</v>
      </c>
      <c r="R3885" s="57">
        <f>IFERROR(__xludf.DUMMYFUNCTION("""COMPUTED_VALUE"""),45738.0)</f>
        <v>45738</v>
      </c>
      <c r="S3885" s="57">
        <f>IFERROR(__xludf.DUMMYFUNCTION("""COMPUTED_VALUE"""),45741.0)</f>
        <v>45741</v>
      </c>
      <c r="T3885" s="57">
        <f>IFERROR(__xludf.DUMMYFUNCTION("""COMPUTED_VALUE"""),45769.0)</f>
        <v>45769</v>
      </c>
    </row>
    <row r="3886">
      <c r="A3886" s="6" t="str">
        <f>IFERROR(__xludf.DUMMYFUNCTION("""COMPUTED_VALUE"""),"121702568-1")</f>
        <v>121702568-1</v>
      </c>
      <c r="B3886" s="6" t="str">
        <f>IFERROR(__xludf.DUMMYFUNCTION("""COMPUTED_VALUE"""),"121702568 - APPROVED")</f>
        <v>121702568 - APPROVED</v>
      </c>
      <c r="C3886" s="6">
        <f>IFERROR(__xludf.DUMMYFUNCTION("""COMPUTED_VALUE"""),1.0)</f>
        <v>1</v>
      </c>
      <c r="D3886" s="6" t="str">
        <f>IFERROR(__xludf.DUMMYFUNCTION("""COMPUTED_VALUE"""),"S-62063-00")</f>
        <v>S-62063-00</v>
      </c>
      <c r="E3886" s="6" t="str">
        <f>IFERROR(__xludf.DUMMYFUNCTION("""COMPUTED_VALUE"""),"General - Helium Gas + Cylinder 1m3; No Brand; -; pcs")</f>
        <v>General - Helium Gas + Cylinder 1m3; No Brand; -; pcs</v>
      </c>
      <c r="F3886" s="6">
        <f>IFERROR(__xludf.DUMMYFUNCTION("""COMPUTED_VALUE"""),1.0)</f>
        <v>1</v>
      </c>
      <c r="G3886" s="6" t="str">
        <f>IFERROR(__xludf.DUMMYFUNCTION("""COMPUTED_VALUE"""),"Pieces")</f>
        <v>Pieces</v>
      </c>
      <c r="H3886" s="6" t="str">
        <f>IFERROR(__xludf.DUMMYFUNCTION("""COMPUTED_VALUE"""),"IDR")</f>
        <v>IDR</v>
      </c>
      <c r="I3886" s="6">
        <f>IFERROR(__xludf.DUMMYFUNCTION("""COMPUTED_VALUE"""),2100000.0)</f>
        <v>2100000</v>
      </c>
      <c r="J3886" s="6">
        <f>IFERROR(__xludf.DUMMYFUNCTION("""COMPUTED_VALUE"""),2100000.0)</f>
        <v>2100000</v>
      </c>
      <c r="K3886" s="57">
        <f>IFERROR(__xludf.DUMMYFUNCTION("""COMPUTED_VALUE"""),45769.0)</f>
        <v>45769</v>
      </c>
      <c r="L3886" s="6" t="str">
        <f>IFERROR(__xludf.DUMMYFUNCTION("""COMPUTED_VALUE"""),"FIP Engineering")</f>
        <v>FIP Engineering</v>
      </c>
      <c r="M3886" s="6" t="str">
        <f>IFERROR(__xludf.DUMMYFUNCTION("""COMPUTED_VALUE"""),"Mochammad Fadhillah Hakim,")</f>
        <v>Mochammad Fadhillah Hakim,</v>
      </c>
      <c r="N3886" s="6" t="str">
        <f>IFERROR(__xludf.DUMMYFUNCTION("""COMPUTED_VALUE"""),"FIP Engineering")</f>
        <v>FIP Engineering</v>
      </c>
      <c r="O3886" s="6" t="str">
        <f>IFERROR(__xludf.DUMMYFUNCTION("""COMPUTED_VALUE"""),"FIP-DOM-000-11304-OS00001-INA-000000")</f>
        <v>FIP-DOM-000-11304-OS00001-INA-000000</v>
      </c>
      <c r="P3886" s="6" t="str">
        <f>IFERROR(__xludf.DUMMYFUNCTION("""COMPUTED_VALUE"""),"PO Closed")</f>
        <v>PO Closed</v>
      </c>
      <c r="Q3886" s="6" t="str">
        <f>IFERROR(__xludf.DUMMYFUNCTION("""COMPUTED_VALUE"""),"GL2504034")</f>
        <v>GL2504034</v>
      </c>
      <c r="R3886" s="57">
        <f>IFERROR(__xludf.DUMMYFUNCTION("""COMPUTED_VALUE"""),45738.0)</f>
        <v>45738</v>
      </c>
      <c r="S3886" s="57">
        <f>IFERROR(__xludf.DUMMYFUNCTION("""COMPUTED_VALUE"""),45741.0)</f>
        <v>45741</v>
      </c>
      <c r="T3886" s="57">
        <f>IFERROR(__xludf.DUMMYFUNCTION("""COMPUTED_VALUE"""),45798.0)</f>
        <v>45798</v>
      </c>
    </row>
    <row r="3887">
      <c r="A3887" s="6" t="str">
        <f>IFERROR(__xludf.DUMMYFUNCTION("""COMPUTED_VALUE"""),"121702569-1")</f>
        <v>121702569-1</v>
      </c>
      <c r="B3887" s="6" t="str">
        <f>IFERROR(__xludf.DUMMYFUNCTION("""COMPUTED_VALUE"""),"121702569 - APPROVED")</f>
        <v>121702569 - APPROVED</v>
      </c>
      <c r="C3887" s="6">
        <f>IFERROR(__xludf.DUMMYFUNCTION("""COMPUTED_VALUE"""),1.0)</f>
        <v>1</v>
      </c>
      <c r="D3887" s="6" t="str">
        <f>IFERROR(__xludf.DUMMYFUNCTION("""COMPUTED_VALUE"""),"O-15669-00")</f>
        <v>O-15669-00</v>
      </c>
      <c r="E3887" s="6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F3887" s="6">
        <f>IFERROR(__xludf.DUMMYFUNCTION("""COMPUTED_VALUE"""),5.0)</f>
        <v>5</v>
      </c>
      <c r="G3887" s="6" t="str">
        <f>IFERROR(__xludf.DUMMYFUNCTION("""COMPUTED_VALUE"""),"Unit")</f>
        <v>Unit</v>
      </c>
      <c r="H3887" s="6" t="str">
        <f>IFERROR(__xludf.DUMMYFUNCTION("""COMPUTED_VALUE"""),"EUR")</f>
        <v>EUR</v>
      </c>
      <c r="I3887" s="6">
        <f>IFERROR(__xludf.DUMMYFUNCTION("""COMPUTED_VALUE"""),1438643.0)</f>
        <v>1438643</v>
      </c>
      <c r="J3887" s="6">
        <f>IFERROR(__xludf.DUMMYFUNCTION("""COMPUTED_VALUE"""),7193217.0)</f>
        <v>7193217</v>
      </c>
      <c r="K3887" s="57">
        <f>IFERROR(__xludf.DUMMYFUNCTION("""COMPUTED_VALUE"""),45769.0)</f>
        <v>45769</v>
      </c>
      <c r="L3887" s="6" t="str">
        <f>IFERROR(__xludf.DUMMYFUNCTION("""COMPUTED_VALUE"""),"FIP Engineering")</f>
        <v>FIP Engineering</v>
      </c>
      <c r="M3887" s="6" t="str">
        <f>IFERROR(__xludf.DUMMYFUNCTION("""COMPUTED_VALUE"""),"Mochammad Fadhillah Hakim,")</f>
        <v>Mochammad Fadhillah Hakim,</v>
      </c>
      <c r="N3887" s="6" t="str">
        <f>IFERROR(__xludf.DUMMYFUNCTION("""COMPUTED_VALUE"""),"FIP Engineering")</f>
        <v>FIP Engineering</v>
      </c>
      <c r="O3887" s="6" t="str">
        <f>IFERROR(__xludf.DUMMYFUNCTION("""COMPUTED_VALUE"""),"FIP-DOM-000-11304-OS00001-INA-000000")</f>
        <v>FIP-DOM-000-11304-OS00001-INA-000000</v>
      </c>
      <c r="P3887" s="6" t="str">
        <f>IFERROR(__xludf.DUMMYFUNCTION("""COMPUTED_VALUE"""),"PO Closed")</f>
        <v>PO Closed</v>
      </c>
      <c r="Q3887" s="6" t="str">
        <f>IFERROR(__xludf.DUMMYFUNCTION("""COMPUTED_VALUE"""),"GL2504023")</f>
        <v>GL2504023</v>
      </c>
      <c r="R3887" s="57">
        <f>IFERROR(__xludf.DUMMYFUNCTION("""COMPUTED_VALUE"""),45738.0)</f>
        <v>45738</v>
      </c>
      <c r="S3887" s="57">
        <f>IFERROR(__xludf.DUMMYFUNCTION("""COMPUTED_VALUE"""),45741.0)</f>
        <v>45741</v>
      </c>
      <c r="T3887" s="57">
        <f>IFERROR(__xludf.DUMMYFUNCTION("""COMPUTED_VALUE"""),45820.0)</f>
        <v>45820</v>
      </c>
    </row>
    <row r="3888">
      <c r="A3888" s="6" t="str">
        <f>IFERROR(__xludf.DUMMYFUNCTION("""COMPUTED_VALUE"""),"121702570-1")</f>
        <v>121702570-1</v>
      </c>
      <c r="B3888" s="6" t="str">
        <f>IFERROR(__xludf.DUMMYFUNCTION("""COMPUTED_VALUE"""),"121702570 - APPROVED")</f>
        <v>121702570 - APPROVED</v>
      </c>
      <c r="C3888" s="6">
        <f>IFERROR(__xludf.DUMMYFUNCTION("""COMPUTED_VALUE"""),1.0)</f>
        <v>1</v>
      </c>
      <c r="D3888" s="6" t="str">
        <f>IFERROR(__xludf.DUMMYFUNCTION("""COMPUTED_VALUE"""),"S-40530-00")</f>
        <v>S-40530-00</v>
      </c>
      <c r="E3888" s="6" t="str">
        <f>IFERROR(__xludf.DUMMYFUNCTION("""COMPUTED_VALUE"""),"Acrylic Box; ; ; - Ukuran 100x200 cm tebal 5mm")</f>
        <v>Acrylic Box; ; ; - Ukuran 100x200 cm tebal 5mm</v>
      </c>
      <c r="F3888" s="6">
        <f>IFERROR(__xludf.DUMMYFUNCTION("""COMPUTED_VALUE"""),1.0)</f>
        <v>1</v>
      </c>
      <c r="G3888" s="6" t="str">
        <f>IFERROR(__xludf.DUMMYFUNCTION("""COMPUTED_VALUE"""),"Pieces")</f>
        <v>Pieces</v>
      </c>
      <c r="H3888" s="6" t="str">
        <f>IFERROR(__xludf.DUMMYFUNCTION("""COMPUTED_VALUE"""),"IDR")</f>
        <v>IDR</v>
      </c>
      <c r="I3888" s="6">
        <f>IFERROR(__xludf.DUMMYFUNCTION("""COMPUTED_VALUE"""),1000000.0)</f>
        <v>1000000</v>
      </c>
      <c r="J3888" s="6">
        <f>IFERROR(__xludf.DUMMYFUNCTION("""COMPUTED_VALUE"""),1000000.0)</f>
        <v>1000000</v>
      </c>
      <c r="K3888" s="57">
        <f>IFERROR(__xludf.DUMMYFUNCTION("""COMPUTED_VALUE"""),45769.0)</f>
        <v>45769</v>
      </c>
      <c r="L3888" s="6" t="str">
        <f>IFERROR(__xludf.DUMMYFUNCTION("""COMPUTED_VALUE"""),"FIP General")</f>
        <v>FIP General</v>
      </c>
      <c r="M3888" s="6" t="str">
        <f>IFERROR(__xludf.DUMMYFUNCTION("""COMPUTED_VALUE"""),"Mochammad Fadhillah Hakim,")</f>
        <v>Mochammad Fadhillah Hakim,</v>
      </c>
      <c r="N3888" s="6" t="str">
        <f>IFERROR(__xludf.DUMMYFUNCTION("""COMPUTED_VALUE"""),"FIP Engineering")</f>
        <v>FIP Engineering</v>
      </c>
      <c r="O3888" s="6" t="str">
        <f>IFERROR(__xludf.DUMMYFUNCTION("""COMPUTED_VALUE"""),"FIP-DOM-ENG-51404-0000000-INA-000000")</f>
        <v>FIP-DOM-ENG-51404-0000000-INA-000000</v>
      </c>
      <c r="P3888" s="6" t="str">
        <f>IFERROR(__xludf.DUMMYFUNCTION("""COMPUTED_VALUE"""),"PO Closed")</f>
        <v>PO Closed</v>
      </c>
      <c r="Q3888" s="6" t="str">
        <f>IFERROR(__xludf.DUMMYFUNCTION("""COMPUTED_VALUE"""),"GL2505047")</f>
        <v>GL2505047</v>
      </c>
      <c r="R3888" s="57">
        <f>IFERROR(__xludf.DUMMYFUNCTION("""COMPUTED_VALUE"""),45738.0)</f>
        <v>45738</v>
      </c>
      <c r="S3888" s="57">
        <f>IFERROR(__xludf.DUMMYFUNCTION("""COMPUTED_VALUE"""),45756.0)</f>
        <v>45756</v>
      </c>
      <c r="T3888" s="57">
        <f>IFERROR(__xludf.DUMMYFUNCTION("""COMPUTED_VALUE"""),45805.0)</f>
        <v>45805</v>
      </c>
    </row>
    <row r="3889">
      <c r="A3889" s="6" t="str">
        <f>IFERROR(__xludf.DUMMYFUNCTION("""COMPUTED_VALUE"""),"121702570-2")</f>
        <v>121702570-2</v>
      </c>
      <c r="B3889" s="6" t="str">
        <f>IFERROR(__xludf.DUMMYFUNCTION("""COMPUTED_VALUE"""),"121702570 - APPROVED")</f>
        <v>121702570 - APPROVED</v>
      </c>
      <c r="C3889" s="6">
        <f>IFERROR(__xludf.DUMMYFUNCTION("""COMPUTED_VALUE"""),2.0)</f>
        <v>2</v>
      </c>
      <c r="D3889" s="6" t="str">
        <f>IFERROR(__xludf.DUMMYFUNCTION("""COMPUTED_VALUE"""),"S-40530-00")</f>
        <v>S-40530-00</v>
      </c>
      <c r="E3889" s="6" t="str">
        <f>IFERROR(__xludf.DUMMYFUNCTION("""COMPUTED_VALUE"""),"Acrylic Box; ; ; - Ukuran 112x210 cm tebal 5mm")</f>
        <v>Acrylic Box; ; ; - Ukuran 112x210 cm tebal 5mm</v>
      </c>
      <c r="F3889" s="6">
        <f>IFERROR(__xludf.DUMMYFUNCTION("""COMPUTED_VALUE"""),5.0)</f>
        <v>5</v>
      </c>
      <c r="G3889" s="6" t="str">
        <f>IFERROR(__xludf.DUMMYFUNCTION("""COMPUTED_VALUE"""),"Pieces")</f>
        <v>Pieces</v>
      </c>
      <c r="H3889" s="6" t="str">
        <f>IFERROR(__xludf.DUMMYFUNCTION("""COMPUTED_VALUE"""),"IDR")</f>
        <v>IDR</v>
      </c>
      <c r="I3889" s="6">
        <f>IFERROR(__xludf.DUMMYFUNCTION("""COMPUTED_VALUE"""),1175000.0)</f>
        <v>1175000</v>
      </c>
      <c r="J3889" s="6">
        <f>IFERROR(__xludf.DUMMYFUNCTION("""COMPUTED_VALUE"""),5875000.0)</f>
        <v>5875000</v>
      </c>
      <c r="K3889" s="57">
        <f>IFERROR(__xludf.DUMMYFUNCTION("""COMPUTED_VALUE"""),45769.0)</f>
        <v>45769</v>
      </c>
      <c r="L3889" s="6" t="str">
        <f>IFERROR(__xludf.DUMMYFUNCTION("""COMPUTED_VALUE"""),"FIP General")</f>
        <v>FIP General</v>
      </c>
      <c r="M3889" s="6" t="str">
        <f>IFERROR(__xludf.DUMMYFUNCTION("""COMPUTED_VALUE"""),"Mochammad Fadhillah Hakim,")</f>
        <v>Mochammad Fadhillah Hakim,</v>
      </c>
      <c r="N3889" s="6" t="str">
        <f>IFERROR(__xludf.DUMMYFUNCTION("""COMPUTED_VALUE"""),"FIP Engineering")</f>
        <v>FIP Engineering</v>
      </c>
      <c r="O3889" s="6" t="str">
        <f>IFERROR(__xludf.DUMMYFUNCTION("""COMPUTED_VALUE"""),"FIP-DOM-ENG-51404-0000000-INA-000000")</f>
        <v>FIP-DOM-ENG-51404-0000000-INA-000000</v>
      </c>
      <c r="P3889" s="6" t="str">
        <f>IFERROR(__xludf.DUMMYFUNCTION("""COMPUTED_VALUE"""),"PO Closed")</f>
        <v>PO Closed</v>
      </c>
      <c r="Q3889" s="6" t="str">
        <f>IFERROR(__xludf.DUMMYFUNCTION("""COMPUTED_VALUE"""),"GL2505047")</f>
        <v>GL2505047</v>
      </c>
      <c r="R3889" s="57">
        <f>IFERROR(__xludf.DUMMYFUNCTION("""COMPUTED_VALUE"""),45738.0)</f>
        <v>45738</v>
      </c>
      <c r="S3889" s="57">
        <f>IFERROR(__xludf.DUMMYFUNCTION("""COMPUTED_VALUE"""),45756.0)</f>
        <v>45756</v>
      </c>
      <c r="T3889" s="57">
        <f>IFERROR(__xludf.DUMMYFUNCTION("""COMPUTED_VALUE"""),45805.0)</f>
        <v>45805</v>
      </c>
    </row>
    <row r="3890">
      <c r="A3890" s="6" t="str">
        <f>IFERROR(__xludf.DUMMYFUNCTION("""COMPUTED_VALUE"""),"121702579-1")</f>
        <v>121702579-1</v>
      </c>
      <c r="B3890" s="6" t="str">
        <f>IFERROR(__xludf.DUMMYFUNCTION("""COMPUTED_VALUE"""),"121702579 - APPROVED")</f>
        <v>121702579 - APPROVED</v>
      </c>
      <c r="C3890" s="6">
        <f>IFERROR(__xludf.DUMMYFUNCTION("""COMPUTED_VALUE"""),1.0)</f>
        <v>1</v>
      </c>
      <c r="D3890" s="6" t="str">
        <f>IFERROR(__xludf.DUMMYFUNCTION("""COMPUTED_VALUE"""),"O-20487-00")</f>
        <v>O-20487-00</v>
      </c>
      <c r="E3890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F3890" s="6">
        <f>IFERROR(__xludf.DUMMYFUNCTION("""COMPUTED_VALUE"""),20.0)</f>
        <v>20</v>
      </c>
      <c r="G3890" s="6" t="str">
        <f>IFERROR(__xludf.DUMMYFUNCTION("""COMPUTED_VALUE"""),"Pieces")</f>
        <v>Pieces</v>
      </c>
      <c r="H3890" s="6" t="str">
        <f>IFERROR(__xludf.DUMMYFUNCTION("""COMPUTED_VALUE"""),"IDR")</f>
        <v>IDR</v>
      </c>
      <c r="I3890" s="6">
        <f>IFERROR(__xludf.DUMMYFUNCTION("""COMPUTED_VALUE"""),1176120.0)</f>
        <v>1176120</v>
      </c>
      <c r="J3890" s="6">
        <f>IFERROR(__xludf.DUMMYFUNCTION("""COMPUTED_VALUE"""),2.35224E7)</f>
        <v>23522400</v>
      </c>
      <c r="K3890" s="57">
        <f>IFERROR(__xludf.DUMMYFUNCTION("""COMPUTED_VALUE"""),45762.0)</f>
        <v>45762</v>
      </c>
      <c r="L3890" s="6" t="str">
        <f>IFERROR(__xludf.DUMMYFUNCTION("""COMPUTED_VALUE"""),"FIP Engineering")</f>
        <v>FIP Engineering</v>
      </c>
      <c r="M3890" s="6" t="str">
        <f>IFERROR(__xludf.DUMMYFUNCTION("""COMPUTED_VALUE"""),"Mochammad Fadhillah Hakim,")</f>
        <v>Mochammad Fadhillah Hakim,</v>
      </c>
      <c r="N3890" s="6" t="str">
        <f>IFERROR(__xludf.DUMMYFUNCTION("""COMPUTED_VALUE"""),"FIP Engineering")</f>
        <v>FIP Engineering</v>
      </c>
      <c r="O3890" s="6" t="str">
        <f>IFERROR(__xludf.DUMMYFUNCTION("""COMPUTED_VALUE"""),"FIP-DOM-000-11304-OS00001-INA-000000")</f>
        <v>FIP-DOM-000-11304-OS00001-INA-000000</v>
      </c>
      <c r="P3890" s="6" t="str">
        <f>IFERROR(__xludf.DUMMYFUNCTION("""COMPUTED_VALUE"""),"PO Closed")</f>
        <v>PO Closed</v>
      </c>
      <c r="Q3890" s="6" t="str">
        <f>IFERROR(__xludf.DUMMYFUNCTION("""COMPUTED_VALUE"""),"GL2504010")</f>
        <v>GL2504010</v>
      </c>
      <c r="R3890" s="57">
        <f>IFERROR(__xludf.DUMMYFUNCTION("""COMPUTED_VALUE"""),45742.0)</f>
        <v>45742</v>
      </c>
      <c r="S3890" s="57">
        <f>IFERROR(__xludf.DUMMYFUNCTION("""COMPUTED_VALUE"""),45742.0)</f>
        <v>45742</v>
      </c>
      <c r="T3890" s="57">
        <f>IFERROR(__xludf.DUMMYFUNCTION("""COMPUTED_VALUE"""),45792.0)</f>
        <v>45792</v>
      </c>
    </row>
    <row r="3891">
      <c r="A3891" s="6" t="str">
        <f>IFERROR(__xludf.DUMMYFUNCTION("""COMPUTED_VALUE"""),"121702582-1")</f>
        <v>121702582-1</v>
      </c>
      <c r="B3891" s="6" t="str">
        <f>IFERROR(__xludf.DUMMYFUNCTION("""COMPUTED_VALUE"""),"121702582 - APPROVED")</f>
        <v>121702582 - APPROVED</v>
      </c>
      <c r="C3891" s="6">
        <f>IFERROR(__xludf.DUMMYFUNCTION("""COMPUTED_VALUE"""),1.0)</f>
        <v>1</v>
      </c>
      <c r="D3891" s="6" t="str">
        <f>IFERROR(__xludf.DUMMYFUNCTION("""COMPUTED_VALUE"""),"P-12920-00")</f>
        <v>P-12920-00</v>
      </c>
      <c r="E3891" s="6" t="str">
        <f>IFERROR(__xludf.DUMMYFUNCTION("""COMPUTED_VALUE"""),"Tungsten Electrodes dia 1.6 mm")</f>
        <v>Tungsten Electrodes dia 1.6 mm</v>
      </c>
      <c r="F3891" s="6">
        <f>IFERROR(__xludf.DUMMYFUNCTION("""COMPUTED_VALUE"""),2.0)</f>
        <v>2</v>
      </c>
      <c r="G3891" s="6" t="str">
        <f>IFERROR(__xludf.DUMMYFUNCTION("""COMPUTED_VALUE"""),"Pieces")</f>
        <v>Pieces</v>
      </c>
      <c r="H3891" s="6" t="str">
        <f>IFERROR(__xludf.DUMMYFUNCTION("""COMPUTED_VALUE"""),"IDR")</f>
        <v>IDR</v>
      </c>
      <c r="I3891" s="6">
        <f>IFERROR(__xludf.DUMMYFUNCTION("""COMPUTED_VALUE"""),175000.0)</f>
        <v>175000</v>
      </c>
      <c r="J3891" s="6">
        <f>IFERROR(__xludf.DUMMYFUNCTION("""COMPUTED_VALUE"""),350000.0)</f>
        <v>350000</v>
      </c>
      <c r="K3891" s="57">
        <f>IFERROR(__xludf.DUMMYFUNCTION("""COMPUTED_VALUE"""),45775.0)</f>
        <v>45775</v>
      </c>
      <c r="L3891" s="6" t="str">
        <f>IFERROR(__xludf.DUMMYFUNCTION("""COMPUTED_VALUE"""),"FIP Engineering")</f>
        <v>FIP Engineering</v>
      </c>
      <c r="M3891" s="6" t="str">
        <f>IFERROR(__xludf.DUMMYFUNCTION("""COMPUTED_VALUE"""),"Mochammad Fadhillah Hakim,")</f>
        <v>Mochammad Fadhillah Hakim,</v>
      </c>
      <c r="N3891" s="6" t="str">
        <f>IFERROR(__xludf.DUMMYFUNCTION("""COMPUTED_VALUE"""),"FIP Engineering")</f>
        <v>FIP Engineering</v>
      </c>
      <c r="O3891" s="6" t="str">
        <f>IFERROR(__xludf.DUMMYFUNCTION("""COMPUTED_VALUE"""),"FIP-DOM-000-11304-OS00001-INA-000000")</f>
        <v>FIP-DOM-000-11304-OS00001-INA-000000</v>
      </c>
      <c r="P3891" s="6" t="str">
        <f>IFERROR(__xludf.DUMMYFUNCTION("""COMPUTED_VALUE"""),"PO Closed")</f>
        <v>PO Closed</v>
      </c>
      <c r="Q3891" s="6" t="str">
        <f>IFERROR(__xludf.DUMMYFUNCTION("""COMPUTED_VALUE"""),"GL2504359")</f>
        <v>GL2504359</v>
      </c>
      <c r="R3891" s="57">
        <f>IFERROR(__xludf.DUMMYFUNCTION("""COMPUTED_VALUE"""),45742.0)</f>
        <v>45742</v>
      </c>
      <c r="S3891" s="57">
        <f>IFERROR(__xludf.DUMMYFUNCTION("""COMPUTED_VALUE"""),45743.0)</f>
        <v>45743</v>
      </c>
      <c r="T3891" s="57">
        <f>IFERROR(__xludf.DUMMYFUNCTION("""COMPUTED_VALUE"""),45775.0)</f>
        <v>45775</v>
      </c>
    </row>
    <row r="3892">
      <c r="A3892" s="6" t="str">
        <f>IFERROR(__xludf.DUMMYFUNCTION("""COMPUTED_VALUE"""),"121702583-1")</f>
        <v>121702583-1</v>
      </c>
      <c r="B3892" s="6" t="str">
        <f>IFERROR(__xludf.DUMMYFUNCTION("""COMPUTED_VALUE"""),"121702583 - APPROVED")</f>
        <v>121702583 - APPROVED</v>
      </c>
      <c r="C3892" s="6">
        <f>IFERROR(__xludf.DUMMYFUNCTION("""COMPUTED_VALUE"""),1.0)</f>
        <v>1</v>
      </c>
      <c r="D3892" s="6" t="str">
        <f>IFERROR(__xludf.DUMMYFUNCTION("""COMPUTED_VALUE"""),"O-16647-00")</f>
        <v>O-16647-00</v>
      </c>
      <c r="E3892" s="6" t="str">
        <f>IFERROR(__xludf.DUMMYFUNCTION("""COMPUTED_VALUE"""),"Washing RAR4 - Oring Silicone Merah 23x18x2.5 mm; ; ;")</f>
        <v>Washing RAR4 - Oring Silicone Merah 23x18x2.5 mm; ; ;</v>
      </c>
      <c r="F3892" s="6">
        <f>IFERROR(__xludf.DUMMYFUNCTION("""COMPUTED_VALUE"""),150.0)</f>
        <v>150</v>
      </c>
      <c r="G3892" s="6" t="str">
        <f>IFERROR(__xludf.DUMMYFUNCTION("""COMPUTED_VALUE"""),"Pieces")</f>
        <v>Pieces</v>
      </c>
      <c r="H3892" s="6" t="str">
        <f>IFERROR(__xludf.DUMMYFUNCTION("""COMPUTED_VALUE"""),"IDR")</f>
        <v>IDR</v>
      </c>
      <c r="I3892" s="6">
        <f>IFERROR(__xludf.DUMMYFUNCTION("""COMPUTED_VALUE"""),35000.0)</f>
        <v>35000</v>
      </c>
      <c r="J3892" s="6">
        <f>IFERROR(__xludf.DUMMYFUNCTION("""COMPUTED_VALUE"""),5250000.0)</f>
        <v>5250000</v>
      </c>
      <c r="K3892" s="57">
        <f>IFERROR(__xludf.DUMMYFUNCTION("""COMPUTED_VALUE"""),45775.0)</f>
        <v>45775</v>
      </c>
      <c r="L3892" s="6" t="str">
        <f>IFERROR(__xludf.DUMMYFUNCTION("""COMPUTED_VALUE"""),"FIP Engineering")</f>
        <v>FIP Engineering</v>
      </c>
      <c r="M3892" s="6" t="str">
        <f>IFERROR(__xludf.DUMMYFUNCTION("""COMPUTED_VALUE"""),"Mochammad Fadhillah Hakim,")</f>
        <v>Mochammad Fadhillah Hakim,</v>
      </c>
      <c r="N3892" s="6" t="str">
        <f>IFERROR(__xludf.DUMMYFUNCTION("""COMPUTED_VALUE"""),"FIP Engineering")</f>
        <v>FIP Engineering</v>
      </c>
      <c r="O3892" s="6" t="str">
        <f>IFERROR(__xludf.DUMMYFUNCTION("""COMPUTED_VALUE"""),"FIP-DOM-000-11304-OS00001-INA-000000")</f>
        <v>FIP-DOM-000-11304-OS00001-INA-000000</v>
      </c>
      <c r="P3892" s="6" t="str">
        <f>IFERROR(__xludf.DUMMYFUNCTION("""COMPUTED_VALUE"""),"PO Closed")</f>
        <v>PO Closed</v>
      </c>
      <c r="Q3892" s="6" t="str">
        <f>IFERROR(__xludf.DUMMYFUNCTION("""COMPUTED_VALUE"""),"GL2504026")</f>
        <v>GL2504026</v>
      </c>
      <c r="R3892" s="57">
        <f>IFERROR(__xludf.DUMMYFUNCTION("""COMPUTED_VALUE"""),45743.0)</f>
        <v>45743</v>
      </c>
      <c r="S3892" s="57">
        <f>IFERROR(__xludf.DUMMYFUNCTION("""COMPUTED_VALUE"""),45744.0)</f>
        <v>45744</v>
      </c>
      <c r="T3892" s="57">
        <f>IFERROR(__xludf.DUMMYFUNCTION("""COMPUTED_VALUE"""),45777.0)</f>
        <v>45777</v>
      </c>
    </row>
    <row r="3893">
      <c r="A3893" s="6" t="str">
        <f>IFERROR(__xludf.DUMMYFUNCTION("""COMPUTED_VALUE"""),"121702583-2")</f>
        <v>121702583-2</v>
      </c>
      <c r="B3893" s="6" t="str">
        <f>IFERROR(__xludf.DUMMYFUNCTION("""COMPUTED_VALUE"""),"121702583 - APPROVED")</f>
        <v>121702583 - APPROVED</v>
      </c>
      <c r="C3893" s="6">
        <f>IFERROR(__xludf.DUMMYFUNCTION("""COMPUTED_VALUE"""),2.0)</f>
        <v>2</v>
      </c>
      <c r="D3893" s="6" t="str">
        <f>IFERROR(__xludf.DUMMYFUNCTION("""COMPUTED_VALUE"""),"O-16647-00")</f>
        <v>O-16647-00</v>
      </c>
      <c r="E3893" s="6" t="str">
        <f>IFERROR(__xludf.DUMMYFUNCTION("""COMPUTED_VALUE"""),"Washing RAR4 - Oring Silicone Merah 23x18x2.5 mm; ; ;")</f>
        <v>Washing RAR4 - Oring Silicone Merah 23x18x2.5 mm; ; ;</v>
      </c>
      <c r="F3893" s="6">
        <f>IFERROR(__xludf.DUMMYFUNCTION("""COMPUTED_VALUE"""),150.0)</f>
        <v>150</v>
      </c>
      <c r="G3893" s="6" t="str">
        <f>IFERROR(__xludf.DUMMYFUNCTION("""COMPUTED_VALUE"""),"Pieces")</f>
        <v>Pieces</v>
      </c>
      <c r="H3893" s="6" t="str">
        <f>IFERROR(__xludf.DUMMYFUNCTION("""COMPUTED_VALUE"""),"IDR")</f>
        <v>IDR</v>
      </c>
      <c r="I3893" s="6">
        <f>IFERROR(__xludf.DUMMYFUNCTION("""COMPUTED_VALUE"""),35000.0)</f>
        <v>35000</v>
      </c>
      <c r="J3893" s="6">
        <f>IFERROR(__xludf.DUMMYFUNCTION("""COMPUTED_VALUE"""),5250000.0)</f>
        <v>5250000</v>
      </c>
      <c r="K3893" s="57">
        <f>IFERROR(__xludf.DUMMYFUNCTION("""COMPUTED_VALUE"""),45915.0)</f>
        <v>45915</v>
      </c>
      <c r="L3893" s="6" t="str">
        <f>IFERROR(__xludf.DUMMYFUNCTION("""COMPUTED_VALUE"""),"FIP Engineering")</f>
        <v>FIP Engineering</v>
      </c>
      <c r="M3893" s="6" t="str">
        <f>IFERROR(__xludf.DUMMYFUNCTION("""COMPUTED_VALUE"""),"Mochammad Fadhillah Hakim,")</f>
        <v>Mochammad Fadhillah Hakim,</v>
      </c>
      <c r="N3893" s="6" t="str">
        <f>IFERROR(__xludf.DUMMYFUNCTION("""COMPUTED_VALUE"""),"FIP Engineering")</f>
        <v>FIP Engineering</v>
      </c>
      <c r="O3893" s="6" t="str">
        <f>IFERROR(__xludf.DUMMYFUNCTION("""COMPUTED_VALUE"""),"FIP-DOM-000-11304-OS00001-INA-000000")</f>
        <v>FIP-DOM-000-11304-OS00001-INA-000000</v>
      </c>
      <c r="P3893" s="6" t="str">
        <f>IFERROR(__xludf.DUMMYFUNCTION("""COMPUTED_VALUE"""),"PO Closed")</f>
        <v>PO Closed</v>
      </c>
      <c r="Q3893" s="6" t="str">
        <f>IFERROR(__xludf.DUMMYFUNCTION("""COMPUTED_VALUE"""),"GL2504026")</f>
        <v>GL2504026</v>
      </c>
      <c r="R3893" s="57">
        <f>IFERROR(__xludf.DUMMYFUNCTION("""COMPUTED_VALUE"""),45743.0)</f>
        <v>45743</v>
      </c>
      <c r="S3893" s="57">
        <f>IFERROR(__xludf.DUMMYFUNCTION("""COMPUTED_VALUE"""),45744.0)</f>
        <v>45744</v>
      </c>
      <c r="T3893" s="57">
        <f>IFERROR(__xludf.DUMMYFUNCTION("""COMPUTED_VALUE"""),45915.0)</f>
        <v>45915</v>
      </c>
    </row>
    <row r="3894">
      <c r="A3894" s="6" t="str">
        <f>IFERROR(__xludf.DUMMYFUNCTION("""COMPUTED_VALUE"""),"121702587-1")</f>
        <v>121702587-1</v>
      </c>
      <c r="B3894" s="6" t="str">
        <f>IFERROR(__xludf.DUMMYFUNCTION("""COMPUTED_VALUE"""),"121702587 - APPROVED")</f>
        <v>121702587 - APPROVED</v>
      </c>
      <c r="C3894" s="6">
        <f>IFERROR(__xludf.DUMMYFUNCTION("""COMPUTED_VALUE"""),1.0)</f>
        <v>1</v>
      </c>
      <c r="D3894" s="6" t="str">
        <f>IFERROR(__xludf.DUMMYFUNCTION("""COMPUTED_VALUE"""),"P-19731-00")</f>
        <v>P-19731-00</v>
      </c>
      <c r="E3894" s="6" t="str">
        <f>IFERROR(__xludf.DUMMYFUNCTION("""COMPUTED_VALUE"""),"General - Solenoid Valve 1 inch SS 304, UWS-25-E2; EMC; -; 1 pc")</f>
        <v>General - Solenoid Valve 1 inch SS 304, UWS-25-E2; EMC; -; 1 pc</v>
      </c>
      <c r="F3894" s="6">
        <f>IFERROR(__xludf.DUMMYFUNCTION("""COMPUTED_VALUE"""),3.0)</f>
        <v>3</v>
      </c>
      <c r="G3894" s="6" t="str">
        <f>IFERROR(__xludf.DUMMYFUNCTION("""COMPUTED_VALUE"""),"Pieces")</f>
        <v>Pieces</v>
      </c>
      <c r="H3894" s="6" t="str">
        <f>IFERROR(__xludf.DUMMYFUNCTION("""COMPUTED_VALUE"""),"IDR")</f>
        <v>IDR</v>
      </c>
      <c r="I3894" s="6">
        <f>IFERROR(__xludf.DUMMYFUNCTION("""COMPUTED_VALUE"""),825000.0)</f>
        <v>825000</v>
      </c>
      <c r="J3894" s="6">
        <f>IFERROR(__xludf.DUMMYFUNCTION("""COMPUTED_VALUE"""),2475000.0)</f>
        <v>2475000</v>
      </c>
      <c r="K3894" s="57">
        <f>IFERROR(__xludf.DUMMYFUNCTION("""COMPUTED_VALUE"""),45765.0)</f>
        <v>45765</v>
      </c>
      <c r="L3894" s="6" t="str">
        <f>IFERROR(__xludf.DUMMYFUNCTION("""COMPUTED_VALUE"""),"FIP Engineering")</f>
        <v>FIP Engineering</v>
      </c>
      <c r="M3894" s="6" t="str">
        <f>IFERROR(__xludf.DUMMYFUNCTION("""COMPUTED_VALUE"""),"Mochammad Fadhillah Hakim,")</f>
        <v>Mochammad Fadhillah Hakim,</v>
      </c>
      <c r="N3894" s="6" t="str">
        <f>IFERROR(__xludf.DUMMYFUNCTION("""COMPUTED_VALUE"""),"FIP Engineering")</f>
        <v>FIP Engineering</v>
      </c>
      <c r="O3894" s="6" t="str">
        <f>IFERROR(__xludf.DUMMYFUNCTION("""COMPUTED_VALUE"""),"FIP-DOM-000-11304-OS00001-INA-000000")</f>
        <v>FIP-DOM-000-11304-OS00001-INA-000000</v>
      </c>
      <c r="P3894" s="6" t="str">
        <f>IFERROR(__xludf.DUMMYFUNCTION("""COMPUTED_VALUE"""),"PO Closed")</f>
        <v>PO Closed</v>
      </c>
      <c r="Q3894" s="6" t="str">
        <f>IFERROR(__xludf.DUMMYFUNCTION("""COMPUTED_VALUE"""),"GL2503353")</f>
        <v>GL2503353</v>
      </c>
      <c r="R3894" s="57">
        <f>IFERROR(__xludf.DUMMYFUNCTION("""COMPUTED_VALUE"""),45743.0)</f>
        <v>45743</v>
      </c>
      <c r="S3894" s="57">
        <f>IFERROR(__xludf.DUMMYFUNCTION("""COMPUTED_VALUE"""),45754.0)</f>
        <v>45754</v>
      </c>
      <c r="T3894" s="57">
        <f>IFERROR(__xludf.DUMMYFUNCTION("""COMPUTED_VALUE"""),45759.0)</f>
        <v>45759</v>
      </c>
    </row>
    <row r="3895">
      <c r="A3895" s="6" t="str">
        <f>IFERROR(__xludf.DUMMYFUNCTION("""COMPUTED_VALUE"""),"121702588-1")</f>
        <v>121702588-1</v>
      </c>
      <c r="B3895" s="6" t="str">
        <f>IFERROR(__xludf.DUMMYFUNCTION("""COMPUTED_VALUE"""),"121702588 - APPROVED")</f>
        <v>121702588 - APPROVED</v>
      </c>
      <c r="C3895" s="6">
        <f>IFERROR(__xludf.DUMMYFUNCTION("""COMPUTED_VALUE"""),1.0)</f>
        <v>1</v>
      </c>
      <c r="D3895" s="6" t="str">
        <f>IFERROR(__xludf.DUMMYFUNCTION("""COMPUTED_VALUE"""),"P-53399-00")</f>
        <v>P-53399-00</v>
      </c>
      <c r="E3895" s="6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F3895" s="6">
        <f>IFERROR(__xludf.DUMMYFUNCTION("""COMPUTED_VALUE"""),1.0)</f>
        <v>1</v>
      </c>
      <c r="G3895" s="6" t="str">
        <f>IFERROR(__xludf.DUMMYFUNCTION("""COMPUTED_VALUE"""),"Unit")</f>
        <v>Unit</v>
      </c>
      <c r="H3895" s="6" t="str">
        <f>IFERROR(__xludf.DUMMYFUNCTION("""COMPUTED_VALUE"""),"IDR")</f>
        <v>IDR</v>
      </c>
      <c r="I3895" s="6">
        <f>IFERROR(__xludf.DUMMYFUNCTION("""COMPUTED_VALUE"""),4711000.0)</f>
        <v>4711000</v>
      </c>
      <c r="J3895" s="6">
        <f>IFERROR(__xludf.DUMMYFUNCTION("""COMPUTED_VALUE"""),4711000.0)</f>
        <v>4711000</v>
      </c>
      <c r="K3895" s="57">
        <f>IFERROR(__xludf.DUMMYFUNCTION("""COMPUTED_VALUE"""),45754.0)</f>
        <v>45754</v>
      </c>
      <c r="L3895" s="6" t="str">
        <f>IFERROR(__xludf.DUMMYFUNCTION("""COMPUTED_VALUE"""),"FIP Engineering")</f>
        <v>FIP Engineering</v>
      </c>
      <c r="M3895" s="6" t="str">
        <f>IFERROR(__xludf.DUMMYFUNCTION("""COMPUTED_VALUE"""),"Mochammad Fadhillah Hakim,")</f>
        <v>Mochammad Fadhillah Hakim,</v>
      </c>
      <c r="N3895" s="6" t="str">
        <f>IFERROR(__xludf.DUMMYFUNCTION("""COMPUTED_VALUE"""),"FIP Engineering")</f>
        <v>FIP Engineering</v>
      </c>
      <c r="O3895" s="6" t="str">
        <f>IFERROR(__xludf.DUMMYFUNCTION("""COMPUTED_VALUE"""),"FIP-DOM-000-11304-OS00001-INA-000000")</f>
        <v>FIP-DOM-000-11304-OS00001-INA-000000</v>
      </c>
      <c r="P3895" s="6" t="str">
        <f>IFERROR(__xludf.DUMMYFUNCTION("""COMPUTED_VALUE"""),"PO Closed")</f>
        <v>PO Closed</v>
      </c>
      <c r="Q3895" s="6" t="str">
        <f>IFERROR(__xludf.DUMMYFUNCTION("""COMPUTED_VALUE"""),"GL2505003")</f>
        <v>GL2505003</v>
      </c>
      <c r="R3895" s="57">
        <f>IFERROR(__xludf.DUMMYFUNCTION("""COMPUTED_VALUE"""),45743.0)</f>
        <v>45743</v>
      </c>
      <c r="S3895" s="57">
        <f>IFERROR(__xludf.DUMMYFUNCTION("""COMPUTED_VALUE"""),45754.0)</f>
        <v>45754</v>
      </c>
      <c r="T3895" s="57">
        <f>IFERROR(__xludf.DUMMYFUNCTION("""COMPUTED_VALUE"""),45792.0)</f>
        <v>45792</v>
      </c>
    </row>
    <row r="3896">
      <c r="A3896" s="6" t="str">
        <f>IFERROR(__xludf.DUMMYFUNCTION("""COMPUTED_VALUE"""),"121702588-2")</f>
        <v>121702588-2</v>
      </c>
      <c r="B3896" s="6" t="str">
        <f>IFERROR(__xludf.DUMMYFUNCTION("""COMPUTED_VALUE"""),"121702588 - APPROVED")</f>
        <v>121702588 - APPROVED</v>
      </c>
      <c r="C3896" s="6">
        <f>IFERROR(__xludf.DUMMYFUNCTION("""COMPUTED_VALUE"""),2.0)</f>
        <v>2</v>
      </c>
      <c r="D3896" s="6" t="str">
        <f>IFERROR(__xludf.DUMMYFUNCTION("""COMPUTED_VALUE"""),"P-53398-00")</f>
        <v>P-53398-00</v>
      </c>
      <c r="E3896" s="6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F3896" s="6">
        <f>IFERROR(__xludf.DUMMYFUNCTION("""COMPUTED_VALUE"""),1.0)</f>
        <v>1</v>
      </c>
      <c r="G3896" s="6" t="str">
        <f>IFERROR(__xludf.DUMMYFUNCTION("""COMPUTED_VALUE"""),"Unit")</f>
        <v>Unit</v>
      </c>
      <c r="H3896" s="6" t="str">
        <f>IFERROR(__xludf.DUMMYFUNCTION("""COMPUTED_VALUE"""),"IDR")</f>
        <v>IDR</v>
      </c>
      <c r="I3896" s="6">
        <f>IFERROR(__xludf.DUMMYFUNCTION("""COMPUTED_VALUE"""),2912000.0)</f>
        <v>2912000</v>
      </c>
      <c r="J3896" s="6">
        <f>IFERROR(__xludf.DUMMYFUNCTION("""COMPUTED_VALUE"""),2912000.0)</f>
        <v>2912000</v>
      </c>
      <c r="K3896" s="57">
        <f>IFERROR(__xludf.DUMMYFUNCTION("""COMPUTED_VALUE"""),45754.0)</f>
        <v>45754</v>
      </c>
      <c r="L3896" s="6" t="str">
        <f>IFERROR(__xludf.DUMMYFUNCTION("""COMPUTED_VALUE"""),"FIP Engineering")</f>
        <v>FIP Engineering</v>
      </c>
      <c r="M3896" s="6" t="str">
        <f>IFERROR(__xludf.DUMMYFUNCTION("""COMPUTED_VALUE"""),"Mochammad Fadhillah Hakim,")</f>
        <v>Mochammad Fadhillah Hakim,</v>
      </c>
      <c r="N3896" s="6" t="str">
        <f>IFERROR(__xludf.DUMMYFUNCTION("""COMPUTED_VALUE"""),"FIP Engineering")</f>
        <v>FIP Engineering</v>
      </c>
      <c r="O3896" s="6" t="str">
        <f>IFERROR(__xludf.DUMMYFUNCTION("""COMPUTED_VALUE"""),"FIP-DOM-000-11304-OS00001-INA-000000")</f>
        <v>FIP-DOM-000-11304-OS00001-INA-000000</v>
      </c>
      <c r="P3896" s="6" t="str">
        <f>IFERROR(__xludf.DUMMYFUNCTION("""COMPUTED_VALUE"""),"PO Closed")</f>
        <v>PO Closed</v>
      </c>
      <c r="Q3896" s="6" t="str">
        <f>IFERROR(__xludf.DUMMYFUNCTION("""COMPUTED_VALUE"""),"GL2505003")</f>
        <v>GL2505003</v>
      </c>
      <c r="R3896" s="57">
        <f>IFERROR(__xludf.DUMMYFUNCTION("""COMPUTED_VALUE"""),45743.0)</f>
        <v>45743</v>
      </c>
      <c r="S3896" s="57">
        <f>IFERROR(__xludf.DUMMYFUNCTION("""COMPUTED_VALUE"""),45754.0)</f>
        <v>45754</v>
      </c>
      <c r="T3896" s="57">
        <f>IFERROR(__xludf.DUMMYFUNCTION("""COMPUTED_VALUE"""),45792.0)</f>
        <v>45792</v>
      </c>
    </row>
    <row r="3897">
      <c r="A3897" s="6" t="str">
        <f>IFERROR(__xludf.DUMMYFUNCTION("""COMPUTED_VALUE"""),"121702588-3")</f>
        <v>121702588-3</v>
      </c>
      <c r="B3897" s="6" t="str">
        <f>IFERROR(__xludf.DUMMYFUNCTION("""COMPUTED_VALUE"""),"121702588 - APPROVED")</f>
        <v>121702588 - APPROVED</v>
      </c>
      <c r="C3897" s="6">
        <f>IFERROR(__xludf.DUMMYFUNCTION("""COMPUTED_VALUE"""),3.0)</f>
        <v>3</v>
      </c>
      <c r="D3897" s="6" t="str">
        <f>IFERROR(__xludf.DUMMYFUNCTION("""COMPUTED_VALUE"""),"P-53400-00")</f>
        <v>P-53400-00</v>
      </c>
      <c r="E3897" s="6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F3897" s="6">
        <f>IFERROR(__xludf.DUMMYFUNCTION("""COMPUTED_VALUE"""),2.0)</f>
        <v>2</v>
      </c>
      <c r="G3897" s="6" t="str">
        <f>IFERROR(__xludf.DUMMYFUNCTION("""COMPUTED_VALUE"""),"Unit")</f>
        <v>Unit</v>
      </c>
      <c r="H3897" s="6" t="str">
        <f>IFERROR(__xludf.DUMMYFUNCTION("""COMPUTED_VALUE"""),"IDR")</f>
        <v>IDR</v>
      </c>
      <c r="I3897" s="6">
        <f>IFERROR(__xludf.DUMMYFUNCTION("""COMPUTED_VALUE"""),6160000.0)</f>
        <v>6160000</v>
      </c>
      <c r="J3897" s="6">
        <f>IFERROR(__xludf.DUMMYFUNCTION("""COMPUTED_VALUE"""),1.232E7)</f>
        <v>12320000</v>
      </c>
      <c r="K3897" s="57">
        <f>IFERROR(__xludf.DUMMYFUNCTION("""COMPUTED_VALUE"""),45775.0)</f>
        <v>45775</v>
      </c>
      <c r="L3897" s="6" t="str">
        <f>IFERROR(__xludf.DUMMYFUNCTION("""COMPUTED_VALUE"""),"FIP Engineering")</f>
        <v>FIP Engineering</v>
      </c>
      <c r="M3897" s="6" t="str">
        <f>IFERROR(__xludf.DUMMYFUNCTION("""COMPUTED_VALUE"""),"Mochammad Fadhillah Hakim,")</f>
        <v>Mochammad Fadhillah Hakim,</v>
      </c>
      <c r="N3897" s="6" t="str">
        <f>IFERROR(__xludf.DUMMYFUNCTION("""COMPUTED_VALUE"""),"FIP Engineering")</f>
        <v>FIP Engineering</v>
      </c>
      <c r="O3897" s="6" t="str">
        <f>IFERROR(__xludf.DUMMYFUNCTION("""COMPUTED_VALUE"""),"FIP-DOM-000-11304-OS00001-INA-000000")</f>
        <v>FIP-DOM-000-11304-OS00001-INA-000000</v>
      </c>
      <c r="P3897" s="6" t="str">
        <f>IFERROR(__xludf.DUMMYFUNCTION("""COMPUTED_VALUE"""),"PO Closed")</f>
        <v>PO Closed</v>
      </c>
      <c r="Q3897" s="6" t="str">
        <f>IFERROR(__xludf.DUMMYFUNCTION("""COMPUTED_VALUE"""),"GL2505003")</f>
        <v>GL2505003</v>
      </c>
      <c r="R3897" s="57">
        <f>IFERROR(__xludf.DUMMYFUNCTION("""COMPUTED_VALUE"""),45743.0)</f>
        <v>45743</v>
      </c>
      <c r="S3897" s="57">
        <f>IFERROR(__xludf.DUMMYFUNCTION("""COMPUTED_VALUE"""),45754.0)</f>
        <v>45754</v>
      </c>
      <c r="T3897" s="57">
        <f>IFERROR(__xludf.DUMMYFUNCTION("""COMPUTED_VALUE"""),45792.0)</f>
        <v>45792</v>
      </c>
    </row>
    <row r="3898">
      <c r="A3898" s="6" t="str">
        <f>IFERROR(__xludf.DUMMYFUNCTION("""COMPUTED_VALUE"""),"121702588-4")</f>
        <v>121702588-4</v>
      </c>
      <c r="B3898" s="6" t="str">
        <f>IFERROR(__xludf.DUMMYFUNCTION("""COMPUTED_VALUE"""),"121702588 - APPROVED")</f>
        <v>121702588 - APPROVED</v>
      </c>
      <c r="C3898" s="6">
        <f>IFERROR(__xludf.DUMMYFUNCTION("""COMPUTED_VALUE"""),4.0)</f>
        <v>4</v>
      </c>
      <c r="D3898" s="6" t="str">
        <f>IFERROR(__xludf.DUMMYFUNCTION("""COMPUTED_VALUE"""),"P-53401-00")</f>
        <v>P-53401-00</v>
      </c>
      <c r="E3898" s="6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F3898" s="6">
        <f>IFERROR(__xludf.DUMMYFUNCTION("""COMPUTED_VALUE"""),2.0)</f>
        <v>2</v>
      </c>
      <c r="G3898" s="6" t="str">
        <f>IFERROR(__xludf.DUMMYFUNCTION("""COMPUTED_VALUE"""),"Unit")</f>
        <v>Unit</v>
      </c>
      <c r="H3898" s="6" t="str">
        <f>IFERROR(__xludf.DUMMYFUNCTION("""COMPUTED_VALUE"""),"IDR")</f>
        <v>IDR</v>
      </c>
      <c r="I3898" s="6">
        <f>IFERROR(__xludf.DUMMYFUNCTION("""COMPUTED_VALUE"""),6230000.0)</f>
        <v>6230000</v>
      </c>
      <c r="J3898" s="6">
        <f>IFERROR(__xludf.DUMMYFUNCTION("""COMPUTED_VALUE"""),1.246E7)</f>
        <v>12460000</v>
      </c>
      <c r="K3898" s="57">
        <f>IFERROR(__xludf.DUMMYFUNCTION("""COMPUTED_VALUE"""),45745.0)</f>
        <v>45745</v>
      </c>
      <c r="L3898" s="6" t="str">
        <f>IFERROR(__xludf.DUMMYFUNCTION("""COMPUTED_VALUE"""),"FIP Engineering")</f>
        <v>FIP Engineering</v>
      </c>
      <c r="M3898" s="6" t="str">
        <f>IFERROR(__xludf.DUMMYFUNCTION("""COMPUTED_VALUE"""),"Mochammad Fadhillah Hakim,")</f>
        <v>Mochammad Fadhillah Hakim,</v>
      </c>
      <c r="N3898" s="6" t="str">
        <f>IFERROR(__xludf.DUMMYFUNCTION("""COMPUTED_VALUE"""),"FIP Engineering")</f>
        <v>FIP Engineering</v>
      </c>
      <c r="O3898" s="6" t="str">
        <f>IFERROR(__xludf.DUMMYFUNCTION("""COMPUTED_VALUE"""),"FIP-DOM-000-11304-OS00001-INA-000000")</f>
        <v>FIP-DOM-000-11304-OS00001-INA-000000</v>
      </c>
      <c r="P3898" s="6" t="str">
        <f>IFERROR(__xludf.DUMMYFUNCTION("""COMPUTED_VALUE"""),"PO Closed")</f>
        <v>PO Closed</v>
      </c>
      <c r="Q3898" s="6" t="str">
        <f>IFERROR(__xludf.DUMMYFUNCTION("""COMPUTED_VALUE"""),"GL2505003")</f>
        <v>GL2505003</v>
      </c>
      <c r="R3898" s="57">
        <f>IFERROR(__xludf.DUMMYFUNCTION("""COMPUTED_VALUE"""),45743.0)</f>
        <v>45743</v>
      </c>
      <c r="S3898" s="57">
        <f>IFERROR(__xludf.DUMMYFUNCTION("""COMPUTED_VALUE"""),45754.0)</f>
        <v>45754</v>
      </c>
      <c r="T3898" s="57">
        <f>IFERROR(__xludf.DUMMYFUNCTION("""COMPUTED_VALUE"""),45792.0)</f>
        <v>45792</v>
      </c>
    </row>
    <row r="3899">
      <c r="A3899" s="6" t="str">
        <f>IFERROR(__xludf.DUMMYFUNCTION("""COMPUTED_VALUE"""),"121702592-1")</f>
        <v>121702592-1</v>
      </c>
      <c r="B3899" s="6" t="str">
        <f>IFERROR(__xludf.DUMMYFUNCTION("""COMPUTED_VALUE"""),"121702592 - APPROVED")</f>
        <v>121702592 - APPROVED</v>
      </c>
      <c r="C3899" s="6">
        <f>IFERROR(__xludf.DUMMYFUNCTION("""COMPUTED_VALUE"""),1.0)</f>
        <v>1</v>
      </c>
      <c r="D3899" s="6" t="str">
        <f>IFERROR(__xludf.DUMMYFUNCTION("""COMPUTED_VALUE"""),"P-11185-00")</f>
        <v>P-11185-00</v>
      </c>
      <c r="E3899" s="6" t="str">
        <f>IFERROR(__xludf.DUMMYFUNCTION("""COMPUTED_VALUE"""),"Pneumatic  Fitting - QS 8-6 / Festo")</f>
        <v>Pneumatic  Fitting - QS 8-6 / Festo</v>
      </c>
      <c r="F3899" s="6">
        <f>IFERROR(__xludf.DUMMYFUNCTION("""COMPUTED_VALUE"""),8.0)</f>
        <v>8</v>
      </c>
      <c r="G3899" s="6" t="str">
        <f>IFERROR(__xludf.DUMMYFUNCTION("""COMPUTED_VALUE"""),"Pieces")</f>
        <v>Pieces</v>
      </c>
      <c r="H3899" s="6" t="str">
        <f>IFERROR(__xludf.DUMMYFUNCTION("""COMPUTED_VALUE"""),"IDR")</f>
        <v>IDR</v>
      </c>
      <c r="I3899" s="6">
        <f>IFERROR(__xludf.DUMMYFUNCTION("""COMPUTED_VALUE"""),47707.0)</f>
        <v>47707</v>
      </c>
      <c r="J3899" s="6">
        <f>IFERROR(__xludf.DUMMYFUNCTION("""COMPUTED_VALUE"""),381656.0)</f>
        <v>381656</v>
      </c>
      <c r="K3899" s="57">
        <f>IFERROR(__xludf.DUMMYFUNCTION("""COMPUTED_VALUE"""),45784.0)</f>
        <v>45784</v>
      </c>
      <c r="L3899" s="6" t="str">
        <f>IFERROR(__xludf.DUMMYFUNCTION("""COMPUTED_VALUE"""),"FIP Engineering")</f>
        <v>FIP Engineering</v>
      </c>
      <c r="M3899" s="6" t="str">
        <f>IFERROR(__xludf.DUMMYFUNCTION("""COMPUTED_VALUE"""),"Mochammad Fadhillah Hakim,")</f>
        <v>Mochammad Fadhillah Hakim,</v>
      </c>
      <c r="N3899" s="6" t="str">
        <f>IFERROR(__xludf.DUMMYFUNCTION("""COMPUTED_VALUE"""),"FIP Engineering")</f>
        <v>FIP Engineering</v>
      </c>
      <c r="O3899" s="6" t="str">
        <f>IFERROR(__xludf.DUMMYFUNCTION("""COMPUTED_VALUE"""),"FIP-DOM-000-11304-OS00001-INA-000000")</f>
        <v>FIP-DOM-000-11304-OS00001-INA-000000</v>
      </c>
      <c r="P3899" s="6" t="str">
        <f>IFERROR(__xludf.DUMMYFUNCTION("""COMPUTED_VALUE"""),"PO Closed")</f>
        <v>PO Closed</v>
      </c>
      <c r="Q3899" s="6" t="str">
        <f>IFERROR(__xludf.DUMMYFUNCTION("""COMPUTED_VALUE"""),"GL2504358")</f>
        <v>GL2504358</v>
      </c>
      <c r="R3899" s="57">
        <f>IFERROR(__xludf.DUMMYFUNCTION("""COMPUTED_VALUE"""),45754.0)</f>
        <v>45754</v>
      </c>
      <c r="S3899" s="57">
        <f>IFERROR(__xludf.DUMMYFUNCTION("""COMPUTED_VALUE"""),45754.0)</f>
        <v>45754</v>
      </c>
      <c r="T3899" s="57">
        <f>IFERROR(__xludf.DUMMYFUNCTION("""COMPUTED_VALUE"""),45784.0)</f>
        <v>45784</v>
      </c>
    </row>
    <row r="3900">
      <c r="A3900" s="6" t="str">
        <f>IFERROR(__xludf.DUMMYFUNCTION("""COMPUTED_VALUE"""),"121702592-2")</f>
        <v>121702592-2</v>
      </c>
      <c r="B3900" s="6" t="str">
        <f>IFERROR(__xludf.DUMMYFUNCTION("""COMPUTED_VALUE"""),"121702592 - APPROVED")</f>
        <v>121702592 - APPROVED</v>
      </c>
      <c r="C3900" s="6">
        <f>IFERROR(__xludf.DUMMYFUNCTION("""COMPUTED_VALUE"""),2.0)</f>
        <v>2</v>
      </c>
      <c r="D3900" s="6" t="str">
        <f>IFERROR(__xludf.DUMMYFUNCTION("""COMPUTED_VALUE"""),"P-12748-00")</f>
        <v>P-12748-00</v>
      </c>
      <c r="E3900" s="6" t="str">
        <f>IFERROR(__xludf.DUMMYFUNCTION("""COMPUTED_VALUE"""),"General - Pipa PVC AW dia. 1 1/4inch, Warna Abu-Abu; Rucika; -; 1 pcs")</f>
        <v>General - Pipa PVC AW dia. 1 1/4inch, Warna Abu-Abu; Rucika; -; 1 pcs</v>
      </c>
      <c r="F3900" s="6">
        <f>IFERROR(__xludf.DUMMYFUNCTION("""COMPUTED_VALUE"""),6.0)</f>
        <v>6</v>
      </c>
      <c r="G3900" s="6" t="str">
        <f>IFERROR(__xludf.DUMMYFUNCTION("""COMPUTED_VALUE"""),"Pieces")</f>
        <v>Pieces</v>
      </c>
      <c r="H3900" s="6" t="str">
        <f>IFERROR(__xludf.DUMMYFUNCTION("""COMPUTED_VALUE"""),"IDR")</f>
        <v>IDR</v>
      </c>
      <c r="I3900" s="6">
        <f>IFERROR(__xludf.DUMMYFUNCTION("""COMPUTED_VALUE"""),100000.0)</f>
        <v>100000</v>
      </c>
      <c r="J3900" s="6">
        <f>IFERROR(__xludf.DUMMYFUNCTION("""COMPUTED_VALUE"""),600000.0)</f>
        <v>600000</v>
      </c>
      <c r="K3900" s="57">
        <f>IFERROR(__xludf.DUMMYFUNCTION("""COMPUTED_VALUE"""),45784.0)</f>
        <v>45784</v>
      </c>
      <c r="L3900" s="6" t="str">
        <f>IFERROR(__xludf.DUMMYFUNCTION("""COMPUTED_VALUE"""),"FIP Engineering")</f>
        <v>FIP Engineering</v>
      </c>
      <c r="M3900" s="6" t="str">
        <f>IFERROR(__xludf.DUMMYFUNCTION("""COMPUTED_VALUE"""),"Mochammad Fadhillah Hakim,")</f>
        <v>Mochammad Fadhillah Hakim,</v>
      </c>
      <c r="N3900" s="6" t="str">
        <f>IFERROR(__xludf.DUMMYFUNCTION("""COMPUTED_VALUE"""),"FIP Engineering")</f>
        <v>FIP Engineering</v>
      </c>
      <c r="O3900" s="6" t="str">
        <f>IFERROR(__xludf.DUMMYFUNCTION("""COMPUTED_VALUE"""),"FIP-DOM-000-11304-OS00001-INA-000000")</f>
        <v>FIP-DOM-000-11304-OS00001-INA-000000</v>
      </c>
      <c r="P3900" s="6" t="str">
        <f>IFERROR(__xludf.DUMMYFUNCTION("""COMPUTED_VALUE"""),"PO Closed")</f>
        <v>PO Closed</v>
      </c>
      <c r="Q3900" s="6" t="str">
        <f>IFERROR(__xludf.DUMMYFUNCTION("""COMPUTED_VALUE"""),"GL2504052")</f>
        <v>GL2504052</v>
      </c>
      <c r="R3900" s="57">
        <f>IFERROR(__xludf.DUMMYFUNCTION("""COMPUTED_VALUE"""),45754.0)</f>
        <v>45754</v>
      </c>
      <c r="S3900" s="57">
        <f>IFERROR(__xludf.DUMMYFUNCTION("""COMPUTED_VALUE"""),45754.0)</f>
        <v>45754</v>
      </c>
      <c r="T3900" s="57">
        <f>IFERROR(__xludf.DUMMYFUNCTION("""COMPUTED_VALUE"""),45792.0)</f>
        <v>45792</v>
      </c>
    </row>
    <row r="3901">
      <c r="A3901" s="6" t="str">
        <f>IFERROR(__xludf.DUMMYFUNCTION("""COMPUTED_VALUE"""),"121702592-3")</f>
        <v>121702592-3</v>
      </c>
      <c r="B3901" s="6" t="str">
        <f>IFERROR(__xludf.DUMMYFUNCTION("""COMPUTED_VALUE"""),"121702592 - APPROVED")</f>
        <v>121702592 - APPROVED</v>
      </c>
      <c r="C3901" s="6">
        <f>IFERROR(__xludf.DUMMYFUNCTION("""COMPUTED_VALUE"""),3.0)</f>
        <v>3</v>
      </c>
      <c r="D3901" s="6" t="str">
        <f>IFERROR(__xludf.DUMMYFUNCTION("""COMPUTED_VALUE"""),"P-19647-00")</f>
        <v>P-19647-00</v>
      </c>
      <c r="E3901" s="6" t="str">
        <f>IFERROR(__xludf.DUMMYFUNCTION("""COMPUTED_VALUE"""),"General - Gasket Ferrule EPDM 6inch; Lokal; -; 1 pc")</f>
        <v>General - Gasket Ferrule EPDM 6inch; Lokal; -; 1 pc</v>
      </c>
      <c r="F3901" s="6">
        <f>IFERROR(__xludf.DUMMYFUNCTION("""COMPUTED_VALUE"""),4.0)</f>
        <v>4</v>
      </c>
      <c r="G3901" s="6" t="str">
        <f>IFERROR(__xludf.DUMMYFUNCTION("""COMPUTED_VALUE"""),"Pieces")</f>
        <v>Pieces</v>
      </c>
      <c r="H3901" s="6" t="str">
        <f>IFERROR(__xludf.DUMMYFUNCTION("""COMPUTED_VALUE"""),"IDR")</f>
        <v>IDR</v>
      </c>
      <c r="I3901" s="6">
        <f>IFERROR(__xludf.DUMMYFUNCTION("""COMPUTED_VALUE"""),66900.0)</f>
        <v>66900</v>
      </c>
      <c r="J3901" s="6">
        <f>IFERROR(__xludf.DUMMYFUNCTION("""COMPUTED_VALUE"""),267600.0)</f>
        <v>267600</v>
      </c>
      <c r="K3901" s="57">
        <f>IFERROR(__xludf.DUMMYFUNCTION("""COMPUTED_VALUE"""),45784.0)</f>
        <v>45784</v>
      </c>
      <c r="L3901" s="6" t="str">
        <f>IFERROR(__xludf.DUMMYFUNCTION("""COMPUTED_VALUE"""),"FIP Engineering")</f>
        <v>FIP Engineering</v>
      </c>
      <c r="M3901" s="6" t="str">
        <f>IFERROR(__xludf.DUMMYFUNCTION("""COMPUTED_VALUE"""),"Mochammad Fadhillah Hakim,")</f>
        <v>Mochammad Fadhillah Hakim,</v>
      </c>
      <c r="N3901" s="6" t="str">
        <f>IFERROR(__xludf.DUMMYFUNCTION("""COMPUTED_VALUE"""),"FIP Engineering")</f>
        <v>FIP Engineering</v>
      </c>
      <c r="O3901" s="6" t="str">
        <f>IFERROR(__xludf.DUMMYFUNCTION("""COMPUTED_VALUE"""),"FIP-DOM-000-11304-OS00001-INA-000000")</f>
        <v>FIP-DOM-000-11304-OS00001-INA-000000</v>
      </c>
      <c r="P3901" s="6" t="str">
        <f>IFERROR(__xludf.DUMMYFUNCTION("""COMPUTED_VALUE"""),"PO Closed")</f>
        <v>PO Closed</v>
      </c>
      <c r="Q3901" s="6" t="str">
        <f>IFERROR(__xludf.DUMMYFUNCTION("""COMPUTED_VALUE"""),"GL2504364")</f>
        <v>GL2504364</v>
      </c>
      <c r="R3901" s="57">
        <f>IFERROR(__xludf.DUMMYFUNCTION("""COMPUTED_VALUE"""),45754.0)</f>
        <v>45754</v>
      </c>
      <c r="S3901" s="57">
        <f>IFERROR(__xludf.DUMMYFUNCTION("""COMPUTED_VALUE"""),45754.0)</f>
        <v>45754</v>
      </c>
      <c r="T3901" s="57">
        <f>IFERROR(__xludf.DUMMYFUNCTION("""COMPUTED_VALUE"""),45810.0)</f>
        <v>45810</v>
      </c>
    </row>
    <row r="3902">
      <c r="A3902" s="6" t="str">
        <f>IFERROR(__xludf.DUMMYFUNCTION("""COMPUTED_VALUE"""),"121702596-1")</f>
        <v>121702596-1</v>
      </c>
      <c r="B3902" s="6" t="str">
        <f>IFERROR(__xludf.DUMMYFUNCTION("""COMPUTED_VALUE"""),"121702596 - APPROVED")</f>
        <v>121702596 - APPROVED</v>
      </c>
      <c r="C3902" s="6">
        <f>IFERROR(__xludf.DUMMYFUNCTION("""COMPUTED_VALUE"""),1.0)</f>
        <v>1</v>
      </c>
      <c r="D3902" s="6" t="str">
        <f>IFERROR(__xludf.DUMMYFUNCTION("""COMPUTED_VALUE"""),"P-53411-00")</f>
        <v>P-53411-00</v>
      </c>
      <c r="E3902" s="6" t="str">
        <f>IFERROR(__xludf.DUMMYFUNCTION("""COMPUTED_VALUE"""),"General - Power Supply ECO 1-PH 24VDC 5A; Wago; 787-722; 1 pc")</f>
        <v>General - Power Supply ECO 1-PH 24VDC 5A; Wago; 787-722; 1 pc</v>
      </c>
      <c r="F3902" s="6">
        <f>IFERROR(__xludf.DUMMYFUNCTION("""COMPUTED_VALUE"""),3.0)</f>
        <v>3</v>
      </c>
      <c r="G3902" s="6" t="str">
        <f>IFERROR(__xludf.DUMMYFUNCTION("""COMPUTED_VALUE"""),"Pieces")</f>
        <v>Pieces</v>
      </c>
      <c r="H3902" s="6" t="str">
        <f>IFERROR(__xludf.DUMMYFUNCTION("""COMPUTED_VALUE"""),"IDR")</f>
        <v>IDR</v>
      </c>
      <c r="I3902" s="6">
        <f>IFERROR(__xludf.DUMMYFUNCTION("""COMPUTED_VALUE"""),1060000.0)</f>
        <v>1060000</v>
      </c>
      <c r="J3902" s="6">
        <f>IFERROR(__xludf.DUMMYFUNCTION("""COMPUTED_VALUE"""),3180000.0)</f>
        <v>3180000</v>
      </c>
      <c r="K3902" s="57">
        <f>IFERROR(__xludf.DUMMYFUNCTION("""COMPUTED_VALUE"""),45761.0)</f>
        <v>45761</v>
      </c>
      <c r="L3902" s="6" t="str">
        <f>IFERROR(__xludf.DUMMYFUNCTION("""COMPUTED_VALUE"""),"FIP Engineering")</f>
        <v>FIP Engineering</v>
      </c>
      <c r="M3902" s="6" t="str">
        <f>IFERROR(__xludf.DUMMYFUNCTION("""COMPUTED_VALUE"""),"Mochammad Fadhillah Hakim,")</f>
        <v>Mochammad Fadhillah Hakim,</v>
      </c>
      <c r="N3902" s="6" t="str">
        <f>IFERROR(__xludf.DUMMYFUNCTION("""COMPUTED_VALUE"""),"FIP Engineering")</f>
        <v>FIP Engineering</v>
      </c>
      <c r="O3902" s="6" t="str">
        <f>IFERROR(__xludf.DUMMYFUNCTION("""COMPUTED_VALUE"""),"FIP-DOM-000-11304-OS00001-INA-000000")</f>
        <v>FIP-DOM-000-11304-OS00001-INA-000000</v>
      </c>
      <c r="P3902" s="6" t="str">
        <f>IFERROR(__xludf.DUMMYFUNCTION("""COMPUTED_VALUE"""),"PO Closed")</f>
        <v>PO Closed</v>
      </c>
      <c r="Q3902" s="6" t="str">
        <f>IFERROR(__xludf.DUMMYFUNCTION("""COMPUTED_VALUE"""),"GL2504013")</f>
        <v>GL2504013</v>
      </c>
      <c r="R3902" s="57">
        <f>IFERROR(__xludf.DUMMYFUNCTION("""COMPUTED_VALUE"""),45755.0)</f>
        <v>45755</v>
      </c>
      <c r="S3902" s="57">
        <f>IFERROR(__xludf.DUMMYFUNCTION("""COMPUTED_VALUE"""),45755.0)</f>
        <v>45755</v>
      </c>
      <c r="T3902" s="57">
        <f>IFERROR(__xludf.DUMMYFUNCTION("""COMPUTED_VALUE"""),45764.0)</f>
        <v>45764</v>
      </c>
    </row>
    <row r="3903">
      <c r="A3903" s="6" t="str">
        <f>IFERROR(__xludf.DUMMYFUNCTION("""COMPUTED_VALUE"""),"121702600-1")</f>
        <v>121702600-1</v>
      </c>
      <c r="B3903" s="6" t="str">
        <f>IFERROR(__xludf.DUMMYFUNCTION("""COMPUTED_VALUE"""),"121702600 - APPROVED")</f>
        <v>121702600 - APPROVED</v>
      </c>
      <c r="C3903" s="6">
        <f>IFERROR(__xludf.DUMMYFUNCTION("""COMPUTED_VALUE"""),1.0)</f>
        <v>1</v>
      </c>
      <c r="D3903" s="6" t="str">
        <f>IFERROR(__xludf.DUMMYFUNCTION("""COMPUTED_VALUE"""),"T-22069-00")</f>
        <v>T-22069-00</v>
      </c>
      <c r="E3903" s="6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F3903" s="6">
        <f>IFERROR(__xludf.DUMMYFUNCTION("""COMPUTED_VALUE"""),6.0)</f>
        <v>6</v>
      </c>
      <c r="G3903" s="6" t="str">
        <f>IFERROR(__xludf.DUMMYFUNCTION("""COMPUTED_VALUE"""),"Pieces")</f>
        <v>Pieces</v>
      </c>
      <c r="H3903" s="6" t="str">
        <f>IFERROR(__xludf.DUMMYFUNCTION("""COMPUTED_VALUE"""),"IDR")</f>
        <v>IDR</v>
      </c>
      <c r="I3903" s="6">
        <f>IFERROR(__xludf.DUMMYFUNCTION("""COMPUTED_VALUE"""),9123000.0)</f>
        <v>9123000</v>
      </c>
      <c r="J3903" s="6">
        <f>IFERROR(__xludf.DUMMYFUNCTION("""COMPUTED_VALUE"""),5.4738E7)</f>
        <v>54738000</v>
      </c>
      <c r="K3903" s="57">
        <f>IFERROR(__xludf.DUMMYFUNCTION("""COMPUTED_VALUE"""),45785.0)</f>
        <v>45785</v>
      </c>
      <c r="L3903" s="6" t="str">
        <f>IFERROR(__xludf.DUMMYFUNCTION("""COMPUTED_VALUE"""),"FIP General")</f>
        <v>FIP General</v>
      </c>
      <c r="M3903" s="6" t="str">
        <f>IFERROR(__xludf.DUMMYFUNCTION("""COMPUTED_VALUE"""),"Mochammad Fadhillah Hakim,")</f>
        <v>Mochammad Fadhillah Hakim,</v>
      </c>
      <c r="N3903" s="6" t="str">
        <f>IFERROR(__xludf.DUMMYFUNCTION("""COMPUTED_VALUE"""),"FIP Engineering")</f>
        <v>FIP Engineering</v>
      </c>
      <c r="O3903" s="6" t="str">
        <f>IFERROR(__xludf.DUMMYFUNCTION("""COMPUTED_VALUE"""),"FIP-DOM-ENG-51505-0000000-INA-000000")</f>
        <v>FIP-DOM-ENG-51505-0000000-INA-000000</v>
      </c>
      <c r="P3903" s="6" t="str">
        <f>IFERROR(__xludf.DUMMYFUNCTION("""COMPUTED_VALUE"""),"PO Closed")</f>
        <v>PO Closed</v>
      </c>
      <c r="Q3903" s="6" t="str">
        <f>IFERROR(__xludf.DUMMYFUNCTION("""COMPUTED_VALUE"""),"GL2505036")</f>
        <v>GL2505036</v>
      </c>
      <c r="R3903" s="57">
        <f>IFERROR(__xludf.DUMMYFUNCTION("""COMPUTED_VALUE"""),45755.0)</f>
        <v>45755</v>
      </c>
      <c r="S3903" s="57">
        <f>IFERROR(__xludf.DUMMYFUNCTION("""COMPUTED_VALUE"""),45756.0)</f>
        <v>45756</v>
      </c>
      <c r="T3903" s="57">
        <f>IFERROR(__xludf.DUMMYFUNCTION("""COMPUTED_VALUE"""),45869.0)</f>
        <v>45869</v>
      </c>
    </row>
    <row r="3904">
      <c r="A3904" s="6" t="str">
        <f>IFERROR(__xludf.DUMMYFUNCTION("""COMPUTED_VALUE"""),"121702605-1")</f>
        <v>121702605-1</v>
      </c>
      <c r="B3904" s="6" t="str">
        <f>IFERROR(__xludf.DUMMYFUNCTION("""COMPUTED_VALUE"""),"121702605 - APPROVED")</f>
        <v>121702605 - APPROVED</v>
      </c>
      <c r="C3904" s="6">
        <f>IFERROR(__xludf.DUMMYFUNCTION("""COMPUTED_VALUE"""),1.0)</f>
        <v>1</v>
      </c>
      <c r="D3904" s="6" t="str">
        <f>IFERROR(__xludf.DUMMYFUNCTION("""COMPUTED_VALUE"""),"S-60050-00")</f>
        <v>S-60050-00</v>
      </c>
      <c r="E3904" s="6" t="str">
        <f>IFERROR(__xludf.DUMMYFUNCTION("""COMPUTED_VALUE"""),"Jasa Perbaikan dan Pemeliharaan Mesin Produksi; ; ;")</f>
        <v>Jasa Perbaikan dan Pemeliharaan Mesin Produksi; ; ;</v>
      </c>
      <c r="F3904" s="6">
        <f>IFERROR(__xludf.DUMMYFUNCTION("""COMPUTED_VALUE"""),1.0)</f>
        <v>1</v>
      </c>
      <c r="G3904" s="6" t="str">
        <f>IFERROR(__xludf.DUMMYFUNCTION("""COMPUTED_VALUE"""),"Pieces")</f>
        <v>Pieces</v>
      </c>
      <c r="H3904" s="6" t="str">
        <f>IFERROR(__xludf.DUMMYFUNCTION("""COMPUTED_VALUE"""),"USD")</f>
        <v>USD</v>
      </c>
      <c r="I3904" s="6">
        <f>IFERROR(__xludf.DUMMYFUNCTION("""COMPUTED_VALUE"""),1.59216E7)</f>
        <v>15921600</v>
      </c>
      <c r="J3904" s="6">
        <f>IFERROR(__xludf.DUMMYFUNCTION("""COMPUTED_VALUE"""),1.59216E7)</f>
        <v>15921600</v>
      </c>
      <c r="K3904" s="57">
        <f>IFERROR(__xludf.DUMMYFUNCTION("""COMPUTED_VALUE"""),45786.0)</f>
        <v>45786</v>
      </c>
      <c r="L3904" s="6" t="str">
        <f>IFERROR(__xludf.DUMMYFUNCTION("""COMPUTED_VALUE"""),"FIP General")</f>
        <v>FIP General</v>
      </c>
      <c r="M3904" s="6" t="str">
        <f>IFERROR(__xludf.DUMMYFUNCTION("""COMPUTED_VALUE"""),"Mochammad Fadhillah Hakim,")</f>
        <v>Mochammad Fadhillah Hakim,</v>
      </c>
      <c r="N3904" s="6" t="str">
        <f>IFERROR(__xludf.DUMMYFUNCTION("""COMPUTED_VALUE"""),"FIP Engineering")</f>
        <v>FIP Engineering</v>
      </c>
      <c r="O3904" s="6" t="str">
        <f>IFERROR(__xludf.DUMMYFUNCTION("""COMPUTED_VALUE"""),"FIP-DOM-ENG-51504-0000000-INA-000000")</f>
        <v>FIP-DOM-ENG-51504-0000000-INA-000000</v>
      </c>
      <c r="P3904" s="6" t="str">
        <f>IFERROR(__xludf.DUMMYFUNCTION("""COMPUTED_VALUE"""),"PO Closed")</f>
        <v>PO Closed</v>
      </c>
      <c r="Q3904" s="6" t="str">
        <f>IFERROR(__xludf.DUMMYFUNCTION("""COMPUTED_VALUE"""),"GL2505042")</f>
        <v>GL2505042</v>
      </c>
      <c r="R3904" s="57">
        <f>IFERROR(__xludf.DUMMYFUNCTION("""COMPUTED_VALUE"""),45756.0)</f>
        <v>45756</v>
      </c>
      <c r="S3904" s="57">
        <f>IFERROR(__xludf.DUMMYFUNCTION("""COMPUTED_VALUE"""),45758.0)</f>
        <v>45758</v>
      </c>
      <c r="T3904" s="57">
        <f>IFERROR(__xludf.DUMMYFUNCTION("""COMPUTED_VALUE"""),45835.0)</f>
        <v>45835</v>
      </c>
    </row>
    <row r="3905">
      <c r="A3905" s="6" t="str">
        <f>IFERROR(__xludf.DUMMYFUNCTION("""COMPUTED_VALUE"""),"121702606-1")</f>
        <v>121702606-1</v>
      </c>
      <c r="B3905" s="6" t="str">
        <f>IFERROR(__xludf.DUMMYFUNCTION("""COMPUTED_VALUE"""),"121702606 - APPROVED")</f>
        <v>121702606 - APPROVED</v>
      </c>
      <c r="C3905" s="6">
        <f>IFERROR(__xludf.DUMMYFUNCTION("""COMPUTED_VALUE"""),1.0)</f>
        <v>1</v>
      </c>
      <c r="D3905" s="6" t="str">
        <f>IFERROR(__xludf.DUMMYFUNCTION("""COMPUTED_VALUE"""),"S-60002-00")</f>
        <v>S-60002-00</v>
      </c>
      <c r="E3905" s="6" t="str">
        <f>IFERROR(__xludf.DUMMYFUNCTION("""COMPUTED_VALUE"""),"Jasa Perbaikan dan Pemeliharaan Mesin Utility")</f>
        <v>Jasa Perbaikan dan Pemeliharaan Mesin Utility</v>
      </c>
      <c r="F3905" s="6">
        <f>IFERROR(__xludf.DUMMYFUNCTION("""COMPUTED_VALUE"""),1.0)</f>
        <v>1</v>
      </c>
      <c r="G3905" s="6" t="str">
        <f>IFERROR(__xludf.DUMMYFUNCTION("""COMPUTED_VALUE"""),"Lot")</f>
        <v>Lot</v>
      </c>
      <c r="H3905" s="6" t="str">
        <f>IFERROR(__xludf.DUMMYFUNCTION("""COMPUTED_VALUE"""),"IDR")</f>
        <v>IDR</v>
      </c>
      <c r="I3905" s="6">
        <f>IFERROR(__xludf.DUMMYFUNCTION("""COMPUTED_VALUE"""),3000000.0)</f>
        <v>3000000</v>
      </c>
      <c r="J3905" s="6">
        <f>IFERROR(__xludf.DUMMYFUNCTION("""COMPUTED_VALUE"""),3000000.0)</f>
        <v>3000000</v>
      </c>
      <c r="K3905" s="57">
        <f>IFERROR(__xludf.DUMMYFUNCTION("""COMPUTED_VALUE"""),45786.0)</f>
        <v>45786</v>
      </c>
      <c r="L3905" s="6" t="str">
        <f>IFERROR(__xludf.DUMMYFUNCTION("""COMPUTED_VALUE"""),"FIP General")</f>
        <v>FIP General</v>
      </c>
      <c r="M3905" s="6" t="str">
        <f>IFERROR(__xludf.DUMMYFUNCTION("""COMPUTED_VALUE"""),"Mochammad Fadhillah Hakim,")</f>
        <v>Mochammad Fadhillah Hakim,</v>
      </c>
      <c r="N3905" s="6" t="str">
        <f>IFERROR(__xludf.DUMMYFUNCTION("""COMPUTED_VALUE"""),"FIP Engineering")</f>
        <v>FIP Engineering</v>
      </c>
      <c r="O3905" s="6" t="str">
        <f>IFERROR(__xludf.DUMMYFUNCTION("""COMPUTED_VALUE"""),"FIP-DOM-ENG-51508-0000000-INA-000000")</f>
        <v>FIP-DOM-ENG-51508-0000000-INA-000000</v>
      </c>
      <c r="P3905" s="6" t="str">
        <f>IFERROR(__xludf.DUMMYFUNCTION("""COMPUTED_VALUE"""),"PO Closed")</f>
        <v>PO Closed</v>
      </c>
      <c r="Q3905" s="6" t="str">
        <f>IFERROR(__xludf.DUMMYFUNCTION("""COMPUTED_VALUE"""),"GL2504043")</f>
        <v>GL2504043</v>
      </c>
      <c r="R3905" s="57">
        <f>IFERROR(__xludf.DUMMYFUNCTION("""COMPUTED_VALUE"""),45756.0)</f>
        <v>45756</v>
      </c>
      <c r="S3905" s="57">
        <f>IFERROR(__xludf.DUMMYFUNCTION("""COMPUTED_VALUE"""),45758.0)</f>
        <v>45758</v>
      </c>
      <c r="T3905" s="57">
        <f>IFERROR(__xludf.DUMMYFUNCTION("""COMPUTED_VALUE"""),45797.0)</f>
        <v>45797</v>
      </c>
    </row>
    <row r="3906">
      <c r="A3906" s="6" t="str">
        <f>IFERROR(__xludf.DUMMYFUNCTION("""COMPUTED_VALUE"""),"121702607-1")</f>
        <v>121702607-1</v>
      </c>
      <c r="B3906" s="6" t="str">
        <f>IFERROR(__xludf.DUMMYFUNCTION("""COMPUTED_VALUE"""),"121702607 - APPROVED")</f>
        <v>121702607 - APPROVED</v>
      </c>
      <c r="C3906" s="6">
        <f>IFERROR(__xludf.DUMMYFUNCTION("""COMPUTED_VALUE"""),1.0)</f>
        <v>1</v>
      </c>
      <c r="D3906" s="6" t="str">
        <f>IFERROR(__xludf.DUMMYFUNCTION("""COMPUTED_VALUE"""),"S-46129-00")</f>
        <v>S-46129-00</v>
      </c>
      <c r="E3906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F3906" s="6">
        <f>IFERROR(__xludf.DUMMYFUNCTION("""COMPUTED_VALUE"""),5.0)</f>
        <v>5</v>
      </c>
      <c r="G3906" s="6" t="str">
        <f>IFERROR(__xludf.DUMMYFUNCTION("""COMPUTED_VALUE"""),"Roll")</f>
        <v>Roll</v>
      </c>
      <c r="H3906" s="6" t="str">
        <f>IFERROR(__xludf.DUMMYFUNCTION("""COMPUTED_VALUE"""),"IDR")</f>
        <v>IDR</v>
      </c>
      <c r="I3906" s="6">
        <f>IFERROR(__xludf.DUMMYFUNCTION("""COMPUTED_VALUE"""),44000.0)</f>
        <v>44000</v>
      </c>
      <c r="J3906" s="6">
        <f>IFERROR(__xludf.DUMMYFUNCTION("""COMPUTED_VALUE"""),220000.0)</f>
        <v>220000</v>
      </c>
      <c r="K3906" s="57">
        <f>IFERROR(__xludf.DUMMYFUNCTION("""COMPUTED_VALUE"""),45786.0)</f>
        <v>45786</v>
      </c>
      <c r="L3906" s="6" t="str">
        <f>IFERROR(__xludf.DUMMYFUNCTION("""COMPUTED_VALUE"""),"FIP General")</f>
        <v>FIP General</v>
      </c>
      <c r="M3906" s="6" t="str">
        <f>IFERROR(__xludf.DUMMYFUNCTION("""COMPUTED_VALUE"""),"Mochammad Fadhillah Hakim,")</f>
        <v>Mochammad Fadhillah Hakim,</v>
      </c>
      <c r="N3906" s="6" t="str">
        <f>IFERROR(__xludf.DUMMYFUNCTION("""COMPUTED_VALUE"""),"FIP Engineering")</f>
        <v>FIP Engineering</v>
      </c>
      <c r="O3906" s="6" t="str">
        <f>IFERROR(__xludf.DUMMYFUNCTION("""COMPUTED_VALUE"""),"FIP-DOM-ENG-51404-0000000-INA-000000")</f>
        <v>FIP-DOM-ENG-51404-0000000-INA-000000</v>
      </c>
      <c r="P3906" s="6" t="str">
        <f>IFERROR(__xludf.DUMMYFUNCTION("""COMPUTED_VALUE"""),"PO Closed")</f>
        <v>PO Closed</v>
      </c>
      <c r="Q3906" s="6" t="str">
        <f>IFERROR(__xludf.DUMMYFUNCTION("""COMPUTED_VALUE"""),"GL2504362")</f>
        <v>GL2504362</v>
      </c>
      <c r="R3906" s="57">
        <f>IFERROR(__xludf.DUMMYFUNCTION("""COMPUTED_VALUE"""),45756.0)</f>
        <v>45756</v>
      </c>
      <c r="S3906" s="57">
        <f>IFERROR(__xludf.DUMMYFUNCTION("""COMPUTED_VALUE"""),45758.0)</f>
        <v>45758</v>
      </c>
      <c r="T3906" s="57">
        <f>IFERROR(__xludf.DUMMYFUNCTION("""COMPUTED_VALUE"""),45777.0)</f>
        <v>45777</v>
      </c>
    </row>
    <row r="3907">
      <c r="A3907" s="6" t="str">
        <f>IFERROR(__xludf.DUMMYFUNCTION("""COMPUTED_VALUE"""),"121702608-1")</f>
        <v>121702608-1</v>
      </c>
      <c r="B3907" s="6" t="str">
        <f>IFERROR(__xludf.DUMMYFUNCTION("""COMPUTED_VALUE"""),"121702608 - APPROVED")</f>
        <v>121702608 - APPROVED</v>
      </c>
      <c r="C3907" s="6">
        <f>IFERROR(__xludf.DUMMYFUNCTION("""COMPUTED_VALUE"""),1.0)</f>
        <v>1</v>
      </c>
      <c r="D3907" s="6" t="str">
        <f>IFERROR(__xludf.DUMMYFUNCTION("""COMPUTED_VALUE"""),"O-20396-00")</f>
        <v>O-20396-00</v>
      </c>
      <c r="E3907" s="6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F3907" s="6">
        <f>IFERROR(__xludf.DUMMYFUNCTION("""COMPUTED_VALUE"""),1.0)</f>
        <v>1</v>
      </c>
      <c r="G3907" s="6" t="str">
        <f>IFERROR(__xludf.DUMMYFUNCTION("""COMPUTED_VALUE"""),"Pieces")</f>
        <v>Pieces</v>
      </c>
      <c r="H3907" s="6" t="str">
        <f>IFERROR(__xludf.DUMMYFUNCTION("""COMPUTED_VALUE"""),"IDR")</f>
        <v>IDR</v>
      </c>
      <c r="I3907" s="6">
        <f>IFERROR(__xludf.DUMMYFUNCTION("""COMPUTED_VALUE"""),1988000.0)</f>
        <v>1988000</v>
      </c>
      <c r="J3907" s="6">
        <f>IFERROR(__xludf.DUMMYFUNCTION("""COMPUTED_VALUE"""),1988000.0)</f>
        <v>1988000</v>
      </c>
      <c r="K3907" s="57">
        <f>IFERROR(__xludf.DUMMYFUNCTION("""COMPUTED_VALUE"""),45786.0)</f>
        <v>45786</v>
      </c>
      <c r="L3907" s="6" t="str">
        <f>IFERROR(__xludf.DUMMYFUNCTION("""COMPUTED_VALUE"""),"FIP Engineering")</f>
        <v>FIP Engineering</v>
      </c>
      <c r="M3907" s="6" t="str">
        <f>IFERROR(__xludf.DUMMYFUNCTION("""COMPUTED_VALUE"""),"Mochammad Fadhillah Hakim,")</f>
        <v>Mochammad Fadhillah Hakim,</v>
      </c>
      <c r="N3907" s="6" t="str">
        <f>IFERROR(__xludf.DUMMYFUNCTION("""COMPUTED_VALUE"""),"FIP Engineering")</f>
        <v>FIP Engineering</v>
      </c>
      <c r="O3907" s="6" t="str">
        <f>IFERROR(__xludf.DUMMYFUNCTION("""COMPUTED_VALUE"""),"FIP-DOM-000-11304-OS00001-INA-000000")</f>
        <v>FIP-DOM-000-11304-OS00001-INA-000000</v>
      </c>
      <c r="P3907" s="6" t="str">
        <f>IFERROR(__xludf.DUMMYFUNCTION("""COMPUTED_VALUE"""),"PO Closed")</f>
        <v>PO Closed</v>
      </c>
      <c r="Q3907" s="6" t="str">
        <f>IFERROR(__xludf.DUMMYFUNCTION("""COMPUTED_VALUE"""),"GL2505026")</f>
        <v>GL2505026</v>
      </c>
      <c r="R3907" s="57">
        <f>IFERROR(__xludf.DUMMYFUNCTION("""COMPUTED_VALUE"""),45756.0)</f>
        <v>45756</v>
      </c>
      <c r="S3907" s="57">
        <f>IFERROR(__xludf.DUMMYFUNCTION("""COMPUTED_VALUE"""),45758.0)</f>
        <v>45758</v>
      </c>
      <c r="T3907" s="57">
        <f>IFERROR(__xludf.DUMMYFUNCTION("""COMPUTED_VALUE"""),45817.0)</f>
        <v>45817</v>
      </c>
    </row>
    <row r="3908">
      <c r="A3908" s="6" t="str">
        <f>IFERROR(__xludf.DUMMYFUNCTION("""COMPUTED_VALUE"""),"121702608-2")</f>
        <v>121702608-2</v>
      </c>
      <c r="B3908" s="6" t="str">
        <f>IFERROR(__xludf.DUMMYFUNCTION("""COMPUTED_VALUE"""),"121702608 - APPROVED")</f>
        <v>121702608 - APPROVED</v>
      </c>
      <c r="C3908" s="6">
        <f>IFERROR(__xludf.DUMMYFUNCTION("""COMPUTED_VALUE"""),2.0)</f>
        <v>2</v>
      </c>
      <c r="D3908" s="6" t="str">
        <f>IFERROR(__xludf.DUMMYFUNCTION("""COMPUTED_VALUE"""),"O-20484-00")</f>
        <v>O-20484-00</v>
      </c>
      <c r="E3908" s="6" t="str">
        <f>IFERROR(__xludf.DUMMYFUNCTION("""COMPUTED_VALUE"""),"Mixing Tank Adam - Tray Kabel 30x50x1000 mm; Custom/Lokal; -; 1 Pc")</f>
        <v>Mixing Tank Adam - Tray Kabel 30x50x1000 mm; Custom/Lokal; -; 1 Pc</v>
      </c>
      <c r="F3908" s="6">
        <f>IFERROR(__xludf.DUMMYFUNCTION("""COMPUTED_VALUE"""),2.0)</f>
        <v>2</v>
      </c>
      <c r="G3908" s="6" t="str">
        <f>IFERROR(__xludf.DUMMYFUNCTION("""COMPUTED_VALUE"""),"Pieces")</f>
        <v>Pieces</v>
      </c>
      <c r="H3908" s="6" t="str">
        <f>IFERROR(__xludf.DUMMYFUNCTION("""COMPUTED_VALUE"""),"IDR")</f>
        <v>IDR</v>
      </c>
      <c r="I3908" s="6">
        <f>IFERROR(__xludf.DUMMYFUNCTION("""COMPUTED_VALUE"""),975000.0)</f>
        <v>975000</v>
      </c>
      <c r="J3908" s="6">
        <f>IFERROR(__xludf.DUMMYFUNCTION("""COMPUTED_VALUE"""),1950000.0)</f>
        <v>1950000</v>
      </c>
      <c r="K3908" s="57">
        <f>IFERROR(__xludf.DUMMYFUNCTION("""COMPUTED_VALUE"""),45786.0)</f>
        <v>45786</v>
      </c>
      <c r="L3908" s="6" t="str">
        <f>IFERROR(__xludf.DUMMYFUNCTION("""COMPUTED_VALUE"""),"FIP Engineering")</f>
        <v>FIP Engineering</v>
      </c>
      <c r="M3908" s="6" t="str">
        <f>IFERROR(__xludf.DUMMYFUNCTION("""COMPUTED_VALUE"""),"Mochammad Fadhillah Hakim,")</f>
        <v>Mochammad Fadhillah Hakim,</v>
      </c>
      <c r="N3908" s="6" t="str">
        <f>IFERROR(__xludf.DUMMYFUNCTION("""COMPUTED_VALUE"""),"FIP Engineering")</f>
        <v>FIP Engineering</v>
      </c>
      <c r="O3908" s="6" t="str">
        <f>IFERROR(__xludf.DUMMYFUNCTION("""COMPUTED_VALUE"""),"FIP-DOM-000-11304-OS00001-INA-000000")</f>
        <v>FIP-DOM-000-11304-OS00001-INA-000000</v>
      </c>
      <c r="P3908" s="6" t="str">
        <f>IFERROR(__xludf.DUMMYFUNCTION("""COMPUTED_VALUE"""),"PO Closed")</f>
        <v>PO Closed</v>
      </c>
      <c r="Q3908" s="6" t="str">
        <f>IFERROR(__xludf.DUMMYFUNCTION("""COMPUTED_VALUE"""),"GL2505026")</f>
        <v>GL2505026</v>
      </c>
      <c r="R3908" s="57">
        <f>IFERROR(__xludf.DUMMYFUNCTION("""COMPUTED_VALUE"""),45756.0)</f>
        <v>45756</v>
      </c>
      <c r="S3908" s="57">
        <f>IFERROR(__xludf.DUMMYFUNCTION("""COMPUTED_VALUE"""),45758.0)</f>
        <v>45758</v>
      </c>
      <c r="T3908" s="57">
        <f>IFERROR(__xludf.DUMMYFUNCTION("""COMPUTED_VALUE"""),45817.0)</f>
        <v>45817</v>
      </c>
    </row>
    <row r="3909">
      <c r="A3909" s="6" t="str">
        <f>IFERROR(__xludf.DUMMYFUNCTION("""COMPUTED_VALUE"""),"121702609-1")</f>
        <v>121702609-1</v>
      </c>
      <c r="B3909" s="6" t="str">
        <f>IFERROR(__xludf.DUMMYFUNCTION("""COMPUTED_VALUE"""),"121702609 - APPROVED")</f>
        <v>121702609 - APPROVED</v>
      </c>
      <c r="C3909" s="6">
        <f>IFERROR(__xludf.DUMMYFUNCTION("""COMPUTED_VALUE"""),1.0)</f>
        <v>1</v>
      </c>
      <c r="D3909" s="6" t="str">
        <f>IFERROR(__xludf.DUMMYFUNCTION("""COMPUTED_VALUE"""),"O-20475-00")</f>
        <v>O-20475-00</v>
      </c>
      <c r="E3909" s="6" t="str">
        <f>IFERROR(__xludf.DUMMYFUNCTION("""COMPUTED_VALUE"""),"Freeze Dryer MBE1207 - Oring Silicone 5x39x49 mm LPRV; Custom/Lokal; -; 1 pc")</f>
        <v>Freeze Dryer MBE1207 - Oring Silicone 5x39x49 mm LPRV; Custom/Lokal; -; 1 pc</v>
      </c>
      <c r="F3909" s="6">
        <f>IFERROR(__xludf.DUMMYFUNCTION("""COMPUTED_VALUE"""),10.0)</f>
        <v>10</v>
      </c>
      <c r="G3909" s="6" t="str">
        <f>IFERROR(__xludf.DUMMYFUNCTION("""COMPUTED_VALUE"""),"Pieces")</f>
        <v>Pieces</v>
      </c>
      <c r="H3909" s="6" t="str">
        <f>IFERROR(__xludf.DUMMYFUNCTION("""COMPUTED_VALUE"""),"IDR")</f>
        <v>IDR</v>
      </c>
      <c r="I3909" s="6">
        <f>IFERROR(__xludf.DUMMYFUNCTION("""COMPUTED_VALUE"""),55000.0)</f>
        <v>55000</v>
      </c>
      <c r="J3909" s="6">
        <f>IFERROR(__xludf.DUMMYFUNCTION("""COMPUTED_VALUE"""),550000.0)</f>
        <v>550000</v>
      </c>
      <c r="K3909" s="57">
        <f>IFERROR(__xludf.DUMMYFUNCTION("""COMPUTED_VALUE"""),45786.0)</f>
        <v>45786</v>
      </c>
      <c r="L3909" s="6" t="str">
        <f>IFERROR(__xludf.DUMMYFUNCTION("""COMPUTED_VALUE"""),"FIP Engineering")</f>
        <v>FIP Engineering</v>
      </c>
      <c r="M3909" s="6" t="str">
        <f>IFERROR(__xludf.DUMMYFUNCTION("""COMPUTED_VALUE"""),"Mochammad Fadhillah Hakim,")</f>
        <v>Mochammad Fadhillah Hakim,</v>
      </c>
      <c r="N3909" s="6" t="str">
        <f>IFERROR(__xludf.DUMMYFUNCTION("""COMPUTED_VALUE"""),"FIP Engineering")</f>
        <v>FIP Engineering</v>
      </c>
      <c r="O3909" s="6" t="str">
        <f>IFERROR(__xludf.DUMMYFUNCTION("""COMPUTED_VALUE"""),"FIP-DOM-000-11304-OS00001-INA-000000")</f>
        <v>FIP-DOM-000-11304-OS00001-INA-000000</v>
      </c>
      <c r="P3909" s="6" t="str">
        <f>IFERROR(__xludf.DUMMYFUNCTION("""COMPUTED_VALUE"""),"PO Closed")</f>
        <v>PO Closed</v>
      </c>
      <c r="Q3909" s="6" t="str">
        <f>IFERROR(__xludf.DUMMYFUNCTION("""COMPUTED_VALUE"""),"GL2505029")</f>
        <v>GL2505029</v>
      </c>
      <c r="R3909" s="57">
        <f>IFERROR(__xludf.DUMMYFUNCTION("""COMPUTED_VALUE"""),45756.0)</f>
        <v>45756</v>
      </c>
      <c r="S3909" s="57">
        <f>IFERROR(__xludf.DUMMYFUNCTION("""COMPUTED_VALUE"""),45758.0)</f>
        <v>45758</v>
      </c>
      <c r="T3909" s="57">
        <f>IFERROR(__xludf.DUMMYFUNCTION("""COMPUTED_VALUE"""),45817.0)</f>
        <v>45817</v>
      </c>
    </row>
    <row r="3910">
      <c r="A3910" s="6" t="str">
        <f>IFERROR(__xludf.DUMMYFUNCTION("""COMPUTED_VALUE"""),"121702610-1")</f>
        <v>121702610-1</v>
      </c>
      <c r="B3910" s="6" t="str">
        <f>IFERROR(__xludf.DUMMYFUNCTION("""COMPUTED_VALUE"""),"121702610 - APPROVED")</f>
        <v>121702610 - APPROVED</v>
      </c>
      <c r="C3910" s="6">
        <f>IFERROR(__xludf.DUMMYFUNCTION("""COMPUTED_VALUE"""),1.0)</f>
        <v>1</v>
      </c>
      <c r="D3910" s="6" t="str">
        <f>IFERROR(__xludf.DUMMYFUNCTION("""COMPUTED_VALUE"""),"O-52314-00")</f>
        <v>O-52314-00</v>
      </c>
      <c r="E3910" s="6" t="str">
        <f>IFERROR(__xludf.DUMMYFUNCTION("""COMPUTED_VALUE"""),"Selenoid Valve VSNC-FC-M52-MD-G14-F8-1B2; Festo; P/n: 577295;")</f>
        <v>Selenoid Valve VSNC-FC-M52-MD-G14-F8-1B2; Festo; P/n: 577295;</v>
      </c>
      <c r="F3910" s="6">
        <f>IFERROR(__xludf.DUMMYFUNCTION("""COMPUTED_VALUE"""),2.0)</f>
        <v>2</v>
      </c>
      <c r="G3910" s="6" t="str">
        <f>IFERROR(__xludf.DUMMYFUNCTION("""COMPUTED_VALUE"""),"Pieces")</f>
        <v>Pieces</v>
      </c>
      <c r="H3910" s="6" t="str">
        <f>IFERROR(__xludf.DUMMYFUNCTION("""COMPUTED_VALUE"""),"IDR")</f>
        <v>IDR</v>
      </c>
      <c r="I3910" s="6">
        <f>IFERROR(__xludf.DUMMYFUNCTION("""COMPUTED_VALUE"""),1206151.0)</f>
        <v>1206151</v>
      </c>
      <c r="J3910" s="6">
        <f>IFERROR(__xludf.DUMMYFUNCTION("""COMPUTED_VALUE"""),2412302.0)</f>
        <v>2412302</v>
      </c>
      <c r="K3910" s="57">
        <f>IFERROR(__xludf.DUMMYFUNCTION("""COMPUTED_VALUE"""),45786.0)</f>
        <v>45786</v>
      </c>
      <c r="L3910" s="6" t="str">
        <f>IFERROR(__xludf.DUMMYFUNCTION("""COMPUTED_VALUE"""),"FIP Engineering")</f>
        <v>FIP Engineering</v>
      </c>
      <c r="M3910" s="6" t="str">
        <f>IFERROR(__xludf.DUMMYFUNCTION("""COMPUTED_VALUE"""),"Mochammad Fadhillah Hakim,")</f>
        <v>Mochammad Fadhillah Hakim,</v>
      </c>
      <c r="N3910" s="6" t="str">
        <f>IFERROR(__xludf.DUMMYFUNCTION("""COMPUTED_VALUE"""),"FIP Engineering")</f>
        <v>FIP Engineering</v>
      </c>
      <c r="O3910" s="6" t="str">
        <f>IFERROR(__xludf.DUMMYFUNCTION("""COMPUTED_VALUE"""),"FIP-DOM-000-11304-OS00001-INA-000000")</f>
        <v>FIP-DOM-000-11304-OS00001-INA-000000</v>
      </c>
      <c r="P3910" s="6" t="str">
        <f>IFERROR(__xludf.DUMMYFUNCTION("""COMPUTED_VALUE"""),"PO Closed")</f>
        <v>PO Closed</v>
      </c>
      <c r="Q3910" s="6" t="str">
        <f>IFERROR(__xludf.DUMMYFUNCTION("""COMPUTED_VALUE"""),"GL2505371")</f>
        <v>GL2505371</v>
      </c>
      <c r="R3910" s="57">
        <f>IFERROR(__xludf.DUMMYFUNCTION("""COMPUTED_VALUE"""),45756.0)</f>
        <v>45756</v>
      </c>
      <c r="S3910" s="57">
        <f>IFERROR(__xludf.DUMMYFUNCTION("""COMPUTED_VALUE"""),45758.0)</f>
        <v>45758</v>
      </c>
      <c r="T3910" s="57">
        <f>IFERROR(__xludf.DUMMYFUNCTION("""COMPUTED_VALUE"""),45817.0)</f>
        <v>45817</v>
      </c>
    </row>
    <row r="3911">
      <c r="A3911" s="6" t="str">
        <f>IFERROR(__xludf.DUMMYFUNCTION("""COMPUTED_VALUE"""),"121702620-1")</f>
        <v>121702620-1</v>
      </c>
      <c r="B3911" s="6" t="str">
        <f>IFERROR(__xludf.DUMMYFUNCTION("""COMPUTED_VALUE"""),"121702620 - APPROVED")</f>
        <v>121702620 - APPROVED</v>
      </c>
      <c r="C3911" s="6">
        <f>IFERROR(__xludf.DUMMYFUNCTION("""COMPUTED_VALUE"""),1.0)</f>
        <v>1</v>
      </c>
      <c r="D3911" s="6" t="str">
        <f>IFERROR(__xludf.DUMMYFUNCTION("""COMPUTED_VALUE"""),"P-19777-00")</f>
        <v>P-19777-00</v>
      </c>
      <c r="E3911" s="6" t="str">
        <f>IFERROR(__xludf.DUMMYFUNCTION("""COMPUTED_VALUE"""),"General - Coupling Adapter Mixer SS 304 SMBS Uk. 35x100mm; Custom; -; 1 pc")</f>
        <v>General - Coupling Adapter Mixer SS 304 SMBS Uk. 35x100mm; Custom; -; 1 pc</v>
      </c>
      <c r="F3911" s="6">
        <f>IFERROR(__xludf.DUMMYFUNCTION("""COMPUTED_VALUE"""),1.0)</f>
        <v>1</v>
      </c>
      <c r="G3911" s="6" t="str">
        <f>IFERROR(__xludf.DUMMYFUNCTION("""COMPUTED_VALUE"""),"Pieces")</f>
        <v>Pieces</v>
      </c>
      <c r="H3911" s="6" t="str">
        <f>IFERROR(__xludf.DUMMYFUNCTION("""COMPUTED_VALUE"""),"IDR")</f>
        <v>IDR</v>
      </c>
      <c r="I3911" s="6">
        <f>IFERROR(__xludf.DUMMYFUNCTION("""COMPUTED_VALUE"""),885000.0)</f>
        <v>885000</v>
      </c>
      <c r="J3911" s="6">
        <f>IFERROR(__xludf.DUMMYFUNCTION("""COMPUTED_VALUE"""),885000.0)</f>
        <v>885000</v>
      </c>
      <c r="K3911" s="57">
        <f>IFERROR(__xludf.DUMMYFUNCTION("""COMPUTED_VALUE"""),45761.0)</f>
        <v>45761</v>
      </c>
      <c r="L3911" s="6" t="str">
        <f>IFERROR(__xludf.DUMMYFUNCTION("""COMPUTED_VALUE"""),"FIP Engineering")</f>
        <v>FIP Engineering</v>
      </c>
      <c r="M3911" s="6" t="str">
        <f>IFERROR(__xludf.DUMMYFUNCTION("""COMPUTED_VALUE"""),"Mochammad Fadhillah Hakim,")</f>
        <v>Mochammad Fadhillah Hakim,</v>
      </c>
      <c r="N3911" s="6" t="str">
        <f>IFERROR(__xludf.DUMMYFUNCTION("""COMPUTED_VALUE"""),"FIP Engineering")</f>
        <v>FIP Engineering</v>
      </c>
      <c r="O3911" s="6" t="str">
        <f>IFERROR(__xludf.DUMMYFUNCTION("""COMPUTED_VALUE"""),"FIP-DOM-000-11304-OS00001-INA-000000")</f>
        <v>FIP-DOM-000-11304-OS00001-INA-000000</v>
      </c>
      <c r="P3911" s="6" t="str">
        <f>IFERROR(__xludf.DUMMYFUNCTION("""COMPUTED_VALUE"""),"PO Closed")</f>
        <v>PO Closed</v>
      </c>
      <c r="Q3911" s="6" t="str">
        <f>IFERROR(__xludf.DUMMYFUNCTION("""COMPUTED_VALUE"""),"GL2504045")</f>
        <v>GL2504045</v>
      </c>
      <c r="R3911" s="57">
        <f>IFERROR(__xludf.DUMMYFUNCTION("""COMPUTED_VALUE"""),45758.0)</f>
        <v>45758</v>
      </c>
      <c r="S3911" s="57">
        <f>IFERROR(__xludf.DUMMYFUNCTION("""COMPUTED_VALUE"""),45758.0)</f>
        <v>45758</v>
      </c>
      <c r="T3911" s="57">
        <f>IFERROR(__xludf.DUMMYFUNCTION("""COMPUTED_VALUE"""),45791.0)</f>
        <v>45791</v>
      </c>
    </row>
    <row r="3912">
      <c r="A3912" s="6" t="str">
        <f>IFERROR(__xludf.DUMMYFUNCTION("""COMPUTED_VALUE"""),"121702621-1")</f>
        <v>121702621-1</v>
      </c>
      <c r="B3912" s="6" t="str">
        <f>IFERROR(__xludf.DUMMYFUNCTION("""COMPUTED_VALUE"""),"121702621 - APPROVED")</f>
        <v>121702621 - APPROVED</v>
      </c>
      <c r="C3912" s="6">
        <f>IFERROR(__xludf.DUMMYFUNCTION("""COMPUTED_VALUE"""),1.0)</f>
        <v>1</v>
      </c>
      <c r="D3912" s="6" t="str">
        <f>IFERROR(__xludf.DUMMYFUNCTION("""COMPUTED_VALUE"""),"P-53418-00")</f>
        <v>P-53418-00</v>
      </c>
      <c r="E3912" s="6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F3912" s="6">
        <f>IFERROR(__xludf.DUMMYFUNCTION("""COMPUTED_VALUE"""),1.0)</f>
        <v>1</v>
      </c>
      <c r="G3912" s="6" t="str">
        <f>IFERROR(__xludf.DUMMYFUNCTION("""COMPUTED_VALUE"""),"Set")</f>
        <v>Set</v>
      </c>
      <c r="H3912" s="6" t="str">
        <f>IFERROR(__xludf.DUMMYFUNCTION("""COMPUTED_VALUE"""),"IDR")</f>
        <v>IDR</v>
      </c>
      <c r="I3912" s="6">
        <f>IFERROR(__xludf.DUMMYFUNCTION("""COMPUTED_VALUE"""),3125000.0)</f>
        <v>3125000</v>
      </c>
      <c r="J3912" s="6">
        <f>IFERROR(__xludf.DUMMYFUNCTION("""COMPUTED_VALUE"""),3125000.0)</f>
        <v>3125000</v>
      </c>
      <c r="K3912" s="57">
        <f>IFERROR(__xludf.DUMMYFUNCTION("""COMPUTED_VALUE"""),45763.0)</f>
        <v>45763</v>
      </c>
      <c r="L3912" s="6" t="str">
        <f>IFERROR(__xludf.DUMMYFUNCTION("""COMPUTED_VALUE"""),"FIP Engineering")</f>
        <v>FIP Engineering</v>
      </c>
      <c r="M3912" s="6" t="str">
        <f>IFERROR(__xludf.DUMMYFUNCTION("""COMPUTED_VALUE"""),"Mochammad Fadhillah Hakim,")</f>
        <v>Mochammad Fadhillah Hakim,</v>
      </c>
      <c r="N3912" s="6" t="str">
        <f>IFERROR(__xludf.DUMMYFUNCTION("""COMPUTED_VALUE"""),"FIP Engineering")</f>
        <v>FIP Engineering</v>
      </c>
      <c r="O3912" s="6" t="str">
        <f>IFERROR(__xludf.DUMMYFUNCTION("""COMPUTED_VALUE"""),"FIP-DOM-000-11304-OS00001-INA-000000")</f>
        <v>FIP-DOM-000-11304-OS00001-INA-000000</v>
      </c>
      <c r="P3912" s="6" t="str">
        <f>IFERROR(__xludf.DUMMYFUNCTION("""COMPUTED_VALUE"""),"PO Closed")</f>
        <v>PO Closed</v>
      </c>
      <c r="Q3912" s="6" t="str">
        <f>IFERROR(__xludf.DUMMYFUNCTION("""COMPUTED_VALUE"""),"GL2505002")</f>
        <v>GL2505002</v>
      </c>
      <c r="R3912" s="57">
        <f>IFERROR(__xludf.DUMMYFUNCTION("""COMPUTED_VALUE"""),45758.0)</f>
        <v>45758</v>
      </c>
      <c r="S3912" s="57">
        <f>IFERROR(__xludf.DUMMYFUNCTION("""COMPUTED_VALUE"""),45761.0)</f>
        <v>45761</v>
      </c>
      <c r="T3912" s="57">
        <f>IFERROR(__xludf.DUMMYFUNCTION("""COMPUTED_VALUE"""),45807.0)</f>
        <v>45807</v>
      </c>
    </row>
    <row r="3913">
      <c r="A3913" s="6" t="str">
        <f>IFERROR(__xludf.DUMMYFUNCTION("""COMPUTED_VALUE"""),"121702622-1")</f>
        <v>121702622-1</v>
      </c>
      <c r="B3913" s="6" t="str">
        <f>IFERROR(__xludf.DUMMYFUNCTION("""COMPUTED_VALUE"""),"121702622 - APPROVED")</f>
        <v>121702622 - APPROVED</v>
      </c>
      <c r="C3913" s="6">
        <f>IFERROR(__xludf.DUMMYFUNCTION("""COMPUTED_VALUE"""),1.0)</f>
        <v>1</v>
      </c>
      <c r="D3913" s="6" t="str">
        <f>IFERROR(__xludf.DUMMYFUNCTION("""COMPUTED_VALUE"""),"O-20297-00")</f>
        <v>O-20297-00</v>
      </c>
      <c r="E3913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F3913" s="6">
        <f>IFERROR(__xludf.DUMMYFUNCTION("""COMPUTED_VALUE"""),50.0)</f>
        <v>50</v>
      </c>
      <c r="G3913" s="6" t="str">
        <f>IFERROR(__xludf.DUMMYFUNCTION("""COMPUTED_VALUE"""),"Pieces")</f>
        <v>Pieces</v>
      </c>
      <c r="H3913" s="6" t="str">
        <f>IFERROR(__xludf.DUMMYFUNCTION("""COMPUTED_VALUE"""),"IDR")</f>
        <v>IDR</v>
      </c>
      <c r="I3913" s="6">
        <f>IFERROR(__xludf.DUMMYFUNCTION("""COMPUTED_VALUE"""),27500.0)</f>
        <v>27500</v>
      </c>
      <c r="J3913" s="6">
        <f>IFERROR(__xludf.DUMMYFUNCTION("""COMPUTED_VALUE"""),1375000.0)</f>
        <v>1375000</v>
      </c>
      <c r="K3913" s="57">
        <f>IFERROR(__xludf.DUMMYFUNCTION("""COMPUTED_VALUE"""),45772.0)</f>
        <v>45772</v>
      </c>
      <c r="L3913" s="6" t="str">
        <f>IFERROR(__xludf.DUMMYFUNCTION("""COMPUTED_VALUE"""),"FIP Engineering")</f>
        <v>FIP Engineering</v>
      </c>
      <c r="M3913" s="6" t="str">
        <f>IFERROR(__xludf.DUMMYFUNCTION("""COMPUTED_VALUE"""),"Mochammad Fadhillah Hakim,")</f>
        <v>Mochammad Fadhillah Hakim,</v>
      </c>
      <c r="N3913" s="6" t="str">
        <f>IFERROR(__xludf.DUMMYFUNCTION("""COMPUTED_VALUE"""),"FIP Engineering")</f>
        <v>FIP Engineering</v>
      </c>
      <c r="O3913" s="6" t="str">
        <f>IFERROR(__xludf.DUMMYFUNCTION("""COMPUTED_VALUE"""),"FIP-DOM-000-11304-OS00001-INA-000000")</f>
        <v>FIP-DOM-000-11304-OS00001-INA-000000</v>
      </c>
      <c r="P3913" s="6" t="str">
        <f>IFERROR(__xludf.DUMMYFUNCTION("""COMPUTED_VALUE"""),"PO Closed")</f>
        <v>PO Closed</v>
      </c>
      <c r="Q3913" s="6" t="str">
        <f>IFERROR(__xludf.DUMMYFUNCTION("""COMPUTED_VALUE"""),"GL2505029")</f>
        <v>GL2505029</v>
      </c>
      <c r="R3913" s="57">
        <f>IFERROR(__xludf.DUMMYFUNCTION("""COMPUTED_VALUE"""),45759.0)</f>
        <v>45759</v>
      </c>
      <c r="S3913" s="57">
        <f>IFERROR(__xludf.DUMMYFUNCTION("""COMPUTED_VALUE"""),45761.0)</f>
        <v>45761</v>
      </c>
      <c r="T3913" s="57">
        <f>IFERROR(__xludf.DUMMYFUNCTION("""COMPUTED_VALUE"""),45817.0)</f>
        <v>45817</v>
      </c>
    </row>
    <row r="3914">
      <c r="A3914" s="6" t="str">
        <f>IFERROR(__xludf.DUMMYFUNCTION("""COMPUTED_VALUE"""),"121702623-1")</f>
        <v>121702623-1</v>
      </c>
      <c r="B3914" s="6" t="str">
        <f>IFERROR(__xludf.DUMMYFUNCTION("""COMPUTED_VALUE"""),"121702623 - APPROVED")</f>
        <v>121702623 - APPROVED</v>
      </c>
      <c r="C3914" s="6">
        <f>IFERROR(__xludf.DUMMYFUNCTION("""COMPUTED_VALUE"""),1.0)</f>
        <v>1</v>
      </c>
      <c r="D3914" s="6" t="str">
        <f>IFERROR(__xludf.DUMMYFUNCTION("""COMPUTED_VALUE"""),"O-51698-00")</f>
        <v>O-51698-00</v>
      </c>
      <c r="E3914" s="6" t="str">
        <f>IFERROR(__xludf.DUMMYFUNCTION("""COMPUTED_VALUE"""),"OMRON - Relay MY4Z 24VDC; ; ;")</f>
        <v>OMRON - Relay MY4Z 24VDC; ; ;</v>
      </c>
      <c r="F3914" s="6">
        <f>IFERROR(__xludf.DUMMYFUNCTION("""COMPUTED_VALUE"""),15.0)</f>
        <v>15</v>
      </c>
      <c r="G3914" s="6" t="str">
        <f>IFERROR(__xludf.DUMMYFUNCTION("""COMPUTED_VALUE"""),"Pieces")</f>
        <v>Pieces</v>
      </c>
      <c r="H3914" s="6" t="str">
        <f>IFERROR(__xludf.DUMMYFUNCTION("""COMPUTED_VALUE"""),"IDR")</f>
        <v>IDR</v>
      </c>
      <c r="I3914" s="6">
        <f>IFERROR(__xludf.DUMMYFUNCTION("""COMPUTED_VALUE"""),162000.0)</f>
        <v>162000</v>
      </c>
      <c r="J3914" s="6">
        <f>IFERROR(__xludf.DUMMYFUNCTION("""COMPUTED_VALUE"""),2430000.0)</f>
        <v>2430000</v>
      </c>
      <c r="K3914" s="57">
        <f>IFERROR(__xludf.DUMMYFUNCTION("""COMPUTED_VALUE"""),45793.0)</f>
        <v>45793</v>
      </c>
      <c r="L3914" s="6" t="str">
        <f>IFERROR(__xludf.DUMMYFUNCTION("""COMPUTED_VALUE"""),"FIP Engineering")</f>
        <v>FIP Engineering</v>
      </c>
      <c r="M3914" s="6" t="str">
        <f>IFERROR(__xludf.DUMMYFUNCTION("""COMPUTED_VALUE"""),"Mochammad Fadhillah Hakim,")</f>
        <v>Mochammad Fadhillah Hakim,</v>
      </c>
      <c r="N3914" s="6" t="str">
        <f>IFERROR(__xludf.DUMMYFUNCTION("""COMPUTED_VALUE"""),"FIP Engineering")</f>
        <v>FIP Engineering</v>
      </c>
      <c r="O3914" s="6" t="str">
        <f>IFERROR(__xludf.DUMMYFUNCTION("""COMPUTED_VALUE"""),"FIP-DOM-000-11304-OS00001-INA-000000")</f>
        <v>FIP-DOM-000-11304-OS00001-INA-000000</v>
      </c>
      <c r="P3914" s="6" t="str">
        <f>IFERROR(__xludf.DUMMYFUNCTION("""COMPUTED_VALUE"""),"PO Closed")</f>
        <v>PO Closed</v>
      </c>
      <c r="Q3914" s="6" t="str">
        <f>IFERROR(__xludf.DUMMYFUNCTION("""COMPUTED_VALUE"""),"GL2505037")</f>
        <v>GL2505037</v>
      </c>
      <c r="R3914" s="57">
        <f>IFERROR(__xludf.DUMMYFUNCTION("""COMPUTED_VALUE"""),45762.0)</f>
        <v>45762</v>
      </c>
      <c r="S3914" s="57">
        <f>IFERROR(__xludf.DUMMYFUNCTION("""COMPUTED_VALUE"""),45763.0)</f>
        <v>45763</v>
      </c>
      <c r="T3914" s="57">
        <f>IFERROR(__xludf.DUMMYFUNCTION("""COMPUTED_VALUE"""),45885.0)</f>
        <v>45885</v>
      </c>
    </row>
    <row r="3915">
      <c r="A3915" s="6" t="str">
        <f>IFERROR(__xludf.DUMMYFUNCTION("""COMPUTED_VALUE"""),"121702624-1")</f>
        <v>121702624-1</v>
      </c>
      <c r="B3915" s="6" t="str">
        <f>IFERROR(__xludf.DUMMYFUNCTION("""COMPUTED_VALUE"""),"121702624 - APPROVED")</f>
        <v>121702624 - APPROVED</v>
      </c>
      <c r="C3915" s="6">
        <f>IFERROR(__xludf.DUMMYFUNCTION("""COMPUTED_VALUE"""),1.0)</f>
        <v>1</v>
      </c>
      <c r="D3915" s="6" t="str">
        <f>IFERROR(__xludf.DUMMYFUNCTION("""COMPUTED_VALUE"""),"O-16731-00")</f>
        <v>O-16731-00</v>
      </c>
      <c r="E3915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F3915" s="6">
        <f>IFERROR(__xludf.DUMMYFUNCTION("""COMPUTED_VALUE"""),14.0)</f>
        <v>14</v>
      </c>
      <c r="G3915" s="6" t="str">
        <f>IFERROR(__xludf.DUMMYFUNCTION("""COMPUTED_VALUE"""),"Pieces")</f>
        <v>Pieces</v>
      </c>
      <c r="H3915" s="6" t="str">
        <f>IFERROR(__xludf.DUMMYFUNCTION("""COMPUTED_VALUE"""),"IDR")</f>
        <v>IDR</v>
      </c>
      <c r="I3915" s="6">
        <f>IFERROR(__xludf.DUMMYFUNCTION("""COMPUTED_VALUE"""),641979.0)</f>
        <v>641979</v>
      </c>
      <c r="J3915" s="6">
        <f>IFERROR(__xludf.DUMMYFUNCTION("""COMPUTED_VALUE"""),8987706.0)</f>
        <v>8987706</v>
      </c>
      <c r="K3915" s="57">
        <f>IFERROR(__xludf.DUMMYFUNCTION("""COMPUTED_VALUE"""),45824.0)</f>
        <v>45824</v>
      </c>
      <c r="L3915" s="6" t="str">
        <f>IFERROR(__xludf.DUMMYFUNCTION("""COMPUTED_VALUE"""),"FIP Engineering")</f>
        <v>FIP Engineering</v>
      </c>
      <c r="M3915" s="6" t="str">
        <f>IFERROR(__xludf.DUMMYFUNCTION("""COMPUTED_VALUE"""),"Mochammad Fadhillah Hakim,")</f>
        <v>Mochammad Fadhillah Hakim,</v>
      </c>
      <c r="N3915" s="6" t="str">
        <f>IFERROR(__xludf.DUMMYFUNCTION("""COMPUTED_VALUE"""),"FIP Engineering")</f>
        <v>FIP Engineering</v>
      </c>
      <c r="O3915" s="6" t="str">
        <f>IFERROR(__xludf.DUMMYFUNCTION("""COMPUTED_VALUE"""),"FIP-DOM-000-11304-OS00001-INA-000000")</f>
        <v>FIP-DOM-000-11304-OS00001-INA-000000</v>
      </c>
      <c r="P3915" s="6" t="str">
        <f>IFERROR(__xludf.DUMMYFUNCTION("""COMPUTED_VALUE"""),"PO Closed")</f>
        <v>PO Closed</v>
      </c>
      <c r="Q3915" s="6" t="str">
        <f>IFERROR(__xludf.DUMMYFUNCTION("""COMPUTED_VALUE"""),"GL2506003")</f>
        <v>GL2506003</v>
      </c>
      <c r="R3915" s="57">
        <f>IFERROR(__xludf.DUMMYFUNCTION("""COMPUTED_VALUE"""),45762.0)</f>
        <v>45762</v>
      </c>
      <c r="S3915" s="57">
        <f>IFERROR(__xludf.DUMMYFUNCTION("""COMPUTED_VALUE"""),45763.0)</f>
        <v>45763</v>
      </c>
      <c r="T3915" s="57">
        <f>IFERROR(__xludf.DUMMYFUNCTION("""COMPUTED_VALUE"""),45916.0)</f>
        <v>45916</v>
      </c>
    </row>
    <row r="3916">
      <c r="A3916" s="6" t="str">
        <f>IFERROR(__xludf.DUMMYFUNCTION("""COMPUTED_VALUE"""),"121702624-2")</f>
        <v>121702624-2</v>
      </c>
      <c r="B3916" s="6" t="str">
        <f>IFERROR(__xludf.DUMMYFUNCTION("""COMPUTED_VALUE"""),"121702624 - APPROVED")</f>
        <v>121702624 - APPROVED</v>
      </c>
      <c r="C3916" s="6">
        <f>IFERROR(__xludf.DUMMYFUNCTION("""COMPUTED_VALUE"""),2.0)</f>
        <v>2</v>
      </c>
      <c r="D3916" s="6" t="str">
        <f>IFERROR(__xludf.DUMMYFUNCTION("""COMPUTED_VALUE"""),"O-15912-00")</f>
        <v>O-15912-00</v>
      </c>
      <c r="E3916" s="6" t="str">
        <f>IFERROR(__xludf.DUMMYFUNCTION("""COMPUTED_VALUE"""),"Fedegari FVA2/A1 - CLAMP DN34-DN35 (MICROCASTED); Code : GM100094; ; ;")</f>
        <v>Fedegari FVA2/A1 - CLAMP DN34-DN35 (MICROCASTED); Code : GM100094; ; ;</v>
      </c>
      <c r="F3916" s="6">
        <f>IFERROR(__xludf.DUMMYFUNCTION("""COMPUTED_VALUE"""),1.0)</f>
        <v>1</v>
      </c>
      <c r="G3916" s="6" t="str">
        <f>IFERROR(__xludf.DUMMYFUNCTION("""COMPUTED_VALUE"""),"Unit")</f>
        <v>Unit</v>
      </c>
      <c r="H3916" s="6" t="str">
        <f>IFERROR(__xludf.DUMMYFUNCTION("""COMPUTED_VALUE"""),"IDR")</f>
        <v>IDR</v>
      </c>
      <c r="I3916" s="6">
        <f>IFERROR(__xludf.DUMMYFUNCTION("""COMPUTED_VALUE"""),969287.0)</f>
        <v>969287</v>
      </c>
      <c r="J3916" s="6">
        <f>IFERROR(__xludf.DUMMYFUNCTION("""COMPUTED_VALUE"""),969287.0)</f>
        <v>969287</v>
      </c>
      <c r="K3916" s="57">
        <f>IFERROR(__xludf.DUMMYFUNCTION("""COMPUTED_VALUE"""),45824.0)</f>
        <v>45824</v>
      </c>
      <c r="L3916" s="6" t="str">
        <f>IFERROR(__xludf.DUMMYFUNCTION("""COMPUTED_VALUE"""),"FIP Engineering")</f>
        <v>FIP Engineering</v>
      </c>
      <c r="M3916" s="6" t="str">
        <f>IFERROR(__xludf.DUMMYFUNCTION("""COMPUTED_VALUE"""),"Mochammad Fadhillah Hakim,")</f>
        <v>Mochammad Fadhillah Hakim,</v>
      </c>
      <c r="N3916" s="6" t="str">
        <f>IFERROR(__xludf.DUMMYFUNCTION("""COMPUTED_VALUE"""),"FIP Engineering")</f>
        <v>FIP Engineering</v>
      </c>
      <c r="O3916" s="6" t="str">
        <f>IFERROR(__xludf.DUMMYFUNCTION("""COMPUTED_VALUE"""),"FIP-DOM-000-11304-OS00001-INA-000000")</f>
        <v>FIP-DOM-000-11304-OS00001-INA-000000</v>
      </c>
      <c r="P3916" s="6" t="str">
        <f>IFERROR(__xludf.DUMMYFUNCTION("""COMPUTED_VALUE"""),"PO Closed")</f>
        <v>PO Closed</v>
      </c>
      <c r="Q3916" s="6" t="str">
        <f>IFERROR(__xludf.DUMMYFUNCTION("""COMPUTED_VALUE"""),"GL2506003")</f>
        <v>GL2506003</v>
      </c>
      <c r="R3916" s="57">
        <f>IFERROR(__xludf.DUMMYFUNCTION("""COMPUTED_VALUE"""),45762.0)</f>
        <v>45762</v>
      </c>
      <c r="S3916" s="57">
        <f>IFERROR(__xludf.DUMMYFUNCTION("""COMPUTED_VALUE"""),45763.0)</f>
        <v>45763</v>
      </c>
      <c r="T3916" s="57">
        <f>IFERROR(__xludf.DUMMYFUNCTION("""COMPUTED_VALUE"""),45916.0)</f>
        <v>45916</v>
      </c>
    </row>
    <row r="3917">
      <c r="A3917" s="6" t="str">
        <f>IFERROR(__xludf.DUMMYFUNCTION("""COMPUTED_VALUE"""),"121702624-3")</f>
        <v>121702624-3</v>
      </c>
      <c r="B3917" s="6" t="str">
        <f>IFERROR(__xludf.DUMMYFUNCTION("""COMPUTED_VALUE"""),"121702624 - APPROVED")</f>
        <v>121702624 - APPROVED</v>
      </c>
      <c r="C3917" s="6">
        <f>IFERROR(__xludf.DUMMYFUNCTION("""COMPUTED_VALUE"""),3.0)</f>
        <v>3</v>
      </c>
      <c r="D3917" s="6" t="str">
        <f>IFERROR(__xludf.DUMMYFUNCTION("""COMPUTED_VALUE"""),"O-15915-00")</f>
        <v>O-15915-00</v>
      </c>
      <c r="E3917" s="6" t="str">
        <f>IFERROR(__xludf.DUMMYFUNCTION("""COMPUTED_VALUE"""),"Fedegari FVA2/A1 - DN16 ASTM CAP; Code : PM102747; ; ;")</f>
        <v>Fedegari FVA2/A1 - DN16 ASTM CAP; Code : PM102747; ; ;</v>
      </c>
      <c r="F3917" s="6">
        <f>IFERROR(__xludf.DUMMYFUNCTION("""COMPUTED_VALUE"""),1.0)</f>
        <v>1</v>
      </c>
      <c r="G3917" s="6" t="str">
        <f>IFERROR(__xludf.DUMMYFUNCTION("""COMPUTED_VALUE"""),"Unit")</f>
        <v>Unit</v>
      </c>
      <c r="H3917" s="6" t="str">
        <f>IFERROR(__xludf.DUMMYFUNCTION("""COMPUTED_VALUE"""),"IDR")</f>
        <v>IDR</v>
      </c>
      <c r="I3917" s="6">
        <f>IFERROR(__xludf.DUMMYFUNCTION("""COMPUTED_VALUE"""),580952.0)</f>
        <v>580952</v>
      </c>
      <c r="J3917" s="6">
        <f>IFERROR(__xludf.DUMMYFUNCTION("""COMPUTED_VALUE"""),580952.0)</f>
        <v>580952</v>
      </c>
      <c r="K3917" s="57">
        <f>IFERROR(__xludf.DUMMYFUNCTION("""COMPUTED_VALUE"""),45824.0)</f>
        <v>45824</v>
      </c>
      <c r="L3917" s="6" t="str">
        <f>IFERROR(__xludf.DUMMYFUNCTION("""COMPUTED_VALUE"""),"FIP Engineering")</f>
        <v>FIP Engineering</v>
      </c>
      <c r="M3917" s="6" t="str">
        <f>IFERROR(__xludf.DUMMYFUNCTION("""COMPUTED_VALUE"""),"Mochammad Fadhillah Hakim,")</f>
        <v>Mochammad Fadhillah Hakim,</v>
      </c>
      <c r="N3917" s="6" t="str">
        <f>IFERROR(__xludf.DUMMYFUNCTION("""COMPUTED_VALUE"""),"FIP Engineering")</f>
        <v>FIP Engineering</v>
      </c>
      <c r="O3917" s="6" t="str">
        <f>IFERROR(__xludf.DUMMYFUNCTION("""COMPUTED_VALUE"""),"FIP-DOM-000-11304-OS00001-INA-000000")</f>
        <v>FIP-DOM-000-11304-OS00001-INA-000000</v>
      </c>
      <c r="P3917" s="6" t="str">
        <f>IFERROR(__xludf.DUMMYFUNCTION("""COMPUTED_VALUE"""),"PO Closed")</f>
        <v>PO Closed</v>
      </c>
      <c r="Q3917" s="6" t="str">
        <f>IFERROR(__xludf.DUMMYFUNCTION("""COMPUTED_VALUE"""),"GL2506003")</f>
        <v>GL2506003</v>
      </c>
      <c r="R3917" s="57">
        <f>IFERROR(__xludf.DUMMYFUNCTION("""COMPUTED_VALUE"""),45762.0)</f>
        <v>45762</v>
      </c>
      <c r="S3917" s="57">
        <f>IFERROR(__xludf.DUMMYFUNCTION("""COMPUTED_VALUE"""),45763.0)</f>
        <v>45763</v>
      </c>
      <c r="T3917" s="57">
        <f>IFERROR(__xludf.DUMMYFUNCTION("""COMPUTED_VALUE"""),45916.0)</f>
        <v>45916</v>
      </c>
    </row>
    <row r="3918">
      <c r="A3918" s="6" t="str">
        <f>IFERROR(__xludf.DUMMYFUNCTION("""COMPUTED_VALUE"""),"121702625-1")</f>
        <v>121702625-1</v>
      </c>
      <c r="B3918" s="6" t="str">
        <f>IFERROR(__xludf.DUMMYFUNCTION("""COMPUTED_VALUE"""),"121702625 - APPROVED")</f>
        <v>121702625 - APPROVED</v>
      </c>
      <c r="C3918" s="6">
        <f>IFERROR(__xludf.DUMMYFUNCTION("""COMPUTED_VALUE"""),1.0)</f>
        <v>1</v>
      </c>
      <c r="D3918" s="6" t="str">
        <f>IFERROR(__xludf.DUMMYFUNCTION("""COMPUTED_VALUE"""),"P-15429-00")</f>
        <v>P-15429-00</v>
      </c>
      <c r="E3918" s="6" t="str">
        <f>IFERROR(__xludf.DUMMYFUNCTION("""COMPUTED_VALUE"""),"Fedegari FVA2/A1 S/N : NB2964AT - Cover Seal FVM-A/2 FOB2 (Code: PP600265); ; ;")</f>
        <v>Fedegari FVA2/A1 S/N : NB2964AT - Cover Seal FVM-A/2 FOB2 (Code: PP600265); ; ;</v>
      </c>
      <c r="F3918" s="6">
        <f>IFERROR(__xludf.DUMMYFUNCTION("""COMPUTED_VALUE"""),1.0)</f>
        <v>1</v>
      </c>
      <c r="G3918" s="6" t="str">
        <f>IFERROR(__xludf.DUMMYFUNCTION("""COMPUTED_VALUE"""),"Unit")</f>
        <v>Unit</v>
      </c>
      <c r="H3918" s="6" t="str">
        <f>IFERROR(__xludf.DUMMYFUNCTION("""COMPUTED_VALUE"""),"IDR")</f>
        <v>IDR</v>
      </c>
      <c r="I3918" s="6">
        <f>IFERROR(__xludf.DUMMYFUNCTION("""COMPUTED_VALUE"""),3352262.0)</f>
        <v>3352262</v>
      </c>
      <c r="J3918" s="6">
        <f>IFERROR(__xludf.DUMMYFUNCTION("""COMPUTED_VALUE"""),3352262.0)</f>
        <v>3352262</v>
      </c>
      <c r="K3918" s="57">
        <f>IFERROR(__xludf.DUMMYFUNCTION("""COMPUTED_VALUE"""),45824.0)</f>
        <v>45824</v>
      </c>
      <c r="L3918" s="6" t="str">
        <f>IFERROR(__xludf.DUMMYFUNCTION("""COMPUTED_VALUE"""),"FIP Engineering")</f>
        <v>FIP Engineering</v>
      </c>
      <c r="M3918" s="6" t="str">
        <f>IFERROR(__xludf.DUMMYFUNCTION("""COMPUTED_VALUE"""),"Mochammad Fadhillah Hakim,")</f>
        <v>Mochammad Fadhillah Hakim,</v>
      </c>
      <c r="N3918" s="6" t="str">
        <f>IFERROR(__xludf.DUMMYFUNCTION("""COMPUTED_VALUE"""),"FIP Engineering")</f>
        <v>FIP Engineering</v>
      </c>
      <c r="O3918" s="6" t="str">
        <f>IFERROR(__xludf.DUMMYFUNCTION("""COMPUTED_VALUE"""),"FIP-DOM-000-11304-OS00001-INA-000000")</f>
        <v>FIP-DOM-000-11304-OS00001-INA-000000</v>
      </c>
      <c r="P3918" s="6" t="str">
        <f>IFERROR(__xludf.DUMMYFUNCTION("""COMPUTED_VALUE"""),"PO Closed")</f>
        <v>PO Closed</v>
      </c>
      <c r="Q3918" s="6" t="str">
        <f>IFERROR(__xludf.DUMMYFUNCTION("""COMPUTED_VALUE"""),"GL2506003")</f>
        <v>GL2506003</v>
      </c>
      <c r="R3918" s="57">
        <f>IFERROR(__xludf.DUMMYFUNCTION("""COMPUTED_VALUE"""),45762.0)</f>
        <v>45762</v>
      </c>
      <c r="S3918" s="57">
        <f>IFERROR(__xludf.DUMMYFUNCTION("""COMPUTED_VALUE"""),45763.0)</f>
        <v>45763</v>
      </c>
      <c r="T3918" s="57">
        <f>IFERROR(__xludf.DUMMYFUNCTION("""COMPUTED_VALUE"""),45916.0)</f>
        <v>45916</v>
      </c>
    </row>
    <row r="3919">
      <c r="A3919" s="6" t="str">
        <f>IFERROR(__xludf.DUMMYFUNCTION("""COMPUTED_VALUE"""),"121702626-1")</f>
        <v>121702626-1</v>
      </c>
      <c r="B3919" s="6" t="str">
        <f>IFERROR(__xludf.DUMMYFUNCTION("""COMPUTED_VALUE"""),"121702626 - APPROVED")</f>
        <v>121702626 - APPROVED</v>
      </c>
      <c r="C3919" s="6">
        <f>IFERROR(__xludf.DUMMYFUNCTION("""COMPUTED_VALUE"""),1.0)</f>
        <v>1</v>
      </c>
      <c r="D3919" s="6" t="str">
        <f>IFERROR(__xludf.DUMMYFUNCTION("""COMPUTED_VALUE"""),"O-16658-00")</f>
        <v>O-16658-00</v>
      </c>
      <c r="E3919" s="6" t="str">
        <f>IFERROR(__xludf.DUMMYFUNCTION("""COMPUTED_VALUE"""),"Cylinder Compact ADNGF-16-15-P-A FESTO P/N : 554214 pc")</f>
        <v>Cylinder Compact ADNGF-16-15-P-A FESTO P/N : 554214 pc</v>
      </c>
      <c r="F3919" s="6">
        <f>IFERROR(__xludf.DUMMYFUNCTION("""COMPUTED_VALUE"""),1.0)</f>
        <v>1</v>
      </c>
      <c r="G3919" s="6" t="str">
        <f>IFERROR(__xludf.DUMMYFUNCTION("""COMPUTED_VALUE"""),"Pieces")</f>
        <v>Pieces</v>
      </c>
      <c r="H3919" s="6" t="str">
        <f>IFERROR(__xludf.DUMMYFUNCTION("""COMPUTED_VALUE"""),"IDR")</f>
        <v>IDR</v>
      </c>
      <c r="I3919" s="6">
        <f>IFERROR(__xludf.DUMMYFUNCTION("""COMPUTED_VALUE"""),1260334.0)</f>
        <v>1260334</v>
      </c>
      <c r="J3919" s="6">
        <f>IFERROR(__xludf.DUMMYFUNCTION("""COMPUTED_VALUE"""),1260334.0)</f>
        <v>1260334</v>
      </c>
      <c r="K3919" s="57">
        <f>IFERROR(__xludf.DUMMYFUNCTION("""COMPUTED_VALUE"""),45793.0)</f>
        <v>45793</v>
      </c>
      <c r="L3919" s="6" t="str">
        <f>IFERROR(__xludf.DUMMYFUNCTION("""COMPUTED_VALUE"""),"FIP Engineering")</f>
        <v>FIP Engineering</v>
      </c>
      <c r="M3919" s="6" t="str">
        <f>IFERROR(__xludf.DUMMYFUNCTION("""COMPUTED_VALUE"""),"Mochammad Fadhillah Hakim,")</f>
        <v>Mochammad Fadhillah Hakim,</v>
      </c>
      <c r="N3919" s="6" t="str">
        <f>IFERROR(__xludf.DUMMYFUNCTION("""COMPUTED_VALUE"""),"FIP Engineering")</f>
        <v>FIP Engineering</v>
      </c>
      <c r="O3919" s="6" t="str">
        <f>IFERROR(__xludf.DUMMYFUNCTION("""COMPUTED_VALUE"""),"FIP-DOM-000-11304-OS00001-INA-000000")</f>
        <v>FIP-DOM-000-11304-OS00001-INA-000000</v>
      </c>
      <c r="P3919" s="6" t="str">
        <f>IFERROR(__xludf.DUMMYFUNCTION("""COMPUTED_VALUE"""),"PO Closed")</f>
        <v>PO Closed</v>
      </c>
      <c r="Q3919" s="6" t="str">
        <f>IFERROR(__xludf.DUMMYFUNCTION("""COMPUTED_VALUE"""),"GL2505371")</f>
        <v>GL2505371</v>
      </c>
      <c r="R3919" s="57">
        <f>IFERROR(__xludf.DUMMYFUNCTION("""COMPUTED_VALUE"""),45762.0)</f>
        <v>45762</v>
      </c>
      <c r="S3919" s="57">
        <f>IFERROR(__xludf.DUMMYFUNCTION("""COMPUTED_VALUE"""),45763.0)</f>
        <v>45763</v>
      </c>
      <c r="T3919" s="57">
        <f>IFERROR(__xludf.DUMMYFUNCTION("""COMPUTED_VALUE"""),45817.0)</f>
        <v>45817</v>
      </c>
    </row>
    <row r="3920">
      <c r="A3920" s="6" t="str">
        <f>IFERROR(__xludf.DUMMYFUNCTION("""COMPUTED_VALUE"""),"121702627-1")</f>
        <v>121702627-1</v>
      </c>
      <c r="B3920" s="6" t="str">
        <f>IFERROR(__xludf.DUMMYFUNCTION("""COMPUTED_VALUE"""),"121702627 - APPROVED")</f>
        <v>121702627 - APPROVED</v>
      </c>
      <c r="C3920" s="6">
        <f>IFERROR(__xludf.DUMMYFUNCTION("""COMPUTED_VALUE"""),1.0)</f>
        <v>1</v>
      </c>
      <c r="D3920" s="6" t="str">
        <f>IFERROR(__xludf.DUMMYFUNCTION("""COMPUTED_VALUE"""),"O-17831-00")</f>
        <v>O-17831-00</v>
      </c>
      <c r="E3920" s="6" t="str">
        <f>IFERROR(__xludf.DUMMYFUNCTION("""COMPUTED_VALUE"""),"Gear Door Autoclave, HARRISA CIPTARINDO ENGINEERING, CV P/N : -  pc")</f>
        <v>Gear Door Autoclave, HARRISA CIPTARINDO ENGINEERING, CV P/N : -  pc</v>
      </c>
      <c r="F3920" s="6">
        <f>IFERROR(__xludf.DUMMYFUNCTION("""COMPUTED_VALUE"""),2.0)</f>
        <v>2</v>
      </c>
      <c r="G3920" s="6" t="str">
        <f>IFERROR(__xludf.DUMMYFUNCTION("""COMPUTED_VALUE"""),"Pieces")</f>
        <v>Pieces</v>
      </c>
      <c r="H3920" s="6" t="str">
        <f>IFERROR(__xludf.DUMMYFUNCTION("""COMPUTED_VALUE"""),"IDR")</f>
        <v>IDR</v>
      </c>
      <c r="I3920" s="6">
        <f>IFERROR(__xludf.DUMMYFUNCTION("""COMPUTED_VALUE"""),1500000.0)</f>
        <v>1500000</v>
      </c>
      <c r="J3920" s="6">
        <f>IFERROR(__xludf.DUMMYFUNCTION("""COMPUTED_VALUE"""),3000000.0)</f>
        <v>3000000</v>
      </c>
      <c r="K3920" s="57">
        <f>IFERROR(__xludf.DUMMYFUNCTION("""COMPUTED_VALUE"""),45793.0)</f>
        <v>45793</v>
      </c>
      <c r="L3920" s="6" t="str">
        <f>IFERROR(__xludf.DUMMYFUNCTION("""COMPUTED_VALUE"""),"FIP Engineering")</f>
        <v>FIP Engineering</v>
      </c>
      <c r="M3920" s="6" t="str">
        <f>IFERROR(__xludf.DUMMYFUNCTION("""COMPUTED_VALUE"""),"Mochammad Fadhillah Hakim,")</f>
        <v>Mochammad Fadhillah Hakim,</v>
      </c>
      <c r="N3920" s="6" t="str">
        <f>IFERROR(__xludf.DUMMYFUNCTION("""COMPUTED_VALUE"""),"FIP Engineering")</f>
        <v>FIP Engineering</v>
      </c>
      <c r="O3920" s="6" t="str">
        <f>IFERROR(__xludf.DUMMYFUNCTION("""COMPUTED_VALUE"""),"FIP-DOM-000-11304-OS00001-INA-000000")</f>
        <v>FIP-DOM-000-11304-OS00001-INA-000000</v>
      </c>
      <c r="P3920" s="6" t="str">
        <f>IFERROR(__xludf.DUMMYFUNCTION("""COMPUTED_VALUE"""),"PO Closed")</f>
        <v>PO Closed</v>
      </c>
      <c r="Q3920" s="6" t="str">
        <f>IFERROR(__xludf.DUMMYFUNCTION("""COMPUTED_VALUE"""),"GL2505048")</f>
        <v>GL2505048</v>
      </c>
      <c r="R3920" s="57">
        <f>IFERROR(__xludf.DUMMYFUNCTION("""COMPUTED_VALUE"""),45762.0)</f>
        <v>45762</v>
      </c>
      <c r="S3920" s="57">
        <f>IFERROR(__xludf.DUMMYFUNCTION("""COMPUTED_VALUE"""),45763.0)</f>
        <v>45763</v>
      </c>
      <c r="T3920" s="57">
        <f>IFERROR(__xludf.DUMMYFUNCTION("""COMPUTED_VALUE"""),45838.0)</f>
        <v>45838</v>
      </c>
    </row>
    <row r="3921">
      <c r="A3921" s="6" t="str">
        <f>IFERROR(__xludf.DUMMYFUNCTION("""COMPUTED_VALUE"""),"121702627-2")</f>
        <v>121702627-2</v>
      </c>
      <c r="B3921" s="6" t="str">
        <f>IFERROR(__xludf.DUMMYFUNCTION("""COMPUTED_VALUE"""),"121702627 - APPROVED")</f>
        <v>121702627 - APPROVED</v>
      </c>
      <c r="C3921" s="6">
        <f>IFERROR(__xludf.DUMMYFUNCTION("""COMPUTED_VALUE"""),2.0)</f>
        <v>2</v>
      </c>
      <c r="D3921" s="6" t="str">
        <f>IFERROR(__xludf.DUMMYFUNCTION("""COMPUTED_VALUE"""),"O-17069-00")</f>
        <v>O-17069-00</v>
      </c>
      <c r="E3921" s="6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F3921" s="6">
        <f>IFERROR(__xludf.DUMMYFUNCTION("""COMPUTED_VALUE"""),20.0)</f>
        <v>20</v>
      </c>
      <c r="G3921" s="6" t="str">
        <f>IFERROR(__xludf.DUMMYFUNCTION("""COMPUTED_VALUE"""),"Pieces")</f>
        <v>Pieces</v>
      </c>
      <c r="H3921" s="6" t="str">
        <f>IFERROR(__xludf.DUMMYFUNCTION("""COMPUTED_VALUE"""),"IDR")</f>
        <v>IDR</v>
      </c>
      <c r="I3921" s="6">
        <f>IFERROR(__xludf.DUMMYFUNCTION("""COMPUTED_VALUE"""),175750.0)</f>
        <v>175750</v>
      </c>
      <c r="J3921" s="6">
        <f>IFERROR(__xludf.DUMMYFUNCTION("""COMPUTED_VALUE"""),3515000.0)</f>
        <v>3515000</v>
      </c>
      <c r="K3921" s="57">
        <f>IFERROR(__xludf.DUMMYFUNCTION("""COMPUTED_VALUE"""),45793.0)</f>
        <v>45793</v>
      </c>
      <c r="L3921" s="6" t="str">
        <f>IFERROR(__xludf.DUMMYFUNCTION("""COMPUTED_VALUE"""),"FIP Engineering")</f>
        <v>FIP Engineering</v>
      </c>
      <c r="M3921" s="6" t="str">
        <f>IFERROR(__xludf.DUMMYFUNCTION("""COMPUTED_VALUE"""),"Mochammad Fadhillah Hakim,")</f>
        <v>Mochammad Fadhillah Hakim,</v>
      </c>
      <c r="N3921" s="6" t="str">
        <f>IFERROR(__xludf.DUMMYFUNCTION("""COMPUTED_VALUE"""),"FIP Engineering")</f>
        <v>FIP Engineering</v>
      </c>
      <c r="O3921" s="6" t="str">
        <f>IFERROR(__xludf.DUMMYFUNCTION("""COMPUTED_VALUE"""),"FIP-DOM-000-11304-OS00001-INA-000000")</f>
        <v>FIP-DOM-000-11304-OS00001-INA-000000</v>
      </c>
      <c r="P3921" s="6" t="str">
        <f>IFERROR(__xludf.DUMMYFUNCTION("""COMPUTED_VALUE"""),"PO Closed")</f>
        <v>PO Closed</v>
      </c>
      <c r="Q3921" s="6" t="str">
        <f>IFERROR(__xludf.DUMMYFUNCTION("""COMPUTED_VALUE"""),"GL2505048")</f>
        <v>GL2505048</v>
      </c>
      <c r="R3921" s="57">
        <f>IFERROR(__xludf.DUMMYFUNCTION("""COMPUTED_VALUE"""),45762.0)</f>
        <v>45762</v>
      </c>
      <c r="S3921" s="57">
        <f>IFERROR(__xludf.DUMMYFUNCTION("""COMPUTED_VALUE"""),45763.0)</f>
        <v>45763</v>
      </c>
      <c r="T3921" s="57">
        <f>IFERROR(__xludf.DUMMYFUNCTION("""COMPUTED_VALUE"""),45838.0)</f>
        <v>45838</v>
      </c>
    </row>
    <row r="3922">
      <c r="A3922" s="6" t="str">
        <f>IFERROR(__xludf.DUMMYFUNCTION("""COMPUTED_VALUE"""),"121702628-1")</f>
        <v>121702628-1</v>
      </c>
      <c r="B3922" s="6" t="str">
        <f>IFERROR(__xludf.DUMMYFUNCTION("""COMPUTED_VALUE"""),"121702628 - APPROVED")</f>
        <v>121702628 - APPROVED</v>
      </c>
      <c r="C3922" s="6">
        <f>IFERROR(__xludf.DUMMYFUNCTION("""COMPUTED_VALUE"""),1.0)</f>
        <v>1</v>
      </c>
      <c r="D3922" s="6" t="str">
        <f>IFERROR(__xludf.DUMMYFUNCTION("""COMPUTED_VALUE"""),"O-17960-00")</f>
        <v>O-17960-00</v>
      </c>
      <c r="E3922" s="6" t="str">
        <f>IFERROR(__xludf.DUMMYFUNCTION("""COMPUTED_VALUE"""),"Mixer Male Bearing, GMP, pH Range: pH1  pH14, 1/pack; NovAseptic; ;")</f>
        <v>Mixer Male Bearing, GMP, pH Range: pH1  pH14, 1/pack; NovAseptic; ;</v>
      </c>
      <c r="F3922" s="6">
        <f>IFERROR(__xludf.DUMMYFUNCTION("""COMPUTED_VALUE"""),1.0)</f>
        <v>1</v>
      </c>
      <c r="G3922" s="6" t="str">
        <f>IFERROR(__xludf.DUMMYFUNCTION("""COMPUTED_VALUE"""),"Pack")</f>
        <v>Pack</v>
      </c>
      <c r="H3922" s="6" t="str">
        <f>IFERROR(__xludf.DUMMYFUNCTION("""COMPUTED_VALUE"""),"IDR")</f>
        <v>IDR</v>
      </c>
      <c r="I3922" s="6">
        <f>IFERROR(__xludf.DUMMYFUNCTION("""COMPUTED_VALUE"""),1.04706E7)</f>
        <v>10470600</v>
      </c>
      <c r="J3922" s="6">
        <f>IFERROR(__xludf.DUMMYFUNCTION("""COMPUTED_VALUE"""),1.04706E7)</f>
        <v>10470600</v>
      </c>
      <c r="K3922" s="57">
        <f>IFERROR(__xludf.DUMMYFUNCTION("""COMPUTED_VALUE"""),45854.0)</f>
        <v>45854</v>
      </c>
      <c r="L3922" s="6" t="str">
        <f>IFERROR(__xludf.DUMMYFUNCTION("""COMPUTED_VALUE"""),"FIP Engineering")</f>
        <v>FIP Engineering</v>
      </c>
      <c r="M3922" s="6" t="str">
        <f>IFERROR(__xludf.DUMMYFUNCTION("""COMPUTED_VALUE"""),"Mochammad Fadhillah Hakim,")</f>
        <v>Mochammad Fadhillah Hakim,</v>
      </c>
      <c r="N3922" s="6" t="str">
        <f>IFERROR(__xludf.DUMMYFUNCTION("""COMPUTED_VALUE"""),"FIP Engineering")</f>
        <v>FIP Engineering</v>
      </c>
      <c r="O3922" s="6" t="str">
        <f>IFERROR(__xludf.DUMMYFUNCTION("""COMPUTED_VALUE"""),"FIP-DOM-000-11304-OS00001-INA-000000")</f>
        <v>FIP-DOM-000-11304-OS00001-INA-000000</v>
      </c>
      <c r="P3922" s="6" t="str">
        <f>IFERROR(__xludf.DUMMYFUNCTION("""COMPUTED_VALUE"""),"PO Closed")</f>
        <v>PO Closed</v>
      </c>
      <c r="Q3922" s="6" t="str">
        <f>IFERROR(__xludf.DUMMYFUNCTION("""COMPUTED_VALUE"""),"GL2505049")</f>
        <v>GL2505049</v>
      </c>
      <c r="R3922" s="57">
        <f>IFERROR(__xludf.DUMMYFUNCTION("""COMPUTED_VALUE"""),45762.0)</f>
        <v>45762</v>
      </c>
      <c r="S3922" s="57">
        <f>IFERROR(__xludf.DUMMYFUNCTION("""COMPUTED_VALUE"""),45763.0)</f>
        <v>45763</v>
      </c>
      <c r="T3922" s="57">
        <f>IFERROR(__xludf.DUMMYFUNCTION("""COMPUTED_VALUE"""),45885.0)</f>
        <v>45885</v>
      </c>
    </row>
    <row r="3923">
      <c r="A3923" s="6" t="str">
        <f>IFERROR(__xludf.DUMMYFUNCTION("""COMPUTED_VALUE"""),"121702631-1")</f>
        <v>121702631-1</v>
      </c>
      <c r="B3923" s="6" t="str">
        <f>IFERROR(__xludf.DUMMYFUNCTION("""COMPUTED_VALUE"""),"121702631 - APPROVED")</f>
        <v>121702631 - APPROVED</v>
      </c>
      <c r="C3923" s="6">
        <f>IFERROR(__xludf.DUMMYFUNCTION("""COMPUTED_VALUE"""),1.0)</f>
        <v>1</v>
      </c>
      <c r="D3923" s="6" t="str">
        <f>IFERROR(__xludf.DUMMYFUNCTION("""COMPUTED_VALUE"""),"O-19213-00")</f>
        <v>O-19213-00</v>
      </c>
      <c r="E3923" s="6" t="str">
        <f>IFERROR(__xludf.DUMMYFUNCTION("""COMPUTED_VALUE"""),"Freeze Dryer MBE1207 -  Orifice 04 for Expansi Valve TE5 067B2792; Danfoss; ;")</f>
        <v>Freeze Dryer MBE1207 -  Orifice 04 for Expansi Valve TE5 067B2792; Danfoss; ;</v>
      </c>
      <c r="F3923" s="6">
        <f>IFERROR(__xludf.DUMMYFUNCTION("""COMPUTED_VALUE"""),1.0)</f>
        <v>1</v>
      </c>
      <c r="G3923" s="6" t="str">
        <f>IFERROR(__xludf.DUMMYFUNCTION("""COMPUTED_VALUE"""),"Pieces")</f>
        <v>Pieces</v>
      </c>
      <c r="H3923" s="6" t="str">
        <f>IFERROR(__xludf.DUMMYFUNCTION("""COMPUTED_VALUE"""),"IDR")</f>
        <v>IDR</v>
      </c>
      <c r="I3923" s="6">
        <f>IFERROR(__xludf.DUMMYFUNCTION("""COMPUTED_VALUE"""),868000.0)</f>
        <v>868000</v>
      </c>
      <c r="J3923" s="6">
        <f>IFERROR(__xludf.DUMMYFUNCTION("""COMPUTED_VALUE"""),868000.0)</f>
        <v>868000</v>
      </c>
      <c r="K3923" s="57">
        <f>IFERROR(__xludf.DUMMYFUNCTION("""COMPUTED_VALUE"""),45793.0)</f>
        <v>45793</v>
      </c>
      <c r="L3923" s="6" t="str">
        <f>IFERROR(__xludf.DUMMYFUNCTION("""COMPUTED_VALUE"""),"FIP Engineering")</f>
        <v>FIP Engineering</v>
      </c>
      <c r="M3923" s="6" t="str">
        <f>IFERROR(__xludf.DUMMYFUNCTION("""COMPUTED_VALUE"""),"Mochammad Fadhillah Hakim,")</f>
        <v>Mochammad Fadhillah Hakim,</v>
      </c>
      <c r="N3923" s="6" t="str">
        <f>IFERROR(__xludf.DUMMYFUNCTION("""COMPUTED_VALUE"""),"FIP Engineering")</f>
        <v>FIP Engineering</v>
      </c>
      <c r="O3923" s="6" t="str">
        <f>IFERROR(__xludf.DUMMYFUNCTION("""COMPUTED_VALUE"""),"FIP-DOM-000-11304-OS00001-INA-000000")</f>
        <v>FIP-DOM-000-11304-OS00001-INA-000000</v>
      </c>
      <c r="P3923" s="6" t="str">
        <f>IFERROR(__xludf.DUMMYFUNCTION("""COMPUTED_VALUE"""),"PO Closed")</f>
        <v>PO Closed</v>
      </c>
      <c r="Q3923" s="6" t="str">
        <f>IFERROR(__xludf.DUMMYFUNCTION("""COMPUTED_VALUE"""),"GL2505038")</f>
        <v>GL2505038</v>
      </c>
      <c r="R3923" s="57">
        <f>IFERROR(__xludf.DUMMYFUNCTION("""COMPUTED_VALUE"""),45762.0)</f>
        <v>45762</v>
      </c>
      <c r="S3923" s="57">
        <f>IFERROR(__xludf.DUMMYFUNCTION("""COMPUTED_VALUE"""),45763.0)</f>
        <v>45763</v>
      </c>
      <c r="T3923" s="57">
        <f>IFERROR(__xludf.DUMMYFUNCTION("""COMPUTED_VALUE"""),45824.0)</f>
        <v>45824</v>
      </c>
    </row>
    <row r="3924">
      <c r="A3924" s="6" t="str">
        <f>IFERROR(__xludf.DUMMYFUNCTION("""COMPUTED_VALUE"""),"121702631-2")</f>
        <v>121702631-2</v>
      </c>
      <c r="B3924" s="6" t="str">
        <f>IFERROR(__xludf.DUMMYFUNCTION("""COMPUTED_VALUE"""),"121702631 - APPROVED")</f>
        <v>121702631 - APPROVED</v>
      </c>
      <c r="C3924" s="6">
        <f>IFERROR(__xludf.DUMMYFUNCTION("""COMPUTED_VALUE"""),2.0)</f>
        <v>2</v>
      </c>
      <c r="D3924" s="6" t="str">
        <f>IFERROR(__xludf.DUMMYFUNCTION("""COMPUTED_VALUE"""),"O-19214-00")</f>
        <v>O-19214-00</v>
      </c>
      <c r="E3924" s="6" t="str">
        <f>IFERROR(__xludf.DUMMYFUNCTION("""COMPUTED_VALUE"""),"Freeze Dryer MBE1207 - Expansi Valve TE 5 067B3343 R404A/R507; Danfoss; ;")</f>
        <v>Freeze Dryer MBE1207 - Expansi Valve TE 5 067B3343 R404A/R507; Danfoss; ;</v>
      </c>
      <c r="F3924" s="6">
        <f>IFERROR(__xludf.DUMMYFUNCTION("""COMPUTED_VALUE"""),1.0)</f>
        <v>1</v>
      </c>
      <c r="G3924" s="6" t="str">
        <f>IFERROR(__xludf.DUMMYFUNCTION("""COMPUTED_VALUE"""),"Pieces")</f>
        <v>Pieces</v>
      </c>
      <c r="H3924" s="6" t="str">
        <f>IFERROR(__xludf.DUMMYFUNCTION("""COMPUTED_VALUE"""),"IDR")</f>
        <v>IDR</v>
      </c>
      <c r="I3924" s="6">
        <f>IFERROR(__xludf.DUMMYFUNCTION("""COMPUTED_VALUE"""),1540000.0)</f>
        <v>1540000</v>
      </c>
      <c r="J3924" s="6">
        <f>IFERROR(__xludf.DUMMYFUNCTION("""COMPUTED_VALUE"""),1540000.0)</f>
        <v>1540000</v>
      </c>
      <c r="K3924" s="57">
        <f>IFERROR(__xludf.DUMMYFUNCTION("""COMPUTED_VALUE"""),45793.0)</f>
        <v>45793</v>
      </c>
      <c r="L3924" s="6" t="str">
        <f>IFERROR(__xludf.DUMMYFUNCTION("""COMPUTED_VALUE"""),"FIP Engineering")</f>
        <v>FIP Engineering</v>
      </c>
      <c r="M3924" s="6" t="str">
        <f>IFERROR(__xludf.DUMMYFUNCTION("""COMPUTED_VALUE"""),"Mochammad Fadhillah Hakim,")</f>
        <v>Mochammad Fadhillah Hakim,</v>
      </c>
      <c r="N3924" s="6" t="str">
        <f>IFERROR(__xludf.DUMMYFUNCTION("""COMPUTED_VALUE"""),"FIP Engineering")</f>
        <v>FIP Engineering</v>
      </c>
      <c r="O3924" s="6" t="str">
        <f>IFERROR(__xludf.DUMMYFUNCTION("""COMPUTED_VALUE"""),"FIP-DOM-000-11304-OS00001-INA-000000")</f>
        <v>FIP-DOM-000-11304-OS00001-INA-000000</v>
      </c>
      <c r="P3924" s="6" t="str">
        <f>IFERROR(__xludf.DUMMYFUNCTION("""COMPUTED_VALUE"""),"PO Closed")</f>
        <v>PO Closed</v>
      </c>
      <c r="Q3924" s="6" t="str">
        <f>IFERROR(__xludf.DUMMYFUNCTION("""COMPUTED_VALUE"""),"GL2505038")</f>
        <v>GL2505038</v>
      </c>
      <c r="R3924" s="57">
        <f>IFERROR(__xludf.DUMMYFUNCTION("""COMPUTED_VALUE"""),45762.0)</f>
        <v>45762</v>
      </c>
      <c r="S3924" s="57">
        <f>IFERROR(__xludf.DUMMYFUNCTION("""COMPUTED_VALUE"""),45763.0)</f>
        <v>45763</v>
      </c>
      <c r="T3924" s="57">
        <f>IFERROR(__xludf.DUMMYFUNCTION("""COMPUTED_VALUE"""),45824.0)</f>
        <v>45824</v>
      </c>
    </row>
    <row r="3925">
      <c r="A3925" s="6" t="str">
        <f>IFERROR(__xludf.DUMMYFUNCTION("""COMPUTED_VALUE"""),"121702632-1")</f>
        <v>121702632-1</v>
      </c>
      <c r="B3925" s="6" t="str">
        <f>IFERROR(__xludf.DUMMYFUNCTION("""COMPUTED_VALUE"""),"121702632 - APPROVED")</f>
        <v>121702632 - APPROVED</v>
      </c>
      <c r="C3925" s="6">
        <f>IFERROR(__xludf.DUMMYFUNCTION("""COMPUTED_VALUE"""),1.0)</f>
        <v>1</v>
      </c>
      <c r="D3925" s="6" t="str">
        <f>IFERROR(__xludf.DUMMYFUNCTION("""COMPUTED_VALUE"""),"O-17285-00")</f>
        <v>O-17285-00</v>
      </c>
      <c r="E3925" s="6" t="str">
        <f>IFERROR(__xludf.DUMMYFUNCTION("""COMPUTED_VALUE"""),"Freeze Dryer MBE1207 - Main Valve Bellow SUS316L ST105*75; ; ;")</f>
        <v>Freeze Dryer MBE1207 - Main Valve Bellow SUS316L ST105*75; ; ;</v>
      </c>
      <c r="F3925" s="6">
        <f>IFERROR(__xludf.DUMMYFUNCTION("""COMPUTED_VALUE"""),1.0)</f>
        <v>1</v>
      </c>
      <c r="G3925" s="6" t="str">
        <f>IFERROR(__xludf.DUMMYFUNCTION("""COMPUTED_VALUE"""),"Unit")</f>
        <v>Unit</v>
      </c>
      <c r="H3925" s="6" t="str">
        <f>IFERROR(__xludf.DUMMYFUNCTION("""COMPUTED_VALUE"""),"IDR")</f>
        <v>IDR</v>
      </c>
      <c r="I3925" s="6">
        <f>IFERROR(__xludf.DUMMYFUNCTION("""COMPUTED_VALUE"""),1.805784E7)</f>
        <v>18057840</v>
      </c>
      <c r="J3925" s="6">
        <f>IFERROR(__xludf.DUMMYFUNCTION("""COMPUTED_VALUE"""),1.805784E7)</f>
        <v>18057840</v>
      </c>
      <c r="K3925" s="57">
        <f>IFERROR(__xludf.DUMMYFUNCTION("""COMPUTED_VALUE"""),45824.0)</f>
        <v>45824</v>
      </c>
      <c r="L3925" s="6" t="str">
        <f>IFERROR(__xludf.DUMMYFUNCTION("""COMPUTED_VALUE"""),"FIP Engineering")</f>
        <v>FIP Engineering</v>
      </c>
      <c r="M3925" s="6" t="str">
        <f>IFERROR(__xludf.DUMMYFUNCTION("""COMPUTED_VALUE"""),"Mochammad Fadhillah Hakim,")</f>
        <v>Mochammad Fadhillah Hakim,</v>
      </c>
      <c r="N3925" s="6" t="str">
        <f>IFERROR(__xludf.DUMMYFUNCTION("""COMPUTED_VALUE"""),"FIP Engineering")</f>
        <v>FIP Engineering</v>
      </c>
      <c r="O3925" s="6" t="str">
        <f>IFERROR(__xludf.DUMMYFUNCTION("""COMPUTED_VALUE"""),"FIP-DOM-000-11304-OS00001-INA-000000")</f>
        <v>FIP-DOM-000-11304-OS00001-INA-000000</v>
      </c>
      <c r="P3925" s="6" t="str">
        <f>IFERROR(__xludf.DUMMYFUNCTION("""COMPUTED_VALUE"""),"PO Closed")</f>
        <v>PO Closed</v>
      </c>
      <c r="Q3925" s="6" t="str">
        <f>IFERROR(__xludf.DUMMYFUNCTION("""COMPUTED_VALUE"""),"GL2505052")</f>
        <v>GL2505052</v>
      </c>
      <c r="R3925" s="57">
        <f>IFERROR(__xludf.DUMMYFUNCTION("""COMPUTED_VALUE"""),45762.0)</f>
        <v>45762</v>
      </c>
      <c r="S3925" s="57">
        <f>IFERROR(__xludf.DUMMYFUNCTION("""COMPUTED_VALUE"""),45763.0)</f>
        <v>45763</v>
      </c>
      <c r="T3925" s="57">
        <f>IFERROR(__xludf.DUMMYFUNCTION("""COMPUTED_VALUE"""),45885.0)</f>
        <v>45885</v>
      </c>
    </row>
    <row r="3926">
      <c r="A3926" s="6" t="str">
        <f>IFERROR(__xludf.DUMMYFUNCTION("""COMPUTED_VALUE"""),"121702633-1")</f>
        <v>121702633-1</v>
      </c>
      <c r="B3926" s="6" t="str">
        <f>IFERROR(__xludf.DUMMYFUNCTION("""COMPUTED_VALUE"""),"121702633 - APPROVED")</f>
        <v>121702633 - APPROVED</v>
      </c>
      <c r="C3926" s="6">
        <f>IFERROR(__xludf.DUMMYFUNCTION("""COMPUTED_VALUE"""),1.0)</f>
        <v>1</v>
      </c>
      <c r="D3926" s="6" t="str">
        <f>IFERROR(__xludf.DUMMYFUNCTION("""COMPUTED_VALUE"""),"P-11391-00")</f>
        <v>P-11391-00</v>
      </c>
      <c r="E3926" s="6" t="str">
        <f>IFERROR(__xludf.DUMMYFUNCTION("""COMPUTED_VALUE"""),"Seal Ferrule EPDM 1.5"" (35 x 53 x 9)")</f>
        <v>Seal Ferrule EPDM 1.5" (35 x 53 x 9)</v>
      </c>
      <c r="F3926" s="6">
        <f>IFERROR(__xludf.DUMMYFUNCTION("""COMPUTED_VALUE"""),40.0)</f>
        <v>40</v>
      </c>
      <c r="G3926" s="6" t="str">
        <f>IFERROR(__xludf.DUMMYFUNCTION("""COMPUTED_VALUE"""),"Pieces")</f>
        <v>Pieces</v>
      </c>
      <c r="H3926" s="6" t="str">
        <f>IFERROR(__xludf.DUMMYFUNCTION("""COMPUTED_VALUE"""),"IDR")</f>
        <v>IDR</v>
      </c>
      <c r="I3926" s="6">
        <f>IFERROR(__xludf.DUMMYFUNCTION("""COMPUTED_VALUE"""),8400.0)</f>
        <v>8400</v>
      </c>
      <c r="J3926" s="6">
        <f>IFERROR(__xludf.DUMMYFUNCTION("""COMPUTED_VALUE"""),336000.0)</f>
        <v>336000</v>
      </c>
      <c r="K3926" s="57">
        <f>IFERROR(__xludf.DUMMYFUNCTION("""COMPUTED_VALUE"""),45793.0)</f>
        <v>45793</v>
      </c>
      <c r="L3926" s="6" t="str">
        <f>IFERROR(__xludf.DUMMYFUNCTION("""COMPUTED_VALUE"""),"FIP Engineering")</f>
        <v>FIP Engineering</v>
      </c>
      <c r="M3926" s="6" t="str">
        <f>IFERROR(__xludf.DUMMYFUNCTION("""COMPUTED_VALUE"""),"Mochammad Fadhillah Hakim,")</f>
        <v>Mochammad Fadhillah Hakim,</v>
      </c>
      <c r="N3926" s="6" t="str">
        <f>IFERROR(__xludf.DUMMYFUNCTION("""COMPUTED_VALUE"""),"FIP Engineering")</f>
        <v>FIP Engineering</v>
      </c>
      <c r="O3926" s="6" t="str">
        <f>IFERROR(__xludf.DUMMYFUNCTION("""COMPUTED_VALUE"""),"FIP-DOM-000-11304-OS00001-INA-000000")</f>
        <v>FIP-DOM-000-11304-OS00001-INA-000000</v>
      </c>
      <c r="P3926" s="6" t="str">
        <f>IFERROR(__xludf.DUMMYFUNCTION("""COMPUTED_VALUE"""),"PO Closed")</f>
        <v>PO Closed</v>
      </c>
      <c r="Q3926" s="6" t="str">
        <f>IFERROR(__xludf.DUMMYFUNCTION("""COMPUTED_VALUE"""),"GL2504364")</f>
        <v>GL2504364</v>
      </c>
      <c r="R3926" s="57">
        <f>IFERROR(__xludf.DUMMYFUNCTION("""COMPUTED_VALUE"""),45762.0)</f>
        <v>45762</v>
      </c>
      <c r="S3926" s="57">
        <f>IFERROR(__xludf.DUMMYFUNCTION("""COMPUTED_VALUE"""),45763.0)</f>
        <v>45763</v>
      </c>
      <c r="T3926" s="57">
        <f>IFERROR(__xludf.DUMMYFUNCTION("""COMPUTED_VALUE"""),45810.0)</f>
        <v>45810</v>
      </c>
    </row>
    <row r="3927">
      <c r="A3927" s="6" t="str">
        <f>IFERROR(__xludf.DUMMYFUNCTION("""COMPUTED_VALUE"""),"121702633-2")</f>
        <v>121702633-2</v>
      </c>
      <c r="B3927" s="6" t="str">
        <f>IFERROR(__xludf.DUMMYFUNCTION("""COMPUTED_VALUE"""),"121702633 - APPROVED")</f>
        <v>121702633 - APPROVED</v>
      </c>
      <c r="C3927" s="6">
        <f>IFERROR(__xludf.DUMMYFUNCTION("""COMPUTED_VALUE"""),2.0)</f>
        <v>2</v>
      </c>
      <c r="D3927" s="6" t="str">
        <f>IFERROR(__xludf.DUMMYFUNCTION("""COMPUTED_VALUE"""),"P-11393-00")</f>
        <v>P-11393-00</v>
      </c>
      <c r="E3927" s="6" t="str">
        <f>IFERROR(__xludf.DUMMYFUNCTION("""COMPUTED_VALUE"""),"Seal Ferrule EPDM 3""")</f>
        <v>Seal Ferrule EPDM 3"</v>
      </c>
      <c r="F3927" s="6">
        <f>IFERROR(__xludf.DUMMYFUNCTION("""COMPUTED_VALUE"""),20.0)</f>
        <v>20</v>
      </c>
      <c r="G3927" s="6" t="str">
        <f>IFERROR(__xludf.DUMMYFUNCTION("""COMPUTED_VALUE"""),"Pieces")</f>
        <v>Pieces</v>
      </c>
      <c r="H3927" s="6" t="str">
        <f>IFERROR(__xludf.DUMMYFUNCTION("""COMPUTED_VALUE"""),"IDR")</f>
        <v>IDR</v>
      </c>
      <c r="I3927" s="6">
        <f>IFERROR(__xludf.DUMMYFUNCTION("""COMPUTED_VALUE"""),13800.0)</f>
        <v>13800</v>
      </c>
      <c r="J3927" s="6">
        <f>IFERROR(__xludf.DUMMYFUNCTION("""COMPUTED_VALUE"""),276000.0)</f>
        <v>276000</v>
      </c>
      <c r="K3927" s="57">
        <f>IFERROR(__xludf.DUMMYFUNCTION("""COMPUTED_VALUE"""),45793.0)</f>
        <v>45793</v>
      </c>
      <c r="L3927" s="6" t="str">
        <f>IFERROR(__xludf.DUMMYFUNCTION("""COMPUTED_VALUE"""),"FIP Engineering")</f>
        <v>FIP Engineering</v>
      </c>
      <c r="M3927" s="6" t="str">
        <f>IFERROR(__xludf.DUMMYFUNCTION("""COMPUTED_VALUE"""),"Mochammad Fadhillah Hakim,")</f>
        <v>Mochammad Fadhillah Hakim,</v>
      </c>
      <c r="N3927" s="6" t="str">
        <f>IFERROR(__xludf.DUMMYFUNCTION("""COMPUTED_VALUE"""),"FIP Engineering")</f>
        <v>FIP Engineering</v>
      </c>
      <c r="O3927" s="6" t="str">
        <f>IFERROR(__xludf.DUMMYFUNCTION("""COMPUTED_VALUE"""),"FIP-DOM-000-11304-OS00001-INA-000000")</f>
        <v>FIP-DOM-000-11304-OS00001-INA-000000</v>
      </c>
      <c r="P3927" s="6" t="str">
        <f>IFERROR(__xludf.DUMMYFUNCTION("""COMPUTED_VALUE"""),"PO Closed")</f>
        <v>PO Closed</v>
      </c>
      <c r="Q3927" s="6" t="str">
        <f>IFERROR(__xludf.DUMMYFUNCTION("""COMPUTED_VALUE"""),"GL2504364")</f>
        <v>GL2504364</v>
      </c>
      <c r="R3927" s="57">
        <f>IFERROR(__xludf.DUMMYFUNCTION("""COMPUTED_VALUE"""),45762.0)</f>
        <v>45762</v>
      </c>
      <c r="S3927" s="57">
        <f>IFERROR(__xludf.DUMMYFUNCTION("""COMPUTED_VALUE"""),45763.0)</f>
        <v>45763</v>
      </c>
      <c r="T3927" s="57">
        <f>IFERROR(__xludf.DUMMYFUNCTION("""COMPUTED_VALUE"""),45810.0)</f>
        <v>45810</v>
      </c>
    </row>
    <row r="3928">
      <c r="A3928" s="6" t="str">
        <f>IFERROR(__xludf.DUMMYFUNCTION("""COMPUTED_VALUE"""),"121702633-3")</f>
        <v>121702633-3</v>
      </c>
      <c r="B3928" s="6" t="str">
        <f>IFERROR(__xludf.DUMMYFUNCTION("""COMPUTED_VALUE"""),"121702633 - APPROVED")</f>
        <v>121702633 - APPROVED</v>
      </c>
      <c r="C3928" s="6">
        <f>IFERROR(__xludf.DUMMYFUNCTION("""COMPUTED_VALUE"""),3.0)</f>
        <v>3</v>
      </c>
      <c r="D3928" s="6" t="str">
        <f>IFERROR(__xludf.DUMMYFUNCTION("""COMPUTED_VALUE"""),"P-18665-00")</f>
        <v>P-18665-00</v>
      </c>
      <c r="E3928" s="6" t="str">
        <f>IFERROR(__xludf.DUMMYFUNCTION("""COMPUTED_VALUE"""),"Heavy clamp ferrule 1 - 1 1/2 inch; SS304L;; ; ;")</f>
        <v>Heavy clamp ferrule 1 - 1 1/2 inch; SS304L;; ; ;</v>
      </c>
      <c r="F3928" s="6">
        <f>IFERROR(__xludf.DUMMYFUNCTION("""COMPUTED_VALUE"""),10.0)</f>
        <v>10</v>
      </c>
      <c r="G3928" s="6" t="str">
        <f>IFERROR(__xludf.DUMMYFUNCTION("""COMPUTED_VALUE"""),"Pieces")</f>
        <v>Pieces</v>
      </c>
      <c r="H3928" s="6" t="str">
        <f>IFERROR(__xludf.DUMMYFUNCTION("""COMPUTED_VALUE"""),"IDR")</f>
        <v>IDR</v>
      </c>
      <c r="I3928" s="6">
        <f>IFERROR(__xludf.DUMMYFUNCTION("""COMPUTED_VALUE"""),90000.0)</f>
        <v>90000</v>
      </c>
      <c r="J3928" s="6">
        <f>IFERROR(__xludf.DUMMYFUNCTION("""COMPUTED_VALUE"""),900000.0)</f>
        <v>900000</v>
      </c>
      <c r="K3928" s="57">
        <f>IFERROR(__xludf.DUMMYFUNCTION("""COMPUTED_VALUE"""),45793.0)</f>
        <v>45793</v>
      </c>
      <c r="L3928" s="6" t="str">
        <f>IFERROR(__xludf.DUMMYFUNCTION("""COMPUTED_VALUE"""),"FIP Engineering")</f>
        <v>FIP Engineering</v>
      </c>
      <c r="M3928" s="6" t="str">
        <f>IFERROR(__xludf.DUMMYFUNCTION("""COMPUTED_VALUE"""),"Mochammad Fadhillah Hakim,")</f>
        <v>Mochammad Fadhillah Hakim,</v>
      </c>
      <c r="N3928" s="6" t="str">
        <f>IFERROR(__xludf.DUMMYFUNCTION("""COMPUTED_VALUE"""),"FIP Engineering")</f>
        <v>FIP Engineering</v>
      </c>
      <c r="O3928" s="6" t="str">
        <f>IFERROR(__xludf.DUMMYFUNCTION("""COMPUTED_VALUE"""),"FIP-DOM-000-11304-OS00001-INA-000000")</f>
        <v>FIP-DOM-000-11304-OS00001-INA-000000</v>
      </c>
      <c r="P3928" s="6" t="str">
        <f>IFERROR(__xludf.DUMMYFUNCTION("""COMPUTED_VALUE"""),"PO Closed")</f>
        <v>PO Closed</v>
      </c>
      <c r="Q3928" s="6" t="str">
        <f>IFERROR(__xludf.DUMMYFUNCTION("""COMPUTED_VALUE"""),"GL2504364")</f>
        <v>GL2504364</v>
      </c>
      <c r="R3928" s="57">
        <f>IFERROR(__xludf.DUMMYFUNCTION("""COMPUTED_VALUE"""),45762.0)</f>
        <v>45762</v>
      </c>
      <c r="S3928" s="57">
        <f>IFERROR(__xludf.DUMMYFUNCTION("""COMPUTED_VALUE"""),45763.0)</f>
        <v>45763</v>
      </c>
      <c r="T3928" s="57">
        <f>IFERROR(__xludf.DUMMYFUNCTION("""COMPUTED_VALUE"""),45810.0)</f>
        <v>45810</v>
      </c>
    </row>
    <row r="3929">
      <c r="A3929" s="6" t="str">
        <f>IFERROR(__xludf.DUMMYFUNCTION("""COMPUTED_VALUE"""),"121702634-1")</f>
        <v>121702634-1</v>
      </c>
      <c r="B3929" s="6" t="str">
        <f>IFERROR(__xludf.DUMMYFUNCTION("""COMPUTED_VALUE"""),"121702634 - APPROVED")</f>
        <v>121702634 - APPROVED</v>
      </c>
      <c r="C3929" s="6">
        <f>IFERROR(__xludf.DUMMYFUNCTION("""COMPUTED_VALUE"""),1.0)</f>
        <v>1</v>
      </c>
      <c r="D3929" s="6" t="str">
        <f>IFERROR(__xludf.DUMMYFUNCTION("""COMPUTED_VALUE"""),"O-19339-00")</f>
        <v>O-19339-00</v>
      </c>
      <c r="E3929" s="6" t="str">
        <f>IFERROR(__xludf.DUMMYFUNCTION("""COMPUTED_VALUE"""),"Oring 2,5x6x11 mm, Material EPDM; ; ;")</f>
        <v>Oring 2,5x6x11 mm, Material EPDM; ; ;</v>
      </c>
      <c r="F3929" s="6">
        <f>IFERROR(__xludf.DUMMYFUNCTION("""COMPUTED_VALUE"""),20.0)</f>
        <v>20</v>
      </c>
      <c r="G3929" s="6" t="str">
        <f>IFERROR(__xludf.DUMMYFUNCTION("""COMPUTED_VALUE"""),"Pieces")</f>
        <v>Pieces</v>
      </c>
      <c r="H3929" s="6" t="str">
        <f>IFERROR(__xludf.DUMMYFUNCTION("""COMPUTED_VALUE"""),"IDR")</f>
        <v>IDR</v>
      </c>
      <c r="I3929" s="6">
        <f>IFERROR(__xludf.DUMMYFUNCTION("""COMPUTED_VALUE"""),25000.0)</f>
        <v>25000</v>
      </c>
      <c r="J3929" s="6">
        <f>IFERROR(__xludf.DUMMYFUNCTION("""COMPUTED_VALUE"""),500000.0)</f>
        <v>500000</v>
      </c>
      <c r="K3929" s="57">
        <f>IFERROR(__xludf.DUMMYFUNCTION("""COMPUTED_VALUE"""),45793.0)</f>
        <v>45793</v>
      </c>
      <c r="L3929" s="6" t="str">
        <f>IFERROR(__xludf.DUMMYFUNCTION("""COMPUTED_VALUE"""),"FIP Engineering")</f>
        <v>FIP Engineering</v>
      </c>
      <c r="M3929" s="6" t="str">
        <f>IFERROR(__xludf.DUMMYFUNCTION("""COMPUTED_VALUE"""),"Mochammad Fadhillah Hakim,")</f>
        <v>Mochammad Fadhillah Hakim,</v>
      </c>
      <c r="N3929" s="6" t="str">
        <f>IFERROR(__xludf.DUMMYFUNCTION("""COMPUTED_VALUE"""),"FIP Engineering")</f>
        <v>FIP Engineering</v>
      </c>
      <c r="O3929" s="6" t="str">
        <f>IFERROR(__xludf.DUMMYFUNCTION("""COMPUTED_VALUE"""),"FIP-DOM-000-11304-OS00001-INA-000000")</f>
        <v>FIP-DOM-000-11304-OS00001-INA-000000</v>
      </c>
      <c r="P3929" s="6" t="str">
        <f>IFERROR(__xludf.DUMMYFUNCTION("""COMPUTED_VALUE"""),"PO Closed")</f>
        <v>PO Closed</v>
      </c>
      <c r="Q3929" s="6" t="str">
        <f>IFERROR(__xludf.DUMMYFUNCTION("""COMPUTED_VALUE"""),"GL2505029")</f>
        <v>GL2505029</v>
      </c>
      <c r="R3929" s="57">
        <f>IFERROR(__xludf.DUMMYFUNCTION("""COMPUTED_VALUE"""),45762.0)</f>
        <v>45762</v>
      </c>
      <c r="S3929" s="57">
        <f>IFERROR(__xludf.DUMMYFUNCTION("""COMPUTED_VALUE"""),45763.0)</f>
        <v>45763</v>
      </c>
      <c r="T3929" s="57">
        <f>IFERROR(__xludf.DUMMYFUNCTION("""COMPUTED_VALUE"""),45817.0)</f>
        <v>45817</v>
      </c>
    </row>
    <row r="3930">
      <c r="A3930" s="6" t="str">
        <f>IFERROR(__xludf.DUMMYFUNCTION("""COMPUTED_VALUE"""),"121702635-1")</f>
        <v>121702635-1</v>
      </c>
      <c r="B3930" s="6" t="str">
        <f>IFERROR(__xludf.DUMMYFUNCTION("""COMPUTED_VALUE"""),"121702635 - APPROVED")</f>
        <v>121702635 - APPROVED</v>
      </c>
      <c r="C3930" s="6">
        <f>IFERROR(__xludf.DUMMYFUNCTION("""COMPUTED_VALUE"""),1.0)</f>
        <v>1</v>
      </c>
      <c r="D3930" s="6" t="str">
        <f>IFERROR(__xludf.DUMMYFUNCTION("""COMPUTED_VALUE"""),"P-17272-00")</f>
        <v>P-17272-00</v>
      </c>
      <c r="E3930" s="6" t="str">
        <f>IFERROR(__xludf.DUMMYFUNCTION("""COMPUTED_VALUE"""),"O-ring Epdm 9 x 4 x 2,5 mm ; Brand : - ; P/N : - ; Pack Size : pcs")</f>
        <v>O-ring Epdm 9 x 4 x 2,5 mm ; Brand : - ; P/N : - ; Pack Size : pcs</v>
      </c>
      <c r="F3930" s="6">
        <f>IFERROR(__xludf.DUMMYFUNCTION("""COMPUTED_VALUE"""),20.0)</f>
        <v>20</v>
      </c>
      <c r="G3930" s="6" t="str">
        <f>IFERROR(__xludf.DUMMYFUNCTION("""COMPUTED_VALUE"""),"Pieces")</f>
        <v>Pieces</v>
      </c>
      <c r="H3930" s="6" t="str">
        <f>IFERROR(__xludf.DUMMYFUNCTION("""COMPUTED_VALUE"""),"IDR")</f>
        <v>IDR</v>
      </c>
      <c r="I3930" s="6">
        <f>IFERROR(__xludf.DUMMYFUNCTION("""COMPUTED_VALUE"""),27500.0)</f>
        <v>27500</v>
      </c>
      <c r="J3930" s="6">
        <f>IFERROR(__xludf.DUMMYFUNCTION("""COMPUTED_VALUE"""),550000.0)</f>
        <v>550000</v>
      </c>
      <c r="K3930" s="57">
        <f>IFERROR(__xludf.DUMMYFUNCTION("""COMPUTED_VALUE"""),45793.0)</f>
        <v>45793</v>
      </c>
      <c r="L3930" s="6" t="str">
        <f>IFERROR(__xludf.DUMMYFUNCTION("""COMPUTED_VALUE"""),"FIP Engineering")</f>
        <v>FIP Engineering</v>
      </c>
      <c r="M3930" s="6" t="str">
        <f>IFERROR(__xludf.DUMMYFUNCTION("""COMPUTED_VALUE"""),"Mochammad Fadhillah Hakim,")</f>
        <v>Mochammad Fadhillah Hakim,</v>
      </c>
      <c r="N3930" s="6" t="str">
        <f>IFERROR(__xludf.DUMMYFUNCTION("""COMPUTED_VALUE"""),"FIP Engineering")</f>
        <v>FIP Engineering</v>
      </c>
      <c r="O3930" s="6" t="str">
        <f>IFERROR(__xludf.DUMMYFUNCTION("""COMPUTED_VALUE"""),"FIP-DOM-000-11304-OS00001-INA-000000")</f>
        <v>FIP-DOM-000-11304-OS00001-INA-000000</v>
      </c>
      <c r="P3930" s="6" t="str">
        <f>IFERROR(__xludf.DUMMYFUNCTION("""COMPUTED_VALUE"""),"PO Closed")</f>
        <v>PO Closed</v>
      </c>
      <c r="Q3930" s="6" t="str">
        <f>IFERROR(__xludf.DUMMYFUNCTION("""COMPUTED_VALUE"""),"GL2504363")</f>
        <v>GL2504363</v>
      </c>
      <c r="R3930" s="57">
        <f>IFERROR(__xludf.DUMMYFUNCTION("""COMPUTED_VALUE"""),45762.0)</f>
        <v>45762</v>
      </c>
      <c r="S3930" s="57">
        <f>IFERROR(__xludf.DUMMYFUNCTION("""COMPUTED_VALUE"""),45763.0)</f>
        <v>45763</v>
      </c>
      <c r="T3930" s="57">
        <f>IFERROR(__xludf.DUMMYFUNCTION("""COMPUTED_VALUE"""),45793.0)</f>
        <v>45793</v>
      </c>
    </row>
    <row r="3931">
      <c r="A3931" s="6" t="str">
        <f>IFERROR(__xludf.DUMMYFUNCTION("""COMPUTED_VALUE"""),"121702635-2")</f>
        <v>121702635-2</v>
      </c>
      <c r="B3931" s="6" t="str">
        <f>IFERROR(__xludf.DUMMYFUNCTION("""COMPUTED_VALUE"""),"121702635 - APPROVED")</f>
        <v>121702635 - APPROVED</v>
      </c>
      <c r="C3931" s="6">
        <f>IFERROR(__xludf.DUMMYFUNCTION("""COMPUTED_VALUE"""),2.0)</f>
        <v>2</v>
      </c>
      <c r="D3931" s="6" t="str">
        <f>IFERROR(__xludf.DUMMYFUNCTION("""COMPUTED_VALUE"""),"P-17273-00")</f>
        <v>P-17273-00</v>
      </c>
      <c r="E3931" s="6" t="str">
        <f>IFERROR(__xludf.DUMMYFUNCTION("""COMPUTED_VALUE"""),"O-ring Epdm 9 x 5 x 2 mm ; Brand : - ; P/N : - ; Pack Size : pcs")</f>
        <v>O-ring Epdm 9 x 5 x 2 mm ; Brand : - ; P/N : - ; Pack Size : pcs</v>
      </c>
      <c r="F3931" s="6">
        <f>IFERROR(__xludf.DUMMYFUNCTION("""COMPUTED_VALUE"""),20.0)</f>
        <v>20</v>
      </c>
      <c r="G3931" s="6" t="str">
        <f>IFERROR(__xludf.DUMMYFUNCTION("""COMPUTED_VALUE"""),"Pieces")</f>
        <v>Pieces</v>
      </c>
      <c r="H3931" s="6" t="str">
        <f>IFERROR(__xludf.DUMMYFUNCTION("""COMPUTED_VALUE"""),"IDR")</f>
        <v>IDR</v>
      </c>
      <c r="I3931" s="6">
        <f>IFERROR(__xludf.DUMMYFUNCTION("""COMPUTED_VALUE"""),25000.0)</f>
        <v>25000</v>
      </c>
      <c r="J3931" s="6">
        <f>IFERROR(__xludf.DUMMYFUNCTION("""COMPUTED_VALUE"""),500000.0)</f>
        <v>500000</v>
      </c>
      <c r="K3931" s="57">
        <f>IFERROR(__xludf.DUMMYFUNCTION("""COMPUTED_VALUE"""),45793.0)</f>
        <v>45793</v>
      </c>
      <c r="L3931" s="6" t="str">
        <f>IFERROR(__xludf.DUMMYFUNCTION("""COMPUTED_VALUE"""),"FIP Engineering")</f>
        <v>FIP Engineering</v>
      </c>
      <c r="M3931" s="6" t="str">
        <f>IFERROR(__xludf.DUMMYFUNCTION("""COMPUTED_VALUE"""),"Mochammad Fadhillah Hakim,")</f>
        <v>Mochammad Fadhillah Hakim,</v>
      </c>
      <c r="N3931" s="6" t="str">
        <f>IFERROR(__xludf.DUMMYFUNCTION("""COMPUTED_VALUE"""),"FIP Engineering")</f>
        <v>FIP Engineering</v>
      </c>
      <c r="O3931" s="6" t="str">
        <f>IFERROR(__xludf.DUMMYFUNCTION("""COMPUTED_VALUE"""),"FIP-DOM-000-11304-OS00001-INA-000000")</f>
        <v>FIP-DOM-000-11304-OS00001-INA-000000</v>
      </c>
      <c r="P3931" s="6" t="str">
        <f>IFERROR(__xludf.DUMMYFUNCTION("""COMPUTED_VALUE"""),"PO Closed")</f>
        <v>PO Closed</v>
      </c>
      <c r="Q3931" s="6" t="str">
        <f>IFERROR(__xludf.DUMMYFUNCTION("""COMPUTED_VALUE"""),"GL2504363")</f>
        <v>GL2504363</v>
      </c>
      <c r="R3931" s="57">
        <f>IFERROR(__xludf.DUMMYFUNCTION("""COMPUTED_VALUE"""),45762.0)</f>
        <v>45762</v>
      </c>
      <c r="S3931" s="57">
        <f>IFERROR(__xludf.DUMMYFUNCTION("""COMPUTED_VALUE"""),45763.0)</f>
        <v>45763</v>
      </c>
      <c r="T3931" s="57">
        <f>IFERROR(__xludf.DUMMYFUNCTION("""COMPUTED_VALUE"""),45793.0)</f>
        <v>45793</v>
      </c>
    </row>
    <row r="3932">
      <c r="A3932" s="6" t="str">
        <f>IFERROR(__xludf.DUMMYFUNCTION("""COMPUTED_VALUE"""),"121702635-3")</f>
        <v>121702635-3</v>
      </c>
      <c r="B3932" s="6" t="str">
        <f>IFERROR(__xludf.DUMMYFUNCTION("""COMPUTED_VALUE"""),"121702635 - APPROVED")</f>
        <v>121702635 - APPROVED</v>
      </c>
      <c r="C3932" s="6">
        <f>IFERROR(__xludf.DUMMYFUNCTION("""COMPUTED_VALUE"""),3.0)</f>
        <v>3</v>
      </c>
      <c r="D3932" s="6" t="str">
        <f>IFERROR(__xludf.DUMMYFUNCTION("""COMPUTED_VALUE"""),"P-17359-00")</f>
        <v>P-17359-00</v>
      </c>
      <c r="E3932" s="6" t="str">
        <f>IFERROR(__xludf.DUMMYFUNCTION("""COMPUTED_VALUE"""),"O-ring EPDM 41.5 x 35 x 3.5 mm ; Brand : - ; P/N : - ; Pack Size : pcs")</f>
        <v>O-ring EPDM 41.5 x 35 x 3.5 mm ; Brand : - ; P/N : - ; Pack Size : pcs</v>
      </c>
      <c r="F3932" s="6">
        <f>IFERROR(__xludf.DUMMYFUNCTION("""COMPUTED_VALUE"""),20.0)</f>
        <v>20</v>
      </c>
      <c r="G3932" s="6" t="str">
        <f>IFERROR(__xludf.DUMMYFUNCTION("""COMPUTED_VALUE"""),"Pieces")</f>
        <v>Pieces</v>
      </c>
      <c r="H3932" s="6" t="str">
        <f>IFERROR(__xludf.DUMMYFUNCTION("""COMPUTED_VALUE"""),"IDR")</f>
        <v>IDR</v>
      </c>
      <c r="I3932" s="6">
        <f>IFERROR(__xludf.DUMMYFUNCTION("""COMPUTED_VALUE"""),30000.0)</f>
        <v>30000</v>
      </c>
      <c r="J3932" s="6">
        <f>IFERROR(__xludf.DUMMYFUNCTION("""COMPUTED_VALUE"""),600000.0)</f>
        <v>600000</v>
      </c>
      <c r="K3932" s="57">
        <f>IFERROR(__xludf.DUMMYFUNCTION("""COMPUTED_VALUE"""),45793.0)</f>
        <v>45793</v>
      </c>
      <c r="L3932" s="6" t="str">
        <f>IFERROR(__xludf.DUMMYFUNCTION("""COMPUTED_VALUE"""),"FIP Engineering")</f>
        <v>FIP Engineering</v>
      </c>
      <c r="M3932" s="6" t="str">
        <f>IFERROR(__xludf.DUMMYFUNCTION("""COMPUTED_VALUE"""),"Mochammad Fadhillah Hakim,")</f>
        <v>Mochammad Fadhillah Hakim,</v>
      </c>
      <c r="N3932" s="6" t="str">
        <f>IFERROR(__xludf.DUMMYFUNCTION("""COMPUTED_VALUE"""),"FIP Engineering")</f>
        <v>FIP Engineering</v>
      </c>
      <c r="O3932" s="6" t="str">
        <f>IFERROR(__xludf.DUMMYFUNCTION("""COMPUTED_VALUE"""),"FIP-DOM-000-11304-OS00001-INA-000000")</f>
        <v>FIP-DOM-000-11304-OS00001-INA-000000</v>
      </c>
      <c r="P3932" s="6" t="str">
        <f>IFERROR(__xludf.DUMMYFUNCTION("""COMPUTED_VALUE"""),"PO Closed")</f>
        <v>PO Closed</v>
      </c>
      <c r="Q3932" s="6" t="str">
        <f>IFERROR(__xludf.DUMMYFUNCTION("""COMPUTED_VALUE"""),"GL2504363")</f>
        <v>GL2504363</v>
      </c>
      <c r="R3932" s="57">
        <f>IFERROR(__xludf.DUMMYFUNCTION("""COMPUTED_VALUE"""),45762.0)</f>
        <v>45762</v>
      </c>
      <c r="S3932" s="57">
        <f>IFERROR(__xludf.DUMMYFUNCTION("""COMPUTED_VALUE"""),45763.0)</f>
        <v>45763</v>
      </c>
      <c r="T3932" s="57">
        <f>IFERROR(__xludf.DUMMYFUNCTION("""COMPUTED_VALUE"""),45793.0)</f>
        <v>45793</v>
      </c>
    </row>
    <row r="3933">
      <c r="A3933" s="6" t="str">
        <f>IFERROR(__xludf.DUMMYFUNCTION("""COMPUTED_VALUE"""),"121702635-4")</f>
        <v>121702635-4</v>
      </c>
      <c r="B3933" s="6" t="str">
        <f>IFERROR(__xludf.DUMMYFUNCTION("""COMPUTED_VALUE"""),"121702635 - APPROVED")</f>
        <v>121702635 - APPROVED</v>
      </c>
      <c r="C3933" s="6">
        <f>IFERROR(__xludf.DUMMYFUNCTION("""COMPUTED_VALUE"""),4.0)</f>
        <v>4</v>
      </c>
      <c r="D3933" s="6" t="str">
        <f>IFERROR(__xludf.DUMMYFUNCTION("""COMPUTED_VALUE"""),"P-17361-00")</f>
        <v>P-17361-00</v>
      </c>
      <c r="E3933" s="6" t="str">
        <f>IFERROR(__xludf.DUMMYFUNCTION("""COMPUTED_VALUE"""),"O-ring EPDM 15 x 9 x 3 mm ; Brand : - ; P/N : - ; Pack Size : pcs")</f>
        <v>O-ring EPDM 15 x 9 x 3 mm ; Brand : - ; P/N : - ; Pack Size : pcs</v>
      </c>
      <c r="F3933" s="6">
        <f>IFERROR(__xludf.DUMMYFUNCTION("""COMPUTED_VALUE"""),20.0)</f>
        <v>20</v>
      </c>
      <c r="G3933" s="6" t="str">
        <f>IFERROR(__xludf.DUMMYFUNCTION("""COMPUTED_VALUE"""),"Pieces")</f>
        <v>Pieces</v>
      </c>
      <c r="H3933" s="6" t="str">
        <f>IFERROR(__xludf.DUMMYFUNCTION("""COMPUTED_VALUE"""),"IDR")</f>
        <v>IDR</v>
      </c>
      <c r="I3933" s="6">
        <f>IFERROR(__xludf.DUMMYFUNCTION("""COMPUTED_VALUE"""),25000.0)</f>
        <v>25000</v>
      </c>
      <c r="J3933" s="6">
        <f>IFERROR(__xludf.DUMMYFUNCTION("""COMPUTED_VALUE"""),500000.0)</f>
        <v>500000</v>
      </c>
      <c r="K3933" s="57">
        <f>IFERROR(__xludf.DUMMYFUNCTION("""COMPUTED_VALUE"""),45793.0)</f>
        <v>45793</v>
      </c>
      <c r="L3933" s="6" t="str">
        <f>IFERROR(__xludf.DUMMYFUNCTION("""COMPUTED_VALUE"""),"FIP Engineering")</f>
        <v>FIP Engineering</v>
      </c>
      <c r="M3933" s="6" t="str">
        <f>IFERROR(__xludf.DUMMYFUNCTION("""COMPUTED_VALUE"""),"Mochammad Fadhillah Hakim,")</f>
        <v>Mochammad Fadhillah Hakim,</v>
      </c>
      <c r="N3933" s="6" t="str">
        <f>IFERROR(__xludf.DUMMYFUNCTION("""COMPUTED_VALUE"""),"FIP Engineering")</f>
        <v>FIP Engineering</v>
      </c>
      <c r="O3933" s="6" t="str">
        <f>IFERROR(__xludf.DUMMYFUNCTION("""COMPUTED_VALUE"""),"FIP-DOM-000-11304-OS00001-INA-000000")</f>
        <v>FIP-DOM-000-11304-OS00001-INA-000000</v>
      </c>
      <c r="P3933" s="6" t="str">
        <f>IFERROR(__xludf.DUMMYFUNCTION("""COMPUTED_VALUE"""),"PO Closed")</f>
        <v>PO Closed</v>
      </c>
      <c r="Q3933" s="6" t="str">
        <f>IFERROR(__xludf.DUMMYFUNCTION("""COMPUTED_VALUE"""),"GL2504363")</f>
        <v>GL2504363</v>
      </c>
      <c r="R3933" s="57">
        <f>IFERROR(__xludf.DUMMYFUNCTION("""COMPUTED_VALUE"""),45762.0)</f>
        <v>45762</v>
      </c>
      <c r="S3933" s="57">
        <f>IFERROR(__xludf.DUMMYFUNCTION("""COMPUTED_VALUE"""),45763.0)</f>
        <v>45763</v>
      </c>
      <c r="T3933" s="57">
        <f>IFERROR(__xludf.DUMMYFUNCTION("""COMPUTED_VALUE"""),45793.0)</f>
        <v>45793</v>
      </c>
    </row>
    <row r="3934">
      <c r="A3934" s="6" t="str">
        <f>IFERROR(__xludf.DUMMYFUNCTION("""COMPUTED_VALUE"""),"121702637-1")</f>
        <v>121702637-1</v>
      </c>
      <c r="B3934" s="6" t="str">
        <f>IFERROR(__xludf.DUMMYFUNCTION("""COMPUTED_VALUE"""),"121702637 - APPROVED")</f>
        <v>121702637 - APPROVED</v>
      </c>
      <c r="C3934" s="6">
        <f>IFERROR(__xludf.DUMMYFUNCTION("""COMPUTED_VALUE"""),1.0)</f>
        <v>1</v>
      </c>
      <c r="D3934" s="6" t="str">
        <f>IFERROR(__xludf.DUMMYFUNCTION("""COMPUTED_VALUE"""),"P-19779-00")</f>
        <v>P-19779-00</v>
      </c>
      <c r="E3934" s="6" t="str">
        <f>IFERROR(__xludf.DUMMYFUNCTION("""COMPUTED_VALUE"""),"General - PVC Hose cpl., DN25 ISO-KF, 2000 mm; Inficon; 211-412; 1 pc")</f>
        <v>General - PVC Hose cpl., DN25 ISO-KF, 2000 mm; Inficon; 211-412; 1 pc</v>
      </c>
      <c r="F3934" s="6">
        <f>IFERROR(__xludf.DUMMYFUNCTION("""COMPUTED_VALUE"""),1.0)</f>
        <v>1</v>
      </c>
      <c r="G3934" s="6" t="str">
        <f>IFERROR(__xludf.DUMMYFUNCTION("""COMPUTED_VALUE"""),"Pieces")</f>
        <v>Pieces</v>
      </c>
      <c r="H3934" s="6" t="str">
        <f>IFERROR(__xludf.DUMMYFUNCTION("""COMPUTED_VALUE"""),"IDR")</f>
        <v>IDR</v>
      </c>
      <c r="I3934" s="6">
        <f>IFERROR(__xludf.DUMMYFUNCTION("""COMPUTED_VALUE"""),1.386E7)</f>
        <v>13860000</v>
      </c>
      <c r="J3934" s="6">
        <f>IFERROR(__xludf.DUMMYFUNCTION("""COMPUTED_VALUE"""),1.386E7)</f>
        <v>13860000</v>
      </c>
      <c r="K3934" s="57">
        <f>IFERROR(__xludf.DUMMYFUNCTION("""COMPUTED_VALUE"""),45789.0)</f>
        <v>45789</v>
      </c>
      <c r="L3934" s="6" t="str">
        <f>IFERROR(__xludf.DUMMYFUNCTION("""COMPUTED_VALUE"""),"FIP Engineering")</f>
        <v>FIP Engineering</v>
      </c>
      <c r="M3934" s="6" t="str">
        <f>IFERROR(__xludf.DUMMYFUNCTION("""COMPUTED_VALUE"""),"Mochammad Fadhillah Hakim,")</f>
        <v>Mochammad Fadhillah Hakim,</v>
      </c>
      <c r="N3934" s="6" t="str">
        <f>IFERROR(__xludf.DUMMYFUNCTION("""COMPUTED_VALUE"""),"FIP Engineering")</f>
        <v>FIP Engineering</v>
      </c>
      <c r="O3934" s="6" t="str">
        <f>IFERROR(__xludf.DUMMYFUNCTION("""COMPUTED_VALUE"""),"FIP-DOM-000-11304-OS00001-INA-000000")</f>
        <v>FIP-DOM-000-11304-OS00001-INA-000000</v>
      </c>
      <c r="P3934" s="6" t="str">
        <f>IFERROR(__xludf.DUMMYFUNCTION("""COMPUTED_VALUE"""),"PO Closed")</f>
        <v>PO Closed</v>
      </c>
      <c r="Q3934" s="6" t="str">
        <f>IFERROR(__xludf.DUMMYFUNCTION("""COMPUTED_VALUE"""),"GL2504046")</f>
        <v>GL2504046</v>
      </c>
      <c r="R3934" s="57">
        <f>IFERROR(__xludf.DUMMYFUNCTION("""COMPUTED_VALUE"""),45763.0)</f>
        <v>45763</v>
      </c>
      <c r="S3934" s="57">
        <f>IFERROR(__xludf.DUMMYFUNCTION("""COMPUTED_VALUE"""),45764.0)</f>
        <v>45764</v>
      </c>
      <c r="T3934" s="57">
        <f>IFERROR(__xludf.DUMMYFUNCTION("""COMPUTED_VALUE"""),45789.0)</f>
        <v>45789</v>
      </c>
    </row>
    <row r="3935">
      <c r="A3935" s="6" t="str">
        <f>IFERROR(__xludf.DUMMYFUNCTION("""COMPUTED_VALUE"""),"121702638-1")</f>
        <v>121702638-1</v>
      </c>
      <c r="B3935" s="6" t="str">
        <f>IFERROR(__xludf.DUMMYFUNCTION("""COMPUTED_VALUE"""),"121702638 - APPROVED")</f>
        <v>121702638 - APPROVED</v>
      </c>
      <c r="C3935" s="6">
        <f>IFERROR(__xludf.DUMMYFUNCTION("""COMPUTED_VALUE"""),1.0)</f>
        <v>1</v>
      </c>
      <c r="D3935" s="6" t="str">
        <f>IFERROR(__xludf.DUMMYFUNCTION("""COMPUTED_VALUE"""),"O-20506-00")</f>
        <v>O-20506-00</v>
      </c>
      <c r="E3935" s="6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F3935" s="6">
        <f>IFERROR(__xludf.DUMMYFUNCTION("""COMPUTED_VALUE"""),4.0)</f>
        <v>4</v>
      </c>
      <c r="G3935" s="6" t="str">
        <f>IFERROR(__xludf.DUMMYFUNCTION("""COMPUTED_VALUE"""),"Pieces")</f>
        <v>Pieces</v>
      </c>
      <c r="H3935" s="6" t="str">
        <f>IFERROR(__xludf.DUMMYFUNCTION("""COMPUTED_VALUE"""),"IDR")</f>
        <v>IDR</v>
      </c>
      <c r="I3935" s="6">
        <f>IFERROR(__xludf.DUMMYFUNCTION("""COMPUTED_VALUE"""),1644000.0)</f>
        <v>1644000</v>
      </c>
      <c r="J3935" s="6">
        <f>IFERROR(__xludf.DUMMYFUNCTION("""COMPUTED_VALUE"""),6576000.0)</f>
        <v>6576000</v>
      </c>
      <c r="K3935" s="57">
        <f>IFERROR(__xludf.DUMMYFUNCTION("""COMPUTED_VALUE"""),45793.0)</f>
        <v>45793</v>
      </c>
      <c r="L3935" s="6" t="str">
        <f>IFERROR(__xludf.DUMMYFUNCTION("""COMPUTED_VALUE"""),"FIP Engineering")</f>
        <v>FIP Engineering</v>
      </c>
      <c r="M3935" s="6" t="str">
        <f>IFERROR(__xludf.DUMMYFUNCTION("""COMPUTED_VALUE"""),"Mochammad Fadhillah Hakim,")</f>
        <v>Mochammad Fadhillah Hakim,</v>
      </c>
      <c r="N3935" s="6" t="str">
        <f>IFERROR(__xludf.DUMMYFUNCTION("""COMPUTED_VALUE"""),"FIP Engineering")</f>
        <v>FIP Engineering</v>
      </c>
      <c r="O3935" s="6" t="str">
        <f>IFERROR(__xludf.DUMMYFUNCTION("""COMPUTED_VALUE"""),"FIP-DOM-000-11304-OS00001-INA-000000")</f>
        <v>FIP-DOM-000-11304-OS00001-INA-000000</v>
      </c>
      <c r="P3935" s="6" t="str">
        <f>IFERROR(__xludf.DUMMYFUNCTION("""COMPUTED_VALUE"""),"PO Closed")</f>
        <v>PO Closed</v>
      </c>
      <c r="Q3935" s="6" t="str">
        <f>IFERROR(__xludf.DUMMYFUNCTION("""COMPUTED_VALUE"""),"GL2505038")</f>
        <v>GL2505038</v>
      </c>
      <c r="R3935" s="57">
        <f>IFERROR(__xludf.DUMMYFUNCTION("""COMPUTED_VALUE"""),45763.0)</f>
        <v>45763</v>
      </c>
      <c r="S3935" s="57">
        <f>IFERROR(__xludf.DUMMYFUNCTION("""COMPUTED_VALUE"""),45764.0)</f>
        <v>45764</v>
      </c>
      <c r="T3935" s="57">
        <f>IFERROR(__xludf.DUMMYFUNCTION("""COMPUTED_VALUE"""),45824.0)</f>
        <v>45824</v>
      </c>
    </row>
    <row r="3936">
      <c r="A3936" s="6" t="str">
        <f>IFERROR(__xludf.DUMMYFUNCTION("""COMPUTED_VALUE"""),"121702639-1")</f>
        <v>121702639-1</v>
      </c>
      <c r="B3936" s="6" t="str">
        <f>IFERROR(__xludf.DUMMYFUNCTION("""COMPUTED_VALUE"""),"121702639 - APPROVED")</f>
        <v>121702639 - APPROVED</v>
      </c>
      <c r="C3936" s="6">
        <f>IFERROR(__xludf.DUMMYFUNCTION("""COMPUTED_VALUE"""),1.0)</f>
        <v>1</v>
      </c>
      <c r="D3936" s="6" t="str">
        <f>IFERROR(__xludf.DUMMYFUNCTION("""COMPUTED_VALUE"""),"O-53237-00")</f>
        <v>O-53237-00</v>
      </c>
      <c r="E3936" s="6" t="str">
        <f>IFERROR(__xludf.DUMMYFUNCTION("""COMPUTED_VALUE"""),"General - Power Base TeSys 32A; Schneider; LUB32; 1 Pc")</f>
        <v>General - Power Base TeSys 32A; Schneider; LUB32; 1 Pc</v>
      </c>
      <c r="F3936" s="6">
        <f>IFERROR(__xludf.DUMMYFUNCTION("""COMPUTED_VALUE"""),2.0)</f>
        <v>2</v>
      </c>
      <c r="G3936" s="6" t="str">
        <f>IFERROR(__xludf.DUMMYFUNCTION("""COMPUTED_VALUE"""),"Pieces")</f>
        <v>Pieces</v>
      </c>
      <c r="H3936" s="6" t="str">
        <f>IFERROR(__xludf.DUMMYFUNCTION("""COMPUTED_VALUE"""),"IDR")</f>
        <v>IDR</v>
      </c>
      <c r="I3936" s="6">
        <f>IFERROR(__xludf.DUMMYFUNCTION("""COMPUTED_VALUE"""),3375000.0)</f>
        <v>3375000</v>
      </c>
      <c r="J3936" s="6">
        <f>IFERROR(__xludf.DUMMYFUNCTION("""COMPUTED_VALUE"""),6750000.0)</f>
        <v>6750000</v>
      </c>
      <c r="K3936" s="57">
        <f>IFERROR(__xludf.DUMMYFUNCTION("""COMPUTED_VALUE"""),45793.0)</f>
        <v>45793</v>
      </c>
      <c r="L3936" s="6" t="str">
        <f>IFERROR(__xludf.DUMMYFUNCTION("""COMPUTED_VALUE"""),"FIP Engineering")</f>
        <v>FIP Engineering</v>
      </c>
      <c r="M3936" s="6" t="str">
        <f>IFERROR(__xludf.DUMMYFUNCTION("""COMPUTED_VALUE"""),"Mochammad Fadhillah Hakim,")</f>
        <v>Mochammad Fadhillah Hakim,</v>
      </c>
      <c r="N3936" s="6" t="str">
        <f>IFERROR(__xludf.DUMMYFUNCTION("""COMPUTED_VALUE"""),"FIP Engineering")</f>
        <v>FIP Engineering</v>
      </c>
      <c r="O3936" s="6" t="str">
        <f>IFERROR(__xludf.DUMMYFUNCTION("""COMPUTED_VALUE"""),"FIP-DOM-000-11304-OS00001-INA-000000")</f>
        <v>FIP-DOM-000-11304-OS00001-INA-000000</v>
      </c>
      <c r="P3936" s="6" t="str">
        <f>IFERROR(__xludf.DUMMYFUNCTION("""COMPUTED_VALUE"""),"PO Closed")</f>
        <v>PO Closed</v>
      </c>
      <c r="Q3936" s="6" t="str">
        <f>IFERROR(__xludf.DUMMYFUNCTION("""COMPUTED_VALUE"""),"GL2505038")</f>
        <v>GL2505038</v>
      </c>
      <c r="R3936" s="57">
        <f>IFERROR(__xludf.DUMMYFUNCTION("""COMPUTED_VALUE"""),45763.0)</f>
        <v>45763</v>
      </c>
      <c r="S3936" s="57">
        <f>IFERROR(__xludf.DUMMYFUNCTION("""COMPUTED_VALUE"""),45764.0)</f>
        <v>45764</v>
      </c>
      <c r="T3936" s="57">
        <f>IFERROR(__xludf.DUMMYFUNCTION("""COMPUTED_VALUE"""),45824.0)</f>
        <v>45824</v>
      </c>
    </row>
    <row r="3937">
      <c r="A3937" s="6" t="str">
        <f>IFERROR(__xludf.DUMMYFUNCTION("""COMPUTED_VALUE"""),"121702640-1")</f>
        <v>121702640-1</v>
      </c>
      <c r="B3937" s="6" t="str">
        <f>IFERROR(__xludf.DUMMYFUNCTION("""COMPUTED_VALUE"""),"121702640 - APPROVED")</f>
        <v>121702640 - APPROVED</v>
      </c>
      <c r="C3937" s="6">
        <f>IFERROR(__xludf.DUMMYFUNCTION("""COMPUTED_VALUE"""),1.0)</f>
        <v>1</v>
      </c>
      <c r="D3937" s="6" t="str">
        <f>IFERROR(__xludf.DUMMYFUNCTION("""COMPUTED_VALUE"""),"S-60002-00")</f>
        <v>S-60002-00</v>
      </c>
      <c r="E3937" s="6" t="str">
        <f>IFERROR(__xludf.DUMMYFUNCTION("""COMPUTED_VALUE"""),"Jasa Perbaikan dan Pemeliharaan Mesin Utility - Perbaikan Pompa TOC")</f>
        <v>Jasa Perbaikan dan Pemeliharaan Mesin Utility - Perbaikan Pompa TOC</v>
      </c>
      <c r="F3937" s="6">
        <f>IFERROR(__xludf.DUMMYFUNCTION("""COMPUTED_VALUE"""),1.0)</f>
        <v>1</v>
      </c>
      <c r="G3937" s="6" t="str">
        <f>IFERROR(__xludf.DUMMYFUNCTION("""COMPUTED_VALUE"""),"Lot")</f>
        <v>Lot</v>
      </c>
      <c r="H3937" s="6" t="str">
        <f>IFERROR(__xludf.DUMMYFUNCTION("""COMPUTED_VALUE"""),"IDR")</f>
        <v>IDR</v>
      </c>
      <c r="I3937" s="6">
        <f>IFERROR(__xludf.DUMMYFUNCTION("""COMPUTED_VALUE"""),1000000.0)</f>
        <v>1000000</v>
      </c>
      <c r="J3937" s="6">
        <f>IFERROR(__xludf.DUMMYFUNCTION("""COMPUTED_VALUE"""),1000000.0)</f>
        <v>1000000</v>
      </c>
      <c r="K3937" s="57">
        <f>IFERROR(__xludf.DUMMYFUNCTION("""COMPUTED_VALUE"""),45793.0)</f>
        <v>45793</v>
      </c>
      <c r="L3937" s="6" t="str">
        <f>IFERROR(__xludf.DUMMYFUNCTION("""COMPUTED_VALUE"""),"FIP General")</f>
        <v>FIP General</v>
      </c>
      <c r="M3937" s="6" t="str">
        <f>IFERROR(__xludf.DUMMYFUNCTION("""COMPUTED_VALUE"""),"Mochammad Fadhillah Hakim,")</f>
        <v>Mochammad Fadhillah Hakim,</v>
      </c>
      <c r="N3937" s="6" t="str">
        <f>IFERROR(__xludf.DUMMYFUNCTION("""COMPUTED_VALUE"""),"FIP Engineering")</f>
        <v>FIP Engineering</v>
      </c>
      <c r="O3937" s="6" t="str">
        <f>IFERROR(__xludf.DUMMYFUNCTION("""COMPUTED_VALUE"""),"FIP-DOM-ENG-51508-0000000-INA-000000")</f>
        <v>FIP-DOM-ENG-51508-0000000-INA-000000</v>
      </c>
      <c r="P3937" s="6" t="str">
        <f>IFERROR(__xludf.DUMMYFUNCTION("""COMPUTED_VALUE"""),"PO Closed")</f>
        <v>PO Closed</v>
      </c>
      <c r="Q3937" s="6" t="str">
        <f>IFERROR(__xludf.DUMMYFUNCTION("""COMPUTED_VALUE"""),"GL2504051")</f>
        <v>GL2504051</v>
      </c>
      <c r="R3937" s="57">
        <f>IFERROR(__xludf.DUMMYFUNCTION("""COMPUTED_VALUE"""),45763.0)</f>
        <v>45763</v>
      </c>
      <c r="S3937" s="57">
        <f>IFERROR(__xludf.DUMMYFUNCTION("""COMPUTED_VALUE"""),45764.0)</f>
        <v>45764</v>
      </c>
      <c r="T3937" s="57">
        <f>IFERROR(__xludf.DUMMYFUNCTION("""COMPUTED_VALUE"""),45807.0)</f>
        <v>45807</v>
      </c>
    </row>
    <row r="3938">
      <c r="A3938" s="6" t="str">
        <f>IFERROR(__xludf.DUMMYFUNCTION("""COMPUTED_VALUE"""),"121702641-1")</f>
        <v>121702641-1</v>
      </c>
      <c r="B3938" s="6" t="str">
        <f>IFERROR(__xludf.DUMMYFUNCTION("""COMPUTED_VALUE"""),"121702641 - APPROVED")</f>
        <v>121702641 - APPROVED</v>
      </c>
      <c r="C3938" s="6">
        <f>IFERROR(__xludf.DUMMYFUNCTION("""COMPUTED_VALUE"""),1.0)</f>
        <v>1</v>
      </c>
      <c r="D3938" s="6" t="str">
        <f>IFERROR(__xludf.DUMMYFUNCTION("""COMPUTED_VALUE"""),"P-17272-00")</f>
        <v>P-17272-00</v>
      </c>
      <c r="E3938" s="6" t="str">
        <f>IFERROR(__xludf.DUMMYFUNCTION("""COMPUTED_VALUE"""),"O-ring Epdm 9 x 4 x 2,5 mm ; Brand : - ; P/N : - ; Pack Size : pcs")</f>
        <v>O-ring Epdm 9 x 4 x 2,5 mm ; Brand : - ; P/N : - ; Pack Size : pcs</v>
      </c>
      <c r="F3938" s="6">
        <f>IFERROR(__xludf.DUMMYFUNCTION("""COMPUTED_VALUE"""),50.0)</f>
        <v>50</v>
      </c>
      <c r="G3938" s="6" t="str">
        <f>IFERROR(__xludf.DUMMYFUNCTION("""COMPUTED_VALUE"""),"Pieces")</f>
        <v>Pieces</v>
      </c>
      <c r="H3938" s="6" t="str">
        <f>IFERROR(__xludf.DUMMYFUNCTION("""COMPUTED_VALUE"""),"IDR")</f>
        <v>IDR</v>
      </c>
      <c r="I3938" s="6">
        <f>IFERROR(__xludf.DUMMYFUNCTION("""COMPUTED_VALUE"""),27500.0)</f>
        <v>27500</v>
      </c>
      <c r="J3938" s="6">
        <f>IFERROR(__xludf.DUMMYFUNCTION("""COMPUTED_VALUE"""),1375000.0)</f>
        <v>1375000</v>
      </c>
      <c r="K3938" s="57">
        <f>IFERROR(__xludf.DUMMYFUNCTION("""COMPUTED_VALUE"""),45793.0)</f>
        <v>45793</v>
      </c>
      <c r="L3938" s="6" t="str">
        <f>IFERROR(__xludf.DUMMYFUNCTION("""COMPUTED_VALUE"""),"FIP Engineering")</f>
        <v>FIP Engineering</v>
      </c>
      <c r="M3938" s="6" t="str">
        <f>IFERROR(__xludf.DUMMYFUNCTION("""COMPUTED_VALUE"""),"Mochammad Fadhillah Hakim,")</f>
        <v>Mochammad Fadhillah Hakim,</v>
      </c>
      <c r="N3938" s="6" t="str">
        <f>IFERROR(__xludf.DUMMYFUNCTION("""COMPUTED_VALUE"""),"FIP Engineering")</f>
        <v>FIP Engineering</v>
      </c>
      <c r="O3938" s="6" t="str">
        <f>IFERROR(__xludf.DUMMYFUNCTION("""COMPUTED_VALUE"""),"FIP-DOM-000-11304-OS00001-INA-000000")</f>
        <v>FIP-DOM-000-11304-OS00001-INA-000000</v>
      </c>
      <c r="P3938" s="6" t="str">
        <f>IFERROR(__xludf.DUMMYFUNCTION("""COMPUTED_VALUE"""),"PO Closed")</f>
        <v>PO Closed</v>
      </c>
      <c r="Q3938" s="6" t="str">
        <f>IFERROR(__xludf.DUMMYFUNCTION("""COMPUTED_VALUE"""),"GL2504363")</f>
        <v>GL2504363</v>
      </c>
      <c r="R3938" s="57">
        <f>IFERROR(__xludf.DUMMYFUNCTION("""COMPUTED_VALUE"""),45763.0)</f>
        <v>45763</v>
      </c>
      <c r="S3938" s="57">
        <f>IFERROR(__xludf.DUMMYFUNCTION("""COMPUTED_VALUE"""),45764.0)</f>
        <v>45764</v>
      </c>
      <c r="T3938" s="57">
        <f>IFERROR(__xludf.DUMMYFUNCTION("""COMPUTED_VALUE"""),45793.0)</f>
        <v>45793</v>
      </c>
    </row>
    <row r="3939">
      <c r="A3939" s="6" t="str">
        <f>IFERROR(__xludf.DUMMYFUNCTION("""COMPUTED_VALUE"""),"121702644-1")</f>
        <v>121702644-1</v>
      </c>
      <c r="B3939" s="6" t="str">
        <f>IFERROR(__xludf.DUMMYFUNCTION("""COMPUTED_VALUE"""),"121702644 - APPROVED")</f>
        <v>121702644 - APPROVED</v>
      </c>
      <c r="C3939" s="6">
        <f>IFERROR(__xludf.DUMMYFUNCTION("""COMPUTED_VALUE"""),1.0)</f>
        <v>1</v>
      </c>
      <c r="D3939" s="6" t="str">
        <f>IFERROR(__xludf.DUMMYFUNCTION("""COMPUTED_VALUE"""),"O-20505-00")</f>
        <v>O-20505-00</v>
      </c>
      <c r="E3939" s="6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F3939" s="6">
        <f>IFERROR(__xludf.DUMMYFUNCTION("""COMPUTED_VALUE"""),10.0)</f>
        <v>10</v>
      </c>
      <c r="G3939" s="6" t="str">
        <f>IFERROR(__xludf.DUMMYFUNCTION("""COMPUTED_VALUE"""),"Pieces")</f>
        <v>Pieces</v>
      </c>
      <c r="H3939" s="6" t="str">
        <f>IFERROR(__xludf.DUMMYFUNCTION("""COMPUTED_VALUE"""),"IDR")</f>
        <v>IDR</v>
      </c>
      <c r="I3939" s="6">
        <f>IFERROR(__xludf.DUMMYFUNCTION("""COMPUTED_VALUE"""),27500.0)</f>
        <v>27500</v>
      </c>
      <c r="J3939" s="6">
        <f>IFERROR(__xludf.DUMMYFUNCTION("""COMPUTED_VALUE"""),275000.0)</f>
        <v>275000</v>
      </c>
      <c r="K3939" s="57">
        <f>IFERROR(__xludf.DUMMYFUNCTION("""COMPUTED_VALUE"""),45796.0)</f>
        <v>45796</v>
      </c>
      <c r="L3939" s="6" t="str">
        <f>IFERROR(__xludf.DUMMYFUNCTION("""COMPUTED_VALUE"""),"FIP Engineering")</f>
        <v>FIP Engineering</v>
      </c>
      <c r="M3939" s="6" t="str">
        <f>IFERROR(__xludf.DUMMYFUNCTION("""COMPUTED_VALUE"""),"Mochammad Fadhillah Hakim,")</f>
        <v>Mochammad Fadhillah Hakim,</v>
      </c>
      <c r="N3939" s="6" t="str">
        <f>IFERROR(__xludf.DUMMYFUNCTION("""COMPUTED_VALUE"""),"FIP Engineering")</f>
        <v>FIP Engineering</v>
      </c>
      <c r="O3939" s="6" t="str">
        <f>IFERROR(__xludf.DUMMYFUNCTION("""COMPUTED_VALUE"""),"FIP-DOM-000-11304-OS00001-INA-000000")</f>
        <v>FIP-DOM-000-11304-OS00001-INA-000000</v>
      </c>
      <c r="P3939" s="6" t="str">
        <f>IFERROR(__xludf.DUMMYFUNCTION("""COMPUTED_VALUE"""),"PO Closed")</f>
        <v>PO Closed</v>
      </c>
      <c r="Q3939" s="6" t="str">
        <f>IFERROR(__xludf.DUMMYFUNCTION("""COMPUTED_VALUE"""),"GL2505029")</f>
        <v>GL2505029</v>
      </c>
      <c r="R3939" s="57">
        <f>IFERROR(__xludf.DUMMYFUNCTION("""COMPUTED_VALUE"""),45764.0)</f>
        <v>45764</v>
      </c>
      <c r="S3939" s="57">
        <f>IFERROR(__xludf.DUMMYFUNCTION("""COMPUTED_VALUE"""),45764.0)</f>
        <v>45764</v>
      </c>
      <c r="T3939" s="57">
        <f>IFERROR(__xludf.DUMMYFUNCTION("""COMPUTED_VALUE"""),45817.0)</f>
        <v>45817</v>
      </c>
    </row>
    <row r="3940">
      <c r="A3940" s="6" t="str">
        <f>IFERROR(__xludf.DUMMYFUNCTION("""COMPUTED_VALUE"""),"121702645-1")</f>
        <v>121702645-1</v>
      </c>
      <c r="B3940" s="6" t="str">
        <f>IFERROR(__xludf.DUMMYFUNCTION("""COMPUTED_VALUE"""),"121702645 - APPROVED")</f>
        <v>121702645 - APPROVED</v>
      </c>
      <c r="C3940" s="6">
        <f>IFERROR(__xludf.DUMMYFUNCTION("""COMPUTED_VALUE"""),1.0)</f>
        <v>1</v>
      </c>
      <c r="D3940" s="6" t="str">
        <f>IFERROR(__xludf.DUMMYFUNCTION("""COMPUTED_VALUE"""),"O-20504-00")</f>
        <v>O-20504-00</v>
      </c>
      <c r="E3940" s="6" t="str">
        <f>IFERROR(__xludf.DUMMYFUNCTION("""COMPUTED_VALUE"""),"Mixing Tank Adam - Corong Mesin 10x1.5 inch Mat. SS 316; Custom/Lokal; -; 1 Pc")</f>
        <v>Mixing Tank Adam - Corong Mesin 10x1.5 inch Mat. SS 316; Custom/Lokal; -; 1 Pc</v>
      </c>
      <c r="F3940" s="6">
        <f>IFERROR(__xludf.DUMMYFUNCTION("""COMPUTED_VALUE"""),1.0)</f>
        <v>1</v>
      </c>
      <c r="G3940" s="6" t="str">
        <f>IFERROR(__xludf.DUMMYFUNCTION("""COMPUTED_VALUE"""),"Pieces")</f>
        <v>Pieces</v>
      </c>
      <c r="H3940" s="6" t="str">
        <f>IFERROR(__xludf.DUMMYFUNCTION("""COMPUTED_VALUE"""),"IDR")</f>
        <v>IDR</v>
      </c>
      <c r="I3940" s="6">
        <f>IFERROR(__xludf.DUMMYFUNCTION("""COMPUTED_VALUE"""),3850000.0)</f>
        <v>3850000</v>
      </c>
      <c r="J3940" s="6">
        <f>IFERROR(__xludf.DUMMYFUNCTION("""COMPUTED_VALUE"""),3850000.0)</f>
        <v>3850000</v>
      </c>
      <c r="K3940" s="57">
        <f>IFERROR(__xludf.DUMMYFUNCTION("""COMPUTED_VALUE"""),45793.0)</f>
        <v>45793</v>
      </c>
      <c r="L3940" s="6" t="str">
        <f>IFERROR(__xludf.DUMMYFUNCTION("""COMPUTED_VALUE"""),"FIP Engineering")</f>
        <v>FIP Engineering</v>
      </c>
      <c r="M3940" s="6" t="str">
        <f>IFERROR(__xludf.DUMMYFUNCTION("""COMPUTED_VALUE"""),"Mochammad Fadhillah Hakim,")</f>
        <v>Mochammad Fadhillah Hakim,</v>
      </c>
      <c r="N3940" s="6" t="str">
        <f>IFERROR(__xludf.DUMMYFUNCTION("""COMPUTED_VALUE"""),"FIP Engineering")</f>
        <v>FIP Engineering</v>
      </c>
      <c r="O3940" s="6" t="str">
        <f>IFERROR(__xludf.DUMMYFUNCTION("""COMPUTED_VALUE"""),"FIP-DOM-000-11304-OS00001-INA-000000")</f>
        <v>FIP-DOM-000-11304-OS00001-INA-000000</v>
      </c>
      <c r="P3940" s="6" t="str">
        <f>IFERROR(__xludf.DUMMYFUNCTION("""COMPUTED_VALUE"""),"PO Closed")</f>
        <v>PO Closed</v>
      </c>
      <c r="Q3940" s="6" t="str">
        <f>IFERROR(__xludf.DUMMYFUNCTION("""COMPUTED_VALUE"""),"GL2505039")</f>
        <v>GL2505039</v>
      </c>
      <c r="R3940" s="57">
        <f>IFERROR(__xludf.DUMMYFUNCTION("""COMPUTED_VALUE"""),45764.0)</f>
        <v>45764</v>
      </c>
      <c r="S3940" s="57">
        <f>IFERROR(__xludf.DUMMYFUNCTION("""COMPUTED_VALUE"""),45764.0)</f>
        <v>45764</v>
      </c>
      <c r="T3940" s="57">
        <f>IFERROR(__xludf.DUMMYFUNCTION("""COMPUTED_VALUE"""),45838.0)</f>
        <v>45838</v>
      </c>
    </row>
    <row r="3941">
      <c r="A3941" s="6" t="str">
        <f>IFERROR(__xludf.DUMMYFUNCTION("""COMPUTED_VALUE"""),"121702646-1")</f>
        <v>121702646-1</v>
      </c>
      <c r="B3941" s="6" t="str">
        <f>IFERROR(__xludf.DUMMYFUNCTION("""COMPUTED_VALUE"""),"121702646 - APPROVED")</f>
        <v>121702646 - APPROVED</v>
      </c>
      <c r="C3941" s="6">
        <f>IFERROR(__xludf.DUMMYFUNCTION("""COMPUTED_VALUE"""),1.0)</f>
        <v>1</v>
      </c>
      <c r="D3941" s="6" t="str">
        <f>IFERROR(__xludf.DUMMYFUNCTION("""COMPUTED_VALUE"""),"O-53211-00")</f>
        <v>O-53211-00</v>
      </c>
      <c r="E3941" s="6" t="str">
        <f>IFERROR(__xludf.DUMMYFUNCTION("""COMPUTED_VALUE"""),"Filling VFM100 - Flow meter 40-500 NL/H (201787);INOX;Model 1900;")</f>
        <v>Filling VFM100 - Flow meter 40-500 NL/H (201787);INOX;Model 1900;</v>
      </c>
      <c r="F3941" s="6">
        <f>IFERROR(__xludf.DUMMYFUNCTION("""COMPUTED_VALUE"""),2.0)</f>
        <v>2</v>
      </c>
      <c r="G3941" s="6" t="str">
        <f>IFERROR(__xludf.DUMMYFUNCTION("""COMPUTED_VALUE"""),"Pieces")</f>
        <v>Pieces</v>
      </c>
      <c r="H3941" s="6" t="str">
        <f>IFERROR(__xludf.DUMMYFUNCTION("""COMPUTED_VALUE"""),"IDR")</f>
        <v>IDR</v>
      </c>
      <c r="I3941" s="6">
        <f>IFERROR(__xludf.DUMMYFUNCTION("""COMPUTED_VALUE"""),5093690.0)</f>
        <v>5093690</v>
      </c>
      <c r="J3941" s="6">
        <f>IFERROR(__xludf.DUMMYFUNCTION("""COMPUTED_VALUE"""),1.018738E7)</f>
        <v>10187380</v>
      </c>
      <c r="K3941" s="57">
        <f>IFERROR(__xludf.DUMMYFUNCTION("""COMPUTED_VALUE"""),45828.0)</f>
        <v>45828</v>
      </c>
      <c r="L3941" s="6" t="str">
        <f>IFERROR(__xludf.DUMMYFUNCTION("""COMPUTED_VALUE"""),"FIP Engineering")</f>
        <v>FIP Engineering</v>
      </c>
      <c r="M3941" s="6" t="str">
        <f>IFERROR(__xludf.DUMMYFUNCTION("""COMPUTED_VALUE"""),"Mochammad Fadhillah Hakim,")</f>
        <v>Mochammad Fadhillah Hakim,</v>
      </c>
      <c r="N3941" s="6" t="str">
        <f>IFERROR(__xludf.DUMMYFUNCTION("""COMPUTED_VALUE"""),"FIP Engineering")</f>
        <v>FIP Engineering</v>
      </c>
      <c r="O3941" s="6" t="str">
        <f>IFERROR(__xludf.DUMMYFUNCTION("""COMPUTED_VALUE"""),"FIP-DOM-000-11304-OS00001-INA-000000")</f>
        <v>FIP-DOM-000-11304-OS00001-INA-000000</v>
      </c>
      <c r="P3941" s="6" t="str">
        <f>IFERROR(__xludf.DUMMYFUNCTION("""COMPUTED_VALUE"""),"PO Closed")</f>
        <v>PO Closed</v>
      </c>
      <c r="Q3941" s="6" t="str">
        <f>IFERROR(__xludf.DUMMYFUNCTION("""COMPUTED_VALUE"""),"GL2505040")</f>
        <v>GL2505040</v>
      </c>
      <c r="R3941" s="57">
        <f>IFERROR(__xludf.DUMMYFUNCTION("""COMPUTED_VALUE"""),45764.0)</f>
        <v>45764</v>
      </c>
      <c r="S3941" s="57">
        <f>IFERROR(__xludf.DUMMYFUNCTION("""COMPUTED_VALUE"""),45772.0)</f>
        <v>45772</v>
      </c>
      <c r="T3941" s="57">
        <f>IFERROR(__xludf.DUMMYFUNCTION("""COMPUTED_VALUE"""),45858.0)</f>
        <v>45858</v>
      </c>
    </row>
    <row r="3942">
      <c r="A3942" s="6" t="str">
        <f>IFERROR(__xludf.DUMMYFUNCTION("""COMPUTED_VALUE"""),"121702647-1")</f>
        <v>121702647-1</v>
      </c>
      <c r="B3942" s="6" t="str">
        <f>IFERROR(__xludf.DUMMYFUNCTION("""COMPUTED_VALUE"""),"121702647 - APPROVED")</f>
        <v>121702647 - APPROVED</v>
      </c>
      <c r="C3942" s="6">
        <f>IFERROR(__xludf.DUMMYFUNCTION("""COMPUTED_VALUE"""),1.0)</f>
        <v>1</v>
      </c>
      <c r="D3942" s="6" t="str">
        <f>IFERROR(__xludf.DUMMYFUNCTION("""COMPUTED_VALUE"""),"S-60002-00")</f>
        <v>S-60002-00</v>
      </c>
      <c r="E3942" s="6" t="str">
        <f>IFERROR(__xludf.DUMMYFUNCTION("""COMPUTED_VALUE"""),"Jasa Perbaikan dan Pemeliharaan Mesin Utility - Perapihan Kabel di Ruang Server")</f>
        <v>Jasa Perbaikan dan Pemeliharaan Mesin Utility - Perapihan Kabel di Ruang Server</v>
      </c>
      <c r="F3942" s="6">
        <f>IFERROR(__xludf.DUMMYFUNCTION("""COMPUTED_VALUE"""),1.0)</f>
        <v>1</v>
      </c>
      <c r="G3942" s="6" t="str">
        <f>IFERROR(__xludf.DUMMYFUNCTION("""COMPUTED_VALUE"""),"Lot")</f>
        <v>Lot</v>
      </c>
      <c r="H3942" s="6" t="str">
        <f>IFERROR(__xludf.DUMMYFUNCTION("""COMPUTED_VALUE"""),"IDR")</f>
        <v>IDR</v>
      </c>
      <c r="I3942" s="6">
        <f>IFERROR(__xludf.DUMMYFUNCTION("""COMPUTED_VALUE"""),5750000.0)</f>
        <v>5750000</v>
      </c>
      <c r="J3942" s="6">
        <f>IFERROR(__xludf.DUMMYFUNCTION("""COMPUTED_VALUE"""),5750000.0)</f>
        <v>5750000</v>
      </c>
      <c r="K3942" s="57">
        <f>IFERROR(__xludf.DUMMYFUNCTION("""COMPUTED_VALUE"""),45796.0)</f>
        <v>45796</v>
      </c>
      <c r="L3942" s="6" t="str">
        <f>IFERROR(__xludf.DUMMYFUNCTION("""COMPUTED_VALUE"""),"FIP General")</f>
        <v>FIP General</v>
      </c>
      <c r="M3942" s="6" t="str">
        <f>IFERROR(__xludf.DUMMYFUNCTION("""COMPUTED_VALUE"""),"Mochammad Fadhillah Hakim,")</f>
        <v>Mochammad Fadhillah Hakim,</v>
      </c>
      <c r="N3942" s="6" t="str">
        <f>IFERROR(__xludf.DUMMYFUNCTION("""COMPUTED_VALUE"""),"FIP Engineering")</f>
        <v>FIP Engineering</v>
      </c>
      <c r="O3942" s="6" t="str">
        <f>IFERROR(__xludf.DUMMYFUNCTION("""COMPUTED_VALUE"""),"FIP-DOM-ENG-51508-0000000-INA-000000")</f>
        <v>FIP-DOM-ENG-51508-0000000-INA-000000</v>
      </c>
      <c r="P3942" s="6" t="str">
        <f>IFERROR(__xludf.DUMMYFUNCTION("""COMPUTED_VALUE"""),"PO Closed")</f>
        <v>PO Closed</v>
      </c>
      <c r="Q3942" s="6" t="str">
        <f>IFERROR(__xludf.DUMMYFUNCTION("""COMPUTED_VALUE"""),"GL2506015")</f>
        <v>GL2506015</v>
      </c>
      <c r="R3942" s="57">
        <f>IFERROR(__xludf.DUMMYFUNCTION("""COMPUTED_VALUE"""),45764.0)</f>
        <v>45764</v>
      </c>
      <c r="S3942" s="57">
        <f>IFERROR(__xludf.DUMMYFUNCTION("""COMPUTED_VALUE"""),45769.0)</f>
        <v>45769</v>
      </c>
      <c r="T3942" s="57">
        <f>IFERROR(__xludf.DUMMYFUNCTION("""COMPUTED_VALUE"""),45888.0)</f>
        <v>45888</v>
      </c>
    </row>
    <row r="3943">
      <c r="A3943" s="6" t="str">
        <f>IFERROR(__xludf.DUMMYFUNCTION("""COMPUTED_VALUE"""),"121702653-1")</f>
        <v>121702653-1</v>
      </c>
      <c r="B3943" s="6" t="str">
        <f>IFERROR(__xludf.DUMMYFUNCTION("""COMPUTED_VALUE"""),"121702653 - APPROVED")</f>
        <v>121702653 - APPROVED</v>
      </c>
      <c r="C3943" s="6">
        <f>IFERROR(__xludf.DUMMYFUNCTION("""COMPUTED_VALUE"""),1.0)</f>
        <v>1</v>
      </c>
      <c r="D3943" s="6" t="str">
        <f>IFERROR(__xludf.DUMMYFUNCTION("""COMPUTED_VALUE"""),"O-14594-00")</f>
        <v>O-14594-00</v>
      </c>
      <c r="E3943" s="6" t="str">
        <f>IFERROR(__xludf.DUMMYFUNCTION("""COMPUTED_VALUE"""),"Kit, membrane ozone 6510 METTLER TOLEDO INDONESIA, PT P/N : -  pc")</f>
        <v>Kit, membrane ozone 6510 METTLER TOLEDO INDONESIA, PT P/N : -  pc</v>
      </c>
      <c r="F3943" s="6">
        <f>IFERROR(__xludf.DUMMYFUNCTION("""COMPUTED_VALUE"""),1.0)</f>
        <v>1</v>
      </c>
      <c r="G3943" s="6" t="str">
        <f>IFERROR(__xludf.DUMMYFUNCTION("""COMPUTED_VALUE"""),"Unit")</f>
        <v>Unit</v>
      </c>
      <c r="H3943" s="6" t="str">
        <f>IFERROR(__xludf.DUMMYFUNCTION("""COMPUTED_VALUE"""),"IDR")</f>
        <v>IDR</v>
      </c>
      <c r="I3943" s="6">
        <f>IFERROR(__xludf.DUMMYFUNCTION("""COMPUTED_VALUE"""),1.459212E7)</f>
        <v>14592120</v>
      </c>
      <c r="J3943" s="6">
        <f>IFERROR(__xludf.DUMMYFUNCTION("""COMPUTED_VALUE"""),1.459212E7)</f>
        <v>14592120</v>
      </c>
      <c r="K3943" s="57">
        <f>IFERROR(__xludf.DUMMYFUNCTION("""COMPUTED_VALUE"""),45800.0)</f>
        <v>45800</v>
      </c>
      <c r="L3943" s="6" t="str">
        <f>IFERROR(__xludf.DUMMYFUNCTION("""COMPUTED_VALUE"""),"FIP Engineering")</f>
        <v>FIP Engineering</v>
      </c>
      <c r="M3943" s="6" t="str">
        <f>IFERROR(__xludf.DUMMYFUNCTION("""COMPUTED_VALUE"""),"Mochammad Fadhillah Hakim,")</f>
        <v>Mochammad Fadhillah Hakim,</v>
      </c>
      <c r="N3943" s="6" t="str">
        <f>IFERROR(__xludf.DUMMYFUNCTION("""COMPUTED_VALUE"""),"FIP Engineering")</f>
        <v>FIP Engineering</v>
      </c>
      <c r="O3943" s="6" t="str">
        <f>IFERROR(__xludf.DUMMYFUNCTION("""COMPUTED_VALUE"""),"FIP-DOM-000-11304-OS00001-INA-000000")</f>
        <v>FIP-DOM-000-11304-OS00001-INA-000000</v>
      </c>
      <c r="P3943" s="6" t="str">
        <f>IFERROR(__xludf.DUMMYFUNCTION("""COMPUTED_VALUE"""),"PO Closed")</f>
        <v>PO Closed</v>
      </c>
      <c r="Q3943" s="6" t="str">
        <f>IFERROR(__xludf.DUMMYFUNCTION("""COMPUTED_VALUE"""),"GL2505053")</f>
        <v>GL2505053</v>
      </c>
      <c r="R3943" s="57">
        <f>IFERROR(__xludf.DUMMYFUNCTION("""COMPUTED_VALUE"""),45770.0)</f>
        <v>45770</v>
      </c>
      <c r="S3943" s="57">
        <f>IFERROR(__xludf.DUMMYFUNCTION("""COMPUTED_VALUE"""),45772.0)</f>
        <v>45772</v>
      </c>
      <c r="T3943" s="57">
        <f>IFERROR(__xludf.DUMMYFUNCTION("""COMPUTED_VALUE"""),45848.0)</f>
        <v>45848</v>
      </c>
    </row>
    <row r="3944">
      <c r="A3944" s="6" t="str">
        <f>IFERROR(__xludf.DUMMYFUNCTION("""COMPUTED_VALUE"""),"121702655-1")</f>
        <v>121702655-1</v>
      </c>
      <c r="B3944" s="6" t="str">
        <f>IFERROR(__xludf.DUMMYFUNCTION("""COMPUTED_VALUE"""),"121702655 - APPROVED")</f>
        <v>121702655 - APPROVED</v>
      </c>
      <c r="C3944" s="6">
        <f>IFERROR(__xludf.DUMMYFUNCTION("""COMPUTED_VALUE"""),1.0)</f>
        <v>1</v>
      </c>
      <c r="D3944" s="6" t="str">
        <f>IFERROR(__xludf.DUMMYFUNCTION("""COMPUTED_VALUE"""),"O-20357-00")</f>
        <v>O-20357-00</v>
      </c>
      <c r="E3944" s="6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F3944" s="6">
        <f>IFERROR(__xludf.DUMMYFUNCTION("""COMPUTED_VALUE"""),1.0)</f>
        <v>1</v>
      </c>
      <c r="G3944" s="6" t="str">
        <f>IFERROR(__xludf.DUMMYFUNCTION("""COMPUTED_VALUE"""),"Pieces")</f>
        <v>Pieces</v>
      </c>
      <c r="H3944" s="6" t="str">
        <f>IFERROR(__xludf.DUMMYFUNCTION("""COMPUTED_VALUE"""),"IDR")</f>
        <v>IDR</v>
      </c>
      <c r="I3944" s="6">
        <f>IFERROR(__xludf.DUMMYFUNCTION("""COMPUTED_VALUE"""),2985000.0)</f>
        <v>2985000</v>
      </c>
      <c r="J3944" s="6">
        <f>IFERROR(__xludf.DUMMYFUNCTION("""COMPUTED_VALUE"""),2985000.0)</f>
        <v>2985000</v>
      </c>
      <c r="K3944" s="57">
        <f>IFERROR(__xludf.DUMMYFUNCTION("""COMPUTED_VALUE"""),45800.0)</f>
        <v>45800</v>
      </c>
      <c r="L3944" s="6" t="str">
        <f>IFERROR(__xludf.DUMMYFUNCTION("""COMPUTED_VALUE"""),"FIP Engineering")</f>
        <v>FIP Engineering</v>
      </c>
      <c r="M3944" s="6" t="str">
        <f>IFERROR(__xludf.DUMMYFUNCTION("""COMPUTED_VALUE"""),"Mochammad Fadhillah Hakim,")</f>
        <v>Mochammad Fadhillah Hakim,</v>
      </c>
      <c r="N3944" s="6" t="str">
        <f>IFERROR(__xludf.DUMMYFUNCTION("""COMPUTED_VALUE"""),"FIP Engineering")</f>
        <v>FIP Engineering</v>
      </c>
      <c r="O3944" s="6" t="str">
        <f>IFERROR(__xludf.DUMMYFUNCTION("""COMPUTED_VALUE"""),"FIP-DOM-000-11304-OS00001-INA-000000")</f>
        <v>FIP-DOM-000-11304-OS00001-INA-000000</v>
      </c>
      <c r="P3944" s="6" t="str">
        <f>IFERROR(__xludf.DUMMYFUNCTION("""COMPUTED_VALUE"""),"PO Closed")</f>
        <v>PO Closed</v>
      </c>
      <c r="Q3944" s="6" t="str">
        <f>IFERROR(__xludf.DUMMYFUNCTION("""COMPUTED_VALUE"""),"GL2505026")</f>
        <v>GL2505026</v>
      </c>
      <c r="R3944" s="57">
        <f>IFERROR(__xludf.DUMMYFUNCTION("""COMPUTED_VALUE"""),45770.0)</f>
        <v>45770</v>
      </c>
      <c r="S3944" s="57">
        <f>IFERROR(__xludf.DUMMYFUNCTION("""COMPUTED_VALUE"""),45772.0)</f>
        <v>45772</v>
      </c>
      <c r="T3944" s="57">
        <f>IFERROR(__xludf.DUMMYFUNCTION("""COMPUTED_VALUE"""),45817.0)</f>
        <v>45817</v>
      </c>
    </row>
    <row r="3945">
      <c r="A3945" s="6" t="str">
        <f>IFERROR(__xludf.DUMMYFUNCTION("""COMPUTED_VALUE"""),"121702656-1")</f>
        <v>121702656-1</v>
      </c>
      <c r="B3945" s="6" t="str">
        <f>IFERROR(__xludf.DUMMYFUNCTION("""COMPUTED_VALUE"""),"121702656 - APPROVED")</f>
        <v>121702656 - APPROVED</v>
      </c>
      <c r="C3945" s="6">
        <f>IFERROR(__xludf.DUMMYFUNCTION("""COMPUTED_VALUE"""),1.0)</f>
        <v>1</v>
      </c>
      <c r="D3945" s="6" t="str">
        <f>IFERROR(__xludf.DUMMYFUNCTION("""COMPUTED_VALUE"""),"P-53404-00")</f>
        <v>P-53404-00</v>
      </c>
      <c r="E3945" s="6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F3945" s="6">
        <f>IFERROR(__xludf.DUMMYFUNCTION("""COMPUTED_VALUE"""),1.0)</f>
        <v>1</v>
      </c>
      <c r="G3945" s="6" t="str">
        <f>IFERROR(__xludf.DUMMYFUNCTION("""COMPUTED_VALUE"""),"Pieces")</f>
        <v>Pieces</v>
      </c>
      <c r="H3945" s="6" t="str">
        <f>IFERROR(__xludf.DUMMYFUNCTION("""COMPUTED_VALUE"""),"IDR")</f>
        <v>IDR</v>
      </c>
      <c r="I3945" s="6">
        <f>IFERROR(__xludf.DUMMYFUNCTION("""COMPUTED_VALUE"""),2250000.0)</f>
        <v>2250000</v>
      </c>
      <c r="J3945" s="6">
        <f>IFERROR(__xludf.DUMMYFUNCTION("""COMPUTED_VALUE"""),2250000.0)</f>
        <v>2250000</v>
      </c>
      <c r="K3945" s="57">
        <f>IFERROR(__xludf.DUMMYFUNCTION("""COMPUTED_VALUE"""),45800.0)</f>
        <v>45800</v>
      </c>
      <c r="L3945" s="6" t="str">
        <f>IFERROR(__xludf.DUMMYFUNCTION("""COMPUTED_VALUE"""),"FIP Engineering")</f>
        <v>FIP Engineering</v>
      </c>
      <c r="M3945" s="6" t="str">
        <f>IFERROR(__xludf.DUMMYFUNCTION("""COMPUTED_VALUE"""),"Mochammad Fadhillah Hakim,")</f>
        <v>Mochammad Fadhillah Hakim,</v>
      </c>
      <c r="N3945" s="6" t="str">
        <f>IFERROR(__xludf.DUMMYFUNCTION("""COMPUTED_VALUE"""),"FIP Engineering")</f>
        <v>FIP Engineering</v>
      </c>
      <c r="O3945" s="6" t="str">
        <f>IFERROR(__xludf.DUMMYFUNCTION("""COMPUTED_VALUE"""),"FIP-DOM-000-11304-OS00001-INA-000000")</f>
        <v>FIP-DOM-000-11304-OS00001-INA-000000</v>
      </c>
      <c r="P3945" s="6" t="str">
        <f>IFERROR(__xludf.DUMMYFUNCTION("""COMPUTED_VALUE"""),"PO Closed")</f>
        <v>PO Closed</v>
      </c>
      <c r="Q3945" s="6" t="str">
        <f>IFERROR(__xludf.DUMMYFUNCTION("""COMPUTED_VALUE"""),"GL2505021")</f>
        <v>GL2505021</v>
      </c>
      <c r="R3945" s="57">
        <f>IFERROR(__xludf.DUMMYFUNCTION("""COMPUTED_VALUE"""),45770.0)</f>
        <v>45770</v>
      </c>
      <c r="S3945" s="57">
        <f>IFERROR(__xludf.DUMMYFUNCTION("""COMPUTED_VALUE"""),45772.0)</f>
        <v>45772</v>
      </c>
      <c r="T3945" s="57">
        <f>IFERROR(__xludf.DUMMYFUNCTION("""COMPUTED_VALUE"""),45800.0)</f>
        <v>45800</v>
      </c>
    </row>
    <row r="3946">
      <c r="A3946" s="6" t="str">
        <f>IFERROR(__xludf.DUMMYFUNCTION("""COMPUTED_VALUE"""),"121702659-1")</f>
        <v>121702659-1</v>
      </c>
      <c r="B3946" s="6" t="str">
        <f>IFERROR(__xludf.DUMMYFUNCTION("""COMPUTED_VALUE"""),"121702659 - APPROVED")</f>
        <v>121702659 - APPROVED</v>
      </c>
      <c r="C3946" s="6">
        <f>IFERROR(__xludf.DUMMYFUNCTION("""COMPUTED_VALUE"""),1.0)</f>
        <v>1</v>
      </c>
      <c r="D3946" s="6" t="str">
        <f>IFERROR(__xludf.DUMMYFUNCTION("""COMPUTED_VALUE"""),"P-11185-00")</f>
        <v>P-11185-00</v>
      </c>
      <c r="E3946" s="6" t="str">
        <f>IFERROR(__xludf.DUMMYFUNCTION("""COMPUTED_VALUE"""),"General - Push-in Connector, QS-8-6; Festo; 153038; 1 pcs")</f>
        <v>General - Push-in Connector, QS-8-6; Festo; 153038; 1 pcs</v>
      </c>
      <c r="F3946" s="6">
        <f>IFERROR(__xludf.DUMMYFUNCTION("""COMPUTED_VALUE"""),8.0)</f>
        <v>8</v>
      </c>
      <c r="G3946" s="6" t="str">
        <f>IFERROR(__xludf.DUMMYFUNCTION("""COMPUTED_VALUE"""),"Pieces")</f>
        <v>Pieces</v>
      </c>
      <c r="H3946" s="6" t="str">
        <f>IFERROR(__xludf.DUMMYFUNCTION("""COMPUTED_VALUE"""),"IDR")</f>
        <v>IDR</v>
      </c>
      <c r="I3946" s="6">
        <f>IFERROR(__xludf.DUMMYFUNCTION("""COMPUTED_VALUE"""),47707.0)</f>
        <v>47707</v>
      </c>
      <c r="J3946" s="6">
        <f>IFERROR(__xludf.DUMMYFUNCTION("""COMPUTED_VALUE"""),381656.0)</f>
        <v>381656</v>
      </c>
      <c r="K3946" s="57">
        <f>IFERROR(__xludf.DUMMYFUNCTION("""COMPUTED_VALUE"""),45800.0)</f>
        <v>45800</v>
      </c>
      <c r="L3946" s="6" t="str">
        <f>IFERROR(__xludf.DUMMYFUNCTION("""COMPUTED_VALUE"""),"FIP Engineering")</f>
        <v>FIP Engineering</v>
      </c>
      <c r="M3946" s="6" t="str">
        <f>IFERROR(__xludf.DUMMYFUNCTION("""COMPUTED_VALUE"""),"Mochammad Fadhillah Hakim,")</f>
        <v>Mochammad Fadhillah Hakim,</v>
      </c>
      <c r="N3946" s="6" t="str">
        <f>IFERROR(__xludf.DUMMYFUNCTION("""COMPUTED_VALUE"""),"FIP Engineering")</f>
        <v>FIP Engineering</v>
      </c>
      <c r="O3946" s="6" t="str">
        <f>IFERROR(__xludf.DUMMYFUNCTION("""COMPUTED_VALUE"""),"FIP-DOM-000-11304-OS00001-INA-000000")</f>
        <v>FIP-DOM-000-11304-OS00001-INA-000000</v>
      </c>
      <c r="P3946" s="6" t="str">
        <f>IFERROR(__xludf.DUMMYFUNCTION("""COMPUTED_VALUE"""),"PO Closed")</f>
        <v>PO Closed</v>
      </c>
      <c r="Q3946" s="6" t="str">
        <f>IFERROR(__xludf.DUMMYFUNCTION("""COMPUTED_VALUE"""),"GL2505366")</f>
        <v>GL2505366</v>
      </c>
      <c r="R3946" s="57">
        <f>IFERROR(__xludf.DUMMYFUNCTION("""COMPUTED_VALUE"""),45770.0)</f>
        <v>45770</v>
      </c>
      <c r="S3946" s="57">
        <f>IFERROR(__xludf.DUMMYFUNCTION("""COMPUTED_VALUE"""),45772.0)</f>
        <v>45772</v>
      </c>
      <c r="T3946" s="57">
        <f>IFERROR(__xludf.DUMMYFUNCTION("""COMPUTED_VALUE"""),45800.0)</f>
        <v>45800</v>
      </c>
    </row>
    <row r="3947">
      <c r="A3947" s="6" t="str">
        <f>IFERROR(__xludf.DUMMYFUNCTION("""COMPUTED_VALUE"""),"121702659-2")</f>
        <v>121702659-2</v>
      </c>
      <c r="B3947" s="6" t="str">
        <f>IFERROR(__xludf.DUMMYFUNCTION("""COMPUTED_VALUE"""),"121702659 - APPROVED")</f>
        <v>121702659 - APPROVED</v>
      </c>
      <c r="C3947" s="6">
        <f>IFERROR(__xludf.DUMMYFUNCTION("""COMPUTED_VALUE"""),2.0)</f>
        <v>2</v>
      </c>
      <c r="D3947" s="6" t="str">
        <f>IFERROR(__xludf.DUMMYFUNCTION("""COMPUTED_VALUE"""),"P-12266-00")</f>
        <v>P-12266-00</v>
      </c>
      <c r="E3947" s="6" t="str">
        <f>IFERROR(__xludf.DUMMYFUNCTION("""COMPUTED_VALUE"""),"FESTO - Push In Fitting QS-1/2-10 part number 190646")</f>
        <v>FESTO - Push In Fitting QS-1/2-10 part number 190646</v>
      </c>
      <c r="F3947" s="6">
        <f>IFERROR(__xludf.DUMMYFUNCTION("""COMPUTED_VALUE"""),8.0)</f>
        <v>8</v>
      </c>
      <c r="G3947" s="6" t="str">
        <f>IFERROR(__xludf.DUMMYFUNCTION("""COMPUTED_VALUE"""),"Pieces")</f>
        <v>Pieces</v>
      </c>
      <c r="H3947" s="6" t="str">
        <f>IFERROR(__xludf.DUMMYFUNCTION("""COMPUTED_VALUE"""),"IDR")</f>
        <v>IDR</v>
      </c>
      <c r="I3947" s="6">
        <f>IFERROR(__xludf.DUMMYFUNCTION("""COMPUTED_VALUE"""),60000.0)</f>
        <v>60000</v>
      </c>
      <c r="J3947" s="6">
        <f>IFERROR(__xludf.DUMMYFUNCTION("""COMPUTED_VALUE"""),480000.0)</f>
        <v>480000</v>
      </c>
      <c r="K3947" s="57">
        <f>IFERROR(__xludf.DUMMYFUNCTION("""COMPUTED_VALUE"""),45800.0)</f>
        <v>45800</v>
      </c>
      <c r="L3947" s="6" t="str">
        <f>IFERROR(__xludf.DUMMYFUNCTION("""COMPUTED_VALUE"""),"FIP Engineering")</f>
        <v>FIP Engineering</v>
      </c>
      <c r="M3947" s="6" t="str">
        <f>IFERROR(__xludf.DUMMYFUNCTION("""COMPUTED_VALUE"""),"Mochammad Fadhillah Hakim,")</f>
        <v>Mochammad Fadhillah Hakim,</v>
      </c>
      <c r="N3947" s="6" t="str">
        <f>IFERROR(__xludf.DUMMYFUNCTION("""COMPUTED_VALUE"""),"FIP Engineering")</f>
        <v>FIP Engineering</v>
      </c>
      <c r="O3947" s="6" t="str">
        <f>IFERROR(__xludf.DUMMYFUNCTION("""COMPUTED_VALUE"""),"FIP-DOM-000-11304-OS00001-INA-000000")</f>
        <v>FIP-DOM-000-11304-OS00001-INA-000000</v>
      </c>
      <c r="P3947" s="6" t="str">
        <f>IFERROR(__xludf.DUMMYFUNCTION("""COMPUTED_VALUE"""),"PO Closed")</f>
        <v>PO Closed</v>
      </c>
      <c r="Q3947" s="6" t="str">
        <f>IFERROR(__xludf.DUMMYFUNCTION("""COMPUTED_VALUE"""),"GL2505366")</f>
        <v>GL2505366</v>
      </c>
      <c r="R3947" s="57">
        <f>IFERROR(__xludf.DUMMYFUNCTION("""COMPUTED_VALUE"""),45770.0)</f>
        <v>45770</v>
      </c>
      <c r="S3947" s="57">
        <f>IFERROR(__xludf.DUMMYFUNCTION("""COMPUTED_VALUE"""),45772.0)</f>
        <v>45772</v>
      </c>
      <c r="T3947" s="57">
        <f>IFERROR(__xludf.DUMMYFUNCTION("""COMPUTED_VALUE"""),45800.0)</f>
        <v>45800</v>
      </c>
    </row>
    <row r="3948">
      <c r="A3948" s="6" t="str">
        <f>IFERROR(__xludf.DUMMYFUNCTION("""COMPUTED_VALUE"""),"121702659-3")</f>
        <v>121702659-3</v>
      </c>
      <c r="B3948" s="6" t="str">
        <f>IFERROR(__xludf.DUMMYFUNCTION("""COMPUTED_VALUE"""),"121702659 - APPROVED")</f>
        <v>121702659 - APPROVED</v>
      </c>
      <c r="C3948" s="6">
        <f>IFERROR(__xludf.DUMMYFUNCTION("""COMPUTED_VALUE"""),3.0)</f>
        <v>3</v>
      </c>
      <c r="D3948" s="6" t="str">
        <f>IFERROR(__xludf.DUMMYFUNCTION("""COMPUTED_VALUE"""),"P-12282-00")</f>
        <v>P-12282-00</v>
      </c>
      <c r="E3948" s="6" t="str">
        <f>IFERROR(__xludf.DUMMYFUNCTION("""COMPUTED_VALUE"""),"FESTO - QS-12-10 Push in Connector p/n: 153040")</f>
        <v>FESTO - QS-12-10 Push in Connector p/n: 153040</v>
      </c>
      <c r="F3948" s="6">
        <f>IFERROR(__xludf.DUMMYFUNCTION("""COMPUTED_VALUE"""),8.0)</f>
        <v>8</v>
      </c>
      <c r="G3948" s="6" t="str">
        <f>IFERROR(__xludf.DUMMYFUNCTION("""COMPUTED_VALUE"""),"Pieces")</f>
        <v>Pieces</v>
      </c>
      <c r="H3948" s="6" t="str">
        <f>IFERROR(__xludf.DUMMYFUNCTION("""COMPUTED_VALUE"""),"IDR")</f>
        <v>IDR</v>
      </c>
      <c r="I3948" s="6">
        <f>IFERROR(__xludf.DUMMYFUNCTION("""COMPUTED_VALUE"""),66439.0)</f>
        <v>66439</v>
      </c>
      <c r="J3948" s="6">
        <f>IFERROR(__xludf.DUMMYFUNCTION("""COMPUTED_VALUE"""),531512.0)</f>
        <v>531512</v>
      </c>
      <c r="K3948" s="57">
        <f>IFERROR(__xludf.DUMMYFUNCTION("""COMPUTED_VALUE"""),45800.0)</f>
        <v>45800</v>
      </c>
      <c r="L3948" s="6" t="str">
        <f>IFERROR(__xludf.DUMMYFUNCTION("""COMPUTED_VALUE"""),"FIP Engineering")</f>
        <v>FIP Engineering</v>
      </c>
      <c r="M3948" s="6" t="str">
        <f>IFERROR(__xludf.DUMMYFUNCTION("""COMPUTED_VALUE"""),"Mochammad Fadhillah Hakim,")</f>
        <v>Mochammad Fadhillah Hakim,</v>
      </c>
      <c r="N3948" s="6" t="str">
        <f>IFERROR(__xludf.DUMMYFUNCTION("""COMPUTED_VALUE"""),"FIP Engineering")</f>
        <v>FIP Engineering</v>
      </c>
      <c r="O3948" s="6" t="str">
        <f>IFERROR(__xludf.DUMMYFUNCTION("""COMPUTED_VALUE"""),"FIP-DOM-000-11304-OS00001-INA-000000")</f>
        <v>FIP-DOM-000-11304-OS00001-INA-000000</v>
      </c>
      <c r="P3948" s="6" t="str">
        <f>IFERROR(__xludf.DUMMYFUNCTION("""COMPUTED_VALUE"""),"PO Closed")</f>
        <v>PO Closed</v>
      </c>
      <c r="Q3948" s="6" t="str">
        <f>IFERROR(__xludf.DUMMYFUNCTION("""COMPUTED_VALUE"""),"GL2505366")</f>
        <v>GL2505366</v>
      </c>
      <c r="R3948" s="57">
        <f>IFERROR(__xludf.DUMMYFUNCTION("""COMPUTED_VALUE"""),45770.0)</f>
        <v>45770</v>
      </c>
      <c r="S3948" s="57">
        <f>IFERROR(__xludf.DUMMYFUNCTION("""COMPUTED_VALUE"""),45772.0)</f>
        <v>45772</v>
      </c>
      <c r="T3948" s="57">
        <f>IFERROR(__xludf.DUMMYFUNCTION("""COMPUTED_VALUE"""),45800.0)</f>
        <v>45800</v>
      </c>
    </row>
    <row r="3949">
      <c r="A3949" s="6" t="str">
        <f>IFERROR(__xludf.DUMMYFUNCTION("""COMPUTED_VALUE"""),"121702660-1")</f>
        <v>121702660-1</v>
      </c>
      <c r="B3949" s="6" t="str">
        <f>IFERROR(__xludf.DUMMYFUNCTION("""COMPUTED_VALUE"""),"121702660 - APPROVED")</f>
        <v>121702660 - APPROVED</v>
      </c>
      <c r="C3949" s="6">
        <f>IFERROR(__xludf.DUMMYFUNCTION("""COMPUTED_VALUE"""),1.0)</f>
        <v>1</v>
      </c>
      <c r="D3949" s="6" t="str">
        <f>IFERROR(__xludf.DUMMYFUNCTION("""COMPUTED_VALUE"""),"P-14970-00")</f>
        <v>P-14970-00</v>
      </c>
      <c r="E3949" s="6" t="str">
        <f>IFERROR(__xludf.DUMMYFUNCTION("""COMPUTED_VALUE"""),"General - Pipa PVC AW dia. 2 1/2inch, Warna Abu-Abu; Rucika; -; 1 pcs")</f>
        <v>General - Pipa PVC AW dia. 2 1/2inch, Warna Abu-Abu; Rucika; -; 1 pcs</v>
      </c>
      <c r="F3949" s="6">
        <f>IFERROR(__xludf.DUMMYFUNCTION("""COMPUTED_VALUE"""),6.0)</f>
        <v>6</v>
      </c>
      <c r="G3949" s="6" t="str">
        <f>IFERROR(__xludf.DUMMYFUNCTION("""COMPUTED_VALUE"""),"Pieces")</f>
        <v>Pieces</v>
      </c>
      <c r="H3949" s="6" t="str">
        <f>IFERROR(__xludf.DUMMYFUNCTION("""COMPUTED_VALUE"""),"IDR")</f>
        <v>IDR</v>
      </c>
      <c r="I3949" s="6">
        <f>IFERROR(__xludf.DUMMYFUNCTION("""COMPUTED_VALUE"""),318250.0)</f>
        <v>318250</v>
      </c>
      <c r="J3949" s="6">
        <f>IFERROR(__xludf.DUMMYFUNCTION("""COMPUTED_VALUE"""),1909500.0)</f>
        <v>1909500</v>
      </c>
      <c r="K3949" s="57">
        <f>IFERROR(__xludf.DUMMYFUNCTION("""COMPUTED_VALUE"""),45800.0)</f>
        <v>45800</v>
      </c>
      <c r="L3949" s="6" t="str">
        <f>IFERROR(__xludf.DUMMYFUNCTION("""COMPUTED_VALUE"""),"FIP Engineering")</f>
        <v>FIP Engineering</v>
      </c>
      <c r="M3949" s="6" t="str">
        <f>IFERROR(__xludf.DUMMYFUNCTION("""COMPUTED_VALUE"""),"Mochammad Fadhillah Hakim,")</f>
        <v>Mochammad Fadhillah Hakim,</v>
      </c>
      <c r="N3949" s="6" t="str">
        <f>IFERROR(__xludf.DUMMYFUNCTION("""COMPUTED_VALUE"""),"FIP Engineering")</f>
        <v>FIP Engineering</v>
      </c>
      <c r="O3949" s="6" t="str">
        <f>IFERROR(__xludf.DUMMYFUNCTION("""COMPUTED_VALUE"""),"FIP-DOM-000-11304-OS00001-INA-000000")</f>
        <v>FIP-DOM-000-11304-OS00001-INA-000000</v>
      </c>
      <c r="P3949" s="6" t="str">
        <f>IFERROR(__xludf.DUMMYFUNCTION("""COMPUTED_VALUE"""),"PO Closed")</f>
        <v>PO Closed</v>
      </c>
      <c r="Q3949" s="6" t="str">
        <f>IFERROR(__xludf.DUMMYFUNCTION("""COMPUTED_VALUE"""),"GL2505368")</f>
        <v>GL2505368</v>
      </c>
      <c r="R3949" s="57">
        <f>IFERROR(__xludf.DUMMYFUNCTION("""COMPUTED_VALUE"""),45770.0)</f>
        <v>45770</v>
      </c>
      <c r="S3949" s="57">
        <f>IFERROR(__xludf.DUMMYFUNCTION("""COMPUTED_VALUE"""),45772.0)</f>
        <v>45772</v>
      </c>
      <c r="T3949" s="57">
        <f>IFERROR(__xludf.DUMMYFUNCTION("""COMPUTED_VALUE"""),45800.0)</f>
        <v>45800</v>
      </c>
    </row>
    <row r="3950">
      <c r="A3950" s="6" t="str">
        <f>IFERROR(__xludf.DUMMYFUNCTION("""COMPUTED_VALUE"""),"121702660-2")</f>
        <v>121702660-2</v>
      </c>
      <c r="B3950" s="6" t="str">
        <f>IFERROR(__xludf.DUMMYFUNCTION("""COMPUTED_VALUE"""),"121702660 - APPROVED")</f>
        <v>121702660 - APPROVED</v>
      </c>
      <c r="C3950" s="6">
        <f>IFERROR(__xludf.DUMMYFUNCTION("""COMPUTED_VALUE"""),2.0)</f>
        <v>2</v>
      </c>
      <c r="D3950" s="6" t="str">
        <f>IFERROR(__xludf.DUMMYFUNCTION("""COMPUTED_VALUE"""),"P-19160-00")</f>
        <v>P-19160-00</v>
      </c>
      <c r="E3950" s="6" t="str">
        <f>IFERROR(__xludf.DUMMYFUNCTION("""COMPUTED_VALUE"""),"Cable Duct PVC 65 x 65 x 2900mmLokal")</f>
        <v>Cable Duct PVC 65 x 65 x 2900mmLokal</v>
      </c>
      <c r="F3950" s="6">
        <f>IFERROR(__xludf.DUMMYFUNCTION("""COMPUTED_VALUE"""),3.0)</f>
        <v>3</v>
      </c>
      <c r="G3950" s="6" t="str">
        <f>IFERROR(__xludf.DUMMYFUNCTION("""COMPUTED_VALUE"""),"Pieces")</f>
        <v>Pieces</v>
      </c>
      <c r="H3950" s="6" t="str">
        <f>IFERROR(__xludf.DUMMYFUNCTION("""COMPUTED_VALUE"""),"IDR")</f>
        <v>IDR</v>
      </c>
      <c r="I3950" s="6">
        <f>IFERROR(__xludf.DUMMYFUNCTION("""COMPUTED_VALUE"""),90000.0)</f>
        <v>90000</v>
      </c>
      <c r="J3950" s="6">
        <f>IFERROR(__xludf.DUMMYFUNCTION("""COMPUTED_VALUE"""),270000.0)</f>
        <v>270000</v>
      </c>
      <c r="K3950" s="57">
        <f>IFERROR(__xludf.DUMMYFUNCTION("""COMPUTED_VALUE"""),45800.0)</f>
        <v>45800</v>
      </c>
      <c r="L3950" s="6" t="str">
        <f>IFERROR(__xludf.DUMMYFUNCTION("""COMPUTED_VALUE"""),"FIP Engineering")</f>
        <v>FIP Engineering</v>
      </c>
      <c r="M3950" s="6" t="str">
        <f>IFERROR(__xludf.DUMMYFUNCTION("""COMPUTED_VALUE"""),"Mochammad Fadhillah Hakim,")</f>
        <v>Mochammad Fadhillah Hakim,</v>
      </c>
      <c r="N3950" s="6" t="str">
        <f>IFERROR(__xludf.DUMMYFUNCTION("""COMPUTED_VALUE"""),"FIP Engineering")</f>
        <v>FIP Engineering</v>
      </c>
      <c r="O3950" s="6" t="str">
        <f>IFERROR(__xludf.DUMMYFUNCTION("""COMPUTED_VALUE"""),"FIP-DOM-000-11304-OS00001-INA-000000")</f>
        <v>FIP-DOM-000-11304-OS00001-INA-000000</v>
      </c>
      <c r="P3950" s="6" t="str">
        <f>IFERROR(__xludf.DUMMYFUNCTION("""COMPUTED_VALUE"""),"PO Closed")</f>
        <v>PO Closed</v>
      </c>
      <c r="Q3950" s="6" t="str">
        <f>IFERROR(__xludf.DUMMYFUNCTION("""COMPUTED_VALUE"""),"GL2505002")</f>
        <v>GL2505002</v>
      </c>
      <c r="R3950" s="57">
        <f>IFERROR(__xludf.DUMMYFUNCTION("""COMPUTED_VALUE"""),45770.0)</f>
        <v>45770</v>
      </c>
      <c r="S3950" s="57">
        <f>IFERROR(__xludf.DUMMYFUNCTION("""COMPUTED_VALUE"""),45772.0)</f>
        <v>45772</v>
      </c>
      <c r="T3950" s="57">
        <f>IFERROR(__xludf.DUMMYFUNCTION("""COMPUTED_VALUE"""),45807.0)</f>
        <v>45807</v>
      </c>
    </row>
    <row r="3951">
      <c r="A3951" s="6" t="str">
        <f>IFERROR(__xludf.DUMMYFUNCTION("""COMPUTED_VALUE"""),"121702660-3")</f>
        <v>121702660-3</v>
      </c>
      <c r="B3951" s="6" t="str">
        <f>IFERROR(__xludf.DUMMYFUNCTION("""COMPUTED_VALUE"""),"121702660 - APPROVED")</f>
        <v>121702660 - APPROVED</v>
      </c>
      <c r="C3951" s="6">
        <f>IFERROR(__xludf.DUMMYFUNCTION("""COMPUTED_VALUE"""),3.0)</f>
        <v>3</v>
      </c>
      <c r="D3951" s="6" t="str">
        <f>IFERROR(__xludf.DUMMYFUNCTION("""COMPUTED_VALUE"""),"P-19757-00")</f>
        <v>P-19757-00</v>
      </c>
      <c r="E3951" s="6" t="str">
        <f>IFERROR(__xludf.DUMMYFUNCTION("""COMPUTED_VALUE"""),"General - Filter Panel Size 4inch; No Brand; -; 1 pc")</f>
        <v>General - Filter Panel Size 4inch; No Brand; -; 1 pc</v>
      </c>
      <c r="F3951" s="6">
        <f>IFERROR(__xludf.DUMMYFUNCTION("""COMPUTED_VALUE"""),2.0)</f>
        <v>2</v>
      </c>
      <c r="G3951" s="6" t="str">
        <f>IFERROR(__xludf.DUMMYFUNCTION("""COMPUTED_VALUE"""),"Pieces")</f>
        <v>Pieces</v>
      </c>
      <c r="H3951" s="6" t="str">
        <f>IFERROR(__xludf.DUMMYFUNCTION("""COMPUTED_VALUE"""),"IDR")</f>
        <v>IDR</v>
      </c>
      <c r="I3951" s="6">
        <f>IFERROR(__xludf.DUMMYFUNCTION("""COMPUTED_VALUE"""),75000.0)</f>
        <v>75000</v>
      </c>
      <c r="J3951" s="6">
        <f>IFERROR(__xludf.DUMMYFUNCTION("""COMPUTED_VALUE"""),150000.0)</f>
        <v>150000</v>
      </c>
      <c r="K3951" s="57">
        <f>IFERROR(__xludf.DUMMYFUNCTION("""COMPUTED_VALUE"""),45800.0)</f>
        <v>45800</v>
      </c>
      <c r="L3951" s="6" t="str">
        <f>IFERROR(__xludf.DUMMYFUNCTION("""COMPUTED_VALUE"""),"FIP Engineering")</f>
        <v>FIP Engineering</v>
      </c>
      <c r="M3951" s="6" t="str">
        <f>IFERROR(__xludf.DUMMYFUNCTION("""COMPUTED_VALUE"""),"Mochammad Fadhillah Hakim,")</f>
        <v>Mochammad Fadhillah Hakim,</v>
      </c>
      <c r="N3951" s="6" t="str">
        <f>IFERROR(__xludf.DUMMYFUNCTION("""COMPUTED_VALUE"""),"FIP Engineering")</f>
        <v>FIP Engineering</v>
      </c>
      <c r="O3951" s="6" t="str">
        <f>IFERROR(__xludf.DUMMYFUNCTION("""COMPUTED_VALUE"""),"FIP-DOM-000-11304-OS00001-INA-000000")</f>
        <v>FIP-DOM-000-11304-OS00001-INA-000000</v>
      </c>
      <c r="P3951" s="6" t="str">
        <f>IFERROR(__xludf.DUMMYFUNCTION("""COMPUTED_VALUE"""),"PO Closed")</f>
        <v>PO Closed</v>
      </c>
      <c r="Q3951" s="6" t="str">
        <f>IFERROR(__xludf.DUMMYFUNCTION("""COMPUTED_VALUE"""),"GL2505002")</f>
        <v>GL2505002</v>
      </c>
      <c r="R3951" s="57">
        <f>IFERROR(__xludf.DUMMYFUNCTION("""COMPUTED_VALUE"""),45770.0)</f>
        <v>45770</v>
      </c>
      <c r="S3951" s="57">
        <f>IFERROR(__xludf.DUMMYFUNCTION("""COMPUTED_VALUE"""),45772.0)</f>
        <v>45772</v>
      </c>
      <c r="T3951" s="57">
        <f>IFERROR(__xludf.DUMMYFUNCTION("""COMPUTED_VALUE"""),45807.0)</f>
        <v>45807</v>
      </c>
    </row>
    <row r="3952">
      <c r="A3952" s="6" t="str">
        <f>IFERROR(__xludf.DUMMYFUNCTION("""COMPUTED_VALUE"""),"121702661-1")</f>
        <v>121702661-1</v>
      </c>
      <c r="B3952" s="6" t="str">
        <f>IFERROR(__xludf.DUMMYFUNCTION("""COMPUTED_VALUE"""),"121702661 - APPROVED")</f>
        <v>121702661 - APPROVED</v>
      </c>
      <c r="C3952" s="6">
        <f>IFERROR(__xludf.DUMMYFUNCTION("""COMPUTED_VALUE"""),1.0)</f>
        <v>1</v>
      </c>
      <c r="D3952" s="6" t="str">
        <f>IFERROR(__xludf.DUMMYFUNCTION("""COMPUTED_VALUE"""),"Q-10817-00")</f>
        <v>Q-10817-00</v>
      </c>
      <c r="E3952" s="6" t="str">
        <f>IFERROR(__xludf.DUMMYFUNCTION("""COMPUTED_VALUE"""),"Door Closer Type: TS77 Hold Open; DORMA; ;")</f>
        <v>Door Closer Type: TS77 Hold Open; DORMA; ;</v>
      </c>
      <c r="F3952" s="6">
        <f>IFERROR(__xludf.DUMMYFUNCTION("""COMPUTED_VALUE"""),5.0)</f>
        <v>5</v>
      </c>
      <c r="G3952" s="6" t="str">
        <f>IFERROR(__xludf.DUMMYFUNCTION("""COMPUTED_VALUE"""),"Pieces")</f>
        <v>Pieces</v>
      </c>
      <c r="H3952" s="6" t="str">
        <f>IFERROR(__xludf.DUMMYFUNCTION("""COMPUTED_VALUE"""),"IDR")</f>
        <v>IDR</v>
      </c>
      <c r="I3952" s="6">
        <f>IFERROR(__xludf.DUMMYFUNCTION("""COMPUTED_VALUE"""),687850.0)</f>
        <v>687850</v>
      </c>
      <c r="J3952" s="6">
        <f>IFERROR(__xludf.DUMMYFUNCTION("""COMPUTED_VALUE"""),3439250.0)</f>
        <v>3439250</v>
      </c>
      <c r="K3952" s="57">
        <f>IFERROR(__xludf.DUMMYFUNCTION("""COMPUTED_VALUE"""),45800.0)</f>
        <v>45800</v>
      </c>
      <c r="L3952" s="6" t="str">
        <f>IFERROR(__xludf.DUMMYFUNCTION("""COMPUTED_VALUE"""),"FIP Engineering")</f>
        <v>FIP Engineering</v>
      </c>
      <c r="M3952" s="6" t="str">
        <f>IFERROR(__xludf.DUMMYFUNCTION("""COMPUTED_VALUE"""),"Mochammad Fadhillah Hakim,")</f>
        <v>Mochammad Fadhillah Hakim,</v>
      </c>
      <c r="N3952" s="6" t="str">
        <f>IFERROR(__xludf.DUMMYFUNCTION("""COMPUTED_VALUE"""),"FIP Engineering")</f>
        <v>FIP Engineering</v>
      </c>
      <c r="O3952" s="6" t="str">
        <f>IFERROR(__xludf.DUMMYFUNCTION("""COMPUTED_VALUE"""),"FIP-DOM-000-11304-OS00001-INA-000000")</f>
        <v>FIP-DOM-000-11304-OS00001-INA-000000</v>
      </c>
      <c r="P3952" s="6" t="str">
        <f>IFERROR(__xludf.DUMMYFUNCTION("""COMPUTED_VALUE"""),"PO Closed")</f>
        <v>PO Closed</v>
      </c>
      <c r="Q3952" s="6" t="str">
        <f>IFERROR(__xludf.DUMMYFUNCTION("""COMPUTED_VALUE"""),"GL2505017")</f>
        <v>GL2505017</v>
      </c>
      <c r="R3952" s="57">
        <f>IFERROR(__xludf.DUMMYFUNCTION("""COMPUTED_VALUE"""),45770.0)</f>
        <v>45770</v>
      </c>
      <c r="S3952" s="57">
        <f>IFERROR(__xludf.DUMMYFUNCTION("""COMPUTED_VALUE"""),45772.0)</f>
        <v>45772</v>
      </c>
      <c r="T3952" s="57">
        <f>IFERROR(__xludf.DUMMYFUNCTION("""COMPUTED_VALUE"""),45797.0)</f>
        <v>45797</v>
      </c>
    </row>
    <row r="3953">
      <c r="A3953" s="6" t="str">
        <f>IFERROR(__xludf.DUMMYFUNCTION("""COMPUTED_VALUE"""),"121702663-1")</f>
        <v>121702663-1</v>
      </c>
      <c r="B3953" s="6" t="str">
        <f>IFERROR(__xludf.DUMMYFUNCTION("""COMPUTED_VALUE"""),"121702663 - APPROVED")</f>
        <v>121702663 - APPROVED</v>
      </c>
      <c r="C3953" s="6">
        <f>IFERROR(__xludf.DUMMYFUNCTION("""COMPUTED_VALUE"""),1.0)</f>
        <v>1</v>
      </c>
      <c r="D3953" s="6" t="str">
        <f>IFERROR(__xludf.DUMMYFUNCTION("""COMPUTED_VALUE"""),"P-18019-00")</f>
        <v>P-18019-00</v>
      </c>
      <c r="E3953" s="6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F3953" s="6">
        <f>IFERROR(__xludf.DUMMYFUNCTION("""COMPUTED_VALUE"""),2.0)</f>
        <v>2</v>
      </c>
      <c r="G3953" s="6" t="str">
        <f>IFERROR(__xludf.DUMMYFUNCTION("""COMPUTED_VALUE"""),"Pieces")</f>
        <v>Pieces</v>
      </c>
      <c r="H3953" s="6" t="str">
        <f>IFERROR(__xludf.DUMMYFUNCTION("""COMPUTED_VALUE"""),"IDR")</f>
        <v>IDR</v>
      </c>
      <c r="I3953" s="6">
        <f>IFERROR(__xludf.DUMMYFUNCTION("""COMPUTED_VALUE"""),1896000.0)</f>
        <v>1896000</v>
      </c>
      <c r="J3953" s="6">
        <f>IFERROR(__xludf.DUMMYFUNCTION("""COMPUTED_VALUE"""),3792000.0)</f>
        <v>3792000</v>
      </c>
      <c r="K3953" s="57">
        <f>IFERROR(__xludf.DUMMYFUNCTION("""COMPUTED_VALUE"""),45835.0)</f>
        <v>45835</v>
      </c>
      <c r="L3953" s="6" t="str">
        <f>IFERROR(__xludf.DUMMYFUNCTION("""COMPUTED_VALUE"""),"FIP Engineering")</f>
        <v>FIP Engineering</v>
      </c>
      <c r="M3953" s="6" t="str">
        <f>IFERROR(__xludf.DUMMYFUNCTION("""COMPUTED_VALUE"""),"Mochammad Fadhillah Hakim,")</f>
        <v>Mochammad Fadhillah Hakim,</v>
      </c>
      <c r="N3953" s="6" t="str">
        <f>IFERROR(__xludf.DUMMYFUNCTION("""COMPUTED_VALUE"""),"FIP Engineering")</f>
        <v>FIP Engineering</v>
      </c>
      <c r="O3953" s="6" t="str">
        <f>IFERROR(__xludf.DUMMYFUNCTION("""COMPUTED_VALUE"""),"FIP-DOM-000-11304-OS00001-INA-000000")</f>
        <v>FIP-DOM-000-11304-OS00001-INA-000000</v>
      </c>
      <c r="P3953" s="6" t="str">
        <f>IFERROR(__xludf.DUMMYFUNCTION("""COMPUTED_VALUE"""),"PO Closed")</f>
        <v>PO Closed</v>
      </c>
      <c r="Q3953" s="6" t="str">
        <f>IFERROR(__xludf.DUMMYFUNCTION("""COMPUTED_VALUE"""),"GL2505370")</f>
        <v>GL2505370</v>
      </c>
      <c r="R3953" s="57">
        <f>IFERROR(__xludf.DUMMYFUNCTION("""COMPUTED_VALUE"""),45770.0)</f>
        <v>45770</v>
      </c>
      <c r="S3953" s="57">
        <f>IFERROR(__xludf.DUMMYFUNCTION("""COMPUTED_VALUE"""),45772.0)</f>
        <v>45772</v>
      </c>
      <c r="T3953" s="57">
        <f>IFERROR(__xludf.DUMMYFUNCTION("""COMPUTED_VALUE"""),45835.0)</f>
        <v>45835</v>
      </c>
    </row>
    <row r="3954">
      <c r="A3954" s="6" t="str">
        <f>IFERROR(__xludf.DUMMYFUNCTION("""COMPUTED_VALUE"""),"121702666-1")</f>
        <v>121702666-1</v>
      </c>
      <c r="B3954" s="6" t="str">
        <f>IFERROR(__xludf.DUMMYFUNCTION("""COMPUTED_VALUE"""),"121702666 - APPROVED")</f>
        <v>121702666 - APPROVED</v>
      </c>
      <c r="C3954" s="6">
        <f>IFERROR(__xludf.DUMMYFUNCTION("""COMPUTED_VALUE"""),1.0)</f>
        <v>1</v>
      </c>
      <c r="D3954" s="6" t="str">
        <f>IFERROR(__xludf.DUMMYFUNCTION("""COMPUTED_VALUE"""),"S-60050-00")</f>
        <v>S-60050-00</v>
      </c>
      <c r="E3954" s="6" t="str">
        <f>IFERROR(__xludf.DUMMYFUNCTION("""COMPUTED_VALUE"""),"Jasa Perbaikan dan Pemeliharaan Mesin Produksi; ; ;")</f>
        <v>Jasa Perbaikan dan Pemeliharaan Mesin Produksi; ; ;</v>
      </c>
      <c r="F3954" s="6">
        <f>IFERROR(__xludf.DUMMYFUNCTION("""COMPUTED_VALUE"""),1.0)</f>
        <v>1</v>
      </c>
      <c r="G3954" s="6" t="str">
        <f>IFERROR(__xludf.DUMMYFUNCTION("""COMPUTED_VALUE"""),"Pieces")</f>
        <v>Pieces</v>
      </c>
      <c r="H3954" s="6" t="str">
        <f>IFERROR(__xludf.DUMMYFUNCTION("""COMPUTED_VALUE"""),"IDR")</f>
        <v>IDR</v>
      </c>
      <c r="I3954" s="6">
        <f>IFERROR(__xludf.DUMMYFUNCTION("""COMPUTED_VALUE"""),923288.0)</f>
        <v>923288</v>
      </c>
      <c r="J3954" s="6">
        <f>IFERROR(__xludf.DUMMYFUNCTION("""COMPUTED_VALUE"""),923288.0)</f>
        <v>923288</v>
      </c>
      <c r="K3954" s="57">
        <f>IFERROR(__xludf.DUMMYFUNCTION("""COMPUTED_VALUE"""),45775.0)</f>
        <v>45775</v>
      </c>
      <c r="L3954" s="6" t="str">
        <f>IFERROR(__xludf.DUMMYFUNCTION("""COMPUTED_VALUE"""),"FIP General")</f>
        <v>FIP General</v>
      </c>
      <c r="M3954" s="6" t="str">
        <f>IFERROR(__xludf.DUMMYFUNCTION("""COMPUTED_VALUE"""),"Mochammad Fadhillah Hakim,")</f>
        <v>Mochammad Fadhillah Hakim,</v>
      </c>
      <c r="N3954" s="6" t="str">
        <f>IFERROR(__xludf.DUMMYFUNCTION("""COMPUTED_VALUE"""),"FIP Engineering")</f>
        <v>FIP Engineering</v>
      </c>
      <c r="O3954" s="6" t="str">
        <f>IFERROR(__xludf.DUMMYFUNCTION("""COMPUTED_VALUE"""),"FIP-DOM-ENG-51504-0000000-INA-000000")</f>
        <v>FIP-DOM-ENG-51504-0000000-INA-000000</v>
      </c>
      <c r="P3954" s="6" t="str">
        <f>IFERROR(__xludf.DUMMYFUNCTION("""COMPUTED_VALUE"""),"PO Closed")</f>
        <v>PO Closed</v>
      </c>
      <c r="Q3954" s="6" t="str">
        <f>IFERROR(__xludf.DUMMYFUNCTION("""COMPUTED_VALUE"""),"GL2506041")</f>
        <v>GL2506041</v>
      </c>
      <c r="R3954" s="57">
        <f>IFERROR(__xludf.DUMMYFUNCTION("""COMPUTED_VALUE"""),45771.0)</f>
        <v>45771</v>
      </c>
      <c r="S3954" s="57">
        <f>IFERROR(__xludf.DUMMYFUNCTION("""COMPUTED_VALUE"""),45772.0)</f>
        <v>45772</v>
      </c>
      <c r="T3954" s="57">
        <f>IFERROR(__xludf.DUMMYFUNCTION("""COMPUTED_VALUE"""),45910.0)</f>
        <v>45910</v>
      </c>
    </row>
    <row r="3955">
      <c r="A3955" s="6" t="str">
        <f>IFERROR(__xludf.DUMMYFUNCTION("""COMPUTED_VALUE"""),"121702671-1")</f>
        <v>121702671-1</v>
      </c>
      <c r="B3955" s="6" t="str">
        <f>IFERROR(__xludf.DUMMYFUNCTION("""COMPUTED_VALUE"""),"121702671 - APPROVED")</f>
        <v>121702671 - APPROVED</v>
      </c>
      <c r="C3955" s="6">
        <f>IFERROR(__xludf.DUMMYFUNCTION("""COMPUTED_VALUE"""),1.0)</f>
        <v>1</v>
      </c>
      <c r="D3955" s="6" t="str">
        <f>IFERROR(__xludf.DUMMYFUNCTION("""COMPUTED_VALUE"""),"T-80109-00")</f>
        <v>T-80109-00</v>
      </c>
      <c r="E3955" s="6" t="str">
        <f>IFERROR(__xludf.DUMMYFUNCTION("""COMPUTED_VALUE"""),"Cellotape / Lakban Kertas 1 inch warna Putih")</f>
        <v>Cellotape / Lakban Kertas 1 inch warna Putih</v>
      </c>
      <c r="F3955" s="6">
        <f>IFERROR(__xludf.DUMMYFUNCTION("""COMPUTED_VALUE"""),40.0)</f>
        <v>40</v>
      </c>
      <c r="G3955" s="6" t="str">
        <f>IFERROR(__xludf.DUMMYFUNCTION("""COMPUTED_VALUE"""),"Roll")</f>
        <v>Roll</v>
      </c>
      <c r="H3955" s="6" t="str">
        <f>IFERROR(__xludf.DUMMYFUNCTION("""COMPUTED_VALUE"""),"IDR")</f>
        <v>IDR</v>
      </c>
      <c r="I3955" s="6">
        <f>IFERROR(__xludf.DUMMYFUNCTION("""COMPUTED_VALUE"""),5500.0)</f>
        <v>5500</v>
      </c>
      <c r="J3955" s="6">
        <f>IFERROR(__xludf.DUMMYFUNCTION("""COMPUTED_VALUE"""),220000.0)</f>
        <v>220000</v>
      </c>
      <c r="K3955" s="57">
        <f>IFERROR(__xludf.DUMMYFUNCTION("""COMPUTED_VALUE"""),45845.0)</f>
        <v>45845</v>
      </c>
      <c r="L3955" s="6" t="str">
        <f>IFERROR(__xludf.DUMMYFUNCTION("""COMPUTED_VALUE"""),"FIP General")</f>
        <v>FIP General</v>
      </c>
      <c r="M3955" s="6" t="str">
        <f>IFERROR(__xludf.DUMMYFUNCTION("""COMPUTED_VALUE"""),"Mochammad Fadhillah Hakim,")</f>
        <v>Mochammad Fadhillah Hakim,</v>
      </c>
      <c r="N3955" s="6" t="str">
        <f>IFERROR(__xludf.DUMMYFUNCTION("""COMPUTED_VALUE"""),"FIP Engineering")</f>
        <v>FIP Engineering</v>
      </c>
      <c r="O3955" s="6" t="str">
        <f>IFERROR(__xludf.DUMMYFUNCTION("""COMPUTED_VALUE"""),"FIP-DOM-ENG-51411-0000000-INA-000000")</f>
        <v>FIP-DOM-ENG-51411-0000000-INA-000000</v>
      </c>
      <c r="P3955" s="6" t="str">
        <f>IFERROR(__xludf.DUMMYFUNCTION("""COMPUTED_VALUE"""),"PO Closed")</f>
        <v>PO Closed</v>
      </c>
      <c r="Q3955" s="6" t="str">
        <f>IFERROR(__xludf.DUMMYFUNCTION("""COMPUTED_VALUE"""),"GL2505030")</f>
        <v>GL2505030</v>
      </c>
      <c r="R3955" s="57">
        <f>IFERROR(__xludf.DUMMYFUNCTION("""COMPUTED_VALUE"""),45771.0)</f>
        <v>45771</v>
      </c>
      <c r="S3955" s="57">
        <f>IFERROR(__xludf.DUMMYFUNCTION("""COMPUTED_VALUE"""),45772.0)</f>
        <v>45772</v>
      </c>
      <c r="T3955" s="57">
        <f>IFERROR(__xludf.DUMMYFUNCTION("""COMPUTED_VALUE"""),45845.0)</f>
        <v>45845</v>
      </c>
    </row>
    <row r="3956">
      <c r="A3956" s="6" t="str">
        <f>IFERROR(__xludf.DUMMYFUNCTION("""COMPUTED_VALUE"""),"121702671-2")</f>
        <v>121702671-2</v>
      </c>
      <c r="B3956" s="6" t="str">
        <f>IFERROR(__xludf.DUMMYFUNCTION("""COMPUTED_VALUE"""),"121702671 - APPROVED")</f>
        <v>121702671 - APPROVED</v>
      </c>
      <c r="C3956" s="6">
        <f>IFERROR(__xludf.DUMMYFUNCTION("""COMPUTED_VALUE"""),2.0)</f>
        <v>2</v>
      </c>
      <c r="D3956" s="6" t="str">
        <f>IFERROR(__xludf.DUMMYFUNCTION("""COMPUTED_VALUE"""),"T-80109-00")</f>
        <v>T-80109-00</v>
      </c>
      <c r="E3956" s="6" t="str">
        <f>IFERROR(__xludf.DUMMYFUNCTION("""COMPUTED_VALUE"""),"Cellotape / Lakban Kertas 1 inch warna Putih")</f>
        <v>Cellotape / Lakban Kertas 1 inch warna Putih</v>
      </c>
      <c r="F3956" s="6">
        <f>IFERROR(__xludf.DUMMYFUNCTION("""COMPUTED_VALUE"""),40.0)</f>
        <v>40</v>
      </c>
      <c r="G3956" s="6" t="str">
        <f>IFERROR(__xludf.DUMMYFUNCTION("""COMPUTED_VALUE"""),"Roll")</f>
        <v>Roll</v>
      </c>
      <c r="H3956" s="6" t="str">
        <f>IFERROR(__xludf.DUMMYFUNCTION("""COMPUTED_VALUE"""),"IDR")</f>
        <v>IDR</v>
      </c>
      <c r="I3956" s="6">
        <f>IFERROR(__xludf.DUMMYFUNCTION("""COMPUTED_VALUE"""),5500.0)</f>
        <v>5500</v>
      </c>
      <c r="J3956" s="6">
        <f>IFERROR(__xludf.DUMMYFUNCTION("""COMPUTED_VALUE"""),220000.0)</f>
        <v>220000</v>
      </c>
      <c r="K3956" s="57">
        <f>IFERROR(__xludf.DUMMYFUNCTION("""COMPUTED_VALUE"""),45922.0)</f>
        <v>45922</v>
      </c>
      <c r="L3956" s="6" t="str">
        <f>IFERROR(__xludf.DUMMYFUNCTION("""COMPUTED_VALUE"""),"FIP General")</f>
        <v>FIP General</v>
      </c>
      <c r="M3956" s="6" t="str">
        <f>IFERROR(__xludf.DUMMYFUNCTION("""COMPUTED_VALUE"""),"Mochammad Fadhillah Hakim,")</f>
        <v>Mochammad Fadhillah Hakim,</v>
      </c>
      <c r="N3956" s="6" t="str">
        <f>IFERROR(__xludf.DUMMYFUNCTION("""COMPUTED_VALUE"""),"FIP Engineering")</f>
        <v>FIP Engineering</v>
      </c>
      <c r="O3956" s="6" t="str">
        <f>IFERROR(__xludf.DUMMYFUNCTION("""COMPUTED_VALUE"""),"FIP-DOM-ENG-51411-0000000-INA-000000")</f>
        <v>FIP-DOM-ENG-51411-0000000-INA-000000</v>
      </c>
      <c r="P3956" s="6" t="str">
        <f>IFERROR(__xludf.DUMMYFUNCTION("""COMPUTED_VALUE"""),"PO Closed")</f>
        <v>PO Closed</v>
      </c>
      <c r="Q3956" s="6" t="str">
        <f>IFERROR(__xludf.DUMMYFUNCTION("""COMPUTED_VALUE"""),"GL2505030")</f>
        <v>GL2505030</v>
      </c>
      <c r="R3956" s="57">
        <f>IFERROR(__xludf.DUMMYFUNCTION("""COMPUTED_VALUE"""),45771.0)</f>
        <v>45771</v>
      </c>
      <c r="S3956" s="57">
        <f>IFERROR(__xludf.DUMMYFUNCTION("""COMPUTED_VALUE"""),45772.0)</f>
        <v>45772</v>
      </c>
      <c r="T3956" s="57">
        <f>IFERROR(__xludf.DUMMYFUNCTION("""COMPUTED_VALUE"""),45922.0)</f>
        <v>45922</v>
      </c>
    </row>
    <row r="3957">
      <c r="A3957" s="6" t="str">
        <f>IFERROR(__xludf.DUMMYFUNCTION("""COMPUTED_VALUE"""),"121702676-1")</f>
        <v>121702676-1</v>
      </c>
      <c r="B3957" s="6" t="str">
        <f>IFERROR(__xludf.DUMMYFUNCTION("""COMPUTED_VALUE"""),"121702676 - APPROVED")</f>
        <v>121702676 - APPROVED</v>
      </c>
      <c r="C3957" s="6">
        <f>IFERROR(__xludf.DUMMYFUNCTION("""COMPUTED_VALUE"""),1.0)</f>
        <v>1</v>
      </c>
      <c r="D3957" s="6" t="str">
        <f>IFERROR(__xludf.DUMMYFUNCTION("""COMPUTED_VALUE"""),"R-21013-00")</f>
        <v>R-21013-00</v>
      </c>
      <c r="E3957" s="6" t="str">
        <f>IFERROR(__xludf.DUMMYFUNCTION("""COMPUTED_VALUE"""),"Utility Equipment; ; ; - Booster Regulator VBA40A-04GN")</f>
        <v>Utility Equipment; ; ; - Booster Regulator VBA40A-04GN</v>
      </c>
      <c r="F3957" s="6">
        <f>IFERROR(__xludf.DUMMYFUNCTION("""COMPUTED_VALUE"""),1.0)</f>
        <v>1</v>
      </c>
      <c r="G3957" s="6" t="str">
        <f>IFERROR(__xludf.DUMMYFUNCTION("""COMPUTED_VALUE"""),"Unit")</f>
        <v>Unit</v>
      </c>
      <c r="H3957" s="6" t="str">
        <f>IFERROR(__xludf.DUMMYFUNCTION("""COMPUTED_VALUE"""),"IDR")</f>
        <v>IDR</v>
      </c>
      <c r="I3957" s="6">
        <f>IFERROR(__xludf.DUMMYFUNCTION("""COMPUTED_VALUE"""),1.4974E7)</f>
        <v>14974000</v>
      </c>
      <c r="J3957" s="6">
        <f>IFERROR(__xludf.DUMMYFUNCTION("""COMPUTED_VALUE"""),1.4974E7)</f>
        <v>14974000</v>
      </c>
      <c r="K3957" s="57">
        <f>IFERROR(__xludf.DUMMYFUNCTION("""COMPUTED_VALUE"""),45835.0)</f>
        <v>45835</v>
      </c>
      <c r="L3957" s="6" t="str">
        <f>IFERROR(__xludf.DUMMYFUNCTION("""COMPUTED_VALUE"""),"FIP General")</f>
        <v>FIP General</v>
      </c>
      <c r="M3957" s="6" t="str">
        <f>IFERROR(__xludf.DUMMYFUNCTION("""COMPUTED_VALUE"""),"Mochammad Fadhillah Hakim,")</f>
        <v>Mochammad Fadhillah Hakim,</v>
      </c>
      <c r="N3957" s="6" t="str">
        <f>IFERROR(__xludf.DUMMYFUNCTION("""COMPUTED_VALUE"""),"FIP Engineering")</f>
        <v>FIP Engineering</v>
      </c>
      <c r="O3957" s="6" t="str">
        <f>IFERROR(__xludf.DUMMYFUNCTION("""COMPUTED_VALUE"""),"FIP-DOM-ENG-13405-EQ25025-INA-000000")</f>
        <v>FIP-DOM-ENG-13405-EQ25025-INA-000000</v>
      </c>
      <c r="P3957" s="6" t="str">
        <f>IFERROR(__xludf.DUMMYFUNCTION("""COMPUTED_VALUE"""),"PO Closed")</f>
        <v>PO Closed</v>
      </c>
      <c r="Q3957" s="6" t="str">
        <f>IFERROR(__xludf.DUMMYFUNCTION("""COMPUTED_VALUE"""),"GL2506050")</f>
        <v>GL2506050</v>
      </c>
      <c r="R3957" s="57">
        <f>IFERROR(__xludf.DUMMYFUNCTION("""COMPUTED_VALUE"""),45772.0)</f>
        <v>45772</v>
      </c>
      <c r="S3957" s="57">
        <f>IFERROR(__xludf.DUMMYFUNCTION("""COMPUTED_VALUE"""),45825.0)</f>
        <v>45825</v>
      </c>
      <c r="T3957" s="57">
        <f>IFERROR(__xludf.DUMMYFUNCTION("""COMPUTED_VALUE"""),45910.0)</f>
        <v>45910</v>
      </c>
    </row>
    <row r="3958">
      <c r="A3958" s="6" t="str">
        <f>IFERROR(__xludf.DUMMYFUNCTION("""COMPUTED_VALUE"""),"121702676-2")</f>
        <v>121702676-2</v>
      </c>
      <c r="B3958" s="6" t="str">
        <f>IFERROR(__xludf.DUMMYFUNCTION("""COMPUTED_VALUE"""),"121702676 - APPROVED")</f>
        <v>121702676 - APPROVED</v>
      </c>
      <c r="C3958" s="6">
        <f>IFERROR(__xludf.DUMMYFUNCTION("""COMPUTED_VALUE"""),2.0)</f>
        <v>2</v>
      </c>
      <c r="D3958" s="6" t="str">
        <f>IFERROR(__xludf.DUMMYFUNCTION("""COMPUTED_VALUE"""),"R-21013-00")</f>
        <v>R-21013-00</v>
      </c>
      <c r="E3958" s="6" t="str">
        <f>IFERROR(__xludf.DUMMYFUNCTION("""COMPUTED_VALUE"""),"Utility Equipment; ; ; - Air Tank VBAT38A-RV-Q")</f>
        <v>Utility Equipment; ; ; - Air Tank VBAT38A-RV-Q</v>
      </c>
      <c r="F3958" s="6">
        <f>IFERROR(__xludf.DUMMYFUNCTION("""COMPUTED_VALUE"""),1.0)</f>
        <v>1</v>
      </c>
      <c r="G3958" s="6" t="str">
        <f>IFERROR(__xludf.DUMMYFUNCTION("""COMPUTED_VALUE"""),"Unit")</f>
        <v>Unit</v>
      </c>
      <c r="H3958" s="6" t="str">
        <f>IFERROR(__xludf.DUMMYFUNCTION("""COMPUTED_VALUE"""),"IDR")</f>
        <v>IDR</v>
      </c>
      <c r="I3958" s="6">
        <f>IFERROR(__xludf.DUMMYFUNCTION("""COMPUTED_VALUE"""),1.2189E7)</f>
        <v>12189000</v>
      </c>
      <c r="J3958" s="6">
        <f>IFERROR(__xludf.DUMMYFUNCTION("""COMPUTED_VALUE"""),1.2189E7)</f>
        <v>12189000</v>
      </c>
      <c r="K3958" s="57">
        <f>IFERROR(__xludf.DUMMYFUNCTION("""COMPUTED_VALUE"""),45835.0)</f>
        <v>45835</v>
      </c>
      <c r="L3958" s="6" t="str">
        <f>IFERROR(__xludf.DUMMYFUNCTION("""COMPUTED_VALUE"""),"FIP General")</f>
        <v>FIP General</v>
      </c>
      <c r="M3958" s="6" t="str">
        <f>IFERROR(__xludf.DUMMYFUNCTION("""COMPUTED_VALUE"""),"Mochammad Fadhillah Hakim,")</f>
        <v>Mochammad Fadhillah Hakim,</v>
      </c>
      <c r="N3958" s="6" t="str">
        <f>IFERROR(__xludf.DUMMYFUNCTION("""COMPUTED_VALUE"""),"FIP Engineering")</f>
        <v>FIP Engineering</v>
      </c>
      <c r="O3958" s="6" t="str">
        <f>IFERROR(__xludf.DUMMYFUNCTION("""COMPUTED_VALUE"""),"FIP-DOM-ENG-13405-EQ25025-INA-000000")</f>
        <v>FIP-DOM-ENG-13405-EQ25025-INA-000000</v>
      </c>
      <c r="P3958" s="6" t="str">
        <f>IFERROR(__xludf.DUMMYFUNCTION("""COMPUTED_VALUE"""),"PO Closed")</f>
        <v>PO Closed</v>
      </c>
      <c r="Q3958" s="6" t="str">
        <f>IFERROR(__xludf.DUMMYFUNCTION("""COMPUTED_VALUE"""),"GL2506050")</f>
        <v>GL2506050</v>
      </c>
      <c r="R3958" s="57">
        <f>IFERROR(__xludf.DUMMYFUNCTION("""COMPUTED_VALUE"""),45772.0)</f>
        <v>45772</v>
      </c>
      <c r="S3958" s="57">
        <f>IFERROR(__xludf.DUMMYFUNCTION("""COMPUTED_VALUE"""),45825.0)</f>
        <v>45825</v>
      </c>
      <c r="T3958" s="57">
        <f>IFERROR(__xludf.DUMMYFUNCTION("""COMPUTED_VALUE"""),45868.0)</f>
        <v>45868</v>
      </c>
    </row>
    <row r="3959">
      <c r="A3959" s="6" t="str">
        <f>IFERROR(__xludf.DUMMYFUNCTION("""COMPUTED_VALUE"""),"121702676-3")</f>
        <v>121702676-3</v>
      </c>
      <c r="B3959" s="6" t="str">
        <f>IFERROR(__xludf.DUMMYFUNCTION("""COMPUTED_VALUE"""),"121702676 - APPROVED")</f>
        <v>121702676 - APPROVED</v>
      </c>
      <c r="C3959" s="6">
        <f>IFERROR(__xludf.DUMMYFUNCTION("""COMPUTED_VALUE"""),3.0)</f>
        <v>3</v>
      </c>
      <c r="D3959" s="6" t="str">
        <f>IFERROR(__xludf.DUMMYFUNCTION("""COMPUTED_VALUE"""),"R-21013-00")</f>
        <v>R-21013-00</v>
      </c>
      <c r="E3959" s="6" t="str">
        <f>IFERROR(__xludf.DUMMYFUNCTION("""COMPUTED_VALUE"""),"Utility Equipment; ; ; - Air Filter AM40-04BD-D")</f>
        <v>Utility Equipment; ; ; - Air Filter AM40-04BD-D</v>
      </c>
      <c r="F3959" s="6">
        <f>IFERROR(__xludf.DUMMYFUNCTION("""COMPUTED_VALUE"""),1.0)</f>
        <v>1</v>
      </c>
      <c r="G3959" s="6" t="str">
        <f>IFERROR(__xludf.DUMMYFUNCTION("""COMPUTED_VALUE"""),"Unit")</f>
        <v>Unit</v>
      </c>
      <c r="H3959" s="6" t="str">
        <f>IFERROR(__xludf.DUMMYFUNCTION("""COMPUTED_VALUE"""),"IDR")</f>
        <v>IDR</v>
      </c>
      <c r="I3959" s="6">
        <f>IFERROR(__xludf.DUMMYFUNCTION("""COMPUTED_VALUE"""),2408000.0)</f>
        <v>2408000</v>
      </c>
      <c r="J3959" s="6">
        <f>IFERROR(__xludf.DUMMYFUNCTION("""COMPUTED_VALUE"""),2408000.0)</f>
        <v>2408000</v>
      </c>
      <c r="K3959" s="57">
        <f>IFERROR(__xludf.DUMMYFUNCTION("""COMPUTED_VALUE"""),45835.0)</f>
        <v>45835</v>
      </c>
      <c r="L3959" s="6" t="str">
        <f>IFERROR(__xludf.DUMMYFUNCTION("""COMPUTED_VALUE"""),"FIP General")</f>
        <v>FIP General</v>
      </c>
      <c r="M3959" s="6" t="str">
        <f>IFERROR(__xludf.DUMMYFUNCTION("""COMPUTED_VALUE"""),"Mochammad Fadhillah Hakim,")</f>
        <v>Mochammad Fadhillah Hakim,</v>
      </c>
      <c r="N3959" s="6" t="str">
        <f>IFERROR(__xludf.DUMMYFUNCTION("""COMPUTED_VALUE"""),"FIP Engineering")</f>
        <v>FIP Engineering</v>
      </c>
      <c r="O3959" s="6" t="str">
        <f>IFERROR(__xludf.DUMMYFUNCTION("""COMPUTED_VALUE"""),"FIP-DOM-ENG-13405-EQ25025-INA-000000")</f>
        <v>FIP-DOM-ENG-13405-EQ25025-INA-000000</v>
      </c>
      <c r="P3959" s="6" t="str">
        <f>IFERROR(__xludf.DUMMYFUNCTION("""COMPUTED_VALUE"""),"PO Closed")</f>
        <v>PO Closed</v>
      </c>
      <c r="Q3959" s="6" t="str">
        <f>IFERROR(__xludf.DUMMYFUNCTION("""COMPUTED_VALUE"""),"GL2506050")</f>
        <v>GL2506050</v>
      </c>
      <c r="R3959" s="57">
        <f>IFERROR(__xludf.DUMMYFUNCTION("""COMPUTED_VALUE"""),45772.0)</f>
        <v>45772</v>
      </c>
      <c r="S3959" s="57">
        <f>IFERROR(__xludf.DUMMYFUNCTION("""COMPUTED_VALUE"""),45825.0)</f>
        <v>45825</v>
      </c>
      <c r="T3959" s="57">
        <f>IFERROR(__xludf.DUMMYFUNCTION("""COMPUTED_VALUE"""),45868.0)</f>
        <v>45868</v>
      </c>
    </row>
    <row r="3960">
      <c r="A3960" s="6" t="str">
        <f>IFERROR(__xludf.DUMMYFUNCTION("""COMPUTED_VALUE"""),"121702678-1")</f>
        <v>121702678-1</v>
      </c>
      <c r="B3960" s="6" t="str">
        <f>IFERROR(__xludf.DUMMYFUNCTION("""COMPUTED_VALUE"""),"121702678 - APPROVED")</f>
        <v>121702678 - APPROVED</v>
      </c>
      <c r="C3960" s="6">
        <f>IFERROR(__xludf.DUMMYFUNCTION("""COMPUTED_VALUE"""),1.0)</f>
        <v>1</v>
      </c>
      <c r="D3960" s="6" t="str">
        <f>IFERROR(__xludf.DUMMYFUNCTION("""COMPUTED_VALUE"""),"S-13310-00")</f>
        <v>S-13310-00</v>
      </c>
      <c r="E3960" s="6" t="str">
        <f>IFERROR(__xludf.DUMMYFUNCTION("""COMPUTED_VALUE"""),"Rubbing Compound Mobil; Ivory; ; pack size 1 kg per kaleng")</f>
        <v>Rubbing Compound Mobil; Ivory; ; pack size 1 kg per kaleng</v>
      </c>
      <c r="F3960" s="6">
        <f>IFERROR(__xludf.DUMMYFUNCTION("""COMPUTED_VALUE"""),4.0)</f>
        <v>4</v>
      </c>
      <c r="G3960" s="6" t="str">
        <f>IFERROR(__xludf.DUMMYFUNCTION("""COMPUTED_VALUE"""),"Can")</f>
        <v>Can</v>
      </c>
      <c r="H3960" s="6" t="str">
        <f>IFERROR(__xludf.DUMMYFUNCTION("""COMPUTED_VALUE"""),"IDR")</f>
        <v>IDR</v>
      </c>
      <c r="I3960" s="6">
        <f>IFERROR(__xludf.DUMMYFUNCTION("""COMPUTED_VALUE"""),80000.0)</f>
        <v>80000</v>
      </c>
      <c r="J3960" s="6">
        <f>IFERROR(__xludf.DUMMYFUNCTION("""COMPUTED_VALUE"""),320000.0)</f>
        <v>320000</v>
      </c>
      <c r="K3960" s="57">
        <f>IFERROR(__xludf.DUMMYFUNCTION("""COMPUTED_VALUE"""),45777.0)</f>
        <v>45777</v>
      </c>
      <c r="L3960" s="6" t="str">
        <f>IFERROR(__xludf.DUMMYFUNCTION("""COMPUTED_VALUE"""),"FIP General")</f>
        <v>FIP General</v>
      </c>
      <c r="M3960" s="6" t="str">
        <f>IFERROR(__xludf.DUMMYFUNCTION("""COMPUTED_VALUE"""),"Mochammad Fadhillah Hakim,")</f>
        <v>Mochammad Fadhillah Hakim,</v>
      </c>
      <c r="N3960" s="6" t="str">
        <f>IFERROR(__xludf.DUMMYFUNCTION("""COMPUTED_VALUE"""),"FIP Engineering")</f>
        <v>FIP Engineering</v>
      </c>
      <c r="O3960" s="6" t="str">
        <f>IFERROR(__xludf.DUMMYFUNCTION("""COMPUTED_VALUE"""),"FIP-DOM-ENG-51502-0000000-INA-000000")</f>
        <v>FIP-DOM-ENG-51502-0000000-INA-000000</v>
      </c>
      <c r="P3960" s="6" t="str">
        <f>IFERROR(__xludf.DUMMYFUNCTION("""COMPUTED_VALUE"""),"PO Closed")</f>
        <v>PO Closed</v>
      </c>
      <c r="Q3960" s="6" t="str">
        <f>IFERROR(__xludf.DUMMYFUNCTION("""COMPUTED_VALUE"""),"GL2505057")</f>
        <v>GL2505057</v>
      </c>
      <c r="R3960" s="57">
        <f>IFERROR(__xludf.DUMMYFUNCTION("""COMPUTED_VALUE"""),45775.0)</f>
        <v>45775</v>
      </c>
      <c r="S3960" s="57">
        <f>IFERROR(__xludf.DUMMYFUNCTION("""COMPUTED_VALUE"""),45776.0)</f>
        <v>45776</v>
      </c>
      <c r="T3960" s="57">
        <f>IFERROR(__xludf.DUMMYFUNCTION("""COMPUTED_VALUE"""),45814.0)</f>
        <v>45814</v>
      </c>
    </row>
    <row r="3961">
      <c r="A3961" s="6" t="str">
        <f>IFERROR(__xludf.DUMMYFUNCTION("""COMPUTED_VALUE"""),"121702679-1")</f>
        <v>121702679-1</v>
      </c>
      <c r="B3961" s="6" t="str">
        <f>IFERROR(__xludf.DUMMYFUNCTION("""COMPUTED_VALUE"""),"121702679 - APPROVED")</f>
        <v>121702679 - APPROVED</v>
      </c>
      <c r="C3961" s="6">
        <f>IFERROR(__xludf.DUMMYFUNCTION("""COMPUTED_VALUE"""),1.0)</f>
        <v>1</v>
      </c>
      <c r="D3961" s="6" t="str">
        <f>IFERROR(__xludf.DUMMYFUNCTION("""COMPUTED_VALUE"""),"S-60050-00")</f>
        <v>S-60050-00</v>
      </c>
      <c r="E3961" s="6" t="str">
        <f>IFERROR(__xludf.DUMMYFUNCTION("""COMPUTED_VALUE"""),"Jasa Perbaikan dan Pemeliharaan Mesin Produksi; ; ; - Perbaikan Gearbox Capping")</f>
        <v>Jasa Perbaikan dan Pemeliharaan Mesin Produksi; ; ; - Perbaikan Gearbox Capping</v>
      </c>
      <c r="F3961" s="6">
        <f>IFERROR(__xludf.DUMMYFUNCTION("""COMPUTED_VALUE"""),1.0)</f>
        <v>1</v>
      </c>
      <c r="G3961" s="6" t="str">
        <f>IFERROR(__xludf.DUMMYFUNCTION("""COMPUTED_VALUE"""),"Pieces")</f>
        <v>Pieces</v>
      </c>
      <c r="H3961" s="6" t="str">
        <f>IFERROR(__xludf.DUMMYFUNCTION("""COMPUTED_VALUE"""),"IDR")</f>
        <v>IDR</v>
      </c>
      <c r="I3961" s="6">
        <f>IFERROR(__xludf.DUMMYFUNCTION("""COMPUTED_VALUE"""),6800000.0)</f>
        <v>6800000</v>
      </c>
      <c r="J3961" s="6">
        <f>IFERROR(__xludf.DUMMYFUNCTION("""COMPUTED_VALUE"""),6800000.0)</f>
        <v>6800000</v>
      </c>
      <c r="K3961" s="57">
        <f>IFERROR(__xludf.DUMMYFUNCTION("""COMPUTED_VALUE"""),45805.0)</f>
        <v>45805</v>
      </c>
      <c r="L3961" s="6" t="str">
        <f>IFERROR(__xludf.DUMMYFUNCTION("""COMPUTED_VALUE"""),"FIP General")</f>
        <v>FIP General</v>
      </c>
      <c r="M3961" s="6" t="str">
        <f>IFERROR(__xludf.DUMMYFUNCTION("""COMPUTED_VALUE"""),"Mochammad Fadhillah Hakim,")</f>
        <v>Mochammad Fadhillah Hakim,</v>
      </c>
      <c r="N3961" s="6" t="str">
        <f>IFERROR(__xludf.DUMMYFUNCTION("""COMPUTED_VALUE"""),"FIP Engineering")</f>
        <v>FIP Engineering</v>
      </c>
      <c r="O3961" s="6" t="str">
        <f>IFERROR(__xludf.DUMMYFUNCTION("""COMPUTED_VALUE"""),"FIP-DOM-ENG-51504-0000000-INA-000000")</f>
        <v>FIP-DOM-ENG-51504-0000000-INA-000000</v>
      </c>
      <c r="P3961" s="6" t="str">
        <f>IFERROR(__xludf.DUMMYFUNCTION("""COMPUTED_VALUE"""),"PO Closed")</f>
        <v>PO Closed</v>
      </c>
      <c r="Q3961" s="6" t="str">
        <f>IFERROR(__xludf.DUMMYFUNCTION("""COMPUTED_VALUE"""),"GL2506005")</f>
        <v>GL2506005</v>
      </c>
      <c r="R3961" s="57">
        <f>IFERROR(__xludf.DUMMYFUNCTION("""COMPUTED_VALUE"""),45775.0)</f>
        <v>45775</v>
      </c>
      <c r="S3961" s="57">
        <f>IFERROR(__xludf.DUMMYFUNCTION("""COMPUTED_VALUE"""),45776.0)</f>
        <v>45776</v>
      </c>
      <c r="T3961" s="57">
        <f>IFERROR(__xludf.DUMMYFUNCTION("""COMPUTED_VALUE"""),45866.0)</f>
        <v>45866</v>
      </c>
    </row>
    <row r="3962">
      <c r="A3962" s="6" t="str">
        <f>IFERROR(__xludf.DUMMYFUNCTION("""COMPUTED_VALUE"""),"121702680-1")</f>
        <v>121702680-1</v>
      </c>
      <c r="B3962" s="6" t="str">
        <f>IFERROR(__xludf.DUMMYFUNCTION("""COMPUTED_VALUE"""),"121702680 - APPROVED")</f>
        <v>121702680 - APPROVED</v>
      </c>
      <c r="C3962" s="6">
        <f>IFERROR(__xludf.DUMMYFUNCTION("""COMPUTED_VALUE"""),1.0)</f>
        <v>1</v>
      </c>
      <c r="D3962" s="6" t="str">
        <f>IFERROR(__xludf.DUMMYFUNCTION("""COMPUTED_VALUE"""),"P-17645-00")</f>
        <v>P-17645-00</v>
      </c>
      <c r="E3962" s="6" t="str">
        <f>IFERROR(__xludf.DUMMYFUNCTION("""COMPUTED_VALUE"""),"Sodium Hiphoclorite; ; ; ltr")</f>
        <v>Sodium Hiphoclorite; ; ; ltr</v>
      </c>
      <c r="F3962" s="6">
        <f>IFERROR(__xludf.DUMMYFUNCTION("""COMPUTED_VALUE"""),630.0)</f>
        <v>630</v>
      </c>
      <c r="G3962" s="6" t="str">
        <f>IFERROR(__xludf.DUMMYFUNCTION("""COMPUTED_VALUE"""),"Liter")</f>
        <v>Liter</v>
      </c>
      <c r="H3962" s="6" t="str">
        <f>IFERROR(__xludf.DUMMYFUNCTION("""COMPUTED_VALUE"""),"IDR")</f>
        <v>IDR</v>
      </c>
      <c r="I3962" s="6">
        <f>IFERROR(__xludf.DUMMYFUNCTION("""COMPUTED_VALUE"""),5000.0)</f>
        <v>5000</v>
      </c>
      <c r="J3962" s="6">
        <f>IFERROR(__xludf.DUMMYFUNCTION("""COMPUTED_VALUE"""),3150000.0)</f>
        <v>3150000</v>
      </c>
      <c r="K3962" s="57">
        <f>IFERROR(__xludf.DUMMYFUNCTION("""COMPUTED_VALUE"""),45835.0)</f>
        <v>45835</v>
      </c>
      <c r="L3962" s="6" t="str">
        <f>IFERROR(__xludf.DUMMYFUNCTION("""COMPUTED_VALUE"""),"FIP Engineering")</f>
        <v>FIP Engineering</v>
      </c>
      <c r="M3962" s="6" t="str">
        <f>IFERROR(__xludf.DUMMYFUNCTION("""COMPUTED_VALUE"""),"Mochammad Fadhillah Hakim,")</f>
        <v>Mochammad Fadhillah Hakim,</v>
      </c>
      <c r="N3962" s="6" t="str">
        <f>IFERROR(__xludf.DUMMYFUNCTION("""COMPUTED_VALUE"""),"FIP Engineering")</f>
        <v>FIP Engineering</v>
      </c>
      <c r="O3962" s="6" t="str">
        <f>IFERROR(__xludf.DUMMYFUNCTION("""COMPUTED_VALUE"""),"FIP-DOM-000-11304-OS00001-INA-000000")</f>
        <v>FIP-DOM-000-11304-OS00001-INA-000000</v>
      </c>
      <c r="P3962" s="6" t="str">
        <f>IFERROR(__xludf.DUMMYFUNCTION("""COMPUTED_VALUE"""),"PO Closed")</f>
        <v>PO Closed</v>
      </c>
      <c r="Q3962" s="6" t="str">
        <f>IFERROR(__xludf.DUMMYFUNCTION("""COMPUTED_VALUE"""),"GL2505001")</f>
        <v>GL2505001</v>
      </c>
      <c r="R3962" s="57">
        <f>IFERROR(__xludf.DUMMYFUNCTION("""COMPUTED_VALUE"""),45775.0)</f>
        <v>45775</v>
      </c>
      <c r="S3962" s="57">
        <f>IFERROR(__xludf.DUMMYFUNCTION("""COMPUTED_VALUE"""),45776.0)</f>
        <v>45776</v>
      </c>
      <c r="T3962" s="57">
        <f>IFERROR(__xludf.DUMMYFUNCTION("""COMPUTED_VALUE"""),45903.0)</f>
        <v>45903</v>
      </c>
    </row>
    <row r="3963">
      <c r="A3963" s="6" t="str">
        <f>IFERROR(__xludf.DUMMYFUNCTION("""COMPUTED_VALUE"""),"121702680-2")</f>
        <v>121702680-2</v>
      </c>
      <c r="B3963" s="6" t="str">
        <f>IFERROR(__xludf.DUMMYFUNCTION("""COMPUTED_VALUE"""),"121702680 - APPROVED")</f>
        <v>121702680 - APPROVED</v>
      </c>
      <c r="C3963" s="6">
        <f>IFERROR(__xludf.DUMMYFUNCTION("""COMPUTED_VALUE"""),2.0)</f>
        <v>2</v>
      </c>
      <c r="D3963" s="6" t="str">
        <f>IFERROR(__xludf.DUMMYFUNCTION("""COMPUTED_VALUE"""),"P-17645-00")</f>
        <v>P-17645-00</v>
      </c>
      <c r="E3963" s="6" t="str">
        <f>IFERROR(__xludf.DUMMYFUNCTION("""COMPUTED_VALUE"""),"Sodium Hiphoclorite; ; ; ltr")</f>
        <v>Sodium Hiphoclorite; ; ; ltr</v>
      </c>
      <c r="F3963" s="6">
        <f>IFERROR(__xludf.DUMMYFUNCTION("""COMPUTED_VALUE"""),630.0)</f>
        <v>630</v>
      </c>
      <c r="G3963" s="6" t="str">
        <f>IFERROR(__xludf.DUMMYFUNCTION("""COMPUTED_VALUE"""),"Liter")</f>
        <v>Liter</v>
      </c>
      <c r="H3963" s="6" t="str">
        <f>IFERROR(__xludf.DUMMYFUNCTION("""COMPUTED_VALUE"""),"IDR")</f>
        <v>IDR</v>
      </c>
      <c r="I3963" s="6">
        <f>IFERROR(__xludf.DUMMYFUNCTION("""COMPUTED_VALUE"""),5000.0)</f>
        <v>5000</v>
      </c>
      <c r="J3963" s="6">
        <f>IFERROR(__xludf.DUMMYFUNCTION("""COMPUTED_VALUE"""),3150000.0)</f>
        <v>3150000</v>
      </c>
      <c r="K3963" s="57">
        <f>IFERROR(__xludf.DUMMYFUNCTION("""COMPUTED_VALUE"""),45933.0)</f>
        <v>45933</v>
      </c>
      <c r="L3963" s="6" t="str">
        <f>IFERROR(__xludf.DUMMYFUNCTION("""COMPUTED_VALUE"""),"FIP Engineering")</f>
        <v>FIP Engineering</v>
      </c>
      <c r="M3963" s="6" t="str">
        <f>IFERROR(__xludf.DUMMYFUNCTION("""COMPUTED_VALUE"""),"Mochammad Fadhillah Hakim,")</f>
        <v>Mochammad Fadhillah Hakim,</v>
      </c>
      <c r="N3963" s="6" t="str">
        <f>IFERROR(__xludf.DUMMYFUNCTION("""COMPUTED_VALUE"""),"FIP Engineering")</f>
        <v>FIP Engineering</v>
      </c>
      <c r="O3963" s="6" t="str">
        <f>IFERROR(__xludf.DUMMYFUNCTION("""COMPUTED_VALUE"""),"FIP-DOM-000-11304-OS00001-INA-000000")</f>
        <v>FIP-DOM-000-11304-OS00001-INA-000000</v>
      </c>
      <c r="P3963" s="6" t="str">
        <f>IFERROR(__xludf.DUMMYFUNCTION("""COMPUTED_VALUE"""),"PO Closed")</f>
        <v>PO Closed</v>
      </c>
      <c r="Q3963" s="6" t="str">
        <f>IFERROR(__xludf.DUMMYFUNCTION("""COMPUTED_VALUE"""),"GL2505001")</f>
        <v>GL2505001</v>
      </c>
      <c r="R3963" s="57">
        <f>IFERROR(__xludf.DUMMYFUNCTION("""COMPUTED_VALUE"""),45775.0)</f>
        <v>45775</v>
      </c>
      <c r="S3963" s="57">
        <f>IFERROR(__xludf.DUMMYFUNCTION("""COMPUTED_VALUE"""),45776.0)</f>
        <v>45776</v>
      </c>
      <c r="T3963" s="57">
        <f>IFERROR(__xludf.DUMMYFUNCTION("""COMPUTED_VALUE"""),45792.0)</f>
        <v>45792</v>
      </c>
    </row>
    <row r="3964">
      <c r="A3964" s="6" t="str">
        <f>IFERROR(__xludf.DUMMYFUNCTION("""COMPUTED_VALUE"""),"121702682-1")</f>
        <v>121702682-1</v>
      </c>
      <c r="B3964" s="6" t="str">
        <f>IFERROR(__xludf.DUMMYFUNCTION("""COMPUTED_VALUE"""),"121702682 - APPROVED")</f>
        <v>121702682 - APPROVED</v>
      </c>
      <c r="C3964" s="6">
        <f>IFERROR(__xludf.DUMMYFUNCTION("""COMPUTED_VALUE"""),1.0)</f>
        <v>1</v>
      </c>
      <c r="D3964" s="6" t="str">
        <f>IFERROR(__xludf.DUMMYFUNCTION("""COMPUTED_VALUE"""),"S-60002-00")</f>
        <v>S-60002-00</v>
      </c>
      <c r="E3964" s="6" t="str">
        <f>IFERROR(__xludf.DUMMYFUNCTION("""COMPUTED_VALUE"""),"Jasa Perbaikan dan Pemeliharaan Mesin Utility - Scalling PSG")</f>
        <v>Jasa Perbaikan dan Pemeliharaan Mesin Utility - Scalling PSG</v>
      </c>
      <c r="F3964" s="6">
        <f>IFERROR(__xludf.DUMMYFUNCTION("""COMPUTED_VALUE"""),1.0)</f>
        <v>1</v>
      </c>
      <c r="G3964" s="6" t="str">
        <f>IFERROR(__xludf.DUMMYFUNCTION("""COMPUTED_VALUE"""),"Lot")</f>
        <v>Lot</v>
      </c>
      <c r="H3964" s="6" t="str">
        <f>IFERROR(__xludf.DUMMYFUNCTION("""COMPUTED_VALUE"""),"IDR")</f>
        <v>IDR</v>
      </c>
      <c r="I3964" s="6">
        <f>IFERROR(__xludf.DUMMYFUNCTION("""COMPUTED_VALUE"""),7.75E7)</f>
        <v>77500000</v>
      </c>
      <c r="J3964" s="6">
        <f>IFERROR(__xludf.DUMMYFUNCTION("""COMPUTED_VALUE"""),7.75E7)</f>
        <v>77500000</v>
      </c>
      <c r="K3964" s="57">
        <f>IFERROR(__xludf.DUMMYFUNCTION("""COMPUTED_VALUE"""),45807.0)</f>
        <v>45807</v>
      </c>
      <c r="L3964" s="6" t="str">
        <f>IFERROR(__xludf.DUMMYFUNCTION("""COMPUTED_VALUE"""),"FIP General")</f>
        <v>FIP General</v>
      </c>
      <c r="M3964" s="6" t="str">
        <f>IFERROR(__xludf.DUMMYFUNCTION("""COMPUTED_VALUE"""),"Mochammad Fadhillah Hakim,")</f>
        <v>Mochammad Fadhillah Hakim,</v>
      </c>
      <c r="N3964" s="6" t="str">
        <f>IFERROR(__xludf.DUMMYFUNCTION("""COMPUTED_VALUE"""),"FIP Engineering")</f>
        <v>FIP Engineering</v>
      </c>
      <c r="O3964" s="6" t="str">
        <f>IFERROR(__xludf.DUMMYFUNCTION("""COMPUTED_VALUE"""),"FIP-DOM-ENG-51508-OS00001-INA-000000")</f>
        <v>FIP-DOM-ENG-51508-OS00001-INA-000000</v>
      </c>
      <c r="P3964" s="6" t="str">
        <f>IFERROR(__xludf.DUMMYFUNCTION("""COMPUTED_VALUE"""),"PO Closed")</f>
        <v>PO Closed</v>
      </c>
      <c r="Q3964" s="6" t="str">
        <f>IFERROR(__xludf.DUMMYFUNCTION("""COMPUTED_VALUE"""),"GL2506025")</f>
        <v>GL2506025</v>
      </c>
      <c r="R3964" s="57">
        <f>IFERROR(__xludf.DUMMYFUNCTION("""COMPUTED_VALUE"""),45776.0)</f>
        <v>45776</v>
      </c>
      <c r="S3964" s="57">
        <f>IFERROR(__xludf.DUMMYFUNCTION("""COMPUTED_VALUE"""),45776.0)</f>
        <v>45776</v>
      </c>
      <c r="T3964" s="57">
        <f>IFERROR(__xludf.DUMMYFUNCTION("""COMPUTED_VALUE"""),45930.0)</f>
        <v>45930</v>
      </c>
    </row>
    <row r="3965">
      <c r="A3965" s="6" t="str">
        <f>IFERROR(__xludf.DUMMYFUNCTION("""COMPUTED_VALUE"""),"121702690-1")</f>
        <v>121702690-1</v>
      </c>
      <c r="B3965" s="6" t="str">
        <f>IFERROR(__xludf.DUMMYFUNCTION("""COMPUTED_VALUE"""),"121702690 - APPROVED")</f>
        <v>121702690 - APPROVED</v>
      </c>
      <c r="C3965" s="6">
        <f>IFERROR(__xludf.DUMMYFUNCTION("""COMPUTED_VALUE"""),1.0)</f>
        <v>1</v>
      </c>
      <c r="D3965" s="6" t="str">
        <f>IFERROR(__xludf.DUMMYFUNCTION("""COMPUTED_VALUE"""),"Q-60405-00")</f>
        <v>Q-60405-00</v>
      </c>
      <c r="E3965" s="6" t="str">
        <f>IFERROR(__xludf.DUMMYFUNCTION("""COMPUTED_VALUE"""),"Cat Durogloss DR-2000; Propan; Type Spiders Web 90YY 73/040; 0,9 L/can")</f>
        <v>Cat Durogloss DR-2000; Propan; Type Spiders Web 90YY 73/040; 0,9 L/can</v>
      </c>
      <c r="F3965" s="6">
        <f>IFERROR(__xludf.DUMMYFUNCTION("""COMPUTED_VALUE"""),6.0)</f>
        <v>6</v>
      </c>
      <c r="G3965" s="6" t="str">
        <f>IFERROR(__xludf.DUMMYFUNCTION("""COMPUTED_VALUE"""),"Can")</f>
        <v>Can</v>
      </c>
      <c r="H3965" s="6" t="str">
        <f>IFERROR(__xludf.DUMMYFUNCTION("""COMPUTED_VALUE"""),"IDR")</f>
        <v>IDR</v>
      </c>
      <c r="I3965" s="6">
        <f>IFERROR(__xludf.DUMMYFUNCTION("""COMPUTED_VALUE"""),95919.0)</f>
        <v>95919</v>
      </c>
      <c r="J3965" s="6">
        <f>IFERROR(__xludf.DUMMYFUNCTION("""COMPUTED_VALUE"""),575514.0)</f>
        <v>575514</v>
      </c>
      <c r="K3965" s="57">
        <f>IFERROR(__xludf.DUMMYFUNCTION("""COMPUTED_VALUE"""),45807.0)</f>
        <v>45807</v>
      </c>
      <c r="L3965" s="6" t="str">
        <f>IFERROR(__xludf.DUMMYFUNCTION("""COMPUTED_VALUE"""),"FIP General")</f>
        <v>FIP General</v>
      </c>
      <c r="M3965" s="6" t="str">
        <f>IFERROR(__xludf.DUMMYFUNCTION("""COMPUTED_VALUE"""),"Mochammad Fadhillah Hakim,")</f>
        <v>Mochammad Fadhillah Hakim,</v>
      </c>
      <c r="N3965" s="6" t="str">
        <f>IFERROR(__xludf.DUMMYFUNCTION("""COMPUTED_VALUE"""),"FIP Engineering")</f>
        <v>FIP Engineering</v>
      </c>
      <c r="O3965" s="6" t="str">
        <f>IFERROR(__xludf.DUMMYFUNCTION("""COMPUTED_VALUE"""),"FIP-DOM-ENG-51402-0000000-INA-000000")</f>
        <v>FIP-DOM-ENG-51402-0000000-INA-000000</v>
      </c>
      <c r="P3965" s="6" t="str">
        <f>IFERROR(__xludf.DUMMYFUNCTION("""COMPUTED_VALUE"""),"PO Closed")</f>
        <v>PO Closed</v>
      </c>
      <c r="Q3965" s="6" t="str">
        <f>IFERROR(__xludf.DUMMYFUNCTION("""COMPUTED_VALUE"""),"GL2505013")</f>
        <v>GL2505013</v>
      </c>
      <c r="R3965" s="57">
        <f>IFERROR(__xludf.DUMMYFUNCTION("""COMPUTED_VALUE"""),45777.0)</f>
        <v>45777</v>
      </c>
      <c r="S3965" s="57">
        <f>IFERROR(__xludf.DUMMYFUNCTION("""COMPUTED_VALUE"""),45779.0)</f>
        <v>45779</v>
      </c>
      <c r="T3965" s="57">
        <f>IFERROR(__xludf.DUMMYFUNCTION("""COMPUTED_VALUE"""),45807.0)</f>
        <v>45807</v>
      </c>
    </row>
    <row r="3966">
      <c r="A3966" s="6" t="str">
        <f>IFERROR(__xludf.DUMMYFUNCTION("""COMPUTED_VALUE"""),"121702692-1")</f>
        <v>121702692-1</v>
      </c>
      <c r="B3966" s="6" t="str">
        <f>IFERROR(__xludf.DUMMYFUNCTION("""COMPUTED_VALUE"""),"121702692 - APPROVED")</f>
        <v>121702692 - APPROVED</v>
      </c>
      <c r="C3966" s="6">
        <f>IFERROR(__xludf.DUMMYFUNCTION("""COMPUTED_VALUE"""),1.0)</f>
        <v>1</v>
      </c>
      <c r="D3966" s="6" t="str">
        <f>IFERROR(__xludf.DUMMYFUNCTION("""COMPUTED_VALUE"""),"R-22006-00")</f>
        <v>R-22006-00</v>
      </c>
      <c r="E3966" s="6" t="str">
        <f>IFERROR(__xludf.DUMMYFUNCTION("""COMPUTED_VALUE"""),"Racking")</f>
        <v>Racking</v>
      </c>
      <c r="F3966" s="6">
        <f>IFERROR(__xludf.DUMMYFUNCTION("""COMPUTED_VALUE"""),1.0)</f>
        <v>1</v>
      </c>
      <c r="G3966" s="6" t="str">
        <f>IFERROR(__xludf.DUMMYFUNCTION("""COMPUTED_VALUE"""),"Unit")</f>
        <v>Unit</v>
      </c>
      <c r="H3966" s="6" t="str">
        <f>IFERROR(__xludf.DUMMYFUNCTION("""COMPUTED_VALUE"""),"IDR")</f>
        <v>IDR</v>
      </c>
      <c r="I3966" s="6">
        <f>IFERROR(__xludf.DUMMYFUNCTION("""COMPUTED_VALUE"""),2.1645E7)</f>
        <v>21645000</v>
      </c>
      <c r="J3966" s="6">
        <f>IFERROR(__xludf.DUMMYFUNCTION("""COMPUTED_VALUE"""),2.1645E7)</f>
        <v>21645000</v>
      </c>
      <c r="K3966" s="57">
        <f>IFERROR(__xludf.DUMMYFUNCTION("""COMPUTED_VALUE"""),45814.0)</f>
        <v>45814</v>
      </c>
      <c r="L3966" s="6" t="str">
        <f>IFERROR(__xludf.DUMMYFUNCTION("""COMPUTED_VALUE"""),"FIP General")</f>
        <v>FIP General</v>
      </c>
      <c r="M3966" s="6" t="str">
        <f>IFERROR(__xludf.DUMMYFUNCTION("""COMPUTED_VALUE"""),"Mochammad Fadhillah Hakim,")</f>
        <v>Mochammad Fadhillah Hakim,</v>
      </c>
      <c r="N3966" s="6" t="str">
        <f>IFERROR(__xludf.DUMMYFUNCTION("""COMPUTED_VALUE"""),"FIP Engineering")</f>
        <v>FIP Engineering</v>
      </c>
      <c r="O3966" s="6" t="str">
        <f>IFERROR(__xludf.DUMMYFUNCTION("""COMPUTED_VALUE"""),"FIP-DOM-ENG-13406-EQ25002-INA-000000")</f>
        <v>FIP-DOM-ENG-13406-EQ25002-INA-000000</v>
      </c>
      <c r="P3966" s="6" t="str">
        <f>IFERROR(__xludf.DUMMYFUNCTION("""COMPUTED_VALUE"""),"PO Closed")</f>
        <v>PO Closed</v>
      </c>
      <c r="Q3966" s="6" t="str">
        <f>IFERROR(__xludf.DUMMYFUNCTION("""COMPUTED_VALUE"""),"GL2505055")</f>
        <v>GL2505055</v>
      </c>
      <c r="R3966" s="57">
        <f>IFERROR(__xludf.DUMMYFUNCTION("""COMPUTED_VALUE"""),45779.0)</f>
        <v>45779</v>
      </c>
      <c r="S3966" s="57">
        <f>IFERROR(__xludf.DUMMYFUNCTION("""COMPUTED_VALUE"""),45793.0)</f>
        <v>45793</v>
      </c>
      <c r="T3966" s="57">
        <f>IFERROR(__xludf.DUMMYFUNCTION("""COMPUTED_VALUE"""),45824.0)</f>
        <v>45824</v>
      </c>
    </row>
    <row r="3967">
      <c r="A3967" s="6" t="str">
        <f>IFERROR(__xludf.DUMMYFUNCTION("""COMPUTED_VALUE"""),"121702694-1")</f>
        <v>121702694-1</v>
      </c>
      <c r="B3967" s="6" t="str">
        <f>IFERROR(__xludf.DUMMYFUNCTION("""COMPUTED_VALUE"""),"121702694 - APPROVED")</f>
        <v>121702694 - APPROVED</v>
      </c>
      <c r="C3967" s="6">
        <f>IFERROR(__xludf.DUMMYFUNCTION("""COMPUTED_VALUE"""),1.0)</f>
        <v>1</v>
      </c>
      <c r="D3967" s="6" t="str">
        <f>IFERROR(__xludf.DUMMYFUNCTION("""COMPUTED_VALUE"""),"P-11175-00")</f>
        <v>P-11175-00</v>
      </c>
      <c r="E3967" s="6" t="str">
        <f>IFERROR(__xludf.DUMMYFUNCTION("""COMPUTED_VALUE"""),"Pneumatic  Fitting - QS 10-8 / PN : 153039 / Festo")</f>
        <v>Pneumatic  Fitting - QS 10-8 / PN : 153039 / Festo</v>
      </c>
      <c r="F3967" s="6">
        <f>IFERROR(__xludf.DUMMYFUNCTION("""COMPUTED_VALUE"""),8.0)</f>
        <v>8</v>
      </c>
      <c r="G3967" s="6" t="str">
        <f>IFERROR(__xludf.DUMMYFUNCTION("""COMPUTED_VALUE"""),"Pieces")</f>
        <v>Pieces</v>
      </c>
      <c r="H3967" s="6" t="str">
        <f>IFERROR(__xludf.DUMMYFUNCTION("""COMPUTED_VALUE"""),"IDR")</f>
        <v>IDR</v>
      </c>
      <c r="I3967" s="6">
        <f>IFERROR(__xludf.DUMMYFUNCTION("""COMPUTED_VALUE"""),63220.0)</f>
        <v>63220</v>
      </c>
      <c r="J3967" s="6">
        <f>IFERROR(__xludf.DUMMYFUNCTION("""COMPUTED_VALUE"""),505760.0)</f>
        <v>505760</v>
      </c>
      <c r="K3967" s="57">
        <f>IFERROR(__xludf.DUMMYFUNCTION("""COMPUTED_VALUE"""),45814.0)</f>
        <v>45814</v>
      </c>
      <c r="L3967" s="6" t="str">
        <f>IFERROR(__xludf.DUMMYFUNCTION("""COMPUTED_VALUE"""),"FIP Engineering")</f>
        <v>FIP Engineering</v>
      </c>
      <c r="M3967" s="6" t="str">
        <f>IFERROR(__xludf.DUMMYFUNCTION("""COMPUTED_VALUE"""),"Mochammad Fadhillah Hakim,")</f>
        <v>Mochammad Fadhillah Hakim,</v>
      </c>
      <c r="N3967" s="6" t="str">
        <f>IFERROR(__xludf.DUMMYFUNCTION("""COMPUTED_VALUE"""),"FIP Engineering")</f>
        <v>FIP Engineering</v>
      </c>
      <c r="O3967" s="6" t="str">
        <f>IFERROR(__xludf.DUMMYFUNCTION("""COMPUTED_VALUE"""),"FIP-DOM-000-11304-OS00001-INA-000000")</f>
        <v>FIP-DOM-000-11304-OS00001-INA-000000</v>
      </c>
      <c r="P3967" s="6" t="str">
        <f>IFERROR(__xludf.DUMMYFUNCTION("""COMPUTED_VALUE"""),"PO Closed")</f>
        <v>PO Closed</v>
      </c>
      <c r="Q3967" s="6" t="str">
        <f>IFERROR(__xludf.DUMMYFUNCTION("""COMPUTED_VALUE"""),"GL2505372")</f>
        <v>GL2505372</v>
      </c>
      <c r="R3967" s="57">
        <f>IFERROR(__xludf.DUMMYFUNCTION("""COMPUTED_VALUE"""),45779.0)</f>
        <v>45779</v>
      </c>
      <c r="S3967" s="57">
        <f>IFERROR(__xludf.DUMMYFUNCTION("""COMPUTED_VALUE"""),45779.0)</f>
        <v>45779</v>
      </c>
      <c r="T3967" s="57">
        <f>IFERROR(__xludf.DUMMYFUNCTION("""COMPUTED_VALUE"""),45828.0)</f>
        <v>45828</v>
      </c>
    </row>
    <row r="3968">
      <c r="A3968" s="6" t="str">
        <f>IFERROR(__xludf.DUMMYFUNCTION("""COMPUTED_VALUE"""),"121702695-1")</f>
        <v>121702695-1</v>
      </c>
      <c r="B3968" s="6" t="str">
        <f>IFERROR(__xludf.DUMMYFUNCTION("""COMPUTED_VALUE"""),"121702695 - APPROVED")</f>
        <v>121702695 - APPROVED</v>
      </c>
      <c r="C3968" s="6">
        <f>IFERROR(__xludf.DUMMYFUNCTION("""COMPUTED_VALUE"""),1.0)</f>
        <v>1</v>
      </c>
      <c r="D3968" s="6" t="str">
        <f>IFERROR(__xludf.DUMMYFUNCTION("""COMPUTED_VALUE"""),"O-53236-00")</f>
        <v>O-53236-00</v>
      </c>
      <c r="E3968" s="6" t="str">
        <f>IFERROR(__xludf.DUMMYFUNCTION("""COMPUTED_VALUE"""),"General - Advanced Control Unit 24VDC 1.25-5A; Schneider; LUCB05BL; 1 Pc")</f>
        <v>General - Advanced Control Unit 24VDC 1.25-5A; Schneider; LUCB05BL; 1 Pc</v>
      </c>
      <c r="F3968" s="6">
        <f>IFERROR(__xludf.DUMMYFUNCTION("""COMPUTED_VALUE"""),4.0)</f>
        <v>4</v>
      </c>
      <c r="G3968" s="6" t="str">
        <f>IFERROR(__xludf.DUMMYFUNCTION("""COMPUTED_VALUE"""),"Pieces")</f>
        <v>Pieces</v>
      </c>
      <c r="H3968" s="6" t="str">
        <f>IFERROR(__xludf.DUMMYFUNCTION("""COMPUTED_VALUE"""),"IDR")</f>
        <v>IDR</v>
      </c>
      <c r="I3968" s="6">
        <f>IFERROR(__xludf.DUMMYFUNCTION("""COMPUTED_VALUE"""),2250000.0)</f>
        <v>2250000</v>
      </c>
      <c r="J3968" s="6">
        <f>IFERROR(__xludf.DUMMYFUNCTION("""COMPUTED_VALUE"""),9000000.0)</f>
        <v>9000000</v>
      </c>
      <c r="K3968" s="57">
        <f>IFERROR(__xludf.DUMMYFUNCTION("""COMPUTED_VALUE"""),45814.0)</f>
        <v>45814</v>
      </c>
      <c r="L3968" s="6" t="str">
        <f>IFERROR(__xludf.DUMMYFUNCTION("""COMPUTED_VALUE"""),"FIP Engineering")</f>
        <v>FIP Engineering</v>
      </c>
      <c r="M3968" s="6" t="str">
        <f>IFERROR(__xludf.DUMMYFUNCTION("""COMPUTED_VALUE"""),"Mochammad Fadhillah Hakim,")</f>
        <v>Mochammad Fadhillah Hakim,</v>
      </c>
      <c r="N3968" s="6" t="str">
        <f>IFERROR(__xludf.DUMMYFUNCTION("""COMPUTED_VALUE"""),"FIP Engineering")</f>
        <v>FIP Engineering</v>
      </c>
      <c r="O3968" s="6" t="str">
        <f>IFERROR(__xludf.DUMMYFUNCTION("""COMPUTED_VALUE"""),"FIP-DOM-000-11304-OS00001-INA-000000")</f>
        <v>FIP-DOM-000-11304-OS00001-INA-000000</v>
      </c>
      <c r="P3968" s="6" t="str">
        <f>IFERROR(__xludf.DUMMYFUNCTION("""COMPUTED_VALUE"""),"PO Closed")</f>
        <v>PO Closed</v>
      </c>
      <c r="Q3968" s="6" t="str">
        <f>IFERROR(__xludf.DUMMYFUNCTION("""COMPUTED_VALUE"""),"GL2505038")</f>
        <v>GL2505038</v>
      </c>
      <c r="R3968" s="57">
        <f>IFERROR(__xludf.DUMMYFUNCTION("""COMPUTED_VALUE"""),45779.0)</f>
        <v>45779</v>
      </c>
      <c r="S3968" s="57">
        <f>IFERROR(__xludf.DUMMYFUNCTION("""COMPUTED_VALUE"""),45779.0)</f>
        <v>45779</v>
      </c>
      <c r="T3968" s="57">
        <f>IFERROR(__xludf.DUMMYFUNCTION("""COMPUTED_VALUE"""),45824.0)</f>
        <v>45824</v>
      </c>
    </row>
    <row r="3969">
      <c r="A3969" s="6" t="str">
        <f>IFERROR(__xludf.DUMMYFUNCTION("""COMPUTED_VALUE"""),"121702696-1")</f>
        <v>121702696-1</v>
      </c>
      <c r="B3969" s="6" t="str">
        <f>IFERROR(__xludf.DUMMYFUNCTION("""COMPUTED_VALUE"""),"121702696 - APPROVED")</f>
        <v>121702696 - APPROVED</v>
      </c>
      <c r="C3969" s="6">
        <f>IFERROR(__xludf.DUMMYFUNCTION("""COMPUTED_VALUE"""),1.0)</f>
        <v>1</v>
      </c>
      <c r="D3969" s="6" t="str">
        <f>IFERROR(__xludf.DUMMYFUNCTION("""COMPUTED_VALUE"""),"P-10391-00")</f>
        <v>P-10391-00</v>
      </c>
      <c r="E3969" s="6" t="str">
        <f>IFERROR(__xludf.DUMMYFUNCTION("""COMPUTED_VALUE"""),"Ball Valve PVC 2""")</f>
        <v>Ball Valve PVC 2"</v>
      </c>
      <c r="F3969" s="6">
        <f>IFERROR(__xludf.DUMMYFUNCTION("""COMPUTED_VALUE"""),2.0)</f>
        <v>2</v>
      </c>
      <c r="G3969" s="6" t="str">
        <f>IFERROR(__xludf.DUMMYFUNCTION("""COMPUTED_VALUE"""),"Pieces")</f>
        <v>Pieces</v>
      </c>
      <c r="H3969" s="6" t="str">
        <f>IFERROR(__xludf.DUMMYFUNCTION("""COMPUTED_VALUE"""),"IDR")</f>
        <v>IDR</v>
      </c>
      <c r="I3969" s="6">
        <f>IFERROR(__xludf.DUMMYFUNCTION("""COMPUTED_VALUE"""),100000.0)</f>
        <v>100000</v>
      </c>
      <c r="J3969" s="6">
        <f>IFERROR(__xludf.DUMMYFUNCTION("""COMPUTED_VALUE"""),200000.0)</f>
        <v>200000</v>
      </c>
      <c r="K3969" s="57">
        <f>IFERROR(__xludf.DUMMYFUNCTION("""COMPUTED_VALUE"""),45781.0)</f>
        <v>45781</v>
      </c>
      <c r="L3969" s="6" t="str">
        <f>IFERROR(__xludf.DUMMYFUNCTION("""COMPUTED_VALUE"""),"FIP Engineering")</f>
        <v>FIP Engineering</v>
      </c>
      <c r="M3969" s="6" t="str">
        <f>IFERROR(__xludf.DUMMYFUNCTION("""COMPUTED_VALUE"""),"Mochammad Fadhillah Hakim,")</f>
        <v>Mochammad Fadhillah Hakim,</v>
      </c>
      <c r="N3969" s="6" t="str">
        <f>IFERROR(__xludf.DUMMYFUNCTION("""COMPUTED_VALUE"""),"FIP Engineering")</f>
        <v>FIP Engineering</v>
      </c>
      <c r="O3969" s="6" t="str">
        <f>IFERROR(__xludf.DUMMYFUNCTION("""COMPUTED_VALUE"""),"FIP-DOM-000-11304-OS00001-INA-000000")</f>
        <v>FIP-DOM-000-11304-OS00001-INA-000000</v>
      </c>
      <c r="P3969" s="6" t="str">
        <f>IFERROR(__xludf.DUMMYFUNCTION("""COMPUTED_VALUE"""),"PO Closed")</f>
        <v>PO Closed</v>
      </c>
      <c r="Q3969" s="6" t="str">
        <f>IFERROR(__xludf.DUMMYFUNCTION("""COMPUTED_VALUE"""),"GL2505368")</f>
        <v>GL2505368</v>
      </c>
      <c r="R3969" s="57">
        <f>IFERROR(__xludf.DUMMYFUNCTION("""COMPUTED_VALUE"""),45779.0)</f>
        <v>45779</v>
      </c>
      <c r="S3969" s="57">
        <f>IFERROR(__xludf.DUMMYFUNCTION("""COMPUTED_VALUE"""),45779.0)</f>
        <v>45779</v>
      </c>
      <c r="T3969" s="57">
        <f>IFERROR(__xludf.DUMMYFUNCTION("""COMPUTED_VALUE"""),45800.0)</f>
        <v>45800</v>
      </c>
    </row>
    <row r="3970">
      <c r="A3970" s="6" t="str">
        <f>IFERROR(__xludf.DUMMYFUNCTION("""COMPUTED_VALUE"""),"121702696-2")</f>
        <v>121702696-2</v>
      </c>
      <c r="B3970" s="6" t="str">
        <f>IFERROR(__xludf.DUMMYFUNCTION("""COMPUTED_VALUE"""),"121702696 - APPROVED")</f>
        <v>121702696 - APPROVED</v>
      </c>
      <c r="C3970" s="6">
        <f>IFERROR(__xludf.DUMMYFUNCTION("""COMPUTED_VALUE"""),2.0)</f>
        <v>2</v>
      </c>
      <c r="D3970" s="6" t="str">
        <f>IFERROR(__xludf.DUMMYFUNCTION("""COMPUTED_VALUE"""),"P-10877-00")</f>
        <v>P-10877-00</v>
      </c>
      <c r="E3970" s="6" t="str">
        <f>IFERROR(__xludf.DUMMYFUNCTION("""COMPUTED_VALUE"""),"Fitting PVC - Reducer PVC 2"" - 1""")</f>
        <v>Fitting PVC - Reducer PVC 2" - 1"</v>
      </c>
      <c r="F3970" s="6">
        <f>IFERROR(__xludf.DUMMYFUNCTION("""COMPUTED_VALUE"""),4.0)</f>
        <v>4</v>
      </c>
      <c r="G3970" s="6" t="str">
        <f>IFERROR(__xludf.DUMMYFUNCTION("""COMPUTED_VALUE"""),"Pieces")</f>
        <v>Pieces</v>
      </c>
      <c r="H3970" s="6" t="str">
        <f>IFERROR(__xludf.DUMMYFUNCTION("""COMPUTED_VALUE"""),"IDR")</f>
        <v>IDR</v>
      </c>
      <c r="I3970" s="6">
        <f>IFERROR(__xludf.DUMMYFUNCTION("""COMPUTED_VALUE"""),15000.0)</f>
        <v>15000</v>
      </c>
      <c r="J3970" s="6">
        <f>IFERROR(__xludf.DUMMYFUNCTION("""COMPUTED_VALUE"""),60000.0)</f>
        <v>60000</v>
      </c>
      <c r="K3970" s="57">
        <f>IFERROR(__xludf.DUMMYFUNCTION("""COMPUTED_VALUE"""),45781.0)</f>
        <v>45781</v>
      </c>
      <c r="L3970" s="6" t="str">
        <f>IFERROR(__xludf.DUMMYFUNCTION("""COMPUTED_VALUE"""),"FIP Engineering")</f>
        <v>FIP Engineering</v>
      </c>
      <c r="M3970" s="6" t="str">
        <f>IFERROR(__xludf.DUMMYFUNCTION("""COMPUTED_VALUE"""),"Mochammad Fadhillah Hakim,")</f>
        <v>Mochammad Fadhillah Hakim,</v>
      </c>
      <c r="N3970" s="6" t="str">
        <f>IFERROR(__xludf.DUMMYFUNCTION("""COMPUTED_VALUE"""),"FIP Engineering")</f>
        <v>FIP Engineering</v>
      </c>
      <c r="O3970" s="6" t="str">
        <f>IFERROR(__xludf.DUMMYFUNCTION("""COMPUTED_VALUE"""),"FIP-DOM-000-11304-OS00001-INA-000000")</f>
        <v>FIP-DOM-000-11304-OS00001-INA-000000</v>
      </c>
      <c r="P3970" s="6" t="str">
        <f>IFERROR(__xludf.DUMMYFUNCTION("""COMPUTED_VALUE"""),"PO Closed")</f>
        <v>PO Closed</v>
      </c>
      <c r="Q3970" s="6" t="str">
        <f>IFERROR(__xludf.DUMMYFUNCTION("""COMPUTED_VALUE"""),"GL2505368")</f>
        <v>GL2505368</v>
      </c>
      <c r="R3970" s="57">
        <f>IFERROR(__xludf.DUMMYFUNCTION("""COMPUTED_VALUE"""),45779.0)</f>
        <v>45779</v>
      </c>
      <c r="S3970" s="57">
        <f>IFERROR(__xludf.DUMMYFUNCTION("""COMPUTED_VALUE"""),45779.0)</f>
        <v>45779</v>
      </c>
      <c r="T3970" s="57">
        <f>IFERROR(__xludf.DUMMYFUNCTION("""COMPUTED_VALUE"""),45800.0)</f>
        <v>45800</v>
      </c>
    </row>
    <row r="3971">
      <c r="A3971" s="6" t="str">
        <f>IFERROR(__xludf.DUMMYFUNCTION("""COMPUTED_VALUE"""),"121702696-3")</f>
        <v>121702696-3</v>
      </c>
      <c r="B3971" s="6" t="str">
        <f>IFERROR(__xludf.DUMMYFUNCTION("""COMPUTED_VALUE"""),"121702696 - APPROVED")</f>
        <v>121702696 - APPROVED</v>
      </c>
      <c r="C3971" s="6">
        <f>IFERROR(__xludf.DUMMYFUNCTION("""COMPUTED_VALUE"""),3.0)</f>
        <v>3</v>
      </c>
      <c r="D3971" s="6" t="str">
        <f>IFERROR(__xludf.DUMMYFUNCTION("""COMPUTED_VALUE"""),"P-18769-00")</f>
        <v>P-18769-00</v>
      </c>
      <c r="E3971" s="6" t="str">
        <f>IFERROR(__xludf.DUMMYFUNCTION("""COMPUTED_VALUE"""),"Mata Gerinda Potong 4"" Merek WD; ; -; 20 pc")</f>
        <v>Mata Gerinda Potong 4" Merek WD; ; -; 20 pc</v>
      </c>
      <c r="F3971" s="6">
        <f>IFERROR(__xludf.DUMMYFUNCTION("""COMPUTED_VALUE"""),1.0)</f>
        <v>1</v>
      </c>
      <c r="G3971" s="6" t="str">
        <f>IFERROR(__xludf.DUMMYFUNCTION("""COMPUTED_VALUE"""),"Pack")</f>
        <v>Pack</v>
      </c>
      <c r="H3971" s="6" t="str">
        <f>IFERROR(__xludf.DUMMYFUNCTION("""COMPUTED_VALUE"""),"IDR")</f>
        <v>IDR</v>
      </c>
      <c r="I3971" s="6">
        <f>IFERROR(__xludf.DUMMYFUNCTION("""COMPUTED_VALUE"""),115000.0)</f>
        <v>115000</v>
      </c>
      <c r="J3971" s="6">
        <f>IFERROR(__xludf.DUMMYFUNCTION("""COMPUTED_VALUE"""),115000.0)</f>
        <v>115000</v>
      </c>
      <c r="K3971" s="57">
        <f>IFERROR(__xludf.DUMMYFUNCTION("""COMPUTED_VALUE"""),45781.0)</f>
        <v>45781</v>
      </c>
      <c r="L3971" s="6" t="str">
        <f>IFERROR(__xludf.DUMMYFUNCTION("""COMPUTED_VALUE"""),"FIP Engineering")</f>
        <v>FIP Engineering</v>
      </c>
      <c r="M3971" s="6" t="str">
        <f>IFERROR(__xludf.DUMMYFUNCTION("""COMPUTED_VALUE"""),"Mochammad Fadhillah Hakim,")</f>
        <v>Mochammad Fadhillah Hakim,</v>
      </c>
      <c r="N3971" s="6" t="str">
        <f>IFERROR(__xludf.DUMMYFUNCTION("""COMPUTED_VALUE"""),"FIP Engineering")</f>
        <v>FIP Engineering</v>
      </c>
      <c r="O3971" s="6" t="str">
        <f>IFERROR(__xludf.DUMMYFUNCTION("""COMPUTED_VALUE"""),"FIP-DOM-000-11304-OS00001-INA-000000")</f>
        <v>FIP-DOM-000-11304-OS00001-INA-000000</v>
      </c>
      <c r="P3971" s="6" t="str">
        <f>IFERROR(__xludf.DUMMYFUNCTION("""COMPUTED_VALUE"""),"PO Closed")</f>
        <v>PO Closed</v>
      </c>
      <c r="Q3971" s="6" t="str">
        <f>IFERROR(__xludf.DUMMYFUNCTION("""COMPUTED_VALUE"""),"GL2505373")</f>
        <v>GL2505373</v>
      </c>
      <c r="R3971" s="57">
        <f>IFERROR(__xludf.DUMMYFUNCTION("""COMPUTED_VALUE"""),45779.0)</f>
        <v>45779</v>
      </c>
      <c r="S3971" s="57">
        <f>IFERROR(__xludf.DUMMYFUNCTION("""COMPUTED_VALUE"""),45779.0)</f>
        <v>45779</v>
      </c>
      <c r="T3971" s="57">
        <f>IFERROR(__xludf.DUMMYFUNCTION("""COMPUTED_VALUE"""),45814.0)</f>
        <v>45814</v>
      </c>
    </row>
    <row r="3972">
      <c r="A3972" s="6" t="str">
        <f>IFERROR(__xludf.DUMMYFUNCTION("""COMPUTED_VALUE"""),"121702697-1")</f>
        <v>121702697-1</v>
      </c>
      <c r="B3972" s="6" t="str">
        <f>IFERROR(__xludf.DUMMYFUNCTION("""COMPUTED_VALUE"""),"121702697 - APPROVED")</f>
        <v>121702697 - APPROVED</v>
      </c>
      <c r="C3972" s="6">
        <f>IFERROR(__xludf.DUMMYFUNCTION("""COMPUTED_VALUE"""),1.0)</f>
        <v>1</v>
      </c>
      <c r="D3972" s="6" t="str">
        <f>IFERROR(__xludf.DUMMYFUNCTION("""COMPUTED_VALUE"""),"P-54210-00")</f>
        <v>P-54210-00</v>
      </c>
      <c r="E3972" s="6" t="str">
        <f>IFERROR(__xludf.DUMMYFUNCTION("""COMPUTED_VALUE"""),"Tutup stop kontak; IEC 60529 BS5733;; Schneider; ;")</f>
        <v>Tutup stop kontak; IEC 60529 BS5733;; Schneider; ;</v>
      </c>
      <c r="F3972" s="6">
        <f>IFERROR(__xludf.DUMMYFUNCTION("""COMPUTED_VALUE"""),20.0)</f>
        <v>20</v>
      </c>
      <c r="G3972" s="6" t="str">
        <f>IFERROR(__xludf.DUMMYFUNCTION("""COMPUTED_VALUE"""),"Pieces")</f>
        <v>Pieces</v>
      </c>
      <c r="H3972" s="6" t="str">
        <f>IFERROR(__xludf.DUMMYFUNCTION("""COMPUTED_VALUE"""),"IDR")</f>
        <v>IDR</v>
      </c>
      <c r="I3972" s="6">
        <f>IFERROR(__xludf.DUMMYFUNCTION("""COMPUTED_VALUE"""),88500.0)</f>
        <v>88500</v>
      </c>
      <c r="J3972" s="6">
        <f>IFERROR(__xludf.DUMMYFUNCTION("""COMPUTED_VALUE"""),1770000.0)</f>
        <v>1770000</v>
      </c>
      <c r="K3972" s="57">
        <f>IFERROR(__xludf.DUMMYFUNCTION("""COMPUTED_VALUE"""),45814.0)</f>
        <v>45814</v>
      </c>
      <c r="L3972" s="6" t="str">
        <f>IFERROR(__xludf.DUMMYFUNCTION("""COMPUTED_VALUE"""),"FIP Engineering")</f>
        <v>FIP Engineering</v>
      </c>
      <c r="M3972" s="6" t="str">
        <f>IFERROR(__xludf.DUMMYFUNCTION("""COMPUTED_VALUE"""),"Mochammad Fadhillah Hakim,")</f>
        <v>Mochammad Fadhillah Hakim,</v>
      </c>
      <c r="N3972" s="6" t="str">
        <f>IFERROR(__xludf.DUMMYFUNCTION("""COMPUTED_VALUE"""),"FIP Engineering")</f>
        <v>FIP Engineering</v>
      </c>
      <c r="O3972" s="6" t="str">
        <f>IFERROR(__xludf.DUMMYFUNCTION("""COMPUTED_VALUE"""),"FIP-DOM-000-11304-OS00001-INA-000000")</f>
        <v>FIP-DOM-000-11304-OS00001-INA-000000</v>
      </c>
      <c r="P3972" s="6" t="str">
        <f>IFERROR(__xludf.DUMMYFUNCTION("""COMPUTED_VALUE"""),"PO Closed")</f>
        <v>PO Closed</v>
      </c>
      <c r="Q3972" s="6" t="str">
        <f>IFERROR(__xludf.DUMMYFUNCTION("""COMPUTED_VALUE"""),"GL2505002")</f>
        <v>GL2505002</v>
      </c>
      <c r="R3972" s="57">
        <f>IFERROR(__xludf.DUMMYFUNCTION("""COMPUTED_VALUE"""),45779.0)</f>
        <v>45779</v>
      </c>
      <c r="S3972" s="57">
        <f>IFERROR(__xludf.DUMMYFUNCTION("""COMPUTED_VALUE"""),45779.0)</f>
        <v>45779</v>
      </c>
      <c r="T3972" s="57">
        <f>IFERROR(__xludf.DUMMYFUNCTION("""COMPUTED_VALUE"""),45807.0)</f>
        <v>45807</v>
      </c>
    </row>
    <row r="3973">
      <c r="A3973" s="6" t="str">
        <f>IFERROR(__xludf.DUMMYFUNCTION("""COMPUTED_VALUE"""),"121702697-2")</f>
        <v>121702697-2</v>
      </c>
      <c r="B3973" s="6" t="str">
        <f>IFERROR(__xludf.DUMMYFUNCTION("""COMPUTED_VALUE"""),"121702697 - APPROVED")</f>
        <v>121702697 - APPROVED</v>
      </c>
      <c r="C3973" s="6">
        <f>IFERROR(__xludf.DUMMYFUNCTION("""COMPUTED_VALUE"""),2.0)</f>
        <v>2</v>
      </c>
      <c r="D3973" s="6" t="str">
        <f>IFERROR(__xludf.DUMMYFUNCTION("""COMPUTED_VALUE"""),"P-10895-00")</f>
        <v>P-10895-00</v>
      </c>
      <c r="E3973" s="6" t="str">
        <f>IFERROR(__xludf.DUMMYFUNCTION("""COMPUTED_VALUE"""),"General - Socket, PVC, 1/2""; No Brand; -; 1 pcs")</f>
        <v>General - Socket, PVC, 1/2"; No Brand; -; 1 pcs</v>
      </c>
      <c r="F3973" s="6">
        <f>IFERROR(__xludf.DUMMYFUNCTION("""COMPUTED_VALUE"""),12.0)</f>
        <v>12</v>
      </c>
      <c r="G3973" s="6" t="str">
        <f>IFERROR(__xludf.DUMMYFUNCTION("""COMPUTED_VALUE"""),"Pieces")</f>
        <v>Pieces</v>
      </c>
      <c r="H3973" s="6" t="str">
        <f>IFERROR(__xludf.DUMMYFUNCTION("""COMPUTED_VALUE"""),"IDR")</f>
        <v>IDR</v>
      </c>
      <c r="I3973" s="6">
        <f>IFERROR(__xludf.DUMMYFUNCTION("""COMPUTED_VALUE"""),5000.0)</f>
        <v>5000</v>
      </c>
      <c r="J3973" s="6">
        <f>IFERROR(__xludf.DUMMYFUNCTION("""COMPUTED_VALUE"""),60000.0)</f>
        <v>60000</v>
      </c>
      <c r="K3973" s="57">
        <f>IFERROR(__xludf.DUMMYFUNCTION("""COMPUTED_VALUE"""),45814.0)</f>
        <v>45814</v>
      </c>
      <c r="L3973" s="6" t="str">
        <f>IFERROR(__xludf.DUMMYFUNCTION("""COMPUTED_VALUE"""),"FIP Engineering")</f>
        <v>FIP Engineering</v>
      </c>
      <c r="M3973" s="6" t="str">
        <f>IFERROR(__xludf.DUMMYFUNCTION("""COMPUTED_VALUE"""),"Mochammad Fadhillah Hakim,")</f>
        <v>Mochammad Fadhillah Hakim,</v>
      </c>
      <c r="N3973" s="6" t="str">
        <f>IFERROR(__xludf.DUMMYFUNCTION("""COMPUTED_VALUE"""),"FIP Engineering")</f>
        <v>FIP Engineering</v>
      </c>
      <c r="O3973" s="6" t="str">
        <f>IFERROR(__xludf.DUMMYFUNCTION("""COMPUTED_VALUE"""),"FIP-DOM-000-11304-OS00001-INA-000000")</f>
        <v>FIP-DOM-000-11304-OS00001-INA-000000</v>
      </c>
      <c r="P3973" s="6" t="str">
        <f>IFERROR(__xludf.DUMMYFUNCTION("""COMPUTED_VALUE"""),"PO Closed")</f>
        <v>PO Closed</v>
      </c>
      <c r="Q3973" s="6" t="str">
        <f>IFERROR(__xludf.DUMMYFUNCTION("""COMPUTED_VALUE"""),"GL2505368")</f>
        <v>GL2505368</v>
      </c>
      <c r="R3973" s="57">
        <f>IFERROR(__xludf.DUMMYFUNCTION("""COMPUTED_VALUE"""),45779.0)</f>
        <v>45779</v>
      </c>
      <c r="S3973" s="57">
        <f>IFERROR(__xludf.DUMMYFUNCTION("""COMPUTED_VALUE"""),45779.0)</f>
        <v>45779</v>
      </c>
      <c r="T3973" s="57">
        <f>IFERROR(__xludf.DUMMYFUNCTION("""COMPUTED_VALUE"""),45800.0)</f>
        <v>45800</v>
      </c>
    </row>
    <row r="3974">
      <c r="A3974" s="6" t="str">
        <f>IFERROR(__xludf.DUMMYFUNCTION("""COMPUTED_VALUE"""),"121702697-3")</f>
        <v>121702697-3</v>
      </c>
      <c r="B3974" s="6" t="str">
        <f>IFERROR(__xludf.DUMMYFUNCTION("""COMPUTED_VALUE"""),"121702697 - APPROVED")</f>
        <v>121702697 - APPROVED</v>
      </c>
      <c r="C3974" s="6">
        <f>IFERROR(__xludf.DUMMYFUNCTION("""COMPUTED_VALUE"""),3.0)</f>
        <v>3</v>
      </c>
      <c r="D3974" s="6" t="str">
        <f>IFERROR(__xludf.DUMMYFUNCTION("""COMPUTED_VALUE"""),"P-18255-00")</f>
        <v>P-18255-00</v>
      </c>
      <c r="E3974" s="6" t="str">
        <f>IFERROR(__xludf.DUMMYFUNCTION("""COMPUTED_VALUE"""),"KITZ - Gate Valve dia 2 1/2 inch; ; ;")</f>
        <v>KITZ - Gate Valve dia 2 1/2 inch; ; ;</v>
      </c>
      <c r="F3974" s="6">
        <f>IFERROR(__xludf.DUMMYFUNCTION("""COMPUTED_VALUE"""),2.0)</f>
        <v>2</v>
      </c>
      <c r="G3974" s="6" t="str">
        <f>IFERROR(__xludf.DUMMYFUNCTION("""COMPUTED_VALUE"""),"Pieces")</f>
        <v>Pieces</v>
      </c>
      <c r="H3974" s="6" t="str">
        <f>IFERROR(__xludf.DUMMYFUNCTION("""COMPUTED_VALUE"""),"IDR")</f>
        <v>IDR</v>
      </c>
      <c r="I3974" s="6">
        <f>IFERROR(__xludf.DUMMYFUNCTION("""COMPUTED_VALUE"""),1900000.0)</f>
        <v>1900000</v>
      </c>
      <c r="J3974" s="6">
        <f>IFERROR(__xludf.DUMMYFUNCTION("""COMPUTED_VALUE"""),3800000.0)</f>
        <v>3800000</v>
      </c>
      <c r="K3974" s="57">
        <f>IFERROR(__xludf.DUMMYFUNCTION("""COMPUTED_VALUE"""),45814.0)</f>
        <v>45814</v>
      </c>
      <c r="L3974" s="6" t="str">
        <f>IFERROR(__xludf.DUMMYFUNCTION("""COMPUTED_VALUE"""),"FIP Engineering")</f>
        <v>FIP Engineering</v>
      </c>
      <c r="M3974" s="6" t="str">
        <f>IFERROR(__xludf.DUMMYFUNCTION("""COMPUTED_VALUE"""),"Mochammad Fadhillah Hakim,")</f>
        <v>Mochammad Fadhillah Hakim,</v>
      </c>
      <c r="N3974" s="6" t="str">
        <f>IFERROR(__xludf.DUMMYFUNCTION("""COMPUTED_VALUE"""),"FIP Engineering")</f>
        <v>FIP Engineering</v>
      </c>
      <c r="O3974" s="6" t="str">
        <f>IFERROR(__xludf.DUMMYFUNCTION("""COMPUTED_VALUE"""),"FIP-DOM-000-11304-OS00001-INA-000000")</f>
        <v>FIP-DOM-000-11304-OS00001-INA-000000</v>
      </c>
      <c r="P3974" s="6" t="str">
        <f>IFERROR(__xludf.DUMMYFUNCTION("""COMPUTED_VALUE"""),"PO Closed")</f>
        <v>PO Closed</v>
      </c>
      <c r="Q3974" s="6" t="str">
        <f>IFERROR(__xludf.DUMMYFUNCTION("""COMPUTED_VALUE"""),"GL2505002")</f>
        <v>GL2505002</v>
      </c>
      <c r="R3974" s="57">
        <f>IFERROR(__xludf.DUMMYFUNCTION("""COMPUTED_VALUE"""),45779.0)</f>
        <v>45779</v>
      </c>
      <c r="S3974" s="57">
        <f>IFERROR(__xludf.DUMMYFUNCTION("""COMPUTED_VALUE"""),45779.0)</f>
        <v>45779</v>
      </c>
      <c r="T3974" s="57">
        <f>IFERROR(__xludf.DUMMYFUNCTION("""COMPUTED_VALUE"""),45807.0)</f>
        <v>45807</v>
      </c>
    </row>
    <row r="3975">
      <c r="A3975" s="6" t="str">
        <f>IFERROR(__xludf.DUMMYFUNCTION("""COMPUTED_VALUE"""),"121702697-4")</f>
        <v>121702697-4</v>
      </c>
      <c r="B3975" s="6" t="str">
        <f>IFERROR(__xludf.DUMMYFUNCTION("""COMPUTED_VALUE"""),"121702697 - APPROVED")</f>
        <v>121702697 - APPROVED</v>
      </c>
      <c r="C3975" s="6">
        <f>IFERROR(__xludf.DUMMYFUNCTION("""COMPUTED_VALUE"""),4.0)</f>
        <v>4</v>
      </c>
      <c r="D3975" s="6" t="str">
        <f>IFERROR(__xludf.DUMMYFUNCTION("""COMPUTED_VALUE"""),"P-19778-00")</f>
        <v>P-19778-00</v>
      </c>
      <c r="E3975" s="6" t="str">
        <f>IFERROR(__xludf.DUMMYFUNCTION("""COMPUTED_VALUE"""),"General - Mesh 30 SS 304; No Brand; -; 1 meter")</f>
        <v>General - Mesh 30 SS 304; No Brand; -; 1 meter</v>
      </c>
      <c r="F3975" s="6">
        <f>IFERROR(__xludf.DUMMYFUNCTION("""COMPUTED_VALUE"""),10.0)</f>
        <v>10</v>
      </c>
      <c r="G3975" s="6" t="str">
        <f>IFERROR(__xludf.DUMMYFUNCTION("""COMPUTED_VALUE"""),"Meter")</f>
        <v>Meter</v>
      </c>
      <c r="H3975" s="6" t="str">
        <f>IFERROR(__xludf.DUMMYFUNCTION("""COMPUTED_VALUE"""),"IDR")</f>
        <v>IDR</v>
      </c>
      <c r="I3975" s="6">
        <f>IFERROR(__xludf.DUMMYFUNCTION("""COMPUTED_VALUE"""),197500.0)</f>
        <v>197500</v>
      </c>
      <c r="J3975" s="6">
        <f>IFERROR(__xludf.DUMMYFUNCTION("""COMPUTED_VALUE"""),1975000.0)</f>
        <v>1975000</v>
      </c>
      <c r="K3975" s="57">
        <f>IFERROR(__xludf.DUMMYFUNCTION("""COMPUTED_VALUE"""),45814.0)</f>
        <v>45814</v>
      </c>
      <c r="L3975" s="6" t="str">
        <f>IFERROR(__xludf.DUMMYFUNCTION("""COMPUTED_VALUE"""),"FIP General")</f>
        <v>FIP General</v>
      </c>
      <c r="M3975" s="6" t="str">
        <f>IFERROR(__xludf.DUMMYFUNCTION("""COMPUTED_VALUE"""),"Mochammad Fadhillah Hakim,")</f>
        <v>Mochammad Fadhillah Hakim,</v>
      </c>
      <c r="N3975" s="6" t="str">
        <f>IFERROR(__xludf.DUMMYFUNCTION("""COMPUTED_VALUE"""),"FIP Engineering")</f>
        <v>FIP Engineering</v>
      </c>
      <c r="O3975" s="6" t="str">
        <f>IFERROR(__xludf.DUMMYFUNCTION("""COMPUTED_VALUE"""),"FIP-DOM-ENG-51404-0000000-INA-000000")</f>
        <v>FIP-DOM-ENG-51404-0000000-INA-000000</v>
      </c>
      <c r="P3975" s="6" t="str">
        <f>IFERROR(__xludf.DUMMYFUNCTION("""COMPUTED_VALUE"""),"PO Closed")</f>
        <v>PO Closed</v>
      </c>
      <c r="Q3975" s="6" t="str">
        <f>IFERROR(__xludf.DUMMYFUNCTION("""COMPUTED_VALUE"""),"GL2505373")</f>
        <v>GL2505373</v>
      </c>
      <c r="R3975" s="57">
        <f>IFERROR(__xludf.DUMMYFUNCTION("""COMPUTED_VALUE"""),45779.0)</f>
        <v>45779</v>
      </c>
      <c r="S3975" s="57">
        <f>IFERROR(__xludf.DUMMYFUNCTION("""COMPUTED_VALUE"""),45779.0)</f>
        <v>45779</v>
      </c>
      <c r="T3975" s="57">
        <f>IFERROR(__xludf.DUMMYFUNCTION("""COMPUTED_VALUE"""),45814.0)</f>
        <v>45814</v>
      </c>
    </row>
    <row r="3976">
      <c r="A3976" s="6" t="str">
        <f>IFERROR(__xludf.DUMMYFUNCTION("""COMPUTED_VALUE"""),"121702697-5")</f>
        <v>121702697-5</v>
      </c>
      <c r="B3976" s="6" t="str">
        <f>IFERROR(__xludf.DUMMYFUNCTION("""COMPUTED_VALUE"""),"121702697 - APPROVED")</f>
        <v>121702697 - APPROVED</v>
      </c>
      <c r="C3976" s="6">
        <f>IFERROR(__xludf.DUMMYFUNCTION("""COMPUTED_VALUE"""),5.0)</f>
        <v>5</v>
      </c>
      <c r="D3976" s="6" t="str">
        <f>IFERROR(__xludf.DUMMYFUNCTION("""COMPUTED_VALUE"""),"P-19784-00")</f>
        <v>P-19784-00</v>
      </c>
      <c r="E3976" s="6" t="str">
        <f>IFERROR(__xludf.DUMMYFUNCTION("""COMPUTED_VALUE"""),"General - Male Connector M6 x 1/4inch NPT SS 316; Lokal; MC-NPT4-316; 1 pc")</f>
        <v>General - Male Connector M6 x 1/4inch NPT SS 316; Lokal; MC-NPT4-316; 1 pc</v>
      </c>
      <c r="F3976" s="6">
        <f>IFERROR(__xludf.DUMMYFUNCTION("""COMPUTED_VALUE"""),6.0)</f>
        <v>6</v>
      </c>
      <c r="G3976" s="6" t="str">
        <f>IFERROR(__xludf.DUMMYFUNCTION("""COMPUTED_VALUE"""),"Pieces")</f>
        <v>Pieces</v>
      </c>
      <c r="H3976" s="6" t="str">
        <f>IFERROR(__xludf.DUMMYFUNCTION("""COMPUTED_VALUE"""),"IDR")</f>
        <v>IDR</v>
      </c>
      <c r="I3976" s="6">
        <f>IFERROR(__xludf.DUMMYFUNCTION("""COMPUTED_VALUE"""),170000.0)</f>
        <v>170000</v>
      </c>
      <c r="J3976" s="6">
        <f>IFERROR(__xludf.DUMMYFUNCTION("""COMPUTED_VALUE"""),1020000.0)</f>
        <v>1020000</v>
      </c>
      <c r="K3976" s="57">
        <f>IFERROR(__xludf.DUMMYFUNCTION("""COMPUTED_VALUE"""),45814.0)</f>
        <v>45814</v>
      </c>
      <c r="L3976" s="6" t="str">
        <f>IFERROR(__xludf.DUMMYFUNCTION("""COMPUTED_VALUE"""),"FIP Engineering")</f>
        <v>FIP Engineering</v>
      </c>
      <c r="M3976" s="6" t="str">
        <f>IFERROR(__xludf.DUMMYFUNCTION("""COMPUTED_VALUE"""),"Mochammad Fadhillah Hakim,")</f>
        <v>Mochammad Fadhillah Hakim,</v>
      </c>
      <c r="N3976" s="6" t="str">
        <f>IFERROR(__xludf.DUMMYFUNCTION("""COMPUTED_VALUE"""),"FIP Engineering")</f>
        <v>FIP Engineering</v>
      </c>
      <c r="O3976" s="6" t="str">
        <f>IFERROR(__xludf.DUMMYFUNCTION("""COMPUTED_VALUE"""),"FIP-DOM-000-11304-OS00001-INA-000000")</f>
        <v>FIP-DOM-000-11304-OS00001-INA-000000</v>
      </c>
      <c r="P3976" s="6" t="str">
        <f>IFERROR(__xludf.DUMMYFUNCTION("""COMPUTED_VALUE"""),"PO Closed")</f>
        <v>PO Closed</v>
      </c>
      <c r="Q3976" s="6" t="str">
        <f>IFERROR(__xludf.DUMMYFUNCTION("""COMPUTED_VALUE"""),"GL2505002")</f>
        <v>GL2505002</v>
      </c>
      <c r="R3976" s="57">
        <f>IFERROR(__xludf.DUMMYFUNCTION("""COMPUTED_VALUE"""),45779.0)</f>
        <v>45779</v>
      </c>
      <c r="S3976" s="57">
        <f>IFERROR(__xludf.DUMMYFUNCTION("""COMPUTED_VALUE"""),45779.0)</f>
        <v>45779</v>
      </c>
      <c r="T3976" s="57">
        <f>IFERROR(__xludf.DUMMYFUNCTION("""COMPUTED_VALUE"""),45807.0)</f>
        <v>45807</v>
      </c>
    </row>
    <row r="3977">
      <c r="A3977" s="6" t="str">
        <f>IFERROR(__xludf.DUMMYFUNCTION("""COMPUTED_VALUE"""),"121702697-6")</f>
        <v>121702697-6</v>
      </c>
      <c r="B3977" s="6" t="str">
        <f>IFERROR(__xludf.DUMMYFUNCTION("""COMPUTED_VALUE"""),"121702697 - APPROVED")</f>
        <v>121702697 - APPROVED</v>
      </c>
      <c r="C3977" s="6">
        <f>IFERROR(__xludf.DUMMYFUNCTION("""COMPUTED_VALUE"""),6.0)</f>
        <v>6</v>
      </c>
      <c r="D3977" s="6" t="str">
        <f>IFERROR(__xludf.DUMMYFUNCTION("""COMPUTED_VALUE"""),"P-53415-00")</f>
        <v>P-53415-00</v>
      </c>
      <c r="E3977" s="6" t="str">
        <f>IFERROR(__xludf.DUMMYFUNCTION("""COMPUTED_VALUE"""),"General - LED Module 5730 SMD; Samsung; -; 1 pc")</f>
        <v>General - LED Module 5730 SMD; Samsung; -; 1 pc</v>
      </c>
      <c r="F3977" s="6">
        <f>IFERROR(__xludf.DUMMYFUNCTION("""COMPUTED_VALUE"""),20.0)</f>
        <v>20</v>
      </c>
      <c r="G3977" s="6" t="str">
        <f>IFERROR(__xludf.DUMMYFUNCTION("""COMPUTED_VALUE"""),"Pieces")</f>
        <v>Pieces</v>
      </c>
      <c r="H3977" s="6" t="str">
        <f>IFERROR(__xludf.DUMMYFUNCTION("""COMPUTED_VALUE"""),"IDR")</f>
        <v>IDR</v>
      </c>
      <c r="I3977" s="6">
        <f>IFERROR(__xludf.DUMMYFUNCTION("""COMPUTED_VALUE"""),3000.0)</f>
        <v>3000</v>
      </c>
      <c r="J3977" s="6">
        <f>IFERROR(__xludf.DUMMYFUNCTION("""COMPUTED_VALUE"""),60000.0)</f>
        <v>60000</v>
      </c>
      <c r="K3977" s="57">
        <f>IFERROR(__xludf.DUMMYFUNCTION("""COMPUTED_VALUE"""),45814.0)</f>
        <v>45814</v>
      </c>
      <c r="L3977" s="6" t="str">
        <f>IFERROR(__xludf.DUMMYFUNCTION("""COMPUTED_VALUE"""),"FIP Engineering")</f>
        <v>FIP Engineering</v>
      </c>
      <c r="M3977" s="6" t="str">
        <f>IFERROR(__xludf.DUMMYFUNCTION("""COMPUTED_VALUE"""),"Mochammad Fadhillah Hakim,")</f>
        <v>Mochammad Fadhillah Hakim,</v>
      </c>
      <c r="N3977" s="6" t="str">
        <f>IFERROR(__xludf.DUMMYFUNCTION("""COMPUTED_VALUE"""),"FIP Engineering")</f>
        <v>FIP Engineering</v>
      </c>
      <c r="O3977" s="6" t="str">
        <f>IFERROR(__xludf.DUMMYFUNCTION("""COMPUTED_VALUE"""),"FIP-DOM-000-11304-OS00001-INA-000000")</f>
        <v>FIP-DOM-000-11304-OS00001-INA-000000</v>
      </c>
      <c r="P3977" s="6" t="str">
        <f>IFERROR(__xludf.DUMMYFUNCTION("""COMPUTED_VALUE"""),"PO Closed")</f>
        <v>PO Closed</v>
      </c>
      <c r="Q3977" s="6" t="str">
        <f>IFERROR(__xludf.DUMMYFUNCTION("""COMPUTED_VALUE"""),"GL2505002")</f>
        <v>GL2505002</v>
      </c>
      <c r="R3977" s="57">
        <f>IFERROR(__xludf.DUMMYFUNCTION("""COMPUTED_VALUE"""),45779.0)</f>
        <v>45779</v>
      </c>
      <c r="S3977" s="57">
        <f>IFERROR(__xludf.DUMMYFUNCTION("""COMPUTED_VALUE"""),45779.0)</f>
        <v>45779</v>
      </c>
      <c r="T3977" s="57">
        <f>IFERROR(__xludf.DUMMYFUNCTION("""COMPUTED_VALUE"""),45807.0)</f>
        <v>45807</v>
      </c>
    </row>
    <row r="3978">
      <c r="A3978" s="6" t="str">
        <f>IFERROR(__xludf.DUMMYFUNCTION("""COMPUTED_VALUE"""),"121702697-7")</f>
        <v>121702697-7</v>
      </c>
      <c r="B3978" s="6" t="str">
        <f>IFERROR(__xludf.DUMMYFUNCTION("""COMPUTED_VALUE"""),"121702697 - APPROVED")</f>
        <v>121702697 - APPROVED</v>
      </c>
      <c r="C3978" s="6">
        <f>IFERROR(__xludf.DUMMYFUNCTION("""COMPUTED_VALUE"""),7.0)</f>
        <v>7</v>
      </c>
      <c r="D3978" s="6" t="str">
        <f>IFERROR(__xludf.DUMMYFUNCTION("""COMPUTED_VALUE"""),"P-53416-00")</f>
        <v>P-53416-00</v>
      </c>
      <c r="E3978" s="6" t="str">
        <f>IFERROR(__xludf.DUMMYFUNCTION("""COMPUTED_VALUE"""),"General - Ballast SMPS 300 TLD Driver LED 12VDC IP68; Talled; -; 1 pc")</f>
        <v>General - Ballast SMPS 300 TLD Driver LED 12VDC IP68; Talled; -; 1 pc</v>
      </c>
      <c r="F3978" s="6">
        <f>IFERROR(__xludf.DUMMYFUNCTION("""COMPUTED_VALUE"""),2.0)</f>
        <v>2</v>
      </c>
      <c r="G3978" s="6" t="str">
        <f>IFERROR(__xludf.DUMMYFUNCTION("""COMPUTED_VALUE"""),"Pieces")</f>
        <v>Pieces</v>
      </c>
      <c r="H3978" s="6" t="str">
        <f>IFERROR(__xludf.DUMMYFUNCTION("""COMPUTED_VALUE"""),"IDR")</f>
        <v>IDR</v>
      </c>
      <c r="I3978" s="6">
        <f>IFERROR(__xludf.DUMMYFUNCTION("""COMPUTED_VALUE"""),925000.0)</f>
        <v>925000</v>
      </c>
      <c r="J3978" s="6">
        <f>IFERROR(__xludf.DUMMYFUNCTION("""COMPUTED_VALUE"""),1850000.0)</f>
        <v>1850000</v>
      </c>
      <c r="K3978" s="57">
        <f>IFERROR(__xludf.DUMMYFUNCTION("""COMPUTED_VALUE"""),45814.0)</f>
        <v>45814</v>
      </c>
      <c r="L3978" s="6" t="str">
        <f>IFERROR(__xludf.DUMMYFUNCTION("""COMPUTED_VALUE"""),"FIP Engineering")</f>
        <v>FIP Engineering</v>
      </c>
      <c r="M3978" s="6" t="str">
        <f>IFERROR(__xludf.DUMMYFUNCTION("""COMPUTED_VALUE"""),"Mochammad Fadhillah Hakim,")</f>
        <v>Mochammad Fadhillah Hakim,</v>
      </c>
      <c r="N3978" s="6" t="str">
        <f>IFERROR(__xludf.DUMMYFUNCTION("""COMPUTED_VALUE"""),"FIP Engineering")</f>
        <v>FIP Engineering</v>
      </c>
      <c r="O3978" s="6" t="str">
        <f>IFERROR(__xludf.DUMMYFUNCTION("""COMPUTED_VALUE"""),"FIP-DOM-000-11304-OS00001-INA-000000")</f>
        <v>FIP-DOM-000-11304-OS00001-INA-000000</v>
      </c>
      <c r="P3978" s="6" t="str">
        <f>IFERROR(__xludf.DUMMYFUNCTION("""COMPUTED_VALUE"""),"PO Closed")</f>
        <v>PO Closed</v>
      </c>
      <c r="Q3978" s="6" t="str">
        <f>IFERROR(__xludf.DUMMYFUNCTION("""COMPUTED_VALUE"""),"GL2505373")</f>
        <v>GL2505373</v>
      </c>
      <c r="R3978" s="57">
        <f>IFERROR(__xludf.DUMMYFUNCTION("""COMPUTED_VALUE"""),45779.0)</f>
        <v>45779</v>
      </c>
      <c r="S3978" s="57">
        <f>IFERROR(__xludf.DUMMYFUNCTION("""COMPUTED_VALUE"""),45779.0)</f>
        <v>45779</v>
      </c>
      <c r="T3978" s="57">
        <f>IFERROR(__xludf.DUMMYFUNCTION("""COMPUTED_VALUE"""),45814.0)</f>
        <v>45814</v>
      </c>
    </row>
    <row r="3979">
      <c r="A3979" s="6" t="str">
        <f>IFERROR(__xludf.DUMMYFUNCTION("""COMPUTED_VALUE"""),"121702697-8")</f>
        <v>121702697-8</v>
      </c>
      <c r="B3979" s="6" t="str">
        <f>IFERROR(__xludf.DUMMYFUNCTION("""COMPUTED_VALUE"""),"121702697 - APPROVED")</f>
        <v>121702697 - APPROVED</v>
      </c>
      <c r="C3979" s="6">
        <f>IFERROR(__xludf.DUMMYFUNCTION("""COMPUTED_VALUE"""),8.0)</f>
        <v>8</v>
      </c>
      <c r="D3979" s="6" t="str">
        <f>IFERROR(__xludf.DUMMYFUNCTION("""COMPUTED_VALUE"""),"P-53417-00")</f>
        <v>P-53417-00</v>
      </c>
      <c r="E3979" s="6" t="str">
        <f>IFERROR(__xludf.DUMMYFUNCTION("""COMPUTED_VALUE"""),"General - Kabel Audio 8471 Shielded; Belden; -; 1 pc")</f>
        <v>General - Kabel Audio 8471 Shielded; Belden; -; 1 pc</v>
      </c>
      <c r="F3979" s="6">
        <f>IFERROR(__xludf.DUMMYFUNCTION("""COMPUTED_VALUE"""),50.0)</f>
        <v>50</v>
      </c>
      <c r="G3979" s="6" t="str">
        <f>IFERROR(__xludf.DUMMYFUNCTION("""COMPUTED_VALUE"""),"Pieces")</f>
        <v>Pieces</v>
      </c>
      <c r="H3979" s="6" t="str">
        <f>IFERROR(__xludf.DUMMYFUNCTION("""COMPUTED_VALUE"""),"IDR")</f>
        <v>IDR</v>
      </c>
      <c r="I3979" s="6">
        <f>IFERROR(__xludf.DUMMYFUNCTION("""COMPUTED_VALUE"""),36500.0)</f>
        <v>36500</v>
      </c>
      <c r="J3979" s="6">
        <f>IFERROR(__xludf.DUMMYFUNCTION("""COMPUTED_VALUE"""),1825000.0)</f>
        <v>1825000</v>
      </c>
      <c r="K3979" s="57">
        <f>IFERROR(__xludf.DUMMYFUNCTION("""COMPUTED_VALUE"""),45814.0)</f>
        <v>45814</v>
      </c>
      <c r="L3979" s="6" t="str">
        <f>IFERROR(__xludf.DUMMYFUNCTION("""COMPUTED_VALUE"""),"FIP Engineering")</f>
        <v>FIP Engineering</v>
      </c>
      <c r="M3979" s="6" t="str">
        <f>IFERROR(__xludf.DUMMYFUNCTION("""COMPUTED_VALUE"""),"Mochammad Fadhillah Hakim,")</f>
        <v>Mochammad Fadhillah Hakim,</v>
      </c>
      <c r="N3979" s="6" t="str">
        <f>IFERROR(__xludf.DUMMYFUNCTION("""COMPUTED_VALUE"""),"FIP Engineering")</f>
        <v>FIP Engineering</v>
      </c>
      <c r="O3979" s="6" t="str">
        <f>IFERROR(__xludf.DUMMYFUNCTION("""COMPUTED_VALUE"""),"FIP-DOM-000-11304-OS00001-INA-000000")</f>
        <v>FIP-DOM-000-11304-OS00001-INA-000000</v>
      </c>
      <c r="P3979" s="6" t="str">
        <f>IFERROR(__xludf.DUMMYFUNCTION("""COMPUTED_VALUE"""),"PO Closed")</f>
        <v>PO Closed</v>
      </c>
      <c r="Q3979" s="6" t="str">
        <f>IFERROR(__xludf.DUMMYFUNCTION("""COMPUTED_VALUE"""),"GL2505373")</f>
        <v>GL2505373</v>
      </c>
      <c r="R3979" s="57">
        <f>IFERROR(__xludf.DUMMYFUNCTION("""COMPUTED_VALUE"""),45779.0)</f>
        <v>45779</v>
      </c>
      <c r="S3979" s="57">
        <f>IFERROR(__xludf.DUMMYFUNCTION("""COMPUTED_VALUE"""),45779.0)</f>
        <v>45779</v>
      </c>
      <c r="T3979" s="57">
        <f>IFERROR(__xludf.DUMMYFUNCTION("""COMPUTED_VALUE"""),45814.0)</f>
        <v>45814</v>
      </c>
    </row>
    <row r="3980">
      <c r="A3980" s="6" t="str">
        <f>IFERROR(__xludf.DUMMYFUNCTION("""COMPUTED_VALUE"""),"121702698-1")</f>
        <v>121702698-1</v>
      </c>
      <c r="B3980" s="6" t="str">
        <f>IFERROR(__xludf.DUMMYFUNCTION("""COMPUTED_VALUE"""),"121702698 - APPROVED")</f>
        <v>121702698 - APPROVED</v>
      </c>
      <c r="C3980" s="6">
        <f>IFERROR(__xludf.DUMMYFUNCTION("""COMPUTED_VALUE"""),1.0)</f>
        <v>1</v>
      </c>
      <c r="D3980" s="6" t="str">
        <f>IFERROR(__xludf.DUMMYFUNCTION("""COMPUTED_VALUE"""),"Q-12047-00")</f>
        <v>Q-12047-00</v>
      </c>
      <c r="E3980" s="6" t="str">
        <f>IFERROR(__xludf.DUMMYFUNCTION("""COMPUTED_VALUE"""),"Kape PVC / Scraper / Skrap PVC Ukuran 5 Inch;; Lokal; ; pc")</f>
        <v>Kape PVC / Scraper / Skrap PVC Ukuran 5 Inch;; Lokal; ; pc</v>
      </c>
      <c r="F3980" s="6">
        <f>IFERROR(__xludf.DUMMYFUNCTION("""COMPUTED_VALUE"""),10.0)</f>
        <v>10</v>
      </c>
      <c r="G3980" s="6" t="str">
        <f>IFERROR(__xludf.DUMMYFUNCTION("""COMPUTED_VALUE"""),"Pieces")</f>
        <v>Pieces</v>
      </c>
      <c r="H3980" s="6" t="str">
        <f>IFERROR(__xludf.DUMMYFUNCTION("""COMPUTED_VALUE"""),"IDR")</f>
        <v>IDR</v>
      </c>
      <c r="I3980" s="6">
        <f>IFERROR(__xludf.DUMMYFUNCTION("""COMPUTED_VALUE"""),50000.0)</f>
        <v>50000</v>
      </c>
      <c r="J3980" s="6">
        <f>IFERROR(__xludf.DUMMYFUNCTION("""COMPUTED_VALUE"""),500000.0)</f>
        <v>500000</v>
      </c>
      <c r="K3980" s="57">
        <f>IFERROR(__xludf.DUMMYFUNCTION("""COMPUTED_VALUE"""),45814.0)</f>
        <v>45814</v>
      </c>
      <c r="L3980" s="6" t="str">
        <f>IFERROR(__xludf.DUMMYFUNCTION("""COMPUTED_VALUE"""),"FIP General")</f>
        <v>FIP General</v>
      </c>
      <c r="M3980" s="6" t="str">
        <f>IFERROR(__xludf.DUMMYFUNCTION("""COMPUTED_VALUE"""),"Mochammad Fadhillah Hakim,")</f>
        <v>Mochammad Fadhillah Hakim,</v>
      </c>
      <c r="N3980" s="6" t="str">
        <f>IFERROR(__xludf.DUMMYFUNCTION("""COMPUTED_VALUE"""),"FIP Engineering")</f>
        <v>FIP Engineering</v>
      </c>
      <c r="O3980" s="6" t="str">
        <f>IFERROR(__xludf.DUMMYFUNCTION("""COMPUTED_VALUE"""),"FIP-DOM-ENG-51502-0000000-INA-000000")</f>
        <v>FIP-DOM-ENG-51502-0000000-INA-000000</v>
      </c>
      <c r="P3980" s="6" t="str">
        <f>IFERROR(__xludf.DUMMYFUNCTION("""COMPUTED_VALUE"""),"PO Closed")</f>
        <v>PO Closed</v>
      </c>
      <c r="Q3980" s="6" t="str">
        <f>IFERROR(__xludf.DUMMYFUNCTION("""COMPUTED_VALUE"""),"GL2505017")</f>
        <v>GL2505017</v>
      </c>
      <c r="R3980" s="57">
        <f>IFERROR(__xludf.DUMMYFUNCTION("""COMPUTED_VALUE"""),45779.0)</f>
        <v>45779</v>
      </c>
      <c r="S3980" s="57">
        <f>IFERROR(__xludf.DUMMYFUNCTION("""COMPUTED_VALUE"""),45779.0)</f>
        <v>45779</v>
      </c>
      <c r="T3980" s="57">
        <f>IFERROR(__xludf.DUMMYFUNCTION("""COMPUTED_VALUE"""),45797.0)</f>
        <v>45797</v>
      </c>
    </row>
    <row r="3981">
      <c r="A3981" s="6" t="str">
        <f>IFERROR(__xludf.DUMMYFUNCTION("""COMPUTED_VALUE"""),"121702698-2")</f>
        <v>121702698-2</v>
      </c>
      <c r="B3981" s="6" t="str">
        <f>IFERROR(__xludf.DUMMYFUNCTION("""COMPUTED_VALUE"""),"121702698 - APPROVED")</f>
        <v>121702698 - APPROVED</v>
      </c>
      <c r="C3981" s="6">
        <f>IFERROR(__xludf.DUMMYFUNCTION("""COMPUTED_VALUE"""),2.0)</f>
        <v>2</v>
      </c>
      <c r="D3981" s="6" t="str">
        <f>IFERROR(__xludf.DUMMYFUNCTION("""COMPUTED_VALUE"""),"Q-60403-00")</f>
        <v>Q-60403-00</v>
      </c>
      <c r="E3981" s="6" t="str">
        <f>IFERROR(__xludf.DUMMYFUNCTION("""COMPUTED_VALUE"""),"Serat Fiber / Fiber Glass Matt; Aquaproof; ; 1 kg/pack")</f>
        <v>Serat Fiber / Fiber Glass Matt; Aquaproof; ; 1 kg/pack</v>
      </c>
      <c r="F3981" s="6">
        <f>IFERROR(__xludf.DUMMYFUNCTION("""COMPUTED_VALUE"""),80.0)</f>
        <v>80</v>
      </c>
      <c r="G3981" s="6" t="str">
        <f>IFERROR(__xludf.DUMMYFUNCTION("""COMPUTED_VALUE"""),"Kilogram")</f>
        <v>Kilogram</v>
      </c>
      <c r="H3981" s="6" t="str">
        <f>IFERROR(__xludf.DUMMYFUNCTION("""COMPUTED_VALUE"""),"IDR")</f>
        <v>IDR</v>
      </c>
      <c r="I3981" s="6">
        <f>IFERROR(__xludf.DUMMYFUNCTION("""COMPUTED_VALUE"""),46000.0)</f>
        <v>46000</v>
      </c>
      <c r="J3981" s="6">
        <f>IFERROR(__xludf.DUMMYFUNCTION("""COMPUTED_VALUE"""),3680000.0)</f>
        <v>3680000</v>
      </c>
      <c r="K3981" s="57">
        <f>IFERROR(__xludf.DUMMYFUNCTION("""COMPUTED_VALUE"""),45814.0)</f>
        <v>45814</v>
      </c>
      <c r="L3981" s="6" t="str">
        <f>IFERROR(__xludf.DUMMYFUNCTION("""COMPUTED_VALUE"""),"FIP General")</f>
        <v>FIP General</v>
      </c>
      <c r="M3981" s="6" t="str">
        <f>IFERROR(__xludf.DUMMYFUNCTION("""COMPUTED_VALUE"""),"Mochammad Fadhillah Hakim,")</f>
        <v>Mochammad Fadhillah Hakim,</v>
      </c>
      <c r="N3981" s="6" t="str">
        <f>IFERROR(__xludf.DUMMYFUNCTION("""COMPUTED_VALUE"""),"FIP Engineering")</f>
        <v>FIP Engineering</v>
      </c>
      <c r="O3981" s="6" t="str">
        <f>IFERROR(__xludf.DUMMYFUNCTION("""COMPUTED_VALUE"""),"FIP-DOM-ENG-51504-0000000-INA-000000")</f>
        <v>FIP-DOM-ENG-51504-0000000-INA-000000</v>
      </c>
      <c r="P3981" s="6" t="str">
        <f>IFERROR(__xludf.DUMMYFUNCTION("""COMPUTED_VALUE"""),"PO Closed")</f>
        <v>PO Closed</v>
      </c>
      <c r="Q3981" s="6" t="str">
        <f>IFERROR(__xludf.DUMMYFUNCTION("""COMPUTED_VALUE"""),"GL2505017")</f>
        <v>GL2505017</v>
      </c>
      <c r="R3981" s="57">
        <f>IFERROR(__xludf.DUMMYFUNCTION("""COMPUTED_VALUE"""),45779.0)</f>
        <v>45779</v>
      </c>
      <c r="S3981" s="57">
        <f>IFERROR(__xludf.DUMMYFUNCTION("""COMPUTED_VALUE"""),45779.0)</f>
        <v>45779</v>
      </c>
      <c r="T3981" s="57">
        <f>IFERROR(__xludf.DUMMYFUNCTION("""COMPUTED_VALUE"""),45797.0)</f>
        <v>45797</v>
      </c>
    </row>
    <row r="3982">
      <c r="A3982" s="6" t="str">
        <f>IFERROR(__xludf.DUMMYFUNCTION("""COMPUTED_VALUE"""),"121702698-3")</f>
        <v>121702698-3</v>
      </c>
      <c r="B3982" s="6" t="str">
        <f>IFERROR(__xludf.DUMMYFUNCTION("""COMPUTED_VALUE"""),"121702698 - APPROVED")</f>
        <v>121702698 - APPROVED</v>
      </c>
      <c r="C3982" s="6">
        <f>IFERROR(__xludf.DUMMYFUNCTION("""COMPUTED_VALUE"""),3.0)</f>
        <v>3</v>
      </c>
      <c r="D3982" s="6" t="str">
        <f>IFERROR(__xludf.DUMMYFUNCTION("""COMPUTED_VALUE"""),"Q-60404-00")</f>
        <v>Q-60404-00</v>
      </c>
      <c r="E3982" s="6" t="str">
        <f>IFERROR(__xludf.DUMMYFUNCTION("""COMPUTED_VALUE"""),"Cat Interior Catylac; Dulux; Type Putih 1501N; 25 kg/pail")</f>
        <v>Cat Interior Catylac; Dulux; Type Putih 1501N; 25 kg/pail</v>
      </c>
      <c r="F3982" s="6">
        <f>IFERROR(__xludf.DUMMYFUNCTION("""COMPUTED_VALUE"""),5.0)</f>
        <v>5</v>
      </c>
      <c r="G3982" s="6" t="str">
        <f>IFERROR(__xludf.DUMMYFUNCTION("""COMPUTED_VALUE"""),"Pail")</f>
        <v>Pail</v>
      </c>
      <c r="H3982" s="6" t="str">
        <f>IFERROR(__xludf.DUMMYFUNCTION("""COMPUTED_VALUE"""),"IDR")</f>
        <v>IDR</v>
      </c>
      <c r="I3982" s="6">
        <f>IFERROR(__xludf.DUMMYFUNCTION("""COMPUTED_VALUE"""),935000.0)</f>
        <v>935000</v>
      </c>
      <c r="J3982" s="6">
        <f>IFERROR(__xludf.DUMMYFUNCTION("""COMPUTED_VALUE"""),4675000.0)</f>
        <v>4675000</v>
      </c>
      <c r="K3982" s="57">
        <f>IFERROR(__xludf.DUMMYFUNCTION("""COMPUTED_VALUE"""),45814.0)</f>
        <v>45814</v>
      </c>
      <c r="L3982" s="6" t="str">
        <f>IFERROR(__xludf.DUMMYFUNCTION("""COMPUTED_VALUE"""),"FIP General")</f>
        <v>FIP General</v>
      </c>
      <c r="M3982" s="6" t="str">
        <f>IFERROR(__xludf.DUMMYFUNCTION("""COMPUTED_VALUE"""),"Mochammad Fadhillah Hakim,")</f>
        <v>Mochammad Fadhillah Hakim,</v>
      </c>
      <c r="N3982" s="6" t="str">
        <f>IFERROR(__xludf.DUMMYFUNCTION("""COMPUTED_VALUE"""),"FIP Engineering")</f>
        <v>FIP Engineering</v>
      </c>
      <c r="O3982" s="6" t="str">
        <f>IFERROR(__xludf.DUMMYFUNCTION("""COMPUTED_VALUE"""),"FIP-DOM-ENG-51402-0000000-INA-000000")</f>
        <v>FIP-DOM-ENG-51402-0000000-INA-000000</v>
      </c>
      <c r="P3982" s="6" t="str">
        <f>IFERROR(__xludf.DUMMYFUNCTION("""COMPUTED_VALUE"""),"PO Closed")</f>
        <v>PO Closed</v>
      </c>
      <c r="Q3982" s="6" t="str">
        <f>IFERROR(__xludf.DUMMYFUNCTION("""COMPUTED_VALUE"""),"GL2505017")</f>
        <v>GL2505017</v>
      </c>
      <c r="R3982" s="57">
        <f>IFERROR(__xludf.DUMMYFUNCTION("""COMPUTED_VALUE"""),45779.0)</f>
        <v>45779</v>
      </c>
      <c r="S3982" s="57">
        <f>IFERROR(__xludf.DUMMYFUNCTION("""COMPUTED_VALUE"""),45779.0)</f>
        <v>45779</v>
      </c>
      <c r="T3982" s="57">
        <f>IFERROR(__xludf.DUMMYFUNCTION("""COMPUTED_VALUE"""),45797.0)</f>
        <v>45797</v>
      </c>
    </row>
    <row r="3983">
      <c r="A3983" s="6" t="str">
        <f>IFERROR(__xludf.DUMMYFUNCTION("""COMPUTED_VALUE"""),"121702698-4")</f>
        <v>121702698-4</v>
      </c>
      <c r="B3983" s="6" t="str">
        <f>IFERROR(__xludf.DUMMYFUNCTION("""COMPUTED_VALUE"""),"121702698 - APPROVED")</f>
        <v>121702698 - APPROVED</v>
      </c>
      <c r="C3983" s="6">
        <f>IFERROR(__xludf.DUMMYFUNCTION("""COMPUTED_VALUE"""),4.0)</f>
        <v>4</v>
      </c>
      <c r="D3983" s="6" t="str">
        <f>IFERROR(__xludf.DUMMYFUNCTION("""COMPUTED_VALUE"""),"Q-60434-00")</f>
        <v>Q-60434-00</v>
      </c>
      <c r="E3983" s="6" t="str">
        <f>IFERROR(__xludf.DUMMYFUNCTION("""COMPUTED_VALUE"""),"Semen putih / Acian Putih; Tiga Roda; TR-30; 40 kg/zak")</f>
        <v>Semen putih / Acian Putih; Tiga Roda; TR-30; 40 kg/zak</v>
      </c>
      <c r="F3983" s="6">
        <f>IFERROR(__xludf.DUMMYFUNCTION("""COMPUTED_VALUE"""),2.0)</f>
        <v>2</v>
      </c>
      <c r="G3983" s="6" t="str">
        <f>IFERROR(__xludf.DUMMYFUNCTION("""COMPUTED_VALUE"""),"Pack")</f>
        <v>Pack</v>
      </c>
      <c r="H3983" s="6" t="str">
        <f>IFERROR(__xludf.DUMMYFUNCTION("""COMPUTED_VALUE"""),"IDR")</f>
        <v>IDR</v>
      </c>
      <c r="I3983" s="6">
        <f>IFERROR(__xludf.DUMMYFUNCTION("""COMPUTED_VALUE"""),128500.0)</f>
        <v>128500</v>
      </c>
      <c r="J3983" s="6">
        <f>IFERROR(__xludf.DUMMYFUNCTION("""COMPUTED_VALUE"""),257000.0)</f>
        <v>257000</v>
      </c>
      <c r="K3983" s="57">
        <f>IFERROR(__xludf.DUMMYFUNCTION("""COMPUTED_VALUE"""),45814.0)</f>
        <v>45814</v>
      </c>
      <c r="L3983" s="6" t="str">
        <f>IFERROR(__xludf.DUMMYFUNCTION("""COMPUTED_VALUE"""),"FIP General")</f>
        <v>FIP General</v>
      </c>
      <c r="M3983" s="6" t="str">
        <f>IFERROR(__xludf.DUMMYFUNCTION("""COMPUTED_VALUE"""),"Mochammad Fadhillah Hakim,")</f>
        <v>Mochammad Fadhillah Hakim,</v>
      </c>
      <c r="N3983" s="6" t="str">
        <f>IFERROR(__xludf.DUMMYFUNCTION("""COMPUTED_VALUE"""),"FIP Engineering")</f>
        <v>FIP Engineering</v>
      </c>
      <c r="O3983" s="6" t="str">
        <f>IFERROR(__xludf.DUMMYFUNCTION("""COMPUTED_VALUE"""),"FIP-DOM-ENG-51502-0000000-INA-000000")</f>
        <v>FIP-DOM-ENG-51502-0000000-INA-000000</v>
      </c>
      <c r="P3983" s="6" t="str">
        <f>IFERROR(__xludf.DUMMYFUNCTION("""COMPUTED_VALUE"""),"PO Closed")</f>
        <v>PO Closed</v>
      </c>
      <c r="Q3983" s="6" t="str">
        <f>IFERROR(__xludf.DUMMYFUNCTION("""COMPUTED_VALUE"""),"GL2505017")</f>
        <v>GL2505017</v>
      </c>
      <c r="R3983" s="57">
        <f>IFERROR(__xludf.DUMMYFUNCTION("""COMPUTED_VALUE"""),45779.0)</f>
        <v>45779</v>
      </c>
      <c r="S3983" s="57">
        <f>IFERROR(__xludf.DUMMYFUNCTION("""COMPUTED_VALUE"""),45779.0)</f>
        <v>45779</v>
      </c>
      <c r="T3983" s="57">
        <f>IFERROR(__xludf.DUMMYFUNCTION("""COMPUTED_VALUE"""),45797.0)</f>
        <v>45797</v>
      </c>
    </row>
    <row r="3984">
      <c r="A3984" s="6" t="str">
        <f>IFERROR(__xludf.DUMMYFUNCTION("""COMPUTED_VALUE"""),"121702699-1")</f>
        <v>121702699-1</v>
      </c>
      <c r="B3984" s="6" t="str">
        <f>IFERROR(__xludf.DUMMYFUNCTION("""COMPUTED_VALUE"""),"121702699 - APPROVED")</f>
        <v>121702699 - APPROVED</v>
      </c>
      <c r="C3984" s="6">
        <f>IFERROR(__xludf.DUMMYFUNCTION("""COMPUTED_VALUE"""),1.0)</f>
        <v>1</v>
      </c>
      <c r="D3984" s="6" t="str">
        <f>IFERROR(__xludf.DUMMYFUNCTION("""COMPUTED_VALUE"""),"O-53238-00")</f>
        <v>O-53238-00</v>
      </c>
      <c r="E3984" s="6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F3984" s="6">
        <f>IFERROR(__xludf.DUMMYFUNCTION("""COMPUTED_VALUE"""),1.0)</f>
        <v>1</v>
      </c>
      <c r="G3984" s="6" t="str">
        <f>IFERROR(__xludf.DUMMYFUNCTION("""COMPUTED_VALUE"""),"Pieces")</f>
        <v>Pieces</v>
      </c>
      <c r="H3984" s="6" t="str">
        <f>IFERROR(__xludf.DUMMYFUNCTION("""COMPUTED_VALUE"""),"IDR")</f>
        <v>IDR</v>
      </c>
      <c r="I3984" s="6">
        <f>IFERROR(__xludf.DUMMYFUNCTION("""COMPUTED_VALUE"""),9350000.0)</f>
        <v>9350000</v>
      </c>
      <c r="J3984" s="6">
        <f>IFERROR(__xludf.DUMMYFUNCTION("""COMPUTED_VALUE"""),9350000.0)</f>
        <v>9350000</v>
      </c>
      <c r="K3984" s="57">
        <f>IFERROR(__xludf.DUMMYFUNCTION("""COMPUTED_VALUE"""),45814.0)</f>
        <v>45814</v>
      </c>
      <c r="L3984" s="6" t="str">
        <f>IFERROR(__xludf.DUMMYFUNCTION("""COMPUTED_VALUE"""),"FIP Engineering")</f>
        <v>FIP Engineering</v>
      </c>
      <c r="M3984" s="6" t="str">
        <f>IFERROR(__xludf.DUMMYFUNCTION("""COMPUTED_VALUE"""),"Mochammad Fadhillah Hakim,")</f>
        <v>Mochammad Fadhillah Hakim,</v>
      </c>
      <c r="N3984" s="6" t="str">
        <f>IFERROR(__xludf.DUMMYFUNCTION("""COMPUTED_VALUE"""),"FIP Engineering")</f>
        <v>FIP Engineering</v>
      </c>
      <c r="O3984" s="6" t="str">
        <f>IFERROR(__xludf.DUMMYFUNCTION("""COMPUTED_VALUE"""),"FIP-DOM-000-11304-OS00001-INA-000000")</f>
        <v>FIP-DOM-000-11304-OS00001-INA-000000</v>
      </c>
      <c r="P3984" s="6" t="str">
        <f>IFERROR(__xludf.DUMMYFUNCTION("""COMPUTED_VALUE"""),"PO Closed")</f>
        <v>PO Closed</v>
      </c>
      <c r="Q3984" s="6" t="str">
        <f>IFERROR(__xludf.DUMMYFUNCTION("""COMPUTED_VALUE"""),"GL2505041")</f>
        <v>GL2505041</v>
      </c>
      <c r="R3984" s="57">
        <f>IFERROR(__xludf.DUMMYFUNCTION("""COMPUTED_VALUE"""),45779.0)</f>
        <v>45779</v>
      </c>
      <c r="S3984" s="57">
        <f>IFERROR(__xludf.DUMMYFUNCTION("""COMPUTED_VALUE"""),45779.0)</f>
        <v>45779</v>
      </c>
      <c r="T3984" s="57">
        <f>IFERROR(__xludf.DUMMYFUNCTION("""COMPUTED_VALUE"""),45817.0)</f>
        <v>45817</v>
      </c>
    </row>
    <row r="3985">
      <c r="A3985" s="6" t="str">
        <f>IFERROR(__xludf.DUMMYFUNCTION("""COMPUTED_VALUE"""),"121702700-1")</f>
        <v>121702700-1</v>
      </c>
      <c r="B3985" s="6" t="str">
        <f>IFERROR(__xludf.DUMMYFUNCTION("""COMPUTED_VALUE"""),"121702700 - APPROVED")</f>
        <v>121702700 - APPROVED</v>
      </c>
      <c r="C3985" s="6">
        <f>IFERROR(__xludf.DUMMYFUNCTION("""COMPUTED_VALUE"""),1.0)</f>
        <v>1</v>
      </c>
      <c r="D3985" s="6" t="str">
        <f>IFERROR(__xludf.DUMMYFUNCTION("""COMPUTED_VALUE"""),"P-52110-00")</f>
        <v>P-52110-00</v>
      </c>
      <c r="E3985" s="6" t="str">
        <f>IFERROR(__xludf.DUMMYFUNCTION("""COMPUTED_VALUE"""),"CAPACITOR 5 uF, 500 V, 50/60 Hz; ; ;")</f>
        <v>CAPACITOR 5 uF, 500 V, 50/60 Hz; ; ;</v>
      </c>
      <c r="F3985" s="6">
        <f>IFERROR(__xludf.DUMMYFUNCTION("""COMPUTED_VALUE"""),5.0)</f>
        <v>5</v>
      </c>
      <c r="G3985" s="6" t="str">
        <f>IFERROR(__xludf.DUMMYFUNCTION("""COMPUTED_VALUE"""),"Pieces")</f>
        <v>Pieces</v>
      </c>
      <c r="H3985" s="6" t="str">
        <f>IFERROR(__xludf.DUMMYFUNCTION("""COMPUTED_VALUE"""),"IDR")</f>
        <v>IDR</v>
      </c>
      <c r="I3985" s="6">
        <f>IFERROR(__xludf.DUMMYFUNCTION("""COMPUTED_VALUE"""),20000.0)</f>
        <v>20000</v>
      </c>
      <c r="J3985" s="6">
        <f>IFERROR(__xludf.DUMMYFUNCTION("""COMPUTED_VALUE"""),100000.0)</f>
        <v>100000</v>
      </c>
      <c r="K3985" s="57">
        <f>IFERROR(__xludf.DUMMYFUNCTION("""COMPUTED_VALUE"""),45814.0)</f>
        <v>45814</v>
      </c>
      <c r="L3985" s="6" t="str">
        <f>IFERROR(__xludf.DUMMYFUNCTION("""COMPUTED_VALUE"""),"FIP Engineering")</f>
        <v>FIP Engineering</v>
      </c>
      <c r="M3985" s="6" t="str">
        <f>IFERROR(__xludf.DUMMYFUNCTION("""COMPUTED_VALUE"""),"Mochammad Fadhillah Hakim,")</f>
        <v>Mochammad Fadhillah Hakim,</v>
      </c>
      <c r="N3985" s="6" t="str">
        <f>IFERROR(__xludf.DUMMYFUNCTION("""COMPUTED_VALUE"""),"FIP Engineering")</f>
        <v>FIP Engineering</v>
      </c>
      <c r="O3985" s="6" t="str">
        <f>IFERROR(__xludf.DUMMYFUNCTION("""COMPUTED_VALUE"""),"FIP-DOM-000-11304-OS00001-INA-000000")</f>
        <v>FIP-DOM-000-11304-OS00001-INA-000000</v>
      </c>
      <c r="P3985" s="6" t="str">
        <f>IFERROR(__xludf.DUMMYFUNCTION("""COMPUTED_VALUE"""),"PO Closed")</f>
        <v>PO Closed</v>
      </c>
      <c r="Q3985" s="6" t="str">
        <f>IFERROR(__xludf.DUMMYFUNCTION("""COMPUTED_VALUE"""),"GL2505002")</f>
        <v>GL2505002</v>
      </c>
      <c r="R3985" s="57">
        <f>IFERROR(__xludf.DUMMYFUNCTION("""COMPUTED_VALUE"""),45779.0)</f>
        <v>45779</v>
      </c>
      <c r="S3985" s="57">
        <f>IFERROR(__xludf.DUMMYFUNCTION("""COMPUTED_VALUE"""),45779.0)</f>
        <v>45779</v>
      </c>
      <c r="T3985" s="57">
        <f>IFERROR(__xludf.DUMMYFUNCTION("""COMPUTED_VALUE"""),45807.0)</f>
        <v>45807</v>
      </c>
    </row>
    <row r="3986">
      <c r="A3986" s="6" t="str">
        <f>IFERROR(__xludf.DUMMYFUNCTION("""COMPUTED_VALUE"""),"121702701-1")</f>
        <v>121702701-1</v>
      </c>
      <c r="B3986" s="6" t="str">
        <f>IFERROR(__xludf.DUMMYFUNCTION("""COMPUTED_VALUE"""),"121702701 - APPROVED")</f>
        <v>121702701 - APPROVED</v>
      </c>
      <c r="C3986" s="6">
        <f>IFERROR(__xludf.DUMMYFUNCTION("""COMPUTED_VALUE"""),1.0)</f>
        <v>1</v>
      </c>
      <c r="D3986" s="6" t="str">
        <f>IFERROR(__xludf.DUMMYFUNCTION("""COMPUTED_VALUE"""),"S-60002-00")</f>
        <v>S-60002-00</v>
      </c>
      <c r="E3986" s="6" t="str">
        <f>IFERROR(__xludf.DUMMYFUNCTION("""COMPUTED_VALUE"""),"Jasa Perbaikan dan Pemeliharaan Mesin Utility - Penggantian BIBO")</f>
        <v>Jasa Perbaikan dan Pemeliharaan Mesin Utility - Penggantian BIBO</v>
      </c>
      <c r="F3986" s="6">
        <f>IFERROR(__xludf.DUMMYFUNCTION("""COMPUTED_VALUE"""),1.0)</f>
        <v>1</v>
      </c>
      <c r="G3986" s="6" t="str">
        <f>IFERROR(__xludf.DUMMYFUNCTION("""COMPUTED_VALUE"""),"Lot")</f>
        <v>Lot</v>
      </c>
      <c r="H3986" s="6" t="str">
        <f>IFERROR(__xludf.DUMMYFUNCTION("""COMPUTED_VALUE"""),"IDR")</f>
        <v>IDR</v>
      </c>
      <c r="I3986" s="6">
        <f>IFERROR(__xludf.DUMMYFUNCTION("""COMPUTED_VALUE"""),8.55E7)</f>
        <v>85500000</v>
      </c>
      <c r="J3986" s="6">
        <f>IFERROR(__xludf.DUMMYFUNCTION("""COMPUTED_VALUE"""),8.55E7)</f>
        <v>85500000</v>
      </c>
      <c r="K3986" s="57">
        <f>IFERROR(__xludf.DUMMYFUNCTION("""COMPUTED_VALUE"""),45842.0)</f>
        <v>45842</v>
      </c>
      <c r="L3986" s="6" t="str">
        <f>IFERROR(__xludf.DUMMYFUNCTION("""COMPUTED_VALUE"""),"FIP General")</f>
        <v>FIP General</v>
      </c>
      <c r="M3986" s="6" t="str">
        <f>IFERROR(__xludf.DUMMYFUNCTION("""COMPUTED_VALUE"""),"Mochammad Fadhillah Hakim,")</f>
        <v>Mochammad Fadhillah Hakim,</v>
      </c>
      <c r="N3986" s="6" t="str">
        <f>IFERROR(__xludf.DUMMYFUNCTION("""COMPUTED_VALUE"""),"FIP Engineering")</f>
        <v>FIP Engineering</v>
      </c>
      <c r="O3986" s="6" t="str">
        <f>IFERROR(__xludf.DUMMYFUNCTION("""COMPUTED_VALUE"""),"FIP-DOM-ENG-51508-0000000-INA-000000")</f>
        <v>FIP-DOM-ENG-51508-0000000-INA-000000</v>
      </c>
      <c r="P3986" s="6" t="str">
        <f>IFERROR(__xludf.DUMMYFUNCTION("""COMPUTED_VALUE"""),"PO Closed")</f>
        <v>PO Closed</v>
      </c>
      <c r="Q3986" s="6" t="str">
        <f>IFERROR(__xludf.DUMMYFUNCTION("""COMPUTED_VALUE"""),"GL2506009")</f>
        <v>GL2506009</v>
      </c>
      <c r="R3986" s="57">
        <f>IFERROR(__xludf.DUMMYFUNCTION("""COMPUTED_VALUE"""),45779.0)</f>
        <v>45779</v>
      </c>
      <c r="S3986" s="57">
        <f>IFERROR(__xludf.DUMMYFUNCTION("""COMPUTED_VALUE"""),45779.0)</f>
        <v>45779</v>
      </c>
      <c r="T3986" s="57">
        <f>IFERROR(__xludf.DUMMYFUNCTION("""COMPUTED_VALUE"""),45873.0)</f>
        <v>45873</v>
      </c>
    </row>
    <row r="3987">
      <c r="A3987" s="6" t="str">
        <f>IFERROR(__xludf.DUMMYFUNCTION("""COMPUTED_VALUE"""),"121702703-1")</f>
        <v>121702703-1</v>
      </c>
      <c r="B3987" s="6" t="str">
        <f>IFERROR(__xludf.DUMMYFUNCTION("""COMPUTED_VALUE"""),"121702703 - APPROVED")</f>
        <v>121702703 - APPROVED</v>
      </c>
      <c r="C3987" s="6">
        <f>IFERROR(__xludf.DUMMYFUNCTION("""COMPUTED_VALUE"""),1.0)</f>
        <v>1</v>
      </c>
      <c r="D3987" s="6" t="str">
        <f>IFERROR(__xludf.DUMMYFUNCTION("""COMPUTED_VALUE"""),"T-80708-00")</f>
        <v>T-80708-00</v>
      </c>
      <c r="E3987" s="6" t="str">
        <f>IFERROR(__xludf.DUMMYFUNCTION("""COMPUTED_VALUE"""),"Tinta HP 955 Black; HP; N9H85A;")</f>
        <v>Tinta HP 955 Black; HP; N9H85A;</v>
      </c>
      <c r="F3987" s="6">
        <f>IFERROR(__xludf.DUMMYFUNCTION("""COMPUTED_VALUE"""),2.0)</f>
        <v>2</v>
      </c>
      <c r="G3987" s="6" t="str">
        <f>IFERROR(__xludf.DUMMYFUNCTION("""COMPUTED_VALUE"""),"Pieces")</f>
        <v>Pieces</v>
      </c>
      <c r="H3987" s="6" t="str">
        <f>IFERROR(__xludf.DUMMYFUNCTION("""COMPUTED_VALUE"""),"IDR")</f>
        <v>IDR</v>
      </c>
      <c r="I3987" s="6">
        <f>IFERROR(__xludf.DUMMYFUNCTION("""COMPUTED_VALUE"""),596000.0)</f>
        <v>596000</v>
      </c>
      <c r="J3987" s="6">
        <f>IFERROR(__xludf.DUMMYFUNCTION("""COMPUTED_VALUE"""),1192000.0)</f>
        <v>1192000</v>
      </c>
      <c r="K3987" s="57">
        <f>IFERROR(__xludf.DUMMYFUNCTION("""COMPUTED_VALUE"""),45814.0)</f>
        <v>45814</v>
      </c>
      <c r="L3987" s="6" t="str">
        <f>IFERROR(__xludf.DUMMYFUNCTION("""COMPUTED_VALUE"""),"FIP General")</f>
        <v>FIP General</v>
      </c>
      <c r="M3987" s="6" t="str">
        <f>IFERROR(__xludf.DUMMYFUNCTION("""COMPUTED_VALUE"""),"Mochammad Fadhillah Hakim,")</f>
        <v>Mochammad Fadhillah Hakim,</v>
      </c>
      <c r="N3987" s="6" t="str">
        <f>IFERROR(__xludf.DUMMYFUNCTION("""COMPUTED_VALUE"""),"FIP Engineering")</f>
        <v>FIP Engineering</v>
      </c>
      <c r="O3987" s="6" t="str">
        <f>IFERROR(__xludf.DUMMYFUNCTION("""COMPUTED_VALUE"""),"FIP-DOM-ENG-51411-0000000-INA-000000")</f>
        <v>FIP-DOM-ENG-51411-0000000-INA-000000</v>
      </c>
      <c r="P3987" s="6" t="str">
        <f>IFERROR(__xludf.DUMMYFUNCTION("""COMPUTED_VALUE"""),"PO Closed")</f>
        <v>PO Closed</v>
      </c>
      <c r="Q3987" s="6" t="str">
        <f>IFERROR(__xludf.DUMMYFUNCTION("""COMPUTED_VALUE"""),"GL2505028")</f>
        <v>GL2505028</v>
      </c>
      <c r="R3987" s="57">
        <f>IFERROR(__xludf.DUMMYFUNCTION("""COMPUTED_VALUE"""),45782.0)</f>
        <v>45782</v>
      </c>
      <c r="S3987" s="57">
        <f>IFERROR(__xludf.DUMMYFUNCTION("""COMPUTED_VALUE"""),45784.0)</f>
        <v>45784</v>
      </c>
      <c r="T3987" s="57">
        <f>IFERROR(__xludf.DUMMYFUNCTION("""COMPUTED_VALUE"""),45800.0)</f>
        <v>45800</v>
      </c>
    </row>
    <row r="3988">
      <c r="A3988" s="6" t="str">
        <f>IFERROR(__xludf.DUMMYFUNCTION("""COMPUTED_VALUE"""),"121702703-2")</f>
        <v>121702703-2</v>
      </c>
      <c r="B3988" s="6" t="str">
        <f>IFERROR(__xludf.DUMMYFUNCTION("""COMPUTED_VALUE"""),"121702703 - APPROVED")</f>
        <v>121702703 - APPROVED</v>
      </c>
      <c r="C3988" s="6">
        <f>IFERROR(__xludf.DUMMYFUNCTION("""COMPUTED_VALUE"""),2.0)</f>
        <v>2</v>
      </c>
      <c r="D3988" s="6" t="str">
        <f>IFERROR(__xludf.DUMMYFUNCTION("""COMPUTED_VALUE"""),"T-80709-00")</f>
        <v>T-80709-00</v>
      </c>
      <c r="E3988" s="6" t="str">
        <f>IFERROR(__xludf.DUMMYFUNCTION("""COMPUTED_VALUE"""),"Tinta HP 955 Cyan; HP; H9H73A;")</f>
        <v>Tinta HP 955 Cyan; HP; H9H73A;</v>
      </c>
      <c r="F3988" s="6">
        <f>IFERROR(__xludf.DUMMYFUNCTION("""COMPUTED_VALUE"""),1.0)</f>
        <v>1</v>
      </c>
      <c r="G3988" s="6" t="str">
        <f>IFERROR(__xludf.DUMMYFUNCTION("""COMPUTED_VALUE"""),"Pieces")</f>
        <v>Pieces</v>
      </c>
      <c r="H3988" s="6" t="str">
        <f>IFERROR(__xludf.DUMMYFUNCTION("""COMPUTED_VALUE"""),"IDR")</f>
        <v>IDR</v>
      </c>
      <c r="I3988" s="6">
        <f>IFERROR(__xludf.DUMMYFUNCTION("""COMPUTED_VALUE"""),455000.0)</f>
        <v>455000</v>
      </c>
      <c r="J3988" s="6">
        <f>IFERROR(__xludf.DUMMYFUNCTION("""COMPUTED_VALUE"""),455000.0)</f>
        <v>455000</v>
      </c>
      <c r="K3988" s="57">
        <f>IFERROR(__xludf.DUMMYFUNCTION("""COMPUTED_VALUE"""),45814.0)</f>
        <v>45814</v>
      </c>
      <c r="L3988" s="6" t="str">
        <f>IFERROR(__xludf.DUMMYFUNCTION("""COMPUTED_VALUE"""),"FIP General")</f>
        <v>FIP General</v>
      </c>
      <c r="M3988" s="6" t="str">
        <f>IFERROR(__xludf.DUMMYFUNCTION("""COMPUTED_VALUE"""),"Mochammad Fadhillah Hakim,")</f>
        <v>Mochammad Fadhillah Hakim,</v>
      </c>
      <c r="N3988" s="6" t="str">
        <f>IFERROR(__xludf.DUMMYFUNCTION("""COMPUTED_VALUE"""),"FIP Engineering")</f>
        <v>FIP Engineering</v>
      </c>
      <c r="O3988" s="6" t="str">
        <f>IFERROR(__xludf.DUMMYFUNCTION("""COMPUTED_VALUE"""),"FIP-DOM-ENG-51411-0000000-INA-000000")</f>
        <v>FIP-DOM-ENG-51411-0000000-INA-000000</v>
      </c>
      <c r="P3988" s="6" t="str">
        <f>IFERROR(__xludf.DUMMYFUNCTION("""COMPUTED_VALUE"""),"PO Closed")</f>
        <v>PO Closed</v>
      </c>
      <c r="Q3988" s="6" t="str">
        <f>IFERROR(__xludf.DUMMYFUNCTION("""COMPUTED_VALUE"""),"GL2505028")</f>
        <v>GL2505028</v>
      </c>
      <c r="R3988" s="57">
        <f>IFERROR(__xludf.DUMMYFUNCTION("""COMPUTED_VALUE"""),45782.0)</f>
        <v>45782</v>
      </c>
      <c r="S3988" s="57">
        <f>IFERROR(__xludf.DUMMYFUNCTION("""COMPUTED_VALUE"""),45784.0)</f>
        <v>45784</v>
      </c>
      <c r="T3988" s="57">
        <f>IFERROR(__xludf.DUMMYFUNCTION("""COMPUTED_VALUE"""),45800.0)</f>
        <v>45800</v>
      </c>
    </row>
    <row r="3989">
      <c r="A3989" s="6" t="str">
        <f>IFERROR(__xludf.DUMMYFUNCTION("""COMPUTED_VALUE"""),"121702703-3")</f>
        <v>121702703-3</v>
      </c>
      <c r="B3989" s="6" t="str">
        <f>IFERROR(__xludf.DUMMYFUNCTION("""COMPUTED_VALUE"""),"121702703 - APPROVED")</f>
        <v>121702703 - APPROVED</v>
      </c>
      <c r="C3989" s="6">
        <f>IFERROR(__xludf.DUMMYFUNCTION("""COMPUTED_VALUE"""),3.0)</f>
        <v>3</v>
      </c>
      <c r="D3989" s="6" t="str">
        <f>IFERROR(__xludf.DUMMYFUNCTION("""COMPUTED_VALUE"""),"T-80710-00")</f>
        <v>T-80710-00</v>
      </c>
      <c r="E3989" s="6" t="str">
        <f>IFERROR(__xludf.DUMMYFUNCTION("""COMPUTED_VALUE"""),"Tinta HP 955 Magenta; HP; N9H77A;")</f>
        <v>Tinta HP 955 Magenta; HP; N9H77A;</v>
      </c>
      <c r="F3989" s="6">
        <f>IFERROR(__xludf.DUMMYFUNCTION("""COMPUTED_VALUE"""),1.0)</f>
        <v>1</v>
      </c>
      <c r="G3989" s="6" t="str">
        <f>IFERROR(__xludf.DUMMYFUNCTION("""COMPUTED_VALUE"""),"Pieces")</f>
        <v>Pieces</v>
      </c>
      <c r="H3989" s="6" t="str">
        <f>IFERROR(__xludf.DUMMYFUNCTION("""COMPUTED_VALUE"""),"IDR")</f>
        <v>IDR</v>
      </c>
      <c r="I3989" s="6">
        <f>IFERROR(__xludf.DUMMYFUNCTION("""COMPUTED_VALUE"""),455000.0)</f>
        <v>455000</v>
      </c>
      <c r="J3989" s="6">
        <f>IFERROR(__xludf.DUMMYFUNCTION("""COMPUTED_VALUE"""),455000.0)</f>
        <v>455000</v>
      </c>
      <c r="K3989" s="57">
        <f>IFERROR(__xludf.DUMMYFUNCTION("""COMPUTED_VALUE"""),45814.0)</f>
        <v>45814</v>
      </c>
      <c r="L3989" s="6" t="str">
        <f>IFERROR(__xludf.DUMMYFUNCTION("""COMPUTED_VALUE"""),"FIP General")</f>
        <v>FIP General</v>
      </c>
      <c r="M3989" s="6" t="str">
        <f>IFERROR(__xludf.DUMMYFUNCTION("""COMPUTED_VALUE"""),"Mochammad Fadhillah Hakim,")</f>
        <v>Mochammad Fadhillah Hakim,</v>
      </c>
      <c r="N3989" s="6" t="str">
        <f>IFERROR(__xludf.DUMMYFUNCTION("""COMPUTED_VALUE"""),"FIP Engineering")</f>
        <v>FIP Engineering</v>
      </c>
      <c r="O3989" s="6" t="str">
        <f>IFERROR(__xludf.DUMMYFUNCTION("""COMPUTED_VALUE"""),"FIP-DOM-ENG-51411-0000000-INA-000000")</f>
        <v>FIP-DOM-ENG-51411-0000000-INA-000000</v>
      </c>
      <c r="P3989" s="6" t="str">
        <f>IFERROR(__xludf.DUMMYFUNCTION("""COMPUTED_VALUE"""),"PO Closed")</f>
        <v>PO Closed</v>
      </c>
      <c r="Q3989" s="6" t="str">
        <f>IFERROR(__xludf.DUMMYFUNCTION("""COMPUTED_VALUE"""),"GL2505028")</f>
        <v>GL2505028</v>
      </c>
      <c r="R3989" s="57">
        <f>IFERROR(__xludf.DUMMYFUNCTION("""COMPUTED_VALUE"""),45782.0)</f>
        <v>45782</v>
      </c>
      <c r="S3989" s="57">
        <f>IFERROR(__xludf.DUMMYFUNCTION("""COMPUTED_VALUE"""),45784.0)</f>
        <v>45784</v>
      </c>
      <c r="T3989" s="57">
        <f>IFERROR(__xludf.DUMMYFUNCTION("""COMPUTED_VALUE"""),45800.0)</f>
        <v>45800</v>
      </c>
    </row>
    <row r="3990">
      <c r="A3990" s="6" t="str">
        <f>IFERROR(__xludf.DUMMYFUNCTION("""COMPUTED_VALUE"""),"121702703-4")</f>
        <v>121702703-4</v>
      </c>
      <c r="B3990" s="6" t="str">
        <f>IFERROR(__xludf.DUMMYFUNCTION("""COMPUTED_VALUE"""),"121702703 - APPROVED")</f>
        <v>121702703 - APPROVED</v>
      </c>
      <c r="C3990" s="6">
        <f>IFERROR(__xludf.DUMMYFUNCTION("""COMPUTED_VALUE"""),4.0)</f>
        <v>4</v>
      </c>
      <c r="D3990" s="6" t="str">
        <f>IFERROR(__xludf.DUMMYFUNCTION("""COMPUTED_VALUE"""),"T-80711-00")</f>
        <v>T-80711-00</v>
      </c>
      <c r="E3990" s="6" t="str">
        <f>IFERROR(__xludf.DUMMYFUNCTION("""COMPUTED_VALUE"""),"Tinta HP 955 Yellow; HP; N9H81A;")</f>
        <v>Tinta HP 955 Yellow; HP; N9H81A;</v>
      </c>
      <c r="F3990" s="6">
        <f>IFERROR(__xludf.DUMMYFUNCTION("""COMPUTED_VALUE"""),1.0)</f>
        <v>1</v>
      </c>
      <c r="G3990" s="6" t="str">
        <f>IFERROR(__xludf.DUMMYFUNCTION("""COMPUTED_VALUE"""),"Pieces")</f>
        <v>Pieces</v>
      </c>
      <c r="H3990" s="6" t="str">
        <f>IFERROR(__xludf.DUMMYFUNCTION("""COMPUTED_VALUE"""),"IDR")</f>
        <v>IDR</v>
      </c>
      <c r="I3990" s="6">
        <f>IFERROR(__xludf.DUMMYFUNCTION("""COMPUTED_VALUE"""),495000.0)</f>
        <v>495000</v>
      </c>
      <c r="J3990" s="6">
        <f>IFERROR(__xludf.DUMMYFUNCTION("""COMPUTED_VALUE"""),495000.0)</f>
        <v>495000</v>
      </c>
      <c r="K3990" s="57">
        <f>IFERROR(__xludf.DUMMYFUNCTION("""COMPUTED_VALUE"""),45814.0)</f>
        <v>45814</v>
      </c>
      <c r="L3990" s="6" t="str">
        <f>IFERROR(__xludf.DUMMYFUNCTION("""COMPUTED_VALUE"""),"FIP General")</f>
        <v>FIP General</v>
      </c>
      <c r="M3990" s="6" t="str">
        <f>IFERROR(__xludf.DUMMYFUNCTION("""COMPUTED_VALUE"""),"Mochammad Fadhillah Hakim,")</f>
        <v>Mochammad Fadhillah Hakim,</v>
      </c>
      <c r="N3990" s="6" t="str">
        <f>IFERROR(__xludf.DUMMYFUNCTION("""COMPUTED_VALUE"""),"FIP Engineering")</f>
        <v>FIP Engineering</v>
      </c>
      <c r="O3990" s="6" t="str">
        <f>IFERROR(__xludf.DUMMYFUNCTION("""COMPUTED_VALUE"""),"FIP-DOM-ENG-51411-0000000-INA-000000")</f>
        <v>FIP-DOM-ENG-51411-0000000-INA-000000</v>
      </c>
      <c r="P3990" s="6" t="str">
        <f>IFERROR(__xludf.DUMMYFUNCTION("""COMPUTED_VALUE"""),"PO Closed")</f>
        <v>PO Closed</v>
      </c>
      <c r="Q3990" s="6" t="str">
        <f>IFERROR(__xludf.DUMMYFUNCTION("""COMPUTED_VALUE"""),"GL2505028")</f>
        <v>GL2505028</v>
      </c>
      <c r="R3990" s="57">
        <f>IFERROR(__xludf.DUMMYFUNCTION("""COMPUTED_VALUE"""),45782.0)</f>
        <v>45782</v>
      </c>
      <c r="S3990" s="57">
        <f>IFERROR(__xludf.DUMMYFUNCTION("""COMPUTED_VALUE"""),45784.0)</f>
        <v>45784</v>
      </c>
      <c r="T3990" s="57">
        <f>IFERROR(__xludf.DUMMYFUNCTION("""COMPUTED_VALUE"""),45800.0)</f>
        <v>45800</v>
      </c>
    </row>
    <row r="3991">
      <c r="A3991" s="6" t="str">
        <f>IFERROR(__xludf.DUMMYFUNCTION("""COMPUTED_VALUE"""),"121702703-5")</f>
        <v>121702703-5</v>
      </c>
      <c r="B3991" s="6" t="str">
        <f>IFERROR(__xludf.DUMMYFUNCTION("""COMPUTED_VALUE"""),"121702703 - APPROVED")</f>
        <v>121702703 - APPROVED</v>
      </c>
      <c r="C3991" s="6">
        <f>IFERROR(__xludf.DUMMYFUNCTION("""COMPUTED_VALUE"""),5.0)</f>
        <v>5</v>
      </c>
      <c r="D3991" s="6" t="str">
        <f>IFERROR(__xludf.DUMMYFUNCTION("""COMPUTED_VALUE"""),"T-80635-00")</f>
        <v>T-80635-00</v>
      </c>
      <c r="E3991" s="6" t="str">
        <f>IFERROR(__xludf.DUMMYFUNCTION("""COMPUTED_VALUE"""),"Kertas HVS Putih A4 70 gram;")</f>
        <v>Kertas HVS Putih A4 70 gram;</v>
      </c>
      <c r="F3991" s="6">
        <f>IFERROR(__xludf.DUMMYFUNCTION("""COMPUTED_VALUE"""),10.0)</f>
        <v>10</v>
      </c>
      <c r="G3991" s="6" t="str">
        <f>IFERROR(__xludf.DUMMYFUNCTION("""COMPUTED_VALUE"""),"Rim")</f>
        <v>Rim</v>
      </c>
      <c r="H3991" s="6" t="str">
        <f>IFERROR(__xludf.DUMMYFUNCTION("""COMPUTED_VALUE"""),"IDR")</f>
        <v>IDR</v>
      </c>
      <c r="I3991" s="6">
        <f>IFERROR(__xludf.DUMMYFUNCTION("""COMPUTED_VALUE"""),33000.0)</f>
        <v>33000</v>
      </c>
      <c r="J3991" s="6">
        <f>IFERROR(__xludf.DUMMYFUNCTION("""COMPUTED_VALUE"""),330000.0)</f>
        <v>330000</v>
      </c>
      <c r="K3991" s="57">
        <f>IFERROR(__xludf.DUMMYFUNCTION("""COMPUTED_VALUE"""),45814.0)</f>
        <v>45814</v>
      </c>
      <c r="L3991" s="6" t="str">
        <f>IFERROR(__xludf.DUMMYFUNCTION("""COMPUTED_VALUE"""),"FIP General")</f>
        <v>FIP General</v>
      </c>
      <c r="M3991" s="6" t="str">
        <f>IFERROR(__xludf.DUMMYFUNCTION("""COMPUTED_VALUE"""),"Mochammad Fadhillah Hakim,")</f>
        <v>Mochammad Fadhillah Hakim,</v>
      </c>
      <c r="N3991" s="6" t="str">
        <f>IFERROR(__xludf.DUMMYFUNCTION("""COMPUTED_VALUE"""),"FIP Engineering")</f>
        <v>FIP Engineering</v>
      </c>
      <c r="O3991" s="6" t="str">
        <f>IFERROR(__xludf.DUMMYFUNCTION("""COMPUTED_VALUE"""),"FIP-DOM-ENG-51411-0000000-INA-000000")</f>
        <v>FIP-DOM-ENG-51411-0000000-INA-000000</v>
      </c>
      <c r="P3991" s="6" t="str">
        <f>IFERROR(__xludf.DUMMYFUNCTION("""COMPUTED_VALUE"""),"PO Closed")</f>
        <v>PO Closed</v>
      </c>
      <c r="Q3991" s="6" t="str">
        <f>IFERROR(__xludf.DUMMYFUNCTION("""COMPUTED_VALUE"""),"GL2505022")</f>
        <v>GL2505022</v>
      </c>
      <c r="R3991" s="57">
        <f>IFERROR(__xludf.DUMMYFUNCTION("""COMPUTED_VALUE"""),45782.0)</f>
        <v>45782</v>
      </c>
      <c r="S3991" s="57">
        <f>IFERROR(__xludf.DUMMYFUNCTION("""COMPUTED_VALUE"""),45784.0)</f>
        <v>45784</v>
      </c>
      <c r="T3991" s="57">
        <f>IFERROR(__xludf.DUMMYFUNCTION("""COMPUTED_VALUE"""),45800.0)</f>
        <v>45800</v>
      </c>
    </row>
    <row r="3992">
      <c r="A3992" s="6" t="str">
        <f>IFERROR(__xludf.DUMMYFUNCTION("""COMPUTED_VALUE"""),"121702706-1")</f>
        <v>121702706-1</v>
      </c>
      <c r="B3992" s="6" t="str">
        <f>IFERROR(__xludf.DUMMYFUNCTION("""COMPUTED_VALUE"""),"121702706 - APPROVED")</f>
        <v>121702706 - APPROVED</v>
      </c>
      <c r="C3992" s="6">
        <f>IFERROR(__xludf.DUMMYFUNCTION("""COMPUTED_VALUE"""),1.0)</f>
        <v>1</v>
      </c>
      <c r="D3992" s="6" t="str">
        <f>IFERROR(__xludf.DUMMYFUNCTION("""COMPUTED_VALUE"""),"Q-90000-00")</f>
        <v>Q-90000-00</v>
      </c>
      <c r="E3992" s="6" t="str">
        <f>IFERROR(__xludf.DUMMYFUNCTION("""COMPUTED_VALUE"""),"Building Maintenance Pure Expense - Jendela Anti Embun")</f>
        <v>Building Maintenance Pure Expense - Jendela Anti Embun</v>
      </c>
      <c r="F3992" s="6">
        <f>IFERROR(__xludf.DUMMYFUNCTION("""COMPUTED_VALUE"""),1.0)</f>
        <v>1</v>
      </c>
      <c r="G3992" s="6" t="str">
        <f>IFERROR(__xludf.DUMMYFUNCTION("""COMPUTED_VALUE"""),"Unit")</f>
        <v>Unit</v>
      </c>
      <c r="H3992" s="6" t="str">
        <f>IFERROR(__xludf.DUMMYFUNCTION("""COMPUTED_VALUE"""),"IDR")</f>
        <v>IDR</v>
      </c>
      <c r="I3992" s="6">
        <f>IFERROR(__xludf.DUMMYFUNCTION("""COMPUTED_VALUE"""),3.4E7)</f>
        <v>34000000</v>
      </c>
      <c r="J3992" s="6">
        <f>IFERROR(__xludf.DUMMYFUNCTION("""COMPUTED_VALUE"""),3.4E7)</f>
        <v>34000000</v>
      </c>
      <c r="K3992" s="57">
        <f>IFERROR(__xludf.DUMMYFUNCTION("""COMPUTED_VALUE"""),45814.0)</f>
        <v>45814</v>
      </c>
      <c r="L3992" s="6" t="str">
        <f>IFERROR(__xludf.DUMMYFUNCTION("""COMPUTED_VALUE"""),"FIP General")</f>
        <v>FIP General</v>
      </c>
      <c r="M3992" s="6" t="str">
        <f>IFERROR(__xludf.DUMMYFUNCTION("""COMPUTED_VALUE"""),"Mochammad Fadhillah Hakim,")</f>
        <v>Mochammad Fadhillah Hakim,</v>
      </c>
      <c r="N3992" s="6" t="str">
        <f>IFERROR(__xludf.DUMMYFUNCTION("""COMPUTED_VALUE"""),"FIP Engineering")</f>
        <v>FIP Engineering</v>
      </c>
      <c r="O3992" s="6" t="str">
        <f>IFERROR(__xludf.DUMMYFUNCTION("""COMPUTED_VALUE"""),"FIP-DOM-ENG-51502-0000000-INA-000000")</f>
        <v>FIP-DOM-ENG-51502-0000000-INA-000000</v>
      </c>
      <c r="P3992" s="6" t="str">
        <f>IFERROR(__xludf.DUMMYFUNCTION("""COMPUTED_VALUE"""),"PO Closed")</f>
        <v>PO Closed</v>
      </c>
      <c r="Q3992" s="6" t="str">
        <f>IFERROR(__xludf.DUMMYFUNCTION("""COMPUTED_VALUE"""),"GL2505050")</f>
        <v>GL2505050</v>
      </c>
      <c r="R3992" s="57">
        <f>IFERROR(__xludf.DUMMYFUNCTION("""COMPUTED_VALUE"""),45782.0)</f>
        <v>45782</v>
      </c>
      <c r="S3992" s="57">
        <f>IFERROR(__xludf.DUMMYFUNCTION("""COMPUTED_VALUE"""),45790.0)</f>
        <v>45790</v>
      </c>
      <c r="T3992" s="57">
        <f>IFERROR(__xludf.DUMMYFUNCTION("""COMPUTED_VALUE"""),45852.0)</f>
        <v>45852</v>
      </c>
    </row>
    <row r="3993">
      <c r="A3993" s="6" t="str">
        <f>IFERROR(__xludf.DUMMYFUNCTION("""COMPUTED_VALUE"""),"121702709-1")</f>
        <v>121702709-1</v>
      </c>
      <c r="B3993" s="6" t="str">
        <f>IFERROR(__xludf.DUMMYFUNCTION("""COMPUTED_VALUE"""),"121702709 - APPROVED")</f>
        <v>121702709 - APPROVED</v>
      </c>
      <c r="C3993" s="6">
        <f>IFERROR(__xludf.DUMMYFUNCTION("""COMPUTED_VALUE"""),1.0)</f>
        <v>1</v>
      </c>
      <c r="D3993" s="6" t="str">
        <f>IFERROR(__xludf.DUMMYFUNCTION("""COMPUTED_VALUE"""),"R-62029-00")</f>
        <v>R-62029-00</v>
      </c>
      <c r="E3993" s="6" t="str">
        <f>IFERROR(__xludf.DUMMYFUNCTION("""COMPUTED_VALUE"""),"Network switch - Linksys 24 Port Non PoE")</f>
        <v>Network switch - Linksys 24 Port Non PoE</v>
      </c>
      <c r="F3993" s="6">
        <f>IFERROR(__xludf.DUMMYFUNCTION("""COMPUTED_VALUE"""),2.0)</f>
        <v>2</v>
      </c>
      <c r="G3993" s="6" t="str">
        <f>IFERROR(__xludf.DUMMYFUNCTION("""COMPUTED_VALUE"""),"Unit")</f>
        <v>Unit</v>
      </c>
      <c r="H3993" s="6" t="str">
        <f>IFERROR(__xludf.DUMMYFUNCTION("""COMPUTED_VALUE"""),"IDR")</f>
        <v>IDR</v>
      </c>
      <c r="I3993" s="6">
        <f>IFERROR(__xludf.DUMMYFUNCTION("""COMPUTED_VALUE"""),5800000.0)</f>
        <v>5800000</v>
      </c>
      <c r="J3993" s="6">
        <f>IFERROR(__xludf.DUMMYFUNCTION("""COMPUTED_VALUE"""),1.16E7)</f>
        <v>11600000</v>
      </c>
      <c r="K3993" s="57">
        <f>IFERROR(__xludf.DUMMYFUNCTION("""COMPUTED_VALUE"""),45785.0)</f>
        <v>45785</v>
      </c>
      <c r="L3993" s="6" t="str">
        <f>IFERROR(__xludf.DUMMYFUNCTION("""COMPUTED_VALUE"""),"FIP General")</f>
        <v>FIP General</v>
      </c>
      <c r="M3993" s="6" t="str">
        <f>IFERROR(__xludf.DUMMYFUNCTION("""COMPUTED_VALUE"""),"Mochammad Fadhillah Hakim,")</f>
        <v>Mochammad Fadhillah Hakim,</v>
      </c>
      <c r="N3993" s="6" t="str">
        <f>IFERROR(__xludf.DUMMYFUNCTION("""COMPUTED_VALUE"""),"FIP Engineering")</f>
        <v>FIP Engineering</v>
      </c>
      <c r="O3993" s="6" t="str">
        <f>IFERROR(__xludf.DUMMYFUNCTION("""COMPUTED_VALUE"""),"FIP-DOM-ENG-13408-ITNB269-INA-000000")</f>
        <v>FIP-DOM-ENG-13408-ITNB269-INA-000000</v>
      </c>
      <c r="P3993" s="6" t="str">
        <f>IFERROR(__xludf.DUMMYFUNCTION("""COMPUTED_VALUE"""),"PO Closed")</f>
        <v>PO Closed</v>
      </c>
      <c r="Q3993" s="6" t="str">
        <f>IFERROR(__xludf.DUMMYFUNCTION("""COMPUTED_VALUE"""),"GL2506002")</f>
        <v>GL2506002</v>
      </c>
      <c r="R3993" s="57">
        <f>IFERROR(__xludf.DUMMYFUNCTION("""COMPUTED_VALUE"""),45783.0)</f>
        <v>45783</v>
      </c>
      <c r="S3993" s="57">
        <f>IFERROR(__xludf.DUMMYFUNCTION("""COMPUTED_VALUE"""),45793.0)</f>
        <v>45793</v>
      </c>
      <c r="T3993" s="57">
        <f>IFERROR(__xludf.DUMMYFUNCTION("""COMPUTED_VALUE"""),45825.0)</f>
        <v>45825</v>
      </c>
    </row>
    <row r="3994">
      <c r="A3994" s="6" t="str">
        <f>IFERROR(__xludf.DUMMYFUNCTION("""COMPUTED_VALUE"""),"121702710-1")</f>
        <v>121702710-1</v>
      </c>
      <c r="B3994" s="6" t="str">
        <f>IFERROR(__xludf.DUMMYFUNCTION("""COMPUTED_VALUE"""),"121702710 - APPROVED")</f>
        <v>121702710 - APPROVED</v>
      </c>
      <c r="C3994" s="6">
        <f>IFERROR(__xludf.DUMMYFUNCTION("""COMPUTED_VALUE"""),1.0)</f>
        <v>1</v>
      </c>
      <c r="D3994" s="6" t="str">
        <f>IFERROR(__xludf.DUMMYFUNCTION("""COMPUTED_VALUE"""),"R-71002-00")</f>
        <v>R-71002-00</v>
      </c>
      <c r="E3994" s="6" t="str">
        <f>IFERROR(__xludf.DUMMYFUNCTION("""COMPUTED_VALUE"""),"Renovation - Penggantian Pipa")</f>
        <v>Renovation - Penggantian Pipa</v>
      </c>
      <c r="F3994" s="6">
        <f>IFERROR(__xludf.DUMMYFUNCTION("""COMPUTED_VALUE"""),1.0)</f>
        <v>1</v>
      </c>
      <c r="G3994" s="6" t="str">
        <f>IFERROR(__xludf.DUMMYFUNCTION("""COMPUTED_VALUE"""),"Unit")</f>
        <v>Unit</v>
      </c>
      <c r="H3994" s="6" t="str">
        <f>IFERROR(__xludf.DUMMYFUNCTION("""COMPUTED_VALUE"""),"IDR")</f>
        <v>IDR</v>
      </c>
      <c r="I3994" s="6">
        <f>IFERROR(__xludf.DUMMYFUNCTION("""COMPUTED_VALUE"""),2.5945201E8)</f>
        <v>259452010</v>
      </c>
      <c r="J3994" s="6">
        <f>IFERROR(__xludf.DUMMYFUNCTION("""COMPUTED_VALUE"""),2.5945201E8)</f>
        <v>259452010</v>
      </c>
      <c r="K3994" s="57">
        <f>IFERROR(__xludf.DUMMYFUNCTION("""COMPUTED_VALUE"""),45814.0)</f>
        <v>45814</v>
      </c>
      <c r="L3994" s="6" t="str">
        <f>IFERROR(__xludf.DUMMYFUNCTION("""COMPUTED_VALUE"""),"FIP General")</f>
        <v>FIP General</v>
      </c>
      <c r="M3994" s="6" t="str">
        <f>IFERROR(__xludf.DUMMYFUNCTION("""COMPUTED_VALUE"""),"Mochammad Fadhillah Hakim,")</f>
        <v>Mochammad Fadhillah Hakim,</v>
      </c>
      <c r="N3994" s="6" t="str">
        <f>IFERROR(__xludf.DUMMYFUNCTION("""COMPUTED_VALUE"""),"FIP Engineering")</f>
        <v>FIP Engineering</v>
      </c>
      <c r="O3994" s="6" t="str">
        <f>IFERROR(__xludf.DUMMYFUNCTION("""COMPUTED_VALUE"""),"FIP-DOM-ENG-13402-BL25002-INA-000000")</f>
        <v>FIP-DOM-ENG-13402-BL25002-INA-000000</v>
      </c>
      <c r="P3994" s="6" t="str">
        <f>IFERROR(__xludf.DUMMYFUNCTION("""COMPUTED_VALUE"""),"PO Closed")</f>
        <v>PO Closed</v>
      </c>
      <c r="Q3994" s="6"/>
      <c r="R3994" s="57">
        <f>IFERROR(__xludf.DUMMYFUNCTION("""COMPUTED_VALUE"""),45783.0)</f>
        <v>45783</v>
      </c>
      <c r="S3994" s="57">
        <f>IFERROR(__xludf.DUMMYFUNCTION("""COMPUTED_VALUE"""),45825.0)</f>
        <v>45825</v>
      </c>
      <c r="T3994" s="57">
        <f>IFERROR(__xludf.DUMMYFUNCTION("""COMPUTED_VALUE"""),45936.0)</f>
        <v>45936</v>
      </c>
    </row>
    <row r="3995">
      <c r="A3995" s="6" t="str">
        <f>IFERROR(__xludf.DUMMYFUNCTION("""COMPUTED_VALUE"""),"121702712-1")</f>
        <v>121702712-1</v>
      </c>
      <c r="B3995" s="6" t="str">
        <f>IFERROR(__xludf.DUMMYFUNCTION("""COMPUTED_VALUE"""),"121702712 - APPROVED")</f>
        <v>121702712 - APPROVED</v>
      </c>
      <c r="C3995" s="6">
        <f>IFERROR(__xludf.DUMMYFUNCTION("""COMPUTED_VALUE"""),1.0)</f>
        <v>1</v>
      </c>
      <c r="D3995" s="6" t="str">
        <f>IFERROR(__xludf.DUMMYFUNCTION("""COMPUTED_VALUE"""),"P-19442-00")</f>
        <v>P-19442-00</v>
      </c>
      <c r="E3995" s="6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F3995" s="6">
        <f>IFERROR(__xludf.DUMMYFUNCTION("""COMPUTED_VALUE"""),6.0)</f>
        <v>6</v>
      </c>
      <c r="G3995" s="6" t="str">
        <f>IFERROR(__xludf.DUMMYFUNCTION("""COMPUTED_VALUE"""),"Pieces")</f>
        <v>Pieces</v>
      </c>
      <c r="H3995" s="6" t="str">
        <f>IFERROR(__xludf.DUMMYFUNCTION("""COMPUTED_VALUE"""),"IDR")</f>
        <v>IDR</v>
      </c>
      <c r="I3995" s="6">
        <f>IFERROR(__xludf.DUMMYFUNCTION("""COMPUTED_VALUE"""),243500.0)</f>
        <v>243500</v>
      </c>
      <c r="J3995" s="6">
        <f>IFERROR(__xludf.DUMMYFUNCTION("""COMPUTED_VALUE"""),1461000.0)</f>
        <v>1461000</v>
      </c>
      <c r="K3995" s="57">
        <f>IFERROR(__xludf.DUMMYFUNCTION("""COMPUTED_VALUE"""),45814.0)</f>
        <v>45814</v>
      </c>
      <c r="L3995" s="6" t="str">
        <f>IFERROR(__xludf.DUMMYFUNCTION("""COMPUTED_VALUE"""),"FIP Engineering")</f>
        <v>FIP Engineering</v>
      </c>
      <c r="M3995" s="6" t="str">
        <f>IFERROR(__xludf.DUMMYFUNCTION("""COMPUTED_VALUE"""),"Mochammad Fadhillah Hakim,")</f>
        <v>Mochammad Fadhillah Hakim,</v>
      </c>
      <c r="N3995" s="6" t="str">
        <f>IFERROR(__xludf.DUMMYFUNCTION("""COMPUTED_VALUE"""),"FIP Engineering")</f>
        <v>FIP Engineering</v>
      </c>
      <c r="O3995" s="6" t="str">
        <f>IFERROR(__xludf.DUMMYFUNCTION("""COMPUTED_VALUE"""),"FIP-DOM-000-11304-OS00001-INA-000000")</f>
        <v>FIP-DOM-000-11304-OS00001-INA-000000</v>
      </c>
      <c r="P3995" s="6" t="str">
        <f>IFERROR(__xludf.DUMMYFUNCTION("""COMPUTED_VALUE"""),"PO Closed")</f>
        <v>PO Closed</v>
      </c>
      <c r="Q3995" s="6" t="str">
        <f>IFERROR(__xludf.DUMMYFUNCTION("""COMPUTED_VALUE"""),"GL2505059")</f>
        <v>GL2505059</v>
      </c>
      <c r="R3995" s="57">
        <f>IFERROR(__xludf.DUMMYFUNCTION("""COMPUTED_VALUE"""),45784.0)</f>
        <v>45784</v>
      </c>
      <c r="S3995" s="57">
        <f>IFERROR(__xludf.DUMMYFUNCTION("""COMPUTED_VALUE"""),45790.0)</f>
        <v>45790</v>
      </c>
      <c r="T3995" s="57">
        <f>IFERROR(__xludf.DUMMYFUNCTION("""COMPUTED_VALUE"""),45814.0)</f>
        <v>45814</v>
      </c>
    </row>
    <row r="3996">
      <c r="A3996" s="6" t="str">
        <f>IFERROR(__xludf.DUMMYFUNCTION("""COMPUTED_VALUE"""),"121702713-1")</f>
        <v>121702713-1</v>
      </c>
      <c r="B3996" s="6" t="str">
        <f>IFERROR(__xludf.DUMMYFUNCTION("""COMPUTED_VALUE"""),"121702713 - APPROVED")</f>
        <v>121702713 - APPROVED</v>
      </c>
      <c r="C3996" s="6">
        <f>IFERROR(__xludf.DUMMYFUNCTION("""COMPUTED_VALUE"""),1.0)</f>
        <v>1</v>
      </c>
      <c r="D3996" s="6" t="str">
        <f>IFERROR(__xludf.DUMMYFUNCTION("""COMPUTED_VALUE"""),"T-20791-00")</f>
        <v>T-20791-00</v>
      </c>
      <c r="E3996" s="6" t="str">
        <f>IFERROR(__xludf.DUMMYFUNCTION("""COMPUTED_VALUE"""),"Heater/Cooler Engine 2690; Waters; 700001066;")</f>
        <v>Heater/Cooler Engine 2690; Waters; 700001066;</v>
      </c>
      <c r="F3996" s="6">
        <f>IFERROR(__xludf.DUMMYFUNCTION("""COMPUTED_VALUE"""),1.0)</f>
        <v>1</v>
      </c>
      <c r="G3996" s="6" t="str">
        <f>IFERROR(__xludf.DUMMYFUNCTION("""COMPUTED_VALUE"""),"Unit")</f>
        <v>Unit</v>
      </c>
      <c r="H3996" s="6" t="str">
        <f>IFERROR(__xludf.DUMMYFUNCTION("""COMPUTED_VALUE"""),"USD")</f>
        <v>USD</v>
      </c>
      <c r="I3996" s="6">
        <f>IFERROR(__xludf.DUMMYFUNCTION("""COMPUTED_VALUE"""),3.1273632E7)</f>
        <v>31273632</v>
      </c>
      <c r="J3996" s="6">
        <f>IFERROR(__xludf.DUMMYFUNCTION("""COMPUTED_VALUE"""),3.1273632E7)</f>
        <v>31273632</v>
      </c>
      <c r="K3996" s="57">
        <f>IFERROR(__xludf.DUMMYFUNCTION("""COMPUTED_VALUE"""),45814.0)</f>
        <v>45814</v>
      </c>
      <c r="L3996" s="6" t="str">
        <f>IFERROR(__xludf.DUMMYFUNCTION("""COMPUTED_VALUE"""),"FIP General")</f>
        <v>FIP General</v>
      </c>
      <c r="M3996" s="6" t="str">
        <f>IFERROR(__xludf.DUMMYFUNCTION("""COMPUTED_VALUE"""),"Mochammad Fadhillah Hakim,")</f>
        <v>Mochammad Fadhillah Hakim,</v>
      </c>
      <c r="N3996" s="6" t="str">
        <f>IFERROR(__xludf.DUMMYFUNCTION("""COMPUTED_VALUE"""),"FIP Engineering")</f>
        <v>FIP Engineering</v>
      </c>
      <c r="O3996" s="6" t="str">
        <f>IFERROR(__xludf.DUMMYFUNCTION("""COMPUTED_VALUE"""),"FIP-DOM-ENG-51505-0000000-INA-000000")</f>
        <v>FIP-DOM-ENG-51505-0000000-INA-000000</v>
      </c>
      <c r="P3996" s="6" t="str">
        <f>IFERROR(__xludf.DUMMYFUNCTION("""COMPUTED_VALUE"""),"PO Closed")</f>
        <v>PO Closed</v>
      </c>
      <c r="Q3996" s="6" t="str">
        <f>IFERROR(__xludf.DUMMYFUNCTION("""COMPUTED_VALUE"""),"GL2506394")</f>
        <v>GL2506394</v>
      </c>
      <c r="R3996" s="57">
        <f>IFERROR(__xludf.DUMMYFUNCTION("""COMPUTED_VALUE"""),45784.0)</f>
        <v>45784</v>
      </c>
      <c r="S3996" s="57">
        <f>IFERROR(__xludf.DUMMYFUNCTION("""COMPUTED_VALUE"""),45785.0)</f>
        <v>45785</v>
      </c>
      <c r="T3996" s="57">
        <f>IFERROR(__xludf.DUMMYFUNCTION("""COMPUTED_VALUE"""),45866.0)</f>
        <v>45866</v>
      </c>
    </row>
    <row r="3997">
      <c r="A3997" s="6" t="str">
        <f>IFERROR(__xludf.DUMMYFUNCTION("""COMPUTED_VALUE"""),"121702716-1")</f>
        <v>121702716-1</v>
      </c>
      <c r="B3997" s="6" t="str">
        <f>IFERROR(__xludf.DUMMYFUNCTION("""COMPUTED_VALUE"""),"121702716 - APPROVED")</f>
        <v>121702716 - APPROVED</v>
      </c>
      <c r="C3997" s="6">
        <f>IFERROR(__xludf.DUMMYFUNCTION("""COMPUTED_VALUE"""),1.0)</f>
        <v>1</v>
      </c>
      <c r="D3997" s="6" t="str">
        <f>IFERROR(__xludf.DUMMYFUNCTION("""COMPUTED_VALUE"""),"T-20002-00")</f>
        <v>T-20002-00</v>
      </c>
      <c r="E3997" s="6" t="str">
        <f>IFERROR(__xludf.DUMMYFUNCTION("""COMPUTED_VALUE"""),"Jasa Perbaikan Alat Lab - Perbaikan Melting Point")</f>
        <v>Jasa Perbaikan Alat Lab - Perbaikan Melting Point</v>
      </c>
      <c r="F3997" s="6">
        <f>IFERROR(__xludf.DUMMYFUNCTION("""COMPUTED_VALUE"""),1.0)</f>
        <v>1</v>
      </c>
      <c r="G3997" s="6" t="str">
        <f>IFERROR(__xludf.DUMMYFUNCTION("""COMPUTED_VALUE"""),"Pieces")</f>
        <v>Pieces</v>
      </c>
      <c r="H3997" s="6" t="str">
        <f>IFERROR(__xludf.DUMMYFUNCTION("""COMPUTED_VALUE"""),"IDR")</f>
        <v>IDR</v>
      </c>
      <c r="I3997" s="6">
        <f>IFERROR(__xludf.DUMMYFUNCTION("""COMPUTED_VALUE"""),4100000.0)</f>
        <v>4100000</v>
      </c>
      <c r="J3997" s="6">
        <f>IFERROR(__xludf.DUMMYFUNCTION("""COMPUTED_VALUE"""),4100000.0)</f>
        <v>4100000</v>
      </c>
      <c r="K3997" s="57">
        <f>IFERROR(__xludf.DUMMYFUNCTION("""COMPUTED_VALUE"""),45814.0)</f>
        <v>45814</v>
      </c>
      <c r="L3997" s="6" t="str">
        <f>IFERROR(__xludf.DUMMYFUNCTION("""COMPUTED_VALUE"""),"FIP General")</f>
        <v>FIP General</v>
      </c>
      <c r="M3997" s="6" t="str">
        <f>IFERROR(__xludf.DUMMYFUNCTION("""COMPUTED_VALUE"""),"Mochammad Fadhillah Hakim,")</f>
        <v>Mochammad Fadhillah Hakim,</v>
      </c>
      <c r="N3997" s="6" t="str">
        <f>IFERROR(__xludf.DUMMYFUNCTION("""COMPUTED_VALUE"""),"FIP Engineering")</f>
        <v>FIP Engineering</v>
      </c>
      <c r="O3997" s="6" t="str">
        <f>IFERROR(__xludf.DUMMYFUNCTION("""COMPUTED_VALUE"""),"FIP-DOM-ENG-51505-0000000-INA-000000")</f>
        <v>FIP-DOM-ENG-51505-0000000-INA-000000</v>
      </c>
      <c r="P3997" s="6" t="str">
        <f>IFERROR(__xludf.DUMMYFUNCTION("""COMPUTED_VALUE"""),"PO Closed")</f>
        <v>PO Closed</v>
      </c>
      <c r="Q3997" s="6" t="str">
        <f>IFERROR(__xludf.DUMMYFUNCTION("""COMPUTED_VALUE"""),"GL2506007")</f>
        <v>GL2506007</v>
      </c>
      <c r="R3997" s="57">
        <f>IFERROR(__xludf.DUMMYFUNCTION("""COMPUTED_VALUE"""),45784.0)</f>
        <v>45784</v>
      </c>
      <c r="S3997" s="57">
        <f>IFERROR(__xludf.DUMMYFUNCTION("""COMPUTED_VALUE"""),45785.0)</f>
        <v>45785</v>
      </c>
      <c r="T3997" s="57">
        <f>IFERROR(__xludf.DUMMYFUNCTION("""COMPUTED_VALUE"""),45821.0)</f>
        <v>45821</v>
      </c>
    </row>
    <row r="3998">
      <c r="A3998" s="6" t="str">
        <f>IFERROR(__xludf.DUMMYFUNCTION("""COMPUTED_VALUE"""),"121702717-1")</f>
        <v>121702717-1</v>
      </c>
      <c r="B3998" s="6" t="str">
        <f>IFERROR(__xludf.DUMMYFUNCTION("""COMPUTED_VALUE"""),"121702717 - APPROVED")</f>
        <v>121702717 - APPROVED</v>
      </c>
      <c r="C3998" s="6">
        <f>IFERROR(__xludf.DUMMYFUNCTION("""COMPUTED_VALUE"""),1.0)</f>
        <v>1</v>
      </c>
      <c r="D3998" s="6" t="str">
        <f>IFERROR(__xludf.DUMMYFUNCTION("""COMPUTED_VALUE"""),"T-12200-00")</f>
        <v>T-12200-00</v>
      </c>
      <c r="E3998" s="6" t="str">
        <f>IFERROR(__xludf.DUMMYFUNCTION("""COMPUTED_VALUE"""),"WD BLUE SSD 500GB 3D NAND SATA SSD; ; ;")</f>
        <v>WD BLUE SSD 500GB 3D NAND SATA SSD; ; ;</v>
      </c>
      <c r="F3998" s="6">
        <f>IFERROR(__xludf.DUMMYFUNCTION("""COMPUTED_VALUE"""),2.0)</f>
        <v>2</v>
      </c>
      <c r="G3998" s="6" t="str">
        <f>IFERROR(__xludf.DUMMYFUNCTION("""COMPUTED_VALUE"""),"Pieces")</f>
        <v>Pieces</v>
      </c>
      <c r="H3998" s="6" t="str">
        <f>IFERROR(__xludf.DUMMYFUNCTION("""COMPUTED_VALUE"""),"IDR")</f>
        <v>IDR</v>
      </c>
      <c r="I3998" s="6">
        <f>IFERROR(__xludf.DUMMYFUNCTION("""COMPUTED_VALUE"""),1200000.0)</f>
        <v>1200000</v>
      </c>
      <c r="J3998" s="6">
        <f>IFERROR(__xludf.DUMMYFUNCTION("""COMPUTED_VALUE"""),2400000.0)</f>
        <v>2400000</v>
      </c>
      <c r="K3998" s="57">
        <f>IFERROR(__xludf.DUMMYFUNCTION("""COMPUTED_VALUE"""),45814.0)</f>
        <v>45814</v>
      </c>
      <c r="L3998" s="6" t="str">
        <f>IFERROR(__xludf.DUMMYFUNCTION("""COMPUTED_VALUE"""),"FIP General")</f>
        <v>FIP General</v>
      </c>
      <c r="M3998" s="6" t="str">
        <f>IFERROR(__xludf.DUMMYFUNCTION("""COMPUTED_VALUE"""),"Mochammad Fadhillah Hakim,")</f>
        <v>Mochammad Fadhillah Hakim,</v>
      </c>
      <c r="N3998" s="6" t="str">
        <f>IFERROR(__xludf.DUMMYFUNCTION("""COMPUTED_VALUE"""),"FIP Engineering")</f>
        <v>FIP Engineering</v>
      </c>
      <c r="O3998" s="6" t="str">
        <f>IFERROR(__xludf.DUMMYFUNCTION("""COMPUTED_VALUE"""),"FIP-DOM-ENG-51404-0000000-INA-000000")</f>
        <v>FIP-DOM-ENG-51404-0000000-INA-000000</v>
      </c>
      <c r="P3998" s="6" t="str">
        <f>IFERROR(__xludf.DUMMYFUNCTION("""COMPUTED_VALUE"""),"PO Closed")</f>
        <v>PO Closed</v>
      </c>
      <c r="Q3998" s="6" t="str">
        <f>IFERROR(__xludf.DUMMYFUNCTION("""COMPUTED_VALUE"""),"GL2505045")</f>
        <v>GL2505045</v>
      </c>
      <c r="R3998" s="57">
        <f>IFERROR(__xludf.DUMMYFUNCTION("""COMPUTED_VALUE"""),45784.0)</f>
        <v>45784</v>
      </c>
      <c r="S3998" s="57">
        <f>IFERROR(__xludf.DUMMYFUNCTION("""COMPUTED_VALUE"""),45785.0)</f>
        <v>45785</v>
      </c>
      <c r="T3998" s="57">
        <f>IFERROR(__xludf.DUMMYFUNCTION("""COMPUTED_VALUE"""),45804.0)</f>
        <v>45804</v>
      </c>
    </row>
    <row r="3999">
      <c r="A3999" s="6" t="str">
        <f>IFERROR(__xludf.DUMMYFUNCTION("""COMPUTED_VALUE"""),"121702727-1")</f>
        <v>121702727-1</v>
      </c>
      <c r="B3999" s="6" t="str">
        <f>IFERROR(__xludf.DUMMYFUNCTION("""COMPUTED_VALUE"""),"121702727 - APPROVED")</f>
        <v>121702727 - APPROVED</v>
      </c>
      <c r="C3999" s="6">
        <f>IFERROR(__xludf.DUMMYFUNCTION("""COMPUTED_VALUE"""),1.0)</f>
        <v>1</v>
      </c>
      <c r="D3999" s="6" t="str">
        <f>IFERROR(__xludf.DUMMYFUNCTION("""COMPUTED_VALUE"""),"P-53055-00")</f>
        <v>P-53055-00</v>
      </c>
      <c r="E3999" s="6" t="str">
        <f>IFERROR(__xludf.DUMMYFUNCTION("""COMPUTED_VALUE"""),"General - Fuse Keramik Double 160A 690VAC Bussman FEE160")</f>
        <v>General - Fuse Keramik Double 160A 690VAC Bussman FEE160</v>
      </c>
      <c r="F3999" s="6">
        <f>IFERROR(__xludf.DUMMYFUNCTION("""COMPUTED_VALUE"""),6.0)</f>
        <v>6</v>
      </c>
      <c r="G3999" s="6" t="str">
        <f>IFERROR(__xludf.DUMMYFUNCTION("""COMPUTED_VALUE"""),"Pieces")</f>
        <v>Pieces</v>
      </c>
      <c r="H3999" s="6" t="str">
        <f>IFERROR(__xludf.DUMMYFUNCTION("""COMPUTED_VALUE"""),"IDR")</f>
        <v>IDR</v>
      </c>
      <c r="I3999" s="6">
        <f>IFERROR(__xludf.DUMMYFUNCTION("""COMPUTED_VALUE"""),615000.0)</f>
        <v>615000</v>
      </c>
      <c r="J3999" s="6">
        <f>IFERROR(__xludf.DUMMYFUNCTION("""COMPUTED_VALUE"""),3690000.0)</f>
        <v>3690000</v>
      </c>
      <c r="K3999" s="57">
        <f>IFERROR(__xludf.DUMMYFUNCTION("""COMPUTED_VALUE"""),45821.0)</f>
        <v>45821</v>
      </c>
      <c r="L3999" s="6" t="str">
        <f>IFERROR(__xludf.DUMMYFUNCTION("""COMPUTED_VALUE"""),"FIP Engineering")</f>
        <v>FIP Engineering</v>
      </c>
      <c r="M3999" s="6" t="str">
        <f>IFERROR(__xludf.DUMMYFUNCTION("""COMPUTED_VALUE"""),"Mochammad Fadhillah Hakim,")</f>
        <v>Mochammad Fadhillah Hakim,</v>
      </c>
      <c r="N3999" s="6" t="str">
        <f>IFERROR(__xludf.DUMMYFUNCTION("""COMPUTED_VALUE"""),"FIP Engineering")</f>
        <v>FIP Engineering</v>
      </c>
      <c r="O3999" s="6" t="str">
        <f>IFERROR(__xludf.DUMMYFUNCTION("""COMPUTED_VALUE"""),"FIP-DOM-000-11304-OS00001-INA-000000")</f>
        <v>FIP-DOM-000-11304-OS00001-INA-000000</v>
      </c>
      <c r="P3999" s="6" t="str">
        <f>IFERROR(__xludf.DUMMYFUNCTION("""COMPUTED_VALUE"""),"PO Closed")</f>
        <v>PO Closed</v>
      </c>
      <c r="Q3999" s="6" t="str">
        <f>IFERROR(__xludf.DUMMYFUNCTION("""COMPUTED_VALUE"""),"GL2505059")</f>
        <v>GL2505059</v>
      </c>
      <c r="R3999" s="57">
        <f>IFERROR(__xludf.DUMMYFUNCTION("""COMPUTED_VALUE"""),45785.0)</f>
        <v>45785</v>
      </c>
      <c r="S3999" s="57">
        <f>IFERROR(__xludf.DUMMYFUNCTION("""COMPUTED_VALUE"""),45786.0)</f>
        <v>45786</v>
      </c>
      <c r="T3999" s="57">
        <f>IFERROR(__xludf.DUMMYFUNCTION("""COMPUTED_VALUE"""),45821.0)</f>
        <v>45821</v>
      </c>
    </row>
    <row r="4000">
      <c r="A4000" s="6" t="str">
        <f>IFERROR(__xludf.DUMMYFUNCTION("""COMPUTED_VALUE"""),"121702728-1")</f>
        <v>121702728-1</v>
      </c>
      <c r="B4000" s="6" t="str">
        <f>IFERROR(__xludf.DUMMYFUNCTION("""COMPUTED_VALUE"""),"121702728 - APPROVED")</f>
        <v>121702728 - APPROVED</v>
      </c>
      <c r="C4000" s="6">
        <f>IFERROR(__xludf.DUMMYFUNCTION("""COMPUTED_VALUE"""),1.0)</f>
        <v>1</v>
      </c>
      <c r="D4000" s="6" t="str">
        <f>IFERROR(__xludf.DUMMYFUNCTION("""COMPUTED_VALUE"""),"P-51889-00")</f>
        <v>P-51889-00</v>
      </c>
      <c r="E4000" s="6" t="str">
        <f>IFERROR(__xludf.DUMMYFUNCTION("""COMPUTED_VALUE"""),"Autonics - Power Supply SPA-050-24VDC; ; ;")</f>
        <v>Autonics - Power Supply SPA-050-24VDC; ; ;</v>
      </c>
      <c r="F4000" s="6">
        <f>IFERROR(__xludf.DUMMYFUNCTION("""COMPUTED_VALUE"""),3.0)</f>
        <v>3</v>
      </c>
      <c r="G4000" s="6" t="str">
        <f>IFERROR(__xludf.DUMMYFUNCTION("""COMPUTED_VALUE"""),"Pieces")</f>
        <v>Pieces</v>
      </c>
      <c r="H4000" s="6" t="str">
        <f>IFERROR(__xludf.DUMMYFUNCTION("""COMPUTED_VALUE"""),"IDR")</f>
        <v>IDR</v>
      </c>
      <c r="I4000" s="6">
        <f>IFERROR(__xludf.DUMMYFUNCTION("""COMPUTED_VALUE"""),719200.0)</f>
        <v>719200</v>
      </c>
      <c r="J4000" s="6">
        <f>IFERROR(__xludf.DUMMYFUNCTION("""COMPUTED_VALUE"""),2157600.0)</f>
        <v>2157600</v>
      </c>
      <c r="K4000" s="57">
        <f>IFERROR(__xludf.DUMMYFUNCTION("""COMPUTED_VALUE"""),45821.0)</f>
        <v>45821</v>
      </c>
      <c r="L4000" s="6" t="str">
        <f>IFERROR(__xludf.DUMMYFUNCTION("""COMPUTED_VALUE"""),"FIP Engineering")</f>
        <v>FIP Engineering</v>
      </c>
      <c r="M4000" s="6" t="str">
        <f>IFERROR(__xludf.DUMMYFUNCTION("""COMPUTED_VALUE"""),"Mochammad Fadhillah Hakim,")</f>
        <v>Mochammad Fadhillah Hakim,</v>
      </c>
      <c r="N4000" s="6" t="str">
        <f>IFERROR(__xludf.DUMMYFUNCTION("""COMPUTED_VALUE"""),"FIP Engineering")</f>
        <v>FIP Engineering</v>
      </c>
      <c r="O4000" s="6" t="str">
        <f>IFERROR(__xludf.DUMMYFUNCTION("""COMPUTED_VALUE"""),"FIP-DOM-000-11304-OS00001-INA-000000")</f>
        <v>FIP-DOM-000-11304-OS00001-INA-000000</v>
      </c>
      <c r="P4000" s="6" t="str">
        <f>IFERROR(__xludf.DUMMYFUNCTION("""COMPUTED_VALUE"""),"PO Closed")</f>
        <v>PO Closed</v>
      </c>
      <c r="Q4000" s="6" t="str">
        <f>IFERROR(__xludf.DUMMYFUNCTION("""COMPUTED_VALUE"""),"GL2505063")</f>
        <v>GL2505063</v>
      </c>
      <c r="R4000" s="57">
        <f>IFERROR(__xludf.DUMMYFUNCTION("""COMPUTED_VALUE"""),45785.0)</f>
        <v>45785</v>
      </c>
      <c r="S4000" s="57">
        <f>IFERROR(__xludf.DUMMYFUNCTION("""COMPUTED_VALUE"""),45790.0)</f>
        <v>45790</v>
      </c>
      <c r="T4000" s="57">
        <f>IFERROR(__xludf.DUMMYFUNCTION("""COMPUTED_VALUE"""),45882.0)</f>
        <v>45882</v>
      </c>
    </row>
    <row r="4001">
      <c r="A4001" s="6" t="str">
        <f>IFERROR(__xludf.DUMMYFUNCTION("""COMPUTED_VALUE"""),"121702731-1")</f>
        <v>121702731-1</v>
      </c>
      <c r="B4001" s="6" t="str">
        <f>IFERROR(__xludf.DUMMYFUNCTION("""COMPUTED_VALUE"""),"121702731 - APPROVED")</f>
        <v>121702731 - APPROVED</v>
      </c>
      <c r="C4001" s="6">
        <f>IFERROR(__xludf.DUMMYFUNCTION("""COMPUTED_VALUE"""),1.0)</f>
        <v>1</v>
      </c>
      <c r="D4001" s="6" t="str">
        <f>IFERROR(__xludf.DUMMYFUNCTION("""COMPUTED_VALUE"""),"S-60002-00")</f>
        <v>S-60002-00</v>
      </c>
      <c r="E4001" s="6" t="str">
        <f>IFERROR(__xludf.DUMMYFUNCTION("""COMPUTED_VALUE"""),"Jasa Perbaikan dan Pemeliharaan Mesin Utility - Perbaikan Board Control Dump Waiter")</f>
        <v>Jasa Perbaikan dan Pemeliharaan Mesin Utility - Perbaikan Board Control Dump Waiter</v>
      </c>
      <c r="F4001" s="6">
        <f>IFERROR(__xludf.DUMMYFUNCTION("""COMPUTED_VALUE"""),1.0)</f>
        <v>1</v>
      </c>
      <c r="G4001" s="6" t="str">
        <f>IFERROR(__xludf.DUMMYFUNCTION("""COMPUTED_VALUE"""),"Lot")</f>
        <v>Lot</v>
      </c>
      <c r="H4001" s="6" t="str">
        <f>IFERROR(__xludf.DUMMYFUNCTION("""COMPUTED_VALUE"""),"IDR")</f>
        <v>IDR</v>
      </c>
      <c r="I4001" s="6">
        <f>IFERROR(__xludf.DUMMYFUNCTION("""COMPUTED_VALUE"""),1983861.0)</f>
        <v>1983861</v>
      </c>
      <c r="J4001" s="6">
        <f>IFERROR(__xludf.DUMMYFUNCTION("""COMPUTED_VALUE"""),1983861.0)</f>
        <v>1983861</v>
      </c>
      <c r="K4001" s="57">
        <f>IFERROR(__xludf.DUMMYFUNCTION("""COMPUTED_VALUE"""),45803.0)</f>
        <v>45803</v>
      </c>
      <c r="L4001" s="6" t="str">
        <f>IFERROR(__xludf.DUMMYFUNCTION("""COMPUTED_VALUE"""),"FIP General")</f>
        <v>FIP General</v>
      </c>
      <c r="M4001" s="6" t="str">
        <f>IFERROR(__xludf.DUMMYFUNCTION("""COMPUTED_VALUE"""),"Mochammad Fadhillah Hakim,")</f>
        <v>Mochammad Fadhillah Hakim,</v>
      </c>
      <c r="N4001" s="6" t="str">
        <f>IFERROR(__xludf.DUMMYFUNCTION("""COMPUTED_VALUE"""),"FIP Engineering")</f>
        <v>FIP Engineering</v>
      </c>
      <c r="O4001" s="6" t="str">
        <f>IFERROR(__xludf.DUMMYFUNCTION("""COMPUTED_VALUE"""),"FIP-DOM-ENG-51508-0000000-INA-000000")</f>
        <v>FIP-DOM-ENG-51508-0000000-INA-000000</v>
      </c>
      <c r="P4001" s="6" t="str">
        <f>IFERROR(__xludf.DUMMYFUNCTION("""COMPUTED_VALUE"""),"PO Closed")</f>
        <v>PO Closed</v>
      </c>
      <c r="Q4001" s="6" t="str">
        <f>IFERROR(__xludf.DUMMYFUNCTION("""COMPUTED_VALUE"""),"GL2506041")</f>
        <v>GL2506041</v>
      </c>
      <c r="R4001" s="57">
        <f>IFERROR(__xludf.DUMMYFUNCTION("""COMPUTED_VALUE"""),45786.0)</f>
        <v>45786</v>
      </c>
      <c r="S4001" s="57">
        <f>IFERROR(__xludf.DUMMYFUNCTION("""COMPUTED_VALUE"""),45786.0)</f>
        <v>45786</v>
      </c>
      <c r="T4001" s="57">
        <f>IFERROR(__xludf.DUMMYFUNCTION("""COMPUTED_VALUE"""),45910.0)</f>
        <v>45910</v>
      </c>
    </row>
    <row r="4002">
      <c r="A4002" s="6" t="str">
        <f>IFERROR(__xludf.DUMMYFUNCTION("""COMPUTED_VALUE"""),"121702732-1")</f>
        <v>121702732-1</v>
      </c>
      <c r="B4002" s="6" t="str">
        <f>IFERROR(__xludf.DUMMYFUNCTION("""COMPUTED_VALUE"""),"121702732 - APPROVED")</f>
        <v>121702732 - APPROVED</v>
      </c>
      <c r="C4002" s="6">
        <f>IFERROR(__xludf.DUMMYFUNCTION("""COMPUTED_VALUE"""),1.0)</f>
        <v>1</v>
      </c>
      <c r="D4002" s="6" t="str">
        <f>IFERROR(__xludf.DUMMYFUNCTION("""COMPUTED_VALUE"""),"Q-90000-00")</f>
        <v>Q-90000-00</v>
      </c>
      <c r="E4002" s="6" t="str">
        <f>IFERROR(__xludf.DUMMYFUNCTION("""COMPUTED_VALUE"""),"Building Maintenance Pure Expense - Pembuatan Pondasi N2")</f>
        <v>Building Maintenance Pure Expense - Pembuatan Pondasi N2</v>
      </c>
      <c r="F4002" s="6">
        <f>IFERROR(__xludf.DUMMYFUNCTION("""COMPUTED_VALUE"""),1.0)</f>
        <v>1</v>
      </c>
      <c r="G4002" s="6" t="str">
        <f>IFERROR(__xludf.DUMMYFUNCTION("""COMPUTED_VALUE"""),"Unit")</f>
        <v>Unit</v>
      </c>
      <c r="H4002" s="6" t="str">
        <f>IFERROR(__xludf.DUMMYFUNCTION("""COMPUTED_VALUE"""),"IDR")</f>
        <v>IDR</v>
      </c>
      <c r="I4002" s="6">
        <f>IFERROR(__xludf.DUMMYFUNCTION("""COMPUTED_VALUE"""),1.19375E7)</f>
        <v>11937500</v>
      </c>
      <c r="J4002" s="6">
        <f>IFERROR(__xludf.DUMMYFUNCTION("""COMPUTED_VALUE"""),1.19375E7)</f>
        <v>11937500</v>
      </c>
      <c r="K4002" s="57">
        <f>IFERROR(__xludf.DUMMYFUNCTION("""COMPUTED_VALUE"""),45821.0)</f>
        <v>45821</v>
      </c>
      <c r="L4002" s="6" t="str">
        <f>IFERROR(__xludf.DUMMYFUNCTION("""COMPUTED_VALUE"""),"FIP General")</f>
        <v>FIP General</v>
      </c>
      <c r="M4002" s="6" t="str">
        <f>IFERROR(__xludf.DUMMYFUNCTION("""COMPUTED_VALUE"""),"Mochammad Fadhillah Hakim,")</f>
        <v>Mochammad Fadhillah Hakim,</v>
      </c>
      <c r="N4002" s="6" t="str">
        <f>IFERROR(__xludf.DUMMYFUNCTION("""COMPUTED_VALUE"""),"FIP Engineering")</f>
        <v>FIP Engineering</v>
      </c>
      <c r="O4002" s="6" t="str">
        <f>IFERROR(__xludf.DUMMYFUNCTION("""COMPUTED_VALUE"""),"FIP-DOM-ENG-51502-0000000-INA-000000")</f>
        <v>FIP-DOM-ENG-51502-0000000-INA-000000</v>
      </c>
      <c r="P4002" s="6" t="str">
        <f>IFERROR(__xludf.DUMMYFUNCTION("""COMPUTED_VALUE"""),"PO Closed")</f>
        <v>PO Closed</v>
      </c>
      <c r="Q4002" s="6" t="str">
        <f>IFERROR(__xludf.DUMMYFUNCTION("""COMPUTED_VALUE"""),"GL2505050")</f>
        <v>GL2505050</v>
      </c>
      <c r="R4002" s="57">
        <f>IFERROR(__xludf.DUMMYFUNCTION("""COMPUTED_VALUE"""),45786.0)</f>
        <v>45786</v>
      </c>
      <c r="S4002" s="57">
        <f>IFERROR(__xludf.DUMMYFUNCTION("""COMPUTED_VALUE"""),45786.0)</f>
        <v>45786</v>
      </c>
      <c r="T4002" s="57">
        <f>IFERROR(__xludf.DUMMYFUNCTION("""COMPUTED_VALUE"""),45852.0)</f>
        <v>45852</v>
      </c>
    </row>
    <row r="4003">
      <c r="A4003" s="6" t="str">
        <f>IFERROR(__xludf.DUMMYFUNCTION("""COMPUTED_VALUE"""),"121702736-1")</f>
        <v>121702736-1</v>
      </c>
      <c r="B4003" s="6" t="str">
        <f>IFERROR(__xludf.DUMMYFUNCTION("""COMPUTED_VALUE"""),"121702736 - APPROVED")</f>
        <v>121702736 - APPROVED</v>
      </c>
      <c r="C4003" s="6">
        <f>IFERROR(__xludf.DUMMYFUNCTION("""COMPUTED_VALUE"""),1.0)</f>
        <v>1</v>
      </c>
      <c r="D4003" s="6" t="str">
        <f>IFERROR(__xludf.DUMMYFUNCTION("""COMPUTED_VALUE"""),"S-60002-00")</f>
        <v>S-60002-00</v>
      </c>
      <c r="E4003" s="6" t="str">
        <f>IFERROR(__xludf.DUMMYFUNCTION("""COMPUTED_VALUE"""),"Jasa Perbaikan dan Pemeliharaan Mesin Utility - Re-Termination dan Re-Program beserta part BAS")</f>
        <v>Jasa Perbaikan dan Pemeliharaan Mesin Utility - Re-Termination dan Re-Program beserta part BAS</v>
      </c>
      <c r="F4003" s="6">
        <f>IFERROR(__xludf.DUMMYFUNCTION("""COMPUTED_VALUE"""),1.0)</f>
        <v>1</v>
      </c>
      <c r="G4003" s="6" t="str">
        <f>IFERROR(__xludf.DUMMYFUNCTION("""COMPUTED_VALUE"""),"Lot")</f>
        <v>Lot</v>
      </c>
      <c r="H4003" s="6" t="str">
        <f>IFERROR(__xludf.DUMMYFUNCTION("""COMPUTED_VALUE"""),"IDR")</f>
        <v>IDR</v>
      </c>
      <c r="I4003" s="6">
        <f>IFERROR(__xludf.DUMMYFUNCTION("""COMPUTED_VALUE"""),9.52E7)</f>
        <v>95200000</v>
      </c>
      <c r="J4003" s="6">
        <f>IFERROR(__xludf.DUMMYFUNCTION("""COMPUTED_VALUE"""),9.52E7)</f>
        <v>95200000</v>
      </c>
      <c r="K4003" s="57">
        <f>IFERROR(__xludf.DUMMYFUNCTION("""COMPUTED_VALUE"""),45821.0)</f>
        <v>45821</v>
      </c>
      <c r="L4003" s="6" t="str">
        <f>IFERROR(__xludf.DUMMYFUNCTION("""COMPUTED_VALUE"""),"FIP General")</f>
        <v>FIP General</v>
      </c>
      <c r="M4003" s="6" t="str">
        <f>IFERROR(__xludf.DUMMYFUNCTION("""COMPUTED_VALUE"""),"Mochammad Fadhillah Hakim,")</f>
        <v>Mochammad Fadhillah Hakim,</v>
      </c>
      <c r="N4003" s="6" t="str">
        <f>IFERROR(__xludf.DUMMYFUNCTION("""COMPUTED_VALUE"""),"FIP Engineering")</f>
        <v>FIP Engineering</v>
      </c>
      <c r="O4003" s="6" t="str">
        <f>IFERROR(__xludf.DUMMYFUNCTION("""COMPUTED_VALUE"""),"FIP-DOM-ENG-51508-0000000-INA-000000")</f>
        <v>FIP-DOM-ENG-51508-0000000-INA-000000</v>
      </c>
      <c r="P4003" s="6" t="str">
        <f>IFERROR(__xludf.DUMMYFUNCTION("""COMPUTED_VALUE"""),"PO Closed")</f>
        <v>PO Closed</v>
      </c>
      <c r="Q4003" s="6" t="str">
        <f>IFERROR(__xludf.DUMMYFUNCTION("""COMPUTED_VALUE"""),"GL2506019")</f>
        <v>GL2506019</v>
      </c>
      <c r="R4003" s="57">
        <f>IFERROR(__xludf.DUMMYFUNCTION("""COMPUTED_VALUE"""),45786.0)</f>
        <v>45786</v>
      </c>
      <c r="S4003" s="57">
        <f>IFERROR(__xludf.DUMMYFUNCTION("""COMPUTED_VALUE"""),45790.0)</f>
        <v>45790</v>
      </c>
      <c r="T4003" s="57">
        <f>IFERROR(__xludf.DUMMYFUNCTION("""COMPUTED_VALUE"""),45899.0)</f>
        <v>45899</v>
      </c>
    </row>
    <row r="4004">
      <c r="A4004" s="6" t="str">
        <f>IFERROR(__xludf.DUMMYFUNCTION("""COMPUTED_VALUE"""),"121702738-1")</f>
        <v>121702738-1</v>
      </c>
      <c r="B4004" s="6" t="str">
        <f>IFERROR(__xludf.DUMMYFUNCTION("""COMPUTED_VALUE"""),"121702738 - APPROVED")</f>
        <v>121702738 - APPROVED</v>
      </c>
      <c r="C4004" s="6">
        <f>IFERROR(__xludf.DUMMYFUNCTION("""COMPUTED_VALUE"""),1.0)</f>
        <v>1</v>
      </c>
      <c r="D4004" s="6" t="str">
        <f>IFERROR(__xludf.DUMMYFUNCTION("""COMPUTED_VALUE"""),"P-16474-00")</f>
        <v>P-16474-00</v>
      </c>
      <c r="E4004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F4004" s="6">
        <f>IFERROR(__xludf.DUMMYFUNCTION("""COMPUTED_VALUE"""),6.0)</f>
        <v>6</v>
      </c>
      <c r="G4004" s="6" t="str">
        <f>IFERROR(__xludf.DUMMYFUNCTION("""COMPUTED_VALUE"""),"Pack")</f>
        <v>Pack</v>
      </c>
      <c r="H4004" s="6" t="str">
        <f>IFERROR(__xludf.DUMMYFUNCTION("""COMPUTED_VALUE"""),"IDR")</f>
        <v>IDR</v>
      </c>
      <c r="I4004" s="6">
        <f>IFERROR(__xludf.DUMMYFUNCTION("""COMPUTED_VALUE"""),20000.0)</f>
        <v>20000</v>
      </c>
      <c r="J4004" s="6">
        <f>IFERROR(__xludf.DUMMYFUNCTION("""COMPUTED_VALUE"""),120000.0)</f>
        <v>120000</v>
      </c>
      <c r="K4004" s="57">
        <f>IFERROR(__xludf.DUMMYFUNCTION("""COMPUTED_VALUE"""),45807.0)</f>
        <v>45807</v>
      </c>
      <c r="L4004" s="6" t="str">
        <f>IFERROR(__xludf.DUMMYFUNCTION("""COMPUTED_VALUE"""),"FIP Engineering")</f>
        <v>FIP Engineering</v>
      </c>
      <c r="M4004" s="6" t="str">
        <f>IFERROR(__xludf.DUMMYFUNCTION("""COMPUTED_VALUE"""),"Mochammad Fadhillah Hakim,")</f>
        <v>Mochammad Fadhillah Hakim,</v>
      </c>
      <c r="N4004" s="6" t="str">
        <f>IFERROR(__xludf.DUMMYFUNCTION("""COMPUTED_VALUE"""),"FIP Engineering")</f>
        <v>FIP Engineering</v>
      </c>
      <c r="O4004" s="6" t="str">
        <f>IFERROR(__xludf.DUMMYFUNCTION("""COMPUTED_VALUE"""),"FIP-DOM-000-11304-OS00001-INA-000000")</f>
        <v>FIP-DOM-000-11304-OS00001-INA-000000</v>
      </c>
      <c r="P4004" s="6" t="str">
        <f>IFERROR(__xludf.DUMMYFUNCTION("""COMPUTED_VALUE"""),"PO Closed")</f>
        <v>PO Closed</v>
      </c>
      <c r="Q4004" s="6" t="str">
        <f>IFERROR(__xludf.DUMMYFUNCTION("""COMPUTED_VALUE"""),"GL2505373")</f>
        <v>GL2505373</v>
      </c>
      <c r="R4004" s="57">
        <f>IFERROR(__xludf.DUMMYFUNCTION("""COMPUTED_VALUE"""),45786.0)</f>
        <v>45786</v>
      </c>
      <c r="S4004" s="57">
        <f>IFERROR(__xludf.DUMMYFUNCTION("""COMPUTED_VALUE"""),45790.0)</f>
        <v>45790</v>
      </c>
      <c r="T4004" s="57">
        <f>IFERROR(__xludf.DUMMYFUNCTION("""COMPUTED_VALUE"""),45814.0)</f>
        <v>45814</v>
      </c>
    </row>
    <row r="4005">
      <c r="A4005" s="6" t="str">
        <f>IFERROR(__xludf.DUMMYFUNCTION("""COMPUTED_VALUE"""),"121702739-1")</f>
        <v>121702739-1</v>
      </c>
      <c r="B4005" s="6" t="str">
        <f>IFERROR(__xludf.DUMMYFUNCTION("""COMPUTED_VALUE"""),"121702739 - APPROVED")</f>
        <v>121702739 - APPROVED</v>
      </c>
      <c r="C4005" s="6">
        <f>IFERROR(__xludf.DUMMYFUNCTION("""COMPUTED_VALUE"""),1.0)</f>
        <v>1</v>
      </c>
      <c r="D4005" s="6" t="str">
        <f>IFERROR(__xludf.DUMMYFUNCTION("""COMPUTED_VALUE"""),"P-54269-00")</f>
        <v>P-54269-00</v>
      </c>
      <c r="E4005" s="6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F4005" s="6">
        <f>IFERROR(__xludf.DUMMYFUNCTION("""COMPUTED_VALUE"""),1.0)</f>
        <v>1</v>
      </c>
      <c r="G4005" s="6" t="str">
        <f>IFERROR(__xludf.DUMMYFUNCTION("""COMPUTED_VALUE"""),"Pieces")</f>
        <v>Pieces</v>
      </c>
      <c r="H4005" s="6" t="str">
        <f>IFERROR(__xludf.DUMMYFUNCTION("""COMPUTED_VALUE"""),"IDR")</f>
        <v>IDR</v>
      </c>
      <c r="I4005" s="6">
        <f>IFERROR(__xludf.DUMMYFUNCTION("""COMPUTED_VALUE"""),3.668E7)</f>
        <v>36680000</v>
      </c>
      <c r="J4005" s="6">
        <f>IFERROR(__xludf.DUMMYFUNCTION("""COMPUTED_VALUE"""),3.668E7)</f>
        <v>36680000</v>
      </c>
      <c r="K4005" s="57">
        <f>IFERROR(__xludf.DUMMYFUNCTION("""COMPUTED_VALUE"""),45821.0)</f>
        <v>45821</v>
      </c>
      <c r="L4005" s="6" t="str">
        <f>IFERROR(__xludf.DUMMYFUNCTION("""COMPUTED_VALUE"""),"FIP Engineering")</f>
        <v>FIP Engineering</v>
      </c>
      <c r="M4005" s="6" t="str">
        <f>IFERROR(__xludf.DUMMYFUNCTION("""COMPUTED_VALUE"""),"Mochammad Fadhillah Hakim,")</f>
        <v>Mochammad Fadhillah Hakim,</v>
      </c>
      <c r="N4005" s="6" t="str">
        <f>IFERROR(__xludf.DUMMYFUNCTION("""COMPUTED_VALUE"""),"FIP Engineering")</f>
        <v>FIP Engineering</v>
      </c>
      <c r="O4005" s="6" t="str">
        <f>IFERROR(__xludf.DUMMYFUNCTION("""COMPUTED_VALUE"""),"FIP-DOM-000-11304-OS00001-INA-000000")</f>
        <v>FIP-DOM-000-11304-OS00001-INA-000000</v>
      </c>
      <c r="P4005" s="6" t="str">
        <f>IFERROR(__xludf.DUMMYFUNCTION("""COMPUTED_VALUE"""),"PO Closed")</f>
        <v>PO Closed</v>
      </c>
      <c r="Q4005" s="6" t="str">
        <f>IFERROR(__xludf.DUMMYFUNCTION("""COMPUTED_VALUE"""),"GL2505054")</f>
        <v>GL2505054</v>
      </c>
      <c r="R4005" s="57">
        <f>IFERROR(__xludf.DUMMYFUNCTION("""COMPUTED_VALUE"""),45790.0)</f>
        <v>45790</v>
      </c>
      <c r="S4005" s="57">
        <f>IFERROR(__xludf.DUMMYFUNCTION("""COMPUTED_VALUE"""),45790.0)</f>
        <v>45790</v>
      </c>
      <c r="T4005" s="57">
        <f>IFERROR(__xludf.DUMMYFUNCTION("""COMPUTED_VALUE"""),45828.0)</f>
        <v>45828</v>
      </c>
    </row>
    <row r="4006">
      <c r="A4006" s="6" t="str">
        <f>IFERROR(__xludf.DUMMYFUNCTION("""COMPUTED_VALUE"""),"121702742-1")</f>
        <v>121702742-1</v>
      </c>
      <c r="B4006" s="6" t="str">
        <f>IFERROR(__xludf.DUMMYFUNCTION("""COMPUTED_VALUE"""),"121702742 - APPROVED")</f>
        <v>121702742 - APPROVED</v>
      </c>
      <c r="C4006" s="6">
        <f>IFERROR(__xludf.DUMMYFUNCTION("""COMPUTED_VALUE"""),1.0)</f>
        <v>1</v>
      </c>
      <c r="D4006" s="6" t="str">
        <f>IFERROR(__xludf.DUMMYFUNCTION("""COMPUTED_VALUE"""),"O-54161-00")</f>
        <v>O-54161-00</v>
      </c>
      <c r="E4006" s="6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F4006" s="6">
        <f>IFERROR(__xludf.DUMMYFUNCTION("""COMPUTED_VALUE"""),1.0)</f>
        <v>1</v>
      </c>
      <c r="G4006" s="6" t="str">
        <f>IFERROR(__xludf.DUMMYFUNCTION("""COMPUTED_VALUE"""),"Unit")</f>
        <v>Unit</v>
      </c>
      <c r="H4006" s="6" t="str">
        <f>IFERROR(__xludf.DUMMYFUNCTION("""COMPUTED_VALUE"""),"IDR")</f>
        <v>IDR</v>
      </c>
      <c r="I4006" s="6">
        <f>IFERROR(__xludf.DUMMYFUNCTION("""COMPUTED_VALUE"""),3.375E7)</f>
        <v>33750000</v>
      </c>
      <c r="J4006" s="6">
        <f>IFERROR(__xludf.DUMMYFUNCTION("""COMPUTED_VALUE"""),3.375E7)</f>
        <v>33750000</v>
      </c>
      <c r="K4006" s="57">
        <f>IFERROR(__xludf.DUMMYFUNCTION("""COMPUTED_VALUE"""),45856.0)</f>
        <v>45856</v>
      </c>
      <c r="L4006" s="6" t="str">
        <f>IFERROR(__xludf.DUMMYFUNCTION("""COMPUTED_VALUE"""),"FIP Engineering")</f>
        <v>FIP Engineering</v>
      </c>
      <c r="M4006" s="6" t="str">
        <f>IFERROR(__xludf.DUMMYFUNCTION("""COMPUTED_VALUE"""),"Mochammad Fadhillah Hakim,")</f>
        <v>Mochammad Fadhillah Hakim,</v>
      </c>
      <c r="N4006" s="6" t="str">
        <f>IFERROR(__xludf.DUMMYFUNCTION("""COMPUTED_VALUE"""),"FIP Engineering")</f>
        <v>FIP Engineering</v>
      </c>
      <c r="O4006" s="6" t="str">
        <f>IFERROR(__xludf.DUMMYFUNCTION("""COMPUTED_VALUE"""),"FIP-DOM-000-11304-OS00001-INA-000000")</f>
        <v>FIP-DOM-000-11304-OS00001-INA-000000</v>
      </c>
      <c r="P4006" s="6" t="str">
        <f>IFERROR(__xludf.DUMMYFUNCTION("""COMPUTED_VALUE"""),"PO Closed")</f>
        <v>PO Closed</v>
      </c>
      <c r="Q4006" s="6" t="str">
        <f>IFERROR(__xludf.DUMMYFUNCTION("""COMPUTED_VALUE"""),"GL2506004")</f>
        <v>GL2506004</v>
      </c>
      <c r="R4006" s="57">
        <f>IFERROR(__xludf.DUMMYFUNCTION("""COMPUTED_VALUE"""),45790.0)</f>
        <v>45790</v>
      </c>
      <c r="S4006" s="57">
        <f>IFERROR(__xludf.DUMMYFUNCTION("""COMPUTED_VALUE"""),45790.0)</f>
        <v>45790</v>
      </c>
      <c r="T4006" s="57">
        <f>IFERROR(__xludf.DUMMYFUNCTION("""COMPUTED_VALUE"""),46009.0)</f>
        <v>46009</v>
      </c>
    </row>
    <row r="4007">
      <c r="A4007" s="6" t="str">
        <f>IFERROR(__xludf.DUMMYFUNCTION("""COMPUTED_VALUE"""),"121702745-2")</f>
        <v>121702745-2</v>
      </c>
      <c r="B4007" s="6" t="str">
        <f>IFERROR(__xludf.DUMMYFUNCTION("""COMPUTED_VALUE"""),"121702745 - APPROVED")</f>
        <v>121702745 - APPROVED</v>
      </c>
      <c r="C4007" s="6">
        <f>IFERROR(__xludf.DUMMYFUNCTION("""COMPUTED_VALUE"""),2.0)</f>
        <v>2</v>
      </c>
      <c r="D4007" s="6" t="str">
        <f>IFERROR(__xludf.DUMMYFUNCTION("""COMPUTED_VALUE"""),"P-52369-00")</f>
        <v>P-52369-00</v>
      </c>
      <c r="E4007" s="6" t="str">
        <f>IFERROR(__xludf.DUMMYFUNCTION("""COMPUTED_VALUE"""),"HVAC - Pressure Flow Control MF PFC Ver.3 24 VAC/VDC 0 - 100 Pa Micatrone; ; ;")</f>
        <v>HVAC - Pressure Flow Control MF PFC Ver.3 24 VAC/VDC 0 - 100 Pa Micatrone; ; ;</v>
      </c>
      <c r="F4007" s="6">
        <f>IFERROR(__xludf.DUMMYFUNCTION("""COMPUTED_VALUE"""),2.0)</f>
        <v>2</v>
      </c>
      <c r="G4007" s="6" t="str">
        <f>IFERROR(__xludf.DUMMYFUNCTION("""COMPUTED_VALUE"""),"Unit")</f>
        <v>Unit</v>
      </c>
      <c r="H4007" s="6" t="str">
        <f>IFERROR(__xludf.DUMMYFUNCTION("""COMPUTED_VALUE"""),"IDR")</f>
        <v>IDR</v>
      </c>
      <c r="I4007" s="6">
        <f>IFERROR(__xludf.DUMMYFUNCTION("""COMPUTED_VALUE"""),1.512E7)</f>
        <v>15120000</v>
      </c>
      <c r="J4007" s="6">
        <f>IFERROR(__xludf.DUMMYFUNCTION("""COMPUTED_VALUE"""),3.024E7)</f>
        <v>30240000</v>
      </c>
      <c r="K4007" s="57">
        <f>IFERROR(__xludf.DUMMYFUNCTION("""COMPUTED_VALUE"""),45793.0)</f>
        <v>45793</v>
      </c>
      <c r="L4007" s="6" t="str">
        <f>IFERROR(__xludf.DUMMYFUNCTION("""COMPUTED_VALUE"""),"FIP Engineering")</f>
        <v>FIP Engineering</v>
      </c>
      <c r="M4007" s="6" t="str">
        <f>IFERROR(__xludf.DUMMYFUNCTION("""COMPUTED_VALUE"""),"Mochammad Fadhillah Hakim,")</f>
        <v>Mochammad Fadhillah Hakim,</v>
      </c>
      <c r="N4007" s="6" t="str">
        <f>IFERROR(__xludf.DUMMYFUNCTION("""COMPUTED_VALUE"""),"FIP Engineering")</f>
        <v>FIP Engineering</v>
      </c>
      <c r="O4007" s="6" t="str">
        <f>IFERROR(__xludf.DUMMYFUNCTION("""COMPUTED_VALUE"""),"FIP-DOM-000-11304-OS00001-INA-000000")</f>
        <v>FIP-DOM-000-11304-OS00001-INA-000000</v>
      </c>
      <c r="P4007" s="6" t="str">
        <f>IFERROR(__xludf.DUMMYFUNCTION("""COMPUTED_VALUE"""),"PO Closed")</f>
        <v>PO Closed</v>
      </c>
      <c r="Q4007" s="6" t="str">
        <f>IFERROR(__xludf.DUMMYFUNCTION("""COMPUTED_VALUE"""),"GL2505058")</f>
        <v>GL2505058</v>
      </c>
      <c r="R4007" s="57">
        <f>IFERROR(__xludf.DUMMYFUNCTION("""COMPUTED_VALUE"""),45791.0)</f>
        <v>45791</v>
      </c>
      <c r="S4007" s="57">
        <f>IFERROR(__xludf.DUMMYFUNCTION("""COMPUTED_VALUE"""),45793.0)</f>
        <v>45793</v>
      </c>
      <c r="T4007" s="57">
        <f>IFERROR(__xludf.DUMMYFUNCTION("""COMPUTED_VALUE"""),45838.0)</f>
        <v>45838</v>
      </c>
    </row>
    <row r="4008">
      <c r="A4008" s="6" t="str">
        <f>IFERROR(__xludf.DUMMYFUNCTION("""COMPUTED_VALUE"""),"121702746-1")</f>
        <v>121702746-1</v>
      </c>
      <c r="B4008" s="6" t="str">
        <f>IFERROR(__xludf.DUMMYFUNCTION("""COMPUTED_VALUE"""),"121702746 - APPROVED")</f>
        <v>121702746 - APPROVED</v>
      </c>
      <c r="C4008" s="6">
        <f>IFERROR(__xludf.DUMMYFUNCTION("""COMPUTED_VALUE"""),1.0)</f>
        <v>1</v>
      </c>
      <c r="D4008" s="6" t="str">
        <f>IFERROR(__xludf.DUMMYFUNCTION("""COMPUTED_VALUE"""),"O-52530-00")</f>
        <v>O-52530-00</v>
      </c>
      <c r="E4008" s="6" t="str">
        <f>IFERROR(__xludf.DUMMYFUNCTION("""COMPUTED_VALUE"""),"Sensor PH Meter Type : InPro3250/120/PT1000 PN. 52002548;  Mettler-Toledo; ;")</f>
        <v>Sensor PH Meter Type : InPro3250/120/PT1000 PN. 52002548;  Mettler-Toledo; ;</v>
      </c>
      <c r="F4008" s="6">
        <f>IFERROR(__xludf.DUMMYFUNCTION("""COMPUTED_VALUE"""),1.0)</f>
        <v>1</v>
      </c>
      <c r="G4008" s="6" t="str">
        <f>IFERROR(__xludf.DUMMYFUNCTION("""COMPUTED_VALUE"""),"Pieces")</f>
        <v>Pieces</v>
      </c>
      <c r="H4008" s="6" t="str">
        <f>IFERROR(__xludf.DUMMYFUNCTION("""COMPUTED_VALUE"""),"IDR")</f>
        <v>IDR</v>
      </c>
      <c r="I4008" s="6">
        <f>IFERROR(__xludf.DUMMYFUNCTION("""COMPUTED_VALUE"""),1.202624E7)</f>
        <v>12026240</v>
      </c>
      <c r="J4008" s="6">
        <f>IFERROR(__xludf.DUMMYFUNCTION("""COMPUTED_VALUE"""),1.202624E7)</f>
        <v>12026240</v>
      </c>
      <c r="K4008" s="57">
        <f>IFERROR(__xludf.DUMMYFUNCTION("""COMPUTED_VALUE"""),45793.0)</f>
        <v>45793</v>
      </c>
      <c r="L4008" s="6" t="str">
        <f>IFERROR(__xludf.DUMMYFUNCTION("""COMPUTED_VALUE"""),"FIP Engineering")</f>
        <v>FIP Engineering</v>
      </c>
      <c r="M4008" s="6" t="str">
        <f>IFERROR(__xludf.DUMMYFUNCTION("""COMPUTED_VALUE"""),"Mochammad Fadhillah Hakim,")</f>
        <v>Mochammad Fadhillah Hakim,</v>
      </c>
      <c r="N4008" s="6" t="str">
        <f>IFERROR(__xludf.DUMMYFUNCTION("""COMPUTED_VALUE"""),"FIP Engineering")</f>
        <v>FIP Engineering</v>
      </c>
      <c r="O4008" s="6" t="str">
        <f>IFERROR(__xludf.DUMMYFUNCTION("""COMPUTED_VALUE"""),"FIP-DOM-000-11304-OS00001-INA-000000")</f>
        <v>FIP-DOM-000-11304-OS00001-INA-000000</v>
      </c>
      <c r="P4008" s="6" t="str">
        <f>IFERROR(__xludf.DUMMYFUNCTION("""COMPUTED_VALUE"""),"PO Closed")</f>
        <v>PO Closed</v>
      </c>
      <c r="Q4008" s="6" t="str">
        <f>IFERROR(__xludf.DUMMYFUNCTION("""COMPUTED_VALUE"""),"GL2506001")</f>
        <v>GL2506001</v>
      </c>
      <c r="R4008" s="57">
        <f>IFERROR(__xludf.DUMMYFUNCTION("""COMPUTED_VALUE"""),45791.0)</f>
        <v>45791</v>
      </c>
      <c r="S4008" s="57">
        <f>IFERROR(__xludf.DUMMYFUNCTION("""COMPUTED_VALUE"""),45792.0)</f>
        <v>45792</v>
      </c>
      <c r="T4008" s="57">
        <f>IFERROR(__xludf.DUMMYFUNCTION("""COMPUTED_VALUE"""),45885.0)</f>
        <v>45885</v>
      </c>
    </row>
    <row r="4009">
      <c r="A4009" s="6" t="str">
        <f>IFERROR(__xludf.DUMMYFUNCTION("""COMPUTED_VALUE"""),"121702747-1")</f>
        <v>121702747-1</v>
      </c>
      <c r="B4009" s="6" t="str">
        <f>IFERROR(__xludf.DUMMYFUNCTION("""COMPUTED_VALUE"""),"121702747 - APPROVED")</f>
        <v>121702747 - APPROVED</v>
      </c>
      <c r="C4009" s="6">
        <f>IFERROR(__xludf.DUMMYFUNCTION("""COMPUTED_VALUE"""),1.0)</f>
        <v>1</v>
      </c>
      <c r="D4009" s="6" t="str">
        <f>IFERROR(__xludf.DUMMYFUNCTION("""COMPUTED_VALUE"""),"P-10729-00")</f>
        <v>P-10729-00</v>
      </c>
      <c r="E4009" s="6" t="str">
        <f>IFERROR(__xludf.DUMMYFUNCTION("""COMPUTED_VALUE"""),"General - Contact cleaner WD 40; No Brand; -; 382gr/can")</f>
        <v>General - Contact cleaner WD 40; No Brand; -; 382gr/can</v>
      </c>
      <c r="F4009" s="6">
        <f>IFERROR(__xludf.DUMMYFUNCTION("""COMPUTED_VALUE"""),5.0)</f>
        <v>5</v>
      </c>
      <c r="G4009" s="6" t="str">
        <f>IFERROR(__xludf.DUMMYFUNCTION("""COMPUTED_VALUE"""),"Pieces")</f>
        <v>Pieces</v>
      </c>
      <c r="H4009" s="6" t="str">
        <f>IFERROR(__xludf.DUMMYFUNCTION("""COMPUTED_VALUE"""),"IDR")</f>
        <v>IDR</v>
      </c>
      <c r="I4009" s="6">
        <f>IFERROR(__xludf.DUMMYFUNCTION("""COMPUTED_VALUE"""),88000.0)</f>
        <v>88000</v>
      </c>
      <c r="J4009" s="6">
        <f>IFERROR(__xludf.DUMMYFUNCTION("""COMPUTED_VALUE"""),440000.0)</f>
        <v>440000</v>
      </c>
      <c r="K4009" s="57">
        <f>IFERROR(__xludf.DUMMYFUNCTION("""COMPUTED_VALUE"""),45828.0)</f>
        <v>45828</v>
      </c>
      <c r="L4009" s="6" t="str">
        <f>IFERROR(__xludf.DUMMYFUNCTION("""COMPUTED_VALUE"""),"FIP Engineering")</f>
        <v>FIP Engineering</v>
      </c>
      <c r="M4009" s="6" t="str">
        <f>IFERROR(__xludf.DUMMYFUNCTION("""COMPUTED_VALUE"""),"Mochammad Fadhillah Hakim,")</f>
        <v>Mochammad Fadhillah Hakim,</v>
      </c>
      <c r="N4009" s="6" t="str">
        <f>IFERROR(__xludf.DUMMYFUNCTION("""COMPUTED_VALUE"""),"FIP Engineering")</f>
        <v>FIP Engineering</v>
      </c>
      <c r="O4009" s="6" t="str">
        <f>IFERROR(__xludf.DUMMYFUNCTION("""COMPUTED_VALUE"""),"FIP-DOM-000-11304-OS00001-INA-000000")</f>
        <v>FIP-DOM-000-11304-OS00001-INA-000000</v>
      </c>
      <c r="P4009" s="6" t="str">
        <f>IFERROR(__xludf.DUMMYFUNCTION("""COMPUTED_VALUE"""),"PO Closed")</f>
        <v>PO Closed</v>
      </c>
      <c r="Q4009" s="6" t="str">
        <f>IFERROR(__xludf.DUMMYFUNCTION("""COMPUTED_VALUE"""),"GL2505060")</f>
        <v>GL2505060</v>
      </c>
      <c r="R4009" s="57">
        <f>IFERROR(__xludf.DUMMYFUNCTION("""COMPUTED_VALUE"""),45791.0)</f>
        <v>45791</v>
      </c>
      <c r="S4009" s="57">
        <f>IFERROR(__xludf.DUMMYFUNCTION("""COMPUTED_VALUE"""),45792.0)</f>
        <v>45792</v>
      </c>
      <c r="T4009" s="57">
        <f>IFERROR(__xludf.DUMMYFUNCTION("""COMPUTED_VALUE"""),45828.0)</f>
        <v>45828</v>
      </c>
    </row>
    <row r="4010">
      <c r="A4010" s="6" t="str">
        <f>IFERROR(__xludf.DUMMYFUNCTION("""COMPUTED_VALUE"""),"121702748-1")</f>
        <v>121702748-1</v>
      </c>
      <c r="B4010" s="6" t="str">
        <f>IFERROR(__xludf.DUMMYFUNCTION("""COMPUTED_VALUE"""),"121702748 - APPROVED")</f>
        <v>121702748 - APPROVED</v>
      </c>
      <c r="C4010" s="6">
        <f>IFERROR(__xludf.DUMMYFUNCTION("""COMPUTED_VALUE"""),1.0)</f>
        <v>1</v>
      </c>
      <c r="D4010" s="6" t="str">
        <f>IFERROR(__xludf.DUMMYFUNCTION("""COMPUTED_VALUE"""),"S-46550-00")</f>
        <v>S-46550-00</v>
      </c>
      <c r="E4010" s="6" t="str">
        <f>IFERROR(__xludf.DUMMYFUNCTION("""COMPUTED_VALUE"""),"Ladder with Cushion Foam 4 Step BLKYS2462P; Krisbow; 294499;")</f>
        <v>Ladder with Cushion Foam 4 Step BLKYS2462P; Krisbow; 294499;</v>
      </c>
      <c r="F4010" s="6">
        <f>IFERROR(__xludf.DUMMYFUNCTION("""COMPUTED_VALUE"""),1.0)</f>
        <v>1</v>
      </c>
      <c r="G4010" s="6" t="str">
        <f>IFERROR(__xludf.DUMMYFUNCTION("""COMPUTED_VALUE"""),"Pieces")</f>
        <v>Pieces</v>
      </c>
      <c r="H4010" s="6" t="str">
        <f>IFERROR(__xludf.DUMMYFUNCTION("""COMPUTED_VALUE"""),"IDR")</f>
        <v>IDR</v>
      </c>
      <c r="I4010" s="6">
        <f>IFERROR(__xludf.DUMMYFUNCTION("""COMPUTED_VALUE"""),880000.0)</f>
        <v>880000</v>
      </c>
      <c r="J4010" s="6">
        <f>IFERROR(__xludf.DUMMYFUNCTION("""COMPUTED_VALUE"""),880000.0)</f>
        <v>880000</v>
      </c>
      <c r="K4010" s="57">
        <f>IFERROR(__xludf.DUMMYFUNCTION("""COMPUTED_VALUE"""),45828.0)</f>
        <v>45828</v>
      </c>
      <c r="L4010" s="6" t="str">
        <f>IFERROR(__xludf.DUMMYFUNCTION("""COMPUTED_VALUE"""),"FIP General")</f>
        <v>FIP General</v>
      </c>
      <c r="M4010" s="6" t="str">
        <f>IFERROR(__xludf.DUMMYFUNCTION("""COMPUTED_VALUE"""),"Mochammad Fadhillah Hakim,")</f>
        <v>Mochammad Fadhillah Hakim,</v>
      </c>
      <c r="N4010" s="6" t="str">
        <f>IFERROR(__xludf.DUMMYFUNCTION("""COMPUTED_VALUE"""),"FIP Engineering")</f>
        <v>FIP Engineering</v>
      </c>
      <c r="O4010" s="6" t="str">
        <f>IFERROR(__xludf.DUMMYFUNCTION("""COMPUTED_VALUE"""),"FIP-DOM-ENG-51404-0000000-INA-000000")</f>
        <v>FIP-DOM-ENG-51404-0000000-INA-000000</v>
      </c>
      <c r="P4010" s="6" t="str">
        <f>IFERROR(__xludf.DUMMYFUNCTION("""COMPUTED_VALUE"""),"PO Closed")</f>
        <v>PO Closed</v>
      </c>
      <c r="Q4010" s="6" t="str">
        <f>IFERROR(__xludf.DUMMYFUNCTION("""COMPUTED_VALUE"""),"GL2507036")</f>
        <v>GL2507036</v>
      </c>
      <c r="R4010" s="57">
        <f>IFERROR(__xludf.DUMMYFUNCTION("""COMPUTED_VALUE"""),45791.0)</f>
        <v>45791</v>
      </c>
      <c r="S4010" s="57">
        <f>IFERROR(__xludf.DUMMYFUNCTION("""COMPUTED_VALUE"""),45792.0)</f>
        <v>45792</v>
      </c>
      <c r="T4010" s="57">
        <f>IFERROR(__xludf.DUMMYFUNCTION("""COMPUTED_VALUE"""),45833.0)</f>
        <v>45833</v>
      </c>
    </row>
    <row r="4011">
      <c r="A4011" s="6" t="str">
        <f>IFERROR(__xludf.DUMMYFUNCTION("""COMPUTED_VALUE"""),"121702750-1")</f>
        <v>121702750-1</v>
      </c>
      <c r="B4011" s="6" t="str">
        <f>IFERROR(__xludf.DUMMYFUNCTION("""COMPUTED_VALUE"""),"121702750 - APPROVED")</f>
        <v>121702750 - APPROVED</v>
      </c>
      <c r="C4011" s="6">
        <f>IFERROR(__xludf.DUMMYFUNCTION("""COMPUTED_VALUE"""),1.0)</f>
        <v>1</v>
      </c>
      <c r="D4011" s="6" t="str">
        <f>IFERROR(__xludf.DUMMYFUNCTION("""COMPUTED_VALUE"""),"T-20591-00")</f>
        <v>T-20591-00</v>
      </c>
      <c r="E4011" s="6" t="str">
        <f>IFERROR(__xludf.DUMMYFUNCTION("""COMPUTED_VALUE"""),"Kit, Performance PLUS seal pack rebuild; Waters; 700011783; 1 pieces / pack")</f>
        <v>Kit, Performance PLUS seal pack rebuild; Waters; 700011783; 1 pieces / pack</v>
      </c>
      <c r="F4011" s="6">
        <f>IFERROR(__xludf.DUMMYFUNCTION("""COMPUTED_VALUE"""),1.0)</f>
        <v>1</v>
      </c>
      <c r="G4011" s="6" t="str">
        <f>IFERROR(__xludf.DUMMYFUNCTION("""COMPUTED_VALUE"""),"Pieces")</f>
        <v>Pieces</v>
      </c>
      <c r="H4011" s="6" t="str">
        <f>IFERROR(__xludf.DUMMYFUNCTION("""COMPUTED_VALUE"""),"USD")</f>
        <v>USD</v>
      </c>
      <c r="I4011" s="6">
        <f>IFERROR(__xludf.DUMMYFUNCTION("""COMPUTED_VALUE"""),4511938.0)</f>
        <v>4511938</v>
      </c>
      <c r="J4011" s="6">
        <f>IFERROR(__xludf.DUMMYFUNCTION("""COMPUTED_VALUE"""),4511938.0)</f>
        <v>4511938</v>
      </c>
      <c r="K4011" s="57">
        <f>IFERROR(__xludf.DUMMYFUNCTION("""COMPUTED_VALUE"""),45856.0)</f>
        <v>45856</v>
      </c>
      <c r="L4011" s="6" t="str">
        <f>IFERROR(__xludf.DUMMYFUNCTION("""COMPUTED_VALUE"""),"FIP General")</f>
        <v>FIP General</v>
      </c>
      <c r="M4011" s="6" t="str">
        <f>IFERROR(__xludf.DUMMYFUNCTION("""COMPUTED_VALUE"""),"Mochammad Fadhillah Hakim,")</f>
        <v>Mochammad Fadhillah Hakim,</v>
      </c>
      <c r="N4011" s="6" t="str">
        <f>IFERROR(__xludf.DUMMYFUNCTION("""COMPUTED_VALUE"""),"FIP Engineering")</f>
        <v>FIP Engineering</v>
      </c>
      <c r="O4011" s="6" t="str">
        <f>IFERROR(__xludf.DUMMYFUNCTION("""COMPUTED_VALUE"""),"FIP-DOM-ENG-51505-0000000-INA-000000")</f>
        <v>FIP-DOM-ENG-51505-0000000-INA-000000</v>
      </c>
      <c r="P4011" s="6" t="str">
        <f>IFERROR(__xludf.DUMMYFUNCTION("""COMPUTED_VALUE"""),"PO Closed")</f>
        <v>PO Closed</v>
      </c>
      <c r="Q4011" s="6" t="str">
        <f>IFERROR(__xludf.DUMMYFUNCTION("""COMPUTED_VALUE"""),"GL2506394")</f>
        <v>GL2506394</v>
      </c>
      <c r="R4011" s="57">
        <f>IFERROR(__xludf.DUMMYFUNCTION("""COMPUTED_VALUE"""),45792.0)</f>
        <v>45792</v>
      </c>
      <c r="S4011" s="57">
        <f>IFERROR(__xludf.DUMMYFUNCTION("""COMPUTED_VALUE"""),45793.0)</f>
        <v>45793</v>
      </c>
      <c r="T4011" s="57">
        <f>IFERROR(__xludf.DUMMYFUNCTION("""COMPUTED_VALUE"""),45856.0)</f>
        <v>45856</v>
      </c>
    </row>
    <row r="4012">
      <c r="A4012" s="6" t="str">
        <f>IFERROR(__xludf.DUMMYFUNCTION("""COMPUTED_VALUE"""),"121702751-1")</f>
        <v>121702751-1</v>
      </c>
      <c r="B4012" s="6" t="str">
        <f>IFERROR(__xludf.DUMMYFUNCTION("""COMPUTED_VALUE"""),"121702751 - APPROVED")</f>
        <v>121702751 - APPROVED</v>
      </c>
      <c r="C4012" s="6">
        <f>IFERROR(__xludf.DUMMYFUNCTION("""COMPUTED_VALUE"""),1.0)</f>
        <v>1</v>
      </c>
      <c r="D4012" s="6" t="str">
        <f>IFERROR(__xludf.DUMMYFUNCTION("""COMPUTED_VALUE"""),"P-19443-00")</f>
        <v>P-19443-00</v>
      </c>
      <c r="E4012" s="6" t="str">
        <f>IFERROR(__xludf.DUMMYFUNCTION("""COMPUTED_VALUE"""),"General - Pneumatic Vacuum Ejector; EMC; E-CV-05-R; 1 Pc")</f>
        <v>General - Pneumatic Vacuum Ejector; EMC; E-CV-05-R; 1 Pc</v>
      </c>
      <c r="F4012" s="6">
        <f>IFERROR(__xludf.DUMMYFUNCTION("""COMPUTED_VALUE"""),2.0)</f>
        <v>2</v>
      </c>
      <c r="G4012" s="6" t="str">
        <f>IFERROR(__xludf.DUMMYFUNCTION("""COMPUTED_VALUE"""),"Pieces")</f>
        <v>Pieces</v>
      </c>
      <c r="H4012" s="6" t="str">
        <f>IFERROR(__xludf.DUMMYFUNCTION("""COMPUTED_VALUE"""),"IDR")</f>
        <v>IDR</v>
      </c>
      <c r="I4012" s="6">
        <f>IFERROR(__xludf.DUMMYFUNCTION("""COMPUTED_VALUE"""),237600.0)</f>
        <v>237600</v>
      </c>
      <c r="J4012" s="6">
        <f>IFERROR(__xludf.DUMMYFUNCTION("""COMPUTED_VALUE"""),475200.0)</f>
        <v>475200</v>
      </c>
      <c r="K4012" s="57">
        <f>IFERROR(__xludf.DUMMYFUNCTION("""COMPUTED_VALUE"""),45828.0)</f>
        <v>45828</v>
      </c>
      <c r="L4012" s="6" t="str">
        <f>IFERROR(__xludf.DUMMYFUNCTION("""COMPUTED_VALUE"""),"FIP Engineering")</f>
        <v>FIP Engineering</v>
      </c>
      <c r="M4012" s="6" t="str">
        <f>IFERROR(__xludf.DUMMYFUNCTION("""COMPUTED_VALUE"""),"Mochammad Fadhillah Hakim,")</f>
        <v>Mochammad Fadhillah Hakim,</v>
      </c>
      <c r="N4012" s="6" t="str">
        <f>IFERROR(__xludf.DUMMYFUNCTION("""COMPUTED_VALUE"""),"FIP Engineering")</f>
        <v>FIP Engineering</v>
      </c>
      <c r="O4012" s="6" t="str">
        <f>IFERROR(__xludf.DUMMYFUNCTION("""COMPUTED_VALUE"""),"FIP-DOM-000-11304-OS00001-INA-000000")</f>
        <v>FIP-DOM-000-11304-OS00001-INA-000000</v>
      </c>
      <c r="P4012" s="6" t="str">
        <f>IFERROR(__xludf.DUMMYFUNCTION("""COMPUTED_VALUE"""),"PO Closed")</f>
        <v>PO Closed</v>
      </c>
      <c r="Q4012" s="6" t="str">
        <f>IFERROR(__xludf.DUMMYFUNCTION("""COMPUTED_VALUE"""),"GL2505059")</f>
        <v>GL2505059</v>
      </c>
      <c r="R4012" s="57">
        <f>IFERROR(__xludf.DUMMYFUNCTION("""COMPUTED_VALUE"""),45792.0)</f>
        <v>45792</v>
      </c>
      <c r="S4012" s="57">
        <f>IFERROR(__xludf.DUMMYFUNCTION("""COMPUTED_VALUE"""),45792.0)</f>
        <v>45792</v>
      </c>
      <c r="T4012" s="57">
        <f>IFERROR(__xludf.DUMMYFUNCTION("""COMPUTED_VALUE"""),45828.0)</f>
        <v>45828</v>
      </c>
    </row>
    <row r="4013">
      <c r="A4013" s="6" t="str">
        <f>IFERROR(__xludf.DUMMYFUNCTION("""COMPUTED_VALUE"""),"121702762-1")</f>
        <v>121702762-1</v>
      </c>
      <c r="B4013" s="6" t="str">
        <f>IFERROR(__xludf.DUMMYFUNCTION("""COMPUTED_VALUE"""),"121702762 - APPROVED")</f>
        <v>121702762 - APPROVED</v>
      </c>
      <c r="C4013" s="6">
        <f>IFERROR(__xludf.DUMMYFUNCTION("""COMPUTED_VALUE"""),1.0)</f>
        <v>1</v>
      </c>
      <c r="D4013" s="6" t="str">
        <f>IFERROR(__xludf.DUMMYFUNCTION("""COMPUTED_VALUE"""),"T-20055-00")</f>
        <v>T-20055-00</v>
      </c>
      <c r="E4013" s="6" t="str">
        <f>IFERROR(__xludf.DUMMYFUNCTION("""COMPUTED_VALUE"""),"PerformancePlus Check Valve Cartridge; Waters; p/n 700002399;")</f>
        <v>PerformancePlus Check Valve Cartridge; Waters; p/n 700002399;</v>
      </c>
      <c r="F4013" s="6">
        <f>IFERROR(__xludf.DUMMYFUNCTION("""COMPUTED_VALUE"""),7.0)</f>
        <v>7</v>
      </c>
      <c r="G4013" s="6" t="str">
        <f>IFERROR(__xludf.DUMMYFUNCTION("""COMPUTED_VALUE"""),"Pieces")</f>
        <v>Pieces</v>
      </c>
      <c r="H4013" s="6" t="str">
        <f>IFERROR(__xludf.DUMMYFUNCTION("""COMPUTED_VALUE"""),"USD")</f>
        <v>USD</v>
      </c>
      <c r="I4013" s="6">
        <f>IFERROR(__xludf.DUMMYFUNCTION("""COMPUTED_VALUE"""),4868143.0)</f>
        <v>4868143</v>
      </c>
      <c r="J4013" s="6">
        <f>IFERROR(__xludf.DUMMYFUNCTION("""COMPUTED_VALUE"""),3.4077002E7)</f>
        <v>34077002</v>
      </c>
      <c r="K4013" s="57">
        <f>IFERROR(__xludf.DUMMYFUNCTION("""COMPUTED_VALUE"""),45835.0)</f>
        <v>45835</v>
      </c>
      <c r="L4013" s="6" t="str">
        <f>IFERROR(__xludf.DUMMYFUNCTION("""COMPUTED_VALUE"""),"FIP General")</f>
        <v>FIP General</v>
      </c>
      <c r="M4013" s="6" t="str">
        <f>IFERROR(__xludf.DUMMYFUNCTION("""COMPUTED_VALUE"""),"Mochammad Fadhillah Hakim,")</f>
        <v>Mochammad Fadhillah Hakim,</v>
      </c>
      <c r="N4013" s="6" t="str">
        <f>IFERROR(__xludf.DUMMYFUNCTION("""COMPUTED_VALUE"""),"FIP Engineering")</f>
        <v>FIP Engineering</v>
      </c>
      <c r="O4013" s="6" t="str">
        <f>IFERROR(__xludf.DUMMYFUNCTION("""COMPUTED_VALUE"""),"FIP-DOM-ENG-51505-0000000-INA-000000")</f>
        <v>FIP-DOM-ENG-51505-0000000-INA-000000</v>
      </c>
      <c r="P4013" s="6" t="str">
        <f>IFERROR(__xludf.DUMMYFUNCTION("""COMPUTED_VALUE"""),"PO Closed")</f>
        <v>PO Closed</v>
      </c>
      <c r="Q4013" s="6" t="str">
        <f>IFERROR(__xludf.DUMMYFUNCTION("""COMPUTED_VALUE"""),"GL2506394")</f>
        <v>GL2506394</v>
      </c>
      <c r="R4013" s="57">
        <f>IFERROR(__xludf.DUMMYFUNCTION("""COMPUTED_VALUE"""),45796.0)</f>
        <v>45796</v>
      </c>
      <c r="S4013" s="57">
        <f>IFERROR(__xludf.DUMMYFUNCTION("""COMPUTED_VALUE"""),45825.0)</f>
        <v>45825</v>
      </c>
      <c r="T4013" s="57">
        <f>IFERROR(__xludf.DUMMYFUNCTION("""COMPUTED_VALUE"""),45856.0)</f>
        <v>45856</v>
      </c>
    </row>
    <row r="4014">
      <c r="A4014" s="6" t="str">
        <f>IFERROR(__xludf.DUMMYFUNCTION("""COMPUTED_VALUE"""),"121702764-1")</f>
        <v>121702764-1</v>
      </c>
      <c r="B4014" s="6" t="str">
        <f>IFERROR(__xludf.DUMMYFUNCTION("""COMPUTED_VALUE"""),"121702764 - APPROVED")</f>
        <v>121702764 - APPROVED</v>
      </c>
      <c r="C4014" s="6">
        <f>IFERROR(__xludf.DUMMYFUNCTION("""COMPUTED_VALUE"""),1.0)</f>
        <v>1</v>
      </c>
      <c r="D4014" s="6" t="str">
        <f>IFERROR(__xludf.DUMMYFUNCTION("""COMPUTED_VALUE"""),"S-60050-00")</f>
        <v>S-60050-00</v>
      </c>
      <c r="E4014" s="6" t="str">
        <f>IFERROR(__xludf.DUMMYFUNCTION("""COMPUTED_VALUE"""),"Jasa Perbaikan dan Pemeliharaan Mesin Produksi; ; ; - Pembuatan alat wash lance (Tools Cleaning)")</f>
        <v>Jasa Perbaikan dan Pemeliharaan Mesin Produksi; ; ; - Pembuatan alat wash lance (Tools Cleaning)</v>
      </c>
      <c r="F4014" s="6">
        <f>IFERROR(__xludf.DUMMYFUNCTION("""COMPUTED_VALUE"""),2.0)</f>
        <v>2</v>
      </c>
      <c r="G4014" s="6" t="str">
        <f>IFERROR(__xludf.DUMMYFUNCTION("""COMPUTED_VALUE"""),"Pieces")</f>
        <v>Pieces</v>
      </c>
      <c r="H4014" s="6" t="str">
        <f>IFERROR(__xludf.DUMMYFUNCTION("""COMPUTED_VALUE"""),"IDR")</f>
        <v>IDR</v>
      </c>
      <c r="I4014" s="6">
        <f>IFERROR(__xludf.DUMMYFUNCTION("""COMPUTED_VALUE"""),2748500.0)</f>
        <v>2748500</v>
      </c>
      <c r="J4014" s="6">
        <f>IFERROR(__xludf.DUMMYFUNCTION("""COMPUTED_VALUE"""),5497000.0)</f>
        <v>5497000</v>
      </c>
      <c r="K4014" s="57">
        <f>IFERROR(__xludf.DUMMYFUNCTION("""COMPUTED_VALUE"""),45798.0)</f>
        <v>45798</v>
      </c>
      <c r="L4014" s="6" t="str">
        <f>IFERROR(__xludf.DUMMYFUNCTION("""COMPUTED_VALUE"""),"FIP General")</f>
        <v>FIP General</v>
      </c>
      <c r="M4014" s="6" t="str">
        <f>IFERROR(__xludf.DUMMYFUNCTION("""COMPUTED_VALUE"""),"Mochammad Fadhillah Hakim,")</f>
        <v>Mochammad Fadhillah Hakim,</v>
      </c>
      <c r="N4014" s="6" t="str">
        <f>IFERROR(__xludf.DUMMYFUNCTION("""COMPUTED_VALUE"""),"FIP Engineering")</f>
        <v>FIP Engineering</v>
      </c>
      <c r="O4014" s="6" t="str">
        <f>IFERROR(__xludf.DUMMYFUNCTION("""COMPUTED_VALUE"""),"FIP-DOM-ENG-51504-0000000-INA-000000")</f>
        <v>FIP-DOM-ENG-51504-0000000-INA-000000</v>
      </c>
      <c r="P4014" s="6" t="str">
        <f>IFERROR(__xludf.DUMMYFUNCTION("""COMPUTED_VALUE"""),"PO Closed")</f>
        <v>PO Closed</v>
      </c>
      <c r="Q4014" s="6" t="str">
        <f>IFERROR(__xludf.DUMMYFUNCTION("""COMPUTED_VALUE"""),"GL2506028")</f>
        <v>GL2506028</v>
      </c>
      <c r="R4014" s="57">
        <f>IFERROR(__xludf.DUMMYFUNCTION("""COMPUTED_VALUE"""),45796.0)</f>
        <v>45796</v>
      </c>
      <c r="S4014" s="57">
        <f>IFERROR(__xludf.DUMMYFUNCTION("""COMPUTED_VALUE"""),45797.0)</f>
        <v>45797</v>
      </c>
      <c r="T4014" s="57">
        <f>IFERROR(__xludf.DUMMYFUNCTION("""COMPUTED_VALUE"""),45868.0)</f>
        <v>45868</v>
      </c>
    </row>
    <row r="4015">
      <c r="A4015" s="6" t="str">
        <f>IFERROR(__xludf.DUMMYFUNCTION("""COMPUTED_VALUE"""),"121702765-1")</f>
        <v>121702765-1</v>
      </c>
      <c r="B4015" s="6" t="str">
        <f>IFERROR(__xludf.DUMMYFUNCTION("""COMPUTED_VALUE"""),"121702765 - APPROVED")</f>
        <v>121702765 - APPROVED</v>
      </c>
      <c r="C4015" s="6">
        <f>IFERROR(__xludf.DUMMYFUNCTION("""COMPUTED_VALUE"""),1.0)</f>
        <v>1</v>
      </c>
      <c r="D4015" s="6" t="str">
        <f>IFERROR(__xludf.DUMMYFUNCTION("""COMPUTED_VALUE"""),"S-60002-00")</f>
        <v>S-60002-00</v>
      </c>
      <c r="E4015" s="6" t="str">
        <f>IFERROR(__xludf.DUMMYFUNCTION("""COMPUTED_VALUE"""),"Jasa Perbaikan dan Pemeliharaan Mesin Utility - Jasa Perbaikan Beamex")</f>
        <v>Jasa Perbaikan dan Pemeliharaan Mesin Utility - Jasa Perbaikan Beamex</v>
      </c>
      <c r="F4015" s="6">
        <f>IFERROR(__xludf.DUMMYFUNCTION("""COMPUTED_VALUE"""),1.0)</f>
        <v>1</v>
      </c>
      <c r="G4015" s="6" t="str">
        <f>IFERROR(__xludf.DUMMYFUNCTION("""COMPUTED_VALUE"""),"Lot")</f>
        <v>Lot</v>
      </c>
      <c r="H4015" s="6" t="str">
        <f>IFERROR(__xludf.DUMMYFUNCTION("""COMPUTED_VALUE"""),"IDR")</f>
        <v>IDR</v>
      </c>
      <c r="I4015" s="6">
        <f>IFERROR(__xludf.DUMMYFUNCTION("""COMPUTED_VALUE"""),4.49E7)</f>
        <v>44900000</v>
      </c>
      <c r="J4015" s="6">
        <f>IFERROR(__xludf.DUMMYFUNCTION("""COMPUTED_VALUE"""),4.49E7)</f>
        <v>44900000</v>
      </c>
      <c r="K4015" s="57">
        <f>IFERROR(__xludf.DUMMYFUNCTION("""COMPUTED_VALUE"""),45828.0)</f>
        <v>45828</v>
      </c>
      <c r="L4015" s="6" t="str">
        <f>IFERROR(__xludf.DUMMYFUNCTION("""COMPUTED_VALUE"""),"FIP General")</f>
        <v>FIP General</v>
      </c>
      <c r="M4015" s="6" t="str">
        <f>IFERROR(__xludf.DUMMYFUNCTION("""COMPUTED_VALUE"""),"Mochammad Fadhillah Hakim,")</f>
        <v>Mochammad Fadhillah Hakim,</v>
      </c>
      <c r="N4015" s="6" t="str">
        <f>IFERROR(__xludf.DUMMYFUNCTION("""COMPUTED_VALUE"""),"FIP Engineering")</f>
        <v>FIP Engineering</v>
      </c>
      <c r="O4015" s="6" t="str">
        <f>IFERROR(__xludf.DUMMYFUNCTION("""COMPUTED_VALUE"""),"FIP-DOM-ENG-51508-0000000-INA-000000")</f>
        <v>FIP-DOM-ENG-51508-0000000-INA-000000</v>
      </c>
      <c r="P4015" s="6" t="str">
        <f>IFERROR(__xludf.DUMMYFUNCTION("""COMPUTED_VALUE"""),"PO Closed")</f>
        <v>PO Closed</v>
      </c>
      <c r="Q4015" s="6" t="str">
        <f>IFERROR(__xludf.DUMMYFUNCTION("""COMPUTED_VALUE"""),"GL2506023")</f>
        <v>GL2506023</v>
      </c>
      <c r="R4015" s="57">
        <f>IFERROR(__xludf.DUMMYFUNCTION("""COMPUTED_VALUE"""),45796.0)</f>
        <v>45796</v>
      </c>
      <c r="S4015" s="57">
        <f>IFERROR(__xludf.DUMMYFUNCTION("""COMPUTED_VALUE"""),45811.0)</f>
        <v>45811</v>
      </c>
      <c r="T4015" s="57">
        <f>IFERROR(__xludf.DUMMYFUNCTION("""COMPUTED_VALUE"""),45950.0)</f>
        <v>45950</v>
      </c>
    </row>
    <row r="4016">
      <c r="A4016" s="6" t="str">
        <f>IFERROR(__xludf.DUMMYFUNCTION("""COMPUTED_VALUE"""),"121702772-1")</f>
        <v>121702772-1</v>
      </c>
      <c r="B4016" s="6" t="str">
        <f>IFERROR(__xludf.DUMMYFUNCTION("""COMPUTED_VALUE"""),"121702772 - APPROVED")</f>
        <v>121702772 - APPROVED</v>
      </c>
      <c r="C4016" s="6">
        <f>IFERROR(__xludf.DUMMYFUNCTION("""COMPUTED_VALUE"""),1.0)</f>
        <v>1</v>
      </c>
      <c r="D4016" s="6" t="str">
        <f>IFERROR(__xludf.DUMMYFUNCTION("""COMPUTED_VALUE"""),"P-13370-00")</f>
        <v>P-13370-00</v>
      </c>
      <c r="E4016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F4016" s="6">
        <f>IFERROR(__xludf.DUMMYFUNCTION("""COMPUTED_VALUE"""),3.0)</f>
        <v>3</v>
      </c>
      <c r="G4016" s="6" t="str">
        <f>IFERROR(__xludf.DUMMYFUNCTION("""COMPUTED_VALUE"""),"Unit")</f>
        <v>Unit</v>
      </c>
      <c r="H4016" s="6" t="str">
        <f>IFERROR(__xludf.DUMMYFUNCTION("""COMPUTED_VALUE"""),"IDR")</f>
        <v>IDR</v>
      </c>
      <c r="I4016" s="6">
        <f>IFERROR(__xludf.DUMMYFUNCTION("""COMPUTED_VALUE"""),6000000.0)</f>
        <v>6000000</v>
      </c>
      <c r="J4016" s="6">
        <f>IFERROR(__xludf.DUMMYFUNCTION("""COMPUTED_VALUE"""),1.8E7)</f>
        <v>18000000</v>
      </c>
      <c r="K4016" s="57">
        <f>IFERROR(__xludf.DUMMYFUNCTION("""COMPUTED_VALUE"""),45835.0)</f>
        <v>45835</v>
      </c>
      <c r="L4016" s="6" t="str">
        <f>IFERROR(__xludf.DUMMYFUNCTION("""COMPUTED_VALUE"""),"FIP Engineering")</f>
        <v>FIP Engineering</v>
      </c>
      <c r="M4016" s="6" t="str">
        <f>IFERROR(__xludf.DUMMYFUNCTION("""COMPUTED_VALUE"""),"Mochammad Fadhillah Hakim,")</f>
        <v>Mochammad Fadhillah Hakim,</v>
      </c>
      <c r="N4016" s="6" t="str">
        <f>IFERROR(__xludf.DUMMYFUNCTION("""COMPUTED_VALUE"""),"FIP Engineering")</f>
        <v>FIP Engineering</v>
      </c>
      <c r="O4016" s="6" t="str">
        <f>IFERROR(__xludf.DUMMYFUNCTION("""COMPUTED_VALUE"""),"FIP-DOM-000-11304-OS00001-INA-000000")</f>
        <v>FIP-DOM-000-11304-OS00001-INA-000000</v>
      </c>
      <c r="P4016" s="6" t="str">
        <f>IFERROR(__xludf.DUMMYFUNCTION("""COMPUTED_VALUE"""),"PO Closed")</f>
        <v>PO Closed</v>
      </c>
      <c r="Q4016" s="6" t="str">
        <f>IFERROR(__xludf.DUMMYFUNCTION("""COMPUTED_VALUE"""),"GL2506045")</f>
        <v>GL2506045</v>
      </c>
      <c r="R4016" s="57">
        <f>IFERROR(__xludf.DUMMYFUNCTION("""COMPUTED_VALUE"""),45803.0)</f>
        <v>45803</v>
      </c>
      <c r="S4016" s="57">
        <f>IFERROR(__xludf.DUMMYFUNCTION("""COMPUTED_VALUE"""),45825.0)</f>
        <v>45825</v>
      </c>
      <c r="T4016" s="57">
        <f>IFERROR(__xludf.DUMMYFUNCTION("""COMPUTED_VALUE"""),45858.0)</f>
        <v>45858</v>
      </c>
    </row>
    <row r="4017">
      <c r="A4017" s="6" t="str">
        <f>IFERROR(__xludf.DUMMYFUNCTION("""COMPUTED_VALUE"""),"121702775-1")</f>
        <v>121702775-1</v>
      </c>
      <c r="B4017" s="6" t="str">
        <f>IFERROR(__xludf.DUMMYFUNCTION("""COMPUTED_VALUE"""),"121702775 - APPROVED")</f>
        <v>121702775 - APPROVED</v>
      </c>
      <c r="C4017" s="6">
        <f>IFERROR(__xludf.DUMMYFUNCTION("""COMPUTED_VALUE"""),1.0)</f>
        <v>1</v>
      </c>
      <c r="D4017" s="6" t="str">
        <f>IFERROR(__xludf.DUMMYFUNCTION("""COMPUTED_VALUE"""),"O-51698-00")</f>
        <v>O-51698-00</v>
      </c>
      <c r="E4017" s="6" t="str">
        <f>IFERROR(__xludf.DUMMYFUNCTION("""COMPUTED_VALUE"""),"OMRON - Relay MY4Z 24VDC; ; ;")</f>
        <v>OMRON - Relay MY4Z 24VDC; ; ;</v>
      </c>
      <c r="F4017" s="6">
        <f>IFERROR(__xludf.DUMMYFUNCTION("""COMPUTED_VALUE"""),4.0)</f>
        <v>4</v>
      </c>
      <c r="G4017" s="6" t="str">
        <f>IFERROR(__xludf.DUMMYFUNCTION("""COMPUTED_VALUE"""),"Pieces")</f>
        <v>Pieces</v>
      </c>
      <c r="H4017" s="6" t="str">
        <f>IFERROR(__xludf.DUMMYFUNCTION("""COMPUTED_VALUE"""),"IDR")</f>
        <v>IDR</v>
      </c>
      <c r="I4017" s="6">
        <f>IFERROR(__xludf.DUMMYFUNCTION("""COMPUTED_VALUE"""),179000.0)</f>
        <v>179000</v>
      </c>
      <c r="J4017" s="6">
        <f>IFERROR(__xludf.DUMMYFUNCTION("""COMPUTED_VALUE"""),716000.0)</f>
        <v>716000</v>
      </c>
      <c r="K4017" s="57">
        <f>IFERROR(__xludf.DUMMYFUNCTION("""COMPUTED_VALUE"""),45835.0)</f>
        <v>45835</v>
      </c>
      <c r="L4017" s="6" t="str">
        <f>IFERROR(__xludf.DUMMYFUNCTION("""COMPUTED_VALUE"""),"FIP Engineering")</f>
        <v>FIP Engineering</v>
      </c>
      <c r="M4017" s="6" t="str">
        <f>IFERROR(__xludf.DUMMYFUNCTION("""COMPUTED_VALUE"""),"Mochammad Fadhillah Hakim,")</f>
        <v>Mochammad Fadhillah Hakim,</v>
      </c>
      <c r="N4017" s="6" t="str">
        <f>IFERROR(__xludf.DUMMYFUNCTION("""COMPUTED_VALUE"""),"FIP Engineering")</f>
        <v>FIP Engineering</v>
      </c>
      <c r="O4017" s="6" t="str">
        <f>IFERROR(__xludf.DUMMYFUNCTION("""COMPUTED_VALUE"""),"FIP-DOM-000-11304-OS00001-INA-000000")</f>
        <v>FIP-DOM-000-11304-OS00001-INA-000000</v>
      </c>
      <c r="P4017" s="6" t="str">
        <f>IFERROR(__xludf.DUMMYFUNCTION("""COMPUTED_VALUE"""),"PO Closed")</f>
        <v>PO Closed</v>
      </c>
      <c r="Q4017" s="6" t="str">
        <f>IFERROR(__xludf.DUMMYFUNCTION("""COMPUTED_VALUE"""),"GL2506030")</f>
        <v>GL2506030</v>
      </c>
      <c r="R4017" s="57">
        <f>IFERROR(__xludf.DUMMYFUNCTION("""COMPUTED_VALUE"""),45803.0)</f>
        <v>45803</v>
      </c>
      <c r="S4017" s="57">
        <f>IFERROR(__xludf.DUMMYFUNCTION("""COMPUTED_VALUE"""),45804.0)</f>
        <v>45804</v>
      </c>
      <c r="T4017" s="57">
        <f>IFERROR(__xludf.DUMMYFUNCTION("""COMPUTED_VALUE"""),45850.0)</f>
        <v>45850</v>
      </c>
    </row>
    <row r="4018">
      <c r="A4018" s="6" t="str">
        <f>IFERROR(__xludf.DUMMYFUNCTION("""COMPUTED_VALUE"""),"121702776-1")</f>
        <v>121702776-1</v>
      </c>
      <c r="B4018" s="6" t="str">
        <f>IFERROR(__xludf.DUMMYFUNCTION("""COMPUTED_VALUE"""),"121702776 - APPROVED")</f>
        <v>121702776 - APPROVED</v>
      </c>
      <c r="C4018" s="6">
        <f>IFERROR(__xludf.DUMMYFUNCTION("""COMPUTED_VALUE"""),1.0)</f>
        <v>1</v>
      </c>
      <c r="D4018" s="6" t="str">
        <f>IFERROR(__xludf.DUMMYFUNCTION("""COMPUTED_VALUE"""),"P-11184-00")</f>
        <v>P-11184-00</v>
      </c>
      <c r="E4018" s="6" t="str">
        <f>IFERROR(__xludf.DUMMYFUNCTION("""COMPUTED_VALUE"""),"General - Push-in Connector, QS-8; Festo; 153033; 1 pcs")</f>
        <v>General - Push-in Connector, QS-8; Festo; 153033; 1 pcs</v>
      </c>
      <c r="F4018" s="6">
        <f>IFERROR(__xludf.DUMMYFUNCTION("""COMPUTED_VALUE"""),10.0)</f>
        <v>10</v>
      </c>
      <c r="G4018" s="6" t="str">
        <f>IFERROR(__xludf.DUMMYFUNCTION("""COMPUTED_VALUE"""),"Pieces")</f>
        <v>Pieces</v>
      </c>
      <c r="H4018" s="6" t="str">
        <f>IFERROR(__xludf.DUMMYFUNCTION("""COMPUTED_VALUE"""),"IDR")</f>
        <v>IDR</v>
      </c>
      <c r="I4018" s="6">
        <f>IFERROR(__xludf.DUMMYFUNCTION("""COMPUTED_VALUE"""),47707.0)</f>
        <v>47707</v>
      </c>
      <c r="J4018" s="6">
        <f>IFERROR(__xludf.DUMMYFUNCTION("""COMPUTED_VALUE"""),477070.0)</f>
        <v>477070</v>
      </c>
      <c r="K4018" s="57">
        <f>IFERROR(__xludf.DUMMYFUNCTION("""COMPUTED_VALUE"""),45835.0)</f>
        <v>45835</v>
      </c>
      <c r="L4018" s="6" t="str">
        <f>IFERROR(__xludf.DUMMYFUNCTION("""COMPUTED_VALUE"""),"FIP Engineering")</f>
        <v>FIP Engineering</v>
      </c>
      <c r="M4018" s="6" t="str">
        <f>IFERROR(__xludf.DUMMYFUNCTION("""COMPUTED_VALUE"""),"Mochammad Fadhillah Hakim,")</f>
        <v>Mochammad Fadhillah Hakim,</v>
      </c>
      <c r="N4018" s="6" t="str">
        <f>IFERROR(__xludf.DUMMYFUNCTION("""COMPUTED_VALUE"""),"FIP Engineering")</f>
        <v>FIP Engineering</v>
      </c>
      <c r="O4018" s="6" t="str">
        <f>IFERROR(__xludf.DUMMYFUNCTION("""COMPUTED_VALUE"""),"FIP-DOM-000-11304-OS00001-INA-000000")</f>
        <v>FIP-DOM-000-11304-OS00001-INA-000000</v>
      </c>
      <c r="P4018" s="6" t="str">
        <f>IFERROR(__xludf.DUMMYFUNCTION("""COMPUTED_VALUE"""),"PO Closed")</f>
        <v>PO Closed</v>
      </c>
      <c r="Q4018" s="6" t="str">
        <f>IFERROR(__xludf.DUMMYFUNCTION("""COMPUTED_VALUE"""),"GL2506380")</f>
        <v>GL2506380</v>
      </c>
      <c r="R4018" s="57">
        <f>IFERROR(__xludf.DUMMYFUNCTION("""COMPUTED_VALUE"""),45803.0)</f>
        <v>45803</v>
      </c>
      <c r="S4018" s="57">
        <f>IFERROR(__xludf.DUMMYFUNCTION("""COMPUTED_VALUE"""),45804.0)</f>
        <v>45804</v>
      </c>
      <c r="T4018" s="57">
        <f>IFERROR(__xludf.DUMMYFUNCTION("""COMPUTED_VALUE"""),45835.0)</f>
        <v>45835</v>
      </c>
    </row>
    <row r="4019">
      <c r="A4019" s="6" t="str">
        <f>IFERROR(__xludf.DUMMYFUNCTION("""COMPUTED_VALUE"""),"121702776-2")</f>
        <v>121702776-2</v>
      </c>
      <c r="B4019" s="6" t="str">
        <f>IFERROR(__xludf.DUMMYFUNCTION("""COMPUTED_VALUE"""),"121702776 - APPROVED")</f>
        <v>121702776 - APPROVED</v>
      </c>
      <c r="C4019" s="6">
        <f>IFERROR(__xludf.DUMMYFUNCTION("""COMPUTED_VALUE"""),2.0)</f>
        <v>2</v>
      </c>
      <c r="D4019" s="6" t="str">
        <f>IFERROR(__xludf.DUMMYFUNCTION("""COMPUTED_VALUE"""),"P-11185-00")</f>
        <v>P-11185-00</v>
      </c>
      <c r="E4019" s="6" t="str">
        <f>IFERROR(__xludf.DUMMYFUNCTION("""COMPUTED_VALUE"""),"General - Push-in Connector, QS-8-6; Festo; 153038; 1 pcs")</f>
        <v>General - Push-in Connector, QS-8-6; Festo; 153038; 1 pcs</v>
      </c>
      <c r="F4019" s="6">
        <f>IFERROR(__xludf.DUMMYFUNCTION("""COMPUTED_VALUE"""),4.0)</f>
        <v>4</v>
      </c>
      <c r="G4019" s="6" t="str">
        <f>IFERROR(__xludf.DUMMYFUNCTION("""COMPUTED_VALUE"""),"Pieces")</f>
        <v>Pieces</v>
      </c>
      <c r="H4019" s="6" t="str">
        <f>IFERROR(__xludf.DUMMYFUNCTION("""COMPUTED_VALUE"""),"IDR")</f>
        <v>IDR</v>
      </c>
      <c r="I4019" s="6">
        <f>IFERROR(__xludf.DUMMYFUNCTION("""COMPUTED_VALUE"""),47707.0)</f>
        <v>47707</v>
      </c>
      <c r="J4019" s="6">
        <f>IFERROR(__xludf.DUMMYFUNCTION("""COMPUTED_VALUE"""),190828.0)</f>
        <v>190828</v>
      </c>
      <c r="K4019" s="57">
        <f>IFERROR(__xludf.DUMMYFUNCTION("""COMPUTED_VALUE"""),45835.0)</f>
        <v>45835</v>
      </c>
      <c r="L4019" s="6" t="str">
        <f>IFERROR(__xludf.DUMMYFUNCTION("""COMPUTED_VALUE"""),"FIP Engineering")</f>
        <v>FIP Engineering</v>
      </c>
      <c r="M4019" s="6" t="str">
        <f>IFERROR(__xludf.DUMMYFUNCTION("""COMPUTED_VALUE"""),"Mochammad Fadhillah Hakim,")</f>
        <v>Mochammad Fadhillah Hakim,</v>
      </c>
      <c r="N4019" s="6" t="str">
        <f>IFERROR(__xludf.DUMMYFUNCTION("""COMPUTED_VALUE"""),"FIP Engineering")</f>
        <v>FIP Engineering</v>
      </c>
      <c r="O4019" s="6" t="str">
        <f>IFERROR(__xludf.DUMMYFUNCTION("""COMPUTED_VALUE"""),"FIP-DOM-000-11304-OS00001-INA-000000")</f>
        <v>FIP-DOM-000-11304-OS00001-INA-000000</v>
      </c>
      <c r="P4019" s="6" t="str">
        <f>IFERROR(__xludf.DUMMYFUNCTION("""COMPUTED_VALUE"""),"PO Closed")</f>
        <v>PO Closed</v>
      </c>
      <c r="Q4019" s="6" t="str">
        <f>IFERROR(__xludf.DUMMYFUNCTION("""COMPUTED_VALUE"""),"GL2506380")</f>
        <v>GL2506380</v>
      </c>
      <c r="R4019" s="57">
        <f>IFERROR(__xludf.DUMMYFUNCTION("""COMPUTED_VALUE"""),45803.0)</f>
        <v>45803</v>
      </c>
      <c r="S4019" s="57">
        <f>IFERROR(__xludf.DUMMYFUNCTION("""COMPUTED_VALUE"""),45804.0)</f>
        <v>45804</v>
      </c>
      <c r="T4019" s="57">
        <f>IFERROR(__xludf.DUMMYFUNCTION("""COMPUTED_VALUE"""),45835.0)</f>
        <v>45835</v>
      </c>
    </row>
    <row r="4020">
      <c r="A4020" s="6" t="str">
        <f>IFERROR(__xludf.DUMMYFUNCTION("""COMPUTED_VALUE"""),"121702776-3")</f>
        <v>121702776-3</v>
      </c>
      <c r="B4020" s="6" t="str">
        <f>IFERROR(__xludf.DUMMYFUNCTION("""COMPUTED_VALUE"""),"121702776 - APPROVED")</f>
        <v>121702776 - APPROVED</v>
      </c>
      <c r="C4020" s="6">
        <f>IFERROR(__xludf.DUMMYFUNCTION("""COMPUTED_VALUE"""),3.0)</f>
        <v>3</v>
      </c>
      <c r="D4020" s="6" t="str">
        <f>IFERROR(__xludf.DUMMYFUNCTION("""COMPUTED_VALUE"""),"P-11431-00")</f>
        <v>P-11431-00</v>
      </c>
      <c r="E4020" s="6" t="str">
        <f>IFERROR(__xludf.DUMMYFUNCTION("""COMPUTED_VALUE"""),"General - Plastic Tubing, PUN-H-8X1,25-BL; Festo; 197385; 1 m")</f>
        <v>General - Plastic Tubing, PUN-H-8X1,25-BL; Festo; 197385; 1 m</v>
      </c>
      <c r="F4020" s="6">
        <f>IFERROR(__xludf.DUMMYFUNCTION("""COMPUTED_VALUE"""),100.0)</f>
        <v>100</v>
      </c>
      <c r="G4020" s="6" t="str">
        <f>IFERROR(__xludf.DUMMYFUNCTION("""COMPUTED_VALUE"""),"Meter")</f>
        <v>Meter</v>
      </c>
      <c r="H4020" s="6" t="str">
        <f>IFERROR(__xludf.DUMMYFUNCTION("""COMPUTED_VALUE"""),"IDR")</f>
        <v>IDR</v>
      </c>
      <c r="I4020" s="6">
        <f>IFERROR(__xludf.DUMMYFUNCTION("""COMPUTED_VALUE"""),19903.0)</f>
        <v>19903</v>
      </c>
      <c r="J4020" s="6">
        <f>IFERROR(__xludf.DUMMYFUNCTION("""COMPUTED_VALUE"""),1990300.0)</f>
        <v>1990300</v>
      </c>
      <c r="K4020" s="57">
        <f>IFERROR(__xludf.DUMMYFUNCTION("""COMPUTED_VALUE"""),45835.0)</f>
        <v>45835</v>
      </c>
      <c r="L4020" s="6" t="str">
        <f>IFERROR(__xludf.DUMMYFUNCTION("""COMPUTED_VALUE"""),"FIP Engineering")</f>
        <v>FIP Engineering</v>
      </c>
      <c r="M4020" s="6" t="str">
        <f>IFERROR(__xludf.DUMMYFUNCTION("""COMPUTED_VALUE"""),"Mochammad Fadhillah Hakim,")</f>
        <v>Mochammad Fadhillah Hakim,</v>
      </c>
      <c r="N4020" s="6" t="str">
        <f>IFERROR(__xludf.DUMMYFUNCTION("""COMPUTED_VALUE"""),"FIP Engineering")</f>
        <v>FIP Engineering</v>
      </c>
      <c r="O4020" s="6" t="str">
        <f>IFERROR(__xludf.DUMMYFUNCTION("""COMPUTED_VALUE"""),"FIP-DOM-000-11304-OS00001-INA-000000")</f>
        <v>FIP-DOM-000-11304-OS00001-INA-000000</v>
      </c>
      <c r="P4020" s="6" t="str">
        <f>IFERROR(__xludf.DUMMYFUNCTION("""COMPUTED_VALUE"""),"PO Closed")</f>
        <v>PO Closed</v>
      </c>
      <c r="Q4020" s="6" t="str">
        <f>IFERROR(__xludf.DUMMYFUNCTION("""COMPUTED_VALUE"""),"GL2506380")</f>
        <v>GL2506380</v>
      </c>
      <c r="R4020" s="57">
        <f>IFERROR(__xludf.DUMMYFUNCTION("""COMPUTED_VALUE"""),45803.0)</f>
        <v>45803</v>
      </c>
      <c r="S4020" s="57">
        <f>IFERROR(__xludf.DUMMYFUNCTION("""COMPUTED_VALUE"""),45804.0)</f>
        <v>45804</v>
      </c>
      <c r="T4020" s="57">
        <f>IFERROR(__xludf.DUMMYFUNCTION("""COMPUTED_VALUE"""),45835.0)</f>
        <v>45835</v>
      </c>
    </row>
    <row r="4021">
      <c r="A4021" s="6" t="str">
        <f>IFERROR(__xludf.DUMMYFUNCTION("""COMPUTED_VALUE"""),"121702776-4")</f>
        <v>121702776-4</v>
      </c>
      <c r="B4021" s="6" t="str">
        <f>IFERROR(__xludf.DUMMYFUNCTION("""COMPUTED_VALUE"""),"121702776 - APPROVED")</f>
        <v>121702776 - APPROVED</v>
      </c>
      <c r="C4021" s="6">
        <f>IFERROR(__xludf.DUMMYFUNCTION("""COMPUTED_VALUE"""),4.0)</f>
        <v>4</v>
      </c>
      <c r="D4021" s="6" t="str">
        <f>IFERROR(__xludf.DUMMYFUNCTION("""COMPUTED_VALUE"""),"P-12287-00")</f>
        <v>P-12287-00</v>
      </c>
      <c r="E4021" s="6" t="str">
        <f>IFERROR(__xludf.DUMMYFUNCTION("""COMPUTED_VALUE"""),"FESTO - QS-3/8-8 Push-In fitting p/n 153006")</f>
        <v>FESTO - QS-3/8-8 Push-In fitting p/n 153006</v>
      </c>
      <c r="F4021" s="6">
        <f>IFERROR(__xludf.DUMMYFUNCTION("""COMPUTED_VALUE"""),10.0)</f>
        <v>10</v>
      </c>
      <c r="G4021" s="6" t="str">
        <f>IFERROR(__xludf.DUMMYFUNCTION("""COMPUTED_VALUE"""),"Pieces")</f>
        <v>Pieces</v>
      </c>
      <c r="H4021" s="6" t="str">
        <f>IFERROR(__xludf.DUMMYFUNCTION("""COMPUTED_VALUE"""),"IDR")</f>
        <v>IDR</v>
      </c>
      <c r="I4021" s="6">
        <f>IFERROR(__xludf.DUMMYFUNCTION("""COMPUTED_VALUE"""),33805.0)</f>
        <v>33805</v>
      </c>
      <c r="J4021" s="6">
        <f>IFERROR(__xludf.DUMMYFUNCTION("""COMPUTED_VALUE"""),338050.0)</f>
        <v>338050</v>
      </c>
      <c r="K4021" s="57">
        <f>IFERROR(__xludf.DUMMYFUNCTION("""COMPUTED_VALUE"""),45835.0)</f>
        <v>45835</v>
      </c>
      <c r="L4021" s="6" t="str">
        <f>IFERROR(__xludf.DUMMYFUNCTION("""COMPUTED_VALUE"""),"FIP Engineering")</f>
        <v>FIP Engineering</v>
      </c>
      <c r="M4021" s="6" t="str">
        <f>IFERROR(__xludf.DUMMYFUNCTION("""COMPUTED_VALUE"""),"Mochammad Fadhillah Hakim,")</f>
        <v>Mochammad Fadhillah Hakim,</v>
      </c>
      <c r="N4021" s="6" t="str">
        <f>IFERROR(__xludf.DUMMYFUNCTION("""COMPUTED_VALUE"""),"FIP Engineering")</f>
        <v>FIP Engineering</v>
      </c>
      <c r="O4021" s="6" t="str">
        <f>IFERROR(__xludf.DUMMYFUNCTION("""COMPUTED_VALUE"""),"FIP-DOM-000-11304-OS00001-INA-000000")</f>
        <v>FIP-DOM-000-11304-OS00001-INA-000000</v>
      </c>
      <c r="P4021" s="6" t="str">
        <f>IFERROR(__xludf.DUMMYFUNCTION("""COMPUTED_VALUE"""),"PO Closed")</f>
        <v>PO Closed</v>
      </c>
      <c r="Q4021" s="6" t="str">
        <f>IFERROR(__xludf.DUMMYFUNCTION("""COMPUTED_VALUE"""),"GL2506380")</f>
        <v>GL2506380</v>
      </c>
      <c r="R4021" s="57">
        <f>IFERROR(__xludf.DUMMYFUNCTION("""COMPUTED_VALUE"""),45803.0)</f>
        <v>45803</v>
      </c>
      <c r="S4021" s="57">
        <f>IFERROR(__xludf.DUMMYFUNCTION("""COMPUTED_VALUE"""),45804.0)</f>
        <v>45804</v>
      </c>
      <c r="T4021" s="57">
        <f>IFERROR(__xludf.DUMMYFUNCTION("""COMPUTED_VALUE"""),45835.0)</f>
        <v>45835</v>
      </c>
    </row>
    <row r="4022">
      <c r="A4022" s="6" t="str">
        <f>IFERROR(__xludf.DUMMYFUNCTION("""COMPUTED_VALUE"""),"121702776-5")</f>
        <v>121702776-5</v>
      </c>
      <c r="B4022" s="6" t="str">
        <f>IFERROR(__xludf.DUMMYFUNCTION("""COMPUTED_VALUE"""),"121702776 - APPROVED")</f>
        <v>121702776 - APPROVED</v>
      </c>
      <c r="C4022" s="6">
        <f>IFERROR(__xludf.DUMMYFUNCTION("""COMPUTED_VALUE"""),5.0)</f>
        <v>5</v>
      </c>
      <c r="D4022" s="6" t="str">
        <f>IFERROR(__xludf.DUMMYFUNCTION("""COMPUTED_VALUE"""),"P-15351-00")</f>
        <v>P-15351-00</v>
      </c>
      <c r="E4022" s="6" t="str">
        <f>IFERROR(__xludf.DUMMYFUNCTION("""COMPUTED_VALUE"""),"FESTO - Plastic tubing PUN-10x1,5-BL (Blue) p/n 159668; ; ;")</f>
        <v>FESTO - Plastic tubing PUN-10x1,5-BL (Blue) p/n 159668; ; ;</v>
      </c>
      <c r="F4022" s="6">
        <f>IFERROR(__xludf.DUMMYFUNCTION("""COMPUTED_VALUE"""),150.0)</f>
        <v>150</v>
      </c>
      <c r="G4022" s="6" t="str">
        <f>IFERROR(__xludf.DUMMYFUNCTION("""COMPUTED_VALUE"""),"Pieces")</f>
        <v>Pieces</v>
      </c>
      <c r="H4022" s="6" t="str">
        <f>IFERROR(__xludf.DUMMYFUNCTION("""COMPUTED_VALUE"""),"IDR")</f>
        <v>IDR</v>
      </c>
      <c r="I4022" s="6">
        <f>IFERROR(__xludf.DUMMYFUNCTION("""COMPUTED_VALUE"""),38196.0)</f>
        <v>38196</v>
      </c>
      <c r="J4022" s="6">
        <f>IFERROR(__xludf.DUMMYFUNCTION("""COMPUTED_VALUE"""),5729400.0)</f>
        <v>5729400</v>
      </c>
      <c r="K4022" s="57">
        <f>IFERROR(__xludf.DUMMYFUNCTION("""COMPUTED_VALUE"""),45835.0)</f>
        <v>45835</v>
      </c>
      <c r="L4022" s="6" t="str">
        <f>IFERROR(__xludf.DUMMYFUNCTION("""COMPUTED_VALUE"""),"FIP Engineering")</f>
        <v>FIP Engineering</v>
      </c>
      <c r="M4022" s="6" t="str">
        <f>IFERROR(__xludf.DUMMYFUNCTION("""COMPUTED_VALUE"""),"Mochammad Fadhillah Hakim,")</f>
        <v>Mochammad Fadhillah Hakim,</v>
      </c>
      <c r="N4022" s="6" t="str">
        <f>IFERROR(__xludf.DUMMYFUNCTION("""COMPUTED_VALUE"""),"FIP Engineering")</f>
        <v>FIP Engineering</v>
      </c>
      <c r="O4022" s="6" t="str">
        <f>IFERROR(__xludf.DUMMYFUNCTION("""COMPUTED_VALUE"""),"FIP-DOM-000-11304-OS00001-INA-000000")</f>
        <v>FIP-DOM-000-11304-OS00001-INA-000000</v>
      </c>
      <c r="P4022" s="6" t="str">
        <f>IFERROR(__xludf.DUMMYFUNCTION("""COMPUTED_VALUE"""),"PO Closed")</f>
        <v>PO Closed</v>
      </c>
      <c r="Q4022" s="6" t="str">
        <f>IFERROR(__xludf.DUMMYFUNCTION("""COMPUTED_VALUE"""),"GL2506380")</f>
        <v>GL2506380</v>
      </c>
      <c r="R4022" s="57">
        <f>IFERROR(__xludf.DUMMYFUNCTION("""COMPUTED_VALUE"""),45803.0)</f>
        <v>45803</v>
      </c>
      <c r="S4022" s="57">
        <f>IFERROR(__xludf.DUMMYFUNCTION("""COMPUTED_VALUE"""),45804.0)</f>
        <v>45804</v>
      </c>
      <c r="T4022" s="57">
        <f>IFERROR(__xludf.DUMMYFUNCTION("""COMPUTED_VALUE"""),45835.0)</f>
        <v>45835</v>
      </c>
    </row>
    <row r="4023">
      <c r="A4023" s="6" t="str">
        <f>IFERROR(__xludf.DUMMYFUNCTION("""COMPUTED_VALUE"""),"121702777-1")</f>
        <v>121702777-1</v>
      </c>
      <c r="B4023" s="6" t="str">
        <f>IFERROR(__xludf.DUMMYFUNCTION("""COMPUTED_VALUE"""),"121702777 - APPROVED")</f>
        <v>121702777 - APPROVED</v>
      </c>
      <c r="C4023" s="6">
        <f>IFERROR(__xludf.DUMMYFUNCTION("""COMPUTED_VALUE"""),1.0)</f>
        <v>1</v>
      </c>
      <c r="D4023" s="6" t="str">
        <f>IFERROR(__xludf.DUMMYFUNCTION("""COMPUTED_VALUE"""),"P-13429-00")</f>
        <v>P-13429-00</v>
      </c>
      <c r="E4023" s="6" t="str">
        <f>IFERROR(__xludf.DUMMYFUNCTION("""COMPUTED_VALUE"""),"Cable Ducting 25x40mm; ; ; - PUTIH")</f>
        <v>Cable Ducting 25x40mm; ; ; - PUTIH</v>
      </c>
      <c r="F4023" s="6">
        <f>IFERROR(__xludf.DUMMYFUNCTION("""COMPUTED_VALUE"""),3.0)</f>
        <v>3</v>
      </c>
      <c r="G4023" s="6" t="str">
        <f>IFERROR(__xludf.DUMMYFUNCTION("""COMPUTED_VALUE"""),"Pieces")</f>
        <v>Pieces</v>
      </c>
      <c r="H4023" s="6" t="str">
        <f>IFERROR(__xludf.DUMMYFUNCTION("""COMPUTED_VALUE"""),"IDR")</f>
        <v>IDR</v>
      </c>
      <c r="I4023" s="6">
        <f>IFERROR(__xludf.DUMMYFUNCTION("""COMPUTED_VALUE"""),45000.0)</f>
        <v>45000</v>
      </c>
      <c r="J4023" s="6">
        <f>IFERROR(__xludf.DUMMYFUNCTION("""COMPUTED_VALUE"""),135000.0)</f>
        <v>135000</v>
      </c>
      <c r="K4023" s="57">
        <f>IFERROR(__xludf.DUMMYFUNCTION("""COMPUTED_VALUE"""),45835.0)</f>
        <v>45835</v>
      </c>
      <c r="L4023" s="6" t="str">
        <f>IFERROR(__xludf.DUMMYFUNCTION("""COMPUTED_VALUE"""),"FIP General")</f>
        <v>FIP General</v>
      </c>
      <c r="M4023" s="6" t="str">
        <f>IFERROR(__xludf.DUMMYFUNCTION("""COMPUTED_VALUE"""),"Mochammad Fadhillah Hakim,")</f>
        <v>Mochammad Fadhillah Hakim,</v>
      </c>
      <c r="N4023" s="6" t="str">
        <f>IFERROR(__xludf.DUMMYFUNCTION("""COMPUTED_VALUE"""),"FIP Engineering")</f>
        <v>FIP Engineering</v>
      </c>
      <c r="O4023" s="6" t="str">
        <f>IFERROR(__xludf.DUMMYFUNCTION("""COMPUTED_VALUE"""),"FIP-DOM-ENG-51502-0000000-INA-000000")</f>
        <v>FIP-DOM-ENG-51502-0000000-INA-000000</v>
      </c>
      <c r="P4023" s="6" t="str">
        <f>IFERROR(__xludf.DUMMYFUNCTION("""COMPUTED_VALUE"""),"PO Closed")</f>
        <v>PO Closed</v>
      </c>
      <c r="Q4023" s="6" t="str">
        <f>IFERROR(__xludf.DUMMYFUNCTION("""COMPUTED_VALUE"""),"GL2506384")</f>
        <v>GL2506384</v>
      </c>
      <c r="R4023" s="57">
        <f>IFERROR(__xludf.DUMMYFUNCTION("""COMPUTED_VALUE"""),45803.0)</f>
        <v>45803</v>
      </c>
      <c r="S4023" s="57">
        <f>IFERROR(__xludf.DUMMYFUNCTION("""COMPUTED_VALUE"""),45803.0)</f>
        <v>45803</v>
      </c>
      <c r="T4023" s="57">
        <f>IFERROR(__xludf.DUMMYFUNCTION("""COMPUTED_VALUE"""),45842.0)</f>
        <v>45842</v>
      </c>
    </row>
    <row r="4024">
      <c r="A4024" s="6" t="str">
        <f>IFERROR(__xludf.DUMMYFUNCTION("""COMPUTED_VALUE"""),"121702779-1")</f>
        <v>121702779-1</v>
      </c>
      <c r="B4024" s="6" t="str">
        <f>IFERROR(__xludf.DUMMYFUNCTION("""COMPUTED_VALUE"""),"121702779 - APPROVED")</f>
        <v>121702779 - APPROVED</v>
      </c>
      <c r="C4024" s="6">
        <f>IFERROR(__xludf.DUMMYFUNCTION("""COMPUTED_VALUE"""),1.0)</f>
        <v>1</v>
      </c>
      <c r="D4024" s="6" t="str">
        <f>IFERROR(__xludf.DUMMYFUNCTION("""COMPUTED_VALUE"""),"P-19028-00")</f>
        <v>P-19028-00</v>
      </c>
      <c r="E4024" s="6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F4024" s="6">
        <f>IFERROR(__xludf.DUMMYFUNCTION("""COMPUTED_VALUE"""),20.0)</f>
        <v>20</v>
      </c>
      <c r="G4024" s="6" t="str">
        <f>IFERROR(__xludf.DUMMYFUNCTION("""COMPUTED_VALUE"""),"Pieces")</f>
        <v>Pieces</v>
      </c>
      <c r="H4024" s="6" t="str">
        <f>IFERROR(__xludf.DUMMYFUNCTION("""COMPUTED_VALUE"""),"IDR")</f>
        <v>IDR</v>
      </c>
      <c r="I4024" s="6">
        <f>IFERROR(__xludf.DUMMYFUNCTION("""COMPUTED_VALUE"""),450000.0)</f>
        <v>450000</v>
      </c>
      <c r="J4024" s="6">
        <f>IFERROR(__xludf.DUMMYFUNCTION("""COMPUTED_VALUE"""),9000000.0)</f>
        <v>9000000</v>
      </c>
      <c r="K4024" s="57">
        <f>IFERROR(__xludf.DUMMYFUNCTION("""COMPUTED_VALUE"""),45835.0)</f>
        <v>45835</v>
      </c>
      <c r="L4024" s="6" t="str">
        <f>IFERROR(__xludf.DUMMYFUNCTION("""COMPUTED_VALUE"""),"FIP Engineering")</f>
        <v>FIP Engineering</v>
      </c>
      <c r="M4024" s="6" t="str">
        <f>IFERROR(__xludf.DUMMYFUNCTION("""COMPUTED_VALUE"""),"Mochammad Fadhillah Hakim,")</f>
        <v>Mochammad Fadhillah Hakim,</v>
      </c>
      <c r="N4024" s="6" t="str">
        <f>IFERROR(__xludf.DUMMYFUNCTION("""COMPUTED_VALUE"""),"FIP Engineering")</f>
        <v>FIP Engineering</v>
      </c>
      <c r="O4024" s="6" t="str">
        <f>IFERROR(__xludf.DUMMYFUNCTION("""COMPUTED_VALUE"""),"FIP-DOM-000-11304-OS00001-INA-000000")</f>
        <v>FIP-DOM-000-11304-OS00001-INA-000000</v>
      </c>
      <c r="P4024" s="6" t="str">
        <f>IFERROR(__xludf.DUMMYFUNCTION("""COMPUTED_VALUE"""),"PO Closed")</f>
        <v>PO Closed</v>
      </c>
      <c r="Q4024" s="6" t="str">
        <f>IFERROR(__xludf.DUMMYFUNCTION("""COMPUTED_VALUE"""),"GL2506022")</f>
        <v>GL2506022</v>
      </c>
      <c r="R4024" s="57">
        <f>IFERROR(__xludf.DUMMYFUNCTION("""COMPUTED_VALUE"""),45803.0)</f>
        <v>45803</v>
      </c>
      <c r="S4024" s="57">
        <f>IFERROR(__xludf.DUMMYFUNCTION("""COMPUTED_VALUE"""),45811.0)</f>
        <v>45811</v>
      </c>
      <c r="T4024" s="57">
        <f>IFERROR(__xludf.DUMMYFUNCTION("""COMPUTED_VALUE"""),45835.0)</f>
        <v>45835</v>
      </c>
    </row>
    <row r="4025">
      <c r="A4025" s="6" t="str">
        <f>IFERROR(__xludf.DUMMYFUNCTION("""COMPUTED_VALUE"""),"121702779-2")</f>
        <v>121702779-2</v>
      </c>
      <c r="B4025" s="6" t="str">
        <f>IFERROR(__xludf.DUMMYFUNCTION("""COMPUTED_VALUE"""),"121702779 - APPROVED")</f>
        <v>121702779 - APPROVED</v>
      </c>
      <c r="C4025" s="6">
        <f>IFERROR(__xludf.DUMMYFUNCTION("""COMPUTED_VALUE"""),2.0)</f>
        <v>2</v>
      </c>
      <c r="D4025" s="6" t="str">
        <f>IFERROR(__xludf.DUMMYFUNCTION("""COMPUTED_VALUE"""),"P-19029-00")</f>
        <v>P-19029-00</v>
      </c>
      <c r="E4025" s="6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F4025" s="6">
        <f>IFERROR(__xludf.DUMMYFUNCTION("""COMPUTED_VALUE"""),10.0)</f>
        <v>10</v>
      </c>
      <c r="G4025" s="6" t="str">
        <f>IFERROR(__xludf.DUMMYFUNCTION("""COMPUTED_VALUE"""),"Pieces")</f>
        <v>Pieces</v>
      </c>
      <c r="H4025" s="6" t="str">
        <f>IFERROR(__xludf.DUMMYFUNCTION("""COMPUTED_VALUE"""),"IDR")</f>
        <v>IDR</v>
      </c>
      <c r="I4025" s="6">
        <f>IFERROR(__xludf.DUMMYFUNCTION("""COMPUTED_VALUE"""),350000.0)</f>
        <v>350000</v>
      </c>
      <c r="J4025" s="6">
        <f>IFERROR(__xludf.DUMMYFUNCTION("""COMPUTED_VALUE"""),3500000.0)</f>
        <v>3500000</v>
      </c>
      <c r="K4025" s="57">
        <f>IFERROR(__xludf.DUMMYFUNCTION("""COMPUTED_VALUE"""),45835.0)</f>
        <v>45835</v>
      </c>
      <c r="L4025" s="6" t="str">
        <f>IFERROR(__xludf.DUMMYFUNCTION("""COMPUTED_VALUE"""),"FIP Engineering")</f>
        <v>FIP Engineering</v>
      </c>
      <c r="M4025" s="6" t="str">
        <f>IFERROR(__xludf.DUMMYFUNCTION("""COMPUTED_VALUE"""),"Mochammad Fadhillah Hakim,")</f>
        <v>Mochammad Fadhillah Hakim,</v>
      </c>
      <c r="N4025" s="6" t="str">
        <f>IFERROR(__xludf.DUMMYFUNCTION("""COMPUTED_VALUE"""),"FIP Engineering")</f>
        <v>FIP Engineering</v>
      </c>
      <c r="O4025" s="6" t="str">
        <f>IFERROR(__xludf.DUMMYFUNCTION("""COMPUTED_VALUE"""),"FIP-DOM-000-11304-OS00001-INA-000000")</f>
        <v>FIP-DOM-000-11304-OS00001-INA-000000</v>
      </c>
      <c r="P4025" s="6" t="str">
        <f>IFERROR(__xludf.DUMMYFUNCTION("""COMPUTED_VALUE"""),"PO Closed")</f>
        <v>PO Closed</v>
      </c>
      <c r="Q4025" s="6" t="str">
        <f>IFERROR(__xludf.DUMMYFUNCTION("""COMPUTED_VALUE"""),"GL2506022")</f>
        <v>GL2506022</v>
      </c>
      <c r="R4025" s="57">
        <f>IFERROR(__xludf.DUMMYFUNCTION("""COMPUTED_VALUE"""),45803.0)</f>
        <v>45803</v>
      </c>
      <c r="S4025" s="57">
        <f>IFERROR(__xludf.DUMMYFUNCTION("""COMPUTED_VALUE"""),45811.0)</f>
        <v>45811</v>
      </c>
      <c r="T4025" s="57">
        <f>IFERROR(__xludf.DUMMYFUNCTION("""COMPUTED_VALUE"""),45835.0)</f>
        <v>45835</v>
      </c>
    </row>
    <row r="4026">
      <c r="A4026" s="6" t="str">
        <f>IFERROR(__xludf.DUMMYFUNCTION("""COMPUTED_VALUE"""),"121702780-1")</f>
        <v>121702780-1</v>
      </c>
      <c r="B4026" s="6" t="str">
        <f>IFERROR(__xludf.DUMMYFUNCTION("""COMPUTED_VALUE"""),"121702780 - APPROVED")</f>
        <v>121702780 - APPROVED</v>
      </c>
      <c r="C4026" s="6">
        <f>IFERROR(__xludf.DUMMYFUNCTION("""COMPUTED_VALUE"""),1.0)</f>
        <v>1</v>
      </c>
      <c r="D4026" s="6" t="str">
        <f>IFERROR(__xludf.DUMMYFUNCTION("""COMPUTED_VALUE"""),"T-20123-00")</f>
        <v>T-20123-00</v>
      </c>
      <c r="E4026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4026" s="6">
        <f>IFERROR(__xludf.DUMMYFUNCTION("""COMPUTED_VALUE"""),2.0)</f>
        <v>2</v>
      </c>
      <c r="G4026" s="6" t="str">
        <f>IFERROR(__xludf.DUMMYFUNCTION("""COMPUTED_VALUE"""),"Pieces")</f>
        <v>Pieces</v>
      </c>
      <c r="H4026" s="6" t="str">
        <f>IFERROR(__xludf.DUMMYFUNCTION("""COMPUTED_VALUE"""),"IDR")</f>
        <v>IDR</v>
      </c>
      <c r="I4026" s="6">
        <f>IFERROR(__xludf.DUMMYFUNCTION("""COMPUTED_VALUE"""),1.2328425E7)</f>
        <v>12328425</v>
      </c>
      <c r="J4026" s="6">
        <f>IFERROR(__xludf.DUMMYFUNCTION("""COMPUTED_VALUE"""),2.465685E7)</f>
        <v>24656850</v>
      </c>
      <c r="K4026" s="57">
        <f>IFERROR(__xludf.DUMMYFUNCTION("""COMPUTED_VALUE"""),45866.0)</f>
        <v>45866</v>
      </c>
      <c r="L4026" s="6" t="str">
        <f>IFERROR(__xludf.DUMMYFUNCTION("""COMPUTED_VALUE"""),"FIP General")</f>
        <v>FIP General</v>
      </c>
      <c r="M4026" s="6" t="str">
        <f>IFERROR(__xludf.DUMMYFUNCTION("""COMPUTED_VALUE"""),"Mochammad Fadhillah Hakim,")</f>
        <v>Mochammad Fadhillah Hakim,</v>
      </c>
      <c r="N4026" s="6" t="str">
        <f>IFERROR(__xludf.DUMMYFUNCTION("""COMPUTED_VALUE"""),"FIP Engineering")</f>
        <v>FIP Engineering</v>
      </c>
      <c r="O4026" s="6" t="str">
        <f>IFERROR(__xludf.DUMMYFUNCTION("""COMPUTED_VALUE"""),"FIP-DOM-ENG-51505-0000000-INA-000000")</f>
        <v>FIP-DOM-ENG-51505-0000000-INA-000000</v>
      </c>
      <c r="P4026" s="6" t="str">
        <f>IFERROR(__xludf.DUMMYFUNCTION("""COMPUTED_VALUE"""),"PO Closed")</f>
        <v>PO Closed</v>
      </c>
      <c r="Q4026" s="6" t="str">
        <f>IFERROR(__xludf.DUMMYFUNCTION("""COMPUTED_VALUE"""),"GL2506377")</f>
        <v>GL2506377</v>
      </c>
      <c r="R4026" s="57">
        <f>IFERROR(__xludf.DUMMYFUNCTION("""COMPUTED_VALUE"""),45803.0)</f>
        <v>45803</v>
      </c>
      <c r="S4026" s="57">
        <f>IFERROR(__xludf.DUMMYFUNCTION("""COMPUTED_VALUE"""),45811.0)</f>
        <v>45811</v>
      </c>
      <c r="T4026" s="57">
        <f>IFERROR(__xludf.DUMMYFUNCTION("""COMPUTED_VALUE"""),45933.0)</f>
        <v>45933</v>
      </c>
    </row>
    <row r="4027">
      <c r="A4027" s="6" t="str">
        <f>IFERROR(__xludf.DUMMYFUNCTION("""COMPUTED_VALUE"""),"121702780-2")</f>
        <v>121702780-2</v>
      </c>
      <c r="B4027" s="6" t="str">
        <f>IFERROR(__xludf.DUMMYFUNCTION("""COMPUTED_VALUE"""),"121702780 - APPROVED")</f>
        <v>121702780 - APPROVED</v>
      </c>
      <c r="C4027" s="6">
        <f>IFERROR(__xludf.DUMMYFUNCTION("""COMPUTED_VALUE"""),2.0)</f>
        <v>2</v>
      </c>
      <c r="D4027" s="6" t="str">
        <f>IFERROR(__xludf.DUMMYFUNCTION("""COMPUTED_VALUE"""),"T-25454-00")</f>
        <v>T-25454-00</v>
      </c>
      <c r="E4027" s="6" t="str">
        <f>IFERROR(__xludf.DUMMYFUNCTION("""COMPUTED_VALUE"""),"Filter Flag, 2998, Classic; Waters; 700003767;")</f>
        <v>Filter Flag, 2998, Classic; Waters; 700003767;</v>
      </c>
      <c r="F4027" s="6">
        <f>IFERROR(__xludf.DUMMYFUNCTION("""COMPUTED_VALUE"""),2.0)</f>
        <v>2</v>
      </c>
      <c r="G4027" s="6" t="str">
        <f>IFERROR(__xludf.DUMMYFUNCTION("""COMPUTED_VALUE"""),"Pieces")</f>
        <v>Pieces</v>
      </c>
      <c r="H4027" s="6" t="str">
        <f>IFERROR(__xludf.DUMMYFUNCTION("""COMPUTED_VALUE"""),"USD")</f>
        <v>USD</v>
      </c>
      <c r="I4027" s="6">
        <f>IFERROR(__xludf.DUMMYFUNCTION("""COMPUTED_VALUE"""),1.188648E7)</f>
        <v>11886480</v>
      </c>
      <c r="J4027" s="6">
        <f>IFERROR(__xludf.DUMMYFUNCTION("""COMPUTED_VALUE"""),2.377296E7)</f>
        <v>23772960</v>
      </c>
      <c r="K4027" s="57">
        <f>IFERROR(__xludf.DUMMYFUNCTION("""COMPUTED_VALUE"""),45866.0)</f>
        <v>45866</v>
      </c>
      <c r="L4027" s="6" t="str">
        <f>IFERROR(__xludf.DUMMYFUNCTION("""COMPUTED_VALUE"""),"FIP General")</f>
        <v>FIP General</v>
      </c>
      <c r="M4027" s="6" t="str">
        <f>IFERROR(__xludf.DUMMYFUNCTION("""COMPUTED_VALUE"""),"Mochammad Fadhillah Hakim,")</f>
        <v>Mochammad Fadhillah Hakim,</v>
      </c>
      <c r="N4027" s="6" t="str">
        <f>IFERROR(__xludf.DUMMYFUNCTION("""COMPUTED_VALUE"""),"FIP Engineering")</f>
        <v>FIP Engineering</v>
      </c>
      <c r="O4027" s="6" t="str">
        <f>IFERROR(__xludf.DUMMYFUNCTION("""COMPUTED_VALUE"""),"FIP-DOM-ENG-51505-0000000-INA-000000")</f>
        <v>FIP-DOM-ENG-51505-0000000-INA-000000</v>
      </c>
      <c r="P4027" s="6" t="str">
        <f>IFERROR(__xludf.DUMMYFUNCTION("""COMPUTED_VALUE"""),"PO Closed")</f>
        <v>PO Closed</v>
      </c>
      <c r="Q4027" s="6" t="str">
        <f>IFERROR(__xludf.DUMMYFUNCTION("""COMPUTED_VALUE"""),"GL2506394")</f>
        <v>GL2506394</v>
      </c>
      <c r="R4027" s="57">
        <f>IFERROR(__xludf.DUMMYFUNCTION("""COMPUTED_VALUE"""),45803.0)</f>
        <v>45803</v>
      </c>
      <c r="S4027" s="57">
        <f>IFERROR(__xludf.DUMMYFUNCTION("""COMPUTED_VALUE"""),45811.0)</f>
        <v>45811</v>
      </c>
      <c r="T4027" s="57">
        <f>IFERROR(__xludf.DUMMYFUNCTION("""COMPUTED_VALUE"""),45866.0)</f>
        <v>45866</v>
      </c>
    </row>
    <row r="4028">
      <c r="A4028" s="6" t="str">
        <f>IFERROR(__xludf.DUMMYFUNCTION("""COMPUTED_VALUE"""),"121702781-1")</f>
        <v>121702781-1</v>
      </c>
      <c r="B4028" s="6" t="str">
        <f>IFERROR(__xludf.DUMMYFUNCTION("""COMPUTED_VALUE"""),"121702781 - APPROVED")</f>
        <v>121702781 - APPROVED</v>
      </c>
      <c r="C4028" s="6">
        <f>IFERROR(__xludf.DUMMYFUNCTION("""COMPUTED_VALUE"""),1.0)</f>
        <v>1</v>
      </c>
      <c r="D4028" s="6" t="str">
        <f>IFERROR(__xludf.DUMMYFUNCTION("""COMPUTED_VALUE"""),"O-53032-00")</f>
        <v>O-53032-00</v>
      </c>
      <c r="E4028" s="6" t="str">
        <f>IFERROR(__xludf.DUMMYFUNCTION("""COMPUTED_VALUE"""),"Cable Temperature Sensor Silicone 1,5m PT1000 QAP2012.150")</f>
        <v>Cable Temperature Sensor Silicone 1,5m PT1000 QAP2012.150</v>
      </c>
      <c r="F4028" s="6">
        <f>IFERROR(__xludf.DUMMYFUNCTION("""COMPUTED_VALUE"""),4.0)</f>
        <v>4</v>
      </c>
      <c r="G4028" s="6" t="str">
        <f>IFERROR(__xludf.DUMMYFUNCTION("""COMPUTED_VALUE"""),"Pieces")</f>
        <v>Pieces</v>
      </c>
      <c r="H4028" s="6" t="str">
        <f>IFERROR(__xludf.DUMMYFUNCTION("""COMPUTED_VALUE"""),"IDR")</f>
        <v>IDR</v>
      </c>
      <c r="I4028" s="6">
        <f>IFERROR(__xludf.DUMMYFUNCTION("""COMPUTED_VALUE"""),650000.0)</f>
        <v>650000</v>
      </c>
      <c r="J4028" s="6">
        <f>IFERROR(__xludf.DUMMYFUNCTION("""COMPUTED_VALUE"""),2600000.0)</f>
        <v>2600000</v>
      </c>
      <c r="K4028" s="57">
        <f>IFERROR(__xludf.DUMMYFUNCTION("""COMPUTED_VALUE"""),45835.0)</f>
        <v>45835</v>
      </c>
      <c r="L4028" s="6" t="str">
        <f>IFERROR(__xludf.DUMMYFUNCTION("""COMPUTED_VALUE"""),"FIP Engineering")</f>
        <v>FIP Engineering</v>
      </c>
      <c r="M4028" s="6" t="str">
        <f>IFERROR(__xludf.DUMMYFUNCTION("""COMPUTED_VALUE"""),"Mochammad Fadhillah Hakim,")</f>
        <v>Mochammad Fadhillah Hakim,</v>
      </c>
      <c r="N4028" s="6" t="str">
        <f>IFERROR(__xludf.DUMMYFUNCTION("""COMPUTED_VALUE"""),"FIP Engineering")</f>
        <v>FIP Engineering</v>
      </c>
      <c r="O4028" s="6" t="str">
        <f>IFERROR(__xludf.DUMMYFUNCTION("""COMPUTED_VALUE"""),"FIP-DOM-000-11304-OS00001-INA-000000")</f>
        <v>FIP-DOM-000-11304-OS00001-INA-000000</v>
      </c>
      <c r="P4028" s="6" t="str">
        <f>IFERROR(__xludf.DUMMYFUNCTION("""COMPUTED_VALUE"""),"PO Closed")</f>
        <v>PO Closed</v>
      </c>
      <c r="Q4028" s="6" t="str">
        <f>IFERROR(__xludf.DUMMYFUNCTION("""COMPUTED_VALUE"""),"GL2506053")</f>
        <v>GL2506053</v>
      </c>
      <c r="R4028" s="57">
        <f>IFERROR(__xludf.DUMMYFUNCTION("""COMPUTED_VALUE"""),45803.0)</f>
        <v>45803</v>
      </c>
      <c r="S4028" s="57">
        <f>IFERROR(__xludf.DUMMYFUNCTION("""COMPUTED_VALUE"""),45818.0)</f>
        <v>45818</v>
      </c>
      <c r="T4028" s="57">
        <f>IFERROR(__xludf.DUMMYFUNCTION("""COMPUTED_VALUE"""),45865.0)</f>
        <v>45865</v>
      </c>
    </row>
    <row r="4029">
      <c r="A4029" s="6" t="str">
        <f>IFERROR(__xludf.DUMMYFUNCTION("""COMPUTED_VALUE"""),"121702783-1")</f>
        <v>121702783-1</v>
      </c>
      <c r="B4029" s="6" t="str">
        <f>IFERROR(__xludf.DUMMYFUNCTION("""COMPUTED_VALUE"""),"121702783 - APPROVED")</f>
        <v>121702783 - APPROVED</v>
      </c>
      <c r="C4029" s="6">
        <f>IFERROR(__xludf.DUMMYFUNCTION("""COMPUTED_VALUE"""),1.0)</f>
        <v>1</v>
      </c>
      <c r="D4029" s="6" t="str">
        <f>IFERROR(__xludf.DUMMYFUNCTION("""COMPUTED_VALUE"""),"P-19820-00")</f>
        <v>P-19820-00</v>
      </c>
      <c r="E4029" s="6" t="str">
        <f>IFERROR(__xludf.DUMMYFUNCTION("""COMPUTED_VALUE"""),"General - Baut L Tanam M5 x 10 x 0.8 SS 304; No Brand; -; 100pcs/pack")</f>
        <v>General - Baut L Tanam M5 x 10 x 0.8 SS 304; No Brand; -; 100pcs/pack</v>
      </c>
      <c r="F4029" s="6">
        <f>IFERROR(__xludf.DUMMYFUNCTION("""COMPUTED_VALUE"""),1.0)</f>
        <v>1</v>
      </c>
      <c r="G4029" s="6" t="str">
        <f>IFERROR(__xludf.DUMMYFUNCTION("""COMPUTED_VALUE"""),"Pack")</f>
        <v>Pack</v>
      </c>
      <c r="H4029" s="6" t="str">
        <f>IFERROR(__xludf.DUMMYFUNCTION("""COMPUTED_VALUE"""),"IDR")</f>
        <v>IDR</v>
      </c>
      <c r="I4029" s="6">
        <f>IFERROR(__xludf.DUMMYFUNCTION("""COMPUTED_VALUE"""),100000.0)</f>
        <v>100000</v>
      </c>
      <c r="J4029" s="6">
        <f>IFERROR(__xludf.DUMMYFUNCTION("""COMPUTED_VALUE"""),100000.0)</f>
        <v>100000</v>
      </c>
      <c r="K4029" s="57">
        <f>IFERROR(__xludf.DUMMYFUNCTION("""COMPUTED_VALUE"""),45835.0)</f>
        <v>45835</v>
      </c>
      <c r="L4029" s="6" t="str">
        <f>IFERROR(__xludf.DUMMYFUNCTION("""COMPUTED_VALUE"""),"FIP Engineering")</f>
        <v>FIP Engineering</v>
      </c>
      <c r="M4029" s="6" t="str">
        <f>IFERROR(__xludf.DUMMYFUNCTION("""COMPUTED_VALUE"""),"Mochammad Fadhillah Hakim,")</f>
        <v>Mochammad Fadhillah Hakim,</v>
      </c>
      <c r="N4029" s="6" t="str">
        <f>IFERROR(__xludf.DUMMYFUNCTION("""COMPUTED_VALUE"""),"FIP Engineering")</f>
        <v>FIP Engineering</v>
      </c>
      <c r="O4029" s="6" t="str">
        <f>IFERROR(__xludf.DUMMYFUNCTION("""COMPUTED_VALUE"""),"FIP-DOM-000-11304-OS00001-INA-000000")</f>
        <v>FIP-DOM-000-11304-OS00001-INA-000000</v>
      </c>
      <c r="P4029" s="6" t="str">
        <f>IFERROR(__xludf.DUMMYFUNCTION("""COMPUTED_VALUE"""),"PO Closed")</f>
        <v>PO Closed</v>
      </c>
      <c r="Q4029" s="6" t="str">
        <f>IFERROR(__xludf.DUMMYFUNCTION("""COMPUTED_VALUE"""),"GL2506055")</f>
        <v>GL2506055</v>
      </c>
      <c r="R4029" s="57">
        <f>IFERROR(__xludf.DUMMYFUNCTION("""COMPUTED_VALUE"""),45803.0)</f>
        <v>45803</v>
      </c>
      <c r="S4029" s="57">
        <f>IFERROR(__xludf.DUMMYFUNCTION("""COMPUTED_VALUE"""),45826.0)</f>
        <v>45826</v>
      </c>
      <c r="T4029" s="57">
        <f>IFERROR(__xludf.DUMMYFUNCTION("""COMPUTED_VALUE"""),45863.0)</f>
        <v>45863</v>
      </c>
    </row>
    <row r="4030">
      <c r="A4030" s="6" t="str">
        <f>IFERROR(__xludf.DUMMYFUNCTION("""COMPUTED_VALUE"""),"121702783-2")</f>
        <v>121702783-2</v>
      </c>
      <c r="B4030" s="6" t="str">
        <f>IFERROR(__xludf.DUMMYFUNCTION("""COMPUTED_VALUE"""),"121702783 - APPROVED")</f>
        <v>121702783 - APPROVED</v>
      </c>
      <c r="C4030" s="6">
        <f>IFERROR(__xludf.DUMMYFUNCTION("""COMPUTED_VALUE"""),2.0)</f>
        <v>2</v>
      </c>
      <c r="D4030" s="6" t="str">
        <f>IFERROR(__xludf.DUMMYFUNCTION("""COMPUTED_VALUE"""),"P-53133-00")</f>
        <v>P-53133-00</v>
      </c>
      <c r="E4030" s="6" t="str">
        <f>IFERROR(__xludf.DUMMYFUNCTION("""COMPUTED_VALUE"""),"Kabel Belden AWG 22; ; ;")</f>
        <v>Kabel Belden AWG 22; ; ;</v>
      </c>
      <c r="F4030" s="6">
        <f>IFERROR(__xludf.DUMMYFUNCTION("""COMPUTED_VALUE"""),2.0)</f>
        <v>2</v>
      </c>
      <c r="G4030" s="6" t="str">
        <f>IFERROR(__xludf.DUMMYFUNCTION("""COMPUTED_VALUE"""),"Roll")</f>
        <v>Roll</v>
      </c>
      <c r="H4030" s="6" t="str">
        <f>IFERROR(__xludf.DUMMYFUNCTION("""COMPUTED_VALUE"""),"IDR")</f>
        <v>IDR</v>
      </c>
      <c r="I4030" s="6">
        <f>IFERROR(__xludf.DUMMYFUNCTION("""COMPUTED_VALUE"""),3000000.0)</f>
        <v>3000000</v>
      </c>
      <c r="J4030" s="6">
        <f>IFERROR(__xludf.DUMMYFUNCTION("""COMPUTED_VALUE"""),6000000.0)</f>
        <v>6000000</v>
      </c>
      <c r="K4030" s="57">
        <f>IFERROR(__xludf.DUMMYFUNCTION("""COMPUTED_VALUE"""),45835.0)</f>
        <v>45835</v>
      </c>
      <c r="L4030" s="6" t="str">
        <f>IFERROR(__xludf.DUMMYFUNCTION("""COMPUTED_VALUE"""),"FIP Engineering")</f>
        <v>FIP Engineering</v>
      </c>
      <c r="M4030" s="6" t="str">
        <f>IFERROR(__xludf.DUMMYFUNCTION("""COMPUTED_VALUE"""),"Mochammad Fadhillah Hakim,")</f>
        <v>Mochammad Fadhillah Hakim,</v>
      </c>
      <c r="N4030" s="6" t="str">
        <f>IFERROR(__xludf.DUMMYFUNCTION("""COMPUTED_VALUE"""),"FIP Engineering")</f>
        <v>FIP Engineering</v>
      </c>
      <c r="O4030" s="6" t="str">
        <f>IFERROR(__xludf.DUMMYFUNCTION("""COMPUTED_VALUE"""),"FIP-DOM-000-11304-OS00001-INA-000000")</f>
        <v>FIP-DOM-000-11304-OS00001-INA-000000</v>
      </c>
      <c r="P4030" s="6" t="str">
        <f>IFERROR(__xludf.DUMMYFUNCTION("""COMPUTED_VALUE"""),"PO Closed")</f>
        <v>PO Closed</v>
      </c>
      <c r="Q4030" s="6" t="str">
        <f>IFERROR(__xludf.DUMMYFUNCTION("""COMPUTED_VALUE"""),"GL2506055")</f>
        <v>GL2506055</v>
      </c>
      <c r="R4030" s="57">
        <f>IFERROR(__xludf.DUMMYFUNCTION("""COMPUTED_VALUE"""),45803.0)</f>
        <v>45803</v>
      </c>
      <c r="S4030" s="57">
        <f>IFERROR(__xludf.DUMMYFUNCTION("""COMPUTED_VALUE"""),45826.0)</f>
        <v>45826</v>
      </c>
      <c r="T4030" s="57">
        <f>IFERROR(__xludf.DUMMYFUNCTION("""COMPUTED_VALUE"""),45863.0)</f>
        <v>45863</v>
      </c>
    </row>
    <row r="4031">
      <c r="A4031" s="6" t="str">
        <f>IFERROR(__xludf.DUMMYFUNCTION("""COMPUTED_VALUE"""),"121702788-1")</f>
        <v>121702788-1</v>
      </c>
      <c r="B4031" s="6" t="str">
        <f>IFERROR(__xludf.DUMMYFUNCTION("""COMPUTED_VALUE"""),"121702788 - APPROVED")</f>
        <v>121702788 - APPROVED</v>
      </c>
      <c r="C4031" s="6">
        <f>IFERROR(__xludf.DUMMYFUNCTION("""COMPUTED_VALUE"""),1.0)</f>
        <v>1</v>
      </c>
      <c r="D4031" s="6" t="str">
        <f>IFERROR(__xludf.DUMMYFUNCTION("""COMPUTED_VALUE"""),"O-19678-00")</f>
        <v>O-19678-00</v>
      </c>
      <c r="E4031" s="6" t="str">
        <f>IFERROR(__xludf.DUMMYFUNCTION("""COMPUTED_VALUE"""),"Printhead Engine 60 Micron; ; P/N : 399-422;")</f>
        <v>Printhead Engine 60 Micron; ; P/N : 399-422;</v>
      </c>
      <c r="F4031" s="6">
        <f>IFERROR(__xludf.DUMMYFUNCTION("""COMPUTED_VALUE"""),1.0)</f>
        <v>1</v>
      </c>
      <c r="G4031" s="6" t="str">
        <f>IFERROR(__xludf.DUMMYFUNCTION("""COMPUTED_VALUE"""),"Pieces")</f>
        <v>Pieces</v>
      </c>
      <c r="H4031" s="6" t="str">
        <f>IFERROR(__xludf.DUMMYFUNCTION("""COMPUTED_VALUE"""),"IDR")</f>
        <v>IDR</v>
      </c>
      <c r="I4031" s="6">
        <f>IFERROR(__xludf.DUMMYFUNCTION("""COMPUTED_VALUE"""),1.7667E7)</f>
        <v>17667000</v>
      </c>
      <c r="J4031" s="6">
        <f>IFERROR(__xludf.DUMMYFUNCTION("""COMPUTED_VALUE"""),1.7667E7)</f>
        <v>17667000</v>
      </c>
      <c r="K4031" s="57">
        <f>IFERROR(__xludf.DUMMYFUNCTION("""COMPUTED_VALUE"""),45870.0)</f>
        <v>45870</v>
      </c>
      <c r="L4031" s="6" t="str">
        <f>IFERROR(__xludf.DUMMYFUNCTION("""COMPUTED_VALUE"""),"FIP Engineering")</f>
        <v>FIP Engineering</v>
      </c>
      <c r="M4031" s="6" t="str">
        <f>IFERROR(__xludf.DUMMYFUNCTION("""COMPUTED_VALUE"""),"Mochammad Fadhillah Hakim,")</f>
        <v>Mochammad Fadhillah Hakim,</v>
      </c>
      <c r="N4031" s="6" t="str">
        <f>IFERROR(__xludf.DUMMYFUNCTION("""COMPUTED_VALUE"""),"FIP Engineering")</f>
        <v>FIP Engineering</v>
      </c>
      <c r="O4031" s="6" t="str">
        <f>IFERROR(__xludf.DUMMYFUNCTION("""COMPUTED_VALUE"""),"FIP-DOM-000-11304-OS00001-INA-000000")</f>
        <v>FIP-DOM-000-11304-OS00001-INA-000000</v>
      </c>
      <c r="P4031" s="6" t="str">
        <f>IFERROR(__xludf.DUMMYFUNCTION("""COMPUTED_VALUE"""),"PO Closed")</f>
        <v>PO Closed</v>
      </c>
      <c r="Q4031" s="6" t="str">
        <f>IFERROR(__xludf.DUMMYFUNCTION("""COMPUTED_VALUE"""),"GL2507003")</f>
        <v>GL2507003</v>
      </c>
      <c r="R4031" s="57">
        <f>IFERROR(__xludf.DUMMYFUNCTION("""COMPUTED_VALUE"""),45804.0)</f>
        <v>45804</v>
      </c>
      <c r="S4031" s="57">
        <f>IFERROR(__xludf.DUMMYFUNCTION("""COMPUTED_VALUE"""),45818.0)</f>
        <v>45818</v>
      </c>
      <c r="T4031" s="57">
        <f>IFERROR(__xludf.DUMMYFUNCTION("""COMPUTED_VALUE"""),45899.0)</f>
        <v>45899</v>
      </c>
    </row>
    <row r="4032">
      <c r="A4032" s="6" t="str">
        <f>IFERROR(__xludf.DUMMYFUNCTION("""COMPUTED_VALUE"""),"121702790-1")</f>
        <v>121702790-1</v>
      </c>
      <c r="B4032" s="6" t="str">
        <f>IFERROR(__xludf.DUMMYFUNCTION("""COMPUTED_VALUE"""),"121702790 - APPROVED")</f>
        <v>121702790 - APPROVED</v>
      </c>
      <c r="C4032" s="6">
        <f>IFERROR(__xludf.DUMMYFUNCTION("""COMPUTED_VALUE"""),1.0)</f>
        <v>1</v>
      </c>
      <c r="D4032" s="6" t="str">
        <f>IFERROR(__xludf.DUMMYFUNCTION("""COMPUTED_VALUE"""),"P-11018-00")</f>
        <v>P-11018-00</v>
      </c>
      <c r="E4032" s="6" t="str">
        <f>IFERROR(__xludf.DUMMYFUNCTION("""COMPUTED_VALUE"""),"General - Oil Seal TC 15 x 24 x 7; NOK; -; 1 Pc")</f>
        <v>General - Oil Seal TC 15 x 24 x 7; NOK; -; 1 Pc</v>
      </c>
      <c r="F4032" s="6">
        <f>IFERROR(__xludf.DUMMYFUNCTION("""COMPUTED_VALUE"""),10.0)</f>
        <v>10</v>
      </c>
      <c r="G4032" s="6" t="str">
        <f>IFERROR(__xludf.DUMMYFUNCTION("""COMPUTED_VALUE"""),"Pieces")</f>
        <v>Pieces</v>
      </c>
      <c r="H4032" s="6" t="str">
        <f>IFERROR(__xludf.DUMMYFUNCTION("""COMPUTED_VALUE"""),"IDR")</f>
        <v>IDR</v>
      </c>
      <c r="I4032" s="6">
        <f>IFERROR(__xludf.DUMMYFUNCTION("""COMPUTED_VALUE"""),87500.0)</f>
        <v>87500</v>
      </c>
      <c r="J4032" s="6">
        <f>IFERROR(__xludf.DUMMYFUNCTION("""COMPUTED_VALUE"""),875000.0)</f>
        <v>875000</v>
      </c>
      <c r="K4032" s="57">
        <f>IFERROR(__xludf.DUMMYFUNCTION("""COMPUTED_VALUE"""),45835.0)</f>
        <v>45835</v>
      </c>
      <c r="L4032" s="6" t="str">
        <f>IFERROR(__xludf.DUMMYFUNCTION("""COMPUTED_VALUE"""),"FIP Engineering")</f>
        <v>FIP Engineering</v>
      </c>
      <c r="M4032" s="6" t="str">
        <f>IFERROR(__xludf.DUMMYFUNCTION("""COMPUTED_VALUE"""),"Mochammad Fadhillah Hakim,")</f>
        <v>Mochammad Fadhillah Hakim,</v>
      </c>
      <c r="N4032" s="6" t="str">
        <f>IFERROR(__xludf.DUMMYFUNCTION("""COMPUTED_VALUE"""),"FIP Engineering")</f>
        <v>FIP Engineering</v>
      </c>
      <c r="O4032" s="6" t="str">
        <f>IFERROR(__xludf.DUMMYFUNCTION("""COMPUTED_VALUE"""),"FIP-DOM-000-11304-OS00001-INA-000000")</f>
        <v>FIP-DOM-000-11304-OS00001-INA-000000</v>
      </c>
      <c r="P4032" s="6" t="str">
        <f>IFERROR(__xludf.DUMMYFUNCTION("""COMPUTED_VALUE"""),"PO Closed")</f>
        <v>PO Closed</v>
      </c>
      <c r="Q4032" s="6" t="str">
        <f>IFERROR(__xludf.DUMMYFUNCTION("""COMPUTED_VALUE"""),"GL2506058")</f>
        <v>GL2506058</v>
      </c>
      <c r="R4032" s="57">
        <f>IFERROR(__xludf.DUMMYFUNCTION("""COMPUTED_VALUE"""),45804.0)</f>
        <v>45804</v>
      </c>
      <c r="S4032" s="57">
        <f>IFERROR(__xludf.DUMMYFUNCTION("""COMPUTED_VALUE"""),45826.0)</f>
        <v>45826</v>
      </c>
      <c r="T4032" s="57">
        <f>IFERROR(__xludf.DUMMYFUNCTION("""COMPUTED_VALUE"""),45853.0)</f>
        <v>45853</v>
      </c>
    </row>
    <row r="4033">
      <c r="A4033" s="6" t="str">
        <f>IFERROR(__xludf.DUMMYFUNCTION("""COMPUTED_VALUE"""),"121702790-3")</f>
        <v>121702790-3</v>
      </c>
      <c r="B4033" s="6" t="str">
        <f>IFERROR(__xludf.DUMMYFUNCTION("""COMPUTED_VALUE"""),"121702790 - APPROVED")</f>
        <v>121702790 - APPROVED</v>
      </c>
      <c r="C4033" s="6">
        <f>IFERROR(__xludf.DUMMYFUNCTION("""COMPUTED_VALUE"""),3.0)</f>
        <v>3</v>
      </c>
      <c r="D4033" s="6" t="str">
        <f>IFERROR(__xludf.DUMMYFUNCTION("""COMPUTED_VALUE"""),"P-19811-00")</f>
        <v>P-19811-00</v>
      </c>
      <c r="E4033" s="6" t="str">
        <f>IFERROR(__xludf.DUMMYFUNCTION("""COMPUTED_VALUE"""),"General - Clamp Ferrule Sanitary 3/4 Inch; No Brand; -; 1 pc")</f>
        <v>General - Clamp Ferrule Sanitary 3/4 Inch; No Brand; -; 1 pc</v>
      </c>
      <c r="F4033" s="6">
        <f>IFERROR(__xludf.DUMMYFUNCTION("""COMPUTED_VALUE"""),10.0)</f>
        <v>10</v>
      </c>
      <c r="G4033" s="6" t="str">
        <f>IFERROR(__xludf.DUMMYFUNCTION("""COMPUTED_VALUE"""),"Pieces")</f>
        <v>Pieces</v>
      </c>
      <c r="H4033" s="6" t="str">
        <f>IFERROR(__xludf.DUMMYFUNCTION("""COMPUTED_VALUE"""),"IDR")</f>
        <v>IDR</v>
      </c>
      <c r="I4033" s="6">
        <f>IFERROR(__xludf.DUMMYFUNCTION("""COMPUTED_VALUE"""),94500.0)</f>
        <v>94500</v>
      </c>
      <c r="J4033" s="6">
        <f>IFERROR(__xludf.DUMMYFUNCTION("""COMPUTED_VALUE"""),945000.0)</f>
        <v>945000</v>
      </c>
      <c r="K4033" s="57">
        <f>IFERROR(__xludf.DUMMYFUNCTION("""COMPUTED_VALUE"""),45835.0)</f>
        <v>45835</v>
      </c>
      <c r="L4033" s="6" t="str">
        <f>IFERROR(__xludf.DUMMYFUNCTION("""COMPUTED_VALUE"""),"FIP Engineering")</f>
        <v>FIP Engineering</v>
      </c>
      <c r="M4033" s="6" t="str">
        <f>IFERROR(__xludf.DUMMYFUNCTION("""COMPUTED_VALUE"""),"Mochammad Fadhillah Hakim,")</f>
        <v>Mochammad Fadhillah Hakim,</v>
      </c>
      <c r="N4033" s="6" t="str">
        <f>IFERROR(__xludf.DUMMYFUNCTION("""COMPUTED_VALUE"""),"FIP Engineering")</f>
        <v>FIP Engineering</v>
      </c>
      <c r="O4033" s="6" t="str">
        <f>IFERROR(__xludf.DUMMYFUNCTION("""COMPUTED_VALUE"""),"FIP-DOM-000-11304-OS00001-INA-000000")</f>
        <v>FIP-DOM-000-11304-OS00001-INA-000000</v>
      </c>
      <c r="P4033" s="6" t="str">
        <f>IFERROR(__xludf.DUMMYFUNCTION("""COMPUTED_VALUE"""),"PO Closed")</f>
        <v>PO Closed</v>
      </c>
      <c r="Q4033" s="6" t="str">
        <f>IFERROR(__xludf.DUMMYFUNCTION("""COMPUTED_VALUE"""),"GL2506046")</f>
        <v>GL2506046</v>
      </c>
      <c r="R4033" s="57">
        <f>IFERROR(__xludf.DUMMYFUNCTION("""COMPUTED_VALUE"""),45804.0)</f>
        <v>45804</v>
      </c>
      <c r="S4033" s="57">
        <f>IFERROR(__xludf.DUMMYFUNCTION("""COMPUTED_VALUE"""),45826.0)</f>
        <v>45826</v>
      </c>
      <c r="T4033" s="57">
        <f>IFERROR(__xludf.DUMMYFUNCTION("""COMPUTED_VALUE"""),45853.0)</f>
        <v>45853</v>
      </c>
    </row>
    <row r="4034">
      <c r="A4034" s="6" t="str">
        <f>IFERROR(__xludf.DUMMYFUNCTION("""COMPUTED_VALUE"""),"121702792-1")</f>
        <v>121702792-1</v>
      </c>
      <c r="B4034" s="6" t="str">
        <f>IFERROR(__xludf.DUMMYFUNCTION("""COMPUTED_VALUE"""),"121702792 - APPROVED")</f>
        <v>121702792 - APPROVED</v>
      </c>
      <c r="C4034" s="6">
        <f>IFERROR(__xludf.DUMMYFUNCTION("""COMPUTED_VALUE"""),1.0)</f>
        <v>1</v>
      </c>
      <c r="D4034" s="6" t="str">
        <f>IFERROR(__xludf.DUMMYFUNCTION("""COMPUTED_VALUE"""),"P-54190-00")</f>
        <v>P-54190-00</v>
      </c>
      <c r="E4034" s="6" t="str">
        <f>IFERROR(__xludf.DUMMYFUNCTION("""COMPUTED_VALUE"""),"Stop Kontak IP55 16A; Legrand; ;")</f>
        <v>Stop Kontak IP55 16A; Legrand; ;</v>
      </c>
      <c r="F4034" s="6">
        <f>IFERROR(__xludf.DUMMYFUNCTION("""COMPUTED_VALUE"""),5.0)</f>
        <v>5</v>
      </c>
      <c r="G4034" s="6" t="str">
        <f>IFERROR(__xludf.DUMMYFUNCTION("""COMPUTED_VALUE"""),"Pieces")</f>
        <v>Pieces</v>
      </c>
      <c r="H4034" s="6" t="str">
        <f>IFERROR(__xludf.DUMMYFUNCTION("""COMPUTED_VALUE"""),"IDR")</f>
        <v>IDR</v>
      </c>
      <c r="I4034" s="6">
        <f>IFERROR(__xludf.DUMMYFUNCTION("""COMPUTED_VALUE"""),185000.0)</f>
        <v>185000</v>
      </c>
      <c r="J4034" s="6">
        <f>IFERROR(__xludf.DUMMYFUNCTION("""COMPUTED_VALUE"""),925000.0)</f>
        <v>925000</v>
      </c>
      <c r="K4034" s="57">
        <f>IFERROR(__xludf.DUMMYFUNCTION("""COMPUTED_VALUE"""),45835.0)</f>
        <v>45835</v>
      </c>
      <c r="L4034" s="6" t="str">
        <f>IFERROR(__xludf.DUMMYFUNCTION("""COMPUTED_VALUE"""),"FIP Engineering")</f>
        <v>FIP Engineering</v>
      </c>
      <c r="M4034" s="6" t="str">
        <f>IFERROR(__xludf.DUMMYFUNCTION("""COMPUTED_VALUE"""),"Mochammad Fadhillah Hakim,")</f>
        <v>Mochammad Fadhillah Hakim,</v>
      </c>
      <c r="N4034" s="6" t="str">
        <f>IFERROR(__xludf.DUMMYFUNCTION("""COMPUTED_VALUE"""),"FIP Engineering")</f>
        <v>FIP Engineering</v>
      </c>
      <c r="O4034" s="6" t="str">
        <f>IFERROR(__xludf.DUMMYFUNCTION("""COMPUTED_VALUE"""),"FIP-DOM-000-11304-OS00001-INA-000000")</f>
        <v>FIP-DOM-000-11304-OS00001-INA-000000</v>
      </c>
      <c r="P4034" s="6" t="str">
        <f>IFERROR(__xludf.DUMMYFUNCTION("""COMPUTED_VALUE"""),"PO Closed")</f>
        <v>PO Closed</v>
      </c>
      <c r="Q4034" s="6" t="str">
        <f>IFERROR(__xludf.DUMMYFUNCTION("""COMPUTED_VALUE"""),"GL2506384")</f>
        <v>GL2506384</v>
      </c>
      <c r="R4034" s="57">
        <f>IFERROR(__xludf.DUMMYFUNCTION("""COMPUTED_VALUE"""),45804.0)</f>
        <v>45804</v>
      </c>
      <c r="S4034" s="57">
        <f>IFERROR(__xludf.DUMMYFUNCTION("""COMPUTED_VALUE"""),45804.0)</f>
        <v>45804</v>
      </c>
      <c r="T4034" s="57">
        <f>IFERROR(__xludf.DUMMYFUNCTION("""COMPUTED_VALUE"""),45842.0)</f>
        <v>45842</v>
      </c>
    </row>
    <row r="4035">
      <c r="A4035" s="6" t="str">
        <f>IFERROR(__xludf.DUMMYFUNCTION("""COMPUTED_VALUE"""),"121702793-1")</f>
        <v>121702793-1</v>
      </c>
      <c r="B4035" s="6" t="str">
        <f>IFERROR(__xludf.DUMMYFUNCTION("""COMPUTED_VALUE"""),"121702793 - APPROVED")</f>
        <v>121702793 - APPROVED</v>
      </c>
      <c r="C4035" s="6">
        <f>IFERROR(__xludf.DUMMYFUNCTION("""COMPUTED_VALUE"""),1.0)</f>
        <v>1</v>
      </c>
      <c r="D4035" s="6" t="str">
        <f>IFERROR(__xludf.DUMMYFUNCTION("""COMPUTED_VALUE"""),"Q-10154-00")</f>
        <v>Q-10154-00</v>
      </c>
      <c r="E4035" s="6" t="str">
        <f>IFERROR(__xludf.DUMMYFUNCTION("""COMPUTED_VALUE"""),"Kuas Cat Roller uk. 230 mm;No Brand;;pack size per set")</f>
        <v>Kuas Cat Roller uk. 230 mm;No Brand;;pack size per set</v>
      </c>
      <c r="F4035" s="6">
        <f>IFERROR(__xludf.DUMMYFUNCTION("""COMPUTED_VALUE"""),20.0)</f>
        <v>20</v>
      </c>
      <c r="G4035" s="6" t="str">
        <f>IFERROR(__xludf.DUMMYFUNCTION("""COMPUTED_VALUE"""),"Pieces")</f>
        <v>Pieces</v>
      </c>
      <c r="H4035" s="6" t="str">
        <f>IFERROR(__xludf.DUMMYFUNCTION("""COMPUTED_VALUE"""),"IDR")</f>
        <v>IDR</v>
      </c>
      <c r="I4035" s="6">
        <f>IFERROR(__xludf.DUMMYFUNCTION("""COMPUTED_VALUE"""),37000.0)</f>
        <v>37000</v>
      </c>
      <c r="J4035" s="6">
        <f>IFERROR(__xludf.DUMMYFUNCTION("""COMPUTED_VALUE"""),740000.0)</f>
        <v>740000</v>
      </c>
      <c r="K4035" s="57">
        <f>IFERROR(__xludf.DUMMYFUNCTION("""COMPUTED_VALUE"""),45835.0)</f>
        <v>45835</v>
      </c>
      <c r="L4035" s="6" t="str">
        <f>IFERROR(__xludf.DUMMYFUNCTION("""COMPUTED_VALUE"""),"FIP Engineering")</f>
        <v>FIP Engineering</v>
      </c>
      <c r="M4035" s="6" t="str">
        <f>IFERROR(__xludf.DUMMYFUNCTION("""COMPUTED_VALUE"""),"Mochammad Fadhillah Hakim,")</f>
        <v>Mochammad Fadhillah Hakim,</v>
      </c>
      <c r="N4035" s="6" t="str">
        <f>IFERROR(__xludf.DUMMYFUNCTION("""COMPUTED_VALUE"""),"FIP Engineering")</f>
        <v>FIP Engineering</v>
      </c>
      <c r="O4035" s="6" t="str">
        <f>IFERROR(__xludf.DUMMYFUNCTION("""COMPUTED_VALUE"""),"FIP-DOM-000-11304-OS00001-INA-000000")</f>
        <v>FIP-DOM-000-11304-OS00001-INA-000000</v>
      </c>
      <c r="P4035" s="6" t="str">
        <f>IFERROR(__xludf.DUMMYFUNCTION("""COMPUTED_VALUE"""),"PO Closed")</f>
        <v>PO Closed</v>
      </c>
      <c r="Q4035" s="6" t="str">
        <f>IFERROR(__xludf.DUMMYFUNCTION("""COMPUTED_VALUE"""),"GL2506027")</f>
        <v>GL2506027</v>
      </c>
      <c r="R4035" s="57">
        <f>IFERROR(__xludf.DUMMYFUNCTION("""COMPUTED_VALUE"""),45804.0)</f>
        <v>45804</v>
      </c>
      <c r="S4035" s="57">
        <f>IFERROR(__xludf.DUMMYFUNCTION("""COMPUTED_VALUE"""),45811.0)</f>
        <v>45811</v>
      </c>
      <c r="T4035" s="57">
        <f>IFERROR(__xludf.DUMMYFUNCTION("""COMPUTED_VALUE"""),45842.0)</f>
        <v>45842</v>
      </c>
    </row>
    <row r="4036">
      <c r="A4036" s="6" t="str">
        <f>IFERROR(__xludf.DUMMYFUNCTION("""COMPUTED_VALUE"""),"121702794-1")</f>
        <v>121702794-1</v>
      </c>
      <c r="B4036" s="6" t="str">
        <f>IFERROR(__xludf.DUMMYFUNCTION("""COMPUTED_VALUE"""),"121702794 - APPROVED")</f>
        <v>121702794 - APPROVED</v>
      </c>
      <c r="C4036" s="6">
        <f>IFERROR(__xludf.DUMMYFUNCTION("""COMPUTED_VALUE"""),1.0)</f>
        <v>1</v>
      </c>
      <c r="D4036" s="6" t="str">
        <f>IFERROR(__xludf.DUMMYFUNCTION("""COMPUTED_VALUE"""),"O-14640-00")</f>
        <v>O-14640-00</v>
      </c>
      <c r="E4036" s="6" t="str">
        <f>IFERROR(__xludf.DUMMYFUNCTION("""COMPUTED_VALUE"""),"Silicone Gasket for Ferrule dia. 3/4"" - P/N : -  pc")</f>
        <v>Silicone Gasket for Ferrule dia. 3/4" - P/N : -  pc</v>
      </c>
      <c r="F4036" s="6">
        <f>IFERROR(__xludf.DUMMYFUNCTION("""COMPUTED_VALUE"""),20.0)</f>
        <v>20</v>
      </c>
      <c r="G4036" s="6" t="str">
        <f>IFERROR(__xludf.DUMMYFUNCTION("""COMPUTED_VALUE"""),"Pieces")</f>
        <v>Pieces</v>
      </c>
      <c r="H4036" s="6" t="str">
        <f>IFERROR(__xludf.DUMMYFUNCTION("""COMPUTED_VALUE"""),"IDR")</f>
        <v>IDR</v>
      </c>
      <c r="I4036" s="6">
        <f>IFERROR(__xludf.DUMMYFUNCTION("""COMPUTED_VALUE"""),11000.0)</f>
        <v>11000</v>
      </c>
      <c r="J4036" s="6">
        <f>IFERROR(__xludf.DUMMYFUNCTION("""COMPUTED_VALUE"""),220000.0)</f>
        <v>220000</v>
      </c>
      <c r="K4036" s="57">
        <f>IFERROR(__xludf.DUMMYFUNCTION("""COMPUTED_VALUE"""),45835.0)</f>
        <v>45835</v>
      </c>
      <c r="L4036" s="6" t="str">
        <f>IFERROR(__xludf.DUMMYFUNCTION("""COMPUTED_VALUE"""),"FIP Engineering")</f>
        <v>FIP Engineering</v>
      </c>
      <c r="M4036" s="6" t="str">
        <f>IFERROR(__xludf.DUMMYFUNCTION("""COMPUTED_VALUE"""),"Mochammad Fadhillah Hakim,")</f>
        <v>Mochammad Fadhillah Hakim,</v>
      </c>
      <c r="N4036" s="6" t="str">
        <f>IFERROR(__xludf.DUMMYFUNCTION("""COMPUTED_VALUE"""),"FIP Engineering")</f>
        <v>FIP Engineering</v>
      </c>
      <c r="O4036" s="6" t="str">
        <f>IFERROR(__xludf.DUMMYFUNCTION("""COMPUTED_VALUE"""),"FIP-DOM-000-11304-OS00001-INA-000000")</f>
        <v>FIP-DOM-000-11304-OS00001-INA-000000</v>
      </c>
      <c r="P4036" s="6" t="str">
        <f>IFERROR(__xludf.DUMMYFUNCTION("""COMPUTED_VALUE"""),"PO Closed")</f>
        <v>PO Closed</v>
      </c>
      <c r="Q4036" s="6" t="str">
        <f>IFERROR(__xludf.DUMMYFUNCTION("""COMPUTED_VALUE"""),"GL2506031")</f>
        <v>GL2506031</v>
      </c>
      <c r="R4036" s="57">
        <f>IFERROR(__xludf.DUMMYFUNCTION("""COMPUTED_VALUE"""),45804.0)</f>
        <v>45804</v>
      </c>
      <c r="S4036" s="57">
        <f>IFERROR(__xludf.DUMMYFUNCTION("""COMPUTED_VALUE"""),45811.0)</f>
        <v>45811</v>
      </c>
      <c r="T4036" s="57">
        <f>IFERROR(__xludf.DUMMYFUNCTION("""COMPUTED_VALUE"""),45841.0)</f>
        <v>45841</v>
      </c>
    </row>
    <row r="4037">
      <c r="A4037" s="6" t="str">
        <f>IFERROR(__xludf.DUMMYFUNCTION("""COMPUTED_VALUE"""),"121702795-1")</f>
        <v>121702795-1</v>
      </c>
      <c r="B4037" s="6" t="str">
        <f>IFERROR(__xludf.DUMMYFUNCTION("""COMPUTED_VALUE"""),"121702795 - APPROVED")</f>
        <v>121702795 - APPROVED</v>
      </c>
      <c r="C4037" s="6">
        <f>IFERROR(__xludf.DUMMYFUNCTION("""COMPUTED_VALUE"""),1.0)</f>
        <v>1</v>
      </c>
      <c r="D4037" s="6" t="str">
        <f>IFERROR(__xludf.DUMMYFUNCTION("""COMPUTED_VALUE"""),"S-50264-00")</f>
        <v>S-50264-00</v>
      </c>
      <c r="E4037" s="6" t="str">
        <f>IFERROR(__xludf.DUMMYFUNCTION("""COMPUTED_VALUE"""),"Gelas Ukur 1000 ml Class A ; Brand : Iwaki ; CN : 3022-1000-N")</f>
        <v>Gelas Ukur 1000 ml Class A ; Brand : Iwaki ; CN : 3022-1000-N</v>
      </c>
      <c r="F4037" s="6">
        <f>IFERROR(__xludf.DUMMYFUNCTION("""COMPUTED_VALUE"""),1.0)</f>
        <v>1</v>
      </c>
      <c r="G4037" s="6" t="str">
        <f>IFERROR(__xludf.DUMMYFUNCTION("""COMPUTED_VALUE"""),"Pieces")</f>
        <v>Pieces</v>
      </c>
      <c r="H4037" s="6" t="str">
        <f>IFERROR(__xludf.DUMMYFUNCTION("""COMPUTED_VALUE"""),"IDR")</f>
        <v>IDR</v>
      </c>
      <c r="I4037" s="6">
        <f>IFERROR(__xludf.DUMMYFUNCTION("""COMPUTED_VALUE"""),417200.0)</f>
        <v>417200</v>
      </c>
      <c r="J4037" s="6">
        <f>IFERROR(__xludf.DUMMYFUNCTION("""COMPUTED_VALUE"""),417200.0)</f>
        <v>417200</v>
      </c>
      <c r="K4037" s="57">
        <f>IFERROR(__xludf.DUMMYFUNCTION("""COMPUTED_VALUE"""),45806.0)</f>
        <v>45806</v>
      </c>
      <c r="L4037" s="6" t="str">
        <f>IFERROR(__xludf.DUMMYFUNCTION("""COMPUTED_VALUE"""),"FIP General")</f>
        <v>FIP General</v>
      </c>
      <c r="M4037" s="6" t="str">
        <f>IFERROR(__xludf.DUMMYFUNCTION("""COMPUTED_VALUE"""),"Mochammad Fadhillah Hakim,")</f>
        <v>Mochammad Fadhillah Hakim,</v>
      </c>
      <c r="N4037" s="6" t="str">
        <f>IFERROR(__xludf.DUMMYFUNCTION("""COMPUTED_VALUE"""),"FIP Engineering")</f>
        <v>FIP Engineering</v>
      </c>
      <c r="O4037" s="6" t="str">
        <f>IFERROR(__xludf.DUMMYFUNCTION("""COMPUTED_VALUE"""),"FIP-DOM-ENG-51906-0000000-INA-000000")</f>
        <v>FIP-DOM-ENG-51906-0000000-INA-000000</v>
      </c>
      <c r="P4037" s="6" t="str">
        <f>IFERROR(__xludf.DUMMYFUNCTION("""COMPUTED_VALUE"""),"PO Closed")</f>
        <v>PO Closed</v>
      </c>
      <c r="Q4037" s="6" t="str">
        <f>IFERROR(__xludf.DUMMYFUNCTION("""COMPUTED_VALUE"""),"GL2512055")</f>
        <v>GL2512055</v>
      </c>
      <c r="R4037" s="57">
        <f>IFERROR(__xludf.DUMMYFUNCTION("""COMPUTED_VALUE"""),45804.0)</f>
        <v>45804</v>
      </c>
      <c r="S4037" s="57">
        <f>IFERROR(__xludf.DUMMYFUNCTION("""COMPUTED_VALUE"""),46008.0)</f>
        <v>46008</v>
      </c>
      <c r="T4037" s="57">
        <f>IFERROR(__xludf.DUMMYFUNCTION("""COMPUTED_VALUE"""),46031.0)</f>
        <v>46031</v>
      </c>
    </row>
    <row r="4038">
      <c r="A4038" s="6" t="str">
        <f>IFERROR(__xludf.DUMMYFUNCTION("""COMPUTED_VALUE"""),"121702796-1")</f>
        <v>121702796-1</v>
      </c>
      <c r="B4038" s="6" t="str">
        <f>IFERROR(__xludf.DUMMYFUNCTION("""COMPUTED_VALUE"""),"121702796 - APPROVED")</f>
        <v>121702796 - APPROVED</v>
      </c>
      <c r="C4038" s="6">
        <f>IFERROR(__xludf.DUMMYFUNCTION("""COMPUTED_VALUE"""),1.0)</f>
        <v>1</v>
      </c>
      <c r="D4038" s="6" t="str">
        <f>IFERROR(__xludf.DUMMYFUNCTION("""COMPUTED_VALUE"""),"S-60050-00")</f>
        <v>S-60050-00</v>
      </c>
      <c r="E4038" s="6" t="str">
        <f>IFERROR(__xludf.DUMMYFUNCTION("""COMPUTED_VALUE"""),"Jasa Perbaikan dan Pemeliharaan Mesin Produksi; ; ; - Additional Project to Tata (Additional WFI Only)")</f>
        <v>Jasa Perbaikan dan Pemeliharaan Mesin Produksi; ; ; - Additional Project to Tata (Additional WFI Only)</v>
      </c>
      <c r="F4038" s="6">
        <f>IFERROR(__xludf.DUMMYFUNCTION("""COMPUTED_VALUE"""),1.0)</f>
        <v>1</v>
      </c>
      <c r="G4038" s="6" t="str">
        <f>IFERROR(__xludf.DUMMYFUNCTION("""COMPUTED_VALUE"""),"Pieces")</f>
        <v>Pieces</v>
      </c>
      <c r="H4038" s="6" t="str">
        <f>IFERROR(__xludf.DUMMYFUNCTION("""COMPUTED_VALUE"""),"IDR")</f>
        <v>IDR</v>
      </c>
      <c r="I4038" s="6">
        <f>IFERROR(__xludf.DUMMYFUNCTION("""COMPUTED_VALUE"""),3778800.0)</f>
        <v>3778800</v>
      </c>
      <c r="J4038" s="6">
        <f>IFERROR(__xludf.DUMMYFUNCTION("""COMPUTED_VALUE"""),3778800.0)</f>
        <v>3778800</v>
      </c>
      <c r="K4038" s="57">
        <f>IFERROR(__xludf.DUMMYFUNCTION("""COMPUTED_VALUE"""),45835.0)</f>
        <v>45835</v>
      </c>
      <c r="L4038" s="6" t="str">
        <f>IFERROR(__xludf.DUMMYFUNCTION("""COMPUTED_VALUE"""),"FIP General")</f>
        <v>FIP General</v>
      </c>
      <c r="M4038" s="6" t="str">
        <f>IFERROR(__xludf.DUMMYFUNCTION("""COMPUTED_VALUE"""),"Mochammad Fadhillah Hakim,")</f>
        <v>Mochammad Fadhillah Hakim,</v>
      </c>
      <c r="N4038" s="6" t="str">
        <f>IFERROR(__xludf.DUMMYFUNCTION("""COMPUTED_VALUE"""),"FIP Engineering")</f>
        <v>FIP Engineering</v>
      </c>
      <c r="O4038" s="6" t="str">
        <f>IFERROR(__xludf.DUMMYFUNCTION("""COMPUTED_VALUE"""),"FIP-DOM-ENG-51504-0000000-INA-000000")</f>
        <v>FIP-DOM-ENG-51504-0000000-INA-000000</v>
      </c>
      <c r="P4038" s="6" t="str">
        <f>IFERROR(__xludf.DUMMYFUNCTION("""COMPUTED_VALUE"""),"PO Closed")</f>
        <v>PO Closed</v>
      </c>
      <c r="Q4038" s="6" t="str">
        <f>IFERROR(__xludf.DUMMYFUNCTION("""COMPUTED_VALUE"""),"GL2506028")</f>
        <v>GL2506028</v>
      </c>
      <c r="R4038" s="57">
        <f>IFERROR(__xludf.DUMMYFUNCTION("""COMPUTED_VALUE"""),45804.0)</f>
        <v>45804</v>
      </c>
      <c r="S4038" s="57">
        <f>IFERROR(__xludf.DUMMYFUNCTION("""COMPUTED_VALUE"""),45805.0)</f>
        <v>45805</v>
      </c>
      <c r="T4038" s="57">
        <f>IFERROR(__xludf.DUMMYFUNCTION("""COMPUTED_VALUE"""),45868.0)</f>
        <v>45868</v>
      </c>
    </row>
    <row r="4039">
      <c r="A4039" s="6" t="str">
        <f>IFERROR(__xludf.DUMMYFUNCTION("""COMPUTED_VALUE"""),"121702798-1")</f>
        <v>121702798-1</v>
      </c>
      <c r="B4039" s="6" t="str">
        <f>IFERROR(__xludf.DUMMYFUNCTION("""COMPUTED_VALUE"""),"121702798 - APPROVED")</f>
        <v>121702798 - APPROVED</v>
      </c>
      <c r="C4039" s="6">
        <f>IFERROR(__xludf.DUMMYFUNCTION("""COMPUTED_VALUE"""),1.0)</f>
        <v>1</v>
      </c>
      <c r="D4039" s="6" t="str">
        <f>IFERROR(__xludf.DUMMYFUNCTION("""COMPUTED_VALUE"""),"R-20023-00")</f>
        <v>R-20023-00</v>
      </c>
      <c r="E4039" s="6" t="str">
        <f>IFERROR(__xludf.DUMMYFUNCTION("""COMPUTED_VALUE"""),"Machine Change Parts; ; ; - KIT REPLACEMENT Siemens PC577C/Proface/B&amp;R WITH IPC277EE (KIT MEDIUM)")</f>
        <v>Machine Change Parts; ; ; - KIT REPLACEMENT Siemens PC577C/Proface/B&amp;R WITH IPC277EE (KIT MEDIUM)</v>
      </c>
      <c r="F4039" s="6">
        <f>IFERROR(__xludf.DUMMYFUNCTION("""COMPUTED_VALUE"""),1.0)</f>
        <v>1</v>
      </c>
      <c r="G4039" s="6" t="str">
        <f>IFERROR(__xludf.DUMMYFUNCTION("""COMPUTED_VALUE"""),"Unit")</f>
        <v>Unit</v>
      </c>
      <c r="H4039" s="6" t="str">
        <f>IFERROR(__xludf.DUMMYFUNCTION("""COMPUTED_VALUE"""),"EUR")</f>
        <v>EUR</v>
      </c>
      <c r="I4039" s="6">
        <f>IFERROR(__xludf.DUMMYFUNCTION("""COMPUTED_VALUE"""),1.002678734E9)</f>
        <v>1002678734</v>
      </c>
      <c r="J4039" s="6">
        <f>IFERROR(__xludf.DUMMYFUNCTION("""COMPUTED_VALUE"""),1.002678734E9)</f>
        <v>1002678734</v>
      </c>
      <c r="K4039" s="57">
        <f>IFERROR(__xludf.DUMMYFUNCTION("""COMPUTED_VALUE"""),45806.0)</f>
        <v>45806</v>
      </c>
      <c r="L4039" s="6" t="str">
        <f>IFERROR(__xludf.DUMMYFUNCTION("""COMPUTED_VALUE"""),"FIP General")</f>
        <v>FIP General</v>
      </c>
      <c r="M4039" s="6" t="str">
        <f>IFERROR(__xludf.DUMMYFUNCTION("""COMPUTED_VALUE"""),"Mochammad Fadhillah Hakim,")</f>
        <v>Mochammad Fadhillah Hakim,</v>
      </c>
      <c r="N4039" s="6" t="str">
        <f>IFERROR(__xludf.DUMMYFUNCTION("""COMPUTED_VALUE"""),"FIP Engineering")</f>
        <v>FIP Engineering</v>
      </c>
      <c r="O4039" s="6" t="str">
        <f>IFERROR(__xludf.DUMMYFUNCTION("""COMPUTED_VALUE"""),"FIP-DOM-ENG-13404-MC25001-INA-000000")</f>
        <v>FIP-DOM-ENG-13404-MC25001-INA-000000</v>
      </c>
      <c r="P4039" s="6" t="str">
        <f>IFERROR(__xludf.DUMMYFUNCTION("""COMPUTED_VALUE"""),"PO Closed")</f>
        <v>PO Closed</v>
      </c>
      <c r="Q4039" s="6" t="str">
        <f>IFERROR(__xludf.DUMMYFUNCTION("""COMPUTED_VALUE"""),"GL2507030")</f>
        <v>GL2507030</v>
      </c>
      <c r="R4039" s="57">
        <f>IFERROR(__xludf.DUMMYFUNCTION("""COMPUTED_VALUE"""),45804.0)</f>
        <v>45804</v>
      </c>
      <c r="S4039" s="57">
        <f>IFERROR(__xludf.DUMMYFUNCTION("""COMPUTED_VALUE"""),45825.0)</f>
        <v>45825</v>
      </c>
      <c r="T4039" s="57">
        <f>IFERROR(__xludf.DUMMYFUNCTION("""COMPUTED_VALUE"""),45981.0)</f>
        <v>45981</v>
      </c>
    </row>
    <row r="4040">
      <c r="A4040" s="6" t="str">
        <f>IFERROR(__xludf.DUMMYFUNCTION("""COMPUTED_VALUE"""),"121702800-1")</f>
        <v>121702800-1</v>
      </c>
      <c r="B4040" s="6" t="str">
        <f>IFERROR(__xludf.DUMMYFUNCTION("""COMPUTED_VALUE"""),"121702800 - APPROVED")</f>
        <v>121702800 - APPROVED</v>
      </c>
      <c r="C4040" s="6">
        <f>IFERROR(__xludf.DUMMYFUNCTION("""COMPUTED_VALUE"""),1.0)</f>
        <v>1</v>
      </c>
      <c r="D4040" s="6" t="str">
        <f>IFERROR(__xludf.DUMMYFUNCTION("""COMPUTED_VALUE"""),"S-50953-00")</f>
        <v>S-50953-00</v>
      </c>
      <c r="E4040" s="6" t="str">
        <f>IFERROR(__xludf.DUMMYFUNCTION("""COMPUTED_VALUE"""),"Silica Gel curah; ; ; pck")</f>
        <v>Silica Gel curah; ; ; pck</v>
      </c>
      <c r="F4040" s="6">
        <f>IFERROR(__xludf.DUMMYFUNCTION("""COMPUTED_VALUE"""),5.0)</f>
        <v>5</v>
      </c>
      <c r="G4040" s="6" t="str">
        <f>IFERROR(__xludf.DUMMYFUNCTION("""COMPUTED_VALUE"""),"Pieces")</f>
        <v>Pieces</v>
      </c>
      <c r="H4040" s="6" t="str">
        <f>IFERROR(__xludf.DUMMYFUNCTION("""COMPUTED_VALUE"""),"IDR")</f>
        <v>IDR</v>
      </c>
      <c r="I4040" s="6">
        <f>IFERROR(__xludf.DUMMYFUNCTION("""COMPUTED_VALUE"""),150000.0)</f>
        <v>150000</v>
      </c>
      <c r="J4040" s="6">
        <f>IFERROR(__xludf.DUMMYFUNCTION("""COMPUTED_VALUE"""),750000.0)</f>
        <v>750000</v>
      </c>
      <c r="K4040" s="57">
        <f>IFERROR(__xludf.DUMMYFUNCTION("""COMPUTED_VALUE"""),45842.0)</f>
        <v>45842</v>
      </c>
      <c r="L4040" s="6" t="str">
        <f>IFERROR(__xludf.DUMMYFUNCTION("""COMPUTED_VALUE"""),"FIP General")</f>
        <v>FIP General</v>
      </c>
      <c r="M4040" s="6" t="str">
        <f>IFERROR(__xludf.DUMMYFUNCTION("""COMPUTED_VALUE"""),"Mochammad Fadhillah Hakim,")</f>
        <v>Mochammad Fadhillah Hakim,</v>
      </c>
      <c r="N4040" s="6" t="str">
        <f>IFERROR(__xludf.DUMMYFUNCTION("""COMPUTED_VALUE"""),"FIP Engineering")</f>
        <v>FIP Engineering</v>
      </c>
      <c r="O4040" s="6" t="str">
        <f>IFERROR(__xludf.DUMMYFUNCTION("""COMPUTED_VALUE"""),"FIP-DOM-ENG-51505-0000000-INA-000000")</f>
        <v>FIP-DOM-ENG-51505-0000000-INA-000000</v>
      </c>
      <c r="P4040" s="6" t="str">
        <f>IFERROR(__xludf.DUMMYFUNCTION("""COMPUTED_VALUE"""),"PO Closed")</f>
        <v>PO Closed</v>
      </c>
      <c r="Q4040" s="6" t="str">
        <f>IFERROR(__xludf.DUMMYFUNCTION("""COMPUTED_VALUE"""),"GL2506388")</f>
        <v>GL2506388</v>
      </c>
      <c r="R4040" s="57">
        <f>IFERROR(__xludf.DUMMYFUNCTION("""COMPUTED_VALUE"""),45805.0)</f>
        <v>45805</v>
      </c>
      <c r="S4040" s="57">
        <f>IFERROR(__xludf.DUMMYFUNCTION("""COMPUTED_VALUE"""),45805.0)</f>
        <v>45805</v>
      </c>
      <c r="T4040" s="57">
        <f>IFERROR(__xludf.DUMMYFUNCTION("""COMPUTED_VALUE"""),45846.0)</f>
        <v>45846</v>
      </c>
    </row>
    <row r="4041">
      <c r="A4041" s="6" t="str">
        <f>IFERROR(__xludf.DUMMYFUNCTION("""COMPUTED_VALUE"""),"121702801-1")</f>
        <v>121702801-1</v>
      </c>
      <c r="B4041" s="6" t="str">
        <f>IFERROR(__xludf.DUMMYFUNCTION("""COMPUTED_VALUE"""),"121702801 - APPROVED")</f>
        <v>121702801 - APPROVED</v>
      </c>
      <c r="C4041" s="6">
        <f>IFERROR(__xludf.DUMMYFUNCTION("""COMPUTED_VALUE"""),1.0)</f>
        <v>1</v>
      </c>
      <c r="D4041" s="6" t="str">
        <f>IFERROR(__xludf.DUMMYFUNCTION("""COMPUTED_VALUE"""),"Q-60406-00")</f>
        <v>Q-60406-00</v>
      </c>
      <c r="E4041" s="6" t="str">
        <f>IFERROR(__xludf.DUMMYFUNCTION("""COMPUTED_VALUE"""),"Stone Coat Pernis pelapis batu alam; Golden Horse; Type Black Gloss ; 1 kg/can")</f>
        <v>Stone Coat Pernis pelapis batu alam; Golden Horse; Type Black Gloss ; 1 kg/can</v>
      </c>
      <c r="F4041" s="6">
        <f>IFERROR(__xludf.DUMMYFUNCTION("""COMPUTED_VALUE"""),4.0)</f>
        <v>4</v>
      </c>
      <c r="G4041" s="6" t="str">
        <f>IFERROR(__xludf.DUMMYFUNCTION("""COMPUTED_VALUE"""),"Can")</f>
        <v>Can</v>
      </c>
      <c r="H4041" s="6" t="str">
        <f>IFERROR(__xludf.DUMMYFUNCTION("""COMPUTED_VALUE"""),"IDR")</f>
        <v>IDR</v>
      </c>
      <c r="I4041" s="6">
        <f>IFERROR(__xludf.DUMMYFUNCTION("""COMPUTED_VALUE"""),187500.0)</f>
        <v>187500</v>
      </c>
      <c r="J4041" s="6">
        <f>IFERROR(__xludf.DUMMYFUNCTION("""COMPUTED_VALUE"""),750000.0)</f>
        <v>750000</v>
      </c>
      <c r="K4041" s="57">
        <f>IFERROR(__xludf.DUMMYFUNCTION("""COMPUTED_VALUE"""),45842.0)</f>
        <v>45842</v>
      </c>
      <c r="L4041" s="6" t="str">
        <f>IFERROR(__xludf.DUMMYFUNCTION("""COMPUTED_VALUE"""),"FIP Engineering")</f>
        <v>FIP Engineering</v>
      </c>
      <c r="M4041" s="6" t="str">
        <f>IFERROR(__xludf.DUMMYFUNCTION("""COMPUTED_VALUE"""),"Mochammad Fadhillah Hakim,")</f>
        <v>Mochammad Fadhillah Hakim,</v>
      </c>
      <c r="N4041" s="6" t="str">
        <f>IFERROR(__xludf.DUMMYFUNCTION("""COMPUTED_VALUE"""),"FIP Engineering")</f>
        <v>FIP Engineering</v>
      </c>
      <c r="O4041" s="6" t="str">
        <f>IFERROR(__xludf.DUMMYFUNCTION("""COMPUTED_VALUE"""),"FIP-DOM-000-11304-OS00001-INA-000000")</f>
        <v>FIP-DOM-000-11304-OS00001-INA-000000</v>
      </c>
      <c r="P4041" s="6" t="str">
        <f>IFERROR(__xludf.DUMMYFUNCTION("""COMPUTED_VALUE"""),"PO Closed")</f>
        <v>PO Closed</v>
      </c>
      <c r="Q4041" s="6" t="str">
        <f>IFERROR(__xludf.DUMMYFUNCTION("""COMPUTED_VALUE"""),"GL2506027")</f>
        <v>GL2506027</v>
      </c>
      <c r="R4041" s="57">
        <f>IFERROR(__xludf.DUMMYFUNCTION("""COMPUTED_VALUE"""),45805.0)</f>
        <v>45805</v>
      </c>
      <c r="S4041" s="57">
        <f>IFERROR(__xludf.DUMMYFUNCTION("""COMPUTED_VALUE"""),45805.0)</f>
        <v>45805</v>
      </c>
      <c r="T4041" s="57">
        <f>IFERROR(__xludf.DUMMYFUNCTION("""COMPUTED_VALUE"""),45842.0)</f>
        <v>45842</v>
      </c>
    </row>
    <row r="4042">
      <c r="A4042" s="6" t="str">
        <f>IFERROR(__xludf.DUMMYFUNCTION("""COMPUTED_VALUE"""),"121702801-2")</f>
        <v>121702801-2</v>
      </c>
      <c r="B4042" s="6" t="str">
        <f>IFERROR(__xludf.DUMMYFUNCTION("""COMPUTED_VALUE"""),"121702801 - APPROVED")</f>
        <v>121702801 - APPROVED</v>
      </c>
      <c r="C4042" s="6">
        <f>IFERROR(__xludf.DUMMYFUNCTION("""COMPUTED_VALUE"""),2.0)</f>
        <v>2</v>
      </c>
      <c r="D4042" s="6" t="str">
        <f>IFERROR(__xludf.DUMMYFUNCTION("""COMPUTED_VALUE"""),"Q-12076-00")</f>
        <v>Q-12076-00</v>
      </c>
      <c r="E4042" s="6" t="str">
        <f>IFERROR(__xludf.DUMMYFUNCTION("""COMPUTED_VALUE"""),"Kunci Laci Lemari Loker Slide; Huben; HL-505; per set")</f>
        <v>Kunci Laci Lemari Loker Slide; Huben; HL-505; per set</v>
      </c>
      <c r="F4042" s="6">
        <f>IFERROR(__xludf.DUMMYFUNCTION("""COMPUTED_VALUE"""),4.0)</f>
        <v>4</v>
      </c>
      <c r="G4042" s="6" t="str">
        <f>IFERROR(__xludf.DUMMYFUNCTION("""COMPUTED_VALUE"""),"Set")</f>
        <v>Set</v>
      </c>
      <c r="H4042" s="6" t="str">
        <f>IFERROR(__xludf.DUMMYFUNCTION("""COMPUTED_VALUE"""),"IDR")</f>
        <v>IDR</v>
      </c>
      <c r="I4042" s="6">
        <f>IFERROR(__xludf.DUMMYFUNCTION("""COMPUTED_VALUE"""),20000.0)</f>
        <v>20000</v>
      </c>
      <c r="J4042" s="6">
        <f>IFERROR(__xludf.DUMMYFUNCTION("""COMPUTED_VALUE"""),80000.0)</f>
        <v>80000</v>
      </c>
      <c r="K4042" s="57">
        <f>IFERROR(__xludf.DUMMYFUNCTION("""COMPUTED_VALUE"""),45842.0)</f>
        <v>45842</v>
      </c>
      <c r="L4042" s="6" t="str">
        <f>IFERROR(__xludf.DUMMYFUNCTION("""COMPUTED_VALUE"""),"FIP Engineering")</f>
        <v>FIP Engineering</v>
      </c>
      <c r="M4042" s="6" t="str">
        <f>IFERROR(__xludf.DUMMYFUNCTION("""COMPUTED_VALUE"""),"Mochammad Fadhillah Hakim,")</f>
        <v>Mochammad Fadhillah Hakim,</v>
      </c>
      <c r="N4042" s="6" t="str">
        <f>IFERROR(__xludf.DUMMYFUNCTION("""COMPUTED_VALUE"""),"FIP Engineering")</f>
        <v>FIP Engineering</v>
      </c>
      <c r="O4042" s="6" t="str">
        <f>IFERROR(__xludf.DUMMYFUNCTION("""COMPUTED_VALUE"""),"FIP-DOM-000-11304-OS00001-INA-000000")</f>
        <v>FIP-DOM-000-11304-OS00001-INA-000000</v>
      </c>
      <c r="P4042" s="6" t="str">
        <f>IFERROR(__xludf.DUMMYFUNCTION("""COMPUTED_VALUE"""),"PO Closed")</f>
        <v>PO Closed</v>
      </c>
      <c r="Q4042" s="6" t="str">
        <f>IFERROR(__xludf.DUMMYFUNCTION("""COMPUTED_VALUE"""),"GL2506027")</f>
        <v>GL2506027</v>
      </c>
      <c r="R4042" s="57">
        <f>IFERROR(__xludf.DUMMYFUNCTION("""COMPUTED_VALUE"""),45805.0)</f>
        <v>45805</v>
      </c>
      <c r="S4042" s="57">
        <f>IFERROR(__xludf.DUMMYFUNCTION("""COMPUTED_VALUE"""),45805.0)</f>
        <v>45805</v>
      </c>
      <c r="T4042" s="57">
        <f>IFERROR(__xludf.DUMMYFUNCTION("""COMPUTED_VALUE"""),45842.0)</f>
        <v>45842</v>
      </c>
    </row>
    <row r="4043">
      <c r="A4043" s="6" t="str">
        <f>IFERROR(__xludf.DUMMYFUNCTION("""COMPUTED_VALUE"""),"121702807-1")</f>
        <v>121702807-1</v>
      </c>
      <c r="B4043" s="6" t="str">
        <f>IFERROR(__xludf.DUMMYFUNCTION("""COMPUTED_VALUE"""),"121702807 - APPROVED")</f>
        <v>121702807 - APPROVED</v>
      </c>
      <c r="C4043" s="6">
        <f>IFERROR(__xludf.DUMMYFUNCTION("""COMPUTED_VALUE"""),1.0)</f>
        <v>1</v>
      </c>
      <c r="D4043" s="6" t="str">
        <f>IFERROR(__xludf.DUMMYFUNCTION("""COMPUTED_VALUE"""),"P-15938-00")</f>
        <v>P-15938-00</v>
      </c>
      <c r="E4043" s="6" t="str">
        <f>IFERROR(__xludf.DUMMYFUNCTION("""COMPUTED_VALUE"""),"Water Hardness Test Kit; ; ;")</f>
        <v>Water Hardness Test Kit; ; ;</v>
      </c>
      <c r="F4043" s="6">
        <f>IFERROR(__xludf.DUMMYFUNCTION("""COMPUTED_VALUE"""),3.0)</f>
        <v>3</v>
      </c>
      <c r="G4043" s="6" t="str">
        <f>IFERROR(__xludf.DUMMYFUNCTION("""COMPUTED_VALUE"""),"Box")</f>
        <v>Box</v>
      </c>
      <c r="H4043" s="6" t="str">
        <f>IFERROR(__xludf.DUMMYFUNCTION("""COMPUTED_VALUE"""),"IDR")</f>
        <v>IDR</v>
      </c>
      <c r="I4043" s="6">
        <f>IFERROR(__xludf.DUMMYFUNCTION("""COMPUTED_VALUE"""),273500.0)</f>
        <v>273500</v>
      </c>
      <c r="J4043" s="6">
        <f>IFERROR(__xludf.DUMMYFUNCTION("""COMPUTED_VALUE"""),820500.0)</f>
        <v>820500</v>
      </c>
      <c r="K4043" s="57">
        <f>IFERROR(__xludf.DUMMYFUNCTION("""COMPUTED_VALUE"""),45807.0)</f>
        <v>45807</v>
      </c>
      <c r="L4043" s="6" t="str">
        <f>IFERROR(__xludf.DUMMYFUNCTION("""COMPUTED_VALUE"""),"FIP General")</f>
        <v>FIP General</v>
      </c>
      <c r="M4043" s="6" t="str">
        <f>IFERROR(__xludf.DUMMYFUNCTION("""COMPUTED_VALUE"""),"Mochammad Fadhillah Hakim,")</f>
        <v>Mochammad Fadhillah Hakim,</v>
      </c>
      <c r="N4043" s="6" t="str">
        <f>IFERROR(__xludf.DUMMYFUNCTION("""COMPUTED_VALUE"""),"FIP Engineering")</f>
        <v>FIP Engineering</v>
      </c>
      <c r="O4043" s="6" t="str">
        <f>IFERROR(__xludf.DUMMYFUNCTION("""COMPUTED_VALUE"""),"FIP-DOM-ENG-51504-0000000-INA-000000")</f>
        <v>FIP-DOM-ENG-51504-0000000-INA-000000</v>
      </c>
      <c r="P4043" s="6" t="str">
        <f>IFERROR(__xludf.DUMMYFUNCTION("""COMPUTED_VALUE"""),"PO Closed")</f>
        <v>PO Closed</v>
      </c>
      <c r="Q4043" s="6" t="str">
        <f>IFERROR(__xludf.DUMMYFUNCTION("""COMPUTED_VALUE"""),"GL2506384")</f>
        <v>GL2506384</v>
      </c>
      <c r="R4043" s="57">
        <f>IFERROR(__xludf.DUMMYFUNCTION("""COMPUTED_VALUE"""),45805.0)</f>
        <v>45805</v>
      </c>
      <c r="S4043" s="57">
        <f>IFERROR(__xludf.DUMMYFUNCTION("""COMPUTED_VALUE"""),45811.0)</f>
        <v>45811</v>
      </c>
      <c r="T4043" s="57">
        <f>IFERROR(__xludf.DUMMYFUNCTION("""COMPUTED_VALUE"""),45842.0)</f>
        <v>45842</v>
      </c>
    </row>
    <row r="4044">
      <c r="A4044" s="6" t="str">
        <f>IFERROR(__xludf.DUMMYFUNCTION("""COMPUTED_VALUE"""),"121702813-1")</f>
        <v>121702813-1</v>
      </c>
      <c r="B4044" s="6" t="str">
        <f>IFERROR(__xludf.DUMMYFUNCTION("""COMPUTED_VALUE"""),"121702813 - APPROVED")</f>
        <v>121702813 - APPROVED</v>
      </c>
      <c r="C4044" s="6">
        <f>IFERROR(__xludf.DUMMYFUNCTION("""COMPUTED_VALUE"""),1.0)</f>
        <v>1</v>
      </c>
      <c r="D4044" s="6" t="str">
        <f>IFERROR(__xludf.DUMMYFUNCTION("""COMPUTED_VALUE"""),"P-15852-00")</f>
        <v>P-15852-00</v>
      </c>
      <c r="E4044" s="6" t="str">
        <f>IFERROR(__xludf.DUMMYFUNCTION("""COMPUTED_VALUE"""),"AMPLAS  EAGLE 500")</f>
        <v>AMPLAS  EAGLE 500</v>
      </c>
      <c r="F4044" s="6">
        <f>IFERROR(__xludf.DUMMYFUNCTION("""COMPUTED_VALUE"""),30.0)</f>
        <v>30</v>
      </c>
      <c r="G4044" s="6" t="str">
        <f>IFERROR(__xludf.DUMMYFUNCTION("""COMPUTED_VALUE"""),"Pieces")</f>
        <v>Pieces</v>
      </c>
      <c r="H4044" s="6" t="str">
        <f>IFERROR(__xludf.DUMMYFUNCTION("""COMPUTED_VALUE"""),"IDR")</f>
        <v>IDR</v>
      </c>
      <c r="I4044" s="6">
        <f>IFERROR(__xludf.DUMMYFUNCTION("""COMPUTED_VALUE"""),5800.0)</f>
        <v>5800</v>
      </c>
      <c r="J4044" s="6">
        <f>IFERROR(__xludf.DUMMYFUNCTION("""COMPUTED_VALUE"""),174000.0)</f>
        <v>174000</v>
      </c>
      <c r="K4044" s="57">
        <f>IFERROR(__xludf.DUMMYFUNCTION("""COMPUTED_VALUE"""),45842.0)</f>
        <v>45842</v>
      </c>
      <c r="L4044" s="6" t="str">
        <f>IFERROR(__xludf.DUMMYFUNCTION("""COMPUTED_VALUE"""),"FIP Engineering")</f>
        <v>FIP Engineering</v>
      </c>
      <c r="M4044" s="6" t="str">
        <f>IFERROR(__xludf.DUMMYFUNCTION("""COMPUTED_VALUE"""),"Mochammad Fadhillah Hakim,")</f>
        <v>Mochammad Fadhillah Hakim,</v>
      </c>
      <c r="N4044" s="6" t="str">
        <f>IFERROR(__xludf.DUMMYFUNCTION("""COMPUTED_VALUE"""),"FIP Engineering")</f>
        <v>FIP Engineering</v>
      </c>
      <c r="O4044" s="6" t="str">
        <f>IFERROR(__xludf.DUMMYFUNCTION("""COMPUTED_VALUE"""),"FIP-DOM-000-11304-OS00001-INA-000000")</f>
        <v>FIP-DOM-000-11304-OS00001-INA-000000</v>
      </c>
      <c r="P4044" s="6" t="str">
        <f>IFERROR(__xludf.DUMMYFUNCTION("""COMPUTED_VALUE"""),"PO Closed")</f>
        <v>PO Closed</v>
      </c>
      <c r="Q4044" s="6" t="str">
        <f>IFERROR(__xludf.DUMMYFUNCTION("""COMPUTED_VALUE"""),"GL2506384")</f>
        <v>GL2506384</v>
      </c>
      <c r="R4044" s="57">
        <f>IFERROR(__xludf.DUMMYFUNCTION("""COMPUTED_VALUE"""),45807.0)</f>
        <v>45807</v>
      </c>
      <c r="S4044" s="57">
        <f>IFERROR(__xludf.DUMMYFUNCTION("""COMPUTED_VALUE"""),45811.0)</f>
        <v>45811</v>
      </c>
      <c r="T4044" s="57">
        <f>IFERROR(__xludf.DUMMYFUNCTION("""COMPUTED_VALUE"""),45842.0)</f>
        <v>45842</v>
      </c>
    </row>
    <row r="4045">
      <c r="A4045" s="6" t="str">
        <f>IFERROR(__xludf.DUMMYFUNCTION("""COMPUTED_VALUE"""),"121702814-1")</f>
        <v>121702814-1</v>
      </c>
      <c r="B4045" s="6" t="str">
        <f>IFERROR(__xludf.DUMMYFUNCTION("""COMPUTED_VALUE"""),"121702814 - APPROVED")</f>
        <v>121702814 - APPROVED</v>
      </c>
      <c r="C4045" s="6">
        <f>IFERROR(__xludf.DUMMYFUNCTION("""COMPUTED_VALUE"""),1.0)</f>
        <v>1</v>
      </c>
      <c r="D4045" s="6" t="str">
        <f>IFERROR(__xludf.DUMMYFUNCTION("""COMPUTED_VALUE"""),"Q-10715-00")</f>
        <v>Q-10715-00</v>
      </c>
      <c r="E4045" s="6" t="str">
        <f>IFERROR(__xludf.DUMMYFUNCTION("""COMPUTED_VALUE"""),"Lem PVC Isarplas Kuas @400gr; ; ;")</f>
        <v>Lem PVC Isarplas Kuas @400gr; ; ;</v>
      </c>
      <c r="F4045" s="6">
        <f>IFERROR(__xludf.DUMMYFUNCTION("""COMPUTED_VALUE"""),3.0)</f>
        <v>3</v>
      </c>
      <c r="G4045" s="6" t="str">
        <f>IFERROR(__xludf.DUMMYFUNCTION("""COMPUTED_VALUE"""),"Pieces")</f>
        <v>Pieces</v>
      </c>
      <c r="H4045" s="6" t="str">
        <f>IFERROR(__xludf.DUMMYFUNCTION("""COMPUTED_VALUE"""),"IDR")</f>
        <v>IDR</v>
      </c>
      <c r="I4045" s="6">
        <f>IFERROR(__xludf.DUMMYFUNCTION("""COMPUTED_VALUE"""),60000.0)</f>
        <v>60000</v>
      </c>
      <c r="J4045" s="6">
        <f>IFERROR(__xludf.DUMMYFUNCTION("""COMPUTED_VALUE"""),180000.0)</f>
        <v>180000</v>
      </c>
      <c r="K4045" s="57">
        <f>IFERROR(__xludf.DUMMYFUNCTION("""COMPUTED_VALUE"""),45842.0)</f>
        <v>45842</v>
      </c>
      <c r="L4045" s="6" t="str">
        <f>IFERROR(__xludf.DUMMYFUNCTION("""COMPUTED_VALUE"""),"FIP General")</f>
        <v>FIP General</v>
      </c>
      <c r="M4045" s="6" t="str">
        <f>IFERROR(__xludf.DUMMYFUNCTION("""COMPUTED_VALUE"""),"Mochammad Fadhillah Hakim,")</f>
        <v>Mochammad Fadhillah Hakim,</v>
      </c>
      <c r="N4045" s="6" t="str">
        <f>IFERROR(__xludf.DUMMYFUNCTION("""COMPUTED_VALUE"""),"FIP Engineering")</f>
        <v>FIP Engineering</v>
      </c>
      <c r="O4045" s="6" t="str">
        <f>IFERROR(__xludf.DUMMYFUNCTION("""COMPUTED_VALUE"""),"FIP-DOM-ENG-51502-0000000-INA-000000")</f>
        <v>FIP-DOM-ENG-51502-0000000-INA-000000</v>
      </c>
      <c r="P4045" s="6" t="str">
        <f>IFERROR(__xludf.DUMMYFUNCTION("""COMPUTED_VALUE"""),"PO Closed")</f>
        <v>PO Closed</v>
      </c>
      <c r="Q4045" s="6" t="str">
        <f>IFERROR(__xludf.DUMMYFUNCTION("""COMPUTED_VALUE"""),"GL2506027")</f>
        <v>GL2506027</v>
      </c>
      <c r="R4045" s="57">
        <f>IFERROR(__xludf.DUMMYFUNCTION("""COMPUTED_VALUE"""),45807.0)</f>
        <v>45807</v>
      </c>
      <c r="S4045" s="57">
        <f>IFERROR(__xludf.DUMMYFUNCTION("""COMPUTED_VALUE"""),45811.0)</f>
        <v>45811</v>
      </c>
      <c r="T4045" s="57">
        <f>IFERROR(__xludf.DUMMYFUNCTION("""COMPUTED_VALUE"""),45842.0)</f>
        <v>45842</v>
      </c>
    </row>
    <row r="4046">
      <c r="A4046" s="6" t="str">
        <f>IFERROR(__xludf.DUMMYFUNCTION("""COMPUTED_VALUE"""),"121702815-1")</f>
        <v>121702815-1</v>
      </c>
      <c r="B4046" s="6" t="str">
        <f>IFERROR(__xludf.DUMMYFUNCTION("""COMPUTED_VALUE"""),"121702815 - APPROVED")</f>
        <v>121702815 - APPROVED</v>
      </c>
      <c r="C4046" s="6">
        <f>IFERROR(__xludf.DUMMYFUNCTION("""COMPUTED_VALUE"""),1.0)</f>
        <v>1</v>
      </c>
      <c r="D4046" s="6" t="str">
        <f>IFERROR(__xludf.DUMMYFUNCTION("""COMPUTED_VALUE"""),"O-52841-00")</f>
        <v>O-52841-00</v>
      </c>
      <c r="E4046" s="6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F4046" s="6">
        <f>IFERROR(__xludf.DUMMYFUNCTION("""COMPUTED_VALUE"""),1.0)</f>
        <v>1</v>
      </c>
      <c r="G4046" s="6" t="str">
        <f>IFERROR(__xludf.DUMMYFUNCTION("""COMPUTED_VALUE"""),"Pieces")</f>
        <v>Pieces</v>
      </c>
      <c r="H4046" s="6" t="str">
        <f>IFERROR(__xludf.DUMMYFUNCTION("""COMPUTED_VALUE"""),"USD")</f>
        <v>USD</v>
      </c>
      <c r="I4046" s="6">
        <f>IFERROR(__xludf.DUMMYFUNCTION("""COMPUTED_VALUE"""),1399820.0)</f>
        <v>1399820</v>
      </c>
      <c r="J4046" s="6">
        <f>IFERROR(__xludf.DUMMYFUNCTION("""COMPUTED_VALUE"""),1399820.0)</f>
        <v>1399820</v>
      </c>
      <c r="K4046" s="57">
        <f>IFERROR(__xludf.DUMMYFUNCTION("""COMPUTED_VALUE"""),45842.0)</f>
        <v>45842</v>
      </c>
      <c r="L4046" s="6" t="str">
        <f>IFERROR(__xludf.DUMMYFUNCTION("""COMPUTED_VALUE"""),"FIP Engineering")</f>
        <v>FIP Engineering</v>
      </c>
      <c r="M4046" s="6" t="str">
        <f>IFERROR(__xludf.DUMMYFUNCTION("""COMPUTED_VALUE"""),"Mochammad Fadhillah Hakim,")</f>
        <v>Mochammad Fadhillah Hakim,</v>
      </c>
      <c r="N4046" s="6" t="str">
        <f>IFERROR(__xludf.DUMMYFUNCTION("""COMPUTED_VALUE"""),"FIP Engineering")</f>
        <v>FIP Engineering</v>
      </c>
      <c r="O4046" s="6" t="str">
        <f>IFERROR(__xludf.DUMMYFUNCTION("""COMPUTED_VALUE"""),"FIP-DOM-000-11304-OS00001-INA-000000")</f>
        <v>FIP-DOM-000-11304-OS00001-INA-000000</v>
      </c>
      <c r="P4046" s="6" t="str">
        <f>IFERROR(__xludf.DUMMYFUNCTION("""COMPUTED_VALUE"""),"PO Closed")</f>
        <v>PO Closed</v>
      </c>
      <c r="Q4046" s="6" t="str">
        <f>IFERROR(__xludf.DUMMYFUNCTION("""COMPUTED_VALUE"""),"GL2508026")</f>
        <v>GL2508026</v>
      </c>
      <c r="R4046" s="57">
        <f>IFERROR(__xludf.DUMMYFUNCTION("""COMPUTED_VALUE"""),45807.0)</f>
        <v>45807</v>
      </c>
      <c r="S4046" s="57">
        <f>IFERROR(__xludf.DUMMYFUNCTION("""COMPUTED_VALUE"""),45826.0)</f>
        <v>45826</v>
      </c>
      <c r="T4046" s="57">
        <f>IFERROR(__xludf.DUMMYFUNCTION("""COMPUTED_VALUE"""),45991.0)</f>
        <v>45991</v>
      </c>
    </row>
    <row r="4047">
      <c r="A4047" s="6" t="str">
        <f>IFERROR(__xludf.DUMMYFUNCTION("""COMPUTED_VALUE"""),"121702815-2")</f>
        <v>121702815-2</v>
      </c>
      <c r="B4047" s="6" t="str">
        <f>IFERROR(__xludf.DUMMYFUNCTION("""COMPUTED_VALUE"""),"121702815 - APPROVED")</f>
        <v>121702815 - APPROVED</v>
      </c>
      <c r="C4047" s="6">
        <f>IFERROR(__xludf.DUMMYFUNCTION("""COMPUTED_VALUE"""),2.0)</f>
        <v>2</v>
      </c>
      <c r="D4047" s="6" t="str">
        <f>IFERROR(__xludf.DUMMYFUNCTION("""COMPUTED_VALUE"""),"O-20726-00")</f>
        <v>O-20726-00</v>
      </c>
      <c r="E4047" s="6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F4047" s="6">
        <f>IFERROR(__xludf.DUMMYFUNCTION("""COMPUTED_VALUE"""),3.0)</f>
        <v>3</v>
      </c>
      <c r="G4047" s="6" t="str">
        <f>IFERROR(__xludf.DUMMYFUNCTION("""COMPUTED_VALUE"""),"Set")</f>
        <v>Set</v>
      </c>
      <c r="H4047" s="6" t="str">
        <f>IFERROR(__xludf.DUMMYFUNCTION("""COMPUTED_VALUE"""),"IDR")</f>
        <v>IDR</v>
      </c>
      <c r="I4047" s="6">
        <f>IFERROR(__xludf.DUMMYFUNCTION("""COMPUTED_VALUE"""),3.050293E7)</f>
        <v>30502930</v>
      </c>
      <c r="J4047" s="6">
        <f>IFERROR(__xludf.DUMMYFUNCTION("""COMPUTED_VALUE"""),9.150879E7)</f>
        <v>91508790</v>
      </c>
      <c r="K4047" s="57">
        <f>IFERROR(__xludf.DUMMYFUNCTION("""COMPUTED_VALUE"""),45842.0)</f>
        <v>45842</v>
      </c>
      <c r="L4047" s="6" t="str">
        <f>IFERROR(__xludf.DUMMYFUNCTION("""COMPUTED_VALUE"""),"FIP Engineering")</f>
        <v>FIP Engineering</v>
      </c>
      <c r="M4047" s="6" t="str">
        <f>IFERROR(__xludf.DUMMYFUNCTION("""COMPUTED_VALUE"""),"Mochammad Fadhillah Hakim,")</f>
        <v>Mochammad Fadhillah Hakim,</v>
      </c>
      <c r="N4047" s="6" t="str">
        <f>IFERROR(__xludf.DUMMYFUNCTION("""COMPUTED_VALUE"""),"FIP Engineering")</f>
        <v>FIP Engineering</v>
      </c>
      <c r="O4047" s="6" t="str">
        <f>IFERROR(__xludf.DUMMYFUNCTION("""COMPUTED_VALUE"""),"FIP-DOM-000-11304-OS00001-INA-000000")</f>
        <v>FIP-DOM-000-11304-OS00001-INA-000000</v>
      </c>
      <c r="P4047" s="6" t="str">
        <f>IFERROR(__xludf.DUMMYFUNCTION("""COMPUTED_VALUE"""),"PO Closed")</f>
        <v>PO Closed</v>
      </c>
      <c r="Q4047" s="6" t="str">
        <f>IFERROR(__xludf.DUMMYFUNCTION("""COMPUTED_VALUE"""),"GL2508026")</f>
        <v>GL2508026</v>
      </c>
      <c r="R4047" s="57">
        <f>IFERROR(__xludf.DUMMYFUNCTION("""COMPUTED_VALUE"""),45807.0)</f>
        <v>45807</v>
      </c>
      <c r="S4047" s="57">
        <f>IFERROR(__xludf.DUMMYFUNCTION("""COMPUTED_VALUE"""),45826.0)</f>
        <v>45826</v>
      </c>
      <c r="T4047" s="57">
        <f>IFERROR(__xludf.DUMMYFUNCTION("""COMPUTED_VALUE"""),45991.0)</f>
        <v>45991</v>
      </c>
    </row>
    <row r="4048">
      <c r="A4048" s="6" t="str">
        <f>IFERROR(__xludf.DUMMYFUNCTION("""COMPUTED_VALUE"""),"121702815-3")</f>
        <v>121702815-3</v>
      </c>
      <c r="B4048" s="6" t="str">
        <f>IFERROR(__xludf.DUMMYFUNCTION("""COMPUTED_VALUE"""),"121702815 - APPROVED")</f>
        <v>121702815 - APPROVED</v>
      </c>
      <c r="C4048" s="6">
        <f>IFERROR(__xludf.DUMMYFUNCTION("""COMPUTED_VALUE"""),3.0)</f>
        <v>3</v>
      </c>
      <c r="D4048" s="6" t="str">
        <f>IFERROR(__xludf.DUMMYFUNCTION("""COMPUTED_VALUE"""),"O-20727-00")</f>
        <v>O-20727-00</v>
      </c>
      <c r="E4048" s="6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F4048" s="6">
        <f>IFERROR(__xludf.DUMMYFUNCTION("""COMPUTED_VALUE"""),1.0)</f>
        <v>1</v>
      </c>
      <c r="G4048" s="6" t="str">
        <f>IFERROR(__xludf.DUMMYFUNCTION("""COMPUTED_VALUE"""),"Set")</f>
        <v>Set</v>
      </c>
      <c r="H4048" s="6" t="str">
        <f>IFERROR(__xludf.DUMMYFUNCTION("""COMPUTED_VALUE"""),"IDR")</f>
        <v>IDR</v>
      </c>
      <c r="I4048" s="6">
        <f>IFERROR(__xludf.DUMMYFUNCTION("""COMPUTED_VALUE"""),3.368975E7)</f>
        <v>33689750</v>
      </c>
      <c r="J4048" s="6">
        <f>IFERROR(__xludf.DUMMYFUNCTION("""COMPUTED_VALUE"""),3.368975E7)</f>
        <v>33689750</v>
      </c>
      <c r="K4048" s="57">
        <f>IFERROR(__xludf.DUMMYFUNCTION("""COMPUTED_VALUE"""),45842.0)</f>
        <v>45842</v>
      </c>
      <c r="L4048" s="6" t="str">
        <f>IFERROR(__xludf.DUMMYFUNCTION("""COMPUTED_VALUE"""),"FIP Engineering")</f>
        <v>FIP Engineering</v>
      </c>
      <c r="M4048" s="6" t="str">
        <f>IFERROR(__xludf.DUMMYFUNCTION("""COMPUTED_VALUE"""),"Mochammad Fadhillah Hakim,")</f>
        <v>Mochammad Fadhillah Hakim,</v>
      </c>
      <c r="N4048" s="6" t="str">
        <f>IFERROR(__xludf.DUMMYFUNCTION("""COMPUTED_VALUE"""),"FIP Engineering")</f>
        <v>FIP Engineering</v>
      </c>
      <c r="O4048" s="6" t="str">
        <f>IFERROR(__xludf.DUMMYFUNCTION("""COMPUTED_VALUE"""),"FIP-DOM-000-11304-OS00001-INA-000000")</f>
        <v>FIP-DOM-000-11304-OS00001-INA-000000</v>
      </c>
      <c r="P4048" s="6" t="str">
        <f>IFERROR(__xludf.DUMMYFUNCTION("""COMPUTED_VALUE"""),"PO Closed")</f>
        <v>PO Closed</v>
      </c>
      <c r="Q4048" s="6" t="str">
        <f>IFERROR(__xludf.DUMMYFUNCTION("""COMPUTED_VALUE"""),"GL2508026")</f>
        <v>GL2508026</v>
      </c>
      <c r="R4048" s="57">
        <f>IFERROR(__xludf.DUMMYFUNCTION("""COMPUTED_VALUE"""),45807.0)</f>
        <v>45807</v>
      </c>
      <c r="S4048" s="57">
        <f>IFERROR(__xludf.DUMMYFUNCTION("""COMPUTED_VALUE"""),45826.0)</f>
        <v>45826</v>
      </c>
      <c r="T4048" s="57">
        <f>IFERROR(__xludf.DUMMYFUNCTION("""COMPUTED_VALUE"""),45991.0)</f>
        <v>45991</v>
      </c>
    </row>
    <row r="4049">
      <c r="A4049" s="6" t="str">
        <f>IFERROR(__xludf.DUMMYFUNCTION("""COMPUTED_VALUE"""),"121702815-4")</f>
        <v>121702815-4</v>
      </c>
      <c r="B4049" s="6" t="str">
        <f>IFERROR(__xludf.DUMMYFUNCTION("""COMPUTED_VALUE"""),"121702815 - APPROVED")</f>
        <v>121702815 - APPROVED</v>
      </c>
      <c r="C4049" s="6">
        <f>IFERROR(__xludf.DUMMYFUNCTION("""COMPUTED_VALUE"""),4.0)</f>
        <v>4</v>
      </c>
      <c r="D4049" s="6" t="str">
        <f>IFERROR(__xludf.DUMMYFUNCTION("""COMPUTED_VALUE"""),"O-20728-00")</f>
        <v>O-20728-00</v>
      </c>
      <c r="E4049" s="6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F4049" s="6">
        <f>IFERROR(__xludf.DUMMYFUNCTION("""COMPUTED_VALUE"""),1.0)</f>
        <v>1</v>
      </c>
      <c r="G4049" s="6" t="str">
        <f>IFERROR(__xludf.DUMMYFUNCTION("""COMPUTED_VALUE"""),"Set")</f>
        <v>Set</v>
      </c>
      <c r="H4049" s="6" t="str">
        <f>IFERROR(__xludf.DUMMYFUNCTION("""COMPUTED_VALUE"""),"IDR")</f>
        <v>IDR</v>
      </c>
      <c r="I4049" s="6">
        <f>IFERROR(__xludf.DUMMYFUNCTION("""COMPUTED_VALUE"""),3.047505E7)</f>
        <v>30475050</v>
      </c>
      <c r="J4049" s="6">
        <f>IFERROR(__xludf.DUMMYFUNCTION("""COMPUTED_VALUE"""),3.047505E7)</f>
        <v>30475050</v>
      </c>
      <c r="K4049" s="57">
        <f>IFERROR(__xludf.DUMMYFUNCTION("""COMPUTED_VALUE"""),45842.0)</f>
        <v>45842</v>
      </c>
      <c r="L4049" s="6" t="str">
        <f>IFERROR(__xludf.DUMMYFUNCTION("""COMPUTED_VALUE"""),"FIP Engineering")</f>
        <v>FIP Engineering</v>
      </c>
      <c r="M4049" s="6" t="str">
        <f>IFERROR(__xludf.DUMMYFUNCTION("""COMPUTED_VALUE"""),"Mochammad Fadhillah Hakim,")</f>
        <v>Mochammad Fadhillah Hakim,</v>
      </c>
      <c r="N4049" s="6" t="str">
        <f>IFERROR(__xludf.DUMMYFUNCTION("""COMPUTED_VALUE"""),"FIP Engineering")</f>
        <v>FIP Engineering</v>
      </c>
      <c r="O4049" s="6" t="str">
        <f>IFERROR(__xludf.DUMMYFUNCTION("""COMPUTED_VALUE"""),"FIP-DOM-000-11304-OS00001-INA-000000")</f>
        <v>FIP-DOM-000-11304-OS00001-INA-000000</v>
      </c>
      <c r="P4049" s="6" t="str">
        <f>IFERROR(__xludf.DUMMYFUNCTION("""COMPUTED_VALUE"""),"PO Closed")</f>
        <v>PO Closed</v>
      </c>
      <c r="Q4049" s="6" t="str">
        <f>IFERROR(__xludf.DUMMYFUNCTION("""COMPUTED_VALUE"""),"GL2508026")</f>
        <v>GL2508026</v>
      </c>
      <c r="R4049" s="57">
        <f>IFERROR(__xludf.DUMMYFUNCTION("""COMPUTED_VALUE"""),45807.0)</f>
        <v>45807</v>
      </c>
      <c r="S4049" s="57">
        <f>IFERROR(__xludf.DUMMYFUNCTION("""COMPUTED_VALUE"""),45826.0)</f>
        <v>45826</v>
      </c>
      <c r="T4049" s="57">
        <f>IFERROR(__xludf.DUMMYFUNCTION("""COMPUTED_VALUE"""),45991.0)</f>
        <v>45991</v>
      </c>
    </row>
    <row r="4050">
      <c r="A4050" s="6" t="str">
        <f>IFERROR(__xludf.DUMMYFUNCTION("""COMPUTED_VALUE"""),"121702823-1")</f>
        <v>121702823-1</v>
      </c>
      <c r="B4050" s="6" t="str">
        <f>IFERROR(__xludf.DUMMYFUNCTION("""COMPUTED_VALUE"""),"121702823 - APPROVED")</f>
        <v>121702823 - APPROVED</v>
      </c>
      <c r="C4050" s="6">
        <f>IFERROR(__xludf.DUMMYFUNCTION("""COMPUTED_VALUE"""),1.0)</f>
        <v>1</v>
      </c>
      <c r="D4050" s="6" t="str">
        <f>IFERROR(__xludf.DUMMYFUNCTION("""COMPUTED_VALUE"""),"O-50827-00")</f>
        <v>O-50827-00</v>
      </c>
      <c r="E4050" s="6" t="str">
        <f>IFERROR(__xludf.DUMMYFUNCTION("""COMPUTED_VALUE"""),"OptoCapBT02T Operating Range 8 ppb - 60% O2 Sat P/N 30018857, Measured Pressure Resistance : 0 bar -; ; ;")</f>
        <v>OptoCapBT02T Operating Range 8 ppb - 60% O2 Sat P/N 30018857, Measured Pressure Resistance : 0 bar -; ; ;</v>
      </c>
      <c r="F4050" s="6">
        <f>IFERROR(__xludf.DUMMYFUNCTION("""COMPUTED_VALUE"""),1.0)</f>
        <v>1</v>
      </c>
      <c r="G4050" s="6" t="str">
        <f>IFERROR(__xludf.DUMMYFUNCTION("""COMPUTED_VALUE"""),"Unit")</f>
        <v>Unit</v>
      </c>
      <c r="H4050" s="6" t="str">
        <f>IFERROR(__xludf.DUMMYFUNCTION("""COMPUTED_VALUE"""),"IDR")</f>
        <v>IDR</v>
      </c>
      <c r="I4050" s="6">
        <f>IFERROR(__xludf.DUMMYFUNCTION("""COMPUTED_VALUE"""),1.28547E7)</f>
        <v>12854700</v>
      </c>
      <c r="J4050" s="6">
        <f>IFERROR(__xludf.DUMMYFUNCTION("""COMPUTED_VALUE"""),1.28547E7)</f>
        <v>12854700</v>
      </c>
      <c r="K4050" s="57">
        <f>IFERROR(__xludf.DUMMYFUNCTION("""COMPUTED_VALUE"""),45849.0)</f>
        <v>45849</v>
      </c>
      <c r="L4050" s="6" t="str">
        <f>IFERROR(__xludf.DUMMYFUNCTION("""COMPUTED_VALUE"""),"FIP Engineering")</f>
        <v>FIP Engineering</v>
      </c>
      <c r="M4050" s="6" t="str">
        <f>IFERROR(__xludf.DUMMYFUNCTION("""COMPUTED_VALUE"""),"Mochammad Fadhillah Hakim,")</f>
        <v>Mochammad Fadhillah Hakim,</v>
      </c>
      <c r="N4050" s="6" t="str">
        <f>IFERROR(__xludf.DUMMYFUNCTION("""COMPUTED_VALUE"""),"FIP Engineering")</f>
        <v>FIP Engineering</v>
      </c>
      <c r="O4050" s="6" t="str">
        <f>IFERROR(__xludf.DUMMYFUNCTION("""COMPUTED_VALUE"""),"FIP-DOM-000-11304-OS00001-INA-000000")</f>
        <v>FIP-DOM-000-11304-OS00001-INA-000000</v>
      </c>
      <c r="P4050" s="6" t="str">
        <f>IFERROR(__xludf.DUMMYFUNCTION("""COMPUTED_VALUE"""),"PO Closed")</f>
        <v>PO Closed</v>
      </c>
      <c r="Q4050" s="6" t="str">
        <f>IFERROR(__xludf.DUMMYFUNCTION("""COMPUTED_VALUE"""),"GL2507044")</f>
        <v>GL2507044</v>
      </c>
      <c r="R4050" s="57">
        <f>IFERROR(__xludf.DUMMYFUNCTION("""COMPUTED_VALUE"""),45811.0)</f>
        <v>45811</v>
      </c>
      <c r="S4050" s="57">
        <f>IFERROR(__xludf.DUMMYFUNCTION("""COMPUTED_VALUE"""),45839.0)</f>
        <v>45839</v>
      </c>
      <c r="T4050" s="57">
        <f>IFERROR(__xludf.DUMMYFUNCTION("""COMPUTED_VALUE"""),45880.0)</f>
        <v>45880</v>
      </c>
    </row>
    <row r="4051">
      <c r="A4051" s="6" t="str">
        <f>IFERROR(__xludf.DUMMYFUNCTION("""COMPUTED_VALUE"""),"121702824-1")</f>
        <v>121702824-1</v>
      </c>
      <c r="B4051" s="6" t="str">
        <f>IFERROR(__xludf.DUMMYFUNCTION("""COMPUTED_VALUE"""),"121702824 - APPROVED")</f>
        <v>121702824 - APPROVED</v>
      </c>
      <c r="C4051" s="6">
        <f>IFERROR(__xludf.DUMMYFUNCTION("""COMPUTED_VALUE"""),1.0)</f>
        <v>1</v>
      </c>
      <c r="D4051" s="6" t="str">
        <f>IFERROR(__xludf.DUMMYFUNCTION("""COMPUTED_VALUE"""),"S-60002-00")</f>
        <v>S-60002-00</v>
      </c>
      <c r="E4051" s="6" t="str">
        <f>IFERROR(__xludf.DUMMYFUNCTION("""COMPUTED_VALUE"""),"Jasa Perbaikan dan Pemeliharaan Mesin Utility - Pengecekan Forklift Tombol Emergency")</f>
        <v>Jasa Perbaikan dan Pemeliharaan Mesin Utility - Pengecekan Forklift Tombol Emergency</v>
      </c>
      <c r="F4051" s="6">
        <f>IFERROR(__xludf.DUMMYFUNCTION("""COMPUTED_VALUE"""),1.0)</f>
        <v>1</v>
      </c>
      <c r="G4051" s="6" t="str">
        <f>IFERROR(__xludf.DUMMYFUNCTION("""COMPUTED_VALUE"""),"Lot")</f>
        <v>Lot</v>
      </c>
      <c r="H4051" s="6" t="str">
        <f>IFERROR(__xludf.DUMMYFUNCTION("""COMPUTED_VALUE"""),"IDR")</f>
        <v>IDR</v>
      </c>
      <c r="I4051" s="6">
        <f>IFERROR(__xludf.DUMMYFUNCTION("""COMPUTED_VALUE"""),1000000.0)</f>
        <v>1000000</v>
      </c>
      <c r="J4051" s="6">
        <f>IFERROR(__xludf.DUMMYFUNCTION("""COMPUTED_VALUE"""),1000000.0)</f>
        <v>1000000</v>
      </c>
      <c r="K4051" s="57">
        <f>IFERROR(__xludf.DUMMYFUNCTION("""COMPUTED_VALUE"""),45849.0)</f>
        <v>45849</v>
      </c>
      <c r="L4051" s="6" t="str">
        <f>IFERROR(__xludf.DUMMYFUNCTION("""COMPUTED_VALUE"""),"FIP General")</f>
        <v>FIP General</v>
      </c>
      <c r="M4051" s="6" t="str">
        <f>IFERROR(__xludf.DUMMYFUNCTION("""COMPUTED_VALUE"""),"Mochammad Fadhillah Hakim,")</f>
        <v>Mochammad Fadhillah Hakim,</v>
      </c>
      <c r="N4051" s="6" t="str">
        <f>IFERROR(__xludf.DUMMYFUNCTION("""COMPUTED_VALUE"""),"FIP Engineering")</f>
        <v>FIP Engineering</v>
      </c>
      <c r="O4051" s="6" t="str">
        <f>IFERROR(__xludf.DUMMYFUNCTION("""COMPUTED_VALUE"""),"FIP-DOM-ENG-51508-0000000-INA-000000")</f>
        <v>FIP-DOM-ENG-51508-0000000-INA-000000</v>
      </c>
      <c r="P4051" s="6" t="str">
        <f>IFERROR(__xludf.DUMMYFUNCTION("""COMPUTED_VALUE"""),"PO Closed")</f>
        <v>PO Closed</v>
      </c>
      <c r="Q4051" s="6" t="str">
        <f>IFERROR(__xludf.DUMMYFUNCTION("""COMPUTED_VALUE"""),"GL2506038")</f>
        <v>GL2506038</v>
      </c>
      <c r="R4051" s="57">
        <f>IFERROR(__xludf.DUMMYFUNCTION("""COMPUTED_VALUE"""),45811.0)</f>
        <v>45811</v>
      </c>
      <c r="S4051" s="57">
        <f>IFERROR(__xludf.DUMMYFUNCTION("""COMPUTED_VALUE"""),45818.0)</f>
        <v>45818</v>
      </c>
      <c r="T4051" s="57">
        <f>IFERROR(__xludf.DUMMYFUNCTION("""COMPUTED_VALUE"""),45899.0)</f>
        <v>45899</v>
      </c>
    </row>
    <row r="4052">
      <c r="A4052" s="6" t="str">
        <f>IFERROR(__xludf.DUMMYFUNCTION("""COMPUTED_VALUE"""),"121702825-1")</f>
        <v>121702825-1</v>
      </c>
      <c r="B4052" s="6" t="str">
        <f>IFERROR(__xludf.DUMMYFUNCTION("""COMPUTED_VALUE"""),"121702825 - APPROVED")</f>
        <v>121702825 - APPROVED</v>
      </c>
      <c r="C4052" s="6">
        <f>IFERROR(__xludf.DUMMYFUNCTION("""COMPUTED_VALUE"""),1.0)</f>
        <v>1</v>
      </c>
      <c r="D4052" s="6" t="str">
        <f>IFERROR(__xludf.DUMMYFUNCTION("""COMPUTED_VALUE"""),"S-60002-00")</f>
        <v>S-60002-00</v>
      </c>
      <c r="E4052" s="6" t="str">
        <f>IFERROR(__xludf.DUMMYFUNCTION("""COMPUTED_VALUE"""),"Jasa Perbaikan dan Pemeliharaan Mesin Utility - Perbaikan Pompa Air Hujan dan Exhaust Fan")</f>
        <v>Jasa Perbaikan dan Pemeliharaan Mesin Utility - Perbaikan Pompa Air Hujan dan Exhaust Fan</v>
      </c>
      <c r="F4052" s="6">
        <f>IFERROR(__xludf.DUMMYFUNCTION("""COMPUTED_VALUE"""),1.0)</f>
        <v>1</v>
      </c>
      <c r="G4052" s="6" t="str">
        <f>IFERROR(__xludf.DUMMYFUNCTION("""COMPUTED_VALUE"""),"Lot")</f>
        <v>Lot</v>
      </c>
      <c r="H4052" s="6" t="str">
        <f>IFERROR(__xludf.DUMMYFUNCTION("""COMPUTED_VALUE"""),"IDR")</f>
        <v>IDR</v>
      </c>
      <c r="I4052" s="6">
        <f>IFERROR(__xludf.DUMMYFUNCTION("""COMPUTED_VALUE"""),4306000.0)</f>
        <v>4306000</v>
      </c>
      <c r="J4052" s="6">
        <f>IFERROR(__xludf.DUMMYFUNCTION("""COMPUTED_VALUE"""),4306000.0)</f>
        <v>4306000</v>
      </c>
      <c r="K4052" s="57">
        <f>IFERROR(__xludf.DUMMYFUNCTION("""COMPUTED_VALUE"""),45849.0)</f>
        <v>45849</v>
      </c>
      <c r="L4052" s="6" t="str">
        <f>IFERROR(__xludf.DUMMYFUNCTION("""COMPUTED_VALUE"""),"FIP General")</f>
        <v>FIP General</v>
      </c>
      <c r="M4052" s="6" t="str">
        <f>IFERROR(__xludf.DUMMYFUNCTION("""COMPUTED_VALUE"""),"Mochammad Fadhillah Hakim,")</f>
        <v>Mochammad Fadhillah Hakim,</v>
      </c>
      <c r="N4052" s="6" t="str">
        <f>IFERROR(__xludf.DUMMYFUNCTION("""COMPUTED_VALUE"""),"FIP Engineering")</f>
        <v>FIP Engineering</v>
      </c>
      <c r="O4052" s="6" t="str">
        <f>IFERROR(__xludf.DUMMYFUNCTION("""COMPUTED_VALUE"""),"FIP-DOM-ENG-51508-0000000-INA-000000")</f>
        <v>FIP-DOM-ENG-51508-0000000-INA-000000</v>
      </c>
      <c r="P4052" s="6" t="str">
        <f>IFERROR(__xludf.DUMMYFUNCTION("""COMPUTED_VALUE"""),"PO Closed")</f>
        <v>PO Closed</v>
      </c>
      <c r="Q4052" s="6" t="str">
        <f>IFERROR(__xludf.DUMMYFUNCTION("""COMPUTED_VALUE"""),"GL2506047")</f>
        <v>GL2506047</v>
      </c>
      <c r="R4052" s="57">
        <f>IFERROR(__xludf.DUMMYFUNCTION("""COMPUTED_VALUE"""),45811.0)</f>
        <v>45811</v>
      </c>
      <c r="S4052" s="57">
        <f>IFERROR(__xludf.DUMMYFUNCTION("""COMPUTED_VALUE"""),45818.0)</f>
        <v>45818</v>
      </c>
      <c r="T4052" s="57">
        <f>IFERROR(__xludf.DUMMYFUNCTION("""COMPUTED_VALUE"""),45899.0)</f>
        <v>45899</v>
      </c>
    </row>
    <row r="4053">
      <c r="A4053" s="6" t="str">
        <f>IFERROR(__xludf.DUMMYFUNCTION("""COMPUTED_VALUE"""),"121702833-1")</f>
        <v>121702833-1</v>
      </c>
      <c r="B4053" s="6" t="str">
        <f>IFERROR(__xludf.DUMMYFUNCTION("""COMPUTED_VALUE"""),"121702833 - APPROVED")</f>
        <v>121702833 - APPROVED</v>
      </c>
      <c r="C4053" s="6">
        <f>IFERROR(__xludf.DUMMYFUNCTION("""COMPUTED_VALUE"""),1.0)</f>
        <v>1</v>
      </c>
      <c r="D4053" s="6" t="str">
        <f>IFERROR(__xludf.DUMMYFUNCTION("""COMPUTED_VALUE"""),"S-60002-00")</f>
        <v>S-60002-00</v>
      </c>
      <c r="E4053" s="6" t="str">
        <f>IFERROR(__xludf.DUMMYFUNCTION("""COMPUTED_VALUE"""),"Jasa Perbaikan dan Pemeliharaan Mesin Utility - Perbaikan Lift - Perbaikan Lift")</f>
        <v>Jasa Perbaikan dan Pemeliharaan Mesin Utility - Perbaikan Lift - Perbaikan Lift</v>
      </c>
      <c r="F4053" s="6">
        <f>IFERROR(__xludf.DUMMYFUNCTION("""COMPUTED_VALUE"""),1.0)</f>
        <v>1</v>
      </c>
      <c r="G4053" s="6" t="str">
        <f>IFERROR(__xludf.DUMMYFUNCTION("""COMPUTED_VALUE"""),"Lot")</f>
        <v>Lot</v>
      </c>
      <c r="H4053" s="6" t="str">
        <f>IFERROR(__xludf.DUMMYFUNCTION("""COMPUTED_VALUE"""),"IDR")</f>
        <v>IDR</v>
      </c>
      <c r="I4053" s="6">
        <f>IFERROR(__xludf.DUMMYFUNCTION("""COMPUTED_VALUE"""),1.6725E7)</f>
        <v>16725000</v>
      </c>
      <c r="J4053" s="6">
        <f>IFERROR(__xludf.DUMMYFUNCTION("""COMPUTED_VALUE"""),1.6725E7)</f>
        <v>16725000</v>
      </c>
      <c r="K4053" s="57">
        <f>IFERROR(__xludf.DUMMYFUNCTION("""COMPUTED_VALUE"""),45849.0)</f>
        <v>45849</v>
      </c>
      <c r="L4053" s="6" t="str">
        <f>IFERROR(__xludf.DUMMYFUNCTION("""COMPUTED_VALUE"""),"FIP General")</f>
        <v>FIP General</v>
      </c>
      <c r="M4053" s="6" t="str">
        <f>IFERROR(__xludf.DUMMYFUNCTION("""COMPUTED_VALUE"""),"Mochammad Fadhillah Hakim,")</f>
        <v>Mochammad Fadhillah Hakim,</v>
      </c>
      <c r="N4053" s="6" t="str">
        <f>IFERROR(__xludf.DUMMYFUNCTION("""COMPUTED_VALUE"""),"FIP Engineering")</f>
        <v>FIP Engineering</v>
      </c>
      <c r="O4053" s="6" t="str">
        <f>IFERROR(__xludf.DUMMYFUNCTION("""COMPUTED_VALUE"""),"FIP-DOM-ENG-51508-0000000-INA-000000")</f>
        <v>FIP-DOM-ENG-51508-0000000-INA-000000</v>
      </c>
      <c r="P4053" s="6" t="str">
        <f>IFERROR(__xludf.DUMMYFUNCTION("""COMPUTED_VALUE"""),"PO Closed")</f>
        <v>PO Closed</v>
      </c>
      <c r="Q4053" s="6" t="str">
        <f>IFERROR(__xludf.DUMMYFUNCTION("""COMPUTED_VALUE"""),"GL2506049")</f>
        <v>GL2506049</v>
      </c>
      <c r="R4053" s="57">
        <f>IFERROR(__xludf.DUMMYFUNCTION("""COMPUTED_VALUE"""),45812.0)</f>
        <v>45812</v>
      </c>
      <c r="S4053" s="57">
        <f>IFERROR(__xludf.DUMMYFUNCTION("""COMPUTED_VALUE"""),45818.0)</f>
        <v>45818</v>
      </c>
      <c r="T4053" s="57">
        <f>IFERROR(__xludf.DUMMYFUNCTION("""COMPUTED_VALUE"""),45911.0)</f>
        <v>45911</v>
      </c>
    </row>
    <row r="4054">
      <c r="A4054" s="6" t="str">
        <f>IFERROR(__xludf.DUMMYFUNCTION("""COMPUTED_VALUE"""),"121702833-2")</f>
        <v>121702833-2</v>
      </c>
      <c r="B4054" s="6" t="str">
        <f>IFERROR(__xludf.DUMMYFUNCTION("""COMPUTED_VALUE"""),"121702833 - APPROVED")</f>
        <v>121702833 - APPROVED</v>
      </c>
      <c r="C4054" s="6">
        <f>IFERROR(__xludf.DUMMYFUNCTION("""COMPUTED_VALUE"""),2.0)</f>
        <v>2</v>
      </c>
      <c r="D4054" s="6" t="str">
        <f>IFERROR(__xludf.DUMMYFUNCTION("""COMPUTED_VALUE"""),"P-54284-00")</f>
        <v>P-54284-00</v>
      </c>
      <c r="E4054" s="6" t="str">
        <f>IFERROR(__xludf.DUMMYFUNCTION("""COMPUTED_VALUE"""),"SCHINDLER ELEVATOR - Interphone; Schindler; -; 1 pc")</f>
        <v>SCHINDLER ELEVATOR - Interphone; Schindler; -; 1 pc</v>
      </c>
      <c r="F4054" s="6">
        <f>IFERROR(__xludf.DUMMYFUNCTION("""COMPUTED_VALUE"""),1.0)</f>
        <v>1</v>
      </c>
      <c r="G4054" s="6" t="str">
        <f>IFERROR(__xludf.DUMMYFUNCTION("""COMPUTED_VALUE"""),"Pieces")</f>
        <v>Pieces</v>
      </c>
      <c r="H4054" s="6" t="str">
        <f>IFERROR(__xludf.DUMMYFUNCTION("""COMPUTED_VALUE"""),"IDR")</f>
        <v>IDR</v>
      </c>
      <c r="I4054" s="6">
        <f>IFERROR(__xludf.DUMMYFUNCTION("""COMPUTED_VALUE"""),5732500.0)</f>
        <v>5732500</v>
      </c>
      <c r="J4054" s="6">
        <f>IFERROR(__xludf.DUMMYFUNCTION("""COMPUTED_VALUE"""),5732500.0)</f>
        <v>5732500</v>
      </c>
      <c r="K4054" s="57">
        <f>IFERROR(__xludf.DUMMYFUNCTION("""COMPUTED_VALUE"""),45849.0)</f>
        <v>45849</v>
      </c>
      <c r="L4054" s="6" t="str">
        <f>IFERROR(__xludf.DUMMYFUNCTION("""COMPUTED_VALUE"""),"FIP General")</f>
        <v>FIP General</v>
      </c>
      <c r="M4054" s="6" t="str">
        <f>IFERROR(__xludf.DUMMYFUNCTION("""COMPUTED_VALUE"""),"Mochammad Fadhillah Hakim,")</f>
        <v>Mochammad Fadhillah Hakim,</v>
      </c>
      <c r="N4054" s="6" t="str">
        <f>IFERROR(__xludf.DUMMYFUNCTION("""COMPUTED_VALUE"""),"FIP Engineering")</f>
        <v>FIP Engineering</v>
      </c>
      <c r="O4054" s="6" t="str">
        <f>IFERROR(__xludf.DUMMYFUNCTION("""COMPUTED_VALUE"""),"FIP-DOM-ENG-51504-0000000-INA-000000")</f>
        <v>FIP-DOM-ENG-51504-0000000-INA-000000</v>
      </c>
      <c r="P4054" s="6" t="str">
        <f>IFERROR(__xludf.DUMMYFUNCTION("""COMPUTED_VALUE"""),"PO Closed")</f>
        <v>PO Closed</v>
      </c>
      <c r="Q4054" s="6" t="str">
        <f>IFERROR(__xludf.DUMMYFUNCTION("""COMPUTED_VALUE"""),"GL2506049")</f>
        <v>GL2506049</v>
      </c>
      <c r="R4054" s="57">
        <f>IFERROR(__xludf.DUMMYFUNCTION("""COMPUTED_VALUE"""),45812.0)</f>
        <v>45812</v>
      </c>
      <c r="S4054" s="57">
        <f>IFERROR(__xludf.DUMMYFUNCTION("""COMPUTED_VALUE"""),45818.0)</f>
        <v>45818</v>
      </c>
      <c r="T4054" s="57">
        <f>IFERROR(__xludf.DUMMYFUNCTION("""COMPUTED_VALUE"""),45911.0)</f>
        <v>45911</v>
      </c>
    </row>
    <row r="4055">
      <c r="A4055" s="6" t="str">
        <f>IFERROR(__xludf.DUMMYFUNCTION("""COMPUTED_VALUE"""),"121702833-3")</f>
        <v>121702833-3</v>
      </c>
      <c r="B4055" s="6" t="str">
        <f>IFERROR(__xludf.DUMMYFUNCTION("""COMPUTED_VALUE"""),"121702833 - APPROVED")</f>
        <v>121702833 - APPROVED</v>
      </c>
      <c r="C4055" s="6">
        <f>IFERROR(__xludf.DUMMYFUNCTION("""COMPUTED_VALUE"""),3.0)</f>
        <v>3</v>
      </c>
      <c r="D4055" s="6" t="str">
        <f>IFERROR(__xludf.DUMMYFUNCTION("""COMPUTED_VALUE"""),"P-17899-00")</f>
        <v>P-17899-00</v>
      </c>
      <c r="E4055" s="6" t="str">
        <f>IFERROR(__xludf.DUMMYFUNCTION("""COMPUTED_VALUE"""),"SCHINDLER ELEVATOR - Door Shoe; ; ;")</f>
        <v>SCHINDLER ELEVATOR - Door Shoe; ; ;</v>
      </c>
      <c r="F4055" s="6">
        <f>IFERROR(__xludf.DUMMYFUNCTION("""COMPUTED_VALUE"""),4.0)</f>
        <v>4</v>
      </c>
      <c r="G4055" s="6" t="str">
        <f>IFERROR(__xludf.DUMMYFUNCTION("""COMPUTED_VALUE"""),"Pieces")</f>
        <v>Pieces</v>
      </c>
      <c r="H4055" s="6" t="str">
        <f>IFERROR(__xludf.DUMMYFUNCTION("""COMPUTED_VALUE"""),"IDR")</f>
        <v>IDR</v>
      </c>
      <c r="I4055" s="6">
        <f>IFERROR(__xludf.DUMMYFUNCTION("""COMPUTED_VALUE"""),381500.0)</f>
        <v>381500</v>
      </c>
      <c r="J4055" s="6">
        <f>IFERROR(__xludf.DUMMYFUNCTION("""COMPUTED_VALUE"""),1526000.0)</f>
        <v>1526000</v>
      </c>
      <c r="K4055" s="57">
        <f>IFERROR(__xludf.DUMMYFUNCTION("""COMPUTED_VALUE"""),45849.0)</f>
        <v>45849</v>
      </c>
      <c r="L4055" s="6" t="str">
        <f>IFERROR(__xludf.DUMMYFUNCTION("""COMPUTED_VALUE"""),"FIP General")</f>
        <v>FIP General</v>
      </c>
      <c r="M4055" s="6" t="str">
        <f>IFERROR(__xludf.DUMMYFUNCTION("""COMPUTED_VALUE"""),"Mochammad Fadhillah Hakim,")</f>
        <v>Mochammad Fadhillah Hakim,</v>
      </c>
      <c r="N4055" s="6" t="str">
        <f>IFERROR(__xludf.DUMMYFUNCTION("""COMPUTED_VALUE"""),"FIP Engineering")</f>
        <v>FIP Engineering</v>
      </c>
      <c r="O4055" s="6" t="str">
        <f>IFERROR(__xludf.DUMMYFUNCTION("""COMPUTED_VALUE"""),"FIP-DOM-ENG-51504-0000000-INA-000000")</f>
        <v>FIP-DOM-ENG-51504-0000000-INA-000000</v>
      </c>
      <c r="P4055" s="6" t="str">
        <f>IFERROR(__xludf.DUMMYFUNCTION("""COMPUTED_VALUE"""),"PO Closed")</f>
        <v>PO Closed</v>
      </c>
      <c r="Q4055" s="6" t="str">
        <f>IFERROR(__xludf.DUMMYFUNCTION("""COMPUTED_VALUE"""),"GL2506049")</f>
        <v>GL2506049</v>
      </c>
      <c r="R4055" s="57">
        <f>IFERROR(__xludf.DUMMYFUNCTION("""COMPUTED_VALUE"""),45812.0)</f>
        <v>45812</v>
      </c>
      <c r="S4055" s="57">
        <f>IFERROR(__xludf.DUMMYFUNCTION("""COMPUTED_VALUE"""),45818.0)</f>
        <v>45818</v>
      </c>
      <c r="T4055" s="57">
        <f>IFERROR(__xludf.DUMMYFUNCTION("""COMPUTED_VALUE"""),45911.0)</f>
        <v>45911</v>
      </c>
    </row>
    <row r="4056">
      <c r="A4056" s="6" t="str">
        <f>IFERROR(__xludf.DUMMYFUNCTION("""COMPUTED_VALUE"""),"121702833-4")</f>
        <v>121702833-4</v>
      </c>
      <c r="B4056" s="6" t="str">
        <f>IFERROR(__xludf.DUMMYFUNCTION("""COMPUTED_VALUE"""),"121702833 - APPROVED")</f>
        <v>121702833 - APPROVED</v>
      </c>
      <c r="C4056" s="6">
        <f>IFERROR(__xludf.DUMMYFUNCTION("""COMPUTED_VALUE"""),4.0)</f>
        <v>4</v>
      </c>
      <c r="D4056" s="6" t="str">
        <f>IFERROR(__xludf.DUMMYFUNCTION("""COMPUTED_VALUE"""),"Q-10949-00")</f>
        <v>Q-10949-00</v>
      </c>
      <c r="E4056" s="6" t="str">
        <f>IFERROR(__xludf.DUMMYFUNCTION("""COMPUTED_VALUE"""),"SCHINDLER ELEVATOR - Ceiling Lamp Cover; ; ;")</f>
        <v>SCHINDLER ELEVATOR - Ceiling Lamp Cover; ; ;</v>
      </c>
      <c r="F4056" s="6">
        <f>IFERROR(__xludf.DUMMYFUNCTION("""COMPUTED_VALUE"""),1.0)</f>
        <v>1</v>
      </c>
      <c r="G4056" s="6" t="str">
        <f>IFERROR(__xludf.DUMMYFUNCTION("""COMPUTED_VALUE"""),"Pieces")</f>
        <v>Pieces</v>
      </c>
      <c r="H4056" s="6" t="str">
        <f>IFERROR(__xludf.DUMMYFUNCTION("""COMPUTED_VALUE"""),"IDR")</f>
        <v>IDR</v>
      </c>
      <c r="I4056" s="6">
        <f>IFERROR(__xludf.DUMMYFUNCTION("""COMPUTED_VALUE"""),1345000.0)</f>
        <v>1345000</v>
      </c>
      <c r="J4056" s="6">
        <f>IFERROR(__xludf.DUMMYFUNCTION("""COMPUTED_VALUE"""),1345000.0)</f>
        <v>1345000</v>
      </c>
      <c r="K4056" s="57">
        <f>IFERROR(__xludf.DUMMYFUNCTION("""COMPUTED_VALUE"""),45849.0)</f>
        <v>45849</v>
      </c>
      <c r="L4056" s="6" t="str">
        <f>IFERROR(__xludf.DUMMYFUNCTION("""COMPUTED_VALUE"""),"FIP General")</f>
        <v>FIP General</v>
      </c>
      <c r="M4056" s="6" t="str">
        <f>IFERROR(__xludf.DUMMYFUNCTION("""COMPUTED_VALUE"""),"Mochammad Fadhillah Hakim,")</f>
        <v>Mochammad Fadhillah Hakim,</v>
      </c>
      <c r="N4056" s="6" t="str">
        <f>IFERROR(__xludf.DUMMYFUNCTION("""COMPUTED_VALUE"""),"FIP Engineering")</f>
        <v>FIP Engineering</v>
      </c>
      <c r="O4056" s="6" t="str">
        <f>IFERROR(__xludf.DUMMYFUNCTION("""COMPUTED_VALUE"""),"FIP-DOM-ENG-51504-0000000-INA-000000")</f>
        <v>FIP-DOM-ENG-51504-0000000-INA-000000</v>
      </c>
      <c r="P4056" s="6" t="str">
        <f>IFERROR(__xludf.DUMMYFUNCTION("""COMPUTED_VALUE"""),"PO Closed")</f>
        <v>PO Closed</v>
      </c>
      <c r="Q4056" s="6" t="str">
        <f>IFERROR(__xludf.DUMMYFUNCTION("""COMPUTED_VALUE"""),"GL2506049")</f>
        <v>GL2506049</v>
      </c>
      <c r="R4056" s="57">
        <f>IFERROR(__xludf.DUMMYFUNCTION("""COMPUTED_VALUE"""),45812.0)</f>
        <v>45812</v>
      </c>
      <c r="S4056" s="57">
        <f>IFERROR(__xludf.DUMMYFUNCTION("""COMPUTED_VALUE"""),45818.0)</f>
        <v>45818</v>
      </c>
      <c r="T4056" s="57">
        <f>IFERROR(__xludf.DUMMYFUNCTION("""COMPUTED_VALUE"""),45911.0)</f>
        <v>45911</v>
      </c>
    </row>
    <row r="4057">
      <c r="A4057" s="6" t="str">
        <f>IFERROR(__xludf.DUMMYFUNCTION("""COMPUTED_VALUE"""),"121702833-5")</f>
        <v>121702833-5</v>
      </c>
      <c r="B4057" s="6" t="str">
        <f>IFERROR(__xludf.DUMMYFUNCTION("""COMPUTED_VALUE"""),"121702833 - APPROVED")</f>
        <v>121702833 - APPROVED</v>
      </c>
      <c r="C4057" s="6">
        <f>IFERROR(__xludf.DUMMYFUNCTION("""COMPUTED_VALUE"""),5.0)</f>
        <v>5</v>
      </c>
      <c r="D4057" s="6" t="str">
        <f>IFERROR(__xludf.DUMMYFUNCTION("""COMPUTED_VALUE"""),"Q-54157-00")</f>
        <v>Q-54157-00</v>
      </c>
      <c r="E4057" s="6" t="str">
        <f>IFERROR(__xludf.DUMMYFUNCTION("""COMPUTED_VALUE"""),"PCBA LIFT SCOPCA 5.Q;Schindler Elevator;;pack size per unit")</f>
        <v>PCBA LIFT SCOPCA 5.Q;Schindler Elevator;;pack size per unit</v>
      </c>
      <c r="F4057" s="6">
        <f>IFERROR(__xludf.DUMMYFUNCTION("""COMPUTED_VALUE"""),1.0)</f>
        <v>1</v>
      </c>
      <c r="G4057" s="6" t="str">
        <f>IFERROR(__xludf.DUMMYFUNCTION("""COMPUTED_VALUE"""),"Unit")</f>
        <v>Unit</v>
      </c>
      <c r="H4057" s="6" t="str">
        <f>IFERROR(__xludf.DUMMYFUNCTION("""COMPUTED_VALUE"""),"IDR")</f>
        <v>IDR</v>
      </c>
      <c r="I4057" s="6">
        <f>IFERROR(__xludf.DUMMYFUNCTION("""COMPUTED_VALUE"""),8825000.0)</f>
        <v>8825000</v>
      </c>
      <c r="J4057" s="6">
        <f>IFERROR(__xludf.DUMMYFUNCTION("""COMPUTED_VALUE"""),8825000.0)</f>
        <v>8825000</v>
      </c>
      <c r="K4057" s="57">
        <f>IFERROR(__xludf.DUMMYFUNCTION("""COMPUTED_VALUE"""),45849.0)</f>
        <v>45849</v>
      </c>
      <c r="L4057" s="6" t="str">
        <f>IFERROR(__xludf.DUMMYFUNCTION("""COMPUTED_VALUE"""),"FIP General")</f>
        <v>FIP General</v>
      </c>
      <c r="M4057" s="6" t="str">
        <f>IFERROR(__xludf.DUMMYFUNCTION("""COMPUTED_VALUE"""),"Mochammad Fadhillah Hakim,")</f>
        <v>Mochammad Fadhillah Hakim,</v>
      </c>
      <c r="N4057" s="6" t="str">
        <f>IFERROR(__xludf.DUMMYFUNCTION("""COMPUTED_VALUE"""),"FIP Engineering")</f>
        <v>FIP Engineering</v>
      </c>
      <c r="O4057" s="6" t="str">
        <f>IFERROR(__xludf.DUMMYFUNCTION("""COMPUTED_VALUE"""),"FIP-DOM-ENG-51504-0000000-INA-000000")</f>
        <v>FIP-DOM-ENG-51504-0000000-INA-000000</v>
      </c>
      <c r="P4057" s="6" t="str">
        <f>IFERROR(__xludf.DUMMYFUNCTION("""COMPUTED_VALUE"""),"PO Closed")</f>
        <v>PO Closed</v>
      </c>
      <c r="Q4057" s="6" t="str">
        <f>IFERROR(__xludf.DUMMYFUNCTION("""COMPUTED_VALUE"""),"GL2506049")</f>
        <v>GL2506049</v>
      </c>
      <c r="R4057" s="57">
        <f>IFERROR(__xludf.DUMMYFUNCTION("""COMPUTED_VALUE"""),45812.0)</f>
        <v>45812</v>
      </c>
      <c r="S4057" s="57">
        <f>IFERROR(__xludf.DUMMYFUNCTION("""COMPUTED_VALUE"""),45818.0)</f>
        <v>45818</v>
      </c>
      <c r="T4057" s="57">
        <f>IFERROR(__xludf.DUMMYFUNCTION("""COMPUTED_VALUE"""),45911.0)</f>
        <v>45911</v>
      </c>
    </row>
    <row r="4058">
      <c r="A4058" s="6" t="str">
        <f>IFERROR(__xludf.DUMMYFUNCTION("""COMPUTED_VALUE"""),"121702834-1")</f>
        <v>121702834-1</v>
      </c>
      <c r="B4058" s="6" t="str">
        <f>IFERROR(__xludf.DUMMYFUNCTION("""COMPUTED_VALUE"""),"121702834 - APPROVED")</f>
        <v>121702834 - APPROVED</v>
      </c>
      <c r="C4058" s="6">
        <f>IFERROR(__xludf.DUMMYFUNCTION("""COMPUTED_VALUE"""),1.0)</f>
        <v>1</v>
      </c>
      <c r="D4058" s="6" t="str">
        <f>IFERROR(__xludf.DUMMYFUNCTION("""COMPUTED_VALUE"""),"O-20500-00")</f>
        <v>O-20500-00</v>
      </c>
      <c r="E4058" s="6" t="str">
        <f>IFERROR(__xludf.DUMMYFUNCTION("""COMPUTED_VALUE"""),"General - Main Motor Caping; Bonfiglioli; BE80B4; 1 Unit")</f>
        <v>General - Main Motor Caping; Bonfiglioli; BE80B4; 1 Unit</v>
      </c>
      <c r="F4058" s="6">
        <f>IFERROR(__xludf.DUMMYFUNCTION("""COMPUTED_VALUE"""),1.0)</f>
        <v>1</v>
      </c>
      <c r="G4058" s="6" t="str">
        <f>IFERROR(__xludf.DUMMYFUNCTION("""COMPUTED_VALUE"""),"Unit")</f>
        <v>Unit</v>
      </c>
      <c r="H4058" s="6" t="str">
        <f>IFERROR(__xludf.DUMMYFUNCTION("""COMPUTED_VALUE"""),"IDR")</f>
        <v>IDR</v>
      </c>
      <c r="I4058" s="6">
        <f>IFERROR(__xludf.DUMMYFUNCTION("""COMPUTED_VALUE"""),2650000.0)</f>
        <v>2650000</v>
      </c>
      <c r="J4058" s="6">
        <f>IFERROR(__xludf.DUMMYFUNCTION("""COMPUTED_VALUE"""),2650000.0)</f>
        <v>2650000</v>
      </c>
      <c r="K4058" s="57">
        <f>IFERROR(__xludf.DUMMYFUNCTION("""COMPUTED_VALUE"""),45905.0)</f>
        <v>45905</v>
      </c>
      <c r="L4058" s="6" t="str">
        <f>IFERROR(__xludf.DUMMYFUNCTION("""COMPUTED_VALUE"""),"FIP Engineering")</f>
        <v>FIP Engineering</v>
      </c>
      <c r="M4058" s="6" t="str">
        <f>IFERROR(__xludf.DUMMYFUNCTION("""COMPUTED_VALUE"""),"Mochammad Fadhillah Hakim,")</f>
        <v>Mochammad Fadhillah Hakim,</v>
      </c>
      <c r="N4058" s="6" t="str">
        <f>IFERROR(__xludf.DUMMYFUNCTION("""COMPUTED_VALUE"""),"FIP Engineering")</f>
        <v>FIP Engineering</v>
      </c>
      <c r="O4058" s="6" t="str">
        <f>IFERROR(__xludf.DUMMYFUNCTION("""COMPUTED_VALUE"""),"FIP-DOM-000-11304-OS00001-INA-000000")</f>
        <v>FIP-DOM-000-11304-OS00001-INA-000000</v>
      </c>
      <c r="P4058" s="6" t="str">
        <f>IFERROR(__xludf.DUMMYFUNCTION("""COMPUTED_VALUE"""),"PO Closed")</f>
        <v>PO Closed</v>
      </c>
      <c r="Q4058" s="6" t="str">
        <f>IFERROR(__xludf.DUMMYFUNCTION("""COMPUTED_VALUE"""),"GL2506399")</f>
        <v>GL2506399</v>
      </c>
      <c r="R4058" s="57">
        <f>IFERROR(__xludf.DUMMYFUNCTION("""COMPUTED_VALUE"""),45812.0)</f>
        <v>45812</v>
      </c>
      <c r="S4058" s="57">
        <f>IFERROR(__xludf.DUMMYFUNCTION("""COMPUTED_VALUE"""),45826.0)</f>
        <v>45826</v>
      </c>
      <c r="T4058" s="57">
        <f>IFERROR(__xludf.DUMMYFUNCTION("""COMPUTED_VALUE"""),46027.0)</f>
        <v>46027</v>
      </c>
    </row>
    <row r="4059">
      <c r="A4059" s="6" t="str">
        <f>IFERROR(__xludf.DUMMYFUNCTION("""COMPUTED_VALUE"""),"121702834-2")</f>
        <v>121702834-2</v>
      </c>
      <c r="B4059" s="6" t="str">
        <f>IFERROR(__xludf.DUMMYFUNCTION("""COMPUTED_VALUE"""),"121702834 - APPROVED")</f>
        <v>121702834 - APPROVED</v>
      </c>
      <c r="C4059" s="6">
        <f>IFERROR(__xludf.DUMMYFUNCTION("""COMPUTED_VALUE"""),2.0)</f>
        <v>2</v>
      </c>
      <c r="D4059" s="6" t="str">
        <f>IFERROR(__xludf.DUMMYFUNCTION("""COMPUTED_VALUE"""),"O-20501-00")</f>
        <v>O-20501-00</v>
      </c>
      <c r="E4059" s="6" t="str">
        <f>IFERROR(__xludf.DUMMYFUNCTION("""COMPUTED_VALUE"""),"General - Gearbox Washing; Bonfiglioli; VF44 A 60 B5 B3; 1 Unit")</f>
        <v>General - Gearbox Washing; Bonfiglioli; VF44 A 60 B5 B3; 1 Unit</v>
      </c>
      <c r="F4059" s="6">
        <f>IFERROR(__xludf.DUMMYFUNCTION("""COMPUTED_VALUE"""),1.0)</f>
        <v>1</v>
      </c>
      <c r="G4059" s="6" t="str">
        <f>IFERROR(__xludf.DUMMYFUNCTION("""COMPUTED_VALUE"""),"Unit")</f>
        <v>Unit</v>
      </c>
      <c r="H4059" s="6" t="str">
        <f>IFERROR(__xludf.DUMMYFUNCTION("""COMPUTED_VALUE"""),"IDR")</f>
        <v>IDR</v>
      </c>
      <c r="I4059" s="6">
        <f>IFERROR(__xludf.DUMMYFUNCTION("""COMPUTED_VALUE"""),3800900.0)</f>
        <v>3800900</v>
      </c>
      <c r="J4059" s="6">
        <f>IFERROR(__xludf.DUMMYFUNCTION("""COMPUTED_VALUE"""),3800900.0)</f>
        <v>3800900</v>
      </c>
      <c r="K4059" s="57">
        <f>IFERROR(__xludf.DUMMYFUNCTION("""COMPUTED_VALUE"""),45905.0)</f>
        <v>45905</v>
      </c>
      <c r="L4059" s="6" t="str">
        <f>IFERROR(__xludf.DUMMYFUNCTION("""COMPUTED_VALUE"""),"FIP Engineering")</f>
        <v>FIP Engineering</v>
      </c>
      <c r="M4059" s="6" t="str">
        <f>IFERROR(__xludf.DUMMYFUNCTION("""COMPUTED_VALUE"""),"Mochammad Fadhillah Hakim,")</f>
        <v>Mochammad Fadhillah Hakim,</v>
      </c>
      <c r="N4059" s="6" t="str">
        <f>IFERROR(__xludf.DUMMYFUNCTION("""COMPUTED_VALUE"""),"FIP Engineering")</f>
        <v>FIP Engineering</v>
      </c>
      <c r="O4059" s="6" t="str">
        <f>IFERROR(__xludf.DUMMYFUNCTION("""COMPUTED_VALUE"""),"FIP-DOM-000-11304-OS00001-INA-000000")</f>
        <v>FIP-DOM-000-11304-OS00001-INA-000000</v>
      </c>
      <c r="P4059" s="6" t="str">
        <f>IFERROR(__xludf.DUMMYFUNCTION("""COMPUTED_VALUE"""),"PO Closed")</f>
        <v>PO Closed</v>
      </c>
      <c r="Q4059" s="6" t="str">
        <f>IFERROR(__xludf.DUMMYFUNCTION("""COMPUTED_VALUE"""),"GL2506399")</f>
        <v>GL2506399</v>
      </c>
      <c r="R4059" s="57">
        <f>IFERROR(__xludf.DUMMYFUNCTION("""COMPUTED_VALUE"""),45812.0)</f>
        <v>45812</v>
      </c>
      <c r="S4059" s="57">
        <f>IFERROR(__xludf.DUMMYFUNCTION("""COMPUTED_VALUE"""),45826.0)</f>
        <v>45826</v>
      </c>
      <c r="T4059" s="57">
        <f>IFERROR(__xludf.DUMMYFUNCTION("""COMPUTED_VALUE"""),46027.0)</f>
        <v>46027</v>
      </c>
    </row>
    <row r="4060">
      <c r="A4060" s="6" t="str">
        <f>IFERROR(__xludf.DUMMYFUNCTION("""COMPUTED_VALUE"""),"121702834-3")</f>
        <v>121702834-3</v>
      </c>
      <c r="B4060" s="6" t="str">
        <f>IFERROR(__xludf.DUMMYFUNCTION("""COMPUTED_VALUE"""),"121702834 - APPROVED")</f>
        <v>121702834 - APPROVED</v>
      </c>
      <c r="C4060" s="6">
        <f>IFERROR(__xludf.DUMMYFUNCTION("""COMPUTED_VALUE"""),3.0)</f>
        <v>3</v>
      </c>
      <c r="D4060" s="6" t="str">
        <f>IFERROR(__xludf.DUMMYFUNCTION("""COMPUTED_VALUE"""),"O-20498-00")</f>
        <v>O-20498-00</v>
      </c>
      <c r="E4060" s="6" t="str">
        <f>IFERROR(__xludf.DUMMYFUNCTION("""COMPUTED_VALUE"""),"General - Gearbox Naik Turun Turet; Bonfiglioli; VF30 P 7 B3; 1 Pc")</f>
        <v>General - Gearbox Naik Turun Turet; Bonfiglioli; VF30 P 7 B3; 1 Pc</v>
      </c>
      <c r="F4060" s="6">
        <f>IFERROR(__xludf.DUMMYFUNCTION("""COMPUTED_VALUE"""),1.0)</f>
        <v>1</v>
      </c>
      <c r="G4060" s="6" t="str">
        <f>IFERROR(__xludf.DUMMYFUNCTION("""COMPUTED_VALUE"""),"Pieces")</f>
        <v>Pieces</v>
      </c>
      <c r="H4060" s="6" t="str">
        <f>IFERROR(__xludf.DUMMYFUNCTION("""COMPUTED_VALUE"""),"IDR")</f>
        <v>IDR</v>
      </c>
      <c r="I4060" s="6">
        <f>IFERROR(__xludf.DUMMYFUNCTION("""COMPUTED_VALUE"""),5490000.0)</f>
        <v>5490000</v>
      </c>
      <c r="J4060" s="6">
        <f>IFERROR(__xludf.DUMMYFUNCTION("""COMPUTED_VALUE"""),5490000.0)</f>
        <v>5490000</v>
      </c>
      <c r="K4060" s="57">
        <f>IFERROR(__xludf.DUMMYFUNCTION("""COMPUTED_VALUE"""),45905.0)</f>
        <v>45905</v>
      </c>
      <c r="L4060" s="6" t="str">
        <f>IFERROR(__xludf.DUMMYFUNCTION("""COMPUTED_VALUE"""),"FIP Engineering")</f>
        <v>FIP Engineering</v>
      </c>
      <c r="M4060" s="6" t="str">
        <f>IFERROR(__xludf.DUMMYFUNCTION("""COMPUTED_VALUE"""),"Mochammad Fadhillah Hakim,")</f>
        <v>Mochammad Fadhillah Hakim,</v>
      </c>
      <c r="N4060" s="6" t="str">
        <f>IFERROR(__xludf.DUMMYFUNCTION("""COMPUTED_VALUE"""),"FIP Engineering")</f>
        <v>FIP Engineering</v>
      </c>
      <c r="O4060" s="6" t="str">
        <f>IFERROR(__xludf.DUMMYFUNCTION("""COMPUTED_VALUE"""),"FIP-DOM-000-11304-OS00001-INA-000000")</f>
        <v>FIP-DOM-000-11304-OS00001-INA-000000</v>
      </c>
      <c r="P4060" s="6" t="str">
        <f>IFERROR(__xludf.DUMMYFUNCTION("""COMPUTED_VALUE"""),"PO Closed")</f>
        <v>PO Closed</v>
      </c>
      <c r="Q4060" s="6" t="str">
        <f>IFERROR(__xludf.DUMMYFUNCTION("""COMPUTED_VALUE"""),"GL2506399")</f>
        <v>GL2506399</v>
      </c>
      <c r="R4060" s="57">
        <f>IFERROR(__xludf.DUMMYFUNCTION("""COMPUTED_VALUE"""),45812.0)</f>
        <v>45812</v>
      </c>
      <c r="S4060" s="57">
        <f>IFERROR(__xludf.DUMMYFUNCTION("""COMPUTED_VALUE"""),45826.0)</f>
        <v>45826</v>
      </c>
      <c r="T4060" s="57">
        <f>IFERROR(__xludf.DUMMYFUNCTION("""COMPUTED_VALUE"""),46027.0)</f>
        <v>46027</v>
      </c>
    </row>
    <row r="4061">
      <c r="A4061" s="6" t="str">
        <f>IFERROR(__xludf.DUMMYFUNCTION("""COMPUTED_VALUE"""),"121702834-4")</f>
        <v>121702834-4</v>
      </c>
      <c r="B4061" s="6" t="str">
        <f>IFERROR(__xludf.DUMMYFUNCTION("""COMPUTED_VALUE"""),"121702834 - APPROVED")</f>
        <v>121702834 - APPROVED</v>
      </c>
      <c r="C4061" s="6">
        <f>IFERROR(__xludf.DUMMYFUNCTION("""COMPUTED_VALUE"""),4.0)</f>
        <v>4</v>
      </c>
      <c r="D4061" s="6" t="str">
        <f>IFERROR(__xludf.DUMMYFUNCTION("""COMPUTED_VALUE"""),"O-20499-00")</f>
        <v>O-20499-00</v>
      </c>
      <c r="E4061" s="6" t="str">
        <f>IFERROR(__xludf.DUMMYFUNCTION("""COMPUTED_VALUE"""),"General - Gearbox Caps Chute; Bonfiglioli; VF44 P 7 B3; 1 Pc")</f>
        <v>General - Gearbox Caps Chute; Bonfiglioli; VF44 P 7 B3; 1 Pc</v>
      </c>
      <c r="F4061" s="6">
        <f>IFERROR(__xludf.DUMMYFUNCTION("""COMPUTED_VALUE"""),1.0)</f>
        <v>1</v>
      </c>
      <c r="G4061" s="6" t="str">
        <f>IFERROR(__xludf.DUMMYFUNCTION("""COMPUTED_VALUE"""),"Pieces")</f>
        <v>Pieces</v>
      </c>
      <c r="H4061" s="6" t="str">
        <f>IFERROR(__xludf.DUMMYFUNCTION("""COMPUTED_VALUE"""),"IDR")</f>
        <v>IDR</v>
      </c>
      <c r="I4061" s="6">
        <f>IFERROR(__xludf.DUMMYFUNCTION("""COMPUTED_VALUE"""),3405000.0)</f>
        <v>3405000</v>
      </c>
      <c r="J4061" s="6">
        <f>IFERROR(__xludf.DUMMYFUNCTION("""COMPUTED_VALUE"""),3405000.0)</f>
        <v>3405000</v>
      </c>
      <c r="K4061" s="57">
        <f>IFERROR(__xludf.DUMMYFUNCTION("""COMPUTED_VALUE"""),45905.0)</f>
        <v>45905</v>
      </c>
      <c r="L4061" s="6" t="str">
        <f>IFERROR(__xludf.DUMMYFUNCTION("""COMPUTED_VALUE"""),"FIP Engineering")</f>
        <v>FIP Engineering</v>
      </c>
      <c r="M4061" s="6" t="str">
        <f>IFERROR(__xludf.DUMMYFUNCTION("""COMPUTED_VALUE"""),"Mochammad Fadhillah Hakim,")</f>
        <v>Mochammad Fadhillah Hakim,</v>
      </c>
      <c r="N4061" s="6" t="str">
        <f>IFERROR(__xludf.DUMMYFUNCTION("""COMPUTED_VALUE"""),"FIP Engineering")</f>
        <v>FIP Engineering</v>
      </c>
      <c r="O4061" s="6" t="str">
        <f>IFERROR(__xludf.DUMMYFUNCTION("""COMPUTED_VALUE"""),"FIP-DOM-000-11304-OS00001-INA-000000")</f>
        <v>FIP-DOM-000-11304-OS00001-INA-000000</v>
      </c>
      <c r="P4061" s="6" t="str">
        <f>IFERROR(__xludf.DUMMYFUNCTION("""COMPUTED_VALUE"""),"PO Closed")</f>
        <v>PO Closed</v>
      </c>
      <c r="Q4061" s="6" t="str">
        <f>IFERROR(__xludf.DUMMYFUNCTION("""COMPUTED_VALUE"""),"GL2506399")</f>
        <v>GL2506399</v>
      </c>
      <c r="R4061" s="57">
        <f>IFERROR(__xludf.DUMMYFUNCTION("""COMPUTED_VALUE"""),45812.0)</f>
        <v>45812</v>
      </c>
      <c r="S4061" s="57">
        <f>IFERROR(__xludf.DUMMYFUNCTION("""COMPUTED_VALUE"""),45826.0)</f>
        <v>45826</v>
      </c>
      <c r="T4061" s="57">
        <f>IFERROR(__xludf.DUMMYFUNCTION("""COMPUTED_VALUE"""),46027.0)</f>
        <v>46027</v>
      </c>
    </row>
    <row r="4062">
      <c r="A4062" s="6" t="str">
        <f>IFERROR(__xludf.DUMMYFUNCTION("""COMPUTED_VALUE"""),"121702834-5")</f>
        <v>121702834-5</v>
      </c>
      <c r="B4062" s="6" t="str">
        <f>IFERROR(__xludf.DUMMYFUNCTION("""COMPUTED_VALUE"""),"121702834 - APPROVED")</f>
        <v>121702834 - APPROVED</v>
      </c>
      <c r="C4062" s="6">
        <f>IFERROR(__xludf.DUMMYFUNCTION("""COMPUTED_VALUE"""),5.0)</f>
        <v>5</v>
      </c>
      <c r="D4062" s="6" t="str">
        <f>IFERROR(__xludf.DUMMYFUNCTION("""COMPUTED_VALUE"""),"O-20502-00")</f>
        <v>O-20502-00</v>
      </c>
      <c r="E4062" s="6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F4062" s="6">
        <f>IFERROR(__xludf.DUMMYFUNCTION("""COMPUTED_VALUE"""),1.0)</f>
        <v>1</v>
      </c>
      <c r="G4062" s="6" t="str">
        <f>IFERROR(__xludf.DUMMYFUNCTION("""COMPUTED_VALUE"""),"Unit")</f>
        <v>Unit</v>
      </c>
      <c r="H4062" s="6" t="str">
        <f>IFERROR(__xludf.DUMMYFUNCTION("""COMPUTED_VALUE"""),"IDR")</f>
        <v>IDR</v>
      </c>
      <c r="I4062" s="6">
        <f>IFERROR(__xludf.DUMMYFUNCTION("""COMPUTED_VALUE"""),5325000.0)</f>
        <v>5325000</v>
      </c>
      <c r="J4062" s="6">
        <f>IFERROR(__xludf.DUMMYFUNCTION("""COMPUTED_VALUE"""),5325000.0)</f>
        <v>5325000</v>
      </c>
      <c r="K4062" s="57">
        <f>IFERROR(__xludf.DUMMYFUNCTION("""COMPUTED_VALUE"""),45905.0)</f>
        <v>45905</v>
      </c>
      <c r="L4062" s="6" t="str">
        <f>IFERROR(__xludf.DUMMYFUNCTION("""COMPUTED_VALUE"""),"FIP Engineering")</f>
        <v>FIP Engineering</v>
      </c>
      <c r="M4062" s="6" t="str">
        <f>IFERROR(__xludf.DUMMYFUNCTION("""COMPUTED_VALUE"""),"Mochammad Fadhillah Hakim,")</f>
        <v>Mochammad Fadhillah Hakim,</v>
      </c>
      <c r="N4062" s="6" t="str">
        <f>IFERROR(__xludf.DUMMYFUNCTION("""COMPUTED_VALUE"""),"FIP Engineering")</f>
        <v>FIP Engineering</v>
      </c>
      <c r="O4062" s="6" t="str">
        <f>IFERROR(__xludf.DUMMYFUNCTION("""COMPUTED_VALUE"""),"FIP-DOM-000-11304-OS00001-INA-000000")</f>
        <v>FIP-DOM-000-11304-OS00001-INA-000000</v>
      </c>
      <c r="P4062" s="6" t="str">
        <f>IFERROR(__xludf.DUMMYFUNCTION("""COMPUTED_VALUE"""),"PO Closed")</f>
        <v>PO Closed</v>
      </c>
      <c r="Q4062" s="6" t="str">
        <f>IFERROR(__xludf.DUMMYFUNCTION("""COMPUTED_VALUE"""),"GL2506399")</f>
        <v>GL2506399</v>
      </c>
      <c r="R4062" s="57">
        <f>IFERROR(__xludf.DUMMYFUNCTION("""COMPUTED_VALUE"""),45812.0)</f>
        <v>45812</v>
      </c>
      <c r="S4062" s="57">
        <f>IFERROR(__xludf.DUMMYFUNCTION("""COMPUTED_VALUE"""),45826.0)</f>
        <v>45826</v>
      </c>
      <c r="T4062" s="57">
        <f>IFERROR(__xludf.DUMMYFUNCTION("""COMPUTED_VALUE"""),46027.0)</f>
        <v>46027</v>
      </c>
    </row>
    <row r="4063">
      <c r="A4063" s="6" t="str">
        <f>IFERROR(__xludf.DUMMYFUNCTION("""COMPUTED_VALUE"""),"121702834-6")</f>
        <v>121702834-6</v>
      </c>
      <c r="B4063" s="6" t="str">
        <f>IFERROR(__xludf.DUMMYFUNCTION("""COMPUTED_VALUE"""),"121702834 - APPROVED")</f>
        <v>121702834 - APPROVED</v>
      </c>
      <c r="C4063" s="6">
        <f>IFERROR(__xludf.DUMMYFUNCTION("""COMPUTED_VALUE"""),6.0)</f>
        <v>6</v>
      </c>
      <c r="D4063" s="6" t="str">
        <f>IFERROR(__xludf.DUMMYFUNCTION("""COMPUTED_VALUE"""),"O-20503-00")</f>
        <v>O-20503-00</v>
      </c>
      <c r="E4063" s="6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F4063" s="6">
        <f>IFERROR(__xludf.DUMMYFUNCTION("""COMPUTED_VALUE"""),1.0)</f>
        <v>1</v>
      </c>
      <c r="G4063" s="6" t="str">
        <f>IFERROR(__xludf.DUMMYFUNCTION("""COMPUTED_VALUE"""),"Unit")</f>
        <v>Unit</v>
      </c>
      <c r="H4063" s="6" t="str">
        <f>IFERROR(__xludf.DUMMYFUNCTION("""COMPUTED_VALUE"""),"IDR")</f>
        <v>IDR</v>
      </c>
      <c r="I4063" s="6">
        <f>IFERROR(__xludf.DUMMYFUNCTION("""COMPUTED_VALUE"""),6825000.0)</f>
        <v>6825000</v>
      </c>
      <c r="J4063" s="6">
        <f>IFERROR(__xludf.DUMMYFUNCTION("""COMPUTED_VALUE"""),6825000.0)</f>
        <v>6825000</v>
      </c>
      <c r="K4063" s="57">
        <f>IFERROR(__xludf.DUMMYFUNCTION("""COMPUTED_VALUE"""),45905.0)</f>
        <v>45905</v>
      </c>
      <c r="L4063" s="6" t="str">
        <f>IFERROR(__xludf.DUMMYFUNCTION("""COMPUTED_VALUE"""),"FIP Engineering")</f>
        <v>FIP Engineering</v>
      </c>
      <c r="M4063" s="6" t="str">
        <f>IFERROR(__xludf.DUMMYFUNCTION("""COMPUTED_VALUE"""),"Mochammad Fadhillah Hakim,")</f>
        <v>Mochammad Fadhillah Hakim,</v>
      </c>
      <c r="N4063" s="6" t="str">
        <f>IFERROR(__xludf.DUMMYFUNCTION("""COMPUTED_VALUE"""),"FIP Engineering")</f>
        <v>FIP Engineering</v>
      </c>
      <c r="O4063" s="6" t="str">
        <f>IFERROR(__xludf.DUMMYFUNCTION("""COMPUTED_VALUE"""),"FIP-DOM-000-11304-OS00001-INA-000000")</f>
        <v>FIP-DOM-000-11304-OS00001-INA-000000</v>
      </c>
      <c r="P4063" s="6" t="str">
        <f>IFERROR(__xludf.DUMMYFUNCTION("""COMPUTED_VALUE"""),"PO Closed")</f>
        <v>PO Closed</v>
      </c>
      <c r="Q4063" s="6" t="str">
        <f>IFERROR(__xludf.DUMMYFUNCTION("""COMPUTED_VALUE"""),"GL2506399")</f>
        <v>GL2506399</v>
      </c>
      <c r="R4063" s="57">
        <f>IFERROR(__xludf.DUMMYFUNCTION("""COMPUTED_VALUE"""),45812.0)</f>
        <v>45812</v>
      </c>
      <c r="S4063" s="57">
        <f>IFERROR(__xludf.DUMMYFUNCTION("""COMPUTED_VALUE"""),45826.0)</f>
        <v>45826</v>
      </c>
      <c r="T4063" s="57">
        <f>IFERROR(__xludf.DUMMYFUNCTION("""COMPUTED_VALUE"""),46027.0)</f>
        <v>46027</v>
      </c>
    </row>
    <row r="4064">
      <c r="A4064" s="6" t="str">
        <f>IFERROR(__xludf.DUMMYFUNCTION("""COMPUTED_VALUE"""),"121702835-1")</f>
        <v>121702835-1</v>
      </c>
      <c r="B4064" s="6" t="str">
        <f>IFERROR(__xludf.DUMMYFUNCTION("""COMPUTED_VALUE"""),"121702835 - APPROVED")</f>
        <v>121702835 - APPROVED</v>
      </c>
      <c r="C4064" s="6">
        <f>IFERROR(__xludf.DUMMYFUNCTION("""COMPUTED_VALUE"""),1.0)</f>
        <v>1</v>
      </c>
      <c r="D4064" s="6" t="str">
        <f>IFERROR(__xludf.DUMMYFUNCTION("""COMPUTED_VALUE"""),"S-60050-00")</f>
        <v>S-60050-00</v>
      </c>
      <c r="E4064" s="6" t="str">
        <f>IFERROR(__xludf.DUMMYFUNCTION("""COMPUTED_VALUE"""),"Jasa Perbaikan dan Pemeliharaan Mesin Produksi; ; ; - tambah 1 modifikasi meja inspeksi")</f>
        <v>Jasa Perbaikan dan Pemeliharaan Mesin Produksi; ; ; - tambah 1 modifikasi meja inspeksi</v>
      </c>
      <c r="F4064" s="6">
        <f>IFERROR(__xludf.DUMMYFUNCTION("""COMPUTED_VALUE"""),1.0)</f>
        <v>1</v>
      </c>
      <c r="G4064" s="6" t="str">
        <f>IFERROR(__xludf.DUMMYFUNCTION("""COMPUTED_VALUE"""),"Pieces")</f>
        <v>Pieces</v>
      </c>
      <c r="H4064" s="6" t="str">
        <f>IFERROR(__xludf.DUMMYFUNCTION("""COMPUTED_VALUE"""),"IDR")</f>
        <v>IDR</v>
      </c>
      <c r="I4064" s="6">
        <f>IFERROR(__xludf.DUMMYFUNCTION("""COMPUTED_VALUE"""),4850000.0)</f>
        <v>4850000</v>
      </c>
      <c r="J4064" s="6">
        <f>IFERROR(__xludf.DUMMYFUNCTION("""COMPUTED_VALUE"""),4850000.0)</f>
        <v>4850000</v>
      </c>
      <c r="K4064" s="57">
        <f>IFERROR(__xludf.DUMMYFUNCTION("""COMPUTED_VALUE"""),45814.0)</f>
        <v>45814</v>
      </c>
      <c r="L4064" s="6" t="str">
        <f>IFERROR(__xludf.DUMMYFUNCTION("""COMPUTED_VALUE"""),"FIP General")</f>
        <v>FIP General</v>
      </c>
      <c r="M4064" s="6" t="str">
        <f>IFERROR(__xludf.DUMMYFUNCTION("""COMPUTED_VALUE"""),"Mochammad Fadhillah Hakim,")</f>
        <v>Mochammad Fadhillah Hakim,</v>
      </c>
      <c r="N4064" s="6" t="str">
        <f>IFERROR(__xludf.DUMMYFUNCTION("""COMPUTED_VALUE"""),"FIP Engineering")</f>
        <v>FIP Engineering</v>
      </c>
      <c r="O4064" s="6" t="str">
        <f>IFERROR(__xludf.DUMMYFUNCTION("""COMPUTED_VALUE"""),"FIP-DOM-ENG-51504-0000000-INA-000000")</f>
        <v>FIP-DOM-ENG-51504-0000000-INA-000000</v>
      </c>
      <c r="P4064" s="6" t="str">
        <f>IFERROR(__xludf.DUMMYFUNCTION("""COMPUTED_VALUE"""),"PO Closed")</f>
        <v>PO Closed</v>
      </c>
      <c r="Q4064" s="6" t="str">
        <f>IFERROR(__xludf.DUMMYFUNCTION("""COMPUTED_VALUE"""),"GL2506035")</f>
        <v>GL2506035</v>
      </c>
      <c r="R4064" s="57">
        <f>IFERROR(__xludf.DUMMYFUNCTION("""COMPUTED_VALUE"""),45812.0)</f>
        <v>45812</v>
      </c>
      <c r="S4064" s="57">
        <f>IFERROR(__xludf.DUMMYFUNCTION("""COMPUTED_VALUE"""),45818.0)</f>
        <v>45818</v>
      </c>
      <c r="T4064" s="57">
        <f>IFERROR(__xludf.DUMMYFUNCTION("""COMPUTED_VALUE"""),45899.0)</f>
        <v>45899</v>
      </c>
    </row>
    <row r="4065">
      <c r="A4065" s="6" t="str">
        <f>IFERROR(__xludf.DUMMYFUNCTION("""COMPUTED_VALUE"""),"121702838-1")</f>
        <v>121702838-1</v>
      </c>
      <c r="B4065" s="6" t="str">
        <f>IFERROR(__xludf.DUMMYFUNCTION("""COMPUTED_VALUE"""),"121702838 - APPROVED")</f>
        <v>121702838 - APPROVED</v>
      </c>
      <c r="C4065" s="6">
        <f>IFERROR(__xludf.DUMMYFUNCTION("""COMPUTED_VALUE"""),1.0)</f>
        <v>1</v>
      </c>
      <c r="D4065" s="6" t="str">
        <f>IFERROR(__xludf.DUMMYFUNCTION("""COMPUTED_VALUE"""),"P-18834-00")</f>
        <v>P-18834-00</v>
      </c>
      <c r="E4065" s="6" t="str">
        <f>IFERROR(__xludf.DUMMYFUNCTION("""COMPUTED_VALUE"""),"Gland Packing Teflon PTFE 6x6; ; ;")</f>
        <v>Gland Packing Teflon PTFE 6x6; ; ;</v>
      </c>
      <c r="F4065" s="6">
        <f>IFERROR(__xludf.DUMMYFUNCTION("""COMPUTED_VALUE"""),5.0)</f>
        <v>5</v>
      </c>
      <c r="G4065" s="6" t="str">
        <f>IFERROR(__xludf.DUMMYFUNCTION("""COMPUTED_VALUE"""),"Meter")</f>
        <v>Meter</v>
      </c>
      <c r="H4065" s="6" t="str">
        <f>IFERROR(__xludf.DUMMYFUNCTION("""COMPUTED_VALUE"""),"IDR")</f>
        <v>IDR</v>
      </c>
      <c r="I4065" s="6">
        <f>IFERROR(__xludf.DUMMYFUNCTION("""COMPUTED_VALUE"""),75000.0)</f>
        <v>75000</v>
      </c>
      <c r="J4065" s="6">
        <f>IFERROR(__xludf.DUMMYFUNCTION("""COMPUTED_VALUE"""),375000.0)</f>
        <v>375000</v>
      </c>
      <c r="K4065" s="57">
        <f>IFERROR(__xludf.DUMMYFUNCTION("""COMPUTED_VALUE"""),45849.0)</f>
        <v>45849</v>
      </c>
      <c r="L4065" s="6" t="str">
        <f>IFERROR(__xludf.DUMMYFUNCTION("""COMPUTED_VALUE"""),"FIP Engineering")</f>
        <v>FIP Engineering</v>
      </c>
      <c r="M4065" s="6" t="str">
        <f>IFERROR(__xludf.DUMMYFUNCTION("""COMPUTED_VALUE"""),"Mochammad Fadhillah Hakim,")</f>
        <v>Mochammad Fadhillah Hakim,</v>
      </c>
      <c r="N4065" s="6" t="str">
        <f>IFERROR(__xludf.DUMMYFUNCTION("""COMPUTED_VALUE"""),"FIP Engineering")</f>
        <v>FIP Engineering</v>
      </c>
      <c r="O4065" s="6" t="str">
        <f>IFERROR(__xludf.DUMMYFUNCTION("""COMPUTED_VALUE"""),"FIP-DOM-000-11304-OS00001-INA-000000")</f>
        <v>FIP-DOM-000-11304-OS00001-INA-000000</v>
      </c>
      <c r="P4065" s="6" t="str">
        <f>IFERROR(__xludf.DUMMYFUNCTION("""COMPUTED_VALUE"""),"PO Closed")</f>
        <v>PO Closed</v>
      </c>
      <c r="Q4065" s="6" t="str">
        <f>IFERROR(__xludf.DUMMYFUNCTION("""COMPUTED_VALUE"""),"GL2507409")</f>
        <v>GL2507409</v>
      </c>
      <c r="R4065" s="57">
        <f>IFERROR(__xludf.DUMMYFUNCTION("""COMPUTED_VALUE"""),45813.0)</f>
        <v>45813</v>
      </c>
      <c r="S4065" s="57">
        <f>IFERROR(__xludf.DUMMYFUNCTION("""COMPUTED_VALUE"""),45828.0)</f>
        <v>45828</v>
      </c>
      <c r="T4065" s="57">
        <f>IFERROR(__xludf.DUMMYFUNCTION("""COMPUTED_VALUE"""),45868.0)</f>
        <v>45868</v>
      </c>
    </row>
    <row r="4066">
      <c r="A4066" s="6" t="str">
        <f>IFERROR(__xludf.DUMMYFUNCTION("""COMPUTED_VALUE"""),"121702839-1")</f>
        <v>121702839-1</v>
      </c>
      <c r="B4066" s="6" t="str">
        <f>IFERROR(__xludf.DUMMYFUNCTION("""COMPUTED_VALUE"""),"121702839 - APPROVED")</f>
        <v>121702839 - APPROVED</v>
      </c>
      <c r="C4066" s="6">
        <f>IFERROR(__xludf.DUMMYFUNCTION("""COMPUTED_VALUE"""),1.0)</f>
        <v>1</v>
      </c>
      <c r="D4066" s="6" t="str">
        <f>IFERROR(__xludf.DUMMYFUNCTION("""COMPUTED_VALUE"""),"T-20320-00")</f>
        <v>T-20320-00</v>
      </c>
      <c r="E4066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F4066" s="6">
        <f>IFERROR(__xludf.DUMMYFUNCTION("""COMPUTED_VALUE"""),2.0)</f>
        <v>2</v>
      </c>
      <c r="G4066" s="6" t="str">
        <f>IFERROR(__xludf.DUMMYFUNCTION("""COMPUTED_VALUE"""),"Pieces")</f>
        <v>Pieces</v>
      </c>
      <c r="H4066" s="6" t="str">
        <f>IFERROR(__xludf.DUMMYFUNCTION("""COMPUTED_VALUE"""),"IDR")</f>
        <v>IDR</v>
      </c>
      <c r="I4066" s="6">
        <f>IFERROR(__xludf.DUMMYFUNCTION("""COMPUTED_VALUE"""),825120.0)</f>
        <v>825120</v>
      </c>
      <c r="J4066" s="6">
        <f>IFERROR(__xludf.DUMMYFUNCTION("""COMPUTED_VALUE"""),1650240.0)</f>
        <v>1650240</v>
      </c>
      <c r="K4066" s="57">
        <f>IFERROR(__xludf.DUMMYFUNCTION("""COMPUTED_VALUE"""),45877.0)</f>
        <v>45877</v>
      </c>
      <c r="L4066" s="6" t="str">
        <f>IFERROR(__xludf.DUMMYFUNCTION("""COMPUTED_VALUE"""),"FIP General")</f>
        <v>FIP General</v>
      </c>
      <c r="M4066" s="6" t="str">
        <f>IFERROR(__xludf.DUMMYFUNCTION("""COMPUTED_VALUE"""),"Mochammad Fadhillah Hakim,")</f>
        <v>Mochammad Fadhillah Hakim,</v>
      </c>
      <c r="N4066" s="6" t="str">
        <f>IFERROR(__xludf.DUMMYFUNCTION("""COMPUTED_VALUE"""),"FIP Engineering")</f>
        <v>FIP Engineering</v>
      </c>
      <c r="O4066" s="6" t="str">
        <f>IFERROR(__xludf.DUMMYFUNCTION("""COMPUTED_VALUE"""),"FIP-DOM-ENG-51505-0000000-INA-000000")</f>
        <v>FIP-DOM-ENG-51505-0000000-INA-000000</v>
      </c>
      <c r="P4066" s="6" t="str">
        <f>IFERROR(__xludf.DUMMYFUNCTION("""COMPUTED_VALUE"""),"PO Closed")</f>
        <v>PO Closed</v>
      </c>
      <c r="Q4066" s="6" t="str">
        <f>IFERROR(__xludf.DUMMYFUNCTION("""COMPUTED_VALUE"""),"GL2506391")</f>
        <v>GL2506391</v>
      </c>
      <c r="R4066" s="57">
        <f>IFERROR(__xludf.DUMMYFUNCTION("""COMPUTED_VALUE"""),45813.0)</f>
        <v>45813</v>
      </c>
      <c r="S4066" s="57">
        <f>IFERROR(__xludf.DUMMYFUNCTION("""COMPUTED_VALUE"""),45828.0)</f>
        <v>45828</v>
      </c>
      <c r="T4066" s="57">
        <f>IFERROR(__xludf.DUMMYFUNCTION("""COMPUTED_VALUE"""),45877.0)</f>
        <v>45877</v>
      </c>
    </row>
    <row r="4067">
      <c r="A4067" s="6" t="str">
        <f>IFERROR(__xludf.DUMMYFUNCTION("""COMPUTED_VALUE"""),"121702839-2")</f>
        <v>121702839-2</v>
      </c>
      <c r="B4067" s="6" t="str">
        <f>IFERROR(__xludf.DUMMYFUNCTION("""COMPUTED_VALUE"""),"121702839 - APPROVED")</f>
        <v>121702839 - APPROVED</v>
      </c>
      <c r="C4067" s="6">
        <f>IFERROR(__xludf.DUMMYFUNCTION("""COMPUTED_VALUE"""),2.0)</f>
        <v>2</v>
      </c>
      <c r="D4067" s="6" t="str">
        <f>IFERROR(__xludf.DUMMYFUNCTION("""COMPUTED_VALUE"""),"T-20287-00")</f>
        <v>T-20287-00</v>
      </c>
      <c r="E4067" s="6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F4067" s="6">
        <f>IFERROR(__xludf.DUMMYFUNCTION("""COMPUTED_VALUE"""),1.0)</f>
        <v>1</v>
      </c>
      <c r="G4067" s="6" t="str">
        <f>IFERROR(__xludf.DUMMYFUNCTION("""COMPUTED_VALUE"""),"Pack")</f>
        <v>Pack</v>
      </c>
      <c r="H4067" s="6" t="str">
        <f>IFERROR(__xludf.DUMMYFUNCTION("""COMPUTED_VALUE"""),"IDR")</f>
        <v>IDR</v>
      </c>
      <c r="I4067" s="6">
        <f>IFERROR(__xludf.DUMMYFUNCTION("""COMPUTED_VALUE"""),1202582.0)</f>
        <v>1202582</v>
      </c>
      <c r="J4067" s="6">
        <f>IFERROR(__xludf.DUMMYFUNCTION("""COMPUTED_VALUE"""),1202582.0)</f>
        <v>1202582</v>
      </c>
      <c r="K4067" s="57">
        <f>IFERROR(__xludf.DUMMYFUNCTION("""COMPUTED_VALUE"""),45877.0)</f>
        <v>45877</v>
      </c>
      <c r="L4067" s="6" t="str">
        <f>IFERROR(__xludf.DUMMYFUNCTION("""COMPUTED_VALUE"""),"FIP General")</f>
        <v>FIP General</v>
      </c>
      <c r="M4067" s="6" t="str">
        <f>IFERROR(__xludf.DUMMYFUNCTION("""COMPUTED_VALUE"""),"Mochammad Fadhillah Hakim,")</f>
        <v>Mochammad Fadhillah Hakim,</v>
      </c>
      <c r="N4067" s="6" t="str">
        <f>IFERROR(__xludf.DUMMYFUNCTION("""COMPUTED_VALUE"""),"FIP Engineering")</f>
        <v>FIP Engineering</v>
      </c>
      <c r="O4067" s="6" t="str">
        <f>IFERROR(__xludf.DUMMYFUNCTION("""COMPUTED_VALUE"""),"FIP-DOM-ENG-51404-0000000-INA-000000")</f>
        <v>FIP-DOM-ENG-51404-0000000-INA-000000</v>
      </c>
      <c r="P4067" s="6" t="str">
        <f>IFERROR(__xludf.DUMMYFUNCTION("""COMPUTED_VALUE"""),"PO Closed")</f>
        <v>PO Closed</v>
      </c>
      <c r="Q4067" s="6" t="str">
        <f>IFERROR(__xludf.DUMMYFUNCTION("""COMPUTED_VALUE"""),"GL2506391")</f>
        <v>GL2506391</v>
      </c>
      <c r="R4067" s="57">
        <f>IFERROR(__xludf.DUMMYFUNCTION("""COMPUTED_VALUE"""),45813.0)</f>
        <v>45813</v>
      </c>
      <c r="S4067" s="57">
        <f>IFERROR(__xludf.DUMMYFUNCTION("""COMPUTED_VALUE"""),45828.0)</f>
        <v>45828</v>
      </c>
      <c r="T4067" s="57">
        <f>IFERROR(__xludf.DUMMYFUNCTION("""COMPUTED_VALUE"""),45877.0)</f>
        <v>45877</v>
      </c>
    </row>
    <row r="4068">
      <c r="A4068" s="6" t="str">
        <f>IFERROR(__xludf.DUMMYFUNCTION("""COMPUTED_VALUE"""),"121702840-1")</f>
        <v>121702840-1</v>
      </c>
      <c r="B4068" s="6" t="str">
        <f>IFERROR(__xludf.DUMMYFUNCTION("""COMPUTED_VALUE"""),"121702840 - APPROVED")</f>
        <v>121702840 - APPROVED</v>
      </c>
      <c r="C4068" s="6">
        <f>IFERROR(__xludf.DUMMYFUNCTION("""COMPUTED_VALUE"""),1.0)</f>
        <v>1</v>
      </c>
      <c r="D4068" s="6" t="str">
        <f>IFERROR(__xludf.DUMMYFUNCTION("""COMPUTED_VALUE"""),"O-16752-00")</f>
        <v>O-16752-00</v>
      </c>
      <c r="E4068" s="6" t="str">
        <f>IFERROR(__xludf.DUMMYFUNCTION("""COMPUTED_VALUE"""),"Marchesini FB220-PN. 7301604 MODULE,E.DOT+, 0,35MM NOZZLE  Nordson; Nordson; ;")</f>
        <v>Marchesini FB220-PN. 7301604 MODULE,E.DOT+, 0,35MM NOZZLE  Nordson; Nordson; ;</v>
      </c>
      <c r="F4068" s="6">
        <f>IFERROR(__xludf.DUMMYFUNCTION("""COMPUTED_VALUE"""),1.0)</f>
        <v>1</v>
      </c>
      <c r="G4068" s="6" t="str">
        <f>IFERROR(__xludf.DUMMYFUNCTION("""COMPUTED_VALUE"""),"Pieces")</f>
        <v>Pieces</v>
      </c>
      <c r="H4068" s="6" t="str">
        <f>IFERROR(__xludf.DUMMYFUNCTION("""COMPUTED_VALUE"""),"IDR")</f>
        <v>IDR</v>
      </c>
      <c r="I4068" s="6">
        <f>IFERROR(__xludf.DUMMYFUNCTION("""COMPUTED_VALUE"""),3.72613E7)</f>
        <v>37261300</v>
      </c>
      <c r="J4068" s="6">
        <f>IFERROR(__xludf.DUMMYFUNCTION("""COMPUTED_VALUE"""),3.72613E7)</f>
        <v>37261300</v>
      </c>
      <c r="K4068" s="57">
        <f>IFERROR(__xludf.DUMMYFUNCTION("""COMPUTED_VALUE"""),45819.0)</f>
        <v>45819</v>
      </c>
      <c r="L4068" s="6" t="str">
        <f>IFERROR(__xludf.DUMMYFUNCTION("""COMPUTED_VALUE"""),"FIP Engineering")</f>
        <v>FIP Engineering</v>
      </c>
      <c r="M4068" s="6" t="str">
        <f>IFERROR(__xludf.DUMMYFUNCTION("""COMPUTED_VALUE"""),"Mochammad Fadhillah Hakim,")</f>
        <v>Mochammad Fadhillah Hakim,</v>
      </c>
      <c r="N4068" s="6" t="str">
        <f>IFERROR(__xludf.DUMMYFUNCTION("""COMPUTED_VALUE"""),"FIP Engineering")</f>
        <v>FIP Engineering</v>
      </c>
      <c r="O4068" s="6" t="str">
        <f>IFERROR(__xludf.DUMMYFUNCTION("""COMPUTED_VALUE"""),"FIP-DOM-000-11304-OS00001-INA-000000")</f>
        <v>FIP-DOM-000-11304-OS00001-INA-000000</v>
      </c>
      <c r="P4068" s="6" t="str">
        <f>IFERROR(__xludf.DUMMYFUNCTION("""COMPUTED_VALUE"""),"PO Closed")</f>
        <v>PO Closed</v>
      </c>
      <c r="Q4068" s="6" t="str">
        <f>IFERROR(__xludf.DUMMYFUNCTION("""COMPUTED_VALUE"""),"GL2506017")</f>
        <v>GL2506017</v>
      </c>
      <c r="R4068" s="57">
        <f>IFERROR(__xludf.DUMMYFUNCTION("""COMPUTED_VALUE"""),45817.0)</f>
        <v>45817</v>
      </c>
      <c r="S4068" s="57">
        <f>IFERROR(__xludf.DUMMYFUNCTION("""COMPUTED_VALUE"""),45817.0)</f>
        <v>45817</v>
      </c>
      <c r="T4068" s="57">
        <f>IFERROR(__xludf.DUMMYFUNCTION("""COMPUTED_VALUE"""),45838.0)</f>
        <v>45838</v>
      </c>
    </row>
    <row r="4069">
      <c r="A4069" s="6" t="str">
        <f>IFERROR(__xludf.DUMMYFUNCTION("""COMPUTED_VALUE"""),"121702847-1")</f>
        <v>121702847-1</v>
      </c>
      <c r="B4069" s="6" t="str">
        <f>IFERROR(__xludf.DUMMYFUNCTION("""COMPUTED_VALUE"""),"121702847 - APPROVED")</f>
        <v>121702847 - APPROVED</v>
      </c>
      <c r="C4069" s="6">
        <f>IFERROR(__xludf.DUMMYFUNCTION("""COMPUTED_VALUE"""),1.0)</f>
        <v>1</v>
      </c>
      <c r="D4069" s="6" t="str">
        <f>IFERROR(__xludf.DUMMYFUNCTION("""COMPUTED_VALUE"""),"O-54119-00")</f>
        <v>O-54119-00</v>
      </c>
      <c r="E4069" s="6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F4069" s="6">
        <f>IFERROR(__xludf.DUMMYFUNCTION("""COMPUTED_VALUE"""),1.0)</f>
        <v>1</v>
      </c>
      <c r="G4069" s="6" t="str">
        <f>IFERROR(__xludf.DUMMYFUNCTION("""COMPUTED_VALUE"""),"Unit")</f>
        <v>Unit</v>
      </c>
      <c r="H4069" s="6" t="str">
        <f>IFERROR(__xludf.DUMMYFUNCTION("""COMPUTED_VALUE"""),"USD")</f>
        <v>USD</v>
      </c>
      <c r="I4069" s="6">
        <f>IFERROR(__xludf.DUMMYFUNCTION("""COMPUTED_VALUE"""),4.55112E7)</f>
        <v>45511200</v>
      </c>
      <c r="J4069" s="6">
        <f>IFERROR(__xludf.DUMMYFUNCTION("""COMPUTED_VALUE"""),4.55112E7)</f>
        <v>45511200</v>
      </c>
      <c r="K4069" s="57">
        <f>IFERROR(__xludf.DUMMYFUNCTION("""COMPUTED_VALUE"""),45884.0)</f>
        <v>45884</v>
      </c>
      <c r="L4069" s="6" t="str">
        <f>IFERROR(__xludf.DUMMYFUNCTION("""COMPUTED_VALUE"""),"FIP Engineering")</f>
        <v>FIP Engineering</v>
      </c>
      <c r="M4069" s="6" t="str">
        <f>IFERROR(__xludf.DUMMYFUNCTION("""COMPUTED_VALUE"""),"Mochammad Fadhillah Hakim,")</f>
        <v>Mochammad Fadhillah Hakim,</v>
      </c>
      <c r="N4069" s="6" t="str">
        <f>IFERROR(__xludf.DUMMYFUNCTION("""COMPUTED_VALUE"""),"FIP Engineering")</f>
        <v>FIP Engineering</v>
      </c>
      <c r="O4069" s="6" t="str">
        <f>IFERROR(__xludf.DUMMYFUNCTION("""COMPUTED_VALUE"""),"FIP-DOM-000-11304-OS00001-INA-000000")</f>
        <v>FIP-DOM-000-11304-OS00001-INA-000000</v>
      </c>
      <c r="P4069" s="6" t="str">
        <f>IFERROR(__xludf.DUMMYFUNCTION("""COMPUTED_VALUE"""),"PO Closed")</f>
        <v>PO Closed</v>
      </c>
      <c r="Q4069" s="6" t="str">
        <f>IFERROR(__xludf.DUMMYFUNCTION("""COMPUTED_VALUE"""),"GL2506044")</f>
        <v>GL2506044</v>
      </c>
      <c r="R4069" s="57">
        <f>IFERROR(__xludf.DUMMYFUNCTION("""COMPUTED_VALUE"""),45818.0)</f>
        <v>45818</v>
      </c>
      <c r="S4069" s="57">
        <f>IFERROR(__xludf.DUMMYFUNCTION("""COMPUTED_VALUE"""),45818.0)</f>
        <v>45818</v>
      </c>
      <c r="T4069" s="57">
        <f>IFERROR(__xludf.DUMMYFUNCTION("""COMPUTED_VALUE"""),45900.0)</f>
        <v>45900</v>
      </c>
    </row>
    <row r="4070">
      <c r="A4070" s="6" t="str">
        <f>IFERROR(__xludf.DUMMYFUNCTION("""COMPUTED_VALUE"""),"121702848-1")</f>
        <v>121702848-1</v>
      </c>
      <c r="B4070" s="6" t="str">
        <f>IFERROR(__xludf.DUMMYFUNCTION("""COMPUTED_VALUE"""),"121702848 - APPROVED")</f>
        <v>121702848 - APPROVED</v>
      </c>
      <c r="C4070" s="6">
        <f>IFERROR(__xludf.DUMMYFUNCTION("""COMPUTED_VALUE"""),1.0)</f>
        <v>1</v>
      </c>
      <c r="D4070" s="6" t="str">
        <f>IFERROR(__xludf.DUMMYFUNCTION("""COMPUTED_VALUE"""),"R-21013-00")</f>
        <v>R-21013-00</v>
      </c>
      <c r="E4070" s="6" t="str">
        <f>IFERROR(__xludf.DUMMYFUNCTION("""COMPUTED_VALUE"""),"Utility Equipment; ; ; - Valve P600M 04-02 U5 41 5317 1240000Z01AZ0300N1N1075 - Valve P600M 04-02 U5 41 5317 1240000Z01AZ0300N1N1075")</f>
        <v>Utility Equipment; ; ; - Valve P600M 04-02 U5 41 5317 1240000Z01AZ0300N1N1075 - Valve P600M 04-02 U5 41 5317 1240000Z01AZ0300N1N1075</v>
      </c>
      <c r="F4070" s="6">
        <f>IFERROR(__xludf.DUMMYFUNCTION("""COMPUTED_VALUE"""),2.0)</f>
        <v>2</v>
      </c>
      <c r="G4070" s="6" t="str">
        <f>IFERROR(__xludf.DUMMYFUNCTION("""COMPUTED_VALUE"""),"Unit")</f>
        <v>Unit</v>
      </c>
      <c r="H4070" s="6" t="str">
        <f>IFERROR(__xludf.DUMMYFUNCTION("""COMPUTED_VALUE"""),"IDR")</f>
        <v>IDR</v>
      </c>
      <c r="I4070" s="6">
        <f>IFERROR(__xludf.DUMMYFUNCTION("""COMPUTED_VALUE"""),8.15E7)</f>
        <v>81500000</v>
      </c>
      <c r="J4070" s="6">
        <f>IFERROR(__xludf.DUMMYFUNCTION("""COMPUTED_VALUE"""),1.63E8)</f>
        <v>163000000</v>
      </c>
      <c r="K4070" s="57">
        <f>IFERROR(__xludf.DUMMYFUNCTION("""COMPUTED_VALUE"""),45884.0)</f>
        <v>45884</v>
      </c>
      <c r="L4070" s="6" t="str">
        <f>IFERROR(__xludf.DUMMYFUNCTION("""COMPUTED_VALUE"""),"FIP General")</f>
        <v>FIP General</v>
      </c>
      <c r="M4070" s="6" t="str">
        <f>IFERROR(__xludf.DUMMYFUNCTION("""COMPUTED_VALUE"""),"Mochammad Fadhillah Hakim,")</f>
        <v>Mochammad Fadhillah Hakim,</v>
      </c>
      <c r="N4070" s="6" t="str">
        <f>IFERROR(__xludf.DUMMYFUNCTION("""COMPUTED_VALUE"""),"FIP Engineering")</f>
        <v>FIP Engineering</v>
      </c>
      <c r="O4070" s="6" t="str">
        <f>IFERROR(__xludf.DUMMYFUNCTION("""COMPUTED_VALUE"""),"FIP-DOM-ENG-13405-EQ25024-INA-000000")</f>
        <v>FIP-DOM-ENG-13405-EQ25024-INA-000000</v>
      </c>
      <c r="P4070" s="6" t="str">
        <f>IFERROR(__xludf.DUMMYFUNCTION("""COMPUTED_VALUE"""),"PO Closed")</f>
        <v>PO Closed</v>
      </c>
      <c r="Q4070" s="6" t="str">
        <f>IFERROR(__xludf.DUMMYFUNCTION("""COMPUTED_VALUE"""),"GL2507005")</f>
        <v>GL2507005</v>
      </c>
      <c r="R4070" s="57">
        <f>IFERROR(__xludf.DUMMYFUNCTION("""COMPUTED_VALUE"""),45818.0)</f>
        <v>45818</v>
      </c>
      <c r="S4070" s="57">
        <f>IFERROR(__xludf.DUMMYFUNCTION("""COMPUTED_VALUE"""),45818.0)</f>
        <v>45818</v>
      </c>
      <c r="T4070" s="57">
        <f>IFERROR(__xludf.DUMMYFUNCTION("""COMPUTED_VALUE"""),45991.0)</f>
        <v>45991</v>
      </c>
    </row>
    <row r="4071">
      <c r="A4071" s="6" t="str">
        <f>IFERROR(__xludf.DUMMYFUNCTION("""COMPUTED_VALUE"""),"121702849-1")</f>
        <v>121702849-1</v>
      </c>
      <c r="B4071" s="6" t="str">
        <f>IFERROR(__xludf.DUMMYFUNCTION("""COMPUTED_VALUE"""),"121702849 - APPROVED")</f>
        <v>121702849 - APPROVED</v>
      </c>
      <c r="C4071" s="6">
        <f>IFERROR(__xludf.DUMMYFUNCTION("""COMPUTED_VALUE"""),1.0)</f>
        <v>1</v>
      </c>
      <c r="D4071" s="6" t="str">
        <f>IFERROR(__xludf.DUMMYFUNCTION("""COMPUTED_VALUE"""),"P-18865-00")</f>
        <v>P-18865-00</v>
      </c>
      <c r="E4071" s="6" t="str">
        <f>IFERROR(__xludf.DUMMYFUNCTION("""COMPUTED_VALUE"""),"Freon R407 - Chemours USA; ; ;")</f>
        <v>Freon R407 - Chemours USA; ; ;</v>
      </c>
      <c r="F4071" s="6">
        <f>IFERROR(__xludf.DUMMYFUNCTION("""COMPUTED_VALUE"""),1.0)</f>
        <v>1</v>
      </c>
      <c r="G4071" s="6" t="str">
        <f>IFERROR(__xludf.DUMMYFUNCTION("""COMPUTED_VALUE"""),"Can")</f>
        <v>Can</v>
      </c>
      <c r="H4071" s="6" t="str">
        <f>IFERROR(__xludf.DUMMYFUNCTION("""COMPUTED_VALUE"""),"IDR")</f>
        <v>IDR</v>
      </c>
      <c r="I4071" s="6">
        <f>IFERROR(__xludf.DUMMYFUNCTION("""COMPUTED_VALUE"""),2100000.0)</f>
        <v>2100000</v>
      </c>
      <c r="J4071" s="6">
        <f>IFERROR(__xludf.DUMMYFUNCTION("""COMPUTED_VALUE"""),2100000.0)</f>
        <v>2100000</v>
      </c>
      <c r="K4071" s="57">
        <f>IFERROR(__xludf.DUMMYFUNCTION("""COMPUTED_VALUE"""),45849.0)</f>
        <v>45849</v>
      </c>
      <c r="L4071" s="6" t="str">
        <f>IFERROR(__xludf.DUMMYFUNCTION("""COMPUTED_VALUE"""),"FIP Engineering")</f>
        <v>FIP Engineering</v>
      </c>
      <c r="M4071" s="6" t="str">
        <f>IFERROR(__xludf.DUMMYFUNCTION("""COMPUTED_VALUE"""),"Mochammad Fadhillah Hakim,")</f>
        <v>Mochammad Fadhillah Hakim,</v>
      </c>
      <c r="N4071" s="6" t="str">
        <f>IFERROR(__xludf.DUMMYFUNCTION("""COMPUTED_VALUE"""),"FIP Engineering")</f>
        <v>FIP Engineering</v>
      </c>
      <c r="O4071" s="6" t="str">
        <f>IFERROR(__xludf.DUMMYFUNCTION("""COMPUTED_VALUE"""),"FIP-DOM-000-11304-OS00001-INA-000000")</f>
        <v>FIP-DOM-000-11304-OS00001-INA-000000</v>
      </c>
      <c r="P4071" s="6" t="str">
        <f>IFERROR(__xludf.DUMMYFUNCTION("""COMPUTED_VALUE"""),"PO Closed")</f>
        <v>PO Closed</v>
      </c>
      <c r="Q4071" s="6" t="str">
        <f>IFERROR(__xludf.DUMMYFUNCTION("""COMPUTED_VALUE"""),"GL2507407")</f>
        <v>GL2507407</v>
      </c>
      <c r="R4071" s="57">
        <f>IFERROR(__xludf.DUMMYFUNCTION("""COMPUTED_VALUE"""),45818.0)</f>
        <v>45818</v>
      </c>
      <c r="S4071" s="57">
        <f>IFERROR(__xludf.DUMMYFUNCTION("""COMPUTED_VALUE"""),45828.0)</f>
        <v>45828</v>
      </c>
      <c r="T4071" s="57">
        <f>IFERROR(__xludf.DUMMYFUNCTION("""COMPUTED_VALUE"""),46003.0)</f>
        <v>46003</v>
      </c>
    </row>
    <row r="4072">
      <c r="A4072" s="6" t="str">
        <f>IFERROR(__xludf.DUMMYFUNCTION("""COMPUTED_VALUE"""),"121702850-1")</f>
        <v>121702850-1</v>
      </c>
      <c r="B4072" s="6" t="str">
        <f>IFERROR(__xludf.DUMMYFUNCTION("""COMPUTED_VALUE"""),"121702850 - APPROVED")</f>
        <v>121702850 - APPROVED</v>
      </c>
      <c r="C4072" s="6">
        <f>IFERROR(__xludf.DUMMYFUNCTION("""COMPUTED_VALUE"""),1.0)</f>
        <v>1</v>
      </c>
      <c r="D4072" s="6" t="str">
        <f>IFERROR(__xludf.DUMMYFUNCTION("""COMPUTED_VALUE"""),"P-19898-00")</f>
        <v>P-19898-00</v>
      </c>
      <c r="E4072" s="6" t="str">
        <f>IFERROR(__xludf.DUMMYFUNCTION("""COMPUTED_VALUE"""),"General - Bushing VAV dia. 24 x 26mm; Custom Agru; -; 1 pc")</f>
        <v>General - Bushing VAV dia. 24 x 26mm; Custom Agru; -; 1 pc</v>
      </c>
      <c r="F4072" s="6">
        <f>IFERROR(__xludf.DUMMYFUNCTION("""COMPUTED_VALUE"""),5.0)</f>
        <v>5</v>
      </c>
      <c r="G4072" s="6" t="str">
        <f>IFERROR(__xludf.DUMMYFUNCTION("""COMPUTED_VALUE"""),"Pieces")</f>
        <v>Pieces</v>
      </c>
      <c r="H4072" s="6" t="str">
        <f>IFERROR(__xludf.DUMMYFUNCTION("""COMPUTED_VALUE"""),"IDR")</f>
        <v>IDR</v>
      </c>
      <c r="I4072" s="6">
        <f>IFERROR(__xludf.DUMMYFUNCTION("""COMPUTED_VALUE"""),575000.0)</f>
        <v>575000</v>
      </c>
      <c r="J4072" s="6">
        <f>IFERROR(__xludf.DUMMYFUNCTION("""COMPUTED_VALUE"""),2875000.0)</f>
        <v>2875000</v>
      </c>
      <c r="K4072" s="57">
        <f>IFERROR(__xludf.DUMMYFUNCTION("""COMPUTED_VALUE"""),45863.0)</f>
        <v>45863</v>
      </c>
      <c r="L4072" s="6" t="str">
        <f>IFERROR(__xludf.DUMMYFUNCTION("""COMPUTED_VALUE"""),"FIP Engineering")</f>
        <v>FIP Engineering</v>
      </c>
      <c r="M4072" s="6" t="str">
        <f>IFERROR(__xludf.DUMMYFUNCTION("""COMPUTED_VALUE"""),"Mochammad Fadhillah Hakim,")</f>
        <v>Mochammad Fadhillah Hakim,</v>
      </c>
      <c r="N4072" s="6" t="str">
        <f>IFERROR(__xludf.DUMMYFUNCTION("""COMPUTED_VALUE"""),"FIP Engineering")</f>
        <v>FIP Engineering</v>
      </c>
      <c r="O4072" s="6" t="str">
        <f>IFERROR(__xludf.DUMMYFUNCTION("""COMPUTED_VALUE"""),"FIP-DOM-000-11304-OS00001-INA-000000")</f>
        <v>FIP-DOM-000-11304-OS00001-INA-000000</v>
      </c>
      <c r="P4072" s="6" t="str">
        <f>IFERROR(__xludf.DUMMYFUNCTION("""COMPUTED_VALUE"""),"PO Closed")</f>
        <v>PO Closed</v>
      </c>
      <c r="Q4072" s="6" t="str">
        <f>IFERROR(__xludf.DUMMYFUNCTION("""COMPUTED_VALUE"""),"GL2507022")</f>
        <v>GL2507022</v>
      </c>
      <c r="R4072" s="57">
        <f>IFERROR(__xludf.DUMMYFUNCTION("""COMPUTED_VALUE"""),45818.0)</f>
        <v>45818</v>
      </c>
      <c r="S4072" s="57">
        <f>IFERROR(__xludf.DUMMYFUNCTION("""COMPUTED_VALUE"""),45828.0)</f>
        <v>45828</v>
      </c>
      <c r="T4072" s="57">
        <f>IFERROR(__xludf.DUMMYFUNCTION("""COMPUTED_VALUE"""),45868.0)</f>
        <v>45868</v>
      </c>
    </row>
    <row r="4073">
      <c r="A4073" s="6" t="str">
        <f>IFERROR(__xludf.DUMMYFUNCTION("""COMPUTED_VALUE"""),"121702851-1")</f>
        <v>121702851-1</v>
      </c>
      <c r="B4073" s="6" t="str">
        <f>IFERROR(__xludf.DUMMYFUNCTION("""COMPUTED_VALUE"""),"121702851 - APPROVED")</f>
        <v>121702851 - APPROVED</v>
      </c>
      <c r="C4073" s="6">
        <f>IFERROR(__xludf.DUMMYFUNCTION("""COMPUTED_VALUE"""),1.0)</f>
        <v>1</v>
      </c>
      <c r="D4073" s="6" t="str">
        <f>IFERROR(__xludf.DUMMYFUNCTION("""COMPUTED_VALUE"""),"P-19819-00")</f>
        <v>P-19819-00</v>
      </c>
      <c r="E4073" s="6" t="str">
        <f>IFERROR(__xludf.DUMMYFUNCTION("""COMPUTED_VALUE"""),"General - Drain Pan Humidity Chamber SS304; Custom; -; 1 unit")</f>
        <v>General - Drain Pan Humidity Chamber SS304; Custom; -; 1 unit</v>
      </c>
      <c r="F4073" s="6">
        <f>IFERROR(__xludf.DUMMYFUNCTION("""COMPUTED_VALUE"""),1.0)</f>
        <v>1</v>
      </c>
      <c r="G4073" s="6" t="str">
        <f>IFERROR(__xludf.DUMMYFUNCTION("""COMPUTED_VALUE"""),"Unit")</f>
        <v>Unit</v>
      </c>
      <c r="H4073" s="6" t="str">
        <f>IFERROR(__xludf.DUMMYFUNCTION("""COMPUTED_VALUE"""),"IDR")</f>
        <v>IDR</v>
      </c>
      <c r="I4073" s="6">
        <f>IFERROR(__xludf.DUMMYFUNCTION("""COMPUTED_VALUE"""),2850000.0)</f>
        <v>2850000</v>
      </c>
      <c r="J4073" s="6">
        <f>IFERROR(__xludf.DUMMYFUNCTION("""COMPUTED_VALUE"""),2850000.0)</f>
        <v>2850000</v>
      </c>
      <c r="K4073" s="57">
        <f>IFERROR(__xludf.DUMMYFUNCTION("""COMPUTED_VALUE"""),45863.0)</f>
        <v>45863</v>
      </c>
      <c r="L4073" s="6" t="str">
        <f>IFERROR(__xludf.DUMMYFUNCTION("""COMPUTED_VALUE"""),"FIP Engineering")</f>
        <v>FIP Engineering</v>
      </c>
      <c r="M4073" s="6" t="str">
        <f>IFERROR(__xludf.DUMMYFUNCTION("""COMPUTED_VALUE"""),"Mochammad Fadhillah Hakim,")</f>
        <v>Mochammad Fadhillah Hakim,</v>
      </c>
      <c r="N4073" s="6" t="str">
        <f>IFERROR(__xludf.DUMMYFUNCTION("""COMPUTED_VALUE"""),"FIP Engineering")</f>
        <v>FIP Engineering</v>
      </c>
      <c r="O4073" s="6" t="str">
        <f>IFERROR(__xludf.DUMMYFUNCTION("""COMPUTED_VALUE"""),"FIP-DOM-000-11304-OS00001-INA-000000")</f>
        <v>FIP-DOM-000-11304-OS00001-INA-000000</v>
      </c>
      <c r="P4073" s="6" t="str">
        <f>IFERROR(__xludf.DUMMYFUNCTION("""COMPUTED_VALUE"""),"PO Closed")</f>
        <v>PO Closed</v>
      </c>
      <c r="Q4073" s="6" t="str">
        <f>IFERROR(__xludf.DUMMYFUNCTION("""COMPUTED_VALUE"""),"GL2507022")</f>
        <v>GL2507022</v>
      </c>
      <c r="R4073" s="57">
        <f>IFERROR(__xludf.DUMMYFUNCTION("""COMPUTED_VALUE"""),45818.0)</f>
        <v>45818</v>
      </c>
      <c r="S4073" s="57">
        <f>IFERROR(__xludf.DUMMYFUNCTION("""COMPUTED_VALUE"""),45839.0)</f>
        <v>45839</v>
      </c>
      <c r="T4073" s="57">
        <f>IFERROR(__xludf.DUMMYFUNCTION("""COMPUTED_VALUE"""),45868.0)</f>
        <v>45868</v>
      </c>
    </row>
    <row r="4074">
      <c r="A4074" s="6" t="str">
        <f>IFERROR(__xludf.DUMMYFUNCTION("""COMPUTED_VALUE"""),"121702851-2")</f>
        <v>121702851-2</v>
      </c>
      <c r="B4074" s="6" t="str">
        <f>IFERROR(__xludf.DUMMYFUNCTION("""COMPUTED_VALUE"""),"121702851 - APPROVED")</f>
        <v>121702851 - APPROVED</v>
      </c>
      <c r="C4074" s="6">
        <f>IFERROR(__xludf.DUMMYFUNCTION("""COMPUTED_VALUE"""),2.0)</f>
        <v>2</v>
      </c>
      <c r="D4074" s="6" t="str">
        <f>IFERROR(__xludf.DUMMYFUNCTION("""COMPUTED_VALUE"""),"P-19826-00")</f>
        <v>P-19826-00</v>
      </c>
      <c r="E4074" s="6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F4074" s="6">
        <f>IFERROR(__xludf.DUMMYFUNCTION("""COMPUTED_VALUE"""),1.0)</f>
        <v>1</v>
      </c>
      <c r="G4074" s="6" t="str">
        <f>IFERROR(__xludf.DUMMYFUNCTION("""COMPUTED_VALUE"""),"Pieces")</f>
        <v>Pieces</v>
      </c>
      <c r="H4074" s="6" t="str">
        <f>IFERROR(__xludf.DUMMYFUNCTION("""COMPUTED_VALUE"""),"IDR")</f>
        <v>IDR</v>
      </c>
      <c r="I4074" s="6">
        <f>IFERROR(__xludf.DUMMYFUNCTION("""COMPUTED_VALUE"""),1955000.0)</f>
        <v>1955000</v>
      </c>
      <c r="J4074" s="6">
        <f>IFERROR(__xludf.DUMMYFUNCTION("""COMPUTED_VALUE"""),1955000.0)</f>
        <v>1955000</v>
      </c>
      <c r="K4074" s="57">
        <f>IFERROR(__xludf.DUMMYFUNCTION("""COMPUTED_VALUE"""),45863.0)</f>
        <v>45863</v>
      </c>
      <c r="L4074" s="6" t="str">
        <f>IFERROR(__xludf.DUMMYFUNCTION("""COMPUTED_VALUE"""),"FIP Engineering")</f>
        <v>FIP Engineering</v>
      </c>
      <c r="M4074" s="6" t="str">
        <f>IFERROR(__xludf.DUMMYFUNCTION("""COMPUTED_VALUE"""),"Mochammad Fadhillah Hakim,")</f>
        <v>Mochammad Fadhillah Hakim,</v>
      </c>
      <c r="N4074" s="6" t="str">
        <f>IFERROR(__xludf.DUMMYFUNCTION("""COMPUTED_VALUE"""),"FIP Engineering")</f>
        <v>FIP Engineering</v>
      </c>
      <c r="O4074" s="6" t="str">
        <f>IFERROR(__xludf.DUMMYFUNCTION("""COMPUTED_VALUE"""),"FIP-DOM-000-11304-OS00001-INA-000000")</f>
        <v>FIP-DOM-000-11304-OS00001-INA-000000</v>
      </c>
      <c r="P4074" s="6" t="str">
        <f>IFERROR(__xludf.DUMMYFUNCTION("""COMPUTED_VALUE"""),"PO Closed")</f>
        <v>PO Closed</v>
      </c>
      <c r="Q4074" s="6" t="str">
        <f>IFERROR(__xludf.DUMMYFUNCTION("""COMPUTED_VALUE"""),"GL2507022")</f>
        <v>GL2507022</v>
      </c>
      <c r="R4074" s="57">
        <f>IFERROR(__xludf.DUMMYFUNCTION("""COMPUTED_VALUE"""),45818.0)</f>
        <v>45818</v>
      </c>
      <c r="S4074" s="57">
        <f>IFERROR(__xludf.DUMMYFUNCTION("""COMPUTED_VALUE"""),45839.0)</f>
        <v>45839</v>
      </c>
      <c r="T4074" s="57">
        <f>IFERROR(__xludf.DUMMYFUNCTION("""COMPUTED_VALUE"""),45868.0)</f>
        <v>45868</v>
      </c>
    </row>
    <row r="4075">
      <c r="A4075" s="6" t="str">
        <f>IFERROR(__xludf.DUMMYFUNCTION("""COMPUTED_VALUE"""),"121702851-3")</f>
        <v>121702851-3</v>
      </c>
      <c r="B4075" s="6" t="str">
        <f>IFERROR(__xludf.DUMMYFUNCTION("""COMPUTED_VALUE"""),"121702851 - APPROVED")</f>
        <v>121702851 - APPROVED</v>
      </c>
      <c r="C4075" s="6">
        <f>IFERROR(__xludf.DUMMYFUNCTION("""COMPUTED_VALUE"""),3.0)</f>
        <v>3</v>
      </c>
      <c r="D4075" s="6" t="str">
        <f>IFERROR(__xludf.DUMMYFUNCTION("""COMPUTED_VALUE"""),"P-19844-00")</f>
        <v>P-19844-00</v>
      </c>
      <c r="E4075" s="6" t="str">
        <f>IFERROR(__xludf.DUMMYFUNCTION("""COMPUTED_VALUE"""),"General - Drain Pan WIHC; Custom Agru Farma; -; 1 pc")</f>
        <v>General - Drain Pan WIHC; Custom Agru Farma; -; 1 pc</v>
      </c>
      <c r="F4075" s="6">
        <f>IFERROR(__xludf.DUMMYFUNCTION("""COMPUTED_VALUE"""),2.0)</f>
        <v>2</v>
      </c>
      <c r="G4075" s="6" t="str">
        <f>IFERROR(__xludf.DUMMYFUNCTION("""COMPUTED_VALUE"""),"Pieces")</f>
        <v>Pieces</v>
      </c>
      <c r="H4075" s="6" t="str">
        <f>IFERROR(__xludf.DUMMYFUNCTION("""COMPUTED_VALUE"""),"IDR")</f>
        <v>IDR</v>
      </c>
      <c r="I4075" s="6">
        <f>IFERROR(__xludf.DUMMYFUNCTION("""COMPUTED_VALUE"""),2950000.0)</f>
        <v>2950000</v>
      </c>
      <c r="J4075" s="6">
        <f>IFERROR(__xludf.DUMMYFUNCTION("""COMPUTED_VALUE"""),5900000.0)</f>
        <v>5900000</v>
      </c>
      <c r="K4075" s="57">
        <f>IFERROR(__xludf.DUMMYFUNCTION("""COMPUTED_VALUE"""),45863.0)</f>
        <v>45863</v>
      </c>
      <c r="L4075" s="6" t="str">
        <f>IFERROR(__xludf.DUMMYFUNCTION("""COMPUTED_VALUE"""),"FIP Engineering")</f>
        <v>FIP Engineering</v>
      </c>
      <c r="M4075" s="6" t="str">
        <f>IFERROR(__xludf.DUMMYFUNCTION("""COMPUTED_VALUE"""),"Mochammad Fadhillah Hakim,")</f>
        <v>Mochammad Fadhillah Hakim,</v>
      </c>
      <c r="N4075" s="6" t="str">
        <f>IFERROR(__xludf.DUMMYFUNCTION("""COMPUTED_VALUE"""),"FIP Engineering")</f>
        <v>FIP Engineering</v>
      </c>
      <c r="O4075" s="6" t="str">
        <f>IFERROR(__xludf.DUMMYFUNCTION("""COMPUTED_VALUE"""),"FIP-DOM-000-11304-OS00001-INA-000000")</f>
        <v>FIP-DOM-000-11304-OS00001-INA-000000</v>
      </c>
      <c r="P4075" s="6" t="str">
        <f>IFERROR(__xludf.DUMMYFUNCTION("""COMPUTED_VALUE"""),"PO Closed")</f>
        <v>PO Closed</v>
      </c>
      <c r="Q4075" s="6" t="str">
        <f>IFERROR(__xludf.DUMMYFUNCTION("""COMPUTED_VALUE"""),"GL2507022")</f>
        <v>GL2507022</v>
      </c>
      <c r="R4075" s="57">
        <f>IFERROR(__xludf.DUMMYFUNCTION("""COMPUTED_VALUE"""),45818.0)</f>
        <v>45818</v>
      </c>
      <c r="S4075" s="57">
        <f>IFERROR(__xludf.DUMMYFUNCTION("""COMPUTED_VALUE"""),45839.0)</f>
        <v>45839</v>
      </c>
      <c r="T4075" s="57">
        <f>IFERROR(__xludf.DUMMYFUNCTION("""COMPUTED_VALUE"""),45868.0)</f>
        <v>45868</v>
      </c>
    </row>
    <row r="4076">
      <c r="A4076" s="6" t="str">
        <f>IFERROR(__xludf.DUMMYFUNCTION("""COMPUTED_VALUE"""),"121702852-1")</f>
        <v>121702852-1</v>
      </c>
      <c r="B4076" s="6" t="str">
        <f>IFERROR(__xludf.DUMMYFUNCTION("""COMPUTED_VALUE"""),"121702852 - APPROVED")</f>
        <v>121702852 - APPROVED</v>
      </c>
      <c r="C4076" s="6">
        <f>IFERROR(__xludf.DUMMYFUNCTION("""COMPUTED_VALUE"""),1.0)</f>
        <v>1</v>
      </c>
      <c r="D4076" s="6" t="str">
        <f>IFERROR(__xludf.DUMMYFUNCTION("""COMPUTED_VALUE"""),"P-19850-00")</f>
        <v>P-19850-00</v>
      </c>
      <c r="E4076" s="6" t="str">
        <f>IFERROR(__xludf.DUMMYFUNCTION("""COMPUTED_VALUE"""),"General - Bearing 629ZZ; SKF; -; 1 pc")</f>
        <v>General - Bearing 629ZZ; SKF; -; 1 pc</v>
      </c>
      <c r="F4076" s="6">
        <f>IFERROR(__xludf.DUMMYFUNCTION("""COMPUTED_VALUE"""),2.0)</f>
        <v>2</v>
      </c>
      <c r="G4076" s="6" t="str">
        <f>IFERROR(__xludf.DUMMYFUNCTION("""COMPUTED_VALUE"""),"Pieces")</f>
        <v>Pieces</v>
      </c>
      <c r="H4076" s="6" t="str">
        <f>IFERROR(__xludf.DUMMYFUNCTION("""COMPUTED_VALUE"""),"IDR")</f>
        <v>IDR</v>
      </c>
      <c r="I4076" s="6">
        <f>IFERROR(__xludf.DUMMYFUNCTION("""COMPUTED_VALUE"""),36500.0)</f>
        <v>36500</v>
      </c>
      <c r="J4076" s="6">
        <f>IFERROR(__xludf.DUMMYFUNCTION("""COMPUTED_VALUE"""),73000.0)</f>
        <v>73000</v>
      </c>
      <c r="K4076" s="57">
        <f>IFERROR(__xludf.DUMMYFUNCTION("""COMPUTED_VALUE"""),45849.0)</f>
        <v>45849</v>
      </c>
      <c r="L4076" s="6" t="str">
        <f>IFERROR(__xludf.DUMMYFUNCTION("""COMPUTED_VALUE"""),"FIP Engineering")</f>
        <v>FIP Engineering</v>
      </c>
      <c r="M4076" s="6" t="str">
        <f>IFERROR(__xludf.DUMMYFUNCTION("""COMPUTED_VALUE"""),"Mochammad Fadhillah Hakim,")</f>
        <v>Mochammad Fadhillah Hakim,</v>
      </c>
      <c r="N4076" s="6" t="str">
        <f>IFERROR(__xludf.DUMMYFUNCTION("""COMPUTED_VALUE"""),"FIP Engineering")</f>
        <v>FIP Engineering</v>
      </c>
      <c r="O4076" s="6" t="str">
        <f>IFERROR(__xludf.DUMMYFUNCTION("""COMPUTED_VALUE"""),"FIP-DOM-000-11304-OS00001-INA-000000")</f>
        <v>FIP-DOM-000-11304-OS00001-INA-000000</v>
      </c>
      <c r="P4076" s="6" t="str">
        <f>IFERROR(__xludf.DUMMYFUNCTION("""COMPUTED_VALUE"""),"PO Closed")</f>
        <v>PO Closed</v>
      </c>
      <c r="Q4076" s="6" t="str">
        <f>IFERROR(__xludf.DUMMYFUNCTION("""COMPUTED_VALUE"""),"GL2507014")</f>
        <v>GL2507014</v>
      </c>
      <c r="R4076" s="57">
        <f>IFERROR(__xludf.DUMMYFUNCTION("""COMPUTED_VALUE"""),45818.0)</f>
        <v>45818</v>
      </c>
      <c r="S4076" s="57">
        <f>IFERROR(__xludf.DUMMYFUNCTION("""COMPUTED_VALUE"""),45828.0)</f>
        <v>45828</v>
      </c>
      <c r="T4076" s="57">
        <f>IFERROR(__xludf.DUMMYFUNCTION("""COMPUTED_VALUE"""),45879.0)</f>
        <v>45879</v>
      </c>
    </row>
    <row r="4077">
      <c r="A4077" s="6" t="str">
        <f>IFERROR(__xludf.DUMMYFUNCTION("""COMPUTED_VALUE"""),"121702853-1")</f>
        <v>121702853-1</v>
      </c>
      <c r="B4077" s="6" t="str">
        <f>IFERROR(__xludf.DUMMYFUNCTION("""COMPUTED_VALUE"""),"121702853 - APPROVED")</f>
        <v>121702853 - APPROVED</v>
      </c>
      <c r="C4077" s="6">
        <f>IFERROR(__xludf.DUMMYFUNCTION("""COMPUTED_VALUE"""),1.0)</f>
        <v>1</v>
      </c>
      <c r="D4077" s="6" t="str">
        <f>IFERROR(__xludf.DUMMYFUNCTION("""COMPUTED_VALUE"""),"P-15052-00")</f>
        <v>P-15052-00</v>
      </c>
      <c r="E4077" s="6" t="str">
        <f>IFERROR(__xludf.DUMMYFUNCTION("""COMPUTED_VALUE"""),"Element Filter 1 micron P/N NXE-400-Z; ; ;")</f>
        <v>Element Filter 1 micron P/N NXE-400-Z; ; ;</v>
      </c>
      <c r="F4077" s="6">
        <f>IFERROR(__xludf.DUMMYFUNCTION("""COMPUTED_VALUE"""),2.0)</f>
        <v>2</v>
      </c>
      <c r="G4077" s="6" t="str">
        <f>IFERROR(__xludf.DUMMYFUNCTION("""COMPUTED_VALUE"""),"Pieces")</f>
        <v>Pieces</v>
      </c>
      <c r="H4077" s="6" t="str">
        <f>IFERROR(__xludf.DUMMYFUNCTION("""COMPUTED_VALUE"""),"IDR")</f>
        <v>IDR</v>
      </c>
      <c r="I4077" s="6">
        <f>IFERROR(__xludf.DUMMYFUNCTION("""COMPUTED_VALUE"""),2144000.0)</f>
        <v>2144000</v>
      </c>
      <c r="J4077" s="6">
        <f>IFERROR(__xludf.DUMMYFUNCTION("""COMPUTED_VALUE"""),4288000.0)</f>
        <v>4288000</v>
      </c>
      <c r="K4077" s="57">
        <f>IFERROR(__xludf.DUMMYFUNCTION("""COMPUTED_VALUE"""),45863.0)</f>
        <v>45863</v>
      </c>
      <c r="L4077" s="6" t="str">
        <f>IFERROR(__xludf.DUMMYFUNCTION("""COMPUTED_VALUE"""),"FIP Engineering")</f>
        <v>FIP Engineering</v>
      </c>
      <c r="M4077" s="6" t="str">
        <f>IFERROR(__xludf.DUMMYFUNCTION("""COMPUTED_VALUE"""),"Mochammad Fadhillah Hakim,")</f>
        <v>Mochammad Fadhillah Hakim,</v>
      </c>
      <c r="N4077" s="6" t="str">
        <f>IFERROR(__xludf.DUMMYFUNCTION("""COMPUTED_VALUE"""),"FIP Engineering")</f>
        <v>FIP Engineering</v>
      </c>
      <c r="O4077" s="6" t="str">
        <f>IFERROR(__xludf.DUMMYFUNCTION("""COMPUTED_VALUE"""),"FIP-DOM-000-11304-OS00001-INA-000000")</f>
        <v>FIP-DOM-000-11304-OS00001-INA-000000</v>
      </c>
      <c r="P4077" s="6" t="str">
        <f>IFERROR(__xludf.DUMMYFUNCTION("""COMPUTED_VALUE"""),"PO Closed")</f>
        <v>PO Closed</v>
      </c>
      <c r="Q4077" s="6" t="str">
        <f>IFERROR(__xludf.DUMMYFUNCTION("""COMPUTED_VALUE"""),"GL2507023")</f>
        <v>GL2507023</v>
      </c>
      <c r="R4077" s="57">
        <f>IFERROR(__xludf.DUMMYFUNCTION("""COMPUTED_VALUE"""),45818.0)</f>
        <v>45818</v>
      </c>
      <c r="S4077" s="57">
        <f>IFERROR(__xludf.DUMMYFUNCTION("""COMPUTED_VALUE"""),45839.0)</f>
        <v>45839</v>
      </c>
      <c r="T4077" s="57">
        <f>IFERROR(__xludf.DUMMYFUNCTION("""COMPUTED_VALUE"""),45863.0)</f>
        <v>45863</v>
      </c>
    </row>
    <row r="4078">
      <c r="A4078" s="6" t="str">
        <f>IFERROR(__xludf.DUMMYFUNCTION("""COMPUTED_VALUE"""),"121702853-2")</f>
        <v>121702853-2</v>
      </c>
      <c r="B4078" s="6" t="str">
        <f>IFERROR(__xludf.DUMMYFUNCTION("""COMPUTED_VALUE"""),"121702853 - APPROVED")</f>
        <v>121702853 - APPROVED</v>
      </c>
      <c r="C4078" s="6">
        <f>IFERROR(__xludf.DUMMYFUNCTION("""COMPUTED_VALUE"""),2.0)</f>
        <v>2</v>
      </c>
      <c r="D4078" s="6" t="str">
        <f>IFERROR(__xludf.DUMMYFUNCTION("""COMPUTED_VALUE"""),"P-15053-00")</f>
        <v>P-15053-00</v>
      </c>
      <c r="E4078" s="6" t="str">
        <f>IFERROR(__xludf.DUMMYFUNCTION("""COMPUTED_VALUE"""),"Element Filter 0.01 micron P/N NXE-400-X; ; ;")</f>
        <v>Element Filter 0.01 micron P/N NXE-400-X; ; ;</v>
      </c>
      <c r="F4078" s="6">
        <f>IFERROR(__xludf.DUMMYFUNCTION("""COMPUTED_VALUE"""),2.0)</f>
        <v>2</v>
      </c>
      <c r="G4078" s="6" t="str">
        <f>IFERROR(__xludf.DUMMYFUNCTION("""COMPUTED_VALUE"""),"Pieces")</f>
        <v>Pieces</v>
      </c>
      <c r="H4078" s="6" t="str">
        <f>IFERROR(__xludf.DUMMYFUNCTION("""COMPUTED_VALUE"""),"IDR")</f>
        <v>IDR</v>
      </c>
      <c r="I4078" s="6">
        <f>IFERROR(__xludf.DUMMYFUNCTION("""COMPUTED_VALUE"""),2144000.0)</f>
        <v>2144000</v>
      </c>
      <c r="J4078" s="6">
        <f>IFERROR(__xludf.DUMMYFUNCTION("""COMPUTED_VALUE"""),4288000.0)</f>
        <v>4288000</v>
      </c>
      <c r="K4078" s="57">
        <f>IFERROR(__xludf.DUMMYFUNCTION("""COMPUTED_VALUE"""),45863.0)</f>
        <v>45863</v>
      </c>
      <c r="L4078" s="6" t="str">
        <f>IFERROR(__xludf.DUMMYFUNCTION("""COMPUTED_VALUE"""),"FIP Engineering")</f>
        <v>FIP Engineering</v>
      </c>
      <c r="M4078" s="6" t="str">
        <f>IFERROR(__xludf.DUMMYFUNCTION("""COMPUTED_VALUE"""),"Mochammad Fadhillah Hakim,")</f>
        <v>Mochammad Fadhillah Hakim,</v>
      </c>
      <c r="N4078" s="6" t="str">
        <f>IFERROR(__xludf.DUMMYFUNCTION("""COMPUTED_VALUE"""),"FIP Engineering")</f>
        <v>FIP Engineering</v>
      </c>
      <c r="O4078" s="6" t="str">
        <f>IFERROR(__xludf.DUMMYFUNCTION("""COMPUTED_VALUE"""),"FIP-DOM-000-11304-OS00001-INA-000000")</f>
        <v>FIP-DOM-000-11304-OS00001-INA-000000</v>
      </c>
      <c r="P4078" s="6" t="str">
        <f>IFERROR(__xludf.DUMMYFUNCTION("""COMPUTED_VALUE"""),"PO Closed")</f>
        <v>PO Closed</v>
      </c>
      <c r="Q4078" s="6" t="str">
        <f>IFERROR(__xludf.DUMMYFUNCTION("""COMPUTED_VALUE"""),"GL2507023")</f>
        <v>GL2507023</v>
      </c>
      <c r="R4078" s="57">
        <f>IFERROR(__xludf.DUMMYFUNCTION("""COMPUTED_VALUE"""),45818.0)</f>
        <v>45818</v>
      </c>
      <c r="S4078" s="57">
        <f>IFERROR(__xludf.DUMMYFUNCTION("""COMPUTED_VALUE"""),45839.0)</f>
        <v>45839</v>
      </c>
      <c r="T4078" s="57">
        <f>IFERROR(__xludf.DUMMYFUNCTION("""COMPUTED_VALUE"""),45863.0)</f>
        <v>45863</v>
      </c>
    </row>
    <row r="4079">
      <c r="A4079" s="6" t="str">
        <f>IFERROR(__xludf.DUMMYFUNCTION("""COMPUTED_VALUE"""),"121702853-3")</f>
        <v>121702853-3</v>
      </c>
      <c r="B4079" s="6" t="str">
        <f>IFERROR(__xludf.DUMMYFUNCTION("""COMPUTED_VALUE"""),"121702853 - APPROVED")</f>
        <v>121702853 - APPROVED</v>
      </c>
      <c r="C4079" s="6">
        <f>IFERROR(__xludf.DUMMYFUNCTION("""COMPUTED_VALUE"""),3.0)</f>
        <v>3</v>
      </c>
      <c r="D4079" s="6" t="str">
        <f>IFERROR(__xludf.DUMMYFUNCTION("""COMPUTED_VALUE"""),"P-17062-00")</f>
        <v>P-17062-00</v>
      </c>
      <c r="E4079" s="6" t="str">
        <f>IFERROR(__xludf.DUMMYFUNCTION("""COMPUTED_VALUE"""),"Element Filter for N2 ; Brand : NEXUS ; P/N : NXE-90-Z ; Pack Size : pcs")</f>
        <v>Element Filter for N2 ; Brand : NEXUS ; P/N : NXE-90-Z ; Pack Size : pcs</v>
      </c>
      <c r="F4079" s="6">
        <f>IFERROR(__xludf.DUMMYFUNCTION("""COMPUTED_VALUE"""),2.0)</f>
        <v>2</v>
      </c>
      <c r="G4079" s="6" t="str">
        <f>IFERROR(__xludf.DUMMYFUNCTION("""COMPUTED_VALUE"""),"Unit")</f>
        <v>Unit</v>
      </c>
      <c r="H4079" s="6" t="str">
        <f>IFERROR(__xludf.DUMMYFUNCTION("""COMPUTED_VALUE"""),"IDR")</f>
        <v>IDR</v>
      </c>
      <c r="I4079" s="6">
        <f>IFERROR(__xludf.DUMMYFUNCTION("""COMPUTED_VALUE"""),1200000.0)</f>
        <v>1200000</v>
      </c>
      <c r="J4079" s="6">
        <f>IFERROR(__xludf.DUMMYFUNCTION("""COMPUTED_VALUE"""),2400000.0)</f>
        <v>2400000</v>
      </c>
      <c r="K4079" s="57">
        <f>IFERROR(__xludf.DUMMYFUNCTION("""COMPUTED_VALUE"""),45863.0)</f>
        <v>45863</v>
      </c>
      <c r="L4079" s="6" t="str">
        <f>IFERROR(__xludf.DUMMYFUNCTION("""COMPUTED_VALUE"""),"FIP Engineering")</f>
        <v>FIP Engineering</v>
      </c>
      <c r="M4079" s="6" t="str">
        <f>IFERROR(__xludf.DUMMYFUNCTION("""COMPUTED_VALUE"""),"Mochammad Fadhillah Hakim,")</f>
        <v>Mochammad Fadhillah Hakim,</v>
      </c>
      <c r="N4079" s="6" t="str">
        <f>IFERROR(__xludf.DUMMYFUNCTION("""COMPUTED_VALUE"""),"FIP Engineering")</f>
        <v>FIP Engineering</v>
      </c>
      <c r="O4079" s="6" t="str">
        <f>IFERROR(__xludf.DUMMYFUNCTION("""COMPUTED_VALUE"""),"FIP-DOM-000-11304-OS00001-INA-000000")</f>
        <v>FIP-DOM-000-11304-OS00001-INA-000000</v>
      </c>
      <c r="P4079" s="6" t="str">
        <f>IFERROR(__xludf.DUMMYFUNCTION("""COMPUTED_VALUE"""),"PO Closed")</f>
        <v>PO Closed</v>
      </c>
      <c r="Q4079" s="6" t="str">
        <f>IFERROR(__xludf.DUMMYFUNCTION("""COMPUTED_VALUE"""),"GL2507023")</f>
        <v>GL2507023</v>
      </c>
      <c r="R4079" s="57">
        <f>IFERROR(__xludf.DUMMYFUNCTION("""COMPUTED_VALUE"""),45818.0)</f>
        <v>45818</v>
      </c>
      <c r="S4079" s="57">
        <f>IFERROR(__xludf.DUMMYFUNCTION("""COMPUTED_VALUE"""),45839.0)</f>
        <v>45839</v>
      </c>
      <c r="T4079" s="57">
        <f>IFERROR(__xludf.DUMMYFUNCTION("""COMPUTED_VALUE"""),45863.0)</f>
        <v>45863</v>
      </c>
    </row>
    <row r="4080">
      <c r="A4080" s="6" t="str">
        <f>IFERROR(__xludf.DUMMYFUNCTION("""COMPUTED_VALUE"""),"121702854-1")</f>
        <v>121702854-1</v>
      </c>
      <c r="B4080" s="6" t="str">
        <f>IFERROR(__xludf.DUMMYFUNCTION("""COMPUTED_VALUE"""),"121702854 - APPROVED")</f>
        <v>121702854 - APPROVED</v>
      </c>
      <c r="C4080" s="6">
        <f>IFERROR(__xludf.DUMMYFUNCTION("""COMPUTED_VALUE"""),1.0)</f>
        <v>1</v>
      </c>
      <c r="D4080" s="6" t="str">
        <f>IFERROR(__xludf.DUMMYFUNCTION("""COMPUTED_VALUE"""),"O-15489-00")</f>
        <v>O-15489-00</v>
      </c>
      <c r="E4080" s="6" t="str">
        <f>IFERROR(__xludf.DUMMYFUNCTION("""COMPUTED_VALUE"""),"SPA 1120 Brand : Optibelt / Bando Merah; Optibelt; ;")</f>
        <v>SPA 1120 Brand : Optibelt / Bando Merah; Optibelt; ;</v>
      </c>
      <c r="F4080" s="6">
        <f>IFERROR(__xludf.DUMMYFUNCTION("""COMPUTED_VALUE"""),6.0)</f>
        <v>6</v>
      </c>
      <c r="G4080" s="6" t="str">
        <f>IFERROR(__xludf.DUMMYFUNCTION("""COMPUTED_VALUE"""),"Pieces")</f>
        <v>Pieces</v>
      </c>
      <c r="H4080" s="6" t="str">
        <f>IFERROR(__xludf.DUMMYFUNCTION("""COMPUTED_VALUE"""),"IDR")</f>
        <v>IDR</v>
      </c>
      <c r="I4080" s="6">
        <f>IFERROR(__xludf.DUMMYFUNCTION("""COMPUTED_VALUE"""),90440.0)</f>
        <v>90440</v>
      </c>
      <c r="J4080" s="6">
        <f>IFERROR(__xludf.DUMMYFUNCTION("""COMPUTED_VALUE"""),542640.0)</f>
        <v>542640</v>
      </c>
      <c r="K4080" s="57">
        <f>IFERROR(__xludf.DUMMYFUNCTION("""COMPUTED_VALUE"""),45863.0)</f>
        <v>45863</v>
      </c>
      <c r="L4080" s="6" t="str">
        <f>IFERROR(__xludf.DUMMYFUNCTION("""COMPUTED_VALUE"""),"FIP Engineering")</f>
        <v>FIP Engineering</v>
      </c>
      <c r="M4080" s="6" t="str">
        <f>IFERROR(__xludf.DUMMYFUNCTION("""COMPUTED_VALUE"""),"Mochammad Fadhillah Hakim,")</f>
        <v>Mochammad Fadhillah Hakim,</v>
      </c>
      <c r="N4080" s="6" t="str">
        <f>IFERROR(__xludf.DUMMYFUNCTION("""COMPUTED_VALUE"""),"FIP Engineering")</f>
        <v>FIP Engineering</v>
      </c>
      <c r="O4080" s="6" t="str">
        <f>IFERROR(__xludf.DUMMYFUNCTION("""COMPUTED_VALUE"""),"FIP-DOM-000-11304-OS00001-INA-000000")</f>
        <v>FIP-DOM-000-11304-OS00001-INA-000000</v>
      </c>
      <c r="P4080" s="6" t="str">
        <f>IFERROR(__xludf.DUMMYFUNCTION("""COMPUTED_VALUE"""),"PO Closed")</f>
        <v>PO Closed</v>
      </c>
      <c r="Q4080" s="6" t="str">
        <f>IFERROR(__xludf.DUMMYFUNCTION("""COMPUTED_VALUE"""),"GL2507414")</f>
        <v>GL2507414</v>
      </c>
      <c r="R4080" s="57">
        <f>IFERROR(__xludf.DUMMYFUNCTION("""COMPUTED_VALUE"""),45818.0)</f>
        <v>45818</v>
      </c>
      <c r="S4080" s="57">
        <f>IFERROR(__xludf.DUMMYFUNCTION("""COMPUTED_VALUE"""),45828.0)</f>
        <v>45828</v>
      </c>
      <c r="T4080" s="57">
        <f>IFERROR(__xludf.DUMMYFUNCTION("""COMPUTED_VALUE"""),45884.0)</f>
        <v>45884</v>
      </c>
    </row>
    <row r="4081">
      <c r="A4081" s="6" t="str">
        <f>IFERROR(__xludf.DUMMYFUNCTION("""COMPUTED_VALUE"""),"121702855-1")</f>
        <v>121702855-1</v>
      </c>
      <c r="B4081" s="6" t="str">
        <f>IFERROR(__xludf.DUMMYFUNCTION("""COMPUTED_VALUE"""),"121702855 - APPROVED")</f>
        <v>121702855 - APPROVED</v>
      </c>
      <c r="C4081" s="6">
        <f>IFERROR(__xludf.DUMMYFUNCTION("""COMPUTED_VALUE"""),1.0)</f>
        <v>1</v>
      </c>
      <c r="D4081" s="6" t="str">
        <f>IFERROR(__xludf.DUMMYFUNCTION("""COMPUTED_VALUE"""),"P-12077-00")</f>
        <v>P-12077-00</v>
      </c>
      <c r="E4081" s="6" t="str">
        <f>IFERROR(__xludf.DUMMYFUNCTION("""COMPUTED_VALUE"""),"General - Clamp Selang, SS 1 1/4""; Tridon; -; 1 pcs")</f>
        <v>General - Clamp Selang, SS 1 1/4"; Tridon; -; 1 pcs</v>
      </c>
      <c r="F4081" s="6">
        <f>IFERROR(__xludf.DUMMYFUNCTION("""COMPUTED_VALUE"""),20.0)</f>
        <v>20</v>
      </c>
      <c r="G4081" s="6" t="str">
        <f>IFERROR(__xludf.DUMMYFUNCTION("""COMPUTED_VALUE"""),"Pieces")</f>
        <v>Pieces</v>
      </c>
      <c r="H4081" s="6" t="str">
        <f>IFERROR(__xludf.DUMMYFUNCTION("""COMPUTED_VALUE"""),"IDR")</f>
        <v>IDR</v>
      </c>
      <c r="I4081" s="6">
        <f>IFERROR(__xludf.DUMMYFUNCTION("""COMPUTED_VALUE"""),40000.0)</f>
        <v>40000</v>
      </c>
      <c r="J4081" s="6">
        <f>IFERROR(__xludf.DUMMYFUNCTION("""COMPUTED_VALUE"""),800000.0)</f>
        <v>800000</v>
      </c>
      <c r="K4081" s="57">
        <f>IFERROR(__xludf.DUMMYFUNCTION("""COMPUTED_VALUE"""),45849.0)</f>
        <v>45849</v>
      </c>
      <c r="L4081" s="6" t="str">
        <f>IFERROR(__xludf.DUMMYFUNCTION("""COMPUTED_VALUE"""),"FIP Engineering")</f>
        <v>FIP Engineering</v>
      </c>
      <c r="M4081" s="6" t="str">
        <f>IFERROR(__xludf.DUMMYFUNCTION("""COMPUTED_VALUE"""),"Mochammad Fadhillah Hakim,")</f>
        <v>Mochammad Fadhillah Hakim,</v>
      </c>
      <c r="N4081" s="6" t="str">
        <f>IFERROR(__xludf.DUMMYFUNCTION("""COMPUTED_VALUE"""),"FIP Engineering")</f>
        <v>FIP Engineering</v>
      </c>
      <c r="O4081" s="6" t="str">
        <f>IFERROR(__xludf.DUMMYFUNCTION("""COMPUTED_VALUE"""),"FIP-DOM-000-11304-OS00001-INA-000000")</f>
        <v>FIP-DOM-000-11304-OS00001-INA-000000</v>
      </c>
      <c r="P4081" s="6" t="str">
        <f>IFERROR(__xludf.DUMMYFUNCTION("""COMPUTED_VALUE"""),"PO Closed")</f>
        <v>PO Closed</v>
      </c>
      <c r="Q4081" s="6" t="str">
        <f>IFERROR(__xludf.DUMMYFUNCTION("""COMPUTED_VALUE"""),"GL2507408")</f>
        <v>GL2507408</v>
      </c>
      <c r="R4081" s="57">
        <f>IFERROR(__xludf.DUMMYFUNCTION("""COMPUTED_VALUE"""),45818.0)</f>
        <v>45818</v>
      </c>
      <c r="S4081" s="57">
        <f>IFERROR(__xludf.DUMMYFUNCTION("""COMPUTED_VALUE"""),45828.0)</f>
        <v>45828</v>
      </c>
      <c r="T4081" s="57">
        <f>IFERROR(__xludf.DUMMYFUNCTION("""COMPUTED_VALUE"""),45868.0)</f>
        <v>45868</v>
      </c>
    </row>
    <row r="4082">
      <c r="A4082" s="6" t="str">
        <f>IFERROR(__xludf.DUMMYFUNCTION("""COMPUTED_VALUE"""),"121702855-2")</f>
        <v>121702855-2</v>
      </c>
      <c r="B4082" s="6" t="str">
        <f>IFERROR(__xludf.DUMMYFUNCTION("""COMPUTED_VALUE"""),"121702855 - APPROVED")</f>
        <v>121702855 - APPROVED</v>
      </c>
      <c r="C4082" s="6">
        <f>IFERROR(__xludf.DUMMYFUNCTION("""COMPUTED_VALUE"""),2.0)</f>
        <v>2</v>
      </c>
      <c r="D4082" s="6" t="str">
        <f>IFERROR(__xludf.DUMMYFUNCTION("""COMPUTED_VALUE"""),"P-12082-00")</f>
        <v>P-12082-00</v>
      </c>
      <c r="E4082" s="6" t="str">
        <f>IFERROR(__xludf.DUMMYFUNCTION("""COMPUTED_VALUE"""),"General - Clamp Selang, SS, 3/4""; Tridon; -; 1 pcs")</f>
        <v>General - Clamp Selang, SS, 3/4"; Tridon; -; 1 pcs</v>
      </c>
      <c r="F4082" s="6">
        <f>IFERROR(__xludf.DUMMYFUNCTION("""COMPUTED_VALUE"""),10.0)</f>
        <v>10</v>
      </c>
      <c r="G4082" s="6" t="str">
        <f>IFERROR(__xludf.DUMMYFUNCTION("""COMPUTED_VALUE"""),"Pieces")</f>
        <v>Pieces</v>
      </c>
      <c r="H4082" s="6" t="str">
        <f>IFERROR(__xludf.DUMMYFUNCTION("""COMPUTED_VALUE"""),"IDR")</f>
        <v>IDR</v>
      </c>
      <c r="I4082" s="6">
        <f>IFERROR(__xludf.DUMMYFUNCTION("""COMPUTED_VALUE"""),20250.0)</f>
        <v>20250</v>
      </c>
      <c r="J4082" s="6">
        <f>IFERROR(__xludf.DUMMYFUNCTION("""COMPUTED_VALUE"""),202500.0)</f>
        <v>202500</v>
      </c>
      <c r="K4082" s="57">
        <f>IFERROR(__xludf.DUMMYFUNCTION("""COMPUTED_VALUE"""),45849.0)</f>
        <v>45849</v>
      </c>
      <c r="L4082" s="6" t="str">
        <f>IFERROR(__xludf.DUMMYFUNCTION("""COMPUTED_VALUE"""),"FIP Engineering")</f>
        <v>FIP Engineering</v>
      </c>
      <c r="M4082" s="6" t="str">
        <f>IFERROR(__xludf.DUMMYFUNCTION("""COMPUTED_VALUE"""),"Mochammad Fadhillah Hakim,")</f>
        <v>Mochammad Fadhillah Hakim,</v>
      </c>
      <c r="N4082" s="6" t="str">
        <f>IFERROR(__xludf.DUMMYFUNCTION("""COMPUTED_VALUE"""),"FIP Engineering")</f>
        <v>FIP Engineering</v>
      </c>
      <c r="O4082" s="6" t="str">
        <f>IFERROR(__xludf.DUMMYFUNCTION("""COMPUTED_VALUE"""),"FIP-DOM-000-11304-OS00001-INA-000000")</f>
        <v>FIP-DOM-000-11304-OS00001-INA-000000</v>
      </c>
      <c r="P4082" s="6" t="str">
        <f>IFERROR(__xludf.DUMMYFUNCTION("""COMPUTED_VALUE"""),"PO Closed")</f>
        <v>PO Closed</v>
      </c>
      <c r="Q4082" s="6" t="str">
        <f>IFERROR(__xludf.DUMMYFUNCTION("""COMPUTED_VALUE"""),"GL2507408")</f>
        <v>GL2507408</v>
      </c>
      <c r="R4082" s="57">
        <f>IFERROR(__xludf.DUMMYFUNCTION("""COMPUTED_VALUE"""),45818.0)</f>
        <v>45818</v>
      </c>
      <c r="S4082" s="57">
        <f>IFERROR(__xludf.DUMMYFUNCTION("""COMPUTED_VALUE"""),45828.0)</f>
        <v>45828</v>
      </c>
      <c r="T4082" s="57">
        <f>IFERROR(__xludf.DUMMYFUNCTION("""COMPUTED_VALUE"""),45868.0)</f>
        <v>45868</v>
      </c>
    </row>
    <row r="4083">
      <c r="A4083" s="6" t="str">
        <f>IFERROR(__xludf.DUMMYFUNCTION("""COMPUTED_VALUE"""),"121702855-3")</f>
        <v>121702855-3</v>
      </c>
      <c r="B4083" s="6" t="str">
        <f>IFERROR(__xludf.DUMMYFUNCTION("""COMPUTED_VALUE"""),"121702855 - APPROVED")</f>
        <v>121702855 - APPROVED</v>
      </c>
      <c r="C4083" s="6">
        <f>IFERROR(__xludf.DUMMYFUNCTION("""COMPUTED_VALUE"""),3.0)</f>
        <v>3</v>
      </c>
      <c r="D4083" s="6" t="str">
        <f>IFERROR(__xludf.DUMMYFUNCTION("""COMPUTED_VALUE"""),"P-12083-00")</f>
        <v>P-12083-00</v>
      </c>
      <c r="E4083" s="6" t="str">
        <f>IFERROR(__xludf.DUMMYFUNCTION("""COMPUTED_VALUE"""),"General - Clamp Selang, SS, 1/2""; Tridon; -; 1 pcs")</f>
        <v>General - Clamp Selang, SS, 1/2"; Tridon; -; 1 pcs</v>
      </c>
      <c r="F4083" s="6">
        <f>IFERROR(__xludf.DUMMYFUNCTION("""COMPUTED_VALUE"""),10.0)</f>
        <v>10</v>
      </c>
      <c r="G4083" s="6" t="str">
        <f>IFERROR(__xludf.DUMMYFUNCTION("""COMPUTED_VALUE"""),"Pieces")</f>
        <v>Pieces</v>
      </c>
      <c r="H4083" s="6" t="str">
        <f>IFERROR(__xludf.DUMMYFUNCTION("""COMPUTED_VALUE"""),"IDR")</f>
        <v>IDR</v>
      </c>
      <c r="I4083" s="6">
        <f>IFERROR(__xludf.DUMMYFUNCTION("""COMPUTED_VALUE"""),21000.0)</f>
        <v>21000</v>
      </c>
      <c r="J4083" s="6">
        <f>IFERROR(__xludf.DUMMYFUNCTION("""COMPUTED_VALUE"""),210000.0)</f>
        <v>210000</v>
      </c>
      <c r="K4083" s="57">
        <f>IFERROR(__xludf.DUMMYFUNCTION("""COMPUTED_VALUE"""),45849.0)</f>
        <v>45849</v>
      </c>
      <c r="L4083" s="6" t="str">
        <f>IFERROR(__xludf.DUMMYFUNCTION("""COMPUTED_VALUE"""),"FIP Engineering")</f>
        <v>FIP Engineering</v>
      </c>
      <c r="M4083" s="6" t="str">
        <f>IFERROR(__xludf.DUMMYFUNCTION("""COMPUTED_VALUE"""),"Mochammad Fadhillah Hakim,")</f>
        <v>Mochammad Fadhillah Hakim,</v>
      </c>
      <c r="N4083" s="6" t="str">
        <f>IFERROR(__xludf.DUMMYFUNCTION("""COMPUTED_VALUE"""),"FIP Engineering")</f>
        <v>FIP Engineering</v>
      </c>
      <c r="O4083" s="6" t="str">
        <f>IFERROR(__xludf.DUMMYFUNCTION("""COMPUTED_VALUE"""),"FIP-DOM-000-11304-OS00001-INA-000000")</f>
        <v>FIP-DOM-000-11304-OS00001-INA-000000</v>
      </c>
      <c r="P4083" s="6" t="str">
        <f>IFERROR(__xludf.DUMMYFUNCTION("""COMPUTED_VALUE"""),"PO Closed")</f>
        <v>PO Closed</v>
      </c>
      <c r="Q4083" s="6" t="str">
        <f>IFERROR(__xludf.DUMMYFUNCTION("""COMPUTED_VALUE"""),"GL2507408")</f>
        <v>GL2507408</v>
      </c>
      <c r="R4083" s="57">
        <f>IFERROR(__xludf.DUMMYFUNCTION("""COMPUTED_VALUE"""),45818.0)</f>
        <v>45818</v>
      </c>
      <c r="S4083" s="57">
        <f>IFERROR(__xludf.DUMMYFUNCTION("""COMPUTED_VALUE"""),45828.0)</f>
        <v>45828</v>
      </c>
      <c r="T4083" s="57">
        <f>IFERROR(__xludf.DUMMYFUNCTION("""COMPUTED_VALUE"""),45868.0)</f>
        <v>45868</v>
      </c>
    </row>
    <row r="4084">
      <c r="A4084" s="6" t="str">
        <f>IFERROR(__xludf.DUMMYFUNCTION("""COMPUTED_VALUE"""),"121702855-4")</f>
        <v>121702855-4</v>
      </c>
      <c r="B4084" s="6" t="str">
        <f>IFERROR(__xludf.DUMMYFUNCTION("""COMPUTED_VALUE"""),"121702855 - APPROVED")</f>
        <v>121702855 - APPROVED</v>
      </c>
      <c r="C4084" s="6">
        <f>IFERROR(__xludf.DUMMYFUNCTION("""COMPUTED_VALUE"""),4.0)</f>
        <v>4</v>
      </c>
      <c r="D4084" s="6" t="str">
        <f>IFERROR(__xludf.DUMMYFUNCTION("""COMPUTED_VALUE"""),"P-50810-00")</f>
        <v>P-50810-00</v>
      </c>
      <c r="E4084" s="6" t="str">
        <f>IFERROR(__xludf.DUMMYFUNCTION("""COMPUTED_VALUE"""),"Buzzer type AD22-22MSD warna merah with lamp; FORT")</f>
        <v>Buzzer type AD22-22MSD warna merah with lamp; FORT</v>
      </c>
      <c r="F4084" s="6">
        <f>IFERROR(__xludf.DUMMYFUNCTION("""COMPUTED_VALUE"""),7.0)</f>
        <v>7</v>
      </c>
      <c r="G4084" s="6" t="str">
        <f>IFERROR(__xludf.DUMMYFUNCTION("""COMPUTED_VALUE"""),"Pieces")</f>
        <v>Pieces</v>
      </c>
      <c r="H4084" s="6" t="str">
        <f>IFERROR(__xludf.DUMMYFUNCTION("""COMPUTED_VALUE"""),"IDR")</f>
        <v>IDR</v>
      </c>
      <c r="I4084" s="6">
        <f>IFERROR(__xludf.DUMMYFUNCTION("""COMPUTED_VALUE"""),31500.0)</f>
        <v>31500</v>
      </c>
      <c r="J4084" s="6">
        <f>IFERROR(__xludf.DUMMYFUNCTION("""COMPUTED_VALUE"""),220500.0)</f>
        <v>220500</v>
      </c>
      <c r="K4084" s="57">
        <f>IFERROR(__xludf.DUMMYFUNCTION("""COMPUTED_VALUE"""),45849.0)</f>
        <v>45849</v>
      </c>
      <c r="L4084" s="6" t="str">
        <f>IFERROR(__xludf.DUMMYFUNCTION("""COMPUTED_VALUE"""),"FIP Engineering")</f>
        <v>FIP Engineering</v>
      </c>
      <c r="M4084" s="6" t="str">
        <f>IFERROR(__xludf.DUMMYFUNCTION("""COMPUTED_VALUE"""),"Mochammad Fadhillah Hakim,")</f>
        <v>Mochammad Fadhillah Hakim,</v>
      </c>
      <c r="N4084" s="6" t="str">
        <f>IFERROR(__xludf.DUMMYFUNCTION("""COMPUTED_VALUE"""),"FIP Engineering")</f>
        <v>FIP Engineering</v>
      </c>
      <c r="O4084" s="6" t="str">
        <f>IFERROR(__xludf.DUMMYFUNCTION("""COMPUTED_VALUE"""),"FIP-DOM-000-11304-OS00001-INA-000000")</f>
        <v>FIP-DOM-000-11304-OS00001-INA-000000</v>
      </c>
      <c r="P4084" s="6" t="str">
        <f>IFERROR(__xludf.DUMMYFUNCTION("""COMPUTED_VALUE"""),"PO Closed")</f>
        <v>PO Closed</v>
      </c>
      <c r="Q4084" s="6" t="str">
        <f>IFERROR(__xludf.DUMMYFUNCTION("""COMPUTED_VALUE"""),"GL2507409")</f>
        <v>GL2507409</v>
      </c>
      <c r="R4084" s="57">
        <f>IFERROR(__xludf.DUMMYFUNCTION("""COMPUTED_VALUE"""),45818.0)</f>
        <v>45818</v>
      </c>
      <c r="S4084" s="57">
        <f>IFERROR(__xludf.DUMMYFUNCTION("""COMPUTED_VALUE"""),45828.0)</f>
        <v>45828</v>
      </c>
      <c r="T4084" s="57">
        <f>IFERROR(__xludf.DUMMYFUNCTION("""COMPUTED_VALUE"""),45868.0)</f>
        <v>45868</v>
      </c>
    </row>
    <row r="4085">
      <c r="A4085" s="6" t="str">
        <f>IFERROR(__xludf.DUMMYFUNCTION("""COMPUTED_VALUE"""),"121702856-1")</f>
        <v>121702856-1</v>
      </c>
      <c r="B4085" s="6" t="str">
        <f>IFERROR(__xludf.DUMMYFUNCTION("""COMPUTED_VALUE"""),"121702856 - APPROVED")</f>
        <v>121702856 - APPROVED</v>
      </c>
      <c r="C4085" s="6">
        <f>IFERROR(__xludf.DUMMYFUNCTION("""COMPUTED_VALUE"""),1.0)</f>
        <v>1</v>
      </c>
      <c r="D4085" s="6" t="str">
        <f>IFERROR(__xludf.DUMMYFUNCTION("""COMPUTED_VALUE"""),"P-14457-00")</f>
        <v>P-14457-00</v>
      </c>
      <c r="E4085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F4085" s="6">
        <f>IFERROR(__xludf.DUMMYFUNCTION("""COMPUTED_VALUE"""),10.0)</f>
        <v>10</v>
      </c>
      <c r="G4085" s="6" t="str">
        <f>IFERROR(__xludf.DUMMYFUNCTION("""COMPUTED_VALUE"""),"Pieces")</f>
        <v>Pieces</v>
      </c>
      <c r="H4085" s="6" t="str">
        <f>IFERROR(__xludf.DUMMYFUNCTION("""COMPUTED_VALUE"""),"IDR")</f>
        <v>IDR</v>
      </c>
      <c r="I4085" s="6">
        <f>IFERROR(__xludf.DUMMYFUNCTION("""COMPUTED_VALUE"""),1800000.0)</f>
        <v>1800000</v>
      </c>
      <c r="J4085" s="6">
        <f>IFERROR(__xludf.DUMMYFUNCTION("""COMPUTED_VALUE"""),1.8E7)</f>
        <v>18000000</v>
      </c>
      <c r="K4085" s="57">
        <f>IFERROR(__xludf.DUMMYFUNCTION("""COMPUTED_VALUE"""),45849.0)</f>
        <v>45849</v>
      </c>
      <c r="L4085" s="6" t="str">
        <f>IFERROR(__xludf.DUMMYFUNCTION("""COMPUTED_VALUE"""),"FIP Engineering")</f>
        <v>FIP Engineering</v>
      </c>
      <c r="M4085" s="6" t="str">
        <f>IFERROR(__xludf.DUMMYFUNCTION("""COMPUTED_VALUE"""),"Mochammad Fadhillah Hakim,")</f>
        <v>Mochammad Fadhillah Hakim,</v>
      </c>
      <c r="N4085" s="6" t="str">
        <f>IFERROR(__xludf.DUMMYFUNCTION("""COMPUTED_VALUE"""),"FIP Engineering")</f>
        <v>FIP Engineering</v>
      </c>
      <c r="O4085" s="6" t="str">
        <f>IFERROR(__xludf.DUMMYFUNCTION("""COMPUTED_VALUE"""),"FIP-DOM-000-11304-OS00001-INA-000000")</f>
        <v>FIP-DOM-000-11304-OS00001-INA-000000</v>
      </c>
      <c r="P4085" s="6" t="str">
        <f>IFERROR(__xludf.DUMMYFUNCTION("""COMPUTED_VALUE"""),"PO Closed")</f>
        <v>PO Closed</v>
      </c>
      <c r="Q4085" s="6" t="str">
        <f>IFERROR(__xludf.DUMMYFUNCTION("""COMPUTED_VALUE"""),"GL2507412")</f>
        <v>GL2507412</v>
      </c>
      <c r="R4085" s="57">
        <f>IFERROR(__xludf.DUMMYFUNCTION("""COMPUTED_VALUE"""),45818.0)</f>
        <v>45818</v>
      </c>
      <c r="S4085" s="57">
        <f>IFERROR(__xludf.DUMMYFUNCTION("""COMPUTED_VALUE"""),45839.0)</f>
        <v>45839</v>
      </c>
      <c r="T4085" s="57">
        <f>IFERROR(__xludf.DUMMYFUNCTION("""COMPUTED_VALUE"""),45849.0)</f>
        <v>45849</v>
      </c>
    </row>
    <row r="4086">
      <c r="A4086" s="6" t="str">
        <f>IFERROR(__xludf.DUMMYFUNCTION("""COMPUTED_VALUE"""),"121702856-2")</f>
        <v>121702856-2</v>
      </c>
      <c r="B4086" s="6" t="str">
        <f>IFERROR(__xludf.DUMMYFUNCTION("""COMPUTED_VALUE"""),"121702856 - APPROVED")</f>
        <v>121702856 - APPROVED</v>
      </c>
      <c r="C4086" s="6">
        <f>IFERROR(__xludf.DUMMYFUNCTION("""COMPUTED_VALUE"""),2.0)</f>
        <v>2</v>
      </c>
      <c r="D4086" s="6" t="str">
        <f>IFERROR(__xludf.DUMMYFUNCTION("""COMPUTED_VALUE"""),"P-14458-00")</f>
        <v>P-14458-00</v>
      </c>
      <c r="E4086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F4086" s="6">
        <f>IFERROR(__xludf.DUMMYFUNCTION("""COMPUTED_VALUE"""),10.0)</f>
        <v>10</v>
      </c>
      <c r="G4086" s="6" t="str">
        <f>IFERROR(__xludf.DUMMYFUNCTION("""COMPUTED_VALUE"""),"Pieces")</f>
        <v>Pieces</v>
      </c>
      <c r="H4086" s="6" t="str">
        <f>IFERROR(__xludf.DUMMYFUNCTION("""COMPUTED_VALUE"""),"IDR")</f>
        <v>IDR</v>
      </c>
      <c r="I4086" s="6">
        <f>IFERROR(__xludf.DUMMYFUNCTION("""COMPUTED_VALUE"""),700000.0)</f>
        <v>700000</v>
      </c>
      <c r="J4086" s="6">
        <f>IFERROR(__xludf.DUMMYFUNCTION("""COMPUTED_VALUE"""),7000000.0)</f>
        <v>7000000</v>
      </c>
      <c r="K4086" s="57">
        <f>IFERROR(__xludf.DUMMYFUNCTION("""COMPUTED_VALUE"""),45849.0)</f>
        <v>45849</v>
      </c>
      <c r="L4086" s="6" t="str">
        <f>IFERROR(__xludf.DUMMYFUNCTION("""COMPUTED_VALUE"""),"FIP Engineering")</f>
        <v>FIP Engineering</v>
      </c>
      <c r="M4086" s="6" t="str">
        <f>IFERROR(__xludf.DUMMYFUNCTION("""COMPUTED_VALUE"""),"Mochammad Fadhillah Hakim,")</f>
        <v>Mochammad Fadhillah Hakim,</v>
      </c>
      <c r="N4086" s="6" t="str">
        <f>IFERROR(__xludf.DUMMYFUNCTION("""COMPUTED_VALUE"""),"FIP Engineering")</f>
        <v>FIP Engineering</v>
      </c>
      <c r="O4086" s="6" t="str">
        <f>IFERROR(__xludf.DUMMYFUNCTION("""COMPUTED_VALUE"""),"FIP-DOM-000-11304-OS00001-INA-000000")</f>
        <v>FIP-DOM-000-11304-OS00001-INA-000000</v>
      </c>
      <c r="P4086" s="6" t="str">
        <f>IFERROR(__xludf.DUMMYFUNCTION("""COMPUTED_VALUE"""),"PO Closed")</f>
        <v>PO Closed</v>
      </c>
      <c r="Q4086" s="6" t="str">
        <f>IFERROR(__xludf.DUMMYFUNCTION("""COMPUTED_VALUE"""),"GL2507412")</f>
        <v>GL2507412</v>
      </c>
      <c r="R4086" s="57">
        <f>IFERROR(__xludf.DUMMYFUNCTION("""COMPUTED_VALUE"""),45818.0)</f>
        <v>45818</v>
      </c>
      <c r="S4086" s="57">
        <f>IFERROR(__xludf.DUMMYFUNCTION("""COMPUTED_VALUE"""),45839.0)</f>
        <v>45839</v>
      </c>
      <c r="T4086" s="57">
        <f>IFERROR(__xludf.DUMMYFUNCTION("""COMPUTED_VALUE"""),45849.0)</f>
        <v>45849</v>
      </c>
    </row>
    <row r="4087">
      <c r="A4087" s="6" t="str">
        <f>IFERROR(__xludf.DUMMYFUNCTION("""COMPUTED_VALUE"""),"121702857-1")</f>
        <v>121702857-1</v>
      </c>
      <c r="B4087" s="6" t="str">
        <f>IFERROR(__xludf.DUMMYFUNCTION("""COMPUTED_VALUE"""),"121702857 - APPROVED")</f>
        <v>121702857 - APPROVED</v>
      </c>
      <c r="C4087" s="6">
        <f>IFERROR(__xludf.DUMMYFUNCTION("""COMPUTED_VALUE"""),1.0)</f>
        <v>1</v>
      </c>
      <c r="D4087" s="6" t="str">
        <f>IFERROR(__xludf.DUMMYFUNCTION("""COMPUTED_VALUE"""),"P-19818-00")</f>
        <v>P-19818-00</v>
      </c>
      <c r="E4087" s="6" t="str">
        <f>IFERROR(__xludf.DUMMYFUNCTION("""COMPUTED_VALUE"""),"General - Regulator AR2000-02 Uk. 1/4inch; ITAC; -; 1 pc")</f>
        <v>General - Regulator AR2000-02 Uk. 1/4inch; ITAC; -; 1 pc</v>
      </c>
      <c r="F4087" s="6">
        <f>IFERROR(__xludf.DUMMYFUNCTION("""COMPUTED_VALUE"""),1.0)</f>
        <v>1</v>
      </c>
      <c r="G4087" s="6" t="str">
        <f>IFERROR(__xludf.DUMMYFUNCTION("""COMPUTED_VALUE"""),"Pieces")</f>
        <v>Pieces</v>
      </c>
      <c r="H4087" s="6" t="str">
        <f>IFERROR(__xludf.DUMMYFUNCTION("""COMPUTED_VALUE"""),"IDR")</f>
        <v>IDR</v>
      </c>
      <c r="I4087" s="6">
        <f>IFERROR(__xludf.DUMMYFUNCTION("""COMPUTED_VALUE"""),105000.0)</f>
        <v>105000</v>
      </c>
      <c r="J4087" s="6">
        <f>IFERROR(__xludf.DUMMYFUNCTION("""COMPUTED_VALUE"""),105000.0)</f>
        <v>105000</v>
      </c>
      <c r="K4087" s="57">
        <f>IFERROR(__xludf.DUMMYFUNCTION("""COMPUTED_VALUE"""),45849.0)</f>
        <v>45849</v>
      </c>
      <c r="L4087" s="6" t="str">
        <f>IFERROR(__xludf.DUMMYFUNCTION("""COMPUTED_VALUE"""),"FIP Engineering")</f>
        <v>FIP Engineering</v>
      </c>
      <c r="M4087" s="6" t="str">
        <f>IFERROR(__xludf.DUMMYFUNCTION("""COMPUTED_VALUE"""),"Mochammad Fadhillah Hakim,")</f>
        <v>Mochammad Fadhillah Hakim,</v>
      </c>
      <c r="N4087" s="6" t="str">
        <f>IFERROR(__xludf.DUMMYFUNCTION("""COMPUTED_VALUE"""),"FIP Engineering")</f>
        <v>FIP Engineering</v>
      </c>
      <c r="O4087" s="6" t="str">
        <f>IFERROR(__xludf.DUMMYFUNCTION("""COMPUTED_VALUE"""),"FIP-DOM-000-11304-OS00001-INA-000000")</f>
        <v>FIP-DOM-000-11304-OS00001-INA-000000</v>
      </c>
      <c r="P4087" s="6" t="str">
        <f>IFERROR(__xludf.DUMMYFUNCTION("""COMPUTED_VALUE"""),"PO Closed")</f>
        <v>PO Closed</v>
      </c>
      <c r="Q4087" s="6" t="str">
        <f>IFERROR(__xludf.DUMMYFUNCTION("""COMPUTED_VALUE"""),"GL2507409")</f>
        <v>GL2507409</v>
      </c>
      <c r="R4087" s="57">
        <f>IFERROR(__xludf.DUMMYFUNCTION("""COMPUTED_VALUE"""),45818.0)</f>
        <v>45818</v>
      </c>
      <c r="S4087" s="57">
        <f>IFERROR(__xludf.DUMMYFUNCTION("""COMPUTED_VALUE"""),45828.0)</f>
        <v>45828</v>
      </c>
      <c r="T4087" s="57">
        <f>IFERROR(__xludf.DUMMYFUNCTION("""COMPUTED_VALUE"""),45868.0)</f>
        <v>45868</v>
      </c>
    </row>
    <row r="4088">
      <c r="A4088" s="6" t="str">
        <f>IFERROR(__xludf.DUMMYFUNCTION("""COMPUTED_VALUE"""),"121702857-2")</f>
        <v>121702857-2</v>
      </c>
      <c r="B4088" s="6" t="str">
        <f>IFERROR(__xludf.DUMMYFUNCTION("""COMPUTED_VALUE"""),"121702857 - APPROVED")</f>
        <v>121702857 - APPROVED</v>
      </c>
      <c r="C4088" s="6">
        <f>IFERROR(__xludf.DUMMYFUNCTION("""COMPUTED_VALUE"""),2.0)</f>
        <v>2</v>
      </c>
      <c r="D4088" s="6" t="str">
        <f>IFERROR(__xludf.DUMMYFUNCTION("""COMPUTED_VALUE"""),"P-19845-00")</f>
        <v>P-19845-00</v>
      </c>
      <c r="E4088" s="6" t="str">
        <f>IFERROR(__xludf.DUMMYFUNCTION("""COMPUTED_VALUE"""),"General - Roda PU 2 Inch tebal 25mm (Hanya Roda); No Brand; -; 1 pc")</f>
        <v>General - Roda PU 2 Inch tebal 25mm (Hanya Roda); No Brand; -; 1 pc</v>
      </c>
      <c r="F4088" s="6">
        <f>IFERROR(__xludf.DUMMYFUNCTION("""COMPUTED_VALUE"""),4.0)</f>
        <v>4</v>
      </c>
      <c r="G4088" s="6" t="str">
        <f>IFERROR(__xludf.DUMMYFUNCTION("""COMPUTED_VALUE"""),"Pieces")</f>
        <v>Pieces</v>
      </c>
      <c r="H4088" s="6" t="str">
        <f>IFERROR(__xludf.DUMMYFUNCTION("""COMPUTED_VALUE"""),"IDR")</f>
        <v>IDR</v>
      </c>
      <c r="I4088" s="6">
        <f>IFERROR(__xludf.DUMMYFUNCTION("""COMPUTED_VALUE"""),30000.0)</f>
        <v>30000</v>
      </c>
      <c r="J4088" s="6">
        <f>IFERROR(__xludf.DUMMYFUNCTION("""COMPUTED_VALUE"""),120000.0)</f>
        <v>120000</v>
      </c>
      <c r="K4088" s="57">
        <f>IFERROR(__xludf.DUMMYFUNCTION("""COMPUTED_VALUE"""),45849.0)</f>
        <v>45849</v>
      </c>
      <c r="L4088" s="6" t="str">
        <f>IFERROR(__xludf.DUMMYFUNCTION("""COMPUTED_VALUE"""),"FIP Engineering")</f>
        <v>FIP Engineering</v>
      </c>
      <c r="M4088" s="6" t="str">
        <f>IFERROR(__xludf.DUMMYFUNCTION("""COMPUTED_VALUE"""),"Mochammad Fadhillah Hakim,")</f>
        <v>Mochammad Fadhillah Hakim,</v>
      </c>
      <c r="N4088" s="6" t="str">
        <f>IFERROR(__xludf.DUMMYFUNCTION("""COMPUTED_VALUE"""),"FIP Engineering")</f>
        <v>FIP Engineering</v>
      </c>
      <c r="O4088" s="6" t="str">
        <f>IFERROR(__xludf.DUMMYFUNCTION("""COMPUTED_VALUE"""),"FIP-DOM-000-11304-OS00001-INA-000000")</f>
        <v>FIP-DOM-000-11304-OS00001-INA-000000</v>
      </c>
      <c r="P4088" s="6" t="str">
        <f>IFERROR(__xludf.DUMMYFUNCTION("""COMPUTED_VALUE"""),"PO Closed")</f>
        <v>PO Closed</v>
      </c>
      <c r="Q4088" s="6" t="str">
        <f>IFERROR(__xludf.DUMMYFUNCTION("""COMPUTED_VALUE"""),"GL2507406")</f>
        <v>GL2507406</v>
      </c>
      <c r="R4088" s="57">
        <f>IFERROR(__xludf.DUMMYFUNCTION("""COMPUTED_VALUE"""),45818.0)</f>
        <v>45818</v>
      </c>
      <c r="S4088" s="57">
        <f>IFERROR(__xludf.DUMMYFUNCTION("""COMPUTED_VALUE"""),45828.0)</f>
        <v>45828</v>
      </c>
      <c r="T4088" s="57">
        <f>IFERROR(__xludf.DUMMYFUNCTION("""COMPUTED_VALUE"""),45868.0)</f>
        <v>45868</v>
      </c>
    </row>
    <row r="4089">
      <c r="A4089" s="6" t="str">
        <f>IFERROR(__xludf.DUMMYFUNCTION("""COMPUTED_VALUE"""),"121702857-3")</f>
        <v>121702857-3</v>
      </c>
      <c r="B4089" s="6" t="str">
        <f>IFERROR(__xludf.DUMMYFUNCTION("""COMPUTED_VALUE"""),"121702857 - APPROVED")</f>
        <v>121702857 - APPROVED</v>
      </c>
      <c r="C4089" s="6">
        <f>IFERROR(__xludf.DUMMYFUNCTION("""COMPUTED_VALUE"""),3.0)</f>
        <v>3</v>
      </c>
      <c r="D4089" s="6" t="str">
        <f>IFERROR(__xludf.DUMMYFUNCTION("""COMPUTED_VALUE"""),"P-19846-00")</f>
        <v>P-19846-00</v>
      </c>
      <c r="E4089" s="6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F4089" s="6">
        <f>IFERROR(__xludf.DUMMYFUNCTION("""COMPUTED_VALUE"""),10.0)</f>
        <v>10</v>
      </c>
      <c r="G4089" s="6" t="str">
        <f>IFERROR(__xludf.DUMMYFUNCTION("""COMPUTED_VALUE"""),"Pieces")</f>
        <v>Pieces</v>
      </c>
      <c r="H4089" s="6" t="str">
        <f>IFERROR(__xludf.DUMMYFUNCTION("""COMPUTED_VALUE"""),"IDR")</f>
        <v>IDR</v>
      </c>
      <c r="I4089" s="6">
        <f>IFERROR(__xludf.DUMMYFUNCTION("""COMPUTED_VALUE"""),45000.0)</f>
        <v>45000</v>
      </c>
      <c r="J4089" s="6">
        <f>IFERROR(__xludf.DUMMYFUNCTION("""COMPUTED_VALUE"""),450000.0)</f>
        <v>450000</v>
      </c>
      <c r="K4089" s="57">
        <f>IFERROR(__xludf.DUMMYFUNCTION("""COMPUTED_VALUE"""),45849.0)</f>
        <v>45849</v>
      </c>
      <c r="L4089" s="6" t="str">
        <f>IFERROR(__xludf.DUMMYFUNCTION("""COMPUTED_VALUE"""),"FIP Engineering")</f>
        <v>FIP Engineering</v>
      </c>
      <c r="M4089" s="6" t="str">
        <f>IFERROR(__xludf.DUMMYFUNCTION("""COMPUTED_VALUE"""),"Mochammad Fadhillah Hakim,")</f>
        <v>Mochammad Fadhillah Hakim,</v>
      </c>
      <c r="N4089" s="6" t="str">
        <f>IFERROR(__xludf.DUMMYFUNCTION("""COMPUTED_VALUE"""),"FIP Engineering")</f>
        <v>FIP Engineering</v>
      </c>
      <c r="O4089" s="6" t="str">
        <f>IFERROR(__xludf.DUMMYFUNCTION("""COMPUTED_VALUE"""),"FIP-DOM-000-11304-OS00001-INA-000000")</f>
        <v>FIP-DOM-000-11304-OS00001-INA-000000</v>
      </c>
      <c r="P4089" s="6" t="str">
        <f>IFERROR(__xludf.DUMMYFUNCTION("""COMPUTED_VALUE"""),"PO Closed")</f>
        <v>PO Closed</v>
      </c>
      <c r="Q4089" s="6" t="str">
        <f>IFERROR(__xludf.DUMMYFUNCTION("""COMPUTED_VALUE"""),"GL2507406")</f>
        <v>GL2507406</v>
      </c>
      <c r="R4089" s="57">
        <f>IFERROR(__xludf.DUMMYFUNCTION("""COMPUTED_VALUE"""),45818.0)</f>
        <v>45818</v>
      </c>
      <c r="S4089" s="57">
        <f>IFERROR(__xludf.DUMMYFUNCTION("""COMPUTED_VALUE"""),45828.0)</f>
        <v>45828</v>
      </c>
      <c r="T4089" s="57">
        <f>IFERROR(__xludf.DUMMYFUNCTION("""COMPUTED_VALUE"""),45868.0)</f>
        <v>45868</v>
      </c>
    </row>
    <row r="4090">
      <c r="A4090" s="6" t="str">
        <f>IFERROR(__xludf.DUMMYFUNCTION("""COMPUTED_VALUE"""),"121702857-4")</f>
        <v>121702857-4</v>
      </c>
      <c r="B4090" s="6" t="str">
        <f>IFERROR(__xludf.DUMMYFUNCTION("""COMPUTED_VALUE"""),"121702857 - APPROVED")</f>
        <v>121702857 - APPROVED</v>
      </c>
      <c r="C4090" s="6">
        <f>IFERROR(__xludf.DUMMYFUNCTION("""COMPUTED_VALUE"""),4.0)</f>
        <v>4</v>
      </c>
      <c r="D4090" s="6" t="str">
        <f>IFERROR(__xludf.DUMMYFUNCTION("""COMPUTED_VALUE"""),"P-19847-00")</f>
        <v>P-19847-00</v>
      </c>
      <c r="E4090" s="6" t="str">
        <f>IFERROR(__xludf.DUMMYFUNCTION("""COMPUTED_VALUE"""),"General - Baut L Tanam M4x4mm SS304; No Brand; -; 100pcs/pack")</f>
        <v>General - Baut L Tanam M4x4mm SS304; No Brand; -; 100pcs/pack</v>
      </c>
      <c r="F4090" s="6">
        <f>IFERROR(__xludf.DUMMYFUNCTION("""COMPUTED_VALUE"""),1.0)</f>
        <v>1</v>
      </c>
      <c r="G4090" s="6" t="str">
        <f>IFERROR(__xludf.DUMMYFUNCTION("""COMPUTED_VALUE"""),"Pack")</f>
        <v>Pack</v>
      </c>
      <c r="H4090" s="6" t="str">
        <f>IFERROR(__xludf.DUMMYFUNCTION("""COMPUTED_VALUE"""),"IDR")</f>
        <v>IDR</v>
      </c>
      <c r="I4090" s="6">
        <f>IFERROR(__xludf.DUMMYFUNCTION("""COMPUTED_VALUE"""),105000.0)</f>
        <v>105000</v>
      </c>
      <c r="J4090" s="6">
        <f>IFERROR(__xludf.DUMMYFUNCTION("""COMPUTED_VALUE"""),105000.0)</f>
        <v>105000</v>
      </c>
      <c r="K4090" s="57">
        <f>IFERROR(__xludf.DUMMYFUNCTION("""COMPUTED_VALUE"""),45849.0)</f>
        <v>45849</v>
      </c>
      <c r="L4090" s="6" t="str">
        <f>IFERROR(__xludf.DUMMYFUNCTION("""COMPUTED_VALUE"""),"FIP Engineering")</f>
        <v>FIP Engineering</v>
      </c>
      <c r="M4090" s="6" t="str">
        <f>IFERROR(__xludf.DUMMYFUNCTION("""COMPUTED_VALUE"""),"Mochammad Fadhillah Hakim,")</f>
        <v>Mochammad Fadhillah Hakim,</v>
      </c>
      <c r="N4090" s="6" t="str">
        <f>IFERROR(__xludf.DUMMYFUNCTION("""COMPUTED_VALUE"""),"FIP Engineering")</f>
        <v>FIP Engineering</v>
      </c>
      <c r="O4090" s="6" t="str">
        <f>IFERROR(__xludf.DUMMYFUNCTION("""COMPUTED_VALUE"""),"FIP-DOM-000-11304-OS00001-INA-000000")</f>
        <v>FIP-DOM-000-11304-OS00001-INA-000000</v>
      </c>
      <c r="P4090" s="6" t="str">
        <f>IFERROR(__xludf.DUMMYFUNCTION("""COMPUTED_VALUE"""),"PO Closed")</f>
        <v>PO Closed</v>
      </c>
      <c r="Q4090" s="6" t="str">
        <f>IFERROR(__xludf.DUMMYFUNCTION("""COMPUTED_VALUE"""),"GL2507406")</f>
        <v>GL2507406</v>
      </c>
      <c r="R4090" s="57">
        <f>IFERROR(__xludf.DUMMYFUNCTION("""COMPUTED_VALUE"""),45818.0)</f>
        <v>45818</v>
      </c>
      <c r="S4090" s="57">
        <f>IFERROR(__xludf.DUMMYFUNCTION("""COMPUTED_VALUE"""),45828.0)</f>
        <v>45828</v>
      </c>
      <c r="T4090" s="57">
        <f>IFERROR(__xludf.DUMMYFUNCTION("""COMPUTED_VALUE"""),45868.0)</f>
        <v>45868</v>
      </c>
    </row>
    <row r="4091">
      <c r="A4091" s="6" t="str">
        <f>IFERROR(__xludf.DUMMYFUNCTION("""COMPUTED_VALUE"""),"121702857-5")</f>
        <v>121702857-5</v>
      </c>
      <c r="B4091" s="6" t="str">
        <f>IFERROR(__xludf.DUMMYFUNCTION("""COMPUTED_VALUE"""),"121702857 - APPROVED")</f>
        <v>121702857 - APPROVED</v>
      </c>
      <c r="C4091" s="6">
        <f>IFERROR(__xludf.DUMMYFUNCTION("""COMPUTED_VALUE"""),5.0)</f>
        <v>5</v>
      </c>
      <c r="D4091" s="6" t="str">
        <f>IFERROR(__xludf.DUMMYFUNCTION("""COMPUTED_VALUE"""),"P-19848-00")</f>
        <v>P-19848-00</v>
      </c>
      <c r="E4091" s="6" t="str">
        <f>IFERROR(__xludf.DUMMYFUNCTION("""COMPUTED_VALUE"""),"General - Kawat Las Elektrode uk. 2,6x300mm; Niko Steel; NSN-308; 1 pc")</f>
        <v>General - Kawat Las Elektrode uk. 2,6x300mm; Niko Steel; NSN-308; 1 pc</v>
      </c>
      <c r="F4091" s="6">
        <f>IFERROR(__xludf.DUMMYFUNCTION("""COMPUTED_VALUE"""),3.0)</f>
        <v>3</v>
      </c>
      <c r="G4091" s="6" t="str">
        <f>IFERROR(__xludf.DUMMYFUNCTION("""COMPUTED_VALUE"""),"Pieces")</f>
        <v>Pieces</v>
      </c>
      <c r="H4091" s="6" t="str">
        <f>IFERROR(__xludf.DUMMYFUNCTION("""COMPUTED_VALUE"""),"IDR")</f>
        <v>IDR</v>
      </c>
      <c r="I4091" s="6">
        <f>IFERROR(__xludf.DUMMYFUNCTION("""COMPUTED_VALUE"""),6000.0)</f>
        <v>6000</v>
      </c>
      <c r="J4091" s="6">
        <f>IFERROR(__xludf.DUMMYFUNCTION("""COMPUTED_VALUE"""),18000.0)</f>
        <v>18000</v>
      </c>
      <c r="K4091" s="57">
        <f>IFERROR(__xludf.DUMMYFUNCTION("""COMPUTED_VALUE"""),45849.0)</f>
        <v>45849</v>
      </c>
      <c r="L4091" s="6" t="str">
        <f>IFERROR(__xludf.DUMMYFUNCTION("""COMPUTED_VALUE"""),"FIP Engineering")</f>
        <v>FIP Engineering</v>
      </c>
      <c r="M4091" s="6" t="str">
        <f>IFERROR(__xludf.DUMMYFUNCTION("""COMPUTED_VALUE"""),"Mochammad Fadhillah Hakim,")</f>
        <v>Mochammad Fadhillah Hakim,</v>
      </c>
      <c r="N4091" s="6" t="str">
        <f>IFERROR(__xludf.DUMMYFUNCTION("""COMPUTED_VALUE"""),"FIP Engineering")</f>
        <v>FIP Engineering</v>
      </c>
      <c r="O4091" s="6" t="str">
        <f>IFERROR(__xludf.DUMMYFUNCTION("""COMPUTED_VALUE"""),"FIP-DOM-000-11304-OS00001-INA-000000")</f>
        <v>FIP-DOM-000-11304-OS00001-INA-000000</v>
      </c>
      <c r="P4091" s="6" t="str">
        <f>IFERROR(__xludf.DUMMYFUNCTION("""COMPUTED_VALUE"""),"PO Closed")</f>
        <v>PO Closed</v>
      </c>
      <c r="Q4091" s="6" t="str">
        <f>IFERROR(__xludf.DUMMYFUNCTION("""COMPUTED_VALUE"""),"GL2507407")</f>
        <v>GL2507407</v>
      </c>
      <c r="R4091" s="57">
        <f>IFERROR(__xludf.DUMMYFUNCTION("""COMPUTED_VALUE"""),45818.0)</f>
        <v>45818</v>
      </c>
      <c r="S4091" s="57">
        <f>IFERROR(__xludf.DUMMYFUNCTION("""COMPUTED_VALUE"""),45828.0)</f>
        <v>45828</v>
      </c>
      <c r="T4091" s="57">
        <f>IFERROR(__xludf.DUMMYFUNCTION("""COMPUTED_VALUE"""),46016.0)</f>
        <v>46016</v>
      </c>
    </row>
    <row r="4092">
      <c r="A4092" s="6" t="str">
        <f>IFERROR(__xludf.DUMMYFUNCTION("""COMPUTED_VALUE"""),"121702857-6")</f>
        <v>121702857-6</v>
      </c>
      <c r="B4092" s="6" t="str">
        <f>IFERROR(__xludf.DUMMYFUNCTION("""COMPUTED_VALUE"""),"121702857 - APPROVED")</f>
        <v>121702857 - APPROVED</v>
      </c>
      <c r="C4092" s="6">
        <f>IFERROR(__xludf.DUMMYFUNCTION("""COMPUTED_VALUE"""),6.0)</f>
        <v>6</v>
      </c>
      <c r="D4092" s="6" t="str">
        <f>IFERROR(__xludf.DUMMYFUNCTION("""COMPUTED_VALUE"""),"P-19849-00")</f>
        <v>P-19849-00</v>
      </c>
      <c r="E4092" s="6" t="str">
        <f>IFERROR(__xludf.DUMMYFUNCTION("""COMPUTED_VALUE"""),"General - Reducer Pneumatic Fitting 14-12 mm; EMC; -; 1 pc")</f>
        <v>General - Reducer Pneumatic Fitting 14-12 mm; EMC; -; 1 pc</v>
      </c>
      <c r="F4092" s="6">
        <f>IFERROR(__xludf.DUMMYFUNCTION("""COMPUTED_VALUE"""),8.0)</f>
        <v>8</v>
      </c>
      <c r="G4092" s="6" t="str">
        <f>IFERROR(__xludf.DUMMYFUNCTION("""COMPUTED_VALUE"""),"Pieces")</f>
        <v>Pieces</v>
      </c>
      <c r="H4092" s="6" t="str">
        <f>IFERROR(__xludf.DUMMYFUNCTION("""COMPUTED_VALUE"""),"IDR")</f>
        <v>IDR</v>
      </c>
      <c r="I4092" s="6">
        <f>IFERROR(__xludf.DUMMYFUNCTION("""COMPUTED_VALUE"""),12000.0)</f>
        <v>12000</v>
      </c>
      <c r="J4092" s="6">
        <f>IFERROR(__xludf.DUMMYFUNCTION("""COMPUTED_VALUE"""),96000.0)</f>
        <v>96000</v>
      </c>
      <c r="K4092" s="57">
        <f>IFERROR(__xludf.DUMMYFUNCTION("""COMPUTED_VALUE"""),45849.0)</f>
        <v>45849</v>
      </c>
      <c r="L4092" s="6" t="str">
        <f>IFERROR(__xludf.DUMMYFUNCTION("""COMPUTED_VALUE"""),"FIP Engineering")</f>
        <v>FIP Engineering</v>
      </c>
      <c r="M4092" s="6" t="str">
        <f>IFERROR(__xludf.DUMMYFUNCTION("""COMPUTED_VALUE"""),"Mochammad Fadhillah Hakim,")</f>
        <v>Mochammad Fadhillah Hakim,</v>
      </c>
      <c r="N4092" s="6" t="str">
        <f>IFERROR(__xludf.DUMMYFUNCTION("""COMPUTED_VALUE"""),"FIP Engineering")</f>
        <v>FIP Engineering</v>
      </c>
      <c r="O4092" s="6" t="str">
        <f>IFERROR(__xludf.DUMMYFUNCTION("""COMPUTED_VALUE"""),"FIP-DOM-000-11304-OS00001-INA-000000")</f>
        <v>FIP-DOM-000-11304-OS00001-INA-000000</v>
      </c>
      <c r="P4092" s="6" t="str">
        <f>IFERROR(__xludf.DUMMYFUNCTION("""COMPUTED_VALUE"""),"PO Closed")</f>
        <v>PO Closed</v>
      </c>
      <c r="Q4092" s="6" t="str">
        <f>IFERROR(__xludf.DUMMYFUNCTION("""COMPUTED_VALUE"""),"GL2507407")</f>
        <v>GL2507407</v>
      </c>
      <c r="R4092" s="57">
        <f>IFERROR(__xludf.DUMMYFUNCTION("""COMPUTED_VALUE"""),45818.0)</f>
        <v>45818</v>
      </c>
      <c r="S4092" s="57">
        <f>IFERROR(__xludf.DUMMYFUNCTION("""COMPUTED_VALUE"""),45828.0)</f>
        <v>45828</v>
      </c>
      <c r="T4092" s="57">
        <f>IFERROR(__xludf.DUMMYFUNCTION("""COMPUTED_VALUE"""),46016.0)</f>
        <v>46016</v>
      </c>
    </row>
    <row r="4093">
      <c r="A4093" s="6" t="str">
        <f>IFERROR(__xludf.DUMMYFUNCTION("""COMPUTED_VALUE"""),"121702858-1")</f>
        <v>121702858-1</v>
      </c>
      <c r="B4093" s="6" t="str">
        <f>IFERROR(__xludf.DUMMYFUNCTION("""COMPUTED_VALUE"""),"121702858 - APPROVED")</f>
        <v>121702858 - APPROVED</v>
      </c>
      <c r="C4093" s="6">
        <f>IFERROR(__xludf.DUMMYFUNCTION("""COMPUTED_VALUE"""),1.0)</f>
        <v>1</v>
      </c>
      <c r="D4093" s="6" t="str">
        <f>IFERROR(__xludf.DUMMYFUNCTION("""COMPUTED_VALUE"""),"Q-70163-00")</f>
        <v>Q-70163-00</v>
      </c>
      <c r="E4093" s="6" t="str">
        <f>IFERROR(__xludf.DUMMYFUNCTION("""COMPUTED_VALUE"""),"Handle Tap Balik / Handle Tap M3-M12 mm; Tekiro; GT-TH1864; pc")</f>
        <v>Handle Tap Balik / Handle Tap M3-M12 mm; Tekiro; GT-TH1864; pc</v>
      </c>
      <c r="F4093" s="6">
        <f>IFERROR(__xludf.DUMMYFUNCTION("""COMPUTED_VALUE"""),1.0)</f>
        <v>1</v>
      </c>
      <c r="G4093" s="6" t="str">
        <f>IFERROR(__xludf.DUMMYFUNCTION("""COMPUTED_VALUE"""),"Pieces")</f>
        <v>Pieces</v>
      </c>
      <c r="H4093" s="6" t="str">
        <f>IFERROR(__xludf.DUMMYFUNCTION("""COMPUTED_VALUE"""),"IDR")</f>
        <v>IDR</v>
      </c>
      <c r="I4093" s="6">
        <f>IFERROR(__xludf.DUMMYFUNCTION("""COMPUTED_VALUE"""),135000.0)</f>
        <v>135000</v>
      </c>
      <c r="J4093" s="6">
        <f>IFERROR(__xludf.DUMMYFUNCTION("""COMPUTED_VALUE"""),135000.0)</f>
        <v>135000</v>
      </c>
      <c r="K4093" s="57">
        <f>IFERROR(__xludf.DUMMYFUNCTION("""COMPUTED_VALUE"""),45820.0)</f>
        <v>45820</v>
      </c>
      <c r="L4093" s="6" t="str">
        <f>IFERROR(__xludf.DUMMYFUNCTION("""COMPUTED_VALUE"""),"FIP General")</f>
        <v>FIP General</v>
      </c>
      <c r="M4093" s="6" t="str">
        <f>IFERROR(__xludf.DUMMYFUNCTION("""COMPUTED_VALUE"""),"Mochammad Fadhillah Hakim,")</f>
        <v>Mochammad Fadhillah Hakim,</v>
      </c>
      <c r="N4093" s="6" t="str">
        <f>IFERROR(__xludf.DUMMYFUNCTION("""COMPUTED_VALUE"""),"FIP Engineering")</f>
        <v>FIP Engineering</v>
      </c>
      <c r="O4093" s="6" t="str">
        <f>IFERROR(__xludf.DUMMYFUNCTION("""COMPUTED_VALUE"""),"FIP-DOM-ENG-51404-0000000-INA-000000")</f>
        <v>FIP-DOM-ENG-51404-0000000-INA-000000</v>
      </c>
      <c r="P4093" s="6" t="str">
        <f>IFERROR(__xludf.DUMMYFUNCTION("""COMPUTED_VALUE"""),"PO Closed")</f>
        <v>PO Closed</v>
      </c>
      <c r="Q4093" s="6" t="str">
        <f>IFERROR(__xludf.DUMMYFUNCTION("""COMPUTED_VALUE"""),"GL2507027")</f>
        <v>GL2507027</v>
      </c>
      <c r="R4093" s="57">
        <f>IFERROR(__xludf.DUMMYFUNCTION("""COMPUTED_VALUE"""),45818.0)</f>
        <v>45818</v>
      </c>
      <c r="S4093" s="57">
        <f>IFERROR(__xludf.DUMMYFUNCTION("""COMPUTED_VALUE"""),45828.0)</f>
        <v>45828</v>
      </c>
      <c r="T4093" s="57">
        <f>IFERROR(__xludf.DUMMYFUNCTION("""COMPUTED_VALUE"""),45863.0)</f>
        <v>45863</v>
      </c>
    </row>
    <row r="4094">
      <c r="A4094" s="6" t="str">
        <f>IFERROR(__xludf.DUMMYFUNCTION("""COMPUTED_VALUE"""),"121702859-1")</f>
        <v>121702859-1</v>
      </c>
      <c r="B4094" s="6" t="str">
        <f>IFERROR(__xludf.DUMMYFUNCTION("""COMPUTED_VALUE"""),"121702859 - APPROVED")</f>
        <v>121702859 - APPROVED</v>
      </c>
      <c r="C4094" s="6">
        <f>IFERROR(__xludf.DUMMYFUNCTION("""COMPUTED_VALUE"""),1.0)</f>
        <v>1</v>
      </c>
      <c r="D4094" s="6" t="str">
        <f>IFERROR(__xludf.DUMMYFUNCTION("""COMPUTED_VALUE"""),"Q-10580-00")</f>
        <v>Q-10580-00</v>
      </c>
      <c r="E4094" s="6" t="str">
        <f>IFERROR(__xludf.DUMMYFUNCTION("""COMPUTED_VALUE"""),"Cat Ftalit 444 Banana Yellow; ; ; 1 Kg per Can")</f>
        <v>Cat Ftalit 444 Banana Yellow; ; ; 1 Kg per Can</v>
      </c>
      <c r="F4094" s="6">
        <f>IFERROR(__xludf.DUMMYFUNCTION("""COMPUTED_VALUE"""),3.0)</f>
        <v>3</v>
      </c>
      <c r="G4094" s="6" t="str">
        <f>IFERROR(__xludf.DUMMYFUNCTION("""COMPUTED_VALUE"""),"Kilogram")</f>
        <v>Kilogram</v>
      </c>
      <c r="H4094" s="6" t="str">
        <f>IFERROR(__xludf.DUMMYFUNCTION("""COMPUTED_VALUE"""),"IDR")</f>
        <v>IDR</v>
      </c>
      <c r="I4094" s="6">
        <f>IFERROR(__xludf.DUMMYFUNCTION("""COMPUTED_VALUE"""),60000.0)</f>
        <v>60000</v>
      </c>
      <c r="J4094" s="6">
        <f>IFERROR(__xludf.DUMMYFUNCTION("""COMPUTED_VALUE"""),180000.0)</f>
        <v>180000</v>
      </c>
      <c r="K4094" s="57">
        <f>IFERROR(__xludf.DUMMYFUNCTION("""COMPUTED_VALUE"""),45863.0)</f>
        <v>45863</v>
      </c>
      <c r="L4094" s="6" t="str">
        <f>IFERROR(__xludf.DUMMYFUNCTION("""COMPUTED_VALUE"""),"FIP Engineering")</f>
        <v>FIP Engineering</v>
      </c>
      <c r="M4094" s="6" t="str">
        <f>IFERROR(__xludf.DUMMYFUNCTION("""COMPUTED_VALUE"""),"Mochammad Fadhillah Hakim,")</f>
        <v>Mochammad Fadhillah Hakim,</v>
      </c>
      <c r="N4094" s="6" t="str">
        <f>IFERROR(__xludf.DUMMYFUNCTION("""COMPUTED_VALUE"""),"FIP Engineering")</f>
        <v>FIP Engineering</v>
      </c>
      <c r="O4094" s="6" t="str">
        <f>IFERROR(__xludf.DUMMYFUNCTION("""COMPUTED_VALUE"""),"FIP-DOM-000-11304-OS00001-INA-000000")</f>
        <v>FIP-DOM-000-11304-OS00001-INA-000000</v>
      </c>
      <c r="P4094" s="6" t="str">
        <f>IFERROR(__xludf.DUMMYFUNCTION("""COMPUTED_VALUE"""),"PO Closed")</f>
        <v>PO Closed</v>
      </c>
      <c r="Q4094" s="6" t="str">
        <f>IFERROR(__xludf.DUMMYFUNCTION("""COMPUTED_VALUE"""),"GL2507026")</f>
        <v>GL2507026</v>
      </c>
      <c r="R4094" s="57">
        <f>IFERROR(__xludf.DUMMYFUNCTION("""COMPUTED_VALUE"""),45818.0)</f>
        <v>45818</v>
      </c>
      <c r="S4094" s="57">
        <f>IFERROR(__xludf.DUMMYFUNCTION("""COMPUTED_VALUE"""),45828.0)</f>
        <v>45828</v>
      </c>
      <c r="T4094" s="57">
        <f>IFERROR(__xludf.DUMMYFUNCTION("""COMPUTED_VALUE"""),45863.0)</f>
        <v>45863</v>
      </c>
    </row>
    <row r="4095">
      <c r="A4095" s="6" t="str">
        <f>IFERROR(__xludf.DUMMYFUNCTION("""COMPUTED_VALUE"""),"121702860-1")</f>
        <v>121702860-1</v>
      </c>
      <c r="B4095" s="6" t="str">
        <f>IFERROR(__xludf.DUMMYFUNCTION("""COMPUTED_VALUE"""),"121702860 - APPROVED")</f>
        <v>121702860 - APPROVED</v>
      </c>
      <c r="C4095" s="6">
        <f>IFERROR(__xludf.DUMMYFUNCTION("""COMPUTED_VALUE"""),1.0)</f>
        <v>1</v>
      </c>
      <c r="D4095" s="6" t="str">
        <f>IFERROR(__xludf.DUMMYFUNCTION("""COMPUTED_VALUE"""),"P-19827-00")</f>
        <v>P-19827-00</v>
      </c>
      <c r="E4095" s="6" t="str">
        <f>IFERROR(__xludf.DUMMYFUNCTION("""COMPUTED_VALUE"""),"General - Valve Aktuator Stroke 40mm; Siemens; SKC62 2800N; 1 pc")</f>
        <v>General - Valve Aktuator Stroke 40mm; Siemens; SKC62 2800N; 1 pc</v>
      </c>
      <c r="F4095" s="6">
        <f>IFERROR(__xludf.DUMMYFUNCTION("""COMPUTED_VALUE"""),1.0)</f>
        <v>1</v>
      </c>
      <c r="G4095" s="6" t="str">
        <f>IFERROR(__xludf.DUMMYFUNCTION("""COMPUTED_VALUE"""),"Pieces")</f>
        <v>Pieces</v>
      </c>
      <c r="H4095" s="6" t="str">
        <f>IFERROR(__xludf.DUMMYFUNCTION("""COMPUTED_VALUE"""),"IDR")</f>
        <v>IDR</v>
      </c>
      <c r="I4095" s="6">
        <f>IFERROR(__xludf.DUMMYFUNCTION("""COMPUTED_VALUE"""),3.6E7)</f>
        <v>36000000</v>
      </c>
      <c r="J4095" s="6">
        <f>IFERROR(__xludf.DUMMYFUNCTION("""COMPUTED_VALUE"""),3.6E7)</f>
        <v>36000000</v>
      </c>
      <c r="K4095" s="57">
        <f>IFERROR(__xludf.DUMMYFUNCTION("""COMPUTED_VALUE"""),45849.0)</f>
        <v>45849</v>
      </c>
      <c r="L4095" s="6" t="str">
        <f>IFERROR(__xludf.DUMMYFUNCTION("""COMPUTED_VALUE"""),"FIP Engineering")</f>
        <v>FIP Engineering</v>
      </c>
      <c r="M4095" s="6" t="str">
        <f>IFERROR(__xludf.DUMMYFUNCTION("""COMPUTED_VALUE"""),"Mochammad Fadhillah Hakim,")</f>
        <v>Mochammad Fadhillah Hakim,</v>
      </c>
      <c r="N4095" s="6" t="str">
        <f>IFERROR(__xludf.DUMMYFUNCTION("""COMPUTED_VALUE"""),"FIP Engineering")</f>
        <v>FIP Engineering</v>
      </c>
      <c r="O4095" s="6" t="str">
        <f>IFERROR(__xludf.DUMMYFUNCTION("""COMPUTED_VALUE"""),"FIP-DOM-000-11304-OS00001-INA-000000")</f>
        <v>FIP-DOM-000-11304-OS00001-INA-000000</v>
      </c>
      <c r="P4095" s="6" t="str">
        <f>IFERROR(__xludf.DUMMYFUNCTION("""COMPUTED_VALUE"""),"PO Closed")</f>
        <v>PO Closed</v>
      </c>
      <c r="Q4095" s="6" t="str">
        <f>IFERROR(__xludf.DUMMYFUNCTION("""COMPUTED_VALUE"""),"GL2507016")</f>
        <v>GL2507016</v>
      </c>
      <c r="R4095" s="57">
        <f>IFERROR(__xludf.DUMMYFUNCTION("""COMPUTED_VALUE"""),45818.0)</f>
        <v>45818</v>
      </c>
      <c r="S4095" s="57">
        <f>IFERROR(__xludf.DUMMYFUNCTION("""COMPUTED_VALUE"""),45832.0)</f>
        <v>45832</v>
      </c>
      <c r="T4095" s="57">
        <f>IFERROR(__xludf.DUMMYFUNCTION("""COMPUTED_VALUE"""),45868.0)</f>
        <v>45868</v>
      </c>
    </row>
    <row r="4096">
      <c r="A4096" s="6" t="str">
        <f>IFERROR(__xludf.DUMMYFUNCTION("""COMPUTED_VALUE"""),"121702861-1")</f>
        <v>121702861-1</v>
      </c>
      <c r="B4096" s="6" t="str">
        <f>IFERROR(__xludf.DUMMYFUNCTION("""COMPUTED_VALUE"""),"121702861 - APPROVED")</f>
        <v>121702861 - APPROVED</v>
      </c>
      <c r="C4096" s="6">
        <f>IFERROR(__xludf.DUMMYFUNCTION("""COMPUTED_VALUE"""),1.0)</f>
        <v>1</v>
      </c>
      <c r="D4096" s="6" t="str">
        <f>IFERROR(__xludf.DUMMYFUNCTION("""COMPUTED_VALUE"""),"Q-10128-00")</f>
        <v>Q-10128-00</v>
      </c>
      <c r="E4096" s="6" t="str">
        <f>IFERROR(__xludf.DUMMYFUNCTION("""COMPUTED_VALUE"""),"Thinner Super End/Impala @ 1 Liter")</f>
        <v>Thinner Super End/Impala @ 1 Liter</v>
      </c>
      <c r="F4096" s="6">
        <f>IFERROR(__xludf.DUMMYFUNCTION("""COMPUTED_VALUE"""),10.0)</f>
        <v>10</v>
      </c>
      <c r="G4096" s="6" t="str">
        <f>IFERROR(__xludf.DUMMYFUNCTION("""COMPUTED_VALUE"""),"Pieces")</f>
        <v>Pieces</v>
      </c>
      <c r="H4096" s="6" t="str">
        <f>IFERROR(__xludf.DUMMYFUNCTION("""COMPUTED_VALUE"""),"IDR")</f>
        <v>IDR</v>
      </c>
      <c r="I4096" s="6">
        <f>IFERROR(__xludf.DUMMYFUNCTION("""COMPUTED_VALUE"""),37500.0)</f>
        <v>37500</v>
      </c>
      <c r="J4096" s="6">
        <f>IFERROR(__xludf.DUMMYFUNCTION("""COMPUTED_VALUE"""),375000.0)</f>
        <v>375000</v>
      </c>
      <c r="K4096" s="57">
        <f>IFERROR(__xludf.DUMMYFUNCTION("""COMPUTED_VALUE"""),45849.0)</f>
        <v>45849</v>
      </c>
      <c r="L4096" s="6" t="str">
        <f>IFERROR(__xludf.DUMMYFUNCTION("""COMPUTED_VALUE"""),"FIP Engineering")</f>
        <v>FIP Engineering</v>
      </c>
      <c r="M4096" s="6" t="str">
        <f>IFERROR(__xludf.DUMMYFUNCTION("""COMPUTED_VALUE"""),"Mochammad Fadhillah Hakim,")</f>
        <v>Mochammad Fadhillah Hakim,</v>
      </c>
      <c r="N4096" s="6" t="str">
        <f>IFERROR(__xludf.DUMMYFUNCTION("""COMPUTED_VALUE"""),"FIP Engineering")</f>
        <v>FIP Engineering</v>
      </c>
      <c r="O4096" s="6" t="str">
        <f>IFERROR(__xludf.DUMMYFUNCTION("""COMPUTED_VALUE"""),"FIP-DOM-000-11304-OS00001-INA-000000")</f>
        <v>FIP-DOM-000-11304-OS00001-INA-000000</v>
      </c>
      <c r="P4096" s="6" t="str">
        <f>IFERROR(__xludf.DUMMYFUNCTION("""COMPUTED_VALUE"""),"PO Closed")</f>
        <v>PO Closed</v>
      </c>
      <c r="Q4096" s="6" t="str">
        <f>IFERROR(__xludf.DUMMYFUNCTION("""COMPUTED_VALUE"""),"GL2507026")</f>
        <v>GL2507026</v>
      </c>
      <c r="R4096" s="57">
        <f>IFERROR(__xludf.DUMMYFUNCTION("""COMPUTED_VALUE"""),45818.0)</f>
        <v>45818</v>
      </c>
      <c r="S4096" s="57">
        <f>IFERROR(__xludf.DUMMYFUNCTION("""COMPUTED_VALUE"""),45828.0)</f>
        <v>45828</v>
      </c>
      <c r="T4096" s="57">
        <f>IFERROR(__xludf.DUMMYFUNCTION("""COMPUTED_VALUE"""),45863.0)</f>
        <v>45863</v>
      </c>
    </row>
    <row r="4097">
      <c r="A4097" s="6" t="str">
        <f>IFERROR(__xludf.DUMMYFUNCTION("""COMPUTED_VALUE"""),"121702862-1")</f>
        <v>121702862-1</v>
      </c>
      <c r="B4097" s="6" t="str">
        <f>IFERROR(__xludf.DUMMYFUNCTION("""COMPUTED_VALUE"""),"121702862 - APPROVED")</f>
        <v>121702862 - APPROVED</v>
      </c>
      <c r="C4097" s="6">
        <f>IFERROR(__xludf.DUMMYFUNCTION("""COMPUTED_VALUE"""),1.0)</f>
        <v>1</v>
      </c>
      <c r="D4097" s="6" t="str">
        <f>IFERROR(__xludf.DUMMYFUNCTION("""COMPUTED_VALUE"""),"O-54004-00")</f>
        <v>O-54004-00</v>
      </c>
      <c r="E4097" s="6" t="str">
        <f>IFERROR(__xludf.DUMMYFUNCTION("""COMPUTED_VALUE"""),"LAMPU SL 24 W  / 220-240 V / SPIRAL, PHILIPS")</f>
        <v>LAMPU SL 24 W  / 220-240 V / SPIRAL, PHILIPS</v>
      </c>
      <c r="F4097" s="6">
        <f>IFERROR(__xludf.DUMMYFUNCTION("""COMPUTED_VALUE"""),10.0)</f>
        <v>10</v>
      </c>
      <c r="G4097" s="6" t="str">
        <f>IFERROR(__xludf.DUMMYFUNCTION("""COMPUTED_VALUE"""),"Pieces")</f>
        <v>Pieces</v>
      </c>
      <c r="H4097" s="6" t="str">
        <f>IFERROR(__xludf.DUMMYFUNCTION("""COMPUTED_VALUE"""),"IDR")</f>
        <v>IDR</v>
      </c>
      <c r="I4097" s="6">
        <f>IFERROR(__xludf.DUMMYFUNCTION("""COMPUTED_VALUE"""),63500.0)</f>
        <v>63500</v>
      </c>
      <c r="J4097" s="6">
        <f>IFERROR(__xludf.DUMMYFUNCTION("""COMPUTED_VALUE"""),635000.0)</f>
        <v>635000</v>
      </c>
      <c r="K4097" s="57">
        <f>IFERROR(__xludf.DUMMYFUNCTION("""COMPUTED_VALUE"""),45849.0)</f>
        <v>45849</v>
      </c>
      <c r="L4097" s="6" t="str">
        <f>IFERROR(__xludf.DUMMYFUNCTION("""COMPUTED_VALUE"""),"FIP Engineering")</f>
        <v>FIP Engineering</v>
      </c>
      <c r="M4097" s="6" t="str">
        <f>IFERROR(__xludf.DUMMYFUNCTION("""COMPUTED_VALUE"""),"Mochammad Fadhillah Hakim,")</f>
        <v>Mochammad Fadhillah Hakim,</v>
      </c>
      <c r="N4097" s="6" t="str">
        <f>IFERROR(__xludf.DUMMYFUNCTION("""COMPUTED_VALUE"""),"FIP Engineering")</f>
        <v>FIP Engineering</v>
      </c>
      <c r="O4097" s="6" t="str">
        <f>IFERROR(__xludf.DUMMYFUNCTION("""COMPUTED_VALUE"""),"FIP-DOM-000-11304-OS00001-INA-000000")</f>
        <v>FIP-DOM-000-11304-OS00001-INA-000000</v>
      </c>
      <c r="P4097" s="6" t="str">
        <f>IFERROR(__xludf.DUMMYFUNCTION("""COMPUTED_VALUE"""),"PO Closed")</f>
        <v>PO Closed</v>
      </c>
      <c r="Q4097" s="6" t="str">
        <f>IFERROR(__xludf.DUMMYFUNCTION("""COMPUTED_VALUE"""),"GL2506400")</f>
        <v>GL2506400</v>
      </c>
      <c r="R4097" s="57">
        <f>IFERROR(__xludf.DUMMYFUNCTION("""COMPUTED_VALUE"""),45818.0)</f>
        <v>45818</v>
      </c>
      <c r="S4097" s="57">
        <f>IFERROR(__xludf.DUMMYFUNCTION("""COMPUTED_VALUE"""),45824.0)</f>
        <v>45824</v>
      </c>
      <c r="T4097" s="57">
        <f>IFERROR(__xludf.DUMMYFUNCTION("""COMPUTED_VALUE"""),45868.0)</f>
        <v>45868</v>
      </c>
    </row>
    <row r="4098">
      <c r="A4098" s="6" t="str">
        <f>IFERROR(__xludf.DUMMYFUNCTION("""COMPUTED_VALUE"""),"121702863-1")</f>
        <v>121702863-1</v>
      </c>
      <c r="B4098" s="6" t="str">
        <f>IFERROR(__xludf.DUMMYFUNCTION("""COMPUTED_VALUE"""),"121702863 - APPROVED")</f>
        <v>121702863 - APPROVED</v>
      </c>
      <c r="C4098" s="6">
        <f>IFERROR(__xludf.DUMMYFUNCTION("""COMPUTED_VALUE"""),1.0)</f>
        <v>1</v>
      </c>
      <c r="D4098" s="6" t="str">
        <f>IFERROR(__xludf.DUMMYFUNCTION("""COMPUTED_VALUE"""),"P-52665-00")</f>
        <v>P-52665-00</v>
      </c>
      <c r="E4098" s="6" t="str">
        <f>IFERROR(__xludf.DUMMYFUNCTION("""COMPUTED_VALUE"""),"Buzzer Electronic Siren PW-235; TAB; ;")</f>
        <v>Buzzer Electronic Siren PW-235; TAB; ;</v>
      </c>
      <c r="F4098" s="6">
        <f>IFERROR(__xludf.DUMMYFUNCTION("""COMPUTED_VALUE"""),2.0)</f>
        <v>2</v>
      </c>
      <c r="G4098" s="6" t="str">
        <f>IFERROR(__xludf.DUMMYFUNCTION("""COMPUTED_VALUE"""),"Pieces")</f>
        <v>Pieces</v>
      </c>
      <c r="H4098" s="6" t="str">
        <f>IFERROR(__xludf.DUMMYFUNCTION("""COMPUTED_VALUE"""),"IDR")</f>
        <v>IDR</v>
      </c>
      <c r="I4098" s="6">
        <f>IFERROR(__xludf.DUMMYFUNCTION("""COMPUTED_VALUE"""),204000.0)</f>
        <v>204000</v>
      </c>
      <c r="J4098" s="6">
        <f>IFERROR(__xludf.DUMMYFUNCTION("""COMPUTED_VALUE"""),408000.0)</f>
        <v>408000</v>
      </c>
      <c r="K4098" s="57">
        <f>IFERROR(__xludf.DUMMYFUNCTION("""COMPUTED_VALUE"""),45849.0)</f>
        <v>45849</v>
      </c>
      <c r="L4098" s="6" t="str">
        <f>IFERROR(__xludf.DUMMYFUNCTION("""COMPUTED_VALUE"""),"FIP Engineering")</f>
        <v>FIP Engineering</v>
      </c>
      <c r="M4098" s="6" t="str">
        <f>IFERROR(__xludf.DUMMYFUNCTION("""COMPUTED_VALUE"""),"Mochammad Fadhillah Hakim,")</f>
        <v>Mochammad Fadhillah Hakim,</v>
      </c>
      <c r="N4098" s="6" t="str">
        <f>IFERROR(__xludf.DUMMYFUNCTION("""COMPUTED_VALUE"""),"FIP Engineering")</f>
        <v>FIP Engineering</v>
      </c>
      <c r="O4098" s="6" t="str">
        <f>IFERROR(__xludf.DUMMYFUNCTION("""COMPUTED_VALUE"""),"FIP-DOM-000-11304-OS00001-INA-000000")</f>
        <v>FIP-DOM-000-11304-OS00001-INA-000000</v>
      </c>
      <c r="P4098" s="6" t="str">
        <f>IFERROR(__xludf.DUMMYFUNCTION("""COMPUTED_VALUE"""),"PO Closed")</f>
        <v>PO Closed</v>
      </c>
      <c r="Q4098" s="6" t="str">
        <f>IFERROR(__xludf.DUMMYFUNCTION("""COMPUTED_VALUE"""),"GL2506056")</f>
        <v>GL2506056</v>
      </c>
      <c r="R4098" s="57">
        <f>IFERROR(__xludf.DUMMYFUNCTION("""COMPUTED_VALUE"""),45818.0)</f>
        <v>45818</v>
      </c>
      <c r="S4098" s="57">
        <f>IFERROR(__xludf.DUMMYFUNCTION("""COMPUTED_VALUE"""),45824.0)</f>
        <v>45824</v>
      </c>
      <c r="T4098" s="57">
        <f>IFERROR(__xludf.DUMMYFUNCTION("""COMPUTED_VALUE"""),45849.0)</f>
        <v>45849</v>
      </c>
    </row>
    <row r="4099">
      <c r="A4099" s="6" t="str">
        <f>IFERROR(__xludf.DUMMYFUNCTION("""COMPUTED_VALUE"""),"121702866-1")</f>
        <v>121702866-1</v>
      </c>
      <c r="B4099" s="6" t="str">
        <f>IFERROR(__xludf.DUMMYFUNCTION("""COMPUTED_VALUE"""),"121702866 - APPROVED")</f>
        <v>121702866 - APPROVED</v>
      </c>
      <c r="C4099" s="6">
        <f>IFERROR(__xludf.DUMMYFUNCTION("""COMPUTED_VALUE"""),1.0)</f>
        <v>1</v>
      </c>
      <c r="D4099" s="6" t="str">
        <f>IFERROR(__xludf.DUMMYFUNCTION("""COMPUTED_VALUE"""),"O-53165-00")</f>
        <v>O-53165-00</v>
      </c>
      <c r="E4099" s="6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F4099" s="6">
        <f>IFERROR(__xludf.DUMMYFUNCTION("""COMPUTED_VALUE"""),1.0)</f>
        <v>1</v>
      </c>
      <c r="G4099" s="6" t="str">
        <f>IFERROR(__xludf.DUMMYFUNCTION("""COMPUTED_VALUE"""),"Pieces")</f>
        <v>Pieces</v>
      </c>
      <c r="H4099" s="6" t="str">
        <f>IFERROR(__xludf.DUMMYFUNCTION("""COMPUTED_VALUE"""),"IDR")</f>
        <v>IDR</v>
      </c>
      <c r="I4099" s="6">
        <f>IFERROR(__xludf.DUMMYFUNCTION("""COMPUTED_VALUE"""),6.091376E7)</f>
        <v>60913760</v>
      </c>
      <c r="J4099" s="6">
        <f>IFERROR(__xludf.DUMMYFUNCTION("""COMPUTED_VALUE"""),6.091376E7)</f>
        <v>60913760</v>
      </c>
      <c r="K4099" s="57">
        <f>IFERROR(__xludf.DUMMYFUNCTION("""COMPUTED_VALUE"""),45884.0)</f>
        <v>45884</v>
      </c>
      <c r="L4099" s="6" t="str">
        <f>IFERROR(__xludf.DUMMYFUNCTION("""COMPUTED_VALUE"""),"FIP Engineering")</f>
        <v>FIP Engineering</v>
      </c>
      <c r="M4099" s="6" t="str">
        <f>IFERROR(__xludf.DUMMYFUNCTION("""COMPUTED_VALUE"""),"Mochammad Fadhillah Hakim,")</f>
        <v>Mochammad Fadhillah Hakim,</v>
      </c>
      <c r="N4099" s="6" t="str">
        <f>IFERROR(__xludf.DUMMYFUNCTION("""COMPUTED_VALUE"""),"FIP Engineering")</f>
        <v>FIP Engineering</v>
      </c>
      <c r="O4099" s="6" t="str">
        <f>IFERROR(__xludf.DUMMYFUNCTION("""COMPUTED_VALUE"""),"FIP-DOM-000-11304-OS00001-INA-000000")</f>
        <v>FIP-DOM-000-11304-OS00001-INA-000000</v>
      </c>
      <c r="P4099" s="6" t="str">
        <f>IFERROR(__xludf.DUMMYFUNCTION("""COMPUTED_VALUE"""),"PO Closed")</f>
        <v>PO Closed</v>
      </c>
      <c r="Q4099" s="6" t="str">
        <f>IFERROR(__xludf.DUMMYFUNCTION("""COMPUTED_VALUE"""),"GL2508026")</f>
        <v>GL2508026</v>
      </c>
      <c r="R4099" s="57">
        <f>IFERROR(__xludf.DUMMYFUNCTION("""COMPUTED_VALUE"""),45819.0)</f>
        <v>45819</v>
      </c>
      <c r="S4099" s="57">
        <f>IFERROR(__xludf.DUMMYFUNCTION("""COMPUTED_VALUE"""),45831.0)</f>
        <v>45831</v>
      </c>
      <c r="T4099" s="57">
        <f>IFERROR(__xludf.DUMMYFUNCTION("""COMPUTED_VALUE"""),45991.0)</f>
        <v>45991</v>
      </c>
    </row>
    <row r="4100">
      <c r="A4100" s="6" t="str">
        <f>IFERROR(__xludf.DUMMYFUNCTION("""COMPUTED_VALUE"""),"121702866-2")</f>
        <v>121702866-2</v>
      </c>
      <c r="B4100" s="6" t="str">
        <f>IFERROR(__xludf.DUMMYFUNCTION("""COMPUTED_VALUE"""),"121702866 - APPROVED")</f>
        <v>121702866 - APPROVED</v>
      </c>
      <c r="C4100" s="6">
        <f>IFERROR(__xludf.DUMMYFUNCTION("""COMPUTED_VALUE"""),2.0)</f>
        <v>2</v>
      </c>
      <c r="D4100" s="6" t="str">
        <f>IFERROR(__xludf.DUMMYFUNCTION("""COMPUTED_VALUE"""),"O-53094-00")</f>
        <v>O-53094-00</v>
      </c>
      <c r="E4100" s="6" t="str">
        <f>IFERROR(__xludf.DUMMYFUNCTION("""COMPUTED_VALUE"""),"FD S/N MBE1207 - Pressure Switch IPN-350 ISO; ; EB02-00063;")</f>
        <v>FD S/N MBE1207 - Pressure Switch IPN-350 ISO; ; EB02-00063;</v>
      </c>
      <c r="F4100" s="6">
        <f>IFERROR(__xludf.DUMMYFUNCTION("""COMPUTED_VALUE"""),1.0)</f>
        <v>1</v>
      </c>
      <c r="G4100" s="6" t="str">
        <f>IFERROR(__xludf.DUMMYFUNCTION("""COMPUTED_VALUE"""),"Pieces")</f>
        <v>Pieces</v>
      </c>
      <c r="H4100" s="6" t="str">
        <f>IFERROR(__xludf.DUMMYFUNCTION("""COMPUTED_VALUE"""),"IDR")</f>
        <v>IDR</v>
      </c>
      <c r="I4100" s="6">
        <f>IFERROR(__xludf.DUMMYFUNCTION("""COMPUTED_VALUE"""),6371640.0)</f>
        <v>6371640</v>
      </c>
      <c r="J4100" s="6">
        <f>IFERROR(__xludf.DUMMYFUNCTION("""COMPUTED_VALUE"""),6371640.0)</f>
        <v>6371640</v>
      </c>
      <c r="K4100" s="57">
        <f>IFERROR(__xludf.DUMMYFUNCTION("""COMPUTED_VALUE"""),45884.0)</f>
        <v>45884</v>
      </c>
      <c r="L4100" s="6" t="str">
        <f>IFERROR(__xludf.DUMMYFUNCTION("""COMPUTED_VALUE"""),"FIP Engineering")</f>
        <v>FIP Engineering</v>
      </c>
      <c r="M4100" s="6" t="str">
        <f>IFERROR(__xludf.DUMMYFUNCTION("""COMPUTED_VALUE"""),"Mochammad Fadhillah Hakim,")</f>
        <v>Mochammad Fadhillah Hakim,</v>
      </c>
      <c r="N4100" s="6" t="str">
        <f>IFERROR(__xludf.DUMMYFUNCTION("""COMPUTED_VALUE"""),"FIP Engineering")</f>
        <v>FIP Engineering</v>
      </c>
      <c r="O4100" s="6" t="str">
        <f>IFERROR(__xludf.DUMMYFUNCTION("""COMPUTED_VALUE"""),"FIP-DOM-000-11304-OS00001-INA-000000")</f>
        <v>FIP-DOM-000-11304-OS00001-INA-000000</v>
      </c>
      <c r="P4100" s="6" t="str">
        <f>IFERROR(__xludf.DUMMYFUNCTION("""COMPUTED_VALUE"""),"PO Closed")</f>
        <v>PO Closed</v>
      </c>
      <c r="Q4100" s="6" t="str">
        <f>IFERROR(__xludf.DUMMYFUNCTION("""COMPUTED_VALUE"""),"GL2508026")</f>
        <v>GL2508026</v>
      </c>
      <c r="R4100" s="57">
        <f>IFERROR(__xludf.DUMMYFUNCTION("""COMPUTED_VALUE"""),45819.0)</f>
        <v>45819</v>
      </c>
      <c r="S4100" s="57">
        <f>IFERROR(__xludf.DUMMYFUNCTION("""COMPUTED_VALUE"""),45831.0)</f>
        <v>45831</v>
      </c>
      <c r="T4100" s="57">
        <f>IFERROR(__xludf.DUMMYFUNCTION("""COMPUTED_VALUE"""),45991.0)</f>
        <v>45991</v>
      </c>
    </row>
    <row r="4101">
      <c r="A4101" s="6" t="str">
        <f>IFERROR(__xludf.DUMMYFUNCTION("""COMPUTED_VALUE"""),"121702867-1")</f>
        <v>121702867-1</v>
      </c>
      <c r="B4101" s="6" t="str">
        <f>IFERROR(__xludf.DUMMYFUNCTION("""COMPUTED_VALUE"""),"121702867 - APPROVED")</f>
        <v>121702867 - APPROVED</v>
      </c>
      <c r="C4101" s="6">
        <f>IFERROR(__xludf.DUMMYFUNCTION("""COMPUTED_VALUE"""),1.0)</f>
        <v>1</v>
      </c>
      <c r="D4101" s="6" t="str">
        <f>IFERROR(__xludf.DUMMYFUNCTION("""COMPUTED_VALUE"""),"P-52708-00")</f>
        <v>P-52708-00</v>
      </c>
      <c r="E4101" s="6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F4101" s="6">
        <f>IFERROR(__xludf.DUMMYFUNCTION("""COMPUTED_VALUE"""),2.0)</f>
        <v>2</v>
      </c>
      <c r="G4101" s="6" t="str">
        <f>IFERROR(__xludf.DUMMYFUNCTION("""COMPUTED_VALUE"""),"Pieces")</f>
        <v>Pieces</v>
      </c>
      <c r="H4101" s="6" t="str">
        <f>IFERROR(__xludf.DUMMYFUNCTION("""COMPUTED_VALUE"""),"IDR")</f>
        <v>IDR</v>
      </c>
      <c r="I4101" s="6">
        <f>IFERROR(__xludf.DUMMYFUNCTION("""COMPUTED_VALUE"""),1.3805E7)</f>
        <v>13805000</v>
      </c>
      <c r="J4101" s="6">
        <f>IFERROR(__xludf.DUMMYFUNCTION("""COMPUTED_VALUE"""),2.761E7)</f>
        <v>27610000</v>
      </c>
      <c r="K4101" s="57">
        <f>IFERROR(__xludf.DUMMYFUNCTION("""COMPUTED_VALUE"""),45849.0)</f>
        <v>45849</v>
      </c>
      <c r="L4101" s="6" t="str">
        <f>IFERROR(__xludf.DUMMYFUNCTION("""COMPUTED_VALUE"""),"FIP Engineering")</f>
        <v>FIP Engineering</v>
      </c>
      <c r="M4101" s="6" t="str">
        <f>IFERROR(__xludf.DUMMYFUNCTION("""COMPUTED_VALUE"""),"Mochammad Fadhillah Hakim,")</f>
        <v>Mochammad Fadhillah Hakim,</v>
      </c>
      <c r="N4101" s="6" t="str">
        <f>IFERROR(__xludf.DUMMYFUNCTION("""COMPUTED_VALUE"""),"FIP Engineering")</f>
        <v>FIP Engineering</v>
      </c>
      <c r="O4101" s="6" t="str">
        <f>IFERROR(__xludf.DUMMYFUNCTION("""COMPUTED_VALUE"""),"FIP-DOM-000-11304-OS00001-INA-000000")</f>
        <v>FIP-DOM-000-11304-OS00001-INA-000000</v>
      </c>
      <c r="P4101" s="6" t="str">
        <f>IFERROR(__xludf.DUMMYFUNCTION("""COMPUTED_VALUE"""),"PO Closed")</f>
        <v>PO Closed</v>
      </c>
      <c r="Q4101" s="6" t="str">
        <f>IFERROR(__xludf.DUMMYFUNCTION("""COMPUTED_VALUE"""),"GL2507024")</f>
        <v>GL2507024</v>
      </c>
      <c r="R4101" s="57">
        <f>IFERROR(__xludf.DUMMYFUNCTION("""COMPUTED_VALUE"""),45819.0)</f>
        <v>45819</v>
      </c>
      <c r="S4101" s="57">
        <f>IFERROR(__xludf.DUMMYFUNCTION("""COMPUTED_VALUE"""),45828.0)</f>
        <v>45828</v>
      </c>
      <c r="T4101" s="57">
        <f>IFERROR(__xludf.DUMMYFUNCTION("""COMPUTED_VALUE"""),45849.0)</f>
        <v>45849</v>
      </c>
    </row>
    <row r="4102">
      <c r="A4102" s="6" t="str">
        <f>IFERROR(__xludf.DUMMYFUNCTION("""COMPUTED_VALUE"""),"121702868-1")</f>
        <v>121702868-1</v>
      </c>
      <c r="B4102" s="6" t="str">
        <f>IFERROR(__xludf.DUMMYFUNCTION("""COMPUTED_VALUE"""),"121702868 - APPROVED")</f>
        <v>121702868 - APPROVED</v>
      </c>
      <c r="C4102" s="6">
        <f>IFERROR(__xludf.DUMMYFUNCTION("""COMPUTED_VALUE"""),1.0)</f>
        <v>1</v>
      </c>
      <c r="D4102" s="6" t="str">
        <f>IFERROR(__xludf.DUMMYFUNCTION("""COMPUTED_VALUE"""),"P-10390-00")</f>
        <v>P-10390-00</v>
      </c>
      <c r="E4102" s="6" t="str">
        <f>IFERROR(__xludf.DUMMYFUNCTION("""COMPUTED_VALUE"""),"Ball Valve PVC 1""")</f>
        <v>Ball Valve PVC 1"</v>
      </c>
      <c r="F4102" s="6">
        <f>IFERROR(__xludf.DUMMYFUNCTION("""COMPUTED_VALUE"""),2.0)</f>
        <v>2</v>
      </c>
      <c r="G4102" s="6" t="str">
        <f>IFERROR(__xludf.DUMMYFUNCTION("""COMPUTED_VALUE"""),"Pieces")</f>
        <v>Pieces</v>
      </c>
      <c r="H4102" s="6" t="str">
        <f>IFERROR(__xludf.DUMMYFUNCTION("""COMPUTED_VALUE"""),"IDR")</f>
        <v>IDR</v>
      </c>
      <c r="I4102" s="6">
        <f>IFERROR(__xludf.DUMMYFUNCTION("""COMPUTED_VALUE"""),25000.0)</f>
        <v>25000</v>
      </c>
      <c r="J4102" s="6">
        <f>IFERROR(__xludf.DUMMYFUNCTION("""COMPUTED_VALUE"""),50000.0)</f>
        <v>50000</v>
      </c>
      <c r="K4102" s="57">
        <f>IFERROR(__xludf.DUMMYFUNCTION("""COMPUTED_VALUE"""),45849.0)</f>
        <v>45849</v>
      </c>
      <c r="L4102" s="6" t="str">
        <f>IFERROR(__xludf.DUMMYFUNCTION("""COMPUTED_VALUE"""),"FIP Engineering")</f>
        <v>FIP Engineering</v>
      </c>
      <c r="M4102" s="6" t="str">
        <f>IFERROR(__xludf.DUMMYFUNCTION("""COMPUTED_VALUE"""),"Mochammad Fadhillah Hakim,")</f>
        <v>Mochammad Fadhillah Hakim,</v>
      </c>
      <c r="N4102" s="6" t="str">
        <f>IFERROR(__xludf.DUMMYFUNCTION("""COMPUTED_VALUE"""),"FIP Engineering")</f>
        <v>FIP Engineering</v>
      </c>
      <c r="O4102" s="6" t="str">
        <f>IFERROR(__xludf.DUMMYFUNCTION("""COMPUTED_VALUE"""),"FIP-DOM-000-11304-OS00001-INA-000000")</f>
        <v>FIP-DOM-000-11304-OS00001-INA-000000</v>
      </c>
      <c r="P4102" s="6" t="str">
        <f>IFERROR(__xludf.DUMMYFUNCTION("""COMPUTED_VALUE"""),"PO Closed")</f>
        <v>PO Closed</v>
      </c>
      <c r="Q4102" s="6" t="str">
        <f>IFERROR(__xludf.DUMMYFUNCTION("""COMPUTED_VALUE"""),"GL2506402")</f>
        <v>GL2506402</v>
      </c>
      <c r="R4102" s="57">
        <f>IFERROR(__xludf.DUMMYFUNCTION("""COMPUTED_VALUE"""),45819.0)</f>
        <v>45819</v>
      </c>
      <c r="S4102" s="57">
        <f>IFERROR(__xludf.DUMMYFUNCTION("""COMPUTED_VALUE"""),45824.0)</f>
        <v>45824</v>
      </c>
      <c r="T4102" s="57">
        <f>IFERROR(__xludf.DUMMYFUNCTION("""COMPUTED_VALUE"""),45856.0)</f>
        <v>45856</v>
      </c>
    </row>
    <row r="4103">
      <c r="A4103" s="6" t="str">
        <f>IFERROR(__xludf.DUMMYFUNCTION("""COMPUTED_VALUE"""),"121702869-1")</f>
        <v>121702869-1</v>
      </c>
      <c r="B4103" s="6" t="str">
        <f>IFERROR(__xludf.DUMMYFUNCTION("""COMPUTED_VALUE"""),"121702869 - APPROVED")</f>
        <v>121702869 - APPROVED</v>
      </c>
      <c r="C4103" s="6">
        <f>IFERROR(__xludf.DUMMYFUNCTION("""COMPUTED_VALUE"""),1.0)</f>
        <v>1</v>
      </c>
      <c r="D4103" s="6" t="str">
        <f>IFERROR(__xludf.DUMMYFUNCTION("""COMPUTED_VALUE"""),"O-52859-00")</f>
        <v>O-52859-00</v>
      </c>
      <c r="E4103" s="6" t="str">
        <f>IFERROR(__xludf.DUMMYFUNCTION("""COMPUTED_VALUE"""),"Temperature Controller - TK4S- 24RN 100-240 VAC AUTONICS; ; ;")</f>
        <v>Temperature Controller - TK4S- 24RN 100-240 VAC AUTONICS; ; ;</v>
      </c>
      <c r="F4103" s="6">
        <f>IFERROR(__xludf.DUMMYFUNCTION("""COMPUTED_VALUE"""),5.0)</f>
        <v>5</v>
      </c>
      <c r="G4103" s="6" t="str">
        <f>IFERROR(__xludf.DUMMYFUNCTION("""COMPUTED_VALUE"""),"Pieces")</f>
        <v>Pieces</v>
      </c>
      <c r="H4103" s="6" t="str">
        <f>IFERROR(__xludf.DUMMYFUNCTION("""COMPUTED_VALUE"""),"IDR")</f>
        <v>IDR</v>
      </c>
      <c r="I4103" s="6">
        <f>IFERROR(__xludf.DUMMYFUNCTION("""COMPUTED_VALUE"""),810000.0)</f>
        <v>810000</v>
      </c>
      <c r="J4103" s="6">
        <f>IFERROR(__xludf.DUMMYFUNCTION("""COMPUTED_VALUE"""),4050000.0)</f>
        <v>4050000</v>
      </c>
      <c r="K4103" s="57">
        <f>IFERROR(__xludf.DUMMYFUNCTION("""COMPUTED_VALUE"""),45821.0)</f>
        <v>45821</v>
      </c>
      <c r="L4103" s="6" t="str">
        <f>IFERROR(__xludf.DUMMYFUNCTION("""COMPUTED_VALUE"""),"FIP Engineering")</f>
        <v>FIP Engineering</v>
      </c>
      <c r="M4103" s="6" t="str">
        <f>IFERROR(__xludf.DUMMYFUNCTION("""COMPUTED_VALUE"""),"Mochammad Fadhillah Hakim,")</f>
        <v>Mochammad Fadhillah Hakim,</v>
      </c>
      <c r="N4103" s="6" t="str">
        <f>IFERROR(__xludf.DUMMYFUNCTION("""COMPUTED_VALUE"""),"FIP Engineering")</f>
        <v>FIP Engineering</v>
      </c>
      <c r="O4103" s="6" t="str">
        <f>IFERROR(__xludf.DUMMYFUNCTION("""COMPUTED_VALUE"""),"FIP-DOM-000-11304-OS00001-INA-000000")</f>
        <v>FIP-DOM-000-11304-OS00001-INA-000000</v>
      </c>
      <c r="P4103" s="6" t="str">
        <f>IFERROR(__xludf.DUMMYFUNCTION("""COMPUTED_VALUE"""),"PO Closed")</f>
        <v>PO Closed</v>
      </c>
      <c r="Q4103" s="6" t="str">
        <f>IFERROR(__xludf.DUMMYFUNCTION("""COMPUTED_VALUE"""),"GL2507004")</f>
        <v>GL2507004</v>
      </c>
      <c r="R4103" s="57">
        <f>IFERROR(__xludf.DUMMYFUNCTION("""COMPUTED_VALUE"""),45819.0)</f>
        <v>45819</v>
      </c>
      <c r="S4103" s="57">
        <f>IFERROR(__xludf.DUMMYFUNCTION("""COMPUTED_VALUE"""),45824.0)</f>
        <v>45824</v>
      </c>
      <c r="T4103" s="57">
        <f>IFERROR(__xludf.DUMMYFUNCTION("""COMPUTED_VALUE"""),45879.0)</f>
        <v>45879</v>
      </c>
    </row>
    <row r="4104">
      <c r="A4104" s="6" t="str">
        <f>IFERROR(__xludf.DUMMYFUNCTION("""COMPUTED_VALUE"""),"121702870-1")</f>
        <v>121702870-1</v>
      </c>
      <c r="B4104" s="6" t="str">
        <f>IFERROR(__xludf.DUMMYFUNCTION("""COMPUTED_VALUE"""),"121702870 - APPROVED")</f>
        <v>121702870 - APPROVED</v>
      </c>
      <c r="C4104" s="6">
        <f>IFERROR(__xludf.DUMMYFUNCTION("""COMPUTED_VALUE"""),1.0)</f>
        <v>1</v>
      </c>
      <c r="D4104" s="6" t="str">
        <f>IFERROR(__xludf.DUMMYFUNCTION("""COMPUTED_VALUE"""),"P-12920-00")</f>
        <v>P-12920-00</v>
      </c>
      <c r="E4104" s="6" t="str">
        <f>IFERROR(__xludf.DUMMYFUNCTION("""COMPUTED_VALUE"""),"Tungsten Electrodes dia 1.6 mm")</f>
        <v>Tungsten Electrodes dia 1.6 mm</v>
      </c>
      <c r="F4104" s="6">
        <f>IFERROR(__xludf.DUMMYFUNCTION("""COMPUTED_VALUE"""),10.0)</f>
        <v>10</v>
      </c>
      <c r="G4104" s="6" t="str">
        <f>IFERROR(__xludf.DUMMYFUNCTION("""COMPUTED_VALUE"""),"Pieces")</f>
        <v>Pieces</v>
      </c>
      <c r="H4104" s="6" t="str">
        <f>IFERROR(__xludf.DUMMYFUNCTION("""COMPUTED_VALUE"""),"IDR")</f>
        <v>IDR</v>
      </c>
      <c r="I4104" s="6">
        <f>IFERROR(__xludf.DUMMYFUNCTION("""COMPUTED_VALUE"""),10000.0)</f>
        <v>10000</v>
      </c>
      <c r="J4104" s="6">
        <f>IFERROR(__xludf.DUMMYFUNCTION("""COMPUTED_VALUE"""),100000.0)</f>
        <v>100000</v>
      </c>
      <c r="K4104" s="57">
        <f>IFERROR(__xludf.DUMMYFUNCTION("""COMPUTED_VALUE"""),45849.0)</f>
        <v>45849</v>
      </c>
      <c r="L4104" s="6" t="str">
        <f>IFERROR(__xludf.DUMMYFUNCTION("""COMPUTED_VALUE"""),"FIP Engineering")</f>
        <v>FIP Engineering</v>
      </c>
      <c r="M4104" s="6" t="str">
        <f>IFERROR(__xludf.DUMMYFUNCTION("""COMPUTED_VALUE"""),"Mochammad Fadhillah Hakim,")</f>
        <v>Mochammad Fadhillah Hakim,</v>
      </c>
      <c r="N4104" s="6" t="str">
        <f>IFERROR(__xludf.DUMMYFUNCTION("""COMPUTED_VALUE"""),"FIP Engineering")</f>
        <v>FIP Engineering</v>
      </c>
      <c r="O4104" s="6" t="str">
        <f>IFERROR(__xludf.DUMMYFUNCTION("""COMPUTED_VALUE"""),"FIP-DOM-000-11304-OS00001-INA-000000")</f>
        <v>FIP-DOM-000-11304-OS00001-INA-000000</v>
      </c>
      <c r="P4104" s="6" t="str">
        <f>IFERROR(__xludf.DUMMYFUNCTION("""COMPUTED_VALUE"""),"PO Closed")</f>
        <v>PO Closed</v>
      </c>
      <c r="Q4104" s="6" t="str">
        <f>IFERROR(__xludf.DUMMYFUNCTION("""COMPUTED_VALUE"""),"GL2506046")</f>
        <v>GL2506046</v>
      </c>
      <c r="R4104" s="57">
        <f>IFERROR(__xludf.DUMMYFUNCTION("""COMPUTED_VALUE"""),45819.0)</f>
        <v>45819</v>
      </c>
      <c r="S4104" s="57">
        <f>IFERROR(__xludf.DUMMYFUNCTION("""COMPUTED_VALUE"""),45824.0)</f>
        <v>45824</v>
      </c>
      <c r="T4104" s="57">
        <f>IFERROR(__xludf.DUMMYFUNCTION("""COMPUTED_VALUE"""),45853.0)</f>
        <v>45853</v>
      </c>
    </row>
    <row r="4105">
      <c r="A4105" s="6" t="str">
        <f>IFERROR(__xludf.DUMMYFUNCTION("""COMPUTED_VALUE"""),"121702872-1")</f>
        <v>121702872-1</v>
      </c>
      <c r="B4105" s="6" t="str">
        <f>IFERROR(__xludf.DUMMYFUNCTION("""COMPUTED_VALUE"""),"121702872 - APPROVED")</f>
        <v>121702872 - APPROVED</v>
      </c>
      <c r="C4105" s="6">
        <f>IFERROR(__xludf.DUMMYFUNCTION("""COMPUTED_VALUE"""),1.0)</f>
        <v>1</v>
      </c>
      <c r="D4105" s="6" t="str">
        <f>IFERROR(__xludf.DUMMYFUNCTION("""COMPUTED_VALUE"""),"P-11175-00")</f>
        <v>P-11175-00</v>
      </c>
      <c r="E4105" s="6" t="str">
        <f>IFERROR(__xludf.DUMMYFUNCTION("""COMPUTED_VALUE"""),"Pneumatic  Fitting - QS 10-8 / PN : 153039 / Festo")</f>
        <v>Pneumatic  Fitting - QS 10-8 / PN : 153039 / Festo</v>
      </c>
      <c r="F4105" s="6">
        <f>IFERROR(__xludf.DUMMYFUNCTION("""COMPUTED_VALUE"""),10.0)</f>
        <v>10</v>
      </c>
      <c r="G4105" s="6" t="str">
        <f>IFERROR(__xludf.DUMMYFUNCTION("""COMPUTED_VALUE"""),"Pieces")</f>
        <v>Pieces</v>
      </c>
      <c r="H4105" s="6" t="str">
        <f>IFERROR(__xludf.DUMMYFUNCTION("""COMPUTED_VALUE"""),"IDR")</f>
        <v>IDR</v>
      </c>
      <c r="I4105" s="6">
        <f>IFERROR(__xludf.DUMMYFUNCTION("""COMPUTED_VALUE"""),63220.0)</f>
        <v>63220</v>
      </c>
      <c r="J4105" s="6">
        <f>IFERROR(__xludf.DUMMYFUNCTION("""COMPUTED_VALUE"""),632200.0)</f>
        <v>632200</v>
      </c>
      <c r="K4105" s="57">
        <f>IFERROR(__xludf.DUMMYFUNCTION("""COMPUTED_VALUE"""),45856.0)</f>
        <v>45856</v>
      </c>
      <c r="L4105" s="6" t="str">
        <f>IFERROR(__xludf.DUMMYFUNCTION("""COMPUTED_VALUE"""),"FIP Engineering")</f>
        <v>FIP Engineering</v>
      </c>
      <c r="M4105" s="6" t="str">
        <f>IFERROR(__xludf.DUMMYFUNCTION("""COMPUTED_VALUE"""),"Mochammad Fadhillah Hakim,")</f>
        <v>Mochammad Fadhillah Hakim,</v>
      </c>
      <c r="N4105" s="6" t="str">
        <f>IFERROR(__xludf.DUMMYFUNCTION("""COMPUTED_VALUE"""),"FIP Engineering")</f>
        <v>FIP Engineering</v>
      </c>
      <c r="O4105" s="6" t="str">
        <f>IFERROR(__xludf.DUMMYFUNCTION("""COMPUTED_VALUE"""),"FIP-DOM-000-11304-OS00001-INA-000000")</f>
        <v>FIP-DOM-000-11304-OS00001-INA-000000</v>
      </c>
      <c r="P4105" s="6" t="str">
        <f>IFERROR(__xludf.DUMMYFUNCTION("""COMPUTED_VALUE"""),"PO Closed")</f>
        <v>PO Closed</v>
      </c>
      <c r="Q4105" s="6" t="str">
        <f>IFERROR(__xludf.DUMMYFUNCTION("""COMPUTED_VALUE"""),"GL2507040")</f>
        <v>GL2507040</v>
      </c>
      <c r="R4105" s="57">
        <f>IFERROR(__xludf.DUMMYFUNCTION("""COMPUTED_VALUE"""),45820.0)</f>
        <v>45820</v>
      </c>
      <c r="S4105" s="57">
        <f>IFERROR(__xludf.DUMMYFUNCTION("""COMPUTED_VALUE"""),45824.0)</f>
        <v>45824</v>
      </c>
      <c r="T4105" s="57">
        <f>IFERROR(__xludf.DUMMYFUNCTION("""COMPUTED_VALUE"""),45870.0)</f>
        <v>45870</v>
      </c>
    </row>
    <row r="4106">
      <c r="A4106" s="6" t="str">
        <f>IFERROR(__xludf.DUMMYFUNCTION("""COMPUTED_VALUE"""),"121702872-2")</f>
        <v>121702872-2</v>
      </c>
      <c r="B4106" s="6" t="str">
        <f>IFERROR(__xludf.DUMMYFUNCTION("""COMPUTED_VALUE"""),"121702872 - APPROVED")</f>
        <v>121702872 - APPROVED</v>
      </c>
      <c r="C4106" s="6">
        <f>IFERROR(__xludf.DUMMYFUNCTION("""COMPUTED_VALUE"""),2.0)</f>
        <v>2</v>
      </c>
      <c r="D4106" s="6" t="str">
        <f>IFERROR(__xludf.DUMMYFUNCTION("""COMPUTED_VALUE"""),"P-11185-00")</f>
        <v>P-11185-00</v>
      </c>
      <c r="E4106" s="6" t="str">
        <f>IFERROR(__xludf.DUMMYFUNCTION("""COMPUTED_VALUE"""),"General - Push-in Connector, QS-8-6; Festo; 153038; 1 pcs")</f>
        <v>General - Push-in Connector, QS-8-6; Festo; 153038; 1 pcs</v>
      </c>
      <c r="F4106" s="6">
        <f>IFERROR(__xludf.DUMMYFUNCTION("""COMPUTED_VALUE"""),10.0)</f>
        <v>10</v>
      </c>
      <c r="G4106" s="6" t="str">
        <f>IFERROR(__xludf.DUMMYFUNCTION("""COMPUTED_VALUE"""),"Pieces")</f>
        <v>Pieces</v>
      </c>
      <c r="H4106" s="6" t="str">
        <f>IFERROR(__xludf.DUMMYFUNCTION("""COMPUTED_VALUE"""),"IDR")</f>
        <v>IDR</v>
      </c>
      <c r="I4106" s="6">
        <f>IFERROR(__xludf.DUMMYFUNCTION("""COMPUTED_VALUE"""),47707.0)</f>
        <v>47707</v>
      </c>
      <c r="J4106" s="6">
        <f>IFERROR(__xludf.DUMMYFUNCTION("""COMPUTED_VALUE"""),477070.0)</f>
        <v>477070</v>
      </c>
      <c r="K4106" s="57">
        <f>IFERROR(__xludf.DUMMYFUNCTION("""COMPUTED_VALUE"""),45856.0)</f>
        <v>45856</v>
      </c>
      <c r="L4106" s="6" t="str">
        <f>IFERROR(__xludf.DUMMYFUNCTION("""COMPUTED_VALUE"""),"FIP Engineering")</f>
        <v>FIP Engineering</v>
      </c>
      <c r="M4106" s="6" t="str">
        <f>IFERROR(__xludf.DUMMYFUNCTION("""COMPUTED_VALUE"""),"Mochammad Fadhillah Hakim,")</f>
        <v>Mochammad Fadhillah Hakim,</v>
      </c>
      <c r="N4106" s="6" t="str">
        <f>IFERROR(__xludf.DUMMYFUNCTION("""COMPUTED_VALUE"""),"FIP Engineering")</f>
        <v>FIP Engineering</v>
      </c>
      <c r="O4106" s="6" t="str">
        <f>IFERROR(__xludf.DUMMYFUNCTION("""COMPUTED_VALUE"""),"FIP-DOM-000-11304-OS00001-INA-000000")</f>
        <v>FIP-DOM-000-11304-OS00001-INA-000000</v>
      </c>
      <c r="P4106" s="6" t="str">
        <f>IFERROR(__xludf.DUMMYFUNCTION("""COMPUTED_VALUE"""),"PO Closed")</f>
        <v>PO Closed</v>
      </c>
      <c r="Q4106" s="6" t="str">
        <f>IFERROR(__xludf.DUMMYFUNCTION("""COMPUTED_VALUE"""),"GL2507040")</f>
        <v>GL2507040</v>
      </c>
      <c r="R4106" s="57">
        <f>IFERROR(__xludf.DUMMYFUNCTION("""COMPUTED_VALUE"""),45820.0)</f>
        <v>45820</v>
      </c>
      <c r="S4106" s="57">
        <f>IFERROR(__xludf.DUMMYFUNCTION("""COMPUTED_VALUE"""),45824.0)</f>
        <v>45824</v>
      </c>
      <c r="T4106" s="57">
        <f>IFERROR(__xludf.DUMMYFUNCTION("""COMPUTED_VALUE"""),45870.0)</f>
        <v>45870</v>
      </c>
    </row>
    <row r="4107">
      <c r="A4107" s="6" t="str">
        <f>IFERROR(__xludf.DUMMYFUNCTION("""COMPUTED_VALUE"""),"121702872-3")</f>
        <v>121702872-3</v>
      </c>
      <c r="B4107" s="6" t="str">
        <f>IFERROR(__xludf.DUMMYFUNCTION("""COMPUTED_VALUE"""),"121702872 - APPROVED")</f>
        <v>121702872 - APPROVED</v>
      </c>
      <c r="C4107" s="6">
        <f>IFERROR(__xludf.DUMMYFUNCTION("""COMPUTED_VALUE"""),3.0)</f>
        <v>3</v>
      </c>
      <c r="D4107" s="6" t="str">
        <f>IFERROR(__xludf.DUMMYFUNCTION("""COMPUTED_VALUE"""),"P-12282-00")</f>
        <v>P-12282-00</v>
      </c>
      <c r="E4107" s="6" t="str">
        <f>IFERROR(__xludf.DUMMYFUNCTION("""COMPUTED_VALUE"""),"FESTO - QS-12-10 Push in Connector p/n: 153040")</f>
        <v>FESTO - QS-12-10 Push in Connector p/n: 153040</v>
      </c>
      <c r="F4107" s="6">
        <f>IFERROR(__xludf.DUMMYFUNCTION("""COMPUTED_VALUE"""),10.0)</f>
        <v>10</v>
      </c>
      <c r="G4107" s="6" t="str">
        <f>IFERROR(__xludf.DUMMYFUNCTION("""COMPUTED_VALUE"""),"Pieces")</f>
        <v>Pieces</v>
      </c>
      <c r="H4107" s="6" t="str">
        <f>IFERROR(__xludf.DUMMYFUNCTION("""COMPUTED_VALUE"""),"IDR")</f>
        <v>IDR</v>
      </c>
      <c r="I4107" s="6">
        <f>IFERROR(__xludf.DUMMYFUNCTION("""COMPUTED_VALUE"""),66439.0)</f>
        <v>66439</v>
      </c>
      <c r="J4107" s="6">
        <f>IFERROR(__xludf.DUMMYFUNCTION("""COMPUTED_VALUE"""),664390.0)</f>
        <v>664390</v>
      </c>
      <c r="K4107" s="57">
        <f>IFERROR(__xludf.DUMMYFUNCTION("""COMPUTED_VALUE"""),45856.0)</f>
        <v>45856</v>
      </c>
      <c r="L4107" s="6" t="str">
        <f>IFERROR(__xludf.DUMMYFUNCTION("""COMPUTED_VALUE"""),"FIP Engineering")</f>
        <v>FIP Engineering</v>
      </c>
      <c r="M4107" s="6" t="str">
        <f>IFERROR(__xludf.DUMMYFUNCTION("""COMPUTED_VALUE"""),"Mochammad Fadhillah Hakim,")</f>
        <v>Mochammad Fadhillah Hakim,</v>
      </c>
      <c r="N4107" s="6" t="str">
        <f>IFERROR(__xludf.DUMMYFUNCTION("""COMPUTED_VALUE"""),"FIP Engineering")</f>
        <v>FIP Engineering</v>
      </c>
      <c r="O4107" s="6" t="str">
        <f>IFERROR(__xludf.DUMMYFUNCTION("""COMPUTED_VALUE"""),"FIP-DOM-000-11304-OS00001-INA-000000")</f>
        <v>FIP-DOM-000-11304-OS00001-INA-000000</v>
      </c>
      <c r="P4107" s="6" t="str">
        <f>IFERROR(__xludf.DUMMYFUNCTION("""COMPUTED_VALUE"""),"PO Closed")</f>
        <v>PO Closed</v>
      </c>
      <c r="Q4107" s="6" t="str">
        <f>IFERROR(__xludf.DUMMYFUNCTION("""COMPUTED_VALUE"""),"GL2507040")</f>
        <v>GL2507040</v>
      </c>
      <c r="R4107" s="57">
        <f>IFERROR(__xludf.DUMMYFUNCTION("""COMPUTED_VALUE"""),45820.0)</f>
        <v>45820</v>
      </c>
      <c r="S4107" s="57">
        <f>IFERROR(__xludf.DUMMYFUNCTION("""COMPUTED_VALUE"""),45824.0)</f>
        <v>45824</v>
      </c>
      <c r="T4107" s="57">
        <f>IFERROR(__xludf.DUMMYFUNCTION("""COMPUTED_VALUE"""),45870.0)</f>
        <v>45870</v>
      </c>
    </row>
    <row r="4108">
      <c r="A4108" s="6" t="str">
        <f>IFERROR(__xludf.DUMMYFUNCTION("""COMPUTED_VALUE"""),"121702873-1")</f>
        <v>121702873-1</v>
      </c>
      <c r="B4108" s="6" t="str">
        <f>IFERROR(__xludf.DUMMYFUNCTION("""COMPUTED_VALUE"""),"121702873 - APPROVED")</f>
        <v>121702873 - APPROVED</v>
      </c>
      <c r="C4108" s="6">
        <f>IFERROR(__xludf.DUMMYFUNCTION("""COMPUTED_VALUE"""),1.0)</f>
        <v>1</v>
      </c>
      <c r="D4108" s="6" t="str">
        <f>IFERROR(__xludf.DUMMYFUNCTION("""COMPUTED_VALUE"""),"O-52854-00")</f>
        <v>O-52854-00</v>
      </c>
      <c r="E4108" s="6" t="str">
        <f>IFERROR(__xludf.DUMMYFUNCTION("""COMPUTED_VALUE"""),"Safety Sensor GG505S GIGA-4015-US; IFM; ;")</f>
        <v>Safety Sensor GG505S GIGA-4015-US; IFM; ;</v>
      </c>
      <c r="F4108" s="6">
        <f>IFERROR(__xludf.DUMMYFUNCTION("""COMPUTED_VALUE"""),2.0)</f>
        <v>2</v>
      </c>
      <c r="G4108" s="6" t="str">
        <f>IFERROR(__xludf.DUMMYFUNCTION("""COMPUTED_VALUE"""),"Pieces")</f>
        <v>Pieces</v>
      </c>
      <c r="H4108" s="6" t="str">
        <f>IFERROR(__xludf.DUMMYFUNCTION("""COMPUTED_VALUE"""),"IDR")</f>
        <v>IDR</v>
      </c>
      <c r="I4108" s="6">
        <f>IFERROR(__xludf.DUMMYFUNCTION("""COMPUTED_VALUE"""),2685000.0)</f>
        <v>2685000</v>
      </c>
      <c r="J4108" s="6">
        <f>IFERROR(__xludf.DUMMYFUNCTION("""COMPUTED_VALUE"""),5370000.0)</f>
        <v>5370000</v>
      </c>
      <c r="K4108" s="57">
        <f>IFERROR(__xludf.DUMMYFUNCTION("""COMPUTED_VALUE"""),45884.0)</f>
        <v>45884</v>
      </c>
      <c r="L4108" s="6" t="str">
        <f>IFERROR(__xludf.DUMMYFUNCTION("""COMPUTED_VALUE"""),"FIP Engineering")</f>
        <v>FIP Engineering</v>
      </c>
      <c r="M4108" s="6" t="str">
        <f>IFERROR(__xludf.DUMMYFUNCTION("""COMPUTED_VALUE"""),"Mochammad Fadhillah Hakim,")</f>
        <v>Mochammad Fadhillah Hakim,</v>
      </c>
      <c r="N4108" s="6" t="str">
        <f>IFERROR(__xludf.DUMMYFUNCTION("""COMPUTED_VALUE"""),"FIP Engineering")</f>
        <v>FIP Engineering</v>
      </c>
      <c r="O4108" s="6" t="str">
        <f>IFERROR(__xludf.DUMMYFUNCTION("""COMPUTED_VALUE"""),"FIP-DOM-000-11304-OS00001-INA-000000")</f>
        <v>FIP-DOM-000-11304-OS00001-INA-000000</v>
      </c>
      <c r="P4108" s="6" t="str">
        <f>IFERROR(__xludf.DUMMYFUNCTION("""COMPUTED_VALUE"""),"PO Closed")</f>
        <v>PO Closed</v>
      </c>
      <c r="Q4108" s="6" t="str">
        <f>IFERROR(__xludf.DUMMYFUNCTION("""COMPUTED_VALUE"""),"GL2507006")</f>
        <v>GL2507006</v>
      </c>
      <c r="R4108" s="57">
        <f>IFERROR(__xludf.DUMMYFUNCTION("""COMPUTED_VALUE"""),45820.0)</f>
        <v>45820</v>
      </c>
      <c r="S4108" s="57">
        <f>IFERROR(__xludf.DUMMYFUNCTION("""COMPUTED_VALUE"""),45824.0)</f>
        <v>45824</v>
      </c>
      <c r="T4108" s="57">
        <f>IFERROR(__xludf.DUMMYFUNCTION("""COMPUTED_VALUE"""),45884.0)</f>
        <v>45884</v>
      </c>
    </row>
    <row r="4109">
      <c r="A4109" s="6" t="str">
        <f>IFERROR(__xludf.DUMMYFUNCTION("""COMPUTED_VALUE"""),"121702874-1")</f>
        <v>121702874-1</v>
      </c>
      <c r="B4109" s="6" t="str">
        <f>IFERROR(__xludf.DUMMYFUNCTION("""COMPUTED_VALUE"""),"121702874 - APPROVED")</f>
        <v>121702874 - APPROVED</v>
      </c>
      <c r="C4109" s="6">
        <f>IFERROR(__xludf.DUMMYFUNCTION("""COMPUTED_VALUE"""),1.0)</f>
        <v>1</v>
      </c>
      <c r="D4109" s="6" t="str">
        <f>IFERROR(__xludf.DUMMYFUNCTION("""COMPUTED_VALUE"""),"S-60050-00")</f>
        <v>S-60050-00</v>
      </c>
      <c r="E4109" s="6" t="str">
        <f>IFERROR(__xludf.DUMMYFUNCTION("""COMPUTED_VALUE"""),"Jasa Perbaikan dan Pemeliharaan Mesin Produksi; ; ; - Perbaikan Database Newtronic")</f>
        <v>Jasa Perbaikan dan Pemeliharaan Mesin Produksi; ; ; - Perbaikan Database Newtronic</v>
      </c>
      <c r="F4109" s="6">
        <f>IFERROR(__xludf.DUMMYFUNCTION("""COMPUTED_VALUE"""),1.0)</f>
        <v>1</v>
      </c>
      <c r="G4109" s="6" t="str">
        <f>IFERROR(__xludf.DUMMYFUNCTION("""COMPUTED_VALUE"""),"Pieces")</f>
        <v>Pieces</v>
      </c>
      <c r="H4109" s="6" t="str">
        <f>IFERROR(__xludf.DUMMYFUNCTION("""COMPUTED_VALUE"""),"IDR")</f>
        <v>IDR</v>
      </c>
      <c r="I4109" s="6">
        <f>IFERROR(__xludf.DUMMYFUNCTION("""COMPUTED_VALUE"""),5000000.0)</f>
        <v>5000000</v>
      </c>
      <c r="J4109" s="6">
        <f>IFERROR(__xludf.DUMMYFUNCTION("""COMPUTED_VALUE"""),5000000.0)</f>
        <v>5000000</v>
      </c>
      <c r="K4109" s="57">
        <f>IFERROR(__xludf.DUMMYFUNCTION("""COMPUTED_VALUE"""),45856.0)</f>
        <v>45856</v>
      </c>
      <c r="L4109" s="6" t="str">
        <f>IFERROR(__xludf.DUMMYFUNCTION("""COMPUTED_VALUE"""),"FIP General")</f>
        <v>FIP General</v>
      </c>
      <c r="M4109" s="6" t="str">
        <f>IFERROR(__xludf.DUMMYFUNCTION("""COMPUTED_VALUE"""),"Mochammad Fadhillah Hakim,")</f>
        <v>Mochammad Fadhillah Hakim,</v>
      </c>
      <c r="N4109" s="6" t="str">
        <f>IFERROR(__xludf.DUMMYFUNCTION("""COMPUTED_VALUE"""),"FIP Engineering")</f>
        <v>FIP Engineering</v>
      </c>
      <c r="O4109" s="6" t="str">
        <f>IFERROR(__xludf.DUMMYFUNCTION("""COMPUTED_VALUE"""),"FIP-DOM-ENG-51504-0000000-INA-000000")</f>
        <v>FIP-DOM-ENG-51504-0000000-INA-000000</v>
      </c>
      <c r="P4109" s="6" t="str">
        <f>IFERROR(__xludf.DUMMYFUNCTION("""COMPUTED_VALUE"""),"PO Closed")</f>
        <v>PO Closed</v>
      </c>
      <c r="Q4109" s="6" t="str">
        <f>IFERROR(__xludf.DUMMYFUNCTION("""COMPUTED_VALUE"""),"GL2507010")</f>
        <v>GL2507010</v>
      </c>
      <c r="R4109" s="57">
        <f>IFERROR(__xludf.DUMMYFUNCTION("""COMPUTED_VALUE"""),45820.0)</f>
        <v>45820</v>
      </c>
      <c r="S4109" s="57">
        <f>IFERROR(__xludf.DUMMYFUNCTION("""COMPUTED_VALUE"""),45824.0)</f>
        <v>45824</v>
      </c>
      <c r="T4109" s="57">
        <f>IFERROR(__xludf.DUMMYFUNCTION("""COMPUTED_VALUE"""),45918.0)</f>
        <v>45918</v>
      </c>
    </row>
    <row r="4110">
      <c r="A4110" s="6" t="str">
        <f>IFERROR(__xludf.DUMMYFUNCTION("""COMPUTED_VALUE"""),"121702875-1")</f>
        <v>121702875-1</v>
      </c>
      <c r="B4110" s="6" t="str">
        <f>IFERROR(__xludf.DUMMYFUNCTION("""COMPUTED_VALUE"""),"121702875 - APPROVED")</f>
        <v>121702875 - APPROVED</v>
      </c>
      <c r="C4110" s="6">
        <f>IFERROR(__xludf.DUMMYFUNCTION("""COMPUTED_VALUE"""),1.0)</f>
        <v>1</v>
      </c>
      <c r="D4110" s="6" t="str">
        <f>IFERROR(__xludf.DUMMYFUNCTION("""COMPUTED_VALUE"""),"P-52664-00")</f>
        <v>P-52664-00</v>
      </c>
      <c r="E4110" s="6" t="str">
        <f>IFERROR(__xludf.DUMMYFUNCTION("""COMPUTED_VALUE"""),"Pelampung Air Radar Float Switch 2 Meter; ; ;")</f>
        <v>Pelampung Air Radar Float Switch 2 Meter; ; ;</v>
      </c>
      <c r="F4110" s="6">
        <f>IFERROR(__xludf.DUMMYFUNCTION("""COMPUTED_VALUE"""),3.0)</f>
        <v>3</v>
      </c>
      <c r="G4110" s="6" t="str">
        <f>IFERROR(__xludf.DUMMYFUNCTION("""COMPUTED_VALUE"""),"Pieces")</f>
        <v>Pieces</v>
      </c>
      <c r="H4110" s="6" t="str">
        <f>IFERROR(__xludf.DUMMYFUNCTION("""COMPUTED_VALUE"""),"IDR")</f>
        <v>IDR</v>
      </c>
      <c r="I4110" s="6">
        <f>IFERROR(__xludf.DUMMYFUNCTION("""COMPUTED_VALUE"""),93000.0)</f>
        <v>93000</v>
      </c>
      <c r="J4110" s="6">
        <f>IFERROR(__xludf.DUMMYFUNCTION("""COMPUTED_VALUE"""),279000.0)</f>
        <v>279000</v>
      </c>
      <c r="K4110" s="57">
        <f>IFERROR(__xludf.DUMMYFUNCTION("""COMPUTED_VALUE"""),45856.0)</f>
        <v>45856</v>
      </c>
      <c r="L4110" s="6" t="str">
        <f>IFERROR(__xludf.DUMMYFUNCTION("""COMPUTED_VALUE"""),"FIP Engineering")</f>
        <v>FIP Engineering</v>
      </c>
      <c r="M4110" s="6" t="str">
        <f>IFERROR(__xludf.DUMMYFUNCTION("""COMPUTED_VALUE"""),"Mochammad Fadhillah Hakim,")</f>
        <v>Mochammad Fadhillah Hakim,</v>
      </c>
      <c r="N4110" s="6" t="str">
        <f>IFERROR(__xludf.DUMMYFUNCTION("""COMPUTED_VALUE"""),"FIP Engineering")</f>
        <v>FIP Engineering</v>
      </c>
      <c r="O4110" s="6" t="str">
        <f>IFERROR(__xludf.DUMMYFUNCTION("""COMPUTED_VALUE"""),"FIP-DOM-000-11304-OS00001-INA-000000")</f>
        <v>FIP-DOM-000-11304-OS00001-INA-000000</v>
      </c>
      <c r="P4110" s="6" t="str">
        <f>IFERROR(__xludf.DUMMYFUNCTION("""COMPUTED_VALUE"""),"PO Closed")</f>
        <v>PO Closed</v>
      </c>
      <c r="Q4110" s="6" t="str">
        <f>IFERROR(__xludf.DUMMYFUNCTION("""COMPUTED_VALUE"""),"GL2506055")</f>
        <v>GL2506055</v>
      </c>
      <c r="R4110" s="57">
        <f>IFERROR(__xludf.DUMMYFUNCTION("""COMPUTED_VALUE"""),45820.0)</f>
        <v>45820</v>
      </c>
      <c r="S4110" s="57">
        <f>IFERROR(__xludf.DUMMYFUNCTION("""COMPUTED_VALUE"""),45824.0)</f>
        <v>45824</v>
      </c>
      <c r="T4110" s="57">
        <f>IFERROR(__xludf.DUMMYFUNCTION("""COMPUTED_VALUE"""),45863.0)</f>
        <v>45863</v>
      </c>
    </row>
    <row r="4111">
      <c r="A4111" s="6" t="str">
        <f>IFERROR(__xludf.DUMMYFUNCTION("""COMPUTED_VALUE"""),"121702876-1")</f>
        <v>121702876-1</v>
      </c>
      <c r="B4111" s="6" t="str">
        <f>IFERROR(__xludf.DUMMYFUNCTION("""COMPUTED_VALUE"""),"121702876 - APPROVED")</f>
        <v>121702876 - APPROVED</v>
      </c>
      <c r="C4111" s="6">
        <f>IFERROR(__xludf.DUMMYFUNCTION("""COMPUTED_VALUE"""),1.0)</f>
        <v>1</v>
      </c>
      <c r="D4111" s="6" t="str">
        <f>IFERROR(__xludf.DUMMYFUNCTION("""COMPUTED_VALUE"""),"O-18346-00")</f>
        <v>O-18346-00</v>
      </c>
      <c r="E4111" s="6" t="str">
        <f>IFERROR(__xludf.DUMMYFUNCTION("""COMPUTED_VALUE"""),"Tunnel ST1L - Junction (15x15mm L=23,5mm) CA system Tight Door; ; ;")</f>
        <v>Tunnel ST1L - Junction (15x15mm L=23,5mm) CA system Tight Door; ; ;</v>
      </c>
      <c r="F4111" s="6">
        <f>IFERROR(__xludf.DUMMYFUNCTION("""COMPUTED_VALUE"""),2.0)</f>
        <v>2</v>
      </c>
      <c r="G4111" s="6" t="str">
        <f>IFERROR(__xludf.DUMMYFUNCTION("""COMPUTED_VALUE"""),"Pieces")</f>
        <v>Pieces</v>
      </c>
      <c r="H4111" s="6" t="str">
        <f>IFERROR(__xludf.DUMMYFUNCTION("""COMPUTED_VALUE"""),"EUR")</f>
        <v>EUR</v>
      </c>
      <c r="I4111" s="6">
        <f>IFERROR(__xludf.DUMMYFUNCTION("""COMPUTED_VALUE"""),1328131.0)</f>
        <v>1328131</v>
      </c>
      <c r="J4111" s="6">
        <f>IFERROR(__xludf.DUMMYFUNCTION("""COMPUTED_VALUE"""),2656261.0)</f>
        <v>2656261</v>
      </c>
      <c r="K4111" s="57">
        <f>IFERROR(__xludf.DUMMYFUNCTION("""COMPUTED_VALUE"""),45884.0)</f>
        <v>45884</v>
      </c>
      <c r="L4111" s="6" t="str">
        <f>IFERROR(__xludf.DUMMYFUNCTION("""COMPUTED_VALUE"""),"FIP Engineering")</f>
        <v>FIP Engineering</v>
      </c>
      <c r="M4111" s="6" t="str">
        <f>IFERROR(__xludf.DUMMYFUNCTION("""COMPUTED_VALUE"""),"Mochammad Fadhillah Hakim,")</f>
        <v>Mochammad Fadhillah Hakim,</v>
      </c>
      <c r="N4111" s="6" t="str">
        <f>IFERROR(__xludf.DUMMYFUNCTION("""COMPUTED_VALUE"""),"FIP Engineering")</f>
        <v>FIP Engineering</v>
      </c>
      <c r="O4111" s="6" t="str">
        <f>IFERROR(__xludf.DUMMYFUNCTION("""COMPUTED_VALUE"""),"FIP-DOM-000-11304-OS00001-INA-000000")</f>
        <v>FIP-DOM-000-11304-OS00001-INA-000000</v>
      </c>
      <c r="P4111" s="6" t="str">
        <f>IFERROR(__xludf.DUMMYFUNCTION("""COMPUTED_VALUE"""),"PO Closed")</f>
        <v>PO Closed</v>
      </c>
      <c r="Q4111" s="6" t="str">
        <f>IFERROR(__xludf.DUMMYFUNCTION("""COMPUTED_VALUE"""),"GL2507038")</f>
        <v>GL2507038</v>
      </c>
      <c r="R4111" s="57">
        <f>IFERROR(__xludf.DUMMYFUNCTION("""COMPUTED_VALUE"""),45820.0)</f>
        <v>45820</v>
      </c>
      <c r="S4111" s="57">
        <f>IFERROR(__xludf.DUMMYFUNCTION("""COMPUTED_VALUE"""),45839.0)</f>
        <v>45839</v>
      </c>
      <c r="T4111" s="57">
        <f>IFERROR(__xludf.DUMMYFUNCTION("""COMPUTED_VALUE"""),45976.0)</f>
        <v>45976</v>
      </c>
    </row>
    <row r="4112">
      <c r="A4112" s="6" t="str">
        <f>IFERROR(__xludf.DUMMYFUNCTION("""COMPUTED_VALUE"""),"121702876-2")</f>
        <v>121702876-2</v>
      </c>
      <c r="B4112" s="6" t="str">
        <f>IFERROR(__xludf.DUMMYFUNCTION("""COMPUTED_VALUE"""),"121702876 - APPROVED")</f>
        <v>121702876 - APPROVED</v>
      </c>
      <c r="C4112" s="6">
        <f>IFERROR(__xludf.DUMMYFUNCTION("""COMPUTED_VALUE"""),2.0)</f>
        <v>2</v>
      </c>
      <c r="D4112" s="6" t="str">
        <f>IFERROR(__xludf.DUMMYFUNCTION("""COMPUTED_VALUE"""),"O-18348-00")</f>
        <v>O-18348-00</v>
      </c>
      <c r="E4112" s="6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F4112" s="6">
        <f>IFERROR(__xludf.DUMMYFUNCTION("""COMPUTED_VALUE"""),2.0)</f>
        <v>2</v>
      </c>
      <c r="G4112" s="6" t="str">
        <f>IFERROR(__xludf.DUMMYFUNCTION("""COMPUTED_VALUE"""),"Pieces")</f>
        <v>Pieces</v>
      </c>
      <c r="H4112" s="6" t="str">
        <f>IFERROR(__xludf.DUMMYFUNCTION("""COMPUTED_VALUE"""),"EUR")</f>
        <v>EUR</v>
      </c>
      <c r="I4112" s="6">
        <f>IFERROR(__xludf.DUMMYFUNCTION("""COMPUTED_VALUE"""),610137.0)</f>
        <v>610137</v>
      </c>
      <c r="J4112" s="6">
        <f>IFERROR(__xludf.DUMMYFUNCTION("""COMPUTED_VALUE"""),1220273.0)</f>
        <v>1220273</v>
      </c>
      <c r="K4112" s="57">
        <f>IFERROR(__xludf.DUMMYFUNCTION("""COMPUTED_VALUE"""),45884.0)</f>
        <v>45884</v>
      </c>
      <c r="L4112" s="6" t="str">
        <f>IFERROR(__xludf.DUMMYFUNCTION("""COMPUTED_VALUE"""),"FIP Engineering")</f>
        <v>FIP Engineering</v>
      </c>
      <c r="M4112" s="6" t="str">
        <f>IFERROR(__xludf.DUMMYFUNCTION("""COMPUTED_VALUE"""),"Mochammad Fadhillah Hakim,")</f>
        <v>Mochammad Fadhillah Hakim,</v>
      </c>
      <c r="N4112" s="6" t="str">
        <f>IFERROR(__xludf.DUMMYFUNCTION("""COMPUTED_VALUE"""),"FIP Engineering")</f>
        <v>FIP Engineering</v>
      </c>
      <c r="O4112" s="6" t="str">
        <f>IFERROR(__xludf.DUMMYFUNCTION("""COMPUTED_VALUE"""),"FIP-DOM-000-11304-OS00001-INA-000000")</f>
        <v>FIP-DOM-000-11304-OS00001-INA-000000</v>
      </c>
      <c r="P4112" s="6" t="str">
        <f>IFERROR(__xludf.DUMMYFUNCTION("""COMPUTED_VALUE"""),"PO Closed")</f>
        <v>PO Closed</v>
      </c>
      <c r="Q4112" s="6" t="str">
        <f>IFERROR(__xludf.DUMMYFUNCTION("""COMPUTED_VALUE"""),"GL2507038")</f>
        <v>GL2507038</v>
      </c>
      <c r="R4112" s="57">
        <f>IFERROR(__xludf.DUMMYFUNCTION("""COMPUTED_VALUE"""),45820.0)</f>
        <v>45820</v>
      </c>
      <c r="S4112" s="57">
        <f>IFERROR(__xludf.DUMMYFUNCTION("""COMPUTED_VALUE"""),45839.0)</f>
        <v>45839</v>
      </c>
      <c r="T4112" s="57">
        <f>IFERROR(__xludf.DUMMYFUNCTION("""COMPUTED_VALUE"""),45976.0)</f>
        <v>45976</v>
      </c>
    </row>
    <row r="4113">
      <c r="A4113" s="6" t="str">
        <f>IFERROR(__xludf.DUMMYFUNCTION("""COMPUTED_VALUE"""),"121702876-3")</f>
        <v>121702876-3</v>
      </c>
      <c r="B4113" s="6" t="str">
        <f>IFERROR(__xludf.DUMMYFUNCTION("""COMPUTED_VALUE"""),"121702876 - APPROVED")</f>
        <v>121702876 - APPROVED</v>
      </c>
      <c r="C4113" s="6">
        <f>IFERROR(__xludf.DUMMYFUNCTION("""COMPUTED_VALUE"""),3.0)</f>
        <v>3</v>
      </c>
      <c r="D4113" s="6" t="str">
        <f>IFERROR(__xludf.DUMMYFUNCTION("""COMPUTED_VALUE"""),"O-20748-00")</f>
        <v>O-20748-00</v>
      </c>
      <c r="E4113" s="6" t="str">
        <f>IFERROR(__xludf.DUMMYFUNCTION("""COMPUTED_VALUE"""),"cRABS Z064CR - Cabinet Handle ENUX RAL 9005; Steriline; 1135571; 1 Pc")</f>
        <v>cRABS Z064CR - Cabinet Handle ENUX RAL 9005; Steriline; 1135571; 1 Pc</v>
      </c>
      <c r="F4113" s="6">
        <f>IFERROR(__xludf.DUMMYFUNCTION("""COMPUTED_VALUE"""),5.0)</f>
        <v>5</v>
      </c>
      <c r="G4113" s="6" t="str">
        <f>IFERROR(__xludf.DUMMYFUNCTION("""COMPUTED_VALUE"""),"Pieces")</f>
        <v>Pieces</v>
      </c>
      <c r="H4113" s="6" t="str">
        <f>IFERROR(__xludf.DUMMYFUNCTION("""COMPUTED_VALUE"""),"EUR")</f>
        <v>EUR</v>
      </c>
      <c r="I4113" s="6">
        <f>IFERROR(__xludf.DUMMYFUNCTION("""COMPUTED_VALUE"""),1274946.0)</f>
        <v>1274946</v>
      </c>
      <c r="J4113" s="6">
        <f>IFERROR(__xludf.DUMMYFUNCTION("""COMPUTED_VALUE"""),6374729.0)</f>
        <v>6374729</v>
      </c>
      <c r="K4113" s="57">
        <f>IFERROR(__xludf.DUMMYFUNCTION("""COMPUTED_VALUE"""),45884.0)</f>
        <v>45884</v>
      </c>
      <c r="L4113" s="6" t="str">
        <f>IFERROR(__xludf.DUMMYFUNCTION("""COMPUTED_VALUE"""),"FIP Engineering")</f>
        <v>FIP Engineering</v>
      </c>
      <c r="M4113" s="6" t="str">
        <f>IFERROR(__xludf.DUMMYFUNCTION("""COMPUTED_VALUE"""),"Mochammad Fadhillah Hakim,")</f>
        <v>Mochammad Fadhillah Hakim,</v>
      </c>
      <c r="N4113" s="6" t="str">
        <f>IFERROR(__xludf.DUMMYFUNCTION("""COMPUTED_VALUE"""),"FIP Engineering")</f>
        <v>FIP Engineering</v>
      </c>
      <c r="O4113" s="6" t="str">
        <f>IFERROR(__xludf.DUMMYFUNCTION("""COMPUTED_VALUE"""),"FIP-DOM-000-11304-OS00001-INA-000000")</f>
        <v>FIP-DOM-000-11304-OS00001-INA-000000</v>
      </c>
      <c r="P4113" s="6" t="str">
        <f>IFERROR(__xludf.DUMMYFUNCTION("""COMPUTED_VALUE"""),"PO Closed")</f>
        <v>PO Closed</v>
      </c>
      <c r="Q4113" s="6" t="str">
        <f>IFERROR(__xludf.DUMMYFUNCTION("""COMPUTED_VALUE"""),"GL2507038")</f>
        <v>GL2507038</v>
      </c>
      <c r="R4113" s="57">
        <f>IFERROR(__xludf.DUMMYFUNCTION("""COMPUTED_VALUE"""),45820.0)</f>
        <v>45820</v>
      </c>
      <c r="S4113" s="57">
        <f>IFERROR(__xludf.DUMMYFUNCTION("""COMPUTED_VALUE"""),45839.0)</f>
        <v>45839</v>
      </c>
      <c r="T4113" s="57">
        <f>IFERROR(__xludf.DUMMYFUNCTION("""COMPUTED_VALUE"""),45976.0)</f>
        <v>45976</v>
      </c>
    </row>
    <row r="4114">
      <c r="A4114" s="6" t="str">
        <f>IFERROR(__xludf.DUMMYFUNCTION("""COMPUTED_VALUE"""),"121702876-4")</f>
        <v>121702876-4</v>
      </c>
      <c r="B4114" s="6" t="str">
        <f>IFERROR(__xludf.DUMMYFUNCTION("""COMPUTED_VALUE"""),"121702876 - APPROVED")</f>
        <v>121702876 - APPROVED</v>
      </c>
      <c r="C4114" s="6">
        <f>IFERROR(__xludf.DUMMYFUNCTION("""COMPUTED_VALUE"""),4.0)</f>
        <v>4</v>
      </c>
      <c r="D4114" s="6" t="str">
        <f>IFERROR(__xludf.DUMMYFUNCTION("""COMPUTED_VALUE"""),"O-53319-00")</f>
        <v>O-53319-00</v>
      </c>
      <c r="E4114" s="6" t="str">
        <f>IFERROR(__xludf.DUMMYFUNCTION("""COMPUTED_VALUE"""),"Filling VFM100 - Cable 3g 1.5mq JZ-500; Steriline; 1111907; 1 Pc")</f>
        <v>Filling VFM100 - Cable 3g 1.5mq JZ-500; Steriline; 1111907; 1 Pc</v>
      </c>
      <c r="F4114" s="6">
        <f>IFERROR(__xludf.DUMMYFUNCTION("""COMPUTED_VALUE"""),1.0)</f>
        <v>1</v>
      </c>
      <c r="G4114" s="6" t="str">
        <f>IFERROR(__xludf.DUMMYFUNCTION("""COMPUTED_VALUE"""),"Pieces")</f>
        <v>Pieces</v>
      </c>
      <c r="H4114" s="6" t="str">
        <f>IFERROR(__xludf.DUMMYFUNCTION("""COMPUTED_VALUE"""),"EUR")</f>
        <v>EUR</v>
      </c>
      <c r="I4114" s="6">
        <f>IFERROR(__xludf.DUMMYFUNCTION("""COMPUTED_VALUE"""),47234.0)</f>
        <v>47234</v>
      </c>
      <c r="J4114" s="6">
        <f>IFERROR(__xludf.DUMMYFUNCTION("""COMPUTED_VALUE"""),47234.0)</f>
        <v>47234</v>
      </c>
      <c r="K4114" s="57">
        <f>IFERROR(__xludf.DUMMYFUNCTION("""COMPUTED_VALUE"""),45884.0)</f>
        <v>45884</v>
      </c>
      <c r="L4114" s="6" t="str">
        <f>IFERROR(__xludf.DUMMYFUNCTION("""COMPUTED_VALUE"""),"FIP Engineering")</f>
        <v>FIP Engineering</v>
      </c>
      <c r="M4114" s="6" t="str">
        <f>IFERROR(__xludf.DUMMYFUNCTION("""COMPUTED_VALUE"""),"Mochammad Fadhillah Hakim,")</f>
        <v>Mochammad Fadhillah Hakim,</v>
      </c>
      <c r="N4114" s="6" t="str">
        <f>IFERROR(__xludf.DUMMYFUNCTION("""COMPUTED_VALUE"""),"FIP Engineering")</f>
        <v>FIP Engineering</v>
      </c>
      <c r="O4114" s="6" t="str">
        <f>IFERROR(__xludf.DUMMYFUNCTION("""COMPUTED_VALUE"""),"FIP-DOM-000-11304-OS00001-INA-000000")</f>
        <v>FIP-DOM-000-11304-OS00001-INA-000000</v>
      </c>
      <c r="P4114" s="6" t="str">
        <f>IFERROR(__xludf.DUMMYFUNCTION("""COMPUTED_VALUE"""),"PO Closed")</f>
        <v>PO Closed</v>
      </c>
      <c r="Q4114" s="6" t="str">
        <f>IFERROR(__xludf.DUMMYFUNCTION("""COMPUTED_VALUE"""),"GL2507038")</f>
        <v>GL2507038</v>
      </c>
      <c r="R4114" s="57">
        <f>IFERROR(__xludf.DUMMYFUNCTION("""COMPUTED_VALUE"""),45820.0)</f>
        <v>45820</v>
      </c>
      <c r="S4114" s="57">
        <f>IFERROR(__xludf.DUMMYFUNCTION("""COMPUTED_VALUE"""),45839.0)</f>
        <v>45839</v>
      </c>
      <c r="T4114" s="57">
        <f>IFERROR(__xludf.DUMMYFUNCTION("""COMPUTED_VALUE"""),45976.0)</f>
        <v>45976</v>
      </c>
    </row>
    <row r="4115">
      <c r="A4115" s="6" t="str">
        <f>IFERROR(__xludf.DUMMYFUNCTION("""COMPUTED_VALUE"""),"121702876-5")</f>
        <v>121702876-5</v>
      </c>
      <c r="B4115" s="6" t="str">
        <f>IFERROR(__xludf.DUMMYFUNCTION("""COMPUTED_VALUE"""),"121702876 - APPROVED")</f>
        <v>121702876 - APPROVED</v>
      </c>
      <c r="C4115" s="6">
        <f>IFERROR(__xludf.DUMMYFUNCTION("""COMPUTED_VALUE"""),5.0)</f>
        <v>5</v>
      </c>
      <c r="D4115" s="6" t="str">
        <f>IFERROR(__xludf.DUMMYFUNCTION("""COMPUTED_VALUE"""),"S-44000-00")</f>
        <v>S-44000-00</v>
      </c>
      <c r="E4115" s="6" t="str">
        <f>IFERROR(__xludf.DUMMYFUNCTION("""COMPUTED_VALUE"""),"Packing &amp; Other Charges; ; ;")</f>
        <v>Packing &amp; Other Charges; ; ;</v>
      </c>
      <c r="F4115" s="6">
        <f>IFERROR(__xludf.DUMMYFUNCTION("""COMPUTED_VALUE"""),1.0)</f>
        <v>1</v>
      </c>
      <c r="G4115" s="6" t="str">
        <f>IFERROR(__xludf.DUMMYFUNCTION("""COMPUTED_VALUE"""),"Lot")</f>
        <v>Lot</v>
      </c>
      <c r="H4115" s="6" t="str">
        <f>IFERROR(__xludf.DUMMYFUNCTION("""COMPUTED_VALUE"""),"EUR")</f>
        <v>EUR</v>
      </c>
      <c r="I4115" s="6">
        <f>IFERROR(__xludf.DUMMYFUNCTION("""COMPUTED_VALUE"""),1859606.0)</f>
        <v>1859606</v>
      </c>
      <c r="J4115" s="6">
        <f>IFERROR(__xludf.DUMMYFUNCTION("""COMPUTED_VALUE"""),1859606.0)</f>
        <v>1859606</v>
      </c>
      <c r="K4115" s="57">
        <f>IFERROR(__xludf.DUMMYFUNCTION("""COMPUTED_VALUE"""),45884.0)</f>
        <v>45884</v>
      </c>
      <c r="L4115" s="6" t="str">
        <f>IFERROR(__xludf.DUMMYFUNCTION("""COMPUTED_VALUE"""),"FIP General")</f>
        <v>FIP General</v>
      </c>
      <c r="M4115" s="6" t="str">
        <f>IFERROR(__xludf.DUMMYFUNCTION("""COMPUTED_VALUE"""),"Mochammad Fadhillah Hakim,")</f>
        <v>Mochammad Fadhillah Hakim,</v>
      </c>
      <c r="N4115" s="6" t="str">
        <f>IFERROR(__xludf.DUMMYFUNCTION("""COMPUTED_VALUE"""),"FIP Engineering")</f>
        <v>FIP Engineering</v>
      </c>
      <c r="O4115" s="6" t="str">
        <f>IFERROR(__xludf.DUMMYFUNCTION("""COMPUTED_VALUE"""),"FIP-DOM-ENG-51504-0000000-INA-000000")</f>
        <v>FIP-DOM-ENG-51504-0000000-INA-000000</v>
      </c>
      <c r="P4115" s="6" t="str">
        <f>IFERROR(__xludf.DUMMYFUNCTION("""COMPUTED_VALUE"""),"PO Closed")</f>
        <v>PO Closed</v>
      </c>
      <c r="Q4115" s="6" t="str">
        <f>IFERROR(__xludf.DUMMYFUNCTION("""COMPUTED_VALUE"""),"GL2507038")</f>
        <v>GL2507038</v>
      </c>
      <c r="R4115" s="57">
        <f>IFERROR(__xludf.DUMMYFUNCTION("""COMPUTED_VALUE"""),45820.0)</f>
        <v>45820</v>
      </c>
      <c r="S4115" s="57">
        <f>IFERROR(__xludf.DUMMYFUNCTION("""COMPUTED_VALUE"""),45839.0)</f>
        <v>45839</v>
      </c>
      <c r="T4115" s="57">
        <f>IFERROR(__xludf.DUMMYFUNCTION("""COMPUTED_VALUE"""),45976.0)</f>
        <v>45976</v>
      </c>
    </row>
    <row r="4116">
      <c r="A4116" s="6" t="str">
        <f>IFERROR(__xludf.DUMMYFUNCTION("""COMPUTED_VALUE"""),"121702877-1")</f>
        <v>121702877-1</v>
      </c>
      <c r="B4116" s="6" t="str">
        <f>IFERROR(__xludf.DUMMYFUNCTION("""COMPUTED_VALUE"""),"121702877 - APPROVED")</f>
        <v>121702877 - APPROVED</v>
      </c>
      <c r="C4116" s="6">
        <f>IFERROR(__xludf.DUMMYFUNCTION("""COMPUTED_VALUE"""),1.0)</f>
        <v>1</v>
      </c>
      <c r="D4116" s="6" t="str">
        <f>IFERROR(__xludf.DUMMYFUNCTION("""COMPUTED_VALUE"""),"P-10874-00")</f>
        <v>P-10874-00</v>
      </c>
      <c r="E4116" s="6" t="str">
        <f>IFERROR(__xludf.DUMMYFUNCTION("""COMPUTED_VALUE"""),"General - Vlok Sok/Reducer PVC AW 1"" x 1/2""; Rucika; -; 1 pcs")</f>
        <v>General - Vlok Sok/Reducer PVC AW 1" x 1/2"; Rucika; -; 1 pcs</v>
      </c>
      <c r="F4116" s="6">
        <f>IFERROR(__xludf.DUMMYFUNCTION("""COMPUTED_VALUE"""),6.0)</f>
        <v>6</v>
      </c>
      <c r="G4116" s="6" t="str">
        <f>IFERROR(__xludf.DUMMYFUNCTION("""COMPUTED_VALUE"""),"Pieces")</f>
        <v>Pieces</v>
      </c>
      <c r="H4116" s="6" t="str">
        <f>IFERROR(__xludf.DUMMYFUNCTION("""COMPUTED_VALUE"""),"IDR")</f>
        <v>IDR</v>
      </c>
      <c r="I4116" s="6">
        <f>IFERROR(__xludf.DUMMYFUNCTION("""COMPUTED_VALUE"""),6500.0)</f>
        <v>6500</v>
      </c>
      <c r="J4116" s="6">
        <f>IFERROR(__xludf.DUMMYFUNCTION("""COMPUTED_VALUE"""),39000.0)</f>
        <v>39000</v>
      </c>
      <c r="K4116" s="57">
        <f>IFERROR(__xludf.DUMMYFUNCTION("""COMPUTED_VALUE"""),45856.0)</f>
        <v>45856</v>
      </c>
      <c r="L4116" s="6" t="str">
        <f>IFERROR(__xludf.DUMMYFUNCTION("""COMPUTED_VALUE"""),"FIP Engineering")</f>
        <v>FIP Engineering</v>
      </c>
      <c r="M4116" s="6" t="str">
        <f>IFERROR(__xludf.DUMMYFUNCTION("""COMPUTED_VALUE"""),"Mochammad Fadhillah Hakim,")</f>
        <v>Mochammad Fadhillah Hakim,</v>
      </c>
      <c r="N4116" s="6" t="str">
        <f>IFERROR(__xludf.DUMMYFUNCTION("""COMPUTED_VALUE"""),"FIP Engineering")</f>
        <v>FIP Engineering</v>
      </c>
      <c r="O4116" s="6" t="str">
        <f>IFERROR(__xludf.DUMMYFUNCTION("""COMPUTED_VALUE"""),"FIP-DOM-000-11304-OS00001-INA-000000")</f>
        <v>FIP-DOM-000-11304-OS00001-INA-000000</v>
      </c>
      <c r="P4116" s="6" t="str">
        <f>IFERROR(__xludf.DUMMYFUNCTION("""COMPUTED_VALUE"""),"PO Closed")</f>
        <v>PO Closed</v>
      </c>
      <c r="Q4116" s="6" t="str">
        <f>IFERROR(__xludf.DUMMYFUNCTION("""COMPUTED_VALUE"""),"GL2506402")</f>
        <v>GL2506402</v>
      </c>
      <c r="R4116" s="57">
        <f>IFERROR(__xludf.DUMMYFUNCTION("""COMPUTED_VALUE"""),45820.0)</f>
        <v>45820</v>
      </c>
      <c r="S4116" s="57">
        <f>IFERROR(__xludf.DUMMYFUNCTION("""COMPUTED_VALUE"""),45824.0)</f>
        <v>45824</v>
      </c>
      <c r="T4116" s="57">
        <f>IFERROR(__xludf.DUMMYFUNCTION("""COMPUTED_VALUE"""),45856.0)</f>
        <v>45856</v>
      </c>
    </row>
    <row r="4117">
      <c r="A4117" s="6" t="str">
        <f>IFERROR(__xludf.DUMMYFUNCTION("""COMPUTED_VALUE"""),"121702877-2")</f>
        <v>121702877-2</v>
      </c>
      <c r="B4117" s="6" t="str">
        <f>IFERROR(__xludf.DUMMYFUNCTION("""COMPUTED_VALUE"""),"121702877 - APPROVED")</f>
        <v>121702877 - APPROVED</v>
      </c>
      <c r="C4117" s="6">
        <f>IFERROR(__xludf.DUMMYFUNCTION("""COMPUTED_VALUE"""),2.0)</f>
        <v>2</v>
      </c>
      <c r="D4117" s="6" t="str">
        <f>IFERROR(__xludf.DUMMYFUNCTION("""COMPUTED_VALUE"""),"P-12750-00")</f>
        <v>P-12750-00</v>
      </c>
      <c r="E4117" s="6" t="str">
        <f>IFERROR(__xludf.DUMMYFUNCTION("""COMPUTED_VALUE"""),"RUCIKA - Pipa PVC aw dia 1/2 inch Warna Abu-Abu")</f>
        <v>RUCIKA - Pipa PVC aw dia 1/2 inch Warna Abu-Abu</v>
      </c>
      <c r="F4117" s="6">
        <f>IFERROR(__xludf.DUMMYFUNCTION("""COMPUTED_VALUE"""),6.0)</f>
        <v>6</v>
      </c>
      <c r="G4117" s="6" t="str">
        <f>IFERROR(__xludf.DUMMYFUNCTION("""COMPUTED_VALUE"""),"Pieces")</f>
        <v>Pieces</v>
      </c>
      <c r="H4117" s="6" t="str">
        <f>IFERROR(__xludf.DUMMYFUNCTION("""COMPUTED_VALUE"""),"IDR")</f>
        <v>IDR</v>
      </c>
      <c r="I4117" s="6">
        <f>IFERROR(__xludf.DUMMYFUNCTION("""COMPUTED_VALUE"""),42500.0)</f>
        <v>42500</v>
      </c>
      <c r="J4117" s="6">
        <f>IFERROR(__xludf.DUMMYFUNCTION("""COMPUTED_VALUE"""),255000.0)</f>
        <v>255000</v>
      </c>
      <c r="K4117" s="57">
        <f>IFERROR(__xludf.DUMMYFUNCTION("""COMPUTED_VALUE"""),45856.0)</f>
        <v>45856</v>
      </c>
      <c r="L4117" s="6" t="str">
        <f>IFERROR(__xludf.DUMMYFUNCTION("""COMPUTED_VALUE"""),"FIP Engineering")</f>
        <v>FIP Engineering</v>
      </c>
      <c r="M4117" s="6" t="str">
        <f>IFERROR(__xludf.DUMMYFUNCTION("""COMPUTED_VALUE"""),"Mochammad Fadhillah Hakim,")</f>
        <v>Mochammad Fadhillah Hakim,</v>
      </c>
      <c r="N4117" s="6" t="str">
        <f>IFERROR(__xludf.DUMMYFUNCTION("""COMPUTED_VALUE"""),"FIP Engineering")</f>
        <v>FIP Engineering</v>
      </c>
      <c r="O4117" s="6" t="str">
        <f>IFERROR(__xludf.DUMMYFUNCTION("""COMPUTED_VALUE"""),"FIP-DOM-000-11304-OS00001-INA-000000")</f>
        <v>FIP-DOM-000-11304-OS00001-INA-000000</v>
      </c>
      <c r="P4117" s="6" t="str">
        <f>IFERROR(__xludf.DUMMYFUNCTION("""COMPUTED_VALUE"""),"PO Closed")</f>
        <v>PO Closed</v>
      </c>
      <c r="Q4117" s="6" t="str">
        <f>IFERROR(__xludf.DUMMYFUNCTION("""COMPUTED_VALUE"""),"GL2506402")</f>
        <v>GL2506402</v>
      </c>
      <c r="R4117" s="57">
        <f>IFERROR(__xludf.DUMMYFUNCTION("""COMPUTED_VALUE"""),45820.0)</f>
        <v>45820</v>
      </c>
      <c r="S4117" s="57">
        <f>IFERROR(__xludf.DUMMYFUNCTION("""COMPUTED_VALUE"""),45824.0)</f>
        <v>45824</v>
      </c>
      <c r="T4117" s="57">
        <f>IFERROR(__xludf.DUMMYFUNCTION("""COMPUTED_VALUE"""),45856.0)</f>
        <v>45856</v>
      </c>
    </row>
    <row r="4118">
      <c r="A4118" s="6" t="str">
        <f>IFERROR(__xludf.DUMMYFUNCTION("""COMPUTED_VALUE"""),"121702882-1")</f>
        <v>121702882-1</v>
      </c>
      <c r="B4118" s="6" t="str">
        <f>IFERROR(__xludf.DUMMYFUNCTION("""COMPUTED_VALUE"""),"121702882 - APPROVED")</f>
        <v>121702882 - APPROVED</v>
      </c>
      <c r="C4118" s="6">
        <f>IFERROR(__xludf.DUMMYFUNCTION("""COMPUTED_VALUE"""),1.0)</f>
        <v>1</v>
      </c>
      <c r="D4118" s="6" t="str">
        <f>IFERROR(__xludf.DUMMYFUNCTION("""COMPUTED_VALUE"""),"O-20751-00")</f>
        <v>O-20751-00</v>
      </c>
      <c r="E4118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F4118" s="6">
        <f>IFERROR(__xludf.DUMMYFUNCTION("""COMPUTED_VALUE"""),40.0)</f>
        <v>40</v>
      </c>
      <c r="G4118" s="6" t="str">
        <f>IFERROR(__xludf.DUMMYFUNCTION("""COMPUTED_VALUE"""),"Pieces")</f>
        <v>Pieces</v>
      </c>
      <c r="H4118" s="6" t="str">
        <f>IFERROR(__xludf.DUMMYFUNCTION("""COMPUTED_VALUE"""),"IDR")</f>
        <v>IDR</v>
      </c>
      <c r="I4118" s="6">
        <f>IFERROR(__xludf.DUMMYFUNCTION("""COMPUTED_VALUE"""),55000.0)</f>
        <v>55000</v>
      </c>
      <c r="J4118" s="6">
        <f>IFERROR(__xludf.DUMMYFUNCTION("""COMPUTED_VALUE"""),2200000.0)</f>
        <v>2200000</v>
      </c>
      <c r="K4118" s="57">
        <f>IFERROR(__xludf.DUMMYFUNCTION("""COMPUTED_VALUE"""),45863.0)</f>
        <v>45863</v>
      </c>
      <c r="L4118" s="6" t="str">
        <f>IFERROR(__xludf.DUMMYFUNCTION("""COMPUTED_VALUE"""),"FIP Engineering")</f>
        <v>FIP Engineering</v>
      </c>
      <c r="M4118" s="6" t="str">
        <f>IFERROR(__xludf.DUMMYFUNCTION("""COMPUTED_VALUE"""),"Mochammad Fadhillah Hakim,")</f>
        <v>Mochammad Fadhillah Hakim,</v>
      </c>
      <c r="N4118" s="6" t="str">
        <f>IFERROR(__xludf.DUMMYFUNCTION("""COMPUTED_VALUE"""),"FIP Engineering")</f>
        <v>FIP Engineering</v>
      </c>
      <c r="O4118" s="6" t="str">
        <f>IFERROR(__xludf.DUMMYFUNCTION("""COMPUTED_VALUE"""),"FIP-DOM-000-11304-OS00001-INA-000000")</f>
        <v>FIP-DOM-000-11304-OS00001-INA-000000</v>
      </c>
      <c r="P4118" s="6" t="str">
        <f>IFERROR(__xludf.DUMMYFUNCTION("""COMPUTED_VALUE"""),"PO Closed")</f>
        <v>PO Closed</v>
      </c>
      <c r="Q4118" s="6" t="str">
        <f>IFERROR(__xludf.DUMMYFUNCTION("""COMPUTED_VALUE"""),"GL2506397")</f>
        <v>GL2506397</v>
      </c>
      <c r="R4118" s="57">
        <f>IFERROR(__xludf.DUMMYFUNCTION("""COMPUTED_VALUE"""),45821.0)</f>
        <v>45821</v>
      </c>
      <c r="S4118" s="57">
        <f>IFERROR(__xludf.DUMMYFUNCTION("""COMPUTED_VALUE"""),45824.0)</f>
        <v>45824</v>
      </c>
      <c r="T4118" s="57">
        <f>IFERROR(__xludf.DUMMYFUNCTION("""COMPUTED_VALUE"""),45879.0)</f>
        <v>45879</v>
      </c>
    </row>
    <row r="4119">
      <c r="A4119" s="6" t="str">
        <f>IFERROR(__xludf.DUMMYFUNCTION("""COMPUTED_VALUE"""),"121702883-1")</f>
        <v>121702883-1</v>
      </c>
      <c r="B4119" s="6" t="str">
        <f>IFERROR(__xludf.DUMMYFUNCTION("""COMPUTED_VALUE"""),"121702883 - APPROVED")</f>
        <v>121702883 - APPROVED</v>
      </c>
      <c r="C4119" s="6">
        <f>IFERROR(__xludf.DUMMYFUNCTION("""COMPUTED_VALUE"""),1.0)</f>
        <v>1</v>
      </c>
      <c r="D4119" s="6" t="str">
        <f>IFERROR(__xludf.DUMMYFUNCTION("""COMPUTED_VALUE"""),"P-54306-00")</f>
        <v>P-54306-00</v>
      </c>
      <c r="E4119" s="6" t="str">
        <f>IFERROR(__xludf.DUMMYFUNCTION("""COMPUTED_VALUE"""),"General - Kapacitor AC 40+2uF; Philips; 3PN15960-4; 1 pc")</f>
        <v>General - Kapacitor AC 40+2uF; Philips; 3PN15960-4; 1 pc</v>
      </c>
      <c r="F4119" s="6">
        <f>IFERROR(__xludf.DUMMYFUNCTION("""COMPUTED_VALUE"""),4.0)</f>
        <v>4</v>
      </c>
      <c r="G4119" s="6" t="str">
        <f>IFERROR(__xludf.DUMMYFUNCTION("""COMPUTED_VALUE"""),"Pieces")</f>
        <v>Pieces</v>
      </c>
      <c r="H4119" s="6" t="str">
        <f>IFERROR(__xludf.DUMMYFUNCTION("""COMPUTED_VALUE"""),"IDR")</f>
        <v>IDR</v>
      </c>
      <c r="I4119" s="6">
        <f>IFERROR(__xludf.DUMMYFUNCTION("""COMPUTED_VALUE"""),291000.0)</f>
        <v>291000</v>
      </c>
      <c r="J4119" s="6">
        <f>IFERROR(__xludf.DUMMYFUNCTION("""COMPUTED_VALUE"""),1164000.0)</f>
        <v>1164000</v>
      </c>
      <c r="K4119" s="57">
        <f>IFERROR(__xludf.DUMMYFUNCTION("""COMPUTED_VALUE"""),45856.0)</f>
        <v>45856</v>
      </c>
      <c r="L4119" s="6" t="str">
        <f>IFERROR(__xludf.DUMMYFUNCTION("""COMPUTED_VALUE"""),"FIP Engineering")</f>
        <v>FIP Engineering</v>
      </c>
      <c r="M4119" s="6" t="str">
        <f>IFERROR(__xludf.DUMMYFUNCTION("""COMPUTED_VALUE"""),"Mochammad Fadhillah Hakim,")</f>
        <v>Mochammad Fadhillah Hakim,</v>
      </c>
      <c r="N4119" s="6" t="str">
        <f>IFERROR(__xludf.DUMMYFUNCTION("""COMPUTED_VALUE"""),"FIP Engineering")</f>
        <v>FIP Engineering</v>
      </c>
      <c r="O4119" s="6" t="str">
        <f>IFERROR(__xludf.DUMMYFUNCTION("""COMPUTED_VALUE"""),"FIP-DOM-000-11304-OS00001-INA-000000")</f>
        <v>FIP-DOM-000-11304-OS00001-INA-000000</v>
      </c>
      <c r="P4119" s="6" t="str">
        <f>IFERROR(__xludf.DUMMYFUNCTION("""COMPUTED_VALUE"""),"PO Closed")</f>
        <v>PO Closed</v>
      </c>
      <c r="Q4119" s="6" t="str">
        <f>IFERROR(__xludf.DUMMYFUNCTION("""COMPUTED_VALUE"""),"GL2506055")</f>
        <v>GL2506055</v>
      </c>
      <c r="R4119" s="57">
        <f>IFERROR(__xludf.DUMMYFUNCTION("""COMPUTED_VALUE"""),45821.0)</f>
        <v>45821</v>
      </c>
      <c r="S4119" s="57">
        <f>IFERROR(__xludf.DUMMYFUNCTION("""COMPUTED_VALUE"""),45824.0)</f>
        <v>45824</v>
      </c>
      <c r="T4119" s="57">
        <f>IFERROR(__xludf.DUMMYFUNCTION("""COMPUTED_VALUE"""),45863.0)</f>
        <v>45863</v>
      </c>
    </row>
    <row r="4120">
      <c r="A4120" s="6" t="str">
        <f>IFERROR(__xludf.DUMMYFUNCTION("""COMPUTED_VALUE"""),"121702884-1")</f>
        <v>121702884-1</v>
      </c>
      <c r="B4120" s="6" t="str">
        <f>IFERROR(__xludf.DUMMYFUNCTION("""COMPUTED_VALUE"""),"121702884 - APPROVED")</f>
        <v>121702884 - APPROVED</v>
      </c>
      <c r="C4120" s="6">
        <f>IFERROR(__xludf.DUMMYFUNCTION("""COMPUTED_VALUE"""),1.0)</f>
        <v>1</v>
      </c>
      <c r="D4120" s="6" t="str">
        <f>IFERROR(__xludf.DUMMYFUNCTION("""COMPUTED_VALUE"""),"Q-60107-00")</f>
        <v>Q-60107-00</v>
      </c>
      <c r="E4120" s="6" t="str">
        <f>IFERROR(__xludf.DUMMYFUNCTION("""COMPUTED_VALUE"""),"Hardener / Obat dempul sanpolac; ; ; pack size per tube")</f>
        <v>Hardener / Obat dempul sanpolac; ; ; pack size per tube</v>
      </c>
      <c r="F4120" s="6">
        <f>IFERROR(__xludf.DUMMYFUNCTION("""COMPUTED_VALUE"""),3.0)</f>
        <v>3</v>
      </c>
      <c r="G4120" s="6" t="str">
        <f>IFERROR(__xludf.DUMMYFUNCTION("""COMPUTED_VALUE"""),"Tube")</f>
        <v>Tube</v>
      </c>
      <c r="H4120" s="6" t="str">
        <f>IFERROR(__xludf.DUMMYFUNCTION("""COMPUTED_VALUE"""),"IDR")</f>
        <v>IDR</v>
      </c>
      <c r="I4120" s="6">
        <f>IFERROR(__xludf.DUMMYFUNCTION("""COMPUTED_VALUE"""),55000.0)</f>
        <v>55000</v>
      </c>
      <c r="J4120" s="6">
        <f>IFERROR(__xludf.DUMMYFUNCTION("""COMPUTED_VALUE"""),165000.0)</f>
        <v>165000</v>
      </c>
      <c r="K4120" s="57">
        <f>IFERROR(__xludf.DUMMYFUNCTION("""COMPUTED_VALUE"""),45856.0)</f>
        <v>45856</v>
      </c>
      <c r="L4120" s="6" t="str">
        <f>IFERROR(__xludf.DUMMYFUNCTION("""COMPUTED_VALUE"""),"FIP General")</f>
        <v>FIP General</v>
      </c>
      <c r="M4120" s="6" t="str">
        <f>IFERROR(__xludf.DUMMYFUNCTION("""COMPUTED_VALUE"""),"Mochammad Fadhillah Hakim,")</f>
        <v>Mochammad Fadhillah Hakim,</v>
      </c>
      <c r="N4120" s="6" t="str">
        <f>IFERROR(__xludf.DUMMYFUNCTION("""COMPUTED_VALUE"""),"FIP Engineering")</f>
        <v>FIP Engineering</v>
      </c>
      <c r="O4120" s="6" t="str">
        <f>IFERROR(__xludf.DUMMYFUNCTION("""COMPUTED_VALUE"""),"FIP-DOM-ENG-51502-OS00001-INA-000000")</f>
        <v>FIP-DOM-ENG-51502-OS00001-INA-000000</v>
      </c>
      <c r="P4120" s="6" t="str">
        <f>IFERROR(__xludf.DUMMYFUNCTION("""COMPUTED_VALUE"""),"PO Closed")</f>
        <v>PO Closed</v>
      </c>
      <c r="Q4120" s="6" t="str">
        <f>IFERROR(__xludf.DUMMYFUNCTION("""COMPUTED_VALUE"""),"GL2507001")</f>
        <v>GL2507001</v>
      </c>
      <c r="R4120" s="57">
        <f>IFERROR(__xludf.DUMMYFUNCTION("""COMPUTED_VALUE"""),45821.0)</f>
        <v>45821</v>
      </c>
      <c r="S4120" s="57">
        <f>IFERROR(__xludf.DUMMYFUNCTION("""COMPUTED_VALUE"""),45824.0)</f>
        <v>45824</v>
      </c>
      <c r="T4120" s="57">
        <f>IFERROR(__xludf.DUMMYFUNCTION("""COMPUTED_VALUE"""),45856.0)</f>
        <v>45856</v>
      </c>
    </row>
    <row r="4121">
      <c r="A4121" s="6" t="str">
        <f>IFERROR(__xludf.DUMMYFUNCTION("""COMPUTED_VALUE"""),"121702885-1")</f>
        <v>121702885-1</v>
      </c>
      <c r="B4121" s="6" t="str">
        <f>IFERROR(__xludf.DUMMYFUNCTION("""COMPUTED_VALUE"""),"121702885 - APPROVED")</f>
        <v>121702885 - APPROVED</v>
      </c>
      <c r="C4121" s="6">
        <f>IFERROR(__xludf.DUMMYFUNCTION("""COMPUTED_VALUE"""),1.0)</f>
        <v>1</v>
      </c>
      <c r="D4121" s="6" t="str">
        <f>IFERROR(__xludf.DUMMYFUNCTION("""COMPUTED_VALUE"""),"O-20750-00")</f>
        <v>O-20750-00</v>
      </c>
      <c r="E4121" s="6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F4121" s="6">
        <f>IFERROR(__xludf.DUMMYFUNCTION("""COMPUTED_VALUE"""),2.0)</f>
        <v>2</v>
      </c>
      <c r="G4121" s="6" t="str">
        <f>IFERROR(__xludf.DUMMYFUNCTION("""COMPUTED_VALUE"""),"Pieces")</f>
        <v>Pieces</v>
      </c>
      <c r="H4121" s="6" t="str">
        <f>IFERROR(__xludf.DUMMYFUNCTION("""COMPUTED_VALUE"""),"IDR")</f>
        <v>IDR</v>
      </c>
      <c r="I4121" s="6">
        <f>IFERROR(__xludf.DUMMYFUNCTION("""COMPUTED_VALUE"""),4225600.0)</f>
        <v>4225600</v>
      </c>
      <c r="J4121" s="6">
        <f>IFERROR(__xludf.DUMMYFUNCTION("""COMPUTED_VALUE"""),8451200.0)</f>
        <v>8451200</v>
      </c>
      <c r="K4121" s="57">
        <f>IFERROR(__xludf.DUMMYFUNCTION("""COMPUTED_VALUE"""),45856.0)</f>
        <v>45856</v>
      </c>
      <c r="L4121" s="6" t="str">
        <f>IFERROR(__xludf.DUMMYFUNCTION("""COMPUTED_VALUE"""),"FIP Engineering")</f>
        <v>FIP Engineering</v>
      </c>
      <c r="M4121" s="6" t="str">
        <f>IFERROR(__xludf.DUMMYFUNCTION("""COMPUTED_VALUE"""),"Mochammad Fadhillah Hakim,")</f>
        <v>Mochammad Fadhillah Hakim,</v>
      </c>
      <c r="N4121" s="6" t="str">
        <f>IFERROR(__xludf.DUMMYFUNCTION("""COMPUTED_VALUE"""),"FIP Engineering")</f>
        <v>FIP Engineering</v>
      </c>
      <c r="O4121" s="6" t="str">
        <f>IFERROR(__xludf.DUMMYFUNCTION("""COMPUTED_VALUE"""),"FIP-DOM-000-11304-OS00001-INA-000000")</f>
        <v>FIP-DOM-000-11304-OS00001-INA-000000</v>
      </c>
      <c r="P4121" s="6" t="str">
        <f>IFERROR(__xludf.DUMMYFUNCTION("""COMPUTED_VALUE"""),"PO Closed")</f>
        <v>PO Closed</v>
      </c>
      <c r="Q4121" s="6" t="str">
        <f>IFERROR(__xludf.DUMMYFUNCTION("""COMPUTED_VALUE"""),"GL2507007")</f>
        <v>GL2507007</v>
      </c>
      <c r="R4121" s="57">
        <f>IFERROR(__xludf.DUMMYFUNCTION("""COMPUTED_VALUE"""),45821.0)</f>
        <v>45821</v>
      </c>
      <c r="S4121" s="57">
        <f>IFERROR(__xludf.DUMMYFUNCTION("""COMPUTED_VALUE"""),45824.0)</f>
        <v>45824</v>
      </c>
      <c r="T4121" s="57">
        <f>IFERROR(__xludf.DUMMYFUNCTION("""COMPUTED_VALUE"""),45910.0)</f>
        <v>45910</v>
      </c>
    </row>
    <row r="4122">
      <c r="A4122" s="6" t="str">
        <f>IFERROR(__xludf.DUMMYFUNCTION("""COMPUTED_VALUE"""),"121702886-1")</f>
        <v>121702886-1</v>
      </c>
      <c r="B4122" s="6" t="str">
        <f>IFERROR(__xludf.DUMMYFUNCTION("""COMPUTED_VALUE"""),"121702886 - APPROVED")</f>
        <v>121702886 - APPROVED</v>
      </c>
      <c r="C4122" s="6">
        <f>IFERROR(__xludf.DUMMYFUNCTION("""COMPUTED_VALUE"""),1.0)</f>
        <v>1</v>
      </c>
      <c r="D4122" s="6" t="str">
        <f>IFERROR(__xludf.DUMMYFUNCTION("""COMPUTED_VALUE"""),"O-20749-00")</f>
        <v>O-20749-00</v>
      </c>
      <c r="E4122" s="6" t="str">
        <f>IFERROR(__xludf.DUMMYFUNCTION("""COMPUTED_VALUE"""),"General - Grease EP2 16 KG; Mobilux; -; 1 Pail = 16 Kg")</f>
        <v>General - Grease EP2 16 KG; Mobilux; -; 1 Pail = 16 Kg</v>
      </c>
      <c r="F4122" s="6">
        <f>IFERROR(__xludf.DUMMYFUNCTION("""COMPUTED_VALUE"""),1.0)</f>
        <v>1</v>
      </c>
      <c r="G4122" s="6" t="str">
        <f>IFERROR(__xludf.DUMMYFUNCTION("""COMPUTED_VALUE"""),"Pail")</f>
        <v>Pail</v>
      </c>
      <c r="H4122" s="6" t="str">
        <f>IFERROR(__xludf.DUMMYFUNCTION("""COMPUTED_VALUE"""),"IDR")</f>
        <v>IDR</v>
      </c>
      <c r="I4122" s="6">
        <f>IFERROR(__xludf.DUMMYFUNCTION("""COMPUTED_VALUE"""),1950000.0)</f>
        <v>1950000</v>
      </c>
      <c r="J4122" s="6">
        <f>IFERROR(__xludf.DUMMYFUNCTION("""COMPUTED_VALUE"""),1950000.0)</f>
        <v>1950000</v>
      </c>
      <c r="K4122" s="57">
        <f>IFERROR(__xludf.DUMMYFUNCTION("""COMPUTED_VALUE"""),45823.0)</f>
        <v>45823</v>
      </c>
      <c r="L4122" s="6" t="str">
        <f>IFERROR(__xludf.DUMMYFUNCTION("""COMPUTED_VALUE"""),"FIP Engineering")</f>
        <v>FIP Engineering</v>
      </c>
      <c r="M4122" s="6" t="str">
        <f>IFERROR(__xludf.DUMMYFUNCTION("""COMPUTED_VALUE"""),"Mochammad Fadhillah Hakim,")</f>
        <v>Mochammad Fadhillah Hakim,</v>
      </c>
      <c r="N4122" s="6" t="str">
        <f>IFERROR(__xludf.DUMMYFUNCTION("""COMPUTED_VALUE"""),"FIP Engineering")</f>
        <v>FIP Engineering</v>
      </c>
      <c r="O4122" s="6" t="str">
        <f>IFERROR(__xludf.DUMMYFUNCTION("""COMPUTED_VALUE"""),"FIP-DOM-000-11304-OS00001-INA-000000")</f>
        <v>FIP-DOM-000-11304-OS00001-INA-000000</v>
      </c>
      <c r="P4122" s="6" t="str">
        <f>IFERROR(__xludf.DUMMYFUNCTION("""COMPUTED_VALUE"""),"PO Closed")</f>
        <v>PO Closed</v>
      </c>
      <c r="Q4122" s="6" t="str">
        <f>IFERROR(__xludf.DUMMYFUNCTION("""COMPUTED_VALUE"""),"GL2507008")</f>
        <v>GL2507008</v>
      </c>
      <c r="R4122" s="57">
        <f>IFERROR(__xludf.DUMMYFUNCTION("""COMPUTED_VALUE"""),45821.0)</f>
        <v>45821</v>
      </c>
      <c r="S4122" s="57">
        <f>IFERROR(__xludf.DUMMYFUNCTION("""COMPUTED_VALUE"""),45824.0)</f>
        <v>45824</v>
      </c>
      <c r="T4122" s="57">
        <f>IFERROR(__xludf.DUMMYFUNCTION("""COMPUTED_VALUE"""),45868.0)</f>
        <v>45868</v>
      </c>
    </row>
    <row r="4123">
      <c r="A4123" s="6" t="str">
        <f>IFERROR(__xludf.DUMMYFUNCTION("""COMPUTED_VALUE"""),"121702887-1")</f>
        <v>121702887-1</v>
      </c>
      <c r="B4123" s="6" t="str">
        <f>IFERROR(__xludf.DUMMYFUNCTION("""COMPUTED_VALUE"""),"121702887 - APPROVED")</f>
        <v>121702887 - APPROVED</v>
      </c>
      <c r="C4123" s="6">
        <f>IFERROR(__xludf.DUMMYFUNCTION("""COMPUTED_VALUE"""),1.0)</f>
        <v>1</v>
      </c>
      <c r="D4123" s="6" t="str">
        <f>IFERROR(__xludf.DUMMYFUNCTION("""COMPUTED_VALUE"""),"P-16402-00")</f>
        <v>P-16402-00</v>
      </c>
      <c r="E4123" s="6" t="str">
        <f>IFERROR(__xludf.DUMMYFUNCTION("""COMPUTED_VALUE"""),"Kaca Las Warna Hitam No. 10")</f>
        <v>Kaca Las Warna Hitam No. 10</v>
      </c>
      <c r="F4123" s="6">
        <f>IFERROR(__xludf.DUMMYFUNCTION("""COMPUTED_VALUE"""),2.0)</f>
        <v>2</v>
      </c>
      <c r="G4123" s="6" t="str">
        <f>IFERROR(__xludf.DUMMYFUNCTION("""COMPUTED_VALUE"""),"Pieces")</f>
        <v>Pieces</v>
      </c>
      <c r="H4123" s="6" t="str">
        <f>IFERROR(__xludf.DUMMYFUNCTION("""COMPUTED_VALUE"""),"IDR")</f>
        <v>IDR</v>
      </c>
      <c r="I4123" s="6">
        <f>IFERROR(__xludf.DUMMYFUNCTION("""COMPUTED_VALUE"""),7500.0)</f>
        <v>7500</v>
      </c>
      <c r="J4123" s="6">
        <f>IFERROR(__xludf.DUMMYFUNCTION("""COMPUTED_VALUE"""),15000.0)</f>
        <v>15000</v>
      </c>
      <c r="K4123" s="57">
        <f>IFERROR(__xludf.DUMMYFUNCTION("""COMPUTED_VALUE"""),45856.0)</f>
        <v>45856</v>
      </c>
      <c r="L4123" s="6" t="str">
        <f>IFERROR(__xludf.DUMMYFUNCTION("""COMPUTED_VALUE"""),"FIP Engineering")</f>
        <v>FIP Engineering</v>
      </c>
      <c r="M4123" s="6" t="str">
        <f>IFERROR(__xludf.DUMMYFUNCTION("""COMPUTED_VALUE"""),"Mochammad Fadhillah Hakim,")</f>
        <v>Mochammad Fadhillah Hakim,</v>
      </c>
      <c r="N4123" s="6" t="str">
        <f>IFERROR(__xludf.DUMMYFUNCTION("""COMPUTED_VALUE"""),"FIP Engineering")</f>
        <v>FIP Engineering</v>
      </c>
      <c r="O4123" s="6" t="str">
        <f>IFERROR(__xludf.DUMMYFUNCTION("""COMPUTED_VALUE"""),"FIP-DOM-000-11304-OS00001-INA-000000")</f>
        <v>FIP-DOM-000-11304-OS00001-INA-000000</v>
      </c>
      <c r="P4123" s="6" t="str">
        <f>IFERROR(__xludf.DUMMYFUNCTION("""COMPUTED_VALUE"""),"PO Closed")</f>
        <v>PO Closed</v>
      </c>
      <c r="Q4123" s="6" t="str">
        <f>IFERROR(__xludf.DUMMYFUNCTION("""COMPUTED_VALUE"""),"GL2507409")</f>
        <v>GL2507409</v>
      </c>
      <c r="R4123" s="57">
        <f>IFERROR(__xludf.DUMMYFUNCTION("""COMPUTED_VALUE"""),45821.0)</f>
        <v>45821</v>
      </c>
      <c r="S4123" s="57">
        <f>IFERROR(__xludf.DUMMYFUNCTION("""COMPUTED_VALUE"""),45828.0)</f>
        <v>45828</v>
      </c>
      <c r="T4123" s="57">
        <f>IFERROR(__xludf.DUMMYFUNCTION("""COMPUTED_VALUE"""),45868.0)</f>
        <v>45868</v>
      </c>
    </row>
    <row r="4124">
      <c r="A4124" s="6" t="str">
        <f>IFERROR(__xludf.DUMMYFUNCTION("""COMPUTED_VALUE"""),"121702887-2")</f>
        <v>121702887-2</v>
      </c>
      <c r="B4124" s="6" t="str">
        <f>IFERROR(__xludf.DUMMYFUNCTION("""COMPUTED_VALUE"""),"121702887 - APPROVED")</f>
        <v>121702887 - APPROVED</v>
      </c>
      <c r="C4124" s="6">
        <f>IFERROR(__xludf.DUMMYFUNCTION("""COMPUTED_VALUE"""),2.0)</f>
        <v>2</v>
      </c>
      <c r="D4124" s="6" t="str">
        <f>IFERROR(__xludf.DUMMYFUNCTION("""COMPUTED_VALUE"""),"P-19693-00")</f>
        <v>P-19693-00</v>
      </c>
      <c r="E4124" s="6" t="str">
        <f>IFERROR(__xludf.DUMMYFUNCTION("""COMPUTED_VALUE"""),"General - Lem Adhesive; Superlon; -; 1kg/can")</f>
        <v>General - Lem Adhesive; Superlon; -; 1kg/can</v>
      </c>
      <c r="F4124" s="6">
        <f>IFERROR(__xludf.DUMMYFUNCTION("""COMPUTED_VALUE"""),1.0)</f>
        <v>1</v>
      </c>
      <c r="G4124" s="6" t="str">
        <f>IFERROR(__xludf.DUMMYFUNCTION("""COMPUTED_VALUE"""),"Pieces")</f>
        <v>Pieces</v>
      </c>
      <c r="H4124" s="6" t="str">
        <f>IFERROR(__xludf.DUMMYFUNCTION("""COMPUTED_VALUE"""),"IDR")</f>
        <v>IDR</v>
      </c>
      <c r="I4124" s="6">
        <f>IFERROR(__xludf.DUMMYFUNCTION("""COMPUTED_VALUE"""),182250.0)</f>
        <v>182250</v>
      </c>
      <c r="J4124" s="6">
        <f>IFERROR(__xludf.DUMMYFUNCTION("""COMPUTED_VALUE"""),182250.0)</f>
        <v>182250</v>
      </c>
      <c r="K4124" s="57">
        <f>IFERROR(__xludf.DUMMYFUNCTION("""COMPUTED_VALUE"""),45856.0)</f>
        <v>45856</v>
      </c>
      <c r="L4124" s="6" t="str">
        <f>IFERROR(__xludf.DUMMYFUNCTION("""COMPUTED_VALUE"""),"FIP Engineering")</f>
        <v>FIP Engineering</v>
      </c>
      <c r="M4124" s="6" t="str">
        <f>IFERROR(__xludf.DUMMYFUNCTION("""COMPUTED_VALUE"""),"Mochammad Fadhillah Hakim,")</f>
        <v>Mochammad Fadhillah Hakim,</v>
      </c>
      <c r="N4124" s="6" t="str">
        <f>IFERROR(__xludf.DUMMYFUNCTION("""COMPUTED_VALUE"""),"FIP Engineering")</f>
        <v>FIP Engineering</v>
      </c>
      <c r="O4124" s="6" t="str">
        <f>IFERROR(__xludf.DUMMYFUNCTION("""COMPUTED_VALUE"""),"FIP-DOM-000-11304-OS00001-INA-000000")</f>
        <v>FIP-DOM-000-11304-OS00001-INA-000000</v>
      </c>
      <c r="P4124" s="6" t="str">
        <f>IFERROR(__xludf.DUMMYFUNCTION("""COMPUTED_VALUE"""),"PO Closed")</f>
        <v>PO Closed</v>
      </c>
      <c r="Q4124" s="6" t="str">
        <f>IFERROR(__xludf.DUMMYFUNCTION("""COMPUTED_VALUE"""),"GL2507409")</f>
        <v>GL2507409</v>
      </c>
      <c r="R4124" s="57">
        <f>IFERROR(__xludf.DUMMYFUNCTION("""COMPUTED_VALUE"""),45821.0)</f>
        <v>45821</v>
      </c>
      <c r="S4124" s="57">
        <f>IFERROR(__xludf.DUMMYFUNCTION("""COMPUTED_VALUE"""),45828.0)</f>
        <v>45828</v>
      </c>
      <c r="T4124" s="57">
        <f>IFERROR(__xludf.DUMMYFUNCTION("""COMPUTED_VALUE"""),45868.0)</f>
        <v>45868</v>
      </c>
    </row>
    <row r="4125">
      <c r="A4125" s="6" t="str">
        <f>IFERROR(__xludf.DUMMYFUNCTION("""COMPUTED_VALUE"""),"121702887-3")</f>
        <v>121702887-3</v>
      </c>
      <c r="B4125" s="6" t="str">
        <f>IFERROR(__xludf.DUMMYFUNCTION("""COMPUTED_VALUE"""),"121702887 - APPROVED")</f>
        <v>121702887 - APPROVED</v>
      </c>
      <c r="C4125" s="6">
        <f>IFERROR(__xludf.DUMMYFUNCTION("""COMPUTED_VALUE"""),3.0)</f>
        <v>3</v>
      </c>
      <c r="D4125" s="6" t="str">
        <f>IFERROR(__xludf.DUMMYFUNCTION("""COMPUTED_VALUE"""),"P-19877-00")</f>
        <v>P-19877-00</v>
      </c>
      <c r="E4125" s="6" t="str">
        <f>IFERROR(__xludf.DUMMYFUNCTION("""COMPUTED_VALUE"""),"General - Flexible Ducting Pipa Alumunium 4inch; No Brand; -; 1 pc")</f>
        <v>General - Flexible Ducting Pipa Alumunium 4inch; No Brand; -; 1 pc</v>
      </c>
      <c r="F4125" s="6">
        <f>IFERROR(__xludf.DUMMYFUNCTION("""COMPUTED_VALUE"""),3.0)</f>
        <v>3</v>
      </c>
      <c r="G4125" s="6" t="str">
        <f>IFERROR(__xludf.DUMMYFUNCTION("""COMPUTED_VALUE"""),"Pieces")</f>
        <v>Pieces</v>
      </c>
      <c r="H4125" s="6" t="str">
        <f>IFERROR(__xludf.DUMMYFUNCTION("""COMPUTED_VALUE"""),"IDR")</f>
        <v>IDR</v>
      </c>
      <c r="I4125" s="6">
        <f>IFERROR(__xludf.DUMMYFUNCTION("""COMPUTED_VALUE"""),24000.0)</f>
        <v>24000</v>
      </c>
      <c r="J4125" s="6">
        <f>IFERROR(__xludf.DUMMYFUNCTION("""COMPUTED_VALUE"""),72000.0)</f>
        <v>72000</v>
      </c>
      <c r="K4125" s="57">
        <f>IFERROR(__xludf.DUMMYFUNCTION("""COMPUTED_VALUE"""),45856.0)</f>
        <v>45856</v>
      </c>
      <c r="L4125" s="6" t="str">
        <f>IFERROR(__xludf.DUMMYFUNCTION("""COMPUTED_VALUE"""),"FIP Engineering")</f>
        <v>FIP Engineering</v>
      </c>
      <c r="M4125" s="6" t="str">
        <f>IFERROR(__xludf.DUMMYFUNCTION("""COMPUTED_VALUE"""),"Mochammad Fadhillah Hakim,")</f>
        <v>Mochammad Fadhillah Hakim,</v>
      </c>
      <c r="N4125" s="6" t="str">
        <f>IFERROR(__xludf.DUMMYFUNCTION("""COMPUTED_VALUE"""),"FIP Engineering")</f>
        <v>FIP Engineering</v>
      </c>
      <c r="O4125" s="6" t="str">
        <f>IFERROR(__xludf.DUMMYFUNCTION("""COMPUTED_VALUE"""),"FIP-DOM-000-11304-OS00001-INA-000000")</f>
        <v>FIP-DOM-000-11304-OS00001-INA-000000</v>
      </c>
      <c r="P4125" s="6" t="str">
        <f>IFERROR(__xludf.DUMMYFUNCTION("""COMPUTED_VALUE"""),"PO Closed")</f>
        <v>PO Closed</v>
      </c>
      <c r="Q4125" s="6" t="str">
        <f>IFERROR(__xludf.DUMMYFUNCTION("""COMPUTED_VALUE"""),"GL2507407")</f>
        <v>GL2507407</v>
      </c>
      <c r="R4125" s="57">
        <f>IFERROR(__xludf.DUMMYFUNCTION("""COMPUTED_VALUE"""),45821.0)</f>
        <v>45821</v>
      </c>
      <c r="S4125" s="57">
        <f>IFERROR(__xludf.DUMMYFUNCTION("""COMPUTED_VALUE"""),45828.0)</f>
        <v>45828</v>
      </c>
      <c r="T4125" s="57">
        <f>IFERROR(__xludf.DUMMYFUNCTION("""COMPUTED_VALUE"""),46016.0)</f>
        <v>46016</v>
      </c>
    </row>
    <row r="4126">
      <c r="A4126" s="6" t="str">
        <f>IFERROR(__xludf.DUMMYFUNCTION("""COMPUTED_VALUE"""),"121702887-4")</f>
        <v>121702887-4</v>
      </c>
      <c r="B4126" s="6" t="str">
        <f>IFERROR(__xludf.DUMMYFUNCTION("""COMPUTED_VALUE"""),"121702887 - APPROVED")</f>
        <v>121702887 - APPROVED</v>
      </c>
      <c r="C4126" s="6">
        <f>IFERROR(__xludf.DUMMYFUNCTION("""COMPUTED_VALUE"""),4.0)</f>
        <v>4</v>
      </c>
      <c r="D4126" s="6" t="str">
        <f>IFERROR(__xludf.DUMMYFUNCTION("""COMPUTED_VALUE"""),"P-19879-00")</f>
        <v>P-19879-00</v>
      </c>
      <c r="E4126" s="6" t="str">
        <f>IFERROR(__xludf.DUMMYFUNCTION("""COMPUTED_VALUE"""),"General - Clamp Pipa Gantung 2,5inch; No Brand; -; 1 pc")</f>
        <v>General - Clamp Pipa Gantung 2,5inch; No Brand; -; 1 pc</v>
      </c>
      <c r="F4126" s="6">
        <f>IFERROR(__xludf.DUMMYFUNCTION("""COMPUTED_VALUE"""),15.0)</f>
        <v>15</v>
      </c>
      <c r="G4126" s="6" t="str">
        <f>IFERROR(__xludf.DUMMYFUNCTION("""COMPUTED_VALUE"""),"Pieces")</f>
        <v>Pieces</v>
      </c>
      <c r="H4126" s="6" t="str">
        <f>IFERROR(__xludf.DUMMYFUNCTION("""COMPUTED_VALUE"""),"IDR")</f>
        <v>IDR</v>
      </c>
      <c r="I4126" s="6">
        <f>IFERROR(__xludf.DUMMYFUNCTION("""COMPUTED_VALUE"""),9000.0)</f>
        <v>9000</v>
      </c>
      <c r="J4126" s="6">
        <f>IFERROR(__xludf.DUMMYFUNCTION("""COMPUTED_VALUE"""),135000.0)</f>
        <v>135000</v>
      </c>
      <c r="K4126" s="57">
        <f>IFERROR(__xludf.DUMMYFUNCTION("""COMPUTED_VALUE"""),45856.0)</f>
        <v>45856</v>
      </c>
      <c r="L4126" s="6" t="str">
        <f>IFERROR(__xludf.DUMMYFUNCTION("""COMPUTED_VALUE"""),"FIP Engineering")</f>
        <v>FIP Engineering</v>
      </c>
      <c r="M4126" s="6" t="str">
        <f>IFERROR(__xludf.DUMMYFUNCTION("""COMPUTED_VALUE"""),"Mochammad Fadhillah Hakim,")</f>
        <v>Mochammad Fadhillah Hakim,</v>
      </c>
      <c r="N4126" s="6" t="str">
        <f>IFERROR(__xludf.DUMMYFUNCTION("""COMPUTED_VALUE"""),"FIP Engineering")</f>
        <v>FIP Engineering</v>
      </c>
      <c r="O4126" s="6" t="str">
        <f>IFERROR(__xludf.DUMMYFUNCTION("""COMPUTED_VALUE"""),"FIP-DOM-000-11304-OS00001-INA-000000")</f>
        <v>FIP-DOM-000-11304-OS00001-INA-000000</v>
      </c>
      <c r="P4126" s="6" t="str">
        <f>IFERROR(__xludf.DUMMYFUNCTION("""COMPUTED_VALUE"""),"PO Closed")</f>
        <v>PO Closed</v>
      </c>
      <c r="Q4126" s="6" t="str">
        <f>IFERROR(__xludf.DUMMYFUNCTION("""COMPUTED_VALUE"""),"GL2507409")</f>
        <v>GL2507409</v>
      </c>
      <c r="R4126" s="57">
        <f>IFERROR(__xludf.DUMMYFUNCTION("""COMPUTED_VALUE"""),45821.0)</f>
        <v>45821</v>
      </c>
      <c r="S4126" s="57">
        <f>IFERROR(__xludf.DUMMYFUNCTION("""COMPUTED_VALUE"""),45828.0)</f>
        <v>45828</v>
      </c>
      <c r="T4126" s="57">
        <f>IFERROR(__xludf.DUMMYFUNCTION("""COMPUTED_VALUE"""),45868.0)</f>
        <v>45868</v>
      </c>
    </row>
    <row r="4127">
      <c r="A4127" s="6" t="str">
        <f>IFERROR(__xludf.DUMMYFUNCTION("""COMPUTED_VALUE"""),"121702887-5")</f>
        <v>121702887-5</v>
      </c>
      <c r="B4127" s="6" t="str">
        <f>IFERROR(__xludf.DUMMYFUNCTION("""COMPUTED_VALUE"""),"121702887 - APPROVED")</f>
        <v>121702887 - APPROVED</v>
      </c>
      <c r="C4127" s="6">
        <f>IFERROR(__xludf.DUMMYFUNCTION("""COMPUTED_VALUE"""),5.0)</f>
        <v>5</v>
      </c>
      <c r="D4127" s="6" t="str">
        <f>IFERROR(__xludf.DUMMYFUNCTION("""COMPUTED_VALUE"""),"P-19882-00")</f>
        <v>P-19882-00</v>
      </c>
      <c r="E4127" s="6" t="str">
        <f>IFERROR(__xludf.DUMMYFUNCTION("""COMPUTED_VALUE"""),"General - Socket Pipa PVC JIS AW 2inch; Rucika; -; 1 pc")</f>
        <v>General - Socket Pipa PVC JIS AW 2inch; Rucika; -; 1 pc</v>
      </c>
      <c r="F4127" s="6">
        <f>IFERROR(__xludf.DUMMYFUNCTION("""COMPUTED_VALUE"""),6.0)</f>
        <v>6</v>
      </c>
      <c r="G4127" s="6" t="str">
        <f>IFERROR(__xludf.DUMMYFUNCTION("""COMPUTED_VALUE"""),"Pieces")</f>
        <v>Pieces</v>
      </c>
      <c r="H4127" s="6" t="str">
        <f>IFERROR(__xludf.DUMMYFUNCTION("""COMPUTED_VALUE"""),"IDR")</f>
        <v>IDR</v>
      </c>
      <c r="I4127" s="6">
        <f>IFERROR(__xludf.DUMMYFUNCTION("""COMPUTED_VALUE"""),30000.0)</f>
        <v>30000</v>
      </c>
      <c r="J4127" s="6">
        <f>IFERROR(__xludf.DUMMYFUNCTION("""COMPUTED_VALUE"""),180000.0)</f>
        <v>180000</v>
      </c>
      <c r="K4127" s="57">
        <f>IFERROR(__xludf.DUMMYFUNCTION("""COMPUTED_VALUE"""),45856.0)</f>
        <v>45856</v>
      </c>
      <c r="L4127" s="6" t="str">
        <f>IFERROR(__xludf.DUMMYFUNCTION("""COMPUTED_VALUE"""),"FIP Engineering")</f>
        <v>FIP Engineering</v>
      </c>
      <c r="M4127" s="6" t="str">
        <f>IFERROR(__xludf.DUMMYFUNCTION("""COMPUTED_VALUE"""),"Mochammad Fadhillah Hakim,")</f>
        <v>Mochammad Fadhillah Hakim,</v>
      </c>
      <c r="N4127" s="6" t="str">
        <f>IFERROR(__xludf.DUMMYFUNCTION("""COMPUTED_VALUE"""),"FIP Engineering")</f>
        <v>FIP Engineering</v>
      </c>
      <c r="O4127" s="6" t="str">
        <f>IFERROR(__xludf.DUMMYFUNCTION("""COMPUTED_VALUE"""),"FIP-DOM-000-11304-OS00001-INA-000000")</f>
        <v>FIP-DOM-000-11304-OS00001-INA-000000</v>
      </c>
      <c r="P4127" s="6" t="str">
        <f>IFERROR(__xludf.DUMMYFUNCTION("""COMPUTED_VALUE"""),"PO Closed")</f>
        <v>PO Closed</v>
      </c>
      <c r="Q4127" s="6" t="str">
        <f>IFERROR(__xludf.DUMMYFUNCTION("""COMPUTED_VALUE"""),"GL2506402")</f>
        <v>GL2506402</v>
      </c>
      <c r="R4127" s="57">
        <f>IFERROR(__xludf.DUMMYFUNCTION("""COMPUTED_VALUE"""),45821.0)</f>
        <v>45821</v>
      </c>
      <c r="S4127" s="57">
        <f>IFERROR(__xludf.DUMMYFUNCTION("""COMPUTED_VALUE"""),45828.0)</f>
        <v>45828</v>
      </c>
      <c r="T4127" s="57">
        <f>IFERROR(__xludf.DUMMYFUNCTION("""COMPUTED_VALUE"""),45856.0)</f>
        <v>45856</v>
      </c>
    </row>
    <row r="4128">
      <c r="A4128" s="6" t="str">
        <f>IFERROR(__xludf.DUMMYFUNCTION("""COMPUTED_VALUE"""),"121702887-6")</f>
        <v>121702887-6</v>
      </c>
      <c r="B4128" s="6" t="str">
        <f>IFERROR(__xludf.DUMMYFUNCTION("""COMPUTED_VALUE"""),"121702887 - APPROVED")</f>
        <v>121702887 - APPROVED</v>
      </c>
      <c r="C4128" s="6">
        <f>IFERROR(__xludf.DUMMYFUNCTION("""COMPUTED_VALUE"""),6.0)</f>
        <v>6</v>
      </c>
      <c r="D4128" s="6" t="str">
        <f>IFERROR(__xludf.DUMMYFUNCTION("""COMPUTED_VALUE"""),"P-19885-00")</f>
        <v>P-19885-00</v>
      </c>
      <c r="E4128" s="6" t="str">
        <f>IFERROR(__xludf.DUMMYFUNCTION("""COMPUTED_VALUE"""),"General - Kabel Duct Oval Size: 50x15; Stindo; -; 1 pc")</f>
        <v>General - Kabel Duct Oval Size: 50x15; Stindo; -; 1 pc</v>
      </c>
      <c r="F4128" s="6">
        <f>IFERROR(__xludf.DUMMYFUNCTION("""COMPUTED_VALUE"""),3.0)</f>
        <v>3</v>
      </c>
      <c r="G4128" s="6" t="str">
        <f>IFERROR(__xludf.DUMMYFUNCTION("""COMPUTED_VALUE"""),"Pieces")</f>
        <v>Pieces</v>
      </c>
      <c r="H4128" s="6" t="str">
        <f>IFERROR(__xludf.DUMMYFUNCTION("""COMPUTED_VALUE"""),"IDR")</f>
        <v>IDR</v>
      </c>
      <c r="I4128" s="6">
        <f>IFERROR(__xludf.DUMMYFUNCTION("""COMPUTED_VALUE"""),210000.0)</f>
        <v>210000</v>
      </c>
      <c r="J4128" s="6">
        <f>IFERROR(__xludf.DUMMYFUNCTION("""COMPUTED_VALUE"""),630000.0)</f>
        <v>630000</v>
      </c>
      <c r="K4128" s="57">
        <f>IFERROR(__xludf.DUMMYFUNCTION("""COMPUTED_VALUE"""),45856.0)</f>
        <v>45856</v>
      </c>
      <c r="L4128" s="6" t="str">
        <f>IFERROR(__xludf.DUMMYFUNCTION("""COMPUTED_VALUE"""),"FIP Engineering")</f>
        <v>FIP Engineering</v>
      </c>
      <c r="M4128" s="6" t="str">
        <f>IFERROR(__xludf.DUMMYFUNCTION("""COMPUTED_VALUE"""),"Mochammad Fadhillah Hakim,")</f>
        <v>Mochammad Fadhillah Hakim,</v>
      </c>
      <c r="N4128" s="6" t="str">
        <f>IFERROR(__xludf.DUMMYFUNCTION("""COMPUTED_VALUE"""),"FIP Engineering")</f>
        <v>FIP Engineering</v>
      </c>
      <c r="O4128" s="6" t="str">
        <f>IFERROR(__xludf.DUMMYFUNCTION("""COMPUTED_VALUE"""),"FIP-DOM-000-11304-OS00001-INA-000000")</f>
        <v>FIP-DOM-000-11304-OS00001-INA-000000</v>
      </c>
      <c r="P4128" s="6" t="str">
        <f>IFERROR(__xludf.DUMMYFUNCTION("""COMPUTED_VALUE"""),"PO Closed")</f>
        <v>PO Closed</v>
      </c>
      <c r="Q4128" s="6" t="str">
        <f>IFERROR(__xludf.DUMMYFUNCTION("""COMPUTED_VALUE"""),"GL2507409")</f>
        <v>GL2507409</v>
      </c>
      <c r="R4128" s="57">
        <f>IFERROR(__xludf.DUMMYFUNCTION("""COMPUTED_VALUE"""),45821.0)</f>
        <v>45821</v>
      </c>
      <c r="S4128" s="57">
        <f>IFERROR(__xludf.DUMMYFUNCTION("""COMPUTED_VALUE"""),45828.0)</f>
        <v>45828</v>
      </c>
      <c r="T4128" s="57">
        <f>IFERROR(__xludf.DUMMYFUNCTION("""COMPUTED_VALUE"""),45868.0)</f>
        <v>45868</v>
      </c>
    </row>
    <row r="4129">
      <c r="A4129" s="6" t="str">
        <f>IFERROR(__xludf.DUMMYFUNCTION("""COMPUTED_VALUE"""),"121702890-1")</f>
        <v>121702890-1</v>
      </c>
      <c r="B4129" s="6" t="str">
        <f>IFERROR(__xludf.DUMMYFUNCTION("""COMPUTED_VALUE"""),"121702890 - APPROVED")</f>
        <v>121702890 - APPROVED</v>
      </c>
      <c r="C4129" s="6">
        <f>IFERROR(__xludf.DUMMYFUNCTION("""COMPUTED_VALUE"""),1.0)</f>
        <v>1</v>
      </c>
      <c r="D4129" s="6" t="str">
        <f>IFERROR(__xludf.DUMMYFUNCTION("""COMPUTED_VALUE"""),"O-13216-00")</f>
        <v>O-13216-00</v>
      </c>
      <c r="E4129" s="6" t="str">
        <f>IFERROR(__xludf.DUMMYFUNCTION("""COMPUTED_VALUE"""),"Lubricant - Bechem Staroil G 320 Brown H1 @20 Liter/Pail")</f>
        <v>Lubricant - Bechem Staroil G 320 Brown H1 @20 Liter/Pail</v>
      </c>
      <c r="F4129" s="6">
        <f>IFERROR(__xludf.DUMMYFUNCTION("""COMPUTED_VALUE"""),20.0)</f>
        <v>20</v>
      </c>
      <c r="G4129" s="6" t="str">
        <f>IFERROR(__xludf.DUMMYFUNCTION("""COMPUTED_VALUE"""),"Liter")</f>
        <v>Liter</v>
      </c>
      <c r="H4129" s="6" t="str">
        <f>IFERROR(__xludf.DUMMYFUNCTION("""COMPUTED_VALUE"""),"IDR")</f>
        <v>IDR</v>
      </c>
      <c r="I4129" s="6">
        <f>IFERROR(__xludf.DUMMYFUNCTION("""COMPUTED_VALUE"""),170000.0)</f>
        <v>170000</v>
      </c>
      <c r="J4129" s="6">
        <f>IFERROR(__xludf.DUMMYFUNCTION("""COMPUTED_VALUE"""),3400000.0)</f>
        <v>3400000</v>
      </c>
      <c r="K4129" s="57">
        <f>IFERROR(__xludf.DUMMYFUNCTION("""COMPUTED_VALUE"""),45891.0)</f>
        <v>45891</v>
      </c>
      <c r="L4129" s="6" t="str">
        <f>IFERROR(__xludf.DUMMYFUNCTION("""COMPUTED_VALUE"""),"FIP Engineering")</f>
        <v>FIP Engineering</v>
      </c>
      <c r="M4129" s="6" t="str">
        <f>IFERROR(__xludf.DUMMYFUNCTION("""COMPUTED_VALUE"""),"Mochammad Fadhillah Hakim,")</f>
        <v>Mochammad Fadhillah Hakim,</v>
      </c>
      <c r="N4129" s="6" t="str">
        <f>IFERROR(__xludf.DUMMYFUNCTION("""COMPUTED_VALUE"""),"FIP Engineering")</f>
        <v>FIP Engineering</v>
      </c>
      <c r="O4129" s="6" t="str">
        <f>IFERROR(__xludf.DUMMYFUNCTION("""COMPUTED_VALUE"""),"FIP-DOM-000-11304-OS00001-INA-000000")</f>
        <v>FIP-DOM-000-11304-OS00001-INA-000000</v>
      </c>
      <c r="P4129" s="6" t="str">
        <f>IFERROR(__xludf.DUMMYFUNCTION("""COMPUTED_VALUE"""),"PO Closed")</f>
        <v>PO Closed</v>
      </c>
      <c r="Q4129" s="6" t="str">
        <f>IFERROR(__xludf.DUMMYFUNCTION("""COMPUTED_VALUE"""),"GL2507009")</f>
        <v>GL2507009</v>
      </c>
      <c r="R4129" s="57">
        <f>IFERROR(__xludf.DUMMYFUNCTION("""COMPUTED_VALUE"""),45824.0)</f>
        <v>45824</v>
      </c>
      <c r="S4129" s="57">
        <f>IFERROR(__xludf.DUMMYFUNCTION("""COMPUTED_VALUE"""),45824.0)</f>
        <v>45824</v>
      </c>
      <c r="T4129" s="57">
        <f>IFERROR(__xludf.DUMMYFUNCTION("""COMPUTED_VALUE"""),45891.0)</f>
        <v>45891</v>
      </c>
    </row>
    <row r="4130">
      <c r="A4130" s="6" t="str">
        <f>IFERROR(__xludf.DUMMYFUNCTION("""COMPUTED_VALUE"""),"121702891-1")</f>
        <v>121702891-1</v>
      </c>
      <c r="B4130" s="6" t="str">
        <f>IFERROR(__xludf.DUMMYFUNCTION("""COMPUTED_VALUE"""),"121702891 - APPROVED")</f>
        <v>121702891 - APPROVED</v>
      </c>
      <c r="C4130" s="6">
        <f>IFERROR(__xludf.DUMMYFUNCTION("""COMPUTED_VALUE"""),1.0)</f>
        <v>1</v>
      </c>
      <c r="D4130" s="6" t="str">
        <f>IFERROR(__xludf.DUMMYFUNCTION("""COMPUTED_VALUE"""),"S-20852-00")</f>
        <v>S-20852-00</v>
      </c>
      <c r="E4130" s="6" t="str">
        <f>IFERROR(__xludf.DUMMYFUNCTION("""COMPUTED_VALUE"""),"Wearpack Safety Biru Dongker Size XL; IMJ; ; pc")</f>
        <v>Wearpack Safety Biru Dongker Size XL; IMJ; ; pc</v>
      </c>
      <c r="F4130" s="6">
        <f>IFERROR(__xludf.DUMMYFUNCTION("""COMPUTED_VALUE"""),2.0)</f>
        <v>2</v>
      </c>
      <c r="G4130" s="6" t="str">
        <f>IFERROR(__xludf.DUMMYFUNCTION("""COMPUTED_VALUE"""),"Pieces")</f>
        <v>Pieces</v>
      </c>
      <c r="H4130" s="6" t="str">
        <f>IFERROR(__xludf.DUMMYFUNCTION("""COMPUTED_VALUE"""),"IDR")</f>
        <v>IDR</v>
      </c>
      <c r="I4130" s="6">
        <f>IFERROR(__xludf.DUMMYFUNCTION("""COMPUTED_VALUE"""),225000.0)</f>
        <v>225000</v>
      </c>
      <c r="J4130" s="6">
        <f>IFERROR(__xludf.DUMMYFUNCTION("""COMPUTED_VALUE"""),450000.0)</f>
        <v>450000</v>
      </c>
      <c r="K4130" s="57">
        <f>IFERROR(__xludf.DUMMYFUNCTION("""COMPUTED_VALUE"""),45856.0)</f>
        <v>45856</v>
      </c>
      <c r="L4130" s="6" t="str">
        <f>IFERROR(__xludf.DUMMYFUNCTION("""COMPUTED_VALUE"""),"FIP General")</f>
        <v>FIP General</v>
      </c>
      <c r="M4130" s="6" t="str">
        <f>IFERROR(__xludf.DUMMYFUNCTION("""COMPUTED_VALUE"""),"Mochammad Fadhillah Hakim,")</f>
        <v>Mochammad Fadhillah Hakim,</v>
      </c>
      <c r="N4130" s="6" t="str">
        <f>IFERROR(__xludf.DUMMYFUNCTION("""COMPUTED_VALUE"""),"FIP Engineering")</f>
        <v>FIP Engineering</v>
      </c>
      <c r="O4130" s="6" t="str">
        <f>IFERROR(__xludf.DUMMYFUNCTION("""COMPUTED_VALUE"""),"FIP-DOM-ENG-51202-0000000-INA-000000")</f>
        <v>FIP-DOM-ENG-51202-0000000-INA-000000</v>
      </c>
      <c r="P4130" s="6" t="str">
        <f>IFERROR(__xludf.DUMMYFUNCTION("""COMPUTED_VALUE"""),"PO Closed")</f>
        <v>PO Closed</v>
      </c>
      <c r="Q4130" s="6" t="str">
        <f>IFERROR(__xludf.DUMMYFUNCTION("""COMPUTED_VALUE"""),"GL2507015")</f>
        <v>GL2507015</v>
      </c>
      <c r="R4130" s="57">
        <f>IFERROR(__xludf.DUMMYFUNCTION("""COMPUTED_VALUE"""),45824.0)</f>
        <v>45824</v>
      </c>
      <c r="S4130" s="57">
        <f>IFERROR(__xludf.DUMMYFUNCTION("""COMPUTED_VALUE"""),45824.0)</f>
        <v>45824</v>
      </c>
      <c r="T4130" s="57">
        <f>IFERROR(__xludf.DUMMYFUNCTION("""COMPUTED_VALUE"""),45898.0)</f>
        <v>45898</v>
      </c>
    </row>
    <row r="4131">
      <c r="A4131" s="6" t="str">
        <f>IFERROR(__xludf.DUMMYFUNCTION("""COMPUTED_VALUE"""),"121702891-2")</f>
        <v>121702891-2</v>
      </c>
      <c r="B4131" s="6" t="str">
        <f>IFERROR(__xludf.DUMMYFUNCTION("""COMPUTED_VALUE"""),"121702891 - APPROVED")</f>
        <v>121702891 - APPROVED</v>
      </c>
      <c r="C4131" s="6">
        <f>IFERROR(__xludf.DUMMYFUNCTION("""COMPUTED_VALUE"""),2.0)</f>
        <v>2</v>
      </c>
      <c r="D4131" s="6" t="str">
        <f>IFERROR(__xludf.DUMMYFUNCTION("""COMPUTED_VALUE"""),"S-20853-00")</f>
        <v>S-20853-00</v>
      </c>
      <c r="E4131" s="6" t="str">
        <f>IFERROR(__xludf.DUMMYFUNCTION("""COMPUTED_VALUE"""),"Wearpack Safety Biru Dongker Size 2XL; IMJ; ; pc")</f>
        <v>Wearpack Safety Biru Dongker Size 2XL; IMJ; ; pc</v>
      </c>
      <c r="F4131" s="6">
        <f>IFERROR(__xludf.DUMMYFUNCTION("""COMPUTED_VALUE"""),2.0)</f>
        <v>2</v>
      </c>
      <c r="G4131" s="6" t="str">
        <f>IFERROR(__xludf.DUMMYFUNCTION("""COMPUTED_VALUE"""),"Pieces")</f>
        <v>Pieces</v>
      </c>
      <c r="H4131" s="6" t="str">
        <f>IFERROR(__xludf.DUMMYFUNCTION("""COMPUTED_VALUE"""),"IDR")</f>
        <v>IDR</v>
      </c>
      <c r="I4131" s="6">
        <f>IFERROR(__xludf.DUMMYFUNCTION("""COMPUTED_VALUE"""),255000.0)</f>
        <v>255000</v>
      </c>
      <c r="J4131" s="6">
        <f>IFERROR(__xludf.DUMMYFUNCTION("""COMPUTED_VALUE"""),510000.0)</f>
        <v>510000</v>
      </c>
      <c r="K4131" s="57">
        <f>IFERROR(__xludf.DUMMYFUNCTION("""COMPUTED_VALUE"""),45856.0)</f>
        <v>45856</v>
      </c>
      <c r="L4131" s="6" t="str">
        <f>IFERROR(__xludf.DUMMYFUNCTION("""COMPUTED_VALUE"""),"FIP General")</f>
        <v>FIP General</v>
      </c>
      <c r="M4131" s="6" t="str">
        <f>IFERROR(__xludf.DUMMYFUNCTION("""COMPUTED_VALUE"""),"Mochammad Fadhillah Hakim,")</f>
        <v>Mochammad Fadhillah Hakim,</v>
      </c>
      <c r="N4131" s="6" t="str">
        <f>IFERROR(__xludf.DUMMYFUNCTION("""COMPUTED_VALUE"""),"FIP Engineering")</f>
        <v>FIP Engineering</v>
      </c>
      <c r="O4131" s="6" t="str">
        <f>IFERROR(__xludf.DUMMYFUNCTION("""COMPUTED_VALUE"""),"FIP-DOM-ENG-51502-0000000-INA-000000")</f>
        <v>FIP-DOM-ENG-51502-0000000-INA-000000</v>
      </c>
      <c r="P4131" s="6" t="str">
        <f>IFERROR(__xludf.DUMMYFUNCTION("""COMPUTED_VALUE"""),"PO Closed")</f>
        <v>PO Closed</v>
      </c>
      <c r="Q4131" s="6" t="str">
        <f>IFERROR(__xludf.DUMMYFUNCTION("""COMPUTED_VALUE"""),"GL2507015")</f>
        <v>GL2507015</v>
      </c>
      <c r="R4131" s="57">
        <f>IFERROR(__xludf.DUMMYFUNCTION("""COMPUTED_VALUE"""),45824.0)</f>
        <v>45824</v>
      </c>
      <c r="S4131" s="57">
        <f>IFERROR(__xludf.DUMMYFUNCTION("""COMPUTED_VALUE"""),45824.0)</f>
        <v>45824</v>
      </c>
      <c r="T4131" s="57">
        <f>IFERROR(__xludf.DUMMYFUNCTION("""COMPUTED_VALUE"""),45898.0)</f>
        <v>45898</v>
      </c>
    </row>
    <row r="4132">
      <c r="A4132" s="6" t="str">
        <f>IFERROR(__xludf.DUMMYFUNCTION("""COMPUTED_VALUE"""),"121702891-3")</f>
        <v>121702891-3</v>
      </c>
      <c r="B4132" s="6" t="str">
        <f>IFERROR(__xludf.DUMMYFUNCTION("""COMPUTED_VALUE"""),"121702891 - APPROVED")</f>
        <v>121702891 - APPROVED</v>
      </c>
      <c r="C4132" s="6">
        <f>IFERROR(__xludf.DUMMYFUNCTION("""COMPUTED_VALUE"""),3.0)</f>
        <v>3</v>
      </c>
      <c r="D4132" s="6" t="str">
        <f>IFERROR(__xludf.DUMMYFUNCTION("""COMPUTED_VALUE"""),"S-20854-00")</f>
        <v>S-20854-00</v>
      </c>
      <c r="E4132" s="6" t="str">
        <f>IFERROR(__xludf.DUMMYFUNCTION("""COMPUTED_VALUE"""),"Wearpack Safety Biru Dongker Size 3XL; IMJ; ; pc")</f>
        <v>Wearpack Safety Biru Dongker Size 3XL; IMJ; ; pc</v>
      </c>
      <c r="F4132" s="6">
        <f>IFERROR(__xludf.DUMMYFUNCTION("""COMPUTED_VALUE"""),2.0)</f>
        <v>2</v>
      </c>
      <c r="G4132" s="6" t="str">
        <f>IFERROR(__xludf.DUMMYFUNCTION("""COMPUTED_VALUE"""),"Pieces")</f>
        <v>Pieces</v>
      </c>
      <c r="H4132" s="6" t="str">
        <f>IFERROR(__xludf.DUMMYFUNCTION("""COMPUTED_VALUE"""),"IDR")</f>
        <v>IDR</v>
      </c>
      <c r="I4132" s="6">
        <f>IFERROR(__xludf.DUMMYFUNCTION("""COMPUTED_VALUE"""),277500.0)</f>
        <v>277500</v>
      </c>
      <c r="J4132" s="6">
        <f>IFERROR(__xludf.DUMMYFUNCTION("""COMPUTED_VALUE"""),555000.0)</f>
        <v>555000</v>
      </c>
      <c r="K4132" s="57">
        <f>IFERROR(__xludf.DUMMYFUNCTION("""COMPUTED_VALUE"""),45856.0)</f>
        <v>45856</v>
      </c>
      <c r="L4132" s="6" t="str">
        <f>IFERROR(__xludf.DUMMYFUNCTION("""COMPUTED_VALUE"""),"FIP General")</f>
        <v>FIP General</v>
      </c>
      <c r="M4132" s="6" t="str">
        <f>IFERROR(__xludf.DUMMYFUNCTION("""COMPUTED_VALUE"""),"Mochammad Fadhillah Hakim,")</f>
        <v>Mochammad Fadhillah Hakim,</v>
      </c>
      <c r="N4132" s="6" t="str">
        <f>IFERROR(__xludf.DUMMYFUNCTION("""COMPUTED_VALUE"""),"FIP Engineering")</f>
        <v>FIP Engineering</v>
      </c>
      <c r="O4132" s="6" t="str">
        <f>IFERROR(__xludf.DUMMYFUNCTION("""COMPUTED_VALUE"""),"FIP-DOM-ENG-51502-0000000-INA-000000")</f>
        <v>FIP-DOM-ENG-51502-0000000-INA-000000</v>
      </c>
      <c r="P4132" s="6" t="str">
        <f>IFERROR(__xludf.DUMMYFUNCTION("""COMPUTED_VALUE"""),"PO Closed")</f>
        <v>PO Closed</v>
      </c>
      <c r="Q4132" s="6" t="str">
        <f>IFERROR(__xludf.DUMMYFUNCTION("""COMPUTED_VALUE"""),"GL2507015")</f>
        <v>GL2507015</v>
      </c>
      <c r="R4132" s="57">
        <f>IFERROR(__xludf.DUMMYFUNCTION("""COMPUTED_VALUE"""),45824.0)</f>
        <v>45824</v>
      </c>
      <c r="S4132" s="57">
        <f>IFERROR(__xludf.DUMMYFUNCTION("""COMPUTED_VALUE"""),45824.0)</f>
        <v>45824</v>
      </c>
      <c r="T4132" s="57">
        <f>IFERROR(__xludf.DUMMYFUNCTION("""COMPUTED_VALUE"""),45898.0)</f>
        <v>45898</v>
      </c>
    </row>
    <row r="4133">
      <c r="A4133" s="6" t="str">
        <f>IFERROR(__xludf.DUMMYFUNCTION("""COMPUTED_VALUE"""),"121702892-1")</f>
        <v>121702892-1</v>
      </c>
      <c r="B4133" s="6" t="str">
        <f>IFERROR(__xludf.DUMMYFUNCTION("""COMPUTED_VALUE"""),"121702892 - APPROVED")</f>
        <v>121702892 - APPROVED</v>
      </c>
      <c r="C4133" s="6">
        <f>IFERROR(__xludf.DUMMYFUNCTION("""COMPUTED_VALUE"""),1.0)</f>
        <v>1</v>
      </c>
      <c r="D4133" s="6" t="str">
        <f>IFERROR(__xludf.DUMMYFUNCTION("""COMPUTED_VALUE"""),"O-16772-00")</f>
        <v>O-16772-00</v>
      </c>
      <c r="E4133" s="6" t="str">
        <f>IFERROR(__xludf.DUMMYFUNCTION("""COMPUTED_VALUE"""),"Oring Silicone Merah 40.5 x 37.5 x 1.5 mm; ; ;")</f>
        <v>Oring Silicone Merah 40.5 x 37.5 x 1.5 mm; ; ;</v>
      </c>
      <c r="F4133" s="6">
        <f>IFERROR(__xludf.DUMMYFUNCTION("""COMPUTED_VALUE"""),10.0)</f>
        <v>10</v>
      </c>
      <c r="G4133" s="6" t="str">
        <f>IFERROR(__xludf.DUMMYFUNCTION("""COMPUTED_VALUE"""),"Pieces")</f>
        <v>Pieces</v>
      </c>
      <c r="H4133" s="6" t="str">
        <f>IFERROR(__xludf.DUMMYFUNCTION("""COMPUTED_VALUE"""),"IDR")</f>
        <v>IDR</v>
      </c>
      <c r="I4133" s="6">
        <f>IFERROR(__xludf.DUMMYFUNCTION("""COMPUTED_VALUE"""),27500.0)</f>
        <v>27500</v>
      </c>
      <c r="J4133" s="6">
        <f>IFERROR(__xludf.DUMMYFUNCTION("""COMPUTED_VALUE"""),275000.0)</f>
        <v>275000</v>
      </c>
      <c r="K4133" s="57">
        <f>IFERROR(__xludf.DUMMYFUNCTION("""COMPUTED_VALUE"""),45856.0)</f>
        <v>45856</v>
      </c>
      <c r="L4133" s="6" t="str">
        <f>IFERROR(__xludf.DUMMYFUNCTION("""COMPUTED_VALUE"""),"FIP Engineering")</f>
        <v>FIP Engineering</v>
      </c>
      <c r="M4133" s="6" t="str">
        <f>IFERROR(__xludf.DUMMYFUNCTION("""COMPUTED_VALUE"""),"Mochammad Fadhillah Hakim,")</f>
        <v>Mochammad Fadhillah Hakim,</v>
      </c>
      <c r="N4133" s="6" t="str">
        <f>IFERROR(__xludf.DUMMYFUNCTION("""COMPUTED_VALUE"""),"FIP Engineering")</f>
        <v>FIP Engineering</v>
      </c>
      <c r="O4133" s="6" t="str">
        <f>IFERROR(__xludf.DUMMYFUNCTION("""COMPUTED_VALUE"""),"FIP-DOM-000-11304-OS00001-INA-000000")</f>
        <v>FIP-DOM-000-11304-OS00001-INA-000000</v>
      </c>
      <c r="P4133" s="6" t="str">
        <f>IFERROR(__xludf.DUMMYFUNCTION("""COMPUTED_VALUE"""),"PO Closed")</f>
        <v>PO Closed</v>
      </c>
      <c r="Q4133" s="6" t="str">
        <f>IFERROR(__xludf.DUMMYFUNCTION("""COMPUTED_VALUE"""),"GL2506401")</f>
        <v>GL2506401</v>
      </c>
      <c r="R4133" s="57">
        <f>IFERROR(__xludf.DUMMYFUNCTION("""COMPUTED_VALUE"""),45824.0)</f>
        <v>45824</v>
      </c>
      <c r="S4133" s="57">
        <f>IFERROR(__xludf.DUMMYFUNCTION("""COMPUTED_VALUE"""),45824.0)</f>
        <v>45824</v>
      </c>
      <c r="T4133" s="57">
        <f>IFERROR(__xludf.DUMMYFUNCTION("""COMPUTED_VALUE"""),45856.0)</f>
        <v>45856</v>
      </c>
    </row>
    <row r="4134">
      <c r="A4134" s="6" t="str">
        <f>IFERROR(__xludf.DUMMYFUNCTION("""COMPUTED_VALUE"""),"121702892-2")</f>
        <v>121702892-2</v>
      </c>
      <c r="B4134" s="6" t="str">
        <f>IFERROR(__xludf.DUMMYFUNCTION("""COMPUTED_VALUE"""),"121702892 - APPROVED")</f>
        <v>121702892 - APPROVED</v>
      </c>
      <c r="C4134" s="6">
        <f>IFERROR(__xludf.DUMMYFUNCTION("""COMPUTED_VALUE"""),2.0)</f>
        <v>2</v>
      </c>
      <c r="D4134" s="6" t="str">
        <f>IFERROR(__xludf.DUMMYFUNCTION("""COMPUTED_VALUE"""),"O-20746-00")</f>
        <v>O-20746-00</v>
      </c>
      <c r="E4134" s="6" t="str">
        <f>IFERROR(__xludf.DUMMYFUNCTION("""COMPUTED_VALUE"""),"Autoclave FOF5/9A - Oring Silicone 1.7x11x15 mm; Custom/Lokal; -; 1 Pc")</f>
        <v>Autoclave FOF5/9A - Oring Silicone 1.7x11x15 mm; Custom/Lokal; -; 1 Pc</v>
      </c>
      <c r="F4134" s="6">
        <f>IFERROR(__xludf.DUMMYFUNCTION("""COMPUTED_VALUE"""),10.0)</f>
        <v>10</v>
      </c>
      <c r="G4134" s="6" t="str">
        <f>IFERROR(__xludf.DUMMYFUNCTION("""COMPUTED_VALUE"""),"Pieces")</f>
        <v>Pieces</v>
      </c>
      <c r="H4134" s="6" t="str">
        <f>IFERROR(__xludf.DUMMYFUNCTION("""COMPUTED_VALUE"""),"IDR")</f>
        <v>IDR</v>
      </c>
      <c r="I4134" s="6">
        <f>IFERROR(__xludf.DUMMYFUNCTION("""COMPUTED_VALUE"""),27500.0)</f>
        <v>27500</v>
      </c>
      <c r="J4134" s="6">
        <f>IFERROR(__xludf.DUMMYFUNCTION("""COMPUTED_VALUE"""),275000.0)</f>
        <v>275000</v>
      </c>
      <c r="K4134" s="57">
        <f>IFERROR(__xludf.DUMMYFUNCTION("""COMPUTED_VALUE"""),45856.0)</f>
        <v>45856</v>
      </c>
      <c r="L4134" s="6" t="str">
        <f>IFERROR(__xludf.DUMMYFUNCTION("""COMPUTED_VALUE"""),"FIP Engineering")</f>
        <v>FIP Engineering</v>
      </c>
      <c r="M4134" s="6" t="str">
        <f>IFERROR(__xludf.DUMMYFUNCTION("""COMPUTED_VALUE"""),"Mochammad Fadhillah Hakim,")</f>
        <v>Mochammad Fadhillah Hakim,</v>
      </c>
      <c r="N4134" s="6" t="str">
        <f>IFERROR(__xludf.DUMMYFUNCTION("""COMPUTED_VALUE"""),"FIP Engineering")</f>
        <v>FIP Engineering</v>
      </c>
      <c r="O4134" s="6" t="str">
        <f>IFERROR(__xludf.DUMMYFUNCTION("""COMPUTED_VALUE"""),"FIP-DOM-000-11304-OS00001-INA-000000")</f>
        <v>FIP-DOM-000-11304-OS00001-INA-000000</v>
      </c>
      <c r="P4134" s="6" t="str">
        <f>IFERROR(__xludf.DUMMYFUNCTION("""COMPUTED_VALUE"""),"PO Closed")</f>
        <v>PO Closed</v>
      </c>
      <c r="Q4134" s="6" t="str">
        <f>IFERROR(__xludf.DUMMYFUNCTION("""COMPUTED_VALUE"""),"GL2506401")</f>
        <v>GL2506401</v>
      </c>
      <c r="R4134" s="57">
        <f>IFERROR(__xludf.DUMMYFUNCTION("""COMPUTED_VALUE"""),45824.0)</f>
        <v>45824</v>
      </c>
      <c r="S4134" s="57">
        <f>IFERROR(__xludf.DUMMYFUNCTION("""COMPUTED_VALUE"""),45824.0)</f>
        <v>45824</v>
      </c>
      <c r="T4134" s="57">
        <f>IFERROR(__xludf.DUMMYFUNCTION("""COMPUTED_VALUE"""),45856.0)</f>
        <v>45856</v>
      </c>
    </row>
    <row r="4135">
      <c r="A4135" s="6" t="str">
        <f>IFERROR(__xludf.DUMMYFUNCTION("""COMPUTED_VALUE"""),"121702892-3")</f>
        <v>121702892-3</v>
      </c>
      <c r="B4135" s="6" t="str">
        <f>IFERROR(__xludf.DUMMYFUNCTION("""COMPUTED_VALUE"""),"121702892 - APPROVED")</f>
        <v>121702892 - APPROVED</v>
      </c>
      <c r="C4135" s="6">
        <f>IFERROR(__xludf.DUMMYFUNCTION("""COMPUTED_VALUE"""),3.0)</f>
        <v>3</v>
      </c>
      <c r="D4135" s="6" t="str">
        <f>IFERROR(__xludf.DUMMYFUNCTION("""COMPUTED_VALUE"""),"O-20747-00")</f>
        <v>O-20747-00</v>
      </c>
      <c r="E4135" s="6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F4135" s="6">
        <f>IFERROR(__xludf.DUMMYFUNCTION("""COMPUTED_VALUE"""),10.0)</f>
        <v>10</v>
      </c>
      <c r="G4135" s="6" t="str">
        <f>IFERROR(__xludf.DUMMYFUNCTION("""COMPUTED_VALUE"""),"Pieces")</f>
        <v>Pieces</v>
      </c>
      <c r="H4135" s="6" t="str">
        <f>IFERROR(__xludf.DUMMYFUNCTION("""COMPUTED_VALUE"""),"IDR")</f>
        <v>IDR</v>
      </c>
      <c r="I4135" s="6">
        <f>IFERROR(__xludf.DUMMYFUNCTION("""COMPUTED_VALUE"""),27500.0)</f>
        <v>27500</v>
      </c>
      <c r="J4135" s="6">
        <f>IFERROR(__xludf.DUMMYFUNCTION("""COMPUTED_VALUE"""),275000.0)</f>
        <v>275000</v>
      </c>
      <c r="K4135" s="57">
        <f>IFERROR(__xludf.DUMMYFUNCTION("""COMPUTED_VALUE"""),45856.0)</f>
        <v>45856</v>
      </c>
      <c r="L4135" s="6" t="str">
        <f>IFERROR(__xludf.DUMMYFUNCTION("""COMPUTED_VALUE"""),"FIP Engineering")</f>
        <v>FIP Engineering</v>
      </c>
      <c r="M4135" s="6" t="str">
        <f>IFERROR(__xludf.DUMMYFUNCTION("""COMPUTED_VALUE"""),"Mochammad Fadhillah Hakim,")</f>
        <v>Mochammad Fadhillah Hakim,</v>
      </c>
      <c r="N4135" s="6" t="str">
        <f>IFERROR(__xludf.DUMMYFUNCTION("""COMPUTED_VALUE"""),"FIP Engineering")</f>
        <v>FIP Engineering</v>
      </c>
      <c r="O4135" s="6" t="str">
        <f>IFERROR(__xludf.DUMMYFUNCTION("""COMPUTED_VALUE"""),"FIP-DOM-000-11304-OS00001-INA-000000")</f>
        <v>FIP-DOM-000-11304-OS00001-INA-000000</v>
      </c>
      <c r="P4135" s="6" t="str">
        <f>IFERROR(__xludf.DUMMYFUNCTION("""COMPUTED_VALUE"""),"PO Closed")</f>
        <v>PO Closed</v>
      </c>
      <c r="Q4135" s="6" t="str">
        <f>IFERROR(__xludf.DUMMYFUNCTION("""COMPUTED_VALUE"""),"GL2506401")</f>
        <v>GL2506401</v>
      </c>
      <c r="R4135" s="57">
        <f>IFERROR(__xludf.DUMMYFUNCTION("""COMPUTED_VALUE"""),45824.0)</f>
        <v>45824</v>
      </c>
      <c r="S4135" s="57">
        <f>IFERROR(__xludf.DUMMYFUNCTION("""COMPUTED_VALUE"""),45824.0)</f>
        <v>45824</v>
      </c>
      <c r="T4135" s="57">
        <f>IFERROR(__xludf.DUMMYFUNCTION("""COMPUTED_VALUE"""),45856.0)</f>
        <v>45856</v>
      </c>
    </row>
    <row r="4136">
      <c r="A4136" s="6" t="str">
        <f>IFERROR(__xludf.DUMMYFUNCTION("""COMPUTED_VALUE"""),"121702899-1")</f>
        <v>121702899-1</v>
      </c>
      <c r="B4136" s="6" t="str">
        <f>IFERROR(__xludf.DUMMYFUNCTION("""COMPUTED_VALUE"""),"121702899 - APPROVED")</f>
        <v>121702899 - APPROVED</v>
      </c>
      <c r="C4136" s="6">
        <f>IFERROR(__xludf.DUMMYFUNCTION("""COMPUTED_VALUE"""),1.0)</f>
        <v>1</v>
      </c>
      <c r="D4136" s="6" t="str">
        <f>IFERROR(__xludf.DUMMYFUNCTION("""COMPUTED_VALUE"""),"P-12433-00")</f>
        <v>P-12433-00</v>
      </c>
      <c r="E4136" s="6" t="str">
        <f>IFERROR(__xludf.DUMMYFUNCTION("""COMPUTED_VALUE"""),"Isolasi AC- Sansui")</f>
        <v>Isolasi AC- Sansui</v>
      </c>
      <c r="F4136" s="6">
        <f>IFERROR(__xludf.DUMMYFUNCTION("""COMPUTED_VALUE"""),15.0)</f>
        <v>15</v>
      </c>
      <c r="G4136" s="6" t="str">
        <f>IFERROR(__xludf.DUMMYFUNCTION("""COMPUTED_VALUE"""),"Pieces")</f>
        <v>Pieces</v>
      </c>
      <c r="H4136" s="6" t="str">
        <f>IFERROR(__xludf.DUMMYFUNCTION("""COMPUTED_VALUE"""),"IDR")</f>
        <v>IDR</v>
      </c>
      <c r="I4136" s="6">
        <f>IFERROR(__xludf.DUMMYFUNCTION("""COMPUTED_VALUE"""),14000.0)</f>
        <v>14000</v>
      </c>
      <c r="J4136" s="6">
        <f>IFERROR(__xludf.DUMMYFUNCTION("""COMPUTED_VALUE"""),210000.0)</f>
        <v>210000</v>
      </c>
      <c r="K4136" s="57">
        <f>IFERROR(__xludf.DUMMYFUNCTION("""COMPUTED_VALUE"""),45856.0)</f>
        <v>45856</v>
      </c>
      <c r="L4136" s="6" t="str">
        <f>IFERROR(__xludf.DUMMYFUNCTION("""COMPUTED_VALUE"""),"FIP Engineering")</f>
        <v>FIP Engineering</v>
      </c>
      <c r="M4136" s="6" t="str">
        <f>IFERROR(__xludf.DUMMYFUNCTION("""COMPUTED_VALUE"""),"Mochammad Fadhillah Hakim,")</f>
        <v>Mochammad Fadhillah Hakim,</v>
      </c>
      <c r="N4136" s="6" t="str">
        <f>IFERROR(__xludf.DUMMYFUNCTION("""COMPUTED_VALUE"""),"FIP Engineering")</f>
        <v>FIP Engineering</v>
      </c>
      <c r="O4136" s="6" t="str">
        <f>IFERROR(__xludf.DUMMYFUNCTION("""COMPUTED_VALUE"""),"FIP-DOM-000-11304-OS00001-INA-000000")</f>
        <v>FIP-DOM-000-11304-OS00001-INA-000000</v>
      </c>
      <c r="P4136" s="6" t="str">
        <f>IFERROR(__xludf.DUMMYFUNCTION("""COMPUTED_VALUE"""),"PO Closed")</f>
        <v>PO Closed</v>
      </c>
      <c r="Q4136" s="6" t="str">
        <f>IFERROR(__xludf.DUMMYFUNCTION("""COMPUTED_VALUE"""),"GL2507409")</f>
        <v>GL2507409</v>
      </c>
      <c r="R4136" s="57">
        <f>IFERROR(__xludf.DUMMYFUNCTION("""COMPUTED_VALUE"""),45826.0)</f>
        <v>45826</v>
      </c>
      <c r="S4136" s="57">
        <f>IFERROR(__xludf.DUMMYFUNCTION("""COMPUTED_VALUE"""),45828.0)</f>
        <v>45828</v>
      </c>
      <c r="T4136" s="57">
        <f>IFERROR(__xludf.DUMMYFUNCTION("""COMPUTED_VALUE"""),45868.0)</f>
        <v>45868</v>
      </c>
    </row>
    <row r="4137">
      <c r="A4137" s="6" t="str">
        <f>IFERROR(__xludf.DUMMYFUNCTION("""COMPUTED_VALUE"""),"121702900-1")</f>
        <v>121702900-1</v>
      </c>
      <c r="B4137" s="6" t="str">
        <f>IFERROR(__xludf.DUMMYFUNCTION("""COMPUTED_VALUE"""),"121702900 - APPROVED")</f>
        <v>121702900 - APPROVED</v>
      </c>
      <c r="C4137" s="6">
        <f>IFERROR(__xludf.DUMMYFUNCTION("""COMPUTED_VALUE"""),1.0)</f>
        <v>1</v>
      </c>
      <c r="D4137" s="6" t="str">
        <f>IFERROR(__xludf.DUMMYFUNCTION("""COMPUTED_VALUE"""),"S-60050-00")</f>
        <v>S-60050-00</v>
      </c>
      <c r="E4137" s="6" t="str">
        <f>IFERROR(__xludf.DUMMYFUNCTION("""COMPUTED_VALUE"""),"Jasa Perbaikan dan Pemeliharaan Mesin Produksi; ; ; - Remote FD Report 1 Juni")</f>
        <v>Jasa Perbaikan dan Pemeliharaan Mesin Produksi; ; ; - Remote FD Report 1 Juni</v>
      </c>
      <c r="F4137" s="6">
        <f>IFERROR(__xludf.DUMMYFUNCTION("""COMPUTED_VALUE"""),1.0)</f>
        <v>1</v>
      </c>
      <c r="G4137" s="6" t="str">
        <f>IFERROR(__xludf.DUMMYFUNCTION("""COMPUTED_VALUE"""),"Pieces")</f>
        <v>Pieces</v>
      </c>
      <c r="H4137" s="6" t="str">
        <f>IFERROR(__xludf.DUMMYFUNCTION("""COMPUTED_VALUE"""),"USD")</f>
        <v>USD</v>
      </c>
      <c r="I4137" s="6">
        <f>IFERROR(__xludf.DUMMYFUNCTION("""COMPUTED_VALUE"""),1.30144E7)</f>
        <v>13014400</v>
      </c>
      <c r="J4137" s="6">
        <f>IFERROR(__xludf.DUMMYFUNCTION("""COMPUTED_VALUE"""),1.30144E7)</f>
        <v>13014400</v>
      </c>
      <c r="K4137" s="57">
        <f>IFERROR(__xludf.DUMMYFUNCTION("""COMPUTED_VALUE"""),45856.0)</f>
        <v>45856</v>
      </c>
      <c r="L4137" s="6" t="str">
        <f>IFERROR(__xludf.DUMMYFUNCTION("""COMPUTED_VALUE"""),"FIP General")</f>
        <v>FIP General</v>
      </c>
      <c r="M4137" s="6" t="str">
        <f>IFERROR(__xludf.DUMMYFUNCTION("""COMPUTED_VALUE"""),"Mochammad Fadhillah Hakim,")</f>
        <v>Mochammad Fadhillah Hakim,</v>
      </c>
      <c r="N4137" s="6" t="str">
        <f>IFERROR(__xludf.DUMMYFUNCTION("""COMPUTED_VALUE"""),"FIP Engineering")</f>
        <v>FIP Engineering</v>
      </c>
      <c r="O4137" s="6" t="str">
        <f>IFERROR(__xludf.DUMMYFUNCTION("""COMPUTED_VALUE"""),"FIP-DOM-ENG-51504-0000000-INA-000000")</f>
        <v>FIP-DOM-ENG-51504-0000000-INA-000000</v>
      </c>
      <c r="P4137" s="6" t="str">
        <f>IFERROR(__xludf.DUMMYFUNCTION("""COMPUTED_VALUE"""),"PO Closed")</f>
        <v>PO Closed</v>
      </c>
      <c r="Q4137" s="6" t="str">
        <f>IFERROR(__xludf.DUMMYFUNCTION("""COMPUTED_VALUE"""),"GL2507025")</f>
        <v>GL2507025</v>
      </c>
      <c r="R4137" s="57">
        <f>IFERROR(__xludf.DUMMYFUNCTION("""COMPUTED_VALUE"""),45826.0)</f>
        <v>45826</v>
      </c>
      <c r="S4137" s="57">
        <f>IFERROR(__xludf.DUMMYFUNCTION("""COMPUTED_VALUE"""),45828.0)</f>
        <v>45828</v>
      </c>
      <c r="T4137" s="57">
        <f>IFERROR(__xludf.DUMMYFUNCTION("""COMPUTED_VALUE"""),45899.0)</f>
        <v>45899</v>
      </c>
    </row>
    <row r="4138">
      <c r="A4138" s="6" t="str">
        <f>IFERROR(__xludf.DUMMYFUNCTION("""COMPUTED_VALUE"""),"121702903-1")</f>
        <v>121702903-1</v>
      </c>
      <c r="B4138" s="6" t="str">
        <f>IFERROR(__xludf.DUMMYFUNCTION("""COMPUTED_VALUE"""),"121702903 - APPROVED")</f>
        <v>121702903 - APPROVED</v>
      </c>
      <c r="C4138" s="6">
        <f>IFERROR(__xludf.DUMMYFUNCTION("""COMPUTED_VALUE"""),1.0)</f>
        <v>1</v>
      </c>
      <c r="D4138" s="6" t="str">
        <f>IFERROR(__xludf.DUMMYFUNCTION("""COMPUTED_VALUE"""),"P-11175-00")</f>
        <v>P-11175-00</v>
      </c>
      <c r="E4138" s="6" t="str">
        <f>IFERROR(__xludf.DUMMYFUNCTION("""COMPUTED_VALUE"""),"Pneumatic  Fitting - QS 10-8 / PN : 153039 / Festo")</f>
        <v>Pneumatic  Fitting - QS 10-8 / PN : 153039 / Festo</v>
      </c>
      <c r="F4138" s="6">
        <f>IFERROR(__xludf.DUMMYFUNCTION("""COMPUTED_VALUE"""),10.0)</f>
        <v>10</v>
      </c>
      <c r="G4138" s="6" t="str">
        <f>IFERROR(__xludf.DUMMYFUNCTION("""COMPUTED_VALUE"""),"Pieces")</f>
        <v>Pieces</v>
      </c>
      <c r="H4138" s="6" t="str">
        <f>IFERROR(__xludf.DUMMYFUNCTION("""COMPUTED_VALUE"""),"IDR")</f>
        <v>IDR</v>
      </c>
      <c r="I4138" s="6">
        <f>IFERROR(__xludf.DUMMYFUNCTION("""COMPUTED_VALUE"""),63220.0)</f>
        <v>63220</v>
      </c>
      <c r="J4138" s="6">
        <f>IFERROR(__xludf.DUMMYFUNCTION("""COMPUTED_VALUE"""),632200.0)</f>
        <v>632200</v>
      </c>
      <c r="K4138" s="57">
        <f>IFERROR(__xludf.DUMMYFUNCTION("""COMPUTED_VALUE"""),45863.0)</f>
        <v>45863</v>
      </c>
      <c r="L4138" s="6" t="str">
        <f>IFERROR(__xludf.DUMMYFUNCTION("""COMPUTED_VALUE"""),"FIP Engineering")</f>
        <v>FIP Engineering</v>
      </c>
      <c r="M4138" s="6" t="str">
        <f>IFERROR(__xludf.DUMMYFUNCTION("""COMPUTED_VALUE"""),"Mochammad Fadhillah Hakim,")</f>
        <v>Mochammad Fadhillah Hakim,</v>
      </c>
      <c r="N4138" s="6" t="str">
        <f>IFERROR(__xludf.DUMMYFUNCTION("""COMPUTED_VALUE"""),"FIP Engineering")</f>
        <v>FIP Engineering</v>
      </c>
      <c r="O4138" s="6" t="str">
        <f>IFERROR(__xludf.DUMMYFUNCTION("""COMPUTED_VALUE"""),"FIP-DOM-000-11304-OS00001-INA-000000")</f>
        <v>FIP-DOM-000-11304-OS00001-INA-000000</v>
      </c>
      <c r="P4138" s="6" t="str">
        <f>IFERROR(__xludf.DUMMYFUNCTION("""COMPUTED_VALUE"""),"PO Closed")</f>
        <v>PO Closed</v>
      </c>
      <c r="Q4138" s="6" t="str">
        <f>IFERROR(__xludf.DUMMYFUNCTION("""COMPUTED_VALUE"""),"GL2507040")</f>
        <v>GL2507040</v>
      </c>
      <c r="R4138" s="57">
        <f>IFERROR(__xludf.DUMMYFUNCTION("""COMPUTED_VALUE"""),45827.0)</f>
        <v>45827</v>
      </c>
      <c r="S4138" s="57">
        <f>IFERROR(__xludf.DUMMYFUNCTION("""COMPUTED_VALUE"""),45828.0)</f>
        <v>45828</v>
      </c>
      <c r="T4138" s="57">
        <f>IFERROR(__xludf.DUMMYFUNCTION("""COMPUTED_VALUE"""),45870.0)</f>
        <v>45870</v>
      </c>
    </row>
    <row r="4139">
      <c r="A4139" s="6" t="str">
        <f>IFERROR(__xludf.DUMMYFUNCTION("""COMPUTED_VALUE"""),"121702904-1")</f>
        <v>121702904-1</v>
      </c>
      <c r="B4139" s="6" t="str">
        <f>IFERROR(__xludf.DUMMYFUNCTION("""COMPUTED_VALUE"""),"121702904 - APPROVED")</f>
        <v>121702904 - APPROVED</v>
      </c>
      <c r="C4139" s="6">
        <f>IFERROR(__xludf.DUMMYFUNCTION("""COMPUTED_VALUE"""),1.0)</f>
        <v>1</v>
      </c>
      <c r="D4139" s="6" t="str">
        <f>IFERROR(__xludf.DUMMYFUNCTION("""COMPUTED_VALUE"""),"S-40586-00")</f>
        <v>S-40586-00</v>
      </c>
      <c r="E4139" s="6" t="str">
        <f>IFERROR(__xludf.DUMMYFUNCTION("""COMPUTED_VALUE"""),"Container Box; Claris; ; - Container/Box Plastik claris 70 liter (77x42x32) Type 1022")</f>
        <v>Container Box; Claris; ; - Container/Box Plastik claris 70 liter (77x42x32) Type 1022</v>
      </c>
      <c r="F4139" s="6">
        <f>IFERROR(__xludf.DUMMYFUNCTION("""COMPUTED_VALUE"""),5.0)</f>
        <v>5</v>
      </c>
      <c r="G4139" s="6" t="str">
        <f>IFERROR(__xludf.DUMMYFUNCTION("""COMPUTED_VALUE"""),"Pieces")</f>
        <v>Pieces</v>
      </c>
      <c r="H4139" s="6" t="str">
        <f>IFERROR(__xludf.DUMMYFUNCTION("""COMPUTED_VALUE"""),"IDR")</f>
        <v>IDR</v>
      </c>
      <c r="I4139" s="6">
        <f>IFERROR(__xludf.DUMMYFUNCTION("""COMPUTED_VALUE"""),275000.0)</f>
        <v>275000</v>
      </c>
      <c r="J4139" s="6">
        <f>IFERROR(__xludf.DUMMYFUNCTION("""COMPUTED_VALUE"""),1375000.0)</f>
        <v>1375000</v>
      </c>
      <c r="K4139" s="57">
        <f>IFERROR(__xludf.DUMMYFUNCTION("""COMPUTED_VALUE"""),45863.0)</f>
        <v>45863</v>
      </c>
      <c r="L4139" s="6" t="str">
        <f>IFERROR(__xludf.DUMMYFUNCTION("""COMPUTED_VALUE"""),"FIP General")</f>
        <v>FIP General</v>
      </c>
      <c r="M4139" s="6" t="str">
        <f>IFERROR(__xludf.DUMMYFUNCTION("""COMPUTED_VALUE"""),"Mochammad Fadhillah Hakim,")</f>
        <v>Mochammad Fadhillah Hakim,</v>
      </c>
      <c r="N4139" s="6" t="str">
        <f>IFERROR(__xludf.DUMMYFUNCTION("""COMPUTED_VALUE"""),"FIP Engineering")</f>
        <v>FIP Engineering</v>
      </c>
      <c r="O4139" s="6" t="str">
        <f>IFERROR(__xludf.DUMMYFUNCTION("""COMPUTED_VALUE"""),"FIP-DOM-ENG-51404-0000000-INA-000000")</f>
        <v>FIP-DOM-ENG-51404-0000000-INA-000000</v>
      </c>
      <c r="P4139" s="6" t="str">
        <f>IFERROR(__xludf.DUMMYFUNCTION("""COMPUTED_VALUE"""),"PO Closed")</f>
        <v>PO Closed</v>
      </c>
      <c r="Q4139" s="6" t="str">
        <f>IFERROR(__xludf.DUMMYFUNCTION("""COMPUTED_VALUE"""),"GL2507036")</f>
        <v>GL2507036</v>
      </c>
      <c r="R4139" s="57">
        <f>IFERROR(__xludf.DUMMYFUNCTION("""COMPUTED_VALUE"""),45827.0)</f>
        <v>45827</v>
      </c>
      <c r="S4139" s="57">
        <f>IFERROR(__xludf.DUMMYFUNCTION("""COMPUTED_VALUE"""),45828.0)</f>
        <v>45828</v>
      </c>
      <c r="T4139" s="57">
        <f>IFERROR(__xludf.DUMMYFUNCTION("""COMPUTED_VALUE"""),45833.0)</f>
        <v>45833</v>
      </c>
    </row>
    <row r="4140">
      <c r="A4140" s="6" t="str">
        <f>IFERROR(__xludf.DUMMYFUNCTION("""COMPUTED_VALUE"""),"121702905-1")</f>
        <v>121702905-1</v>
      </c>
      <c r="B4140" s="6" t="str">
        <f>IFERROR(__xludf.DUMMYFUNCTION("""COMPUTED_VALUE"""),"121702905 - APPROVED")</f>
        <v>121702905 - APPROVED</v>
      </c>
      <c r="C4140" s="6">
        <f>IFERROR(__xludf.DUMMYFUNCTION("""COMPUTED_VALUE"""),1.0)</f>
        <v>1</v>
      </c>
      <c r="D4140" s="6" t="str">
        <f>IFERROR(__xludf.DUMMYFUNCTION("""COMPUTED_VALUE"""),"O-11287-00")</f>
        <v>O-11287-00</v>
      </c>
      <c r="E4140" s="6" t="str">
        <f>IFERROR(__xludf.DUMMYFUNCTION("""COMPUTED_VALUE"""),"F200 - Pall Filter p/n KA3PFRP1")</f>
        <v>F200 - Pall Filter p/n KA3PFRP1</v>
      </c>
      <c r="F4140" s="6">
        <f>IFERROR(__xludf.DUMMYFUNCTION("""COMPUTED_VALUE"""),2.0)</f>
        <v>2</v>
      </c>
      <c r="G4140" s="6" t="str">
        <f>IFERROR(__xludf.DUMMYFUNCTION("""COMPUTED_VALUE"""),"Pieces")</f>
        <v>Pieces</v>
      </c>
      <c r="H4140" s="6" t="str">
        <f>IFERROR(__xludf.DUMMYFUNCTION("""COMPUTED_VALUE"""),"IDR")</f>
        <v>IDR</v>
      </c>
      <c r="I4140" s="6">
        <f>IFERROR(__xludf.DUMMYFUNCTION("""COMPUTED_VALUE"""),3138800.0)</f>
        <v>3138800</v>
      </c>
      <c r="J4140" s="6">
        <f>IFERROR(__xludf.DUMMYFUNCTION("""COMPUTED_VALUE"""),6277600.0)</f>
        <v>6277600</v>
      </c>
      <c r="K4140" s="57">
        <f>IFERROR(__xludf.DUMMYFUNCTION("""COMPUTED_VALUE"""),45863.0)</f>
        <v>45863</v>
      </c>
      <c r="L4140" s="6" t="str">
        <f>IFERROR(__xludf.DUMMYFUNCTION("""COMPUTED_VALUE"""),"FIP Engineering")</f>
        <v>FIP Engineering</v>
      </c>
      <c r="M4140" s="6" t="str">
        <f>IFERROR(__xludf.DUMMYFUNCTION("""COMPUTED_VALUE"""),"Mochammad Fadhillah Hakim,")</f>
        <v>Mochammad Fadhillah Hakim,</v>
      </c>
      <c r="N4140" s="6" t="str">
        <f>IFERROR(__xludf.DUMMYFUNCTION("""COMPUTED_VALUE"""),"FIP Engineering")</f>
        <v>FIP Engineering</v>
      </c>
      <c r="O4140" s="6" t="str">
        <f>IFERROR(__xludf.DUMMYFUNCTION("""COMPUTED_VALUE"""),"FIP-DOM-000-11304-OS00001-INA-000000")</f>
        <v>FIP-DOM-000-11304-OS00001-INA-000000</v>
      </c>
      <c r="P4140" s="6" t="str">
        <f>IFERROR(__xludf.DUMMYFUNCTION("""COMPUTED_VALUE"""),"PO Closed")</f>
        <v>PO Closed</v>
      </c>
      <c r="Q4140" s="6" t="str">
        <f>IFERROR(__xludf.DUMMYFUNCTION("""COMPUTED_VALUE"""),"GL2507413")</f>
        <v>GL2507413</v>
      </c>
      <c r="R4140" s="57">
        <f>IFERROR(__xludf.DUMMYFUNCTION("""COMPUTED_VALUE"""),45827.0)</f>
        <v>45827</v>
      </c>
      <c r="S4140" s="57">
        <f>IFERROR(__xludf.DUMMYFUNCTION("""COMPUTED_VALUE"""),45828.0)</f>
        <v>45828</v>
      </c>
      <c r="T4140" s="57">
        <f>IFERROR(__xludf.DUMMYFUNCTION("""COMPUTED_VALUE"""),45879.0)</f>
        <v>45879</v>
      </c>
    </row>
    <row r="4141">
      <c r="A4141" s="6" t="str">
        <f>IFERROR(__xludf.DUMMYFUNCTION("""COMPUTED_VALUE"""),"121702905-2")</f>
        <v>121702905-2</v>
      </c>
      <c r="B4141" s="6" t="str">
        <f>IFERROR(__xludf.DUMMYFUNCTION("""COMPUTED_VALUE"""),"121702905 - APPROVED")</f>
        <v>121702905 - APPROVED</v>
      </c>
      <c r="C4141" s="6">
        <f>IFERROR(__xludf.DUMMYFUNCTION("""COMPUTED_VALUE"""),2.0)</f>
        <v>2</v>
      </c>
      <c r="D4141" s="6" t="str">
        <f>IFERROR(__xludf.DUMMYFUNCTION("""COMPUTED_VALUE"""),"O-12868-00")</f>
        <v>O-12868-00</v>
      </c>
      <c r="E4141" s="6" t="str">
        <f>IFERROR(__xludf.DUMMYFUNCTION("""COMPUTED_VALUE"""),"Emflon PFR Membrane Filter Cartridges 0.2 um PALL P/N : AB05 PFR2 PVH4 pc")</f>
        <v>Emflon PFR Membrane Filter Cartridges 0.2 um PALL P/N : AB05 PFR2 PVH4 pc</v>
      </c>
      <c r="F4141" s="6">
        <f>IFERROR(__xludf.DUMMYFUNCTION("""COMPUTED_VALUE"""),2.0)</f>
        <v>2</v>
      </c>
      <c r="G4141" s="6" t="str">
        <f>IFERROR(__xludf.DUMMYFUNCTION("""COMPUTED_VALUE"""),"Pieces")</f>
        <v>Pieces</v>
      </c>
      <c r="H4141" s="6" t="str">
        <f>IFERROR(__xludf.DUMMYFUNCTION("""COMPUTED_VALUE"""),"IDR")</f>
        <v>IDR</v>
      </c>
      <c r="I4141" s="6">
        <f>IFERROR(__xludf.DUMMYFUNCTION("""COMPUTED_VALUE"""),5100000.0)</f>
        <v>5100000</v>
      </c>
      <c r="J4141" s="6">
        <f>IFERROR(__xludf.DUMMYFUNCTION("""COMPUTED_VALUE"""),1.02E7)</f>
        <v>10200000</v>
      </c>
      <c r="K4141" s="57">
        <f>IFERROR(__xludf.DUMMYFUNCTION("""COMPUTED_VALUE"""),45863.0)</f>
        <v>45863</v>
      </c>
      <c r="L4141" s="6" t="str">
        <f>IFERROR(__xludf.DUMMYFUNCTION("""COMPUTED_VALUE"""),"FIP Engineering")</f>
        <v>FIP Engineering</v>
      </c>
      <c r="M4141" s="6" t="str">
        <f>IFERROR(__xludf.DUMMYFUNCTION("""COMPUTED_VALUE"""),"Mochammad Fadhillah Hakim,")</f>
        <v>Mochammad Fadhillah Hakim,</v>
      </c>
      <c r="N4141" s="6" t="str">
        <f>IFERROR(__xludf.DUMMYFUNCTION("""COMPUTED_VALUE"""),"FIP Engineering")</f>
        <v>FIP Engineering</v>
      </c>
      <c r="O4141" s="6" t="str">
        <f>IFERROR(__xludf.DUMMYFUNCTION("""COMPUTED_VALUE"""),"FIP-DOM-000-11304-OS00001-INA-000000")</f>
        <v>FIP-DOM-000-11304-OS00001-INA-000000</v>
      </c>
      <c r="P4141" s="6" t="str">
        <f>IFERROR(__xludf.DUMMYFUNCTION("""COMPUTED_VALUE"""),"PO Closed")</f>
        <v>PO Closed</v>
      </c>
      <c r="Q4141" s="6" t="str">
        <f>IFERROR(__xludf.DUMMYFUNCTION("""COMPUTED_VALUE"""),"GL2507413")</f>
        <v>GL2507413</v>
      </c>
      <c r="R4141" s="57">
        <f>IFERROR(__xludf.DUMMYFUNCTION("""COMPUTED_VALUE"""),45827.0)</f>
        <v>45827</v>
      </c>
      <c r="S4141" s="57">
        <f>IFERROR(__xludf.DUMMYFUNCTION("""COMPUTED_VALUE"""),45828.0)</f>
        <v>45828</v>
      </c>
      <c r="T4141" s="57">
        <f>IFERROR(__xludf.DUMMYFUNCTION("""COMPUTED_VALUE"""),45879.0)</f>
        <v>45879</v>
      </c>
    </row>
    <row r="4142">
      <c r="A4142" s="6" t="str">
        <f>IFERROR(__xludf.DUMMYFUNCTION("""COMPUTED_VALUE"""),"121702905-3")</f>
        <v>121702905-3</v>
      </c>
      <c r="B4142" s="6" t="str">
        <f>IFERROR(__xludf.DUMMYFUNCTION("""COMPUTED_VALUE"""),"121702905 - APPROVED")</f>
        <v>121702905 - APPROVED</v>
      </c>
      <c r="C4142" s="6">
        <f>IFERROR(__xludf.DUMMYFUNCTION("""COMPUTED_VALUE"""),3.0)</f>
        <v>3</v>
      </c>
      <c r="D4142" s="6" t="str">
        <f>IFERROR(__xludf.DUMMYFUNCTION("""COMPUTED_VALUE"""),"O-12868-00")</f>
        <v>O-12868-00</v>
      </c>
      <c r="E4142" s="6" t="str">
        <f>IFERROR(__xludf.DUMMYFUNCTION("""COMPUTED_VALUE"""),"Emflon PFR Membrane Filter Cartridges 0.2 um PALL P/N : AB05 PFR2 PVH4 pc")</f>
        <v>Emflon PFR Membrane Filter Cartridges 0.2 um PALL P/N : AB05 PFR2 PVH4 pc</v>
      </c>
      <c r="F4142" s="6">
        <f>IFERROR(__xludf.DUMMYFUNCTION("""COMPUTED_VALUE"""),2.0)</f>
        <v>2</v>
      </c>
      <c r="G4142" s="6" t="str">
        <f>IFERROR(__xludf.DUMMYFUNCTION("""COMPUTED_VALUE"""),"Pieces")</f>
        <v>Pieces</v>
      </c>
      <c r="H4142" s="6" t="str">
        <f>IFERROR(__xludf.DUMMYFUNCTION("""COMPUTED_VALUE"""),"IDR")</f>
        <v>IDR</v>
      </c>
      <c r="I4142" s="6">
        <f>IFERROR(__xludf.DUMMYFUNCTION("""COMPUTED_VALUE"""),5150000.0)</f>
        <v>5150000</v>
      </c>
      <c r="J4142" s="6">
        <f>IFERROR(__xludf.DUMMYFUNCTION("""COMPUTED_VALUE"""),1.03E7)</f>
        <v>10300000</v>
      </c>
      <c r="K4142" s="57">
        <f>IFERROR(__xludf.DUMMYFUNCTION("""COMPUTED_VALUE"""),45863.0)</f>
        <v>45863</v>
      </c>
      <c r="L4142" s="6" t="str">
        <f>IFERROR(__xludf.DUMMYFUNCTION("""COMPUTED_VALUE"""),"FIP Engineering")</f>
        <v>FIP Engineering</v>
      </c>
      <c r="M4142" s="6" t="str">
        <f>IFERROR(__xludf.DUMMYFUNCTION("""COMPUTED_VALUE"""),"Mochammad Fadhillah Hakim,")</f>
        <v>Mochammad Fadhillah Hakim,</v>
      </c>
      <c r="N4142" s="6" t="str">
        <f>IFERROR(__xludf.DUMMYFUNCTION("""COMPUTED_VALUE"""),"FIP Engineering")</f>
        <v>FIP Engineering</v>
      </c>
      <c r="O4142" s="6" t="str">
        <f>IFERROR(__xludf.DUMMYFUNCTION("""COMPUTED_VALUE"""),"FIP-DOM-000-11304-OS00001-INA-000000")</f>
        <v>FIP-DOM-000-11304-OS00001-INA-000000</v>
      </c>
      <c r="P4142" s="6" t="str">
        <f>IFERROR(__xludf.DUMMYFUNCTION("""COMPUTED_VALUE"""),"PO Closed")</f>
        <v>PO Closed</v>
      </c>
      <c r="Q4142" s="6" t="str">
        <f>IFERROR(__xludf.DUMMYFUNCTION("""COMPUTED_VALUE"""),"GL2507413")</f>
        <v>GL2507413</v>
      </c>
      <c r="R4142" s="57">
        <f>IFERROR(__xludf.DUMMYFUNCTION("""COMPUTED_VALUE"""),45827.0)</f>
        <v>45827</v>
      </c>
      <c r="S4142" s="57">
        <f>IFERROR(__xludf.DUMMYFUNCTION("""COMPUTED_VALUE"""),45828.0)</f>
        <v>45828</v>
      </c>
      <c r="T4142" s="57">
        <f>IFERROR(__xludf.DUMMYFUNCTION("""COMPUTED_VALUE"""),45879.0)</f>
        <v>45879</v>
      </c>
    </row>
    <row r="4143">
      <c r="A4143" s="6" t="str">
        <f>IFERROR(__xludf.DUMMYFUNCTION("""COMPUTED_VALUE"""),"121702905-4")</f>
        <v>121702905-4</v>
      </c>
      <c r="B4143" s="6" t="str">
        <f>IFERROR(__xludf.DUMMYFUNCTION("""COMPUTED_VALUE"""),"121702905 - APPROVED")</f>
        <v>121702905 - APPROVED</v>
      </c>
      <c r="C4143" s="6">
        <f>IFERROR(__xludf.DUMMYFUNCTION("""COMPUTED_VALUE"""),4.0)</f>
        <v>4</v>
      </c>
      <c r="D4143" s="6" t="str">
        <f>IFERROR(__xludf.DUMMYFUNCTION("""COMPUTED_VALUE"""),"P-17390-00")</f>
        <v>P-17390-00</v>
      </c>
      <c r="E4143" s="6" t="str">
        <f>IFERROR(__xludf.DUMMYFUNCTION("""COMPUTED_VALUE"""),"PALL - AB1PFR7PVH4, 0.2 um; ; ;")</f>
        <v>PALL - AB1PFR7PVH4, 0.2 um; ; ;</v>
      </c>
      <c r="F4143" s="6">
        <f>IFERROR(__xludf.DUMMYFUNCTION("""COMPUTED_VALUE"""),2.0)</f>
        <v>2</v>
      </c>
      <c r="G4143" s="6" t="str">
        <f>IFERROR(__xludf.DUMMYFUNCTION("""COMPUTED_VALUE"""),"Pieces")</f>
        <v>Pieces</v>
      </c>
      <c r="H4143" s="6" t="str">
        <f>IFERROR(__xludf.DUMMYFUNCTION("""COMPUTED_VALUE"""),"IDR")</f>
        <v>IDR</v>
      </c>
      <c r="I4143" s="6">
        <f>IFERROR(__xludf.DUMMYFUNCTION("""COMPUTED_VALUE"""),6264000.0)</f>
        <v>6264000</v>
      </c>
      <c r="J4143" s="6">
        <f>IFERROR(__xludf.DUMMYFUNCTION("""COMPUTED_VALUE"""),1.2528E7)</f>
        <v>12528000</v>
      </c>
      <c r="K4143" s="57">
        <f>IFERROR(__xludf.DUMMYFUNCTION("""COMPUTED_VALUE"""),45863.0)</f>
        <v>45863</v>
      </c>
      <c r="L4143" s="6" t="str">
        <f>IFERROR(__xludf.DUMMYFUNCTION("""COMPUTED_VALUE"""),"FIP Engineering")</f>
        <v>FIP Engineering</v>
      </c>
      <c r="M4143" s="6" t="str">
        <f>IFERROR(__xludf.DUMMYFUNCTION("""COMPUTED_VALUE"""),"Mochammad Fadhillah Hakim,")</f>
        <v>Mochammad Fadhillah Hakim,</v>
      </c>
      <c r="N4143" s="6" t="str">
        <f>IFERROR(__xludf.DUMMYFUNCTION("""COMPUTED_VALUE"""),"FIP Engineering")</f>
        <v>FIP Engineering</v>
      </c>
      <c r="O4143" s="6" t="str">
        <f>IFERROR(__xludf.DUMMYFUNCTION("""COMPUTED_VALUE"""),"FIP-DOM-000-11304-OS00001-INA-000000")</f>
        <v>FIP-DOM-000-11304-OS00001-INA-000000</v>
      </c>
      <c r="P4143" s="6" t="str">
        <f>IFERROR(__xludf.DUMMYFUNCTION("""COMPUTED_VALUE"""),"PO Closed")</f>
        <v>PO Closed</v>
      </c>
      <c r="Q4143" s="6" t="str">
        <f>IFERROR(__xludf.DUMMYFUNCTION("""COMPUTED_VALUE"""),"GL2507018")</f>
        <v>GL2507018</v>
      </c>
      <c r="R4143" s="57">
        <f>IFERROR(__xludf.DUMMYFUNCTION("""COMPUTED_VALUE"""),45827.0)</f>
        <v>45827</v>
      </c>
      <c r="S4143" s="57">
        <f>IFERROR(__xludf.DUMMYFUNCTION("""COMPUTED_VALUE"""),45828.0)</f>
        <v>45828</v>
      </c>
      <c r="T4143" s="57">
        <f>IFERROR(__xludf.DUMMYFUNCTION("""COMPUTED_VALUE"""),45868.0)</f>
        <v>45868</v>
      </c>
    </row>
    <row r="4144">
      <c r="A4144" s="6" t="str">
        <f>IFERROR(__xludf.DUMMYFUNCTION("""COMPUTED_VALUE"""),"121702906-1")</f>
        <v>121702906-1</v>
      </c>
      <c r="B4144" s="6" t="str">
        <f>IFERROR(__xludf.DUMMYFUNCTION("""COMPUTED_VALUE"""),"121702906 - APPROVED")</f>
        <v>121702906 - APPROVED</v>
      </c>
      <c r="C4144" s="6">
        <f>IFERROR(__xludf.DUMMYFUNCTION("""COMPUTED_VALUE"""),1.0)</f>
        <v>1</v>
      </c>
      <c r="D4144" s="6" t="str">
        <f>IFERROR(__xludf.DUMMYFUNCTION("""COMPUTED_VALUE"""),"P-19434-00")</f>
        <v>P-19434-00</v>
      </c>
      <c r="E4144" s="6" t="str">
        <f>IFERROR(__xludf.DUMMYFUNCTION("""COMPUTED_VALUE"""),"General - Chemical Cleaning; Kuclean; AC 101; 1 PL = 25 Kg")</f>
        <v>General - Chemical Cleaning; Kuclean; AC 101; 1 PL = 25 Kg</v>
      </c>
      <c r="F4144" s="6">
        <f>IFERROR(__xludf.DUMMYFUNCTION("""COMPUTED_VALUE"""),1.0)</f>
        <v>1</v>
      </c>
      <c r="G4144" s="6" t="str">
        <f>IFERROR(__xludf.DUMMYFUNCTION("""COMPUTED_VALUE"""),"Pail")</f>
        <v>Pail</v>
      </c>
      <c r="H4144" s="6" t="str">
        <f>IFERROR(__xludf.DUMMYFUNCTION("""COMPUTED_VALUE"""),"IDR")</f>
        <v>IDR</v>
      </c>
      <c r="I4144" s="6">
        <f>IFERROR(__xludf.DUMMYFUNCTION("""COMPUTED_VALUE"""),875000.0)</f>
        <v>875000</v>
      </c>
      <c r="J4144" s="6">
        <f>IFERROR(__xludf.DUMMYFUNCTION("""COMPUTED_VALUE"""),875000.0)</f>
        <v>875000</v>
      </c>
      <c r="K4144" s="57">
        <f>IFERROR(__xludf.DUMMYFUNCTION("""COMPUTED_VALUE"""),45863.0)</f>
        <v>45863</v>
      </c>
      <c r="L4144" s="6" t="str">
        <f>IFERROR(__xludf.DUMMYFUNCTION("""COMPUTED_VALUE"""),"FIP Engineering")</f>
        <v>FIP Engineering</v>
      </c>
      <c r="M4144" s="6" t="str">
        <f>IFERROR(__xludf.DUMMYFUNCTION("""COMPUTED_VALUE"""),"Mochammad Fadhillah Hakim,")</f>
        <v>Mochammad Fadhillah Hakim,</v>
      </c>
      <c r="N4144" s="6" t="str">
        <f>IFERROR(__xludf.DUMMYFUNCTION("""COMPUTED_VALUE"""),"FIP Engineering")</f>
        <v>FIP Engineering</v>
      </c>
      <c r="O4144" s="6" t="str">
        <f>IFERROR(__xludf.DUMMYFUNCTION("""COMPUTED_VALUE"""),"FIP-DOM-000-11304-OS00001-INA-000000")</f>
        <v>FIP-DOM-000-11304-OS00001-INA-000000</v>
      </c>
      <c r="P4144" s="6" t="str">
        <f>IFERROR(__xludf.DUMMYFUNCTION("""COMPUTED_VALUE"""),"PO Closed")</f>
        <v>PO Closed</v>
      </c>
      <c r="Q4144" s="6" t="str">
        <f>IFERROR(__xludf.DUMMYFUNCTION("""COMPUTED_VALUE"""),"GL2507019")</f>
        <v>GL2507019</v>
      </c>
      <c r="R4144" s="57">
        <f>IFERROR(__xludf.DUMMYFUNCTION("""COMPUTED_VALUE"""),45827.0)</f>
        <v>45827</v>
      </c>
      <c r="S4144" s="57">
        <f>IFERROR(__xludf.DUMMYFUNCTION("""COMPUTED_VALUE"""),45828.0)</f>
        <v>45828</v>
      </c>
      <c r="T4144" s="57">
        <f>IFERROR(__xludf.DUMMYFUNCTION("""COMPUTED_VALUE"""),45868.0)</f>
        <v>45868</v>
      </c>
    </row>
    <row r="4145">
      <c r="A4145" s="6" t="str">
        <f>IFERROR(__xludf.DUMMYFUNCTION("""COMPUTED_VALUE"""),"121702907-1")</f>
        <v>121702907-1</v>
      </c>
      <c r="B4145" s="6" t="str">
        <f>IFERROR(__xludf.DUMMYFUNCTION("""COMPUTED_VALUE"""),"121702907 - APPROVED")</f>
        <v>121702907 - APPROVED</v>
      </c>
      <c r="C4145" s="6">
        <f>IFERROR(__xludf.DUMMYFUNCTION("""COMPUTED_VALUE"""),1.0)</f>
        <v>1</v>
      </c>
      <c r="D4145" s="6" t="str">
        <f>IFERROR(__xludf.DUMMYFUNCTION("""COMPUTED_VALUE"""),"P-19877-00")</f>
        <v>P-19877-00</v>
      </c>
      <c r="E4145" s="6" t="str">
        <f>IFERROR(__xludf.DUMMYFUNCTION("""COMPUTED_VALUE"""),"General - Flexible Ducting Pipa Alumunium 4inch; No Brand; -; 1 pc")</f>
        <v>General - Flexible Ducting Pipa Alumunium 4inch; No Brand; -; 1 pc</v>
      </c>
      <c r="F4145" s="6">
        <f>IFERROR(__xludf.DUMMYFUNCTION("""COMPUTED_VALUE"""),3.0)</f>
        <v>3</v>
      </c>
      <c r="G4145" s="6" t="str">
        <f>IFERROR(__xludf.DUMMYFUNCTION("""COMPUTED_VALUE"""),"Pieces")</f>
        <v>Pieces</v>
      </c>
      <c r="H4145" s="6" t="str">
        <f>IFERROR(__xludf.DUMMYFUNCTION("""COMPUTED_VALUE"""),"IDR")</f>
        <v>IDR</v>
      </c>
      <c r="I4145" s="6">
        <f>IFERROR(__xludf.DUMMYFUNCTION("""COMPUTED_VALUE"""),24000.0)</f>
        <v>24000</v>
      </c>
      <c r="J4145" s="6">
        <f>IFERROR(__xludf.DUMMYFUNCTION("""COMPUTED_VALUE"""),72000.0)</f>
        <v>72000</v>
      </c>
      <c r="K4145" s="57">
        <f>IFERROR(__xludf.DUMMYFUNCTION("""COMPUTED_VALUE"""),45863.0)</f>
        <v>45863</v>
      </c>
      <c r="L4145" s="6" t="str">
        <f>IFERROR(__xludf.DUMMYFUNCTION("""COMPUTED_VALUE"""),"FIP Engineering")</f>
        <v>FIP Engineering</v>
      </c>
      <c r="M4145" s="6" t="str">
        <f>IFERROR(__xludf.DUMMYFUNCTION("""COMPUTED_VALUE"""),"Mochammad Fadhillah Hakim,")</f>
        <v>Mochammad Fadhillah Hakim,</v>
      </c>
      <c r="N4145" s="6" t="str">
        <f>IFERROR(__xludf.DUMMYFUNCTION("""COMPUTED_VALUE"""),"FIP Engineering")</f>
        <v>FIP Engineering</v>
      </c>
      <c r="O4145" s="6" t="str">
        <f>IFERROR(__xludf.DUMMYFUNCTION("""COMPUTED_VALUE"""),"FIP-DOM-000-11304-OS00001-INA-000000")</f>
        <v>FIP-DOM-000-11304-OS00001-INA-000000</v>
      </c>
      <c r="P4145" s="6" t="str">
        <f>IFERROR(__xludf.DUMMYFUNCTION("""COMPUTED_VALUE"""),"PO Closed")</f>
        <v>PO Closed</v>
      </c>
      <c r="Q4145" s="6" t="str">
        <f>IFERROR(__xludf.DUMMYFUNCTION("""COMPUTED_VALUE"""),"GL2507407")</f>
        <v>GL2507407</v>
      </c>
      <c r="R4145" s="57">
        <f>IFERROR(__xludf.DUMMYFUNCTION("""COMPUTED_VALUE"""),45827.0)</f>
        <v>45827</v>
      </c>
      <c r="S4145" s="57">
        <f>IFERROR(__xludf.DUMMYFUNCTION("""COMPUTED_VALUE"""),45828.0)</f>
        <v>45828</v>
      </c>
      <c r="T4145" s="57">
        <f>IFERROR(__xludf.DUMMYFUNCTION("""COMPUTED_VALUE"""),45955.0)</f>
        <v>45955</v>
      </c>
    </row>
    <row r="4146">
      <c r="A4146" s="6" t="str">
        <f>IFERROR(__xludf.DUMMYFUNCTION("""COMPUTED_VALUE"""),"121702907-2")</f>
        <v>121702907-2</v>
      </c>
      <c r="B4146" s="6" t="str">
        <f>IFERROR(__xludf.DUMMYFUNCTION("""COMPUTED_VALUE"""),"121702907 - APPROVED")</f>
        <v>121702907 - APPROVED</v>
      </c>
      <c r="C4146" s="6">
        <f>IFERROR(__xludf.DUMMYFUNCTION("""COMPUTED_VALUE"""),2.0)</f>
        <v>2</v>
      </c>
      <c r="D4146" s="6" t="str">
        <f>IFERROR(__xludf.DUMMYFUNCTION("""COMPUTED_VALUE"""),"P-10958-00")</f>
        <v>P-10958-00</v>
      </c>
      <c r="E4146" s="6" t="str">
        <f>IFERROR(__xludf.DUMMYFUNCTION("""COMPUTED_VALUE"""),"General - Kawat Las Tembaga Dia  = 3,2  X 450 mm; Harris; -; 1 Pc")</f>
        <v>General - Kawat Las Tembaga Dia  = 3,2  X 450 mm; Harris; -; 1 Pc</v>
      </c>
      <c r="F4146" s="6">
        <f>IFERROR(__xludf.DUMMYFUNCTION("""COMPUTED_VALUE"""),50.0)</f>
        <v>50</v>
      </c>
      <c r="G4146" s="6" t="str">
        <f>IFERROR(__xludf.DUMMYFUNCTION("""COMPUTED_VALUE"""),"Pieces")</f>
        <v>Pieces</v>
      </c>
      <c r="H4146" s="6" t="str">
        <f>IFERROR(__xludf.DUMMYFUNCTION("""COMPUTED_VALUE"""),"IDR")</f>
        <v>IDR</v>
      </c>
      <c r="I4146" s="6">
        <f>IFERROR(__xludf.DUMMYFUNCTION("""COMPUTED_VALUE"""),4750.0)</f>
        <v>4750</v>
      </c>
      <c r="J4146" s="6">
        <f>IFERROR(__xludf.DUMMYFUNCTION("""COMPUTED_VALUE"""),237500.0)</f>
        <v>237500</v>
      </c>
      <c r="K4146" s="57">
        <f>IFERROR(__xludf.DUMMYFUNCTION("""COMPUTED_VALUE"""),45863.0)</f>
        <v>45863</v>
      </c>
      <c r="L4146" s="6" t="str">
        <f>IFERROR(__xludf.DUMMYFUNCTION("""COMPUTED_VALUE"""),"FIP Engineering")</f>
        <v>FIP Engineering</v>
      </c>
      <c r="M4146" s="6" t="str">
        <f>IFERROR(__xludf.DUMMYFUNCTION("""COMPUTED_VALUE"""),"Mochammad Fadhillah Hakim,")</f>
        <v>Mochammad Fadhillah Hakim,</v>
      </c>
      <c r="N4146" s="6" t="str">
        <f>IFERROR(__xludf.DUMMYFUNCTION("""COMPUTED_VALUE"""),"FIP Engineering")</f>
        <v>FIP Engineering</v>
      </c>
      <c r="O4146" s="6" t="str">
        <f>IFERROR(__xludf.DUMMYFUNCTION("""COMPUTED_VALUE"""),"FIP-DOM-000-11304-OS00001-INA-000000")</f>
        <v>FIP-DOM-000-11304-OS00001-INA-000000</v>
      </c>
      <c r="P4146" s="6" t="str">
        <f>IFERROR(__xludf.DUMMYFUNCTION("""COMPUTED_VALUE"""),"PO Closed")</f>
        <v>PO Closed</v>
      </c>
      <c r="Q4146" s="6" t="str">
        <f>IFERROR(__xludf.DUMMYFUNCTION("""COMPUTED_VALUE"""),"GL2507408")</f>
        <v>GL2507408</v>
      </c>
      <c r="R4146" s="57">
        <f>IFERROR(__xludf.DUMMYFUNCTION("""COMPUTED_VALUE"""),45827.0)</f>
        <v>45827</v>
      </c>
      <c r="S4146" s="57">
        <f>IFERROR(__xludf.DUMMYFUNCTION("""COMPUTED_VALUE"""),45828.0)</f>
        <v>45828</v>
      </c>
      <c r="T4146" s="57">
        <f>IFERROR(__xludf.DUMMYFUNCTION("""COMPUTED_VALUE"""),45868.0)</f>
        <v>45868</v>
      </c>
    </row>
    <row r="4147">
      <c r="A4147" s="6" t="str">
        <f>IFERROR(__xludf.DUMMYFUNCTION("""COMPUTED_VALUE"""),"121702908-1")</f>
        <v>121702908-1</v>
      </c>
      <c r="B4147" s="6" t="str">
        <f>IFERROR(__xludf.DUMMYFUNCTION("""COMPUTED_VALUE"""),"121702908 - APPROVED")</f>
        <v>121702908 - APPROVED</v>
      </c>
      <c r="C4147" s="6">
        <f>IFERROR(__xludf.DUMMYFUNCTION("""COMPUTED_VALUE"""),1.0)</f>
        <v>1</v>
      </c>
      <c r="D4147" s="6" t="str">
        <f>IFERROR(__xludf.DUMMYFUNCTION("""COMPUTED_VALUE"""),"P-10860-00")</f>
        <v>P-10860-00</v>
      </c>
      <c r="E4147" s="6" t="str">
        <f>IFERROR(__xludf.DUMMYFUNCTION("""COMPUTED_VALUE"""),"Fitting PVC - Elbow PVC 1""")</f>
        <v>Fitting PVC - Elbow PVC 1"</v>
      </c>
      <c r="F4147" s="6">
        <f>IFERROR(__xludf.DUMMYFUNCTION("""COMPUTED_VALUE"""),17.0)</f>
        <v>17</v>
      </c>
      <c r="G4147" s="6" t="str">
        <f>IFERROR(__xludf.DUMMYFUNCTION("""COMPUTED_VALUE"""),"Pieces")</f>
        <v>Pieces</v>
      </c>
      <c r="H4147" s="6" t="str">
        <f>IFERROR(__xludf.DUMMYFUNCTION("""COMPUTED_VALUE"""),"IDR")</f>
        <v>IDR</v>
      </c>
      <c r="I4147" s="6">
        <f>IFERROR(__xludf.DUMMYFUNCTION("""COMPUTED_VALUE"""),3500.0)</f>
        <v>3500</v>
      </c>
      <c r="J4147" s="6">
        <f>IFERROR(__xludf.DUMMYFUNCTION("""COMPUTED_VALUE"""),59500.0)</f>
        <v>59500</v>
      </c>
      <c r="K4147" s="57">
        <f>IFERROR(__xludf.DUMMYFUNCTION("""COMPUTED_VALUE"""),45863.0)</f>
        <v>45863</v>
      </c>
      <c r="L4147" s="6" t="str">
        <f>IFERROR(__xludf.DUMMYFUNCTION("""COMPUTED_VALUE"""),"FIP Engineering")</f>
        <v>FIP Engineering</v>
      </c>
      <c r="M4147" s="6" t="str">
        <f>IFERROR(__xludf.DUMMYFUNCTION("""COMPUTED_VALUE"""),"Mochammad Fadhillah Hakim,")</f>
        <v>Mochammad Fadhillah Hakim,</v>
      </c>
      <c r="N4147" s="6" t="str">
        <f>IFERROR(__xludf.DUMMYFUNCTION("""COMPUTED_VALUE"""),"FIP Engineering")</f>
        <v>FIP Engineering</v>
      </c>
      <c r="O4147" s="6" t="str">
        <f>IFERROR(__xludf.DUMMYFUNCTION("""COMPUTED_VALUE"""),"FIP-DOM-000-11304-OS00001-INA-000000")</f>
        <v>FIP-DOM-000-11304-OS00001-INA-000000</v>
      </c>
      <c r="P4147" s="6" t="str">
        <f>IFERROR(__xludf.DUMMYFUNCTION("""COMPUTED_VALUE"""),"PO Closed")</f>
        <v>PO Closed</v>
      </c>
      <c r="Q4147" s="6" t="str">
        <f>IFERROR(__xludf.DUMMYFUNCTION("""COMPUTED_VALUE"""),"GL2506402")</f>
        <v>GL2506402</v>
      </c>
      <c r="R4147" s="57">
        <f>IFERROR(__xludf.DUMMYFUNCTION("""COMPUTED_VALUE"""),45827.0)</f>
        <v>45827</v>
      </c>
      <c r="S4147" s="57">
        <f>IFERROR(__xludf.DUMMYFUNCTION("""COMPUTED_VALUE"""),45828.0)</f>
        <v>45828</v>
      </c>
      <c r="T4147" s="57">
        <f>IFERROR(__xludf.DUMMYFUNCTION("""COMPUTED_VALUE"""),45856.0)</f>
        <v>45856</v>
      </c>
    </row>
    <row r="4148">
      <c r="A4148" s="6" t="str">
        <f>IFERROR(__xludf.DUMMYFUNCTION("""COMPUTED_VALUE"""),"121702908-2")</f>
        <v>121702908-2</v>
      </c>
      <c r="B4148" s="6" t="str">
        <f>IFERROR(__xludf.DUMMYFUNCTION("""COMPUTED_VALUE"""),"121702908 - APPROVED")</f>
        <v>121702908 - APPROVED</v>
      </c>
      <c r="C4148" s="6">
        <f>IFERROR(__xludf.DUMMYFUNCTION("""COMPUTED_VALUE"""),2.0)</f>
        <v>2</v>
      </c>
      <c r="D4148" s="6" t="str">
        <f>IFERROR(__xludf.DUMMYFUNCTION("""COMPUTED_VALUE"""),"P-12748-00")</f>
        <v>P-12748-00</v>
      </c>
      <c r="E4148" s="6" t="str">
        <f>IFERROR(__xludf.DUMMYFUNCTION("""COMPUTED_VALUE"""),"General - Pipa PVC AW dia. 1 1/4inch, Warna Abu-Abu; Rucika; -; 1 pcs")</f>
        <v>General - Pipa PVC AW dia. 1 1/4inch, Warna Abu-Abu; Rucika; -; 1 pcs</v>
      </c>
      <c r="F4148" s="6">
        <f>IFERROR(__xludf.DUMMYFUNCTION("""COMPUTED_VALUE"""),10.0)</f>
        <v>10</v>
      </c>
      <c r="G4148" s="6" t="str">
        <f>IFERROR(__xludf.DUMMYFUNCTION("""COMPUTED_VALUE"""),"Pieces")</f>
        <v>Pieces</v>
      </c>
      <c r="H4148" s="6" t="str">
        <f>IFERROR(__xludf.DUMMYFUNCTION("""COMPUTED_VALUE"""),"IDR")</f>
        <v>IDR</v>
      </c>
      <c r="I4148" s="6">
        <f>IFERROR(__xludf.DUMMYFUNCTION("""COMPUTED_VALUE"""),108000.0)</f>
        <v>108000</v>
      </c>
      <c r="J4148" s="6">
        <f>IFERROR(__xludf.DUMMYFUNCTION("""COMPUTED_VALUE"""),1080000.0)</f>
        <v>1080000</v>
      </c>
      <c r="K4148" s="57">
        <f>IFERROR(__xludf.DUMMYFUNCTION("""COMPUTED_VALUE"""),45863.0)</f>
        <v>45863</v>
      </c>
      <c r="L4148" s="6" t="str">
        <f>IFERROR(__xludf.DUMMYFUNCTION("""COMPUTED_VALUE"""),"FIP Engineering")</f>
        <v>FIP Engineering</v>
      </c>
      <c r="M4148" s="6" t="str">
        <f>IFERROR(__xludf.DUMMYFUNCTION("""COMPUTED_VALUE"""),"Mochammad Fadhillah Hakim,")</f>
        <v>Mochammad Fadhillah Hakim,</v>
      </c>
      <c r="N4148" s="6" t="str">
        <f>IFERROR(__xludf.DUMMYFUNCTION("""COMPUTED_VALUE"""),"FIP Engineering")</f>
        <v>FIP Engineering</v>
      </c>
      <c r="O4148" s="6" t="str">
        <f>IFERROR(__xludf.DUMMYFUNCTION("""COMPUTED_VALUE"""),"FIP-DOM-000-11304-OS00001-INA-000000")</f>
        <v>FIP-DOM-000-11304-OS00001-INA-000000</v>
      </c>
      <c r="P4148" s="6" t="str">
        <f>IFERROR(__xludf.DUMMYFUNCTION("""COMPUTED_VALUE"""),"PO Closed")</f>
        <v>PO Closed</v>
      </c>
      <c r="Q4148" s="6" t="str">
        <f>IFERROR(__xludf.DUMMYFUNCTION("""COMPUTED_VALUE"""),"GL2506402")</f>
        <v>GL2506402</v>
      </c>
      <c r="R4148" s="57">
        <f>IFERROR(__xludf.DUMMYFUNCTION("""COMPUTED_VALUE"""),45827.0)</f>
        <v>45827</v>
      </c>
      <c r="S4148" s="57">
        <f>IFERROR(__xludf.DUMMYFUNCTION("""COMPUTED_VALUE"""),45828.0)</f>
        <v>45828</v>
      </c>
      <c r="T4148" s="57">
        <f>IFERROR(__xludf.DUMMYFUNCTION("""COMPUTED_VALUE"""),45856.0)</f>
        <v>45856</v>
      </c>
    </row>
    <row r="4149">
      <c r="A4149" s="6" t="str">
        <f>IFERROR(__xludf.DUMMYFUNCTION("""COMPUTED_VALUE"""),"121702908-3")</f>
        <v>121702908-3</v>
      </c>
      <c r="B4149" s="6" t="str">
        <f>IFERROR(__xludf.DUMMYFUNCTION("""COMPUTED_VALUE"""),"121702908 - APPROVED")</f>
        <v>121702908 - APPROVED</v>
      </c>
      <c r="C4149" s="6">
        <f>IFERROR(__xludf.DUMMYFUNCTION("""COMPUTED_VALUE"""),3.0)</f>
        <v>3</v>
      </c>
      <c r="D4149" s="6" t="str">
        <f>IFERROR(__xludf.DUMMYFUNCTION("""COMPUTED_VALUE"""),"P-12749-00")</f>
        <v>P-12749-00</v>
      </c>
      <c r="E4149" s="6" t="str">
        <f>IFERROR(__xludf.DUMMYFUNCTION("""COMPUTED_VALUE"""),"RUCIKA - Pipa PVC AW dia 1 inch Warna Abu-Abu")</f>
        <v>RUCIKA - Pipa PVC AW dia 1 inch Warna Abu-Abu</v>
      </c>
      <c r="F4149" s="6">
        <f>IFERROR(__xludf.DUMMYFUNCTION("""COMPUTED_VALUE"""),6.0)</f>
        <v>6</v>
      </c>
      <c r="G4149" s="6" t="str">
        <f>IFERROR(__xludf.DUMMYFUNCTION("""COMPUTED_VALUE"""),"Pieces")</f>
        <v>Pieces</v>
      </c>
      <c r="H4149" s="6" t="str">
        <f>IFERROR(__xludf.DUMMYFUNCTION("""COMPUTED_VALUE"""),"IDR")</f>
        <v>IDR</v>
      </c>
      <c r="I4149" s="6">
        <f>IFERROR(__xludf.DUMMYFUNCTION("""COMPUTED_VALUE"""),82500.0)</f>
        <v>82500</v>
      </c>
      <c r="J4149" s="6">
        <f>IFERROR(__xludf.DUMMYFUNCTION("""COMPUTED_VALUE"""),495000.0)</f>
        <v>495000</v>
      </c>
      <c r="K4149" s="57">
        <f>IFERROR(__xludf.DUMMYFUNCTION("""COMPUTED_VALUE"""),45863.0)</f>
        <v>45863</v>
      </c>
      <c r="L4149" s="6" t="str">
        <f>IFERROR(__xludf.DUMMYFUNCTION("""COMPUTED_VALUE"""),"FIP Engineering")</f>
        <v>FIP Engineering</v>
      </c>
      <c r="M4149" s="6" t="str">
        <f>IFERROR(__xludf.DUMMYFUNCTION("""COMPUTED_VALUE"""),"Mochammad Fadhillah Hakim,")</f>
        <v>Mochammad Fadhillah Hakim,</v>
      </c>
      <c r="N4149" s="6" t="str">
        <f>IFERROR(__xludf.DUMMYFUNCTION("""COMPUTED_VALUE"""),"FIP Engineering")</f>
        <v>FIP Engineering</v>
      </c>
      <c r="O4149" s="6" t="str">
        <f>IFERROR(__xludf.DUMMYFUNCTION("""COMPUTED_VALUE"""),"FIP-DOM-000-11304-OS00001-INA-000000")</f>
        <v>FIP-DOM-000-11304-OS00001-INA-000000</v>
      </c>
      <c r="P4149" s="6" t="str">
        <f>IFERROR(__xludf.DUMMYFUNCTION("""COMPUTED_VALUE"""),"PO Closed")</f>
        <v>PO Closed</v>
      </c>
      <c r="Q4149" s="6" t="str">
        <f>IFERROR(__xludf.DUMMYFUNCTION("""COMPUTED_VALUE"""),"GL2506402")</f>
        <v>GL2506402</v>
      </c>
      <c r="R4149" s="57">
        <f>IFERROR(__xludf.DUMMYFUNCTION("""COMPUTED_VALUE"""),45827.0)</f>
        <v>45827</v>
      </c>
      <c r="S4149" s="57">
        <f>IFERROR(__xludf.DUMMYFUNCTION("""COMPUTED_VALUE"""),45828.0)</f>
        <v>45828</v>
      </c>
      <c r="T4149" s="57">
        <f>IFERROR(__xludf.DUMMYFUNCTION("""COMPUTED_VALUE"""),45856.0)</f>
        <v>45856</v>
      </c>
    </row>
    <row r="4150">
      <c r="A4150" s="6" t="str">
        <f>IFERROR(__xludf.DUMMYFUNCTION("""COMPUTED_VALUE"""),"121702908-4")</f>
        <v>121702908-4</v>
      </c>
      <c r="B4150" s="6" t="str">
        <f>IFERROR(__xludf.DUMMYFUNCTION("""COMPUTED_VALUE"""),"121702908 - APPROVED")</f>
        <v>121702908 - APPROVED</v>
      </c>
      <c r="C4150" s="6">
        <f>IFERROR(__xludf.DUMMYFUNCTION("""COMPUTED_VALUE"""),4.0)</f>
        <v>4</v>
      </c>
      <c r="D4150" s="6" t="str">
        <f>IFERROR(__xludf.DUMMYFUNCTION("""COMPUTED_VALUE"""),"P-12942-00")</f>
        <v>P-12942-00</v>
      </c>
      <c r="E4150" s="6" t="str">
        <f>IFERROR(__xludf.DUMMYFUNCTION("""COMPUTED_VALUE"""),"Water Mur PVC dia 1inch")</f>
        <v>Water Mur PVC dia 1inch</v>
      </c>
      <c r="F4150" s="6">
        <f>IFERROR(__xludf.DUMMYFUNCTION("""COMPUTED_VALUE"""),6.0)</f>
        <v>6</v>
      </c>
      <c r="G4150" s="6" t="str">
        <f>IFERROR(__xludf.DUMMYFUNCTION("""COMPUTED_VALUE"""),"Pieces")</f>
        <v>Pieces</v>
      </c>
      <c r="H4150" s="6" t="str">
        <f>IFERROR(__xludf.DUMMYFUNCTION("""COMPUTED_VALUE"""),"IDR")</f>
        <v>IDR</v>
      </c>
      <c r="I4150" s="6">
        <f>IFERROR(__xludf.DUMMYFUNCTION("""COMPUTED_VALUE"""),17500.0)</f>
        <v>17500</v>
      </c>
      <c r="J4150" s="6">
        <f>IFERROR(__xludf.DUMMYFUNCTION("""COMPUTED_VALUE"""),105000.0)</f>
        <v>105000</v>
      </c>
      <c r="K4150" s="57">
        <f>IFERROR(__xludf.DUMMYFUNCTION("""COMPUTED_VALUE"""),45863.0)</f>
        <v>45863</v>
      </c>
      <c r="L4150" s="6" t="str">
        <f>IFERROR(__xludf.DUMMYFUNCTION("""COMPUTED_VALUE"""),"FIP Engineering")</f>
        <v>FIP Engineering</v>
      </c>
      <c r="M4150" s="6" t="str">
        <f>IFERROR(__xludf.DUMMYFUNCTION("""COMPUTED_VALUE"""),"Mochammad Fadhillah Hakim,")</f>
        <v>Mochammad Fadhillah Hakim,</v>
      </c>
      <c r="N4150" s="6" t="str">
        <f>IFERROR(__xludf.DUMMYFUNCTION("""COMPUTED_VALUE"""),"FIP Engineering")</f>
        <v>FIP Engineering</v>
      </c>
      <c r="O4150" s="6" t="str">
        <f>IFERROR(__xludf.DUMMYFUNCTION("""COMPUTED_VALUE"""),"FIP-DOM-000-11304-OS00001-INA-000000")</f>
        <v>FIP-DOM-000-11304-OS00001-INA-000000</v>
      </c>
      <c r="P4150" s="6" t="str">
        <f>IFERROR(__xludf.DUMMYFUNCTION("""COMPUTED_VALUE"""),"PO Closed")</f>
        <v>PO Closed</v>
      </c>
      <c r="Q4150" s="6" t="str">
        <f>IFERROR(__xludf.DUMMYFUNCTION("""COMPUTED_VALUE"""),"GL2506402")</f>
        <v>GL2506402</v>
      </c>
      <c r="R4150" s="57">
        <f>IFERROR(__xludf.DUMMYFUNCTION("""COMPUTED_VALUE"""),45827.0)</f>
        <v>45827</v>
      </c>
      <c r="S4150" s="57">
        <f>IFERROR(__xludf.DUMMYFUNCTION("""COMPUTED_VALUE"""),45828.0)</f>
        <v>45828</v>
      </c>
      <c r="T4150" s="57">
        <f>IFERROR(__xludf.DUMMYFUNCTION("""COMPUTED_VALUE"""),45856.0)</f>
        <v>45856</v>
      </c>
    </row>
    <row r="4151">
      <c r="A4151" s="6" t="str">
        <f>IFERROR(__xludf.DUMMYFUNCTION("""COMPUTED_VALUE"""),"121702909-1")</f>
        <v>121702909-1</v>
      </c>
      <c r="B4151" s="6" t="str">
        <f>IFERROR(__xludf.DUMMYFUNCTION("""COMPUTED_VALUE"""),"121702909 - APPROVED")</f>
        <v>121702909 - APPROVED</v>
      </c>
      <c r="C4151" s="6">
        <f>IFERROR(__xludf.DUMMYFUNCTION("""COMPUTED_VALUE"""),1.0)</f>
        <v>1</v>
      </c>
      <c r="D4151" s="6" t="str">
        <f>IFERROR(__xludf.DUMMYFUNCTION("""COMPUTED_VALUE"""),"S-62036-00")</f>
        <v>S-62036-00</v>
      </c>
      <c r="E4151" s="6" t="str">
        <f>IFERROR(__xludf.DUMMYFUNCTION("""COMPUTED_VALUE"""),"Gas Argon (Ar); 6 M3; Refill; High Purity (HP); Purity ? 99.995%")</f>
        <v>Gas Argon (Ar); 6 M3; Refill; High Purity (HP); Purity ? 99.995%</v>
      </c>
      <c r="F4151" s="6">
        <f>IFERROR(__xludf.DUMMYFUNCTION("""COMPUTED_VALUE"""),2.0)</f>
        <v>2</v>
      </c>
      <c r="G4151" s="6" t="str">
        <f>IFERROR(__xludf.DUMMYFUNCTION("""COMPUTED_VALUE"""),"Tube")</f>
        <v>Tube</v>
      </c>
      <c r="H4151" s="6" t="str">
        <f>IFERROR(__xludf.DUMMYFUNCTION("""COMPUTED_VALUE"""),"IDR")</f>
        <v>IDR</v>
      </c>
      <c r="I4151" s="6">
        <f>IFERROR(__xludf.DUMMYFUNCTION("""COMPUTED_VALUE"""),225000.0)</f>
        <v>225000</v>
      </c>
      <c r="J4151" s="6">
        <f>IFERROR(__xludf.DUMMYFUNCTION("""COMPUTED_VALUE"""),450000.0)</f>
        <v>450000</v>
      </c>
      <c r="K4151" s="57">
        <f>IFERROR(__xludf.DUMMYFUNCTION("""COMPUTED_VALUE"""),45863.0)</f>
        <v>45863</v>
      </c>
      <c r="L4151" s="6" t="str">
        <f>IFERROR(__xludf.DUMMYFUNCTION("""COMPUTED_VALUE"""),"FIP General")</f>
        <v>FIP General</v>
      </c>
      <c r="M4151" s="6" t="str">
        <f>IFERROR(__xludf.DUMMYFUNCTION("""COMPUTED_VALUE"""),"Mochammad Fadhillah Hakim,")</f>
        <v>Mochammad Fadhillah Hakim,</v>
      </c>
      <c r="N4151" s="6" t="str">
        <f>IFERROR(__xludf.DUMMYFUNCTION("""COMPUTED_VALUE"""),"FIP Engineering")</f>
        <v>FIP Engineering</v>
      </c>
      <c r="O4151" s="6" t="str">
        <f>IFERROR(__xludf.DUMMYFUNCTION("""COMPUTED_VALUE"""),"FIP-DOM-ENG-51404-0000000-INA-000000")</f>
        <v>FIP-DOM-ENG-51404-0000000-INA-000000</v>
      </c>
      <c r="P4151" s="6" t="str">
        <f>IFERROR(__xludf.DUMMYFUNCTION("""COMPUTED_VALUE"""),"PO Closed")</f>
        <v>PO Closed</v>
      </c>
      <c r="Q4151" s="6" t="str">
        <f>IFERROR(__xludf.DUMMYFUNCTION("""COMPUTED_VALUE"""),"GL2507410")</f>
        <v>GL2507410</v>
      </c>
      <c r="R4151" s="57">
        <f>IFERROR(__xludf.DUMMYFUNCTION("""COMPUTED_VALUE"""),45828.0)</f>
        <v>45828</v>
      </c>
      <c r="S4151" s="57">
        <f>IFERROR(__xludf.DUMMYFUNCTION("""COMPUTED_VALUE"""),45828.0)</f>
        <v>45828</v>
      </c>
      <c r="T4151" s="57">
        <f>IFERROR(__xludf.DUMMYFUNCTION("""COMPUTED_VALUE"""),45849.0)</f>
        <v>45849</v>
      </c>
    </row>
    <row r="4152">
      <c r="A4152" s="6" t="str">
        <f>IFERROR(__xludf.DUMMYFUNCTION("""COMPUTED_VALUE"""),"121702911-1")</f>
        <v>121702911-1</v>
      </c>
      <c r="B4152" s="6" t="str">
        <f>IFERROR(__xludf.DUMMYFUNCTION("""COMPUTED_VALUE"""),"121702911 - APPROVED")</f>
        <v>121702911 - APPROVED</v>
      </c>
      <c r="C4152" s="6">
        <f>IFERROR(__xludf.DUMMYFUNCTION("""COMPUTED_VALUE"""),1.0)</f>
        <v>1</v>
      </c>
      <c r="D4152" s="6" t="str">
        <f>IFERROR(__xludf.DUMMYFUNCTION("""COMPUTED_VALUE"""),"P-51840-00")</f>
        <v>P-51840-00</v>
      </c>
      <c r="E4152" s="6" t="str">
        <f>IFERROR(__xludf.DUMMYFUNCTION("""COMPUTED_VALUE"""),"Button Box 3 hole dia 22 mm; ; ;")</f>
        <v>Button Box 3 hole dia 22 mm; ; ;</v>
      </c>
      <c r="F4152" s="6">
        <f>IFERROR(__xludf.DUMMYFUNCTION("""COMPUTED_VALUE"""),1.0)</f>
        <v>1</v>
      </c>
      <c r="G4152" s="6" t="str">
        <f>IFERROR(__xludf.DUMMYFUNCTION("""COMPUTED_VALUE"""),"Pieces")</f>
        <v>Pieces</v>
      </c>
      <c r="H4152" s="6" t="str">
        <f>IFERROR(__xludf.DUMMYFUNCTION("""COMPUTED_VALUE"""),"IDR")</f>
        <v>IDR</v>
      </c>
      <c r="I4152" s="6">
        <f>IFERROR(__xludf.DUMMYFUNCTION("""COMPUTED_VALUE"""),72000.0)</f>
        <v>72000</v>
      </c>
      <c r="J4152" s="6">
        <f>IFERROR(__xludf.DUMMYFUNCTION("""COMPUTED_VALUE"""),72000.0)</f>
        <v>72000</v>
      </c>
      <c r="K4152" s="57">
        <f>IFERROR(__xludf.DUMMYFUNCTION("""COMPUTED_VALUE"""),45863.0)</f>
        <v>45863</v>
      </c>
      <c r="L4152" s="6" t="str">
        <f>IFERROR(__xludf.DUMMYFUNCTION("""COMPUTED_VALUE"""),"FIP Engineering")</f>
        <v>FIP Engineering</v>
      </c>
      <c r="M4152" s="6" t="str">
        <f>IFERROR(__xludf.DUMMYFUNCTION("""COMPUTED_VALUE"""),"Mochammad Fadhillah Hakim,")</f>
        <v>Mochammad Fadhillah Hakim,</v>
      </c>
      <c r="N4152" s="6" t="str">
        <f>IFERROR(__xludf.DUMMYFUNCTION("""COMPUTED_VALUE"""),"FIP Engineering")</f>
        <v>FIP Engineering</v>
      </c>
      <c r="O4152" s="6" t="str">
        <f>IFERROR(__xludf.DUMMYFUNCTION("""COMPUTED_VALUE"""),"FIP-DOM-000-11304-OS00001-INA-000000")</f>
        <v>FIP-DOM-000-11304-OS00001-INA-000000</v>
      </c>
      <c r="P4152" s="6" t="str">
        <f>IFERROR(__xludf.DUMMYFUNCTION("""COMPUTED_VALUE"""),"PO Closed")</f>
        <v>PO Closed</v>
      </c>
      <c r="Q4152" s="6" t="str">
        <f>IFERROR(__xludf.DUMMYFUNCTION("""COMPUTED_VALUE"""),"GL2507407")</f>
        <v>GL2507407</v>
      </c>
      <c r="R4152" s="57">
        <f>IFERROR(__xludf.DUMMYFUNCTION("""COMPUTED_VALUE"""),45828.0)</f>
        <v>45828</v>
      </c>
      <c r="S4152" s="57">
        <f>IFERROR(__xludf.DUMMYFUNCTION("""COMPUTED_VALUE"""),45831.0)</f>
        <v>45831</v>
      </c>
      <c r="T4152" s="57">
        <f>IFERROR(__xludf.DUMMYFUNCTION("""COMPUTED_VALUE"""),46003.0)</f>
        <v>46003</v>
      </c>
    </row>
    <row r="4153">
      <c r="A4153" s="6" t="str">
        <f>IFERROR(__xludf.DUMMYFUNCTION("""COMPUTED_VALUE"""),"121702911-2")</f>
        <v>121702911-2</v>
      </c>
      <c r="B4153" s="6" t="str">
        <f>IFERROR(__xludf.DUMMYFUNCTION("""COMPUTED_VALUE"""),"121702911 - APPROVED")</f>
        <v>121702911 - APPROVED</v>
      </c>
      <c r="C4153" s="6">
        <f>IFERROR(__xludf.DUMMYFUNCTION("""COMPUTED_VALUE"""),2.0)</f>
        <v>2</v>
      </c>
      <c r="D4153" s="6" t="str">
        <f>IFERROR(__xludf.DUMMYFUNCTION("""COMPUTED_VALUE"""),"P-19892-00")</f>
        <v>P-19892-00</v>
      </c>
      <c r="E4153" s="6" t="str">
        <f>IFERROR(__xludf.DUMMYFUNCTION("""COMPUTED_VALUE"""),"General - Plug Silincer 1/4inch; No Brand; -; 1 pc")</f>
        <v>General - Plug Silincer 1/4inch; No Brand; -; 1 pc</v>
      </c>
      <c r="F4153" s="6">
        <f>IFERROR(__xludf.DUMMYFUNCTION("""COMPUTED_VALUE"""),1.0)</f>
        <v>1</v>
      </c>
      <c r="G4153" s="6" t="str">
        <f>IFERROR(__xludf.DUMMYFUNCTION("""COMPUTED_VALUE"""),"Pieces")</f>
        <v>Pieces</v>
      </c>
      <c r="H4153" s="6" t="str">
        <f>IFERROR(__xludf.DUMMYFUNCTION("""COMPUTED_VALUE"""),"IDR")</f>
        <v>IDR</v>
      </c>
      <c r="I4153" s="6">
        <f>IFERROR(__xludf.DUMMYFUNCTION("""COMPUTED_VALUE"""),18000.0)</f>
        <v>18000</v>
      </c>
      <c r="J4153" s="6">
        <f>IFERROR(__xludf.DUMMYFUNCTION("""COMPUTED_VALUE"""),18000.0)</f>
        <v>18000</v>
      </c>
      <c r="K4153" s="57">
        <f>IFERROR(__xludf.DUMMYFUNCTION("""COMPUTED_VALUE"""),45863.0)</f>
        <v>45863</v>
      </c>
      <c r="L4153" s="6" t="str">
        <f>IFERROR(__xludf.DUMMYFUNCTION("""COMPUTED_VALUE"""),"FIP Engineering")</f>
        <v>FIP Engineering</v>
      </c>
      <c r="M4153" s="6" t="str">
        <f>IFERROR(__xludf.DUMMYFUNCTION("""COMPUTED_VALUE"""),"Mochammad Fadhillah Hakim,")</f>
        <v>Mochammad Fadhillah Hakim,</v>
      </c>
      <c r="N4153" s="6" t="str">
        <f>IFERROR(__xludf.DUMMYFUNCTION("""COMPUTED_VALUE"""),"FIP Engineering")</f>
        <v>FIP Engineering</v>
      </c>
      <c r="O4153" s="6" t="str">
        <f>IFERROR(__xludf.DUMMYFUNCTION("""COMPUTED_VALUE"""),"FIP-DOM-000-11304-OS00001-INA-000000")</f>
        <v>FIP-DOM-000-11304-OS00001-INA-000000</v>
      </c>
      <c r="P4153" s="6" t="str">
        <f>IFERROR(__xludf.DUMMYFUNCTION("""COMPUTED_VALUE"""),"PO Closed")</f>
        <v>PO Closed</v>
      </c>
      <c r="Q4153" s="6" t="str">
        <f>IFERROR(__xludf.DUMMYFUNCTION("""COMPUTED_VALUE"""),"GL2507407")</f>
        <v>GL2507407</v>
      </c>
      <c r="R4153" s="57">
        <f>IFERROR(__xludf.DUMMYFUNCTION("""COMPUTED_VALUE"""),45828.0)</f>
        <v>45828</v>
      </c>
      <c r="S4153" s="57">
        <f>IFERROR(__xludf.DUMMYFUNCTION("""COMPUTED_VALUE"""),45831.0)</f>
        <v>45831</v>
      </c>
      <c r="T4153" s="57">
        <f>IFERROR(__xludf.DUMMYFUNCTION("""COMPUTED_VALUE"""),46003.0)</f>
        <v>46003</v>
      </c>
    </row>
    <row r="4154">
      <c r="A4154" s="6" t="str">
        <f>IFERROR(__xludf.DUMMYFUNCTION("""COMPUTED_VALUE"""),"121702911-3")</f>
        <v>121702911-3</v>
      </c>
      <c r="B4154" s="6" t="str">
        <f>IFERROR(__xludf.DUMMYFUNCTION("""COMPUTED_VALUE"""),"121702911 - APPROVED")</f>
        <v>121702911 - APPROVED</v>
      </c>
      <c r="C4154" s="6">
        <f>IFERROR(__xludf.DUMMYFUNCTION("""COMPUTED_VALUE"""),3.0)</f>
        <v>3</v>
      </c>
      <c r="D4154" s="6" t="str">
        <f>IFERROR(__xludf.DUMMYFUNCTION("""COMPUTED_VALUE"""),"P-13558-00")</f>
        <v>P-13558-00</v>
      </c>
      <c r="E4154" s="6" t="str">
        <f>IFERROR(__xludf.DUMMYFUNCTION("""COMPUTED_VALUE"""),"Selenoid Valve  4V210-08 24 VDC; ; ;")</f>
        <v>Selenoid Valve  4V210-08 24 VDC; ; ;</v>
      </c>
      <c r="F4154" s="6">
        <f>IFERROR(__xludf.DUMMYFUNCTION("""COMPUTED_VALUE"""),1.0)</f>
        <v>1</v>
      </c>
      <c r="G4154" s="6" t="str">
        <f>IFERROR(__xludf.DUMMYFUNCTION("""COMPUTED_VALUE"""),"Pieces")</f>
        <v>Pieces</v>
      </c>
      <c r="H4154" s="6" t="str">
        <f>IFERROR(__xludf.DUMMYFUNCTION("""COMPUTED_VALUE"""),"IDR")</f>
        <v>IDR</v>
      </c>
      <c r="I4154" s="6">
        <f>IFERROR(__xludf.DUMMYFUNCTION("""COMPUTED_VALUE"""),342000.0)</f>
        <v>342000</v>
      </c>
      <c r="J4154" s="6">
        <f>IFERROR(__xludf.DUMMYFUNCTION("""COMPUTED_VALUE"""),342000.0)</f>
        <v>342000</v>
      </c>
      <c r="K4154" s="57">
        <f>IFERROR(__xludf.DUMMYFUNCTION("""COMPUTED_VALUE"""),45863.0)</f>
        <v>45863</v>
      </c>
      <c r="L4154" s="6" t="str">
        <f>IFERROR(__xludf.DUMMYFUNCTION("""COMPUTED_VALUE"""),"FIP Engineering")</f>
        <v>FIP Engineering</v>
      </c>
      <c r="M4154" s="6" t="str">
        <f>IFERROR(__xludf.DUMMYFUNCTION("""COMPUTED_VALUE"""),"Mochammad Fadhillah Hakim,")</f>
        <v>Mochammad Fadhillah Hakim,</v>
      </c>
      <c r="N4154" s="6" t="str">
        <f>IFERROR(__xludf.DUMMYFUNCTION("""COMPUTED_VALUE"""),"FIP Engineering")</f>
        <v>FIP Engineering</v>
      </c>
      <c r="O4154" s="6" t="str">
        <f>IFERROR(__xludf.DUMMYFUNCTION("""COMPUTED_VALUE"""),"FIP-DOM-000-11304-OS00001-INA-000000")</f>
        <v>FIP-DOM-000-11304-OS00001-INA-000000</v>
      </c>
      <c r="P4154" s="6" t="str">
        <f>IFERROR(__xludf.DUMMYFUNCTION("""COMPUTED_VALUE"""),"PO Closed")</f>
        <v>PO Closed</v>
      </c>
      <c r="Q4154" s="6" t="str">
        <f>IFERROR(__xludf.DUMMYFUNCTION("""COMPUTED_VALUE"""),"GL2507407")</f>
        <v>GL2507407</v>
      </c>
      <c r="R4154" s="57">
        <f>IFERROR(__xludf.DUMMYFUNCTION("""COMPUTED_VALUE"""),45828.0)</f>
        <v>45828</v>
      </c>
      <c r="S4154" s="57">
        <f>IFERROR(__xludf.DUMMYFUNCTION("""COMPUTED_VALUE"""),45831.0)</f>
        <v>45831</v>
      </c>
      <c r="T4154" s="57">
        <f>IFERROR(__xludf.DUMMYFUNCTION("""COMPUTED_VALUE"""),46003.0)</f>
        <v>46003</v>
      </c>
    </row>
    <row r="4155">
      <c r="A4155" s="6" t="str">
        <f>IFERROR(__xludf.DUMMYFUNCTION("""COMPUTED_VALUE"""),"121702911-4")</f>
        <v>121702911-4</v>
      </c>
      <c r="B4155" s="6" t="str">
        <f>IFERROR(__xludf.DUMMYFUNCTION("""COMPUTED_VALUE"""),"121702911 - APPROVED")</f>
        <v>121702911 - APPROVED</v>
      </c>
      <c r="C4155" s="6">
        <f>IFERROR(__xludf.DUMMYFUNCTION("""COMPUTED_VALUE"""),4.0)</f>
        <v>4</v>
      </c>
      <c r="D4155" s="6" t="str">
        <f>IFERROR(__xludf.DUMMYFUNCTION("""COMPUTED_VALUE"""),"P-54311-00")</f>
        <v>P-54311-00</v>
      </c>
      <c r="E4155" s="6" t="str">
        <f>IFERROR(__xludf.DUMMYFUNCTION("""COMPUTED_VALUE"""),"General - Selenoid 1/8inch, 24VDC; Airtac; 4V210-06; 1 pc")</f>
        <v>General - Selenoid 1/8inch, 24VDC; Airtac; 4V210-06; 1 pc</v>
      </c>
      <c r="F4155" s="6">
        <f>IFERROR(__xludf.DUMMYFUNCTION("""COMPUTED_VALUE"""),3.0)</f>
        <v>3</v>
      </c>
      <c r="G4155" s="6" t="str">
        <f>IFERROR(__xludf.DUMMYFUNCTION("""COMPUTED_VALUE"""),"Pieces")</f>
        <v>Pieces</v>
      </c>
      <c r="H4155" s="6" t="str">
        <f>IFERROR(__xludf.DUMMYFUNCTION("""COMPUTED_VALUE"""),"IDR")</f>
        <v>IDR</v>
      </c>
      <c r="I4155" s="6">
        <f>IFERROR(__xludf.DUMMYFUNCTION("""COMPUTED_VALUE"""),270000.0)</f>
        <v>270000</v>
      </c>
      <c r="J4155" s="6">
        <f>IFERROR(__xludf.DUMMYFUNCTION("""COMPUTED_VALUE"""),810000.0)</f>
        <v>810000</v>
      </c>
      <c r="K4155" s="57">
        <f>IFERROR(__xludf.DUMMYFUNCTION("""COMPUTED_VALUE"""),45863.0)</f>
        <v>45863</v>
      </c>
      <c r="L4155" s="6" t="str">
        <f>IFERROR(__xludf.DUMMYFUNCTION("""COMPUTED_VALUE"""),"FIP Engineering")</f>
        <v>FIP Engineering</v>
      </c>
      <c r="M4155" s="6" t="str">
        <f>IFERROR(__xludf.DUMMYFUNCTION("""COMPUTED_VALUE"""),"Mochammad Fadhillah Hakim,")</f>
        <v>Mochammad Fadhillah Hakim,</v>
      </c>
      <c r="N4155" s="6" t="str">
        <f>IFERROR(__xludf.DUMMYFUNCTION("""COMPUTED_VALUE"""),"FIP Engineering")</f>
        <v>FIP Engineering</v>
      </c>
      <c r="O4155" s="6" t="str">
        <f>IFERROR(__xludf.DUMMYFUNCTION("""COMPUTED_VALUE"""),"FIP-DOM-000-11304-OS00001-INA-000000")</f>
        <v>FIP-DOM-000-11304-OS00001-INA-000000</v>
      </c>
      <c r="P4155" s="6" t="str">
        <f>IFERROR(__xludf.DUMMYFUNCTION("""COMPUTED_VALUE"""),"PO Closed")</f>
        <v>PO Closed</v>
      </c>
      <c r="Q4155" s="6" t="str">
        <f>IFERROR(__xludf.DUMMYFUNCTION("""COMPUTED_VALUE"""),"GL2507407")</f>
        <v>GL2507407</v>
      </c>
      <c r="R4155" s="57">
        <f>IFERROR(__xludf.DUMMYFUNCTION("""COMPUTED_VALUE"""),45828.0)</f>
        <v>45828</v>
      </c>
      <c r="S4155" s="57">
        <f>IFERROR(__xludf.DUMMYFUNCTION("""COMPUTED_VALUE"""),45831.0)</f>
        <v>45831</v>
      </c>
      <c r="T4155" s="57">
        <f>IFERROR(__xludf.DUMMYFUNCTION("""COMPUTED_VALUE"""),46003.0)</f>
        <v>46003</v>
      </c>
    </row>
    <row r="4156">
      <c r="A4156" s="6" t="str">
        <f>IFERROR(__xludf.DUMMYFUNCTION("""COMPUTED_VALUE"""),"121702911-5")</f>
        <v>121702911-5</v>
      </c>
      <c r="B4156" s="6" t="str">
        <f>IFERROR(__xludf.DUMMYFUNCTION("""COMPUTED_VALUE"""),"121702911 - APPROVED")</f>
        <v>121702911 - APPROVED</v>
      </c>
      <c r="C4156" s="6">
        <f>IFERROR(__xludf.DUMMYFUNCTION("""COMPUTED_VALUE"""),5.0)</f>
        <v>5</v>
      </c>
      <c r="D4156" s="6" t="str">
        <f>IFERROR(__xludf.DUMMYFUNCTION("""COMPUTED_VALUE"""),"P-19894-00")</f>
        <v>P-19894-00</v>
      </c>
      <c r="E4156" s="6" t="str">
        <f>IFERROR(__xludf.DUMMYFUNCTION("""COMPUTED_VALUE"""),"General - Fitting QS 1/8 x 6mm; EMC; -; 1 pc")</f>
        <v>General - Fitting QS 1/8 x 6mm; EMC; -; 1 pc</v>
      </c>
      <c r="F4156" s="6">
        <f>IFERROR(__xludf.DUMMYFUNCTION("""COMPUTED_VALUE"""),10.0)</f>
        <v>10</v>
      </c>
      <c r="G4156" s="6" t="str">
        <f>IFERROR(__xludf.DUMMYFUNCTION("""COMPUTED_VALUE"""),"Pieces")</f>
        <v>Pieces</v>
      </c>
      <c r="H4156" s="6" t="str">
        <f>IFERROR(__xludf.DUMMYFUNCTION("""COMPUTED_VALUE"""),"IDR")</f>
        <v>IDR</v>
      </c>
      <c r="I4156" s="6">
        <f>IFERROR(__xludf.DUMMYFUNCTION("""COMPUTED_VALUE"""),15600.0)</f>
        <v>15600</v>
      </c>
      <c r="J4156" s="6">
        <f>IFERROR(__xludf.DUMMYFUNCTION("""COMPUTED_VALUE"""),156000.0)</f>
        <v>156000</v>
      </c>
      <c r="K4156" s="57">
        <f>IFERROR(__xludf.DUMMYFUNCTION("""COMPUTED_VALUE"""),45863.0)</f>
        <v>45863</v>
      </c>
      <c r="L4156" s="6" t="str">
        <f>IFERROR(__xludf.DUMMYFUNCTION("""COMPUTED_VALUE"""),"FIP Engineering")</f>
        <v>FIP Engineering</v>
      </c>
      <c r="M4156" s="6" t="str">
        <f>IFERROR(__xludf.DUMMYFUNCTION("""COMPUTED_VALUE"""),"Mochammad Fadhillah Hakim,")</f>
        <v>Mochammad Fadhillah Hakim,</v>
      </c>
      <c r="N4156" s="6" t="str">
        <f>IFERROR(__xludf.DUMMYFUNCTION("""COMPUTED_VALUE"""),"FIP Engineering")</f>
        <v>FIP Engineering</v>
      </c>
      <c r="O4156" s="6" t="str">
        <f>IFERROR(__xludf.DUMMYFUNCTION("""COMPUTED_VALUE"""),"FIP-DOM-000-11304-OS00001-INA-000000")</f>
        <v>FIP-DOM-000-11304-OS00001-INA-000000</v>
      </c>
      <c r="P4156" s="6" t="str">
        <f>IFERROR(__xludf.DUMMYFUNCTION("""COMPUTED_VALUE"""),"PO Closed")</f>
        <v>PO Closed</v>
      </c>
      <c r="Q4156" s="6" t="str">
        <f>IFERROR(__xludf.DUMMYFUNCTION("""COMPUTED_VALUE"""),"GL2507407")</f>
        <v>GL2507407</v>
      </c>
      <c r="R4156" s="57">
        <f>IFERROR(__xludf.DUMMYFUNCTION("""COMPUTED_VALUE"""),45828.0)</f>
        <v>45828</v>
      </c>
      <c r="S4156" s="57">
        <f>IFERROR(__xludf.DUMMYFUNCTION("""COMPUTED_VALUE"""),45831.0)</f>
        <v>45831</v>
      </c>
      <c r="T4156" s="57">
        <f>IFERROR(__xludf.DUMMYFUNCTION("""COMPUTED_VALUE"""),46003.0)</f>
        <v>46003</v>
      </c>
    </row>
    <row r="4157">
      <c r="A4157" s="6" t="str">
        <f>IFERROR(__xludf.DUMMYFUNCTION("""COMPUTED_VALUE"""),"121702911-6")</f>
        <v>121702911-6</v>
      </c>
      <c r="B4157" s="6" t="str">
        <f>IFERROR(__xludf.DUMMYFUNCTION("""COMPUTED_VALUE"""),"121702911 - APPROVED")</f>
        <v>121702911 - APPROVED</v>
      </c>
      <c r="C4157" s="6">
        <f>IFERROR(__xludf.DUMMYFUNCTION("""COMPUTED_VALUE"""),6.0)</f>
        <v>6</v>
      </c>
      <c r="D4157" s="6" t="str">
        <f>IFERROR(__xludf.DUMMYFUNCTION("""COMPUTED_VALUE"""),"P-19893-00")</f>
        <v>P-19893-00</v>
      </c>
      <c r="E4157" s="6" t="str">
        <f>IFERROR(__xludf.DUMMYFUNCTION("""COMPUTED_VALUE"""),"General - Plug Silincer 1/8inch SS304; No Brand; -; 1 pc")</f>
        <v>General - Plug Silincer 1/8inch SS304; No Brand; -; 1 pc</v>
      </c>
      <c r="F4157" s="6">
        <f>IFERROR(__xludf.DUMMYFUNCTION("""COMPUTED_VALUE"""),3.0)</f>
        <v>3</v>
      </c>
      <c r="G4157" s="6" t="str">
        <f>IFERROR(__xludf.DUMMYFUNCTION("""COMPUTED_VALUE"""),"Pieces")</f>
        <v>Pieces</v>
      </c>
      <c r="H4157" s="6" t="str">
        <f>IFERROR(__xludf.DUMMYFUNCTION("""COMPUTED_VALUE"""),"IDR")</f>
        <v>IDR</v>
      </c>
      <c r="I4157" s="6">
        <f>IFERROR(__xludf.DUMMYFUNCTION("""COMPUTED_VALUE"""),14400.0)</f>
        <v>14400</v>
      </c>
      <c r="J4157" s="6">
        <f>IFERROR(__xludf.DUMMYFUNCTION("""COMPUTED_VALUE"""),43200.0)</f>
        <v>43200</v>
      </c>
      <c r="K4157" s="57">
        <f>IFERROR(__xludf.DUMMYFUNCTION("""COMPUTED_VALUE"""),45863.0)</f>
        <v>45863</v>
      </c>
      <c r="L4157" s="6" t="str">
        <f>IFERROR(__xludf.DUMMYFUNCTION("""COMPUTED_VALUE"""),"FIP Engineering")</f>
        <v>FIP Engineering</v>
      </c>
      <c r="M4157" s="6" t="str">
        <f>IFERROR(__xludf.DUMMYFUNCTION("""COMPUTED_VALUE"""),"Mochammad Fadhillah Hakim,")</f>
        <v>Mochammad Fadhillah Hakim,</v>
      </c>
      <c r="N4157" s="6" t="str">
        <f>IFERROR(__xludf.DUMMYFUNCTION("""COMPUTED_VALUE"""),"FIP Engineering")</f>
        <v>FIP Engineering</v>
      </c>
      <c r="O4157" s="6" t="str">
        <f>IFERROR(__xludf.DUMMYFUNCTION("""COMPUTED_VALUE"""),"FIP-DOM-000-11304-OS00001-INA-000000")</f>
        <v>FIP-DOM-000-11304-OS00001-INA-000000</v>
      </c>
      <c r="P4157" s="6" t="str">
        <f>IFERROR(__xludf.DUMMYFUNCTION("""COMPUTED_VALUE"""),"PO Closed")</f>
        <v>PO Closed</v>
      </c>
      <c r="Q4157" s="6" t="str">
        <f>IFERROR(__xludf.DUMMYFUNCTION("""COMPUTED_VALUE"""),"GL2507407")</f>
        <v>GL2507407</v>
      </c>
      <c r="R4157" s="57">
        <f>IFERROR(__xludf.DUMMYFUNCTION("""COMPUTED_VALUE"""),45828.0)</f>
        <v>45828</v>
      </c>
      <c r="S4157" s="57">
        <f>IFERROR(__xludf.DUMMYFUNCTION("""COMPUTED_VALUE"""),45831.0)</f>
        <v>45831</v>
      </c>
      <c r="T4157" s="57">
        <f>IFERROR(__xludf.DUMMYFUNCTION("""COMPUTED_VALUE"""),46003.0)</f>
        <v>46003</v>
      </c>
    </row>
    <row r="4158">
      <c r="A4158" s="6" t="str">
        <f>IFERROR(__xludf.DUMMYFUNCTION("""COMPUTED_VALUE"""),"121702911-7")</f>
        <v>121702911-7</v>
      </c>
      <c r="B4158" s="6" t="str">
        <f>IFERROR(__xludf.DUMMYFUNCTION("""COMPUTED_VALUE"""),"121702911 - APPROVED")</f>
        <v>121702911 - APPROVED</v>
      </c>
      <c r="C4158" s="6">
        <f>IFERROR(__xludf.DUMMYFUNCTION("""COMPUTED_VALUE"""),7.0)</f>
        <v>7</v>
      </c>
      <c r="D4158" s="6" t="str">
        <f>IFERROR(__xludf.DUMMYFUNCTION("""COMPUTED_VALUE"""),"O-15931-00")</f>
        <v>O-15931-00</v>
      </c>
      <c r="E4158" s="6" t="str">
        <f>IFERROR(__xludf.DUMMYFUNCTION("""COMPUTED_VALUE"""),"Double Tape 3M 1"" Merah - P/N : -  pc")</f>
        <v>Double Tape 3M 1" Merah - P/N : -  pc</v>
      </c>
      <c r="F4158" s="6">
        <f>IFERROR(__xludf.DUMMYFUNCTION("""COMPUTED_VALUE"""),1.0)</f>
        <v>1</v>
      </c>
      <c r="G4158" s="6" t="str">
        <f>IFERROR(__xludf.DUMMYFUNCTION("""COMPUTED_VALUE"""),"Pieces")</f>
        <v>Pieces</v>
      </c>
      <c r="H4158" s="6" t="str">
        <f>IFERROR(__xludf.DUMMYFUNCTION("""COMPUTED_VALUE"""),"IDR")</f>
        <v>IDR</v>
      </c>
      <c r="I4158" s="6">
        <f>IFERROR(__xludf.DUMMYFUNCTION("""COMPUTED_VALUE"""),114000.0)</f>
        <v>114000</v>
      </c>
      <c r="J4158" s="6">
        <f>IFERROR(__xludf.DUMMYFUNCTION("""COMPUTED_VALUE"""),114000.0)</f>
        <v>114000</v>
      </c>
      <c r="K4158" s="57">
        <f>IFERROR(__xludf.DUMMYFUNCTION("""COMPUTED_VALUE"""),45863.0)</f>
        <v>45863</v>
      </c>
      <c r="L4158" s="6" t="str">
        <f>IFERROR(__xludf.DUMMYFUNCTION("""COMPUTED_VALUE"""),"FIP Engineering")</f>
        <v>FIP Engineering</v>
      </c>
      <c r="M4158" s="6" t="str">
        <f>IFERROR(__xludf.DUMMYFUNCTION("""COMPUTED_VALUE"""),"Mochammad Fadhillah Hakim,")</f>
        <v>Mochammad Fadhillah Hakim,</v>
      </c>
      <c r="N4158" s="6" t="str">
        <f>IFERROR(__xludf.DUMMYFUNCTION("""COMPUTED_VALUE"""),"FIP Engineering")</f>
        <v>FIP Engineering</v>
      </c>
      <c r="O4158" s="6" t="str">
        <f>IFERROR(__xludf.DUMMYFUNCTION("""COMPUTED_VALUE"""),"FIP-DOM-000-11304-OS00001-INA-000000")</f>
        <v>FIP-DOM-000-11304-OS00001-INA-000000</v>
      </c>
      <c r="P4158" s="6" t="str">
        <f>IFERROR(__xludf.DUMMYFUNCTION("""COMPUTED_VALUE"""),"PO Closed")</f>
        <v>PO Closed</v>
      </c>
      <c r="Q4158" s="6" t="str">
        <f>IFERROR(__xludf.DUMMYFUNCTION("""COMPUTED_VALUE"""),"GL2507407")</f>
        <v>GL2507407</v>
      </c>
      <c r="R4158" s="57">
        <f>IFERROR(__xludf.DUMMYFUNCTION("""COMPUTED_VALUE"""),45828.0)</f>
        <v>45828</v>
      </c>
      <c r="S4158" s="57">
        <f>IFERROR(__xludf.DUMMYFUNCTION("""COMPUTED_VALUE"""),45831.0)</f>
        <v>45831</v>
      </c>
      <c r="T4158" s="57">
        <f>IFERROR(__xludf.DUMMYFUNCTION("""COMPUTED_VALUE"""),46003.0)</f>
        <v>46003</v>
      </c>
    </row>
    <row r="4159">
      <c r="A4159" s="6" t="str">
        <f>IFERROR(__xludf.DUMMYFUNCTION("""COMPUTED_VALUE"""),"121702911-8")</f>
        <v>121702911-8</v>
      </c>
      <c r="B4159" s="6" t="str">
        <f>IFERROR(__xludf.DUMMYFUNCTION("""COMPUTED_VALUE"""),"121702911 - APPROVED")</f>
        <v>121702911 - APPROVED</v>
      </c>
      <c r="C4159" s="6">
        <f>IFERROR(__xludf.DUMMYFUNCTION("""COMPUTED_VALUE"""),8.0)</f>
        <v>8</v>
      </c>
      <c r="D4159" s="6" t="str">
        <f>IFERROR(__xludf.DUMMYFUNCTION("""COMPUTED_VALUE"""),"P-19895-00")</f>
        <v>P-19895-00</v>
      </c>
      <c r="E4159" s="6" t="str">
        <f>IFERROR(__xludf.DUMMYFUNCTION("""COMPUTED_VALUE"""),"General - Baut M4 x 60mm + Mur + Ring; No Brand; -; 1 pc")</f>
        <v>General - Baut M4 x 60mm + Mur + Ring; No Brand; -; 1 pc</v>
      </c>
      <c r="F4159" s="6">
        <f>IFERROR(__xludf.DUMMYFUNCTION("""COMPUTED_VALUE"""),8.0)</f>
        <v>8</v>
      </c>
      <c r="G4159" s="6" t="str">
        <f>IFERROR(__xludf.DUMMYFUNCTION("""COMPUTED_VALUE"""),"Pieces")</f>
        <v>Pieces</v>
      </c>
      <c r="H4159" s="6" t="str">
        <f>IFERROR(__xludf.DUMMYFUNCTION("""COMPUTED_VALUE"""),"IDR")</f>
        <v>IDR</v>
      </c>
      <c r="I4159" s="6">
        <f>IFERROR(__xludf.DUMMYFUNCTION("""COMPUTED_VALUE"""),4000.0)</f>
        <v>4000</v>
      </c>
      <c r="J4159" s="6">
        <f>IFERROR(__xludf.DUMMYFUNCTION("""COMPUTED_VALUE"""),32000.0)</f>
        <v>32000</v>
      </c>
      <c r="K4159" s="57">
        <f>IFERROR(__xludf.DUMMYFUNCTION("""COMPUTED_VALUE"""),45863.0)</f>
        <v>45863</v>
      </c>
      <c r="L4159" s="6" t="str">
        <f>IFERROR(__xludf.DUMMYFUNCTION("""COMPUTED_VALUE"""),"FIP Engineering")</f>
        <v>FIP Engineering</v>
      </c>
      <c r="M4159" s="6" t="str">
        <f>IFERROR(__xludf.DUMMYFUNCTION("""COMPUTED_VALUE"""),"Mochammad Fadhillah Hakim,")</f>
        <v>Mochammad Fadhillah Hakim,</v>
      </c>
      <c r="N4159" s="6" t="str">
        <f>IFERROR(__xludf.DUMMYFUNCTION("""COMPUTED_VALUE"""),"FIP Engineering")</f>
        <v>FIP Engineering</v>
      </c>
      <c r="O4159" s="6" t="str">
        <f>IFERROR(__xludf.DUMMYFUNCTION("""COMPUTED_VALUE"""),"FIP-DOM-000-11304-OS00001-INA-000000")</f>
        <v>FIP-DOM-000-11304-OS00001-INA-000000</v>
      </c>
      <c r="P4159" s="6" t="str">
        <f>IFERROR(__xludf.DUMMYFUNCTION("""COMPUTED_VALUE"""),"PO Closed")</f>
        <v>PO Closed</v>
      </c>
      <c r="Q4159" s="6" t="str">
        <f>IFERROR(__xludf.DUMMYFUNCTION("""COMPUTED_VALUE"""),"GL2507407")</f>
        <v>GL2507407</v>
      </c>
      <c r="R4159" s="57">
        <f>IFERROR(__xludf.DUMMYFUNCTION("""COMPUTED_VALUE"""),45828.0)</f>
        <v>45828</v>
      </c>
      <c r="S4159" s="57">
        <f>IFERROR(__xludf.DUMMYFUNCTION("""COMPUTED_VALUE"""),45831.0)</f>
        <v>45831</v>
      </c>
      <c r="T4159" s="57">
        <f>IFERROR(__xludf.DUMMYFUNCTION("""COMPUTED_VALUE"""),46003.0)</f>
        <v>46003</v>
      </c>
    </row>
    <row r="4160">
      <c r="A4160" s="6" t="str">
        <f>IFERROR(__xludf.DUMMYFUNCTION("""COMPUTED_VALUE"""),"121702911-9")</f>
        <v>121702911-9</v>
      </c>
      <c r="B4160" s="6" t="str">
        <f>IFERROR(__xludf.DUMMYFUNCTION("""COMPUTED_VALUE"""),"121702911 - APPROVED")</f>
        <v>121702911 - APPROVED</v>
      </c>
      <c r="C4160" s="6">
        <f>IFERROR(__xludf.DUMMYFUNCTION("""COMPUTED_VALUE"""),9.0)</f>
        <v>9</v>
      </c>
      <c r="D4160" s="6" t="str">
        <f>IFERROR(__xludf.DUMMYFUNCTION("""COMPUTED_VALUE"""),"P-50426-00")</f>
        <v>P-50426-00</v>
      </c>
      <c r="E4160" s="6" t="str">
        <f>IFERROR(__xludf.DUMMYFUNCTION("""COMPUTED_VALUE"""),"Pilot Lamps / Green / 220 VAC / AD22-22DS / AXLE")</f>
        <v>Pilot Lamps / Green / 220 VAC / AD22-22DS / AXLE</v>
      </c>
      <c r="F4160" s="6">
        <f>IFERROR(__xludf.DUMMYFUNCTION("""COMPUTED_VALUE"""),2.0)</f>
        <v>2</v>
      </c>
      <c r="G4160" s="6" t="str">
        <f>IFERROR(__xludf.DUMMYFUNCTION("""COMPUTED_VALUE"""),"Pieces")</f>
        <v>Pieces</v>
      </c>
      <c r="H4160" s="6" t="str">
        <f>IFERROR(__xludf.DUMMYFUNCTION("""COMPUTED_VALUE"""),"IDR")</f>
        <v>IDR</v>
      </c>
      <c r="I4160" s="6">
        <f>IFERROR(__xludf.DUMMYFUNCTION("""COMPUTED_VALUE"""),12000.0)</f>
        <v>12000</v>
      </c>
      <c r="J4160" s="6">
        <f>IFERROR(__xludf.DUMMYFUNCTION("""COMPUTED_VALUE"""),24000.0)</f>
        <v>24000</v>
      </c>
      <c r="K4160" s="57">
        <f>IFERROR(__xludf.DUMMYFUNCTION("""COMPUTED_VALUE"""),45863.0)</f>
        <v>45863</v>
      </c>
      <c r="L4160" s="6" t="str">
        <f>IFERROR(__xludf.DUMMYFUNCTION("""COMPUTED_VALUE"""),"FIP Engineering")</f>
        <v>FIP Engineering</v>
      </c>
      <c r="M4160" s="6" t="str">
        <f>IFERROR(__xludf.DUMMYFUNCTION("""COMPUTED_VALUE"""),"Mochammad Fadhillah Hakim,")</f>
        <v>Mochammad Fadhillah Hakim,</v>
      </c>
      <c r="N4160" s="6" t="str">
        <f>IFERROR(__xludf.DUMMYFUNCTION("""COMPUTED_VALUE"""),"FIP Engineering")</f>
        <v>FIP Engineering</v>
      </c>
      <c r="O4160" s="6" t="str">
        <f>IFERROR(__xludf.DUMMYFUNCTION("""COMPUTED_VALUE"""),"FIP-DOM-000-11304-OS00001-INA-000000")</f>
        <v>FIP-DOM-000-11304-OS00001-INA-000000</v>
      </c>
      <c r="P4160" s="6" t="str">
        <f>IFERROR(__xludf.DUMMYFUNCTION("""COMPUTED_VALUE"""),"PO Closed")</f>
        <v>PO Closed</v>
      </c>
      <c r="Q4160" s="6" t="str">
        <f>IFERROR(__xludf.DUMMYFUNCTION("""COMPUTED_VALUE"""),"GL2507407")</f>
        <v>GL2507407</v>
      </c>
      <c r="R4160" s="57">
        <f>IFERROR(__xludf.DUMMYFUNCTION("""COMPUTED_VALUE"""),45828.0)</f>
        <v>45828</v>
      </c>
      <c r="S4160" s="57">
        <f>IFERROR(__xludf.DUMMYFUNCTION("""COMPUTED_VALUE"""),45831.0)</f>
        <v>45831</v>
      </c>
      <c r="T4160" s="57">
        <f>IFERROR(__xludf.DUMMYFUNCTION("""COMPUTED_VALUE"""),46003.0)</f>
        <v>46003</v>
      </c>
    </row>
    <row r="4161">
      <c r="A4161" s="6" t="str">
        <f>IFERROR(__xludf.DUMMYFUNCTION("""COMPUTED_VALUE"""),"121702911-10")</f>
        <v>121702911-10</v>
      </c>
      <c r="B4161" s="6" t="str">
        <f>IFERROR(__xludf.DUMMYFUNCTION("""COMPUTED_VALUE"""),"121702911 - APPROVED")</f>
        <v>121702911 - APPROVED</v>
      </c>
      <c r="C4161" s="6">
        <f>IFERROR(__xludf.DUMMYFUNCTION("""COMPUTED_VALUE"""),10.0)</f>
        <v>10</v>
      </c>
      <c r="D4161" s="6" t="str">
        <f>IFERROR(__xludf.DUMMYFUNCTION("""COMPUTED_VALUE"""),"P-51706-00")</f>
        <v>P-51706-00</v>
      </c>
      <c r="E4161" s="6" t="str">
        <f>IFERROR(__xludf.DUMMYFUNCTION("""COMPUTED_VALUE"""),"Terminal Blok 4 Pin; ; ;")</f>
        <v>Terminal Blok 4 Pin; ; ;</v>
      </c>
      <c r="F4161" s="6">
        <f>IFERROR(__xludf.DUMMYFUNCTION("""COMPUTED_VALUE"""),4.0)</f>
        <v>4</v>
      </c>
      <c r="G4161" s="6" t="str">
        <f>IFERROR(__xludf.DUMMYFUNCTION("""COMPUTED_VALUE"""),"Pieces")</f>
        <v>Pieces</v>
      </c>
      <c r="H4161" s="6" t="str">
        <f>IFERROR(__xludf.DUMMYFUNCTION("""COMPUTED_VALUE"""),"IDR")</f>
        <v>IDR</v>
      </c>
      <c r="I4161" s="6">
        <f>IFERROR(__xludf.DUMMYFUNCTION("""COMPUTED_VALUE"""),10200.0)</f>
        <v>10200</v>
      </c>
      <c r="J4161" s="6">
        <f>IFERROR(__xludf.DUMMYFUNCTION("""COMPUTED_VALUE"""),40800.0)</f>
        <v>40800</v>
      </c>
      <c r="K4161" s="57">
        <f>IFERROR(__xludf.DUMMYFUNCTION("""COMPUTED_VALUE"""),45863.0)</f>
        <v>45863</v>
      </c>
      <c r="L4161" s="6" t="str">
        <f>IFERROR(__xludf.DUMMYFUNCTION("""COMPUTED_VALUE"""),"FIP Engineering")</f>
        <v>FIP Engineering</v>
      </c>
      <c r="M4161" s="6" t="str">
        <f>IFERROR(__xludf.DUMMYFUNCTION("""COMPUTED_VALUE"""),"Mochammad Fadhillah Hakim,")</f>
        <v>Mochammad Fadhillah Hakim,</v>
      </c>
      <c r="N4161" s="6" t="str">
        <f>IFERROR(__xludf.DUMMYFUNCTION("""COMPUTED_VALUE"""),"FIP Engineering")</f>
        <v>FIP Engineering</v>
      </c>
      <c r="O4161" s="6" t="str">
        <f>IFERROR(__xludf.DUMMYFUNCTION("""COMPUTED_VALUE"""),"FIP-DOM-000-11304-OS00001-INA-000000")</f>
        <v>FIP-DOM-000-11304-OS00001-INA-000000</v>
      </c>
      <c r="P4161" s="6" t="str">
        <f>IFERROR(__xludf.DUMMYFUNCTION("""COMPUTED_VALUE"""),"PO Closed")</f>
        <v>PO Closed</v>
      </c>
      <c r="Q4161" s="6" t="str">
        <f>IFERROR(__xludf.DUMMYFUNCTION("""COMPUTED_VALUE"""),"GL2507407")</f>
        <v>GL2507407</v>
      </c>
      <c r="R4161" s="57">
        <f>IFERROR(__xludf.DUMMYFUNCTION("""COMPUTED_VALUE"""),45828.0)</f>
        <v>45828</v>
      </c>
      <c r="S4161" s="57">
        <f>IFERROR(__xludf.DUMMYFUNCTION("""COMPUTED_VALUE"""),45831.0)</f>
        <v>45831</v>
      </c>
      <c r="T4161" s="57">
        <f>IFERROR(__xludf.DUMMYFUNCTION("""COMPUTED_VALUE"""),46003.0)</f>
        <v>46003</v>
      </c>
    </row>
    <row r="4162">
      <c r="A4162" s="6" t="str">
        <f>IFERROR(__xludf.DUMMYFUNCTION("""COMPUTED_VALUE"""),"121702911-11")</f>
        <v>121702911-11</v>
      </c>
      <c r="B4162" s="6" t="str">
        <f>IFERROR(__xludf.DUMMYFUNCTION("""COMPUTED_VALUE"""),"121702911 - APPROVED")</f>
        <v>121702911 - APPROVED</v>
      </c>
      <c r="C4162" s="6">
        <f>IFERROR(__xludf.DUMMYFUNCTION("""COMPUTED_VALUE"""),11.0)</f>
        <v>11</v>
      </c>
      <c r="D4162" s="6" t="str">
        <f>IFERROR(__xludf.DUMMYFUNCTION("""COMPUTED_VALUE"""),"P-50277-00")</f>
        <v>P-50277-00</v>
      </c>
      <c r="E4162" s="6" t="str">
        <f>IFERROR(__xludf.DUMMYFUNCTION("""COMPUTED_VALUE"""),"Kabel NYAF 1.5 Hitam")</f>
        <v>Kabel NYAF 1.5 Hitam</v>
      </c>
      <c r="F4162" s="6">
        <f>IFERROR(__xludf.DUMMYFUNCTION("""COMPUTED_VALUE"""),50.0)</f>
        <v>50</v>
      </c>
      <c r="G4162" s="6" t="str">
        <f>IFERROR(__xludf.DUMMYFUNCTION("""COMPUTED_VALUE"""),"Pieces")</f>
        <v>Pieces</v>
      </c>
      <c r="H4162" s="6" t="str">
        <f>IFERROR(__xludf.DUMMYFUNCTION("""COMPUTED_VALUE"""),"IDR")</f>
        <v>IDR</v>
      </c>
      <c r="I4162" s="6">
        <f>IFERROR(__xludf.DUMMYFUNCTION("""COMPUTED_VALUE"""),7200.0)</f>
        <v>7200</v>
      </c>
      <c r="J4162" s="6">
        <f>IFERROR(__xludf.DUMMYFUNCTION("""COMPUTED_VALUE"""),360000.0)</f>
        <v>360000</v>
      </c>
      <c r="K4162" s="57">
        <f>IFERROR(__xludf.DUMMYFUNCTION("""COMPUTED_VALUE"""),45863.0)</f>
        <v>45863</v>
      </c>
      <c r="L4162" s="6" t="str">
        <f>IFERROR(__xludf.DUMMYFUNCTION("""COMPUTED_VALUE"""),"FIP Engineering")</f>
        <v>FIP Engineering</v>
      </c>
      <c r="M4162" s="6" t="str">
        <f>IFERROR(__xludf.DUMMYFUNCTION("""COMPUTED_VALUE"""),"Mochammad Fadhillah Hakim,")</f>
        <v>Mochammad Fadhillah Hakim,</v>
      </c>
      <c r="N4162" s="6" t="str">
        <f>IFERROR(__xludf.DUMMYFUNCTION("""COMPUTED_VALUE"""),"FIP Engineering")</f>
        <v>FIP Engineering</v>
      </c>
      <c r="O4162" s="6" t="str">
        <f>IFERROR(__xludf.DUMMYFUNCTION("""COMPUTED_VALUE"""),"FIP-DOM-000-11304-OS00001-INA-000000")</f>
        <v>FIP-DOM-000-11304-OS00001-INA-000000</v>
      </c>
      <c r="P4162" s="6" t="str">
        <f>IFERROR(__xludf.DUMMYFUNCTION("""COMPUTED_VALUE"""),"PO Closed")</f>
        <v>PO Closed</v>
      </c>
      <c r="Q4162" s="6" t="str">
        <f>IFERROR(__xludf.DUMMYFUNCTION("""COMPUTED_VALUE"""),"GL2507407")</f>
        <v>GL2507407</v>
      </c>
      <c r="R4162" s="57">
        <f>IFERROR(__xludf.DUMMYFUNCTION("""COMPUTED_VALUE"""),45828.0)</f>
        <v>45828</v>
      </c>
      <c r="S4162" s="57">
        <f>IFERROR(__xludf.DUMMYFUNCTION("""COMPUTED_VALUE"""),45831.0)</f>
        <v>45831</v>
      </c>
      <c r="T4162" s="57">
        <f>IFERROR(__xludf.DUMMYFUNCTION("""COMPUTED_VALUE"""),46003.0)</f>
        <v>46003</v>
      </c>
    </row>
    <row r="4163">
      <c r="A4163" s="6" t="str">
        <f>IFERROR(__xludf.DUMMYFUNCTION("""COMPUTED_VALUE"""),"121702914-1")</f>
        <v>121702914-1</v>
      </c>
      <c r="B4163" s="6" t="str">
        <f>IFERROR(__xludf.DUMMYFUNCTION("""COMPUTED_VALUE"""),"121702914 - APPROVED")</f>
        <v>121702914 - APPROVED</v>
      </c>
      <c r="C4163" s="6">
        <f>IFERROR(__xludf.DUMMYFUNCTION("""COMPUTED_VALUE"""),1.0)</f>
        <v>1</v>
      </c>
      <c r="D4163" s="6" t="str">
        <f>IFERROR(__xludf.DUMMYFUNCTION("""COMPUTED_VALUE"""),"O-13062-00")</f>
        <v>O-13062-00</v>
      </c>
      <c r="E4163" s="6" t="str">
        <f>IFERROR(__xludf.DUMMYFUNCTION("""COMPUTED_VALUE"""),"AUTOCLAVE Lab Mikro - PALL Emflon Filter 0,2um p/n C3PFRP1")</f>
        <v>AUTOCLAVE Lab Mikro - PALL Emflon Filter 0,2um p/n C3PFRP1</v>
      </c>
      <c r="F4163" s="6">
        <f>IFERROR(__xludf.DUMMYFUNCTION("""COMPUTED_VALUE"""),2.0)</f>
        <v>2</v>
      </c>
      <c r="G4163" s="6" t="str">
        <f>IFERROR(__xludf.DUMMYFUNCTION("""COMPUTED_VALUE"""),"Pieces")</f>
        <v>Pieces</v>
      </c>
      <c r="H4163" s="6" t="str">
        <f>IFERROR(__xludf.DUMMYFUNCTION("""COMPUTED_VALUE"""),"IDR")</f>
        <v>IDR</v>
      </c>
      <c r="I4163" s="6">
        <f>IFERROR(__xludf.DUMMYFUNCTION("""COMPUTED_VALUE"""),5150000.0)</f>
        <v>5150000</v>
      </c>
      <c r="J4163" s="6">
        <f>IFERROR(__xludf.DUMMYFUNCTION("""COMPUTED_VALUE"""),1.03E7)</f>
        <v>10300000</v>
      </c>
      <c r="K4163" s="57">
        <f>IFERROR(__xludf.DUMMYFUNCTION("""COMPUTED_VALUE"""),45863.0)</f>
        <v>45863</v>
      </c>
      <c r="L4163" s="6" t="str">
        <f>IFERROR(__xludf.DUMMYFUNCTION("""COMPUTED_VALUE"""),"FIP Engineering")</f>
        <v>FIP Engineering</v>
      </c>
      <c r="M4163" s="6" t="str">
        <f>IFERROR(__xludf.DUMMYFUNCTION("""COMPUTED_VALUE"""),"Mochammad Fadhillah Hakim,")</f>
        <v>Mochammad Fadhillah Hakim,</v>
      </c>
      <c r="N4163" s="6" t="str">
        <f>IFERROR(__xludf.DUMMYFUNCTION("""COMPUTED_VALUE"""),"FIP Engineering")</f>
        <v>FIP Engineering</v>
      </c>
      <c r="O4163" s="6" t="str">
        <f>IFERROR(__xludf.DUMMYFUNCTION("""COMPUTED_VALUE"""),"FIP-DOM-000-11304-OS00001-INA-000000")</f>
        <v>FIP-DOM-000-11304-OS00001-INA-000000</v>
      </c>
      <c r="P4163" s="6" t="str">
        <f>IFERROR(__xludf.DUMMYFUNCTION("""COMPUTED_VALUE"""),"PO Closed")</f>
        <v>PO Closed</v>
      </c>
      <c r="Q4163" s="6" t="str">
        <f>IFERROR(__xludf.DUMMYFUNCTION("""COMPUTED_VALUE"""),"GL2507413")</f>
        <v>GL2507413</v>
      </c>
      <c r="R4163" s="57">
        <f>IFERROR(__xludf.DUMMYFUNCTION("""COMPUTED_VALUE"""),45831.0)</f>
        <v>45831</v>
      </c>
      <c r="S4163" s="57">
        <f>IFERROR(__xludf.DUMMYFUNCTION("""COMPUTED_VALUE"""),45832.0)</f>
        <v>45832</v>
      </c>
      <c r="T4163" s="57">
        <f>IFERROR(__xludf.DUMMYFUNCTION("""COMPUTED_VALUE"""),45879.0)</f>
        <v>45879</v>
      </c>
    </row>
    <row r="4164">
      <c r="A4164" s="6" t="str">
        <f>IFERROR(__xludf.DUMMYFUNCTION("""COMPUTED_VALUE"""),"121702915-1")</f>
        <v>121702915-1</v>
      </c>
      <c r="B4164" s="6" t="str">
        <f>IFERROR(__xludf.DUMMYFUNCTION("""COMPUTED_VALUE"""),"121702915 - APPROVED")</f>
        <v>121702915 - APPROVED</v>
      </c>
      <c r="C4164" s="6">
        <f>IFERROR(__xludf.DUMMYFUNCTION("""COMPUTED_VALUE"""),1.0)</f>
        <v>1</v>
      </c>
      <c r="D4164" s="6" t="str">
        <f>IFERROR(__xludf.DUMMYFUNCTION("""COMPUTED_VALUE"""),"O-18120-00")</f>
        <v>O-18120-00</v>
      </c>
      <c r="E4164" s="6" t="str">
        <f>IFERROR(__xludf.DUMMYFUNCTION("""COMPUTED_VALUE"""),"Capping VCM200 - Lock Nut Cramping; ; ;")</f>
        <v>Capping VCM200 - Lock Nut Cramping; ; ;</v>
      </c>
      <c r="F4164" s="6">
        <f>IFERROR(__xludf.DUMMYFUNCTION("""COMPUTED_VALUE"""),5.0)</f>
        <v>5</v>
      </c>
      <c r="G4164" s="6" t="str">
        <f>IFERROR(__xludf.DUMMYFUNCTION("""COMPUTED_VALUE"""),"Pieces")</f>
        <v>Pieces</v>
      </c>
      <c r="H4164" s="6" t="str">
        <f>IFERROR(__xludf.DUMMYFUNCTION("""COMPUTED_VALUE"""),"IDR")</f>
        <v>IDR</v>
      </c>
      <c r="I4164" s="6">
        <f>IFERROR(__xludf.DUMMYFUNCTION("""COMPUTED_VALUE"""),425000.0)</f>
        <v>425000</v>
      </c>
      <c r="J4164" s="6">
        <f>IFERROR(__xludf.DUMMYFUNCTION("""COMPUTED_VALUE"""),2125000.0)</f>
        <v>2125000</v>
      </c>
      <c r="K4164" s="57">
        <f>IFERROR(__xludf.DUMMYFUNCTION("""COMPUTED_VALUE"""),45863.0)</f>
        <v>45863</v>
      </c>
      <c r="L4164" s="6" t="str">
        <f>IFERROR(__xludf.DUMMYFUNCTION("""COMPUTED_VALUE"""),"FIP Engineering")</f>
        <v>FIP Engineering</v>
      </c>
      <c r="M4164" s="6" t="str">
        <f>IFERROR(__xludf.DUMMYFUNCTION("""COMPUTED_VALUE"""),"Mochammad Fadhillah Hakim,")</f>
        <v>Mochammad Fadhillah Hakim,</v>
      </c>
      <c r="N4164" s="6" t="str">
        <f>IFERROR(__xludf.DUMMYFUNCTION("""COMPUTED_VALUE"""),"FIP Engineering")</f>
        <v>FIP Engineering</v>
      </c>
      <c r="O4164" s="6" t="str">
        <f>IFERROR(__xludf.DUMMYFUNCTION("""COMPUTED_VALUE"""),"FIP-DOM-000-11304-OS00001-INA-000000")</f>
        <v>FIP-DOM-000-11304-OS00001-INA-000000</v>
      </c>
      <c r="P4164" s="6" t="str">
        <f>IFERROR(__xludf.DUMMYFUNCTION("""COMPUTED_VALUE"""),"PO Closed")</f>
        <v>PO Closed</v>
      </c>
      <c r="Q4164" s="6" t="str">
        <f>IFERROR(__xludf.DUMMYFUNCTION("""COMPUTED_VALUE"""),"GL2507039")</f>
        <v>GL2507039</v>
      </c>
      <c r="R4164" s="57">
        <f>IFERROR(__xludf.DUMMYFUNCTION("""COMPUTED_VALUE"""),45831.0)</f>
        <v>45831</v>
      </c>
      <c r="S4164" s="57">
        <f>IFERROR(__xludf.DUMMYFUNCTION("""COMPUTED_VALUE"""),45832.0)</f>
        <v>45832</v>
      </c>
      <c r="T4164" s="57">
        <f>IFERROR(__xludf.DUMMYFUNCTION("""COMPUTED_VALUE"""),45894.0)</f>
        <v>45894</v>
      </c>
    </row>
    <row r="4165">
      <c r="A4165" s="6" t="str">
        <f>IFERROR(__xludf.DUMMYFUNCTION("""COMPUTED_VALUE"""),"121702918-1")</f>
        <v>121702918-1</v>
      </c>
      <c r="B4165" s="6" t="str">
        <f>IFERROR(__xludf.DUMMYFUNCTION("""COMPUTED_VALUE"""),"121702918 - APPROVED")</f>
        <v>121702918 - APPROVED</v>
      </c>
      <c r="C4165" s="6">
        <f>IFERROR(__xludf.DUMMYFUNCTION("""COMPUTED_VALUE"""),1.0)</f>
        <v>1</v>
      </c>
      <c r="D4165" s="6" t="str">
        <f>IFERROR(__xludf.DUMMYFUNCTION("""COMPUTED_VALUE"""),"R-21013-00")</f>
        <v>R-21013-00</v>
      </c>
      <c r="E4165" s="6" t="str">
        <f>IFERROR(__xludf.DUMMYFUNCTION("""COMPUTED_VALUE"""),"Utility Equipment; ; ; - Instalasi Piping N2")</f>
        <v>Utility Equipment; ; ; - Instalasi Piping N2</v>
      </c>
      <c r="F4165" s="6">
        <f>IFERROR(__xludf.DUMMYFUNCTION("""COMPUTED_VALUE"""),1.0)</f>
        <v>1</v>
      </c>
      <c r="G4165" s="6" t="str">
        <f>IFERROR(__xludf.DUMMYFUNCTION("""COMPUTED_VALUE"""),"Unit")</f>
        <v>Unit</v>
      </c>
      <c r="H4165" s="6" t="str">
        <f>IFERROR(__xludf.DUMMYFUNCTION("""COMPUTED_VALUE"""),"IDR")</f>
        <v>IDR</v>
      </c>
      <c r="I4165" s="6">
        <f>IFERROR(__xludf.DUMMYFUNCTION("""COMPUTED_VALUE"""),5.99162E7)</f>
        <v>59916200</v>
      </c>
      <c r="J4165" s="6">
        <f>IFERROR(__xludf.DUMMYFUNCTION("""COMPUTED_VALUE"""),5.99162E7)</f>
        <v>59916200</v>
      </c>
      <c r="K4165" s="57">
        <f>IFERROR(__xludf.DUMMYFUNCTION("""COMPUTED_VALUE"""),45838.0)</f>
        <v>45838</v>
      </c>
      <c r="L4165" s="6" t="str">
        <f>IFERROR(__xludf.DUMMYFUNCTION("""COMPUTED_VALUE"""),"FIP General")</f>
        <v>FIP General</v>
      </c>
      <c r="M4165" s="6" t="str">
        <f>IFERROR(__xludf.DUMMYFUNCTION("""COMPUTED_VALUE"""),"Mochammad Fadhillah Hakim,")</f>
        <v>Mochammad Fadhillah Hakim,</v>
      </c>
      <c r="N4165" s="6" t="str">
        <f>IFERROR(__xludf.DUMMYFUNCTION("""COMPUTED_VALUE"""),"FIP Engineering")</f>
        <v>FIP Engineering</v>
      </c>
      <c r="O4165" s="6" t="str">
        <f>IFERROR(__xludf.DUMMYFUNCTION("""COMPUTED_VALUE"""),"FIP-DOM-ENG-13405-EQ25025-INA-000000")</f>
        <v>FIP-DOM-ENG-13405-EQ25025-INA-000000</v>
      </c>
      <c r="P4165" s="6" t="str">
        <f>IFERROR(__xludf.DUMMYFUNCTION("""COMPUTED_VALUE"""),"PO Closed")</f>
        <v>PO Closed</v>
      </c>
      <c r="Q4165" s="6" t="str">
        <f>IFERROR(__xludf.DUMMYFUNCTION("""COMPUTED_VALUE"""),"GL2509009")</f>
        <v>GL2509009</v>
      </c>
      <c r="R4165" s="57">
        <f>IFERROR(__xludf.DUMMYFUNCTION("""COMPUTED_VALUE"""),45832.0)</f>
        <v>45832</v>
      </c>
      <c r="S4165" s="57">
        <f>IFERROR(__xludf.DUMMYFUNCTION("""COMPUTED_VALUE"""),45846.0)</f>
        <v>45846</v>
      </c>
      <c r="T4165" s="57">
        <f>IFERROR(__xludf.DUMMYFUNCTION("""COMPUTED_VALUE"""),45942.0)</f>
        <v>45942</v>
      </c>
    </row>
    <row r="4166">
      <c r="A4166" s="6" t="str">
        <f>IFERROR(__xludf.DUMMYFUNCTION("""COMPUTED_VALUE"""),"121702920-1")</f>
        <v>121702920-1</v>
      </c>
      <c r="B4166" s="6" t="str">
        <f>IFERROR(__xludf.DUMMYFUNCTION("""COMPUTED_VALUE"""),"121702920 - APPROVED")</f>
        <v>121702920 - APPROVED</v>
      </c>
      <c r="C4166" s="6">
        <f>IFERROR(__xludf.DUMMYFUNCTION("""COMPUTED_VALUE"""),1.0)</f>
        <v>1</v>
      </c>
      <c r="D4166" s="6" t="str">
        <f>IFERROR(__xludf.DUMMYFUNCTION("""COMPUTED_VALUE"""),"P-10945-00")</f>
        <v>P-10945-00</v>
      </c>
      <c r="E4166" s="6" t="str">
        <f>IFERROR(__xludf.DUMMYFUNCTION("""COMPUTED_VALUE"""),"General - Seal Tape 1/2inch 10 M; Onda; ST 01; 1 pcs")</f>
        <v>General - Seal Tape 1/2inch 10 M; Onda; ST 01; 1 pcs</v>
      </c>
      <c r="F4166" s="6">
        <f>IFERROR(__xludf.DUMMYFUNCTION("""COMPUTED_VALUE"""),30.0)</f>
        <v>30</v>
      </c>
      <c r="G4166" s="6" t="str">
        <f>IFERROR(__xludf.DUMMYFUNCTION("""COMPUTED_VALUE"""),"Pieces")</f>
        <v>Pieces</v>
      </c>
      <c r="H4166" s="6" t="str">
        <f>IFERROR(__xludf.DUMMYFUNCTION("""COMPUTED_VALUE"""),"IDR")</f>
        <v>IDR</v>
      </c>
      <c r="I4166" s="6">
        <f>IFERROR(__xludf.DUMMYFUNCTION("""COMPUTED_VALUE"""),4500.0)</f>
        <v>4500</v>
      </c>
      <c r="J4166" s="6">
        <f>IFERROR(__xludf.DUMMYFUNCTION("""COMPUTED_VALUE"""),135000.0)</f>
        <v>135000</v>
      </c>
      <c r="K4166" s="57">
        <f>IFERROR(__xludf.DUMMYFUNCTION("""COMPUTED_VALUE"""),45863.0)</f>
        <v>45863</v>
      </c>
      <c r="L4166" s="6" t="str">
        <f>IFERROR(__xludf.DUMMYFUNCTION("""COMPUTED_VALUE"""),"FIP Engineering")</f>
        <v>FIP Engineering</v>
      </c>
      <c r="M4166" s="6" t="str">
        <f>IFERROR(__xludf.DUMMYFUNCTION("""COMPUTED_VALUE"""),"Mochammad Fadhillah Hakim,")</f>
        <v>Mochammad Fadhillah Hakim,</v>
      </c>
      <c r="N4166" s="6" t="str">
        <f>IFERROR(__xludf.DUMMYFUNCTION("""COMPUTED_VALUE"""),"FIP Engineering")</f>
        <v>FIP Engineering</v>
      </c>
      <c r="O4166" s="6" t="str">
        <f>IFERROR(__xludf.DUMMYFUNCTION("""COMPUTED_VALUE"""),"FIP-DOM-000-11304-OS00001-INA-000000")</f>
        <v>FIP-DOM-000-11304-OS00001-INA-000000</v>
      </c>
      <c r="P4166" s="6" t="str">
        <f>IFERROR(__xludf.DUMMYFUNCTION("""COMPUTED_VALUE"""),"PO Closed")</f>
        <v>PO Closed</v>
      </c>
      <c r="Q4166" s="6" t="str">
        <f>IFERROR(__xludf.DUMMYFUNCTION("""COMPUTED_VALUE"""),"GL2507408")</f>
        <v>GL2507408</v>
      </c>
      <c r="R4166" s="57">
        <f>IFERROR(__xludf.DUMMYFUNCTION("""COMPUTED_VALUE"""),45832.0)</f>
        <v>45832</v>
      </c>
      <c r="S4166" s="57">
        <f>IFERROR(__xludf.DUMMYFUNCTION("""COMPUTED_VALUE"""),45833.0)</f>
        <v>45833</v>
      </c>
      <c r="T4166" s="57">
        <f>IFERROR(__xludf.DUMMYFUNCTION("""COMPUTED_VALUE"""),45868.0)</f>
        <v>45868</v>
      </c>
    </row>
    <row r="4167">
      <c r="A4167" s="6" t="str">
        <f>IFERROR(__xludf.DUMMYFUNCTION("""COMPUTED_VALUE"""),"121702924-1")</f>
        <v>121702924-1</v>
      </c>
      <c r="B4167" s="6" t="str">
        <f>IFERROR(__xludf.DUMMYFUNCTION("""COMPUTED_VALUE"""),"121702924 - APPROVED")</f>
        <v>121702924 - APPROVED</v>
      </c>
      <c r="C4167" s="6">
        <f>IFERROR(__xludf.DUMMYFUNCTION("""COMPUTED_VALUE"""),1.0)</f>
        <v>1</v>
      </c>
      <c r="D4167" s="6" t="str">
        <f>IFERROR(__xludf.DUMMYFUNCTION("""COMPUTED_VALUE"""),"P-54327-00")</f>
        <v>P-54327-00</v>
      </c>
      <c r="E4167" s="6" t="str">
        <f>IFERROR(__xludf.DUMMYFUNCTION("""COMPUTED_VALUE"""),"General - Kap Lampu Waterptoof T8 1x18 IP65; No Brand; -; 1 pc")</f>
        <v>General - Kap Lampu Waterptoof T8 1x18 IP65; No Brand; -; 1 pc</v>
      </c>
      <c r="F4167" s="6">
        <f>IFERROR(__xludf.DUMMYFUNCTION("""COMPUTED_VALUE"""),22.0)</f>
        <v>22</v>
      </c>
      <c r="G4167" s="6" t="str">
        <f>IFERROR(__xludf.DUMMYFUNCTION("""COMPUTED_VALUE"""),"Pieces")</f>
        <v>Pieces</v>
      </c>
      <c r="H4167" s="6" t="str">
        <f>IFERROR(__xludf.DUMMYFUNCTION("""COMPUTED_VALUE"""),"IDR")</f>
        <v>IDR</v>
      </c>
      <c r="I4167" s="6">
        <f>IFERROR(__xludf.DUMMYFUNCTION("""COMPUTED_VALUE"""),133000.0)</f>
        <v>133000</v>
      </c>
      <c r="J4167" s="6">
        <f>IFERROR(__xludf.DUMMYFUNCTION("""COMPUTED_VALUE"""),2926000.0)</f>
        <v>2926000</v>
      </c>
      <c r="K4167" s="57">
        <f>IFERROR(__xludf.DUMMYFUNCTION("""COMPUTED_VALUE"""),45842.0)</f>
        <v>45842</v>
      </c>
      <c r="L4167" s="6" t="str">
        <f>IFERROR(__xludf.DUMMYFUNCTION("""COMPUTED_VALUE"""),"FIP Engineering")</f>
        <v>FIP Engineering</v>
      </c>
      <c r="M4167" s="6" t="str">
        <f>IFERROR(__xludf.DUMMYFUNCTION("""COMPUTED_VALUE"""),"Mochammad Fadhillah Hakim,")</f>
        <v>Mochammad Fadhillah Hakim,</v>
      </c>
      <c r="N4167" s="6" t="str">
        <f>IFERROR(__xludf.DUMMYFUNCTION("""COMPUTED_VALUE"""),"FIP Engineering")</f>
        <v>FIP Engineering</v>
      </c>
      <c r="O4167" s="6" t="str">
        <f>IFERROR(__xludf.DUMMYFUNCTION("""COMPUTED_VALUE"""),"FIP-DOM-000-11304-OS00001-INA-000000")</f>
        <v>FIP-DOM-000-11304-OS00001-INA-000000</v>
      </c>
      <c r="P4167" s="6" t="str">
        <f>IFERROR(__xludf.DUMMYFUNCTION("""COMPUTED_VALUE"""),"PO Closed")</f>
        <v>PO Closed</v>
      </c>
      <c r="Q4167" s="6" t="str">
        <f>IFERROR(__xludf.DUMMYFUNCTION("""COMPUTED_VALUE"""),"GL2506046")</f>
        <v>GL2506046</v>
      </c>
      <c r="R4167" s="57">
        <f>IFERROR(__xludf.DUMMYFUNCTION("""COMPUTED_VALUE"""),45838.0)</f>
        <v>45838</v>
      </c>
      <c r="S4167" s="57">
        <f>IFERROR(__xludf.DUMMYFUNCTION("""COMPUTED_VALUE"""),45838.0)</f>
        <v>45838</v>
      </c>
      <c r="T4167" s="57">
        <f>IFERROR(__xludf.DUMMYFUNCTION("""COMPUTED_VALUE"""),45853.0)</f>
        <v>45853</v>
      </c>
    </row>
    <row r="4168">
      <c r="A4168" s="6" t="str">
        <f>IFERROR(__xludf.DUMMYFUNCTION("""COMPUTED_VALUE"""),"121702924-2")</f>
        <v>121702924-2</v>
      </c>
      <c r="B4168" s="6" t="str">
        <f>IFERROR(__xludf.DUMMYFUNCTION("""COMPUTED_VALUE"""),"121702924 - APPROVED")</f>
        <v>121702924 - APPROVED</v>
      </c>
      <c r="C4168" s="6">
        <f>IFERROR(__xludf.DUMMYFUNCTION("""COMPUTED_VALUE"""),2.0)</f>
        <v>2</v>
      </c>
      <c r="D4168" s="6" t="str">
        <f>IFERROR(__xludf.DUMMYFUNCTION("""COMPUTED_VALUE"""),"P-54328-00")</f>
        <v>P-54328-00</v>
      </c>
      <c r="E4168" s="6" t="str">
        <f>IFERROR(__xludf.DUMMYFUNCTION("""COMPUTED_VALUE"""),"General - Lampu LED T8 9W Kuning 3000K; Hannochs; -; 1 pc")</f>
        <v>General - Lampu LED T8 9W Kuning 3000K; Hannochs; -; 1 pc</v>
      </c>
      <c r="F4168" s="6">
        <f>IFERROR(__xludf.DUMMYFUNCTION("""COMPUTED_VALUE"""),30.0)</f>
        <v>30</v>
      </c>
      <c r="G4168" s="6" t="str">
        <f>IFERROR(__xludf.DUMMYFUNCTION("""COMPUTED_VALUE"""),"Pieces")</f>
        <v>Pieces</v>
      </c>
      <c r="H4168" s="6" t="str">
        <f>IFERROR(__xludf.DUMMYFUNCTION("""COMPUTED_VALUE"""),"IDR")</f>
        <v>IDR</v>
      </c>
      <c r="I4168" s="6">
        <f>IFERROR(__xludf.DUMMYFUNCTION("""COMPUTED_VALUE"""),47000.0)</f>
        <v>47000</v>
      </c>
      <c r="J4168" s="6">
        <f>IFERROR(__xludf.DUMMYFUNCTION("""COMPUTED_VALUE"""),1410000.0)</f>
        <v>1410000</v>
      </c>
      <c r="K4168" s="57">
        <f>IFERROR(__xludf.DUMMYFUNCTION("""COMPUTED_VALUE"""),45842.0)</f>
        <v>45842</v>
      </c>
      <c r="L4168" s="6" t="str">
        <f>IFERROR(__xludf.DUMMYFUNCTION("""COMPUTED_VALUE"""),"FIP Engineering")</f>
        <v>FIP Engineering</v>
      </c>
      <c r="M4168" s="6" t="str">
        <f>IFERROR(__xludf.DUMMYFUNCTION("""COMPUTED_VALUE"""),"Mochammad Fadhillah Hakim,")</f>
        <v>Mochammad Fadhillah Hakim,</v>
      </c>
      <c r="N4168" s="6" t="str">
        <f>IFERROR(__xludf.DUMMYFUNCTION("""COMPUTED_VALUE"""),"FIP Engineering")</f>
        <v>FIP Engineering</v>
      </c>
      <c r="O4168" s="6" t="str">
        <f>IFERROR(__xludf.DUMMYFUNCTION("""COMPUTED_VALUE"""),"FIP-DOM-000-11304-OS00001-INA-000000")</f>
        <v>FIP-DOM-000-11304-OS00001-INA-000000</v>
      </c>
      <c r="P4168" s="6" t="str">
        <f>IFERROR(__xludf.DUMMYFUNCTION("""COMPUTED_VALUE"""),"PO Closed")</f>
        <v>PO Closed</v>
      </c>
      <c r="Q4168" s="6" t="str">
        <f>IFERROR(__xludf.DUMMYFUNCTION("""COMPUTED_VALUE"""),"GL2506046")</f>
        <v>GL2506046</v>
      </c>
      <c r="R4168" s="57">
        <f>IFERROR(__xludf.DUMMYFUNCTION("""COMPUTED_VALUE"""),45838.0)</f>
        <v>45838</v>
      </c>
      <c r="S4168" s="57">
        <f>IFERROR(__xludf.DUMMYFUNCTION("""COMPUTED_VALUE"""),45838.0)</f>
        <v>45838</v>
      </c>
      <c r="T4168" s="57">
        <f>IFERROR(__xludf.DUMMYFUNCTION("""COMPUTED_VALUE"""),45853.0)</f>
        <v>45853</v>
      </c>
    </row>
    <row r="4169">
      <c r="A4169" s="6" t="str">
        <f>IFERROR(__xludf.DUMMYFUNCTION("""COMPUTED_VALUE"""),"121702926-1")</f>
        <v>121702926-1</v>
      </c>
      <c r="B4169" s="6" t="str">
        <f>IFERROR(__xludf.DUMMYFUNCTION("""COMPUTED_VALUE"""),"121702926 - APPROVED")</f>
        <v>121702926 - APPROVED</v>
      </c>
      <c r="C4169" s="6">
        <f>IFERROR(__xludf.DUMMYFUNCTION("""COMPUTED_VALUE"""),1.0)</f>
        <v>1</v>
      </c>
      <c r="D4169" s="6" t="str">
        <f>IFERROR(__xludf.DUMMYFUNCTION("""COMPUTED_VALUE"""),"P-11428-00")</f>
        <v>P-11428-00</v>
      </c>
      <c r="E4169" s="6" t="str">
        <f>IFERROR(__xludf.DUMMYFUNCTION("""COMPUTED_VALUE"""),"Selang Festo Pun-H-6x1 Blue")</f>
        <v>Selang Festo Pun-H-6x1 Blue</v>
      </c>
      <c r="F4169" s="6">
        <f>IFERROR(__xludf.DUMMYFUNCTION("""COMPUTED_VALUE"""),50.0)</f>
        <v>50</v>
      </c>
      <c r="G4169" s="6" t="str">
        <f>IFERROR(__xludf.DUMMYFUNCTION("""COMPUTED_VALUE"""),"Meter")</f>
        <v>Meter</v>
      </c>
      <c r="H4169" s="6" t="str">
        <f>IFERROR(__xludf.DUMMYFUNCTION("""COMPUTED_VALUE"""),"IDR")</f>
        <v>IDR</v>
      </c>
      <c r="I4169" s="6">
        <f>IFERROR(__xludf.DUMMYFUNCTION("""COMPUTED_VALUE"""),13610.0)</f>
        <v>13610</v>
      </c>
      <c r="J4169" s="6">
        <f>IFERROR(__xludf.DUMMYFUNCTION("""COMPUTED_VALUE"""),680500.0)</f>
        <v>680500</v>
      </c>
      <c r="K4169" s="57">
        <f>IFERROR(__xludf.DUMMYFUNCTION("""COMPUTED_VALUE"""),45870.0)</f>
        <v>45870</v>
      </c>
      <c r="L4169" s="6" t="str">
        <f>IFERROR(__xludf.DUMMYFUNCTION("""COMPUTED_VALUE"""),"FIP Engineering")</f>
        <v>FIP Engineering</v>
      </c>
      <c r="M4169" s="6" t="str">
        <f>IFERROR(__xludf.DUMMYFUNCTION("""COMPUTED_VALUE"""),"Mochammad Fadhillah Hakim,")</f>
        <v>Mochammad Fadhillah Hakim,</v>
      </c>
      <c r="N4169" s="6" t="str">
        <f>IFERROR(__xludf.DUMMYFUNCTION("""COMPUTED_VALUE"""),"FIP Engineering")</f>
        <v>FIP Engineering</v>
      </c>
      <c r="O4169" s="6" t="str">
        <f>IFERROR(__xludf.DUMMYFUNCTION("""COMPUTED_VALUE"""),"FIP-DOM-000-11304-OS00001-INA-000000")</f>
        <v>FIP-DOM-000-11304-OS00001-INA-000000</v>
      </c>
      <c r="P4169" s="6" t="str">
        <f>IFERROR(__xludf.DUMMYFUNCTION("""COMPUTED_VALUE"""),"PO Closed")</f>
        <v>PO Closed</v>
      </c>
      <c r="Q4169" s="6" t="str">
        <f>IFERROR(__xludf.DUMMYFUNCTION("""COMPUTED_VALUE"""),"GL2507040")</f>
        <v>GL2507040</v>
      </c>
      <c r="R4169" s="57">
        <f>IFERROR(__xludf.DUMMYFUNCTION("""COMPUTED_VALUE"""),45838.0)</f>
        <v>45838</v>
      </c>
      <c r="S4169" s="57">
        <f>IFERROR(__xludf.DUMMYFUNCTION("""COMPUTED_VALUE"""),45838.0)</f>
        <v>45838</v>
      </c>
      <c r="T4169" s="57">
        <f>IFERROR(__xludf.DUMMYFUNCTION("""COMPUTED_VALUE"""),45870.0)</f>
        <v>45870</v>
      </c>
    </row>
    <row r="4170">
      <c r="A4170" s="6" t="str">
        <f>IFERROR(__xludf.DUMMYFUNCTION("""COMPUTED_VALUE"""),"121702928-1")</f>
        <v>121702928-1</v>
      </c>
      <c r="B4170" s="6" t="str">
        <f>IFERROR(__xludf.DUMMYFUNCTION("""COMPUTED_VALUE"""),"121702928 - APPROVED")</f>
        <v>121702928 - APPROVED</v>
      </c>
      <c r="C4170" s="6">
        <f>IFERROR(__xludf.DUMMYFUNCTION("""COMPUTED_VALUE"""),1.0)</f>
        <v>1</v>
      </c>
      <c r="D4170" s="6" t="str">
        <f>IFERROR(__xludf.DUMMYFUNCTION("""COMPUTED_VALUE"""),"P-18475-00")</f>
        <v>P-18475-00</v>
      </c>
      <c r="E4170" s="6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F4170" s="6">
        <f>IFERROR(__xludf.DUMMYFUNCTION("""COMPUTED_VALUE"""),1.0)</f>
        <v>1</v>
      </c>
      <c r="G4170" s="6" t="str">
        <f>IFERROR(__xludf.DUMMYFUNCTION("""COMPUTED_VALUE"""),"Set")</f>
        <v>Set</v>
      </c>
      <c r="H4170" s="6" t="str">
        <f>IFERROR(__xludf.DUMMYFUNCTION("""COMPUTED_VALUE"""),"IDR")</f>
        <v>IDR</v>
      </c>
      <c r="I4170" s="6">
        <f>IFERROR(__xludf.DUMMYFUNCTION("""COMPUTED_VALUE"""),1.471E7)</f>
        <v>14710000</v>
      </c>
      <c r="J4170" s="6">
        <f>IFERROR(__xludf.DUMMYFUNCTION("""COMPUTED_VALUE"""),1.471E7)</f>
        <v>14710000</v>
      </c>
      <c r="K4170" s="57">
        <f>IFERROR(__xludf.DUMMYFUNCTION("""COMPUTED_VALUE"""),45905.0)</f>
        <v>45905</v>
      </c>
      <c r="L4170" s="6" t="str">
        <f>IFERROR(__xludf.DUMMYFUNCTION("""COMPUTED_VALUE"""),"FIP Engineering")</f>
        <v>FIP Engineering</v>
      </c>
      <c r="M4170" s="6" t="str">
        <f>IFERROR(__xludf.DUMMYFUNCTION("""COMPUTED_VALUE"""),"Mochammad Fadhillah Hakim,")</f>
        <v>Mochammad Fadhillah Hakim,</v>
      </c>
      <c r="N4170" s="6" t="str">
        <f>IFERROR(__xludf.DUMMYFUNCTION("""COMPUTED_VALUE"""),"FIP Engineering")</f>
        <v>FIP Engineering</v>
      </c>
      <c r="O4170" s="6" t="str">
        <f>IFERROR(__xludf.DUMMYFUNCTION("""COMPUTED_VALUE"""),"FIP-DOM-000-11304-OS00001-INA-000000")</f>
        <v>FIP-DOM-000-11304-OS00001-INA-000000</v>
      </c>
      <c r="P4170" s="6" t="str">
        <f>IFERROR(__xludf.DUMMYFUNCTION("""COMPUTED_VALUE"""),"PO Closed")</f>
        <v>PO Closed</v>
      </c>
      <c r="Q4170" s="6" t="str">
        <f>IFERROR(__xludf.DUMMYFUNCTION("""COMPUTED_VALUE"""),"GL2507020")</f>
        <v>GL2507020</v>
      </c>
      <c r="R4170" s="57">
        <f>IFERROR(__xludf.DUMMYFUNCTION("""COMPUTED_VALUE"""),45838.0)</f>
        <v>45838</v>
      </c>
      <c r="S4170" s="57">
        <f>IFERROR(__xludf.DUMMYFUNCTION("""COMPUTED_VALUE"""),45839.0)</f>
        <v>45839</v>
      </c>
      <c r="T4170" s="57">
        <f>IFERROR(__xludf.DUMMYFUNCTION("""COMPUTED_VALUE"""),45905.0)</f>
        <v>45905</v>
      </c>
    </row>
    <row r="4171">
      <c r="A4171" s="6" t="str">
        <f>IFERROR(__xludf.DUMMYFUNCTION("""COMPUTED_VALUE"""),"121702930-1")</f>
        <v>121702930-1</v>
      </c>
      <c r="B4171" s="6" t="str">
        <f>IFERROR(__xludf.DUMMYFUNCTION("""COMPUTED_VALUE"""),"121702930 - APPROVED")</f>
        <v>121702930 - APPROVED</v>
      </c>
      <c r="C4171" s="6">
        <f>IFERROR(__xludf.DUMMYFUNCTION("""COMPUTED_VALUE"""),1.0)</f>
        <v>1</v>
      </c>
      <c r="D4171" s="6" t="str">
        <f>IFERROR(__xludf.DUMMYFUNCTION("""COMPUTED_VALUE"""),"Q-60328-00")</f>
        <v>Q-60328-00</v>
      </c>
      <c r="E4171" s="6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F4171" s="6">
        <f>IFERROR(__xludf.DUMMYFUNCTION("""COMPUTED_VALUE"""),4.0)</f>
        <v>4</v>
      </c>
      <c r="G4171" s="6" t="str">
        <f>IFERROR(__xludf.DUMMYFUNCTION("""COMPUTED_VALUE"""),"Pail")</f>
        <v>Pail</v>
      </c>
      <c r="H4171" s="6" t="str">
        <f>IFERROR(__xludf.DUMMYFUNCTION("""COMPUTED_VALUE"""),"IDR")</f>
        <v>IDR</v>
      </c>
      <c r="I4171" s="6">
        <f>IFERROR(__xludf.DUMMYFUNCTION("""COMPUTED_VALUE"""),2190000.0)</f>
        <v>2190000</v>
      </c>
      <c r="J4171" s="6">
        <f>IFERROR(__xludf.DUMMYFUNCTION("""COMPUTED_VALUE"""),8760000.0)</f>
        <v>8760000</v>
      </c>
      <c r="K4171" s="57">
        <f>IFERROR(__xludf.DUMMYFUNCTION("""COMPUTED_VALUE"""),45905.0)</f>
        <v>45905</v>
      </c>
      <c r="L4171" s="6" t="str">
        <f>IFERROR(__xludf.DUMMYFUNCTION("""COMPUTED_VALUE"""),"FIP General")</f>
        <v>FIP General</v>
      </c>
      <c r="M4171" s="6" t="str">
        <f>IFERROR(__xludf.DUMMYFUNCTION("""COMPUTED_VALUE"""),"Mochammad Fadhillah Hakim,")</f>
        <v>Mochammad Fadhillah Hakim,</v>
      </c>
      <c r="N4171" s="6" t="str">
        <f>IFERROR(__xludf.DUMMYFUNCTION("""COMPUTED_VALUE"""),"FIP Engineering")</f>
        <v>FIP Engineering</v>
      </c>
      <c r="O4171" s="6" t="str">
        <f>IFERROR(__xludf.DUMMYFUNCTION("""COMPUTED_VALUE"""),"FIP-DOM-ENG-51502-0000000-INA-000000")</f>
        <v>FIP-DOM-ENG-51502-0000000-INA-000000</v>
      </c>
      <c r="P4171" s="6" t="str">
        <f>IFERROR(__xludf.DUMMYFUNCTION("""COMPUTED_VALUE"""),"PO Closed")</f>
        <v>PO Closed</v>
      </c>
      <c r="Q4171" s="6" t="str">
        <f>IFERROR(__xludf.DUMMYFUNCTION("""COMPUTED_VALUE"""),"GL2507028")</f>
        <v>GL2507028</v>
      </c>
      <c r="R4171" s="57">
        <f>IFERROR(__xludf.DUMMYFUNCTION("""COMPUTED_VALUE"""),45838.0)</f>
        <v>45838</v>
      </c>
      <c r="S4171" s="57">
        <f>IFERROR(__xludf.DUMMYFUNCTION("""COMPUTED_VALUE"""),45839.0)</f>
        <v>45839</v>
      </c>
      <c r="T4171" s="57">
        <f>IFERROR(__xludf.DUMMYFUNCTION("""COMPUTED_VALUE"""),45905.0)</f>
        <v>45905</v>
      </c>
    </row>
    <row r="4172">
      <c r="A4172" s="6" t="str">
        <f>IFERROR(__xludf.DUMMYFUNCTION("""COMPUTED_VALUE"""),"121702932-1")</f>
        <v>121702932-1</v>
      </c>
      <c r="B4172" s="6" t="str">
        <f>IFERROR(__xludf.DUMMYFUNCTION("""COMPUTED_VALUE"""),"121702932 - APPROVED")</f>
        <v>121702932 - APPROVED</v>
      </c>
      <c r="C4172" s="6">
        <f>IFERROR(__xludf.DUMMYFUNCTION("""COMPUTED_VALUE"""),1.0)</f>
        <v>1</v>
      </c>
      <c r="D4172" s="6" t="str">
        <f>IFERROR(__xludf.DUMMYFUNCTION("""COMPUTED_VALUE"""),"P-14966-00")</f>
        <v>P-14966-00</v>
      </c>
      <c r="E4172" s="6" t="str">
        <f>IFERROR(__xludf.DUMMYFUNCTION("""COMPUTED_VALUE"""),"General - Gate Valve Kuningan 2inch; Kitz; -; 1pc")</f>
        <v>General - Gate Valve Kuningan 2inch; Kitz; -; 1pc</v>
      </c>
      <c r="F4172" s="6">
        <f>IFERROR(__xludf.DUMMYFUNCTION("""COMPUTED_VALUE"""),2.0)</f>
        <v>2</v>
      </c>
      <c r="G4172" s="6" t="str">
        <f>IFERROR(__xludf.DUMMYFUNCTION("""COMPUTED_VALUE"""),"Pieces")</f>
        <v>Pieces</v>
      </c>
      <c r="H4172" s="6" t="str">
        <f>IFERROR(__xludf.DUMMYFUNCTION("""COMPUTED_VALUE"""),"IDR")</f>
        <v>IDR</v>
      </c>
      <c r="I4172" s="6">
        <f>IFERROR(__xludf.DUMMYFUNCTION("""COMPUTED_VALUE"""),676000.0)</f>
        <v>676000</v>
      </c>
      <c r="J4172" s="6">
        <f>IFERROR(__xludf.DUMMYFUNCTION("""COMPUTED_VALUE"""),1352000.0)</f>
        <v>1352000</v>
      </c>
      <c r="K4172" s="57">
        <f>IFERROR(__xludf.DUMMYFUNCTION("""COMPUTED_VALUE"""),45905.0)</f>
        <v>45905</v>
      </c>
      <c r="L4172" s="6" t="str">
        <f>IFERROR(__xludf.DUMMYFUNCTION("""COMPUTED_VALUE"""),"FIP Engineering")</f>
        <v>FIP Engineering</v>
      </c>
      <c r="M4172" s="6" t="str">
        <f>IFERROR(__xludf.DUMMYFUNCTION("""COMPUTED_VALUE"""),"Mochammad Fadhillah Hakim,")</f>
        <v>Mochammad Fadhillah Hakim,</v>
      </c>
      <c r="N4172" s="6" t="str">
        <f>IFERROR(__xludf.DUMMYFUNCTION("""COMPUTED_VALUE"""),"FIP Engineering")</f>
        <v>FIP Engineering</v>
      </c>
      <c r="O4172" s="6" t="str">
        <f>IFERROR(__xludf.DUMMYFUNCTION("""COMPUTED_VALUE"""),"FIP-DOM-000-11304-OS00001-INA-000000")</f>
        <v>FIP-DOM-000-11304-OS00001-INA-000000</v>
      </c>
      <c r="P4172" s="6" t="str">
        <f>IFERROR(__xludf.DUMMYFUNCTION("""COMPUTED_VALUE"""),"PO Closed")</f>
        <v>PO Closed</v>
      </c>
      <c r="Q4172" s="6" t="str">
        <f>IFERROR(__xludf.DUMMYFUNCTION("""COMPUTED_VALUE"""),"GL2507409")</f>
        <v>GL2507409</v>
      </c>
      <c r="R4172" s="57">
        <f>IFERROR(__xludf.DUMMYFUNCTION("""COMPUTED_VALUE"""),45838.0)</f>
        <v>45838</v>
      </c>
      <c r="S4172" s="57">
        <f>IFERROR(__xludf.DUMMYFUNCTION("""COMPUTED_VALUE"""),45839.0)</f>
        <v>45839</v>
      </c>
      <c r="T4172" s="57">
        <f>IFERROR(__xludf.DUMMYFUNCTION("""COMPUTED_VALUE"""),45905.0)</f>
        <v>45905</v>
      </c>
    </row>
    <row r="4173">
      <c r="A4173" s="6" t="str">
        <f>IFERROR(__xludf.DUMMYFUNCTION("""COMPUTED_VALUE"""),"121702932-2")</f>
        <v>121702932-2</v>
      </c>
      <c r="B4173" s="6" t="str">
        <f>IFERROR(__xludf.DUMMYFUNCTION("""COMPUTED_VALUE"""),"121702932 - APPROVED")</f>
        <v>121702932 - APPROVED</v>
      </c>
      <c r="C4173" s="6">
        <f>IFERROR(__xludf.DUMMYFUNCTION("""COMPUTED_VALUE"""),2.0)</f>
        <v>2</v>
      </c>
      <c r="D4173" s="6" t="str">
        <f>IFERROR(__xludf.DUMMYFUNCTION("""COMPUTED_VALUE"""),"P-19889-00")</f>
        <v>P-19889-00</v>
      </c>
      <c r="E4173" s="6" t="str">
        <f>IFERROR(__xludf.DUMMYFUNCTION("""COMPUTED_VALUE"""),"General - Air Accu Merah; DeQuua; -; 20L/can")</f>
        <v>General - Air Accu Merah; DeQuua; -; 20L/can</v>
      </c>
      <c r="F4173" s="6">
        <f>IFERROR(__xludf.DUMMYFUNCTION("""COMPUTED_VALUE"""),1.0)</f>
        <v>1</v>
      </c>
      <c r="G4173" s="6" t="str">
        <f>IFERROR(__xludf.DUMMYFUNCTION("""COMPUTED_VALUE"""),"Can")</f>
        <v>Can</v>
      </c>
      <c r="H4173" s="6" t="str">
        <f>IFERROR(__xludf.DUMMYFUNCTION("""COMPUTED_VALUE"""),"IDR")</f>
        <v>IDR</v>
      </c>
      <c r="I4173" s="6">
        <f>IFERROR(__xludf.DUMMYFUNCTION("""COMPUTED_VALUE"""),150000.0)</f>
        <v>150000</v>
      </c>
      <c r="J4173" s="6">
        <f>IFERROR(__xludf.DUMMYFUNCTION("""COMPUTED_VALUE"""),150000.0)</f>
        <v>150000</v>
      </c>
      <c r="K4173" s="57">
        <f>IFERROR(__xludf.DUMMYFUNCTION("""COMPUTED_VALUE"""),45905.0)</f>
        <v>45905</v>
      </c>
      <c r="L4173" s="6" t="str">
        <f>IFERROR(__xludf.DUMMYFUNCTION("""COMPUTED_VALUE"""),"FIP Engineering")</f>
        <v>FIP Engineering</v>
      </c>
      <c r="M4173" s="6" t="str">
        <f>IFERROR(__xludf.DUMMYFUNCTION("""COMPUTED_VALUE"""),"Mochammad Fadhillah Hakim,")</f>
        <v>Mochammad Fadhillah Hakim,</v>
      </c>
      <c r="N4173" s="6" t="str">
        <f>IFERROR(__xludf.DUMMYFUNCTION("""COMPUTED_VALUE"""),"FIP Engineering")</f>
        <v>FIP Engineering</v>
      </c>
      <c r="O4173" s="6" t="str">
        <f>IFERROR(__xludf.DUMMYFUNCTION("""COMPUTED_VALUE"""),"FIP-DOM-000-11304-OS00001-INA-000000")</f>
        <v>FIP-DOM-000-11304-OS00001-INA-000000</v>
      </c>
      <c r="P4173" s="6" t="str">
        <f>IFERROR(__xludf.DUMMYFUNCTION("""COMPUTED_VALUE"""),"PO Closed")</f>
        <v>PO Closed</v>
      </c>
      <c r="Q4173" s="6" t="str">
        <f>IFERROR(__xludf.DUMMYFUNCTION("""COMPUTED_VALUE"""),"GL2507407")</f>
        <v>GL2507407</v>
      </c>
      <c r="R4173" s="57">
        <f>IFERROR(__xludf.DUMMYFUNCTION("""COMPUTED_VALUE"""),45838.0)</f>
        <v>45838</v>
      </c>
      <c r="S4173" s="57">
        <f>IFERROR(__xludf.DUMMYFUNCTION("""COMPUTED_VALUE"""),45839.0)</f>
        <v>45839</v>
      </c>
      <c r="T4173" s="57">
        <f>IFERROR(__xludf.DUMMYFUNCTION("""COMPUTED_VALUE"""),46016.0)</f>
        <v>46016</v>
      </c>
    </row>
    <row r="4174">
      <c r="A4174" s="6" t="str">
        <f>IFERROR(__xludf.DUMMYFUNCTION("""COMPUTED_VALUE"""),"121702933-1")</f>
        <v>121702933-1</v>
      </c>
      <c r="B4174" s="6" t="str">
        <f>IFERROR(__xludf.DUMMYFUNCTION("""COMPUTED_VALUE"""),"121702933 - APPROVED")</f>
        <v>121702933 - APPROVED</v>
      </c>
      <c r="C4174" s="6">
        <f>IFERROR(__xludf.DUMMYFUNCTION("""COMPUTED_VALUE"""),1.0)</f>
        <v>1</v>
      </c>
      <c r="D4174" s="6" t="str">
        <f>IFERROR(__xludf.DUMMYFUNCTION("""COMPUTED_VALUE"""),"Q-10378-00")</f>
        <v>Q-10378-00</v>
      </c>
      <c r="E4174" s="6" t="str">
        <f>IFERROR(__xludf.DUMMYFUNCTION("""COMPUTED_VALUE"""),"Kunci Laci Cam Lock;Huben;PN: HL 103-25 mm;pack size per pcs")</f>
        <v>Kunci Laci Cam Lock;Huben;PN: HL 103-25 mm;pack size per pcs</v>
      </c>
      <c r="F4174" s="6">
        <f>IFERROR(__xludf.DUMMYFUNCTION("""COMPUTED_VALUE"""),5.0)</f>
        <v>5</v>
      </c>
      <c r="G4174" s="6" t="str">
        <f>IFERROR(__xludf.DUMMYFUNCTION("""COMPUTED_VALUE"""),"Pieces")</f>
        <v>Pieces</v>
      </c>
      <c r="H4174" s="6" t="str">
        <f>IFERROR(__xludf.DUMMYFUNCTION("""COMPUTED_VALUE"""),"IDR")</f>
        <v>IDR</v>
      </c>
      <c r="I4174" s="6">
        <f>IFERROR(__xludf.DUMMYFUNCTION("""COMPUTED_VALUE"""),18000.0)</f>
        <v>18000</v>
      </c>
      <c r="J4174" s="6">
        <f>IFERROR(__xludf.DUMMYFUNCTION("""COMPUTED_VALUE"""),90000.0)</f>
        <v>90000</v>
      </c>
      <c r="K4174" s="57">
        <f>IFERROR(__xludf.DUMMYFUNCTION("""COMPUTED_VALUE"""),45905.0)</f>
        <v>45905</v>
      </c>
      <c r="L4174" s="6" t="str">
        <f>IFERROR(__xludf.DUMMYFUNCTION("""COMPUTED_VALUE"""),"FIP Engineering")</f>
        <v>FIP Engineering</v>
      </c>
      <c r="M4174" s="6" t="str">
        <f>IFERROR(__xludf.DUMMYFUNCTION("""COMPUTED_VALUE"""),"Mochammad Fadhillah Hakim,")</f>
        <v>Mochammad Fadhillah Hakim,</v>
      </c>
      <c r="N4174" s="6" t="str">
        <f>IFERROR(__xludf.DUMMYFUNCTION("""COMPUTED_VALUE"""),"FIP Engineering")</f>
        <v>FIP Engineering</v>
      </c>
      <c r="O4174" s="6" t="str">
        <f>IFERROR(__xludf.DUMMYFUNCTION("""COMPUTED_VALUE"""),"FIP-DOM-000-11304-OS00001-INA-000000")</f>
        <v>FIP-DOM-000-11304-OS00001-INA-000000</v>
      </c>
      <c r="P4174" s="6" t="str">
        <f>IFERROR(__xludf.DUMMYFUNCTION("""COMPUTED_VALUE"""),"PO Closed")</f>
        <v>PO Closed</v>
      </c>
      <c r="Q4174" s="6" t="str">
        <f>IFERROR(__xludf.DUMMYFUNCTION("""COMPUTED_VALUE"""),"GL2507027")</f>
        <v>GL2507027</v>
      </c>
      <c r="R4174" s="57">
        <f>IFERROR(__xludf.DUMMYFUNCTION("""COMPUTED_VALUE"""),45838.0)</f>
        <v>45838</v>
      </c>
      <c r="S4174" s="57">
        <f>IFERROR(__xludf.DUMMYFUNCTION("""COMPUTED_VALUE"""),45839.0)</f>
        <v>45839</v>
      </c>
      <c r="T4174" s="57">
        <f>IFERROR(__xludf.DUMMYFUNCTION("""COMPUTED_VALUE"""),45863.0)</f>
        <v>45863</v>
      </c>
    </row>
    <row r="4175">
      <c r="A4175" s="6" t="str">
        <f>IFERROR(__xludf.DUMMYFUNCTION("""COMPUTED_VALUE"""),"121702933-2")</f>
        <v>121702933-2</v>
      </c>
      <c r="B4175" s="6" t="str">
        <f>IFERROR(__xludf.DUMMYFUNCTION("""COMPUTED_VALUE"""),"121702933 - APPROVED")</f>
        <v>121702933 - APPROVED</v>
      </c>
      <c r="C4175" s="6">
        <f>IFERROR(__xludf.DUMMYFUNCTION("""COMPUTED_VALUE"""),2.0)</f>
        <v>2</v>
      </c>
      <c r="D4175" s="6" t="str">
        <f>IFERROR(__xludf.DUMMYFUNCTION("""COMPUTED_VALUE"""),"Q-10401-00")</f>
        <v>Q-10401-00</v>
      </c>
      <c r="E4175" s="6" t="str">
        <f>IFERROR(__xludf.DUMMYFUNCTION("""COMPUTED_VALUE"""),"Kuas Cat Uk. 3 inch;Eterna;Tipe 611;pack size per pcs")</f>
        <v>Kuas Cat Uk. 3 inch;Eterna;Tipe 611;pack size per pcs</v>
      </c>
      <c r="F4175" s="6">
        <f>IFERROR(__xludf.DUMMYFUNCTION("""COMPUTED_VALUE"""),15.0)</f>
        <v>15</v>
      </c>
      <c r="G4175" s="6" t="str">
        <f>IFERROR(__xludf.DUMMYFUNCTION("""COMPUTED_VALUE"""),"Pieces")</f>
        <v>Pieces</v>
      </c>
      <c r="H4175" s="6" t="str">
        <f>IFERROR(__xludf.DUMMYFUNCTION("""COMPUTED_VALUE"""),"IDR")</f>
        <v>IDR</v>
      </c>
      <c r="I4175" s="6">
        <f>IFERROR(__xludf.DUMMYFUNCTION("""COMPUTED_VALUE"""),10000.0)</f>
        <v>10000</v>
      </c>
      <c r="J4175" s="6">
        <f>IFERROR(__xludf.DUMMYFUNCTION("""COMPUTED_VALUE"""),150000.0)</f>
        <v>150000</v>
      </c>
      <c r="K4175" s="57">
        <f>IFERROR(__xludf.DUMMYFUNCTION("""COMPUTED_VALUE"""),45905.0)</f>
        <v>45905</v>
      </c>
      <c r="L4175" s="6" t="str">
        <f>IFERROR(__xludf.DUMMYFUNCTION("""COMPUTED_VALUE"""),"FIP Engineering")</f>
        <v>FIP Engineering</v>
      </c>
      <c r="M4175" s="6" t="str">
        <f>IFERROR(__xludf.DUMMYFUNCTION("""COMPUTED_VALUE"""),"Mochammad Fadhillah Hakim,")</f>
        <v>Mochammad Fadhillah Hakim,</v>
      </c>
      <c r="N4175" s="6" t="str">
        <f>IFERROR(__xludf.DUMMYFUNCTION("""COMPUTED_VALUE"""),"FIP Engineering")</f>
        <v>FIP Engineering</v>
      </c>
      <c r="O4175" s="6" t="str">
        <f>IFERROR(__xludf.DUMMYFUNCTION("""COMPUTED_VALUE"""),"FIP-DOM-000-11304-OS00001-INA-000000")</f>
        <v>FIP-DOM-000-11304-OS00001-INA-000000</v>
      </c>
      <c r="P4175" s="6" t="str">
        <f>IFERROR(__xludf.DUMMYFUNCTION("""COMPUTED_VALUE"""),"PO Closed")</f>
        <v>PO Closed</v>
      </c>
      <c r="Q4175" s="6" t="str">
        <f>IFERROR(__xludf.DUMMYFUNCTION("""COMPUTED_VALUE"""),"GL2507026")</f>
        <v>GL2507026</v>
      </c>
      <c r="R4175" s="57">
        <f>IFERROR(__xludf.DUMMYFUNCTION("""COMPUTED_VALUE"""),45838.0)</f>
        <v>45838</v>
      </c>
      <c r="S4175" s="57">
        <f>IFERROR(__xludf.DUMMYFUNCTION("""COMPUTED_VALUE"""),45839.0)</f>
        <v>45839</v>
      </c>
      <c r="T4175" s="57">
        <f>IFERROR(__xludf.DUMMYFUNCTION("""COMPUTED_VALUE"""),45863.0)</f>
        <v>45863</v>
      </c>
    </row>
    <row r="4176">
      <c r="A4176" s="6" t="str">
        <f>IFERROR(__xludf.DUMMYFUNCTION("""COMPUTED_VALUE"""),"121702934-1")</f>
        <v>121702934-1</v>
      </c>
      <c r="B4176" s="6" t="str">
        <f>IFERROR(__xludf.DUMMYFUNCTION("""COMPUTED_VALUE"""),"121702934 - APPROVED")</f>
        <v>121702934 - APPROVED</v>
      </c>
      <c r="C4176" s="6">
        <f>IFERROR(__xludf.DUMMYFUNCTION("""COMPUTED_VALUE"""),1.0)</f>
        <v>1</v>
      </c>
      <c r="D4176" s="6" t="str">
        <f>IFERROR(__xludf.DUMMYFUNCTION("""COMPUTED_VALUE"""),"P-12749-00")</f>
        <v>P-12749-00</v>
      </c>
      <c r="E4176" s="6" t="str">
        <f>IFERROR(__xludf.DUMMYFUNCTION("""COMPUTED_VALUE"""),"RUCIKA - Pipa PVC AW dia 1 inch Warna Abu-Abu")</f>
        <v>RUCIKA - Pipa PVC AW dia 1 inch Warna Abu-Abu</v>
      </c>
      <c r="F4176" s="6">
        <f>IFERROR(__xludf.DUMMYFUNCTION("""COMPUTED_VALUE"""),4.0)</f>
        <v>4</v>
      </c>
      <c r="G4176" s="6" t="str">
        <f>IFERROR(__xludf.DUMMYFUNCTION("""COMPUTED_VALUE"""),"Pieces")</f>
        <v>Pieces</v>
      </c>
      <c r="H4176" s="6" t="str">
        <f>IFERROR(__xludf.DUMMYFUNCTION("""COMPUTED_VALUE"""),"IDR")</f>
        <v>IDR</v>
      </c>
      <c r="I4176" s="6">
        <f>IFERROR(__xludf.DUMMYFUNCTION("""COMPUTED_VALUE"""),79000.0)</f>
        <v>79000</v>
      </c>
      <c r="J4176" s="6">
        <f>IFERROR(__xludf.DUMMYFUNCTION("""COMPUTED_VALUE"""),316000.0)</f>
        <v>316000</v>
      </c>
      <c r="K4176" s="57">
        <f>IFERROR(__xludf.DUMMYFUNCTION("""COMPUTED_VALUE"""),45905.0)</f>
        <v>45905</v>
      </c>
      <c r="L4176" s="6" t="str">
        <f>IFERROR(__xludf.DUMMYFUNCTION("""COMPUTED_VALUE"""),"FIP Engineering")</f>
        <v>FIP Engineering</v>
      </c>
      <c r="M4176" s="6" t="str">
        <f>IFERROR(__xludf.DUMMYFUNCTION("""COMPUTED_VALUE"""),"Mochammad Fadhillah Hakim,")</f>
        <v>Mochammad Fadhillah Hakim,</v>
      </c>
      <c r="N4176" s="6" t="str">
        <f>IFERROR(__xludf.DUMMYFUNCTION("""COMPUTED_VALUE"""),"FIP Engineering")</f>
        <v>FIP Engineering</v>
      </c>
      <c r="O4176" s="6" t="str">
        <f>IFERROR(__xludf.DUMMYFUNCTION("""COMPUTED_VALUE"""),"FIP-DOM-000-11304-OS00001-INA-000000")</f>
        <v>FIP-DOM-000-11304-OS00001-INA-000000</v>
      </c>
      <c r="P4176" s="6" t="str">
        <f>IFERROR(__xludf.DUMMYFUNCTION("""COMPUTED_VALUE"""),"PO Closed")</f>
        <v>PO Closed</v>
      </c>
      <c r="Q4176" s="6" t="str">
        <f>IFERROR(__xludf.DUMMYFUNCTION("""COMPUTED_VALUE"""),"GL2506402")</f>
        <v>GL2506402</v>
      </c>
      <c r="R4176" s="57">
        <f>IFERROR(__xludf.DUMMYFUNCTION("""COMPUTED_VALUE"""),45838.0)</f>
        <v>45838</v>
      </c>
      <c r="S4176" s="57">
        <f>IFERROR(__xludf.DUMMYFUNCTION("""COMPUTED_VALUE"""),45839.0)</f>
        <v>45839</v>
      </c>
      <c r="T4176" s="57">
        <f>IFERROR(__xludf.DUMMYFUNCTION("""COMPUTED_VALUE"""),45905.0)</f>
        <v>45905</v>
      </c>
    </row>
    <row r="4177">
      <c r="A4177" s="6" t="str">
        <f>IFERROR(__xludf.DUMMYFUNCTION("""COMPUTED_VALUE"""),"121702941-1")</f>
        <v>121702941-1</v>
      </c>
      <c r="B4177" s="6" t="str">
        <f>IFERROR(__xludf.DUMMYFUNCTION("""COMPUTED_VALUE"""),"121702941 - APPROVED")</f>
        <v>121702941 - APPROVED</v>
      </c>
      <c r="C4177" s="6">
        <f>IFERROR(__xludf.DUMMYFUNCTION("""COMPUTED_VALUE"""),1.0)</f>
        <v>1</v>
      </c>
      <c r="D4177" s="6" t="str">
        <f>IFERROR(__xludf.DUMMYFUNCTION("""COMPUTED_VALUE"""),"S-60050-00")</f>
        <v>S-60050-00</v>
      </c>
      <c r="E4177" s="6" t="str">
        <f>IFERROR(__xludf.DUMMYFUNCTION("""COMPUTED_VALUE"""),"Jasa Perbaikan dan Pemeliharaan Mesin Produksi; ; ; - Perbaikan Needle Washing")</f>
        <v>Jasa Perbaikan dan Pemeliharaan Mesin Produksi; ; ; - Perbaikan Needle Washing</v>
      </c>
      <c r="F4177" s="6">
        <f>IFERROR(__xludf.DUMMYFUNCTION("""COMPUTED_VALUE"""),1.0)</f>
        <v>1</v>
      </c>
      <c r="G4177" s="6" t="str">
        <f>IFERROR(__xludf.DUMMYFUNCTION("""COMPUTED_VALUE"""),"Pieces")</f>
        <v>Pieces</v>
      </c>
      <c r="H4177" s="6" t="str">
        <f>IFERROR(__xludf.DUMMYFUNCTION("""COMPUTED_VALUE"""),"IDR")</f>
        <v>IDR</v>
      </c>
      <c r="I4177" s="6">
        <f>IFERROR(__xludf.DUMMYFUNCTION("""COMPUTED_VALUE"""),985000.0)</f>
        <v>985000</v>
      </c>
      <c r="J4177" s="6">
        <f>IFERROR(__xludf.DUMMYFUNCTION("""COMPUTED_VALUE"""),985000.0)</f>
        <v>985000</v>
      </c>
      <c r="K4177" s="57">
        <f>IFERROR(__xludf.DUMMYFUNCTION("""COMPUTED_VALUE"""),45877.0)</f>
        <v>45877</v>
      </c>
      <c r="L4177" s="6" t="str">
        <f>IFERROR(__xludf.DUMMYFUNCTION("""COMPUTED_VALUE"""),"FIP General")</f>
        <v>FIP General</v>
      </c>
      <c r="M4177" s="6" t="str">
        <f>IFERROR(__xludf.DUMMYFUNCTION("""COMPUTED_VALUE"""),"Mochammad Fadhillah Hakim,")</f>
        <v>Mochammad Fadhillah Hakim,</v>
      </c>
      <c r="N4177" s="6" t="str">
        <f>IFERROR(__xludf.DUMMYFUNCTION("""COMPUTED_VALUE"""),"FIP Engineering")</f>
        <v>FIP Engineering</v>
      </c>
      <c r="O4177" s="6" t="str">
        <f>IFERROR(__xludf.DUMMYFUNCTION("""COMPUTED_VALUE"""),"FIP-DOM-ENG-51504-0000000-INA-000000")</f>
        <v>FIP-DOM-ENG-51504-0000000-INA-000000</v>
      </c>
      <c r="P4177" s="6" t="str">
        <f>IFERROR(__xludf.DUMMYFUNCTION("""COMPUTED_VALUE"""),"PO Closed")</f>
        <v>PO Closed</v>
      </c>
      <c r="Q4177" s="6" t="str">
        <f>IFERROR(__xludf.DUMMYFUNCTION("""COMPUTED_VALUE"""),"GL2507017")</f>
        <v>GL2507017</v>
      </c>
      <c r="R4177" s="57">
        <f>IFERROR(__xludf.DUMMYFUNCTION("""COMPUTED_VALUE"""),45840.0)</f>
        <v>45840</v>
      </c>
      <c r="S4177" s="57">
        <f>IFERROR(__xludf.DUMMYFUNCTION("""COMPUTED_VALUE"""),45842.0)</f>
        <v>45842</v>
      </c>
      <c r="T4177" s="57">
        <f>IFERROR(__xludf.DUMMYFUNCTION("""COMPUTED_VALUE"""),45899.0)</f>
        <v>45899</v>
      </c>
    </row>
    <row r="4178">
      <c r="A4178" s="6" t="str">
        <f>IFERROR(__xludf.DUMMYFUNCTION("""COMPUTED_VALUE"""),"121702941-2")</f>
        <v>121702941-2</v>
      </c>
      <c r="B4178" s="6" t="str">
        <f>IFERROR(__xludf.DUMMYFUNCTION("""COMPUTED_VALUE"""),"121702941 - APPROVED")</f>
        <v>121702941 - APPROVED</v>
      </c>
      <c r="C4178" s="6">
        <f>IFERROR(__xludf.DUMMYFUNCTION("""COMPUTED_VALUE"""),2.0)</f>
        <v>2</v>
      </c>
      <c r="D4178" s="6" t="str">
        <f>IFERROR(__xludf.DUMMYFUNCTION("""COMPUTED_VALUE"""),"S-60050-00")</f>
        <v>S-60050-00</v>
      </c>
      <c r="E4178" s="6" t="str">
        <f>IFERROR(__xludf.DUMMYFUNCTION("""COMPUTED_VALUE"""),"Jasa Perbaikan dan Pemeliharaan Mesin Produksi; ; ; - Perbaikan Needle EDM")</f>
        <v>Jasa Perbaikan dan Pemeliharaan Mesin Produksi; ; ; - Perbaikan Needle EDM</v>
      </c>
      <c r="F4178" s="6">
        <f>IFERROR(__xludf.DUMMYFUNCTION("""COMPUTED_VALUE"""),1.0)</f>
        <v>1</v>
      </c>
      <c r="G4178" s="6" t="str">
        <f>IFERROR(__xludf.DUMMYFUNCTION("""COMPUTED_VALUE"""),"Pieces")</f>
        <v>Pieces</v>
      </c>
      <c r="H4178" s="6" t="str">
        <f>IFERROR(__xludf.DUMMYFUNCTION("""COMPUTED_VALUE"""),"IDR")</f>
        <v>IDR</v>
      </c>
      <c r="I4178" s="6">
        <f>IFERROR(__xludf.DUMMYFUNCTION("""COMPUTED_VALUE"""),885000.0)</f>
        <v>885000</v>
      </c>
      <c r="J4178" s="6">
        <f>IFERROR(__xludf.DUMMYFUNCTION("""COMPUTED_VALUE"""),885000.0)</f>
        <v>885000</v>
      </c>
      <c r="K4178" s="57">
        <f>IFERROR(__xludf.DUMMYFUNCTION("""COMPUTED_VALUE"""),45877.0)</f>
        <v>45877</v>
      </c>
      <c r="L4178" s="6" t="str">
        <f>IFERROR(__xludf.DUMMYFUNCTION("""COMPUTED_VALUE"""),"FIP General")</f>
        <v>FIP General</v>
      </c>
      <c r="M4178" s="6" t="str">
        <f>IFERROR(__xludf.DUMMYFUNCTION("""COMPUTED_VALUE"""),"Mochammad Fadhillah Hakim,")</f>
        <v>Mochammad Fadhillah Hakim,</v>
      </c>
      <c r="N4178" s="6" t="str">
        <f>IFERROR(__xludf.DUMMYFUNCTION("""COMPUTED_VALUE"""),"FIP Engineering")</f>
        <v>FIP Engineering</v>
      </c>
      <c r="O4178" s="6" t="str">
        <f>IFERROR(__xludf.DUMMYFUNCTION("""COMPUTED_VALUE"""),"FIP-DOM-ENG-51504-0000000-INA-000000")</f>
        <v>FIP-DOM-ENG-51504-0000000-INA-000000</v>
      </c>
      <c r="P4178" s="6" t="str">
        <f>IFERROR(__xludf.DUMMYFUNCTION("""COMPUTED_VALUE"""),"PO Closed")</f>
        <v>PO Closed</v>
      </c>
      <c r="Q4178" s="6" t="str">
        <f>IFERROR(__xludf.DUMMYFUNCTION("""COMPUTED_VALUE"""),"GL2507017")</f>
        <v>GL2507017</v>
      </c>
      <c r="R4178" s="57">
        <f>IFERROR(__xludf.DUMMYFUNCTION("""COMPUTED_VALUE"""),45840.0)</f>
        <v>45840</v>
      </c>
      <c r="S4178" s="57">
        <f>IFERROR(__xludf.DUMMYFUNCTION("""COMPUTED_VALUE"""),45842.0)</f>
        <v>45842</v>
      </c>
      <c r="T4178" s="57">
        <f>IFERROR(__xludf.DUMMYFUNCTION("""COMPUTED_VALUE"""),45899.0)</f>
        <v>45899</v>
      </c>
    </row>
    <row r="4179">
      <c r="A4179" s="6" t="str">
        <f>IFERROR(__xludf.DUMMYFUNCTION("""COMPUTED_VALUE"""),"121702942-1")</f>
        <v>121702942-1</v>
      </c>
      <c r="B4179" s="6" t="str">
        <f>IFERROR(__xludf.DUMMYFUNCTION("""COMPUTED_VALUE"""),"121702942 - APPROVED")</f>
        <v>121702942 - APPROVED</v>
      </c>
      <c r="C4179" s="6">
        <f>IFERROR(__xludf.DUMMYFUNCTION("""COMPUTED_VALUE"""),1.0)</f>
        <v>1</v>
      </c>
      <c r="D4179" s="6" t="str">
        <f>IFERROR(__xludf.DUMMYFUNCTION("""COMPUTED_VALUE"""),"P-12994-00")</f>
        <v>P-12994-00</v>
      </c>
      <c r="E4179" s="6" t="str">
        <f>IFERROR(__xludf.DUMMYFUNCTION("""COMPUTED_VALUE"""),"General - Adhesive Tape - ; Nippon; ASF-110FR; 1 pc")</f>
        <v>General - Adhesive Tape - ; Nippon; ASF-110FR; 1 pc</v>
      </c>
      <c r="F4179" s="6">
        <f>IFERROR(__xludf.DUMMYFUNCTION("""COMPUTED_VALUE"""),4.0)</f>
        <v>4</v>
      </c>
      <c r="G4179" s="6" t="str">
        <f>IFERROR(__xludf.DUMMYFUNCTION("""COMPUTED_VALUE"""),"Pieces")</f>
        <v>Pieces</v>
      </c>
      <c r="H4179" s="6" t="str">
        <f>IFERROR(__xludf.DUMMYFUNCTION("""COMPUTED_VALUE"""),"IDR")</f>
        <v>IDR</v>
      </c>
      <c r="I4179" s="6">
        <f>IFERROR(__xludf.DUMMYFUNCTION("""COMPUTED_VALUE"""),550000.0)</f>
        <v>550000</v>
      </c>
      <c r="J4179" s="6">
        <f>IFERROR(__xludf.DUMMYFUNCTION("""COMPUTED_VALUE"""),2200000.0)</f>
        <v>2200000</v>
      </c>
      <c r="K4179" s="57">
        <f>IFERROR(__xludf.DUMMYFUNCTION("""COMPUTED_VALUE"""),45877.0)</f>
        <v>45877</v>
      </c>
      <c r="L4179" s="6" t="str">
        <f>IFERROR(__xludf.DUMMYFUNCTION("""COMPUTED_VALUE"""),"FIP Engineering")</f>
        <v>FIP Engineering</v>
      </c>
      <c r="M4179" s="6" t="str">
        <f>IFERROR(__xludf.DUMMYFUNCTION("""COMPUTED_VALUE"""),"Mochammad Fadhillah Hakim,")</f>
        <v>Mochammad Fadhillah Hakim,</v>
      </c>
      <c r="N4179" s="6" t="str">
        <f>IFERROR(__xludf.DUMMYFUNCTION("""COMPUTED_VALUE"""),"FIP Engineering")</f>
        <v>FIP Engineering</v>
      </c>
      <c r="O4179" s="6" t="str">
        <f>IFERROR(__xludf.DUMMYFUNCTION("""COMPUTED_VALUE"""),"FIP-DOM-000-11304-OS00001-INA-000000")</f>
        <v>FIP-DOM-000-11304-OS00001-INA-000000</v>
      </c>
      <c r="P4179" s="6" t="str">
        <f>IFERROR(__xludf.DUMMYFUNCTION("""COMPUTED_VALUE"""),"PO Closed")</f>
        <v>PO Closed</v>
      </c>
      <c r="Q4179" s="6" t="str">
        <f>IFERROR(__xludf.DUMMYFUNCTION("""COMPUTED_VALUE"""),"GL2507408")</f>
        <v>GL2507408</v>
      </c>
      <c r="R4179" s="57">
        <f>IFERROR(__xludf.DUMMYFUNCTION("""COMPUTED_VALUE"""),45840.0)</f>
        <v>45840</v>
      </c>
      <c r="S4179" s="57">
        <f>IFERROR(__xludf.DUMMYFUNCTION("""COMPUTED_VALUE"""),45842.0)</f>
        <v>45842</v>
      </c>
      <c r="T4179" s="57">
        <f>IFERROR(__xludf.DUMMYFUNCTION("""COMPUTED_VALUE"""),45868.0)</f>
        <v>45868</v>
      </c>
    </row>
    <row r="4180">
      <c r="A4180" s="6" t="str">
        <f>IFERROR(__xludf.DUMMYFUNCTION("""COMPUTED_VALUE"""),"121702943-1")</f>
        <v>121702943-1</v>
      </c>
      <c r="B4180" s="6" t="str">
        <f>IFERROR(__xludf.DUMMYFUNCTION("""COMPUTED_VALUE"""),"121702943 - APPROVED")</f>
        <v>121702943 - APPROVED</v>
      </c>
      <c r="C4180" s="6">
        <f>IFERROR(__xludf.DUMMYFUNCTION("""COMPUTED_VALUE"""),1.0)</f>
        <v>1</v>
      </c>
      <c r="D4180" s="6" t="str">
        <f>IFERROR(__xludf.DUMMYFUNCTION("""COMPUTED_VALUE"""),"S-62032-00")</f>
        <v>S-62032-00</v>
      </c>
      <c r="E4180" s="6" t="str">
        <f>IFERROR(__xludf.DUMMYFUNCTION("""COMPUTED_VALUE"""),"Gas Argon (Ar); 1.5 M3; Refill;  Industrial Grade; Purity ? 99.95%")</f>
        <v>Gas Argon (Ar); 1.5 M3; Refill;  Industrial Grade; Purity ? 99.95%</v>
      </c>
      <c r="F4180" s="6">
        <f>IFERROR(__xludf.DUMMYFUNCTION("""COMPUTED_VALUE"""),1.0)</f>
        <v>1</v>
      </c>
      <c r="G4180" s="6" t="str">
        <f>IFERROR(__xludf.DUMMYFUNCTION("""COMPUTED_VALUE"""),"Tube")</f>
        <v>Tube</v>
      </c>
      <c r="H4180" s="6" t="str">
        <f>IFERROR(__xludf.DUMMYFUNCTION("""COMPUTED_VALUE"""),"IDR")</f>
        <v>IDR</v>
      </c>
      <c r="I4180" s="6">
        <f>IFERROR(__xludf.DUMMYFUNCTION("""COMPUTED_VALUE"""),155000.0)</f>
        <v>155000</v>
      </c>
      <c r="J4180" s="6">
        <f>IFERROR(__xludf.DUMMYFUNCTION("""COMPUTED_VALUE"""),155000.0)</f>
        <v>155000</v>
      </c>
      <c r="K4180" s="57">
        <f>IFERROR(__xludf.DUMMYFUNCTION("""COMPUTED_VALUE"""),45877.0)</f>
        <v>45877</v>
      </c>
      <c r="L4180" s="6" t="str">
        <f>IFERROR(__xludf.DUMMYFUNCTION("""COMPUTED_VALUE"""),"FIP General")</f>
        <v>FIP General</v>
      </c>
      <c r="M4180" s="6" t="str">
        <f>IFERROR(__xludf.DUMMYFUNCTION("""COMPUTED_VALUE"""),"Mochammad Fadhillah Hakim,")</f>
        <v>Mochammad Fadhillah Hakim,</v>
      </c>
      <c r="N4180" s="6" t="str">
        <f>IFERROR(__xludf.DUMMYFUNCTION("""COMPUTED_VALUE"""),"FIP Engineering")</f>
        <v>FIP Engineering</v>
      </c>
      <c r="O4180" s="6" t="str">
        <f>IFERROR(__xludf.DUMMYFUNCTION("""COMPUTED_VALUE"""),"FIP-DOM-ENG-51404-0000000-INA-000000")</f>
        <v>FIP-DOM-ENG-51404-0000000-INA-000000</v>
      </c>
      <c r="P4180" s="6" t="str">
        <f>IFERROR(__xludf.DUMMYFUNCTION("""COMPUTED_VALUE"""),"PO Closed")</f>
        <v>PO Closed</v>
      </c>
      <c r="Q4180" s="6" t="str">
        <f>IFERROR(__xludf.DUMMYFUNCTION("""COMPUTED_VALUE"""),"GL2510030")</f>
        <v>GL2510030</v>
      </c>
      <c r="R4180" s="57">
        <f>IFERROR(__xludf.DUMMYFUNCTION("""COMPUTED_VALUE"""),45840.0)</f>
        <v>45840</v>
      </c>
      <c r="S4180" s="57">
        <f>IFERROR(__xludf.DUMMYFUNCTION("""COMPUTED_VALUE"""),45842.0)</f>
        <v>45842</v>
      </c>
      <c r="T4180" s="57">
        <f>IFERROR(__xludf.DUMMYFUNCTION("""COMPUTED_VALUE"""),45957.0)</f>
        <v>45957</v>
      </c>
    </row>
    <row r="4181">
      <c r="A4181" s="6" t="str">
        <f>IFERROR(__xludf.DUMMYFUNCTION("""COMPUTED_VALUE"""),"121702944-1")</f>
        <v>121702944-1</v>
      </c>
      <c r="B4181" s="6" t="str">
        <f>IFERROR(__xludf.DUMMYFUNCTION("""COMPUTED_VALUE"""),"121702944 - APPROVED")</f>
        <v>121702944 - APPROVED</v>
      </c>
      <c r="C4181" s="6">
        <f>IFERROR(__xludf.DUMMYFUNCTION("""COMPUTED_VALUE"""),1.0)</f>
        <v>1</v>
      </c>
      <c r="D4181" s="6" t="str">
        <f>IFERROR(__xludf.DUMMYFUNCTION("""COMPUTED_VALUE"""),"P-19771-00")</f>
        <v>P-19771-00</v>
      </c>
      <c r="E4181" s="6" t="str">
        <f>IFERROR(__xludf.DUMMYFUNCTION("""COMPUTED_VALUE"""),"General - Clamping Ring DN20-25 ISO-KF; No Brand; -; 1 pc")</f>
        <v>General - Clamping Ring DN20-25 ISO-KF; No Brand; -; 1 pc</v>
      </c>
      <c r="F4181" s="6">
        <f>IFERROR(__xludf.DUMMYFUNCTION("""COMPUTED_VALUE"""),5.0)</f>
        <v>5</v>
      </c>
      <c r="G4181" s="6" t="str">
        <f>IFERROR(__xludf.DUMMYFUNCTION("""COMPUTED_VALUE"""),"Pieces")</f>
        <v>Pieces</v>
      </c>
      <c r="H4181" s="6" t="str">
        <f>IFERROR(__xludf.DUMMYFUNCTION("""COMPUTED_VALUE"""),"IDR")</f>
        <v>IDR</v>
      </c>
      <c r="I4181" s="6">
        <f>IFERROR(__xludf.DUMMYFUNCTION("""COMPUTED_VALUE"""),225000.0)</f>
        <v>225000</v>
      </c>
      <c r="J4181" s="6">
        <f>IFERROR(__xludf.DUMMYFUNCTION("""COMPUTED_VALUE"""),1125000.0)</f>
        <v>1125000</v>
      </c>
      <c r="K4181" s="57">
        <f>IFERROR(__xludf.DUMMYFUNCTION("""COMPUTED_VALUE"""),45877.0)</f>
        <v>45877</v>
      </c>
      <c r="L4181" s="6" t="str">
        <f>IFERROR(__xludf.DUMMYFUNCTION("""COMPUTED_VALUE"""),"FIP Engineering")</f>
        <v>FIP Engineering</v>
      </c>
      <c r="M4181" s="6" t="str">
        <f>IFERROR(__xludf.DUMMYFUNCTION("""COMPUTED_VALUE"""),"Mochammad Fadhillah Hakim,")</f>
        <v>Mochammad Fadhillah Hakim,</v>
      </c>
      <c r="N4181" s="6" t="str">
        <f>IFERROR(__xludf.DUMMYFUNCTION("""COMPUTED_VALUE"""),"FIP Engineering")</f>
        <v>FIP Engineering</v>
      </c>
      <c r="O4181" s="6" t="str">
        <f>IFERROR(__xludf.DUMMYFUNCTION("""COMPUTED_VALUE"""),"FIP-DOM-000-11304-OS00001-INA-000000")</f>
        <v>FIP-DOM-000-11304-OS00001-INA-000000</v>
      </c>
      <c r="P4181" s="6" t="str">
        <f>IFERROR(__xludf.DUMMYFUNCTION("""COMPUTED_VALUE"""),"PO Closed")</f>
        <v>PO Closed</v>
      </c>
      <c r="Q4181" s="6" t="str">
        <f>IFERROR(__xludf.DUMMYFUNCTION("""COMPUTED_VALUE"""),"GL2507407")</f>
        <v>GL2507407</v>
      </c>
      <c r="R4181" s="57">
        <f>IFERROR(__xludf.DUMMYFUNCTION("""COMPUTED_VALUE"""),45840.0)</f>
        <v>45840</v>
      </c>
      <c r="S4181" s="57">
        <f>IFERROR(__xludf.DUMMYFUNCTION("""COMPUTED_VALUE"""),45844.0)</f>
        <v>45844</v>
      </c>
      <c r="T4181" s="57">
        <f>IFERROR(__xludf.DUMMYFUNCTION("""COMPUTED_VALUE"""),46003.0)</f>
        <v>46003</v>
      </c>
    </row>
    <row r="4182">
      <c r="A4182" s="6" t="str">
        <f>IFERROR(__xludf.DUMMYFUNCTION("""COMPUTED_VALUE"""),"121702944-2")</f>
        <v>121702944-2</v>
      </c>
      <c r="B4182" s="6" t="str">
        <f>IFERROR(__xludf.DUMMYFUNCTION("""COMPUTED_VALUE"""),"121702944 - APPROVED")</f>
        <v>121702944 - APPROVED</v>
      </c>
      <c r="C4182" s="6">
        <f>IFERROR(__xludf.DUMMYFUNCTION("""COMPUTED_VALUE"""),2.0)</f>
        <v>2</v>
      </c>
      <c r="D4182" s="6" t="str">
        <f>IFERROR(__xludf.DUMMYFUNCTION("""COMPUTED_VALUE"""),"P-19957-00")</f>
        <v>P-19957-00</v>
      </c>
      <c r="E4182" s="6" t="str">
        <f>IFERROR(__xludf.DUMMYFUNCTION("""COMPUTED_VALUE"""),"General - Vacuum Ferrule KF25; No Brand; -; 1 pc")</f>
        <v>General - Vacuum Ferrule KF25; No Brand; -; 1 pc</v>
      </c>
      <c r="F4182" s="6">
        <f>IFERROR(__xludf.DUMMYFUNCTION("""COMPUTED_VALUE"""),4.0)</f>
        <v>4</v>
      </c>
      <c r="G4182" s="6" t="str">
        <f>IFERROR(__xludf.DUMMYFUNCTION("""COMPUTED_VALUE"""),"Pieces")</f>
        <v>Pieces</v>
      </c>
      <c r="H4182" s="6" t="str">
        <f>IFERROR(__xludf.DUMMYFUNCTION("""COMPUTED_VALUE"""),"IDR")</f>
        <v>IDR</v>
      </c>
      <c r="I4182" s="6">
        <f>IFERROR(__xludf.DUMMYFUNCTION("""COMPUTED_VALUE"""),120000.0)</f>
        <v>120000</v>
      </c>
      <c r="J4182" s="6">
        <f>IFERROR(__xludf.DUMMYFUNCTION("""COMPUTED_VALUE"""),480000.0)</f>
        <v>480000</v>
      </c>
      <c r="K4182" s="57">
        <f>IFERROR(__xludf.DUMMYFUNCTION("""COMPUTED_VALUE"""),45877.0)</f>
        <v>45877</v>
      </c>
      <c r="L4182" s="6" t="str">
        <f>IFERROR(__xludf.DUMMYFUNCTION("""COMPUTED_VALUE"""),"FIP Engineering")</f>
        <v>FIP Engineering</v>
      </c>
      <c r="M4182" s="6" t="str">
        <f>IFERROR(__xludf.DUMMYFUNCTION("""COMPUTED_VALUE"""),"Mochammad Fadhillah Hakim,")</f>
        <v>Mochammad Fadhillah Hakim,</v>
      </c>
      <c r="N4182" s="6" t="str">
        <f>IFERROR(__xludf.DUMMYFUNCTION("""COMPUTED_VALUE"""),"FIP Engineering")</f>
        <v>FIP Engineering</v>
      </c>
      <c r="O4182" s="6" t="str">
        <f>IFERROR(__xludf.DUMMYFUNCTION("""COMPUTED_VALUE"""),"FIP-DOM-000-11304-OS00001-INA-000000")</f>
        <v>FIP-DOM-000-11304-OS00001-INA-000000</v>
      </c>
      <c r="P4182" s="6" t="str">
        <f>IFERROR(__xludf.DUMMYFUNCTION("""COMPUTED_VALUE"""),"PO Closed")</f>
        <v>PO Closed</v>
      </c>
      <c r="Q4182" s="6" t="str">
        <f>IFERROR(__xludf.DUMMYFUNCTION("""COMPUTED_VALUE"""),"GL2507407")</f>
        <v>GL2507407</v>
      </c>
      <c r="R4182" s="57">
        <f>IFERROR(__xludf.DUMMYFUNCTION("""COMPUTED_VALUE"""),45840.0)</f>
        <v>45840</v>
      </c>
      <c r="S4182" s="57">
        <f>IFERROR(__xludf.DUMMYFUNCTION("""COMPUTED_VALUE"""),45844.0)</f>
        <v>45844</v>
      </c>
      <c r="T4182" s="57">
        <f>IFERROR(__xludf.DUMMYFUNCTION("""COMPUTED_VALUE"""),46003.0)</f>
        <v>46003</v>
      </c>
    </row>
    <row r="4183">
      <c r="A4183" s="6" t="str">
        <f>IFERROR(__xludf.DUMMYFUNCTION("""COMPUTED_VALUE"""),"121702944-3")</f>
        <v>121702944-3</v>
      </c>
      <c r="B4183" s="6" t="str">
        <f>IFERROR(__xludf.DUMMYFUNCTION("""COMPUTED_VALUE"""),"121702944 - APPROVED")</f>
        <v>121702944 - APPROVED</v>
      </c>
      <c r="C4183" s="6">
        <f>IFERROR(__xludf.DUMMYFUNCTION("""COMPUTED_VALUE"""),3.0)</f>
        <v>3</v>
      </c>
      <c r="D4183" s="6" t="str">
        <f>IFERROR(__xludf.DUMMYFUNCTION("""COMPUTED_VALUE"""),"P-19958-00")</f>
        <v>P-19958-00</v>
      </c>
      <c r="E4183" s="6" t="str">
        <f>IFERROR(__xludf.DUMMYFUNCTION("""COMPUTED_VALUE"""),"General - Vacuum Ferrule KF16; No Brand; -; 1 pc")</f>
        <v>General - Vacuum Ferrule KF16; No Brand; -; 1 pc</v>
      </c>
      <c r="F4183" s="6">
        <f>IFERROR(__xludf.DUMMYFUNCTION("""COMPUTED_VALUE"""),4.0)</f>
        <v>4</v>
      </c>
      <c r="G4183" s="6" t="str">
        <f>IFERROR(__xludf.DUMMYFUNCTION("""COMPUTED_VALUE"""),"Pieces")</f>
        <v>Pieces</v>
      </c>
      <c r="H4183" s="6" t="str">
        <f>IFERROR(__xludf.DUMMYFUNCTION("""COMPUTED_VALUE"""),"IDR")</f>
        <v>IDR</v>
      </c>
      <c r="I4183" s="6">
        <f>IFERROR(__xludf.DUMMYFUNCTION("""COMPUTED_VALUE"""),100000.0)</f>
        <v>100000</v>
      </c>
      <c r="J4183" s="6">
        <f>IFERROR(__xludf.DUMMYFUNCTION("""COMPUTED_VALUE"""),400000.0)</f>
        <v>400000</v>
      </c>
      <c r="K4183" s="57">
        <f>IFERROR(__xludf.DUMMYFUNCTION("""COMPUTED_VALUE"""),45877.0)</f>
        <v>45877</v>
      </c>
      <c r="L4183" s="6" t="str">
        <f>IFERROR(__xludf.DUMMYFUNCTION("""COMPUTED_VALUE"""),"FIP Engineering")</f>
        <v>FIP Engineering</v>
      </c>
      <c r="M4183" s="6" t="str">
        <f>IFERROR(__xludf.DUMMYFUNCTION("""COMPUTED_VALUE"""),"Mochammad Fadhillah Hakim,")</f>
        <v>Mochammad Fadhillah Hakim,</v>
      </c>
      <c r="N4183" s="6" t="str">
        <f>IFERROR(__xludf.DUMMYFUNCTION("""COMPUTED_VALUE"""),"FIP Engineering")</f>
        <v>FIP Engineering</v>
      </c>
      <c r="O4183" s="6" t="str">
        <f>IFERROR(__xludf.DUMMYFUNCTION("""COMPUTED_VALUE"""),"FIP-DOM-000-11304-OS00001-INA-000000")</f>
        <v>FIP-DOM-000-11304-OS00001-INA-000000</v>
      </c>
      <c r="P4183" s="6" t="str">
        <f>IFERROR(__xludf.DUMMYFUNCTION("""COMPUTED_VALUE"""),"PO Closed")</f>
        <v>PO Closed</v>
      </c>
      <c r="Q4183" s="6" t="str">
        <f>IFERROR(__xludf.DUMMYFUNCTION("""COMPUTED_VALUE"""),"GL2507407")</f>
        <v>GL2507407</v>
      </c>
      <c r="R4183" s="57">
        <f>IFERROR(__xludf.DUMMYFUNCTION("""COMPUTED_VALUE"""),45840.0)</f>
        <v>45840</v>
      </c>
      <c r="S4183" s="57">
        <f>IFERROR(__xludf.DUMMYFUNCTION("""COMPUTED_VALUE"""),45844.0)</f>
        <v>45844</v>
      </c>
      <c r="T4183" s="57">
        <f>IFERROR(__xludf.DUMMYFUNCTION("""COMPUTED_VALUE"""),46003.0)</f>
        <v>46003</v>
      </c>
    </row>
    <row r="4184">
      <c r="A4184" s="6" t="str">
        <f>IFERROR(__xludf.DUMMYFUNCTION("""COMPUTED_VALUE"""),"121702944-4")</f>
        <v>121702944-4</v>
      </c>
      <c r="B4184" s="6" t="str">
        <f>IFERROR(__xludf.DUMMYFUNCTION("""COMPUTED_VALUE"""),"121702944 - APPROVED")</f>
        <v>121702944 - APPROVED</v>
      </c>
      <c r="C4184" s="6">
        <f>IFERROR(__xludf.DUMMYFUNCTION("""COMPUTED_VALUE"""),4.0)</f>
        <v>4</v>
      </c>
      <c r="D4184" s="6" t="str">
        <f>IFERROR(__xludf.DUMMYFUNCTION("""COMPUTED_VALUE"""),"P-19896-00")</f>
        <v>P-19896-00</v>
      </c>
      <c r="E4184" s="6" t="str">
        <f>IFERROR(__xludf.DUMMYFUNCTION("""COMPUTED_VALUE"""),"General - Quick Coupler 3/8inch to Female Drat Dalam 3/8inch; No Brand; -; 1 pc")</f>
        <v>General - Quick Coupler 3/8inch to Female Drat Dalam 3/8inch; No Brand; -; 1 pc</v>
      </c>
      <c r="F4184" s="6">
        <f>IFERROR(__xludf.DUMMYFUNCTION("""COMPUTED_VALUE"""),1.0)</f>
        <v>1</v>
      </c>
      <c r="G4184" s="6" t="str">
        <f>IFERROR(__xludf.DUMMYFUNCTION("""COMPUTED_VALUE"""),"Pieces")</f>
        <v>Pieces</v>
      </c>
      <c r="H4184" s="6" t="str">
        <f>IFERROR(__xludf.DUMMYFUNCTION("""COMPUTED_VALUE"""),"IDR")</f>
        <v>IDR</v>
      </c>
      <c r="I4184" s="6">
        <f>IFERROR(__xludf.DUMMYFUNCTION("""COMPUTED_VALUE"""),75000.0)</f>
        <v>75000</v>
      </c>
      <c r="J4184" s="6">
        <f>IFERROR(__xludf.DUMMYFUNCTION("""COMPUTED_VALUE"""),75000.0)</f>
        <v>75000</v>
      </c>
      <c r="K4184" s="57">
        <f>IFERROR(__xludf.DUMMYFUNCTION("""COMPUTED_VALUE"""),45877.0)</f>
        <v>45877</v>
      </c>
      <c r="L4184" s="6" t="str">
        <f>IFERROR(__xludf.DUMMYFUNCTION("""COMPUTED_VALUE"""),"FIP Engineering")</f>
        <v>FIP Engineering</v>
      </c>
      <c r="M4184" s="6" t="str">
        <f>IFERROR(__xludf.DUMMYFUNCTION("""COMPUTED_VALUE"""),"Mochammad Fadhillah Hakim,")</f>
        <v>Mochammad Fadhillah Hakim,</v>
      </c>
      <c r="N4184" s="6" t="str">
        <f>IFERROR(__xludf.DUMMYFUNCTION("""COMPUTED_VALUE"""),"FIP Engineering")</f>
        <v>FIP Engineering</v>
      </c>
      <c r="O4184" s="6" t="str">
        <f>IFERROR(__xludf.DUMMYFUNCTION("""COMPUTED_VALUE"""),"FIP-DOM-000-11304-OS00001-INA-000000")</f>
        <v>FIP-DOM-000-11304-OS00001-INA-000000</v>
      </c>
      <c r="P4184" s="6" t="str">
        <f>IFERROR(__xludf.DUMMYFUNCTION("""COMPUTED_VALUE"""),"PO Closed")</f>
        <v>PO Closed</v>
      </c>
      <c r="Q4184" s="6" t="str">
        <f>IFERROR(__xludf.DUMMYFUNCTION("""COMPUTED_VALUE"""),"GL2507407")</f>
        <v>GL2507407</v>
      </c>
      <c r="R4184" s="57">
        <f>IFERROR(__xludf.DUMMYFUNCTION("""COMPUTED_VALUE"""),45840.0)</f>
        <v>45840</v>
      </c>
      <c r="S4184" s="57">
        <f>IFERROR(__xludf.DUMMYFUNCTION("""COMPUTED_VALUE"""),45844.0)</f>
        <v>45844</v>
      </c>
      <c r="T4184" s="57">
        <f>IFERROR(__xludf.DUMMYFUNCTION("""COMPUTED_VALUE"""),46003.0)</f>
        <v>46003</v>
      </c>
    </row>
    <row r="4185">
      <c r="A4185" s="6" t="str">
        <f>IFERROR(__xludf.DUMMYFUNCTION("""COMPUTED_VALUE"""),"121702944-5")</f>
        <v>121702944-5</v>
      </c>
      <c r="B4185" s="6" t="str">
        <f>IFERROR(__xludf.DUMMYFUNCTION("""COMPUTED_VALUE"""),"121702944 - APPROVED")</f>
        <v>121702944 - APPROVED</v>
      </c>
      <c r="C4185" s="6">
        <f>IFERROR(__xludf.DUMMYFUNCTION("""COMPUTED_VALUE"""),5.0)</f>
        <v>5</v>
      </c>
      <c r="D4185" s="6" t="str">
        <f>IFERROR(__xludf.DUMMYFUNCTION("""COMPUTED_VALUE"""),"P-19897-00")</f>
        <v>P-19897-00</v>
      </c>
      <c r="E4185" s="6" t="str">
        <f>IFERROR(__xludf.DUMMYFUNCTION("""COMPUTED_VALUE"""),"General - Quick Coupler 3/8inch to Male Drat Luar 1/4inch; No Brand; -;  1 pc")</f>
        <v>General - Quick Coupler 3/8inch to Male Drat Luar 1/4inch; No Brand; -;  1 pc</v>
      </c>
      <c r="F4185" s="6">
        <f>IFERROR(__xludf.DUMMYFUNCTION("""COMPUTED_VALUE"""),1.0)</f>
        <v>1</v>
      </c>
      <c r="G4185" s="6" t="str">
        <f>IFERROR(__xludf.DUMMYFUNCTION("""COMPUTED_VALUE"""),"Pieces")</f>
        <v>Pieces</v>
      </c>
      <c r="H4185" s="6" t="str">
        <f>IFERROR(__xludf.DUMMYFUNCTION("""COMPUTED_VALUE"""),"IDR")</f>
        <v>IDR</v>
      </c>
      <c r="I4185" s="6">
        <f>IFERROR(__xludf.DUMMYFUNCTION("""COMPUTED_VALUE"""),75000.0)</f>
        <v>75000</v>
      </c>
      <c r="J4185" s="6">
        <f>IFERROR(__xludf.DUMMYFUNCTION("""COMPUTED_VALUE"""),75000.0)</f>
        <v>75000</v>
      </c>
      <c r="K4185" s="57">
        <f>IFERROR(__xludf.DUMMYFUNCTION("""COMPUTED_VALUE"""),45877.0)</f>
        <v>45877</v>
      </c>
      <c r="L4185" s="6" t="str">
        <f>IFERROR(__xludf.DUMMYFUNCTION("""COMPUTED_VALUE"""),"FIP Engineering")</f>
        <v>FIP Engineering</v>
      </c>
      <c r="M4185" s="6" t="str">
        <f>IFERROR(__xludf.DUMMYFUNCTION("""COMPUTED_VALUE"""),"Mochammad Fadhillah Hakim,")</f>
        <v>Mochammad Fadhillah Hakim,</v>
      </c>
      <c r="N4185" s="6" t="str">
        <f>IFERROR(__xludf.DUMMYFUNCTION("""COMPUTED_VALUE"""),"FIP Engineering")</f>
        <v>FIP Engineering</v>
      </c>
      <c r="O4185" s="6" t="str">
        <f>IFERROR(__xludf.DUMMYFUNCTION("""COMPUTED_VALUE"""),"FIP-DOM-000-11304-OS00001-INA-000000")</f>
        <v>FIP-DOM-000-11304-OS00001-INA-000000</v>
      </c>
      <c r="P4185" s="6" t="str">
        <f>IFERROR(__xludf.DUMMYFUNCTION("""COMPUTED_VALUE"""),"PO Closed")</f>
        <v>PO Closed</v>
      </c>
      <c r="Q4185" s="6" t="str">
        <f>IFERROR(__xludf.DUMMYFUNCTION("""COMPUTED_VALUE"""),"GL2507407")</f>
        <v>GL2507407</v>
      </c>
      <c r="R4185" s="57">
        <f>IFERROR(__xludf.DUMMYFUNCTION("""COMPUTED_VALUE"""),45840.0)</f>
        <v>45840</v>
      </c>
      <c r="S4185" s="57">
        <f>IFERROR(__xludf.DUMMYFUNCTION("""COMPUTED_VALUE"""),45844.0)</f>
        <v>45844</v>
      </c>
      <c r="T4185" s="57">
        <f>IFERROR(__xludf.DUMMYFUNCTION("""COMPUTED_VALUE"""),46003.0)</f>
        <v>46003</v>
      </c>
    </row>
    <row r="4186">
      <c r="A4186" s="6" t="str">
        <f>IFERROR(__xludf.DUMMYFUNCTION("""COMPUTED_VALUE"""),"121702944-6")</f>
        <v>121702944-6</v>
      </c>
      <c r="B4186" s="6" t="str">
        <f>IFERROR(__xludf.DUMMYFUNCTION("""COMPUTED_VALUE"""),"121702944 - APPROVED")</f>
        <v>121702944 - APPROVED</v>
      </c>
      <c r="C4186" s="6">
        <f>IFERROR(__xludf.DUMMYFUNCTION("""COMPUTED_VALUE"""),6.0)</f>
        <v>6</v>
      </c>
      <c r="D4186" s="6" t="str">
        <f>IFERROR(__xludf.DUMMYFUNCTION("""COMPUTED_VALUE"""),"P-14995-00")</f>
        <v>P-14995-00</v>
      </c>
      <c r="E4186" s="6" t="str">
        <f>IFERROR(__xludf.DUMMYFUNCTION("""COMPUTED_VALUE"""),"General - Reducer SS316 Sanitary dia. 1inch x 3/4inch; No Brand; -; 1 pc")</f>
        <v>General - Reducer SS316 Sanitary dia. 1inch x 3/4inch; No Brand; -; 1 pc</v>
      </c>
      <c r="F4186" s="6">
        <f>IFERROR(__xludf.DUMMYFUNCTION("""COMPUTED_VALUE"""),2.0)</f>
        <v>2</v>
      </c>
      <c r="G4186" s="6" t="str">
        <f>IFERROR(__xludf.DUMMYFUNCTION("""COMPUTED_VALUE"""),"Pieces")</f>
        <v>Pieces</v>
      </c>
      <c r="H4186" s="6" t="str">
        <f>IFERROR(__xludf.DUMMYFUNCTION("""COMPUTED_VALUE"""),"IDR")</f>
        <v>IDR</v>
      </c>
      <c r="I4186" s="6">
        <f>IFERROR(__xludf.DUMMYFUNCTION("""COMPUTED_VALUE"""),268750.0)</f>
        <v>268750</v>
      </c>
      <c r="J4186" s="6">
        <f>IFERROR(__xludf.DUMMYFUNCTION("""COMPUTED_VALUE"""),537500.0)</f>
        <v>537500</v>
      </c>
      <c r="K4186" s="57">
        <f>IFERROR(__xludf.DUMMYFUNCTION("""COMPUTED_VALUE"""),45877.0)</f>
        <v>45877</v>
      </c>
      <c r="L4186" s="6" t="str">
        <f>IFERROR(__xludf.DUMMYFUNCTION("""COMPUTED_VALUE"""),"FIP Engineering")</f>
        <v>FIP Engineering</v>
      </c>
      <c r="M4186" s="6" t="str">
        <f>IFERROR(__xludf.DUMMYFUNCTION("""COMPUTED_VALUE"""),"Mochammad Fadhillah Hakim,")</f>
        <v>Mochammad Fadhillah Hakim,</v>
      </c>
      <c r="N4186" s="6" t="str">
        <f>IFERROR(__xludf.DUMMYFUNCTION("""COMPUTED_VALUE"""),"FIP Engineering")</f>
        <v>FIP Engineering</v>
      </c>
      <c r="O4186" s="6" t="str">
        <f>IFERROR(__xludf.DUMMYFUNCTION("""COMPUTED_VALUE"""),"FIP-DOM-000-11304-OS00001-INA-000000")</f>
        <v>FIP-DOM-000-11304-OS00001-INA-000000</v>
      </c>
      <c r="P4186" s="6" t="str">
        <f>IFERROR(__xludf.DUMMYFUNCTION("""COMPUTED_VALUE"""),"PO Closed")</f>
        <v>PO Closed</v>
      </c>
      <c r="Q4186" s="6" t="str">
        <f>IFERROR(__xludf.DUMMYFUNCTION("""COMPUTED_VALUE"""),"GL2507407")</f>
        <v>GL2507407</v>
      </c>
      <c r="R4186" s="57">
        <f>IFERROR(__xludf.DUMMYFUNCTION("""COMPUTED_VALUE"""),45840.0)</f>
        <v>45840</v>
      </c>
      <c r="S4186" s="57">
        <f>IFERROR(__xludf.DUMMYFUNCTION("""COMPUTED_VALUE"""),45844.0)</f>
        <v>45844</v>
      </c>
      <c r="T4186" s="57">
        <f>IFERROR(__xludf.DUMMYFUNCTION("""COMPUTED_VALUE"""),46003.0)</f>
        <v>46003</v>
      </c>
    </row>
    <row r="4187">
      <c r="A4187" s="6" t="str">
        <f>IFERROR(__xludf.DUMMYFUNCTION("""COMPUTED_VALUE"""),"121702944-7")</f>
        <v>121702944-7</v>
      </c>
      <c r="B4187" s="6" t="str">
        <f>IFERROR(__xludf.DUMMYFUNCTION("""COMPUTED_VALUE"""),"121702944 - APPROVED")</f>
        <v>121702944 - APPROVED</v>
      </c>
      <c r="C4187" s="6">
        <f>IFERROR(__xludf.DUMMYFUNCTION("""COMPUTED_VALUE"""),7.0)</f>
        <v>7</v>
      </c>
      <c r="D4187" s="6" t="str">
        <f>IFERROR(__xludf.DUMMYFUNCTION("""COMPUTED_VALUE"""),"P-12080-00")</f>
        <v>P-12080-00</v>
      </c>
      <c r="E4187" s="6" t="str">
        <f>IFERROR(__xludf.DUMMYFUNCTION("""COMPUTED_VALUE"""),"General - Clamp Selang, SS, 1""; Tridon; -; 1 pcs")</f>
        <v>General - Clamp Selang, SS, 1"; Tridon; -; 1 pcs</v>
      </c>
      <c r="F4187" s="6">
        <f>IFERROR(__xludf.DUMMYFUNCTION("""COMPUTED_VALUE"""),10.0)</f>
        <v>10</v>
      </c>
      <c r="G4187" s="6" t="str">
        <f>IFERROR(__xludf.DUMMYFUNCTION("""COMPUTED_VALUE"""),"Pieces")</f>
        <v>Pieces</v>
      </c>
      <c r="H4187" s="6" t="str">
        <f>IFERROR(__xludf.DUMMYFUNCTION("""COMPUTED_VALUE"""),"IDR")</f>
        <v>IDR</v>
      </c>
      <c r="I4187" s="6">
        <f>IFERROR(__xludf.DUMMYFUNCTION("""COMPUTED_VALUE"""),60000.0)</f>
        <v>60000</v>
      </c>
      <c r="J4187" s="6">
        <f>IFERROR(__xludf.DUMMYFUNCTION("""COMPUTED_VALUE"""),600000.0)</f>
        <v>600000</v>
      </c>
      <c r="K4187" s="57">
        <f>IFERROR(__xludf.DUMMYFUNCTION("""COMPUTED_VALUE"""),45877.0)</f>
        <v>45877</v>
      </c>
      <c r="L4187" s="6" t="str">
        <f>IFERROR(__xludf.DUMMYFUNCTION("""COMPUTED_VALUE"""),"FIP Engineering")</f>
        <v>FIP Engineering</v>
      </c>
      <c r="M4187" s="6" t="str">
        <f>IFERROR(__xludf.DUMMYFUNCTION("""COMPUTED_VALUE"""),"Mochammad Fadhillah Hakim,")</f>
        <v>Mochammad Fadhillah Hakim,</v>
      </c>
      <c r="N4187" s="6" t="str">
        <f>IFERROR(__xludf.DUMMYFUNCTION("""COMPUTED_VALUE"""),"FIP Engineering")</f>
        <v>FIP Engineering</v>
      </c>
      <c r="O4187" s="6" t="str">
        <f>IFERROR(__xludf.DUMMYFUNCTION("""COMPUTED_VALUE"""),"FIP-DOM-000-11304-OS00001-INA-000000")</f>
        <v>FIP-DOM-000-11304-OS00001-INA-000000</v>
      </c>
      <c r="P4187" s="6" t="str">
        <f>IFERROR(__xludf.DUMMYFUNCTION("""COMPUTED_VALUE"""),"PO Closed")</f>
        <v>PO Closed</v>
      </c>
      <c r="Q4187" s="6" t="str">
        <f>IFERROR(__xludf.DUMMYFUNCTION("""COMPUTED_VALUE"""),"GL2507407")</f>
        <v>GL2507407</v>
      </c>
      <c r="R4187" s="57">
        <f>IFERROR(__xludf.DUMMYFUNCTION("""COMPUTED_VALUE"""),45840.0)</f>
        <v>45840</v>
      </c>
      <c r="S4187" s="57">
        <f>IFERROR(__xludf.DUMMYFUNCTION("""COMPUTED_VALUE"""),45844.0)</f>
        <v>45844</v>
      </c>
      <c r="T4187" s="57">
        <f>IFERROR(__xludf.DUMMYFUNCTION("""COMPUTED_VALUE"""),46003.0)</f>
        <v>46003</v>
      </c>
    </row>
    <row r="4188">
      <c r="A4188" s="6" t="str">
        <f>IFERROR(__xludf.DUMMYFUNCTION("""COMPUTED_VALUE"""),"121702944-8")</f>
        <v>121702944-8</v>
      </c>
      <c r="B4188" s="6" t="str">
        <f>IFERROR(__xludf.DUMMYFUNCTION("""COMPUTED_VALUE"""),"121702944 - APPROVED")</f>
        <v>121702944 - APPROVED</v>
      </c>
      <c r="C4188" s="6">
        <f>IFERROR(__xludf.DUMMYFUNCTION("""COMPUTED_VALUE"""),8.0)</f>
        <v>8</v>
      </c>
      <c r="D4188" s="6" t="str">
        <f>IFERROR(__xludf.DUMMYFUNCTION("""COMPUTED_VALUE"""),"O-14099-00")</f>
        <v>O-14099-00</v>
      </c>
      <c r="E4188" s="6" t="str">
        <f>IFERROR(__xludf.DUMMYFUNCTION("""COMPUTED_VALUE"""),"Selang TS-25 (25x33) TOYOX P/N : -  pc")</f>
        <v>Selang TS-25 (25x33) TOYOX P/N : -  pc</v>
      </c>
      <c r="F4188" s="6">
        <f>IFERROR(__xludf.DUMMYFUNCTION("""COMPUTED_VALUE"""),5.0)</f>
        <v>5</v>
      </c>
      <c r="G4188" s="6" t="str">
        <f>IFERROR(__xludf.DUMMYFUNCTION("""COMPUTED_VALUE"""),"Pieces")</f>
        <v>Pieces</v>
      </c>
      <c r="H4188" s="6" t="str">
        <f>IFERROR(__xludf.DUMMYFUNCTION("""COMPUTED_VALUE"""),"IDR")</f>
        <v>IDR</v>
      </c>
      <c r="I4188" s="6">
        <f>IFERROR(__xludf.DUMMYFUNCTION("""COMPUTED_VALUE"""),241300.0)</f>
        <v>241300</v>
      </c>
      <c r="J4188" s="6">
        <f>IFERROR(__xludf.DUMMYFUNCTION("""COMPUTED_VALUE"""),1206500.0)</f>
        <v>1206500</v>
      </c>
      <c r="K4188" s="57">
        <f>IFERROR(__xludf.DUMMYFUNCTION("""COMPUTED_VALUE"""),45877.0)</f>
        <v>45877</v>
      </c>
      <c r="L4188" s="6" t="str">
        <f>IFERROR(__xludf.DUMMYFUNCTION("""COMPUTED_VALUE"""),"FIP Engineering")</f>
        <v>FIP Engineering</v>
      </c>
      <c r="M4188" s="6" t="str">
        <f>IFERROR(__xludf.DUMMYFUNCTION("""COMPUTED_VALUE"""),"Mochammad Fadhillah Hakim,")</f>
        <v>Mochammad Fadhillah Hakim,</v>
      </c>
      <c r="N4188" s="6" t="str">
        <f>IFERROR(__xludf.DUMMYFUNCTION("""COMPUTED_VALUE"""),"FIP Engineering")</f>
        <v>FIP Engineering</v>
      </c>
      <c r="O4188" s="6" t="str">
        <f>IFERROR(__xludf.DUMMYFUNCTION("""COMPUTED_VALUE"""),"FIP-DOM-000-11304-OS00001-INA-000000")</f>
        <v>FIP-DOM-000-11304-OS00001-INA-000000</v>
      </c>
      <c r="P4188" s="6" t="str">
        <f>IFERROR(__xludf.DUMMYFUNCTION("""COMPUTED_VALUE"""),"PO Closed")</f>
        <v>PO Closed</v>
      </c>
      <c r="Q4188" s="6" t="str">
        <f>IFERROR(__xludf.DUMMYFUNCTION("""COMPUTED_VALUE"""),"GL2507407")</f>
        <v>GL2507407</v>
      </c>
      <c r="R4188" s="57">
        <f>IFERROR(__xludf.DUMMYFUNCTION("""COMPUTED_VALUE"""),45840.0)</f>
        <v>45840</v>
      </c>
      <c r="S4188" s="57">
        <f>IFERROR(__xludf.DUMMYFUNCTION("""COMPUTED_VALUE"""),45844.0)</f>
        <v>45844</v>
      </c>
      <c r="T4188" s="57">
        <f>IFERROR(__xludf.DUMMYFUNCTION("""COMPUTED_VALUE"""),46003.0)</f>
        <v>46003</v>
      </c>
    </row>
    <row r="4189">
      <c r="A4189" s="6" t="str">
        <f>IFERROR(__xludf.DUMMYFUNCTION("""COMPUTED_VALUE"""),"121702947-1")</f>
        <v>121702947-1</v>
      </c>
      <c r="B4189" s="6" t="str">
        <f>IFERROR(__xludf.DUMMYFUNCTION("""COMPUTED_VALUE"""),"121702947 - APPROVED")</f>
        <v>121702947 - APPROVED</v>
      </c>
      <c r="C4189" s="6">
        <f>IFERROR(__xludf.DUMMYFUNCTION("""COMPUTED_VALUE"""),1.0)</f>
        <v>1</v>
      </c>
      <c r="D4189" s="6" t="str">
        <f>IFERROR(__xludf.DUMMYFUNCTION("""COMPUTED_VALUE"""),"T-20002-00")</f>
        <v>T-20002-00</v>
      </c>
      <c r="E4189" s="6" t="str">
        <f>IFERROR(__xludf.DUMMYFUNCTION("""COMPUTED_VALUE"""),"Jasa Perbaikan Alat Lab - Perbaikan Motor Fumehood Lab")</f>
        <v>Jasa Perbaikan Alat Lab - Perbaikan Motor Fumehood Lab</v>
      </c>
      <c r="F4189" s="6">
        <f>IFERROR(__xludf.DUMMYFUNCTION("""COMPUTED_VALUE"""),1.0)</f>
        <v>1</v>
      </c>
      <c r="G4189" s="6" t="str">
        <f>IFERROR(__xludf.DUMMYFUNCTION("""COMPUTED_VALUE"""),"Pieces")</f>
        <v>Pieces</v>
      </c>
      <c r="H4189" s="6" t="str">
        <f>IFERROR(__xludf.DUMMYFUNCTION("""COMPUTED_VALUE"""),"IDR")</f>
        <v>IDR</v>
      </c>
      <c r="I4189" s="6">
        <f>IFERROR(__xludf.DUMMYFUNCTION("""COMPUTED_VALUE"""),7300000.0)</f>
        <v>7300000</v>
      </c>
      <c r="J4189" s="6">
        <f>IFERROR(__xludf.DUMMYFUNCTION("""COMPUTED_VALUE"""),7300000.0)</f>
        <v>7300000</v>
      </c>
      <c r="K4189" s="57">
        <f>IFERROR(__xludf.DUMMYFUNCTION("""COMPUTED_VALUE"""),45877.0)</f>
        <v>45877</v>
      </c>
      <c r="L4189" s="6" t="str">
        <f>IFERROR(__xludf.DUMMYFUNCTION("""COMPUTED_VALUE"""),"FIP General")</f>
        <v>FIP General</v>
      </c>
      <c r="M4189" s="6" t="str">
        <f>IFERROR(__xludf.DUMMYFUNCTION("""COMPUTED_VALUE"""),"Mochammad Fadhillah Hakim,")</f>
        <v>Mochammad Fadhillah Hakim,</v>
      </c>
      <c r="N4189" s="6" t="str">
        <f>IFERROR(__xludf.DUMMYFUNCTION("""COMPUTED_VALUE"""),"FIP Engineering")</f>
        <v>FIP Engineering</v>
      </c>
      <c r="O4189" s="6" t="str">
        <f>IFERROR(__xludf.DUMMYFUNCTION("""COMPUTED_VALUE"""),"FIP-DOM-ENG-51505-0000000-INA-000000")</f>
        <v>FIP-DOM-ENG-51505-0000000-INA-000000</v>
      </c>
      <c r="P4189" s="6" t="str">
        <f>IFERROR(__xludf.DUMMYFUNCTION("""COMPUTED_VALUE"""),"PO Closed")</f>
        <v>PO Closed</v>
      </c>
      <c r="Q4189" s="6" t="str">
        <f>IFERROR(__xludf.DUMMYFUNCTION("""COMPUTED_VALUE"""),"GL2507029")</f>
        <v>GL2507029</v>
      </c>
      <c r="R4189" s="57">
        <f>IFERROR(__xludf.DUMMYFUNCTION("""COMPUTED_VALUE"""),45841.0)</f>
        <v>45841</v>
      </c>
      <c r="S4189" s="57">
        <f>IFERROR(__xludf.DUMMYFUNCTION("""COMPUTED_VALUE"""),45842.0)</f>
        <v>45842</v>
      </c>
      <c r="T4189" s="57">
        <f>IFERROR(__xludf.DUMMYFUNCTION("""COMPUTED_VALUE"""),45877.0)</f>
        <v>45877</v>
      </c>
    </row>
    <row r="4190">
      <c r="A4190" s="6" t="str">
        <f>IFERROR(__xludf.DUMMYFUNCTION("""COMPUTED_VALUE"""),"121702948-1")</f>
        <v>121702948-1</v>
      </c>
      <c r="B4190" s="6" t="str">
        <f>IFERROR(__xludf.DUMMYFUNCTION("""COMPUTED_VALUE"""),"121702948 - APPROVED")</f>
        <v>121702948 - APPROVED</v>
      </c>
      <c r="C4190" s="6">
        <f>IFERROR(__xludf.DUMMYFUNCTION("""COMPUTED_VALUE"""),1.0)</f>
        <v>1</v>
      </c>
      <c r="D4190" s="6" t="str">
        <f>IFERROR(__xludf.DUMMYFUNCTION("""COMPUTED_VALUE"""),"O-20814-00")</f>
        <v>O-20814-00</v>
      </c>
      <c r="E4190" s="6" t="str">
        <f>IFERROR(__xludf.DUMMYFUNCTION("""COMPUTED_VALUE"""),"General - Spring Tekan Dia 2.5 x 15.5 x 71.3 mm, Mat. Steel; -; -; 1 Pc")</f>
        <v>General - Spring Tekan Dia 2.5 x 15.5 x 71.3 mm, Mat. Steel; -; -; 1 Pc</v>
      </c>
      <c r="F4190" s="6">
        <f>IFERROR(__xludf.DUMMYFUNCTION("""COMPUTED_VALUE"""),20.0)</f>
        <v>20</v>
      </c>
      <c r="G4190" s="6" t="str">
        <f>IFERROR(__xludf.DUMMYFUNCTION("""COMPUTED_VALUE"""),"Pieces")</f>
        <v>Pieces</v>
      </c>
      <c r="H4190" s="6" t="str">
        <f>IFERROR(__xludf.DUMMYFUNCTION("""COMPUTED_VALUE"""),"IDR")</f>
        <v>IDR</v>
      </c>
      <c r="I4190" s="6">
        <f>IFERROR(__xludf.DUMMYFUNCTION("""COMPUTED_VALUE"""),43500.0)</f>
        <v>43500</v>
      </c>
      <c r="J4190" s="6">
        <f>IFERROR(__xludf.DUMMYFUNCTION("""COMPUTED_VALUE"""),870000.0)</f>
        <v>870000</v>
      </c>
      <c r="K4190" s="57">
        <f>IFERROR(__xludf.DUMMYFUNCTION("""COMPUTED_VALUE"""),45844.0)</f>
        <v>45844</v>
      </c>
      <c r="L4190" s="6" t="str">
        <f>IFERROR(__xludf.DUMMYFUNCTION("""COMPUTED_VALUE"""),"FIP Engineering")</f>
        <v>FIP Engineering</v>
      </c>
      <c r="M4190" s="6" t="str">
        <f>IFERROR(__xludf.DUMMYFUNCTION("""COMPUTED_VALUE"""),"Mochammad Fadhillah Hakim,")</f>
        <v>Mochammad Fadhillah Hakim,</v>
      </c>
      <c r="N4190" s="6" t="str">
        <f>IFERROR(__xludf.DUMMYFUNCTION("""COMPUTED_VALUE"""),"FIP Engineering")</f>
        <v>FIP Engineering</v>
      </c>
      <c r="O4190" s="6" t="str">
        <f>IFERROR(__xludf.DUMMYFUNCTION("""COMPUTED_VALUE"""),"FIP-DOM-000-11304-OS00001-INA-000000")</f>
        <v>FIP-DOM-000-11304-OS00001-INA-000000</v>
      </c>
      <c r="P4190" s="6" t="str">
        <f>IFERROR(__xludf.DUMMYFUNCTION("""COMPUTED_VALUE"""),"PO Closed")</f>
        <v>PO Closed</v>
      </c>
      <c r="Q4190" s="6" t="str">
        <f>IFERROR(__xludf.DUMMYFUNCTION("""COMPUTED_VALUE"""),"GL2507419")</f>
        <v>GL2507419</v>
      </c>
      <c r="R4190" s="57">
        <f>IFERROR(__xludf.DUMMYFUNCTION("""COMPUTED_VALUE"""),45842.0)</f>
        <v>45842</v>
      </c>
      <c r="S4190" s="57">
        <f>IFERROR(__xludf.DUMMYFUNCTION("""COMPUTED_VALUE"""),45844.0)</f>
        <v>45844</v>
      </c>
      <c r="T4190" s="57">
        <f>IFERROR(__xludf.DUMMYFUNCTION("""COMPUTED_VALUE"""),45899.0)</f>
        <v>45899</v>
      </c>
    </row>
    <row r="4191">
      <c r="A4191" s="6" t="str">
        <f>IFERROR(__xludf.DUMMYFUNCTION("""COMPUTED_VALUE"""),"121702951-1")</f>
        <v>121702951-1</v>
      </c>
      <c r="B4191" s="6" t="str">
        <f>IFERROR(__xludf.DUMMYFUNCTION("""COMPUTED_VALUE"""),"121702951 - APPROVED")</f>
        <v>121702951 - APPROVED</v>
      </c>
      <c r="C4191" s="6">
        <f>IFERROR(__xludf.DUMMYFUNCTION("""COMPUTED_VALUE"""),1.0)</f>
        <v>1</v>
      </c>
      <c r="D4191" s="6" t="str">
        <f>IFERROR(__xludf.DUMMYFUNCTION("""COMPUTED_VALUE"""),"O-51675-00")</f>
        <v>O-51675-00</v>
      </c>
      <c r="E4191" s="6" t="str">
        <f>IFERROR(__xludf.DUMMYFUNCTION("""COMPUTED_VALUE"""),"General - Pilz PNOZ X2.1 24 VAC/DC 2 n/o; Pilz; ID774306; 1 pc")</f>
        <v>General - Pilz PNOZ X2.1 24 VAC/DC 2 n/o; Pilz; ID774306; 1 pc</v>
      </c>
      <c r="F4191" s="6">
        <f>IFERROR(__xludf.DUMMYFUNCTION("""COMPUTED_VALUE"""),2.0)</f>
        <v>2</v>
      </c>
      <c r="G4191" s="6" t="str">
        <f>IFERROR(__xludf.DUMMYFUNCTION("""COMPUTED_VALUE"""),"Pieces")</f>
        <v>Pieces</v>
      </c>
      <c r="H4191" s="6" t="str">
        <f>IFERROR(__xludf.DUMMYFUNCTION("""COMPUTED_VALUE"""),"IDR")</f>
        <v>IDR</v>
      </c>
      <c r="I4191" s="6">
        <f>IFERROR(__xludf.DUMMYFUNCTION("""COMPUTED_VALUE"""),4882500.0)</f>
        <v>4882500</v>
      </c>
      <c r="J4191" s="6">
        <f>IFERROR(__xludf.DUMMYFUNCTION("""COMPUTED_VALUE"""),9765000.0)</f>
        <v>9765000</v>
      </c>
      <c r="K4191" s="57">
        <f>IFERROR(__xludf.DUMMYFUNCTION("""COMPUTED_VALUE"""),45877.0)</f>
        <v>45877</v>
      </c>
      <c r="L4191" s="6" t="str">
        <f>IFERROR(__xludf.DUMMYFUNCTION("""COMPUTED_VALUE"""),"FIP Engineering")</f>
        <v>FIP Engineering</v>
      </c>
      <c r="M4191" s="6" t="str">
        <f>IFERROR(__xludf.DUMMYFUNCTION("""COMPUTED_VALUE"""),"Mochammad Fadhillah Hakim,")</f>
        <v>Mochammad Fadhillah Hakim,</v>
      </c>
      <c r="N4191" s="6" t="str">
        <f>IFERROR(__xludf.DUMMYFUNCTION("""COMPUTED_VALUE"""),"FIP Engineering")</f>
        <v>FIP Engineering</v>
      </c>
      <c r="O4191" s="6" t="str">
        <f>IFERROR(__xludf.DUMMYFUNCTION("""COMPUTED_VALUE"""),"FIP-DOM-000-11304-OS00001-INA-000000")</f>
        <v>FIP-DOM-000-11304-OS00001-INA-000000</v>
      </c>
      <c r="P4191" s="6" t="str">
        <f>IFERROR(__xludf.DUMMYFUNCTION("""COMPUTED_VALUE"""),"PO Closed")</f>
        <v>PO Closed</v>
      </c>
      <c r="Q4191" s="6" t="str">
        <f>IFERROR(__xludf.DUMMYFUNCTION("""COMPUTED_VALUE"""),"GL2507043")</f>
        <v>GL2507043</v>
      </c>
      <c r="R4191" s="57">
        <f>IFERROR(__xludf.DUMMYFUNCTION("""COMPUTED_VALUE"""),45842.0)</f>
        <v>45842</v>
      </c>
      <c r="S4191" s="57">
        <f>IFERROR(__xludf.DUMMYFUNCTION("""COMPUTED_VALUE"""),45842.0)</f>
        <v>45842</v>
      </c>
      <c r="T4191" s="57">
        <f>IFERROR(__xludf.DUMMYFUNCTION("""COMPUTED_VALUE"""),45884.0)</f>
        <v>45884</v>
      </c>
    </row>
    <row r="4192">
      <c r="A4192" s="6" t="str">
        <f>IFERROR(__xludf.DUMMYFUNCTION("""COMPUTED_VALUE"""),"121702953-1")</f>
        <v>121702953-1</v>
      </c>
      <c r="B4192" s="6" t="str">
        <f>IFERROR(__xludf.DUMMYFUNCTION("""COMPUTED_VALUE"""),"121702953 - APPROVED")</f>
        <v>121702953 - APPROVED</v>
      </c>
      <c r="C4192" s="6">
        <f>IFERROR(__xludf.DUMMYFUNCTION("""COMPUTED_VALUE"""),1.0)</f>
        <v>1</v>
      </c>
      <c r="D4192" s="6" t="str">
        <f>IFERROR(__xludf.DUMMYFUNCTION("""COMPUTED_VALUE"""),"P-54312-00")</f>
        <v>P-54312-00</v>
      </c>
      <c r="E4192" s="6" t="str">
        <f>IFERROR(__xludf.DUMMYFUNCTION("""COMPUTED_VALUE"""),"General - Level Switch ERV 1/8 Inch Steris; Austar; -; 1 pc")</f>
        <v>General - Level Switch ERV 1/8 Inch Steris; Austar; -; 1 pc</v>
      </c>
      <c r="F4192" s="6">
        <f>IFERROR(__xludf.DUMMYFUNCTION("""COMPUTED_VALUE"""),2.0)</f>
        <v>2</v>
      </c>
      <c r="G4192" s="6" t="str">
        <f>IFERROR(__xludf.DUMMYFUNCTION("""COMPUTED_VALUE"""),"Pieces")</f>
        <v>Pieces</v>
      </c>
      <c r="H4192" s="6" t="str">
        <f>IFERROR(__xludf.DUMMYFUNCTION("""COMPUTED_VALUE"""),"IDR")</f>
        <v>IDR</v>
      </c>
      <c r="I4192" s="6">
        <f>IFERROR(__xludf.DUMMYFUNCTION("""COMPUTED_VALUE"""),2.5E7)</f>
        <v>25000000</v>
      </c>
      <c r="J4192" s="6">
        <f>IFERROR(__xludf.DUMMYFUNCTION("""COMPUTED_VALUE"""),5.0E7)</f>
        <v>50000000</v>
      </c>
      <c r="K4192" s="57">
        <f>IFERROR(__xludf.DUMMYFUNCTION("""COMPUTED_VALUE"""),45905.0)</f>
        <v>45905</v>
      </c>
      <c r="L4192" s="6" t="str">
        <f>IFERROR(__xludf.DUMMYFUNCTION("""COMPUTED_VALUE"""),"FIP Engineering")</f>
        <v>FIP Engineering</v>
      </c>
      <c r="M4192" s="6" t="str">
        <f>IFERROR(__xludf.DUMMYFUNCTION("""COMPUTED_VALUE"""),"Mochammad Fadhillah Hakim,")</f>
        <v>Mochammad Fadhillah Hakim,</v>
      </c>
      <c r="N4192" s="6" t="str">
        <f>IFERROR(__xludf.DUMMYFUNCTION("""COMPUTED_VALUE"""),"FIP Engineering")</f>
        <v>FIP Engineering</v>
      </c>
      <c r="O4192" s="6" t="str">
        <f>IFERROR(__xludf.DUMMYFUNCTION("""COMPUTED_VALUE"""),"FIP-DOM-000-11304-OS00001-INA-000000")</f>
        <v>FIP-DOM-000-11304-OS00001-INA-000000</v>
      </c>
      <c r="P4192" s="6" t="str">
        <f>IFERROR(__xludf.DUMMYFUNCTION("""COMPUTED_VALUE"""),"PO Closed")</f>
        <v>PO Closed</v>
      </c>
      <c r="Q4192" s="6" t="str">
        <f>IFERROR(__xludf.DUMMYFUNCTION("""COMPUTED_VALUE"""),"GL2507062")</f>
        <v>GL2507062</v>
      </c>
      <c r="R4192" s="57">
        <f>IFERROR(__xludf.DUMMYFUNCTION("""COMPUTED_VALUE"""),45842.0)</f>
        <v>45842</v>
      </c>
      <c r="S4192" s="57">
        <f>IFERROR(__xludf.DUMMYFUNCTION("""COMPUTED_VALUE"""),45844.0)</f>
        <v>45844</v>
      </c>
      <c r="T4192" s="57">
        <f>IFERROR(__xludf.DUMMYFUNCTION("""COMPUTED_VALUE"""),45966.0)</f>
        <v>45966</v>
      </c>
    </row>
    <row r="4193">
      <c r="A4193" s="6" t="str">
        <f>IFERROR(__xludf.DUMMYFUNCTION("""COMPUTED_VALUE"""),"121702954-1")</f>
        <v>121702954-1</v>
      </c>
      <c r="B4193" s="6" t="str">
        <f>IFERROR(__xludf.DUMMYFUNCTION("""COMPUTED_VALUE"""),"121702954 - APPROVED")</f>
        <v>121702954 - APPROVED</v>
      </c>
      <c r="C4193" s="6">
        <f>IFERROR(__xludf.DUMMYFUNCTION("""COMPUTED_VALUE"""),1.0)</f>
        <v>1</v>
      </c>
      <c r="D4193" s="6" t="str">
        <f>IFERROR(__xludf.DUMMYFUNCTION("""COMPUTED_VALUE"""),"O-20841-00")</f>
        <v>O-20841-00</v>
      </c>
      <c r="E4193" s="6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F4193" s="6">
        <f>IFERROR(__xludf.DUMMYFUNCTION("""COMPUTED_VALUE"""),1.0)</f>
        <v>1</v>
      </c>
      <c r="G4193" s="6" t="str">
        <f>IFERROR(__xludf.DUMMYFUNCTION("""COMPUTED_VALUE"""),"Unit")</f>
        <v>Unit</v>
      </c>
      <c r="H4193" s="6" t="str">
        <f>IFERROR(__xludf.DUMMYFUNCTION("""COMPUTED_VALUE"""),"IDR")</f>
        <v>IDR</v>
      </c>
      <c r="I4193" s="6">
        <f>IFERROR(__xludf.DUMMYFUNCTION("""COMPUTED_VALUE"""),4850000.0)</f>
        <v>4850000</v>
      </c>
      <c r="J4193" s="6">
        <f>IFERROR(__xludf.DUMMYFUNCTION("""COMPUTED_VALUE"""),4850000.0)</f>
        <v>4850000</v>
      </c>
      <c r="K4193" s="57">
        <f>IFERROR(__xludf.DUMMYFUNCTION("""COMPUTED_VALUE"""),45877.0)</f>
        <v>45877</v>
      </c>
      <c r="L4193" s="6" t="str">
        <f>IFERROR(__xludf.DUMMYFUNCTION("""COMPUTED_VALUE"""),"FIP Engineering")</f>
        <v>FIP Engineering</v>
      </c>
      <c r="M4193" s="6" t="str">
        <f>IFERROR(__xludf.DUMMYFUNCTION("""COMPUTED_VALUE"""),"Mochammad Fadhillah Hakim,")</f>
        <v>Mochammad Fadhillah Hakim,</v>
      </c>
      <c r="N4193" s="6" t="str">
        <f>IFERROR(__xludf.DUMMYFUNCTION("""COMPUTED_VALUE"""),"FIP Engineering")</f>
        <v>FIP Engineering</v>
      </c>
      <c r="O4193" s="6" t="str">
        <f>IFERROR(__xludf.DUMMYFUNCTION("""COMPUTED_VALUE"""),"FIP-DOM-000-11304-OS00001-INA-000000")</f>
        <v>FIP-DOM-000-11304-OS00001-INA-000000</v>
      </c>
      <c r="P4193" s="6" t="str">
        <f>IFERROR(__xludf.DUMMYFUNCTION("""COMPUTED_VALUE"""),"PO Closed")</f>
        <v>PO Closed</v>
      </c>
      <c r="Q4193" s="6" t="str">
        <f>IFERROR(__xludf.DUMMYFUNCTION("""COMPUTED_VALUE"""),"GL2507032")</f>
        <v>GL2507032</v>
      </c>
      <c r="R4193" s="57">
        <f>IFERROR(__xludf.DUMMYFUNCTION("""COMPUTED_VALUE"""),45842.0)</f>
        <v>45842</v>
      </c>
      <c r="S4193" s="57">
        <f>IFERROR(__xludf.DUMMYFUNCTION("""COMPUTED_VALUE"""),45844.0)</f>
        <v>45844</v>
      </c>
      <c r="T4193" s="57">
        <f>IFERROR(__xludf.DUMMYFUNCTION("""COMPUTED_VALUE"""),45884.0)</f>
        <v>45884</v>
      </c>
    </row>
    <row r="4194">
      <c r="A4194" s="6" t="str">
        <f>IFERROR(__xludf.DUMMYFUNCTION("""COMPUTED_VALUE"""),"121702954-2")</f>
        <v>121702954-2</v>
      </c>
      <c r="B4194" s="6" t="str">
        <f>IFERROR(__xludf.DUMMYFUNCTION("""COMPUTED_VALUE"""),"121702954 - APPROVED")</f>
        <v>121702954 - APPROVED</v>
      </c>
      <c r="C4194" s="6">
        <f>IFERROR(__xludf.DUMMYFUNCTION("""COMPUTED_VALUE"""),2.0)</f>
        <v>2</v>
      </c>
      <c r="D4194" s="6" t="str">
        <f>IFERROR(__xludf.DUMMYFUNCTION("""COMPUTED_VALUE"""),"O-20842-00")</f>
        <v>O-20842-00</v>
      </c>
      <c r="E4194" s="6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F4194" s="6">
        <f>IFERROR(__xludf.DUMMYFUNCTION("""COMPUTED_VALUE"""),1.0)</f>
        <v>1</v>
      </c>
      <c r="G4194" s="6" t="str">
        <f>IFERROR(__xludf.DUMMYFUNCTION("""COMPUTED_VALUE"""),"Unit")</f>
        <v>Unit</v>
      </c>
      <c r="H4194" s="6" t="str">
        <f>IFERROR(__xludf.DUMMYFUNCTION("""COMPUTED_VALUE"""),"IDR")</f>
        <v>IDR</v>
      </c>
      <c r="I4194" s="6">
        <f>IFERROR(__xludf.DUMMYFUNCTION("""COMPUTED_VALUE"""),5650000.0)</f>
        <v>5650000</v>
      </c>
      <c r="J4194" s="6">
        <f>IFERROR(__xludf.DUMMYFUNCTION("""COMPUTED_VALUE"""),5650000.0)</f>
        <v>5650000</v>
      </c>
      <c r="K4194" s="57">
        <f>IFERROR(__xludf.DUMMYFUNCTION("""COMPUTED_VALUE"""),45877.0)</f>
        <v>45877</v>
      </c>
      <c r="L4194" s="6" t="str">
        <f>IFERROR(__xludf.DUMMYFUNCTION("""COMPUTED_VALUE"""),"FIP Engineering")</f>
        <v>FIP Engineering</v>
      </c>
      <c r="M4194" s="6" t="str">
        <f>IFERROR(__xludf.DUMMYFUNCTION("""COMPUTED_VALUE"""),"Mochammad Fadhillah Hakim,")</f>
        <v>Mochammad Fadhillah Hakim,</v>
      </c>
      <c r="N4194" s="6" t="str">
        <f>IFERROR(__xludf.DUMMYFUNCTION("""COMPUTED_VALUE"""),"FIP Engineering")</f>
        <v>FIP Engineering</v>
      </c>
      <c r="O4194" s="6" t="str">
        <f>IFERROR(__xludf.DUMMYFUNCTION("""COMPUTED_VALUE"""),"FIP-DOM-000-11304-OS00001-INA-000000")</f>
        <v>FIP-DOM-000-11304-OS00001-INA-000000</v>
      </c>
      <c r="P4194" s="6" t="str">
        <f>IFERROR(__xludf.DUMMYFUNCTION("""COMPUTED_VALUE"""),"PO Closed")</f>
        <v>PO Closed</v>
      </c>
      <c r="Q4194" s="6" t="str">
        <f>IFERROR(__xludf.DUMMYFUNCTION("""COMPUTED_VALUE"""),"GL2507032")</f>
        <v>GL2507032</v>
      </c>
      <c r="R4194" s="57">
        <f>IFERROR(__xludf.DUMMYFUNCTION("""COMPUTED_VALUE"""),45842.0)</f>
        <v>45842</v>
      </c>
      <c r="S4194" s="57">
        <f>IFERROR(__xludf.DUMMYFUNCTION("""COMPUTED_VALUE"""),45844.0)</f>
        <v>45844</v>
      </c>
      <c r="T4194" s="57">
        <f>IFERROR(__xludf.DUMMYFUNCTION("""COMPUTED_VALUE"""),45884.0)</f>
        <v>45884</v>
      </c>
    </row>
    <row r="4195">
      <c r="A4195" s="6" t="str">
        <f>IFERROR(__xludf.DUMMYFUNCTION("""COMPUTED_VALUE"""),"121702954-3")</f>
        <v>121702954-3</v>
      </c>
      <c r="B4195" s="6" t="str">
        <f>IFERROR(__xludf.DUMMYFUNCTION("""COMPUTED_VALUE"""),"121702954 - APPROVED")</f>
        <v>121702954 - APPROVED</v>
      </c>
      <c r="C4195" s="6">
        <f>IFERROR(__xludf.DUMMYFUNCTION("""COMPUTED_VALUE"""),3.0)</f>
        <v>3</v>
      </c>
      <c r="D4195" s="6" t="str">
        <f>IFERROR(__xludf.DUMMYFUNCTION("""COMPUTED_VALUE"""),"O-20843-00")</f>
        <v>O-20843-00</v>
      </c>
      <c r="E4195" s="6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F4195" s="6">
        <f>IFERROR(__xludf.DUMMYFUNCTION("""COMPUTED_VALUE"""),1.0)</f>
        <v>1</v>
      </c>
      <c r="G4195" s="6" t="str">
        <f>IFERROR(__xludf.DUMMYFUNCTION("""COMPUTED_VALUE"""),"Unit")</f>
        <v>Unit</v>
      </c>
      <c r="H4195" s="6" t="str">
        <f>IFERROR(__xludf.DUMMYFUNCTION("""COMPUTED_VALUE"""),"IDR")</f>
        <v>IDR</v>
      </c>
      <c r="I4195" s="6">
        <f>IFERROR(__xludf.DUMMYFUNCTION("""COMPUTED_VALUE"""),9100000.0)</f>
        <v>9100000</v>
      </c>
      <c r="J4195" s="6">
        <f>IFERROR(__xludf.DUMMYFUNCTION("""COMPUTED_VALUE"""),9100000.0)</f>
        <v>9100000</v>
      </c>
      <c r="K4195" s="57">
        <f>IFERROR(__xludf.DUMMYFUNCTION("""COMPUTED_VALUE"""),45877.0)</f>
        <v>45877</v>
      </c>
      <c r="L4195" s="6" t="str">
        <f>IFERROR(__xludf.DUMMYFUNCTION("""COMPUTED_VALUE"""),"FIP Engineering")</f>
        <v>FIP Engineering</v>
      </c>
      <c r="M4195" s="6" t="str">
        <f>IFERROR(__xludf.DUMMYFUNCTION("""COMPUTED_VALUE"""),"Mochammad Fadhillah Hakim,")</f>
        <v>Mochammad Fadhillah Hakim,</v>
      </c>
      <c r="N4195" s="6" t="str">
        <f>IFERROR(__xludf.DUMMYFUNCTION("""COMPUTED_VALUE"""),"FIP Engineering")</f>
        <v>FIP Engineering</v>
      </c>
      <c r="O4195" s="6" t="str">
        <f>IFERROR(__xludf.DUMMYFUNCTION("""COMPUTED_VALUE"""),"FIP-DOM-000-11304-OS00001-INA-000000")</f>
        <v>FIP-DOM-000-11304-OS00001-INA-000000</v>
      </c>
      <c r="P4195" s="6" t="str">
        <f>IFERROR(__xludf.DUMMYFUNCTION("""COMPUTED_VALUE"""),"PO Closed")</f>
        <v>PO Closed</v>
      </c>
      <c r="Q4195" s="6" t="str">
        <f>IFERROR(__xludf.DUMMYFUNCTION("""COMPUTED_VALUE"""),"GL2507032")</f>
        <v>GL2507032</v>
      </c>
      <c r="R4195" s="57">
        <f>IFERROR(__xludf.DUMMYFUNCTION("""COMPUTED_VALUE"""),45842.0)</f>
        <v>45842</v>
      </c>
      <c r="S4195" s="57">
        <f>IFERROR(__xludf.DUMMYFUNCTION("""COMPUTED_VALUE"""),45844.0)</f>
        <v>45844</v>
      </c>
      <c r="T4195" s="57">
        <f>IFERROR(__xludf.DUMMYFUNCTION("""COMPUTED_VALUE"""),45884.0)</f>
        <v>45884</v>
      </c>
    </row>
    <row r="4196">
      <c r="A4196" s="6" t="str">
        <f>IFERROR(__xludf.DUMMYFUNCTION("""COMPUTED_VALUE"""),"121702956-1")</f>
        <v>121702956-1</v>
      </c>
      <c r="B4196" s="6" t="str">
        <f>IFERROR(__xludf.DUMMYFUNCTION("""COMPUTED_VALUE"""),"121702956 - APPROVED")</f>
        <v>121702956 - APPROVED</v>
      </c>
      <c r="C4196" s="6">
        <f>IFERROR(__xludf.DUMMYFUNCTION("""COMPUTED_VALUE"""),1.0)</f>
        <v>1</v>
      </c>
      <c r="D4196" s="6" t="str">
        <f>IFERROR(__xludf.DUMMYFUNCTION("""COMPUTED_VALUE"""),"O-53335-00")</f>
        <v>O-53335-00</v>
      </c>
      <c r="E4196" s="6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F4196" s="6">
        <f>IFERROR(__xludf.DUMMYFUNCTION("""COMPUTED_VALUE"""),1.0)</f>
        <v>1</v>
      </c>
      <c r="G4196" s="6" t="str">
        <f>IFERROR(__xludf.DUMMYFUNCTION("""COMPUTED_VALUE"""),"Pieces")</f>
        <v>Pieces</v>
      </c>
      <c r="H4196" s="6" t="str">
        <f>IFERROR(__xludf.DUMMYFUNCTION("""COMPUTED_VALUE"""),"IDR")</f>
        <v>IDR</v>
      </c>
      <c r="I4196" s="6">
        <f>IFERROR(__xludf.DUMMYFUNCTION("""COMPUTED_VALUE"""),5.844413E7)</f>
        <v>58444130</v>
      </c>
      <c r="J4196" s="6">
        <f>IFERROR(__xludf.DUMMYFUNCTION("""COMPUTED_VALUE"""),5.844413E7)</f>
        <v>58444130</v>
      </c>
      <c r="K4196" s="57">
        <f>IFERROR(__xludf.DUMMYFUNCTION("""COMPUTED_VALUE"""),45905.0)</f>
        <v>45905</v>
      </c>
      <c r="L4196" s="6" t="str">
        <f>IFERROR(__xludf.DUMMYFUNCTION("""COMPUTED_VALUE"""),"FIP Engineering")</f>
        <v>FIP Engineering</v>
      </c>
      <c r="M4196" s="6" t="str">
        <f>IFERROR(__xludf.DUMMYFUNCTION("""COMPUTED_VALUE"""),"Mochammad Fadhillah Hakim,")</f>
        <v>Mochammad Fadhillah Hakim,</v>
      </c>
      <c r="N4196" s="6" t="str">
        <f>IFERROR(__xludf.DUMMYFUNCTION("""COMPUTED_VALUE"""),"FIP Engineering")</f>
        <v>FIP Engineering</v>
      </c>
      <c r="O4196" s="6" t="str">
        <f>IFERROR(__xludf.DUMMYFUNCTION("""COMPUTED_VALUE"""),"FIP-DOM-000-11304-OS00001-INA-000000")</f>
        <v>FIP-DOM-000-11304-OS00001-INA-000000</v>
      </c>
      <c r="P4196" s="6" t="str">
        <f>IFERROR(__xludf.DUMMYFUNCTION("""COMPUTED_VALUE"""),"PO Closed")</f>
        <v>PO Closed</v>
      </c>
      <c r="Q4196" s="6" t="str">
        <f>IFERROR(__xludf.DUMMYFUNCTION("""COMPUTED_VALUE"""),"GL2508026")</f>
        <v>GL2508026</v>
      </c>
      <c r="R4196" s="57">
        <f>IFERROR(__xludf.DUMMYFUNCTION("""COMPUTED_VALUE"""),45842.0)</f>
        <v>45842</v>
      </c>
      <c r="S4196" s="57">
        <f>IFERROR(__xludf.DUMMYFUNCTION("""COMPUTED_VALUE"""),45844.0)</f>
        <v>45844</v>
      </c>
      <c r="T4196" s="57">
        <f>IFERROR(__xludf.DUMMYFUNCTION("""COMPUTED_VALUE"""),45991.0)</f>
        <v>45991</v>
      </c>
    </row>
    <row r="4197">
      <c r="A4197" s="6" t="str">
        <f>IFERROR(__xludf.DUMMYFUNCTION("""COMPUTED_VALUE"""),"121702956-2")</f>
        <v>121702956-2</v>
      </c>
      <c r="B4197" s="6" t="str">
        <f>IFERROR(__xludf.DUMMYFUNCTION("""COMPUTED_VALUE"""),"121702956 - APPROVED")</f>
        <v>121702956 - APPROVED</v>
      </c>
      <c r="C4197" s="6">
        <f>IFERROR(__xludf.DUMMYFUNCTION("""COMPUTED_VALUE"""),2.0)</f>
        <v>2</v>
      </c>
      <c r="D4197" s="6" t="str">
        <f>IFERROR(__xludf.DUMMYFUNCTION("""COMPUTED_VALUE"""),"O-53336-00")</f>
        <v>O-53336-00</v>
      </c>
      <c r="E4197" s="6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F4197" s="6">
        <f>IFERROR(__xludf.DUMMYFUNCTION("""COMPUTED_VALUE"""),2.0)</f>
        <v>2</v>
      </c>
      <c r="G4197" s="6" t="str">
        <f>IFERROR(__xludf.DUMMYFUNCTION("""COMPUTED_VALUE"""),"Pieces")</f>
        <v>Pieces</v>
      </c>
      <c r="H4197" s="6" t="str">
        <f>IFERROR(__xludf.DUMMYFUNCTION("""COMPUTED_VALUE"""),"IDR")</f>
        <v>IDR</v>
      </c>
      <c r="I4197" s="6">
        <f>IFERROR(__xludf.DUMMYFUNCTION("""COMPUTED_VALUE"""),1.142502E7)</f>
        <v>11425020</v>
      </c>
      <c r="J4197" s="6">
        <f>IFERROR(__xludf.DUMMYFUNCTION("""COMPUTED_VALUE"""),2.285004E7)</f>
        <v>22850040</v>
      </c>
      <c r="K4197" s="57">
        <f>IFERROR(__xludf.DUMMYFUNCTION("""COMPUTED_VALUE"""),45905.0)</f>
        <v>45905</v>
      </c>
      <c r="L4197" s="6" t="str">
        <f>IFERROR(__xludf.DUMMYFUNCTION("""COMPUTED_VALUE"""),"FIP Engineering")</f>
        <v>FIP Engineering</v>
      </c>
      <c r="M4197" s="6" t="str">
        <f>IFERROR(__xludf.DUMMYFUNCTION("""COMPUTED_VALUE"""),"Mochammad Fadhillah Hakim,")</f>
        <v>Mochammad Fadhillah Hakim,</v>
      </c>
      <c r="N4197" s="6" t="str">
        <f>IFERROR(__xludf.DUMMYFUNCTION("""COMPUTED_VALUE"""),"FIP Engineering")</f>
        <v>FIP Engineering</v>
      </c>
      <c r="O4197" s="6" t="str">
        <f>IFERROR(__xludf.DUMMYFUNCTION("""COMPUTED_VALUE"""),"FIP-DOM-000-11304-OS00001-INA-000000")</f>
        <v>FIP-DOM-000-11304-OS00001-INA-000000</v>
      </c>
      <c r="P4197" s="6" t="str">
        <f>IFERROR(__xludf.DUMMYFUNCTION("""COMPUTED_VALUE"""),"PO Closed")</f>
        <v>PO Closed</v>
      </c>
      <c r="Q4197" s="6" t="str">
        <f>IFERROR(__xludf.DUMMYFUNCTION("""COMPUTED_VALUE"""),"GL2508026")</f>
        <v>GL2508026</v>
      </c>
      <c r="R4197" s="57">
        <f>IFERROR(__xludf.DUMMYFUNCTION("""COMPUTED_VALUE"""),45842.0)</f>
        <v>45842</v>
      </c>
      <c r="S4197" s="57">
        <f>IFERROR(__xludf.DUMMYFUNCTION("""COMPUTED_VALUE"""),45844.0)</f>
        <v>45844</v>
      </c>
      <c r="T4197" s="57">
        <f>IFERROR(__xludf.DUMMYFUNCTION("""COMPUTED_VALUE"""),45991.0)</f>
        <v>45991</v>
      </c>
    </row>
    <row r="4198">
      <c r="A4198" s="6" t="str">
        <f>IFERROR(__xludf.DUMMYFUNCTION("""COMPUTED_VALUE"""),"121702956-3")</f>
        <v>121702956-3</v>
      </c>
      <c r="B4198" s="6" t="str">
        <f>IFERROR(__xludf.DUMMYFUNCTION("""COMPUTED_VALUE"""),"121702956 - APPROVED")</f>
        <v>121702956 - APPROVED</v>
      </c>
      <c r="C4198" s="6">
        <f>IFERROR(__xludf.DUMMYFUNCTION("""COMPUTED_VALUE"""),3.0)</f>
        <v>3</v>
      </c>
      <c r="D4198" s="6" t="str">
        <f>IFERROR(__xludf.DUMMYFUNCTION("""COMPUTED_VALUE"""),"O-53337-00")</f>
        <v>O-53337-00</v>
      </c>
      <c r="E4198" s="6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F4198" s="6">
        <f>IFERROR(__xludf.DUMMYFUNCTION("""COMPUTED_VALUE"""),2.0)</f>
        <v>2</v>
      </c>
      <c r="G4198" s="6" t="str">
        <f>IFERROR(__xludf.DUMMYFUNCTION("""COMPUTED_VALUE"""),"Pieces")</f>
        <v>Pieces</v>
      </c>
      <c r="H4198" s="6" t="str">
        <f>IFERROR(__xludf.DUMMYFUNCTION("""COMPUTED_VALUE"""),"IDR")</f>
        <v>IDR</v>
      </c>
      <c r="I4198" s="6">
        <f>IFERROR(__xludf.DUMMYFUNCTION("""COMPUTED_VALUE"""),1.187773E7)</f>
        <v>11877730</v>
      </c>
      <c r="J4198" s="6">
        <f>IFERROR(__xludf.DUMMYFUNCTION("""COMPUTED_VALUE"""),2.375546E7)</f>
        <v>23755460</v>
      </c>
      <c r="K4198" s="57">
        <f>IFERROR(__xludf.DUMMYFUNCTION("""COMPUTED_VALUE"""),45905.0)</f>
        <v>45905</v>
      </c>
      <c r="L4198" s="6" t="str">
        <f>IFERROR(__xludf.DUMMYFUNCTION("""COMPUTED_VALUE"""),"FIP Engineering")</f>
        <v>FIP Engineering</v>
      </c>
      <c r="M4198" s="6" t="str">
        <f>IFERROR(__xludf.DUMMYFUNCTION("""COMPUTED_VALUE"""),"Mochammad Fadhillah Hakim,")</f>
        <v>Mochammad Fadhillah Hakim,</v>
      </c>
      <c r="N4198" s="6" t="str">
        <f>IFERROR(__xludf.DUMMYFUNCTION("""COMPUTED_VALUE"""),"FIP Engineering")</f>
        <v>FIP Engineering</v>
      </c>
      <c r="O4198" s="6" t="str">
        <f>IFERROR(__xludf.DUMMYFUNCTION("""COMPUTED_VALUE"""),"FIP-DOM-000-11304-OS00001-INA-000000")</f>
        <v>FIP-DOM-000-11304-OS00001-INA-000000</v>
      </c>
      <c r="P4198" s="6" t="str">
        <f>IFERROR(__xludf.DUMMYFUNCTION("""COMPUTED_VALUE"""),"PO Closed")</f>
        <v>PO Closed</v>
      </c>
      <c r="Q4198" s="6" t="str">
        <f>IFERROR(__xludf.DUMMYFUNCTION("""COMPUTED_VALUE"""),"GL2508026")</f>
        <v>GL2508026</v>
      </c>
      <c r="R4198" s="57">
        <f>IFERROR(__xludf.DUMMYFUNCTION("""COMPUTED_VALUE"""),45842.0)</f>
        <v>45842</v>
      </c>
      <c r="S4198" s="57">
        <f>IFERROR(__xludf.DUMMYFUNCTION("""COMPUTED_VALUE"""),45844.0)</f>
        <v>45844</v>
      </c>
      <c r="T4198" s="57">
        <f>IFERROR(__xludf.DUMMYFUNCTION("""COMPUTED_VALUE"""),45991.0)</f>
        <v>45991</v>
      </c>
    </row>
    <row r="4199">
      <c r="A4199" s="6" t="str">
        <f>IFERROR(__xludf.DUMMYFUNCTION("""COMPUTED_VALUE"""),"121702961-1")</f>
        <v>121702961-1</v>
      </c>
      <c r="B4199" s="6" t="str">
        <f>IFERROR(__xludf.DUMMYFUNCTION("""COMPUTED_VALUE"""),"121702961 - APPROVED")</f>
        <v>121702961 - APPROVED</v>
      </c>
      <c r="C4199" s="6">
        <f>IFERROR(__xludf.DUMMYFUNCTION("""COMPUTED_VALUE"""),1.0)</f>
        <v>1</v>
      </c>
      <c r="D4199" s="6" t="str">
        <f>IFERROR(__xludf.DUMMYFUNCTION("""COMPUTED_VALUE"""),"P-12077-00")</f>
        <v>P-12077-00</v>
      </c>
      <c r="E4199" s="6" t="str">
        <f>IFERROR(__xludf.DUMMYFUNCTION("""COMPUTED_VALUE"""),"General - Clamp Selang, SS 1 1/4""; Tridon; -; 1 pcs")</f>
        <v>General - Clamp Selang, SS 1 1/4"; Tridon; -; 1 pcs</v>
      </c>
      <c r="F4199" s="6">
        <f>IFERROR(__xludf.DUMMYFUNCTION("""COMPUTED_VALUE"""),5.0)</f>
        <v>5</v>
      </c>
      <c r="G4199" s="6" t="str">
        <f>IFERROR(__xludf.DUMMYFUNCTION("""COMPUTED_VALUE"""),"Pieces")</f>
        <v>Pieces</v>
      </c>
      <c r="H4199" s="6" t="str">
        <f>IFERROR(__xludf.DUMMYFUNCTION("""COMPUTED_VALUE"""),"IDR")</f>
        <v>IDR</v>
      </c>
      <c r="I4199" s="6">
        <f>IFERROR(__xludf.DUMMYFUNCTION("""COMPUTED_VALUE"""),40000.0)</f>
        <v>40000</v>
      </c>
      <c r="J4199" s="6">
        <f>IFERROR(__xludf.DUMMYFUNCTION("""COMPUTED_VALUE"""),200000.0)</f>
        <v>200000</v>
      </c>
      <c r="K4199" s="57">
        <f>IFERROR(__xludf.DUMMYFUNCTION("""COMPUTED_VALUE"""),45877.0)</f>
        <v>45877</v>
      </c>
      <c r="L4199" s="6" t="str">
        <f>IFERROR(__xludf.DUMMYFUNCTION("""COMPUTED_VALUE"""),"FIP Engineering")</f>
        <v>FIP Engineering</v>
      </c>
      <c r="M4199" s="6" t="str">
        <f>IFERROR(__xludf.DUMMYFUNCTION("""COMPUTED_VALUE"""),"Mochammad Fadhillah Hakim,")</f>
        <v>Mochammad Fadhillah Hakim,</v>
      </c>
      <c r="N4199" s="6" t="str">
        <f>IFERROR(__xludf.DUMMYFUNCTION("""COMPUTED_VALUE"""),"FIP Engineering")</f>
        <v>FIP Engineering</v>
      </c>
      <c r="O4199" s="6" t="str">
        <f>IFERROR(__xludf.DUMMYFUNCTION("""COMPUTED_VALUE"""),"FIP-DOM-000-11304-OS00001-INA-000000")</f>
        <v>FIP-DOM-000-11304-OS00001-INA-000000</v>
      </c>
      <c r="P4199" s="6" t="str">
        <f>IFERROR(__xludf.DUMMYFUNCTION("""COMPUTED_VALUE"""),"PO Closed")</f>
        <v>PO Closed</v>
      </c>
      <c r="Q4199" s="6" t="str">
        <f>IFERROR(__xludf.DUMMYFUNCTION("""COMPUTED_VALUE"""),"GL2507057")</f>
        <v>GL2507057</v>
      </c>
      <c r="R4199" s="57">
        <f>IFERROR(__xludf.DUMMYFUNCTION("""COMPUTED_VALUE"""),45846.0)</f>
        <v>45846</v>
      </c>
      <c r="S4199" s="57">
        <f>IFERROR(__xludf.DUMMYFUNCTION("""COMPUTED_VALUE"""),45846.0)</f>
        <v>45846</v>
      </c>
      <c r="T4199" s="57">
        <f>IFERROR(__xludf.DUMMYFUNCTION("""COMPUTED_VALUE"""),45884.0)</f>
        <v>45884</v>
      </c>
    </row>
    <row r="4200">
      <c r="A4200" s="6" t="str">
        <f>IFERROR(__xludf.DUMMYFUNCTION("""COMPUTED_VALUE"""),"121702962-1")</f>
        <v>121702962-1</v>
      </c>
      <c r="B4200" s="6" t="str">
        <f>IFERROR(__xludf.DUMMYFUNCTION("""COMPUTED_VALUE"""),"121702962 - APPROVED")</f>
        <v>121702962 - APPROVED</v>
      </c>
      <c r="C4200" s="6">
        <f>IFERROR(__xludf.DUMMYFUNCTION("""COMPUTED_VALUE"""),1.0)</f>
        <v>1</v>
      </c>
      <c r="D4200" s="6" t="str">
        <f>IFERROR(__xludf.DUMMYFUNCTION("""COMPUTED_VALUE"""),"S-20268-00")</f>
        <v>S-20268-00</v>
      </c>
      <c r="E4200" s="6" t="str">
        <f>IFERROR(__xludf.DUMMYFUNCTION("""COMPUTED_VALUE"""),"Face Shield Head Gear With Clear Visor; KW1000315; ; ;")</f>
        <v>Face Shield Head Gear With Clear Visor; KW1000315; ; ;</v>
      </c>
      <c r="F4200" s="6">
        <f>IFERROR(__xludf.DUMMYFUNCTION("""COMPUTED_VALUE"""),2.0)</f>
        <v>2</v>
      </c>
      <c r="G4200" s="6" t="str">
        <f>IFERROR(__xludf.DUMMYFUNCTION("""COMPUTED_VALUE"""),"Pieces")</f>
        <v>Pieces</v>
      </c>
      <c r="H4200" s="6" t="str">
        <f>IFERROR(__xludf.DUMMYFUNCTION("""COMPUTED_VALUE"""),"IDR")</f>
        <v>IDR</v>
      </c>
      <c r="I4200" s="6">
        <f>IFERROR(__xludf.DUMMYFUNCTION("""COMPUTED_VALUE"""),100100.0)</f>
        <v>100100</v>
      </c>
      <c r="J4200" s="6">
        <f>IFERROR(__xludf.DUMMYFUNCTION("""COMPUTED_VALUE"""),200200.0)</f>
        <v>200200</v>
      </c>
      <c r="K4200" s="57">
        <f>IFERROR(__xludf.DUMMYFUNCTION("""COMPUTED_VALUE"""),45877.0)</f>
        <v>45877</v>
      </c>
      <c r="L4200" s="6" t="str">
        <f>IFERROR(__xludf.DUMMYFUNCTION("""COMPUTED_VALUE"""),"FIP General")</f>
        <v>FIP General</v>
      </c>
      <c r="M4200" s="6" t="str">
        <f>IFERROR(__xludf.DUMMYFUNCTION("""COMPUTED_VALUE"""),"Mochammad Fadhillah Hakim,")</f>
        <v>Mochammad Fadhillah Hakim,</v>
      </c>
      <c r="N4200" s="6" t="str">
        <f>IFERROR(__xludf.DUMMYFUNCTION("""COMPUTED_VALUE"""),"FIP Engineering")</f>
        <v>FIP Engineering</v>
      </c>
      <c r="O4200" s="6" t="str">
        <f>IFERROR(__xludf.DUMMYFUNCTION("""COMPUTED_VALUE"""),"FIP-DOM-ENG-51202-0000000-INA-000000")</f>
        <v>FIP-DOM-ENG-51202-0000000-INA-000000</v>
      </c>
      <c r="P4200" s="6" t="str">
        <f>IFERROR(__xludf.DUMMYFUNCTION("""COMPUTED_VALUE"""),"PO Closed")</f>
        <v>PO Closed</v>
      </c>
      <c r="Q4200" s="6" t="str">
        <f>IFERROR(__xludf.DUMMYFUNCTION("""COMPUTED_VALUE"""),"GL2507068")</f>
        <v>GL2507068</v>
      </c>
      <c r="R4200" s="57">
        <f>IFERROR(__xludf.DUMMYFUNCTION("""COMPUTED_VALUE"""),45846.0)</f>
        <v>45846</v>
      </c>
      <c r="S4200" s="57">
        <f>IFERROR(__xludf.DUMMYFUNCTION("""COMPUTED_VALUE"""),45846.0)</f>
        <v>45846</v>
      </c>
      <c r="T4200" s="57">
        <f>IFERROR(__xludf.DUMMYFUNCTION("""COMPUTED_VALUE"""),45894.0)</f>
        <v>45894</v>
      </c>
    </row>
    <row r="4201">
      <c r="A4201" s="6" t="str">
        <f>IFERROR(__xludf.DUMMYFUNCTION("""COMPUTED_VALUE"""),"121702963-1")</f>
        <v>121702963-1</v>
      </c>
      <c r="B4201" s="6" t="str">
        <f>IFERROR(__xludf.DUMMYFUNCTION("""COMPUTED_VALUE"""),"121702963 - APPROVED")</f>
        <v>121702963 - APPROVED</v>
      </c>
      <c r="C4201" s="6">
        <f>IFERROR(__xludf.DUMMYFUNCTION("""COMPUTED_VALUE"""),1.0)</f>
        <v>1</v>
      </c>
      <c r="D4201" s="6" t="str">
        <f>IFERROR(__xludf.DUMMYFUNCTION("""COMPUTED_VALUE"""),"P-16359-00")</f>
        <v>P-16359-00</v>
      </c>
      <c r="E4201" s="6" t="str">
        <f>IFERROR(__xludf.DUMMYFUNCTION("""COMPUTED_VALUE"""),"General - Hand Tap M 6 x 1,0 mm; Yamawa; -; 3pcs/set")</f>
        <v>General - Hand Tap M 6 x 1,0 mm; Yamawa; -; 3pcs/set</v>
      </c>
      <c r="F4201" s="6">
        <f>IFERROR(__xludf.DUMMYFUNCTION("""COMPUTED_VALUE"""),1.0)</f>
        <v>1</v>
      </c>
      <c r="G4201" s="6" t="str">
        <f>IFERROR(__xludf.DUMMYFUNCTION("""COMPUTED_VALUE"""),"Set")</f>
        <v>Set</v>
      </c>
      <c r="H4201" s="6" t="str">
        <f>IFERROR(__xludf.DUMMYFUNCTION("""COMPUTED_VALUE"""),"IDR")</f>
        <v>IDR</v>
      </c>
      <c r="I4201" s="6">
        <f>IFERROR(__xludf.DUMMYFUNCTION("""COMPUTED_VALUE"""),265000.0)</f>
        <v>265000</v>
      </c>
      <c r="J4201" s="6">
        <f>IFERROR(__xludf.DUMMYFUNCTION("""COMPUTED_VALUE"""),265000.0)</f>
        <v>265000</v>
      </c>
      <c r="K4201" s="57">
        <f>IFERROR(__xludf.DUMMYFUNCTION("""COMPUTED_VALUE"""),45877.0)</f>
        <v>45877</v>
      </c>
      <c r="L4201" s="6" t="str">
        <f>IFERROR(__xludf.DUMMYFUNCTION("""COMPUTED_VALUE"""),"FIP Engineering")</f>
        <v>FIP Engineering</v>
      </c>
      <c r="M4201" s="6" t="str">
        <f>IFERROR(__xludf.DUMMYFUNCTION("""COMPUTED_VALUE"""),"Mochammad Fadhillah Hakim,")</f>
        <v>Mochammad Fadhillah Hakim,</v>
      </c>
      <c r="N4201" s="6" t="str">
        <f>IFERROR(__xludf.DUMMYFUNCTION("""COMPUTED_VALUE"""),"FIP Engineering")</f>
        <v>FIP Engineering</v>
      </c>
      <c r="O4201" s="6" t="str">
        <f>IFERROR(__xludf.DUMMYFUNCTION("""COMPUTED_VALUE"""),"FIP-DOM-000-11304-OS00001-INA-000000")</f>
        <v>FIP-DOM-000-11304-OS00001-INA-000000</v>
      </c>
      <c r="P4201" s="6" t="str">
        <f>IFERROR(__xludf.DUMMYFUNCTION("""COMPUTED_VALUE"""),"PO Closed")</f>
        <v>PO Closed</v>
      </c>
      <c r="Q4201" s="6" t="str">
        <f>IFERROR(__xludf.DUMMYFUNCTION("""COMPUTED_VALUE"""),"GL2507056")</f>
        <v>GL2507056</v>
      </c>
      <c r="R4201" s="57">
        <f>IFERROR(__xludf.DUMMYFUNCTION("""COMPUTED_VALUE"""),45846.0)</f>
        <v>45846</v>
      </c>
      <c r="S4201" s="57">
        <f>IFERROR(__xludf.DUMMYFUNCTION("""COMPUTED_VALUE"""),45853.0)</f>
        <v>45853</v>
      </c>
      <c r="T4201" s="57">
        <f>IFERROR(__xludf.DUMMYFUNCTION("""COMPUTED_VALUE"""),45884.0)</f>
        <v>45884</v>
      </c>
    </row>
    <row r="4202">
      <c r="A4202" s="6" t="str">
        <f>IFERROR(__xludf.DUMMYFUNCTION("""COMPUTED_VALUE"""),"121702964-1")</f>
        <v>121702964-1</v>
      </c>
      <c r="B4202" s="6" t="str">
        <f>IFERROR(__xludf.DUMMYFUNCTION("""COMPUTED_VALUE"""),"121702964 - APPROVED")</f>
        <v>121702964 - APPROVED</v>
      </c>
      <c r="C4202" s="6">
        <f>IFERROR(__xludf.DUMMYFUNCTION("""COMPUTED_VALUE"""),1.0)</f>
        <v>1</v>
      </c>
      <c r="D4202" s="6" t="str">
        <f>IFERROR(__xludf.DUMMYFUNCTION("""COMPUTED_VALUE"""),"P-50768-00")</f>
        <v>P-50768-00</v>
      </c>
      <c r="E4202" s="6" t="str">
        <f>IFERROR(__xludf.DUMMYFUNCTION("""COMPUTED_VALUE"""),"AUTONIC - Counter timer CT6S")</f>
        <v>AUTONIC - Counter timer CT6S</v>
      </c>
      <c r="F4202" s="6">
        <f>IFERROR(__xludf.DUMMYFUNCTION("""COMPUTED_VALUE"""),1.0)</f>
        <v>1</v>
      </c>
      <c r="G4202" s="6" t="str">
        <f>IFERROR(__xludf.DUMMYFUNCTION("""COMPUTED_VALUE"""),"Pieces")</f>
        <v>Pieces</v>
      </c>
      <c r="H4202" s="6" t="str">
        <f>IFERROR(__xludf.DUMMYFUNCTION("""COMPUTED_VALUE"""),"IDR")</f>
        <v>IDR</v>
      </c>
      <c r="I4202" s="6">
        <f>IFERROR(__xludf.DUMMYFUNCTION("""COMPUTED_VALUE"""),762300.0)</f>
        <v>762300</v>
      </c>
      <c r="J4202" s="6">
        <f>IFERROR(__xludf.DUMMYFUNCTION("""COMPUTED_VALUE"""),762300.0)</f>
        <v>762300</v>
      </c>
      <c r="K4202" s="57">
        <f>IFERROR(__xludf.DUMMYFUNCTION("""COMPUTED_VALUE"""),45877.0)</f>
        <v>45877</v>
      </c>
      <c r="L4202" s="6" t="str">
        <f>IFERROR(__xludf.DUMMYFUNCTION("""COMPUTED_VALUE"""),"FIP Engineering")</f>
        <v>FIP Engineering</v>
      </c>
      <c r="M4202" s="6" t="str">
        <f>IFERROR(__xludf.DUMMYFUNCTION("""COMPUTED_VALUE"""),"Mochammad Fadhillah Hakim,")</f>
        <v>Mochammad Fadhillah Hakim,</v>
      </c>
      <c r="N4202" s="6" t="str">
        <f>IFERROR(__xludf.DUMMYFUNCTION("""COMPUTED_VALUE"""),"FIP Engineering")</f>
        <v>FIP Engineering</v>
      </c>
      <c r="O4202" s="6" t="str">
        <f>IFERROR(__xludf.DUMMYFUNCTION("""COMPUTED_VALUE"""),"FIP-DOM-000-11304-OS00001-INA-000000")</f>
        <v>FIP-DOM-000-11304-OS00001-INA-000000</v>
      </c>
      <c r="P4202" s="6" t="str">
        <f>IFERROR(__xludf.DUMMYFUNCTION("""COMPUTED_VALUE"""),"PO Closed")</f>
        <v>PO Closed</v>
      </c>
      <c r="Q4202" s="6" t="str">
        <f>IFERROR(__xludf.DUMMYFUNCTION("""COMPUTED_VALUE"""),"GL2507048")</f>
        <v>GL2507048</v>
      </c>
      <c r="R4202" s="57">
        <f>IFERROR(__xludf.DUMMYFUNCTION("""COMPUTED_VALUE"""),45846.0)</f>
        <v>45846</v>
      </c>
      <c r="S4202" s="57">
        <f>IFERROR(__xludf.DUMMYFUNCTION("""COMPUTED_VALUE"""),45846.0)</f>
        <v>45846</v>
      </c>
      <c r="T4202" s="57">
        <f>IFERROR(__xludf.DUMMYFUNCTION("""COMPUTED_VALUE"""),45894.0)</f>
        <v>45894</v>
      </c>
    </row>
    <row r="4203">
      <c r="A4203" s="6" t="str">
        <f>IFERROR(__xludf.DUMMYFUNCTION("""COMPUTED_VALUE"""),"121702965-1")</f>
        <v>121702965-1</v>
      </c>
      <c r="B4203" s="6" t="str">
        <f>IFERROR(__xludf.DUMMYFUNCTION("""COMPUTED_VALUE"""),"121702965 - APPROVED")</f>
        <v>121702965 - APPROVED</v>
      </c>
      <c r="C4203" s="6">
        <f>IFERROR(__xludf.DUMMYFUNCTION("""COMPUTED_VALUE"""),1.0)</f>
        <v>1</v>
      </c>
      <c r="D4203" s="6" t="str">
        <f>IFERROR(__xludf.DUMMYFUNCTION("""COMPUTED_VALUE"""),"Q-60328-00")</f>
        <v>Q-60328-00</v>
      </c>
      <c r="E4203" s="6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F4203" s="6">
        <f>IFERROR(__xludf.DUMMYFUNCTION("""COMPUTED_VALUE"""),4.0)</f>
        <v>4</v>
      </c>
      <c r="G4203" s="6" t="str">
        <f>IFERROR(__xludf.DUMMYFUNCTION("""COMPUTED_VALUE"""),"Pail")</f>
        <v>Pail</v>
      </c>
      <c r="H4203" s="6" t="str">
        <f>IFERROR(__xludf.DUMMYFUNCTION("""COMPUTED_VALUE"""),"IDR")</f>
        <v>IDR</v>
      </c>
      <c r="I4203" s="6">
        <f>IFERROR(__xludf.DUMMYFUNCTION("""COMPUTED_VALUE"""),2190000.0)</f>
        <v>2190000</v>
      </c>
      <c r="J4203" s="6">
        <f>IFERROR(__xludf.DUMMYFUNCTION("""COMPUTED_VALUE"""),8760000.0)</f>
        <v>8760000</v>
      </c>
      <c r="K4203" s="57">
        <f>IFERROR(__xludf.DUMMYFUNCTION("""COMPUTED_VALUE"""),45877.0)</f>
        <v>45877</v>
      </c>
      <c r="L4203" s="6" t="str">
        <f>IFERROR(__xludf.DUMMYFUNCTION("""COMPUTED_VALUE"""),"FIP General")</f>
        <v>FIP General</v>
      </c>
      <c r="M4203" s="6" t="str">
        <f>IFERROR(__xludf.DUMMYFUNCTION("""COMPUTED_VALUE"""),"Mochammad Fadhillah Hakim,")</f>
        <v>Mochammad Fadhillah Hakim,</v>
      </c>
      <c r="N4203" s="6" t="str">
        <f>IFERROR(__xludf.DUMMYFUNCTION("""COMPUTED_VALUE"""),"FIP Engineering")</f>
        <v>FIP Engineering</v>
      </c>
      <c r="O4203" s="6" t="str">
        <f>IFERROR(__xludf.DUMMYFUNCTION("""COMPUTED_VALUE"""),"FIP-DOM-ENG-51502-0000000-INA-000000")</f>
        <v>FIP-DOM-ENG-51502-0000000-INA-000000</v>
      </c>
      <c r="P4203" s="6" t="str">
        <f>IFERROR(__xludf.DUMMYFUNCTION("""COMPUTED_VALUE"""),"PO Closed")</f>
        <v>PO Closed</v>
      </c>
      <c r="Q4203" s="6" t="str">
        <f>IFERROR(__xludf.DUMMYFUNCTION("""COMPUTED_VALUE"""),"GL2507061")</f>
        <v>GL2507061</v>
      </c>
      <c r="R4203" s="57">
        <f>IFERROR(__xludf.DUMMYFUNCTION("""COMPUTED_VALUE"""),45846.0)</f>
        <v>45846</v>
      </c>
      <c r="S4203" s="57">
        <f>IFERROR(__xludf.DUMMYFUNCTION("""COMPUTED_VALUE"""),45853.0)</f>
        <v>45853</v>
      </c>
      <c r="T4203" s="57">
        <f>IFERROR(__xludf.DUMMYFUNCTION("""COMPUTED_VALUE"""),45898.0)</f>
        <v>45898</v>
      </c>
    </row>
    <row r="4204">
      <c r="A4204" s="6" t="str">
        <f>IFERROR(__xludf.DUMMYFUNCTION("""COMPUTED_VALUE"""),"121702966-1")</f>
        <v>121702966-1</v>
      </c>
      <c r="B4204" s="6" t="str">
        <f>IFERROR(__xludf.DUMMYFUNCTION("""COMPUTED_VALUE"""),"121702966 - APPROVED")</f>
        <v>121702966 - APPROVED</v>
      </c>
      <c r="C4204" s="6">
        <f>IFERROR(__xludf.DUMMYFUNCTION("""COMPUTED_VALUE"""),1.0)</f>
        <v>1</v>
      </c>
      <c r="D4204" s="6" t="str">
        <f>IFERROR(__xludf.DUMMYFUNCTION("""COMPUTED_VALUE"""),"P-53169-00")</f>
        <v>P-53169-00</v>
      </c>
      <c r="E4204" s="6" t="str">
        <f>IFERROR(__xludf.DUMMYFUNCTION("""COMPUTED_VALUE"""),"Ballast Electronic EB-C 228 TL5, 2x28W; Phillips; ;")</f>
        <v>Ballast Electronic EB-C 228 TL5, 2x28W; Phillips; ;</v>
      </c>
      <c r="F4204" s="6">
        <f>IFERROR(__xludf.DUMMYFUNCTION("""COMPUTED_VALUE"""),10.0)</f>
        <v>10</v>
      </c>
      <c r="G4204" s="6" t="str">
        <f>IFERROR(__xludf.DUMMYFUNCTION("""COMPUTED_VALUE"""),"Pieces")</f>
        <v>Pieces</v>
      </c>
      <c r="H4204" s="6" t="str">
        <f>IFERROR(__xludf.DUMMYFUNCTION("""COMPUTED_VALUE"""),"IDR")</f>
        <v>IDR</v>
      </c>
      <c r="I4204" s="6">
        <f>IFERROR(__xludf.DUMMYFUNCTION("""COMPUTED_VALUE"""),165000.0)</f>
        <v>165000</v>
      </c>
      <c r="J4204" s="6">
        <f>IFERROR(__xludf.DUMMYFUNCTION("""COMPUTED_VALUE"""),1650000.0)</f>
        <v>1650000</v>
      </c>
      <c r="K4204" s="57">
        <f>IFERROR(__xludf.DUMMYFUNCTION("""COMPUTED_VALUE"""),45877.0)</f>
        <v>45877</v>
      </c>
      <c r="L4204" s="6" t="str">
        <f>IFERROR(__xludf.DUMMYFUNCTION("""COMPUTED_VALUE"""),"FIP Engineering")</f>
        <v>FIP Engineering</v>
      </c>
      <c r="M4204" s="6" t="str">
        <f>IFERROR(__xludf.DUMMYFUNCTION("""COMPUTED_VALUE"""),"Mochammad Fadhillah Hakim,")</f>
        <v>Mochammad Fadhillah Hakim,</v>
      </c>
      <c r="N4204" s="6" t="str">
        <f>IFERROR(__xludf.DUMMYFUNCTION("""COMPUTED_VALUE"""),"FIP Engineering")</f>
        <v>FIP Engineering</v>
      </c>
      <c r="O4204" s="6" t="str">
        <f>IFERROR(__xludf.DUMMYFUNCTION("""COMPUTED_VALUE"""),"FIP-DOM-000-11304-OS00001-INA-000000")</f>
        <v>FIP-DOM-000-11304-OS00001-INA-000000</v>
      </c>
      <c r="P4204" s="6" t="str">
        <f>IFERROR(__xludf.DUMMYFUNCTION("""COMPUTED_VALUE"""),"PO Closed")</f>
        <v>PO Closed</v>
      </c>
      <c r="Q4204" s="6" t="str">
        <f>IFERROR(__xludf.DUMMYFUNCTION("""COMPUTED_VALUE"""),"GL2507056")</f>
        <v>GL2507056</v>
      </c>
      <c r="R4204" s="57">
        <f>IFERROR(__xludf.DUMMYFUNCTION("""COMPUTED_VALUE"""),45846.0)</f>
        <v>45846</v>
      </c>
      <c r="S4204" s="57">
        <f>IFERROR(__xludf.DUMMYFUNCTION("""COMPUTED_VALUE"""),45846.0)</f>
        <v>45846</v>
      </c>
      <c r="T4204" s="57">
        <f>IFERROR(__xludf.DUMMYFUNCTION("""COMPUTED_VALUE"""),45884.0)</f>
        <v>45884</v>
      </c>
    </row>
    <row r="4205">
      <c r="A4205" s="6" t="str">
        <f>IFERROR(__xludf.DUMMYFUNCTION("""COMPUTED_VALUE"""),"121702967-1")</f>
        <v>121702967-1</v>
      </c>
      <c r="B4205" s="6" t="str">
        <f>IFERROR(__xludf.DUMMYFUNCTION("""COMPUTED_VALUE"""),"121702967 - APPROVED")</f>
        <v>121702967 - APPROVED</v>
      </c>
      <c r="C4205" s="6">
        <f>IFERROR(__xludf.DUMMYFUNCTION("""COMPUTED_VALUE"""),1.0)</f>
        <v>1</v>
      </c>
      <c r="D4205" s="6" t="str">
        <f>IFERROR(__xludf.DUMMYFUNCTION("""COMPUTED_VALUE"""),"Q-10752-00")</f>
        <v>Q-10752-00</v>
      </c>
      <c r="E4205" s="6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F4205" s="6">
        <f>IFERROR(__xludf.DUMMYFUNCTION("""COMPUTED_VALUE"""),69.0)</f>
        <v>69</v>
      </c>
      <c r="G4205" s="6" t="str">
        <f>IFERROR(__xludf.DUMMYFUNCTION("""COMPUTED_VALUE"""),"Can")</f>
        <v>Can</v>
      </c>
      <c r="H4205" s="6" t="str">
        <f>IFERROR(__xludf.DUMMYFUNCTION("""COMPUTED_VALUE"""),"IDR")</f>
        <v>IDR</v>
      </c>
      <c r="I4205" s="6">
        <f>IFERROR(__xludf.DUMMYFUNCTION("""COMPUTED_VALUE"""),109250.0)</f>
        <v>109250</v>
      </c>
      <c r="J4205" s="6">
        <f>IFERROR(__xludf.DUMMYFUNCTION("""COMPUTED_VALUE"""),7538250.0)</f>
        <v>7538250</v>
      </c>
      <c r="K4205" s="57">
        <f>IFERROR(__xludf.DUMMYFUNCTION("""COMPUTED_VALUE"""),45877.0)</f>
        <v>45877</v>
      </c>
      <c r="L4205" s="6" t="str">
        <f>IFERROR(__xludf.DUMMYFUNCTION("""COMPUTED_VALUE"""),"FIP Engineering")</f>
        <v>FIP Engineering</v>
      </c>
      <c r="M4205" s="6" t="str">
        <f>IFERROR(__xludf.DUMMYFUNCTION("""COMPUTED_VALUE"""),"Mochammad Fadhillah Hakim,")</f>
        <v>Mochammad Fadhillah Hakim,</v>
      </c>
      <c r="N4205" s="6" t="str">
        <f>IFERROR(__xludf.DUMMYFUNCTION("""COMPUTED_VALUE"""),"FIP Engineering")</f>
        <v>FIP Engineering</v>
      </c>
      <c r="O4205" s="6" t="str">
        <f>IFERROR(__xludf.DUMMYFUNCTION("""COMPUTED_VALUE"""),"FIP-DOM-000-11304-OS00001-INA-000000")</f>
        <v>FIP-DOM-000-11304-OS00001-INA-000000</v>
      </c>
      <c r="P4205" s="6" t="str">
        <f>IFERROR(__xludf.DUMMYFUNCTION("""COMPUTED_VALUE"""),"PO Closed")</f>
        <v>PO Closed</v>
      </c>
      <c r="Q4205" s="6" t="str">
        <f>IFERROR(__xludf.DUMMYFUNCTION("""COMPUTED_VALUE"""),"GL2507061")</f>
        <v>GL2507061</v>
      </c>
      <c r="R4205" s="57">
        <f>IFERROR(__xludf.DUMMYFUNCTION("""COMPUTED_VALUE"""),45846.0)</f>
        <v>45846</v>
      </c>
      <c r="S4205" s="57">
        <f>IFERROR(__xludf.DUMMYFUNCTION("""COMPUTED_VALUE"""),45853.0)</f>
        <v>45853</v>
      </c>
      <c r="T4205" s="57">
        <f>IFERROR(__xludf.DUMMYFUNCTION("""COMPUTED_VALUE"""),45898.0)</f>
        <v>45898</v>
      </c>
    </row>
    <row r="4206">
      <c r="A4206" s="6" t="str">
        <f>IFERROR(__xludf.DUMMYFUNCTION("""COMPUTED_VALUE"""),"121702969-1")</f>
        <v>121702969-1</v>
      </c>
      <c r="B4206" s="6" t="str">
        <f>IFERROR(__xludf.DUMMYFUNCTION("""COMPUTED_VALUE"""),"121702969 - APPROVED")</f>
        <v>121702969 - APPROVED</v>
      </c>
      <c r="C4206" s="6">
        <f>IFERROR(__xludf.DUMMYFUNCTION("""COMPUTED_VALUE"""),1.0)</f>
        <v>1</v>
      </c>
      <c r="D4206" s="6" t="str">
        <f>IFERROR(__xludf.DUMMYFUNCTION("""COMPUTED_VALUE"""),"P-10390-00")</f>
        <v>P-10390-00</v>
      </c>
      <c r="E4206" s="6" t="str">
        <f>IFERROR(__xludf.DUMMYFUNCTION("""COMPUTED_VALUE"""),"Ball Valve PVC 1""")</f>
        <v>Ball Valve PVC 1"</v>
      </c>
      <c r="F4206" s="6">
        <f>IFERROR(__xludf.DUMMYFUNCTION("""COMPUTED_VALUE"""),5.0)</f>
        <v>5</v>
      </c>
      <c r="G4206" s="6" t="str">
        <f>IFERROR(__xludf.DUMMYFUNCTION("""COMPUTED_VALUE"""),"Pieces")</f>
        <v>Pieces</v>
      </c>
      <c r="H4206" s="6" t="str">
        <f>IFERROR(__xludf.DUMMYFUNCTION("""COMPUTED_VALUE"""),"IDR")</f>
        <v>IDR</v>
      </c>
      <c r="I4206" s="6">
        <f>IFERROR(__xludf.DUMMYFUNCTION("""COMPUTED_VALUE"""),25000.0)</f>
        <v>25000</v>
      </c>
      <c r="J4206" s="6">
        <f>IFERROR(__xludf.DUMMYFUNCTION("""COMPUTED_VALUE"""),125000.0)</f>
        <v>125000</v>
      </c>
      <c r="K4206" s="57">
        <f>IFERROR(__xludf.DUMMYFUNCTION("""COMPUTED_VALUE"""),45877.0)</f>
        <v>45877</v>
      </c>
      <c r="L4206" s="6" t="str">
        <f>IFERROR(__xludf.DUMMYFUNCTION("""COMPUTED_VALUE"""),"FIP Engineering")</f>
        <v>FIP Engineering</v>
      </c>
      <c r="M4206" s="6" t="str">
        <f>IFERROR(__xludf.DUMMYFUNCTION("""COMPUTED_VALUE"""),"Mochammad Fadhillah Hakim,")</f>
        <v>Mochammad Fadhillah Hakim,</v>
      </c>
      <c r="N4206" s="6" t="str">
        <f>IFERROR(__xludf.DUMMYFUNCTION("""COMPUTED_VALUE"""),"FIP Engineering")</f>
        <v>FIP Engineering</v>
      </c>
      <c r="O4206" s="6" t="str">
        <f>IFERROR(__xludf.DUMMYFUNCTION("""COMPUTED_VALUE"""),"FIP-DOM-000-11304-OS00001-INA-000000")</f>
        <v>FIP-DOM-000-11304-OS00001-INA-000000</v>
      </c>
      <c r="P4206" s="6" t="str">
        <f>IFERROR(__xludf.DUMMYFUNCTION("""COMPUTED_VALUE"""),"PO Closed")</f>
        <v>PO Closed</v>
      </c>
      <c r="Q4206" s="6" t="str">
        <f>IFERROR(__xludf.DUMMYFUNCTION("""COMPUTED_VALUE"""),"GL2507045")</f>
        <v>GL2507045</v>
      </c>
      <c r="R4206" s="57">
        <f>IFERROR(__xludf.DUMMYFUNCTION("""COMPUTED_VALUE"""),45846.0)</f>
        <v>45846</v>
      </c>
      <c r="S4206" s="57">
        <f>IFERROR(__xludf.DUMMYFUNCTION("""COMPUTED_VALUE"""),45852.0)</f>
        <v>45852</v>
      </c>
      <c r="T4206" s="57">
        <f>IFERROR(__xludf.DUMMYFUNCTION("""COMPUTED_VALUE"""),45884.0)</f>
        <v>45884</v>
      </c>
    </row>
    <row r="4207">
      <c r="A4207" s="6" t="str">
        <f>IFERROR(__xludf.DUMMYFUNCTION("""COMPUTED_VALUE"""),"121702969-2")</f>
        <v>121702969-2</v>
      </c>
      <c r="B4207" s="6" t="str">
        <f>IFERROR(__xludf.DUMMYFUNCTION("""COMPUTED_VALUE"""),"121702969 - APPROVED")</f>
        <v>121702969 - APPROVED</v>
      </c>
      <c r="C4207" s="6">
        <f>IFERROR(__xludf.DUMMYFUNCTION("""COMPUTED_VALUE"""),2.0)</f>
        <v>2</v>
      </c>
      <c r="D4207" s="6" t="str">
        <f>IFERROR(__xludf.DUMMYFUNCTION("""COMPUTED_VALUE"""),"P-12942-00")</f>
        <v>P-12942-00</v>
      </c>
      <c r="E4207" s="6" t="str">
        <f>IFERROR(__xludf.DUMMYFUNCTION("""COMPUTED_VALUE"""),"Water Mur PVC dia 1inch")</f>
        <v>Water Mur PVC dia 1inch</v>
      </c>
      <c r="F4207" s="6">
        <f>IFERROR(__xludf.DUMMYFUNCTION("""COMPUTED_VALUE"""),5.0)</f>
        <v>5</v>
      </c>
      <c r="G4207" s="6" t="str">
        <f>IFERROR(__xludf.DUMMYFUNCTION("""COMPUTED_VALUE"""),"Pieces")</f>
        <v>Pieces</v>
      </c>
      <c r="H4207" s="6" t="str">
        <f>IFERROR(__xludf.DUMMYFUNCTION("""COMPUTED_VALUE"""),"IDR")</f>
        <v>IDR</v>
      </c>
      <c r="I4207" s="6">
        <f>IFERROR(__xludf.DUMMYFUNCTION("""COMPUTED_VALUE"""),17500.0)</f>
        <v>17500</v>
      </c>
      <c r="J4207" s="6">
        <f>IFERROR(__xludf.DUMMYFUNCTION("""COMPUTED_VALUE"""),87500.0)</f>
        <v>87500</v>
      </c>
      <c r="K4207" s="57">
        <f>IFERROR(__xludf.DUMMYFUNCTION("""COMPUTED_VALUE"""),45877.0)</f>
        <v>45877</v>
      </c>
      <c r="L4207" s="6" t="str">
        <f>IFERROR(__xludf.DUMMYFUNCTION("""COMPUTED_VALUE"""),"FIP Engineering")</f>
        <v>FIP Engineering</v>
      </c>
      <c r="M4207" s="6" t="str">
        <f>IFERROR(__xludf.DUMMYFUNCTION("""COMPUTED_VALUE"""),"Mochammad Fadhillah Hakim,")</f>
        <v>Mochammad Fadhillah Hakim,</v>
      </c>
      <c r="N4207" s="6" t="str">
        <f>IFERROR(__xludf.DUMMYFUNCTION("""COMPUTED_VALUE"""),"FIP Engineering")</f>
        <v>FIP Engineering</v>
      </c>
      <c r="O4207" s="6" t="str">
        <f>IFERROR(__xludf.DUMMYFUNCTION("""COMPUTED_VALUE"""),"FIP-DOM-000-11304-OS00001-INA-000000")</f>
        <v>FIP-DOM-000-11304-OS00001-INA-000000</v>
      </c>
      <c r="P4207" s="6" t="str">
        <f>IFERROR(__xludf.DUMMYFUNCTION("""COMPUTED_VALUE"""),"PO Closed")</f>
        <v>PO Closed</v>
      </c>
      <c r="Q4207" s="6" t="str">
        <f>IFERROR(__xludf.DUMMYFUNCTION("""COMPUTED_VALUE"""),"GL2507045")</f>
        <v>GL2507045</v>
      </c>
      <c r="R4207" s="57">
        <f>IFERROR(__xludf.DUMMYFUNCTION("""COMPUTED_VALUE"""),45846.0)</f>
        <v>45846</v>
      </c>
      <c r="S4207" s="57">
        <f>IFERROR(__xludf.DUMMYFUNCTION("""COMPUTED_VALUE"""),45852.0)</f>
        <v>45852</v>
      </c>
      <c r="T4207" s="57">
        <f>IFERROR(__xludf.DUMMYFUNCTION("""COMPUTED_VALUE"""),45884.0)</f>
        <v>45884</v>
      </c>
    </row>
    <row r="4208">
      <c r="A4208" s="6" t="str">
        <f>IFERROR(__xludf.DUMMYFUNCTION("""COMPUTED_VALUE"""),"121702970-1")</f>
        <v>121702970-1</v>
      </c>
      <c r="B4208" s="6" t="str">
        <f>IFERROR(__xludf.DUMMYFUNCTION("""COMPUTED_VALUE"""),"121702970 - APPROVED")</f>
        <v>121702970 - APPROVED</v>
      </c>
      <c r="C4208" s="6">
        <f>IFERROR(__xludf.DUMMYFUNCTION("""COMPUTED_VALUE"""),1.0)</f>
        <v>1</v>
      </c>
      <c r="D4208" s="6" t="str">
        <f>IFERROR(__xludf.DUMMYFUNCTION("""COMPUTED_VALUE"""),"R-21013-00")</f>
        <v>R-21013-00</v>
      </c>
      <c r="E4208" s="6" t="str">
        <f>IFERROR(__xludf.DUMMYFUNCTION("""COMPUTED_VALUE"""),"Utility Equipment; ; ; - Instalasi PoU PW, WFI dan Pure Steam")</f>
        <v>Utility Equipment; ; ; - Instalasi PoU PW, WFI dan Pure Steam</v>
      </c>
      <c r="F4208" s="6">
        <f>IFERROR(__xludf.DUMMYFUNCTION("""COMPUTED_VALUE"""),1.0)</f>
        <v>1</v>
      </c>
      <c r="G4208" s="6" t="str">
        <f>IFERROR(__xludf.DUMMYFUNCTION("""COMPUTED_VALUE"""),"Unit")</f>
        <v>Unit</v>
      </c>
      <c r="H4208" s="6" t="str">
        <f>IFERROR(__xludf.DUMMYFUNCTION("""COMPUTED_VALUE"""),"IDR")</f>
        <v>IDR</v>
      </c>
      <c r="I4208" s="6">
        <f>IFERROR(__xludf.DUMMYFUNCTION("""COMPUTED_VALUE"""),4.772979E8)</f>
        <v>477297900</v>
      </c>
      <c r="J4208" s="6">
        <f>IFERROR(__xludf.DUMMYFUNCTION("""COMPUTED_VALUE"""),4.772979E8)</f>
        <v>477297900</v>
      </c>
      <c r="K4208" s="57">
        <f>IFERROR(__xludf.DUMMYFUNCTION("""COMPUTED_VALUE"""),45912.0)</f>
        <v>45912</v>
      </c>
      <c r="L4208" s="6" t="str">
        <f>IFERROR(__xludf.DUMMYFUNCTION("""COMPUTED_VALUE"""),"FIP General")</f>
        <v>FIP General</v>
      </c>
      <c r="M4208" s="6" t="str">
        <f>IFERROR(__xludf.DUMMYFUNCTION("""COMPUTED_VALUE"""),"Mochammad Fadhillah Hakim,")</f>
        <v>Mochammad Fadhillah Hakim,</v>
      </c>
      <c r="N4208" s="6" t="str">
        <f>IFERROR(__xludf.DUMMYFUNCTION("""COMPUTED_VALUE"""),"FIP Engineering")</f>
        <v>FIP Engineering</v>
      </c>
      <c r="O4208" s="6" t="str">
        <f>IFERROR(__xludf.DUMMYFUNCTION("""COMPUTED_VALUE"""),"FIP-DOM-ENG-13405-EQ25023-INA-000000")</f>
        <v>FIP-DOM-ENG-13405-EQ25023-INA-000000</v>
      </c>
      <c r="P4208" s="6" t="str">
        <f>IFERROR(__xludf.DUMMYFUNCTION("""COMPUTED_VALUE"""),"PO Closed")</f>
        <v>PO Closed</v>
      </c>
      <c r="Q4208" s="6" t="str">
        <f>IFERROR(__xludf.DUMMYFUNCTION("""COMPUTED_VALUE"""),"GL2509009")</f>
        <v>GL2509009</v>
      </c>
      <c r="R4208" s="57">
        <f>IFERROR(__xludf.DUMMYFUNCTION("""COMPUTED_VALUE"""),45846.0)</f>
        <v>45846</v>
      </c>
      <c r="S4208" s="57">
        <f>IFERROR(__xludf.DUMMYFUNCTION("""COMPUTED_VALUE"""),45862.0)</f>
        <v>45862</v>
      </c>
      <c r="T4208" s="57">
        <f>IFERROR(__xludf.DUMMYFUNCTION("""COMPUTED_VALUE"""),45942.0)</f>
        <v>45942</v>
      </c>
    </row>
    <row r="4209">
      <c r="A4209" s="6" t="str">
        <f>IFERROR(__xludf.DUMMYFUNCTION("""COMPUTED_VALUE"""),"121702975-1")</f>
        <v>121702975-1</v>
      </c>
      <c r="B4209" s="6" t="str">
        <f>IFERROR(__xludf.DUMMYFUNCTION("""COMPUTED_VALUE"""),"121702975 - APPROVED")</f>
        <v>121702975 - APPROVED</v>
      </c>
      <c r="C4209" s="6">
        <f>IFERROR(__xludf.DUMMYFUNCTION("""COMPUTED_VALUE"""),1.0)</f>
        <v>1</v>
      </c>
      <c r="D4209" s="6" t="str">
        <f>IFERROR(__xludf.DUMMYFUNCTION("""COMPUTED_VALUE"""),"P-19950-00")</f>
        <v>P-19950-00</v>
      </c>
      <c r="E4209" s="6" t="str">
        <f>IFERROR(__xludf.DUMMYFUNCTION("""COMPUTED_VALUE"""),"General - Directional Valve Pin Lock; SMC; VHL210W-02; 1 pc")</f>
        <v>General - Directional Valve Pin Lock; SMC; VHL210W-02; 1 pc</v>
      </c>
      <c r="F4209" s="6">
        <f>IFERROR(__xludf.DUMMYFUNCTION("""COMPUTED_VALUE"""),1.0)</f>
        <v>1</v>
      </c>
      <c r="G4209" s="6" t="str">
        <f>IFERROR(__xludf.DUMMYFUNCTION("""COMPUTED_VALUE"""),"Pieces")</f>
        <v>Pieces</v>
      </c>
      <c r="H4209" s="6" t="str">
        <f>IFERROR(__xludf.DUMMYFUNCTION("""COMPUTED_VALUE"""),"IDR")</f>
        <v>IDR</v>
      </c>
      <c r="I4209" s="6">
        <f>IFERROR(__xludf.DUMMYFUNCTION("""COMPUTED_VALUE"""),1986000.0)</f>
        <v>1986000</v>
      </c>
      <c r="J4209" s="6">
        <f>IFERROR(__xludf.DUMMYFUNCTION("""COMPUTED_VALUE"""),1986000.0)</f>
        <v>1986000</v>
      </c>
      <c r="K4209" s="57">
        <f>IFERROR(__xludf.DUMMYFUNCTION("""COMPUTED_VALUE"""),45884.0)</f>
        <v>45884</v>
      </c>
      <c r="L4209" s="6" t="str">
        <f>IFERROR(__xludf.DUMMYFUNCTION("""COMPUTED_VALUE"""),"FIP Engineering")</f>
        <v>FIP Engineering</v>
      </c>
      <c r="M4209" s="6" t="str">
        <f>IFERROR(__xludf.DUMMYFUNCTION("""COMPUTED_VALUE"""),"Mochammad Fadhillah Hakim,")</f>
        <v>Mochammad Fadhillah Hakim,</v>
      </c>
      <c r="N4209" s="6" t="str">
        <f>IFERROR(__xludf.DUMMYFUNCTION("""COMPUTED_VALUE"""),"FIP Engineering")</f>
        <v>FIP Engineering</v>
      </c>
      <c r="O4209" s="6" t="str">
        <f>IFERROR(__xludf.DUMMYFUNCTION("""COMPUTED_VALUE"""),"FIP-DOM-000-11304-OS00001-INA-000000")</f>
        <v>FIP-DOM-000-11304-OS00001-INA-000000</v>
      </c>
      <c r="P4209" s="6" t="str">
        <f>IFERROR(__xludf.DUMMYFUNCTION("""COMPUTED_VALUE"""),"PO Closed")</f>
        <v>PO Closed</v>
      </c>
      <c r="Q4209" s="6" t="str">
        <f>IFERROR(__xludf.DUMMYFUNCTION("""COMPUTED_VALUE"""),"GL2507042")</f>
        <v>GL2507042</v>
      </c>
      <c r="R4209" s="57">
        <f>IFERROR(__xludf.DUMMYFUNCTION("""COMPUTED_VALUE"""),45848.0)</f>
        <v>45848</v>
      </c>
      <c r="S4209" s="57">
        <f>IFERROR(__xludf.DUMMYFUNCTION("""COMPUTED_VALUE"""),45853.0)</f>
        <v>45853</v>
      </c>
      <c r="T4209" s="57">
        <f>IFERROR(__xludf.DUMMYFUNCTION("""COMPUTED_VALUE"""),45884.0)</f>
        <v>45884</v>
      </c>
    </row>
    <row r="4210">
      <c r="A4210" s="6" t="str">
        <f>IFERROR(__xludf.DUMMYFUNCTION("""COMPUTED_VALUE"""),"121702975-2")</f>
        <v>121702975-2</v>
      </c>
      <c r="B4210" s="6" t="str">
        <f>IFERROR(__xludf.DUMMYFUNCTION("""COMPUTED_VALUE"""),"121702975 - APPROVED")</f>
        <v>121702975 - APPROVED</v>
      </c>
      <c r="C4210" s="6">
        <f>IFERROR(__xludf.DUMMYFUNCTION("""COMPUTED_VALUE"""),2.0)</f>
        <v>2</v>
      </c>
      <c r="D4210" s="6" t="str">
        <f>IFERROR(__xludf.DUMMYFUNCTION("""COMPUTED_VALUE"""),"P-19951-00")</f>
        <v>P-19951-00</v>
      </c>
      <c r="E4210" s="6" t="str">
        <f>IFERROR(__xludf.DUMMYFUNCTION("""COMPUTED_VALUE"""),"General - Check Valve SMC; -; AKH08A-025; 1 pc")</f>
        <v>General - Check Valve SMC; -; AKH08A-025; 1 pc</v>
      </c>
      <c r="F4210" s="6">
        <f>IFERROR(__xludf.DUMMYFUNCTION("""COMPUTED_VALUE"""),2.0)</f>
        <v>2</v>
      </c>
      <c r="G4210" s="6" t="str">
        <f>IFERROR(__xludf.DUMMYFUNCTION("""COMPUTED_VALUE"""),"Pieces")</f>
        <v>Pieces</v>
      </c>
      <c r="H4210" s="6" t="str">
        <f>IFERROR(__xludf.DUMMYFUNCTION("""COMPUTED_VALUE"""),"IDR")</f>
        <v>IDR</v>
      </c>
      <c r="I4210" s="6">
        <f>IFERROR(__xludf.DUMMYFUNCTION("""COMPUTED_VALUE"""),215200.0)</f>
        <v>215200</v>
      </c>
      <c r="J4210" s="6">
        <f>IFERROR(__xludf.DUMMYFUNCTION("""COMPUTED_VALUE"""),430400.0)</f>
        <v>430400</v>
      </c>
      <c r="K4210" s="57">
        <f>IFERROR(__xludf.DUMMYFUNCTION("""COMPUTED_VALUE"""),45884.0)</f>
        <v>45884</v>
      </c>
      <c r="L4210" s="6" t="str">
        <f>IFERROR(__xludf.DUMMYFUNCTION("""COMPUTED_VALUE"""),"FIP Engineering")</f>
        <v>FIP Engineering</v>
      </c>
      <c r="M4210" s="6" t="str">
        <f>IFERROR(__xludf.DUMMYFUNCTION("""COMPUTED_VALUE"""),"Mochammad Fadhillah Hakim,")</f>
        <v>Mochammad Fadhillah Hakim,</v>
      </c>
      <c r="N4210" s="6" t="str">
        <f>IFERROR(__xludf.DUMMYFUNCTION("""COMPUTED_VALUE"""),"FIP Engineering")</f>
        <v>FIP Engineering</v>
      </c>
      <c r="O4210" s="6" t="str">
        <f>IFERROR(__xludf.DUMMYFUNCTION("""COMPUTED_VALUE"""),"FIP-DOM-000-11304-OS00001-INA-000000")</f>
        <v>FIP-DOM-000-11304-OS00001-INA-000000</v>
      </c>
      <c r="P4210" s="6" t="str">
        <f>IFERROR(__xludf.DUMMYFUNCTION("""COMPUTED_VALUE"""),"PO Closed")</f>
        <v>PO Closed</v>
      </c>
      <c r="Q4210" s="6" t="str">
        <f>IFERROR(__xludf.DUMMYFUNCTION("""COMPUTED_VALUE"""),"GL2507042")</f>
        <v>GL2507042</v>
      </c>
      <c r="R4210" s="57">
        <f>IFERROR(__xludf.DUMMYFUNCTION("""COMPUTED_VALUE"""),45848.0)</f>
        <v>45848</v>
      </c>
      <c r="S4210" s="57">
        <f>IFERROR(__xludf.DUMMYFUNCTION("""COMPUTED_VALUE"""),45853.0)</f>
        <v>45853</v>
      </c>
      <c r="T4210" s="57">
        <f>IFERROR(__xludf.DUMMYFUNCTION("""COMPUTED_VALUE"""),45884.0)</f>
        <v>45884</v>
      </c>
    </row>
    <row r="4211">
      <c r="A4211" s="6" t="str">
        <f>IFERROR(__xludf.DUMMYFUNCTION("""COMPUTED_VALUE"""),"121702975-3")</f>
        <v>121702975-3</v>
      </c>
      <c r="B4211" s="6" t="str">
        <f>IFERROR(__xludf.DUMMYFUNCTION("""COMPUTED_VALUE"""),"121702975 - APPROVED")</f>
        <v>121702975 - APPROVED</v>
      </c>
      <c r="C4211" s="6">
        <f>IFERROR(__xludf.DUMMYFUNCTION("""COMPUTED_VALUE"""),3.0)</f>
        <v>3</v>
      </c>
      <c r="D4211" s="6" t="str">
        <f>IFERROR(__xludf.DUMMYFUNCTION("""COMPUTED_VALUE"""),"P-19952-00")</f>
        <v>P-19952-00</v>
      </c>
      <c r="E4211" s="6" t="str">
        <f>IFERROR(__xludf.DUMMYFUNCTION("""COMPUTED_VALUE"""),"General - Fitting SMC; SMC; KQ2U08-00A; 1 pc")</f>
        <v>General - Fitting SMC; SMC; KQ2U08-00A; 1 pc</v>
      </c>
      <c r="F4211" s="6">
        <f>IFERROR(__xludf.DUMMYFUNCTION("""COMPUTED_VALUE"""),2.0)</f>
        <v>2</v>
      </c>
      <c r="G4211" s="6" t="str">
        <f>IFERROR(__xludf.DUMMYFUNCTION("""COMPUTED_VALUE"""),"Pieces")</f>
        <v>Pieces</v>
      </c>
      <c r="H4211" s="6" t="str">
        <f>IFERROR(__xludf.DUMMYFUNCTION("""COMPUTED_VALUE"""),"IDR")</f>
        <v>IDR</v>
      </c>
      <c r="I4211" s="6">
        <f>IFERROR(__xludf.DUMMYFUNCTION("""COMPUTED_VALUE"""),54700.0)</f>
        <v>54700</v>
      </c>
      <c r="J4211" s="6">
        <f>IFERROR(__xludf.DUMMYFUNCTION("""COMPUTED_VALUE"""),109400.0)</f>
        <v>109400</v>
      </c>
      <c r="K4211" s="57">
        <f>IFERROR(__xludf.DUMMYFUNCTION("""COMPUTED_VALUE"""),45884.0)</f>
        <v>45884</v>
      </c>
      <c r="L4211" s="6" t="str">
        <f>IFERROR(__xludf.DUMMYFUNCTION("""COMPUTED_VALUE"""),"FIP Engineering")</f>
        <v>FIP Engineering</v>
      </c>
      <c r="M4211" s="6" t="str">
        <f>IFERROR(__xludf.DUMMYFUNCTION("""COMPUTED_VALUE"""),"Mochammad Fadhillah Hakim,")</f>
        <v>Mochammad Fadhillah Hakim,</v>
      </c>
      <c r="N4211" s="6" t="str">
        <f>IFERROR(__xludf.DUMMYFUNCTION("""COMPUTED_VALUE"""),"FIP Engineering")</f>
        <v>FIP Engineering</v>
      </c>
      <c r="O4211" s="6" t="str">
        <f>IFERROR(__xludf.DUMMYFUNCTION("""COMPUTED_VALUE"""),"FIP-DOM-000-11304-OS00001-INA-000000")</f>
        <v>FIP-DOM-000-11304-OS00001-INA-000000</v>
      </c>
      <c r="P4211" s="6" t="str">
        <f>IFERROR(__xludf.DUMMYFUNCTION("""COMPUTED_VALUE"""),"PO Closed")</f>
        <v>PO Closed</v>
      </c>
      <c r="Q4211" s="6" t="str">
        <f>IFERROR(__xludf.DUMMYFUNCTION("""COMPUTED_VALUE"""),"GL2507042")</f>
        <v>GL2507042</v>
      </c>
      <c r="R4211" s="57">
        <f>IFERROR(__xludf.DUMMYFUNCTION("""COMPUTED_VALUE"""),45848.0)</f>
        <v>45848</v>
      </c>
      <c r="S4211" s="57">
        <f>IFERROR(__xludf.DUMMYFUNCTION("""COMPUTED_VALUE"""),45853.0)</f>
        <v>45853</v>
      </c>
      <c r="T4211" s="57">
        <f>IFERROR(__xludf.DUMMYFUNCTION("""COMPUTED_VALUE"""),45884.0)</f>
        <v>45884</v>
      </c>
    </row>
    <row r="4212">
      <c r="A4212" s="6" t="str">
        <f>IFERROR(__xludf.DUMMYFUNCTION("""COMPUTED_VALUE"""),"121702975-4")</f>
        <v>121702975-4</v>
      </c>
      <c r="B4212" s="6" t="str">
        <f>IFERROR(__xludf.DUMMYFUNCTION("""COMPUTED_VALUE"""),"121702975 - APPROVED")</f>
        <v>121702975 - APPROVED</v>
      </c>
      <c r="C4212" s="6">
        <f>IFERROR(__xludf.DUMMYFUNCTION("""COMPUTED_VALUE"""),4.0)</f>
        <v>4</v>
      </c>
      <c r="D4212" s="6" t="str">
        <f>IFERROR(__xludf.DUMMYFUNCTION("""COMPUTED_VALUE"""),"P-19953-00")</f>
        <v>P-19953-00</v>
      </c>
      <c r="E4212" s="6" t="str">
        <f>IFERROR(__xludf.DUMMYFUNCTION("""COMPUTED_VALUE"""),"General - Plug 1/4inch; SMC; -; 1 pc")</f>
        <v>General - Plug 1/4inch; SMC; -; 1 pc</v>
      </c>
      <c r="F4212" s="6">
        <f>IFERROR(__xludf.DUMMYFUNCTION("""COMPUTED_VALUE"""),1.0)</f>
        <v>1</v>
      </c>
      <c r="G4212" s="6" t="str">
        <f>IFERROR(__xludf.DUMMYFUNCTION("""COMPUTED_VALUE"""),"Pieces")</f>
        <v>Pieces</v>
      </c>
      <c r="H4212" s="6" t="str">
        <f>IFERROR(__xludf.DUMMYFUNCTION("""COMPUTED_VALUE"""),"IDR")</f>
        <v>IDR</v>
      </c>
      <c r="I4212" s="6">
        <f>IFERROR(__xludf.DUMMYFUNCTION("""COMPUTED_VALUE"""),13000.0)</f>
        <v>13000</v>
      </c>
      <c r="J4212" s="6">
        <f>IFERROR(__xludf.DUMMYFUNCTION("""COMPUTED_VALUE"""),13000.0)</f>
        <v>13000</v>
      </c>
      <c r="K4212" s="57">
        <f>IFERROR(__xludf.DUMMYFUNCTION("""COMPUTED_VALUE"""),45884.0)</f>
        <v>45884</v>
      </c>
      <c r="L4212" s="6" t="str">
        <f>IFERROR(__xludf.DUMMYFUNCTION("""COMPUTED_VALUE"""),"FIP Engineering")</f>
        <v>FIP Engineering</v>
      </c>
      <c r="M4212" s="6" t="str">
        <f>IFERROR(__xludf.DUMMYFUNCTION("""COMPUTED_VALUE"""),"Mochammad Fadhillah Hakim,")</f>
        <v>Mochammad Fadhillah Hakim,</v>
      </c>
      <c r="N4212" s="6" t="str">
        <f>IFERROR(__xludf.DUMMYFUNCTION("""COMPUTED_VALUE"""),"FIP Engineering")</f>
        <v>FIP Engineering</v>
      </c>
      <c r="O4212" s="6" t="str">
        <f>IFERROR(__xludf.DUMMYFUNCTION("""COMPUTED_VALUE"""),"FIP-DOM-000-11304-OS00001-INA-000000")</f>
        <v>FIP-DOM-000-11304-OS00001-INA-000000</v>
      </c>
      <c r="P4212" s="6" t="str">
        <f>IFERROR(__xludf.DUMMYFUNCTION("""COMPUTED_VALUE"""),"PO Closed")</f>
        <v>PO Closed</v>
      </c>
      <c r="Q4212" s="6" t="str">
        <f>IFERROR(__xludf.DUMMYFUNCTION("""COMPUTED_VALUE"""),"GL2507042")</f>
        <v>GL2507042</v>
      </c>
      <c r="R4212" s="57">
        <f>IFERROR(__xludf.DUMMYFUNCTION("""COMPUTED_VALUE"""),45848.0)</f>
        <v>45848</v>
      </c>
      <c r="S4212" s="57">
        <f>IFERROR(__xludf.DUMMYFUNCTION("""COMPUTED_VALUE"""),45853.0)</f>
        <v>45853</v>
      </c>
      <c r="T4212" s="57">
        <f>IFERROR(__xludf.DUMMYFUNCTION("""COMPUTED_VALUE"""),45884.0)</f>
        <v>45884</v>
      </c>
    </row>
    <row r="4213">
      <c r="A4213" s="6" t="str">
        <f>IFERROR(__xludf.DUMMYFUNCTION("""COMPUTED_VALUE"""),"121702976-1")</f>
        <v>121702976-1</v>
      </c>
      <c r="B4213" s="6" t="str">
        <f>IFERROR(__xludf.DUMMYFUNCTION("""COMPUTED_VALUE"""),"121702976 - APPROVED")</f>
        <v>121702976 - APPROVED</v>
      </c>
      <c r="C4213" s="6">
        <f>IFERROR(__xludf.DUMMYFUNCTION("""COMPUTED_VALUE"""),1.0)</f>
        <v>1</v>
      </c>
      <c r="D4213" s="6" t="str">
        <f>IFERROR(__xludf.DUMMYFUNCTION("""COMPUTED_VALUE"""),"P-12830-00")</f>
        <v>P-12830-00</v>
      </c>
      <c r="E4213" s="6" t="str">
        <f>IFERROR(__xludf.DUMMYFUNCTION("""COMPUTED_VALUE"""),"Sodium metabisulfit")</f>
        <v>Sodium metabisulfit</v>
      </c>
      <c r="F4213" s="6">
        <f>IFERROR(__xludf.DUMMYFUNCTION("""COMPUTED_VALUE"""),3.0)</f>
        <v>3</v>
      </c>
      <c r="G4213" s="6" t="str">
        <f>IFERROR(__xludf.DUMMYFUNCTION("""COMPUTED_VALUE"""),"Pieces")</f>
        <v>Pieces</v>
      </c>
      <c r="H4213" s="6" t="str">
        <f>IFERROR(__xludf.DUMMYFUNCTION("""COMPUTED_VALUE"""),"IDR")</f>
        <v>IDR</v>
      </c>
      <c r="I4213" s="6">
        <f>IFERROR(__xludf.DUMMYFUNCTION("""COMPUTED_VALUE"""),550000.0)</f>
        <v>550000</v>
      </c>
      <c r="J4213" s="6">
        <f>IFERROR(__xludf.DUMMYFUNCTION("""COMPUTED_VALUE"""),1650000.0)</f>
        <v>1650000</v>
      </c>
      <c r="K4213" s="57">
        <f>IFERROR(__xludf.DUMMYFUNCTION("""COMPUTED_VALUE"""),45884.0)</f>
        <v>45884</v>
      </c>
      <c r="L4213" s="6" t="str">
        <f>IFERROR(__xludf.DUMMYFUNCTION("""COMPUTED_VALUE"""),"FIP Engineering")</f>
        <v>FIP Engineering</v>
      </c>
      <c r="M4213" s="6" t="str">
        <f>IFERROR(__xludf.DUMMYFUNCTION("""COMPUTED_VALUE"""),"Mochammad Fadhillah Hakim,")</f>
        <v>Mochammad Fadhillah Hakim,</v>
      </c>
      <c r="N4213" s="6" t="str">
        <f>IFERROR(__xludf.DUMMYFUNCTION("""COMPUTED_VALUE"""),"FIP Engineering")</f>
        <v>FIP Engineering</v>
      </c>
      <c r="O4213" s="6" t="str">
        <f>IFERROR(__xludf.DUMMYFUNCTION("""COMPUTED_VALUE"""),"FIP-DOM-000-11304-OS00001-INA-000000")</f>
        <v>FIP-DOM-000-11304-OS00001-INA-000000</v>
      </c>
      <c r="P4213" s="6" t="str">
        <f>IFERROR(__xludf.DUMMYFUNCTION("""COMPUTED_VALUE"""),"PO Closed")</f>
        <v>PO Closed</v>
      </c>
      <c r="Q4213" s="6" t="str">
        <f>IFERROR(__xludf.DUMMYFUNCTION("""COMPUTED_VALUE"""),"GL2507046")</f>
        <v>GL2507046</v>
      </c>
      <c r="R4213" s="57">
        <f>IFERROR(__xludf.DUMMYFUNCTION("""COMPUTED_VALUE"""),45848.0)</f>
        <v>45848</v>
      </c>
      <c r="S4213" s="57">
        <f>IFERROR(__xludf.DUMMYFUNCTION("""COMPUTED_VALUE"""),45849.0)</f>
        <v>45849</v>
      </c>
      <c r="T4213" s="57">
        <f>IFERROR(__xludf.DUMMYFUNCTION("""COMPUTED_VALUE"""),45896.0)</f>
        <v>45896</v>
      </c>
    </row>
    <row r="4214">
      <c r="A4214" s="6" t="str">
        <f>IFERROR(__xludf.DUMMYFUNCTION("""COMPUTED_VALUE"""),"121702977-1")</f>
        <v>121702977-1</v>
      </c>
      <c r="B4214" s="6" t="str">
        <f>IFERROR(__xludf.DUMMYFUNCTION("""COMPUTED_VALUE"""),"121702977 - APPROVED")</f>
        <v>121702977 - APPROVED</v>
      </c>
      <c r="C4214" s="6">
        <f>IFERROR(__xludf.DUMMYFUNCTION("""COMPUTED_VALUE"""),1.0)</f>
        <v>1</v>
      </c>
      <c r="D4214" s="6" t="str">
        <f>IFERROR(__xludf.DUMMYFUNCTION("""COMPUTED_VALUE"""),"S-60002-00")</f>
        <v>S-60002-00</v>
      </c>
      <c r="E4214" s="6" t="str">
        <f>IFERROR(__xludf.DUMMYFUNCTION("""COMPUTED_VALUE"""),"Jasa Perbaikan dan Pemeliharaan Mesin Utility - Perbaikan Display Regin")</f>
        <v>Jasa Perbaikan dan Pemeliharaan Mesin Utility - Perbaikan Display Regin</v>
      </c>
      <c r="F4214" s="6">
        <f>IFERROR(__xludf.DUMMYFUNCTION("""COMPUTED_VALUE"""),1.0)</f>
        <v>1</v>
      </c>
      <c r="G4214" s="6" t="str">
        <f>IFERROR(__xludf.DUMMYFUNCTION("""COMPUTED_VALUE"""),"Lot")</f>
        <v>Lot</v>
      </c>
      <c r="H4214" s="6" t="str">
        <f>IFERROR(__xludf.DUMMYFUNCTION("""COMPUTED_VALUE"""),"IDR")</f>
        <v>IDR</v>
      </c>
      <c r="I4214" s="6">
        <f>IFERROR(__xludf.DUMMYFUNCTION("""COMPUTED_VALUE"""),2934720.0)</f>
        <v>2934720</v>
      </c>
      <c r="J4214" s="6">
        <f>IFERROR(__xludf.DUMMYFUNCTION("""COMPUTED_VALUE"""),2934720.0)</f>
        <v>2934720</v>
      </c>
      <c r="K4214" s="57">
        <f>IFERROR(__xludf.DUMMYFUNCTION("""COMPUTED_VALUE"""),45884.0)</f>
        <v>45884</v>
      </c>
      <c r="L4214" s="6" t="str">
        <f>IFERROR(__xludf.DUMMYFUNCTION("""COMPUTED_VALUE"""),"FIP General")</f>
        <v>FIP General</v>
      </c>
      <c r="M4214" s="6" t="str">
        <f>IFERROR(__xludf.DUMMYFUNCTION("""COMPUTED_VALUE"""),"Mochammad Fadhillah Hakim,")</f>
        <v>Mochammad Fadhillah Hakim,</v>
      </c>
      <c r="N4214" s="6" t="str">
        <f>IFERROR(__xludf.DUMMYFUNCTION("""COMPUTED_VALUE"""),"FIP Engineering")</f>
        <v>FIP Engineering</v>
      </c>
      <c r="O4214" s="6" t="str">
        <f>IFERROR(__xludf.DUMMYFUNCTION("""COMPUTED_VALUE"""),"FIP-DOM-ENG-51508-0000000-INA-000000")</f>
        <v>FIP-DOM-ENG-51508-0000000-INA-000000</v>
      </c>
      <c r="P4214" s="6" t="str">
        <f>IFERROR(__xludf.DUMMYFUNCTION("""COMPUTED_VALUE"""),"PO Closed")</f>
        <v>PO Closed</v>
      </c>
      <c r="Q4214" s="6" t="str">
        <f>IFERROR(__xludf.DUMMYFUNCTION("""COMPUTED_VALUE"""),"GL2507037")</f>
        <v>GL2507037</v>
      </c>
      <c r="R4214" s="57">
        <f>IFERROR(__xludf.DUMMYFUNCTION("""COMPUTED_VALUE"""),45848.0)</f>
        <v>45848</v>
      </c>
      <c r="S4214" s="57">
        <f>IFERROR(__xludf.DUMMYFUNCTION("""COMPUTED_VALUE"""),45849.0)</f>
        <v>45849</v>
      </c>
      <c r="T4214" s="57">
        <f>IFERROR(__xludf.DUMMYFUNCTION("""COMPUTED_VALUE"""),45930.0)</f>
        <v>45930</v>
      </c>
    </row>
    <row r="4215">
      <c r="A4215" s="6" t="str">
        <f>IFERROR(__xludf.DUMMYFUNCTION("""COMPUTED_VALUE"""),"121702977-2")</f>
        <v>121702977-2</v>
      </c>
      <c r="B4215" s="6" t="str">
        <f>IFERROR(__xludf.DUMMYFUNCTION("""COMPUTED_VALUE"""),"121702977 - APPROVED")</f>
        <v>121702977 - APPROVED</v>
      </c>
      <c r="C4215" s="6">
        <f>IFERROR(__xludf.DUMMYFUNCTION("""COMPUTED_VALUE"""),2.0)</f>
        <v>2</v>
      </c>
      <c r="D4215" s="6" t="str">
        <f>IFERROR(__xludf.DUMMYFUNCTION("""COMPUTED_VALUE"""),"S-60002-00")</f>
        <v>S-60002-00</v>
      </c>
      <c r="E4215" s="6" t="str">
        <f>IFERROR(__xludf.DUMMYFUNCTION("""COMPUTED_VALUE"""),"Jasa Perbaikan dan Pemeliharaan Mesin Utility - Perbaikan Main Board Photometer")</f>
        <v>Jasa Perbaikan dan Pemeliharaan Mesin Utility - Perbaikan Main Board Photometer</v>
      </c>
      <c r="F4215" s="6">
        <f>IFERROR(__xludf.DUMMYFUNCTION("""COMPUTED_VALUE"""),1.0)</f>
        <v>1</v>
      </c>
      <c r="G4215" s="6" t="str">
        <f>IFERROR(__xludf.DUMMYFUNCTION("""COMPUTED_VALUE"""),"Lot")</f>
        <v>Lot</v>
      </c>
      <c r="H4215" s="6" t="str">
        <f>IFERROR(__xludf.DUMMYFUNCTION("""COMPUTED_VALUE"""),"IDR")</f>
        <v>IDR</v>
      </c>
      <c r="I4215" s="6">
        <f>IFERROR(__xludf.DUMMYFUNCTION("""COMPUTED_VALUE"""),2057560.0)</f>
        <v>2057560</v>
      </c>
      <c r="J4215" s="6">
        <f>IFERROR(__xludf.DUMMYFUNCTION("""COMPUTED_VALUE"""),2057560.0)</f>
        <v>2057560</v>
      </c>
      <c r="K4215" s="57">
        <f>IFERROR(__xludf.DUMMYFUNCTION("""COMPUTED_VALUE"""),45884.0)</f>
        <v>45884</v>
      </c>
      <c r="L4215" s="6" t="str">
        <f>IFERROR(__xludf.DUMMYFUNCTION("""COMPUTED_VALUE"""),"FIP General")</f>
        <v>FIP General</v>
      </c>
      <c r="M4215" s="6" t="str">
        <f>IFERROR(__xludf.DUMMYFUNCTION("""COMPUTED_VALUE"""),"Mochammad Fadhillah Hakim,")</f>
        <v>Mochammad Fadhillah Hakim,</v>
      </c>
      <c r="N4215" s="6" t="str">
        <f>IFERROR(__xludf.DUMMYFUNCTION("""COMPUTED_VALUE"""),"FIP Engineering")</f>
        <v>FIP Engineering</v>
      </c>
      <c r="O4215" s="6" t="str">
        <f>IFERROR(__xludf.DUMMYFUNCTION("""COMPUTED_VALUE"""),"FIP-DOM-ENG-51508-0000000-INA-000000")</f>
        <v>FIP-DOM-ENG-51508-0000000-INA-000000</v>
      </c>
      <c r="P4215" s="6" t="str">
        <f>IFERROR(__xludf.DUMMYFUNCTION("""COMPUTED_VALUE"""),"PO Open")</f>
        <v>PO Open</v>
      </c>
      <c r="Q4215" s="6" t="str">
        <f>IFERROR(__xludf.DUMMYFUNCTION("""COMPUTED_VALUE"""),"GL2507037")</f>
        <v>GL2507037</v>
      </c>
      <c r="R4215" s="57">
        <f>IFERROR(__xludf.DUMMYFUNCTION("""COMPUTED_VALUE"""),45848.0)</f>
        <v>45848</v>
      </c>
      <c r="S4215" s="57">
        <f>IFERROR(__xludf.DUMMYFUNCTION("""COMPUTED_VALUE"""),45849.0)</f>
        <v>45849</v>
      </c>
      <c r="T4215" s="57">
        <f>IFERROR(__xludf.DUMMYFUNCTION("""COMPUTED_VALUE"""),46008.0)</f>
        <v>46008</v>
      </c>
    </row>
    <row r="4216">
      <c r="A4216" s="6" t="str">
        <f>IFERROR(__xludf.DUMMYFUNCTION("""COMPUTED_VALUE"""),"121702977-3")</f>
        <v>121702977-3</v>
      </c>
      <c r="B4216" s="6" t="str">
        <f>IFERROR(__xludf.DUMMYFUNCTION("""COMPUTED_VALUE"""),"121702977 - APPROVED")</f>
        <v>121702977 - APPROVED</v>
      </c>
      <c r="C4216" s="6">
        <f>IFERROR(__xludf.DUMMYFUNCTION("""COMPUTED_VALUE"""),3.0)</f>
        <v>3</v>
      </c>
      <c r="D4216" s="6" t="str">
        <f>IFERROR(__xludf.DUMMYFUNCTION("""COMPUTED_VALUE"""),"S-60002-00")</f>
        <v>S-60002-00</v>
      </c>
      <c r="E4216" s="6" t="str">
        <f>IFERROR(__xludf.DUMMYFUNCTION("""COMPUTED_VALUE"""),"Jasa Perbaikan dan Pemeliharaan Mesin Utility - Perbaikan Main Board UPS")</f>
        <v>Jasa Perbaikan dan Pemeliharaan Mesin Utility - Perbaikan Main Board UPS</v>
      </c>
      <c r="F4216" s="6">
        <f>IFERROR(__xludf.DUMMYFUNCTION("""COMPUTED_VALUE"""),1.0)</f>
        <v>1</v>
      </c>
      <c r="G4216" s="6" t="str">
        <f>IFERROR(__xludf.DUMMYFUNCTION("""COMPUTED_VALUE"""),"Lot")</f>
        <v>Lot</v>
      </c>
      <c r="H4216" s="6" t="str">
        <f>IFERROR(__xludf.DUMMYFUNCTION("""COMPUTED_VALUE"""),"IDR")</f>
        <v>IDR</v>
      </c>
      <c r="I4216" s="6">
        <f>IFERROR(__xludf.DUMMYFUNCTION("""COMPUTED_VALUE"""),1691289.0)</f>
        <v>1691289</v>
      </c>
      <c r="J4216" s="6">
        <f>IFERROR(__xludf.DUMMYFUNCTION("""COMPUTED_VALUE"""),1691289.0)</f>
        <v>1691289</v>
      </c>
      <c r="K4216" s="57">
        <f>IFERROR(__xludf.DUMMYFUNCTION("""COMPUTED_VALUE"""),45884.0)</f>
        <v>45884</v>
      </c>
      <c r="L4216" s="6" t="str">
        <f>IFERROR(__xludf.DUMMYFUNCTION("""COMPUTED_VALUE"""),"FIP General")</f>
        <v>FIP General</v>
      </c>
      <c r="M4216" s="6" t="str">
        <f>IFERROR(__xludf.DUMMYFUNCTION("""COMPUTED_VALUE"""),"Mochammad Fadhillah Hakim,")</f>
        <v>Mochammad Fadhillah Hakim,</v>
      </c>
      <c r="N4216" s="6" t="str">
        <f>IFERROR(__xludf.DUMMYFUNCTION("""COMPUTED_VALUE"""),"FIP Engineering")</f>
        <v>FIP Engineering</v>
      </c>
      <c r="O4216" s="6" t="str">
        <f>IFERROR(__xludf.DUMMYFUNCTION("""COMPUTED_VALUE"""),"FIP-DOM-ENG-51508-0000000-INA-000000")</f>
        <v>FIP-DOM-ENG-51508-0000000-INA-000000</v>
      </c>
      <c r="P4216" s="6" t="str">
        <f>IFERROR(__xludf.DUMMYFUNCTION("""COMPUTED_VALUE"""),"PO Closed")</f>
        <v>PO Closed</v>
      </c>
      <c r="Q4216" s="6" t="str">
        <f>IFERROR(__xludf.DUMMYFUNCTION("""COMPUTED_VALUE"""),"GL2507037")</f>
        <v>GL2507037</v>
      </c>
      <c r="R4216" s="57">
        <f>IFERROR(__xludf.DUMMYFUNCTION("""COMPUTED_VALUE"""),45848.0)</f>
        <v>45848</v>
      </c>
      <c r="S4216" s="57">
        <f>IFERROR(__xludf.DUMMYFUNCTION("""COMPUTED_VALUE"""),45849.0)</f>
        <v>45849</v>
      </c>
      <c r="T4216" s="57">
        <f>IFERROR(__xludf.DUMMYFUNCTION("""COMPUTED_VALUE"""),45930.0)</f>
        <v>45930</v>
      </c>
    </row>
    <row r="4217">
      <c r="A4217" s="6" t="str">
        <f>IFERROR(__xludf.DUMMYFUNCTION("""COMPUTED_VALUE"""),"121702979-1")</f>
        <v>121702979-1</v>
      </c>
      <c r="B4217" s="6" t="str">
        <f>IFERROR(__xludf.DUMMYFUNCTION("""COMPUTED_VALUE"""),"121702979 - APPROVED")</f>
        <v>121702979 - APPROVED</v>
      </c>
      <c r="C4217" s="6">
        <f>IFERROR(__xludf.DUMMYFUNCTION("""COMPUTED_VALUE"""),1.0)</f>
        <v>1</v>
      </c>
      <c r="D4217" s="6" t="str">
        <f>IFERROR(__xludf.DUMMYFUNCTION("""COMPUTED_VALUE"""),"P-18725-00")</f>
        <v>P-18725-00</v>
      </c>
      <c r="E4217" s="6" t="str">
        <f>IFERROR(__xludf.DUMMYFUNCTION("""COMPUTED_VALUE"""),"Freon Refrigerant Chemours Suva R507; ; ;")</f>
        <v>Freon Refrigerant Chemours Suva R507; ; ;</v>
      </c>
      <c r="F4217" s="6">
        <f>IFERROR(__xludf.DUMMYFUNCTION("""COMPUTED_VALUE"""),2.0)</f>
        <v>2</v>
      </c>
      <c r="G4217" s="6" t="str">
        <f>IFERROR(__xludf.DUMMYFUNCTION("""COMPUTED_VALUE"""),"Can")</f>
        <v>Can</v>
      </c>
      <c r="H4217" s="6" t="str">
        <f>IFERROR(__xludf.DUMMYFUNCTION("""COMPUTED_VALUE"""),"IDR")</f>
        <v>IDR</v>
      </c>
      <c r="I4217" s="6">
        <f>IFERROR(__xludf.DUMMYFUNCTION("""COMPUTED_VALUE"""),2250000.0)</f>
        <v>2250000</v>
      </c>
      <c r="J4217" s="6">
        <f>IFERROR(__xludf.DUMMYFUNCTION("""COMPUTED_VALUE"""),4500000.0)</f>
        <v>4500000</v>
      </c>
      <c r="K4217" s="57">
        <f>IFERROR(__xludf.DUMMYFUNCTION("""COMPUTED_VALUE"""),45884.0)</f>
        <v>45884</v>
      </c>
      <c r="L4217" s="6" t="str">
        <f>IFERROR(__xludf.DUMMYFUNCTION("""COMPUTED_VALUE"""),"FIP Engineering")</f>
        <v>FIP Engineering</v>
      </c>
      <c r="M4217" s="6" t="str">
        <f>IFERROR(__xludf.DUMMYFUNCTION("""COMPUTED_VALUE"""),"Mochammad Fadhillah Hakim,")</f>
        <v>Mochammad Fadhillah Hakim,</v>
      </c>
      <c r="N4217" s="6" t="str">
        <f>IFERROR(__xludf.DUMMYFUNCTION("""COMPUTED_VALUE"""),"FIP Engineering")</f>
        <v>FIP Engineering</v>
      </c>
      <c r="O4217" s="6" t="str">
        <f>IFERROR(__xludf.DUMMYFUNCTION("""COMPUTED_VALUE"""),"FIP-DOM-000-11304-OS00001-INA-000000")</f>
        <v>FIP-DOM-000-11304-OS00001-INA-000000</v>
      </c>
      <c r="P4217" s="6" t="str">
        <f>IFERROR(__xludf.DUMMYFUNCTION("""COMPUTED_VALUE"""),"PO Closed")</f>
        <v>PO Closed</v>
      </c>
      <c r="Q4217" s="6" t="str">
        <f>IFERROR(__xludf.DUMMYFUNCTION("""COMPUTED_VALUE"""),"GL2507057")</f>
        <v>GL2507057</v>
      </c>
      <c r="R4217" s="57">
        <f>IFERROR(__xludf.DUMMYFUNCTION("""COMPUTED_VALUE"""),45849.0)</f>
        <v>45849</v>
      </c>
      <c r="S4217" s="57">
        <f>IFERROR(__xludf.DUMMYFUNCTION("""COMPUTED_VALUE"""),45849.0)</f>
        <v>45849</v>
      </c>
      <c r="T4217" s="57">
        <f>IFERROR(__xludf.DUMMYFUNCTION("""COMPUTED_VALUE"""),45884.0)</f>
        <v>45884</v>
      </c>
    </row>
    <row r="4218">
      <c r="A4218" s="6" t="str">
        <f>IFERROR(__xludf.DUMMYFUNCTION("""COMPUTED_VALUE"""),"121702980-1")</f>
        <v>121702980-1</v>
      </c>
      <c r="B4218" s="6" t="str">
        <f>IFERROR(__xludf.DUMMYFUNCTION("""COMPUTED_VALUE"""),"121702980 - APPROVED")</f>
        <v>121702980 - APPROVED</v>
      </c>
      <c r="C4218" s="6">
        <f>IFERROR(__xludf.DUMMYFUNCTION("""COMPUTED_VALUE"""),1.0)</f>
        <v>1</v>
      </c>
      <c r="D4218" s="6" t="str">
        <f>IFERROR(__xludf.DUMMYFUNCTION("""COMPUTED_VALUE"""),"O-54124-00")</f>
        <v>O-54124-00</v>
      </c>
      <c r="E4218" s="6" t="str">
        <f>IFERROR(__xludf.DUMMYFUNCTION("""COMPUTED_VALUE"""),"O-RING 345X5.30; Freeze Dryer MBE1207; P/N EB41-00320; pack size per pc")</f>
        <v>O-RING 345X5.30; Freeze Dryer MBE1207; P/N EB41-00320; pack size per pc</v>
      </c>
      <c r="F4218" s="6">
        <f>IFERROR(__xludf.DUMMYFUNCTION("""COMPUTED_VALUE"""),5.0)</f>
        <v>5</v>
      </c>
      <c r="G4218" s="6" t="str">
        <f>IFERROR(__xludf.DUMMYFUNCTION("""COMPUTED_VALUE"""),"Pieces")</f>
        <v>Pieces</v>
      </c>
      <c r="H4218" s="6" t="str">
        <f>IFERROR(__xludf.DUMMYFUNCTION("""COMPUTED_VALUE"""),"IDR")</f>
        <v>IDR</v>
      </c>
      <c r="I4218" s="6">
        <f>IFERROR(__xludf.DUMMYFUNCTION("""COMPUTED_VALUE"""),55000.0)</f>
        <v>55000</v>
      </c>
      <c r="J4218" s="6">
        <f>IFERROR(__xludf.DUMMYFUNCTION("""COMPUTED_VALUE"""),275000.0)</f>
        <v>275000</v>
      </c>
      <c r="K4218" s="57">
        <f>IFERROR(__xludf.DUMMYFUNCTION("""COMPUTED_VALUE"""),45884.0)</f>
        <v>45884</v>
      </c>
      <c r="L4218" s="6" t="str">
        <f>IFERROR(__xludf.DUMMYFUNCTION("""COMPUTED_VALUE"""),"FIP Engineering")</f>
        <v>FIP Engineering</v>
      </c>
      <c r="M4218" s="6" t="str">
        <f>IFERROR(__xludf.DUMMYFUNCTION("""COMPUTED_VALUE"""),"Mochammad Fadhillah Hakim,")</f>
        <v>Mochammad Fadhillah Hakim,</v>
      </c>
      <c r="N4218" s="6" t="str">
        <f>IFERROR(__xludf.DUMMYFUNCTION("""COMPUTED_VALUE"""),"FIP Engineering")</f>
        <v>FIP Engineering</v>
      </c>
      <c r="O4218" s="6" t="str">
        <f>IFERROR(__xludf.DUMMYFUNCTION("""COMPUTED_VALUE"""),"FIP-DOM-000-11304-OS00001-INA-000000")</f>
        <v>FIP-DOM-000-11304-OS00001-INA-000000</v>
      </c>
      <c r="P4218" s="6" t="str">
        <f>IFERROR(__xludf.DUMMYFUNCTION("""COMPUTED_VALUE"""),"PO Closed")</f>
        <v>PO Closed</v>
      </c>
      <c r="Q4218" s="6" t="str">
        <f>IFERROR(__xludf.DUMMYFUNCTION("""COMPUTED_VALUE"""),"GL2508026")</f>
        <v>GL2508026</v>
      </c>
      <c r="R4218" s="57">
        <f>IFERROR(__xludf.DUMMYFUNCTION("""COMPUTED_VALUE"""),45849.0)</f>
        <v>45849</v>
      </c>
      <c r="S4218" s="57">
        <f>IFERROR(__xludf.DUMMYFUNCTION("""COMPUTED_VALUE"""),45849.0)</f>
        <v>45849</v>
      </c>
      <c r="T4218" s="57">
        <f>IFERROR(__xludf.DUMMYFUNCTION("""COMPUTED_VALUE"""),45991.0)</f>
        <v>45991</v>
      </c>
    </row>
    <row r="4219">
      <c r="A4219" s="6" t="str">
        <f>IFERROR(__xludf.DUMMYFUNCTION("""COMPUTED_VALUE"""),"121702980-2")</f>
        <v>121702980-2</v>
      </c>
      <c r="B4219" s="6" t="str">
        <f>IFERROR(__xludf.DUMMYFUNCTION("""COMPUTED_VALUE"""),"121702980 - APPROVED")</f>
        <v>121702980 - APPROVED</v>
      </c>
      <c r="C4219" s="6">
        <f>IFERROR(__xludf.DUMMYFUNCTION("""COMPUTED_VALUE"""),2.0)</f>
        <v>2</v>
      </c>
      <c r="D4219" s="6" t="str">
        <f>IFERROR(__xludf.DUMMYFUNCTION("""COMPUTED_VALUE"""),"O-19777-00")</f>
        <v>O-19777-00</v>
      </c>
      <c r="E4219" s="6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F4219" s="6">
        <f>IFERROR(__xludf.DUMMYFUNCTION("""COMPUTED_VALUE"""),5.0)</f>
        <v>5</v>
      </c>
      <c r="G4219" s="6" t="str">
        <f>IFERROR(__xludf.DUMMYFUNCTION("""COMPUTED_VALUE"""),"Pieces")</f>
        <v>Pieces</v>
      </c>
      <c r="H4219" s="6" t="str">
        <f>IFERROR(__xludf.DUMMYFUNCTION("""COMPUTED_VALUE"""),"IDR")</f>
        <v>IDR</v>
      </c>
      <c r="I4219" s="6">
        <f>IFERROR(__xludf.DUMMYFUNCTION("""COMPUTED_VALUE"""),55000.0)</f>
        <v>55000</v>
      </c>
      <c r="J4219" s="6">
        <f>IFERROR(__xludf.DUMMYFUNCTION("""COMPUTED_VALUE"""),275000.0)</f>
        <v>275000</v>
      </c>
      <c r="K4219" s="57">
        <f>IFERROR(__xludf.DUMMYFUNCTION("""COMPUTED_VALUE"""),45884.0)</f>
        <v>45884</v>
      </c>
      <c r="L4219" s="6" t="str">
        <f>IFERROR(__xludf.DUMMYFUNCTION("""COMPUTED_VALUE"""),"FIP Engineering")</f>
        <v>FIP Engineering</v>
      </c>
      <c r="M4219" s="6" t="str">
        <f>IFERROR(__xludf.DUMMYFUNCTION("""COMPUTED_VALUE"""),"Mochammad Fadhillah Hakim,")</f>
        <v>Mochammad Fadhillah Hakim,</v>
      </c>
      <c r="N4219" s="6" t="str">
        <f>IFERROR(__xludf.DUMMYFUNCTION("""COMPUTED_VALUE"""),"FIP Engineering")</f>
        <v>FIP Engineering</v>
      </c>
      <c r="O4219" s="6" t="str">
        <f>IFERROR(__xludf.DUMMYFUNCTION("""COMPUTED_VALUE"""),"FIP-DOM-000-11304-OS00001-INA-000000")</f>
        <v>FIP-DOM-000-11304-OS00001-INA-000000</v>
      </c>
      <c r="P4219" s="6" t="str">
        <f>IFERROR(__xludf.DUMMYFUNCTION("""COMPUTED_VALUE"""),"PO Closed")</f>
        <v>PO Closed</v>
      </c>
      <c r="Q4219" s="6" t="str">
        <f>IFERROR(__xludf.DUMMYFUNCTION("""COMPUTED_VALUE"""),"GL2507420")</f>
        <v>GL2507420</v>
      </c>
      <c r="R4219" s="57">
        <f>IFERROR(__xludf.DUMMYFUNCTION("""COMPUTED_VALUE"""),45849.0)</f>
        <v>45849</v>
      </c>
      <c r="S4219" s="57">
        <f>IFERROR(__xludf.DUMMYFUNCTION("""COMPUTED_VALUE"""),45849.0)</f>
        <v>45849</v>
      </c>
      <c r="T4219" s="57">
        <f>IFERROR(__xludf.DUMMYFUNCTION("""COMPUTED_VALUE"""),45884.0)</f>
        <v>45884</v>
      </c>
    </row>
    <row r="4220">
      <c r="A4220" s="6" t="str">
        <f>IFERROR(__xludf.DUMMYFUNCTION("""COMPUTED_VALUE"""),"121702980-3")</f>
        <v>121702980-3</v>
      </c>
      <c r="B4220" s="6" t="str">
        <f>IFERROR(__xludf.DUMMYFUNCTION("""COMPUTED_VALUE"""),"121702980 - APPROVED")</f>
        <v>121702980 - APPROVED</v>
      </c>
      <c r="C4220" s="6">
        <f>IFERROR(__xludf.DUMMYFUNCTION("""COMPUTED_VALUE"""),3.0)</f>
        <v>3</v>
      </c>
      <c r="D4220" s="6" t="str">
        <f>IFERROR(__xludf.DUMMYFUNCTION("""COMPUTED_VALUE"""),"O-54123-00")</f>
        <v>O-54123-00</v>
      </c>
      <c r="E4220" s="6" t="str">
        <f>IFERROR(__xludf.DUMMYFUNCTION("""COMPUTED_VALUE"""),"O-RING 132X5.30; Freeze Dryer MBE1207; P/N EB41-00298; pack size per pc")</f>
        <v>O-RING 132X5.30; Freeze Dryer MBE1207; P/N EB41-00298; pack size per pc</v>
      </c>
      <c r="F4220" s="6">
        <f>IFERROR(__xludf.DUMMYFUNCTION("""COMPUTED_VALUE"""),5.0)</f>
        <v>5</v>
      </c>
      <c r="G4220" s="6" t="str">
        <f>IFERROR(__xludf.DUMMYFUNCTION("""COMPUTED_VALUE"""),"Pieces")</f>
        <v>Pieces</v>
      </c>
      <c r="H4220" s="6" t="str">
        <f>IFERROR(__xludf.DUMMYFUNCTION("""COMPUTED_VALUE"""),"IDR")</f>
        <v>IDR</v>
      </c>
      <c r="I4220" s="6">
        <f>IFERROR(__xludf.DUMMYFUNCTION("""COMPUTED_VALUE"""),35000.0)</f>
        <v>35000</v>
      </c>
      <c r="J4220" s="6">
        <f>IFERROR(__xludf.DUMMYFUNCTION("""COMPUTED_VALUE"""),175000.0)</f>
        <v>175000</v>
      </c>
      <c r="K4220" s="57">
        <f>IFERROR(__xludf.DUMMYFUNCTION("""COMPUTED_VALUE"""),45884.0)</f>
        <v>45884</v>
      </c>
      <c r="L4220" s="6" t="str">
        <f>IFERROR(__xludf.DUMMYFUNCTION("""COMPUTED_VALUE"""),"FIP Engineering")</f>
        <v>FIP Engineering</v>
      </c>
      <c r="M4220" s="6" t="str">
        <f>IFERROR(__xludf.DUMMYFUNCTION("""COMPUTED_VALUE"""),"Mochammad Fadhillah Hakim,")</f>
        <v>Mochammad Fadhillah Hakim,</v>
      </c>
      <c r="N4220" s="6" t="str">
        <f>IFERROR(__xludf.DUMMYFUNCTION("""COMPUTED_VALUE"""),"FIP Engineering")</f>
        <v>FIP Engineering</v>
      </c>
      <c r="O4220" s="6" t="str">
        <f>IFERROR(__xludf.DUMMYFUNCTION("""COMPUTED_VALUE"""),"FIP-DOM-000-11304-OS00001-INA-000000")</f>
        <v>FIP-DOM-000-11304-OS00001-INA-000000</v>
      </c>
      <c r="P4220" s="6" t="str">
        <f>IFERROR(__xludf.DUMMYFUNCTION("""COMPUTED_VALUE"""),"PO Closed")</f>
        <v>PO Closed</v>
      </c>
      <c r="Q4220" s="6" t="str">
        <f>IFERROR(__xludf.DUMMYFUNCTION("""COMPUTED_VALUE"""),"GL2508026")</f>
        <v>GL2508026</v>
      </c>
      <c r="R4220" s="57">
        <f>IFERROR(__xludf.DUMMYFUNCTION("""COMPUTED_VALUE"""),45849.0)</f>
        <v>45849</v>
      </c>
      <c r="S4220" s="57">
        <f>IFERROR(__xludf.DUMMYFUNCTION("""COMPUTED_VALUE"""),45849.0)</f>
        <v>45849</v>
      </c>
      <c r="T4220" s="57">
        <f>IFERROR(__xludf.DUMMYFUNCTION("""COMPUTED_VALUE"""),45991.0)</f>
        <v>45991</v>
      </c>
    </row>
    <row r="4221">
      <c r="A4221" s="6" t="str">
        <f>IFERROR(__xludf.DUMMYFUNCTION("""COMPUTED_VALUE"""),"121702980-4")</f>
        <v>121702980-4</v>
      </c>
      <c r="B4221" s="6" t="str">
        <f>IFERROR(__xludf.DUMMYFUNCTION("""COMPUTED_VALUE"""),"121702980 - APPROVED")</f>
        <v>121702980 - APPROVED</v>
      </c>
      <c r="C4221" s="6">
        <f>IFERROR(__xludf.DUMMYFUNCTION("""COMPUTED_VALUE"""),4.0)</f>
        <v>4</v>
      </c>
      <c r="D4221" s="6" t="str">
        <f>IFERROR(__xludf.DUMMYFUNCTION("""COMPUTED_VALUE"""),"O-54123-00")</f>
        <v>O-54123-00</v>
      </c>
      <c r="E4221" s="6" t="str">
        <f>IFERROR(__xludf.DUMMYFUNCTION("""COMPUTED_VALUE"""),"O-RING 132X5.30; Freeze Dryer MBE1207; P/N EB41-00298; pack size per pc")</f>
        <v>O-RING 132X5.30; Freeze Dryer MBE1207; P/N EB41-00298; pack size per pc</v>
      </c>
      <c r="F4221" s="6">
        <f>IFERROR(__xludf.DUMMYFUNCTION("""COMPUTED_VALUE"""),5.0)</f>
        <v>5</v>
      </c>
      <c r="G4221" s="6" t="str">
        <f>IFERROR(__xludf.DUMMYFUNCTION("""COMPUTED_VALUE"""),"Pieces")</f>
        <v>Pieces</v>
      </c>
      <c r="H4221" s="6" t="str">
        <f>IFERROR(__xludf.DUMMYFUNCTION("""COMPUTED_VALUE"""),"IDR")</f>
        <v>IDR</v>
      </c>
      <c r="I4221" s="6">
        <f>IFERROR(__xludf.DUMMYFUNCTION("""COMPUTED_VALUE"""),30000.0)</f>
        <v>30000</v>
      </c>
      <c r="J4221" s="6">
        <f>IFERROR(__xludf.DUMMYFUNCTION("""COMPUTED_VALUE"""),150000.0)</f>
        <v>150000</v>
      </c>
      <c r="K4221" s="57">
        <f>IFERROR(__xludf.DUMMYFUNCTION("""COMPUTED_VALUE"""),45884.0)</f>
        <v>45884</v>
      </c>
      <c r="L4221" s="6" t="str">
        <f>IFERROR(__xludf.DUMMYFUNCTION("""COMPUTED_VALUE"""),"FIP Engineering")</f>
        <v>FIP Engineering</v>
      </c>
      <c r="M4221" s="6" t="str">
        <f>IFERROR(__xludf.DUMMYFUNCTION("""COMPUTED_VALUE"""),"Mochammad Fadhillah Hakim,")</f>
        <v>Mochammad Fadhillah Hakim,</v>
      </c>
      <c r="N4221" s="6" t="str">
        <f>IFERROR(__xludf.DUMMYFUNCTION("""COMPUTED_VALUE"""),"FIP Engineering")</f>
        <v>FIP Engineering</v>
      </c>
      <c r="O4221" s="6" t="str">
        <f>IFERROR(__xludf.DUMMYFUNCTION("""COMPUTED_VALUE"""),"FIP-DOM-000-11304-OS00001-INA-000000")</f>
        <v>FIP-DOM-000-11304-OS00001-INA-000000</v>
      </c>
      <c r="P4221" s="6" t="str">
        <f>IFERROR(__xludf.DUMMYFUNCTION("""COMPUTED_VALUE"""),"PO Closed")</f>
        <v>PO Closed</v>
      </c>
      <c r="Q4221" s="6" t="str">
        <f>IFERROR(__xludf.DUMMYFUNCTION("""COMPUTED_VALUE"""),"GL2508026")</f>
        <v>GL2508026</v>
      </c>
      <c r="R4221" s="57">
        <f>IFERROR(__xludf.DUMMYFUNCTION("""COMPUTED_VALUE"""),45849.0)</f>
        <v>45849</v>
      </c>
      <c r="S4221" s="57">
        <f>IFERROR(__xludf.DUMMYFUNCTION("""COMPUTED_VALUE"""),45849.0)</f>
        <v>45849</v>
      </c>
      <c r="T4221" s="57">
        <f>IFERROR(__xludf.DUMMYFUNCTION("""COMPUTED_VALUE"""),45991.0)</f>
        <v>45991</v>
      </c>
    </row>
    <row r="4222">
      <c r="A4222" s="6" t="str">
        <f>IFERROR(__xludf.DUMMYFUNCTION("""COMPUTED_VALUE"""),"121702980-5")</f>
        <v>121702980-5</v>
      </c>
      <c r="B4222" s="6" t="str">
        <f>IFERROR(__xludf.DUMMYFUNCTION("""COMPUTED_VALUE"""),"121702980 - APPROVED")</f>
        <v>121702980 - APPROVED</v>
      </c>
      <c r="C4222" s="6">
        <f>IFERROR(__xludf.DUMMYFUNCTION("""COMPUTED_VALUE"""),5.0)</f>
        <v>5</v>
      </c>
      <c r="D4222" s="6" t="str">
        <f>IFERROR(__xludf.DUMMYFUNCTION("""COMPUTED_VALUE"""),"O-54121-00")</f>
        <v>O-54121-00</v>
      </c>
      <c r="E4222" s="6" t="str">
        <f>IFERROR(__xludf.DUMMYFUNCTION("""COMPUTED_VALUE"""),"O-RING 180X3.55; Freeze Dryer MBE1207; P/N EB41-00357; pack size per pc")</f>
        <v>O-RING 180X3.55; Freeze Dryer MBE1207; P/N EB41-00357; pack size per pc</v>
      </c>
      <c r="F4222" s="6">
        <f>IFERROR(__xludf.DUMMYFUNCTION("""COMPUTED_VALUE"""),5.0)</f>
        <v>5</v>
      </c>
      <c r="G4222" s="6" t="str">
        <f>IFERROR(__xludf.DUMMYFUNCTION("""COMPUTED_VALUE"""),"Pieces")</f>
        <v>Pieces</v>
      </c>
      <c r="H4222" s="6" t="str">
        <f>IFERROR(__xludf.DUMMYFUNCTION("""COMPUTED_VALUE"""),"IDR")</f>
        <v>IDR</v>
      </c>
      <c r="I4222" s="6">
        <f>IFERROR(__xludf.DUMMYFUNCTION("""COMPUTED_VALUE"""),166250.0)</f>
        <v>166250</v>
      </c>
      <c r="J4222" s="6">
        <f>IFERROR(__xludf.DUMMYFUNCTION("""COMPUTED_VALUE"""),831250.0)</f>
        <v>831250</v>
      </c>
      <c r="K4222" s="57">
        <f>IFERROR(__xludf.DUMMYFUNCTION("""COMPUTED_VALUE"""),45884.0)</f>
        <v>45884</v>
      </c>
      <c r="L4222" s="6" t="str">
        <f>IFERROR(__xludf.DUMMYFUNCTION("""COMPUTED_VALUE"""),"FIP Engineering")</f>
        <v>FIP Engineering</v>
      </c>
      <c r="M4222" s="6" t="str">
        <f>IFERROR(__xludf.DUMMYFUNCTION("""COMPUTED_VALUE"""),"Mochammad Fadhillah Hakim,")</f>
        <v>Mochammad Fadhillah Hakim,</v>
      </c>
      <c r="N4222" s="6" t="str">
        <f>IFERROR(__xludf.DUMMYFUNCTION("""COMPUTED_VALUE"""),"FIP Engineering")</f>
        <v>FIP Engineering</v>
      </c>
      <c r="O4222" s="6" t="str">
        <f>IFERROR(__xludf.DUMMYFUNCTION("""COMPUTED_VALUE"""),"FIP-DOM-000-11304-OS00001-INA-000000")</f>
        <v>FIP-DOM-000-11304-OS00001-INA-000000</v>
      </c>
      <c r="P4222" s="6" t="str">
        <f>IFERROR(__xludf.DUMMYFUNCTION("""COMPUTED_VALUE"""),"PO Closed")</f>
        <v>PO Closed</v>
      </c>
      <c r="Q4222" s="6" t="str">
        <f>IFERROR(__xludf.DUMMYFUNCTION("""COMPUTED_VALUE"""),"GL2508026")</f>
        <v>GL2508026</v>
      </c>
      <c r="R4222" s="57">
        <f>IFERROR(__xludf.DUMMYFUNCTION("""COMPUTED_VALUE"""),45849.0)</f>
        <v>45849</v>
      </c>
      <c r="S4222" s="57">
        <f>IFERROR(__xludf.DUMMYFUNCTION("""COMPUTED_VALUE"""),45849.0)</f>
        <v>45849</v>
      </c>
      <c r="T4222" s="57">
        <f>IFERROR(__xludf.DUMMYFUNCTION("""COMPUTED_VALUE"""),45991.0)</f>
        <v>45991</v>
      </c>
    </row>
    <row r="4223">
      <c r="A4223" s="6" t="str">
        <f>IFERROR(__xludf.DUMMYFUNCTION("""COMPUTED_VALUE"""),"121702980-6")</f>
        <v>121702980-6</v>
      </c>
      <c r="B4223" s="6" t="str">
        <f>IFERROR(__xludf.DUMMYFUNCTION("""COMPUTED_VALUE"""),"121702980 - APPROVED")</f>
        <v>121702980 - APPROVED</v>
      </c>
      <c r="C4223" s="6">
        <f>IFERROR(__xludf.DUMMYFUNCTION("""COMPUTED_VALUE"""),6.0)</f>
        <v>6</v>
      </c>
      <c r="D4223" s="6" t="str">
        <f>IFERROR(__xludf.DUMMYFUNCTION("""COMPUTED_VALUE"""),"O-54120-00")</f>
        <v>O-54120-00</v>
      </c>
      <c r="E4223" s="6" t="str">
        <f>IFERROR(__xludf.DUMMYFUNCTION("""COMPUTED_VALUE"""),"O-RING 8X1.8; Freeze Dryer MBE1207; P/N EB41-00336; pack size per pc")</f>
        <v>O-RING 8X1.8; Freeze Dryer MBE1207; P/N EB41-00336; pack size per pc</v>
      </c>
      <c r="F4223" s="6">
        <f>IFERROR(__xludf.DUMMYFUNCTION("""COMPUTED_VALUE"""),20.0)</f>
        <v>20</v>
      </c>
      <c r="G4223" s="6" t="str">
        <f>IFERROR(__xludf.DUMMYFUNCTION("""COMPUTED_VALUE"""),"Pieces")</f>
        <v>Pieces</v>
      </c>
      <c r="H4223" s="6" t="str">
        <f>IFERROR(__xludf.DUMMYFUNCTION("""COMPUTED_VALUE"""),"IDR")</f>
        <v>IDR</v>
      </c>
      <c r="I4223" s="6">
        <f>IFERROR(__xludf.DUMMYFUNCTION("""COMPUTED_VALUE"""),15000.0)</f>
        <v>15000</v>
      </c>
      <c r="J4223" s="6">
        <f>IFERROR(__xludf.DUMMYFUNCTION("""COMPUTED_VALUE"""),300000.0)</f>
        <v>300000</v>
      </c>
      <c r="K4223" s="57">
        <f>IFERROR(__xludf.DUMMYFUNCTION("""COMPUTED_VALUE"""),45884.0)</f>
        <v>45884</v>
      </c>
      <c r="L4223" s="6" t="str">
        <f>IFERROR(__xludf.DUMMYFUNCTION("""COMPUTED_VALUE"""),"FIP Engineering")</f>
        <v>FIP Engineering</v>
      </c>
      <c r="M4223" s="6" t="str">
        <f>IFERROR(__xludf.DUMMYFUNCTION("""COMPUTED_VALUE"""),"Mochammad Fadhillah Hakim,")</f>
        <v>Mochammad Fadhillah Hakim,</v>
      </c>
      <c r="N4223" s="6" t="str">
        <f>IFERROR(__xludf.DUMMYFUNCTION("""COMPUTED_VALUE"""),"FIP Engineering")</f>
        <v>FIP Engineering</v>
      </c>
      <c r="O4223" s="6" t="str">
        <f>IFERROR(__xludf.DUMMYFUNCTION("""COMPUTED_VALUE"""),"FIP-DOM-000-11304-OS00001-INA-000000")</f>
        <v>FIP-DOM-000-11304-OS00001-INA-000000</v>
      </c>
      <c r="P4223" s="6" t="str">
        <f>IFERROR(__xludf.DUMMYFUNCTION("""COMPUTED_VALUE"""),"PO Closed")</f>
        <v>PO Closed</v>
      </c>
      <c r="Q4223" s="6" t="str">
        <f>IFERROR(__xludf.DUMMYFUNCTION("""COMPUTED_VALUE"""),"GL2508026")</f>
        <v>GL2508026</v>
      </c>
      <c r="R4223" s="57">
        <f>IFERROR(__xludf.DUMMYFUNCTION("""COMPUTED_VALUE"""),45849.0)</f>
        <v>45849</v>
      </c>
      <c r="S4223" s="57">
        <f>IFERROR(__xludf.DUMMYFUNCTION("""COMPUTED_VALUE"""),45849.0)</f>
        <v>45849</v>
      </c>
      <c r="T4223" s="57">
        <f>IFERROR(__xludf.DUMMYFUNCTION("""COMPUTED_VALUE"""),45991.0)</f>
        <v>45991</v>
      </c>
    </row>
    <row r="4224">
      <c r="A4224" s="6" t="str">
        <f>IFERROR(__xludf.DUMMYFUNCTION("""COMPUTED_VALUE"""),"121702981-1")</f>
        <v>121702981-1</v>
      </c>
      <c r="B4224" s="6" t="str">
        <f>IFERROR(__xludf.DUMMYFUNCTION("""COMPUTED_VALUE"""),"121702981 - APPROVED")</f>
        <v>121702981 - APPROVED</v>
      </c>
      <c r="C4224" s="6">
        <f>IFERROR(__xludf.DUMMYFUNCTION("""COMPUTED_VALUE"""),1.0)</f>
        <v>1</v>
      </c>
      <c r="D4224" s="6" t="str">
        <f>IFERROR(__xludf.DUMMYFUNCTION("""COMPUTED_VALUE"""),"P-18667-00")</f>
        <v>P-18667-00</v>
      </c>
      <c r="E4224" s="6" t="str">
        <f>IFERROR(__xludf.DUMMYFUNCTION("""COMPUTED_VALUE"""),"Freeze Dryer MBE1207 - Gasket Slot Door Silicone dia 13 mm; ; ;")</f>
        <v>Freeze Dryer MBE1207 - Gasket Slot Door Silicone dia 13 mm; ; ;</v>
      </c>
      <c r="F4224" s="6">
        <f>IFERROR(__xludf.DUMMYFUNCTION("""COMPUTED_VALUE"""),8.0)</f>
        <v>8</v>
      </c>
      <c r="G4224" s="6" t="str">
        <f>IFERROR(__xludf.DUMMYFUNCTION("""COMPUTED_VALUE"""),"Meter")</f>
        <v>Meter</v>
      </c>
      <c r="H4224" s="6" t="str">
        <f>IFERROR(__xludf.DUMMYFUNCTION("""COMPUTED_VALUE"""),"IDR")</f>
        <v>IDR</v>
      </c>
      <c r="I4224" s="6">
        <f>IFERROR(__xludf.DUMMYFUNCTION("""COMPUTED_VALUE"""),418500.0)</f>
        <v>418500</v>
      </c>
      <c r="J4224" s="6">
        <f>IFERROR(__xludf.DUMMYFUNCTION("""COMPUTED_VALUE"""),3348000.0)</f>
        <v>3348000</v>
      </c>
      <c r="K4224" s="57">
        <f>IFERROR(__xludf.DUMMYFUNCTION("""COMPUTED_VALUE"""),45883.0)</f>
        <v>45883</v>
      </c>
      <c r="L4224" s="6" t="str">
        <f>IFERROR(__xludf.DUMMYFUNCTION("""COMPUTED_VALUE"""),"FIP Engineering")</f>
        <v>FIP Engineering</v>
      </c>
      <c r="M4224" s="6" t="str">
        <f>IFERROR(__xludf.DUMMYFUNCTION("""COMPUTED_VALUE"""),"Mochammad Fadhillah Hakim,")</f>
        <v>Mochammad Fadhillah Hakim,</v>
      </c>
      <c r="N4224" s="6" t="str">
        <f>IFERROR(__xludf.DUMMYFUNCTION("""COMPUTED_VALUE"""),"FIP Engineering")</f>
        <v>FIP Engineering</v>
      </c>
      <c r="O4224" s="6" t="str">
        <f>IFERROR(__xludf.DUMMYFUNCTION("""COMPUTED_VALUE"""),"FIP-DOM-000-11304-OS00001-INA-000000")</f>
        <v>FIP-DOM-000-11304-OS00001-INA-000000</v>
      </c>
      <c r="P4224" s="6" t="str">
        <f>IFERROR(__xludf.DUMMYFUNCTION("""COMPUTED_VALUE"""),"PO Closed")</f>
        <v>PO Closed</v>
      </c>
      <c r="Q4224" s="6" t="str">
        <f>IFERROR(__xludf.DUMMYFUNCTION("""COMPUTED_VALUE"""),"GL2507047")</f>
        <v>GL2507047</v>
      </c>
      <c r="R4224" s="57">
        <f>IFERROR(__xludf.DUMMYFUNCTION("""COMPUTED_VALUE"""),45849.0)</f>
        <v>45849</v>
      </c>
      <c r="S4224" s="57">
        <f>IFERROR(__xludf.DUMMYFUNCTION("""COMPUTED_VALUE"""),45849.0)</f>
        <v>45849</v>
      </c>
      <c r="T4224" s="57">
        <f>IFERROR(__xludf.DUMMYFUNCTION("""COMPUTED_VALUE"""),45883.0)</f>
        <v>45883</v>
      </c>
    </row>
    <row r="4225">
      <c r="A4225" s="6" t="str">
        <f>IFERROR(__xludf.DUMMYFUNCTION("""COMPUTED_VALUE"""),"121702983-1")</f>
        <v>121702983-1</v>
      </c>
      <c r="B4225" s="6" t="str">
        <f>IFERROR(__xludf.DUMMYFUNCTION("""COMPUTED_VALUE"""),"121702983 - APPROVED")</f>
        <v>121702983 - APPROVED</v>
      </c>
      <c r="C4225" s="6">
        <f>IFERROR(__xludf.DUMMYFUNCTION("""COMPUTED_VALUE"""),1.0)</f>
        <v>1</v>
      </c>
      <c r="D4225" s="6" t="str">
        <f>IFERROR(__xludf.DUMMYFUNCTION("""COMPUTED_VALUE"""),"R-71002-00")</f>
        <v>R-71002-00</v>
      </c>
      <c r="E4225" s="6" t="str">
        <f>IFERROR(__xludf.DUMMYFUNCTION("""COMPUTED_VALUE"""),"Renovation - Epoxy Area FD dan Koridor - Epoxy Area FD dan Koridor")</f>
        <v>Renovation - Epoxy Area FD dan Koridor - Epoxy Area FD dan Koridor</v>
      </c>
      <c r="F4225" s="6">
        <f>IFERROR(__xludf.DUMMYFUNCTION("""COMPUTED_VALUE"""),1.0)</f>
        <v>1</v>
      </c>
      <c r="G4225" s="6" t="str">
        <f>IFERROR(__xludf.DUMMYFUNCTION("""COMPUTED_VALUE"""),"Unit")</f>
        <v>Unit</v>
      </c>
      <c r="H4225" s="6" t="str">
        <f>IFERROR(__xludf.DUMMYFUNCTION("""COMPUTED_VALUE"""),"IDR")</f>
        <v>IDR</v>
      </c>
      <c r="I4225" s="6">
        <f>IFERROR(__xludf.DUMMYFUNCTION("""COMPUTED_VALUE"""),2.37264999E8)</f>
        <v>237264999</v>
      </c>
      <c r="J4225" s="6">
        <f>IFERROR(__xludf.DUMMYFUNCTION("""COMPUTED_VALUE"""),2.37264999E8)</f>
        <v>237264999</v>
      </c>
      <c r="K4225" s="57">
        <f>IFERROR(__xludf.DUMMYFUNCTION("""COMPUTED_VALUE"""),45884.0)</f>
        <v>45884</v>
      </c>
      <c r="L4225" s="6" t="str">
        <f>IFERROR(__xludf.DUMMYFUNCTION("""COMPUTED_VALUE"""),"FIP General")</f>
        <v>FIP General</v>
      </c>
      <c r="M4225" s="6" t="str">
        <f>IFERROR(__xludf.DUMMYFUNCTION("""COMPUTED_VALUE"""),"Mochammad Fadhillah Hakim,")</f>
        <v>Mochammad Fadhillah Hakim,</v>
      </c>
      <c r="N4225" s="6" t="str">
        <f>IFERROR(__xludf.DUMMYFUNCTION("""COMPUTED_VALUE"""),"FIP Engineering")</f>
        <v>FIP Engineering</v>
      </c>
      <c r="O4225" s="6" t="str">
        <f>IFERROR(__xludf.DUMMYFUNCTION("""COMPUTED_VALUE"""),"FIP-DOM-PRJ-13402-BL25006-INA-000000")</f>
        <v>FIP-DOM-PRJ-13402-BL25006-INA-000000</v>
      </c>
      <c r="P4225" s="6" t="str">
        <f>IFERROR(__xludf.DUMMYFUNCTION("""COMPUTED_VALUE"""),"PO Closed")</f>
        <v>PO Closed</v>
      </c>
      <c r="Q4225" s="6" t="str">
        <f>IFERROR(__xludf.DUMMYFUNCTION("""COMPUTED_VALUE"""),"GL2508014")</f>
        <v>GL2508014</v>
      </c>
      <c r="R4225" s="57">
        <f>IFERROR(__xludf.DUMMYFUNCTION("""COMPUTED_VALUE"""),45849.0)</f>
        <v>45849</v>
      </c>
      <c r="S4225" s="57">
        <f>IFERROR(__xludf.DUMMYFUNCTION("""COMPUTED_VALUE"""),45849.0)</f>
        <v>45849</v>
      </c>
      <c r="T4225" s="57">
        <f>IFERROR(__xludf.DUMMYFUNCTION("""COMPUTED_VALUE"""),45960.0)</f>
        <v>45960</v>
      </c>
    </row>
    <row r="4226">
      <c r="A4226" s="6" t="str">
        <f>IFERROR(__xludf.DUMMYFUNCTION("""COMPUTED_VALUE"""),"121702984-1")</f>
        <v>121702984-1</v>
      </c>
      <c r="B4226" s="6" t="str">
        <f>IFERROR(__xludf.DUMMYFUNCTION("""COMPUTED_VALUE"""),"121702984 - APPROVED")</f>
        <v>121702984 - APPROVED</v>
      </c>
      <c r="C4226" s="6">
        <f>IFERROR(__xludf.DUMMYFUNCTION("""COMPUTED_VALUE"""),1.0)</f>
        <v>1</v>
      </c>
      <c r="D4226" s="6" t="str">
        <f>IFERROR(__xludf.DUMMYFUNCTION("""COMPUTED_VALUE"""),"R-71002-00")</f>
        <v>R-71002-00</v>
      </c>
      <c r="E4226" s="6" t="str">
        <f>IFERROR(__xludf.DUMMYFUNCTION("""COMPUTED_VALUE"""),"Renovation - Perluasan Ruangan Filling (Sandwich) Opsi A - Perluasan Ruangan Filling (Sandwich) Opsi A - Perluasan Ruangan Filling (Sandwich) Opsi A - Perluasan Ruangan Filling (Sandwich) Opsi A")</f>
        <v>Renovation - Perluasan Ruangan Filling (Sandwich) Opsi A - Perluasan Ruangan Filling (Sandwich) Opsi A - Perluasan Ruangan Filling (Sandwich) Opsi A - Perluasan Ruangan Filling (Sandwich) Opsi A</v>
      </c>
      <c r="F4226" s="6">
        <f>IFERROR(__xludf.DUMMYFUNCTION("""COMPUTED_VALUE"""),1.0)</f>
        <v>1</v>
      </c>
      <c r="G4226" s="6" t="str">
        <f>IFERROR(__xludf.DUMMYFUNCTION("""COMPUTED_VALUE"""),"Unit")</f>
        <v>Unit</v>
      </c>
      <c r="H4226" s="6" t="str">
        <f>IFERROR(__xludf.DUMMYFUNCTION("""COMPUTED_VALUE"""),"IDR")</f>
        <v>IDR</v>
      </c>
      <c r="I4226" s="6">
        <f>IFERROR(__xludf.DUMMYFUNCTION("""COMPUTED_VALUE"""),2.93442E8)</f>
        <v>293442000</v>
      </c>
      <c r="J4226" s="6">
        <f>IFERROR(__xludf.DUMMYFUNCTION("""COMPUTED_VALUE"""),2.93442E8)</f>
        <v>293442000</v>
      </c>
      <c r="K4226" s="57">
        <f>IFERROR(__xludf.DUMMYFUNCTION("""COMPUTED_VALUE"""),45884.0)</f>
        <v>45884</v>
      </c>
      <c r="L4226" s="6" t="str">
        <f>IFERROR(__xludf.DUMMYFUNCTION("""COMPUTED_VALUE"""),"FIP General")</f>
        <v>FIP General</v>
      </c>
      <c r="M4226" s="6" t="str">
        <f>IFERROR(__xludf.DUMMYFUNCTION("""COMPUTED_VALUE"""),"Mochammad Fadhillah Hakim,")</f>
        <v>Mochammad Fadhillah Hakim,</v>
      </c>
      <c r="N4226" s="6" t="str">
        <f>IFERROR(__xludf.DUMMYFUNCTION("""COMPUTED_VALUE"""),"FIP Engineering")</f>
        <v>FIP Engineering</v>
      </c>
      <c r="O4226" s="6" t="str">
        <f>IFERROR(__xludf.DUMMYFUNCTION("""COMPUTED_VALUE"""),"FIP-DOM-PRJ-13402-BL25006-INA-000000")</f>
        <v>FIP-DOM-PRJ-13402-BL25006-INA-000000</v>
      </c>
      <c r="P4226" s="6" t="str">
        <f>IFERROR(__xludf.DUMMYFUNCTION("""COMPUTED_VALUE"""),"PO Open")</f>
        <v>PO Open</v>
      </c>
      <c r="Q4226" s="6" t="str">
        <f>IFERROR(__xludf.DUMMYFUNCTION("""COMPUTED_VALUE"""),"GL2508017")</f>
        <v>GL2508017</v>
      </c>
      <c r="R4226" s="57">
        <f>IFERROR(__xludf.DUMMYFUNCTION("""COMPUTED_VALUE"""),45849.0)</f>
        <v>45849</v>
      </c>
      <c r="S4226" s="57">
        <f>IFERROR(__xludf.DUMMYFUNCTION("""COMPUTED_VALUE"""),45860.0)</f>
        <v>45860</v>
      </c>
      <c r="T4226" s="6"/>
    </row>
    <row r="4227">
      <c r="A4227" s="6" t="str">
        <f>IFERROR(__xludf.DUMMYFUNCTION("""COMPUTED_VALUE"""),"121702985-1")</f>
        <v>121702985-1</v>
      </c>
      <c r="B4227" s="6" t="str">
        <f>IFERROR(__xludf.DUMMYFUNCTION("""COMPUTED_VALUE"""),"121702985 - APPROVED")</f>
        <v>121702985 - APPROVED</v>
      </c>
      <c r="C4227" s="6">
        <f>IFERROR(__xludf.DUMMYFUNCTION("""COMPUTED_VALUE"""),1.0)</f>
        <v>1</v>
      </c>
      <c r="D4227" s="6" t="str">
        <f>IFERROR(__xludf.DUMMYFUNCTION("""COMPUTED_VALUE"""),"P-52375-00")</f>
        <v>P-52375-00</v>
      </c>
      <c r="E4227" s="6" t="str">
        <f>IFERROR(__xludf.DUMMYFUNCTION("""COMPUTED_VALUE"""),"SCHNEIDER - MCB 4A 1Phase; ; ;")</f>
        <v>SCHNEIDER - MCB 4A 1Phase; ; ;</v>
      </c>
      <c r="F4227" s="6">
        <f>IFERROR(__xludf.DUMMYFUNCTION("""COMPUTED_VALUE"""),3.0)</f>
        <v>3</v>
      </c>
      <c r="G4227" s="6" t="str">
        <f>IFERROR(__xludf.DUMMYFUNCTION("""COMPUTED_VALUE"""),"Pieces")</f>
        <v>Pieces</v>
      </c>
      <c r="H4227" s="6" t="str">
        <f>IFERROR(__xludf.DUMMYFUNCTION("""COMPUTED_VALUE"""),"IDR")</f>
        <v>IDR</v>
      </c>
      <c r="I4227" s="6">
        <f>IFERROR(__xludf.DUMMYFUNCTION("""COMPUTED_VALUE"""),144000.0)</f>
        <v>144000</v>
      </c>
      <c r="J4227" s="6">
        <f>IFERROR(__xludf.DUMMYFUNCTION("""COMPUTED_VALUE"""),432000.0)</f>
        <v>432000</v>
      </c>
      <c r="K4227" s="57">
        <f>IFERROR(__xludf.DUMMYFUNCTION("""COMPUTED_VALUE"""),45884.0)</f>
        <v>45884</v>
      </c>
      <c r="L4227" s="6" t="str">
        <f>IFERROR(__xludf.DUMMYFUNCTION("""COMPUTED_VALUE"""),"FIP Engineering")</f>
        <v>FIP Engineering</v>
      </c>
      <c r="M4227" s="6" t="str">
        <f>IFERROR(__xludf.DUMMYFUNCTION("""COMPUTED_VALUE"""),"Mochammad Fadhillah Hakim,")</f>
        <v>Mochammad Fadhillah Hakim,</v>
      </c>
      <c r="N4227" s="6" t="str">
        <f>IFERROR(__xludf.DUMMYFUNCTION("""COMPUTED_VALUE"""),"FIP Engineering")</f>
        <v>FIP Engineering</v>
      </c>
      <c r="O4227" s="6" t="str">
        <f>IFERROR(__xludf.DUMMYFUNCTION("""COMPUTED_VALUE"""),"FIP-DOM-000-11304-OS00001-INA-000000")</f>
        <v>FIP-DOM-000-11304-OS00001-INA-000000</v>
      </c>
      <c r="P4227" s="6" t="str">
        <f>IFERROR(__xludf.DUMMYFUNCTION("""COMPUTED_VALUE"""),"PO Closed")</f>
        <v>PO Closed</v>
      </c>
      <c r="Q4227" s="6" t="str">
        <f>IFERROR(__xludf.DUMMYFUNCTION("""COMPUTED_VALUE"""),"GL2507407")</f>
        <v>GL2507407</v>
      </c>
      <c r="R4227" s="57">
        <f>IFERROR(__xludf.DUMMYFUNCTION("""COMPUTED_VALUE"""),45849.0)</f>
        <v>45849</v>
      </c>
      <c r="S4227" s="57">
        <f>IFERROR(__xludf.DUMMYFUNCTION("""COMPUTED_VALUE"""),45853.0)</f>
        <v>45853</v>
      </c>
      <c r="T4227" s="57">
        <f>IFERROR(__xludf.DUMMYFUNCTION("""COMPUTED_VALUE"""),46003.0)</f>
        <v>46003</v>
      </c>
    </row>
    <row r="4228">
      <c r="A4228" s="6" t="str">
        <f>IFERROR(__xludf.DUMMYFUNCTION("""COMPUTED_VALUE"""),"121702988-1")</f>
        <v>121702988-1</v>
      </c>
      <c r="B4228" s="6" t="str">
        <f>IFERROR(__xludf.DUMMYFUNCTION("""COMPUTED_VALUE"""),"121702988 - APPROVED")</f>
        <v>121702988 - APPROVED</v>
      </c>
      <c r="C4228" s="6">
        <f>IFERROR(__xludf.DUMMYFUNCTION("""COMPUTED_VALUE"""),1.0)</f>
        <v>1</v>
      </c>
      <c r="D4228" s="6" t="str">
        <f>IFERROR(__xludf.DUMMYFUNCTION("""COMPUTED_VALUE"""),"P-19955-00")</f>
        <v>P-19955-00</v>
      </c>
      <c r="E4228" s="6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F4228" s="6">
        <f>IFERROR(__xludf.DUMMYFUNCTION("""COMPUTED_VALUE"""),1.0)</f>
        <v>1</v>
      </c>
      <c r="G4228" s="6" t="str">
        <f>IFERROR(__xludf.DUMMYFUNCTION("""COMPUTED_VALUE"""),"Pieces")</f>
        <v>Pieces</v>
      </c>
      <c r="H4228" s="6" t="str">
        <f>IFERROR(__xludf.DUMMYFUNCTION("""COMPUTED_VALUE"""),"IDR")</f>
        <v>IDR</v>
      </c>
      <c r="I4228" s="6">
        <f>IFERROR(__xludf.DUMMYFUNCTION("""COMPUTED_VALUE"""),1.05E7)</f>
        <v>10500000</v>
      </c>
      <c r="J4228" s="6">
        <f>IFERROR(__xludf.DUMMYFUNCTION("""COMPUTED_VALUE"""),1.05E7)</f>
        <v>10500000</v>
      </c>
      <c r="K4228" s="57">
        <f>IFERROR(__xludf.DUMMYFUNCTION("""COMPUTED_VALUE"""),45919.0)</f>
        <v>45919</v>
      </c>
      <c r="L4228" s="6" t="str">
        <f>IFERROR(__xludf.DUMMYFUNCTION("""COMPUTED_VALUE"""),"FIP Engineering")</f>
        <v>FIP Engineering</v>
      </c>
      <c r="M4228" s="6" t="str">
        <f>IFERROR(__xludf.DUMMYFUNCTION("""COMPUTED_VALUE"""),"Mochammad Fadhillah Hakim,")</f>
        <v>Mochammad Fadhillah Hakim,</v>
      </c>
      <c r="N4228" s="6" t="str">
        <f>IFERROR(__xludf.DUMMYFUNCTION("""COMPUTED_VALUE"""),"FIP Engineering")</f>
        <v>FIP Engineering</v>
      </c>
      <c r="O4228" s="6" t="str">
        <f>IFERROR(__xludf.DUMMYFUNCTION("""COMPUTED_VALUE"""),"FIP-DOM-000-11304-OS00001-INA-000000")</f>
        <v>FIP-DOM-000-11304-OS00001-INA-000000</v>
      </c>
      <c r="P4228" s="6" t="str">
        <f>IFERROR(__xludf.DUMMYFUNCTION("""COMPUTED_VALUE"""),"PO Closed")</f>
        <v>PO Closed</v>
      </c>
      <c r="Q4228" s="6" t="str">
        <f>IFERROR(__xludf.DUMMYFUNCTION("""COMPUTED_VALUE"""),"GL2508004")</f>
        <v>GL2508004</v>
      </c>
      <c r="R4228" s="57">
        <f>IFERROR(__xludf.DUMMYFUNCTION("""COMPUTED_VALUE"""),45854.0)</f>
        <v>45854</v>
      </c>
      <c r="S4228" s="57">
        <f>IFERROR(__xludf.DUMMYFUNCTION("""COMPUTED_VALUE"""),45860.0)</f>
        <v>45860</v>
      </c>
      <c r="T4228" s="57">
        <f>IFERROR(__xludf.DUMMYFUNCTION("""COMPUTED_VALUE"""),46011.0)</f>
        <v>46011</v>
      </c>
    </row>
    <row r="4229">
      <c r="A4229" s="6" t="str">
        <f>IFERROR(__xludf.DUMMYFUNCTION("""COMPUTED_VALUE"""),"121702989-1")</f>
        <v>121702989-1</v>
      </c>
      <c r="B4229" s="6" t="str">
        <f>IFERROR(__xludf.DUMMYFUNCTION("""COMPUTED_VALUE"""),"121702989 - APPROVED")</f>
        <v>121702989 - APPROVED</v>
      </c>
      <c r="C4229" s="6">
        <f>IFERROR(__xludf.DUMMYFUNCTION("""COMPUTED_VALUE"""),1.0)</f>
        <v>1</v>
      </c>
      <c r="D4229" s="6" t="str">
        <f>IFERROR(__xludf.DUMMYFUNCTION("""COMPUTED_VALUE"""),"O-20859-00")</f>
        <v>O-20859-00</v>
      </c>
      <c r="E4229" s="6" t="str">
        <f>IFERROR(__xludf.DUMMYFUNCTION("""COMPUTED_VALUE"""),"Marchesini MA155 - Leaflet Gripper; Marchesini; A920000005; 1 Pc")</f>
        <v>Marchesini MA155 - Leaflet Gripper; Marchesini; A920000005; 1 Pc</v>
      </c>
      <c r="F4229" s="6">
        <f>IFERROR(__xludf.DUMMYFUNCTION("""COMPUTED_VALUE"""),2.0)</f>
        <v>2</v>
      </c>
      <c r="G4229" s="6" t="str">
        <f>IFERROR(__xludf.DUMMYFUNCTION("""COMPUTED_VALUE"""),"Pieces")</f>
        <v>Pieces</v>
      </c>
      <c r="H4229" s="6" t="str">
        <f>IFERROR(__xludf.DUMMYFUNCTION("""COMPUTED_VALUE"""),"IDR")</f>
        <v>IDR</v>
      </c>
      <c r="I4229" s="6">
        <f>IFERROR(__xludf.DUMMYFUNCTION("""COMPUTED_VALUE"""),6573240.0)</f>
        <v>6573240</v>
      </c>
      <c r="J4229" s="6">
        <f>IFERROR(__xludf.DUMMYFUNCTION("""COMPUTED_VALUE"""),1.314648E7)</f>
        <v>13146480</v>
      </c>
      <c r="K4229" s="57">
        <f>IFERROR(__xludf.DUMMYFUNCTION("""COMPUTED_VALUE"""),45919.0)</f>
        <v>45919</v>
      </c>
      <c r="L4229" s="6" t="str">
        <f>IFERROR(__xludf.DUMMYFUNCTION("""COMPUTED_VALUE"""),"FIP Engineering")</f>
        <v>FIP Engineering</v>
      </c>
      <c r="M4229" s="6" t="str">
        <f>IFERROR(__xludf.DUMMYFUNCTION("""COMPUTED_VALUE"""),"Mochammad Fadhillah Hakim,")</f>
        <v>Mochammad Fadhillah Hakim,</v>
      </c>
      <c r="N4229" s="6" t="str">
        <f>IFERROR(__xludf.DUMMYFUNCTION("""COMPUTED_VALUE"""),"FIP Engineering")</f>
        <v>FIP Engineering</v>
      </c>
      <c r="O4229" s="6" t="str">
        <f>IFERROR(__xludf.DUMMYFUNCTION("""COMPUTED_VALUE"""),"FIP-DOM-000-11304-OS00001-INA-000000")</f>
        <v>FIP-DOM-000-11304-OS00001-INA-000000</v>
      </c>
      <c r="P4229" s="6" t="str">
        <f>IFERROR(__xludf.DUMMYFUNCTION("""COMPUTED_VALUE"""),"PO Closed")</f>
        <v>PO Closed</v>
      </c>
      <c r="Q4229" s="6" t="str">
        <f>IFERROR(__xludf.DUMMYFUNCTION("""COMPUTED_VALUE"""),"GL2511029")</f>
        <v>GL2511029</v>
      </c>
      <c r="R4229" s="57">
        <f>IFERROR(__xludf.DUMMYFUNCTION("""COMPUTED_VALUE"""),45854.0)</f>
        <v>45854</v>
      </c>
      <c r="S4229" s="57">
        <f>IFERROR(__xludf.DUMMYFUNCTION("""COMPUTED_VALUE"""),45950.0)</f>
        <v>45950</v>
      </c>
      <c r="T4229" s="57">
        <f>IFERROR(__xludf.DUMMYFUNCTION("""COMPUTED_VALUE"""),46053.0)</f>
        <v>46053</v>
      </c>
    </row>
    <row r="4230">
      <c r="A4230" s="6" t="str">
        <f>IFERROR(__xludf.DUMMYFUNCTION("""COMPUTED_VALUE"""),"121702990-1")</f>
        <v>121702990-1</v>
      </c>
      <c r="B4230" s="6" t="str">
        <f>IFERROR(__xludf.DUMMYFUNCTION("""COMPUTED_VALUE"""),"121702990 - APPROVED")</f>
        <v>121702990 - APPROVED</v>
      </c>
      <c r="C4230" s="6">
        <f>IFERROR(__xludf.DUMMYFUNCTION("""COMPUTED_VALUE"""),1.0)</f>
        <v>1</v>
      </c>
      <c r="D4230" s="6" t="str">
        <f>IFERROR(__xludf.DUMMYFUNCTION("""COMPUTED_VALUE"""),"P-54334-00")</f>
        <v>P-54334-00</v>
      </c>
      <c r="E4230" s="6" t="str">
        <f>IFERROR(__xludf.DUMMYFUNCTION("""COMPUTED_VALUE"""),"General - Socket Relay PYFZ-14-E; Omron; -; 1 pc")</f>
        <v>General - Socket Relay PYFZ-14-E; Omron; -; 1 pc</v>
      </c>
      <c r="F4230" s="6">
        <f>IFERROR(__xludf.DUMMYFUNCTION("""COMPUTED_VALUE"""),30.0)</f>
        <v>30</v>
      </c>
      <c r="G4230" s="6" t="str">
        <f>IFERROR(__xludf.DUMMYFUNCTION("""COMPUTED_VALUE"""),"Pieces")</f>
        <v>Pieces</v>
      </c>
      <c r="H4230" s="6" t="str">
        <f>IFERROR(__xludf.DUMMYFUNCTION("""COMPUTED_VALUE"""),"IDR")</f>
        <v>IDR</v>
      </c>
      <c r="I4230" s="6">
        <f>IFERROR(__xludf.DUMMYFUNCTION("""COMPUTED_VALUE"""),21000.0)</f>
        <v>21000</v>
      </c>
      <c r="J4230" s="6">
        <f>IFERROR(__xludf.DUMMYFUNCTION("""COMPUTED_VALUE"""),630000.0)</f>
        <v>630000</v>
      </c>
      <c r="K4230" s="57">
        <f>IFERROR(__xludf.DUMMYFUNCTION("""COMPUTED_VALUE"""),45891.0)</f>
        <v>45891</v>
      </c>
      <c r="L4230" s="6" t="str">
        <f>IFERROR(__xludf.DUMMYFUNCTION("""COMPUTED_VALUE"""),"FIP Engineering")</f>
        <v>FIP Engineering</v>
      </c>
      <c r="M4230" s="6" t="str">
        <f>IFERROR(__xludf.DUMMYFUNCTION("""COMPUTED_VALUE"""),"Mochammad Fadhillah Hakim,")</f>
        <v>Mochammad Fadhillah Hakim,</v>
      </c>
      <c r="N4230" s="6" t="str">
        <f>IFERROR(__xludf.DUMMYFUNCTION("""COMPUTED_VALUE"""),"FIP Engineering")</f>
        <v>FIP Engineering</v>
      </c>
      <c r="O4230" s="6" t="str">
        <f>IFERROR(__xludf.DUMMYFUNCTION("""COMPUTED_VALUE"""),"FIP-DOM-000-11304-OS00001-INA-000000")</f>
        <v>FIP-DOM-000-11304-OS00001-INA-000000</v>
      </c>
      <c r="P4230" s="6" t="str">
        <f>IFERROR(__xludf.DUMMYFUNCTION("""COMPUTED_VALUE"""),"PO Closed")</f>
        <v>PO Closed</v>
      </c>
      <c r="Q4230" s="6" t="str">
        <f>IFERROR(__xludf.DUMMYFUNCTION("""COMPUTED_VALUE"""),"GL2508423")</f>
        <v>GL2508423</v>
      </c>
      <c r="R4230" s="57">
        <f>IFERROR(__xludf.DUMMYFUNCTION("""COMPUTED_VALUE"""),45854.0)</f>
        <v>45854</v>
      </c>
      <c r="S4230" s="57">
        <f>IFERROR(__xludf.DUMMYFUNCTION("""COMPUTED_VALUE"""),45859.0)</f>
        <v>45859</v>
      </c>
      <c r="T4230" s="57">
        <f>IFERROR(__xludf.DUMMYFUNCTION("""COMPUTED_VALUE"""),45898.0)</f>
        <v>45898</v>
      </c>
    </row>
    <row r="4231">
      <c r="A4231" s="6" t="str">
        <f>IFERROR(__xludf.DUMMYFUNCTION("""COMPUTED_VALUE"""),"121702992-1")</f>
        <v>121702992-1</v>
      </c>
      <c r="B4231" s="6" t="str">
        <f>IFERROR(__xludf.DUMMYFUNCTION("""COMPUTED_VALUE"""),"121702992 - APPROVED")</f>
        <v>121702992 - APPROVED</v>
      </c>
      <c r="C4231" s="6">
        <f>IFERROR(__xludf.DUMMYFUNCTION("""COMPUTED_VALUE"""),1.0)</f>
        <v>1</v>
      </c>
      <c r="D4231" s="6" t="str">
        <f>IFERROR(__xludf.DUMMYFUNCTION("""COMPUTED_VALUE"""),"P-18712-00")</f>
        <v>P-18712-00</v>
      </c>
      <c r="E4231" s="6" t="str">
        <f>IFERROR(__xludf.DUMMYFUNCTION("""COMPUTED_VALUE"""),"General - Hand Taps M 5 x 0.8 mm Made In Japan ; Yamawa; -; 1 set = 3 pcs")</f>
        <v>General - Hand Taps M 5 x 0.8 mm Made In Japan ; Yamawa; -; 1 set = 3 pcs</v>
      </c>
      <c r="F4231" s="6">
        <f>IFERROR(__xludf.DUMMYFUNCTION("""COMPUTED_VALUE"""),1.0)</f>
        <v>1</v>
      </c>
      <c r="G4231" s="6" t="str">
        <f>IFERROR(__xludf.DUMMYFUNCTION("""COMPUTED_VALUE"""),"Set")</f>
        <v>Set</v>
      </c>
      <c r="H4231" s="6" t="str">
        <f>IFERROR(__xludf.DUMMYFUNCTION("""COMPUTED_VALUE"""),"IDR")</f>
        <v>IDR</v>
      </c>
      <c r="I4231" s="6">
        <f>IFERROR(__xludf.DUMMYFUNCTION("""COMPUTED_VALUE"""),230000.0)</f>
        <v>230000</v>
      </c>
      <c r="J4231" s="6">
        <f>IFERROR(__xludf.DUMMYFUNCTION("""COMPUTED_VALUE"""),230000.0)</f>
        <v>230000</v>
      </c>
      <c r="K4231" s="57">
        <f>IFERROR(__xludf.DUMMYFUNCTION("""COMPUTED_VALUE"""),45891.0)</f>
        <v>45891</v>
      </c>
      <c r="L4231" s="6" t="str">
        <f>IFERROR(__xludf.DUMMYFUNCTION("""COMPUTED_VALUE"""),"FIP Engineering")</f>
        <v>FIP Engineering</v>
      </c>
      <c r="M4231" s="6" t="str">
        <f>IFERROR(__xludf.DUMMYFUNCTION("""COMPUTED_VALUE"""),"Mochammad Fadhillah Hakim,")</f>
        <v>Mochammad Fadhillah Hakim,</v>
      </c>
      <c r="N4231" s="6" t="str">
        <f>IFERROR(__xludf.DUMMYFUNCTION("""COMPUTED_VALUE"""),"FIP Engineering")</f>
        <v>FIP Engineering</v>
      </c>
      <c r="O4231" s="6" t="str">
        <f>IFERROR(__xludf.DUMMYFUNCTION("""COMPUTED_VALUE"""),"FIP-DOM-000-11304-OS00001-INA-000000")</f>
        <v>FIP-DOM-000-11304-OS00001-INA-000000</v>
      </c>
      <c r="P4231" s="6" t="str">
        <f>IFERROR(__xludf.DUMMYFUNCTION("""COMPUTED_VALUE"""),"PO Closed")</f>
        <v>PO Closed</v>
      </c>
      <c r="Q4231" s="6" t="str">
        <f>IFERROR(__xludf.DUMMYFUNCTION("""COMPUTED_VALUE"""),"GL2508423")</f>
        <v>GL2508423</v>
      </c>
      <c r="R4231" s="57">
        <f>IFERROR(__xludf.DUMMYFUNCTION("""COMPUTED_VALUE"""),45854.0)</f>
        <v>45854</v>
      </c>
      <c r="S4231" s="57">
        <f>IFERROR(__xludf.DUMMYFUNCTION("""COMPUTED_VALUE"""),45859.0)</f>
        <v>45859</v>
      </c>
      <c r="T4231" s="57">
        <f>IFERROR(__xludf.DUMMYFUNCTION("""COMPUTED_VALUE"""),45898.0)</f>
        <v>45898</v>
      </c>
    </row>
    <row r="4232">
      <c r="A4232" s="6" t="str">
        <f>IFERROR(__xludf.DUMMYFUNCTION("""COMPUTED_VALUE"""),"121702992-2")</f>
        <v>121702992-2</v>
      </c>
      <c r="B4232" s="6" t="str">
        <f>IFERROR(__xludf.DUMMYFUNCTION("""COMPUTED_VALUE"""),"121702992 - APPROVED")</f>
        <v>121702992 - APPROVED</v>
      </c>
      <c r="C4232" s="6">
        <f>IFERROR(__xludf.DUMMYFUNCTION("""COMPUTED_VALUE"""),2.0)</f>
        <v>2</v>
      </c>
      <c r="D4232" s="6" t="str">
        <f>IFERROR(__xludf.DUMMYFUNCTION("""COMPUTED_VALUE"""),"P-19693-00")</f>
        <v>P-19693-00</v>
      </c>
      <c r="E4232" s="6" t="str">
        <f>IFERROR(__xludf.DUMMYFUNCTION("""COMPUTED_VALUE"""),"General - Lem Adhesive; Superlon; -; 1kg/can")</f>
        <v>General - Lem Adhesive; Superlon; -; 1kg/can</v>
      </c>
      <c r="F4232" s="6">
        <f>IFERROR(__xludf.DUMMYFUNCTION("""COMPUTED_VALUE"""),3.0)</f>
        <v>3</v>
      </c>
      <c r="G4232" s="6" t="str">
        <f>IFERROR(__xludf.DUMMYFUNCTION("""COMPUTED_VALUE"""),"Pieces")</f>
        <v>Pieces</v>
      </c>
      <c r="H4232" s="6" t="str">
        <f>IFERROR(__xludf.DUMMYFUNCTION("""COMPUTED_VALUE"""),"IDR")</f>
        <v>IDR</v>
      </c>
      <c r="I4232" s="6">
        <f>IFERROR(__xludf.DUMMYFUNCTION("""COMPUTED_VALUE"""),182250.0)</f>
        <v>182250</v>
      </c>
      <c r="J4232" s="6">
        <f>IFERROR(__xludf.DUMMYFUNCTION("""COMPUTED_VALUE"""),546750.0)</f>
        <v>546750</v>
      </c>
      <c r="K4232" s="57">
        <f>IFERROR(__xludf.DUMMYFUNCTION("""COMPUTED_VALUE"""),45891.0)</f>
        <v>45891</v>
      </c>
      <c r="L4232" s="6" t="str">
        <f>IFERROR(__xludf.DUMMYFUNCTION("""COMPUTED_VALUE"""),"FIP Engineering")</f>
        <v>FIP Engineering</v>
      </c>
      <c r="M4232" s="6" t="str">
        <f>IFERROR(__xludf.DUMMYFUNCTION("""COMPUTED_VALUE"""),"Mochammad Fadhillah Hakim,")</f>
        <v>Mochammad Fadhillah Hakim,</v>
      </c>
      <c r="N4232" s="6" t="str">
        <f>IFERROR(__xludf.DUMMYFUNCTION("""COMPUTED_VALUE"""),"FIP Engineering")</f>
        <v>FIP Engineering</v>
      </c>
      <c r="O4232" s="6" t="str">
        <f>IFERROR(__xludf.DUMMYFUNCTION("""COMPUTED_VALUE"""),"FIP-DOM-000-11304-OS00001-INA-000000")</f>
        <v>FIP-DOM-000-11304-OS00001-INA-000000</v>
      </c>
      <c r="P4232" s="6" t="str">
        <f>IFERROR(__xludf.DUMMYFUNCTION("""COMPUTED_VALUE"""),"PO Closed")</f>
        <v>PO Closed</v>
      </c>
      <c r="Q4232" s="6" t="str">
        <f>IFERROR(__xludf.DUMMYFUNCTION("""COMPUTED_VALUE"""),"GL2508423")</f>
        <v>GL2508423</v>
      </c>
      <c r="R4232" s="57">
        <f>IFERROR(__xludf.DUMMYFUNCTION("""COMPUTED_VALUE"""),45854.0)</f>
        <v>45854</v>
      </c>
      <c r="S4232" s="57">
        <f>IFERROR(__xludf.DUMMYFUNCTION("""COMPUTED_VALUE"""),45859.0)</f>
        <v>45859</v>
      </c>
      <c r="T4232" s="57">
        <f>IFERROR(__xludf.DUMMYFUNCTION("""COMPUTED_VALUE"""),45898.0)</f>
        <v>45898</v>
      </c>
    </row>
    <row r="4233">
      <c r="A4233" s="6" t="str">
        <f>IFERROR(__xludf.DUMMYFUNCTION("""COMPUTED_VALUE"""),"121702993-1")</f>
        <v>121702993-1</v>
      </c>
      <c r="B4233" s="6" t="str">
        <f>IFERROR(__xludf.DUMMYFUNCTION("""COMPUTED_VALUE"""),"121702993 - APPROVED")</f>
        <v>121702993 - APPROVED</v>
      </c>
      <c r="C4233" s="6">
        <f>IFERROR(__xludf.DUMMYFUNCTION("""COMPUTED_VALUE"""),1.0)</f>
        <v>1</v>
      </c>
      <c r="D4233" s="6" t="str">
        <f>IFERROR(__xludf.DUMMYFUNCTION("""COMPUTED_VALUE"""),"Q-10971-00")</f>
        <v>Q-10971-00</v>
      </c>
      <c r="E4233" s="6" t="str">
        <f>IFERROR(__xludf.DUMMYFUNCTION("""COMPUTED_VALUE"""),"Magnet Kotak Pintu Lemari Small Stainless Steel 1.5x3.6cm; ; ;")</f>
        <v>Magnet Kotak Pintu Lemari Small Stainless Steel 1.5x3.6cm; ; ;</v>
      </c>
      <c r="F4233" s="6">
        <f>IFERROR(__xludf.DUMMYFUNCTION("""COMPUTED_VALUE"""),5.0)</f>
        <v>5</v>
      </c>
      <c r="G4233" s="6" t="str">
        <f>IFERROR(__xludf.DUMMYFUNCTION("""COMPUTED_VALUE"""),"Pieces")</f>
        <v>Pieces</v>
      </c>
      <c r="H4233" s="6" t="str">
        <f>IFERROR(__xludf.DUMMYFUNCTION("""COMPUTED_VALUE"""),"IDR")</f>
        <v>IDR</v>
      </c>
      <c r="I4233" s="6">
        <f>IFERROR(__xludf.DUMMYFUNCTION("""COMPUTED_VALUE"""),10000.0)</f>
        <v>10000</v>
      </c>
      <c r="J4233" s="6">
        <f>IFERROR(__xludf.DUMMYFUNCTION("""COMPUTED_VALUE"""),50000.0)</f>
        <v>50000</v>
      </c>
      <c r="K4233" s="57">
        <f>IFERROR(__xludf.DUMMYFUNCTION("""COMPUTED_VALUE"""),45891.0)</f>
        <v>45891</v>
      </c>
      <c r="L4233" s="6" t="str">
        <f>IFERROR(__xludf.DUMMYFUNCTION("""COMPUTED_VALUE"""),"FIP General")</f>
        <v>FIP General</v>
      </c>
      <c r="M4233" s="6" t="str">
        <f>IFERROR(__xludf.DUMMYFUNCTION("""COMPUTED_VALUE"""),"Mochammad Fadhillah Hakim,")</f>
        <v>Mochammad Fadhillah Hakim,</v>
      </c>
      <c r="N4233" s="6" t="str">
        <f>IFERROR(__xludf.DUMMYFUNCTION("""COMPUTED_VALUE"""),"FIP Engineering")</f>
        <v>FIP Engineering</v>
      </c>
      <c r="O4233" s="6" t="str">
        <f>IFERROR(__xludf.DUMMYFUNCTION("""COMPUTED_VALUE"""),"FIP-DOM-ENG-51502-0000000-INA-000000")</f>
        <v>FIP-DOM-ENG-51502-0000000-INA-000000</v>
      </c>
      <c r="P4233" s="6" t="str">
        <f>IFERROR(__xludf.DUMMYFUNCTION("""COMPUTED_VALUE"""),"PO Closed")</f>
        <v>PO Closed</v>
      </c>
      <c r="Q4233" s="6" t="str">
        <f>IFERROR(__xludf.DUMMYFUNCTION("""COMPUTED_VALUE"""),"GL2507067")</f>
        <v>GL2507067</v>
      </c>
      <c r="R4233" s="57">
        <f>IFERROR(__xludf.DUMMYFUNCTION("""COMPUTED_VALUE"""),45854.0)</f>
        <v>45854</v>
      </c>
      <c r="S4233" s="57">
        <f>IFERROR(__xludf.DUMMYFUNCTION("""COMPUTED_VALUE"""),45855.0)</f>
        <v>45855</v>
      </c>
      <c r="T4233" s="57">
        <f>IFERROR(__xludf.DUMMYFUNCTION("""COMPUTED_VALUE"""),45891.0)</f>
        <v>45891</v>
      </c>
    </row>
    <row r="4234">
      <c r="A4234" s="6" t="str">
        <f>IFERROR(__xludf.DUMMYFUNCTION("""COMPUTED_VALUE"""),"121702993-2")</f>
        <v>121702993-2</v>
      </c>
      <c r="B4234" s="6" t="str">
        <f>IFERROR(__xludf.DUMMYFUNCTION("""COMPUTED_VALUE"""),"121702993 - APPROVED")</f>
        <v>121702993 - APPROVED</v>
      </c>
      <c r="C4234" s="6">
        <f>IFERROR(__xludf.DUMMYFUNCTION("""COMPUTED_VALUE"""),2.0)</f>
        <v>2</v>
      </c>
      <c r="D4234" s="6" t="str">
        <f>IFERROR(__xludf.DUMMYFUNCTION("""COMPUTED_VALUE"""),"Q-54119-00")</f>
        <v>Q-54119-00</v>
      </c>
      <c r="E4234" s="6" t="str">
        <f>IFERROR(__xludf.DUMMYFUNCTION("""COMPUTED_VALUE"""),"Paint Remover;No Brand;;pack size per can - Kemasan 20L")</f>
        <v>Paint Remover;No Brand;;pack size per can - Kemasan 20L</v>
      </c>
      <c r="F4234" s="6">
        <f>IFERROR(__xludf.DUMMYFUNCTION("""COMPUTED_VALUE"""),3.0)</f>
        <v>3</v>
      </c>
      <c r="G4234" s="6" t="str">
        <f>IFERROR(__xludf.DUMMYFUNCTION("""COMPUTED_VALUE"""),"Can")</f>
        <v>Can</v>
      </c>
      <c r="H4234" s="6" t="str">
        <f>IFERROR(__xludf.DUMMYFUNCTION("""COMPUTED_VALUE"""),"IDR")</f>
        <v>IDR</v>
      </c>
      <c r="I4234" s="6">
        <f>IFERROR(__xludf.DUMMYFUNCTION("""COMPUTED_VALUE"""),830000.0)</f>
        <v>830000</v>
      </c>
      <c r="J4234" s="6">
        <f>IFERROR(__xludf.DUMMYFUNCTION("""COMPUTED_VALUE"""),2490000.0)</f>
        <v>2490000</v>
      </c>
      <c r="K4234" s="57">
        <f>IFERROR(__xludf.DUMMYFUNCTION("""COMPUTED_VALUE"""),45891.0)</f>
        <v>45891</v>
      </c>
      <c r="L4234" s="6" t="str">
        <f>IFERROR(__xludf.DUMMYFUNCTION("""COMPUTED_VALUE"""),"FIP General")</f>
        <v>FIP General</v>
      </c>
      <c r="M4234" s="6" t="str">
        <f>IFERROR(__xludf.DUMMYFUNCTION("""COMPUTED_VALUE"""),"Mochammad Fadhillah Hakim,")</f>
        <v>Mochammad Fadhillah Hakim,</v>
      </c>
      <c r="N4234" s="6" t="str">
        <f>IFERROR(__xludf.DUMMYFUNCTION("""COMPUTED_VALUE"""),"FIP Engineering")</f>
        <v>FIP Engineering</v>
      </c>
      <c r="O4234" s="6" t="str">
        <f>IFERROR(__xludf.DUMMYFUNCTION("""COMPUTED_VALUE"""),"FIP-DOM-ENG-51502-0000000-INA-000000")</f>
        <v>FIP-DOM-ENG-51502-0000000-INA-000000</v>
      </c>
      <c r="P4234" s="6" t="str">
        <f>IFERROR(__xludf.DUMMYFUNCTION("""COMPUTED_VALUE"""),"PO Closed")</f>
        <v>PO Closed</v>
      </c>
      <c r="Q4234" s="6" t="str">
        <f>IFERROR(__xludf.DUMMYFUNCTION("""COMPUTED_VALUE"""),"GL2507067")</f>
        <v>GL2507067</v>
      </c>
      <c r="R4234" s="57">
        <f>IFERROR(__xludf.DUMMYFUNCTION("""COMPUTED_VALUE"""),45854.0)</f>
        <v>45854</v>
      </c>
      <c r="S4234" s="57">
        <f>IFERROR(__xludf.DUMMYFUNCTION("""COMPUTED_VALUE"""),45855.0)</f>
        <v>45855</v>
      </c>
      <c r="T4234" s="57">
        <f>IFERROR(__xludf.DUMMYFUNCTION("""COMPUTED_VALUE"""),45891.0)</f>
        <v>45891</v>
      </c>
    </row>
    <row r="4235">
      <c r="A4235" s="6" t="str">
        <f>IFERROR(__xludf.DUMMYFUNCTION("""COMPUTED_VALUE"""),"121702994-1")</f>
        <v>121702994-1</v>
      </c>
      <c r="B4235" s="6" t="str">
        <f>IFERROR(__xludf.DUMMYFUNCTION("""COMPUTED_VALUE"""),"121702994 - APPROVED")</f>
        <v>121702994 - APPROVED</v>
      </c>
      <c r="C4235" s="6">
        <f>IFERROR(__xludf.DUMMYFUNCTION("""COMPUTED_VALUE"""),1.0)</f>
        <v>1</v>
      </c>
      <c r="D4235" s="6" t="str">
        <f>IFERROR(__xludf.DUMMYFUNCTION("""COMPUTED_VALUE"""),"P-19954-00")</f>
        <v>P-19954-00</v>
      </c>
      <c r="E4235" s="6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F4235" s="6">
        <f>IFERROR(__xludf.DUMMYFUNCTION("""COMPUTED_VALUE"""),3.0)</f>
        <v>3</v>
      </c>
      <c r="G4235" s="6" t="str">
        <f>IFERROR(__xludf.DUMMYFUNCTION("""COMPUTED_VALUE"""),"Pieces")</f>
        <v>Pieces</v>
      </c>
      <c r="H4235" s="6" t="str">
        <f>IFERROR(__xludf.DUMMYFUNCTION("""COMPUTED_VALUE"""),"IDR")</f>
        <v>IDR</v>
      </c>
      <c r="I4235" s="6">
        <f>IFERROR(__xludf.DUMMYFUNCTION("""COMPUTED_VALUE"""),1.765E7)</f>
        <v>17650000</v>
      </c>
      <c r="J4235" s="6">
        <f>IFERROR(__xludf.DUMMYFUNCTION("""COMPUTED_VALUE"""),5.295E7)</f>
        <v>52950000</v>
      </c>
      <c r="K4235" s="57">
        <f>IFERROR(__xludf.DUMMYFUNCTION("""COMPUTED_VALUE"""),45891.0)</f>
        <v>45891</v>
      </c>
      <c r="L4235" s="6" t="str">
        <f>IFERROR(__xludf.DUMMYFUNCTION("""COMPUTED_VALUE"""),"FIP Engineering")</f>
        <v>FIP Engineering</v>
      </c>
      <c r="M4235" s="6" t="str">
        <f>IFERROR(__xludf.DUMMYFUNCTION("""COMPUTED_VALUE"""),"Mochammad Fadhillah Hakim,")</f>
        <v>Mochammad Fadhillah Hakim,</v>
      </c>
      <c r="N4235" s="6" t="str">
        <f>IFERROR(__xludf.DUMMYFUNCTION("""COMPUTED_VALUE"""),"FIP Engineering")</f>
        <v>FIP Engineering</v>
      </c>
      <c r="O4235" s="6" t="str">
        <f>IFERROR(__xludf.DUMMYFUNCTION("""COMPUTED_VALUE"""),"FIP-DOM-000-11304-OS00001-INA-000000")</f>
        <v>FIP-DOM-000-11304-OS00001-INA-000000</v>
      </c>
      <c r="P4235" s="6" t="str">
        <f>IFERROR(__xludf.DUMMYFUNCTION("""COMPUTED_VALUE"""),"PO Closed")</f>
        <v>PO Closed</v>
      </c>
      <c r="Q4235" s="6" t="str">
        <f>IFERROR(__xludf.DUMMYFUNCTION("""COMPUTED_VALUE"""),"GL2508003")</f>
        <v>GL2508003</v>
      </c>
      <c r="R4235" s="57">
        <f>IFERROR(__xludf.DUMMYFUNCTION("""COMPUTED_VALUE"""),45854.0)</f>
        <v>45854</v>
      </c>
      <c r="S4235" s="57">
        <f>IFERROR(__xludf.DUMMYFUNCTION("""COMPUTED_VALUE"""),45860.0)</f>
        <v>45860</v>
      </c>
      <c r="T4235" s="57">
        <f>IFERROR(__xludf.DUMMYFUNCTION("""COMPUTED_VALUE"""),45894.0)</f>
        <v>45894</v>
      </c>
    </row>
    <row r="4236">
      <c r="A4236" s="6" t="str">
        <f>IFERROR(__xludf.DUMMYFUNCTION("""COMPUTED_VALUE"""),"121702997-1")</f>
        <v>121702997-1</v>
      </c>
      <c r="B4236" s="6" t="str">
        <f>IFERROR(__xludf.DUMMYFUNCTION("""COMPUTED_VALUE"""),"121702997 - APPROVED")</f>
        <v>121702997 - APPROVED</v>
      </c>
      <c r="C4236" s="6">
        <f>IFERROR(__xludf.DUMMYFUNCTION("""COMPUTED_VALUE"""),1.0)</f>
        <v>1</v>
      </c>
      <c r="D4236" s="6" t="str">
        <f>IFERROR(__xludf.DUMMYFUNCTION("""COMPUTED_VALUE"""),"P-19987-00")</f>
        <v>P-19987-00</v>
      </c>
      <c r="E4236" s="6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F4236" s="6">
        <f>IFERROR(__xludf.DUMMYFUNCTION("""COMPUTED_VALUE"""),1.0)</f>
        <v>1</v>
      </c>
      <c r="G4236" s="6" t="str">
        <f>IFERROR(__xludf.DUMMYFUNCTION("""COMPUTED_VALUE"""),"Pieces")</f>
        <v>Pieces</v>
      </c>
      <c r="H4236" s="6" t="str">
        <f>IFERROR(__xludf.DUMMYFUNCTION("""COMPUTED_VALUE"""),"IDR")</f>
        <v>IDR</v>
      </c>
      <c r="I4236" s="6">
        <f>IFERROR(__xludf.DUMMYFUNCTION("""COMPUTED_VALUE"""),7250000.0)</f>
        <v>7250000</v>
      </c>
      <c r="J4236" s="6">
        <f>IFERROR(__xludf.DUMMYFUNCTION("""COMPUTED_VALUE"""),7250000.0)</f>
        <v>7250000</v>
      </c>
      <c r="K4236" s="57">
        <f>IFERROR(__xludf.DUMMYFUNCTION("""COMPUTED_VALUE"""),45891.0)</f>
        <v>45891</v>
      </c>
      <c r="L4236" s="6" t="str">
        <f>IFERROR(__xludf.DUMMYFUNCTION("""COMPUTED_VALUE"""),"FIP Engineering")</f>
        <v>FIP Engineering</v>
      </c>
      <c r="M4236" s="6" t="str">
        <f>IFERROR(__xludf.DUMMYFUNCTION("""COMPUTED_VALUE"""),"Mochammad Fadhillah Hakim,")</f>
        <v>Mochammad Fadhillah Hakim,</v>
      </c>
      <c r="N4236" s="6" t="str">
        <f>IFERROR(__xludf.DUMMYFUNCTION("""COMPUTED_VALUE"""),"FIP Engineering")</f>
        <v>FIP Engineering</v>
      </c>
      <c r="O4236" s="6" t="str">
        <f>IFERROR(__xludf.DUMMYFUNCTION("""COMPUTED_VALUE"""),"FIP-DOM-000-11304-OS00001-INA-000000")</f>
        <v>FIP-DOM-000-11304-OS00001-INA-000000</v>
      </c>
      <c r="P4236" s="6" t="str">
        <f>IFERROR(__xludf.DUMMYFUNCTION("""COMPUTED_VALUE"""),"PO Closed")</f>
        <v>PO Closed</v>
      </c>
      <c r="Q4236" s="6" t="str">
        <f>IFERROR(__xludf.DUMMYFUNCTION("""COMPUTED_VALUE"""),"GL2507052")</f>
        <v>GL2507052</v>
      </c>
      <c r="R4236" s="57">
        <f>IFERROR(__xludf.DUMMYFUNCTION("""COMPUTED_VALUE"""),45854.0)</f>
        <v>45854</v>
      </c>
      <c r="S4236" s="57">
        <f>IFERROR(__xludf.DUMMYFUNCTION("""COMPUTED_VALUE"""),45855.0)</f>
        <v>45855</v>
      </c>
      <c r="T4236" s="57">
        <f>IFERROR(__xludf.DUMMYFUNCTION("""COMPUTED_VALUE"""),45915.0)</f>
        <v>45915</v>
      </c>
    </row>
    <row r="4237">
      <c r="A4237" s="6" t="str">
        <f>IFERROR(__xludf.DUMMYFUNCTION("""COMPUTED_VALUE"""),"121702998-1")</f>
        <v>121702998-1</v>
      </c>
      <c r="B4237" s="6" t="str">
        <f>IFERROR(__xludf.DUMMYFUNCTION("""COMPUTED_VALUE"""),"121702998 - APPROVED")</f>
        <v>121702998 - APPROVED</v>
      </c>
      <c r="C4237" s="6">
        <f>IFERROR(__xludf.DUMMYFUNCTION("""COMPUTED_VALUE"""),1.0)</f>
        <v>1</v>
      </c>
      <c r="D4237" s="6" t="str">
        <f>IFERROR(__xludf.DUMMYFUNCTION("""COMPUTED_VALUE"""),"O-20857-00")</f>
        <v>O-20857-00</v>
      </c>
      <c r="E4237" s="6" t="str">
        <f>IFERROR(__xludf.DUMMYFUNCTION("""COMPUTED_VALUE"""),"Washing RAR4 - Needle CA, OD 15 x 168 mm, Mat. SS316; Custom/Lokal; -; 1 Pc")</f>
        <v>Washing RAR4 - Needle CA, OD 15 x 168 mm, Mat. SS316; Custom/Lokal; -; 1 Pc</v>
      </c>
      <c r="F4237" s="6">
        <f>IFERROR(__xludf.DUMMYFUNCTION("""COMPUTED_VALUE"""),1.0)</f>
        <v>1</v>
      </c>
      <c r="G4237" s="6" t="str">
        <f>IFERROR(__xludf.DUMMYFUNCTION("""COMPUTED_VALUE"""),"Pieces")</f>
        <v>Pieces</v>
      </c>
      <c r="H4237" s="6" t="str">
        <f>IFERROR(__xludf.DUMMYFUNCTION("""COMPUTED_VALUE"""),"IDR")</f>
        <v>IDR</v>
      </c>
      <c r="I4237" s="6">
        <f>IFERROR(__xludf.DUMMYFUNCTION("""COMPUTED_VALUE"""),2125000.0)</f>
        <v>2125000</v>
      </c>
      <c r="J4237" s="6">
        <f>IFERROR(__xludf.DUMMYFUNCTION("""COMPUTED_VALUE"""),2125000.0)</f>
        <v>2125000</v>
      </c>
      <c r="K4237" s="57">
        <f>IFERROR(__xludf.DUMMYFUNCTION("""COMPUTED_VALUE"""),45891.0)</f>
        <v>45891</v>
      </c>
      <c r="L4237" s="6" t="str">
        <f>IFERROR(__xludf.DUMMYFUNCTION("""COMPUTED_VALUE"""),"FIP Engineering")</f>
        <v>FIP Engineering</v>
      </c>
      <c r="M4237" s="6" t="str">
        <f>IFERROR(__xludf.DUMMYFUNCTION("""COMPUTED_VALUE"""),"Mochammad Fadhillah Hakim,")</f>
        <v>Mochammad Fadhillah Hakim,</v>
      </c>
      <c r="N4237" s="6" t="str">
        <f>IFERROR(__xludf.DUMMYFUNCTION("""COMPUTED_VALUE"""),"FIP Engineering")</f>
        <v>FIP Engineering</v>
      </c>
      <c r="O4237" s="6" t="str">
        <f>IFERROR(__xludf.DUMMYFUNCTION("""COMPUTED_VALUE"""),"FIP-DOM-000-11304-OS00001-INA-000000")</f>
        <v>FIP-DOM-000-11304-OS00001-INA-000000</v>
      </c>
      <c r="P4237" s="6" t="str">
        <f>IFERROR(__xludf.DUMMYFUNCTION("""COMPUTED_VALUE"""),"PO Closed")</f>
        <v>PO Closed</v>
      </c>
      <c r="Q4237" s="6" t="str">
        <f>IFERROR(__xludf.DUMMYFUNCTION("""COMPUTED_VALUE"""),"GL2508018")</f>
        <v>GL2508018</v>
      </c>
      <c r="R4237" s="57">
        <f>IFERROR(__xludf.DUMMYFUNCTION("""COMPUTED_VALUE"""),45854.0)</f>
        <v>45854</v>
      </c>
      <c r="S4237" s="57">
        <f>IFERROR(__xludf.DUMMYFUNCTION("""COMPUTED_VALUE"""),45859.0)</f>
        <v>45859</v>
      </c>
      <c r="T4237" s="57">
        <f>IFERROR(__xludf.DUMMYFUNCTION("""COMPUTED_VALUE"""),45910.0)</f>
        <v>45910</v>
      </c>
    </row>
    <row r="4238">
      <c r="A4238" s="6" t="str">
        <f>IFERROR(__xludf.DUMMYFUNCTION("""COMPUTED_VALUE"""),"121702999-1")</f>
        <v>121702999-1</v>
      </c>
      <c r="B4238" s="6" t="str">
        <f>IFERROR(__xludf.DUMMYFUNCTION("""COMPUTED_VALUE"""),"121702999 - APPROVED")</f>
        <v>121702999 - APPROVED</v>
      </c>
      <c r="C4238" s="6">
        <f>IFERROR(__xludf.DUMMYFUNCTION("""COMPUTED_VALUE"""),1.0)</f>
        <v>1</v>
      </c>
      <c r="D4238" s="6" t="str">
        <f>IFERROR(__xludf.DUMMYFUNCTION("""COMPUTED_VALUE"""),"R-71002-00")</f>
        <v>R-71002-00</v>
      </c>
      <c r="E4238" s="6" t="str">
        <f>IFERROR(__xludf.DUMMYFUNCTION("""COMPUTED_VALUE"""),"Renovation - Perluasan Lantai 2 dan 3")</f>
        <v>Renovation - Perluasan Lantai 2 dan 3</v>
      </c>
      <c r="F4238" s="6">
        <f>IFERROR(__xludf.DUMMYFUNCTION("""COMPUTED_VALUE"""),1.0)</f>
        <v>1</v>
      </c>
      <c r="G4238" s="6" t="str">
        <f>IFERROR(__xludf.DUMMYFUNCTION("""COMPUTED_VALUE"""),"Unit")</f>
        <v>Unit</v>
      </c>
      <c r="H4238" s="6" t="str">
        <f>IFERROR(__xludf.DUMMYFUNCTION("""COMPUTED_VALUE"""),"IDR")</f>
        <v>IDR</v>
      </c>
      <c r="I4238" s="6">
        <f>IFERROR(__xludf.DUMMYFUNCTION("""COMPUTED_VALUE"""),1.92E9)</f>
        <v>1920000000</v>
      </c>
      <c r="J4238" s="6">
        <f>IFERROR(__xludf.DUMMYFUNCTION("""COMPUTED_VALUE"""),1.92E9)</f>
        <v>1920000000</v>
      </c>
      <c r="K4238" s="57">
        <f>IFERROR(__xludf.DUMMYFUNCTION("""COMPUTED_VALUE"""),45919.0)</f>
        <v>45919</v>
      </c>
      <c r="L4238" s="6" t="str">
        <f>IFERROR(__xludf.DUMMYFUNCTION("""COMPUTED_VALUE"""),"FIP General")</f>
        <v>FIP General</v>
      </c>
      <c r="M4238" s="6" t="str">
        <f>IFERROR(__xludf.DUMMYFUNCTION("""COMPUTED_VALUE"""),"Mochammad Fadhillah Hakim,")</f>
        <v>Mochammad Fadhillah Hakim,</v>
      </c>
      <c r="N4238" s="6" t="str">
        <f>IFERROR(__xludf.DUMMYFUNCTION("""COMPUTED_VALUE"""),"FIP Engineering")</f>
        <v>FIP Engineering</v>
      </c>
      <c r="O4238" s="6" t="str">
        <f>IFERROR(__xludf.DUMMYFUNCTION("""COMPUTED_VALUE"""),"FIP-DOM-ENG-13402-BL25001-INA-000000")</f>
        <v>FIP-DOM-ENG-13402-BL25001-INA-000000</v>
      </c>
      <c r="P4238" s="6" t="str">
        <f>IFERROR(__xludf.DUMMYFUNCTION("""COMPUTED_VALUE"""),"PO Closed")</f>
        <v>PO Closed</v>
      </c>
      <c r="Q4238" s="6" t="str">
        <f>IFERROR(__xludf.DUMMYFUNCTION("""COMPUTED_VALUE"""),"GL2508057")</f>
        <v>GL2508057</v>
      </c>
      <c r="R4238" s="57">
        <f>IFERROR(__xludf.DUMMYFUNCTION("""COMPUTED_VALUE"""),45854.0)</f>
        <v>45854</v>
      </c>
      <c r="S4238" s="57">
        <f>IFERROR(__xludf.DUMMYFUNCTION("""COMPUTED_VALUE"""),45866.0)</f>
        <v>45866</v>
      </c>
      <c r="T4238" s="57">
        <f>IFERROR(__xludf.DUMMYFUNCTION("""COMPUTED_VALUE"""),46052.0)</f>
        <v>46052</v>
      </c>
    </row>
    <row r="4239">
      <c r="A4239" s="6" t="str">
        <f>IFERROR(__xludf.DUMMYFUNCTION("""COMPUTED_VALUE"""),"121703000-1")</f>
        <v>121703000-1</v>
      </c>
      <c r="B4239" s="6" t="str">
        <f>IFERROR(__xludf.DUMMYFUNCTION("""COMPUTED_VALUE"""),"121703000 - APPROVED")</f>
        <v>121703000 - APPROVED</v>
      </c>
      <c r="C4239" s="6">
        <f>IFERROR(__xludf.DUMMYFUNCTION("""COMPUTED_VALUE"""),1.0)</f>
        <v>1</v>
      </c>
      <c r="D4239" s="6" t="str">
        <f>IFERROR(__xludf.DUMMYFUNCTION("""COMPUTED_VALUE"""),"P-19899-00")</f>
        <v>P-19899-00</v>
      </c>
      <c r="E4239" s="6" t="str">
        <f>IFERROR(__xludf.DUMMYFUNCTION("""COMPUTED_VALUE"""),"General - Teflon Sheet 6 x 1000 x 1000mm; No Brand; -; 1 pc")</f>
        <v>General - Teflon Sheet 6 x 1000 x 1000mm; No Brand; -; 1 pc</v>
      </c>
      <c r="F4239" s="6">
        <f>IFERROR(__xludf.DUMMYFUNCTION("""COMPUTED_VALUE"""),1.0)</f>
        <v>1</v>
      </c>
      <c r="G4239" s="6" t="str">
        <f>IFERROR(__xludf.DUMMYFUNCTION("""COMPUTED_VALUE"""),"Pieces")</f>
        <v>Pieces</v>
      </c>
      <c r="H4239" s="6" t="str">
        <f>IFERROR(__xludf.DUMMYFUNCTION("""COMPUTED_VALUE"""),"IDR")</f>
        <v>IDR</v>
      </c>
      <c r="I4239" s="6">
        <f>IFERROR(__xludf.DUMMYFUNCTION("""COMPUTED_VALUE"""),2625000.0)</f>
        <v>2625000</v>
      </c>
      <c r="J4239" s="6">
        <f>IFERROR(__xludf.DUMMYFUNCTION("""COMPUTED_VALUE"""),2625000.0)</f>
        <v>2625000</v>
      </c>
      <c r="K4239" s="57">
        <f>IFERROR(__xludf.DUMMYFUNCTION("""COMPUTED_VALUE"""),45891.0)</f>
        <v>45891</v>
      </c>
      <c r="L4239" s="6" t="str">
        <f>IFERROR(__xludf.DUMMYFUNCTION("""COMPUTED_VALUE"""),"FIP Engineering")</f>
        <v>FIP Engineering</v>
      </c>
      <c r="M4239" s="6" t="str">
        <f>IFERROR(__xludf.DUMMYFUNCTION("""COMPUTED_VALUE"""),"Mochammad Fadhillah Hakim,")</f>
        <v>Mochammad Fadhillah Hakim,</v>
      </c>
      <c r="N4239" s="6" t="str">
        <f>IFERROR(__xludf.DUMMYFUNCTION("""COMPUTED_VALUE"""),"FIP Engineering")</f>
        <v>FIP Engineering</v>
      </c>
      <c r="O4239" s="6" t="str">
        <f>IFERROR(__xludf.DUMMYFUNCTION("""COMPUTED_VALUE"""),"FIP-DOM-000-11304-OS00001-INA-000000")</f>
        <v>FIP-DOM-000-11304-OS00001-INA-000000</v>
      </c>
      <c r="P4239" s="6" t="str">
        <f>IFERROR(__xludf.DUMMYFUNCTION("""COMPUTED_VALUE"""),"PO Closed")</f>
        <v>PO Closed</v>
      </c>
      <c r="Q4239" s="6" t="str">
        <f>IFERROR(__xludf.DUMMYFUNCTION("""COMPUTED_VALUE"""),"GL2507053")</f>
        <v>GL2507053</v>
      </c>
      <c r="R4239" s="57">
        <f>IFERROR(__xludf.DUMMYFUNCTION("""COMPUTED_VALUE"""),45854.0)</f>
        <v>45854</v>
      </c>
      <c r="S4239" s="57">
        <f>IFERROR(__xludf.DUMMYFUNCTION("""COMPUTED_VALUE"""),45855.0)</f>
        <v>45855</v>
      </c>
      <c r="T4239" s="57">
        <f>IFERROR(__xludf.DUMMYFUNCTION("""COMPUTED_VALUE"""),45891.0)</f>
        <v>45891</v>
      </c>
    </row>
    <row r="4240">
      <c r="A4240" s="6" t="str">
        <f>IFERROR(__xludf.DUMMYFUNCTION("""COMPUTED_VALUE"""),"121703015-1")</f>
        <v>121703015-1</v>
      </c>
      <c r="B4240" s="6" t="str">
        <f>IFERROR(__xludf.DUMMYFUNCTION("""COMPUTED_VALUE"""),"121703015 - APPROVED")</f>
        <v>121703015 - APPROVED</v>
      </c>
      <c r="C4240" s="6">
        <f>IFERROR(__xludf.DUMMYFUNCTION("""COMPUTED_VALUE"""),1.0)</f>
        <v>1</v>
      </c>
      <c r="D4240" s="6" t="str">
        <f>IFERROR(__xludf.DUMMYFUNCTION("""COMPUTED_VALUE"""),"P-11356-00")</f>
        <v>P-11356-00</v>
      </c>
      <c r="E4240" s="6" t="str">
        <f>IFERROR(__xludf.DUMMYFUNCTION("""COMPUTED_VALUE"""),"Roda Trolly ABUS 4"" ( 100 x 27 ) Without Breake")</f>
        <v>Roda Trolly ABUS 4" ( 100 x 27 ) Without Breake</v>
      </c>
      <c r="F4240" s="6">
        <f>IFERROR(__xludf.DUMMYFUNCTION("""COMPUTED_VALUE"""),2.0)</f>
        <v>2</v>
      </c>
      <c r="G4240" s="6" t="str">
        <f>IFERROR(__xludf.DUMMYFUNCTION("""COMPUTED_VALUE"""),"Pieces")</f>
        <v>Pieces</v>
      </c>
      <c r="H4240" s="6" t="str">
        <f>IFERROR(__xludf.DUMMYFUNCTION("""COMPUTED_VALUE"""),"IDR")</f>
        <v>IDR</v>
      </c>
      <c r="I4240" s="6">
        <f>IFERROR(__xludf.DUMMYFUNCTION("""COMPUTED_VALUE"""),451000.0)</f>
        <v>451000</v>
      </c>
      <c r="J4240" s="6">
        <f>IFERROR(__xludf.DUMMYFUNCTION("""COMPUTED_VALUE"""),902000.0)</f>
        <v>902000</v>
      </c>
      <c r="K4240" s="57">
        <f>IFERROR(__xludf.DUMMYFUNCTION("""COMPUTED_VALUE"""),45891.0)</f>
        <v>45891</v>
      </c>
      <c r="L4240" s="6" t="str">
        <f>IFERROR(__xludf.DUMMYFUNCTION("""COMPUTED_VALUE"""),"FIP Engineering")</f>
        <v>FIP Engineering</v>
      </c>
      <c r="M4240" s="6" t="str">
        <f>IFERROR(__xludf.DUMMYFUNCTION("""COMPUTED_VALUE"""),"Mochammad Fadhillah Hakim,")</f>
        <v>Mochammad Fadhillah Hakim,</v>
      </c>
      <c r="N4240" s="6" t="str">
        <f>IFERROR(__xludf.DUMMYFUNCTION("""COMPUTED_VALUE"""),"FIP Engineering")</f>
        <v>FIP Engineering</v>
      </c>
      <c r="O4240" s="6" t="str">
        <f>IFERROR(__xludf.DUMMYFUNCTION("""COMPUTED_VALUE"""),"FIP-DOM-000-11304-OS00001-INA-000000")</f>
        <v>FIP-DOM-000-11304-OS00001-INA-000000</v>
      </c>
      <c r="P4240" s="6" t="str">
        <f>IFERROR(__xludf.DUMMYFUNCTION("""COMPUTED_VALUE"""),"PO Closed")</f>
        <v>PO Closed</v>
      </c>
      <c r="Q4240" s="6" t="str">
        <f>IFERROR(__xludf.DUMMYFUNCTION("""COMPUTED_VALUE"""),"GL2508426")</f>
        <v>GL2508426</v>
      </c>
      <c r="R4240" s="57">
        <f>IFERROR(__xludf.DUMMYFUNCTION("""COMPUTED_VALUE"""),45856.0)</f>
        <v>45856</v>
      </c>
      <c r="S4240" s="57">
        <f>IFERROR(__xludf.DUMMYFUNCTION("""COMPUTED_VALUE"""),45860.0)</f>
        <v>45860</v>
      </c>
      <c r="T4240" s="57">
        <f>IFERROR(__xludf.DUMMYFUNCTION("""COMPUTED_VALUE"""),45912.0)</f>
        <v>45912</v>
      </c>
    </row>
    <row r="4241">
      <c r="A4241" s="6" t="str">
        <f>IFERROR(__xludf.DUMMYFUNCTION("""COMPUTED_VALUE"""),"121703019-1")</f>
        <v>121703019-1</v>
      </c>
      <c r="B4241" s="6" t="str">
        <f>IFERROR(__xludf.DUMMYFUNCTION("""COMPUTED_VALUE"""),"121703019 - APPROVED")</f>
        <v>121703019 - APPROVED</v>
      </c>
      <c r="C4241" s="6">
        <f>IFERROR(__xludf.DUMMYFUNCTION("""COMPUTED_VALUE"""),1.0)</f>
        <v>1</v>
      </c>
      <c r="D4241" s="6" t="str">
        <f>IFERROR(__xludf.DUMMYFUNCTION("""COMPUTED_VALUE"""),"T-20002-00")</f>
        <v>T-20002-00</v>
      </c>
      <c r="E4241" s="6" t="str">
        <f>IFERROR(__xludf.DUMMYFUNCTION("""COMPUTED_VALUE"""),"Jasa Perbaikan Alat Lab - Pembuatan Drain Dissolution Tester")</f>
        <v>Jasa Perbaikan Alat Lab - Pembuatan Drain Dissolution Tester</v>
      </c>
      <c r="F4241" s="6">
        <f>IFERROR(__xludf.DUMMYFUNCTION("""COMPUTED_VALUE"""),1.0)</f>
        <v>1</v>
      </c>
      <c r="G4241" s="6" t="str">
        <f>IFERROR(__xludf.DUMMYFUNCTION("""COMPUTED_VALUE"""),"Pieces")</f>
        <v>Pieces</v>
      </c>
      <c r="H4241" s="6" t="str">
        <f>IFERROR(__xludf.DUMMYFUNCTION("""COMPUTED_VALUE"""),"IDR")</f>
        <v>IDR</v>
      </c>
      <c r="I4241" s="6">
        <f>IFERROR(__xludf.DUMMYFUNCTION("""COMPUTED_VALUE"""),1.75409E7)</f>
        <v>17540900</v>
      </c>
      <c r="J4241" s="6">
        <f>IFERROR(__xludf.DUMMYFUNCTION("""COMPUTED_VALUE"""),1.75409E7)</f>
        <v>17540900</v>
      </c>
      <c r="K4241" s="57">
        <f>IFERROR(__xludf.DUMMYFUNCTION("""COMPUTED_VALUE"""),45891.0)</f>
        <v>45891</v>
      </c>
      <c r="L4241" s="6" t="str">
        <f>IFERROR(__xludf.DUMMYFUNCTION("""COMPUTED_VALUE"""),"FIP General")</f>
        <v>FIP General</v>
      </c>
      <c r="M4241" s="6" t="str">
        <f>IFERROR(__xludf.DUMMYFUNCTION("""COMPUTED_VALUE"""),"Mochammad Fadhillah Hakim,")</f>
        <v>Mochammad Fadhillah Hakim,</v>
      </c>
      <c r="N4241" s="6" t="str">
        <f>IFERROR(__xludf.DUMMYFUNCTION("""COMPUTED_VALUE"""),"FIP Engineering")</f>
        <v>FIP Engineering</v>
      </c>
      <c r="O4241" s="6" t="str">
        <f>IFERROR(__xludf.DUMMYFUNCTION("""COMPUTED_VALUE"""),"FIP-DOM-ENG-51505-0000000-INA-000000")</f>
        <v>FIP-DOM-ENG-51505-0000000-INA-000000</v>
      </c>
      <c r="P4241" s="6" t="str">
        <f>IFERROR(__xludf.DUMMYFUNCTION("""COMPUTED_VALUE"""),"PO Closed")</f>
        <v>PO Closed</v>
      </c>
      <c r="Q4241" s="6" t="str">
        <f>IFERROR(__xludf.DUMMYFUNCTION("""COMPUTED_VALUE"""),"GL2508015")</f>
        <v>GL2508015</v>
      </c>
      <c r="R4241" s="57">
        <f>IFERROR(__xludf.DUMMYFUNCTION("""COMPUTED_VALUE"""),45859.0)</f>
        <v>45859</v>
      </c>
      <c r="S4241" s="57">
        <f>IFERROR(__xludf.DUMMYFUNCTION("""COMPUTED_VALUE"""),45860.0)</f>
        <v>45860</v>
      </c>
      <c r="T4241" s="57">
        <f>IFERROR(__xludf.DUMMYFUNCTION("""COMPUTED_VALUE"""),45891.0)</f>
        <v>45891</v>
      </c>
    </row>
    <row r="4242">
      <c r="A4242" s="6" t="str">
        <f>IFERROR(__xludf.DUMMYFUNCTION("""COMPUTED_VALUE"""),"121703020-1")</f>
        <v>121703020-1</v>
      </c>
      <c r="B4242" s="6" t="str">
        <f>IFERROR(__xludf.DUMMYFUNCTION("""COMPUTED_VALUE"""),"121703020 - APPROVED")</f>
        <v>121703020 - APPROVED</v>
      </c>
      <c r="C4242" s="6">
        <f>IFERROR(__xludf.DUMMYFUNCTION("""COMPUTED_VALUE"""),1.0)</f>
        <v>1</v>
      </c>
      <c r="D4242" s="6" t="str">
        <f>IFERROR(__xludf.DUMMYFUNCTION("""COMPUTED_VALUE"""),"S-11446-00")</f>
        <v>S-11446-00</v>
      </c>
      <c r="E4242" s="6" t="str">
        <f>IFERROR(__xludf.DUMMYFUNCTION("""COMPUTED_VALUE"""),"Tangga plastik/Step Stool; Ace; Grey 297855; pack size per pcs - Tangga Lipat Aluminium 8 Layer 220cm merk AMECA")</f>
        <v>Tangga plastik/Step Stool; Ace; Grey 297855; pack size per pcs - Tangga Lipat Aluminium 8 Layer 220cm merk AMECA</v>
      </c>
      <c r="F4242" s="6">
        <f>IFERROR(__xludf.DUMMYFUNCTION("""COMPUTED_VALUE"""),2.0)</f>
        <v>2</v>
      </c>
      <c r="G4242" s="6" t="str">
        <f>IFERROR(__xludf.DUMMYFUNCTION("""COMPUTED_VALUE"""),"Pieces")</f>
        <v>Pieces</v>
      </c>
      <c r="H4242" s="6" t="str">
        <f>IFERROR(__xludf.DUMMYFUNCTION("""COMPUTED_VALUE"""),"IDR")</f>
        <v>IDR</v>
      </c>
      <c r="I4242" s="6">
        <f>IFERROR(__xludf.DUMMYFUNCTION("""COMPUTED_VALUE"""),950000.0)</f>
        <v>950000</v>
      </c>
      <c r="J4242" s="6">
        <f>IFERROR(__xludf.DUMMYFUNCTION("""COMPUTED_VALUE"""),1900000.0)</f>
        <v>1900000</v>
      </c>
      <c r="K4242" s="57">
        <f>IFERROR(__xludf.DUMMYFUNCTION("""COMPUTED_VALUE"""),45891.0)</f>
        <v>45891</v>
      </c>
      <c r="L4242" s="6" t="str">
        <f>IFERROR(__xludf.DUMMYFUNCTION("""COMPUTED_VALUE"""),"FIP General")</f>
        <v>FIP General</v>
      </c>
      <c r="M4242" s="6" t="str">
        <f>IFERROR(__xludf.DUMMYFUNCTION("""COMPUTED_VALUE"""),"Mochammad Fadhillah Hakim,")</f>
        <v>Mochammad Fadhillah Hakim,</v>
      </c>
      <c r="N4242" s="6" t="str">
        <f>IFERROR(__xludf.DUMMYFUNCTION("""COMPUTED_VALUE"""),"FIP Engineering")</f>
        <v>FIP Engineering</v>
      </c>
      <c r="O4242" s="6" t="str">
        <f>IFERROR(__xludf.DUMMYFUNCTION("""COMPUTED_VALUE"""),"FIP-DOM-ENG-51404-0000000-INA-000000")</f>
        <v>FIP-DOM-ENG-51404-0000000-INA-000000</v>
      </c>
      <c r="P4242" s="6" t="str">
        <f>IFERROR(__xludf.DUMMYFUNCTION("""COMPUTED_VALUE"""),"PO Closed")</f>
        <v>PO Closed</v>
      </c>
      <c r="Q4242" s="6" t="str">
        <f>IFERROR(__xludf.DUMMYFUNCTION("""COMPUTED_VALUE"""),"GL2510024")</f>
        <v>GL2510024</v>
      </c>
      <c r="R4242" s="57">
        <f>IFERROR(__xludf.DUMMYFUNCTION("""COMPUTED_VALUE"""),45859.0)</f>
        <v>45859</v>
      </c>
      <c r="S4242" s="57">
        <f>IFERROR(__xludf.DUMMYFUNCTION("""COMPUTED_VALUE"""),45860.0)</f>
        <v>45860</v>
      </c>
      <c r="T4242" s="57">
        <f>IFERROR(__xludf.DUMMYFUNCTION("""COMPUTED_VALUE"""),45954.0)</f>
        <v>45954</v>
      </c>
    </row>
    <row r="4243">
      <c r="A4243" s="6" t="str">
        <f>IFERROR(__xludf.DUMMYFUNCTION("""COMPUTED_VALUE"""),"121703029-1")</f>
        <v>121703029-1</v>
      </c>
      <c r="B4243" s="6" t="str">
        <f>IFERROR(__xludf.DUMMYFUNCTION("""COMPUTED_VALUE"""),"121703029 - APPROVED")</f>
        <v>121703029 - APPROVED</v>
      </c>
      <c r="C4243" s="6">
        <f>IFERROR(__xludf.DUMMYFUNCTION("""COMPUTED_VALUE"""),1.0)</f>
        <v>1</v>
      </c>
      <c r="D4243" s="6" t="str">
        <f>IFERROR(__xludf.DUMMYFUNCTION("""COMPUTED_VALUE"""),"S-60050-00")</f>
        <v>S-60050-00</v>
      </c>
      <c r="E4243" s="6" t="str">
        <f>IFERROR(__xludf.DUMMYFUNCTION("""COMPUTED_VALUE"""),"Jasa Perbaikan dan Pemeliharaan Mesin Produksi; ; ; - Perbaikan Kompresor CC Retain Sample")</f>
        <v>Jasa Perbaikan dan Pemeliharaan Mesin Produksi; ; ; - Perbaikan Kompresor CC Retain Sample</v>
      </c>
      <c r="F4243" s="6">
        <f>IFERROR(__xludf.DUMMYFUNCTION("""COMPUTED_VALUE"""),1.0)</f>
        <v>1</v>
      </c>
      <c r="G4243" s="6" t="str">
        <f>IFERROR(__xludf.DUMMYFUNCTION("""COMPUTED_VALUE"""),"Pieces")</f>
        <v>Pieces</v>
      </c>
      <c r="H4243" s="6" t="str">
        <f>IFERROR(__xludf.DUMMYFUNCTION("""COMPUTED_VALUE"""),"IDR")</f>
        <v>IDR</v>
      </c>
      <c r="I4243" s="6">
        <f>IFERROR(__xludf.DUMMYFUNCTION("""COMPUTED_VALUE"""),9550000.0)</f>
        <v>9550000</v>
      </c>
      <c r="J4243" s="6">
        <f>IFERROR(__xludf.DUMMYFUNCTION("""COMPUTED_VALUE"""),9550000.0)</f>
        <v>9550000</v>
      </c>
      <c r="K4243" s="57">
        <f>IFERROR(__xludf.DUMMYFUNCTION("""COMPUTED_VALUE"""),45863.0)</f>
        <v>45863</v>
      </c>
      <c r="L4243" s="6" t="str">
        <f>IFERROR(__xludf.DUMMYFUNCTION("""COMPUTED_VALUE"""),"FIP General")</f>
        <v>FIP General</v>
      </c>
      <c r="M4243" s="6" t="str">
        <f>IFERROR(__xludf.DUMMYFUNCTION("""COMPUTED_VALUE"""),"Mochammad Fadhillah Hakim,")</f>
        <v>Mochammad Fadhillah Hakim,</v>
      </c>
      <c r="N4243" s="6" t="str">
        <f>IFERROR(__xludf.DUMMYFUNCTION("""COMPUTED_VALUE"""),"FIP Engineering")</f>
        <v>FIP Engineering</v>
      </c>
      <c r="O4243" s="6" t="str">
        <f>IFERROR(__xludf.DUMMYFUNCTION("""COMPUTED_VALUE"""),"FIP-DOM-ENG-51504-0000000-INA-000000")</f>
        <v>FIP-DOM-ENG-51504-0000000-INA-000000</v>
      </c>
      <c r="P4243" s="6" t="str">
        <f>IFERROR(__xludf.DUMMYFUNCTION("""COMPUTED_VALUE"""),"PO Closed")</f>
        <v>PO Closed</v>
      </c>
      <c r="Q4243" s="6" t="str">
        <f>IFERROR(__xludf.DUMMYFUNCTION("""COMPUTED_VALUE"""),"GL2508039")</f>
        <v>GL2508039</v>
      </c>
      <c r="R4243" s="57">
        <f>IFERROR(__xludf.DUMMYFUNCTION("""COMPUTED_VALUE"""),45861.0)</f>
        <v>45861</v>
      </c>
      <c r="S4243" s="57">
        <f>IFERROR(__xludf.DUMMYFUNCTION("""COMPUTED_VALUE"""),45862.0)</f>
        <v>45862</v>
      </c>
      <c r="T4243" s="57">
        <f>IFERROR(__xludf.DUMMYFUNCTION("""COMPUTED_VALUE"""),45925.0)</f>
        <v>45925</v>
      </c>
    </row>
    <row r="4244">
      <c r="A4244" s="6" t="str">
        <f>IFERROR(__xludf.DUMMYFUNCTION("""COMPUTED_VALUE"""),"121703030-1")</f>
        <v>121703030-1</v>
      </c>
      <c r="B4244" s="6" t="str">
        <f>IFERROR(__xludf.DUMMYFUNCTION("""COMPUTED_VALUE"""),"121703030 - APPROVED")</f>
        <v>121703030 - APPROVED</v>
      </c>
      <c r="C4244" s="6">
        <f>IFERROR(__xludf.DUMMYFUNCTION("""COMPUTED_VALUE"""),1.0)</f>
        <v>1</v>
      </c>
      <c r="D4244" s="6" t="str">
        <f>IFERROR(__xludf.DUMMYFUNCTION("""COMPUTED_VALUE"""),"P-13370-00")</f>
        <v>P-13370-00</v>
      </c>
      <c r="E4244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F4244" s="6">
        <f>IFERROR(__xludf.DUMMYFUNCTION("""COMPUTED_VALUE"""),5.0)</f>
        <v>5</v>
      </c>
      <c r="G4244" s="6" t="str">
        <f>IFERROR(__xludf.DUMMYFUNCTION("""COMPUTED_VALUE"""),"Unit")</f>
        <v>Unit</v>
      </c>
      <c r="H4244" s="6" t="str">
        <f>IFERROR(__xludf.DUMMYFUNCTION("""COMPUTED_VALUE"""),"IDR")</f>
        <v>IDR</v>
      </c>
      <c r="I4244" s="6">
        <f>IFERROR(__xludf.DUMMYFUNCTION("""COMPUTED_VALUE"""),4176900.0)</f>
        <v>4176900</v>
      </c>
      <c r="J4244" s="6">
        <f>IFERROR(__xludf.DUMMYFUNCTION("""COMPUTED_VALUE"""),2.08845E7)</f>
        <v>20884500</v>
      </c>
      <c r="K4244" s="57">
        <f>IFERROR(__xludf.DUMMYFUNCTION("""COMPUTED_VALUE"""),45898.0)</f>
        <v>45898</v>
      </c>
      <c r="L4244" s="6" t="str">
        <f>IFERROR(__xludf.DUMMYFUNCTION("""COMPUTED_VALUE"""),"FIP Engineering")</f>
        <v>FIP Engineering</v>
      </c>
      <c r="M4244" s="6" t="str">
        <f>IFERROR(__xludf.DUMMYFUNCTION("""COMPUTED_VALUE"""),"Mochammad Fadhillah Hakim,")</f>
        <v>Mochammad Fadhillah Hakim,</v>
      </c>
      <c r="N4244" s="6" t="str">
        <f>IFERROR(__xludf.DUMMYFUNCTION("""COMPUTED_VALUE"""),"FIP Engineering")</f>
        <v>FIP Engineering</v>
      </c>
      <c r="O4244" s="6" t="str">
        <f>IFERROR(__xludf.DUMMYFUNCTION("""COMPUTED_VALUE"""),"FIP-DOM-000-11304-OS00001-INA-000000")</f>
        <v>FIP-DOM-000-11304-OS00001-INA-000000</v>
      </c>
      <c r="P4244" s="6" t="str">
        <f>IFERROR(__xludf.DUMMYFUNCTION("""COMPUTED_VALUE"""),"PO Closed")</f>
        <v>PO Closed</v>
      </c>
      <c r="Q4244" s="6" t="str">
        <f>IFERROR(__xludf.DUMMYFUNCTION("""COMPUTED_VALUE"""),"GL2508005")</f>
        <v>GL2508005</v>
      </c>
      <c r="R4244" s="57">
        <f>IFERROR(__xludf.DUMMYFUNCTION("""COMPUTED_VALUE"""),45861.0)</f>
        <v>45861</v>
      </c>
      <c r="S4244" s="57">
        <f>IFERROR(__xludf.DUMMYFUNCTION("""COMPUTED_VALUE"""),45869.0)</f>
        <v>45869</v>
      </c>
      <c r="T4244" s="57">
        <f>IFERROR(__xludf.DUMMYFUNCTION("""COMPUTED_VALUE"""),46006.0)</f>
        <v>46006</v>
      </c>
    </row>
    <row r="4245">
      <c r="A4245" s="6" t="str">
        <f>IFERROR(__xludf.DUMMYFUNCTION("""COMPUTED_VALUE"""),"121703031-1")</f>
        <v>121703031-1</v>
      </c>
      <c r="B4245" s="6" t="str">
        <f>IFERROR(__xludf.DUMMYFUNCTION("""COMPUTED_VALUE"""),"121703031 - APPROVED")</f>
        <v>121703031 - APPROVED</v>
      </c>
      <c r="C4245" s="6">
        <f>IFERROR(__xludf.DUMMYFUNCTION("""COMPUTED_VALUE"""),1.0)</f>
        <v>1</v>
      </c>
      <c r="D4245" s="6" t="str">
        <f>IFERROR(__xludf.DUMMYFUNCTION("""COMPUTED_VALUE"""),"P-53133-00")</f>
        <v>P-53133-00</v>
      </c>
      <c r="E4245" s="6" t="str">
        <f>IFERROR(__xludf.DUMMYFUNCTION("""COMPUTED_VALUE"""),"General - Kabel Belden AWG 22 2 Pair; Belden; 8723; 305m/roll")</f>
        <v>General - Kabel Belden AWG 22 2 Pair; Belden; 8723; 305m/roll</v>
      </c>
      <c r="F4245" s="6">
        <f>IFERROR(__xludf.DUMMYFUNCTION("""COMPUTED_VALUE"""),4.0)</f>
        <v>4</v>
      </c>
      <c r="G4245" s="6" t="str">
        <f>IFERROR(__xludf.DUMMYFUNCTION("""COMPUTED_VALUE"""),"Roll")</f>
        <v>Roll</v>
      </c>
      <c r="H4245" s="6" t="str">
        <f>IFERROR(__xludf.DUMMYFUNCTION("""COMPUTED_VALUE"""),"IDR")</f>
        <v>IDR</v>
      </c>
      <c r="I4245" s="6">
        <f>IFERROR(__xludf.DUMMYFUNCTION("""COMPUTED_VALUE"""),3400000.0)</f>
        <v>3400000</v>
      </c>
      <c r="J4245" s="6">
        <f>IFERROR(__xludf.DUMMYFUNCTION("""COMPUTED_VALUE"""),1.36E7)</f>
        <v>13600000</v>
      </c>
      <c r="K4245" s="57">
        <f>IFERROR(__xludf.DUMMYFUNCTION("""COMPUTED_VALUE"""),45898.0)</f>
        <v>45898</v>
      </c>
      <c r="L4245" s="6" t="str">
        <f>IFERROR(__xludf.DUMMYFUNCTION("""COMPUTED_VALUE"""),"FIP Engineering")</f>
        <v>FIP Engineering</v>
      </c>
      <c r="M4245" s="6" t="str">
        <f>IFERROR(__xludf.DUMMYFUNCTION("""COMPUTED_VALUE"""),"Mochammad Fadhillah Hakim,")</f>
        <v>Mochammad Fadhillah Hakim,</v>
      </c>
      <c r="N4245" s="6" t="str">
        <f>IFERROR(__xludf.DUMMYFUNCTION("""COMPUTED_VALUE"""),"FIP Engineering")</f>
        <v>FIP Engineering</v>
      </c>
      <c r="O4245" s="6" t="str">
        <f>IFERROR(__xludf.DUMMYFUNCTION("""COMPUTED_VALUE"""),"FIP-DOM-000-11304-OS00001-INA-000000")</f>
        <v>FIP-DOM-000-11304-OS00001-INA-000000</v>
      </c>
      <c r="P4245" s="6" t="str">
        <f>IFERROR(__xludf.DUMMYFUNCTION("""COMPUTED_VALUE"""),"PO Closed")</f>
        <v>PO Closed</v>
      </c>
      <c r="Q4245" s="6" t="str">
        <f>IFERROR(__xludf.DUMMYFUNCTION("""COMPUTED_VALUE"""),"GL2508423")</f>
        <v>GL2508423</v>
      </c>
      <c r="R4245" s="57">
        <f>IFERROR(__xludf.DUMMYFUNCTION("""COMPUTED_VALUE"""),45861.0)</f>
        <v>45861</v>
      </c>
      <c r="S4245" s="57">
        <f>IFERROR(__xludf.DUMMYFUNCTION("""COMPUTED_VALUE"""),45862.0)</f>
        <v>45862</v>
      </c>
      <c r="T4245" s="57">
        <f>IFERROR(__xludf.DUMMYFUNCTION("""COMPUTED_VALUE"""),45898.0)</f>
        <v>45898</v>
      </c>
    </row>
    <row r="4246">
      <c r="A4246" s="6" t="str">
        <f>IFERROR(__xludf.DUMMYFUNCTION("""COMPUTED_VALUE"""),"121703032-1")</f>
        <v>121703032-1</v>
      </c>
      <c r="B4246" s="6" t="str">
        <f>IFERROR(__xludf.DUMMYFUNCTION("""COMPUTED_VALUE"""),"121703032 - APPROVED")</f>
        <v>121703032 - APPROVED</v>
      </c>
      <c r="C4246" s="6">
        <f>IFERROR(__xludf.DUMMYFUNCTION("""COMPUTED_VALUE"""),1.0)</f>
        <v>1</v>
      </c>
      <c r="D4246" s="6" t="str">
        <f>IFERROR(__xludf.DUMMYFUNCTION("""COMPUTED_VALUE"""),"Q-10805-00")</f>
        <v>Q-10805-00</v>
      </c>
      <c r="E4246" s="6" t="str">
        <f>IFERROR(__xludf.DUMMYFUNCTION("""COMPUTED_VALUE"""),"Multipox MX-98-2K SB White;Propan;Type White;pack size per 20 kg pail")</f>
        <v>Multipox MX-98-2K SB White;Propan;Type White;pack size per 20 kg pail</v>
      </c>
      <c r="F4246" s="6">
        <f>IFERROR(__xludf.DUMMYFUNCTION("""COMPUTED_VALUE"""),1.0)</f>
        <v>1</v>
      </c>
      <c r="G4246" s="6" t="str">
        <f>IFERROR(__xludf.DUMMYFUNCTION("""COMPUTED_VALUE"""),"Pail")</f>
        <v>Pail</v>
      </c>
      <c r="H4246" s="6" t="str">
        <f>IFERROR(__xludf.DUMMYFUNCTION("""COMPUTED_VALUE"""),"IDR")</f>
        <v>IDR</v>
      </c>
      <c r="I4246" s="6">
        <f>IFERROR(__xludf.DUMMYFUNCTION("""COMPUTED_VALUE"""),1506306.0)</f>
        <v>1506306</v>
      </c>
      <c r="J4246" s="6">
        <f>IFERROR(__xludf.DUMMYFUNCTION("""COMPUTED_VALUE"""),1506306.0)</f>
        <v>1506306</v>
      </c>
      <c r="K4246" s="57">
        <f>IFERROR(__xludf.DUMMYFUNCTION("""COMPUTED_VALUE"""),45898.0)</f>
        <v>45898</v>
      </c>
      <c r="L4246" s="6" t="str">
        <f>IFERROR(__xludf.DUMMYFUNCTION("""COMPUTED_VALUE"""),"FIP Engineering")</f>
        <v>FIP Engineering</v>
      </c>
      <c r="M4246" s="6" t="str">
        <f>IFERROR(__xludf.DUMMYFUNCTION("""COMPUTED_VALUE"""),"Mochammad Fadhillah Hakim,")</f>
        <v>Mochammad Fadhillah Hakim,</v>
      </c>
      <c r="N4246" s="6" t="str">
        <f>IFERROR(__xludf.DUMMYFUNCTION("""COMPUTED_VALUE"""),"FIP Engineering")</f>
        <v>FIP Engineering</v>
      </c>
      <c r="O4246" s="6" t="str">
        <f>IFERROR(__xludf.DUMMYFUNCTION("""COMPUTED_VALUE"""),"FIP-DOM-000-11304-OS00001-INA-000000")</f>
        <v>FIP-DOM-000-11304-OS00001-INA-000000</v>
      </c>
      <c r="P4246" s="6" t="str">
        <f>IFERROR(__xludf.DUMMYFUNCTION("""COMPUTED_VALUE"""),"PO Closed")</f>
        <v>PO Closed</v>
      </c>
      <c r="Q4246" s="6" t="str">
        <f>IFERROR(__xludf.DUMMYFUNCTION("""COMPUTED_VALUE"""),"GL2508024")</f>
        <v>GL2508024</v>
      </c>
      <c r="R4246" s="57">
        <f>IFERROR(__xludf.DUMMYFUNCTION("""COMPUTED_VALUE"""),45861.0)</f>
        <v>45861</v>
      </c>
      <c r="S4246" s="57">
        <f>IFERROR(__xludf.DUMMYFUNCTION("""COMPUTED_VALUE"""),45862.0)</f>
        <v>45862</v>
      </c>
      <c r="T4246" s="57">
        <f>IFERROR(__xludf.DUMMYFUNCTION("""COMPUTED_VALUE"""),45930.0)</f>
        <v>45930</v>
      </c>
    </row>
    <row r="4247">
      <c r="A4247" s="6" t="str">
        <f>IFERROR(__xludf.DUMMYFUNCTION("""COMPUTED_VALUE"""),"121703033-1")</f>
        <v>121703033-1</v>
      </c>
      <c r="B4247" s="6" t="str">
        <f>IFERROR(__xludf.DUMMYFUNCTION("""COMPUTED_VALUE"""),"121703033 - APPROVED")</f>
        <v>121703033 - APPROVED</v>
      </c>
      <c r="C4247" s="6">
        <f>IFERROR(__xludf.DUMMYFUNCTION("""COMPUTED_VALUE"""),1.0)</f>
        <v>1</v>
      </c>
      <c r="D4247" s="6" t="str">
        <f>IFERROR(__xludf.DUMMYFUNCTION("""COMPUTED_VALUE"""),"O-52859-00")</f>
        <v>O-52859-00</v>
      </c>
      <c r="E4247" s="6" t="str">
        <f>IFERROR(__xludf.DUMMYFUNCTION("""COMPUTED_VALUE"""),"Temperature Controller - TK4S- 24RN 100-240 VAC AUTONICS; ; ;")</f>
        <v>Temperature Controller - TK4S- 24RN 100-240 VAC AUTONICS; ; ;</v>
      </c>
      <c r="F4247" s="6">
        <f>IFERROR(__xludf.DUMMYFUNCTION("""COMPUTED_VALUE"""),4.0)</f>
        <v>4</v>
      </c>
      <c r="G4247" s="6" t="str">
        <f>IFERROR(__xludf.DUMMYFUNCTION("""COMPUTED_VALUE"""),"Pieces")</f>
        <v>Pieces</v>
      </c>
      <c r="H4247" s="6" t="str">
        <f>IFERROR(__xludf.DUMMYFUNCTION("""COMPUTED_VALUE"""),"IDR")</f>
        <v>IDR</v>
      </c>
      <c r="I4247" s="6">
        <f>IFERROR(__xludf.DUMMYFUNCTION("""COMPUTED_VALUE"""),800100.0)</f>
        <v>800100</v>
      </c>
      <c r="J4247" s="6">
        <f>IFERROR(__xludf.DUMMYFUNCTION("""COMPUTED_VALUE"""),3200400.0)</f>
        <v>3200400</v>
      </c>
      <c r="K4247" s="57">
        <f>IFERROR(__xludf.DUMMYFUNCTION("""COMPUTED_VALUE"""),45898.0)</f>
        <v>45898</v>
      </c>
      <c r="L4247" s="6" t="str">
        <f>IFERROR(__xludf.DUMMYFUNCTION("""COMPUTED_VALUE"""),"FIP Engineering")</f>
        <v>FIP Engineering</v>
      </c>
      <c r="M4247" s="6" t="str">
        <f>IFERROR(__xludf.DUMMYFUNCTION("""COMPUTED_VALUE"""),"Mochammad Fadhillah Hakim,")</f>
        <v>Mochammad Fadhillah Hakim,</v>
      </c>
      <c r="N4247" s="6" t="str">
        <f>IFERROR(__xludf.DUMMYFUNCTION("""COMPUTED_VALUE"""),"FIP Engineering")</f>
        <v>FIP Engineering</v>
      </c>
      <c r="O4247" s="6" t="str">
        <f>IFERROR(__xludf.DUMMYFUNCTION("""COMPUTED_VALUE"""),"FIP-DOM-000-11304-OS00001-INA-000000")</f>
        <v>FIP-DOM-000-11304-OS00001-INA-000000</v>
      </c>
      <c r="P4247" s="6" t="str">
        <f>IFERROR(__xludf.DUMMYFUNCTION("""COMPUTED_VALUE"""),"PO Closed")</f>
        <v>PO Closed</v>
      </c>
      <c r="Q4247" s="6" t="str">
        <f>IFERROR(__xludf.DUMMYFUNCTION("""COMPUTED_VALUE"""),"GL2508422")</f>
        <v>GL2508422</v>
      </c>
      <c r="R4247" s="57">
        <f>IFERROR(__xludf.DUMMYFUNCTION("""COMPUTED_VALUE"""),45861.0)</f>
        <v>45861</v>
      </c>
      <c r="S4247" s="57">
        <f>IFERROR(__xludf.DUMMYFUNCTION("""COMPUTED_VALUE"""),45862.0)</f>
        <v>45862</v>
      </c>
      <c r="T4247" s="57">
        <f>IFERROR(__xludf.DUMMYFUNCTION("""COMPUTED_VALUE"""),45930.0)</f>
        <v>45930</v>
      </c>
    </row>
    <row r="4248">
      <c r="A4248" s="6" t="str">
        <f>IFERROR(__xludf.DUMMYFUNCTION("""COMPUTED_VALUE"""),"121703035-1")</f>
        <v>121703035-1</v>
      </c>
      <c r="B4248" s="6" t="str">
        <f>IFERROR(__xludf.DUMMYFUNCTION("""COMPUTED_VALUE"""),"121703035 - APPROVED")</f>
        <v>121703035 - APPROVED</v>
      </c>
      <c r="C4248" s="6">
        <f>IFERROR(__xludf.DUMMYFUNCTION("""COMPUTED_VALUE"""),1.0)</f>
        <v>1</v>
      </c>
      <c r="D4248" s="6" t="str">
        <f>IFERROR(__xludf.DUMMYFUNCTION("""COMPUTED_VALUE"""),"Q-10510-00")</f>
        <v>Q-10510-00</v>
      </c>
      <c r="E4248" s="6" t="str">
        <f>IFERROR(__xludf.DUMMYFUNCTION("""COMPUTED_VALUE"""),"Junction Box Plastik 12x12x10 cm; ; ;")</f>
        <v>Junction Box Plastik 12x12x10 cm; ; ;</v>
      </c>
      <c r="F4248" s="6">
        <f>IFERROR(__xludf.DUMMYFUNCTION("""COMPUTED_VALUE"""),4.0)</f>
        <v>4</v>
      </c>
      <c r="G4248" s="6" t="str">
        <f>IFERROR(__xludf.DUMMYFUNCTION("""COMPUTED_VALUE"""),"Pieces")</f>
        <v>Pieces</v>
      </c>
      <c r="H4248" s="6" t="str">
        <f>IFERROR(__xludf.DUMMYFUNCTION("""COMPUTED_VALUE"""),"IDR")</f>
        <v>IDR</v>
      </c>
      <c r="I4248" s="6">
        <f>IFERROR(__xludf.DUMMYFUNCTION("""COMPUTED_VALUE"""),133617.0)</f>
        <v>133617</v>
      </c>
      <c r="J4248" s="6">
        <f>IFERROR(__xludf.DUMMYFUNCTION("""COMPUTED_VALUE"""),534468.0)</f>
        <v>534468</v>
      </c>
      <c r="K4248" s="57">
        <f>IFERROR(__xludf.DUMMYFUNCTION("""COMPUTED_VALUE"""),45898.0)</f>
        <v>45898</v>
      </c>
      <c r="L4248" s="6" t="str">
        <f>IFERROR(__xludf.DUMMYFUNCTION("""COMPUTED_VALUE"""),"FIP General")</f>
        <v>FIP General</v>
      </c>
      <c r="M4248" s="6" t="str">
        <f>IFERROR(__xludf.DUMMYFUNCTION("""COMPUTED_VALUE"""),"Mochammad Fadhillah Hakim,")</f>
        <v>Mochammad Fadhillah Hakim,</v>
      </c>
      <c r="N4248" s="6" t="str">
        <f>IFERROR(__xludf.DUMMYFUNCTION("""COMPUTED_VALUE"""),"FIP Engineering")</f>
        <v>FIP Engineering</v>
      </c>
      <c r="O4248" s="6" t="str">
        <f>IFERROR(__xludf.DUMMYFUNCTION("""COMPUTED_VALUE"""),"FIP-DOM-ENG-51502-0000000-INA-000000")</f>
        <v>FIP-DOM-ENG-51502-0000000-INA-000000</v>
      </c>
      <c r="P4248" s="6" t="str">
        <f>IFERROR(__xludf.DUMMYFUNCTION("""COMPUTED_VALUE"""),"PO Closed")</f>
        <v>PO Closed</v>
      </c>
      <c r="Q4248" s="6" t="str">
        <f>IFERROR(__xludf.DUMMYFUNCTION("""COMPUTED_VALUE"""),"GL2508025")</f>
        <v>GL2508025</v>
      </c>
      <c r="R4248" s="57">
        <f>IFERROR(__xludf.DUMMYFUNCTION("""COMPUTED_VALUE"""),45861.0)</f>
        <v>45861</v>
      </c>
      <c r="S4248" s="57">
        <f>IFERROR(__xludf.DUMMYFUNCTION("""COMPUTED_VALUE"""),45862.0)</f>
        <v>45862</v>
      </c>
      <c r="T4248" s="57">
        <f>IFERROR(__xludf.DUMMYFUNCTION("""COMPUTED_VALUE"""),45898.0)</f>
        <v>45898</v>
      </c>
    </row>
    <row r="4249">
      <c r="A4249" s="6" t="str">
        <f>IFERROR(__xludf.DUMMYFUNCTION("""COMPUTED_VALUE"""),"121703036-1")</f>
        <v>121703036-1</v>
      </c>
      <c r="B4249" s="6" t="str">
        <f>IFERROR(__xludf.DUMMYFUNCTION("""COMPUTED_VALUE"""),"121703036 - APPROVED")</f>
        <v>121703036 - APPROVED</v>
      </c>
      <c r="C4249" s="6">
        <f>IFERROR(__xludf.DUMMYFUNCTION("""COMPUTED_VALUE"""),1.0)</f>
        <v>1</v>
      </c>
      <c r="D4249" s="6" t="str">
        <f>IFERROR(__xludf.DUMMYFUNCTION("""COMPUTED_VALUE"""),"S-60050-00")</f>
        <v>S-60050-00</v>
      </c>
      <c r="E4249" s="6" t="str">
        <f>IFERROR(__xludf.DUMMYFUNCTION("""COMPUTED_VALUE"""),"Jasa Perbaikan dan Pemeliharaan Mesin Produksi; ; ; - Perbaikan Needle Washing")</f>
        <v>Jasa Perbaikan dan Pemeliharaan Mesin Produksi; ; ; - Perbaikan Needle Washing</v>
      </c>
      <c r="F4249" s="6">
        <f>IFERROR(__xludf.DUMMYFUNCTION("""COMPUTED_VALUE"""),1.0)</f>
        <v>1</v>
      </c>
      <c r="G4249" s="6" t="str">
        <f>IFERROR(__xludf.DUMMYFUNCTION("""COMPUTED_VALUE"""),"Pieces")</f>
        <v>Pieces</v>
      </c>
      <c r="H4249" s="6" t="str">
        <f>IFERROR(__xludf.DUMMYFUNCTION("""COMPUTED_VALUE"""),"IDR")</f>
        <v>IDR</v>
      </c>
      <c r="I4249" s="6">
        <f>IFERROR(__xludf.DUMMYFUNCTION("""COMPUTED_VALUE"""),935000.0)</f>
        <v>935000</v>
      </c>
      <c r="J4249" s="6">
        <f>IFERROR(__xludf.DUMMYFUNCTION("""COMPUTED_VALUE"""),935000.0)</f>
        <v>935000</v>
      </c>
      <c r="K4249" s="57">
        <f>IFERROR(__xludf.DUMMYFUNCTION("""COMPUTED_VALUE"""),45863.0)</f>
        <v>45863</v>
      </c>
      <c r="L4249" s="6" t="str">
        <f>IFERROR(__xludf.DUMMYFUNCTION("""COMPUTED_VALUE"""),"FIP General")</f>
        <v>FIP General</v>
      </c>
      <c r="M4249" s="6" t="str">
        <f>IFERROR(__xludf.DUMMYFUNCTION("""COMPUTED_VALUE"""),"Mochammad Fadhillah Hakim,")</f>
        <v>Mochammad Fadhillah Hakim,</v>
      </c>
      <c r="N4249" s="6" t="str">
        <f>IFERROR(__xludf.DUMMYFUNCTION("""COMPUTED_VALUE"""),"FIP Engineering")</f>
        <v>FIP Engineering</v>
      </c>
      <c r="O4249" s="6" t="str">
        <f>IFERROR(__xludf.DUMMYFUNCTION("""COMPUTED_VALUE"""),"FIP-DOM-ENG-51504-0000000-INA-000000")</f>
        <v>FIP-DOM-ENG-51504-0000000-INA-000000</v>
      </c>
      <c r="P4249" s="6" t="str">
        <f>IFERROR(__xludf.DUMMYFUNCTION("""COMPUTED_VALUE"""),"PO Closed")</f>
        <v>PO Closed</v>
      </c>
      <c r="Q4249" s="6" t="str">
        <f>IFERROR(__xludf.DUMMYFUNCTION("""COMPUTED_VALUE"""),"GL2508006")</f>
        <v>GL2508006</v>
      </c>
      <c r="R4249" s="57">
        <f>IFERROR(__xludf.DUMMYFUNCTION("""COMPUTED_VALUE"""),45861.0)</f>
        <v>45861</v>
      </c>
      <c r="S4249" s="57">
        <f>IFERROR(__xludf.DUMMYFUNCTION("""COMPUTED_VALUE"""),45862.0)</f>
        <v>45862</v>
      </c>
      <c r="T4249" s="57">
        <f>IFERROR(__xludf.DUMMYFUNCTION("""COMPUTED_VALUE"""),45899.0)</f>
        <v>45899</v>
      </c>
    </row>
    <row r="4250">
      <c r="A4250" s="6" t="str">
        <f>IFERROR(__xludf.DUMMYFUNCTION("""COMPUTED_VALUE"""),"121703038-1")</f>
        <v>121703038-1</v>
      </c>
      <c r="B4250" s="6" t="str">
        <f>IFERROR(__xludf.DUMMYFUNCTION("""COMPUTED_VALUE"""),"121703038 - APPROVED")</f>
        <v>121703038 - APPROVED</v>
      </c>
      <c r="C4250" s="6">
        <f>IFERROR(__xludf.DUMMYFUNCTION("""COMPUTED_VALUE"""),1.0)</f>
        <v>1</v>
      </c>
      <c r="D4250" s="6" t="str">
        <f>IFERROR(__xludf.DUMMYFUNCTION("""COMPUTED_VALUE"""),"Q-90000-00")</f>
        <v>Q-90000-00</v>
      </c>
      <c r="E4250" s="6" t="str">
        <f>IFERROR(__xludf.DUMMYFUNCTION("""COMPUTED_VALUE"""),"Building Maintenance Pure Expense - Perbaikan Toilet")</f>
        <v>Building Maintenance Pure Expense - Perbaikan Toilet</v>
      </c>
      <c r="F4250" s="6">
        <f>IFERROR(__xludf.DUMMYFUNCTION("""COMPUTED_VALUE"""),1.0)</f>
        <v>1</v>
      </c>
      <c r="G4250" s="6" t="str">
        <f>IFERROR(__xludf.DUMMYFUNCTION("""COMPUTED_VALUE"""),"Unit")</f>
        <v>Unit</v>
      </c>
      <c r="H4250" s="6" t="str">
        <f>IFERROR(__xludf.DUMMYFUNCTION("""COMPUTED_VALUE"""),"IDR")</f>
        <v>IDR</v>
      </c>
      <c r="I4250" s="6">
        <f>IFERROR(__xludf.DUMMYFUNCTION("""COMPUTED_VALUE"""),4.34364E7)</f>
        <v>43436400</v>
      </c>
      <c r="J4250" s="6">
        <f>IFERROR(__xludf.DUMMYFUNCTION("""COMPUTED_VALUE"""),4.34364E7)</f>
        <v>43436400</v>
      </c>
      <c r="K4250" s="57">
        <f>IFERROR(__xludf.DUMMYFUNCTION("""COMPUTED_VALUE"""),45898.0)</f>
        <v>45898</v>
      </c>
      <c r="L4250" s="6" t="str">
        <f>IFERROR(__xludf.DUMMYFUNCTION("""COMPUTED_VALUE"""),"FIP General")</f>
        <v>FIP General</v>
      </c>
      <c r="M4250" s="6" t="str">
        <f>IFERROR(__xludf.DUMMYFUNCTION("""COMPUTED_VALUE"""),"Mochammad Fadhillah Hakim,")</f>
        <v>Mochammad Fadhillah Hakim,</v>
      </c>
      <c r="N4250" s="6" t="str">
        <f>IFERROR(__xludf.DUMMYFUNCTION("""COMPUTED_VALUE"""),"FIP Engineering")</f>
        <v>FIP Engineering</v>
      </c>
      <c r="O4250" s="6" t="str">
        <f>IFERROR(__xludf.DUMMYFUNCTION("""COMPUTED_VALUE"""),"FIP-DOM-ENG-51502-0000000-INA-000000")</f>
        <v>FIP-DOM-ENG-51502-0000000-INA-000000</v>
      </c>
      <c r="P4250" s="6" t="str">
        <f>IFERROR(__xludf.DUMMYFUNCTION("""COMPUTED_VALUE"""),"PO Closed")</f>
        <v>PO Closed</v>
      </c>
      <c r="Q4250" s="6" t="str">
        <f>IFERROR(__xludf.DUMMYFUNCTION("""COMPUTED_VALUE"""),"GL2508037")</f>
        <v>GL2508037</v>
      </c>
      <c r="R4250" s="57">
        <f>IFERROR(__xludf.DUMMYFUNCTION("""COMPUTED_VALUE"""),45862.0)</f>
        <v>45862</v>
      </c>
      <c r="S4250" s="57">
        <f>IFERROR(__xludf.DUMMYFUNCTION("""COMPUTED_VALUE"""),45862.0)</f>
        <v>45862</v>
      </c>
      <c r="T4250" s="57">
        <f>IFERROR(__xludf.DUMMYFUNCTION("""COMPUTED_VALUE"""),45943.0)</f>
        <v>45943</v>
      </c>
    </row>
    <row r="4251">
      <c r="A4251" s="6" t="str">
        <f>IFERROR(__xludf.DUMMYFUNCTION("""COMPUTED_VALUE"""),"121703054-1")</f>
        <v>121703054-1</v>
      </c>
      <c r="B4251" s="6" t="str">
        <f>IFERROR(__xludf.DUMMYFUNCTION("""COMPUTED_VALUE"""),"121703054 - APPROVED")</f>
        <v>121703054 - APPROVED</v>
      </c>
      <c r="C4251" s="6">
        <f>IFERROR(__xludf.DUMMYFUNCTION("""COMPUTED_VALUE"""),1.0)</f>
        <v>1</v>
      </c>
      <c r="D4251" s="6" t="str">
        <f>IFERROR(__xludf.DUMMYFUNCTION("""COMPUTED_VALUE"""),"R-21013-00")</f>
        <v>R-21013-00</v>
      </c>
      <c r="E4251" s="6" t="str">
        <f>IFERROR(__xludf.DUMMYFUNCTION("""COMPUTED_VALUE"""),"Utility Equipment; ; ; - Inverter Danfoss  FC-202P5K5T4E20H2XGXXXXSXXXXAXBXCXXXXDX - Inverter Danfoss  FC-202P5K5T4E20H2XGXXXXSXXXXAXBXCXXXXDX - Inverter Danfoss  FC-202P5K5T4E20H2XGXXXXSXXXXAXBXCXXXXDX - Inverter Danfoss  FC-202P5K5T4E20H2")</f>
        <v>Utility Equipment; ; ; - Inverter Danfoss  FC-202P5K5T4E20H2XGXXXXSXXXXAXBXCXXXXDX - Inverter Danfoss  FC-202P5K5T4E20H2XGXXXXSXXXXAXBXCXXXXDX - Inverter Danfoss  FC-202P5K5T4E20H2XGXXXXSXXXXAXBXCXXXXDX - Inverter Danfoss  FC-202P5K5T4E20H2</v>
      </c>
      <c r="F4251" s="6">
        <f>IFERROR(__xludf.DUMMYFUNCTION("""COMPUTED_VALUE"""),1.0)</f>
        <v>1</v>
      </c>
      <c r="G4251" s="6" t="str">
        <f>IFERROR(__xludf.DUMMYFUNCTION("""COMPUTED_VALUE"""),"Unit")</f>
        <v>Unit</v>
      </c>
      <c r="H4251" s="6" t="str">
        <f>IFERROR(__xludf.DUMMYFUNCTION("""COMPUTED_VALUE"""),"IDR")</f>
        <v>IDR</v>
      </c>
      <c r="I4251" s="6">
        <f>IFERROR(__xludf.DUMMYFUNCTION("""COMPUTED_VALUE"""),1.5652E7)</f>
        <v>15652000</v>
      </c>
      <c r="J4251" s="6">
        <f>IFERROR(__xludf.DUMMYFUNCTION("""COMPUTED_VALUE"""),1.5652E7)</f>
        <v>15652000</v>
      </c>
      <c r="K4251" s="57">
        <f>IFERROR(__xludf.DUMMYFUNCTION("""COMPUTED_VALUE"""),45905.0)</f>
        <v>45905</v>
      </c>
      <c r="L4251" s="6" t="str">
        <f>IFERROR(__xludf.DUMMYFUNCTION("""COMPUTED_VALUE"""),"FIP General")</f>
        <v>FIP General</v>
      </c>
      <c r="M4251" s="6" t="str">
        <f>IFERROR(__xludf.DUMMYFUNCTION("""COMPUTED_VALUE"""),"Mochammad Fadhillah Hakim,")</f>
        <v>Mochammad Fadhillah Hakim,</v>
      </c>
      <c r="N4251" s="6" t="str">
        <f>IFERROR(__xludf.DUMMYFUNCTION("""COMPUTED_VALUE"""),"FIP Engineering")</f>
        <v>FIP Engineering</v>
      </c>
      <c r="O4251" s="6" t="str">
        <f>IFERROR(__xludf.DUMMYFUNCTION("""COMPUTED_VALUE"""),"FIP-DOM-ENG-13405-EQ25005-INA-000000")</f>
        <v>FIP-DOM-ENG-13405-EQ25005-INA-000000</v>
      </c>
      <c r="P4251" s="6" t="str">
        <f>IFERROR(__xludf.DUMMYFUNCTION("""COMPUTED_VALUE"""),"PO Closed")</f>
        <v>PO Closed</v>
      </c>
      <c r="Q4251" s="6" t="str">
        <f>IFERROR(__xludf.DUMMYFUNCTION("""COMPUTED_VALUE"""),"GL2508050")</f>
        <v>GL2508050</v>
      </c>
      <c r="R4251" s="57">
        <f>IFERROR(__xludf.DUMMYFUNCTION("""COMPUTED_VALUE"""),45873.0)</f>
        <v>45873</v>
      </c>
      <c r="S4251" s="57">
        <f>IFERROR(__xludf.DUMMYFUNCTION("""COMPUTED_VALUE"""),45874.0)</f>
        <v>45874</v>
      </c>
      <c r="T4251" s="57">
        <f>IFERROR(__xludf.DUMMYFUNCTION("""COMPUTED_VALUE"""),45935.0)</f>
        <v>45935</v>
      </c>
    </row>
    <row r="4252">
      <c r="A4252" s="6" t="str">
        <f>IFERROR(__xludf.DUMMYFUNCTION("""COMPUTED_VALUE"""),"121703059-1")</f>
        <v>121703059-1</v>
      </c>
      <c r="B4252" s="6" t="str">
        <f>IFERROR(__xludf.DUMMYFUNCTION("""COMPUTED_VALUE"""),"121703059 - APPROVED")</f>
        <v>121703059 - APPROVED</v>
      </c>
      <c r="C4252" s="6">
        <f>IFERROR(__xludf.DUMMYFUNCTION("""COMPUTED_VALUE"""),1.0)</f>
        <v>1</v>
      </c>
      <c r="D4252" s="6" t="str">
        <f>IFERROR(__xludf.DUMMYFUNCTION("""COMPUTED_VALUE"""),"O-18962-00")</f>
        <v>O-18962-00</v>
      </c>
      <c r="E4252" s="6" t="str">
        <f>IFERROR(__xludf.DUMMYFUNCTION("""COMPUTED_VALUE"""),"Capping VCM200 - Adjuster Screw Blade; ; ;")</f>
        <v>Capping VCM200 - Adjuster Screw Blade; ; ;</v>
      </c>
      <c r="F4252" s="6">
        <f>IFERROR(__xludf.DUMMYFUNCTION("""COMPUTED_VALUE"""),1.0)</f>
        <v>1</v>
      </c>
      <c r="G4252" s="6" t="str">
        <f>IFERROR(__xludf.DUMMYFUNCTION("""COMPUTED_VALUE"""),"Pieces")</f>
        <v>Pieces</v>
      </c>
      <c r="H4252" s="6" t="str">
        <f>IFERROR(__xludf.DUMMYFUNCTION("""COMPUTED_VALUE"""),"IDR")</f>
        <v>IDR</v>
      </c>
      <c r="I4252" s="6">
        <f>IFERROR(__xludf.DUMMYFUNCTION("""COMPUTED_VALUE"""),427800.0)</f>
        <v>427800</v>
      </c>
      <c r="J4252" s="6">
        <f>IFERROR(__xludf.DUMMYFUNCTION("""COMPUTED_VALUE"""),427800.0)</f>
        <v>427800</v>
      </c>
      <c r="K4252" s="57">
        <f>IFERROR(__xludf.DUMMYFUNCTION("""COMPUTED_VALUE"""),45946.0)</f>
        <v>45946</v>
      </c>
      <c r="L4252" s="6" t="str">
        <f>IFERROR(__xludf.DUMMYFUNCTION("""COMPUTED_VALUE"""),"FIP Engineering")</f>
        <v>FIP Engineering</v>
      </c>
      <c r="M4252" s="6" t="str">
        <f>IFERROR(__xludf.DUMMYFUNCTION("""COMPUTED_VALUE"""),"Mochammad Fadhillah Hakim,")</f>
        <v>Mochammad Fadhillah Hakim,</v>
      </c>
      <c r="N4252" s="6" t="str">
        <f>IFERROR(__xludf.DUMMYFUNCTION("""COMPUTED_VALUE"""),"FIP Engineering")</f>
        <v>FIP Engineering</v>
      </c>
      <c r="O4252" s="6" t="str">
        <f>IFERROR(__xludf.DUMMYFUNCTION("""COMPUTED_VALUE"""),"FIP-DOM-000-11304-OS00001-INA-000000")</f>
        <v>FIP-DOM-000-11304-OS00001-INA-000000</v>
      </c>
      <c r="P4252" s="6" t="str">
        <f>IFERROR(__xludf.DUMMYFUNCTION("""COMPUTED_VALUE"""),"PO Closed")</f>
        <v>PO Closed</v>
      </c>
      <c r="Q4252" s="6" t="str">
        <f>IFERROR(__xludf.DUMMYFUNCTION("""COMPUTED_VALUE"""),"GL2509450")</f>
        <v>GL2509450</v>
      </c>
      <c r="R4252" s="57">
        <f>IFERROR(__xludf.DUMMYFUNCTION("""COMPUTED_VALUE"""),45874.0)</f>
        <v>45874</v>
      </c>
      <c r="S4252" s="57">
        <f>IFERROR(__xludf.DUMMYFUNCTION("""COMPUTED_VALUE"""),45894.0)</f>
        <v>45894</v>
      </c>
      <c r="T4252" s="57">
        <f>IFERROR(__xludf.DUMMYFUNCTION("""COMPUTED_VALUE"""),45946.0)</f>
        <v>45946</v>
      </c>
    </row>
    <row r="4253">
      <c r="A4253" s="6" t="str">
        <f>IFERROR(__xludf.DUMMYFUNCTION("""COMPUTED_VALUE"""),"121703059-2")</f>
        <v>121703059-2</v>
      </c>
      <c r="B4253" s="6" t="str">
        <f>IFERROR(__xludf.DUMMYFUNCTION("""COMPUTED_VALUE"""),"121703059 - APPROVED")</f>
        <v>121703059 - APPROVED</v>
      </c>
      <c r="C4253" s="6">
        <f>IFERROR(__xludf.DUMMYFUNCTION("""COMPUTED_VALUE"""),2.0)</f>
        <v>2</v>
      </c>
      <c r="D4253" s="6" t="str">
        <f>IFERROR(__xludf.DUMMYFUNCTION("""COMPUTED_VALUE"""),"O-18963-00")</f>
        <v>O-18963-00</v>
      </c>
      <c r="E4253" s="6" t="str">
        <f>IFERROR(__xludf.DUMMYFUNCTION("""COMPUTED_VALUE"""),"Capping VCM200 - Clamp Holder; ; ;")</f>
        <v>Capping VCM200 - Clamp Holder; ; ;</v>
      </c>
      <c r="F4253" s="6">
        <f>IFERROR(__xludf.DUMMYFUNCTION("""COMPUTED_VALUE"""),1.0)</f>
        <v>1</v>
      </c>
      <c r="G4253" s="6" t="str">
        <f>IFERROR(__xludf.DUMMYFUNCTION("""COMPUTED_VALUE"""),"Pieces")</f>
        <v>Pieces</v>
      </c>
      <c r="H4253" s="6" t="str">
        <f>IFERROR(__xludf.DUMMYFUNCTION("""COMPUTED_VALUE"""),"IDR")</f>
        <v>IDR</v>
      </c>
      <c r="I4253" s="6">
        <f>IFERROR(__xludf.DUMMYFUNCTION("""COMPUTED_VALUE"""),255750.0)</f>
        <v>255750</v>
      </c>
      <c r="J4253" s="6">
        <f>IFERROR(__xludf.DUMMYFUNCTION("""COMPUTED_VALUE"""),255750.0)</f>
        <v>255750</v>
      </c>
      <c r="K4253" s="57">
        <f>IFERROR(__xludf.DUMMYFUNCTION("""COMPUTED_VALUE"""),45946.0)</f>
        <v>45946</v>
      </c>
      <c r="L4253" s="6" t="str">
        <f>IFERROR(__xludf.DUMMYFUNCTION("""COMPUTED_VALUE"""),"FIP Engineering")</f>
        <v>FIP Engineering</v>
      </c>
      <c r="M4253" s="6" t="str">
        <f>IFERROR(__xludf.DUMMYFUNCTION("""COMPUTED_VALUE"""),"Mochammad Fadhillah Hakim,")</f>
        <v>Mochammad Fadhillah Hakim,</v>
      </c>
      <c r="N4253" s="6" t="str">
        <f>IFERROR(__xludf.DUMMYFUNCTION("""COMPUTED_VALUE"""),"FIP Engineering")</f>
        <v>FIP Engineering</v>
      </c>
      <c r="O4253" s="6" t="str">
        <f>IFERROR(__xludf.DUMMYFUNCTION("""COMPUTED_VALUE"""),"FIP-DOM-000-11304-OS00001-INA-000000")</f>
        <v>FIP-DOM-000-11304-OS00001-INA-000000</v>
      </c>
      <c r="P4253" s="6" t="str">
        <f>IFERROR(__xludf.DUMMYFUNCTION("""COMPUTED_VALUE"""),"PO Closed")</f>
        <v>PO Closed</v>
      </c>
      <c r="Q4253" s="6" t="str">
        <f>IFERROR(__xludf.DUMMYFUNCTION("""COMPUTED_VALUE"""),"GL2509450")</f>
        <v>GL2509450</v>
      </c>
      <c r="R4253" s="57">
        <f>IFERROR(__xludf.DUMMYFUNCTION("""COMPUTED_VALUE"""),45874.0)</f>
        <v>45874</v>
      </c>
      <c r="S4253" s="57">
        <f>IFERROR(__xludf.DUMMYFUNCTION("""COMPUTED_VALUE"""),45894.0)</f>
        <v>45894</v>
      </c>
      <c r="T4253" s="57">
        <f>IFERROR(__xludf.DUMMYFUNCTION("""COMPUTED_VALUE"""),45946.0)</f>
        <v>45946</v>
      </c>
    </row>
    <row r="4254">
      <c r="A4254" s="6" t="str">
        <f>IFERROR(__xludf.DUMMYFUNCTION("""COMPUTED_VALUE"""),"121703059-3")</f>
        <v>121703059-3</v>
      </c>
      <c r="B4254" s="6" t="str">
        <f>IFERROR(__xludf.DUMMYFUNCTION("""COMPUTED_VALUE"""),"121703059 - APPROVED")</f>
        <v>121703059 - APPROVED</v>
      </c>
      <c r="C4254" s="6">
        <f>IFERROR(__xludf.DUMMYFUNCTION("""COMPUTED_VALUE"""),3.0)</f>
        <v>3</v>
      </c>
      <c r="D4254" s="6" t="str">
        <f>IFERROR(__xludf.DUMMYFUNCTION("""COMPUTED_VALUE"""),"O-18964-00")</f>
        <v>O-18964-00</v>
      </c>
      <c r="E4254" s="6" t="str">
        <f>IFERROR(__xludf.DUMMYFUNCTION("""COMPUTED_VALUE"""),"Capping VCM200 - Holder; ; ;")</f>
        <v>Capping VCM200 - Holder; ; ;</v>
      </c>
      <c r="F4254" s="6">
        <f>IFERROR(__xludf.DUMMYFUNCTION("""COMPUTED_VALUE"""),1.0)</f>
        <v>1</v>
      </c>
      <c r="G4254" s="6" t="str">
        <f>IFERROR(__xludf.DUMMYFUNCTION("""COMPUTED_VALUE"""),"Pieces")</f>
        <v>Pieces</v>
      </c>
      <c r="H4254" s="6" t="str">
        <f>IFERROR(__xludf.DUMMYFUNCTION("""COMPUTED_VALUE"""),"IDR")</f>
        <v>IDR</v>
      </c>
      <c r="I4254" s="6">
        <f>IFERROR(__xludf.DUMMYFUNCTION("""COMPUTED_VALUE"""),569160.0)</f>
        <v>569160</v>
      </c>
      <c r="J4254" s="6">
        <f>IFERROR(__xludf.DUMMYFUNCTION("""COMPUTED_VALUE"""),569160.0)</f>
        <v>569160</v>
      </c>
      <c r="K4254" s="57">
        <f>IFERROR(__xludf.DUMMYFUNCTION("""COMPUTED_VALUE"""),45946.0)</f>
        <v>45946</v>
      </c>
      <c r="L4254" s="6" t="str">
        <f>IFERROR(__xludf.DUMMYFUNCTION("""COMPUTED_VALUE"""),"FIP Engineering")</f>
        <v>FIP Engineering</v>
      </c>
      <c r="M4254" s="6" t="str">
        <f>IFERROR(__xludf.DUMMYFUNCTION("""COMPUTED_VALUE"""),"Mochammad Fadhillah Hakim,")</f>
        <v>Mochammad Fadhillah Hakim,</v>
      </c>
      <c r="N4254" s="6" t="str">
        <f>IFERROR(__xludf.DUMMYFUNCTION("""COMPUTED_VALUE"""),"FIP Engineering")</f>
        <v>FIP Engineering</v>
      </c>
      <c r="O4254" s="6" t="str">
        <f>IFERROR(__xludf.DUMMYFUNCTION("""COMPUTED_VALUE"""),"FIP-DOM-000-11304-OS00001-INA-000000")</f>
        <v>FIP-DOM-000-11304-OS00001-INA-000000</v>
      </c>
      <c r="P4254" s="6" t="str">
        <f>IFERROR(__xludf.DUMMYFUNCTION("""COMPUTED_VALUE"""),"PO Closed")</f>
        <v>PO Closed</v>
      </c>
      <c r="Q4254" s="6" t="str">
        <f>IFERROR(__xludf.DUMMYFUNCTION("""COMPUTED_VALUE"""),"GL2509450")</f>
        <v>GL2509450</v>
      </c>
      <c r="R4254" s="57">
        <f>IFERROR(__xludf.DUMMYFUNCTION("""COMPUTED_VALUE"""),45874.0)</f>
        <v>45874</v>
      </c>
      <c r="S4254" s="57">
        <f>IFERROR(__xludf.DUMMYFUNCTION("""COMPUTED_VALUE"""),45894.0)</f>
        <v>45894</v>
      </c>
      <c r="T4254" s="57">
        <f>IFERROR(__xludf.DUMMYFUNCTION("""COMPUTED_VALUE"""),45946.0)</f>
        <v>45946</v>
      </c>
    </row>
    <row r="4255">
      <c r="A4255" s="6" t="str">
        <f>IFERROR(__xludf.DUMMYFUNCTION("""COMPUTED_VALUE"""),"121703059-4")</f>
        <v>121703059-4</v>
      </c>
      <c r="B4255" s="6" t="str">
        <f>IFERROR(__xludf.DUMMYFUNCTION("""COMPUTED_VALUE"""),"121703059 - APPROVED")</f>
        <v>121703059 - APPROVED</v>
      </c>
      <c r="C4255" s="6">
        <f>IFERROR(__xludf.DUMMYFUNCTION("""COMPUTED_VALUE"""),4.0)</f>
        <v>4</v>
      </c>
      <c r="D4255" s="6" t="str">
        <f>IFERROR(__xludf.DUMMYFUNCTION("""COMPUTED_VALUE"""),"O-18965-00")</f>
        <v>O-18965-00</v>
      </c>
      <c r="E4255" s="6" t="str">
        <f>IFERROR(__xludf.DUMMYFUNCTION("""COMPUTED_VALUE"""),"Capping VCM200 - Spring Head; ; ;")</f>
        <v>Capping VCM200 - Spring Head; ; ;</v>
      </c>
      <c r="F4255" s="6">
        <f>IFERROR(__xludf.DUMMYFUNCTION("""COMPUTED_VALUE"""),1.0)</f>
        <v>1</v>
      </c>
      <c r="G4255" s="6" t="str">
        <f>IFERROR(__xludf.DUMMYFUNCTION("""COMPUTED_VALUE"""),"Pieces")</f>
        <v>Pieces</v>
      </c>
      <c r="H4255" s="6" t="str">
        <f>IFERROR(__xludf.DUMMYFUNCTION("""COMPUTED_VALUE"""),"IDR")</f>
        <v>IDR</v>
      </c>
      <c r="I4255" s="6">
        <f>IFERROR(__xludf.DUMMYFUNCTION("""COMPUTED_VALUE"""),104160.0)</f>
        <v>104160</v>
      </c>
      <c r="J4255" s="6">
        <f>IFERROR(__xludf.DUMMYFUNCTION("""COMPUTED_VALUE"""),104160.0)</f>
        <v>104160</v>
      </c>
      <c r="K4255" s="57">
        <f>IFERROR(__xludf.DUMMYFUNCTION("""COMPUTED_VALUE"""),45946.0)</f>
        <v>45946</v>
      </c>
      <c r="L4255" s="6" t="str">
        <f>IFERROR(__xludf.DUMMYFUNCTION("""COMPUTED_VALUE"""),"FIP Engineering")</f>
        <v>FIP Engineering</v>
      </c>
      <c r="M4255" s="6" t="str">
        <f>IFERROR(__xludf.DUMMYFUNCTION("""COMPUTED_VALUE"""),"Mochammad Fadhillah Hakim,")</f>
        <v>Mochammad Fadhillah Hakim,</v>
      </c>
      <c r="N4255" s="6" t="str">
        <f>IFERROR(__xludf.DUMMYFUNCTION("""COMPUTED_VALUE"""),"FIP Engineering")</f>
        <v>FIP Engineering</v>
      </c>
      <c r="O4255" s="6" t="str">
        <f>IFERROR(__xludf.DUMMYFUNCTION("""COMPUTED_VALUE"""),"FIP-DOM-000-11304-OS00001-INA-000000")</f>
        <v>FIP-DOM-000-11304-OS00001-INA-000000</v>
      </c>
      <c r="P4255" s="6" t="str">
        <f>IFERROR(__xludf.DUMMYFUNCTION("""COMPUTED_VALUE"""),"PO Closed")</f>
        <v>PO Closed</v>
      </c>
      <c r="Q4255" s="6" t="str">
        <f>IFERROR(__xludf.DUMMYFUNCTION("""COMPUTED_VALUE"""),"GL2509450")</f>
        <v>GL2509450</v>
      </c>
      <c r="R4255" s="57">
        <f>IFERROR(__xludf.DUMMYFUNCTION("""COMPUTED_VALUE"""),45874.0)</f>
        <v>45874</v>
      </c>
      <c r="S4255" s="57">
        <f>IFERROR(__xludf.DUMMYFUNCTION("""COMPUTED_VALUE"""),45894.0)</f>
        <v>45894</v>
      </c>
      <c r="T4255" s="57">
        <f>IFERROR(__xludf.DUMMYFUNCTION("""COMPUTED_VALUE"""),45946.0)</f>
        <v>45946</v>
      </c>
    </row>
    <row r="4256">
      <c r="A4256" s="6" t="str">
        <f>IFERROR(__xludf.DUMMYFUNCTION("""COMPUTED_VALUE"""),"121703059-5")</f>
        <v>121703059-5</v>
      </c>
      <c r="B4256" s="6" t="str">
        <f>IFERROR(__xludf.DUMMYFUNCTION("""COMPUTED_VALUE"""),"121703059 - APPROVED")</f>
        <v>121703059 - APPROVED</v>
      </c>
      <c r="C4256" s="6">
        <f>IFERROR(__xludf.DUMMYFUNCTION("""COMPUTED_VALUE"""),5.0)</f>
        <v>5</v>
      </c>
      <c r="D4256" s="6" t="str">
        <f>IFERROR(__xludf.DUMMYFUNCTION("""COMPUTED_VALUE"""),"O-18966-00")</f>
        <v>O-18966-00</v>
      </c>
      <c r="E4256" s="6" t="str">
        <f>IFERROR(__xludf.DUMMYFUNCTION("""COMPUTED_VALUE"""),"Capping VCM200 -  Ring Washer; ; ;")</f>
        <v>Capping VCM200 -  Ring Washer; ; ;</v>
      </c>
      <c r="F4256" s="6">
        <f>IFERROR(__xludf.DUMMYFUNCTION("""COMPUTED_VALUE"""),1.0)</f>
        <v>1</v>
      </c>
      <c r="G4256" s="6" t="str">
        <f>IFERROR(__xludf.DUMMYFUNCTION("""COMPUTED_VALUE"""),"Pieces")</f>
        <v>Pieces</v>
      </c>
      <c r="H4256" s="6" t="str">
        <f>IFERROR(__xludf.DUMMYFUNCTION("""COMPUTED_VALUE"""),"IDR")</f>
        <v>IDR</v>
      </c>
      <c r="I4256" s="6">
        <f>IFERROR(__xludf.DUMMYFUNCTION("""COMPUTED_VALUE"""),93930.0)</f>
        <v>93930</v>
      </c>
      <c r="J4256" s="6">
        <f>IFERROR(__xludf.DUMMYFUNCTION("""COMPUTED_VALUE"""),93930.0)</f>
        <v>93930</v>
      </c>
      <c r="K4256" s="57">
        <f>IFERROR(__xludf.DUMMYFUNCTION("""COMPUTED_VALUE"""),45946.0)</f>
        <v>45946</v>
      </c>
      <c r="L4256" s="6" t="str">
        <f>IFERROR(__xludf.DUMMYFUNCTION("""COMPUTED_VALUE"""),"FIP Engineering")</f>
        <v>FIP Engineering</v>
      </c>
      <c r="M4256" s="6" t="str">
        <f>IFERROR(__xludf.DUMMYFUNCTION("""COMPUTED_VALUE"""),"Mochammad Fadhillah Hakim,")</f>
        <v>Mochammad Fadhillah Hakim,</v>
      </c>
      <c r="N4256" s="6" t="str">
        <f>IFERROR(__xludf.DUMMYFUNCTION("""COMPUTED_VALUE"""),"FIP Engineering")</f>
        <v>FIP Engineering</v>
      </c>
      <c r="O4256" s="6" t="str">
        <f>IFERROR(__xludf.DUMMYFUNCTION("""COMPUTED_VALUE"""),"FIP-DOM-000-11304-OS00001-INA-000000")</f>
        <v>FIP-DOM-000-11304-OS00001-INA-000000</v>
      </c>
      <c r="P4256" s="6" t="str">
        <f>IFERROR(__xludf.DUMMYFUNCTION("""COMPUTED_VALUE"""),"PO Closed")</f>
        <v>PO Closed</v>
      </c>
      <c r="Q4256" s="6" t="str">
        <f>IFERROR(__xludf.DUMMYFUNCTION("""COMPUTED_VALUE"""),"GL2509450")</f>
        <v>GL2509450</v>
      </c>
      <c r="R4256" s="57">
        <f>IFERROR(__xludf.DUMMYFUNCTION("""COMPUTED_VALUE"""),45874.0)</f>
        <v>45874</v>
      </c>
      <c r="S4256" s="57">
        <f>IFERROR(__xludf.DUMMYFUNCTION("""COMPUTED_VALUE"""),45894.0)</f>
        <v>45894</v>
      </c>
      <c r="T4256" s="57">
        <f>IFERROR(__xludf.DUMMYFUNCTION("""COMPUTED_VALUE"""),45946.0)</f>
        <v>45946</v>
      </c>
    </row>
    <row r="4257">
      <c r="A4257" s="6" t="str">
        <f>IFERROR(__xludf.DUMMYFUNCTION("""COMPUTED_VALUE"""),"121703059-6")</f>
        <v>121703059-6</v>
      </c>
      <c r="B4257" s="6" t="str">
        <f>IFERROR(__xludf.DUMMYFUNCTION("""COMPUTED_VALUE"""),"121703059 - APPROVED")</f>
        <v>121703059 - APPROVED</v>
      </c>
      <c r="C4257" s="6">
        <f>IFERROR(__xludf.DUMMYFUNCTION("""COMPUTED_VALUE"""),6.0)</f>
        <v>6</v>
      </c>
      <c r="D4257" s="6" t="str">
        <f>IFERROR(__xludf.DUMMYFUNCTION("""COMPUTED_VALUE"""),"O-18968-00")</f>
        <v>O-18968-00</v>
      </c>
      <c r="E4257" s="6" t="str">
        <f>IFERROR(__xludf.DUMMYFUNCTION("""COMPUTED_VALUE"""),"Capping VCM200 - Washer B; ; ;")</f>
        <v>Capping VCM200 - Washer B; ; ;</v>
      </c>
      <c r="F4257" s="6">
        <f>IFERROR(__xludf.DUMMYFUNCTION("""COMPUTED_VALUE"""),1.0)</f>
        <v>1</v>
      </c>
      <c r="G4257" s="6" t="str">
        <f>IFERROR(__xludf.DUMMYFUNCTION("""COMPUTED_VALUE"""),"Pieces")</f>
        <v>Pieces</v>
      </c>
      <c r="H4257" s="6" t="str">
        <f>IFERROR(__xludf.DUMMYFUNCTION("""COMPUTED_VALUE"""),"IDR")</f>
        <v>IDR</v>
      </c>
      <c r="I4257" s="6">
        <f>IFERROR(__xludf.DUMMYFUNCTION("""COMPUTED_VALUE"""),146010.0)</f>
        <v>146010</v>
      </c>
      <c r="J4257" s="6">
        <f>IFERROR(__xludf.DUMMYFUNCTION("""COMPUTED_VALUE"""),146010.0)</f>
        <v>146010</v>
      </c>
      <c r="K4257" s="57">
        <f>IFERROR(__xludf.DUMMYFUNCTION("""COMPUTED_VALUE"""),45946.0)</f>
        <v>45946</v>
      </c>
      <c r="L4257" s="6" t="str">
        <f>IFERROR(__xludf.DUMMYFUNCTION("""COMPUTED_VALUE"""),"FIP Engineering")</f>
        <v>FIP Engineering</v>
      </c>
      <c r="M4257" s="6" t="str">
        <f>IFERROR(__xludf.DUMMYFUNCTION("""COMPUTED_VALUE"""),"Mochammad Fadhillah Hakim,")</f>
        <v>Mochammad Fadhillah Hakim,</v>
      </c>
      <c r="N4257" s="6" t="str">
        <f>IFERROR(__xludf.DUMMYFUNCTION("""COMPUTED_VALUE"""),"FIP Engineering")</f>
        <v>FIP Engineering</v>
      </c>
      <c r="O4257" s="6" t="str">
        <f>IFERROR(__xludf.DUMMYFUNCTION("""COMPUTED_VALUE"""),"FIP-DOM-000-11304-OS00001-INA-000000")</f>
        <v>FIP-DOM-000-11304-OS00001-INA-000000</v>
      </c>
      <c r="P4257" s="6" t="str">
        <f>IFERROR(__xludf.DUMMYFUNCTION("""COMPUTED_VALUE"""),"PO Closed")</f>
        <v>PO Closed</v>
      </c>
      <c r="Q4257" s="6" t="str">
        <f>IFERROR(__xludf.DUMMYFUNCTION("""COMPUTED_VALUE"""),"GL2509450")</f>
        <v>GL2509450</v>
      </c>
      <c r="R4257" s="57">
        <f>IFERROR(__xludf.DUMMYFUNCTION("""COMPUTED_VALUE"""),45874.0)</f>
        <v>45874</v>
      </c>
      <c r="S4257" s="57">
        <f>IFERROR(__xludf.DUMMYFUNCTION("""COMPUTED_VALUE"""),45894.0)</f>
        <v>45894</v>
      </c>
      <c r="T4257" s="57">
        <f>IFERROR(__xludf.DUMMYFUNCTION("""COMPUTED_VALUE"""),45946.0)</f>
        <v>45946</v>
      </c>
    </row>
    <row r="4258">
      <c r="A4258" s="6" t="str">
        <f>IFERROR(__xludf.DUMMYFUNCTION("""COMPUTED_VALUE"""),"121703059-7")</f>
        <v>121703059-7</v>
      </c>
      <c r="B4258" s="6" t="str">
        <f>IFERROR(__xludf.DUMMYFUNCTION("""COMPUTED_VALUE"""),"121703059 - APPROVED")</f>
        <v>121703059 - APPROVED</v>
      </c>
      <c r="C4258" s="6">
        <f>IFERROR(__xludf.DUMMYFUNCTION("""COMPUTED_VALUE"""),7.0)</f>
        <v>7</v>
      </c>
      <c r="D4258" s="6" t="str">
        <f>IFERROR(__xludf.DUMMYFUNCTION("""COMPUTED_VALUE"""),"O-18967-00")</f>
        <v>O-18967-00</v>
      </c>
      <c r="E4258" s="6" t="str">
        <f>IFERROR(__xludf.DUMMYFUNCTION("""COMPUTED_VALUE"""),"Capping VCM200 - Washer A; ; ;")</f>
        <v>Capping VCM200 - Washer A; ; ;</v>
      </c>
      <c r="F4258" s="6">
        <f>IFERROR(__xludf.DUMMYFUNCTION("""COMPUTED_VALUE"""),1.0)</f>
        <v>1</v>
      </c>
      <c r="G4258" s="6" t="str">
        <f>IFERROR(__xludf.DUMMYFUNCTION("""COMPUTED_VALUE"""),"Pieces")</f>
        <v>Pieces</v>
      </c>
      <c r="H4258" s="6" t="str">
        <f>IFERROR(__xludf.DUMMYFUNCTION("""COMPUTED_VALUE"""),"IDR")</f>
        <v>IDR</v>
      </c>
      <c r="I4258" s="6">
        <f>IFERROR(__xludf.DUMMYFUNCTION("""COMPUTED_VALUE"""),146010.0)</f>
        <v>146010</v>
      </c>
      <c r="J4258" s="6">
        <f>IFERROR(__xludf.DUMMYFUNCTION("""COMPUTED_VALUE"""),146010.0)</f>
        <v>146010</v>
      </c>
      <c r="K4258" s="57">
        <f>IFERROR(__xludf.DUMMYFUNCTION("""COMPUTED_VALUE"""),45946.0)</f>
        <v>45946</v>
      </c>
      <c r="L4258" s="6" t="str">
        <f>IFERROR(__xludf.DUMMYFUNCTION("""COMPUTED_VALUE"""),"FIP Engineering")</f>
        <v>FIP Engineering</v>
      </c>
      <c r="M4258" s="6" t="str">
        <f>IFERROR(__xludf.DUMMYFUNCTION("""COMPUTED_VALUE"""),"Mochammad Fadhillah Hakim,")</f>
        <v>Mochammad Fadhillah Hakim,</v>
      </c>
      <c r="N4258" s="6" t="str">
        <f>IFERROR(__xludf.DUMMYFUNCTION("""COMPUTED_VALUE"""),"FIP Engineering")</f>
        <v>FIP Engineering</v>
      </c>
      <c r="O4258" s="6" t="str">
        <f>IFERROR(__xludf.DUMMYFUNCTION("""COMPUTED_VALUE"""),"FIP-DOM-000-11304-OS00001-INA-000000")</f>
        <v>FIP-DOM-000-11304-OS00001-INA-000000</v>
      </c>
      <c r="P4258" s="6" t="str">
        <f>IFERROR(__xludf.DUMMYFUNCTION("""COMPUTED_VALUE"""),"PO Closed")</f>
        <v>PO Closed</v>
      </c>
      <c r="Q4258" s="6" t="str">
        <f>IFERROR(__xludf.DUMMYFUNCTION("""COMPUTED_VALUE"""),"GL2509450")</f>
        <v>GL2509450</v>
      </c>
      <c r="R4258" s="57">
        <f>IFERROR(__xludf.DUMMYFUNCTION("""COMPUTED_VALUE"""),45874.0)</f>
        <v>45874</v>
      </c>
      <c r="S4258" s="57">
        <f>IFERROR(__xludf.DUMMYFUNCTION("""COMPUTED_VALUE"""),45894.0)</f>
        <v>45894</v>
      </c>
      <c r="T4258" s="57">
        <f>IFERROR(__xludf.DUMMYFUNCTION("""COMPUTED_VALUE"""),45946.0)</f>
        <v>45946</v>
      </c>
    </row>
    <row r="4259">
      <c r="A4259" s="6" t="str">
        <f>IFERROR(__xludf.DUMMYFUNCTION("""COMPUTED_VALUE"""),"121703059-8")</f>
        <v>121703059-8</v>
      </c>
      <c r="B4259" s="6" t="str">
        <f>IFERROR(__xludf.DUMMYFUNCTION("""COMPUTED_VALUE"""),"121703059 - APPROVED")</f>
        <v>121703059 - APPROVED</v>
      </c>
      <c r="C4259" s="6">
        <f>IFERROR(__xludf.DUMMYFUNCTION("""COMPUTED_VALUE"""),8.0)</f>
        <v>8</v>
      </c>
      <c r="D4259" s="6" t="str">
        <f>IFERROR(__xludf.DUMMYFUNCTION("""COMPUTED_VALUE"""),"O-20911-00")</f>
        <v>O-20911-00</v>
      </c>
      <c r="E4259" s="6" t="str">
        <f>IFERROR(__xludf.DUMMYFUNCTION("""COMPUTED_VALUE"""),"Capping VCM200 - Format Part 6R Uk 15x275x478; Custom/Lokal; -; 1 Pc")</f>
        <v>Capping VCM200 - Format Part 6R Uk 15x275x478; Custom/Lokal; -; 1 Pc</v>
      </c>
      <c r="F4259" s="6">
        <f>IFERROR(__xludf.DUMMYFUNCTION("""COMPUTED_VALUE"""),1.0)</f>
        <v>1</v>
      </c>
      <c r="G4259" s="6" t="str">
        <f>IFERROR(__xludf.DUMMYFUNCTION("""COMPUTED_VALUE"""),"Pieces")</f>
        <v>Pieces</v>
      </c>
      <c r="H4259" s="6" t="str">
        <f>IFERROR(__xludf.DUMMYFUNCTION("""COMPUTED_VALUE"""),"IDR")</f>
        <v>IDR</v>
      </c>
      <c r="I4259" s="6">
        <f>IFERROR(__xludf.DUMMYFUNCTION("""COMPUTED_VALUE"""),7150000.0)</f>
        <v>7150000</v>
      </c>
      <c r="J4259" s="6">
        <f>IFERROR(__xludf.DUMMYFUNCTION("""COMPUTED_VALUE"""),7150000.0)</f>
        <v>7150000</v>
      </c>
      <c r="K4259" s="57">
        <f>IFERROR(__xludf.DUMMYFUNCTION("""COMPUTED_VALUE"""),45946.0)</f>
        <v>45946</v>
      </c>
      <c r="L4259" s="6" t="str">
        <f>IFERROR(__xludf.DUMMYFUNCTION("""COMPUTED_VALUE"""),"FIP Engineering")</f>
        <v>FIP Engineering</v>
      </c>
      <c r="M4259" s="6" t="str">
        <f>IFERROR(__xludf.DUMMYFUNCTION("""COMPUTED_VALUE"""),"Mochammad Fadhillah Hakim,")</f>
        <v>Mochammad Fadhillah Hakim,</v>
      </c>
      <c r="N4259" s="6" t="str">
        <f>IFERROR(__xludf.DUMMYFUNCTION("""COMPUTED_VALUE"""),"FIP Engineering")</f>
        <v>FIP Engineering</v>
      </c>
      <c r="O4259" s="6" t="str">
        <f>IFERROR(__xludf.DUMMYFUNCTION("""COMPUTED_VALUE"""),"FIP-DOM-000-11304-OS00001-INA-000000")</f>
        <v>FIP-DOM-000-11304-OS00001-INA-000000</v>
      </c>
      <c r="P4259" s="6" t="str">
        <f>IFERROR(__xludf.DUMMYFUNCTION("""COMPUTED_VALUE"""),"PO Closed")</f>
        <v>PO Closed</v>
      </c>
      <c r="Q4259" s="6" t="str">
        <f>IFERROR(__xludf.DUMMYFUNCTION("""COMPUTED_VALUE"""),"GL2509450")</f>
        <v>GL2509450</v>
      </c>
      <c r="R4259" s="57">
        <f>IFERROR(__xludf.DUMMYFUNCTION("""COMPUTED_VALUE"""),45874.0)</f>
        <v>45874</v>
      </c>
      <c r="S4259" s="57">
        <f>IFERROR(__xludf.DUMMYFUNCTION("""COMPUTED_VALUE"""),45894.0)</f>
        <v>45894</v>
      </c>
      <c r="T4259" s="57">
        <f>IFERROR(__xludf.DUMMYFUNCTION("""COMPUTED_VALUE"""),45946.0)</f>
        <v>45946</v>
      </c>
    </row>
    <row r="4260">
      <c r="A4260" s="6" t="str">
        <f>IFERROR(__xludf.DUMMYFUNCTION("""COMPUTED_VALUE"""),"121703059-9")</f>
        <v>121703059-9</v>
      </c>
      <c r="B4260" s="6" t="str">
        <f>IFERROR(__xludf.DUMMYFUNCTION("""COMPUTED_VALUE"""),"121703059 - APPROVED")</f>
        <v>121703059 - APPROVED</v>
      </c>
      <c r="C4260" s="6">
        <f>IFERROR(__xludf.DUMMYFUNCTION("""COMPUTED_VALUE"""),9.0)</f>
        <v>9</v>
      </c>
      <c r="D4260" s="6" t="str">
        <f>IFERROR(__xludf.DUMMYFUNCTION("""COMPUTED_VALUE"""),"O-20912-00")</f>
        <v>O-20912-00</v>
      </c>
      <c r="E4260" s="6" t="str">
        <f>IFERROR(__xludf.DUMMYFUNCTION("""COMPUTED_VALUE"""),"Capping VCM200 - Format Part 10R Uk 20x275x478; Custom/Lokal; -; 1 Pc")</f>
        <v>Capping VCM200 - Format Part 10R Uk 20x275x478; Custom/Lokal; -; 1 Pc</v>
      </c>
      <c r="F4260" s="6">
        <f>IFERROR(__xludf.DUMMYFUNCTION("""COMPUTED_VALUE"""),1.0)</f>
        <v>1</v>
      </c>
      <c r="G4260" s="6" t="str">
        <f>IFERROR(__xludf.DUMMYFUNCTION("""COMPUTED_VALUE"""),"Pieces")</f>
        <v>Pieces</v>
      </c>
      <c r="H4260" s="6" t="str">
        <f>IFERROR(__xludf.DUMMYFUNCTION("""COMPUTED_VALUE"""),"IDR")</f>
        <v>IDR</v>
      </c>
      <c r="I4260" s="6">
        <f>IFERROR(__xludf.DUMMYFUNCTION("""COMPUTED_VALUE"""),7355000.0)</f>
        <v>7355000</v>
      </c>
      <c r="J4260" s="6">
        <f>IFERROR(__xludf.DUMMYFUNCTION("""COMPUTED_VALUE"""),7355000.0)</f>
        <v>7355000</v>
      </c>
      <c r="K4260" s="57">
        <f>IFERROR(__xludf.DUMMYFUNCTION("""COMPUTED_VALUE"""),45946.0)</f>
        <v>45946</v>
      </c>
      <c r="L4260" s="6" t="str">
        <f>IFERROR(__xludf.DUMMYFUNCTION("""COMPUTED_VALUE"""),"FIP Engineering")</f>
        <v>FIP Engineering</v>
      </c>
      <c r="M4260" s="6" t="str">
        <f>IFERROR(__xludf.DUMMYFUNCTION("""COMPUTED_VALUE"""),"Mochammad Fadhillah Hakim,")</f>
        <v>Mochammad Fadhillah Hakim,</v>
      </c>
      <c r="N4260" s="6" t="str">
        <f>IFERROR(__xludf.DUMMYFUNCTION("""COMPUTED_VALUE"""),"FIP Engineering")</f>
        <v>FIP Engineering</v>
      </c>
      <c r="O4260" s="6" t="str">
        <f>IFERROR(__xludf.DUMMYFUNCTION("""COMPUTED_VALUE"""),"FIP-DOM-000-11304-OS00001-INA-000000")</f>
        <v>FIP-DOM-000-11304-OS00001-INA-000000</v>
      </c>
      <c r="P4260" s="6" t="str">
        <f>IFERROR(__xludf.DUMMYFUNCTION("""COMPUTED_VALUE"""),"PO Closed")</f>
        <v>PO Closed</v>
      </c>
      <c r="Q4260" s="6" t="str">
        <f>IFERROR(__xludf.DUMMYFUNCTION("""COMPUTED_VALUE"""),"GL2509450")</f>
        <v>GL2509450</v>
      </c>
      <c r="R4260" s="57">
        <f>IFERROR(__xludf.DUMMYFUNCTION("""COMPUTED_VALUE"""),45874.0)</f>
        <v>45874</v>
      </c>
      <c r="S4260" s="57">
        <f>IFERROR(__xludf.DUMMYFUNCTION("""COMPUTED_VALUE"""),45894.0)</f>
        <v>45894</v>
      </c>
      <c r="T4260" s="57">
        <f>IFERROR(__xludf.DUMMYFUNCTION("""COMPUTED_VALUE"""),45946.0)</f>
        <v>45946</v>
      </c>
    </row>
    <row r="4261">
      <c r="A4261" s="6" t="str">
        <f>IFERROR(__xludf.DUMMYFUNCTION("""COMPUTED_VALUE"""),"121703060-1")</f>
        <v>121703060-1</v>
      </c>
      <c r="B4261" s="6" t="str">
        <f>IFERROR(__xludf.DUMMYFUNCTION("""COMPUTED_VALUE"""),"121703060 - APPROVED")</f>
        <v>121703060 - APPROVED</v>
      </c>
      <c r="C4261" s="6">
        <f>IFERROR(__xludf.DUMMYFUNCTION("""COMPUTED_VALUE"""),1.0)</f>
        <v>1</v>
      </c>
      <c r="D4261" s="6" t="str">
        <f>IFERROR(__xludf.DUMMYFUNCTION("""COMPUTED_VALUE"""),"P-18620-00")</f>
        <v>P-18620-00</v>
      </c>
      <c r="E4261" s="6" t="str">
        <f>IFERROR(__xludf.DUMMYFUNCTION("""COMPUTED_VALUE"""),"Filling VFM100 - Piringan Loadcell Material SUS304; ; ;")</f>
        <v>Filling VFM100 - Piringan Loadcell Material SUS304; ; ;</v>
      </c>
      <c r="F4261" s="6">
        <f>IFERROR(__xludf.DUMMYFUNCTION("""COMPUTED_VALUE"""),2.0)</f>
        <v>2</v>
      </c>
      <c r="G4261" s="6" t="str">
        <f>IFERROR(__xludf.DUMMYFUNCTION("""COMPUTED_VALUE"""),"Pieces")</f>
        <v>Pieces</v>
      </c>
      <c r="H4261" s="6" t="str">
        <f>IFERROR(__xludf.DUMMYFUNCTION("""COMPUTED_VALUE"""),"IDR")</f>
        <v>IDR</v>
      </c>
      <c r="I4261" s="6">
        <f>IFERROR(__xludf.DUMMYFUNCTION("""COMPUTED_VALUE"""),225000.0)</f>
        <v>225000</v>
      </c>
      <c r="J4261" s="6">
        <f>IFERROR(__xludf.DUMMYFUNCTION("""COMPUTED_VALUE"""),450000.0)</f>
        <v>450000</v>
      </c>
      <c r="K4261" s="57">
        <f>IFERROR(__xludf.DUMMYFUNCTION("""COMPUTED_VALUE"""),45946.0)</f>
        <v>45946</v>
      </c>
      <c r="L4261" s="6" t="str">
        <f>IFERROR(__xludf.DUMMYFUNCTION("""COMPUTED_VALUE"""),"FIP Engineering")</f>
        <v>FIP Engineering</v>
      </c>
      <c r="M4261" s="6" t="str">
        <f>IFERROR(__xludf.DUMMYFUNCTION("""COMPUTED_VALUE"""),"Mochammad Fadhillah Hakim,")</f>
        <v>Mochammad Fadhillah Hakim,</v>
      </c>
      <c r="N4261" s="6" t="str">
        <f>IFERROR(__xludf.DUMMYFUNCTION("""COMPUTED_VALUE"""),"FIP Engineering")</f>
        <v>FIP Engineering</v>
      </c>
      <c r="O4261" s="6" t="str">
        <f>IFERROR(__xludf.DUMMYFUNCTION("""COMPUTED_VALUE"""),"FIP-DOM-000-11304-OS00001-INA-000000")</f>
        <v>FIP-DOM-000-11304-OS00001-INA-000000</v>
      </c>
      <c r="P4261" s="6" t="str">
        <f>IFERROR(__xludf.DUMMYFUNCTION("""COMPUTED_VALUE"""),"PO Closed")</f>
        <v>PO Closed</v>
      </c>
      <c r="Q4261" s="6" t="str">
        <f>IFERROR(__xludf.DUMMYFUNCTION("""COMPUTED_VALUE"""),"GL2508043")</f>
        <v>GL2508043</v>
      </c>
      <c r="R4261" s="57">
        <f>IFERROR(__xludf.DUMMYFUNCTION("""COMPUTED_VALUE"""),45874.0)</f>
        <v>45874</v>
      </c>
      <c r="S4261" s="57">
        <f>IFERROR(__xludf.DUMMYFUNCTION("""COMPUTED_VALUE"""),45875.0)</f>
        <v>45875</v>
      </c>
      <c r="T4261" s="57">
        <f>IFERROR(__xludf.DUMMYFUNCTION("""COMPUTED_VALUE"""),45946.0)</f>
        <v>45946</v>
      </c>
    </row>
    <row r="4262">
      <c r="A4262" s="6" t="str">
        <f>IFERROR(__xludf.DUMMYFUNCTION("""COMPUTED_VALUE"""),"121703061-1")</f>
        <v>121703061-1</v>
      </c>
      <c r="B4262" s="6" t="str">
        <f>IFERROR(__xludf.DUMMYFUNCTION("""COMPUTED_VALUE"""),"121703061 - APPROVED")</f>
        <v>121703061 - APPROVED</v>
      </c>
      <c r="C4262" s="6">
        <f>IFERROR(__xludf.DUMMYFUNCTION("""COMPUTED_VALUE"""),1.0)</f>
        <v>1</v>
      </c>
      <c r="D4262" s="6" t="str">
        <f>IFERROR(__xludf.DUMMYFUNCTION("""COMPUTED_VALUE"""),"P-10564-00")</f>
        <v>P-10564-00</v>
      </c>
      <c r="E4262" s="6" t="str">
        <f>IFERROR(__xludf.DUMMYFUNCTION("""COMPUTED_VALUE"""),"Bearing 6000 2RS H SKF")</f>
        <v>Bearing 6000 2RS H SKF</v>
      </c>
      <c r="F4262" s="6">
        <f>IFERROR(__xludf.DUMMYFUNCTION("""COMPUTED_VALUE"""),10.0)</f>
        <v>10</v>
      </c>
      <c r="G4262" s="6" t="str">
        <f>IFERROR(__xludf.DUMMYFUNCTION("""COMPUTED_VALUE"""),"Pieces")</f>
        <v>Pieces</v>
      </c>
      <c r="H4262" s="6" t="str">
        <f>IFERROR(__xludf.DUMMYFUNCTION("""COMPUTED_VALUE"""),"IDR")</f>
        <v>IDR</v>
      </c>
      <c r="I4262" s="6">
        <f>IFERROR(__xludf.DUMMYFUNCTION("""COMPUTED_VALUE"""),30000.0)</f>
        <v>30000</v>
      </c>
      <c r="J4262" s="6">
        <f>IFERROR(__xludf.DUMMYFUNCTION("""COMPUTED_VALUE"""),300000.0)</f>
        <v>300000</v>
      </c>
      <c r="K4262" s="57">
        <f>IFERROR(__xludf.DUMMYFUNCTION("""COMPUTED_VALUE"""),45905.0)</f>
        <v>45905</v>
      </c>
      <c r="L4262" s="6" t="str">
        <f>IFERROR(__xludf.DUMMYFUNCTION("""COMPUTED_VALUE"""),"FIP Engineering")</f>
        <v>FIP Engineering</v>
      </c>
      <c r="M4262" s="6" t="str">
        <f>IFERROR(__xludf.DUMMYFUNCTION("""COMPUTED_VALUE"""),"Mochammad Fadhillah Hakim,")</f>
        <v>Mochammad Fadhillah Hakim,</v>
      </c>
      <c r="N4262" s="6" t="str">
        <f>IFERROR(__xludf.DUMMYFUNCTION("""COMPUTED_VALUE"""),"FIP Engineering")</f>
        <v>FIP Engineering</v>
      </c>
      <c r="O4262" s="6" t="str">
        <f>IFERROR(__xludf.DUMMYFUNCTION("""COMPUTED_VALUE"""),"FIP-DOM-000-11304-OS00001-INA-000000")</f>
        <v>FIP-DOM-000-11304-OS00001-INA-000000</v>
      </c>
      <c r="P4262" s="6" t="str">
        <f>IFERROR(__xludf.DUMMYFUNCTION("""COMPUTED_VALUE"""),"PO Closed")</f>
        <v>PO Closed</v>
      </c>
      <c r="Q4262" s="6" t="str">
        <f>IFERROR(__xludf.DUMMYFUNCTION("""COMPUTED_VALUE"""),"GL2508042")</f>
        <v>GL2508042</v>
      </c>
      <c r="R4262" s="57">
        <f>IFERROR(__xludf.DUMMYFUNCTION("""COMPUTED_VALUE"""),45874.0)</f>
        <v>45874</v>
      </c>
      <c r="S4262" s="57">
        <f>IFERROR(__xludf.DUMMYFUNCTION("""COMPUTED_VALUE"""),45875.0)</f>
        <v>45875</v>
      </c>
      <c r="T4262" s="57">
        <f>IFERROR(__xludf.DUMMYFUNCTION("""COMPUTED_VALUE"""),45915.0)</f>
        <v>45915</v>
      </c>
    </row>
    <row r="4263">
      <c r="A4263" s="6" t="str">
        <f>IFERROR(__xludf.DUMMYFUNCTION("""COMPUTED_VALUE"""),"121703063-1")</f>
        <v>121703063-1</v>
      </c>
      <c r="B4263" s="6" t="str">
        <f>IFERROR(__xludf.DUMMYFUNCTION("""COMPUTED_VALUE"""),"121703063 - APPROVED")</f>
        <v>121703063 - APPROVED</v>
      </c>
      <c r="C4263" s="6">
        <f>IFERROR(__xludf.DUMMYFUNCTION("""COMPUTED_VALUE"""),1.0)</f>
        <v>1</v>
      </c>
      <c r="D4263" s="6" t="str">
        <f>IFERROR(__xludf.DUMMYFUNCTION("""COMPUTED_VALUE"""),"T-80145-00")</f>
        <v>T-80145-00</v>
      </c>
      <c r="E4263" s="6" t="str">
        <f>IFERROR(__xludf.DUMMYFUNCTION("""COMPUTED_VALUE"""),"Cutter Besar L-500 (18 mm); 5 pc/pck")</f>
        <v>Cutter Besar L-500 (18 mm); 5 pc/pck</v>
      </c>
      <c r="F4263" s="6">
        <f>IFERROR(__xludf.DUMMYFUNCTION("""COMPUTED_VALUE"""),3.0)</f>
        <v>3</v>
      </c>
      <c r="G4263" s="6" t="str">
        <f>IFERROR(__xludf.DUMMYFUNCTION("""COMPUTED_VALUE"""),"Pieces")</f>
        <v>Pieces</v>
      </c>
      <c r="H4263" s="6" t="str">
        <f>IFERROR(__xludf.DUMMYFUNCTION("""COMPUTED_VALUE"""),"IDR")</f>
        <v>IDR</v>
      </c>
      <c r="I4263" s="6">
        <f>IFERROR(__xludf.DUMMYFUNCTION("""COMPUTED_VALUE"""),14000.0)</f>
        <v>14000</v>
      </c>
      <c r="J4263" s="6">
        <f>IFERROR(__xludf.DUMMYFUNCTION("""COMPUTED_VALUE"""),42000.0)</f>
        <v>42000</v>
      </c>
      <c r="K4263" s="57">
        <f>IFERROR(__xludf.DUMMYFUNCTION("""COMPUTED_VALUE"""),45905.0)</f>
        <v>45905</v>
      </c>
      <c r="L4263" s="6" t="str">
        <f>IFERROR(__xludf.DUMMYFUNCTION("""COMPUTED_VALUE"""),"FIP General")</f>
        <v>FIP General</v>
      </c>
      <c r="M4263" s="6" t="str">
        <f>IFERROR(__xludf.DUMMYFUNCTION("""COMPUTED_VALUE"""),"Mochammad Fadhillah Hakim,")</f>
        <v>Mochammad Fadhillah Hakim,</v>
      </c>
      <c r="N4263" s="6" t="str">
        <f>IFERROR(__xludf.DUMMYFUNCTION("""COMPUTED_VALUE"""),"FIP Engineering")</f>
        <v>FIP Engineering</v>
      </c>
      <c r="O4263" s="6" t="str">
        <f>IFERROR(__xludf.DUMMYFUNCTION("""COMPUTED_VALUE"""),"FIP-DOM-ENG-51411-0000000-INA-000000")</f>
        <v>FIP-DOM-ENG-51411-0000000-INA-000000</v>
      </c>
      <c r="P4263" s="6" t="str">
        <f>IFERROR(__xludf.DUMMYFUNCTION("""COMPUTED_VALUE"""),"PO Closed")</f>
        <v>PO Closed</v>
      </c>
      <c r="Q4263" s="6" t="str">
        <f>IFERROR(__xludf.DUMMYFUNCTION("""COMPUTED_VALUE"""),"GL2508031")</f>
        <v>GL2508031</v>
      </c>
      <c r="R4263" s="57">
        <f>IFERROR(__xludf.DUMMYFUNCTION("""COMPUTED_VALUE"""),45874.0)</f>
        <v>45874</v>
      </c>
      <c r="S4263" s="57">
        <f>IFERROR(__xludf.DUMMYFUNCTION("""COMPUTED_VALUE"""),45875.0)</f>
        <v>45875</v>
      </c>
      <c r="T4263" s="57">
        <f>IFERROR(__xludf.DUMMYFUNCTION("""COMPUTED_VALUE"""),45891.0)</f>
        <v>45891</v>
      </c>
    </row>
    <row r="4264">
      <c r="A4264" s="6" t="str">
        <f>IFERROR(__xludf.DUMMYFUNCTION("""COMPUTED_VALUE"""),"121703063-2")</f>
        <v>121703063-2</v>
      </c>
      <c r="B4264" s="6" t="str">
        <f>IFERROR(__xludf.DUMMYFUNCTION("""COMPUTED_VALUE"""),"121703063 - APPROVED")</f>
        <v>121703063 - APPROVED</v>
      </c>
      <c r="C4264" s="6">
        <f>IFERROR(__xludf.DUMMYFUNCTION("""COMPUTED_VALUE"""),2.0)</f>
        <v>2</v>
      </c>
      <c r="D4264" s="6" t="str">
        <f>IFERROR(__xludf.DUMMYFUNCTION("""COMPUTED_VALUE"""),"T-80184-00")</f>
        <v>T-80184-00</v>
      </c>
      <c r="E4264" s="6" t="str">
        <f>IFERROR(__xludf.DUMMYFUNCTION("""COMPUTED_VALUE"""),"Gunting Besar (8,5 Inch); pc")</f>
        <v>Gunting Besar (8,5 Inch); pc</v>
      </c>
      <c r="F4264" s="6">
        <f>IFERROR(__xludf.DUMMYFUNCTION("""COMPUTED_VALUE"""),3.0)</f>
        <v>3</v>
      </c>
      <c r="G4264" s="6" t="str">
        <f>IFERROR(__xludf.DUMMYFUNCTION("""COMPUTED_VALUE"""),"Pieces")</f>
        <v>Pieces</v>
      </c>
      <c r="H4264" s="6" t="str">
        <f>IFERROR(__xludf.DUMMYFUNCTION("""COMPUTED_VALUE"""),"IDR")</f>
        <v>IDR</v>
      </c>
      <c r="I4264" s="6">
        <f>IFERROR(__xludf.DUMMYFUNCTION("""COMPUTED_VALUE"""),12000.0)</f>
        <v>12000</v>
      </c>
      <c r="J4264" s="6">
        <f>IFERROR(__xludf.DUMMYFUNCTION("""COMPUTED_VALUE"""),36000.0)</f>
        <v>36000</v>
      </c>
      <c r="K4264" s="57">
        <f>IFERROR(__xludf.DUMMYFUNCTION("""COMPUTED_VALUE"""),45905.0)</f>
        <v>45905</v>
      </c>
      <c r="L4264" s="6" t="str">
        <f>IFERROR(__xludf.DUMMYFUNCTION("""COMPUTED_VALUE"""),"FIP General")</f>
        <v>FIP General</v>
      </c>
      <c r="M4264" s="6" t="str">
        <f>IFERROR(__xludf.DUMMYFUNCTION("""COMPUTED_VALUE"""),"Mochammad Fadhillah Hakim,")</f>
        <v>Mochammad Fadhillah Hakim,</v>
      </c>
      <c r="N4264" s="6" t="str">
        <f>IFERROR(__xludf.DUMMYFUNCTION("""COMPUTED_VALUE"""),"FIP Engineering")</f>
        <v>FIP Engineering</v>
      </c>
      <c r="O4264" s="6" t="str">
        <f>IFERROR(__xludf.DUMMYFUNCTION("""COMPUTED_VALUE"""),"FIP-DOM-ENG-51411-0000000-INA-000000")</f>
        <v>FIP-DOM-ENG-51411-0000000-INA-000000</v>
      </c>
      <c r="P4264" s="6" t="str">
        <f>IFERROR(__xludf.DUMMYFUNCTION("""COMPUTED_VALUE"""),"PO Closed")</f>
        <v>PO Closed</v>
      </c>
      <c r="Q4264" s="6" t="str">
        <f>IFERROR(__xludf.DUMMYFUNCTION("""COMPUTED_VALUE"""),"GL2508031")</f>
        <v>GL2508031</v>
      </c>
      <c r="R4264" s="57">
        <f>IFERROR(__xludf.DUMMYFUNCTION("""COMPUTED_VALUE"""),45874.0)</f>
        <v>45874</v>
      </c>
      <c r="S4264" s="57">
        <f>IFERROR(__xludf.DUMMYFUNCTION("""COMPUTED_VALUE"""),45875.0)</f>
        <v>45875</v>
      </c>
      <c r="T4264" s="57">
        <f>IFERROR(__xludf.DUMMYFUNCTION("""COMPUTED_VALUE"""),45891.0)</f>
        <v>45891</v>
      </c>
    </row>
    <row r="4265">
      <c r="A4265" s="6" t="str">
        <f>IFERROR(__xludf.DUMMYFUNCTION("""COMPUTED_VALUE"""),"121703064-1")</f>
        <v>121703064-1</v>
      </c>
      <c r="B4265" s="6" t="str">
        <f>IFERROR(__xludf.DUMMYFUNCTION("""COMPUTED_VALUE"""),"121703064 - APPROVED")</f>
        <v>121703064 - APPROVED</v>
      </c>
      <c r="C4265" s="6">
        <f>IFERROR(__xludf.DUMMYFUNCTION("""COMPUTED_VALUE"""),1.0)</f>
        <v>1</v>
      </c>
      <c r="D4265" s="6" t="str">
        <f>IFERROR(__xludf.DUMMYFUNCTION("""COMPUTED_VALUE"""),"O-51000-00")</f>
        <v>O-51000-00</v>
      </c>
      <c r="E4265" s="6" t="str">
        <f>IFERROR(__xludf.DUMMYFUNCTION("""COMPUTED_VALUE"""),"Colamark - Print Head for Part TTO Domino p/n EPP001359 SP; ; ;")</f>
        <v>Colamark - Print Head for Part TTO Domino p/n EPP001359 SP; ; ;</v>
      </c>
      <c r="F4265" s="6">
        <f>IFERROR(__xludf.DUMMYFUNCTION("""COMPUTED_VALUE"""),1.0)</f>
        <v>1</v>
      </c>
      <c r="G4265" s="6" t="str">
        <f>IFERROR(__xludf.DUMMYFUNCTION("""COMPUTED_VALUE"""),"Pieces")</f>
        <v>Pieces</v>
      </c>
      <c r="H4265" s="6" t="str">
        <f>IFERROR(__xludf.DUMMYFUNCTION("""COMPUTED_VALUE"""),"IDR")</f>
        <v>IDR</v>
      </c>
      <c r="I4265" s="6">
        <f>IFERROR(__xludf.DUMMYFUNCTION("""COMPUTED_VALUE"""),1.236E7)</f>
        <v>12360000</v>
      </c>
      <c r="J4265" s="6">
        <f>IFERROR(__xludf.DUMMYFUNCTION("""COMPUTED_VALUE"""),1.236E7)</f>
        <v>12360000</v>
      </c>
      <c r="K4265" s="57">
        <f>IFERROR(__xludf.DUMMYFUNCTION("""COMPUTED_VALUE"""),45940.0)</f>
        <v>45940</v>
      </c>
      <c r="L4265" s="6" t="str">
        <f>IFERROR(__xludf.DUMMYFUNCTION("""COMPUTED_VALUE"""),"FIP General")</f>
        <v>FIP General</v>
      </c>
      <c r="M4265" s="6" t="str">
        <f>IFERROR(__xludf.DUMMYFUNCTION("""COMPUTED_VALUE"""),"Mochammad Fadhillah Hakim,")</f>
        <v>Mochammad Fadhillah Hakim,</v>
      </c>
      <c r="N4265" s="6" t="str">
        <f>IFERROR(__xludf.DUMMYFUNCTION("""COMPUTED_VALUE"""),"FIP Engineering")</f>
        <v>FIP Engineering</v>
      </c>
      <c r="O4265" s="6" t="str">
        <f>IFERROR(__xludf.DUMMYFUNCTION("""COMPUTED_VALUE"""),"FIP-DOM-ENG-51504-0000000-INA-000000")</f>
        <v>FIP-DOM-ENG-51504-0000000-INA-000000</v>
      </c>
      <c r="P4265" s="6" t="str">
        <f>IFERROR(__xludf.DUMMYFUNCTION("""COMPUTED_VALUE"""),"PO Closed")</f>
        <v>PO Closed</v>
      </c>
      <c r="Q4265" s="6" t="str">
        <f>IFERROR(__xludf.DUMMYFUNCTION("""COMPUTED_VALUE"""),"GL2508440")</f>
        <v>GL2508440</v>
      </c>
      <c r="R4265" s="57">
        <f>IFERROR(__xludf.DUMMYFUNCTION("""COMPUTED_VALUE"""),45874.0)</f>
        <v>45874</v>
      </c>
      <c r="S4265" s="57">
        <f>IFERROR(__xludf.DUMMYFUNCTION("""COMPUTED_VALUE"""),45875.0)</f>
        <v>45875</v>
      </c>
      <c r="T4265" s="57">
        <f>IFERROR(__xludf.DUMMYFUNCTION("""COMPUTED_VALUE"""),45940.0)</f>
        <v>45940</v>
      </c>
    </row>
    <row r="4266">
      <c r="A4266" s="6" t="str">
        <f>IFERROR(__xludf.DUMMYFUNCTION("""COMPUTED_VALUE"""),"121703066-1")</f>
        <v>121703066-1</v>
      </c>
      <c r="B4266" s="6" t="str">
        <f>IFERROR(__xludf.DUMMYFUNCTION("""COMPUTED_VALUE"""),"121703066 - APPROVED")</f>
        <v>121703066 - APPROVED</v>
      </c>
      <c r="C4266" s="6">
        <f>IFERROR(__xludf.DUMMYFUNCTION("""COMPUTED_VALUE"""),1.0)</f>
        <v>1</v>
      </c>
      <c r="D4266" s="6" t="str">
        <f>IFERROR(__xludf.DUMMYFUNCTION("""COMPUTED_VALUE"""),"O-15914-00")</f>
        <v>O-15914-00</v>
      </c>
      <c r="E4266" s="6" t="str">
        <f>IFERROR(__xludf.DUMMYFUNCTION("""COMPUTED_VALUE"""),"Fedegari FVA2/A1 - O-RING 34.52x3.53; Code : CC150171; ; ;")</f>
        <v>Fedegari FVA2/A1 - O-RING 34.52x3.53; Code : CC150171; ; ;</v>
      </c>
      <c r="F4266" s="6">
        <f>IFERROR(__xludf.DUMMYFUNCTION("""COMPUTED_VALUE"""),18.0)</f>
        <v>18</v>
      </c>
      <c r="G4266" s="6" t="str">
        <f>IFERROR(__xludf.DUMMYFUNCTION("""COMPUTED_VALUE"""),"Unit")</f>
        <v>Unit</v>
      </c>
      <c r="H4266" s="6" t="str">
        <f>IFERROR(__xludf.DUMMYFUNCTION("""COMPUTED_VALUE"""),"IDR")</f>
        <v>IDR</v>
      </c>
      <c r="I4266" s="6">
        <f>IFERROR(__xludf.DUMMYFUNCTION("""COMPUTED_VALUE"""),55583.0)</f>
        <v>55583</v>
      </c>
      <c r="J4266" s="6">
        <f>IFERROR(__xludf.DUMMYFUNCTION("""COMPUTED_VALUE"""),1000494.0)</f>
        <v>1000494</v>
      </c>
      <c r="K4266" s="57">
        <f>IFERROR(__xludf.DUMMYFUNCTION("""COMPUTED_VALUE"""),45940.0)</f>
        <v>45940</v>
      </c>
      <c r="L4266" s="6" t="str">
        <f>IFERROR(__xludf.DUMMYFUNCTION("""COMPUTED_VALUE"""),"FIP Engineering")</f>
        <v>FIP Engineering</v>
      </c>
      <c r="M4266" s="6" t="str">
        <f>IFERROR(__xludf.DUMMYFUNCTION("""COMPUTED_VALUE"""),"Mochammad Fadhillah Hakim,")</f>
        <v>Mochammad Fadhillah Hakim,</v>
      </c>
      <c r="N4266" s="6" t="str">
        <f>IFERROR(__xludf.DUMMYFUNCTION("""COMPUTED_VALUE"""),"FIP Engineering")</f>
        <v>FIP Engineering</v>
      </c>
      <c r="O4266" s="6" t="str">
        <f>IFERROR(__xludf.DUMMYFUNCTION("""COMPUTED_VALUE"""),"FIP-DOM-000-11304-OS00001-INA-000000")</f>
        <v>FIP-DOM-000-11304-OS00001-INA-000000</v>
      </c>
      <c r="P4266" s="6" t="str">
        <f>IFERROR(__xludf.DUMMYFUNCTION("""COMPUTED_VALUE"""),"PO Closed")</f>
        <v>PO Closed</v>
      </c>
      <c r="Q4266" s="6" t="str">
        <f>IFERROR(__xludf.DUMMYFUNCTION("""COMPUTED_VALUE"""),"GL2510462")</f>
        <v>GL2510462</v>
      </c>
      <c r="R4266" s="57">
        <f>IFERROR(__xludf.DUMMYFUNCTION("""COMPUTED_VALUE"""),45875.0)</f>
        <v>45875</v>
      </c>
      <c r="S4266" s="57">
        <f>IFERROR(__xludf.DUMMYFUNCTION("""COMPUTED_VALUE"""),45908.0)</f>
        <v>45908</v>
      </c>
      <c r="T4266" s="57">
        <f>IFERROR(__xludf.DUMMYFUNCTION("""COMPUTED_VALUE"""),45971.0)</f>
        <v>45971</v>
      </c>
    </row>
    <row r="4267">
      <c r="A4267" s="6" t="str">
        <f>IFERROR(__xludf.DUMMYFUNCTION("""COMPUTED_VALUE"""),"121703066-2")</f>
        <v>121703066-2</v>
      </c>
      <c r="B4267" s="6" t="str">
        <f>IFERROR(__xludf.DUMMYFUNCTION("""COMPUTED_VALUE"""),"121703066 - APPROVED")</f>
        <v>121703066 - APPROVED</v>
      </c>
      <c r="C4267" s="6">
        <f>IFERROR(__xludf.DUMMYFUNCTION("""COMPUTED_VALUE"""),2.0)</f>
        <v>2</v>
      </c>
      <c r="D4267" s="6" t="str">
        <f>IFERROR(__xludf.DUMMYFUNCTION("""COMPUTED_VALUE"""),"O-15918-00")</f>
        <v>O-15918-00</v>
      </c>
      <c r="E4267" s="6" t="str">
        <f>IFERROR(__xludf.DUMMYFUNCTION("""COMPUTED_VALUE"""),"Fedegari FVA2/A1 - O-RING 15.47x3.53 ; Code : CC150170; ; ;")</f>
        <v>Fedegari FVA2/A1 - O-RING 15.47x3.53 ; Code : CC150170; ; ;</v>
      </c>
      <c r="F4267" s="6">
        <f>IFERROR(__xludf.DUMMYFUNCTION("""COMPUTED_VALUE"""),18.0)</f>
        <v>18</v>
      </c>
      <c r="G4267" s="6" t="str">
        <f>IFERROR(__xludf.DUMMYFUNCTION("""COMPUTED_VALUE"""),"Unit")</f>
        <v>Unit</v>
      </c>
      <c r="H4267" s="6" t="str">
        <f>IFERROR(__xludf.DUMMYFUNCTION("""COMPUTED_VALUE"""),"IDR")</f>
        <v>IDR</v>
      </c>
      <c r="I4267" s="6">
        <f>IFERROR(__xludf.DUMMYFUNCTION("""COMPUTED_VALUE"""),59559.0)</f>
        <v>59559</v>
      </c>
      <c r="J4267" s="6">
        <f>IFERROR(__xludf.DUMMYFUNCTION("""COMPUTED_VALUE"""),1072062.0)</f>
        <v>1072062</v>
      </c>
      <c r="K4267" s="57">
        <f>IFERROR(__xludf.DUMMYFUNCTION("""COMPUTED_VALUE"""),45940.0)</f>
        <v>45940</v>
      </c>
      <c r="L4267" s="6" t="str">
        <f>IFERROR(__xludf.DUMMYFUNCTION("""COMPUTED_VALUE"""),"FIP Engineering")</f>
        <v>FIP Engineering</v>
      </c>
      <c r="M4267" s="6" t="str">
        <f>IFERROR(__xludf.DUMMYFUNCTION("""COMPUTED_VALUE"""),"Mochammad Fadhillah Hakim,")</f>
        <v>Mochammad Fadhillah Hakim,</v>
      </c>
      <c r="N4267" s="6" t="str">
        <f>IFERROR(__xludf.DUMMYFUNCTION("""COMPUTED_VALUE"""),"FIP Engineering")</f>
        <v>FIP Engineering</v>
      </c>
      <c r="O4267" s="6" t="str">
        <f>IFERROR(__xludf.DUMMYFUNCTION("""COMPUTED_VALUE"""),"FIP-DOM-000-11304-OS00001-INA-000000")</f>
        <v>FIP-DOM-000-11304-OS00001-INA-000000</v>
      </c>
      <c r="P4267" s="6" t="str">
        <f>IFERROR(__xludf.DUMMYFUNCTION("""COMPUTED_VALUE"""),"PO Closed")</f>
        <v>PO Closed</v>
      </c>
      <c r="Q4267" s="6" t="str">
        <f>IFERROR(__xludf.DUMMYFUNCTION("""COMPUTED_VALUE"""),"GL2510462")</f>
        <v>GL2510462</v>
      </c>
      <c r="R4267" s="57">
        <f>IFERROR(__xludf.DUMMYFUNCTION("""COMPUTED_VALUE"""),45875.0)</f>
        <v>45875</v>
      </c>
      <c r="S4267" s="57">
        <f>IFERROR(__xludf.DUMMYFUNCTION("""COMPUTED_VALUE"""),45908.0)</f>
        <v>45908</v>
      </c>
      <c r="T4267" s="57">
        <f>IFERROR(__xludf.DUMMYFUNCTION("""COMPUTED_VALUE"""),45971.0)</f>
        <v>45971</v>
      </c>
    </row>
    <row r="4268">
      <c r="A4268" s="6" t="str">
        <f>IFERROR(__xludf.DUMMYFUNCTION("""COMPUTED_VALUE"""),"121703067-1")</f>
        <v>121703067-1</v>
      </c>
      <c r="B4268" s="6" t="str">
        <f>IFERROR(__xludf.DUMMYFUNCTION("""COMPUTED_VALUE"""),"121703067 - APPROVED")</f>
        <v>121703067 - APPROVED</v>
      </c>
      <c r="C4268" s="6">
        <f>IFERROR(__xludf.DUMMYFUNCTION("""COMPUTED_VALUE"""),1.0)</f>
        <v>1</v>
      </c>
      <c r="D4268" s="6" t="str">
        <f>IFERROR(__xludf.DUMMYFUNCTION("""COMPUTED_VALUE"""),"P-16972-00")</f>
        <v>P-16972-00</v>
      </c>
      <c r="E4268" s="6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F4268" s="6">
        <f>IFERROR(__xludf.DUMMYFUNCTION("""COMPUTED_VALUE"""),2.0)</f>
        <v>2</v>
      </c>
      <c r="G4268" s="6" t="str">
        <f>IFERROR(__xludf.DUMMYFUNCTION("""COMPUTED_VALUE"""),"Unit")</f>
        <v>Unit</v>
      </c>
      <c r="H4268" s="6" t="str">
        <f>IFERROR(__xludf.DUMMYFUNCTION("""COMPUTED_VALUE"""),"IDR")</f>
        <v>IDR</v>
      </c>
      <c r="I4268" s="6">
        <f>IFERROR(__xludf.DUMMYFUNCTION("""COMPUTED_VALUE"""),3735000.0)</f>
        <v>3735000</v>
      </c>
      <c r="J4268" s="6">
        <f>IFERROR(__xludf.DUMMYFUNCTION("""COMPUTED_VALUE"""),7470000.0)</f>
        <v>7470000</v>
      </c>
      <c r="K4268" s="57">
        <f>IFERROR(__xludf.DUMMYFUNCTION("""COMPUTED_VALUE"""),45912.0)</f>
        <v>45912</v>
      </c>
      <c r="L4268" s="6" t="str">
        <f>IFERROR(__xludf.DUMMYFUNCTION("""COMPUTED_VALUE"""),"FIP Engineering")</f>
        <v>FIP Engineering</v>
      </c>
      <c r="M4268" s="6" t="str">
        <f>IFERROR(__xludf.DUMMYFUNCTION("""COMPUTED_VALUE"""),"Mochammad Fadhillah Hakim,")</f>
        <v>Mochammad Fadhillah Hakim,</v>
      </c>
      <c r="N4268" s="6" t="str">
        <f>IFERROR(__xludf.DUMMYFUNCTION("""COMPUTED_VALUE"""),"FIP Engineering")</f>
        <v>FIP Engineering</v>
      </c>
      <c r="O4268" s="6" t="str">
        <f>IFERROR(__xludf.DUMMYFUNCTION("""COMPUTED_VALUE"""),"FIP-DOM-000-11304-OS00001-INA-000000")</f>
        <v>FIP-DOM-000-11304-OS00001-INA-000000</v>
      </c>
      <c r="P4268" s="6" t="str">
        <f>IFERROR(__xludf.DUMMYFUNCTION("""COMPUTED_VALUE"""),"PO Closed")</f>
        <v>PO Closed</v>
      </c>
      <c r="Q4268" s="6" t="str">
        <f>IFERROR(__xludf.DUMMYFUNCTION("""COMPUTED_VALUE"""),"GL2509012")</f>
        <v>GL2509012</v>
      </c>
      <c r="R4268" s="57">
        <f>IFERROR(__xludf.DUMMYFUNCTION("""COMPUTED_VALUE"""),45875.0)</f>
        <v>45875</v>
      </c>
      <c r="S4268" s="57">
        <f>IFERROR(__xludf.DUMMYFUNCTION("""COMPUTED_VALUE"""),45908.0)</f>
        <v>45908</v>
      </c>
      <c r="T4268" s="57">
        <f>IFERROR(__xludf.DUMMYFUNCTION("""COMPUTED_VALUE"""),45935.0)</f>
        <v>45935</v>
      </c>
    </row>
    <row r="4269">
      <c r="A4269" s="6" t="str">
        <f>IFERROR(__xludf.DUMMYFUNCTION("""COMPUTED_VALUE"""),"121703068-1")</f>
        <v>121703068-1</v>
      </c>
      <c r="B4269" s="6" t="str">
        <f>IFERROR(__xludf.DUMMYFUNCTION("""COMPUTED_VALUE"""),"121703068 - APPROVED")</f>
        <v>121703068 - APPROVED</v>
      </c>
      <c r="C4269" s="6">
        <f>IFERROR(__xludf.DUMMYFUNCTION("""COMPUTED_VALUE"""),1.0)</f>
        <v>1</v>
      </c>
      <c r="D4269" s="6" t="str">
        <f>IFERROR(__xludf.DUMMYFUNCTION("""COMPUTED_VALUE"""),"P-14993-00")</f>
        <v>P-14993-00</v>
      </c>
      <c r="E4269" s="6" t="str">
        <f>IFERROR(__xludf.DUMMYFUNCTION("""COMPUTED_VALUE"""),"Ferrule to Hose 1,5 inch x 7mm; ; ;")</f>
        <v>Ferrule to Hose 1,5 inch x 7mm; ; ;</v>
      </c>
      <c r="F4269" s="6">
        <f>IFERROR(__xludf.DUMMYFUNCTION("""COMPUTED_VALUE"""),2.0)</f>
        <v>2</v>
      </c>
      <c r="G4269" s="6" t="str">
        <f>IFERROR(__xludf.DUMMYFUNCTION("""COMPUTED_VALUE"""),"Pieces")</f>
        <v>Pieces</v>
      </c>
      <c r="H4269" s="6" t="str">
        <f>IFERROR(__xludf.DUMMYFUNCTION("""COMPUTED_VALUE"""),"IDR")</f>
        <v>IDR</v>
      </c>
      <c r="I4269" s="6">
        <f>IFERROR(__xludf.DUMMYFUNCTION("""COMPUTED_VALUE"""),585000.0)</f>
        <v>585000</v>
      </c>
      <c r="J4269" s="6">
        <f>IFERROR(__xludf.DUMMYFUNCTION("""COMPUTED_VALUE"""),1170000.0)</f>
        <v>1170000</v>
      </c>
      <c r="K4269" s="57">
        <f>IFERROR(__xludf.DUMMYFUNCTION("""COMPUTED_VALUE"""),45912.0)</f>
        <v>45912</v>
      </c>
      <c r="L4269" s="6" t="str">
        <f>IFERROR(__xludf.DUMMYFUNCTION("""COMPUTED_VALUE"""),"FIP Engineering")</f>
        <v>FIP Engineering</v>
      </c>
      <c r="M4269" s="6" t="str">
        <f>IFERROR(__xludf.DUMMYFUNCTION("""COMPUTED_VALUE"""),"Mochammad Fadhillah Hakim,")</f>
        <v>Mochammad Fadhillah Hakim,</v>
      </c>
      <c r="N4269" s="6" t="str">
        <f>IFERROR(__xludf.DUMMYFUNCTION("""COMPUTED_VALUE"""),"FIP Engineering")</f>
        <v>FIP Engineering</v>
      </c>
      <c r="O4269" s="6" t="str">
        <f>IFERROR(__xludf.DUMMYFUNCTION("""COMPUTED_VALUE"""),"FIP-DOM-000-11304-OS00001-INA-000000")</f>
        <v>FIP-DOM-000-11304-OS00001-INA-000000</v>
      </c>
      <c r="P4269" s="6" t="str">
        <f>IFERROR(__xludf.DUMMYFUNCTION("""COMPUTED_VALUE"""),"PO Closed")</f>
        <v>PO Closed</v>
      </c>
      <c r="Q4269" s="6" t="str">
        <f>IFERROR(__xludf.DUMMYFUNCTION("""COMPUTED_VALUE"""),"GL2509023")</f>
        <v>GL2509023</v>
      </c>
      <c r="R4269" s="57">
        <f>IFERROR(__xludf.DUMMYFUNCTION("""COMPUTED_VALUE"""),45875.0)</f>
        <v>45875</v>
      </c>
      <c r="S4269" s="57">
        <f>IFERROR(__xludf.DUMMYFUNCTION("""COMPUTED_VALUE"""),45894.0)</f>
        <v>45894</v>
      </c>
      <c r="T4269" s="57">
        <f>IFERROR(__xludf.DUMMYFUNCTION("""COMPUTED_VALUE"""),45926.0)</f>
        <v>45926</v>
      </c>
    </row>
    <row r="4270">
      <c r="A4270" s="6" t="str">
        <f>IFERROR(__xludf.DUMMYFUNCTION("""COMPUTED_VALUE"""),"121703070-1")</f>
        <v>121703070-1</v>
      </c>
      <c r="B4270" s="6" t="str">
        <f>IFERROR(__xludf.DUMMYFUNCTION("""COMPUTED_VALUE"""),"121703070 - APPROVED")</f>
        <v>121703070 - APPROVED</v>
      </c>
      <c r="C4270" s="6">
        <f>IFERROR(__xludf.DUMMYFUNCTION("""COMPUTED_VALUE"""),1.0)</f>
        <v>1</v>
      </c>
      <c r="D4270" s="6" t="str">
        <f>IFERROR(__xludf.DUMMYFUNCTION("""COMPUTED_VALUE"""),"O-17068-00")</f>
        <v>O-17068-00</v>
      </c>
      <c r="E4270" s="6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F4270" s="6">
        <f>IFERROR(__xludf.DUMMYFUNCTION("""COMPUTED_VALUE"""),14.0)</f>
        <v>14</v>
      </c>
      <c r="G4270" s="6" t="str">
        <f>IFERROR(__xludf.DUMMYFUNCTION("""COMPUTED_VALUE"""),"Pieces")</f>
        <v>Pieces</v>
      </c>
      <c r="H4270" s="6" t="str">
        <f>IFERROR(__xludf.DUMMYFUNCTION("""COMPUTED_VALUE"""),"IDR")</f>
        <v>IDR</v>
      </c>
      <c r="I4270" s="6">
        <f>IFERROR(__xludf.DUMMYFUNCTION("""COMPUTED_VALUE"""),166250.0)</f>
        <v>166250</v>
      </c>
      <c r="J4270" s="6">
        <f>IFERROR(__xludf.DUMMYFUNCTION("""COMPUTED_VALUE"""),2327500.0)</f>
        <v>2327500</v>
      </c>
      <c r="K4270" s="57">
        <f>IFERROR(__xludf.DUMMYFUNCTION("""COMPUTED_VALUE"""),45912.0)</f>
        <v>45912</v>
      </c>
      <c r="L4270" s="6" t="str">
        <f>IFERROR(__xludf.DUMMYFUNCTION("""COMPUTED_VALUE"""),"FIP Engineering")</f>
        <v>FIP Engineering</v>
      </c>
      <c r="M4270" s="6" t="str">
        <f>IFERROR(__xludf.DUMMYFUNCTION("""COMPUTED_VALUE"""),"Mochammad Fadhillah Hakim,")</f>
        <v>Mochammad Fadhillah Hakim,</v>
      </c>
      <c r="N4270" s="6" t="str">
        <f>IFERROR(__xludf.DUMMYFUNCTION("""COMPUTED_VALUE"""),"FIP Engineering")</f>
        <v>FIP Engineering</v>
      </c>
      <c r="O4270" s="6" t="str">
        <f>IFERROR(__xludf.DUMMYFUNCTION("""COMPUTED_VALUE"""),"FIP-DOM-000-11304-OS00001-INA-000000")</f>
        <v>FIP-DOM-000-11304-OS00001-INA-000000</v>
      </c>
      <c r="P4270" s="6" t="str">
        <f>IFERROR(__xludf.DUMMYFUNCTION("""COMPUTED_VALUE"""),"PO Closed")</f>
        <v>PO Closed</v>
      </c>
      <c r="Q4270" s="6" t="str">
        <f>IFERROR(__xludf.DUMMYFUNCTION("""COMPUTED_VALUE"""),"GL2509449")</f>
        <v>GL2509449</v>
      </c>
      <c r="R4270" s="57">
        <f>IFERROR(__xludf.DUMMYFUNCTION("""COMPUTED_VALUE"""),45875.0)</f>
        <v>45875</v>
      </c>
      <c r="S4270" s="57">
        <f>IFERROR(__xludf.DUMMYFUNCTION("""COMPUTED_VALUE"""),45894.0)</f>
        <v>45894</v>
      </c>
      <c r="T4270" s="57">
        <f>IFERROR(__xludf.DUMMYFUNCTION("""COMPUTED_VALUE"""),45942.0)</f>
        <v>45942</v>
      </c>
    </row>
    <row r="4271">
      <c r="A4271" s="6" t="str">
        <f>IFERROR(__xludf.DUMMYFUNCTION("""COMPUTED_VALUE"""),"121703070-2")</f>
        <v>121703070-2</v>
      </c>
      <c r="B4271" s="6" t="str">
        <f>IFERROR(__xludf.DUMMYFUNCTION("""COMPUTED_VALUE"""),"121703070 - APPROVED")</f>
        <v>121703070 - APPROVED</v>
      </c>
      <c r="C4271" s="6">
        <f>IFERROR(__xludf.DUMMYFUNCTION("""COMPUTED_VALUE"""),2.0)</f>
        <v>2</v>
      </c>
      <c r="D4271" s="6" t="str">
        <f>IFERROR(__xludf.DUMMYFUNCTION("""COMPUTED_VALUE"""),"O-17071-00")</f>
        <v>O-17071-00</v>
      </c>
      <c r="E4271" s="6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F4271" s="6">
        <f>IFERROR(__xludf.DUMMYFUNCTION("""COMPUTED_VALUE"""),18.0)</f>
        <v>18</v>
      </c>
      <c r="G4271" s="6" t="str">
        <f>IFERROR(__xludf.DUMMYFUNCTION("""COMPUTED_VALUE"""),"Pieces")</f>
        <v>Pieces</v>
      </c>
      <c r="H4271" s="6" t="str">
        <f>IFERROR(__xludf.DUMMYFUNCTION("""COMPUTED_VALUE"""),"IDR")</f>
        <v>IDR</v>
      </c>
      <c r="I4271" s="6">
        <f>IFERROR(__xludf.DUMMYFUNCTION("""COMPUTED_VALUE"""),151050.0)</f>
        <v>151050</v>
      </c>
      <c r="J4271" s="6">
        <f>IFERROR(__xludf.DUMMYFUNCTION("""COMPUTED_VALUE"""),2718900.0)</f>
        <v>2718900</v>
      </c>
      <c r="K4271" s="57">
        <f>IFERROR(__xludf.DUMMYFUNCTION("""COMPUTED_VALUE"""),45912.0)</f>
        <v>45912</v>
      </c>
      <c r="L4271" s="6" t="str">
        <f>IFERROR(__xludf.DUMMYFUNCTION("""COMPUTED_VALUE"""),"FIP Engineering")</f>
        <v>FIP Engineering</v>
      </c>
      <c r="M4271" s="6" t="str">
        <f>IFERROR(__xludf.DUMMYFUNCTION("""COMPUTED_VALUE"""),"Mochammad Fadhillah Hakim,")</f>
        <v>Mochammad Fadhillah Hakim,</v>
      </c>
      <c r="N4271" s="6" t="str">
        <f>IFERROR(__xludf.DUMMYFUNCTION("""COMPUTED_VALUE"""),"FIP Engineering")</f>
        <v>FIP Engineering</v>
      </c>
      <c r="O4271" s="6" t="str">
        <f>IFERROR(__xludf.DUMMYFUNCTION("""COMPUTED_VALUE"""),"FIP-DOM-000-11304-OS00001-INA-000000")</f>
        <v>FIP-DOM-000-11304-OS00001-INA-000000</v>
      </c>
      <c r="P4271" s="6" t="str">
        <f>IFERROR(__xludf.DUMMYFUNCTION("""COMPUTED_VALUE"""),"PO Closed")</f>
        <v>PO Closed</v>
      </c>
      <c r="Q4271" s="6" t="str">
        <f>IFERROR(__xludf.DUMMYFUNCTION("""COMPUTED_VALUE"""),"GL2509449")</f>
        <v>GL2509449</v>
      </c>
      <c r="R4271" s="57">
        <f>IFERROR(__xludf.DUMMYFUNCTION("""COMPUTED_VALUE"""),45875.0)</f>
        <v>45875</v>
      </c>
      <c r="S4271" s="57">
        <f>IFERROR(__xludf.DUMMYFUNCTION("""COMPUTED_VALUE"""),45894.0)</f>
        <v>45894</v>
      </c>
      <c r="T4271" s="57">
        <f>IFERROR(__xludf.DUMMYFUNCTION("""COMPUTED_VALUE"""),45942.0)</f>
        <v>45942</v>
      </c>
    </row>
    <row r="4272">
      <c r="A4272" s="6" t="str">
        <f>IFERROR(__xludf.DUMMYFUNCTION("""COMPUTED_VALUE"""),"121703070-3")</f>
        <v>121703070-3</v>
      </c>
      <c r="B4272" s="6" t="str">
        <f>IFERROR(__xludf.DUMMYFUNCTION("""COMPUTED_VALUE"""),"121703070 - APPROVED")</f>
        <v>121703070 - APPROVED</v>
      </c>
      <c r="C4272" s="6">
        <f>IFERROR(__xludf.DUMMYFUNCTION("""COMPUTED_VALUE"""),3.0)</f>
        <v>3</v>
      </c>
      <c r="D4272" s="6" t="str">
        <f>IFERROR(__xludf.DUMMYFUNCTION("""COMPUTED_VALUE"""),"O-20903-00")</f>
        <v>O-20903-00</v>
      </c>
      <c r="E4272" s="6" t="str">
        <f>IFERROR(__xludf.DUMMYFUNCTION("""COMPUTED_VALUE"""),"Filling VFM100 - Base Plate Loadcell 163.5x28x4mm; Custom/Lokal; -; 1 Pc")</f>
        <v>Filling VFM100 - Base Plate Loadcell 163.5x28x4mm; Custom/Lokal; -; 1 Pc</v>
      </c>
      <c r="F4272" s="6">
        <f>IFERROR(__xludf.DUMMYFUNCTION("""COMPUTED_VALUE"""),1.0)</f>
        <v>1</v>
      </c>
      <c r="G4272" s="6" t="str">
        <f>IFERROR(__xludf.DUMMYFUNCTION("""COMPUTED_VALUE"""),"Pieces")</f>
        <v>Pieces</v>
      </c>
      <c r="H4272" s="6" t="str">
        <f>IFERROR(__xludf.DUMMYFUNCTION("""COMPUTED_VALUE"""),"IDR")</f>
        <v>IDR</v>
      </c>
      <c r="I4272" s="6">
        <f>IFERROR(__xludf.DUMMYFUNCTION("""COMPUTED_VALUE"""),400000.0)</f>
        <v>400000</v>
      </c>
      <c r="J4272" s="6">
        <f>IFERROR(__xludf.DUMMYFUNCTION("""COMPUTED_VALUE"""),400000.0)</f>
        <v>400000</v>
      </c>
      <c r="K4272" s="57">
        <f>IFERROR(__xludf.DUMMYFUNCTION("""COMPUTED_VALUE"""),45912.0)</f>
        <v>45912</v>
      </c>
      <c r="L4272" s="6" t="str">
        <f>IFERROR(__xludf.DUMMYFUNCTION("""COMPUTED_VALUE"""),"FIP Engineering")</f>
        <v>FIP Engineering</v>
      </c>
      <c r="M4272" s="6" t="str">
        <f>IFERROR(__xludf.DUMMYFUNCTION("""COMPUTED_VALUE"""),"Mochammad Fadhillah Hakim,")</f>
        <v>Mochammad Fadhillah Hakim,</v>
      </c>
      <c r="N4272" s="6" t="str">
        <f>IFERROR(__xludf.DUMMYFUNCTION("""COMPUTED_VALUE"""),"FIP Engineering")</f>
        <v>FIP Engineering</v>
      </c>
      <c r="O4272" s="6" t="str">
        <f>IFERROR(__xludf.DUMMYFUNCTION("""COMPUTED_VALUE"""),"FIP-DOM-000-11304-OS00001-INA-000000")</f>
        <v>FIP-DOM-000-11304-OS00001-INA-000000</v>
      </c>
      <c r="P4272" s="6" t="str">
        <f>IFERROR(__xludf.DUMMYFUNCTION("""COMPUTED_VALUE"""),"PO Closed")</f>
        <v>PO Closed</v>
      </c>
      <c r="Q4272" s="6" t="str">
        <f>IFERROR(__xludf.DUMMYFUNCTION("""COMPUTED_VALUE"""),"GL2509449")</f>
        <v>GL2509449</v>
      </c>
      <c r="R4272" s="57">
        <f>IFERROR(__xludf.DUMMYFUNCTION("""COMPUTED_VALUE"""),45875.0)</f>
        <v>45875</v>
      </c>
      <c r="S4272" s="57">
        <f>IFERROR(__xludf.DUMMYFUNCTION("""COMPUTED_VALUE"""),45894.0)</f>
        <v>45894</v>
      </c>
      <c r="T4272" s="57">
        <f>IFERROR(__xludf.DUMMYFUNCTION("""COMPUTED_VALUE"""),45942.0)</f>
        <v>45942</v>
      </c>
    </row>
    <row r="4273">
      <c r="A4273" s="6" t="str">
        <f>IFERROR(__xludf.DUMMYFUNCTION("""COMPUTED_VALUE"""),"121703070-4")</f>
        <v>121703070-4</v>
      </c>
      <c r="B4273" s="6" t="str">
        <f>IFERROR(__xludf.DUMMYFUNCTION("""COMPUTED_VALUE"""),"121703070 - APPROVED")</f>
        <v>121703070 - APPROVED</v>
      </c>
      <c r="C4273" s="6">
        <f>IFERROR(__xludf.DUMMYFUNCTION("""COMPUTED_VALUE"""),4.0)</f>
        <v>4</v>
      </c>
      <c r="D4273" s="6" t="str">
        <f>IFERROR(__xludf.DUMMYFUNCTION("""COMPUTED_VALUE"""),"O-20904-00")</f>
        <v>O-20904-00</v>
      </c>
      <c r="E4273" s="6" t="str">
        <f>IFERROR(__xludf.DUMMYFUNCTION("""COMPUTED_VALUE"""),"Filling VFM100 - Adapter Loadcell 30x30x4mm; Custom/Lokal; -; 1 Pc")</f>
        <v>Filling VFM100 - Adapter Loadcell 30x30x4mm; Custom/Lokal; -; 1 Pc</v>
      </c>
      <c r="F4273" s="6">
        <f>IFERROR(__xludf.DUMMYFUNCTION("""COMPUTED_VALUE"""),1.0)</f>
        <v>1</v>
      </c>
      <c r="G4273" s="6" t="str">
        <f>IFERROR(__xludf.DUMMYFUNCTION("""COMPUTED_VALUE"""),"Pieces")</f>
        <v>Pieces</v>
      </c>
      <c r="H4273" s="6" t="str">
        <f>IFERROR(__xludf.DUMMYFUNCTION("""COMPUTED_VALUE"""),"IDR")</f>
        <v>IDR</v>
      </c>
      <c r="I4273" s="6">
        <f>IFERROR(__xludf.DUMMYFUNCTION("""COMPUTED_VALUE"""),400000.0)</f>
        <v>400000</v>
      </c>
      <c r="J4273" s="6">
        <f>IFERROR(__xludf.DUMMYFUNCTION("""COMPUTED_VALUE"""),400000.0)</f>
        <v>400000</v>
      </c>
      <c r="K4273" s="57">
        <f>IFERROR(__xludf.DUMMYFUNCTION("""COMPUTED_VALUE"""),45912.0)</f>
        <v>45912</v>
      </c>
      <c r="L4273" s="6" t="str">
        <f>IFERROR(__xludf.DUMMYFUNCTION("""COMPUTED_VALUE"""),"FIP Engineering")</f>
        <v>FIP Engineering</v>
      </c>
      <c r="M4273" s="6" t="str">
        <f>IFERROR(__xludf.DUMMYFUNCTION("""COMPUTED_VALUE"""),"Mochammad Fadhillah Hakim,")</f>
        <v>Mochammad Fadhillah Hakim,</v>
      </c>
      <c r="N4273" s="6" t="str">
        <f>IFERROR(__xludf.DUMMYFUNCTION("""COMPUTED_VALUE"""),"FIP Engineering")</f>
        <v>FIP Engineering</v>
      </c>
      <c r="O4273" s="6" t="str">
        <f>IFERROR(__xludf.DUMMYFUNCTION("""COMPUTED_VALUE"""),"FIP-DOM-000-11304-OS00001-INA-000000")</f>
        <v>FIP-DOM-000-11304-OS00001-INA-000000</v>
      </c>
      <c r="P4273" s="6" t="str">
        <f>IFERROR(__xludf.DUMMYFUNCTION("""COMPUTED_VALUE"""),"PO Closed")</f>
        <v>PO Closed</v>
      </c>
      <c r="Q4273" s="6" t="str">
        <f>IFERROR(__xludf.DUMMYFUNCTION("""COMPUTED_VALUE"""),"GL2509449")</f>
        <v>GL2509449</v>
      </c>
      <c r="R4273" s="57">
        <f>IFERROR(__xludf.DUMMYFUNCTION("""COMPUTED_VALUE"""),45875.0)</f>
        <v>45875</v>
      </c>
      <c r="S4273" s="57">
        <f>IFERROR(__xludf.DUMMYFUNCTION("""COMPUTED_VALUE"""),45894.0)</f>
        <v>45894</v>
      </c>
      <c r="T4273" s="57">
        <f>IFERROR(__xludf.DUMMYFUNCTION("""COMPUTED_VALUE"""),45942.0)</f>
        <v>45942</v>
      </c>
    </row>
    <row r="4274">
      <c r="A4274" s="6" t="str">
        <f>IFERROR(__xludf.DUMMYFUNCTION("""COMPUTED_VALUE"""),"121703070-5")</f>
        <v>121703070-5</v>
      </c>
      <c r="B4274" s="6" t="str">
        <f>IFERROR(__xludf.DUMMYFUNCTION("""COMPUTED_VALUE"""),"121703070 - APPROVED")</f>
        <v>121703070 - APPROVED</v>
      </c>
      <c r="C4274" s="6">
        <f>IFERROR(__xludf.DUMMYFUNCTION("""COMPUTED_VALUE"""),5.0)</f>
        <v>5</v>
      </c>
      <c r="D4274" s="6" t="str">
        <f>IFERROR(__xludf.DUMMYFUNCTION("""COMPUTED_VALUE"""),"O-20905-00")</f>
        <v>O-20905-00</v>
      </c>
      <c r="E4274" s="6" t="str">
        <f>IFERROR(__xludf.DUMMYFUNCTION("""COMPUTED_VALUE"""),"Filling VFM100 - Dudukan Piringan 30x14x9mm; Custom/Lokal; -; 1 Pc")</f>
        <v>Filling VFM100 - Dudukan Piringan 30x14x9mm; Custom/Lokal; -; 1 Pc</v>
      </c>
      <c r="F4274" s="6">
        <f>IFERROR(__xludf.DUMMYFUNCTION("""COMPUTED_VALUE"""),1.0)</f>
        <v>1</v>
      </c>
      <c r="G4274" s="6" t="str">
        <f>IFERROR(__xludf.DUMMYFUNCTION("""COMPUTED_VALUE"""),"Pieces")</f>
        <v>Pieces</v>
      </c>
      <c r="H4274" s="6" t="str">
        <f>IFERROR(__xludf.DUMMYFUNCTION("""COMPUTED_VALUE"""),"IDR")</f>
        <v>IDR</v>
      </c>
      <c r="I4274" s="6">
        <f>IFERROR(__xludf.DUMMYFUNCTION("""COMPUTED_VALUE"""),400000.0)</f>
        <v>400000</v>
      </c>
      <c r="J4274" s="6">
        <f>IFERROR(__xludf.DUMMYFUNCTION("""COMPUTED_VALUE"""),400000.0)</f>
        <v>400000</v>
      </c>
      <c r="K4274" s="57">
        <f>IFERROR(__xludf.DUMMYFUNCTION("""COMPUTED_VALUE"""),45912.0)</f>
        <v>45912</v>
      </c>
      <c r="L4274" s="6" t="str">
        <f>IFERROR(__xludf.DUMMYFUNCTION("""COMPUTED_VALUE"""),"FIP Engineering")</f>
        <v>FIP Engineering</v>
      </c>
      <c r="M4274" s="6" t="str">
        <f>IFERROR(__xludf.DUMMYFUNCTION("""COMPUTED_VALUE"""),"Mochammad Fadhillah Hakim,")</f>
        <v>Mochammad Fadhillah Hakim,</v>
      </c>
      <c r="N4274" s="6" t="str">
        <f>IFERROR(__xludf.DUMMYFUNCTION("""COMPUTED_VALUE"""),"FIP Engineering")</f>
        <v>FIP Engineering</v>
      </c>
      <c r="O4274" s="6" t="str">
        <f>IFERROR(__xludf.DUMMYFUNCTION("""COMPUTED_VALUE"""),"FIP-DOM-000-11304-OS00001-INA-000000")</f>
        <v>FIP-DOM-000-11304-OS00001-INA-000000</v>
      </c>
      <c r="P4274" s="6" t="str">
        <f>IFERROR(__xludf.DUMMYFUNCTION("""COMPUTED_VALUE"""),"PO Closed")</f>
        <v>PO Closed</v>
      </c>
      <c r="Q4274" s="6" t="str">
        <f>IFERROR(__xludf.DUMMYFUNCTION("""COMPUTED_VALUE"""),"GL2509449")</f>
        <v>GL2509449</v>
      </c>
      <c r="R4274" s="57">
        <f>IFERROR(__xludf.DUMMYFUNCTION("""COMPUTED_VALUE"""),45875.0)</f>
        <v>45875</v>
      </c>
      <c r="S4274" s="57">
        <f>IFERROR(__xludf.DUMMYFUNCTION("""COMPUTED_VALUE"""),45894.0)</f>
        <v>45894</v>
      </c>
      <c r="T4274" s="57">
        <f>IFERROR(__xludf.DUMMYFUNCTION("""COMPUTED_VALUE"""),45942.0)</f>
        <v>45942</v>
      </c>
    </row>
    <row r="4275">
      <c r="A4275" s="6" t="str">
        <f>IFERROR(__xludf.DUMMYFUNCTION("""COMPUTED_VALUE"""),"121703070-6")</f>
        <v>121703070-6</v>
      </c>
      <c r="B4275" s="6" t="str">
        <f>IFERROR(__xludf.DUMMYFUNCTION("""COMPUTED_VALUE"""),"121703070 - APPROVED")</f>
        <v>121703070 - APPROVED</v>
      </c>
      <c r="C4275" s="6">
        <f>IFERROR(__xludf.DUMMYFUNCTION("""COMPUTED_VALUE"""),6.0)</f>
        <v>6</v>
      </c>
      <c r="D4275" s="6" t="str">
        <f>IFERROR(__xludf.DUMMYFUNCTION("""COMPUTED_VALUE"""),"O-20918-00")</f>
        <v>O-20918-00</v>
      </c>
      <c r="E4275" s="6" t="str">
        <f>IFERROR(__xludf.DUMMYFUNCTION("""COMPUTED_VALUE"""),"cRABS Z064CR - Glove Port Pom White Uk: 227x310x15.25mm; Custom/Lokal; -; 1 Pc")</f>
        <v>cRABS Z064CR - Glove Port Pom White Uk: 227x310x15.25mm; Custom/Lokal; -; 1 Pc</v>
      </c>
      <c r="F4275" s="6">
        <f>IFERROR(__xludf.DUMMYFUNCTION("""COMPUTED_VALUE"""),2.0)</f>
        <v>2</v>
      </c>
      <c r="G4275" s="6" t="str">
        <f>IFERROR(__xludf.DUMMYFUNCTION("""COMPUTED_VALUE"""),"Pieces")</f>
        <v>Pieces</v>
      </c>
      <c r="H4275" s="6" t="str">
        <f>IFERROR(__xludf.DUMMYFUNCTION("""COMPUTED_VALUE"""),"IDR")</f>
        <v>IDR</v>
      </c>
      <c r="I4275" s="6">
        <f>IFERROR(__xludf.DUMMYFUNCTION("""COMPUTED_VALUE"""),4450000.0)</f>
        <v>4450000</v>
      </c>
      <c r="J4275" s="6">
        <f>IFERROR(__xludf.DUMMYFUNCTION("""COMPUTED_VALUE"""),8900000.0)</f>
        <v>8900000</v>
      </c>
      <c r="K4275" s="57">
        <f>IFERROR(__xludf.DUMMYFUNCTION("""COMPUTED_VALUE"""),45912.0)</f>
        <v>45912</v>
      </c>
      <c r="L4275" s="6" t="str">
        <f>IFERROR(__xludf.DUMMYFUNCTION("""COMPUTED_VALUE"""),"FIP Engineering")</f>
        <v>FIP Engineering</v>
      </c>
      <c r="M4275" s="6" t="str">
        <f>IFERROR(__xludf.DUMMYFUNCTION("""COMPUTED_VALUE"""),"Mochammad Fadhillah Hakim,")</f>
        <v>Mochammad Fadhillah Hakim,</v>
      </c>
      <c r="N4275" s="6" t="str">
        <f>IFERROR(__xludf.DUMMYFUNCTION("""COMPUTED_VALUE"""),"FIP Engineering")</f>
        <v>FIP Engineering</v>
      </c>
      <c r="O4275" s="6" t="str">
        <f>IFERROR(__xludf.DUMMYFUNCTION("""COMPUTED_VALUE"""),"FIP-DOM-000-11304-OS00001-INA-000000")</f>
        <v>FIP-DOM-000-11304-OS00001-INA-000000</v>
      </c>
      <c r="P4275" s="6" t="str">
        <f>IFERROR(__xludf.DUMMYFUNCTION("""COMPUTED_VALUE"""),"PO Closed")</f>
        <v>PO Closed</v>
      </c>
      <c r="Q4275" s="6" t="str">
        <f>IFERROR(__xludf.DUMMYFUNCTION("""COMPUTED_VALUE"""),"GL2509449")</f>
        <v>GL2509449</v>
      </c>
      <c r="R4275" s="57">
        <f>IFERROR(__xludf.DUMMYFUNCTION("""COMPUTED_VALUE"""),45875.0)</f>
        <v>45875</v>
      </c>
      <c r="S4275" s="57">
        <f>IFERROR(__xludf.DUMMYFUNCTION("""COMPUTED_VALUE"""),45894.0)</f>
        <v>45894</v>
      </c>
      <c r="T4275" s="57">
        <f>IFERROR(__xludf.DUMMYFUNCTION("""COMPUTED_VALUE"""),45942.0)</f>
        <v>45942</v>
      </c>
    </row>
    <row r="4276">
      <c r="A4276" s="6" t="str">
        <f>IFERROR(__xludf.DUMMYFUNCTION("""COMPUTED_VALUE"""),"121703072-1")</f>
        <v>121703072-1</v>
      </c>
      <c r="B4276" s="6" t="str">
        <f>IFERROR(__xludf.DUMMYFUNCTION("""COMPUTED_VALUE"""),"121703072 - APPROVED")</f>
        <v>121703072 - APPROVED</v>
      </c>
      <c r="C4276" s="6">
        <f>IFERROR(__xludf.DUMMYFUNCTION("""COMPUTED_VALUE"""),1.0)</f>
        <v>1</v>
      </c>
      <c r="D4276" s="6" t="str">
        <f>IFERROR(__xludf.DUMMYFUNCTION("""COMPUTED_VALUE"""),"Q-70137-00")</f>
        <v>Q-70137-00</v>
      </c>
      <c r="E4276" s="6" t="str">
        <f>IFERROR(__xludf.DUMMYFUNCTION("""COMPUTED_VALUE"""),"Pipe Wrench 14 Inch LRPW14; Krisbow; KW0100366; pack size per pcs")</f>
        <v>Pipe Wrench 14 Inch LRPW14; Krisbow; KW0100366; pack size per pcs</v>
      </c>
      <c r="F4276" s="6">
        <f>IFERROR(__xludf.DUMMYFUNCTION("""COMPUTED_VALUE"""),1.0)</f>
        <v>1</v>
      </c>
      <c r="G4276" s="6" t="str">
        <f>IFERROR(__xludf.DUMMYFUNCTION("""COMPUTED_VALUE"""),"Pieces")</f>
        <v>Pieces</v>
      </c>
      <c r="H4276" s="6" t="str">
        <f>IFERROR(__xludf.DUMMYFUNCTION("""COMPUTED_VALUE"""),"IDR")</f>
        <v>IDR</v>
      </c>
      <c r="I4276" s="6">
        <f>IFERROR(__xludf.DUMMYFUNCTION("""COMPUTED_VALUE"""),132600.0)</f>
        <v>132600</v>
      </c>
      <c r="J4276" s="6">
        <f>IFERROR(__xludf.DUMMYFUNCTION("""COMPUTED_VALUE"""),132600.0)</f>
        <v>132600</v>
      </c>
      <c r="K4276" s="57">
        <f>IFERROR(__xludf.DUMMYFUNCTION("""COMPUTED_VALUE"""),45912.0)</f>
        <v>45912</v>
      </c>
      <c r="L4276" s="6" t="str">
        <f>IFERROR(__xludf.DUMMYFUNCTION("""COMPUTED_VALUE"""),"FIP General")</f>
        <v>FIP General</v>
      </c>
      <c r="M4276" s="6" t="str">
        <f>IFERROR(__xludf.DUMMYFUNCTION("""COMPUTED_VALUE"""),"Mochammad Fadhillah Hakim,")</f>
        <v>Mochammad Fadhillah Hakim,</v>
      </c>
      <c r="N4276" s="6" t="str">
        <f>IFERROR(__xludf.DUMMYFUNCTION("""COMPUTED_VALUE"""),"FIP Engineering")</f>
        <v>FIP Engineering</v>
      </c>
      <c r="O4276" s="6" t="str">
        <f>IFERROR(__xludf.DUMMYFUNCTION("""COMPUTED_VALUE"""),"FIP-DOM-ENG-51404-0000000-INA-000000")</f>
        <v>FIP-DOM-ENG-51404-0000000-INA-000000</v>
      </c>
      <c r="P4276" s="6" t="str">
        <f>IFERROR(__xludf.DUMMYFUNCTION("""COMPUTED_VALUE"""),"PO Closed")</f>
        <v>PO Closed</v>
      </c>
      <c r="Q4276" s="6" t="str">
        <f>IFERROR(__xludf.DUMMYFUNCTION("""COMPUTED_VALUE"""),"GL2509051")</f>
        <v>GL2509051</v>
      </c>
      <c r="R4276" s="57">
        <f>IFERROR(__xludf.DUMMYFUNCTION("""COMPUTED_VALUE"""),45875.0)</f>
        <v>45875</v>
      </c>
      <c r="S4276" s="57">
        <f>IFERROR(__xludf.DUMMYFUNCTION("""COMPUTED_VALUE"""),45908.0)</f>
        <v>45908</v>
      </c>
      <c r="T4276" s="57">
        <f>IFERROR(__xludf.DUMMYFUNCTION("""COMPUTED_VALUE"""),45960.0)</f>
        <v>45960</v>
      </c>
    </row>
    <row r="4277">
      <c r="A4277" s="6" t="str">
        <f>IFERROR(__xludf.DUMMYFUNCTION("""COMPUTED_VALUE"""),"121703073-1")</f>
        <v>121703073-1</v>
      </c>
      <c r="B4277" s="6" t="str">
        <f>IFERROR(__xludf.DUMMYFUNCTION("""COMPUTED_VALUE"""),"121703073 - APPROVED")</f>
        <v>121703073 - APPROVED</v>
      </c>
      <c r="C4277" s="6">
        <f>IFERROR(__xludf.DUMMYFUNCTION("""COMPUTED_VALUE"""),1.0)</f>
        <v>1</v>
      </c>
      <c r="D4277" s="6" t="str">
        <f>IFERROR(__xludf.DUMMYFUNCTION("""COMPUTED_VALUE"""),"O-20626-00")</f>
        <v>O-20626-00</v>
      </c>
      <c r="E4277" s="6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F4277" s="6">
        <f>IFERROR(__xludf.DUMMYFUNCTION("""COMPUTED_VALUE"""),2.0)</f>
        <v>2</v>
      </c>
      <c r="G4277" s="6" t="str">
        <f>IFERROR(__xludf.DUMMYFUNCTION("""COMPUTED_VALUE"""),"Pieces")</f>
        <v>Pieces</v>
      </c>
      <c r="H4277" s="6" t="str">
        <f>IFERROR(__xludf.DUMMYFUNCTION("""COMPUTED_VALUE"""),"IDR")</f>
        <v>IDR</v>
      </c>
      <c r="I4277" s="6">
        <f>IFERROR(__xludf.DUMMYFUNCTION("""COMPUTED_VALUE"""),2700000.0)</f>
        <v>2700000</v>
      </c>
      <c r="J4277" s="6">
        <f>IFERROR(__xludf.DUMMYFUNCTION("""COMPUTED_VALUE"""),5400000.0)</f>
        <v>5400000</v>
      </c>
      <c r="K4277" s="57">
        <f>IFERROR(__xludf.DUMMYFUNCTION("""COMPUTED_VALUE"""),45912.0)</f>
        <v>45912</v>
      </c>
      <c r="L4277" s="6" t="str">
        <f>IFERROR(__xludf.DUMMYFUNCTION("""COMPUTED_VALUE"""),"FIP Engineering")</f>
        <v>FIP Engineering</v>
      </c>
      <c r="M4277" s="6" t="str">
        <f>IFERROR(__xludf.DUMMYFUNCTION("""COMPUTED_VALUE"""),"Mochammad Fadhillah Hakim,")</f>
        <v>Mochammad Fadhillah Hakim,</v>
      </c>
      <c r="N4277" s="6" t="str">
        <f>IFERROR(__xludf.DUMMYFUNCTION("""COMPUTED_VALUE"""),"FIP Engineering")</f>
        <v>FIP Engineering</v>
      </c>
      <c r="O4277" s="6" t="str">
        <f>IFERROR(__xludf.DUMMYFUNCTION("""COMPUTED_VALUE"""),"FIP-DOM-000-11304-OS00001-INA-000000")</f>
        <v>FIP-DOM-000-11304-OS00001-INA-000000</v>
      </c>
      <c r="P4277" s="6" t="str">
        <f>IFERROR(__xludf.DUMMYFUNCTION("""COMPUTED_VALUE"""),"PO Closed")</f>
        <v>PO Closed</v>
      </c>
      <c r="Q4277" s="6" t="str">
        <f>IFERROR(__xludf.DUMMYFUNCTION("""COMPUTED_VALUE"""),"GL2509455")</f>
        <v>GL2509455</v>
      </c>
      <c r="R4277" s="57">
        <f>IFERROR(__xludf.DUMMYFUNCTION("""COMPUTED_VALUE"""),45875.0)</f>
        <v>45875</v>
      </c>
      <c r="S4277" s="57">
        <f>IFERROR(__xludf.DUMMYFUNCTION("""COMPUTED_VALUE"""),45894.0)</f>
        <v>45894</v>
      </c>
      <c r="T4277" s="57">
        <f>IFERROR(__xludf.DUMMYFUNCTION("""COMPUTED_VALUE"""),45942.0)</f>
        <v>45942</v>
      </c>
    </row>
    <row r="4278">
      <c r="A4278" s="6" t="str">
        <f>IFERROR(__xludf.DUMMYFUNCTION("""COMPUTED_VALUE"""),"121703074-1")</f>
        <v>121703074-1</v>
      </c>
      <c r="B4278" s="6" t="str">
        <f>IFERROR(__xludf.DUMMYFUNCTION("""COMPUTED_VALUE"""),"121703074 - APPROVED")</f>
        <v>121703074 - APPROVED</v>
      </c>
      <c r="C4278" s="6">
        <f>IFERROR(__xludf.DUMMYFUNCTION("""COMPUTED_VALUE"""),1.0)</f>
        <v>1</v>
      </c>
      <c r="D4278" s="6" t="str">
        <f>IFERROR(__xludf.DUMMYFUNCTION("""COMPUTED_VALUE"""),"P-20016-00")</f>
        <v>P-20016-00</v>
      </c>
      <c r="E4278" s="6" t="str">
        <f>IFERROR(__xludf.DUMMYFUNCTION("""COMPUTED_VALUE"""),"General - Mur Baja M14; No Brand; -; 1 pc")</f>
        <v>General - Mur Baja M14; No Brand; -; 1 pc</v>
      </c>
      <c r="F4278" s="6">
        <f>IFERROR(__xludf.DUMMYFUNCTION("""COMPUTED_VALUE"""),10.0)</f>
        <v>10</v>
      </c>
      <c r="G4278" s="6" t="str">
        <f>IFERROR(__xludf.DUMMYFUNCTION("""COMPUTED_VALUE"""),"Pieces")</f>
        <v>Pieces</v>
      </c>
      <c r="H4278" s="6" t="str">
        <f>IFERROR(__xludf.DUMMYFUNCTION("""COMPUTED_VALUE"""),"IDR")</f>
        <v>IDR</v>
      </c>
      <c r="I4278" s="6">
        <f>IFERROR(__xludf.DUMMYFUNCTION("""COMPUTED_VALUE"""),19500.0)</f>
        <v>19500</v>
      </c>
      <c r="J4278" s="6">
        <f>IFERROR(__xludf.DUMMYFUNCTION("""COMPUTED_VALUE"""),195000.0)</f>
        <v>195000</v>
      </c>
      <c r="K4278" s="57">
        <f>IFERROR(__xludf.DUMMYFUNCTION("""COMPUTED_VALUE"""),45912.0)</f>
        <v>45912</v>
      </c>
      <c r="L4278" s="6" t="str">
        <f>IFERROR(__xludf.DUMMYFUNCTION("""COMPUTED_VALUE"""),"FIP Engineering")</f>
        <v>FIP Engineering</v>
      </c>
      <c r="M4278" s="6" t="str">
        <f>IFERROR(__xludf.DUMMYFUNCTION("""COMPUTED_VALUE"""),"Mochammad Fadhillah Hakim,")</f>
        <v>Mochammad Fadhillah Hakim,</v>
      </c>
      <c r="N4278" s="6" t="str">
        <f>IFERROR(__xludf.DUMMYFUNCTION("""COMPUTED_VALUE"""),"FIP Engineering")</f>
        <v>FIP Engineering</v>
      </c>
      <c r="O4278" s="6" t="str">
        <f>IFERROR(__xludf.DUMMYFUNCTION("""COMPUTED_VALUE"""),"FIP-DOM-000-11304-OS00001-INA-000000")</f>
        <v>FIP-DOM-000-11304-OS00001-INA-000000</v>
      </c>
      <c r="P4278" s="6" t="str">
        <f>IFERROR(__xludf.DUMMYFUNCTION("""COMPUTED_VALUE"""),"PO Closed")</f>
        <v>PO Closed</v>
      </c>
      <c r="Q4278" s="6" t="str">
        <f>IFERROR(__xludf.DUMMYFUNCTION("""COMPUTED_VALUE"""),"GL2509460")</f>
        <v>GL2509460</v>
      </c>
      <c r="R4278" s="57">
        <f>IFERROR(__xludf.DUMMYFUNCTION("""COMPUTED_VALUE"""),45875.0)</f>
        <v>45875</v>
      </c>
      <c r="S4278" s="57">
        <f>IFERROR(__xludf.DUMMYFUNCTION("""COMPUTED_VALUE"""),45908.0)</f>
        <v>45908</v>
      </c>
      <c r="T4278" s="57">
        <f>IFERROR(__xludf.DUMMYFUNCTION("""COMPUTED_VALUE"""),45940.0)</f>
        <v>45940</v>
      </c>
    </row>
    <row r="4279">
      <c r="A4279" s="6" t="str">
        <f>IFERROR(__xludf.DUMMYFUNCTION("""COMPUTED_VALUE"""),"121703074-2")</f>
        <v>121703074-2</v>
      </c>
      <c r="B4279" s="6" t="str">
        <f>IFERROR(__xludf.DUMMYFUNCTION("""COMPUTED_VALUE"""),"121703074 - APPROVED")</f>
        <v>121703074 - APPROVED</v>
      </c>
      <c r="C4279" s="6">
        <f>IFERROR(__xludf.DUMMYFUNCTION("""COMPUTED_VALUE"""),2.0)</f>
        <v>2</v>
      </c>
      <c r="D4279" s="6" t="str">
        <f>IFERROR(__xludf.DUMMYFUNCTION("""COMPUTED_VALUE"""),"P-20020-00")</f>
        <v>P-20020-00</v>
      </c>
      <c r="E4279" s="6" t="str">
        <f>IFERROR(__xludf.DUMMYFUNCTION("""COMPUTED_VALUE"""),"General - Besi UNP 100 x 50 x 3mm; No Brand; -; 1 pc")</f>
        <v>General - Besi UNP 100 x 50 x 3mm; No Brand; -; 1 pc</v>
      </c>
      <c r="F4279" s="6">
        <f>IFERROR(__xludf.DUMMYFUNCTION("""COMPUTED_VALUE"""),6.0)</f>
        <v>6</v>
      </c>
      <c r="G4279" s="6" t="str">
        <f>IFERROR(__xludf.DUMMYFUNCTION("""COMPUTED_VALUE"""),"Pieces")</f>
        <v>Pieces</v>
      </c>
      <c r="H4279" s="6" t="str">
        <f>IFERROR(__xludf.DUMMYFUNCTION("""COMPUTED_VALUE"""),"IDR")</f>
        <v>IDR</v>
      </c>
      <c r="I4279" s="6">
        <f>IFERROR(__xludf.DUMMYFUNCTION("""COMPUTED_VALUE"""),712400.0)</f>
        <v>712400</v>
      </c>
      <c r="J4279" s="6">
        <f>IFERROR(__xludf.DUMMYFUNCTION("""COMPUTED_VALUE"""),4274400.0)</f>
        <v>4274400</v>
      </c>
      <c r="K4279" s="57">
        <f>IFERROR(__xludf.DUMMYFUNCTION("""COMPUTED_VALUE"""),45912.0)</f>
        <v>45912</v>
      </c>
      <c r="L4279" s="6" t="str">
        <f>IFERROR(__xludf.DUMMYFUNCTION("""COMPUTED_VALUE"""),"FIP Engineering")</f>
        <v>FIP Engineering</v>
      </c>
      <c r="M4279" s="6" t="str">
        <f>IFERROR(__xludf.DUMMYFUNCTION("""COMPUTED_VALUE"""),"Mochammad Fadhillah Hakim,")</f>
        <v>Mochammad Fadhillah Hakim,</v>
      </c>
      <c r="N4279" s="6" t="str">
        <f>IFERROR(__xludf.DUMMYFUNCTION("""COMPUTED_VALUE"""),"FIP Engineering")</f>
        <v>FIP Engineering</v>
      </c>
      <c r="O4279" s="6" t="str">
        <f>IFERROR(__xludf.DUMMYFUNCTION("""COMPUTED_VALUE"""),"FIP-DOM-000-11304-OS00001-INA-000000")</f>
        <v>FIP-DOM-000-11304-OS00001-INA-000000</v>
      </c>
      <c r="P4279" s="6" t="str">
        <f>IFERROR(__xludf.DUMMYFUNCTION("""COMPUTED_VALUE"""),"PO Closed")</f>
        <v>PO Closed</v>
      </c>
      <c r="Q4279" s="6" t="str">
        <f>IFERROR(__xludf.DUMMYFUNCTION("""COMPUTED_VALUE"""),"GL2509460")</f>
        <v>GL2509460</v>
      </c>
      <c r="R4279" s="57">
        <f>IFERROR(__xludf.DUMMYFUNCTION("""COMPUTED_VALUE"""),45875.0)</f>
        <v>45875</v>
      </c>
      <c r="S4279" s="57">
        <f>IFERROR(__xludf.DUMMYFUNCTION("""COMPUTED_VALUE"""),45908.0)</f>
        <v>45908</v>
      </c>
      <c r="T4279" s="57">
        <f>IFERROR(__xludf.DUMMYFUNCTION("""COMPUTED_VALUE"""),45940.0)</f>
        <v>45940</v>
      </c>
    </row>
    <row r="4280">
      <c r="A4280" s="6" t="str">
        <f>IFERROR(__xludf.DUMMYFUNCTION("""COMPUTED_VALUE"""),"121703074-3")</f>
        <v>121703074-3</v>
      </c>
      <c r="B4280" s="6" t="str">
        <f>IFERROR(__xludf.DUMMYFUNCTION("""COMPUTED_VALUE"""),"121703074 - APPROVED")</f>
        <v>121703074 - APPROVED</v>
      </c>
      <c r="C4280" s="6">
        <f>IFERROR(__xludf.DUMMYFUNCTION("""COMPUTED_VALUE"""),3.0)</f>
        <v>3</v>
      </c>
      <c r="D4280" s="6" t="str">
        <f>IFERROR(__xludf.DUMMYFUNCTION("""COMPUTED_VALUE"""),"P-20021-00")</f>
        <v>P-20021-00</v>
      </c>
      <c r="E4280" s="6" t="str">
        <f>IFERROR(__xludf.DUMMYFUNCTION("""COMPUTED_VALUE"""),"General - Plat Strip 50 x 6 x 6000mm; No Brand; -; 1 pc")</f>
        <v>General - Plat Strip 50 x 6 x 6000mm; No Brand; -; 1 pc</v>
      </c>
      <c r="F4280" s="6">
        <f>IFERROR(__xludf.DUMMYFUNCTION("""COMPUTED_VALUE"""),1.0)</f>
        <v>1</v>
      </c>
      <c r="G4280" s="6" t="str">
        <f>IFERROR(__xludf.DUMMYFUNCTION("""COMPUTED_VALUE"""),"Pieces")</f>
        <v>Pieces</v>
      </c>
      <c r="H4280" s="6" t="str">
        <f>IFERROR(__xludf.DUMMYFUNCTION("""COMPUTED_VALUE"""),"IDR")</f>
        <v>IDR</v>
      </c>
      <c r="I4280" s="6">
        <f>IFERROR(__xludf.DUMMYFUNCTION("""COMPUTED_VALUE"""),292500.0)</f>
        <v>292500</v>
      </c>
      <c r="J4280" s="6">
        <f>IFERROR(__xludf.DUMMYFUNCTION("""COMPUTED_VALUE"""),292500.0)</f>
        <v>292500</v>
      </c>
      <c r="K4280" s="57">
        <f>IFERROR(__xludf.DUMMYFUNCTION("""COMPUTED_VALUE"""),45912.0)</f>
        <v>45912</v>
      </c>
      <c r="L4280" s="6" t="str">
        <f>IFERROR(__xludf.DUMMYFUNCTION("""COMPUTED_VALUE"""),"FIP Engineering")</f>
        <v>FIP Engineering</v>
      </c>
      <c r="M4280" s="6" t="str">
        <f>IFERROR(__xludf.DUMMYFUNCTION("""COMPUTED_VALUE"""),"Mochammad Fadhillah Hakim,")</f>
        <v>Mochammad Fadhillah Hakim,</v>
      </c>
      <c r="N4280" s="6" t="str">
        <f>IFERROR(__xludf.DUMMYFUNCTION("""COMPUTED_VALUE"""),"FIP Engineering")</f>
        <v>FIP Engineering</v>
      </c>
      <c r="O4280" s="6" t="str">
        <f>IFERROR(__xludf.DUMMYFUNCTION("""COMPUTED_VALUE"""),"FIP-DOM-000-11304-OS00001-INA-000000")</f>
        <v>FIP-DOM-000-11304-OS00001-INA-000000</v>
      </c>
      <c r="P4280" s="6" t="str">
        <f>IFERROR(__xludf.DUMMYFUNCTION("""COMPUTED_VALUE"""),"PO Closed")</f>
        <v>PO Closed</v>
      </c>
      <c r="Q4280" s="6" t="str">
        <f>IFERROR(__xludf.DUMMYFUNCTION("""COMPUTED_VALUE"""),"GL2509460")</f>
        <v>GL2509460</v>
      </c>
      <c r="R4280" s="57">
        <f>IFERROR(__xludf.DUMMYFUNCTION("""COMPUTED_VALUE"""),45875.0)</f>
        <v>45875</v>
      </c>
      <c r="S4280" s="57">
        <f>IFERROR(__xludf.DUMMYFUNCTION("""COMPUTED_VALUE"""),45908.0)</f>
        <v>45908</v>
      </c>
      <c r="T4280" s="57">
        <f>IFERROR(__xludf.DUMMYFUNCTION("""COMPUTED_VALUE"""),45940.0)</f>
        <v>45940</v>
      </c>
    </row>
    <row r="4281">
      <c r="A4281" s="6" t="str">
        <f>IFERROR(__xludf.DUMMYFUNCTION("""COMPUTED_VALUE"""),"121703074-4")</f>
        <v>121703074-4</v>
      </c>
      <c r="B4281" s="6" t="str">
        <f>IFERROR(__xludf.DUMMYFUNCTION("""COMPUTED_VALUE"""),"121703074 - APPROVED")</f>
        <v>121703074 - APPROVED</v>
      </c>
      <c r="C4281" s="6">
        <f>IFERROR(__xludf.DUMMYFUNCTION("""COMPUTED_VALUE"""),4.0)</f>
        <v>4</v>
      </c>
      <c r="D4281" s="6" t="str">
        <f>IFERROR(__xludf.DUMMYFUNCTION("""COMPUTED_VALUE"""),"P-20022-00")</f>
        <v>P-20022-00</v>
      </c>
      <c r="E4281" s="6" t="str">
        <f>IFERROR(__xludf.DUMMYFUNCTION("""COMPUTED_VALUE"""),"General - Long Drat 14mm x 1meter; No Brand; -; 1 pc")</f>
        <v>General - Long Drat 14mm x 1meter; No Brand; -; 1 pc</v>
      </c>
      <c r="F4281" s="6">
        <f>IFERROR(__xludf.DUMMYFUNCTION("""COMPUTED_VALUE"""),2.0)</f>
        <v>2</v>
      </c>
      <c r="G4281" s="6" t="str">
        <f>IFERROR(__xludf.DUMMYFUNCTION("""COMPUTED_VALUE"""),"Pieces")</f>
        <v>Pieces</v>
      </c>
      <c r="H4281" s="6" t="str">
        <f>IFERROR(__xludf.DUMMYFUNCTION("""COMPUTED_VALUE"""),"IDR")</f>
        <v>IDR</v>
      </c>
      <c r="I4281" s="6">
        <f>IFERROR(__xludf.DUMMYFUNCTION("""COMPUTED_VALUE"""),27300.0)</f>
        <v>27300</v>
      </c>
      <c r="J4281" s="6">
        <f>IFERROR(__xludf.DUMMYFUNCTION("""COMPUTED_VALUE"""),54600.0)</f>
        <v>54600</v>
      </c>
      <c r="K4281" s="57">
        <f>IFERROR(__xludf.DUMMYFUNCTION("""COMPUTED_VALUE"""),45912.0)</f>
        <v>45912</v>
      </c>
      <c r="L4281" s="6" t="str">
        <f>IFERROR(__xludf.DUMMYFUNCTION("""COMPUTED_VALUE"""),"FIP Engineering")</f>
        <v>FIP Engineering</v>
      </c>
      <c r="M4281" s="6" t="str">
        <f>IFERROR(__xludf.DUMMYFUNCTION("""COMPUTED_VALUE"""),"Mochammad Fadhillah Hakim,")</f>
        <v>Mochammad Fadhillah Hakim,</v>
      </c>
      <c r="N4281" s="6" t="str">
        <f>IFERROR(__xludf.DUMMYFUNCTION("""COMPUTED_VALUE"""),"FIP Engineering")</f>
        <v>FIP Engineering</v>
      </c>
      <c r="O4281" s="6" t="str">
        <f>IFERROR(__xludf.DUMMYFUNCTION("""COMPUTED_VALUE"""),"FIP-DOM-000-11304-OS00001-INA-000000")</f>
        <v>FIP-DOM-000-11304-OS00001-INA-000000</v>
      </c>
      <c r="P4281" s="6" t="str">
        <f>IFERROR(__xludf.DUMMYFUNCTION("""COMPUTED_VALUE"""),"PO Closed")</f>
        <v>PO Closed</v>
      </c>
      <c r="Q4281" s="6" t="str">
        <f>IFERROR(__xludf.DUMMYFUNCTION("""COMPUTED_VALUE"""),"GL2509460")</f>
        <v>GL2509460</v>
      </c>
      <c r="R4281" s="57">
        <f>IFERROR(__xludf.DUMMYFUNCTION("""COMPUTED_VALUE"""),45875.0)</f>
        <v>45875</v>
      </c>
      <c r="S4281" s="57">
        <f>IFERROR(__xludf.DUMMYFUNCTION("""COMPUTED_VALUE"""),45908.0)</f>
        <v>45908</v>
      </c>
      <c r="T4281" s="57">
        <f>IFERROR(__xludf.DUMMYFUNCTION("""COMPUTED_VALUE"""),45940.0)</f>
        <v>45940</v>
      </c>
    </row>
    <row r="4282">
      <c r="A4282" s="6" t="str">
        <f>IFERROR(__xludf.DUMMYFUNCTION("""COMPUTED_VALUE"""),"121703076-1")</f>
        <v>121703076-1</v>
      </c>
      <c r="B4282" s="6" t="str">
        <f>IFERROR(__xludf.DUMMYFUNCTION("""COMPUTED_VALUE"""),"121703076 - APPROVED")</f>
        <v>121703076 - APPROVED</v>
      </c>
      <c r="C4282" s="6">
        <f>IFERROR(__xludf.DUMMYFUNCTION("""COMPUTED_VALUE"""),1.0)</f>
        <v>1</v>
      </c>
      <c r="D4282" s="6" t="str">
        <f>IFERROR(__xludf.DUMMYFUNCTION("""COMPUTED_VALUE"""),"O-15592-00")</f>
        <v>O-15592-00</v>
      </c>
      <c r="E4282" s="6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F4282" s="6">
        <f>IFERROR(__xludf.DUMMYFUNCTION("""COMPUTED_VALUE"""),1.0)</f>
        <v>1</v>
      </c>
      <c r="G4282" s="6" t="str">
        <f>IFERROR(__xludf.DUMMYFUNCTION("""COMPUTED_VALUE"""),"Unit")</f>
        <v>Unit</v>
      </c>
      <c r="H4282" s="6" t="str">
        <f>IFERROR(__xludf.DUMMYFUNCTION("""COMPUTED_VALUE"""),"IDR")</f>
        <v>IDR</v>
      </c>
      <c r="I4282" s="6">
        <f>IFERROR(__xludf.DUMMYFUNCTION("""COMPUTED_VALUE"""),2.072E7)</f>
        <v>20720000</v>
      </c>
      <c r="J4282" s="6">
        <f>IFERROR(__xludf.DUMMYFUNCTION("""COMPUTED_VALUE"""),2.072E7)</f>
        <v>20720000</v>
      </c>
      <c r="K4282" s="57">
        <f>IFERROR(__xludf.DUMMYFUNCTION("""COMPUTED_VALUE"""),45912.0)</f>
        <v>45912</v>
      </c>
      <c r="L4282" s="6" t="str">
        <f>IFERROR(__xludf.DUMMYFUNCTION("""COMPUTED_VALUE"""),"FIP Engineering")</f>
        <v>FIP Engineering</v>
      </c>
      <c r="M4282" s="6" t="str">
        <f>IFERROR(__xludf.DUMMYFUNCTION("""COMPUTED_VALUE"""),"Mochammad Fadhillah Hakim,")</f>
        <v>Mochammad Fadhillah Hakim,</v>
      </c>
      <c r="N4282" s="6" t="str">
        <f>IFERROR(__xludf.DUMMYFUNCTION("""COMPUTED_VALUE"""),"FIP Engineering")</f>
        <v>FIP Engineering</v>
      </c>
      <c r="O4282" s="6" t="str">
        <f>IFERROR(__xludf.DUMMYFUNCTION("""COMPUTED_VALUE"""),"FIP-DOM-000-11304-OS00001-INA-000000")</f>
        <v>FIP-DOM-000-11304-OS00001-INA-000000</v>
      </c>
      <c r="P4282" s="6" t="str">
        <f>IFERROR(__xludf.DUMMYFUNCTION("""COMPUTED_VALUE"""),"PO Closed")</f>
        <v>PO Closed</v>
      </c>
      <c r="Q4282" s="6" t="str">
        <f>IFERROR(__xludf.DUMMYFUNCTION("""COMPUTED_VALUE"""),"GL2509453")</f>
        <v>GL2509453</v>
      </c>
      <c r="R4282" s="57">
        <f>IFERROR(__xludf.DUMMYFUNCTION("""COMPUTED_VALUE"""),45875.0)</f>
        <v>45875</v>
      </c>
      <c r="S4282" s="57">
        <f>IFERROR(__xludf.DUMMYFUNCTION("""COMPUTED_VALUE"""),45891.0)</f>
        <v>45891</v>
      </c>
      <c r="T4282" s="57">
        <f>IFERROR(__xludf.DUMMYFUNCTION("""COMPUTED_VALUE"""),45960.0)</f>
        <v>45960</v>
      </c>
    </row>
    <row r="4283">
      <c r="A4283" s="6" t="str">
        <f>IFERROR(__xludf.DUMMYFUNCTION("""COMPUTED_VALUE"""),"121703076-2")</f>
        <v>121703076-2</v>
      </c>
      <c r="B4283" s="6" t="str">
        <f>IFERROR(__xludf.DUMMYFUNCTION("""COMPUTED_VALUE"""),"121703076 - APPROVED")</f>
        <v>121703076 - APPROVED</v>
      </c>
      <c r="C4283" s="6">
        <f>IFERROR(__xludf.DUMMYFUNCTION("""COMPUTED_VALUE"""),2.0)</f>
        <v>2</v>
      </c>
      <c r="D4283" s="6" t="str">
        <f>IFERROR(__xludf.DUMMYFUNCTION("""COMPUTED_VALUE"""),"O-19382-00")</f>
        <v>O-19382-00</v>
      </c>
      <c r="E4283" s="6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F4283" s="6">
        <f>IFERROR(__xludf.DUMMYFUNCTION("""COMPUTED_VALUE"""),2.0)</f>
        <v>2</v>
      </c>
      <c r="G4283" s="6" t="str">
        <f>IFERROR(__xludf.DUMMYFUNCTION("""COMPUTED_VALUE"""),"Pieces")</f>
        <v>Pieces</v>
      </c>
      <c r="H4283" s="6" t="str">
        <f>IFERROR(__xludf.DUMMYFUNCTION("""COMPUTED_VALUE"""),"IDR")</f>
        <v>IDR</v>
      </c>
      <c r="I4283" s="6">
        <f>IFERROR(__xludf.DUMMYFUNCTION("""COMPUTED_VALUE"""),1250000.0)</f>
        <v>1250000</v>
      </c>
      <c r="J4283" s="6">
        <f>IFERROR(__xludf.DUMMYFUNCTION("""COMPUTED_VALUE"""),2500000.0)</f>
        <v>2500000</v>
      </c>
      <c r="K4283" s="57">
        <f>IFERROR(__xludf.DUMMYFUNCTION("""COMPUTED_VALUE"""),45912.0)</f>
        <v>45912</v>
      </c>
      <c r="L4283" s="6" t="str">
        <f>IFERROR(__xludf.DUMMYFUNCTION("""COMPUTED_VALUE"""),"FIP Engineering")</f>
        <v>FIP Engineering</v>
      </c>
      <c r="M4283" s="6" t="str">
        <f>IFERROR(__xludf.DUMMYFUNCTION("""COMPUTED_VALUE"""),"Mochammad Fadhillah Hakim,")</f>
        <v>Mochammad Fadhillah Hakim,</v>
      </c>
      <c r="N4283" s="6" t="str">
        <f>IFERROR(__xludf.DUMMYFUNCTION("""COMPUTED_VALUE"""),"FIP Engineering")</f>
        <v>FIP Engineering</v>
      </c>
      <c r="O4283" s="6" t="str">
        <f>IFERROR(__xludf.DUMMYFUNCTION("""COMPUTED_VALUE"""),"FIP-DOM-000-11304-OS00001-INA-000000")</f>
        <v>FIP-DOM-000-11304-OS00001-INA-000000</v>
      </c>
      <c r="P4283" s="6" t="str">
        <f>IFERROR(__xludf.DUMMYFUNCTION("""COMPUTED_VALUE"""),"PO Closed")</f>
        <v>PO Closed</v>
      </c>
      <c r="Q4283" s="6" t="str">
        <f>IFERROR(__xludf.DUMMYFUNCTION("""COMPUTED_VALUE"""),"GL2509454")</f>
        <v>GL2509454</v>
      </c>
      <c r="R4283" s="57">
        <f>IFERROR(__xludf.DUMMYFUNCTION("""COMPUTED_VALUE"""),45875.0)</f>
        <v>45875</v>
      </c>
      <c r="S4283" s="57">
        <f>IFERROR(__xludf.DUMMYFUNCTION("""COMPUTED_VALUE"""),45891.0)</f>
        <v>45891</v>
      </c>
      <c r="T4283" s="57">
        <f>IFERROR(__xludf.DUMMYFUNCTION("""COMPUTED_VALUE"""),45942.0)</f>
        <v>45942</v>
      </c>
    </row>
    <row r="4284">
      <c r="A4284" s="6" t="str">
        <f>IFERROR(__xludf.DUMMYFUNCTION("""COMPUTED_VALUE"""),"121703076-3")</f>
        <v>121703076-3</v>
      </c>
      <c r="B4284" s="6" t="str">
        <f>IFERROR(__xludf.DUMMYFUNCTION("""COMPUTED_VALUE"""),"121703076 - APPROVED")</f>
        <v>121703076 - APPROVED</v>
      </c>
      <c r="C4284" s="6">
        <f>IFERROR(__xludf.DUMMYFUNCTION("""COMPUTED_VALUE"""),3.0)</f>
        <v>3</v>
      </c>
      <c r="D4284" s="6" t="str">
        <f>IFERROR(__xludf.DUMMYFUNCTION("""COMPUTED_VALUE"""),"O-19383-00")</f>
        <v>O-19383-00</v>
      </c>
      <c r="E4284" s="6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F4284" s="6">
        <f>IFERROR(__xludf.DUMMYFUNCTION("""COMPUTED_VALUE"""),2.0)</f>
        <v>2</v>
      </c>
      <c r="G4284" s="6" t="str">
        <f>IFERROR(__xludf.DUMMYFUNCTION("""COMPUTED_VALUE"""),"Pieces")</f>
        <v>Pieces</v>
      </c>
      <c r="H4284" s="6" t="str">
        <f>IFERROR(__xludf.DUMMYFUNCTION("""COMPUTED_VALUE"""),"IDR")</f>
        <v>IDR</v>
      </c>
      <c r="I4284" s="6">
        <f>IFERROR(__xludf.DUMMYFUNCTION("""COMPUTED_VALUE"""),1550000.0)</f>
        <v>1550000</v>
      </c>
      <c r="J4284" s="6">
        <f>IFERROR(__xludf.DUMMYFUNCTION("""COMPUTED_VALUE"""),3100000.0)</f>
        <v>3100000</v>
      </c>
      <c r="K4284" s="57">
        <f>IFERROR(__xludf.DUMMYFUNCTION("""COMPUTED_VALUE"""),45912.0)</f>
        <v>45912</v>
      </c>
      <c r="L4284" s="6" t="str">
        <f>IFERROR(__xludf.DUMMYFUNCTION("""COMPUTED_VALUE"""),"FIP Engineering")</f>
        <v>FIP Engineering</v>
      </c>
      <c r="M4284" s="6" t="str">
        <f>IFERROR(__xludf.DUMMYFUNCTION("""COMPUTED_VALUE"""),"Mochammad Fadhillah Hakim,")</f>
        <v>Mochammad Fadhillah Hakim,</v>
      </c>
      <c r="N4284" s="6" t="str">
        <f>IFERROR(__xludf.DUMMYFUNCTION("""COMPUTED_VALUE"""),"FIP Engineering")</f>
        <v>FIP Engineering</v>
      </c>
      <c r="O4284" s="6" t="str">
        <f>IFERROR(__xludf.DUMMYFUNCTION("""COMPUTED_VALUE"""),"FIP-DOM-000-11304-OS00001-INA-000000")</f>
        <v>FIP-DOM-000-11304-OS00001-INA-000000</v>
      </c>
      <c r="P4284" s="6" t="str">
        <f>IFERROR(__xludf.DUMMYFUNCTION("""COMPUTED_VALUE"""),"PO Closed")</f>
        <v>PO Closed</v>
      </c>
      <c r="Q4284" s="6" t="str">
        <f>IFERROR(__xludf.DUMMYFUNCTION("""COMPUTED_VALUE"""),"GL2509454")</f>
        <v>GL2509454</v>
      </c>
      <c r="R4284" s="57">
        <f>IFERROR(__xludf.DUMMYFUNCTION("""COMPUTED_VALUE"""),45875.0)</f>
        <v>45875</v>
      </c>
      <c r="S4284" s="57">
        <f>IFERROR(__xludf.DUMMYFUNCTION("""COMPUTED_VALUE"""),45891.0)</f>
        <v>45891</v>
      </c>
      <c r="T4284" s="57">
        <f>IFERROR(__xludf.DUMMYFUNCTION("""COMPUTED_VALUE"""),45973.0)</f>
        <v>45973</v>
      </c>
    </row>
    <row r="4285">
      <c r="A4285" s="6" t="str">
        <f>IFERROR(__xludf.DUMMYFUNCTION("""COMPUTED_VALUE"""),"121703076-4")</f>
        <v>121703076-4</v>
      </c>
      <c r="B4285" s="6" t="str">
        <f>IFERROR(__xludf.DUMMYFUNCTION("""COMPUTED_VALUE"""),"121703076 - APPROVED")</f>
        <v>121703076 - APPROVED</v>
      </c>
      <c r="C4285" s="6">
        <f>IFERROR(__xludf.DUMMYFUNCTION("""COMPUTED_VALUE"""),4.0)</f>
        <v>4</v>
      </c>
      <c r="D4285" s="6" t="str">
        <f>IFERROR(__xludf.DUMMYFUNCTION("""COMPUTED_VALUE"""),"O-19391-00")</f>
        <v>O-19391-00</v>
      </c>
      <c r="E4285" s="6" t="str">
        <f>IFERROR(__xludf.DUMMYFUNCTION("""COMPUTED_VALUE"""),"HEPA filter minipleat, size: 610X305X93 H13; Hencolin; ;")</f>
        <v>HEPA filter minipleat, size: 610X305X93 H13; Hencolin; ;</v>
      </c>
      <c r="F4285" s="6">
        <f>IFERROR(__xludf.DUMMYFUNCTION("""COMPUTED_VALUE"""),2.0)</f>
        <v>2</v>
      </c>
      <c r="G4285" s="6" t="str">
        <f>IFERROR(__xludf.DUMMYFUNCTION("""COMPUTED_VALUE"""),"Pieces")</f>
        <v>Pieces</v>
      </c>
      <c r="H4285" s="6" t="str">
        <f>IFERROR(__xludf.DUMMYFUNCTION("""COMPUTED_VALUE"""),"IDR")</f>
        <v>IDR</v>
      </c>
      <c r="I4285" s="6">
        <f>IFERROR(__xludf.DUMMYFUNCTION("""COMPUTED_VALUE"""),1200000.0)</f>
        <v>1200000</v>
      </c>
      <c r="J4285" s="6">
        <f>IFERROR(__xludf.DUMMYFUNCTION("""COMPUTED_VALUE"""),2400000.0)</f>
        <v>2400000</v>
      </c>
      <c r="K4285" s="57">
        <f>IFERROR(__xludf.DUMMYFUNCTION("""COMPUTED_VALUE"""),45912.0)</f>
        <v>45912</v>
      </c>
      <c r="L4285" s="6" t="str">
        <f>IFERROR(__xludf.DUMMYFUNCTION("""COMPUTED_VALUE"""),"FIP Engineering")</f>
        <v>FIP Engineering</v>
      </c>
      <c r="M4285" s="6" t="str">
        <f>IFERROR(__xludf.DUMMYFUNCTION("""COMPUTED_VALUE"""),"Mochammad Fadhillah Hakim,")</f>
        <v>Mochammad Fadhillah Hakim,</v>
      </c>
      <c r="N4285" s="6" t="str">
        <f>IFERROR(__xludf.DUMMYFUNCTION("""COMPUTED_VALUE"""),"FIP Engineering")</f>
        <v>FIP Engineering</v>
      </c>
      <c r="O4285" s="6" t="str">
        <f>IFERROR(__xludf.DUMMYFUNCTION("""COMPUTED_VALUE"""),"FIP-DOM-000-11304-OS00001-INA-000000")</f>
        <v>FIP-DOM-000-11304-OS00001-INA-000000</v>
      </c>
      <c r="P4285" s="6" t="str">
        <f>IFERROR(__xludf.DUMMYFUNCTION("""COMPUTED_VALUE"""),"PO Closed")</f>
        <v>PO Closed</v>
      </c>
      <c r="Q4285" s="6" t="str">
        <f>IFERROR(__xludf.DUMMYFUNCTION("""COMPUTED_VALUE"""),"GL2509454")</f>
        <v>GL2509454</v>
      </c>
      <c r="R4285" s="57">
        <f>IFERROR(__xludf.DUMMYFUNCTION("""COMPUTED_VALUE"""),45875.0)</f>
        <v>45875</v>
      </c>
      <c r="S4285" s="57">
        <f>IFERROR(__xludf.DUMMYFUNCTION("""COMPUTED_VALUE"""),45891.0)</f>
        <v>45891</v>
      </c>
      <c r="T4285" s="57">
        <f>IFERROR(__xludf.DUMMYFUNCTION("""COMPUTED_VALUE"""),45942.0)</f>
        <v>45942</v>
      </c>
    </row>
    <row r="4286">
      <c r="A4286" s="6" t="str">
        <f>IFERROR(__xludf.DUMMYFUNCTION("""COMPUTED_VALUE"""),"121703078-1")</f>
        <v>121703078-1</v>
      </c>
      <c r="B4286" s="6" t="str">
        <f>IFERROR(__xludf.DUMMYFUNCTION("""COMPUTED_VALUE"""),"121703078 - APPROVED")</f>
        <v>121703078 - APPROVED</v>
      </c>
      <c r="C4286" s="6">
        <f>IFERROR(__xludf.DUMMYFUNCTION("""COMPUTED_VALUE"""),1.0)</f>
        <v>1</v>
      </c>
      <c r="D4286" s="6" t="str">
        <f>IFERROR(__xludf.DUMMYFUNCTION("""COMPUTED_VALUE"""),"O-16706-00")</f>
        <v>O-16706-00</v>
      </c>
      <c r="E4286" s="6" t="str">
        <f>IFERROR(__xludf.DUMMYFUNCTION("""COMPUTED_VALUE"""),"Capping VCM200 - Coupling for Encoder NBK MST 32 - P/N : -  pc")</f>
        <v>Capping VCM200 - Coupling for Encoder NBK MST 32 - P/N : -  pc</v>
      </c>
      <c r="F4286" s="6">
        <f>IFERROR(__xludf.DUMMYFUNCTION("""COMPUTED_VALUE"""),2.0)</f>
        <v>2</v>
      </c>
      <c r="G4286" s="6" t="str">
        <f>IFERROR(__xludf.DUMMYFUNCTION("""COMPUTED_VALUE"""),"Pieces")</f>
        <v>Pieces</v>
      </c>
      <c r="H4286" s="6" t="str">
        <f>IFERROR(__xludf.DUMMYFUNCTION("""COMPUTED_VALUE"""),"IDR")</f>
        <v>IDR</v>
      </c>
      <c r="I4286" s="6">
        <f>IFERROR(__xludf.DUMMYFUNCTION("""COMPUTED_VALUE"""),1350000.0)</f>
        <v>1350000</v>
      </c>
      <c r="J4286" s="6">
        <f>IFERROR(__xludf.DUMMYFUNCTION("""COMPUTED_VALUE"""),2700000.0)</f>
        <v>2700000</v>
      </c>
      <c r="K4286" s="57">
        <f>IFERROR(__xludf.DUMMYFUNCTION("""COMPUTED_VALUE"""),45912.0)</f>
        <v>45912</v>
      </c>
      <c r="L4286" s="6" t="str">
        <f>IFERROR(__xludf.DUMMYFUNCTION("""COMPUTED_VALUE"""),"FIP Engineering")</f>
        <v>FIP Engineering</v>
      </c>
      <c r="M4286" s="6" t="str">
        <f>IFERROR(__xludf.DUMMYFUNCTION("""COMPUTED_VALUE"""),"Mochammad Fadhillah Hakim,")</f>
        <v>Mochammad Fadhillah Hakim,</v>
      </c>
      <c r="N4286" s="6" t="str">
        <f>IFERROR(__xludf.DUMMYFUNCTION("""COMPUTED_VALUE"""),"FIP Engineering")</f>
        <v>FIP Engineering</v>
      </c>
      <c r="O4286" s="6" t="str">
        <f>IFERROR(__xludf.DUMMYFUNCTION("""COMPUTED_VALUE"""),"FIP-DOM-000-11304-OS00001-INA-000000")</f>
        <v>FIP-DOM-000-11304-OS00001-INA-000000</v>
      </c>
      <c r="P4286" s="6" t="str">
        <f>IFERROR(__xludf.DUMMYFUNCTION("""COMPUTED_VALUE"""),"PO Closed")</f>
        <v>PO Closed</v>
      </c>
      <c r="Q4286" s="6" t="str">
        <f>IFERROR(__xludf.DUMMYFUNCTION("""COMPUTED_VALUE"""),"GL2509033")</f>
        <v>GL2509033</v>
      </c>
      <c r="R4286" s="57">
        <f>IFERROR(__xludf.DUMMYFUNCTION("""COMPUTED_VALUE"""),45875.0)</f>
        <v>45875</v>
      </c>
      <c r="S4286" s="57">
        <f>IFERROR(__xludf.DUMMYFUNCTION("""COMPUTED_VALUE"""),45894.0)</f>
        <v>45894</v>
      </c>
      <c r="T4286" s="57">
        <f>IFERROR(__xludf.DUMMYFUNCTION("""COMPUTED_VALUE"""),45942.0)</f>
        <v>45942</v>
      </c>
    </row>
    <row r="4287">
      <c r="A4287" s="6" t="str">
        <f>IFERROR(__xludf.DUMMYFUNCTION("""COMPUTED_VALUE"""),"121703080-1")</f>
        <v>121703080-1</v>
      </c>
      <c r="B4287" s="6" t="str">
        <f>IFERROR(__xludf.DUMMYFUNCTION("""COMPUTED_VALUE"""),"121703080 - APPROVED")</f>
        <v>121703080 - APPROVED</v>
      </c>
      <c r="C4287" s="6">
        <f>IFERROR(__xludf.DUMMYFUNCTION("""COMPUTED_VALUE"""),1.0)</f>
        <v>1</v>
      </c>
      <c r="D4287" s="6" t="str">
        <f>IFERROR(__xludf.DUMMYFUNCTION("""COMPUTED_VALUE"""),"Q-60405-00")</f>
        <v>Q-60405-00</v>
      </c>
      <c r="E4287" s="6" t="str">
        <f>IFERROR(__xludf.DUMMYFUNCTION("""COMPUTED_VALUE"""),"Cat Durogloss DR-2000; Propan; Type Spiders Web 90YY 73/040; 0,9 L/can")</f>
        <v>Cat Durogloss DR-2000; Propan; Type Spiders Web 90YY 73/040; 0,9 L/can</v>
      </c>
      <c r="F4287" s="6">
        <f>IFERROR(__xludf.DUMMYFUNCTION("""COMPUTED_VALUE"""),1.0)</f>
        <v>1</v>
      </c>
      <c r="G4287" s="6" t="str">
        <f>IFERROR(__xludf.DUMMYFUNCTION("""COMPUTED_VALUE"""),"Can")</f>
        <v>Can</v>
      </c>
      <c r="H4287" s="6" t="str">
        <f>IFERROR(__xludf.DUMMYFUNCTION("""COMPUTED_VALUE"""),"IDR")</f>
        <v>IDR</v>
      </c>
      <c r="I4287" s="6">
        <f>IFERROR(__xludf.DUMMYFUNCTION("""COMPUTED_VALUE"""),95919.0)</f>
        <v>95919</v>
      </c>
      <c r="J4287" s="6">
        <f>IFERROR(__xludf.DUMMYFUNCTION("""COMPUTED_VALUE"""),95919.0)</f>
        <v>95919</v>
      </c>
      <c r="K4287" s="57">
        <f>IFERROR(__xludf.DUMMYFUNCTION("""COMPUTED_VALUE"""),45912.0)</f>
        <v>45912</v>
      </c>
      <c r="L4287" s="6" t="str">
        <f>IFERROR(__xludf.DUMMYFUNCTION("""COMPUTED_VALUE"""),"FIP General")</f>
        <v>FIP General</v>
      </c>
      <c r="M4287" s="6" t="str">
        <f>IFERROR(__xludf.DUMMYFUNCTION("""COMPUTED_VALUE"""),"Mochammad Fadhillah Hakim,")</f>
        <v>Mochammad Fadhillah Hakim,</v>
      </c>
      <c r="N4287" s="6" t="str">
        <f>IFERROR(__xludf.DUMMYFUNCTION("""COMPUTED_VALUE"""),"FIP Engineering")</f>
        <v>FIP Engineering</v>
      </c>
      <c r="O4287" s="6" t="str">
        <f>IFERROR(__xludf.DUMMYFUNCTION("""COMPUTED_VALUE"""),"FIP-DOM-ENG-51402-0000000-INA-000000")</f>
        <v>FIP-DOM-ENG-51402-0000000-INA-000000</v>
      </c>
      <c r="P4287" s="6" t="str">
        <f>IFERROR(__xludf.DUMMYFUNCTION("""COMPUTED_VALUE"""),"PO Closed")</f>
        <v>PO Closed</v>
      </c>
      <c r="Q4287" s="6" t="str">
        <f>IFERROR(__xludf.DUMMYFUNCTION("""COMPUTED_VALUE"""),"GL2508024")</f>
        <v>GL2508024</v>
      </c>
      <c r="R4287" s="57">
        <f>IFERROR(__xludf.DUMMYFUNCTION("""COMPUTED_VALUE"""),45875.0)</f>
        <v>45875</v>
      </c>
      <c r="S4287" s="57">
        <f>IFERROR(__xludf.DUMMYFUNCTION("""COMPUTED_VALUE"""),45882.0)</f>
        <v>45882</v>
      </c>
      <c r="T4287" s="57">
        <f>IFERROR(__xludf.DUMMYFUNCTION("""COMPUTED_VALUE"""),45930.0)</f>
        <v>45930</v>
      </c>
    </row>
    <row r="4288">
      <c r="A4288" s="6" t="str">
        <f>IFERROR(__xludf.DUMMYFUNCTION("""COMPUTED_VALUE"""),"121703081-1")</f>
        <v>121703081-1</v>
      </c>
      <c r="B4288" s="6" t="str">
        <f>IFERROR(__xludf.DUMMYFUNCTION("""COMPUTED_VALUE"""),"121703081 - APPROVED")</f>
        <v>121703081 - APPROVED</v>
      </c>
      <c r="C4288" s="6">
        <f>IFERROR(__xludf.DUMMYFUNCTION("""COMPUTED_VALUE"""),1.0)</f>
        <v>1</v>
      </c>
      <c r="D4288" s="6" t="str">
        <f>IFERROR(__xludf.DUMMYFUNCTION("""COMPUTED_VALUE"""),"O-20913-00")</f>
        <v>O-20913-00</v>
      </c>
      <c r="E4288" s="6" t="str">
        <f>IFERROR(__xludf.DUMMYFUNCTION("""COMPUTED_VALUE"""),"General - Air Gripper; SMC; MHZJ2 20DS X43 X81B; 1 Pc")</f>
        <v>General - Air Gripper; SMC; MHZJ2 20DS X43 X81B; 1 Pc</v>
      </c>
      <c r="F4288" s="6">
        <f>IFERROR(__xludf.DUMMYFUNCTION("""COMPUTED_VALUE"""),5.0)</f>
        <v>5</v>
      </c>
      <c r="G4288" s="6" t="str">
        <f>IFERROR(__xludf.DUMMYFUNCTION("""COMPUTED_VALUE"""),"Pieces")</f>
        <v>Pieces</v>
      </c>
      <c r="H4288" s="6" t="str">
        <f>IFERROR(__xludf.DUMMYFUNCTION("""COMPUTED_VALUE"""),"IDR")</f>
        <v>IDR</v>
      </c>
      <c r="I4288" s="6">
        <f>IFERROR(__xludf.DUMMYFUNCTION("""COMPUTED_VALUE"""),6025000.0)</f>
        <v>6025000</v>
      </c>
      <c r="J4288" s="6">
        <f>IFERROR(__xludf.DUMMYFUNCTION("""COMPUTED_VALUE"""),3.0125E7)</f>
        <v>30125000</v>
      </c>
      <c r="K4288" s="57">
        <f>IFERROR(__xludf.DUMMYFUNCTION("""COMPUTED_VALUE"""),45912.0)</f>
        <v>45912</v>
      </c>
      <c r="L4288" s="6" t="str">
        <f>IFERROR(__xludf.DUMMYFUNCTION("""COMPUTED_VALUE"""),"FIP Engineering")</f>
        <v>FIP Engineering</v>
      </c>
      <c r="M4288" s="6" t="str">
        <f>IFERROR(__xludf.DUMMYFUNCTION("""COMPUTED_VALUE"""),"Mochammad Fadhillah Hakim,")</f>
        <v>Mochammad Fadhillah Hakim,</v>
      </c>
      <c r="N4288" s="6" t="str">
        <f>IFERROR(__xludf.DUMMYFUNCTION("""COMPUTED_VALUE"""),"FIP Engineering")</f>
        <v>FIP Engineering</v>
      </c>
      <c r="O4288" s="6" t="str">
        <f>IFERROR(__xludf.DUMMYFUNCTION("""COMPUTED_VALUE"""),"FIP-DOM-000-11304-OS00001-INA-000000")</f>
        <v>FIP-DOM-000-11304-OS00001-INA-000000</v>
      </c>
      <c r="P4288" s="6" t="str">
        <f>IFERROR(__xludf.DUMMYFUNCTION("""COMPUTED_VALUE"""),"PO Closed")</f>
        <v>PO Closed</v>
      </c>
      <c r="Q4288" s="6" t="str">
        <f>IFERROR(__xludf.DUMMYFUNCTION("""COMPUTED_VALUE"""),"GL2508441")</f>
        <v>GL2508441</v>
      </c>
      <c r="R4288" s="57">
        <f>IFERROR(__xludf.DUMMYFUNCTION("""COMPUTED_VALUE"""),45875.0)</f>
        <v>45875</v>
      </c>
      <c r="S4288" s="57">
        <f>IFERROR(__xludf.DUMMYFUNCTION("""COMPUTED_VALUE"""),45882.0)</f>
        <v>45882</v>
      </c>
      <c r="T4288" s="57">
        <f>IFERROR(__xludf.DUMMYFUNCTION("""COMPUTED_VALUE"""),45950.0)</f>
        <v>45950</v>
      </c>
    </row>
    <row r="4289">
      <c r="A4289" s="6" t="str">
        <f>IFERROR(__xludf.DUMMYFUNCTION("""COMPUTED_VALUE"""),"121703083-1")</f>
        <v>121703083-1</v>
      </c>
      <c r="B4289" s="6" t="str">
        <f>IFERROR(__xludf.DUMMYFUNCTION("""COMPUTED_VALUE"""),"121703083 - APPROVED")</f>
        <v>121703083 - APPROVED</v>
      </c>
      <c r="C4289" s="6">
        <f>IFERROR(__xludf.DUMMYFUNCTION("""COMPUTED_VALUE"""),1.0)</f>
        <v>1</v>
      </c>
      <c r="D4289" s="6" t="str">
        <f>IFERROR(__xludf.DUMMYFUNCTION("""COMPUTED_VALUE"""),"O-19005-00")</f>
        <v>O-19005-00</v>
      </c>
      <c r="E4289" s="6" t="str">
        <f>IFERROR(__xludf.DUMMYFUNCTION("""COMPUTED_VALUE"""),"Misumi - Linear Shaft PSFAA8-46-F11-P6-M3-N3; ; ;")</f>
        <v>Misumi - Linear Shaft PSFAA8-46-F11-P6-M3-N3; ; ;</v>
      </c>
      <c r="F4289" s="6">
        <f>IFERROR(__xludf.DUMMYFUNCTION("""COMPUTED_VALUE"""),1.0)</f>
        <v>1</v>
      </c>
      <c r="G4289" s="6" t="str">
        <f>IFERROR(__xludf.DUMMYFUNCTION("""COMPUTED_VALUE"""),"Pieces")</f>
        <v>Pieces</v>
      </c>
      <c r="H4289" s="6" t="str">
        <f>IFERROR(__xludf.DUMMYFUNCTION("""COMPUTED_VALUE"""),"IDR")</f>
        <v>IDR</v>
      </c>
      <c r="I4289" s="6">
        <f>IFERROR(__xludf.DUMMYFUNCTION("""COMPUTED_VALUE"""),157962.0)</f>
        <v>157962</v>
      </c>
      <c r="J4289" s="6">
        <f>IFERROR(__xludf.DUMMYFUNCTION("""COMPUTED_VALUE"""),157962.0)</f>
        <v>157962</v>
      </c>
      <c r="K4289" s="57">
        <f>IFERROR(__xludf.DUMMYFUNCTION("""COMPUTED_VALUE"""),45912.0)</f>
        <v>45912</v>
      </c>
      <c r="L4289" s="6" t="str">
        <f>IFERROR(__xludf.DUMMYFUNCTION("""COMPUTED_VALUE"""),"FIP Engineering")</f>
        <v>FIP Engineering</v>
      </c>
      <c r="M4289" s="6" t="str">
        <f>IFERROR(__xludf.DUMMYFUNCTION("""COMPUTED_VALUE"""),"Mochammad Fadhillah Hakim,")</f>
        <v>Mochammad Fadhillah Hakim,</v>
      </c>
      <c r="N4289" s="6" t="str">
        <f>IFERROR(__xludf.DUMMYFUNCTION("""COMPUTED_VALUE"""),"FIP Engineering")</f>
        <v>FIP Engineering</v>
      </c>
      <c r="O4289" s="6" t="str">
        <f>IFERROR(__xludf.DUMMYFUNCTION("""COMPUTED_VALUE"""),"FIP-DOM-000-11304-OS00001-INA-000000")</f>
        <v>FIP-DOM-000-11304-OS00001-INA-000000</v>
      </c>
      <c r="P4289" s="6" t="str">
        <f>IFERROR(__xludf.DUMMYFUNCTION("""COMPUTED_VALUE"""),"PO Closed")</f>
        <v>PO Closed</v>
      </c>
      <c r="Q4289" s="6" t="str">
        <f>IFERROR(__xludf.DUMMYFUNCTION("""COMPUTED_VALUE"""),"GL2508437")</f>
        <v>GL2508437</v>
      </c>
      <c r="R4289" s="57">
        <f>IFERROR(__xludf.DUMMYFUNCTION("""COMPUTED_VALUE"""),45875.0)</f>
        <v>45875</v>
      </c>
      <c r="S4289" s="57">
        <f>IFERROR(__xludf.DUMMYFUNCTION("""COMPUTED_VALUE"""),45882.0)</f>
        <v>45882</v>
      </c>
      <c r="T4289" s="57">
        <f>IFERROR(__xludf.DUMMYFUNCTION("""COMPUTED_VALUE"""),45920.0)</f>
        <v>45920</v>
      </c>
    </row>
    <row r="4290">
      <c r="A4290" s="6" t="str">
        <f>IFERROR(__xludf.DUMMYFUNCTION("""COMPUTED_VALUE"""),"121703084-1")</f>
        <v>121703084-1</v>
      </c>
      <c r="B4290" s="6" t="str">
        <f>IFERROR(__xludf.DUMMYFUNCTION("""COMPUTED_VALUE"""),"121703084 - APPROVED")</f>
        <v>121703084 - APPROVED</v>
      </c>
      <c r="C4290" s="6">
        <f>IFERROR(__xludf.DUMMYFUNCTION("""COMPUTED_VALUE"""),1.0)</f>
        <v>1</v>
      </c>
      <c r="D4290" s="6" t="str">
        <f>IFERROR(__xludf.DUMMYFUNCTION("""COMPUTED_VALUE"""),"Q-90767-00")</f>
        <v>Q-90767-00</v>
      </c>
      <c r="E4290" s="6" t="str">
        <f>IFERROR(__xludf.DUMMYFUNCTION("""COMPUTED_VALUE"""),"Cat Weathershield Day Break;Dulux;Type 40544M Day Break;pack size per 20L pail")</f>
        <v>Cat Weathershield Day Break;Dulux;Type 40544M Day Break;pack size per 20L pail</v>
      </c>
      <c r="F4290" s="6">
        <f>IFERROR(__xludf.DUMMYFUNCTION("""COMPUTED_VALUE"""),2.0)</f>
        <v>2</v>
      </c>
      <c r="G4290" s="6" t="str">
        <f>IFERROR(__xludf.DUMMYFUNCTION("""COMPUTED_VALUE"""),"Can")</f>
        <v>Can</v>
      </c>
      <c r="H4290" s="6" t="str">
        <f>IFERROR(__xludf.DUMMYFUNCTION("""COMPUTED_VALUE"""),"IDR")</f>
        <v>IDR</v>
      </c>
      <c r="I4290" s="6">
        <f>IFERROR(__xludf.DUMMYFUNCTION("""COMPUTED_VALUE"""),2960000.0)</f>
        <v>2960000</v>
      </c>
      <c r="J4290" s="6">
        <f>IFERROR(__xludf.DUMMYFUNCTION("""COMPUTED_VALUE"""),5920000.0)</f>
        <v>5920000</v>
      </c>
      <c r="K4290" s="57">
        <f>IFERROR(__xludf.DUMMYFUNCTION("""COMPUTED_VALUE"""),45912.0)</f>
        <v>45912</v>
      </c>
      <c r="L4290" s="6" t="str">
        <f>IFERROR(__xludf.DUMMYFUNCTION("""COMPUTED_VALUE"""),"FIP General")</f>
        <v>FIP General</v>
      </c>
      <c r="M4290" s="6" t="str">
        <f>IFERROR(__xludf.DUMMYFUNCTION("""COMPUTED_VALUE"""),"Mochammad Fadhillah Hakim,")</f>
        <v>Mochammad Fadhillah Hakim,</v>
      </c>
      <c r="N4290" s="6" t="str">
        <f>IFERROR(__xludf.DUMMYFUNCTION("""COMPUTED_VALUE"""),"FIP Engineering")</f>
        <v>FIP Engineering</v>
      </c>
      <c r="O4290" s="6" t="str">
        <f>IFERROR(__xludf.DUMMYFUNCTION("""COMPUTED_VALUE"""),"FIP-DOM-ENG-51502-0000000-INA-000000")</f>
        <v>FIP-DOM-ENG-51502-0000000-INA-000000</v>
      </c>
      <c r="P4290" s="6" t="str">
        <f>IFERROR(__xludf.DUMMYFUNCTION("""COMPUTED_VALUE"""),"PO Closed")</f>
        <v>PO Closed</v>
      </c>
      <c r="Q4290" s="6" t="str">
        <f>IFERROR(__xludf.DUMMYFUNCTION("""COMPUTED_VALUE"""),"GL2509053")</f>
        <v>GL2509053</v>
      </c>
      <c r="R4290" s="57">
        <f>IFERROR(__xludf.DUMMYFUNCTION("""COMPUTED_VALUE"""),45875.0)</f>
        <v>45875</v>
      </c>
      <c r="S4290" s="57">
        <f>IFERROR(__xludf.DUMMYFUNCTION("""COMPUTED_VALUE"""),45915.0)</f>
        <v>45915</v>
      </c>
      <c r="T4290" s="57">
        <f>IFERROR(__xludf.DUMMYFUNCTION("""COMPUTED_VALUE"""),45954.0)</f>
        <v>45954</v>
      </c>
    </row>
    <row r="4291">
      <c r="A4291" s="6" t="str">
        <f>IFERROR(__xludf.DUMMYFUNCTION("""COMPUTED_VALUE"""),"121703085-1")</f>
        <v>121703085-1</v>
      </c>
      <c r="B4291" s="6" t="str">
        <f>IFERROR(__xludf.DUMMYFUNCTION("""COMPUTED_VALUE"""),"121703085 - APPROVED")</f>
        <v>121703085 - APPROVED</v>
      </c>
      <c r="C4291" s="6">
        <f>IFERROR(__xludf.DUMMYFUNCTION("""COMPUTED_VALUE"""),1.0)</f>
        <v>1</v>
      </c>
      <c r="D4291" s="6" t="str">
        <f>IFERROR(__xludf.DUMMYFUNCTION("""COMPUTED_VALUE"""),"O-17534-00")</f>
        <v>O-17534-00</v>
      </c>
      <c r="E4291" s="6" t="str">
        <f>IFERROR(__xludf.DUMMYFUNCTION("""COMPUTED_VALUE"""),"Oring Viton 234x5.3 mm; ; ;")</f>
        <v>Oring Viton 234x5.3 mm; ; ;</v>
      </c>
      <c r="F4291" s="6">
        <f>IFERROR(__xludf.DUMMYFUNCTION("""COMPUTED_VALUE"""),4.0)</f>
        <v>4</v>
      </c>
      <c r="G4291" s="6" t="str">
        <f>IFERROR(__xludf.DUMMYFUNCTION("""COMPUTED_VALUE"""),"Pieces")</f>
        <v>Pieces</v>
      </c>
      <c r="H4291" s="6" t="str">
        <f>IFERROR(__xludf.DUMMYFUNCTION("""COMPUTED_VALUE"""),"IDR")</f>
        <v>IDR</v>
      </c>
      <c r="I4291" s="6">
        <f>IFERROR(__xludf.DUMMYFUNCTION("""COMPUTED_VALUE"""),235000.0)</f>
        <v>235000</v>
      </c>
      <c r="J4291" s="6">
        <f>IFERROR(__xludf.DUMMYFUNCTION("""COMPUTED_VALUE"""),940000.0)</f>
        <v>940000</v>
      </c>
      <c r="K4291" s="57">
        <f>IFERROR(__xludf.DUMMYFUNCTION("""COMPUTED_VALUE"""),45912.0)</f>
        <v>45912</v>
      </c>
      <c r="L4291" s="6" t="str">
        <f>IFERROR(__xludf.DUMMYFUNCTION("""COMPUTED_VALUE"""),"FIP Engineering")</f>
        <v>FIP Engineering</v>
      </c>
      <c r="M4291" s="6" t="str">
        <f>IFERROR(__xludf.DUMMYFUNCTION("""COMPUTED_VALUE"""),"Mochammad Fadhillah Hakim,")</f>
        <v>Mochammad Fadhillah Hakim,</v>
      </c>
      <c r="N4291" s="6" t="str">
        <f>IFERROR(__xludf.DUMMYFUNCTION("""COMPUTED_VALUE"""),"FIP Engineering")</f>
        <v>FIP Engineering</v>
      </c>
      <c r="O4291" s="6" t="str">
        <f>IFERROR(__xludf.DUMMYFUNCTION("""COMPUTED_VALUE"""),"FIP-DOM-000-11304-OS00001-INA-000000")</f>
        <v>FIP-DOM-000-11304-OS00001-INA-000000</v>
      </c>
      <c r="P4291" s="6" t="str">
        <f>IFERROR(__xludf.DUMMYFUNCTION("""COMPUTED_VALUE"""),"PO Closed")</f>
        <v>PO Closed</v>
      </c>
      <c r="Q4291" s="6" t="str">
        <f>IFERROR(__xludf.DUMMYFUNCTION("""COMPUTED_VALUE"""),"GL2508438")</f>
        <v>GL2508438</v>
      </c>
      <c r="R4291" s="57">
        <f>IFERROR(__xludf.DUMMYFUNCTION("""COMPUTED_VALUE"""),45875.0)</f>
        <v>45875</v>
      </c>
      <c r="S4291" s="57">
        <f>IFERROR(__xludf.DUMMYFUNCTION("""COMPUTED_VALUE"""),45882.0)</f>
        <v>45882</v>
      </c>
      <c r="T4291" s="57">
        <f>IFERROR(__xludf.DUMMYFUNCTION("""COMPUTED_VALUE"""),45920.0)</f>
        <v>45920</v>
      </c>
    </row>
    <row r="4292">
      <c r="A4292" s="6" t="str">
        <f>IFERROR(__xludf.DUMMYFUNCTION("""COMPUTED_VALUE"""),"121703086-1")</f>
        <v>121703086-1</v>
      </c>
      <c r="B4292" s="6" t="str">
        <f>IFERROR(__xludf.DUMMYFUNCTION("""COMPUTED_VALUE"""),"121703086 - APPROVED")</f>
        <v>121703086 - APPROVED</v>
      </c>
      <c r="C4292" s="6">
        <f>IFERROR(__xludf.DUMMYFUNCTION("""COMPUTED_VALUE"""),1.0)</f>
        <v>1</v>
      </c>
      <c r="D4292" s="6" t="str">
        <f>IFERROR(__xludf.DUMMYFUNCTION("""COMPUTED_VALUE"""),"P-18160-00")</f>
        <v>P-18160-00</v>
      </c>
      <c r="E4292" s="6" t="str">
        <f>IFERROR(__xludf.DUMMYFUNCTION("""COMPUTED_VALUE"""),"Kunci pas ring set; ; ;")</f>
        <v>Kunci pas ring set; ; ;</v>
      </c>
      <c r="F4292" s="6">
        <f>IFERROR(__xludf.DUMMYFUNCTION("""COMPUTED_VALUE"""),3.0)</f>
        <v>3</v>
      </c>
      <c r="G4292" s="6" t="str">
        <f>IFERROR(__xludf.DUMMYFUNCTION("""COMPUTED_VALUE"""),"Set")</f>
        <v>Set</v>
      </c>
      <c r="H4292" s="6" t="str">
        <f>IFERROR(__xludf.DUMMYFUNCTION("""COMPUTED_VALUE"""),"IDR")</f>
        <v>IDR</v>
      </c>
      <c r="I4292" s="6">
        <f>IFERROR(__xludf.DUMMYFUNCTION("""COMPUTED_VALUE"""),400000.0)</f>
        <v>400000</v>
      </c>
      <c r="J4292" s="6">
        <f>IFERROR(__xludf.DUMMYFUNCTION("""COMPUTED_VALUE"""),1200000.0)</f>
        <v>1200000</v>
      </c>
      <c r="K4292" s="57">
        <f>IFERROR(__xludf.DUMMYFUNCTION("""COMPUTED_VALUE"""),45912.0)</f>
        <v>45912</v>
      </c>
      <c r="L4292" s="6" t="str">
        <f>IFERROR(__xludf.DUMMYFUNCTION("""COMPUTED_VALUE"""),"FIP General")</f>
        <v>FIP General</v>
      </c>
      <c r="M4292" s="6" t="str">
        <f>IFERROR(__xludf.DUMMYFUNCTION("""COMPUTED_VALUE"""),"Mochammad Fadhillah Hakim,")</f>
        <v>Mochammad Fadhillah Hakim,</v>
      </c>
      <c r="N4292" s="6" t="str">
        <f>IFERROR(__xludf.DUMMYFUNCTION("""COMPUTED_VALUE"""),"FIP Engineering")</f>
        <v>FIP Engineering</v>
      </c>
      <c r="O4292" s="6" t="str">
        <f>IFERROR(__xludf.DUMMYFUNCTION("""COMPUTED_VALUE"""),"FIP-DOM-ENG-51404-0000000-INA-000000")</f>
        <v>FIP-DOM-ENG-51404-0000000-INA-000000</v>
      </c>
      <c r="P4292" s="6" t="str">
        <f>IFERROR(__xludf.DUMMYFUNCTION("""COMPUTED_VALUE"""),"PO Closed")</f>
        <v>PO Closed</v>
      </c>
      <c r="Q4292" s="6" t="str">
        <f>IFERROR(__xludf.DUMMYFUNCTION("""COMPUTED_VALUE"""),"GL2508426")</f>
        <v>GL2508426</v>
      </c>
      <c r="R4292" s="57">
        <f>IFERROR(__xludf.DUMMYFUNCTION("""COMPUTED_VALUE"""),45875.0)</f>
        <v>45875</v>
      </c>
      <c r="S4292" s="57">
        <f>IFERROR(__xludf.DUMMYFUNCTION("""COMPUTED_VALUE"""),45882.0)</f>
        <v>45882</v>
      </c>
      <c r="T4292" s="57">
        <f>IFERROR(__xludf.DUMMYFUNCTION("""COMPUTED_VALUE"""),45912.0)</f>
        <v>45912</v>
      </c>
    </row>
    <row r="4293">
      <c r="A4293" s="6" t="str">
        <f>IFERROR(__xludf.DUMMYFUNCTION("""COMPUTED_VALUE"""),"121703086-2")</f>
        <v>121703086-2</v>
      </c>
      <c r="B4293" s="6" t="str">
        <f>IFERROR(__xludf.DUMMYFUNCTION("""COMPUTED_VALUE"""),"121703086 - APPROVED")</f>
        <v>121703086 - APPROVED</v>
      </c>
      <c r="C4293" s="6">
        <f>IFERROR(__xludf.DUMMYFUNCTION("""COMPUTED_VALUE"""),2.0)</f>
        <v>2</v>
      </c>
      <c r="D4293" s="6" t="str">
        <f>IFERROR(__xludf.DUMMYFUNCTION("""COMPUTED_VALUE"""),"P-18171-00")</f>
        <v>P-18171-00</v>
      </c>
      <c r="E4293" s="6" t="str">
        <f>IFERROR(__xludf.DUMMYFUNCTION("""COMPUTED_VALUE"""),"Kunci pas ring 24 mm; ; ;")</f>
        <v>Kunci pas ring 24 mm; ; ;</v>
      </c>
      <c r="F4293" s="6">
        <f>IFERROR(__xludf.DUMMYFUNCTION("""COMPUTED_VALUE"""),2.0)</f>
        <v>2</v>
      </c>
      <c r="G4293" s="6" t="str">
        <f>IFERROR(__xludf.DUMMYFUNCTION("""COMPUTED_VALUE"""),"Pieces")</f>
        <v>Pieces</v>
      </c>
      <c r="H4293" s="6" t="str">
        <f>IFERROR(__xludf.DUMMYFUNCTION("""COMPUTED_VALUE"""),"IDR")</f>
        <v>IDR</v>
      </c>
      <c r="I4293" s="6">
        <f>IFERROR(__xludf.DUMMYFUNCTION("""COMPUTED_VALUE"""),85500.0)</f>
        <v>85500</v>
      </c>
      <c r="J4293" s="6">
        <f>IFERROR(__xludf.DUMMYFUNCTION("""COMPUTED_VALUE"""),171000.0)</f>
        <v>171000</v>
      </c>
      <c r="K4293" s="57">
        <f>IFERROR(__xludf.DUMMYFUNCTION("""COMPUTED_VALUE"""),45912.0)</f>
        <v>45912</v>
      </c>
      <c r="L4293" s="6" t="str">
        <f>IFERROR(__xludf.DUMMYFUNCTION("""COMPUTED_VALUE"""),"FIP General")</f>
        <v>FIP General</v>
      </c>
      <c r="M4293" s="6" t="str">
        <f>IFERROR(__xludf.DUMMYFUNCTION("""COMPUTED_VALUE"""),"Mochammad Fadhillah Hakim,")</f>
        <v>Mochammad Fadhillah Hakim,</v>
      </c>
      <c r="N4293" s="6" t="str">
        <f>IFERROR(__xludf.DUMMYFUNCTION("""COMPUTED_VALUE"""),"FIP Engineering")</f>
        <v>FIP Engineering</v>
      </c>
      <c r="O4293" s="6" t="str">
        <f>IFERROR(__xludf.DUMMYFUNCTION("""COMPUTED_VALUE"""),"FIP-DOM-ENG-51404-0000000-INA-000000")</f>
        <v>FIP-DOM-ENG-51404-0000000-INA-000000</v>
      </c>
      <c r="P4293" s="6" t="str">
        <f>IFERROR(__xludf.DUMMYFUNCTION("""COMPUTED_VALUE"""),"PO Closed")</f>
        <v>PO Closed</v>
      </c>
      <c r="Q4293" s="6" t="str">
        <f>IFERROR(__xludf.DUMMYFUNCTION("""COMPUTED_VALUE"""),"GL2508426")</f>
        <v>GL2508426</v>
      </c>
      <c r="R4293" s="57">
        <f>IFERROR(__xludf.DUMMYFUNCTION("""COMPUTED_VALUE"""),45875.0)</f>
        <v>45875</v>
      </c>
      <c r="S4293" s="57">
        <f>IFERROR(__xludf.DUMMYFUNCTION("""COMPUTED_VALUE"""),45882.0)</f>
        <v>45882</v>
      </c>
      <c r="T4293" s="57">
        <f>IFERROR(__xludf.DUMMYFUNCTION("""COMPUTED_VALUE"""),45912.0)</f>
        <v>45912</v>
      </c>
    </row>
    <row r="4294">
      <c r="A4294" s="6" t="str">
        <f>IFERROR(__xludf.DUMMYFUNCTION("""COMPUTED_VALUE"""),"121703087-1")</f>
        <v>121703087-1</v>
      </c>
      <c r="B4294" s="6" t="str">
        <f>IFERROR(__xludf.DUMMYFUNCTION("""COMPUTED_VALUE"""),"121703087 - APPROVED")</f>
        <v>121703087 - APPROVED</v>
      </c>
      <c r="C4294" s="6">
        <f>IFERROR(__xludf.DUMMYFUNCTION("""COMPUTED_VALUE"""),1.0)</f>
        <v>1</v>
      </c>
      <c r="D4294" s="6" t="str">
        <f>IFERROR(__xludf.DUMMYFUNCTION("""COMPUTED_VALUE"""),"Q-12077-00")</f>
        <v>Q-12077-00</v>
      </c>
      <c r="E4294" s="6" t="str">
        <f>IFERROR(__xludf.DUMMYFUNCTION("""COMPUTED_VALUE"""),"Piston Valve; Toto; S302; pc")</f>
        <v>Piston Valve; Toto; S302; pc</v>
      </c>
      <c r="F4294" s="6">
        <f>IFERROR(__xludf.DUMMYFUNCTION("""COMPUTED_VALUE"""),1.0)</f>
        <v>1</v>
      </c>
      <c r="G4294" s="6" t="str">
        <f>IFERROR(__xludf.DUMMYFUNCTION("""COMPUTED_VALUE"""),"Pieces")</f>
        <v>Pieces</v>
      </c>
      <c r="H4294" s="6" t="str">
        <f>IFERROR(__xludf.DUMMYFUNCTION("""COMPUTED_VALUE"""),"IDR")</f>
        <v>IDR</v>
      </c>
      <c r="I4294" s="6">
        <f>IFERROR(__xludf.DUMMYFUNCTION("""COMPUTED_VALUE"""),325000.0)</f>
        <v>325000</v>
      </c>
      <c r="J4294" s="6">
        <f>IFERROR(__xludf.DUMMYFUNCTION("""COMPUTED_VALUE"""),325000.0)</f>
        <v>325000</v>
      </c>
      <c r="K4294" s="57">
        <f>IFERROR(__xludf.DUMMYFUNCTION("""COMPUTED_VALUE"""),45912.0)</f>
        <v>45912</v>
      </c>
      <c r="L4294" s="6" t="str">
        <f>IFERROR(__xludf.DUMMYFUNCTION("""COMPUTED_VALUE"""),"FIP General")</f>
        <v>FIP General</v>
      </c>
      <c r="M4294" s="6" t="str">
        <f>IFERROR(__xludf.DUMMYFUNCTION("""COMPUTED_VALUE"""),"Mochammad Fadhillah Hakim,")</f>
        <v>Mochammad Fadhillah Hakim,</v>
      </c>
      <c r="N4294" s="6" t="str">
        <f>IFERROR(__xludf.DUMMYFUNCTION("""COMPUTED_VALUE"""),"FIP Engineering")</f>
        <v>FIP Engineering</v>
      </c>
      <c r="O4294" s="6" t="str">
        <f>IFERROR(__xludf.DUMMYFUNCTION("""COMPUTED_VALUE"""),"FIP-DOM-ENG-51502-0000000-INA-000000")</f>
        <v>FIP-DOM-ENG-51502-0000000-INA-000000</v>
      </c>
      <c r="P4294" s="6" t="str">
        <f>IFERROR(__xludf.DUMMYFUNCTION("""COMPUTED_VALUE"""),"PO Closed")</f>
        <v>PO Closed</v>
      </c>
      <c r="Q4294" s="6" t="str">
        <f>IFERROR(__xludf.DUMMYFUNCTION("""COMPUTED_VALUE"""),"GL2508058")</f>
        <v>GL2508058</v>
      </c>
      <c r="R4294" s="57">
        <f>IFERROR(__xludf.DUMMYFUNCTION("""COMPUTED_VALUE"""),45875.0)</f>
        <v>45875</v>
      </c>
      <c r="S4294" s="57">
        <f>IFERROR(__xludf.DUMMYFUNCTION("""COMPUTED_VALUE"""),45881.0)</f>
        <v>45881</v>
      </c>
      <c r="T4294" s="57">
        <f>IFERROR(__xludf.DUMMYFUNCTION("""COMPUTED_VALUE"""),45912.0)</f>
        <v>45912</v>
      </c>
    </row>
    <row r="4295">
      <c r="A4295" s="6" t="str">
        <f>IFERROR(__xludf.DUMMYFUNCTION("""COMPUTED_VALUE"""),"121703088-1")</f>
        <v>121703088-1</v>
      </c>
      <c r="B4295" s="6" t="str">
        <f>IFERROR(__xludf.DUMMYFUNCTION("""COMPUTED_VALUE"""),"121703088 - APPROVED")</f>
        <v>121703088 - APPROVED</v>
      </c>
      <c r="C4295" s="6">
        <f>IFERROR(__xludf.DUMMYFUNCTION("""COMPUTED_VALUE"""),1.0)</f>
        <v>1</v>
      </c>
      <c r="D4295" s="6" t="str">
        <f>IFERROR(__xludf.DUMMYFUNCTION("""COMPUTED_VALUE"""),"Q-60113-00")</f>
        <v>Q-60113-00</v>
      </c>
      <c r="E4295" s="6" t="str">
        <f>IFERROR(__xludf.DUMMYFUNCTION("""COMPUTED_VALUE"""),"Cat Ambiance Base; Dulux; Type T914A Grey Universal; 20L/pail")</f>
        <v>Cat Ambiance Base; Dulux; Type T914A Grey Universal; 20L/pail</v>
      </c>
      <c r="F4295" s="6">
        <f>IFERROR(__xludf.DUMMYFUNCTION("""COMPUTED_VALUE"""),2.0)</f>
        <v>2</v>
      </c>
      <c r="G4295" s="6" t="str">
        <f>IFERROR(__xludf.DUMMYFUNCTION("""COMPUTED_VALUE"""),"Pail")</f>
        <v>Pail</v>
      </c>
      <c r="H4295" s="6" t="str">
        <f>IFERROR(__xludf.DUMMYFUNCTION("""COMPUTED_VALUE"""),"IDR")</f>
        <v>IDR</v>
      </c>
      <c r="I4295" s="6">
        <f>IFERROR(__xludf.DUMMYFUNCTION("""COMPUTED_VALUE"""),2620000.0)</f>
        <v>2620000</v>
      </c>
      <c r="J4295" s="6">
        <f>IFERROR(__xludf.DUMMYFUNCTION("""COMPUTED_VALUE"""),5240000.0)</f>
        <v>5240000</v>
      </c>
      <c r="K4295" s="57">
        <f>IFERROR(__xludf.DUMMYFUNCTION("""COMPUTED_VALUE"""),45912.0)</f>
        <v>45912</v>
      </c>
      <c r="L4295" s="6" t="str">
        <f>IFERROR(__xludf.DUMMYFUNCTION("""COMPUTED_VALUE"""),"FIP General")</f>
        <v>FIP General</v>
      </c>
      <c r="M4295" s="6" t="str">
        <f>IFERROR(__xludf.DUMMYFUNCTION("""COMPUTED_VALUE"""),"Mochammad Fadhillah Hakim,")</f>
        <v>Mochammad Fadhillah Hakim,</v>
      </c>
      <c r="N4295" s="6" t="str">
        <f>IFERROR(__xludf.DUMMYFUNCTION("""COMPUTED_VALUE"""),"FIP Engineering")</f>
        <v>FIP Engineering</v>
      </c>
      <c r="O4295" s="6" t="str">
        <f>IFERROR(__xludf.DUMMYFUNCTION("""COMPUTED_VALUE"""),"FIP-DOM-ENG-51502-0000000-INA-000000")</f>
        <v>FIP-DOM-ENG-51502-0000000-INA-000000</v>
      </c>
      <c r="P4295" s="6" t="str">
        <f>IFERROR(__xludf.DUMMYFUNCTION("""COMPUTED_VALUE"""),"PO Closed")</f>
        <v>PO Closed</v>
      </c>
      <c r="Q4295" s="6" t="str">
        <f>IFERROR(__xludf.DUMMYFUNCTION("""COMPUTED_VALUE"""),"GL2511002")</f>
        <v>GL2511002</v>
      </c>
      <c r="R4295" s="57">
        <f>IFERROR(__xludf.DUMMYFUNCTION("""COMPUTED_VALUE"""),45875.0)</f>
        <v>45875</v>
      </c>
      <c r="S4295" s="57">
        <f>IFERROR(__xludf.DUMMYFUNCTION("""COMPUTED_VALUE"""),45944.0)</f>
        <v>45944</v>
      </c>
      <c r="T4295" s="57">
        <f>IFERROR(__xludf.DUMMYFUNCTION("""COMPUTED_VALUE"""),45981.0)</f>
        <v>45981</v>
      </c>
    </row>
    <row r="4296">
      <c r="A4296" s="6" t="str">
        <f>IFERROR(__xludf.DUMMYFUNCTION("""COMPUTED_VALUE"""),"121703089-1")</f>
        <v>121703089-1</v>
      </c>
      <c r="B4296" s="6" t="str">
        <f>IFERROR(__xludf.DUMMYFUNCTION("""COMPUTED_VALUE"""),"121703089 - APPROVED")</f>
        <v>121703089 - APPROVED</v>
      </c>
      <c r="C4296" s="6">
        <f>IFERROR(__xludf.DUMMYFUNCTION("""COMPUTED_VALUE"""),1.0)</f>
        <v>1</v>
      </c>
      <c r="D4296" s="6" t="str">
        <f>IFERROR(__xludf.DUMMYFUNCTION("""COMPUTED_VALUE"""),"Q-70149-00")</f>
        <v>Q-70149-00</v>
      </c>
      <c r="E4296" s="6" t="str">
        <f>IFERROR(__xludf.DUMMYFUNCTION("""COMPUTED_VALUE"""),"Jangka Sorong Digital / Digital Caliper; Mitutoyo; CN: 500-197-30; pc")</f>
        <v>Jangka Sorong Digital / Digital Caliper; Mitutoyo; CN: 500-197-30; pc</v>
      </c>
      <c r="F4296" s="6">
        <f>IFERROR(__xludf.DUMMYFUNCTION("""COMPUTED_VALUE"""),1.0)</f>
        <v>1</v>
      </c>
      <c r="G4296" s="6" t="str">
        <f>IFERROR(__xludf.DUMMYFUNCTION("""COMPUTED_VALUE"""),"Pieces")</f>
        <v>Pieces</v>
      </c>
      <c r="H4296" s="6" t="str">
        <f>IFERROR(__xludf.DUMMYFUNCTION("""COMPUTED_VALUE"""),"IDR")</f>
        <v>IDR</v>
      </c>
      <c r="I4296" s="6">
        <f>IFERROR(__xludf.DUMMYFUNCTION("""COMPUTED_VALUE"""),3150000.0)</f>
        <v>3150000</v>
      </c>
      <c r="J4296" s="6">
        <f>IFERROR(__xludf.DUMMYFUNCTION("""COMPUTED_VALUE"""),3150000.0)</f>
        <v>3150000</v>
      </c>
      <c r="K4296" s="57">
        <f>IFERROR(__xludf.DUMMYFUNCTION("""COMPUTED_VALUE"""),45912.0)</f>
        <v>45912</v>
      </c>
      <c r="L4296" s="6" t="str">
        <f>IFERROR(__xludf.DUMMYFUNCTION("""COMPUTED_VALUE"""),"FIP General")</f>
        <v>FIP General</v>
      </c>
      <c r="M4296" s="6" t="str">
        <f>IFERROR(__xludf.DUMMYFUNCTION("""COMPUTED_VALUE"""),"Mochammad Fadhillah Hakim,")</f>
        <v>Mochammad Fadhillah Hakim,</v>
      </c>
      <c r="N4296" s="6" t="str">
        <f>IFERROR(__xludf.DUMMYFUNCTION("""COMPUTED_VALUE"""),"FIP Engineering")</f>
        <v>FIP Engineering</v>
      </c>
      <c r="O4296" s="6" t="str">
        <f>IFERROR(__xludf.DUMMYFUNCTION("""COMPUTED_VALUE"""),"FIP-DOM-ENG-51404-0000000-INA-000000")</f>
        <v>FIP-DOM-ENG-51404-0000000-INA-000000</v>
      </c>
      <c r="P4296" s="6" t="str">
        <f>IFERROR(__xludf.DUMMYFUNCTION("""COMPUTED_VALUE"""),"PO Closed")</f>
        <v>PO Closed</v>
      </c>
      <c r="Q4296" s="6" t="str">
        <f>IFERROR(__xludf.DUMMYFUNCTION("""COMPUTED_VALUE"""),"GL2508056")</f>
        <v>GL2508056</v>
      </c>
      <c r="R4296" s="57">
        <f>IFERROR(__xludf.DUMMYFUNCTION("""COMPUTED_VALUE"""),45875.0)</f>
        <v>45875</v>
      </c>
      <c r="S4296" s="57">
        <f>IFERROR(__xludf.DUMMYFUNCTION("""COMPUTED_VALUE"""),45881.0)</f>
        <v>45881</v>
      </c>
      <c r="T4296" s="57">
        <f>IFERROR(__xludf.DUMMYFUNCTION("""COMPUTED_VALUE"""),45926.0)</f>
        <v>45926</v>
      </c>
    </row>
    <row r="4297">
      <c r="A4297" s="6" t="str">
        <f>IFERROR(__xludf.DUMMYFUNCTION("""COMPUTED_VALUE"""),"121703089-2")</f>
        <v>121703089-2</v>
      </c>
      <c r="B4297" s="6" t="str">
        <f>IFERROR(__xludf.DUMMYFUNCTION("""COMPUTED_VALUE"""),"121703089 - APPROVED")</f>
        <v>121703089 - APPROVED</v>
      </c>
      <c r="C4297" s="6">
        <f>IFERROR(__xludf.DUMMYFUNCTION("""COMPUTED_VALUE"""),2.0)</f>
        <v>2</v>
      </c>
      <c r="D4297" s="6" t="str">
        <f>IFERROR(__xludf.DUMMYFUNCTION("""COMPUTED_VALUE"""),"Q-70167-00")</f>
        <v>Q-70167-00</v>
      </c>
      <c r="E4297" s="6" t="str">
        <f>IFERROR(__xludf.DUMMYFUNCTION("""COMPUTED_VALUE"""),"Kunci L Bintang / Torx Key Uk. 10 mm; Tekiro; HK-TL1221; pc")</f>
        <v>Kunci L Bintang / Torx Key Uk. 10 mm; Tekiro; HK-TL1221; pc</v>
      </c>
      <c r="F4297" s="6">
        <f>IFERROR(__xludf.DUMMYFUNCTION("""COMPUTED_VALUE"""),1.0)</f>
        <v>1</v>
      </c>
      <c r="G4297" s="6" t="str">
        <f>IFERROR(__xludf.DUMMYFUNCTION("""COMPUTED_VALUE"""),"Pieces")</f>
        <v>Pieces</v>
      </c>
      <c r="H4297" s="6" t="str">
        <f>IFERROR(__xludf.DUMMYFUNCTION("""COMPUTED_VALUE"""),"IDR")</f>
        <v>IDR</v>
      </c>
      <c r="I4297" s="6">
        <f>IFERROR(__xludf.DUMMYFUNCTION("""COMPUTED_VALUE"""),17500.0)</f>
        <v>17500</v>
      </c>
      <c r="J4297" s="6">
        <f>IFERROR(__xludf.DUMMYFUNCTION("""COMPUTED_VALUE"""),17500.0)</f>
        <v>17500</v>
      </c>
      <c r="K4297" s="57">
        <f>IFERROR(__xludf.DUMMYFUNCTION("""COMPUTED_VALUE"""),45912.0)</f>
        <v>45912</v>
      </c>
      <c r="L4297" s="6" t="str">
        <f>IFERROR(__xludf.DUMMYFUNCTION("""COMPUTED_VALUE"""),"FIP General")</f>
        <v>FIP General</v>
      </c>
      <c r="M4297" s="6" t="str">
        <f>IFERROR(__xludf.DUMMYFUNCTION("""COMPUTED_VALUE"""),"Mochammad Fadhillah Hakim,")</f>
        <v>Mochammad Fadhillah Hakim,</v>
      </c>
      <c r="N4297" s="6" t="str">
        <f>IFERROR(__xludf.DUMMYFUNCTION("""COMPUTED_VALUE"""),"FIP Engineering")</f>
        <v>FIP Engineering</v>
      </c>
      <c r="O4297" s="6" t="str">
        <f>IFERROR(__xludf.DUMMYFUNCTION("""COMPUTED_VALUE"""),"FIP-DOM-ENG-51404-0000000-INA-000000")</f>
        <v>FIP-DOM-ENG-51404-0000000-INA-000000</v>
      </c>
      <c r="P4297" s="6" t="str">
        <f>IFERROR(__xludf.DUMMYFUNCTION("""COMPUTED_VALUE"""),"PO Closed")</f>
        <v>PO Closed</v>
      </c>
      <c r="Q4297" s="6" t="str">
        <f>IFERROR(__xludf.DUMMYFUNCTION("""COMPUTED_VALUE"""),"GL2508058")</f>
        <v>GL2508058</v>
      </c>
      <c r="R4297" s="57">
        <f>IFERROR(__xludf.DUMMYFUNCTION("""COMPUTED_VALUE"""),45875.0)</f>
        <v>45875</v>
      </c>
      <c r="S4297" s="57">
        <f>IFERROR(__xludf.DUMMYFUNCTION("""COMPUTED_VALUE"""),45881.0)</f>
        <v>45881</v>
      </c>
      <c r="T4297" s="57">
        <f>IFERROR(__xludf.DUMMYFUNCTION("""COMPUTED_VALUE"""),45912.0)</f>
        <v>45912</v>
      </c>
    </row>
    <row r="4298">
      <c r="A4298" s="6" t="str">
        <f>IFERROR(__xludf.DUMMYFUNCTION("""COMPUTED_VALUE"""),"121703089-3")</f>
        <v>121703089-3</v>
      </c>
      <c r="B4298" s="6" t="str">
        <f>IFERROR(__xludf.DUMMYFUNCTION("""COMPUTED_VALUE"""),"121703089 - APPROVED")</f>
        <v>121703089 - APPROVED</v>
      </c>
      <c r="C4298" s="6">
        <f>IFERROR(__xludf.DUMMYFUNCTION("""COMPUTED_VALUE"""),3.0)</f>
        <v>3</v>
      </c>
      <c r="D4298" s="6" t="str">
        <f>IFERROR(__xludf.DUMMYFUNCTION("""COMPUTED_VALUE"""),"Q-70168-00")</f>
        <v>Q-70168-00</v>
      </c>
      <c r="E4298" s="6" t="str">
        <f>IFERROR(__xludf.DUMMYFUNCTION("""COMPUTED_VALUE"""),"Adjustable Wrench / Kunci Inggris Uk. 12 Inch; Krisbow; KW0101965; pc")</f>
        <v>Adjustable Wrench / Kunci Inggris Uk. 12 Inch; Krisbow; KW0101965; pc</v>
      </c>
      <c r="F4298" s="6">
        <f>IFERROR(__xludf.DUMMYFUNCTION("""COMPUTED_VALUE"""),1.0)</f>
        <v>1</v>
      </c>
      <c r="G4298" s="6" t="str">
        <f>IFERROR(__xludf.DUMMYFUNCTION("""COMPUTED_VALUE"""),"Pieces")</f>
        <v>Pieces</v>
      </c>
      <c r="H4298" s="6" t="str">
        <f>IFERROR(__xludf.DUMMYFUNCTION("""COMPUTED_VALUE"""),"IDR")</f>
        <v>IDR</v>
      </c>
      <c r="I4298" s="6">
        <f>IFERROR(__xludf.DUMMYFUNCTION("""COMPUTED_VALUE"""),235000.0)</f>
        <v>235000</v>
      </c>
      <c r="J4298" s="6">
        <f>IFERROR(__xludf.DUMMYFUNCTION("""COMPUTED_VALUE"""),235000.0)</f>
        <v>235000</v>
      </c>
      <c r="K4298" s="57">
        <f>IFERROR(__xludf.DUMMYFUNCTION("""COMPUTED_VALUE"""),45912.0)</f>
        <v>45912</v>
      </c>
      <c r="L4298" s="6" t="str">
        <f>IFERROR(__xludf.DUMMYFUNCTION("""COMPUTED_VALUE"""),"FIP General")</f>
        <v>FIP General</v>
      </c>
      <c r="M4298" s="6" t="str">
        <f>IFERROR(__xludf.DUMMYFUNCTION("""COMPUTED_VALUE"""),"Mochammad Fadhillah Hakim,")</f>
        <v>Mochammad Fadhillah Hakim,</v>
      </c>
      <c r="N4298" s="6" t="str">
        <f>IFERROR(__xludf.DUMMYFUNCTION("""COMPUTED_VALUE"""),"FIP Engineering")</f>
        <v>FIP Engineering</v>
      </c>
      <c r="O4298" s="6" t="str">
        <f>IFERROR(__xludf.DUMMYFUNCTION("""COMPUTED_VALUE"""),"FIP-DOM-ENG-51404-0000000-INA-000000")</f>
        <v>FIP-DOM-ENG-51404-0000000-INA-000000</v>
      </c>
      <c r="P4298" s="6" t="str">
        <f>IFERROR(__xludf.DUMMYFUNCTION("""COMPUTED_VALUE"""),"PO Closed")</f>
        <v>PO Closed</v>
      </c>
      <c r="Q4298" s="6" t="str">
        <f>IFERROR(__xludf.DUMMYFUNCTION("""COMPUTED_VALUE"""),"GL2508056")</f>
        <v>GL2508056</v>
      </c>
      <c r="R4298" s="57">
        <f>IFERROR(__xludf.DUMMYFUNCTION("""COMPUTED_VALUE"""),45875.0)</f>
        <v>45875</v>
      </c>
      <c r="S4298" s="57">
        <f>IFERROR(__xludf.DUMMYFUNCTION("""COMPUTED_VALUE"""),45881.0)</f>
        <v>45881</v>
      </c>
      <c r="T4298" s="57">
        <f>IFERROR(__xludf.DUMMYFUNCTION("""COMPUTED_VALUE"""),45926.0)</f>
        <v>45926</v>
      </c>
    </row>
    <row r="4299">
      <c r="A4299" s="6" t="str">
        <f>IFERROR(__xludf.DUMMYFUNCTION("""COMPUTED_VALUE"""),"121703089-5")</f>
        <v>121703089-5</v>
      </c>
      <c r="B4299" s="6" t="str">
        <f>IFERROR(__xludf.DUMMYFUNCTION("""COMPUTED_VALUE"""),"121703089 - APPROVED")</f>
        <v>121703089 - APPROVED</v>
      </c>
      <c r="C4299" s="6">
        <f>IFERROR(__xludf.DUMMYFUNCTION("""COMPUTED_VALUE"""),5.0)</f>
        <v>5</v>
      </c>
      <c r="D4299" s="6" t="str">
        <f>IFERROR(__xludf.DUMMYFUNCTION("""COMPUTED_VALUE"""),"Q-70170-00")</f>
        <v>Q-70170-00</v>
      </c>
      <c r="E4299" s="6" t="str">
        <f>IFERROR(__xludf.DUMMYFUNCTION("""COMPUTED_VALUE"""),"Kunci L Uk. 1,5 mm; Tekiro; HK-LO1164; pc")</f>
        <v>Kunci L Uk. 1,5 mm; Tekiro; HK-LO1164; pc</v>
      </c>
      <c r="F4299" s="6">
        <f>IFERROR(__xludf.DUMMYFUNCTION("""COMPUTED_VALUE"""),3.0)</f>
        <v>3</v>
      </c>
      <c r="G4299" s="6" t="str">
        <f>IFERROR(__xludf.DUMMYFUNCTION("""COMPUTED_VALUE"""),"Pieces")</f>
        <v>Pieces</v>
      </c>
      <c r="H4299" s="6" t="str">
        <f>IFERROR(__xludf.DUMMYFUNCTION("""COMPUTED_VALUE"""),"IDR")</f>
        <v>IDR</v>
      </c>
      <c r="I4299" s="6">
        <f>IFERROR(__xludf.DUMMYFUNCTION("""COMPUTED_VALUE"""),14500.0)</f>
        <v>14500</v>
      </c>
      <c r="J4299" s="6">
        <f>IFERROR(__xludf.DUMMYFUNCTION("""COMPUTED_VALUE"""),43500.0)</f>
        <v>43500</v>
      </c>
      <c r="K4299" s="57">
        <f>IFERROR(__xludf.DUMMYFUNCTION("""COMPUTED_VALUE"""),45912.0)</f>
        <v>45912</v>
      </c>
      <c r="L4299" s="6" t="str">
        <f>IFERROR(__xludf.DUMMYFUNCTION("""COMPUTED_VALUE"""),"FIP General")</f>
        <v>FIP General</v>
      </c>
      <c r="M4299" s="6" t="str">
        <f>IFERROR(__xludf.DUMMYFUNCTION("""COMPUTED_VALUE"""),"Mochammad Fadhillah Hakim,")</f>
        <v>Mochammad Fadhillah Hakim,</v>
      </c>
      <c r="N4299" s="6" t="str">
        <f>IFERROR(__xludf.DUMMYFUNCTION("""COMPUTED_VALUE"""),"FIP Engineering")</f>
        <v>FIP Engineering</v>
      </c>
      <c r="O4299" s="6" t="str">
        <f>IFERROR(__xludf.DUMMYFUNCTION("""COMPUTED_VALUE"""),"FIP-DOM-ENG-51404-0000000-INA-000000")</f>
        <v>FIP-DOM-ENG-51404-0000000-INA-000000</v>
      </c>
      <c r="P4299" s="6" t="str">
        <f>IFERROR(__xludf.DUMMYFUNCTION("""COMPUTED_VALUE"""),"PO Closed")</f>
        <v>PO Closed</v>
      </c>
      <c r="Q4299" s="6" t="str">
        <f>IFERROR(__xludf.DUMMYFUNCTION("""COMPUTED_VALUE"""),"GL2508058")</f>
        <v>GL2508058</v>
      </c>
      <c r="R4299" s="57">
        <f>IFERROR(__xludf.DUMMYFUNCTION("""COMPUTED_VALUE"""),45875.0)</f>
        <v>45875</v>
      </c>
      <c r="S4299" s="57">
        <f>IFERROR(__xludf.DUMMYFUNCTION("""COMPUTED_VALUE"""),45881.0)</f>
        <v>45881</v>
      </c>
      <c r="T4299" s="57">
        <f>IFERROR(__xludf.DUMMYFUNCTION("""COMPUTED_VALUE"""),45912.0)</f>
        <v>45912</v>
      </c>
    </row>
    <row r="4300">
      <c r="A4300" s="6" t="str">
        <f>IFERROR(__xludf.DUMMYFUNCTION("""COMPUTED_VALUE"""),"121703089-6")</f>
        <v>121703089-6</v>
      </c>
      <c r="B4300" s="6" t="str">
        <f>IFERROR(__xludf.DUMMYFUNCTION("""COMPUTED_VALUE"""),"121703089 - APPROVED")</f>
        <v>121703089 - APPROVED</v>
      </c>
      <c r="C4300" s="6">
        <f>IFERROR(__xludf.DUMMYFUNCTION("""COMPUTED_VALUE"""),6.0)</f>
        <v>6</v>
      </c>
      <c r="D4300" s="6" t="str">
        <f>IFERROR(__xludf.DUMMYFUNCTION("""COMPUTED_VALUE"""),"Q-70171-00")</f>
        <v>Q-70171-00</v>
      </c>
      <c r="E4300" s="6" t="str">
        <f>IFERROR(__xludf.DUMMYFUNCTION("""COMPUTED_VALUE"""),"Kunci L Uk 2 mm; Tekiro; HK-LO1165; pc")</f>
        <v>Kunci L Uk 2 mm; Tekiro; HK-LO1165; pc</v>
      </c>
      <c r="F4300" s="6">
        <f>IFERROR(__xludf.DUMMYFUNCTION("""COMPUTED_VALUE"""),1.0)</f>
        <v>1</v>
      </c>
      <c r="G4300" s="6" t="str">
        <f>IFERROR(__xludf.DUMMYFUNCTION("""COMPUTED_VALUE"""),"Pieces")</f>
        <v>Pieces</v>
      </c>
      <c r="H4300" s="6" t="str">
        <f>IFERROR(__xludf.DUMMYFUNCTION("""COMPUTED_VALUE"""),"IDR")</f>
        <v>IDR</v>
      </c>
      <c r="I4300" s="6">
        <f>IFERROR(__xludf.DUMMYFUNCTION("""COMPUTED_VALUE"""),14500.0)</f>
        <v>14500</v>
      </c>
      <c r="J4300" s="6">
        <f>IFERROR(__xludf.DUMMYFUNCTION("""COMPUTED_VALUE"""),14500.0)</f>
        <v>14500</v>
      </c>
      <c r="K4300" s="57">
        <f>IFERROR(__xludf.DUMMYFUNCTION("""COMPUTED_VALUE"""),45912.0)</f>
        <v>45912</v>
      </c>
      <c r="L4300" s="6" t="str">
        <f>IFERROR(__xludf.DUMMYFUNCTION("""COMPUTED_VALUE"""),"FIP General")</f>
        <v>FIP General</v>
      </c>
      <c r="M4300" s="6" t="str">
        <f>IFERROR(__xludf.DUMMYFUNCTION("""COMPUTED_VALUE"""),"Mochammad Fadhillah Hakim,")</f>
        <v>Mochammad Fadhillah Hakim,</v>
      </c>
      <c r="N4300" s="6" t="str">
        <f>IFERROR(__xludf.DUMMYFUNCTION("""COMPUTED_VALUE"""),"FIP Engineering")</f>
        <v>FIP Engineering</v>
      </c>
      <c r="O4300" s="6" t="str">
        <f>IFERROR(__xludf.DUMMYFUNCTION("""COMPUTED_VALUE"""),"FIP-DOM-ENG-51404-0000000-INA-000000")</f>
        <v>FIP-DOM-ENG-51404-0000000-INA-000000</v>
      </c>
      <c r="P4300" s="6" t="str">
        <f>IFERROR(__xludf.DUMMYFUNCTION("""COMPUTED_VALUE"""),"PO Closed")</f>
        <v>PO Closed</v>
      </c>
      <c r="Q4300" s="6" t="str">
        <f>IFERROR(__xludf.DUMMYFUNCTION("""COMPUTED_VALUE"""),"GL2508058")</f>
        <v>GL2508058</v>
      </c>
      <c r="R4300" s="57">
        <f>IFERROR(__xludf.DUMMYFUNCTION("""COMPUTED_VALUE"""),45875.0)</f>
        <v>45875</v>
      </c>
      <c r="S4300" s="57">
        <f>IFERROR(__xludf.DUMMYFUNCTION("""COMPUTED_VALUE"""),45881.0)</f>
        <v>45881</v>
      </c>
      <c r="T4300" s="57">
        <f>IFERROR(__xludf.DUMMYFUNCTION("""COMPUTED_VALUE"""),45912.0)</f>
        <v>45912</v>
      </c>
    </row>
    <row r="4301">
      <c r="A4301" s="6" t="str">
        <f>IFERROR(__xludf.DUMMYFUNCTION("""COMPUTED_VALUE"""),"121703089-7")</f>
        <v>121703089-7</v>
      </c>
      <c r="B4301" s="6" t="str">
        <f>IFERROR(__xludf.DUMMYFUNCTION("""COMPUTED_VALUE"""),"121703089 - APPROVED")</f>
        <v>121703089 - APPROVED</v>
      </c>
      <c r="C4301" s="6">
        <f>IFERROR(__xludf.DUMMYFUNCTION("""COMPUTED_VALUE"""),7.0)</f>
        <v>7</v>
      </c>
      <c r="D4301" s="6" t="str">
        <f>IFERROR(__xludf.DUMMYFUNCTION("""COMPUTED_VALUE"""),"Q-70172-00")</f>
        <v>Q-70172-00</v>
      </c>
      <c r="E4301" s="6" t="str">
        <f>IFERROR(__xludf.DUMMYFUNCTION("""COMPUTED_VALUE"""),"Kunci L uk. 3 mm; Tekiro; HK-LO1166; pc")</f>
        <v>Kunci L uk. 3 mm; Tekiro; HK-LO1166; pc</v>
      </c>
      <c r="F4301" s="6">
        <f>IFERROR(__xludf.DUMMYFUNCTION("""COMPUTED_VALUE"""),1.0)</f>
        <v>1</v>
      </c>
      <c r="G4301" s="6" t="str">
        <f>IFERROR(__xludf.DUMMYFUNCTION("""COMPUTED_VALUE"""),"Pieces")</f>
        <v>Pieces</v>
      </c>
      <c r="H4301" s="6" t="str">
        <f>IFERROR(__xludf.DUMMYFUNCTION("""COMPUTED_VALUE"""),"IDR")</f>
        <v>IDR</v>
      </c>
      <c r="I4301" s="6">
        <f>IFERROR(__xludf.DUMMYFUNCTION("""COMPUTED_VALUE"""),14500.0)</f>
        <v>14500</v>
      </c>
      <c r="J4301" s="6">
        <f>IFERROR(__xludf.DUMMYFUNCTION("""COMPUTED_VALUE"""),14500.0)</f>
        <v>14500</v>
      </c>
      <c r="K4301" s="57">
        <f>IFERROR(__xludf.DUMMYFUNCTION("""COMPUTED_VALUE"""),45912.0)</f>
        <v>45912</v>
      </c>
      <c r="L4301" s="6" t="str">
        <f>IFERROR(__xludf.DUMMYFUNCTION("""COMPUTED_VALUE"""),"FIP General")</f>
        <v>FIP General</v>
      </c>
      <c r="M4301" s="6" t="str">
        <f>IFERROR(__xludf.DUMMYFUNCTION("""COMPUTED_VALUE"""),"Mochammad Fadhillah Hakim,")</f>
        <v>Mochammad Fadhillah Hakim,</v>
      </c>
      <c r="N4301" s="6" t="str">
        <f>IFERROR(__xludf.DUMMYFUNCTION("""COMPUTED_VALUE"""),"FIP Engineering")</f>
        <v>FIP Engineering</v>
      </c>
      <c r="O4301" s="6" t="str">
        <f>IFERROR(__xludf.DUMMYFUNCTION("""COMPUTED_VALUE"""),"FIP-DOM-ENG-51404-0000000-INA-000000")</f>
        <v>FIP-DOM-ENG-51404-0000000-INA-000000</v>
      </c>
      <c r="P4301" s="6" t="str">
        <f>IFERROR(__xludf.DUMMYFUNCTION("""COMPUTED_VALUE"""),"PO Closed")</f>
        <v>PO Closed</v>
      </c>
      <c r="Q4301" s="6" t="str">
        <f>IFERROR(__xludf.DUMMYFUNCTION("""COMPUTED_VALUE"""),"GL2508058")</f>
        <v>GL2508058</v>
      </c>
      <c r="R4301" s="57">
        <f>IFERROR(__xludf.DUMMYFUNCTION("""COMPUTED_VALUE"""),45875.0)</f>
        <v>45875</v>
      </c>
      <c r="S4301" s="57">
        <f>IFERROR(__xludf.DUMMYFUNCTION("""COMPUTED_VALUE"""),45881.0)</f>
        <v>45881</v>
      </c>
      <c r="T4301" s="57">
        <f>IFERROR(__xludf.DUMMYFUNCTION("""COMPUTED_VALUE"""),45912.0)</f>
        <v>45912</v>
      </c>
    </row>
    <row r="4302">
      <c r="A4302" s="6" t="str">
        <f>IFERROR(__xludf.DUMMYFUNCTION("""COMPUTED_VALUE"""),"121703089-8")</f>
        <v>121703089-8</v>
      </c>
      <c r="B4302" s="6" t="str">
        <f>IFERROR(__xludf.DUMMYFUNCTION("""COMPUTED_VALUE"""),"121703089 - APPROVED")</f>
        <v>121703089 - APPROVED</v>
      </c>
      <c r="C4302" s="6">
        <f>IFERROR(__xludf.DUMMYFUNCTION("""COMPUTED_VALUE"""),8.0)</f>
        <v>8</v>
      </c>
      <c r="D4302" s="6" t="str">
        <f>IFERROR(__xludf.DUMMYFUNCTION("""COMPUTED_VALUE"""),"Q-70173-00")</f>
        <v>Q-70173-00</v>
      </c>
      <c r="E4302" s="6" t="str">
        <f>IFERROR(__xludf.DUMMYFUNCTION("""COMPUTED_VALUE"""),"Kunci L Bintang / Torx Key Uk. 20 mm; Tekiro; HK-TL1223; pc")</f>
        <v>Kunci L Bintang / Torx Key Uk. 20 mm; Tekiro; HK-TL1223; pc</v>
      </c>
      <c r="F4302" s="6">
        <f>IFERROR(__xludf.DUMMYFUNCTION("""COMPUTED_VALUE"""),1.0)</f>
        <v>1</v>
      </c>
      <c r="G4302" s="6" t="str">
        <f>IFERROR(__xludf.DUMMYFUNCTION("""COMPUTED_VALUE"""),"Pieces")</f>
        <v>Pieces</v>
      </c>
      <c r="H4302" s="6" t="str">
        <f>IFERROR(__xludf.DUMMYFUNCTION("""COMPUTED_VALUE"""),"IDR")</f>
        <v>IDR</v>
      </c>
      <c r="I4302" s="6">
        <f>IFERROR(__xludf.DUMMYFUNCTION("""COMPUTED_VALUE"""),17500.0)</f>
        <v>17500</v>
      </c>
      <c r="J4302" s="6">
        <f>IFERROR(__xludf.DUMMYFUNCTION("""COMPUTED_VALUE"""),17500.0)</f>
        <v>17500</v>
      </c>
      <c r="K4302" s="57">
        <f>IFERROR(__xludf.DUMMYFUNCTION("""COMPUTED_VALUE"""),45912.0)</f>
        <v>45912</v>
      </c>
      <c r="L4302" s="6" t="str">
        <f>IFERROR(__xludf.DUMMYFUNCTION("""COMPUTED_VALUE"""),"FIP General")</f>
        <v>FIP General</v>
      </c>
      <c r="M4302" s="6" t="str">
        <f>IFERROR(__xludf.DUMMYFUNCTION("""COMPUTED_VALUE"""),"Mochammad Fadhillah Hakim,")</f>
        <v>Mochammad Fadhillah Hakim,</v>
      </c>
      <c r="N4302" s="6" t="str">
        <f>IFERROR(__xludf.DUMMYFUNCTION("""COMPUTED_VALUE"""),"FIP Engineering")</f>
        <v>FIP Engineering</v>
      </c>
      <c r="O4302" s="6" t="str">
        <f>IFERROR(__xludf.DUMMYFUNCTION("""COMPUTED_VALUE"""),"FIP-DOM-ENG-51404-0000000-INA-000000")</f>
        <v>FIP-DOM-ENG-51404-0000000-INA-000000</v>
      </c>
      <c r="P4302" s="6" t="str">
        <f>IFERROR(__xludf.DUMMYFUNCTION("""COMPUTED_VALUE"""),"PO Closed")</f>
        <v>PO Closed</v>
      </c>
      <c r="Q4302" s="6" t="str">
        <f>IFERROR(__xludf.DUMMYFUNCTION("""COMPUTED_VALUE"""),"GL2508058")</f>
        <v>GL2508058</v>
      </c>
      <c r="R4302" s="57">
        <f>IFERROR(__xludf.DUMMYFUNCTION("""COMPUTED_VALUE"""),45875.0)</f>
        <v>45875</v>
      </c>
      <c r="S4302" s="57">
        <f>IFERROR(__xludf.DUMMYFUNCTION("""COMPUTED_VALUE"""),45881.0)</f>
        <v>45881</v>
      </c>
      <c r="T4302" s="57">
        <f>IFERROR(__xludf.DUMMYFUNCTION("""COMPUTED_VALUE"""),45912.0)</f>
        <v>45912</v>
      </c>
    </row>
    <row r="4303">
      <c r="A4303" s="6" t="str">
        <f>IFERROR(__xludf.DUMMYFUNCTION("""COMPUTED_VALUE"""),"121703089-9")</f>
        <v>121703089-9</v>
      </c>
      <c r="B4303" s="6" t="str">
        <f>IFERROR(__xludf.DUMMYFUNCTION("""COMPUTED_VALUE"""),"121703089 - APPROVED")</f>
        <v>121703089 - APPROVED</v>
      </c>
      <c r="C4303" s="6">
        <f>IFERROR(__xludf.DUMMYFUNCTION("""COMPUTED_VALUE"""),9.0)</f>
        <v>9</v>
      </c>
      <c r="D4303" s="6" t="str">
        <f>IFERROR(__xludf.DUMMYFUNCTION("""COMPUTED_VALUE"""),"Q-70174-00")</f>
        <v>Q-70174-00</v>
      </c>
      <c r="E4303" s="6" t="str">
        <f>IFERROR(__xludf.DUMMYFUNCTION("""COMPUTED_VALUE"""),"Kunci L Bintang / Torx Key Uk. 25 mm; Tekiro; HK-TL1224; pc")</f>
        <v>Kunci L Bintang / Torx Key Uk. 25 mm; Tekiro; HK-TL1224; pc</v>
      </c>
      <c r="F4303" s="6">
        <f>IFERROR(__xludf.DUMMYFUNCTION("""COMPUTED_VALUE"""),1.0)</f>
        <v>1</v>
      </c>
      <c r="G4303" s="6" t="str">
        <f>IFERROR(__xludf.DUMMYFUNCTION("""COMPUTED_VALUE"""),"Pieces")</f>
        <v>Pieces</v>
      </c>
      <c r="H4303" s="6" t="str">
        <f>IFERROR(__xludf.DUMMYFUNCTION("""COMPUTED_VALUE"""),"IDR")</f>
        <v>IDR</v>
      </c>
      <c r="I4303" s="6">
        <f>IFERROR(__xludf.DUMMYFUNCTION("""COMPUTED_VALUE"""),19500.0)</f>
        <v>19500</v>
      </c>
      <c r="J4303" s="6">
        <f>IFERROR(__xludf.DUMMYFUNCTION("""COMPUTED_VALUE"""),19500.0)</f>
        <v>19500</v>
      </c>
      <c r="K4303" s="57">
        <f>IFERROR(__xludf.DUMMYFUNCTION("""COMPUTED_VALUE"""),45912.0)</f>
        <v>45912</v>
      </c>
      <c r="L4303" s="6" t="str">
        <f>IFERROR(__xludf.DUMMYFUNCTION("""COMPUTED_VALUE"""),"FIP General")</f>
        <v>FIP General</v>
      </c>
      <c r="M4303" s="6" t="str">
        <f>IFERROR(__xludf.DUMMYFUNCTION("""COMPUTED_VALUE"""),"Mochammad Fadhillah Hakim,")</f>
        <v>Mochammad Fadhillah Hakim,</v>
      </c>
      <c r="N4303" s="6" t="str">
        <f>IFERROR(__xludf.DUMMYFUNCTION("""COMPUTED_VALUE"""),"FIP Engineering")</f>
        <v>FIP Engineering</v>
      </c>
      <c r="O4303" s="6" t="str">
        <f>IFERROR(__xludf.DUMMYFUNCTION("""COMPUTED_VALUE"""),"FIP-DOM-ENG-51404-0000000-INA-000000")</f>
        <v>FIP-DOM-ENG-51404-0000000-INA-000000</v>
      </c>
      <c r="P4303" s="6" t="str">
        <f>IFERROR(__xludf.DUMMYFUNCTION("""COMPUTED_VALUE"""),"PO Closed")</f>
        <v>PO Closed</v>
      </c>
      <c r="Q4303" s="6" t="str">
        <f>IFERROR(__xludf.DUMMYFUNCTION("""COMPUTED_VALUE"""),"GL2508058")</f>
        <v>GL2508058</v>
      </c>
      <c r="R4303" s="57">
        <f>IFERROR(__xludf.DUMMYFUNCTION("""COMPUTED_VALUE"""),45875.0)</f>
        <v>45875</v>
      </c>
      <c r="S4303" s="57">
        <f>IFERROR(__xludf.DUMMYFUNCTION("""COMPUTED_VALUE"""),45881.0)</f>
        <v>45881</v>
      </c>
      <c r="T4303" s="57">
        <f>IFERROR(__xludf.DUMMYFUNCTION("""COMPUTED_VALUE"""),45912.0)</f>
        <v>45912</v>
      </c>
    </row>
    <row r="4304">
      <c r="A4304" s="6" t="str">
        <f>IFERROR(__xludf.DUMMYFUNCTION("""COMPUTED_VALUE"""),"121703089-10")</f>
        <v>121703089-10</v>
      </c>
      <c r="B4304" s="6" t="str">
        <f>IFERROR(__xludf.DUMMYFUNCTION("""COMPUTED_VALUE"""),"121703089 - APPROVED")</f>
        <v>121703089 - APPROVED</v>
      </c>
      <c r="C4304" s="6">
        <f>IFERROR(__xludf.DUMMYFUNCTION("""COMPUTED_VALUE"""),10.0)</f>
        <v>10</v>
      </c>
      <c r="D4304" s="6" t="str">
        <f>IFERROR(__xludf.DUMMYFUNCTION("""COMPUTED_VALUE"""),"Q-70175-00")</f>
        <v>Q-70175-00</v>
      </c>
      <c r="E4304" s="6" t="str">
        <f>IFERROR(__xludf.DUMMYFUNCTION("""COMPUTED_VALUE"""),"Kunci L Bintang / Torx Key Uk. 50 mm; Tekiro; HK-TL1228; pc")</f>
        <v>Kunci L Bintang / Torx Key Uk. 50 mm; Tekiro; HK-TL1228; pc</v>
      </c>
      <c r="F4304" s="6">
        <f>IFERROR(__xludf.DUMMYFUNCTION("""COMPUTED_VALUE"""),1.0)</f>
        <v>1</v>
      </c>
      <c r="G4304" s="6" t="str">
        <f>IFERROR(__xludf.DUMMYFUNCTION("""COMPUTED_VALUE"""),"Pieces")</f>
        <v>Pieces</v>
      </c>
      <c r="H4304" s="6" t="str">
        <f>IFERROR(__xludf.DUMMYFUNCTION("""COMPUTED_VALUE"""),"IDR")</f>
        <v>IDR</v>
      </c>
      <c r="I4304" s="6">
        <f>IFERROR(__xludf.DUMMYFUNCTION("""COMPUTED_VALUE"""),39500.0)</f>
        <v>39500</v>
      </c>
      <c r="J4304" s="6">
        <f>IFERROR(__xludf.DUMMYFUNCTION("""COMPUTED_VALUE"""),39500.0)</f>
        <v>39500</v>
      </c>
      <c r="K4304" s="57">
        <f>IFERROR(__xludf.DUMMYFUNCTION("""COMPUTED_VALUE"""),45912.0)</f>
        <v>45912</v>
      </c>
      <c r="L4304" s="6" t="str">
        <f>IFERROR(__xludf.DUMMYFUNCTION("""COMPUTED_VALUE"""),"FIP General")</f>
        <v>FIP General</v>
      </c>
      <c r="M4304" s="6" t="str">
        <f>IFERROR(__xludf.DUMMYFUNCTION("""COMPUTED_VALUE"""),"Mochammad Fadhillah Hakim,")</f>
        <v>Mochammad Fadhillah Hakim,</v>
      </c>
      <c r="N4304" s="6" t="str">
        <f>IFERROR(__xludf.DUMMYFUNCTION("""COMPUTED_VALUE"""),"FIP Engineering")</f>
        <v>FIP Engineering</v>
      </c>
      <c r="O4304" s="6" t="str">
        <f>IFERROR(__xludf.DUMMYFUNCTION("""COMPUTED_VALUE"""),"FIP-DOM-ENG-51404-0000000-INA-000000")</f>
        <v>FIP-DOM-ENG-51404-0000000-INA-000000</v>
      </c>
      <c r="P4304" s="6" t="str">
        <f>IFERROR(__xludf.DUMMYFUNCTION("""COMPUTED_VALUE"""),"PO Closed")</f>
        <v>PO Closed</v>
      </c>
      <c r="Q4304" s="6" t="str">
        <f>IFERROR(__xludf.DUMMYFUNCTION("""COMPUTED_VALUE"""),"GL2508058")</f>
        <v>GL2508058</v>
      </c>
      <c r="R4304" s="57">
        <f>IFERROR(__xludf.DUMMYFUNCTION("""COMPUTED_VALUE"""),45875.0)</f>
        <v>45875</v>
      </c>
      <c r="S4304" s="57">
        <f>IFERROR(__xludf.DUMMYFUNCTION("""COMPUTED_VALUE"""),45881.0)</f>
        <v>45881</v>
      </c>
      <c r="T4304" s="57">
        <f>IFERROR(__xludf.DUMMYFUNCTION("""COMPUTED_VALUE"""),45912.0)</f>
        <v>45912</v>
      </c>
    </row>
    <row r="4305">
      <c r="A4305" s="6" t="str">
        <f>IFERROR(__xludf.DUMMYFUNCTION("""COMPUTED_VALUE"""),"121703089-11")</f>
        <v>121703089-11</v>
      </c>
      <c r="B4305" s="6" t="str">
        <f>IFERROR(__xludf.DUMMYFUNCTION("""COMPUTED_VALUE"""),"121703089 - APPROVED")</f>
        <v>121703089 - APPROVED</v>
      </c>
      <c r="C4305" s="6">
        <f>IFERROR(__xludf.DUMMYFUNCTION("""COMPUTED_VALUE"""),11.0)</f>
        <v>11</v>
      </c>
      <c r="D4305" s="6" t="str">
        <f>IFERROR(__xludf.DUMMYFUNCTION("""COMPUTED_VALUE"""),"Q-70176-00")</f>
        <v>Q-70176-00</v>
      </c>
      <c r="E4305" s="6" t="str">
        <f>IFERROR(__xludf.DUMMYFUNCTION("""COMPUTED_VALUE"""),"Kunci Pas No 21 &amp; 23; Tekiro; WR-OE0086; pc")</f>
        <v>Kunci Pas No 21 &amp; 23; Tekiro; WR-OE0086; pc</v>
      </c>
      <c r="F4305" s="6">
        <f>IFERROR(__xludf.DUMMYFUNCTION("""COMPUTED_VALUE"""),1.0)</f>
        <v>1</v>
      </c>
      <c r="G4305" s="6" t="str">
        <f>IFERROR(__xludf.DUMMYFUNCTION("""COMPUTED_VALUE"""),"Pieces")</f>
        <v>Pieces</v>
      </c>
      <c r="H4305" s="6" t="str">
        <f>IFERROR(__xludf.DUMMYFUNCTION("""COMPUTED_VALUE"""),"IDR")</f>
        <v>IDR</v>
      </c>
      <c r="I4305" s="6">
        <f>IFERROR(__xludf.DUMMYFUNCTION("""COMPUTED_VALUE"""),78500.0)</f>
        <v>78500</v>
      </c>
      <c r="J4305" s="6">
        <f>IFERROR(__xludf.DUMMYFUNCTION("""COMPUTED_VALUE"""),78500.0)</f>
        <v>78500</v>
      </c>
      <c r="K4305" s="57">
        <f>IFERROR(__xludf.DUMMYFUNCTION("""COMPUTED_VALUE"""),45912.0)</f>
        <v>45912</v>
      </c>
      <c r="L4305" s="6" t="str">
        <f>IFERROR(__xludf.DUMMYFUNCTION("""COMPUTED_VALUE"""),"FIP General")</f>
        <v>FIP General</v>
      </c>
      <c r="M4305" s="6" t="str">
        <f>IFERROR(__xludf.DUMMYFUNCTION("""COMPUTED_VALUE"""),"Mochammad Fadhillah Hakim,")</f>
        <v>Mochammad Fadhillah Hakim,</v>
      </c>
      <c r="N4305" s="6" t="str">
        <f>IFERROR(__xludf.DUMMYFUNCTION("""COMPUTED_VALUE"""),"FIP Engineering")</f>
        <v>FIP Engineering</v>
      </c>
      <c r="O4305" s="6" t="str">
        <f>IFERROR(__xludf.DUMMYFUNCTION("""COMPUTED_VALUE"""),"FIP-DOM-ENG-51404-0000000-INA-000000")</f>
        <v>FIP-DOM-ENG-51404-0000000-INA-000000</v>
      </c>
      <c r="P4305" s="6" t="str">
        <f>IFERROR(__xludf.DUMMYFUNCTION("""COMPUTED_VALUE"""),"PO Closed")</f>
        <v>PO Closed</v>
      </c>
      <c r="Q4305" s="6" t="str">
        <f>IFERROR(__xludf.DUMMYFUNCTION("""COMPUTED_VALUE"""),"GL2508058")</f>
        <v>GL2508058</v>
      </c>
      <c r="R4305" s="57">
        <f>IFERROR(__xludf.DUMMYFUNCTION("""COMPUTED_VALUE"""),45875.0)</f>
        <v>45875</v>
      </c>
      <c r="S4305" s="57">
        <f>IFERROR(__xludf.DUMMYFUNCTION("""COMPUTED_VALUE"""),45881.0)</f>
        <v>45881</v>
      </c>
      <c r="T4305" s="57">
        <f>IFERROR(__xludf.DUMMYFUNCTION("""COMPUTED_VALUE"""),45912.0)</f>
        <v>45912</v>
      </c>
    </row>
    <row r="4306">
      <c r="A4306" s="6" t="str">
        <f>IFERROR(__xludf.DUMMYFUNCTION("""COMPUTED_VALUE"""),"121703089-12")</f>
        <v>121703089-12</v>
      </c>
      <c r="B4306" s="6" t="str">
        <f>IFERROR(__xludf.DUMMYFUNCTION("""COMPUTED_VALUE"""),"121703089 - APPROVED")</f>
        <v>121703089 - APPROVED</v>
      </c>
      <c r="C4306" s="6">
        <f>IFERROR(__xludf.DUMMYFUNCTION("""COMPUTED_VALUE"""),12.0)</f>
        <v>12</v>
      </c>
      <c r="D4306" s="6" t="str">
        <f>IFERROR(__xludf.DUMMYFUNCTION("""COMPUTED_VALUE"""),"Q-70178-00")</f>
        <v>Q-70178-00</v>
      </c>
      <c r="E4306" s="6" t="str">
        <f>IFERROR(__xludf.DUMMYFUNCTION("""COMPUTED_VALUE"""),"Tang Potong Uk. 5 Inch; SATA; CN: 05522; pc")</f>
        <v>Tang Potong Uk. 5 Inch; SATA; CN: 05522; pc</v>
      </c>
      <c r="F4306" s="6">
        <f>IFERROR(__xludf.DUMMYFUNCTION("""COMPUTED_VALUE"""),3.0)</f>
        <v>3</v>
      </c>
      <c r="G4306" s="6" t="str">
        <f>IFERROR(__xludf.DUMMYFUNCTION("""COMPUTED_VALUE"""),"Pieces")</f>
        <v>Pieces</v>
      </c>
      <c r="H4306" s="6" t="str">
        <f>IFERROR(__xludf.DUMMYFUNCTION("""COMPUTED_VALUE"""),"IDR")</f>
        <v>IDR</v>
      </c>
      <c r="I4306" s="6">
        <f>IFERROR(__xludf.DUMMYFUNCTION("""COMPUTED_VALUE"""),100000.0)</f>
        <v>100000</v>
      </c>
      <c r="J4306" s="6">
        <f>IFERROR(__xludf.DUMMYFUNCTION("""COMPUTED_VALUE"""),300000.0)</f>
        <v>300000</v>
      </c>
      <c r="K4306" s="57">
        <f>IFERROR(__xludf.DUMMYFUNCTION("""COMPUTED_VALUE"""),45912.0)</f>
        <v>45912</v>
      </c>
      <c r="L4306" s="6" t="str">
        <f>IFERROR(__xludf.DUMMYFUNCTION("""COMPUTED_VALUE"""),"FIP General")</f>
        <v>FIP General</v>
      </c>
      <c r="M4306" s="6" t="str">
        <f>IFERROR(__xludf.DUMMYFUNCTION("""COMPUTED_VALUE"""),"Mochammad Fadhillah Hakim,")</f>
        <v>Mochammad Fadhillah Hakim,</v>
      </c>
      <c r="N4306" s="6" t="str">
        <f>IFERROR(__xludf.DUMMYFUNCTION("""COMPUTED_VALUE"""),"FIP Engineering")</f>
        <v>FIP Engineering</v>
      </c>
      <c r="O4306" s="6" t="str">
        <f>IFERROR(__xludf.DUMMYFUNCTION("""COMPUTED_VALUE"""),"FIP-DOM-ENG-51404-0000000-INA-000000")</f>
        <v>FIP-DOM-ENG-51404-0000000-INA-000000</v>
      </c>
      <c r="P4306" s="6" t="str">
        <f>IFERROR(__xludf.DUMMYFUNCTION("""COMPUTED_VALUE"""),"PO Closed")</f>
        <v>PO Closed</v>
      </c>
      <c r="Q4306" s="6" t="str">
        <f>IFERROR(__xludf.DUMMYFUNCTION("""COMPUTED_VALUE"""),"GL2508058")</f>
        <v>GL2508058</v>
      </c>
      <c r="R4306" s="57">
        <f>IFERROR(__xludf.DUMMYFUNCTION("""COMPUTED_VALUE"""),45875.0)</f>
        <v>45875</v>
      </c>
      <c r="S4306" s="57">
        <f>IFERROR(__xludf.DUMMYFUNCTION("""COMPUTED_VALUE"""),45881.0)</f>
        <v>45881</v>
      </c>
      <c r="T4306" s="57">
        <f>IFERROR(__xludf.DUMMYFUNCTION("""COMPUTED_VALUE"""),45912.0)</f>
        <v>45912</v>
      </c>
    </row>
    <row r="4307">
      <c r="A4307" s="6" t="str">
        <f>IFERROR(__xludf.DUMMYFUNCTION("""COMPUTED_VALUE"""),"121703090-1")</f>
        <v>121703090-1</v>
      </c>
      <c r="B4307" s="6" t="str">
        <f>IFERROR(__xludf.DUMMYFUNCTION("""COMPUTED_VALUE"""),"121703090 - APPROVED")</f>
        <v>121703090 - APPROVED</v>
      </c>
      <c r="C4307" s="6">
        <f>IFERROR(__xludf.DUMMYFUNCTION("""COMPUTED_VALUE"""),1.0)</f>
        <v>1</v>
      </c>
      <c r="D4307" s="6" t="str">
        <f>IFERROR(__xludf.DUMMYFUNCTION("""COMPUTED_VALUE"""),"Q-70181-00")</f>
        <v>Q-70181-00</v>
      </c>
      <c r="E4307" s="6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F4307" s="6">
        <f>IFERROR(__xludf.DUMMYFUNCTION("""COMPUTED_VALUE"""),1.0)</f>
        <v>1</v>
      </c>
      <c r="G4307" s="6" t="str">
        <f>IFERROR(__xludf.DUMMYFUNCTION("""COMPUTED_VALUE"""),"Set")</f>
        <v>Set</v>
      </c>
      <c r="H4307" s="6" t="str">
        <f>IFERROR(__xludf.DUMMYFUNCTION("""COMPUTED_VALUE"""),"IDR")</f>
        <v>IDR</v>
      </c>
      <c r="I4307" s="6">
        <f>IFERROR(__xludf.DUMMYFUNCTION("""COMPUTED_VALUE"""),125000.0)</f>
        <v>125000</v>
      </c>
      <c r="J4307" s="6">
        <f>IFERROR(__xludf.DUMMYFUNCTION("""COMPUTED_VALUE"""),125000.0)</f>
        <v>125000</v>
      </c>
      <c r="K4307" s="57">
        <f>IFERROR(__xludf.DUMMYFUNCTION("""COMPUTED_VALUE"""),45912.0)</f>
        <v>45912</v>
      </c>
      <c r="L4307" s="6" t="str">
        <f>IFERROR(__xludf.DUMMYFUNCTION("""COMPUTED_VALUE"""),"FIP General")</f>
        <v>FIP General</v>
      </c>
      <c r="M4307" s="6" t="str">
        <f>IFERROR(__xludf.DUMMYFUNCTION("""COMPUTED_VALUE"""),"Mochammad Fadhillah Hakim,")</f>
        <v>Mochammad Fadhillah Hakim,</v>
      </c>
      <c r="N4307" s="6" t="str">
        <f>IFERROR(__xludf.DUMMYFUNCTION("""COMPUTED_VALUE"""),"FIP Engineering")</f>
        <v>FIP Engineering</v>
      </c>
      <c r="O4307" s="6" t="str">
        <f>IFERROR(__xludf.DUMMYFUNCTION("""COMPUTED_VALUE"""),"FIP-DOM-ENG-51404-0000000-INA-000000")</f>
        <v>FIP-DOM-ENG-51404-0000000-INA-000000</v>
      </c>
      <c r="P4307" s="6" t="str">
        <f>IFERROR(__xludf.DUMMYFUNCTION("""COMPUTED_VALUE"""),"PO Closed")</f>
        <v>PO Closed</v>
      </c>
      <c r="Q4307" s="6" t="str">
        <f>IFERROR(__xludf.DUMMYFUNCTION("""COMPUTED_VALUE"""),"GL2508058")</f>
        <v>GL2508058</v>
      </c>
      <c r="R4307" s="57">
        <f>IFERROR(__xludf.DUMMYFUNCTION("""COMPUTED_VALUE"""),45875.0)</f>
        <v>45875</v>
      </c>
      <c r="S4307" s="57">
        <f>IFERROR(__xludf.DUMMYFUNCTION("""COMPUTED_VALUE"""),45877.0)</f>
        <v>45877</v>
      </c>
      <c r="T4307" s="57">
        <f>IFERROR(__xludf.DUMMYFUNCTION("""COMPUTED_VALUE"""),45912.0)</f>
        <v>45912</v>
      </c>
    </row>
    <row r="4308">
      <c r="A4308" s="6" t="str">
        <f>IFERROR(__xludf.DUMMYFUNCTION("""COMPUTED_VALUE"""),"121703090-2")</f>
        <v>121703090-2</v>
      </c>
      <c r="B4308" s="6" t="str">
        <f>IFERROR(__xludf.DUMMYFUNCTION("""COMPUTED_VALUE"""),"121703090 - APPROVED")</f>
        <v>121703090 - APPROVED</v>
      </c>
      <c r="C4308" s="6">
        <f>IFERROR(__xludf.DUMMYFUNCTION("""COMPUTED_VALUE"""),2.0)</f>
        <v>2</v>
      </c>
      <c r="D4308" s="6" t="str">
        <f>IFERROR(__xludf.DUMMYFUNCTION("""COMPUTED_VALUE"""),"Q-70184-00")</f>
        <v>Q-70184-00</v>
      </c>
      <c r="E4308" s="6" t="str">
        <f>IFERROR(__xludf.DUMMYFUNCTION("""COMPUTED_VALUE"""),"Obeng Listrik / Insulated Screwdriver Plus 2x100mm PH2; SATA; 61223; pc")</f>
        <v>Obeng Listrik / Insulated Screwdriver Plus 2x100mm PH2; SATA; 61223; pc</v>
      </c>
      <c r="F4308" s="6">
        <f>IFERROR(__xludf.DUMMYFUNCTION("""COMPUTED_VALUE"""),6.0)</f>
        <v>6</v>
      </c>
      <c r="G4308" s="6" t="str">
        <f>IFERROR(__xludf.DUMMYFUNCTION("""COMPUTED_VALUE"""),"Pieces")</f>
        <v>Pieces</v>
      </c>
      <c r="H4308" s="6" t="str">
        <f>IFERROR(__xludf.DUMMYFUNCTION("""COMPUTED_VALUE"""),"IDR")</f>
        <v>IDR</v>
      </c>
      <c r="I4308" s="6">
        <f>IFERROR(__xludf.DUMMYFUNCTION("""COMPUTED_VALUE"""),110000.0)</f>
        <v>110000</v>
      </c>
      <c r="J4308" s="6">
        <f>IFERROR(__xludf.DUMMYFUNCTION("""COMPUTED_VALUE"""),660000.0)</f>
        <v>660000</v>
      </c>
      <c r="K4308" s="57">
        <f>IFERROR(__xludf.DUMMYFUNCTION("""COMPUTED_VALUE"""),45912.0)</f>
        <v>45912</v>
      </c>
      <c r="L4308" s="6" t="str">
        <f>IFERROR(__xludf.DUMMYFUNCTION("""COMPUTED_VALUE"""),"FIP General")</f>
        <v>FIP General</v>
      </c>
      <c r="M4308" s="6" t="str">
        <f>IFERROR(__xludf.DUMMYFUNCTION("""COMPUTED_VALUE"""),"Mochammad Fadhillah Hakim,")</f>
        <v>Mochammad Fadhillah Hakim,</v>
      </c>
      <c r="N4308" s="6" t="str">
        <f>IFERROR(__xludf.DUMMYFUNCTION("""COMPUTED_VALUE"""),"FIP Engineering")</f>
        <v>FIP Engineering</v>
      </c>
      <c r="O4308" s="6" t="str">
        <f>IFERROR(__xludf.DUMMYFUNCTION("""COMPUTED_VALUE"""),"FIP-DOM-ENG-51404-0000000-INA-000000")</f>
        <v>FIP-DOM-ENG-51404-0000000-INA-000000</v>
      </c>
      <c r="P4308" s="6" t="str">
        <f>IFERROR(__xludf.DUMMYFUNCTION("""COMPUTED_VALUE"""),"PO Closed")</f>
        <v>PO Closed</v>
      </c>
      <c r="Q4308" s="6" t="str">
        <f>IFERROR(__xludf.DUMMYFUNCTION("""COMPUTED_VALUE"""),"GL2508058")</f>
        <v>GL2508058</v>
      </c>
      <c r="R4308" s="57">
        <f>IFERROR(__xludf.DUMMYFUNCTION("""COMPUTED_VALUE"""),45875.0)</f>
        <v>45875</v>
      </c>
      <c r="S4308" s="57">
        <f>IFERROR(__xludf.DUMMYFUNCTION("""COMPUTED_VALUE"""),45877.0)</f>
        <v>45877</v>
      </c>
      <c r="T4308" s="57">
        <f>IFERROR(__xludf.DUMMYFUNCTION("""COMPUTED_VALUE"""),45912.0)</f>
        <v>45912</v>
      </c>
    </row>
    <row r="4309">
      <c r="A4309" s="6" t="str">
        <f>IFERROR(__xludf.DUMMYFUNCTION("""COMPUTED_VALUE"""),"121703091-1")</f>
        <v>121703091-1</v>
      </c>
      <c r="B4309" s="6" t="str">
        <f>IFERROR(__xludf.DUMMYFUNCTION("""COMPUTED_VALUE"""),"121703091 - APPROVED")</f>
        <v>121703091 - APPROVED</v>
      </c>
      <c r="C4309" s="6">
        <f>IFERROR(__xludf.DUMMYFUNCTION("""COMPUTED_VALUE"""),1.0)</f>
        <v>1</v>
      </c>
      <c r="D4309" s="6" t="str">
        <f>IFERROR(__xludf.DUMMYFUNCTION("""COMPUTED_VALUE"""),"Q-70091-00")</f>
        <v>Q-70091-00</v>
      </c>
      <c r="E4309" s="6" t="str">
        <f>IFERROR(__xludf.DUMMYFUNCTION("""COMPUTED_VALUE"""),"125mm/5 Inch Diagonal Pro-TorQ Cutter; Kennedy; KEN5582020K; pack size per pcs")</f>
        <v>125mm/5 Inch Diagonal Pro-TorQ Cutter; Kennedy; KEN5582020K; pack size per pcs</v>
      </c>
      <c r="F4309" s="6">
        <f>IFERROR(__xludf.DUMMYFUNCTION("""COMPUTED_VALUE"""),2.0)</f>
        <v>2</v>
      </c>
      <c r="G4309" s="6" t="str">
        <f>IFERROR(__xludf.DUMMYFUNCTION("""COMPUTED_VALUE"""),"Pieces")</f>
        <v>Pieces</v>
      </c>
      <c r="H4309" s="6" t="str">
        <f>IFERROR(__xludf.DUMMYFUNCTION("""COMPUTED_VALUE"""),"IDR")</f>
        <v>IDR</v>
      </c>
      <c r="I4309" s="6">
        <f>IFERROR(__xludf.DUMMYFUNCTION("""COMPUTED_VALUE"""),305000.0)</f>
        <v>305000</v>
      </c>
      <c r="J4309" s="6">
        <f>IFERROR(__xludf.DUMMYFUNCTION("""COMPUTED_VALUE"""),610000.0)</f>
        <v>610000</v>
      </c>
      <c r="K4309" s="57">
        <f>IFERROR(__xludf.DUMMYFUNCTION("""COMPUTED_VALUE"""),45912.0)</f>
        <v>45912</v>
      </c>
      <c r="L4309" s="6" t="str">
        <f>IFERROR(__xludf.DUMMYFUNCTION("""COMPUTED_VALUE"""),"FIP General")</f>
        <v>FIP General</v>
      </c>
      <c r="M4309" s="6" t="str">
        <f>IFERROR(__xludf.DUMMYFUNCTION("""COMPUTED_VALUE"""),"Mochammad Fadhillah Hakim,")</f>
        <v>Mochammad Fadhillah Hakim,</v>
      </c>
      <c r="N4309" s="6" t="str">
        <f>IFERROR(__xludf.DUMMYFUNCTION("""COMPUTED_VALUE"""),"FIP Engineering")</f>
        <v>FIP Engineering</v>
      </c>
      <c r="O4309" s="6" t="str">
        <f>IFERROR(__xludf.DUMMYFUNCTION("""COMPUTED_VALUE"""),"FIP-DOM-ENG-51404-0000000-INA-000000")</f>
        <v>FIP-DOM-ENG-51404-0000000-INA-000000</v>
      </c>
      <c r="P4309" s="6" t="str">
        <f>IFERROR(__xludf.DUMMYFUNCTION("""COMPUTED_VALUE"""),"PO Closed")</f>
        <v>PO Closed</v>
      </c>
      <c r="Q4309" s="6" t="str">
        <f>IFERROR(__xludf.DUMMYFUNCTION("""COMPUTED_VALUE"""),"GL2508061")</f>
        <v>GL2508061</v>
      </c>
      <c r="R4309" s="57">
        <f>IFERROR(__xludf.DUMMYFUNCTION("""COMPUTED_VALUE"""),45876.0)</f>
        <v>45876</v>
      </c>
      <c r="S4309" s="57">
        <f>IFERROR(__xludf.DUMMYFUNCTION("""COMPUTED_VALUE"""),45877.0)</f>
        <v>45877</v>
      </c>
      <c r="T4309" s="57">
        <f>IFERROR(__xludf.DUMMYFUNCTION("""COMPUTED_VALUE"""),45922.0)</f>
        <v>45922</v>
      </c>
    </row>
    <row r="4310">
      <c r="A4310" s="6" t="str">
        <f>IFERROR(__xludf.DUMMYFUNCTION("""COMPUTED_VALUE"""),"121703097-1")</f>
        <v>121703097-1</v>
      </c>
      <c r="B4310" s="6" t="str">
        <f>IFERROR(__xludf.DUMMYFUNCTION("""COMPUTED_VALUE"""),"121703097 - APPROVED")</f>
        <v>121703097 - APPROVED</v>
      </c>
      <c r="C4310" s="6">
        <f>IFERROR(__xludf.DUMMYFUNCTION("""COMPUTED_VALUE"""),1.0)</f>
        <v>1</v>
      </c>
      <c r="D4310" s="6" t="str">
        <f>IFERROR(__xludf.DUMMYFUNCTION("""COMPUTED_VALUE"""),"O-20897-00")</f>
        <v>O-20897-00</v>
      </c>
      <c r="E4310" s="6" t="str">
        <f>IFERROR(__xludf.DUMMYFUNCTION("""COMPUTED_VALUE"""),"Capping VCM200 - Oring Silicone 2.5 x 30.50 x 30.50; Custom/Lokal; -; 1 Pc")</f>
        <v>Capping VCM200 - Oring Silicone 2.5 x 30.50 x 30.50; Custom/Lokal; -; 1 Pc</v>
      </c>
      <c r="F4310" s="6">
        <f>IFERROR(__xludf.DUMMYFUNCTION("""COMPUTED_VALUE"""),10.0)</f>
        <v>10</v>
      </c>
      <c r="G4310" s="6" t="str">
        <f>IFERROR(__xludf.DUMMYFUNCTION("""COMPUTED_VALUE"""),"Pieces")</f>
        <v>Pieces</v>
      </c>
      <c r="H4310" s="6" t="str">
        <f>IFERROR(__xludf.DUMMYFUNCTION("""COMPUTED_VALUE"""),"IDR")</f>
        <v>IDR</v>
      </c>
      <c r="I4310" s="6">
        <f>IFERROR(__xludf.DUMMYFUNCTION("""COMPUTED_VALUE"""),35000.0)</f>
        <v>35000</v>
      </c>
      <c r="J4310" s="6">
        <f>IFERROR(__xludf.DUMMYFUNCTION("""COMPUTED_VALUE"""),350000.0)</f>
        <v>350000</v>
      </c>
      <c r="K4310" s="57">
        <f>IFERROR(__xludf.DUMMYFUNCTION("""COMPUTED_VALUE"""),45912.0)</f>
        <v>45912</v>
      </c>
      <c r="L4310" s="6" t="str">
        <f>IFERROR(__xludf.DUMMYFUNCTION("""COMPUTED_VALUE"""),"FIP Engineering")</f>
        <v>FIP Engineering</v>
      </c>
      <c r="M4310" s="6" t="str">
        <f>IFERROR(__xludf.DUMMYFUNCTION("""COMPUTED_VALUE"""),"Mochammad Fadhillah Hakim,")</f>
        <v>Mochammad Fadhillah Hakim,</v>
      </c>
      <c r="N4310" s="6" t="str">
        <f>IFERROR(__xludf.DUMMYFUNCTION("""COMPUTED_VALUE"""),"FIP Engineering")</f>
        <v>FIP Engineering</v>
      </c>
      <c r="O4310" s="6" t="str">
        <f>IFERROR(__xludf.DUMMYFUNCTION("""COMPUTED_VALUE"""),"FIP-DOM-000-11304-OS00001-INA-000000")</f>
        <v>FIP-DOM-000-11304-OS00001-INA-000000</v>
      </c>
      <c r="P4310" s="6" t="str">
        <f>IFERROR(__xludf.DUMMYFUNCTION("""COMPUTED_VALUE"""),"PO Closed")</f>
        <v>PO Closed</v>
      </c>
      <c r="Q4310" s="6" t="str">
        <f>IFERROR(__xludf.DUMMYFUNCTION("""COMPUTED_VALUE"""),"GL2508436")</f>
        <v>GL2508436</v>
      </c>
      <c r="R4310" s="57">
        <f>IFERROR(__xludf.DUMMYFUNCTION("""COMPUTED_VALUE"""),45876.0)</f>
        <v>45876</v>
      </c>
      <c r="S4310" s="57">
        <f>IFERROR(__xludf.DUMMYFUNCTION("""COMPUTED_VALUE"""),45877.0)</f>
        <v>45877</v>
      </c>
      <c r="T4310" s="57">
        <f>IFERROR(__xludf.DUMMYFUNCTION("""COMPUTED_VALUE"""),45920.0)</f>
        <v>45920</v>
      </c>
    </row>
    <row r="4311">
      <c r="A4311" s="6" t="str">
        <f>IFERROR(__xludf.DUMMYFUNCTION("""COMPUTED_VALUE"""),"121703099-1")</f>
        <v>121703099-1</v>
      </c>
      <c r="B4311" s="6" t="str">
        <f>IFERROR(__xludf.DUMMYFUNCTION("""COMPUTED_VALUE"""),"121703099 - APPROVED")</f>
        <v>121703099 - APPROVED</v>
      </c>
      <c r="C4311" s="6">
        <f>IFERROR(__xludf.DUMMYFUNCTION("""COMPUTED_VALUE"""),1.0)</f>
        <v>1</v>
      </c>
      <c r="D4311" s="6" t="str">
        <f>IFERROR(__xludf.DUMMYFUNCTION("""COMPUTED_VALUE"""),"S-60002-00")</f>
        <v>S-60002-00</v>
      </c>
      <c r="E4311" s="6" t="str">
        <f>IFERROR(__xludf.DUMMYFUNCTION("""COMPUTED_VALUE"""),"Jasa Perbaikan dan Pemeliharaan Mesin Utility - Perbaikan PC Mixing")</f>
        <v>Jasa Perbaikan dan Pemeliharaan Mesin Utility - Perbaikan PC Mixing</v>
      </c>
      <c r="F4311" s="6">
        <f>IFERROR(__xludf.DUMMYFUNCTION("""COMPUTED_VALUE"""),1.0)</f>
        <v>1</v>
      </c>
      <c r="G4311" s="6" t="str">
        <f>IFERROR(__xludf.DUMMYFUNCTION("""COMPUTED_VALUE"""),"Lot")</f>
        <v>Lot</v>
      </c>
      <c r="H4311" s="6" t="str">
        <f>IFERROR(__xludf.DUMMYFUNCTION("""COMPUTED_VALUE"""),"IDR")</f>
        <v>IDR</v>
      </c>
      <c r="I4311" s="6">
        <f>IFERROR(__xludf.DUMMYFUNCTION("""COMPUTED_VALUE"""),1.16969375E8)</f>
        <v>116969375</v>
      </c>
      <c r="J4311" s="6">
        <f>IFERROR(__xludf.DUMMYFUNCTION("""COMPUTED_VALUE"""),1.16969375E8)</f>
        <v>116969375</v>
      </c>
      <c r="K4311" s="57">
        <f>IFERROR(__xludf.DUMMYFUNCTION("""COMPUTED_VALUE"""),45912.0)</f>
        <v>45912</v>
      </c>
      <c r="L4311" s="6" t="str">
        <f>IFERROR(__xludf.DUMMYFUNCTION("""COMPUTED_VALUE"""),"FIP General")</f>
        <v>FIP General</v>
      </c>
      <c r="M4311" s="6" t="str">
        <f>IFERROR(__xludf.DUMMYFUNCTION("""COMPUTED_VALUE"""),"Mochammad Fadhillah Hakim,")</f>
        <v>Mochammad Fadhillah Hakim,</v>
      </c>
      <c r="N4311" s="6" t="str">
        <f>IFERROR(__xludf.DUMMYFUNCTION("""COMPUTED_VALUE"""),"FIP Engineering")</f>
        <v>FIP Engineering</v>
      </c>
      <c r="O4311" s="6" t="str">
        <f>IFERROR(__xludf.DUMMYFUNCTION("""COMPUTED_VALUE"""),"FIP-DOM-ENG-51508-0000000-INA-000000")</f>
        <v>FIP-DOM-ENG-51508-0000000-INA-000000</v>
      </c>
      <c r="P4311" s="6" t="str">
        <f>IFERROR(__xludf.DUMMYFUNCTION("""COMPUTED_VALUE"""),"PO Closed")</f>
        <v>PO Closed</v>
      </c>
      <c r="Q4311" s="6" t="str">
        <f>IFERROR(__xludf.DUMMYFUNCTION("""COMPUTED_VALUE"""),"GL2508054")</f>
        <v>GL2508054</v>
      </c>
      <c r="R4311" s="57">
        <f>IFERROR(__xludf.DUMMYFUNCTION("""COMPUTED_VALUE"""),45876.0)</f>
        <v>45876</v>
      </c>
      <c r="S4311" s="57">
        <f>IFERROR(__xludf.DUMMYFUNCTION("""COMPUTED_VALUE"""),45876.0)</f>
        <v>45876</v>
      </c>
      <c r="T4311" s="57">
        <f>IFERROR(__xludf.DUMMYFUNCTION("""COMPUTED_VALUE"""),45986.0)</f>
        <v>45986</v>
      </c>
    </row>
    <row r="4312">
      <c r="A4312" s="6" t="str">
        <f>IFERROR(__xludf.DUMMYFUNCTION("""COMPUTED_VALUE"""),"121703104-1")</f>
        <v>121703104-1</v>
      </c>
      <c r="B4312" s="6" t="str">
        <f>IFERROR(__xludf.DUMMYFUNCTION("""COMPUTED_VALUE"""),"121703104 - APPROVED")</f>
        <v>121703104 - APPROVED</v>
      </c>
      <c r="C4312" s="6">
        <f>IFERROR(__xludf.DUMMYFUNCTION("""COMPUTED_VALUE"""),1.0)</f>
        <v>1</v>
      </c>
      <c r="D4312" s="6" t="str">
        <f>IFERROR(__xludf.DUMMYFUNCTION("""COMPUTED_VALUE"""),"S-60050-00")</f>
        <v>S-60050-00</v>
      </c>
      <c r="E4312" s="6" t="str">
        <f>IFERROR(__xludf.DUMMYFUNCTION("""COMPUTED_VALUE"""),"Jasa Perbaikan dan Pemeliharaan Mesin Produksi; ; ; - Remote FD tabungan 20 jam (Sudah terpakai 4 jam)")</f>
        <v>Jasa Perbaikan dan Pemeliharaan Mesin Produksi; ; ; - Remote FD tabungan 20 jam (Sudah terpakai 4 jam)</v>
      </c>
      <c r="F4312" s="6">
        <f>IFERROR(__xludf.DUMMYFUNCTION("""COMPUTED_VALUE"""),1.0)</f>
        <v>1</v>
      </c>
      <c r="G4312" s="6" t="str">
        <f>IFERROR(__xludf.DUMMYFUNCTION("""COMPUTED_VALUE"""),"Pieces")</f>
        <v>Pieces</v>
      </c>
      <c r="H4312" s="6" t="str">
        <f>IFERROR(__xludf.DUMMYFUNCTION("""COMPUTED_VALUE"""),"USD")</f>
        <v>USD</v>
      </c>
      <c r="I4312" s="6">
        <f>IFERROR(__xludf.DUMMYFUNCTION("""COMPUTED_VALUE"""),5.25312E7)</f>
        <v>52531200</v>
      </c>
      <c r="J4312" s="6">
        <f>IFERROR(__xludf.DUMMYFUNCTION("""COMPUTED_VALUE"""),5.25312E7)</f>
        <v>52531200</v>
      </c>
      <c r="K4312" s="57">
        <f>IFERROR(__xludf.DUMMYFUNCTION("""COMPUTED_VALUE"""),45882.0)</f>
        <v>45882</v>
      </c>
      <c r="L4312" s="6" t="str">
        <f>IFERROR(__xludf.DUMMYFUNCTION("""COMPUTED_VALUE"""),"FIP General")</f>
        <v>FIP General</v>
      </c>
      <c r="M4312" s="6" t="str">
        <f>IFERROR(__xludf.DUMMYFUNCTION("""COMPUTED_VALUE"""),"Mochammad Fadhillah Hakim,")</f>
        <v>Mochammad Fadhillah Hakim,</v>
      </c>
      <c r="N4312" s="6" t="str">
        <f>IFERROR(__xludf.DUMMYFUNCTION("""COMPUTED_VALUE"""),"FIP Engineering")</f>
        <v>FIP Engineering</v>
      </c>
      <c r="O4312" s="6" t="str">
        <f>IFERROR(__xludf.DUMMYFUNCTION("""COMPUTED_VALUE"""),"FIP-DOM-ENG-51504-0000000-INA-000000")</f>
        <v>FIP-DOM-ENG-51504-0000000-INA-000000</v>
      </c>
      <c r="P4312" s="6" t="str">
        <f>IFERROR(__xludf.DUMMYFUNCTION("""COMPUTED_VALUE"""),"PO Closed")</f>
        <v>PO Closed</v>
      </c>
      <c r="Q4312" s="6" t="str">
        <f>IFERROR(__xludf.DUMMYFUNCTION("""COMPUTED_VALUE"""),"GL2508045")</f>
        <v>GL2508045</v>
      </c>
      <c r="R4312" s="57">
        <f>IFERROR(__xludf.DUMMYFUNCTION("""COMPUTED_VALUE"""),45880.0)</f>
        <v>45880</v>
      </c>
      <c r="S4312" s="57">
        <f>IFERROR(__xludf.DUMMYFUNCTION("""COMPUTED_VALUE"""),45881.0)</f>
        <v>45881</v>
      </c>
      <c r="T4312" s="57">
        <f>IFERROR(__xludf.DUMMYFUNCTION("""COMPUTED_VALUE"""),45913.0)</f>
        <v>45913</v>
      </c>
    </row>
    <row r="4313">
      <c r="A4313" s="6" t="str">
        <f>IFERROR(__xludf.DUMMYFUNCTION("""COMPUTED_VALUE"""),"121703105-1")</f>
        <v>121703105-1</v>
      </c>
      <c r="B4313" s="6" t="str">
        <f>IFERROR(__xludf.DUMMYFUNCTION("""COMPUTED_VALUE"""),"121703105 - APPROVED")</f>
        <v>121703105 - APPROVED</v>
      </c>
      <c r="C4313" s="6">
        <f>IFERROR(__xludf.DUMMYFUNCTION("""COMPUTED_VALUE"""),1.0)</f>
        <v>1</v>
      </c>
      <c r="D4313" s="6" t="str">
        <f>IFERROR(__xludf.DUMMYFUNCTION("""COMPUTED_VALUE"""),"O-20289-00")</f>
        <v>O-20289-00</v>
      </c>
      <c r="E4313" s="6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F4313" s="6">
        <f>IFERROR(__xludf.DUMMYFUNCTION("""COMPUTED_VALUE"""),1.0)</f>
        <v>1</v>
      </c>
      <c r="G4313" s="6" t="str">
        <f>IFERROR(__xludf.DUMMYFUNCTION("""COMPUTED_VALUE"""),"Unit")</f>
        <v>Unit</v>
      </c>
      <c r="H4313" s="6" t="str">
        <f>IFERROR(__xludf.DUMMYFUNCTION("""COMPUTED_VALUE"""),"IDR")</f>
        <v>IDR</v>
      </c>
      <c r="I4313" s="6">
        <f>IFERROR(__xludf.DUMMYFUNCTION("""COMPUTED_VALUE"""),1.315E7)</f>
        <v>13150000</v>
      </c>
      <c r="J4313" s="6">
        <f>IFERROR(__xludf.DUMMYFUNCTION("""COMPUTED_VALUE"""),1.315E7)</f>
        <v>13150000</v>
      </c>
      <c r="K4313" s="57">
        <f>IFERROR(__xludf.DUMMYFUNCTION("""COMPUTED_VALUE"""),45912.0)</f>
        <v>45912</v>
      </c>
      <c r="L4313" s="6" t="str">
        <f>IFERROR(__xludf.DUMMYFUNCTION("""COMPUTED_VALUE"""),"FIP Engineering")</f>
        <v>FIP Engineering</v>
      </c>
      <c r="M4313" s="6" t="str">
        <f>IFERROR(__xludf.DUMMYFUNCTION("""COMPUTED_VALUE"""),"Mochammad Fadhillah Hakim,")</f>
        <v>Mochammad Fadhillah Hakim,</v>
      </c>
      <c r="N4313" s="6" t="str">
        <f>IFERROR(__xludf.DUMMYFUNCTION("""COMPUTED_VALUE"""),"FIP Engineering")</f>
        <v>FIP Engineering</v>
      </c>
      <c r="O4313" s="6" t="str">
        <f>IFERROR(__xludf.DUMMYFUNCTION("""COMPUTED_VALUE"""),"FIP-DOM-000-11304-OS00001-INA-000000")</f>
        <v>FIP-DOM-000-11304-OS00001-INA-000000</v>
      </c>
      <c r="P4313" s="6" t="str">
        <f>IFERROR(__xludf.DUMMYFUNCTION("""COMPUTED_VALUE"""),"PO Closed")</f>
        <v>PO Closed</v>
      </c>
      <c r="Q4313" s="6" t="str">
        <f>IFERROR(__xludf.DUMMYFUNCTION("""COMPUTED_VALUE"""),"GL2509456")</f>
        <v>GL2509456</v>
      </c>
      <c r="R4313" s="57">
        <f>IFERROR(__xludf.DUMMYFUNCTION("""COMPUTED_VALUE"""),45881.0)</f>
        <v>45881</v>
      </c>
      <c r="S4313" s="57">
        <f>IFERROR(__xludf.DUMMYFUNCTION("""COMPUTED_VALUE"""),45894.0)</f>
        <v>45894</v>
      </c>
      <c r="T4313" s="57">
        <f>IFERROR(__xludf.DUMMYFUNCTION("""COMPUTED_VALUE"""),45950.0)</f>
        <v>45950</v>
      </c>
    </row>
    <row r="4314">
      <c r="A4314" s="6" t="str">
        <f>IFERROR(__xludf.DUMMYFUNCTION("""COMPUTED_VALUE"""),"121703106-1")</f>
        <v>121703106-1</v>
      </c>
      <c r="B4314" s="6" t="str">
        <f>IFERROR(__xludf.DUMMYFUNCTION("""COMPUTED_VALUE"""),"121703106 - APPROVED")</f>
        <v>121703106 - APPROVED</v>
      </c>
      <c r="C4314" s="6">
        <f>IFERROR(__xludf.DUMMYFUNCTION("""COMPUTED_VALUE"""),1.0)</f>
        <v>1</v>
      </c>
      <c r="D4314" s="6" t="str">
        <f>IFERROR(__xludf.DUMMYFUNCTION("""COMPUTED_VALUE"""),"T-80635-00")</f>
        <v>T-80635-00</v>
      </c>
      <c r="E4314" s="6" t="str">
        <f>IFERROR(__xludf.DUMMYFUNCTION("""COMPUTED_VALUE"""),"Kertas HVS Putih A4 70 gram;")</f>
        <v>Kertas HVS Putih A4 70 gram;</v>
      </c>
      <c r="F4314" s="6">
        <f>IFERROR(__xludf.DUMMYFUNCTION("""COMPUTED_VALUE"""),10.0)</f>
        <v>10</v>
      </c>
      <c r="G4314" s="6" t="str">
        <f>IFERROR(__xludf.DUMMYFUNCTION("""COMPUTED_VALUE"""),"Rim")</f>
        <v>Rim</v>
      </c>
      <c r="H4314" s="6" t="str">
        <f>IFERROR(__xludf.DUMMYFUNCTION("""COMPUTED_VALUE"""),"IDR")</f>
        <v>IDR</v>
      </c>
      <c r="I4314" s="6">
        <f>IFERROR(__xludf.DUMMYFUNCTION("""COMPUTED_VALUE"""),33000.0)</f>
        <v>33000</v>
      </c>
      <c r="J4314" s="6">
        <f>IFERROR(__xludf.DUMMYFUNCTION("""COMPUTED_VALUE"""),330000.0)</f>
        <v>330000</v>
      </c>
      <c r="K4314" s="57">
        <f>IFERROR(__xludf.DUMMYFUNCTION("""COMPUTED_VALUE"""),45912.0)</f>
        <v>45912</v>
      </c>
      <c r="L4314" s="6" t="str">
        <f>IFERROR(__xludf.DUMMYFUNCTION("""COMPUTED_VALUE"""),"FIP General")</f>
        <v>FIP General</v>
      </c>
      <c r="M4314" s="6" t="str">
        <f>IFERROR(__xludf.DUMMYFUNCTION("""COMPUTED_VALUE"""),"Mochammad Fadhillah Hakim,")</f>
        <v>Mochammad Fadhillah Hakim,</v>
      </c>
      <c r="N4314" s="6" t="str">
        <f>IFERROR(__xludf.DUMMYFUNCTION("""COMPUTED_VALUE"""),"FIP Engineering")</f>
        <v>FIP Engineering</v>
      </c>
      <c r="O4314" s="6" t="str">
        <f>IFERROR(__xludf.DUMMYFUNCTION("""COMPUTED_VALUE"""),"FIP-DOM-ENG-51411-0000000-INA-000000")</f>
        <v>FIP-DOM-ENG-51411-0000000-INA-000000</v>
      </c>
      <c r="P4314" s="6" t="str">
        <f>IFERROR(__xludf.DUMMYFUNCTION("""COMPUTED_VALUE"""),"PO Closed")</f>
        <v>PO Closed</v>
      </c>
      <c r="Q4314" s="6" t="str">
        <f>IFERROR(__xludf.DUMMYFUNCTION("""COMPUTED_VALUE"""),"GL2509017")</f>
        <v>GL2509017</v>
      </c>
      <c r="R4314" s="57">
        <f>IFERROR(__xludf.DUMMYFUNCTION("""COMPUTED_VALUE"""),45881.0)</f>
        <v>45881</v>
      </c>
      <c r="S4314" s="57">
        <f>IFERROR(__xludf.DUMMYFUNCTION("""COMPUTED_VALUE"""),45881.0)</f>
        <v>45881</v>
      </c>
      <c r="T4314" s="57">
        <f>IFERROR(__xludf.DUMMYFUNCTION("""COMPUTED_VALUE"""),45919.0)</f>
        <v>45919</v>
      </c>
    </row>
    <row r="4315">
      <c r="A4315" s="6" t="str">
        <f>IFERROR(__xludf.DUMMYFUNCTION("""COMPUTED_VALUE"""),"121703111-1")</f>
        <v>121703111-1</v>
      </c>
      <c r="B4315" s="6" t="str">
        <f>IFERROR(__xludf.DUMMYFUNCTION("""COMPUTED_VALUE"""),"121703111 - APPROVED")</f>
        <v>121703111 - APPROVED</v>
      </c>
      <c r="C4315" s="6">
        <f>IFERROR(__xludf.DUMMYFUNCTION("""COMPUTED_VALUE"""),1.0)</f>
        <v>1</v>
      </c>
      <c r="D4315" s="6" t="str">
        <f>IFERROR(__xludf.DUMMYFUNCTION("""COMPUTED_VALUE"""),"T-20118-00")</f>
        <v>T-20118-00</v>
      </c>
      <c r="E4315" s="6" t="str">
        <f>IFERROR(__xludf.DUMMYFUNCTION("""COMPUTED_VALUE"""),"FILTER INSERT ASSY; Waters; P/N WAT088084; 1 pc")</f>
        <v>FILTER INSERT ASSY; Waters; P/N WAT088084; 1 pc</v>
      </c>
      <c r="F4315" s="6">
        <f>IFERROR(__xludf.DUMMYFUNCTION("""COMPUTED_VALUE"""),2.0)</f>
        <v>2</v>
      </c>
      <c r="G4315" s="6" t="str">
        <f>IFERROR(__xludf.DUMMYFUNCTION("""COMPUTED_VALUE"""),"Pieces")</f>
        <v>Pieces</v>
      </c>
      <c r="H4315" s="6" t="str">
        <f>IFERROR(__xludf.DUMMYFUNCTION("""COMPUTED_VALUE"""),"USD")</f>
        <v>USD</v>
      </c>
      <c r="I4315" s="6">
        <f>IFERROR(__xludf.DUMMYFUNCTION("""COMPUTED_VALUE"""),365021.0)</f>
        <v>365021</v>
      </c>
      <c r="J4315" s="6">
        <f>IFERROR(__xludf.DUMMYFUNCTION("""COMPUTED_VALUE"""),730043.0)</f>
        <v>730043</v>
      </c>
      <c r="K4315" s="57">
        <f>IFERROR(__xludf.DUMMYFUNCTION("""COMPUTED_VALUE"""),45912.0)</f>
        <v>45912</v>
      </c>
      <c r="L4315" s="6" t="str">
        <f>IFERROR(__xludf.DUMMYFUNCTION("""COMPUTED_VALUE"""),"FIP General")</f>
        <v>FIP General</v>
      </c>
      <c r="M4315" s="6" t="str">
        <f>IFERROR(__xludf.DUMMYFUNCTION("""COMPUTED_VALUE"""),"Mochammad Fadhillah Hakim,")</f>
        <v>Mochammad Fadhillah Hakim,</v>
      </c>
      <c r="N4315" s="6" t="str">
        <f>IFERROR(__xludf.DUMMYFUNCTION("""COMPUTED_VALUE"""),"FIP Engineering")</f>
        <v>FIP Engineering</v>
      </c>
      <c r="O4315" s="6" t="str">
        <f>IFERROR(__xludf.DUMMYFUNCTION("""COMPUTED_VALUE"""),"FIP-DOM-ENG-51505-0000000-INA-000000")</f>
        <v>FIP-DOM-ENG-51505-0000000-INA-000000</v>
      </c>
      <c r="P4315" s="6" t="str">
        <f>IFERROR(__xludf.DUMMYFUNCTION("""COMPUTED_VALUE"""),"PO Closed")</f>
        <v>PO Closed</v>
      </c>
      <c r="Q4315" s="6" t="str">
        <f>IFERROR(__xludf.DUMMYFUNCTION("""COMPUTED_VALUE"""),"GL2508431")</f>
        <v>GL2508431</v>
      </c>
      <c r="R4315" s="57">
        <f>IFERROR(__xludf.DUMMYFUNCTION("""COMPUTED_VALUE"""),45882.0)</f>
        <v>45882</v>
      </c>
      <c r="S4315" s="57">
        <f>IFERROR(__xludf.DUMMYFUNCTION("""COMPUTED_VALUE"""),45884.0)</f>
        <v>45884</v>
      </c>
      <c r="T4315" s="57">
        <f>IFERROR(__xludf.DUMMYFUNCTION("""COMPUTED_VALUE"""),45912.0)</f>
        <v>45912</v>
      </c>
    </row>
    <row r="4316">
      <c r="A4316" s="6" t="str">
        <f>IFERROR(__xludf.DUMMYFUNCTION("""COMPUTED_VALUE"""),"121703112-1")</f>
        <v>121703112-1</v>
      </c>
      <c r="B4316" s="6" t="str">
        <f>IFERROR(__xludf.DUMMYFUNCTION("""COMPUTED_VALUE"""),"121703112 - APPROVED")</f>
        <v>121703112 - APPROVED</v>
      </c>
      <c r="C4316" s="6">
        <f>IFERROR(__xludf.DUMMYFUNCTION("""COMPUTED_VALUE"""),1.0)</f>
        <v>1</v>
      </c>
      <c r="D4316" s="6" t="str">
        <f>IFERROR(__xludf.DUMMYFUNCTION("""COMPUTED_VALUE"""),"T-22174-00")</f>
        <v>T-22174-00</v>
      </c>
      <c r="E4316" s="6" t="str">
        <f>IFERROR(__xludf.DUMMYFUNCTION("""COMPUTED_VALUE"""),"AHM Board MT 50; Sotax; 3003482; unt")</f>
        <v>AHM Board MT 50; Sotax; 3003482; unt</v>
      </c>
      <c r="F4316" s="6">
        <f>IFERROR(__xludf.DUMMYFUNCTION("""COMPUTED_VALUE"""),1.0)</f>
        <v>1</v>
      </c>
      <c r="G4316" s="6" t="str">
        <f>IFERROR(__xludf.DUMMYFUNCTION("""COMPUTED_VALUE"""),"Unit")</f>
        <v>Unit</v>
      </c>
      <c r="H4316" s="6" t="str">
        <f>IFERROR(__xludf.DUMMYFUNCTION("""COMPUTED_VALUE"""),"IDR")</f>
        <v>IDR</v>
      </c>
      <c r="I4316" s="6">
        <f>IFERROR(__xludf.DUMMYFUNCTION("""COMPUTED_VALUE"""),4.42E7)</f>
        <v>44200000</v>
      </c>
      <c r="J4316" s="6">
        <f>IFERROR(__xludf.DUMMYFUNCTION("""COMPUTED_VALUE"""),4.42E7)</f>
        <v>44200000</v>
      </c>
      <c r="K4316" s="57">
        <f>IFERROR(__xludf.DUMMYFUNCTION("""COMPUTED_VALUE"""),45891.0)</f>
        <v>45891</v>
      </c>
      <c r="L4316" s="6" t="str">
        <f>IFERROR(__xludf.DUMMYFUNCTION("""COMPUTED_VALUE"""),"FIP General")</f>
        <v>FIP General</v>
      </c>
      <c r="M4316" s="6" t="str">
        <f>IFERROR(__xludf.DUMMYFUNCTION("""COMPUTED_VALUE"""),"Mochammad Fadhillah Hakim,")</f>
        <v>Mochammad Fadhillah Hakim,</v>
      </c>
      <c r="N4316" s="6" t="str">
        <f>IFERROR(__xludf.DUMMYFUNCTION("""COMPUTED_VALUE"""),"FIP Engineering")</f>
        <v>FIP Engineering</v>
      </c>
      <c r="O4316" s="6" t="str">
        <f>IFERROR(__xludf.DUMMYFUNCTION("""COMPUTED_VALUE"""),"FIP-DOM-ENG-51502-0000000-INA-000000")</f>
        <v>FIP-DOM-ENG-51502-0000000-INA-000000</v>
      </c>
      <c r="P4316" s="6" t="str">
        <f>IFERROR(__xludf.DUMMYFUNCTION("""COMPUTED_VALUE"""),"PO Closed")</f>
        <v>PO Closed</v>
      </c>
      <c r="Q4316" s="6" t="str">
        <f>IFERROR(__xludf.DUMMYFUNCTION("""COMPUTED_VALUE"""),"GL2508038")</f>
        <v>GL2508038</v>
      </c>
      <c r="R4316" s="57">
        <f>IFERROR(__xludf.DUMMYFUNCTION("""COMPUTED_VALUE"""),45882.0)</f>
        <v>45882</v>
      </c>
      <c r="S4316" s="57">
        <f>IFERROR(__xludf.DUMMYFUNCTION("""COMPUTED_VALUE"""),45882.0)</f>
        <v>45882</v>
      </c>
      <c r="T4316" s="57">
        <f>IFERROR(__xludf.DUMMYFUNCTION("""COMPUTED_VALUE"""),45891.0)</f>
        <v>45891</v>
      </c>
    </row>
    <row r="4317">
      <c r="A4317" s="6" t="str">
        <f>IFERROR(__xludf.DUMMYFUNCTION("""COMPUTED_VALUE"""),"121703114-1")</f>
        <v>121703114-1</v>
      </c>
      <c r="B4317" s="6" t="str">
        <f>IFERROR(__xludf.DUMMYFUNCTION("""COMPUTED_VALUE"""),"121703114 - APPROVED")</f>
        <v>121703114 - APPROVED</v>
      </c>
      <c r="C4317" s="6">
        <f>IFERROR(__xludf.DUMMYFUNCTION("""COMPUTED_VALUE"""),1.0)</f>
        <v>1</v>
      </c>
      <c r="D4317" s="6" t="str">
        <f>IFERROR(__xludf.DUMMYFUNCTION("""COMPUTED_VALUE"""),"P-15429-00")</f>
        <v>P-15429-00</v>
      </c>
      <c r="E4317" s="6" t="str">
        <f>IFERROR(__xludf.DUMMYFUNCTION("""COMPUTED_VALUE"""),"Fedegari FVA2/A1 S/N : NB2964AT - Cover Seal FVM-A/2 FOB2 (Code: PP600265); ; ;")</f>
        <v>Fedegari FVA2/A1 S/N : NB2964AT - Cover Seal FVM-A/2 FOB2 (Code: PP600265); ; ;</v>
      </c>
      <c r="F4317" s="6">
        <f>IFERROR(__xludf.DUMMYFUNCTION("""COMPUTED_VALUE"""),2.0)</f>
        <v>2</v>
      </c>
      <c r="G4317" s="6" t="str">
        <f>IFERROR(__xludf.DUMMYFUNCTION("""COMPUTED_VALUE"""),"Unit")</f>
        <v>Unit</v>
      </c>
      <c r="H4317" s="6" t="str">
        <f>IFERROR(__xludf.DUMMYFUNCTION("""COMPUTED_VALUE"""),"IDR")</f>
        <v>IDR</v>
      </c>
      <c r="I4317" s="6">
        <f>IFERROR(__xludf.DUMMYFUNCTION("""COMPUTED_VALUE"""),6837000.0)</f>
        <v>6837000</v>
      </c>
      <c r="J4317" s="6">
        <f>IFERROR(__xludf.DUMMYFUNCTION("""COMPUTED_VALUE"""),1.3674E7)</f>
        <v>13674000</v>
      </c>
      <c r="K4317" s="57">
        <f>IFERROR(__xludf.DUMMYFUNCTION("""COMPUTED_VALUE"""),45947.0)</f>
        <v>45947</v>
      </c>
      <c r="L4317" s="6" t="str">
        <f>IFERROR(__xludf.DUMMYFUNCTION("""COMPUTED_VALUE"""),"FIP Engineering")</f>
        <v>FIP Engineering</v>
      </c>
      <c r="M4317" s="6" t="str">
        <f>IFERROR(__xludf.DUMMYFUNCTION("""COMPUTED_VALUE"""),"Mochammad Fadhillah Hakim,")</f>
        <v>Mochammad Fadhillah Hakim,</v>
      </c>
      <c r="N4317" s="6" t="str">
        <f>IFERROR(__xludf.DUMMYFUNCTION("""COMPUTED_VALUE"""),"FIP Engineering")</f>
        <v>FIP Engineering</v>
      </c>
      <c r="O4317" s="6" t="str">
        <f>IFERROR(__xludf.DUMMYFUNCTION("""COMPUTED_VALUE"""),"FIP-DOM-000-11304-OS00001-INA-000000")</f>
        <v>FIP-DOM-000-11304-OS00001-INA-000000</v>
      </c>
      <c r="P4317" s="6" t="str">
        <f>IFERROR(__xludf.DUMMYFUNCTION("""COMPUTED_VALUE"""),"PO Closed")</f>
        <v>PO Closed</v>
      </c>
      <c r="Q4317" s="6" t="str">
        <f>IFERROR(__xludf.DUMMYFUNCTION("""COMPUTED_VALUE"""),"GL2508044")</f>
        <v>GL2508044</v>
      </c>
      <c r="R4317" s="57">
        <f>IFERROR(__xludf.DUMMYFUNCTION("""COMPUTED_VALUE"""),45883.0)</f>
        <v>45883</v>
      </c>
      <c r="S4317" s="57">
        <f>IFERROR(__xludf.DUMMYFUNCTION("""COMPUTED_VALUE"""),45887.0)</f>
        <v>45887</v>
      </c>
      <c r="T4317" s="57">
        <f>IFERROR(__xludf.DUMMYFUNCTION("""COMPUTED_VALUE"""),45947.0)</f>
        <v>45947</v>
      </c>
    </row>
    <row r="4318">
      <c r="A4318" s="6" t="str">
        <f>IFERROR(__xludf.DUMMYFUNCTION("""COMPUTED_VALUE"""),"121703115-1")</f>
        <v>121703115-1</v>
      </c>
      <c r="B4318" s="6" t="str">
        <f>IFERROR(__xludf.DUMMYFUNCTION("""COMPUTED_VALUE"""),"121703115 - APPROVED")</f>
        <v>121703115 - APPROVED</v>
      </c>
      <c r="C4318" s="6">
        <f>IFERROR(__xludf.DUMMYFUNCTION("""COMPUTED_VALUE"""),1.0)</f>
        <v>1</v>
      </c>
      <c r="D4318" s="6" t="str">
        <f>IFERROR(__xludf.DUMMYFUNCTION("""COMPUTED_VALUE"""),"S-40586-00")</f>
        <v>S-40586-00</v>
      </c>
      <c r="E4318" s="6" t="str">
        <f>IFERROR(__xludf.DUMMYFUNCTION("""COMPUTED_VALUE"""),"Container Box; Claris; ;")</f>
        <v>Container Box; Claris; ;</v>
      </c>
      <c r="F4318" s="6">
        <f>IFERROR(__xludf.DUMMYFUNCTION("""COMPUTED_VALUE"""),5.0)</f>
        <v>5</v>
      </c>
      <c r="G4318" s="6" t="str">
        <f>IFERROR(__xludf.DUMMYFUNCTION("""COMPUTED_VALUE"""),"Pieces")</f>
        <v>Pieces</v>
      </c>
      <c r="H4318" s="6" t="str">
        <f>IFERROR(__xludf.DUMMYFUNCTION("""COMPUTED_VALUE"""),"IDR")</f>
        <v>IDR</v>
      </c>
      <c r="I4318" s="6">
        <f>IFERROR(__xludf.DUMMYFUNCTION("""COMPUTED_VALUE"""),275000.0)</f>
        <v>275000</v>
      </c>
      <c r="J4318" s="6">
        <f>IFERROR(__xludf.DUMMYFUNCTION("""COMPUTED_VALUE"""),1375000.0)</f>
        <v>1375000</v>
      </c>
      <c r="K4318" s="57">
        <f>IFERROR(__xludf.DUMMYFUNCTION("""COMPUTED_VALUE"""),45919.0)</f>
        <v>45919</v>
      </c>
      <c r="L4318" s="6" t="str">
        <f>IFERROR(__xludf.DUMMYFUNCTION("""COMPUTED_VALUE"""),"FIP General")</f>
        <v>FIP General</v>
      </c>
      <c r="M4318" s="6" t="str">
        <f>IFERROR(__xludf.DUMMYFUNCTION("""COMPUTED_VALUE"""),"Mochammad Fadhillah Hakim,")</f>
        <v>Mochammad Fadhillah Hakim,</v>
      </c>
      <c r="N4318" s="6" t="str">
        <f>IFERROR(__xludf.DUMMYFUNCTION("""COMPUTED_VALUE"""),"FIP Engineering")</f>
        <v>FIP Engineering</v>
      </c>
      <c r="O4318" s="6" t="str">
        <f>IFERROR(__xludf.DUMMYFUNCTION("""COMPUTED_VALUE"""),"FIP-DOM-ENG-51404-0000000-INA-000000")</f>
        <v>FIP-DOM-ENG-51404-0000000-INA-000000</v>
      </c>
      <c r="P4318" s="6" t="str">
        <f>IFERROR(__xludf.DUMMYFUNCTION("""COMPUTED_VALUE"""),"PO Closed")</f>
        <v>PO Closed</v>
      </c>
      <c r="Q4318" s="6" t="str">
        <f>IFERROR(__xludf.DUMMYFUNCTION("""COMPUTED_VALUE"""),"GL2509028")</f>
        <v>GL2509028</v>
      </c>
      <c r="R4318" s="57">
        <f>IFERROR(__xludf.DUMMYFUNCTION("""COMPUTED_VALUE"""),45884.0)</f>
        <v>45884</v>
      </c>
      <c r="S4318" s="57">
        <f>IFERROR(__xludf.DUMMYFUNCTION("""COMPUTED_VALUE"""),45884.0)</f>
        <v>45884</v>
      </c>
      <c r="T4318" s="57">
        <f>IFERROR(__xludf.DUMMYFUNCTION("""COMPUTED_VALUE"""),45924.0)</f>
        <v>45924</v>
      </c>
    </row>
    <row r="4319">
      <c r="A4319" s="6" t="str">
        <f>IFERROR(__xludf.DUMMYFUNCTION("""COMPUTED_VALUE"""),"121703119-1")</f>
        <v>121703119-1</v>
      </c>
      <c r="B4319" s="6" t="str">
        <f>IFERROR(__xludf.DUMMYFUNCTION("""COMPUTED_VALUE"""),"121703119 - APPROVED")</f>
        <v>121703119 - APPROVED</v>
      </c>
      <c r="C4319" s="6">
        <f>IFERROR(__xludf.DUMMYFUNCTION("""COMPUTED_VALUE"""),1.0)</f>
        <v>1</v>
      </c>
      <c r="D4319" s="6" t="str">
        <f>IFERROR(__xludf.DUMMYFUNCTION("""COMPUTED_VALUE"""),"S-46525-00")</f>
        <v>S-46525-00</v>
      </c>
      <c r="E4319" s="6" t="str">
        <f>IFERROR(__xludf.DUMMYFUNCTION("""COMPUTED_VALUE"""),"Jolly Box ; JX-3 No. 300; Lion Star; ;")</f>
        <v>Jolly Box ; JX-3 No. 300; Lion Star; ;</v>
      </c>
      <c r="F4319" s="6">
        <f>IFERROR(__xludf.DUMMYFUNCTION("""COMPUTED_VALUE"""),250.0)</f>
        <v>250</v>
      </c>
      <c r="G4319" s="6" t="str">
        <f>IFERROR(__xludf.DUMMYFUNCTION("""COMPUTED_VALUE"""),"Pieces")</f>
        <v>Pieces</v>
      </c>
      <c r="H4319" s="6" t="str">
        <f>IFERROR(__xludf.DUMMYFUNCTION("""COMPUTED_VALUE"""),"IDR")</f>
        <v>IDR</v>
      </c>
      <c r="I4319" s="6">
        <f>IFERROR(__xludf.DUMMYFUNCTION("""COMPUTED_VALUE"""),44850.0)</f>
        <v>44850</v>
      </c>
      <c r="J4319" s="6">
        <f>IFERROR(__xludf.DUMMYFUNCTION("""COMPUTED_VALUE"""),1.12125E7)</f>
        <v>11212500</v>
      </c>
      <c r="K4319" s="57">
        <f>IFERROR(__xludf.DUMMYFUNCTION("""COMPUTED_VALUE"""),45919.0)</f>
        <v>45919</v>
      </c>
      <c r="L4319" s="6" t="str">
        <f>IFERROR(__xludf.DUMMYFUNCTION("""COMPUTED_VALUE"""),"FIP General")</f>
        <v>FIP General</v>
      </c>
      <c r="M4319" s="6" t="str">
        <f>IFERROR(__xludf.DUMMYFUNCTION("""COMPUTED_VALUE"""),"Mochammad Fadhillah Hakim,")</f>
        <v>Mochammad Fadhillah Hakim,</v>
      </c>
      <c r="N4319" s="6" t="str">
        <f>IFERROR(__xludf.DUMMYFUNCTION("""COMPUTED_VALUE"""),"FIP Engineering")</f>
        <v>FIP Engineering</v>
      </c>
      <c r="O4319" s="6" t="str">
        <f>IFERROR(__xludf.DUMMYFUNCTION("""COMPUTED_VALUE"""),"FIP-DOM-ENG-51404-0000000-INA-000000")</f>
        <v>FIP-DOM-ENG-51404-0000000-INA-000000</v>
      </c>
      <c r="P4319" s="6" t="str">
        <f>IFERROR(__xludf.DUMMYFUNCTION("""COMPUTED_VALUE"""),"PO Closed")</f>
        <v>PO Closed</v>
      </c>
      <c r="Q4319" s="6" t="str">
        <f>IFERROR(__xludf.DUMMYFUNCTION("""COMPUTED_VALUE"""),"GL2509028")</f>
        <v>GL2509028</v>
      </c>
      <c r="R4319" s="57">
        <f>IFERROR(__xludf.DUMMYFUNCTION("""COMPUTED_VALUE"""),45887.0)</f>
        <v>45887</v>
      </c>
      <c r="S4319" s="57">
        <f>IFERROR(__xludf.DUMMYFUNCTION("""COMPUTED_VALUE"""),45889.0)</f>
        <v>45889</v>
      </c>
      <c r="T4319" s="57">
        <f>IFERROR(__xludf.DUMMYFUNCTION("""COMPUTED_VALUE"""),45924.0)</f>
        <v>45924</v>
      </c>
    </row>
    <row r="4320">
      <c r="A4320" s="6" t="str">
        <f>IFERROR(__xludf.DUMMYFUNCTION("""COMPUTED_VALUE"""),"121703122-1")</f>
        <v>121703122-1</v>
      </c>
      <c r="B4320" s="6" t="str">
        <f>IFERROR(__xludf.DUMMYFUNCTION("""COMPUTED_VALUE"""),"121703122 - APPROVED")</f>
        <v>121703122 - APPROVED</v>
      </c>
      <c r="C4320" s="6">
        <f>IFERROR(__xludf.DUMMYFUNCTION("""COMPUTED_VALUE"""),1.0)</f>
        <v>1</v>
      </c>
      <c r="D4320" s="6" t="str">
        <f>IFERROR(__xludf.DUMMYFUNCTION("""COMPUTED_VALUE"""),"T-20105-00")</f>
        <v>T-20105-00</v>
      </c>
      <c r="E4320" s="6" t="str">
        <f>IFERROR(__xludf.DUMMYFUNCTION("""COMPUTED_VALUE"""),"900 Resin Bed for TOC Sievers; ; ;")</f>
        <v>900 Resin Bed for TOC Sievers; ; ;</v>
      </c>
      <c r="F4320" s="6">
        <f>IFERROR(__xludf.DUMMYFUNCTION("""COMPUTED_VALUE"""),1.0)</f>
        <v>1</v>
      </c>
      <c r="G4320" s="6" t="str">
        <f>IFERROR(__xludf.DUMMYFUNCTION("""COMPUTED_VALUE"""),"Pieces")</f>
        <v>Pieces</v>
      </c>
      <c r="H4320" s="6" t="str">
        <f>IFERROR(__xludf.DUMMYFUNCTION("""COMPUTED_VALUE"""),"IDR")</f>
        <v>IDR</v>
      </c>
      <c r="I4320" s="6">
        <f>IFERROR(__xludf.DUMMYFUNCTION("""COMPUTED_VALUE"""),1.6777E7)</f>
        <v>16777000</v>
      </c>
      <c r="J4320" s="6">
        <f>IFERROR(__xludf.DUMMYFUNCTION("""COMPUTED_VALUE"""),1.6777E7)</f>
        <v>16777000</v>
      </c>
      <c r="K4320" s="57">
        <f>IFERROR(__xludf.DUMMYFUNCTION("""COMPUTED_VALUE"""),45954.0)</f>
        <v>45954</v>
      </c>
      <c r="L4320" s="6" t="str">
        <f>IFERROR(__xludf.DUMMYFUNCTION("""COMPUTED_VALUE"""),"FIP General")</f>
        <v>FIP General</v>
      </c>
      <c r="M4320" s="6" t="str">
        <f>IFERROR(__xludf.DUMMYFUNCTION("""COMPUTED_VALUE"""),"Mochammad Fadhillah Hakim,")</f>
        <v>Mochammad Fadhillah Hakim,</v>
      </c>
      <c r="N4320" s="6" t="str">
        <f>IFERROR(__xludf.DUMMYFUNCTION("""COMPUTED_VALUE"""),"FIP Engineering")</f>
        <v>FIP Engineering</v>
      </c>
      <c r="O4320" s="6" t="str">
        <f>IFERROR(__xludf.DUMMYFUNCTION("""COMPUTED_VALUE"""),"FIP-DOM-ENG-51505-0000000-INA-000000")</f>
        <v>FIP-DOM-ENG-51505-0000000-INA-000000</v>
      </c>
      <c r="P4320" s="6" t="str">
        <f>IFERROR(__xludf.DUMMYFUNCTION("""COMPUTED_VALUE"""),"PO Closed")</f>
        <v>PO Closed</v>
      </c>
      <c r="Q4320" s="6" t="str">
        <f>IFERROR(__xludf.DUMMYFUNCTION("""COMPUTED_VALUE"""),"GL2509442")</f>
        <v>GL2509442</v>
      </c>
      <c r="R4320" s="57">
        <f>IFERROR(__xludf.DUMMYFUNCTION("""COMPUTED_VALUE"""),45887.0)</f>
        <v>45887</v>
      </c>
      <c r="S4320" s="57">
        <f>IFERROR(__xludf.DUMMYFUNCTION("""COMPUTED_VALUE"""),45889.0)</f>
        <v>45889</v>
      </c>
      <c r="T4320" s="57">
        <f>IFERROR(__xludf.DUMMYFUNCTION("""COMPUTED_VALUE"""),45954.0)</f>
        <v>45954</v>
      </c>
    </row>
    <row r="4321">
      <c r="A4321" s="6" t="str">
        <f>IFERROR(__xludf.DUMMYFUNCTION("""COMPUTED_VALUE"""),"121703122-2")</f>
        <v>121703122-2</v>
      </c>
      <c r="B4321" s="6" t="str">
        <f>IFERROR(__xludf.DUMMYFUNCTION("""COMPUTED_VALUE"""),"121703122 - APPROVED")</f>
        <v>121703122 - APPROVED</v>
      </c>
      <c r="C4321" s="6">
        <f>IFERROR(__xludf.DUMMYFUNCTION("""COMPUTED_VALUE"""),2.0)</f>
        <v>2</v>
      </c>
      <c r="D4321" s="6" t="str">
        <f>IFERROR(__xludf.DUMMYFUNCTION("""COMPUTED_VALUE"""),"T-20113-00")</f>
        <v>T-20113-00</v>
      </c>
      <c r="E4321" s="6" t="str">
        <f>IFERROR(__xludf.DUMMYFUNCTION("""COMPUTED_VALUE"""),"900 UV lamp; Sievers; P/N CARK35010-01; 1 pc")</f>
        <v>900 UV lamp; Sievers; P/N CARK35010-01; 1 pc</v>
      </c>
      <c r="F4321" s="6">
        <f>IFERROR(__xludf.DUMMYFUNCTION("""COMPUTED_VALUE"""),1.0)</f>
        <v>1</v>
      </c>
      <c r="G4321" s="6" t="str">
        <f>IFERROR(__xludf.DUMMYFUNCTION("""COMPUTED_VALUE"""),"Pieces")</f>
        <v>Pieces</v>
      </c>
      <c r="H4321" s="6" t="str">
        <f>IFERROR(__xludf.DUMMYFUNCTION("""COMPUTED_VALUE"""),"IDR")</f>
        <v>IDR</v>
      </c>
      <c r="I4321" s="6">
        <f>IFERROR(__xludf.DUMMYFUNCTION("""COMPUTED_VALUE"""),1.4896E7)</f>
        <v>14896000</v>
      </c>
      <c r="J4321" s="6">
        <f>IFERROR(__xludf.DUMMYFUNCTION("""COMPUTED_VALUE"""),1.4896E7)</f>
        <v>14896000</v>
      </c>
      <c r="K4321" s="57">
        <f>IFERROR(__xludf.DUMMYFUNCTION("""COMPUTED_VALUE"""),45954.0)</f>
        <v>45954</v>
      </c>
      <c r="L4321" s="6" t="str">
        <f>IFERROR(__xludf.DUMMYFUNCTION("""COMPUTED_VALUE"""),"FIP General")</f>
        <v>FIP General</v>
      </c>
      <c r="M4321" s="6" t="str">
        <f>IFERROR(__xludf.DUMMYFUNCTION("""COMPUTED_VALUE"""),"Mochammad Fadhillah Hakim,")</f>
        <v>Mochammad Fadhillah Hakim,</v>
      </c>
      <c r="N4321" s="6" t="str">
        <f>IFERROR(__xludf.DUMMYFUNCTION("""COMPUTED_VALUE"""),"FIP Engineering")</f>
        <v>FIP Engineering</v>
      </c>
      <c r="O4321" s="6" t="str">
        <f>IFERROR(__xludf.DUMMYFUNCTION("""COMPUTED_VALUE"""),"FIP-DOM-ENG-51505-0000000-INA-000000")</f>
        <v>FIP-DOM-ENG-51505-0000000-INA-000000</v>
      </c>
      <c r="P4321" s="6" t="str">
        <f>IFERROR(__xludf.DUMMYFUNCTION("""COMPUTED_VALUE"""),"PO Closed")</f>
        <v>PO Closed</v>
      </c>
      <c r="Q4321" s="6" t="str">
        <f>IFERROR(__xludf.DUMMYFUNCTION("""COMPUTED_VALUE"""),"GL2509442")</f>
        <v>GL2509442</v>
      </c>
      <c r="R4321" s="57">
        <f>IFERROR(__xludf.DUMMYFUNCTION("""COMPUTED_VALUE"""),45887.0)</f>
        <v>45887</v>
      </c>
      <c r="S4321" s="57">
        <f>IFERROR(__xludf.DUMMYFUNCTION("""COMPUTED_VALUE"""),45889.0)</f>
        <v>45889</v>
      </c>
      <c r="T4321" s="57">
        <f>IFERROR(__xludf.DUMMYFUNCTION("""COMPUTED_VALUE"""),45954.0)</f>
        <v>45954</v>
      </c>
    </row>
    <row r="4322">
      <c r="A4322" s="6" t="str">
        <f>IFERROR(__xludf.DUMMYFUNCTION("""COMPUTED_VALUE"""),"121703122-3")</f>
        <v>121703122-3</v>
      </c>
      <c r="B4322" s="6" t="str">
        <f>IFERROR(__xludf.DUMMYFUNCTION("""COMPUTED_VALUE"""),"121703122 - APPROVED")</f>
        <v>121703122 - APPROVED</v>
      </c>
      <c r="C4322" s="6">
        <f>IFERROR(__xludf.DUMMYFUNCTION("""COMPUTED_VALUE"""),3.0)</f>
        <v>3</v>
      </c>
      <c r="D4322" s="6" t="str">
        <f>IFERROR(__xludf.DUMMYFUNCTION("""COMPUTED_VALUE"""),"T-20112-00")</f>
        <v>T-20112-00</v>
      </c>
      <c r="E4322" s="6" t="str">
        <f>IFERROR(__xludf.DUMMYFUNCTION("""COMPUTED_VALUE"""),"900 Sample pump tubing; Sievers; P/N CATU 96200; 1 pc")</f>
        <v>900 Sample pump tubing; Sievers; P/N CATU 96200; 1 pc</v>
      </c>
      <c r="F4322" s="6">
        <f>IFERROR(__xludf.DUMMYFUNCTION("""COMPUTED_VALUE"""),1.0)</f>
        <v>1</v>
      </c>
      <c r="G4322" s="6" t="str">
        <f>IFERROR(__xludf.DUMMYFUNCTION("""COMPUTED_VALUE"""),"Pieces")</f>
        <v>Pieces</v>
      </c>
      <c r="H4322" s="6" t="str">
        <f>IFERROR(__xludf.DUMMYFUNCTION("""COMPUTED_VALUE"""),"IDR")</f>
        <v>IDR</v>
      </c>
      <c r="I4322" s="6">
        <f>IFERROR(__xludf.DUMMYFUNCTION("""COMPUTED_VALUE"""),3586250.0)</f>
        <v>3586250</v>
      </c>
      <c r="J4322" s="6">
        <f>IFERROR(__xludf.DUMMYFUNCTION("""COMPUTED_VALUE"""),3586250.0)</f>
        <v>3586250</v>
      </c>
      <c r="K4322" s="57">
        <f>IFERROR(__xludf.DUMMYFUNCTION("""COMPUTED_VALUE"""),45954.0)</f>
        <v>45954</v>
      </c>
      <c r="L4322" s="6" t="str">
        <f>IFERROR(__xludf.DUMMYFUNCTION("""COMPUTED_VALUE"""),"FIP General")</f>
        <v>FIP General</v>
      </c>
      <c r="M4322" s="6" t="str">
        <f>IFERROR(__xludf.DUMMYFUNCTION("""COMPUTED_VALUE"""),"Mochammad Fadhillah Hakim,")</f>
        <v>Mochammad Fadhillah Hakim,</v>
      </c>
      <c r="N4322" s="6" t="str">
        <f>IFERROR(__xludf.DUMMYFUNCTION("""COMPUTED_VALUE"""),"FIP Engineering")</f>
        <v>FIP Engineering</v>
      </c>
      <c r="O4322" s="6" t="str">
        <f>IFERROR(__xludf.DUMMYFUNCTION("""COMPUTED_VALUE"""),"FIP-DOM-ENG-51505-0000000-INA-000000")</f>
        <v>FIP-DOM-ENG-51505-0000000-INA-000000</v>
      </c>
      <c r="P4322" s="6" t="str">
        <f>IFERROR(__xludf.DUMMYFUNCTION("""COMPUTED_VALUE"""),"PO Closed")</f>
        <v>PO Closed</v>
      </c>
      <c r="Q4322" s="6" t="str">
        <f>IFERROR(__xludf.DUMMYFUNCTION("""COMPUTED_VALUE"""),"GL2509442")</f>
        <v>GL2509442</v>
      </c>
      <c r="R4322" s="57">
        <f>IFERROR(__xludf.DUMMYFUNCTION("""COMPUTED_VALUE"""),45887.0)</f>
        <v>45887</v>
      </c>
      <c r="S4322" s="57">
        <f>IFERROR(__xludf.DUMMYFUNCTION("""COMPUTED_VALUE"""),45889.0)</f>
        <v>45889</v>
      </c>
      <c r="T4322" s="57">
        <f>IFERROR(__xludf.DUMMYFUNCTION("""COMPUTED_VALUE"""),45954.0)</f>
        <v>45954</v>
      </c>
    </row>
    <row r="4323">
      <c r="A4323" s="6" t="str">
        <f>IFERROR(__xludf.DUMMYFUNCTION("""COMPUTED_VALUE"""),"121703123-1")</f>
        <v>121703123-1</v>
      </c>
      <c r="B4323" s="6" t="str">
        <f>IFERROR(__xludf.DUMMYFUNCTION("""COMPUTED_VALUE"""),"121703123 - APPROVED")</f>
        <v>121703123 - APPROVED</v>
      </c>
      <c r="C4323" s="6">
        <f>IFERROR(__xludf.DUMMYFUNCTION("""COMPUTED_VALUE"""),1.0)</f>
        <v>1</v>
      </c>
      <c r="D4323" s="6" t="str">
        <f>IFERROR(__xludf.DUMMYFUNCTION("""COMPUTED_VALUE"""),"Q-70169-00")</f>
        <v>Q-70169-00</v>
      </c>
      <c r="E4323" s="6" t="str">
        <f>IFERROR(__xludf.DUMMYFUNCTION("""COMPUTED_VALUE"""),"Kunci L Hex Key Stubby Uk. 1,5 - 10 mm; Tekiro; HK-ST1210 ; 9 pc/set")</f>
        <v>Kunci L Hex Key Stubby Uk. 1,5 - 10 mm; Tekiro; HK-ST1210 ; 9 pc/set</v>
      </c>
      <c r="F4323" s="6">
        <f>IFERROR(__xludf.DUMMYFUNCTION("""COMPUTED_VALUE"""),1.0)</f>
        <v>1</v>
      </c>
      <c r="G4323" s="6" t="str">
        <f>IFERROR(__xludf.DUMMYFUNCTION("""COMPUTED_VALUE"""),"Set")</f>
        <v>Set</v>
      </c>
      <c r="H4323" s="6" t="str">
        <f>IFERROR(__xludf.DUMMYFUNCTION("""COMPUTED_VALUE"""),"IDR")</f>
        <v>IDR</v>
      </c>
      <c r="I4323" s="6">
        <f>IFERROR(__xludf.DUMMYFUNCTION("""COMPUTED_VALUE"""),225000.0)</f>
        <v>225000</v>
      </c>
      <c r="J4323" s="6">
        <f>IFERROR(__xludf.DUMMYFUNCTION("""COMPUTED_VALUE"""),225000.0)</f>
        <v>225000</v>
      </c>
      <c r="K4323" s="57">
        <f>IFERROR(__xludf.DUMMYFUNCTION("""COMPUTED_VALUE"""),45919.0)</f>
        <v>45919</v>
      </c>
      <c r="L4323" s="6" t="str">
        <f>IFERROR(__xludf.DUMMYFUNCTION("""COMPUTED_VALUE"""),"FIP General")</f>
        <v>FIP General</v>
      </c>
      <c r="M4323" s="6" t="str">
        <f>IFERROR(__xludf.DUMMYFUNCTION("""COMPUTED_VALUE"""),"Mochammad Fadhillah Hakim,")</f>
        <v>Mochammad Fadhillah Hakim,</v>
      </c>
      <c r="N4323" s="6" t="str">
        <f>IFERROR(__xludf.DUMMYFUNCTION("""COMPUTED_VALUE"""),"FIP Engineering")</f>
        <v>FIP Engineering</v>
      </c>
      <c r="O4323" s="6" t="str">
        <f>IFERROR(__xludf.DUMMYFUNCTION("""COMPUTED_VALUE"""),"FIP-DOM-ENG-51404-0000000-INA-000000")</f>
        <v>FIP-DOM-ENG-51404-0000000-INA-000000</v>
      </c>
      <c r="P4323" s="6" t="str">
        <f>IFERROR(__xludf.DUMMYFUNCTION("""COMPUTED_VALUE"""),"PO Closed")</f>
        <v>PO Closed</v>
      </c>
      <c r="Q4323" s="6" t="str">
        <f>IFERROR(__xludf.DUMMYFUNCTION("""COMPUTED_VALUE"""),"GL2509029")</f>
        <v>GL2509029</v>
      </c>
      <c r="R4323" s="57">
        <f>IFERROR(__xludf.DUMMYFUNCTION("""COMPUTED_VALUE"""),45887.0)</f>
        <v>45887</v>
      </c>
      <c r="S4323" s="57">
        <f>IFERROR(__xludf.DUMMYFUNCTION("""COMPUTED_VALUE"""),45889.0)</f>
        <v>45889</v>
      </c>
      <c r="T4323" s="57">
        <f>IFERROR(__xludf.DUMMYFUNCTION("""COMPUTED_VALUE"""),45925.0)</f>
        <v>45925</v>
      </c>
    </row>
    <row r="4324">
      <c r="A4324" s="6" t="str">
        <f>IFERROR(__xludf.DUMMYFUNCTION("""COMPUTED_VALUE"""),"121703127-1")</f>
        <v>121703127-1</v>
      </c>
      <c r="B4324" s="6" t="str">
        <f>IFERROR(__xludf.DUMMYFUNCTION("""COMPUTED_VALUE"""),"121703127 - APPROVED")</f>
        <v>121703127 - APPROVED</v>
      </c>
      <c r="C4324" s="6">
        <f>IFERROR(__xludf.DUMMYFUNCTION("""COMPUTED_VALUE"""),1.0)</f>
        <v>1</v>
      </c>
      <c r="D4324" s="6" t="str">
        <f>IFERROR(__xludf.DUMMYFUNCTION("""COMPUTED_VALUE"""),"P-50495-00")</f>
        <v>P-50495-00</v>
      </c>
      <c r="E4324" s="6" t="str">
        <f>IFERROR(__xludf.DUMMYFUNCTION("""COMPUTED_VALUE"""),"Relay / RXM 2AB2P7 / 230 V / 50-60 Hz / 12 A / 250 VAC")</f>
        <v>Relay / RXM 2AB2P7 / 230 V / 50-60 Hz / 12 A / 250 VAC</v>
      </c>
      <c r="F4324" s="6">
        <f>IFERROR(__xludf.DUMMYFUNCTION("""COMPUTED_VALUE"""),5.0)</f>
        <v>5</v>
      </c>
      <c r="G4324" s="6" t="str">
        <f>IFERROR(__xludf.DUMMYFUNCTION("""COMPUTED_VALUE"""),"Pieces")</f>
        <v>Pieces</v>
      </c>
      <c r="H4324" s="6" t="str">
        <f>IFERROR(__xludf.DUMMYFUNCTION("""COMPUTED_VALUE"""),"IDR")</f>
        <v>IDR</v>
      </c>
      <c r="I4324" s="6">
        <f>IFERROR(__xludf.DUMMYFUNCTION("""COMPUTED_VALUE"""),100000.0)</f>
        <v>100000</v>
      </c>
      <c r="J4324" s="6">
        <f>IFERROR(__xludf.DUMMYFUNCTION("""COMPUTED_VALUE"""),500000.0)</f>
        <v>500000</v>
      </c>
      <c r="K4324" s="57">
        <f>IFERROR(__xludf.DUMMYFUNCTION("""COMPUTED_VALUE"""),45919.0)</f>
        <v>45919</v>
      </c>
      <c r="L4324" s="6" t="str">
        <f>IFERROR(__xludf.DUMMYFUNCTION("""COMPUTED_VALUE"""),"FIP Engineering")</f>
        <v>FIP Engineering</v>
      </c>
      <c r="M4324" s="6" t="str">
        <f>IFERROR(__xludf.DUMMYFUNCTION("""COMPUTED_VALUE"""),"Mochammad Fadhillah Hakim,")</f>
        <v>Mochammad Fadhillah Hakim,</v>
      </c>
      <c r="N4324" s="6" t="str">
        <f>IFERROR(__xludf.DUMMYFUNCTION("""COMPUTED_VALUE"""),"FIP Engineering")</f>
        <v>FIP Engineering</v>
      </c>
      <c r="O4324" s="6" t="str">
        <f>IFERROR(__xludf.DUMMYFUNCTION("""COMPUTED_VALUE"""),"FIP-DOM-000-11304-OS00001-INA-000000")</f>
        <v>FIP-DOM-000-11304-OS00001-INA-000000</v>
      </c>
      <c r="P4324" s="6" t="str">
        <f>IFERROR(__xludf.DUMMYFUNCTION("""COMPUTED_VALUE"""),"PO Closed")</f>
        <v>PO Closed</v>
      </c>
      <c r="Q4324" s="6" t="str">
        <f>IFERROR(__xludf.DUMMYFUNCTION("""COMPUTED_VALUE"""),"GL2509023")</f>
        <v>GL2509023</v>
      </c>
      <c r="R4324" s="57">
        <f>IFERROR(__xludf.DUMMYFUNCTION("""COMPUTED_VALUE"""),45888.0)</f>
        <v>45888</v>
      </c>
      <c r="S4324" s="57">
        <f>IFERROR(__xludf.DUMMYFUNCTION("""COMPUTED_VALUE"""),45889.0)</f>
        <v>45889</v>
      </c>
      <c r="T4324" s="57">
        <f>IFERROR(__xludf.DUMMYFUNCTION("""COMPUTED_VALUE"""),45926.0)</f>
        <v>45926</v>
      </c>
    </row>
    <row r="4325">
      <c r="A4325" s="6" t="str">
        <f>IFERROR(__xludf.DUMMYFUNCTION("""COMPUTED_VALUE"""),"121703130-1")</f>
        <v>121703130-1</v>
      </c>
      <c r="B4325" s="6" t="str">
        <f>IFERROR(__xludf.DUMMYFUNCTION("""COMPUTED_VALUE"""),"121703130 - APPROVED")</f>
        <v>121703130 - APPROVED</v>
      </c>
      <c r="C4325" s="6">
        <f>IFERROR(__xludf.DUMMYFUNCTION("""COMPUTED_VALUE"""),1.0)</f>
        <v>1</v>
      </c>
      <c r="D4325" s="6" t="str">
        <f>IFERROR(__xludf.DUMMYFUNCTION("""COMPUTED_VALUE"""),"O-16752-00")</f>
        <v>O-16752-00</v>
      </c>
      <c r="E4325" s="6" t="str">
        <f>IFERROR(__xludf.DUMMYFUNCTION("""COMPUTED_VALUE"""),"Marchesini FB220-PN. 7301604 MODULE,E.DOT+, 0,35MM NOZZLE  Nordson; Nordson; ;")</f>
        <v>Marchesini FB220-PN. 7301604 MODULE,E.DOT+, 0,35MM NOZZLE  Nordson; Nordson; ;</v>
      </c>
      <c r="F4325" s="6">
        <f>IFERROR(__xludf.DUMMYFUNCTION("""COMPUTED_VALUE"""),1.0)</f>
        <v>1</v>
      </c>
      <c r="G4325" s="6" t="str">
        <f>IFERROR(__xludf.DUMMYFUNCTION("""COMPUTED_VALUE"""),"Pieces")</f>
        <v>Pieces</v>
      </c>
      <c r="H4325" s="6" t="str">
        <f>IFERROR(__xludf.DUMMYFUNCTION("""COMPUTED_VALUE"""),"IDR")</f>
        <v>IDR</v>
      </c>
      <c r="I4325" s="6">
        <f>IFERROR(__xludf.DUMMYFUNCTION("""COMPUTED_VALUE"""),3.72613E7)</f>
        <v>37261300</v>
      </c>
      <c r="J4325" s="6">
        <f>IFERROR(__xludf.DUMMYFUNCTION("""COMPUTED_VALUE"""),3.72613E7)</f>
        <v>37261300</v>
      </c>
      <c r="K4325" s="57">
        <f>IFERROR(__xludf.DUMMYFUNCTION("""COMPUTED_VALUE"""),45891.0)</f>
        <v>45891</v>
      </c>
      <c r="L4325" s="6" t="str">
        <f>IFERROR(__xludf.DUMMYFUNCTION("""COMPUTED_VALUE"""),"FIP Engineering")</f>
        <v>FIP Engineering</v>
      </c>
      <c r="M4325" s="6" t="str">
        <f>IFERROR(__xludf.DUMMYFUNCTION("""COMPUTED_VALUE"""),"Mochammad Fadhillah Hakim,")</f>
        <v>Mochammad Fadhillah Hakim,</v>
      </c>
      <c r="N4325" s="6" t="str">
        <f>IFERROR(__xludf.DUMMYFUNCTION("""COMPUTED_VALUE"""),"FIP Engineering")</f>
        <v>FIP Engineering</v>
      </c>
      <c r="O4325" s="6" t="str">
        <f>IFERROR(__xludf.DUMMYFUNCTION("""COMPUTED_VALUE"""),"FIP-DOM-000-11304-OS00001-INA-000000")</f>
        <v>FIP-DOM-000-11304-OS00001-INA-000000</v>
      </c>
      <c r="P4325" s="6" t="str">
        <f>IFERROR(__xludf.DUMMYFUNCTION("""COMPUTED_VALUE"""),"PO Closed")</f>
        <v>PO Closed</v>
      </c>
      <c r="Q4325" s="6" t="str">
        <f>IFERROR(__xludf.DUMMYFUNCTION("""COMPUTED_VALUE"""),"GL2509452")</f>
        <v>GL2509452</v>
      </c>
      <c r="R4325" s="57">
        <f>IFERROR(__xludf.DUMMYFUNCTION("""COMPUTED_VALUE"""),45888.0)</f>
        <v>45888</v>
      </c>
      <c r="S4325" s="57">
        <f>IFERROR(__xludf.DUMMYFUNCTION("""COMPUTED_VALUE"""),45890.0)</f>
        <v>45890</v>
      </c>
      <c r="T4325" s="57">
        <f>IFERROR(__xludf.DUMMYFUNCTION("""COMPUTED_VALUE"""),45952.0)</f>
        <v>45952</v>
      </c>
    </row>
    <row r="4326">
      <c r="A4326" s="6" t="str">
        <f>IFERROR(__xludf.DUMMYFUNCTION("""COMPUTED_VALUE"""),"121703131-1")</f>
        <v>121703131-1</v>
      </c>
      <c r="B4326" s="6" t="str">
        <f>IFERROR(__xludf.DUMMYFUNCTION("""COMPUTED_VALUE"""),"121703131 - APPROVED")</f>
        <v>121703131 - APPROVED</v>
      </c>
      <c r="C4326" s="6">
        <f>IFERROR(__xludf.DUMMYFUNCTION("""COMPUTED_VALUE"""),1.0)</f>
        <v>1</v>
      </c>
      <c r="D4326" s="6" t="str">
        <f>IFERROR(__xludf.DUMMYFUNCTION("""COMPUTED_VALUE"""),"S-60002-00")</f>
        <v>S-60002-00</v>
      </c>
      <c r="E4326" s="6" t="str">
        <f>IFERROR(__xludf.DUMMYFUNCTION("""COMPUTED_VALUE"""),"Jasa Perbaikan dan Pemeliharaan Mesin Utility - Penggantian BIBO")</f>
        <v>Jasa Perbaikan dan Pemeliharaan Mesin Utility - Penggantian BIBO</v>
      </c>
      <c r="F4326" s="6">
        <f>IFERROR(__xludf.DUMMYFUNCTION("""COMPUTED_VALUE"""),1.0)</f>
        <v>1</v>
      </c>
      <c r="G4326" s="6" t="str">
        <f>IFERROR(__xludf.DUMMYFUNCTION("""COMPUTED_VALUE"""),"Lot")</f>
        <v>Lot</v>
      </c>
      <c r="H4326" s="6" t="str">
        <f>IFERROR(__xludf.DUMMYFUNCTION("""COMPUTED_VALUE"""),"IDR")</f>
        <v>IDR</v>
      </c>
      <c r="I4326" s="6">
        <f>IFERROR(__xludf.DUMMYFUNCTION("""COMPUTED_VALUE"""),2.7E7)</f>
        <v>27000000</v>
      </c>
      <c r="J4326" s="6">
        <f>IFERROR(__xludf.DUMMYFUNCTION("""COMPUTED_VALUE"""),2.7E7)</f>
        <v>27000000</v>
      </c>
      <c r="K4326" s="57">
        <f>IFERROR(__xludf.DUMMYFUNCTION("""COMPUTED_VALUE"""),45898.0)</f>
        <v>45898</v>
      </c>
      <c r="L4326" s="6" t="str">
        <f>IFERROR(__xludf.DUMMYFUNCTION("""COMPUTED_VALUE"""),"FIP General")</f>
        <v>FIP General</v>
      </c>
      <c r="M4326" s="6" t="str">
        <f>IFERROR(__xludf.DUMMYFUNCTION("""COMPUTED_VALUE"""),"Mochammad Fadhillah Hakim,")</f>
        <v>Mochammad Fadhillah Hakim,</v>
      </c>
      <c r="N4326" s="6" t="str">
        <f>IFERROR(__xludf.DUMMYFUNCTION("""COMPUTED_VALUE"""),"FIP Engineering")</f>
        <v>FIP Engineering</v>
      </c>
      <c r="O4326" s="6" t="str">
        <f>IFERROR(__xludf.DUMMYFUNCTION("""COMPUTED_VALUE"""),"FIP-DOM-ENG-51508-0000000-INA-000000")</f>
        <v>FIP-DOM-ENG-51508-0000000-INA-000000</v>
      </c>
      <c r="P4326" s="6" t="str">
        <f>IFERROR(__xludf.DUMMYFUNCTION("""COMPUTED_VALUE"""),"PO Closed")</f>
        <v>PO Closed</v>
      </c>
      <c r="Q4326" s="6" t="str">
        <f>IFERROR(__xludf.DUMMYFUNCTION("""COMPUTED_VALUE"""),"GL2509007")</f>
        <v>GL2509007</v>
      </c>
      <c r="R4326" s="57">
        <f>IFERROR(__xludf.DUMMYFUNCTION("""COMPUTED_VALUE"""),45888.0)</f>
        <v>45888</v>
      </c>
      <c r="S4326" s="57">
        <f>IFERROR(__xludf.DUMMYFUNCTION("""COMPUTED_VALUE"""),45889.0)</f>
        <v>45889</v>
      </c>
      <c r="T4326" s="57">
        <f>IFERROR(__xludf.DUMMYFUNCTION("""COMPUTED_VALUE"""),45950.0)</f>
        <v>45950</v>
      </c>
    </row>
    <row r="4327">
      <c r="A4327" s="6" t="str">
        <f>IFERROR(__xludf.DUMMYFUNCTION("""COMPUTED_VALUE"""),"121703132-1")</f>
        <v>121703132-1</v>
      </c>
      <c r="B4327" s="6" t="str">
        <f>IFERROR(__xludf.DUMMYFUNCTION("""COMPUTED_VALUE"""),"121703132 - APPROVED")</f>
        <v>121703132 - APPROVED</v>
      </c>
      <c r="C4327" s="6">
        <f>IFERROR(__xludf.DUMMYFUNCTION("""COMPUTED_VALUE"""),1.0)</f>
        <v>1</v>
      </c>
      <c r="D4327" s="6" t="str">
        <f>IFERROR(__xludf.DUMMYFUNCTION("""COMPUTED_VALUE"""),"P-50562-00")</f>
        <v>P-50562-00</v>
      </c>
      <c r="E4327" s="6" t="str">
        <f>IFERROR(__xludf.DUMMYFUNCTION("""COMPUTED_VALUE"""),"Socket Relay PF083A-E; Omron; PF083A; 1 pieces")</f>
        <v>Socket Relay PF083A-E; Omron; PF083A; 1 pieces</v>
      </c>
      <c r="F4327" s="6">
        <f>IFERROR(__xludf.DUMMYFUNCTION("""COMPUTED_VALUE"""),5.0)</f>
        <v>5</v>
      </c>
      <c r="G4327" s="6" t="str">
        <f>IFERROR(__xludf.DUMMYFUNCTION("""COMPUTED_VALUE"""),"Pieces")</f>
        <v>Pieces</v>
      </c>
      <c r="H4327" s="6" t="str">
        <f>IFERROR(__xludf.DUMMYFUNCTION("""COMPUTED_VALUE"""),"IDR")</f>
        <v>IDR</v>
      </c>
      <c r="I4327" s="6">
        <f>IFERROR(__xludf.DUMMYFUNCTION("""COMPUTED_VALUE"""),21000.0)</f>
        <v>21000</v>
      </c>
      <c r="J4327" s="6">
        <f>IFERROR(__xludf.DUMMYFUNCTION("""COMPUTED_VALUE"""),105000.0)</f>
        <v>105000</v>
      </c>
      <c r="K4327" s="57">
        <f>IFERROR(__xludf.DUMMYFUNCTION("""COMPUTED_VALUE"""),45926.0)</f>
        <v>45926</v>
      </c>
      <c r="L4327" s="6" t="str">
        <f>IFERROR(__xludf.DUMMYFUNCTION("""COMPUTED_VALUE"""),"FIP Engineering")</f>
        <v>FIP Engineering</v>
      </c>
      <c r="M4327" s="6" t="str">
        <f>IFERROR(__xludf.DUMMYFUNCTION("""COMPUTED_VALUE"""),"Mochammad Fadhillah Hakim,")</f>
        <v>Mochammad Fadhillah Hakim,</v>
      </c>
      <c r="N4327" s="6" t="str">
        <f>IFERROR(__xludf.DUMMYFUNCTION("""COMPUTED_VALUE"""),"FIP Engineering")</f>
        <v>FIP Engineering</v>
      </c>
      <c r="O4327" s="6" t="str">
        <f>IFERROR(__xludf.DUMMYFUNCTION("""COMPUTED_VALUE"""),"FIP-DOM-000-11304-OS00001-INA-000000")</f>
        <v>FIP-DOM-000-11304-OS00001-INA-000000</v>
      </c>
      <c r="P4327" s="6" t="str">
        <f>IFERROR(__xludf.DUMMYFUNCTION("""COMPUTED_VALUE"""),"PO Closed")</f>
        <v>PO Closed</v>
      </c>
      <c r="Q4327" s="6" t="str">
        <f>IFERROR(__xludf.DUMMYFUNCTION("""COMPUTED_VALUE"""),"GL2509010")</f>
        <v>GL2509010</v>
      </c>
      <c r="R4327" s="57">
        <f>IFERROR(__xludf.DUMMYFUNCTION("""COMPUTED_VALUE"""),45889.0)</f>
        <v>45889</v>
      </c>
      <c r="S4327" s="57">
        <f>IFERROR(__xludf.DUMMYFUNCTION("""COMPUTED_VALUE"""),45889.0)</f>
        <v>45889</v>
      </c>
      <c r="T4327" s="57">
        <f>IFERROR(__xludf.DUMMYFUNCTION("""COMPUTED_VALUE"""),45926.0)</f>
        <v>45926</v>
      </c>
    </row>
    <row r="4328">
      <c r="A4328" s="6" t="str">
        <f>IFERROR(__xludf.DUMMYFUNCTION("""COMPUTED_VALUE"""),"121703132-2")</f>
        <v>121703132-2</v>
      </c>
      <c r="B4328" s="6" t="str">
        <f>IFERROR(__xludf.DUMMYFUNCTION("""COMPUTED_VALUE"""),"121703132 - APPROVED")</f>
        <v>121703132 - APPROVED</v>
      </c>
      <c r="C4328" s="6">
        <f>IFERROR(__xludf.DUMMYFUNCTION("""COMPUTED_VALUE"""),2.0)</f>
        <v>2</v>
      </c>
      <c r="D4328" s="6" t="str">
        <f>IFERROR(__xludf.DUMMYFUNCTION("""COMPUTED_VALUE"""),"P-50633-00")</f>
        <v>P-50633-00</v>
      </c>
      <c r="E4328" s="6" t="str">
        <f>IFERROR(__xludf.DUMMYFUNCTION("""COMPUTED_VALUE"""),"General - Timer AC100-240/DC100-125; Omron ; H3CR - A8; 1 pc")</f>
        <v>General - Timer AC100-240/DC100-125; Omron ; H3CR - A8; 1 pc</v>
      </c>
      <c r="F4328" s="6">
        <f>IFERROR(__xludf.DUMMYFUNCTION("""COMPUTED_VALUE"""),5.0)</f>
        <v>5</v>
      </c>
      <c r="G4328" s="6" t="str">
        <f>IFERROR(__xludf.DUMMYFUNCTION("""COMPUTED_VALUE"""),"Pieces")</f>
        <v>Pieces</v>
      </c>
      <c r="H4328" s="6" t="str">
        <f>IFERROR(__xludf.DUMMYFUNCTION("""COMPUTED_VALUE"""),"IDR")</f>
        <v>IDR</v>
      </c>
      <c r="I4328" s="6">
        <f>IFERROR(__xludf.DUMMYFUNCTION("""COMPUTED_VALUE"""),198000.0)</f>
        <v>198000</v>
      </c>
      <c r="J4328" s="6">
        <f>IFERROR(__xludf.DUMMYFUNCTION("""COMPUTED_VALUE"""),990000.0)</f>
        <v>990000</v>
      </c>
      <c r="K4328" s="57">
        <f>IFERROR(__xludf.DUMMYFUNCTION("""COMPUTED_VALUE"""),45926.0)</f>
        <v>45926</v>
      </c>
      <c r="L4328" s="6" t="str">
        <f>IFERROR(__xludf.DUMMYFUNCTION("""COMPUTED_VALUE"""),"FIP Engineering")</f>
        <v>FIP Engineering</v>
      </c>
      <c r="M4328" s="6" t="str">
        <f>IFERROR(__xludf.DUMMYFUNCTION("""COMPUTED_VALUE"""),"Mochammad Fadhillah Hakim,")</f>
        <v>Mochammad Fadhillah Hakim,</v>
      </c>
      <c r="N4328" s="6" t="str">
        <f>IFERROR(__xludf.DUMMYFUNCTION("""COMPUTED_VALUE"""),"FIP Engineering")</f>
        <v>FIP Engineering</v>
      </c>
      <c r="O4328" s="6" t="str">
        <f>IFERROR(__xludf.DUMMYFUNCTION("""COMPUTED_VALUE"""),"FIP-DOM-000-11304-OS00001-INA-000000")</f>
        <v>FIP-DOM-000-11304-OS00001-INA-000000</v>
      </c>
      <c r="P4328" s="6" t="str">
        <f>IFERROR(__xludf.DUMMYFUNCTION("""COMPUTED_VALUE"""),"PO Closed")</f>
        <v>PO Closed</v>
      </c>
      <c r="Q4328" s="6" t="str">
        <f>IFERROR(__xludf.DUMMYFUNCTION("""COMPUTED_VALUE"""),"GL2509010")</f>
        <v>GL2509010</v>
      </c>
      <c r="R4328" s="57">
        <f>IFERROR(__xludf.DUMMYFUNCTION("""COMPUTED_VALUE"""),45889.0)</f>
        <v>45889</v>
      </c>
      <c r="S4328" s="57">
        <f>IFERROR(__xludf.DUMMYFUNCTION("""COMPUTED_VALUE"""),45889.0)</f>
        <v>45889</v>
      </c>
      <c r="T4328" s="57">
        <f>IFERROR(__xludf.DUMMYFUNCTION("""COMPUTED_VALUE"""),45926.0)</f>
        <v>45926</v>
      </c>
    </row>
    <row r="4329">
      <c r="A4329" s="6" t="str">
        <f>IFERROR(__xludf.DUMMYFUNCTION("""COMPUTED_VALUE"""),"121703133-1")</f>
        <v>121703133-1</v>
      </c>
      <c r="B4329" s="6" t="str">
        <f>IFERROR(__xludf.DUMMYFUNCTION("""COMPUTED_VALUE"""),"121703133 - APPROVED")</f>
        <v>121703133 - APPROVED</v>
      </c>
      <c r="C4329" s="6">
        <f>IFERROR(__xludf.DUMMYFUNCTION("""COMPUTED_VALUE"""),1.0)</f>
        <v>1</v>
      </c>
      <c r="D4329" s="6" t="str">
        <f>IFERROR(__xludf.DUMMYFUNCTION("""COMPUTED_VALUE"""),"T-12301-00")</f>
        <v>T-12301-00</v>
      </c>
      <c r="E4329" s="6" t="str">
        <f>IFERROR(__xludf.DUMMYFUNCTION("""COMPUTED_VALUE"""),"USB HUB 4 Port 3.0.2.0 High Speed Power Adapter OTG - CHM 2.0 0,5m; Vention; ;")</f>
        <v>USB HUB 4 Port 3.0.2.0 High Speed Power Adapter OTG - CHM 2.0 0,5m; Vention; ;</v>
      </c>
      <c r="F4329" s="6">
        <f>IFERROR(__xludf.DUMMYFUNCTION("""COMPUTED_VALUE"""),2.0)</f>
        <v>2</v>
      </c>
      <c r="G4329" s="6" t="str">
        <f>IFERROR(__xludf.DUMMYFUNCTION("""COMPUTED_VALUE"""),"Pieces")</f>
        <v>Pieces</v>
      </c>
      <c r="H4329" s="6" t="str">
        <f>IFERROR(__xludf.DUMMYFUNCTION("""COMPUTED_VALUE"""),"IDR")</f>
        <v>IDR</v>
      </c>
      <c r="I4329" s="6">
        <f>IFERROR(__xludf.DUMMYFUNCTION("""COMPUTED_VALUE"""),137200.0)</f>
        <v>137200</v>
      </c>
      <c r="J4329" s="6">
        <f>IFERROR(__xludf.DUMMYFUNCTION("""COMPUTED_VALUE"""),274400.0)</f>
        <v>274400</v>
      </c>
      <c r="K4329" s="57">
        <f>IFERROR(__xludf.DUMMYFUNCTION("""COMPUTED_VALUE"""),45926.0)</f>
        <v>45926</v>
      </c>
      <c r="L4329" s="6" t="str">
        <f>IFERROR(__xludf.DUMMYFUNCTION("""COMPUTED_VALUE"""),"FIP General")</f>
        <v>FIP General</v>
      </c>
      <c r="M4329" s="6" t="str">
        <f>IFERROR(__xludf.DUMMYFUNCTION("""COMPUTED_VALUE"""),"Mochammad Fadhillah Hakim,")</f>
        <v>Mochammad Fadhillah Hakim,</v>
      </c>
      <c r="N4329" s="6" t="str">
        <f>IFERROR(__xludf.DUMMYFUNCTION("""COMPUTED_VALUE"""),"FIP Engineering")</f>
        <v>FIP Engineering</v>
      </c>
      <c r="O4329" s="6" t="str">
        <f>IFERROR(__xludf.DUMMYFUNCTION("""COMPUTED_VALUE"""),"FIP-DOM-ENG-51502-0000000-INA-000000")</f>
        <v>FIP-DOM-ENG-51502-0000000-INA-000000</v>
      </c>
      <c r="P4329" s="6" t="str">
        <f>IFERROR(__xludf.DUMMYFUNCTION("""COMPUTED_VALUE"""),"PO Closed")</f>
        <v>PO Closed</v>
      </c>
      <c r="Q4329" s="6" t="str">
        <f>IFERROR(__xludf.DUMMYFUNCTION("""COMPUTED_VALUE"""),"GL2509045")</f>
        <v>GL2509045</v>
      </c>
      <c r="R4329" s="57">
        <f>IFERROR(__xludf.DUMMYFUNCTION("""COMPUTED_VALUE"""),45889.0)</f>
        <v>45889</v>
      </c>
      <c r="S4329" s="57">
        <f>IFERROR(__xludf.DUMMYFUNCTION("""COMPUTED_VALUE"""),45890.0)</f>
        <v>45890</v>
      </c>
      <c r="T4329" s="57">
        <f>IFERROR(__xludf.DUMMYFUNCTION("""COMPUTED_VALUE"""),45937.0)</f>
        <v>45937</v>
      </c>
    </row>
    <row r="4330">
      <c r="A4330" s="6" t="str">
        <f>IFERROR(__xludf.DUMMYFUNCTION("""COMPUTED_VALUE"""),"121703134-1")</f>
        <v>121703134-1</v>
      </c>
      <c r="B4330" s="6" t="str">
        <f>IFERROR(__xludf.DUMMYFUNCTION("""COMPUTED_VALUE"""),"121703134 - APPROVED")</f>
        <v>121703134 - APPROVED</v>
      </c>
      <c r="C4330" s="6">
        <f>IFERROR(__xludf.DUMMYFUNCTION("""COMPUTED_VALUE"""),1.0)</f>
        <v>1</v>
      </c>
      <c r="D4330" s="6" t="str">
        <f>IFERROR(__xludf.DUMMYFUNCTION("""COMPUTED_VALUE"""),"P-11169-00")</f>
        <v>P-11169-00</v>
      </c>
      <c r="E4330" s="6" t="str">
        <f>IFERROR(__xludf.DUMMYFUNCTION("""COMPUTED_VALUE"""),"General - Push-in Fitting, QS-1/4-6; Festo; 153003; 1 pcs")</f>
        <v>General - Push-in Fitting, QS-1/4-6; Festo; 153003; 1 pcs</v>
      </c>
      <c r="F4330" s="6">
        <f>IFERROR(__xludf.DUMMYFUNCTION("""COMPUTED_VALUE"""),10.0)</f>
        <v>10</v>
      </c>
      <c r="G4330" s="6" t="str">
        <f>IFERROR(__xludf.DUMMYFUNCTION("""COMPUTED_VALUE"""),"Pieces")</f>
        <v>Pieces</v>
      </c>
      <c r="H4330" s="6" t="str">
        <f>IFERROR(__xludf.DUMMYFUNCTION("""COMPUTED_VALUE"""),"IDR")</f>
        <v>IDR</v>
      </c>
      <c r="I4330" s="6">
        <f>IFERROR(__xludf.DUMMYFUNCTION("""COMPUTED_VALUE"""),29414.0)</f>
        <v>29414</v>
      </c>
      <c r="J4330" s="6">
        <f>IFERROR(__xludf.DUMMYFUNCTION("""COMPUTED_VALUE"""),294140.0)</f>
        <v>294140</v>
      </c>
      <c r="K4330" s="57">
        <f>IFERROR(__xludf.DUMMYFUNCTION("""COMPUTED_VALUE"""),45926.0)</f>
        <v>45926</v>
      </c>
      <c r="L4330" s="6" t="str">
        <f>IFERROR(__xludf.DUMMYFUNCTION("""COMPUTED_VALUE"""),"FIP Engineering")</f>
        <v>FIP Engineering</v>
      </c>
      <c r="M4330" s="6" t="str">
        <f>IFERROR(__xludf.DUMMYFUNCTION("""COMPUTED_VALUE"""),"Mochammad Fadhillah Hakim,")</f>
        <v>Mochammad Fadhillah Hakim,</v>
      </c>
      <c r="N4330" s="6" t="str">
        <f>IFERROR(__xludf.DUMMYFUNCTION("""COMPUTED_VALUE"""),"FIP Engineering")</f>
        <v>FIP Engineering</v>
      </c>
      <c r="O4330" s="6" t="str">
        <f>IFERROR(__xludf.DUMMYFUNCTION("""COMPUTED_VALUE"""),"FIP-DOM-000-11304-OS00001-INA-000000")</f>
        <v>FIP-DOM-000-11304-OS00001-INA-000000</v>
      </c>
      <c r="P4330" s="6" t="str">
        <f>IFERROR(__xludf.DUMMYFUNCTION("""COMPUTED_VALUE"""),"PO Closed")</f>
        <v>PO Closed</v>
      </c>
      <c r="Q4330" s="6" t="str">
        <f>IFERROR(__xludf.DUMMYFUNCTION("""COMPUTED_VALUE"""),"GL2509447")</f>
        <v>GL2509447</v>
      </c>
      <c r="R4330" s="57">
        <f>IFERROR(__xludf.DUMMYFUNCTION("""COMPUTED_VALUE"""),45889.0)</f>
        <v>45889</v>
      </c>
      <c r="S4330" s="57">
        <f>IFERROR(__xludf.DUMMYFUNCTION("""COMPUTED_VALUE"""),45889.0)</f>
        <v>45889</v>
      </c>
      <c r="T4330" s="57">
        <f>IFERROR(__xludf.DUMMYFUNCTION("""COMPUTED_VALUE"""),45926.0)</f>
        <v>45926</v>
      </c>
    </row>
    <row r="4331">
      <c r="A4331" s="6" t="str">
        <f>IFERROR(__xludf.DUMMYFUNCTION("""COMPUTED_VALUE"""),"121703135-1")</f>
        <v>121703135-1</v>
      </c>
      <c r="B4331" s="6" t="str">
        <f>IFERROR(__xludf.DUMMYFUNCTION("""COMPUTED_VALUE"""),"121703135 - APPROVED")</f>
        <v>121703135 - APPROVED</v>
      </c>
      <c r="C4331" s="6">
        <f>IFERROR(__xludf.DUMMYFUNCTION("""COMPUTED_VALUE"""),1.0)</f>
        <v>1</v>
      </c>
      <c r="D4331" s="6" t="str">
        <f>IFERROR(__xludf.DUMMYFUNCTION("""COMPUTED_VALUE"""),"P-51793-00")</f>
        <v>P-51793-00</v>
      </c>
      <c r="E4331" s="6" t="str">
        <f>IFERROR(__xludf.DUMMYFUNCTION("""COMPUTED_VALUE"""),"Junction Box 20x30x15 cm; ; ;")</f>
        <v>Junction Box 20x30x15 cm; ; ;</v>
      </c>
      <c r="F4331" s="6">
        <f>IFERROR(__xludf.DUMMYFUNCTION("""COMPUTED_VALUE"""),1.0)</f>
        <v>1</v>
      </c>
      <c r="G4331" s="6" t="str">
        <f>IFERROR(__xludf.DUMMYFUNCTION("""COMPUTED_VALUE"""),"Pieces")</f>
        <v>Pieces</v>
      </c>
      <c r="H4331" s="6" t="str">
        <f>IFERROR(__xludf.DUMMYFUNCTION("""COMPUTED_VALUE"""),"IDR")</f>
        <v>IDR</v>
      </c>
      <c r="I4331" s="6">
        <f>IFERROR(__xludf.DUMMYFUNCTION("""COMPUTED_VALUE"""),198000.0)</f>
        <v>198000</v>
      </c>
      <c r="J4331" s="6">
        <f>IFERROR(__xludf.DUMMYFUNCTION("""COMPUTED_VALUE"""),198000.0)</f>
        <v>198000</v>
      </c>
      <c r="K4331" s="57">
        <f>IFERROR(__xludf.DUMMYFUNCTION("""COMPUTED_VALUE"""),45926.0)</f>
        <v>45926</v>
      </c>
      <c r="L4331" s="6" t="str">
        <f>IFERROR(__xludf.DUMMYFUNCTION("""COMPUTED_VALUE"""),"FIP General")</f>
        <v>FIP General</v>
      </c>
      <c r="M4331" s="6" t="str">
        <f>IFERROR(__xludf.DUMMYFUNCTION("""COMPUTED_VALUE"""),"Mochammad Fadhillah Hakim,")</f>
        <v>Mochammad Fadhillah Hakim,</v>
      </c>
      <c r="N4331" s="6" t="str">
        <f>IFERROR(__xludf.DUMMYFUNCTION("""COMPUTED_VALUE"""),"FIP Engineering")</f>
        <v>FIP Engineering</v>
      </c>
      <c r="O4331" s="6" t="str">
        <f>IFERROR(__xludf.DUMMYFUNCTION("""COMPUTED_VALUE"""),"FIP-DOM-ENG-51404-0000000-INA-000000")</f>
        <v>FIP-DOM-ENG-51404-0000000-INA-000000</v>
      </c>
      <c r="P4331" s="6" t="str">
        <f>IFERROR(__xludf.DUMMYFUNCTION("""COMPUTED_VALUE"""),"PO Closed")</f>
        <v>PO Closed</v>
      </c>
      <c r="Q4331" s="6" t="str">
        <f>IFERROR(__xludf.DUMMYFUNCTION("""COMPUTED_VALUE"""),"GL2509023")</f>
        <v>GL2509023</v>
      </c>
      <c r="R4331" s="57">
        <f>IFERROR(__xludf.DUMMYFUNCTION("""COMPUTED_VALUE"""),45889.0)</f>
        <v>45889</v>
      </c>
      <c r="S4331" s="57">
        <f>IFERROR(__xludf.DUMMYFUNCTION("""COMPUTED_VALUE"""),45889.0)</f>
        <v>45889</v>
      </c>
      <c r="T4331" s="57">
        <f>IFERROR(__xludf.DUMMYFUNCTION("""COMPUTED_VALUE"""),45926.0)</f>
        <v>45926</v>
      </c>
    </row>
    <row r="4332">
      <c r="A4332" s="6" t="str">
        <f>IFERROR(__xludf.DUMMYFUNCTION("""COMPUTED_VALUE"""),"121703136-1")</f>
        <v>121703136-1</v>
      </c>
      <c r="B4332" s="6" t="str">
        <f>IFERROR(__xludf.DUMMYFUNCTION("""COMPUTED_VALUE"""),"121703136 - APPROVED")</f>
        <v>121703136 - APPROVED</v>
      </c>
      <c r="C4332" s="6">
        <f>IFERROR(__xludf.DUMMYFUNCTION("""COMPUTED_VALUE"""),1.0)</f>
        <v>1</v>
      </c>
      <c r="D4332" s="6" t="str">
        <f>IFERROR(__xludf.DUMMYFUNCTION("""COMPUTED_VALUE"""),"P-15002-00")</f>
        <v>P-15002-00</v>
      </c>
      <c r="E4332" s="6" t="str">
        <f>IFERROR(__xludf.DUMMYFUNCTION("""COMPUTED_VALUE"""),"Room Air Temp. &amp; RH Sensor, P/N. QFA2060D; ; ;")</f>
        <v>Room Air Temp. &amp; RH Sensor, P/N. QFA2060D; ; ;</v>
      </c>
      <c r="F4332" s="6">
        <f>IFERROR(__xludf.DUMMYFUNCTION("""COMPUTED_VALUE"""),2.0)</f>
        <v>2</v>
      </c>
      <c r="G4332" s="6" t="str">
        <f>IFERROR(__xludf.DUMMYFUNCTION("""COMPUTED_VALUE"""),"Unit")</f>
        <v>Unit</v>
      </c>
      <c r="H4332" s="6" t="str">
        <f>IFERROR(__xludf.DUMMYFUNCTION("""COMPUTED_VALUE"""),"IDR")</f>
        <v>IDR</v>
      </c>
      <c r="I4332" s="6">
        <f>IFERROR(__xludf.DUMMYFUNCTION("""COMPUTED_VALUE"""),5840000.0)</f>
        <v>5840000</v>
      </c>
      <c r="J4332" s="6">
        <f>IFERROR(__xludf.DUMMYFUNCTION("""COMPUTED_VALUE"""),1.168E7)</f>
        <v>11680000</v>
      </c>
      <c r="K4332" s="57">
        <f>IFERROR(__xludf.DUMMYFUNCTION("""COMPUTED_VALUE"""),45954.0)</f>
        <v>45954</v>
      </c>
      <c r="L4332" s="6" t="str">
        <f>IFERROR(__xludf.DUMMYFUNCTION("""COMPUTED_VALUE"""),"FIP Engineering")</f>
        <v>FIP Engineering</v>
      </c>
      <c r="M4332" s="6" t="str">
        <f>IFERROR(__xludf.DUMMYFUNCTION("""COMPUTED_VALUE"""),"Mochammad Fadhillah Hakim,")</f>
        <v>Mochammad Fadhillah Hakim,</v>
      </c>
      <c r="N4332" s="6" t="str">
        <f>IFERROR(__xludf.DUMMYFUNCTION("""COMPUTED_VALUE"""),"FIP Engineering")</f>
        <v>FIP Engineering</v>
      </c>
      <c r="O4332" s="6" t="str">
        <f>IFERROR(__xludf.DUMMYFUNCTION("""COMPUTED_VALUE"""),"FIP-DOM-000-11304-OS00001-INA-000000")</f>
        <v>FIP-DOM-000-11304-OS00001-INA-000000</v>
      </c>
      <c r="P4332" s="6" t="str">
        <f>IFERROR(__xludf.DUMMYFUNCTION("""COMPUTED_VALUE"""),"PO Closed")</f>
        <v>PO Closed</v>
      </c>
      <c r="Q4332" s="6" t="str">
        <f>IFERROR(__xludf.DUMMYFUNCTION("""COMPUTED_VALUE"""),"GL2509023")</f>
        <v>GL2509023</v>
      </c>
      <c r="R4332" s="57">
        <f>IFERROR(__xludf.DUMMYFUNCTION("""COMPUTED_VALUE"""),45889.0)</f>
        <v>45889</v>
      </c>
      <c r="S4332" s="57">
        <f>IFERROR(__xludf.DUMMYFUNCTION("""COMPUTED_VALUE"""),45889.0)</f>
        <v>45889</v>
      </c>
      <c r="T4332" s="57">
        <f>IFERROR(__xludf.DUMMYFUNCTION("""COMPUTED_VALUE"""),45954.0)</f>
        <v>45954</v>
      </c>
    </row>
    <row r="4333">
      <c r="A4333" s="6" t="str">
        <f>IFERROR(__xludf.DUMMYFUNCTION("""COMPUTED_VALUE"""),"121703137-1")</f>
        <v>121703137-1</v>
      </c>
      <c r="B4333" s="6" t="str">
        <f>IFERROR(__xludf.DUMMYFUNCTION("""COMPUTED_VALUE"""),"121703137 - APPROVED")</f>
        <v>121703137 - APPROVED</v>
      </c>
      <c r="C4333" s="6">
        <f>IFERROR(__xludf.DUMMYFUNCTION("""COMPUTED_VALUE"""),1.0)</f>
        <v>1</v>
      </c>
      <c r="D4333" s="6" t="str">
        <f>IFERROR(__xludf.DUMMYFUNCTION("""COMPUTED_VALUE"""),"P-54354-00")</f>
        <v>P-54354-00</v>
      </c>
      <c r="E4333" s="6" t="str">
        <f>IFERROR(__xludf.DUMMYFUNCTION("""COMPUTED_VALUE"""),"General - UX52 Variable Speed Controller 90W; Houle; -; 1 pc")</f>
        <v>General - UX52 Variable Speed Controller 90W; Houle; -; 1 pc</v>
      </c>
      <c r="F4333" s="6">
        <f>IFERROR(__xludf.DUMMYFUNCTION("""COMPUTED_VALUE"""),2.0)</f>
        <v>2</v>
      </c>
      <c r="G4333" s="6" t="str">
        <f>IFERROR(__xludf.DUMMYFUNCTION("""COMPUTED_VALUE"""),"Pieces")</f>
        <v>Pieces</v>
      </c>
      <c r="H4333" s="6" t="str">
        <f>IFERROR(__xludf.DUMMYFUNCTION("""COMPUTED_VALUE"""),"IDR")</f>
        <v>IDR</v>
      </c>
      <c r="I4333" s="6">
        <f>IFERROR(__xludf.DUMMYFUNCTION("""COMPUTED_VALUE"""),500000.0)</f>
        <v>500000</v>
      </c>
      <c r="J4333" s="6">
        <f>IFERROR(__xludf.DUMMYFUNCTION("""COMPUTED_VALUE"""),1000000.0)</f>
        <v>1000000</v>
      </c>
      <c r="K4333" s="57">
        <f>IFERROR(__xludf.DUMMYFUNCTION("""COMPUTED_VALUE"""),45926.0)</f>
        <v>45926</v>
      </c>
      <c r="L4333" s="6" t="str">
        <f>IFERROR(__xludf.DUMMYFUNCTION("""COMPUTED_VALUE"""),"FIP Engineering")</f>
        <v>FIP Engineering</v>
      </c>
      <c r="M4333" s="6" t="str">
        <f>IFERROR(__xludf.DUMMYFUNCTION("""COMPUTED_VALUE"""),"Mochammad Fadhillah Hakim,")</f>
        <v>Mochammad Fadhillah Hakim,</v>
      </c>
      <c r="N4333" s="6" t="str">
        <f>IFERROR(__xludf.DUMMYFUNCTION("""COMPUTED_VALUE"""),"FIP Engineering")</f>
        <v>FIP Engineering</v>
      </c>
      <c r="O4333" s="6" t="str">
        <f>IFERROR(__xludf.DUMMYFUNCTION("""COMPUTED_VALUE"""),"FIP-DOM-000-11304-OS00001-INA-000000")</f>
        <v>FIP-DOM-000-11304-OS00001-INA-000000</v>
      </c>
      <c r="P4333" s="6" t="str">
        <f>IFERROR(__xludf.DUMMYFUNCTION("""COMPUTED_VALUE"""),"PO Closed")</f>
        <v>PO Closed</v>
      </c>
      <c r="Q4333" s="6" t="str">
        <f>IFERROR(__xludf.DUMMYFUNCTION("""COMPUTED_VALUE"""),"GL2509023")</f>
        <v>GL2509023</v>
      </c>
      <c r="R4333" s="57">
        <f>IFERROR(__xludf.DUMMYFUNCTION("""COMPUTED_VALUE"""),45889.0)</f>
        <v>45889</v>
      </c>
      <c r="S4333" s="57">
        <f>IFERROR(__xludf.DUMMYFUNCTION("""COMPUTED_VALUE"""),45890.0)</f>
        <v>45890</v>
      </c>
      <c r="T4333" s="57">
        <f>IFERROR(__xludf.DUMMYFUNCTION("""COMPUTED_VALUE"""),45926.0)</f>
        <v>45926</v>
      </c>
    </row>
    <row r="4334">
      <c r="A4334" s="6" t="str">
        <f>IFERROR(__xludf.DUMMYFUNCTION("""COMPUTED_VALUE"""),"121703138-1")</f>
        <v>121703138-1</v>
      </c>
      <c r="B4334" s="6" t="str">
        <f>IFERROR(__xludf.DUMMYFUNCTION("""COMPUTED_VALUE"""),"121703138 - APPROVED")</f>
        <v>121703138 - APPROVED</v>
      </c>
      <c r="C4334" s="6">
        <f>IFERROR(__xludf.DUMMYFUNCTION("""COMPUTED_VALUE"""),1.0)</f>
        <v>1</v>
      </c>
      <c r="D4334" s="6" t="str">
        <f>IFERROR(__xludf.DUMMYFUNCTION("""COMPUTED_VALUE"""),"P-50426-00")</f>
        <v>P-50426-00</v>
      </c>
      <c r="E4334" s="6" t="str">
        <f>IFERROR(__xludf.DUMMYFUNCTION("""COMPUTED_VALUE"""),"Pilot Lamps / Green / 220 VAC / AD22-22DS / AXLE")</f>
        <v>Pilot Lamps / Green / 220 VAC / AD22-22DS / AXLE</v>
      </c>
      <c r="F4334" s="6">
        <f>IFERROR(__xludf.DUMMYFUNCTION("""COMPUTED_VALUE"""),5.0)</f>
        <v>5</v>
      </c>
      <c r="G4334" s="6" t="str">
        <f>IFERROR(__xludf.DUMMYFUNCTION("""COMPUTED_VALUE"""),"Pieces")</f>
        <v>Pieces</v>
      </c>
      <c r="H4334" s="6" t="str">
        <f>IFERROR(__xludf.DUMMYFUNCTION("""COMPUTED_VALUE"""),"IDR")</f>
        <v>IDR</v>
      </c>
      <c r="I4334" s="6">
        <f>IFERROR(__xludf.DUMMYFUNCTION("""COMPUTED_VALUE"""),11100.0)</f>
        <v>11100</v>
      </c>
      <c r="J4334" s="6">
        <f>IFERROR(__xludf.DUMMYFUNCTION("""COMPUTED_VALUE"""),55500.0)</f>
        <v>55500</v>
      </c>
      <c r="K4334" s="57">
        <f>IFERROR(__xludf.DUMMYFUNCTION("""COMPUTED_VALUE"""),45926.0)</f>
        <v>45926</v>
      </c>
      <c r="L4334" s="6" t="str">
        <f>IFERROR(__xludf.DUMMYFUNCTION("""COMPUTED_VALUE"""),"FIP Engineering")</f>
        <v>FIP Engineering</v>
      </c>
      <c r="M4334" s="6" t="str">
        <f>IFERROR(__xludf.DUMMYFUNCTION("""COMPUTED_VALUE"""),"Mochammad Fadhillah Hakim,")</f>
        <v>Mochammad Fadhillah Hakim,</v>
      </c>
      <c r="N4334" s="6" t="str">
        <f>IFERROR(__xludf.DUMMYFUNCTION("""COMPUTED_VALUE"""),"FIP Engineering")</f>
        <v>FIP Engineering</v>
      </c>
      <c r="O4334" s="6" t="str">
        <f>IFERROR(__xludf.DUMMYFUNCTION("""COMPUTED_VALUE"""),"FIP-DOM-000-11304-OS00001-INA-000000")</f>
        <v>FIP-DOM-000-11304-OS00001-INA-000000</v>
      </c>
      <c r="P4334" s="6" t="str">
        <f>IFERROR(__xludf.DUMMYFUNCTION("""COMPUTED_VALUE"""),"PO Closed")</f>
        <v>PO Closed</v>
      </c>
      <c r="Q4334" s="6" t="str">
        <f>IFERROR(__xludf.DUMMYFUNCTION("""COMPUTED_VALUE"""),"GL2509021")</f>
        <v>GL2509021</v>
      </c>
      <c r="R4334" s="57">
        <f>IFERROR(__xludf.DUMMYFUNCTION("""COMPUTED_VALUE"""),45889.0)</f>
        <v>45889</v>
      </c>
      <c r="S4334" s="57">
        <f>IFERROR(__xludf.DUMMYFUNCTION("""COMPUTED_VALUE"""),45889.0)</f>
        <v>45889</v>
      </c>
      <c r="T4334" s="57">
        <f>IFERROR(__xludf.DUMMYFUNCTION("""COMPUTED_VALUE"""),45926.0)</f>
        <v>45926</v>
      </c>
    </row>
    <row r="4335">
      <c r="A4335" s="6" t="str">
        <f>IFERROR(__xludf.DUMMYFUNCTION("""COMPUTED_VALUE"""),"121703139-1")</f>
        <v>121703139-1</v>
      </c>
      <c r="B4335" s="6" t="str">
        <f>IFERROR(__xludf.DUMMYFUNCTION("""COMPUTED_VALUE"""),"121703139 - APPROVED")</f>
        <v>121703139 - APPROVED</v>
      </c>
      <c r="C4335" s="6">
        <f>IFERROR(__xludf.DUMMYFUNCTION("""COMPUTED_VALUE"""),1.0)</f>
        <v>1</v>
      </c>
      <c r="D4335" s="6" t="str">
        <f>IFERROR(__xludf.DUMMYFUNCTION("""COMPUTED_VALUE"""),"S-60002-00")</f>
        <v>S-60002-00</v>
      </c>
      <c r="E4335" s="6" t="str">
        <f>IFERROR(__xludf.DUMMYFUNCTION("""COMPUTED_VALUE"""),"Jasa Perbaikan dan Pemeliharaan Mesin Utility - Perbaikan Forklift")</f>
        <v>Jasa Perbaikan dan Pemeliharaan Mesin Utility - Perbaikan Forklift</v>
      </c>
      <c r="F4335" s="6">
        <f>IFERROR(__xludf.DUMMYFUNCTION("""COMPUTED_VALUE"""),1.0)</f>
        <v>1</v>
      </c>
      <c r="G4335" s="6" t="str">
        <f>IFERROR(__xludf.DUMMYFUNCTION("""COMPUTED_VALUE"""),"Lot")</f>
        <v>Lot</v>
      </c>
      <c r="H4335" s="6" t="str">
        <f>IFERROR(__xludf.DUMMYFUNCTION("""COMPUTED_VALUE"""),"IDR")</f>
        <v>IDR</v>
      </c>
      <c r="I4335" s="6">
        <f>IFERROR(__xludf.DUMMYFUNCTION("""COMPUTED_VALUE"""),9100000.0)</f>
        <v>9100000</v>
      </c>
      <c r="J4335" s="6">
        <f>IFERROR(__xludf.DUMMYFUNCTION("""COMPUTED_VALUE"""),9100000.0)</f>
        <v>9100000</v>
      </c>
      <c r="K4335" s="57">
        <f>IFERROR(__xludf.DUMMYFUNCTION("""COMPUTED_VALUE"""),45926.0)</f>
        <v>45926</v>
      </c>
      <c r="L4335" s="6" t="str">
        <f>IFERROR(__xludf.DUMMYFUNCTION("""COMPUTED_VALUE"""),"FIP General")</f>
        <v>FIP General</v>
      </c>
      <c r="M4335" s="6" t="str">
        <f>IFERROR(__xludf.DUMMYFUNCTION("""COMPUTED_VALUE"""),"Mochammad Fadhillah Hakim,")</f>
        <v>Mochammad Fadhillah Hakim,</v>
      </c>
      <c r="N4335" s="6" t="str">
        <f>IFERROR(__xludf.DUMMYFUNCTION("""COMPUTED_VALUE"""),"FIP Engineering")</f>
        <v>FIP Engineering</v>
      </c>
      <c r="O4335" s="6" t="str">
        <f>IFERROR(__xludf.DUMMYFUNCTION("""COMPUTED_VALUE"""),"FIP-DOM-ENG-51508-0000000-INA-000000")</f>
        <v>FIP-DOM-ENG-51508-0000000-INA-000000</v>
      </c>
      <c r="P4335" s="6" t="str">
        <f>IFERROR(__xludf.DUMMYFUNCTION("""COMPUTED_VALUE"""),"PO Closed")</f>
        <v>PO Closed</v>
      </c>
      <c r="Q4335" s="6"/>
      <c r="R4335" s="57">
        <f>IFERROR(__xludf.DUMMYFUNCTION("""COMPUTED_VALUE"""),45889.0)</f>
        <v>45889</v>
      </c>
      <c r="S4335" s="57">
        <f>IFERROR(__xludf.DUMMYFUNCTION("""COMPUTED_VALUE"""),45889.0)</f>
        <v>45889</v>
      </c>
      <c r="T4335" s="57">
        <f>IFERROR(__xludf.DUMMYFUNCTION("""COMPUTED_VALUE"""),45926.0)</f>
        <v>45926</v>
      </c>
    </row>
    <row r="4336">
      <c r="A4336" s="6" t="str">
        <f>IFERROR(__xludf.DUMMYFUNCTION("""COMPUTED_VALUE"""),"121703146-1")</f>
        <v>121703146-1</v>
      </c>
      <c r="B4336" s="6" t="str">
        <f>IFERROR(__xludf.DUMMYFUNCTION("""COMPUTED_VALUE"""),"121703146 - APPROVED")</f>
        <v>121703146 - APPROVED</v>
      </c>
      <c r="C4336" s="6">
        <f>IFERROR(__xludf.DUMMYFUNCTION("""COMPUTED_VALUE"""),1.0)</f>
        <v>1</v>
      </c>
      <c r="D4336" s="6" t="str">
        <f>IFERROR(__xludf.DUMMYFUNCTION("""COMPUTED_VALUE"""),"P-54349-00")</f>
        <v>P-54349-00</v>
      </c>
      <c r="E4336" s="6" t="str">
        <f>IFERROR(__xludf.DUMMYFUNCTION("""COMPUTED_VALUE"""),"General - Threaded 3 Port Valve; Siemens; VXG44.32-16; 1 pc")</f>
        <v>General - Threaded 3 Port Valve; Siemens; VXG44.32-16; 1 pc</v>
      </c>
      <c r="F4336" s="6">
        <f>IFERROR(__xludf.DUMMYFUNCTION("""COMPUTED_VALUE"""),2.0)</f>
        <v>2</v>
      </c>
      <c r="G4336" s="6" t="str">
        <f>IFERROR(__xludf.DUMMYFUNCTION("""COMPUTED_VALUE"""),"Pieces")</f>
        <v>Pieces</v>
      </c>
      <c r="H4336" s="6" t="str">
        <f>IFERROR(__xludf.DUMMYFUNCTION("""COMPUTED_VALUE"""),"IDR")</f>
        <v>IDR</v>
      </c>
      <c r="I4336" s="6">
        <f>IFERROR(__xludf.DUMMYFUNCTION("""COMPUTED_VALUE"""),5250000.0)</f>
        <v>5250000</v>
      </c>
      <c r="J4336" s="6">
        <f>IFERROR(__xludf.DUMMYFUNCTION("""COMPUTED_VALUE"""),1.05E7)</f>
        <v>10500000</v>
      </c>
      <c r="K4336" s="57">
        <f>IFERROR(__xludf.DUMMYFUNCTION("""COMPUTED_VALUE"""),45926.0)</f>
        <v>45926</v>
      </c>
      <c r="L4336" s="6" t="str">
        <f>IFERROR(__xludf.DUMMYFUNCTION("""COMPUTED_VALUE"""),"FIP Engineering")</f>
        <v>FIP Engineering</v>
      </c>
      <c r="M4336" s="6" t="str">
        <f>IFERROR(__xludf.DUMMYFUNCTION("""COMPUTED_VALUE"""),"Mochammad Fadhillah Hakim,")</f>
        <v>Mochammad Fadhillah Hakim,</v>
      </c>
      <c r="N4336" s="6" t="str">
        <f>IFERROR(__xludf.DUMMYFUNCTION("""COMPUTED_VALUE"""),"FIP Engineering")</f>
        <v>FIP Engineering</v>
      </c>
      <c r="O4336" s="6" t="str">
        <f>IFERROR(__xludf.DUMMYFUNCTION("""COMPUTED_VALUE"""),"FIP-DOM-000-11304-OS00001-INA-000000")</f>
        <v>FIP-DOM-000-11304-OS00001-INA-000000</v>
      </c>
      <c r="P4336" s="6" t="str">
        <f>IFERROR(__xludf.DUMMYFUNCTION("""COMPUTED_VALUE"""),"PO Closed")</f>
        <v>PO Closed</v>
      </c>
      <c r="Q4336" s="6" t="str">
        <f>IFERROR(__xludf.DUMMYFUNCTION("""COMPUTED_VALUE"""),"GL2509049")</f>
        <v>GL2509049</v>
      </c>
      <c r="R4336" s="57">
        <f>IFERROR(__xludf.DUMMYFUNCTION("""COMPUTED_VALUE"""),45890.0)</f>
        <v>45890</v>
      </c>
      <c r="S4336" s="57">
        <f>IFERROR(__xludf.DUMMYFUNCTION("""COMPUTED_VALUE"""),45908.0)</f>
        <v>45908</v>
      </c>
      <c r="T4336" s="57">
        <f>IFERROR(__xludf.DUMMYFUNCTION("""COMPUTED_VALUE"""),45950.0)</f>
        <v>45950</v>
      </c>
    </row>
    <row r="4337">
      <c r="A4337" s="6" t="str">
        <f>IFERROR(__xludf.DUMMYFUNCTION("""COMPUTED_VALUE"""),"121703149-1")</f>
        <v>121703149-1</v>
      </c>
      <c r="B4337" s="6" t="str">
        <f>IFERROR(__xludf.DUMMYFUNCTION("""COMPUTED_VALUE"""),"121703149 - APPROVED")</f>
        <v>121703149 - APPROVED</v>
      </c>
      <c r="C4337" s="6">
        <f>IFERROR(__xludf.DUMMYFUNCTION("""COMPUTED_VALUE"""),1.0)</f>
        <v>1</v>
      </c>
      <c r="D4337" s="6" t="str">
        <f>IFERROR(__xludf.DUMMYFUNCTION("""COMPUTED_VALUE"""),"T-20725-00")</f>
        <v>T-20725-00</v>
      </c>
      <c r="E4337" s="6" t="str">
        <f>IFERROR(__xludf.DUMMYFUNCTION("""COMPUTED_VALUE"""),"Performance Plus Check Valve Housing; Waters; 700002332;")</f>
        <v>Performance Plus Check Valve Housing; Waters; 700002332;</v>
      </c>
      <c r="F4337" s="6">
        <f>IFERROR(__xludf.DUMMYFUNCTION("""COMPUTED_VALUE"""),2.0)</f>
        <v>2</v>
      </c>
      <c r="G4337" s="6" t="str">
        <f>IFERROR(__xludf.DUMMYFUNCTION("""COMPUTED_VALUE"""),"Pack")</f>
        <v>Pack</v>
      </c>
      <c r="H4337" s="6" t="str">
        <f>IFERROR(__xludf.DUMMYFUNCTION("""COMPUTED_VALUE"""),"USD")</f>
        <v>USD</v>
      </c>
      <c r="I4337" s="6">
        <f>IFERROR(__xludf.DUMMYFUNCTION("""COMPUTED_VALUE"""),4669056.0)</f>
        <v>4669056</v>
      </c>
      <c r="J4337" s="6">
        <f>IFERROR(__xludf.DUMMYFUNCTION("""COMPUTED_VALUE"""),9338112.0)</f>
        <v>9338112</v>
      </c>
      <c r="K4337" s="57">
        <f>IFERROR(__xludf.DUMMYFUNCTION("""COMPUTED_VALUE"""),45954.0)</f>
        <v>45954</v>
      </c>
      <c r="L4337" s="6" t="str">
        <f>IFERROR(__xludf.DUMMYFUNCTION("""COMPUTED_VALUE"""),"FIP General")</f>
        <v>FIP General</v>
      </c>
      <c r="M4337" s="6" t="str">
        <f>IFERROR(__xludf.DUMMYFUNCTION("""COMPUTED_VALUE"""),"Mochammad Fadhillah Hakim,")</f>
        <v>Mochammad Fadhillah Hakim,</v>
      </c>
      <c r="N4337" s="6" t="str">
        <f>IFERROR(__xludf.DUMMYFUNCTION("""COMPUTED_VALUE"""),"FIP Engineering")</f>
        <v>FIP Engineering</v>
      </c>
      <c r="O4337" s="6" t="str">
        <f>IFERROR(__xludf.DUMMYFUNCTION("""COMPUTED_VALUE"""),"FIP-DOM-ENG-51505-0000000-INA-000000")</f>
        <v>FIP-DOM-ENG-51505-0000000-INA-000000</v>
      </c>
      <c r="P4337" s="6" t="str">
        <f>IFERROR(__xludf.DUMMYFUNCTION("""COMPUTED_VALUE"""),"PO Closed")</f>
        <v>PO Closed</v>
      </c>
      <c r="Q4337" s="6" t="str">
        <f>IFERROR(__xludf.DUMMYFUNCTION("""COMPUTED_VALUE"""),"GL2508062")</f>
        <v>GL2508062</v>
      </c>
      <c r="R4337" s="57">
        <f>IFERROR(__xludf.DUMMYFUNCTION("""COMPUTED_VALUE"""),45890.0)</f>
        <v>45890</v>
      </c>
      <c r="S4337" s="57">
        <f>IFERROR(__xludf.DUMMYFUNCTION("""COMPUTED_VALUE"""),45891.0)</f>
        <v>45891</v>
      </c>
      <c r="T4337" s="57">
        <f>IFERROR(__xludf.DUMMYFUNCTION("""COMPUTED_VALUE"""),45954.0)</f>
        <v>45954</v>
      </c>
    </row>
    <row r="4338">
      <c r="A4338" s="6" t="str">
        <f>IFERROR(__xludf.DUMMYFUNCTION("""COMPUTED_VALUE"""),"121703150-1")</f>
        <v>121703150-1</v>
      </c>
      <c r="B4338" s="6" t="str">
        <f>IFERROR(__xludf.DUMMYFUNCTION("""COMPUTED_VALUE"""),"121703150 - APPROVED")</f>
        <v>121703150 - APPROVED</v>
      </c>
      <c r="C4338" s="6">
        <f>IFERROR(__xludf.DUMMYFUNCTION("""COMPUTED_VALUE"""),1.0)</f>
        <v>1</v>
      </c>
      <c r="D4338" s="6" t="str">
        <f>IFERROR(__xludf.DUMMYFUNCTION("""COMPUTED_VALUE"""),"P-20129-00")</f>
        <v>P-20129-00</v>
      </c>
      <c r="E4338" s="6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F4338" s="6">
        <f>IFERROR(__xludf.DUMMYFUNCTION("""COMPUTED_VALUE"""),2.0)</f>
        <v>2</v>
      </c>
      <c r="G4338" s="6" t="str">
        <f>IFERROR(__xludf.DUMMYFUNCTION("""COMPUTED_VALUE"""),"Pieces")</f>
        <v>Pieces</v>
      </c>
      <c r="H4338" s="6" t="str">
        <f>IFERROR(__xludf.DUMMYFUNCTION("""COMPUTED_VALUE"""),"IDR")</f>
        <v>IDR</v>
      </c>
      <c r="I4338" s="6">
        <f>IFERROR(__xludf.DUMMYFUNCTION("""COMPUTED_VALUE"""),5000000.0)</f>
        <v>5000000</v>
      </c>
      <c r="J4338" s="6">
        <f>IFERROR(__xludf.DUMMYFUNCTION("""COMPUTED_VALUE"""),1.0E7)</f>
        <v>10000000</v>
      </c>
      <c r="K4338" s="57">
        <f>IFERROR(__xludf.DUMMYFUNCTION("""COMPUTED_VALUE"""),45926.0)</f>
        <v>45926</v>
      </c>
      <c r="L4338" s="6" t="str">
        <f>IFERROR(__xludf.DUMMYFUNCTION("""COMPUTED_VALUE"""),"FIP Engineering")</f>
        <v>FIP Engineering</v>
      </c>
      <c r="M4338" s="6" t="str">
        <f>IFERROR(__xludf.DUMMYFUNCTION("""COMPUTED_VALUE"""),"Mochammad Fadhillah Hakim,")</f>
        <v>Mochammad Fadhillah Hakim,</v>
      </c>
      <c r="N4338" s="6" t="str">
        <f>IFERROR(__xludf.DUMMYFUNCTION("""COMPUTED_VALUE"""),"FIP Engineering")</f>
        <v>FIP Engineering</v>
      </c>
      <c r="O4338" s="6" t="str">
        <f>IFERROR(__xludf.DUMMYFUNCTION("""COMPUTED_VALUE"""),"FIP-DOM-000-11304-OS00001-INA-000000")</f>
        <v>FIP-DOM-000-11304-OS00001-INA-000000</v>
      </c>
      <c r="P4338" s="6" t="str">
        <f>IFERROR(__xludf.DUMMYFUNCTION("""COMPUTED_VALUE"""),"PO Closed")</f>
        <v>PO Closed</v>
      </c>
      <c r="Q4338" s="6" t="str">
        <f>IFERROR(__xludf.DUMMYFUNCTION("""COMPUTED_VALUE"""),"GL2509022")</f>
        <v>GL2509022</v>
      </c>
      <c r="R4338" s="57">
        <f>IFERROR(__xludf.DUMMYFUNCTION("""COMPUTED_VALUE"""),45890.0)</f>
        <v>45890</v>
      </c>
      <c r="S4338" s="57">
        <f>IFERROR(__xludf.DUMMYFUNCTION("""COMPUTED_VALUE"""),45891.0)</f>
        <v>45891</v>
      </c>
      <c r="T4338" s="57">
        <f>IFERROR(__xludf.DUMMYFUNCTION("""COMPUTED_VALUE"""),46027.0)</f>
        <v>46027</v>
      </c>
    </row>
    <row r="4339">
      <c r="A4339" s="6" t="str">
        <f>IFERROR(__xludf.DUMMYFUNCTION("""COMPUTED_VALUE"""),"121703157-1")</f>
        <v>121703157-1</v>
      </c>
      <c r="B4339" s="6" t="str">
        <f>IFERROR(__xludf.DUMMYFUNCTION("""COMPUTED_VALUE"""),"121703157 - APPROVED")</f>
        <v>121703157 - APPROVED</v>
      </c>
      <c r="C4339" s="6">
        <f>IFERROR(__xludf.DUMMYFUNCTION("""COMPUTED_VALUE"""),1.0)</f>
        <v>1</v>
      </c>
      <c r="D4339" s="6" t="str">
        <f>IFERROR(__xludf.DUMMYFUNCTION("""COMPUTED_VALUE"""),"O-53398-00")</f>
        <v>O-53398-00</v>
      </c>
      <c r="E4339" s="6" t="str">
        <f>IFERROR(__xludf.DUMMYFUNCTION("""COMPUTED_VALUE"""),"Mixing Tank Adam - Cable VP8-ST/35m; Mettler Toledo; 52300359; 1 Pc")</f>
        <v>Mixing Tank Adam - Cable VP8-ST/35m; Mettler Toledo; 52300359; 1 Pc</v>
      </c>
      <c r="F4339" s="6">
        <f>IFERROR(__xludf.DUMMYFUNCTION("""COMPUTED_VALUE"""),1.0)</f>
        <v>1</v>
      </c>
      <c r="G4339" s="6" t="str">
        <f>IFERROR(__xludf.DUMMYFUNCTION("""COMPUTED_VALUE"""),"Pieces")</f>
        <v>Pieces</v>
      </c>
      <c r="H4339" s="6" t="str">
        <f>IFERROR(__xludf.DUMMYFUNCTION("""COMPUTED_VALUE"""),"IDR")</f>
        <v>IDR</v>
      </c>
      <c r="I4339" s="6">
        <f>IFERROR(__xludf.DUMMYFUNCTION("""COMPUTED_VALUE"""),1.438965E7)</f>
        <v>14389650</v>
      </c>
      <c r="J4339" s="6">
        <f>IFERROR(__xludf.DUMMYFUNCTION("""COMPUTED_VALUE"""),1.438965E7)</f>
        <v>14389650</v>
      </c>
      <c r="K4339" s="57">
        <f>IFERROR(__xludf.DUMMYFUNCTION("""COMPUTED_VALUE"""),45954.0)</f>
        <v>45954</v>
      </c>
      <c r="L4339" s="6" t="str">
        <f>IFERROR(__xludf.DUMMYFUNCTION("""COMPUTED_VALUE"""),"FIP Engineering")</f>
        <v>FIP Engineering</v>
      </c>
      <c r="M4339" s="6" t="str">
        <f>IFERROR(__xludf.DUMMYFUNCTION("""COMPUTED_VALUE"""),"Mochammad Fadhillah Hakim,")</f>
        <v>Mochammad Fadhillah Hakim,</v>
      </c>
      <c r="N4339" s="6" t="str">
        <f>IFERROR(__xludf.DUMMYFUNCTION("""COMPUTED_VALUE"""),"FIP Engineering")</f>
        <v>FIP Engineering</v>
      </c>
      <c r="O4339" s="6" t="str">
        <f>IFERROR(__xludf.DUMMYFUNCTION("""COMPUTED_VALUE"""),"FIP-DOM-000-11304-OS00001-INA-000000")</f>
        <v>FIP-DOM-000-11304-OS00001-INA-000000</v>
      </c>
      <c r="P4339" s="6" t="str">
        <f>IFERROR(__xludf.DUMMYFUNCTION("""COMPUTED_VALUE"""),"PO Closed")</f>
        <v>PO Closed</v>
      </c>
      <c r="Q4339" s="6" t="str">
        <f>IFERROR(__xludf.DUMMYFUNCTION("""COMPUTED_VALUE"""),"GL2508066")</f>
        <v>GL2508066</v>
      </c>
      <c r="R4339" s="57">
        <f>IFERROR(__xludf.DUMMYFUNCTION("""COMPUTED_VALUE"""),45891.0)</f>
        <v>45891</v>
      </c>
      <c r="S4339" s="57">
        <f>IFERROR(__xludf.DUMMYFUNCTION("""COMPUTED_VALUE"""),45894.0)</f>
        <v>45894</v>
      </c>
      <c r="T4339" s="57">
        <f>IFERROR(__xludf.DUMMYFUNCTION("""COMPUTED_VALUE"""),45954.0)</f>
        <v>45954</v>
      </c>
    </row>
    <row r="4340">
      <c r="A4340" s="6" t="str">
        <f>IFERROR(__xludf.DUMMYFUNCTION("""COMPUTED_VALUE"""),"121703158-1")</f>
        <v>121703158-1</v>
      </c>
      <c r="B4340" s="6" t="str">
        <f>IFERROR(__xludf.DUMMYFUNCTION("""COMPUTED_VALUE"""),"121703158 - APPROVED")</f>
        <v>121703158 - APPROVED</v>
      </c>
      <c r="C4340" s="6">
        <f>IFERROR(__xludf.DUMMYFUNCTION("""COMPUTED_VALUE"""),1.0)</f>
        <v>1</v>
      </c>
      <c r="D4340" s="6" t="str">
        <f>IFERROR(__xludf.DUMMYFUNCTION("""COMPUTED_VALUE"""),"O-19822-00")</f>
        <v>O-19822-00</v>
      </c>
      <c r="E4340" s="6" t="str">
        <f>IFERROR(__xludf.DUMMYFUNCTION("""COMPUTED_VALUE"""),"Flexible Front End 916 - (125.0 - 125.0)")</f>
        <v>Flexible Front End 916 - (125.0 - 125.0)</v>
      </c>
      <c r="F4340" s="6">
        <f>IFERROR(__xludf.DUMMYFUNCTION("""COMPUTED_VALUE"""),1.0)</f>
        <v>1</v>
      </c>
      <c r="G4340" s="6" t="str">
        <f>IFERROR(__xludf.DUMMYFUNCTION("""COMPUTED_VALUE"""),"Pieces")</f>
        <v>Pieces</v>
      </c>
      <c r="H4340" s="6" t="str">
        <f>IFERROR(__xludf.DUMMYFUNCTION("""COMPUTED_VALUE"""),"EUR")</f>
        <v>EUR</v>
      </c>
      <c r="I4340" s="6">
        <f>IFERROR(__xludf.DUMMYFUNCTION("""COMPUTED_VALUE"""),1.7677614E7)</f>
        <v>17677614</v>
      </c>
      <c r="J4340" s="6">
        <f>IFERROR(__xludf.DUMMYFUNCTION("""COMPUTED_VALUE"""),1.7677614E7)</f>
        <v>17677614</v>
      </c>
      <c r="K4340" s="57">
        <f>IFERROR(__xludf.DUMMYFUNCTION("""COMPUTED_VALUE"""),45954.0)</f>
        <v>45954</v>
      </c>
      <c r="L4340" s="6" t="str">
        <f>IFERROR(__xludf.DUMMYFUNCTION("""COMPUTED_VALUE"""),"FIP Engineering")</f>
        <v>FIP Engineering</v>
      </c>
      <c r="M4340" s="6" t="str">
        <f>IFERROR(__xludf.DUMMYFUNCTION("""COMPUTED_VALUE"""),"Mochammad Fadhillah Hakim,")</f>
        <v>Mochammad Fadhillah Hakim,</v>
      </c>
      <c r="N4340" s="6" t="str">
        <f>IFERROR(__xludf.DUMMYFUNCTION("""COMPUTED_VALUE"""),"FIP Engineering")</f>
        <v>FIP Engineering</v>
      </c>
      <c r="O4340" s="6" t="str">
        <f>IFERROR(__xludf.DUMMYFUNCTION("""COMPUTED_VALUE"""),"FIP-DOM-000-11304-OS00001-INA-000000")</f>
        <v>FIP-DOM-000-11304-OS00001-INA-000000</v>
      </c>
      <c r="P4340" s="6" t="str">
        <f>IFERROR(__xludf.DUMMYFUNCTION("""COMPUTED_VALUE"""),"PO Closed")</f>
        <v>PO Closed</v>
      </c>
      <c r="Q4340" s="6" t="str">
        <f>IFERROR(__xludf.DUMMYFUNCTION("""COMPUTED_VALUE"""),"GL2509052")</f>
        <v>GL2509052</v>
      </c>
      <c r="R4340" s="57">
        <f>IFERROR(__xludf.DUMMYFUNCTION("""COMPUTED_VALUE"""),45891.0)</f>
        <v>45891</v>
      </c>
      <c r="S4340" s="57">
        <f>IFERROR(__xludf.DUMMYFUNCTION("""COMPUTED_VALUE"""),45894.0)</f>
        <v>45894</v>
      </c>
      <c r="T4340" s="57">
        <f>IFERROR(__xludf.DUMMYFUNCTION("""COMPUTED_VALUE"""),46015.0)</f>
        <v>46015</v>
      </c>
    </row>
    <row r="4341">
      <c r="A4341" s="6" t="str">
        <f>IFERROR(__xludf.DUMMYFUNCTION("""COMPUTED_VALUE"""),"121703159-1")</f>
        <v>121703159-1</v>
      </c>
      <c r="B4341" s="6" t="str">
        <f>IFERROR(__xludf.DUMMYFUNCTION("""COMPUTED_VALUE"""),"121703159 - APPROVED")</f>
        <v>121703159 - APPROVED</v>
      </c>
      <c r="C4341" s="6">
        <f>IFERROR(__xludf.DUMMYFUNCTION("""COMPUTED_VALUE"""),1.0)</f>
        <v>1</v>
      </c>
      <c r="D4341" s="6" t="str">
        <f>IFERROR(__xludf.DUMMYFUNCTION("""COMPUTED_VALUE"""),"O-20895-00")</f>
        <v>O-20895-00</v>
      </c>
      <c r="E4341" s="6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F4341" s="6">
        <f>IFERROR(__xludf.DUMMYFUNCTION("""COMPUTED_VALUE"""),1.0)</f>
        <v>1</v>
      </c>
      <c r="G4341" s="6" t="str">
        <f>IFERROR(__xludf.DUMMYFUNCTION("""COMPUTED_VALUE"""),"Pieces")</f>
        <v>Pieces</v>
      </c>
      <c r="H4341" s="6" t="str">
        <f>IFERROR(__xludf.DUMMYFUNCTION("""COMPUTED_VALUE"""),"IDR")</f>
        <v>IDR</v>
      </c>
      <c r="I4341" s="6">
        <f>IFERROR(__xludf.DUMMYFUNCTION("""COMPUTED_VALUE"""),2.24844E7)</f>
        <v>22484400</v>
      </c>
      <c r="J4341" s="6">
        <f>IFERROR(__xludf.DUMMYFUNCTION("""COMPUTED_VALUE"""),2.24844E7)</f>
        <v>22484400</v>
      </c>
      <c r="K4341" s="57">
        <f>IFERROR(__xludf.DUMMYFUNCTION("""COMPUTED_VALUE"""),45954.0)</f>
        <v>45954</v>
      </c>
      <c r="L4341" s="6" t="str">
        <f>IFERROR(__xludf.DUMMYFUNCTION("""COMPUTED_VALUE"""),"FIP Engineering")</f>
        <v>FIP Engineering</v>
      </c>
      <c r="M4341" s="6" t="str">
        <f>IFERROR(__xludf.DUMMYFUNCTION("""COMPUTED_VALUE"""),"Mochammad Fadhillah Hakim,")</f>
        <v>Mochammad Fadhillah Hakim,</v>
      </c>
      <c r="N4341" s="6" t="str">
        <f>IFERROR(__xludf.DUMMYFUNCTION("""COMPUTED_VALUE"""),"FIP Engineering")</f>
        <v>FIP Engineering</v>
      </c>
      <c r="O4341" s="6" t="str">
        <f>IFERROR(__xludf.DUMMYFUNCTION("""COMPUTED_VALUE"""),"FIP-DOM-000-11304-OS00001-INA-000000")</f>
        <v>FIP-DOM-000-11304-OS00001-INA-000000</v>
      </c>
      <c r="P4341" s="6" t="str">
        <f>IFERROR(__xludf.DUMMYFUNCTION("""COMPUTED_VALUE"""),"PO Closed")</f>
        <v>PO Closed</v>
      </c>
      <c r="Q4341" s="6" t="str">
        <f>IFERROR(__xludf.DUMMYFUNCTION("""COMPUTED_VALUE"""),"GL2509034")</f>
        <v>GL2509034</v>
      </c>
      <c r="R4341" s="57">
        <f>IFERROR(__xludf.DUMMYFUNCTION("""COMPUTED_VALUE"""),45891.0)</f>
        <v>45891</v>
      </c>
      <c r="S4341" s="57">
        <f>IFERROR(__xludf.DUMMYFUNCTION("""COMPUTED_VALUE"""),45894.0)</f>
        <v>45894</v>
      </c>
      <c r="T4341" s="57">
        <f>IFERROR(__xludf.DUMMYFUNCTION("""COMPUTED_VALUE"""),45985.0)</f>
        <v>45985</v>
      </c>
    </row>
    <row r="4342">
      <c r="A4342" s="6" t="str">
        <f>IFERROR(__xludf.DUMMYFUNCTION("""COMPUTED_VALUE"""),"121703159-2")</f>
        <v>121703159-2</v>
      </c>
      <c r="B4342" s="6" t="str">
        <f>IFERROR(__xludf.DUMMYFUNCTION("""COMPUTED_VALUE"""),"121703159 - APPROVED")</f>
        <v>121703159 - APPROVED</v>
      </c>
      <c r="C4342" s="6">
        <f>IFERROR(__xludf.DUMMYFUNCTION("""COMPUTED_VALUE"""),2.0)</f>
        <v>2</v>
      </c>
      <c r="D4342" s="6" t="str">
        <f>IFERROR(__xludf.DUMMYFUNCTION("""COMPUTED_VALUE"""),"O-20896-00")</f>
        <v>O-20896-00</v>
      </c>
      <c r="E4342" s="6" t="str">
        <f>IFERROR(__xludf.DUMMYFUNCTION("""COMPUTED_VALUE"""),"Isolator - Silicon Tube Pump 913.A016.016; SKAN; 1002902; 1 Pc")</f>
        <v>Isolator - Silicon Tube Pump 913.A016.016; SKAN; 1002902; 1 Pc</v>
      </c>
      <c r="F4342" s="6">
        <f>IFERROR(__xludf.DUMMYFUNCTION("""COMPUTED_VALUE"""),3.0)</f>
        <v>3</v>
      </c>
      <c r="G4342" s="6" t="str">
        <f>IFERROR(__xludf.DUMMYFUNCTION("""COMPUTED_VALUE"""),"Pieces")</f>
        <v>Pieces</v>
      </c>
      <c r="H4342" s="6" t="str">
        <f>IFERROR(__xludf.DUMMYFUNCTION("""COMPUTED_VALUE"""),"IDR")</f>
        <v>IDR</v>
      </c>
      <c r="I4342" s="6">
        <f>IFERROR(__xludf.DUMMYFUNCTION("""COMPUTED_VALUE"""),516600.0)</f>
        <v>516600</v>
      </c>
      <c r="J4342" s="6">
        <f>IFERROR(__xludf.DUMMYFUNCTION("""COMPUTED_VALUE"""),1549800.0)</f>
        <v>1549800</v>
      </c>
      <c r="K4342" s="57">
        <f>IFERROR(__xludf.DUMMYFUNCTION("""COMPUTED_VALUE"""),45954.0)</f>
        <v>45954</v>
      </c>
      <c r="L4342" s="6" t="str">
        <f>IFERROR(__xludf.DUMMYFUNCTION("""COMPUTED_VALUE"""),"FIP Engineering")</f>
        <v>FIP Engineering</v>
      </c>
      <c r="M4342" s="6" t="str">
        <f>IFERROR(__xludf.DUMMYFUNCTION("""COMPUTED_VALUE"""),"Mochammad Fadhillah Hakim,")</f>
        <v>Mochammad Fadhillah Hakim,</v>
      </c>
      <c r="N4342" s="6" t="str">
        <f>IFERROR(__xludf.DUMMYFUNCTION("""COMPUTED_VALUE"""),"FIP Engineering")</f>
        <v>FIP Engineering</v>
      </c>
      <c r="O4342" s="6" t="str">
        <f>IFERROR(__xludf.DUMMYFUNCTION("""COMPUTED_VALUE"""),"FIP-DOM-000-11304-OS00001-INA-000000")</f>
        <v>FIP-DOM-000-11304-OS00001-INA-000000</v>
      </c>
      <c r="P4342" s="6" t="str">
        <f>IFERROR(__xludf.DUMMYFUNCTION("""COMPUTED_VALUE"""),"PO Closed")</f>
        <v>PO Closed</v>
      </c>
      <c r="Q4342" s="6" t="str">
        <f>IFERROR(__xludf.DUMMYFUNCTION("""COMPUTED_VALUE"""),"GL2509034")</f>
        <v>GL2509034</v>
      </c>
      <c r="R4342" s="57">
        <f>IFERROR(__xludf.DUMMYFUNCTION("""COMPUTED_VALUE"""),45891.0)</f>
        <v>45891</v>
      </c>
      <c r="S4342" s="57">
        <f>IFERROR(__xludf.DUMMYFUNCTION("""COMPUTED_VALUE"""),45894.0)</f>
        <v>45894</v>
      </c>
      <c r="T4342" s="57">
        <f>IFERROR(__xludf.DUMMYFUNCTION("""COMPUTED_VALUE"""),45985.0)</f>
        <v>45985</v>
      </c>
    </row>
    <row r="4343">
      <c r="A4343" s="6" t="str">
        <f>IFERROR(__xludf.DUMMYFUNCTION("""COMPUTED_VALUE"""),"121703159-3")</f>
        <v>121703159-3</v>
      </c>
      <c r="B4343" s="6" t="str">
        <f>IFERROR(__xludf.DUMMYFUNCTION("""COMPUTED_VALUE"""),"121703159 - APPROVED")</f>
        <v>121703159 - APPROVED</v>
      </c>
      <c r="C4343" s="6">
        <f>IFERROR(__xludf.DUMMYFUNCTION("""COMPUTED_VALUE"""),3.0)</f>
        <v>3</v>
      </c>
      <c r="D4343" s="6" t="str">
        <f>IFERROR(__xludf.DUMMYFUNCTION("""COMPUTED_VALUE"""),"O-20910-00")</f>
        <v>O-20910-00</v>
      </c>
      <c r="E4343" s="6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F4343" s="6">
        <f>IFERROR(__xludf.DUMMYFUNCTION("""COMPUTED_VALUE"""),1.0)</f>
        <v>1</v>
      </c>
      <c r="G4343" s="6" t="str">
        <f>IFERROR(__xludf.DUMMYFUNCTION("""COMPUTED_VALUE"""),"Pieces")</f>
        <v>Pieces</v>
      </c>
      <c r="H4343" s="6" t="str">
        <f>IFERROR(__xludf.DUMMYFUNCTION("""COMPUTED_VALUE"""),"IDR")</f>
        <v>IDR</v>
      </c>
      <c r="I4343" s="6">
        <f>IFERROR(__xludf.DUMMYFUNCTION("""COMPUTED_VALUE"""),2.2116973E7)</f>
        <v>22116973</v>
      </c>
      <c r="J4343" s="6">
        <f>IFERROR(__xludf.DUMMYFUNCTION("""COMPUTED_VALUE"""),2.2116973E7)</f>
        <v>22116973</v>
      </c>
      <c r="K4343" s="57">
        <f>IFERROR(__xludf.DUMMYFUNCTION("""COMPUTED_VALUE"""),45954.0)</f>
        <v>45954</v>
      </c>
      <c r="L4343" s="6" t="str">
        <f>IFERROR(__xludf.DUMMYFUNCTION("""COMPUTED_VALUE"""),"FIP Engineering")</f>
        <v>FIP Engineering</v>
      </c>
      <c r="M4343" s="6" t="str">
        <f>IFERROR(__xludf.DUMMYFUNCTION("""COMPUTED_VALUE"""),"Mochammad Fadhillah Hakim,")</f>
        <v>Mochammad Fadhillah Hakim,</v>
      </c>
      <c r="N4343" s="6" t="str">
        <f>IFERROR(__xludf.DUMMYFUNCTION("""COMPUTED_VALUE"""),"FIP Engineering")</f>
        <v>FIP Engineering</v>
      </c>
      <c r="O4343" s="6" t="str">
        <f>IFERROR(__xludf.DUMMYFUNCTION("""COMPUTED_VALUE"""),"FIP-DOM-000-11304-OS00001-INA-000000")</f>
        <v>FIP-DOM-000-11304-OS00001-INA-000000</v>
      </c>
      <c r="P4343" s="6" t="str">
        <f>IFERROR(__xludf.DUMMYFUNCTION("""COMPUTED_VALUE"""),"PO Closed")</f>
        <v>PO Closed</v>
      </c>
      <c r="Q4343" s="6" t="str">
        <f>IFERROR(__xludf.DUMMYFUNCTION("""COMPUTED_VALUE"""),"GL2509034")</f>
        <v>GL2509034</v>
      </c>
      <c r="R4343" s="57">
        <f>IFERROR(__xludf.DUMMYFUNCTION("""COMPUTED_VALUE"""),45891.0)</f>
        <v>45891</v>
      </c>
      <c r="S4343" s="57">
        <f>IFERROR(__xludf.DUMMYFUNCTION("""COMPUTED_VALUE"""),45894.0)</f>
        <v>45894</v>
      </c>
      <c r="T4343" s="57">
        <f>IFERROR(__xludf.DUMMYFUNCTION("""COMPUTED_VALUE"""),45985.0)</f>
        <v>45985</v>
      </c>
    </row>
    <row r="4344">
      <c r="A4344" s="6" t="str">
        <f>IFERROR(__xludf.DUMMYFUNCTION("""COMPUTED_VALUE"""),"121703160-1")</f>
        <v>121703160-1</v>
      </c>
      <c r="B4344" s="6" t="str">
        <f>IFERROR(__xludf.DUMMYFUNCTION("""COMPUTED_VALUE"""),"121703160 - APPROVED")</f>
        <v>121703160 - APPROVED</v>
      </c>
      <c r="C4344" s="6">
        <f>IFERROR(__xludf.DUMMYFUNCTION("""COMPUTED_VALUE"""),1.0)</f>
        <v>1</v>
      </c>
      <c r="D4344" s="6" t="str">
        <f>IFERROR(__xludf.DUMMYFUNCTION("""COMPUTED_VALUE"""),"P-12029-00")</f>
        <v>P-12029-00</v>
      </c>
      <c r="E4344" s="6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F4344" s="6">
        <f>IFERROR(__xludf.DUMMYFUNCTION("""COMPUTED_VALUE"""),5.0)</f>
        <v>5</v>
      </c>
      <c r="G4344" s="6" t="str">
        <f>IFERROR(__xludf.DUMMYFUNCTION("""COMPUTED_VALUE"""),"Pieces")</f>
        <v>Pieces</v>
      </c>
      <c r="H4344" s="6" t="str">
        <f>IFERROR(__xludf.DUMMYFUNCTION("""COMPUTED_VALUE"""),"IDR")</f>
        <v>IDR</v>
      </c>
      <c r="I4344" s="6">
        <f>IFERROR(__xludf.DUMMYFUNCTION("""COMPUTED_VALUE"""),200000.0)</f>
        <v>200000</v>
      </c>
      <c r="J4344" s="6">
        <f>IFERROR(__xludf.DUMMYFUNCTION("""COMPUTED_VALUE"""),1000000.0)</f>
        <v>1000000</v>
      </c>
      <c r="K4344" s="57">
        <f>IFERROR(__xludf.DUMMYFUNCTION("""COMPUTED_VALUE"""),45893.0)</f>
        <v>45893</v>
      </c>
      <c r="L4344" s="6" t="str">
        <f>IFERROR(__xludf.DUMMYFUNCTION("""COMPUTED_VALUE"""),"FIP Engineering")</f>
        <v>FIP Engineering</v>
      </c>
      <c r="M4344" s="6" t="str">
        <f>IFERROR(__xludf.DUMMYFUNCTION("""COMPUTED_VALUE"""),"Mochammad Fadhillah Hakim,")</f>
        <v>Mochammad Fadhillah Hakim,</v>
      </c>
      <c r="N4344" s="6" t="str">
        <f>IFERROR(__xludf.DUMMYFUNCTION("""COMPUTED_VALUE"""),"FIP Engineering")</f>
        <v>FIP Engineering</v>
      </c>
      <c r="O4344" s="6" t="str">
        <f>IFERROR(__xludf.DUMMYFUNCTION("""COMPUTED_VALUE"""),"FIP-DOM-000-11304-OS00001-INA-000000")</f>
        <v>FIP-DOM-000-11304-OS00001-INA-000000</v>
      </c>
      <c r="P4344" s="6" t="str">
        <f>IFERROR(__xludf.DUMMYFUNCTION("""COMPUTED_VALUE"""),"PO Closed")</f>
        <v>PO Closed</v>
      </c>
      <c r="Q4344" s="6" t="str">
        <f>IFERROR(__xludf.DUMMYFUNCTION("""COMPUTED_VALUE"""),"GL2509021")</f>
        <v>GL2509021</v>
      </c>
      <c r="R4344" s="57">
        <f>IFERROR(__xludf.DUMMYFUNCTION("""COMPUTED_VALUE"""),45891.0)</f>
        <v>45891</v>
      </c>
      <c r="S4344" s="57">
        <f>IFERROR(__xludf.DUMMYFUNCTION("""COMPUTED_VALUE"""),45891.0)</f>
        <v>45891</v>
      </c>
      <c r="T4344" s="57">
        <f>IFERROR(__xludf.DUMMYFUNCTION("""COMPUTED_VALUE"""),45926.0)</f>
        <v>45926</v>
      </c>
    </row>
    <row r="4345">
      <c r="A4345" s="6" t="str">
        <f>IFERROR(__xludf.DUMMYFUNCTION("""COMPUTED_VALUE"""),"121703161-1")</f>
        <v>121703161-1</v>
      </c>
      <c r="B4345" s="6" t="str">
        <f>IFERROR(__xludf.DUMMYFUNCTION("""COMPUTED_VALUE"""),"121703161 - APPROVED")</f>
        <v>121703161 - APPROVED</v>
      </c>
      <c r="C4345" s="6">
        <f>IFERROR(__xludf.DUMMYFUNCTION("""COMPUTED_VALUE"""),1.0)</f>
        <v>1</v>
      </c>
      <c r="D4345" s="6" t="str">
        <f>IFERROR(__xludf.DUMMYFUNCTION("""COMPUTED_VALUE"""),"T-20002-00")</f>
        <v>T-20002-00</v>
      </c>
      <c r="E4345" s="6" t="str">
        <f>IFERROR(__xludf.DUMMYFUNCTION("""COMPUTED_VALUE"""),"Jasa Perbaikan Alat Lab - TAP untuk HPLC 4 Unit")</f>
        <v>Jasa Perbaikan Alat Lab - TAP untuk HPLC 4 Unit</v>
      </c>
      <c r="F4345" s="6">
        <f>IFERROR(__xludf.DUMMYFUNCTION("""COMPUTED_VALUE"""),1.0)</f>
        <v>1</v>
      </c>
      <c r="G4345" s="6" t="str">
        <f>IFERROR(__xludf.DUMMYFUNCTION("""COMPUTED_VALUE"""),"Pieces")</f>
        <v>Pieces</v>
      </c>
      <c r="H4345" s="6" t="str">
        <f>IFERROR(__xludf.DUMMYFUNCTION("""COMPUTED_VALUE"""),"IDR")</f>
        <v>IDR</v>
      </c>
      <c r="I4345" s="6">
        <f>IFERROR(__xludf.DUMMYFUNCTION("""COMPUTED_VALUE"""),2.41360028E8)</f>
        <v>241360028</v>
      </c>
      <c r="J4345" s="6">
        <f>IFERROR(__xludf.DUMMYFUNCTION("""COMPUTED_VALUE"""),2.41360028E8)</f>
        <v>241360028</v>
      </c>
      <c r="K4345" s="57">
        <f>IFERROR(__xludf.DUMMYFUNCTION("""COMPUTED_VALUE"""),45989.0)</f>
        <v>45989</v>
      </c>
      <c r="L4345" s="6" t="str">
        <f>IFERROR(__xludf.DUMMYFUNCTION("""COMPUTED_VALUE"""),"FIP General")</f>
        <v>FIP General</v>
      </c>
      <c r="M4345" s="6" t="str">
        <f>IFERROR(__xludf.DUMMYFUNCTION("""COMPUTED_VALUE"""),"Mochammad Fadhillah Hakim,")</f>
        <v>Mochammad Fadhillah Hakim,</v>
      </c>
      <c r="N4345" s="6" t="str">
        <f>IFERROR(__xludf.DUMMYFUNCTION("""COMPUTED_VALUE"""),"FIP Engineering")</f>
        <v>FIP Engineering</v>
      </c>
      <c r="O4345" s="6" t="str">
        <f>IFERROR(__xludf.DUMMYFUNCTION("""COMPUTED_VALUE"""),"FIP-DOM-ENG-51505-0000000-INA-000000")</f>
        <v>FIP-DOM-ENG-51505-0000000-INA-000000</v>
      </c>
      <c r="P4345" s="6" t="str">
        <f>IFERROR(__xludf.DUMMYFUNCTION("""COMPUTED_VALUE"""),"PO Closed")</f>
        <v>PO Closed</v>
      </c>
      <c r="Q4345" s="6" t="str">
        <f>IFERROR(__xludf.DUMMYFUNCTION("""COMPUTED_VALUE"""),"GL2509054")</f>
        <v>GL2509054</v>
      </c>
      <c r="R4345" s="57">
        <f>IFERROR(__xludf.DUMMYFUNCTION("""COMPUTED_VALUE"""),45891.0)</f>
        <v>45891</v>
      </c>
      <c r="S4345" s="57">
        <f>IFERROR(__xludf.DUMMYFUNCTION("""COMPUTED_VALUE"""),45915.0)</f>
        <v>45915</v>
      </c>
      <c r="T4345" s="57">
        <f>IFERROR(__xludf.DUMMYFUNCTION("""COMPUTED_VALUE"""),46325.0)</f>
        <v>46325</v>
      </c>
    </row>
    <row r="4346">
      <c r="A4346" s="6" t="str">
        <f>IFERROR(__xludf.DUMMYFUNCTION("""COMPUTED_VALUE"""),"121703163-1")</f>
        <v>121703163-1</v>
      </c>
      <c r="B4346" s="6" t="str">
        <f>IFERROR(__xludf.DUMMYFUNCTION("""COMPUTED_VALUE"""),"121703163 - APPROVED")</f>
        <v>121703163 - APPROVED</v>
      </c>
      <c r="C4346" s="6">
        <f>IFERROR(__xludf.DUMMYFUNCTION("""COMPUTED_VALUE"""),1.0)</f>
        <v>1</v>
      </c>
      <c r="D4346" s="6" t="str">
        <f>IFERROR(__xludf.DUMMYFUNCTION("""COMPUTED_VALUE"""),"R-20023-00")</f>
        <v>R-20023-00</v>
      </c>
      <c r="E4346" s="6" t="str">
        <f>IFERROR(__xludf.DUMMYFUNCTION("""COMPUTED_VALUE"""),"Machine Change Parts; ; ; - Additional Cable Length")</f>
        <v>Machine Change Parts; ; ; - Additional Cable Length</v>
      </c>
      <c r="F4346" s="6">
        <f>IFERROR(__xludf.DUMMYFUNCTION("""COMPUTED_VALUE"""),1.0)</f>
        <v>1</v>
      </c>
      <c r="G4346" s="6" t="str">
        <f>IFERROR(__xludf.DUMMYFUNCTION("""COMPUTED_VALUE"""),"Unit")</f>
        <v>Unit</v>
      </c>
      <c r="H4346" s="6" t="str">
        <f>IFERROR(__xludf.DUMMYFUNCTION("""COMPUTED_VALUE"""),"EUR")</f>
        <v>EUR</v>
      </c>
      <c r="I4346" s="6">
        <f>IFERROR(__xludf.DUMMYFUNCTION("""COMPUTED_VALUE"""),1.7167967E8)</f>
        <v>171679670</v>
      </c>
      <c r="J4346" s="6">
        <f>IFERROR(__xludf.DUMMYFUNCTION("""COMPUTED_VALUE"""),1.7167967E8)</f>
        <v>171679670</v>
      </c>
      <c r="K4346" s="57">
        <f>IFERROR(__xludf.DUMMYFUNCTION("""COMPUTED_VALUE"""),45961.0)</f>
        <v>45961</v>
      </c>
      <c r="L4346" s="6" t="str">
        <f>IFERROR(__xludf.DUMMYFUNCTION("""COMPUTED_VALUE"""),"FIP General")</f>
        <v>FIP General</v>
      </c>
      <c r="M4346" s="6" t="str">
        <f>IFERROR(__xludf.DUMMYFUNCTION("""COMPUTED_VALUE"""),"Mochammad Fadhillah Hakim,")</f>
        <v>Mochammad Fadhillah Hakim,</v>
      </c>
      <c r="N4346" s="6" t="str">
        <f>IFERROR(__xludf.DUMMYFUNCTION("""COMPUTED_VALUE"""),"FIP Engineering")</f>
        <v>FIP Engineering</v>
      </c>
      <c r="O4346" s="6" t="str">
        <f>IFERROR(__xludf.DUMMYFUNCTION("""COMPUTED_VALUE"""),"FIP-DOM-PRJ-13404-MC25005-INA-000000")</f>
        <v>FIP-DOM-PRJ-13404-MC25005-INA-000000</v>
      </c>
      <c r="P4346" s="6" t="str">
        <f>IFERROR(__xludf.DUMMYFUNCTION("""COMPUTED_VALUE"""),"PO Closed")</f>
        <v>PO Closed</v>
      </c>
      <c r="Q4346" s="6" t="str">
        <f>IFERROR(__xludf.DUMMYFUNCTION("""COMPUTED_VALUE"""),"GL2509025")</f>
        <v>GL2509025</v>
      </c>
      <c r="R4346" s="57">
        <f>IFERROR(__xludf.DUMMYFUNCTION("""COMPUTED_VALUE"""),45894.0)</f>
        <v>45894</v>
      </c>
      <c r="S4346" s="57">
        <f>IFERROR(__xludf.DUMMYFUNCTION("""COMPUTED_VALUE"""),45902.0)</f>
        <v>45902</v>
      </c>
      <c r="T4346" s="57">
        <f>IFERROR(__xludf.DUMMYFUNCTION("""COMPUTED_VALUE"""),45961.0)</f>
        <v>45961</v>
      </c>
    </row>
    <row r="4347">
      <c r="A4347" s="6" t="str">
        <f>IFERROR(__xludf.DUMMYFUNCTION("""COMPUTED_VALUE"""),"121703163-2")</f>
        <v>121703163-2</v>
      </c>
      <c r="B4347" s="6" t="str">
        <f>IFERROR(__xludf.DUMMYFUNCTION("""COMPUTED_VALUE"""),"121703163 - APPROVED")</f>
        <v>121703163 - APPROVED</v>
      </c>
      <c r="C4347" s="6">
        <f>IFERROR(__xludf.DUMMYFUNCTION("""COMPUTED_VALUE"""),2.0)</f>
        <v>2</v>
      </c>
      <c r="D4347" s="6" t="str">
        <f>IFERROR(__xludf.DUMMYFUNCTION("""COMPUTED_VALUE"""),"R-20023-00")</f>
        <v>R-20023-00</v>
      </c>
      <c r="E4347" s="6" t="str">
        <f>IFERROR(__xludf.DUMMYFUNCTION("""COMPUTED_VALUE"""),"Machine Change Parts; ; ; - Hardware Upgrade")</f>
        <v>Machine Change Parts; ; ; - Hardware Upgrade</v>
      </c>
      <c r="F4347" s="6">
        <f>IFERROR(__xludf.DUMMYFUNCTION("""COMPUTED_VALUE"""),1.0)</f>
        <v>1</v>
      </c>
      <c r="G4347" s="6" t="str">
        <f>IFERROR(__xludf.DUMMYFUNCTION("""COMPUTED_VALUE"""),"Unit")</f>
        <v>Unit</v>
      </c>
      <c r="H4347" s="6" t="str">
        <f>IFERROR(__xludf.DUMMYFUNCTION("""COMPUTED_VALUE"""),"EUR")</f>
        <v>EUR</v>
      </c>
      <c r="I4347" s="6">
        <f>IFERROR(__xludf.DUMMYFUNCTION("""COMPUTED_VALUE"""),1.3526277E7)</f>
        <v>13526277</v>
      </c>
      <c r="J4347" s="6">
        <f>IFERROR(__xludf.DUMMYFUNCTION("""COMPUTED_VALUE"""),1.3526277E7)</f>
        <v>13526277</v>
      </c>
      <c r="K4347" s="57">
        <f>IFERROR(__xludf.DUMMYFUNCTION("""COMPUTED_VALUE"""),45961.0)</f>
        <v>45961</v>
      </c>
      <c r="L4347" s="6" t="str">
        <f>IFERROR(__xludf.DUMMYFUNCTION("""COMPUTED_VALUE"""),"FIP General")</f>
        <v>FIP General</v>
      </c>
      <c r="M4347" s="6" t="str">
        <f>IFERROR(__xludf.DUMMYFUNCTION("""COMPUTED_VALUE"""),"Mochammad Fadhillah Hakim,")</f>
        <v>Mochammad Fadhillah Hakim,</v>
      </c>
      <c r="N4347" s="6" t="str">
        <f>IFERROR(__xludf.DUMMYFUNCTION("""COMPUTED_VALUE"""),"FIP Engineering")</f>
        <v>FIP Engineering</v>
      </c>
      <c r="O4347" s="6" t="str">
        <f>IFERROR(__xludf.DUMMYFUNCTION("""COMPUTED_VALUE"""),"FIP-DOM-PRJ-13404-MC25005-INA-000000")</f>
        <v>FIP-DOM-PRJ-13404-MC25005-INA-000000</v>
      </c>
      <c r="P4347" s="6" t="str">
        <f>IFERROR(__xludf.DUMMYFUNCTION("""COMPUTED_VALUE"""),"PO Closed")</f>
        <v>PO Closed</v>
      </c>
      <c r="Q4347" s="6" t="str">
        <f>IFERROR(__xludf.DUMMYFUNCTION("""COMPUTED_VALUE"""),"GL2509025")</f>
        <v>GL2509025</v>
      </c>
      <c r="R4347" s="57">
        <f>IFERROR(__xludf.DUMMYFUNCTION("""COMPUTED_VALUE"""),45894.0)</f>
        <v>45894</v>
      </c>
      <c r="S4347" s="57">
        <f>IFERROR(__xludf.DUMMYFUNCTION("""COMPUTED_VALUE"""),45902.0)</f>
        <v>45902</v>
      </c>
      <c r="T4347" s="57">
        <f>IFERROR(__xludf.DUMMYFUNCTION("""COMPUTED_VALUE"""),45961.0)</f>
        <v>45961</v>
      </c>
    </row>
    <row r="4348">
      <c r="A4348" s="6" t="str">
        <f>IFERROR(__xludf.DUMMYFUNCTION("""COMPUTED_VALUE"""),"121703163-3")</f>
        <v>121703163-3</v>
      </c>
      <c r="B4348" s="6" t="str">
        <f>IFERROR(__xludf.DUMMYFUNCTION("""COMPUTED_VALUE"""),"121703163 - APPROVED")</f>
        <v>121703163 - APPROVED</v>
      </c>
      <c r="C4348" s="6">
        <f>IFERROR(__xludf.DUMMYFUNCTION("""COMPUTED_VALUE"""),3.0)</f>
        <v>3</v>
      </c>
      <c r="D4348" s="6" t="str">
        <f>IFERROR(__xludf.DUMMYFUNCTION("""COMPUTED_VALUE"""),"R-20023-00")</f>
        <v>R-20023-00</v>
      </c>
      <c r="E4348" s="6" t="str">
        <f>IFERROR(__xludf.DUMMYFUNCTION("""COMPUTED_VALUE"""),"Machine Change Parts; ; ; - Software Upgrade")</f>
        <v>Machine Change Parts; ; ; - Software Upgrade</v>
      </c>
      <c r="F4348" s="6">
        <f>IFERROR(__xludf.DUMMYFUNCTION("""COMPUTED_VALUE"""),1.0)</f>
        <v>1</v>
      </c>
      <c r="G4348" s="6" t="str">
        <f>IFERROR(__xludf.DUMMYFUNCTION("""COMPUTED_VALUE"""),"Unit")</f>
        <v>Unit</v>
      </c>
      <c r="H4348" s="6" t="str">
        <f>IFERROR(__xludf.DUMMYFUNCTION("""COMPUTED_VALUE"""),"EUR")</f>
        <v>EUR</v>
      </c>
      <c r="I4348" s="6">
        <f>IFERROR(__xludf.DUMMYFUNCTION("""COMPUTED_VALUE"""),1.49198998E8)</f>
        <v>149198998</v>
      </c>
      <c r="J4348" s="6">
        <f>IFERROR(__xludf.DUMMYFUNCTION("""COMPUTED_VALUE"""),1.49198998E8)</f>
        <v>149198998</v>
      </c>
      <c r="K4348" s="57">
        <f>IFERROR(__xludf.DUMMYFUNCTION("""COMPUTED_VALUE"""),45961.0)</f>
        <v>45961</v>
      </c>
      <c r="L4348" s="6" t="str">
        <f>IFERROR(__xludf.DUMMYFUNCTION("""COMPUTED_VALUE"""),"FIP General")</f>
        <v>FIP General</v>
      </c>
      <c r="M4348" s="6" t="str">
        <f>IFERROR(__xludf.DUMMYFUNCTION("""COMPUTED_VALUE"""),"Mochammad Fadhillah Hakim,")</f>
        <v>Mochammad Fadhillah Hakim,</v>
      </c>
      <c r="N4348" s="6" t="str">
        <f>IFERROR(__xludf.DUMMYFUNCTION("""COMPUTED_VALUE"""),"FIP Engineering")</f>
        <v>FIP Engineering</v>
      </c>
      <c r="O4348" s="6" t="str">
        <f>IFERROR(__xludf.DUMMYFUNCTION("""COMPUTED_VALUE"""),"FIP-DOM-PRJ-13404-MC25005-INA-000000")</f>
        <v>FIP-DOM-PRJ-13404-MC25005-INA-000000</v>
      </c>
      <c r="P4348" s="6" t="str">
        <f>IFERROR(__xludf.DUMMYFUNCTION("""COMPUTED_VALUE"""),"PO Closed")</f>
        <v>PO Closed</v>
      </c>
      <c r="Q4348" s="6" t="str">
        <f>IFERROR(__xludf.DUMMYFUNCTION("""COMPUTED_VALUE"""),"GL2509025")</f>
        <v>GL2509025</v>
      </c>
      <c r="R4348" s="57">
        <f>IFERROR(__xludf.DUMMYFUNCTION("""COMPUTED_VALUE"""),45894.0)</f>
        <v>45894</v>
      </c>
      <c r="S4348" s="57">
        <f>IFERROR(__xludf.DUMMYFUNCTION("""COMPUTED_VALUE"""),45902.0)</f>
        <v>45902</v>
      </c>
      <c r="T4348" s="57">
        <f>IFERROR(__xludf.DUMMYFUNCTION("""COMPUTED_VALUE"""),45961.0)</f>
        <v>45961</v>
      </c>
    </row>
    <row r="4349">
      <c r="A4349" s="6" t="str">
        <f>IFERROR(__xludf.DUMMYFUNCTION("""COMPUTED_VALUE"""),"121703173-1")</f>
        <v>121703173-1</v>
      </c>
      <c r="B4349" s="6" t="str">
        <f>IFERROR(__xludf.DUMMYFUNCTION("""COMPUTED_VALUE"""),"121703173 - APPROVED")</f>
        <v>121703173 - APPROVED</v>
      </c>
      <c r="C4349" s="6">
        <f>IFERROR(__xludf.DUMMYFUNCTION("""COMPUTED_VALUE"""),1.0)</f>
        <v>1</v>
      </c>
      <c r="D4349" s="6" t="str">
        <f>IFERROR(__xludf.DUMMYFUNCTION("""COMPUTED_VALUE"""),"T-20002-00")</f>
        <v>T-20002-00</v>
      </c>
      <c r="E4349" s="6" t="str">
        <f>IFERROR(__xludf.DUMMYFUNCTION("""COMPUTED_VALUE"""),"Jasa Perbaikan Alat Lab - Perbaikan Waterbath")</f>
        <v>Jasa Perbaikan Alat Lab - Perbaikan Waterbath</v>
      </c>
      <c r="F4349" s="6">
        <f>IFERROR(__xludf.DUMMYFUNCTION("""COMPUTED_VALUE"""),1.0)</f>
        <v>1</v>
      </c>
      <c r="G4349" s="6" t="str">
        <f>IFERROR(__xludf.DUMMYFUNCTION("""COMPUTED_VALUE"""),"Pieces")</f>
        <v>Pieces</v>
      </c>
      <c r="H4349" s="6" t="str">
        <f>IFERROR(__xludf.DUMMYFUNCTION("""COMPUTED_VALUE"""),"IDR")</f>
        <v>IDR</v>
      </c>
      <c r="I4349" s="6">
        <f>IFERROR(__xludf.DUMMYFUNCTION("""COMPUTED_VALUE"""),4200000.0)</f>
        <v>4200000</v>
      </c>
      <c r="J4349" s="6">
        <f>IFERROR(__xludf.DUMMYFUNCTION("""COMPUTED_VALUE"""),4200000.0)</f>
        <v>4200000</v>
      </c>
      <c r="K4349" s="57">
        <f>IFERROR(__xludf.DUMMYFUNCTION("""COMPUTED_VALUE"""),45933.0)</f>
        <v>45933</v>
      </c>
      <c r="L4349" s="6" t="str">
        <f>IFERROR(__xludf.DUMMYFUNCTION("""COMPUTED_VALUE"""),"FIP General")</f>
        <v>FIP General</v>
      </c>
      <c r="M4349" s="6" t="str">
        <f>IFERROR(__xludf.DUMMYFUNCTION("""COMPUTED_VALUE"""),"Mochammad Fadhillah Hakim,")</f>
        <v>Mochammad Fadhillah Hakim,</v>
      </c>
      <c r="N4349" s="6" t="str">
        <f>IFERROR(__xludf.DUMMYFUNCTION("""COMPUTED_VALUE"""),"FIP Engineering")</f>
        <v>FIP Engineering</v>
      </c>
      <c r="O4349" s="6" t="str">
        <f>IFERROR(__xludf.DUMMYFUNCTION("""COMPUTED_VALUE"""),"FIP-DOM-ENG-51505-0000000-INA-000000")</f>
        <v>FIP-DOM-ENG-51505-0000000-INA-000000</v>
      </c>
      <c r="P4349" s="6" t="str">
        <f>IFERROR(__xludf.DUMMYFUNCTION("""COMPUTED_VALUE"""),"PO Closed")</f>
        <v>PO Closed</v>
      </c>
      <c r="Q4349" s="6" t="str">
        <f>IFERROR(__xludf.DUMMYFUNCTION("""COMPUTED_VALUE"""),"GL2509057")</f>
        <v>GL2509057</v>
      </c>
      <c r="R4349" s="57">
        <f>IFERROR(__xludf.DUMMYFUNCTION("""COMPUTED_VALUE"""),45897.0)</f>
        <v>45897</v>
      </c>
      <c r="S4349" s="57">
        <f>IFERROR(__xludf.DUMMYFUNCTION("""COMPUTED_VALUE"""),45915.0)</f>
        <v>45915</v>
      </c>
      <c r="T4349" s="57">
        <f>IFERROR(__xludf.DUMMYFUNCTION("""COMPUTED_VALUE"""),45954.0)</f>
        <v>45954</v>
      </c>
    </row>
    <row r="4350">
      <c r="A4350" s="6" t="str">
        <f>IFERROR(__xludf.DUMMYFUNCTION("""COMPUTED_VALUE"""),"121703174-1")</f>
        <v>121703174-1</v>
      </c>
      <c r="B4350" s="6" t="str">
        <f>IFERROR(__xludf.DUMMYFUNCTION("""COMPUTED_VALUE"""),"121703174 - APPROVED")</f>
        <v>121703174 - APPROVED</v>
      </c>
      <c r="C4350" s="6">
        <f>IFERROR(__xludf.DUMMYFUNCTION("""COMPUTED_VALUE"""),1.0)</f>
        <v>1</v>
      </c>
      <c r="D4350" s="6" t="str">
        <f>IFERROR(__xludf.DUMMYFUNCTION("""COMPUTED_VALUE"""),"O-20983-00")</f>
        <v>O-20983-00</v>
      </c>
      <c r="E4350" s="6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F4350" s="6">
        <f>IFERROR(__xludf.DUMMYFUNCTION("""COMPUTED_VALUE"""),1.0)</f>
        <v>1</v>
      </c>
      <c r="G4350" s="6" t="str">
        <f>IFERROR(__xludf.DUMMYFUNCTION("""COMPUTED_VALUE"""),"Pieces")</f>
        <v>Pieces</v>
      </c>
      <c r="H4350" s="6" t="str">
        <f>IFERROR(__xludf.DUMMYFUNCTION("""COMPUTED_VALUE"""),"IDR")</f>
        <v>IDR</v>
      </c>
      <c r="I4350" s="6">
        <f>IFERROR(__xludf.DUMMYFUNCTION("""COMPUTED_VALUE"""),3550000.0)</f>
        <v>3550000</v>
      </c>
      <c r="J4350" s="6">
        <f>IFERROR(__xludf.DUMMYFUNCTION("""COMPUTED_VALUE"""),3550000.0)</f>
        <v>3550000</v>
      </c>
      <c r="K4350" s="57">
        <f>IFERROR(__xludf.DUMMYFUNCTION("""COMPUTED_VALUE"""),45933.0)</f>
        <v>45933</v>
      </c>
      <c r="L4350" s="6" t="str">
        <f>IFERROR(__xludf.DUMMYFUNCTION("""COMPUTED_VALUE"""),"FIP Engineering")</f>
        <v>FIP Engineering</v>
      </c>
      <c r="M4350" s="6" t="str">
        <f>IFERROR(__xludf.DUMMYFUNCTION("""COMPUTED_VALUE"""),"Mochammad Fadhillah Hakim,")</f>
        <v>Mochammad Fadhillah Hakim,</v>
      </c>
      <c r="N4350" s="6" t="str">
        <f>IFERROR(__xludf.DUMMYFUNCTION("""COMPUTED_VALUE"""),"FIP Engineering")</f>
        <v>FIP Engineering</v>
      </c>
      <c r="O4350" s="6" t="str">
        <f>IFERROR(__xludf.DUMMYFUNCTION("""COMPUTED_VALUE"""),"FIP-DOM-000-11304-OS00001-INA-000000")</f>
        <v>FIP-DOM-000-11304-OS00001-INA-000000</v>
      </c>
      <c r="P4350" s="6" t="str">
        <f>IFERROR(__xludf.DUMMYFUNCTION("""COMPUTED_VALUE"""),"PO Closed")</f>
        <v>PO Closed</v>
      </c>
      <c r="Q4350" s="6" t="str">
        <f>IFERROR(__xludf.DUMMYFUNCTION("""COMPUTED_VALUE"""),"GL2510002")</f>
        <v>GL2510002</v>
      </c>
      <c r="R4350" s="57">
        <f>IFERROR(__xludf.DUMMYFUNCTION("""COMPUTED_VALUE"""),45897.0)</f>
        <v>45897</v>
      </c>
      <c r="S4350" s="57">
        <f>IFERROR(__xludf.DUMMYFUNCTION("""COMPUTED_VALUE"""),45908.0)</f>
        <v>45908</v>
      </c>
      <c r="T4350" s="57">
        <f>IFERROR(__xludf.DUMMYFUNCTION("""COMPUTED_VALUE"""),45971.0)</f>
        <v>45971</v>
      </c>
    </row>
    <row r="4351">
      <c r="A4351" s="6" t="str">
        <f>IFERROR(__xludf.DUMMYFUNCTION("""COMPUTED_VALUE"""),"121703178-1")</f>
        <v>121703178-1</v>
      </c>
      <c r="B4351" s="6" t="str">
        <f>IFERROR(__xludf.DUMMYFUNCTION("""COMPUTED_VALUE"""),"121703178 - APPROVED")</f>
        <v>121703178 - APPROVED</v>
      </c>
      <c r="C4351" s="6">
        <f>IFERROR(__xludf.DUMMYFUNCTION("""COMPUTED_VALUE"""),1.0)</f>
        <v>1</v>
      </c>
      <c r="D4351" s="6" t="str">
        <f>IFERROR(__xludf.DUMMYFUNCTION("""COMPUTED_VALUE"""),"P-11182-00")</f>
        <v>P-11182-00</v>
      </c>
      <c r="E4351" s="6" t="str">
        <f>IFERROR(__xludf.DUMMYFUNCTION("""COMPUTED_VALUE"""),"General - Push-in Connector, QS-6; Festo; 153032; 1 pcs")</f>
        <v>General - Push-in Connector, QS-6; Festo; 153032; 1 pcs</v>
      </c>
      <c r="F4351" s="6">
        <f>IFERROR(__xludf.DUMMYFUNCTION("""COMPUTED_VALUE"""),10.0)</f>
        <v>10</v>
      </c>
      <c r="G4351" s="6" t="str">
        <f>IFERROR(__xludf.DUMMYFUNCTION("""COMPUTED_VALUE"""),"Pieces")</f>
        <v>Pieces</v>
      </c>
      <c r="H4351" s="6" t="str">
        <f>IFERROR(__xludf.DUMMYFUNCTION("""COMPUTED_VALUE"""),"IDR")</f>
        <v>IDR</v>
      </c>
      <c r="I4351" s="6">
        <f>IFERROR(__xludf.DUMMYFUNCTION("""COMPUTED_VALUE"""),44049.0)</f>
        <v>44049</v>
      </c>
      <c r="J4351" s="6">
        <f>IFERROR(__xludf.DUMMYFUNCTION("""COMPUTED_VALUE"""),440490.0)</f>
        <v>440490</v>
      </c>
      <c r="K4351" s="57">
        <f>IFERROR(__xludf.DUMMYFUNCTION("""COMPUTED_VALUE"""),45933.0)</f>
        <v>45933</v>
      </c>
      <c r="L4351" s="6" t="str">
        <f>IFERROR(__xludf.DUMMYFUNCTION("""COMPUTED_VALUE"""),"FIP Engineering")</f>
        <v>FIP Engineering</v>
      </c>
      <c r="M4351" s="6" t="str">
        <f>IFERROR(__xludf.DUMMYFUNCTION("""COMPUTED_VALUE"""),"Mochammad Fadhillah Hakim,")</f>
        <v>Mochammad Fadhillah Hakim,</v>
      </c>
      <c r="N4351" s="6" t="str">
        <f>IFERROR(__xludf.DUMMYFUNCTION("""COMPUTED_VALUE"""),"FIP Engineering")</f>
        <v>FIP Engineering</v>
      </c>
      <c r="O4351" s="6" t="str">
        <f>IFERROR(__xludf.DUMMYFUNCTION("""COMPUTED_VALUE"""),"FIP-DOM-000-11304-OS00001-INA-000000")</f>
        <v>FIP-DOM-000-11304-OS00001-INA-000000</v>
      </c>
      <c r="P4351" s="6" t="str">
        <f>IFERROR(__xludf.DUMMYFUNCTION("""COMPUTED_VALUE"""),"PO Closed")</f>
        <v>PO Closed</v>
      </c>
      <c r="Q4351" s="6" t="str">
        <f>IFERROR(__xludf.DUMMYFUNCTION("""COMPUTED_VALUE"""),"GL2509447")</f>
        <v>GL2509447</v>
      </c>
      <c r="R4351" s="57">
        <f>IFERROR(__xludf.DUMMYFUNCTION("""COMPUTED_VALUE"""),45901.0)</f>
        <v>45901</v>
      </c>
      <c r="S4351" s="57">
        <f>IFERROR(__xludf.DUMMYFUNCTION("""COMPUTED_VALUE"""),45908.0)</f>
        <v>45908</v>
      </c>
      <c r="T4351" s="57">
        <f>IFERROR(__xludf.DUMMYFUNCTION("""COMPUTED_VALUE"""),45933.0)</f>
        <v>45933</v>
      </c>
    </row>
    <row r="4352">
      <c r="A4352" s="6" t="str">
        <f>IFERROR(__xludf.DUMMYFUNCTION("""COMPUTED_VALUE"""),"121703179-1")</f>
        <v>121703179-1</v>
      </c>
      <c r="B4352" s="6" t="str">
        <f>IFERROR(__xludf.DUMMYFUNCTION("""COMPUTED_VALUE"""),"121703179 - APPROVED")</f>
        <v>121703179 - APPROVED</v>
      </c>
      <c r="C4352" s="6">
        <f>IFERROR(__xludf.DUMMYFUNCTION("""COMPUTED_VALUE"""),1.0)</f>
        <v>1</v>
      </c>
      <c r="D4352" s="6" t="str">
        <f>IFERROR(__xludf.DUMMYFUNCTION("""COMPUTED_VALUE"""),"P-54402-00")</f>
        <v>P-54402-00</v>
      </c>
      <c r="E4352" s="6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F4352" s="6">
        <f>IFERROR(__xludf.DUMMYFUNCTION("""COMPUTED_VALUE"""),6.0)</f>
        <v>6</v>
      </c>
      <c r="G4352" s="6" t="str">
        <f>IFERROR(__xludf.DUMMYFUNCTION("""COMPUTED_VALUE"""),"Pieces")</f>
        <v>Pieces</v>
      </c>
      <c r="H4352" s="6" t="str">
        <f>IFERROR(__xludf.DUMMYFUNCTION("""COMPUTED_VALUE"""),"IDR")</f>
        <v>IDR</v>
      </c>
      <c r="I4352" s="6">
        <f>IFERROR(__xludf.DUMMYFUNCTION("""COMPUTED_VALUE"""),306200.0)</f>
        <v>306200</v>
      </c>
      <c r="J4352" s="6">
        <f>IFERROR(__xludf.DUMMYFUNCTION("""COMPUTED_VALUE"""),1837200.0)</f>
        <v>1837200</v>
      </c>
      <c r="K4352" s="57">
        <f>IFERROR(__xludf.DUMMYFUNCTION("""COMPUTED_VALUE"""),45925.0)</f>
        <v>45925</v>
      </c>
      <c r="L4352" s="6" t="str">
        <f>IFERROR(__xludf.DUMMYFUNCTION("""COMPUTED_VALUE"""),"FIP Engineering")</f>
        <v>FIP Engineering</v>
      </c>
      <c r="M4352" s="6" t="str">
        <f>IFERROR(__xludf.DUMMYFUNCTION("""COMPUTED_VALUE"""),"Mochammad Fadhillah Hakim,")</f>
        <v>Mochammad Fadhillah Hakim,</v>
      </c>
      <c r="N4352" s="6" t="str">
        <f>IFERROR(__xludf.DUMMYFUNCTION("""COMPUTED_VALUE"""),"FIP Engineering")</f>
        <v>FIP Engineering</v>
      </c>
      <c r="O4352" s="6" t="str">
        <f>IFERROR(__xludf.DUMMYFUNCTION("""COMPUTED_VALUE"""),"FIP-DOM-000-11304-OS00001-INA-000000")</f>
        <v>FIP-DOM-000-11304-OS00001-INA-000000</v>
      </c>
      <c r="P4352" s="6" t="str">
        <f>IFERROR(__xludf.DUMMYFUNCTION("""COMPUTED_VALUE"""),"PO Closed")</f>
        <v>PO Closed</v>
      </c>
      <c r="Q4352" s="6" t="str">
        <f>IFERROR(__xludf.DUMMYFUNCTION("""COMPUTED_VALUE"""),"GL2509032")</f>
        <v>GL2509032</v>
      </c>
      <c r="R4352" s="57">
        <f>IFERROR(__xludf.DUMMYFUNCTION("""COMPUTED_VALUE"""),45901.0)</f>
        <v>45901</v>
      </c>
      <c r="S4352" s="57">
        <f>IFERROR(__xludf.DUMMYFUNCTION("""COMPUTED_VALUE"""),45908.0)</f>
        <v>45908</v>
      </c>
      <c r="T4352" s="57">
        <f>IFERROR(__xludf.DUMMYFUNCTION("""COMPUTED_VALUE"""),45925.0)</f>
        <v>45925</v>
      </c>
    </row>
    <row r="4353">
      <c r="A4353" s="6" t="str">
        <f>IFERROR(__xludf.DUMMYFUNCTION("""COMPUTED_VALUE"""),"121703180-1")</f>
        <v>121703180-1</v>
      </c>
      <c r="B4353" s="6" t="str">
        <f>IFERROR(__xludf.DUMMYFUNCTION("""COMPUTED_VALUE"""),"121703180 - APPROVED")</f>
        <v>121703180 - APPROVED</v>
      </c>
      <c r="C4353" s="6">
        <f>IFERROR(__xludf.DUMMYFUNCTION("""COMPUTED_VALUE"""),1.0)</f>
        <v>1</v>
      </c>
      <c r="D4353" s="6" t="str">
        <f>IFERROR(__xludf.DUMMYFUNCTION("""COMPUTED_VALUE"""),"P-15862-00")</f>
        <v>P-15862-00</v>
      </c>
      <c r="E4353" s="6" t="str">
        <f>IFERROR(__xludf.DUMMYFUNCTION("""COMPUTED_VALUE"""),"PAPER RECORD YOKOGAWA; FOLDING CHART B9565AW")</f>
        <v>PAPER RECORD YOKOGAWA; FOLDING CHART B9565AW</v>
      </c>
      <c r="F4353" s="6">
        <f>IFERROR(__xludf.DUMMYFUNCTION("""COMPUTED_VALUE"""),15.0)</f>
        <v>15</v>
      </c>
      <c r="G4353" s="6" t="str">
        <f>IFERROR(__xludf.DUMMYFUNCTION("""COMPUTED_VALUE"""),"Pieces")</f>
        <v>Pieces</v>
      </c>
      <c r="H4353" s="6" t="str">
        <f>IFERROR(__xludf.DUMMYFUNCTION("""COMPUTED_VALUE"""),"IDR")</f>
        <v>IDR</v>
      </c>
      <c r="I4353" s="6">
        <f>IFERROR(__xludf.DUMMYFUNCTION("""COMPUTED_VALUE"""),230000.0)</f>
        <v>230000</v>
      </c>
      <c r="J4353" s="6">
        <f>IFERROR(__xludf.DUMMYFUNCTION("""COMPUTED_VALUE"""),3450000.0)</f>
        <v>3450000</v>
      </c>
      <c r="K4353" s="57">
        <f>IFERROR(__xludf.DUMMYFUNCTION("""COMPUTED_VALUE"""),45926.0)</f>
        <v>45926</v>
      </c>
      <c r="L4353" s="6" t="str">
        <f>IFERROR(__xludf.DUMMYFUNCTION("""COMPUTED_VALUE"""),"FIP Engineering")</f>
        <v>FIP Engineering</v>
      </c>
      <c r="M4353" s="6" t="str">
        <f>IFERROR(__xludf.DUMMYFUNCTION("""COMPUTED_VALUE"""),"Mochammad Fadhillah Hakim,")</f>
        <v>Mochammad Fadhillah Hakim,</v>
      </c>
      <c r="N4353" s="6" t="str">
        <f>IFERROR(__xludf.DUMMYFUNCTION("""COMPUTED_VALUE"""),"FIP Engineering")</f>
        <v>FIP Engineering</v>
      </c>
      <c r="O4353" s="6" t="str">
        <f>IFERROR(__xludf.DUMMYFUNCTION("""COMPUTED_VALUE"""),"FIP-DOM-000-11304-OS00001-INA-000000")</f>
        <v>FIP-DOM-000-11304-OS00001-INA-000000</v>
      </c>
      <c r="P4353" s="6" t="str">
        <f>IFERROR(__xludf.DUMMYFUNCTION("""COMPUTED_VALUE"""),"PO Closed")</f>
        <v>PO Closed</v>
      </c>
      <c r="Q4353" s="6" t="str">
        <f>IFERROR(__xludf.DUMMYFUNCTION("""COMPUTED_VALUE"""),"GL2509037")</f>
        <v>GL2509037</v>
      </c>
      <c r="R4353" s="57">
        <f>IFERROR(__xludf.DUMMYFUNCTION("""COMPUTED_VALUE"""),45901.0)</f>
        <v>45901</v>
      </c>
      <c r="S4353" s="57">
        <f>IFERROR(__xludf.DUMMYFUNCTION("""COMPUTED_VALUE"""),45908.0)</f>
        <v>45908</v>
      </c>
      <c r="T4353" s="57">
        <f>IFERROR(__xludf.DUMMYFUNCTION("""COMPUTED_VALUE"""),45926.0)</f>
        <v>45926</v>
      </c>
    </row>
    <row r="4354">
      <c r="A4354" s="6" t="str">
        <f>IFERROR(__xludf.DUMMYFUNCTION("""COMPUTED_VALUE"""),"121703183-1")</f>
        <v>121703183-1</v>
      </c>
      <c r="B4354" s="6" t="str">
        <f>IFERROR(__xludf.DUMMYFUNCTION("""COMPUTED_VALUE"""),"121703183 - APPROVED")</f>
        <v>121703183 - APPROVED</v>
      </c>
      <c r="C4354" s="6">
        <f>IFERROR(__xludf.DUMMYFUNCTION("""COMPUTED_VALUE"""),1.0)</f>
        <v>1</v>
      </c>
      <c r="D4354" s="6" t="str">
        <f>IFERROR(__xludf.DUMMYFUNCTION("""COMPUTED_VALUE"""),"O-52277-00")</f>
        <v>O-52277-00</v>
      </c>
      <c r="E4354" s="6" t="str">
        <f>IFERROR(__xludf.DUMMYFUNCTION("""COMPUTED_VALUE"""),"Chin Yen CY-1300S-N - Label Sensor; SICK; Part No. WF2-40B410;")</f>
        <v>Chin Yen CY-1300S-N - Label Sensor; SICK; Part No. WF2-40B410;</v>
      </c>
      <c r="F4354" s="6">
        <f>IFERROR(__xludf.DUMMYFUNCTION("""COMPUTED_VALUE"""),2.0)</f>
        <v>2</v>
      </c>
      <c r="G4354" s="6" t="str">
        <f>IFERROR(__xludf.DUMMYFUNCTION("""COMPUTED_VALUE"""),"Pieces")</f>
        <v>Pieces</v>
      </c>
      <c r="H4354" s="6" t="str">
        <f>IFERROR(__xludf.DUMMYFUNCTION("""COMPUTED_VALUE"""),"IDR")</f>
        <v>IDR</v>
      </c>
      <c r="I4354" s="6">
        <f>IFERROR(__xludf.DUMMYFUNCTION("""COMPUTED_VALUE"""),3195000.0)</f>
        <v>3195000</v>
      </c>
      <c r="J4354" s="6">
        <f>IFERROR(__xludf.DUMMYFUNCTION("""COMPUTED_VALUE"""),6390000.0)</f>
        <v>6390000</v>
      </c>
      <c r="K4354" s="57">
        <f>IFERROR(__xludf.DUMMYFUNCTION("""COMPUTED_VALUE"""),45933.0)</f>
        <v>45933</v>
      </c>
      <c r="L4354" s="6" t="str">
        <f>IFERROR(__xludf.DUMMYFUNCTION("""COMPUTED_VALUE"""),"FIP Engineering")</f>
        <v>FIP Engineering</v>
      </c>
      <c r="M4354" s="6" t="str">
        <f>IFERROR(__xludf.DUMMYFUNCTION("""COMPUTED_VALUE"""),"Mochammad Fadhillah Hakim,")</f>
        <v>Mochammad Fadhillah Hakim,</v>
      </c>
      <c r="N4354" s="6" t="str">
        <f>IFERROR(__xludf.DUMMYFUNCTION("""COMPUTED_VALUE"""),"FIP Engineering")</f>
        <v>FIP Engineering</v>
      </c>
      <c r="O4354" s="6" t="str">
        <f>IFERROR(__xludf.DUMMYFUNCTION("""COMPUTED_VALUE"""),"FIP-DOM-000-11304-OS00001-INA-000000")</f>
        <v>FIP-DOM-000-11304-OS00001-INA-000000</v>
      </c>
      <c r="P4354" s="6" t="str">
        <f>IFERROR(__xludf.DUMMYFUNCTION("""COMPUTED_VALUE"""),"PO Closed")</f>
        <v>PO Closed</v>
      </c>
      <c r="Q4354" s="6" t="str">
        <f>IFERROR(__xludf.DUMMYFUNCTION("""COMPUTED_VALUE"""),"GL2510466")</f>
        <v>GL2510466</v>
      </c>
      <c r="R4354" s="57">
        <f>IFERROR(__xludf.DUMMYFUNCTION("""COMPUTED_VALUE"""),45902.0)</f>
        <v>45902</v>
      </c>
      <c r="S4354" s="57">
        <f>IFERROR(__xludf.DUMMYFUNCTION("""COMPUTED_VALUE"""),45911.0)</f>
        <v>45911</v>
      </c>
      <c r="T4354" s="57">
        <f>IFERROR(__xludf.DUMMYFUNCTION("""COMPUTED_VALUE"""),45964.0)</f>
        <v>45964</v>
      </c>
    </row>
    <row r="4355">
      <c r="A4355" s="6" t="str">
        <f>IFERROR(__xludf.DUMMYFUNCTION("""COMPUTED_VALUE"""),"121703186-1")</f>
        <v>121703186-1</v>
      </c>
      <c r="B4355" s="6" t="str">
        <f>IFERROR(__xludf.DUMMYFUNCTION("""COMPUTED_VALUE"""),"121703186 - APPROVED")</f>
        <v>121703186 - APPROVED</v>
      </c>
      <c r="C4355" s="6">
        <f>IFERROR(__xludf.DUMMYFUNCTION("""COMPUTED_VALUE"""),1.0)</f>
        <v>1</v>
      </c>
      <c r="D4355" s="6" t="str">
        <f>IFERROR(__xludf.DUMMYFUNCTION("""COMPUTED_VALUE"""),"Q-12060-00")</f>
        <v>Q-12060-00</v>
      </c>
      <c r="E4355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F4355" s="6">
        <f>IFERROR(__xludf.DUMMYFUNCTION("""COMPUTED_VALUE"""),50.0)</f>
        <v>50</v>
      </c>
      <c r="G4355" s="6" t="str">
        <f>IFERROR(__xludf.DUMMYFUNCTION("""COMPUTED_VALUE"""),"Botol")</f>
        <v>Botol</v>
      </c>
      <c r="H4355" s="6" t="str">
        <f>IFERROR(__xludf.DUMMYFUNCTION("""COMPUTED_VALUE"""),"IDR")</f>
        <v>IDR</v>
      </c>
      <c r="I4355" s="6">
        <f>IFERROR(__xludf.DUMMYFUNCTION("""COMPUTED_VALUE"""),68500.0)</f>
        <v>68500</v>
      </c>
      <c r="J4355" s="6">
        <f>IFERROR(__xludf.DUMMYFUNCTION("""COMPUTED_VALUE"""),3425000.0)</f>
        <v>3425000</v>
      </c>
      <c r="K4355" s="57">
        <f>IFERROR(__xludf.DUMMYFUNCTION("""COMPUTED_VALUE"""),45925.0)</f>
        <v>45925</v>
      </c>
      <c r="L4355" s="6" t="str">
        <f>IFERROR(__xludf.DUMMYFUNCTION("""COMPUTED_VALUE"""),"FIP Engineering")</f>
        <v>FIP Engineering</v>
      </c>
      <c r="M4355" s="6" t="str">
        <f>IFERROR(__xludf.DUMMYFUNCTION("""COMPUTED_VALUE"""),"Mochammad Fadhillah Hakim,")</f>
        <v>Mochammad Fadhillah Hakim,</v>
      </c>
      <c r="N4355" s="6" t="str">
        <f>IFERROR(__xludf.DUMMYFUNCTION("""COMPUTED_VALUE"""),"FIP Engineering")</f>
        <v>FIP Engineering</v>
      </c>
      <c r="O4355" s="6" t="str">
        <f>IFERROR(__xludf.DUMMYFUNCTION("""COMPUTED_VALUE"""),"FIP-DOM-000-11304-OS00001-INA-000000")</f>
        <v>FIP-DOM-000-11304-OS00001-INA-000000</v>
      </c>
      <c r="P4355" s="6" t="str">
        <f>IFERROR(__xludf.DUMMYFUNCTION("""COMPUTED_VALUE"""),"PO Closed")</f>
        <v>PO Closed</v>
      </c>
      <c r="Q4355" s="6" t="str">
        <f>IFERROR(__xludf.DUMMYFUNCTION("""COMPUTED_VALUE"""),"GL2509029")</f>
        <v>GL2509029</v>
      </c>
      <c r="R4355" s="57">
        <f>IFERROR(__xludf.DUMMYFUNCTION("""COMPUTED_VALUE"""),45902.0)</f>
        <v>45902</v>
      </c>
      <c r="S4355" s="57">
        <f>IFERROR(__xludf.DUMMYFUNCTION("""COMPUTED_VALUE"""),45908.0)</f>
        <v>45908</v>
      </c>
      <c r="T4355" s="57">
        <f>IFERROR(__xludf.DUMMYFUNCTION("""COMPUTED_VALUE"""),45925.0)</f>
        <v>45925</v>
      </c>
    </row>
    <row r="4356">
      <c r="A4356" s="6" t="str">
        <f>IFERROR(__xludf.DUMMYFUNCTION("""COMPUTED_VALUE"""),"121703198-1")</f>
        <v>121703198-1</v>
      </c>
      <c r="B4356" s="6" t="str">
        <f>IFERROR(__xludf.DUMMYFUNCTION("""COMPUTED_VALUE"""),"121703198 - APPROVED")</f>
        <v>121703198 - APPROVED</v>
      </c>
      <c r="C4356" s="6">
        <f>IFERROR(__xludf.DUMMYFUNCTION("""COMPUTED_VALUE"""),1.0)</f>
        <v>1</v>
      </c>
      <c r="D4356" s="6" t="str">
        <f>IFERROR(__xludf.DUMMYFUNCTION("""COMPUTED_VALUE"""),"P-10564-00")</f>
        <v>P-10564-00</v>
      </c>
      <c r="E4356" s="6" t="str">
        <f>IFERROR(__xludf.DUMMYFUNCTION("""COMPUTED_VALUE"""),"Bearing 6000 2RS H SKF")</f>
        <v>Bearing 6000 2RS H SKF</v>
      </c>
      <c r="F4356" s="6">
        <f>IFERROR(__xludf.DUMMYFUNCTION("""COMPUTED_VALUE"""),30.0)</f>
        <v>30</v>
      </c>
      <c r="G4356" s="6" t="str">
        <f>IFERROR(__xludf.DUMMYFUNCTION("""COMPUTED_VALUE"""),"Pieces")</f>
        <v>Pieces</v>
      </c>
      <c r="H4356" s="6" t="str">
        <f>IFERROR(__xludf.DUMMYFUNCTION("""COMPUTED_VALUE"""),"IDR")</f>
        <v>IDR</v>
      </c>
      <c r="I4356" s="6">
        <f>IFERROR(__xludf.DUMMYFUNCTION("""COMPUTED_VALUE"""),26940.0)</f>
        <v>26940</v>
      </c>
      <c r="J4356" s="6">
        <f>IFERROR(__xludf.DUMMYFUNCTION("""COMPUTED_VALUE"""),808200.0)</f>
        <v>808200</v>
      </c>
      <c r="K4356" s="57">
        <f>IFERROR(__xludf.DUMMYFUNCTION("""COMPUTED_VALUE"""),45940.0)</f>
        <v>45940</v>
      </c>
      <c r="L4356" s="6" t="str">
        <f>IFERROR(__xludf.DUMMYFUNCTION("""COMPUTED_VALUE"""),"FIP Engineering")</f>
        <v>FIP Engineering</v>
      </c>
      <c r="M4356" s="6" t="str">
        <f>IFERROR(__xludf.DUMMYFUNCTION("""COMPUTED_VALUE"""),"Mochammad Fadhillah Hakim,")</f>
        <v>Mochammad Fadhillah Hakim,</v>
      </c>
      <c r="N4356" s="6" t="str">
        <f>IFERROR(__xludf.DUMMYFUNCTION("""COMPUTED_VALUE"""),"FIP Engineering")</f>
        <v>FIP Engineering</v>
      </c>
      <c r="O4356" s="6" t="str">
        <f>IFERROR(__xludf.DUMMYFUNCTION("""COMPUTED_VALUE"""),"FIP-DOM-000-11304-OS00001-INA-000000")</f>
        <v>FIP-DOM-000-11304-OS00001-INA-000000</v>
      </c>
      <c r="P4356" s="6" t="str">
        <f>IFERROR(__xludf.DUMMYFUNCTION("""COMPUTED_VALUE"""),"PO Closed")</f>
        <v>PO Closed</v>
      </c>
      <c r="Q4356" s="6" t="str">
        <f>IFERROR(__xludf.DUMMYFUNCTION("""COMPUTED_VALUE"""),"GL2509457")</f>
        <v>GL2509457</v>
      </c>
      <c r="R4356" s="57">
        <f>IFERROR(__xludf.DUMMYFUNCTION("""COMPUTED_VALUE"""),45909.0)</f>
        <v>45909</v>
      </c>
      <c r="S4356" s="57">
        <f>IFERROR(__xludf.DUMMYFUNCTION("""COMPUTED_VALUE"""),45910.0)</f>
        <v>45910</v>
      </c>
      <c r="T4356" s="57">
        <f>IFERROR(__xludf.DUMMYFUNCTION("""COMPUTED_VALUE"""),45940.0)</f>
        <v>45940</v>
      </c>
    </row>
    <row r="4357">
      <c r="A4357" s="6" t="str">
        <f>IFERROR(__xludf.DUMMYFUNCTION("""COMPUTED_VALUE"""),"121703199-1")</f>
        <v>121703199-1</v>
      </c>
      <c r="B4357" s="6" t="str">
        <f>IFERROR(__xludf.DUMMYFUNCTION("""COMPUTED_VALUE"""),"121703199 - APPROVED")</f>
        <v>121703199 - APPROVED</v>
      </c>
      <c r="C4357" s="6">
        <f>IFERROR(__xludf.DUMMYFUNCTION("""COMPUTED_VALUE"""),1.0)</f>
        <v>1</v>
      </c>
      <c r="D4357" s="6" t="str">
        <f>IFERROR(__xludf.DUMMYFUNCTION("""COMPUTED_VALUE"""),"O-15489-00")</f>
        <v>O-15489-00</v>
      </c>
      <c r="E4357" s="6" t="str">
        <f>IFERROR(__xludf.DUMMYFUNCTION("""COMPUTED_VALUE"""),"SPA 1120 Brand : Optibelt / Bando Merah; Optibelt; ;")</f>
        <v>SPA 1120 Brand : Optibelt / Bando Merah; Optibelt; ;</v>
      </c>
      <c r="F4357" s="6">
        <f>IFERROR(__xludf.DUMMYFUNCTION("""COMPUTED_VALUE"""),5.0)</f>
        <v>5</v>
      </c>
      <c r="G4357" s="6" t="str">
        <f>IFERROR(__xludf.DUMMYFUNCTION("""COMPUTED_VALUE"""),"Pieces")</f>
        <v>Pieces</v>
      </c>
      <c r="H4357" s="6" t="str">
        <f>IFERROR(__xludf.DUMMYFUNCTION("""COMPUTED_VALUE"""),"IDR")</f>
        <v>IDR</v>
      </c>
      <c r="I4357" s="6">
        <f>IFERROR(__xludf.DUMMYFUNCTION("""COMPUTED_VALUE"""),117400.0)</f>
        <v>117400</v>
      </c>
      <c r="J4357" s="6">
        <f>IFERROR(__xludf.DUMMYFUNCTION("""COMPUTED_VALUE"""),587000.0)</f>
        <v>587000</v>
      </c>
      <c r="K4357" s="57">
        <f>IFERROR(__xludf.DUMMYFUNCTION("""COMPUTED_VALUE"""),45940.0)</f>
        <v>45940</v>
      </c>
      <c r="L4357" s="6" t="str">
        <f>IFERROR(__xludf.DUMMYFUNCTION("""COMPUTED_VALUE"""),"FIP Engineering")</f>
        <v>FIP Engineering</v>
      </c>
      <c r="M4357" s="6" t="str">
        <f>IFERROR(__xludf.DUMMYFUNCTION("""COMPUTED_VALUE"""),"Mochammad Fadhillah Hakim,")</f>
        <v>Mochammad Fadhillah Hakim,</v>
      </c>
      <c r="N4357" s="6" t="str">
        <f>IFERROR(__xludf.DUMMYFUNCTION("""COMPUTED_VALUE"""),"FIP Engineering")</f>
        <v>FIP Engineering</v>
      </c>
      <c r="O4357" s="6" t="str">
        <f>IFERROR(__xludf.DUMMYFUNCTION("""COMPUTED_VALUE"""),"FIP-DOM-000-11304-OS00001-INA-000000")</f>
        <v>FIP-DOM-000-11304-OS00001-INA-000000</v>
      </c>
      <c r="P4357" s="6" t="str">
        <f>IFERROR(__xludf.DUMMYFUNCTION("""COMPUTED_VALUE"""),"PO Closed")</f>
        <v>PO Closed</v>
      </c>
      <c r="Q4357" s="6" t="str">
        <f>IFERROR(__xludf.DUMMYFUNCTION("""COMPUTED_VALUE"""),"GL2510463")</f>
        <v>GL2510463</v>
      </c>
      <c r="R4357" s="57">
        <f>IFERROR(__xludf.DUMMYFUNCTION("""COMPUTED_VALUE"""),45909.0)</f>
        <v>45909</v>
      </c>
      <c r="S4357" s="57">
        <f>IFERROR(__xludf.DUMMYFUNCTION("""COMPUTED_VALUE"""),45910.0)</f>
        <v>45910</v>
      </c>
      <c r="T4357" s="57">
        <f>IFERROR(__xludf.DUMMYFUNCTION("""COMPUTED_VALUE"""),45964.0)</f>
        <v>45964</v>
      </c>
    </row>
    <row r="4358">
      <c r="A4358" s="6" t="str">
        <f>IFERROR(__xludf.DUMMYFUNCTION("""COMPUTED_VALUE"""),"121703200-1")</f>
        <v>121703200-1</v>
      </c>
      <c r="B4358" s="6" t="str">
        <f>IFERROR(__xludf.DUMMYFUNCTION("""COMPUTED_VALUE"""),"121703200 - APPROVED")</f>
        <v>121703200 - APPROVED</v>
      </c>
      <c r="C4358" s="6">
        <f>IFERROR(__xludf.DUMMYFUNCTION("""COMPUTED_VALUE"""),1.0)</f>
        <v>1</v>
      </c>
      <c r="D4358" s="6" t="str">
        <f>IFERROR(__xludf.DUMMYFUNCTION("""COMPUTED_VALUE"""),"P-52501-00")</f>
        <v>P-52501-00</v>
      </c>
      <c r="E4358" s="6" t="str">
        <f>IFERROR(__xludf.DUMMYFUNCTION("""COMPUTED_VALUE"""),"OMRON - TIMER H3CR- A8 220 VAC; ; ;")</f>
        <v>OMRON - TIMER H3CR- A8 220 VAC; ; ;</v>
      </c>
      <c r="F4358" s="6">
        <f>IFERROR(__xludf.DUMMYFUNCTION("""COMPUTED_VALUE"""),1.0)</f>
        <v>1</v>
      </c>
      <c r="G4358" s="6" t="str">
        <f>IFERROR(__xludf.DUMMYFUNCTION("""COMPUTED_VALUE"""),"Pieces")</f>
        <v>Pieces</v>
      </c>
      <c r="H4358" s="6" t="str">
        <f>IFERROR(__xludf.DUMMYFUNCTION("""COMPUTED_VALUE"""),"IDR")</f>
        <v>IDR</v>
      </c>
      <c r="I4358" s="6">
        <f>IFERROR(__xludf.DUMMYFUNCTION("""COMPUTED_VALUE"""),171000.0)</f>
        <v>171000</v>
      </c>
      <c r="J4358" s="6">
        <f>IFERROR(__xludf.DUMMYFUNCTION("""COMPUTED_VALUE"""),171000.0)</f>
        <v>171000</v>
      </c>
      <c r="K4358" s="57">
        <f>IFERROR(__xludf.DUMMYFUNCTION("""COMPUTED_VALUE"""),45940.0)</f>
        <v>45940</v>
      </c>
      <c r="L4358" s="6" t="str">
        <f>IFERROR(__xludf.DUMMYFUNCTION("""COMPUTED_VALUE"""),"FIP Engineering")</f>
        <v>FIP Engineering</v>
      </c>
      <c r="M4358" s="6" t="str">
        <f>IFERROR(__xludf.DUMMYFUNCTION("""COMPUTED_VALUE"""),"Mochammad Fadhillah Hakim,")</f>
        <v>Mochammad Fadhillah Hakim,</v>
      </c>
      <c r="N4358" s="6" t="str">
        <f>IFERROR(__xludf.DUMMYFUNCTION("""COMPUTED_VALUE"""),"FIP Engineering")</f>
        <v>FIP Engineering</v>
      </c>
      <c r="O4358" s="6" t="str">
        <f>IFERROR(__xludf.DUMMYFUNCTION("""COMPUTED_VALUE"""),"FIP-DOM-000-11304-OS00001-INA-000000")</f>
        <v>FIP-DOM-000-11304-OS00001-INA-000000</v>
      </c>
      <c r="P4358" s="6" t="str">
        <f>IFERROR(__xludf.DUMMYFUNCTION("""COMPUTED_VALUE"""),"PO Closed")</f>
        <v>PO Closed</v>
      </c>
      <c r="Q4358" s="6" t="str">
        <f>IFERROR(__xludf.DUMMYFUNCTION("""COMPUTED_VALUE"""),"GL2509006")</f>
        <v>GL2509006</v>
      </c>
      <c r="R4358" s="57">
        <f>IFERROR(__xludf.DUMMYFUNCTION("""COMPUTED_VALUE"""),45909.0)</f>
        <v>45909</v>
      </c>
      <c r="S4358" s="57">
        <f>IFERROR(__xludf.DUMMYFUNCTION("""COMPUTED_VALUE"""),45910.0)</f>
        <v>45910</v>
      </c>
      <c r="T4358" s="57">
        <f>IFERROR(__xludf.DUMMYFUNCTION("""COMPUTED_VALUE"""),45940.0)</f>
        <v>45940</v>
      </c>
    </row>
    <row r="4359">
      <c r="A4359" s="6" t="str">
        <f>IFERROR(__xludf.DUMMYFUNCTION("""COMPUTED_VALUE"""),"121703201-1")</f>
        <v>121703201-1</v>
      </c>
      <c r="B4359" s="6" t="str">
        <f>IFERROR(__xludf.DUMMYFUNCTION("""COMPUTED_VALUE"""),"121703201 - APPROVED")</f>
        <v>121703201 - APPROVED</v>
      </c>
      <c r="C4359" s="6">
        <f>IFERROR(__xludf.DUMMYFUNCTION("""COMPUTED_VALUE"""),1.0)</f>
        <v>1</v>
      </c>
      <c r="D4359" s="6" t="str">
        <f>IFERROR(__xludf.DUMMYFUNCTION("""COMPUTED_VALUE"""),"O-51307-00")</f>
        <v>O-51307-00</v>
      </c>
      <c r="E4359" s="6" t="str">
        <f>IFERROR(__xludf.DUMMYFUNCTION("""COMPUTED_VALUE"""),"Selector Switch 22mm On-Off XPB22-22A Fort; ; ;")</f>
        <v>Selector Switch 22mm On-Off XPB22-22A Fort; ; ;</v>
      </c>
      <c r="F4359" s="6">
        <f>IFERROR(__xludf.DUMMYFUNCTION("""COMPUTED_VALUE"""),1.0)</f>
        <v>1</v>
      </c>
      <c r="G4359" s="6" t="str">
        <f>IFERROR(__xludf.DUMMYFUNCTION("""COMPUTED_VALUE"""),"Pieces")</f>
        <v>Pieces</v>
      </c>
      <c r="H4359" s="6" t="str">
        <f>IFERROR(__xludf.DUMMYFUNCTION("""COMPUTED_VALUE"""),"IDR")</f>
        <v>IDR</v>
      </c>
      <c r="I4359" s="6">
        <f>IFERROR(__xludf.DUMMYFUNCTION("""COMPUTED_VALUE"""),27500.0)</f>
        <v>27500</v>
      </c>
      <c r="J4359" s="6">
        <f>IFERROR(__xludf.DUMMYFUNCTION("""COMPUTED_VALUE"""),27500.0)</f>
        <v>27500</v>
      </c>
      <c r="K4359" s="57">
        <f>IFERROR(__xludf.DUMMYFUNCTION("""COMPUTED_VALUE"""),45940.0)</f>
        <v>45940</v>
      </c>
      <c r="L4359" s="6" t="str">
        <f>IFERROR(__xludf.DUMMYFUNCTION("""COMPUTED_VALUE"""),"FIP General")</f>
        <v>FIP General</v>
      </c>
      <c r="M4359" s="6" t="str">
        <f>IFERROR(__xludf.DUMMYFUNCTION("""COMPUTED_VALUE"""),"Mochammad Fadhillah Hakim,")</f>
        <v>Mochammad Fadhillah Hakim,</v>
      </c>
      <c r="N4359" s="6" t="str">
        <f>IFERROR(__xludf.DUMMYFUNCTION("""COMPUTED_VALUE"""),"FIP Engineering")</f>
        <v>FIP Engineering</v>
      </c>
      <c r="O4359" s="6" t="str">
        <f>IFERROR(__xludf.DUMMYFUNCTION("""COMPUTED_VALUE"""),"FIP-DOM-ENG-51404-0000000-INA-000000")</f>
        <v>FIP-DOM-ENG-51404-0000000-INA-000000</v>
      </c>
      <c r="P4359" s="6" t="str">
        <f>IFERROR(__xludf.DUMMYFUNCTION("""COMPUTED_VALUE"""),"PO Closed")</f>
        <v>PO Closed</v>
      </c>
      <c r="Q4359" s="6" t="str">
        <f>IFERROR(__xludf.DUMMYFUNCTION("""COMPUTED_VALUE"""),"GL2510464")</f>
        <v>GL2510464</v>
      </c>
      <c r="R4359" s="57">
        <f>IFERROR(__xludf.DUMMYFUNCTION("""COMPUTED_VALUE"""),45909.0)</f>
        <v>45909</v>
      </c>
      <c r="S4359" s="57">
        <f>IFERROR(__xludf.DUMMYFUNCTION("""COMPUTED_VALUE"""),45910.0)</f>
        <v>45910</v>
      </c>
      <c r="T4359" s="57">
        <f>IFERROR(__xludf.DUMMYFUNCTION("""COMPUTED_VALUE"""),45966.0)</f>
        <v>45966</v>
      </c>
    </row>
    <row r="4360">
      <c r="A4360" s="6" t="str">
        <f>IFERROR(__xludf.DUMMYFUNCTION("""COMPUTED_VALUE"""),"121703202-1")</f>
        <v>121703202-1</v>
      </c>
      <c r="B4360" s="6" t="str">
        <f>IFERROR(__xludf.DUMMYFUNCTION("""COMPUTED_VALUE"""),"121703202 - APPROVED")</f>
        <v>121703202 - APPROVED</v>
      </c>
      <c r="C4360" s="6">
        <f>IFERROR(__xludf.DUMMYFUNCTION("""COMPUTED_VALUE"""),1.0)</f>
        <v>1</v>
      </c>
      <c r="D4360" s="6" t="str">
        <f>IFERROR(__xludf.DUMMYFUNCTION("""COMPUTED_VALUE"""),"P-50140-00")</f>
        <v>P-50140-00</v>
      </c>
      <c r="E4360" s="6" t="str">
        <f>IFERROR(__xludf.DUMMYFUNCTION("""COMPUTED_VALUE"""),"General - Accu NP9-12, Baterai Kering, 12 V, 9 Ah; Yuasa; -; 1 pcs")</f>
        <v>General - Accu NP9-12, Baterai Kering, 12 V, 9 Ah; Yuasa; -; 1 pcs</v>
      </c>
      <c r="F4360" s="6">
        <f>IFERROR(__xludf.DUMMYFUNCTION("""COMPUTED_VALUE"""),10.0)</f>
        <v>10</v>
      </c>
      <c r="G4360" s="6" t="str">
        <f>IFERROR(__xludf.DUMMYFUNCTION("""COMPUTED_VALUE"""),"Pieces")</f>
        <v>Pieces</v>
      </c>
      <c r="H4360" s="6" t="str">
        <f>IFERROR(__xludf.DUMMYFUNCTION("""COMPUTED_VALUE"""),"IDR")</f>
        <v>IDR</v>
      </c>
      <c r="I4360" s="6">
        <f>IFERROR(__xludf.DUMMYFUNCTION("""COMPUTED_VALUE"""),600000.0)</f>
        <v>600000</v>
      </c>
      <c r="J4360" s="6">
        <f>IFERROR(__xludf.DUMMYFUNCTION("""COMPUTED_VALUE"""),6000000.0)</f>
        <v>6000000</v>
      </c>
      <c r="K4360" s="57">
        <f>IFERROR(__xludf.DUMMYFUNCTION("""COMPUTED_VALUE"""),45940.0)</f>
        <v>45940</v>
      </c>
      <c r="L4360" s="6" t="str">
        <f>IFERROR(__xludf.DUMMYFUNCTION("""COMPUTED_VALUE"""),"FIP Engineering")</f>
        <v>FIP Engineering</v>
      </c>
      <c r="M4360" s="6" t="str">
        <f>IFERROR(__xludf.DUMMYFUNCTION("""COMPUTED_VALUE"""),"Mochammad Fadhillah Hakim,")</f>
        <v>Mochammad Fadhillah Hakim,</v>
      </c>
      <c r="N4360" s="6" t="str">
        <f>IFERROR(__xludf.DUMMYFUNCTION("""COMPUTED_VALUE"""),"FIP Engineering")</f>
        <v>FIP Engineering</v>
      </c>
      <c r="O4360" s="6" t="str">
        <f>IFERROR(__xludf.DUMMYFUNCTION("""COMPUTED_VALUE"""),"FIP-DOM-000-11304-OS00001-INA-000000")</f>
        <v>FIP-DOM-000-11304-OS00001-INA-000000</v>
      </c>
      <c r="P4360" s="6" t="str">
        <f>IFERROR(__xludf.DUMMYFUNCTION("""COMPUTED_VALUE"""),"PO Closed")</f>
        <v>PO Closed</v>
      </c>
      <c r="Q4360" s="6" t="str">
        <f>IFERROR(__xludf.DUMMYFUNCTION("""COMPUTED_VALUE"""),"GL2509023")</f>
        <v>GL2509023</v>
      </c>
      <c r="R4360" s="57">
        <f>IFERROR(__xludf.DUMMYFUNCTION("""COMPUTED_VALUE"""),45909.0)</f>
        <v>45909</v>
      </c>
      <c r="S4360" s="57">
        <f>IFERROR(__xludf.DUMMYFUNCTION("""COMPUTED_VALUE"""),45910.0)</f>
        <v>45910</v>
      </c>
      <c r="T4360" s="57">
        <f>IFERROR(__xludf.DUMMYFUNCTION("""COMPUTED_VALUE"""),45940.0)</f>
        <v>45940</v>
      </c>
    </row>
    <row r="4361">
      <c r="A4361" s="6" t="str">
        <f>IFERROR(__xludf.DUMMYFUNCTION("""COMPUTED_VALUE"""),"121703202-2")</f>
        <v>121703202-2</v>
      </c>
      <c r="B4361" s="6" t="str">
        <f>IFERROR(__xludf.DUMMYFUNCTION("""COMPUTED_VALUE"""),"121703202 - APPROVED")</f>
        <v>121703202 - APPROVED</v>
      </c>
      <c r="C4361" s="6">
        <f>IFERROR(__xludf.DUMMYFUNCTION("""COMPUTED_VALUE"""),2.0)</f>
        <v>2</v>
      </c>
      <c r="D4361" s="6" t="str">
        <f>IFERROR(__xludf.DUMMYFUNCTION("""COMPUTED_VALUE"""),"P-52119-00")</f>
        <v>P-52119-00</v>
      </c>
      <c r="E4361" s="6" t="str">
        <f>IFERROR(__xludf.DUMMYFUNCTION("""COMPUTED_VALUE"""),"General - Accu 6FM40, Baterai Kering, 12 V, 40 Ah; Vision; -; 1 pcs")</f>
        <v>General - Accu 6FM40, Baterai Kering, 12 V, 40 Ah; Vision; -; 1 pcs</v>
      </c>
      <c r="F4361" s="6">
        <f>IFERROR(__xludf.DUMMYFUNCTION("""COMPUTED_VALUE"""),10.0)</f>
        <v>10</v>
      </c>
      <c r="G4361" s="6" t="str">
        <f>IFERROR(__xludf.DUMMYFUNCTION("""COMPUTED_VALUE"""),"Pieces")</f>
        <v>Pieces</v>
      </c>
      <c r="H4361" s="6" t="str">
        <f>IFERROR(__xludf.DUMMYFUNCTION("""COMPUTED_VALUE"""),"IDR")</f>
        <v>IDR</v>
      </c>
      <c r="I4361" s="6">
        <f>IFERROR(__xludf.DUMMYFUNCTION("""COMPUTED_VALUE"""),1300000.0)</f>
        <v>1300000</v>
      </c>
      <c r="J4361" s="6">
        <f>IFERROR(__xludf.DUMMYFUNCTION("""COMPUTED_VALUE"""),1.3E7)</f>
        <v>13000000</v>
      </c>
      <c r="K4361" s="57">
        <f>IFERROR(__xludf.DUMMYFUNCTION("""COMPUTED_VALUE"""),45911.0)</f>
        <v>45911</v>
      </c>
      <c r="L4361" s="6" t="str">
        <f>IFERROR(__xludf.DUMMYFUNCTION("""COMPUTED_VALUE"""),"FIP Engineering")</f>
        <v>FIP Engineering</v>
      </c>
      <c r="M4361" s="6" t="str">
        <f>IFERROR(__xludf.DUMMYFUNCTION("""COMPUTED_VALUE"""),"Mochammad Fadhillah Hakim,")</f>
        <v>Mochammad Fadhillah Hakim,</v>
      </c>
      <c r="N4361" s="6" t="str">
        <f>IFERROR(__xludf.DUMMYFUNCTION("""COMPUTED_VALUE"""),"FIP Engineering")</f>
        <v>FIP Engineering</v>
      </c>
      <c r="O4361" s="6" t="str">
        <f>IFERROR(__xludf.DUMMYFUNCTION("""COMPUTED_VALUE"""),"FIP-DOM-000-11304-OS00001-INA-000000")</f>
        <v>FIP-DOM-000-11304-OS00001-INA-000000</v>
      </c>
      <c r="P4361" s="6" t="str">
        <f>IFERROR(__xludf.DUMMYFUNCTION("""COMPUTED_VALUE"""),"PO Closed")</f>
        <v>PO Closed</v>
      </c>
      <c r="Q4361" s="6" t="str">
        <f>IFERROR(__xludf.DUMMYFUNCTION("""COMPUTED_VALUE"""),"GL2509047")</f>
        <v>GL2509047</v>
      </c>
      <c r="R4361" s="57">
        <f>IFERROR(__xludf.DUMMYFUNCTION("""COMPUTED_VALUE"""),45909.0)</f>
        <v>45909</v>
      </c>
      <c r="S4361" s="57">
        <f>IFERROR(__xludf.DUMMYFUNCTION("""COMPUTED_VALUE"""),45910.0)</f>
        <v>45910</v>
      </c>
      <c r="T4361" s="57">
        <f>IFERROR(__xludf.DUMMYFUNCTION("""COMPUTED_VALUE"""),45945.0)</f>
        <v>45945</v>
      </c>
    </row>
    <row r="4362">
      <c r="A4362" s="6" t="str">
        <f>IFERROR(__xludf.DUMMYFUNCTION("""COMPUTED_VALUE"""),"121703203-1")</f>
        <v>121703203-1</v>
      </c>
      <c r="B4362" s="6" t="str">
        <f>IFERROR(__xludf.DUMMYFUNCTION("""COMPUTED_VALUE"""),"121703203 - APPROVED")</f>
        <v>121703203 - APPROVED</v>
      </c>
      <c r="C4362" s="6">
        <f>IFERROR(__xludf.DUMMYFUNCTION("""COMPUTED_VALUE"""),1.0)</f>
        <v>1</v>
      </c>
      <c r="D4362" s="6" t="str">
        <f>IFERROR(__xludf.DUMMYFUNCTION("""COMPUTED_VALUE"""),"Q-10650-00")</f>
        <v>Q-10650-00</v>
      </c>
      <c r="E4362" s="6" t="str">
        <f>IFERROR(__xludf.DUMMYFUNCTION("""COMPUTED_VALUE"""),"Aquaproof Abu-Abu @4 Kg; ; ;")</f>
        <v>Aquaproof Abu-Abu @4 Kg; ; ;</v>
      </c>
      <c r="F4362" s="6">
        <f>IFERROR(__xludf.DUMMYFUNCTION("""COMPUTED_VALUE"""),5.0)</f>
        <v>5</v>
      </c>
      <c r="G4362" s="6" t="str">
        <f>IFERROR(__xludf.DUMMYFUNCTION("""COMPUTED_VALUE"""),"Can")</f>
        <v>Can</v>
      </c>
      <c r="H4362" s="6" t="str">
        <f>IFERROR(__xludf.DUMMYFUNCTION("""COMPUTED_VALUE"""),"IDR")</f>
        <v>IDR</v>
      </c>
      <c r="I4362" s="6">
        <f>IFERROR(__xludf.DUMMYFUNCTION("""COMPUTED_VALUE"""),243000.0)</f>
        <v>243000</v>
      </c>
      <c r="J4362" s="6">
        <f>IFERROR(__xludf.DUMMYFUNCTION("""COMPUTED_VALUE"""),1215000.0)</f>
        <v>1215000</v>
      </c>
      <c r="K4362" s="57">
        <f>IFERROR(__xludf.DUMMYFUNCTION("""COMPUTED_VALUE"""),45940.0)</f>
        <v>45940</v>
      </c>
      <c r="L4362" s="6" t="str">
        <f>IFERROR(__xludf.DUMMYFUNCTION("""COMPUTED_VALUE"""),"FIP Engineering")</f>
        <v>FIP Engineering</v>
      </c>
      <c r="M4362" s="6" t="str">
        <f>IFERROR(__xludf.DUMMYFUNCTION("""COMPUTED_VALUE"""),"Mochammad Fadhillah Hakim,")</f>
        <v>Mochammad Fadhillah Hakim,</v>
      </c>
      <c r="N4362" s="6" t="str">
        <f>IFERROR(__xludf.DUMMYFUNCTION("""COMPUTED_VALUE"""),"FIP Engineering")</f>
        <v>FIP Engineering</v>
      </c>
      <c r="O4362" s="6" t="str">
        <f>IFERROR(__xludf.DUMMYFUNCTION("""COMPUTED_VALUE"""),"FIP-DOM-000-11304-OS00001-INA-000000")</f>
        <v>FIP-DOM-000-11304-OS00001-INA-000000</v>
      </c>
      <c r="P4362" s="6" t="str">
        <f>IFERROR(__xludf.DUMMYFUNCTION("""COMPUTED_VALUE"""),"PO Closed")</f>
        <v>PO Closed</v>
      </c>
      <c r="Q4362" s="6" t="str">
        <f>IFERROR(__xludf.DUMMYFUNCTION("""COMPUTED_VALUE"""),"GL2509053")</f>
        <v>GL2509053</v>
      </c>
      <c r="R4362" s="57">
        <f>IFERROR(__xludf.DUMMYFUNCTION("""COMPUTED_VALUE"""),45909.0)</f>
        <v>45909</v>
      </c>
      <c r="S4362" s="57">
        <f>IFERROR(__xludf.DUMMYFUNCTION("""COMPUTED_VALUE"""),45910.0)</f>
        <v>45910</v>
      </c>
      <c r="T4362" s="57">
        <f>IFERROR(__xludf.DUMMYFUNCTION("""COMPUTED_VALUE"""),45954.0)</f>
        <v>45954</v>
      </c>
    </row>
    <row r="4363">
      <c r="A4363" s="6" t="str">
        <f>IFERROR(__xludf.DUMMYFUNCTION("""COMPUTED_VALUE"""),"121703204-1")</f>
        <v>121703204-1</v>
      </c>
      <c r="B4363" s="6" t="str">
        <f>IFERROR(__xludf.DUMMYFUNCTION("""COMPUTED_VALUE"""),"121703204 - APPROVED")</f>
        <v>121703204 - APPROVED</v>
      </c>
      <c r="C4363" s="6">
        <f>IFERROR(__xludf.DUMMYFUNCTION("""COMPUTED_VALUE"""),1.0)</f>
        <v>1</v>
      </c>
      <c r="D4363" s="6" t="str">
        <f>IFERROR(__xludf.DUMMYFUNCTION("""COMPUTED_VALUE"""),"T-20725-00")</f>
        <v>T-20725-00</v>
      </c>
      <c r="E4363" s="6" t="str">
        <f>IFERROR(__xludf.DUMMYFUNCTION("""COMPUTED_VALUE"""),"Performance Plus Check Valve Housing; Waters; 700002332;")</f>
        <v>Performance Plus Check Valve Housing; Waters; 700002332;</v>
      </c>
      <c r="F4363" s="6">
        <f>IFERROR(__xludf.DUMMYFUNCTION("""COMPUTED_VALUE"""),3.0)</f>
        <v>3</v>
      </c>
      <c r="G4363" s="6" t="str">
        <f>IFERROR(__xludf.DUMMYFUNCTION("""COMPUTED_VALUE"""),"Pack")</f>
        <v>Pack</v>
      </c>
      <c r="H4363" s="6" t="str">
        <f>IFERROR(__xludf.DUMMYFUNCTION("""COMPUTED_VALUE"""),"USD")</f>
        <v>USD</v>
      </c>
      <c r="I4363" s="6">
        <f>IFERROR(__xludf.DUMMYFUNCTION("""COMPUTED_VALUE"""),4706208.0)</f>
        <v>4706208</v>
      </c>
      <c r="J4363" s="6">
        <f>IFERROR(__xludf.DUMMYFUNCTION("""COMPUTED_VALUE"""),1.4118624E7)</f>
        <v>14118624</v>
      </c>
      <c r="K4363" s="57">
        <f>IFERROR(__xludf.DUMMYFUNCTION("""COMPUTED_VALUE"""),45940.0)</f>
        <v>45940</v>
      </c>
      <c r="L4363" s="6" t="str">
        <f>IFERROR(__xludf.DUMMYFUNCTION("""COMPUTED_VALUE"""),"FIP General")</f>
        <v>FIP General</v>
      </c>
      <c r="M4363" s="6" t="str">
        <f>IFERROR(__xludf.DUMMYFUNCTION("""COMPUTED_VALUE"""),"Mochammad Fadhillah Hakim,")</f>
        <v>Mochammad Fadhillah Hakim,</v>
      </c>
      <c r="N4363" s="6" t="str">
        <f>IFERROR(__xludf.DUMMYFUNCTION("""COMPUTED_VALUE"""),"FIP Engineering")</f>
        <v>FIP Engineering</v>
      </c>
      <c r="O4363" s="6" t="str">
        <f>IFERROR(__xludf.DUMMYFUNCTION("""COMPUTED_VALUE"""),"FIP-DOM-ENG-51505-0000000-INA-000000")</f>
        <v>FIP-DOM-ENG-51505-0000000-INA-000000</v>
      </c>
      <c r="P4363" s="6" t="str">
        <f>IFERROR(__xludf.DUMMYFUNCTION("""COMPUTED_VALUE"""),"PO Closed")</f>
        <v>PO Closed</v>
      </c>
      <c r="Q4363" s="6" t="str">
        <f>IFERROR(__xludf.DUMMYFUNCTION("""COMPUTED_VALUE"""),"GL2510491")</f>
        <v>GL2510491</v>
      </c>
      <c r="R4363" s="57">
        <f>IFERROR(__xludf.DUMMYFUNCTION("""COMPUTED_VALUE"""),45909.0)</f>
        <v>45909</v>
      </c>
      <c r="S4363" s="57">
        <f>IFERROR(__xludf.DUMMYFUNCTION("""COMPUTED_VALUE"""),45915.0)</f>
        <v>45915</v>
      </c>
      <c r="T4363" s="57">
        <f>IFERROR(__xludf.DUMMYFUNCTION("""COMPUTED_VALUE"""),45989.0)</f>
        <v>45989</v>
      </c>
    </row>
    <row r="4364">
      <c r="A4364" s="6" t="str">
        <f>IFERROR(__xludf.DUMMYFUNCTION("""COMPUTED_VALUE"""),"121703205-1")</f>
        <v>121703205-1</v>
      </c>
      <c r="B4364" s="6" t="str">
        <f>IFERROR(__xludf.DUMMYFUNCTION("""COMPUTED_VALUE"""),"121703205 - APPROVED")</f>
        <v>121703205 - APPROVED</v>
      </c>
      <c r="C4364" s="6">
        <f>IFERROR(__xludf.DUMMYFUNCTION("""COMPUTED_VALUE"""),1.0)</f>
        <v>1</v>
      </c>
      <c r="D4364" s="6" t="str">
        <f>IFERROR(__xludf.DUMMYFUNCTION("""COMPUTED_VALUE"""),"P-20131-00")</f>
        <v>P-20131-00</v>
      </c>
      <c r="E4364" s="6" t="str">
        <f>IFERROR(__xludf.DUMMYFUNCTION("""COMPUTED_VALUE"""),"General - Kaca Las Bening; No Brand; -; 1 pc")</f>
        <v>General - Kaca Las Bening; No Brand; -; 1 pc</v>
      </c>
      <c r="F4364" s="6">
        <f>IFERROR(__xludf.DUMMYFUNCTION("""COMPUTED_VALUE"""),2.0)</f>
        <v>2</v>
      </c>
      <c r="G4364" s="6" t="str">
        <f>IFERROR(__xludf.DUMMYFUNCTION("""COMPUTED_VALUE"""),"Pieces")</f>
        <v>Pieces</v>
      </c>
      <c r="H4364" s="6" t="str">
        <f>IFERROR(__xludf.DUMMYFUNCTION("""COMPUTED_VALUE"""),"IDR")</f>
        <v>IDR</v>
      </c>
      <c r="I4364" s="6">
        <f>IFERROR(__xludf.DUMMYFUNCTION("""COMPUTED_VALUE"""),5000.0)</f>
        <v>5000</v>
      </c>
      <c r="J4364" s="6">
        <f>IFERROR(__xludf.DUMMYFUNCTION("""COMPUTED_VALUE"""),10000.0)</f>
        <v>10000</v>
      </c>
      <c r="K4364" s="57">
        <f>IFERROR(__xludf.DUMMYFUNCTION("""COMPUTED_VALUE"""),45940.0)</f>
        <v>45940</v>
      </c>
      <c r="L4364" s="6" t="str">
        <f>IFERROR(__xludf.DUMMYFUNCTION("""COMPUTED_VALUE"""),"FIP Engineering")</f>
        <v>FIP Engineering</v>
      </c>
      <c r="M4364" s="6" t="str">
        <f>IFERROR(__xludf.DUMMYFUNCTION("""COMPUTED_VALUE"""),"Mochammad Fadhillah Hakim,")</f>
        <v>Mochammad Fadhillah Hakim,</v>
      </c>
      <c r="N4364" s="6" t="str">
        <f>IFERROR(__xludf.DUMMYFUNCTION("""COMPUTED_VALUE"""),"FIP Engineering")</f>
        <v>FIP Engineering</v>
      </c>
      <c r="O4364" s="6" t="str">
        <f>IFERROR(__xludf.DUMMYFUNCTION("""COMPUTED_VALUE"""),"FIP-DOM-000-11304-OS00001-INA-000000")</f>
        <v>FIP-DOM-000-11304-OS00001-INA-000000</v>
      </c>
      <c r="P4364" s="6" t="str">
        <f>IFERROR(__xludf.DUMMYFUNCTION("""COMPUTED_VALUE"""),"PO Closed")</f>
        <v>PO Closed</v>
      </c>
      <c r="Q4364" s="6" t="str">
        <f>IFERROR(__xludf.DUMMYFUNCTION("""COMPUTED_VALUE"""),"GL2509460")</f>
        <v>GL2509460</v>
      </c>
      <c r="R4364" s="57">
        <f>IFERROR(__xludf.DUMMYFUNCTION("""COMPUTED_VALUE"""),45909.0)</f>
        <v>45909</v>
      </c>
      <c r="S4364" s="57">
        <f>IFERROR(__xludf.DUMMYFUNCTION("""COMPUTED_VALUE"""),45910.0)</f>
        <v>45910</v>
      </c>
      <c r="T4364" s="57">
        <f>IFERROR(__xludf.DUMMYFUNCTION("""COMPUTED_VALUE"""),45940.0)</f>
        <v>45940</v>
      </c>
    </row>
    <row r="4365">
      <c r="A4365" s="6" t="str">
        <f>IFERROR(__xludf.DUMMYFUNCTION("""COMPUTED_VALUE"""),"121703205-2")</f>
        <v>121703205-2</v>
      </c>
      <c r="B4365" s="6" t="str">
        <f>IFERROR(__xludf.DUMMYFUNCTION("""COMPUTED_VALUE"""),"121703205 - APPROVED")</f>
        <v>121703205 - APPROVED</v>
      </c>
      <c r="C4365" s="6">
        <f>IFERROR(__xludf.DUMMYFUNCTION("""COMPUTED_VALUE"""),2.0)</f>
        <v>2</v>
      </c>
      <c r="D4365" s="6" t="str">
        <f>IFERROR(__xludf.DUMMYFUNCTION("""COMPUTED_VALUE"""),"P-54357-00")</f>
        <v>P-54357-00</v>
      </c>
      <c r="E4365" s="6" t="str">
        <f>IFERROR(__xludf.DUMMYFUNCTION("""COMPUTED_VALUE"""),"General - Battery Rechargeable 6V 6000mAh; NI-MH Battery; -; 1 pc")</f>
        <v>General - Battery Rechargeable 6V 6000mAh; NI-MH Battery; -; 1 pc</v>
      </c>
      <c r="F4365" s="6">
        <f>IFERROR(__xludf.DUMMYFUNCTION("""COMPUTED_VALUE"""),10.0)</f>
        <v>10</v>
      </c>
      <c r="G4365" s="6" t="str">
        <f>IFERROR(__xludf.DUMMYFUNCTION("""COMPUTED_VALUE"""),"Pieces")</f>
        <v>Pieces</v>
      </c>
      <c r="H4365" s="6" t="str">
        <f>IFERROR(__xludf.DUMMYFUNCTION("""COMPUTED_VALUE"""),"IDR")</f>
        <v>IDR</v>
      </c>
      <c r="I4365" s="6">
        <f>IFERROR(__xludf.DUMMYFUNCTION("""COMPUTED_VALUE"""),150000.0)</f>
        <v>150000</v>
      </c>
      <c r="J4365" s="6">
        <f>IFERROR(__xludf.DUMMYFUNCTION("""COMPUTED_VALUE"""),1500000.0)</f>
        <v>1500000</v>
      </c>
      <c r="K4365" s="57">
        <f>IFERROR(__xludf.DUMMYFUNCTION("""COMPUTED_VALUE"""),45940.0)</f>
        <v>45940</v>
      </c>
      <c r="L4365" s="6" t="str">
        <f>IFERROR(__xludf.DUMMYFUNCTION("""COMPUTED_VALUE"""),"FIP Engineering")</f>
        <v>FIP Engineering</v>
      </c>
      <c r="M4365" s="6" t="str">
        <f>IFERROR(__xludf.DUMMYFUNCTION("""COMPUTED_VALUE"""),"Mochammad Fadhillah Hakim,")</f>
        <v>Mochammad Fadhillah Hakim,</v>
      </c>
      <c r="N4365" s="6" t="str">
        <f>IFERROR(__xludf.DUMMYFUNCTION("""COMPUTED_VALUE"""),"FIP Engineering")</f>
        <v>FIP Engineering</v>
      </c>
      <c r="O4365" s="6" t="str">
        <f>IFERROR(__xludf.DUMMYFUNCTION("""COMPUTED_VALUE"""),"FIP-DOM-000-11304-OS00001-INA-000000")</f>
        <v>FIP-DOM-000-11304-OS00001-INA-000000</v>
      </c>
      <c r="P4365" s="6" t="str">
        <f>IFERROR(__xludf.DUMMYFUNCTION("""COMPUTED_VALUE"""),"PO Closed")</f>
        <v>PO Closed</v>
      </c>
      <c r="Q4365" s="6" t="str">
        <f>IFERROR(__xludf.DUMMYFUNCTION("""COMPUTED_VALUE"""),"GL2509460")</f>
        <v>GL2509460</v>
      </c>
      <c r="R4365" s="57">
        <f>IFERROR(__xludf.DUMMYFUNCTION("""COMPUTED_VALUE"""),45909.0)</f>
        <v>45909</v>
      </c>
      <c r="S4365" s="57">
        <f>IFERROR(__xludf.DUMMYFUNCTION("""COMPUTED_VALUE"""),45910.0)</f>
        <v>45910</v>
      </c>
      <c r="T4365" s="57">
        <f>IFERROR(__xludf.DUMMYFUNCTION("""COMPUTED_VALUE"""),45940.0)</f>
        <v>45940</v>
      </c>
    </row>
    <row r="4366">
      <c r="A4366" s="6" t="str">
        <f>IFERROR(__xludf.DUMMYFUNCTION("""COMPUTED_VALUE"""),"121703206-1")</f>
        <v>121703206-1</v>
      </c>
      <c r="B4366" s="6" t="str">
        <f>IFERROR(__xludf.DUMMYFUNCTION("""COMPUTED_VALUE"""),"121703206 - APPROVED")</f>
        <v>121703206 - APPROVED</v>
      </c>
      <c r="C4366" s="6">
        <f>IFERROR(__xludf.DUMMYFUNCTION("""COMPUTED_VALUE"""),1.0)</f>
        <v>1</v>
      </c>
      <c r="D4366" s="6" t="str">
        <f>IFERROR(__xludf.DUMMYFUNCTION("""COMPUTED_VALUE"""),"J-10205-02")</f>
        <v>J-10205-02</v>
      </c>
      <c r="E4366" s="6" t="str">
        <f>IFERROR(__xludf.DUMMYFUNCTION("""COMPUTED_VALUE"""),"Chlorine Test; Merck; c/n 1.14978.0001; 600 tests/pack")</f>
        <v>Chlorine Test; Merck; c/n 1.14978.0001; 600 tests/pack</v>
      </c>
      <c r="F4366" s="6">
        <f>IFERROR(__xludf.DUMMYFUNCTION("""COMPUTED_VALUE"""),1.0)</f>
        <v>1</v>
      </c>
      <c r="G4366" s="6" t="str">
        <f>IFERROR(__xludf.DUMMYFUNCTION("""COMPUTED_VALUE"""),"Pack")</f>
        <v>Pack</v>
      </c>
      <c r="H4366" s="6" t="str">
        <f>IFERROR(__xludf.DUMMYFUNCTION("""COMPUTED_VALUE"""),"IDR")</f>
        <v>IDR</v>
      </c>
      <c r="I4366" s="6">
        <f>IFERROR(__xludf.DUMMYFUNCTION("""COMPUTED_VALUE"""),4500000.0)</f>
        <v>4500000</v>
      </c>
      <c r="J4366" s="6">
        <f>IFERROR(__xludf.DUMMYFUNCTION("""COMPUTED_VALUE"""),4500000.0)</f>
        <v>4500000</v>
      </c>
      <c r="K4366" s="57">
        <f>IFERROR(__xludf.DUMMYFUNCTION("""COMPUTED_VALUE"""),46003.0)</f>
        <v>46003</v>
      </c>
      <c r="L4366" s="6" t="str">
        <f>IFERROR(__xludf.DUMMYFUNCTION("""COMPUTED_VALUE"""),"FIP General")</f>
        <v>FIP General</v>
      </c>
      <c r="M4366" s="6" t="str">
        <f>IFERROR(__xludf.DUMMYFUNCTION("""COMPUTED_VALUE"""),"Mochammad Fadhillah Hakim,")</f>
        <v>Mochammad Fadhillah Hakim,</v>
      </c>
      <c r="N4366" s="6" t="str">
        <f>IFERROR(__xludf.DUMMYFUNCTION("""COMPUTED_VALUE"""),"FIP Engineering")</f>
        <v>FIP Engineering</v>
      </c>
      <c r="O4366" s="6" t="str">
        <f>IFERROR(__xludf.DUMMYFUNCTION("""COMPUTED_VALUE"""),"FIP-DOM-ENG-51505-0000000-INA-000000")</f>
        <v>FIP-DOM-ENG-51505-0000000-INA-000000</v>
      </c>
      <c r="P4366" s="6" t="str">
        <f>IFERROR(__xludf.DUMMYFUNCTION("""COMPUTED_VALUE"""),"PO Closed")</f>
        <v>PO Closed</v>
      </c>
      <c r="Q4366" s="6" t="str">
        <f>IFERROR(__xludf.DUMMYFUNCTION("""COMPUTED_VALUE"""),"GL2509504")</f>
        <v>GL2509504</v>
      </c>
      <c r="R4366" s="57">
        <f>IFERROR(__xludf.DUMMYFUNCTION("""COMPUTED_VALUE"""),45910.0)</f>
        <v>45910</v>
      </c>
      <c r="S4366" s="57">
        <f>IFERROR(__xludf.DUMMYFUNCTION("""COMPUTED_VALUE"""),45910.0)</f>
        <v>45910</v>
      </c>
      <c r="T4366" s="57">
        <f>IFERROR(__xludf.DUMMYFUNCTION("""COMPUTED_VALUE"""),46006.0)</f>
        <v>46006</v>
      </c>
    </row>
    <row r="4367">
      <c r="A4367" s="6" t="str">
        <f>IFERROR(__xludf.DUMMYFUNCTION("""COMPUTED_VALUE"""),"121703208-1")</f>
        <v>121703208-1</v>
      </c>
      <c r="B4367" s="6" t="str">
        <f>IFERROR(__xludf.DUMMYFUNCTION("""COMPUTED_VALUE"""),"121703208 - APPROVED")</f>
        <v>121703208 - APPROVED</v>
      </c>
      <c r="C4367" s="6">
        <f>IFERROR(__xludf.DUMMYFUNCTION("""COMPUTED_VALUE"""),1.0)</f>
        <v>1</v>
      </c>
      <c r="D4367" s="6" t="str">
        <f>IFERROR(__xludf.DUMMYFUNCTION("""COMPUTED_VALUE"""),"P-10604-00")</f>
        <v>P-10604-00</v>
      </c>
      <c r="E4367" s="6" t="str">
        <f>IFERROR(__xludf.DUMMYFUNCTION("""COMPUTED_VALUE"""),"Bearing 6203 2Z SKF")</f>
        <v>Bearing 6203 2Z SKF</v>
      </c>
      <c r="F4367" s="6">
        <f>IFERROR(__xludf.DUMMYFUNCTION("""COMPUTED_VALUE"""),10.0)</f>
        <v>10</v>
      </c>
      <c r="G4367" s="6" t="str">
        <f>IFERROR(__xludf.DUMMYFUNCTION("""COMPUTED_VALUE"""),"Pieces")</f>
        <v>Pieces</v>
      </c>
      <c r="H4367" s="6" t="str">
        <f>IFERROR(__xludf.DUMMYFUNCTION("""COMPUTED_VALUE"""),"IDR")</f>
        <v>IDR</v>
      </c>
      <c r="I4367" s="6">
        <f>IFERROR(__xludf.DUMMYFUNCTION("""COMPUTED_VALUE"""),36500.0)</f>
        <v>36500</v>
      </c>
      <c r="J4367" s="6">
        <f>IFERROR(__xludf.DUMMYFUNCTION("""COMPUTED_VALUE"""),365000.0)</f>
        <v>365000</v>
      </c>
      <c r="K4367" s="57">
        <f>IFERROR(__xludf.DUMMYFUNCTION("""COMPUTED_VALUE"""),45940.0)</f>
        <v>45940</v>
      </c>
      <c r="L4367" s="6" t="str">
        <f>IFERROR(__xludf.DUMMYFUNCTION("""COMPUTED_VALUE"""),"FIP Engineering")</f>
        <v>FIP Engineering</v>
      </c>
      <c r="M4367" s="6" t="str">
        <f>IFERROR(__xludf.DUMMYFUNCTION("""COMPUTED_VALUE"""),"Mochammad Fadhillah Hakim,")</f>
        <v>Mochammad Fadhillah Hakim,</v>
      </c>
      <c r="N4367" s="6" t="str">
        <f>IFERROR(__xludf.DUMMYFUNCTION("""COMPUTED_VALUE"""),"FIP Engineering")</f>
        <v>FIP Engineering</v>
      </c>
      <c r="O4367" s="6" t="str">
        <f>IFERROR(__xludf.DUMMYFUNCTION("""COMPUTED_VALUE"""),"FIP-DOM-000-11304-OS00001-INA-000000")</f>
        <v>FIP-DOM-000-11304-OS00001-INA-000000</v>
      </c>
      <c r="P4367" s="6" t="str">
        <f>IFERROR(__xludf.DUMMYFUNCTION("""COMPUTED_VALUE"""),"PO Closed")</f>
        <v>PO Closed</v>
      </c>
      <c r="Q4367" s="6" t="str">
        <f>IFERROR(__xludf.DUMMYFUNCTION("""COMPUTED_VALUE"""),"GL2509457")</f>
        <v>GL2509457</v>
      </c>
      <c r="R4367" s="57">
        <f>IFERROR(__xludf.DUMMYFUNCTION("""COMPUTED_VALUE"""),45910.0)</f>
        <v>45910</v>
      </c>
      <c r="S4367" s="57">
        <f>IFERROR(__xludf.DUMMYFUNCTION("""COMPUTED_VALUE"""),45910.0)</f>
        <v>45910</v>
      </c>
      <c r="T4367" s="57">
        <f>IFERROR(__xludf.DUMMYFUNCTION("""COMPUTED_VALUE"""),45940.0)</f>
        <v>45940</v>
      </c>
    </row>
    <row r="4368">
      <c r="A4368" s="6" t="str">
        <f>IFERROR(__xludf.DUMMYFUNCTION("""COMPUTED_VALUE"""),"121703208-2")</f>
        <v>121703208-2</v>
      </c>
      <c r="B4368" s="6" t="str">
        <f>IFERROR(__xludf.DUMMYFUNCTION("""COMPUTED_VALUE"""),"121703208 - APPROVED")</f>
        <v>121703208 - APPROVED</v>
      </c>
      <c r="C4368" s="6">
        <f>IFERROR(__xludf.DUMMYFUNCTION("""COMPUTED_VALUE"""),2.0)</f>
        <v>2</v>
      </c>
      <c r="D4368" s="6" t="str">
        <f>IFERROR(__xludf.DUMMYFUNCTION("""COMPUTED_VALUE"""),"P-13365-00")</f>
        <v>P-13365-00</v>
      </c>
      <c r="E4368" s="6" t="str">
        <f>IFERROR(__xludf.DUMMYFUNCTION("""COMPUTED_VALUE"""),"Cutting Wheel 14"" nippon resibon; ; ;")</f>
        <v>Cutting Wheel 14" nippon resibon; ; ;</v>
      </c>
      <c r="F4368" s="6">
        <f>IFERROR(__xludf.DUMMYFUNCTION("""COMPUTED_VALUE"""),5.0)</f>
        <v>5</v>
      </c>
      <c r="G4368" s="6" t="str">
        <f>IFERROR(__xludf.DUMMYFUNCTION("""COMPUTED_VALUE"""),"Pieces")</f>
        <v>Pieces</v>
      </c>
      <c r="H4368" s="6" t="str">
        <f>IFERROR(__xludf.DUMMYFUNCTION("""COMPUTED_VALUE"""),"IDR")</f>
        <v>IDR</v>
      </c>
      <c r="I4368" s="6">
        <f>IFERROR(__xludf.DUMMYFUNCTION("""COMPUTED_VALUE"""),67500.0)</f>
        <v>67500</v>
      </c>
      <c r="J4368" s="6">
        <f>IFERROR(__xludf.DUMMYFUNCTION("""COMPUTED_VALUE"""),337500.0)</f>
        <v>337500</v>
      </c>
      <c r="K4368" s="57">
        <f>IFERROR(__xludf.DUMMYFUNCTION("""COMPUTED_VALUE"""),45940.0)</f>
        <v>45940</v>
      </c>
      <c r="L4368" s="6" t="str">
        <f>IFERROR(__xludf.DUMMYFUNCTION("""COMPUTED_VALUE"""),"FIP Engineering")</f>
        <v>FIP Engineering</v>
      </c>
      <c r="M4368" s="6" t="str">
        <f>IFERROR(__xludf.DUMMYFUNCTION("""COMPUTED_VALUE"""),"Mochammad Fadhillah Hakim,")</f>
        <v>Mochammad Fadhillah Hakim,</v>
      </c>
      <c r="N4368" s="6" t="str">
        <f>IFERROR(__xludf.DUMMYFUNCTION("""COMPUTED_VALUE"""),"FIP Engineering")</f>
        <v>FIP Engineering</v>
      </c>
      <c r="O4368" s="6" t="str">
        <f>IFERROR(__xludf.DUMMYFUNCTION("""COMPUTED_VALUE"""),"FIP-DOM-000-11304-OS00001-INA-000000")</f>
        <v>FIP-DOM-000-11304-OS00001-INA-000000</v>
      </c>
      <c r="P4368" s="6" t="str">
        <f>IFERROR(__xludf.DUMMYFUNCTION("""COMPUTED_VALUE"""),"PO Closed")</f>
        <v>PO Closed</v>
      </c>
      <c r="Q4368" s="6" t="str">
        <f>IFERROR(__xludf.DUMMYFUNCTION("""COMPUTED_VALUE"""),"GL2509460")</f>
        <v>GL2509460</v>
      </c>
      <c r="R4368" s="57">
        <f>IFERROR(__xludf.DUMMYFUNCTION("""COMPUTED_VALUE"""),45910.0)</f>
        <v>45910</v>
      </c>
      <c r="S4368" s="57">
        <f>IFERROR(__xludf.DUMMYFUNCTION("""COMPUTED_VALUE"""),45910.0)</f>
        <v>45910</v>
      </c>
      <c r="T4368" s="57">
        <f>IFERROR(__xludf.DUMMYFUNCTION("""COMPUTED_VALUE"""),45940.0)</f>
        <v>45940</v>
      </c>
    </row>
    <row r="4369">
      <c r="A4369" s="6" t="str">
        <f>IFERROR(__xludf.DUMMYFUNCTION("""COMPUTED_VALUE"""),"121703208-3")</f>
        <v>121703208-3</v>
      </c>
      <c r="B4369" s="6" t="str">
        <f>IFERROR(__xludf.DUMMYFUNCTION("""COMPUTED_VALUE"""),"121703208 - APPROVED")</f>
        <v>121703208 - APPROVED</v>
      </c>
      <c r="C4369" s="6">
        <f>IFERROR(__xludf.DUMMYFUNCTION("""COMPUTED_VALUE"""),3.0)</f>
        <v>3</v>
      </c>
      <c r="D4369" s="6" t="str">
        <f>IFERROR(__xludf.DUMMYFUNCTION("""COMPUTED_VALUE"""),"P-50430-00")</f>
        <v>P-50430-00</v>
      </c>
      <c r="E4369" s="6" t="str">
        <f>IFERROR(__xludf.DUMMYFUNCTION("""COMPUTED_VALUE"""),"Pilot Lamps / Red / 24 VDC / AD22-221DSI / AXLE")</f>
        <v>Pilot Lamps / Red / 24 VDC / AD22-221DSI / AXLE</v>
      </c>
      <c r="F4369" s="6">
        <f>IFERROR(__xludf.DUMMYFUNCTION("""COMPUTED_VALUE"""),5.0)</f>
        <v>5</v>
      </c>
      <c r="G4369" s="6" t="str">
        <f>IFERROR(__xludf.DUMMYFUNCTION("""COMPUTED_VALUE"""),"Pieces")</f>
        <v>Pieces</v>
      </c>
      <c r="H4369" s="6" t="str">
        <f>IFERROR(__xludf.DUMMYFUNCTION("""COMPUTED_VALUE"""),"IDR")</f>
        <v>IDR</v>
      </c>
      <c r="I4369" s="6">
        <f>IFERROR(__xludf.DUMMYFUNCTION("""COMPUTED_VALUE"""),70000.0)</f>
        <v>70000</v>
      </c>
      <c r="J4369" s="6">
        <f>IFERROR(__xludf.DUMMYFUNCTION("""COMPUTED_VALUE"""),350000.0)</f>
        <v>350000</v>
      </c>
      <c r="K4369" s="57">
        <f>IFERROR(__xludf.DUMMYFUNCTION("""COMPUTED_VALUE"""),45940.0)</f>
        <v>45940</v>
      </c>
      <c r="L4369" s="6" t="str">
        <f>IFERROR(__xludf.DUMMYFUNCTION("""COMPUTED_VALUE"""),"FIP Engineering")</f>
        <v>FIP Engineering</v>
      </c>
      <c r="M4369" s="6" t="str">
        <f>IFERROR(__xludf.DUMMYFUNCTION("""COMPUTED_VALUE"""),"Mochammad Fadhillah Hakim,")</f>
        <v>Mochammad Fadhillah Hakim,</v>
      </c>
      <c r="N4369" s="6" t="str">
        <f>IFERROR(__xludf.DUMMYFUNCTION("""COMPUTED_VALUE"""),"FIP Engineering")</f>
        <v>FIP Engineering</v>
      </c>
      <c r="O4369" s="6" t="str">
        <f>IFERROR(__xludf.DUMMYFUNCTION("""COMPUTED_VALUE"""),"FIP-DOM-000-11304-OS00001-INA-000000")</f>
        <v>FIP-DOM-000-11304-OS00001-INA-000000</v>
      </c>
      <c r="P4369" s="6" t="str">
        <f>IFERROR(__xludf.DUMMYFUNCTION("""COMPUTED_VALUE"""),"PO Closed")</f>
        <v>PO Closed</v>
      </c>
      <c r="Q4369" s="6" t="str">
        <f>IFERROR(__xludf.DUMMYFUNCTION("""COMPUTED_VALUE"""),"GL2509458")</f>
        <v>GL2509458</v>
      </c>
      <c r="R4369" s="57">
        <f>IFERROR(__xludf.DUMMYFUNCTION("""COMPUTED_VALUE"""),45910.0)</f>
        <v>45910</v>
      </c>
      <c r="S4369" s="57">
        <f>IFERROR(__xludf.DUMMYFUNCTION("""COMPUTED_VALUE"""),45910.0)</f>
        <v>45910</v>
      </c>
      <c r="T4369" s="57">
        <f>IFERROR(__xludf.DUMMYFUNCTION("""COMPUTED_VALUE"""),45954.0)</f>
        <v>45954</v>
      </c>
    </row>
    <row r="4370">
      <c r="A4370" s="6" t="str">
        <f>IFERROR(__xludf.DUMMYFUNCTION("""COMPUTED_VALUE"""),"121703208-4")</f>
        <v>121703208-4</v>
      </c>
      <c r="B4370" s="6" t="str">
        <f>IFERROR(__xludf.DUMMYFUNCTION("""COMPUTED_VALUE"""),"121703208 - APPROVED")</f>
        <v>121703208 - APPROVED</v>
      </c>
      <c r="C4370" s="6">
        <f>IFERROR(__xludf.DUMMYFUNCTION("""COMPUTED_VALUE"""),4.0)</f>
        <v>4</v>
      </c>
      <c r="D4370" s="6" t="str">
        <f>IFERROR(__xludf.DUMMYFUNCTION("""COMPUTED_VALUE"""),"P-50495-00")</f>
        <v>P-50495-00</v>
      </c>
      <c r="E4370" s="6" t="str">
        <f>IFERROR(__xludf.DUMMYFUNCTION("""COMPUTED_VALUE"""),"Relay / RXM 2AB2P7 / 230 V / 50-60 Hz / 12 A / 250 VAC")</f>
        <v>Relay / RXM 2AB2P7 / 230 V / 50-60 Hz / 12 A / 250 VAC</v>
      </c>
      <c r="F4370" s="6">
        <f>IFERROR(__xludf.DUMMYFUNCTION("""COMPUTED_VALUE"""),10.0)</f>
        <v>10</v>
      </c>
      <c r="G4370" s="6" t="str">
        <f>IFERROR(__xludf.DUMMYFUNCTION("""COMPUTED_VALUE"""),"Pieces")</f>
        <v>Pieces</v>
      </c>
      <c r="H4370" s="6" t="str">
        <f>IFERROR(__xludf.DUMMYFUNCTION("""COMPUTED_VALUE"""),"IDR")</f>
        <v>IDR</v>
      </c>
      <c r="I4370" s="6">
        <f>IFERROR(__xludf.DUMMYFUNCTION("""COMPUTED_VALUE"""),100000.0)</f>
        <v>100000</v>
      </c>
      <c r="J4370" s="6">
        <f>IFERROR(__xludf.DUMMYFUNCTION("""COMPUTED_VALUE"""),1000000.0)</f>
        <v>1000000</v>
      </c>
      <c r="K4370" s="57">
        <f>IFERROR(__xludf.DUMMYFUNCTION("""COMPUTED_VALUE"""),45940.0)</f>
        <v>45940</v>
      </c>
      <c r="L4370" s="6" t="str">
        <f>IFERROR(__xludf.DUMMYFUNCTION("""COMPUTED_VALUE"""),"FIP Engineering")</f>
        <v>FIP Engineering</v>
      </c>
      <c r="M4370" s="6" t="str">
        <f>IFERROR(__xludf.DUMMYFUNCTION("""COMPUTED_VALUE"""),"Mochammad Fadhillah Hakim,")</f>
        <v>Mochammad Fadhillah Hakim,</v>
      </c>
      <c r="N4370" s="6" t="str">
        <f>IFERROR(__xludf.DUMMYFUNCTION("""COMPUTED_VALUE"""),"FIP Engineering")</f>
        <v>FIP Engineering</v>
      </c>
      <c r="O4370" s="6" t="str">
        <f>IFERROR(__xludf.DUMMYFUNCTION("""COMPUTED_VALUE"""),"FIP-DOM-000-11304-OS00001-INA-000000")</f>
        <v>FIP-DOM-000-11304-OS00001-INA-000000</v>
      </c>
      <c r="P4370" s="6" t="str">
        <f>IFERROR(__xludf.DUMMYFUNCTION("""COMPUTED_VALUE"""),"PO Closed")</f>
        <v>PO Closed</v>
      </c>
      <c r="Q4370" s="6" t="str">
        <f>IFERROR(__xludf.DUMMYFUNCTION("""COMPUTED_VALUE"""),"GL2509460")</f>
        <v>GL2509460</v>
      </c>
      <c r="R4370" s="57">
        <f>IFERROR(__xludf.DUMMYFUNCTION("""COMPUTED_VALUE"""),45910.0)</f>
        <v>45910</v>
      </c>
      <c r="S4370" s="57">
        <f>IFERROR(__xludf.DUMMYFUNCTION("""COMPUTED_VALUE"""),45910.0)</f>
        <v>45910</v>
      </c>
      <c r="T4370" s="57">
        <f>IFERROR(__xludf.DUMMYFUNCTION("""COMPUTED_VALUE"""),45940.0)</f>
        <v>45940</v>
      </c>
    </row>
    <row r="4371">
      <c r="A4371" s="6" t="str">
        <f>IFERROR(__xludf.DUMMYFUNCTION("""COMPUTED_VALUE"""),"121703208-5")</f>
        <v>121703208-5</v>
      </c>
      <c r="B4371" s="6" t="str">
        <f>IFERROR(__xludf.DUMMYFUNCTION("""COMPUTED_VALUE"""),"121703208 - APPROVED")</f>
        <v>121703208 - APPROVED</v>
      </c>
      <c r="C4371" s="6">
        <f>IFERROR(__xludf.DUMMYFUNCTION("""COMPUTED_VALUE"""),5.0)</f>
        <v>5</v>
      </c>
      <c r="D4371" s="6" t="str">
        <f>IFERROR(__xludf.DUMMYFUNCTION("""COMPUTED_VALUE"""),"P-50781-00")</f>
        <v>P-50781-00</v>
      </c>
      <c r="E4371" s="6" t="str">
        <f>IFERROR(__xludf.DUMMYFUNCTION("""COMPUTED_VALUE"""),"Battery 12V 18AH merk LONG")</f>
        <v>Battery 12V 18AH merk LONG</v>
      </c>
      <c r="F4371" s="6">
        <f>IFERROR(__xludf.DUMMYFUNCTION("""COMPUTED_VALUE"""),3.0)</f>
        <v>3</v>
      </c>
      <c r="G4371" s="6" t="str">
        <f>IFERROR(__xludf.DUMMYFUNCTION("""COMPUTED_VALUE"""),"Pieces")</f>
        <v>Pieces</v>
      </c>
      <c r="H4371" s="6" t="str">
        <f>IFERROR(__xludf.DUMMYFUNCTION("""COMPUTED_VALUE"""),"IDR")</f>
        <v>IDR</v>
      </c>
      <c r="I4371" s="6">
        <f>IFERROR(__xludf.DUMMYFUNCTION("""COMPUTED_VALUE"""),735000.0)</f>
        <v>735000</v>
      </c>
      <c r="J4371" s="6">
        <f>IFERROR(__xludf.DUMMYFUNCTION("""COMPUTED_VALUE"""),2205000.0)</f>
        <v>2205000</v>
      </c>
      <c r="K4371" s="57">
        <f>IFERROR(__xludf.DUMMYFUNCTION("""COMPUTED_VALUE"""),45940.0)</f>
        <v>45940</v>
      </c>
      <c r="L4371" s="6" t="str">
        <f>IFERROR(__xludf.DUMMYFUNCTION("""COMPUTED_VALUE"""),"FIP Engineering")</f>
        <v>FIP Engineering</v>
      </c>
      <c r="M4371" s="6" t="str">
        <f>IFERROR(__xludf.DUMMYFUNCTION("""COMPUTED_VALUE"""),"Mochammad Fadhillah Hakim,")</f>
        <v>Mochammad Fadhillah Hakim,</v>
      </c>
      <c r="N4371" s="6" t="str">
        <f>IFERROR(__xludf.DUMMYFUNCTION("""COMPUTED_VALUE"""),"FIP Engineering")</f>
        <v>FIP Engineering</v>
      </c>
      <c r="O4371" s="6" t="str">
        <f>IFERROR(__xludf.DUMMYFUNCTION("""COMPUTED_VALUE"""),"FIP-DOM-000-11304-OS00001-INA-000000")</f>
        <v>FIP-DOM-000-11304-OS00001-INA-000000</v>
      </c>
      <c r="P4371" s="6" t="str">
        <f>IFERROR(__xludf.DUMMYFUNCTION("""COMPUTED_VALUE"""),"PO Closed")</f>
        <v>PO Closed</v>
      </c>
      <c r="Q4371" s="6" t="str">
        <f>IFERROR(__xludf.DUMMYFUNCTION("""COMPUTED_VALUE"""),"GL2509460")</f>
        <v>GL2509460</v>
      </c>
      <c r="R4371" s="57">
        <f>IFERROR(__xludf.DUMMYFUNCTION("""COMPUTED_VALUE"""),45910.0)</f>
        <v>45910</v>
      </c>
      <c r="S4371" s="57">
        <f>IFERROR(__xludf.DUMMYFUNCTION("""COMPUTED_VALUE"""),45910.0)</f>
        <v>45910</v>
      </c>
      <c r="T4371" s="57">
        <f>IFERROR(__xludf.DUMMYFUNCTION("""COMPUTED_VALUE"""),45940.0)</f>
        <v>45940</v>
      </c>
    </row>
    <row r="4372">
      <c r="A4372" s="6" t="str">
        <f>IFERROR(__xludf.DUMMYFUNCTION("""COMPUTED_VALUE"""),"121703208-6")</f>
        <v>121703208-6</v>
      </c>
      <c r="B4372" s="6" t="str">
        <f>IFERROR(__xludf.DUMMYFUNCTION("""COMPUTED_VALUE"""),"121703208 - APPROVED")</f>
        <v>121703208 - APPROVED</v>
      </c>
      <c r="C4372" s="6">
        <f>IFERROR(__xludf.DUMMYFUNCTION("""COMPUTED_VALUE"""),6.0)</f>
        <v>6</v>
      </c>
      <c r="D4372" s="6" t="str">
        <f>IFERROR(__xludf.DUMMYFUNCTION("""COMPUTED_VALUE"""),"P-52569-00")</f>
        <v>P-52569-00</v>
      </c>
      <c r="E4372" s="6" t="str">
        <f>IFERROR(__xludf.DUMMYFUNCTION("""COMPUTED_VALUE"""),"Limit Switch LX19-001  250 VAC; ; ;")</f>
        <v>Limit Switch LX19-001  250 VAC; ; ;</v>
      </c>
      <c r="F4372" s="6">
        <f>IFERROR(__xludf.DUMMYFUNCTION("""COMPUTED_VALUE"""),5.0)</f>
        <v>5</v>
      </c>
      <c r="G4372" s="6" t="str">
        <f>IFERROR(__xludf.DUMMYFUNCTION("""COMPUTED_VALUE"""),"Pieces")</f>
        <v>Pieces</v>
      </c>
      <c r="H4372" s="6" t="str">
        <f>IFERROR(__xludf.DUMMYFUNCTION("""COMPUTED_VALUE"""),"IDR")</f>
        <v>IDR</v>
      </c>
      <c r="I4372" s="6">
        <f>IFERROR(__xludf.DUMMYFUNCTION("""COMPUTED_VALUE"""),78000.0)</f>
        <v>78000</v>
      </c>
      <c r="J4372" s="6">
        <f>IFERROR(__xludf.DUMMYFUNCTION("""COMPUTED_VALUE"""),390000.0)</f>
        <v>390000</v>
      </c>
      <c r="K4372" s="57">
        <f>IFERROR(__xludf.DUMMYFUNCTION("""COMPUTED_VALUE"""),45940.0)</f>
        <v>45940</v>
      </c>
      <c r="L4372" s="6" t="str">
        <f>IFERROR(__xludf.DUMMYFUNCTION("""COMPUTED_VALUE"""),"FIP Engineering")</f>
        <v>FIP Engineering</v>
      </c>
      <c r="M4372" s="6" t="str">
        <f>IFERROR(__xludf.DUMMYFUNCTION("""COMPUTED_VALUE"""),"Mochammad Fadhillah Hakim,")</f>
        <v>Mochammad Fadhillah Hakim,</v>
      </c>
      <c r="N4372" s="6" t="str">
        <f>IFERROR(__xludf.DUMMYFUNCTION("""COMPUTED_VALUE"""),"FIP Engineering")</f>
        <v>FIP Engineering</v>
      </c>
      <c r="O4372" s="6" t="str">
        <f>IFERROR(__xludf.DUMMYFUNCTION("""COMPUTED_VALUE"""),"FIP-DOM-000-11304-OS00001-INA-000000")</f>
        <v>FIP-DOM-000-11304-OS00001-INA-000000</v>
      </c>
      <c r="P4372" s="6" t="str">
        <f>IFERROR(__xludf.DUMMYFUNCTION("""COMPUTED_VALUE"""),"PO Closed")</f>
        <v>PO Closed</v>
      </c>
      <c r="Q4372" s="6" t="str">
        <f>IFERROR(__xludf.DUMMYFUNCTION("""COMPUTED_VALUE"""),"GL2509460")</f>
        <v>GL2509460</v>
      </c>
      <c r="R4372" s="57">
        <f>IFERROR(__xludf.DUMMYFUNCTION("""COMPUTED_VALUE"""),45910.0)</f>
        <v>45910</v>
      </c>
      <c r="S4372" s="57">
        <f>IFERROR(__xludf.DUMMYFUNCTION("""COMPUTED_VALUE"""),45910.0)</f>
        <v>45910</v>
      </c>
      <c r="T4372" s="57">
        <f>IFERROR(__xludf.DUMMYFUNCTION("""COMPUTED_VALUE"""),45940.0)</f>
        <v>45940</v>
      </c>
    </row>
    <row r="4373">
      <c r="A4373" s="6" t="str">
        <f>IFERROR(__xludf.DUMMYFUNCTION("""COMPUTED_VALUE"""),"121703208-7")</f>
        <v>121703208-7</v>
      </c>
      <c r="B4373" s="6" t="str">
        <f>IFERROR(__xludf.DUMMYFUNCTION("""COMPUTED_VALUE"""),"121703208 - APPROVED")</f>
        <v>121703208 - APPROVED</v>
      </c>
      <c r="C4373" s="6">
        <f>IFERROR(__xludf.DUMMYFUNCTION("""COMPUTED_VALUE"""),7.0)</f>
        <v>7</v>
      </c>
      <c r="D4373" s="6" t="str">
        <f>IFERROR(__xludf.DUMMYFUNCTION("""COMPUTED_VALUE"""),"P-54372-00")</f>
        <v>P-54372-00</v>
      </c>
      <c r="E4373" s="6" t="str">
        <f>IFERROR(__xludf.DUMMYFUNCTION("""COMPUTED_VALUE"""),"General - Fuse Holder 10 x 38, 32A; Fort; -; 1 pc")</f>
        <v>General - Fuse Holder 10 x 38, 32A; Fort; -; 1 pc</v>
      </c>
      <c r="F4373" s="6">
        <f>IFERROR(__xludf.DUMMYFUNCTION("""COMPUTED_VALUE"""),2.0)</f>
        <v>2</v>
      </c>
      <c r="G4373" s="6" t="str">
        <f>IFERROR(__xludf.DUMMYFUNCTION("""COMPUTED_VALUE"""),"Pieces")</f>
        <v>Pieces</v>
      </c>
      <c r="H4373" s="6" t="str">
        <f>IFERROR(__xludf.DUMMYFUNCTION("""COMPUTED_VALUE"""),"IDR")</f>
        <v>IDR</v>
      </c>
      <c r="I4373" s="6">
        <f>IFERROR(__xludf.DUMMYFUNCTION("""COMPUTED_VALUE"""),30000.0)</f>
        <v>30000</v>
      </c>
      <c r="J4373" s="6">
        <f>IFERROR(__xludf.DUMMYFUNCTION("""COMPUTED_VALUE"""),60000.0)</f>
        <v>60000</v>
      </c>
      <c r="K4373" s="57">
        <f>IFERROR(__xludf.DUMMYFUNCTION("""COMPUTED_VALUE"""),45940.0)</f>
        <v>45940</v>
      </c>
      <c r="L4373" s="6" t="str">
        <f>IFERROR(__xludf.DUMMYFUNCTION("""COMPUTED_VALUE"""),"FIP Engineering")</f>
        <v>FIP Engineering</v>
      </c>
      <c r="M4373" s="6" t="str">
        <f>IFERROR(__xludf.DUMMYFUNCTION("""COMPUTED_VALUE"""),"Mochammad Fadhillah Hakim,")</f>
        <v>Mochammad Fadhillah Hakim,</v>
      </c>
      <c r="N4373" s="6" t="str">
        <f>IFERROR(__xludf.DUMMYFUNCTION("""COMPUTED_VALUE"""),"FIP Engineering")</f>
        <v>FIP Engineering</v>
      </c>
      <c r="O4373" s="6" t="str">
        <f>IFERROR(__xludf.DUMMYFUNCTION("""COMPUTED_VALUE"""),"FIP-DOM-000-11304-OS00001-INA-000000")</f>
        <v>FIP-DOM-000-11304-OS00001-INA-000000</v>
      </c>
      <c r="P4373" s="6" t="str">
        <f>IFERROR(__xludf.DUMMYFUNCTION("""COMPUTED_VALUE"""),"PO Closed")</f>
        <v>PO Closed</v>
      </c>
      <c r="Q4373" s="6" t="str">
        <f>IFERROR(__xludf.DUMMYFUNCTION("""COMPUTED_VALUE"""),"GL2509458")</f>
        <v>GL2509458</v>
      </c>
      <c r="R4373" s="57">
        <f>IFERROR(__xludf.DUMMYFUNCTION("""COMPUTED_VALUE"""),45910.0)</f>
        <v>45910</v>
      </c>
      <c r="S4373" s="57">
        <f>IFERROR(__xludf.DUMMYFUNCTION("""COMPUTED_VALUE"""),45910.0)</f>
        <v>45910</v>
      </c>
      <c r="T4373" s="57">
        <f>IFERROR(__xludf.DUMMYFUNCTION("""COMPUTED_VALUE"""),45954.0)</f>
        <v>45954</v>
      </c>
    </row>
    <row r="4374">
      <c r="A4374" s="6" t="str">
        <f>IFERROR(__xludf.DUMMYFUNCTION("""COMPUTED_VALUE"""),"121703211-1")</f>
        <v>121703211-1</v>
      </c>
      <c r="B4374" s="6" t="str">
        <f>IFERROR(__xludf.DUMMYFUNCTION("""COMPUTED_VALUE"""),"121703211 - APPROVED")</f>
        <v>121703211 - APPROVED</v>
      </c>
      <c r="C4374" s="6">
        <f>IFERROR(__xludf.DUMMYFUNCTION("""COMPUTED_VALUE"""),1.0)</f>
        <v>1</v>
      </c>
      <c r="D4374" s="6" t="str">
        <f>IFERROR(__xludf.DUMMYFUNCTION("""COMPUTED_VALUE"""),"Q-90000-00")</f>
        <v>Q-90000-00</v>
      </c>
      <c r="E4374" s="6" t="str">
        <f>IFERROR(__xludf.DUMMYFUNCTION("""COMPUTED_VALUE"""),"Building Maintenance Pure Expense - Penggantian Sutter Door")</f>
        <v>Building Maintenance Pure Expense - Penggantian Sutter Door</v>
      </c>
      <c r="F4374" s="6">
        <f>IFERROR(__xludf.DUMMYFUNCTION("""COMPUTED_VALUE"""),1.0)</f>
        <v>1</v>
      </c>
      <c r="G4374" s="6" t="str">
        <f>IFERROR(__xludf.DUMMYFUNCTION("""COMPUTED_VALUE"""),"Unit")</f>
        <v>Unit</v>
      </c>
      <c r="H4374" s="6" t="str">
        <f>IFERROR(__xludf.DUMMYFUNCTION("""COMPUTED_VALUE"""),"IDR")</f>
        <v>IDR</v>
      </c>
      <c r="I4374" s="6">
        <f>IFERROR(__xludf.DUMMYFUNCTION("""COMPUTED_VALUE"""),1.85E7)</f>
        <v>18500000</v>
      </c>
      <c r="J4374" s="6">
        <f>IFERROR(__xludf.DUMMYFUNCTION("""COMPUTED_VALUE"""),1.85E7)</f>
        <v>18500000</v>
      </c>
      <c r="K4374" s="57">
        <f>IFERROR(__xludf.DUMMYFUNCTION("""COMPUTED_VALUE"""),45940.0)</f>
        <v>45940</v>
      </c>
      <c r="L4374" s="6" t="str">
        <f>IFERROR(__xludf.DUMMYFUNCTION("""COMPUTED_VALUE"""),"FIP General")</f>
        <v>FIP General</v>
      </c>
      <c r="M4374" s="6" t="str">
        <f>IFERROR(__xludf.DUMMYFUNCTION("""COMPUTED_VALUE"""),"Mochammad Fadhillah Hakim,")</f>
        <v>Mochammad Fadhillah Hakim,</v>
      </c>
      <c r="N4374" s="6" t="str">
        <f>IFERROR(__xludf.DUMMYFUNCTION("""COMPUTED_VALUE"""),"FIP Engineering")</f>
        <v>FIP Engineering</v>
      </c>
      <c r="O4374" s="6" t="str">
        <f>IFERROR(__xludf.DUMMYFUNCTION("""COMPUTED_VALUE"""),"FIP-DOM-ENG-51502-0000000-INA-000000")</f>
        <v>FIP-DOM-ENG-51502-0000000-INA-000000</v>
      </c>
      <c r="P4374" s="6" t="str">
        <f>IFERROR(__xludf.DUMMYFUNCTION("""COMPUTED_VALUE"""),"PO Closed")</f>
        <v>PO Closed</v>
      </c>
      <c r="Q4374" s="6" t="str">
        <f>IFERROR(__xludf.DUMMYFUNCTION("""COMPUTED_VALUE"""),"GL2510017")</f>
        <v>GL2510017</v>
      </c>
      <c r="R4374" s="57">
        <f>IFERROR(__xludf.DUMMYFUNCTION("""COMPUTED_VALUE"""),45910.0)</f>
        <v>45910</v>
      </c>
      <c r="S4374" s="57">
        <f>IFERROR(__xludf.DUMMYFUNCTION("""COMPUTED_VALUE"""),45910.0)</f>
        <v>45910</v>
      </c>
      <c r="T4374" s="57">
        <f>IFERROR(__xludf.DUMMYFUNCTION("""COMPUTED_VALUE"""),45975.0)</f>
        <v>45975</v>
      </c>
    </row>
    <row r="4375">
      <c r="A4375" s="6" t="str">
        <f>IFERROR(__xludf.DUMMYFUNCTION("""COMPUTED_VALUE"""),"121703212-1")</f>
        <v>121703212-1</v>
      </c>
      <c r="B4375" s="6" t="str">
        <f>IFERROR(__xludf.DUMMYFUNCTION("""COMPUTED_VALUE"""),"121703212 - APPROVED")</f>
        <v>121703212 - APPROVED</v>
      </c>
      <c r="C4375" s="6">
        <f>IFERROR(__xludf.DUMMYFUNCTION("""COMPUTED_VALUE"""),1.0)</f>
        <v>1</v>
      </c>
      <c r="D4375" s="6" t="str">
        <f>IFERROR(__xludf.DUMMYFUNCTION("""COMPUTED_VALUE"""),"Q-10528-00")</f>
        <v>Q-10528-00</v>
      </c>
      <c r="E4375" s="6" t="str">
        <f>IFERROR(__xludf.DUMMYFUNCTION("""COMPUTED_VALUE"""),"Kaca Cermin; Lokal; Ukuran custom; pack size per pcs")</f>
        <v>Kaca Cermin; Lokal; Ukuran custom; pack size per pcs</v>
      </c>
      <c r="F4375" s="6">
        <f>IFERROR(__xludf.DUMMYFUNCTION("""COMPUTED_VALUE"""),2.0)</f>
        <v>2</v>
      </c>
      <c r="G4375" s="6" t="str">
        <f>IFERROR(__xludf.DUMMYFUNCTION("""COMPUTED_VALUE"""),"Unit")</f>
        <v>Unit</v>
      </c>
      <c r="H4375" s="6" t="str">
        <f>IFERROR(__xludf.DUMMYFUNCTION("""COMPUTED_VALUE"""),"IDR")</f>
        <v>IDR</v>
      </c>
      <c r="I4375" s="6">
        <f>IFERROR(__xludf.DUMMYFUNCTION("""COMPUTED_VALUE"""),465500.0)</f>
        <v>465500</v>
      </c>
      <c r="J4375" s="6">
        <f>IFERROR(__xludf.DUMMYFUNCTION("""COMPUTED_VALUE"""),931000.0)</f>
        <v>931000</v>
      </c>
      <c r="K4375" s="57">
        <f>IFERROR(__xludf.DUMMYFUNCTION("""COMPUTED_VALUE"""),45940.0)</f>
        <v>45940</v>
      </c>
      <c r="L4375" s="6" t="str">
        <f>IFERROR(__xludf.DUMMYFUNCTION("""COMPUTED_VALUE"""),"FIP General")</f>
        <v>FIP General</v>
      </c>
      <c r="M4375" s="6" t="str">
        <f>IFERROR(__xludf.DUMMYFUNCTION("""COMPUTED_VALUE"""),"Mochammad Fadhillah Hakim,")</f>
        <v>Mochammad Fadhillah Hakim,</v>
      </c>
      <c r="N4375" s="6" t="str">
        <f>IFERROR(__xludf.DUMMYFUNCTION("""COMPUTED_VALUE"""),"FIP Engineering")</f>
        <v>FIP Engineering</v>
      </c>
      <c r="O4375" s="6" t="str">
        <f>IFERROR(__xludf.DUMMYFUNCTION("""COMPUTED_VALUE"""),"FIP-DOM-ENG-51502-0000000-INA-000000")</f>
        <v>FIP-DOM-ENG-51502-0000000-INA-000000</v>
      </c>
      <c r="P4375" s="6" t="str">
        <f>IFERROR(__xludf.DUMMYFUNCTION("""COMPUTED_VALUE"""),"PO Closed")</f>
        <v>PO Closed</v>
      </c>
      <c r="Q4375" s="6" t="str">
        <f>IFERROR(__xludf.DUMMYFUNCTION("""COMPUTED_VALUE"""),"GL2510019")</f>
        <v>GL2510019</v>
      </c>
      <c r="R4375" s="57">
        <f>IFERROR(__xludf.DUMMYFUNCTION("""COMPUTED_VALUE"""),45910.0)</f>
        <v>45910</v>
      </c>
      <c r="S4375" s="57">
        <f>IFERROR(__xludf.DUMMYFUNCTION("""COMPUTED_VALUE"""),45910.0)</f>
        <v>45910</v>
      </c>
      <c r="T4375" s="57">
        <f>IFERROR(__xludf.DUMMYFUNCTION("""COMPUTED_VALUE"""),45961.0)</f>
        <v>45961</v>
      </c>
    </row>
    <row r="4376">
      <c r="A4376" s="6" t="str">
        <f>IFERROR(__xludf.DUMMYFUNCTION("""COMPUTED_VALUE"""),"121703213-1")</f>
        <v>121703213-1</v>
      </c>
      <c r="B4376" s="6" t="str">
        <f>IFERROR(__xludf.DUMMYFUNCTION("""COMPUTED_VALUE"""),"121703213 - APPROVED")</f>
        <v>121703213 - APPROVED</v>
      </c>
      <c r="C4376" s="6">
        <f>IFERROR(__xludf.DUMMYFUNCTION("""COMPUTED_VALUE"""),1.0)</f>
        <v>1</v>
      </c>
      <c r="D4376" s="6" t="str">
        <f>IFERROR(__xludf.DUMMYFUNCTION("""COMPUTED_VALUE"""),"S-60050-00")</f>
        <v>S-60050-00</v>
      </c>
      <c r="E4376" s="6" t="str">
        <f>IFERROR(__xludf.DUMMYFUNCTION("""COMPUTED_VALUE"""),"Jasa Perbaikan dan Pemeliharaan Mesin Produksi; ; ; - Training Recorder Tunnel")</f>
        <v>Jasa Perbaikan dan Pemeliharaan Mesin Produksi; ; ; - Training Recorder Tunnel</v>
      </c>
      <c r="F4376" s="6">
        <f>IFERROR(__xludf.DUMMYFUNCTION("""COMPUTED_VALUE"""),1.0)</f>
        <v>1</v>
      </c>
      <c r="G4376" s="6" t="str">
        <f>IFERROR(__xludf.DUMMYFUNCTION("""COMPUTED_VALUE"""),"Pieces")</f>
        <v>Pieces</v>
      </c>
      <c r="H4376" s="6" t="str">
        <f>IFERROR(__xludf.DUMMYFUNCTION("""COMPUTED_VALUE"""),"IDR")</f>
        <v>IDR</v>
      </c>
      <c r="I4376" s="6">
        <f>IFERROR(__xludf.DUMMYFUNCTION("""COMPUTED_VALUE"""),6000000.0)</f>
        <v>6000000</v>
      </c>
      <c r="J4376" s="6">
        <f>IFERROR(__xludf.DUMMYFUNCTION("""COMPUTED_VALUE"""),6000000.0)</f>
        <v>6000000</v>
      </c>
      <c r="K4376" s="57">
        <f>IFERROR(__xludf.DUMMYFUNCTION("""COMPUTED_VALUE"""),45940.0)</f>
        <v>45940</v>
      </c>
      <c r="L4376" s="6" t="str">
        <f>IFERROR(__xludf.DUMMYFUNCTION("""COMPUTED_VALUE"""),"FIP General")</f>
        <v>FIP General</v>
      </c>
      <c r="M4376" s="6" t="str">
        <f>IFERROR(__xludf.DUMMYFUNCTION("""COMPUTED_VALUE"""),"Mochammad Fadhillah Hakim,")</f>
        <v>Mochammad Fadhillah Hakim,</v>
      </c>
      <c r="N4376" s="6" t="str">
        <f>IFERROR(__xludf.DUMMYFUNCTION("""COMPUTED_VALUE"""),"FIP Engineering")</f>
        <v>FIP Engineering</v>
      </c>
      <c r="O4376" s="6" t="str">
        <f>IFERROR(__xludf.DUMMYFUNCTION("""COMPUTED_VALUE"""),"FIP-DOM-ENG-51504-0000000-INA-000000")</f>
        <v>FIP-DOM-ENG-51504-0000000-INA-000000</v>
      </c>
      <c r="P4376" s="6" t="str">
        <f>IFERROR(__xludf.DUMMYFUNCTION("""COMPUTED_VALUE"""),"PO Closed")</f>
        <v>PO Closed</v>
      </c>
      <c r="Q4376" s="6" t="str">
        <f>IFERROR(__xludf.DUMMYFUNCTION("""COMPUTED_VALUE"""),"GL2510004")</f>
        <v>GL2510004</v>
      </c>
      <c r="R4376" s="57">
        <f>IFERROR(__xludf.DUMMYFUNCTION("""COMPUTED_VALUE"""),45910.0)</f>
        <v>45910</v>
      </c>
      <c r="S4376" s="57">
        <f>IFERROR(__xludf.DUMMYFUNCTION("""COMPUTED_VALUE"""),45910.0)</f>
        <v>45910</v>
      </c>
      <c r="T4376" s="57">
        <f>IFERROR(__xludf.DUMMYFUNCTION("""COMPUTED_VALUE"""),45950.0)</f>
        <v>45950</v>
      </c>
    </row>
    <row r="4377">
      <c r="A4377" s="6" t="str">
        <f>IFERROR(__xludf.DUMMYFUNCTION("""COMPUTED_VALUE"""),"121703214-1")</f>
        <v>121703214-1</v>
      </c>
      <c r="B4377" s="6" t="str">
        <f>IFERROR(__xludf.DUMMYFUNCTION("""COMPUTED_VALUE"""),"121703214 - APPROVED")</f>
        <v>121703214 - APPROVED</v>
      </c>
      <c r="C4377" s="6">
        <f>IFERROR(__xludf.DUMMYFUNCTION("""COMPUTED_VALUE"""),1.0)</f>
        <v>1</v>
      </c>
      <c r="D4377" s="6" t="str">
        <f>IFERROR(__xludf.DUMMYFUNCTION("""COMPUTED_VALUE"""),"P-12830-00")</f>
        <v>P-12830-00</v>
      </c>
      <c r="E4377" s="6" t="str">
        <f>IFERROR(__xludf.DUMMYFUNCTION("""COMPUTED_VALUE"""),"Sodium metabisulfit")</f>
        <v>Sodium metabisulfit</v>
      </c>
      <c r="F4377" s="6">
        <f>IFERROR(__xludf.DUMMYFUNCTION("""COMPUTED_VALUE"""),5.0)</f>
        <v>5</v>
      </c>
      <c r="G4377" s="6" t="str">
        <f>IFERROR(__xludf.DUMMYFUNCTION("""COMPUTED_VALUE"""),"Pieces")</f>
        <v>Pieces</v>
      </c>
      <c r="H4377" s="6" t="str">
        <f>IFERROR(__xludf.DUMMYFUNCTION("""COMPUTED_VALUE"""),"IDR")</f>
        <v>IDR</v>
      </c>
      <c r="I4377" s="6">
        <f>IFERROR(__xludf.DUMMYFUNCTION("""COMPUTED_VALUE"""),550000.0)</f>
        <v>550000</v>
      </c>
      <c r="J4377" s="6">
        <f>IFERROR(__xludf.DUMMYFUNCTION("""COMPUTED_VALUE"""),2750000.0)</f>
        <v>2750000</v>
      </c>
      <c r="K4377" s="57">
        <f>IFERROR(__xludf.DUMMYFUNCTION("""COMPUTED_VALUE"""),45940.0)</f>
        <v>45940</v>
      </c>
      <c r="L4377" s="6" t="str">
        <f>IFERROR(__xludf.DUMMYFUNCTION("""COMPUTED_VALUE"""),"FIP Engineering")</f>
        <v>FIP Engineering</v>
      </c>
      <c r="M4377" s="6" t="str">
        <f>IFERROR(__xludf.DUMMYFUNCTION("""COMPUTED_VALUE"""),"Mochammad Fadhillah Hakim,")</f>
        <v>Mochammad Fadhillah Hakim,</v>
      </c>
      <c r="N4377" s="6" t="str">
        <f>IFERROR(__xludf.DUMMYFUNCTION("""COMPUTED_VALUE"""),"FIP Engineering")</f>
        <v>FIP Engineering</v>
      </c>
      <c r="O4377" s="6" t="str">
        <f>IFERROR(__xludf.DUMMYFUNCTION("""COMPUTED_VALUE"""),"FIP-DOM-000-11304-OS00001-INA-000000")</f>
        <v>FIP-DOM-000-11304-OS00001-INA-000000</v>
      </c>
      <c r="P4377" s="6" t="str">
        <f>IFERROR(__xludf.DUMMYFUNCTION("""COMPUTED_VALUE"""),"PO Closed")</f>
        <v>PO Closed</v>
      </c>
      <c r="Q4377" s="6" t="str">
        <f>IFERROR(__xludf.DUMMYFUNCTION("""COMPUTED_VALUE"""),"GL2509036")</f>
        <v>GL2509036</v>
      </c>
      <c r="R4377" s="57">
        <f>IFERROR(__xludf.DUMMYFUNCTION("""COMPUTED_VALUE"""),45910.0)</f>
        <v>45910</v>
      </c>
      <c r="S4377" s="57">
        <f>IFERROR(__xludf.DUMMYFUNCTION("""COMPUTED_VALUE"""),45910.0)</f>
        <v>45910</v>
      </c>
      <c r="T4377" s="57">
        <f>IFERROR(__xludf.DUMMYFUNCTION("""COMPUTED_VALUE"""),45940.0)</f>
        <v>45940</v>
      </c>
    </row>
    <row r="4378">
      <c r="A4378" s="6" t="str">
        <f>IFERROR(__xludf.DUMMYFUNCTION("""COMPUTED_VALUE"""),"121703215-1")</f>
        <v>121703215-1</v>
      </c>
      <c r="B4378" s="6" t="str">
        <f>IFERROR(__xludf.DUMMYFUNCTION("""COMPUTED_VALUE"""),"121703215 - APPROVED")</f>
        <v>121703215 - APPROVED</v>
      </c>
      <c r="C4378" s="6">
        <f>IFERROR(__xludf.DUMMYFUNCTION("""COMPUTED_VALUE"""),1.0)</f>
        <v>1</v>
      </c>
      <c r="D4378" s="6" t="str">
        <f>IFERROR(__xludf.DUMMYFUNCTION("""COMPUTED_VALUE"""),"O-18055-00")</f>
        <v>O-18055-00</v>
      </c>
      <c r="E4378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F4378" s="6">
        <f>IFERROR(__xludf.DUMMYFUNCTION("""COMPUTED_VALUE"""),20.0)</f>
        <v>20</v>
      </c>
      <c r="G4378" s="6" t="str">
        <f>IFERROR(__xludf.DUMMYFUNCTION("""COMPUTED_VALUE"""),"Pieces")</f>
        <v>Pieces</v>
      </c>
      <c r="H4378" s="6" t="str">
        <f>IFERROR(__xludf.DUMMYFUNCTION("""COMPUTED_VALUE"""),"IDR")</f>
        <v>IDR</v>
      </c>
      <c r="I4378" s="6">
        <f>IFERROR(__xludf.DUMMYFUNCTION("""COMPUTED_VALUE"""),150000.0)</f>
        <v>150000</v>
      </c>
      <c r="J4378" s="6">
        <f>IFERROR(__xludf.DUMMYFUNCTION("""COMPUTED_VALUE"""),3000000.0)</f>
        <v>3000000</v>
      </c>
      <c r="K4378" s="57">
        <f>IFERROR(__xludf.DUMMYFUNCTION("""COMPUTED_VALUE"""),45940.0)</f>
        <v>45940</v>
      </c>
      <c r="L4378" s="6" t="str">
        <f>IFERROR(__xludf.DUMMYFUNCTION("""COMPUTED_VALUE"""),"FIP Engineering")</f>
        <v>FIP Engineering</v>
      </c>
      <c r="M4378" s="6" t="str">
        <f>IFERROR(__xludf.DUMMYFUNCTION("""COMPUTED_VALUE"""),"Mochammad Fadhillah Hakim,")</f>
        <v>Mochammad Fadhillah Hakim,</v>
      </c>
      <c r="N4378" s="6" t="str">
        <f>IFERROR(__xludf.DUMMYFUNCTION("""COMPUTED_VALUE"""),"FIP Engineering")</f>
        <v>FIP Engineering</v>
      </c>
      <c r="O4378" s="6" t="str">
        <f>IFERROR(__xludf.DUMMYFUNCTION("""COMPUTED_VALUE"""),"FIP-DOM-000-11304-OS00001-INA-000000")</f>
        <v>FIP-DOM-000-11304-OS00001-INA-000000</v>
      </c>
      <c r="P4378" s="6" t="str">
        <f>IFERROR(__xludf.DUMMYFUNCTION("""COMPUTED_VALUE"""),"PO Closed")</f>
        <v>PO Closed</v>
      </c>
      <c r="Q4378" s="6" t="str">
        <f>IFERROR(__xludf.DUMMYFUNCTION("""COMPUTED_VALUE"""),"GL2510469")</f>
        <v>GL2510469</v>
      </c>
      <c r="R4378" s="57">
        <f>IFERROR(__xludf.DUMMYFUNCTION("""COMPUTED_VALUE"""),45910.0)</f>
        <v>45910</v>
      </c>
      <c r="S4378" s="57">
        <f>IFERROR(__xludf.DUMMYFUNCTION("""COMPUTED_VALUE"""),45919.0)</f>
        <v>45919</v>
      </c>
      <c r="T4378" s="57">
        <f>IFERROR(__xludf.DUMMYFUNCTION("""COMPUTED_VALUE"""),46001.0)</f>
        <v>46001</v>
      </c>
    </row>
    <row r="4379">
      <c r="A4379" s="6" t="str">
        <f>IFERROR(__xludf.DUMMYFUNCTION("""COMPUTED_VALUE"""),"121703219-1")</f>
        <v>121703219-1</v>
      </c>
      <c r="B4379" s="6" t="str">
        <f>IFERROR(__xludf.DUMMYFUNCTION("""COMPUTED_VALUE"""),"121703219 - APPROVED")</f>
        <v>121703219 - APPROVED</v>
      </c>
      <c r="C4379" s="6">
        <f>IFERROR(__xludf.DUMMYFUNCTION("""COMPUTED_VALUE"""),1.0)</f>
        <v>1</v>
      </c>
      <c r="D4379" s="6" t="str">
        <f>IFERROR(__xludf.DUMMYFUNCTION("""COMPUTED_VALUE"""),"O-50964-00")</f>
        <v>O-50964-00</v>
      </c>
      <c r="E4379" s="6" t="str">
        <f>IFERROR(__xludf.DUMMYFUNCTION("""COMPUTED_VALUE"""),"General - Safety Relay PNOZ X3 24 VAC 24VDC 3n/o 1n/c 1so; PILZ; 774310; 1 Pc")</f>
        <v>General - Safety Relay PNOZ X3 24 VAC 24VDC 3n/o 1n/c 1so; PILZ; 774310; 1 Pc</v>
      </c>
      <c r="F4379" s="6">
        <f>IFERROR(__xludf.DUMMYFUNCTION("""COMPUTED_VALUE"""),2.0)</f>
        <v>2</v>
      </c>
      <c r="G4379" s="6" t="str">
        <f>IFERROR(__xludf.DUMMYFUNCTION("""COMPUTED_VALUE"""),"Pieces")</f>
        <v>Pieces</v>
      </c>
      <c r="H4379" s="6" t="str">
        <f>IFERROR(__xludf.DUMMYFUNCTION("""COMPUTED_VALUE"""),"IDR")</f>
        <v>IDR</v>
      </c>
      <c r="I4379" s="6">
        <f>IFERROR(__xludf.DUMMYFUNCTION("""COMPUTED_VALUE"""),4725000.0)</f>
        <v>4725000</v>
      </c>
      <c r="J4379" s="6">
        <f>IFERROR(__xludf.DUMMYFUNCTION("""COMPUTED_VALUE"""),9450000.0)</f>
        <v>9450000</v>
      </c>
      <c r="K4379" s="57">
        <f>IFERROR(__xludf.DUMMYFUNCTION("""COMPUTED_VALUE"""),45947.0)</f>
        <v>45947</v>
      </c>
      <c r="L4379" s="6" t="str">
        <f>IFERROR(__xludf.DUMMYFUNCTION("""COMPUTED_VALUE"""),"FIP Engineering")</f>
        <v>FIP Engineering</v>
      </c>
      <c r="M4379" s="6" t="str">
        <f>IFERROR(__xludf.DUMMYFUNCTION("""COMPUTED_VALUE"""),"Mochammad Fadhillah Hakim,")</f>
        <v>Mochammad Fadhillah Hakim,</v>
      </c>
      <c r="N4379" s="6" t="str">
        <f>IFERROR(__xludf.DUMMYFUNCTION("""COMPUTED_VALUE"""),"FIP Engineering")</f>
        <v>FIP Engineering</v>
      </c>
      <c r="O4379" s="6" t="str">
        <f>IFERROR(__xludf.DUMMYFUNCTION("""COMPUTED_VALUE"""),"FIP-DOM-000-11304-OS00001-INA-000000")</f>
        <v>FIP-DOM-000-11304-OS00001-INA-000000</v>
      </c>
      <c r="P4379" s="6" t="str">
        <f>IFERROR(__xludf.DUMMYFUNCTION("""COMPUTED_VALUE"""),"PO Closed")</f>
        <v>PO Closed</v>
      </c>
      <c r="Q4379" s="6" t="str">
        <f>IFERROR(__xludf.DUMMYFUNCTION("""COMPUTED_VALUE"""),"GL2510467")</f>
        <v>GL2510467</v>
      </c>
      <c r="R4379" s="57">
        <f>IFERROR(__xludf.DUMMYFUNCTION("""COMPUTED_VALUE"""),45911.0)</f>
        <v>45911</v>
      </c>
      <c r="S4379" s="57">
        <f>IFERROR(__xludf.DUMMYFUNCTION("""COMPUTED_VALUE"""),45912.0)</f>
        <v>45912</v>
      </c>
      <c r="T4379" s="57">
        <f>IFERROR(__xludf.DUMMYFUNCTION("""COMPUTED_VALUE"""),45978.0)</f>
        <v>45978</v>
      </c>
    </row>
    <row r="4380">
      <c r="A4380" s="6" t="str">
        <f>IFERROR(__xludf.DUMMYFUNCTION("""COMPUTED_VALUE"""),"121703219-2")</f>
        <v>121703219-2</v>
      </c>
      <c r="B4380" s="6" t="str">
        <f>IFERROR(__xludf.DUMMYFUNCTION("""COMPUTED_VALUE"""),"121703219 - APPROVED")</f>
        <v>121703219 - APPROVED</v>
      </c>
      <c r="C4380" s="6">
        <f>IFERROR(__xludf.DUMMYFUNCTION("""COMPUTED_VALUE"""),2.0)</f>
        <v>2</v>
      </c>
      <c r="D4380" s="6" t="str">
        <f>IFERROR(__xludf.DUMMYFUNCTION("""COMPUTED_VALUE"""),"O-53422-00")</f>
        <v>O-53422-00</v>
      </c>
      <c r="E4380" s="6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F4380" s="6">
        <f>IFERROR(__xludf.DUMMYFUNCTION("""COMPUTED_VALUE"""),1.0)</f>
        <v>1</v>
      </c>
      <c r="G4380" s="6" t="str">
        <f>IFERROR(__xludf.DUMMYFUNCTION("""COMPUTED_VALUE"""),"Pieces")</f>
        <v>Pieces</v>
      </c>
      <c r="H4380" s="6" t="str">
        <f>IFERROR(__xludf.DUMMYFUNCTION("""COMPUTED_VALUE"""),"IDR")</f>
        <v>IDR</v>
      </c>
      <c r="I4380" s="6">
        <f>IFERROR(__xludf.DUMMYFUNCTION("""COMPUTED_VALUE"""),405000.0)</f>
        <v>405000</v>
      </c>
      <c r="J4380" s="6">
        <f>IFERROR(__xludf.DUMMYFUNCTION("""COMPUTED_VALUE"""),405000.0)</f>
        <v>405000</v>
      </c>
      <c r="K4380" s="57">
        <f>IFERROR(__xludf.DUMMYFUNCTION("""COMPUTED_VALUE"""),45947.0)</f>
        <v>45947</v>
      </c>
      <c r="L4380" s="6" t="str">
        <f>IFERROR(__xludf.DUMMYFUNCTION("""COMPUTED_VALUE"""),"FIP Engineering")</f>
        <v>FIP Engineering</v>
      </c>
      <c r="M4380" s="6" t="str">
        <f>IFERROR(__xludf.DUMMYFUNCTION("""COMPUTED_VALUE"""),"Mochammad Fadhillah Hakim,")</f>
        <v>Mochammad Fadhillah Hakim,</v>
      </c>
      <c r="N4380" s="6" t="str">
        <f>IFERROR(__xludf.DUMMYFUNCTION("""COMPUTED_VALUE"""),"FIP Engineering")</f>
        <v>FIP Engineering</v>
      </c>
      <c r="O4380" s="6" t="str">
        <f>IFERROR(__xludf.DUMMYFUNCTION("""COMPUTED_VALUE"""),"FIP-DOM-000-11304-OS00001-INA-000000")</f>
        <v>FIP-DOM-000-11304-OS00001-INA-000000</v>
      </c>
      <c r="P4380" s="6" t="str">
        <f>IFERROR(__xludf.DUMMYFUNCTION("""COMPUTED_VALUE"""),"PO Closed")</f>
        <v>PO Closed</v>
      </c>
      <c r="Q4380" s="6" t="str">
        <f>IFERROR(__xludf.DUMMYFUNCTION("""COMPUTED_VALUE"""),"GL2510467")</f>
        <v>GL2510467</v>
      </c>
      <c r="R4380" s="57">
        <f>IFERROR(__xludf.DUMMYFUNCTION("""COMPUTED_VALUE"""),45911.0)</f>
        <v>45911</v>
      </c>
      <c r="S4380" s="57">
        <f>IFERROR(__xludf.DUMMYFUNCTION("""COMPUTED_VALUE"""),45912.0)</f>
        <v>45912</v>
      </c>
      <c r="T4380" s="57">
        <f>IFERROR(__xludf.DUMMYFUNCTION("""COMPUTED_VALUE"""),45978.0)</f>
        <v>45978</v>
      </c>
    </row>
    <row r="4381">
      <c r="A4381" s="6" t="str">
        <f>IFERROR(__xludf.DUMMYFUNCTION("""COMPUTED_VALUE"""),"121703220-1")</f>
        <v>121703220-1</v>
      </c>
      <c r="B4381" s="6" t="str">
        <f>IFERROR(__xludf.DUMMYFUNCTION("""COMPUTED_VALUE"""),"121703220 - APPROVED")</f>
        <v>121703220 - APPROVED</v>
      </c>
      <c r="C4381" s="6">
        <f>IFERROR(__xludf.DUMMYFUNCTION("""COMPUTED_VALUE"""),1.0)</f>
        <v>1</v>
      </c>
      <c r="D4381" s="6" t="str">
        <f>IFERROR(__xludf.DUMMYFUNCTION("""COMPUTED_VALUE"""),"P-20014-00")</f>
        <v>P-20014-00</v>
      </c>
      <c r="E4381" s="6" t="str">
        <f>IFERROR(__xludf.DUMMYFUNCTION("""COMPUTED_VALUE"""),"General - Double Nepple Kuningan Drat 3/8 inch - 3/8inch; No Brand; -; 1 pc")</f>
        <v>General - Double Nepple Kuningan Drat 3/8 inch - 3/8inch; No Brand; -; 1 pc</v>
      </c>
      <c r="F4381" s="6">
        <f>IFERROR(__xludf.DUMMYFUNCTION("""COMPUTED_VALUE"""),5.0)</f>
        <v>5</v>
      </c>
      <c r="G4381" s="6" t="str">
        <f>IFERROR(__xludf.DUMMYFUNCTION("""COMPUTED_VALUE"""),"Pieces")</f>
        <v>Pieces</v>
      </c>
      <c r="H4381" s="6" t="str">
        <f>IFERROR(__xludf.DUMMYFUNCTION("""COMPUTED_VALUE"""),"IDR")</f>
        <v>IDR</v>
      </c>
      <c r="I4381" s="6">
        <f>IFERROR(__xludf.DUMMYFUNCTION("""COMPUTED_VALUE"""),29500.0)</f>
        <v>29500</v>
      </c>
      <c r="J4381" s="6">
        <f>IFERROR(__xludf.DUMMYFUNCTION("""COMPUTED_VALUE"""),147500.0)</f>
        <v>147500</v>
      </c>
      <c r="K4381" s="57">
        <f>IFERROR(__xludf.DUMMYFUNCTION("""COMPUTED_VALUE"""),45947.0)</f>
        <v>45947</v>
      </c>
      <c r="L4381" s="6" t="str">
        <f>IFERROR(__xludf.DUMMYFUNCTION("""COMPUTED_VALUE"""),"FIP Engineering")</f>
        <v>FIP Engineering</v>
      </c>
      <c r="M4381" s="6" t="str">
        <f>IFERROR(__xludf.DUMMYFUNCTION("""COMPUTED_VALUE"""),"Mochammad Fadhillah Hakim,")</f>
        <v>Mochammad Fadhillah Hakim,</v>
      </c>
      <c r="N4381" s="6" t="str">
        <f>IFERROR(__xludf.DUMMYFUNCTION("""COMPUTED_VALUE"""),"FIP Engineering")</f>
        <v>FIP Engineering</v>
      </c>
      <c r="O4381" s="6" t="str">
        <f>IFERROR(__xludf.DUMMYFUNCTION("""COMPUTED_VALUE"""),"FIP-DOM-000-11304-OS00001-INA-000000")</f>
        <v>FIP-DOM-000-11304-OS00001-INA-000000</v>
      </c>
      <c r="P4381" s="6" t="str">
        <f>IFERROR(__xludf.DUMMYFUNCTION("""COMPUTED_VALUE"""),"PO Closed")</f>
        <v>PO Closed</v>
      </c>
      <c r="Q4381" s="6" t="str">
        <f>IFERROR(__xludf.DUMMYFUNCTION("""COMPUTED_VALUE"""),"GL2510495")</f>
        <v>GL2510495</v>
      </c>
      <c r="R4381" s="57">
        <f>IFERROR(__xludf.DUMMYFUNCTION("""COMPUTED_VALUE"""),45911.0)</f>
        <v>45911</v>
      </c>
      <c r="S4381" s="57">
        <f>IFERROR(__xludf.DUMMYFUNCTION("""COMPUTED_VALUE"""),45937.0)</f>
        <v>45937</v>
      </c>
      <c r="T4381" s="57">
        <f>IFERROR(__xludf.DUMMYFUNCTION("""COMPUTED_VALUE"""),45971.0)</f>
        <v>45971</v>
      </c>
    </row>
    <row r="4382">
      <c r="A4382" s="6" t="str">
        <f>IFERROR(__xludf.DUMMYFUNCTION("""COMPUTED_VALUE"""),"121703220-2")</f>
        <v>121703220-2</v>
      </c>
      <c r="B4382" s="6" t="str">
        <f>IFERROR(__xludf.DUMMYFUNCTION("""COMPUTED_VALUE"""),"121703220 - APPROVED")</f>
        <v>121703220 - APPROVED</v>
      </c>
      <c r="C4382" s="6">
        <f>IFERROR(__xludf.DUMMYFUNCTION("""COMPUTED_VALUE"""),2.0)</f>
        <v>2</v>
      </c>
      <c r="D4382" s="6" t="str">
        <f>IFERROR(__xludf.DUMMYFUNCTION("""COMPUTED_VALUE"""),"P-20015-00")</f>
        <v>P-20015-00</v>
      </c>
      <c r="E4382" s="6" t="str">
        <f>IFERROR(__xludf.DUMMYFUNCTION("""COMPUTED_VALUE"""),"General - Pressure Gauge 0-6 Bar, Drat 1/2inch; WIKA; -; 1 pc")</f>
        <v>General - Pressure Gauge 0-6 Bar, Drat 1/2inch; WIKA; -; 1 pc</v>
      </c>
      <c r="F4382" s="6">
        <f>IFERROR(__xludf.DUMMYFUNCTION("""COMPUTED_VALUE"""),2.0)</f>
        <v>2</v>
      </c>
      <c r="G4382" s="6" t="str">
        <f>IFERROR(__xludf.DUMMYFUNCTION("""COMPUTED_VALUE"""),"Pieces")</f>
        <v>Pieces</v>
      </c>
      <c r="H4382" s="6" t="str">
        <f>IFERROR(__xludf.DUMMYFUNCTION("""COMPUTED_VALUE"""),"IDR")</f>
        <v>IDR</v>
      </c>
      <c r="I4382" s="6">
        <f>IFERROR(__xludf.DUMMYFUNCTION("""COMPUTED_VALUE"""),1850000.0)</f>
        <v>1850000</v>
      </c>
      <c r="J4382" s="6">
        <f>IFERROR(__xludf.DUMMYFUNCTION("""COMPUTED_VALUE"""),3700000.0)</f>
        <v>3700000</v>
      </c>
      <c r="K4382" s="57">
        <f>IFERROR(__xludf.DUMMYFUNCTION("""COMPUTED_VALUE"""),45947.0)</f>
        <v>45947</v>
      </c>
      <c r="L4382" s="6" t="str">
        <f>IFERROR(__xludf.DUMMYFUNCTION("""COMPUTED_VALUE"""),"FIP Engineering")</f>
        <v>FIP Engineering</v>
      </c>
      <c r="M4382" s="6" t="str">
        <f>IFERROR(__xludf.DUMMYFUNCTION("""COMPUTED_VALUE"""),"Mochammad Fadhillah Hakim,")</f>
        <v>Mochammad Fadhillah Hakim,</v>
      </c>
      <c r="N4382" s="6" t="str">
        <f>IFERROR(__xludf.DUMMYFUNCTION("""COMPUTED_VALUE"""),"FIP Engineering")</f>
        <v>FIP Engineering</v>
      </c>
      <c r="O4382" s="6" t="str">
        <f>IFERROR(__xludf.DUMMYFUNCTION("""COMPUTED_VALUE"""),"FIP-DOM-000-11304-OS00001-INA-000000")</f>
        <v>FIP-DOM-000-11304-OS00001-INA-000000</v>
      </c>
      <c r="P4382" s="6" t="str">
        <f>IFERROR(__xludf.DUMMYFUNCTION("""COMPUTED_VALUE"""),"PO Closed")</f>
        <v>PO Closed</v>
      </c>
      <c r="Q4382" s="6" t="str">
        <f>IFERROR(__xludf.DUMMYFUNCTION("""COMPUTED_VALUE"""),"GL2510495")</f>
        <v>GL2510495</v>
      </c>
      <c r="R4382" s="57">
        <f>IFERROR(__xludf.DUMMYFUNCTION("""COMPUTED_VALUE"""),45911.0)</f>
        <v>45911</v>
      </c>
      <c r="S4382" s="57">
        <f>IFERROR(__xludf.DUMMYFUNCTION("""COMPUTED_VALUE"""),45937.0)</f>
        <v>45937</v>
      </c>
      <c r="T4382" s="57">
        <f>IFERROR(__xludf.DUMMYFUNCTION("""COMPUTED_VALUE"""),45971.0)</f>
        <v>45971</v>
      </c>
    </row>
    <row r="4383">
      <c r="A4383" s="6" t="str">
        <f>IFERROR(__xludf.DUMMYFUNCTION("""COMPUTED_VALUE"""),"121703220-3")</f>
        <v>121703220-3</v>
      </c>
      <c r="B4383" s="6" t="str">
        <f>IFERROR(__xludf.DUMMYFUNCTION("""COMPUTED_VALUE"""),"121703220 - APPROVED")</f>
        <v>121703220 - APPROVED</v>
      </c>
      <c r="C4383" s="6">
        <f>IFERROR(__xludf.DUMMYFUNCTION("""COMPUTED_VALUE"""),3.0)</f>
        <v>3</v>
      </c>
      <c r="D4383" s="6" t="str">
        <f>IFERROR(__xludf.DUMMYFUNCTION("""COMPUTED_VALUE"""),"P-20018-00")</f>
        <v>P-20018-00</v>
      </c>
      <c r="E4383" s="6" t="str">
        <f>IFERROR(__xludf.DUMMYFUNCTION("""COMPUTED_VALUE"""),"General - Penutup Flexible Ducting 4inch; No Brand; -; 1 pc")</f>
        <v>General - Penutup Flexible Ducting 4inch; No Brand; -; 1 pc</v>
      </c>
      <c r="F4383" s="6">
        <f>IFERROR(__xludf.DUMMYFUNCTION("""COMPUTED_VALUE"""),3.0)</f>
        <v>3</v>
      </c>
      <c r="G4383" s="6" t="str">
        <f>IFERROR(__xludf.DUMMYFUNCTION("""COMPUTED_VALUE"""),"Pieces")</f>
        <v>Pieces</v>
      </c>
      <c r="H4383" s="6" t="str">
        <f>IFERROR(__xludf.DUMMYFUNCTION("""COMPUTED_VALUE"""),"IDR")</f>
        <v>IDR</v>
      </c>
      <c r="I4383" s="6">
        <f>IFERROR(__xludf.DUMMYFUNCTION("""COMPUTED_VALUE"""),130000.0)</f>
        <v>130000</v>
      </c>
      <c r="J4383" s="6">
        <f>IFERROR(__xludf.DUMMYFUNCTION("""COMPUTED_VALUE"""),390000.0)</f>
        <v>390000</v>
      </c>
      <c r="K4383" s="57">
        <f>IFERROR(__xludf.DUMMYFUNCTION("""COMPUTED_VALUE"""),45947.0)</f>
        <v>45947</v>
      </c>
      <c r="L4383" s="6" t="str">
        <f>IFERROR(__xludf.DUMMYFUNCTION("""COMPUTED_VALUE"""),"FIP Engineering")</f>
        <v>FIP Engineering</v>
      </c>
      <c r="M4383" s="6" t="str">
        <f>IFERROR(__xludf.DUMMYFUNCTION("""COMPUTED_VALUE"""),"Mochammad Fadhillah Hakim,")</f>
        <v>Mochammad Fadhillah Hakim,</v>
      </c>
      <c r="N4383" s="6" t="str">
        <f>IFERROR(__xludf.DUMMYFUNCTION("""COMPUTED_VALUE"""),"FIP Engineering")</f>
        <v>FIP Engineering</v>
      </c>
      <c r="O4383" s="6" t="str">
        <f>IFERROR(__xludf.DUMMYFUNCTION("""COMPUTED_VALUE"""),"FIP-DOM-000-11304-OS00001-INA-000000")</f>
        <v>FIP-DOM-000-11304-OS00001-INA-000000</v>
      </c>
      <c r="P4383" s="6" t="str">
        <f>IFERROR(__xludf.DUMMYFUNCTION("""COMPUTED_VALUE"""),"PO Closed")</f>
        <v>PO Closed</v>
      </c>
      <c r="Q4383" s="6" t="str">
        <f>IFERROR(__xludf.DUMMYFUNCTION("""COMPUTED_VALUE"""),"GL2510496")</f>
        <v>GL2510496</v>
      </c>
      <c r="R4383" s="57">
        <f>IFERROR(__xludf.DUMMYFUNCTION("""COMPUTED_VALUE"""),45911.0)</f>
        <v>45911</v>
      </c>
      <c r="S4383" s="57">
        <f>IFERROR(__xludf.DUMMYFUNCTION("""COMPUTED_VALUE"""),45937.0)</f>
        <v>45937</v>
      </c>
      <c r="T4383" s="57">
        <f>IFERROR(__xludf.DUMMYFUNCTION("""COMPUTED_VALUE"""),45947.0)</f>
        <v>45947</v>
      </c>
    </row>
    <row r="4384">
      <c r="A4384" s="6" t="str">
        <f>IFERROR(__xludf.DUMMYFUNCTION("""COMPUTED_VALUE"""),"121703220-4")</f>
        <v>121703220-4</v>
      </c>
      <c r="B4384" s="6" t="str">
        <f>IFERROR(__xludf.DUMMYFUNCTION("""COMPUTED_VALUE"""),"121703220 - APPROVED")</f>
        <v>121703220 - APPROVED</v>
      </c>
      <c r="C4384" s="6">
        <f>IFERROR(__xludf.DUMMYFUNCTION("""COMPUTED_VALUE"""),4.0)</f>
        <v>4</v>
      </c>
      <c r="D4384" s="6" t="str">
        <f>IFERROR(__xludf.DUMMYFUNCTION("""COMPUTED_VALUE"""),"P-20039-00")</f>
        <v>P-20039-00</v>
      </c>
      <c r="E4384" s="6" t="str">
        <f>IFERROR(__xludf.DUMMYFUNCTION("""COMPUTED_VALUE"""),"General - Baut Button Flange M5 x 10mm x 1.5mm; No Brand; -; 100pcs/pack")</f>
        <v>General - Baut Button Flange M5 x 10mm x 1.5mm; No Brand; -; 100pcs/pack</v>
      </c>
      <c r="F4384" s="6">
        <f>IFERROR(__xludf.DUMMYFUNCTION("""COMPUTED_VALUE"""),1.0)</f>
        <v>1</v>
      </c>
      <c r="G4384" s="6" t="str">
        <f>IFERROR(__xludf.DUMMYFUNCTION("""COMPUTED_VALUE"""),"Pack")</f>
        <v>Pack</v>
      </c>
      <c r="H4384" s="6" t="str">
        <f>IFERROR(__xludf.DUMMYFUNCTION("""COMPUTED_VALUE"""),"IDR")</f>
        <v>IDR</v>
      </c>
      <c r="I4384" s="6">
        <f>IFERROR(__xludf.DUMMYFUNCTION("""COMPUTED_VALUE"""),285000.0)</f>
        <v>285000</v>
      </c>
      <c r="J4384" s="6">
        <f>IFERROR(__xludf.DUMMYFUNCTION("""COMPUTED_VALUE"""),285000.0)</f>
        <v>285000</v>
      </c>
      <c r="K4384" s="57">
        <f>IFERROR(__xludf.DUMMYFUNCTION("""COMPUTED_VALUE"""),45947.0)</f>
        <v>45947</v>
      </c>
      <c r="L4384" s="6" t="str">
        <f>IFERROR(__xludf.DUMMYFUNCTION("""COMPUTED_VALUE"""),"FIP Engineering")</f>
        <v>FIP Engineering</v>
      </c>
      <c r="M4384" s="6" t="str">
        <f>IFERROR(__xludf.DUMMYFUNCTION("""COMPUTED_VALUE"""),"Mochammad Fadhillah Hakim,")</f>
        <v>Mochammad Fadhillah Hakim,</v>
      </c>
      <c r="N4384" s="6" t="str">
        <f>IFERROR(__xludf.DUMMYFUNCTION("""COMPUTED_VALUE"""),"FIP Engineering")</f>
        <v>FIP Engineering</v>
      </c>
      <c r="O4384" s="6" t="str">
        <f>IFERROR(__xludf.DUMMYFUNCTION("""COMPUTED_VALUE"""),"FIP-DOM-000-11304-OS00001-INA-000000")</f>
        <v>FIP-DOM-000-11304-OS00001-INA-000000</v>
      </c>
      <c r="P4384" s="6" t="str">
        <f>IFERROR(__xludf.DUMMYFUNCTION("""COMPUTED_VALUE"""),"PO Closed")</f>
        <v>PO Closed</v>
      </c>
      <c r="Q4384" s="6" t="str">
        <f>IFERROR(__xludf.DUMMYFUNCTION("""COMPUTED_VALUE"""),"GL2510495")</f>
        <v>GL2510495</v>
      </c>
      <c r="R4384" s="57">
        <f>IFERROR(__xludf.DUMMYFUNCTION("""COMPUTED_VALUE"""),45911.0)</f>
        <v>45911</v>
      </c>
      <c r="S4384" s="57">
        <f>IFERROR(__xludf.DUMMYFUNCTION("""COMPUTED_VALUE"""),45937.0)</f>
        <v>45937</v>
      </c>
      <c r="T4384" s="57">
        <f>IFERROR(__xludf.DUMMYFUNCTION("""COMPUTED_VALUE"""),45971.0)</f>
        <v>45971</v>
      </c>
    </row>
    <row r="4385">
      <c r="A4385" s="6" t="str">
        <f>IFERROR(__xludf.DUMMYFUNCTION("""COMPUTED_VALUE"""),"121703220-5")</f>
        <v>121703220-5</v>
      </c>
      <c r="B4385" s="6" t="str">
        <f>IFERROR(__xludf.DUMMYFUNCTION("""COMPUTED_VALUE"""),"121703220 - APPROVED")</f>
        <v>121703220 - APPROVED</v>
      </c>
      <c r="C4385" s="6">
        <f>IFERROR(__xludf.DUMMYFUNCTION("""COMPUTED_VALUE"""),5.0)</f>
        <v>5</v>
      </c>
      <c r="D4385" s="6" t="str">
        <f>IFERROR(__xludf.DUMMYFUNCTION("""COMPUTED_VALUE"""),"P-20041-00")</f>
        <v>P-20041-00</v>
      </c>
      <c r="E4385" s="6" t="str">
        <f>IFERROR(__xludf.DUMMYFUNCTION("""COMPUTED_VALUE"""),"General - Cable Duct 15 x 30mm; No Brand; -; 1,7meter/pc")</f>
        <v>General - Cable Duct 15 x 30mm; No Brand; -; 1,7meter/pc</v>
      </c>
      <c r="F4385" s="6">
        <f>IFERROR(__xludf.DUMMYFUNCTION("""COMPUTED_VALUE"""),10.0)</f>
        <v>10</v>
      </c>
      <c r="G4385" s="6" t="str">
        <f>IFERROR(__xludf.DUMMYFUNCTION("""COMPUTED_VALUE"""),"Pieces")</f>
        <v>Pieces</v>
      </c>
      <c r="H4385" s="6" t="str">
        <f>IFERROR(__xludf.DUMMYFUNCTION("""COMPUTED_VALUE"""),"IDR")</f>
        <v>IDR</v>
      </c>
      <c r="I4385" s="6">
        <f>IFERROR(__xludf.DUMMYFUNCTION("""COMPUTED_VALUE"""),50000.0)</f>
        <v>50000</v>
      </c>
      <c r="J4385" s="6">
        <f>IFERROR(__xludf.DUMMYFUNCTION("""COMPUTED_VALUE"""),500000.0)</f>
        <v>500000</v>
      </c>
      <c r="K4385" s="57">
        <f>IFERROR(__xludf.DUMMYFUNCTION("""COMPUTED_VALUE"""),45947.0)</f>
        <v>45947</v>
      </c>
      <c r="L4385" s="6" t="str">
        <f>IFERROR(__xludf.DUMMYFUNCTION("""COMPUTED_VALUE"""),"FIP Engineering")</f>
        <v>FIP Engineering</v>
      </c>
      <c r="M4385" s="6" t="str">
        <f>IFERROR(__xludf.DUMMYFUNCTION("""COMPUTED_VALUE"""),"Mochammad Fadhillah Hakim,")</f>
        <v>Mochammad Fadhillah Hakim,</v>
      </c>
      <c r="N4385" s="6" t="str">
        <f>IFERROR(__xludf.DUMMYFUNCTION("""COMPUTED_VALUE"""),"FIP Engineering")</f>
        <v>FIP Engineering</v>
      </c>
      <c r="O4385" s="6" t="str">
        <f>IFERROR(__xludf.DUMMYFUNCTION("""COMPUTED_VALUE"""),"FIP-DOM-000-11304-OS00001-INA-000000")</f>
        <v>FIP-DOM-000-11304-OS00001-INA-000000</v>
      </c>
      <c r="P4385" s="6" t="str">
        <f>IFERROR(__xludf.DUMMYFUNCTION("""COMPUTED_VALUE"""),"PO Closed")</f>
        <v>PO Closed</v>
      </c>
      <c r="Q4385" s="6" t="str">
        <f>IFERROR(__xludf.DUMMYFUNCTION("""COMPUTED_VALUE"""),"GL2510495")</f>
        <v>GL2510495</v>
      </c>
      <c r="R4385" s="57">
        <f>IFERROR(__xludf.DUMMYFUNCTION("""COMPUTED_VALUE"""),45911.0)</f>
        <v>45911</v>
      </c>
      <c r="S4385" s="57">
        <f>IFERROR(__xludf.DUMMYFUNCTION("""COMPUTED_VALUE"""),45937.0)</f>
        <v>45937</v>
      </c>
      <c r="T4385" s="57">
        <f>IFERROR(__xludf.DUMMYFUNCTION("""COMPUTED_VALUE"""),45971.0)</f>
        <v>45971</v>
      </c>
    </row>
    <row r="4386">
      <c r="A4386" s="6" t="str">
        <f>IFERROR(__xludf.DUMMYFUNCTION("""COMPUTED_VALUE"""),"121703220-6")</f>
        <v>121703220-6</v>
      </c>
      <c r="B4386" s="6" t="str">
        <f>IFERROR(__xludf.DUMMYFUNCTION("""COMPUTED_VALUE"""),"121703220 - APPROVED")</f>
        <v>121703220 - APPROVED</v>
      </c>
      <c r="C4386" s="6">
        <f>IFERROR(__xludf.DUMMYFUNCTION("""COMPUTED_VALUE"""),6.0)</f>
        <v>6</v>
      </c>
      <c r="D4386" s="6" t="str">
        <f>IFERROR(__xludf.DUMMYFUNCTION("""COMPUTED_VALUE"""),"P-54348-00")</f>
        <v>P-54348-00</v>
      </c>
      <c r="E4386" s="6" t="str">
        <f>IFERROR(__xludf.DUMMYFUNCTION("""COMPUTED_VALUE"""),"General - Exhaust Fan 4414M; EBMPast; -; 1 pc")</f>
        <v>General - Exhaust Fan 4414M; EBMPast; -; 1 pc</v>
      </c>
      <c r="F4386" s="6">
        <f>IFERROR(__xludf.DUMMYFUNCTION("""COMPUTED_VALUE"""),2.0)</f>
        <v>2</v>
      </c>
      <c r="G4386" s="6" t="str">
        <f>IFERROR(__xludf.DUMMYFUNCTION("""COMPUTED_VALUE"""),"Pieces")</f>
        <v>Pieces</v>
      </c>
      <c r="H4386" s="6" t="str">
        <f>IFERROR(__xludf.DUMMYFUNCTION("""COMPUTED_VALUE"""),"IDR")</f>
        <v>IDR</v>
      </c>
      <c r="I4386" s="6">
        <f>IFERROR(__xludf.DUMMYFUNCTION("""COMPUTED_VALUE"""),675000.0)</f>
        <v>675000</v>
      </c>
      <c r="J4386" s="6">
        <f>IFERROR(__xludf.DUMMYFUNCTION("""COMPUTED_VALUE"""),1350000.0)</f>
        <v>1350000</v>
      </c>
      <c r="K4386" s="57">
        <f>IFERROR(__xludf.DUMMYFUNCTION("""COMPUTED_VALUE"""),45947.0)</f>
        <v>45947</v>
      </c>
      <c r="L4386" s="6" t="str">
        <f>IFERROR(__xludf.DUMMYFUNCTION("""COMPUTED_VALUE"""),"FIP Engineering")</f>
        <v>FIP Engineering</v>
      </c>
      <c r="M4386" s="6" t="str">
        <f>IFERROR(__xludf.DUMMYFUNCTION("""COMPUTED_VALUE"""),"Mochammad Fadhillah Hakim,")</f>
        <v>Mochammad Fadhillah Hakim,</v>
      </c>
      <c r="N4386" s="6" t="str">
        <f>IFERROR(__xludf.DUMMYFUNCTION("""COMPUTED_VALUE"""),"FIP Engineering")</f>
        <v>FIP Engineering</v>
      </c>
      <c r="O4386" s="6" t="str">
        <f>IFERROR(__xludf.DUMMYFUNCTION("""COMPUTED_VALUE"""),"FIP-DOM-000-11304-OS00001-INA-000000")</f>
        <v>FIP-DOM-000-11304-OS00001-INA-000000</v>
      </c>
      <c r="P4386" s="6" t="str">
        <f>IFERROR(__xludf.DUMMYFUNCTION("""COMPUTED_VALUE"""),"PO Closed")</f>
        <v>PO Closed</v>
      </c>
      <c r="Q4386" s="6" t="str">
        <f>IFERROR(__xludf.DUMMYFUNCTION("""COMPUTED_VALUE"""),"GL2510496")</f>
        <v>GL2510496</v>
      </c>
      <c r="R4386" s="57">
        <f>IFERROR(__xludf.DUMMYFUNCTION("""COMPUTED_VALUE"""),45911.0)</f>
        <v>45911</v>
      </c>
      <c r="S4386" s="57">
        <f>IFERROR(__xludf.DUMMYFUNCTION("""COMPUTED_VALUE"""),45937.0)</f>
        <v>45937</v>
      </c>
      <c r="T4386" s="57">
        <f>IFERROR(__xludf.DUMMYFUNCTION("""COMPUTED_VALUE"""),45947.0)</f>
        <v>45947</v>
      </c>
    </row>
    <row r="4387">
      <c r="A4387" s="6" t="str">
        <f>IFERROR(__xludf.DUMMYFUNCTION("""COMPUTED_VALUE"""),"121703220-7")</f>
        <v>121703220-7</v>
      </c>
      <c r="B4387" s="6" t="str">
        <f>IFERROR(__xludf.DUMMYFUNCTION("""COMPUTED_VALUE"""),"121703220 - APPROVED")</f>
        <v>121703220 - APPROVED</v>
      </c>
      <c r="C4387" s="6">
        <f>IFERROR(__xludf.DUMMYFUNCTION("""COMPUTED_VALUE"""),7.0)</f>
        <v>7</v>
      </c>
      <c r="D4387" s="6" t="str">
        <f>IFERROR(__xludf.DUMMYFUNCTION("""COMPUTED_VALUE"""),"P-54352-00")</f>
        <v>P-54352-00</v>
      </c>
      <c r="E4387" s="6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F4387" s="6">
        <f>IFERROR(__xludf.DUMMYFUNCTION("""COMPUTED_VALUE"""),2.0)</f>
        <v>2</v>
      </c>
      <c r="G4387" s="6" t="str">
        <f>IFERROR(__xludf.DUMMYFUNCTION("""COMPUTED_VALUE"""),"Pieces")</f>
        <v>Pieces</v>
      </c>
      <c r="H4387" s="6" t="str">
        <f>IFERROR(__xludf.DUMMYFUNCTION("""COMPUTED_VALUE"""),"IDR")</f>
        <v>IDR</v>
      </c>
      <c r="I4387" s="6">
        <f>IFERROR(__xludf.DUMMYFUNCTION("""COMPUTED_VALUE"""),76500.0)</f>
        <v>76500</v>
      </c>
      <c r="J4387" s="6">
        <f>IFERROR(__xludf.DUMMYFUNCTION("""COMPUTED_VALUE"""),153000.0)</f>
        <v>153000</v>
      </c>
      <c r="K4387" s="57">
        <f>IFERROR(__xludf.DUMMYFUNCTION("""COMPUTED_VALUE"""),45947.0)</f>
        <v>45947</v>
      </c>
      <c r="L4387" s="6" t="str">
        <f>IFERROR(__xludf.DUMMYFUNCTION("""COMPUTED_VALUE"""),"FIP Engineering")</f>
        <v>FIP Engineering</v>
      </c>
      <c r="M4387" s="6" t="str">
        <f>IFERROR(__xludf.DUMMYFUNCTION("""COMPUTED_VALUE"""),"Mochammad Fadhillah Hakim,")</f>
        <v>Mochammad Fadhillah Hakim,</v>
      </c>
      <c r="N4387" s="6" t="str">
        <f>IFERROR(__xludf.DUMMYFUNCTION("""COMPUTED_VALUE"""),"FIP Engineering")</f>
        <v>FIP Engineering</v>
      </c>
      <c r="O4387" s="6" t="str">
        <f>IFERROR(__xludf.DUMMYFUNCTION("""COMPUTED_VALUE"""),"FIP-DOM-000-11304-OS00001-INA-000000")</f>
        <v>FIP-DOM-000-11304-OS00001-INA-000000</v>
      </c>
      <c r="P4387" s="6" t="str">
        <f>IFERROR(__xludf.DUMMYFUNCTION("""COMPUTED_VALUE"""),"PO Closed")</f>
        <v>PO Closed</v>
      </c>
      <c r="Q4387" s="6" t="str">
        <f>IFERROR(__xludf.DUMMYFUNCTION("""COMPUTED_VALUE"""),"GL2510496")</f>
        <v>GL2510496</v>
      </c>
      <c r="R4387" s="57">
        <f>IFERROR(__xludf.DUMMYFUNCTION("""COMPUTED_VALUE"""),45911.0)</f>
        <v>45911</v>
      </c>
      <c r="S4387" s="57">
        <f>IFERROR(__xludf.DUMMYFUNCTION("""COMPUTED_VALUE"""),45937.0)</f>
        <v>45937</v>
      </c>
      <c r="T4387" s="57">
        <f>IFERROR(__xludf.DUMMYFUNCTION("""COMPUTED_VALUE"""),45947.0)</f>
        <v>45947</v>
      </c>
    </row>
    <row r="4388">
      <c r="A4388" s="6" t="str">
        <f>IFERROR(__xludf.DUMMYFUNCTION("""COMPUTED_VALUE"""),"121703220-8")</f>
        <v>121703220-8</v>
      </c>
      <c r="B4388" s="6" t="str">
        <f>IFERROR(__xludf.DUMMYFUNCTION("""COMPUTED_VALUE"""),"121703220 - APPROVED")</f>
        <v>121703220 - APPROVED</v>
      </c>
      <c r="C4388" s="6">
        <f>IFERROR(__xludf.DUMMYFUNCTION("""COMPUTED_VALUE"""),8.0)</f>
        <v>8</v>
      </c>
      <c r="D4388" s="6" t="str">
        <f>IFERROR(__xludf.DUMMYFUNCTION("""COMPUTED_VALUE"""),"P-54353-00")</f>
        <v>P-54353-00</v>
      </c>
      <c r="E4388" s="6" t="str">
        <f>IFERROR(__xludf.DUMMYFUNCTION("""COMPUTED_VALUE"""),"General - Relay MKS2P + Socket; Omron; -; 1 set")</f>
        <v>General - Relay MKS2P + Socket; Omron; -; 1 set</v>
      </c>
      <c r="F4388" s="6">
        <f>IFERROR(__xludf.DUMMYFUNCTION("""COMPUTED_VALUE"""),1.0)</f>
        <v>1</v>
      </c>
      <c r="G4388" s="6" t="str">
        <f>IFERROR(__xludf.DUMMYFUNCTION("""COMPUTED_VALUE"""),"Set")</f>
        <v>Set</v>
      </c>
      <c r="H4388" s="6" t="str">
        <f>IFERROR(__xludf.DUMMYFUNCTION("""COMPUTED_VALUE"""),"IDR")</f>
        <v>IDR</v>
      </c>
      <c r="I4388" s="6">
        <f>IFERROR(__xludf.DUMMYFUNCTION("""COMPUTED_VALUE"""),98500.0)</f>
        <v>98500</v>
      </c>
      <c r="J4388" s="6">
        <f>IFERROR(__xludf.DUMMYFUNCTION("""COMPUTED_VALUE"""),98500.0)</f>
        <v>98500</v>
      </c>
      <c r="K4388" s="57">
        <f>IFERROR(__xludf.DUMMYFUNCTION("""COMPUTED_VALUE"""),45947.0)</f>
        <v>45947</v>
      </c>
      <c r="L4388" s="6" t="str">
        <f>IFERROR(__xludf.DUMMYFUNCTION("""COMPUTED_VALUE"""),"FIP Engineering")</f>
        <v>FIP Engineering</v>
      </c>
      <c r="M4388" s="6" t="str">
        <f>IFERROR(__xludf.DUMMYFUNCTION("""COMPUTED_VALUE"""),"Mochammad Fadhillah Hakim,")</f>
        <v>Mochammad Fadhillah Hakim,</v>
      </c>
      <c r="N4388" s="6" t="str">
        <f>IFERROR(__xludf.DUMMYFUNCTION("""COMPUTED_VALUE"""),"FIP Engineering")</f>
        <v>FIP Engineering</v>
      </c>
      <c r="O4388" s="6" t="str">
        <f>IFERROR(__xludf.DUMMYFUNCTION("""COMPUTED_VALUE"""),"FIP-DOM-000-11304-OS00001-INA-000000")</f>
        <v>FIP-DOM-000-11304-OS00001-INA-000000</v>
      </c>
      <c r="P4388" s="6" t="str">
        <f>IFERROR(__xludf.DUMMYFUNCTION("""COMPUTED_VALUE"""),"PO Closed")</f>
        <v>PO Closed</v>
      </c>
      <c r="Q4388" s="6" t="str">
        <f>IFERROR(__xludf.DUMMYFUNCTION("""COMPUTED_VALUE"""),"GL2510032")</f>
        <v>GL2510032</v>
      </c>
      <c r="R4388" s="57">
        <f>IFERROR(__xludf.DUMMYFUNCTION("""COMPUTED_VALUE"""),45911.0)</f>
        <v>45911</v>
      </c>
      <c r="S4388" s="57">
        <f>IFERROR(__xludf.DUMMYFUNCTION("""COMPUTED_VALUE"""),45937.0)</f>
        <v>45937</v>
      </c>
      <c r="T4388" s="57">
        <f>IFERROR(__xludf.DUMMYFUNCTION("""COMPUTED_VALUE"""),46011.0)</f>
        <v>46011</v>
      </c>
    </row>
    <row r="4389">
      <c r="A4389" s="6" t="str">
        <f>IFERROR(__xludf.DUMMYFUNCTION("""COMPUTED_VALUE"""),"121703220-9")</f>
        <v>121703220-9</v>
      </c>
      <c r="B4389" s="6" t="str">
        <f>IFERROR(__xludf.DUMMYFUNCTION("""COMPUTED_VALUE"""),"121703220 - APPROVED")</f>
        <v>121703220 - APPROVED</v>
      </c>
      <c r="C4389" s="6">
        <f>IFERROR(__xludf.DUMMYFUNCTION("""COMPUTED_VALUE"""),9.0)</f>
        <v>9</v>
      </c>
      <c r="D4389" s="6" t="str">
        <f>IFERROR(__xludf.DUMMYFUNCTION("""COMPUTED_VALUE"""),"P-54355-00")</f>
        <v>P-54355-00</v>
      </c>
      <c r="E4389" s="6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F4389" s="6">
        <f>IFERROR(__xludf.DUMMYFUNCTION("""COMPUTED_VALUE"""),5.0)</f>
        <v>5</v>
      </c>
      <c r="G4389" s="6" t="str">
        <f>IFERROR(__xludf.DUMMYFUNCTION("""COMPUTED_VALUE"""),"Pieces")</f>
        <v>Pieces</v>
      </c>
      <c r="H4389" s="6" t="str">
        <f>IFERROR(__xludf.DUMMYFUNCTION("""COMPUTED_VALUE"""),"IDR")</f>
        <v>IDR</v>
      </c>
      <c r="I4389" s="6">
        <f>IFERROR(__xludf.DUMMYFUNCTION("""COMPUTED_VALUE"""),180000.0)</f>
        <v>180000</v>
      </c>
      <c r="J4389" s="6">
        <f>IFERROR(__xludf.DUMMYFUNCTION("""COMPUTED_VALUE"""),900000.0)</f>
        <v>900000</v>
      </c>
      <c r="K4389" s="57">
        <f>IFERROR(__xludf.DUMMYFUNCTION("""COMPUTED_VALUE"""),45947.0)</f>
        <v>45947</v>
      </c>
      <c r="L4389" s="6" t="str">
        <f>IFERROR(__xludf.DUMMYFUNCTION("""COMPUTED_VALUE"""),"FIP Engineering")</f>
        <v>FIP Engineering</v>
      </c>
      <c r="M4389" s="6" t="str">
        <f>IFERROR(__xludf.DUMMYFUNCTION("""COMPUTED_VALUE"""),"Mochammad Fadhillah Hakim,")</f>
        <v>Mochammad Fadhillah Hakim,</v>
      </c>
      <c r="N4389" s="6" t="str">
        <f>IFERROR(__xludf.DUMMYFUNCTION("""COMPUTED_VALUE"""),"FIP Engineering")</f>
        <v>FIP Engineering</v>
      </c>
      <c r="O4389" s="6" t="str">
        <f>IFERROR(__xludf.DUMMYFUNCTION("""COMPUTED_VALUE"""),"FIP-DOM-000-11304-OS00001-INA-000000")</f>
        <v>FIP-DOM-000-11304-OS00001-INA-000000</v>
      </c>
      <c r="P4389" s="6" t="str">
        <f>IFERROR(__xludf.DUMMYFUNCTION("""COMPUTED_VALUE"""),"PO Closed")</f>
        <v>PO Closed</v>
      </c>
      <c r="Q4389" s="6" t="str">
        <f>IFERROR(__xludf.DUMMYFUNCTION("""COMPUTED_VALUE"""),"GL2510495")</f>
        <v>GL2510495</v>
      </c>
      <c r="R4389" s="57">
        <f>IFERROR(__xludf.DUMMYFUNCTION("""COMPUTED_VALUE"""),45911.0)</f>
        <v>45911</v>
      </c>
      <c r="S4389" s="57">
        <f>IFERROR(__xludf.DUMMYFUNCTION("""COMPUTED_VALUE"""),45937.0)</f>
        <v>45937</v>
      </c>
      <c r="T4389" s="57">
        <f>IFERROR(__xludf.DUMMYFUNCTION("""COMPUTED_VALUE"""),45971.0)</f>
        <v>45971</v>
      </c>
    </row>
    <row r="4390">
      <c r="A4390" s="6" t="str">
        <f>IFERROR(__xludf.DUMMYFUNCTION("""COMPUTED_VALUE"""),"121703220-10")</f>
        <v>121703220-10</v>
      </c>
      <c r="B4390" s="6" t="str">
        <f>IFERROR(__xludf.DUMMYFUNCTION("""COMPUTED_VALUE"""),"121703220 - APPROVED")</f>
        <v>121703220 - APPROVED</v>
      </c>
      <c r="C4390" s="6">
        <f>IFERROR(__xludf.DUMMYFUNCTION("""COMPUTED_VALUE"""),10.0)</f>
        <v>10</v>
      </c>
      <c r="D4390" s="6" t="str">
        <f>IFERROR(__xludf.DUMMYFUNCTION("""COMPUTED_VALUE"""),"P-20144-00")</f>
        <v>P-20144-00</v>
      </c>
      <c r="E4390" s="6" t="str">
        <f>IFERROR(__xludf.DUMMYFUNCTION("""COMPUTED_VALUE"""),"General - Flange SS304 JIS 10K STD 2,5inch; No Brand; -; 1 pc")</f>
        <v>General - Flange SS304 JIS 10K STD 2,5inch; No Brand; -; 1 pc</v>
      </c>
      <c r="F4390" s="6">
        <f>IFERROR(__xludf.DUMMYFUNCTION("""COMPUTED_VALUE"""),4.0)</f>
        <v>4</v>
      </c>
      <c r="G4390" s="6" t="str">
        <f>IFERROR(__xludf.DUMMYFUNCTION("""COMPUTED_VALUE"""),"Pieces")</f>
        <v>Pieces</v>
      </c>
      <c r="H4390" s="6" t="str">
        <f>IFERROR(__xludf.DUMMYFUNCTION("""COMPUTED_VALUE"""),"IDR")</f>
        <v>IDR</v>
      </c>
      <c r="I4390" s="6">
        <f>IFERROR(__xludf.DUMMYFUNCTION("""COMPUTED_VALUE"""),517500.0)</f>
        <v>517500</v>
      </c>
      <c r="J4390" s="6">
        <f>IFERROR(__xludf.DUMMYFUNCTION("""COMPUTED_VALUE"""),2070000.0)</f>
        <v>2070000</v>
      </c>
      <c r="K4390" s="57">
        <f>IFERROR(__xludf.DUMMYFUNCTION("""COMPUTED_VALUE"""),45947.0)</f>
        <v>45947</v>
      </c>
      <c r="L4390" s="6" t="str">
        <f>IFERROR(__xludf.DUMMYFUNCTION("""COMPUTED_VALUE"""),"FIP Engineering")</f>
        <v>FIP Engineering</v>
      </c>
      <c r="M4390" s="6" t="str">
        <f>IFERROR(__xludf.DUMMYFUNCTION("""COMPUTED_VALUE"""),"Mochammad Fadhillah Hakim,")</f>
        <v>Mochammad Fadhillah Hakim,</v>
      </c>
      <c r="N4390" s="6" t="str">
        <f>IFERROR(__xludf.DUMMYFUNCTION("""COMPUTED_VALUE"""),"FIP Engineering")</f>
        <v>FIP Engineering</v>
      </c>
      <c r="O4390" s="6" t="str">
        <f>IFERROR(__xludf.DUMMYFUNCTION("""COMPUTED_VALUE"""),"FIP-DOM-000-11304-OS00001-INA-000000")</f>
        <v>FIP-DOM-000-11304-OS00001-INA-000000</v>
      </c>
      <c r="P4390" s="6" t="str">
        <f>IFERROR(__xludf.DUMMYFUNCTION("""COMPUTED_VALUE"""),"PO Closed")</f>
        <v>PO Closed</v>
      </c>
      <c r="Q4390" s="6" t="str">
        <f>IFERROR(__xludf.DUMMYFUNCTION("""COMPUTED_VALUE"""),"GL2510053")</f>
        <v>GL2510053</v>
      </c>
      <c r="R4390" s="57">
        <f>IFERROR(__xludf.DUMMYFUNCTION("""COMPUTED_VALUE"""),45911.0)</f>
        <v>45911</v>
      </c>
      <c r="S4390" s="57">
        <f>IFERROR(__xludf.DUMMYFUNCTION("""COMPUTED_VALUE"""),45937.0)</f>
        <v>45937</v>
      </c>
      <c r="T4390" s="57">
        <f>IFERROR(__xludf.DUMMYFUNCTION("""COMPUTED_VALUE"""),45947.0)</f>
        <v>45947</v>
      </c>
    </row>
    <row r="4391">
      <c r="A4391" s="6" t="str">
        <f>IFERROR(__xludf.DUMMYFUNCTION("""COMPUTED_VALUE"""),"121703222-1")</f>
        <v>121703222-1</v>
      </c>
      <c r="B4391" s="6" t="str">
        <f>IFERROR(__xludf.DUMMYFUNCTION("""COMPUTED_VALUE"""),"121703222 - APPROVED")</f>
        <v>121703222 - APPROVED</v>
      </c>
      <c r="C4391" s="6">
        <f>IFERROR(__xludf.DUMMYFUNCTION("""COMPUTED_VALUE"""),1.0)</f>
        <v>1</v>
      </c>
      <c r="D4391" s="6" t="str">
        <f>IFERROR(__xludf.DUMMYFUNCTION("""COMPUTED_VALUE"""),"T-20427-00")</f>
        <v>T-20427-00</v>
      </c>
      <c r="E4391" s="6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F4391" s="6">
        <f>IFERROR(__xludf.DUMMYFUNCTION("""COMPUTED_VALUE"""),1.0)</f>
        <v>1</v>
      </c>
      <c r="G4391" s="6" t="str">
        <f>IFERROR(__xludf.DUMMYFUNCTION("""COMPUTED_VALUE"""),"Pieces")</f>
        <v>Pieces</v>
      </c>
      <c r="H4391" s="6" t="str">
        <f>IFERROR(__xludf.DUMMYFUNCTION("""COMPUTED_VALUE"""),"IDR")</f>
        <v>IDR</v>
      </c>
      <c r="I4391" s="6">
        <f>IFERROR(__xludf.DUMMYFUNCTION("""COMPUTED_VALUE"""),1.87655E7)</f>
        <v>18765500</v>
      </c>
      <c r="J4391" s="6">
        <f>IFERROR(__xludf.DUMMYFUNCTION("""COMPUTED_VALUE"""),1.87655E7)</f>
        <v>18765500</v>
      </c>
      <c r="K4391" s="57">
        <f>IFERROR(__xludf.DUMMYFUNCTION("""COMPUTED_VALUE"""),45947.0)</f>
        <v>45947</v>
      </c>
      <c r="L4391" s="6" t="str">
        <f>IFERROR(__xludf.DUMMYFUNCTION("""COMPUTED_VALUE"""),"FIP General")</f>
        <v>FIP General</v>
      </c>
      <c r="M4391" s="6" t="str">
        <f>IFERROR(__xludf.DUMMYFUNCTION("""COMPUTED_VALUE"""),"Mochammad Fadhillah Hakim,")</f>
        <v>Mochammad Fadhillah Hakim,</v>
      </c>
      <c r="N4391" s="6" t="str">
        <f>IFERROR(__xludf.DUMMYFUNCTION("""COMPUTED_VALUE"""),"FIP Engineering")</f>
        <v>FIP Engineering</v>
      </c>
      <c r="O4391" s="6" t="str">
        <f>IFERROR(__xludf.DUMMYFUNCTION("""COMPUTED_VALUE"""),"FIP-DOM-ENG-51505-0000000-INA-000000")</f>
        <v>FIP-DOM-ENG-51505-0000000-INA-000000</v>
      </c>
      <c r="P4391" s="6" t="str">
        <f>IFERROR(__xludf.DUMMYFUNCTION("""COMPUTED_VALUE"""),"PO Closed")</f>
        <v>PO Closed</v>
      </c>
      <c r="Q4391" s="6" t="str">
        <f>IFERROR(__xludf.DUMMYFUNCTION("""COMPUTED_VALUE"""),"GL2510487")</f>
        <v>GL2510487</v>
      </c>
      <c r="R4391" s="57">
        <f>IFERROR(__xludf.DUMMYFUNCTION("""COMPUTED_VALUE"""),45911.0)</f>
        <v>45911</v>
      </c>
      <c r="S4391" s="57">
        <f>IFERROR(__xludf.DUMMYFUNCTION("""COMPUTED_VALUE"""),45932.0)</f>
        <v>45932</v>
      </c>
      <c r="T4391" s="57">
        <f>IFERROR(__xludf.DUMMYFUNCTION("""COMPUTED_VALUE"""),45985.0)</f>
        <v>45985</v>
      </c>
    </row>
    <row r="4392">
      <c r="A4392" s="6" t="str">
        <f>IFERROR(__xludf.DUMMYFUNCTION("""COMPUTED_VALUE"""),"121703226-1")</f>
        <v>121703226-1</v>
      </c>
      <c r="B4392" s="6" t="str">
        <f>IFERROR(__xludf.DUMMYFUNCTION("""COMPUTED_VALUE"""),"121703226 - APPROVED")</f>
        <v>121703226 - APPROVED</v>
      </c>
      <c r="C4392" s="6">
        <f>IFERROR(__xludf.DUMMYFUNCTION("""COMPUTED_VALUE"""),1.0)</f>
        <v>1</v>
      </c>
      <c r="D4392" s="6" t="str">
        <f>IFERROR(__xludf.DUMMYFUNCTION("""COMPUTED_VALUE"""),"R-20024-00")</f>
        <v>R-20024-00</v>
      </c>
      <c r="E4392" s="6" t="str">
        <f>IFERROR(__xludf.DUMMYFUNCTION("""COMPUTED_VALUE"""),"Machine Equipment; ; ; - Material dan Instalasi Kabel Mesin FD, AHU B1-3, cRABS, CLU Baru")</f>
        <v>Machine Equipment; ; ; - Material dan Instalasi Kabel Mesin FD, AHU B1-3, cRABS, CLU Baru</v>
      </c>
      <c r="F4392" s="6">
        <f>IFERROR(__xludf.DUMMYFUNCTION("""COMPUTED_VALUE"""),1.0)</f>
        <v>1</v>
      </c>
      <c r="G4392" s="6" t="str">
        <f>IFERROR(__xludf.DUMMYFUNCTION("""COMPUTED_VALUE"""),"Unit")</f>
        <v>Unit</v>
      </c>
      <c r="H4392" s="6" t="str">
        <f>IFERROR(__xludf.DUMMYFUNCTION("""COMPUTED_VALUE"""),"IDR")</f>
        <v>IDR</v>
      </c>
      <c r="I4392" s="6">
        <f>IFERROR(__xludf.DUMMYFUNCTION("""COMPUTED_VALUE"""),2.0962E8)</f>
        <v>209620000</v>
      </c>
      <c r="J4392" s="6">
        <f>IFERROR(__xludf.DUMMYFUNCTION("""COMPUTED_VALUE"""),2.0962E8)</f>
        <v>209620000</v>
      </c>
      <c r="K4392" s="57">
        <f>IFERROR(__xludf.DUMMYFUNCTION("""COMPUTED_VALUE"""),45947.0)</f>
        <v>45947</v>
      </c>
      <c r="L4392" s="6" t="str">
        <f>IFERROR(__xludf.DUMMYFUNCTION("""COMPUTED_VALUE"""),"FIP General")</f>
        <v>FIP General</v>
      </c>
      <c r="M4392" s="6" t="str">
        <f>IFERROR(__xludf.DUMMYFUNCTION("""COMPUTED_VALUE"""),"Mochammad Fadhillah Hakim,")</f>
        <v>Mochammad Fadhillah Hakim,</v>
      </c>
      <c r="N4392" s="6" t="str">
        <f>IFERROR(__xludf.DUMMYFUNCTION("""COMPUTED_VALUE"""),"FIP Engineering")</f>
        <v>FIP Engineering</v>
      </c>
      <c r="O4392" s="6" t="str">
        <f>IFERROR(__xludf.DUMMYFUNCTION("""COMPUTED_VALUE"""),"FIP-DOM-PRJ-13404-MC25005-INA-000000")</f>
        <v>FIP-DOM-PRJ-13404-MC25005-INA-000000</v>
      </c>
      <c r="P4392" s="6" t="str">
        <f>IFERROR(__xludf.DUMMYFUNCTION("""COMPUTED_VALUE"""),"PO Closed")</f>
        <v>PO Closed</v>
      </c>
      <c r="Q4392" s="6"/>
      <c r="R4392" s="57">
        <f>IFERROR(__xludf.DUMMYFUNCTION("""COMPUTED_VALUE"""),45912.0)</f>
        <v>45912</v>
      </c>
      <c r="S4392" s="57">
        <f>IFERROR(__xludf.DUMMYFUNCTION("""COMPUTED_VALUE"""),45925.0)</f>
        <v>45925</v>
      </c>
      <c r="T4392" s="6"/>
    </row>
    <row r="4393">
      <c r="A4393" s="6" t="str">
        <f>IFERROR(__xludf.DUMMYFUNCTION("""COMPUTED_VALUE"""),"121703227-1")</f>
        <v>121703227-1</v>
      </c>
      <c r="B4393" s="6" t="str">
        <f>IFERROR(__xludf.DUMMYFUNCTION("""COMPUTED_VALUE"""),"121703227 - APPROVED")</f>
        <v>121703227 - APPROVED</v>
      </c>
      <c r="C4393" s="6">
        <f>IFERROR(__xludf.DUMMYFUNCTION("""COMPUTED_VALUE"""),1.0)</f>
        <v>1</v>
      </c>
      <c r="D4393" s="6" t="str">
        <f>IFERROR(__xludf.DUMMYFUNCTION("""COMPUTED_VALUE"""),"R-20022-00")</f>
        <v>R-20022-00</v>
      </c>
      <c r="E4393" s="6" t="str">
        <f>IFERROR(__xludf.DUMMYFUNCTION("""COMPUTED_VALUE"""),"Lyophilization Freeze Dry - Bongkar dinding untuk akses mesin FD, AHU B1-3, cRABS, CLU Baru")</f>
        <v>Lyophilization Freeze Dry - Bongkar dinding untuk akses mesin FD, AHU B1-3, cRABS, CLU Baru</v>
      </c>
      <c r="F4393" s="6">
        <f>IFERROR(__xludf.DUMMYFUNCTION("""COMPUTED_VALUE"""),1.0)</f>
        <v>1</v>
      </c>
      <c r="G4393" s="6" t="str">
        <f>IFERROR(__xludf.DUMMYFUNCTION("""COMPUTED_VALUE"""),"Unit")</f>
        <v>Unit</v>
      </c>
      <c r="H4393" s="6" t="str">
        <f>IFERROR(__xludf.DUMMYFUNCTION("""COMPUTED_VALUE"""),"IDR")</f>
        <v>IDR</v>
      </c>
      <c r="I4393" s="6">
        <f>IFERROR(__xludf.DUMMYFUNCTION("""COMPUTED_VALUE"""),1.28778919E8)</f>
        <v>128778919</v>
      </c>
      <c r="J4393" s="6">
        <f>IFERROR(__xludf.DUMMYFUNCTION("""COMPUTED_VALUE"""),1.28778919E8)</f>
        <v>128778919</v>
      </c>
      <c r="K4393" s="57">
        <f>IFERROR(__xludf.DUMMYFUNCTION("""COMPUTED_VALUE"""),45947.0)</f>
        <v>45947</v>
      </c>
      <c r="L4393" s="6" t="str">
        <f>IFERROR(__xludf.DUMMYFUNCTION("""COMPUTED_VALUE"""),"FIP General")</f>
        <v>FIP General</v>
      </c>
      <c r="M4393" s="6" t="str">
        <f>IFERROR(__xludf.DUMMYFUNCTION("""COMPUTED_VALUE"""),"Mochammad Fadhillah Hakim,")</f>
        <v>Mochammad Fadhillah Hakim,</v>
      </c>
      <c r="N4393" s="6" t="str">
        <f>IFERROR(__xludf.DUMMYFUNCTION("""COMPUTED_VALUE"""),"FIP Engineering")</f>
        <v>FIP Engineering</v>
      </c>
      <c r="O4393" s="6" t="str">
        <f>IFERROR(__xludf.DUMMYFUNCTION("""COMPUTED_VALUE"""),"FIP-DOM-PRJ-13404-MC25005-INA-000000")</f>
        <v>FIP-DOM-PRJ-13404-MC25005-INA-000000</v>
      </c>
      <c r="P4393" s="6" t="str">
        <f>IFERROR(__xludf.DUMMYFUNCTION("""COMPUTED_VALUE"""),"PO Closed")</f>
        <v>PO Closed</v>
      </c>
      <c r="Q4393" s="6"/>
      <c r="R4393" s="57">
        <f>IFERROR(__xludf.DUMMYFUNCTION("""COMPUTED_VALUE"""),45912.0)</f>
        <v>45912</v>
      </c>
      <c r="S4393" s="57">
        <f>IFERROR(__xludf.DUMMYFUNCTION("""COMPUTED_VALUE"""),45925.0)</f>
        <v>45925</v>
      </c>
      <c r="T4393" s="6"/>
    </row>
    <row r="4394">
      <c r="A4394" s="6" t="str">
        <f>IFERROR(__xludf.DUMMYFUNCTION("""COMPUTED_VALUE"""),"121703228-1")</f>
        <v>121703228-1</v>
      </c>
      <c r="B4394" s="6" t="str">
        <f>IFERROR(__xludf.DUMMYFUNCTION("""COMPUTED_VALUE"""),"121703228 - APPROVED")</f>
        <v>121703228 - APPROVED</v>
      </c>
      <c r="C4394" s="6">
        <f>IFERROR(__xludf.DUMMYFUNCTION("""COMPUTED_VALUE"""),1.0)</f>
        <v>1</v>
      </c>
      <c r="D4394" s="6" t="str">
        <f>IFERROR(__xludf.DUMMYFUNCTION("""COMPUTED_VALUE"""),"T-80028-00")</f>
        <v>T-80028-00</v>
      </c>
      <c r="E4394" s="6" t="str">
        <f>IFERROR(__xludf.DUMMYFUNCTION("""COMPUTED_VALUE"""),"Pena Hitam; Snowman V1; pc - Ballpoint Snowman V5 BIRU")</f>
        <v>Pena Hitam; Snowman V1; pc - Ballpoint Snowman V5 BIRU</v>
      </c>
      <c r="F4394" s="6">
        <f>IFERROR(__xludf.DUMMYFUNCTION("""COMPUTED_VALUE"""),20.0)</f>
        <v>20</v>
      </c>
      <c r="G4394" s="6" t="str">
        <f>IFERROR(__xludf.DUMMYFUNCTION("""COMPUTED_VALUE"""),"Pieces")</f>
        <v>Pieces</v>
      </c>
      <c r="H4394" s="6" t="str">
        <f>IFERROR(__xludf.DUMMYFUNCTION("""COMPUTED_VALUE"""),"IDR")</f>
        <v>IDR</v>
      </c>
      <c r="I4394" s="6">
        <f>IFERROR(__xludf.DUMMYFUNCTION("""COMPUTED_VALUE"""),1750.0)</f>
        <v>1750</v>
      </c>
      <c r="J4394" s="6">
        <f>IFERROR(__xludf.DUMMYFUNCTION("""COMPUTED_VALUE"""),35000.0)</f>
        <v>35000</v>
      </c>
      <c r="K4394" s="57">
        <f>IFERROR(__xludf.DUMMYFUNCTION("""COMPUTED_VALUE"""),45947.0)</f>
        <v>45947</v>
      </c>
      <c r="L4394" s="6" t="str">
        <f>IFERROR(__xludf.DUMMYFUNCTION("""COMPUTED_VALUE"""),"FIP General")</f>
        <v>FIP General</v>
      </c>
      <c r="M4394" s="6" t="str">
        <f>IFERROR(__xludf.DUMMYFUNCTION("""COMPUTED_VALUE"""),"Mochammad Fadhillah Hakim,")</f>
        <v>Mochammad Fadhillah Hakim,</v>
      </c>
      <c r="N4394" s="6" t="str">
        <f>IFERROR(__xludf.DUMMYFUNCTION("""COMPUTED_VALUE"""),"FIP Engineering")</f>
        <v>FIP Engineering</v>
      </c>
      <c r="O4394" s="6" t="str">
        <f>IFERROR(__xludf.DUMMYFUNCTION("""COMPUTED_VALUE"""),"FIP-DOM-ENG-51411-0000000-INA-000000")</f>
        <v>FIP-DOM-ENG-51411-0000000-INA-000000</v>
      </c>
      <c r="P4394" s="6" t="str">
        <f>IFERROR(__xludf.DUMMYFUNCTION("""COMPUTED_VALUE"""),"PO Closed")</f>
        <v>PO Closed</v>
      </c>
      <c r="Q4394" s="6" t="str">
        <f>IFERROR(__xludf.DUMMYFUNCTION("""COMPUTED_VALUE"""),"GL2510024")</f>
        <v>GL2510024</v>
      </c>
      <c r="R4394" s="57">
        <f>IFERROR(__xludf.DUMMYFUNCTION("""COMPUTED_VALUE"""),45915.0)</f>
        <v>45915</v>
      </c>
      <c r="S4394" s="57">
        <f>IFERROR(__xludf.DUMMYFUNCTION("""COMPUTED_VALUE"""),45918.0)</f>
        <v>45918</v>
      </c>
      <c r="T4394" s="57">
        <f>IFERROR(__xludf.DUMMYFUNCTION("""COMPUTED_VALUE"""),45954.0)</f>
        <v>45954</v>
      </c>
    </row>
    <row r="4395">
      <c r="A4395" s="6" t="str">
        <f>IFERROR(__xludf.DUMMYFUNCTION("""COMPUTED_VALUE"""),"121703230-1")</f>
        <v>121703230-1</v>
      </c>
      <c r="B4395" s="6" t="str">
        <f>IFERROR(__xludf.DUMMYFUNCTION("""COMPUTED_VALUE"""),"121703230 - APPROVED")</f>
        <v>121703230 - APPROVED</v>
      </c>
      <c r="C4395" s="6">
        <f>IFERROR(__xludf.DUMMYFUNCTION("""COMPUTED_VALUE"""),1.0)</f>
        <v>1</v>
      </c>
      <c r="D4395" s="6" t="str">
        <f>IFERROR(__xludf.DUMMYFUNCTION("""COMPUTED_VALUE"""),"P-20117-00")</f>
        <v>P-20117-00</v>
      </c>
      <c r="E4395" s="6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F4395" s="6">
        <f>IFERROR(__xludf.DUMMYFUNCTION("""COMPUTED_VALUE"""),1.0)</f>
        <v>1</v>
      </c>
      <c r="G4395" s="6" t="str">
        <f>IFERROR(__xludf.DUMMYFUNCTION("""COMPUTED_VALUE"""),"Set")</f>
        <v>Set</v>
      </c>
      <c r="H4395" s="6" t="str">
        <f>IFERROR(__xludf.DUMMYFUNCTION("""COMPUTED_VALUE"""),"IDR")</f>
        <v>IDR</v>
      </c>
      <c r="I4395" s="6">
        <f>IFERROR(__xludf.DUMMYFUNCTION("""COMPUTED_VALUE"""),465500.0)</f>
        <v>465500</v>
      </c>
      <c r="J4395" s="6">
        <f>IFERROR(__xludf.DUMMYFUNCTION("""COMPUTED_VALUE"""),465500.0)</f>
        <v>465500</v>
      </c>
      <c r="K4395" s="57">
        <f>IFERROR(__xludf.DUMMYFUNCTION("""COMPUTED_VALUE"""),45947.0)</f>
        <v>45947</v>
      </c>
      <c r="L4395" s="6" t="str">
        <f>IFERROR(__xludf.DUMMYFUNCTION("""COMPUTED_VALUE"""),"FIP Engineering")</f>
        <v>FIP Engineering</v>
      </c>
      <c r="M4395" s="6" t="str">
        <f>IFERROR(__xludf.DUMMYFUNCTION("""COMPUTED_VALUE"""),"Mochammad Fadhillah Hakim,")</f>
        <v>Mochammad Fadhillah Hakim,</v>
      </c>
      <c r="N4395" s="6" t="str">
        <f>IFERROR(__xludf.DUMMYFUNCTION("""COMPUTED_VALUE"""),"FIP Engineering")</f>
        <v>FIP Engineering</v>
      </c>
      <c r="O4395" s="6" t="str">
        <f>IFERROR(__xludf.DUMMYFUNCTION("""COMPUTED_VALUE"""),"FIP-DOM-000-11304-OS00001-INA-000000")</f>
        <v>FIP-DOM-000-11304-OS00001-INA-000000</v>
      </c>
      <c r="P4395" s="6" t="str">
        <f>IFERROR(__xludf.DUMMYFUNCTION("""COMPUTED_VALUE"""),"PO Closed")</f>
        <v>PO Closed</v>
      </c>
      <c r="Q4395" s="6" t="str">
        <f>IFERROR(__xludf.DUMMYFUNCTION("""COMPUTED_VALUE"""),"GL2509023")</f>
        <v>GL2509023</v>
      </c>
      <c r="R4395" s="57">
        <f>IFERROR(__xludf.DUMMYFUNCTION("""COMPUTED_VALUE"""),45915.0)</f>
        <v>45915</v>
      </c>
      <c r="S4395" s="57">
        <f>IFERROR(__xludf.DUMMYFUNCTION("""COMPUTED_VALUE"""),45918.0)</f>
        <v>45918</v>
      </c>
      <c r="T4395" s="57">
        <f>IFERROR(__xludf.DUMMYFUNCTION("""COMPUTED_VALUE"""),45947.0)</f>
        <v>45947</v>
      </c>
    </row>
    <row r="4396">
      <c r="A4396" s="6" t="str">
        <f>IFERROR(__xludf.DUMMYFUNCTION("""COMPUTED_VALUE"""),"121703231-1")</f>
        <v>121703231-1</v>
      </c>
      <c r="B4396" s="6" t="str">
        <f>IFERROR(__xludf.DUMMYFUNCTION("""COMPUTED_VALUE"""),"121703231 - APPROVED")</f>
        <v>121703231 - APPROVED</v>
      </c>
      <c r="C4396" s="6">
        <f>IFERROR(__xludf.DUMMYFUNCTION("""COMPUTED_VALUE"""),1.0)</f>
        <v>1</v>
      </c>
      <c r="D4396" s="6" t="str">
        <f>IFERROR(__xludf.DUMMYFUNCTION("""COMPUTED_VALUE"""),"O-14618-00")</f>
        <v>O-14618-00</v>
      </c>
      <c r="E4396" s="6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F4396" s="6">
        <f>IFERROR(__xludf.DUMMYFUNCTION("""COMPUTED_VALUE"""),20.0)</f>
        <v>20</v>
      </c>
      <c r="G4396" s="6" t="str">
        <f>IFERROR(__xludf.DUMMYFUNCTION("""COMPUTED_VALUE"""),"Unit")</f>
        <v>Unit</v>
      </c>
      <c r="H4396" s="6" t="str">
        <f>IFERROR(__xludf.DUMMYFUNCTION("""COMPUTED_VALUE"""),"IDR")</f>
        <v>IDR</v>
      </c>
      <c r="I4396" s="6">
        <f>IFERROR(__xludf.DUMMYFUNCTION("""COMPUTED_VALUE"""),107600.0)</f>
        <v>107600</v>
      </c>
      <c r="J4396" s="6">
        <f>IFERROR(__xludf.DUMMYFUNCTION("""COMPUTED_VALUE"""),2152000.0)</f>
        <v>2152000</v>
      </c>
      <c r="K4396" s="57">
        <f>IFERROR(__xludf.DUMMYFUNCTION("""COMPUTED_VALUE"""),45947.0)</f>
        <v>45947</v>
      </c>
      <c r="L4396" s="6" t="str">
        <f>IFERROR(__xludf.DUMMYFUNCTION("""COMPUTED_VALUE"""),"FIP Engineering")</f>
        <v>FIP Engineering</v>
      </c>
      <c r="M4396" s="6" t="str">
        <f>IFERROR(__xludf.DUMMYFUNCTION("""COMPUTED_VALUE"""),"Mochammad Fadhillah Hakim,")</f>
        <v>Mochammad Fadhillah Hakim,</v>
      </c>
      <c r="N4396" s="6" t="str">
        <f>IFERROR(__xludf.DUMMYFUNCTION("""COMPUTED_VALUE"""),"FIP Engineering")</f>
        <v>FIP Engineering</v>
      </c>
      <c r="O4396" s="6" t="str">
        <f>IFERROR(__xludf.DUMMYFUNCTION("""COMPUTED_VALUE"""),"FIP-DOM-000-11304-OS00001-INA-000000")</f>
        <v>FIP-DOM-000-11304-OS00001-INA-000000</v>
      </c>
      <c r="P4396" s="6" t="str">
        <f>IFERROR(__xludf.DUMMYFUNCTION("""COMPUTED_VALUE"""),"PO Closed")</f>
        <v>PO Closed</v>
      </c>
      <c r="Q4396" s="6" t="str">
        <f>IFERROR(__xludf.DUMMYFUNCTION("""COMPUTED_VALUE"""),"GL2510003")</f>
        <v>GL2510003</v>
      </c>
      <c r="R4396" s="57">
        <f>IFERROR(__xludf.DUMMYFUNCTION("""COMPUTED_VALUE"""),45915.0)</f>
        <v>45915</v>
      </c>
      <c r="S4396" s="57">
        <f>IFERROR(__xludf.DUMMYFUNCTION("""COMPUTED_VALUE"""),45919.0)</f>
        <v>45919</v>
      </c>
      <c r="T4396" s="57">
        <f>IFERROR(__xludf.DUMMYFUNCTION("""COMPUTED_VALUE"""),45978.0)</f>
        <v>45978</v>
      </c>
    </row>
    <row r="4397">
      <c r="A4397" s="6" t="str">
        <f>IFERROR(__xludf.DUMMYFUNCTION("""COMPUTED_VALUE"""),"121703232-1")</f>
        <v>121703232-1</v>
      </c>
      <c r="B4397" s="6" t="str">
        <f>IFERROR(__xludf.DUMMYFUNCTION("""COMPUTED_VALUE"""),"121703232 - APPROVED")</f>
        <v>121703232 - APPROVED</v>
      </c>
      <c r="C4397" s="6">
        <f>IFERROR(__xludf.DUMMYFUNCTION("""COMPUTED_VALUE"""),1.0)</f>
        <v>1</v>
      </c>
      <c r="D4397" s="6" t="str">
        <f>IFERROR(__xludf.DUMMYFUNCTION("""COMPUTED_VALUE"""),"O-21007-00")</f>
        <v>O-21007-00</v>
      </c>
      <c r="E4397" s="6" t="str">
        <f>IFERROR(__xludf.DUMMYFUNCTION("""COMPUTED_VALUE"""),"Filling VFM100 - Handle Manual Valve Hexagon 60x27; Custom/Lokal; -; 1 Pc")</f>
        <v>Filling VFM100 - Handle Manual Valve Hexagon 60x27; Custom/Lokal; -; 1 Pc</v>
      </c>
      <c r="F4397" s="6">
        <f>IFERROR(__xludf.DUMMYFUNCTION("""COMPUTED_VALUE"""),3.0)</f>
        <v>3</v>
      </c>
      <c r="G4397" s="6" t="str">
        <f>IFERROR(__xludf.DUMMYFUNCTION("""COMPUTED_VALUE"""),"Pieces")</f>
        <v>Pieces</v>
      </c>
      <c r="H4397" s="6" t="str">
        <f>IFERROR(__xludf.DUMMYFUNCTION("""COMPUTED_VALUE"""),"IDR")</f>
        <v>IDR</v>
      </c>
      <c r="I4397" s="6">
        <f>IFERROR(__xludf.DUMMYFUNCTION("""COMPUTED_VALUE"""),3250000.0)</f>
        <v>3250000</v>
      </c>
      <c r="J4397" s="6">
        <f>IFERROR(__xludf.DUMMYFUNCTION("""COMPUTED_VALUE"""),9750000.0)</f>
        <v>9750000</v>
      </c>
      <c r="K4397" s="57">
        <f>IFERROR(__xludf.DUMMYFUNCTION("""COMPUTED_VALUE"""),45947.0)</f>
        <v>45947</v>
      </c>
      <c r="L4397" s="6" t="str">
        <f>IFERROR(__xludf.DUMMYFUNCTION("""COMPUTED_VALUE"""),"FIP Engineering")</f>
        <v>FIP Engineering</v>
      </c>
      <c r="M4397" s="6" t="str">
        <f>IFERROR(__xludf.DUMMYFUNCTION("""COMPUTED_VALUE"""),"Mochammad Fadhillah Hakim,")</f>
        <v>Mochammad Fadhillah Hakim,</v>
      </c>
      <c r="N4397" s="6" t="str">
        <f>IFERROR(__xludf.DUMMYFUNCTION("""COMPUTED_VALUE"""),"FIP Engineering")</f>
        <v>FIP Engineering</v>
      </c>
      <c r="O4397" s="6" t="str">
        <f>IFERROR(__xludf.DUMMYFUNCTION("""COMPUTED_VALUE"""),"FIP-DOM-000-11304-OS00001-INA-000000")</f>
        <v>FIP-DOM-000-11304-OS00001-INA-000000</v>
      </c>
      <c r="P4397" s="6" t="str">
        <f>IFERROR(__xludf.DUMMYFUNCTION("""COMPUTED_VALUE"""),"PO Closed")</f>
        <v>PO Closed</v>
      </c>
      <c r="Q4397" s="6" t="str">
        <f>IFERROR(__xludf.DUMMYFUNCTION("""COMPUTED_VALUE"""),"GL2510492")</f>
        <v>GL2510492</v>
      </c>
      <c r="R4397" s="57">
        <f>IFERROR(__xludf.DUMMYFUNCTION("""COMPUTED_VALUE"""),45915.0)</f>
        <v>45915</v>
      </c>
      <c r="S4397" s="57">
        <f>IFERROR(__xludf.DUMMYFUNCTION("""COMPUTED_VALUE"""),45937.0)</f>
        <v>45937</v>
      </c>
      <c r="T4397" s="57">
        <f>IFERROR(__xludf.DUMMYFUNCTION("""COMPUTED_VALUE"""),45994.0)</f>
        <v>45994</v>
      </c>
    </row>
    <row r="4398">
      <c r="A4398" s="6" t="str">
        <f>IFERROR(__xludf.DUMMYFUNCTION("""COMPUTED_VALUE"""),"121703235-1")</f>
        <v>121703235-1</v>
      </c>
      <c r="B4398" s="6" t="str">
        <f>IFERROR(__xludf.DUMMYFUNCTION("""COMPUTED_VALUE"""),"121703235 - APPROVED")</f>
        <v>121703235 - APPROVED</v>
      </c>
      <c r="C4398" s="6">
        <f>IFERROR(__xludf.DUMMYFUNCTION("""COMPUTED_VALUE"""),1.0)</f>
        <v>1</v>
      </c>
      <c r="D4398" s="6" t="str">
        <f>IFERROR(__xludf.DUMMYFUNCTION("""COMPUTED_VALUE"""),"O-15931-00")</f>
        <v>O-15931-00</v>
      </c>
      <c r="E4398" s="6" t="str">
        <f>IFERROR(__xludf.DUMMYFUNCTION("""COMPUTED_VALUE"""),"Double Tape 3M 1"" Merah - P/N : -  pc")</f>
        <v>Double Tape 3M 1" Merah - P/N : -  pc</v>
      </c>
      <c r="F4398" s="6">
        <f>IFERROR(__xludf.DUMMYFUNCTION("""COMPUTED_VALUE"""),20.0)</f>
        <v>20</v>
      </c>
      <c r="G4398" s="6" t="str">
        <f>IFERROR(__xludf.DUMMYFUNCTION("""COMPUTED_VALUE"""),"Pieces")</f>
        <v>Pieces</v>
      </c>
      <c r="H4398" s="6" t="str">
        <f>IFERROR(__xludf.DUMMYFUNCTION("""COMPUTED_VALUE"""),"IDR")</f>
        <v>IDR</v>
      </c>
      <c r="I4398" s="6">
        <f>IFERROR(__xludf.DUMMYFUNCTION("""COMPUTED_VALUE"""),106000.0)</f>
        <v>106000</v>
      </c>
      <c r="J4398" s="6">
        <f>IFERROR(__xludf.DUMMYFUNCTION("""COMPUTED_VALUE"""),2120000.0)</f>
        <v>2120000</v>
      </c>
      <c r="K4398" s="57">
        <f>IFERROR(__xludf.DUMMYFUNCTION("""COMPUTED_VALUE"""),45947.0)</f>
        <v>45947</v>
      </c>
      <c r="L4398" s="6" t="str">
        <f>IFERROR(__xludf.DUMMYFUNCTION("""COMPUTED_VALUE"""),"FIP Engineering")</f>
        <v>FIP Engineering</v>
      </c>
      <c r="M4398" s="6" t="str">
        <f>IFERROR(__xludf.DUMMYFUNCTION("""COMPUTED_VALUE"""),"Mochammad Fadhillah Hakim,")</f>
        <v>Mochammad Fadhillah Hakim,</v>
      </c>
      <c r="N4398" s="6" t="str">
        <f>IFERROR(__xludf.DUMMYFUNCTION("""COMPUTED_VALUE"""),"FIP Engineering")</f>
        <v>FIP Engineering</v>
      </c>
      <c r="O4398" s="6" t="str">
        <f>IFERROR(__xludf.DUMMYFUNCTION("""COMPUTED_VALUE"""),"FIP-DOM-000-11304-OS00001-INA-000000")</f>
        <v>FIP-DOM-000-11304-OS00001-INA-000000</v>
      </c>
      <c r="P4398" s="6" t="str">
        <f>IFERROR(__xludf.DUMMYFUNCTION("""COMPUTED_VALUE"""),"PO Closed")</f>
        <v>PO Closed</v>
      </c>
      <c r="Q4398" s="6" t="str">
        <f>IFERROR(__xludf.DUMMYFUNCTION("""COMPUTED_VALUE"""),"GL2510464")</f>
        <v>GL2510464</v>
      </c>
      <c r="R4398" s="57">
        <f>IFERROR(__xludf.DUMMYFUNCTION("""COMPUTED_VALUE"""),45916.0)</f>
        <v>45916</v>
      </c>
      <c r="S4398" s="57">
        <f>IFERROR(__xludf.DUMMYFUNCTION("""COMPUTED_VALUE"""),45918.0)</f>
        <v>45918</v>
      </c>
      <c r="T4398" s="57">
        <f>IFERROR(__xludf.DUMMYFUNCTION("""COMPUTED_VALUE"""),45966.0)</f>
        <v>45966</v>
      </c>
    </row>
    <row r="4399">
      <c r="A4399" s="6" t="str">
        <f>IFERROR(__xludf.DUMMYFUNCTION("""COMPUTED_VALUE"""),"121703250-1")</f>
        <v>121703250-1</v>
      </c>
      <c r="B4399" s="6" t="str">
        <f>IFERROR(__xludf.DUMMYFUNCTION("""COMPUTED_VALUE"""),"121703250 - APPROVED")</f>
        <v>121703250 - APPROVED</v>
      </c>
      <c r="C4399" s="6">
        <f>IFERROR(__xludf.DUMMYFUNCTION("""COMPUTED_VALUE"""),1.0)</f>
        <v>1</v>
      </c>
      <c r="D4399" s="6" t="str">
        <f>IFERROR(__xludf.DUMMYFUNCTION("""COMPUTED_VALUE"""),"P-14377-00")</f>
        <v>P-14377-00</v>
      </c>
      <c r="E4399" s="6" t="str">
        <f>IFERROR(__xludf.DUMMYFUNCTION("""COMPUTED_VALUE"""),"General - Gasket Ferrule EPDM 1inch; Lokal; -; 1 pc")</f>
        <v>General - Gasket Ferrule EPDM 1inch; Lokal; -; 1 pc</v>
      </c>
      <c r="F4399" s="6">
        <f>IFERROR(__xludf.DUMMYFUNCTION("""COMPUTED_VALUE"""),60.0)</f>
        <v>60</v>
      </c>
      <c r="G4399" s="6" t="str">
        <f>IFERROR(__xludf.DUMMYFUNCTION("""COMPUTED_VALUE"""),"Pieces")</f>
        <v>Pieces</v>
      </c>
      <c r="H4399" s="6" t="str">
        <f>IFERROR(__xludf.DUMMYFUNCTION("""COMPUTED_VALUE"""),"IDR")</f>
        <v>IDR</v>
      </c>
      <c r="I4399" s="6">
        <f>IFERROR(__xludf.DUMMYFUNCTION("""COMPUTED_VALUE"""),21450.0)</f>
        <v>21450</v>
      </c>
      <c r="J4399" s="6">
        <f>IFERROR(__xludf.DUMMYFUNCTION("""COMPUTED_VALUE"""),1287000.0)</f>
        <v>1287000</v>
      </c>
      <c r="K4399" s="57">
        <f>IFERROR(__xludf.DUMMYFUNCTION("""COMPUTED_VALUE"""),45954.0)</f>
        <v>45954</v>
      </c>
      <c r="L4399" s="6" t="str">
        <f>IFERROR(__xludf.DUMMYFUNCTION("""COMPUTED_VALUE"""),"FIP Engineering")</f>
        <v>FIP Engineering</v>
      </c>
      <c r="M4399" s="6" t="str">
        <f>IFERROR(__xludf.DUMMYFUNCTION("""COMPUTED_VALUE"""),"Mochammad Fadhillah Hakim,")</f>
        <v>Mochammad Fadhillah Hakim,</v>
      </c>
      <c r="N4399" s="6" t="str">
        <f>IFERROR(__xludf.DUMMYFUNCTION("""COMPUTED_VALUE"""),"FIP Engineering")</f>
        <v>FIP Engineering</v>
      </c>
      <c r="O4399" s="6" t="str">
        <f>IFERROR(__xludf.DUMMYFUNCTION("""COMPUTED_VALUE"""),"FIP-DOM-000-11304-OS00001-INA-000000")</f>
        <v>FIP-DOM-000-11304-OS00001-INA-000000</v>
      </c>
      <c r="P4399" s="6" t="str">
        <f>IFERROR(__xludf.DUMMYFUNCTION("""COMPUTED_VALUE"""),"PO Closed")</f>
        <v>PO Closed</v>
      </c>
      <c r="Q4399" s="6" t="str">
        <f>IFERROR(__xludf.DUMMYFUNCTION("""COMPUTED_VALUE"""),"GL2509458")</f>
        <v>GL2509458</v>
      </c>
      <c r="R4399" s="57">
        <f>IFERROR(__xludf.DUMMYFUNCTION("""COMPUTED_VALUE"""),45919.0)</f>
        <v>45919</v>
      </c>
      <c r="S4399" s="57">
        <f>IFERROR(__xludf.DUMMYFUNCTION("""COMPUTED_VALUE"""),45919.0)</f>
        <v>45919</v>
      </c>
      <c r="T4399" s="57">
        <f>IFERROR(__xludf.DUMMYFUNCTION("""COMPUTED_VALUE"""),45954.0)</f>
        <v>45954</v>
      </c>
    </row>
    <row r="4400">
      <c r="A4400" s="6" t="str">
        <f>IFERROR(__xludf.DUMMYFUNCTION("""COMPUTED_VALUE"""),"121703252-1")</f>
        <v>121703252-1</v>
      </c>
      <c r="B4400" s="6" t="str">
        <f>IFERROR(__xludf.DUMMYFUNCTION("""COMPUTED_VALUE"""),"121703252 - APPROVED")</f>
        <v>121703252 - APPROVED</v>
      </c>
      <c r="C4400" s="6">
        <f>IFERROR(__xludf.DUMMYFUNCTION("""COMPUTED_VALUE"""),1.0)</f>
        <v>1</v>
      </c>
      <c r="D4400" s="6" t="str">
        <f>IFERROR(__xludf.DUMMYFUNCTION("""COMPUTED_VALUE"""),"S-60002-00")</f>
        <v>S-60002-00</v>
      </c>
      <c r="E4400" s="6" t="str">
        <f>IFERROR(__xludf.DUMMYFUNCTION("""COMPUTED_VALUE"""),"Jasa Perbaikan dan Pemeliharaan Mesin Utility - Perbaikan Board Control WICC")</f>
        <v>Jasa Perbaikan dan Pemeliharaan Mesin Utility - Perbaikan Board Control WICC</v>
      </c>
      <c r="F4400" s="6">
        <f>IFERROR(__xludf.DUMMYFUNCTION("""COMPUTED_VALUE"""),1.0)</f>
        <v>1</v>
      </c>
      <c r="G4400" s="6" t="str">
        <f>IFERROR(__xludf.DUMMYFUNCTION("""COMPUTED_VALUE"""),"Lot")</f>
        <v>Lot</v>
      </c>
      <c r="H4400" s="6" t="str">
        <f>IFERROR(__xludf.DUMMYFUNCTION("""COMPUTED_VALUE"""),"IDR")</f>
        <v>IDR</v>
      </c>
      <c r="I4400" s="6">
        <f>IFERROR(__xludf.DUMMYFUNCTION("""COMPUTED_VALUE"""),1764432.0)</f>
        <v>1764432</v>
      </c>
      <c r="J4400" s="6">
        <f>IFERROR(__xludf.DUMMYFUNCTION("""COMPUTED_VALUE"""),1764432.0)</f>
        <v>1764432</v>
      </c>
      <c r="K4400" s="57">
        <f>IFERROR(__xludf.DUMMYFUNCTION("""COMPUTED_VALUE"""),45954.0)</f>
        <v>45954</v>
      </c>
      <c r="L4400" s="6" t="str">
        <f>IFERROR(__xludf.DUMMYFUNCTION("""COMPUTED_VALUE"""),"FIP General")</f>
        <v>FIP General</v>
      </c>
      <c r="M4400" s="6" t="str">
        <f>IFERROR(__xludf.DUMMYFUNCTION("""COMPUTED_VALUE"""),"Mochammad Fadhillah Hakim,")</f>
        <v>Mochammad Fadhillah Hakim,</v>
      </c>
      <c r="N4400" s="6" t="str">
        <f>IFERROR(__xludf.DUMMYFUNCTION("""COMPUTED_VALUE"""),"FIP Engineering")</f>
        <v>FIP Engineering</v>
      </c>
      <c r="O4400" s="6" t="str">
        <f>IFERROR(__xludf.DUMMYFUNCTION("""COMPUTED_VALUE"""),"FIP-DOM-ENG-51508-0000000-INA-000000")</f>
        <v>FIP-DOM-ENG-51508-0000000-INA-000000</v>
      </c>
      <c r="P4400" s="6" t="str">
        <f>IFERROR(__xludf.DUMMYFUNCTION("""COMPUTED_VALUE"""),"PO Closed")</f>
        <v>PO Closed</v>
      </c>
      <c r="Q4400" s="6" t="str">
        <f>IFERROR(__xludf.DUMMYFUNCTION("""COMPUTED_VALUE"""),"GL2510008")</f>
        <v>GL2510008</v>
      </c>
      <c r="R4400" s="57">
        <f>IFERROR(__xludf.DUMMYFUNCTION("""COMPUTED_VALUE"""),45922.0)</f>
        <v>45922</v>
      </c>
      <c r="S4400" s="57">
        <f>IFERROR(__xludf.DUMMYFUNCTION("""COMPUTED_VALUE"""),45925.0)</f>
        <v>45925</v>
      </c>
      <c r="T4400" s="57">
        <f>IFERROR(__xludf.DUMMYFUNCTION("""COMPUTED_VALUE"""),45960.0)</f>
        <v>45960</v>
      </c>
    </row>
    <row r="4401">
      <c r="A4401" s="6" t="str">
        <f>IFERROR(__xludf.DUMMYFUNCTION("""COMPUTED_VALUE"""),"121703252-2")</f>
        <v>121703252-2</v>
      </c>
      <c r="B4401" s="6" t="str">
        <f>IFERROR(__xludf.DUMMYFUNCTION("""COMPUTED_VALUE"""),"121703252 - APPROVED")</f>
        <v>121703252 - APPROVED</v>
      </c>
      <c r="C4401" s="6">
        <f>IFERROR(__xludf.DUMMYFUNCTION("""COMPUTED_VALUE"""),2.0)</f>
        <v>2</v>
      </c>
      <c r="D4401" s="6" t="str">
        <f>IFERROR(__xludf.DUMMYFUNCTION("""COMPUTED_VALUE"""),"S-60002-00")</f>
        <v>S-60002-00</v>
      </c>
      <c r="E4401" s="6" t="str">
        <f>IFERROR(__xludf.DUMMYFUNCTION("""COMPUTED_VALUE"""),"Jasa Perbaikan dan Pemeliharaan Mesin Utility - Perbaikan Main Board WICC")</f>
        <v>Jasa Perbaikan dan Pemeliharaan Mesin Utility - Perbaikan Main Board WICC</v>
      </c>
      <c r="F4401" s="6">
        <f>IFERROR(__xludf.DUMMYFUNCTION("""COMPUTED_VALUE"""),1.0)</f>
        <v>1</v>
      </c>
      <c r="G4401" s="6" t="str">
        <f>IFERROR(__xludf.DUMMYFUNCTION("""COMPUTED_VALUE"""),"Lot")</f>
        <v>Lot</v>
      </c>
      <c r="H4401" s="6" t="str">
        <f>IFERROR(__xludf.DUMMYFUNCTION("""COMPUTED_VALUE"""),"IDR")</f>
        <v>IDR</v>
      </c>
      <c r="I4401" s="6">
        <f>IFERROR(__xludf.DUMMYFUNCTION("""COMPUTED_VALUE"""),2767455.0)</f>
        <v>2767455</v>
      </c>
      <c r="J4401" s="6">
        <f>IFERROR(__xludf.DUMMYFUNCTION("""COMPUTED_VALUE"""),2767455.0)</f>
        <v>2767455</v>
      </c>
      <c r="K4401" s="57">
        <f>IFERROR(__xludf.DUMMYFUNCTION("""COMPUTED_VALUE"""),45954.0)</f>
        <v>45954</v>
      </c>
      <c r="L4401" s="6" t="str">
        <f>IFERROR(__xludf.DUMMYFUNCTION("""COMPUTED_VALUE"""),"FIP General")</f>
        <v>FIP General</v>
      </c>
      <c r="M4401" s="6" t="str">
        <f>IFERROR(__xludf.DUMMYFUNCTION("""COMPUTED_VALUE"""),"Mochammad Fadhillah Hakim,")</f>
        <v>Mochammad Fadhillah Hakim,</v>
      </c>
      <c r="N4401" s="6" t="str">
        <f>IFERROR(__xludf.DUMMYFUNCTION("""COMPUTED_VALUE"""),"FIP Engineering")</f>
        <v>FIP Engineering</v>
      </c>
      <c r="O4401" s="6" t="str">
        <f>IFERROR(__xludf.DUMMYFUNCTION("""COMPUTED_VALUE"""),"FIP-DOM-ENG-51508-0000000-INA-000000")</f>
        <v>FIP-DOM-ENG-51508-0000000-INA-000000</v>
      </c>
      <c r="P4401" s="6" t="str">
        <f>IFERROR(__xludf.DUMMYFUNCTION("""COMPUTED_VALUE"""),"PO Closed")</f>
        <v>PO Closed</v>
      </c>
      <c r="Q4401" s="6" t="str">
        <f>IFERROR(__xludf.DUMMYFUNCTION("""COMPUTED_VALUE"""),"GL2510008")</f>
        <v>GL2510008</v>
      </c>
      <c r="R4401" s="57">
        <f>IFERROR(__xludf.DUMMYFUNCTION("""COMPUTED_VALUE"""),45922.0)</f>
        <v>45922</v>
      </c>
      <c r="S4401" s="57">
        <f>IFERROR(__xludf.DUMMYFUNCTION("""COMPUTED_VALUE"""),45925.0)</f>
        <v>45925</v>
      </c>
      <c r="T4401" s="57">
        <f>IFERROR(__xludf.DUMMYFUNCTION("""COMPUTED_VALUE"""),45960.0)</f>
        <v>45960</v>
      </c>
    </row>
    <row r="4402">
      <c r="A4402" s="6" t="str">
        <f>IFERROR(__xludf.DUMMYFUNCTION("""COMPUTED_VALUE"""),"121703253-1")</f>
        <v>121703253-1</v>
      </c>
      <c r="B4402" s="6" t="str">
        <f>IFERROR(__xludf.DUMMYFUNCTION("""COMPUTED_VALUE"""),"121703253 - APPROVED")</f>
        <v>121703253 - APPROVED</v>
      </c>
      <c r="C4402" s="6">
        <f>IFERROR(__xludf.DUMMYFUNCTION("""COMPUTED_VALUE"""),1.0)</f>
        <v>1</v>
      </c>
      <c r="D4402" s="6" t="str">
        <f>IFERROR(__xludf.DUMMYFUNCTION("""COMPUTED_VALUE"""),"O-20992-00")</f>
        <v>O-20992-00</v>
      </c>
      <c r="E4402" s="6" t="str">
        <f>IFERROR(__xludf.DUMMYFUNCTION("""COMPUTED_VALUE"""),"General - Spare Membrane diaphragm MA8 PTFE/EPDM; SED; 00210.190.508.51; 1 Pc")</f>
        <v>General - Spare Membrane diaphragm MA8 PTFE/EPDM; SED; 00210.190.508.51; 1 Pc</v>
      </c>
      <c r="F4402" s="6">
        <f>IFERROR(__xludf.DUMMYFUNCTION("""COMPUTED_VALUE"""),4.0)</f>
        <v>4</v>
      </c>
      <c r="G4402" s="6" t="str">
        <f>IFERROR(__xludf.DUMMYFUNCTION("""COMPUTED_VALUE"""),"Pieces")</f>
        <v>Pieces</v>
      </c>
      <c r="H4402" s="6" t="str">
        <f>IFERROR(__xludf.DUMMYFUNCTION("""COMPUTED_VALUE"""),"IDR")</f>
        <v>IDR</v>
      </c>
      <c r="I4402" s="6">
        <f>IFERROR(__xludf.DUMMYFUNCTION("""COMPUTED_VALUE"""),731000.0)</f>
        <v>731000</v>
      </c>
      <c r="J4402" s="6">
        <f>IFERROR(__xludf.DUMMYFUNCTION("""COMPUTED_VALUE"""),2924000.0)</f>
        <v>2924000</v>
      </c>
      <c r="K4402" s="57">
        <f>IFERROR(__xludf.DUMMYFUNCTION("""COMPUTED_VALUE"""),45989.0)</f>
        <v>45989</v>
      </c>
      <c r="L4402" s="6" t="str">
        <f>IFERROR(__xludf.DUMMYFUNCTION("""COMPUTED_VALUE"""),"FIP Engineering")</f>
        <v>FIP Engineering</v>
      </c>
      <c r="M4402" s="6" t="str">
        <f>IFERROR(__xludf.DUMMYFUNCTION("""COMPUTED_VALUE"""),"Mochammad Fadhillah Hakim,")</f>
        <v>Mochammad Fadhillah Hakim,</v>
      </c>
      <c r="N4402" s="6" t="str">
        <f>IFERROR(__xludf.DUMMYFUNCTION("""COMPUTED_VALUE"""),"FIP Engineering")</f>
        <v>FIP Engineering</v>
      </c>
      <c r="O4402" s="6" t="str">
        <f>IFERROR(__xludf.DUMMYFUNCTION("""COMPUTED_VALUE"""),"FIP-DOM-000-11304-OS00001-INA-000000")</f>
        <v>FIP-DOM-000-11304-OS00001-INA-000000</v>
      </c>
      <c r="P4402" s="6" t="str">
        <f>IFERROR(__xludf.DUMMYFUNCTION("""COMPUTED_VALUE"""),"PO Closed")</f>
        <v>PO Closed</v>
      </c>
      <c r="Q4402" s="6" t="str">
        <f>IFERROR(__xludf.DUMMYFUNCTION("""COMPUTED_VALUE"""),"GL2510479")</f>
        <v>GL2510479</v>
      </c>
      <c r="R4402" s="57">
        <f>IFERROR(__xludf.DUMMYFUNCTION("""COMPUTED_VALUE"""),45922.0)</f>
        <v>45922</v>
      </c>
      <c r="S4402" s="57">
        <f>IFERROR(__xludf.DUMMYFUNCTION("""COMPUTED_VALUE"""),45925.0)</f>
        <v>45925</v>
      </c>
      <c r="T4402" s="57">
        <f>IFERROR(__xludf.DUMMYFUNCTION("""COMPUTED_VALUE"""),45989.0)</f>
        <v>45989</v>
      </c>
    </row>
    <row r="4403">
      <c r="A4403" s="6" t="str">
        <f>IFERROR(__xludf.DUMMYFUNCTION("""COMPUTED_VALUE"""),"121703255-1")</f>
        <v>121703255-1</v>
      </c>
      <c r="B4403" s="6" t="str">
        <f>IFERROR(__xludf.DUMMYFUNCTION("""COMPUTED_VALUE"""),"121703255 - APPROVED")</f>
        <v>121703255 - APPROVED</v>
      </c>
      <c r="C4403" s="6">
        <f>IFERROR(__xludf.DUMMYFUNCTION("""COMPUTED_VALUE"""),1.0)</f>
        <v>1</v>
      </c>
      <c r="D4403" s="6" t="str">
        <f>IFERROR(__xludf.DUMMYFUNCTION("""COMPUTED_VALUE"""),"O-52398-00")</f>
        <v>O-52398-00</v>
      </c>
      <c r="E4403" s="6" t="str">
        <f>IFERROR(__xludf.DUMMYFUNCTION("""COMPUTED_VALUE"""),"Kabel Fiber Optic FD-620-10; Autonics; ;")</f>
        <v>Kabel Fiber Optic FD-620-10; Autonics; ;</v>
      </c>
      <c r="F4403" s="6">
        <f>IFERROR(__xludf.DUMMYFUNCTION("""COMPUTED_VALUE"""),2.0)</f>
        <v>2</v>
      </c>
      <c r="G4403" s="6" t="str">
        <f>IFERROR(__xludf.DUMMYFUNCTION("""COMPUTED_VALUE"""),"Unit")</f>
        <v>Unit</v>
      </c>
      <c r="H4403" s="6" t="str">
        <f>IFERROR(__xludf.DUMMYFUNCTION("""COMPUTED_VALUE"""),"IDR")</f>
        <v>IDR</v>
      </c>
      <c r="I4403" s="6">
        <f>IFERROR(__xludf.DUMMYFUNCTION("""COMPUTED_VALUE"""),212100.0)</f>
        <v>212100</v>
      </c>
      <c r="J4403" s="6">
        <f>IFERROR(__xludf.DUMMYFUNCTION("""COMPUTED_VALUE"""),424200.0)</f>
        <v>424200</v>
      </c>
      <c r="K4403" s="57">
        <f>IFERROR(__xludf.DUMMYFUNCTION("""COMPUTED_VALUE"""),45954.0)</f>
        <v>45954</v>
      </c>
      <c r="L4403" s="6" t="str">
        <f>IFERROR(__xludf.DUMMYFUNCTION("""COMPUTED_VALUE"""),"FIP Engineering")</f>
        <v>FIP Engineering</v>
      </c>
      <c r="M4403" s="6" t="str">
        <f>IFERROR(__xludf.DUMMYFUNCTION("""COMPUTED_VALUE"""),"Mochammad Fadhillah Hakim,")</f>
        <v>Mochammad Fadhillah Hakim,</v>
      </c>
      <c r="N4403" s="6" t="str">
        <f>IFERROR(__xludf.DUMMYFUNCTION("""COMPUTED_VALUE"""),"FIP Engineering")</f>
        <v>FIP Engineering</v>
      </c>
      <c r="O4403" s="6" t="str">
        <f>IFERROR(__xludf.DUMMYFUNCTION("""COMPUTED_VALUE"""),"FIP-DOM-000-11304-OS00001-INA-000000")</f>
        <v>FIP-DOM-000-11304-OS00001-INA-000000</v>
      </c>
      <c r="P4403" s="6" t="str">
        <f>IFERROR(__xludf.DUMMYFUNCTION("""COMPUTED_VALUE"""),"PO Closed")</f>
        <v>PO Closed</v>
      </c>
      <c r="Q4403" s="6" t="str">
        <f>IFERROR(__xludf.DUMMYFUNCTION("""COMPUTED_VALUE"""),"GL2510485")</f>
        <v>GL2510485</v>
      </c>
      <c r="R4403" s="57">
        <f>IFERROR(__xludf.DUMMYFUNCTION("""COMPUTED_VALUE"""),45923.0)</f>
        <v>45923</v>
      </c>
      <c r="S4403" s="57">
        <f>IFERROR(__xludf.DUMMYFUNCTION("""COMPUTED_VALUE"""),45925.0)</f>
        <v>45925</v>
      </c>
      <c r="T4403" s="57">
        <f>IFERROR(__xludf.DUMMYFUNCTION("""COMPUTED_VALUE"""),45985.0)</f>
        <v>45985</v>
      </c>
    </row>
    <row r="4404">
      <c r="A4404" s="6" t="str">
        <f>IFERROR(__xludf.DUMMYFUNCTION("""COMPUTED_VALUE"""),"121703255-2")</f>
        <v>121703255-2</v>
      </c>
      <c r="B4404" s="6" t="str">
        <f>IFERROR(__xludf.DUMMYFUNCTION("""COMPUTED_VALUE"""),"121703255 - APPROVED")</f>
        <v>121703255 - APPROVED</v>
      </c>
      <c r="C4404" s="6">
        <f>IFERROR(__xludf.DUMMYFUNCTION("""COMPUTED_VALUE"""),2.0)</f>
        <v>2</v>
      </c>
      <c r="D4404" s="6" t="str">
        <f>IFERROR(__xludf.DUMMYFUNCTION("""COMPUTED_VALUE"""),"O-53423-00")</f>
        <v>O-53423-00</v>
      </c>
      <c r="E4404" s="6" t="str">
        <f>IFERROR(__xludf.DUMMYFUNCTION("""COMPUTED_VALUE"""),"General - Fiber Optic Sensor BF3RX; Autonics; A00291; 1 Pc")</f>
        <v>General - Fiber Optic Sensor BF3RX; Autonics; A00291; 1 Pc</v>
      </c>
      <c r="F4404" s="6">
        <f>IFERROR(__xludf.DUMMYFUNCTION("""COMPUTED_VALUE"""),2.0)</f>
        <v>2</v>
      </c>
      <c r="G4404" s="6" t="str">
        <f>IFERROR(__xludf.DUMMYFUNCTION("""COMPUTED_VALUE"""),"Pieces")</f>
        <v>Pieces</v>
      </c>
      <c r="H4404" s="6" t="str">
        <f>IFERROR(__xludf.DUMMYFUNCTION("""COMPUTED_VALUE"""),"IDR")</f>
        <v>IDR</v>
      </c>
      <c r="I4404" s="6">
        <f>IFERROR(__xludf.DUMMYFUNCTION("""COMPUTED_VALUE"""),444600.0)</f>
        <v>444600</v>
      </c>
      <c r="J4404" s="6">
        <f>IFERROR(__xludf.DUMMYFUNCTION("""COMPUTED_VALUE"""),889200.0)</f>
        <v>889200</v>
      </c>
      <c r="K4404" s="57">
        <f>IFERROR(__xludf.DUMMYFUNCTION("""COMPUTED_VALUE"""),45954.0)</f>
        <v>45954</v>
      </c>
      <c r="L4404" s="6" t="str">
        <f>IFERROR(__xludf.DUMMYFUNCTION("""COMPUTED_VALUE"""),"FIP Engineering")</f>
        <v>FIP Engineering</v>
      </c>
      <c r="M4404" s="6" t="str">
        <f>IFERROR(__xludf.DUMMYFUNCTION("""COMPUTED_VALUE"""),"Mochammad Fadhillah Hakim,")</f>
        <v>Mochammad Fadhillah Hakim,</v>
      </c>
      <c r="N4404" s="6" t="str">
        <f>IFERROR(__xludf.DUMMYFUNCTION("""COMPUTED_VALUE"""),"FIP Engineering")</f>
        <v>FIP Engineering</v>
      </c>
      <c r="O4404" s="6" t="str">
        <f>IFERROR(__xludf.DUMMYFUNCTION("""COMPUTED_VALUE"""),"FIP-DOM-000-11304-OS00001-INA-000000")</f>
        <v>FIP-DOM-000-11304-OS00001-INA-000000</v>
      </c>
      <c r="P4404" s="6" t="str">
        <f>IFERROR(__xludf.DUMMYFUNCTION("""COMPUTED_VALUE"""),"PO Closed")</f>
        <v>PO Closed</v>
      </c>
      <c r="Q4404" s="6" t="str">
        <f>IFERROR(__xludf.DUMMYFUNCTION("""COMPUTED_VALUE"""),"GL2510485")</f>
        <v>GL2510485</v>
      </c>
      <c r="R4404" s="57">
        <f>IFERROR(__xludf.DUMMYFUNCTION("""COMPUTED_VALUE"""),45923.0)</f>
        <v>45923</v>
      </c>
      <c r="S4404" s="57">
        <f>IFERROR(__xludf.DUMMYFUNCTION("""COMPUTED_VALUE"""),45925.0)</f>
        <v>45925</v>
      </c>
      <c r="T4404" s="57">
        <f>IFERROR(__xludf.DUMMYFUNCTION("""COMPUTED_VALUE"""),45985.0)</f>
        <v>45985</v>
      </c>
    </row>
    <row r="4405">
      <c r="A4405" s="6" t="str">
        <f>IFERROR(__xludf.DUMMYFUNCTION("""COMPUTED_VALUE"""),"121703256-1")</f>
        <v>121703256-1</v>
      </c>
      <c r="B4405" s="6" t="str">
        <f>IFERROR(__xludf.DUMMYFUNCTION("""COMPUTED_VALUE"""),"121703256 - APPROVED")</f>
        <v>121703256 - APPROVED</v>
      </c>
      <c r="C4405" s="6">
        <f>IFERROR(__xludf.DUMMYFUNCTION("""COMPUTED_VALUE"""),1.0)</f>
        <v>1</v>
      </c>
      <c r="D4405" s="6" t="str">
        <f>IFERROR(__xludf.DUMMYFUNCTION("""COMPUTED_VALUE"""),"P-19693-00")</f>
        <v>P-19693-00</v>
      </c>
      <c r="E4405" s="6" t="str">
        <f>IFERROR(__xludf.DUMMYFUNCTION("""COMPUTED_VALUE"""),"General - Lem Adhesive; Superlon; -; 1kg/can")</f>
        <v>General - Lem Adhesive; Superlon; -; 1kg/can</v>
      </c>
      <c r="F4405" s="6">
        <f>IFERROR(__xludf.DUMMYFUNCTION("""COMPUTED_VALUE"""),10.0)</f>
        <v>10</v>
      </c>
      <c r="G4405" s="6" t="str">
        <f>IFERROR(__xludf.DUMMYFUNCTION("""COMPUTED_VALUE"""),"Pieces")</f>
        <v>Pieces</v>
      </c>
      <c r="H4405" s="6" t="str">
        <f>IFERROR(__xludf.DUMMYFUNCTION("""COMPUTED_VALUE"""),"IDR")</f>
        <v>IDR</v>
      </c>
      <c r="I4405" s="6">
        <f>IFERROR(__xludf.DUMMYFUNCTION("""COMPUTED_VALUE"""),220000.0)</f>
        <v>220000</v>
      </c>
      <c r="J4405" s="6">
        <f>IFERROR(__xludf.DUMMYFUNCTION("""COMPUTED_VALUE"""),2200000.0)</f>
        <v>2200000</v>
      </c>
      <c r="K4405" s="57">
        <f>IFERROR(__xludf.DUMMYFUNCTION("""COMPUTED_VALUE"""),45954.0)</f>
        <v>45954</v>
      </c>
      <c r="L4405" s="6" t="str">
        <f>IFERROR(__xludf.DUMMYFUNCTION("""COMPUTED_VALUE"""),"FIP Engineering")</f>
        <v>FIP Engineering</v>
      </c>
      <c r="M4405" s="6" t="str">
        <f>IFERROR(__xludf.DUMMYFUNCTION("""COMPUTED_VALUE"""),"Mochammad Fadhillah Hakim,")</f>
        <v>Mochammad Fadhillah Hakim,</v>
      </c>
      <c r="N4405" s="6" t="str">
        <f>IFERROR(__xludf.DUMMYFUNCTION("""COMPUTED_VALUE"""),"FIP Engineering")</f>
        <v>FIP Engineering</v>
      </c>
      <c r="O4405" s="6" t="str">
        <f>IFERROR(__xludf.DUMMYFUNCTION("""COMPUTED_VALUE"""),"FIP-DOM-000-11304-OS00001-INA-000000")</f>
        <v>FIP-DOM-000-11304-OS00001-INA-000000</v>
      </c>
      <c r="P4405" s="6" t="str">
        <f>IFERROR(__xludf.DUMMYFUNCTION("""COMPUTED_VALUE"""),"PO Closed")</f>
        <v>PO Closed</v>
      </c>
      <c r="Q4405" s="6" t="str">
        <f>IFERROR(__xludf.DUMMYFUNCTION("""COMPUTED_VALUE"""),"GL2510016")</f>
        <v>GL2510016</v>
      </c>
      <c r="R4405" s="57">
        <f>IFERROR(__xludf.DUMMYFUNCTION("""COMPUTED_VALUE"""),45923.0)</f>
        <v>45923</v>
      </c>
      <c r="S4405" s="57">
        <f>IFERROR(__xludf.DUMMYFUNCTION("""COMPUTED_VALUE"""),45925.0)</f>
        <v>45925</v>
      </c>
      <c r="T4405" s="57">
        <f>IFERROR(__xludf.DUMMYFUNCTION("""COMPUTED_VALUE"""),45978.0)</f>
        <v>45978</v>
      </c>
    </row>
    <row r="4406">
      <c r="A4406" s="6" t="str">
        <f>IFERROR(__xludf.DUMMYFUNCTION("""COMPUTED_VALUE"""),"121703257-1")</f>
        <v>121703257-1</v>
      </c>
      <c r="B4406" s="6" t="str">
        <f>IFERROR(__xludf.DUMMYFUNCTION("""COMPUTED_VALUE"""),"121703257 - APPROVED")</f>
        <v>121703257 - APPROVED</v>
      </c>
      <c r="C4406" s="6">
        <f>IFERROR(__xludf.DUMMYFUNCTION("""COMPUTED_VALUE"""),1.0)</f>
        <v>1</v>
      </c>
      <c r="D4406" s="6" t="str">
        <f>IFERROR(__xludf.DUMMYFUNCTION("""COMPUTED_VALUE"""),"O-53263-00")</f>
        <v>O-53263-00</v>
      </c>
      <c r="E4406" s="6" t="str">
        <f>IFERROR(__xludf.DUMMYFUNCTION("""COMPUTED_VALUE"""),"General - Kabel Sensor; Sick; YF8U14-020VA3XLEAX; 1 Pc")</f>
        <v>General - Kabel Sensor; Sick; YF8U14-020VA3XLEAX; 1 Pc</v>
      </c>
      <c r="F4406" s="6">
        <f>IFERROR(__xludf.DUMMYFUNCTION("""COMPUTED_VALUE"""),2.0)</f>
        <v>2</v>
      </c>
      <c r="G4406" s="6" t="str">
        <f>IFERROR(__xludf.DUMMYFUNCTION("""COMPUTED_VALUE"""),"Pieces")</f>
        <v>Pieces</v>
      </c>
      <c r="H4406" s="6" t="str">
        <f>IFERROR(__xludf.DUMMYFUNCTION("""COMPUTED_VALUE"""),"IDR")</f>
        <v>IDR</v>
      </c>
      <c r="I4406" s="6">
        <f>IFERROR(__xludf.DUMMYFUNCTION("""COMPUTED_VALUE"""),222750.0)</f>
        <v>222750</v>
      </c>
      <c r="J4406" s="6">
        <f>IFERROR(__xludf.DUMMYFUNCTION("""COMPUTED_VALUE"""),445500.0)</f>
        <v>445500</v>
      </c>
      <c r="K4406" s="57">
        <f>IFERROR(__xludf.DUMMYFUNCTION("""COMPUTED_VALUE"""),45954.0)</f>
        <v>45954</v>
      </c>
      <c r="L4406" s="6" t="str">
        <f>IFERROR(__xludf.DUMMYFUNCTION("""COMPUTED_VALUE"""),"FIP Engineering")</f>
        <v>FIP Engineering</v>
      </c>
      <c r="M4406" s="6" t="str">
        <f>IFERROR(__xludf.DUMMYFUNCTION("""COMPUTED_VALUE"""),"Mochammad Fadhillah Hakim,")</f>
        <v>Mochammad Fadhillah Hakim,</v>
      </c>
      <c r="N4406" s="6" t="str">
        <f>IFERROR(__xludf.DUMMYFUNCTION("""COMPUTED_VALUE"""),"FIP Engineering")</f>
        <v>FIP Engineering</v>
      </c>
      <c r="O4406" s="6" t="str">
        <f>IFERROR(__xludf.DUMMYFUNCTION("""COMPUTED_VALUE"""),"FIP-DOM-000-11304-OS00001-INA-000000")</f>
        <v>FIP-DOM-000-11304-OS00001-INA-000000</v>
      </c>
      <c r="P4406" s="6" t="str">
        <f>IFERROR(__xludf.DUMMYFUNCTION("""COMPUTED_VALUE"""),"PO Closed")</f>
        <v>PO Closed</v>
      </c>
      <c r="Q4406" s="6" t="str">
        <f>IFERROR(__xludf.DUMMYFUNCTION("""COMPUTED_VALUE"""),"GL2510482")</f>
        <v>GL2510482</v>
      </c>
      <c r="R4406" s="57">
        <f>IFERROR(__xludf.DUMMYFUNCTION("""COMPUTED_VALUE"""),45923.0)</f>
        <v>45923</v>
      </c>
      <c r="S4406" s="57">
        <f>IFERROR(__xludf.DUMMYFUNCTION("""COMPUTED_VALUE"""),45925.0)</f>
        <v>45925</v>
      </c>
      <c r="T4406" s="57">
        <f>IFERROR(__xludf.DUMMYFUNCTION("""COMPUTED_VALUE"""),45971.0)</f>
        <v>45971</v>
      </c>
    </row>
    <row r="4407">
      <c r="A4407" s="6" t="str">
        <f>IFERROR(__xludf.DUMMYFUNCTION("""COMPUTED_VALUE"""),"121703258-1")</f>
        <v>121703258-1</v>
      </c>
      <c r="B4407" s="6" t="str">
        <f>IFERROR(__xludf.DUMMYFUNCTION("""COMPUTED_VALUE"""),"121703258 - APPROVED")</f>
        <v>121703258 - APPROVED</v>
      </c>
      <c r="C4407" s="6">
        <f>IFERROR(__xludf.DUMMYFUNCTION("""COMPUTED_VALUE"""),1.0)</f>
        <v>1</v>
      </c>
      <c r="D4407" s="6" t="str">
        <f>IFERROR(__xludf.DUMMYFUNCTION("""COMPUTED_VALUE"""),"P-20020-00")</f>
        <v>P-20020-00</v>
      </c>
      <c r="E4407" s="6" t="str">
        <f>IFERROR(__xludf.DUMMYFUNCTION("""COMPUTED_VALUE"""),"General - Besi UNP 100 x 50 x 3mm; No Brand; -; 1 pc")</f>
        <v>General - Besi UNP 100 x 50 x 3mm; No Brand; -; 1 pc</v>
      </c>
      <c r="F4407" s="6">
        <f>IFERROR(__xludf.DUMMYFUNCTION("""COMPUTED_VALUE"""),2.0)</f>
        <v>2</v>
      </c>
      <c r="G4407" s="6" t="str">
        <f>IFERROR(__xludf.DUMMYFUNCTION("""COMPUTED_VALUE"""),"Pieces")</f>
        <v>Pieces</v>
      </c>
      <c r="H4407" s="6" t="str">
        <f>IFERROR(__xludf.DUMMYFUNCTION("""COMPUTED_VALUE"""),"IDR")</f>
        <v>IDR</v>
      </c>
      <c r="I4407" s="6">
        <f>IFERROR(__xludf.DUMMYFUNCTION("""COMPUTED_VALUE"""),712400.0)</f>
        <v>712400</v>
      </c>
      <c r="J4407" s="6">
        <f>IFERROR(__xludf.DUMMYFUNCTION("""COMPUTED_VALUE"""),1424800.0)</f>
        <v>1424800</v>
      </c>
      <c r="K4407" s="57">
        <f>IFERROR(__xludf.DUMMYFUNCTION("""COMPUTED_VALUE"""),45954.0)</f>
        <v>45954</v>
      </c>
      <c r="L4407" s="6" t="str">
        <f>IFERROR(__xludf.DUMMYFUNCTION("""COMPUTED_VALUE"""),"FIP Engineering")</f>
        <v>FIP Engineering</v>
      </c>
      <c r="M4407" s="6" t="str">
        <f>IFERROR(__xludf.DUMMYFUNCTION("""COMPUTED_VALUE"""),"Mochammad Fadhillah Hakim,")</f>
        <v>Mochammad Fadhillah Hakim,</v>
      </c>
      <c r="N4407" s="6" t="str">
        <f>IFERROR(__xludf.DUMMYFUNCTION("""COMPUTED_VALUE"""),"FIP Engineering")</f>
        <v>FIP Engineering</v>
      </c>
      <c r="O4407" s="6" t="str">
        <f>IFERROR(__xludf.DUMMYFUNCTION("""COMPUTED_VALUE"""),"FIP-DOM-000-11304-OS00001-INA-000000")</f>
        <v>FIP-DOM-000-11304-OS00001-INA-000000</v>
      </c>
      <c r="P4407" s="6" t="str">
        <f>IFERROR(__xludf.DUMMYFUNCTION("""COMPUTED_VALUE"""),"PO Closed")</f>
        <v>PO Closed</v>
      </c>
      <c r="Q4407" s="6" t="str">
        <f>IFERROR(__xludf.DUMMYFUNCTION("""COMPUTED_VALUE"""),"GL2510016")</f>
        <v>GL2510016</v>
      </c>
      <c r="R4407" s="57">
        <f>IFERROR(__xludf.DUMMYFUNCTION("""COMPUTED_VALUE"""),45923.0)</f>
        <v>45923</v>
      </c>
      <c r="S4407" s="57">
        <f>IFERROR(__xludf.DUMMYFUNCTION("""COMPUTED_VALUE"""),45925.0)</f>
        <v>45925</v>
      </c>
      <c r="T4407" s="57">
        <f>IFERROR(__xludf.DUMMYFUNCTION("""COMPUTED_VALUE"""),45978.0)</f>
        <v>45978</v>
      </c>
    </row>
    <row r="4408">
      <c r="A4408" s="6" t="str">
        <f>IFERROR(__xludf.DUMMYFUNCTION("""COMPUTED_VALUE"""),"121703258-2")</f>
        <v>121703258-2</v>
      </c>
      <c r="B4408" s="6" t="str">
        <f>IFERROR(__xludf.DUMMYFUNCTION("""COMPUTED_VALUE"""),"121703258 - APPROVED")</f>
        <v>121703258 - APPROVED</v>
      </c>
      <c r="C4408" s="6">
        <f>IFERROR(__xludf.DUMMYFUNCTION("""COMPUTED_VALUE"""),2.0)</f>
        <v>2</v>
      </c>
      <c r="D4408" s="6" t="str">
        <f>IFERROR(__xludf.DUMMYFUNCTION("""COMPUTED_VALUE"""),"P-20182-00")</f>
        <v>P-20182-00</v>
      </c>
      <c r="E4408" s="6" t="str">
        <f>IFERROR(__xludf.DUMMYFUNCTION("""COMPUTED_VALUE"""),"General - Kawat Las SS E-308 2.0mm; No Brand; -; 1 kg/pack")</f>
        <v>General - Kawat Las SS E-308 2.0mm; No Brand; -; 1 kg/pack</v>
      </c>
      <c r="F4408" s="6">
        <f>IFERROR(__xludf.DUMMYFUNCTION("""COMPUTED_VALUE"""),1.0)</f>
        <v>1</v>
      </c>
      <c r="G4408" s="6" t="str">
        <f>IFERROR(__xludf.DUMMYFUNCTION("""COMPUTED_VALUE"""),"Pack")</f>
        <v>Pack</v>
      </c>
      <c r="H4408" s="6" t="str">
        <f>IFERROR(__xludf.DUMMYFUNCTION("""COMPUTED_VALUE"""),"IDR")</f>
        <v>IDR</v>
      </c>
      <c r="I4408" s="6">
        <f>IFERROR(__xludf.DUMMYFUNCTION("""COMPUTED_VALUE"""),208000.0)</f>
        <v>208000</v>
      </c>
      <c r="J4408" s="6">
        <f>IFERROR(__xludf.DUMMYFUNCTION("""COMPUTED_VALUE"""),208000.0)</f>
        <v>208000</v>
      </c>
      <c r="K4408" s="57">
        <f>IFERROR(__xludf.DUMMYFUNCTION("""COMPUTED_VALUE"""),45954.0)</f>
        <v>45954</v>
      </c>
      <c r="L4408" s="6" t="str">
        <f>IFERROR(__xludf.DUMMYFUNCTION("""COMPUTED_VALUE"""),"FIP Engineering")</f>
        <v>FIP Engineering</v>
      </c>
      <c r="M4408" s="6" t="str">
        <f>IFERROR(__xludf.DUMMYFUNCTION("""COMPUTED_VALUE"""),"Mochammad Fadhillah Hakim,")</f>
        <v>Mochammad Fadhillah Hakim,</v>
      </c>
      <c r="N4408" s="6" t="str">
        <f>IFERROR(__xludf.DUMMYFUNCTION("""COMPUTED_VALUE"""),"FIP Engineering")</f>
        <v>FIP Engineering</v>
      </c>
      <c r="O4408" s="6" t="str">
        <f>IFERROR(__xludf.DUMMYFUNCTION("""COMPUTED_VALUE"""),"FIP-DOM-000-11304-OS00001-INA-000000")</f>
        <v>FIP-DOM-000-11304-OS00001-INA-000000</v>
      </c>
      <c r="P4408" s="6" t="str">
        <f>IFERROR(__xludf.DUMMYFUNCTION("""COMPUTED_VALUE"""),"PO Closed")</f>
        <v>PO Closed</v>
      </c>
      <c r="Q4408" s="6" t="str">
        <f>IFERROR(__xludf.DUMMYFUNCTION("""COMPUTED_VALUE"""),"GL2510473")</f>
        <v>GL2510473</v>
      </c>
      <c r="R4408" s="57">
        <f>IFERROR(__xludf.DUMMYFUNCTION("""COMPUTED_VALUE"""),45923.0)</f>
        <v>45923</v>
      </c>
      <c r="S4408" s="57">
        <f>IFERROR(__xludf.DUMMYFUNCTION("""COMPUTED_VALUE"""),45925.0)</f>
        <v>45925</v>
      </c>
      <c r="T4408" s="57">
        <f>IFERROR(__xludf.DUMMYFUNCTION("""COMPUTED_VALUE"""),45978.0)</f>
        <v>45978</v>
      </c>
    </row>
    <row r="4409">
      <c r="A4409" s="6" t="str">
        <f>IFERROR(__xludf.DUMMYFUNCTION("""COMPUTED_VALUE"""),"121703258-3")</f>
        <v>121703258-3</v>
      </c>
      <c r="B4409" s="6" t="str">
        <f>IFERROR(__xludf.DUMMYFUNCTION("""COMPUTED_VALUE"""),"121703258 - APPROVED")</f>
        <v>121703258 - APPROVED</v>
      </c>
      <c r="C4409" s="6">
        <f>IFERROR(__xludf.DUMMYFUNCTION("""COMPUTED_VALUE"""),3.0)</f>
        <v>3</v>
      </c>
      <c r="D4409" s="6" t="str">
        <f>IFERROR(__xludf.DUMMYFUNCTION("""COMPUTED_VALUE"""),"P-20184-00")</f>
        <v>P-20184-00</v>
      </c>
      <c r="E4409" s="6" t="str">
        <f>IFERROR(__xludf.DUMMYFUNCTION("""COMPUTED_VALUE"""),"General - Hollow SS304 Uk. 40 x 40 x 1.5 x 3000mm; No Brand; -; 1 pc")</f>
        <v>General - Hollow SS304 Uk. 40 x 40 x 1.5 x 3000mm; No Brand; -; 1 pc</v>
      </c>
      <c r="F4409" s="6">
        <f>IFERROR(__xludf.DUMMYFUNCTION("""COMPUTED_VALUE"""),3.0)</f>
        <v>3</v>
      </c>
      <c r="G4409" s="6" t="str">
        <f>IFERROR(__xludf.DUMMYFUNCTION("""COMPUTED_VALUE"""),"Pieces")</f>
        <v>Pieces</v>
      </c>
      <c r="H4409" s="6" t="str">
        <f>IFERROR(__xludf.DUMMYFUNCTION("""COMPUTED_VALUE"""),"IDR")</f>
        <v>IDR</v>
      </c>
      <c r="I4409" s="6">
        <f>IFERROR(__xludf.DUMMYFUNCTION("""COMPUTED_VALUE"""),650000.0)</f>
        <v>650000</v>
      </c>
      <c r="J4409" s="6">
        <f>IFERROR(__xludf.DUMMYFUNCTION("""COMPUTED_VALUE"""),1950000.0)</f>
        <v>1950000</v>
      </c>
      <c r="K4409" s="57">
        <f>IFERROR(__xludf.DUMMYFUNCTION("""COMPUTED_VALUE"""),45954.0)</f>
        <v>45954</v>
      </c>
      <c r="L4409" s="6" t="str">
        <f>IFERROR(__xludf.DUMMYFUNCTION("""COMPUTED_VALUE"""),"FIP Engineering")</f>
        <v>FIP Engineering</v>
      </c>
      <c r="M4409" s="6" t="str">
        <f>IFERROR(__xludf.DUMMYFUNCTION("""COMPUTED_VALUE"""),"Mochammad Fadhillah Hakim,")</f>
        <v>Mochammad Fadhillah Hakim,</v>
      </c>
      <c r="N4409" s="6" t="str">
        <f>IFERROR(__xludf.DUMMYFUNCTION("""COMPUTED_VALUE"""),"FIP Engineering")</f>
        <v>FIP Engineering</v>
      </c>
      <c r="O4409" s="6" t="str">
        <f>IFERROR(__xludf.DUMMYFUNCTION("""COMPUTED_VALUE"""),"FIP-DOM-000-11304-OS00001-INA-000000")</f>
        <v>FIP-DOM-000-11304-OS00001-INA-000000</v>
      </c>
      <c r="P4409" s="6" t="str">
        <f>IFERROR(__xludf.DUMMYFUNCTION("""COMPUTED_VALUE"""),"PO Closed")</f>
        <v>PO Closed</v>
      </c>
      <c r="Q4409" s="6" t="str">
        <f>IFERROR(__xludf.DUMMYFUNCTION("""COMPUTED_VALUE"""),"GL2510473")</f>
        <v>GL2510473</v>
      </c>
      <c r="R4409" s="57">
        <f>IFERROR(__xludf.DUMMYFUNCTION("""COMPUTED_VALUE"""),45923.0)</f>
        <v>45923</v>
      </c>
      <c r="S4409" s="57">
        <f>IFERROR(__xludf.DUMMYFUNCTION("""COMPUTED_VALUE"""),45925.0)</f>
        <v>45925</v>
      </c>
      <c r="T4409" s="57">
        <f>IFERROR(__xludf.DUMMYFUNCTION("""COMPUTED_VALUE"""),45978.0)</f>
        <v>45978</v>
      </c>
    </row>
    <row r="4410">
      <c r="A4410" s="6" t="str">
        <f>IFERROR(__xludf.DUMMYFUNCTION("""COMPUTED_VALUE"""),"121703258-4")</f>
        <v>121703258-4</v>
      </c>
      <c r="B4410" s="6" t="str">
        <f>IFERROR(__xludf.DUMMYFUNCTION("""COMPUTED_VALUE"""),"121703258 - APPROVED")</f>
        <v>121703258 - APPROVED</v>
      </c>
      <c r="C4410" s="6">
        <f>IFERROR(__xludf.DUMMYFUNCTION("""COMPUTED_VALUE"""),4.0)</f>
        <v>4</v>
      </c>
      <c r="D4410" s="6" t="str">
        <f>IFERROR(__xludf.DUMMYFUNCTION("""COMPUTED_VALUE"""),"P-20185-00")</f>
        <v>P-20185-00</v>
      </c>
      <c r="E4410" s="6" t="str">
        <f>IFERROR(__xludf.DUMMYFUNCTION("""COMPUTED_VALUE"""),"General - Siku SS304 30 x 30 x 3 x 6000mm; No Brand; -; 1 pc")</f>
        <v>General - Siku SS304 30 x 30 x 3 x 6000mm; No Brand; -; 1 pc</v>
      </c>
      <c r="F4410" s="6">
        <f>IFERROR(__xludf.DUMMYFUNCTION("""COMPUTED_VALUE"""),2.0)</f>
        <v>2</v>
      </c>
      <c r="G4410" s="6" t="str">
        <f>IFERROR(__xludf.DUMMYFUNCTION("""COMPUTED_VALUE"""),"Pieces")</f>
        <v>Pieces</v>
      </c>
      <c r="H4410" s="6" t="str">
        <f>IFERROR(__xludf.DUMMYFUNCTION("""COMPUTED_VALUE"""),"IDR")</f>
        <v>IDR</v>
      </c>
      <c r="I4410" s="6">
        <f>IFERROR(__xludf.DUMMYFUNCTION("""COMPUTED_VALUE"""),650000.0)</f>
        <v>650000</v>
      </c>
      <c r="J4410" s="6">
        <f>IFERROR(__xludf.DUMMYFUNCTION("""COMPUTED_VALUE"""),1300000.0)</f>
        <v>1300000</v>
      </c>
      <c r="K4410" s="57">
        <f>IFERROR(__xludf.DUMMYFUNCTION("""COMPUTED_VALUE"""),45954.0)</f>
        <v>45954</v>
      </c>
      <c r="L4410" s="6" t="str">
        <f>IFERROR(__xludf.DUMMYFUNCTION("""COMPUTED_VALUE"""),"FIP Engineering")</f>
        <v>FIP Engineering</v>
      </c>
      <c r="M4410" s="6" t="str">
        <f>IFERROR(__xludf.DUMMYFUNCTION("""COMPUTED_VALUE"""),"Mochammad Fadhillah Hakim,")</f>
        <v>Mochammad Fadhillah Hakim,</v>
      </c>
      <c r="N4410" s="6" t="str">
        <f>IFERROR(__xludf.DUMMYFUNCTION("""COMPUTED_VALUE"""),"FIP Engineering")</f>
        <v>FIP Engineering</v>
      </c>
      <c r="O4410" s="6" t="str">
        <f>IFERROR(__xludf.DUMMYFUNCTION("""COMPUTED_VALUE"""),"FIP-DOM-000-11304-OS00001-INA-000000")</f>
        <v>FIP-DOM-000-11304-OS00001-INA-000000</v>
      </c>
      <c r="P4410" s="6" t="str">
        <f>IFERROR(__xludf.DUMMYFUNCTION("""COMPUTED_VALUE"""),"PO Closed")</f>
        <v>PO Closed</v>
      </c>
      <c r="Q4410" s="6" t="str">
        <f>IFERROR(__xludf.DUMMYFUNCTION("""COMPUTED_VALUE"""),"GL2510473")</f>
        <v>GL2510473</v>
      </c>
      <c r="R4410" s="57">
        <f>IFERROR(__xludf.DUMMYFUNCTION("""COMPUTED_VALUE"""),45923.0)</f>
        <v>45923</v>
      </c>
      <c r="S4410" s="57">
        <f>IFERROR(__xludf.DUMMYFUNCTION("""COMPUTED_VALUE"""),45925.0)</f>
        <v>45925</v>
      </c>
      <c r="T4410" s="57">
        <f>IFERROR(__xludf.DUMMYFUNCTION("""COMPUTED_VALUE"""),45978.0)</f>
        <v>45978</v>
      </c>
    </row>
    <row r="4411">
      <c r="A4411" s="6" t="str">
        <f>IFERROR(__xludf.DUMMYFUNCTION("""COMPUTED_VALUE"""),"121703258-5")</f>
        <v>121703258-5</v>
      </c>
      <c r="B4411" s="6" t="str">
        <f>IFERROR(__xludf.DUMMYFUNCTION("""COMPUTED_VALUE"""),"121703258 - APPROVED")</f>
        <v>121703258 - APPROVED</v>
      </c>
      <c r="C4411" s="6">
        <f>IFERROR(__xludf.DUMMYFUNCTION("""COMPUTED_VALUE"""),5.0)</f>
        <v>5</v>
      </c>
      <c r="D4411" s="6" t="str">
        <f>IFERROR(__xludf.DUMMYFUNCTION("""COMPUTED_VALUE"""),"P-20186-00")</f>
        <v>P-20186-00</v>
      </c>
      <c r="E4411" s="6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F4411" s="6">
        <f>IFERROR(__xludf.DUMMYFUNCTION("""COMPUTED_VALUE"""),1.0)</f>
        <v>1</v>
      </c>
      <c r="G4411" s="6" t="str">
        <f>IFERROR(__xludf.DUMMYFUNCTION("""COMPUTED_VALUE"""),"Pieces")</f>
        <v>Pieces</v>
      </c>
      <c r="H4411" s="6" t="str">
        <f>IFERROR(__xludf.DUMMYFUNCTION("""COMPUTED_VALUE"""),"IDR")</f>
        <v>IDR</v>
      </c>
      <c r="I4411" s="6">
        <f>IFERROR(__xludf.DUMMYFUNCTION("""COMPUTED_VALUE"""),650000.0)</f>
        <v>650000</v>
      </c>
      <c r="J4411" s="6">
        <f>IFERROR(__xludf.DUMMYFUNCTION("""COMPUTED_VALUE"""),650000.0)</f>
        <v>650000</v>
      </c>
      <c r="K4411" s="57">
        <f>IFERROR(__xludf.DUMMYFUNCTION("""COMPUTED_VALUE"""),45954.0)</f>
        <v>45954</v>
      </c>
      <c r="L4411" s="6" t="str">
        <f>IFERROR(__xludf.DUMMYFUNCTION("""COMPUTED_VALUE"""),"FIP Engineering")</f>
        <v>FIP Engineering</v>
      </c>
      <c r="M4411" s="6" t="str">
        <f>IFERROR(__xludf.DUMMYFUNCTION("""COMPUTED_VALUE"""),"Mochammad Fadhillah Hakim,")</f>
        <v>Mochammad Fadhillah Hakim,</v>
      </c>
      <c r="N4411" s="6" t="str">
        <f>IFERROR(__xludf.DUMMYFUNCTION("""COMPUTED_VALUE"""),"FIP Engineering")</f>
        <v>FIP Engineering</v>
      </c>
      <c r="O4411" s="6" t="str">
        <f>IFERROR(__xludf.DUMMYFUNCTION("""COMPUTED_VALUE"""),"FIP-DOM-000-11304-OS00001-INA-000000")</f>
        <v>FIP-DOM-000-11304-OS00001-INA-000000</v>
      </c>
      <c r="P4411" s="6" t="str">
        <f>IFERROR(__xludf.DUMMYFUNCTION("""COMPUTED_VALUE"""),"PO Closed")</f>
        <v>PO Closed</v>
      </c>
      <c r="Q4411" s="6" t="str">
        <f>IFERROR(__xludf.DUMMYFUNCTION("""COMPUTED_VALUE"""),"GL2510473")</f>
        <v>GL2510473</v>
      </c>
      <c r="R4411" s="57">
        <f>IFERROR(__xludf.DUMMYFUNCTION("""COMPUTED_VALUE"""),45923.0)</f>
        <v>45923</v>
      </c>
      <c r="S4411" s="57">
        <f>IFERROR(__xludf.DUMMYFUNCTION("""COMPUTED_VALUE"""),45925.0)</f>
        <v>45925</v>
      </c>
      <c r="T4411" s="57">
        <f>IFERROR(__xludf.DUMMYFUNCTION("""COMPUTED_VALUE"""),45978.0)</f>
        <v>45978</v>
      </c>
    </row>
    <row r="4412">
      <c r="A4412" s="6" t="str">
        <f>IFERROR(__xludf.DUMMYFUNCTION("""COMPUTED_VALUE"""),"121703258-6")</f>
        <v>121703258-6</v>
      </c>
      <c r="B4412" s="6" t="str">
        <f>IFERROR(__xludf.DUMMYFUNCTION("""COMPUTED_VALUE"""),"121703258 - APPROVED")</f>
        <v>121703258 - APPROVED</v>
      </c>
      <c r="C4412" s="6">
        <f>IFERROR(__xludf.DUMMYFUNCTION("""COMPUTED_VALUE"""),6.0)</f>
        <v>6</v>
      </c>
      <c r="D4412" s="6" t="str">
        <f>IFERROR(__xludf.DUMMYFUNCTION("""COMPUTED_VALUE"""),"P-20188-00")</f>
        <v>P-20188-00</v>
      </c>
      <c r="E4412" s="6" t="str">
        <f>IFERROR(__xludf.DUMMYFUNCTION("""COMPUTED_VALUE"""),"General - Solenoid 2 Way; EMC; 2V025-08; 1 pc")</f>
        <v>General - Solenoid 2 Way; EMC; 2V025-08; 1 pc</v>
      </c>
      <c r="F4412" s="6">
        <f>IFERROR(__xludf.DUMMYFUNCTION("""COMPUTED_VALUE"""),2.0)</f>
        <v>2</v>
      </c>
      <c r="G4412" s="6" t="str">
        <f>IFERROR(__xludf.DUMMYFUNCTION("""COMPUTED_VALUE"""),"Pieces")</f>
        <v>Pieces</v>
      </c>
      <c r="H4412" s="6" t="str">
        <f>IFERROR(__xludf.DUMMYFUNCTION("""COMPUTED_VALUE"""),"IDR")</f>
        <v>IDR</v>
      </c>
      <c r="I4412" s="6">
        <f>IFERROR(__xludf.DUMMYFUNCTION("""COMPUTED_VALUE"""),195000.0)</f>
        <v>195000</v>
      </c>
      <c r="J4412" s="6">
        <f>IFERROR(__xludf.DUMMYFUNCTION("""COMPUTED_VALUE"""),390000.0)</f>
        <v>390000</v>
      </c>
      <c r="K4412" s="57">
        <f>IFERROR(__xludf.DUMMYFUNCTION("""COMPUTED_VALUE"""),45954.0)</f>
        <v>45954</v>
      </c>
      <c r="L4412" s="6" t="str">
        <f>IFERROR(__xludf.DUMMYFUNCTION("""COMPUTED_VALUE"""),"FIP Engineering")</f>
        <v>FIP Engineering</v>
      </c>
      <c r="M4412" s="6" t="str">
        <f>IFERROR(__xludf.DUMMYFUNCTION("""COMPUTED_VALUE"""),"Mochammad Fadhillah Hakim,")</f>
        <v>Mochammad Fadhillah Hakim,</v>
      </c>
      <c r="N4412" s="6" t="str">
        <f>IFERROR(__xludf.DUMMYFUNCTION("""COMPUTED_VALUE"""),"FIP Engineering")</f>
        <v>FIP Engineering</v>
      </c>
      <c r="O4412" s="6" t="str">
        <f>IFERROR(__xludf.DUMMYFUNCTION("""COMPUTED_VALUE"""),"FIP-DOM-000-11304-OS00001-INA-000000")</f>
        <v>FIP-DOM-000-11304-OS00001-INA-000000</v>
      </c>
      <c r="P4412" s="6" t="str">
        <f>IFERROR(__xludf.DUMMYFUNCTION("""COMPUTED_VALUE"""),"PO Closed")</f>
        <v>PO Closed</v>
      </c>
      <c r="Q4412" s="6" t="str">
        <f>IFERROR(__xludf.DUMMYFUNCTION("""COMPUTED_VALUE"""),"GL2510473")</f>
        <v>GL2510473</v>
      </c>
      <c r="R4412" s="57">
        <f>IFERROR(__xludf.DUMMYFUNCTION("""COMPUTED_VALUE"""),45923.0)</f>
        <v>45923</v>
      </c>
      <c r="S4412" s="57">
        <f>IFERROR(__xludf.DUMMYFUNCTION("""COMPUTED_VALUE"""),45925.0)</f>
        <v>45925</v>
      </c>
      <c r="T4412" s="57">
        <f>IFERROR(__xludf.DUMMYFUNCTION("""COMPUTED_VALUE"""),45978.0)</f>
        <v>45978</v>
      </c>
    </row>
    <row r="4413">
      <c r="A4413" s="6" t="str">
        <f>IFERROR(__xludf.DUMMYFUNCTION("""COMPUTED_VALUE"""),"121703258-7")</f>
        <v>121703258-7</v>
      </c>
      <c r="B4413" s="6" t="str">
        <f>IFERROR(__xludf.DUMMYFUNCTION("""COMPUTED_VALUE"""),"121703258 - APPROVED")</f>
        <v>121703258 - APPROVED</v>
      </c>
      <c r="C4413" s="6">
        <f>IFERROR(__xludf.DUMMYFUNCTION("""COMPUTED_VALUE"""),7.0)</f>
        <v>7</v>
      </c>
      <c r="D4413" s="6" t="str">
        <f>IFERROR(__xludf.DUMMYFUNCTION("""COMPUTED_VALUE"""),"P-20191-00")</f>
        <v>P-20191-00</v>
      </c>
      <c r="E4413" s="6" t="str">
        <f>IFERROR(__xludf.DUMMYFUNCTION("""COMPUTED_VALUE"""),"General - Besi CNP 100 x 50 x 2mm x 6000mm; No Brand; -; 1 batang")</f>
        <v>General - Besi CNP 100 x 50 x 2mm x 6000mm; No Brand; -; 1 batang</v>
      </c>
      <c r="F4413" s="6">
        <f>IFERROR(__xludf.DUMMYFUNCTION("""COMPUTED_VALUE"""),1.0)</f>
        <v>1</v>
      </c>
      <c r="G4413" s="6" t="str">
        <f>IFERROR(__xludf.DUMMYFUNCTION("""COMPUTED_VALUE"""),"Pieces")</f>
        <v>Pieces</v>
      </c>
      <c r="H4413" s="6" t="str">
        <f>IFERROR(__xludf.DUMMYFUNCTION("""COMPUTED_VALUE"""),"IDR")</f>
        <v>IDR</v>
      </c>
      <c r="I4413" s="6">
        <f>IFERROR(__xludf.DUMMYFUNCTION("""COMPUTED_VALUE"""),260000.0)</f>
        <v>260000</v>
      </c>
      <c r="J4413" s="6">
        <f>IFERROR(__xludf.DUMMYFUNCTION("""COMPUTED_VALUE"""),260000.0)</f>
        <v>260000</v>
      </c>
      <c r="K4413" s="57">
        <f>IFERROR(__xludf.DUMMYFUNCTION("""COMPUTED_VALUE"""),45954.0)</f>
        <v>45954</v>
      </c>
      <c r="L4413" s="6" t="str">
        <f>IFERROR(__xludf.DUMMYFUNCTION("""COMPUTED_VALUE"""),"FIP Engineering")</f>
        <v>FIP Engineering</v>
      </c>
      <c r="M4413" s="6" t="str">
        <f>IFERROR(__xludf.DUMMYFUNCTION("""COMPUTED_VALUE"""),"Mochammad Fadhillah Hakim,")</f>
        <v>Mochammad Fadhillah Hakim,</v>
      </c>
      <c r="N4413" s="6" t="str">
        <f>IFERROR(__xludf.DUMMYFUNCTION("""COMPUTED_VALUE"""),"FIP Engineering")</f>
        <v>FIP Engineering</v>
      </c>
      <c r="O4413" s="6" t="str">
        <f>IFERROR(__xludf.DUMMYFUNCTION("""COMPUTED_VALUE"""),"FIP-DOM-000-11304-OS00001-INA-000000")</f>
        <v>FIP-DOM-000-11304-OS00001-INA-000000</v>
      </c>
      <c r="P4413" s="6" t="str">
        <f>IFERROR(__xludf.DUMMYFUNCTION("""COMPUTED_VALUE"""),"PO Closed")</f>
        <v>PO Closed</v>
      </c>
      <c r="Q4413" s="6" t="str">
        <f>IFERROR(__xludf.DUMMYFUNCTION("""COMPUTED_VALUE"""),"GL2510473")</f>
        <v>GL2510473</v>
      </c>
      <c r="R4413" s="57">
        <f>IFERROR(__xludf.DUMMYFUNCTION("""COMPUTED_VALUE"""),45923.0)</f>
        <v>45923</v>
      </c>
      <c r="S4413" s="57">
        <f>IFERROR(__xludf.DUMMYFUNCTION("""COMPUTED_VALUE"""),45925.0)</f>
        <v>45925</v>
      </c>
      <c r="T4413" s="57">
        <f>IFERROR(__xludf.DUMMYFUNCTION("""COMPUTED_VALUE"""),45978.0)</f>
        <v>45978</v>
      </c>
    </row>
    <row r="4414">
      <c r="A4414" s="6" t="str">
        <f>IFERROR(__xludf.DUMMYFUNCTION("""COMPUTED_VALUE"""),"121703258-8")</f>
        <v>121703258-8</v>
      </c>
      <c r="B4414" s="6" t="str">
        <f>IFERROR(__xludf.DUMMYFUNCTION("""COMPUTED_VALUE"""),"121703258 - APPROVED")</f>
        <v>121703258 - APPROVED</v>
      </c>
      <c r="C4414" s="6">
        <f>IFERROR(__xludf.DUMMYFUNCTION("""COMPUTED_VALUE"""),8.0)</f>
        <v>8</v>
      </c>
      <c r="D4414" s="6" t="str">
        <f>IFERROR(__xludf.DUMMYFUNCTION("""COMPUTED_VALUE"""),"P-50427-00")</f>
        <v>P-50427-00</v>
      </c>
      <c r="E4414" s="6" t="str">
        <f>IFERROR(__xludf.DUMMYFUNCTION("""COMPUTED_VALUE"""),"Pilot Lamps / Red / 220 VAC / AD22-221DS / AXLE")</f>
        <v>Pilot Lamps / Red / 220 VAC / AD22-221DS / AXLE</v>
      </c>
      <c r="F4414" s="6">
        <f>IFERROR(__xludf.DUMMYFUNCTION("""COMPUTED_VALUE"""),1.0)</f>
        <v>1</v>
      </c>
      <c r="G4414" s="6" t="str">
        <f>IFERROR(__xludf.DUMMYFUNCTION("""COMPUTED_VALUE"""),"Pieces")</f>
        <v>Pieces</v>
      </c>
      <c r="H4414" s="6" t="str">
        <f>IFERROR(__xludf.DUMMYFUNCTION("""COMPUTED_VALUE"""),"IDR")</f>
        <v>IDR</v>
      </c>
      <c r="I4414" s="6">
        <f>IFERROR(__xludf.DUMMYFUNCTION("""COMPUTED_VALUE"""),19500.0)</f>
        <v>19500</v>
      </c>
      <c r="J4414" s="6">
        <f>IFERROR(__xludf.DUMMYFUNCTION("""COMPUTED_VALUE"""),19500.0)</f>
        <v>19500</v>
      </c>
      <c r="K4414" s="57">
        <f>IFERROR(__xludf.DUMMYFUNCTION("""COMPUTED_VALUE"""),45954.0)</f>
        <v>45954</v>
      </c>
      <c r="L4414" s="6" t="str">
        <f>IFERROR(__xludf.DUMMYFUNCTION("""COMPUTED_VALUE"""),"FIP Engineering")</f>
        <v>FIP Engineering</v>
      </c>
      <c r="M4414" s="6" t="str">
        <f>IFERROR(__xludf.DUMMYFUNCTION("""COMPUTED_VALUE"""),"Mochammad Fadhillah Hakim,")</f>
        <v>Mochammad Fadhillah Hakim,</v>
      </c>
      <c r="N4414" s="6" t="str">
        <f>IFERROR(__xludf.DUMMYFUNCTION("""COMPUTED_VALUE"""),"FIP Engineering")</f>
        <v>FIP Engineering</v>
      </c>
      <c r="O4414" s="6" t="str">
        <f>IFERROR(__xludf.DUMMYFUNCTION("""COMPUTED_VALUE"""),"FIP-DOM-000-11304-OS00001-INA-000000")</f>
        <v>FIP-DOM-000-11304-OS00001-INA-000000</v>
      </c>
      <c r="P4414" s="6" t="str">
        <f>IFERROR(__xludf.DUMMYFUNCTION("""COMPUTED_VALUE"""),"PO Closed")</f>
        <v>PO Closed</v>
      </c>
      <c r="Q4414" s="6" t="str">
        <f>IFERROR(__xludf.DUMMYFUNCTION("""COMPUTED_VALUE"""),"GL2510473")</f>
        <v>GL2510473</v>
      </c>
      <c r="R4414" s="57">
        <f>IFERROR(__xludf.DUMMYFUNCTION("""COMPUTED_VALUE"""),45923.0)</f>
        <v>45923</v>
      </c>
      <c r="S4414" s="57">
        <f>IFERROR(__xludf.DUMMYFUNCTION("""COMPUTED_VALUE"""),45925.0)</f>
        <v>45925</v>
      </c>
      <c r="T4414" s="57">
        <f>IFERROR(__xludf.DUMMYFUNCTION("""COMPUTED_VALUE"""),45978.0)</f>
        <v>45978</v>
      </c>
    </row>
    <row r="4415">
      <c r="A4415" s="6" t="str">
        <f>IFERROR(__xludf.DUMMYFUNCTION("""COMPUTED_VALUE"""),"121703258-9")</f>
        <v>121703258-9</v>
      </c>
      <c r="B4415" s="6" t="str">
        <f>IFERROR(__xludf.DUMMYFUNCTION("""COMPUTED_VALUE"""),"121703258 - APPROVED")</f>
        <v>121703258 - APPROVED</v>
      </c>
      <c r="C4415" s="6">
        <f>IFERROR(__xludf.DUMMYFUNCTION("""COMPUTED_VALUE"""),9.0)</f>
        <v>9</v>
      </c>
      <c r="D4415" s="6" t="str">
        <f>IFERROR(__xludf.DUMMYFUNCTION("""COMPUTED_VALUE"""),"P-50426-00")</f>
        <v>P-50426-00</v>
      </c>
      <c r="E4415" s="6" t="str">
        <f>IFERROR(__xludf.DUMMYFUNCTION("""COMPUTED_VALUE"""),"Pilot Lamps / Green / 220 VAC / AD22-22DS / AXLE")</f>
        <v>Pilot Lamps / Green / 220 VAC / AD22-22DS / AXLE</v>
      </c>
      <c r="F4415" s="6">
        <f>IFERROR(__xludf.DUMMYFUNCTION("""COMPUTED_VALUE"""),1.0)</f>
        <v>1</v>
      </c>
      <c r="G4415" s="6" t="str">
        <f>IFERROR(__xludf.DUMMYFUNCTION("""COMPUTED_VALUE"""),"Pieces")</f>
        <v>Pieces</v>
      </c>
      <c r="H4415" s="6" t="str">
        <f>IFERROR(__xludf.DUMMYFUNCTION("""COMPUTED_VALUE"""),"IDR")</f>
        <v>IDR</v>
      </c>
      <c r="I4415" s="6">
        <f>IFERROR(__xludf.DUMMYFUNCTION("""COMPUTED_VALUE"""),19500.0)</f>
        <v>19500</v>
      </c>
      <c r="J4415" s="6">
        <f>IFERROR(__xludf.DUMMYFUNCTION("""COMPUTED_VALUE"""),19500.0)</f>
        <v>19500</v>
      </c>
      <c r="K4415" s="57">
        <f>IFERROR(__xludf.DUMMYFUNCTION("""COMPUTED_VALUE"""),45954.0)</f>
        <v>45954</v>
      </c>
      <c r="L4415" s="6" t="str">
        <f>IFERROR(__xludf.DUMMYFUNCTION("""COMPUTED_VALUE"""),"FIP Engineering")</f>
        <v>FIP Engineering</v>
      </c>
      <c r="M4415" s="6" t="str">
        <f>IFERROR(__xludf.DUMMYFUNCTION("""COMPUTED_VALUE"""),"Mochammad Fadhillah Hakim,")</f>
        <v>Mochammad Fadhillah Hakim,</v>
      </c>
      <c r="N4415" s="6" t="str">
        <f>IFERROR(__xludf.DUMMYFUNCTION("""COMPUTED_VALUE"""),"FIP Engineering")</f>
        <v>FIP Engineering</v>
      </c>
      <c r="O4415" s="6" t="str">
        <f>IFERROR(__xludf.DUMMYFUNCTION("""COMPUTED_VALUE"""),"FIP-DOM-000-11304-OS00001-INA-000000")</f>
        <v>FIP-DOM-000-11304-OS00001-INA-000000</v>
      </c>
      <c r="P4415" s="6" t="str">
        <f>IFERROR(__xludf.DUMMYFUNCTION("""COMPUTED_VALUE"""),"PO Closed")</f>
        <v>PO Closed</v>
      </c>
      <c r="Q4415" s="6" t="str">
        <f>IFERROR(__xludf.DUMMYFUNCTION("""COMPUTED_VALUE"""),"GL2510473")</f>
        <v>GL2510473</v>
      </c>
      <c r="R4415" s="57">
        <f>IFERROR(__xludf.DUMMYFUNCTION("""COMPUTED_VALUE"""),45923.0)</f>
        <v>45923</v>
      </c>
      <c r="S4415" s="57">
        <f>IFERROR(__xludf.DUMMYFUNCTION("""COMPUTED_VALUE"""),45925.0)</f>
        <v>45925</v>
      </c>
      <c r="T4415" s="57">
        <f>IFERROR(__xludf.DUMMYFUNCTION("""COMPUTED_VALUE"""),45978.0)</f>
        <v>45978</v>
      </c>
    </row>
    <row r="4416">
      <c r="A4416" s="6" t="str">
        <f>IFERROR(__xludf.DUMMYFUNCTION("""COMPUTED_VALUE"""),"121703258-10")</f>
        <v>121703258-10</v>
      </c>
      <c r="B4416" s="6" t="str">
        <f>IFERROR(__xludf.DUMMYFUNCTION("""COMPUTED_VALUE"""),"121703258 - APPROVED")</f>
        <v>121703258 - APPROVED</v>
      </c>
      <c r="C4416" s="6">
        <f>IFERROR(__xludf.DUMMYFUNCTION("""COMPUTED_VALUE"""),10.0)</f>
        <v>10</v>
      </c>
      <c r="D4416" s="6" t="str">
        <f>IFERROR(__xludf.DUMMYFUNCTION("""COMPUTED_VALUE"""),"P-54410-00")</f>
        <v>P-54410-00</v>
      </c>
      <c r="E4416" s="6" t="str">
        <f>IFERROR(__xludf.DUMMYFUNCTION("""COMPUTED_VALUE"""),"General - Fuse Kaca 1.5A, 250V, 5 x 20mm; No Brand; -; 1 pc")</f>
        <v>General - Fuse Kaca 1.5A, 250V, 5 x 20mm; No Brand; -; 1 pc</v>
      </c>
      <c r="F4416" s="6">
        <f>IFERROR(__xludf.DUMMYFUNCTION("""COMPUTED_VALUE"""),20.0)</f>
        <v>20</v>
      </c>
      <c r="G4416" s="6" t="str">
        <f>IFERROR(__xludf.DUMMYFUNCTION("""COMPUTED_VALUE"""),"Pieces")</f>
        <v>Pieces</v>
      </c>
      <c r="H4416" s="6" t="str">
        <f>IFERROR(__xludf.DUMMYFUNCTION("""COMPUTED_VALUE"""),"IDR")</f>
        <v>IDR</v>
      </c>
      <c r="I4416" s="6">
        <f>IFERROR(__xludf.DUMMYFUNCTION("""COMPUTED_VALUE"""),2100.0)</f>
        <v>2100</v>
      </c>
      <c r="J4416" s="6">
        <f>IFERROR(__xludf.DUMMYFUNCTION("""COMPUTED_VALUE"""),42000.0)</f>
        <v>42000</v>
      </c>
      <c r="K4416" s="57">
        <f>IFERROR(__xludf.DUMMYFUNCTION("""COMPUTED_VALUE"""),45954.0)</f>
        <v>45954</v>
      </c>
      <c r="L4416" s="6" t="str">
        <f>IFERROR(__xludf.DUMMYFUNCTION("""COMPUTED_VALUE"""),"FIP Engineering")</f>
        <v>FIP Engineering</v>
      </c>
      <c r="M4416" s="6" t="str">
        <f>IFERROR(__xludf.DUMMYFUNCTION("""COMPUTED_VALUE"""),"Mochammad Fadhillah Hakim,")</f>
        <v>Mochammad Fadhillah Hakim,</v>
      </c>
      <c r="N4416" s="6" t="str">
        <f>IFERROR(__xludf.DUMMYFUNCTION("""COMPUTED_VALUE"""),"FIP Engineering")</f>
        <v>FIP Engineering</v>
      </c>
      <c r="O4416" s="6" t="str">
        <f>IFERROR(__xludf.DUMMYFUNCTION("""COMPUTED_VALUE"""),"FIP-DOM-000-11304-OS00001-INA-000000")</f>
        <v>FIP-DOM-000-11304-OS00001-INA-000000</v>
      </c>
      <c r="P4416" s="6" t="str">
        <f>IFERROR(__xludf.DUMMYFUNCTION("""COMPUTED_VALUE"""),"PO Closed")</f>
        <v>PO Closed</v>
      </c>
      <c r="Q4416" s="6" t="str">
        <f>IFERROR(__xludf.DUMMYFUNCTION("""COMPUTED_VALUE"""),"GL2510473")</f>
        <v>GL2510473</v>
      </c>
      <c r="R4416" s="57">
        <f>IFERROR(__xludf.DUMMYFUNCTION("""COMPUTED_VALUE"""),45923.0)</f>
        <v>45923</v>
      </c>
      <c r="S4416" s="57">
        <f>IFERROR(__xludf.DUMMYFUNCTION("""COMPUTED_VALUE"""),45925.0)</f>
        <v>45925</v>
      </c>
      <c r="T4416" s="57">
        <f>IFERROR(__xludf.DUMMYFUNCTION("""COMPUTED_VALUE"""),45978.0)</f>
        <v>45978</v>
      </c>
    </row>
    <row r="4417">
      <c r="A4417" s="6" t="str">
        <f>IFERROR(__xludf.DUMMYFUNCTION("""COMPUTED_VALUE"""),"121703259-1")</f>
        <v>121703259-1</v>
      </c>
      <c r="B4417" s="6" t="str">
        <f>IFERROR(__xludf.DUMMYFUNCTION("""COMPUTED_VALUE"""),"121703259 - APPROVED")</f>
        <v>121703259 - APPROVED</v>
      </c>
      <c r="C4417" s="6">
        <f>IFERROR(__xludf.DUMMYFUNCTION("""COMPUTED_VALUE"""),1.0)</f>
        <v>1</v>
      </c>
      <c r="D4417" s="6" t="str">
        <f>IFERROR(__xludf.DUMMYFUNCTION("""COMPUTED_VALUE"""),"Q-10946-00")</f>
        <v>Q-10946-00</v>
      </c>
      <c r="E4417" s="6" t="str">
        <f>IFERROR(__xludf.DUMMYFUNCTION("""COMPUTED_VALUE"""),"Silicone Sealant;Silglaze;Type N10 Light Grey;pack size per pcs")</f>
        <v>Silicone Sealant;Silglaze;Type N10 Light Grey;pack size per pcs</v>
      </c>
      <c r="F4417" s="6">
        <f>IFERROR(__xludf.DUMMYFUNCTION("""COMPUTED_VALUE"""),10.0)</f>
        <v>10</v>
      </c>
      <c r="G4417" s="6" t="str">
        <f>IFERROR(__xludf.DUMMYFUNCTION("""COMPUTED_VALUE"""),"Pieces")</f>
        <v>Pieces</v>
      </c>
      <c r="H4417" s="6" t="str">
        <f>IFERROR(__xludf.DUMMYFUNCTION("""COMPUTED_VALUE"""),"IDR")</f>
        <v>IDR</v>
      </c>
      <c r="I4417" s="6">
        <f>IFERROR(__xludf.DUMMYFUNCTION("""COMPUTED_VALUE"""),62500.0)</f>
        <v>62500</v>
      </c>
      <c r="J4417" s="6">
        <f>IFERROR(__xludf.DUMMYFUNCTION("""COMPUTED_VALUE"""),625000.0)</f>
        <v>625000</v>
      </c>
      <c r="K4417" s="57">
        <f>IFERROR(__xludf.DUMMYFUNCTION("""COMPUTED_VALUE"""),45954.0)</f>
        <v>45954</v>
      </c>
      <c r="L4417" s="6" t="str">
        <f>IFERROR(__xludf.DUMMYFUNCTION("""COMPUTED_VALUE"""),"FIP Engineering")</f>
        <v>FIP Engineering</v>
      </c>
      <c r="M4417" s="6" t="str">
        <f>IFERROR(__xludf.DUMMYFUNCTION("""COMPUTED_VALUE"""),"Mochammad Fadhillah Hakim,")</f>
        <v>Mochammad Fadhillah Hakim,</v>
      </c>
      <c r="N4417" s="6" t="str">
        <f>IFERROR(__xludf.DUMMYFUNCTION("""COMPUTED_VALUE"""),"FIP Engineering")</f>
        <v>FIP Engineering</v>
      </c>
      <c r="O4417" s="6" t="str">
        <f>IFERROR(__xludf.DUMMYFUNCTION("""COMPUTED_VALUE"""),"FIP-DOM-000-11304-OS00001-INA-000000")</f>
        <v>FIP-DOM-000-11304-OS00001-INA-000000</v>
      </c>
      <c r="P4417" s="6" t="str">
        <f>IFERROR(__xludf.DUMMYFUNCTION("""COMPUTED_VALUE"""),"PO Closed")</f>
        <v>PO Closed</v>
      </c>
      <c r="Q4417" s="6" t="str">
        <f>IFERROR(__xludf.DUMMYFUNCTION("""COMPUTED_VALUE"""),"GL2510015")</f>
        <v>GL2510015</v>
      </c>
      <c r="R4417" s="57">
        <f>IFERROR(__xludf.DUMMYFUNCTION("""COMPUTED_VALUE"""),45923.0)</f>
        <v>45923</v>
      </c>
      <c r="S4417" s="57">
        <f>IFERROR(__xludf.DUMMYFUNCTION("""COMPUTED_VALUE"""),45925.0)</f>
        <v>45925</v>
      </c>
      <c r="T4417" s="57">
        <f>IFERROR(__xludf.DUMMYFUNCTION("""COMPUTED_VALUE"""),45954.0)</f>
        <v>45954</v>
      </c>
    </row>
    <row r="4418">
      <c r="A4418" s="6" t="str">
        <f>IFERROR(__xludf.DUMMYFUNCTION("""COMPUTED_VALUE"""),"121703259-2")</f>
        <v>121703259-2</v>
      </c>
      <c r="B4418" s="6" t="str">
        <f>IFERROR(__xludf.DUMMYFUNCTION("""COMPUTED_VALUE"""),"121703259 - APPROVED")</f>
        <v>121703259 - APPROVED</v>
      </c>
      <c r="C4418" s="6">
        <f>IFERROR(__xludf.DUMMYFUNCTION("""COMPUTED_VALUE"""),2.0)</f>
        <v>2</v>
      </c>
      <c r="D4418" s="6" t="str">
        <f>IFERROR(__xludf.DUMMYFUNCTION("""COMPUTED_VALUE"""),"Q-60503-00")</f>
        <v>Q-60503-00</v>
      </c>
      <c r="E4418" s="6" t="str">
        <f>IFERROR(__xludf.DUMMYFUNCTION("""COMPUTED_VALUE"""),"Silicone Sealant, Silglaze, Type N10 Grey, pack size per pcs")</f>
        <v>Silicone Sealant, Silglaze, Type N10 Grey, pack size per pcs</v>
      </c>
      <c r="F4418" s="6">
        <f>IFERROR(__xludf.DUMMYFUNCTION("""COMPUTED_VALUE"""),10.0)</f>
        <v>10</v>
      </c>
      <c r="G4418" s="6" t="str">
        <f>IFERROR(__xludf.DUMMYFUNCTION("""COMPUTED_VALUE"""),"Pieces")</f>
        <v>Pieces</v>
      </c>
      <c r="H4418" s="6" t="str">
        <f>IFERROR(__xludf.DUMMYFUNCTION("""COMPUTED_VALUE"""),"IDR")</f>
        <v>IDR</v>
      </c>
      <c r="I4418" s="6">
        <f>IFERROR(__xludf.DUMMYFUNCTION("""COMPUTED_VALUE"""),39000.0)</f>
        <v>39000</v>
      </c>
      <c r="J4418" s="6">
        <f>IFERROR(__xludf.DUMMYFUNCTION("""COMPUTED_VALUE"""),390000.0)</f>
        <v>390000</v>
      </c>
      <c r="K4418" s="57">
        <f>IFERROR(__xludf.DUMMYFUNCTION("""COMPUTED_VALUE"""),45954.0)</f>
        <v>45954</v>
      </c>
      <c r="L4418" s="6" t="str">
        <f>IFERROR(__xludf.DUMMYFUNCTION("""COMPUTED_VALUE"""),"FIP Engineering")</f>
        <v>FIP Engineering</v>
      </c>
      <c r="M4418" s="6" t="str">
        <f>IFERROR(__xludf.DUMMYFUNCTION("""COMPUTED_VALUE"""),"Mochammad Fadhillah Hakim,")</f>
        <v>Mochammad Fadhillah Hakim,</v>
      </c>
      <c r="N4418" s="6" t="str">
        <f>IFERROR(__xludf.DUMMYFUNCTION("""COMPUTED_VALUE"""),"FIP Engineering")</f>
        <v>FIP Engineering</v>
      </c>
      <c r="O4418" s="6" t="str">
        <f>IFERROR(__xludf.DUMMYFUNCTION("""COMPUTED_VALUE"""),"FIP-DOM-000-11304-OS00001-INA-000000")</f>
        <v>FIP-DOM-000-11304-OS00001-INA-000000</v>
      </c>
      <c r="P4418" s="6" t="str">
        <f>IFERROR(__xludf.DUMMYFUNCTION("""COMPUTED_VALUE"""),"PO Closed")</f>
        <v>PO Closed</v>
      </c>
      <c r="Q4418" s="6" t="str">
        <f>IFERROR(__xludf.DUMMYFUNCTION("""COMPUTED_VALUE"""),"GL2510015")</f>
        <v>GL2510015</v>
      </c>
      <c r="R4418" s="57">
        <f>IFERROR(__xludf.DUMMYFUNCTION("""COMPUTED_VALUE"""),45923.0)</f>
        <v>45923</v>
      </c>
      <c r="S4418" s="57">
        <f>IFERROR(__xludf.DUMMYFUNCTION("""COMPUTED_VALUE"""),45925.0)</f>
        <v>45925</v>
      </c>
      <c r="T4418" s="57">
        <f>IFERROR(__xludf.DUMMYFUNCTION("""COMPUTED_VALUE"""),45954.0)</f>
        <v>45954</v>
      </c>
    </row>
    <row r="4419">
      <c r="A4419" s="6" t="str">
        <f>IFERROR(__xludf.DUMMYFUNCTION("""COMPUTED_VALUE"""),"121703259-3")</f>
        <v>121703259-3</v>
      </c>
      <c r="B4419" s="6" t="str">
        <f>IFERROR(__xludf.DUMMYFUNCTION("""COMPUTED_VALUE"""),"121703259 - APPROVED")</f>
        <v>121703259 - APPROVED</v>
      </c>
      <c r="C4419" s="6">
        <f>IFERROR(__xludf.DUMMYFUNCTION("""COMPUTED_VALUE"""),3.0)</f>
        <v>3</v>
      </c>
      <c r="D4419" s="6" t="str">
        <f>IFERROR(__xludf.DUMMYFUNCTION("""COMPUTED_VALUE"""),"Q-60502-00")</f>
        <v>Q-60502-00</v>
      </c>
      <c r="E4419" s="6" t="str">
        <f>IFERROR(__xludf.DUMMYFUNCTION("""COMPUTED_VALUE"""),"Silicone Sealant, Silglaze, Type N10 White, pack size per pcs")</f>
        <v>Silicone Sealant, Silglaze, Type N10 White, pack size per pcs</v>
      </c>
      <c r="F4419" s="6">
        <f>IFERROR(__xludf.DUMMYFUNCTION("""COMPUTED_VALUE"""),10.0)</f>
        <v>10</v>
      </c>
      <c r="G4419" s="6" t="str">
        <f>IFERROR(__xludf.DUMMYFUNCTION("""COMPUTED_VALUE"""),"Pieces")</f>
        <v>Pieces</v>
      </c>
      <c r="H4419" s="6" t="str">
        <f>IFERROR(__xludf.DUMMYFUNCTION("""COMPUTED_VALUE"""),"IDR")</f>
        <v>IDR</v>
      </c>
      <c r="I4419" s="6">
        <f>IFERROR(__xludf.DUMMYFUNCTION("""COMPUTED_VALUE"""),41000.0)</f>
        <v>41000</v>
      </c>
      <c r="J4419" s="6">
        <f>IFERROR(__xludf.DUMMYFUNCTION("""COMPUTED_VALUE"""),410000.0)</f>
        <v>410000</v>
      </c>
      <c r="K4419" s="57">
        <f>IFERROR(__xludf.DUMMYFUNCTION("""COMPUTED_VALUE"""),45954.0)</f>
        <v>45954</v>
      </c>
      <c r="L4419" s="6" t="str">
        <f>IFERROR(__xludf.DUMMYFUNCTION("""COMPUTED_VALUE"""),"FIP Engineering")</f>
        <v>FIP Engineering</v>
      </c>
      <c r="M4419" s="6" t="str">
        <f>IFERROR(__xludf.DUMMYFUNCTION("""COMPUTED_VALUE"""),"Mochammad Fadhillah Hakim,")</f>
        <v>Mochammad Fadhillah Hakim,</v>
      </c>
      <c r="N4419" s="6" t="str">
        <f>IFERROR(__xludf.DUMMYFUNCTION("""COMPUTED_VALUE"""),"FIP Engineering")</f>
        <v>FIP Engineering</v>
      </c>
      <c r="O4419" s="6" t="str">
        <f>IFERROR(__xludf.DUMMYFUNCTION("""COMPUTED_VALUE"""),"FIP-DOM-000-11304-OS00001-INA-000000")</f>
        <v>FIP-DOM-000-11304-OS00001-INA-000000</v>
      </c>
      <c r="P4419" s="6" t="str">
        <f>IFERROR(__xludf.DUMMYFUNCTION("""COMPUTED_VALUE"""),"PO Closed")</f>
        <v>PO Closed</v>
      </c>
      <c r="Q4419" s="6" t="str">
        <f>IFERROR(__xludf.DUMMYFUNCTION("""COMPUTED_VALUE"""),"GL2510015")</f>
        <v>GL2510015</v>
      </c>
      <c r="R4419" s="57">
        <f>IFERROR(__xludf.DUMMYFUNCTION("""COMPUTED_VALUE"""),45923.0)</f>
        <v>45923</v>
      </c>
      <c r="S4419" s="57">
        <f>IFERROR(__xludf.DUMMYFUNCTION("""COMPUTED_VALUE"""),45925.0)</f>
        <v>45925</v>
      </c>
      <c r="T4419" s="57">
        <f>IFERROR(__xludf.DUMMYFUNCTION("""COMPUTED_VALUE"""),45954.0)</f>
        <v>45954</v>
      </c>
    </row>
    <row r="4420">
      <c r="A4420" s="6" t="str">
        <f>IFERROR(__xludf.DUMMYFUNCTION("""COMPUTED_VALUE"""),"121703260-1")</f>
        <v>121703260-1</v>
      </c>
      <c r="B4420" s="6" t="str">
        <f>IFERROR(__xludf.DUMMYFUNCTION("""COMPUTED_VALUE"""),"121703260 - APPROVED")</f>
        <v>121703260 - APPROVED</v>
      </c>
      <c r="C4420" s="6">
        <f>IFERROR(__xludf.DUMMYFUNCTION("""COMPUTED_VALUE"""),1.0)</f>
        <v>1</v>
      </c>
      <c r="D4420" s="6" t="str">
        <f>IFERROR(__xludf.DUMMYFUNCTION("""COMPUTED_VALUE"""),"Q-60025-00")</f>
        <v>Q-60025-00</v>
      </c>
      <c r="E4420" s="6" t="str">
        <f>IFERROR(__xludf.DUMMYFUNCTION("""COMPUTED_VALUE"""),"Kuas Cat Uk. 1 inch;Eterna;Tipe 611;pack size per pcs")</f>
        <v>Kuas Cat Uk. 1 inch;Eterna;Tipe 611;pack size per pcs</v>
      </c>
      <c r="F4420" s="6">
        <f>IFERROR(__xludf.DUMMYFUNCTION("""COMPUTED_VALUE"""),30.0)</f>
        <v>30</v>
      </c>
      <c r="G4420" s="6" t="str">
        <f>IFERROR(__xludf.DUMMYFUNCTION("""COMPUTED_VALUE"""),"Pieces")</f>
        <v>Pieces</v>
      </c>
      <c r="H4420" s="6" t="str">
        <f>IFERROR(__xludf.DUMMYFUNCTION("""COMPUTED_VALUE"""),"IDR")</f>
        <v>IDR</v>
      </c>
      <c r="I4420" s="6">
        <f>IFERROR(__xludf.DUMMYFUNCTION("""COMPUTED_VALUE"""),2500.0)</f>
        <v>2500</v>
      </c>
      <c r="J4420" s="6">
        <f>IFERROR(__xludf.DUMMYFUNCTION("""COMPUTED_VALUE"""),75000.0)</f>
        <v>75000</v>
      </c>
      <c r="K4420" s="57">
        <f>IFERROR(__xludf.DUMMYFUNCTION("""COMPUTED_VALUE"""),45954.0)</f>
        <v>45954</v>
      </c>
      <c r="L4420" s="6" t="str">
        <f>IFERROR(__xludf.DUMMYFUNCTION("""COMPUTED_VALUE"""),"FIP General")</f>
        <v>FIP General</v>
      </c>
      <c r="M4420" s="6" t="str">
        <f>IFERROR(__xludf.DUMMYFUNCTION("""COMPUTED_VALUE"""),"Mochammad Fadhillah Hakim,")</f>
        <v>Mochammad Fadhillah Hakim,</v>
      </c>
      <c r="N4420" s="6" t="str">
        <f>IFERROR(__xludf.DUMMYFUNCTION("""COMPUTED_VALUE"""),"FIP Engineering")</f>
        <v>FIP Engineering</v>
      </c>
      <c r="O4420" s="6" t="str">
        <f>IFERROR(__xludf.DUMMYFUNCTION("""COMPUTED_VALUE"""),"FIP-DOM-ENG-51404-0000000-INA-000000")</f>
        <v>FIP-DOM-ENG-51404-0000000-INA-000000</v>
      </c>
      <c r="P4420" s="6" t="str">
        <f>IFERROR(__xludf.DUMMYFUNCTION("""COMPUTED_VALUE"""),"PO Closed")</f>
        <v>PO Closed</v>
      </c>
      <c r="Q4420" s="6" t="str">
        <f>IFERROR(__xludf.DUMMYFUNCTION("""COMPUTED_VALUE"""),"GL2510045")</f>
        <v>GL2510045</v>
      </c>
      <c r="R4420" s="57">
        <f>IFERROR(__xludf.DUMMYFUNCTION("""COMPUTED_VALUE"""),45923.0)</f>
        <v>45923</v>
      </c>
      <c r="S4420" s="57">
        <f>IFERROR(__xludf.DUMMYFUNCTION("""COMPUTED_VALUE"""),45925.0)</f>
        <v>45925</v>
      </c>
      <c r="T4420" s="57">
        <f>IFERROR(__xludf.DUMMYFUNCTION("""COMPUTED_VALUE"""),45966.0)</f>
        <v>45966</v>
      </c>
    </row>
    <row r="4421">
      <c r="A4421" s="6" t="str">
        <f>IFERROR(__xludf.DUMMYFUNCTION("""COMPUTED_VALUE"""),"121703261-1")</f>
        <v>121703261-1</v>
      </c>
      <c r="B4421" s="6" t="str">
        <f>IFERROR(__xludf.DUMMYFUNCTION("""COMPUTED_VALUE"""),"121703261 - APPROVED")</f>
        <v>121703261 - APPROVED</v>
      </c>
      <c r="C4421" s="6">
        <f>IFERROR(__xludf.DUMMYFUNCTION("""COMPUTED_VALUE"""),1.0)</f>
        <v>1</v>
      </c>
      <c r="D4421" s="6" t="str">
        <f>IFERROR(__xludf.DUMMYFUNCTION("""COMPUTED_VALUE"""),"S-21115-00")</f>
        <v>S-21115-00</v>
      </c>
      <c r="E4421" s="6" t="str">
        <f>IFERROR(__xludf.DUMMYFUNCTION("""COMPUTED_VALUE"""),"Safety Boots; Boots W/Steel Midsole Black; Krisbow; SRSB40LBLK; pack size per pairs")</f>
        <v>Safety Boots; Boots W/Steel Midsole Black; Krisbow; SRSB40LBLK; pack size per pairs</v>
      </c>
      <c r="F4421" s="6">
        <f>IFERROR(__xludf.DUMMYFUNCTION("""COMPUTED_VALUE"""),3.0)</f>
        <v>3</v>
      </c>
      <c r="G4421" s="6" t="str">
        <f>IFERROR(__xludf.DUMMYFUNCTION("""COMPUTED_VALUE"""),"Pair")</f>
        <v>Pair</v>
      </c>
      <c r="H4421" s="6" t="str">
        <f>IFERROR(__xludf.DUMMYFUNCTION("""COMPUTED_VALUE"""),"IDR")</f>
        <v>IDR</v>
      </c>
      <c r="I4421" s="6">
        <f>IFERROR(__xludf.DUMMYFUNCTION("""COMPUTED_VALUE"""),229500.0)</f>
        <v>229500</v>
      </c>
      <c r="J4421" s="6">
        <f>IFERROR(__xludf.DUMMYFUNCTION("""COMPUTED_VALUE"""),688500.0)</f>
        <v>688500</v>
      </c>
      <c r="K4421" s="57">
        <f>IFERROR(__xludf.DUMMYFUNCTION("""COMPUTED_VALUE"""),45954.0)</f>
        <v>45954</v>
      </c>
      <c r="L4421" s="6" t="str">
        <f>IFERROR(__xludf.DUMMYFUNCTION("""COMPUTED_VALUE"""),"FIP General")</f>
        <v>FIP General</v>
      </c>
      <c r="M4421" s="6" t="str">
        <f>IFERROR(__xludf.DUMMYFUNCTION("""COMPUTED_VALUE"""),"Mochammad Fadhillah Hakim,")</f>
        <v>Mochammad Fadhillah Hakim,</v>
      </c>
      <c r="N4421" s="6" t="str">
        <f>IFERROR(__xludf.DUMMYFUNCTION("""COMPUTED_VALUE"""),"FIP Engineering")</f>
        <v>FIP Engineering</v>
      </c>
      <c r="O4421" s="6" t="str">
        <f>IFERROR(__xludf.DUMMYFUNCTION("""COMPUTED_VALUE"""),"FIP-DOM-ENG-51202-0000000-INA-000000")</f>
        <v>FIP-DOM-ENG-51202-0000000-INA-000000</v>
      </c>
      <c r="P4421" s="6" t="str">
        <f>IFERROR(__xludf.DUMMYFUNCTION("""COMPUTED_VALUE"""),"PO Closed")</f>
        <v>PO Closed</v>
      </c>
      <c r="Q4421" s="6" t="str">
        <f>IFERROR(__xludf.DUMMYFUNCTION("""COMPUTED_VALUE"""),"GL2509051")</f>
        <v>GL2509051</v>
      </c>
      <c r="R4421" s="57">
        <f>IFERROR(__xludf.DUMMYFUNCTION("""COMPUTED_VALUE"""),45923.0)</f>
        <v>45923</v>
      </c>
      <c r="S4421" s="57">
        <f>IFERROR(__xludf.DUMMYFUNCTION("""COMPUTED_VALUE"""),45925.0)</f>
        <v>45925</v>
      </c>
      <c r="T4421" s="57">
        <f>IFERROR(__xludf.DUMMYFUNCTION("""COMPUTED_VALUE"""),45960.0)</f>
        <v>45960</v>
      </c>
    </row>
    <row r="4422">
      <c r="A4422" s="6" t="str">
        <f>IFERROR(__xludf.DUMMYFUNCTION("""COMPUTED_VALUE"""),"121703266-1")</f>
        <v>121703266-1</v>
      </c>
      <c r="B4422" s="6" t="str">
        <f>IFERROR(__xludf.DUMMYFUNCTION("""COMPUTED_VALUE"""),"121703266 - APPROVED")</f>
        <v>121703266 - APPROVED</v>
      </c>
      <c r="C4422" s="6">
        <f>IFERROR(__xludf.DUMMYFUNCTION("""COMPUTED_VALUE"""),1.0)</f>
        <v>1</v>
      </c>
      <c r="D4422" s="6" t="str">
        <f>IFERROR(__xludf.DUMMYFUNCTION("""COMPUTED_VALUE"""),"O-19340-00")</f>
        <v>O-19340-00</v>
      </c>
      <c r="E4422" s="6" t="str">
        <f>IFERROR(__xludf.DUMMYFUNCTION("""COMPUTED_VALUE"""),"Washing RAR4 - Guide Rell Outfeed, Machining Plate Material Pom Putih; ; ;")</f>
        <v>Washing RAR4 - Guide Rell Outfeed, Machining Plate Material Pom Putih; ; ;</v>
      </c>
      <c r="F4422" s="6">
        <f>IFERROR(__xludf.DUMMYFUNCTION("""COMPUTED_VALUE"""),1.0)</f>
        <v>1</v>
      </c>
      <c r="G4422" s="6" t="str">
        <f>IFERROR(__xludf.DUMMYFUNCTION("""COMPUTED_VALUE"""),"Pieces")</f>
        <v>Pieces</v>
      </c>
      <c r="H4422" s="6" t="str">
        <f>IFERROR(__xludf.DUMMYFUNCTION("""COMPUTED_VALUE"""),"IDR")</f>
        <v>IDR</v>
      </c>
      <c r="I4422" s="6">
        <f>IFERROR(__xludf.DUMMYFUNCTION("""COMPUTED_VALUE"""),809000.0)</f>
        <v>809000</v>
      </c>
      <c r="J4422" s="6">
        <f>IFERROR(__xludf.DUMMYFUNCTION("""COMPUTED_VALUE"""),809000.0)</f>
        <v>809000</v>
      </c>
      <c r="K4422" s="57">
        <f>IFERROR(__xludf.DUMMYFUNCTION("""COMPUTED_VALUE"""),45961.0)</f>
        <v>45961</v>
      </c>
      <c r="L4422" s="6" t="str">
        <f>IFERROR(__xludf.DUMMYFUNCTION("""COMPUTED_VALUE"""),"FIP Engineering")</f>
        <v>FIP Engineering</v>
      </c>
      <c r="M4422" s="6" t="str">
        <f>IFERROR(__xludf.DUMMYFUNCTION("""COMPUTED_VALUE"""),"Mochammad Fadhillah Hakim,")</f>
        <v>Mochammad Fadhillah Hakim,</v>
      </c>
      <c r="N4422" s="6" t="str">
        <f>IFERROR(__xludf.DUMMYFUNCTION("""COMPUTED_VALUE"""),"FIP Engineering")</f>
        <v>FIP Engineering</v>
      </c>
      <c r="O4422" s="6" t="str">
        <f>IFERROR(__xludf.DUMMYFUNCTION("""COMPUTED_VALUE"""),"FIP-DOM-000-11304-OS00001-INA-000000")</f>
        <v>FIP-DOM-000-11304-OS00001-INA-000000</v>
      </c>
      <c r="P4422" s="6" t="str">
        <f>IFERROR(__xludf.DUMMYFUNCTION("""COMPUTED_VALUE"""),"PO Closed")</f>
        <v>PO Closed</v>
      </c>
      <c r="Q4422" s="6" t="str">
        <f>IFERROR(__xludf.DUMMYFUNCTION("""COMPUTED_VALUE"""),"GL2510476")</f>
        <v>GL2510476</v>
      </c>
      <c r="R4422" s="57">
        <f>IFERROR(__xludf.DUMMYFUNCTION("""COMPUTED_VALUE"""),45928.0)</f>
        <v>45928</v>
      </c>
      <c r="S4422" s="57">
        <f>IFERROR(__xludf.DUMMYFUNCTION("""COMPUTED_VALUE"""),45929.0)</f>
        <v>45929</v>
      </c>
      <c r="T4422" s="57">
        <f>IFERROR(__xludf.DUMMYFUNCTION("""COMPUTED_VALUE"""),45991.0)</f>
        <v>45991</v>
      </c>
    </row>
    <row r="4423">
      <c r="A4423" s="6" t="str">
        <f>IFERROR(__xludf.DUMMYFUNCTION("""COMPUTED_VALUE"""),"121703266-2")</f>
        <v>121703266-2</v>
      </c>
      <c r="B4423" s="6" t="str">
        <f>IFERROR(__xludf.DUMMYFUNCTION("""COMPUTED_VALUE"""),"121703266 - APPROVED")</f>
        <v>121703266 - APPROVED</v>
      </c>
      <c r="C4423" s="6">
        <f>IFERROR(__xludf.DUMMYFUNCTION("""COMPUTED_VALUE"""),2.0)</f>
        <v>2</v>
      </c>
      <c r="D4423" s="6" t="str">
        <f>IFERROR(__xludf.DUMMYFUNCTION("""COMPUTED_VALUE"""),"O-19341-00")</f>
        <v>O-19341-00</v>
      </c>
      <c r="E4423" s="6" t="str">
        <f>IFERROR(__xludf.DUMMYFUNCTION("""COMPUTED_VALUE"""),"Washing RAR4 - Set Giude Rell Outfeed, Machining Plate Material Pom Putih; ; ;")</f>
        <v>Washing RAR4 - Set Giude Rell Outfeed, Machining Plate Material Pom Putih; ; ;</v>
      </c>
      <c r="F4423" s="6">
        <f>IFERROR(__xludf.DUMMYFUNCTION("""COMPUTED_VALUE"""),1.0)</f>
        <v>1</v>
      </c>
      <c r="G4423" s="6" t="str">
        <f>IFERROR(__xludf.DUMMYFUNCTION("""COMPUTED_VALUE"""),"Set")</f>
        <v>Set</v>
      </c>
      <c r="H4423" s="6" t="str">
        <f>IFERROR(__xludf.DUMMYFUNCTION("""COMPUTED_VALUE"""),"IDR")</f>
        <v>IDR</v>
      </c>
      <c r="I4423" s="6">
        <f>IFERROR(__xludf.DUMMYFUNCTION("""COMPUTED_VALUE"""),2659000.0)</f>
        <v>2659000</v>
      </c>
      <c r="J4423" s="6">
        <f>IFERROR(__xludf.DUMMYFUNCTION("""COMPUTED_VALUE"""),2659000.0)</f>
        <v>2659000</v>
      </c>
      <c r="K4423" s="57">
        <f>IFERROR(__xludf.DUMMYFUNCTION("""COMPUTED_VALUE"""),45961.0)</f>
        <v>45961</v>
      </c>
      <c r="L4423" s="6" t="str">
        <f>IFERROR(__xludf.DUMMYFUNCTION("""COMPUTED_VALUE"""),"FIP Engineering")</f>
        <v>FIP Engineering</v>
      </c>
      <c r="M4423" s="6" t="str">
        <f>IFERROR(__xludf.DUMMYFUNCTION("""COMPUTED_VALUE"""),"Mochammad Fadhillah Hakim,")</f>
        <v>Mochammad Fadhillah Hakim,</v>
      </c>
      <c r="N4423" s="6" t="str">
        <f>IFERROR(__xludf.DUMMYFUNCTION("""COMPUTED_VALUE"""),"FIP Engineering")</f>
        <v>FIP Engineering</v>
      </c>
      <c r="O4423" s="6" t="str">
        <f>IFERROR(__xludf.DUMMYFUNCTION("""COMPUTED_VALUE"""),"FIP-DOM-000-11304-OS00001-INA-000000")</f>
        <v>FIP-DOM-000-11304-OS00001-INA-000000</v>
      </c>
      <c r="P4423" s="6" t="str">
        <f>IFERROR(__xludf.DUMMYFUNCTION("""COMPUTED_VALUE"""),"PO Closed")</f>
        <v>PO Closed</v>
      </c>
      <c r="Q4423" s="6" t="str">
        <f>IFERROR(__xludf.DUMMYFUNCTION("""COMPUTED_VALUE"""),"GL2510476")</f>
        <v>GL2510476</v>
      </c>
      <c r="R4423" s="57">
        <f>IFERROR(__xludf.DUMMYFUNCTION("""COMPUTED_VALUE"""),45928.0)</f>
        <v>45928</v>
      </c>
      <c r="S4423" s="57">
        <f>IFERROR(__xludf.DUMMYFUNCTION("""COMPUTED_VALUE"""),45929.0)</f>
        <v>45929</v>
      </c>
      <c r="T4423" s="57">
        <f>IFERROR(__xludf.DUMMYFUNCTION("""COMPUTED_VALUE"""),45991.0)</f>
        <v>45991</v>
      </c>
    </row>
    <row r="4424">
      <c r="A4424" s="6" t="str">
        <f>IFERROR(__xludf.DUMMYFUNCTION("""COMPUTED_VALUE"""),"121703266-3")</f>
        <v>121703266-3</v>
      </c>
      <c r="B4424" s="6" t="str">
        <f>IFERROR(__xludf.DUMMYFUNCTION("""COMPUTED_VALUE"""),"121703266 - APPROVED")</f>
        <v>121703266 - APPROVED</v>
      </c>
      <c r="C4424" s="6">
        <f>IFERROR(__xludf.DUMMYFUNCTION("""COMPUTED_VALUE"""),3.0)</f>
        <v>3</v>
      </c>
      <c r="D4424" s="6" t="str">
        <f>IFERROR(__xludf.DUMMYFUNCTION("""COMPUTED_VALUE"""),"O-19342-00")</f>
        <v>O-19342-00</v>
      </c>
      <c r="E4424" s="6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F4424" s="6">
        <f>IFERROR(__xludf.DUMMYFUNCTION("""COMPUTED_VALUE"""),1.0)</f>
        <v>1</v>
      </c>
      <c r="G4424" s="6" t="str">
        <f>IFERROR(__xludf.DUMMYFUNCTION("""COMPUTED_VALUE"""),"Pieces")</f>
        <v>Pieces</v>
      </c>
      <c r="H4424" s="6" t="str">
        <f>IFERROR(__xludf.DUMMYFUNCTION("""COMPUTED_VALUE"""),"IDR")</f>
        <v>IDR</v>
      </c>
      <c r="I4424" s="6">
        <f>IFERROR(__xludf.DUMMYFUNCTION("""COMPUTED_VALUE"""),282000.0)</f>
        <v>282000</v>
      </c>
      <c r="J4424" s="6">
        <f>IFERROR(__xludf.DUMMYFUNCTION("""COMPUTED_VALUE"""),282000.0)</f>
        <v>282000</v>
      </c>
      <c r="K4424" s="57">
        <f>IFERROR(__xludf.DUMMYFUNCTION("""COMPUTED_VALUE"""),45961.0)</f>
        <v>45961</v>
      </c>
      <c r="L4424" s="6" t="str">
        <f>IFERROR(__xludf.DUMMYFUNCTION("""COMPUTED_VALUE"""),"FIP Engineering")</f>
        <v>FIP Engineering</v>
      </c>
      <c r="M4424" s="6" t="str">
        <f>IFERROR(__xludf.DUMMYFUNCTION("""COMPUTED_VALUE"""),"Mochammad Fadhillah Hakim,")</f>
        <v>Mochammad Fadhillah Hakim,</v>
      </c>
      <c r="N4424" s="6" t="str">
        <f>IFERROR(__xludf.DUMMYFUNCTION("""COMPUTED_VALUE"""),"FIP Engineering")</f>
        <v>FIP Engineering</v>
      </c>
      <c r="O4424" s="6" t="str">
        <f>IFERROR(__xludf.DUMMYFUNCTION("""COMPUTED_VALUE"""),"FIP-DOM-000-11304-OS00001-INA-000000")</f>
        <v>FIP-DOM-000-11304-OS00001-INA-000000</v>
      </c>
      <c r="P4424" s="6" t="str">
        <f>IFERROR(__xludf.DUMMYFUNCTION("""COMPUTED_VALUE"""),"PO Closed")</f>
        <v>PO Closed</v>
      </c>
      <c r="Q4424" s="6" t="str">
        <f>IFERROR(__xludf.DUMMYFUNCTION("""COMPUTED_VALUE"""),"GL2510476")</f>
        <v>GL2510476</v>
      </c>
      <c r="R4424" s="57">
        <f>IFERROR(__xludf.DUMMYFUNCTION("""COMPUTED_VALUE"""),45928.0)</f>
        <v>45928</v>
      </c>
      <c r="S4424" s="57">
        <f>IFERROR(__xludf.DUMMYFUNCTION("""COMPUTED_VALUE"""),45929.0)</f>
        <v>45929</v>
      </c>
      <c r="T4424" s="57">
        <f>IFERROR(__xludf.DUMMYFUNCTION("""COMPUTED_VALUE"""),45991.0)</f>
        <v>45991</v>
      </c>
    </row>
    <row r="4425">
      <c r="A4425" s="6" t="str">
        <f>IFERROR(__xludf.DUMMYFUNCTION("""COMPUTED_VALUE"""),"121703266-4")</f>
        <v>121703266-4</v>
      </c>
      <c r="B4425" s="6" t="str">
        <f>IFERROR(__xludf.DUMMYFUNCTION("""COMPUTED_VALUE"""),"121703266 - APPROVED")</f>
        <v>121703266 - APPROVED</v>
      </c>
      <c r="C4425" s="6">
        <f>IFERROR(__xludf.DUMMYFUNCTION("""COMPUTED_VALUE"""),4.0)</f>
        <v>4</v>
      </c>
      <c r="D4425" s="6" t="str">
        <f>IFERROR(__xludf.DUMMYFUNCTION("""COMPUTED_VALUE"""),"O-19862-00")</f>
        <v>O-19862-00</v>
      </c>
      <c r="E4425" s="6" t="str">
        <f>IFERROR(__xludf.DUMMYFUNCTION("""COMPUTED_VALUE"""),"Capping VCM200 - Transfer Plate material SS304Custom")</f>
        <v>Capping VCM200 - Transfer Plate material SS304Custom</v>
      </c>
      <c r="F4425" s="6">
        <f>IFERROR(__xludf.DUMMYFUNCTION("""COMPUTED_VALUE"""),20.0)</f>
        <v>20</v>
      </c>
      <c r="G4425" s="6" t="str">
        <f>IFERROR(__xludf.DUMMYFUNCTION("""COMPUTED_VALUE"""),"Pieces")</f>
        <v>Pieces</v>
      </c>
      <c r="H4425" s="6" t="str">
        <f>IFERROR(__xludf.DUMMYFUNCTION("""COMPUTED_VALUE"""),"IDR")</f>
        <v>IDR</v>
      </c>
      <c r="I4425" s="6">
        <f>IFERROR(__xludf.DUMMYFUNCTION("""COMPUTED_VALUE"""),348750.0)</f>
        <v>348750</v>
      </c>
      <c r="J4425" s="6">
        <f>IFERROR(__xludf.DUMMYFUNCTION("""COMPUTED_VALUE"""),6975000.0)</f>
        <v>6975000</v>
      </c>
      <c r="K4425" s="57">
        <f>IFERROR(__xludf.DUMMYFUNCTION("""COMPUTED_VALUE"""),45961.0)</f>
        <v>45961</v>
      </c>
      <c r="L4425" s="6" t="str">
        <f>IFERROR(__xludf.DUMMYFUNCTION("""COMPUTED_VALUE"""),"FIP Engineering")</f>
        <v>FIP Engineering</v>
      </c>
      <c r="M4425" s="6" t="str">
        <f>IFERROR(__xludf.DUMMYFUNCTION("""COMPUTED_VALUE"""),"Mochammad Fadhillah Hakim,")</f>
        <v>Mochammad Fadhillah Hakim,</v>
      </c>
      <c r="N4425" s="6" t="str">
        <f>IFERROR(__xludf.DUMMYFUNCTION("""COMPUTED_VALUE"""),"FIP Engineering")</f>
        <v>FIP Engineering</v>
      </c>
      <c r="O4425" s="6" t="str">
        <f>IFERROR(__xludf.DUMMYFUNCTION("""COMPUTED_VALUE"""),"FIP-DOM-000-11304-OS00001-INA-000000")</f>
        <v>FIP-DOM-000-11304-OS00001-INA-000000</v>
      </c>
      <c r="P4425" s="6" t="str">
        <f>IFERROR(__xludf.DUMMYFUNCTION("""COMPUTED_VALUE"""),"PO Closed")</f>
        <v>PO Closed</v>
      </c>
      <c r="Q4425" s="6" t="str">
        <f>IFERROR(__xludf.DUMMYFUNCTION("""COMPUTED_VALUE"""),"GL2510476")</f>
        <v>GL2510476</v>
      </c>
      <c r="R4425" s="57">
        <f>IFERROR(__xludf.DUMMYFUNCTION("""COMPUTED_VALUE"""),45928.0)</f>
        <v>45928</v>
      </c>
      <c r="S4425" s="57">
        <f>IFERROR(__xludf.DUMMYFUNCTION("""COMPUTED_VALUE"""),45929.0)</f>
        <v>45929</v>
      </c>
      <c r="T4425" s="57">
        <f>IFERROR(__xludf.DUMMYFUNCTION("""COMPUTED_VALUE"""),45991.0)</f>
        <v>45991</v>
      </c>
    </row>
    <row r="4426">
      <c r="A4426" s="6" t="str">
        <f>IFERROR(__xludf.DUMMYFUNCTION("""COMPUTED_VALUE"""),"121703266-5")</f>
        <v>121703266-5</v>
      </c>
      <c r="B4426" s="6" t="str">
        <f>IFERROR(__xludf.DUMMYFUNCTION("""COMPUTED_VALUE"""),"121703266 - APPROVED")</f>
        <v>121703266 - APPROVED</v>
      </c>
      <c r="C4426" s="6">
        <f>IFERROR(__xludf.DUMMYFUNCTION("""COMPUTED_VALUE"""),5.0)</f>
        <v>5</v>
      </c>
      <c r="D4426" s="6" t="str">
        <f>IFERROR(__xludf.DUMMYFUNCTION("""COMPUTED_VALUE"""),"O-19894-00")</f>
        <v>O-19894-00</v>
      </c>
      <c r="E4426" s="6" t="str">
        <f>IFERROR(__xludf.DUMMYFUNCTION("""COMPUTED_VALUE"""),"Capping VCM200 - Guide Starwheel Vial Pom hitam 319x329x17 mm; Custom; ;")</f>
        <v>Capping VCM200 - Guide Starwheel Vial Pom hitam 319x329x17 mm; Custom; ;</v>
      </c>
      <c r="F4426" s="6">
        <f>IFERROR(__xludf.DUMMYFUNCTION("""COMPUTED_VALUE"""),1.0)</f>
        <v>1</v>
      </c>
      <c r="G4426" s="6" t="str">
        <f>IFERROR(__xludf.DUMMYFUNCTION("""COMPUTED_VALUE"""),"Pieces")</f>
        <v>Pieces</v>
      </c>
      <c r="H4426" s="6" t="str">
        <f>IFERROR(__xludf.DUMMYFUNCTION("""COMPUTED_VALUE"""),"IDR")</f>
        <v>IDR</v>
      </c>
      <c r="I4426" s="6">
        <f>IFERROR(__xludf.DUMMYFUNCTION("""COMPUTED_VALUE"""),4265900.0)</f>
        <v>4265900</v>
      </c>
      <c r="J4426" s="6">
        <f>IFERROR(__xludf.DUMMYFUNCTION("""COMPUTED_VALUE"""),4265900.0)</f>
        <v>4265900</v>
      </c>
      <c r="K4426" s="57">
        <f>IFERROR(__xludf.DUMMYFUNCTION("""COMPUTED_VALUE"""),45961.0)</f>
        <v>45961</v>
      </c>
      <c r="L4426" s="6" t="str">
        <f>IFERROR(__xludf.DUMMYFUNCTION("""COMPUTED_VALUE"""),"FIP Engineering")</f>
        <v>FIP Engineering</v>
      </c>
      <c r="M4426" s="6" t="str">
        <f>IFERROR(__xludf.DUMMYFUNCTION("""COMPUTED_VALUE"""),"Mochammad Fadhillah Hakim,")</f>
        <v>Mochammad Fadhillah Hakim,</v>
      </c>
      <c r="N4426" s="6" t="str">
        <f>IFERROR(__xludf.DUMMYFUNCTION("""COMPUTED_VALUE"""),"FIP Engineering")</f>
        <v>FIP Engineering</v>
      </c>
      <c r="O4426" s="6" t="str">
        <f>IFERROR(__xludf.DUMMYFUNCTION("""COMPUTED_VALUE"""),"FIP-DOM-000-11304-OS00001-INA-000000")</f>
        <v>FIP-DOM-000-11304-OS00001-INA-000000</v>
      </c>
      <c r="P4426" s="6" t="str">
        <f>IFERROR(__xludf.DUMMYFUNCTION("""COMPUTED_VALUE"""),"PO Closed")</f>
        <v>PO Closed</v>
      </c>
      <c r="Q4426" s="6" t="str">
        <f>IFERROR(__xludf.DUMMYFUNCTION("""COMPUTED_VALUE"""),"GL2510476")</f>
        <v>GL2510476</v>
      </c>
      <c r="R4426" s="57">
        <f>IFERROR(__xludf.DUMMYFUNCTION("""COMPUTED_VALUE"""),45928.0)</f>
        <v>45928</v>
      </c>
      <c r="S4426" s="57">
        <f>IFERROR(__xludf.DUMMYFUNCTION("""COMPUTED_VALUE"""),45929.0)</f>
        <v>45929</v>
      </c>
      <c r="T4426" s="57">
        <f>IFERROR(__xludf.DUMMYFUNCTION("""COMPUTED_VALUE"""),45991.0)</f>
        <v>45991</v>
      </c>
    </row>
    <row r="4427">
      <c r="A4427" s="6" t="str">
        <f>IFERROR(__xludf.DUMMYFUNCTION("""COMPUTED_VALUE"""),"121703267-1")</f>
        <v>121703267-1</v>
      </c>
      <c r="B4427" s="6" t="str">
        <f>IFERROR(__xludf.DUMMYFUNCTION("""COMPUTED_VALUE"""),"121703267 - APPROVED")</f>
        <v>121703267 - APPROVED</v>
      </c>
      <c r="C4427" s="6">
        <f>IFERROR(__xludf.DUMMYFUNCTION("""COMPUTED_VALUE"""),1.0)</f>
        <v>1</v>
      </c>
      <c r="D4427" s="6" t="str">
        <f>IFERROR(__xludf.DUMMYFUNCTION("""COMPUTED_VALUE"""),"O-20041-00")</f>
        <v>O-20041-00</v>
      </c>
      <c r="E4427" s="6" t="str">
        <f>IFERROR(__xludf.DUMMYFUNCTION("""COMPUTED_VALUE"""),"Capping VCM200 - Bearing NKIA5902; INA; ;")</f>
        <v>Capping VCM200 - Bearing NKIA5902; INA; ;</v>
      </c>
      <c r="F4427" s="6">
        <f>IFERROR(__xludf.DUMMYFUNCTION("""COMPUTED_VALUE"""),40.0)</f>
        <v>40</v>
      </c>
      <c r="G4427" s="6" t="str">
        <f>IFERROR(__xludf.DUMMYFUNCTION("""COMPUTED_VALUE"""),"Pieces")</f>
        <v>Pieces</v>
      </c>
      <c r="H4427" s="6" t="str">
        <f>IFERROR(__xludf.DUMMYFUNCTION("""COMPUTED_VALUE"""),"IDR")</f>
        <v>IDR</v>
      </c>
      <c r="I4427" s="6">
        <f>IFERROR(__xludf.DUMMYFUNCTION("""COMPUTED_VALUE"""),210675.0)</f>
        <v>210675</v>
      </c>
      <c r="J4427" s="6">
        <f>IFERROR(__xludf.DUMMYFUNCTION("""COMPUTED_VALUE"""),8427000.0)</f>
        <v>8427000</v>
      </c>
      <c r="K4427" s="57">
        <f>IFERROR(__xludf.DUMMYFUNCTION("""COMPUTED_VALUE"""),45961.0)</f>
        <v>45961</v>
      </c>
      <c r="L4427" s="6" t="str">
        <f>IFERROR(__xludf.DUMMYFUNCTION("""COMPUTED_VALUE"""),"FIP Engineering")</f>
        <v>FIP Engineering</v>
      </c>
      <c r="M4427" s="6" t="str">
        <f>IFERROR(__xludf.DUMMYFUNCTION("""COMPUTED_VALUE"""),"Mochammad Fadhillah Hakim,")</f>
        <v>Mochammad Fadhillah Hakim,</v>
      </c>
      <c r="N4427" s="6" t="str">
        <f>IFERROR(__xludf.DUMMYFUNCTION("""COMPUTED_VALUE"""),"FIP Engineering")</f>
        <v>FIP Engineering</v>
      </c>
      <c r="O4427" s="6" t="str">
        <f>IFERROR(__xludf.DUMMYFUNCTION("""COMPUTED_VALUE"""),"FIP-DOM-000-11304-OS00001-INA-000000")</f>
        <v>FIP-DOM-000-11304-OS00001-INA-000000</v>
      </c>
      <c r="P4427" s="6" t="str">
        <f>IFERROR(__xludf.DUMMYFUNCTION("""COMPUTED_VALUE"""),"PO Closed")</f>
        <v>PO Closed</v>
      </c>
      <c r="Q4427" s="6" t="str">
        <f>IFERROR(__xludf.DUMMYFUNCTION("""COMPUTED_VALUE"""),"GL2510477")</f>
        <v>GL2510477</v>
      </c>
      <c r="R4427" s="57">
        <f>IFERROR(__xludf.DUMMYFUNCTION("""COMPUTED_VALUE"""),45928.0)</f>
        <v>45928</v>
      </c>
      <c r="S4427" s="57">
        <f>IFERROR(__xludf.DUMMYFUNCTION("""COMPUTED_VALUE"""),45929.0)</f>
        <v>45929</v>
      </c>
      <c r="T4427" s="57">
        <f>IFERROR(__xludf.DUMMYFUNCTION("""COMPUTED_VALUE"""),46001.0)</f>
        <v>46001</v>
      </c>
    </row>
    <row r="4428">
      <c r="A4428" s="6" t="str">
        <f>IFERROR(__xludf.DUMMYFUNCTION("""COMPUTED_VALUE"""),"121703269-1")</f>
        <v>121703269-1</v>
      </c>
      <c r="B4428" s="6" t="str">
        <f>IFERROR(__xludf.DUMMYFUNCTION("""COMPUTED_VALUE"""),"121703269 - APPROVED")</f>
        <v>121703269 - APPROVED</v>
      </c>
      <c r="C4428" s="6">
        <f>IFERROR(__xludf.DUMMYFUNCTION("""COMPUTED_VALUE"""),1.0)</f>
        <v>1</v>
      </c>
      <c r="D4428" s="6" t="str">
        <f>IFERROR(__xludf.DUMMYFUNCTION("""COMPUTED_VALUE"""),"O-19384-00")</f>
        <v>O-19384-00</v>
      </c>
      <c r="E4428" s="6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F4428" s="6">
        <f>IFERROR(__xludf.DUMMYFUNCTION("""COMPUTED_VALUE"""),2.0)</f>
        <v>2</v>
      </c>
      <c r="G4428" s="6" t="str">
        <f>IFERROR(__xludf.DUMMYFUNCTION("""COMPUTED_VALUE"""),"Pieces")</f>
        <v>Pieces</v>
      </c>
      <c r="H4428" s="6" t="str">
        <f>IFERROR(__xludf.DUMMYFUNCTION("""COMPUTED_VALUE"""),"IDR")</f>
        <v>IDR</v>
      </c>
      <c r="I4428" s="6">
        <f>IFERROR(__xludf.DUMMYFUNCTION("""COMPUTED_VALUE"""),550000.0)</f>
        <v>550000</v>
      </c>
      <c r="J4428" s="6">
        <f>IFERROR(__xludf.DUMMYFUNCTION("""COMPUTED_VALUE"""),1100000.0)</f>
        <v>1100000</v>
      </c>
      <c r="K4428" s="57">
        <f>IFERROR(__xludf.DUMMYFUNCTION("""COMPUTED_VALUE"""),45961.0)</f>
        <v>45961</v>
      </c>
      <c r="L4428" s="6" t="str">
        <f>IFERROR(__xludf.DUMMYFUNCTION("""COMPUTED_VALUE"""),"FIP Engineering")</f>
        <v>FIP Engineering</v>
      </c>
      <c r="M4428" s="6" t="str">
        <f>IFERROR(__xludf.DUMMYFUNCTION("""COMPUTED_VALUE"""),"Mochammad Fadhillah Hakim,")</f>
        <v>Mochammad Fadhillah Hakim,</v>
      </c>
      <c r="N4428" s="6" t="str">
        <f>IFERROR(__xludf.DUMMYFUNCTION("""COMPUTED_VALUE"""),"FIP Engineering")</f>
        <v>FIP Engineering</v>
      </c>
      <c r="O4428" s="6" t="str">
        <f>IFERROR(__xludf.DUMMYFUNCTION("""COMPUTED_VALUE"""),"FIP-DOM-000-11304-OS00001-INA-000000")</f>
        <v>FIP-DOM-000-11304-OS00001-INA-000000</v>
      </c>
      <c r="P4428" s="6" t="str">
        <f>IFERROR(__xludf.DUMMYFUNCTION("""COMPUTED_VALUE"""),"PO Closed")</f>
        <v>PO Closed</v>
      </c>
      <c r="Q4428" s="6" t="str">
        <f>IFERROR(__xludf.DUMMYFUNCTION("""COMPUTED_VALUE"""),"GL2510480")</f>
        <v>GL2510480</v>
      </c>
      <c r="R4428" s="57">
        <f>IFERROR(__xludf.DUMMYFUNCTION("""COMPUTED_VALUE"""),45928.0)</f>
        <v>45928</v>
      </c>
      <c r="S4428" s="57">
        <f>IFERROR(__xludf.DUMMYFUNCTION("""COMPUTED_VALUE"""),45929.0)</f>
        <v>45929</v>
      </c>
      <c r="T4428" s="57">
        <f>IFERROR(__xludf.DUMMYFUNCTION("""COMPUTED_VALUE"""),46022.0)</f>
        <v>46022</v>
      </c>
    </row>
    <row r="4429">
      <c r="A4429" s="6" t="str">
        <f>IFERROR(__xludf.DUMMYFUNCTION("""COMPUTED_VALUE"""),"121703270-1")</f>
        <v>121703270-1</v>
      </c>
      <c r="B4429" s="6" t="str">
        <f>IFERROR(__xludf.DUMMYFUNCTION("""COMPUTED_VALUE"""),"121703270 - APPROVED")</f>
        <v>121703270 - APPROVED</v>
      </c>
      <c r="C4429" s="6">
        <f>IFERROR(__xludf.DUMMYFUNCTION("""COMPUTED_VALUE"""),1.0)</f>
        <v>1</v>
      </c>
      <c r="D4429" s="6" t="str">
        <f>IFERROR(__xludf.DUMMYFUNCTION("""COMPUTED_VALUE"""),"O-19373-00")</f>
        <v>O-19373-00</v>
      </c>
      <c r="E4429" s="6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F4429" s="6">
        <f>IFERROR(__xludf.DUMMYFUNCTION("""COMPUTED_VALUE"""),1.0)</f>
        <v>1</v>
      </c>
      <c r="G4429" s="6" t="str">
        <f>IFERROR(__xludf.DUMMYFUNCTION("""COMPUTED_VALUE"""),"Pieces")</f>
        <v>Pieces</v>
      </c>
      <c r="H4429" s="6" t="str">
        <f>IFERROR(__xludf.DUMMYFUNCTION("""COMPUTED_VALUE"""),"IDR")</f>
        <v>IDR</v>
      </c>
      <c r="I4429" s="6">
        <f>IFERROR(__xludf.DUMMYFUNCTION("""COMPUTED_VALUE"""),1377500.0)</f>
        <v>1377500</v>
      </c>
      <c r="J4429" s="6">
        <f>IFERROR(__xludf.DUMMYFUNCTION("""COMPUTED_VALUE"""),1377500.0)</f>
        <v>1377500</v>
      </c>
      <c r="K4429" s="57">
        <f>IFERROR(__xludf.DUMMYFUNCTION("""COMPUTED_VALUE"""),45961.0)</f>
        <v>45961</v>
      </c>
      <c r="L4429" s="6" t="str">
        <f>IFERROR(__xludf.DUMMYFUNCTION("""COMPUTED_VALUE"""),"FIP Engineering")</f>
        <v>FIP Engineering</v>
      </c>
      <c r="M4429" s="6" t="str">
        <f>IFERROR(__xludf.DUMMYFUNCTION("""COMPUTED_VALUE"""),"Mochammad Fadhillah Hakim,")</f>
        <v>Mochammad Fadhillah Hakim,</v>
      </c>
      <c r="N4429" s="6" t="str">
        <f>IFERROR(__xludf.DUMMYFUNCTION("""COMPUTED_VALUE"""),"FIP Engineering")</f>
        <v>FIP Engineering</v>
      </c>
      <c r="O4429" s="6" t="str">
        <f>IFERROR(__xludf.DUMMYFUNCTION("""COMPUTED_VALUE"""),"FIP-DOM-000-11304-OS00001-INA-000000")</f>
        <v>FIP-DOM-000-11304-OS00001-INA-000000</v>
      </c>
      <c r="P4429" s="6" t="str">
        <f>IFERROR(__xludf.DUMMYFUNCTION("""COMPUTED_VALUE"""),"PO Closed")</f>
        <v>PO Closed</v>
      </c>
      <c r="Q4429" s="6" t="str">
        <f>IFERROR(__xludf.DUMMYFUNCTION("""COMPUTED_VALUE"""),"GL2510481")</f>
        <v>GL2510481</v>
      </c>
      <c r="R4429" s="57">
        <f>IFERROR(__xludf.DUMMYFUNCTION("""COMPUTED_VALUE"""),45928.0)</f>
        <v>45928</v>
      </c>
      <c r="S4429" s="57">
        <f>IFERROR(__xludf.DUMMYFUNCTION("""COMPUTED_VALUE"""),45929.0)</f>
        <v>45929</v>
      </c>
      <c r="T4429" s="57">
        <f>IFERROR(__xludf.DUMMYFUNCTION("""COMPUTED_VALUE"""),45971.0)</f>
        <v>45971</v>
      </c>
    </row>
    <row r="4430">
      <c r="A4430" s="6" t="str">
        <f>IFERROR(__xludf.DUMMYFUNCTION("""COMPUTED_VALUE"""),"121703271-1")</f>
        <v>121703271-1</v>
      </c>
      <c r="B4430" s="6" t="str">
        <f>IFERROR(__xludf.DUMMYFUNCTION("""COMPUTED_VALUE"""),"121703271 - APPROVED")</f>
        <v>121703271 - APPROVED</v>
      </c>
      <c r="C4430" s="6">
        <f>IFERROR(__xludf.DUMMYFUNCTION("""COMPUTED_VALUE"""),1.0)</f>
        <v>1</v>
      </c>
      <c r="D4430" s="6" t="str">
        <f>IFERROR(__xludf.DUMMYFUNCTION("""COMPUTED_VALUE"""),"O-51775-00")</f>
        <v>O-51775-00</v>
      </c>
      <c r="E4430" s="6" t="str">
        <f>IFERROR(__xludf.DUMMYFUNCTION("""COMPUTED_VALUE"""),"WAGO 750-461 2-CHANNEL ANALOG INPUT MODULE STD PACK: 1EA; ; ;")</f>
        <v>WAGO 750-461 2-CHANNEL ANALOG INPUT MODULE STD PACK: 1EA; ; ;</v>
      </c>
      <c r="F4430" s="6">
        <f>IFERROR(__xludf.DUMMYFUNCTION("""COMPUTED_VALUE"""),1.0)</f>
        <v>1</v>
      </c>
      <c r="G4430" s="6" t="str">
        <f>IFERROR(__xludf.DUMMYFUNCTION("""COMPUTED_VALUE"""),"Unit")</f>
        <v>Unit</v>
      </c>
      <c r="H4430" s="6" t="str">
        <f>IFERROR(__xludf.DUMMYFUNCTION("""COMPUTED_VALUE"""),"IDR")</f>
        <v>IDR</v>
      </c>
      <c r="I4430" s="6">
        <f>IFERROR(__xludf.DUMMYFUNCTION("""COMPUTED_VALUE"""),5640872.0)</f>
        <v>5640872</v>
      </c>
      <c r="J4430" s="6">
        <f>IFERROR(__xludf.DUMMYFUNCTION("""COMPUTED_VALUE"""),5640872.0)</f>
        <v>5640872</v>
      </c>
      <c r="K4430" s="57">
        <f>IFERROR(__xludf.DUMMYFUNCTION("""COMPUTED_VALUE"""),45961.0)</f>
        <v>45961</v>
      </c>
      <c r="L4430" s="6" t="str">
        <f>IFERROR(__xludf.DUMMYFUNCTION("""COMPUTED_VALUE"""),"FIP General")</f>
        <v>FIP General</v>
      </c>
      <c r="M4430" s="6" t="str">
        <f>IFERROR(__xludf.DUMMYFUNCTION("""COMPUTED_VALUE"""),"Mochammad Fadhillah Hakim,")</f>
        <v>Mochammad Fadhillah Hakim,</v>
      </c>
      <c r="N4430" s="6" t="str">
        <f>IFERROR(__xludf.DUMMYFUNCTION("""COMPUTED_VALUE"""),"FIP Engineering")</f>
        <v>FIP Engineering</v>
      </c>
      <c r="O4430" s="6" t="str">
        <f>IFERROR(__xludf.DUMMYFUNCTION("""COMPUTED_VALUE"""),"FIP-DOM-ENG-51504-0000000-INA-000000")</f>
        <v>FIP-DOM-ENG-51504-0000000-INA-000000</v>
      </c>
      <c r="P4430" s="6" t="str">
        <f>IFERROR(__xludf.DUMMYFUNCTION("""COMPUTED_VALUE"""),"PO Closed")</f>
        <v>PO Closed</v>
      </c>
      <c r="Q4430" s="6" t="str">
        <f>IFERROR(__xludf.DUMMYFUNCTION("""COMPUTED_VALUE"""),"GL2510475")</f>
        <v>GL2510475</v>
      </c>
      <c r="R4430" s="57">
        <f>IFERROR(__xludf.DUMMYFUNCTION("""COMPUTED_VALUE"""),45928.0)</f>
        <v>45928</v>
      </c>
      <c r="S4430" s="57">
        <f>IFERROR(__xludf.DUMMYFUNCTION("""COMPUTED_VALUE"""),45929.0)</f>
        <v>45929</v>
      </c>
      <c r="T4430" s="57">
        <f>IFERROR(__xludf.DUMMYFUNCTION("""COMPUTED_VALUE"""),45971.0)</f>
        <v>45971</v>
      </c>
    </row>
    <row r="4431">
      <c r="A4431" s="6" t="str">
        <f>IFERROR(__xludf.DUMMYFUNCTION("""COMPUTED_VALUE"""),"121703272-1")</f>
        <v>121703272-1</v>
      </c>
      <c r="B4431" s="6" t="str">
        <f>IFERROR(__xludf.DUMMYFUNCTION("""COMPUTED_VALUE"""),"121703272 - APPROVED")</f>
        <v>121703272 - APPROVED</v>
      </c>
      <c r="C4431" s="6">
        <f>IFERROR(__xludf.DUMMYFUNCTION("""COMPUTED_VALUE"""),1.0)</f>
        <v>1</v>
      </c>
      <c r="D4431" s="6" t="str">
        <f>IFERROR(__xludf.DUMMYFUNCTION("""COMPUTED_VALUE"""),"O-54122-00")</f>
        <v>O-54122-00</v>
      </c>
      <c r="E4431" s="6" t="str">
        <f>IFERROR(__xludf.DUMMYFUNCTION("""COMPUTED_VALUE"""),"O-RING 106X5.30; Freeze Dryer MBE1207; P/N EB41-00292; pack size per pc")</f>
        <v>O-RING 106X5.30; Freeze Dryer MBE1207; P/N EB41-00292; pack size per pc</v>
      </c>
      <c r="F4431" s="6">
        <f>IFERROR(__xludf.DUMMYFUNCTION("""COMPUTED_VALUE"""),6.0)</f>
        <v>6</v>
      </c>
      <c r="G4431" s="6" t="str">
        <f>IFERROR(__xludf.DUMMYFUNCTION("""COMPUTED_VALUE"""),"Pieces")</f>
        <v>Pieces</v>
      </c>
      <c r="H4431" s="6" t="str">
        <f>IFERROR(__xludf.DUMMYFUNCTION("""COMPUTED_VALUE"""),"IDR")</f>
        <v>IDR</v>
      </c>
      <c r="I4431" s="6">
        <f>IFERROR(__xludf.DUMMYFUNCTION("""COMPUTED_VALUE"""),64396.0)</f>
        <v>64396</v>
      </c>
      <c r="J4431" s="6">
        <f>IFERROR(__xludf.DUMMYFUNCTION("""COMPUTED_VALUE"""),386376.0)</f>
        <v>386376</v>
      </c>
      <c r="K4431" s="57">
        <f>IFERROR(__xludf.DUMMYFUNCTION("""COMPUTED_VALUE"""),45961.0)</f>
        <v>45961</v>
      </c>
      <c r="L4431" s="6" t="str">
        <f>IFERROR(__xludf.DUMMYFUNCTION("""COMPUTED_VALUE"""),"FIP Engineering")</f>
        <v>FIP Engineering</v>
      </c>
      <c r="M4431" s="6" t="str">
        <f>IFERROR(__xludf.DUMMYFUNCTION("""COMPUTED_VALUE"""),"Mochammad Fadhillah Hakim,")</f>
        <v>Mochammad Fadhillah Hakim,</v>
      </c>
      <c r="N4431" s="6" t="str">
        <f>IFERROR(__xludf.DUMMYFUNCTION("""COMPUTED_VALUE"""),"FIP Engineering")</f>
        <v>FIP Engineering</v>
      </c>
      <c r="O4431" s="6" t="str">
        <f>IFERROR(__xludf.DUMMYFUNCTION("""COMPUTED_VALUE"""),"FIP-DOM-000-11304-OS00001-INA-000000")</f>
        <v>FIP-DOM-000-11304-OS00001-INA-000000</v>
      </c>
      <c r="P4431" s="6" t="str">
        <f>IFERROR(__xludf.DUMMYFUNCTION("""COMPUTED_VALUE"""),"PO Closed")</f>
        <v>PO Closed</v>
      </c>
      <c r="Q4431" s="6" t="str">
        <f>IFERROR(__xludf.DUMMYFUNCTION("""COMPUTED_VALUE"""),"GL2510494")</f>
        <v>GL2510494</v>
      </c>
      <c r="R4431" s="57">
        <f>IFERROR(__xludf.DUMMYFUNCTION("""COMPUTED_VALUE"""),45928.0)</f>
        <v>45928</v>
      </c>
      <c r="S4431" s="57">
        <f>IFERROR(__xludf.DUMMYFUNCTION("""COMPUTED_VALUE"""),45929.0)</f>
        <v>45929</v>
      </c>
      <c r="T4431" s="57">
        <f>IFERROR(__xludf.DUMMYFUNCTION("""COMPUTED_VALUE"""),45991.0)</f>
        <v>45991</v>
      </c>
    </row>
    <row r="4432">
      <c r="A4432" s="6" t="str">
        <f>IFERROR(__xludf.DUMMYFUNCTION("""COMPUTED_VALUE"""),"121703273-1")</f>
        <v>121703273-1</v>
      </c>
      <c r="B4432" s="6" t="str">
        <f>IFERROR(__xludf.DUMMYFUNCTION("""COMPUTED_VALUE"""),"121703273 - APPROVED")</f>
        <v>121703273 - APPROVED</v>
      </c>
      <c r="C4432" s="6">
        <f>IFERROR(__xludf.DUMMYFUNCTION("""COMPUTED_VALUE"""),1.0)</f>
        <v>1</v>
      </c>
      <c r="D4432" s="6" t="str">
        <f>IFERROR(__xludf.DUMMYFUNCTION("""COMPUTED_VALUE"""),"P-17858-00")</f>
        <v>P-17858-00</v>
      </c>
      <c r="E4432" s="6" t="str">
        <f>IFERROR(__xludf.DUMMYFUNCTION("""COMPUTED_VALUE"""),"Hepa Filter - H14 ( 99.999% ) size:305x610x69mm;; IAF; ;")</f>
        <v>Hepa Filter - H14 ( 99.999% ) size:305x610x69mm;; IAF; ;</v>
      </c>
      <c r="F4432" s="6">
        <f>IFERROR(__xludf.DUMMYFUNCTION("""COMPUTED_VALUE"""),2.0)</f>
        <v>2</v>
      </c>
      <c r="G4432" s="6" t="str">
        <f>IFERROR(__xludf.DUMMYFUNCTION("""COMPUTED_VALUE"""),"Pieces")</f>
        <v>Pieces</v>
      </c>
      <c r="H4432" s="6" t="str">
        <f>IFERROR(__xludf.DUMMYFUNCTION("""COMPUTED_VALUE"""),"IDR")</f>
        <v>IDR</v>
      </c>
      <c r="I4432" s="6">
        <f>IFERROR(__xludf.DUMMYFUNCTION("""COMPUTED_VALUE"""),980000.0)</f>
        <v>980000</v>
      </c>
      <c r="J4432" s="6">
        <f>IFERROR(__xludf.DUMMYFUNCTION("""COMPUTED_VALUE"""),1960000.0)</f>
        <v>1960000</v>
      </c>
      <c r="K4432" s="57">
        <f>IFERROR(__xludf.DUMMYFUNCTION("""COMPUTED_VALUE"""),45961.0)</f>
        <v>45961</v>
      </c>
      <c r="L4432" s="6" t="str">
        <f>IFERROR(__xludf.DUMMYFUNCTION("""COMPUTED_VALUE"""),"FIP Engineering")</f>
        <v>FIP Engineering</v>
      </c>
      <c r="M4432" s="6" t="str">
        <f>IFERROR(__xludf.DUMMYFUNCTION("""COMPUTED_VALUE"""),"Mochammad Fadhillah Hakim,")</f>
        <v>Mochammad Fadhillah Hakim,</v>
      </c>
      <c r="N4432" s="6" t="str">
        <f>IFERROR(__xludf.DUMMYFUNCTION("""COMPUTED_VALUE"""),"FIP Engineering")</f>
        <v>FIP Engineering</v>
      </c>
      <c r="O4432" s="6" t="str">
        <f>IFERROR(__xludf.DUMMYFUNCTION("""COMPUTED_VALUE"""),"FIP-DOM-000-11304-OS00001-INA-000000")</f>
        <v>FIP-DOM-000-11304-OS00001-INA-000000</v>
      </c>
      <c r="P4432" s="6" t="str">
        <f>IFERROR(__xludf.DUMMYFUNCTION("""COMPUTED_VALUE"""),"PO Closed")</f>
        <v>PO Closed</v>
      </c>
      <c r="Q4432" s="6" t="str">
        <f>IFERROR(__xludf.DUMMYFUNCTION("""COMPUTED_VALUE"""),"GL2510472")</f>
        <v>GL2510472</v>
      </c>
      <c r="R4432" s="57">
        <f>IFERROR(__xludf.DUMMYFUNCTION("""COMPUTED_VALUE"""),45928.0)</f>
        <v>45928</v>
      </c>
      <c r="S4432" s="57">
        <f>IFERROR(__xludf.DUMMYFUNCTION("""COMPUTED_VALUE"""),45929.0)</f>
        <v>45929</v>
      </c>
      <c r="T4432" s="57">
        <f>IFERROR(__xludf.DUMMYFUNCTION("""COMPUTED_VALUE"""),45961.0)</f>
        <v>45961</v>
      </c>
    </row>
    <row r="4433">
      <c r="A4433" s="6" t="str">
        <f>IFERROR(__xludf.DUMMYFUNCTION("""COMPUTED_VALUE"""),"121703274-1")</f>
        <v>121703274-1</v>
      </c>
      <c r="B4433" s="6" t="str">
        <f>IFERROR(__xludf.DUMMYFUNCTION("""COMPUTED_VALUE"""),"121703274 - APPROVED")</f>
        <v>121703274 - APPROVED</v>
      </c>
      <c r="C4433" s="6">
        <f>IFERROR(__xludf.DUMMYFUNCTION("""COMPUTED_VALUE"""),1.0)</f>
        <v>1</v>
      </c>
      <c r="D4433" s="6" t="str">
        <f>IFERROR(__xludf.DUMMYFUNCTION("""COMPUTED_VALUE"""),"O-51793-00")</f>
        <v>O-51793-00</v>
      </c>
      <c r="E4433" s="6" t="str">
        <f>IFERROR(__xludf.DUMMYFUNCTION("""COMPUTED_VALUE"""),"Pneumatic Actuator Double Acting-063 Festork; ; ;")</f>
        <v>Pneumatic Actuator Double Acting-063 Festork; ; ;</v>
      </c>
      <c r="F4433" s="6">
        <f>IFERROR(__xludf.DUMMYFUNCTION("""COMPUTED_VALUE"""),3.0)</f>
        <v>3</v>
      </c>
      <c r="G4433" s="6" t="str">
        <f>IFERROR(__xludf.DUMMYFUNCTION("""COMPUTED_VALUE"""),"Pieces")</f>
        <v>Pieces</v>
      </c>
      <c r="H4433" s="6" t="str">
        <f>IFERROR(__xludf.DUMMYFUNCTION("""COMPUTED_VALUE"""),"IDR")</f>
        <v>IDR</v>
      </c>
      <c r="I4433" s="6">
        <f>IFERROR(__xludf.DUMMYFUNCTION("""COMPUTED_VALUE"""),1695000.0)</f>
        <v>1695000</v>
      </c>
      <c r="J4433" s="6">
        <f>IFERROR(__xludf.DUMMYFUNCTION("""COMPUTED_VALUE"""),5085000.0)</f>
        <v>5085000</v>
      </c>
      <c r="K4433" s="57">
        <f>IFERROR(__xludf.DUMMYFUNCTION("""COMPUTED_VALUE"""),45961.0)</f>
        <v>45961</v>
      </c>
      <c r="L4433" s="6" t="str">
        <f>IFERROR(__xludf.DUMMYFUNCTION("""COMPUTED_VALUE"""),"FIP Engineering")</f>
        <v>FIP Engineering</v>
      </c>
      <c r="M4433" s="6" t="str">
        <f>IFERROR(__xludf.DUMMYFUNCTION("""COMPUTED_VALUE"""),"Mochammad Fadhillah Hakim,")</f>
        <v>Mochammad Fadhillah Hakim,</v>
      </c>
      <c r="N4433" s="6" t="str">
        <f>IFERROR(__xludf.DUMMYFUNCTION("""COMPUTED_VALUE"""),"FIP Engineering")</f>
        <v>FIP Engineering</v>
      </c>
      <c r="O4433" s="6" t="str">
        <f>IFERROR(__xludf.DUMMYFUNCTION("""COMPUTED_VALUE"""),"FIP-DOM-000-11304-OS00001-INA-000000")</f>
        <v>FIP-DOM-000-11304-OS00001-INA-000000</v>
      </c>
      <c r="P4433" s="6" t="str">
        <f>IFERROR(__xludf.DUMMYFUNCTION("""COMPUTED_VALUE"""),"PO Closed")</f>
        <v>PO Closed</v>
      </c>
      <c r="Q4433" s="6" t="str">
        <f>IFERROR(__xludf.DUMMYFUNCTION("""COMPUTED_VALUE"""),"GL2510484")</f>
        <v>GL2510484</v>
      </c>
      <c r="R4433" s="57">
        <f>IFERROR(__xludf.DUMMYFUNCTION("""COMPUTED_VALUE"""),45928.0)</f>
        <v>45928</v>
      </c>
      <c r="S4433" s="57">
        <f>IFERROR(__xludf.DUMMYFUNCTION("""COMPUTED_VALUE"""),45929.0)</f>
        <v>45929</v>
      </c>
      <c r="T4433" s="57">
        <f>IFERROR(__xludf.DUMMYFUNCTION("""COMPUTED_VALUE"""),45981.0)</f>
        <v>45981</v>
      </c>
    </row>
    <row r="4434">
      <c r="A4434" s="6" t="str">
        <f>IFERROR(__xludf.DUMMYFUNCTION("""COMPUTED_VALUE"""),"121703275-1")</f>
        <v>121703275-1</v>
      </c>
      <c r="B4434" s="6" t="str">
        <f>IFERROR(__xludf.DUMMYFUNCTION("""COMPUTED_VALUE"""),"121703275 - APPROVED")</f>
        <v>121703275 - APPROVED</v>
      </c>
      <c r="C4434" s="6">
        <f>IFERROR(__xludf.DUMMYFUNCTION("""COMPUTED_VALUE"""),1.0)</f>
        <v>1</v>
      </c>
      <c r="D4434" s="6" t="str">
        <f>IFERROR(__xludf.DUMMYFUNCTION("""COMPUTED_VALUE"""),"O-18876-00")</f>
        <v>O-18876-00</v>
      </c>
      <c r="E4434" s="6" t="str">
        <f>IFERROR(__xludf.DUMMYFUNCTION("""COMPUTED_VALUE"""),"Oring Silicone Merah 40.6x37x1.8 mm; ; ;")</f>
        <v>Oring Silicone Merah 40.6x37x1.8 mm; ; ;</v>
      </c>
      <c r="F4434" s="6">
        <f>IFERROR(__xludf.DUMMYFUNCTION("""COMPUTED_VALUE"""),20.0)</f>
        <v>20</v>
      </c>
      <c r="G4434" s="6" t="str">
        <f>IFERROR(__xludf.DUMMYFUNCTION("""COMPUTED_VALUE"""),"Pieces")</f>
        <v>Pieces</v>
      </c>
      <c r="H4434" s="6" t="str">
        <f>IFERROR(__xludf.DUMMYFUNCTION("""COMPUTED_VALUE"""),"IDR")</f>
        <v>IDR</v>
      </c>
      <c r="I4434" s="6">
        <f>IFERROR(__xludf.DUMMYFUNCTION("""COMPUTED_VALUE"""),32500.0)</f>
        <v>32500</v>
      </c>
      <c r="J4434" s="6">
        <f>IFERROR(__xludf.DUMMYFUNCTION("""COMPUTED_VALUE"""),650000.0)</f>
        <v>650000</v>
      </c>
      <c r="K4434" s="57">
        <f>IFERROR(__xludf.DUMMYFUNCTION("""COMPUTED_VALUE"""),45961.0)</f>
        <v>45961</v>
      </c>
      <c r="L4434" s="6" t="str">
        <f>IFERROR(__xludf.DUMMYFUNCTION("""COMPUTED_VALUE"""),"FIP Engineering")</f>
        <v>FIP Engineering</v>
      </c>
      <c r="M4434" s="6" t="str">
        <f>IFERROR(__xludf.DUMMYFUNCTION("""COMPUTED_VALUE"""),"Mochammad Fadhillah Hakim,")</f>
        <v>Mochammad Fadhillah Hakim,</v>
      </c>
      <c r="N4434" s="6" t="str">
        <f>IFERROR(__xludf.DUMMYFUNCTION("""COMPUTED_VALUE"""),"FIP Engineering")</f>
        <v>FIP Engineering</v>
      </c>
      <c r="O4434" s="6" t="str">
        <f>IFERROR(__xludf.DUMMYFUNCTION("""COMPUTED_VALUE"""),"FIP-DOM-000-11304-OS00001-INA-000000")</f>
        <v>FIP-DOM-000-11304-OS00001-INA-000000</v>
      </c>
      <c r="P4434" s="6" t="str">
        <f>IFERROR(__xludf.DUMMYFUNCTION("""COMPUTED_VALUE"""),"PO Closed")</f>
        <v>PO Closed</v>
      </c>
      <c r="Q4434" s="6" t="str">
        <f>IFERROR(__xludf.DUMMYFUNCTION("""COMPUTED_VALUE"""),"GL2510486")</f>
        <v>GL2510486</v>
      </c>
      <c r="R4434" s="57">
        <f>IFERROR(__xludf.DUMMYFUNCTION("""COMPUTED_VALUE"""),45928.0)</f>
        <v>45928</v>
      </c>
      <c r="S4434" s="57">
        <f>IFERROR(__xludf.DUMMYFUNCTION("""COMPUTED_VALUE"""),45929.0)</f>
        <v>45929</v>
      </c>
      <c r="T4434" s="57">
        <f>IFERROR(__xludf.DUMMYFUNCTION("""COMPUTED_VALUE"""),45971.0)</f>
        <v>45971</v>
      </c>
    </row>
    <row r="4435">
      <c r="A4435" s="6" t="str">
        <f>IFERROR(__xludf.DUMMYFUNCTION("""COMPUTED_VALUE"""),"121703275-2")</f>
        <v>121703275-2</v>
      </c>
      <c r="B4435" s="6" t="str">
        <f>IFERROR(__xludf.DUMMYFUNCTION("""COMPUTED_VALUE"""),"121703275 - APPROVED")</f>
        <v>121703275 - APPROVED</v>
      </c>
      <c r="C4435" s="6">
        <f>IFERROR(__xludf.DUMMYFUNCTION("""COMPUTED_VALUE"""),2.0)</f>
        <v>2</v>
      </c>
      <c r="D4435" s="6" t="str">
        <f>IFERROR(__xludf.DUMMYFUNCTION("""COMPUTED_VALUE"""),"O-52224-00")</f>
        <v>O-52224-00</v>
      </c>
      <c r="E4435" s="6" t="str">
        <f>IFERROR(__xludf.DUMMYFUNCTION("""COMPUTED_VALUE"""),"Tunnel ST1L - Fuse Keramik 22x58 40A 200kA; ; ;")</f>
        <v>Tunnel ST1L - Fuse Keramik 22x58 40A 200kA; ; ;</v>
      </c>
      <c r="F4435" s="6">
        <f>IFERROR(__xludf.DUMMYFUNCTION("""COMPUTED_VALUE"""),6.0)</f>
        <v>6</v>
      </c>
      <c r="G4435" s="6" t="str">
        <f>IFERROR(__xludf.DUMMYFUNCTION("""COMPUTED_VALUE"""),"Pieces")</f>
        <v>Pieces</v>
      </c>
      <c r="H4435" s="6" t="str">
        <f>IFERROR(__xludf.DUMMYFUNCTION("""COMPUTED_VALUE"""),"IDR")</f>
        <v>IDR</v>
      </c>
      <c r="I4435" s="6">
        <f>IFERROR(__xludf.DUMMYFUNCTION("""COMPUTED_VALUE"""),545000.0)</f>
        <v>545000</v>
      </c>
      <c r="J4435" s="6">
        <f>IFERROR(__xludf.DUMMYFUNCTION("""COMPUTED_VALUE"""),3270000.0)</f>
        <v>3270000</v>
      </c>
      <c r="K4435" s="57">
        <f>IFERROR(__xludf.DUMMYFUNCTION("""COMPUTED_VALUE"""),45961.0)</f>
        <v>45961</v>
      </c>
      <c r="L4435" s="6" t="str">
        <f>IFERROR(__xludf.DUMMYFUNCTION("""COMPUTED_VALUE"""),"FIP Engineering")</f>
        <v>FIP Engineering</v>
      </c>
      <c r="M4435" s="6" t="str">
        <f>IFERROR(__xludf.DUMMYFUNCTION("""COMPUTED_VALUE"""),"Mochammad Fadhillah Hakim,")</f>
        <v>Mochammad Fadhillah Hakim,</v>
      </c>
      <c r="N4435" s="6" t="str">
        <f>IFERROR(__xludf.DUMMYFUNCTION("""COMPUTED_VALUE"""),"FIP Engineering")</f>
        <v>FIP Engineering</v>
      </c>
      <c r="O4435" s="6" t="str">
        <f>IFERROR(__xludf.DUMMYFUNCTION("""COMPUTED_VALUE"""),"FIP-DOM-000-11304-OS00001-INA-000000")</f>
        <v>FIP-DOM-000-11304-OS00001-INA-000000</v>
      </c>
      <c r="P4435" s="6" t="str">
        <f>IFERROR(__xludf.DUMMYFUNCTION("""COMPUTED_VALUE"""),"PO Closed")</f>
        <v>PO Closed</v>
      </c>
      <c r="Q4435" s="6" t="str">
        <f>IFERROR(__xludf.DUMMYFUNCTION("""COMPUTED_VALUE"""),"GL2510486")</f>
        <v>GL2510486</v>
      </c>
      <c r="R4435" s="57">
        <f>IFERROR(__xludf.DUMMYFUNCTION("""COMPUTED_VALUE"""),45928.0)</f>
        <v>45928</v>
      </c>
      <c r="S4435" s="57">
        <f>IFERROR(__xludf.DUMMYFUNCTION("""COMPUTED_VALUE"""),45929.0)</f>
        <v>45929</v>
      </c>
      <c r="T4435" s="57">
        <f>IFERROR(__xludf.DUMMYFUNCTION("""COMPUTED_VALUE"""),45971.0)</f>
        <v>45971</v>
      </c>
    </row>
    <row r="4436">
      <c r="A4436" s="6" t="str">
        <f>IFERROR(__xludf.DUMMYFUNCTION("""COMPUTED_VALUE"""),"121703275-3")</f>
        <v>121703275-3</v>
      </c>
      <c r="B4436" s="6" t="str">
        <f>IFERROR(__xludf.DUMMYFUNCTION("""COMPUTED_VALUE"""),"121703275 - APPROVED")</f>
        <v>121703275 - APPROVED</v>
      </c>
      <c r="C4436" s="6">
        <f>IFERROR(__xludf.DUMMYFUNCTION("""COMPUTED_VALUE"""),3.0)</f>
        <v>3</v>
      </c>
      <c r="D4436" s="6" t="str">
        <f>IFERROR(__xludf.DUMMYFUNCTION("""COMPUTED_VALUE"""),"O-52430-00")</f>
        <v>O-52430-00</v>
      </c>
      <c r="E4436" s="6" t="str">
        <f>IFERROR(__xludf.DUMMYFUNCTION("""COMPUTED_VALUE"""),"Fan KDE2405PFB1-8; SUNON; ;")</f>
        <v>Fan KDE2405PFB1-8; SUNON; ;</v>
      </c>
      <c r="F4436" s="6">
        <f>IFERROR(__xludf.DUMMYFUNCTION("""COMPUTED_VALUE"""),1.0)</f>
        <v>1</v>
      </c>
      <c r="G4436" s="6" t="str">
        <f>IFERROR(__xludf.DUMMYFUNCTION("""COMPUTED_VALUE"""),"Pieces")</f>
        <v>Pieces</v>
      </c>
      <c r="H4436" s="6" t="str">
        <f>IFERROR(__xludf.DUMMYFUNCTION("""COMPUTED_VALUE"""),"IDR")</f>
        <v>IDR</v>
      </c>
      <c r="I4436" s="6">
        <f>IFERROR(__xludf.DUMMYFUNCTION("""COMPUTED_VALUE"""),215000.0)</f>
        <v>215000</v>
      </c>
      <c r="J4436" s="6">
        <f>IFERROR(__xludf.DUMMYFUNCTION("""COMPUTED_VALUE"""),215000.0)</f>
        <v>215000</v>
      </c>
      <c r="K4436" s="57">
        <f>IFERROR(__xludf.DUMMYFUNCTION("""COMPUTED_VALUE"""),45961.0)</f>
        <v>45961</v>
      </c>
      <c r="L4436" s="6" t="str">
        <f>IFERROR(__xludf.DUMMYFUNCTION("""COMPUTED_VALUE"""),"FIP Engineering")</f>
        <v>FIP Engineering</v>
      </c>
      <c r="M4436" s="6" t="str">
        <f>IFERROR(__xludf.DUMMYFUNCTION("""COMPUTED_VALUE"""),"Mochammad Fadhillah Hakim,")</f>
        <v>Mochammad Fadhillah Hakim,</v>
      </c>
      <c r="N4436" s="6" t="str">
        <f>IFERROR(__xludf.DUMMYFUNCTION("""COMPUTED_VALUE"""),"FIP Engineering")</f>
        <v>FIP Engineering</v>
      </c>
      <c r="O4436" s="6" t="str">
        <f>IFERROR(__xludf.DUMMYFUNCTION("""COMPUTED_VALUE"""),"FIP-DOM-000-11304-OS00001-INA-000000")</f>
        <v>FIP-DOM-000-11304-OS00001-INA-000000</v>
      </c>
      <c r="P4436" s="6" t="str">
        <f>IFERROR(__xludf.DUMMYFUNCTION("""COMPUTED_VALUE"""),"PO Closed")</f>
        <v>PO Closed</v>
      </c>
      <c r="Q4436" s="6" t="str">
        <f>IFERROR(__xludf.DUMMYFUNCTION("""COMPUTED_VALUE"""),"GL2510486")</f>
        <v>GL2510486</v>
      </c>
      <c r="R4436" s="57">
        <f>IFERROR(__xludf.DUMMYFUNCTION("""COMPUTED_VALUE"""),45928.0)</f>
        <v>45928</v>
      </c>
      <c r="S4436" s="57">
        <f>IFERROR(__xludf.DUMMYFUNCTION("""COMPUTED_VALUE"""),45929.0)</f>
        <v>45929</v>
      </c>
      <c r="T4436" s="57">
        <f>IFERROR(__xludf.DUMMYFUNCTION("""COMPUTED_VALUE"""),45971.0)</f>
        <v>45971</v>
      </c>
    </row>
    <row r="4437">
      <c r="A4437" s="6" t="str">
        <f>IFERROR(__xludf.DUMMYFUNCTION("""COMPUTED_VALUE"""),"121703285-1")</f>
        <v>121703285-1</v>
      </c>
      <c r="B4437" s="6" t="str">
        <f>IFERROR(__xludf.DUMMYFUNCTION("""COMPUTED_VALUE"""),"121703285 - APPROVED")</f>
        <v>121703285 - APPROVED</v>
      </c>
      <c r="C4437" s="6">
        <f>IFERROR(__xludf.DUMMYFUNCTION("""COMPUTED_VALUE"""),1.0)</f>
        <v>1</v>
      </c>
      <c r="D4437" s="6" t="str">
        <f>IFERROR(__xludf.DUMMYFUNCTION("""COMPUTED_VALUE"""),"O-53449-00")</f>
        <v>O-53449-00</v>
      </c>
      <c r="E4437" s="6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F4437" s="6">
        <f>IFERROR(__xludf.DUMMYFUNCTION("""COMPUTED_VALUE"""),1.0)</f>
        <v>1</v>
      </c>
      <c r="G4437" s="6" t="str">
        <f>IFERROR(__xludf.DUMMYFUNCTION("""COMPUTED_VALUE"""),"Pieces")</f>
        <v>Pieces</v>
      </c>
      <c r="H4437" s="6" t="str">
        <f>IFERROR(__xludf.DUMMYFUNCTION("""COMPUTED_VALUE"""),"IDR")</f>
        <v>IDR</v>
      </c>
      <c r="I4437" s="6">
        <f>IFERROR(__xludf.DUMMYFUNCTION("""COMPUTED_VALUE"""),1.62E8)</f>
        <v>162000000</v>
      </c>
      <c r="J4437" s="6">
        <f>IFERROR(__xludf.DUMMYFUNCTION("""COMPUTED_VALUE"""),1.62E8)</f>
        <v>162000000</v>
      </c>
      <c r="K4437" s="57">
        <f>IFERROR(__xludf.DUMMYFUNCTION("""COMPUTED_VALUE"""),45968.0)</f>
        <v>45968</v>
      </c>
      <c r="L4437" s="6" t="str">
        <f>IFERROR(__xludf.DUMMYFUNCTION("""COMPUTED_VALUE"""),"FIP Engineering")</f>
        <v>FIP Engineering</v>
      </c>
      <c r="M4437" s="6" t="str">
        <f>IFERROR(__xludf.DUMMYFUNCTION("""COMPUTED_VALUE"""),"Mochammad Fadhillah Hakim,")</f>
        <v>Mochammad Fadhillah Hakim,</v>
      </c>
      <c r="N4437" s="6" t="str">
        <f>IFERROR(__xludf.DUMMYFUNCTION("""COMPUTED_VALUE"""),"FIP Engineering")</f>
        <v>FIP Engineering</v>
      </c>
      <c r="O4437" s="6" t="str">
        <f>IFERROR(__xludf.DUMMYFUNCTION("""COMPUTED_VALUE"""),"FIP-DOM-000-11304-OS00001-INA-000000")</f>
        <v>FIP-DOM-000-11304-OS00001-INA-000000</v>
      </c>
      <c r="P4437" s="6" t="str">
        <f>IFERROR(__xludf.DUMMYFUNCTION("""COMPUTED_VALUE"""),"PO Closed")</f>
        <v>PO Closed</v>
      </c>
      <c r="Q4437" s="6" t="str">
        <f>IFERROR(__xludf.DUMMYFUNCTION("""COMPUTED_VALUE"""),"GL2510018")</f>
        <v>GL2510018</v>
      </c>
      <c r="R4437" s="57">
        <f>IFERROR(__xludf.DUMMYFUNCTION("""COMPUTED_VALUE"""),45931.0)</f>
        <v>45931</v>
      </c>
      <c r="S4437" s="57">
        <f>IFERROR(__xludf.DUMMYFUNCTION("""COMPUTED_VALUE"""),45931.0)</f>
        <v>45931</v>
      </c>
      <c r="T4437" s="57">
        <f>IFERROR(__xludf.DUMMYFUNCTION("""COMPUTED_VALUE"""),46029.0)</f>
        <v>46029</v>
      </c>
    </row>
    <row r="4438">
      <c r="A4438" s="6" t="str">
        <f>IFERROR(__xludf.DUMMYFUNCTION("""COMPUTED_VALUE"""),"121703285-2")</f>
        <v>121703285-2</v>
      </c>
      <c r="B4438" s="6" t="str">
        <f>IFERROR(__xludf.DUMMYFUNCTION("""COMPUTED_VALUE"""),"121703285 - APPROVED")</f>
        <v>121703285 - APPROVED</v>
      </c>
      <c r="C4438" s="6">
        <f>IFERROR(__xludf.DUMMYFUNCTION("""COMPUTED_VALUE"""),2.0)</f>
        <v>2</v>
      </c>
      <c r="D4438" s="6" t="str">
        <f>IFERROR(__xludf.DUMMYFUNCTION("""COMPUTED_VALUE"""),"O-53447-00")</f>
        <v>O-53447-00</v>
      </c>
      <c r="E4438" s="6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F4438" s="6">
        <f>IFERROR(__xludf.DUMMYFUNCTION("""COMPUTED_VALUE"""),1.0)</f>
        <v>1</v>
      </c>
      <c r="G4438" s="6" t="str">
        <f>IFERROR(__xludf.DUMMYFUNCTION("""COMPUTED_VALUE"""),"Pieces")</f>
        <v>Pieces</v>
      </c>
      <c r="H4438" s="6" t="str">
        <f>IFERROR(__xludf.DUMMYFUNCTION("""COMPUTED_VALUE"""),"IDR")</f>
        <v>IDR</v>
      </c>
      <c r="I4438" s="6">
        <f>IFERROR(__xludf.DUMMYFUNCTION("""COMPUTED_VALUE"""),7.4E7)</f>
        <v>74000000</v>
      </c>
      <c r="J4438" s="6">
        <f>IFERROR(__xludf.DUMMYFUNCTION("""COMPUTED_VALUE"""),7.4E7)</f>
        <v>74000000</v>
      </c>
      <c r="K4438" s="57">
        <f>IFERROR(__xludf.DUMMYFUNCTION("""COMPUTED_VALUE"""),45968.0)</f>
        <v>45968</v>
      </c>
      <c r="L4438" s="6" t="str">
        <f>IFERROR(__xludf.DUMMYFUNCTION("""COMPUTED_VALUE"""),"FIP Engineering")</f>
        <v>FIP Engineering</v>
      </c>
      <c r="M4438" s="6" t="str">
        <f>IFERROR(__xludf.DUMMYFUNCTION("""COMPUTED_VALUE"""),"Mochammad Fadhillah Hakim,")</f>
        <v>Mochammad Fadhillah Hakim,</v>
      </c>
      <c r="N4438" s="6" t="str">
        <f>IFERROR(__xludf.DUMMYFUNCTION("""COMPUTED_VALUE"""),"FIP Engineering")</f>
        <v>FIP Engineering</v>
      </c>
      <c r="O4438" s="6" t="str">
        <f>IFERROR(__xludf.DUMMYFUNCTION("""COMPUTED_VALUE"""),"FIP-DOM-000-11304-OS00001-INA-000000")</f>
        <v>FIP-DOM-000-11304-OS00001-INA-000000</v>
      </c>
      <c r="P4438" s="6" t="str">
        <f>IFERROR(__xludf.DUMMYFUNCTION("""COMPUTED_VALUE"""),"PO Closed")</f>
        <v>PO Closed</v>
      </c>
      <c r="Q4438" s="6" t="str">
        <f>IFERROR(__xludf.DUMMYFUNCTION("""COMPUTED_VALUE"""),"GL2510018")</f>
        <v>GL2510018</v>
      </c>
      <c r="R4438" s="57">
        <f>IFERROR(__xludf.DUMMYFUNCTION("""COMPUTED_VALUE"""),45931.0)</f>
        <v>45931</v>
      </c>
      <c r="S4438" s="57">
        <f>IFERROR(__xludf.DUMMYFUNCTION("""COMPUTED_VALUE"""),45931.0)</f>
        <v>45931</v>
      </c>
      <c r="T4438" s="57">
        <f>IFERROR(__xludf.DUMMYFUNCTION("""COMPUTED_VALUE"""),46029.0)</f>
        <v>46029</v>
      </c>
    </row>
    <row r="4439">
      <c r="A4439" s="6" t="str">
        <f>IFERROR(__xludf.DUMMYFUNCTION("""COMPUTED_VALUE"""),"121703289-1")</f>
        <v>121703289-1</v>
      </c>
      <c r="B4439" s="6" t="str">
        <f>IFERROR(__xludf.DUMMYFUNCTION("""COMPUTED_VALUE"""),"121703289 - APPROVED")</f>
        <v>121703289 - APPROVED</v>
      </c>
      <c r="C4439" s="6">
        <f>IFERROR(__xludf.DUMMYFUNCTION("""COMPUTED_VALUE"""),1.0)</f>
        <v>1</v>
      </c>
      <c r="D4439" s="6" t="str">
        <f>IFERROR(__xludf.DUMMYFUNCTION("""COMPUTED_VALUE"""),"R-20024-00")</f>
        <v>R-20024-00</v>
      </c>
      <c r="E4439" s="6" t="str">
        <f>IFERROR(__xludf.DUMMYFUNCTION("""COMPUTED_VALUE"""),"Machine Equipment; ; ; - KW0100356 - ADJUSTABLE WRENCH 6INCH LRAW6 - KW0100356 - ADJUSTABLE WRENCH 6INCH LRAW6 - KW0100356 - ADJUSTABLE WRENCH 6INCH LRAW6 - KW0100356 - ADJUSTABLE WRENCH 6INCH LRAW6 - KW0100356 - ADJUSTABLE WRENCH 6INCH LRA")</f>
        <v>Machine Equipment; ; ; - KW0100356 - ADJUSTABLE WRENCH 6INCH LRAW6 - KW0100356 - ADJUSTABLE WRENCH 6INCH LRAW6 - KW0100356 - ADJUSTABLE WRENCH 6INCH LRAW6 - KW0100356 - ADJUSTABLE WRENCH 6INCH LRAW6 - KW0100356 - ADJUSTABLE WRENCH 6INCH LRA</v>
      </c>
      <c r="F4439" s="6">
        <f>IFERROR(__xludf.DUMMYFUNCTION("""COMPUTED_VALUE"""),1.0)</f>
        <v>1</v>
      </c>
      <c r="G4439" s="6" t="str">
        <f>IFERROR(__xludf.DUMMYFUNCTION("""COMPUTED_VALUE"""),"Unit")</f>
        <v>Unit</v>
      </c>
      <c r="H4439" s="6" t="str">
        <f>IFERROR(__xludf.DUMMYFUNCTION("""COMPUTED_VALUE"""),"IDR")</f>
        <v>IDR</v>
      </c>
      <c r="I4439" s="6">
        <f>IFERROR(__xludf.DUMMYFUNCTION("""COMPUTED_VALUE"""),52000.0)</f>
        <v>52000</v>
      </c>
      <c r="J4439" s="6">
        <f>IFERROR(__xludf.DUMMYFUNCTION("""COMPUTED_VALUE"""),52000.0)</f>
        <v>52000</v>
      </c>
      <c r="K4439" s="57">
        <f>IFERROR(__xludf.DUMMYFUNCTION("""COMPUTED_VALUE"""),45968.0)</f>
        <v>45968</v>
      </c>
      <c r="L4439" s="6" t="str">
        <f>IFERROR(__xludf.DUMMYFUNCTION("""COMPUTED_VALUE"""),"FIP General")</f>
        <v>FIP General</v>
      </c>
      <c r="M4439" s="6" t="str">
        <f>IFERROR(__xludf.DUMMYFUNCTION("""COMPUTED_VALUE"""),"Mochammad Fadhillah Hakim,")</f>
        <v>Mochammad Fadhillah Hakim,</v>
      </c>
      <c r="N4439" s="6" t="str">
        <f>IFERROR(__xludf.DUMMYFUNCTION("""COMPUTED_VALUE"""),"FIP Engineering")</f>
        <v>FIP Engineering</v>
      </c>
      <c r="O4439" s="6" t="str">
        <f>IFERROR(__xludf.DUMMYFUNCTION("""COMPUTED_VALUE"""),"FIP-DOM-PRJ-13404-MC25005-INA-000000")</f>
        <v>FIP-DOM-PRJ-13404-MC25005-INA-000000</v>
      </c>
      <c r="P4439" s="6" t="str">
        <f>IFERROR(__xludf.DUMMYFUNCTION("""COMPUTED_VALUE"""),"PO Closed")</f>
        <v>PO Closed</v>
      </c>
      <c r="Q4439" s="6" t="str">
        <f>IFERROR(__xludf.DUMMYFUNCTION("""COMPUTED_VALUE"""),"GL2510005")</f>
        <v>GL2510005</v>
      </c>
      <c r="R4439" s="57">
        <f>IFERROR(__xludf.DUMMYFUNCTION("""COMPUTED_VALUE"""),45932.0)</f>
        <v>45932</v>
      </c>
      <c r="S4439" s="57">
        <f>IFERROR(__xludf.DUMMYFUNCTION("""COMPUTED_VALUE"""),45933.0)</f>
        <v>45933</v>
      </c>
      <c r="T4439" s="57">
        <f>IFERROR(__xludf.DUMMYFUNCTION("""COMPUTED_VALUE"""),45968.0)</f>
        <v>45968</v>
      </c>
    </row>
    <row r="4440">
      <c r="A4440" s="6" t="str">
        <f>IFERROR(__xludf.DUMMYFUNCTION("""COMPUTED_VALUE"""),"121703289-2")</f>
        <v>121703289-2</v>
      </c>
      <c r="B4440" s="6" t="str">
        <f>IFERROR(__xludf.DUMMYFUNCTION("""COMPUTED_VALUE"""),"121703289 - APPROVED")</f>
        <v>121703289 - APPROVED</v>
      </c>
      <c r="C4440" s="6">
        <f>IFERROR(__xludf.DUMMYFUNCTION("""COMPUTED_VALUE"""),2.0)</f>
        <v>2</v>
      </c>
      <c r="D4440" s="6" t="str">
        <f>IFERROR(__xludf.DUMMYFUNCTION("""COMPUTED_VALUE"""),"R-20024-00")</f>
        <v>R-20024-00</v>
      </c>
      <c r="E4440" s="6" t="str">
        <f>IFERROR(__xludf.DUMMYFUNCTION("""COMPUTED_VALUE"""),"Machine Equipment; ; ; - KW0100357 - ADJUSTABLE WRENCH 8INCH LRAW8 - KW0100357 - ADJUSTABLE WRENCH 8INCH LRAW8 - KW0100357 - ADJUSTABLE WRENCH 8INCH LRAW8 - KW0100357 - ADJUSTABLE WRENCH 8INCH LRAW8 - KW0100357 - ADJUSTABLE WRENCH 8INCH LRA")</f>
        <v>Machine Equipment; ; ; - KW0100357 - ADJUSTABLE WRENCH 8INCH LRAW8 - KW0100357 - ADJUSTABLE WRENCH 8INCH LRAW8 - KW0100357 - ADJUSTABLE WRENCH 8INCH LRAW8 - KW0100357 - ADJUSTABLE WRENCH 8INCH LRAW8 - KW0100357 - ADJUSTABLE WRENCH 8INCH LRA</v>
      </c>
      <c r="F4440" s="6">
        <f>IFERROR(__xludf.DUMMYFUNCTION("""COMPUTED_VALUE"""),1.0)</f>
        <v>1</v>
      </c>
      <c r="G4440" s="6" t="str">
        <f>IFERROR(__xludf.DUMMYFUNCTION("""COMPUTED_VALUE"""),"Unit")</f>
        <v>Unit</v>
      </c>
      <c r="H4440" s="6" t="str">
        <f>IFERROR(__xludf.DUMMYFUNCTION("""COMPUTED_VALUE"""),"IDR")</f>
        <v>IDR</v>
      </c>
      <c r="I4440" s="6">
        <f>IFERROR(__xludf.DUMMYFUNCTION("""COMPUTED_VALUE"""),69520.0)</f>
        <v>69520</v>
      </c>
      <c r="J4440" s="6">
        <f>IFERROR(__xludf.DUMMYFUNCTION("""COMPUTED_VALUE"""),69520.0)</f>
        <v>69520</v>
      </c>
      <c r="K4440" s="57">
        <f>IFERROR(__xludf.DUMMYFUNCTION("""COMPUTED_VALUE"""),45968.0)</f>
        <v>45968</v>
      </c>
      <c r="L4440" s="6" t="str">
        <f>IFERROR(__xludf.DUMMYFUNCTION("""COMPUTED_VALUE"""),"FIP General")</f>
        <v>FIP General</v>
      </c>
      <c r="M4440" s="6" t="str">
        <f>IFERROR(__xludf.DUMMYFUNCTION("""COMPUTED_VALUE"""),"Mochammad Fadhillah Hakim,")</f>
        <v>Mochammad Fadhillah Hakim,</v>
      </c>
      <c r="N4440" s="6" t="str">
        <f>IFERROR(__xludf.DUMMYFUNCTION("""COMPUTED_VALUE"""),"FIP Engineering")</f>
        <v>FIP Engineering</v>
      </c>
      <c r="O4440" s="6" t="str">
        <f>IFERROR(__xludf.DUMMYFUNCTION("""COMPUTED_VALUE"""),"FIP-DOM-PRJ-13404-MC25005-INA-000000")</f>
        <v>FIP-DOM-PRJ-13404-MC25005-INA-000000</v>
      </c>
      <c r="P4440" s="6" t="str">
        <f>IFERROR(__xludf.DUMMYFUNCTION("""COMPUTED_VALUE"""),"PO Closed")</f>
        <v>PO Closed</v>
      </c>
      <c r="Q4440" s="6" t="str">
        <f>IFERROR(__xludf.DUMMYFUNCTION("""COMPUTED_VALUE"""),"GL2510005")</f>
        <v>GL2510005</v>
      </c>
      <c r="R4440" s="57">
        <f>IFERROR(__xludf.DUMMYFUNCTION("""COMPUTED_VALUE"""),45932.0)</f>
        <v>45932</v>
      </c>
      <c r="S4440" s="57">
        <f>IFERROR(__xludf.DUMMYFUNCTION("""COMPUTED_VALUE"""),45933.0)</f>
        <v>45933</v>
      </c>
      <c r="T4440" s="57">
        <f>IFERROR(__xludf.DUMMYFUNCTION("""COMPUTED_VALUE"""),45968.0)</f>
        <v>45968</v>
      </c>
    </row>
    <row r="4441">
      <c r="A4441" s="6" t="str">
        <f>IFERROR(__xludf.DUMMYFUNCTION("""COMPUTED_VALUE"""),"121703289-3")</f>
        <v>121703289-3</v>
      </c>
      <c r="B4441" s="6" t="str">
        <f>IFERROR(__xludf.DUMMYFUNCTION("""COMPUTED_VALUE"""),"121703289 - APPROVED")</f>
        <v>121703289 - APPROVED</v>
      </c>
      <c r="C4441" s="6">
        <f>IFERROR(__xludf.DUMMYFUNCTION("""COMPUTED_VALUE"""),3.0)</f>
        <v>3</v>
      </c>
      <c r="D4441" s="6" t="str">
        <f>IFERROR(__xludf.DUMMYFUNCTION("""COMPUTED_VALUE"""),"R-20024-00")</f>
        <v>R-20024-00</v>
      </c>
      <c r="E4441" s="6" t="str">
        <f>IFERROR(__xludf.DUMMYFUNCTION("""COMPUTED_VALUE"""),"Machine Equipment; ; ; - KW0100358 - ADJUSTABLE WRENCH 10INCH LRAW10 - KW0100358 - ADJUSTABLE WRENCH 10INCH LRAW10 - KW0100358 - ADJUSTABLE WRENCH 10INCH LRAW10 - KW0100358 - ADJUSTABLE WRENCH 10INCH LRAW10 - KW0100358 - ADJUSTABLE WRENCH 1")</f>
        <v>Machine Equipment; ; ; - KW0100358 - ADJUSTABLE WRENCH 10INCH LRAW10 - KW0100358 - ADJUSTABLE WRENCH 10INCH LRAW10 - KW0100358 - ADJUSTABLE WRENCH 10INCH LRAW10 - KW0100358 - ADJUSTABLE WRENCH 10INCH LRAW10 - KW0100358 - ADJUSTABLE WRENCH 1</v>
      </c>
      <c r="F4441" s="6">
        <f>IFERROR(__xludf.DUMMYFUNCTION("""COMPUTED_VALUE"""),1.0)</f>
        <v>1</v>
      </c>
      <c r="G4441" s="6" t="str">
        <f>IFERROR(__xludf.DUMMYFUNCTION("""COMPUTED_VALUE"""),"Unit")</f>
        <v>Unit</v>
      </c>
      <c r="H4441" s="6" t="str">
        <f>IFERROR(__xludf.DUMMYFUNCTION("""COMPUTED_VALUE"""),"IDR")</f>
        <v>IDR</v>
      </c>
      <c r="I4441" s="6">
        <f>IFERROR(__xludf.DUMMYFUNCTION("""COMPUTED_VALUE"""),101600.0)</f>
        <v>101600</v>
      </c>
      <c r="J4441" s="6">
        <f>IFERROR(__xludf.DUMMYFUNCTION("""COMPUTED_VALUE"""),101600.0)</f>
        <v>101600</v>
      </c>
      <c r="K4441" s="57">
        <f>IFERROR(__xludf.DUMMYFUNCTION("""COMPUTED_VALUE"""),45968.0)</f>
        <v>45968</v>
      </c>
      <c r="L4441" s="6" t="str">
        <f>IFERROR(__xludf.DUMMYFUNCTION("""COMPUTED_VALUE"""),"FIP General")</f>
        <v>FIP General</v>
      </c>
      <c r="M4441" s="6" t="str">
        <f>IFERROR(__xludf.DUMMYFUNCTION("""COMPUTED_VALUE"""),"Mochammad Fadhillah Hakim,")</f>
        <v>Mochammad Fadhillah Hakim,</v>
      </c>
      <c r="N4441" s="6" t="str">
        <f>IFERROR(__xludf.DUMMYFUNCTION("""COMPUTED_VALUE"""),"FIP Engineering")</f>
        <v>FIP Engineering</v>
      </c>
      <c r="O4441" s="6" t="str">
        <f>IFERROR(__xludf.DUMMYFUNCTION("""COMPUTED_VALUE"""),"FIP-DOM-PRJ-13404-MC25005-INA-000000")</f>
        <v>FIP-DOM-PRJ-13404-MC25005-INA-000000</v>
      </c>
      <c r="P4441" s="6" t="str">
        <f>IFERROR(__xludf.DUMMYFUNCTION("""COMPUTED_VALUE"""),"PO Closed")</f>
        <v>PO Closed</v>
      </c>
      <c r="Q4441" s="6" t="str">
        <f>IFERROR(__xludf.DUMMYFUNCTION("""COMPUTED_VALUE"""),"GL2510005")</f>
        <v>GL2510005</v>
      </c>
      <c r="R4441" s="57">
        <f>IFERROR(__xludf.DUMMYFUNCTION("""COMPUTED_VALUE"""),45932.0)</f>
        <v>45932</v>
      </c>
      <c r="S4441" s="57">
        <f>IFERROR(__xludf.DUMMYFUNCTION("""COMPUTED_VALUE"""),45933.0)</f>
        <v>45933</v>
      </c>
      <c r="T4441" s="57">
        <f>IFERROR(__xludf.DUMMYFUNCTION("""COMPUTED_VALUE"""),45968.0)</f>
        <v>45968</v>
      </c>
    </row>
    <row r="4442">
      <c r="A4442" s="6" t="str">
        <f>IFERROR(__xludf.DUMMYFUNCTION("""COMPUTED_VALUE"""),"121703289-4")</f>
        <v>121703289-4</v>
      </c>
      <c r="B4442" s="6" t="str">
        <f>IFERROR(__xludf.DUMMYFUNCTION("""COMPUTED_VALUE"""),"121703289 - APPROVED")</f>
        <v>121703289 - APPROVED</v>
      </c>
      <c r="C4442" s="6">
        <f>IFERROR(__xludf.DUMMYFUNCTION("""COMPUTED_VALUE"""),4.0)</f>
        <v>4</v>
      </c>
      <c r="D4442" s="6" t="str">
        <f>IFERROR(__xludf.DUMMYFUNCTION("""COMPUTED_VALUE"""),"R-20024-00")</f>
        <v>R-20024-00</v>
      </c>
      <c r="E4442" s="6" t="str">
        <f>IFERROR(__xludf.DUMMYFUNCTION("""COMPUTED_VALUE"""),"Machine Equipment; ; ; - 10160535 - SPIRIT LEVEL 1000MM YELLOW LRLS100 - 10160535 - SPIRIT LEVEL 1000MM YELLOW LRLS100 - 10160535 - SPIRIT LEVEL 1000MM YELLOW LRLS100 - 10160535 - SPIRIT LEVEL 1000MM YELLOW LRLS100 - 10160535 - SPIRIT LEVEL")</f>
        <v>Machine Equipment; ; ; - 10160535 - SPIRIT LEVEL 1000MM YELLOW LRLS100 - 10160535 - SPIRIT LEVEL 1000MM YELLOW LRLS100 - 10160535 - SPIRIT LEVEL 1000MM YELLOW LRLS100 - 10160535 - SPIRIT LEVEL 1000MM YELLOW LRLS100 - 10160535 - SPIRIT LEVEL</v>
      </c>
      <c r="F4442" s="6">
        <f>IFERROR(__xludf.DUMMYFUNCTION("""COMPUTED_VALUE"""),1.0)</f>
        <v>1</v>
      </c>
      <c r="G4442" s="6" t="str">
        <f>IFERROR(__xludf.DUMMYFUNCTION("""COMPUTED_VALUE"""),"Unit")</f>
        <v>Unit</v>
      </c>
      <c r="H4442" s="6" t="str">
        <f>IFERROR(__xludf.DUMMYFUNCTION("""COMPUTED_VALUE"""),"IDR")</f>
        <v>IDR</v>
      </c>
      <c r="I4442" s="6">
        <f>IFERROR(__xludf.DUMMYFUNCTION("""COMPUTED_VALUE"""),143200.0)</f>
        <v>143200</v>
      </c>
      <c r="J4442" s="6">
        <f>IFERROR(__xludf.DUMMYFUNCTION("""COMPUTED_VALUE"""),143200.0)</f>
        <v>143200</v>
      </c>
      <c r="K4442" s="57">
        <f>IFERROR(__xludf.DUMMYFUNCTION("""COMPUTED_VALUE"""),45968.0)</f>
        <v>45968</v>
      </c>
      <c r="L4442" s="6" t="str">
        <f>IFERROR(__xludf.DUMMYFUNCTION("""COMPUTED_VALUE"""),"FIP General")</f>
        <v>FIP General</v>
      </c>
      <c r="M4442" s="6" t="str">
        <f>IFERROR(__xludf.DUMMYFUNCTION("""COMPUTED_VALUE"""),"Mochammad Fadhillah Hakim,")</f>
        <v>Mochammad Fadhillah Hakim,</v>
      </c>
      <c r="N4442" s="6" t="str">
        <f>IFERROR(__xludf.DUMMYFUNCTION("""COMPUTED_VALUE"""),"FIP Engineering")</f>
        <v>FIP Engineering</v>
      </c>
      <c r="O4442" s="6" t="str">
        <f>IFERROR(__xludf.DUMMYFUNCTION("""COMPUTED_VALUE"""),"FIP-DOM-PRJ-13404-MC25005-INA-000000")</f>
        <v>FIP-DOM-PRJ-13404-MC25005-INA-000000</v>
      </c>
      <c r="P4442" s="6" t="str">
        <f>IFERROR(__xludf.DUMMYFUNCTION("""COMPUTED_VALUE"""),"PO Closed")</f>
        <v>PO Closed</v>
      </c>
      <c r="Q4442" s="6" t="str">
        <f>IFERROR(__xludf.DUMMYFUNCTION("""COMPUTED_VALUE"""),"GL2510005")</f>
        <v>GL2510005</v>
      </c>
      <c r="R4442" s="57">
        <f>IFERROR(__xludf.DUMMYFUNCTION("""COMPUTED_VALUE"""),45932.0)</f>
        <v>45932</v>
      </c>
      <c r="S4442" s="57">
        <f>IFERROR(__xludf.DUMMYFUNCTION("""COMPUTED_VALUE"""),45933.0)</f>
        <v>45933</v>
      </c>
      <c r="T4442" s="57">
        <f>IFERROR(__xludf.DUMMYFUNCTION("""COMPUTED_VALUE"""),45968.0)</f>
        <v>45968</v>
      </c>
    </row>
    <row r="4443">
      <c r="A4443" s="6" t="str">
        <f>IFERROR(__xludf.DUMMYFUNCTION("""COMPUTED_VALUE"""),"121703289-5")</f>
        <v>121703289-5</v>
      </c>
      <c r="B4443" s="6" t="str">
        <f>IFERROR(__xludf.DUMMYFUNCTION("""COMPUTED_VALUE"""),"121703289 - APPROVED")</f>
        <v>121703289 - APPROVED</v>
      </c>
      <c r="C4443" s="6">
        <f>IFERROR(__xludf.DUMMYFUNCTION("""COMPUTED_VALUE"""),5.0)</f>
        <v>5</v>
      </c>
      <c r="D4443" s="6" t="str">
        <f>IFERROR(__xludf.DUMMYFUNCTION("""COMPUTED_VALUE"""),"R-20024-00")</f>
        <v>R-20024-00</v>
      </c>
      <c r="E4443" s="6" t="str">
        <f>IFERROR(__xludf.DUMMYFUNCTION("""COMPUTED_VALUE"""),"Machine Equipment; ; ; - KW0500289 - HAND PALLET 2T 68X122 NYLON PRHPN2068 - KW0500289 - HAND PALLET 2T 68X122 NYLON PRHPN2068 - KW0500289 - HAND PALLET 2T 68X122 NYLON PRHPN2068 - KW0500289 - HAND PALLET 2T 68X122 NYLON PRHPN2068 - KW05002")</f>
        <v>Machine Equipment; ; ; - KW0500289 - HAND PALLET 2T 68X122 NYLON PRHPN2068 - KW0500289 - HAND PALLET 2T 68X122 NYLON PRHPN2068 - KW0500289 - HAND PALLET 2T 68X122 NYLON PRHPN2068 - KW0500289 - HAND PALLET 2T 68X122 NYLON PRHPN2068 - KW05002</v>
      </c>
      <c r="F4443" s="6">
        <f>IFERROR(__xludf.DUMMYFUNCTION("""COMPUTED_VALUE"""),1.0)</f>
        <v>1</v>
      </c>
      <c r="G4443" s="6" t="str">
        <f>IFERROR(__xludf.DUMMYFUNCTION("""COMPUTED_VALUE"""),"Unit")</f>
        <v>Unit</v>
      </c>
      <c r="H4443" s="6" t="str">
        <f>IFERROR(__xludf.DUMMYFUNCTION("""COMPUTED_VALUE"""),"IDR")</f>
        <v>IDR</v>
      </c>
      <c r="I4443" s="6">
        <f>IFERROR(__xludf.DUMMYFUNCTION("""COMPUTED_VALUE"""),2720000.0)</f>
        <v>2720000</v>
      </c>
      <c r="J4443" s="6">
        <f>IFERROR(__xludf.DUMMYFUNCTION("""COMPUTED_VALUE"""),2720000.0)</f>
        <v>2720000</v>
      </c>
      <c r="K4443" s="57">
        <f>IFERROR(__xludf.DUMMYFUNCTION("""COMPUTED_VALUE"""),45968.0)</f>
        <v>45968</v>
      </c>
      <c r="L4443" s="6" t="str">
        <f>IFERROR(__xludf.DUMMYFUNCTION("""COMPUTED_VALUE"""),"FIP General")</f>
        <v>FIP General</v>
      </c>
      <c r="M4443" s="6" t="str">
        <f>IFERROR(__xludf.DUMMYFUNCTION("""COMPUTED_VALUE"""),"Mochammad Fadhillah Hakim,")</f>
        <v>Mochammad Fadhillah Hakim,</v>
      </c>
      <c r="N4443" s="6" t="str">
        <f>IFERROR(__xludf.DUMMYFUNCTION("""COMPUTED_VALUE"""),"FIP Engineering")</f>
        <v>FIP Engineering</v>
      </c>
      <c r="O4443" s="6" t="str">
        <f>IFERROR(__xludf.DUMMYFUNCTION("""COMPUTED_VALUE"""),"FIP-DOM-PRJ-13404-MC25005-INA-000000")</f>
        <v>FIP-DOM-PRJ-13404-MC25005-INA-000000</v>
      </c>
      <c r="P4443" s="6" t="str">
        <f>IFERROR(__xludf.DUMMYFUNCTION("""COMPUTED_VALUE"""),"PO Closed")</f>
        <v>PO Closed</v>
      </c>
      <c r="Q4443" s="6" t="str">
        <f>IFERROR(__xludf.DUMMYFUNCTION("""COMPUTED_VALUE"""),"GL2510005")</f>
        <v>GL2510005</v>
      </c>
      <c r="R4443" s="57">
        <f>IFERROR(__xludf.DUMMYFUNCTION("""COMPUTED_VALUE"""),45932.0)</f>
        <v>45932</v>
      </c>
      <c r="S4443" s="57">
        <f>IFERROR(__xludf.DUMMYFUNCTION("""COMPUTED_VALUE"""),45933.0)</f>
        <v>45933</v>
      </c>
      <c r="T4443" s="57">
        <f>IFERROR(__xludf.DUMMYFUNCTION("""COMPUTED_VALUE"""),45968.0)</f>
        <v>45968</v>
      </c>
    </row>
    <row r="4444">
      <c r="A4444" s="6" t="str">
        <f>IFERROR(__xludf.DUMMYFUNCTION("""COMPUTED_VALUE"""),"121703289-6")</f>
        <v>121703289-6</v>
      </c>
      <c r="B4444" s="6" t="str">
        <f>IFERROR(__xludf.DUMMYFUNCTION("""COMPUTED_VALUE"""),"121703289 - APPROVED")</f>
        <v>121703289 - APPROVED</v>
      </c>
      <c r="C4444" s="6">
        <f>IFERROR(__xludf.DUMMYFUNCTION("""COMPUTED_VALUE"""),6.0)</f>
        <v>6</v>
      </c>
      <c r="D4444" s="6" t="str">
        <f>IFERROR(__xludf.DUMMYFUNCTION("""COMPUTED_VALUE"""),"R-20024-00")</f>
        <v>R-20024-00</v>
      </c>
      <c r="E4444" s="6" t="str">
        <f>IFERROR(__xludf.DUMMYFUNCTION("""COMPUTED_VALUE"""),"Machine Equipment; ; ; - KW0500142 - HYDRAULIC BOTTLE JACK 20 TON ERLJB20 - KW0500142 - HYDRAULIC BOTTLE JACK 20 TON ERLJB20 - KW0500142 - HYDRAULIC BOTTLE JACK 20 TON ERLJB20 - KW0500142 - HYDRAULIC BOTTLE JACK 20 TON ERLJB20 - KW0500142 -")</f>
        <v>Machine Equipment; ; ; - KW0500142 - HYDRAULIC BOTTLE JACK 20 TON ERLJB20 - KW0500142 - HYDRAULIC BOTTLE JACK 20 TON ERLJB20 - KW0500142 - HYDRAULIC BOTTLE JACK 20 TON ERLJB20 - KW0500142 - HYDRAULIC BOTTLE JACK 20 TON ERLJB20 - KW0500142 -</v>
      </c>
      <c r="F4444" s="6">
        <f>IFERROR(__xludf.DUMMYFUNCTION("""COMPUTED_VALUE"""),2.0)</f>
        <v>2</v>
      </c>
      <c r="G4444" s="6" t="str">
        <f>IFERROR(__xludf.DUMMYFUNCTION("""COMPUTED_VALUE"""),"Unit")</f>
        <v>Unit</v>
      </c>
      <c r="H4444" s="6" t="str">
        <f>IFERROR(__xludf.DUMMYFUNCTION("""COMPUTED_VALUE"""),"IDR")</f>
        <v>IDR</v>
      </c>
      <c r="I4444" s="6">
        <f>IFERROR(__xludf.DUMMYFUNCTION("""COMPUTED_VALUE"""),1083200.0)</f>
        <v>1083200</v>
      </c>
      <c r="J4444" s="6">
        <f>IFERROR(__xludf.DUMMYFUNCTION("""COMPUTED_VALUE"""),2166400.0)</f>
        <v>2166400</v>
      </c>
      <c r="K4444" s="57">
        <f>IFERROR(__xludf.DUMMYFUNCTION("""COMPUTED_VALUE"""),45968.0)</f>
        <v>45968</v>
      </c>
      <c r="L4444" s="6" t="str">
        <f>IFERROR(__xludf.DUMMYFUNCTION("""COMPUTED_VALUE"""),"FIP General")</f>
        <v>FIP General</v>
      </c>
      <c r="M4444" s="6" t="str">
        <f>IFERROR(__xludf.DUMMYFUNCTION("""COMPUTED_VALUE"""),"Mochammad Fadhillah Hakim,")</f>
        <v>Mochammad Fadhillah Hakim,</v>
      </c>
      <c r="N4444" s="6" t="str">
        <f>IFERROR(__xludf.DUMMYFUNCTION("""COMPUTED_VALUE"""),"FIP Engineering")</f>
        <v>FIP Engineering</v>
      </c>
      <c r="O4444" s="6" t="str">
        <f>IFERROR(__xludf.DUMMYFUNCTION("""COMPUTED_VALUE"""),"FIP-DOM-PRJ-13404-MC25005-INA-000000")</f>
        <v>FIP-DOM-PRJ-13404-MC25005-INA-000000</v>
      </c>
      <c r="P4444" s="6" t="str">
        <f>IFERROR(__xludf.DUMMYFUNCTION("""COMPUTED_VALUE"""),"PO Closed")</f>
        <v>PO Closed</v>
      </c>
      <c r="Q4444" s="6" t="str">
        <f>IFERROR(__xludf.DUMMYFUNCTION("""COMPUTED_VALUE"""),"GL2510005")</f>
        <v>GL2510005</v>
      </c>
      <c r="R4444" s="57">
        <f>IFERROR(__xludf.DUMMYFUNCTION("""COMPUTED_VALUE"""),45932.0)</f>
        <v>45932</v>
      </c>
      <c r="S4444" s="57">
        <f>IFERROR(__xludf.DUMMYFUNCTION("""COMPUTED_VALUE"""),45933.0)</f>
        <v>45933</v>
      </c>
      <c r="T4444" s="57">
        <f>IFERROR(__xludf.DUMMYFUNCTION("""COMPUTED_VALUE"""),45968.0)</f>
        <v>45968</v>
      </c>
    </row>
    <row r="4445">
      <c r="A4445" s="6" t="str">
        <f>IFERROR(__xludf.DUMMYFUNCTION("""COMPUTED_VALUE"""),"121703289-7")</f>
        <v>121703289-7</v>
      </c>
      <c r="B4445" s="6" t="str">
        <f>IFERROR(__xludf.DUMMYFUNCTION("""COMPUTED_VALUE"""),"121703289 - APPROVED")</f>
        <v>121703289 - APPROVED</v>
      </c>
      <c r="C4445" s="6">
        <f>IFERROR(__xludf.DUMMYFUNCTION("""COMPUTED_VALUE"""),7.0)</f>
        <v>7</v>
      </c>
      <c r="D4445" s="6" t="str">
        <f>IFERROR(__xludf.DUMMYFUNCTION("""COMPUTED_VALUE"""),"R-20024-00")</f>
        <v>R-20024-00</v>
      </c>
      <c r="E4445" s="6" t="str">
        <f>IFERROR(__xludf.DUMMYFUNCTION("""COMPUTED_VALUE"""),"Machine Equipment; ; ; - KW0103865 - LADDER MULTI PURPOSE 3.29 MTR 4X3 ALU - KW0103865 - LADDER MULTI PURPOSE 3.29 MTR 4X3 ALU - KW0103865 - LADDER MULTI PURPOSE 3.29 MTR 4X3 ALU - KW0103865 - LADDER MULTI PURPOSE 3.29 MTR 4X3 ALU - KW01038")</f>
        <v>Machine Equipment; ; ; - KW0103865 - LADDER MULTI PURPOSE 3.29 MTR 4X3 ALU - KW0103865 - LADDER MULTI PURPOSE 3.29 MTR 4X3 ALU - KW0103865 - LADDER MULTI PURPOSE 3.29 MTR 4X3 ALU - KW0103865 - LADDER MULTI PURPOSE 3.29 MTR 4X3 ALU - KW01038</v>
      </c>
      <c r="F4445" s="6">
        <f>IFERROR(__xludf.DUMMYFUNCTION("""COMPUTED_VALUE"""),2.0)</f>
        <v>2</v>
      </c>
      <c r="G4445" s="6" t="str">
        <f>IFERROR(__xludf.DUMMYFUNCTION("""COMPUTED_VALUE"""),"Unit")</f>
        <v>Unit</v>
      </c>
      <c r="H4445" s="6" t="str">
        <f>IFERROR(__xludf.DUMMYFUNCTION("""COMPUTED_VALUE"""),"IDR")</f>
        <v>IDR</v>
      </c>
      <c r="I4445" s="6">
        <f>IFERROR(__xludf.DUMMYFUNCTION("""COMPUTED_VALUE"""),1780400.0)</f>
        <v>1780400</v>
      </c>
      <c r="J4445" s="6">
        <f>IFERROR(__xludf.DUMMYFUNCTION("""COMPUTED_VALUE"""),3560800.0)</f>
        <v>3560800</v>
      </c>
      <c r="K4445" s="57">
        <f>IFERROR(__xludf.DUMMYFUNCTION("""COMPUTED_VALUE"""),45968.0)</f>
        <v>45968</v>
      </c>
      <c r="L4445" s="6" t="str">
        <f>IFERROR(__xludf.DUMMYFUNCTION("""COMPUTED_VALUE"""),"FIP General")</f>
        <v>FIP General</v>
      </c>
      <c r="M4445" s="6" t="str">
        <f>IFERROR(__xludf.DUMMYFUNCTION("""COMPUTED_VALUE"""),"Mochammad Fadhillah Hakim,")</f>
        <v>Mochammad Fadhillah Hakim,</v>
      </c>
      <c r="N4445" s="6" t="str">
        <f>IFERROR(__xludf.DUMMYFUNCTION("""COMPUTED_VALUE"""),"FIP Engineering")</f>
        <v>FIP Engineering</v>
      </c>
      <c r="O4445" s="6" t="str">
        <f>IFERROR(__xludf.DUMMYFUNCTION("""COMPUTED_VALUE"""),"FIP-DOM-PRJ-13404-MC25005-INA-000000")</f>
        <v>FIP-DOM-PRJ-13404-MC25005-INA-000000</v>
      </c>
      <c r="P4445" s="6" t="str">
        <f>IFERROR(__xludf.DUMMYFUNCTION("""COMPUTED_VALUE"""),"PO Closed")</f>
        <v>PO Closed</v>
      </c>
      <c r="Q4445" s="6" t="str">
        <f>IFERROR(__xludf.DUMMYFUNCTION("""COMPUTED_VALUE"""),"GL2510005")</f>
        <v>GL2510005</v>
      </c>
      <c r="R4445" s="57">
        <f>IFERROR(__xludf.DUMMYFUNCTION("""COMPUTED_VALUE"""),45932.0)</f>
        <v>45932</v>
      </c>
      <c r="S4445" s="57">
        <f>IFERROR(__xludf.DUMMYFUNCTION("""COMPUTED_VALUE"""),45933.0)</f>
        <v>45933</v>
      </c>
      <c r="T4445" s="57">
        <f>IFERROR(__xludf.DUMMYFUNCTION("""COMPUTED_VALUE"""),45968.0)</f>
        <v>45968</v>
      </c>
    </row>
    <row r="4446">
      <c r="A4446" s="6" t="str">
        <f>IFERROR(__xludf.DUMMYFUNCTION("""COMPUTED_VALUE"""),"121703291-1")</f>
        <v>121703291-1</v>
      </c>
      <c r="B4446" s="6" t="str">
        <f>IFERROR(__xludf.DUMMYFUNCTION("""COMPUTED_VALUE"""),"121703291 - APPROVED")</f>
        <v>121703291 - APPROVED</v>
      </c>
      <c r="C4446" s="6">
        <f>IFERROR(__xludf.DUMMYFUNCTION("""COMPUTED_VALUE"""),1.0)</f>
        <v>1</v>
      </c>
      <c r="D4446" s="6" t="str">
        <f>IFERROR(__xludf.DUMMYFUNCTION("""COMPUTED_VALUE"""),"R-71002-00")</f>
        <v>R-71002-00</v>
      </c>
      <c r="E4446" s="6" t="str">
        <f>IFERROR(__xludf.DUMMYFUNCTION("""COMPUTED_VALUE"""),"Renovation - Penambahan AHU B1-3")</f>
        <v>Renovation - Penambahan AHU B1-3</v>
      </c>
      <c r="F4446" s="6">
        <f>IFERROR(__xludf.DUMMYFUNCTION("""COMPUTED_VALUE"""),1.0)</f>
        <v>1</v>
      </c>
      <c r="G4446" s="6" t="str">
        <f>IFERROR(__xludf.DUMMYFUNCTION("""COMPUTED_VALUE"""),"Unit")</f>
        <v>Unit</v>
      </c>
      <c r="H4446" s="6" t="str">
        <f>IFERROR(__xludf.DUMMYFUNCTION("""COMPUTED_VALUE"""),"IDR")</f>
        <v>IDR</v>
      </c>
      <c r="I4446" s="6">
        <f>IFERROR(__xludf.DUMMYFUNCTION("""COMPUTED_VALUE"""),2.2973515E9)</f>
        <v>2297351500</v>
      </c>
      <c r="J4446" s="6">
        <f>IFERROR(__xludf.DUMMYFUNCTION("""COMPUTED_VALUE"""),2.2973515E9)</f>
        <v>2297351500</v>
      </c>
      <c r="K4446" s="57">
        <f>IFERROR(__xludf.DUMMYFUNCTION("""COMPUTED_VALUE"""),45934.0)</f>
        <v>45934</v>
      </c>
      <c r="L4446" s="6" t="str">
        <f>IFERROR(__xludf.DUMMYFUNCTION("""COMPUTED_VALUE"""),"FIP General")</f>
        <v>FIP General</v>
      </c>
      <c r="M4446" s="6" t="str">
        <f>IFERROR(__xludf.DUMMYFUNCTION("""COMPUTED_VALUE"""),"Mochammad Fadhillah Hakim,")</f>
        <v>Mochammad Fadhillah Hakim,</v>
      </c>
      <c r="N4446" s="6" t="str">
        <f>IFERROR(__xludf.DUMMYFUNCTION("""COMPUTED_VALUE"""),"FIP Engineering")</f>
        <v>FIP Engineering</v>
      </c>
      <c r="O4446" s="6" t="str">
        <f>IFERROR(__xludf.DUMMYFUNCTION("""COMPUTED_VALUE"""),"FIP-DOM-PRJ-13402-BL25007-INA-000000")</f>
        <v>FIP-DOM-PRJ-13402-BL25007-INA-000000</v>
      </c>
      <c r="P4446" s="6" t="str">
        <f>IFERROR(__xludf.DUMMYFUNCTION("""COMPUTED_VALUE"""),"PO Closed")</f>
        <v>PO Closed</v>
      </c>
      <c r="Q4446" s="6"/>
      <c r="R4446" s="57">
        <f>IFERROR(__xludf.DUMMYFUNCTION("""COMPUTED_VALUE"""),45932.0)</f>
        <v>45932</v>
      </c>
      <c r="S4446" s="57">
        <f>IFERROR(__xludf.DUMMYFUNCTION("""COMPUTED_VALUE"""),45957.0)</f>
        <v>45957</v>
      </c>
      <c r="T4446" s="6"/>
    </row>
    <row r="4447">
      <c r="A4447" s="6" t="str">
        <f>IFERROR(__xludf.DUMMYFUNCTION("""COMPUTED_VALUE"""),"121703294-1")</f>
        <v>121703294-1</v>
      </c>
      <c r="B4447" s="6" t="str">
        <f>IFERROR(__xludf.DUMMYFUNCTION("""COMPUTED_VALUE"""),"121703294 - APPROVED")</f>
        <v>121703294 - APPROVED</v>
      </c>
      <c r="C4447" s="6">
        <f>IFERROR(__xludf.DUMMYFUNCTION("""COMPUTED_VALUE"""),1.0)</f>
        <v>1</v>
      </c>
      <c r="D4447" s="6" t="str">
        <f>IFERROR(__xludf.DUMMYFUNCTION("""COMPUTED_VALUE"""),"P-17645-00")</f>
        <v>P-17645-00</v>
      </c>
      <c r="E4447" s="6" t="str">
        <f>IFERROR(__xludf.DUMMYFUNCTION("""COMPUTED_VALUE"""),"Sodium Hiphoclorite; ; ; ltr")</f>
        <v>Sodium Hiphoclorite; ; ; ltr</v>
      </c>
      <c r="F4447" s="6">
        <f>IFERROR(__xludf.DUMMYFUNCTION("""COMPUTED_VALUE"""),940.0)</f>
        <v>940</v>
      </c>
      <c r="G4447" s="6" t="str">
        <f>IFERROR(__xludf.DUMMYFUNCTION("""COMPUTED_VALUE"""),"Liter")</f>
        <v>Liter</v>
      </c>
      <c r="H4447" s="6" t="str">
        <f>IFERROR(__xludf.DUMMYFUNCTION("""COMPUTED_VALUE"""),"IDR")</f>
        <v>IDR</v>
      </c>
      <c r="I4447" s="6">
        <f>IFERROR(__xludf.DUMMYFUNCTION("""COMPUTED_VALUE"""),5000.0)</f>
        <v>5000</v>
      </c>
      <c r="J4447" s="6">
        <f>IFERROR(__xludf.DUMMYFUNCTION("""COMPUTED_VALUE"""),4700000.0)</f>
        <v>4700000</v>
      </c>
      <c r="K4447" s="57">
        <f>IFERROR(__xludf.DUMMYFUNCTION("""COMPUTED_VALUE"""),45968.0)</f>
        <v>45968</v>
      </c>
      <c r="L4447" s="6" t="str">
        <f>IFERROR(__xludf.DUMMYFUNCTION("""COMPUTED_VALUE"""),"FIP Engineering")</f>
        <v>FIP Engineering</v>
      </c>
      <c r="M4447" s="6" t="str">
        <f>IFERROR(__xludf.DUMMYFUNCTION("""COMPUTED_VALUE"""),"Mochammad Fadhillah Hakim,")</f>
        <v>Mochammad Fadhillah Hakim,</v>
      </c>
      <c r="N4447" s="6" t="str">
        <f>IFERROR(__xludf.DUMMYFUNCTION("""COMPUTED_VALUE"""),"FIP Engineering")</f>
        <v>FIP Engineering</v>
      </c>
      <c r="O4447" s="6" t="str">
        <f>IFERROR(__xludf.DUMMYFUNCTION("""COMPUTED_VALUE"""),"FIP-DOM-000-11304-OS00001-INA-000000")</f>
        <v>FIP-DOM-000-11304-OS00001-INA-000000</v>
      </c>
      <c r="P4447" s="6" t="str">
        <f>IFERROR(__xludf.DUMMYFUNCTION("""COMPUTED_VALUE"""),"PO Closed")</f>
        <v>PO Closed</v>
      </c>
      <c r="Q4447" s="6" t="str">
        <f>IFERROR(__xludf.DUMMYFUNCTION("""COMPUTED_VALUE"""),"GL2510009")</f>
        <v>GL2510009</v>
      </c>
      <c r="R4447" s="57">
        <f>IFERROR(__xludf.DUMMYFUNCTION("""COMPUTED_VALUE"""),45932.0)</f>
        <v>45932</v>
      </c>
      <c r="S4447" s="57">
        <f>IFERROR(__xludf.DUMMYFUNCTION("""COMPUTED_VALUE"""),45932.0)</f>
        <v>45932</v>
      </c>
      <c r="T4447" s="57">
        <f>IFERROR(__xludf.DUMMYFUNCTION("""COMPUTED_VALUE"""),45968.0)</f>
        <v>45968</v>
      </c>
    </row>
    <row r="4448">
      <c r="A4448" s="6" t="str">
        <f>IFERROR(__xludf.DUMMYFUNCTION("""COMPUTED_VALUE"""),"121703295-1")</f>
        <v>121703295-1</v>
      </c>
      <c r="B4448" s="6" t="str">
        <f>IFERROR(__xludf.DUMMYFUNCTION("""COMPUTED_VALUE"""),"121703295 - APPROVED")</f>
        <v>121703295 - APPROVED</v>
      </c>
      <c r="C4448" s="6">
        <f>IFERROR(__xludf.DUMMYFUNCTION("""COMPUTED_VALUE"""),1.0)</f>
        <v>1</v>
      </c>
      <c r="D4448" s="6" t="str">
        <f>IFERROR(__xludf.DUMMYFUNCTION("""COMPUTED_VALUE"""),"Q-10153-00")</f>
        <v>Q-10153-00</v>
      </c>
      <c r="E4448" s="6" t="str">
        <f>IFERROR(__xludf.DUMMYFUNCTION("""COMPUTED_VALUE"""),"Kuas Cat Roller uk. 110 mm;No Brand;;pack size per set")</f>
        <v>Kuas Cat Roller uk. 110 mm;No Brand;;pack size per set</v>
      </c>
      <c r="F4448" s="6">
        <f>IFERROR(__xludf.DUMMYFUNCTION("""COMPUTED_VALUE"""),10.0)</f>
        <v>10</v>
      </c>
      <c r="G4448" s="6" t="str">
        <f>IFERROR(__xludf.DUMMYFUNCTION("""COMPUTED_VALUE"""),"Pieces")</f>
        <v>Pieces</v>
      </c>
      <c r="H4448" s="6" t="str">
        <f>IFERROR(__xludf.DUMMYFUNCTION("""COMPUTED_VALUE"""),"IDR")</f>
        <v>IDR</v>
      </c>
      <c r="I4448" s="6">
        <f>IFERROR(__xludf.DUMMYFUNCTION("""COMPUTED_VALUE"""),27000.0)</f>
        <v>27000</v>
      </c>
      <c r="J4448" s="6">
        <f>IFERROR(__xludf.DUMMYFUNCTION("""COMPUTED_VALUE"""),270000.0)</f>
        <v>270000</v>
      </c>
      <c r="K4448" s="57">
        <f>IFERROR(__xludf.DUMMYFUNCTION("""COMPUTED_VALUE"""),45968.0)</f>
        <v>45968</v>
      </c>
      <c r="L4448" s="6" t="str">
        <f>IFERROR(__xludf.DUMMYFUNCTION("""COMPUTED_VALUE"""),"FIP Engineering")</f>
        <v>FIP Engineering</v>
      </c>
      <c r="M4448" s="6" t="str">
        <f>IFERROR(__xludf.DUMMYFUNCTION("""COMPUTED_VALUE"""),"Mochammad Fadhillah Hakim,")</f>
        <v>Mochammad Fadhillah Hakim,</v>
      </c>
      <c r="N4448" s="6" t="str">
        <f>IFERROR(__xludf.DUMMYFUNCTION("""COMPUTED_VALUE"""),"FIP Engineering")</f>
        <v>FIP Engineering</v>
      </c>
      <c r="O4448" s="6" t="str">
        <f>IFERROR(__xludf.DUMMYFUNCTION("""COMPUTED_VALUE"""),"FIP-DOM-000-11304-OS00001-INA-000000")</f>
        <v>FIP-DOM-000-11304-OS00001-INA-000000</v>
      </c>
      <c r="P4448" s="6" t="str">
        <f>IFERROR(__xludf.DUMMYFUNCTION("""COMPUTED_VALUE"""),"PO Closed")</f>
        <v>PO Closed</v>
      </c>
      <c r="Q4448" s="6" t="str">
        <f>IFERROR(__xludf.DUMMYFUNCTION("""COMPUTED_VALUE"""),"GL2511002")</f>
        <v>GL2511002</v>
      </c>
      <c r="R4448" s="57">
        <f>IFERROR(__xludf.DUMMYFUNCTION("""COMPUTED_VALUE"""),45932.0)</f>
        <v>45932</v>
      </c>
      <c r="S4448" s="57">
        <f>IFERROR(__xludf.DUMMYFUNCTION("""COMPUTED_VALUE"""),45933.0)</f>
        <v>45933</v>
      </c>
      <c r="T4448" s="57">
        <f>IFERROR(__xludf.DUMMYFUNCTION("""COMPUTED_VALUE"""),45981.0)</f>
        <v>45981</v>
      </c>
    </row>
    <row r="4449">
      <c r="A4449" s="6" t="str">
        <f>IFERROR(__xludf.DUMMYFUNCTION("""COMPUTED_VALUE"""),"121703296-1")</f>
        <v>121703296-1</v>
      </c>
      <c r="B4449" s="6" t="str">
        <f>IFERROR(__xludf.DUMMYFUNCTION("""COMPUTED_VALUE"""),"121703296 - APPROVED")</f>
        <v>121703296 - APPROVED</v>
      </c>
      <c r="C4449" s="6">
        <f>IFERROR(__xludf.DUMMYFUNCTION("""COMPUTED_VALUE"""),1.0)</f>
        <v>1</v>
      </c>
      <c r="D4449" s="6" t="str">
        <f>IFERROR(__xludf.DUMMYFUNCTION("""COMPUTED_VALUE"""),"P-12471-00")</f>
        <v>P-12471-00</v>
      </c>
      <c r="E4449" s="6" t="str">
        <f>IFERROR(__xludf.DUMMYFUNCTION("""COMPUTED_VALUE"""),"General - Lem silicone; Elastosil; E41; 90gram/tube")</f>
        <v>General - Lem silicone; Elastosil; E41; 90gram/tube</v>
      </c>
      <c r="F4449" s="6">
        <f>IFERROR(__xludf.DUMMYFUNCTION("""COMPUTED_VALUE"""),2.0)</f>
        <v>2</v>
      </c>
      <c r="G4449" s="6" t="str">
        <f>IFERROR(__xludf.DUMMYFUNCTION("""COMPUTED_VALUE"""),"Pieces")</f>
        <v>Pieces</v>
      </c>
      <c r="H4449" s="6" t="str">
        <f>IFERROR(__xludf.DUMMYFUNCTION("""COMPUTED_VALUE"""),"IDR")</f>
        <v>IDR</v>
      </c>
      <c r="I4449" s="6">
        <f>IFERROR(__xludf.DUMMYFUNCTION("""COMPUTED_VALUE"""),579000.0)</f>
        <v>579000</v>
      </c>
      <c r="J4449" s="6">
        <f>IFERROR(__xludf.DUMMYFUNCTION("""COMPUTED_VALUE"""),1158000.0)</f>
        <v>1158000</v>
      </c>
      <c r="K4449" s="57">
        <f>IFERROR(__xludf.DUMMYFUNCTION("""COMPUTED_VALUE"""),45968.0)</f>
        <v>45968</v>
      </c>
      <c r="L4449" s="6" t="str">
        <f>IFERROR(__xludf.DUMMYFUNCTION("""COMPUTED_VALUE"""),"FIP Engineering")</f>
        <v>FIP Engineering</v>
      </c>
      <c r="M4449" s="6" t="str">
        <f>IFERROR(__xludf.DUMMYFUNCTION("""COMPUTED_VALUE"""),"Mochammad Fadhillah Hakim,")</f>
        <v>Mochammad Fadhillah Hakim,</v>
      </c>
      <c r="N4449" s="6" t="str">
        <f>IFERROR(__xludf.DUMMYFUNCTION("""COMPUTED_VALUE"""),"FIP Engineering")</f>
        <v>FIP Engineering</v>
      </c>
      <c r="O4449" s="6" t="str">
        <f>IFERROR(__xludf.DUMMYFUNCTION("""COMPUTED_VALUE"""),"FIP-DOM-000-11304-OS00001-INA-000000")</f>
        <v>FIP-DOM-000-11304-OS00001-INA-000000</v>
      </c>
      <c r="P4449" s="6" t="str">
        <f>IFERROR(__xludf.DUMMYFUNCTION("""COMPUTED_VALUE"""),"PO Closed")</f>
        <v>PO Closed</v>
      </c>
      <c r="Q4449" s="6" t="str">
        <f>IFERROR(__xludf.DUMMYFUNCTION("""COMPUTED_VALUE"""),"GL2510010")</f>
        <v>GL2510010</v>
      </c>
      <c r="R4449" s="57">
        <f>IFERROR(__xludf.DUMMYFUNCTION("""COMPUTED_VALUE"""),45932.0)</f>
        <v>45932</v>
      </c>
      <c r="S4449" s="57">
        <f>IFERROR(__xludf.DUMMYFUNCTION("""COMPUTED_VALUE"""),45932.0)</f>
        <v>45932</v>
      </c>
      <c r="T4449" s="57">
        <f>IFERROR(__xludf.DUMMYFUNCTION("""COMPUTED_VALUE"""),45968.0)</f>
        <v>45968</v>
      </c>
    </row>
    <row r="4450">
      <c r="A4450" s="6" t="str">
        <f>IFERROR(__xludf.DUMMYFUNCTION("""COMPUTED_VALUE"""),"121703297-1")</f>
        <v>121703297-1</v>
      </c>
      <c r="B4450" s="6" t="str">
        <f>IFERROR(__xludf.DUMMYFUNCTION("""COMPUTED_VALUE"""),"121703297 - APPROVED")</f>
        <v>121703297 - APPROVED</v>
      </c>
      <c r="C4450" s="6">
        <f>IFERROR(__xludf.DUMMYFUNCTION("""COMPUTED_VALUE"""),1.0)</f>
        <v>1</v>
      </c>
      <c r="D4450" s="6" t="str">
        <f>IFERROR(__xludf.DUMMYFUNCTION("""COMPUTED_VALUE"""),"P-19622-00")</f>
        <v>P-19622-00</v>
      </c>
      <c r="E4450" s="6" t="str">
        <f>IFERROR(__xludf.DUMMYFUNCTION("""COMPUTED_VALUE"""),"General - Hollow SS 304 Uk. 40 x 40 x 1,2mm x 6m; No Brand; -; 1 pc")</f>
        <v>General - Hollow SS 304 Uk. 40 x 40 x 1,2mm x 6m; No Brand; -; 1 pc</v>
      </c>
      <c r="F4450" s="6">
        <f>IFERROR(__xludf.DUMMYFUNCTION("""COMPUTED_VALUE"""),6.0)</f>
        <v>6</v>
      </c>
      <c r="G4450" s="6" t="str">
        <f>IFERROR(__xludf.DUMMYFUNCTION("""COMPUTED_VALUE"""),"Pieces")</f>
        <v>Pieces</v>
      </c>
      <c r="H4450" s="6" t="str">
        <f>IFERROR(__xludf.DUMMYFUNCTION("""COMPUTED_VALUE"""),"IDR")</f>
        <v>IDR</v>
      </c>
      <c r="I4450" s="6">
        <f>IFERROR(__xludf.DUMMYFUNCTION("""COMPUTED_VALUE"""),855000.0)</f>
        <v>855000</v>
      </c>
      <c r="J4450" s="6">
        <f>IFERROR(__xludf.DUMMYFUNCTION("""COMPUTED_VALUE"""),5130000.0)</f>
        <v>5130000</v>
      </c>
      <c r="K4450" s="57">
        <f>IFERROR(__xludf.DUMMYFUNCTION("""COMPUTED_VALUE"""),45968.0)</f>
        <v>45968</v>
      </c>
      <c r="L4450" s="6" t="str">
        <f>IFERROR(__xludf.DUMMYFUNCTION("""COMPUTED_VALUE"""),"FIP Engineering")</f>
        <v>FIP Engineering</v>
      </c>
      <c r="M4450" s="6" t="str">
        <f>IFERROR(__xludf.DUMMYFUNCTION("""COMPUTED_VALUE"""),"Mochammad Fadhillah Hakim,")</f>
        <v>Mochammad Fadhillah Hakim,</v>
      </c>
      <c r="N4450" s="6" t="str">
        <f>IFERROR(__xludf.DUMMYFUNCTION("""COMPUTED_VALUE"""),"FIP Engineering")</f>
        <v>FIP Engineering</v>
      </c>
      <c r="O4450" s="6" t="str">
        <f>IFERROR(__xludf.DUMMYFUNCTION("""COMPUTED_VALUE"""),"FIP-DOM-000-11304-OS00001-INA-000000")</f>
        <v>FIP-DOM-000-11304-OS00001-INA-000000</v>
      </c>
      <c r="P4450" s="6" t="str">
        <f>IFERROR(__xludf.DUMMYFUNCTION("""COMPUTED_VALUE"""),"PO Closed")</f>
        <v>PO Closed</v>
      </c>
      <c r="Q4450" s="6" t="str">
        <f>IFERROR(__xludf.DUMMYFUNCTION("""COMPUTED_VALUE"""),"GL2510053")</f>
        <v>GL2510053</v>
      </c>
      <c r="R4450" s="57">
        <f>IFERROR(__xludf.DUMMYFUNCTION("""COMPUTED_VALUE"""),45932.0)</f>
        <v>45932</v>
      </c>
      <c r="S4450" s="57">
        <f>IFERROR(__xludf.DUMMYFUNCTION("""COMPUTED_VALUE"""),45937.0)</f>
        <v>45937</v>
      </c>
      <c r="T4450" s="57">
        <f>IFERROR(__xludf.DUMMYFUNCTION("""COMPUTED_VALUE"""),45968.0)</f>
        <v>45968</v>
      </c>
    </row>
    <row r="4451">
      <c r="A4451" s="6" t="str">
        <f>IFERROR(__xludf.DUMMYFUNCTION("""COMPUTED_VALUE"""),"121703297-2")</f>
        <v>121703297-2</v>
      </c>
      <c r="B4451" s="6" t="str">
        <f>IFERROR(__xludf.DUMMYFUNCTION("""COMPUTED_VALUE"""),"121703297 - APPROVED")</f>
        <v>121703297 - APPROVED</v>
      </c>
      <c r="C4451" s="6">
        <f>IFERROR(__xludf.DUMMYFUNCTION("""COMPUTED_VALUE"""),2.0)</f>
        <v>2</v>
      </c>
      <c r="D4451" s="6" t="str">
        <f>IFERROR(__xludf.DUMMYFUNCTION("""COMPUTED_VALUE"""),"P-20045-00")</f>
        <v>P-20045-00</v>
      </c>
      <c r="E4451" s="6" t="str">
        <f>IFERROR(__xludf.DUMMYFUNCTION("""COMPUTED_VALUE"""),"General - Pipa Ornamen SS304 1 inch x 1.2mm x 6m; No Brand; -; 1 pc")</f>
        <v>General - Pipa Ornamen SS304 1 inch x 1.2mm x 6m; No Brand; -; 1 pc</v>
      </c>
      <c r="F4451" s="6">
        <f>IFERROR(__xludf.DUMMYFUNCTION("""COMPUTED_VALUE"""),2.0)</f>
        <v>2</v>
      </c>
      <c r="G4451" s="6" t="str">
        <f>IFERROR(__xludf.DUMMYFUNCTION("""COMPUTED_VALUE"""),"Pieces")</f>
        <v>Pieces</v>
      </c>
      <c r="H4451" s="6" t="str">
        <f>IFERROR(__xludf.DUMMYFUNCTION("""COMPUTED_VALUE"""),"IDR")</f>
        <v>IDR</v>
      </c>
      <c r="I4451" s="6">
        <f>IFERROR(__xludf.DUMMYFUNCTION("""COMPUTED_VALUE"""),535000.0)</f>
        <v>535000</v>
      </c>
      <c r="J4451" s="6">
        <f>IFERROR(__xludf.DUMMYFUNCTION("""COMPUTED_VALUE"""),1070000.0)</f>
        <v>1070000</v>
      </c>
      <c r="K4451" s="57">
        <f>IFERROR(__xludf.DUMMYFUNCTION("""COMPUTED_VALUE"""),45968.0)</f>
        <v>45968</v>
      </c>
      <c r="L4451" s="6" t="str">
        <f>IFERROR(__xludf.DUMMYFUNCTION("""COMPUTED_VALUE"""),"FIP Engineering")</f>
        <v>FIP Engineering</v>
      </c>
      <c r="M4451" s="6" t="str">
        <f>IFERROR(__xludf.DUMMYFUNCTION("""COMPUTED_VALUE"""),"Mochammad Fadhillah Hakim,")</f>
        <v>Mochammad Fadhillah Hakim,</v>
      </c>
      <c r="N4451" s="6" t="str">
        <f>IFERROR(__xludf.DUMMYFUNCTION("""COMPUTED_VALUE"""),"FIP Engineering")</f>
        <v>FIP Engineering</v>
      </c>
      <c r="O4451" s="6" t="str">
        <f>IFERROR(__xludf.DUMMYFUNCTION("""COMPUTED_VALUE"""),"FIP-DOM-000-11304-OS00001-INA-000000")</f>
        <v>FIP-DOM-000-11304-OS00001-INA-000000</v>
      </c>
      <c r="P4451" s="6" t="str">
        <f>IFERROR(__xludf.DUMMYFUNCTION("""COMPUTED_VALUE"""),"PO Closed")</f>
        <v>PO Closed</v>
      </c>
      <c r="Q4451" s="6" t="str">
        <f>IFERROR(__xludf.DUMMYFUNCTION("""COMPUTED_VALUE"""),"GL2510053")</f>
        <v>GL2510053</v>
      </c>
      <c r="R4451" s="57">
        <f>IFERROR(__xludf.DUMMYFUNCTION("""COMPUTED_VALUE"""),45932.0)</f>
        <v>45932</v>
      </c>
      <c r="S4451" s="57">
        <f>IFERROR(__xludf.DUMMYFUNCTION("""COMPUTED_VALUE"""),45937.0)</f>
        <v>45937</v>
      </c>
      <c r="T4451" s="57">
        <f>IFERROR(__xludf.DUMMYFUNCTION("""COMPUTED_VALUE"""),45968.0)</f>
        <v>45968</v>
      </c>
    </row>
    <row r="4452">
      <c r="A4452" s="6" t="str">
        <f>IFERROR(__xludf.DUMMYFUNCTION("""COMPUTED_VALUE"""),"121703297-3")</f>
        <v>121703297-3</v>
      </c>
      <c r="B4452" s="6" t="str">
        <f>IFERROR(__xludf.DUMMYFUNCTION("""COMPUTED_VALUE"""),"121703297 - APPROVED")</f>
        <v>121703297 - APPROVED</v>
      </c>
      <c r="C4452" s="6">
        <f>IFERROR(__xludf.DUMMYFUNCTION("""COMPUTED_VALUE"""),3.0)</f>
        <v>3</v>
      </c>
      <c r="D4452" s="6" t="str">
        <f>IFERROR(__xludf.DUMMYFUNCTION("""COMPUTED_VALUE"""),"P-20049-00")</f>
        <v>P-20049-00</v>
      </c>
      <c r="E4452" s="6" t="str">
        <f>IFERROR(__xludf.DUMMYFUNCTION("""COMPUTED_VALUE"""),"General - Bobbin Gulungan Kabel Jumbo 30cm; No Brand; -; 1 pc")</f>
        <v>General - Bobbin Gulungan Kabel Jumbo 30cm; No Brand; -; 1 pc</v>
      </c>
      <c r="F4452" s="6">
        <f>IFERROR(__xludf.DUMMYFUNCTION("""COMPUTED_VALUE"""),10.0)</f>
        <v>10</v>
      </c>
      <c r="G4452" s="6" t="str">
        <f>IFERROR(__xludf.DUMMYFUNCTION("""COMPUTED_VALUE"""),"Pieces")</f>
        <v>Pieces</v>
      </c>
      <c r="H4452" s="6" t="str">
        <f>IFERROR(__xludf.DUMMYFUNCTION("""COMPUTED_VALUE"""),"IDR")</f>
        <v>IDR</v>
      </c>
      <c r="I4452" s="6">
        <f>IFERROR(__xludf.DUMMYFUNCTION("""COMPUTED_VALUE"""),55000.0)</f>
        <v>55000</v>
      </c>
      <c r="J4452" s="6">
        <f>IFERROR(__xludf.DUMMYFUNCTION("""COMPUTED_VALUE"""),550000.0)</f>
        <v>550000</v>
      </c>
      <c r="K4452" s="57">
        <f>IFERROR(__xludf.DUMMYFUNCTION("""COMPUTED_VALUE"""),45968.0)</f>
        <v>45968</v>
      </c>
      <c r="L4452" s="6" t="str">
        <f>IFERROR(__xludf.DUMMYFUNCTION("""COMPUTED_VALUE"""),"FIP Engineering")</f>
        <v>FIP Engineering</v>
      </c>
      <c r="M4452" s="6" t="str">
        <f>IFERROR(__xludf.DUMMYFUNCTION("""COMPUTED_VALUE"""),"Mochammad Fadhillah Hakim,")</f>
        <v>Mochammad Fadhillah Hakim,</v>
      </c>
      <c r="N4452" s="6" t="str">
        <f>IFERROR(__xludf.DUMMYFUNCTION("""COMPUTED_VALUE"""),"FIP Engineering")</f>
        <v>FIP Engineering</v>
      </c>
      <c r="O4452" s="6" t="str">
        <f>IFERROR(__xludf.DUMMYFUNCTION("""COMPUTED_VALUE"""),"FIP-DOM-000-11304-OS00001-INA-000000")</f>
        <v>FIP-DOM-000-11304-OS00001-INA-000000</v>
      </c>
      <c r="P4452" s="6" t="str">
        <f>IFERROR(__xludf.DUMMYFUNCTION("""COMPUTED_VALUE"""),"PO Closed")</f>
        <v>PO Closed</v>
      </c>
      <c r="Q4452" s="6" t="str">
        <f>IFERROR(__xludf.DUMMYFUNCTION("""COMPUTED_VALUE"""),"GL2510496")</f>
        <v>GL2510496</v>
      </c>
      <c r="R4452" s="57">
        <f>IFERROR(__xludf.DUMMYFUNCTION("""COMPUTED_VALUE"""),45932.0)</f>
        <v>45932</v>
      </c>
      <c r="S4452" s="57">
        <f>IFERROR(__xludf.DUMMYFUNCTION("""COMPUTED_VALUE"""),45937.0)</f>
        <v>45937</v>
      </c>
      <c r="T4452" s="57">
        <f>IFERROR(__xludf.DUMMYFUNCTION("""COMPUTED_VALUE"""),45968.0)</f>
        <v>45968</v>
      </c>
    </row>
    <row r="4453">
      <c r="A4453" s="6" t="str">
        <f>IFERROR(__xludf.DUMMYFUNCTION("""COMPUTED_VALUE"""),"121703302-1")</f>
        <v>121703302-1</v>
      </c>
      <c r="B4453" s="6" t="str">
        <f>IFERROR(__xludf.DUMMYFUNCTION("""COMPUTED_VALUE"""),"121703302 - APPROVED")</f>
        <v>121703302 - APPROVED</v>
      </c>
      <c r="C4453" s="6">
        <f>IFERROR(__xludf.DUMMYFUNCTION("""COMPUTED_VALUE"""),1.0)</f>
        <v>1</v>
      </c>
      <c r="D4453" s="6" t="str">
        <f>IFERROR(__xludf.DUMMYFUNCTION("""COMPUTED_VALUE"""),"T-20129-00")</f>
        <v>T-20129-00</v>
      </c>
      <c r="E4453" s="6" t="str">
        <f>IFERROR(__xludf.DUMMYFUNCTION("""COMPUTED_VALUE"""),"Deuterium Lamp L6380 80V; Shimadzu; c/n 062-65055-05; 1 pc")</f>
        <v>Deuterium Lamp L6380 80V; Shimadzu; c/n 062-65055-05; 1 pc</v>
      </c>
      <c r="F4453" s="6">
        <f>IFERROR(__xludf.DUMMYFUNCTION("""COMPUTED_VALUE"""),1.0)</f>
        <v>1</v>
      </c>
      <c r="G4453" s="6" t="str">
        <f>IFERROR(__xludf.DUMMYFUNCTION("""COMPUTED_VALUE"""),"Pieces")</f>
        <v>Pieces</v>
      </c>
      <c r="H4453" s="6" t="str">
        <f>IFERROR(__xludf.DUMMYFUNCTION("""COMPUTED_VALUE"""),"IDR")</f>
        <v>IDR</v>
      </c>
      <c r="I4453" s="6">
        <f>IFERROR(__xludf.DUMMYFUNCTION("""COMPUTED_VALUE"""),9263760.0)</f>
        <v>9263760</v>
      </c>
      <c r="J4453" s="6">
        <f>IFERROR(__xludf.DUMMYFUNCTION("""COMPUTED_VALUE"""),9263760.0)</f>
        <v>9263760</v>
      </c>
      <c r="K4453" s="57">
        <f>IFERROR(__xludf.DUMMYFUNCTION("""COMPUTED_VALUE"""),45968.0)</f>
        <v>45968</v>
      </c>
      <c r="L4453" s="6" t="str">
        <f>IFERROR(__xludf.DUMMYFUNCTION("""COMPUTED_VALUE"""),"FIP General")</f>
        <v>FIP General</v>
      </c>
      <c r="M4453" s="6" t="str">
        <f>IFERROR(__xludf.DUMMYFUNCTION("""COMPUTED_VALUE"""),"Mochammad Fadhillah Hakim,")</f>
        <v>Mochammad Fadhillah Hakim,</v>
      </c>
      <c r="N4453" s="6" t="str">
        <f>IFERROR(__xludf.DUMMYFUNCTION("""COMPUTED_VALUE"""),"FIP Engineering")</f>
        <v>FIP Engineering</v>
      </c>
      <c r="O4453" s="6" t="str">
        <f>IFERROR(__xludf.DUMMYFUNCTION("""COMPUTED_VALUE"""),"FIP-DOM-ENG-51505-0000000-INA-000000")</f>
        <v>FIP-DOM-ENG-51505-0000000-INA-000000</v>
      </c>
      <c r="P4453" s="6" t="str">
        <f>IFERROR(__xludf.DUMMYFUNCTION("""COMPUTED_VALUE"""),"PO Closed")</f>
        <v>PO Closed</v>
      </c>
      <c r="Q4453" s="6" t="str">
        <f>IFERROR(__xludf.DUMMYFUNCTION("""COMPUTED_VALUE"""),"GL2511497")</f>
        <v>GL2511497</v>
      </c>
      <c r="R4453" s="57">
        <f>IFERROR(__xludf.DUMMYFUNCTION("""COMPUTED_VALUE"""),45933.0)</f>
        <v>45933</v>
      </c>
      <c r="S4453" s="57">
        <f>IFERROR(__xludf.DUMMYFUNCTION("""COMPUTED_VALUE"""),45951.0)</f>
        <v>45951</v>
      </c>
      <c r="T4453" s="57">
        <f>IFERROR(__xludf.DUMMYFUNCTION("""COMPUTED_VALUE"""),46006.0)</f>
        <v>46006</v>
      </c>
    </row>
    <row r="4454">
      <c r="A4454" s="6" t="str">
        <f>IFERROR(__xludf.DUMMYFUNCTION("""COMPUTED_VALUE"""),"121703302-2")</f>
        <v>121703302-2</v>
      </c>
      <c r="B4454" s="6" t="str">
        <f>IFERROR(__xludf.DUMMYFUNCTION("""COMPUTED_VALUE"""),"121703302 - APPROVED")</f>
        <v>121703302 - APPROVED</v>
      </c>
      <c r="C4454" s="6">
        <f>IFERROR(__xludf.DUMMYFUNCTION("""COMPUTED_VALUE"""),2.0)</f>
        <v>2</v>
      </c>
      <c r="D4454" s="6" t="str">
        <f>IFERROR(__xludf.DUMMYFUNCTION("""COMPUTED_VALUE"""),"T-20381-00")</f>
        <v>T-20381-00</v>
      </c>
      <c r="E4454" s="6" t="str">
        <f>IFERROR(__xludf.DUMMYFUNCTION("""COMPUTED_VALUE"""),"Halogen Lamp NA55917 12V; Shimadzu; Part No. 062-65005; 1")</f>
        <v>Halogen Lamp NA55917 12V; Shimadzu; Part No. 062-65005; 1</v>
      </c>
      <c r="F4454" s="6">
        <f>IFERROR(__xludf.DUMMYFUNCTION("""COMPUTED_VALUE"""),1.0)</f>
        <v>1</v>
      </c>
      <c r="G4454" s="6" t="str">
        <f>IFERROR(__xludf.DUMMYFUNCTION("""COMPUTED_VALUE"""),"Pieces")</f>
        <v>Pieces</v>
      </c>
      <c r="H4454" s="6" t="str">
        <f>IFERROR(__xludf.DUMMYFUNCTION("""COMPUTED_VALUE"""),"IDR")</f>
        <v>IDR</v>
      </c>
      <c r="I4454" s="6">
        <f>IFERROR(__xludf.DUMMYFUNCTION("""COMPUTED_VALUE"""),1103520.0)</f>
        <v>1103520</v>
      </c>
      <c r="J4454" s="6">
        <f>IFERROR(__xludf.DUMMYFUNCTION("""COMPUTED_VALUE"""),1103520.0)</f>
        <v>1103520</v>
      </c>
      <c r="K4454" s="57">
        <f>IFERROR(__xludf.DUMMYFUNCTION("""COMPUTED_VALUE"""),45968.0)</f>
        <v>45968</v>
      </c>
      <c r="L4454" s="6" t="str">
        <f>IFERROR(__xludf.DUMMYFUNCTION("""COMPUTED_VALUE"""),"FIP General")</f>
        <v>FIP General</v>
      </c>
      <c r="M4454" s="6" t="str">
        <f>IFERROR(__xludf.DUMMYFUNCTION("""COMPUTED_VALUE"""),"Mochammad Fadhillah Hakim,")</f>
        <v>Mochammad Fadhillah Hakim,</v>
      </c>
      <c r="N4454" s="6" t="str">
        <f>IFERROR(__xludf.DUMMYFUNCTION("""COMPUTED_VALUE"""),"FIP Engineering")</f>
        <v>FIP Engineering</v>
      </c>
      <c r="O4454" s="6" t="str">
        <f>IFERROR(__xludf.DUMMYFUNCTION("""COMPUTED_VALUE"""),"FIP-DOM-ENG-51505-0000000-INA-000000")</f>
        <v>FIP-DOM-ENG-51505-0000000-INA-000000</v>
      </c>
      <c r="P4454" s="6" t="str">
        <f>IFERROR(__xludf.DUMMYFUNCTION("""COMPUTED_VALUE"""),"PO Closed")</f>
        <v>PO Closed</v>
      </c>
      <c r="Q4454" s="6" t="str">
        <f>IFERROR(__xludf.DUMMYFUNCTION("""COMPUTED_VALUE"""),"GL2511497")</f>
        <v>GL2511497</v>
      </c>
      <c r="R4454" s="57">
        <f>IFERROR(__xludf.DUMMYFUNCTION("""COMPUTED_VALUE"""),45933.0)</f>
        <v>45933</v>
      </c>
      <c r="S4454" s="57">
        <f>IFERROR(__xludf.DUMMYFUNCTION("""COMPUTED_VALUE"""),45951.0)</f>
        <v>45951</v>
      </c>
      <c r="T4454" s="57">
        <f>IFERROR(__xludf.DUMMYFUNCTION("""COMPUTED_VALUE"""),46006.0)</f>
        <v>46006</v>
      </c>
    </row>
    <row r="4455">
      <c r="A4455" s="6" t="str">
        <f>IFERROR(__xludf.DUMMYFUNCTION("""COMPUTED_VALUE"""),"121703303-1")</f>
        <v>121703303-1</v>
      </c>
      <c r="B4455" s="6" t="str">
        <f>IFERROR(__xludf.DUMMYFUNCTION("""COMPUTED_VALUE"""),"121703303 - APPROVED")</f>
        <v>121703303 - APPROVED</v>
      </c>
      <c r="C4455" s="6">
        <f>IFERROR(__xludf.DUMMYFUNCTION("""COMPUTED_VALUE"""),1.0)</f>
        <v>1</v>
      </c>
      <c r="D4455" s="6" t="str">
        <f>IFERROR(__xludf.DUMMYFUNCTION("""COMPUTED_VALUE"""),"O-53275-00")</f>
        <v>O-53275-00</v>
      </c>
      <c r="E4455" s="6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F4455" s="6">
        <f>IFERROR(__xludf.DUMMYFUNCTION("""COMPUTED_VALUE"""),1.0)</f>
        <v>1</v>
      </c>
      <c r="G4455" s="6" t="str">
        <f>IFERROR(__xludf.DUMMYFUNCTION("""COMPUTED_VALUE"""),"Pieces")</f>
        <v>Pieces</v>
      </c>
      <c r="H4455" s="6" t="str">
        <f>IFERROR(__xludf.DUMMYFUNCTION("""COMPUTED_VALUE"""),"IDR")</f>
        <v>IDR</v>
      </c>
      <c r="I4455" s="6">
        <f>IFERROR(__xludf.DUMMYFUNCTION("""COMPUTED_VALUE"""),1125600.0)</f>
        <v>1125600</v>
      </c>
      <c r="J4455" s="6">
        <f>IFERROR(__xludf.DUMMYFUNCTION("""COMPUTED_VALUE"""),1125600.0)</f>
        <v>1125600</v>
      </c>
      <c r="K4455" s="57">
        <f>IFERROR(__xludf.DUMMYFUNCTION("""COMPUTED_VALUE"""),45996.0)</f>
        <v>45996</v>
      </c>
      <c r="L4455" s="6" t="str">
        <f>IFERROR(__xludf.DUMMYFUNCTION("""COMPUTED_VALUE"""),"FIP Engineering")</f>
        <v>FIP Engineering</v>
      </c>
      <c r="M4455" s="6" t="str">
        <f>IFERROR(__xludf.DUMMYFUNCTION("""COMPUTED_VALUE"""),"Mochammad Fadhillah Hakim,")</f>
        <v>Mochammad Fadhillah Hakim,</v>
      </c>
      <c r="N4455" s="6" t="str">
        <f>IFERROR(__xludf.DUMMYFUNCTION("""COMPUTED_VALUE"""),"FIP Engineering")</f>
        <v>FIP Engineering</v>
      </c>
      <c r="O4455" s="6" t="str">
        <f>IFERROR(__xludf.DUMMYFUNCTION("""COMPUTED_VALUE"""),"FIP-DOM-000-11304-OS00001-INA-000000")</f>
        <v>FIP-DOM-000-11304-OS00001-INA-000000</v>
      </c>
      <c r="P4455" s="6" t="str">
        <f>IFERROR(__xludf.DUMMYFUNCTION("""COMPUTED_VALUE"""),"PO Closed")</f>
        <v>PO Closed</v>
      </c>
      <c r="Q4455" s="6" t="str">
        <f>IFERROR(__xludf.DUMMYFUNCTION("""COMPUTED_VALUE"""),"GL2511033")</f>
        <v>GL2511033</v>
      </c>
      <c r="R4455" s="57">
        <f>IFERROR(__xludf.DUMMYFUNCTION("""COMPUTED_VALUE"""),45933.0)</f>
        <v>45933</v>
      </c>
      <c r="S4455" s="57">
        <f>IFERROR(__xludf.DUMMYFUNCTION("""COMPUTED_VALUE"""),45937.0)</f>
        <v>45937</v>
      </c>
      <c r="T4455" s="57">
        <f>IFERROR(__xludf.DUMMYFUNCTION("""COMPUTED_VALUE"""),46117.0)</f>
        <v>46117</v>
      </c>
    </row>
    <row r="4456">
      <c r="A4456" s="6" t="str">
        <f>IFERROR(__xludf.DUMMYFUNCTION("""COMPUTED_VALUE"""),"121703303-2")</f>
        <v>121703303-2</v>
      </c>
      <c r="B4456" s="6" t="str">
        <f>IFERROR(__xludf.DUMMYFUNCTION("""COMPUTED_VALUE"""),"121703303 - APPROVED")</f>
        <v>121703303 - APPROVED</v>
      </c>
      <c r="C4456" s="6">
        <f>IFERROR(__xludf.DUMMYFUNCTION("""COMPUTED_VALUE"""),2.0)</f>
        <v>2</v>
      </c>
      <c r="D4456" s="6" t="str">
        <f>IFERROR(__xludf.DUMMYFUNCTION("""COMPUTED_VALUE"""),"O-20652-00")</f>
        <v>O-20652-00</v>
      </c>
      <c r="E4456" s="6" t="str">
        <f>IFERROR(__xludf.DUMMYFUNCTION("""COMPUTED_VALUE"""),"Integrated Granulation Line - Blowback Cone Seal PTFE")</f>
        <v>Integrated Granulation Line - Blowback Cone Seal PTFE</v>
      </c>
      <c r="F4456" s="6">
        <f>IFERROR(__xludf.DUMMYFUNCTION("""COMPUTED_VALUE"""),4.0)</f>
        <v>4</v>
      </c>
      <c r="G4456" s="6" t="str">
        <f>IFERROR(__xludf.DUMMYFUNCTION("""COMPUTED_VALUE"""),"Pieces")</f>
        <v>Pieces</v>
      </c>
      <c r="H4456" s="6" t="str">
        <f>IFERROR(__xludf.DUMMYFUNCTION("""COMPUTED_VALUE"""),"IDR")</f>
        <v>IDR</v>
      </c>
      <c r="I4456" s="6">
        <f>IFERROR(__xludf.DUMMYFUNCTION("""COMPUTED_VALUE"""),420000.0)</f>
        <v>420000</v>
      </c>
      <c r="J4456" s="6">
        <f>IFERROR(__xludf.DUMMYFUNCTION("""COMPUTED_VALUE"""),1680000.0)</f>
        <v>1680000</v>
      </c>
      <c r="K4456" s="57">
        <f>IFERROR(__xludf.DUMMYFUNCTION("""COMPUTED_VALUE"""),45996.0)</f>
        <v>45996</v>
      </c>
      <c r="L4456" s="6" t="str">
        <f>IFERROR(__xludf.DUMMYFUNCTION("""COMPUTED_VALUE"""),"FIP Engineering")</f>
        <v>FIP Engineering</v>
      </c>
      <c r="M4456" s="6" t="str">
        <f>IFERROR(__xludf.DUMMYFUNCTION("""COMPUTED_VALUE"""),"Mochammad Fadhillah Hakim,")</f>
        <v>Mochammad Fadhillah Hakim,</v>
      </c>
      <c r="N4456" s="6" t="str">
        <f>IFERROR(__xludf.DUMMYFUNCTION("""COMPUTED_VALUE"""),"FIP Engineering")</f>
        <v>FIP Engineering</v>
      </c>
      <c r="O4456" s="6" t="str">
        <f>IFERROR(__xludf.DUMMYFUNCTION("""COMPUTED_VALUE"""),"FIP-DOM-000-11304-OS00001-INA-000000")</f>
        <v>FIP-DOM-000-11304-OS00001-INA-000000</v>
      </c>
      <c r="P4456" s="6" t="str">
        <f>IFERROR(__xludf.DUMMYFUNCTION("""COMPUTED_VALUE"""),"PO Closed")</f>
        <v>PO Closed</v>
      </c>
      <c r="Q4456" s="6" t="str">
        <f>IFERROR(__xludf.DUMMYFUNCTION("""COMPUTED_VALUE"""),"GL2511033")</f>
        <v>GL2511033</v>
      </c>
      <c r="R4456" s="57">
        <f>IFERROR(__xludf.DUMMYFUNCTION("""COMPUTED_VALUE"""),45933.0)</f>
        <v>45933</v>
      </c>
      <c r="S4456" s="57">
        <f>IFERROR(__xludf.DUMMYFUNCTION("""COMPUTED_VALUE"""),45937.0)</f>
        <v>45937</v>
      </c>
      <c r="T4456" s="57">
        <f>IFERROR(__xludf.DUMMYFUNCTION("""COMPUTED_VALUE"""),46117.0)</f>
        <v>46117</v>
      </c>
    </row>
    <row r="4457">
      <c r="A4457" s="6" t="str">
        <f>IFERROR(__xludf.DUMMYFUNCTION("""COMPUTED_VALUE"""),"121703303-3")</f>
        <v>121703303-3</v>
      </c>
      <c r="B4457" s="6" t="str">
        <f>IFERROR(__xludf.DUMMYFUNCTION("""COMPUTED_VALUE"""),"121703303 - APPROVED")</f>
        <v>121703303 - APPROVED</v>
      </c>
      <c r="C4457" s="6">
        <f>IFERROR(__xludf.DUMMYFUNCTION("""COMPUTED_VALUE"""),3.0)</f>
        <v>3</v>
      </c>
      <c r="D4457" s="6" t="str">
        <f>IFERROR(__xludf.DUMMYFUNCTION("""COMPUTED_VALUE"""),"O-53274-00")</f>
        <v>O-53274-00</v>
      </c>
      <c r="E4457" s="6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F4457" s="6">
        <f>IFERROR(__xludf.DUMMYFUNCTION("""COMPUTED_VALUE"""),1.0)</f>
        <v>1</v>
      </c>
      <c r="G4457" s="6" t="str">
        <f>IFERROR(__xludf.DUMMYFUNCTION("""COMPUTED_VALUE"""),"Pieces")</f>
        <v>Pieces</v>
      </c>
      <c r="H4457" s="6" t="str">
        <f>IFERROR(__xludf.DUMMYFUNCTION("""COMPUTED_VALUE"""),"IDR")</f>
        <v>IDR</v>
      </c>
      <c r="I4457" s="6">
        <f>IFERROR(__xludf.DUMMYFUNCTION("""COMPUTED_VALUE"""),3763200.0)</f>
        <v>3763200</v>
      </c>
      <c r="J4457" s="6">
        <f>IFERROR(__xludf.DUMMYFUNCTION("""COMPUTED_VALUE"""),3763200.0)</f>
        <v>3763200</v>
      </c>
      <c r="K4457" s="57">
        <f>IFERROR(__xludf.DUMMYFUNCTION("""COMPUTED_VALUE"""),45996.0)</f>
        <v>45996</v>
      </c>
      <c r="L4457" s="6" t="str">
        <f>IFERROR(__xludf.DUMMYFUNCTION("""COMPUTED_VALUE"""),"FIP Engineering")</f>
        <v>FIP Engineering</v>
      </c>
      <c r="M4457" s="6" t="str">
        <f>IFERROR(__xludf.DUMMYFUNCTION("""COMPUTED_VALUE"""),"Mochammad Fadhillah Hakim,")</f>
        <v>Mochammad Fadhillah Hakim,</v>
      </c>
      <c r="N4457" s="6" t="str">
        <f>IFERROR(__xludf.DUMMYFUNCTION("""COMPUTED_VALUE"""),"FIP Engineering")</f>
        <v>FIP Engineering</v>
      </c>
      <c r="O4457" s="6" t="str">
        <f>IFERROR(__xludf.DUMMYFUNCTION("""COMPUTED_VALUE"""),"FIP-DOM-000-11304-OS00001-INA-000000")</f>
        <v>FIP-DOM-000-11304-OS00001-INA-000000</v>
      </c>
      <c r="P4457" s="6" t="str">
        <f>IFERROR(__xludf.DUMMYFUNCTION("""COMPUTED_VALUE"""),"PO Closed")</f>
        <v>PO Closed</v>
      </c>
      <c r="Q4457" s="6" t="str">
        <f>IFERROR(__xludf.DUMMYFUNCTION("""COMPUTED_VALUE"""),"GL2511033")</f>
        <v>GL2511033</v>
      </c>
      <c r="R4457" s="57">
        <f>IFERROR(__xludf.DUMMYFUNCTION("""COMPUTED_VALUE"""),45933.0)</f>
        <v>45933</v>
      </c>
      <c r="S4457" s="57">
        <f>IFERROR(__xludf.DUMMYFUNCTION("""COMPUTED_VALUE"""),45937.0)</f>
        <v>45937</v>
      </c>
      <c r="T4457" s="57">
        <f>IFERROR(__xludf.DUMMYFUNCTION("""COMPUTED_VALUE"""),46117.0)</f>
        <v>46117</v>
      </c>
    </row>
    <row r="4458">
      <c r="A4458" s="6" t="str">
        <f>IFERROR(__xludf.DUMMYFUNCTION("""COMPUTED_VALUE"""),"121703303-4")</f>
        <v>121703303-4</v>
      </c>
      <c r="B4458" s="6" t="str">
        <f>IFERROR(__xludf.DUMMYFUNCTION("""COMPUTED_VALUE"""),"121703303 - APPROVED")</f>
        <v>121703303 - APPROVED</v>
      </c>
      <c r="C4458" s="6">
        <f>IFERROR(__xludf.DUMMYFUNCTION("""COMPUTED_VALUE"""),4.0)</f>
        <v>4</v>
      </c>
      <c r="D4458" s="6" t="str">
        <f>IFERROR(__xludf.DUMMYFUNCTION("""COMPUTED_VALUE"""),"O-53273-00")</f>
        <v>O-53273-00</v>
      </c>
      <c r="E4458" s="6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F4458" s="6">
        <f>IFERROR(__xludf.DUMMYFUNCTION("""COMPUTED_VALUE"""),1.0)</f>
        <v>1</v>
      </c>
      <c r="G4458" s="6" t="str">
        <f>IFERROR(__xludf.DUMMYFUNCTION("""COMPUTED_VALUE"""),"Pieces")</f>
        <v>Pieces</v>
      </c>
      <c r="H4458" s="6" t="str">
        <f>IFERROR(__xludf.DUMMYFUNCTION("""COMPUTED_VALUE"""),"IDR")</f>
        <v>IDR</v>
      </c>
      <c r="I4458" s="6">
        <f>IFERROR(__xludf.DUMMYFUNCTION("""COMPUTED_VALUE"""),4099200.0)</f>
        <v>4099200</v>
      </c>
      <c r="J4458" s="6">
        <f>IFERROR(__xludf.DUMMYFUNCTION("""COMPUTED_VALUE"""),4099200.0)</f>
        <v>4099200</v>
      </c>
      <c r="K4458" s="57">
        <f>IFERROR(__xludf.DUMMYFUNCTION("""COMPUTED_VALUE"""),45996.0)</f>
        <v>45996</v>
      </c>
      <c r="L4458" s="6" t="str">
        <f>IFERROR(__xludf.DUMMYFUNCTION("""COMPUTED_VALUE"""),"FIP Engineering")</f>
        <v>FIP Engineering</v>
      </c>
      <c r="M4458" s="6" t="str">
        <f>IFERROR(__xludf.DUMMYFUNCTION("""COMPUTED_VALUE"""),"Mochammad Fadhillah Hakim,")</f>
        <v>Mochammad Fadhillah Hakim,</v>
      </c>
      <c r="N4458" s="6" t="str">
        <f>IFERROR(__xludf.DUMMYFUNCTION("""COMPUTED_VALUE"""),"FIP Engineering")</f>
        <v>FIP Engineering</v>
      </c>
      <c r="O4458" s="6" t="str">
        <f>IFERROR(__xludf.DUMMYFUNCTION("""COMPUTED_VALUE"""),"FIP-DOM-000-11304-OS00001-INA-000000")</f>
        <v>FIP-DOM-000-11304-OS00001-INA-000000</v>
      </c>
      <c r="P4458" s="6" t="str">
        <f>IFERROR(__xludf.DUMMYFUNCTION("""COMPUTED_VALUE"""),"PO Closed")</f>
        <v>PO Closed</v>
      </c>
      <c r="Q4458" s="6" t="str">
        <f>IFERROR(__xludf.DUMMYFUNCTION("""COMPUTED_VALUE"""),"GL2511033")</f>
        <v>GL2511033</v>
      </c>
      <c r="R4458" s="57">
        <f>IFERROR(__xludf.DUMMYFUNCTION("""COMPUTED_VALUE"""),45933.0)</f>
        <v>45933</v>
      </c>
      <c r="S4458" s="57">
        <f>IFERROR(__xludf.DUMMYFUNCTION("""COMPUTED_VALUE"""),45937.0)</f>
        <v>45937</v>
      </c>
      <c r="T4458" s="57">
        <f>IFERROR(__xludf.DUMMYFUNCTION("""COMPUTED_VALUE"""),46117.0)</f>
        <v>46117</v>
      </c>
    </row>
    <row r="4459">
      <c r="A4459" s="6" t="str">
        <f>IFERROR(__xludf.DUMMYFUNCTION("""COMPUTED_VALUE"""),"121703303-5")</f>
        <v>121703303-5</v>
      </c>
      <c r="B4459" s="6" t="str">
        <f>IFERROR(__xludf.DUMMYFUNCTION("""COMPUTED_VALUE"""),"121703303 - APPROVED")</f>
        <v>121703303 - APPROVED</v>
      </c>
      <c r="C4459" s="6">
        <f>IFERROR(__xludf.DUMMYFUNCTION("""COMPUTED_VALUE"""),5.0)</f>
        <v>5</v>
      </c>
      <c r="D4459" s="6" t="str">
        <f>IFERROR(__xludf.DUMMYFUNCTION("""COMPUTED_VALUE"""),"O-20651-00")</f>
        <v>O-20651-00</v>
      </c>
      <c r="E4459" s="6" t="str">
        <f>IFERROR(__xludf.DUMMYFUNCTION("""COMPUTED_VALUE"""),"Integrated Granulation Line - Collar HC100")</f>
        <v>Integrated Granulation Line - Collar HC100</v>
      </c>
      <c r="F4459" s="6">
        <f>IFERROR(__xludf.DUMMYFUNCTION("""COMPUTED_VALUE"""),4.0)</f>
        <v>4</v>
      </c>
      <c r="G4459" s="6" t="str">
        <f>IFERROR(__xludf.DUMMYFUNCTION("""COMPUTED_VALUE"""),"Pieces")</f>
        <v>Pieces</v>
      </c>
      <c r="H4459" s="6" t="str">
        <f>IFERROR(__xludf.DUMMYFUNCTION("""COMPUTED_VALUE"""),"IDR")</f>
        <v>IDR</v>
      </c>
      <c r="I4459" s="6">
        <f>IFERROR(__xludf.DUMMYFUNCTION("""COMPUTED_VALUE"""),1260000.0)</f>
        <v>1260000</v>
      </c>
      <c r="J4459" s="6">
        <f>IFERROR(__xludf.DUMMYFUNCTION("""COMPUTED_VALUE"""),5040000.0)</f>
        <v>5040000</v>
      </c>
      <c r="K4459" s="57">
        <f>IFERROR(__xludf.DUMMYFUNCTION("""COMPUTED_VALUE"""),45996.0)</f>
        <v>45996</v>
      </c>
      <c r="L4459" s="6" t="str">
        <f>IFERROR(__xludf.DUMMYFUNCTION("""COMPUTED_VALUE"""),"FIP Engineering")</f>
        <v>FIP Engineering</v>
      </c>
      <c r="M4459" s="6" t="str">
        <f>IFERROR(__xludf.DUMMYFUNCTION("""COMPUTED_VALUE"""),"Mochammad Fadhillah Hakim,")</f>
        <v>Mochammad Fadhillah Hakim,</v>
      </c>
      <c r="N4459" s="6" t="str">
        <f>IFERROR(__xludf.DUMMYFUNCTION("""COMPUTED_VALUE"""),"FIP Engineering")</f>
        <v>FIP Engineering</v>
      </c>
      <c r="O4459" s="6" t="str">
        <f>IFERROR(__xludf.DUMMYFUNCTION("""COMPUTED_VALUE"""),"FIP-DOM-000-11304-OS00001-INA-000000")</f>
        <v>FIP-DOM-000-11304-OS00001-INA-000000</v>
      </c>
      <c r="P4459" s="6" t="str">
        <f>IFERROR(__xludf.DUMMYFUNCTION("""COMPUTED_VALUE"""),"PO Closed")</f>
        <v>PO Closed</v>
      </c>
      <c r="Q4459" s="6" t="str">
        <f>IFERROR(__xludf.DUMMYFUNCTION("""COMPUTED_VALUE"""),"GL2511033")</f>
        <v>GL2511033</v>
      </c>
      <c r="R4459" s="57">
        <f>IFERROR(__xludf.DUMMYFUNCTION("""COMPUTED_VALUE"""),45933.0)</f>
        <v>45933</v>
      </c>
      <c r="S4459" s="57">
        <f>IFERROR(__xludf.DUMMYFUNCTION("""COMPUTED_VALUE"""),45937.0)</f>
        <v>45937</v>
      </c>
      <c r="T4459" s="57">
        <f>IFERROR(__xludf.DUMMYFUNCTION("""COMPUTED_VALUE"""),46117.0)</f>
        <v>46117</v>
      </c>
    </row>
    <row r="4460">
      <c r="A4460" s="6" t="str">
        <f>IFERROR(__xludf.DUMMYFUNCTION("""COMPUTED_VALUE"""),"121703303-6")</f>
        <v>121703303-6</v>
      </c>
      <c r="B4460" s="6" t="str">
        <f>IFERROR(__xludf.DUMMYFUNCTION("""COMPUTED_VALUE"""),"121703303 - APPROVED")</f>
        <v>121703303 - APPROVED</v>
      </c>
      <c r="C4460" s="6">
        <f>IFERROR(__xludf.DUMMYFUNCTION("""COMPUTED_VALUE"""),6.0)</f>
        <v>6</v>
      </c>
      <c r="D4460" s="6" t="str">
        <f>IFERROR(__xludf.DUMMYFUNCTION("""COMPUTED_VALUE"""),"O-20650-00")</f>
        <v>O-20650-00</v>
      </c>
      <c r="E4460" s="6" t="str">
        <f>IFERROR(__xludf.DUMMYFUNCTION("""COMPUTED_VALUE"""),"Integrated Granulation Line - Flap Disc Seal MC DN100 (2.M10.0110X)")</f>
        <v>Integrated Granulation Line - Flap Disc Seal MC DN100 (2.M10.0110X)</v>
      </c>
      <c r="F4460" s="6">
        <f>IFERROR(__xludf.DUMMYFUNCTION("""COMPUTED_VALUE"""),2.0)</f>
        <v>2</v>
      </c>
      <c r="G4460" s="6" t="str">
        <f>IFERROR(__xludf.DUMMYFUNCTION("""COMPUTED_VALUE"""),"Pieces")</f>
        <v>Pieces</v>
      </c>
      <c r="H4460" s="6" t="str">
        <f>IFERROR(__xludf.DUMMYFUNCTION("""COMPUTED_VALUE"""),"IDR")</f>
        <v>IDR</v>
      </c>
      <c r="I4460" s="6">
        <f>IFERROR(__xludf.DUMMYFUNCTION("""COMPUTED_VALUE"""),3813600.0)</f>
        <v>3813600</v>
      </c>
      <c r="J4460" s="6">
        <f>IFERROR(__xludf.DUMMYFUNCTION("""COMPUTED_VALUE"""),7627200.0)</f>
        <v>7627200</v>
      </c>
      <c r="K4460" s="57">
        <f>IFERROR(__xludf.DUMMYFUNCTION("""COMPUTED_VALUE"""),45996.0)</f>
        <v>45996</v>
      </c>
      <c r="L4460" s="6" t="str">
        <f>IFERROR(__xludf.DUMMYFUNCTION("""COMPUTED_VALUE"""),"FIP Engineering")</f>
        <v>FIP Engineering</v>
      </c>
      <c r="M4460" s="6" t="str">
        <f>IFERROR(__xludf.DUMMYFUNCTION("""COMPUTED_VALUE"""),"Mochammad Fadhillah Hakim,")</f>
        <v>Mochammad Fadhillah Hakim,</v>
      </c>
      <c r="N4460" s="6" t="str">
        <f>IFERROR(__xludf.DUMMYFUNCTION("""COMPUTED_VALUE"""),"FIP Engineering")</f>
        <v>FIP Engineering</v>
      </c>
      <c r="O4460" s="6" t="str">
        <f>IFERROR(__xludf.DUMMYFUNCTION("""COMPUTED_VALUE"""),"FIP-DOM-000-11304-OS00001-INA-000000")</f>
        <v>FIP-DOM-000-11304-OS00001-INA-000000</v>
      </c>
      <c r="P4460" s="6" t="str">
        <f>IFERROR(__xludf.DUMMYFUNCTION("""COMPUTED_VALUE"""),"PO Closed")</f>
        <v>PO Closed</v>
      </c>
      <c r="Q4460" s="6" t="str">
        <f>IFERROR(__xludf.DUMMYFUNCTION("""COMPUTED_VALUE"""),"GL2511033")</f>
        <v>GL2511033</v>
      </c>
      <c r="R4460" s="57">
        <f>IFERROR(__xludf.DUMMYFUNCTION("""COMPUTED_VALUE"""),45933.0)</f>
        <v>45933</v>
      </c>
      <c r="S4460" s="57">
        <f>IFERROR(__xludf.DUMMYFUNCTION("""COMPUTED_VALUE"""),45937.0)</f>
        <v>45937</v>
      </c>
      <c r="T4460" s="57">
        <f>IFERROR(__xludf.DUMMYFUNCTION("""COMPUTED_VALUE"""),46117.0)</f>
        <v>46117</v>
      </c>
    </row>
    <row r="4461">
      <c r="A4461" s="6" t="str">
        <f>IFERROR(__xludf.DUMMYFUNCTION("""COMPUTED_VALUE"""),"121703303-7")</f>
        <v>121703303-7</v>
      </c>
      <c r="B4461" s="6" t="str">
        <f>IFERROR(__xludf.DUMMYFUNCTION("""COMPUTED_VALUE"""),"121703303 - APPROVED")</f>
        <v>121703303 - APPROVED</v>
      </c>
      <c r="C4461" s="6">
        <f>IFERROR(__xludf.DUMMYFUNCTION("""COMPUTED_VALUE"""),7.0)</f>
        <v>7</v>
      </c>
      <c r="D4461" s="6" t="str">
        <f>IFERROR(__xludf.DUMMYFUNCTION("""COMPUTED_VALUE"""),"O-53272-00")</f>
        <v>O-53272-00</v>
      </c>
      <c r="E4461" s="6" t="str">
        <f>IFERROR(__xludf.DUMMYFUNCTION("""COMPUTED_VALUE"""),"Integrated Granulation Line - Temperature Probe CIP 60mm MK3: 3 Wire")</f>
        <v>Integrated Granulation Line - Temperature Probe CIP 60mm MK3: 3 Wire</v>
      </c>
      <c r="F4461" s="6">
        <f>IFERROR(__xludf.DUMMYFUNCTION("""COMPUTED_VALUE"""),1.0)</f>
        <v>1</v>
      </c>
      <c r="G4461" s="6" t="str">
        <f>IFERROR(__xludf.DUMMYFUNCTION("""COMPUTED_VALUE"""),"Pieces")</f>
        <v>Pieces</v>
      </c>
      <c r="H4461" s="6" t="str">
        <f>IFERROR(__xludf.DUMMYFUNCTION("""COMPUTED_VALUE"""),"IDR")</f>
        <v>IDR</v>
      </c>
      <c r="I4461" s="6">
        <f>IFERROR(__xludf.DUMMYFUNCTION("""COMPUTED_VALUE"""),8282400.0)</f>
        <v>8282400</v>
      </c>
      <c r="J4461" s="6">
        <f>IFERROR(__xludf.DUMMYFUNCTION("""COMPUTED_VALUE"""),8282400.0)</f>
        <v>8282400</v>
      </c>
      <c r="K4461" s="57">
        <f>IFERROR(__xludf.DUMMYFUNCTION("""COMPUTED_VALUE"""),45996.0)</f>
        <v>45996</v>
      </c>
      <c r="L4461" s="6" t="str">
        <f>IFERROR(__xludf.DUMMYFUNCTION("""COMPUTED_VALUE"""),"FIP Engineering")</f>
        <v>FIP Engineering</v>
      </c>
      <c r="M4461" s="6" t="str">
        <f>IFERROR(__xludf.DUMMYFUNCTION("""COMPUTED_VALUE"""),"Mochammad Fadhillah Hakim,")</f>
        <v>Mochammad Fadhillah Hakim,</v>
      </c>
      <c r="N4461" s="6" t="str">
        <f>IFERROR(__xludf.DUMMYFUNCTION("""COMPUTED_VALUE"""),"FIP Engineering")</f>
        <v>FIP Engineering</v>
      </c>
      <c r="O4461" s="6" t="str">
        <f>IFERROR(__xludf.DUMMYFUNCTION("""COMPUTED_VALUE"""),"FIP-DOM-000-11304-OS00001-INA-000000")</f>
        <v>FIP-DOM-000-11304-OS00001-INA-000000</v>
      </c>
      <c r="P4461" s="6" t="str">
        <f>IFERROR(__xludf.DUMMYFUNCTION("""COMPUTED_VALUE"""),"PO Closed")</f>
        <v>PO Closed</v>
      </c>
      <c r="Q4461" s="6" t="str">
        <f>IFERROR(__xludf.DUMMYFUNCTION("""COMPUTED_VALUE"""),"GL2511033")</f>
        <v>GL2511033</v>
      </c>
      <c r="R4461" s="57">
        <f>IFERROR(__xludf.DUMMYFUNCTION("""COMPUTED_VALUE"""),45933.0)</f>
        <v>45933</v>
      </c>
      <c r="S4461" s="57">
        <f>IFERROR(__xludf.DUMMYFUNCTION("""COMPUTED_VALUE"""),45937.0)</f>
        <v>45937</v>
      </c>
      <c r="T4461" s="57">
        <f>IFERROR(__xludf.DUMMYFUNCTION("""COMPUTED_VALUE"""),46117.0)</f>
        <v>46117</v>
      </c>
    </row>
    <row r="4462">
      <c r="A4462" s="6" t="str">
        <f>IFERROR(__xludf.DUMMYFUNCTION("""COMPUTED_VALUE"""),"121703303-8")</f>
        <v>121703303-8</v>
      </c>
      <c r="B4462" s="6" t="str">
        <f>IFERROR(__xludf.DUMMYFUNCTION("""COMPUTED_VALUE"""),"121703303 - APPROVED")</f>
        <v>121703303 - APPROVED</v>
      </c>
      <c r="C4462" s="6">
        <f>IFERROR(__xludf.DUMMYFUNCTION("""COMPUTED_VALUE"""),8.0)</f>
        <v>8</v>
      </c>
      <c r="D4462" s="6" t="str">
        <f>IFERROR(__xludf.DUMMYFUNCTION("""COMPUTED_VALUE"""),"O-20649-00")</f>
        <v>O-20649-00</v>
      </c>
      <c r="E4462" s="6" t="str">
        <f>IFERROR(__xludf.DUMMYFUNCTION("""COMPUTED_VALUE"""),"Integrated Granulation Line - Housing Seal MC DN 100")</f>
        <v>Integrated Granulation Line - Housing Seal MC DN 100</v>
      </c>
      <c r="F4462" s="6">
        <f>IFERROR(__xludf.DUMMYFUNCTION("""COMPUTED_VALUE"""),1.0)</f>
        <v>1</v>
      </c>
      <c r="G4462" s="6" t="str">
        <f>IFERROR(__xludf.DUMMYFUNCTION("""COMPUTED_VALUE"""),"Pieces")</f>
        <v>Pieces</v>
      </c>
      <c r="H4462" s="6" t="str">
        <f>IFERROR(__xludf.DUMMYFUNCTION("""COMPUTED_VALUE"""),"IDR")</f>
        <v>IDR</v>
      </c>
      <c r="I4462" s="6">
        <f>IFERROR(__xludf.DUMMYFUNCTION("""COMPUTED_VALUE"""),9660000.0)</f>
        <v>9660000</v>
      </c>
      <c r="J4462" s="6">
        <f>IFERROR(__xludf.DUMMYFUNCTION("""COMPUTED_VALUE"""),9660000.0)</f>
        <v>9660000</v>
      </c>
      <c r="K4462" s="57">
        <f>IFERROR(__xludf.DUMMYFUNCTION("""COMPUTED_VALUE"""),45996.0)</f>
        <v>45996</v>
      </c>
      <c r="L4462" s="6" t="str">
        <f>IFERROR(__xludf.DUMMYFUNCTION("""COMPUTED_VALUE"""),"FIP Engineering")</f>
        <v>FIP Engineering</v>
      </c>
      <c r="M4462" s="6" t="str">
        <f>IFERROR(__xludf.DUMMYFUNCTION("""COMPUTED_VALUE"""),"Mochammad Fadhillah Hakim,")</f>
        <v>Mochammad Fadhillah Hakim,</v>
      </c>
      <c r="N4462" s="6" t="str">
        <f>IFERROR(__xludf.DUMMYFUNCTION("""COMPUTED_VALUE"""),"FIP Engineering")</f>
        <v>FIP Engineering</v>
      </c>
      <c r="O4462" s="6" t="str">
        <f>IFERROR(__xludf.DUMMYFUNCTION("""COMPUTED_VALUE"""),"FIP-DOM-000-11304-OS00001-INA-000000")</f>
        <v>FIP-DOM-000-11304-OS00001-INA-000000</v>
      </c>
      <c r="P4462" s="6" t="str">
        <f>IFERROR(__xludf.DUMMYFUNCTION("""COMPUTED_VALUE"""),"PO Closed")</f>
        <v>PO Closed</v>
      </c>
      <c r="Q4462" s="6" t="str">
        <f>IFERROR(__xludf.DUMMYFUNCTION("""COMPUTED_VALUE"""),"GL2511033")</f>
        <v>GL2511033</v>
      </c>
      <c r="R4462" s="57">
        <f>IFERROR(__xludf.DUMMYFUNCTION("""COMPUTED_VALUE"""),45933.0)</f>
        <v>45933</v>
      </c>
      <c r="S4462" s="57">
        <f>IFERROR(__xludf.DUMMYFUNCTION("""COMPUTED_VALUE"""),45937.0)</f>
        <v>45937</v>
      </c>
      <c r="T4462" s="57">
        <f>IFERROR(__xludf.DUMMYFUNCTION("""COMPUTED_VALUE"""),46117.0)</f>
        <v>46117</v>
      </c>
    </row>
    <row r="4463">
      <c r="A4463" s="6" t="str">
        <f>IFERROR(__xludf.DUMMYFUNCTION("""COMPUTED_VALUE"""),"121703303-9")</f>
        <v>121703303-9</v>
      </c>
      <c r="B4463" s="6" t="str">
        <f>IFERROR(__xludf.DUMMYFUNCTION("""COMPUTED_VALUE"""),"121703303 - APPROVED")</f>
        <v>121703303 - APPROVED</v>
      </c>
      <c r="C4463" s="6">
        <f>IFERROR(__xludf.DUMMYFUNCTION("""COMPUTED_VALUE"""),9.0)</f>
        <v>9</v>
      </c>
      <c r="D4463" s="6" t="str">
        <f>IFERROR(__xludf.DUMMYFUNCTION("""COMPUTED_VALUE"""),"O-20648-00")</f>
        <v>O-20648-00</v>
      </c>
      <c r="E4463" s="6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F4463" s="6">
        <f>IFERROR(__xludf.DUMMYFUNCTION("""COMPUTED_VALUE"""),1.0)</f>
        <v>1</v>
      </c>
      <c r="G4463" s="6" t="str">
        <f>IFERROR(__xludf.DUMMYFUNCTION("""COMPUTED_VALUE"""),"Pieces")</f>
        <v>Pieces</v>
      </c>
      <c r="H4463" s="6" t="str">
        <f>IFERROR(__xludf.DUMMYFUNCTION("""COMPUTED_VALUE"""),"IDR")</f>
        <v>IDR</v>
      </c>
      <c r="I4463" s="6">
        <f>IFERROR(__xludf.DUMMYFUNCTION("""COMPUTED_VALUE"""),9811200.0)</f>
        <v>9811200</v>
      </c>
      <c r="J4463" s="6">
        <f>IFERROR(__xludf.DUMMYFUNCTION("""COMPUTED_VALUE"""),9811200.0)</f>
        <v>9811200</v>
      </c>
      <c r="K4463" s="57">
        <f>IFERROR(__xludf.DUMMYFUNCTION("""COMPUTED_VALUE"""),45996.0)</f>
        <v>45996</v>
      </c>
      <c r="L4463" s="6" t="str">
        <f>IFERROR(__xludf.DUMMYFUNCTION("""COMPUTED_VALUE"""),"FIP Engineering")</f>
        <v>FIP Engineering</v>
      </c>
      <c r="M4463" s="6" t="str">
        <f>IFERROR(__xludf.DUMMYFUNCTION("""COMPUTED_VALUE"""),"Mochammad Fadhillah Hakim,")</f>
        <v>Mochammad Fadhillah Hakim,</v>
      </c>
      <c r="N4463" s="6" t="str">
        <f>IFERROR(__xludf.DUMMYFUNCTION("""COMPUTED_VALUE"""),"FIP Engineering")</f>
        <v>FIP Engineering</v>
      </c>
      <c r="O4463" s="6" t="str">
        <f>IFERROR(__xludf.DUMMYFUNCTION("""COMPUTED_VALUE"""),"FIP-DOM-000-11304-OS00001-INA-000000")</f>
        <v>FIP-DOM-000-11304-OS00001-INA-000000</v>
      </c>
      <c r="P4463" s="6" t="str">
        <f>IFERROR(__xludf.DUMMYFUNCTION("""COMPUTED_VALUE"""),"PO Closed")</f>
        <v>PO Closed</v>
      </c>
      <c r="Q4463" s="6" t="str">
        <f>IFERROR(__xludf.DUMMYFUNCTION("""COMPUTED_VALUE"""),"GL2511033")</f>
        <v>GL2511033</v>
      </c>
      <c r="R4463" s="57">
        <f>IFERROR(__xludf.DUMMYFUNCTION("""COMPUTED_VALUE"""),45933.0)</f>
        <v>45933</v>
      </c>
      <c r="S4463" s="57">
        <f>IFERROR(__xludf.DUMMYFUNCTION("""COMPUTED_VALUE"""),45937.0)</f>
        <v>45937</v>
      </c>
      <c r="T4463" s="57">
        <f>IFERROR(__xludf.DUMMYFUNCTION("""COMPUTED_VALUE"""),46117.0)</f>
        <v>46117</v>
      </c>
    </row>
    <row r="4464">
      <c r="A4464" s="6" t="str">
        <f>IFERROR(__xludf.DUMMYFUNCTION("""COMPUTED_VALUE"""),"121703303-10")</f>
        <v>121703303-10</v>
      </c>
      <c r="B4464" s="6" t="str">
        <f>IFERROR(__xludf.DUMMYFUNCTION("""COMPUTED_VALUE"""),"121703303 - APPROVED")</f>
        <v>121703303 - APPROVED</v>
      </c>
      <c r="C4464" s="6">
        <f>IFERROR(__xludf.DUMMYFUNCTION("""COMPUTED_VALUE"""),10.0)</f>
        <v>10</v>
      </c>
      <c r="D4464" s="6" t="str">
        <f>IFERROR(__xludf.DUMMYFUNCTION("""COMPUTED_VALUE"""),"O-20647-00")</f>
        <v>O-20647-00</v>
      </c>
      <c r="E4464" s="6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F4464" s="6">
        <f>IFERROR(__xludf.DUMMYFUNCTION("""COMPUTED_VALUE"""),1.0)</f>
        <v>1</v>
      </c>
      <c r="G4464" s="6" t="str">
        <f>IFERROR(__xludf.DUMMYFUNCTION("""COMPUTED_VALUE"""),"Pieces")</f>
        <v>Pieces</v>
      </c>
      <c r="H4464" s="6" t="str">
        <f>IFERROR(__xludf.DUMMYFUNCTION("""COMPUTED_VALUE"""),"IDR")</f>
        <v>IDR</v>
      </c>
      <c r="I4464" s="6">
        <f>IFERROR(__xludf.DUMMYFUNCTION("""COMPUTED_VALUE"""),1.07352E7)</f>
        <v>10735200</v>
      </c>
      <c r="J4464" s="6">
        <f>IFERROR(__xludf.DUMMYFUNCTION("""COMPUTED_VALUE"""),1.07352E7)</f>
        <v>10735200</v>
      </c>
      <c r="K4464" s="57">
        <f>IFERROR(__xludf.DUMMYFUNCTION("""COMPUTED_VALUE"""),45996.0)</f>
        <v>45996</v>
      </c>
      <c r="L4464" s="6" t="str">
        <f>IFERROR(__xludf.DUMMYFUNCTION("""COMPUTED_VALUE"""),"FIP Engineering")</f>
        <v>FIP Engineering</v>
      </c>
      <c r="M4464" s="6" t="str">
        <f>IFERROR(__xludf.DUMMYFUNCTION("""COMPUTED_VALUE"""),"Mochammad Fadhillah Hakim,")</f>
        <v>Mochammad Fadhillah Hakim,</v>
      </c>
      <c r="N4464" s="6" t="str">
        <f>IFERROR(__xludf.DUMMYFUNCTION("""COMPUTED_VALUE"""),"FIP Engineering")</f>
        <v>FIP Engineering</v>
      </c>
      <c r="O4464" s="6" t="str">
        <f>IFERROR(__xludf.DUMMYFUNCTION("""COMPUTED_VALUE"""),"FIP-DOM-000-11304-OS00001-INA-000000")</f>
        <v>FIP-DOM-000-11304-OS00001-INA-000000</v>
      </c>
      <c r="P4464" s="6" t="str">
        <f>IFERROR(__xludf.DUMMYFUNCTION("""COMPUTED_VALUE"""),"PO Closed")</f>
        <v>PO Closed</v>
      </c>
      <c r="Q4464" s="6" t="str">
        <f>IFERROR(__xludf.DUMMYFUNCTION("""COMPUTED_VALUE"""),"GL2511033")</f>
        <v>GL2511033</v>
      </c>
      <c r="R4464" s="57">
        <f>IFERROR(__xludf.DUMMYFUNCTION("""COMPUTED_VALUE"""),45933.0)</f>
        <v>45933</v>
      </c>
      <c r="S4464" s="57">
        <f>IFERROR(__xludf.DUMMYFUNCTION("""COMPUTED_VALUE"""),45937.0)</f>
        <v>45937</v>
      </c>
      <c r="T4464" s="57">
        <f>IFERROR(__xludf.DUMMYFUNCTION("""COMPUTED_VALUE"""),46117.0)</f>
        <v>46117</v>
      </c>
    </row>
    <row r="4465">
      <c r="A4465" s="6" t="str">
        <f>IFERROR(__xludf.DUMMYFUNCTION("""COMPUTED_VALUE"""),"121703307-1")</f>
        <v>121703307-1</v>
      </c>
      <c r="B4465" s="6" t="str">
        <f>IFERROR(__xludf.DUMMYFUNCTION("""COMPUTED_VALUE"""),"121703307 - APPROVED")</f>
        <v>121703307 - APPROVED</v>
      </c>
      <c r="C4465" s="6">
        <f>IFERROR(__xludf.DUMMYFUNCTION("""COMPUTED_VALUE"""),1.0)</f>
        <v>1</v>
      </c>
      <c r="D4465" s="6" t="str">
        <f>IFERROR(__xludf.DUMMYFUNCTION("""COMPUTED_VALUE"""),"O-20646-00")</f>
        <v>O-20646-00</v>
      </c>
      <c r="E4465" s="6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F4465" s="6">
        <f>IFERROR(__xludf.DUMMYFUNCTION("""COMPUTED_VALUE"""),1.0)</f>
        <v>1</v>
      </c>
      <c r="G4465" s="6" t="str">
        <f>IFERROR(__xludf.DUMMYFUNCTION("""COMPUTED_VALUE"""),"Pieces")</f>
        <v>Pieces</v>
      </c>
      <c r="H4465" s="6" t="str">
        <f>IFERROR(__xludf.DUMMYFUNCTION("""COMPUTED_VALUE"""),"IDR")</f>
        <v>IDR</v>
      </c>
      <c r="I4465" s="6">
        <f>IFERROR(__xludf.DUMMYFUNCTION("""COMPUTED_VALUE"""),1.27008E7)</f>
        <v>12700800</v>
      </c>
      <c r="J4465" s="6">
        <f>IFERROR(__xludf.DUMMYFUNCTION("""COMPUTED_VALUE"""),1.27008E7)</f>
        <v>12700800</v>
      </c>
      <c r="K4465" s="57">
        <f>IFERROR(__xludf.DUMMYFUNCTION("""COMPUTED_VALUE"""),45968.0)</f>
        <v>45968</v>
      </c>
      <c r="L4465" s="6" t="str">
        <f>IFERROR(__xludf.DUMMYFUNCTION("""COMPUTED_VALUE"""),"FIP Engineering")</f>
        <v>FIP Engineering</v>
      </c>
      <c r="M4465" s="6" t="str">
        <f>IFERROR(__xludf.DUMMYFUNCTION("""COMPUTED_VALUE"""),"Mochammad Fadhillah Hakim,")</f>
        <v>Mochammad Fadhillah Hakim,</v>
      </c>
      <c r="N4465" s="6" t="str">
        <f>IFERROR(__xludf.DUMMYFUNCTION("""COMPUTED_VALUE"""),"FIP Engineering")</f>
        <v>FIP Engineering</v>
      </c>
      <c r="O4465" s="6" t="str">
        <f>IFERROR(__xludf.DUMMYFUNCTION("""COMPUTED_VALUE"""),"FIP-DOM-000-11304-OS00001-INA-000000")</f>
        <v>FIP-DOM-000-11304-OS00001-INA-000000</v>
      </c>
      <c r="P4465" s="6" t="str">
        <f>IFERROR(__xludf.DUMMYFUNCTION("""COMPUTED_VALUE"""),"PO Closed")</f>
        <v>PO Closed</v>
      </c>
      <c r="Q4465" s="6" t="str">
        <f>IFERROR(__xludf.DUMMYFUNCTION("""COMPUTED_VALUE"""),"GL2511033")</f>
        <v>GL2511033</v>
      </c>
      <c r="R4465" s="57">
        <f>IFERROR(__xludf.DUMMYFUNCTION("""COMPUTED_VALUE"""),45936.0)</f>
        <v>45936</v>
      </c>
      <c r="S4465" s="57">
        <f>IFERROR(__xludf.DUMMYFUNCTION("""COMPUTED_VALUE"""),45937.0)</f>
        <v>45937</v>
      </c>
      <c r="T4465" s="57">
        <f>IFERROR(__xludf.DUMMYFUNCTION("""COMPUTED_VALUE"""),46117.0)</f>
        <v>46117</v>
      </c>
    </row>
    <row r="4466">
      <c r="A4466" s="6" t="str">
        <f>IFERROR(__xludf.DUMMYFUNCTION("""COMPUTED_VALUE"""),"121703307-2")</f>
        <v>121703307-2</v>
      </c>
      <c r="B4466" s="6" t="str">
        <f>IFERROR(__xludf.DUMMYFUNCTION("""COMPUTED_VALUE"""),"121703307 - APPROVED")</f>
        <v>121703307 - APPROVED</v>
      </c>
      <c r="C4466" s="6">
        <f>IFERROR(__xludf.DUMMYFUNCTION("""COMPUTED_VALUE"""),2.0)</f>
        <v>2</v>
      </c>
      <c r="D4466" s="6" t="str">
        <f>IFERROR(__xludf.DUMMYFUNCTION("""COMPUTED_VALUE"""),"O-20645-00")</f>
        <v>O-20645-00</v>
      </c>
      <c r="E4466" s="6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F4466" s="6">
        <f>IFERROR(__xludf.DUMMYFUNCTION("""COMPUTED_VALUE"""),1.0)</f>
        <v>1</v>
      </c>
      <c r="G4466" s="6" t="str">
        <f>IFERROR(__xludf.DUMMYFUNCTION("""COMPUTED_VALUE"""),"Pieces")</f>
        <v>Pieces</v>
      </c>
      <c r="H4466" s="6" t="str">
        <f>IFERROR(__xludf.DUMMYFUNCTION("""COMPUTED_VALUE"""),"IDR")</f>
        <v>IDR</v>
      </c>
      <c r="I4466" s="6">
        <f>IFERROR(__xludf.DUMMYFUNCTION("""COMPUTED_VALUE"""),1.38264E7)</f>
        <v>13826400</v>
      </c>
      <c r="J4466" s="6">
        <f>IFERROR(__xludf.DUMMYFUNCTION("""COMPUTED_VALUE"""),1.38264E7)</f>
        <v>13826400</v>
      </c>
      <c r="K4466" s="57">
        <f>IFERROR(__xludf.DUMMYFUNCTION("""COMPUTED_VALUE"""),45968.0)</f>
        <v>45968</v>
      </c>
      <c r="L4466" s="6" t="str">
        <f>IFERROR(__xludf.DUMMYFUNCTION("""COMPUTED_VALUE"""),"FIP Engineering")</f>
        <v>FIP Engineering</v>
      </c>
      <c r="M4466" s="6" t="str">
        <f>IFERROR(__xludf.DUMMYFUNCTION("""COMPUTED_VALUE"""),"Mochammad Fadhillah Hakim,")</f>
        <v>Mochammad Fadhillah Hakim,</v>
      </c>
      <c r="N4466" s="6" t="str">
        <f>IFERROR(__xludf.DUMMYFUNCTION("""COMPUTED_VALUE"""),"FIP Engineering")</f>
        <v>FIP Engineering</v>
      </c>
      <c r="O4466" s="6" t="str">
        <f>IFERROR(__xludf.DUMMYFUNCTION("""COMPUTED_VALUE"""),"FIP-DOM-000-11304-OS00001-INA-000000")</f>
        <v>FIP-DOM-000-11304-OS00001-INA-000000</v>
      </c>
      <c r="P4466" s="6" t="str">
        <f>IFERROR(__xludf.DUMMYFUNCTION("""COMPUTED_VALUE"""),"PO Closed")</f>
        <v>PO Closed</v>
      </c>
      <c r="Q4466" s="6" t="str">
        <f>IFERROR(__xludf.DUMMYFUNCTION("""COMPUTED_VALUE"""),"GL2511033")</f>
        <v>GL2511033</v>
      </c>
      <c r="R4466" s="57">
        <f>IFERROR(__xludf.DUMMYFUNCTION("""COMPUTED_VALUE"""),45936.0)</f>
        <v>45936</v>
      </c>
      <c r="S4466" s="57">
        <f>IFERROR(__xludf.DUMMYFUNCTION("""COMPUTED_VALUE"""),45937.0)</f>
        <v>45937</v>
      </c>
      <c r="T4466" s="57">
        <f>IFERROR(__xludf.DUMMYFUNCTION("""COMPUTED_VALUE"""),46117.0)</f>
        <v>46117</v>
      </c>
    </row>
    <row r="4467">
      <c r="A4467" s="6" t="str">
        <f>IFERROR(__xludf.DUMMYFUNCTION("""COMPUTED_VALUE"""),"121703307-3")</f>
        <v>121703307-3</v>
      </c>
      <c r="B4467" s="6" t="str">
        <f>IFERROR(__xludf.DUMMYFUNCTION("""COMPUTED_VALUE"""),"121703307 - APPROVED")</f>
        <v>121703307 - APPROVED</v>
      </c>
      <c r="C4467" s="6">
        <f>IFERROR(__xludf.DUMMYFUNCTION("""COMPUTED_VALUE"""),3.0)</f>
        <v>3</v>
      </c>
      <c r="D4467" s="6" t="str">
        <f>IFERROR(__xludf.DUMMYFUNCTION("""COMPUTED_VALUE"""),"O-21068-00")</f>
        <v>O-21068-00</v>
      </c>
      <c r="E4467" s="6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F4467" s="6">
        <f>IFERROR(__xludf.DUMMYFUNCTION("""COMPUTED_VALUE"""),1.0)</f>
        <v>1</v>
      </c>
      <c r="G4467" s="6" t="str">
        <f>IFERROR(__xludf.DUMMYFUNCTION("""COMPUTED_VALUE"""),"Pieces")</f>
        <v>Pieces</v>
      </c>
      <c r="H4467" s="6" t="str">
        <f>IFERROR(__xludf.DUMMYFUNCTION("""COMPUTED_VALUE"""),"IDR")</f>
        <v>IDR</v>
      </c>
      <c r="I4467" s="6">
        <f>IFERROR(__xludf.DUMMYFUNCTION("""COMPUTED_VALUE"""),1.8E7)</f>
        <v>18000000</v>
      </c>
      <c r="J4467" s="6">
        <f>IFERROR(__xludf.DUMMYFUNCTION("""COMPUTED_VALUE"""),1.8E7)</f>
        <v>18000000</v>
      </c>
      <c r="K4467" s="57">
        <f>IFERROR(__xludf.DUMMYFUNCTION("""COMPUTED_VALUE"""),45968.0)</f>
        <v>45968</v>
      </c>
      <c r="L4467" s="6" t="str">
        <f>IFERROR(__xludf.DUMMYFUNCTION("""COMPUTED_VALUE"""),"FIP Engineering")</f>
        <v>FIP Engineering</v>
      </c>
      <c r="M4467" s="6" t="str">
        <f>IFERROR(__xludf.DUMMYFUNCTION("""COMPUTED_VALUE"""),"Mochammad Fadhillah Hakim,")</f>
        <v>Mochammad Fadhillah Hakim,</v>
      </c>
      <c r="N4467" s="6" t="str">
        <f>IFERROR(__xludf.DUMMYFUNCTION("""COMPUTED_VALUE"""),"FIP Engineering")</f>
        <v>FIP Engineering</v>
      </c>
      <c r="O4467" s="6" t="str">
        <f>IFERROR(__xludf.DUMMYFUNCTION("""COMPUTED_VALUE"""),"FIP-DOM-000-11304-OS00001-INA-000000")</f>
        <v>FIP-DOM-000-11304-OS00001-INA-000000</v>
      </c>
      <c r="P4467" s="6" t="str">
        <f>IFERROR(__xludf.DUMMYFUNCTION("""COMPUTED_VALUE"""),"PO Closed")</f>
        <v>PO Closed</v>
      </c>
      <c r="Q4467" s="6" t="str">
        <f>IFERROR(__xludf.DUMMYFUNCTION("""COMPUTED_VALUE"""),"GL2511033")</f>
        <v>GL2511033</v>
      </c>
      <c r="R4467" s="57">
        <f>IFERROR(__xludf.DUMMYFUNCTION("""COMPUTED_VALUE"""),45936.0)</f>
        <v>45936</v>
      </c>
      <c r="S4467" s="57">
        <f>IFERROR(__xludf.DUMMYFUNCTION("""COMPUTED_VALUE"""),45937.0)</f>
        <v>45937</v>
      </c>
      <c r="T4467" s="57">
        <f>IFERROR(__xludf.DUMMYFUNCTION("""COMPUTED_VALUE"""),46117.0)</f>
        <v>46117</v>
      </c>
    </row>
    <row r="4468">
      <c r="A4468" s="6" t="str">
        <f>IFERROR(__xludf.DUMMYFUNCTION("""COMPUTED_VALUE"""),"121703307-4")</f>
        <v>121703307-4</v>
      </c>
      <c r="B4468" s="6" t="str">
        <f>IFERROR(__xludf.DUMMYFUNCTION("""COMPUTED_VALUE"""),"121703307 - APPROVED")</f>
        <v>121703307 - APPROVED</v>
      </c>
      <c r="C4468" s="6">
        <f>IFERROR(__xludf.DUMMYFUNCTION("""COMPUTED_VALUE"""),4.0)</f>
        <v>4</v>
      </c>
      <c r="D4468" s="6" t="str">
        <f>IFERROR(__xludf.DUMMYFUNCTION("""COMPUTED_VALUE"""),"O-21067-00")</f>
        <v>O-21067-00</v>
      </c>
      <c r="E4468" s="6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F4468" s="6">
        <f>IFERROR(__xludf.DUMMYFUNCTION("""COMPUTED_VALUE"""),1.0)</f>
        <v>1</v>
      </c>
      <c r="G4468" s="6" t="str">
        <f>IFERROR(__xludf.DUMMYFUNCTION("""COMPUTED_VALUE"""),"Pieces")</f>
        <v>Pieces</v>
      </c>
      <c r="H4468" s="6" t="str">
        <f>IFERROR(__xludf.DUMMYFUNCTION("""COMPUTED_VALUE"""),"IDR")</f>
        <v>IDR</v>
      </c>
      <c r="I4468" s="6">
        <f>IFERROR(__xludf.DUMMYFUNCTION("""COMPUTED_VALUE"""),3.61E7)</f>
        <v>36100000</v>
      </c>
      <c r="J4468" s="6">
        <f>IFERROR(__xludf.DUMMYFUNCTION("""COMPUTED_VALUE"""),3.61E7)</f>
        <v>36100000</v>
      </c>
      <c r="K4468" s="57">
        <f>IFERROR(__xludf.DUMMYFUNCTION("""COMPUTED_VALUE"""),45968.0)</f>
        <v>45968</v>
      </c>
      <c r="L4468" s="6" t="str">
        <f>IFERROR(__xludf.DUMMYFUNCTION("""COMPUTED_VALUE"""),"FIP Engineering")</f>
        <v>FIP Engineering</v>
      </c>
      <c r="M4468" s="6" t="str">
        <f>IFERROR(__xludf.DUMMYFUNCTION("""COMPUTED_VALUE"""),"Mochammad Fadhillah Hakim,")</f>
        <v>Mochammad Fadhillah Hakim,</v>
      </c>
      <c r="N4468" s="6" t="str">
        <f>IFERROR(__xludf.DUMMYFUNCTION("""COMPUTED_VALUE"""),"FIP Engineering")</f>
        <v>FIP Engineering</v>
      </c>
      <c r="O4468" s="6" t="str">
        <f>IFERROR(__xludf.DUMMYFUNCTION("""COMPUTED_VALUE"""),"FIP-DOM-000-11304-OS00001-INA-000000")</f>
        <v>FIP-DOM-000-11304-OS00001-INA-000000</v>
      </c>
      <c r="P4468" s="6" t="str">
        <f>IFERROR(__xludf.DUMMYFUNCTION("""COMPUTED_VALUE"""),"PO Closed")</f>
        <v>PO Closed</v>
      </c>
      <c r="Q4468" s="6" t="str">
        <f>IFERROR(__xludf.DUMMYFUNCTION("""COMPUTED_VALUE"""),"GL2511033")</f>
        <v>GL2511033</v>
      </c>
      <c r="R4468" s="57">
        <f>IFERROR(__xludf.DUMMYFUNCTION("""COMPUTED_VALUE"""),45936.0)</f>
        <v>45936</v>
      </c>
      <c r="S4468" s="57">
        <f>IFERROR(__xludf.DUMMYFUNCTION("""COMPUTED_VALUE"""),45937.0)</f>
        <v>45937</v>
      </c>
      <c r="T4468" s="57">
        <f>IFERROR(__xludf.DUMMYFUNCTION("""COMPUTED_VALUE"""),46117.0)</f>
        <v>46117</v>
      </c>
    </row>
    <row r="4469">
      <c r="A4469" s="6" t="str">
        <f>IFERROR(__xludf.DUMMYFUNCTION("""COMPUTED_VALUE"""),"121703308-1")</f>
        <v>121703308-1</v>
      </c>
      <c r="B4469" s="6" t="str">
        <f>IFERROR(__xludf.DUMMYFUNCTION("""COMPUTED_VALUE"""),"121703308 - APPROVED")</f>
        <v>121703308 - APPROVED</v>
      </c>
      <c r="C4469" s="6">
        <f>IFERROR(__xludf.DUMMYFUNCTION("""COMPUTED_VALUE"""),1.0)</f>
        <v>1</v>
      </c>
      <c r="D4469" s="6" t="str">
        <f>IFERROR(__xludf.DUMMYFUNCTION("""COMPUTED_VALUE"""),"R-20024-00")</f>
        <v>R-20024-00</v>
      </c>
      <c r="E4469" s="6" t="str">
        <f>IFERROR(__xludf.DUMMYFUNCTION("""COMPUTED_VALUE"""),"Machine Equipment; ; ; - Interior Wall Zelltech - Interior Wall Zelltech")</f>
        <v>Machine Equipment; ; ; - Interior Wall Zelltech - Interior Wall Zelltech</v>
      </c>
      <c r="F4469" s="6">
        <f>IFERROR(__xludf.DUMMYFUNCTION("""COMPUTED_VALUE"""),1.0)</f>
        <v>1</v>
      </c>
      <c r="G4469" s="6" t="str">
        <f>IFERROR(__xludf.DUMMYFUNCTION("""COMPUTED_VALUE"""),"Unit")</f>
        <v>Unit</v>
      </c>
      <c r="H4469" s="6" t="str">
        <f>IFERROR(__xludf.DUMMYFUNCTION("""COMPUTED_VALUE"""),"IDR")</f>
        <v>IDR</v>
      </c>
      <c r="I4469" s="6">
        <f>IFERROR(__xludf.DUMMYFUNCTION("""COMPUTED_VALUE"""),1.22112E7)</f>
        <v>12211200</v>
      </c>
      <c r="J4469" s="6">
        <f>IFERROR(__xludf.DUMMYFUNCTION("""COMPUTED_VALUE"""),1.22112E7)</f>
        <v>12211200</v>
      </c>
      <c r="K4469" s="57">
        <f>IFERROR(__xludf.DUMMYFUNCTION("""COMPUTED_VALUE"""),45968.0)</f>
        <v>45968</v>
      </c>
      <c r="L4469" s="6" t="str">
        <f>IFERROR(__xludf.DUMMYFUNCTION("""COMPUTED_VALUE"""),"FIP General")</f>
        <v>FIP General</v>
      </c>
      <c r="M4469" s="6" t="str">
        <f>IFERROR(__xludf.DUMMYFUNCTION("""COMPUTED_VALUE"""),"Mochammad Fadhillah Hakim,")</f>
        <v>Mochammad Fadhillah Hakim,</v>
      </c>
      <c r="N4469" s="6" t="str">
        <f>IFERROR(__xludf.DUMMYFUNCTION("""COMPUTED_VALUE"""),"FIP Engineering")</f>
        <v>FIP Engineering</v>
      </c>
      <c r="O4469" s="6" t="str">
        <f>IFERROR(__xludf.DUMMYFUNCTION("""COMPUTED_VALUE"""),"FIP-DOM-PRJ-13404-MC25005-INA-000000")</f>
        <v>FIP-DOM-PRJ-13404-MC25005-INA-000000</v>
      </c>
      <c r="P4469" s="6" t="str">
        <f>IFERROR(__xludf.DUMMYFUNCTION("""COMPUTED_VALUE"""),"PO Closed")</f>
        <v>PO Closed</v>
      </c>
      <c r="Q4469" s="6"/>
      <c r="R4469" s="57">
        <f>IFERROR(__xludf.DUMMYFUNCTION("""COMPUTED_VALUE"""),45936.0)</f>
        <v>45936</v>
      </c>
      <c r="S4469" s="57">
        <f>IFERROR(__xludf.DUMMYFUNCTION("""COMPUTED_VALUE"""),45937.0)</f>
        <v>45937</v>
      </c>
      <c r="T4469" s="6"/>
    </row>
    <row r="4470">
      <c r="A4470" s="6" t="str">
        <f>IFERROR(__xludf.DUMMYFUNCTION("""COMPUTED_VALUE"""),"121703325-1")</f>
        <v>121703325-1</v>
      </c>
      <c r="B4470" s="6" t="str">
        <f>IFERROR(__xludf.DUMMYFUNCTION("""COMPUTED_VALUE"""),"121703325 - APPROVED")</f>
        <v>121703325 - APPROVED</v>
      </c>
      <c r="C4470" s="6">
        <f>IFERROR(__xludf.DUMMYFUNCTION("""COMPUTED_VALUE"""),1.0)</f>
        <v>1</v>
      </c>
      <c r="D4470" s="6" t="str">
        <f>IFERROR(__xludf.DUMMYFUNCTION("""COMPUTED_VALUE"""),"O-53451-00")</f>
        <v>O-53451-00</v>
      </c>
      <c r="E4470" s="6" t="str">
        <f>IFERROR(__xludf.DUMMYFUNCTION("""COMPUTED_VALUE"""),"Capping VCM200 - Eco Position Indicators; Misumi; E-DSNR1-14; 1 Pc")</f>
        <v>Capping VCM200 - Eco Position Indicators; Misumi; E-DSNR1-14; 1 Pc</v>
      </c>
      <c r="F4470" s="6">
        <f>IFERROR(__xludf.DUMMYFUNCTION("""COMPUTED_VALUE"""),3.0)</f>
        <v>3</v>
      </c>
      <c r="G4470" s="6" t="str">
        <f>IFERROR(__xludf.DUMMYFUNCTION("""COMPUTED_VALUE"""),"Pieces")</f>
        <v>Pieces</v>
      </c>
      <c r="H4470" s="6" t="str">
        <f>IFERROR(__xludf.DUMMYFUNCTION("""COMPUTED_VALUE"""),"IDR")</f>
        <v>IDR</v>
      </c>
      <c r="I4470" s="6">
        <f>IFERROR(__xludf.DUMMYFUNCTION("""COMPUTED_VALUE"""),166897.0)</f>
        <v>166897</v>
      </c>
      <c r="J4470" s="6">
        <f>IFERROR(__xludf.DUMMYFUNCTION("""COMPUTED_VALUE"""),500691.0)</f>
        <v>500691</v>
      </c>
      <c r="K4470" s="57">
        <f>IFERROR(__xludf.DUMMYFUNCTION("""COMPUTED_VALUE"""),45954.0)</f>
        <v>45954</v>
      </c>
      <c r="L4470" s="6" t="str">
        <f>IFERROR(__xludf.DUMMYFUNCTION("""COMPUTED_VALUE"""),"FIP Engineering")</f>
        <v>FIP Engineering</v>
      </c>
      <c r="M4470" s="6" t="str">
        <f>IFERROR(__xludf.DUMMYFUNCTION("""COMPUTED_VALUE"""),"Mochammad Fadhillah Hakim,")</f>
        <v>Mochammad Fadhillah Hakim,</v>
      </c>
      <c r="N4470" s="6" t="str">
        <f>IFERROR(__xludf.DUMMYFUNCTION("""COMPUTED_VALUE"""),"FIP Engineering")</f>
        <v>FIP Engineering</v>
      </c>
      <c r="O4470" s="6" t="str">
        <f>IFERROR(__xludf.DUMMYFUNCTION("""COMPUTED_VALUE"""),"FIP-DOM-000-11304-OS00001-INA-000000")</f>
        <v>FIP-DOM-000-11304-OS00001-INA-000000</v>
      </c>
      <c r="P4470" s="6" t="str">
        <f>IFERROR(__xludf.DUMMYFUNCTION("""COMPUTED_VALUE"""),"PO Closed")</f>
        <v>PO Closed</v>
      </c>
      <c r="Q4470" s="6" t="str">
        <f>IFERROR(__xludf.DUMMYFUNCTION("""COMPUTED_VALUE"""),"GL2510033")</f>
        <v>GL2510033</v>
      </c>
      <c r="R4470" s="57">
        <f>IFERROR(__xludf.DUMMYFUNCTION("""COMPUTED_VALUE"""),45938.0)</f>
        <v>45938</v>
      </c>
      <c r="S4470" s="57">
        <f>IFERROR(__xludf.DUMMYFUNCTION("""COMPUTED_VALUE"""),45943.0)</f>
        <v>45943</v>
      </c>
      <c r="T4470" s="57">
        <f>IFERROR(__xludf.DUMMYFUNCTION("""COMPUTED_VALUE"""),45981.0)</f>
        <v>45981</v>
      </c>
    </row>
    <row r="4471">
      <c r="A4471" s="6" t="str">
        <f>IFERROR(__xludf.DUMMYFUNCTION("""COMPUTED_VALUE"""),"121703326-1")</f>
        <v>121703326-1</v>
      </c>
      <c r="B4471" s="6" t="str">
        <f>IFERROR(__xludf.DUMMYFUNCTION("""COMPUTED_VALUE"""),"121703326 - APPROVED")</f>
        <v>121703326 - APPROVED</v>
      </c>
      <c r="C4471" s="6">
        <f>IFERROR(__xludf.DUMMYFUNCTION("""COMPUTED_VALUE"""),1.0)</f>
        <v>1</v>
      </c>
      <c r="D4471" s="6" t="str">
        <f>IFERROR(__xludf.DUMMYFUNCTION("""COMPUTED_VALUE"""),"R-20024-00")</f>
        <v>R-20024-00</v>
      </c>
      <c r="E4471" s="6" t="str">
        <f>IFERROR(__xludf.DUMMYFUNCTION("""COMPUTED_VALUE"""),"Machine Equipment; ; ; - Chain Blocks 500 Kg x 5 Meter, Takada - Chain Blocks 500 Kg x 5 Meter, Takada - Chain Blocks 500 Kg x 5 Meter, Takada - Chain Blocks 500 Kg x 5 Meter, Takada")</f>
        <v>Machine Equipment; ; ; - Chain Blocks 500 Kg x 5 Meter, Takada - Chain Blocks 500 Kg x 5 Meter, Takada - Chain Blocks 500 Kg x 5 Meter, Takada - Chain Blocks 500 Kg x 5 Meter, Takada</v>
      </c>
      <c r="F4471" s="6">
        <f>IFERROR(__xludf.DUMMYFUNCTION("""COMPUTED_VALUE"""),1.0)</f>
        <v>1</v>
      </c>
      <c r="G4471" s="6" t="str">
        <f>IFERROR(__xludf.DUMMYFUNCTION("""COMPUTED_VALUE"""),"Unit")</f>
        <v>Unit</v>
      </c>
      <c r="H4471" s="6" t="str">
        <f>IFERROR(__xludf.DUMMYFUNCTION("""COMPUTED_VALUE"""),"IDR")</f>
        <v>IDR</v>
      </c>
      <c r="I4471" s="6">
        <f>IFERROR(__xludf.DUMMYFUNCTION("""COMPUTED_VALUE"""),975000.0)</f>
        <v>975000</v>
      </c>
      <c r="J4471" s="6">
        <f>IFERROR(__xludf.DUMMYFUNCTION("""COMPUTED_VALUE"""),975000.0)</f>
        <v>975000</v>
      </c>
      <c r="K4471" s="57">
        <f>IFERROR(__xludf.DUMMYFUNCTION("""COMPUTED_VALUE"""),45975.0)</f>
        <v>45975</v>
      </c>
      <c r="L4471" s="6" t="str">
        <f>IFERROR(__xludf.DUMMYFUNCTION("""COMPUTED_VALUE"""),"FIP General")</f>
        <v>FIP General</v>
      </c>
      <c r="M4471" s="6" t="str">
        <f>IFERROR(__xludf.DUMMYFUNCTION("""COMPUTED_VALUE"""),"Mochammad Fadhillah Hakim,")</f>
        <v>Mochammad Fadhillah Hakim,</v>
      </c>
      <c r="N4471" s="6" t="str">
        <f>IFERROR(__xludf.DUMMYFUNCTION("""COMPUTED_VALUE"""),"FIP Engineering")</f>
        <v>FIP Engineering</v>
      </c>
      <c r="O4471" s="6" t="str">
        <f>IFERROR(__xludf.DUMMYFUNCTION("""COMPUTED_VALUE"""),"FIP-DOM-PRJ-13404-MC25005-INA-000000")</f>
        <v>FIP-DOM-PRJ-13404-MC25005-INA-000000</v>
      </c>
      <c r="P4471" s="6" t="str">
        <f>IFERROR(__xludf.DUMMYFUNCTION("""COMPUTED_VALUE"""),"PO Closed")</f>
        <v>PO Closed</v>
      </c>
      <c r="Q4471" s="6" t="str">
        <f>IFERROR(__xludf.DUMMYFUNCTION("""COMPUTED_VALUE"""),"GL2510055")</f>
        <v>GL2510055</v>
      </c>
      <c r="R4471" s="57">
        <f>IFERROR(__xludf.DUMMYFUNCTION("""COMPUTED_VALUE"""),45938.0)</f>
        <v>45938</v>
      </c>
      <c r="S4471" s="57">
        <f>IFERROR(__xludf.DUMMYFUNCTION("""COMPUTED_VALUE"""),45944.0)</f>
        <v>45944</v>
      </c>
      <c r="T4471" s="57">
        <f>IFERROR(__xludf.DUMMYFUNCTION("""COMPUTED_VALUE"""),45975.0)</f>
        <v>45975</v>
      </c>
    </row>
    <row r="4472">
      <c r="A4472" s="6" t="str">
        <f>IFERROR(__xludf.DUMMYFUNCTION("""COMPUTED_VALUE"""),"121703326-2")</f>
        <v>121703326-2</v>
      </c>
      <c r="B4472" s="6" t="str">
        <f>IFERROR(__xludf.DUMMYFUNCTION("""COMPUTED_VALUE"""),"121703326 - APPROVED")</f>
        <v>121703326 - APPROVED</v>
      </c>
      <c r="C4472" s="6">
        <f>IFERROR(__xludf.DUMMYFUNCTION("""COMPUTED_VALUE"""),2.0)</f>
        <v>2</v>
      </c>
      <c r="D4472" s="6" t="str">
        <f>IFERROR(__xludf.DUMMYFUNCTION("""COMPUTED_VALUE"""),"R-20024-00")</f>
        <v>R-20024-00</v>
      </c>
      <c r="E4472" s="6" t="str">
        <f>IFERROR(__xludf.DUMMYFUNCTION("""COMPUTED_VALUE"""),"Machine Equipment; ; ; - Chain Blocks 5 Ton x 10 Meter, Takada - Chain Blocks 5 Ton x 10 Meter, Takada - Chain Blocks 5 Ton x 10 Meter, Takada - Chain Blocks 5 Ton x 10 Meter, Takada")</f>
        <v>Machine Equipment; ; ; - Chain Blocks 5 Ton x 10 Meter, Takada - Chain Blocks 5 Ton x 10 Meter, Takada - Chain Blocks 5 Ton x 10 Meter, Takada - Chain Blocks 5 Ton x 10 Meter, Takada</v>
      </c>
      <c r="F4472" s="6">
        <f>IFERROR(__xludf.DUMMYFUNCTION("""COMPUTED_VALUE"""),1.0)</f>
        <v>1</v>
      </c>
      <c r="G4472" s="6" t="str">
        <f>IFERROR(__xludf.DUMMYFUNCTION("""COMPUTED_VALUE"""),"Unit")</f>
        <v>Unit</v>
      </c>
      <c r="H4472" s="6" t="str">
        <f>IFERROR(__xludf.DUMMYFUNCTION("""COMPUTED_VALUE"""),"IDR")</f>
        <v>IDR</v>
      </c>
      <c r="I4472" s="6">
        <f>IFERROR(__xludf.DUMMYFUNCTION("""COMPUTED_VALUE"""),1820000.0)</f>
        <v>1820000</v>
      </c>
      <c r="J4472" s="6">
        <f>IFERROR(__xludf.DUMMYFUNCTION("""COMPUTED_VALUE"""),1820000.0)</f>
        <v>1820000</v>
      </c>
      <c r="K4472" s="57">
        <f>IFERROR(__xludf.DUMMYFUNCTION("""COMPUTED_VALUE"""),45975.0)</f>
        <v>45975</v>
      </c>
      <c r="L4472" s="6" t="str">
        <f>IFERROR(__xludf.DUMMYFUNCTION("""COMPUTED_VALUE"""),"FIP General")</f>
        <v>FIP General</v>
      </c>
      <c r="M4472" s="6" t="str">
        <f>IFERROR(__xludf.DUMMYFUNCTION("""COMPUTED_VALUE"""),"Mochammad Fadhillah Hakim,")</f>
        <v>Mochammad Fadhillah Hakim,</v>
      </c>
      <c r="N4472" s="6" t="str">
        <f>IFERROR(__xludf.DUMMYFUNCTION("""COMPUTED_VALUE"""),"FIP Engineering")</f>
        <v>FIP Engineering</v>
      </c>
      <c r="O4472" s="6" t="str">
        <f>IFERROR(__xludf.DUMMYFUNCTION("""COMPUTED_VALUE"""),"FIP-DOM-PRJ-13404-MC25005-INA-000000")</f>
        <v>FIP-DOM-PRJ-13404-MC25005-INA-000000</v>
      </c>
      <c r="P4472" s="6" t="str">
        <f>IFERROR(__xludf.DUMMYFUNCTION("""COMPUTED_VALUE"""),"PO Closed")</f>
        <v>PO Closed</v>
      </c>
      <c r="Q4472" s="6" t="str">
        <f>IFERROR(__xludf.DUMMYFUNCTION("""COMPUTED_VALUE"""),"GL2510038")</f>
        <v>GL2510038</v>
      </c>
      <c r="R4472" s="57">
        <f>IFERROR(__xludf.DUMMYFUNCTION("""COMPUTED_VALUE"""),45938.0)</f>
        <v>45938</v>
      </c>
      <c r="S4472" s="57">
        <f>IFERROR(__xludf.DUMMYFUNCTION("""COMPUTED_VALUE"""),45944.0)</f>
        <v>45944</v>
      </c>
      <c r="T4472" s="57">
        <f>IFERROR(__xludf.DUMMYFUNCTION("""COMPUTED_VALUE"""),45976.0)</f>
        <v>45976</v>
      </c>
    </row>
    <row r="4473">
      <c r="A4473" s="6" t="str">
        <f>IFERROR(__xludf.DUMMYFUNCTION("""COMPUTED_VALUE"""),"121703326-3")</f>
        <v>121703326-3</v>
      </c>
      <c r="B4473" s="6" t="str">
        <f>IFERROR(__xludf.DUMMYFUNCTION("""COMPUTED_VALUE"""),"121703326 - APPROVED")</f>
        <v>121703326 - APPROVED</v>
      </c>
      <c r="C4473" s="6">
        <f>IFERROR(__xludf.DUMMYFUNCTION("""COMPUTED_VALUE"""),3.0)</f>
        <v>3</v>
      </c>
      <c r="D4473" s="6" t="str">
        <f>IFERROR(__xludf.DUMMYFUNCTION("""COMPUTED_VALUE"""),"R-20024-00")</f>
        <v>R-20024-00</v>
      </c>
      <c r="E4473" s="6" t="str">
        <f>IFERROR(__xludf.DUMMYFUNCTION("""COMPUTED_VALUE"""),"Machine Equipment; ; ; - Hydraulic Jack 10 Ton, Barton - Hydraulic Jack 10 Ton, Barton - Hydraulic Jack 10 Ton, Barton - Hydraulic Jack 10 Ton, Barton")</f>
        <v>Machine Equipment; ; ; - Hydraulic Jack 10 Ton, Barton - Hydraulic Jack 10 Ton, Barton - Hydraulic Jack 10 Ton, Barton - Hydraulic Jack 10 Ton, Barton</v>
      </c>
      <c r="F4473" s="6">
        <f>IFERROR(__xludf.DUMMYFUNCTION("""COMPUTED_VALUE"""),1.0)</f>
        <v>1</v>
      </c>
      <c r="G4473" s="6" t="str">
        <f>IFERROR(__xludf.DUMMYFUNCTION("""COMPUTED_VALUE"""),"Unit")</f>
        <v>Unit</v>
      </c>
      <c r="H4473" s="6" t="str">
        <f>IFERROR(__xludf.DUMMYFUNCTION("""COMPUTED_VALUE"""),"IDR")</f>
        <v>IDR</v>
      </c>
      <c r="I4473" s="6">
        <f>IFERROR(__xludf.DUMMYFUNCTION("""COMPUTED_VALUE"""),2025000.0)</f>
        <v>2025000</v>
      </c>
      <c r="J4473" s="6">
        <f>IFERROR(__xludf.DUMMYFUNCTION("""COMPUTED_VALUE"""),2025000.0)</f>
        <v>2025000</v>
      </c>
      <c r="K4473" s="57">
        <f>IFERROR(__xludf.DUMMYFUNCTION("""COMPUTED_VALUE"""),45975.0)</f>
        <v>45975</v>
      </c>
      <c r="L4473" s="6" t="str">
        <f>IFERROR(__xludf.DUMMYFUNCTION("""COMPUTED_VALUE"""),"FIP General")</f>
        <v>FIP General</v>
      </c>
      <c r="M4473" s="6" t="str">
        <f>IFERROR(__xludf.DUMMYFUNCTION("""COMPUTED_VALUE"""),"Mochammad Fadhillah Hakim,")</f>
        <v>Mochammad Fadhillah Hakim,</v>
      </c>
      <c r="N4473" s="6" t="str">
        <f>IFERROR(__xludf.DUMMYFUNCTION("""COMPUTED_VALUE"""),"FIP Engineering")</f>
        <v>FIP Engineering</v>
      </c>
      <c r="O4473" s="6" t="str">
        <f>IFERROR(__xludf.DUMMYFUNCTION("""COMPUTED_VALUE"""),"FIP-DOM-PRJ-13404-MC25005-INA-000000")</f>
        <v>FIP-DOM-PRJ-13404-MC25005-INA-000000</v>
      </c>
      <c r="P4473" s="6" t="str">
        <f>IFERROR(__xludf.DUMMYFUNCTION("""COMPUTED_VALUE"""),"PO Closed")</f>
        <v>PO Closed</v>
      </c>
      <c r="Q4473" s="6" t="str">
        <f>IFERROR(__xludf.DUMMYFUNCTION("""COMPUTED_VALUE"""),"GL2510038")</f>
        <v>GL2510038</v>
      </c>
      <c r="R4473" s="57">
        <f>IFERROR(__xludf.DUMMYFUNCTION("""COMPUTED_VALUE"""),45938.0)</f>
        <v>45938</v>
      </c>
      <c r="S4473" s="57">
        <f>IFERROR(__xludf.DUMMYFUNCTION("""COMPUTED_VALUE"""),45944.0)</f>
        <v>45944</v>
      </c>
      <c r="T4473" s="57">
        <f>IFERROR(__xludf.DUMMYFUNCTION("""COMPUTED_VALUE"""),45976.0)</f>
        <v>45976</v>
      </c>
    </row>
    <row r="4474">
      <c r="A4474" s="6" t="str">
        <f>IFERROR(__xludf.DUMMYFUNCTION("""COMPUTED_VALUE"""),"121703326-4")</f>
        <v>121703326-4</v>
      </c>
      <c r="B4474" s="6" t="str">
        <f>IFERROR(__xludf.DUMMYFUNCTION("""COMPUTED_VALUE"""),"121703326 - APPROVED")</f>
        <v>121703326 - APPROVED</v>
      </c>
      <c r="C4474" s="6">
        <f>IFERROR(__xludf.DUMMYFUNCTION("""COMPUTED_VALUE"""),4.0)</f>
        <v>4</v>
      </c>
      <c r="D4474" s="6" t="str">
        <f>IFERROR(__xludf.DUMMYFUNCTION("""COMPUTED_VALUE"""),"R-20024-00")</f>
        <v>R-20024-00</v>
      </c>
      <c r="E4474" s="6" t="str">
        <f>IFERROR(__xludf.DUMMYFUNCTION("""COMPUTED_VALUE"""),"Machine Equipment; ; ; - H-Beam 150, Panjang 6 mtr - H-Beam 150, Panjang 6 mtr - H-Beam 150, Panjang 6 mtr - H-Beam 150, Panjang 6 mtr")</f>
        <v>Machine Equipment; ; ; - H-Beam 150, Panjang 6 mtr - H-Beam 150, Panjang 6 mtr - H-Beam 150, Panjang 6 mtr - H-Beam 150, Panjang 6 mtr</v>
      </c>
      <c r="F4474" s="6">
        <f>IFERROR(__xludf.DUMMYFUNCTION("""COMPUTED_VALUE"""),1.0)</f>
        <v>1</v>
      </c>
      <c r="G4474" s="6" t="str">
        <f>IFERROR(__xludf.DUMMYFUNCTION("""COMPUTED_VALUE"""),"Unit")</f>
        <v>Unit</v>
      </c>
      <c r="H4474" s="6" t="str">
        <f>IFERROR(__xludf.DUMMYFUNCTION("""COMPUTED_VALUE"""),"IDR")</f>
        <v>IDR</v>
      </c>
      <c r="I4474" s="6">
        <f>IFERROR(__xludf.DUMMYFUNCTION("""COMPUTED_VALUE"""),4550000.0)</f>
        <v>4550000</v>
      </c>
      <c r="J4474" s="6">
        <f>IFERROR(__xludf.DUMMYFUNCTION("""COMPUTED_VALUE"""),4550000.0)</f>
        <v>4550000</v>
      </c>
      <c r="K4474" s="57">
        <f>IFERROR(__xludf.DUMMYFUNCTION("""COMPUTED_VALUE"""),45975.0)</f>
        <v>45975</v>
      </c>
      <c r="L4474" s="6" t="str">
        <f>IFERROR(__xludf.DUMMYFUNCTION("""COMPUTED_VALUE"""),"FIP General")</f>
        <v>FIP General</v>
      </c>
      <c r="M4474" s="6" t="str">
        <f>IFERROR(__xludf.DUMMYFUNCTION("""COMPUTED_VALUE"""),"Mochammad Fadhillah Hakim,")</f>
        <v>Mochammad Fadhillah Hakim,</v>
      </c>
      <c r="N4474" s="6" t="str">
        <f>IFERROR(__xludf.DUMMYFUNCTION("""COMPUTED_VALUE"""),"FIP Engineering")</f>
        <v>FIP Engineering</v>
      </c>
      <c r="O4474" s="6" t="str">
        <f>IFERROR(__xludf.DUMMYFUNCTION("""COMPUTED_VALUE"""),"FIP-DOM-PRJ-13404-MC25005-INA-000000")</f>
        <v>FIP-DOM-PRJ-13404-MC25005-INA-000000</v>
      </c>
      <c r="P4474" s="6" t="str">
        <f>IFERROR(__xludf.DUMMYFUNCTION("""COMPUTED_VALUE"""),"PO Closed")</f>
        <v>PO Closed</v>
      </c>
      <c r="Q4474" s="6" t="str">
        <f>IFERROR(__xludf.DUMMYFUNCTION("""COMPUTED_VALUE"""),"GL2510055")</f>
        <v>GL2510055</v>
      </c>
      <c r="R4474" s="57">
        <f>IFERROR(__xludf.DUMMYFUNCTION("""COMPUTED_VALUE"""),45938.0)</f>
        <v>45938</v>
      </c>
      <c r="S4474" s="57">
        <f>IFERROR(__xludf.DUMMYFUNCTION("""COMPUTED_VALUE"""),45944.0)</f>
        <v>45944</v>
      </c>
      <c r="T4474" s="57">
        <f>IFERROR(__xludf.DUMMYFUNCTION("""COMPUTED_VALUE"""),45975.0)</f>
        <v>45975</v>
      </c>
    </row>
    <row r="4475">
      <c r="A4475" s="6" t="str">
        <f>IFERROR(__xludf.DUMMYFUNCTION("""COMPUTED_VALUE"""),"121703326-5")</f>
        <v>121703326-5</v>
      </c>
      <c r="B4475" s="6" t="str">
        <f>IFERROR(__xludf.DUMMYFUNCTION("""COMPUTED_VALUE"""),"121703326 - APPROVED")</f>
        <v>121703326 - APPROVED</v>
      </c>
      <c r="C4475" s="6">
        <f>IFERROR(__xludf.DUMMYFUNCTION("""COMPUTED_VALUE"""),5.0)</f>
        <v>5</v>
      </c>
      <c r="D4475" s="6" t="str">
        <f>IFERROR(__xludf.DUMMYFUNCTION("""COMPUTED_VALUE"""),"R-20024-00")</f>
        <v>R-20024-00</v>
      </c>
      <c r="E4475" s="6" t="str">
        <f>IFERROR(__xludf.DUMMYFUNCTION("""COMPUTED_VALUE"""),"Machine Equipment; ; ; - Mata Bor HSS Nachi 5 mm - Mata Bor HSS Nachi 5 mm - Mata Bor HSS Nachi 5 mm - Mata Bor HSS Nachi 5 mm")</f>
        <v>Machine Equipment; ; ; - Mata Bor HSS Nachi 5 mm - Mata Bor HSS Nachi 5 mm - Mata Bor HSS Nachi 5 mm - Mata Bor HSS Nachi 5 mm</v>
      </c>
      <c r="F4475" s="6">
        <f>IFERROR(__xludf.DUMMYFUNCTION("""COMPUTED_VALUE"""),1.0)</f>
        <v>1</v>
      </c>
      <c r="G4475" s="6" t="str">
        <f>IFERROR(__xludf.DUMMYFUNCTION("""COMPUTED_VALUE"""),"Unit")</f>
        <v>Unit</v>
      </c>
      <c r="H4475" s="6" t="str">
        <f>IFERROR(__xludf.DUMMYFUNCTION("""COMPUTED_VALUE"""),"IDR")</f>
        <v>IDR</v>
      </c>
      <c r="I4475" s="6">
        <f>IFERROR(__xludf.DUMMYFUNCTION("""COMPUTED_VALUE"""),42900.0)</f>
        <v>42900</v>
      </c>
      <c r="J4475" s="6">
        <f>IFERROR(__xludf.DUMMYFUNCTION("""COMPUTED_VALUE"""),42900.0)</f>
        <v>42900</v>
      </c>
      <c r="K4475" s="57">
        <f>IFERROR(__xludf.DUMMYFUNCTION("""COMPUTED_VALUE"""),45975.0)</f>
        <v>45975</v>
      </c>
      <c r="L4475" s="6" t="str">
        <f>IFERROR(__xludf.DUMMYFUNCTION("""COMPUTED_VALUE"""),"FIP General")</f>
        <v>FIP General</v>
      </c>
      <c r="M4475" s="6" t="str">
        <f>IFERROR(__xludf.DUMMYFUNCTION("""COMPUTED_VALUE"""),"Mochammad Fadhillah Hakim,")</f>
        <v>Mochammad Fadhillah Hakim,</v>
      </c>
      <c r="N4475" s="6" t="str">
        <f>IFERROR(__xludf.DUMMYFUNCTION("""COMPUTED_VALUE"""),"FIP Engineering")</f>
        <v>FIP Engineering</v>
      </c>
      <c r="O4475" s="6" t="str">
        <f>IFERROR(__xludf.DUMMYFUNCTION("""COMPUTED_VALUE"""),"FIP-DOM-PRJ-13404-MC25005-INA-000000")</f>
        <v>FIP-DOM-PRJ-13404-MC25005-INA-000000</v>
      </c>
      <c r="P4475" s="6" t="str">
        <f>IFERROR(__xludf.DUMMYFUNCTION("""COMPUTED_VALUE"""),"PO Closed")</f>
        <v>PO Closed</v>
      </c>
      <c r="Q4475" s="6" t="str">
        <f>IFERROR(__xludf.DUMMYFUNCTION("""COMPUTED_VALUE"""),"GL2510055")</f>
        <v>GL2510055</v>
      </c>
      <c r="R4475" s="57">
        <f>IFERROR(__xludf.DUMMYFUNCTION("""COMPUTED_VALUE"""),45938.0)</f>
        <v>45938</v>
      </c>
      <c r="S4475" s="57">
        <f>IFERROR(__xludf.DUMMYFUNCTION("""COMPUTED_VALUE"""),45944.0)</f>
        <v>45944</v>
      </c>
      <c r="T4475" s="57">
        <f>IFERROR(__xludf.DUMMYFUNCTION("""COMPUTED_VALUE"""),45975.0)</f>
        <v>45975</v>
      </c>
    </row>
    <row r="4476">
      <c r="A4476" s="6" t="str">
        <f>IFERROR(__xludf.DUMMYFUNCTION("""COMPUTED_VALUE"""),"121703326-6")</f>
        <v>121703326-6</v>
      </c>
      <c r="B4476" s="6" t="str">
        <f>IFERROR(__xludf.DUMMYFUNCTION("""COMPUTED_VALUE"""),"121703326 - APPROVED")</f>
        <v>121703326 - APPROVED</v>
      </c>
      <c r="C4476" s="6">
        <f>IFERROR(__xludf.DUMMYFUNCTION("""COMPUTED_VALUE"""),6.0)</f>
        <v>6</v>
      </c>
      <c r="D4476" s="6" t="str">
        <f>IFERROR(__xludf.DUMMYFUNCTION("""COMPUTED_VALUE"""),"R-20024-00")</f>
        <v>R-20024-00</v>
      </c>
      <c r="E4476" s="6" t="str">
        <f>IFERROR(__xludf.DUMMYFUNCTION("""COMPUTED_VALUE"""),"Machine Equipment; ; ; - Mata Bor HSS Nachi 10 mm - Mata Bor HSS Nachi 10 mm - Mata Bor HSS Nachi 10 mm - Mata Bor HSS Nachi 10 mm")</f>
        <v>Machine Equipment; ; ; - Mata Bor HSS Nachi 10 mm - Mata Bor HSS Nachi 10 mm - Mata Bor HSS Nachi 10 mm - Mata Bor HSS Nachi 10 mm</v>
      </c>
      <c r="F4476" s="6">
        <f>IFERROR(__xludf.DUMMYFUNCTION("""COMPUTED_VALUE"""),1.0)</f>
        <v>1</v>
      </c>
      <c r="G4476" s="6" t="str">
        <f>IFERROR(__xludf.DUMMYFUNCTION("""COMPUTED_VALUE"""),"Unit")</f>
        <v>Unit</v>
      </c>
      <c r="H4476" s="6" t="str">
        <f>IFERROR(__xludf.DUMMYFUNCTION("""COMPUTED_VALUE"""),"IDR")</f>
        <v>IDR</v>
      </c>
      <c r="I4476" s="6">
        <f>IFERROR(__xludf.DUMMYFUNCTION("""COMPUTED_VALUE"""),139100.0)</f>
        <v>139100</v>
      </c>
      <c r="J4476" s="6">
        <f>IFERROR(__xludf.DUMMYFUNCTION("""COMPUTED_VALUE"""),139100.0)</f>
        <v>139100</v>
      </c>
      <c r="K4476" s="57">
        <f>IFERROR(__xludf.DUMMYFUNCTION("""COMPUTED_VALUE"""),45975.0)</f>
        <v>45975</v>
      </c>
      <c r="L4476" s="6" t="str">
        <f>IFERROR(__xludf.DUMMYFUNCTION("""COMPUTED_VALUE"""),"FIP General")</f>
        <v>FIP General</v>
      </c>
      <c r="M4476" s="6" t="str">
        <f>IFERROR(__xludf.DUMMYFUNCTION("""COMPUTED_VALUE"""),"Mochammad Fadhillah Hakim,")</f>
        <v>Mochammad Fadhillah Hakim,</v>
      </c>
      <c r="N4476" s="6" t="str">
        <f>IFERROR(__xludf.DUMMYFUNCTION("""COMPUTED_VALUE"""),"FIP Engineering")</f>
        <v>FIP Engineering</v>
      </c>
      <c r="O4476" s="6" t="str">
        <f>IFERROR(__xludf.DUMMYFUNCTION("""COMPUTED_VALUE"""),"FIP-DOM-PRJ-13404-MC25005-INA-000000")</f>
        <v>FIP-DOM-PRJ-13404-MC25005-INA-000000</v>
      </c>
      <c r="P4476" s="6" t="str">
        <f>IFERROR(__xludf.DUMMYFUNCTION("""COMPUTED_VALUE"""),"PO Closed")</f>
        <v>PO Closed</v>
      </c>
      <c r="Q4476" s="6" t="str">
        <f>IFERROR(__xludf.DUMMYFUNCTION("""COMPUTED_VALUE"""),"GL2510055")</f>
        <v>GL2510055</v>
      </c>
      <c r="R4476" s="57">
        <f>IFERROR(__xludf.DUMMYFUNCTION("""COMPUTED_VALUE"""),45938.0)</f>
        <v>45938</v>
      </c>
      <c r="S4476" s="57">
        <f>IFERROR(__xludf.DUMMYFUNCTION("""COMPUTED_VALUE"""),45944.0)</f>
        <v>45944</v>
      </c>
      <c r="T4476" s="57">
        <f>IFERROR(__xludf.DUMMYFUNCTION("""COMPUTED_VALUE"""),45975.0)</f>
        <v>45975</v>
      </c>
    </row>
    <row r="4477">
      <c r="A4477" s="6" t="str">
        <f>IFERROR(__xludf.DUMMYFUNCTION("""COMPUTED_VALUE"""),"121703326-7")</f>
        <v>121703326-7</v>
      </c>
      <c r="B4477" s="6" t="str">
        <f>IFERROR(__xludf.DUMMYFUNCTION("""COMPUTED_VALUE"""),"121703326 - APPROVED")</f>
        <v>121703326 - APPROVED</v>
      </c>
      <c r="C4477" s="6">
        <f>IFERROR(__xludf.DUMMYFUNCTION("""COMPUTED_VALUE"""),7.0)</f>
        <v>7</v>
      </c>
      <c r="D4477" s="6" t="str">
        <f>IFERROR(__xludf.DUMMYFUNCTION("""COMPUTED_VALUE"""),"R-20024-00")</f>
        <v>R-20024-00</v>
      </c>
      <c r="E4477" s="6" t="str">
        <f>IFERROR(__xludf.DUMMYFUNCTION("""COMPUTED_VALUE"""),"Machine Equipment; ; ; - Allen Wrench / Kunci L 16 mm - Allen Wrench / Kunci L 16 mm - Allen Wrench / Kunci L 16 mm - Allen Wrench / Kunci L 16 mm")</f>
        <v>Machine Equipment; ; ; - Allen Wrench / Kunci L 16 mm - Allen Wrench / Kunci L 16 mm - Allen Wrench / Kunci L 16 mm - Allen Wrench / Kunci L 16 mm</v>
      </c>
      <c r="F4477" s="6">
        <f>IFERROR(__xludf.DUMMYFUNCTION("""COMPUTED_VALUE"""),1.0)</f>
        <v>1</v>
      </c>
      <c r="G4477" s="6" t="str">
        <f>IFERROR(__xludf.DUMMYFUNCTION("""COMPUTED_VALUE"""),"Unit")</f>
        <v>Unit</v>
      </c>
      <c r="H4477" s="6" t="str">
        <f>IFERROR(__xludf.DUMMYFUNCTION("""COMPUTED_VALUE"""),"IDR")</f>
        <v>IDR</v>
      </c>
      <c r="I4477" s="6">
        <f>IFERROR(__xludf.DUMMYFUNCTION("""COMPUTED_VALUE"""),169000.0)</f>
        <v>169000</v>
      </c>
      <c r="J4477" s="6">
        <f>IFERROR(__xludf.DUMMYFUNCTION("""COMPUTED_VALUE"""),169000.0)</f>
        <v>169000</v>
      </c>
      <c r="K4477" s="57">
        <f>IFERROR(__xludf.DUMMYFUNCTION("""COMPUTED_VALUE"""),45975.0)</f>
        <v>45975</v>
      </c>
      <c r="L4477" s="6" t="str">
        <f>IFERROR(__xludf.DUMMYFUNCTION("""COMPUTED_VALUE"""),"FIP General")</f>
        <v>FIP General</v>
      </c>
      <c r="M4477" s="6" t="str">
        <f>IFERROR(__xludf.DUMMYFUNCTION("""COMPUTED_VALUE"""),"Mochammad Fadhillah Hakim,")</f>
        <v>Mochammad Fadhillah Hakim,</v>
      </c>
      <c r="N4477" s="6" t="str">
        <f>IFERROR(__xludf.DUMMYFUNCTION("""COMPUTED_VALUE"""),"FIP Engineering")</f>
        <v>FIP Engineering</v>
      </c>
      <c r="O4477" s="6" t="str">
        <f>IFERROR(__xludf.DUMMYFUNCTION("""COMPUTED_VALUE"""),"FIP-DOM-PRJ-13404-MC25005-INA-000000")</f>
        <v>FIP-DOM-PRJ-13404-MC25005-INA-000000</v>
      </c>
      <c r="P4477" s="6" t="str">
        <f>IFERROR(__xludf.DUMMYFUNCTION("""COMPUTED_VALUE"""),"PO Closed")</f>
        <v>PO Closed</v>
      </c>
      <c r="Q4477" s="6" t="str">
        <f>IFERROR(__xludf.DUMMYFUNCTION("""COMPUTED_VALUE"""),"GL2510055")</f>
        <v>GL2510055</v>
      </c>
      <c r="R4477" s="57">
        <f>IFERROR(__xludf.DUMMYFUNCTION("""COMPUTED_VALUE"""),45938.0)</f>
        <v>45938</v>
      </c>
      <c r="S4477" s="57">
        <f>IFERROR(__xludf.DUMMYFUNCTION("""COMPUTED_VALUE"""),45944.0)</f>
        <v>45944</v>
      </c>
      <c r="T4477" s="57">
        <f>IFERROR(__xludf.DUMMYFUNCTION("""COMPUTED_VALUE"""),45975.0)</f>
        <v>45975</v>
      </c>
    </row>
    <row r="4478">
      <c r="A4478" s="6" t="str">
        <f>IFERROR(__xludf.DUMMYFUNCTION("""COMPUTED_VALUE"""),"121703326-8")</f>
        <v>121703326-8</v>
      </c>
      <c r="B4478" s="6" t="str">
        <f>IFERROR(__xludf.DUMMYFUNCTION("""COMPUTED_VALUE"""),"121703326 - APPROVED")</f>
        <v>121703326 - APPROVED</v>
      </c>
      <c r="C4478" s="6">
        <f>IFERROR(__xludf.DUMMYFUNCTION("""COMPUTED_VALUE"""),8.0)</f>
        <v>8</v>
      </c>
      <c r="D4478" s="6" t="str">
        <f>IFERROR(__xludf.DUMMYFUNCTION("""COMPUTED_VALUE"""),"R-20024-00")</f>
        <v>R-20024-00</v>
      </c>
      <c r="E4478" s="6" t="str">
        <f>IFERROR(__xludf.DUMMYFUNCTION("""COMPUTED_VALUE"""),"Machine Equipment; ; ; - Allen Wrench / Kunci L 18 mm - Allen Wrench / Kunci L 18 mm - Allen Wrench / Kunci L 18 mm - Allen Wrench / Kunci L 18 mm")</f>
        <v>Machine Equipment; ; ; - Allen Wrench / Kunci L 18 mm - Allen Wrench / Kunci L 18 mm - Allen Wrench / Kunci L 18 mm - Allen Wrench / Kunci L 18 mm</v>
      </c>
      <c r="F4478" s="6">
        <f>IFERROR(__xludf.DUMMYFUNCTION("""COMPUTED_VALUE"""),1.0)</f>
        <v>1</v>
      </c>
      <c r="G4478" s="6" t="str">
        <f>IFERROR(__xludf.DUMMYFUNCTION("""COMPUTED_VALUE"""),"Unit")</f>
        <v>Unit</v>
      </c>
      <c r="H4478" s="6" t="str">
        <f>IFERROR(__xludf.DUMMYFUNCTION("""COMPUTED_VALUE"""),"IDR")</f>
        <v>IDR</v>
      </c>
      <c r="I4478" s="6">
        <f>IFERROR(__xludf.DUMMYFUNCTION("""COMPUTED_VALUE"""),221000.0)</f>
        <v>221000</v>
      </c>
      <c r="J4478" s="6">
        <f>IFERROR(__xludf.DUMMYFUNCTION("""COMPUTED_VALUE"""),221000.0)</f>
        <v>221000</v>
      </c>
      <c r="K4478" s="57">
        <f>IFERROR(__xludf.DUMMYFUNCTION("""COMPUTED_VALUE"""),45975.0)</f>
        <v>45975</v>
      </c>
      <c r="L4478" s="6" t="str">
        <f>IFERROR(__xludf.DUMMYFUNCTION("""COMPUTED_VALUE"""),"FIP General")</f>
        <v>FIP General</v>
      </c>
      <c r="M4478" s="6" t="str">
        <f>IFERROR(__xludf.DUMMYFUNCTION("""COMPUTED_VALUE"""),"Mochammad Fadhillah Hakim,")</f>
        <v>Mochammad Fadhillah Hakim,</v>
      </c>
      <c r="N4478" s="6" t="str">
        <f>IFERROR(__xludf.DUMMYFUNCTION("""COMPUTED_VALUE"""),"FIP Engineering")</f>
        <v>FIP Engineering</v>
      </c>
      <c r="O4478" s="6" t="str">
        <f>IFERROR(__xludf.DUMMYFUNCTION("""COMPUTED_VALUE"""),"FIP-DOM-PRJ-13404-MC25005-INA-000000")</f>
        <v>FIP-DOM-PRJ-13404-MC25005-INA-000000</v>
      </c>
      <c r="P4478" s="6" t="str">
        <f>IFERROR(__xludf.DUMMYFUNCTION("""COMPUTED_VALUE"""),"PO Closed")</f>
        <v>PO Closed</v>
      </c>
      <c r="Q4478" s="6" t="str">
        <f>IFERROR(__xludf.DUMMYFUNCTION("""COMPUTED_VALUE"""),"GL2510055")</f>
        <v>GL2510055</v>
      </c>
      <c r="R4478" s="57">
        <f>IFERROR(__xludf.DUMMYFUNCTION("""COMPUTED_VALUE"""),45938.0)</f>
        <v>45938</v>
      </c>
      <c r="S4478" s="57">
        <f>IFERROR(__xludf.DUMMYFUNCTION("""COMPUTED_VALUE"""),45944.0)</f>
        <v>45944</v>
      </c>
      <c r="T4478" s="57">
        <f>IFERROR(__xludf.DUMMYFUNCTION("""COMPUTED_VALUE"""),45975.0)</f>
        <v>45975</v>
      </c>
    </row>
    <row r="4479">
      <c r="A4479" s="6" t="str">
        <f>IFERROR(__xludf.DUMMYFUNCTION("""COMPUTED_VALUE"""),"121703326-9")</f>
        <v>121703326-9</v>
      </c>
      <c r="B4479" s="6" t="str">
        <f>IFERROR(__xludf.DUMMYFUNCTION("""COMPUTED_VALUE"""),"121703326 - APPROVED")</f>
        <v>121703326 - APPROVED</v>
      </c>
      <c r="C4479" s="6">
        <f>IFERROR(__xludf.DUMMYFUNCTION("""COMPUTED_VALUE"""),9.0)</f>
        <v>9</v>
      </c>
      <c r="D4479" s="6" t="str">
        <f>IFERROR(__xludf.DUMMYFUNCTION("""COMPUTED_VALUE"""),"R-20024-00")</f>
        <v>R-20024-00</v>
      </c>
      <c r="E4479" s="6" t="str">
        <f>IFERROR(__xludf.DUMMYFUNCTION("""COMPUTED_VALUE"""),"Machine Equipment; ; ; - Gerinda Makita 4 Inchi - Gerinda Makita 4 Inchi - Gerinda Makita 4 Inchi - Gerinda Makita 4 Inchi")</f>
        <v>Machine Equipment; ; ; - Gerinda Makita 4 Inchi - Gerinda Makita 4 Inchi - Gerinda Makita 4 Inchi - Gerinda Makita 4 Inchi</v>
      </c>
      <c r="F4479" s="6">
        <f>IFERROR(__xludf.DUMMYFUNCTION("""COMPUTED_VALUE"""),1.0)</f>
        <v>1</v>
      </c>
      <c r="G4479" s="6" t="str">
        <f>IFERROR(__xludf.DUMMYFUNCTION("""COMPUTED_VALUE"""),"Unit")</f>
        <v>Unit</v>
      </c>
      <c r="H4479" s="6" t="str">
        <f>IFERROR(__xludf.DUMMYFUNCTION("""COMPUTED_VALUE"""),"IDR")</f>
        <v>IDR</v>
      </c>
      <c r="I4479" s="6">
        <f>IFERROR(__xludf.DUMMYFUNCTION("""COMPUTED_VALUE"""),520000.0)</f>
        <v>520000</v>
      </c>
      <c r="J4479" s="6">
        <f>IFERROR(__xludf.DUMMYFUNCTION("""COMPUTED_VALUE"""),520000.0)</f>
        <v>520000</v>
      </c>
      <c r="K4479" s="57">
        <f>IFERROR(__xludf.DUMMYFUNCTION("""COMPUTED_VALUE"""),45975.0)</f>
        <v>45975</v>
      </c>
      <c r="L4479" s="6" t="str">
        <f>IFERROR(__xludf.DUMMYFUNCTION("""COMPUTED_VALUE"""),"FIP General")</f>
        <v>FIP General</v>
      </c>
      <c r="M4479" s="6" t="str">
        <f>IFERROR(__xludf.DUMMYFUNCTION("""COMPUTED_VALUE"""),"Mochammad Fadhillah Hakim,")</f>
        <v>Mochammad Fadhillah Hakim,</v>
      </c>
      <c r="N4479" s="6" t="str">
        <f>IFERROR(__xludf.DUMMYFUNCTION("""COMPUTED_VALUE"""),"FIP Engineering")</f>
        <v>FIP Engineering</v>
      </c>
      <c r="O4479" s="6" t="str">
        <f>IFERROR(__xludf.DUMMYFUNCTION("""COMPUTED_VALUE"""),"FIP-DOM-PRJ-13404-MC25005-INA-000000")</f>
        <v>FIP-DOM-PRJ-13404-MC25005-INA-000000</v>
      </c>
      <c r="P4479" s="6" t="str">
        <f>IFERROR(__xludf.DUMMYFUNCTION("""COMPUTED_VALUE"""),"PO Closed")</f>
        <v>PO Closed</v>
      </c>
      <c r="Q4479" s="6" t="str">
        <f>IFERROR(__xludf.DUMMYFUNCTION("""COMPUTED_VALUE"""),"GL2510055")</f>
        <v>GL2510055</v>
      </c>
      <c r="R4479" s="57">
        <f>IFERROR(__xludf.DUMMYFUNCTION("""COMPUTED_VALUE"""),45938.0)</f>
        <v>45938</v>
      </c>
      <c r="S4479" s="57">
        <f>IFERROR(__xludf.DUMMYFUNCTION("""COMPUTED_VALUE"""),45944.0)</f>
        <v>45944</v>
      </c>
      <c r="T4479" s="57">
        <f>IFERROR(__xludf.DUMMYFUNCTION("""COMPUTED_VALUE"""),45975.0)</f>
        <v>45975</v>
      </c>
    </row>
    <row r="4480">
      <c r="A4480" s="6" t="str">
        <f>IFERROR(__xludf.DUMMYFUNCTION("""COMPUTED_VALUE"""),"121703326-10")</f>
        <v>121703326-10</v>
      </c>
      <c r="B4480" s="6" t="str">
        <f>IFERROR(__xludf.DUMMYFUNCTION("""COMPUTED_VALUE"""),"121703326 - APPROVED")</f>
        <v>121703326 - APPROVED</v>
      </c>
      <c r="C4480" s="6">
        <f>IFERROR(__xludf.DUMMYFUNCTION("""COMPUTED_VALUE"""),10.0)</f>
        <v>10</v>
      </c>
      <c r="D4480" s="6" t="str">
        <f>IFERROR(__xludf.DUMMYFUNCTION("""COMPUTED_VALUE"""),"R-20024-00")</f>
        <v>R-20024-00</v>
      </c>
      <c r="E4480" s="6" t="str">
        <f>IFERROR(__xludf.DUMMYFUNCTION("""COMPUTED_VALUE"""),"Machine Equipment; ; ; - Roll Tank Mover Drive 12 Ton - Roll Tank Mover Drive 12 Ton - Roll Tank Mover Drive 12 Ton - Roll Tank Mover Drive 12 Ton")</f>
        <v>Machine Equipment; ; ; - Roll Tank Mover Drive 12 Ton - Roll Tank Mover Drive 12 Ton - Roll Tank Mover Drive 12 Ton - Roll Tank Mover Drive 12 Ton</v>
      </c>
      <c r="F4480" s="6">
        <f>IFERROR(__xludf.DUMMYFUNCTION("""COMPUTED_VALUE"""),4.0)</f>
        <v>4</v>
      </c>
      <c r="G4480" s="6" t="str">
        <f>IFERROR(__xludf.DUMMYFUNCTION("""COMPUTED_VALUE"""),"Unit")</f>
        <v>Unit</v>
      </c>
      <c r="H4480" s="6" t="str">
        <f>IFERROR(__xludf.DUMMYFUNCTION("""COMPUTED_VALUE"""),"IDR")</f>
        <v>IDR</v>
      </c>
      <c r="I4480" s="6">
        <f>IFERROR(__xludf.DUMMYFUNCTION("""COMPUTED_VALUE"""),3250000.0)</f>
        <v>3250000</v>
      </c>
      <c r="J4480" s="6">
        <f>IFERROR(__xludf.DUMMYFUNCTION("""COMPUTED_VALUE"""),1.3E7)</f>
        <v>13000000</v>
      </c>
      <c r="K4480" s="57">
        <f>IFERROR(__xludf.DUMMYFUNCTION("""COMPUTED_VALUE"""),45975.0)</f>
        <v>45975</v>
      </c>
      <c r="L4480" s="6" t="str">
        <f>IFERROR(__xludf.DUMMYFUNCTION("""COMPUTED_VALUE"""),"FIP General")</f>
        <v>FIP General</v>
      </c>
      <c r="M4480" s="6" t="str">
        <f>IFERROR(__xludf.DUMMYFUNCTION("""COMPUTED_VALUE"""),"Mochammad Fadhillah Hakim,")</f>
        <v>Mochammad Fadhillah Hakim,</v>
      </c>
      <c r="N4480" s="6" t="str">
        <f>IFERROR(__xludf.DUMMYFUNCTION("""COMPUTED_VALUE"""),"FIP Engineering")</f>
        <v>FIP Engineering</v>
      </c>
      <c r="O4480" s="6" t="str">
        <f>IFERROR(__xludf.DUMMYFUNCTION("""COMPUTED_VALUE"""),"FIP-DOM-PRJ-13404-MC25005-INA-000000")</f>
        <v>FIP-DOM-PRJ-13404-MC25005-INA-000000</v>
      </c>
      <c r="P4480" s="6" t="str">
        <f>IFERROR(__xludf.DUMMYFUNCTION("""COMPUTED_VALUE"""),"PO Closed")</f>
        <v>PO Closed</v>
      </c>
      <c r="Q4480" s="6" t="str">
        <f>IFERROR(__xludf.DUMMYFUNCTION("""COMPUTED_VALUE"""),"GL2510038")</f>
        <v>GL2510038</v>
      </c>
      <c r="R4480" s="57">
        <f>IFERROR(__xludf.DUMMYFUNCTION("""COMPUTED_VALUE"""),45938.0)</f>
        <v>45938</v>
      </c>
      <c r="S4480" s="57">
        <f>IFERROR(__xludf.DUMMYFUNCTION("""COMPUTED_VALUE"""),45944.0)</f>
        <v>45944</v>
      </c>
      <c r="T4480" s="57">
        <f>IFERROR(__xludf.DUMMYFUNCTION("""COMPUTED_VALUE"""),45976.0)</f>
        <v>45976</v>
      </c>
    </row>
    <row r="4481">
      <c r="A4481" s="6" t="str">
        <f>IFERROR(__xludf.DUMMYFUNCTION("""COMPUTED_VALUE"""),"121703326-11")</f>
        <v>121703326-11</v>
      </c>
      <c r="B4481" s="6" t="str">
        <f>IFERROR(__xludf.DUMMYFUNCTION("""COMPUTED_VALUE"""),"121703326 - APPROVED")</f>
        <v>121703326 - APPROVED</v>
      </c>
      <c r="C4481" s="6">
        <f>IFERROR(__xludf.DUMMYFUNCTION("""COMPUTED_VALUE"""),11.0)</f>
        <v>11</v>
      </c>
      <c r="D4481" s="6" t="str">
        <f>IFERROR(__xludf.DUMMYFUNCTION("""COMPUTED_VALUE"""),"R-20024-00")</f>
        <v>R-20024-00</v>
      </c>
      <c r="E4481" s="6" t="str">
        <f>IFERROR(__xludf.DUMMYFUNCTION("""COMPUTED_VALUE"""),"Machine Equipment; ; ; - Handlift 2 Ton - Handlift 2 Ton - Handlift 2 Ton - Handlift 2 Ton")</f>
        <v>Machine Equipment; ; ; - Handlift 2 Ton - Handlift 2 Ton - Handlift 2 Ton - Handlift 2 Ton</v>
      </c>
      <c r="F4481" s="6">
        <f>IFERROR(__xludf.DUMMYFUNCTION("""COMPUTED_VALUE"""),1.0)</f>
        <v>1</v>
      </c>
      <c r="G4481" s="6" t="str">
        <f>IFERROR(__xludf.DUMMYFUNCTION("""COMPUTED_VALUE"""),"Unit")</f>
        <v>Unit</v>
      </c>
      <c r="H4481" s="6" t="str">
        <f>IFERROR(__xludf.DUMMYFUNCTION("""COMPUTED_VALUE"""),"IDR")</f>
        <v>IDR</v>
      </c>
      <c r="I4481" s="6">
        <f>IFERROR(__xludf.DUMMYFUNCTION("""COMPUTED_VALUE"""),5400000.0)</f>
        <v>5400000</v>
      </c>
      <c r="J4481" s="6">
        <f>IFERROR(__xludf.DUMMYFUNCTION("""COMPUTED_VALUE"""),5400000.0)</f>
        <v>5400000</v>
      </c>
      <c r="K4481" s="57">
        <f>IFERROR(__xludf.DUMMYFUNCTION("""COMPUTED_VALUE"""),45975.0)</f>
        <v>45975</v>
      </c>
      <c r="L4481" s="6" t="str">
        <f>IFERROR(__xludf.DUMMYFUNCTION("""COMPUTED_VALUE"""),"FIP General")</f>
        <v>FIP General</v>
      </c>
      <c r="M4481" s="6" t="str">
        <f>IFERROR(__xludf.DUMMYFUNCTION("""COMPUTED_VALUE"""),"Mochammad Fadhillah Hakim,")</f>
        <v>Mochammad Fadhillah Hakim,</v>
      </c>
      <c r="N4481" s="6" t="str">
        <f>IFERROR(__xludf.DUMMYFUNCTION("""COMPUTED_VALUE"""),"FIP Engineering")</f>
        <v>FIP Engineering</v>
      </c>
      <c r="O4481" s="6" t="str">
        <f>IFERROR(__xludf.DUMMYFUNCTION("""COMPUTED_VALUE"""),"FIP-DOM-PRJ-13404-MC25005-INA-000000")</f>
        <v>FIP-DOM-PRJ-13404-MC25005-INA-000000</v>
      </c>
      <c r="P4481" s="6" t="str">
        <f>IFERROR(__xludf.DUMMYFUNCTION("""COMPUTED_VALUE"""),"PO Closed")</f>
        <v>PO Closed</v>
      </c>
      <c r="Q4481" s="6" t="str">
        <f>IFERROR(__xludf.DUMMYFUNCTION("""COMPUTED_VALUE"""),"GL2510038")</f>
        <v>GL2510038</v>
      </c>
      <c r="R4481" s="57">
        <f>IFERROR(__xludf.DUMMYFUNCTION("""COMPUTED_VALUE"""),45938.0)</f>
        <v>45938</v>
      </c>
      <c r="S4481" s="57">
        <f>IFERROR(__xludf.DUMMYFUNCTION("""COMPUTED_VALUE"""),45944.0)</f>
        <v>45944</v>
      </c>
      <c r="T4481" s="57">
        <f>IFERROR(__xludf.DUMMYFUNCTION("""COMPUTED_VALUE"""),45976.0)</f>
        <v>45976</v>
      </c>
    </row>
    <row r="4482">
      <c r="A4482" s="6" t="str">
        <f>IFERROR(__xludf.DUMMYFUNCTION("""COMPUTED_VALUE"""),"121703326-12")</f>
        <v>121703326-12</v>
      </c>
      <c r="B4482" s="6" t="str">
        <f>IFERROR(__xludf.DUMMYFUNCTION("""COMPUTED_VALUE"""),"121703326 - APPROVED")</f>
        <v>121703326 - APPROVED</v>
      </c>
      <c r="C4482" s="6">
        <f>IFERROR(__xludf.DUMMYFUNCTION("""COMPUTED_VALUE"""),12.0)</f>
        <v>12</v>
      </c>
      <c r="D4482" s="6" t="str">
        <f>IFERROR(__xludf.DUMMYFUNCTION("""COMPUTED_VALUE"""),"R-20024-00")</f>
        <v>R-20024-00</v>
      </c>
      <c r="E4482" s="6" t="str">
        <f>IFERROR(__xludf.DUMMYFUNCTION("""COMPUTED_VALUE"""),"Machine Equipment; ; ; - Hydraulic Toe Jack 20 Ton - Hydraulic Toe Jack 20 Ton - Hydraulic Toe Jack 20 Ton - Hydraulic Toe Jack 20 Ton")</f>
        <v>Machine Equipment; ; ; - Hydraulic Toe Jack 20 Ton - Hydraulic Toe Jack 20 Ton - Hydraulic Toe Jack 20 Ton - Hydraulic Toe Jack 20 Ton</v>
      </c>
      <c r="F4482" s="6">
        <f>IFERROR(__xludf.DUMMYFUNCTION("""COMPUTED_VALUE"""),2.0)</f>
        <v>2</v>
      </c>
      <c r="G4482" s="6" t="str">
        <f>IFERROR(__xludf.DUMMYFUNCTION("""COMPUTED_VALUE"""),"Unit")</f>
        <v>Unit</v>
      </c>
      <c r="H4482" s="6" t="str">
        <f>IFERROR(__xludf.DUMMYFUNCTION("""COMPUTED_VALUE"""),"IDR")</f>
        <v>IDR</v>
      </c>
      <c r="I4482" s="6">
        <f>IFERROR(__xludf.DUMMYFUNCTION("""COMPUTED_VALUE"""),5850000.0)</f>
        <v>5850000</v>
      </c>
      <c r="J4482" s="6">
        <f>IFERROR(__xludf.DUMMYFUNCTION("""COMPUTED_VALUE"""),1.17E7)</f>
        <v>11700000</v>
      </c>
      <c r="K4482" s="57">
        <f>IFERROR(__xludf.DUMMYFUNCTION("""COMPUTED_VALUE"""),45975.0)</f>
        <v>45975</v>
      </c>
      <c r="L4482" s="6" t="str">
        <f>IFERROR(__xludf.DUMMYFUNCTION("""COMPUTED_VALUE"""),"FIP General")</f>
        <v>FIP General</v>
      </c>
      <c r="M4482" s="6" t="str">
        <f>IFERROR(__xludf.DUMMYFUNCTION("""COMPUTED_VALUE"""),"Mochammad Fadhillah Hakim,")</f>
        <v>Mochammad Fadhillah Hakim,</v>
      </c>
      <c r="N4482" s="6" t="str">
        <f>IFERROR(__xludf.DUMMYFUNCTION("""COMPUTED_VALUE"""),"FIP Engineering")</f>
        <v>FIP Engineering</v>
      </c>
      <c r="O4482" s="6" t="str">
        <f>IFERROR(__xludf.DUMMYFUNCTION("""COMPUTED_VALUE"""),"FIP-DOM-PRJ-13404-MC25005-INA-000000")</f>
        <v>FIP-DOM-PRJ-13404-MC25005-INA-000000</v>
      </c>
      <c r="P4482" s="6" t="str">
        <f>IFERROR(__xludf.DUMMYFUNCTION("""COMPUTED_VALUE"""),"PO Closed")</f>
        <v>PO Closed</v>
      </c>
      <c r="Q4482" s="6" t="str">
        <f>IFERROR(__xludf.DUMMYFUNCTION("""COMPUTED_VALUE"""),"GL2510055")</f>
        <v>GL2510055</v>
      </c>
      <c r="R4482" s="57">
        <f>IFERROR(__xludf.DUMMYFUNCTION("""COMPUTED_VALUE"""),45938.0)</f>
        <v>45938</v>
      </c>
      <c r="S4482" s="57">
        <f>IFERROR(__xludf.DUMMYFUNCTION("""COMPUTED_VALUE"""),45944.0)</f>
        <v>45944</v>
      </c>
      <c r="T4482" s="57">
        <f>IFERROR(__xludf.DUMMYFUNCTION("""COMPUTED_VALUE"""),45975.0)</f>
        <v>45975</v>
      </c>
    </row>
    <row r="4483">
      <c r="A4483" s="6" t="str">
        <f>IFERROR(__xludf.DUMMYFUNCTION("""COMPUTED_VALUE"""),"121703327-1")</f>
        <v>121703327-1</v>
      </c>
      <c r="B4483" s="6" t="str">
        <f>IFERROR(__xludf.DUMMYFUNCTION("""COMPUTED_VALUE"""),"121703327 - APPROVED")</f>
        <v>121703327 - APPROVED</v>
      </c>
      <c r="C4483" s="6">
        <f>IFERROR(__xludf.DUMMYFUNCTION("""COMPUTED_VALUE"""),1.0)</f>
        <v>1</v>
      </c>
      <c r="D4483" s="6" t="str">
        <f>IFERROR(__xludf.DUMMYFUNCTION("""COMPUTED_VALUE"""),"R-20024-00")</f>
        <v>R-20024-00</v>
      </c>
      <c r="E4483" s="6" t="str">
        <f>IFERROR(__xludf.DUMMYFUNCTION("""COMPUTED_VALUE"""),"Machine Equipment; ; ; - Material Pipa Refigerant - Material Pipa Refigerant - Material Pipa Refigerant - Material Pipa Refigerant - Material Pipa Refigerant - Material Pipa Refigerant")</f>
        <v>Machine Equipment; ; ; - Material Pipa Refigerant - Material Pipa Refigerant - Material Pipa Refigerant - Material Pipa Refigerant - Material Pipa Refigerant - Material Pipa Refigerant</v>
      </c>
      <c r="F4483" s="6">
        <f>IFERROR(__xludf.DUMMYFUNCTION("""COMPUTED_VALUE"""),1.0)</f>
        <v>1</v>
      </c>
      <c r="G4483" s="6" t="str">
        <f>IFERROR(__xludf.DUMMYFUNCTION("""COMPUTED_VALUE"""),"Unit")</f>
        <v>Unit</v>
      </c>
      <c r="H4483" s="6" t="str">
        <f>IFERROR(__xludf.DUMMYFUNCTION("""COMPUTED_VALUE"""),"IDR")</f>
        <v>IDR</v>
      </c>
      <c r="I4483" s="6">
        <f>IFERROR(__xludf.DUMMYFUNCTION("""COMPUTED_VALUE"""),3.9763E7)</f>
        <v>39763000</v>
      </c>
      <c r="J4483" s="6">
        <f>IFERROR(__xludf.DUMMYFUNCTION("""COMPUTED_VALUE"""),3.9763E7)</f>
        <v>39763000</v>
      </c>
      <c r="K4483" s="57">
        <f>IFERROR(__xludf.DUMMYFUNCTION("""COMPUTED_VALUE"""),45975.0)</f>
        <v>45975</v>
      </c>
      <c r="L4483" s="6" t="str">
        <f>IFERROR(__xludf.DUMMYFUNCTION("""COMPUTED_VALUE"""),"FIP General")</f>
        <v>FIP General</v>
      </c>
      <c r="M4483" s="6" t="str">
        <f>IFERROR(__xludf.DUMMYFUNCTION("""COMPUTED_VALUE"""),"Mochammad Fadhillah Hakim,")</f>
        <v>Mochammad Fadhillah Hakim,</v>
      </c>
      <c r="N4483" s="6" t="str">
        <f>IFERROR(__xludf.DUMMYFUNCTION("""COMPUTED_VALUE"""),"FIP Engineering")</f>
        <v>FIP Engineering</v>
      </c>
      <c r="O4483" s="6" t="str">
        <f>IFERROR(__xludf.DUMMYFUNCTION("""COMPUTED_VALUE"""),"FIP-DOM-PRJ-13404-MC25005-INA-000000")</f>
        <v>FIP-DOM-PRJ-13404-MC25005-INA-000000</v>
      </c>
      <c r="P4483" s="6" t="str">
        <f>IFERROR(__xludf.DUMMYFUNCTION("""COMPUTED_VALUE"""),"PO Closed")</f>
        <v>PO Closed</v>
      </c>
      <c r="Q4483" s="6"/>
      <c r="R4483" s="57">
        <f>IFERROR(__xludf.DUMMYFUNCTION("""COMPUTED_VALUE"""),45938.0)</f>
        <v>45938</v>
      </c>
      <c r="S4483" s="57">
        <f>IFERROR(__xludf.DUMMYFUNCTION("""COMPUTED_VALUE"""),45943.0)</f>
        <v>45943</v>
      </c>
      <c r="T4483" s="6"/>
    </row>
    <row r="4484">
      <c r="A4484" s="6" t="str">
        <f>IFERROR(__xludf.DUMMYFUNCTION("""COMPUTED_VALUE"""),"121703328-1")</f>
        <v>121703328-1</v>
      </c>
      <c r="B4484" s="6" t="str">
        <f>IFERROR(__xludf.DUMMYFUNCTION("""COMPUTED_VALUE"""),"121703328 - APPROVED")</f>
        <v>121703328 - APPROVED</v>
      </c>
      <c r="C4484" s="6">
        <f>IFERROR(__xludf.DUMMYFUNCTION("""COMPUTED_VALUE"""),1.0)</f>
        <v>1</v>
      </c>
      <c r="D4484" s="6" t="str">
        <f>IFERROR(__xludf.DUMMYFUNCTION("""COMPUTED_VALUE"""),"R-21013-00")</f>
        <v>R-21013-00</v>
      </c>
      <c r="E4484" s="6" t="str">
        <f>IFERROR(__xludf.DUMMYFUNCTION("""COMPUTED_VALUE"""),"Utility Equipment; ; ; - Instalasi Steam Trap Baru area Header Mainline PSG dan WFI SKID - Instalasi Steam Trap Baru area Header Mainline PSG dan WFI SKID - Instalasi Steam Trap Baru area Header Mainline PSG dan WFI SKID - Instalasi Steam T")</f>
        <v>Utility Equipment; ; ; - Instalasi Steam Trap Baru area Header Mainline PSG dan WFI SKID - Instalasi Steam Trap Baru area Header Mainline PSG dan WFI SKID - Instalasi Steam Trap Baru area Header Mainline PSG dan WFI SKID - Instalasi Steam T</v>
      </c>
      <c r="F4484" s="6">
        <f>IFERROR(__xludf.DUMMYFUNCTION("""COMPUTED_VALUE"""),1.0)</f>
        <v>1</v>
      </c>
      <c r="G4484" s="6" t="str">
        <f>IFERROR(__xludf.DUMMYFUNCTION("""COMPUTED_VALUE"""),"Unit")</f>
        <v>Unit</v>
      </c>
      <c r="H4484" s="6" t="str">
        <f>IFERROR(__xludf.DUMMYFUNCTION("""COMPUTED_VALUE"""),"IDR")</f>
        <v>IDR</v>
      </c>
      <c r="I4484" s="6">
        <f>IFERROR(__xludf.DUMMYFUNCTION("""COMPUTED_VALUE"""),8.42278E7)</f>
        <v>84227800</v>
      </c>
      <c r="J4484" s="6">
        <f>IFERROR(__xludf.DUMMYFUNCTION("""COMPUTED_VALUE"""),8.42278E7)</f>
        <v>84227800</v>
      </c>
      <c r="K4484" s="57">
        <f>IFERROR(__xludf.DUMMYFUNCTION("""COMPUTED_VALUE"""),45975.0)</f>
        <v>45975</v>
      </c>
      <c r="L4484" s="6" t="str">
        <f>IFERROR(__xludf.DUMMYFUNCTION("""COMPUTED_VALUE"""),"FIP General")</f>
        <v>FIP General</v>
      </c>
      <c r="M4484" s="6" t="str">
        <f>IFERROR(__xludf.DUMMYFUNCTION("""COMPUTED_VALUE"""),"Mochammad Fadhillah Hakim,")</f>
        <v>Mochammad Fadhillah Hakim,</v>
      </c>
      <c r="N4484" s="6" t="str">
        <f>IFERROR(__xludf.DUMMYFUNCTION("""COMPUTED_VALUE"""),"FIP Engineering")</f>
        <v>FIP Engineering</v>
      </c>
      <c r="O4484" s="6" t="str">
        <f>IFERROR(__xludf.DUMMYFUNCTION("""COMPUTED_VALUE"""),"FIP-DOM-ENG-13405-EQ25003-INA-000000")</f>
        <v>FIP-DOM-ENG-13405-EQ25003-INA-000000</v>
      </c>
      <c r="P4484" s="6" t="str">
        <f>IFERROR(__xludf.DUMMYFUNCTION("""COMPUTED_VALUE"""),"PO Closed")</f>
        <v>PO Closed</v>
      </c>
      <c r="Q4484" s="6"/>
      <c r="R4484" s="57">
        <f>IFERROR(__xludf.DUMMYFUNCTION("""COMPUTED_VALUE"""),45938.0)</f>
        <v>45938</v>
      </c>
      <c r="S4484" s="57">
        <f>IFERROR(__xludf.DUMMYFUNCTION("""COMPUTED_VALUE"""),45943.0)</f>
        <v>45943</v>
      </c>
      <c r="T4484" s="6"/>
    </row>
    <row r="4485">
      <c r="A4485" s="6" t="str">
        <f>IFERROR(__xludf.DUMMYFUNCTION("""COMPUTED_VALUE"""),"121703329-1")</f>
        <v>121703329-1</v>
      </c>
      <c r="B4485" s="6" t="str">
        <f>IFERROR(__xludf.DUMMYFUNCTION("""COMPUTED_VALUE"""),"121703329 - APPROVED")</f>
        <v>121703329 - APPROVED</v>
      </c>
      <c r="C4485" s="6">
        <f>IFERROR(__xludf.DUMMYFUNCTION("""COMPUTED_VALUE"""),1.0)</f>
        <v>1</v>
      </c>
      <c r="D4485" s="6" t="str">
        <f>IFERROR(__xludf.DUMMYFUNCTION("""COMPUTED_VALUE"""),"T-10005-00")</f>
        <v>T-10005-00</v>
      </c>
      <c r="E4485" s="6" t="str">
        <f>IFERROR(__xludf.DUMMYFUNCTION("""COMPUTED_VALUE"""),"Mouse M331 Silent Plus; Logitech; ;")</f>
        <v>Mouse M331 Silent Plus; Logitech; ;</v>
      </c>
      <c r="F4485" s="6">
        <f>IFERROR(__xludf.DUMMYFUNCTION("""COMPUTED_VALUE"""),2.0)</f>
        <v>2</v>
      </c>
      <c r="G4485" s="6" t="str">
        <f>IFERROR(__xludf.DUMMYFUNCTION("""COMPUTED_VALUE"""),"Pieces")</f>
        <v>Pieces</v>
      </c>
      <c r="H4485" s="6" t="str">
        <f>IFERROR(__xludf.DUMMYFUNCTION("""COMPUTED_VALUE"""),"IDR")</f>
        <v>IDR</v>
      </c>
      <c r="I4485" s="6">
        <f>IFERROR(__xludf.DUMMYFUNCTION("""COMPUTED_VALUE"""),317000.0)</f>
        <v>317000</v>
      </c>
      <c r="J4485" s="6">
        <f>IFERROR(__xludf.DUMMYFUNCTION("""COMPUTED_VALUE"""),634000.0)</f>
        <v>634000</v>
      </c>
      <c r="K4485" s="57">
        <f>IFERROR(__xludf.DUMMYFUNCTION("""COMPUTED_VALUE"""),45975.0)</f>
        <v>45975</v>
      </c>
      <c r="L4485" s="6" t="str">
        <f>IFERROR(__xludf.DUMMYFUNCTION("""COMPUTED_VALUE"""),"FIP General")</f>
        <v>FIP General</v>
      </c>
      <c r="M4485" s="6" t="str">
        <f>IFERROR(__xludf.DUMMYFUNCTION("""COMPUTED_VALUE"""),"Mochammad Fadhillah Hakim,")</f>
        <v>Mochammad Fadhillah Hakim,</v>
      </c>
      <c r="N4485" s="6" t="str">
        <f>IFERROR(__xludf.DUMMYFUNCTION("""COMPUTED_VALUE"""),"FIP Engineering")</f>
        <v>FIP Engineering</v>
      </c>
      <c r="O4485" s="6" t="str">
        <f>IFERROR(__xludf.DUMMYFUNCTION("""COMPUTED_VALUE"""),"FIP-DOM-ENG-51404-0000000-INA-000000")</f>
        <v>FIP-DOM-ENG-51404-0000000-INA-000000</v>
      </c>
      <c r="P4485" s="6" t="str">
        <f>IFERROR(__xludf.DUMMYFUNCTION("""COMPUTED_VALUE"""),"PO Closed")</f>
        <v>PO Closed</v>
      </c>
      <c r="Q4485" s="6" t="str">
        <f>IFERROR(__xludf.DUMMYFUNCTION("""COMPUTED_VALUE"""),"GL2510050")</f>
        <v>GL2510050</v>
      </c>
      <c r="R4485" s="57">
        <f>IFERROR(__xludf.DUMMYFUNCTION("""COMPUTED_VALUE"""),45939.0)</f>
        <v>45939</v>
      </c>
      <c r="S4485" s="57">
        <f>IFERROR(__xludf.DUMMYFUNCTION("""COMPUTED_VALUE"""),45943.0)</f>
        <v>45943</v>
      </c>
      <c r="T4485" s="57">
        <f>IFERROR(__xludf.DUMMYFUNCTION("""COMPUTED_VALUE"""),45968.0)</f>
        <v>45968</v>
      </c>
    </row>
    <row r="4486">
      <c r="A4486" s="6" t="str">
        <f>IFERROR(__xludf.DUMMYFUNCTION("""COMPUTED_VALUE"""),"121703330-1")</f>
        <v>121703330-1</v>
      </c>
      <c r="B4486" s="6" t="str">
        <f>IFERROR(__xludf.DUMMYFUNCTION("""COMPUTED_VALUE"""),"121703330 - APPROVED")</f>
        <v>121703330 - APPROVED</v>
      </c>
      <c r="C4486" s="6">
        <f>IFERROR(__xludf.DUMMYFUNCTION("""COMPUTED_VALUE"""),1.0)</f>
        <v>1</v>
      </c>
      <c r="D4486" s="6" t="str">
        <f>IFERROR(__xludf.DUMMYFUNCTION("""COMPUTED_VALUE"""),"P-18711-00")</f>
        <v>P-18711-00</v>
      </c>
      <c r="E4486" s="6" t="str">
        <f>IFERROR(__xludf.DUMMYFUNCTION("""COMPUTED_VALUE"""),"General - Hand Taps M 4 x 0.7 mm Made In Japan ; Yamawa; ; 1 set = 3 pcs")</f>
        <v>General - Hand Taps M 4 x 0.7 mm Made In Japan ; Yamawa; ; 1 set = 3 pcs</v>
      </c>
      <c r="F4486" s="6">
        <f>IFERROR(__xludf.DUMMYFUNCTION("""COMPUTED_VALUE"""),1.0)</f>
        <v>1</v>
      </c>
      <c r="G4486" s="6" t="str">
        <f>IFERROR(__xludf.DUMMYFUNCTION("""COMPUTED_VALUE"""),"Set")</f>
        <v>Set</v>
      </c>
      <c r="H4486" s="6" t="str">
        <f>IFERROR(__xludf.DUMMYFUNCTION("""COMPUTED_VALUE"""),"IDR")</f>
        <v>IDR</v>
      </c>
      <c r="I4486" s="6">
        <f>IFERROR(__xludf.DUMMYFUNCTION("""COMPUTED_VALUE"""),220000.0)</f>
        <v>220000</v>
      </c>
      <c r="J4486" s="6">
        <f>IFERROR(__xludf.DUMMYFUNCTION("""COMPUTED_VALUE"""),220000.0)</f>
        <v>220000</v>
      </c>
      <c r="K4486" s="57">
        <f>IFERROR(__xludf.DUMMYFUNCTION("""COMPUTED_VALUE"""),45975.0)</f>
        <v>45975</v>
      </c>
      <c r="L4486" s="6" t="str">
        <f>IFERROR(__xludf.DUMMYFUNCTION("""COMPUTED_VALUE"""),"FIP Engineering")</f>
        <v>FIP Engineering</v>
      </c>
      <c r="M4486" s="6" t="str">
        <f>IFERROR(__xludf.DUMMYFUNCTION("""COMPUTED_VALUE"""),"Mochammad Fadhillah Hakim,")</f>
        <v>Mochammad Fadhillah Hakim,</v>
      </c>
      <c r="N4486" s="6" t="str">
        <f>IFERROR(__xludf.DUMMYFUNCTION("""COMPUTED_VALUE"""),"FIP Engineering")</f>
        <v>FIP Engineering</v>
      </c>
      <c r="O4486" s="6" t="str">
        <f>IFERROR(__xludf.DUMMYFUNCTION("""COMPUTED_VALUE"""),"FIP-DOM-000-11304-OS00001-INA-000000")</f>
        <v>FIP-DOM-000-11304-OS00001-INA-000000</v>
      </c>
      <c r="P4486" s="6" t="str">
        <f>IFERROR(__xludf.DUMMYFUNCTION("""COMPUTED_VALUE"""),"PO Closed")</f>
        <v>PO Closed</v>
      </c>
      <c r="Q4486" s="6" t="str">
        <f>IFERROR(__xludf.DUMMYFUNCTION("""COMPUTED_VALUE"""),"GL2510496")</f>
        <v>GL2510496</v>
      </c>
      <c r="R4486" s="57">
        <f>IFERROR(__xludf.DUMMYFUNCTION("""COMPUTED_VALUE"""),45939.0)</f>
        <v>45939</v>
      </c>
      <c r="S4486" s="57">
        <f>IFERROR(__xludf.DUMMYFUNCTION("""COMPUTED_VALUE"""),45943.0)</f>
        <v>45943</v>
      </c>
      <c r="T4486" s="57">
        <f>IFERROR(__xludf.DUMMYFUNCTION("""COMPUTED_VALUE"""),45975.0)</f>
        <v>45975</v>
      </c>
    </row>
    <row r="4487">
      <c r="A4487" s="6" t="str">
        <f>IFERROR(__xludf.DUMMYFUNCTION("""COMPUTED_VALUE"""),"121703330-2")</f>
        <v>121703330-2</v>
      </c>
      <c r="B4487" s="6" t="str">
        <f>IFERROR(__xludf.DUMMYFUNCTION("""COMPUTED_VALUE"""),"121703330 - APPROVED")</f>
        <v>121703330 - APPROVED</v>
      </c>
      <c r="C4487" s="6">
        <f>IFERROR(__xludf.DUMMYFUNCTION("""COMPUTED_VALUE"""),2.0)</f>
        <v>2</v>
      </c>
      <c r="D4487" s="6" t="str">
        <f>IFERROR(__xludf.DUMMYFUNCTION("""COMPUTED_VALUE"""),"P-19908-00")</f>
        <v>P-19908-00</v>
      </c>
      <c r="E4487" s="6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F4487" s="6">
        <f>IFERROR(__xludf.DUMMYFUNCTION("""COMPUTED_VALUE"""),1.0)</f>
        <v>1</v>
      </c>
      <c r="G4487" s="6" t="str">
        <f>IFERROR(__xludf.DUMMYFUNCTION("""COMPUTED_VALUE"""),"Set")</f>
        <v>Set</v>
      </c>
      <c r="H4487" s="6" t="str">
        <f>IFERROR(__xludf.DUMMYFUNCTION("""COMPUTED_VALUE"""),"IDR")</f>
        <v>IDR</v>
      </c>
      <c r="I4487" s="6">
        <f>IFERROR(__xludf.DUMMYFUNCTION("""COMPUTED_VALUE"""),450000.0)</f>
        <v>450000</v>
      </c>
      <c r="J4487" s="6">
        <f>IFERROR(__xludf.DUMMYFUNCTION("""COMPUTED_VALUE"""),450000.0)</f>
        <v>450000</v>
      </c>
      <c r="K4487" s="57">
        <f>IFERROR(__xludf.DUMMYFUNCTION("""COMPUTED_VALUE"""),45975.0)</f>
        <v>45975</v>
      </c>
      <c r="L4487" s="6" t="str">
        <f>IFERROR(__xludf.DUMMYFUNCTION("""COMPUTED_VALUE"""),"FIP General")</f>
        <v>FIP General</v>
      </c>
      <c r="M4487" s="6" t="str">
        <f>IFERROR(__xludf.DUMMYFUNCTION("""COMPUTED_VALUE"""),"Mochammad Fadhillah Hakim,")</f>
        <v>Mochammad Fadhillah Hakim,</v>
      </c>
      <c r="N4487" s="6" t="str">
        <f>IFERROR(__xludf.DUMMYFUNCTION("""COMPUTED_VALUE"""),"FIP Engineering")</f>
        <v>FIP Engineering</v>
      </c>
      <c r="O4487" s="6" t="str">
        <f>IFERROR(__xludf.DUMMYFUNCTION("""COMPUTED_VALUE"""),"FIP-DOM-ENG-51404-0000000-INA-000000")</f>
        <v>FIP-DOM-ENG-51404-0000000-INA-000000</v>
      </c>
      <c r="P4487" s="6" t="str">
        <f>IFERROR(__xludf.DUMMYFUNCTION("""COMPUTED_VALUE"""),"PO Closed")</f>
        <v>PO Closed</v>
      </c>
      <c r="Q4487" s="6" t="str">
        <f>IFERROR(__xludf.DUMMYFUNCTION("""COMPUTED_VALUE"""),"GL2510496")</f>
        <v>GL2510496</v>
      </c>
      <c r="R4487" s="57">
        <f>IFERROR(__xludf.DUMMYFUNCTION("""COMPUTED_VALUE"""),45939.0)</f>
        <v>45939</v>
      </c>
      <c r="S4487" s="57">
        <f>IFERROR(__xludf.DUMMYFUNCTION("""COMPUTED_VALUE"""),45943.0)</f>
        <v>45943</v>
      </c>
      <c r="T4487" s="57">
        <f>IFERROR(__xludf.DUMMYFUNCTION("""COMPUTED_VALUE"""),45975.0)</f>
        <v>45975</v>
      </c>
    </row>
    <row r="4488">
      <c r="A4488" s="6" t="str">
        <f>IFERROR(__xludf.DUMMYFUNCTION("""COMPUTED_VALUE"""),"121703331-1")</f>
        <v>121703331-1</v>
      </c>
      <c r="B4488" s="6" t="str">
        <f>IFERROR(__xludf.DUMMYFUNCTION("""COMPUTED_VALUE"""),"121703331 - APPROVED")</f>
        <v>121703331 - APPROVED</v>
      </c>
      <c r="C4488" s="6">
        <f>IFERROR(__xludf.DUMMYFUNCTION("""COMPUTED_VALUE"""),1.0)</f>
        <v>1</v>
      </c>
      <c r="D4488" s="6" t="str">
        <f>IFERROR(__xludf.DUMMYFUNCTION("""COMPUTED_VALUE"""),"O-21063-00")</f>
        <v>O-21063-00</v>
      </c>
      <c r="E4488" s="6" t="str">
        <f>IFERROR(__xludf.DUMMYFUNCTION("""COMPUTED_VALUE"""),"General - POS10 Rod End Bearing Ulir kanan; -; -; 1 Pc")</f>
        <v>General - POS10 Rod End Bearing Ulir kanan; -; -; 1 Pc</v>
      </c>
      <c r="F4488" s="6">
        <f>IFERROR(__xludf.DUMMYFUNCTION("""COMPUTED_VALUE"""),1.0)</f>
        <v>1</v>
      </c>
      <c r="G4488" s="6" t="str">
        <f>IFERROR(__xludf.DUMMYFUNCTION("""COMPUTED_VALUE"""),"Pieces")</f>
        <v>Pieces</v>
      </c>
      <c r="H4488" s="6" t="str">
        <f>IFERROR(__xludf.DUMMYFUNCTION("""COMPUTED_VALUE"""),"IDR")</f>
        <v>IDR</v>
      </c>
      <c r="I4488" s="6">
        <f>IFERROR(__xludf.DUMMYFUNCTION("""COMPUTED_VALUE"""),39000.0)</f>
        <v>39000</v>
      </c>
      <c r="J4488" s="6">
        <f>IFERROR(__xludf.DUMMYFUNCTION("""COMPUTED_VALUE"""),39000.0)</f>
        <v>39000</v>
      </c>
      <c r="K4488" s="57">
        <f>IFERROR(__xludf.DUMMYFUNCTION("""COMPUTED_VALUE"""),45975.0)</f>
        <v>45975</v>
      </c>
      <c r="L4488" s="6" t="str">
        <f>IFERROR(__xludf.DUMMYFUNCTION("""COMPUTED_VALUE"""),"FIP Engineering")</f>
        <v>FIP Engineering</v>
      </c>
      <c r="M4488" s="6" t="str">
        <f>IFERROR(__xludf.DUMMYFUNCTION("""COMPUTED_VALUE"""),"Mochammad Fadhillah Hakim,")</f>
        <v>Mochammad Fadhillah Hakim,</v>
      </c>
      <c r="N4488" s="6" t="str">
        <f>IFERROR(__xludf.DUMMYFUNCTION("""COMPUTED_VALUE"""),"FIP Engineering")</f>
        <v>FIP Engineering</v>
      </c>
      <c r="O4488" s="6" t="str">
        <f>IFERROR(__xludf.DUMMYFUNCTION("""COMPUTED_VALUE"""),"FIP-DOM-000-11304-OS00001-INA-000000")</f>
        <v>FIP-DOM-000-11304-OS00001-INA-000000</v>
      </c>
      <c r="P4488" s="6" t="str">
        <f>IFERROR(__xludf.DUMMYFUNCTION("""COMPUTED_VALUE"""),"PO Closed")</f>
        <v>PO Closed</v>
      </c>
      <c r="Q4488" s="6" t="str">
        <f>IFERROR(__xludf.DUMMYFUNCTION("""COMPUTED_VALUE"""),"GL2510493")</f>
        <v>GL2510493</v>
      </c>
      <c r="R4488" s="57">
        <f>IFERROR(__xludf.DUMMYFUNCTION("""COMPUTED_VALUE"""),45939.0)</f>
        <v>45939</v>
      </c>
      <c r="S4488" s="57">
        <f>IFERROR(__xludf.DUMMYFUNCTION("""COMPUTED_VALUE"""),45943.0)</f>
        <v>45943</v>
      </c>
      <c r="T4488" s="57">
        <f>IFERROR(__xludf.DUMMYFUNCTION("""COMPUTED_VALUE"""),45991.0)</f>
        <v>45991</v>
      </c>
    </row>
    <row r="4489">
      <c r="A4489" s="6" t="str">
        <f>IFERROR(__xludf.DUMMYFUNCTION("""COMPUTED_VALUE"""),"121703331-2")</f>
        <v>121703331-2</v>
      </c>
      <c r="B4489" s="6" t="str">
        <f>IFERROR(__xludf.DUMMYFUNCTION("""COMPUTED_VALUE"""),"121703331 - APPROVED")</f>
        <v>121703331 - APPROVED</v>
      </c>
      <c r="C4489" s="6">
        <f>IFERROR(__xludf.DUMMYFUNCTION("""COMPUTED_VALUE"""),2.0)</f>
        <v>2</v>
      </c>
      <c r="D4489" s="6" t="str">
        <f>IFERROR(__xludf.DUMMYFUNCTION("""COMPUTED_VALUE"""),"O-21064-00")</f>
        <v>O-21064-00</v>
      </c>
      <c r="E4489" s="6" t="str">
        <f>IFERROR(__xludf.DUMMYFUNCTION("""COMPUTED_VALUE"""),"General - POS10 Rod End Bearing Ulir kiri; -; -; 1 Pc")</f>
        <v>General - POS10 Rod End Bearing Ulir kiri; -; -; 1 Pc</v>
      </c>
      <c r="F4489" s="6">
        <f>IFERROR(__xludf.DUMMYFUNCTION("""COMPUTED_VALUE"""),1.0)</f>
        <v>1</v>
      </c>
      <c r="G4489" s="6" t="str">
        <f>IFERROR(__xludf.DUMMYFUNCTION("""COMPUTED_VALUE"""),"Pieces")</f>
        <v>Pieces</v>
      </c>
      <c r="H4489" s="6" t="str">
        <f>IFERROR(__xludf.DUMMYFUNCTION("""COMPUTED_VALUE"""),"IDR")</f>
        <v>IDR</v>
      </c>
      <c r="I4489" s="6">
        <f>IFERROR(__xludf.DUMMYFUNCTION("""COMPUTED_VALUE"""),39000.0)</f>
        <v>39000</v>
      </c>
      <c r="J4489" s="6">
        <f>IFERROR(__xludf.DUMMYFUNCTION("""COMPUTED_VALUE"""),39000.0)</f>
        <v>39000</v>
      </c>
      <c r="K4489" s="57">
        <f>IFERROR(__xludf.DUMMYFUNCTION("""COMPUTED_VALUE"""),45975.0)</f>
        <v>45975</v>
      </c>
      <c r="L4489" s="6" t="str">
        <f>IFERROR(__xludf.DUMMYFUNCTION("""COMPUTED_VALUE"""),"FIP Engineering")</f>
        <v>FIP Engineering</v>
      </c>
      <c r="M4489" s="6" t="str">
        <f>IFERROR(__xludf.DUMMYFUNCTION("""COMPUTED_VALUE"""),"Mochammad Fadhillah Hakim,")</f>
        <v>Mochammad Fadhillah Hakim,</v>
      </c>
      <c r="N4489" s="6" t="str">
        <f>IFERROR(__xludf.DUMMYFUNCTION("""COMPUTED_VALUE"""),"FIP Engineering")</f>
        <v>FIP Engineering</v>
      </c>
      <c r="O4489" s="6" t="str">
        <f>IFERROR(__xludf.DUMMYFUNCTION("""COMPUTED_VALUE"""),"FIP-DOM-000-11304-OS00001-INA-000000")</f>
        <v>FIP-DOM-000-11304-OS00001-INA-000000</v>
      </c>
      <c r="P4489" s="6" t="str">
        <f>IFERROR(__xludf.DUMMYFUNCTION("""COMPUTED_VALUE"""),"PO Closed")</f>
        <v>PO Closed</v>
      </c>
      <c r="Q4489" s="6" t="str">
        <f>IFERROR(__xludf.DUMMYFUNCTION("""COMPUTED_VALUE"""),"GL2510493")</f>
        <v>GL2510493</v>
      </c>
      <c r="R4489" s="57">
        <f>IFERROR(__xludf.DUMMYFUNCTION("""COMPUTED_VALUE"""),45939.0)</f>
        <v>45939</v>
      </c>
      <c r="S4489" s="57">
        <f>IFERROR(__xludf.DUMMYFUNCTION("""COMPUTED_VALUE"""),45943.0)</f>
        <v>45943</v>
      </c>
      <c r="T4489" s="57">
        <f>IFERROR(__xludf.DUMMYFUNCTION("""COMPUTED_VALUE"""),45991.0)</f>
        <v>45991</v>
      </c>
    </row>
    <row r="4490">
      <c r="A4490" s="6" t="str">
        <f>IFERROR(__xludf.DUMMYFUNCTION("""COMPUTED_VALUE"""),"121703332-1")</f>
        <v>121703332-1</v>
      </c>
      <c r="B4490" s="6" t="str">
        <f>IFERROR(__xludf.DUMMYFUNCTION("""COMPUTED_VALUE"""),"121703332 - APPROVED")</f>
        <v>121703332 - APPROVED</v>
      </c>
      <c r="C4490" s="6">
        <f>IFERROR(__xludf.DUMMYFUNCTION("""COMPUTED_VALUE"""),1.0)</f>
        <v>1</v>
      </c>
      <c r="D4490" s="6" t="str">
        <f>IFERROR(__xludf.DUMMYFUNCTION("""COMPUTED_VALUE"""),"P-20181-00")</f>
        <v>P-20181-00</v>
      </c>
      <c r="E4490" s="6" t="str">
        <f>IFERROR(__xludf.DUMMYFUNCTION("""COMPUTED_VALUE"""),"General - Kunci Box Panel Uk. 110mm; Electrical Home; MS-104C-3-K; 1 pc")</f>
        <v>General - Kunci Box Panel Uk. 110mm; Electrical Home; MS-104C-3-K; 1 pc</v>
      </c>
      <c r="F4490" s="6">
        <f>IFERROR(__xludf.DUMMYFUNCTION("""COMPUTED_VALUE"""),1.0)</f>
        <v>1</v>
      </c>
      <c r="G4490" s="6" t="str">
        <f>IFERROR(__xludf.DUMMYFUNCTION("""COMPUTED_VALUE"""),"Pieces")</f>
        <v>Pieces</v>
      </c>
      <c r="H4490" s="6" t="str">
        <f>IFERROR(__xludf.DUMMYFUNCTION("""COMPUTED_VALUE"""),"IDR")</f>
        <v>IDR</v>
      </c>
      <c r="I4490" s="6">
        <f>IFERROR(__xludf.DUMMYFUNCTION("""COMPUTED_VALUE"""),117000.0)</f>
        <v>117000</v>
      </c>
      <c r="J4490" s="6">
        <f>IFERROR(__xludf.DUMMYFUNCTION("""COMPUTED_VALUE"""),117000.0)</f>
        <v>117000</v>
      </c>
      <c r="K4490" s="57">
        <f>IFERROR(__xludf.DUMMYFUNCTION("""COMPUTED_VALUE"""),45975.0)</f>
        <v>45975</v>
      </c>
      <c r="L4490" s="6" t="str">
        <f>IFERROR(__xludf.DUMMYFUNCTION("""COMPUTED_VALUE"""),"FIP Engineering")</f>
        <v>FIP Engineering</v>
      </c>
      <c r="M4490" s="6" t="str">
        <f>IFERROR(__xludf.DUMMYFUNCTION("""COMPUTED_VALUE"""),"Mochammad Fadhillah Hakim,")</f>
        <v>Mochammad Fadhillah Hakim,</v>
      </c>
      <c r="N4490" s="6" t="str">
        <f>IFERROR(__xludf.DUMMYFUNCTION("""COMPUTED_VALUE"""),"FIP Engineering")</f>
        <v>FIP Engineering</v>
      </c>
      <c r="O4490" s="6" t="str">
        <f>IFERROR(__xludf.DUMMYFUNCTION("""COMPUTED_VALUE"""),"FIP-DOM-000-11304-OS00001-INA-000000")</f>
        <v>FIP-DOM-000-11304-OS00001-INA-000000</v>
      </c>
      <c r="P4490" s="6" t="str">
        <f>IFERROR(__xludf.DUMMYFUNCTION("""COMPUTED_VALUE"""),"PO Closed")</f>
        <v>PO Closed</v>
      </c>
      <c r="Q4490" s="6" t="str">
        <f>IFERROR(__xludf.DUMMYFUNCTION("""COMPUTED_VALUE"""),"GL2510495")</f>
        <v>GL2510495</v>
      </c>
      <c r="R4490" s="57">
        <f>IFERROR(__xludf.DUMMYFUNCTION("""COMPUTED_VALUE"""),45939.0)</f>
        <v>45939</v>
      </c>
      <c r="S4490" s="57">
        <f>IFERROR(__xludf.DUMMYFUNCTION("""COMPUTED_VALUE"""),45939.0)</f>
        <v>45939</v>
      </c>
      <c r="T4490" s="57">
        <f>IFERROR(__xludf.DUMMYFUNCTION("""COMPUTED_VALUE"""),45971.0)</f>
        <v>45971</v>
      </c>
    </row>
    <row r="4491">
      <c r="A4491" s="6" t="str">
        <f>IFERROR(__xludf.DUMMYFUNCTION("""COMPUTED_VALUE"""),"121703332-2")</f>
        <v>121703332-2</v>
      </c>
      <c r="B4491" s="6" t="str">
        <f>IFERROR(__xludf.DUMMYFUNCTION("""COMPUTED_VALUE"""),"121703332 - APPROVED")</f>
        <v>121703332 - APPROVED</v>
      </c>
      <c r="C4491" s="6">
        <f>IFERROR(__xludf.DUMMYFUNCTION("""COMPUTED_VALUE"""),2.0)</f>
        <v>2</v>
      </c>
      <c r="D4491" s="6" t="str">
        <f>IFERROR(__xludf.DUMMYFUNCTION("""COMPUTED_VALUE"""),"P-20183-00")</f>
        <v>P-20183-00</v>
      </c>
      <c r="E4491" s="6" t="str">
        <f>IFERROR(__xludf.DUMMYFUNCTION("""COMPUTED_VALUE"""),"General - Kawat Las RB26 2mm 6013; Kobelco; -; 5kg/box")</f>
        <v>General - Kawat Las RB26 2mm 6013; Kobelco; -; 5kg/box</v>
      </c>
      <c r="F4491" s="6">
        <f>IFERROR(__xludf.DUMMYFUNCTION("""COMPUTED_VALUE"""),1.0)</f>
        <v>1</v>
      </c>
      <c r="G4491" s="6" t="str">
        <f>IFERROR(__xludf.DUMMYFUNCTION("""COMPUTED_VALUE"""),"Box")</f>
        <v>Box</v>
      </c>
      <c r="H4491" s="6" t="str">
        <f>IFERROR(__xludf.DUMMYFUNCTION("""COMPUTED_VALUE"""),"IDR")</f>
        <v>IDR</v>
      </c>
      <c r="I4491" s="6">
        <f>IFERROR(__xludf.DUMMYFUNCTION("""COMPUTED_VALUE"""),247000.0)</f>
        <v>247000</v>
      </c>
      <c r="J4491" s="6">
        <f>IFERROR(__xludf.DUMMYFUNCTION("""COMPUTED_VALUE"""),247000.0)</f>
        <v>247000</v>
      </c>
      <c r="K4491" s="57">
        <f>IFERROR(__xludf.DUMMYFUNCTION("""COMPUTED_VALUE"""),45975.0)</f>
        <v>45975</v>
      </c>
      <c r="L4491" s="6" t="str">
        <f>IFERROR(__xludf.DUMMYFUNCTION("""COMPUTED_VALUE"""),"FIP Engineering")</f>
        <v>FIP Engineering</v>
      </c>
      <c r="M4491" s="6" t="str">
        <f>IFERROR(__xludf.DUMMYFUNCTION("""COMPUTED_VALUE"""),"Mochammad Fadhillah Hakim,")</f>
        <v>Mochammad Fadhillah Hakim,</v>
      </c>
      <c r="N4491" s="6" t="str">
        <f>IFERROR(__xludf.DUMMYFUNCTION("""COMPUTED_VALUE"""),"FIP Engineering")</f>
        <v>FIP Engineering</v>
      </c>
      <c r="O4491" s="6" t="str">
        <f>IFERROR(__xludf.DUMMYFUNCTION("""COMPUTED_VALUE"""),"FIP-DOM-000-11304-OS00001-INA-000000")</f>
        <v>FIP-DOM-000-11304-OS00001-INA-000000</v>
      </c>
      <c r="P4491" s="6" t="str">
        <f>IFERROR(__xludf.DUMMYFUNCTION("""COMPUTED_VALUE"""),"PO Closed")</f>
        <v>PO Closed</v>
      </c>
      <c r="Q4491" s="6" t="str">
        <f>IFERROR(__xludf.DUMMYFUNCTION("""COMPUTED_VALUE"""),"GL2510495")</f>
        <v>GL2510495</v>
      </c>
      <c r="R4491" s="57">
        <f>IFERROR(__xludf.DUMMYFUNCTION("""COMPUTED_VALUE"""),45939.0)</f>
        <v>45939</v>
      </c>
      <c r="S4491" s="57">
        <f>IFERROR(__xludf.DUMMYFUNCTION("""COMPUTED_VALUE"""),45939.0)</f>
        <v>45939</v>
      </c>
      <c r="T4491" s="57">
        <f>IFERROR(__xludf.DUMMYFUNCTION("""COMPUTED_VALUE"""),45971.0)</f>
        <v>45971</v>
      </c>
    </row>
    <row r="4492">
      <c r="A4492" s="6" t="str">
        <f>IFERROR(__xludf.DUMMYFUNCTION("""COMPUTED_VALUE"""),"121703333-1")</f>
        <v>121703333-1</v>
      </c>
      <c r="B4492" s="6" t="str">
        <f>IFERROR(__xludf.DUMMYFUNCTION("""COMPUTED_VALUE"""),"121703333 - APPROVED")</f>
        <v>121703333 - APPROVED</v>
      </c>
      <c r="C4492" s="6">
        <f>IFERROR(__xludf.DUMMYFUNCTION("""COMPUTED_VALUE"""),1.0)</f>
        <v>1</v>
      </c>
      <c r="D4492" s="6" t="str">
        <f>IFERROR(__xludf.DUMMYFUNCTION("""COMPUTED_VALUE"""),"Q-10902-00")</f>
        <v>Q-10902-00</v>
      </c>
      <c r="E4492" s="6" t="str">
        <f>IFERROR(__xludf.DUMMYFUNCTION("""COMPUTED_VALUE"""),"Gypsum 9 mm;No Brand;;pack size per lembar")</f>
        <v>Gypsum 9 mm;No Brand;;pack size per lembar</v>
      </c>
      <c r="F4492" s="6">
        <f>IFERROR(__xludf.DUMMYFUNCTION("""COMPUTED_VALUE"""),3.0)</f>
        <v>3</v>
      </c>
      <c r="G4492" s="6" t="str">
        <f>IFERROR(__xludf.DUMMYFUNCTION("""COMPUTED_VALUE"""),"Pieces")</f>
        <v>Pieces</v>
      </c>
      <c r="H4492" s="6" t="str">
        <f>IFERROR(__xludf.DUMMYFUNCTION("""COMPUTED_VALUE"""),"IDR")</f>
        <v>IDR</v>
      </c>
      <c r="I4492" s="6">
        <f>IFERROR(__xludf.DUMMYFUNCTION("""COMPUTED_VALUE"""),140000.0)</f>
        <v>140000</v>
      </c>
      <c r="J4492" s="6">
        <f>IFERROR(__xludf.DUMMYFUNCTION("""COMPUTED_VALUE"""),420000.0)</f>
        <v>420000</v>
      </c>
      <c r="K4492" s="57">
        <f>IFERROR(__xludf.DUMMYFUNCTION("""COMPUTED_VALUE"""),45975.0)</f>
        <v>45975</v>
      </c>
      <c r="L4492" s="6" t="str">
        <f>IFERROR(__xludf.DUMMYFUNCTION("""COMPUTED_VALUE"""),"FIP General")</f>
        <v>FIP General</v>
      </c>
      <c r="M4492" s="6" t="str">
        <f>IFERROR(__xludf.DUMMYFUNCTION("""COMPUTED_VALUE"""),"Mochammad Fadhillah Hakim,")</f>
        <v>Mochammad Fadhillah Hakim,</v>
      </c>
      <c r="N4492" s="6" t="str">
        <f>IFERROR(__xludf.DUMMYFUNCTION("""COMPUTED_VALUE"""),"FIP Engineering")</f>
        <v>FIP Engineering</v>
      </c>
      <c r="O4492" s="6" t="str">
        <f>IFERROR(__xludf.DUMMYFUNCTION("""COMPUTED_VALUE"""),"FIP-DOM-ENG-51502-0000000-INA-000000")</f>
        <v>FIP-DOM-ENG-51502-0000000-INA-000000</v>
      </c>
      <c r="P4492" s="6" t="str">
        <f>IFERROR(__xludf.DUMMYFUNCTION("""COMPUTED_VALUE"""),"PO Closed")</f>
        <v>PO Closed</v>
      </c>
      <c r="Q4492" s="6" t="str">
        <f>IFERROR(__xludf.DUMMYFUNCTION("""COMPUTED_VALUE"""),"GL2510045")</f>
        <v>GL2510045</v>
      </c>
      <c r="R4492" s="57">
        <f>IFERROR(__xludf.DUMMYFUNCTION("""COMPUTED_VALUE"""),45939.0)</f>
        <v>45939</v>
      </c>
      <c r="S4492" s="57">
        <f>IFERROR(__xludf.DUMMYFUNCTION("""COMPUTED_VALUE"""),45939.0)</f>
        <v>45939</v>
      </c>
      <c r="T4492" s="57">
        <f>IFERROR(__xludf.DUMMYFUNCTION("""COMPUTED_VALUE"""),45966.0)</f>
        <v>45966</v>
      </c>
    </row>
    <row r="4493">
      <c r="A4493" s="6" t="str">
        <f>IFERROR(__xludf.DUMMYFUNCTION("""COMPUTED_VALUE"""),"121703334-1")</f>
        <v>121703334-1</v>
      </c>
      <c r="B4493" s="6" t="str">
        <f>IFERROR(__xludf.DUMMYFUNCTION("""COMPUTED_VALUE"""),"121703334 - APPROVED")</f>
        <v>121703334 - APPROVED</v>
      </c>
      <c r="C4493" s="6">
        <f>IFERROR(__xludf.DUMMYFUNCTION("""COMPUTED_VALUE"""),1.0)</f>
        <v>1</v>
      </c>
      <c r="D4493" s="6" t="str">
        <f>IFERROR(__xludf.DUMMYFUNCTION("""COMPUTED_VALUE"""),"O-16943-00")</f>
        <v>O-16943-00</v>
      </c>
      <c r="E4493" s="6" t="str">
        <f>IFERROR(__xludf.DUMMYFUNCTION("""COMPUTED_VALUE"""),"Tunnel ST1L - Potentiometer Model 10K 3turns P/n: 3757; ; ;")</f>
        <v>Tunnel ST1L - Potentiometer Model 10K 3turns P/n: 3757; ; ;</v>
      </c>
      <c r="F4493" s="6">
        <f>IFERROR(__xludf.DUMMYFUNCTION("""COMPUTED_VALUE"""),5.0)</f>
        <v>5</v>
      </c>
      <c r="G4493" s="6" t="str">
        <f>IFERROR(__xludf.DUMMYFUNCTION("""COMPUTED_VALUE"""),"Pieces")</f>
        <v>Pieces</v>
      </c>
      <c r="H4493" s="6" t="str">
        <f>IFERROR(__xludf.DUMMYFUNCTION("""COMPUTED_VALUE"""),"IDR")</f>
        <v>IDR</v>
      </c>
      <c r="I4493" s="6">
        <f>IFERROR(__xludf.DUMMYFUNCTION("""COMPUTED_VALUE"""),1023943.0)</f>
        <v>1023943</v>
      </c>
      <c r="J4493" s="6">
        <f>IFERROR(__xludf.DUMMYFUNCTION("""COMPUTED_VALUE"""),5119715.0)</f>
        <v>5119715</v>
      </c>
      <c r="K4493" s="57">
        <f>IFERROR(__xludf.DUMMYFUNCTION("""COMPUTED_VALUE"""),45975.0)</f>
        <v>45975</v>
      </c>
      <c r="L4493" s="6" t="str">
        <f>IFERROR(__xludf.DUMMYFUNCTION("""COMPUTED_VALUE"""),"FIP Engineering")</f>
        <v>FIP Engineering</v>
      </c>
      <c r="M4493" s="6" t="str">
        <f>IFERROR(__xludf.DUMMYFUNCTION("""COMPUTED_VALUE"""),"Mochammad Fadhillah Hakim,")</f>
        <v>Mochammad Fadhillah Hakim,</v>
      </c>
      <c r="N4493" s="6" t="str">
        <f>IFERROR(__xludf.DUMMYFUNCTION("""COMPUTED_VALUE"""),"FIP Engineering")</f>
        <v>FIP Engineering</v>
      </c>
      <c r="O4493" s="6" t="str">
        <f>IFERROR(__xludf.DUMMYFUNCTION("""COMPUTED_VALUE"""),"FIP-DOM-000-11304-OS00001-INA-000000")</f>
        <v>FIP-DOM-000-11304-OS00001-INA-000000</v>
      </c>
      <c r="P4493" s="6" t="str">
        <f>IFERROR(__xludf.DUMMYFUNCTION("""COMPUTED_VALUE"""),"PO Closed")</f>
        <v>PO Closed</v>
      </c>
      <c r="Q4493" s="6" t="str">
        <f>IFERROR(__xludf.DUMMYFUNCTION("""COMPUTED_VALUE"""),"GL2510057")</f>
        <v>GL2510057</v>
      </c>
      <c r="R4493" s="57">
        <f>IFERROR(__xludf.DUMMYFUNCTION("""COMPUTED_VALUE"""),45939.0)</f>
        <v>45939</v>
      </c>
      <c r="S4493" s="57">
        <f>IFERROR(__xludf.DUMMYFUNCTION("""COMPUTED_VALUE"""),45943.0)</f>
        <v>45943</v>
      </c>
      <c r="T4493" s="57">
        <f>IFERROR(__xludf.DUMMYFUNCTION("""COMPUTED_VALUE"""),46021.0)</f>
        <v>46021</v>
      </c>
    </row>
    <row r="4494">
      <c r="A4494" s="6" t="str">
        <f>IFERROR(__xludf.DUMMYFUNCTION("""COMPUTED_VALUE"""),"121703335-1")</f>
        <v>121703335-1</v>
      </c>
      <c r="B4494" s="6" t="str">
        <f>IFERROR(__xludf.DUMMYFUNCTION("""COMPUTED_VALUE"""),"121703335 - APPROVED")</f>
        <v>121703335 - APPROVED</v>
      </c>
      <c r="C4494" s="6">
        <f>IFERROR(__xludf.DUMMYFUNCTION("""COMPUTED_VALUE"""),1.0)</f>
        <v>1</v>
      </c>
      <c r="D4494" s="6" t="str">
        <f>IFERROR(__xludf.DUMMYFUNCTION("""COMPUTED_VALUE"""),"S-60002-00")</f>
        <v>S-60002-00</v>
      </c>
      <c r="E4494" s="6" t="str">
        <f>IFERROR(__xludf.DUMMYFUNCTION("""COMPUTED_VALUE"""),"Jasa Perbaikan dan Pemeliharaan Mesin Utility - Tambahan kebutuhan perapihan server")</f>
        <v>Jasa Perbaikan dan Pemeliharaan Mesin Utility - Tambahan kebutuhan perapihan server</v>
      </c>
      <c r="F4494" s="6">
        <f>IFERROR(__xludf.DUMMYFUNCTION("""COMPUTED_VALUE"""),1.0)</f>
        <v>1</v>
      </c>
      <c r="G4494" s="6" t="str">
        <f>IFERROR(__xludf.DUMMYFUNCTION("""COMPUTED_VALUE"""),"Lot")</f>
        <v>Lot</v>
      </c>
      <c r="H4494" s="6" t="str">
        <f>IFERROR(__xludf.DUMMYFUNCTION("""COMPUTED_VALUE"""),"IDR")</f>
        <v>IDR</v>
      </c>
      <c r="I4494" s="6">
        <f>IFERROR(__xludf.DUMMYFUNCTION("""COMPUTED_VALUE"""),1.31E7)</f>
        <v>13100000</v>
      </c>
      <c r="J4494" s="6">
        <f>IFERROR(__xludf.DUMMYFUNCTION("""COMPUTED_VALUE"""),1.31E7)</f>
        <v>13100000</v>
      </c>
      <c r="K4494" s="57">
        <f>IFERROR(__xludf.DUMMYFUNCTION("""COMPUTED_VALUE"""),45975.0)</f>
        <v>45975</v>
      </c>
      <c r="L4494" s="6" t="str">
        <f>IFERROR(__xludf.DUMMYFUNCTION("""COMPUTED_VALUE"""),"FIP General")</f>
        <v>FIP General</v>
      </c>
      <c r="M4494" s="6" t="str">
        <f>IFERROR(__xludf.DUMMYFUNCTION("""COMPUTED_VALUE"""),"Mochammad Fadhillah Hakim,")</f>
        <v>Mochammad Fadhillah Hakim,</v>
      </c>
      <c r="N4494" s="6" t="str">
        <f>IFERROR(__xludf.DUMMYFUNCTION("""COMPUTED_VALUE"""),"FIP Engineering")</f>
        <v>FIP Engineering</v>
      </c>
      <c r="O4494" s="6" t="str">
        <f>IFERROR(__xludf.DUMMYFUNCTION("""COMPUTED_VALUE"""),"FIP-DOM-ENG-51508-0000000-INA-000000")</f>
        <v>FIP-DOM-ENG-51508-0000000-INA-000000</v>
      </c>
      <c r="P4494" s="6" t="str">
        <f>IFERROR(__xludf.DUMMYFUNCTION("""COMPUTED_VALUE"""),"PO Closed")</f>
        <v>PO Closed</v>
      </c>
      <c r="Q4494" s="6"/>
      <c r="R4494" s="57">
        <f>IFERROR(__xludf.DUMMYFUNCTION("""COMPUTED_VALUE"""),45939.0)</f>
        <v>45939</v>
      </c>
      <c r="S4494" s="57">
        <f>IFERROR(__xludf.DUMMYFUNCTION("""COMPUTED_VALUE"""),45951.0)</f>
        <v>45951</v>
      </c>
      <c r="T4494" s="6"/>
    </row>
    <row r="4495">
      <c r="A4495" s="6" t="str">
        <f>IFERROR(__xludf.DUMMYFUNCTION("""COMPUTED_VALUE"""),"121703336-1")</f>
        <v>121703336-1</v>
      </c>
      <c r="B4495" s="6" t="str">
        <f>IFERROR(__xludf.DUMMYFUNCTION("""COMPUTED_VALUE"""),"121703336 - APPROVED")</f>
        <v>121703336 - APPROVED</v>
      </c>
      <c r="C4495" s="6">
        <f>IFERROR(__xludf.DUMMYFUNCTION("""COMPUTED_VALUE"""),1.0)</f>
        <v>1</v>
      </c>
      <c r="D4495" s="6" t="str">
        <f>IFERROR(__xludf.DUMMYFUNCTION("""COMPUTED_VALUE"""),"T-20123-00")</f>
        <v>T-20123-00</v>
      </c>
      <c r="E4495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F4495" s="6">
        <f>IFERROR(__xludf.DUMMYFUNCTION("""COMPUTED_VALUE"""),10.0)</f>
        <v>10</v>
      </c>
      <c r="G4495" s="6" t="str">
        <f>IFERROR(__xludf.DUMMYFUNCTION("""COMPUTED_VALUE"""),"Pieces")</f>
        <v>Pieces</v>
      </c>
      <c r="H4495" s="6" t="str">
        <f>IFERROR(__xludf.DUMMYFUNCTION("""COMPUTED_VALUE"""),"IDR")</f>
        <v>IDR</v>
      </c>
      <c r="I4495" s="6">
        <f>IFERROR(__xludf.DUMMYFUNCTION("""COMPUTED_VALUE"""),1.2783725E7)</f>
        <v>12783725</v>
      </c>
      <c r="J4495" s="6">
        <f>IFERROR(__xludf.DUMMYFUNCTION("""COMPUTED_VALUE"""),1.2783725E8)</f>
        <v>127837250</v>
      </c>
      <c r="K4495" s="57">
        <f>IFERROR(__xludf.DUMMYFUNCTION("""COMPUTED_VALUE"""),45975.0)</f>
        <v>45975</v>
      </c>
      <c r="L4495" s="6" t="str">
        <f>IFERROR(__xludf.DUMMYFUNCTION("""COMPUTED_VALUE"""),"FIP General")</f>
        <v>FIP General</v>
      </c>
      <c r="M4495" s="6" t="str">
        <f>IFERROR(__xludf.DUMMYFUNCTION("""COMPUTED_VALUE"""),"Mochammad Fadhillah Hakim,")</f>
        <v>Mochammad Fadhillah Hakim,</v>
      </c>
      <c r="N4495" s="6" t="str">
        <f>IFERROR(__xludf.DUMMYFUNCTION("""COMPUTED_VALUE"""),"FIP Engineering")</f>
        <v>FIP Engineering</v>
      </c>
      <c r="O4495" s="6" t="str">
        <f>IFERROR(__xludf.DUMMYFUNCTION("""COMPUTED_VALUE"""),"FIP-DOM-ENG-51505-0000000-INA-000000")</f>
        <v>FIP-DOM-ENG-51505-0000000-INA-000000</v>
      </c>
      <c r="P4495" s="6" t="str">
        <f>IFERROR(__xludf.DUMMYFUNCTION("""COMPUTED_VALUE"""),"PO Closed")</f>
        <v>PO Closed</v>
      </c>
      <c r="Q4495" s="6" t="str">
        <f>IFERROR(__xludf.DUMMYFUNCTION("""COMPUTED_VALUE"""),"GL2510052")</f>
        <v>GL2510052</v>
      </c>
      <c r="R4495" s="57">
        <f>IFERROR(__xludf.DUMMYFUNCTION("""COMPUTED_VALUE"""),45940.0)</f>
        <v>45940</v>
      </c>
      <c r="S4495" s="57">
        <f>IFERROR(__xludf.DUMMYFUNCTION("""COMPUTED_VALUE"""),45951.0)</f>
        <v>45951</v>
      </c>
      <c r="T4495" s="57">
        <f>IFERROR(__xludf.DUMMYFUNCTION("""COMPUTED_VALUE"""),45989.0)</f>
        <v>45989</v>
      </c>
    </row>
    <row r="4496">
      <c r="A4496" s="6" t="str">
        <f>IFERROR(__xludf.DUMMYFUNCTION("""COMPUTED_VALUE"""),"121703337-1")</f>
        <v>121703337-1</v>
      </c>
      <c r="B4496" s="6" t="str">
        <f>IFERROR(__xludf.DUMMYFUNCTION("""COMPUTED_VALUE"""),"121703337 - APPROVED")</f>
        <v>121703337 - APPROVED</v>
      </c>
      <c r="C4496" s="6">
        <f>IFERROR(__xludf.DUMMYFUNCTION("""COMPUTED_VALUE"""),1.0)</f>
        <v>1</v>
      </c>
      <c r="D4496" s="6" t="str">
        <f>IFERROR(__xludf.DUMMYFUNCTION("""COMPUTED_VALUE"""),"Q-10128-00")</f>
        <v>Q-10128-00</v>
      </c>
      <c r="E4496" s="6" t="str">
        <f>IFERROR(__xludf.DUMMYFUNCTION("""COMPUTED_VALUE"""),"Thinner Super End/Impala @ 1 Liter")</f>
        <v>Thinner Super End/Impala @ 1 Liter</v>
      </c>
      <c r="F4496" s="6">
        <f>IFERROR(__xludf.DUMMYFUNCTION("""COMPUTED_VALUE"""),20.0)</f>
        <v>20</v>
      </c>
      <c r="G4496" s="6" t="str">
        <f>IFERROR(__xludf.DUMMYFUNCTION("""COMPUTED_VALUE"""),"Pieces")</f>
        <v>Pieces</v>
      </c>
      <c r="H4496" s="6" t="str">
        <f>IFERROR(__xludf.DUMMYFUNCTION("""COMPUTED_VALUE"""),"IDR")</f>
        <v>IDR</v>
      </c>
      <c r="I4496" s="6">
        <f>IFERROR(__xludf.DUMMYFUNCTION("""COMPUTED_VALUE"""),37500.0)</f>
        <v>37500</v>
      </c>
      <c r="J4496" s="6">
        <f>IFERROR(__xludf.DUMMYFUNCTION("""COMPUTED_VALUE"""),750000.0)</f>
        <v>750000</v>
      </c>
      <c r="K4496" s="57">
        <f>IFERROR(__xludf.DUMMYFUNCTION("""COMPUTED_VALUE"""),45954.0)</f>
        <v>45954</v>
      </c>
      <c r="L4496" s="6" t="str">
        <f>IFERROR(__xludf.DUMMYFUNCTION("""COMPUTED_VALUE"""),"FIP Engineering")</f>
        <v>FIP Engineering</v>
      </c>
      <c r="M4496" s="6" t="str">
        <f>IFERROR(__xludf.DUMMYFUNCTION("""COMPUTED_VALUE"""),"Mochammad Fadhillah Hakim,")</f>
        <v>Mochammad Fadhillah Hakim,</v>
      </c>
      <c r="N4496" s="6" t="str">
        <f>IFERROR(__xludf.DUMMYFUNCTION("""COMPUTED_VALUE"""),"FIP Engineering")</f>
        <v>FIP Engineering</v>
      </c>
      <c r="O4496" s="6" t="str">
        <f>IFERROR(__xludf.DUMMYFUNCTION("""COMPUTED_VALUE"""),"FIP-DOM-000-11304-OS00001-INA-000000")</f>
        <v>FIP-DOM-000-11304-OS00001-INA-000000</v>
      </c>
      <c r="P4496" s="6" t="str">
        <f>IFERROR(__xludf.DUMMYFUNCTION("""COMPUTED_VALUE"""),"PO Closed")</f>
        <v>PO Closed</v>
      </c>
      <c r="Q4496" s="6" t="str">
        <f>IFERROR(__xludf.DUMMYFUNCTION("""COMPUTED_VALUE"""),"GL2510045")</f>
        <v>GL2510045</v>
      </c>
      <c r="R4496" s="57">
        <f>IFERROR(__xludf.DUMMYFUNCTION("""COMPUTED_VALUE"""),45940.0)</f>
        <v>45940</v>
      </c>
      <c r="S4496" s="57">
        <f>IFERROR(__xludf.DUMMYFUNCTION("""COMPUTED_VALUE"""),45943.0)</f>
        <v>45943</v>
      </c>
      <c r="T4496" s="57">
        <f>IFERROR(__xludf.DUMMYFUNCTION("""COMPUTED_VALUE"""),45966.0)</f>
        <v>45966</v>
      </c>
    </row>
    <row r="4497">
      <c r="A4497" s="6" t="str">
        <f>IFERROR(__xludf.DUMMYFUNCTION("""COMPUTED_VALUE"""),"121703339-1")</f>
        <v>121703339-1</v>
      </c>
      <c r="B4497" s="6" t="str">
        <f>IFERROR(__xludf.DUMMYFUNCTION("""COMPUTED_VALUE"""),"121703339 - APPROVED")</f>
        <v>121703339 - APPROVED</v>
      </c>
      <c r="C4497" s="6">
        <f>IFERROR(__xludf.DUMMYFUNCTION("""COMPUTED_VALUE"""),1.0)</f>
        <v>1</v>
      </c>
      <c r="D4497" s="6" t="str">
        <f>IFERROR(__xludf.DUMMYFUNCTION("""COMPUTED_VALUE"""),"S-60050-00")</f>
        <v>S-60050-00</v>
      </c>
      <c r="E4497" s="6" t="str">
        <f>IFERROR(__xludf.DUMMYFUNCTION("""COMPUTED_VALUE"""),"Jasa Perbaikan dan Pemeliharaan Mesin Produksi; ; ; - Perbaikan Minicapt")</f>
        <v>Jasa Perbaikan dan Pemeliharaan Mesin Produksi; ; ; - Perbaikan Minicapt</v>
      </c>
      <c r="F4497" s="6">
        <f>IFERROR(__xludf.DUMMYFUNCTION("""COMPUTED_VALUE"""),1.0)</f>
        <v>1</v>
      </c>
      <c r="G4497" s="6" t="str">
        <f>IFERROR(__xludf.DUMMYFUNCTION("""COMPUTED_VALUE"""),"Pieces")</f>
        <v>Pieces</v>
      </c>
      <c r="H4497" s="6" t="str">
        <f>IFERROR(__xludf.DUMMYFUNCTION("""COMPUTED_VALUE"""),"IDR")</f>
        <v>IDR</v>
      </c>
      <c r="I4497" s="6">
        <f>IFERROR(__xludf.DUMMYFUNCTION("""COMPUTED_VALUE"""),1.15E7)</f>
        <v>11500000</v>
      </c>
      <c r="J4497" s="6">
        <f>IFERROR(__xludf.DUMMYFUNCTION("""COMPUTED_VALUE"""),1.15E7)</f>
        <v>11500000</v>
      </c>
      <c r="K4497" s="57">
        <f>IFERROR(__xludf.DUMMYFUNCTION("""COMPUTED_VALUE"""),45975.0)</f>
        <v>45975</v>
      </c>
      <c r="L4497" s="6" t="str">
        <f>IFERROR(__xludf.DUMMYFUNCTION("""COMPUTED_VALUE"""),"FIP General")</f>
        <v>FIP General</v>
      </c>
      <c r="M4497" s="6" t="str">
        <f>IFERROR(__xludf.DUMMYFUNCTION("""COMPUTED_VALUE"""),"Mochammad Fadhillah Hakim,")</f>
        <v>Mochammad Fadhillah Hakim,</v>
      </c>
      <c r="N4497" s="6" t="str">
        <f>IFERROR(__xludf.DUMMYFUNCTION("""COMPUTED_VALUE"""),"FIP Engineering")</f>
        <v>FIP Engineering</v>
      </c>
      <c r="O4497" s="6" t="str">
        <f>IFERROR(__xludf.DUMMYFUNCTION("""COMPUTED_VALUE"""),"FIP-DOM-ENG-51504-0000000-INA-000000")</f>
        <v>FIP-DOM-ENG-51504-0000000-INA-000000</v>
      </c>
      <c r="P4497" s="6" t="str">
        <f>IFERROR(__xludf.DUMMYFUNCTION("""COMPUTED_VALUE"""),"PO Closed")</f>
        <v>PO Closed</v>
      </c>
      <c r="Q4497" s="6"/>
      <c r="R4497" s="57">
        <f>IFERROR(__xludf.DUMMYFUNCTION("""COMPUTED_VALUE"""),45943.0)</f>
        <v>45943</v>
      </c>
      <c r="S4497" s="57">
        <f>IFERROR(__xludf.DUMMYFUNCTION("""COMPUTED_VALUE"""),45951.0)</f>
        <v>45951</v>
      </c>
      <c r="T4497" s="6"/>
    </row>
    <row r="4498">
      <c r="A4498" s="6" t="str">
        <f>IFERROR(__xludf.DUMMYFUNCTION("""COMPUTED_VALUE"""),"121703341-1")</f>
        <v>121703341-1</v>
      </c>
      <c r="B4498" s="6" t="str">
        <f>IFERROR(__xludf.DUMMYFUNCTION("""COMPUTED_VALUE"""),"121703341 - APPROVED")</f>
        <v>121703341 - APPROVED</v>
      </c>
      <c r="C4498" s="6">
        <f>IFERROR(__xludf.DUMMYFUNCTION("""COMPUTED_VALUE"""),1.0)</f>
        <v>1</v>
      </c>
      <c r="D4498" s="6" t="str">
        <f>IFERROR(__xludf.DUMMYFUNCTION("""COMPUTED_VALUE"""),"P-20258-00")</f>
        <v>P-20258-00</v>
      </c>
      <c r="E4498" s="6" t="str">
        <f>IFERROR(__xludf.DUMMYFUNCTION("""COMPUTED_VALUE"""),"PW SKID - Seal Mainhole Tank; Custom Bentala; -; 1 pc")</f>
        <v>PW SKID - Seal Mainhole Tank; Custom Bentala; -; 1 pc</v>
      </c>
      <c r="F4498" s="6">
        <f>IFERROR(__xludf.DUMMYFUNCTION("""COMPUTED_VALUE"""),2.0)</f>
        <v>2</v>
      </c>
      <c r="G4498" s="6" t="str">
        <f>IFERROR(__xludf.DUMMYFUNCTION("""COMPUTED_VALUE"""),"Pieces")</f>
        <v>Pieces</v>
      </c>
      <c r="H4498" s="6" t="str">
        <f>IFERROR(__xludf.DUMMYFUNCTION("""COMPUTED_VALUE"""),"IDR")</f>
        <v>IDR</v>
      </c>
      <c r="I4498" s="6">
        <f>IFERROR(__xludf.DUMMYFUNCTION("""COMPUTED_VALUE"""),8000000.0)</f>
        <v>8000000</v>
      </c>
      <c r="J4498" s="6">
        <f>IFERROR(__xludf.DUMMYFUNCTION("""COMPUTED_VALUE"""),1.6E7)</f>
        <v>16000000</v>
      </c>
      <c r="K4498" s="57">
        <f>IFERROR(__xludf.DUMMYFUNCTION("""COMPUTED_VALUE"""),46010.0)</f>
        <v>46010</v>
      </c>
      <c r="L4498" s="6" t="str">
        <f>IFERROR(__xludf.DUMMYFUNCTION("""COMPUTED_VALUE"""),"FIP Engineering")</f>
        <v>FIP Engineering</v>
      </c>
      <c r="M4498" s="6" t="str">
        <f>IFERROR(__xludf.DUMMYFUNCTION("""COMPUTED_VALUE"""),"Mochammad Fadhillah Hakim,")</f>
        <v>Mochammad Fadhillah Hakim,</v>
      </c>
      <c r="N4498" s="6" t="str">
        <f>IFERROR(__xludf.DUMMYFUNCTION("""COMPUTED_VALUE"""),"FIP Engineering")</f>
        <v>FIP Engineering</v>
      </c>
      <c r="O4498" s="6" t="str">
        <f>IFERROR(__xludf.DUMMYFUNCTION("""COMPUTED_VALUE"""),"FIP-DOM-000-11304-OS00001-INA-000000")</f>
        <v>FIP-DOM-000-11304-OS00001-INA-000000</v>
      </c>
      <c r="P4498" s="6" t="str">
        <f>IFERROR(__xludf.DUMMYFUNCTION("""COMPUTED_VALUE"""),"PO Closed")</f>
        <v>PO Closed</v>
      </c>
      <c r="Q4498" s="6" t="str">
        <f>IFERROR(__xludf.DUMMYFUNCTION("""COMPUTED_VALUE"""),"GL2510034")</f>
        <v>GL2510034</v>
      </c>
      <c r="R4498" s="57">
        <f>IFERROR(__xludf.DUMMYFUNCTION("""COMPUTED_VALUE"""),45943.0)</f>
        <v>45943</v>
      </c>
      <c r="S4498" s="57">
        <f>IFERROR(__xludf.DUMMYFUNCTION("""COMPUTED_VALUE"""),45943.0)</f>
        <v>45943</v>
      </c>
      <c r="T4498" s="57">
        <f>IFERROR(__xludf.DUMMYFUNCTION("""COMPUTED_VALUE"""),46027.0)</f>
        <v>46027</v>
      </c>
    </row>
    <row r="4499">
      <c r="A4499" s="6" t="str">
        <f>IFERROR(__xludf.DUMMYFUNCTION("""COMPUTED_VALUE"""),"121703342-1")</f>
        <v>121703342-1</v>
      </c>
      <c r="B4499" s="6" t="str">
        <f>IFERROR(__xludf.DUMMYFUNCTION("""COMPUTED_VALUE"""),"121703342 - APPROVED")</f>
        <v>121703342 - APPROVED</v>
      </c>
      <c r="C4499" s="6">
        <f>IFERROR(__xludf.DUMMYFUNCTION("""COMPUTED_VALUE"""),1.0)</f>
        <v>1</v>
      </c>
      <c r="D4499" s="6" t="str">
        <f>IFERROR(__xludf.DUMMYFUNCTION("""COMPUTED_VALUE"""),"P-50428-00")</f>
        <v>P-50428-00</v>
      </c>
      <c r="E4499" s="6" t="str">
        <f>IFERROR(__xludf.DUMMYFUNCTION("""COMPUTED_VALUE"""),"Pilot Lamps / Yellow / 220 VAC / AD22-22DS / AXLE")</f>
        <v>Pilot Lamps / Yellow / 220 VAC / AD22-22DS / AXLE</v>
      </c>
      <c r="F4499" s="6">
        <f>IFERROR(__xludf.DUMMYFUNCTION("""COMPUTED_VALUE"""),3.0)</f>
        <v>3</v>
      </c>
      <c r="G4499" s="6" t="str">
        <f>IFERROR(__xludf.DUMMYFUNCTION("""COMPUTED_VALUE"""),"Pieces")</f>
        <v>Pieces</v>
      </c>
      <c r="H4499" s="6" t="str">
        <f>IFERROR(__xludf.DUMMYFUNCTION("""COMPUTED_VALUE"""),"IDR")</f>
        <v>IDR</v>
      </c>
      <c r="I4499" s="6">
        <f>IFERROR(__xludf.DUMMYFUNCTION("""COMPUTED_VALUE"""),19500.0)</f>
        <v>19500</v>
      </c>
      <c r="J4499" s="6">
        <f>IFERROR(__xludf.DUMMYFUNCTION("""COMPUTED_VALUE"""),58500.0)</f>
        <v>58500</v>
      </c>
      <c r="K4499" s="57">
        <f>IFERROR(__xludf.DUMMYFUNCTION("""COMPUTED_VALUE"""),45975.0)</f>
        <v>45975</v>
      </c>
      <c r="L4499" s="6" t="str">
        <f>IFERROR(__xludf.DUMMYFUNCTION("""COMPUTED_VALUE"""),"FIP Engineering")</f>
        <v>FIP Engineering</v>
      </c>
      <c r="M4499" s="6" t="str">
        <f>IFERROR(__xludf.DUMMYFUNCTION("""COMPUTED_VALUE"""),"Mochammad Fadhillah Hakim,")</f>
        <v>Mochammad Fadhillah Hakim,</v>
      </c>
      <c r="N4499" s="6" t="str">
        <f>IFERROR(__xludf.DUMMYFUNCTION("""COMPUTED_VALUE"""),"FIP Engineering")</f>
        <v>FIP Engineering</v>
      </c>
      <c r="O4499" s="6" t="str">
        <f>IFERROR(__xludf.DUMMYFUNCTION("""COMPUTED_VALUE"""),"FIP-DOM-000-11304-OS00001-INA-000000")</f>
        <v>FIP-DOM-000-11304-OS00001-INA-000000</v>
      </c>
      <c r="P4499" s="6" t="str">
        <f>IFERROR(__xludf.DUMMYFUNCTION("""COMPUTED_VALUE"""),"PO Closed")</f>
        <v>PO Closed</v>
      </c>
      <c r="Q4499" s="6" t="str">
        <f>IFERROR(__xludf.DUMMYFUNCTION("""COMPUTED_VALUE"""),"GL2510495")</f>
        <v>GL2510495</v>
      </c>
      <c r="R4499" s="57">
        <f>IFERROR(__xludf.DUMMYFUNCTION("""COMPUTED_VALUE"""),45943.0)</f>
        <v>45943</v>
      </c>
      <c r="S4499" s="57">
        <f>IFERROR(__xludf.DUMMYFUNCTION("""COMPUTED_VALUE"""),45943.0)</f>
        <v>45943</v>
      </c>
      <c r="T4499" s="57">
        <f>IFERROR(__xludf.DUMMYFUNCTION("""COMPUTED_VALUE"""),45971.0)</f>
        <v>45971</v>
      </c>
    </row>
    <row r="4500">
      <c r="A4500" s="6" t="str">
        <f>IFERROR(__xludf.DUMMYFUNCTION("""COMPUTED_VALUE"""),"121703343-1")</f>
        <v>121703343-1</v>
      </c>
      <c r="B4500" s="6" t="str">
        <f>IFERROR(__xludf.DUMMYFUNCTION("""COMPUTED_VALUE"""),"121703343 - APPROVED")</f>
        <v>121703343 - APPROVED</v>
      </c>
      <c r="C4500" s="6">
        <f>IFERROR(__xludf.DUMMYFUNCTION("""COMPUTED_VALUE"""),1.0)</f>
        <v>1</v>
      </c>
      <c r="D4500" s="6" t="str">
        <f>IFERROR(__xludf.DUMMYFUNCTION("""COMPUTED_VALUE"""),"R-20024-00")</f>
        <v>R-20024-00</v>
      </c>
      <c r="E4500" s="6" t="str">
        <f>IFERROR(__xludf.DUMMYFUNCTION("""COMPUTED_VALUE"""),"Machine Equipment; ; ; - Instalasi Pipa Utilitas Mesin Baru - Instalasi Pipa Utilitas Mesin Baru - Instalasi Pipa Utilitas Mesin Baru - Instalasi Pipa Utilitas Mesin Baru - Instalasi Pipa Utilitas Mesin Baru - Instalasi Pipa Utilitas Mesin")</f>
        <v>Machine Equipment; ; ; - Instalasi Pipa Utilitas Mesin Baru - Instalasi Pipa Utilitas Mesin Baru - Instalasi Pipa Utilitas Mesin Baru - Instalasi Pipa Utilitas Mesin Baru - Instalasi Pipa Utilitas Mesin Baru - Instalasi Pipa Utilitas Mesin</v>
      </c>
      <c r="F4500" s="6">
        <f>IFERROR(__xludf.DUMMYFUNCTION("""COMPUTED_VALUE"""),1.0)</f>
        <v>1</v>
      </c>
      <c r="G4500" s="6" t="str">
        <f>IFERROR(__xludf.DUMMYFUNCTION("""COMPUTED_VALUE"""),"Unit")</f>
        <v>Unit</v>
      </c>
      <c r="H4500" s="6" t="str">
        <f>IFERROR(__xludf.DUMMYFUNCTION("""COMPUTED_VALUE"""),"IDR")</f>
        <v>IDR</v>
      </c>
      <c r="I4500" s="6">
        <f>IFERROR(__xludf.DUMMYFUNCTION("""COMPUTED_VALUE"""),3.82512175E8)</f>
        <v>382512175</v>
      </c>
      <c r="J4500" s="6">
        <f>IFERROR(__xludf.DUMMYFUNCTION("""COMPUTED_VALUE"""),3.82512175E8)</f>
        <v>382512175</v>
      </c>
      <c r="K4500" s="57">
        <f>IFERROR(__xludf.DUMMYFUNCTION("""COMPUTED_VALUE"""),45975.0)</f>
        <v>45975</v>
      </c>
      <c r="L4500" s="6" t="str">
        <f>IFERROR(__xludf.DUMMYFUNCTION("""COMPUTED_VALUE"""),"FIP General")</f>
        <v>FIP General</v>
      </c>
      <c r="M4500" s="6" t="str">
        <f>IFERROR(__xludf.DUMMYFUNCTION("""COMPUTED_VALUE"""),"Mochammad Fadhillah Hakim,")</f>
        <v>Mochammad Fadhillah Hakim,</v>
      </c>
      <c r="N4500" s="6" t="str">
        <f>IFERROR(__xludf.DUMMYFUNCTION("""COMPUTED_VALUE"""),"FIP Engineering")</f>
        <v>FIP Engineering</v>
      </c>
      <c r="O4500" s="6" t="str">
        <f>IFERROR(__xludf.DUMMYFUNCTION("""COMPUTED_VALUE"""),"FIP-DOM-PRJ-13404-MC25005-INA-000000")</f>
        <v>FIP-DOM-PRJ-13404-MC25005-INA-000000</v>
      </c>
      <c r="P4500" s="6" t="str">
        <f>IFERROR(__xludf.DUMMYFUNCTION("""COMPUTED_VALUE"""),"PO Closed")</f>
        <v>PO Closed</v>
      </c>
      <c r="Q4500" s="6" t="str">
        <f>IFERROR(__xludf.DUMMYFUNCTION("""COMPUTED_VALUE"""),"GL2510056")</f>
        <v>GL2510056</v>
      </c>
      <c r="R4500" s="57">
        <f>IFERROR(__xludf.DUMMYFUNCTION("""COMPUTED_VALUE"""),45943.0)</f>
        <v>45943</v>
      </c>
      <c r="S4500" s="57">
        <f>IFERROR(__xludf.DUMMYFUNCTION("""COMPUTED_VALUE"""),45944.0)</f>
        <v>45944</v>
      </c>
      <c r="T4500" s="57">
        <f>IFERROR(__xludf.DUMMYFUNCTION("""COMPUTED_VALUE"""),45981.0)</f>
        <v>45981</v>
      </c>
    </row>
    <row r="4501">
      <c r="A4501" s="6" t="str">
        <f>IFERROR(__xludf.DUMMYFUNCTION("""COMPUTED_VALUE"""),"121703344-1")</f>
        <v>121703344-1</v>
      </c>
      <c r="B4501" s="6" t="str">
        <f>IFERROR(__xludf.DUMMYFUNCTION("""COMPUTED_VALUE"""),"121703344 - APPROVED")</f>
        <v>121703344 - APPROVED</v>
      </c>
      <c r="C4501" s="6">
        <f>IFERROR(__xludf.DUMMYFUNCTION("""COMPUTED_VALUE"""),1.0)</f>
        <v>1</v>
      </c>
      <c r="D4501" s="6" t="str">
        <f>IFERROR(__xludf.DUMMYFUNCTION("""COMPUTED_VALUE"""),"P-52694-00")</f>
        <v>P-52694-00</v>
      </c>
      <c r="E4501" s="6" t="str">
        <f>IFERROR(__xludf.DUMMYFUNCTION("""COMPUTED_VALUE"""),"ORP Transmitter (Field mounted) Type: 202551/05-8-01-4-0-00-25/000; JUMO; ;")</f>
        <v>ORP Transmitter (Field mounted) Type: 202551/05-8-01-4-0-00-25/000; JUMO; ;</v>
      </c>
      <c r="F4501" s="6">
        <f>IFERROR(__xludf.DUMMYFUNCTION("""COMPUTED_VALUE"""),1.0)</f>
        <v>1</v>
      </c>
      <c r="G4501" s="6" t="str">
        <f>IFERROR(__xludf.DUMMYFUNCTION("""COMPUTED_VALUE"""),"Pieces")</f>
        <v>Pieces</v>
      </c>
      <c r="H4501" s="6" t="str">
        <f>IFERROR(__xludf.DUMMYFUNCTION("""COMPUTED_VALUE"""),"IDR")</f>
        <v>IDR</v>
      </c>
      <c r="I4501" s="6">
        <f>IFERROR(__xludf.DUMMYFUNCTION("""COMPUTED_VALUE"""),1.6E7)</f>
        <v>16000000</v>
      </c>
      <c r="J4501" s="6">
        <f>IFERROR(__xludf.DUMMYFUNCTION("""COMPUTED_VALUE"""),1.6E7)</f>
        <v>16000000</v>
      </c>
      <c r="K4501" s="57">
        <f>IFERROR(__xludf.DUMMYFUNCTION("""COMPUTED_VALUE"""),46010.0)</f>
        <v>46010</v>
      </c>
      <c r="L4501" s="6" t="str">
        <f>IFERROR(__xludf.DUMMYFUNCTION("""COMPUTED_VALUE"""),"FIP Engineering")</f>
        <v>FIP Engineering</v>
      </c>
      <c r="M4501" s="6" t="str">
        <f>IFERROR(__xludf.DUMMYFUNCTION("""COMPUTED_VALUE"""),"Mochammad Fadhillah Hakim,")</f>
        <v>Mochammad Fadhillah Hakim,</v>
      </c>
      <c r="N4501" s="6" t="str">
        <f>IFERROR(__xludf.DUMMYFUNCTION("""COMPUTED_VALUE"""),"FIP Engineering")</f>
        <v>FIP Engineering</v>
      </c>
      <c r="O4501" s="6" t="str">
        <f>IFERROR(__xludf.DUMMYFUNCTION("""COMPUTED_VALUE"""),"FIP-DOM-000-11304-OS00001-INA-000000")</f>
        <v>FIP-DOM-000-11304-OS00001-INA-000000</v>
      </c>
      <c r="P4501" s="6" t="str">
        <f>IFERROR(__xludf.DUMMYFUNCTION("""COMPUTED_VALUE"""),"PO Closed")</f>
        <v>PO Closed</v>
      </c>
      <c r="Q4501" s="6" t="str">
        <f>IFERROR(__xludf.DUMMYFUNCTION("""COMPUTED_VALUE"""),"GL2510031")</f>
        <v>GL2510031</v>
      </c>
      <c r="R4501" s="57">
        <f>IFERROR(__xludf.DUMMYFUNCTION("""COMPUTED_VALUE"""),45944.0)</f>
        <v>45944</v>
      </c>
      <c r="S4501" s="57">
        <f>IFERROR(__xludf.DUMMYFUNCTION("""COMPUTED_VALUE"""),45944.0)</f>
        <v>45944</v>
      </c>
      <c r="T4501" s="57">
        <f>IFERROR(__xludf.DUMMYFUNCTION("""COMPUTED_VALUE"""),46096.0)</f>
        <v>46096</v>
      </c>
    </row>
    <row r="4502">
      <c r="A4502" s="6" t="str">
        <f>IFERROR(__xludf.DUMMYFUNCTION("""COMPUTED_VALUE"""),"121703344-2")</f>
        <v>121703344-2</v>
      </c>
      <c r="B4502" s="6" t="str">
        <f>IFERROR(__xludf.DUMMYFUNCTION("""COMPUTED_VALUE"""),"121703344 - APPROVED")</f>
        <v>121703344 - APPROVED</v>
      </c>
      <c r="C4502" s="6">
        <f>IFERROR(__xludf.DUMMYFUNCTION("""COMPUTED_VALUE"""),2.0)</f>
        <v>2</v>
      </c>
      <c r="D4502" s="6" t="str">
        <f>IFERROR(__xludf.DUMMYFUNCTION("""COMPUTED_VALUE"""),"P-52695-00")</f>
        <v>P-52695-00</v>
      </c>
      <c r="E4502" s="6" t="str">
        <f>IFERROR(__xludf.DUMMYFUNCTION("""COMPUTED_VALUE"""),"ORP Electrode Type: 201027/10-22-07-82-120/000; JUMO; ;")</f>
        <v>ORP Electrode Type: 201027/10-22-07-82-120/000; JUMO; ;</v>
      </c>
      <c r="F4502" s="6">
        <f>IFERROR(__xludf.DUMMYFUNCTION("""COMPUTED_VALUE"""),1.0)</f>
        <v>1</v>
      </c>
      <c r="G4502" s="6" t="str">
        <f>IFERROR(__xludf.DUMMYFUNCTION("""COMPUTED_VALUE"""),"Pieces")</f>
        <v>Pieces</v>
      </c>
      <c r="H4502" s="6" t="str">
        <f>IFERROR(__xludf.DUMMYFUNCTION("""COMPUTED_VALUE"""),"IDR")</f>
        <v>IDR</v>
      </c>
      <c r="I4502" s="6">
        <f>IFERROR(__xludf.DUMMYFUNCTION("""COMPUTED_VALUE"""),4800000.0)</f>
        <v>4800000</v>
      </c>
      <c r="J4502" s="6">
        <f>IFERROR(__xludf.DUMMYFUNCTION("""COMPUTED_VALUE"""),4800000.0)</f>
        <v>4800000</v>
      </c>
      <c r="K4502" s="57">
        <f>IFERROR(__xludf.DUMMYFUNCTION("""COMPUTED_VALUE"""),46010.0)</f>
        <v>46010</v>
      </c>
      <c r="L4502" s="6" t="str">
        <f>IFERROR(__xludf.DUMMYFUNCTION("""COMPUTED_VALUE"""),"FIP Engineering")</f>
        <v>FIP Engineering</v>
      </c>
      <c r="M4502" s="6" t="str">
        <f>IFERROR(__xludf.DUMMYFUNCTION("""COMPUTED_VALUE"""),"Mochammad Fadhillah Hakim,")</f>
        <v>Mochammad Fadhillah Hakim,</v>
      </c>
      <c r="N4502" s="6" t="str">
        <f>IFERROR(__xludf.DUMMYFUNCTION("""COMPUTED_VALUE"""),"FIP Engineering")</f>
        <v>FIP Engineering</v>
      </c>
      <c r="O4502" s="6" t="str">
        <f>IFERROR(__xludf.DUMMYFUNCTION("""COMPUTED_VALUE"""),"FIP-DOM-000-11304-OS00001-INA-000000")</f>
        <v>FIP-DOM-000-11304-OS00001-INA-000000</v>
      </c>
      <c r="P4502" s="6" t="str">
        <f>IFERROR(__xludf.DUMMYFUNCTION("""COMPUTED_VALUE"""),"PO Closed")</f>
        <v>PO Closed</v>
      </c>
      <c r="Q4502" s="6" t="str">
        <f>IFERROR(__xludf.DUMMYFUNCTION("""COMPUTED_VALUE"""),"GL2510031")</f>
        <v>GL2510031</v>
      </c>
      <c r="R4502" s="57">
        <f>IFERROR(__xludf.DUMMYFUNCTION("""COMPUTED_VALUE"""),45944.0)</f>
        <v>45944</v>
      </c>
      <c r="S4502" s="57">
        <f>IFERROR(__xludf.DUMMYFUNCTION("""COMPUTED_VALUE"""),45944.0)</f>
        <v>45944</v>
      </c>
      <c r="T4502" s="57">
        <f>IFERROR(__xludf.DUMMYFUNCTION("""COMPUTED_VALUE"""),46096.0)</f>
        <v>46096</v>
      </c>
    </row>
    <row r="4503">
      <c r="A4503" s="6" t="str">
        <f>IFERROR(__xludf.DUMMYFUNCTION("""COMPUTED_VALUE"""),"121703344-3")</f>
        <v>121703344-3</v>
      </c>
      <c r="B4503" s="6" t="str">
        <f>IFERROR(__xludf.DUMMYFUNCTION("""COMPUTED_VALUE"""),"121703344 - APPROVED")</f>
        <v>121703344 - APPROVED</v>
      </c>
      <c r="C4503" s="6">
        <f>IFERROR(__xludf.DUMMYFUNCTION("""COMPUTED_VALUE"""),3.0)</f>
        <v>3</v>
      </c>
      <c r="D4503" s="6" t="str">
        <f>IFERROR(__xludf.DUMMYFUNCTION("""COMPUTED_VALUE"""),"P-52696-00")</f>
        <v>P-52696-00</v>
      </c>
      <c r="E4503" s="6" t="str">
        <f>IFERROR(__xludf.DUMMYFUNCTION("""COMPUTED_VALUE"""),"ORP Cable Type: 202990/02; JUMO; ;")</f>
        <v>ORP Cable Type: 202990/02; JUMO; ;</v>
      </c>
      <c r="F4503" s="6">
        <f>IFERROR(__xludf.DUMMYFUNCTION("""COMPUTED_VALUE"""),1.0)</f>
        <v>1</v>
      </c>
      <c r="G4503" s="6" t="str">
        <f>IFERROR(__xludf.DUMMYFUNCTION("""COMPUTED_VALUE"""),"Pieces")</f>
        <v>Pieces</v>
      </c>
      <c r="H4503" s="6" t="str">
        <f>IFERROR(__xludf.DUMMYFUNCTION("""COMPUTED_VALUE"""),"IDR")</f>
        <v>IDR</v>
      </c>
      <c r="I4503" s="6">
        <f>IFERROR(__xludf.DUMMYFUNCTION("""COMPUTED_VALUE"""),1600000.0)</f>
        <v>1600000</v>
      </c>
      <c r="J4503" s="6">
        <f>IFERROR(__xludf.DUMMYFUNCTION("""COMPUTED_VALUE"""),1600000.0)</f>
        <v>1600000</v>
      </c>
      <c r="K4503" s="57">
        <f>IFERROR(__xludf.DUMMYFUNCTION("""COMPUTED_VALUE"""),46010.0)</f>
        <v>46010</v>
      </c>
      <c r="L4503" s="6" t="str">
        <f>IFERROR(__xludf.DUMMYFUNCTION("""COMPUTED_VALUE"""),"FIP Engineering")</f>
        <v>FIP Engineering</v>
      </c>
      <c r="M4503" s="6" t="str">
        <f>IFERROR(__xludf.DUMMYFUNCTION("""COMPUTED_VALUE"""),"Mochammad Fadhillah Hakim,")</f>
        <v>Mochammad Fadhillah Hakim,</v>
      </c>
      <c r="N4503" s="6" t="str">
        <f>IFERROR(__xludf.DUMMYFUNCTION("""COMPUTED_VALUE"""),"FIP Engineering")</f>
        <v>FIP Engineering</v>
      </c>
      <c r="O4503" s="6" t="str">
        <f>IFERROR(__xludf.DUMMYFUNCTION("""COMPUTED_VALUE"""),"FIP-DOM-000-11304-OS00001-INA-000000")</f>
        <v>FIP-DOM-000-11304-OS00001-INA-000000</v>
      </c>
      <c r="P4503" s="6" t="str">
        <f>IFERROR(__xludf.DUMMYFUNCTION("""COMPUTED_VALUE"""),"PO Closed")</f>
        <v>PO Closed</v>
      </c>
      <c r="Q4503" s="6" t="str">
        <f>IFERROR(__xludf.DUMMYFUNCTION("""COMPUTED_VALUE"""),"GL2510031")</f>
        <v>GL2510031</v>
      </c>
      <c r="R4503" s="57">
        <f>IFERROR(__xludf.DUMMYFUNCTION("""COMPUTED_VALUE"""),45944.0)</f>
        <v>45944</v>
      </c>
      <c r="S4503" s="57">
        <f>IFERROR(__xludf.DUMMYFUNCTION("""COMPUTED_VALUE"""),45944.0)</f>
        <v>45944</v>
      </c>
      <c r="T4503" s="57">
        <f>IFERROR(__xludf.DUMMYFUNCTION("""COMPUTED_VALUE"""),46096.0)</f>
        <v>46096</v>
      </c>
    </row>
    <row r="4504">
      <c r="A4504" s="6" t="str">
        <f>IFERROR(__xludf.DUMMYFUNCTION("""COMPUTED_VALUE"""),"121703347-1")</f>
        <v>121703347-1</v>
      </c>
      <c r="B4504" s="6" t="str">
        <f>IFERROR(__xludf.DUMMYFUNCTION("""COMPUTED_VALUE"""),"121703347 - APPROVED")</f>
        <v>121703347 - APPROVED</v>
      </c>
      <c r="C4504" s="6">
        <f>IFERROR(__xludf.DUMMYFUNCTION("""COMPUTED_VALUE"""),1.0)</f>
        <v>1</v>
      </c>
      <c r="D4504" s="6" t="str">
        <f>IFERROR(__xludf.DUMMYFUNCTION("""COMPUTED_VALUE"""),"P-20233-00")</f>
        <v>P-20233-00</v>
      </c>
      <c r="E4504" s="6" t="str">
        <f>IFERROR(__xludf.DUMMYFUNCTION("""COMPUTED_VALUE"""),"General - Baut + Mur Tembaga M10 x 20 Kunci 17; No Brand; -; 20pcs/pack")</f>
        <v>General - Baut + Mur Tembaga M10 x 20 Kunci 17; No Brand; -; 20pcs/pack</v>
      </c>
      <c r="F4504" s="6">
        <f>IFERROR(__xludf.DUMMYFUNCTION("""COMPUTED_VALUE"""),1.0)</f>
        <v>1</v>
      </c>
      <c r="G4504" s="6" t="str">
        <f>IFERROR(__xludf.DUMMYFUNCTION("""COMPUTED_VALUE"""),"Pack")</f>
        <v>Pack</v>
      </c>
      <c r="H4504" s="6" t="str">
        <f>IFERROR(__xludf.DUMMYFUNCTION("""COMPUTED_VALUE"""),"IDR")</f>
        <v>IDR</v>
      </c>
      <c r="I4504" s="6">
        <f>IFERROR(__xludf.DUMMYFUNCTION("""COMPUTED_VALUE"""),85000.0)</f>
        <v>85000</v>
      </c>
      <c r="J4504" s="6">
        <f>IFERROR(__xludf.DUMMYFUNCTION("""COMPUTED_VALUE"""),85000.0)</f>
        <v>85000</v>
      </c>
      <c r="K4504" s="57">
        <f>IFERROR(__xludf.DUMMYFUNCTION("""COMPUTED_VALUE"""),45975.0)</f>
        <v>45975</v>
      </c>
      <c r="L4504" s="6" t="str">
        <f>IFERROR(__xludf.DUMMYFUNCTION("""COMPUTED_VALUE"""),"FIP Engineering")</f>
        <v>FIP Engineering</v>
      </c>
      <c r="M4504" s="6" t="str">
        <f>IFERROR(__xludf.DUMMYFUNCTION("""COMPUTED_VALUE"""),"Mochammad Fadhillah Hakim,")</f>
        <v>Mochammad Fadhillah Hakim,</v>
      </c>
      <c r="N4504" s="6" t="str">
        <f>IFERROR(__xludf.DUMMYFUNCTION("""COMPUTED_VALUE"""),"FIP Engineering")</f>
        <v>FIP Engineering</v>
      </c>
      <c r="O4504" s="6" t="str">
        <f>IFERROR(__xludf.DUMMYFUNCTION("""COMPUTED_VALUE"""),"FIP-DOM-000-11304-OS00001-INA-000000")</f>
        <v>FIP-DOM-000-11304-OS00001-INA-000000</v>
      </c>
      <c r="P4504" s="6" t="str">
        <f>IFERROR(__xludf.DUMMYFUNCTION("""COMPUTED_VALUE"""),"PO Closed")</f>
        <v>PO Closed</v>
      </c>
      <c r="Q4504" s="6" t="str">
        <f>IFERROR(__xludf.DUMMYFUNCTION("""COMPUTED_VALUE"""),"GL2510495")</f>
        <v>GL2510495</v>
      </c>
      <c r="R4504" s="57">
        <f>IFERROR(__xludf.DUMMYFUNCTION("""COMPUTED_VALUE"""),45944.0)</f>
        <v>45944</v>
      </c>
      <c r="S4504" s="57">
        <f>IFERROR(__xludf.DUMMYFUNCTION("""COMPUTED_VALUE"""),45944.0)</f>
        <v>45944</v>
      </c>
      <c r="T4504" s="57">
        <f>IFERROR(__xludf.DUMMYFUNCTION("""COMPUTED_VALUE"""),45971.0)</f>
        <v>45971</v>
      </c>
    </row>
    <row r="4505">
      <c r="A4505" s="6" t="str">
        <f>IFERROR(__xludf.DUMMYFUNCTION("""COMPUTED_VALUE"""),"121703347-2")</f>
        <v>121703347-2</v>
      </c>
      <c r="B4505" s="6" t="str">
        <f>IFERROR(__xludf.DUMMYFUNCTION("""COMPUTED_VALUE"""),"121703347 - APPROVED")</f>
        <v>121703347 - APPROVED</v>
      </c>
      <c r="C4505" s="6">
        <f>IFERROR(__xludf.DUMMYFUNCTION("""COMPUTED_VALUE"""),2.0)</f>
        <v>2</v>
      </c>
      <c r="D4505" s="6" t="str">
        <f>IFERROR(__xludf.DUMMYFUNCTION("""COMPUTED_VALUE"""),"P-20236-00")</f>
        <v>P-20236-00</v>
      </c>
      <c r="E4505" s="6" t="str">
        <f>IFERROR(__xludf.DUMMYFUNCTION("""COMPUTED_VALUE"""),"General - Tee Reducer PVC 2 x 3/4inch; Rucika; -; 1 pc")</f>
        <v>General - Tee Reducer PVC 2 x 3/4inch; Rucika; -; 1 pc</v>
      </c>
      <c r="F4505" s="6">
        <f>IFERROR(__xludf.DUMMYFUNCTION("""COMPUTED_VALUE"""),3.0)</f>
        <v>3</v>
      </c>
      <c r="G4505" s="6" t="str">
        <f>IFERROR(__xludf.DUMMYFUNCTION("""COMPUTED_VALUE"""),"Pieces")</f>
        <v>Pieces</v>
      </c>
      <c r="H4505" s="6" t="str">
        <f>IFERROR(__xludf.DUMMYFUNCTION("""COMPUTED_VALUE"""),"IDR")</f>
        <v>IDR</v>
      </c>
      <c r="I4505" s="6">
        <f>IFERROR(__xludf.DUMMYFUNCTION("""COMPUTED_VALUE"""),30000.0)</f>
        <v>30000</v>
      </c>
      <c r="J4505" s="6">
        <f>IFERROR(__xludf.DUMMYFUNCTION("""COMPUTED_VALUE"""),90000.0)</f>
        <v>90000</v>
      </c>
      <c r="K4505" s="57">
        <f>IFERROR(__xludf.DUMMYFUNCTION("""COMPUTED_VALUE"""),45975.0)</f>
        <v>45975</v>
      </c>
      <c r="L4505" s="6" t="str">
        <f>IFERROR(__xludf.DUMMYFUNCTION("""COMPUTED_VALUE"""),"FIP Engineering")</f>
        <v>FIP Engineering</v>
      </c>
      <c r="M4505" s="6" t="str">
        <f>IFERROR(__xludf.DUMMYFUNCTION("""COMPUTED_VALUE"""),"Mochammad Fadhillah Hakim,")</f>
        <v>Mochammad Fadhillah Hakim,</v>
      </c>
      <c r="N4505" s="6" t="str">
        <f>IFERROR(__xludf.DUMMYFUNCTION("""COMPUTED_VALUE"""),"FIP Engineering")</f>
        <v>FIP Engineering</v>
      </c>
      <c r="O4505" s="6" t="str">
        <f>IFERROR(__xludf.DUMMYFUNCTION("""COMPUTED_VALUE"""),"FIP-DOM-000-11304-OS00001-INA-000000")</f>
        <v>FIP-DOM-000-11304-OS00001-INA-000000</v>
      </c>
      <c r="P4505" s="6" t="str">
        <f>IFERROR(__xludf.DUMMYFUNCTION("""COMPUTED_VALUE"""),"PO Closed")</f>
        <v>PO Closed</v>
      </c>
      <c r="Q4505" s="6" t="str">
        <f>IFERROR(__xludf.DUMMYFUNCTION("""COMPUTED_VALUE"""),"GL2510041")</f>
        <v>GL2510041</v>
      </c>
      <c r="R4505" s="57">
        <f>IFERROR(__xludf.DUMMYFUNCTION("""COMPUTED_VALUE"""),45944.0)</f>
        <v>45944</v>
      </c>
      <c r="S4505" s="57">
        <f>IFERROR(__xludf.DUMMYFUNCTION("""COMPUTED_VALUE"""),45944.0)</f>
        <v>45944</v>
      </c>
      <c r="T4505" s="57">
        <f>IFERROR(__xludf.DUMMYFUNCTION("""COMPUTED_VALUE"""),45978.0)</f>
        <v>45978</v>
      </c>
    </row>
    <row r="4506">
      <c r="A4506" s="6" t="str">
        <f>IFERROR(__xludf.DUMMYFUNCTION("""COMPUTED_VALUE"""),"121703347-3")</f>
        <v>121703347-3</v>
      </c>
      <c r="B4506" s="6" t="str">
        <f>IFERROR(__xludf.DUMMYFUNCTION("""COMPUTED_VALUE"""),"121703347 - APPROVED")</f>
        <v>121703347 - APPROVED</v>
      </c>
      <c r="C4506" s="6">
        <f>IFERROR(__xludf.DUMMYFUNCTION("""COMPUTED_VALUE"""),3.0)</f>
        <v>3</v>
      </c>
      <c r="D4506" s="6" t="str">
        <f>IFERROR(__xludf.DUMMYFUNCTION("""COMPUTED_VALUE"""),"P-20252-00")</f>
        <v>P-20252-00</v>
      </c>
      <c r="E4506" s="6" t="str">
        <f>IFERROR(__xludf.DUMMYFUNCTION("""COMPUTED_VALUE"""),"General - Pressure Gauge Range 0-6 Bar Conn 1/2inch; Sika; MREM32107500G; 1 pc")</f>
        <v>General - Pressure Gauge Range 0-6 Bar Conn 1/2inch; Sika; MREM32107500G; 1 pc</v>
      </c>
      <c r="F4506" s="6">
        <f>IFERROR(__xludf.DUMMYFUNCTION("""COMPUTED_VALUE"""),1.0)</f>
        <v>1</v>
      </c>
      <c r="G4506" s="6" t="str">
        <f>IFERROR(__xludf.DUMMYFUNCTION("""COMPUTED_VALUE"""),"Pieces")</f>
        <v>Pieces</v>
      </c>
      <c r="H4506" s="6" t="str">
        <f>IFERROR(__xludf.DUMMYFUNCTION("""COMPUTED_VALUE"""),"IDR")</f>
        <v>IDR</v>
      </c>
      <c r="I4506" s="6">
        <f>IFERROR(__xludf.DUMMYFUNCTION("""COMPUTED_VALUE"""),1450000.0)</f>
        <v>1450000</v>
      </c>
      <c r="J4506" s="6">
        <f>IFERROR(__xludf.DUMMYFUNCTION("""COMPUTED_VALUE"""),1450000.0)</f>
        <v>1450000</v>
      </c>
      <c r="K4506" s="57">
        <f>IFERROR(__xludf.DUMMYFUNCTION("""COMPUTED_VALUE"""),45975.0)</f>
        <v>45975</v>
      </c>
      <c r="L4506" s="6" t="str">
        <f>IFERROR(__xludf.DUMMYFUNCTION("""COMPUTED_VALUE"""),"FIP Engineering")</f>
        <v>FIP Engineering</v>
      </c>
      <c r="M4506" s="6" t="str">
        <f>IFERROR(__xludf.DUMMYFUNCTION("""COMPUTED_VALUE"""),"Mochammad Fadhillah Hakim,")</f>
        <v>Mochammad Fadhillah Hakim,</v>
      </c>
      <c r="N4506" s="6" t="str">
        <f>IFERROR(__xludf.DUMMYFUNCTION("""COMPUTED_VALUE"""),"FIP Engineering")</f>
        <v>FIP Engineering</v>
      </c>
      <c r="O4506" s="6" t="str">
        <f>IFERROR(__xludf.DUMMYFUNCTION("""COMPUTED_VALUE"""),"FIP-DOM-000-11304-OS00001-INA-000000")</f>
        <v>FIP-DOM-000-11304-OS00001-INA-000000</v>
      </c>
      <c r="P4506" s="6" t="str">
        <f>IFERROR(__xludf.DUMMYFUNCTION("""COMPUTED_VALUE"""),"PO Closed")</f>
        <v>PO Closed</v>
      </c>
      <c r="Q4506" s="6" t="str">
        <f>IFERROR(__xludf.DUMMYFUNCTION("""COMPUTED_VALUE"""),"GL2510495")</f>
        <v>GL2510495</v>
      </c>
      <c r="R4506" s="57">
        <f>IFERROR(__xludf.DUMMYFUNCTION("""COMPUTED_VALUE"""),45944.0)</f>
        <v>45944</v>
      </c>
      <c r="S4506" s="57">
        <f>IFERROR(__xludf.DUMMYFUNCTION("""COMPUTED_VALUE"""),45944.0)</f>
        <v>45944</v>
      </c>
      <c r="T4506" s="57">
        <f>IFERROR(__xludf.DUMMYFUNCTION("""COMPUTED_VALUE"""),45971.0)</f>
        <v>45971</v>
      </c>
    </row>
    <row r="4507">
      <c r="A4507" s="6" t="str">
        <f>IFERROR(__xludf.DUMMYFUNCTION("""COMPUTED_VALUE"""),"121703348-1")</f>
        <v>121703348-1</v>
      </c>
      <c r="B4507" s="6" t="str">
        <f>IFERROR(__xludf.DUMMYFUNCTION("""COMPUTED_VALUE"""),"121703348 - APPROVED")</f>
        <v>121703348 - APPROVED</v>
      </c>
      <c r="C4507" s="6">
        <f>IFERROR(__xludf.DUMMYFUNCTION("""COMPUTED_VALUE"""),1.0)</f>
        <v>1</v>
      </c>
      <c r="D4507" s="6" t="str">
        <f>IFERROR(__xludf.DUMMYFUNCTION("""COMPUTED_VALUE"""),"Q-50025-00")</f>
        <v>Q-50025-00</v>
      </c>
      <c r="E4507" s="6" t="str">
        <f>IFERROR(__xludf.DUMMYFUNCTION("""COMPUTED_VALUE"""),"Flush Bolt 370mm; Dekkson; FB SQ 501; pc")</f>
        <v>Flush Bolt 370mm; Dekkson; FB SQ 501; pc</v>
      </c>
      <c r="F4507" s="6">
        <f>IFERROR(__xludf.DUMMYFUNCTION("""COMPUTED_VALUE"""),2.0)</f>
        <v>2</v>
      </c>
      <c r="G4507" s="6" t="str">
        <f>IFERROR(__xludf.DUMMYFUNCTION("""COMPUTED_VALUE"""),"Pieces")</f>
        <v>Pieces</v>
      </c>
      <c r="H4507" s="6" t="str">
        <f>IFERROR(__xludf.DUMMYFUNCTION("""COMPUTED_VALUE"""),"IDR")</f>
        <v>IDR</v>
      </c>
      <c r="I4507" s="6">
        <f>IFERROR(__xludf.DUMMYFUNCTION("""COMPUTED_VALUE"""),135000.0)</f>
        <v>135000</v>
      </c>
      <c r="J4507" s="6">
        <f>IFERROR(__xludf.DUMMYFUNCTION("""COMPUTED_VALUE"""),270000.0)</f>
        <v>270000</v>
      </c>
      <c r="K4507" s="57">
        <f>IFERROR(__xludf.DUMMYFUNCTION("""COMPUTED_VALUE"""),45975.0)</f>
        <v>45975</v>
      </c>
      <c r="L4507" s="6" t="str">
        <f>IFERROR(__xludf.DUMMYFUNCTION("""COMPUTED_VALUE"""),"FIP General")</f>
        <v>FIP General</v>
      </c>
      <c r="M4507" s="6" t="str">
        <f>IFERROR(__xludf.DUMMYFUNCTION("""COMPUTED_VALUE"""),"Mochammad Fadhillah Hakim,")</f>
        <v>Mochammad Fadhillah Hakim,</v>
      </c>
      <c r="N4507" s="6" t="str">
        <f>IFERROR(__xludf.DUMMYFUNCTION("""COMPUTED_VALUE"""),"FIP Engineering")</f>
        <v>FIP Engineering</v>
      </c>
      <c r="O4507" s="6" t="str">
        <f>IFERROR(__xludf.DUMMYFUNCTION("""COMPUTED_VALUE"""),"FIP-DOM-ENG-51502-0000000-INA-000000")</f>
        <v>FIP-DOM-ENG-51502-0000000-INA-000000</v>
      </c>
      <c r="P4507" s="6" t="str">
        <f>IFERROR(__xludf.DUMMYFUNCTION("""COMPUTED_VALUE"""),"PO Closed")</f>
        <v>PO Closed</v>
      </c>
      <c r="Q4507" s="6" t="str">
        <f>IFERROR(__xludf.DUMMYFUNCTION("""COMPUTED_VALUE"""),"GL2511001")</f>
        <v>GL2511001</v>
      </c>
      <c r="R4507" s="57">
        <f>IFERROR(__xludf.DUMMYFUNCTION("""COMPUTED_VALUE"""),45944.0)</f>
        <v>45944</v>
      </c>
      <c r="S4507" s="57">
        <f>IFERROR(__xludf.DUMMYFUNCTION("""COMPUTED_VALUE"""),45944.0)</f>
        <v>45944</v>
      </c>
      <c r="T4507" s="57">
        <f>IFERROR(__xludf.DUMMYFUNCTION("""COMPUTED_VALUE"""),45981.0)</f>
        <v>45981</v>
      </c>
    </row>
    <row r="4508">
      <c r="A4508" s="6" t="str">
        <f>IFERROR(__xludf.DUMMYFUNCTION("""COMPUTED_VALUE"""),"121703348-2")</f>
        <v>121703348-2</v>
      </c>
      <c r="B4508" s="6" t="str">
        <f>IFERROR(__xludf.DUMMYFUNCTION("""COMPUTED_VALUE"""),"121703348 - APPROVED")</f>
        <v>121703348 - APPROVED</v>
      </c>
      <c r="C4508" s="6">
        <f>IFERROR(__xludf.DUMMYFUNCTION("""COMPUTED_VALUE"""),2.0)</f>
        <v>2</v>
      </c>
      <c r="D4508" s="6" t="str">
        <f>IFERROR(__xludf.DUMMYFUNCTION("""COMPUTED_VALUE"""),"Q-60340-00")</f>
        <v>Q-60340-00</v>
      </c>
      <c r="E4508" s="6" t="str">
        <f>IFERROR(__xludf.DUMMYFUNCTION("""COMPUTED_VALUE"""),"Cat Semprot Chrome Stainless 360ml; No Brand; ; can")</f>
        <v>Cat Semprot Chrome Stainless 360ml; No Brand; ; can</v>
      </c>
      <c r="F4508" s="6">
        <f>IFERROR(__xludf.DUMMYFUNCTION("""COMPUTED_VALUE"""),1.0)</f>
        <v>1</v>
      </c>
      <c r="G4508" s="6" t="str">
        <f>IFERROR(__xludf.DUMMYFUNCTION("""COMPUTED_VALUE"""),"Can")</f>
        <v>Can</v>
      </c>
      <c r="H4508" s="6" t="str">
        <f>IFERROR(__xludf.DUMMYFUNCTION("""COMPUTED_VALUE"""),"IDR")</f>
        <v>IDR</v>
      </c>
      <c r="I4508" s="6">
        <f>IFERROR(__xludf.DUMMYFUNCTION("""COMPUTED_VALUE"""),65000.0)</f>
        <v>65000</v>
      </c>
      <c r="J4508" s="6">
        <f>IFERROR(__xludf.DUMMYFUNCTION("""COMPUTED_VALUE"""),65000.0)</f>
        <v>65000</v>
      </c>
      <c r="K4508" s="57">
        <f>IFERROR(__xludf.DUMMYFUNCTION("""COMPUTED_VALUE"""),45975.0)</f>
        <v>45975</v>
      </c>
      <c r="L4508" s="6" t="str">
        <f>IFERROR(__xludf.DUMMYFUNCTION("""COMPUTED_VALUE"""),"FIP General")</f>
        <v>FIP General</v>
      </c>
      <c r="M4508" s="6" t="str">
        <f>IFERROR(__xludf.DUMMYFUNCTION("""COMPUTED_VALUE"""),"Mochammad Fadhillah Hakim,")</f>
        <v>Mochammad Fadhillah Hakim,</v>
      </c>
      <c r="N4508" s="6" t="str">
        <f>IFERROR(__xludf.DUMMYFUNCTION("""COMPUTED_VALUE"""),"FIP Engineering")</f>
        <v>FIP Engineering</v>
      </c>
      <c r="O4508" s="6" t="str">
        <f>IFERROR(__xludf.DUMMYFUNCTION("""COMPUTED_VALUE"""),"FIP-DOM-ENG-51502-0000000-INA-000000")</f>
        <v>FIP-DOM-ENG-51502-0000000-INA-000000</v>
      </c>
      <c r="P4508" s="6" t="str">
        <f>IFERROR(__xludf.DUMMYFUNCTION("""COMPUTED_VALUE"""),"PO Closed")</f>
        <v>PO Closed</v>
      </c>
      <c r="Q4508" s="6" t="str">
        <f>IFERROR(__xludf.DUMMYFUNCTION("""COMPUTED_VALUE"""),"GL2511001")</f>
        <v>GL2511001</v>
      </c>
      <c r="R4508" s="57">
        <f>IFERROR(__xludf.DUMMYFUNCTION("""COMPUTED_VALUE"""),45944.0)</f>
        <v>45944</v>
      </c>
      <c r="S4508" s="57">
        <f>IFERROR(__xludf.DUMMYFUNCTION("""COMPUTED_VALUE"""),45944.0)</f>
        <v>45944</v>
      </c>
      <c r="T4508" s="57">
        <f>IFERROR(__xludf.DUMMYFUNCTION("""COMPUTED_VALUE"""),45981.0)</f>
        <v>45981</v>
      </c>
    </row>
    <row r="4509">
      <c r="A4509" s="6" t="str">
        <f>IFERROR(__xludf.DUMMYFUNCTION("""COMPUTED_VALUE"""),"121703349-1")</f>
        <v>121703349-1</v>
      </c>
      <c r="B4509" s="6" t="str">
        <f>IFERROR(__xludf.DUMMYFUNCTION("""COMPUTED_VALUE"""),"121703349 - APPROVED")</f>
        <v>121703349 - APPROVED</v>
      </c>
      <c r="C4509" s="6">
        <f>IFERROR(__xludf.DUMMYFUNCTION("""COMPUTED_VALUE"""),1.0)</f>
        <v>1</v>
      </c>
      <c r="D4509" s="6" t="str">
        <f>IFERROR(__xludf.DUMMYFUNCTION("""COMPUTED_VALUE"""),"T-12348-00")</f>
        <v>T-12348-00</v>
      </c>
      <c r="E4509" s="6" t="str">
        <f>IFERROR(__xludf.DUMMYFUNCTION("""COMPUTED_VALUE"""),"Kabel Power CPU Cord 1,5m; ; ;")</f>
        <v>Kabel Power CPU Cord 1,5m; ; ;</v>
      </c>
      <c r="F4509" s="6">
        <f>IFERROR(__xludf.DUMMYFUNCTION("""COMPUTED_VALUE"""),2.0)</f>
        <v>2</v>
      </c>
      <c r="G4509" s="6" t="str">
        <f>IFERROR(__xludf.DUMMYFUNCTION("""COMPUTED_VALUE"""),"Pieces")</f>
        <v>Pieces</v>
      </c>
      <c r="H4509" s="6" t="str">
        <f>IFERROR(__xludf.DUMMYFUNCTION("""COMPUTED_VALUE"""),"IDR")</f>
        <v>IDR</v>
      </c>
      <c r="I4509" s="6">
        <f>IFERROR(__xludf.DUMMYFUNCTION("""COMPUTED_VALUE"""),135000.0)</f>
        <v>135000</v>
      </c>
      <c r="J4509" s="6">
        <f>IFERROR(__xludf.DUMMYFUNCTION("""COMPUTED_VALUE"""),270000.0)</f>
        <v>270000</v>
      </c>
      <c r="K4509" s="57">
        <f>IFERROR(__xludf.DUMMYFUNCTION("""COMPUTED_VALUE"""),45975.0)</f>
        <v>45975</v>
      </c>
      <c r="L4509" s="6" t="str">
        <f>IFERROR(__xludf.DUMMYFUNCTION("""COMPUTED_VALUE"""),"FIP General")</f>
        <v>FIP General</v>
      </c>
      <c r="M4509" s="6" t="str">
        <f>IFERROR(__xludf.DUMMYFUNCTION("""COMPUTED_VALUE"""),"Mochammad Fadhillah Hakim,")</f>
        <v>Mochammad Fadhillah Hakim,</v>
      </c>
      <c r="N4509" s="6" t="str">
        <f>IFERROR(__xludf.DUMMYFUNCTION("""COMPUTED_VALUE"""),"FIP Engineering")</f>
        <v>FIP Engineering</v>
      </c>
      <c r="O4509" s="6" t="str">
        <f>IFERROR(__xludf.DUMMYFUNCTION("""COMPUTED_VALUE"""),"FIP-DOM-ENG-51505-0000000-INA-000000")</f>
        <v>FIP-DOM-ENG-51505-0000000-INA-000000</v>
      </c>
      <c r="P4509" s="6" t="str">
        <f>IFERROR(__xludf.DUMMYFUNCTION("""COMPUTED_VALUE"""),"PO Closed")</f>
        <v>PO Closed</v>
      </c>
      <c r="Q4509" s="6" t="str">
        <f>IFERROR(__xludf.DUMMYFUNCTION("""COMPUTED_VALUE"""),"GL2511010")</f>
        <v>GL2511010</v>
      </c>
      <c r="R4509" s="57">
        <f>IFERROR(__xludf.DUMMYFUNCTION("""COMPUTED_VALUE"""),45944.0)</f>
        <v>45944</v>
      </c>
      <c r="S4509" s="57">
        <f>IFERROR(__xludf.DUMMYFUNCTION("""COMPUTED_VALUE"""),45944.0)</f>
        <v>45944</v>
      </c>
      <c r="T4509" s="57">
        <f>IFERROR(__xludf.DUMMYFUNCTION("""COMPUTED_VALUE"""),45975.0)</f>
        <v>45975</v>
      </c>
    </row>
    <row r="4510">
      <c r="A4510" s="6" t="str">
        <f>IFERROR(__xludf.DUMMYFUNCTION("""COMPUTED_VALUE"""),"121703350-1")</f>
        <v>121703350-1</v>
      </c>
      <c r="B4510" s="6" t="str">
        <f>IFERROR(__xludf.DUMMYFUNCTION("""COMPUTED_VALUE"""),"121703350 - APPROVED")</f>
        <v>121703350 - APPROVED</v>
      </c>
      <c r="C4510" s="6">
        <f>IFERROR(__xludf.DUMMYFUNCTION("""COMPUTED_VALUE"""),1.0)</f>
        <v>1</v>
      </c>
      <c r="D4510" s="6" t="str">
        <f>IFERROR(__xludf.DUMMYFUNCTION("""COMPUTED_VALUE"""),"P-11348-00")</f>
        <v>P-11348-00</v>
      </c>
      <c r="E4510" s="6" t="str">
        <f>IFERROR(__xludf.DUMMYFUNCTION("""COMPUTED_VALUE"""),"Roda Caster Supo Dia : 3"" ( 75 x 38 mm) / Swivel Flange / With Breake")</f>
        <v>Roda Caster Supo Dia : 3" ( 75 x 38 mm) / Swivel Flange / With Breake</v>
      </c>
      <c r="F4510" s="6">
        <f>IFERROR(__xludf.DUMMYFUNCTION("""COMPUTED_VALUE"""),8.0)</f>
        <v>8</v>
      </c>
      <c r="G4510" s="6" t="str">
        <f>IFERROR(__xludf.DUMMYFUNCTION("""COMPUTED_VALUE"""),"Pieces")</f>
        <v>Pieces</v>
      </c>
      <c r="H4510" s="6" t="str">
        <f>IFERROR(__xludf.DUMMYFUNCTION("""COMPUTED_VALUE"""),"IDR")</f>
        <v>IDR</v>
      </c>
      <c r="I4510" s="6">
        <f>IFERROR(__xludf.DUMMYFUNCTION("""COMPUTED_VALUE"""),268500.0)</f>
        <v>268500</v>
      </c>
      <c r="J4510" s="6">
        <f>IFERROR(__xludf.DUMMYFUNCTION("""COMPUTED_VALUE"""),2148000.0)</f>
        <v>2148000</v>
      </c>
      <c r="K4510" s="57">
        <f>IFERROR(__xludf.DUMMYFUNCTION("""COMPUTED_VALUE"""),45975.0)</f>
        <v>45975</v>
      </c>
      <c r="L4510" s="6" t="str">
        <f>IFERROR(__xludf.DUMMYFUNCTION("""COMPUTED_VALUE"""),"FIP Engineering")</f>
        <v>FIP Engineering</v>
      </c>
      <c r="M4510" s="6" t="str">
        <f>IFERROR(__xludf.DUMMYFUNCTION("""COMPUTED_VALUE"""),"Mochammad Fadhillah Hakim,")</f>
        <v>Mochammad Fadhillah Hakim,</v>
      </c>
      <c r="N4510" s="6" t="str">
        <f>IFERROR(__xludf.DUMMYFUNCTION("""COMPUTED_VALUE"""),"FIP Engineering")</f>
        <v>FIP Engineering</v>
      </c>
      <c r="O4510" s="6" t="str">
        <f>IFERROR(__xludf.DUMMYFUNCTION("""COMPUTED_VALUE"""),"FIP-DOM-000-11304-OS00001-INA-000000")</f>
        <v>FIP-DOM-000-11304-OS00001-INA-000000</v>
      </c>
      <c r="P4510" s="6" t="str">
        <f>IFERROR(__xludf.DUMMYFUNCTION("""COMPUTED_VALUE"""),"PO Closed")</f>
        <v>PO Closed</v>
      </c>
      <c r="Q4510" s="6" t="str">
        <f>IFERROR(__xludf.DUMMYFUNCTION("""COMPUTED_VALUE"""),"GL2511309")</f>
        <v>GL2511309</v>
      </c>
      <c r="R4510" s="57">
        <f>IFERROR(__xludf.DUMMYFUNCTION("""COMPUTED_VALUE"""),45944.0)</f>
        <v>45944</v>
      </c>
      <c r="S4510" s="57">
        <f>IFERROR(__xludf.DUMMYFUNCTION("""COMPUTED_VALUE"""),45944.0)</f>
        <v>45944</v>
      </c>
      <c r="T4510" s="57">
        <f>IFERROR(__xludf.DUMMYFUNCTION("""COMPUTED_VALUE"""),45989.0)</f>
        <v>45989</v>
      </c>
    </row>
    <row r="4511">
      <c r="A4511" s="6" t="str">
        <f>IFERROR(__xludf.DUMMYFUNCTION("""COMPUTED_VALUE"""),"121703350-2")</f>
        <v>121703350-2</v>
      </c>
      <c r="B4511" s="6" t="str">
        <f>IFERROR(__xludf.DUMMYFUNCTION("""COMPUTED_VALUE"""),"121703350 - APPROVED")</f>
        <v>121703350 - APPROVED</v>
      </c>
      <c r="C4511" s="6">
        <f>IFERROR(__xludf.DUMMYFUNCTION("""COMPUTED_VALUE"""),2.0)</f>
        <v>2</v>
      </c>
      <c r="D4511" s="6" t="str">
        <f>IFERROR(__xludf.DUMMYFUNCTION("""COMPUTED_VALUE"""),"P-19080-00")</f>
        <v>P-19080-00</v>
      </c>
      <c r="E4511" s="6" t="str">
        <f>IFERROR(__xludf.DUMMYFUNCTION("""COMPUTED_VALUE"""),"Cabel Tie Mount 30 x 30 mm; Sigma; ;")</f>
        <v>Cabel Tie Mount 30 x 30 mm; Sigma; ;</v>
      </c>
      <c r="F4511" s="6">
        <f>IFERROR(__xludf.DUMMYFUNCTION("""COMPUTED_VALUE"""),2.0)</f>
        <v>2</v>
      </c>
      <c r="G4511" s="6" t="str">
        <f>IFERROR(__xludf.DUMMYFUNCTION("""COMPUTED_VALUE"""),"Pieces")</f>
        <v>Pieces</v>
      </c>
      <c r="H4511" s="6" t="str">
        <f>IFERROR(__xludf.DUMMYFUNCTION("""COMPUTED_VALUE"""),"IDR")</f>
        <v>IDR</v>
      </c>
      <c r="I4511" s="6">
        <f>IFERROR(__xludf.DUMMYFUNCTION("""COMPUTED_VALUE"""),120000.0)</f>
        <v>120000</v>
      </c>
      <c r="J4511" s="6">
        <f>IFERROR(__xludf.DUMMYFUNCTION("""COMPUTED_VALUE"""),240000.0)</f>
        <v>240000</v>
      </c>
      <c r="K4511" s="57">
        <f>IFERROR(__xludf.DUMMYFUNCTION("""COMPUTED_VALUE"""),45975.0)</f>
        <v>45975</v>
      </c>
      <c r="L4511" s="6" t="str">
        <f>IFERROR(__xludf.DUMMYFUNCTION("""COMPUTED_VALUE"""),"FIP Engineering")</f>
        <v>FIP Engineering</v>
      </c>
      <c r="M4511" s="6" t="str">
        <f>IFERROR(__xludf.DUMMYFUNCTION("""COMPUTED_VALUE"""),"Mochammad Fadhillah Hakim,")</f>
        <v>Mochammad Fadhillah Hakim,</v>
      </c>
      <c r="N4511" s="6" t="str">
        <f>IFERROR(__xludf.DUMMYFUNCTION("""COMPUTED_VALUE"""),"FIP Engineering")</f>
        <v>FIP Engineering</v>
      </c>
      <c r="O4511" s="6" t="str">
        <f>IFERROR(__xludf.DUMMYFUNCTION("""COMPUTED_VALUE"""),"FIP-DOM-000-11304-OS00001-INA-000000")</f>
        <v>FIP-DOM-000-11304-OS00001-INA-000000</v>
      </c>
      <c r="P4511" s="6" t="str">
        <f>IFERROR(__xludf.DUMMYFUNCTION("""COMPUTED_VALUE"""),"PO Closed")</f>
        <v>PO Closed</v>
      </c>
      <c r="Q4511" s="6" t="str">
        <f>IFERROR(__xludf.DUMMYFUNCTION("""COMPUTED_VALUE"""),"GL2510496")</f>
        <v>GL2510496</v>
      </c>
      <c r="R4511" s="57">
        <f>IFERROR(__xludf.DUMMYFUNCTION("""COMPUTED_VALUE"""),45944.0)</f>
        <v>45944</v>
      </c>
      <c r="S4511" s="57">
        <f>IFERROR(__xludf.DUMMYFUNCTION("""COMPUTED_VALUE"""),45944.0)</f>
        <v>45944</v>
      </c>
      <c r="T4511" s="57">
        <f>IFERROR(__xludf.DUMMYFUNCTION("""COMPUTED_VALUE"""),45975.0)</f>
        <v>45975</v>
      </c>
    </row>
    <row r="4512">
      <c r="A4512" s="6" t="str">
        <f>IFERROR(__xludf.DUMMYFUNCTION("""COMPUTED_VALUE"""),"121703351-1")</f>
        <v>121703351-1</v>
      </c>
      <c r="B4512" s="6" t="str">
        <f>IFERROR(__xludf.DUMMYFUNCTION("""COMPUTED_VALUE"""),"121703351 - APPROVED")</f>
        <v>121703351 - APPROVED</v>
      </c>
      <c r="C4512" s="6">
        <f>IFERROR(__xludf.DUMMYFUNCTION("""COMPUTED_VALUE"""),1.0)</f>
        <v>1</v>
      </c>
      <c r="D4512" s="6" t="str">
        <f>IFERROR(__xludf.DUMMYFUNCTION("""COMPUTED_VALUE"""),"Q-10517-00")</f>
        <v>Q-10517-00</v>
      </c>
      <c r="E4512" s="6" t="str">
        <f>IFERROR(__xludf.DUMMYFUNCTION("""COMPUTED_VALUE"""),"Kape Besi / Scraper / Skrap Besi;No Brand;;pack size per pcs")</f>
        <v>Kape Besi / Scraper / Skrap Besi;No Brand;;pack size per pcs</v>
      </c>
      <c r="F4512" s="6">
        <f>IFERROR(__xludf.DUMMYFUNCTION("""COMPUTED_VALUE"""),5.0)</f>
        <v>5</v>
      </c>
      <c r="G4512" s="6" t="str">
        <f>IFERROR(__xludf.DUMMYFUNCTION("""COMPUTED_VALUE"""),"Pieces")</f>
        <v>Pieces</v>
      </c>
      <c r="H4512" s="6" t="str">
        <f>IFERROR(__xludf.DUMMYFUNCTION("""COMPUTED_VALUE"""),"IDR")</f>
        <v>IDR</v>
      </c>
      <c r="I4512" s="6">
        <f>IFERROR(__xludf.DUMMYFUNCTION("""COMPUTED_VALUE"""),18000.0)</f>
        <v>18000</v>
      </c>
      <c r="J4512" s="6">
        <f>IFERROR(__xludf.DUMMYFUNCTION("""COMPUTED_VALUE"""),90000.0)</f>
        <v>90000</v>
      </c>
      <c r="K4512" s="57">
        <f>IFERROR(__xludf.DUMMYFUNCTION("""COMPUTED_VALUE"""),45975.0)</f>
        <v>45975</v>
      </c>
      <c r="L4512" s="6" t="str">
        <f>IFERROR(__xludf.DUMMYFUNCTION("""COMPUTED_VALUE"""),"FIP General")</f>
        <v>FIP General</v>
      </c>
      <c r="M4512" s="6" t="str">
        <f>IFERROR(__xludf.DUMMYFUNCTION("""COMPUTED_VALUE"""),"Mochammad Fadhillah Hakim,")</f>
        <v>Mochammad Fadhillah Hakim,</v>
      </c>
      <c r="N4512" s="6" t="str">
        <f>IFERROR(__xludf.DUMMYFUNCTION("""COMPUTED_VALUE"""),"FIP Engineering")</f>
        <v>FIP Engineering</v>
      </c>
      <c r="O4512" s="6" t="str">
        <f>IFERROR(__xludf.DUMMYFUNCTION("""COMPUTED_VALUE"""),"FIP-DOM-ENG-51502-0000000-INA-000000")</f>
        <v>FIP-DOM-ENG-51502-0000000-INA-000000</v>
      </c>
      <c r="P4512" s="6" t="str">
        <f>IFERROR(__xludf.DUMMYFUNCTION("""COMPUTED_VALUE"""),"PO Closed")</f>
        <v>PO Closed</v>
      </c>
      <c r="Q4512" s="6" t="str">
        <f>IFERROR(__xludf.DUMMYFUNCTION("""COMPUTED_VALUE"""),"GL2511002")</f>
        <v>GL2511002</v>
      </c>
      <c r="R4512" s="57">
        <f>IFERROR(__xludf.DUMMYFUNCTION("""COMPUTED_VALUE"""),45944.0)</f>
        <v>45944</v>
      </c>
      <c r="S4512" s="57">
        <f>IFERROR(__xludf.DUMMYFUNCTION("""COMPUTED_VALUE"""),45944.0)</f>
        <v>45944</v>
      </c>
      <c r="T4512" s="57">
        <f>IFERROR(__xludf.DUMMYFUNCTION("""COMPUTED_VALUE"""),45981.0)</f>
        <v>45981</v>
      </c>
    </row>
    <row r="4513">
      <c r="A4513" s="6" t="str">
        <f>IFERROR(__xludf.DUMMYFUNCTION("""COMPUTED_VALUE"""),"121703352-1")</f>
        <v>121703352-1</v>
      </c>
      <c r="B4513" s="6" t="str">
        <f>IFERROR(__xludf.DUMMYFUNCTION("""COMPUTED_VALUE"""),"121703352 - APPROVED")</f>
        <v>121703352 - APPROVED</v>
      </c>
      <c r="C4513" s="6">
        <f>IFERROR(__xludf.DUMMYFUNCTION("""COMPUTED_VALUE"""),1.0)</f>
        <v>1</v>
      </c>
      <c r="D4513" s="6" t="str">
        <f>IFERROR(__xludf.DUMMYFUNCTION("""COMPUTED_VALUE"""),"O-18870-00")</f>
        <v>O-18870-00</v>
      </c>
      <c r="E4513" s="6" t="str">
        <f>IFERROR(__xludf.DUMMYFUNCTION("""COMPUTED_VALUE"""),"Oring Silicone Merah 18.4x13x2.7 mm; ; ;")</f>
        <v>Oring Silicone Merah 18.4x13x2.7 mm; ; ;</v>
      </c>
      <c r="F4513" s="6">
        <f>IFERROR(__xludf.DUMMYFUNCTION("""COMPUTED_VALUE"""),20.0)</f>
        <v>20</v>
      </c>
      <c r="G4513" s="6" t="str">
        <f>IFERROR(__xludf.DUMMYFUNCTION("""COMPUTED_VALUE"""),"Pieces")</f>
        <v>Pieces</v>
      </c>
      <c r="H4513" s="6" t="str">
        <f>IFERROR(__xludf.DUMMYFUNCTION("""COMPUTED_VALUE"""),"IDR")</f>
        <v>IDR</v>
      </c>
      <c r="I4513" s="6">
        <f>IFERROR(__xludf.DUMMYFUNCTION("""COMPUTED_VALUE"""),25000.0)</f>
        <v>25000</v>
      </c>
      <c r="J4513" s="6">
        <f>IFERROR(__xludf.DUMMYFUNCTION("""COMPUTED_VALUE"""),500000.0)</f>
        <v>500000</v>
      </c>
      <c r="K4513" s="57">
        <f>IFERROR(__xludf.DUMMYFUNCTION("""COMPUTED_VALUE"""),45975.0)</f>
        <v>45975</v>
      </c>
      <c r="L4513" s="6" t="str">
        <f>IFERROR(__xludf.DUMMYFUNCTION("""COMPUTED_VALUE"""),"FIP Engineering")</f>
        <v>FIP Engineering</v>
      </c>
      <c r="M4513" s="6" t="str">
        <f>IFERROR(__xludf.DUMMYFUNCTION("""COMPUTED_VALUE"""),"Mochammad Fadhillah Hakim,")</f>
        <v>Mochammad Fadhillah Hakim,</v>
      </c>
      <c r="N4513" s="6" t="str">
        <f>IFERROR(__xludf.DUMMYFUNCTION("""COMPUTED_VALUE"""),"FIP Engineering")</f>
        <v>FIP Engineering</v>
      </c>
      <c r="O4513" s="6" t="str">
        <f>IFERROR(__xludf.DUMMYFUNCTION("""COMPUTED_VALUE"""),"FIP-DOM-000-11304-OS00001-INA-000000")</f>
        <v>FIP-DOM-000-11304-OS00001-INA-000000</v>
      </c>
      <c r="P4513" s="6" t="str">
        <f>IFERROR(__xludf.DUMMYFUNCTION("""COMPUTED_VALUE"""),"PO Closed")</f>
        <v>PO Closed</v>
      </c>
      <c r="Q4513" s="6" t="str">
        <f>IFERROR(__xludf.DUMMYFUNCTION("""COMPUTED_VALUE"""),"GL2510494")</f>
        <v>GL2510494</v>
      </c>
      <c r="R4513" s="57">
        <f>IFERROR(__xludf.DUMMYFUNCTION("""COMPUTED_VALUE"""),45944.0)</f>
        <v>45944</v>
      </c>
      <c r="S4513" s="57">
        <f>IFERROR(__xludf.DUMMYFUNCTION("""COMPUTED_VALUE"""),45944.0)</f>
        <v>45944</v>
      </c>
      <c r="T4513" s="57">
        <f>IFERROR(__xludf.DUMMYFUNCTION("""COMPUTED_VALUE"""),45991.0)</f>
        <v>45991</v>
      </c>
    </row>
    <row r="4514">
      <c r="A4514" s="6" t="str">
        <f>IFERROR(__xludf.DUMMYFUNCTION("""COMPUTED_VALUE"""),"121703354-1")</f>
        <v>121703354-1</v>
      </c>
      <c r="B4514" s="6" t="str">
        <f>IFERROR(__xludf.DUMMYFUNCTION("""COMPUTED_VALUE"""),"121703354 - APPROVED")</f>
        <v>121703354 - APPROVED</v>
      </c>
      <c r="C4514" s="6">
        <f>IFERROR(__xludf.DUMMYFUNCTION("""COMPUTED_VALUE"""),1.0)</f>
        <v>1</v>
      </c>
      <c r="D4514" s="6" t="str">
        <f>IFERROR(__xludf.DUMMYFUNCTION("""COMPUTED_VALUE"""),"P-13641-00")</f>
        <v>P-13641-00</v>
      </c>
      <c r="E4514" s="6" t="str">
        <f>IFERROR(__xludf.DUMMYFUNCTION("""COMPUTED_VALUE"""),"Filter SO 5 micron 30 inch O-ring 222 Bayonet; ; ;")</f>
        <v>Filter SO 5 micron 30 inch O-ring 222 Bayonet; ; ;</v>
      </c>
      <c r="F4514" s="6">
        <f>IFERROR(__xludf.DUMMYFUNCTION("""COMPUTED_VALUE"""),10.0)</f>
        <v>10</v>
      </c>
      <c r="G4514" s="6" t="str">
        <f>IFERROR(__xludf.DUMMYFUNCTION("""COMPUTED_VALUE"""),"Pieces")</f>
        <v>Pieces</v>
      </c>
      <c r="H4514" s="6" t="str">
        <f>IFERROR(__xludf.DUMMYFUNCTION("""COMPUTED_VALUE"""),"IDR")</f>
        <v>IDR</v>
      </c>
      <c r="I4514" s="6">
        <f>IFERROR(__xludf.DUMMYFUNCTION("""COMPUTED_VALUE"""),2195000.0)</f>
        <v>2195000</v>
      </c>
      <c r="J4514" s="6">
        <f>IFERROR(__xludf.DUMMYFUNCTION("""COMPUTED_VALUE"""),2.195E7)</f>
        <v>21950000</v>
      </c>
      <c r="K4514" s="57">
        <f>IFERROR(__xludf.DUMMYFUNCTION("""COMPUTED_VALUE"""),45961.0)</f>
        <v>45961</v>
      </c>
      <c r="L4514" s="6" t="str">
        <f>IFERROR(__xludf.DUMMYFUNCTION("""COMPUTED_VALUE"""),"FIP Engineering")</f>
        <v>FIP Engineering</v>
      </c>
      <c r="M4514" s="6" t="str">
        <f>IFERROR(__xludf.DUMMYFUNCTION("""COMPUTED_VALUE"""),"Mochammad Fadhillah Hakim,")</f>
        <v>Mochammad Fadhillah Hakim,</v>
      </c>
      <c r="N4514" s="6" t="str">
        <f>IFERROR(__xludf.DUMMYFUNCTION("""COMPUTED_VALUE"""),"FIP Engineering")</f>
        <v>FIP Engineering</v>
      </c>
      <c r="O4514" s="6" t="str">
        <f>IFERROR(__xludf.DUMMYFUNCTION("""COMPUTED_VALUE"""),"FIP-DOM-000-11304-OS00001-INA-000000")</f>
        <v>FIP-DOM-000-11304-OS00001-INA-000000</v>
      </c>
      <c r="P4514" s="6" t="str">
        <f>IFERROR(__xludf.DUMMYFUNCTION("""COMPUTED_VALUE"""),"PO Closed")</f>
        <v>PO Closed</v>
      </c>
      <c r="Q4514" s="6" t="str">
        <f>IFERROR(__xludf.DUMMYFUNCTION("""COMPUTED_VALUE"""),"GL2511031")</f>
        <v>GL2511031</v>
      </c>
      <c r="R4514" s="57">
        <f>IFERROR(__xludf.DUMMYFUNCTION("""COMPUTED_VALUE"""),45946.0)</f>
        <v>45946</v>
      </c>
      <c r="S4514" s="57">
        <f>IFERROR(__xludf.DUMMYFUNCTION("""COMPUTED_VALUE"""),45950.0)</f>
        <v>45950</v>
      </c>
      <c r="T4514" s="57">
        <f>IFERROR(__xludf.DUMMYFUNCTION("""COMPUTED_VALUE"""),45991.0)</f>
        <v>45991</v>
      </c>
    </row>
    <row r="4515">
      <c r="A4515" s="6" t="str">
        <f>IFERROR(__xludf.DUMMYFUNCTION("""COMPUTED_VALUE"""),"121703355-1")</f>
        <v>121703355-1</v>
      </c>
      <c r="B4515" s="6" t="str">
        <f>IFERROR(__xludf.DUMMYFUNCTION("""COMPUTED_VALUE"""),"121703355 - APPROVED")</f>
        <v>121703355 - APPROVED</v>
      </c>
      <c r="C4515" s="6">
        <f>IFERROR(__xludf.DUMMYFUNCTION("""COMPUTED_VALUE"""),1.0)</f>
        <v>1</v>
      </c>
      <c r="D4515" s="6" t="str">
        <f>IFERROR(__xludf.DUMMYFUNCTION("""COMPUTED_VALUE"""),"S-60002-00")</f>
        <v>S-60002-00</v>
      </c>
      <c r="E4515" s="6" t="str">
        <f>IFERROR(__xludf.DUMMYFUNCTION("""COMPUTED_VALUE"""),"Jasa Perbaikan dan Pemeliharaan Mesin Utility - Rewinding motor Exhaust Nicotra dan rewinding motor tanki NaOCl dari 1 phase ke 3 phase")</f>
        <v>Jasa Perbaikan dan Pemeliharaan Mesin Utility - Rewinding motor Exhaust Nicotra dan rewinding motor tanki NaOCl dari 1 phase ke 3 phase</v>
      </c>
      <c r="F4515" s="6">
        <f>IFERROR(__xludf.DUMMYFUNCTION("""COMPUTED_VALUE"""),1.0)</f>
        <v>1</v>
      </c>
      <c r="G4515" s="6" t="str">
        <f>IFERROR(__xludf.DUMMYFUNCTION("""COMPUTED_VALUE"""),"Lot")</f>
        <v>Lot</v>
      </c>
      <c r="H4515" s="6" t="str">
        <f>IFERROR(__xludf.DUMMYFUNCTION("""COMPUTED_VALUE"""),"IDR")</f>
        <v>IDR</v>
      </c>
      <c r="I4515" s="6">
        <f>IFERROR(__xludf.DUMMYFUNCTION("""COMPUTED_VALUE"""),2100000.0)</f>
        <v>2100000</v>
      </c>
      <c r="J4515" s="6">
        <f>IFERROR(__xludf.DUMMYFUNCTION("""COMPUTED_VALUE"""),2100000.0)</f>
        <v>2100000</v>
      </c>
      <c r="K4515" s="57">
        <f>IFERROR(__xludf.DUMMYFUNCTION("""COMPUTED_VALUE"""),45961.0)</f>
        <v>45961</v>
      </c>
      <c r="L4515" s="6" t="str">
        <f>IFERROR(__xludf.DUMMYFUNCTION("""COMPUTED_VALUE"""),"FIP General")</f>
        <v>FIP General</v>
      </c>
      <c r="M4515" s="6" t="str">
        <f>IFERROR(__xludf.DUMMYFUNCTION("""COMPUTED_VALUE"""),"Mochammad Fadhillah Hakim,")</f>
        <v>Mochammad Fadhillah Hakim,</v>
      </c>
      <c r="N4515" s="6" t="str">
        <f>IFERROR(__xludf.DUMMYFUNCTION("""COMPUTED_VALUE"""),"FIP Engineering")</f>
        <v>FIP Engineering</v>
      </c>
      <c r="O4515" s="6" t="str">
        <f>IFERROR(__xludf.DUMMYFUNCTION("""COMPUTED_VALUE"""),"FIP-DOM-ENG-51508-0000000-INA-000000")</f>
        <v>FIP-DOM-ENG-51508-0000000-INA-000000</v>
      </c>
      <c r="P4515" s="6" t="str">
        <f>IFERROR(__xludf.DUMMYFUNCTION("""COMPUTED_VALUE"""),"PO Closed")</f>
        <v>PO Closed</v>
      </c>
      <c r="Q4515" s="6"/>
      <c r="R4515" s="57">
        <f>IFERROR(__xludf.DUMMYFUNCTION("""COMPUTED_VALUE"""),45946.0)</f>
        <v>45946</v>
      </c>
      <c r="S4515" s="57">
        <f>IFERROR(__xludf.DUMMYFUNCTION("""COMPUTED_VALUE"""),45946.0)</f>
        <v>45946</v>
      </c>
      <c r="T4515" s="6"/>
    </row>
    <row r="4516">
      <c r="A4516" s="6" t="str">
        <f>IFERROR(__xludf.DUMMYFUNCTION("""COMPUTED_VALUE"""),"121703356-1")</f>
        <v>121703356-1</v>
      </c>
      <c r="B4516" s="6" t="str">
        <f>IFERROR(__xludf.DUMMYFUNCTION("""COMPUTED_VALUE"""),"121703356 - APPROVED")</f>
        <v>121703356 - APPROVED</v>
      </c>
      <c r="C4516" s="6">
        <f>IFERROR(__xludf.DUMMYFUNCTION("""COMPUTED_VALUE"""),1.0)</f>
        <v>1</v>
      </c>
      <c r="D4516" s="6" t="str">
        <f>IFERROR(__xludf.DUMMYFUNCTION("""COMPUTED_VALUE"""),"O-53414-00")</f>
        <v>O-53414-00</v>
      </c>
      <c r="E4516" s="6" t="str">
        <f>IFERROR(__xludf.DUMMYFUNCTION("""COMPUTED_VALUE"""),"Fedegari FVA2/A1 - Transition joint RTD Sensor PT100 4Wire, Sx, 1/3 DIN, 5x70mm, SSL, 0-150 C 10M; Radix; RTJ201-1-C-S-3-0-NA-XNA-05-0070-10-Si-PN; 1 Pc")</f>
        <v>Fedegari FVA2/A1 - Transition joint RTD Sensor PT100 4Wire, Sx, 1/3 DIN, 5x70mm, SSL, 0-150 C 10M; Radix; RTJ201-1-C-S-3-0-NA-XNA-05-0070-10-Si-PN; 1 Pc</v>
      </c>
      <c r="F4516" s="6">
        <f>IFERROR(__xludf.DUMMYFUNCTION("""COMPUTED_VALUE"""),4.0)</f>
        <v>4</v>
      </c>
      <c r="G4516" s="6" t="str">
        <f>IFERROR(__xludf.DUMMYFUNCTION("""COMPUTED_VALUE"""),"Pieces")</f>
        <v>Pieces</v>
      </c>
      <c r="H4516" s="6" t="str">
        <f>IFERROR(__xludf.DUMMYFUNCTION("""COMPUTED_VALUE"""),"IDR")</f>
        <v>IDR</v>
      </c>
      <c r="I4516" s="6">
        <f>IFERROR(__xludf.DUMMYFUNCTION("""COMPUTED_VALUE"""),2970000.0)</f>
        <v>2970000</v>
      </c>
      <c r="J4516" s="6">
        <f>IFERROR(__xludf.DUMMYFUNCTION("""COMPUTED_VALUE"""),1.188E7)</f>
        <v>11880000</v>
      </c>
      <c r="K4516" s="57">
        <f>IFERROR(__xludf.DUMMYFUNCTION("""COMPUTED_VALUE"""),45982.0)</f>
        <v>45982</v>
      </c>
      <c r="L4516" s="6" t="str">
        <f>IFERROR(__xludf.DUMMYFUNCTION("""COMPUTED_VALUE"""),"FIP Engineering")</f>
        <v>FIP Engineering</v>
      </c>
      <c r="M4516" s="6" t="str">
        <f>IFERROR(__xludf.DUMMYFUNCTION("""COMPUTED_VALUE"""),"Mochammad Fadhillah Hakim,")</f>
        <v>Mochammad Fadhillah Hakim,</v>
      </c>
      <c r="N4516" s="6" t="str">
        <f>IFERROR(__xludf.DUMMYFUNCTION("""COMPUTED_VALUE"""),"FIP Engineering")</f>
        <v>FIP Engineering</v>
      </c>
      <c r="O4516" s="6" t="str">
        <f>IFERROR(__xludf.DUMMYFUNCTION("""COMPUTED_VALUE"""),"FIP-DOM-000-11304-OS00001-INA-000000")</f>
        <v>FIP-DOM-000-11304-OS00001-INA-000000</v>
      </c>
      <c r="P4516" s="6" t="str">
        <f>IFERROR(__xludf.DUMMYFUNCTION("""COMPUTED_VALUE"""),"PO Closed")</f>
        <v>PO Closed</v>
      </c>
      <c r="Q4516" s="6" t="str">
        <f>IFERROR(__xludf.DUMMYFUNCTION("""COMPUTED_VALUE"""),"GL2505051")</f>
        <v>GL2505051</v>
      </c>
      <c r="R4516" s="57">
        <f>IFERROR(__xludf.DUMMYFUNCTION("""COMPUTED_VALUE"""),45946.0)</f>
        <v>45946</v>
      </c>
      <c r="S4516" s="57">
        <f>IFERROR(__xludf.DUMMYFUNCTION("""COMPUTED_VALUE"""),45950.0)</f>
        <v>45950</v>
      </c>
      <c r="T4516" s="57">
        <f>IFERROR(__xludf.DUMMYFUNCTION("""COMPUTED_VALUE"""),46053.0)</f>
        <v>46053</v>
      </c>
    </row>
    <row r="4517">
      <c r="A4517" s="6" t="str">
        <f>IFERROR(__xludf.DUMMYFUNCTION("""COMPUTED_VALUE"""),"121703357-1")</f>
        <v>121703357-1</v>
      </c>
      <c r="B4517" s="6" t="str">
        <f>IFERROR(__xludf.DUMMYFUNCTION("""COMPUTED_VALUE"""),"121703357 - APPROVED")</f>
        <v>121703357 - APPROVED</v>
      </c>
      <c r="C4517" s="6">
        <f>IFERROR(__xludf.DUMMYFUNCTION("""COMPUTED_VALUE"""),1.0)</f>
        <v>1</v>
      </c>
      <c r="D4517" s="6" t="str">
        <f>IFERROR(__xludf.DUMMYFUNCTION("""COMPUTED_VALUE"""),"P-50717-00")</f>
        <v>P-50717-00</v>
      </c>
      <c r="E4517" s="6" t="str">
        <f>IFERROR(__xludf.DUMMYFUNCTION("""COMPUTED_VALUE"""),"General - Kabel UTP 4 Pairs Cat 6; Belden; -; 305m/roll")</f>
        <v>General - Kabel UTP 4 Pairs Cat 6; Belden; -; 305m/roll</v>
      </c>
      <c r="F4517" s="6">
        <f>IFERROR(__xludf.DUMMYFUNCTION("""COMPUTED_VALUE"""),1220.0)</f>
        <v>1220</v>
      </c>
      <c r="G4517" s="6" t="str">
        <f>IFERROR(__xludf.DUMMYFUNCTION("""COMPUTED_VALUE"""),"Meter")</f>
        <v>Meter</v>
      </c>
      <c r="H4517" s="6" t="str">
        <f>IFERROR(__xludf.DUMMYFUNCTION("""COMPUTED_VALUE"""),"IDR")</f>
        <v>IDR</v>
      </c>
      <c r="I4517" s="6">
        <f>IFERROR(__xludf.DUMMYFUNCTION("""COMPUTED_VALUE"""),8032.0)</f>
        <v>8032</v>
      </c>
      <c r="J4517" s="6">
        <f>IFERROR(__xludf.DUMMYFUNCTION("""COMPUTED_VALUE"""),9799040.0)</f>
        <v>9799040</v>
      </c>
      <c r="K4517" s="57">
        <f>IFERROR(__xludf.DUMMYFUNCTION("""COMPUTED_VALUE"""),45982.0)</f>
        <v>45982</v>
      </c>
      <c r="L4517" s="6" t="str">
        <f>IFERROR(__xludf.DUMMYFUNCTION("""COMPUTED_VALUE"""),"FIP Engineering")</f>
        <v>FIP Engineering</v>
      </c>
      <c r="M4517" s="6" t="str">
        <f>IFERROR(__xludf.DUMMYFUNCTION("""COMPUTED_VALUE"""),"Mochammad Fadhillah Hakim,")</f>
        <v>Mochammad Fadhillah Hakim,</v>
      </c>
      <c r="N4517" s="6" t="str">
        <f>IFERROR(__xludf.DUMMYFUNCTION("""COMPUTED_VALUE"""),"FIP Engineering")</f>
        <v>FIP Engineering</v>
      </c>
      <c r="O4517" s="6" t="str">
        <f>IFERROR(__xludf.DUMMYFUNCTION("""COMPUTED_VALUE"""),"FIP-DOM-000-11304-OS00001-INA-000000")</f>
        <v>FIP-DOM-000-11304-OS00001-INA-000000</v>
      </c>
      <c r="P4517" s="6" t="str">
        <f>IFERROR(__xludf.DUMMYFUNCTION("""COMPUTED_VALUE"""),"PO Closed")</f>
        <v>PO Closed</v>
      </c>
      <c r="Q4517" s="6" t="str">
        <f>IFERROR(__xludf.DUMMYFUNCTION("""COMPUTED_VALUE"""),"GL2510495")</f>
        <v>GL2510495</v>
      </c>
      <c r="R4517" s="57">
        <f>IFERROR(__xludf.DUMMYFUNCTION("""COMPUTED_VALUE"""),45946.0)</f>
        <v>45946</v>
      </c>
      <c r="S4517" s="57">
        <f>IFERROR(__xludf.DUMMYFUNCTION("""COMPUTED_VALUE"""),45946.0)</f>
        <v>45946</v>
      </c>
      <c r="T4517" s="57">
        <f>IFERROR(__xludf.DUMMYFUNCTION("""COMPUTED_VALUE"""),45971.0)</f>
        <v>45971</v>
      </c>
    </row>
    <row r="4518">
      <c r="A4518" s="6" t="str">
        <f>IFERROR(__xludf.DUMMYFUNCTION("""COMPUTED_VALUE"""),"121703358-1")</f>
        <v>121703358-1</v>
      </c>
      <c r="B4518" s="6" t="str">
        <f>IFERROR(__xludf.DUMMYFUNCTION("""COMPUTED_VALUE"""),"121703358 - APPROVED")</f>
        <v>121703358 - APPROVED</v>
      </c>
      <c r="C4518" s="6">
        <f>IFERROR(__xludf.DUMMYFUNCTION("""COMPUTED_VALUE"""),1.0)</f>
        <v>1</v>
      </c>
      <c r="D4518" s="6" t="str">
        <f>IFERROR(__xludf.DUMMYFUNCTION("""COMPUTED_VALUE"""),"R-20024-00")</f>
        <v>R-20024-00</v>
      </c>
      <c r="E4518" s="6" t="str">
        <f>IFERROR(__xludf.DUMMYFUNCTION("""COMPUTED_VALUE"""),"Machine Equipment; ; ; - Web Sling Spanset 2ply 10Ton x 20 Meter, Orange Lebar Web 300mm - Web Sling Spanset 2ply 10Ton x 20 Meter, Orange Lebar Web 300mm")</f>
        <v>Machine Equipment; ; ; - Web Sling Spanset 2ply 10Ton x 20 Meter, Orange Lebar Web 300mm - Web Sling Spanset 2ply 10Ton x 20 Meter, Orange Lebar Web 300mm</v>
      </c>
      <c r="F4518" s="6">
        <f>IFERROR(__xludf.DUMMYFUNCTION("""COMPUTED_VALUE"""),1.0)</f>
        <v>1</v>
      </c>
      <c r="G4518" s="6" t="str">
        <f>IFERROR(__xludf.DUMMYFUNCTION("""COMPUTED_VALUE"""),"Unit")</f>
        <v>Unit</v>
      </c>
      <c r="H4518" s="6" t="str">
        <f>IFERROR(__xludf.DUMMYFUNCTION("""COMPUTED_VALUE"""),"IDR")</f>
        <v>IDR</v>
      </c>
      <c r="I4518" s="6">
        <f>IFERROR(__xludf.DUMMYFUNCTION("""COMPUTED_VALUE"""),9500000.0)</f>
        <v>9500000</v>
      </c>
      <c r="J4518" s="6">
        <f>IFERROR(__xludf.DUMMYFUNCTION("""COMPUTED_VALUE"""),9500000.0)</f>
        <v>9500000</v>
      </c>
      <c r="K4518" s="57">
        <f>IFERROR(__xludf.DUMMYFUNCTION("""COMPUTED_VALUE"""),45982.0)</f>
        <v>45982</v>
      </c>
      <c r="L4518" s="6" t="str">
        <f>IFERROR(__xludf.DUMMYFUNCTION("""COMPUTED_VALUE"""),"FIP General")</f>
        <v>FIP General</v>
      </c>
      <c r="M4518" s="6" t="str">
        <f>IFERROR(__xludf.DUMMYFUNCTION("""COMPUTED_VALUE"""),"Mochammad Fadhillah Hakim,")</f>
        <v>Mochammad Fadhillah Hakim,</v>
      </c>
      <c r="N4518" s="6" t="str">
        <f>IFERROR(__xludf.DUMMYFUNCTION("""COMPUTED_VALUE"""),"FIP Engineering")</f>
        <v>FIP Engineering</v>
      </c>
      <c r="O4518" s="6" t="str">
        <f>IFERROR(__xludf.DUMMYFUNCTION("""COMPUTED_VALUE"""),"FIP-DOM-PRJ-13404-MC25005-INA-000000")</f>
        <v>FIP-DOM-PRJ-13404-MC25005-INA-000000</v>
      </c>
      <c r="P4518" s="6" t="str">
        <f>IFERROR(__xludf.DUMMYFUNCTION("""COMPUTED_VALUE"""),"PO Closed")</f>
        <v>PO Closed</v>
      </c>
      <c r="Q4518" s="6" t="str">
        <f>IFERROR(__xludf.DUMMYFUNCTION("""COMPUTED_VALUE"""),"GL2510038")</f>
        <v>GL2510038</v>
      </c>
      <c r="R4518" s="57">
        <f>IFERROR(__xludf.DUMMYFUNCTION("""COMPUTED_VALUE"""),45946.0)</f>
        <v>45946</v>
      </c>
      <c r="S4518" s="57">
        <f>IFERROR(__xludf.DUMMYFUNCTION("""COMPUTED_VALUE"""),45946.0)</f>
        <v>45946</v>
      </c>
      <c r="T4518" s="57">
        <f>IFERROR(__xludf.DUMMYFUNCTION("""COMPUTED_VALUE"""),45976.0)</f>
        <v>45976</v>
      </c>
    </row>
    <row r="4519">
      <c r="A4519" s="6" t="str">
        <f>IFERROR(__xludf.DUMMYFUNCTION("""COMPUTED_VALUE"""),"121703361-1")</f>
        <v>121703361-1</v>
      </c>
      <c r="B4519" s="6" t="str">
        <f>IFERROR(__xludf.DUMMYFUNCTION("""COMPUTED_VALUE"""),"121703361 - APPROVED")</f>
        <v>121703361 - APPROVED</v>
      </c>
      <c r="C4519" s="6">
        <f>IFERROR(__xludf.DUMMYFUNCTION("""COMPUTED_VALUE"""),1.0)</f>
        <v>1</v>
      </c>
      <c r="D4519" s="6" t="str">
        <f>IFERROR(__xludf.DUMMYFUNCTION("""COMPUTED_VALUE"""),"S-11400-00")</f>
        <v>S-11400-00</v>
      </c>
      <c r="E4519" s="6" t="str">
        <f>IFERROR(__xludf.DUMMYFUNCTION("""COMPUTED_VALUE"""),"Majun AA, No Brand, Budhi Supplies, pack size per kg")</f>
        <v>Majun AA, No Brand, Budhi Supplies, pack size per kg</v>
      </c>
      <c r="F4519" s="6">
        <f>IFERROR(__xludf.DUMMYFUNCTION("""COMPUTED_VALUE"""),20.0)</f>
        <v>20</v>
      </c>
      <c r="G4519" s="6" t="str">
        <f>IFERROR(__xludf.DUMMYFUNCTION("""COMPUTED_VALUE"""),"Kilogram")</f>
        <v>Kilogram</v>
      </c>
      <c r="H4519" s="6" t="str">
        <f>IFERROR(__xludf.DUMMYFUNCTION("""COMPUTED_VALUE"""),"IDR")</f>
        <v>IDR</v>
      </c>
      <c r="I4519" s="6">
        <f>IFERROR(__xludf.DUMMYFUNCTION("""COMPUTED_VALUE"""),45000.0)</f>
        <v>45000</v>
      </c>
      <c r="J4519" s="6">
        <f>IFERROR(__xludf.DUMMYFUNCTION("""COMPUTED_VALUE"""),900000.0)</f>
        <v>900000</v>
      </c>
      <c r="K4519" s="57">
        <f>IFERROR(__xludf.DUMMYFUNCTION("""COMPUTED_VALUE"""),45982.0)</f>
        <v>45982</v>
      </c>
      <c r="L4519" s="6" t="str">
        <f>IFERROR(__xludf.DUMMYFUNCTION("""COMPUTED_VALUE"""),"FIP General")</f>
        <v>FIP General</v>
      </c>
      <c r="M4519" s="6" t="str">
        <f>IFERROR(__xludf.DUMMYFUNCTION("""COMPUTED_VALUE"""),"Mochammad Fadhillah Hakim,")</f>
        <v>Mochammad Fadhillah Hakim,</v>
      </c>
      <c r="N4519" s="6" t="str">
        <f>IFERROR(__xludf.DUMMYFUNCTION("""COMPUTED_VALUE"""),"FIP Engineering")</f>
        <v>FIP Engineering</v>
      </c>
      <c r="O4519" s="6" t="str">
        <f>IFERROR(__xludf.DUMMYFUNCTION("""COMPUTED_VALUE"""),"FIP-DOM-ENG-51302-0000000-INA-000000")</f>
        <v>FIP-DOM-ENG-51302-0000000-INA-000000</v>
      </c>
      <c r="P4519" s="6" t="str">
        <f>IFERROR(__xludf.DUMMYFUNCTION("""COMPUTED_VALUE"""),"PO Closed")</f>
        <v>PO Closed</v>
      </c>
      <c r="Q4519" s="6" t="str">
        <f>IFERROR(__xludf.DUMMYFUNCTION("""COMPUTED_VALUE"""),"GL2511008")</f>
        <v>GL2511008</v>
      </c>
      <c r="R4519" s="57">
        <f>IFERROR(__xludf.DUMMYFUNCTION("""COMPUTED_VALUE"""),45946.0)</f>
        <v>45946</v>
      </c>
      <c r="S4519" s="57">
        <f>IFERROR(__xludf.DUMMYFUNCTION("""COMPUTED_VALUE"""),45952.0)</f>
        <v>45952</v>
      </c>
      <c r="T4519" s="57">
        <f>IFERROR(__xludf.DUMMYFUNCTION("""COMPUTED_VALUE"""),45982.0)</f>
        <v>45982</v>
      </c>
    </row>
    <row r="4520">
      <c r="A4520" s="6" t="str">
        <f>IFERROR(__xludf.DUMMYFUNCTION("""COMPUTED_VALUE"""),"121703361-2")</f>
        <v>121703361-2</v>
      </c>
      <c r="B4520" s="6" t="str">
        <f>IFERROR(__xludf.DUMMYFUNCTION("""COMPUTED_VALUE"""),"121703361 - APPROVED")</f>
        <v>121703361 - APPROVED</v>
      </c>
      <c r="C4520" s="6">
        <f>IFERROR(__xludf.DUMMYFUNCTION("""COMPUTED_VALUE"""),2.0)</f>
        <v>2</v>
      </c>
      <c r="D4520" s="6" t="str">
        <f>IFERROR(__xludf.DUMMYFUNCTION("""COMPUTED_VALUE"""),"S-11400-00")</f>
        <v>S-11400-00</v>
      </c>
      <c r="E4520" s="6" t="str">
        <f>IFERROR(__xludf.DUMMYFUNCTION("""COMPUTED_VALUE"""),"Majun AA, No Brand, Budhi Supplies, pack size per kg")</f>
        <v>Majun AA, No Brand, Budhi Supplies, pack size per kg</v>
      </c>
      <c r="F4520" s="6">
        <f>IFERROR(__xludf.DUMMYFUNCTION("""COMPUTED_VALUE"""),20.0)</f>
        <v>20</v>
      </c>
      <c r="G4520" s="6" t="str">
        <f>IFERROR(__xludf.DUMMYFUNCTION("""COMPUTED_VALUE"""),"Kilogram")</f>
        <v>Kilogram</v>
      </c>
      <c r="H4520" s="6" t="str">
        <f>IFERROR(__xludf.DUMMYFUNCTION("""COMPUTED_VALUE"""),"IDR")</f>
        <v>IDR</v>
      </c>
      <c r="I4520" s="6">
        <f>IFERROR(__xludf.DUMMYFUNCTION("""COMPUTED_VALUE"""),45000.0)</f>
        <v>45000</v>
      </c>
      <c r="J4520" s="6">
        <f>IFERROR(__xludf.DUMMYFUNCTION("""COMPUTED_VALUE"""),900000.0)</f>
        <v>900000</v>
      </c>
      <c r="K4520" s="57">
        <f>IFERROR(__xludf.DUMMYFUNCTION("""COMPUTED_VALUE"""),46073.0)</f>
        <v>46073</v>
      </c>
      <c r="L4520" s="6" t="str">
        <f>IFERROR(__xludf.DUMMYFUNCTION("""COMPUTED_VALUE"""),"FIP General")</f>
        <v>FIP General</v>
      </c>
      <c r="M4520" s="6" t="str">
        <f>IFERROR(__xludf.DUMMYFUNCTION("""COMPUTED_VALUE"""),"Mochammad Fadhillah Hakim,")</f>
        <v>Mochammad Fadhillah Hakim,</v>
      </c>
      <c r="N4520" s="6" t="str">
        <f>IFERROR(__xludf.DUMMYFUNCTION("""COMPUTED_VALUE"""),"FIP Engineering")</f>
        <v>FIP Engineering</v>
      </c>
      <c r="O4520" s="6" t="str">
        <f>IFERROR(__xludf.DUMMYFUNCTION("""COMPUTED_VALUE"""),"FIP-DOM-ENG-51302-0000000-INA-000000")</f>
        <v>FIP-DOM-ENG-51302-0000000-INA-000000</v>
      </c>
      <c r="P4520" s="6" t="str">
        <f>IFERROR(__xludf.DUMMYFUNCTION("""COMPUTED_VALUE"""),"PO Closed")</f>
        <v>PO Closed</v>
      </c>
      <c r="Q4520" s="6" t="str">
        <f>IFERROR(__xludf.DUMMYFUNCTION("""COMPUTED_VALUE"""),"GL2511008")</f>
        <v>GL2511008</v>
      </c>
      <c r="R4520" s="57">
        <f>IFERROR(__xludf.DUMMYFUNCTION("""COMPUTED_VALUE"""),45946.0)</f>
        <v>45946</v>
      </c>
      <c r="S4520" s="57">
        <f>IFERROR(__xludf.DUMMYFUNCTION("""COMPUTED_VALUE"""),45952.0)</f>
        <v>45952</v>
      </c>
      <c r="T4520" s="57">
        <f>IFERROR(__xludf.DUMMYFUNCTION("""COMPUTED_VALUE"""),46073.0)</f>
        <v>46073</v>
      </c>
    </row>
    <row r="4521">
      <c r="A4521" s="6" t="str">
        <f>IFERROR(__xludf.DUMMYFUNCTION("""COMPUTED_VALUE"""),"121703361-3")</f>
        <v>121703361-3</v>
      </c>
      <c r="B4521" s="6" t="str">
        <f>IFERROR(__xludf.DUMMYFUNCTION("""COMPUTED_VALUE"""),"121703361 - APPROVED")</f>
        <v>121703361 - APPROVED</v>
      </c>
      <c r="C4521" s="6">
        <f>IFERROR(__xludf.DUMMYFUNCTION("""COMPUTED_VALUE"""),3.0)</f>
        <v>3</v>
      </c>
      <c r="D4521" s="6" t="str">
        <f>IFERROR(__xludf.DUMMYFUNCTION("""COMPUTED_VALUE"""),"S-11400-00")</f>
        <v>S-11400-00</v>
      </c>
      <c r="E4521" s="6" t="str">
        <f>IFERROR(__xludf.DUMMYFUNCTION("""COMPUTED_VALUE"""),"Majun AA, No Brand, Budhi Supplies, pack size per kg")</f>
        <v>Majun AA, No Brand, Budhi Supplies, pack size per kg</v>
      </c>
      <c r="F4521" s="6">
        <f>IFERROR(__xludf.DUMMYFUNCTION("""COMPUTED_VALUE"""),20.0)</f>
        <v>20</v>
      </c>
      <c r="G4521" s="6" t="str">
        <f>IFERROR(__xludf.DUMMYFUNCTION("""COMPUTED_VALUE"""),"Kilogram")</f>
        <v>Kilogram</v>
      </c>
      <c r="H4521" s="6" t="str">
        <f>IFERROR(__xludf.DUMMYFUNCTION("""COMPUTED_VALUE"""),"IDR")</f>
        <v>IDR</v>
      </c>
      <c r="I4521" s="6">
        <f>IFERROR(__xludf.DUMMYFUNCTION("""COMPUTED_VALUE"""),45000.0)</f>
        <v>45000</v>
      </c>
      <c r="J4521" s="6">
        <f>IFERROR(__xludf.DUMMYFUNCTION("""COMPUTED_VALUE"""),900000.0)</f>
        <v>900000</v>
      </c>
      <c r="K4521" s="57">
        <f>IFERROR(__xludf.DUMMYFUNCTION("""COMPUTED_VALUE"""),46192.0)</f>
        <v>46192</v>
      </c>
      <c r="L4521" s="6" t="str">
        <f>IFERROR(__xludf.DUMMYFUNCTION("""COMPUTED_VALUE"""),"FIP General")</f>
        <v>FIP General</v>
      </c>
      <c r="M4521" s="6" t="str">
        <f>IFERROR(__xludf.DUMMYFUNCTION("""COMPUTED_VALUE"""),"Mochammad Fadhillah Hakim,")</f>
        <v>Mochammad Fadhillah Hakim,</v>
      </c>
      <c r="N4521" s="6" t="str">
        <f>IFERROR(__xludf.DUMMYFUNCTION("""COMPUTED_VALUE"""),"FIP Engineering")</f>
        <v>FIP Engineering</v>
      </c>
      <c r="O4521" s="6" t="str">
        <f>IFERROR(__xludf.DUMMYFUNCTION("""COMPUTED_VALUE"""),"FIP-DOM-ENG-51302-0000000-INA-000000")</f>
        <v>FIP-DOM-ENG-51302-0000000-INA-000000</v>
      </c>
      <c r="P4521" s="6" t="str">
        <f>IFERROR(__xludf.DUMMYFUNCTION("""COMPUTED_VALUE"""),"PO Closed")</f>
        <v>PO Closed</v>
      </c>
      <c r="Q4521" s="6" t="str">
        <f>IFERROR(__xludf.DUMMYFUNCTION("""COMPUTED_VALUE"""),"GL2511008")</f>
        <v>GL2511008</v>
      </c>
      <c r="R4521" s="57">
        <f>IFERROR(__xludf.DUMMYFUNCTION("""COMPUTED_VALUE"""),45946.0)</f>
        <v>45946</v>
      </c>
      <c r="S4521" s="57">
        <f>IFERROR(__xludf.DUMMYFUNCTION("""COMPUTED_VALUE"""),45952.0)</f>
        <v>45952</v>
      </c>
      <c r="T4521" s="57">
        <f>IFERROR(__xludf.DUMMYFUNCTION("""COMPUTED_VALUE"""),46192.0)</f>
        <v>46192</v>
      </c>
    </row>
    <row r="4522">
      <c r="A4522" s="6" t="str">
        <f>IFERROR(__xludf.DUMMYFUNCTION("""COMPUTED_VALUE"""),"121703362-1")</f>
        <v>121703362-1</v>
      </c>
      <c r="B4522" s="6" t="str">
        <f>IFERROR(__xludf.DUMMYFUNCTION("""COMPUTED_VALUE"""),"121703362 - APPROVED")</f>
        <v>121703362 - APPROVED</v>
      </c>
      <c r="C4522" s="6">
        <f>IFERROR(__xludf.DUMMYFUNCTION("""COMPUTED_VALUE"""),1.0)</f>
        <v>1</v>
      </c>
      <c r="D4522" s="6" t="str">
        <f>IFERROR(__xludf.DUMMYFUNCTION("""COMPUTED_VALUE"""),"T-20725-00")</f>
        <v>T-20725-00</v>
      </c>
      <c r="E4522" s="6" t="str">
        <f>IFERROR(__xludf.DUMMYFUNCTION("""COMPUTED_VALUE"""),"Performance Plus Check Valve Housing; Waters; 700002332;")</f>
        <v>Performance Plus Check Valve Housing; Waters; 700002332;</v>
      </c>
      <c r="F4522" s="6">
        <f>IFERROR(__xludf.DUMMYFUNCTION("""COMPUTED_VALUE"""),3.0)</f>
        <v>3</v>
      </c>
      <c r="G4522" s="6" t="str">
        <f>IFERROR(__xludf.DUMMYFUNCTION("""COMPUTED_VALUE"""),"Pack")</f>
        <v>Pack</v>
      </c>
      <c r="H4522" s="6" t="str">
        <f>IFERROR(__xludf.DUMMYFUNCTION("""COMPUTED_VALUE"""),"USD")</f>
        <v>USD</v>
      </c>
      <c r="I4522" s="6">
        <f>IFERROR(__xludf.DUMMYFUNCTION("""COMPUTED_VALUE"""),4774176.0)</f>
        <v>4774176</v>
      </c>
      <c r="J4522" s="6">
        <f>IFERROR(__xludf.DUMMYFUNCTION("""COMPUTED_VALUE"""),1.4322528E7)</f>
        <v>14322528</v>
      </c>
      <c r="K4522" s="57">
        <f>IFERROR(__xludf.DUMMYFUNCTION("""COMPUTED_VALUE"""),45982.0)</f>
        <v>45982</v>
      </c>
      <c r="L4522" s="6" t="str">
        <f>IFERROR(__xludf.DUMMYFUNCTION("""COMPUTED_VALUE"""),"FIP General")</f>
        <v>FIP General</v>
      </c>
      <c r="M4522" s="6" t="str">
        <f>IFERROR(__xludf.DUMMYFUNCTION("""COMPUTED_VALUE"""),"Mochammad Fadhillah Hakim,")</f>
        <v>Mochammad Fadhillah Hakim,</v>
      </c>
      <c r="N4522" s="6" t="str">
        <f>IFERROR(__xludf.DUMMYFUNCTION("""COMPUTED_VALUE"""),"FIP Engineering")</f>
        <v>FIP Engineering</v>
      </c>
      <c r="O4522" s="6" t="str">
        <f>IFERROR(__xludf.DUMMYFUNCTION("""COMPUTED_VALUE"""),"FIP-DOM-ENG-51505-0000000-INA-000000")</f>
        <v>FIP-DOM-ENG-51505-0000000-INA-000000</v>
      </c>
      <c r="P4522" s="6" t="str">
        <f>IFERROR(__xludf.DUMMYFUNCTION("""COMPUTED_VALUE"""),"PO Closed")</f>
        <v>PO Closed</v>
      </c>
      <c r="Q4522" s="6" t="str">
        <f>IFERROR(__xludf.DUMMYFUNCTION("""COMPUTED_VALUE"""),"GL2510491")</f>
        <v>GL2510491</v>
      </c>
      <c r="R4522" s="57">
        <f>IFERROR(__xludf.DUMMYFUNCTION("""COMPUTED_VALUE"""),45946.0)</f>
        <v>45946</v>
      </c>
      <c r="S4522" s="57">
        <f>IFERROR(__xludf.DUMMYFUNCTION("""COMPUTED_VALUE"""),45954.0)</f>
        <v>45954</v>
      </c>
      <c r="T4522" s="57">
        <f>IFERROR(__xludf.DUMMYFUNCTION("""COMPUTED_VALUE"""),45989.0)</f>
        <v>45989</v>
      </c>
    </row>
    <row r="4523">
      <c r="A4523" s="6" t="str">
        <f>IFERROR(__xludf.DUMMYFUNCTION("""COMPUTED_VALUE"""),"121703362-2")</f>
        <v>121703362-2</v>
      </c>
      <c r="B4523" s="6" t="str">
        <f>IFERROR(__xludf.DUMMYFUNCTION("""COMPUTED_VALUE"""),"121703362 - APPROVED")</f>
        <v>121703362 - APPROVED</v>
      </c>
      <c r="C4523" s="6">
        <f>IFERROR(__xludf.DUMMYFUNCTION("""COMPUTED_VALUE"""),2.0)</f>
        <v>2</v>
      </c>
      <c r="D4523" s="6" t="str">
        <f>IFERROR(__xludf.DUMMYFUNCTION("""COMPUTED_VALUE"""),"T-20591-00")</f>
        <v>T-20591-00</v>
      </c>
      <c r="E4523" s="6" t="str">
        <f>IFERROR(__xludf.DUMMYFUNCTION("""COMPUTED_VALUE"""),"Kit, Performance PLUS seal pack rebuild; Waters; 700011783; 1 pieces / pack")</f>
        <v>Kit, Performance PLUS seal pack rebuild; Waters; 700011783; 1 pieces / pack</v>
      </c>
      <c r="F4523" s="6">
        <f>IFERROR(__xludf.DUMMYFUNCTION("""COMPUTED_VALUE"""),1.0)</f>
        <v>1</v>
      </c>
      <c r="G4523" s="6" t="str">
        <f>IFERROR(__xludf.DUMMYFUNCTION("""COMPUTED_VALUE"""),"Pieces")</f>
        <v>Pieces</v>
      </c>
      <c r="H4523" s="6" t="str">
        <f>IFERROR(__xludf.DUMMYFUNCTION("""COMPUTED_VALUE"""),"USD")</f>
        <v>USD</v>
      </c>
      <c r="I4523" s="6">
        <f>IFERROR(__xludf.DUMMYFUNCTION("""COMPUTED_VALUE"""),4535467.0)</f>
        <v>4535467</v>
      </c>
      <c r="J4523" s="6">
        <f>IFERROR(__xludf.DUMMYFUNCTION("""COMPUTED_VALUE"""),4535467.0)</f>
        <v>4535467</v>
      </c>
      <c r="K4523" s="57">
        <f>IFERROR(__xludf.DUMMYFUNCTION("""COMPUTED_VALUE"""),45982.0)</f>
        <v>45982</v>
      </c>
      <c r="L4523" s="6" t="str">
        <f>IFERROR(__xludf.DUMMYFUNCTION("""COMPUTED_VALUE"""),"FIP General")</f>
        <v>FIP General</v>
      </c>
      <c r="M4523" s="6" t="str">
        <f>IFERROR(__xludf.DUMMYFUNCTION("""COMPUTED_VALUE"""),"Mochammad Fadhillah Hakim,")</f>
        <v>Mochammad Fadhillah Hakim,</v>
      </c>
      <c r="N4523" s="6" t="str">
        <f>IFERROR(__xludf.DUMMYFUNCTION("""COMPUTED_VALUE"""),"FIP Engineering")</f>
        <v>FIP Engineering</v>
      </c>
      <c r="O4523" s="6" t="str">
        <f>IFERROR(__xludf.DUMMYFUNCTION("""COMPUTED_VALUE"""),"FIP-DOM-ENG-51505-0000000-INA-000000")</f>
        <v>FIP-DOM-ENG-51505-0000000-INA-000000</v>
      </c>
      <c r="P4523" s="6" t="str">
        <f>IFERROR(__xludf.DUMMYFUNCTION("""COMPUTED_VALUE"""),"PO Closed")</f>
        <v>PO Closed</v>
      </c>
      <c r="Q4523" s="6" t="str">
        <f>IFERROR(__xludf.DUMMYFUNCTION("""COMPUTED_VALUE"""),"GL2510491")</f>
        <v>GL2510491</v>
      </c>
      <c r="R4523" s="57">
        <f>IFERROR(__xludf.DUMMYFUNCTION("""COMPUTED_VALUE"""),45946.0)</f>
        <v>45946</v>
      </c>
      <c r="S4523" s="57">
        <f>IFERROR(__xludf.DUMMYFUNCTION("""COMPUTED_VALUE"""),45954.0)</f>
        <v>45954</v>
      </c>
      <c r="T4523" s="57">
        <f>IFERROR(__xludf.DUMMYFUNCTION("""COMPUTED_VALUE"""),45989.0)</f>
        <v>45989</v>
      </c>
    </row>
    <row r="4524">
      <c r="A4524" s="6" t="str">
        <f>IFERROR(__xludf.DUMMYFUNCTION("""COMPUTED_VALUE"""),"121703362-3")</f>
        <v>121703362-3</v>
      </c>
      <c r="B4524" s="6" t="str">
        <f>IFERROR(__xludf.DUMMYFUNCTION("""COMPUTED_VALUE"""),"121703362 - APPROVED")</f>
        <v>121703362 - APPROVED</v>
      </c>
      <c r="C4524" s="6">
        <f>IFERROR(__xludf.DUMMYFUNCTION("""COMPUTED_VALUE"""),3.0)</f>
        <v>3</v>
      </c>
      <c r="D4524" s="6" t="str">
        <f>IFERROR(__xludf.DUMMYFUNCTION("""COMPUTED_VALUE"""),"T-20118-00")</f>
        <v>T-20118-00</v>
      </c>
      <c r="E4524" s="6" t="str">
        <f>IFERROR(__xludf.DUMMYFUNCTION("""COMPUTED_VALUE"""),"FILTER INSERT ASSY; Waters; P/N WAT088084; 1 pc")</f>
        <v>FILTER INSERT ASSY; Waters; P/N WAT088084; 1 pc</v>
      </c>
      <c r="F4524" s="6">
        <f>IFERROR(__xludf.DUMMYFUNCTION("""COMPUTED_VALUE"""),2.0)</f>
        <v>2</v>
      </c>
      <c r="G4524" s="6" t="str">
        <f>IFERROR(__xludf.DUMMYFUNCTION("""COMPUTED_VALUE"""),"Pieces")</f>
        <v>Pieces</v>
      </c>
      <c r="H4524" s="6" t="str">
        <f>IFERROR(__xludf.DUMMYFUNCTION("""COMPUTED_VALUE"""),"USD")</f>
        <v>USD</v>
      </c>
      <c r="I4524" s="6">
        <f>IFERROR(__xludf.DUMMYFUNCTION("""COMPUTED_VALUE"""),369999.0)</f>
        <v>369999</v>
      </c>
      <c r="J4524" s="6">
        <f>IFERROR(__xludf.DUMMYFUNCTION("""COMPUTED_VALUE"""),739997.0)</f>
        <v>739997</v>
      </c>
      <c r="K4524" s="57">
        <f>IFERROR(__xludf.DUMMYFUNCTION("""COMPUTED_VALUE"""),45982.0)</f>
        <v>45982</v>
      </c>
      <c r="L4524" s="6" t="str">
        <f>IFERROR(__xludf.DUMMYFUNCTION("""COMPUTED_VALUE"""),"FIP General")</f>
        <v>FIP General</v>
      </c>
      <c r="M4524" s="6" t="str">
        <f>IFERROR(__xludf.DUMMYFUNCTION("""COMPUTED_VALUE"""),"Mochammad Fadhillah Hakim,")</f>
        <v>Mochammad Fadhillah Hakim,</v>
      </c>
      <c r="N4524" s="6" t="str">
        <f>IFERROR(__xludf.DUMMYFUNCTION("""COMPUTED_VALUE"""),"FIP Engineering")</f>
        <v>FIP Engineering</v>
      </c>
      <c r="O4524" s="6" t="str">
        <f>IFERROR(__xludf.DUMMYFUNCTION("""COMPUTED_VALUE"""),"FIP-DOM-ENG-51505-0000000-INA-000000")</f>
        <v>FIP-DOM-ENG-51505-0000000-INA-000000</v>
      </c>
      <c r="P4524" s="6" t="str">
        <f>IFERROR(__xludf.DUMMYFUNCTION("""COMPUTED_VALUE"""),"PO Closed")</f>
        <v>PO Closed</v>
      </c>
      <c r="Q4524" s="6" t="str">
        <f>IFERROR(__xludf.DUMMYFUNCTION("""COMPUTED_VALUE"""),"GL2510491")</f>
        <v>GL2510491</v>
      </c>
      <c r="R4524" s="57">
        <f>IFERROR(__xludf.DUMMYFUNCTION("""COMPUTED_VALUE"""),45946.0)</f>
        <v>45946</v>
      </c>
      <c r="S4524" s="57">
        <f>IFERROR(__xludf.DUMMYFUNCTION("""COMPUTED_VALUE"""),45954.0)</f>
        <v>45954</v>
      </c>
      <c r="T4524" s="57">
        <f>IFERROR(__xludf.DUMMYFUNCTION("""COMPUTED_VALUE"""),45989.0)</f>
        <v>45989</v>
      </c>
    </row>
    <row r="4525">
      <c r="A4525" s="6" t="str">
        <f>IFERROR(__xludf.DUMMYFUNCTION("""COMPUTED_VALUE"""),"121703362-4")</f>
        <v>121703362-4</v>
      </c>
      <c r="B4525" s="6" t="str">
        <f>IFERROR(__xludf.DUMMYFUNCTION("""COMPUTED_VALUE"""),"121703362 - APPROVED")</f>
        <v>121703362 - APPROVED</v>
      </c>
      <c r="C4525" s="6">
        <f>IFERROR(__xludf.DUMMYFUNCTION("""COMPUTED_VALUE"""),4.0)</f>
        <v>4</v>
      </c>
      <c r="D4525" s="6" t="str">
        <f>IFERROR(__xludf.DUMMYFUNCTION("""COMPUTED_VALUE"""),"T-20201-00")</f>
        <v>T-20201-00</v>
      </c>
      <c r="E4525" s="6" t="str">
        <f>IFERROR(__xludf.DUMMYFUNCTION("""COMPUTED_VALUE"""),"ASSY,SOLVENT FILTER., Waters, Part No. WAT025531")</f>
        <v>ASSY,SOLVENT FILTER., Waters, Part No. WAT025531</v>
      </c>
      <c r="F4525" s="6">
        <f>IFERROR(__xludf.DUMMYFUNCTION("""COMPUTED_VALUE"""),2.0)</f>
        <v>2</v>
      </c>
      <c r="G4525" s="6" t="str">
        <f>IFERROR(__xludf.DUMMYFUNCTION("""COMPUTED_VALUE"""),"Pieces")</f>
        <v>Pieces</v>
      </c>
      <c r="H4525" s="6" t="str">
        <f>IFERROR(__xludf.DUMMYFUNCTION("""COMPUTED_VALUE"""),"USD")</f>
        <v>USD</v>
      </c>
      <c r="I4525" s="6">
        <f>IFERROR(__xludf.DUMMYFUNCTION("""COMPUTED_VALUE"""),1312898.0)</f>
        <v>1312898</v>
      </c>
      <c r="J4525" s="6">
        <f>IFERROR(__xludf.DUMMYFUNCTION("""COMPUTED_VALUE"""),2625797.0)</f>
        <v>2625797</v>
      </c>
      <c r="K4525" s="57">
        <f>IFERROR(__xludf.DUMMYFUNCTION("""COMPUTED_VALUE"""),45982.0)</f>
        <v>45982</v>
      </c>
      <c r="L4525" s="6" t="str">
        <f>IFERROR(__xludf.DUMMYFUNCTION("""COMPUTED_VALUE"""),"FIP General")</f>
        <v>FIP General</v>
      </c>
      <c r="M4525" s="6" t="str">
        <f>IFERROR(__xludf.DUMMYFUNCTION("""COMPUTED_VALUE"""),"Mochammad Fadhillah Hakim,")</f>
        <v>Mochammad Fadhillah Hakim,</v>
      </c>
      <c r="N4525" s="6" t="str">
        <f>IFERROR(__xludf.DUMMYFUNCTION("""COMPUTED_VALUE"""),"FIP Engineering")</f>
        <v>FIP Engineering</v>
      </c>
      <c r="O4525" s="6" t="str">
        <f>IFERROR(__xludf.DUMMYFUNCTION("""COMPUTED_VALUE"""),"FIP-DOM-ENG-51505-0000000-INA-000000")</f>
        <v>FIP-DOM-ENG-51505-0000000-INA-000000</v>
      </c>
      <c r="P4525" s="6" t="str">
        <f>IFERROR(__xludf.DUMMYFUNCTION("""COMPUTED_VALUE"""),"PO Closed")</f>
        <v>PO Closed</v>
      </c>
      <c r="Q4525" s="6" t="str">
        <f>IFERROR(__xludf.DUMMYFUNCTION("""COMPUTED_VALUE"""),"GL2510491")</f>
        <v>GL2510491</v>
      </c>
      <c r="R4525" s="57">
        <f>IFERROR(__xludf.DUMMYFUNCTION("""COMPUTED_VALUE"""),45946.0)</f>
        <v>45946</v>
      </c>
      <c r="S4525" s="57">
        <f>IFERROR(__xludf.DUMMYFUNCTION("""COMPUTED_VALUE"""),45954.0)</f>
        <v>45954</v>
      </c>
      <c r="T4525" s="57">
        <f>IFERROR(__xludf.DUMMYFUNCTION("""COMPUTED_VALUE"""),45989.0)</f>
        <v>45989</v>
      </c>
    </row>
    <row r="4526">
      <c r="A4526" s="6" t="str">
        <f>IFERROR(__xludf.DUMMYFUNCTION("""COMPUTED_VALUE"""),"121703366-1")</f>
        <v>121703366-1</v>
      </c>
      <c r="B4526" s="6" t="str">
        <f>IFERROR(__xludf.DUMMYFUNCTION("""COMPUTED_VALUE"""),"121703366 - APPROVED")</f>
        <v>121703366 - APPROVED</v>
      </c>
      <c r="C4526" s="6">
        <f>IFERROR(__xludf.DUMMYFUNCTION("""COMPUTED_VALUE"""),1.0)</f>
        <v>1</v>
      </c>
      <c r="D4526" s="6" t="str">
        <f>IFERROR(__xludf.DUMMYFUNCTION("""COMPUTED_VALUE"""),"S-50670-00")</f>
        <v>S-50670-00</v>
      </c>
      <c r="E4526" s="6" t="str">
        <f>IFERROR(__xludf.DUMMYFUNCTION("""COMPUTED_VALUE"""),"Glass Cylinder 100 ml for Tap Density Tester; Pharma Test; 490-0112; 1 pc per pack")</f>
        <v>Glass Cylinder 100 ml for Tap Density Tester; Pharma Test; 490-0112; 1 pc per pack</v>
      </c>
      <c r="F4526" s="6">
        <f>IFERROR(__xludf.DUMMYFUNCTION("""COMPUTED_VALUE"""),1.0)</f>
        <v>1</v>
      </c>
      <c r="G4526" s="6" t="str">
        <f>IFERROR(__xludf.DUMMYFUNCTION("""COMPUTED_VALUE"""),"Pieces")</f>
        <v>Pieces</v>
      </c>
      <c r="H4526" s="6" t="str">
        <f>IFERROR(__xludf.DUMMYFUNCTION("""COMPUTED_VALUE"""),"IDR")</f>
        <v>IDR</v>
      </c>
      <c r="I4526" s="6">
        <f>IFERROR(__xludf.DUMMYFUNCTION("""COMPUTED_VALUE"""),5000000.0)</f>
        <v>5000000</v>
      </c>
      <c r="J4526" s="6">
        <f>IFERROR(__xludf.DUMMYFUNCTION("""COMPUTED_VALUE"""),5000000.0)</f>
        <v>5000000</v>
      </c>
      <c r="K4526" s="57">
        <f>IFERROR(__xludf.DUMMYFUNCTION("""COMPUTED_VALUE"""),46010.0)</f>
        <v>46010</v>
      </c>
      <c r="L4526" s="6" t="str">
        <f>IFERROR(__xludf.DUMMYFUNCTION("""COMPUTED_VALUE"""),"FIP General")</f>
        <v>FIP General</v>
      </c>
      <c r="M4526" s="6" t="str">
        <f>IFERROR(__xludf.DUMMYFUNCTION("""COMPUTED_VALUE"""),"Mochammad Fadhillah Hakim,")</f>
        <v>Mochammad Fadhillah Hakim,</v>
      </c>
      <c r="N4526" s="6" t="str">
        <f>IFERROR(__xludf.DUMMYFUNCTION("""COMPUTED_VALUE"""),"FIP Engineering")</f>
        <v>FIP Engineering</v>
      </c>
      <c r="O4526" s="6" t="str">
        <f>IFERROR(__xludf.DUMMYFUNCTION("""COMPUTED_VALUE"""),"FIP-DOM-ENG-51906-0000000-INA-000000")</f>
        <v>FIP-DOM-ENG-51906-0000000-INA-000000</v>
      </c>
      <c r="P4526" s="6" t="str">
        <f>IFERROR(__xludf.DUMMYFUNCTION("""COMPUTED_VALUE"""),"PO Closed")</f>
        <v>PO Closed</v>
      </c>
      <c r="Q4526" s="6" t="str">
        <f>IFERROR(__xludf.DUMMYFUNCTION("""COMPUTED_VALUE"""),"GL2511032")</f>
        <v>GL2511032</v>
      </c>
      <c r="R4526" s="57">
        <f>IFERROR(__xludf.DUMMYFUNCTION("""COMPUTED_VALUE"""),45947.0)</f>
        <v>45947</v>
      </c>
      <c r="S4526" s="57">
        <f>IFERROR(__xludf.DUMMYFUNCTION("""COMPUTED_VALUE"""),45952.0)</f>
        <v>45952</v>
      </c>
      <c r="T4526" s="57">
        <f>IFERROR(__xludf.DUMMYFUNCTION("""COMPUTED_VALUE"""),46010.0)</f>
        <v>46010</v>
      </c>
    </row>
    <row r="4527">
      <c r="A4527" s="6" t="str">
        <f>IFERROR(__xludf.DUMMYFUNCTION("""COMPUTED_VALUE"""),"121703367-1")</f>
        <v>121703367-1</v>
      </c>
      <c r="B4527" s="6" t="str">
        <f>IFERROR(__xludf.DUMMYFUNCTION("""COMPUTED_VALUE"""),"121703367 - APPROVED")</f>
        <v>121703367 - APPROVED</v>
      </c>
      <c r="C4527" s="6">
        <f>IFERROR(__xludf.DUMMYFUNCTION("""COMPUTED_VALUE"""),1.0)</f>
        <v>1</v>
      </c>
      <c r="D4527" s="6" t="str">
        <f>IFERROR(__xludf.DUMMYFUNCTION("""COMPUTED_VALUE"""),"O-20993-00")</f>
        <v>O-20993-00</v>
      </c>
      <c r="E4527" s="6" t="str">
        <f>IFERROR(__xludf.DUMMYFUNCTION("""COMPUTED_VALUE"""),"Capping VCM200 - Base Starwheel Uk. 413 x 185 x T :15; Custom/Lokal; -; 1 Pc")</f>
        <v>Capping VCM200 - Base Starwheel Uk. 413 x 185 x T :15; Custom/Lokal; -; 1 Pc</v>
      </c>
      <c r="F4527" s="6">
        <f>IFERROR(__xludf.DUMMYFUNCTION("""COMPUTED_VALUE"""),1.0)</f>
        <v>1</v>
      </c>
      <c r="G4527" s="6" t="str">
        <f>IFERROR(__xludf.DUMMYFUNCTION("""COMPUTED_VALUE"""),"Pieces")</f>
        <v>Pieces</v>
      </c>
      <c r="H4527" s="6" t="str">
        <f>IFERROR(__xludf.DUMMYFUNCTION("""COMPUTED_VALUE"""),"IDR")</f>
        <v>IDR</v>
      </c>
      <c r="I4527" s="6">
        <f>IFERROR(__xludf.DUMMYFUNCTION("""COMPUTED_VALUE"""),3750000.0)</f>
        <v>3750000</v>
      </c>
      <c r="J4527" s="6">
        <f>IFERROR(__xludf.DUMMYFUNCTION("""COMPUTED_VALUE"""),3750000.0)</f>
        <v>3750000</v>
      </c>
      <c r="K4527" s="57">
        <f>IFERROR(__xludf.DUMMYFUNCTION("""COMPUTED_VALUE"""),45982.0)</f>
        <v>45982</v>
      </c>
      <c r="L4527" s="6" t="str">
        <f>IFERROR(__xludf.DUMMYFUNCTION("""COMPUTED_VALUE"""),"FIP Engineering")</f>
        <v>FIP Engineering</v>
      </c>
      <c r="M4527" s="6" t="str">
        <f>IFERROR(__xludf.DUMMYFUNCTION("""COMPUTED_VALUE"""),"Mochammad Fadhillah Hakim,")</f>
        <v>Mochammad Fadhillah Hakim,</v>
      </c>
      <c r="N4527" s="6" t="str">
        <f>IFERROR(__xludf.DUMMYFUNCTION("""COMPUTED_VALUE"""),"FIP Engineering")</f>
        <v>FIP Engineering</v>
      </c>
      <c r="O4527" s="6" t="str">
        <f>IFERROR(__xludf.DUMMYFUNCTION("""COMPUTED_VALUE"""),"FIP-DOM-000-11304-OS00001-INA-000000")</f>
        <v>FIP-DOM-000-11304-OS00001-INA-000000</v>
      </c>
      <c r="P4527" s="6" t="str">
        <f>IFERROR(__xludf.DUMMYFUNCTION("""COMPUTED_VALUE"""),"PO Closed")</f>
        <v>PO Closed</v>
      </c>
      <c r="Q4527" s="6" t="str">
        <f>IFERROR(__xludf.DUMMYFUNCTION("""COMPUTED_VALUE"""),"GL2511036")</f>
        <v>GL2511036</v>
      </c>
      <c r="R4527" s="57">
        <f>IFERROR(__xludf.DUMMYFUNCTION("""COMPUTED_VALUE"""),45947.0)</f>
        <v>45947</v>
      </c>
      <c r="S4527" s="57">
        <f>IFERROR(__xludf.DUMMYFUNCTION("""COMPUTED_VALUE"""),45950.0)</f>
        <v>45950</v>
      </c>
      <c r="T4527" s="57">
        <f>IFERROR(__xludf.DUMMYFUNCTION("""COMPUTED_VALUE"""),46032.0)</f>
        <v>46032</v>
      </c>
    </row>
    <row r="4528">
      <c r="A4528" s="6" t="str">
        <f>IFERROR(__xludf.DUMMYFUNCTION("""COMPUTED_VALUE"""),"121703368-1")</f>
        <v>121703368-1</v>
      </c>
      <c r="B4528" s="6" t="str">
        <f>IFERROR(__xludf.DUMMYFUNCTION("""COMPUTED_VALUE"""),"121703368 - APPROVED")</f>
        <v>121703368 - APPROVED</v>
      </c>
      <c r="C4528" s="6">
        <f>IFERROR(__xludf.DUMMYFUNCTION("""COMPUTED_VALUE"""),1.0)</f>
        <v>1</v>
      </c>
      <c r="D4528" s="6" t="str">
        <f>IFERROR(__xludf.DUMMYFUNCTION("""COMPUTED_VALUE"""),"O-20552-00")</f>
        <v>O-20552-00</v>
      </c>
      <c r="E4528" s="6" t="str">
        <f>IFERROR(__xludf.DUMMYFUNCTION("""COMPUTED_VALUE"""),"Marchesini MA155 - Toothed Belt 240 L 075 GUK; -; M660010218; 1 Pc")</f>
        <v>Marchesini MA155 - Toothed Belt 240 L 075 GUK; -; M660010218; 1 Pc</v>
      </c>
      <c r="F4528" s="6">
        <f>IFERROR(__xludf.DUMMYFUNCTION("""COMPUTED_VALUE"""),1.0)</f>
        <v>1</v>
      </c>
      <c r="G4528" s="6" t="str">
        <f>IFERROR(__xludf.DUMMYFUNCTION("""COMPUTED_VALUE"""),"Pieces")</f>
        <v>Pieces</v>
      </c>
      <c r="H4528" s="6" t="str">
        <f>IFERROR(__xludf.DUMMYFUNCTION("""COMPUTED_VALUE"""),"IDR")</f>
        <v>IDR</v>
      </c>
      <c r="I4528" s="6">
        <f>IFERROR(__xludf.DUMMYFUNCTION("""COMPUTED_VALUE"""),133600.0)</f>
        <v>133600</v>
      </c>
      <c r="J4528" s="6">
        <f>IFERROR(__xludf.DUMMYFUNCTION("""COMPUTED_VALUE"""),133600.0)</f>
        <v>133600</v>
      </c>
      <c r="K4528" s="57">
        <f>IFERROR(__xludf.DUMMYFUNCTION("""COMPUTED_VALUE"""),45982.0)</f>
        <v>45982</v>
      </c>
      <c r="L4528" s="6" t="str">
        <f>IFERROR(__xludf.DUMMYFUNCTION("""COMPUTED_VALUE"""),"FIP Engineering")</f>
        <v>FIP Engineering</v>
      </c>
      <c r="M4528" s="6" t="str">
        <f>IFERROR(__xludf.DUMMYFUNCTION("""COMPUTED_VALUE"""),"Mochammad Fadhillah Hakim,")</f>
        <v>Mochammad Fadhillah Hakim,</v>
      </c>
      <c r="N4528" s="6" t="str">
        <f>IFERROR(__xludf.DUMMYFUNCTION("""COMPUTED_VALUE"""),"FIP Engineering")</f>
        <v>FIP Engineering</v>
      </c>
      <c r="O4528" s="6" t="str">
        <f>IFERROR(__xludf.DUMMYFUNCTION("""COMPUTED_VALUE"""),"FIP-DOM-000-11304-OS00001-INA-000000")</f>
        <v>FIP-DOM-000-11304-OS00001-INA-000000</v>
      </c>
      <c r="P4528" s="6" t="str">
        <f>IFERROR(__xludf.DUMMYFUNCTION("""COMPUTED_VALUE"""),"PO Closed")</f>
        <v>PO Closed</v>
      </c>
      <c r="Q4528" s="6" t="str">
        <f>IFERROR(__xludf.DUMMYFUNCTION("""COMPUTED_VALUE"""),"GL2511308")</f>
        <v>GL2511308</v>
      </c>
      <c r="R4528" s="57">
        <f>IFERROR(__xludf.DUMMYFUNCTION("""COMPUTED_VALUE"""),45947.0)</f>
        <v>45947</v>
      </c>
      <c r="S4528" s="57">
        <f>IFERROR(__xludf.DUMMYFUNCTION("""COMPUTED_VALUE"""),45950.0)</f>
        <v>45950</v>
      </c>
      <c r="T4528" s="57">
        <f>IFERROR(__xludf.DUMMYFUNCTION("""COMPUTED_VALUE"""),46012.0)</f>
        <v>46012</v>
      </c>
    </row>
    <row r="4529">
      <c r="A4529" s="6" t="str">
        <f>IFERROR(__xludf.DUMMYFUNCTION("""COMPUTED_VALUE"""),"121703368-2")</f>
        <v>121703368-2</v>
      </c>
      <c r="B4529" s="6" t="str">
        <f>IFERROR(__xludf.DUMMYFUNCTION("""COMPUTED_VALUE"""),"121703368 - APPROVED")</f>
        <v>121703368 - APPROVED</v>
      </c>
      <c r="C4529" s="6">
        <f>IFERROR(__xludf.DUMMYFUNCTION("""COMPUTED_VALUE"""),2.0)</f>
        <v>2</v>
      </c>
      <c r="D4529" s="6" t="str">
        <f>IFERROR(__xludf.DUMMYFUNCTION("""COMPUTED_VALUE"""),"O-20553-00")</f>
        <v>O-20553-00</v>
      </c>
      <c r="E4529" s="6" t="str">
        <f>IFERROR(__xludf.DUMMYFUNCTION("""COMPUTED_VALUE"""),"Marchesini MA155 - Toothed Belt 390 L 050; -; C261390050; 1 Pc")</f>
        <v>Marchesini MA155 - Toothed Belt 390 L 050; -; C261390050; 1 Pc</v>
      </c>
      <c r="F4529" s="6">
        <f>IFERROR(__xludf.DUMMYFUNCTION("""COMPUTED_VALUE"""),2.0)</f>
        <v>2</v>
      </c>
      <c r="G4529" s="6" t="str">
        <f>IFERROR(__xludf.DUMMYFUNCTION("""COMPUTED_VALUE"""),"Pieces")</f>
        <v>Pieces</v>
      </c>
      <c r="H4529" s="6" t="str">
        <f>IFERROR(__xludf.DUMMYFUNCTION("""COMPUTED_VALUE"""),"IDR")</f>
        <v>IDR</v>
      </c>
      <c r="I4529" s="6">
        <f>IFERROR(__xludf.DUMMYFUNCTION("""COMPUTED_VALUE"""),94000.0)</f>
        <v>94000</v>
      </c>
      <c r="J4529" s="6">
        <f>IFERROR(__xludf.DUMMYFUNCTION("""COMPUTED_VALUE"""),188000.0)</f>
        <v>188000</v>
      </c>
      <c r="K4529" s="57">
        <f>IFERROR(__xludf.DUMMYFUNCTION("""COMPUTED_VALUE"""),45982.0)</f>
        <v>45982</v>
      </c>
      <c r="L4529" s="6" t="str">
        <f>IFERROR(__xludf.DUMMYFUNCTION("""COMPUTED_VALUE"""),"FIP Engineering")</f>
        <v>FIP Engineering</v>
      </c>
      <c r="M4529" s="6" t="str">
        <f>IFERROR(__xludf.DUMMYFUNCTION("""COMPUTED_VALUE"""),"Mochammad Fadhillah Hakim,")</f>
        <v>Mochammad Fadhillah Hakim,</v>
      </c>
      <c r="N4529" s="6" t="str">
        <f>IFERROR(__xludf.DUMMYFUNCTION("""COMPUTED_VALUE"""),"FIP Engineering")</f>
        <v>FIP Engineering</v>
      </c>
      <c r="O4529" s="6" t="str">
        <f>IFERROR(__xludf.DUMMYFUNCTION("""COMPUTED_VALUE"""),"FIP-DOM-000-11304-OS00001-INA-000000")</f>
        <v>FIP-DOM-000-11304-OS00001-INA-000000</v>
      </c>
      <c r="P4529" s="6" t="str">
        <f>IFERROR(__xludf.DUMMYFUNCTION("""COMPUTED_VALUE"""),"PO Closed")</f>
        <v>PO Closed</v>
      </c>
      <c r="Q4529" s="6" t="str">
        <f>IFERROR(__xludf.DUMMYFUNCTION("""COMPUTED_VALUE"""),"GL2511308")</f>
        <v>GL2511308</v>
      </c>
      <c r="R4529" s="57">
        <f>IFERROR(__xludf.DUMMYFUNCTION("""COMPUTED_VALUE"""),45947.0)</f>
        <v>45947</v>
      </c>
      <c r="S4529" s="57">
        <f>IFERROR(__xludf.DUMMYFUNCTION("""COMPUTED_VALUE"""),45950.0)</f>
        <v>45950</v>
      </c>
      <c r="T4529" s="57">
        <f>IFERROR(__xludf.DUMMYFUNCTION("""COMPUTED_VALUE"""),46012.0)</f>
        <v>46012</v>
      </c>
    </row>
    <row r="4530">
      <c r="A4530" s="6" t="str">
        <f>IFERROR(__xludf.DUMMYFUNCTION("""COMPUTED_VALUE"""),"121703368-3")</f>
        <v>121703368-3</v>
      </c>
      <c r="B4530" s="6" t="str">
        <f>IFERROR(__xludf.DUMMYFUNCTION("""COMPUTED_VALUE"""),"121703368 - APPROVED")</f>
        <v>121703368 - APPROVED</v>
      </c>
      <c r="C4530" s="6">
        <f>IFERROR(__xludf.DUMMYFUNCTION("""COMPUTED_VALUE"""),3.0)</f>
        <v>3</v>
      </c>
      <c r="D4530" s="6" t="str">
        <f>IFERROR(__xludf.DUMMYFUNCTION("""COMPUTED_VALUE"""),"O-11763-00")</f>
        <v>O-11763-00</v>
      </c>
      <c r="E4530" s="6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F4530" s="6">
        <f>IFERROR(__xludf.DUMMYFUNCTION("""COMPUTED_VALUE"""),2.0)</f>
        <v>2</v>
      </c>
      <c r="G4530" s="6" t="str">
        <f>IFERROR(__xludf.DUMMYFUNCTION("""COMPUTED_VALUE"""),"Pieces")</f>
        <v>Pieces</v>
      </c>
      <c r="H4530" s="6" t="str">
        <f>IFERROR(__xludf.DUMMYFUNCTION("""COMPUTED_VALUE"""),"IDR")</f>
        <v>IDR</v>
      </c>
      <c r="I4530" s="6">
        <f>IFERROR(__xludf.DUMMYFUNCTION("""COMPUTED_VALUE"""),199700.0)</f>
        <v>199700</v>
      </c>
      <c r="J4530" s="6">
        <f>IFERROR(__xludf.DUMMYFUNCTION("""COMPUTED_VALUE"""),399400.0)</f>
        <v>399400</v>
      </c>
      <c r="K4530" s="57">
        <f>IFERROR(__xludf.DUMMYFUNCTION("""COMPUTED_VALUE"""),45982.0)</f>
        <v>45982</v>
      </c>
      <c r="L4530" s="6" t="str">
        <f>IFERROR(__xludf.DUMMYFUNCTION("""COMPUTED_VALUE"""),"FIP Engineering")</f>
        <v>FIP Engineering</v>
      </c>
      <c r="M4530" s="6" t="str">
        <f>IFERROR(__xludf.DUMMYFUNCTION("""COMPUTED_VALUE"""),"Mochammad Fadhillah Hakim,")</f>
        <v>Mochammad Fadhillah Hakim,</v>
      </c>
      <c r="N4530" s="6" t="str">
        <f>IFERROR(__xludf.DUMMYFUNCTION("""COMPUTED_VALUE"""),"FIP Engineering")</f>
        <v>FIP Engineering</v>
      </c>
      <c r="O4530" s="6" t="str">
        <f>IFERROR(__xludf.DUMMYFUNCTION("""COMPUTED_VALUE"""),"FIP-DOM-000-11304-OS00001-INA-000000")</f>
        <v>FIP-DOM-000-11304-OS00001-INA-000000</v>
      </c>
      <c r="P4530" s="6" t="str">
        <f>IFERROR(__xludf.DUMMYFUNCTION("""COMPUTED_VALUE"""),"PO Closed")</f>
        <v>PO Closed</v>
      </c>
      <c r="Q4530" s="6" t="str">
        <f>IFERROR(__xludf.DUMMYFUNCTION("""COMPUTED_VALUE"""),"GL2511308")</f>
        <v>GL2511308</v>
      </c>
      <c r="R4530" s="57">
        <f>IFERROR(__xludf.DUMMYFUNCTION("""COMPUTED_VALUE"""),45947.0)</f>
        <v>45947</v>
      </c>
      <c r="S4530" s="57">
        <f>IFERROR(__xludf.DUMMYFUNCTION("""COMPUTED_VALUE"""),45950.0)</f>
        <v>45950</v>
      </c>
      <c r="T4530" s="57">
        <f>IFERROR(__xludf.DUMMYFUNCTION("""COMPUTED_VALUE"""),46012.0)</f>
        <v>46012</v>
      </c>
    </row>
    <row r="4531">
      <c r="A4531" s="6" t="str">
        <f>IFERROR(__xludf.DUMMYFUNCTION("""COMPUTED_VALUE"""),"121703368-4")</f>
        <v>121703368-4</v>
      </c>
      <c r="B4531" s="6" t="str">
        <f>IFERROR(__xludf.DUMMYFUNCTION("""COMPUTED_VALUE"""),"121703368 - APPROVED")</f>
        <v>121703368 - APPROVED</v>
      </c>
      <c r="C4531" s="6">
        <f>IFERROR(__xludf.DUMMYFUNCTION("""COMPUTED_VALUE"""),4.0)</f>
        <v>4</v>
      </c>
      <c r="D4531" s="6" t="str">
        <f>IFERROR(__xludf.DUMMYFUNCTION("""COMPUTED_VALUE"""),"O-11762-00")</f>
        <v>O-11762-00</v>
      </c>
      <c r="E4531" s="6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F4531" s="6">
        <f>IFERROR(__xludf.DUMMYFUNCTION("""COMPUTED_VALUE"""),1.0)</f>
        <v>1</v>
      </c>
      <c r="G4531" s="6" t="str">
        <f>IFERROR(__xludf.DUMMYFUNCTION("""COMPUTED_VALUE"""),"Pieces")</f>
        <v>Pieces</v>
      </c>
      <c r="H4531" s="6" t="str">
        <f>IFERROR(__xludf.DUMMYFUNCTION("""COMPUTED_VALUE"""),"IDR")</f>
        <v>IDR</v>
      </c>
      <c r="I4531" s="6">
        <f>IFERROR(__xludf.DUMMYFUNCTION("""COMPUTED_VALUE"""),286700.0)</f>
        <v>286700</v>
      </c>
      <c r="J4531" s="6">
        <f>IFERROR(__xludf.DUMMYFUNCTION("""COMPUTED_VALUE"""),286700.0)</f>
        <v>286700</v>
      </c>
      <c r="K4531" s="57">
        <f>IFERROR(__xludf.DUMMYFUNCTION("""COMPUTED_VALUE"""),45982.0)</f>
        <v>45982</v>
      </c>
      <c r="L4531" s="6" t="str">
        <f>IFERROR(__xludf.DUMMYFUNCTION("""COMPUTED_VALUE"""),"FIP Engineering")</f>
        <v>FIP Engineering</v>
      </c>
      <c r="M4531" s="6" t="str">
        <f>IFERROR(__xludf.DUMMYFUNCTION("""COMPUTED_VALUE"""),"Mochammad Fadhillah Hakim,")</f>
        <v>Mochammad Fadhillah Hakim,</v>
      </c>
      <c r="N4531" s="6" t="str">
        <f>IFERROR(__xludf.DUMMYFUNCTION("""COMPUTED_VALUE"""),"FIP Engineering")</f>
        <v>FIP Engineering</v>
      </c>
      <c r="O4531" s="6" t="str">
        <f>IFERROR(__xludf.DUMMYFUNCTION("""COMPUTED_VALUE"""),"FIP-DOM-000-11304-OS00001-INA-000000")</f>
        <v>FIP-DOM-000-11304-OS00001-INA-000000</v>
      </c>
      <c r="P4531" s="6" t="str">
        <f>IFERROR(__xludf.DUMMYFUNCTION("""COMPUTED_VALUE"""),"PO Closed")</f>
        <v>PO Closed</v>
      </c>
      <c r="Q4531" s="6" t="str">
        <f>IFERROR(__xludf.DUMMYFUNCTION("""COMPUTED_VALUE"""),"GL2511308")</f>
        <v>GL2511308</v>
      </c>
      <c r="R4531" s="57">
        <f>IFERROR(__xludf.DUMMYFUNCTION("""COMPUTED_VALUE"""),45947.0)</f>
        <v>45947</v>
      </c>
      <c r="S4531" s="57">
        <f>IFERROR(__xludf.DUMMYFUNCTION("""COMPUTED_VALUE"""),45950.0)</f>
        <v>45950</v>
      </c>
      <c r="T4531" s="57">
        <f>IFERROR(__xludf.DUMMYFUNCTION("""COMPUTED_VALUE"""),46012.0)</f>
        <v>46012</v>
      </c>
    </row>
    <row r="4532">
      <c r="A4532" s="6" t="str">
        <f>IFERROR(__xludf.DUMMYFUNCTION("""COMPUTED_VALUE"""),"121703368-5")</f>
        <v>121703368-5</v>
      </c>
      <c r="B4532" s="6" t="str">
        <f>IFERROR(__xludf.DUMMYFUNCTION("""COMPUTED_VALUE"""),"121703368 - APPROVED")</f>
        <v>121703368 - APPROVED</v>
      </c>
      <c r="C4532" s="6">
        <f>IFERROR(__xludf.DUMMYFUNCTION("""COMPUTED_VALUE"""),5.0)</f>
        <v>5</v>
      </c>
      <c r="D4532" s="6" t="str">
        <f>IFERROR(__xludf.DUMMYFUNCTION("""COMPUTED_VALUE"""),"O-11761-00")</f>
        <v>O-11761-00</v>
      </c>
      <c r="E4532" s="6" t="str">
        <f>IFERROR(__xludf.DUMMYFUNCTION("""COMPUTED_VALUE"""),"MARCHESINI MA 255 - Conveyor belt Nastro transporto FNB-8E 1380 X 40 HA; Marchesini; C720713840 pc")</f>
        <v>MARCHESINI MA 255 - Conveyor belt Nastro transporto FNB-8E 1380 X 40 HA; Marchesini; C720713840 pc</v>
      </c>
      <c r="F4532" s="6">
        <f>IFERROR(__xludf.DUMMYFUNCTION("""COMPUTED_VALUE"""),1.0)</f>
        <v>1</v>
      </c>
      <c r="G4532" s="6" t="str">
        <f>IFERROR(__xludf.DUMMYFUNCTION("""COMPUTED_VALUE"""),"Pieces")</f>
        <v>Pieces</v>
      </c>
      <c r="H4532" s="6" t="str">
        <f>IFERROR(__xludf.DUMMYFUNCTION("""COMPUTED_VALUE"""),"IDR")</f>
        <v>IDR</v>
      </c>
      <c r="I4532" s="6">
        <f>IFERROR(__xludf.DUMMYFUNCTION("""COMPUTED_VALUE"""),246300.0)</f>
        <v>246300</v>
      </c>
      <c r="J4532" s="6">
        <f>IFERROR(__xludf.DUMMYFUNCTION("""COMPUTED_VALUE"""),246300.0)</f>
        <v>246300</v>
      </c>
      <c r="K4532" s="57">
        <f>IFERROR(__xludf.DUMMYFUNCTION("""COMPUTED_VALUE"""),45982.0)</f>
        <v>45982</v>
      </c>
      <c r="L4532" s="6" t="str">
        <f>IFERROR(__xludf.DUMMYFUNCTION("""COMPUTED_VALUE"""),"FIP Engineering")</f>
        <v>FIP Engineering</v>
      </c>
      <c r="M4532" s="6" t="str">
        <f>IFERROR(__xludf.DUMMYFUNCTION("""COMPUTED_VALUE"""),"Mochammad Fadhillah Hakim,")</f>
        <v>Mochammad Fadhillah Hakim,</v>
      </c>
      <c r="N4532" s="6" t="str">
        <f>IFERROR(__xludf.DUMMYFUNCTION("""COMPUTED_VALUE"""),"FIP Engineering")</f>
        <v>FIP Engineering</v>
      </c>
      <c r="O4532" s="6" t="str">
        <f>IFERROR(__xludf.DUMMYFUNCTION("""COMPUTED_VALUE"""),"FIP-DOM-000-11304-OS00001-INA-000000")</f>
        <v>FIP-DOM-000-11304-OS00001-INA-000000</v>
      </c>
      <c r="P4532" s="6" t="str">
        <f>IFERROR(__xludf.DUMMYFUNCTION("""COMPUTED_VALUE"""),"PO Closed")</f>
        <v>PO Closed</v>
      </c>
      <c r="Q4532" s="6" t="str">
        <f>IFERROR(__xludf.DUMMYFUNCTION("""COMPUTED_VALUE"""),"GL2511308")</f>
        <v>GL2511308</v>
      </c>
      <c r="R4532" s="57">
        <f>IFERROR(__xludf.DUMMYFUNCTION("""COMPUTED_VALUE"""),45947.0)</f>
        <v>45947</v>
      </c>
      <c r="S4532" s="57">
        <f>IFERROR(__xludf.DUMMYFUNCTION("""COMPUTED_VALUE"""),45950.0)</f>
        <v>45950</v>
      </c>
      <c r="T4532" s="57">
        <f>IFERROR(__xludf.DUMMYFUNCTION("""COMPUTED_VALUE"""),46012.0)</f>
        <v>46012</v>
      </c>
    </row>
    <row r="4533">
      <c r="A4533" s="6" t="str">
        <f>IFERROR(__xludf.DUMMYFUNCTION("""COMPUTED_VALUE"""),"121703369-1")</f>
        <v>121703369-1</v>
      </c>
      <c r="B4533" s="6" t="str">
        <f>IFERROR(__xludf.DUMMYFUNCTION("""COMPUTED_VALUE"""),"121703369 - APPROVED")</f>
        <v>121703369 - APPROVED</v>
      </c>
      <c r="C4533" s="6">
        <f>IFERROR(__xludf.DUMMYFUNCTION("""COMPUTED_VALUE"""),1.0)</f>
        <v>1</v>
      </c>
      <c r="D4533" s="6" t="str">
        <f>IFERROR(__xludf.DUMMYFUNCTION("""COMPUTED_VALUE"""),"P-20272-00")</f>
        <v>P-20272-00</v>
      </c>
      <c r="E4533" s="6" t="str">
        <f>IFERROR(__xludf.DUMMYFUNCTION("""COMPUTED_VALUE"""),"General - V Belt SPA 1132; Mitsuboshi; -; 1 pc")</f>
        <v>General - V Belt SPA 1132; Mitsuboshi; -; 1 pc</v>
      </c>
      <c r="F4533" s="6">
        <f>IFERROR(__xludf.DUMMYFUNCTION("""COMPUTED_VALUE"""),10.0)</f>
        <v>10</v>
      </c>
      <c r="G4533" s="6" t="str">
        <f>IFERROR(__xludf.DUMMYFUNCTION("""COMPUTED_VALUE"""),"Pieces")</f>
        <v>Pieces</v>
      </c>
      <c r="H4533" s="6" t="str">
        <f>IFERROR(__xludf.DUMMYFUNCTION("""COMPUTED_VALUE"""),"IDR")</f>
        <v>IDR</v>
      </c>
      <c r="I4533" s="6">
        <f>IFERROR(__xludf.DUMMYFUNCTION("""COMPUTED_VALUE"""),41320.0)</f>
        <v>41320</v>
      </c>
      <c r="J4533" s="6">
        <f>IFERROR(__xludf.DUMMYFUNCTION("""COMPUTED_VALUE"""),413200.0)</f>
        <v>413200</v>
      </c>
      <c r="K4533" s="57">
        <f>IFERROR(__xludf.DUMMYFUNCTION("""COMPUTED_VALUE"""),45982.0)</f>
        <v>45982</v>
      </c>
      <c r="L4533" s="6" t="str">
        <f>IFERROR(__xludf.DUMMYFUNCTION("""COMPUTED_VALUE"""),"FIP Engineering")</f>
        <v>FIP Engineering</v>
      </c>
      <c r="M4533" s="6" t="str">
        <f>IFERROR(__xludf.DUMMYFUNCTION("""COMPUTED_VALUE"""),"Mochammad Fadhillah Hakim,")</f>
        <v>Mochammad Fadhillah Hakim,</v>
      </c>
      <c r="N4533" s="6" t="str">
        <f>IFERROR(__xludf.DUMMYFUNCTION("""COMPUTED_VALUE"""),"FIP Engineering")</f>
        <v>FIP Engineering</v>
      </c>
      <c r="O4533" s="6" t="str">
        <f>IFERROR(__xludf.DUMMYFUNCTION("""COMPUTED_VALUE"""),"FIP-DOM-000-11304-OS00001-INA-000000")</f>
        <v>FIP-DOM-000-11304-OS00001-INA-000000</v>
      </c>
      <c r="P4533" s="6" t="str">
        <f>IFERROR(__xludf.DUMMYFUNCTION("""COMPUTED_VALUE"""),"PO Closed")</f>
        <v>PO Closed</v>
      </c>
      <c r="Q4533" s="6" t="str">
        <f>IFERROR(__xludf.DUMMYFUNCTION("""COMPUTED_VALUE"""),"GL2510048")</f>
        <v>GL2510048</v>
      </c>
      <c r="R4533" s="57">
        <f>IFERROR(__xludf.DUMMYFUNCTION("""COMPUTED_VALUE"""),45947.0)</f>
        <v>45947</v>
      </c>
      <c r="S4533" s="57">
        <f>IFERROR(__xludf.DUMMYFUNCTION("""COMPUTED_VALUE"""),45947.0)</f>
        <v>45947</v>
      </c>
      <c r="T4533" s="57">
        <f>IFERROR(__xludf.DUMMYFUNCTION("""COMPUTED_VALUE"""),45982.0)</f>
        <v>45982</v>
      </c>
    </row>
    <row r="4534">
      <c r="A4534" s="6" t="str">
        <f>IFERROR(__xludf.DUMMYFUNCTION("""COMPUTED_VALUE"""),"121703370-1")</f>
        <v>121703370-1</v>
      </c>
      <c r="B4534" s="6" t="str">
        <f>IFERROR(__xludf.DUMMYFUNCTION("""COMPUTED_VALUE"""),"121703370 - APPROVED")</f>
        <v>121703370 - APPROVED</v>
      </c>
      <c r="C4534" s="6">
        <f>IFERROR(__xludf.DUMMYFUNCTION("""COMPUTED_VALUE"""),1.0)</f>
        <v>1</v>
      </c>
      <c r="D4534" s="6" t="str">
        <f>IFERROR(__xludf.DUMMYFUNCTION("""COMPUTED_VALUE"""),"P-13370-00")</f>
        <v>P-13370-00</v>
      </c>
      <c r="E4534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F4534" s="6">
        <f>IFERROR(__xludf.DUMMYFUNCTION("""COMPUTED_VALUE"""),3.0)</f>
        <v>3</v>
      </c>
      <c r="G4534" s="6" t="str">
        <f>IFERROR(__xludf.DUMMYFUNCTION("""COMPUTED_VALUE"""),"Unit")</f>
        <v>Unit</v>
      </c>
      <c r="H4534" s="6" t="str">
        <f>IFERROR(__xludf.DUMMYFUNCTION("""COMPUTED_VALUE"""),"IDR")</f>
        <v>IDR</v>
      </c>
      <c r="I4534" s="6">
        <f>IFERROR(__xludf.DUMMYFUNCTION("""COMPUTED_VALUE"""),4176900.0)</f>
        <v>4176900</v>
      </c>
      <c r="J4534" s="6">
        <f>IFERROR(__xludf.DUMMYFUNCTION("""COMPUTED_VALUE"""),1.25307E7)</f>
        <v>12530700</v>
      </c>
      <c r="K4534" s="57">
        <f>IFERROR(__xludf.DUMMYFUNCTION("""COMPUTED_VALUE"""),45982.0)</f>
        <v>45982</v>
      </c>
      <c r="L4534" s="6" t="str">
        <f>IFERROR(__xludf.DUMMYFUNCTION("""COMPUTED_VALUE"""),"FIP Engineering")</f>
        <v>FIP Engineering</v>
      </c>
      <c r="M4534" s="6" t="str">
        <f>IFERROR(__xludf.DUMMYFUNCTION("""COMPUTED_VALUE"""),"Mochammad Fadhillah Hakim,")</f>
        <v>Mochammad Fadhillah Hakim,</v>
      </c>
      <c r="N4534" s="6" t="str">
        <f>IFERROR(__xludf.DUMMYFUNCTION("""COMPUTED_VALUE"""),"FIP Engineering")</f>
        <v>FIP Engineering</v>
      </c>
      <c r="O4534" s="6" t="str">
        <f>IFERROR(__xludf.DUMMYFUNCTION("""COMPUTED_VALUE"""),"FIP-DOM-000-11304-OS00001-INA-000000")</f>
        <v>FIP-DOM-000-11304-OS00001-INA-000000</v>
      </c>
      <c r="P4534" s="6" t="str">
        <f>IFERROR(__xludf.DUMMYFUNCTION("""COMPUTED_VALUE"""),"PO Closed")</f>
        <v>PO Closed</v>
      </c>
      <c r="Q4534" s="6" t="str">
        <f>IFERROR(__xludf.DUMMYFUNCTION("""COMPUTED_VALUE"""),"GL2511014")</f>
        <v>GL2511014</v>
      </c>
      <c r="R4534" s="57">
        <f>IFERROR(__xludf.DUMMYFUNCTION("""COMPUTED_VALUE"""),45950.0)</f>
        <v>45950</v>
      </c>
      <c r="S4534" s="57">
        <f>IFERROR(__xludf.DUMMYFUNCTION("""COMPUTED_VALUE"""),45952.0)</f>
        <v>45952</v>
      </c>
      <c r="T4534" s="57">
        <f>IFERROR(__xludf.DUMMYFUNCTION("""COMPUTED_VALUE"""),45982.0)</f>
        <v>45982</v>
      </c>
    </row>
    <row r="4535">
      <c r="A4535" s="6" t="str">
        <f>IFERROR(__xludf.DUMMYFUNCTION("""COMPUTED_VALUE"""),"121703371-1")</f>
        <v>121703371-1</v>
      </c>
      <c r="B4535" s="6" t="str">
        <f>IFERROR(__xludf.DUMMYFUNCTION("""COMPUTED_VALUE"""),"121703371 - APPROVED")</f>
        <v>121703371 - APPROVED</v>
      </c>
      <c r="C4535" s="6">
        <f>IFERROR(__xludf.DUMMYFUNCTION("""COMPUTED_VALUE"""),1.0)</f>
        <v>1</v>
      </c>
      <c r="D4535" s="6" t="str">
        <f>IFERROR(__xludf.DUMMYFUNCTION("""COMPUTED_VALUE"""),"P-50428-00")</f>
        <v>P-50428-00</v>
      </c>
      <c r="E4535" s="6" t="str">
        <f>IFERROR(__xludf.DUMMYFUNCTION("""COMPUTED_VALUE"""),"Pilot Lamps / Yellow / 220 VAC / AD22-22DS / AXLE")</f>
        <v>Pilot Lamps / Yellow / 220 VAC / AD22-22DS / AXLE</v>
      </c>
      <c r="F4535" s="6">
        <f>IFERROR(__xludf.DUMMYFUNCTION("""COMPUTED_VALUE"""),3.0)</f>
        <v>3</v>
      </c>
      <c r="G4535" s="6" t="str">
        <f>IFERROR(__xludf.DUMMYFUNCTION("""COMPUTED_VALUE"""),"Pieces")</f>
        <v>Pieces</v>
      </c>
      <c r="H4535" s="6" t="str">
        <f>IFERROR(__xludf.DUMMYFUNCTION("""COMPUTED_VALUE"""),"IDR")</f>
        <v>IDR</v>
      </c>
      <c r="I4535" s="6">
        <f>IFERROR(__xludf.DUMMYFUNCTION("""COMPUTED_VALUE"""),11100.0)</f>
        <v>11100</v>
      </c>
      <c r="J4535" s="6">
        <f>IFERROR(__xludf.DUMMYFUNCTION("""COMPUTED_VALUE"""),33300.0)</f>
        <v>33300</v>
      </c>
      <c r="K4535" s="57">
        <f>IFERROR(__xludf.DUMMYFUNCTION("""COMPUTED_VALUE"""),45989.0)</f>
        <v>45989</v>
      </c>
      <c r="L4535" s="6" t="str">
        <f>IFERROR(__xludf.DUMMYFUNCTION("""COMPUTED_VALUE"""),"FIP Engineering")</f>
        <v>FIP Engineering</v>
      </c>
      <c r="M4535" s="6" t="str">
        <f>IFERROR(__xludf.DUMMYFUNCTION("""COMPUTED_VALUE"""),"Mochammad Fadhillah Hakim,")</f>
        <v>Mochammad Fadhillah Hakim,</v>
      </c>
      <c r="N4535" s="6" t="str">
        <f>IFERROR(__xludf.DUMMYFUNCTION("""COMPUTED_VALUE"""),"FIP Engineering")</f>
        <v>FIP Engineering</v>
      </c>
      <c r="O4535" s="6" t="str">
        <f>IFERROR(__xludf.DUMMYFUNCTION("""COMPUTED_VALUE"""),"FIP-DOM-000-11304-OS00001-INA-000000")</f>
        <v>FIP-DOM-000-11304-OS00001-INA-000000</v>
      </c>
      <c r="P4535" s="6" t="str">
        <f>IFERROR(__xludf.DUMMYFUNCTION("""COMPUTED_VALUE"""),"PO Closed")</f>
        <v>PO Closed</v>
      </c>
      <c r="Q4535" s="6" t="str">
        <f>IFERROR(__xludf.DUMMYFUNCTION("""COMPUTED_VALUE"""),"GL2511311")</f>
        <v>GL2511311</v>
      </c>
      <c r="R4535" s="57">
        <f>IFERROR(__xludf.DUMMYFUNCTION("""COMPUTED_VALUE"""),45950.0)</f>
        <v>45950</v>
      </c>
      <c r="S4535" s="57">
        <f>IFERROR(__xludf.DUMMYFUNCTION("""COMPUTED_VALUE"""),45952.0)</f>
        <v>45952</v>
      </c>
      <c r="T4535" s="57">
        <f>IFERROR(__xludf.DUMMYFUNCTION("""COMPUTED_VALUE"""),46042.0)</f>
        <v>46042</v>
      </c>
    </row>
    <row r="4536">
      <c r="A4536" s="6" t="str">
        <f>IFERROR(__xludf.DUMMYFUNCTION("""COMPUTED_VALUE"""),"121703371-2")</f>
        <v>121703371-2</v>
      </c>
      <c r="B4536" s="6" t="str">
        <f>IFERROR(__xludf.DUMMYFUNCTION("""COMPUTED_VALUE"""),"121703371 - APPROVED")</f>
        <v>121703371 - APPROVED</v>
      </c>
      <c r="C4536" s="6">
        <f>IFERROR(__xludf.DUMMYFUNCTION("""COMPUTED_VALUE"""),2.0)</f>
        <v>2</v>
      </c>
      <c r="D4536" s="6" t="str">
        <f>IFERROR(__xludf.DUMMYFUNCTION("""COMPUTED_VALUE"""),"P-50426-00")</f>
        <v>P-50426-00</v>
      </c>
      <c r="E4536" s="6" t="str">
        <f>IFERROR(__xludf.DUMMYFUNCTION("""COMPUTED_VALUE"""),"Pilot Lamps / Green / 220 VAC / AD22-22DS / AXLE")</f>
        <v>Pilot Lamps / Green / 220 VAC / AD22-22DS / AXLE</v>
      </c>
      <c r="F4536" s="6">
        <f>IFERROR(__xludf.DUMMYFUNCTION("""COMPUTED_VALUE"""),3.0)</f>
        <v>3</v>
      </c>
      <c r="G4536" s="6" t="str">
        <f>IFERROR(__xludf.DUMMYFUNCTION("""COMPUTED_VALUE"""),"Pieces")</f>
        <v>Pieces</v>
      </c>
      <c r="H4536" s="6" t="str">
        <f>IFERROR(__xludf.DUMMYFUNCTION("""COMPUTED_VALUE"""),"IDR")</f>
        <v>IDR</v>
      </c>
      <c r="I4536" s="6">
        <f>IFERROR(__xludf.DUMMYFUNCTION("""COMPUTED_VALUE"""),11100.0)</f>
        <v>11100</v>
      </c>
      <c r="J4536" s="6">
        <f>IFERROR(__xludf.DUMMYFUNCTION("""COMPUTED_VALUE"""),33300.0)</f>
        <v>33300</v>
      </c>
      <c r="K4536" s="57">
        <f>IFERROR(__xludf.DUMMYFUNCTION("""COMPUTED_VALUE"""),45989.0)</f>
        <v>45989</v>
      </c>
      <c r="L4536" s="6" t="str">
        <f>IFERROR(__xludf.DUMMYFUNCTION("""COMPUTED_VALUE"""),"FIP Engineering")</f>
        <v>FIP Engineering</v>
      </c>
      <c r="M4536" s="6" t="str">
        <f>IFERROR(__xludf.DUMMYFUNCTION("""COMPUTED_VALUE"""),"Mochammad Fadhillah Hakim,")</f>
        <v>Mochammad Fadhillah Hakim,</v>
      </c>
      <c r="N4536" s="6" t="str">
        <f>IFERROR(__xludf.DUMMYFUNCTION("""COMPUTED_VALUE"""),"FIP Engineering")</f>
        <v>FIP Engineering</v>
      </c>
      <c r="O4536" s="6" t="str">
        <f>IFERROR(__xludf.DUMMYFUNCTION("""COMPUTED_VALUE"""),"FIP-DOM-000-11304-OS00001-INA-000000")</f>
        <v>FIP-DOM-000-11304-OS00001-INA-000000</v>
      </c>
      <c r="P4536" s="6" t="str">
        <f>IFERROR(__xludf.DUMMYFUNCTION("""COMPUTED_VALUE"""),"PO Closed")</f>
        <v>PO Closed</v>
      </c>
      <c r="Q4536" s="6" t="str">
        <f>IFERROR(__xludf.DUMMYFUNCTION("""COMPUTED_VALUE"""),"GL2511311")</f>
        <v>GL2511311</v>
      </c>
      <c r="R4536" s="57">
        <f>IFERROR(__xludf.DUMMYFUNCTION("""COMPUTED_VALUE"""),45950.0)</f>
        <v>45950</v>
      </c>
      <c r="S4536" s="57">
        <f>IFERROR(__xludf.DUMMYFUNCTION("""COMPUTED_VALUE"""),45952.0)</f>
        <v>45952</v>
      </c>
      <c r="T4536" s="57">
        <f>IFERROR(__xludf.DUMMYFUNCTION("""COMPUTED_VALUE"""),46042.0)</f>
        <v>46042</v>
      </c>
    </row>
    <row r="4537">
      <c r="A4537" s="6" t="str">
        <f>IFERROR(__xludf.DUMMYFUNCTION("""COMPUTED_VALUE"""),"121703371-3")</f>
        <v>121703371-3</v>
      </c>
      <c r="B4537" s="6" t="str">
        <f>IFERROR(__xludf.DUMMYFUNCTION("""COMPUTED_VALUE"""),"121703371 - APPROVED")</f>
        <v>121703371 - APPROVED</v>
      </c>
      <c r="C4537" s="6">
        <f>IFERROR(__xludf.DUMMYFUNCTION("""COMPUTED_VALUE"""),3.0)</f>
        <v>3</v>
      </c>
      <c r="D4537" s="6" t="str">
        <f>IFERROR(__xludf.DUMMYFUNCTION("""COMPUTED_VALUE"""),"P-19949-00")</f>
        <v>P-19949-00</v>
      </c>
      <c r="E4537" s="6" t="str">
        <f>IFERROR(__xludf.DUMMYFUNCTION("""COMPUTED_VALUE"""),"General - Label Maker Cable CAT6A; No Brand; -; 1 pc")</f>
        <v>General - Label Maker Cable CAT6A; No Brand; -; 1 pc</v>
      </c>
      <c r="F4537" s="6">
        <f>IFERROR(__xludf.DUMMYFUNCTION("""COMPUTED_VALUE"""),500.0)</f>
        <v>500</v>
      </c>
      <c r="G4537" s="6" t="str">
        <f>IFERROR(__xludf.DUMMYFUNCTION("""COMPUTED_VALUE"""),"Pieces")</f>
        <v>Pieces</v>
      </c>
      <c r="H4537" s="6" t="str">
        <f>IFERROR(__xludf.DUMMYFUNCTION("""COMPUTED_VALUE"""),"IDR")</f>
        <v>IDR</v>
      </c>
      <c r="I4537" s="6">
        <f>IFERROR(__xludf.DUMMYFUNCTION("""COMPUTED_VALUE"""),1000.0)</f>
        <v>1000</v>
      </c>
      <c r="J4537" s="6">
        <f>IFERROR(__xludf.DUMMYFUNCTION("""COMPUTED_VALUE"""),500000.0)</f>
        <v>500000</v>
      </c>
      <c r="K4537" s="57">
        <f>IFERROR(__xludf.DUMMYFUNCTION("""COMPUTED_VALUE"""),45989.0)</f>
        <v>45989</v>
      </c>
      <c r="L4537" s="6" t="str">
        <f>IFERROR(__xludf.DUMMYFUNCTION("""COMPUTED_VALUE"""),"FIP Engineering")</f>
        <v>FIP Engineering</v>
      </c>
      <c r="M4537" s="6" t="str">
        <f>IFERROR(__xludf.DUMMYFUNCTION("""COMPUTED_VALUE"""),"Mochammad Fadhillah Hakim,")</f>
        <v>Mochammad Fadhillah Hakim,</v>
      </c>
      <c r="N4537" s="6" t="str">
        <f>IFERROR(__xludf.DUMMYFUNCTION("""COMPUTED_VALUE"""),"FIP Engineering")</f>
        <v>FIP Engineering</v>
      </c>
      <c r="O4537" s="6" t="str">
        <f>IFERROR(__xludf.DUMMYFUNCTION("""COMPUTED_VALUE"""),"FIP-DOM-000-11304-OS00001-INA-000000")</f>
        <v>FIP-DOM-000-11304-OS00001-INA-000000</v>
      </c>
      <c r="P4537" s="6" t="str">
        <f>IFERROR(__xludf.DUMMYFUNCTION("""COMPUTED_VALUE"""),"PO Closed")</f>
        <v>PO Closed</v>
      </c>
      <c r="Q4537" s="6" t="str">
        <f>IFERROR(__xludf.DUMMYFUNCTION("""COMPUTED_VALUE"""),"GL2511311")</f>
        <v>GL2511311</v>
      </c>
      <c r="R4537" s="57">
        <f>IFERROR(__xludf.DUMMYFUNCTION("""COMPUTED_VALUE"""),45950.0)</f>
        <v>45950</v>
      </c>
      <c r="S4537" s="57">
        <f>IFERROR(__xludf.DUMMYFUNCTION("""COMPUTED_VALUE"""),45952.0)</f>
        <v>45952</v>
      </c>
      <c r="T4537" s="57">
        <f>IFERROR(__xludf.DUMMYFUNCTION("""COMPUTED_VALUE"""),46042.0)</f>
        <v>46042</v>
      </c>
    </row>
    <row r="4538">
      <c r="A4538" s="6" t="str">
        <f>IFERROR(__xludf.DUMMYFUNCTION("""COMPUTED_VALUE"""),"121703372-1")</f>
        <v>121703372-1</v>
      </c>
      <c r="B4538" s="6" t="str">
        <f>IFERROR(__xludf.DUMMYFUNCTION("""COMPUTED_VALUE"""),"121703372 - APPROVED")</f>
        <v>121703372 - APPROVED</v>
      </c>
      <c r="C4538" s="6">
        <f>IFERROR(__xludf.DUMMYFUNCTION("""COMPUTED_VALUE"""),1.0)</f>
        <v>1</v>
      </c>
      <c r="D4538" s="6" t="str">
        <f>IFERROR(__xludf.DUMMYFUNCTION("""COMPUTED_VALUE"""),"O-52825-00")</f>
        <v>O-52825-00</v>
      </c>
      <c r="E4538" s="6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F4538" s="6">
        <f>IFERROR(__xludf.DUMMYFUNCTION("""COMPUTED_VALUE"""),2.0)</f>
        <v>2</v>
      </c>
      <c r="G4538" s="6" t="str">
        <f>IFERROR(__xludf.DUMMYFUNCTION("""COMPUTED_VALUE"""),"Pieces")</f>
        <v>Pieces</v>
      </c>
      <c r="H4538" s="6" t="str">
        <f>IFERROR(__xludf.DUMMYFUNCTION("""COMPUTED_VALUE"""),"USD")</f>
        <v>USD</v>
      </c>
      <c r="I4538" s="6">
        <f>IFERROR(__xludf.DUMMYFUNCTION("""COMPUTED_VALUE"""),5975345.0)</f>
        <v>5975345</v>
      </c>
      <c r="J4538" s="6">
        <f>IFERROR(__xludf.DUMMYFUNCTION("""COMPUTED_VALUE"""),1.1950691E7)</f>
        <v>11950691</v>
      </c>
      <c r="K4538" s="57">
        <f>IFERROR(__xludf.DUMMYFUNCTION("""COMPUTED_VALUE"""),46017.0)</f>
        <v>46017</v>
      </c>
      <c r="L4538" s="6" t="str">
        <f>IFERROR(__xludf.DUMMYFUNCTION("""COMPUTED_VALUE"""),"FIP Engineering")</f>
        <v>FIP Engineering</v>
      </c>
      <c r="M4538" s="6" t="str">
        <f>IFERROR(__xludf.DUMMYFUNCTION("""COMPUTED_VALUE"""),"Mochammad Fadhillah Hakim,")</f>
        <v>Mochammad Fadhillah Hakim,</v>
      </c>
      <c r="N4538" s="6" t="str">
        <f>IFERROR(__xludf.DUMMYFUNCTION("""COMPUTED_VALUE"""),"FIP Engineering")</f>
        <v>FIP Engineering</v>
      </c>
      <c r="O4538" s="6" t="str">
        <f>IFERROR(__xludf.DUMMYFUNCTION("""COMPUTED_VALUE"""),"FIP-DOM-000-11304-OS00001-INA-000000")</f>
        <v>FIP-DOM-000-11304-OS00001-INA-000000</v>
      </c>
      <c r="P4538" s="6" t="str">
        <f>IFERROR(__xludf.DUMMYFUNCTION("""COMPUTED_VALUE"""),"PO Closed")</f>
        <v>PO Closed</v>
      </c>
      <c r="Q4538" s="6" t="str">
        <f>IFERROR(__xludf.DUMMYFUNCTION("""COMPUTED_VALUE"""),"GL2603009")</f>
        <v>GL2603009</v>
      </c>
      <c r="R4538" s="57">
        <f>IFERROR(__xludf.DUMMYFUNCTION("""COMPUTED_VALUE"""),45950.0)</f>
        <v>45950</v>
      </c>
      <c r="S4538" s="57">
        <f>IFERROR(__xludf.DUMMYFUNCTION("""COMPUTED_VALUE"""),46057.0)</f>
        <v>46057</v>
      </c>
      <c r="T4538" s="57">
        <f>IFERROR(__xludf.DUMMYFUNCTION("""COMPUTED_VALUE"""),46168.0)</f>
        <v>46168</v>
      </c>
    </row>
    <row r="4539">
      <c r="A4539" s="6" t="str">
        <f>IFERROR(__xludf.DUMMYFUNCTION("""COMPUTED_VALUE"""),"121703376-1")</f>
        <v>121703376-1</v>
      </c>
      <c r="B4539" s="6" t="str">
        <f>IFERROR(__xludf.DUMMYFUNCTION("""COMPUTED_VALUE"""),"121703376 - APPROVED")</f>
        <v>121703376 - APPROVED</v>
      </c>
      <c r="C4539" s="6">
        <f>IFERROR(__xludf.DUMMYFUNCTION("""COMPUTED_VALUE"""),1.0)</f>
        <v>1</v>
      </c>
      <c r="D4539" s="6" t="str">
        <f>IFERROR(__xludf.DUMMYFUNCTION("""COMPUTED_VALUE"""),"P-52854-00")</f>
        <v>P-52854-00</v>
      </c>
      <c r="E4539" s="6" t="str">
        <f>IFERROR(__xludf.DUMMYFUNCTION("""COMPUTED_VALUE"""),"General - Socket RJ45 Cat 6; Belden; -; 50pcs/pack")</f>
        <v>General - Socket RJ45 Cat 6; Belden; -; 50pcs/pack</v>
      </c>
      <c r="F4539" s="6">
        <f>IFERROR(__xludf.DUMMYFUNCTION("""COMPUTED_VALUE"""),2.0)</f>
        <v>2</v>
      </c>
      <c r="G4539" s="6" t="str">
        <f>IFERROR(__xludf.DUMMYFUNCTION("""COMPUTED_VALUE"""),"Pieces")</f>
        <v>Pieces</v>
      </c>
      <c r="H4539" s="6" t="str">
        <f>IFERROR(__xludf.DUMMYFUNCTION("""COMPUTED_VALUE"""),"IDR")</f>
        <v>IDR</v>
      </c>
      <c r="I4539" s="6">
        <f>IFERROR(__xludf.DUMMYFUNCTION("""COMPUTED_VALUE"""),315000.0)</f>
        <v>315000</v>
      </c>
      <c r="J4539" s="6">
        <f>IFERROR(__xludf.DUMMYFUNCTION("""COMPUTED_VALUE"""),630000.0)</f>
        <v>630000</v>
      </c>
      <c r="K4539" s="57">
        <f>IFERROR(__xludf.DUMMYFUNCTION("""COMPUTED_VALUE"""),45982.0)</f>
        <v>45982</v>
      </c>
      <c r="L4539" s="6" t="str">
        <f>IFERROR(__xludf.DUMMYFUNCTION("""COMPUTED_VALUE"""),"FIP Engineering")</f>
        <v>FIP Engineering</v>
      </c>
      <c r="M4539" s="6" t="str">
        <f>IFERROR(__xludf.DUMMYFUNCTION("""COMPUTED_VALUE"""),"Mochammad Fadhillah Hakim,")</f>
        <v>Mochammad Fadhillah Hakim,</v>
      </c>
      <c r="N4539" s="6" t="str">
        <f>IFERROR(__xludf.DUMMYFUNCTION("""COMPUTED_VALUE"""),"FIP Engineering")</f>
        <v>FIP Engineering</v>
      </c>
      <c r="O4539" s="6" t="str">
        <f>IFERROR(__xludf.DUMMYFUNCTION("""COMPUTED_VALUE"""),"FIP-DOM-000-11304-OS00001-INA-000000")</f>
        <v>FIP-DOM-000-11304-OS00001-INA-000000</v>
      </c>
      <c r="P4539" s="6" t="str">
        <f>IFERROR(__xludf.DUMMYFUNCTION("""COMPUTED_VALUE"""),"PO Closed")</f>
        <v>PO Closed</v>
      </c>
      <c r="Q4539" s="6" t="str">
        <f>IFERROR(__xludf.DUMMYFUNCTION("""COMPUTED_VALUE"""),"GL2511310")</f>
        <v>GL2511310</v>
      </c>
      <c r="R4539" s="57">
        <f>IFERROR(__xludf.DUMMYFUNCTION("""COMPUTED_VALUE"""),45951.0)</f>
        <v>45951</v>
      </c>
      <c r="S4539" s="57">
        <f>IFERROR(__xludf.DUMMYFUNCTION("""COMPUTED_VALUE"""),45952.0)</f>
        <v>45952</v>
      </c>
      <c r="T4539" s="57">
        <f>IFERROR(__xludf.DUMMYFUNCTION("""COMPUTED_VALUE"""),45989.0)</f>
        <v>45989</v>
      </c>
    </row>
    <row r="4540">
      <c r="A4540" s="6" t="str">
        <f>IFERROR(__xludf.DUMMYFUNCTION("""COMPUTED_VALUE"""),"121703377-1")</f>
        <v>121703377-1</v>
      </c>
      <c r="B4540" s="6" t="str">
        <f>IFERROR(__xludf.DUMMYFUNCTION("""COMPUTED_VALUE"""),"121703377 - APPROVED")</f>
        <v>121703377 - APPROVED</v>
      </c>
      <c r="C4540" s="6">
        <f>IFERROR(__xludf.DUMMYFUNCTION("""COMPUTED_VALUE"""),1.0)</f>
        <v>1</v>
      </c>
      <c r="D4540" s="6" t="str">
        <f>IFERROR(__xludf.DUMMYFUNCTION("""COMPUTED_VALUE"""),"O-16732-00")</f>
        <v>O-16732-00</v>
      </c>
      <c r="E4540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F4540" s="6">
        <f>IFERROR(__xludf.DUMMYFUNCTION("""COMPUTED_VALUE"""),10.0)</f>
        <v>10</v>
      </c>
      <c r="G4540" s="6" t="str">
        <f>IFERROR(__xludf.DUMMYFUNCTION("""COMPUTED_VALUE"""),"Pieces")</f>
        <v>Pieces</v>
      </c>
      <c r="H4540" s="6" t="str">
        <f>IFERROR(__xludf.DUMMYFUNCTION("""COMPUTED_VALUE"""),"EUR")</f>
        <v>EUR</v>
      </c>
      <c r="I4540" s="6">
        <f>IFERROR(__xludf.DUMMYFUNCTION("""COMPUTED_VALUE"""),225672.0)</f>
        <v>225672</v>
      </c>
      <c r="J4540" s="6">
        <f>IFERROR(__xludf.DUMMYFUNCTION("""COMPUTED_VALUE"""),2256719.0)</f>
        <v>2256719</v>
      </c>
      <c r="K4540" s="57">
        <f>IFERROR(__xludf.DUMMYFUNCTION("""COMPUTED_VALUE"""),46017.0)</f>
        <v>46017</v>
      </c>
      <c r="L4540" s="6" t="str">
        <f>IFERROR(__xludf.DUMMYFUNCTION("""COMPUTED_VALUE"""),"FIP Engineering")</f>
        <v>FIP Engineering</v>
      </c>
      <c r="M4540" s="6" t="str">
        <f>IFERROR(__xludf.DUMMYFUNCTION("""COMPUTED_VALUE"""),"Mochammad Fadhillah Hakim,")</f>
        <v>Mochammad Fadhillah Hakim,</v>
      </c>
      <c r="N4540" s="6" t="str">
        <f>IFERROR(__xludf.DUMMYFUNCTION("""COMPUTED_VALUE"""),"FIP Engineering")</f>
        <v>FIP Engineering</v>
      </c>
      <c r="O4540" s="6" t="str">
        <f>IFERROR(__xludf.DUMMYFUNCTION("""COMPUTED_VALUE"""),"FIP-DOM-000-11304-OS00001-INA-000000")</f>
        <v>FIP-DOM-000-11304-OS00001-INA-000000</v>
      </c>
      <c r="P4540" s="6" t="str">
        <f>IFERROR(__xludf.DUMMYFUNCTION("""COMPUTED_VALUE"""),"PO Closed")</f>
        <v>PO Closed</v>
      </c>
      <c r="Q4540" s="6" t="str">
        <f>IFERROR(__xludf.DUMMYFUNCTION("""COMPUTED_VALUE"""),"GL2511305")</f>
        <v>GL2511305</v>
      </c>
      <c r="R4540" s="57">
        <f>IFERROR(__xludf.DUMMYFUNCTION("""COMPUTED_VALUE"""),45951.0)</f>
        <v>45951</v>
      </c>
      <c r="S4540" s="57">
        <f>IFERROR(__xludf.DUMMYFUNCTION("""COMPUTED_VALUE"""),45952.0)</f>
        <v>45952</v>
      </c>
      <c r="T4540" s="57">
        <f>IFERROR(__xludf.DUMMYFUNCTION("""COMPUTED_VALUE"""),46107.0)</f>
        <v>46107</v>
      </c>
    </row>
    <row r="4541">
      <c r="A4541" s="6" t="str">
        <f>IFERROR(__xludf.DUMMYFUNCTION("""COMPUTED_VALUE"""),"121703378-1")</f>
        <v>121703378-1</v>
      </c>
      <c r="B4541" s="6" t="str">
        <f>IFERROR(__xludf.DUMMYFUNCTION("""COMPUTED_VALUE"""),"121703378 - APPROVED")</f>
        <v>121703378 - APPROVED</v>
      </c>
      <c r="C4541" s="6">
        <f>IFERROR(__xludf.DUMMYFUNCTION("""COMPUTED_VALUE"""),1.0)</f>
        <v>1</v>
      </c>
      <c r="D4541" s="6" t="str">
        <f>IFERROR(__xludf.DUMMYFUNCTION("""COMPUTED_VALUE"""),"Q-12060-00")</f>
        <v>Q-12060-00</v>
      </c>
      <c r="E4541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F4541" s="6">
        <f>IFERROR(__xludf.DUMMYFUNCTION("""COMPUTED_VALUE"""),50.0)</f>
        <v>50</v>
      </c>
      <c r="G4541" s="6" t="str">
        <f>IFERROR(__xludf.DUMMYFUNCTION("""COMPUTED_VALUE"""),"Botol")</f>
        <v>Botol</v>
      </c>
      <c r="H4541" s="6" t="str">
        <f>IFERROR(__xludf.DUMMYFUNCTION("""COMPUTED_VALUE"""),"IDR")</f>
        <v>IDR</v>
      </c>
      <c r="I4541" s="6">
        <f>IFERROR(__xludf.DUMMYFUNCTION("""COMPUTED_VALUE"""),58500.0)</f>
        <v>58500</v>
      </c>
      <c r="J4541" s="6">
        <f>IFERROR(__xludf.DUMMYFUNCTION("""COMPUTED_VALUE"""),2925000.0)</f>
        <v>2925000</v>
      </c>
      <c r="K4541" s="57">
        <f>IFERROR(__xludf.DUMMYFUNCTION("""COMPUTED_VALUE"""),45982.0)</f>
        <v>45982</v>
      </c>
      <c r="L4541" s="6" t="str">
        <f>IFERROR(__xludf.DUMMYFUNCTION("""COMPUTED_VALUE"""),"FIP Engineering")</f>
        <v>FIP Engineering</v>
      </c>
      <c r="M4541" s="6" t="str">
        <f>IFERROR(__xludf.DUMMYFUNCTION("""COMPUTED_VALUE"""),"Mochammad Fadhillah Hakim,")</f>
        <v>Mochammad Fadhillah Hakim,</v>
      </c>
      <c r="N4541" s="6" t="str">
        <f>IFERROR(__xludf.DUMMYFUNCTION("""COMPUTED_VALUE"""),"FIP Engineering")</f>
        <v>FIP Engineering</v>
      </c>
      <c r="O4541" s="6" t="str">
        <f>IFERROR(__xludf.DUMMYFUNCTION("""COMPUTED_VALUE"""),"FIP-DOM-000-11304-OS00001-INA-000000")</f>
        <v>FIP-DOM-000-11304-OS00001-INA-000000</v>
      </c>
      <c r="P4541" s="6" t="str">
        <f>IFERROR(__xludf.DUMMYFUNCTION("""COMPUTED_VALUE"""),"PO Closed")</f>
        <v>PO Closed</v>
      </c>
      <c r="Q4541" s="6" t="str">
        <f>IFERROR(__xludf.DUMMYFUNCTION("""COMPUTED_VALUE"""),"GL2511012")</f>
        <v>GL2511012</v>
      </c>
      <c r="R4541" s="57">
        <f>IFERROR(__xludf.DUMMYFUNCTION("""COMPUTED_VALUE"""),45951.0)</f>
        <v>45951</v>
      </c>
      <c r="S4541" s="57">
        <f>IFERROR(__xludf.DUMMYFUNCTION("""COMPUTED_VALUE"""),45952.0)</f>
        <v>45952</v>
      </c>
      <c r="T4541" s="57">
        <f>IFERROR(__xludf.DUMMYFUNCTION("""COMPUTED_VALUE"""),45982.0)</f>
        <v>45982</v>
      </c>
    </row>
    <row r="4542">
      <c r="A4542" s="6" t="str">
        <f>IFERROR(__xludf.DUMMYFUNCTION("""COMPUTED_VALUE"""),"121703379-1")</f>
        <v>121703379-1</v>
      </c>
      <c r="B4542" s="6" t="str">
        <f>IFERROR(__xludf.DUMMYFUNCTION("""COMPUTED_VALUE"""),"121703379 - APPROVED")</f>
        <v>121703379 - APPROVED</v>
      </c>
      <c r="C4542" s="6">
        <f>IFERROR(__xludf.DUMMYFUNCTION("""COMPUTED_VALUE"""),1.0)</f>
        <v>1</v>
      </c>
      <c r="D4542" s="6" t="str">
        <f>IFERROR(__xludf.DUMMYFUNCTION("""COMPUTED_VALUE"""),"O-16647-00")</f>
        <v>O-16647-00</v>
      </c>
      <c r="E4542" s="6" t="str">
        <f>IFERROR(__xludf.DUMMYFUNCTION("""COMPUTED_VALUE"""),"Washing RAR4 - Oring Silicone Merah 23x18x2.5 mm; ; ;")</f>
        <v>Washing RAR4 - Oring Silicone Merah 23x18x2.5 mm; ; ;</v>
      </c>
      <c r="F4542" s="6">
        <f>IFERROR(__xludf.DUMMYFUNCTION("""COMPUTED_VALUE"""),150.0)</f>
        <v>150</v>
      </c>
      <c r="G4542" s="6" t="str">
        <f>IFERROR(__xludf.DUMMYFUNCTION("""COMPUTED_VALUE"""),"Pieces")</f>
        <v>Pieces</v>
      </c>
      <c r="H4542" s="6" t="str">
        <f>IFERROR(__xludf.DUMMYFUNCTION("""COMPUTED_VALUE"""),"IDR")</f>
        <v>IDR</v>
      </c>
      <c r="I4542" s="6">
        <f>IFERROR(__xludf.DUMMYFUNCTION("""COMPUTED_VALUE"""),35000.0)</f>
        <v>35000</v>
      </c>
      <c r="J4542" s="6">
        <f>IFERROR(__xludf.DUMMYFUNCTION("""COMPUTED_VALUE"""),5250000.0)</f>
        <v>5250000</v>
      </c>
      <c r="K4542" s="57">
        <f>IFERROR(__xludf.DUMMYFUNCTION("""COMPUTED_VALUE"""),45982.0)</f>
        <v>45982</v>
      </c>
      <c r="L4542" s="6" t="str">
        <f>IFERROR(__xludf.DUMMYFUNCTION("""COMPUTED_VALUE"""),"FIP Engineering")</f>
        <v>FIP Engineering</v>
      </c>
      <c r="M4542" s="6" t="str">
        <f>IFERROR(__xludf.DUMMYFUNCTION("""COMPUTED_VALUE"""),"Mochammad Fadhillah Hakim,")</f>
        <v>Mochammad Fadhillah Hakim,</v>
      </c>
      <c r="N4542" s="6" t="str">
        <f>IFERROR(__xludf.DUMMYFUNCTION("""COMPUTED_VALUE"""),"FIP Engineering")</f>
        <v>FIP Engineering</v>
      </c>
      <c r="O4542" s="6" t="str">
        <f>IFERROR(__xludf.DUMMYFUNCTION("""COMPUTED_VALUE"""),"FIP-DOM-000-11304-OS00001-INA-000000")</f>
        <v>FIP-DOM-000-11304-OS00001-INA-000000</v>
      </c>
      <c r="P4542" s="6" t="str">
        <f>IFERROR(__xludf.DUMMYFUNCTION("""COMPUTED_VALUE"""),"PO Closed")</f>
        <v>PO Closed</v>
      </c>
      <c r="Q4542" s="6" t="str">
        <f>IFERROR(__xludf.DUMMYFUNCTION("""COMPUTED_VALUE"""),"GL2511307")</f>
        <v>GL2511307</v>
      </c>
      <c r="R4542" s="57">
        <f>IFERROR(__xludf.DUMMYFUNCTION("""COMPUTED_VALUE"""),45951.0)</f>
        <v>45951</v>
      </c>
      <c r="S4542" s="57">
        <f>IFERROR(__xludf.DUMMYFUNCTION("""COMPUTED_VALUE"""),45952.0)</f>
        <v>45952</v>
      </c>
      <c r="T4542" s="57">
        <f>IFERROR(__xludf.DUMMYFUNCTION("""COMPUTED_VALUE"""),46012.0)</f>
        <v>46012</v>
      </c>
    </row>
    <row r="4543">
      <c r="A4543" s="6" t="str">
        <f>IFERROR(__xludf.DUMMYFUNCTION("""COMPUTED_VALUE"""),"121703382-1")</f>
        <v>121703382-1</v>
      </c>
      <c r="B4543" s="6" t="str">
        <f>IFERROR(__xludf.DUMMYFUNCTION("""COMPUTED_VALUE"""),"121703382 - APPROVED")</f>
        <v>121703382 - APPROVED</v>
      </c>
      <c r="C4543" s="6">
        <f>IFERROR(__xludf.DUMMYFUNCTION("""COMPUTED_VALUE"""),1.0)</f>
        <v>1</v>
      </c>
      <c r="D4543" s="6" t="str">
        <f>IFERROR(__xludf.DUMMYFUNCTION("""COMPUTED_VALUE"""),"Q-50020-00")</f>
        <v>Q-50020-00</v>
      </c>
      <c r="E4543" s="6" t="str">
        <f>IFERROR(__xludf.DUMMYFUNCTION("""COMPUTED_VALUE"""),"Engsel Tanam Pintu D40; Dekkson; Type D40; pc")</f>
        <v>Engsel Tanam Pintu D40; Dekkson; Type D40; pc</v>
      </c>
      <c r="F4543" s="6">
        <f>IFERROR(__xludf.DUMMYFUNCTION("""COMPUTED_VALUE"""),3.0)</f>
        <v>3</v>
      </c>
      <c r="G4543" s="6" t="str">
        <f>IFERROR(__xludf.DUMMYFUNCTION("""COMPUTED_VALUE"""),"Pieces")</f>
        <v>Pieces</v>
      </c>
      <c r="H4543" s="6" t="str">
        <f>IFERROR(__xludf.DUMMYFUNCTION("""COMPUTED_VALUE"""),"IDR")</f>
        <v>IDR</v>
      </c>
      <c r="I4543" s="6">
        <f>IFERROR(__xludf.DUMMYFUNCTION("""COMPUTED_VALUE"""),650000.0)</f>
        <v>650000</v>
      </c>
      <c r="J4543" s="6">
        <f>IFERROR(__xludf.DUMMYFUNCTION("""COMPUTED_VALUE"""),1950000.0)</f>
        <v>1950000</v>
      </c>
      <c r="K4543" s="57">
        <f>IFERROR(__xludf.DUMMYFUNCTION("""COMPUTED_VALUE"""),45989.0)</f>
        <v>45989</v>
      </c>
      <c r="L4543" s="6" t="str">
        <f>IFERROR(__xludf.DUMMYFUNCTION("""COMPUTED_VALUE"""),"FIP General")</f>
        <v>FIP General</v>
      </c>
      <c r="M4543" s="6" t="str">
        <f>IFERROR(__xludf.DUMMYFUNCTION("""COMPUTED_VALUE"""),"Mochammad Fadhillah Hakim,")</f>
        <v>Mochammad Fadhillah Hakim,</v>
      </c>
      <c r="N4543" s="6" t="str">
        <f>IFERROR(__xludf.DUMMYFUNCTION("""COMPUTED_VALUE"""),"FIP Engineering")</f>
        <v>FIP Engineering</v>
      </c>
      <c r="O4543" s="6" t="str">
        <f>IFERROR(__xludf.DUMMYFUNCTION("""COMPUTED_VALUE"""),"FIP-DOM-ENG-51502-0000000-INA-000000")</f>
        <v>FIP-DOM-ENG-51502-0000000-INA-000000</v>
      </c>
      <c r="P4543" s="6" t="str">
        <f>IFERROR(__xludf.DUMMYFUNCTION("""COMPUTED_VALUE"""),"PO Closed")</f>
        <v>PO Closed</v>
      </c>
      <c r="Q4543" s="6" t="str">
        <f>IFERROR(__xludf.DUMMYFUNCTION("""COMPUTED_VALUE"""),"GL2511056")</f>
        <v>GL2511056</v>
      </c>
      <c r="R4543" s="57">
        <f>IFERROR(__xludf.DUMMYFUNCTION("""COMPUTED_VALUE"""),45952.0)</f>
        <v>45952</v>
      </c>
      <c r="S4543" s="57">
        <f>IFERROR(__xludf.DUMMYFUNCTION("""COMPUTED_VALUE"""),45969.0)</f>
        <v>45969</v>
      </c>
      <c r="T4543" s="57">
        <f>IFERROR(__xludf.DUMMYFUNCTION("""COMPUTED_VALUE"""),46003.0)</f>
        <v>46003</v>
      </c>
    </row>
    <row r="4544">
      <c r="A4544" s="6" t="str">
        <f>IFERROR(__xludf.DUMMYFUNCTION("""COMPUTED_VALUE"""),"121703383-1")</f>
        <v>121703383-1</v>
      </c>
      <c r="B4544" s="6" t="str">
        <f>IFERROR(__xludf.DUMMYFUNCTION("""COMPUTED_VALUE"""),"121703383 - APPROVED")</f>
        <v>121703383 - APPROVED</v>
      </c>
      <c r="C4544" s="6">
        <f>IFERROR(__xludf.DUMMYFUNCTION("""COMPUTED_VALUE"""),1.0)</f>
        <v>1</v>
      </c>
      <c r="D4544" s="6" t="str">
        <f>IFERROR(__xludf.DUMMYFUNCTION("""COMPUTED_VALUE"""),"S-40530-00")</f>
        <v>S-40530-00</v>
      </c>
      <c r="E4544" s="6" t="str">
        <f>IFERROR(__xludf.DUMMYFUNCTION("""COMPUTED_VALUE"""),"Acrylic Box; ; ; - Akrilik Lembaran 3mm Bening 120x120cm")</f>
        <v>Acrylic Box; ; ; - Akrilik Lembaran 3mm Bening 120x120cm</v>
      </c>
      <c r="F4544" s="6">
        <f>IFERROR(__xludf.DUMMYFUNCTION("""COMPUTED_VALUE"""),1.0)</f>
        <v>1</v>
      </c>
      <c r="G4544" s="6" t="str">
        <f>IFERROR(__xludf.DUMMYFUNCTION("""COMPUTED_VALUE"""),"Pieces")</f>
        <v>Pieces</v>
      </c>
      <c r="H4544" s="6" t="str">
        <f>IFERROR(__xludf.DUMMYFUNCTION("""COMPUTED_VALUE"""),"IDR")</f>
        <v>IDR</v>
      </c>
      <c r="I4544" s="6">
        <f>IFERROR(__xludf.DUMMYFUNCTION("""COMPUTED_VALUE"""),550000.0)</f>
        <v>550000</v>
      </c>
      <c r="J4544" s="6">
        <f>IFERROR(__xludf.DUMMYFUNCTION("""COMPUTED_VALUE"""),550000.0)</f>
        <v>550000</v>
      </c>
      <c r="K4544" s="57">
        <f>IFERROR(__xludf.DUMMYFUNCTION("""COMPUTED_VALUE"""),45989.0)</f>
        <v>45989</v>
      </c>
      <c r="L4544" s="6" t="str">
        <f>IFERROR(__xludf.DUMMYFUNCTION("""COMPUTED_VALUE"""),"FIP General")</f>
        <v>FIP General</v>
      </c>
      <c r="M4544" s="6" t="str">
        <f>IFERROR(__xludf.DUMMYFUNCTION("""COMPUTED_VALUE"""),"Mochammad Fadhillah Hakim,")</f>
        <v>Mochammad Fadhillah Hakim,</v>
      </c>
      <c r="N4544" s="6" t="str">
        <f>IFERROR(__xludf.DUMMYFUNCTION("""COMPUTED_VALUE"""),"FIP Engineering")</f>
        <v>FIP Engineering</v>
      </c>
      <c r="O4544" s="6" t="str">
        <f>IFERROR(__xludf.DUMMYFUNCTION("""COMPUTED_VALUE"""),"FIP-DOM-ENG-51404-0000000-INA-000000")</f>
        <v>FIP-DOM-ENG-51404-0000000-INA-000000</v>
      </c>
      <c r="P4544" s="6" t="str">
        <f>IFERROR(__xludf.DUMMYFUNCTION("""COMPUTED_VALUE"""),"PO Closed")</f>
        <v>PO Closed</v>
      </c>
      <c r="Q4544" s="6" t="str">
        <f>IFERROR(__xludf.DUMMYFUNCTION("""COMPUTED_VALUE"""),"GL2512009")</f>
        <v>GL2512009</v>
      </c>
      <c r="R4544" s="57">
        <f>IFERROR(__xludf.DUMMYFUNCTION("""COMPUTED_VALUE"""),45952.0)</f>
        <v>45952</v>
      </c>
      <c r="S4544" s="57">
        <f>IFERROR(__xludf.DUMMYFUNCTION("""COMPUTED_VALUE"""),45958.0)</f>
        <v>45958</v>
      </c>
      <c r="T4544" s="57">
        <f>IFERROR(__xludf.DUMMYFUNCTION("""COMPUTED_VALUE"""),46010.0)</f>
        <v>46010</v>
      </c>
    </row>
    <row r="4545">
      <c r="A4545" s="6" t="str">
        <f>IFERROR(__xludf.DUMMYFUNCTION("""COMPUTED_VALUE"""),"121703384-1")</f>
        <v>121703384-1</v>
      </c>
      <c r="B4545" s="6" t="str">
        <f>IFERROR(__xludf.DUMMYFUNCTION("""COMPUTED_VALUE"""),"121703384 - APPROVED")</f>
        <v>121703384 - APPROVED</v>
      </c>
      <c r="C4545" s="6">
        <f>IFERROR(__xludf.DUMMYFUNCTION("""COMPUTED_VALUE"""),1.0)</f>
        <v>1</v>
      </c>
      <c r="D4545" s="6" t="str">
        <f>IFERROR(__xludf.DUMMYFUNCTION("""COMPUTED_VALUE"""),"P-53262-00")</f>
        <v>P-53262-00</v>
      </c>
      <c r="E4545" s="6" t="str">
        <f>IFERROR(__xludf.DUMMYFUNCTION("""COMPUTED_VALUE"""),"Din Rail MCB; ; ;")</f>
        <v>Din Rail MCB; ; ;</v>
      </c>
      <c r="F4545" s="6">
        <f>IFERROR(__xludf.DUMMYFUNCTION("""COMPUTED_VALUE"""),10.0)</f>
        <v>10</v>
      </c>
      <c r="G4545" s="6" t="str">
        <f>IFERROR(__xludf.DUMMYFUNCTION("""COMPUTED_VALUE"""),"Pieces")</f>
        <v>Pieces</v>
      </c>
      <c r="H4545" s="6" t="str">
        <f>IFERROR(__xludf.DUMMYFUNCTION("""COMPUTED_VALUE"""),"IDR")</f>
        <v>IDR</v>
      </c>
      <c r="I4545" s="6">
        <f>IFERROR(__xludf.DUMMYFUNCTION("""COMPUTED_VALUE"""),115500.0)</f>
        <v>115500</v>
      </c>
      <c r="J4545" s="6">
        <f>IFERROR(__xludf.DUMMYFUNCTION("""COMPUTED_VALUE"""),1155000.0)</f>
        <v>1155000</v>
      </c>
      <c r="K4545" s="57">
        <f>IFERROR(__xludf.DUMMYFUNCTION("""COMPUTED_VALUE"""),45989.0)</f>
        <v>45989</v>
      </c>
      <c r="L4545" s="6" t="str">
        <f>IFERROR(__xludf.DUMMYFUNCTION("""COMPUTED_VALUE"""),"FIP General")</f>
        <v>FIP General</v>
      </c>
      <c r="M4545" s="6" t="str">
        <f>IFERROR(__xludf.DUMMYFUNCTION("""COMPUTED_VALUE"""),"Mochammad Fadhillah Hakim,")</f>
        <v>Mochammad Fadhillah Hakim,</v>
      </c>
      <c r="N4545" s="6" t="str">
        <f>IFERROR(__xludf.DUMMYFUNCTION("""COMPUTED_VALUE"""),"FIP Engineering")</f>
        <v>FIP Engineering</v>
      </c>
      <c r="O4545" s="6" t="str">
        <f>IFERROR(__xludf.DUMMYFUNCTION("""COMPUTED_VALUE"""),"FIP-DOM-ENG-51404-0000000-INA-000000")</f>
        <v>FIP-DOM-ENG-51404-0000000-INA-000000</v>
      </c>
      <c r="P4545" s="6" t="str">
        <f>IFERROR(__xludf.DUMMYFUNCTION("""COMPUTED_VALUE"""),"PO Closed")</f>
        <v>PO Closed</v>
      </c>
      <c r="Q4545" s="6" t="str">
        <f>IFERROR(__xludf.DUMMYFUNCTION("""COMPUTED_VALUE"""),"GL2511312")</f>
        <v>GL2511312</v>
      </c>
      <c r="R4545" s="57">
        <f>IFERROR(__xludf.DUMMYFUNCTION("""COMPUTED_VALUE"""),45952.0)</f>
        <v>45952</v>
      </c>
      <c r="S4545" s="57">
        <f>IFERROR(__xludf.DUMMYFUNCTION("""COMPUTED_VALUE"""),45964.0)</f>
        <v>45964</v>
      </c>
      <c r="T4545" s="57">
        <f>IFERROR(__xludf.DUMMYFUNCTION("""COMPUTED_VALUE"""),45996.0)</f>
        <v>45996</v>
      </c>
    </row>
    <row r="4546">
      <c r="A4546" s="6" t="str">
        <f>IFERROR(__xludf.DUMMYFUNCTION("""COMPUTED_VALUE"""),"121703392-1")</f>
        <v>121703392-1</v>
      </c>
      <c r="B4546" s="6" t="str">
        <f>IFERROR(__xludf.DUMMYFUNCTION("""COMPUTED_VALUE"""),"121703392 - APPROVED")</f>
        <v>121703392 - APPROVED</v>
      </c>
      <c r="C4546" s="6">
        <f>IFERROR(__xludf.DUMMYFUNCTION("""COMPUTED_VALUE"""),1.0)</f>
        <v>1</v>
      </c>
      <c r="D4546" s="6" t="str">
        <f>IFERROR(__xludf.DUMMYFUNCTION("""COMPUTED_VALUE"""),"P-53149-00")</f>
        <v>P-53149-00</v>
      </c>
      <c r="E4546" s="6" t="str">
        <f>IFERROR(__xludf.DUMMYFUNCTION("""COMPUTED_VALUE"""),"General - Kabel NYAF 3 x 2.5mm; Jembo; -; 1 meter")</f>
        <v>General - Kabel NYAF 3 x 2.5mm; Jembo; -; 1 meter</v>
      </c>
      <c r="F4546" s="6">
        <f>IFERROR(__xludf.DUMMYFUNCTION("""COMPUTED_VALUE"""),100.0)</f>
        <v>100</v>
      </c>
      <c r="G4546" s="6" t="str">
        <f>IFERROR(__xludf.DUMMYFUNCTION("""COMPUTED_VALUE"""),"Meter")</f>
        <v>Meter</v>
      </c>
      <c r="H4546" s="6" t="str">
        <f>IFERROR(__xludf.DUMMYFUNCTION("""COMPUTED_VALUE"""),"IDR")</f>
        <v>IDR</v>
      </c>
      <c r="I4546" s="6">
        <f>IFERROR(__xludf.DUMMYFUNCTION("""COMPUTED_VALUE"""),30000.0)</f>
        <v>30000</v>
      </c>
      <c r="J4546" s="6">
        <f>IFERROR(__xludf.DUMMYFUNCTION("""COMPUTED_VALUE"""),3000000.0)</f>
        <v>3000000</v>
      </c>
      <c r="K4546" s="57">
        <f>IFERROR(__xludf.DUMMYFUNCTION("""COMPUTED_VALUE"""),45961.0)</f>
        <v>45961</v>
      </c>
      <c r="L4546" s="6" t="str">
        <f>IFERROR(__xludf.DUMMYFUNCTION("""COMPUTED_VALUE"""),"FIP Engineering")</f>
        <v>FIP Engineering</v>
      </c>
      <c r="M4546" s="6" t="str">
        <f>IFERROR(__xludf.DUMMYFUNCTION("""COMPUTED_VALUE"""),"Mochammad Fadhillah Hakim,")</f>
        <v>Mochammad Fadhillah Hakim,</v>
      </c>
      <c r="N4546" s="6" t="str">
        <f>IFERROR(__xludf.DUMMYFUNCTION("""COMPUTED_VALUE"""),"FIP Engineering")</f>
        <v>FIP Engineering</v>
      </c>
      <c r="O4546" s="6" t="str">
        <f>IFERROR(__xludf.DUMMYFUNCTION("""COMPUTED_VALUE"""),"FIP-DOM-000-11304-OS00001-INA-000000")</f>
        <v>FIP-DOM-000-11304-OS00001-INA-000000</v>
      </c>
      <c r="P4546" s="6" t="str">
        <f>IFERROR(__xludf.DUMMYFUNCTION("""COMPUTED_VALUE"""),"PO Closed")</f>
        <v>PO Closed</v>
      </c>
      <c r="Q4546" s="6" t="str">
        <f>IFERROR(__xludf.DUMMYFUNCTION("""COMPUTED_VALUE"""),"GL2511311")</f>
        <v>GL2511311</v>
      </c>
      <c r="R4546" s="57">
        <f>IFERROR(__xludf.DUMMYFUNCTION("""COMPUTED_VALUE"""),45953.0)</f>
        <v>45953</v>
      </c>
      <c r="S4546" s="57">
        <f>IFERROR(__xludf.DUMMYFUNCTION("""COMPUTED_VALUE"""),45964.0)</f>
        <v>45964</v>
      </c>
      <c r="T4546" s="57">
        <f>IFERROR(__xludf.DUMMYFUNCTION("""COMPUTED_VALUE"""),46042.0)</f>
        <v>46042</v>
      </c>
    </row>
    <row r="4547">
      <c r="A4547" s="6" t="str">
        <f>IFERROR(__xludf.DUMMYFUNCTION("""COMPUTED_VALUE"""),"121703392-3")</f>
        <v>121703392-3</v>
      </c>
      <c r="B4547" s="6" t="str">
        <f>IFERROR(__xludf.DUMMYFUNCTION("""COMPUTED_VALUE"""),"121703392 - APPROVED")</f>
        <v>121703392 - APPROVED</v>
      </c>
      <c r="C4547" s="6">
        <f>IFERROR(__xludf.DUMMYFUNCTION("""COMPUTED_VALUE"""),3.0)</f>
        <v>3</v>
      </c>
      <c r="D4547" s="6" t="str">
        <f>IFERROR(__xludf.DUMMYFUNCTION("""COMPUTED_VALUE"""),"P-53262-00")</f>
        <v>P-53262-00</v>
      </c>
      <c r="E4547" s="6" t="str">
        <f>IFERROR(__xludf.DUMMYFUNCTION("""COMPUTED_VALUE"""),"Din Rail MCB; ; ;")</f>
        <v>Din Rail MCB; ; ;</v>
      </c>
      <c r="F4547" s="6">
        <f>IFERROR(__xludf.DUMMYFUNCTION("""COMPUTED_VALUE"""),2.0)</f>
        <v>2</v>
      </c>
      <c r="G4547" s="6" t="str">
        <f>IFERROR(__xludf.DUMMYFUNCTION("""COMPUTED_VALUE"""),"Pieces")</f>
        <v>Pieces</v>
      </c>
      <c r="H4547" s="6" t="str">
        <f>IFERROR(__xludf.DUMMYFUNCTION("""COMPUTED_VALUE"""),"IDR")</f>
        <v>IDR</v>
      </c>
      <c r="I4547" s="6">
        <f>IFERROR(__xludf.DUMMYFUNCTION("""COMPUTED_VALUE"""),15750.0)</f>
        <v>15750</v>
      </c>
      <c r="J4547" s="6">
        <f>IFERROR(__xludf.DUMMYFUNCTION("""COMPUTED_VALUE"""),31500.0)</f>
        <v>31500</v>
      </c>
      <c r="K4547" s="57">
        <f>IFERROR(__xludf.DUMMYFUNCTION("""COMPUTED_VALUE"""),45961.0)</f>
        <v>45961</v>
      </c>
      <c r="L4547" s="6" t="str">
        <f>IFERROR(__xludf.DUMMYFUNCTION("""COMPUTED_VALUE"""),"FIP General")</f>
        <v>FIP General</v>
      </c>
      <c r="M4547" s="6" t="str">
        <f>IFERROR(__xludf.DUMMYFUNCTION("""COMPUTED_VALUE"""),"Mochammad Fadhillah Hakim,")</f>
        <v>Mochammad Fadhillah Hakim,</v>
      </c>
      <c r="N4547" s="6" t="str">
        <f>IFERROR(__xludf.DUMMYFUNCTION("""COMPUTED_VALUE"""),"FIP Engineering")</f>
        <v>FIP Engineering</v>
      </c>
      <c r="O4547" s="6" t="str">
        <f>IFERROR(__xludf.DUMMYFUNCTION("""COMPUTED_VALUE"""),"FIP-DOM-ENG-51404-0000000-INA-000000")</f>
        <v>FIP-DOM-ENG-51404-0000000-INA-000000</v>
      </c>
      <c r="P4547" s="6" t="str">
        <f>IFERROR(__xludf.DUMMYFUNCTION("""COMPUTED_VALUE"""),"PO Closed")</f>
        <v>PO Closed</v>
      </c>
      <c r="Q4547" s="6" t="str">
        <f>IFERROR(__xludf.DUMMYFUNCTION("""COMPUTED_VALUE"""),"GL2511312")</f>
        <v>GL2511312</v>
      </c>
      <c r="R4547" s="57">
        <f>IFERROR(__xludf.DUMMYFUNCTION("""COMPUTED_VALUE"""),45953.0)</f>
        <v>45953</v>
      </c>
      <c r="S4547" s="57">
        <f>IFERROR(__xludf.DUMMYFUNCTION("""COMPUTED_VALUE"""),45964.0)</f>
        <v>45964</v>
      </c>
      <c r="T4547" s="57">
        <f>IFERROR(__xludf.DUMMYFUNCTION("""COMPUTED_VALUE"""),45996.0)</f>
        <v>45996</v>
      </c>
    </row>
    <row r="4548">
      <c r="A4548" s="6" t="str">
        <f>IFERROR(__xludf.DUMMYFUNCTION("""COMPUTED_VALUE"""),"121703393-1")</f>
        <v>121703393-1</v>
      </c>
      <c r="B4548" s="6" t="str">
        <f>IFERROR(__xludf.DUMMYFUNCTION("""COMPUTED_VALUE"""),"121703393 - APPROVED")</f>
        <v>121703393 - APPROVED</v>
      </c>
      <c r="C4548" s="6">
        <f>IFERROR(__xludf.DUMMYFUNCTION("""COMPUTED_VALUE"""),1.0)</f>
        <v>1</v>
      </c>
      <c r="D4548" s="6" t="str">
        <f>IFERROR(__xludf.DUMMYFUNCTION("""COMPUTED_VALUE"""),"P-50427-00")</f>
        <v>P-50427-00</v>
      </c>
      <c r="E4548" s="6" t="str">
        <f>IFERROR(__xludf.DUMMYFUNCTION("""COMPUTED_VALUE"""),"Pilot Lamps / Red / 220 VAC / AD22-221DS / AXLE")</f>
        <v>Pilot Lamps / Red / 220 VAC / AD22-221DS / AXLE</v>
      </c>
      <c r="F4548" s="6">
        <f>IFERROR(__xludf.DUMMYFUNCTION("""COMPUTED_VALUE"""),8.0)</f>
        <v>8</v>
      </c>
      <c r="G4548" s="6" t="str">
        <f>IFERROR(__xludf.DUMMYFUNCTION("""COMPUTED_VALUE"""),"Pieces")</f>
        <v>Pieces</v>
      </c>
      <c r="H4548" s="6" t="str">
        <f>IFERROR(__xludf.DUMMYFUNCTION("""COMPUTED_VALUE"""),"IDR")</f>
        <v>IDR</v>
      </c>
      <c r="I4548" s="6">
        <f>IFERROR(__xludf.DUMMYFUNCTION("""COMPUTED_VALUE"""),19500.0)</f>
        <v>19500</v>
      </c>
      <c r="J4548" s="6">
        <f>IFERROR(__xludf.DUMMYFUNCTION("""COMPUTED_VALUE"""),156000.0)</f>
        <v>156000</v>
      </c>
      <c r="K4548" s="57">
        <f>IFERROR(__xludf.DUMMYFUNCTION("""COMPUTED_VALUE"""),45989.0)</f>
        <v>45989</v>
      </c>
      <c r="L4548" s="6" t="str">
        <f>IFERROR(__xludf.DUMMYFUNCTION("""COMPUTED_VALUE"""),"FIP Engineering")</f>
        <v>FIP Engineering</v>
      </c>
      <c r="M4548" s="6" t="str">
        <f>IFERROR(__xludf.DUMMYFUNCTION("""COMPUTED_VALUE"""),"Mochammad Fadhillah Hakim,")</f>
        <v>Mochammad Fadhillah Hakim,</v>
      </c>
      <c r="N4548" s="6" t="str">
        <f>IFERROR(__xludf.DUMMYFUNCTION("""COMPUTED_VALUE"""),"FIP Engineering")</f>
        <v>FIP Engineering</v>
      </c>
      <c r="O4548" s="6" t="str">
        <f>IFERROR(__xludf.DUMMYFUNCTION("""COMPUTED_VALUE"""),"FIP-DOM-000-11304-OS00001-INA-000000")</f>
        <v>FIP-DOM-000-11304-OS00001-INA-000000</v>
      </c>
      <c r="P4548" s="6" t="str">
        <f>IFERROR(__xludf.DUMMYFUNCTION("""COMPUTED_VALUE"""),"PO Closed")</f>
        <v>PO Closed</v>
      </c>
      <c r="Q4548" s="6" t="str">
        <f>IFERROR(__xludf.DUMMYFUNCTION("""COMPUTED_VALUE"""),"GL2511311")</f>
        <v>GL2511311</v>
      </c>
      <c r="R4548" s="57">
        <f>IFERROR(__xludf.DUMMYFUNCTION("""COMPUTED_VALUE"""),45953.0)</f>
        <v>45953</v>
      </c>
      <c r="S4548" s="57">
        <f>IFERROR(__xludf.DUMMYFUNCTION("""COMPUTED_VALUE"""),45958.0)</f>
        <v>45958</v>
      </c>
      <c r="T4548" s="57">
        <f>IFERROR(__xludf.DUMMYFUNCTION("""COMPUTED_VALUE"""),46042.0)</f>
        <v>46042</v>
      </c>
    </row>
    <row r="4549">
      <c r="A4549" s="6" t="str">
        <f>IFERROR(__xludf.DUMMYFUNCTION("""COMPUTED_VALUE"""),"121703403-1")</f>
        <v>121703403-1</v>
      </c>
      <c r="B4549" s="6" t="str">
        <f>IFERROR(__xludf.DUMMYFUNCTION("""COMPUTED_VALUE"""),"121703403 - APPROVED")</f>
        <v>121703403 - APPROVED</v>
      </c>
      <c r="C4549" s="6">
        <f>IFERROR(__xludf.DUMMYFUNCTION("""COMPUTED_VALUE"""),1.0)</f>
        <v>1</v>
      </c>
      <c r="D4549" s="6" t="str">
        <f>IFERROR(__xludf.DUMMYFUNCTION("""COMPUTED_VALUE"""),"Q-60502-00")</f>
        <v>Q-60502-00</v>
      </c>
      <c r="E4549" s="6" t="str">
        <f>IFERROR(__xludf.DUMMYFUNCTION("""COMPUTED_VALUE"""),"Silicone Sealant, Silglaze, Type N10 White, pack size per pcs")</f>
        <v>Silicone Sealant, Silglaze, Type N10 White, pack size per pcs</v>
      </c>
      <c r="F4549" s="6">
        <f>IFERROR(__xludf.DUMMYFUNCTION("""COMPUTED_VALUE"""),30.0)</f>
        <v>30</v>
      </c>
      <c r="G4549" s="6" t="str">
        <f>IFERROR(__xludf.DUMMYFUNCTION("""COMPUTED_VALUE"""),"Pieces")</f>
        <v>Pieces</v>
      </c>
      <c r="H4549" s="6" t="str">
        <f>IFERROR(__xludf.DUMMYFUNCTION("""COMPUTED_VALUE"""),"IDR")</f>
        <v>IDR</v>
      </c>
      <c r="I4549" s="6">
        <f>IFERROR(__xludf.DUMMYFUNCTION("""COMPUTED_VALUE"""),41000.0)</f>
        <v>41000</v>
      </c>
      <c r="J4549" s="6">
        <f>IFERROR(__xludf.DUMMYFUNCTION("""COMPUTED_VALUE"""),1230000.0)</f>
        <v>1230000</v>
      </c>
      <c r="K4549" s="57">
        <f>IFERROR(__xludf.DUMMYFUNCTION("""COMPUTED_VALUE"""),45989.0)</f>
        <v>45989</v>
      </c>
      <c r="L4549" s="6" t="str">
        <f>IFERROR(__xludf.DUMMYFUNCTION("""COMPUTED_VALUE"""),"FIP Engineering")</f>
        <v>FIP Engineering</v>
      </c>
      <c r="M4549" s="6" t="str">
        <f>IFERROR(__xludf.DUMMYFUNCTION("""COMPUTED_VALUE"""),"Mochammad Fadhillah Hakim,")</f>
        <v>Mochammad Fadhillah Hakim,</v>
      </c>
      <c r="N4549" s="6" t="str">
        <f>IFERROR(__xludf.DUMMYFUNCTION("""COMPUTED_VALUE"""),"FIP Engineering")</f>
        <v>FIP Engineering</v>
      </c>
      <c r="O4549" s="6" t="str">
        <f>IFERROR(__xludf.DUMMYFUNCTION("""COMPUTED_VALUE"""),"FIP-DOM-000-11304-OS00001-INA-000000")</f>
        <v>FIP-DOM-000-11304-OS00001-INA-000000</v>
      </c>
      <c r="P4549" s="6" t="str">
        <f>IFERROR(__xludf.DUMMYFUNCTION("""COMPUTED_VALUE"""),"PO Closed")</f>
        <v>PO Closed</v>
      </c>
      <c r="Q4549" s="6" t="str">
        <f>IFERROR(__xludf.DUMMYFUNCTION("""COMPUTED_VALUE"""),"GL2511011")</f>
        <v>GL2511011</v>
      </c>
      <c r="R4549" s="57">
        <f>IFERROR(__xludf.DUMMYFUNCTION("""COMPUTED_VALUE"""),45954.0)</f>
        <v>45954</v>
      </c>
      <c r="S4549" s="57">
        <f>IFERROR(__xludf.DUMMYFUNCTION("""COMPUTED_VALUE"""),45958.0)</f>
        <v>45958</v>
      </c>
      <c r="T4549" s="57">
        <f>IFERROR(__xludf.DUMMYFUNCTION("""COMPUTED_VALUE"""),45989.0)</f>
        <v>45989</v>
      </c>
    </row>
    <row r="4550">
      <c r="A4550" s="6" t="str">
        <f>IFERROR(__xludf.DUMMYFUNCTION("""COMPUTED_VALUE"""),"121703405-1")</f>
        <v>121703405-1</v>
      </c>
      <c r="B4550" s="6" t="str">
        <f>IFERROR(__xludf.DUMMYFUNCTION("""COMPUTED_VALUE"""),"121703405 - APPROVED")</f>
        <v>121703405 - APPROVED</v>
      </c>
      <c r="C4550" s="6">
        <f>IFERROR(__xludf.DUMMYFUNCTION("""COMPUTED_VALUE"""),1.0)</f>
        <v>1</v>
      </c>
      <c r="D4550" s="6" t="str">
        <f>IFERROR(__xludf.DUMMYFUNCTION("""COMPUTED_VALUE"""),"S-40586-00")</f>
        <v>S-40586-00</v>
      </c>
      <c r="E4550" s="6" t="str">
        <f>IFERROR(__xludf.DUMMYFUNCTION("""COMPUTED_VALUE"""),"Container Box; Claris; ; - Container/Box Plastik claris 70 liter (77x42x32) Type 1022")</f>
        <v>Container Box; Claris; ; - Container/Box Plastik claris 70 liter (77x42x32) Type 1022</v>
      </c>
      <c r="F4550" s="6">
        <f>IFERROR(__xludf.DUMMYFUNCTION("""COMPUTED_VALUE"""),5.0)</f>
        <v>5</v>
      </c>
      <c r="G4550" s="6" t="str">
        <f>IFERROR(__xludf.DUMMYFUNCTION("""COMPUTED_VALUE"""),"Pieces")</f>
        <v>Pieces</v>
      </c>
      <c r="H4550" s="6" t="str">
        <f>IFERROR(__xludf.DUMMYFUNCTION("""COMPUTED_VALUE"""),"IDR")</f>
        <v>IDR</v>
      </c>
      <c r="I4550" s="6">
        <f>IFERROR(__xludf.DUMMYFUNCTION("""COMPUTED_VALUE"""),275000.0)</f>
        <v>275000</v>
      </c>
      <c r="J4550" s="6">
        <f>IFERROR(__xludf.DUMMYFUNCTION("""COMPUTED_VALUE"""),1375000.0)</f>
        <v>1375000</v>
      </c>
      <c r="K4550" s="57">
        <f>IFERROR(__xludf.DUMMYFUNCTION("""COMPUTED_VALUE"""),45989.0)</f>
        <v>45989</v>
      </c>
      <c r="L4550" s="6" t="str">
        <f>IFERROR(__xludf.DUMMYFUNCTION("""COMPUTED_VALUE"""),"FIP General")</f>
        <v>FIP General</v>
      </c>
      <c r="M4550" s="6" t="str">
        <f>IFERROR(__xludf.DUMMYFUNCTION("""COMPUTED_VALUE"""),"Mochammad Fadhillah Hakim,")</f>
        <v>Mochammad Fadhillah Hakim,</v>
      </c>
      <c r="N4550" s="6" t="str">
        <f>IFERROR(__xludf.DUMMYFUNCTION("""COMPUTED_VALUE"""),"FIP Engineering")</f>
        <v>FIP Engineering</v>
      </c>
      <c r="O4550" s="6" t="str">
        <f>IFERROR(__xludf.DUMMYFUNCTION("""COMPUTED_VALUE"""),"FIP-DOM-ENG-51404-0000000-INA-000000")</f>
        <v>FIP-DOM-ENG-51404-0000000-INA-000000</v>
      </c>
      <c r="P4550" s="6" t="str">
        <f>IFERROR(__xludf.DUMMYFUNCTION("""COMPUTED_VALUE"""),"PO Closed")</f>
        <v>PO Closed</v>
      </c>
      <c r="Q4550" s="6" t="str">
        <f>IFERROR(__xludf.DUMMYFUNCTION("""COMPUTED_VALUE"""),"GL2511041")</f>
        <v>GL2511041</v>
      </c>
      <c r="R4550" s="57">
        <f>IFERROR(__xludf.DUMMYFUNCTION("""COMPUTED_VALUE"""),45954.0)</f>
        <v>45954</v>
      </c>
      <c r="S4550" s="57">
        <f>IFERROR(__xludf.DUMMYFUNCTION("""COMPUTED_VALUE"""),45958.0)</f>
        <v>45958</v>
      </c>
      <c r="T4550" s="57">
        <f>IFERROR(__xludf.DUMMYFUNCTION("""COMPUTED_VALUE"""),45982.0)</f>
        <v>45982</v>
      </c>
    </row>
    <row r="4551">
      <c r="A4551" s="6" t="str">
        <f>IFERROR(__xludf.DUMMYFUNCTION("""COMPUTED_VALUE"""),"121703406-1")</f>
        <v>121703406-1</v>
      </c>
      <c r="B4551" s="6" t="str">
        <f>IFERROR(__xludf.DUMMYFUNCTION("""COMPUTED_VALUE"""),"121703406 - APPROVED")</f>
        <v>121703406 - APPROVED</v>
      </c>
      <c r="C4551" s="6">
        <f>IFERROR(__xludf.DUMMYFUNCTION("""COMPUTED_VALUE"""),1.0)</f>
        <v>1</v>
      </c>
      <c r="D4551" s="6" t="str">
        <f>IFERROR(__xludf.DUMMYFUNCTION("""COMPUTED_VALUE"""),"P-20019-00")</f>
        <v>P-20019-00</v>
      </c>
      <c r="E4551" s="6" t="str">
        <f>IFERROR(__xludf.DUMMYFUNCTION("""COMPUTED_VALUE"""),"General - Door Sticker T30-X; Austar; -; 1 pc")</f>
        <v>General - Door Sticker T30-X; Austar; -; 1 pc</v>
      </c>
      <c r="F4551" s="6">
        <f>IFERROR(__xludf.DUMMYFUNCTION("""COMPUTED_VALUE"""),20.0)</f>
        <v>20</v>
      </c>
      <c r="G4551" s="6" t="str">
        <f>IFERROR(__xludf.DUMMYFUNCTION("""COMPUTED_VALUE"""),"Pieces")</f>
        <v>Pieces</v>
      </c>
      <c r="H4551" s="6" t="str">
        <f>IFERROR(__xludf.DUMMYFUNCTION("""COMPUTED_VALUE"""),"IDR")</f>
        <v>IDR</v>
      </c>
      <c r="I4551" s="6">
        <f>IFERROR(__xludf.DUMMYFUNCTION("""COMPUTED_VALUE"""),206250.0)</f>
        <v>206250</v>
      </c>
      <c r="J4551" s="6">
        <f>IFERROR(__xludf.DUMMYFUNCTION("""COMPUTED_VALUE"""),4125000.0)</f>
        <v>4125000</v>
      </c>
      <c r="K4551" s="57">
        <f>IFERROR(__xludf.DUMMYFUNCTION("""COMPUTED_VALUE"""),46017.0)</f>
        <v>46017</v>
      </c>
      <c r="L4551" s="6" t="str">
        <f>IFERROR(__xludf.DUMMYFUNCTION("""COMPUTED_VALUE"""),"FIP Engineering")</f>
        <v>FIP Engineering</v>
      </c>
      <c r="M4551" s="6" t="str">
        <f>IFERROR(__xludf.DUMMYFUNCTION("""COMPUTED_VALUE"""),"Mochammad Fadhillah Hakim,")</f>
        <v>Mochammad Fadhillah Hakim,</v>
      </c>
      <c r="N4551" s="6" t="str">
        <f>IFERROR(__xludf.DUMMYFUNCTION("""COMPUTED_VALUE"""),"FIP Engineering")</f>
        <v>FIP Engineering</v>
      </c>
      <c r="O4551" s="6" t="str">
        <f>IFERROR(__xludf.DUMMYFUNCTION("""COMPUTED_VALUE"""),"FIP-DOM-000-11304-OS00001-INA-000000")</f>
        <v>FIP-DOM-000-11304-OS00001-INA-000000</v>
      </c>
      <c r="P4551" s="6" t="str">
        <f>IFERROR(__xludf.DUMMYFUNCTION("""COMPUTED_VALUE"""),"PO Closed")</f>
        <v>PO Closed</v>
      </c>
      <c r="Q4551" s="6" t="str">
        <f>IFERROR(__xludf.DUMMYFUNCTION("""COMPUTED_VALUE"""),"GL2511030")</f>
        <v>GL2511030</v>
      </c>
      <c r="R4551" s="57">
        <f>IFERROR(__xludf.DUMMYFUNCTION("""COMPUTED_VALUE"""),45954.0)</f>
        <v>45954</v>
      </c>
      <c r="S4551" s="57">
        <f>IFERROR(__xludf.DUMMYFUNCTION("""COMPUTED_VALUE"""),45958.0)</f>
        <v>45958</v>
      </c>
      <c r="T4551" s="57">
        <f>IFERROR(__xludf.DUMMYFUNCTION("""COMPUTED_VALUE"""),46142.0)</f>
        <v>46142</v>
      </c>
    </row>
    <row r="4552">
      <c r="A4552" s="6" t="str">
        <f>IFERROR(__xludf.DUMMYFUNCTION("""COMPUTED_VALUE"""),"121703409-1")</f>
        <v>121703409-1</v>
      </c>
      <c r="B4552" s="6" t="str">
        <f>IFERROR(__xludf.DUMMYFUNCTION("""COMPUTED_VALUE"""),"121703409 - APPROVED")</f>
        <v>121703409 - APPROVED</v>
      </c>
      <c r="C4552" s="6">
        <f>IFERROR(__xludf.DUMMYFUNCTION("""COMPUTED_VALUE"""),1.0)</f>
        <v>1</v>
      </c>
      <c r="D4552" s="6" t="str">
        <f>IFERROR(__xludf.DUMMYFUNCTION("""COMPUTED_VALUE"""),"O-14022-00")</f>
        <v>O-14022-00</v>
      </c>
      <c r="E4552" s="6" t="str">
        <f>IFERROR(__xludf.DUMMYFUNCTION("""COMPUTED_VALUE"""),"Valve Base SV-3-M5 Festo FESTO P/N : -  pc")</f>
        <v>Valve Base SV-3-M5 Festo FESTO P/N : -  pc</v>
      </c>
      <c r="F4552" s="6">
        <f>IFERROR(__xludf.DUMMYFUNCTION("""COMPUTED_VALUE"""),1.0)</f>
        <v>1</v>
      </c>
      <c r="G4552" s="6" t="str">
        <f>IFERROR(__xludf.DUMMYFUNCTION("""COMPUTED_VALUE"""),"Pieces")</f>
        <v>Pieces</v>
      </c>
      <c r="H4552" s="6" t="str">
        <f>IFERROR(__xludf.DUMMYFUNCTION("""COMPUTED_VALUE"""),"IDR")</f>
        <v>IDR</v>
      </c>
      <c r="I4552" s="6">
        <f>IFERROR(__xludf.DUMMYFUNCTION("""COMPUTED_VALUE"""),840300.0)</f>
        <v>840300</v>
      </c>
      <c r="J4552" s="6">
        <f>IFERROR(__xludf.DUMMYFUNCTION("""COMPUTED_VALUE"""),840300.0)</f>
        <v>840300</v>
      </c>
      <c r="K4552" s="57">
        <f>IFERROR(__xludf.DUMMYFUNCTION("""COMPUTED_VALUE"""),45989.0)</f>
        <v>45989</v>
      </c>
      <c r="L4552" s="6" t="str">
        <f>IFERROR(__xludf.DUMMYFUNCTION("""COMPUTED_VALUE"""),"FIP Engineering")</f>
        <v>FIP Engineering</v>
      </c>
      <c r="M4552" s="6" t="str">
        <f>IFERROR(__xludf.DUMMYFUNCTION("""COMPUTED_VALUE"""),"Mochammad Fadhillah Hakim,")</f>
        <v>Mochammad Fadhillah Hakim,</v>
      </c>
      <c r="N4552" s="6" t="str">
        <f>IFERROR(__xludf.DUMMYFUNCTION("""COMPUTED_VALUE"""),"FIP Engineering")</f>
        <v>FIP Engineering</v>
      </c>
      <c r="O4552" s="6" t="str">
        <f>IFERROR(__xludf.DUMMYFUNCTION("""COMPUTED_VALUE"""),"FIP-DOM-000-11304-OS00001-INA-000000")</f>
        <v>FIP-DOM-000-11304-OS00001-INA-000000</v>
      </c>
      <c r="P4552" s="6" t="str">
        <f>IFERROR(__xludf.DUMMYFUNCTION("""COMPUTED_VALUE"""),"PO Closed")</f>
        <v>PO Closed</v>
      </c>
      <c r="Q4552" s="6" t="str">
        <f>IFERROR(__xludf.DUMMYFUNCTION("""COMPUTED_VALUE"""),"GL2511301")</f>
        <v>GL2511301</v>
      </c>
      <c r="R4552" s="57">
        <f>IFERROR(__xludf.DUMMYFUNCTION("""COMPUTED_VALUE"""),45958.0)</f>
        <v>45958</v>
      </c>
      <c r="S4552" s="57">
        <f>IFERROR(__xludf.DUMMYFUNCTION("""COMPUTED_VALUE"""),45964.0)</f>
        <v>45964</v>
      </c>
      <c r="T4552" s="57">
        <f>IFERROR(__xludf.DUMMYFUNCTION("""COMPUTED_VALUE"""),45989.0)</f>
        <v>45989</v>
      </c>
    </row>
    <row r="4553">
      <c r="A4553" s="6" t="str">
        <f>IFERROR(__xludf.DUMMYFUNCTION("""COMPUTED_VALUE"""),"121703410-1")</f>
        <v>121703410-1</v>
      </c>
      <c r="B4553" s="6" t="str">
        <f>IFERROR(__xludf.DUMMYFUNCTION("""COMPUTED_VALUE"""),"121703410 - APPROVED")</f>
        <v>121703410 - APPROVED</v>
      </c>
      <c r="C4553" s="6">
        <f>IFERROR(__xludf.DUMMYFUNCTION("""COMPUTED_VALUE"""),1.0)</f>
        <v>1</v>
      </c>
      <c r="D4553" s="6" t="str">
        <f>IFERROR(__xludf.DUMMYFUNCTION("""COMPUTED_VALUE"""),"P-50930-00")</f>
        <v>P-50930-00</v>
      </c>
      <c r="E4553" s="6" t="str">
        <f>IFERROR(__xludf.DUMMYFUNCTION("""COMPUTED_VALUE"""),"General - One-way Flow Control Valve GRLA-M5-QS-4-RS-D; Festo; 197577; 1 pc")</f>
        <v>General - One-way Flow Control Valve GRLA-M5-QS-4-RS-D; Festo; 197577; 1 pc</v>
      </c>
      <c r="F4553" s="6">
        <f>IFERROR(__xludf.DUMMYFUNCTION("""COMPUTED_VALUE"""),6.0)</f>
        <v>6</v>
      </c>
      <c r="G4553" s="6" t="str">
        <f>IFERROR(__xludf.DUMMYFUNCTION("""COMPUTED_VALUE"""),"Pieces")</f>
        <v>Pieces</v>
      </c>
      <c r="H4553" s="6" t="str">
        <f>IFERROR(__xludf.DUMMYFUNCTION("""COMPUTED_VALUE"""),"IDR")</f>
        <v>IDR</v>
      </c>
      <c r="I4553" s="6">
        <f>IFERROR(__xludf.DUMMYFUNCTION("""COMPUTED_VALUE"""),258904.0)</f>
        <v>258904</v>
      </c>
      <c r="J4553" s="6">
        <f>IFERROR(__xludf.DUMMYFUNCTION("""COMPUTED_VALUE"""),1553424.0)</f>
        <v>1553424</v>
      </c>
      <c r="K4553" s="57">
        <f>IFERROR(__xludf.DUMMYFUNCTION("""COMPUTED_VALUE"""),45989.0)</f>
        <v>45989</v>
      </c>
      <c r="L4553" s="6" t="str">
        <f>IFERROR(__xludf.DUMMYFUNCTION("""COMPUTED_VALUE"""),"FIP Engineering")</f>
        <v>FIP Engineering</v>
      </c>
      <c r="M4553" s="6" t="str">
        <f>IFERROR(__xludf.DUMMYFUNCTION("""COMPUTED_VALUE"""),"Mochammad Fadhillah Hakim,")</f>
        <v>Mochammad Fadhillah Hakim,</v>
      </c>
      <c r="N4553" s="6" t="str">
        <f>IFERROR(__xludf.DUMMYFUNCTION("""COMPUTED_VALUE"""),"FIP Engineering")</f>
        <v>FIP Engineering</v>
      </c>
      <c r="O4553" s="6" t="str">
        <f>IFERROR(__xludf.DUMMYFUNCTION("""COMPUTED_VALUE"""),"FIP-DOM-000-11304-OS00001-INA-000000")</f>
        <v>FIP-DOM-000-11304-OS00001-INA-000000</v>
      </c>
      <c r="P4553" s="6" t="str">
        <f>IFERROR(__xludf.DUMMYFUNCTION("""COMPUTED_VALUE"""),"PO Closed")</f>
        <v>PO Closed</v>
      </c>
      <c r="Q4553" s="6" t="str">
        <f>IFERROR(__xludf.DUMMYFUNCTION("""COMPUTED_VALUE"""),"GL2511004")</f>
        <v>GL2511004</v>
      </c>
      <c r="R4553" s="57">
        <f>IFERROR(__xludf.DUMMYFUNCTION("""COMPUTED_VALUE"""),45958.0)</f>
        <v>45958</v>
      </c>
      <c r="S4553" s="57">
        <f>IFERROR(__xludf.DUMMYFUNCTION("""COMPUTED_VALUE"""),45964.0)</f>
        <v>45964</v>
      </c>
      <c r="T4553" s="57">
        <f>IFERROR(__xludf.DUMMYFUNCTION("""COMPUTED_VALUE"""),45989.0)</f>
        <v>45989</v>
      </c>
    </row>
    <row r="4554">
      <c r="A4554" s="6" t="str">
        <f>IFERROR(__xludf.DUMMYFUNCTION("""COMPUTED_VALUE"""),"121703411-1")</f>
        <v>121703411-1</v>
      </c>
      <c r="B4554" s="6" t="str">
        <f>IFERROR(__xludf.DUMMYFUNCTION("""COMPUTED_VALUE"""),"121703411 - APPROVED")</f>
        <v>121703411 - APPROVED</v>
      </c>
      <c r="C4554" s="6">
        <f>IFERROR(__xludf.DUMMYFUNCTION("""COMPUTED_VALUE"""),1.0)</f>
        <v>1</v>
      </c>
      <c r="D4554" s="6" t="str">
        <f>IFERROR(__xludf.DUMMYFUNCTION("""COMPUTED_VALUE"""),"P-51252-00")</f>
        <v>P-51252-00</v>
      </c>
      <c r="E4554" s="6" t="str">
        <f>IFERROR(__xludf.DUMMYFUNCTION("""COMPUTED_VALUE"""),"Skun O dia 2.5 mm")</f>
        <v>Skun O dia 2.5 mm</v>
      </c>
      <c r="F4554" s="6">
        <f>IFERROR(__xludf.DUMMYFUNCTION("""COMPUTED_VALUE"""),3.0)</f>
        <v>3</v>
      </c>
      <c r="G4554" s="6" t="str">
        <f>IFERROR(__xludf.DUMMYFUNCTION("""COMPUTED_VALUE"""),"Pieces")</f>
        <v>Pieces</v>
      </c>
      <c r="H4554" s="6" t="str">
        <f>IFERROR(__xludf.DUMMYFUNCTION("""COMPUTED_VALUE"""),"IDR")</f>
        <v>IDR</v>
      </c>
      <c r="I4554" s="6">
        <f>IFERROR(__xludf.DUMMYFUNCTION("""COMPUTED_VALUE"""),45000.0)</f>
        <v>45000</v>
      </c>
      <c r="J4554" s="6">
        <f>IFERROR(__xludf.DUMMYFUNCTION("""COMPUTED_VALUE"""),135000.0)</f>
        <v>135000</v>
      </c>
      <c r="K4554" s="57">
        <f>IFERROR(__xludf.DUMMYFUNCTION("""COMPUTED_VALUE"""),45989.0)</f>
        <v>45989</v>
      </c>
      <c r="L4554" s="6" t="str">
        <f>IFERROR(__xludf.DUMMYFUNCTION("""COMPUTED_VALUE"""),"FIP Engineering")</f>
        <v>FIP Engineering</v>
      </c>
      <c r="M4554" s="6" t="str">
        <f>IFERROR(__xludf.DUMMYFUNCTION("""COMPUTED_VALUE"""),"Mochammad Fadhillah Hakim,")</f>
        <v>Mochammad Fadhillah Hakim,</v>
      </c>
      <c r="N4554" s="6" t="str">
        <f>IFERROR(__xludf.DUMMYFUNCTION("""COMPUTED_VALUE"""),"FIP Engineering")</f>
        <v>FIP Engineering</v>
      </c>
      <c r="O4554" s="6" t="str">
        <f>IFERROR(__xludf.DUMMYFUNCTION("""COMPUTED_VALUE"""),"FIP-DOM-000-11304-OS00001-INA-000000")</f>
        <v>FIP-DOM-000-11304-OS00001-INA-000000</v>
      </c>
      <c r="P4554" s="6" t="str">
        <f>IFERROR(__xludf.DUMMYFUNCTION("""COMPUTED_VALUE"""),"PO Closed")</f>
        <v>PO Closed</v>
      </c>
      <c r="Q4554" s="6" t="str">
        <f>IFERROR(__xludf.DUMMYFUNCTION("""COMPUTED_VALUE"""),"GL2511309")</f>
        <v>GL2511309</v>
      </c>
      <c r="R4554" s="57">
        <f>IFERROR(__xludf.DUMMYFUNCTION("""COMPUTED_VALUE"""),45958.0)</f>
        <v>45958</v>
      </c>
      <c r="S4554" s="57">
        <f>IFERROR(__xludf.DUMMYFUNCTION("""COMPUTED_VALUE"""),45964.0)</f>
        <v>45964</v>
      </c>
      <c r="T4554" s="57">
        <f>IFERROR(__xludf.DUMMYFUNCTION("""COMPUTED_VALUE"""),45989.0)</f>
        <v>45989</v>
      </c>
    </row>
    <row r="4555">
      <c r="A4555" s="6" t="str">
        <f>IFERROR(__xludf.DUMMYFUNCTION("""COMPUTED_VALUE"""),"121703412-1")</f>
        <v>121703412-1</v>
      </c>
      <c r="B4555" s="6" t="str">
        <f>IFERROR(__xludf.DUMMYFUNCTION("""COMPUTED_VALUE"""),"121703412 - APPROVED")</f>
        <v>121703412 - APPROVED</v>
      </c>
      <c r="C4555" s="6">
        <f>IFERROR(__xludf.DUMMYFUNCTION("""COMPUTED_VALUE"""),1.0)</f>
        <v>1</v>
      </c>
      <c r="D4555" s="6" t="str">
        <f>IFERROR(__xludf.DUMMYFUNCTION("""COMPUTED_VALUE"""),"Q-70222-00")</f>
        <v>Q-70222-00</v>
      </c>
      <c r="E4555" s="6" t="str">
        <f>IFERROR(__xludf.DUMMYFUNCTION("""COMPUTED_VALUE"""),"Insulated Screwdriver LPISS7; Krisbow; 10002071; 7 pc/set")</f>
        <v>Insulated Screwdriver LPISS7; Krisbow; 10002071; 7 pc/set</v>
      </c>
      <c r="F4555" s="6">
        <f>IFERROR(__xludf.DUMMYFUNCTION("""COMPUTED_VALUE"""),1.0)</f>
        <v>1</v>
      </c>
      <c r="G4555" s="6" t="str">
        <f>IFERROR(__xludf.DUMMYFUNCTION("""COMPUTED_VALUE"""),"Set")</f>
        <v>Set</v>
      </c>
      <c r="H4555" s="6" t="str">
        <f>IFERROR(__xludf.DUMMYFUNCTION("""COMPUTED_VALUE"""),"IDR")</f>
        <v>IDR</v>
      </c>
      <c r="I4555" s="6">
        <f>IFERROR(__xludf.DUMMYFUNCTION("""COMPUTED_VALUE"""),469900.0)</f>
        <v>469900</v>
      </c>
      <c r="J4555" s="6">
        <f>IFERROR(__xludf.DUMMYFUNCTION("""COMPUTED_VALUE"""),469900.0)</f>
        <v>469900</v>
      </c>
      <c r="K4555" s="57">
        <f>IFERROR(__xludf.DUMMYFUNCTION("""COMPUTED_VALUE"""),45989.0)</f>
        <v>45989</v>
      </c>
      <c r="L4555" s="6" t="str">
        <f>IFERROR(__xludf.DUMMYFUNCTION("""COMPUTED_VALUE"""),"FIP General")</f>
        <v>FIP General</v>
      </c>
      <c r="M4555" s="6" t="str">
        <f>IFERROR(__xludf.DUMMYFUNCTION("""COMPUTED_VALUE"""),"Mochammad Fadhillah Hakim,")</f>
        <v>Mochammad Fadhillah Hakim,</v>
      </c>
      <c r="N4555" s="6" t="str">
        <f>IFERROR(__xludf.DUMMYFUNCTION("""COMPUTED_VALUE"""),"FIP Engineering")</f>
        <v>FIP Engineering</v>
      </c>
      <c r="O4555" s="6" t="str">
        <f>IFERROR(__xludf.DUMMYFUNCTION("""COMPUTED_VALUE"""),"FIP-DOM-ENG-51404-0000000-INA-000000")</f>
        <v>FIP-DOM-ENG-51404-0000000-INA-000000</v>
      </c>
      <c r="P4555" s="6" t="str">
        <f>IFERROR(__xludf.DUMMYFUNCTION("""COMPUTED_VALUE"""),"PO Closed")</f>
        <v>PO Closed</v>
      </c>
      <c r="Q4555" s="6" t="str">
        <f>IFERROR(__xludf.DUMMYFUNCTION("""COMPUTED_VALUE"""),"GL2511027")</f>
        <v>GL2511027</v>
      </c>
      <c r="R4555" s="57">
        <f>IFERROR(__xludf.DUMMYFUNCTION("""COMPUTED_VALUE"""),45958.0)</f>
        <v>45958</v>
      </c>
      <c r="S4555" s="57">
        <f>IFERROR(__xludf.DUMMYFUNCTION("""COMPUTED_VALUE"""),45958.0)</f>
        <v>45958</v>
      </c>
      <c r="T4555" s="57">
        <f>IFERROR(__xludf.DUMMYFUNCTION("""COMPUTED_VALUE"""),45989.0)</f>
        <v>45989</v>
      </c>
    </row>
    <row r="4556">
      <c r="A4556" s="6" t="str">
        <f>IFERROR(__xludf.DUMMYFUNCTION("""COMPUTED_VALUE"""),"121703413-1")</f>
        <v>121703413-1</v>
      </c>
      <c r="B4556" s="6" t="str">
        <f>IFERROR(__xludf.DUMMYFUNCTION("""COMPUTED_VALUE"""),"121703413 - APPROVED")</f>
        <v>121703413 - APPROVED</v>
      </c>
      <c r="C4556" s="6">
        <f>IFERROR(__xludf.DUMMYFUNCTION("""COMPUTED_VALUE"""),1.0)</f>
        <v>1</v>
      </c>
      <c r="D4556" s="6" t="str">
        <f>IFERROR(__xludf.DUMMYFUNCTION("""COMPUTED_VALUE"""),"O-21089-00")</f>
        <v>O-21089-00</v>
      </c>
      <c r="E4556" s="6" t="str">
        <f>IFERROR(__xludf.DUMMYFUNCTION("""COMPUTED_VALUE"""),"Capping VCM200 - Oil Seal 20x28x4mm; NBR; -; 1 Pc")</f>
        <v>Capping VCM200 - Oil Seal 20x28x4mm; NBR; -; 1 Pc</v>
      </c>
      <c r="F4556" s="6">
        <f>IFERROR(__xludf.DUMMYFUNCTION("""COMPUTED_VALUE"""),1.0)</f>
        <v>1</v>
      </c>
      <c r="G4556" s="6" t="str">
        <f>IFERROR(__xludf.DUMMYFUNCTION("""COMPUTED_VALUE"""),"Pieces")</f>
        <v>Pieces</v>
      </c>
      <c r="H4556" s="6" t="str">
        <f>IFERROR(__xludf.DUMMYFUNCTION("""COMPUTED_VALUE"""),"IDR")</f>
        <v>IDR</v>
      </c>
      <c r="I4556" s="6">
        <f>IFERROR(__xludf.DUMMYFUNCTION("""COMPUTED_VALUE"""),9500.0)</f>
        <v>9500</v>
      </c>
      <c r="J4556" s="6">
        <f>IFERROR(__xludf.DUMMYFUNCTION("""COMPUTED_VALUE"""),9500.0)</f>
        <v>9500</v>
      </c>
      <c r="K4556" s="57">
        <f>IFERROR(__xludf.DUMMYFUNCTION("""COMPUTED_VALUE"""),45989.0)</f>
        <v>45989</v>
      </c>
      <c r="L4556" s="6" t="str">
        <f>IFERROR(__xludf.DUMMYFUNCTION("""COMPUTED_VALUE"""),"FIP Engineering")</f>
        <v>FIP Engineering</v>
      </c>
      <c r="M4556" s="6" t="str">
        <f>IFERROR(__xludf.DUMMYFUNCTION("""COMPUTED_VALUE"""),"Mochammad Fadhillah Hakim,")</f>
        <v>Mochammad Fadhillah Hakim,</v>
      </c>
      <c r="N4556" s="6" t="str">
        <f>IFERROR(__xludf.DUMMYFUNCTION("""COMPUTED_VALUE"""),"FIP Engineering")</f>
        <v>FIP Engineering</v>
      </c>
      <c r="O4556" s="6" t="str">
        <f>IFERROR(__xludf.DUMMYFUNCTION("""COMPUTED_VALUE"""),"FIP-DOM-000-11304-OS00001-INA-000000")</f>
        <v>FIP-DOM-000-11304-OS00001-INA-000000</v>
      </c>
      <c r="P4556" s="6" t="str">
        <f>IFERROR(__xludf.DUMMYFUNCTION("""COMPUTED_VALUE"""),"PO Closed")</f>
        <v>PO Closed</v>
      </c>
      <c r="Q4556" s="6" t="str">
        <f>IFERROR(__xludf.DUMMYFUNCTION("""COMPUTED_VALUE"""),"GL2511303")</f>
        <v>GL2511303</v>
      </c>
      <c r="R4556" s="57">
        <f>IFERROR(__xludf.DUMMYFUNCTION("""COMPUTED_VALUE"""),45958.0)</f>
        <v>45958</v>
      </c>
      <c r="S4556" s="57">
        <f>IFERROR(__xludf.DUMMYFUNCTION("""COMPUTED_VALUE"""),45964.0)</f>
        <v>45964</v>
      </c>
      <c r="T4556" s="57">
        <f>IFERROR(__xludf.DUMMYFUNCTION("""COMPUTED_VALUE"""),46006.0)</f>
        <v>46006</v>
      </c>
    </row>
    <row r="4557">
      <c r="A4557" s="6" t="str">
        <f>IFERROR(__xludf.DUMMYFUNCTION("""COMPUTED_VALUE"""),"121703413-2")</f>
        <v>121703413-2</v>
      </c>
      <c r="B4557" s="6" t="str">
        <f>IFERROR(__xludf.DUMMYFUNCTION("""COMPUTED_VALUE"""),"121703413 - APPROVED")</f>
        <v>121703413 - APPROVED</v>
      </c>
      <c r="C4557" s="6">
        <f>IFERROR(__xludf.DUMMYFUNCTION("""COMPUTED_VALUE"""),2.0)</f>
        <v>2</v>
      </c>
      <c r="D4557" s="6" t="str">
        <f>IFERROR(__xludf.DUMMYFUNCTION("""COMPUTED_VALUE"""),"O-53454-00")</f>
        <v>O-53454-00</v>
      </c>
      <c r="E4557" s="6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F4557" s="6">
        <f>IFERROR(__xludf.DUMMYFUNCTION("""COMPUTED_VALUE"""),1.0)</f>
        <v>1</v>
      </c>
      <c r="G4557" s="6" t="str">
        <f>IFERROR(__xludf.DUMMYFUNCTION("""COMPUTED_VALUE"""),"Pieces")</f>
        <v>Pieces</v>
      </c>
      <c r="H4557" s="6" t="str">
        <f>IFERROR(__xludf.DUMMYFUNCTION("""COMPUTED_VALUE"""),"IDR")</f>
        <v>IDR</v>
      </c>
      <c r="I4557" s="6">
        <f>IFERROR(__xludf.DUMMYFUNCTION("""COMPUTED_VALUE"""),2000000.0)</f>
        <v>2000000</v>
      </c>
      <c r="J4557" s="6">
        <f>IFERROR(__xludf.DUMMYFUNCTION("""COMPUTED_VALUE"""),2000000.0)</f>
        <v>2000000</v>
      </c>
      <c r="K4557" s="57">
        <f>IFERROR(__xludf.DUMMYFUNCTION("""COMPUTED_VALUE"""),45989.0)</f>
        <v>45989</v>
      </c>
      <c r="L4557" s="6" t="str">
        <f>IFERROR(__xludf.DUMMYFUNCTION("""COMPUTED_VALUE"""),"FIP Engineering")</f>
        <v>FIP Engineering</v>
      </c>
      <c r="M4557" s="6" t="str">
        <f>IFERROR(__xludf.DUMMYFUNCTION("""COMPUTED_VALUE"""),"Mochammad Fadhillah Hakim,")</f>
        <v>Mochammad Fadhillah Hakim,</v>
      </c>
      <c r="N4557" s="6" t="str">
        <f>IFERROR(__xludf.DUMMYFUNCTION("""COMPUTED_VALUE"""),"FIP Engineering")</f>
        <v>FIP Engineering</v>
      </c>
      <c r="O4557" s="6" t="str">
        <f>IFERROR(__xludf.DUMMYFUNCTION("""COMPUTED_VALUE"""),"FIP-DOM-000-11304-OS00001-INA-000000")</f>
        <v>FIP-DOM-000-11304-OS00001-INA-000000</v>
      </c>
      <c r="P4557" s="6" t="str">
        <f>IFERROR(__xludf.DUMMYFUNCTION("""COMPUTED_VALUE"""),"PO Closed")</f>
        <v>PO Closed</v>
      </c>
      <c r="Q4557" s="6" t="str">
        <f>IFERROR(__xludf.DUMMYFUNCTION("""COMPUTED_VALUE"""),"GL2511303")</f>
        <v>GL2511303</v>
      </c>
      <c r="R4557" s="57">
        <f>IFERROR(__xludf.DUMMYFUNCTION("""COMPUTED_VALUE"""),45958.0)</f>
        <v>45958</v>
      </c>
      <c r="S4557" s="57">
        <f>IFERROR(__xludf.DUMMYFUNCTION("""COMPUTED_VALUE"""),45964.0)</f>
        <v>45964</v>
      </c>
      <c r="T4557" s="57">
        <f>IFERROR(__xludf.DUMMYFUNCTION("""COMPUTED_VALUE"""),46006.0)</f>
        <v>46006</v>
      </c>
    </row>
    <row r="4558">
      <c r="A4558" s="6" t="str">
        <f>IFERROR(__xludf.DUMMYFUNCTION("""COMPUTED_VALUE"""),"121703414-1")</f>
        <v>121703414-1</v>
      </c>
      <c r="B4558" s="6" t="str">
        <f>IFERROR(__xludf.DUMMYFUNCTION("""COMPUTED_VALUE"""),"121703414 - APPROVED")</f>
        <v>121703414 - APPROVED</v>
      </c>
      <c r="C4558" s="6">
        <f>IFERROR(__xludf.DUMMYFUNCTION("""COMPUTED_VALUE"""),1.0)</f>
        <v>1</v>
      </c>
      <c r="D4558" s="6" t="str">
        <f>IFERROR(__xludf.DUMMYFUNCTION("""COMPUTED_VALUE"""),"P-19381-00")</f>
        <v>P-19381-00</v>
      </c>
      <c r="E4558" s="6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F4558" s="6">
        <f>IFERROR(__xludf.DUMMYFUNCTION("""COMPUTED_VALUE"""),5.0)</f>
        <v>5</v>
      </c>
      <c r="G4558" s="6" t="str">
        <f>IFERROR(__xludf.DUMMYFUNCTION("""COMPUTED_VALUE"""),"Pieces")</f>
        <v>Pieces</v>
      </c>
      <c r="H4558" s="6" t="str">
        <f>IFERROR(__xludf.DUMMYFUNCTION("""COMPUTED_VALUE"""),"IDR")</f>
        <v>IDR</v>
      </c>
      <c r="I4558" s="6">
        <f>IFERROR(__xludf.DUMMYFUNCTION("""COMPUTED_VALUE"""),85000.0)</f>
        <v>85000</v>
      </c>
      <c r="J4558" s="6">
        <f>IFERROR(__xludf.DUMMYFUNCTION("""COMPUTED_VALUE"""),425000.0)</f>
        <v>425000</v>
      </c>
      <c r="K4558" s="57">
        <f>IFERROR(__xludf.DUMMYFUNCTION("""COMPUTED_VALUE"""),45989.0)</f>
        <v>45989</v>
      </c>
      <c r="L4558" s="6" t="str">
        <f>IFERROR(__xludf.DUMMYFUNCTION("""COMPUTED_VALUE"""),"FIP Engineering")</f>
        <v>FIP Engineering</v>
      </c>
      <c r="M4558" s="6" t="str">
        <f>IFERROR(__xludf.DUMMYFUNCTION("""COMPUTED_VALUE"""),"Mochammad Fadhillah Hakim,")</f>
        <v>Mochammad Fadhillah Hakim,</v>
      </c>
      <c r="N4558" s="6" t="str">
        <f>IFERROR(__xludf.DUMMYFUNCTION("""COMPUTED_VALUE"""),"FIP Engineering")</f>
        <v>FIP Engineering</v>
      </c>
      <c r="O4558" s="6" t="str">
        <f>IFERROR(__xludf.DUMMYFUNCTION("""COMPUTED_VALUE"""),"FIP-DOM-000-11304-OS00001-INA-000000")</f>
        <v>FIP-DOM-000-11304-OS00001-INA-000000</v>
      </c>
      <c r="P4558" s="6" t="str">
        <f>IFERROR(__xludf.DUMMYFUNCTION("""COMPUTED_VALUE"""),"PO Closed")</f>
        <v>PO Closed</v>
      </c>
      <c r="Q4558" s="6" t="str">
        <f>IFERROR(__xludf.DUMMYFUNCTION("""COMPUTED_VALUE"""),"GL2511309")</f>
        <v>GL2511309</v>
      </c>
      <c r="R4558" s="57">
        <f>IFERROR(__xludf.DUMMYFUNCTION("""COMPUTED_VALUE"""),45958.0)</f>
        <v>45958</v>
      </c>
      <c r="S4558" s="57">
        <f>IFERROR(__xludf.DUMMYFUNCTION("""COMPUTED_VALUE"""),45964.0)</f>
        <v>45964</v>
      </c>
      <c r="T4558" s="57">
        <f>IFERROR(__xludf.DUMMYFUNCTION("""COMPUTED_VALUE"""),45989.0)</f>
        <v>45989</v>
      </c>
    </row>
    <row r="4559">
      <c r="A4559" s="6" t="str">
        <f>IFERROR(__xludf.DUMMYFUNCTION("""COMPUTED_VALUE"""),"121703415-1")</f>
        <v>121703415-1</v>
      </c>
      <c r="B4559" s="6" t="str">
        <f>IFERROR(__xludf.DUMMYFUNCTION("""COMPUTED_VALUE"""),"121703415 - APPROVED")</f>
        <v>121703415 - APPROVED</v>
      </c>
      <c r="C4559" s="6">
        <f>IFERROR(__xludf.DUMMYFUNCTION("""COMPUTED_VALUE"""),1.0)</f>
        <v>1</v>
      </c>
      <c r="D4559" s="6" t="str">
        <f>IFERROR(__xludf.DUMMYFUNCTION("""COMPUTED_VALUE"""),"Q-50026-00")</f>
        <v>Q-50026-00</v>
      </c>
      <c r="E4559" s="6" t="str">
        <f>IFERROR(__xludf.DUMMYFUNCTION("""COMPUTED_VALUE"""),"Electric Dropbolt Lock door access 5 Kabel Delay; Lokal; ; pc")</f>
        <v>Electric Dropbolt Lock door access 5 Kabel Delay; Lokal; ; pc</v>
      </c>
      <c r="F4559" s="6">
        <f>IFERROR(__xludf.DUMMYFUNCTION("""COMPUTED_VALUE"""),2.0)</f>
        <v>2</v>
      </c>
      <c r="G4559" s="6" t="str">
        <f>IFERROR(__xludf.DUMMYFUNCTION("""COMPUTED_VALUE"""),"Pieces")</f>
        <v>Pieces</v>
      </c>
      <c r="H4559" s="6" t="str">
        <f>IFERROR(__xludf.DUMMYFUNCTION("""COMPUTED_VALUE"""),"IDR")</f>
        <v>IDR</v>
      </c>
      <c r="I4559" s="6">
        <f>IFERROR(__xludf.DUMMYFUNCTION("""COMPUTED_VALUE"""),500000.0)</f>
        <v>500000</v>
      </c>
      <c r="J4559" s="6">
        <f>IFERROR(__xludf.DUMMYFUNCTION("""COMPUTED_VALUE"""),1000000.0)</f>
        <v>1000000</v>
      </c>
      <c r="K4559" s="57">
        <f>IFERROR(__xludf.DUMMYFUNCTION("""COMPUTED_VALUE"""),45989.0)</f>
        <v>45989</v>
      </c>
      <c r="L4559" s="6" t="str">
        <f>IFERROR(__xludf.DUMMYFUNCTION("""COMPUTED_VALUE"""),"FIP General")</f>
        <v>FIP General</v>
      </c>
      <c r="M4559" s="6" t="str">
        <f>IFERROR(__xludf.DUMMYFUNCTION("""COMPUTED_VALUE"""),"Mochammad Fadhillah Hakim,")</f>
        <v>Mochammad Fadhillah Hakim,</v>
      </c>
      <c r="N4559" s="6" t="str">
        <f>IFERROR(__xludf.DUMMYFUNCTION("""COMPUTED_VALUE"""),"FIP Engineering")</f>
        <v>FIP Engineering</v>
      </c>
      <c r="O4559" s="6" t="str">
        <f>IFERROR(__xludf.DUMMYFUNCTION("""COMPUTED_VALUE"""),"FIP-DOM-ENG-51502-0000000-INA-000000")</f>
        <v>FIP-DOM-ENG-51502-0000000-INA-000000</v>
      </c>
      <c r="P4559" s="6" t="str">
        <f>IFERROR(__xludf.DUMMYFUNCTION("""COMPUTED_VALUE"""),"PO Closed")</f>
        <v>PO Closed</v>
      </c>
      <c r="Q4559" s="6" t="str">
        <f>IFERROR(__xludf.DUMMYFUNCTION("""COMPUTED_VALUE"""),"GL2511056")</f>
        <v>GL2511056</v>
      </c>
      <c r="R4559" s="57">
        <f>IFERROR(__xludf.DUMMYFUNCTION("""COMPUTED_VALUE"""),45958.0)</f>
        <v>45958</v>
      </c>
      <c r="S4559" s="57">
        <f>IFERROR(__xludf.DUMMYFUNCTION("""COMPUTED_VALUE"""),45958.0)</f>
        <v>45958</v>
      </c>
      <c r="T4559" s="57">
        <f>IFERROR(__xludf.DUMMYFUNCTION("""COMPUTED_VALUE"""),46003.0)</f>
        <v>46003</v>
      </c>
    </row>
    <row r="4560">
      <c r="A4560" s="6" t="str">
        <f>IFERROR(__xludf.DUMMYFUNCTION("""COMPUTED_VALUE"""),"121703416-1")</f>
        <v>121703416-1</v>
      </c>
      <c r="B4560" s="6" t="str">
        <f>IFERROR(__xludf.DUMMYFUNCTION("""COMPUTED_VALUE"""),"121703416 - APPROVED")</f>
        <v>121703416 - APPROVED</v>
      </c>
      <c r="C4560" s="6">
        <f>IFERROR(__xludf.DUMMYFUNCTION("""COMPUTED_VALUE"""),1.0)</f>
        <v>1</v>
      </c>
      <c r="D4560" s="6" t="str">
        <f>IFERROR(__xludf.DUMMYFUNCTION("""COMPUTED_VALUE"""),"O-52316-00")</f>
        <v>O-52316-00</v>
      </c>
      <c r="E4560" s="6" t="str">
        <f>IFERROR(__xludf.DUMMYFUNCTION("""COMPUTED_VALUE"""),"Socket Sensor 4 Pin Drat M8 DOS-0804-G; Sick; ;")</f>
        <v>Socket Sensor 4 Pin Drat M8 DOS-0804-G; Sick; ;</v>
      </c>
      <c r="F4560" s="6">
        <f>IFERROR(__xludf.DUMMYFUNCTION("""COMPUTED_VALUE"""),2.0)</f>
        <v>2</v>
      </c>
      <c r="G4560" s="6" t="str">
        <f>IFERROR(__xludf.DUMMYFUNCTION("""COMPUTED_VALUE"""),"Unit")</f>
        <v>Unit</v>
      </c>
      <c r="H4560" s="6" t="str">
        <f>IFERROR(__xludf.DUMMYFUNCTION("""COMPUTED_VALUE"""),"IDR")</f>
        <v>IDR</v>
      </c>
      <c r="I4560" s="6">
        <f>IFERROR(__xludf.DUMMYFUNCTION("""COMPUTED_VALUE"""),250000.0)</f>
        <v>250000</v>
      </c>
      <c r="J4560" s="6">
        <f>IFERROR(__xludf.DUMMYFUNCTION("""COMPUTED_VALUE"""),500000.0)</f>
        <v>500000</v>
      </c>
      <c r="K4560" s="57">
        <f>IFERROR(__xludf.DUMMYFUNCTION("""COMPUTED_VALUE"""),45989.0)</f>
        <v>45989</v>
      </c>
      <c r="L4560" s="6" t="str">
        <f>IFERROR(__xludf.DUMMYFUNCTION("""COMPUTED_VALUE"""),"FIP Engineering")</f>
        <v>FIP Engineering</v>
      </c>
      <c r="M4560" s="6" t="str">
        <f>IFERROR(__xludf.DUMMYFUNCTION("""COMPUTED_VALUE"""),"Mochammad Fadhillah Hakim,")</f>
        <v>Mochammad Fadhillah Hakim,</v>
      </c>
      <c r="N4560" s="6" t="str">
        <f>IFERROR(__xludf.DUMMYFUNCTION("""COMPUTED_VALUE"""),"FIP Engineering")</f>
        <v>FIP Engineering</v>
      </c>
      <c r="O4560" s="6" t="str">
        <f>IFERROR(__xludf.DUMMYFUNCTION("""COMPUTED_VALUE"""),"FIP-DOM-000-11304-OS00001-INA-000000")</f>
        <v>FIP-DOM-000-11304-OS00001-INA-000000</v>
      </c>
      <c r="P4560" s="6" t="str">
        <f>IFERROR(__xludf.DUMMYFUNCTION("""COMPUTED_VALUE"""),"PO Closed")</f>
        <v>PO Closed</v>
      </c>
      <c r="Q4560" s="6" t="str">
        <f>IFERROR(__xludf.DUMMYFUNCTION("""COMPUTED_VALUE"""),"GL2511304")</f>
        <v>GL2511304</v>
      </c>
      <c r="R4560" s="57">
        <f>IFERROR(__xludf.DUMMYFUNCTION("""COMPUTED_VALUE"""),45958.0)</f>
        <v>45958</v>
      </c>
      <c r="S4560" s="57">
        <f>IFERROR(__xludf.DUMMYFUNCTION("""COMPUTED_VALUE"""),45964.0)</f>
        <v>45964</v>
      </c>
      <c r="T4560" s="57">
        <f>IFERROR(__xludf.DUMMYFUNCTION("""COMPUTED_VALUE"""),46001.0)</f>
        <v>46001</v>
      </c>
    </row>
    <row r="4561">
      <c r="A4561" s="6" t="str">
        <f>IFERROR(__xludf.DUMMYFUNCTION("""COMPUTED_VALUE"""),"121703417-1")</f>
        <v>121703417-1</v>
      </c>
      <c r="B4561" s="6" t="str">
        <f>IFERROR(__xludf.DUMMYFUNCTION("""COMPUTED_VALUE"""),"121703417 - APPROVED")</f>
        <v>121703417 - APPROVED</v>
      </c>
      <c r="C4561" s="6">
        <f>IFERROR(__xludf.DUMMYFUNCTION("""COMPUTED_VALUE"""),1.0)</f>
        <v>1</v>
      </c>
      <c r="D4561" s="6" t="str">
        <f>IFERROR(__xludf.DUMMYFUNCTION("""COMPUTED_VALUE"""),"P-12515-00")</f>
        <v>P-12515-00</v>
      </c>
      <c r="E4561" s="6" t="str">
        <f>IFERROR(__xludf.DUMMYFUNCTION("""COMPUTED_VALUE"""),"General - Mata Bor, HSS, 1 - 13 mm; NACHI; -; 25 pcs per set")</f>
        <v>General - Mata Bor, HSS, 1 - 13 mm; NACHI; -; 25 pcs per set</v>
      </c>
      <c r="F4561" s="6">
        <f>IFERROR(__xludf.DUMMYFUNCTION("""COMPUTED_VALUE"""),1.0)</f>
        <v>1</v>
      </c>
      <c r="G4561" s="6" t="str">
        <f>IFERROR(__xludf.DUMMYFUNCTION("""COMPUTED_VALUE"""),"Pieces")</f>
        <v>Pieces</v>
      </c>
      <c r="H4561" s="6" t="str">
        <f>IFERROR(__xludf.DUMMYFUNCTION("""COMPUTED_VALUE"""),"IDR")</f>
        <v>IDR</v>
      </c>
      <c r="I4561" s="6">
        <f>IFERROR(__xludf.DUMMYFUNCTION("""COMPUTED_VALUE"""),2600000.0)</f>
        <v>2600000</v>
      </c>
      <c r="J4561" s="6">
        <f>IFERROR(__xludf.DUMMYFUNCTION("""COMPUTED_VALUE"""),2600000.0)</f>
        <v>2600000</v>
      </c>
      <c r="K4561" s="57">
        <f>IFERROR(__xludf.DUMMYFUNCTION("""COMPUTED_VALUE"""),45989.0)</f>
        <v>45989</v>
      </c>
      <c r="L4561" s="6" t="str">
        <f>IFERROR(__xludf.DUMMYFUNCTION("""COMPUTED_VALUE"""),"FIP Engineering")</f>
        <v>FIP Engineering</v>
      </c>
      <c r="M4561" s="6" t="str">
        <f>IFERROR(__xludf.DUMMYFUNCTION("""COMPUTED_VALUE"""),"Mochammad Fadhillah Hakim,")</f>
        <v>Mochammad Fadhillah Hakim,</v>
      </c>
      <c r="N4561" s="6" t="str">
        <f>IFERROR(__xludf.DUMMYFUNCTION("""COMPUTED_VALUE"""),"FIP Engineering")</f>
        <v>FIP Engineering</v>
      </c>
      <c r="O4561" s="6" t="str">
        <f>IFERROR(__xludf.DUMMYFUNCTION("""COMPUTED_VALUE"""),"FIP-DOM-000-11304-OS00001-INA-000000")</f>
        <v>FIP-DOM-000-11304-OS00001-INA-000000</v>
      </c>
      <c r="P4561" s="6" t="str">
        <f>IFERROR(__xludf.DUMMYFUNCTION("""COMPUTED_VALUE"""),"PO Closed")</f>
        <v>PO Closed</v>
      </c>
      <c r="Q4561" s="6" t="str">
        <f>IFERROR(__xludf.DUMMYFUNCTION("""COMPUTED_VALUE"""),"GL2511311")</f>
        <v>GL2511311</v>
      </c>
      <c r="R4561" s="57">
        <f>IFERROR(__xludf.DUMMYFUNCTION("""COMPUTED_VALUE"""),45958.0)</f>
        <v>45958</v>
      </c>
      <c r="S4561" s="57">
        <f>IFERROR(__xludf.DUMMYFUNCTION("""COMPUTED_VALUE"""),45958.0)</f>
        <v>45958</v>
      </c>
      <c r="T4561" s="57">
        <f>IFERROR(__xludf.DUMMYFUNCTION("""COMPUTED_VALUE"""),46042.0)</f>
        <v>46042</v>
      </c>
    </row>
    <row r="4562">
      <c r="A4562" s="6" t="str">
        <f>IFERROR(__xludf.DUMMYFUNCTION("""COMPUTED_VALUE"""),"121703417-2")</f>
        <v>121703417-2</v>
      </c>
      <c r="B4562" s="6" t="str">
        <f>IFERROR(__xludf.DUMMYFUNCTION("""COMPUTED_VALUE"""),"121703417 - APPROVED")</f>
        <v>121703417 - APPROVED</v>
      </c>
      <c r="C4562" s="6">
        <f>IFERROR(__xludf.DUMMYFUNCTION("""COMPUTED_VALUE"""),2.0)</f>
        <v>2</v>
      </c>
      <c r="D4562" s="6" t="str">
        <f>IFERROR(__xludf.DUMMYFUNCTION("""COMPUTED_VALUE"""),"P-20150-00")</f>
        <v>P-20150-00</v>
      </c>
      <c r="E4562" s="6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F4562" s="6">
        <f>IFERROR(__xludf.DUMMYFUNCTION("""COMPUTED_VALUE"""),1.0)</f>
        <v>1</v>
      </c>
      <c r="G4562" s="6" t="str">
        <f>IFERROR(__xludf.DUMMYFUNCTION("""COMPUTED_VALUE"""),"Pieces")</f>
        <v>Pieces</v>
      </c>
      <c r="H4562" s="6" t="str">
        <f>IFERROR(__xludf.DUMMYFUNCTION("""COMPUTED_VALUE"""),"IDR")</f>
        <v>IDR</v>
      </c>
      <c r="I4562" s="6">
        <f>IFERROR(__xludf.DUMMYFUNCTION("""COMPUTED_VALUE"""),240500.0)</f>
        <v>240500</v>
      </c>
      <c r="J4562" s="6">
        <f>IFERROR(__xludf.DUMMYFUNCTION("""COMPUTED_VALUE"""),240500.0)</f>
        <v>240500</v>
      </c>
      <c r="K4562" s="57">
        <f>IFERROR(__xludf.DUMMYFUNCTION("""COMPUTED_VALUE"""),45989.0)</f>
        <v>45989</v>
      </c>
      <c r="L4562" s="6" t="str">
        <f>IFERROR(__xludf.DUMMYFUNCTION("""COMPUTED_VALUE"""),"FIP Engineering")</f>
        <v>FIP Engineering</v>
      </c>
      <c r="M4562" s="6" t="str">
        <f>IFERROR(__xludf.DUMMYFUNCTION("""COMPUTED_VALUE"""),"Mochammad Fadhillah Hakim,")</f>
        <v>Mochammad Fadhillah Hakim,</v>
      </c>
      <c r="N4562" s="6" t="str">
        <f>IFERROR(__xludf.DUMMYFUNCTION("""COMPUTED_VALUE"""),"FIP Engineering")</f>
        <v>FIP Engineering</v>
      </c>
      <c r="O4562" s="6" t="str">
        <f>IFERROR(__xludf.DUMMYFUNCTION("""COMPUTED_VALUE"""),"FIP-DOM-000-11304-OS00001-INA-000000")</f>
        <v>FIP-DOM-000-11304-OS00001-INA-000000</v>
      </c>
      <c r="P4562" s="6" t="str">
        <f>IFERROR(__xludf.DUMMYFUNCTION("""COMPUTED_VALUE"""),"PO Closed")</f>
        <v>PO Closed</v>
      </c>
      <c r="Q4562" s="6" t="str">
        <f>IFERROR(__xludf.DUMMYFUNCTION("""COMPUTED_VALUE"""),"GL2511310")</f>
        <v>GL2511310</v>
      </c>
      <c r="R4562" s="57">
        <f>IFERROR(__xludf.DUMMYFUNCTION("""COMPUTED_VALUE"""),45958.0)</f>
        <v>45958</v>
      </c>
      <c r="S4562" s="57">
        <f>IFERROR(__xludf.DUMMYFUNCTION("""COMPUTED_VALUE"""),45958.0)</f>
        <v>45958</v>
      </c>
      <c r="T4562" s="57">
        <f>IFERROR(__xludf.DUMMYFUNCTION("""COMPUTED_VALUE"""),45989.0)</f>
        <v>45989</v>
      </c>
    </row>
    <row r="4563">
      <c r="A4563" s="6" t="str">
        <f>IFERROR(__xludf.DUMMYFUNCTION("""COMPUTED_VALUE"""),"121703417-3")</f>
        <v>121703417-3</v>
      </c>
      <c r="B4563" s="6" t="str">
        <f>IFERROR(__xludf.DUMMYFUNCTION("""COMPUTED_VALUE"""),"121703417 - APPROVED")</f>
        <v>121703417 - APPROVED</v>
      </c>
      <c r="C4563" s="6">
        <f>IFERROR(__xludf.DUMMYFUNCTION("""COMPUTED_VALUE"""),3.0)</f>
        <v>3</v>
      </c>
      <c r="D4563" s="6" t="str">
        <f>IFERROR(__xludf.DUMMYFUNCTION("""COMPUTED_VALUE"""),"P-20238-00")</f>
        <v>P-20238-00</v>
      </c>
      <c r="E4563" s="6" t="str">
        <f>IFERROR(__xludf.DUMMYFUNCTION("""COMPUTED_VALUE"""),"General - Gate Valve Kuningan 1/2 Inch ASA; KITZ; -; 1 pc")</f>
        <v>General - Gate Valve Kuningan 1/2 Inch ASA; KITZ; -; 1 pc</v>
      </c>
      <c r="F4563" s="6">
        <f>IFERROR(__xludf.DUMMYFUNCTION("""COMPUTED_VALUE"""),2.0)</f>
        <v>2</v>
      </c>
      <c r="G4563" s="6" t="str">
        <f>IFERROR(__xludf.DUMMYFUNCTION("""COMPUTED_VALUE"""),"Pieces")</f>
        <v>Pieces</v>
      </c>
      <c r="H4563" s="6" t="str">
        <f>IFERROR(__xludf.DUMMYFUNCTION("""COMPUTED_VALUE"""),"IDR")</f>
        <v>IDR</v>
      </c>
      <c r="I4563" s="6">
        <f>IFERROR(__xludf.DUMMYFUNCTION("""COMPUTED_VALUE"""),260000.0)</f>
        <v>260000</v>
      </c>
      <c r="J4563" s="6">
        <f>IFERROR(__xludf.DUMMYFUNCTION("""COMPUTED_VALUE"""),520000.0)</f>
        <v>520000</v>
      </c>
      <c r="K4563" s="57">
        <f>IFERROR(__xludf.DUMMYFUNCTION("""COMPUTED_VALUE"""),45989.0)</f>
        <v>45989</v>
      </c>
      <c r="L4563" s="6" t="str">
        <f>IFERROR(__xludf.DUMMYFUNCTION("""COMPUTED_VALUE"""),"FIP Engineering")</f>
        <v>FIP Engineering</v>
      </c>
      <c r="M4563" s="6" t="str">
        <f>IFERROR(__xludf.DUMMYFUNCTION("""COMPUTED_VALUE"""),"Mochammad Fadhillah Hakim,")</f>
        <v>Mochammad Fadhillah Hakim,</v>
      </c>
      <c r="N4563" s="6" t="str">
        <f>IFERROR(__xludf.DUMMYFUNCTION("""COMPUTED_VALUE"""),"FIP Engineering")</f>
        <v>FIP Engineering</v>
      </c>
      <c r="O4563" s="6" t="str">
        <f>IFERROR(__xludf.DUMMYFUNCTION("""COMPUTED_VALUE"""),"FIP-DOM-000-11304-OS00001-INA-000000")</f>
        <v>FIP-DOM-000-11304-OS00001-INA-000000</v>
      </c>
      <c r="P4563" s="6" t="str">
        <f>IFERROR(__xludf.DUMMYFUNCTION("""COMPUTED_VALUE"""),"PO Closed")</f>
        <v>PO Closed</v>
      </c>
      <c r="Q4563" s="6" t="str">
        <f>IFERROR(__xludf.DUMMYFUNCTION("""COMPUTED_VALUE"""),"GL2511309")</f>
        <v>GL2511309</v>
      </c>
      <c r="R4563" s="57">
        <f>IFERROR(__xludf.DUMMYFUNCTION("""COMPUTED_VALUE"""),45958.0)</f>
        <v>45958</v>
      </c>
      <c r="S4563" s="57">
        <f>IFERROR(__xludf.DUMMYFUNCTION("""COMPUTED_VALUE"""),45958.0)</f>
        <v>45958</v>
      </c>
      <c r="T4563" s="57">
        <f>IFERROR(__xludf.DUMMYFUNCTION("""COMPUTED_VALUE"""),45989.0)</f>
        <v>45989</v>
      </c>
    </row>
    <row r="4564">
      <c r="A4564" s="6" t="str">
        <f>IFERROR(__xludf.DUMMYFUNCTION("""COMPUTED_VALUE"""),"121703418-1")</f>
        <v>121703418-1</v>
      </c>
      <c r="B4564" s="6" t="str">
        <f>IFERROR(__xludf.DUMMYFUNCTION("""COMPUTED_VALUE"""),"121703418 - APPROVED")</f>
        <v>121703418 - APPROVED</v>
      </c>
      <c r="C4564" s="6">
        <f>IFERROR(__xludf.DUMMYFUNCTION("""COMPUTED_VALUE"""),1.0)</f>
        <v>1</v>
      </c>
      <c r="D4564" s="6" t="str">
        <f>IFERROR(__xludf.DUMMYFUNCTION("""COMPUTED_VALUE"""),"S-20479-00")</f>
        <v>S-20479-00</v>
      </c>
      <c r="E4564" s="6" t="str">
        <f>IFERROR(__xludf.DUMMYFUNCTION("""COMPUTED_VALUE"""),"3M N95 Respirator Filter; 3M; 5N11-25-50; 10 pc/box")</f>
        <v>3M N95 Respirator Filter; 3M; 5N11-25-50; 10 pc/box</v>
      </c>
      <c r="F4564" s="6">
        <f>IFERROR(__xludf.DUMMYFUNCTION("""COMPUTED_VALUE"""),2.0)</f>
        <v>2</v>
      </c>
      <c r="G4564" s="6" t="str">
        <f>IFERROR(__xludf.DUMMYFUNCTION("""COMPUTED_VALUE"""),"Box")</f>
        <v>Box</v>
      </c>
      <c r="H4564" s="6" t="str">
        <f>IFERROR(__xludf.DUMMYFUNCTION("""COMPUTED_VALUE"""),"IDR")</f>
        <v>IDR</v>
      </c>
      <c r="I4564" s="6">
        <f>IFERROR(__xludf.DUMMYFUNCTION("""COMPUTED_VALUE"""),178000.0)</f>
        <v>178000</v>
      </c>
      <c r="J4564" s="6">
        <f>IFERROR(__xludf.DUMMYFUNCTION("""COMPUTED_VALUE"""),356000.0)</f>
        <v>356000</v>
      </c>
      <c r="K4564" s="57">
        <f>IFERROR(__xludf.DUMMYFUNCTION("""COMPUTED_VALUE"""),45989.0)</f>
        <v>45989</v>
      </c>
      <c r="L4564" s="6" t="str">
        <f>IFERROR(__xludf.DUMMYFUNCTION("""COMPUTED_VALUE"""),"FIP General")</f>
        <v>FIP General</v>
      </c>
      <c r="M4564" s="6" t="str">
        <f>IFERROR(__xludf.DUMMYFUNCTION("""COMPUTED_VALUE"""),"Mochammad Fadhillah Hakim,")</f>
        <v>Mochammad Fadhillah Hakim,</v>
      </c>
      <c r="N4564" s="6" t="str">
        <f>IFERROR(__xludf.DUMMYFUNCTION("""COMPUTED_VALUE"""),"FIP Engineering")</f>
        <v>FIP Engineering</v>
      </c>
      <c r="O4564" s="6" t="str">
        <f>IFERROR(__xludf.DUMMYFUNCTION("""COMPUTED_VALUE"""),"FIP-DOM-ENG-51404-0000000-INA-000000")</f>
        <v>FIP-DOM-ENG-51404-0000000-INA-000000</v>
      </c>
      <c r="P4564" s="6" t="str">
        <f>IFERROR(__xludf.DUMMYFUNCTION("""COMPUTED_VALUE"""),"PO Closed")</f>
        <v>PO Closed</v>
      </c>
      <c r="Q4564" s="6" t="str">
        <f>IFERROR(__xludf.DUMMYFUNCTION("""COMPUTED_VALUE"""),"GL2511028")</f>
        <v>GL2511028</v>
      </c>
      <c r="R4564" s="57">
        <f>IFERROR(__xludf.DUMMYFUNCTION("""COMPUTED_VALUE"""),45958.0)</f>
        <v>45958</v>
      </c>
      <c r="S4564" s="57">
        <f>IFERROR(__xludf.DUMMYFUNCTION("""COMPUTED_VALUE"""),45958.0)</f>
        <v>45958</v>
      </c>
      <c r="T4564" s="57">
        <f>IFERROR(__xludf.DUMMYFUNCTION("""COMPUTED_VALUE"""),45989.0)</f>
        <v>45989</v>
      </c>
    </row>
    <row r="4565">
      <c r="A4565" s="6" t="str">
        <f>IFERROR(__xludf.DUMMYFUNCTION("""COMPUTED_VALUE"""),"121703418-2")</f>
        <v>121703418-2</v>
      </c>
      <c r="B4565" s="6" t="str">
        <f>IFERROR(__xludf.DUMMYFUNCTION("""COMPUTED_VALUE"""),"121703418 - APPROVED")</f>
        <v>121703418 - APPROVED</v>
      </c>
      <c r="C4565" s="6">
        <f>IFERROR(__xludf.DUMMYFUNCTION("""COMPUTED_VALUE"""),2.0)</f>
        <v>2</v>
      </c>
      <c r="D4565" s="6" t="str">
        <f>IFERROR(__xludf.DUMMYFUNCTION("""COMPUTED_VALUE"""),"S-20499-00")</f>
        <v>S-20499-00</v>
      </c>
      <c r="E4565" s="6" t="str">
        <f>IFERROR(__xludf.DUMMYFUNCTION("""COMPUTED_VALUE"""),"Filter Retainer 501 (Plastik Penutup Prefilter 5N11); 3M; 501; 10 pc/pck")</f>
        <v>Filter Retainer 501 (Plastik Penutup Prefilter 5N11); 3M; 501; 10 pc/pck</v>
      </c>
      <c r="F4565" s="6">
        <f>IFERROR(__xludf.DUMMYFUNCTION("""COMPUTED_VALUE"""),10.0)</f>
        <v>10</v>
      </c>
      <c r="G4565" s="6" t="str">
        <f>IFERROR(__xludf.DUMMYFUNCTION("""COMPUTED_VALUE"""),"Pieces")</f>
        <v>Pieces</v>
      </c>
      <c r="H4565" s="6" t="str">
        <f>IFERROR(__xludf.DUMMYFUNCTION("""COMPUTED_VALUE"""),"IDR")</f>
        <v>IDR</v>
      </c>
      <c r="I4565" s="6">
        <f>IFERROR(__xludf.DUMMYFUNCTION("""COMPUTED_VALUE"""),20800.0)</f>
        <v>20800</v>
      </c>
      <c r="J4565" s="6">
        <f>IFERROR(__xludf.DUMMYFUNCTION("""COMPUTED_VALUE"""),208000.0)</f>
        <v>208000</v>
      </c>
      <c r="K4565" s="57">
        <f>IFERROR(__xludf.DUMMYFUNCTION("""COMPUTED_VALUE"""),45989.0)</f>
        <v>45989</v>
      </c>
      <c r="L4565" s="6" t="str">
        <f>IFERROR(__xludf.DUMMYFUNCTION("""COMPUTED_VALUE"""),"FIP General")</f>
        <v>FIP General</v>
      </c>
      <c r="M4565" s="6" t="str">
        <f>IFERROR(__xludf.DUMMYFUNCTION("""COMPUTED_VALUE"""),"Mochammad Fadhillah Hakim,")</f>
        <v>Mochammad Fadhillah Hakim,</v>
      </c>
      <c r="N4565" s="6" t="str">
        <f>IFERROR(__xludf.DUMMYFUNCTION("""COMPUTED_VALUE"""),"FIP Engineering")</f>
        <v>FIP Engineering</v>
      </c>
      <c r="O4565" s="6" t="str">
        <f>IFERROR(__xludf.DUMMYFUNCTION("""COMPUTED_VALUE"""),"FIP-DOM-ENG-51404-0000000-INA-000000")</f>
        <v>FIP-DOM-ENG-51404-0000000-INA-000000</v>
      </c>
      <c r="P4565" s="6" t="str">
        <f>IFERROR(__xludf.DUMMYFUNCTION("""COMPUTED_VALUE"""),"PO Closed")</f>
        <v>PO Closed</v>
      </c>
      <c r="Q4565" s="6" t="str">
        <f>IFERROR(__xludf.DUMMYFUNCTION("""COMPUTED_VALUE"""),"GL2511028")</f>
        <v>GL2511028</v>
      </c>
      <c r="R4565" s="57">
        <f>IFERROR(__xludf.DUMMYFUNCTION("""COMPUTED_VALUE"""),45958.0)</f>
        <v>45958</v>
      </c>
      <c r="S4565" s="57">
        <f>IFERROR(__xludf.DUMMYFUNCTION("""COMPUTED_VALUE"""),45958.0)</f>
        <v>45958</v>
      </c>
      <c r="T4565" s="57">
        <f>IFERROR(__xludf.DUMMYFUNCTION("""COMPUTED_VALUE"""),45989.0)</f>
        <v>45989</v>
      </c>
    </row>
    <row r="4566">
      <c r="A4566" s="6" t="str">
        <f>IFERROR(__xludf.DUMMYFUNCTION("""COMPUTED_VALUE"""),"121703418-3")</f>
        <v>121703418-3</v>
      </c>
      <c r="B4566" s="6" t="str">
        <f>IFERROR(__xludf.DUMMYFUNCTION("""COMPUTED_VALUE"""),"121703418 - APPROVED")</f>
        <v>121703418 - APPROVED</v>
      </c>
      <c r="C4566" s="6">
        <f>IFERROR(__xludf.DUMMYFUNCTION("""COMPUTED_VALUE"""),3.0)</f>
        <v>3</v>
      </c>
      <c r="D4566" s="6" t="str">
        <f>IFERROR(__xludf.DUMMYFUNCTION("""COMPUTED_VALUE"""),"S-20669-00")</f>
        <v>S-20669-00</v>
      </c>
      <c r="E4566" s="6" t="str">
        <f>IFERROR(__xludf.DUMMYFUNCTION("""COMPUTED_VALUE"""),"Multi Gas &amp; Vapor Cartridge; 3M; 6006M; pc")</f>
        <v>Multi Gas &amp; Vapor Cartridge; 3M; 6006M; pc</v>
      </c>
      <c r="F4566" s="6">
        <f>IFERROR(__xludf.DUMMYFUNCTION("""COMPUTED_VALUE"""),6.0)</f>
        <v>6</v>
      </c>
      <c r="G4566" s="6" t="str">
        <f>IFERROR(__xludf.DUMMYFUNCTION("""COMPUTED_VALUE"""),"Pieces")</f>
        <v>Pieces</v>
      </c>
      <c r="H4566" s="6" t="str">
        <f>IFERROR(__xludf.DUMMYFUNCTION("""COMPUTED_VALUE"""),"IDR")</f>
        <v>IDR</v>
      </c>
      <c r="I4566" s="6">
        <f>IFERROR(__xludf.DUMMYFUNCTION("""COMPUTED_VALUE"""),325000.0)</f>
        <v>325000</v>
      </c>
      <c r="J4566" s="6">
        <f>IFERROR(__xludf.DUMMYFUNCTION("""COMPUTED_VALUE"""),1950000.0)</f>
        <v>1950000</v>
      </c>
      <c r="K4566" s="57">
        <f>IFERROR(__xludf.DUMMYFUNCTION("""COMPUTED_VALUE"""),45989.0)</f>
        <v>45989</v>
      </c>
      <c r="L4566" s="6" t="str">
        <f>IFERROR(__xludf.DUMMYFUNCTION("""COMPUTED_VALUE"""),"FIP General")</f>
        <v>FIP General</v>
      </c>
      <c r="M4566" s="6" t="str">
        <f>IFERROR(__xludf.DUMMYFUNCTION("""COMPUTED_VALUE"""),"Mochammad Fadhillah Hakim,")</f>
        <v>Mochammad Fadhillah Hakim,</v>
      </c>
      <c r="N4566" s="6" t="str">
        <f>IFERROR(__xludf.DUMMYFUNCTION("""COMPUTED_VALUE"""),"FIP Engineering")</f>
        <v>FIP Engineering</v>
      </c>
      <c r="O4566" s="6" t="str">
        <f>IFERROR(__xludf.DUMMYFUNCTION("""COMPUTED_VALUE"""),"FIP-DOM-ENG-51404-0000000-INA-000000")</f>
        <v>FIP-DOM-ENG-51404-0000000-INA-000000</v>
      </c>
      <c r="P4566" s="6" t="str">
        <f>IFERROR(__xludf.DUMMYFUNCTION("""COMPUTED_VALUE"""),"PO Closed")</f>
        <v>PO Closed</v>
      </c>
      <c r="Q4566" s="6" t="str">
        <f>IFERROR(__xludf.DUMMYFUNCTION("""COMPUTED_VALUE"""),"GL2511028")</f>
        <v>GL2511028</v>
      </c>
      <c r="R4566" s="57">
        <f>IFERROR(__xludf.DUMMYFUNCTION("""COMPUTED_VALUE"""),45958.0)</f>
        <v>45958</v>
      </c>
      <c r="S4566" s="57">
        <f>IFERROR(__xludf.DUMMYFUNCTION("""COMPUTED_VALUE"""),45958.0)</f>
        <v>45958</v>
      </c>
      <c r="T4566" s="57">
        <f>IFERROR(__xludf.DUMMYFUNCTION("""COMPUTED_VALUE"""),45989.0)</f>
        <v>45989</v>
      </c>
    </row>
    <row r="4567">
      <c r="A4567" s="6" t="str">
        <f>IFERROR(__xludf.DUMMYFUNCTION("""COMPUTED_VALUE"""),"121703420-1")</f>
        <v>121703420-1</v>
      </c>
      <c r="B4567" s="6" t="str">
        <f>IFERROR(__xludf.DUMMYFUNCTION("""COMPUTED_VALUE"""),"121703420 - APPROVED")</f>
        <v>121703420 - APPROVED</v>
      </c>
      <c r="C4567" s="6">
        <f>IFERROR(__xludf.DUMMYFUNCTION("""COMPUTED_VALUE"""),1.0)</f>
        <v>1</v>
      </c>
      <c r="D4567" s="6" t="str">
        <f>IFERROR(__xludf.DUMMYFUNCTION("""COMPUTED_VALUE"""),"P-54351-00")</f>
        <v>P-54351-00</v>
      </c>
      <c r="E4567" s="6" t="str">
        <f>IFERROR(__xludf.DUMMYFUNCTION("""COMPUTED_VALUE"""),"General - Carbon Brush Set Mini Grinder MG005; No Brand; -; 1 set")</f>
        <v>General - Carbon Brush Set Mini Grinder MG005; No Brand; -; 1 set</v>
      </c>
      <c r="F4567" s="6">
        <f>IFERROR(__xludf.DUMMYFUNCTION("""COMPUTED_VALUE"""),2.0)</f>
        <v>2</v>
      </c>
      <c r="G4567" s="6" t="str">
        <f>IFERROR(__xludf.DUMMYFUNCTION("""COMPUTED_VALUE"""),"Set")</f>
        <v>Set</v>
      </c>
      <c r="H4567" s="6" t="str">
        <f>IFERROR(__xludf.DUMMYFUNCTION("""COMPUTED_VALUE"""),"IDR")</f>
        <v>IDR</v>
      </c>
      <c r="I4567" s="6">
        <f>IFERROR(__xludf.DUMMYFUNCTION("""COMPUTED_VALUE"""),35000.0)</f>
        <v>35000</v>
      </c>
      <c r="J4567" s="6">
        <f>IFERROR(__xludf.DUMMYFUNCTION("""COMPUTED_VALUE"""),70000.0)</f>
        <v>70000</v>
      </c>
      <c r="K4567" s="57">
        <f>IFERROR(__xludf.DUMMYFUNCTION("""COMPUTED_VALUE"""),45989.0)</f>
        <v>45989</v>
      </c>
      <c r="L4567" s="6" t="str">
        <f>IFERROR(__xludf.DUMMYFUNCTION("""COMPUTED_VALUE"""),"FIP Engineering")</f>
        <v>FIP Engineering</v>
      </c>
      <c r="M4567" s="6" t="str">
        <f>IFERROR(__xludf.DUMMYFUNCTION("""COMPUTED_VALUE"""),"Mochammad Fadhillah Hakim,")</f>
        <v>Mochammad Fadhillah Hakim,</v>
      </c>
      <c r="N4567" s="6" t="str">
        <f>IFERROR(__xludf.DUMMYFUNCTION("""COMPUTED_VALUE"""),"FIP Engineering")</f>
        <v>FIP Engineering</v>
      </c>
      <c r="O4567" s="6" t="str">
        <f>IFERROR(__xludf.DUMMYFUNCTION("""COMPUTED_VALUE"""),"FIP-DOM-000-11304-OS00001-INA-000000")</f>
        <v>FIP-DOM-000-11304-OS00001-INA-000000</v>
      </c>
      <c r="P4567" s="6" t="str">
        <f>IFERROR(__xludf.DUMMYFUNCTION("""COMPUTED_VALUE"""),"PO Closed")</f>
        <v>PO Closed</v>
      </c>
      <c r="Q4567" s="6" t="str">
        <f>IFERROR(__xludf.DUMMYFUNCTION("""COMPUTED_VALUE"""),"GL2511309")</f>
        <v>GL2511309</v>
      </c>
      <c r="R4567" s="57">
        <f>IFERROR(__xludf.DUMMYFUNCTION("""COMPUTED_VALUE"""),45958.0)</f>
        <v>45958</v>
      </c>
      <c r="S4567" s="57">
        <f>IFERROR(__xludf.DUMMYFUNCTION("""COMPUTED_VALUE"""),45964.0)</f>
        <v>45964</v>
      </c>
      <c r="T4567" s="57">
        <f>IFERROR(__xludf.DUMMYFUNCTION("""COMPUTED_VALUE"""),45989.0)</f>
        <v>45989</v>
      </c>
    </row>
    <row r="4568">
      <c r="A4568" s="6" t="str">
        <f>IFERROR(__xludf.DUMMYFUNCTION("""COMPUTED_VALUE"""),"121703420-2")</f>
        <v>121703420-2</v>
      </c>
      <c r="B4568" s="6" t="str">
        <f>IFERROR(__xludf.DUMMYFUNCTION("""COMPUTED_VALUE"""),"121703420 - APPROVED")</f>
        <v>121703420 - APPROVED</v>
      </c>
      <c r="C4568" s="6">
        <f>IFERROR(__xludf.DUMMYFUNCTION("""COMPUTED_VALUE"""),2.0)</f>
        <v>2</v>
      </c>
      <c r="D4568" s="6" t="str">
        <f>IFERROR(__xludf.DUMMYFUNCTION("""COMPUTED_VALUE"""),"P-54370-00")</f>
        <v>P-54370-00</v>
      </c>
      <c r="E4568" s="6" t="str">
        <f>IFERROR(__xludf.DUMMYFUNCTION("""COMPUTED_VALUE"""),"General - Lampu Indikator 24V 5W 1kaki; Hella; -; 10pcs/box")</f>
        <v>General - Lampu Indikator 24V 5W 1kaki; Hella; -; 10pcs/box</v>
      </c>
      <c r="F4568" s="6">
        <f>IFERROR(__xludf.DUMMYFUNCTION("""COMPUTED_VALUE"""),2.0)</f>
        <v>2</v>
      </c>
      <c r="G4568" s="6" t="str">
        <f>IFERROR(__xludf.DUMMYFUNCTION("""COMPUTED_VALUE"""),"Box")</f>
        <v>Box</v>
      </c>
      <c r="H4568" s="6" t="str">
        <f>IFERROR(__xludf.DUMMYFUNCTION("""COMPUTED_VALUE"""),"IDR")</f>
        <v>IDR</v>
      </c>
      <c r="I4568" s="6">
        <f>IFERROR(__xludf.DUMMYFUNCTION("""COMPUTED_VALUE"""),98500.0)</f>
        <v>98500</v>
      </c>
      <c r="J4568" s="6">
        <f>IFERROR(__xludf.DUMMYFUNCTION("""COMPUTED_VALUE"""),197000.0)</f>
        <v>197000</v>
      </c>
      <c r="K4568" s="57">
        <f>IFERROR(__xludf.DUMMYFUNCTION("""COMPUTED_VALUE"""),45989.0)</f>
        <v>45989</v>
      </c>
      <c r="L4568" s="6" t="str">
        <f>IFERROR(__xludf.DUMMYFUNCTION("""COMPUTED_VALUE"""),"FIP Engineering")</f>
        <v>FIP Engineering</v>
      </c>
      <c r="M4568" s="6" t="str">
        <f>IFERROR(__xludf.DUMMYFUNCTION("""COMPUTED_VALUE"""),"Mochammad Fadhillah Hakim,")</f>
        <v>Mochammad Fadhillah Hakim,</v>
      </c>
      <c r="N4568" s="6" t="str">
        <f>IFERROR(__xludf.DUMMYFUNCTION("""COMPUTED_VALUE"""),"FIP Engineering")</f>
        <v>FIP Engineering</v>
      </c>
      <c r="O4568" s="6" t="str">
        <f>IFERROR(__xludf.DUMMYFUNCTION("""COMPUTED_VALUE"""),"FIP-DOM-000-11304-OS00001-INA-000000")</f>
        <v>FIP-DOM-000-11304-OS00001-INA-000000</v>
      </c>
      <c r="P4568" s="6" t="str">
        <f>IFERROR(__xludf.DUMMYFUNCTION("""COMPUTED_VALUE"""),"PO Closed")</f>
        <v>PO Closed</v>
      </c>
      <c r="Q4568" s="6" t="str">
        <f>IFERROR(__xludf.DUMMYFUNCTION("""COMPUTED_VALUE"""),"GL2511309")</f>
        <v>GL2511309</v>
      </c>
      <c r="R4568" s="57">
        <f>IFERROR(__xludf.DUMMYFUNCTION("""COMPUTED_VALUE"""),45958.0)</f>
        <v>45958</v>
      </c>
      <c r="S4568" s="57">
        <f>IFERROR(__xludf.DUMMYFUNCTION("""COMPUTED_VALUE"""),45964.0)</f>
        <v>45964</v>
      </c>
      <c r="T4568" s="57">
        <f>IFERROR(__xludf.DUMMYFUNCTION("""COMPUTED_VALUE"""),45989.0)</f>
        <v>45989</v>
      </c>
    </row>
    <row r="4569">
      <c r="A4569" s="6" t="str">
        <f>IFERROR(__xludf.DUMMYFUNCTION("""COMPUTED_VALUE"""),"121703421-1")</f>
        <v>121703421-1</v>
      </c>
      <c r="B4569" s="6" t="str">
        <f>IFERROR(__xludf.DUMMYFUNCTION("""COMPUTED_VALUE"""),"121703421 - APPROVED")</f>
        <v>121703421 - APPROVED</v>
      </c>
      <c r="C4569" s="6">
        <f>IFERROR(__xludf.DUMMYFUNCTION("""COMPUTED_VALUE"""),1.0)</f>
        <v>1</v>
      </c>
      <c r="D4569" s="6" t="str">
        <f>IFERROR(__xludf.DUMMYFUNCTION("""COMPUTED_VALUE"""),"Q-10900-00")</f>
        <v>Q-10900-00</v>
      </c>
      <c r="E4569" s="6" t="str">
        <f>IFERROR(__xludf.DUMMYFUNCTION("""COMPUTED_VALUE"""),"Skrup Baja Hitam;No Brand;;pack size per pack")</f>
        <v>Skrup Baja Hitam;No Brand;;pack size per pack</v>
      </c>
      <c r="F4569" s="6">
        <f>IFERROR(__xludf.DUMMYFUNCTION("""COMPUTED_VALUE"""),1.0)</f>
        <v>1</v>
      </c>
      <c r="G4569" s="6" t="str">
        <f>IFERROR(__xludf.DUMMYFUNCTION("""COMPUTED_VALUE"""),"Pack")</f>
        <v>Pack</v>
      </c>
      <c r="H4569" s="6" t="str">
        <f>IFERROR(__xludf.DUMMYFUNCTION("""COMPUTED_VALUE"""),"IDR")</f>
        <v>IDR</v>
      </c>
      <c r="I4569" s="6">
        <f>IFERROR(__xludf.DUMMYFUNCTION("""COMPUTED_VALUE"""),92150.0)</f>
        <v>92150</v>
      </c>
      <c r="J4569" s="6">
        <f>IFERROR(__xludf.DUMMYFUNCTION("""COMPUTED_VALUE"""),92150.0)</f>
        <v>92150</v>
      </c>
      <c r="K4569" s="57">
        <f>IFERROR(__xludf.DUMMYFUNCTION("""COMPUTED_VALUE"""),45989.0)</f>
        <v>45989</v>
      </c>
      <c r="L4569" s="6" t="str">
        <f>IFERROR(__xludf.DUMMYFUNCTION("""COMPUTED_VALUE"""),"FIP Engineering")</f>
        <v>FIP Engineering</v>
      </c>
      <c r="M4569" s="6" t="str">
        <f>IFERROR(__xludf.DUMMYFUNCTION("""COMPUTED_VALUE"""),"Mochammad Fadhillah Hakim,")</f>
        <v>Mochammad Fadhillah Hakim,</v>
      </c>
      <c r="N4569" s="6" t="str">
        <f>IFERROR(__xludf.DUMMYFUNCTION("""COMPUTED_VALUE"""),"FIP Engineering")</f>
        <v>FIP Engineering</v>
      </c>
      <c r="O4569" s="6" t="str">
        <f>IFERROR(__xludf.DUMMYFUNCTION("""COMPUTED_VALUE"""),"FIP-DOM-000-11304-OS00001-INA-000000")</f>
        <v>FIP-DOM-000-11304-OS00001-INA-000000</v>
      </c>
      <c r="P4569" s="6" t="str">
        <f>IFERROR(__xludf.DUMMYFUNCTION("""COMPUTED_VALUE"""),"PO Closed")</f>
        <v>PO Closed</v>
      </c>
      <c r="Q4569" s="6" t="str">
        <f>IFERROR(__xludf.DUMMYFUNCTION("""COMPUTED_VALUE"""),"GL2511056")</f>
        <v>GL2511056</v>
      </c>
      <c r="R4569" s="57">
        <f>IFERROR(__xludf.DUMMYFUNCTION("""COMPUTED_VALUE"""),45958.0)</f>
        <v>45958</v>
      </c>
      <c r="S4569" s="57">
        <f>IFERROR(__xludf.DUMMYFUNCTION("""COMPUTED_VALUE"""),45958.0)</f>
        <v>45958</v>
      </c>
      <c r="T4569" s="57">
        <f>IFERROR(__xludf.DUMMYFUNCTION("""COMPUTED_VALUE"""),46003.0)</f>
        <v>46003</v>
      </c>
    </row>
    <row r="4570">
      <c r="A4570" s="6" t="str">
        <f>IFERROR(__xludf.DUMMYFUNCTION("""COMPUTED_VALUE"""),"121703422-1")</f>
        <v>121703422-1</v>
      </c>
      <c r="B4570" s="6" t="str">
        <f>IFERROR(__xludf.DUMMYFUNCTION("""COMPUTED_VALUE"""),"121703422 - APPROVED")</f>
        <v>121703422 - APPROVED</v>
      </c>
      <c r="C4570" s="6">
        <f>IFERROR(__xludf.DUMMYFUNCTION("""COMPUTED_VALUE"""),1.0)</f>
        <v>1</v>
      </c>
      <c r="D4570" s="6" t="str">
        <f>IFERROR(__xludf.DUMMYFUNCTION("""COMPUTED_VALUE"""),"P-18965-00")</f>
        <v>P-18965-00</v>
      </c>
      <c r="E4570" s="6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F4570" s="6">
        <f>IFERROR(__xludf.DUMMYFUNCTION("""COMPUTED_VALUE"""),1.0)</f>
        <v>1</v>
      </c>
      <c r="G4570" s="6" t="str">
        <f>IFERROR(__xludf.DUMMYFUNCTION("""COMPUTED_VALUE"""),"Pieces")</f>
        <v>Pieces</v>
      </c>
      <c r="H4570" s="6" t="str">
        <f>IFERROR(__xludf.DUMMYFUNCTION("""COMPUTED_VALUE"""),"IDR")</f>
        <v>IDR</v>
      </c>
      <c r="I4570" s="6">
        <f>IFERROR(__xludf.DUMMYFUNCTION("""COMPUTED_VALUE"""),2.4E7)</f>
        <v>24000000</v>
      </c>
      <c r="J4570" s="6">
        <f>IFERROR(__xludf.DUMMYFUNCTION("""COMPUTED_VALUE"""),2.4E7)</f>
        <v>24000000</v>
      </c>
      <c r="K4570" s="57">
        <f>IFERROR(__xludf.DUMMYFUNCTION("""COMPUTED_VALUE"""),45989.0)</f>
        <v>45989</v>
      </c>
      <c r="L4570" s="6" t="str">
        <f>IFERROR(__xludf.DUMMYFUNCTION("""COMPUTED_VALUE"""),"FIP Engineering")</f>
        <v>FIP Engineering</v>
      </c>
      <c r="M4570" s="6" t="str">
        <f>IFERROR(__xludf.DUMMYFUNCTION("""COMPUTED_VALUE"""),"Mochammad Fadhillah Hakim,")</f>
        <v>Mochammad Fadhillah Hakim,</v>
      </c>
      <c r="N4570" s="6" t="str">
        <f>IFERROR(__xludf.DUMMYFUNCTION("""COMPUTED_VALUE"""),"FIP Engineering")</f>
        <v>FIP Engineering</v>
      </c>
      <c r="O4570" s="6" t="str">
        <f>IFERROR(__xludf.DUMMYFUNCTION("""COMPUTED_VALUE"""),"FIP-DOM-000-11304-OS00001-INA-000000")</f>
        <v>FIP-DOM-000-11304-OS00001-INA-000000</v>
      </c>
      <c r="P4570" s="6" t="str">
        <f>IFERROR(__xludf.DUMMYFUNCTION("""COMPUTED_VALUE"""),"PO Closed")</f>
        <v>PO Closed</v>
      </c>
      <c r="Q4570" s="6" t="str">
        <f>IFERROR(__xludf.DUMMYFUNCTION("""COMPUTED_VALUE"""),"GL2511013")</f>
        <v>GL2511013</v>
      </c>
      <c r="R4570" s="57">
        <f>IFERROR(__xludf.DUMMYFUNCTION("""COMPUTED_VALUE"""),45958.0)</f>
        <v>45958</v>
      </c>
      <c r="S4570" s="57">
        <f>IFERROR(__xludf.DUMMYFUNCTION("""COMPUTED_VALUE"""),45958.0)</f>
        <v>45958</v>
      </c>
      <c r="T4570" s="57">
        <f>IFERROR(__xludf.DUMMYFUNCTION("""COMPUTED_VALUE"""),45989.0)</f>
        <v>45989</v>
      </c>
    </row>
    <row r="4571">
      <c r="A4571" s="6" t="str">
        <f>IFERROR(__xludf.DUMMYFUNCTION("""COMPUTED_VALUE"""),"121703423-1")</f>
        <v>121703423-1</v>
      </c>
      <c r="B4571" s="6" t="str">
        <f>IFERROR(__xludf.DUMMYFUNCTION("""COMPUTED_VALUE"""),"121703423 - APPROVED")</f>
        <v>121703423 - APPROVED</v>
      </c>
      <c r="C4571" s="6">
        <f>IFERROR(__xludf.DUMMYFUNCTION("""COMPUTED_VALUE"""),1.0)</f>
        <v>1</v>
      </c>
      <c r="D4571" s="6" t="str">
        <f>IFERROR(__xludf.DUMMYFUNCTION("""COMPUTED_VALUE"""),"S-40622-00")</f>
        <v>S-40622-00</v>
      </c>
      <c r="E4571" s="6" t="str">
        <f>IFERROR(__xludf.DUMMYFUNCTION("""COMPUTED_VALUE"""),"Kaca film; ; ; - Kaca Film Technoguard Premium USA, Black 80% 152 cm x 35 Mtr Tebal 1,2 Plt, Kegelapan 80%; IR 75%, UV 99%, VLT 3% / Roll")</f>
        <v>Kaca film; ; ; - Kaca Film Technoguard Premium USA, Black 80% 152 cm x 35 Mtr Tebal 1,2 Plt, Kegelapan 80%; IR 75%, UV 99%, VLT 3% / Roll</v>
      </c>
      <c r="F4571" s="6">
        <f>IFERROR(__xludf.DUMMYFUNCTION("""COMPUTED_VALUE"""),3.0)</f>
        <v>3</v>
      </c>
      <c r="G4571" s="6" t="str">
        <f>IFERROR(__xludf.DUMMYFUNCTION("""COMPUTED_VALUE"""),"Meter")</f>
        <v>Meter</v>
      </c>
      <c r="H4571" s="6" t="str">
        <f>IFERROR(__xludf.DUMMYFUNCTION("""COMPUTED_VALUE"""),"IDR")</f>
        <v>IDR</v>
      </c>
      <c r="I4571" s="6">
        <f>IFERROR(__xludf.DUMMYFUNCTION("""COMPUTED_VALUE"""),1325000.0)</f>
        <v>1325000</v>
      </c>
      <c r="J4571" s="6">
        <f>IFERROR(__xludf.DUMMYFUNCTION("""COMPUTED_VALUE"""),3975000.0)</f>
        <v>3975000</v>
      </c>
      <c r="K4571" s="57">
        <f>IFERROR(__xludf.DUMMYFUNCTION("""COMPUTED_VALUE"""),45989.0)</f>
        <v>45989</v>
      </c>
      <c r="L4571" s="6" t="str">
        <f>IFERROR(__xludf.DUMMYFUNCTION("""COMPUTED_VALUE"""),"FIP General")</f>
        <v>FIP General</v>
      </c>
      <c r="M4571" s="6" t="str">
        <f>IFERROR(__xludf.DUMMYFUNCTION("""COMPUTED_VALUE"""),"Mochammad Fadhillah Hakim,")</f>
        <v>Mochammad Fadhillah Hakim,</v>
      </c>
      <c r="N4571" s="6" t="str">
        <f>IFERROR(__xludf.DUMMYFUNCTION("""COMPUTED_VALUE"""),"FIP Engineering")</f>
        <v>FIP Engineering</v>
      </c>
      <c r="O4571" s="6" t="str">
        <f>IFERROR(__xludf.DUMMYFUNCTION("""COMPUTED_VALUE"""),"FIP-DOM-ENG-51502-0000000-INA-000000")</f>
        <v>FIP-DOM-ENG-51502-0000000-INA-000000</v>
      </c>
      <c r="P4571" s="6" t="str">
        <f>IFERROR(__xludf.DUMMYFUNCTION("""COMPUTED_VALUE"""),"PO Closed")</f>
        <v>PO Closed</v>
      </c>
      <c r="Q4571" s="6" t="str">
        <f>IFERROR(__xludf.DUMMYFUNCTION("""COMPUTED_VALUE"""),"GL2512047")</f>
        <v>GL2512047</v>
      </c>
      <c r="R4571" s="57">
        <f>IFERROR(__xludf.DUMMYFUNCTION("""COMPUTED_VALUE"""),45958.0)</f>
        <v>45958</v>
      </c>
      <c r="S4571" s="57">
        <f>IFERROR(__xludf.DUMMYFUNCTION("""COMPUTED_VALUE"""),45969.0)</f>
        <v>45969</v>
      </c>
      <c r="T4571" s="57">
        <f>IFERROR(__xludf.DUMMYFUNCTION("""COMPUTED_VALUE"""),46021.0)</f>
        <v>46021</v>
      </c>
    </row>
    <row r="4572">
      <c r="A4572" s="6" t="str">
        <f>IFERROR(__xludf.DUMMYFUNCTION("""COMPUTED_VALUE"""),"121703424-1")</f>
        <v>121703424-1</v>
      </c>
      <c r="B4572" s="6" t="str">
        <f>IFERROR(__xludf.DUMMYFUNCTION("""COMPUTED_VALUE"""),"121703424 - APPROVED")</f>
        <v>121703424 - APPROVED</v>
      </c>
      <c r="C4572" s="6">
        <f>IFERROR(__xludf.DUMMYFUNCTION("""COMPUTED_VALUE"""),1.0)</f>
        <v>1</v>
      </c>
      <c r="D4572" s="6" t="str">
        <f>IFERROR(__xludf.DUMMYFUNCTION("""COMPUTED_VALUE"""),"Q-60405-00")</f>
        <v>Q-60405-00</v>
      </c>
      <c r="E4572" s="6" t="str">
        <f>IFERROR(__xludf.DUMMYFUNCTION("""COMPUTED_VALUE"""),"Cat Durogloss DR-2000; Propan; Type Spiders Web 90YY 73/040; 0,9 L/can")</f>
        <v>Cat Durogloss DR-2000; Propan; Type Spiders Web 90YY 73/040; 0,9 L/can</v>
      </c>
      <c r="F4572" s="6">
        <f>IFERROR(__xludf.DUMMYFUNCTION("""COMPUTED_VALUE"""),6.0)</f>
        <v>6</v>
      </c>
      <c r="G4572" s="6" t="str">
        <f>IFERROR(__xludf.DUMMYFUNCTION("""COMPUTED_VALUE"""),"Can")</f>
        <v>Can</v>
      </c>
      <c r="H4572" s="6" t="str">
        <f>IFERROR(__xludf.DUMMYFUNCTION("""COMPUTED_VALUE"""),"IDR")</f>
        <v>IDR</v>
      </c>
      <c r="I4572" s="6">
        <f>IFERROR(__xludf.DUMMYFUNCTION("""COMPUTED_VALUE"""),95919.0)</f>
        <v>95919</v>
      </c>
      <c r="J4572" s="6">
        <f>IFERROR(__xludf.DUMMYFUNCTION("""COMPUTED_VALUE"""),575514.0)</f>
        <v>575514</v>
      </c>
      <c r="K4572" s="57">
        <f>IFERROR(__xludf.DUMMYFUNCTION("""COMPUTED_VALUE"""),45996.0)</f>
        <v>45996</v>
      </c>
      <c r="L4572" s="6" t="str">
        <f>IFERROR(__xludf.DUMMYFUNCTION("""COMPUTED_VALUE"""),"FIP General")</f>
        <v>FIP General</v>
      </c>
      <c r="M4572" s="6" t="str">
        <f>IFERROR(__xludf.DUMMYFUNCTION("""COMPUTED_VALUE"""),"Mochammad Fadhillah Hakim,")</f>
        <v>Mochammad Fadhillah Hakim,</v>
      </c>
      <c r="N4572" s="6" t="str">
        <f>IFERROR(__xludf.DUMMYFUNCTION("""COMPUTED_VALUE"""),"FIP Engineering")</f>
        <v>FIP Engineering</v>
      </c>
      <c r="O4572" s="6" t="str">
        <f>IFERROR(__xludf.DUMMYFUNCTION("""COMPUTED_VALUE"""),"FIP-DOM-ENG-51402-0000000-INA-000000")</f>
        <v>FIP-DOM-ENG-51402-0000000-INA-000000</v>
      </c>
      <c r="P4572" s="6" t="str">
        <f>IFERROR(__xludf.DUMMYFUNCTION("""COMPUTED_VALUE"""),"PO Closed")</f>
        <v>PO Closed</v>
      </c>
      <c r="Q4572" s="6" t="str">
        <f>IFERROR(__xludf.DUMMYFUNCTION("""COMPUTED_VALUE"""),"GL2512016")</f>
        <v>GL2512016</v>
      </c>
      <c r="R4572" s="57">
        <f>IFERROR(__xludf.DUMMYFUNCTION("""COMPUTED_VALUE"""),45959.0)</f>
        <v>45959</v>
      </c>
      <c r="S4572" s="57">
        <f>IFERROR(__xludf.DUMMYFUNCTION("""COMPUTED_VALUE"""),45982.0)</f>
        <v>45982</v>
      </c>
      <c r="T4572" s="57">
        <f>IFERROR(__xludf.DUMMYFUNCTION("""COMPUTED_VALUE"""),46015.0)</f>
        <v>46015</v>
      </c>
    </row>
    <row r="4573">
      <c r="A4573" s="6" t="str">
        <f>IFERROR(__xludf.DUMMYFUNCTION("""COMPUTED_VALUE"""),"121703425-1")</f>
        <v>121703425-1</v>
      </c>
      <c r="B4573" s="6" t="str">
        <f>IFERROR(__xludf.DUMMYFUNCTION("""COMPUTED_VALUE"""),"121703425 - APPROVED")</f>
        <v>121703425 - APPROVED</v>
      </c>
      <c r="C4573" s="6">
        <f>IFERROR(__xludf.DUMMYFUNCTION("""COMPUTED_VALUE"""),1.0)</f>
        <v>1</v>
      </c>
      <c r="D4573" s="6" t="str">
        <f>IFERROR(__xludf.DUMMYFUNCTION("""COMPUTED_VALUE"""),"Q-10128-00")</f>
        <v>Q-10128-00</v>
      </c>
      <c r="E4573" s="6" t="str">
        <f>IFERROR(__xludf.DUMMYFUNCTION("""COMPUTED_VALUE"""),"Thinner Super End/Impala @ 1 Liter")</f>
        <v>Thinner Super End/Impala @ 1 Liter</v>
      </c>
      <c r="F4573" s="6">
        <f>IFERROR(__xludf.DUMMYFUNCTION("""COMPUTED_VALUE"""),10.0)</f>
        <v>10</v>
      </c>
      <c r="G4573" s="6" t="str">
        <f>IFERROR(__xludf.DUMMYFUNCTION("""COMPUTED_VALUE"""),"Pieces")</f>
        <v>Pieces</v>
      </c>
      <c r="H4573" s="6" t="str">
        <f>IFERROR(__xludf.DUMMYFUNCTION("""COMPUTED_VALUE"""),"IDR")</f>
        <v>IDR</v>
      </c>
      <c r="I4573" s="6">
        <f>IFERROR(__xludf.DUMMYFUNCTION("""COMPUTED_VALUE"""),37500.0)</f>
        <v>37500</v>
      </c>
      <c r="J4573" s="6">
        <f>IFERROR(__xludf.DUMMYFUNCTION("""COMPUTED_VALUE"""),375000.0)</f>
        <v>375000</v>
      </c>
      <c r="K4573" s="57">
        <f>IFERROR(__xludf.DUMMYFUNCTION("""COMPUTED_VALUE"""),45996.0)</f>
        <v>45996</v>
      </c>
      <c r="L4573" s="6" t="str">
        <f>IFERROR(__xludf.DUMMYFUNCTION("""COMPUTED_VALUE"""),"FIP Engineering")</f>
        <v>FIP Engineering</v>
      </c>
      <c r="M4573" s="6" t="str">
        <f>IFERROR(__xludf.DUMMYFUNCTION("""COMPUTED_VALUE"""),"Mochammad Fadhillah Hakim,")</f>
        <v>Mochammad Fadhillah Hakim,</v>
      </c>
      <c r="N4573" s="6" t="str">
        <f>IFERROR(__xludf.DUMMYFUNCTION("""COMPUTED_VALUE"""),"FIP Engineering")</f>
        <v>FIP Engineering</v>
      </c>
      <c r="O4573" s="6" t="str">
        <f>IFERROR(__xludf.DUMMYFUNCTION("""COMPUTED_VALUE"""),"FIP-DOM-000-11304-OS00001-INA-000000")</f>
        <v>FIP-DOM-000-11304-OS00001-INA-000000</v>
      </c>
      <c r="P4573" s="6" t="str">
        <f>IFERROR(__xludf.DUMMYFUNCTION("""COMPUTED_VALUE"""),"PO Closed")</f>
        <v>PO Closed</v>
      </c>
      <c r="Q4573" s="6" t="str">
        <f>IFERROR(__xludf.DUMMYFUNCTION("""COMPUTED_VALUE"""),"GL2511050")</f>
        <v>GL2511050</v>
      </c>
      <c r="R4573" s="57">
        <f>IFERROR(__xludf.DUMMYFUNCTION("""COMPUTED_VALUE"""),45959.0)</f>
        <v>45959</v>
      </c>
      <c r="S4573" s="57">
        <f>IFERROR(__xludf.DUMMYFUNCTION("""COMPUTED_VALUE"""),45971.0)</f>
        <v>45971</v>
      </c>
      <c r="T4573" s="57">
        <f>IFERROR(__xludf.DUMMYFUNCTION("""COMPUTED_VALUE"""),46003.0)</f>
        <v>46003</v>
      </c>
    </row>
    <row r="4574">
      <c r="A4574" s="6" t="str">
        <f>IFERROR(__xludf.DUMMYFUNCTION("""COMPUTED_VALUE"""),"121703426-1")</f>
        <v>121703426-1</v>
      </c>
      <c r="B4574" s="6" t="str">
        <f>IFERROR(__xludf.DUMMYFUNCTION("""COMPUTED_VALUE"""),"121703426 - APPROVED")</f>
        <v>121703426 - APPROVED</v>
      </c>
      <c r="C4574" s="6">
        <f>IFERROR(__xludf.DUMMYFUNCTION("""COMPUTED_VALUE"""),1.0)</f>
        <v>1</v>
      </c>
      <c r="D4574" s="6" t="str">
        <f>IFERROR(__xludf.DUMMYFUNCTION("""COMPUTED_VALUE"""),"P-53363-00")</f>
        <v>P-53363-00</v>
      </c>
      <c r="E4574" s="6" t="str">
        <f>IFERROR(__xludf.DUMMYFUNCTION("""COMPUTED_VALUE"""),"Contactor Schneider LC1D12M7 Coil 220 VAC; ; ;")</f>
        <v>Contactor Schneider LC1D12M7 Coil 220 VAC; ; ;</v>
      </c>
      <c r="F4574" s="6">
        <f>IFERROR(__xludf.DUMMYFUNCTION("""COMPUTED_VALUE"""),9.0)</f>
        <v>9</v>
      </c>
      <c r="G4574" s="6" t="str">
        <f>IFERROR(__xludf.DUMMYFUNCTION("""COMPUTED_VALUE"""),"Pieces")</f>
        <v>Pieces</v>
      </c>
      <c r="H4574" s="6" t="str">
        <f>IFERROR(__xludf.DUMMYFUNCTION("""COMPUTED_VALUE"""),"IDR")</f>
        <v>IDR</v>
      </c>
      <c r="I4574" s="6">
        <f>IFERROR(__xludf.DUMMYFUNCTION("""COMPUTED_VALUE"""),185000.0)</f>
        <v>185000</v>
      </c>
      <c r="J4574" s="6">
        <f>IFERROR(__xludf.DUMMYFUNCTION("""COMPUTED_VALUE"""),1665000.0)</f>
        <v>1665000</v>
      </c>
      <c r="K4574" s="57">
        <f>IFERROR(__xludf.DUMMYFUNCTION("""COMPUTED_VALUE"""),45989.0)</f>
        <v>45989</v>
      </c>
      <c r="L4574" s="6" t="str">
        <f>IFERROR(__xludf.DUMMYFUNCTION("""COMPUTED_VALUE"""),"FIP Engineering")</f>
        <v>FIP Engineering</v>
      </c>
      <c r="M4574" s="6" t="str">
        <f>IFERROR(__xludf.DUMMYFUNCTION("""COMPUTED_VALUE"""),"Mochammad Fadhillah Hakim,")</f>
        <v>Mochammad Fadhillah Hakim,</v>
      </c>
      <c r="N4574" s="6" t="str">
        <f>IFERROR(__xludf.DUMMYFUNCTION("""COMPUTED_VALUE"""),"FIP Engineering")</f>
        <v>FIP Engineering</v>
      </c>
      <c r="O4574" s="6" t="str">
        <f>IFERROR(__xludf.DUMMYFUNCTION("""COMPUTED_VALUE"""),"FIP-DOM-000-11304-OS00001-INA-000000")</f>
        <v>FIP-DOM-000-11304-OS00001-INA-000000</v>
      </c>
      <c r="P4574" s="6" t="str">
        <f>IFERROR(__xludf.DUMMYFUNCTION("""COMPUTED_VALUE"""),"PO Closed")</f>
        <v>PO Closed</v>
      </c>
      <c r="Q4574" s="6" t="str">
        <f>IFERROR(__xludf.DUMMYFUNCTION("""COMPUTED_VALUE"""),"GL2512326")</f>
        <v>GL2512326</v>
      </c>
      <c r="R4574" s="57">
        <f>IFERROR(__xludf.DUMMYFUNCTION("""COMPUTED_VALUE"""),45959.0)</f>
        <v>45959</v>
      </c>
      <c r="S4574" s="57">
        <f>IFERROR(__xludf.DUMMYFUNCTION("""COMPUTED_VALUE"""),45982.0)</f>
        <v>45982</v>
      </c>
      <c r="T4574" s="57">
        <f>IFERROR(__xludf.DUMMYFUNCTION("""COMPUTED_VALUE"""),46024.0)</f>
        <v>46024</v>
      </c>
    </row>
    <row r="4575">
      <c r="A4575" s="6" t="str">
        <f>IFERROR(__xludf.DUMMYFUNCTION("""COMPUTED_VALUE"""),"121703428-1")</f>
        <v>121703428-1</v>
      </c>
      <c r="B4575" s="6" t="str">
        <f>IFERROR(__xludf.DUMMYFUNCTION("""COMPUTED_VALUE"""),"121703428 - APPROVED")</f>
        <v>121703428 - APPROVED</v>
      </c>
      <c r="C4575" s="6">
        <f>IFERROR(__xludf.DUMMYFUNCTION("""COMPUTED_VALUE"""),1.0)</f>
        <v>1</v>
      </c>
      <c r="D4575" s="6" t="str">
        <f>IFERROR(__xludf.DUMMYFUNCTION("""COMPUTED_VALUE"""),"S-60050-00")</f>
        <v>S-60050-00</v>
      </c>
      <c r="E4575" s="6" t="str">
        <f>IFERROR(__xludf.DUMMYFUNCTION("""COMPUTED_VALUE"""),"Jasa Perbaikan dan Pemeliharaan Mesin Produksi; ; ; - Perbaikan Membran cRABS")</f>
        <v>Jasa Perbaikan dan Pemeliharaan Mesin Produksi; ; ; - Perbaikan Membran cRABS</v>
      </c>
      <c r="F4575" s="6">
        <f>IFERROR(__xludf.DUMMYFUNCTION("""COMPUTED_VALUE"""),1.0)</f>
        <v>1</v>
      </c>
      <c r="G4575" s="6" t="str">
        <f>IFERROR(__xludf.DUMMYFUNCTION("""COMPUTED_VALUE"""),"Pieces")</f>
        <v>Pieces</v>
      </c>
      <c r="H4575" s="6" t="str">
        <f>IFERROR(__xludf.DUMMYFUNCTION("""COMPUTED_VALUE"""),"IDR")</f>
        <v>IDR</v>
      </c>
      <c r="I4575" s="6">
        <f>IFERROR(__xludf.DUMMYFUNCTION("""COMPUTED_VALUE"""),2600000.0)</f>
        <v>2600000</v>
      </c>
      <c r="J4575" s="6">
        <f>IFERROR(__xludf.DUMMYFUNCTION("""COMPUTED_VALUE"""),2600000.0)</f>
        <v>2600000</v>
      </c>
      <c r="K4575" s="57">
        <f>IFERROR(__xludf.DUMMYFUNCTION("""COMPUTED_VALUE"""),45968.0)</f>
        <v>45968</v>
      </c>
      <c r="L4575" s="6" t="str">
        <f>IFERROR(__xludf.DUMMYFUNCTION("""COMPUTED_VALUE"""),"FIP General")</f>
        <v>FIP General</v>
      </c>
      <c r="M4575" s="6" t="str">
        <f>IFERROR(__xludf.DUMMYFUNCTION("""COMPUTED_VALUE"""),"Mochammad Fadhillah Hakim,")</f>
        <v>Mochammad Fadhillah Hakim,</v>
      </c>
      <c r="N4575" s="6" t="str">
        <f>IFERROR(__xludf.DUMMYFUNCTION("""COMPUTED_VALUE"""),"FIP Engineering")</f>
        <v>FIP Engineering</v>
      </c>
      <c r="O4575" s="6" t="str">
        <f>IFERROR(__xludf.DUMMYFUNCTION("""COMPUTED_VALUE"""),"FIP-DOM-ENG-51504-0000000-INA-000000")</f>
        <v>FIP-DOM-ENG-51504-0000000-INA-000000</v>
      </c>
      <c r="P4575" s="6" t="str">
        <f>IFERROR(__xludf.DUMMYFUNCTION("""COMPUTED_VALUE"""),"PO Closed")</f>
        <v>PO Closed</v>
      </c>
      <c r="Q4575" s="6" t="str">
        <f>IFERROR(__xludf.DUMMYFUNCTION("""COMPUTED_VALUE"""),"GL2512002")</f>
        <v>GL2512002</v>
      </c>
      <c r="R4575" s="57">
        <f>IFERROR(__xludf.DUMMYFUNCTION("""COMPUTED_VALUE"""),45959.0)</f>
        <v>45959</v>
      </c>
      <c r="S4575" s="57">
        <f>IFERROR(__xludf.DUMMYFUNCTION("""COMPUTED_VALUE"""),45969.0)</f>
        <v>45969</v>
      </c>
      <c r="T4575" s="57">
        <f>IFERROR(__xludf.DUMMYFUNCTION("""COMPUTED_VALUE"""),46006.0)</f>
        <v>46006</v>
      </c>
    </row>
    <row r="4576">
      <c r="A4576" s="6" t="str">
        <f>IFERROR(__xludf.DUMMYFUNCTION("""COMPUTED_VALUE"""),"121703429-1")</f>
        <v>121703429-1</v>
      </c>
      <c r="B4576" s="6" t="str">
        <f>IFERROR(__xludf.DUMMYFUNCTION("""COMPUTED_VALUE"""),"121703429 - APPROVED")</f>
        <v>121703429 - APPROVED</v>
      </c>
      <c r="C4576" s="6">
        <f>IFERROR(__xludf.DUMMYFUNCTION("""COMPUTED_VALUE"""),1.0)</f>
        <v>1</v>
      </c>
      <c r="D4576" s="6" t="str">
        <f>IFERROR(__xludf.DUMMYFUNCTION("""COMPUTED_VALUE"""),"P-11968-00")</f>
        <v>P-11968-00</v>
      </c>
      <c r="E4576" s="6" t="str">
        <f>IFERROR(__xludf.DUMMYFUNCTION("""COMPUTED_VALUE"""),"Berusynt FGH Spray H1 - Bechem")</f>
        <v>Berusynt FGH Spray H1 - Bechem</v>
      </c>
      <c r="F4576" s="6">
        <f>IFERROR(__xludf.DUMMYFUNCTION("""COMPUTED_VALUE"""),4.0)</f>
        <v>4</v>
      </c>
      <c r="G4576" s="6" t="str">
        <f>IFERROR(__xludf.DUMMYFUNCTION("""COMPUTED_VALUE"""),"Pieces")</f>
        <v>Pieces</v>
      </c>
      <c r="H4576" s="6" t="str">
        <f>IFERROR(__xludf.DUMMYFUNCTION("""COMPUTED_VALUE"""),"IDR")</f>
        <v>IDR</v>
      </c>
      <c r="I4576" s="6">
        <f>IFERROR(__xludf.DUMMYFUNCTION("""COMPUTED_VALUE"""),380000.0)</f>
        <v>380000</v>
      </c>
      <c r="J4576" s="6">
        <f>IFERROR(__xludf.DUMMYFUNCTION("""COMPUTED_VALUE"""),1520000.0)</f>
        <v>1520000</v>
      </c>
      <c r="K4576" s="57">
        <f>IFERROR(__xludf.DUMMYFUNCTION("""COMPUTED_VALUE"""),45996.0)</f>
        <v>45996</v>
      </c>
      <c r="L4576" s="6" t="str">
        <f>IFERROR(__xludf.DUMMYFUNCTION("""COMPUTED_VALUE"""),"FIP Engineering")</f>
        <v>FIP Engineering</v>
      </c>
      <c r="M4576" s="6" t="str">
        <f>IFERROR(__xludf.DUMMYFUNCTION("""COMPUTED_VALUE"""),"Mochammad Fadhillah Hakim,")</f>
        <v>Mochammad Fadhillah Hakim,</v>
      </c>
      <c r="N4576" s="6" t="str">
        <f>IFERROR(__xludf.DUMMYFUNCTION("""COMPUTED_VALUE"""),"FIP Engineering")</f>
        <v>FIP Engineering</v>
      </c>
      <c r="O4576" s="6" t="str">
        <f>IFERROR(__xludf.DUMMYFUNCTION("""COMPUTED_VALUE"""),"FIP-DOM-000-11304-OS00001-INA-000000")</f>
        <v>FIP-DOM-000-11304-OS00001-INA-000000</v>
      </c>
      <c r="P4576" s="6" t="str">
        <f>IFERROR(__xludf.DUMMYFUNCTION("""COMPUTED_VALUE"""),"PO Closed")</f>
        <v>PO Closed</v>
      </c>
      <c r="Q4576" s="6" t="str">
        <f>IFERROR(__xludf.DUMMYFUNCTION("""COMPUTED_VALUE"""),"GL2512324")</f>
        <v>GL2512324</v>
      </c>
      <c r="R4576" s="57">
        <f>IFERROR(__xludf.DUMMYFUNCTION("""COMPUTED_VALUE"""),45959.0)</f>
        <v>45959</v>
      </c>
      <c r="S4576" s="57">
        <f>IFERROR(__xludf.DUMMYFUNCTION("""COMPUTED_VALUE"""),45982.0)</f>
        <v>45982</v>
      </c>
      <c r="T4576" s="57">
        <f>IFERROR(__xludf.DUMMYFUNCTION("""COMPUTED_VALUE"""),46027.0)</f>
        <v>46027</v>
      </c>
    </row>
    <row r="4577">
      <c r="A4577" s="6" t="str">
        <f>IFERROR(__xludf.DUMMYFUNCTION("""COMPUTED_VALUE"""),"121703432-1")</f>
        <v>121703432-1</v>
      </c>
      <c r="B4577" s="6" t="str">
        <f>IFERROR(__xludf.DUMMYFUNCTION("""COMPUTED_VALUE"""),"121703432 - APPROVED")</f>
        <v>121703432 - APPROVED</v>
      </c>
      <c r="C4577" s="6">
        <f>IFERROR(__xludf.DUMMYFUNCTION("""COMPUTED_VALUE"""),1.0)</f>
        <v>1</v>
      </c>
      <c r="D4577" s="6" t="str">
        <f>IFERROR(__xludf.DUMMYFUNCTION("""COMPUTED_VALUE"""),"P-54447-00")</f>
        <v>P-54447-00</v>
      </c>
      <c r="E4577" s="6" t="str">
        <f>IFERROR(__xludf.DUMMYFUNCTION("""COMPUTED_VALUE"""),"General - Lampu LED Downlight DN027B G3 D125 9W, 900 lm, 65k, Putih; Philips; -; 1 pc")</f>
        <v>General - Lampu LED Downlight DN027B G3 D125 9W, 900 lm, 65k, Putih; Philips; -; 1 pc</v>
      </c>
      <c r="F4577" s="6">
        <f>IFERROR(__xludf.DUMMYFUNCTION("""COMPUTED_VALUE"""),25.0)</f>
        <v>25</v>
      </c>
      <c r="G4577" s="6" t="str">
        <f>IFERROR(__xludf.DUMMYFUNCTION("""COMPUTED_VALUE"""),"Pieces")</f>
        <v>Pieces</v>
      </c>
      <c r="H4577" s="6" t="str">
        <f>IFERROR(__xludf.DUMMYFUNCTION("""COMPUTED_VALUE"""),"IDR")</f>
        <v>IDR</v>
      </c>
      <c r="I4577" s="6">
        <f>IFERROR(__xludf.DUMMYFUNCTION("""COMPUTED_VALUE"""),165000.0)</f>
        <v>165000</v>
      </c>
      <c r="J4577" s="6">
        <f>IFERROR(__xludf.DUMMYFUNCTION("""COMPUTED_VALUE"""),4125000.0)</f>
        <v>4125000</v>
      </c>
      <c r="K4577" s="57">
        <f>IFERROR(__xludf.DUMMYFUNCTION("""COMPUTED_VALUE"""),45996.0)</f>
        <v>45996</v>
      </c>
      <c r="L4577" s="6" t="str">
        <f>IFERROR(__xludf.DUMMYFUNCTION("""COMPUTED_VALUE"""),"FIP Engineering")</f>
        <v>FIP Engineering</v>
      </c>
      <c r="M4577" s="6" t="str">
        <f>IFERROR(__xludf.DUMMYFUNCTION("""COMPUTED_VALUE"""),"Mochammad Fadhillah Hakim,")</f>
        <v>Mochammad Fadhillah Hakim,</v>
      </c>
      <c r="N4577" s="6" t="str">
        <f>IFERROR(__xludf.DUMMYFUNCTION("""COMPUTED_VALUE"""),"FIP Engineering")</f>
        <v>FIP Engineering</v>
      </c>
      <c r="O4577" s="6" t="str">
        <f>IFERROR(__xludf.DUMMYFUNCTION("""COMPUTED_VALUE"""),"FIP-DOM-000-11304-OS00001-INA-000000")</f>
        <v>FIP-DOM-000-11304-OS00001-INA-000000</v>
      </c>
      <c r="P4577" s="6" t="str">
        <f>IFERROR(__xludf.DUMMYFUNCTION("""COMPUTED_VALUE"""),"PO Closed")</f>
        <v>PO Closed</v>
      </c>
      <c r="Q4577" s="6"/>
      <c r="R4577" s="57">
        <f>IFERROR(__xludf.DUMMYFUNCTION("""COMPUTED_VALUE"""),45960.0)</f>
        <v>45960</v>
      </c>
      <c r="S4577" s="57">
        <f>IFERROR(__xludf.DUMMYFUNCTION("""COMPUTED_VALUE"""),45965.0)</f>
        <v>45965</v>
      </c>
      <c r="T4577" s="57">
        <f>IFERROR(__xludf.DUMMYFUNCTION("""COMPUTED_VALUE"""),45996.0)</f>
        <v>45996</v>
      </c>
    </row>
    <row r="4578">
      <c r="A4578" s="6" t="str">
        <f>IFERROR(__xludf.DUMMYFUNCTION("""COMPUTED_VALUE"""),"121703433-1")</f>
        <v>121703433-1</v>
      </c>
      <c r="B4578" s="6" t="str">
        <f>IFERROR(__xludf.DUMMYFUNCTION("""COMPUTED_VALUE"""),"121703433 - APPROVED")</f>
        <v>121703433 - APPROVED</v>
      </c>
      <c r="C4578" s="6">
        <f>IFERROR(__xludf.DUMMYFUNCTION("""COMPUTED_VALUE"""),1.0)</f>
        <v>1</v>
      </c>
      <c r="D4578" s="6" t="str">
        <f>IFERROR(__xludf.DUMMYFUNCTION("""COMPUTED_VALUE"""),"P-19410-00")</f>
        <v>P-19410-00</v>
      </c>
      <c r="E4578" s="6" t="str">
        <f>IFERROR(__xludf.DUMMYFUNCTION("""COMPUTED_VALUE"""),"General - Bearing NATA5902; IKO; -; 1 pc")</f>
        <v>General - Bearing NATA5902; IKO; -; 1 pc</v>
      </c>
      <c r="F4578" s="6">
        <f>IFERROR(__xludf.DUMMYFUNCTION("""COMPUTED_VALUE"""),20.0)</f>
        <v>20</v>
      </c>
      <c r="G4578" s="6" t="str">
        <f>IFERROR(__xludf.DUMMYFUNCTION("""COMPUTED_VALUE"""),"Pieces")</f>
        <v>Pieces</v>
      </c>
      <c r="H4578" s="6" t="str">
        <f>IFERROR(__xludf.DUMMYFUNCTION("""COMPUTED_VALUE"""),"IDR")</f>
        <v>IDR</v>
      </c>
      <c r="I4578" s="6">
        <f>IFERROR(__xludf.DUMMYFUNCTION("""COMPUTED_VALUE"""),136635.0)</f>
        <v>136635</v>
      </c>
      <c r="J4578" s="6">
        <f>IFERROR(__xludf.DUMMYFUNCTION("""COMPUTED_VALUE"""),2732700.0)</f>
        <v>2732700</v>
      </c>
      <c r="K4578" s="57">
        <f>IFERROR(__xludf.DUMMYFUNCTION("""COMPUTED_VALUE"""),45996.0)</f>
        <v>45996</v>
      </c>
      <c r="L4578" s="6" t="str">
        <f>IFERROR(__xludf.DUMMYFUNCTION("""COMPUTED_VALUE"""),"FIP Engineering")</f>
        <v>FIP Engineering</v>
      </c>
      <c r="M4578" s="6" t="str">
        <f>IFERROR(__xludf.DUMMYFUNCTION("""COMPUTED_VALUE"""),"Mochammad Fadhillah Hakim,")</f>
        <v>Mochammad Fadhillah Hakim,</v>
      </c>
      <c r="N4578" s="6" t="str">
        <f>IFERROR(__xludf.DUMMYFUNCTION("""COMPUTED_VALUE"""),"FIP Engineering")</f>
        <v>FIP Engineering</v>
      </c>
      <c r="O4578" s="6" t="str">
        <f>IFERROR(__xludf.DUMMYFUNCTION("""COMPUTED_VALUE"""),"FIP-DOM-000-11304-OS00001-INA-000000")</f>
        <v>FIP-DOM-000-11304-OS00001-INA-000000</v>
      </c>
      <c r="P4578" s="6" t="str">
        <f>IFERROR(__xludf.DUMMYFUNCTION("""COMPUTED_VALUE"""),"PO Closed")</f>
        <v>PO Closed</v>
      </c>
      <c r="Q4578" s="6" t="str">
        <f>IFERROR(__xludf.DUMMYFUNCTION("""COMPUTED_VALUE"""),"GL2511005")</f>
        <v>GL2511005</v>
      </c>
      <c r="R4578" s="57">
        <f>IFERROR(__xludf.DUMMYFUNCTION("""COMPUTED_VALUE"""),45960.0)</f>
        <v>45960</v>
      </c>
      <c r="S4578" s="57">
        <f>IFERROR(__xludf.DUMMYFUNCTION("""COMPUTED_VALUE"""),45965.0)</f>
        <v>45965</v>
      </c>
      <c r="T4578" s="57">
        <f>IFERROR(__xludf.DUMMYFUNCTION("""COMPUTED_VALUE"""),45996.0)</f>
        <v>45996</v>
      </c>
    </row>
    <row r="4579">
      <c r="A4579" s="6" t="str">
        <f>IFERROR(__xludf.DUMMYFUNCTION("""COMPUTED_VALUE"""),"121703434-1")</f>
        <v>121703434-1</v>
      </c>
      <c r="B4579" s="6" t="str">
        <f>IFERROR(__xludf.DUMMYFUNCTION("""COMPUTED_VALUE"""),"121703434 - APPROVED")</f>
        <v>121703434 - APPROVED</v>
      </c>
      <c r="C4579" s="6">
        <f>IFERROR(__xludf.DUMMYFUNCTION("""COMPUTED_VALUE"""),1.0)</f>
        <v>1</v>
      </c>
      <c r="D4579" s="6" t="str">
        <f>IFERROR(__xludf.DUMMYFUNCTION("""COMPUTED_VALUE"""),"O-20496-00")</f>
        <v>O-20496-00</v>
      </c>
      <c r="E4579" s="6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F4579" s="6">
        <f>IFERROR(__xludf.DUMMYFUNCTION("""COMPUTED_VALUE"""),3.0)</f>
        <v>3</v>
      </c>
      <c r="G4579" s="6" t="str">
        <f>IFERROR(__xludf.DUMMYFUNCTION("""COMPUTED_VALUE"""),"Pieces")</f>
        <v>Pieces</v>
      </c>
      <c r="H4579" s="6" t="str">
        <f>IFERROR(__xludf.DUMMYFUNCTION("""COMPUTED_VALUE"""),"IDR")</f>
        <v>IDR</v>
      </c>
      <c r="I4579" s="6">
        <f>IFERROR(__xludf.DUMMYFUNCTION("""COMPUTED_VALUE"""),6201000.0)</f>
        <v>6201000</v>
      </c>
      <c r="J4579" s="6">
        <f>IFERROR(__xludf.DUMMYFUNCTION("""COMPUTED_VALUE"""),1.8603E7)</f>
        <v>18603000</v>
      </c>
      <c r="K4579" s="57">
        <f>IFERROR(__xludf.DUMMYFUNCTION("""COMPUTED_VALUE"""),46010.0)</f>
        <v>46010</v>
      </c>
      <c r="L4579" s="6" t="str">
        <f>IFERROR(__xludf.DUMMYFUNCTION("""COMPUTED_VALUE"""),"FIP Engineering")</f>
        <v>FIP Engineering</v>
      </c>
      <c r="M4579" s="6" t="str">
        <f>IFERROR(__xludf.DUMMYFUNCTION("""COMPUTED_VALUE"""),"Mochammad Fadhillah Hakim,")</f>
        <v>Mochammad Fadhillah Hakim,</v>
      </c>
      <c r="N4579" s="6" t="str">
        <f>IFERROR(__xludf.DUMMYFUNCTION("""COMPUTED_VALUE"""),"FIP Engineering")</f>
        <v>FIP Engineering</v>
      </c>
      <c r="O4579" s="6" t="str">
        <f>IFERROR(__xludf.DUMMYFUNCTION("""COMPUTED_VALUE"""),"FIP-DOM-000-11304-OS00001-INA-000000")</f>
        <v>FIP-DOM-000-11304-OS00001-INA-000000</v>
      </c>
      <c r="P4579" s="6" t="str">
        <f>IFERROR(__xludf.DUMMYFUNCTION("""COMPUTED_VALUE"""),"PO Closed")</f>
        <v>PO Closed</v>
      </c>
      <c r="Q4579" s="6" t="str">
        <f>IFERROR(__xludf.DUMMYFUNCTION("""COMPUTED_VALUE"""),"GL2512319")</f>
        <v>GL2512319</v>
      </c>
      <c r="R4579" s="57">
        <f>IFERROR(__xludf.DUMMYFUNCTION("""COMPUTED_VALUE"""),45960.0)</f>
        <v>45960</v>
      </c>
      <c r="S4579" s="57">
        <f>IFERROR(__xludf.DUMMYFUNCTION("""COMPUTED_VALUE"""),45974.0)</f>
        <v>45974</v>
      </c>
      <c r="T4579" s="57">
        <f>IFERROR(__xludf.DUMMYFUNCTION("""COMPUTED_VALUE"""),46081.0)</f>
        <v>46081</v>
      </c>
    </row>
    <row r="4580">
      <c r="A4580" s="6" t="str">
        <f>IFERROR(__xludf.DUMMYFUNCTION("""COMPUTED_VALUE"""),"121703435-1")</f>
        <v>121703435-1</v>
      </c>
      <c r="B4580" s="6" t="str">
        <f>IFERROR(__xludf.DUMMYFUNCTION("""COMPUTED_VALUE"""),"121703435 - APPROVED")</f>
        <v>121703435 - APPROVED</v>
      </c>
      <c r="C4580" s="6">
        <f>IFERROR(__xludf.DUMMYFUNCTION("""COMPUTED_VALUE"""),1.0)</f>
        <v>1</v>
      </c>
      <c r="D4580" s="6" t="str">
        <f>IFERROR(__xludf.DUMMYFUNCTION("""COMPUTED_VALUE"""),"O-53441-00")</f>
        <v>O-53441-00</v>
      </c>
      <c r="E4580" s="6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F4580" s="6">
        <f>IFERROR(__xludf.DUMMYFUNCTION("""COMPUTED_VALUE"""),1.0)</f>
        <v>1</v>
      </c>
      <c r="G4580" s="6" t="str">
        <f>IFERROR(__xludf.DUMMYFUNCTION("""COMPUTED_VALUE"""),"Pieces")</f>
        <v>Pieces</v>
      </c>
      <c r="H4580" s="6" t="str">
        <f>IFERROR(__xludf.DUMMYFUNCTION("""COMPUTED_VALUE"""),"IDR")</f>
        <v>IDR</v>
      </c>
      <c r="I4580" s="6">
        <f>IFERROR(__xludf.DUMMYFUNCTION("""COMPUTED_VALUE"""),3.5012E7)</f>
        <v>35012000</v>
      </c>
      <c r="J4580" s="6">
        <f>IFERROR(__xludf.DUMMYFUNCTION("""COMPUTED_VALUE"""),3.5012E7)</f>
        <v>35012000</v>
      </c>
      <c r="K4580" s="57">
        <f>IFERROR(__xludf.DUMMYFUNCTION("""COMPUTED_VALUE"""),45996.0)</f>
        <v>45996</v>
      </c>
      <c r="L4580" s="6" t="str">
        <f>IFERROR(__xludf.DUMMYFUNCTION("""COMPUTED_VALUE"""),"FIP Engineering")</f>
        <v>FIP Engineering</v>
      </c>
      <c r="M4580" s="6" t="str">
        <f>IFERROR(__xludf.DUMMYFUNCTION("""COMPUTED_VALUE"""),"Mochammad Fadhillah Hakim,")</f>
        <v>Mochammad Fadhillah Hakim,</v>
      </c>
      <c r="N4580" s="6" t="str">
        <f>IFERROR(__xludf.DUMMYFUNCTION("""COMPUTED_VALUE"""),"FIP Engineering")</f>
        <v>FIP Engineering</v>
      </c>
      <c r="O4580" s="6" t="str">
        <f>IFERROR(__xludf.DUMMYFUNCTION("""COMPUTED_VALUE"""),"FIP-DOM-000-11304-OS00001-INA-000000")</f>
        <v>FIP-DOM-000-11304-OS00001-INA-000000</v>
      </c>
      <c r="P4580" s="6" t="str">
        <f>IFERROR(__xludf.DUMMYFUNCTION("""COMPUTED_VALUE"""),"PO Closed")</f>
        <v>PO Closed</v>
      </c>
      <c r="Q4580" s="6" t="str">
        <f>IFERROR(__xludf.DUMMYFUNCTION("""COMPUTED_VALUE"""),"GL2511305")</f>
        <v>GL2511305</v>
      </c>
      <c r="R4580" s="57">
        <f>IFERROR(__xludf.DUMMYFUNCTION("""COMPUTED_VALUE"""),45960.0)</f>
        <v>45960</v>
      </c>
      <c r="S4580" s="57">
        <f>IFERROR(__xludf.DUMMYFUNCTION("""COMPUTED_VALUE"""),45974.0)</f>
        <v>45974</v>
      </c>
      <c r="T4580" s="57">
        <f>IFERROR(__xludf.DUMMYFUNCTION("""COMPUTED_VALUE"""),46107.0)</f>
        <v>46107</v>
      </c>
    </row>
    <row r="4581">
      <c r="A4581" s="6" t="str">
        <f>IFERROR(__xludf.DUMMYFUNCTION("""COMPUTED_VALUE"""),"121703435-2")</f>
        <v>121703435-2</v>
      </c>
      <c r="B4581" s="6" t="str">
        <f>IFERROR(__xludf.DUMMYFUNCTION("""COMPUTED_VALUE"""),"121703435 - APPROVED")</f>
        <v>121703435 - APPROVED</v>
      </c>
      <c r="C4581" s="6">
        <f>IFERROR(__xludf.DUMMYFUNCTION("""COMPUTED_VALUE"""),2.0)</f>
        <v>2</v>
      </c>
      <c r="D4581" s="6" t="str">
        <f>IFERROR(__xludf.DUMMYFUNCTION("""COMPUTED_VALUE"""),"O-20982-00")</f>
        <v>O-20982-00</v>
      </c>
      <c r="E4581" s="6" t="str">
        <f>IFERROR(__xludf.DUMMYFUNCTION("""COMPUTED_VALUE"""),"Autoclave FVA2/A1 - SILICONE GASKET FO-5 900X1300; Fedegari; PP600076; 1 Pc")</f>
        <v>Autoclave FVA2/A1 - SILICONE GASKET FO-5 900X1300; Fedegari; PP600076; 1 Pc</v>
      </c>
      <c r="F4581" s="6">
        <f>IFERROR(__xludf.DUMMYFUNCTION("""COMPUTED_VALUE"""),1.0)</f>
        <v>1</v>
      </c>
      <c r="G4581" s="6" t="str">
        <f>IFERROR(__xludf.DUMMYFUNCTION("""COMPUTED_VALUE"""),"Pieces")</f>
        <v>Pieces</v>
      </c>
      <c r="H4581" s="6" t="str">
        <f>IFERROR(__xludf.DUMMYFUNCTION("""COMPUTED_VALUE"""),"IDR")</f>
        <v>IDR</v>
      </c>
      <c r="I4581" s="6">
        <f>IFERROR(__xludf.DUMMYFUNCTION("""COMPUTED_VALUE"""),8093000.0)</f>
        <v>8093000</v>
      </c>
      <c r="J4581" s="6">
        <f>IFERROR(__xludf.DUMMYFUNCTION("""COMPUTED_VALUE"""),8093000.0)</f>
        <v>8093000</v>
      </c>
      <c r="K4581" s="57">
        <f>IFERROR(__xludf.DUMMYFUNCTION("""COMPUTED_VALUE"""),45996.0)</f>
        <v>45996</v>
      </c>
      <c r="L4581" s="6" t="str">
        <f>IFERROR(__xludf.DUMMYFUNCTION("""COMPUTED_VALUE"""),"FIP Engineering")</f>
        <v>FIP Engineering</v>
      </c>
      <c r="M4581" s="6" t="str">
        <f>IFERROR(__xludf.DUMMYFUNCTION("""COMPUTED_VALUE"""),"Mochammad Fadhillah Hakim,")</f>
        <v>Mochammad Fadhillah Hakim,</v>
      </c>
      <c r="N4581" s="6" t="str">
        <f>IFERROR(__xludf.DUMMYFUNCTION("""COMPUTED_VALUE"""),"FIP Engineering")</f>
        <v>FIP Engineering</v>
      </c>
      <c r="O4581" s="6" t="str">
        <f>IFERROR(__xludf.DUMMYFUNCTION("""COMPUTED_VALUE"""),"FIP-DOM-000-11304-OS00001-INA-000000")</f>
        <v>FIP-DOM-000-11304-OS00001-INA-000000</v>
      </c>
      <c r="P4581" s="6" t="str">
        <f>IFERROR(__xludf.DUMMYFUNCTION("""COMPUTED_VALUE"""),"PO Closed")</f>
        <v>PO Closed</v>
      </c>
      <c r="Q4581" s="6" t="str">
        <f>IFERROR(__xludf.DUMMYFUNCTION("""COMPUTED_VALUE"""),"GL2511305")</f>
        <v>GL2511305</v>
      </c>
      <c r="R4581" s="57">
        <f>IFERROR(__xludf.DUMMYFUNCTION("""COMPUTED_VALUE"""),45960.0)</f>
        <v>45960</v>
      </c>
      <c r="S4581" s="57">
        <f>IFERROR(__xludf.DUMMYFUNCTION("""COMPUTED_VALUE"""),45974.0)</f>
        <v>45974</v>
      </c>
      <c r="T4581" s="57">
        <f>IFERROR(__xludf.DUMMYFUNCTION("""COMPUTED_VALUE"""),46107.0)</f>
        <v>46107</v>
      </c>
    </row>
    <row r="4582">
      <c r="A4582" s="6" t="str">
        <f>IFERROR(__xludf.DUMMYFUNCTION("""COMPUTED_VALUE"""),"121703437-1")</f>
        <v>121703437-1</v>
      </c>
      <c r="B4582" s="6" t="str">
        <f>IFERROR(__xludf.DUMMYFUNCTION("""COMPUTED_VALUE"""),"121703437 - APPROVED")</f>
        <v>121703437 - APPROVED</v>
      </c>
      <c r="C4582" s="6">
        <f>IFERROR(__xludf.DUMMYFUNCTION("""COMPUTED_VALUE"""),1.0)</f>
        <v>1</v>
      </c>
      <c r="D4582" s="6" t="str">
        <f>IFERROR(__xludf.DUMMYFUNCTION("""COMPUTED_VALUE"""),"O-53442-00")</f>
        <v>O-53442-00</v>
      </c>
      <c r="E4582" s="6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F4582" s="6">
        <f>IFERROR(__xludf.DUMMYFUNCTION("""COMPUTED_VALUE"""),1.0)</f>
        <v>1</v>
      </c>
      <c r="G4582" s="6" t="str">
        <f>IFERROR(__xludf.DUMMYFUNCTION("""COMPUTED_VALUE"""),"Pieces")</f>
        <v>Pieces</v>
      </c>
      <c r="H4582" s="6" t="str">
        <f>IFERROR(__xludf.DUMMYFUNCTION("""COMPUTED_VALUE"""),"IDR")</f>
        <v>IDR</v>
      </c>
      <c r="I4582" s="6">
        <f>IFERROR(__xludf.DUMMYFUNCTION("""COMPUTED_VALUE"""),2822000.0)</f>
        <v>2822000</v>
      </c>
      <c r="J4582" s="6">
        <f>IFERROR(__xludf.DUMMYFUNCTION("""COMPUTED_VALUE"""),2822000.0)</f>
        <v>2822000</v>
      </c>
      <c r="K4582" s="57">
        <f>IFERROR(__xludf.DUMMYFUNCTION("""COMPUTED_VALUE"""),45996.0)</f>
        <v>45996</v>
      </c>
      <c r="L4582" s="6" t="str">
        <f>IFERROR(__xludf.DUMMYFUNCTION("""COMPUTED_VALUE"""),"FIP Engineering")</f>
        <v>FIP Engineering</v>
      </c>
      <c r="M4582" s="6" t="str">
        <f>IFERROR(__xludf.DUMMYFUNCTION("""COMPUTED_VALUE"""),"Mochammad Fadhillah Hakim,")</f>
        <v>Mochammad Fadhillah Hakim,</v>
      </c>
      <c r="N4582" s="6" t="str">
        <f>IFERROR(__xludf.DUMMYFUNCTION("""COMPUTED_VALUE"""),"FIP Engineering")</f>
        <v>FIP Engineering</v>
      </c>
      <c r="O4582" s="6" t="str">
        <f>IFERROR(__xludf.DUMMYFUNCTION("""COMPUTED_VALUE"""),"FIP-DOM-000-11304-OS00001-INA-000000")</f>
        <v>FIP-DOM-000-11304-OS00001-INA-000000</v>
      </c>
      <c r="P4582" s="6" t="str">
        <f>IFERROR(__xludf.DUMMYFUNCTION("""COMPUTED_VALUE"""),"PO Closed")</f>
        <v>PO Closed</v>
      </c>
      <c r="Q4582" s="6" t="str">
        <f>IFERROR(__xludf.DUMMYFUNCTION("""COMPUTED_VALUE"""),"GL2511305")</f>
        <v>GL2511305</v>
      </c>
      <c r="R4582" s="57">
        <f>IFERROR(__xludf.DUMMYFUNCTION("""COMPUTED_VALUE"""),45960.0)</f>
        <v>45960</v>
      </c>
      <c r="S4582" s="57">
        <f>IFERROR(__xludf.DUMMYFUNCTION("""COMPUTED_VALUE"""),45965.0)</f>
        <v>45965</v>
      </c>
      <c r="T4582" s="57">
        <f>IFERROR(__xludf.DUMMYFUNCTION("""COMPUTED_VALUE"""),46107.0)</f>
        <v>46107</v>
      </c>
    </row>
    <row r="4583">
      <c r="A4583" s="6" t="str">
        <f>IFERROR(__xludf.DUMMYFUNCTION("""COMPUTED_VALUE"""),"121703437-2")</f>
        <v>121703437-2</v>
      </c>
      <c r="B4583" s="6" t="str">
        <f>IFERROR(__xludf.DUMMYFUNCTION("""COMPUTED_VALUE"""),"121703437 - APPROVED")</f>
        <v>121703437 - APPROVED</v>
      </c>
      <c r="C4583" s="6">
        <f>IFERROR(__xludf.DUMMYFUNCTION("""COMPUTED_VALUE"""),2.0)</f>
        <v>2</v>
      </c>
      <c r="D4583" s="6" t="str">
        <f>IFERROR(__xludf.DUMMYFUNCTION("""COMPUTED_VALUE"""),"O-21124-00")</f>
        <v>O-21124-00</v>
      </c>
      <c r="E4583" s="6" t="str">
        <f>IFERROR(__xludf.DUMMYFUNCTION("""COMPUTED_VALUE"""),"Autoclave Service NA2247AU - O ring 15.47x3.53; Fedegari; CC150170; 1 Pc")</f>
        <v>Autoclave Service NA2247AU - O ring 15.47x3.53; Fedegari; CC150170; 1 Pc</v>
      </c>
      <c r="F4583" s="6">
        <f>IFERROR(__xludf.DUMMYFUNCTION("""COMPUTED_VALUE"""),5.0)</f>
        <v>5</v>
      </c>
      <c r="G4583" s="6" t="str">
        <f>IFERROR(__xludf.DUMMYFUNCTION("""COMPUTED_VALUE"""),"Pieces")</f>
        <v>Pieces</v>
      </c>
      <c r="H4583" s="6" t="str">
        <f>IFERROR(__xludf.DUMMYFUNCTION("""COMPUTED_VALUE"""),"IDR")</f>
        <v>IDR</v>
      </c>
      <c r="I4583" s="6">
        <f>IFERROR(__xludf.DUMMYFUNCTION("""COMPUTED_VALUE"""),75000.0)</f>
        <v>75000</v>
      </c>
      <c r="J4583" s="6">
        <f>IFERROR(__xludf.DUMMYFUNCTION("""COMPUTED_VALUE"""),375000.0)</f>
        <v>375000</v>
      </c>
      <c r="K4583" s="57">
        <f>IFERROR(__xludf.DUMMYFUNCTION("""COMPUTED_VALUE"""),45996.0)</f>
        <v>45996</v>
      </c>
      <c r="L4583" s="6" t="str">
        <f>IFERROR(__xludf.DUMMYFUNCTION("""COMPUTED_VALUE"""),"FIP Engineering")</f>
        <v>FIP Engineering</v>
      </c>
      <c r="M4583" s="6" t="str">
        <f>IFERROR(__xludf.DUMMYFUNCTION("""COMPUTED_VALUE"""),"Mochammad Fadhillah Hakim,")</f>
        <v>Mochammad Fadhillah Hakim,</v>
      </c>
      <c r="N4583" s="6" t="str">
        <f>IFERROR(__xludf.DUMMYFUNCTION("""COMPUTED_VALUE"""),"FIP Engineering")</f>
        <v>FIP Engineering</v>
      </c>
      <c r="O4583" s="6" t="str">
        <f>IFERROR(__xludf.DUMMYFUNCTION("""COMPUTED_VALUE"""),"FIP-DOM-000-11304-OS00001-INA-000000")</f>
        <v>FIP-DOM-000-11304-OS00001-INA-000000</v>
      </c>
      <c r="P4583" s="6" t="str">
        <f>IFERROR(__xludf.DUMMYFUNCTION("""COMPUTED_VALUE"""),"PO Closed")</f>
        <v>PO Closed</v>
      </c>
      <c r="Q4583" s="6" t="str">
        <f>IFERROR(__xludf.DUMMYFUNCTION("""COMPUTED_VALUE"""),"GL2511305")</f>
        <v>GL2511305</v>
      </c>
      <c r="R4583" s="57">
        <f>IFERROR(__xludf.DUMMYFUNCTION("""COMPUTED_VALUE"""),45960.0)</f>
        <v>45960</v>
      </c>
      <c r="S4583" s="57">
        <f>IFERROR(__xludf.DUMMYFUNCTION("""COMPUTED_VALUE"""),45965.0)</f>
        <v>45965</v>
      </c>
      <c r="T4583" s="57">
        <f>IFERROR(__xludf.DUMMYFUNCTION("""COMPUTED_VALUE"""),46107.0)</f>
        <v>46107</v>
      </c>
    </row>
    <row r="4584">
      <c r="A4584" s="6" t="str">
        <f>IFERROR(__xludf.DUMMYFUNCTION("""COMPUTED_VALUE"""),"121703437-3")</f>
        <v>121703437-3</v>
      </c>
      <c r="B4584" s="6" t="str">
        <f>IFERROR(__xludf.DUMMYFUNCTION("""COMPUTED_VALUE"""),"121703437 - APPROVED")</f>
        <v>121703437 - APPROVED</v>
      </c>
      <c r="C4584" s="6">
        <f>IFERROR(__xludf.DUMMYFUNCTION("""COMPUTED_VALUE"""),3.0)</f>
        <v>3</v>
      </c>
      <c r="D4584" s="6" t="str">
        <f>IFERROR(__xludf.DUMMYFUNCTION("""COMPUTED_VALUE"""),"O-21125-00")</f>
        <v>O-21125-00</v>
      </c>
      <c r="E4584" s="6" t="str">
        <f>IFERROR(__xludf.DUMMYFUNCTION("""COMPUTED_VALUE"""),"Autoclave Service NA2247AU - O ring 34.52x3.53; Fedegari; CC150171; 1 Pc")</f>
        <v>Autoclave Service NA2247AU - O ring 34.52x3.53; Fedegari; CC150171; 1 Pc</v>
      </c>
      <c r="F4584" s="6">
        <f>IFERROR(__xludf.DUMMYFUNCTION("""COMPUTED_VALUE"""),5.0)</f>
        <v>5</v>
      </c>
      <c r="G4584" s="6" t="str">
        <f>IFERROR(__xludf.DUMMYFUNCTION("""COMPUTED_VALUE"""),"Pieces")</f>
        <v>Pieces</v>
      </c>
      <c r="H4584" s="6" t="str">
        <f>IFERROR(__xludf.DUMMYFUNCTION("""COMPUTED_VALUE"""),"IDR")</f>
        <v>IDR</v>
      </c>
      <c r="I4584" s="6">
        <f>IFERROR(__xludf.DUMMYFUNCTION("""COMPUTED_VALUE"""),50000.0)</f>
        <v>50000</v>
      </c>
      <c r="J4584" s="6">
        <f>IFERROR(__xludf.DUMMYFUNCTION("""COMPUTED_VALUE"""),250000.0)</f>
        <v>250000</v>
      </c>
      <c r="K4584" s="57">
        <f>IFERROR(__xludf.DUMMYFUNCTION("""COMPUTED_VALUE"""),45996.0)</f>
        <v>45996</v>
      </c>
      <c r="L4584" s="6" t="str">
        <f>IFERROR(__xludf.DUMMYFUNCTION("""COMPUTED_VALUE"""),"FIP Engineering")</f>
        <v>FIP Engineering</v>
      </c>
      <c r="M4584" s="6" t="str">
        <f>IFERROR(__xludf.DUMMYFUNCTION("""COMPUTED_VALUE"""),"Mochammad Fadhillah Hakim,")</f>
        <v>Mochammad Fadhillah Hakim,</v>
      </c>
      <c r="N4584" s="6" t="str">
        <f>IFERROR(__xludf.DUMMYFUNCTION("""COMPUTED_VALUE"""),"FIP Engineering")</f>
        <v>FIP Engineering</v>
      </c>
      <c r="O4584" s="6" t="str">
        <f>IFERROR(__xludf.DUMMYFUNCTION("""COMPUTED_VALUE"""),"FIP-DOM-000-11304-OS00001-INA-000000")</f>
        <v>FIP-DOM-000-11304-OS00001-INA-000000</v>
      </c>
      <c r="P4584" s="6" t="str">
        <f>IFERROR(__xludf.DUMMYFUNCTION("""COMPUTED_VALUE"""),"PO Closed")</f>
        <v>PO Closed</v>
      </c>
      <c r="Q4584" s="6" t="str">
        <f>IFERROR(__xludf.DUMMYFUNCTION("""COMPUTED_VALUE"""),"GL2511305")</f>
        <v>GL2511305</v>
      </c>
      <c r="R4584" s="57">
        <f>IFERROR(__xludf.DUMMYFUNCTION("""COMPUTED_VALUE"""),45960.0)</f>
        <v>45960</v>
      </c>
      <c r="S4584" s="57">
        <f>IFERROR(__xludf.DUMMYFUNCTION("""COMPUTED_VALUE"""),45965.0)</f>
        <v>45965</v>
      </c>
      <c r="T4584" s="57">
        <f>IFERROR(__xludf.DUMMYFUNCTION("""COMPUTED_VALUE"""),46107.0)</f>
        <v>46107</v>
      </c>
    </row>
    <row r="4585">
      <c r="A4585" s="6" t="str">
        <f>IFERROR(__xludf.DUMMYFUNCTION("""COMPUTED_VALUE"""),"121703438-1")</f>
        <v>121703438-1</v>
      </c>
      <c r="B4585" s="6" t="str">
        <f>IFERROR(__xludf.DUMMYFUNCTION("""COMPUTED_VALUE"""),"121703438 - APPROVED")</f>
        <v>121703438 - APPROVED</v>
      </c>
      <c r="C4585" s="6">
        <f>IFERROR(__xludf.DUMMYFUNCTION("""COMPUTED_VALUE"""),1.0)</f>
        <v>1</v>
      </c>
      <c r="D4585" s="6" t="str">
        <f>IFERROR(__xludf.DUMMYFUNCTION("""COMPUTED_VALUE"""),"O-53466-00")</f>
        <v>O-53466-00</v>
      </c>
      <c r="E4585" s="6" t="str">
        <f>IFERROR(__xludf.DUMMYFUNCTION("""COMPUTED_VALUE"""),"cRABS Z064CR - DOOR SAFETY SWITCHES ; SCHMERSAL ; MAGNET BPS-260; ; 14061; 1 Pc")</f>
        <v>cRABS Z064CR - DOOR SAFETY SWITCHES ; SCHMERSAL ; MAGNET BPS-260; ; 14061; 1 Pc</v>
      </c>
      <c r="F4585" s="6">
        <f>IFERROR(__xludf.DUMMYFUNCTION("""COMPUTED_VALUE"""),1.0)</f>
        <v>1</v>
      </c>
      <c r="G4585" s="6" t="str">
        <f>IFERROR(__xludf.DUMMYFUNCTION("""COMPUTED_VALUE"""),"Pieces")</f>
        <v>Pieces</v>
      </c>
      <c r="H4585" s="6" t="str">
        <f>IFERROR(__xludf.DUMMYFUNCTION("""COMPUTED_VALUE"""),"IDR")</f>
        <v>IDR</v>
      </c>
      <c r="I4585" s="6">
        <f>IFERROR(__xludf.DUMMYFUNCTION("""COMPUTED_VALUE"""),490220.0)</f>
        <v>490220</v>
      </c>
      <c r="J4585" s="6">
        <f>IFERROR(__xludf.DUMMYFUNCTION("""COMPUTED_VALUE"""),490220.0)</f>
        <v>490220</v>
      </c>
      <c r="K4585" s="57">
        <f>IFERROR(__xludf.DUMMYFUNCTION("""COMPUTED_VALUE"""),45996.0)</f>
        <v>45996</v>
      </c>
      <c r="L4585" s="6" t="str">
        <f>IFERROR(__xludf.DUMMYFUNCTION("""COMPUTED_VALUE"""),"FIP Engineering")</f>
        <v>FIP Engineering</v>
      </c>
      <c r="M4585" s="6" t="str">
        <f>IFERROR(__xludf.DUMMYFUNCTION("""COMPUTED_VALUE"""),"Mochammad Fadhillah Hakim,")</f>
        <v>Mochammad Fadhillah Hakim,</v>
      </c>
      <c r="N4585" s="6" t="str">
        <f>IFERROR(__xludf.DUMMYFUNCTION("""COMPUTED_VALUE"""),"FIP Engineering")</f>
        <v>FIP Engineering</v>
      </c>
      <c r="O4585" s="6" t="str">
        <f>IFERROR(__xludf.DUMMYFUNCTION("""COMPUTED_VALUE"""),"FIP-DOM-000-11304-OS00001-INA-000000")</f>
        <v>FIP-DOM-000-11304-OS00001-INA-000000</v>
      </c>
      <c r="P4585" s="6" t="str">
        <f>IFERROR(__xludf.DUMMYFUNCTION("""COMPUTED_VALUE"""),"PO Closed")</f>
        <v>PO Closed</v>
      </c>
      <c r="Q4585" s="6" t="str">
        <f>IFERROR(__xludf.DUMMYFUNCTION("""COMPUTED_VALUE"""),"GL2511060")</f>
        <v>GL2511060</v>
      </c>
      <c r="R4585" s="57">
        <f>IFERROR(__xludf.DUMMYFUNCTION("""COMPUTED_VALUE"""),45960.0)</f>
        <v>45960</v>
      </c>
      <c r="S4585" s="57">
        <f>IFERROR(__xludf.DUMMYFUNCTION("""COMPUTED_VALUE"""),45965.0)</f>
        <v>45965</v>
      </c>
      <c r="T4585" s="57">
        <f>IFERROR(__xludf.DUMMYFUNCTION("""COMPUTED_VALUE"""),46097.0)</f>
        <v>46097</v>
      </c>
    </row>
    <row r="4586">
      <c r="A4586" s="6" t="str">
        <f>IFERROR(__xludf.DUMMYFUNCTION("""COMPUTED_VALUE"""),"121703439-1")</f>
        <v>121703439-1</v>
      </c>
      <c r="B4586" s="6" t="str">
        <f>IFERROR(__xludf.DUMMYFUNCTION("""COMPUTED_VALUE"""),"121703439 - APPROVED")</f>
        <v>121703439 - APPROVED</v>
      </c>
      <c r="C4586" s="6">
        <f>IFERROR(__xludf.DUMMYFUNCTION("""COMPUTED_VALUE"""),1.0)</f>
        <v>1</v>
      </c>
      <c r="D4586" s="6" t="str">
        <f>IFERROR(__xludf.DUMMYFUNCTION("""COMPUTED_VALUE"""),"O-19372-00")</f>
        <v>O-19372-00</v>
      </c>
      <c r="E4586" s="6" t="str">
        <f>IFERROR(__xludf.DUMMYFUNCTION("""COMPUTED_VALUE"""),"Washing RAR4 - Needle PW, OD.15mmx123mm, Material SS 319; ; ;")</f>
        <v>Washing RAR4 - Needle PW, OD.15mmx123mm, Material SS 319; ; ;</v>
      </c>
      <c r="F4586" s="6">
        <f>IFERROR(__xludf.DUMMYFUNCTION("""COMPUTED_VALUE"""),1.0)</f>
        <v>1</v>
      </c>
      <c r="G4586" s="6" t="str">
        <f>IFERROR(__xludf.DUMMYFUNCTION("""COMPUTED_VALUE"""),"Pieces")</f>
        <v>Pieces</v>
      </c>
      <c r="H4586" s="6" t="str">
        <f>IFERROR(__xludf.DUMMYFUNCTION("""COMPUTED_VALUE"""),"IDR")</f>
        <v>IDR</v>
      </c>
      <c r="I4586" s="6">
        <f>IFERROR(__xludf.DUMMYFUNCTION("""COMPUTED_VALUE"""),1750000.0)</f>
        <v>1750000</v>
      </c>
      <c r="J4586" s="6">
        <f>IFERROR(__xludf.DUMMYFUNCTION("""COMPUTED_VALUE"""),1750000.0)</f>
        <v>1750000</v>
      </c>
      <c r="K4586" s="57">
        <f>IFERROR(__xludf.DUMMYFUNCTION("""COMPUTED_VALUE"""),45996.0)</f>
        <v>45996</v>
      </c>
      <c r="L4586" s="6" t="str">
        <f>IFERROR(__xludf.DUMMYFUNCTION("""COMPUTED_VALUE"""),"FIP Engineering")</f>
        <v>FIP Engineering</v>
      </c>
      <c r="M4586" s="6" t="str">
        <f>IFERROR(__xludf.DUMMYFUNCTION("""COMPUTED_VALUE"""),"Mochammad Fadhillah Hakim,")</f>
        <v>Mochammad Fadhillah Hakim,</v>
      </c>
      <c r="N4586" s="6" t="str">
        <f>IFERROR(__xludf.DUMMYFUNCTION("""COMPUTED_VALUE"""),"FIP Engineering")</f>
        <v>FIP Engineering</v>
      </c>
      <c r="O4586" s="6" t="str">
        <f>IFERROR(__xludf.DUMMYFUNCTION("""COMPUTED_VALUE"""),"FIP-DOM-000-11304-OS00001-INA-000000")</f>
        <v>FIP-DOM-000-11304-OS00001-INA-000000</v>
      </c>
      <c r="P4586" s="6" t="str">
        <f>IFERROR(__xludf.DUMMYFUNCTION("""COMPUTED_VALUE"""),"PO Closed")</f>
        <v>PO Closed</v>
      </c>
      <c r="Q4586" s="6" t="str">
        <f>IFERROR(__xludf.DUMMYFUNCTION("""COMPUTED_VALUE"""),"GL2512331")</f>
        <v>GL2512331</v>
      </c>
      <c r="R4586" s="57">
        <f>IFERROR(__xludf.DUMMYFUNCTION("""COMPUTED_VALUE"""),45960.0)</f>
        <v>45960</v>
      </c>
      <c r="S4586" s="57">
        <f>IFERROR(__xludf.DUMMYFUNCTION("""COMPUTED_VALUE"""),45982.0)</f>
        <v>45982</v>
      </c>
      <c r="T4586" s="57">
        <f>IFERROR(__xludf.DUMMYFUNCTION("""COMPUTED_VALUE"""),46063.0)</f>
        <v>46063</v>
      </c>
    </row>
    <row r="4587">
      <c r="A4587" s="6" t="str">
        <f>IFERROR(__xludf.DUMMYFUNCTION("""COMPUTED_VALUE"""),"121703440-1")</f>
        <v>121703440-1</v>
      </c>
      <c r="B4587" s="6" t="str">
        <f>IFERROR(__xludf.DUMMYFUNCTION("""COMPUTED_VALUE"""),"121703440 - APPROVED")</f>
        <v>121703440 - APPROVED</v>
      </c>
      <c r="C4587" s="6">
        <f>IFERROR(__xludf.DUMMYFUNCTION("""COMPUTED_VALUE"""),1.0)</f>
        <v>1</v>
      </c>
      <c r="D4587" s="6" t="str">
        <f>IFERROR(__xludf.DUMMYFUNCTION("""COMPUTED_VALUE"""),"P-19206-00")</f>
        <v>P-19206-00</v>
      </c>
      <c r="E4587" s="6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F4587" s="6">
        <f>IFERROR(__xludf.DUMMYFUNCTION("""COMPUTED_VALUE"""),6.0)</f>
        <v>6</v>
      </c>
      <c r="G4587" s="6" t="str">
        <f>IFERROR(__xludf.DUMMYFUNCTION("""COMPUTED_VALUE"""),"Pieces")</f>
        <v>Pieces</v>
      </c>
      <c r="H4587" s="6" t="str">
        <f>IFERROR(__xludf.DUMMYFUNCTION("""COMPUTED_VALUE"""),"IDR")</f>
        <v>IDR</v>
      </c>
      <c r="I4587" s="6">
        <f>IFERROR(__xludf.DUMMYFUNCTION("""COMPUTED_VALUE"""),2800000.0)</f>
        <v>2800000</v>
      </c>
      <c r="J4587" s="6">
        <f>IFERROR(__xludf.DUMMYFUNCTION("""COMPUTED_VALUE"""),1.68E7)</f>
        <v>16800000</v>
      </c>
      <c r="K4587" s="57">
        <f>IFERROR(__xludf.DUMMYFUNCTION("""COMPUTED_VALUE"""),45996.0)</f>
        <v>45996</v>
      </c>
      <c r="L4587" s="6" t="str">
        <f>IFERROR(__xludf.DUMMYFUNCTION("""COMPUTED_VALUE"""),"FIP Engineering")</f>
        <v>FIP Engineering</v>
      </c>
      <c r="M4587" s="6" t="str">
        <f>IFERROR(__xludf.DUMMYFUNCTION("""COMPUTED_VALUE"""),"Mochammad Fadhillah Hakim,")</f>
        <v>Mochammad Fadhillah Hakim,</v>
      </c>
      <c r="N4587" s="6" t="str">
        <f>IFERROR(__xludf.DUMMYFUNCTION("""COMPUTED_VALUE"""),"FIP Engineering")</f>
        <v>FIP Engineering</v>
      </c>
      <c r="O4587" s="6" t="str">
        <f>IFERROR(__xludf.DUMMYFUNCTION("""COMPUTED_VALUE"""),"FIP-DOM-000-11304-OS00001-INA-000000")</f>
        <v>FIP-DOM-000-11304-OS00001-INA-000000</v>
      </c>
      <c r="P4587" s="6" t="str">
        <f>IFERROR(__xludf.DUMMYFUNCTION("""COMPUTED_VALUE"""),"PO Closed")</f>
        <v>PO Closed</v>
      </c>
      <c r="Q4587" s="6" t="str">
        <f>IFERROR(__xludf.DUMMYFUNCTION("""COMPUTED_VALUE"""),"GL2512030")</f>
        <v>GL2512030</v>
      </c>
      <c r="R4587" s="57">
        <f>IFERROR(__xludf.DUMMYFUNCTION("""COMPUTED_VALUE"""),45960.0)</f>
        <v>45960</v>
      </c>
      <c r="S4587" s="57">
        <f>IFERROR(__xludf.DUMMYFUNCTION("""COMPUTED_VALUE"""),45974.0)</f>
        <v>45974</v>
      </c>
      <c r="T4587" s="57">
        <f>IFERROR(__xludf.DUMMYFUNCTION("""COMPUTED_VALUE"""),46032.0)</f>
        <v>46032</v>
      </c>
    </row>
    <row r="4588">
      <c r="A4588" s="6" t="str">
        <f>IFERROR(__xludf.DUMMYFUNCTION("""COMPUTED_VALUE"""),"121703440-2")</f>
        <v>121703440-2</v>
      </c>
      <c r="B4588" s="6" t="str">
        <f>IFERROR(__xludf.DUMMYFUNCTION("""COMPUTED_VALUE"""),"121703440 - APPROVED")</f>
        <v>121703440 - APPROVED</v>
      </c>
      <c r="C4588" s="6">
        <f>IFERROR(__xludf.DUMMYFUNCTION("""COMPUTED_VALUE"""),2.0)</f>
        <v>2</v>
      </c>
      <c r="D4588" s="6" t="str">
        <f>IFERROR(__xludf.DUMMYFUNCTION("""COMPUTED_VALUE"""),"O-19386-00")</f>
        <v>O-19386-00</v>
      </c>
      <c r="E4588" s="6" t="str">
        <f>IFERROR(__xludf.DUMMYFUNCTION("""COMPUTED_VALUE"""),"HEPA FILTER 610 x 610 x 305 Class: H14 - 99,999%; Hencolin; ;")</f>
        <v>HEPA FILTER 610 x 610 x 305 Class: H14 - 99,999%; Hencolin; ;</v>
      </c>
      <c r="F4588" s="6">
        <f>IFERROR(__xludf.DUMMYFUNCTION("""COMPUTED_VALUE"""),2.0)</f>
        <v>2</v>
      </c>
      <c r="G4588" s="6" t="str">
        <f>IFERROR(__xludf.DUMMYFUNCTION("""COMPUTED_VALUE"""),"Pieces")</f>
        <v>Pieces</v>
      </c>
      <c r="H4588" s="6" t="str">
        <f>IFERROR(__xludf.DUMMYFUNCTION("""COMPUTED_VALUE"""),"IDR")</f>
        <v>IDR</v>
      </c>
      <c r="I4588" s="6">
        <f>IFERROR(__xludf.DUMMYFUNCTION("""COMPUTED_VALUE"""),2000000.0)</f>
        <v>2000000</v>
      </c>
      <c r="J4588" s="6">
        <f>IFERROR(__xludf.DUMMYFUNCTION("""COMPUTED_VALUE"""),4000000.0)</f>
        <v>4000000</v>
      </c>
      <c r="K4588" s="57">
        <f>IFERROR(__xludf.DUMMYFUNCTION("""COMPUTED_VALUE"""),45996.0)</f>
        <v>45996</v>
      </c>
      <c r="L4588" s="6" t="str">
        <f>IFERROR(__xludf.DUMMYFUNCTION("""COMPUTED_VALUE"""),"FIP Engineering")</f>
        <v>FIP Engineering</v>
      </c>
      <c r="M4588" s="6" t="str">
        <f>IFERROR(__xludf.DUMMYFUNCTION("""COMPUTED_VALUE"""),"Mochammad Fadhillah Hakim,")</f>
        <v>Mochammad Fadhillah Hakim,</v>
      </c>
      <c r="N4588" s="6" t="str">
        <f>IFERROR(__xludf.DUMMYFUNCTION("""COMPUTED_VALUE"""),"FIP Engineering")</f>
        <v>FIP Engineering</v>
      </c>
      <c r="O4588" s="6" t="str">
        <f>IFERROR(__xludf.DUMMYFUNCTION("""COMPUTED_VALUE"""),"FIP-DOM-000-11304-OS00001-INA-000000")</f>
        <v>FIP-DOM-000-11304-OS00001-INA-000000</v>
      </c>
      <c r="P4588" s="6" t="str">
        <f>IFERROR(__xludf.DUMMYFUNCTION("""COMPUTED_VALUE"""),"PO Closed")</f>
        <v>PO Closed</v>
      </c>
      <c r="Q4588" s="6" t="str">
        <f>IFERROR(__xludf.DUMMYFUNCTION("""COMPUTED_VALUE"""),"GL2512321")</f>
        <v>GL2512321</v>
      </c>
      <c r="R4588" s="57">
        <f>IFERROR(__xludf.DUMMYFUNCTION("""COMPUTED_VALUE"""),45960.0)</f>
        <v>45960</v>
      </c>
      <c r="S4588" s="57">
        <f>IFERROR(__xludf.DUMMYFUNCTION("""COMPUTED_VALUE"""),45974.0)</f>
        <v>45974</v>
      </c>
      <c r="T4588" s="57">
        <f>IFERROR(__xludf.DUMMYFUNCTION("""COMPUTED_VALUE"""),46053.0)</f>
        <v>46053</v>
      </c>
    </row>
    <row r="4589">
      <c r="A4589" s="6" t="str">
        <f>IFERROR(__xludf.DUMMYFUNCTION("""COMPUTED_VALUE"""),"121703440-3")</f>
        <v>121703440-3</v>
      </c>
      <c r="B4589" s="6" t="str">
        <f>IFERROR(__xludf.DUMMYFUNCTION("""COMPUTED_VALUE"""),"121703440 - APPROVED")</f>
        <v>121703440 - APPROVED</v>
      </c>
      <c r="C4589" s="6">
        <f>IFERROR(__xludf.DUMMYFUNCTION("""COMPUTED_VALUE"""),3.0)</f>
        <v>3</v>
      </c>
      <c r="D4589" s="6" t="str">
        <f>IFERROR(__xludf.DUMMYFUNCTION("""COMPUTED_VALUE"""),"O-19380-00")</f>
        <v>O-19380-00</v>
      </c>
      <c r="E4589" s="6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F4589" s="6">
        <f>IFERROR(__xludf.DUMMYFUNCTION("""COMPUTED_VALUE"""),1.0)</f>
        <v>1</v>
      </c>
      <c r="G4589" s="6" t="str">
        <f>IFERROR(__xludf.DUMMYFUNCTION("""COMPUTED_VALUE"""),"Pieces")</f>
        <v>Pieces</v>
      </c>
      <c r="H4589" s="6" t="str">
        <f>IFERROR(__xludf.DUMMYFUNCTION("""COMPUTED_VALUE"""),"IDR")</f>
        <v>IDR</v>
      </c>
      <c r="I4589" s="6">
        <f>IFERROR(__xludf.DUMMYFUNCTION("""COMPUTED_VALUE"""),2100000.0)</f>
        <v>2100000</v>
      </c>
      <c r="J4589" s="6">
        <f>IFERROR(__xludf.DUMMYFUNCTION("""COMPUTED_VALUE"""),2100000.0)</f>
        <v>2100000</v>
      </c>
      <c r="K4589" s="57">
        <f>IFERROR(__xludf.DUMMYFUNCTION("""COMPUTED_VALUE"""),45996.0)</f>
        <v>45996</v>
      </c>
      <c r="L4589" s="6" t="str">
        <f>IFERROR(__xludf.DUMMYFUNCTION("""COMPUTED_VALUE"""),"FIP Engineering")</f>
        <v>FIP Engineering</v>
      </c>
      <c r="M4589" s="6" t="str">
        <f>IFERROR(__xludf.DUMMYFUNCTION("""COMPUTED_VALUE"""),"Mochammad Fadhillah Hakim,")</f>
        <v>Mochammad Fadhillah Hakim,</v>
      </c>
      <c r="N4589" s="6" t="str">
        <f>IFERROR(__xludf.DUMMYFUNCTION("""COMPUTED_VALUE"""),"FIP Engineering")</f>
        <v>FIP Engineering</v>
      </c>
      <c r="O4589" s="6" t="str">
        <f>IFERROR(__xludf.DUMMYFUNCTION("""COMPUTED_VALUE"""),"FIP-DOM-000-11304-OS00001-INA-000000")</f>
        <v>FIP-DOM-000-11304-OS00001-INA-000000</v>
      </c>
      <c r="P4589" s="6" t="str">
        <f>IFERROR(__xludf.DUMMYFUNCTION("""COMPUTED_VALUE"""),"PO Closed")</f>
        <v>PO Closed</v>
      </c>
      <c r="Q4589" s="6" t="str">
        <f>IFERROR(__xludf.DUMMYFUNCTION("""COMPUTED_VALUE"""),"GL2512321")</f>
        <v>GL2512321</v>
      </c>
      <c r="R4589" s="57">
        <f>IFERROR(__xludf.DUMMYFUNCTION("""COMPUTED_VALUE"""),45960.0)</f>
        <v>45960</v>
      </c>
      <c r="S4589" s="57">
        <f>IFERROR(__xludf.DUMMYFUNCTION("""COMPUTED_VALUE"""),45974.0)</f>
        <v>45974</v>
      </c>
      <c r="T4589" s="57">
        <f>IFERROR(__xludf.DUMMYFUNCTION("""COMPUTED_VALUE"""),46053.0)</f>
        <v>46053</v>
      </c>
    </row>
    <row r="4590">
      <c r="A4590" s="6" t="str">
        <f>IFERROR(__xludf.DUMMYFUNCTION("""COMPUTED_VALUE"""),"121703441-1")</f>
        <v>121703441-1</v>
      </c>
      <c r="B4590" s="6" t="str">
        <f>IFERROR(__xludf.DUMMYFUNCTION("""COMPUTED_VALUE"""),"121703441 - APPROVED")</f>
        <v>121703441 - APPROVED</v>
      </c>
      <c r="C4590" s="6">
        <f>IFERROR(__xludf.DUMMYFUNCTION("""COMPUTED_VALUE"""),1.0)</f>
        <v>1</v>
      </c>
      <c r="D4590" s="6" t="str">
        <f>IFERROR(__xludf.DUMMYFUNCTION("""COMPUTED_VALUE"""),"P-13787-00")</f>
        <v>P-13787-00</v>
      </c>
      <c r="E4590" s="6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F4590" s="6">
        <f>IFERROR(__xludf.DUMMYFUNCTION("""COMPUTED_VALUE"""),1.0)</f>
        <v>1</v>
      </c>
      <c r="G4590" s="6" t="str">
        <f>IFERROR(__xludf.DUMMYFUNCTION("""COMPUTED_VALUE"""),"Pieces")</f>
        <v>Pieces</v>
      </c>
      <c r="H4590" s="6" t="str">
        <f>IFERROR(__xludf.DUMMYFUNCTION("""COMPUTED_VALUE"""),"IDR")</f>
        <v>IDR</v>
      </c>
      <c r="I4590" s="6">
        <f>IFERROR(__xludf.DUMMYFUNCTION("""COMPUTED_VALUE"""),1900000.0)</f>
        <v>1900000</v>
      </c>
      <c r="J4590" s="6">
        <f>IFERROR(__xludf.DUMMYFUNCTION("""COMPUTED_VALUE"""),1900000.0)</f>
        <v>1900000</v>
      </c>
      <c r="K4590" s="57">
        <f>IFERROR(__xludf.DUMMYFUNCTION("""COMPUTED_VALUE"""),45996.0)</f>
        <v>45996</v>
      </c>
      <c r="L4590" s="6" t="str">
        <f>IFERROR(__xludf.DUMMYFUNCTION("""COMPUTED_VALUE"""),"FIP Engineering")</f>
        <v>FIP Engineering</v>
      </c>
      <c r="M4590" s="6" t="str">
        <f>IFERROR(__xludf.DUMMYFUNCTION("""COMPUTED_VALUE"""),"Mochammad Fadhillah Hakim,")</f>
        <v>Mochammad Fadhillah Hakim,</v>
      </c>
      <c r="N4590" s="6" t="str">
        <f>IFERROR(__xludf.DUMMYFUNCTION("""COMPUTED_VALUE"""),"FIP Engineering")</f>
        <v>FIP Engineering</v>
      </c>
      <c r="O4590" s="6" t="str">
        <f>IFERROR(__xludf.DUMMYFUNCTION("""COMPUTED_VALUE"""),"FIP-DOM-000-11304-OS00001-INA-000000")</f>
        <v>FIP-DOM-000-11304-OS00001-INA-000000</v>
      </c>
      <c r="P4590" s="6" t="str">
        <f>IFERROR(__xludf.DUMMYFUNCTION("""COMPUTED_VALUE"""),"PO Closed")</f>
        <v>PO Closed</v>
      </c>
      <c r="Q4590" s="6" t="str">
        <f>IFERROR(__xludf.DUMMYFUNCTION("""COMPUTED_VALUE"""),"GL2512030")</f>
        <v>GL2512030</v>
      </c>
      <c r="R4590" s="57">
        <f>IFERROR(__xludf.DUMMYFUNCTION("""COMPUTED_VALUE"""),45960.0)</f>
        <v>45960</v>
      </c>
      <c r="S4590" s="57">
        <f>IFERROR(__xludf.DUMMYFUNCTION("""COMPUTED_VALUE"""),45982.0)</f>
        <v>45982</v>
      </c>
      <c r="T4590" s="57">
        <f>IFERROR(__xludf.DUMMYFUNCTION("""COMPUTED_VALUE"""),46032.0)</f>
        <v>46032</v>
      </c>
    </row>
    <row r="4591">
      <c r="A4591" s="6" t="str">
        <f>IFERROR(__xludf.DUMMYFUNCTION("""COMPUTED_VALUE"""),"121703442-1")</f>
        <v>121703442-1</v>
      </c>
      <c r="B4591" s="6" t="str">
        <f>IFERROR(__xludf.DUMMYFUNCTION("""COMPUTED_VALUE"""),"121703442 - APPROVED")</f>
        <v>121703442 - APPROVED</v>
      </c>
      <c r="C4591" s="6">
        <f>IFERROR(__xludf.DUMMYFUNCTION("""COMPUTED_VALUE"""),1.0)</f>
        <v>1</v>
      </c>
      <c r="D4591" s="6" t="str">
        <f>IFERROR(__xludf.DUMMYFUNCTION("""COMPUTED_VALUE"""),"O-52841-00")</f>
        <v>O-52841-00</v>
      </c>
      <c r="E4591" s="6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F4591" s="6">
        <f>IFERROR(__xludf.DUMMYFUNCTION("""COMPUTED_VALUE"""),2.0)</f>
        <v>2</v>
      </c>
      <c r="G4591" s="6" t="str">
        <f>IFERROR(__xludf.DUMMYFUNCTION("""COMPUTED_VALUE"""),"Pieces")</f>
        <v>Pieces</v>
      </c>
      <c r="H4591" s="6" t="str">
        <f>IFERROR(__xludf.DUMMYFUNCTION("""COMPUTED_VALUE"""),"IDR")</f>
        <v>IDR</v>
      </c>
      <c r="I4591" s="6">
        <f>IFERROR(__xludf.DUMMYFUNCTION("""COMPUTED_VALUE"""),1421019.0)</f>
        <v>1421019</v>
      </c>
      <c r="J4591" s="6">
        <f>IFERROR(__xludf.DUMMYFUNCTION("""COMPUTED_VALUE"""),2842038.0)</f>
        <v>2842038</v>
      </c>
      <c r="K4591" s="57">
        <f>IFERROR(__xludf.DUMMYFUNCTION("""COMPUTED_VALUE"""),46052.0)</f>
        <v>46052</v>
      </c>
      <c r="L4591" s="6" t="str">
        <f>IFERROR(__xludf.DUMMYFUNCTION("""COMPUTED_VALUE"""),"FIP Engineering")</f>
        <v>FIP Engineering</v>
      </c>
      <c r="M4591" s="6" t="str">
        <f>IFERROR(__xludf.DUMMYFUNCTION("""COMPUTED_VALUE"""),"Mochammad Fadhillah Hakim,")</f>
        <v>Mochammad Fadhillah Hakim,</v>
      </c>
      <c r="N4591" s="6" t="str">
        <f>IFERROR(__xludf.DUMMYFUNCTION("""COMPUTED_VALUE"""),"FIP Engineering")</f>
        <v>FIP Engineering</v>
      </c>
      <c r="O4591" s="6" t="str">
        <f>IFERROR(__xludf.DUMMYFUNCTION("""COMPUTED_VALUE"""),"FIP-DOM-000-11304-OS00001-INA-000000")</f>
        <v>FIP-DOM-000-11304-OS00001-INA-000000</v>
      </c>
      <c r="P4591" s="6" t="str">
        <f>IFERROR(__xludf.DUMMYFUNCTION("""COMPUTED_VALUE"""),"PO Closed")</f>
        <v>PO Closed</v>
      </c>
      <c r="Q4591" s="6" t="str">
        <f>IFERROR(__xludf.DUMMYFUNCTION("""COMPUTED_VALUE"""),"GL2511035")</f>
        <v>GL2511035</v>
      </c>
      <c r="R4591" s="57">
        <f>IFERROR(__xludf.DUMMYFUNCTION("""COMPUTED_VALUE"""),45960.0)</f>
        <v>45960</v>
      </c>
      <c r="S4591" s="57">
        <f>IFERROR(__xludf.DUMMYFUNCTION("""COMPUTED_VALUE"""),45965.0)</f>
        <v>45965</v>
      </c>
      <c r="T4591" s="57">
        <f>IFERROR(__xludf.DUMMYFUNCTION("""COMPUTED_VALUE"""),46063.0)</f>
        <v>46063</v>
      </c>
    </row>
    <row r="4592">
      <c r="A4592" s="6" t="str">
        <f>IFERROR(__xludf.DUMMYFUNCTION("""COMPUTED_VALUE"""),"121703443-1")</f>
        <v>121703443-1</v>
      </c>
      <c r="B4592" s="6" t="str">
        <f>IFERROR(__xludf.DUMMYFUNCTION("""COMPUTED_VALUE"""),"121703443 - APPROVED")</f>
        <v>121703443 - APPROVED</v>
      </c>
      <c r="C4592" s="6">
        <f>IFERROR(__xludf.DUMMYFUNCTION("""COMPUTED_VALUE"""),1.0)</f>
        <v>1</v>
      </c>
      <c r="D4592" s="6" t="str">
        <f>IFERROR(__xludf.DUMMYFUNCTION("""COMPUTED_VALUE"""),"O-53476-00")</f>
        <v>O-53476-00</v>
      </c>
      <c r="E4592" s="6" t="str">
        <f>IFERROR(__xludf.DUMMYFUNCTION("""COMPUTED_VALUE"""),"Tunnel ST1L - High Precision Optical Fiber; Omron; E32T61S5M; ; ; 1 Pc")</f>
        <v>Tunnel ST1L - High Precision Optical Fiber; Omron; E32T61S5M; ; ; 1 Pc</v>
      </c>
      <c r="F4592" s="6">
        <f>IFERROR(__xludf.DUMMYFUNCTION("""COMPUTED_VALUE"""),1.0)</f>
        <v>1</v>
      </c>
      <c r="G4592" s="6" t="str">
        <f>IFERROR(__xludf.DUMMYFUNCTION("""COMPUTED_VALUE"""),"Pieces")</f>
        <v>Pieces</v>
      </c>
      <c r="H4592" s="6" t="str">
        <f>IFERROR(__xludf.DUMMYFUNCTION("""COMPUTED_VALUE"""),"IDR")</f>
        <v>IDR</v>
      </c>
      <c r="I4592" s="6">
        <f>IFERROR(__xludf.DUMMYFUNCTION("""COMPUTED_VALUE"""),1.4217E7)</f>
        <v>14217000</v>
      </c>
      <c r="J4592" s="6">
        <f>IFERROR(__xludf.DUMMYFUNCTION("""COMPUTED_VALUE"""),1.4217E7)</f>
        <v>14217000</v>
      </c>
      <c r="K4592" s="57">
        <f>IFERROR(__xludf.DUMMYFUNCTION("""COMPUTED_VALUE"""),45996.0)</f>
        <v>45996</v>
      </c>
      <c r="L4592" s="6" t="str">
        <f>IFERROR(__xludf.DUMMYFUNCTION("""COMPUTED_VALUE"""),"FIP Engineering")</f>
        <v>FIP Engineering</v>
      </c>
      <c r="M4592" s="6" t="str">
        <f>IFERROR(__xludf.DUMMYFUNCTION("""COMPUTED_VALUE"""),"Mochammad Fadhillah Hakim,")</f>
        <v>Mochammad Fadhillah Hakim,</v>
      </c>
      <c r="N4592" s="6" t="str">
        <f>IFERROR(__xludf.DUMMYFUNCTION("""COMPUTED_VALUE"""),"FIP Engineering")</f>
        <v>FIP Engineering</v>
      </c>
      <c r="O4592" s="6" t="str">
        <f>IFERROR(__xludf.DUMMYFUNCTION("""COMPUTED_VALUE"""),"FIP-DOM-000-11304-OS00001-INA-000000")</f>
        <v>FIP-DOM-000-11304-OS00001-INA-000000</v>
      </c>
      <c r="P4592" s="6" t="str">
        <f>IFERROR(__xludf.DUMMYFUNCTION("""COMPUTED_VALUE"""),"PO Closed")</f>
        <v>PO Closed</v>
      </c>
      <c r="Q4592" s="6" t="str">
        <f>IFERROR(__xludf.DUMMYFUNCTION("""COMPUTED_VALUE"""),"GL2511300")</f>
        <v>GL2511300</v>
      </c>
      <c r="R4592" s="57">
        <f>IFERROR(__xludf.DUMMYFUNCTION("""COMPUTED_VALUE"""),45960.0)</f>
        <v>45960</v>
      </c>
      <c r="S4592" s="57">
        <f>IFERROR(__xludf.DUMMYFUNCTION("""COMPUTED_VALUE"""),45965.0)</f>
        <v>45965</v>
      </c>
      <c r="T4592" s="57">
        <f>IFERROR(__xludf.DUMMYFUNCTION("""COMPUTED_VALUE"""),46117.0)</f>
        <v>46117</v>
      </c>
    </row>
    <row r="4593">
      <c r="A4593" s="6" t="str">
        <f>IFERROR(__xludf.DUMMYFUNCTION("""COMPUTED_VALUE"""),"121703443-2")</f>
        <v>121703443-2</v>
      </c>
      <c r="B4593" s="6" t="str">
        <f>IFERROR(__xludf.DUMMYFUNCTION("""COMPUTED_VALUE"""),"121703443 - APPROVED")</f>
        <v>121703443 - APPROVED</v>
      </c>
      <c r="C4593" s="6">
        <f>IFERROR(__xludf.DUMMYFUNCTION("""COMPUTED_VALUE"""),2.0)</f>
        <v>2</v>
      </c>
      <c r="D4593" s="6" t="str">
        <f>IFERROR(__xludf.DUMMYFUNCTION("""COMPUTED_VALUE"""),"O-53480-00")</f>
        <v>O-53480-00</v>
      </c>
      <c r="E4593" s="6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F4593" s="6">
        <f>IFERROR(__xludf.DUMMYFUNCTION("""COMPUTED_VALUE"""),1.0)</f>
        <v>1</v>
      </c>
      <c r="G4593" s="6" t="str">
        <f>IFERROR(__xludf.DUMMYFUNCTION("""COMPUTED_VALUE"""),"Pieces")</f>
        <v>Pieces</v>
      </c>
      <c r="H4593" s="6" t="str">
        <f>IFERROR(__xludf.DUMMYFUNCTION("""COMPUTED_VALUE"""),"IDR")</f>
        <v>IDR</v>
      </c>
      <c r="I4593" s="6">
        <f>IFERROR(__xludf.DUMMYFUNCTION("""COMPUTED_VALUE"""),630000.0)</f>
        <v>630000</v>
      </c>
      <c r="J4593" s="6">
        <f>IFERROR(__xludf.DUMMYFUNCTION("""COMPUTED_VALUE"""),630000.0)</f>
        <v>630000</v>
      </c>
      <c r="K4593" s="57">
        <f>IFERROR(__xludf.DUMMYFUNCTION("""COMPUTED_VALUE"""),45996.0)</f>
        <v>45996</v>
      </c>
      <c r="L4593" s="6" t="str">
        <f>IFERROR(__xludf.DUMMYFUNCTION("""COMPUTED_VALUE"""),"FIP Engineering")</f>
        <v>FIP Engineering</v>
      </c>
      <c r="M4593" s="6" t="str">
        <f>IFERROR(__xludf.DUMMYFUNCTION("""COMPUTED_VALUE"""),"Mochammad Fadhillah Hakim,")</f>
        <v>Mochammad Fadhillah Hakim,</v>
      </c>
      <c r="N4593" s="6" t="str">
        <f>IFERROR(__xludf.DUMMYFUNCTION("""COMPUTED_VALUE"""),"FIP Engineering")</f>
        <v>FIP Engineering</v>
      </c>
      <c r="O4593" s="6" t="str">
        <f>IFERROR(__xludf.DUMMYFUNCTION("""COMPUTED_VALUE"""),"FIP-DOM-000-11304-OS00001-INA-000000")</f>
        <v>FIP-DOM-000-11304-OS00001-INA-000000</v>
      </c>
      <c r="P4593" s="6" t="str">
        <f>IFERROR(__xludf.DUMMYFUNCTION("""COMPUTED_VALUE"""),"PO Closed")</f>
        <v>PO Closed</v>
      </c>
      <c r="Q4593" s="6" t="str">
        <f>IFERROR(__xludf.DUMMYFUNCTION("""COMPUTED_VALUE"""),"GL2511300")</f>
        <v>GL2511300</v>
      </c>
      <c r="R4593" s="57">
        <f>IFERROR(__xludf.DUMMYFUNCTION("""COMPUTED_VALUE"""),45960.0)</f>
        <v>45960</v>
      </c>
      <c r="S4593" s="57">
        <f>IFERROR(__xludf.DUMMYFUNCTION("""COMPUTED_VALUE"""),45965.0)</f>
        <v>45965</v>
      </c>
      <c r="T4593" s="57">
        <f>IFERROR(__xludf.DUMMYFUNCTION("""COMPUTED_VALUE"""),46003.0)</f>
        <v>46003</v>
      </c>
    </row>
    <row r="4594">
      <c r="A4594" s="6" t="str">
        <f>IFERROR(__xludf.DUMMYFUNCTION("""COMPUTED_VALUE"""),"121703443-3")</f>
        <v>121703443-3</v>
      </c>
      <c r="B4594" s="6" t="str">
        <f>IFERROR(__xludf.DUMMYFUNCTION("""COMPUTED_VALUE"""),"121703443 - APPROVED")</f>
        <v>121703443 - APPROVED</v>
      </c>
      <c r="C4594" s="6">
        <f>IFERROR(__xludf.DUMMYFUNCTION("""COMPUTED_VALUE"""),3.0)</f>
        <v>3</v>
      </c>
      <c r="D4594" s="6" t="str">
        <f>IFERROR(__xludf.DUMMYFUNCTION("""COMPUTED_VALUE"""),"O-53477-00")</f>
        <v>O-53477-00</v>
      </c>
      <c r="E4594" s="6" t="str">
        <f>IFERROR(__xludf.DUMMYFUNCTION("""COMPUTED_VALUE"""),"Tunnel ST1L - Lens For Optic Fibers; Omron; E39F1; ; ; 1 Pc")</f>
        <v>Tunnel ST1L - Lens For Optic Fibers; Omron; E39F1; ; ; 1 Pc</v>
      </c>
      <c r="F4594" s="6">
        <f>IFERROR(__xludf.DUMMYFUNCTION("""COMPUTED_VALUE"""),1.0)</f>
        <v>1</v>
      </c>
      <c r="G4594" s="6" t="str">
        <f>IFERROR(__xludf.DUMMYFUNCTION("""COMPUTED_VALUE"""),"Pieces")</f>
        <v>Pieces</v>
      </c>
      <c r="H4594" s="6" t="str">
        <f>IFERROR(__xludf.DUMMYFUNCTION("""COMPUTED_VALUE"""),"IDR")</f>
        <v>IDR</v>
      </c>
      <c r="I4594" s="6">
        <f>IFERROR(__xludf.DUMMYFUNCTION("""COMPUTED_VALUE"""),261000.0)</f>
        <v>261000</v>
      </c>
      <c r="J4594" s="6">
        <f>IFERROR(__xludf.DUMMYFUNCTION("""COMPUTED_VALUE"""),261000.0)</f>
        <v>261000</v>
      </c>
      <c r="K4594" s="57">
        <f>IFERROR(__xludf.DUMMYFUNCTION("""COMPUTED_VALUE"""),45996.0)</f>
        <v>45996</v>
      </c>
      <c r="L4594" s="6" t="str">
        <f>IFERROR(__xludf.DUMMYFUNCTION("""COMPUTED_VALUE"""),"FIP Engineering")</f>
        <v>FIP Engineering</v>
      </c>
      <c r="M4594" s="6" t="str">
        <f>IFERROR(__xludf.DUMMYFUNCTION("""COMPUTED_VALUE"""),"Mochammad Fadhillah Hakim,")</f>
        <v>Mochammad Fadhillah Hakim,</v>
      </c>
      <c r="N4594" s="6" t="str">
        <f>IFERROR(__xludf.DUMMYFUNCTION("""COMPUTED_VALUE"""),"FIP Engineering")</f>
        <v>FIP Engineering</v>
      </c>
      <c r="O4594" s="6" t="str">
        <f>IFERROR(__xludf.DUMMYFUNCTION("""COMPUTED_VALUE"""),"FIP-DOM-000-11304-OS00001-INA-000000")</f>
        <v>FIP-DOM-000-11304-OS00001-INA-000000</v>
      </c>
      <c r="P4594" s="6" t="str">
        <f>IFERROR(__xludf.DUMMYFUNCTION("""COMPUTED_VALUE"""),"PO Closed")</f>
        <v>PO Closed</v>
      </c>
      <c r="Q4594" s="6" t="str">
        <f>IFERROR(__xludf.DUMMYFUNCTION("""COMPUTED_VALUE"""),"GL2511300")</f>
        <v>GL2511300</v>
      </c>
      <c r="R4594" s="57">
        <f>IFERROR(__xludf.DUMMYFUNCTION("""COMPUTED_VALUE"""),45960.0)</f>
        <v>45960</v>
      </c>
      <c r="S4594" s="57">
        <f>IFERROR(__xludf.DUMMYFUNCTION("""COMPUTED_VALUE"""),45965.0)</f>
        <v>45965</v>
      </c>
      <c r="T4594" s="57">
        <f>IFERROR(__xludf.DUMMYFUNCTION("""COMPUTED_VALUE"""),46003.0)</f>
        <v>46003</v>
      </c>
    </row>
    <row r="4595">
      <c r="A4595" s="6" t="str">
        <f>IFERROR(__xludf.DUMMYFUNCTION("""COMPUTED_VALUE"""),"121703444-1")</f>
        <v>121703444-1</v>
      </c>
      <c r="B4595" s="6" t="str">
        <f>IFERROR(__xludf.DUMMYFUNCTION("""COMPUTED_VALUE"""),"121703444 - APPROVED")</f>
        <v>121703444 - APPROVED</v>
      </c>
      <c r="C4595" s="6">
        <f>IFERROR(__xludf.DUMMYFUNCTION("""COMPUTED_VALUE"""),1.0)</f>
        <v>1</v>
      </c>
      <c r="D4595" s="6" t="str">
        <f>IFERROR(__xludf.DUMMYFUNCTION("""COMPUTED_VALUE"""),"O-53439-00")</f>
        <v>O-53439-00</v>
      </c>
      <c r="E4595" s="6" t="str">
        <f>IFERROR(__xludf.DUMMYFUNCTION("""COMPUTED_VALUE"""),"General - Photoelectric Fiber Sensor Head; Keyence; FU-7F; 1 Pc")</f>
        <v>General - Photoelectric Fiber Sensor Head; Keyence; FU-7F; 1 Pc</v>
      </c>
      <c r="F4595" s="6">
        <f>IFERROR(__xludf.DUMMYFUNCTION("""COMPUTED_VALUE"""),1.0)</f>
        <v>1</v>
      </c>
      <c r="G4595" s="6" t="str">
        <f>IFERROR(__xludf.DUMMYFUNCTION("""COMPUTED_VALUE"""),"Pieces")</f>
        <v>Pieces</v>
      </c>
      <c r="H4595" s="6" t="str">
        <f>IFERROR(__xludf.DUMMYFUNCTION("""COMPUTED_VALUE"""),"IDR")</f>
        <v>IDR</v>
      </c>
      <c r="I4595" s="6">
        <f>IFERROR(__xludf.DUMMYFUNCTION("""COMPUTED_VALUE"""),710000.0)</f>
        <v>710000</v>
      </c>
      <c r="J4595" s="6">
        <f>IFERROR(__xludf.DUMMYFUNCTION("""COMPUTED_VALUE"""),710000.0)</f>
        <v>710000</v>
      </c>
      <c r="K4595" s="57">
        <f>IFERROR(__xludf.DUMMYFUNCTION("""COMPUTED_VALUE"""),45996.0)</f>
        <v>45996</v>
      </c>
      <c r="L4595" s="6" t="str">
        <f>IFERROR(__xludf.DUMMYFUNCTION("""COMPUTED_VALUE"""),"FIP Engineering")</f>
        <v>FIP Engineering</v>
      </c>
      <c r="M4595" s="6" t="str">
        <f>IFERROR(__xludf.DUMMYFUNCTION("""COMPUTED_VALUE"""),"Mochammad Fadhillah Hakim,")</f>
        <v>Mochammad Fadhillah Hakim,</v>
      </c>
      <c r="N4595" s="6" t="str">
        <f>IFERROR(__xludf.DUMMYFUNCTION("""COMPUTED_VALUE"""),"FIP Engineering")</f>
        <v>FIP Engineering</v>
      </c>
      <c r="O4595" s="6" t="str">
        <f>IFERROR(__xludf.DUMMYFUNCTION("""COMPUTED_VALUE"""),"FIP-DOM-000-11304-OS00001-INA-000000")</f>
        <v>FIP-DOM-000-11304-OS00001-INA-000000</v>
      </c>
      <c r="P4595" s="6" t="str">
        <f>IFERROR(__xludf.DUMMYFUNCTION("""COMPUTED_VALUE"""),"PO Closed")</f>
        <v>PO Closed</v>
      </c>
      <c r="Q4595" s="6" t="str">
        <f>IFERROR(__xludf.DUMMYFUNCTION("""COMPUTED_VALUE"""),"GL2511302")</f>
        <v>GL2511302</v>
      </c>
      <c r="R4595" s="57">
        <f>IFERROR(__xludf.DUMMYFUNCTION("""COMPUTED_VALUE"""),45960.0)</f>
        <v>45960</v>
      </c>
      <c r="S4595" s="57">
        <f>IFERROR(__xludf.DUMMYFUNCTION("""COMPUTED_VALUE"""),45965.0)</f>
        <v>45965</v>
      </c>
      <c r="T4595" s="57">
        <f>IFERROR(__xludf.DUMMYFUNCTION("""COMPUTED_VALUE"""),46008.0)</f>
        <v>46008</v>
      </c>
    </row>
    <row r="4596">
      <c r="A4596" s="6" t="str">
        <f>IFERROR(__xludf.DUMMYFUNCTION("""COMPUTED_VALUE"""),"121703449-1")</f>
        <v>121703449-1</v>
      </c>
      <c r="B4596" s="6" t="str">
        <f>IFERROR(__xludf.DUMMYFUNCTION("""COMPUTED_VALUE"""),"121703449 - APPROVED")</f>
        <v>121703449 - APPROVED</v>
      </c>
      <c r="C4596" s="6">
        <f>IFERROR(__xludf.DUMMYFUNCTION("""COMPUTED_VALUE"""),1.0)</f>
        <v>1</v>
      </c>
      <c r="D4596" s="6" t="str">
        <f>IFERROR(__xludf.DUMMYFUNCTION("""COMPUTED_VALUE"""),"P-53382-00")</f>
        <v>P-53382-00</v>
      </c>
      <c r="E4596" s="6" t="str">
        <f>IFERROR(__xludf.DUMMYFUNCTION("""COMPUTED_VALUE"""),"General - Exhaust Fan; KDK; 24CDQNA; 1 unit")</f>
        <v>General - Exhaust Fan; KDK; 24CDQNA; 1 unit</v>
      </c>
      <c r="F4596" s="6">
        <f>IFERROR(__xludf.DUMMYFUNCTION("""COMPUTED_VALUE"""),1.0)</f>
        <v>1</v>
      </c>
      <c r="G4596" s="6" t="str">
        <f>IFERROR(__xludf.DUMMYFUNCTION("""COMPUTED_VALUE"""),"Unit")</f>
        <v>Unit</v>
      </c>
      <c r="H4596" s="6" t="str">
        <f>IFERROR(__xludf.DUMMYFUNCTION("""COMPUTED_VALUE"""),"IDR")</f>
        <v>IDR</v>
      </c>
      <c r="I4596" s="6">
        <f>IFERROR(__xludf.DUMMYFUNCTION("""COMPUTED_VALUE"""),850000.0)</f>
        <v>850000</v>
      </c>
      <c r="J4596" s="6">
        <f>IFERROR(__xludf.DUMMYFUNCTION("""COMPUTED_VALUE"""),850000.0)</f>
        <v>850000</v>
      </c>
      <c r="K4596" s="57">
        <f>IFERROR(__xludf.DUMMYFUNCTION("""COMPUTED_VALUE"""),45996.0)</f>
        <v>45996</v>
      </c>
      <c r="L4596" s="6" t="str">
        <f>IFERROR(__xludf.DUMMYFUNCTION("""COMPUTED_VALUE"""),"FIP Engineering")</f>
        <v>FIP Engineering</v>
      </c>
      <c r="M4596" s="6" t="str">
        <f>IFERROR(__xludf.DUMMYFUNCTION("""COMPUTED_VALUE"""),"Mochammad Fadhillah Hakim,")</f>
        <v>Mochammad Fadhillah Hakim,</v>
      </c>
      <c r="N4596" s="6" t="str">
        <f>IFERROR(__xludf.DUMMYFUNCTION("""COMPUTED_VALUE"""),"FIP Engineering")</f>
        <v>FIP Engineering</v>
      </c>
      <c r="O4596" s="6" t="str">
        <f>IFERROR(__xludf.DUMMYFUNCTION("""COMPUTED_VALUE"""),"FIP-DOM-000-11304-OS00001-INA-000000")</f>
        <v>FIP-DOM-000-11304-OS00001-INA-000000</v>
      </c>
      <c r="P4596" s="6" t="str">
        <f>IFERROR(__xludf.DUMMYFUNCTION("""COMPUTED_VALUE"""),"PO Closed")</f>
        <v>PO Closed</v>
      </c>
      <c r="Q4596" s="6" t="str">
        <f>IFERROR(__xludf.DUMMYFUNCTION("""COMPUTED_VALUE"""),"GL2511311")</f>
        <v>GL2511311</v>
      </c>
      <c r="R4596" s="57">
        <f>IFERROR(__xludf.DUMMYFUNCTION("""COMPUTED_VALUE"""),45965.0)</f>
        <v>45965</v>
      </c>
      <c r="S4596" s="57">
        <f>IFERROR(__xludf.DUMMYFUNCTION("""COMPUTED_VALUE"""),45965.0)</f>
        <v>45965</v>
      </c>
      <c r="T4596" s="57">
        <f>IFERROR(__xludf.DUMMYFUNCTION("""COMPUTED_VALUE"""),46042.0)</f>
        <v>46042</v>
      </c>
    </row>
    <row r="4597">
      <c r="A4597" s="6" t="str">
        <f>IFERROR(__xludf.DUMMYFUNCTION("""COMPUTED_VALUE"""),"121703450-1")</f>
        <v>121703450-1</v>
      </c>
      <c r="B4597" s="6" t="str">
        <f>IFERROR(__xludf.DUMMYFUNCTION("""COMPUTED_VALUE"""),"121703450 - APPROVED")</f>
        <v>121703450 - APPROVED</v>
      </c>
      <c r="C4597" s="6">
        <f>IFERROR(__xludf.DUMMYFUNCTION("""COMPUTED_VALUE"""),1.0)</f>
        <v>1</v>
      </c>
      <c r="D4597" s="6" t="str">
        <f>IFERROR(__xludf.DUMMYFUNCTION("""COMPUTED_VALUE"""),"P-53169-00")</f>
        <v>P-53169-00</v>
      </c>
      <c r="E4597" s="6" t="str">
        <f>IFERROR(__xludf.DUMMYFUNCTION("""COMPUTED_VALUE"""),"Ballast Electronic EB-C 228 TL5, 2x28W; Phillips; ;")</f>
        <v>Ballast Electronic EB-C 228 TL5, 2x28W; Phillips; ;</v>
      </c>
      <c r="F4597" s="6">
        <f>IFERROR(__xludf.DUMMYFUNCTION("""COMPUTED_VALUE"""),20.0)</f>
        <v>20</v>
      </c>
      <c r="G4597" s="6" t="str">
        <f>IFERROR(__xludf.DUMMYFUNCTION("""COMPUTED_VALUE"""),"Pieces")</f>
        <v>Pieces</v>
      </c>
      <c r="H4597" s="6" t="str">
        <f>IFERROR(__xludf.DUMMYFUNCTION("""COMPUTED_VALUE"""),"IDR")</f>
        <v>IDR</v>
      </c>
      <c r="I4597" s="6">
        <f>IFERROR(__xludf.DUMMYFUNCTION("""COMPUTED_VALUE"""),165000.0)</f>
        <v>165000</v>
      </c>
      <c r="J4597" s="6">
        <f>IFERROR(__xludf.DUMMYFUNCTION("""COMPUTED_VALUE"""),3300000.0)</f>
        <v>3300000</v>
      </c>
      <c r="K4597" s="57">
        <f>IFERROR(__xludf.DUMMYFUNCTION("""COMPUTED_VALUE"""),45996.0)</f>
        <v>45996</v>
      </c>
      <c r="L4597" s="6" t="str">
        <f>IFERROR(__xludf.DUMMYFUNCTION("""COMPUTED_VALUE"""),"FIP Engineering")</f>
        <v>FIP Engineering</v>
      </c>
      <c r="M4597" s="6" t="str">
        <f>IFERROR(__xludf.DUMMYFUNCTION("""COMPUTED_VALUE"""),"Mochammad Fadhillah Hakim,")</f>
        <v>Mochammad Fadhillah Hakim,</v>
      </c>
      <c r="N4597" s="6" t="str">
        <f>IFERROR(__xludf.DUMMYFUNCTION("""COMPUTED_VALUE"""),"FIP Engineering")</f>
        <v>FIP Engineering</v>
      </c>
      <c r="O4597" s="6" t="str">
        <f>IFERROR(__xludf.DUMMYFUNCTION("""COMPUTED_VALUE"""),"FIP-DOM-000-11304-OS00001-INA-000000")</f>
        <v>FIP-DOM-000-11304-OS00001-INA-000000</v>
      </c>
      <c r="P4597" s="6" t="str">
        <f>IFERROR(__xludf.DUMMYFUNCTION("""COMPUTED_VALUE"""),"PO Closed")</f>
        <v>PO Closed</v>
      </c>
      <c r="Q4597" s="6" t="str">
        <f>IFERROR(__xludf.DUMMYFUNCTION("""COMPUTED_VALUE"""),"GL2512325")</f>
        <v>GL2512325</v>
      </c>
      <c r="R4597" s="57">
        <f>IFERROR(__xludf.DUMMYFUNCTION("""COMPUTED_VALUE"""),45965.0)</f>
        <v>45965</v>
      </c>
      <c r="S4597" s="57">
        <f>IFERROR(__xludf.DUMMYFUNCTION("""COMPUTED_VALUE"""),45982.0)</f>
        <v>45982</v>
      </c>
      <c r="T4597" s="57">
        <f>IFERROR(__xludf.DUMMYFUNCTION("""COMPUTED_VALUE"""),45996.0)</f>
        <v>45996</v>
      </c>
    </row>
    <row r="4598">
      <c r="A4598" s="6" t="str">
        <f>IFERROR(__xludf.DUMMYFUNCTION("""COMPUTED_VALUE"""),"121703456-1")</f>
        <v>121703456-1</v>
      </c>
      <c r="B4598" s="6" t="str">
        <f>IFERROR(__xludf.DUMMYFUNCTION("""COMPUTED_VALUE"""),"121703456 - APPROVED")</f>
        <v>121703456 - APPROVED</v>
      </c>
      <c r="C4598" s="6">
        <f>IFERROR(__xludf.DUMMYFUNCTION("""COMPUTED_VALUE"""),1.0)</f>
        <v>1</v>
      </c>
      <c r="D4598" s="6" t="str">
        <f>IFERROR(__xludf.DUMMYFUNCTION("""COMPUTED_VALUE"""),"O-15718-00")</f>
        <v>O-15718-00</v>
      </c>
      <c r="E4598" s="6" t="str">
        <f>IFERROR(__xludf.DUMMYFUNCTION("""COMPUTED_VALUE"""),"SYNTHETIC FOOD GRADE, CRC - P/N : NSF H1 pc")</f>
        <v>SYNTHETIC FOOD GRADE, CRC - P/N : NSF H1 pc</v>
      </c>
      <c r="F4598" s="6">
        <f>IFERROR(__xludf.DUMMYFUNCTION("""COMPUTED_VALUE"""),3.0)</f>
        <v>3</v>
      </c>
      <c r="G4598" s="6" t="str">
        <f>IFERROR(__xludf.DUMMYFUNCTION("""COMPUTED_VALUE"""),"Pieces")</f>
        <v>Pieces</v>
      </c>
      <c r="H4598" s="6" t="str">
        <f>IFERROR(__xludf.DUMMYFUNCTION("""COMPUTED_VALUE"""),"IDR")</f>
        <v>IDR</v>
      </c>
      <c r="I4598" s="6">
        <f>IFERROR(__xludf.DUMMYFUNCTION("""COMPUTED_VALUE"""),535000.0)</f>
        <v>535000</v>
      </c>
      <c r="J4598" s="6">
        <f>IFERROR(__xludf.DUMMYFUNCTION("""COMPUTED_VALUE"""),1605000.0)</f>
        <v>1605000</v>
      </c>
      <c r="K4598" s="57">
        <f>IFERROR(__xludf.DUMMYFUNCTION("""COMPUTED_VALUE"""),46003.0)</f>
        <v>46003</v>
      </c>
      <c r="L4598" s="6" t="str">
        <f>IFERROR(__xludf.DUMMYFUNCTION("""COMPUTED_VALUE"""),"FIP Engineering")</f>
        <v>FIP Engineering</v>
      </c>
      <c r="M4598" s="6" t="str">
        <f>IFERROR(__xludf.DUMMYFUNCTION("""COMPUTED_VALUE"""),"Mochammad Fadhillah Hakim,")</f>
        <v>Mochammad Fadhillah Hakim,</v>
      </c>
      <c r="N4598" s="6" t="str">
        <f>IFERROR(__xludf.DUMMYFUNCTION("""COMPUTED_VALUE"""),"FIP Engineering")</f>
        <v>FIP Engineering</v>
      </c>
      <c r="O4598" s="6" t="str">
        <f>IFERROR(__xludf.DUMMYFUNCTION("""COMPUTED_VALUE"""),"FIP-DOM-000-11304-OS00001-INA-000000")</f>
        <v>FIP-DOM-000-11304-OS00001-INA-000000</v>
      </c>
      <c r="P4598" s="6" t="str">
        <f>IFERROR(__xludf.DUMMYFUNCTION("""COMPUTED_VALUE"""),"PO Closed")</f>
        <v>PO Closed</v>
      </c>
      <c r="Q4598" s="6" t="str">
        <f>IFERROR(__xludf.DUMMYFUNCTION("""COMPUTED_VALUE"""),"GL2512316")</f>
        <v>GL2512316</v>
      </c>
      <c r="R4598" s="57">
        <f>IFERROR(__xludf.DUMMYFUNCTION("""COMPUTED_VALUE"""),45967.0)</f>
        <v>45967</v>
      </c>
      <c r="S4598" s="57">
        <f>IFERROR(__xludf.DUMMYFUNCTION("""COMPUTED_VALUE"""),45968.0)</f>
        <v>45968</v>
      </c>
      <c r="T4598" s="57">
        <f>IFERROR(__xludf.DUMMYFUNCTION("""COMPUTED_VALUE"""),46042.0)</f>
        <v>46042</v>
      </c>
    </row>
    <row r="4599">
      <c r="A4599" s="6" t="str">
        <f>IFERROR(__xludf.DUMMYFUNCTION("""COMPUTED_VALUE"""),"121703457-1")</f>
        <v>121703457-1</v>
      </c>
      <c r="B4599" s="6" t="str">
        <f>IFERROR(__xludf.DUMMYFUNCTION("""COMPUTED_VALUE"""),"121703457 - APPROVED")</f>
        <v>121703457 - APPROVED</v>
      </c>
      <c r="C4599" s="6">
        <f>IFERROR(__xludf.DUMMYFUNCTION("""COMPUTED_VALUE"""),1.0)</f>
        <v>1</v>
      </c>
      <c r="D4599" s="6" t="str">
        <f>IFERROR(__xludf.DUMMYFUNCTION("""COMPUTED_VALUE"""),"O-21032-00")</f>
        <v>O-21032-00</v>
      </c>
      <c r="E4599" s="6" t="str">
        <f>IFERROR(__xludf.DUMMYFUNCTION("""COMPUTED_VALUE"""),"Washing RAR4 - Steel Ball / Gotri 2.5mm; -; -; 1 pck = 100pc")</f>
        <v>Washing RAR4 - Steel Ball / Gotri 2.5mm; -; -; 1 pck = 100pc</v>
      </c>
      <c r="F4599" s="6">
        <f>IFERROR(__xludf.DUMMYFUNCTION("""COMPUTED_VALUE"""),1.0)</f>
        <v>1</v>
      </c>
      <c r="G4599" s="6" t="str">
        <f>IFERROR(__xludf.DUMMYFUNCTION("""COMPUTED_VALUE"""),"Pack")</f>
        <v>Pack</v>
      </c>
      <c r="H4599" s="6" t="str">
        <f>IFERROR(__xludf.DUMMYFUNCTION("""COMPUTED_VALUE"""),"IDR")</f>
        <v>IDR</v>
      </c>
      <c r="I4599" s="6">
        <f>IFERROR(__xludf.DUMMYFUNCTION("""COMPUTED_VALUE"""),150000.0)</f>
        <v>150000</v>
      </c>
      <c r="J4599" s="6">
        <f>IFERROR(__xludf.DUMMYFUNCTION("""COMPUTED_VALUE"""),150000.0)</f>
        <v>150000</v>
      </c>
      <c r="K4599" s="57">
        <f>IFERROR(__xludf.DUMMYFUNCTION("""COMPUTED_VALUE"""),46003.0)</f>
        <v>46003</v>
      </c>
      <c r="L4599" s="6" t="str">
        <f>IFERROR(__xludf.DUMMYFUNCTION("""COMPUTED_VALUE"""),"FIP Engineering")</f>
        <v>FIP Engineering</v>
      </c>
      <c r="M4599" s="6" t="str">
        <f>IFERROR(__xludf.DUMMYFUNCTION("""COMPUTED_VALUE"""),"Mochammad Fadhillah Hakim,")</f>
        <v>Mochammad Fadhillah Hakim,</v>
      </c>
      <c r="N4599" s="6" t="str">
        <f>IFERROR(__xludf.DUMMYFUNCTION("""COMPUTED_VALUE"""),"FIP Engineering")</f>
        <v>FIP Engineering</v>
      </c>
      <c r="O4599" s="6" t="str">
        <f>IFERROR(__xludf.DUMMYFUNCTION("""COMPUTED_VALUE"""),"FIP-DOM-000-11304-OS00001-INA-000000")</f>
        <v>FIP-DOM-000-11304-OS00001-INA-000000</v>
      </c>
      <c r="P4599" s="6" t="str">
        <f>IFERROR(__xludf.DUMMYFUNCTION("""COMPUTED_VALUE"""),"PO Closed")</f>
        <v>PO Closed</v>
      </c>
      <c r="Q4599" s="6" t="str">
        <f>IFERROR(__xludf.DUMMYFUNCTION("""COMPUTED_VALUE"""),"GL2512317")</f>
        <v>GL2512317</v>
      </c>
      <c r="R4599" s="57">
        <f>IFERROR(__xludf.DUMMYFUNCTION("""COMPUTED_VALUE"""),45967.0)</f>
        <v>45967</v>
      </c>
      <c r="S4599" s="57">
        <f>IFERROR(__xludf.DUMMYFUNCTION("""COMPUTED_VALUE"""),45968.0)</f>
        <v>45968</v>
      </c>
      <c r="T4599" s="57">
        <f>IFERROR(__xludf.DUMMYFUNCTION("""COMPUTED_VALUE"""),46037.0)</f>
        <v>46037</v>
      </c>
    </row>
    <row r="4600">
      <c r="A4600" s="6" t="str">
        <f>IFERROR(__xludf.DUMMYFUNCTION("""COMPUTED_VALUE"""),"121703458-1")</f>
        <v>121703458-1</v>
      </c>
      <c r="B4600" s="6" t="str">
        <f>IFERROR(__xludf.DUMMYFUNCTION("""COMPUTED_VALUE"""),"121703458 - APPROVED")</f>
        <v>121703458 - APPROVED</v>
      </c>
      <c r="C4600" s="6">
        <f>IFERROR(__xludf.DUMMYFUNCTION("""COMPUTED_VALUE"""),1.0)</f>
        <v>1</v>
      </c>
      <c r="D4600" s="6" t="str">
        <f>IFERROR(__xludf.DUMMYFUNCTION("""COMPUTED_VALUE"""),"P-17867-00")</f>
        <v>P-17867-00</v>
      </c>
      <c r="E4600" s="6" t="str">
        <f>IFERROR(__xludf.DUMMYFUNCTION("""COMPUTED_VALUE"""),"Clamp Ferrule SS304 dia 2""; ; ;")</f>
        <v>Clamp Ferrule SS304 dia 2"; ; ;</v>
      </c>
      <c r="F4600" s="6">
        <f>IFERROR(__xludf.DUMMYFUNCTION("""COMPUTED_VALUE"""),3.0)</f>
        <v>3</v>
      </c>
      <c r="G4600" s="6" t="str">
        <f>IFERROR(__xludf.DUMMYFUNCTION("""COMPUTED_VALUE"""),"Unit")</f>
        <v>Unit</v>
      </c>
      <c r="H4600" s="6" t="str">
        <f>IFERROR(__xludf.DUMMYFUNCTION("""COMPUTED_VALUE"""),"IDR")</f>
        <v>IDR</v>
      </c>
      <c r="I4600" s="6">
        <f>IFERROR(__xludf.DUMMYFUNCTION("""COMPUTED_VALUE"""),150000.0)</f>
        <v>150000</v>
      </c>
      <c r="J4600" s="6">
        <f>IFERROR(__xludf.DUMMYFUNCTION("""COMPUTED_VALUE"""),450000.0)</f>
        <v>450000</v>
      </c>
      <c r="K4600" s="57">
        <f>IFERROR(__xludf.DUMMYFUNCTION("""COMPUTED_VALUE"""),46003.0)</f>
        <v>46003</v>
      </c>
      <c r="L4600" s="6" t="str">
        <f>IFERROR(__xludf.DUMMYFUNCTION("""COMPUTED_VALUE"""),"FIP Engineering")</f>
        <v>FIP Engineering</v>
      </c>
      <c r="M4600" s="6" t="str">
        <f>IFERROR(__xludf.DUMMYFUNCTION("""COMPUTED_VALUE"""),"Mochammad Fadhillah Hakim,")</f>
        <v>Mochammad Fadhillah Hakim,</v>
      </c>
      <c r="N4600" s="6" t="str">
        <f>IFERROR(__xludf.DUMMYFUNCTION("""COMPUTED_VALUE"""),"FIP Engineering")</f>
        <v>FIP Engineering</v>
      </c>
      <c r="O4600" s="6" t="str">
        <f>IFERROR(__xludf.DUMMYFUNCTION("""COMPUTED_VALUE"""),"FIP-DOM-000-11304-OS00001-INA-000000")</f>
        <v>FIP-DOM-000-11304-OS00001-INA-000000</v>
      </c>
      <c r="P4600" s="6" t="str">
        <f>IFERROR(__xludf.DUMMYFUNCTION("""COMPUTED_VALUE"""),"PO Closed")</f>
        <v>PO Closed</v>
      </c>
      <c r="Q4600" s="6" t="str">
        <f>IFERROR(__xludf.DUMMYFUNCTION("""COMPUTED_VALUE"""),"GL2511312")</f>
        <v>GL2511312</v>
      </c>
      <c r="R4600" s="57">
        <f>IFERROR(__xludf.DUMMYFUNCTION("""COMPUTED_VALUE"""),45967.0)</f>
        <v>45967</v>
      </c>
      <c r="S4600" s="57">
        <f>IFERROR(__xludf.DUMMYFUNCTION("""COMPUTED_VALUE"""),45971.0)</f>
        <v>45971</v>
      </c>
      <c r="T4600" s="57">
        <f>IFERROR(__xludf.DUMMYFUNCTION("""COMPUTED_VALUE"""),45996.0)</f>
        <v>45996</v>
      </c>
    </row>
    <row r="4601">
      <c r="A4601" s="6" t="str">
        <f>IFERROR(__xludf.DUMMYFUNCTION("""COMPUTED_VALUE"""),"121703459-1")</f>
        <v>121703459-1</v>
      </c>
      <c r="B4601" s="6" t="str">
        <f>IFERROR(__xludf.DUMMYFUNCTION("""COMPUTED_VALUE"""),"121703459 - APPROVED")</f>
        <v>121703459 - APPROVED</v>
      </c>
      <c r="C4601" s="6">
        <f>IFERROR(__xludf.DUMMYFUNCTION("""COMPUTED_VALUE"""),1.0)</f>
        <v>1</v>
      </c>
      <c r="D4601" s="6" t="str">
        <f>IFERROR(__xludf.DUMMYFUNCTION("""COMPUTED_VALUE"""),"P-13513-00")</f>
        <v>P-13513-00</v>
      </c>
      <c r="E4601" s="6" t="str">
        <f>IFERROR(__xludf.DUMMYFUNCTION("""COMPUTED_VALUE"""),"Magnehelic 0-500 Pa; Dwyer; Model : 2000-500PA; pieces")</f>
        <v>Magnehelic 0-500 Pa; Dwyer; Model : 2000-500PA; pieces</v>
      </c>
      <c r="F4601" s="6">
        <f>IFERROR(__xludf.DUMMYFUNCTION("""COMPUTED_VALUE"""),1.0)</f>
        <v>1</v>
      </c>
      <c r="G4601" s="6" t="str">
        <f>IFERROR(__xludf.DUMMYFUNCTION("""COMPUTED_VALUE"""),"Pack")</f>
        <v>Pack</v>
      </c>
      <c r="H4601" s="6" t="str">
        <f>IFERROR(__xludf.DUMMYFUNCTION("""COMPUTED_VALUE"""),"IDR")</f>
        <v>IDR</v>
      </c>
      <c r="I4601" s="6">
        <f>IFERROR(__xludf.DUMMYFUNCTION("""COMPUTED_VALUE"""),1600000.0)</f>
        <v>1600000</v>
      </c>
      <c r="J4601" s="6">
        <f>IFERROR(__xludf.DUMMYFUNCTION("""COMPUTED_VALUE"""),1600000.0)</f>
        <v>1600000</v>
      </c>
      <c r="K4601" s="57">
        <f>IFERROR(__xludf.DUMMYFUNCTION("""COMPUTED_VALUE"""),46003.0)</f>
        <v>46003</v>
      </c>
      <c r="L4601" s="6" t="str">
        <f>IFERROR(__xludf.DUMMYFUNCTION("""COMPUTED_VALUE"""),"FIP Engineering")</f>
        <v>FIP Engineering</v>
      </c>
      <c r="M4601" s="6" t="str">
        <f>IFERROR(__xludf.DUMMYFUNCTION("""COMPUTED_VALUE"""),"Mochammad Fadhillah Hakim,")</f>
        <v>Mochammad Fadhillah Hakim,</v>
      </c>
      <c r="N4601" s="6" t="str">
        <f>IFERROR(__xludf.DUMMYFUNCTION("""COMPUTED_VALUE"""),"FIP Engineering")</f>
        <v>FIP Engineering</v>
      </c>
      <c r="O4601" s="6" t="str">
        <f>IFERROR(__xludf.DUMMYFUNCTION("""COMPUTED_VALUE"""),"FIP-DOM-000-11304-OS00001-INA-000000")</f>
        <v>FIP-DOM-000-11304-OS00001-INA-000000</v>
      </c>
      <c r="P4601" s="6" t="str">
        <f>IFERROR(__xludf.DUMMYFUNCTION("""COMPUTED_VALUE"""),"PO Closed")</f>
        <v>PO Closed</v>
      </c>
      <c r="Q4601" s="6" t="str">
        <f>IFERROR(__xludf.DUMMYFUNCTION("""COMPUTED_VALUE"""),"GL2511065")</f>
        <v>GL2511065</v>
      </c>
      <c r="R4601" s="57">
        <f>IFERROR(__xludf.DUMMYFUNCTION("""COMPUTED_VALUE"""),45967.0)</f>
        <v>45967</v>
      </c>
      <c r="S4601" s="57">
        <f>IFERROR(__xludf.DUMMYFUNCTION("""COMPUTED_VALUE"""),45968.0)</f>
        <v>45968</v>
      </c>
      <c r="T4601" s="57">
        <f>IFERROR(__xludf.DUMMYFUNCTION("""COMPUTED_VALUE"""),46003.0)</f>
        <v>46003</v>
      </c>
    </row>
    <row r="4602">
      <c r="A4602" s="6" t="str">
        <f>IFERROR(__xludf.DUMMYFUNCTION("""COMPUTED_VALUE"""),"121703460-1")</f>
        <v>121703460-1</v>
      </c>
      <c r="B4602" s="6" t="str">
        <f>IFERROR(__xludf.DUMMYFUNCTION("""COMPUTED_VALUE"""),"121703460 - APPROVED")</f>
        <v>121703460 - APPROVED</v>
      </c>
      <c r="C4602" s="6">
        <f>IFERROR(__xludf.DUMMYFUNCTION("""COMPUTED_VALUE"""),1.0)</f>
        <v>1</v>
      </c>
      <c r="D4602" s="6" t="str">
        <f>IFERROR(__xludf.DUMMYFUNCTION("""COMPUTED_VALUE"""),"O-21127-00")</f>
        <v>O-21127-00</v>
      </c>
      <c r="E4602" s="6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F4602" s="6">
        <f>IFERROR(__xludf.DUMMYFUNCTION("""COMPUTED_VALUE"""),5.0)</f>
        <v>5</v>
      </c>
      <c r="G4602" s="6" t="str">
        <f>IFERROR(__xludf.DUMMYFUNCTION("""COMPUTED_VALUE"""),"Pieces")</f>
        <v>Pieces</v>
      </c>
      <c r="H4602" s="6" t="str">
        <f>IFERROR(__xludf.DUMMYFUNCTION("""COMPUTED_VALUE"""),"IDR")</f>
        <v>IDR</v>
      </c>
      <c r="I4602" s="6">
        <f>IFERROR(__xludf.DUMMYFUNCTION("""COMPUTED_VALUE"""),235000.0)</f>
        <v>235000</v>
      </c>
      <c r="J4602" s="6">
        <f>IFERROR(__xludf.DUMMYFUNCTION("""COMPUTED_VALUE"""),1175000.0)</f>
        <v>1175000</v>
      </c>
      <c r="K4602" s="57">
        <f>IFERROR(__xludf.DUMMYFUNCTION("""COMPUTED_VALUE"""),46003.0)</f>
        <v>46003</v>
      </c>
      <c r="L4602" s="6" t="str">
        <f>IFERROR(__xludf.DUMMYFUNCTION("""COMPUTED_VALUE"""),"FIP Engineering")</f>
        <v>FIP Engineering</v>
      </c>
      <c r="M4602" s="6" t="str">
        <f>IFERROR(__xludf.DUMMYFUNCTION("""COMPUTED_VALUE"""),"Mochammad Fadhillah Hakim,")</f>
        <v>Mochammad Fadhillah Hakim,</v>
      </c>
      <c r="N4602" s="6" t="str">
        <f>IFERROR(__xludf.DUMMYFUNCTION("""COMPUTED_VALUE"""),"FIP Engineering")</f>
        <v>FIP Engineering</v>
      </c>
      <c r="O4602" s="6" t="str">
        <f>IFERROR(__xludf.DUMMYFUNCTION("""COMPUTED_VALUE"""),"FIP-DOM-000-11304-OS00001-INA-000000")</f>
        <v>FIP-DOM-000-11304-OS00001-INA-000000</v>
      </c>
      <c r="P4602" s="6" t="str">
        <f>IFERROR(__xludf.DUMMYFUNCTION("""COMPUTED_VALUE"""),"PO Closed")</f>
        <v>PO Closed</v>
      </c>
      <c r="Q4602" s="6" t="str">
        <f>IFERROR(__xludf.DUMMYFUNCTION("""COMPUTED_VALUE"""),"GL2512318")</f>
        <v>GL2512318</v>
      </c>
      <c r="R4602" s="57">
        <f>IFERROR(__xludf.DUMMYFUNCTION("""COMPUTED_VALUE"""),45967.0)</f>
        <v>45967</v>
      </c>
      <c r="S4602" s="57">
        <f>IFERROR(__xludf.DUMMYFUNCTION("""COMPUTED_VALUE"""),45968.0)</f>
        <v>45968</v>
      </c>
      <c r="T4602" s="57">
        <f>IFERROR(__xludf.DUMMYFUNCTION("""COMPUTED_VALUE"""),46042.0)</f>
        <v>46042</v>
      </c>
    </row>
    <row r="4603">
      <c r="A4603" s="6" t="str">
        <f>IFERROR(__xludf.DUMMYFUNCTION("""COMPUTED_VALUE"""),"121703463-1")</f>
        <v>121703463-1</v>
      </c>
      <c r="B4603" s="6" t="str">
        <f>IFERROR(__xludf.DUMMYFUNCTION("""COMPUTED_VALUE"""),"121703463 - APPROVED")</f>
        <v>121703463 - APPROVED</v>
      </c>
      <c r="C4603" s="6">
        <f>IFERROR(__xludf.DUMMYFUNCTION("""COMPUTED_VALUE"""),1.0)</f>
        <v>1</v>
      </c>
      <c r="D4603" s="6" t="str">
        <f>IFERROR(__xludf.DUMMYFUNCTION("""COMPUTED_VALUE"""),"O-21157-00")</f>
        <v>O-21157-00</v>
      </c>
      <c r="E4603" s="6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F4603" s="6">
        <f>IFERROR(__xludf.DUMMYFUNCTION("""COMPUTED_VALUE"""),1.0)</f>
        <v>1</v>
      </c>
      <c r="G4603" s="6" t="str">
        <f>IFERROR(__xludf.DUMMYFUNCTION("""COMPUTED_VALUE"""),"Pieces")</f>
        <v>Pieces</v>
      </c>
      <c r="H4603" s="6" t="str">
        <f>IFERROR(__xludf.DUMMYFUNCTION("""COMPUTED_VALUE"""),"IDR")</f>
        <v>IDR</v>
      </c>
      <c r="I4603" s="6">
        <f>IFERROR(__xludf.DUMMYFUNCTION("""COMPUTED_VALUE"""),3.745E7)</f>
        <v>37450000</v>
      </c>
      <c r="J4603" s="6">
        <f>IFERROR(__xludf.DUMMYFUNCTION("""COMPUTED_VALUE"""),3.745E7)</f>
        <v>37450000</v>
      </c>
      <c r="K4603" s="57">
        <f>IFERROR(__xludf.DUMMYFUNCTION("""COMPUTED_VALUE"""),46031.0)</f>
        <v>46031</v>
      </c>
      <c r="L4603" s="6" t="str">
        <f>IFERROR(__xludf.DUMMYFUNCTION("""COMPUTED_VALUE"""),"FIP Engineering")</f>
        <v>FIP Engineering</v>
      </c>
      <c r="M4603" s="6" t="str">
        <f>IFERROR(__xludf.DUMMYFUNCTION("""COMPUTED_VALUE"""),"Mochammad Fadhillah Hakim,")</f>
        <v>Mochammad Fadhillah Hakim,</v>
      </c>
      <c r="N4603" s="6" t="str">
        <f>IFERROR(__xludf.DUMMYFUNCTION("""COMPUTED_VALUE"""),"FIP Engineering")</f>
        <v>FIP Engineering</v>
      </c>
      <c r="O4603" s="6" t="str">
        <f>IFERROR(__xludf.DUMMYFUNCTION("""COMPUTED_VALUE"""),"FIP-DOM-000-11304-OS00001-INA-000000")</f>
        <v>FIP-DOM-000-11304-OS00001-INA-000000</v>
      </c>
      <c r="P4603" s="6" t="str">
        <f>IFERROR(__xludf.DUMMYFUNCTION("""COMPUTED_VALUE"""),"PO Closed")</f>
        <v>PO Closed</v>
      </c>
      <c r="Q4603" s="6" t="str">
        <f>IFERROR(__xludf.DUMMYFUNCTION("""COMPUTED_VALUE"""),"GL2512313")</f>
        <v>GL2512313</v>
      </c>
      <c r="R4603" s="57">
        <f>IFERROR(__xludf.DUMMYFUNCTION("""COMPUTED_VALUE"""),45969.0)</f>
        <v>45969</v>
      </c>
      <c r="S4603" s="57">
        <f>IFERROR(__xludf.DUMMYFUNCTION("""COMPUTED_VALUE"""),45971.0)</f>
        <v>45971</v>
      </c>
      <c r="T4603" s="57">
        <f>IFERROR(__xludf.DUMMYFUNCTION("""COMPUTED_VALUE"""),46062.0)</f>
        <v>46062</v>
      </c>
    </row>
    <row r="4604">
      <c r="A4604" s="6" t="str">
        <f>IFERROR(__xludf.DUMMYFUNCTION("""COMPUTED_VALUE"""),"121703465-1")</f>
        <v>121703465-1</v>
      </c>
      <c r="B4604" s="6" t="str">
        <f>IFERROR(__xludf.DUMMYFUNCTION("""COMPUTED_VALUE"""),"121703465 - APPROVED")</f>
        <v>121703465 - APPROVED</v>
      </c>
      <c r="C4604" s="6">
        <f>IFERROR(__xludf.DUMMYFUNCTION("""COMPUTED_VALUE"""),1.0)</f>
        <v>1</v>
      </c>
      <c r="D4604" s="6" t="str">
        <f>IFERROR(__xludf.DUMMYFUNCTION("""COMPUTED_VALUE"""),"O-21152-00")</f>
        <v>O-21152-00</v>
      </c>
      <c r="E4604" s="6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F4604" s="6">
        <f>IFERROR(__xludf.DUMMYFUNCTION("""COMPUTED_VALUE"""),1.0)</f>
        <v>1</v>
      </c>
      <c r="G4604" s="6" t="str">
        <f>IFERROR(__xludf.DUMMYFUNCTION("""COMPUTED_VALUE"""),"Pieces")</f>
        <v>Pieces</v>
      </c>
      <c r="H4604" s="6" t="str">
        <f>IFERROR(__xludf.DUMMYFUNCTION("""COMPUTED_VALUE"""),"IDR")</f>
        <v>IDR</v>
      </c>
      <c r="I4604" s="6">
        <f>IFERROR(__xludf.DUMMYFUNCTION("""COMPUTED_VALUE"""),1550000.0)</f>
        <v>1550000</v>
      </c>
      <c r="J4604" s="6">
        <f>IFERROR(__xludf.DUMMYFUNCTION("""COMPUTED_VALUE"""),1550000.0)</f>
        <v>1550000</v>
      </c>
      <c r="K4604" s="57">
        <f>IFERROR(__xludf.DUMMYFUNCTION("""COMPUTED_VALUE"""),46003.0)</f>
        <v>46003</v>
      </c>
      <c r="L4604" s="6" t="str">
        <f>IFERROR(__xludf.DUMMYFUNCTION("""COMPUTED_VALUE"""),"FIP Engineering")</f>
        <v>FIP Engineering</v>
      </c>
      <c r="M4604" s="6" t="str">
        <f>IFERROR(__xludf.DUMMYFUNCTION("""COMPUTED_VALUE"""),"Mochammad Fadhillah Hakim,")</f>
        <v>Mochammad Fadhillah Hakim,</v>
      </c>
      <c r="N4604" s="6" t="str">
        <f>IFERROR(__xludf.DUMMYFUNCTION("""COMPUTED_VALUE"""),"FIP Engineering")</f>
        <v>FIP Engineering</v>
      </c>
      <c r="O4604" s="6" t="str">
        <f>IFERROR(__xludf.DUMMYFUNCTION("""COMPUTED_VALUE"""),"FIP-DOM-000-11304-OS00001-INA-000000")</f>
        <v>FIP-DOM-000-11304-OS00001-INA-000000</v>
      </c>
      <c r="P4604" s="6" t="str">
        <f>IFERROR(__xludf.DUMMYFUNCTION("""COMPUTED_VALUE"""),"PO Closed")</f>
        <v>PO Closed</v>
      </c>
      <c r="Q4604" s="6" t="str">
        <f>IFERROR(__xludf.DUMMYFUNCTION("""COMPUTED_VALUE"""),"GL2512322")</f>
        <v>GL2512322</v>
      </c>
      <c r="R4604" s="57">
        <f>IFERROR(__xludf.DUMMYFUNCTION("""COMPUTED_VALUE"""),45971.0)</f>
        <v>45971</v>
      </c>
      <c r="S4604" s="57">
        <f>IFERROR(__xludf.DUMMYFUNCTION("""COMPUTED_VALUE"""),45974.0)</f>
        <v>45974</v>
      </c>
      <c r="T4604" s="57">
        <f>IFERROR(__xludf.DUMMYFUNCTION("""COMPUTED_VALUE"""),46042.0)</f>
        <v>46042</v>
      </c>
    </row>
    <row r="4605">
      <c r="A4605" s="6" t="str">
        <f>IFERROR(__xludf.DUMMYFUNCTION("""COMPUTED_VALUE"""),"121703465-2")</f>
        <v>121703465-2</v>
      </c>
      <c r="B4605" s="6" t="str">
        <f>IFERROR(__xludf.DUMMYFUNCTION("""COMPUTED_VALUE"""),"121703465 - APPROVED")</f>
        <v>121703465 - APPROVED</v>
      </c>
      <c r="C4605" s="6">
        <f>IFERROR(__xludf.DUMMYFUNCTION("""COMPUTED_VALUE"""),2.0)</f>
        <v>2</v>
      </c>
      <c r="D4605" s="6" t="str">
        <f>IFERROR(__xludf.DUMMYFUNCTION("""COMPUTED_VALUE"""),"O-21153-00")</f>
        <v>O-21153-00</v>
      </c>
      <c r="E4605" s="6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F4605" s="6">
        <f>IFERROR(__xludf.DUMMYFUNCTION("""COMPUTED_VALUE"""),2.0)</f>
        <v>2</v>
      </c>
      <c r="G4605" s="6" t="str">
        <f>IFERROR(__xludf.DUMMYFUNCTION("""COMPUTED_VALUE"""),"Pieces")</f>
        <v>Pieces</v>
      </c>
      <c r="H4605" s="6" t="str">
        <f>IFERROR(__xludf.DUMMYFUNCTION("""COMPUTED_VALUE"""),"IDR")</f>
        <v>IDR</v>
      </c>
      <c r="I4605" s="6">
        <f>IFERROR(__xludf.DUMMYFUNCTION("""COMPUTED_VALUE"""),1875000.0)</f>
        <v>1875000</v>
      </c>
      <c r="J4605" s="6">
        <f>IFERROR(__xludf.DUMMYFUNCTION("""COMPUTED_VALUE"""),3750000.0)</f>
        <v>3750000</v>
      </c>
      <c r="K4605" s="57">
        <f>IFERROR(__xludf.DUMMYFUNCTION("""COMPUTED_VALUE"""),46003.0)</f>
        <v>46003</v>
      </c>
      <c r="L4605" s="6" t="str">
        <f>IFERROR(__xludf.DUMMYFUNCTION("""COMPUTED_VALUE"""),"FIP Engineering")</f>
        <v>FIP Engineering</v>
      </c>
      <c r="M4605" s="6" t="str">
        <f>IFERROR(__xludf.DUMMYFUNCTION("""COMPUTED_VALUE"""),"Mochammad Fadhillah Hakim,")</f>
        <v>Mochammad Fadhillah Hakim,</v>
      </c>
      <c r="N4605" s="6" t="str">
        <f>IFERROR(__xludf.DUMMYFUNCTION("""COMPUTED_VALUE"""),"FIP Engineering")</f>
        <v>FIP Engineering</v>
      </c>
      <c r="O4605" s="6" t="str">
        <f>IFERROR(__xludf.DUMMYFUNCTION("""COMPUTED_VALUE"""),"FIP-DOM-000-11304-OS00001-INA-000000")</f>
        <v>FIP-DOM-000-11304-OS00001-INA-000000</v>
      </c>
      <c r="P4605" s="6" t="str">
        <f>IFERROR(__xludf.DUMMYFUNCTION("""COMPUTED_VALUE"""),"PO Closed")</f>
        <v>PO Closed</v>
      </c>
      <c r="Q4605" s="6" t="str">
        <f>IFERROR(__xludf.DUMMYFUNCTION("""COMPUTED_VALUE"""),"GL2512322")</f>
        <v>GL2512322</v>
      </c>
      <c r="R4605" s="57">
        <f>IFERROR(__xludf.DUMMYFUNCTION("""COMPUTED_VALUE"""),45971.0)</f>
        <v>45971</v>
      </c>
      <c r="S4605" s="57">
        <f>IFERROR(__xludf.DUMMYFUNCTION("""COMPUTED_VALUE"""),45974.0)</f>
        <v>45974</v>
      </c>
      <c r="T4605" s="57">
        <f>IFERROR(__xludf.DUMMYFUNCTION("""COMPUTED_VALUE"""),46042.0)</f>
        <v>46042</v>
      </c>
    </row>
    <row r="4606">
      <c r="A4606" s="6" t="str">
        <f>IFERROR(__xludf.DUMMYFUNCTION("""COMPUTED_VALUE"""),"121703465-3")</f>
        <v>121703465-3</v>
      </c>
      <c r="B4606" s="6" t="str">
        <f>IFERROR(__xludf.DUMMYFUNCTION("""COMPUTED_VALUE"""),"121703465 - APPROVED")</f>
        <v>121703465 - APPROVED</v>
      </c>
      <c r="C4606" s="6">
        <f>IFERROR(__xludf.DUMMYFUNCTION("""COMPUTED_VALUE"""),3.0)</f>
        <v>3</v>
      </c>
      <c r="D4606" s="6" t="str">
        <f>IFERROR(__xludf.DUMMYFUNCTION("""COMPUTED_VALUE"""),"O-21154-00")</f>
        <v>O-21154-00</v>
      </c>
      <c r="E4606" s="6" t="str">
        <f>IFERROR(__xludf.DUMMYFUNCTION("""COMPUTED_VALUE"""),"Blister TR100LT - Dudukan Forming 40x10 mm, Mat. VCN; Custom /Lokal; -; 1 Pc")</f>
        <v>Blister TR100LT - Dudukan Forming 40x10 mm, Mat. VCN; Custom /Lokal; -; 1 Pc</v>
      </c>
      <c r="F4606" s="6">
        <f>IFERROR(__xludf.DUMMYFUNCTION("""COMPUTED_VALUE"""),3.0)</f>
        <v>3</v>
      </c>
      <c r="G4606" s="6" t="str">
        <f>IFERROR(__xludf.DUMMYFUNCTION("""COMPUTED_VALUE"""),"Pieces")</f>
        <v>Pieces</v>
      </c>
      <c r="H4606" s="6" t="str">
        <f>IFERROR(__xludf.DUMMYFUNCTION("""COMPUTED_VALUE"""),"IDR")</f>
        <v>IDR</v>
      </c>
      <c r="I4606" s="6">
        <f>IFERROR(__xludf.DUMMYFUNCTION("""COMPUTED_VALUE"""),545000.0)</f>
        <v>545000</v>
      </c>
      <c r="J4606" s="6">
        <f>IFERROR(__xludf.DUMMYFUNCTION("""COMPUTED_VALUE"""),1635000.0)</f>
        <v>1635000</v>
      </c>
      <c r="K4606" s="57">
        <f>IFERROR(__xludf.DUMMYFUNCTION("""COMPUTED_VALUE"""),46003.0)</f>
        <v>46003</v>
      </c>
      <c r="L4606" s="6" t="str">
        <f>IFERROR(__xludf.DUMMYFUNCTION("""COMPUTED_VALUE"""),"FIP Engineering")</f>
        <v>FIP Engineering</v>
      </c>
      <c r="M4606" s="6" t="str">
        <f>IFERROR(__xludf.DUMMYFUNCTION("""COMPUTED_VALUE"""),"Mochammad Fadhillah Hakim,")</f>
        <v>Mochammad Fadhillah Hakim,</v>
      </c>
      <c r="N4606" s="6" t="str">
        <f>IFERROR(__xludf.DUMMYFUNCTION("""COMPUTED_VALUE"""),"FIP Engineering")</f>
        <v>FIP Engineering</v>
      </c>
      <c r="O4606" s="6" t="str">
        <f>IFERROR(__xludf.DUMMYFUNCTION("""COMPUTED_VALUE"""),"FIP-DOM-000-11304-OS00001-INA-000000")</f>
        <v>FIP-DOM-000-11304-OS00001-INA-000000</v>
      </c>
      <c r="P4606" s="6" t="str">
        <f>IFERROR(__xludf.DUMMYFUNCTION("""COMPUTED_VALUE"""),"PO Closed")</f>
        <v>PO Closed</v>
      </c>
      <c r="Q4606" s="6" t="str">
        <f>IFERROR(__xludf.DUMMYFUNCTION("""COMPUTED_VALUE"""),"GL2512322")</f>
        <v>GL2512322</v>
      </c>
      <c r="R4606" s="57">
        <f>IFERROR(__xludf.DUMMYFUNCTION("""COMPUTED_VALUE"""),45971.0)</f>
        <v>45971</v>
      </c>
      <c r="S4606" s="57">
        <f>IFERROR(__xludf.DUMMYFUNCTION("""COMPUTED_VALUE"""),45974.0)</f>
        <v>45974</v>
      </c>
      <c r="T4606" s="57">
        <f>IFERROR(__xludf.DUMMYFUNCTION("""COMPUTED_VALUE"""),46042.0)</f>
        <v>46042</v>
      </c>
    </row>
    <row r="4607">
      <c r="A4607" s="6" t="str">
        <f>IFERROR(__xludf.DUMMYFUNCTION("""COMPUTED_VALUE"""),"121703466-1")</f>
        <v>121703466-1</v>
      </c>
      <c r="B4607" s="6" t="str">
        <f>IFERROR(__xludf.DUMMYFUNCTION("""COMPUTED_VALUE"""),"121703466 - APPROVED")</f>
        <v>121703466 - APPROVED</v>
      </c>
      <c r="C4607" s="6">
        <f>IFERROR(__xludf.DUMMYFUNCTION("""COMPUTED_VALUE"""),1.0)</f>
        <v>1</v>
      </c>
      <c r="D4607" s="6" t="str">
        <f>IFERROR(__xludf.DUMMYFUNCTION("""COMPUTED_VALUE"""),"P-20285-00")</f>
        <v>P-20285-00</v>
      </c>
      <c r="E4607" s="6" t="str">
        <f>IFERROR(__xludf.DUMMYFUNCTION("""COMPUTED_VALUE"""),"General - Cover Sensor Temp RH 110 x 150mm; Custom Agru; -; 1 pc")</f>
        <v>General - Cover Sensor Temp RH 110 x 150mm; Custom Agru; -; 1 pc</v>
      </c>
      <c r="F4607" s="6">
        <f>IFERROR(__xludf.DUMMYFUNCTION("""COMPUTED_VALUE"""),1.0)</f>
        <v>1</v>
      </c>
      <c r="G4607" s="6" t="str">
        <f>IFERROR(__xludf.DUMMYFUNCTION("""COMPUTED_VALUE"""),"Pieces")</f>
        <v>Pieces</v>
      </c>
      <c r="H4607" s="6" t="str">
        <f>IFERROR(__xludf.DUMMYFUNCTION("""COMPUTED_VALUE"""),"IDR")</f>
        <v>IDR</v>
      </c>
      <c r="I4607" s="6">
        <f>IFERROR(__xludf.DUMMYFUNCTION("""COMPUTED_VALUE"""),2455000.0)</f>
        <v>2455000</v>
      </c>
      <c r="J4607" s="6">
        <f>IFERROR(__xludf.DUMMYFUNCTION("""COMPUTED_VALUE"""),2455000.0)</f>
        <v>2455000</v>
      </c>
      <c r="K4607" s="57">
        <f>IFERROR(__xludf.DUMMYFUNCTION("""COMPUTED_VALUE"""),46003.0)</f>
        <v>46003</v>
      </c>
      <c r="L4607" s="6" t="str">
        <f>IFERROR(__xludf.DUMMYFUNCTION("""COMPUTED_VALUE"""),"FIP Engineering")</f>
        <v>FIP Engineering</v>
      </c>
      <c r="M4607" s="6" t="str">
        <f>IFERROR(__xludf.DUMMYFUNCTION("""COMPUTED_VALUE"""),"Mochammad Fadhillah Hakim,")</f>
        <v>Mochammad Fadhillah Hakim,</v>
      </c>
      <c r="N4607" s="6" t="str">
        <f>IFERROR(__xludf.DUMMYFUNCTION("""COMPUTED_VALUE"""),"FIP Engineering")</f>
        <v>FIP Engineering</v>
      </c>
      <c r="O4607" s="6" t="str">
        <f>IFERROR(__xludf.DUMMYFUNCTION("""COMPUTED_VALUE"""),"FIP-DOM-000-11304-OS00001-INA-000000")</f>
        <v>FIP-DOM-000-11304-OS00001-INA-000000</v>
      </c>
      <c r="P4607" s="6" t="str">
        <f>IFERROR(__xludf.DUMMYFUNCTION("""COMPUTED_VALUE"""),"PO Closed")</f>
        <v>PO Closed</v>
      </c>
      <c r="Q4607" s="6" t="str">
        <f>IFERROR(__xludf.DUMMYFUNCTION("""COMPUTED_VALUE"""),"GL2511054")</f>
        <v>GL2511054</v>
      </c>
      <c r="R4607" s="57">
        <f>IFERROR(__xludf.DUMMYFUNCTION("""COMPUTED_VALUE"""),45971.0)</f>
        <v>45971</v>
      </c>
      <c r="S4607" s="57">
        <f>IFERROR(__xludf.DUMMYFUNCTION("""COMPUTED_VALUE"""),45973.0)</f>
        <v>45973</v>
      </c>
      <c r="T4607" s="57">
        <f>IFERROR(__xludf.DUMMYFUNCTION("""COMPUTED_VALUE"""),46032.0)</f>
        <v>46032</v>
      </c>
    </row>
    <row r="4608">
      <c r="A4608" s="6" t="str">
        <f>IFERROR(__xludf.DUMMYFUNCTION("""COMPUTED_VALUE"""),"121703467-1")</f>
        <v>121703467-1</v>
      </c>
      <c r="B4608" s="6" t="str">
        <f>IFERROR(__xludf.DUMMYFUNCTION("""COMPUTED_VALUE"""),"121703467 - APPROVED")</f>
        <v>121703467 - APPROVED</v>
      </c>
      <c r="C4608" s="6">
        <f>IFERROR(__xludf.DUMMYFUNCTION("""COMPUTED_VALUE"""),1.0)</f>
        <v>1</v>
      </c>
      <c r="D4608" s="6" t="str">
        <f>IFERROR(__xludf.DUMMYFUNCTION("""COMPUTED_VALUE"""),"O-21151-00")</f>
        <v>O-21151-00</v>
      </c>
      <c r="E4608" s="6" t="str">
        <f>IFERROR(__xludf.DUMMYFUNCTION("""COMPUTED_VALUE"""),"Washing RAR4 - Compact Cylinder ADN-20-25-I-P-A; Festo; 536246; 1 Pc")</f>
        <v>Washing RAR4 - Compact Cylinder ADN-20-25-I-P-A; Festo; 536246; 1 Pc</v>
      </c>
      <c r="F4608" s="6">
        <f>IFERROR(__xludf.DUMMYFUNCTION("""COMPUTED_VALUE"""),1.0)</f>
        <v>1</v>
      </c>
      <c r="G4608" s="6" t="str">
        <f>IFERROR(__xludf.DUMMYFUNCTION("""COMPUTED_VALUE"""),"Pieces")</f>
        <v>Pieces</v>
      </c>
      <c r="H4608" s="6" t="str">
        <f>IFERROR(__xludf.DUMMYFUNCTION("""COMPUTED_VALUE"""),"IDR")</f>
        <v>IDR</v>
      </c>
      <c r="I4608" s="6">
        <f>IFERROR(__xludf.DUMMYFUNCTION("""COMPUTED_VALUE"""),723298.0)</f>
        <v>723298</v>
      </c>
      <c r="J4608" s="6">
        <f>IFERROR(__xludf.DUMMYFUNCTION("""COMPUTED_VALUE"""),723298.0)</f>
        <v>723298</v>
      </c>
      <c r="K4608" s="57">
        <f>IFERROR(__xludf.DUMMYFUNCTION("""COMPUTED_VALUE"""),46003.0)</f>
        <v>46003</v>
      </c>
      <c r="L4608" s="6" t="str">
        <f>IFERROR(__xludf.DUMMYFUNCTION("""COMPUTED_VALUE"""),"FIP Engineering")</f>
        <v>FIP Engineering</v>
      </c>
      <c r="M4608" s="6" t="str">
        <f>IFERROR(__xludf.DUMMYFUNCTION("""COMPUTED_VALUE"""),"Mochammad Fadhillah Hakim,")</f>
        <v>Mochammad Fadhillah Hakim,</v>
      </c>
      <c r="N4608" s="6" t="str">
        <f>IFERROR(__xludf.DUMMYFUNCTION("""COMPUTED_VALUE"""),"FIP Engineering")</f>
        <v>FIP Engineering</v>
      </c>
      <c r="O4608" s="6" t="str">
        <f>IFERROR(__xludf.DUMMYFUNCTION("""COMPUTED_VALUE"""),"FIP-DOM-000-11304-OS00001-INA-000000")</f>
        <v>FIP-DOM-000-11304-OS00001-INA-000000</v>
      </c>
      <c r="P4608" s="6" t="str">
        <f>IFERROR(__xludf.DUMMYFUNCTION("""COMPUTED_VALUE"""),"PO Closed")</f>
        <v>PO Closed</v>
      </c>
      <c r="Q4608" s="6" t="str">
        <f>IFERROR(__xludf.DUMMYFUNCTION("""COMPUTED_VALUE"""),"GL2512323")</f>
        <v>GL2512323</v>
      </c>
      <c r="R4608" s="57">
        <f>IFERROR(__xludf.DUMMYFUNCTION("""COMPUTED_VALUE"""),45971.0)</f>
        <v>45971</v>
      </c>
      <c r="S4608" s="57">
        <f>IFERROR(__xludf.DUMMYFUNCTION("""COMPUTED_VALUE"""),45974.0)</f>
        <v>45974</v>
      </c>
      <c r="T4608" s="57">
        <f>IFERROR(__xludf.DUMMYFUNCTION("""COMPUTED_VALUE"""),46053.0)</f>
        <v>46053</v>
      </c>
    </row>
    <row r="4609">
      <c r="A4609" s="6" t="str">
        <f>IFERROR(__xludf.DUMMYFUNCTION("""COMPUTED_VALUE"""),"121703469-1")</f>
        <v>121703469-1</v>
      </c>
      <c r="B4609" s="6" t="str">
        <f>IFERROR(__xludf.DUMMYFUNCTION("""COMPUTED_VALUE"""),"121703469 - APPROVED")</f>
        <v>121703469 - APPROVED</v>
      </c>
      <c r="C4609" s="6">
        <f>IFERROR(__xludf.DUMMYFUNCTION("""COMPUTED_VALUE"""),1.0)</f>
        <v>1</v>
      </c>
      <c r="D4609" s="6" t="str">
        <f>IFERROR(__xludf.DUMMYFUNCTION("""COMPUTED_VALUE"""),"O-21155-00")</f>
        <v>O-21155-00</v>
      </c>
      <c r="E4609" s="6" t="str">
        <f>IFERROR(__xludf.DUMMYFUNCTION("""COMPUTED_VALUE"""),"Videojet - Gutter Pump; Videojet; 399-171; 1 Pc")</f>
        <v>Videojet - Gutter Pump; Videojet; 399-171; 1 Pc</v>
      </c>
      <c r="F4609" s="6">
        <f>IFERROR(__xludf.DUMMYFUNCTION("""COMPUTED_VALUE"""),1.0)</f>
        <v>1</v>
      </c>
      <c r="G4609" s="6" t="str">
        <f>IFERROR(__xludf.DUMMYFUNCTION("""COMPUTED_VALUE"""),"Pieces")</f>
        <v>Pieces</v>
      </c>
      <c r="H4609" s="6" t="str">
        <f>IFERROR(__xludf.DUMMYFUNCTION("""COMPUTED_VALUE"""),"IDR")</f>
        <v>IDR</v>
      </c>
      <c r="I4609" s="6">
        <f>IFERROR(__xludf.DUMMYFUNCTION("""COMPUTED_VALUE"""),1.7693E7)</f>
        <v>17693000</v>
      </c>
      <c r="J4609" s="6">
        <f>IFERROR(__xludf.DUMMYFUNCTION("""COMPUTED_VALUE"""),1.7693E7)</f>
        <v>17693000</v>
      </c>
      <c r="K4609" s="57">
        <f>IFERROR(__xludf.DUMMYFUNCTION("""COMPUTED_VALUE"""),46003.0)</f>
        <v>46003</v>
      </c>
      <c r="L4609" s="6" t="str">
        <f>IFERROR(__xludf.DUMMYFUNCTION("""COMPUTED_VALUE"""),"FIP Engineering")</f>
        <v>FIP Engineering</v>
      </c>
      <c r="M4609" s="6" t="str">
        <f>IFERROR(__xludf.DUMMYFUNCTION("""COMPUTED_VALUE"""),"Mochammad Fadhillah Hakim,")</f>
        <v>Mochammad Fadhillah Hakim,</v>
      </c>
      <c r="N4609" s="6" t="str">
        <f>IFERROR(__xludf.DUMMYFUNCTION("""COMPUTED_VALUE"""),"FIP Engineering")</f>
        <v>FIP Engineering</v>
      </c>
      <c r="O4609" s="6" t="str">
        <f>IFERROR(__xludf.DUMMYFUNCTION("""COMPUTED_VALUE"""),"FIP-DOM-000-11304-OS00001-INA-000000")</f>
        <v>FIP-DOM-000-11304-OS00001-INA-000000</v>
      </c>
      <c r="P4609" s="6" t="str">
        <f>IFERROR(__xludf.DUMMYFUNCTION("""COMPUTED_VALUE"""),"PO Closed")</f>
        <v>PO Closed</v>
      </c>
      <c r="Q4609" s="6" t="str">
        <f>IFERROR(__xludf.DUMMYFUNCTION("""COMPUTED_VALUE"""),"GL2512336")</f>
        <v>GL2512336</v>
      </c>
      <c r="R4609" s="57">
        <f>IFERROR(__xludf.DUMMYFUNCTION("""COMPUTED_VALUE"""),45971.0)</f>
        <v>45971</v>
      </c>
      <c r="S4609" s="57">
        <f>IFERROR(__xludf.DUMMYFUNCTION("""COMPUTED_VALUE"""),45994.0)</f>
        <v>45994</v>
      </c>
      <c r="T4609" s="57">
        <f>IFERROR(__xludf.DUMMYFUNCTION("""COMPUTED_VALUE"""),46068.0)</f>
        <v>46068</v>
      </c>
    </row>
    <row r="4610">
      <c r="A4610" s="6" t="str">
        <f>IFERROR(__xludf.DUMMYFUNCTION("""COMPUTED_VALUE"""),"121703470-1")</f>
        <v>121703470-1</v>
      </c>
      <c r="B4610" s="6" t="str">
        <f>IFERROR(__xludf.DUMMYFUNCTION("""COMPUTED_VALUE"""),"121703470 - APPROVED")</f>
        <v>121703470 - APPROVED</v>
      </c>
      <c r="C4610" s="6">
        <f>IFERROR(__xludf.DUMMYFUNCTION("""COMPUTED_VALUE"""),1.0)</f>
        <v>1</v>
      </c>
      <c r="D4610" s="6" t="str">
        <f>IFERROR(__xludf.DUMMYFUNCTION("""COMPUTED_VALUE"""),"P-10953-00")</f>
        <v>P-10953-00</v>
      </c>
      <c r="E4610" s="6" t="str">
        <f>IFERROR(__xludf.DUMMYFUNCTION("""COMPUTED_VALUE"""),"General - Kawat Las SS 308L Tig Welding 1.6 x 1000mm; No Brand; -; 5 kg/pc")</f>
        <v>General - Kawat Las SS 308L Tig Welding 1.6 x 1000mm; No Brand; -; 5 kg/pc</v>
      </c>
      <c r="F4610" s="6">
        <f>IFERROR(__xludf.DUMMYFUNCTION("""COMPUTED_VALUE"""),1.0)</f>
        <v>1</v>
      </c>
      <c r="G4610" s="6" t="str">
        <f>IFERROR(__xludf.DUMMYFUNCTION("""COMPUTED_VALUE"""),"Pieces")</f>
        <v>Pieces</v>
      </c>
      <c r="H4610" s="6" t="str">
        <f>IFERROR(__xludf.DUMMYFUNCTION("""COMPUTED_VALUE"""),"IDR")</f>
        <v>IDR</v>
      </c>
      <c r="I4610" s="6">
        <f>IFERROR(__xludf.DUMMYFUNCTION("""COMPUTED_VALUE"""),1300000.0)</f>
        <v>1300000</v>
      </c>
      <c r="J4610" s="6">
        <f>IFERROR(__xludf.DUMMYFUNCTION("""COMPUTED_VALUE"""),1300000.0)</f>
        <v>1300000</v>
      </c>
      <c r="K4610" s="57">
        <f>IFERROR(__xludf.DUMMYFUNCTION("""COMPUTED_VALUE"""),46003.0)</f>
        <v>46003</v>
      </c>
      <c r="L4610" s="6" t="str">
        <f>IFERROR(__xludf.DUMMYFUNCTION("""COMPUTED_VALUE"""),"FIP Engineering")</f>
        <v>FIP Engineering</v>
      </c>
      <c r="M4610" s="6" t="str">
        <f>IFERROR(__xludf.DUMMYFUNCTION("""COMPUTED_VALUE"""),"Mochammad Fadhillah Hakim,")</f>
        <v>Mochammad Fadhillah Hakim,</v>
      </c>
      <c r="N4610" s="6" t="str">
        <f>IFERROR(__xludf.DUMMYFUNCTION("""COMPUTED_VALUE"""),"FIP Engineering")</f>
        <v>FIP Engineering</v>
      </c>
      <c r="O4610" s="6" t="str">
        <f>IFERROR(__xludf.DUMMYFUNCTION("""COMPUTED_VALUE"""),"FIP-DOM-000-11304-OS00001-INA-000000")</f>
        <v>FIP-DOM-000-11304-OS00001-INA-000000</v>
      </c>
      <c r="P4610" s="6" t="str">
        <f>IFERROR(__xludf.DUMMYFUNCTION("""COMPUTED_VALUE"""),"PO Closed")</f>
        <v>PO Closed</v>
      </c>
      <c r="Q4610" s="6" t="str">
        <f>IFERROR(__xludf.DUMMYFUNCTION("""COMPUTED_VALUE"""),"GL2511311")</f>
        <v>GL2511311</v>
      </c>
      <c r="R4610" s="57">
        <f>IFERROR(__xludf.DUMMYFUNCTION("""COMPUTED_VALUE"""),45971.0)</f>
        <v>45971</v>
      </c>
      <c r="S4610" s="57">
        <f>IFERROR(__xludf.DUMMYFUNCTION("""COMPUTED_VALUE"""),45973.0)</f>
        <v>45973</v>
      </c>
      <c r="T4610" s="57">
        <f>IFERROR(__xludf.DUMMYFUNCTION("""COMPUTED_VALUE"""),46042.0)</f>
        <v>46042</v>
      </c>
    </row>
    <row r="4611">
      <c r="A4611" s="6" t="str">
        <f>IFERROR(__xludf.DUMMYFUNCTION("""COMPUTED_VALUE"""),"121703471-1")</f>
        <v>121703471-1</v>
      </c>
      <c r="B4611" s="6" t="str">
        <f>IFERROR(__xludf.DUMMYFUNCTION("""COMPUTED_VALUE"""),"121703471 - APPROVED")</f>
        <v>121703471 - APPROVED</v>
      </c>
      <c r="C4611" s="6">
        <f>IFERROR(__xludf.DUMMYFUNCTION("""COMPUTED_VALUE"""),1.0)</f>
        <v>1</v>
      </c>
      <c r="D4611" s="6" t="str">
        <f>IFERROR(__xludf.DUMMYFUNCTION("""COMPUTED_VALUE"""),"S-20105-00")</f>
        <v>S-20105-00</v>
      </c>
      <c r="E4611" s="6" t="str">
        <f>IFERROR(__xludf.DUMMYFUNCTION("""COMPUTED_VALUE"""),"Full Facepiece Reusable Respirator; 3M; 6800 Medium; pc")</f>
        <v>Full Facepiece Reusable Respirator; 3M; 6800 Medium; pc</v>
      </c>
      <c r="F4611" s="6">
        <f>IFERROR(__xludf.DUMMYFUNCTION("""COMPUTED_VALUE"""),2.0)</f>
        <v>2</v>
      </c>
      <c r="G4611" s="6" t="str">
        <f>IFERROR(__xludf.DUMMYFUNCTION("""COMPUTED_VALUE"""),"Pieces")</f>
        <v>Pieces</v>
      </c>
      <c r="H4611" s="6" t="str">
        <f>IFERROR(__xludf.DUMMYFUNCTION("""COMPUTED_VALUE"""),"IDR")</f>
        <v>IDR</v>
      </c>
      <c r="I4611" s="6">
        <f>IFERROR(__xludf.DUMMYFUNCTION("""COMPUTED_VALUE"""),325000.0)</f>
        <v>325000</v>
      </c>
      <c r="J4611" s="6">
        <f>IFERROR(__xludf.DUMMYFUNCTION("""COMPUTED_VALUE"""),650000.0)</f>
        <v>650000</v>
      </c>
      <c r="K4611" s="57">
        <f>IFERROR(__xludf.DUMMYFUNCTION("""COMPUTED_VALUE"""),46003.0)</f>
        <v>46003</v>
      </c>
      <c r="L4611" s="6" t="str">
        <f>IFERROR(__xludf.DUMMYFUNCTION("""COMPUTED_VALUE"""),"FIP General")</f>
        <v>FIP General</v>
      </c>
      <c r="M4611" s="6" t="str">
        <f>IFERROR(__xludf.DUMMYFUNCTION("""COMPUTED_VALUE"""),"Mochammad Fadhillah Hakim,")</f>
        <v>Mochammad Fadhillah Hakim,</v>
      </c>
      <c r="N4611" s="6" t="str">
        <f>IFERROR(__xludf.DUMMYFUNCTION("""COMPUTED_VALUE"""),"FIP Engineering")</f>
        <v>FIP Engineering</v>
      </c>
      <c r="O4611" s="6" t="str">
        <f>IFERROR(__xludf.DUMMYFUNCTION("""COMPUTED_VALUE"""),"FIP-DOM-ENG-51202-0000000-INA-000000")</f>
        <v>FIP-DOM-ENG-51202-0000000-INA-000000</v>
      </c>
      <c r="P4611" s="6" t="str">
        <f>IFERROR(__xludf.DUMMYFUNCTION("""COMPUTED_VALUE"""),"PO Closed")</f>
        <v>PO Closed</v>
      </c>
      <c r="Q4611" s="6" t="str">
        <f>IFERROR(__xludf.DUMMYFUNCTION("""COMPUTED_VALUE"""),"GL2511048")</f>
        <v>GL2511048</v>
      </c>
      <c r="R4611" s="57">
        <f>IFERROR(__xludf.DUMMYFUNCTION("""COMPUTED_VALUE"""),45971.0)</f>
        <v>45971</v>
      </c>
      <c r="S4611" s="57">
        <f>IFERROR(__xludf.DUMMYFUNCTION("""COMPUTED_VALUE"""),45973.0)</f>
        <v>45973</v>
      </c>
      <c r="T4611" s="57">
        <f>IFERROR(__xludf.DUMMYFUNCTION("""COMPUTED_VALUE"""),46003.0)</f>
        <v>46003</v>
      </c>
    </row>
    <row r="4612">
      <c r="A4612" s="6" t="str">
        <f>IFERROR(__xludf.DUMMYFUNCTION("""COMPUTED_VALUE"""),"121703472-1")</f>
        <v>121703472-1</v>
      </c>
      <c r="B4612" s="6" t="str">
        <f>IFERROR(__xludf.DUMMYFUNCTION("""COMPUTED_VALUE"""),"121703472 - APPROVED")</f>
        <v>121703472 - APPROVED</v>
      </c>
      <c r="C4612" s="6">
        <f>IFERROR(__xludf.DUMMYFUNCTION("""COMPUTED_VALUE"""),1.0)</f>
        <v>1</v>
      </c>
      <c r="D4612" s="6" t="str">
        <f>IFERROR(__xludf.DUMMYFUNCTION("""COMPUTED_VALUE"""),"O-50854-00")</f>
        <v>O-50854-00</v>
      </c>
      <c r="E4612" s="6" t="str">
        <f>IFERROR(__xludf.DUMMYFUNCTION("""COMPUTED_VALUE"""),"Overload Relay / LRD10 / 4-6A/Schneider; ; ;")</f>
        <v>Overload Relay / LRD10 / 4-6A/Schneider; ; ;</v>
      </c>
      <c r="F4612" s="6">
        <f>IFERROR(__xludf.DUMMYFUNCTION("""COMPUTED_VALUE"""),9.0)</f>
        <v>9</v>
      </c>
      <c r="G4612" s="6" t="str">
        <f>IFERROR(__xludf.DUMMYFUNCTION("""COMPUTED_VALUE"""),"Pieces")</f>
        <v>Pieces</v>
      </c>
      <c r="H4612" s="6" t="str">
        <f>IFERROR(__xludf.DUMMYFUNCTION("""COMPUTED_VALUE"""),"IDR")</f>
        <v>IDR</v>
      </c>
      <c r="I4612" s="6">
        <f>IFERROR(__xludf.DUMMYFUNCTION("""COMPUTED_VALUE"""),265000.0)</f>
        <v>265000</v>
      </c>
      <c r="J4612" s="6">
        <f>IFERROR(__xludf.DUMMYFUNCTION("""COMPUTED_VALUE"""),2385000.0)</f>
        <v>2385000</v>
      </c>
      <c r="K4612" s="57">
        <f>IFERROR(__xludf.DUMMYFUNCTION("""COMPUTED_VALUE"""),46003.0)</f>
        <v>46003</v>
      </c>
      <c r="L4612" s="6" t="str">
        <f>IFERROR(__xludf.DUMMYFUNCTION("""COMPUTED_VALUE"""),"FIP Engineering")</f>
        <v>FIP Engineering</v>
      </c>
      <c r="M4612" s="6" t="str">
        <f>IFERROR(__xludf.DUMMYFUNCTION("""COMPUTED_VALUE"""),"Mochammad Fadhillah Hakim,")</f>
        <v>Mochammad Fadhillah Hakim,</v>
      </c>
      <c r="N4612" s="6" t="str">
        <f>IFERROR(__xludf.DUMMYFUNCTION("""COMPUTED_VALUE"""),"FIP Engineering")</f>
        <v>FIP Engineering</v>
      </c>
      <c r="O4612" s="6" t="str">
        <f>IFERROR(__xludf.DUMMYFUNCTION("""COMPUTED_VALUE"""),"FIP-DOM-000-11304-OS00001-INA-000000")</f>
        <v>FIP-DOM-000-11304-OS00001-INA-000000</v>
      </c>
      <c r="P4612" s="6" t="str">
        <f>IFERROR(__xludf.DUMMYFUNCTION("""COMPUTED_VALUE"""),"PO Closed")</f>
        <v>PO Closed</v>
      </c>
      <c r="Q4612" s="6" t="str">
        <f>IFERROR(__xludf.DUMMYFUNCTION("""COMPUTED_VALUE"""),"GL2512316")</f>
        <v>GL2512316</v>
      </c>
      <c r="R4612" s="57">
        <f>IFERROR(__xludf.DUMMYFUNCTION("""COMPUTED_VALUE"""),45971.0)</f>
        <v>45971</v>
      </c>
      <c r="S4612" s="57">
        <f>IFERROR(__xludf.DUMMYFUNCTION("""COMPUTED_VALUE"""),45974.0)</f>
        <v>45974</v>
      </c>
      <c r="T4612" s="57">
        <f>IFERROR(__xludf.DUMMYFUNCTION("""COMPUTED_VALUE"""),46042.0)</f>
        <v>46042</v>
      </c>
    </row>
    <row r="4613">
      <c r="A4613" s="6" t="str">
        <f>IFERROR(__xludf.DUMMYFUNCTION("""COMPUTED_VALUE"""),"121703474-1")</f>
        <v>121703474-1</v>
      </c>
      <c r="B4613" s="6" t="str">
        <f>IFERROR(__xludf.DUMMYFUNCTION("""COMPUTED_VALUE"""),"121703474 - APPROVED")</f>
        <v>121703474 - APPROVED</v>
      </c>
      <c r="C4613" s="6">
        <f>IFERROR(__xludf.DUMMYFUNCTION("""COMPUTED_VALUE"""),1.0)</f>
        <v>1</v>
      </c>
      <c r="D4613" s="6" t="str">
        <f>IFERROR(__xludf.DUMMYFUNCTION("""COMPUTED_VALUE"""),"P-20283-00")</f>
        <v>P-20283-00</v>
      </c>
      <c r="E4613" s="6" t="str">
        <f>IFERROR(__xludf.DUMMYFUNCTION("""COMPUTED_VALUE"""),"General - Filter Regulator AW30-03-A; SMC; -; 1 pc")</f>
        <v>General - Filter Regulator AW30-03-A; SMC; -; 1 pc</v>
      </c>
      <c r="F4613" s="6">
        <f>IFERROR(__xludf.DUMMYFUNCTION("""COMPUTED_VALUE"""),2.0)</f>
        <v>2</v>
      </c>
      <c r="G4613" s="6" t="str">
        <f>IFERROR(__xludf.DUMMYFUNCTION("""COMPUTED_VALUE"""),"Pieces")</f>
        <v>Pieces</v>
      </c>
      <c r="H4613" s="6" t="str">
        <f>IFERROR(__xludf.DUMMYFUNCTION("""COMPUTED_VALUE"""),"IDR")</f>
        <v>IDR</v>
      </c>
      <c r="I4613" s="6">
        <f>IFERROR(__xludf.DUMMYFUNCTION("""COMPUTED_VALUE"""),746000.0)</f>
        <v>746000</v>
      </c>
      <c r="J4613" s="6">
        <f>IFERROR(__xludf.DUMMYFUNCTION("""COMPUTED_VALUE"""),1492000.0)</f>
        <v>1492000</v>
      </c>
      <c r="K4613" s="57">
        <f>IFERROR(__xludf.DUMMYFUNCTION("""COMPUTED_VALUE"""),46003.0)</f>
        <v>46003</v>
      </c>
      <c r="L4613" s="6" t="str">
        <f>IFERROR(__xludf.DUMMYFUNCTION("""COMPUTED_VALUE"""),"FIP Engineering")</f>
        <v>FIP Engineering</v>
      </c>
      <c r="M4613" s="6" t="str">
        <f>IFERROR(__xludf.DUMMYFUNCTION("""COMPUTED_VALUE"""),"Mochammad Fadhillah Hakim,")</f>
        <v>Mochammad Fadhillah Hakim,</v>
      </c>
      <c r="N4613" s="6" t="str">
        <f>IFERROR(__xludf.DUMMYFUNCTION("""COMPUTED_VALUE"""),"FIP Engineering")</f>
        <v>FIP Engineering</v>
      </c>
      <c r="O4613" s="6" t="str">
        <f>IFERROR(__xludf.DUMMYFUNCTION("""COMPUTED_VALUE"""),"FIP-DOM-000-11304-OS00001-INA-000000")</f>
        <v>FIP-DOM-000-11304-OS00001-INA-000000</v>
      </c>
      <c r="P4613" s="6" t="str">
        <f>IFERROR(__xludf.DUMMYFUNCTION("""COMPUTED_VALUE"""),"PO Closed")</f>
        <v>PO Closed</v>
      </c>
      <c r="Q4613" s="6" t="str">
        <f>IFERROR(__xludf.DUMMYFUNCTION("""COMPUTED_VALUE"""),"GL2511051")</f>
        <v>GL2511051</v>
      </c>
      <c r="R4613" s="57">
        <f>IFERROR(__xludf.DUMMYFUNCTION("""COMPUTED_VALUE"""),45971.0)</f>
        <v>45971</v>
      </c>
      <c r="S4613" s="57">
        <f>IFERROR(__xludf.DUMMYFUNCTION("""COMPUTED_VALUE"""),45973.0)</f>
        <v>45973</v>
      </c>
      <c r="T4613" s="57">
        <f>IFERROR(__xludf.DUMMYFUNCTION("""COMPUTED_VALUE"""),46003.0)</f>
        <v>46003</v>
      </c>
    </row>
    <row r="4614">
      <c r="A4614" s="6" t="str">
        <f>IFERROR(__xludf.DUMMYFUNCTION("""COMPUTED_VALUE"""),"121703490-1")</f>
        <v>121703490-1</v>
      </c>
      <c r="B4614" s="6" t="str">
        <f>IFERROR(__xludf.DUMMYFUNCTION("""COMPUTED_VALUE"""),"121703490 - APPROVED")</f>
        <v>121703490 - APPROVED</v>
      </c>
      <c r="C4614" s="6">
        <f>IFERROR(__xludf.DUMMYFUNCTION("""COMPUTED_VALUE"""),1.0)</f>
        <v>1</v>
      </c>
      <c r="D4614" s="6" t="str">
        <f>IFERROR(__xludf.DUMMYFUNCTION("""COMPUTED_VALUE"""),"O-53473-00")</f>
        <v>O-53473-00</v>
      </c>
      <c r="E4614" s="6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F4614" s="6">
        <f>IFERROR(__xludf.DUMMYFUNCTION("""COMPUTED_VALUE"""),2.0)</f>
        <v>2</v>
      </c>
      <c r="G4614" s="6" t="str">
        <f>IFERROR(__xludf.DUMMYFUNCTION("""COMPUTED_VALUE"""),"Pieces")</f>
        <v>Pieces</v>
      </c>
      <c r="H4614" s="6" t="str">
        <f>IFERROR(__xludf.DUMMYFUNCTION("""COMPUTED_VALUE"""),"IDR")</f>
        <v>IDR</v>
      </c>
      <c r="I4614" s="6">
        <f>IFERROR(__xludf.DUMMYFUNCTION("""COMPUTED_VALUE"""),244932.0)</f>
        <v>244932</v>
      </c>
      <c r="J4614" s="6">
        <f>IFERROR(__xludf.DUMMYFUNCTION("""COMPUTED_VALUE"""),489864.0)</f>
        <v>489864</v>
      </c>
      <c r="K4614" s="57">
        <f>IFERROR(__xludf.DUMMYFUNCTION("""COMPUTED_VALUE"""),46038.0)</f>
        <v>46038</v>
      </c>
      <c r="L4614" s="6" t="str">
        <f>IFERROR(__xludf.DUMMYFUNCTION("""COMPUTED_VALUE"""),"FIP Engineering")</f>
        <v>FIP Engineering</v>
      </c>
      <c r="M4614" s="6" t="str">
        <f>IFERROR(__xludf.DUMMYFUNCTION("""COMPUTED_VALUE"""),"Mochammad Fadhillah Hakim,")</f>
        <v>Mochammad Fadhillah Hakim,</v>
      </c>
      <c r="N4614" s="6" t="str">
        <f>IFERROR(__xludf.DUMMYFUNCTION("""COMPUTED_VALUE"""),"FIP Engineering")</f>
        <v>FIP Engineering</v>
      </c>
      <c r="O4614" s="6" t="str">
        <f>IFERROR(__xludf.DUMMYFUNCTION("""COMPUTED_VALUE"""),"FIP-DOM-000-11304-OS00001-INA-000000")</f>
        <v>FIP-DOM-000-11304-OS00001-INA-000000</v>
      </c>
      <c r="P4614" s="6" t="str">
        <f>IFERROR(__xludf.DUMMYFUNCTION("""COMPUTED_VALUE"""),"PO Closed")</f>
        <v>PO Closed</v>
      </c>
      <c r="Q4614" s="6" t="str">
        <f>IFERROR(__xludf.DUMMYFUNCTION("""COMPUTED_VALUE"""),"GL2511060")</f>
        <v>GL2511060</v>
      </c>
      <c r="R4614" s="57">
        <f>IFERROR(__xludf.DUMMYFUNCTION("""COMPUTED_VALUE"""),45974.0)</f>
        <v>45974</v>
      </c>
      <c r="S4614" s="57">
        <f>IFERROR(__xludf.DUMMYFUNCTION("""COMPUTED_VALUE"""),45978.0)</f>
        <v>45978</v>
      </c>
      <c r="T4614" s="57">
        <f>IFERROR(__xludf.DUMMYFUNCTION("""COMPUTED_VALUE"""),46097.0)</f>
        <v>46097</v>
      </c>
    </row>
    <row r="4615">
      <c r="A4615" s="6" t="str">
        <f>IFERROR(__xludf.DUMMYFUNCTION("""COMPUTED_VALUE"""),"121703490-2")</f>
        <v>121703490-2</v>
      </c>
      <c r="B4615" s="6" t="str">
        <f>IFERROR(__xludf.DUMMYFUNCTION("""COMPUTED_VALUE"""),"121703490 - APPROVED")</f>
        <v>121703490 - APPROVED</v>
      </c>
      <c r="C4615" s="6">
        <f>IFERROR(__xludf.DUMMYFUNCTION("""COMPUTED_VALUE"""),2.0)</f>
        <v>2</v>
      </c>
      <c r="D4615" s="6" t="str">
        <f>IFERROR(__xludf.DUMMYFUNCTION("""COMPUTED_VALUE"""),"O-53462-00")</f>
        <v>O-53462-00</v>
      </c>
      <c r="E4615" s="6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F4615" s="6">
        <f>IFERROR(__xludf.DUMMYFUNCTION("""COMPUTED_VALUE"""),1.0)</f>
        <v>1</v>
      </c>
      <c r="G4615" s="6" t="str">
        <f>IFERROR(__xludf.DUMMYFUNCTION("""COMPUTED_VALUE"""),"Pieces")</f>
        <v>Pieces</v>
      </c>
      <c r="H4615" s="6" t="str">
        <f>IFERROR(__xludf.DUMMYFUNCTION("""COMPUTED_VALUE"""),"IDR")</f>
        <v>IDR</v>
      </c>
      <c r="I4615" s="6">
        <f>IFERROR(__xludf.DUMMYFUNCTION("""COMPUTED_VALUE"""),342961.0)</f>
        <v>342961</v>
      </c>
      <c r="J4615" s="6">
        <f>IFERROR(__xludf.DUMMYFUNCTION("""COMPUTED_VALUE"""),342961.0)</f>
        <v>342961</v>
      </c>
      <c r="K4615" s="57">
        <f>IFERROR(__xludf.DUMMYFUNCTION("""COMPUTED_VALUE"""),46038.0)</f>
        <v>46038</v>
      </c>
      <c r="L4615" s="6" t="str">
        <f>IFERROR(__xludf.DUMMYFUNCTION("""COMPUTED_VALUE"""),"FIP Engineering")</f>
        <v>FIP Engineering</v>
      </c>
      <c r="M4615" s="6" t="str">
        <f>IFERROR(__xludf.DUMMYFUNCTION("""COMPUTED_VALUE"""),"Mochammad Fadhillah Hakim,")</f>
        <v>Mochammad Fadhillah Hakim,</v>
      </c>
      <c r="N4615" s="6" t="str">
        <f>IFERROR(__xludf.DUMMYFUNCTION("""COMPUTED_VALUE"""),"FIP Engineering")</f>
        <v>FIP Engineering</v>
      </c>
      <c r="O4615" s="6" t="str">
        <f>IFERROR(__xludf.DUMMYFUNCTION("""COMPUTED_VALUE"""),"FIP-DOM-000-11304-OS00001-INA-000000")</f>
        <v>FIP-DOM-000-11304-OS00001-INA-000000</v>
      </c>
      <c r="P4615" s="6" t="str">
        <f>IFERROR(__xludf.DUMMYFUNCTION("""COMPUTED_VALUE"""),"PO Closed")</f>
        <v>PO Closed</v>
      </c>
      <c r="Q4615" s="6" t="str">
        <f>IFERROR(__xludf.DUMMYFUNCTION("""COMPUTED_VALUE"""),"GL2511060")</f>
        <v>GL2511060</v>
      </c>
      <c r="R4615" s="57">
        <f>IFERROR(__xludf.DUMMYFUNCTION("""COMPUTED_VALUE"""),45974.0)</f>
        <v>45974</v>
      </c>
      <c r="S4615" s="57">
        <f>IFERROR(__xludf.DUMMYFUNCTION("""COMPUTED_VALUE"""),45978.0)</f>
        <v>45978</v>
      </c>
      <c r="T4615" s="57">
        <f>IFERROR(__xludf.DUMMYFUNCTION("""COMPUTED_VALUE"""),46097.0)</f>
        <v>46097</v>
      </c>
    </row>
    <row r="4616">
      <c r="A4616" s="6" t="str">
        <f>IFERROR(__xludf.DUMMYFUNCTION("""COMPUTED_VALUE"""),"121703490-3")</f>
        <v>121703490-3</v>
      </c>
      <c r="B4616" s="6" t="str">
        <f>IFERROR(__xludf.DUMMYFUNCTION("""COMPUTED_VALUE"""),"121703490 - APPROVED")</f>
        <v>121703490 - APPROVED</v>
      </c>
      <c r="C4616" s="6">
        <f>IFERROR(__xludf.DUMMYFUNCTION("""COMPUTED_VALUE"""),3.0)</f>
        <v>3</v>
      </c>
      <c r="D4616" s="6" t="str">
        <f>IFERROR(__xludf.DUMMYFUNCTION("""COMPUTED_VALUE"""),"O-53463-00")</f>
        <v>O-53463-00</v>
      </c>
      <c r="E4616" s="6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F4616" s="6">
        <f>IFERROR(__xludf.DUMMYFUNCTION("""COMPUTED_VALUE"""),1.0)</f>
        <v>1</v>
      </c>
      <c r="G4616" s="6" t="str">
        <f>IFERROR(__xludf.DUMMYFUNCTION("""COMPUTED_VALUE"""),"Pieces")</f>
        <v>Pieces</v>
      </c>
      <c r="H4616" s="6" t="str">
        <f>IFERROR(__xludf.DUMMYFUNCTION("""COMPUTED_VALUE"""),"IDR")</f>
        <v>IDR</v>
      </c>
      <c r="I4616" s="6">
        <f>IFERROR(__xludf.DUMMYFUNCTION("""COMPUTED_VALUE"""),637093.0)</f>
        <v>637093</v>
      </c>
      <c r="J4616" s="6">
        <f>IFERROR(__xludf.DUMMYFUNCTION("""COMPUTED_VALUE"""),637093.0)</f>
        <v>637093</v>
      </c>
      <c r="K4616" s="57">
        <f>IFERROR(__xludf.DUMMYFUNCTION("""COMPUTED_VALUE"""),46038.0)</f>
        <v>46038</v>
      </c>
      <c r="L4616" s="6" t="str">
        <f>IFERROR(__xludf.DUMMYFUNCTION("""COMPUTED_VALUE"""),"FIP Engineering")</f>
        <v>FIP Engineering</v>
      </c>
      <c r="M4616" s="6" t="str">
        <f>IFERROR(__xludf.DUMMYFUNCTION("""COMPUTED_VALUE"""),"Mochammad Fadhillah Hakim,")</f>
        <v>Mochammad Fadhillah Hakim,</v>
      </c>
      <c r="N4616" s="6" t="str">
        <f>IFERROR(__xludf.DUMMYFUNCTION("""COMPUTED_VALUE"""),"FIP Engineering")</f>
        <v>FIP Engineering</v>
      </c>
      <c r="O4616" s="6" t="str">
        <f>IFERROR(__xludf.DUMMYFUNCTION("""COMPUTED_VALUE"""),"FIP-DOM-000-11304-OS00001-INA-000000")</f>
        <v>FIP-DOM-000-11304-OS00001-INA-000000</v>
      </c>
      <c r="P4616" s="6" t="str">
        <f>IFERROR(__xludf.DUMMYFUNCTION("""COMPUTED_VALUE"""),"PO Closed")</f>
        <v>PO Closed</v>
      </c>
      <c r="Q4616" s="6" t="str">
        <f>IFERROR(__xludf.DUMMYFUNCTION("""COMPUTED_VALUE"""),"GL2511060")</f>
        <v>GL2511060</v>
      </c>
      <c r="R4616" s="57">
        <f>IFERROR(__xludf.DUMMYFUNCTION("""COMPUTED_VALUE"""),45974.0)</f>
        <v>45974</v>
      </c>
      <c r="S4616" s="57">
        <f>IFERROR(__xludf.DUMMYFUNCTION("""COMPUTED_VALUE"""),45978.0)</f>
        <v>45978</v>
      </c>
      <c r="T4616" s="57">
        <f>IFERROR(__xludf.DUMMYFUNCTION("""COMPUTED_VALUE"""),46097.0)</f>
        <v>46097</v>
      </c>
    </row>
    <row r="4617">
      <c r="A4617" s="6" t="str">
        <f>IFERROR(__xludf.DUMMYFUNCTION("""COMPUTED_VALUE"""),"121703490-4")</f>
        <v>121703490-4</v>
      </c>
      <c r="B4617" s="6" t="str">
        <f>IFERROR(__xludf.DUMMYFUNCTION("""COMPUTED_VALUE"""),"121703490 - APPROVED")</f>
        <v>121703490 - APPROVED</v>
      </c>
      <c r="C4617" s="6">
        <f>IFERROR(__xludf.DUMMYFUNCTION("""COMPUTED_VALUE"""),4.0)</f>
        <v>4</v>
      </c>
      <c r="D4617" s="6" t="str">
        <f>IFERROR(__xludf.DUMMYFUNCTION("""COMPUTED_VALUE"""),"O-53465-00")</f>
        <v>O-53465-00</v>
      </c>
      <c r="E4617" s="6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F4617" s="6">
        <f>IFERROR(__xludf.DUMMYFUNCTION("""COMPUTED_VALUE"""),1.0)</f>
        <v>1</v>
      </c>
      <c r="G4617" s="6" t="str">
        <f>IFERROR(__xludf.DUMMYFUNCTION("""COMPUTED_VALUE"""),"Pieces")</f>
        <v>Pieces</v>
      </c>
      <c r="H4617" s="6" t="str">
        <f>IFERROR(__xludf.DUMMYFUNCTION("""COMPUTED_VALUE"""),"IDR")</f>
        <v>IDR</v>
      </c>
      <c r="I4617" s="6">
        <f>IFERROR(__xludf.DUMMYFUNCTION("""COMPUTED_VALUE"""),833181.0)</f>
        <v>833181</v>
      </c>
      <c r="J4617" s="6">
        <f>IFERROR(__xludf.DUMMYFUNCTION("""COMPUTED_VALUE"""),833181.0)</f>
        <v>833181</v>
      </c>
      <c r="K4617" s="57">
        <f>IFERROR(__xludf.DUMMYFUNCTION("""COMPUTED_VALUE"""),46038.0)</f>
        <v>46038</v>
      </c>
      <c r="L4617" s="6" t="str">
        <f>IFERROR(__xludf.DUMMYFUNCTION("""COMPUTED_VALUE"""),"FIP Engineering")</f>
        <v>FIP Engineering</v>
      </c>
      <c r="M4617" s="6" t="str">
        <f>IFERROR(__xludf.DUMMYFUNCTION("""COMPUTED_VALUE"""),"Mochammad Fadhillah Hakim,")</f>
        <v>Mochammad Fadhillah Hakim,</v>
      </c>
      <c r="N4617" s="6" t="str">
        <f>IFERROR(__xludf.DUMMYFUNCTION("""COMPUTED_VALUE"""),"FIP Engineering")</f>
        <v>FIP Engineering</v>
      </c>
      <c r="O4617" s="6" t="str">
        <f>IFERROR(__xludf.DUMMYFUNCTION("""COMPUTED_VALUE"""),"FIP-DOM-000-11304-OS00001-INA-000000")</f>
        <v>FIP-DOM-000-11304-OS00001-INA-000000</v>
      </c>
      <c r="P4617" s="6" t="str">
        <f>IFERROR(__xludf.DUMMYFUNCTION("""COMPUTED_VALUE"""),"PO Closed")</f>
        <v>PO Closed</v>
      </c>
      <c r="Q4617" s="6" t="str">
        <f>IFERROR(__xludf.DUMMYFUNCTION("""COMPUTED_VALUE"""),"GL2511060")</f>
        <v>GL2511060</v>
      </c>
      <c r="R4617" s="57">
        <f>IFERROR(__xludf.DUMMYFUNCTION("""COMPUTED_VALUE"""),45974.0)</f>
        <v>45974</v>
      </c>
      <c r="S4617" s="57">
        <f>IFERROR(__xludf.DUMMYFUNCTION("""COMPUTED_VALUE"""),45978.0)</f>
        <v>45978</v>
      </c>
      <c r="T4617" s="57">
        <f>IFERROR(__xludf.DUMMYFUNCTION("""COMPUTED_VALUE"""),46097.0)</f>
        <v>46097</v>
      </c>
    </row>
    <row r="4618">
      <c r="A4618" s="6" t="str">
        <f>IFERROR(__xludf.DUMMYFUNCTION("""COMPUTED_VALUE"""),"121703490-5")</f>
        <v>121703490-5</v>
      </c>
      <c r="B4618" s="6" t="str">
        <f>IFERROR(__xludf.DUMMYFUNCTION("""COMPUTED_VALUE"""),"121703490 - APPROVED")</f>
        <v>121703490 - APPROVED</v>
      </c>
      <c r="C4618" s="6">
        <f>IFERROR(__xludf.DUMMYFUNCTION("""COMPUTED_VALUE"""),5.0)</f>
        <v>5</v>
      </c>
      <c r="D4618" s="6" t="str">
        <f>IFERROR(__xludf.DUMMYFUNCTION("""COMPUTED_VALUE"""),"O-53474-00")</f>
        <v>O-53474-00</v>
      </c>
      <c r="E4618" s="6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F4618" s="6">
        <f>IFERROR(__xludf.DUMMYFUNCTION("""COMPUTED_VALUE"""),2.0)</f>
        <v>2</v>
      </c>
      <c r="G4618" s="6" t="str">
        <f>IFERROR(__xludf.DUMMYFUNCTION("""COMPUTED_VALUE"""),"Pieces")</f>
        <v>Pieces</v>
      </c>
      <c r="H4618" s="6" t="str">
        <f>IFERROR(__xludf.DUMMYFUNCTION("""COMPUTED_VALUE"""),"IDR")</f>
        <v>IDR</v>
      </c>
      <c r="I4618" s="6">
        <f>IFERROR(__xludf.DUMMYFUNCTION("""COMPUTED_VALUE"""),1371235.0)</f>
        <v>1371235</v>
      </c>
      <c r="J4618" s="6">
        <f>IFERROR(__xludf.DUMMYFUNCTION("""COMPUTED_VALUE"""),2742469.0)</f>
        <v>2742469</v>
      </c>
      <c r="K4618" s="57">
        <f>IFERROR(__xludf.DUMMYFUNCTION("""COMPUTED_VALUE"""),46038.0)</f>
        <v>46038</v>
      </c>
      <c r="L4618" s="6" t="str">
        <f>IFERROR(__xludf.DUMMYFUNCTION("""COMPUTED_VALUE"""),"FIP Engineering")</f>
        <v>FIP Engineering</v>
      </c>
      <c r="M4618" s="6" t="str">
        <f>IFERROR(__xludf.DUMMYFUNCTION("""COMPUTED_VALUE"""),"Mochammad Fadhillah Hakim,")</f>
        <v>Mochammad Fadhillah Hakim,</v>
      </c>
      <c r="N4618" s="6" t="str">
        <f>IFERROR(__xludf.DUMMYFUNCTION("""COMPUTED_VALUE"""),"FIP Engineering")</f>
        <v>FIP Engineering</v>
      </c>
      <c r="O4618" s="6" t="str">
        <f>IFERROR(__xludf.DUMMYFUNCTION("""COMPUTED_VALUE"""),"FIP-DOM-000-11304-OS00001-INA-000000")</f>
        <v>FIP-DOM-000-11304-OS00001-INA-000000</v>
      </c>
      <c r="P4618" s="6" t="str">
        <f>IFERROR(__xludf.DUMMYFUNCTION("""COMPUTED_VALUE"""),"PO Closed")</f>
        <v>PO Closed</v>
      </c>
      <c r="Q4618" s="6" t="str">
        <f>IFERROR(__xludf.DUMMYFUNCTION("""COMPUTED_VALUE"""),"GL2511060")</f>
        <v>GL2511060</v>
      </c>
      <c r="R4618" s="57">
        <f>IFERROR(__xludf.DUMMYFUNCTION("""COMPUTED_VALUE"""),45974.0)</f>
        <v>45974</v>
      </c>
      <c r="S4618" s="57">
        <f>IFERROR(__xludf.DUMMYFUNCTION("""COMPUTED_VALUE"""),45978.0)</f>
        <v>45978</v>
      </c>
      <c r="T4618" s="57">
        <f>IFERROR(__xludf.DUMMYFUNCTION("""COMPUTED_VALUE"""),46097.0)</f>
        <v>46097</v>
      </c>
    </row>
    <row r="4619">
      <c r="A4619" s="6" t="str">
        <f>IFERROR(__xludf.DUMMYFUNCTION("""COMPUTED_VALUE"""),"121703490-6")</f>
        <v>121703490-6</v>
      </c>
      <c r="B4619" s="6" t="str">
        <f>IFERROR(__xludf.DUMMYFUNCTION("""COMPUTED_VALUE"""),"121703490 - APPROVED")</f>
        <v>121703490 - APPROVED</v>
      </c>
      <c r="C4619" s="6">
        <f>IFERROR(__xludf.DUMMYFUNCTION("""COMPUTED_VALUE"""),6.0)</f>
        <v>6</v>
      </c>
      <c r="D4619" s="6" t="str">
        <f>IFERROR(__xludf.DUMMYFUNCTION("""COMPUTED_VALUE"""),"O-53481-00")</f>
        <v>O-53481-00</v>
      </c>
      <c r="E4619" s="6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F4619" s="6">
        <f>IFERROR(__xludf.DUMMYFUNCTION("""COMPUTED_VALUE"""),1.0)</f>
        <v>1</v>
      </c>
      <c r="G4619" s="6" t="str">
        <f>IFERROR(__xludf.DUMMYFUNCTION("""COMPUTED_VALUE"""),"Pieces")</f>
        <v>Pieces</v>
      </c>
      <c r="H4619" s="6" t="str">
        <f>IFERROR(__xludf.DUMMYFUNCTION("""COMPUTED_VALUE"""),"IDR")</f>
        <v>IDR</v>
      </c>
      <c r="I4619" s="6">
        <f>IFERROR(__xludf.DUMMYFUNCTION("""COMPUTED_VALUE"""),1860906.0)</f>
        <v>1860906</v>
      </c>
      <c r="J4619" s="6">
        <f>IFERROR(__xludf.DUMMYFUNCTION("""COMPUTED_VALUE"""),1860906.0)</f>
        <v>1860906</v>
      </c>
      <c r="K4619" s="57">
        <f>IFERROR(__xludf.DUMMYFUNCTION("""COMPUTED_VALUE"""),46038.0)</f>
        <v>46038</v>
      </c>
      <c r="L4619" s="6" t="str">
        <f>IFERROR(__xludf.DUMMYFUNCTION("""COMPUTED_VALUE"""),"FIP Engineering")</f>
        <v>FIP Engineering</v>
      </c>
      <c r="M4619" s="6" t="str">
        <f>IFERROR(__xludf.DUMMYFUNCTION("""COMPUTED_VALUE"""),"Mochammad Fadhillah Hakim,")</f>
        <v>Mochammad Fadhillah Hakim,</v>
      </c>
      <c r="N4619" s="6" t="str">
        <f>IFERROR(__xludf.DUMMYFUNCTION("""COMPUTED_VALUE"""),"FIP Engineering")</f>
        <v>FIP Engineering</v>
      </c>
      <c r="O4619" s="6" t="str">
        <f>IFERROR(__xludf.DUMMYFUNCTION("""COMPUTED_VALUE"""),"FIP-DOM-000-11304-OS00001-INA-000000")</f>
        <v>FIP-DOM-000-11304-OS00001-INA-000000</v>
      </c>
      <c r="P4619" s="6" t="str">
        <f>IFERROR(__xludf.DUMMYFUNCTION("""COMPUTED_VALUE"""),"PO Closed")</f>
        <v>PO Closed</v>
      </c>
      <c r="Q4619" s="6" t="str">
        <f>IFERROR(__xludf.DUMMYFUNCTION("""COMPUTED_VALUE"""),"GL2511060")</f>
        <v>GL2511060</v>
      </c>
      <c r="R4619" s="57">
        <f>IFERROR(__xludf.DUMMYFUNCTION("""COMPUTED_VALUE"""),45974.0)</f>
        <v>45974</v>
      </c>
      <c r="S4619" s="57">
        <f>IFERROR(__xludf.DUMMYFUNCTION("""COMPUTED_VALUE"""),45978.0)</f>
        <v>45978</v>
      </c>
      <c r="T4619" s="57">
        <f>IFERROR(__xludf.DUMMYFUNCTION("""COMPUTED_VALUE"""),46097.0)</f>
        <v>46097</v>
      </c>
    </row>
    <row r="4620">
      <c r="A4620" s="6" t="str">
        <f>IFERROR(__xludf.DUMMYFUNCTION("""COMPUTED_VALUE"""),"121703490-7")</f>
        <v>121703490-7</v>
      </c>
      <c r="B4620" s="6" t="str">
        <f>IFERROR(__xludf.DUMMYFUNCTION("""COMPUTED_VALUE"""),"121703490 - APPROVED")</f>
        <v>121703490 - APPROVED</v>
      </c>
      <c r="C4620" s="6">
        <f>IFERROR(__xludf.DUMMYFUNCTION("""COMPUTED_VALUE"""),7.0)</f>
        <v>7</v>
      </c>
      <c r="D4620" s="6" t="str">
        <f>IFERROR(__xludf.DUMMYFUNCTION("""COMPUTED_VALUE"""),"O-53464-00")</f>
        <v>O-53464-00</v>
      </c>
      <c r="E4620" s="6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F4620" s="6">
        <f>IFERROR(__xludf.DUMMYFUNCTION("""COMPUTED_VALUE"""),1.0)</f>
        <v>1</v>
      </c>
      <c r="G4620" s="6" t="str">
        <f>IFERROR(__xludf.DUMMYFUNCTION("""COMPUTED_VALUE"""),"Pieces")</f>
        <v>Pieces</v>
      </c>
      <c r="H4620" s="6" t="str">
        <f>IFERROR(__xludf.DUMMYFUNCTION("""COMPUTED_VALUE"""),"IDR")</f>
        <v>IDR</v>
      </c>
      <c r="I4620" s="6">
        <f>IFERROR(__xludf.DUMMYFUNCTION("""COMPUTED_VALUE"""),3283316.0)</f>
        <v>3283316</v>
      </c>
      <c r="J4620" s="6">
        <f>IFERROR(__xludf.DUMMYFUNCTION("""COMPUTED_VALUE"""),3283316.0)</f>
        <v>3283316</v>
      </c>
      <c r="K4620" s="57">
        <f>IFERROR(__xludf.DUMMYFUNCTION("""COMPUTED_VALUE"""),46038.0)</f>
        <v>46038</v>
      </c>
      <c r="L4620" s="6" t="str">
        <f>IFERROR(__xludf.DUMMYFUNCTION("""COMPUTED_VALUE"""),"FIP Engineering")</f>
        <v>FIP Engineering</v>
      </c>
      <c r="M4620" s="6" t="str">
        <f>IFERROR(__xludf.DUMMYFUNCTION("""COMPUTED_VALUE"""),"Mochammad Fadhillah Hakim,")</f>
        <v>Mochammad Fadhillah Hakim,</v>
      </c>
      <c r="N4620" s="6" t="str">
        <f>IFERROR(__xludf.DUMMYFUNCTION("""COMPUTED_VALUE"""),"FIP Engineering")</f>
        <v>FIP Engineering</v>
      </c>
      <c r="O4620" s="6" t="str">
        <f>IFERROR(__xludf.DUMMYFUNCTION("""COMPUTED_VALUE"""),"FIP-DOM-000-11304-OS00001-INA-000000")</f>
        <v>FIP-DOM-000-11304-OS00001-INA-000000</v>
      </c>
      <c r="P4620" s="6" t="str">
        <f>IFERROR(__xludf.DUMMYFUNCTION("""COMPUTED_VALUE"""),"PO Closed")</f>
        <v>PO Closed</v>
      </c>
      <c r="Q4620" s="6" t="str">
        <f>IFERROR(__xludf.DUMMYFUNCTION("""COMPUTED_VALUE"""),"GL2511060")</f>
        <v>GL2511060</v>
      </c>
      <c r="R4620" s="57">
        <f>IFERROR(__xludf.DUMMYFUNCTION("""COMPUTED_VALUE"""),45974.0)</f>
        <v>45974</v>
      </c>
      <c r="S4620" s="57">
        <f>IFERROR(__xludf.DUMMYFUNCTION("""COMPUTED_VALUE"""),45978.0)</f>
        <v>45978</v>
      </c>
      <c r="T4620" s="57">
        <f>IFERROR(__xludf.DUMMYFUNCTION("""COMPUTED_VALUE"""),46215.0)</f>
        <v>46215</v>
      </c>
    </row>
    <row r="4621">
      <c r="A4621" s="6" t="str">
        <f>IFERROR(__xludf.DUMMYFUNCTION("""COMPUTED_VALUE"""),"121703490-8")</f>
        <v>121703490-8</v>
      </c>
      <c r="B4621" s="6" t="str">
        <f>IFERROR(__xludf.DUMMYFUNCTION("""COMPUTED_VALUE"""),"121703490 - APPROVED")</f>
        <v>121703490 - APPROVED</v>
      </c>
      <c r="C4621" s="6">
        <f>IFERROR(__xludf.DUMMYFUNCTION("""COMPUTED_VALUE"""),8.0)</f>
        <v>8</v>
      </c>
      <c r="D4621" s="6" t="str">
        <f>IFERROR(__xludf.DUMMYFUNCTION("""COMPUTED_VALUE"""),"O-53482-00")</f>
        <v>O-53482-00</v>
      </c>
      <c r="E4621" s="6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F4621" s="6">
        <f>IFERROR(__xludf.DUMMYFUNCTION("""COMPUTED_VALUE"""),1.0)</f>
        <v>1</v>
      </c>
      <c r="G4621" s="6" t="str">
        <f>IFERROR(__xludf.DUMMYFUNCTION("""COMPUTED_VALUE"""),"Pieces")</f>
        <v>Pieces</v>
      </c>
      <c r="H4621" s="6" t="str">
        <f>IFERROR(__xludf.DUMMYFUNCTION("""COMPUTED_VALUE"""),"IDR")</f>
        <v>IDR</v>
      </c>
      <c r="I4621" s="6">
        <f>IFERROR(__xludf.DUMMYFUNCTION("""COMPUTED_VALUE"""),4162497.0)</f>
        <v>4162497</v>
      </c>
      <c r="J4621" s="6">
        <f>IFERROR(__xludf.DUMMYFUNCTION("""COMPUTED_VALUE"""),4162497.0)</f>
        <v>4162497</v>
      </c>
      <c r="K4621" s="57">
        <f>IFERROR(__xludf.DUMMYFUNCTION("""COMPUTED_VALUE"""),46038.0)</f>
        <v>46038</v>
      </c>
      <c r="L4621" s="6" t="str">
        <f>IFERROR(__xludf.DUMMYFUNCTION("""COMPUTED_VALUE"""),"FIP Engineering")</f>
        <v>FIP Engineering</v>
      </c>
      <c r="M4621" s="6" t="str">
        <f>IFERROR(__xludf.DUMMYFUNCTION("""COMPUTED_VALUE"""),"Mochammad Fadhillah Hakim,")</f>
        <v>Mochammad Fadhillah Hakim,</v>
      </c>
      <c r="N4621" s="6" t="str">
        <f>IFERROR(__xludf.DUMMYFUNCTION("""COMPUTED_VALUE"""),"FIP Engineering")</f>
        <v>FIP Engineering</v>
      </c>
      <c r="O4621" s="6" t="str">
        <f>IFERROR(__xludf.DUMMYFUNCTION("""COMPUTED_VALUE"""),"FIP-DOM-000-11304-OS00001-INA-000000")</f>
        <v>FIP-DOM-000-11304-OS00001-INA-000000</v>
      </c>
      <c r="P4621" s="6" t="str">
        <f>IFERROR(__xludf.DUMMYFUNCTION("""COMPUTED_VALUE"""),"PO Closed")</f>
        <v>PO Closed</v>
      </c>
      <c r="Q4621" s="6" t="str">
        <f>IFERROR(__xludf.DUMMYFUNCTION("""COMPUTED_VALUE"""),"GL2511060")</f>
        <v>GL2511060</v>
      </c>
      <c r="R4621" s="57">
        <f>IFERROR(__xludf.DUMMYFUNCTION("""COMPUTED_VALUE"""),45974.0)</f>
        <v>45974</v>
      </c>
      <c r="S4621" s="57">
        <f>IFERROR(__xludf.DUMMYFUNCTION("""COMPUTED_VALUE"""),45978.0)</f>
        <v>45978</v>
      </c>
      <c r="T4621" s="57">
        <f>IFERROR(__xludf.DUMMYFUNCTION("""COMPUTED_VALUE"""),46097.0)</f>
        <v>46097</v>
      </c>
    </row>
    <row r="4622">
      <c r="A4622" s="6" t="str">
        <f>IFERROR(__xludf.DUMMYFUNCTION("""COMPUTED_VALUE"""),"121703490-9")</f>
        <v>121703490-9</v>
      </c>
      <c r="B4622" s="6" t="str">
        <f>IFERROR(__xludf.DUMMYFUNCTION("""COMPUTED_VALUE"""),"121703490 - APPROVED")</f>
        <v>121703490 - APPROVED</v>
      </c>
      <c r="C4622" s="6">
        <f>IFERROR(__xludf.DUMMYFUNCTION("""COMPUTED_VALUE"""),9.0)</f>
        <v>9</v>
      </c>
      <c r="D4622" s="6" t="str">
        <f>IFERROR(__xludf.DUMMYFUNCTION("""COMPUTED_VALUE"""),"O-18345-00")</f>
        <v>O-18345-00</v>
      </c>
      <c r="E4622" s="6" t="str">
        <f>IFERROR(__xludf.DUMMYFUNCTION("""COMPUTED_VALUE"""),"Silicon suction cup 01.11.16 PN: 202082; ; ;")</f>
        <v>Silicon suction cup 01.11.16 PN: 202082; ; ;</v>
      </c>
      <c r="F4622" s="6">
        <f>IFERROR(__xludf.DUMMYFUNCTION("""COMPUTED_VALUE"""),100.0)</f>
        <v>100</v>
      </c>
      <c r="G4622" s="6" t="str">
        <f>IFERROR(__xludf.DUMMYFUNCTION("""COMPUTED_VALUE"""),"Pieces")</f>
        <v>Pieces</v>
      </c>
      <c r="H4622" s="6" t="str">
        <f>IFERROR(__xludf.DUMMYFUNCTION("""COMPUTED_VALUE"""),"IDR")</f>
        <v>IDR</v>
      </c>
      <c r="I4622" s="6">
        <f>IFERROR(__xludf.DUMMYFUNCTION("""COMPUTED_VALUE"""),98647.0)</f>
        <v>98647</v>
      </c>
      <c r="J4622" s="6">
        <f>IFERROR(__xludf.DUMMYFUNCTION("""COMPUTED_VALUE"""),9864653.0)</f>
        <v>9864653</v>
      </c>
      <c r="K4622" s="57">
        <f>IFERROR(__xludf.DUMMYFUNCTION("""COMPUTED_VALUE"""),46038.0)</f>
        <v>46038</v>
      </c>
      <c r="L4622" s="6" t="str">
        <f>IFERROR(__xludf.DUMMYFUNCTION("""COMPUTED_VALUE"""),"FIP Engineering")</f>
        <v>FIP Engineering</v>
      </c>
      <c r="M4622" s="6" t="str">
        <f>IFERROR(__xludf.DUMMYFUNCTION("""COMPUTED_VALUE"""),"Mochammad Fadhillah Hakim,")</f>
        <v>Mochammad Fadhillah Hakim,</v>
      </c>
      <c r="N4622" s="6" t="str">
        <f>IFERROR(__xludf.DUMMYFUNCTION("""COMPUTED_VALUE"""),"FIP Engineering")</f>
        <v>FIP Engineering</v>
      </c>
      <c r="O4622" s="6" t="str">
        <f>IFERROR(__xludf.DUMMYFUNCTION("""COMPUTED_VALUE"""),"FIP-DOM-000-11304-OS00001-INA-000000")</f>
        <v>FIP-DOM-000-11304-OS00001-INA-000000</v>
      </c>
      <c r="P4622" s="6" t="str">
        <f>IFERROR(__xludf.DUMMYFUNCTION("""COMPUTED_VALUE"""),"PO Closed")</f>
        <v>PO Closed</v>
      </c>
      <c r="Q4622" s="6" t="str">
        <f>IFERROR(__xludf.DUMMYFUNCTION("""COMPUTED_VALUE"""),"GL2511060")</f>
        <v>GL2511060</v>
      </c>
      <c r="R4622" s="57">
        <f>IFERROR(__xludf.DUMMYFUNCTION("""COMPUTED_VALUE"""),45974.0)</f>
        <v>45974</v>
      </c>
      <c r="S4622" s="57">
        <f>IFERROR(__xludf.DUMMYFUNCTION("""COMPUTED_VALUE"""),45978.0)</f>
        <v>45978</v>
      </c>
      <c r="T4622" s="57">
        <f>IFERROR(__xludf.DUMMYFUNCTION("""COMPUTED_VALUE"""),46097.0)</f>
        <v>46097</v>
      </c>
    </row>
    <row r="4623">
      <c r="A4623" s="6" t="str">
        <f>IFERROR(__xludf.DUMMYFUNCTION("""COMPUTED_VALUE"""),"121703490-10")</f>
        <v>121703490-10</v>
      </c>
      <c r="B4623" s="6" t="str">
        <f>IFERROR(__xludf.DUMMYFUNCTION("""COMPUTED_VALUE"""),"121703490 - APPROVED")</f>
        <v>121703490 - APPROVED</v>
      </c>
      <c r="C4623" s="6">
        <f>IFERROR(__xludf.DUMMYFUNCTION("""COMPUTED_VALUE"""),10.0)</f>
        <v>10</v>
      </c>
      <c r="D4623" s="6" t="str">
        <f>IFERROR(__xludf.DUMMYFUNCTION("""COMPUTED_VALUE"""),"O-53460-00")</f>
        <v>O-53460-00</v>
      </c>
      <c r="E4623" s="6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F4623" s="6">
        <f>IFERROR(__xludf.DUMMYFUNCTION("""COMPUTED_VALUE"""),1.0)</f>
        <v>1</v>
      </c>
      <c r="G4623" s="6" t="str">
        <f>IFERROR(__xludf.DUMMYFUNCTION("""COMPUTED_VALUE"""),"Pieces")</f>
        <v>Pieces</v>
      </c>
      <c r="H4623" s="6" t="str">
        <f>IFERROR(__xludf.DUMMYFUNCTION("""COMPUTED_VALUE"""),"IDR")</f>
        <v>IDR</v>
      </c>
      <c r="I4623" s="6">
        <f>IFERROR(__xludf.DUMMYFUNCTION("""COMPUTED_VALUE"""),1.5142973E7)</f>
        <v>15142973</v>
      </c>
      <c r="J4623" s="6">
        <f>IFERROR(__xludf.DUMMYFUNCTION("""COMPUTED_VALUE"""),1.5142973E7)</f>
        <v>15142973</v>
      </c>
      <c r="K4623" s="57">
        <f>IFERROR(__xludf.DUMMYFUNCTION("""COMPUTED_VALUE"""),46038.0)</f>
        <v>46038</v>
      </c>
      <c r="L4623" s="6" t="str">
        <f>IFERROR(__xludf.DUMMYFUNCTION("""COMPUTED_VALUE"""),"FIP Engineering")</f>
        <v>FIP Engineering</v>
      </c>
      <c r="M4623" s="6" t="str">
        <f>IFERROR(__xludf.DUMMYFUNCTION("""COMPUTED_VALUE"""),"Mochammad Fadhillah Hakim,")</f>
        <v>Mochammad Fadhillah Hakim,</v>
      </c>
      <c r="N4623" s="6" t="str">
        <f>IFERROR(__xludf.DUMMYFUNCTION("""COMPUTED_VALUE"""),"FIP Engineering")</f>
        <v>FIP Engineering</v>
      </c>
      <c r="O4623" s="6" t="str">
        <f>IFERROR(__xludf.DUMMYFUNCTION("""COMPUTED_VALUE"""),"FIP-DOM-000-11304-OS00001-INA-000000")</f>
        <v>FIP-DOM-000-11304-OS00001-INA-000000</v>
      </c>
      <c r="P4623" s="6" t="str">
        <f>IFERROR(__xludf.DUMMYFUNCTION("""COMPUTED_VALUE"""),"PO Closed")</f>
        <v>PO Closed</v>
      </c>
      <c r="Q4623" s="6" t="str">
        <f>IFERROR(__xludf.DUMMYFUNCTION("""COMPUTED_VALUE"""),"GL2511060")</f>
        <v>GL2511060</v>
      </c>
      <c r="R4623" s="57">
        <f>IFERROR(__xludf.DUMMYFUNCTION("""COMPUTED_VALUE"""),45974.0)</f>
        <v>45974</v>
      </c>
      <c r="S4623" s="57">
        <f>IFERROR(__xludf.DUMMYFUNCTION("""COMPUTED_VALUE"""),45978.0)</f>
        <v>45978</v>
      </c>
      <c r="T4623" s="57">
        <f>IFERROR(__xludf.DUMMYFUNCTION("""COMPUTED_VALUE"""),46097.0)</f>
        <v>46097</v>
      </c>
    </row>
    <row r="4624">
      <c r="A4624" s="6" t="str">
        <f>IFERROR(__xludf.DUMMYFUNCTION("""COMPUTED_VALUE"""),"121703492-1")</f>
        <v>121703492-1</v>
      </c>
      <c r="B4624" s="6" t="str">
        <f>IFERROR(__xludf.DUMMYFUNCTION("""COMPUTED_VALUE"""),"121703492 - APPROVED")</f>
        <v>121703492 - APPROVED</v>
      </c>
      <c r="C4624" s="6">
        <f>IFERROR(__xludf.DUMMYFUNCTION("""COMPUTED_VALUE"""),1.0)</f>
        <v>1</v>
      </c>
      <c r="D4624" s="6" t="str">
        <f>IFERROR(__xludf.DUMMYFUNCTION("""COMPUTED_VALUE"""),"R-71002-00")</f>
        <v>R-71002-00</v>
      </c>
      <c r="E4624" s="6" t="str">
        <f>IFERROR(__xludf.DUMMYFUNCTION("""COMPUTED_VALUE"""),"Renovation - Pemindahan Tray Kabel dan Hydran - Pemindahan Tray Kabel dan Hydran")</f>
        <v>Renovation - Pemindahan Tray Kabel dan Hydran - Pemindahan Tray Kabel dan Hydran</v>
      </c>
      <c r="F4624" s="6">
        <f>IFERROR(__xludf.DUMMYFUNCTION("""COMPUTED_VALUE"""),1.0)</f>
        <v>1</v>
      </c>
      <c r="G4624" s="6" t="str">
        <f>IFERROR(__xludf.DUMMYFUNCTION("""COMPUTED_VALUE"""),"Unit")</f>
        <v>Unit</v>
      </c>
      <c r="H4624" s="6" t="str">
        <f>IFERROR(__xludf.DUMMYFUNCTION("""COMPUTED_VALUE"""),"IDR")</f>
        <v>IDR</v>
      </c>
      <c r="I4624" s="6">
        <f>IFERROR(__xludf.DUMMYFUNCTION("""COMPUTED_VALUE"""),1.9E7)</f>
        <v>19000000</v>
      </c>
      <c r="J4624" s="6">
        <f>IFERROR(__xludf.DUMMYFUNCTION("""COMPUTED_VALUE"""),1.9E7)</f>
        <v>19000000</v>
      </c>
      <c r="K4624" s="57">
        <f>IFERROR(__xludf.DUMMYFUNCTION("""COMPUTED_VALUE"""),46010.0)</f>
        <v>46010</v>
      </c>
      <c r="L4624" s="6" t="str">
        <f>IFERROR(__xludf.DUMMYFUNCTION("""COMPUTED_VALUE"""),"FIP General")</f>
        <v>FIP General</v>
      </c>
      <c r="M4624" s="6" t="str">
        <f>IFERROR(__xludf.DUMMYFUNCTION("""COMPUTED_VALUE"""),"Mochammad Fadhillah Hakim,")</f>
        <v>Mochammad Fadhillah Hakim,</v>
      </c>
      <c r="N4624" s="6" t="str">
        <f>IFERROR(__xludf.DUMMYFUNCTION("""COMPUTED_VALUE"""),"FIP Engineering")</f>
        <v>FIP Engineering</v>
      </c>
      <c r="O4624" s="6" t="str">
        <f>IFERROR(__xludf.DUMMYFUNCTION("""COMPUTED_VALUE"""),"FIP-DOM-PRJ-13402-BL25006-INA-000000")</f>
        <v>FIP-DOM-PRJ-13402-BL25006-INA-000000</v>
      </c>
      <c r="P4624" s="6" t="str">
        <f>IFERROR(__xludf.DUMMYFUNCTION("""COMPUTED_VALUE"""),"PO Closed")</f>
        <v>PO Closed</v>
      </c>
      <c r="Q4624" s="6" t="str">
        <f>IFERROR(__xludf.DUMMYFUNCTION("""COMPUTED_VALUE"""),"GL2511037")</f>
        <v>GL2511037</v>
      </c>
      <c r="R4624" s="57">
        <f>IFERROR(__xludf.DUMMYFUNCTION("""COMPUTED_VALUE"""),45975.0)</f>
        <v>45975</v>
      </c>
      <c r="S4624" s="57">
        <f>IFERROR(__xludf.DUMMYFUNCTION("""COMPUTED_VALUE"""),45978.0)</f>
        <v>45978</v>
      </c>
      <c r="T4624" s="57">
        <f>IFERROR(__xludf.DUMMYFUNCTION("""COMPUTED_VALUE"""),46017.0)</f>
        <v>46017</v>
      </c>
    </row>
    <row r="4625">
      <c r="A4625" s="6" t="str">
        <f>IFERROR(__xludf.DUMMYFUNCTION("""COMPUTED_VALUE"""),"121703493-1")</f>
        <v>121703493-1</v>
      </c>
      <c r="B4625" s="6" t="str">
        <f>IFERROR(__xludf.DUMMYFUNCTION("""COMPUTED_VALUE"""),"121703493 - APPROVED")</f>
        <v>121703493 - APPROVED</v>
      </c>
      <c r="C4625" s="6">
        <f>IFERROR(__xludf.DUMMYFUNCTION("""COMPUTED_VALUE"""),1.0)</f>
        <v>1</v>
      </c>
      <c r="D4625" s="6" t="str">
        <f>IFERROR(__xludf.DUMMYFUNCTION("""COMPUTED_VALUE"""),"S-40586-00")</f>
        <v>S-40586-00</v>
      </c>
      <c r="E4625" s="6" t="str">
        <f>IFERROR(__xludf.DUMMYFUNCTION("""COMPUTED_VALUE"""),"Container Box; Claris; ; - - Container/Box Plastik claris 70 liter (77x42x32) Type 1022")</f>
        <v>Container Box; Claris; ; - - Container/Box Plastik claris 70 liter (77x42x32) Type 1022</v>
      </c>
      <c r="F4625" s="6">
        <f>IFERROR(__xludf.DUMMYFUNCTION("""COMPUTED_VALUE"""),5.0)</f>
        <v>5</v>
      </c>
      <c r="G4625" s="6" t="str">
        <f>IFERROR(__xludf.DUMMYFUNCTION("""COMPUTED_VALUE"""),"Pieces")</f>
        <v>Pieces</v>
      </c>
      <c r="H4625" s="6" t="str">
        <f>IFERROR(__xludf.DUMMYFUNCTION("""COMPUTED_VALUE"""),"IDR")</f>
        <v>IDR</v>
      </c>
      <c r="I4625" s="6">
        <f>IFERROR(__xludf.DUMMYFUNCTION("""COMPUTED_VALUE"""),275000.0)</f>
        <v>275000</v>
      </c>
      <c r="J4625" s="6">
        <f>IFERROR(__xludf.DUMMYFUNCTION("""COMPUTED_VALUE"""),1375000.0)</f>
        <v>1375000</v>
      </c>
      <c r="K4625" s="57">
        <f>IFERROR(__xludf.DUMMYFUNCTION("""COMPUTED_VALUE"""),46010.0)</f>
        <v>46010</v>
      </c>
      <c r="L4625" s="6" t="str">
        <f>IFERROR(__xludf.DUMMYFUNCTION("""COMPUTED_VALUE"""),"FIP General")</f>
        <v>FIP General</v>
      </c>
      <c r="M4625" s="6" t="str">
        <f>IFERROR(__xludf.DUMMYFUNCTION("""COMPUTED_VALUE"""),"Mochammad Fadhillah Hakim,")</f>
        <v>Mochammad Fadhillah Hakim,</v>
      </c>
      <c r="N4625" s="6" t="str">
        <f>IFERROR(__xludf.DUMMYFUNCTION("""COMPUTED_VALUE"""),"FIP Engineering")</f>
        <v>FIP Engineering</v>
      </c>
      <c r="O4625" s="6" t="str">
        <f>IFERROR(__xludf.DUMMYFUNCTION("""COMPUTED_VALUE"""),"FIP-DOM-ENG-51404-0000000-INA-000000")</f>
        <v>FIP-DOM-ENG-51404-0000000-INA-000000</v>
      </c>
      <c r="P4625" s="6" t="str">
        <f>IFERROR(__xludf.DUMMYFUNCTION("""COMPUTED_VALUE"""),"PO Closed")</f>
        <v>PO Closed</v>
      </c>
      <c r="Q4625" s="6" t="str">
        <f>IFERROR(__xludf.DUMMYFUNCTION("""COMPUTED_VALUE"""),"GL2512035")</f>
        <v>GL2512035</v>
      </c>
      <c r="R4625" s="57">
        <f>IFERROR(__xludf.DUMMYFUNCTION("""COMPUTED_VALUE"""),45975.0)</f>
        <v>45975</v>
      </c>
      <c r="S4625" s="57">
        <f>IFERROR(__xludf.DUMMYFUNCTION("""COMPUTED_VALUE"""),45975.0)</f>
        <v>45975</v>
      </c>
      <c r="T4625" s="57">
        <f>IFERROR(__xludf.DUMMYFUNCTION("""COMPUTED_VALUE"""),46010.0)</f>
        <v>46010</v>
      </c>
    </row>
    <row r="4626">
      <c r="A4626" s="6" t="str">
        <f>IFERROR(__xludf.DUMMYFUNCTION("""COMPUTED_VALUE"""),"121703495-1")</f>
        <v>121703495-1</v>
      </c>
      <c r="B4626" s="6" t="str">
        <f>IFERROR(__xludf.DUMMYFUNCTION("""COMPUTED_VALUE"""),"121703495 - APPROVED")</f>
        <v>121703495 - APPROVED</v>
      </c>
      <c r="C4626" s="6">
        <f>IFERROR(__xludf.DUMMYFUNCTION("""COMPUTED_VALUE"""),1.0)</f>
        <v>1</v>
      </c>
      <c r="D4626" s="6" t="str">
        <f>IFERROR(__xludf.DUMMYFUNCTION("""COMPUTED_VALUE"""),"P-14521-00")</f>
        <v>P-14521-00</v>
      </c>
      <c r="E4626" s="6" t="str">
        <f>IFERROR(__xludf.DUMMYFUNCTION("""COMPUTED_VALUE"""),"Freon R410A; Dupont; ;")</f>
        <v>Freon R410A; Dupont; ;</v>
      </c>
      <c r="F4626" s="6">
        <f>IFERROR(__xludf.DUMMYFUNCTION("""COMPUTED_VALUE"""),2.0)</f>
        <v>2</v>
      </c>
      <c r="G4626" s="6" t="str">
        <f>IFERROR(__xludf.DUMMYFUNCTION("""COMPUTED_VALUE"""),"Can")</f>
        <v>Can</v>
      </c>
      <c r="H4626" s="6" t="str">
        <f>IFERROR(__xludf.DUMMYFUNCTION("""COMPUTED_VALUE"""),"IDR")</f>
        <v>IDR</v>
      </c>
      <c r="I4626" s="6">
        <f>IFERROR(__xludf.DUMMYFUNCTION("""COMPUTED_VALUE"""),2200000.0)</f>
        <v>2200000</v>
      </c>
      <c r="J4626" s="6">
        <f>IFERROR(__xludf.DUMMYFUNCTION("""COMPUTED_VALUE"""),4400000.0)</f>
        <v>4400000</v>
      </c>
      <c r="K4626" s="57">
        <f>IFERROR(__xludf.DUMMYFUNCTION("""COMPUTED_VALUE"""),46010.0)</f>
        <v>46010</v>
      </c>
      <c r="L4626" s="6" t="str">
        <f>IFERROR(__xludf.DUMMYFUNCTION("""COMPUTED_VALUE"""),"FIP Engineering")</f>
        <v>FIP Engineering</v>
      </c>
      <c r="M4626" s="6" t="str">
        <f>IFERROR(__xludf.DUMMYFUNCTION("""COMPUTED_VALUE"""),"Mochammad Fadhillah Hakim,")</f>
        <v>Mochammad Fadhillah Hakim,</v>
      </c>
      <c r="N4626" s="6" t="str">
        <f>IFERROR(__xludf.DUMMYFUNCTION("""COMPUTED_VALUE"""),"FIP Engineering")</f>
        <v>FIP Engineering</v>
      </c>
      <c r="O4626" s="6" t="str">
        <f>IFERROR(__xludf.DUMMYFUNCTION("""COMPUTED_VALUE"""),"FIP-DOM-000-11304-OS00001-INA-000000")</f>
        <v>FIP-DOM-000-11304-OS00001-INA-000000</v>
      </c>
      <c r="P4626" s="6" t="str">
        <f>IFERROR(__xludf.DUMMYFUNCTION("""COMPUTED_VALUE"""),"PO Closed")</f>
        <v>PO Closed</v>
      </c>
      <c r="Q4626" s="6" t="str">
        <f>IFERROR(__xludf.DUMMYFUNCTION("""COMPUTED_VALUE"""),"GL2512327")</f>
        <v>GL2512327</v>
      </c>
      <c r="R4626" s="57">
        <f>IFERROR(__xludf.DUMMYFUNCTION("""COMPUTED_VALUE"""),45978.0)</f>
        <v>45978</v>
      </c>
      <c r="S4626" s="57">
        <f>IFERROR(__xludf.DUMMYFUNCTION("""COMPUTED_VALUE"""),45987.0)</f>
        <v>45987</v>
      </c>
      <c r="T4626" s="57">
        <f>IFERROR(__xludf.DUMMYFUNCTION("""COMPUTED_VALUE"""),46024.0)</f>
        <v>46024</v>
      </c>
    </row>
    <row r="4627">
      <c r="A4627" s="6" t="str">
        <f>IFERROR(__xludf.DUMMYFUNCTION("""COMPUTED_VALUE"""),"121703495-2")</f>
        <v>121703495-2</v>
      </c>
      <c r="B4627" s="6" t="str">
        <f>IFERROR(__xludf.DUMMYFUNCTION("""COMPUTED_VALUE"""),"121703495 - APPROVED")</f>
        <v>121703495 - APPROVED</v>
      </c>
      <c r="C4627" s="6">
        <f>IFERROR(__xludf.DUMMYFUNCTION("""COMPUTED_VALUE"""),2.0)</f>
        <v>2</v>
      </c>
      <c r="D4627" s="6" t="str">
        <f>IFERROR(__xludf.DUMMYFUNCTION("""COMPUTED_VALUE"""),"P-18504-00")</f>
        <v>P-18504-00</v>
      </c>
      <c r="E4627" s="6" t="str">
        <f>IFERROR(__xludf.DUMMYFUNCTION("""COMPUTED_VALUE"""),"Chemours - Freon 404A;; ; ;")</f>
        <v>Chemours - Freon 404A;; ; ;</v>
      </c>
      <c r="F4627" s="6">
        <f>IFERROR(__xludf.DUMMYFUNCTION("""COMPUTED_VALUE"""),2.0)</f>
        <v>2</v>
      </c>
      <c r="G4627" s="6" t="str">
        <f>IFERROR(__xludf.DUMMYFUNCTION("""COMPUTED_VALUE"""),"Can")</f>
        <v>Can</v>
      </c>
      <c r="H4627" s="6" t="str">
        <f>IFERROR(__xludf.DUMMYFUNCTION("""COMPUTED_VALUE"""),"IDR")</f>
        <v>IDR</v>
      </c>
      <c r="I4627" s="6">
        <f>IFERROR(__xludf.DUMMYFUNCTION("""COMPUTED_VALUE"""),2100000.0)</f>
        <v>2100000</v>
      </c>
      <c r="J4627" s="6">
        <f>IFERROR(__xludf.DUMMYFUNCTION("""COMPUTED_VALUE"""),4200000.0)</f>
        <v>4200000</v>
      </c>
      <c r="K4627" s="57">
        <f>IFERROR(__xludf.DUMMYFUNCTION("""COMPUTED_VALUE"""),46010.0)</f>
        <v>46010</v>
      </c>
      <c r="L4627" s="6" t="str">
        <f>IFERROR(__xludf.DUMMYFUNCTION("""COMPUTED_VALUE"""),"FIP Engineering")</f>
        <v>FIP Engineering</v>
      </c>
      <c r="M4627" s="6" t="str">
        <f>IFERROR(__xludf.DUMMYFUNCTION("""COMPUTED_VALUE"""),"Mochammad Fadhillah Hakim,")</f>
        <v>Mochammad Fadhillah Hakim,</v>
      </c>
      <c r="N4627" s="6" t="str">
        <f>IFERROR(__xludf.DUMMYFUNCTION("""COMPUTED_VALUE"""),"FIP Engineering")</f>
        <v>FIP Engineering</v>
      </c>
      <c r="O4627" s="6" t="str">
        <f>IFERROR(__xludf.DUMMYFUNCTION("""COMPUTED_VALUE"""),"FIP-DOM-000-11304-OS00001-INA-000000")</f>
        <v>FIP-DOM-000-11304-OS00001-INA-000000</v>
      </c>
      <c r="P4627" s="6" t="str">
        <f>IFERROR(__xludf.DUMMYFUNCTION("""COMPUTED_VALUE"""),"PO Closed")</f>
        <v>PO Closed</v>
      </c>
      <c r="Q4627" s="6" t="str">
        <f>IFERROR(__xludf.DUMMYFUNCTION("""COMPUTED_VALUE"""),"GL2512315")</f>
        <v>GL2512315</v>
      </c>
      <c r="R4627" s="57">
        <f>IFERROR(__xludf.DUMMYFUNCTION("""COMPUTED_VALUE"""),45978.0)</f>
        <v>45978</v>
      </c>
      <c r="S4627" s="57">
        <f>IFERROR(__xludf.DUMMYFUNCTION("""COMPUTED_VALUE"""),45987.0)</f>
        <v>45987</v>
      </c>
      <c r="T4627" s="57">
        <f>IFERROR(__xludf.DUMMYFUNCTION("""COMPUTED_VALUE"""),46032.0)</f>
        <v>46032</v>
      </c>
    </row>
    <row r="4628">
      <c r="A4628" s="6" t="str">
        <f>IFERROR(__xludf.DUMMYFUNCTION("""COMPUTED_VALUE"""),"121703496-1")</f>
        <v>121703496-1</v>
      </c>
      <c r="B4628" s="6" t="str">
        <f>IFERROR(__xludf.DUMMYFUNCTION("""COMPUTED_VALUE"""),"121703496 - APPROVED")</f>
        <v>121703496 - APPROVED</v>
      </c>
      <c r="C4628" s="6">
        <f>IFERROR(__xludf.DUMMYFUNCTION("""COMPUTED_VALUE"""),1.0)</f>
        <v>1</v>
      </c>
      <c r="D4628" s="6" t="str">
        <f>IFERROR(__xludf.DUMMYFUNCTION("""COMPUTED_VALUE"""),"P-18470-00")</f>
        <v>P-18470-00</v>
      </c>
      <c r="E4628" s="6" t="str">
        <f>IFERROR(__xludf.DUMMYFUNCTION("""COMPUTED_VALUE"""),"Misumi - HXNHFFLT-SUS-M5-10; ; ;")</f>
        <v>Misumi - HXNHFFLT-SUS-M5-10; ; ;</v>
      </c>
      <c r="F4628" s="6">
        <f>IFERROR(__xludf.DUMMYFUNCTION("""COMPUTED_VALUE"""),20.0)</f>
        <v>20</v>
      </c>
      <c r="G4628" s="6" t="str">
        <f>IFERROR(__xludf.DUMMYFUNCTION("""COMPUTED_VALUE"""),"Pieces")</f>
        <v>Pieces</v>
      </c>
      <c r="H4628" s="6" t="str">
        <f>IFERROR(__xludf.DUMMYFUNCTION("""COMPUTED_VALUE"""),"IDR")</f>
        <v>IDR</v>
      </c>
      <c r="I4628" s="6">
        <f>IFERROR(__xludf.DUMMYFUNCTION("""COMPUTED_VALUE"""),5926.0)</f>
        <v>5926</v>
      </c>
      <c r="J4628" s="6">
        <f>IFERROR(__xludf.DUMMYFUNCTION("""COMPUTED_VALUE"""),118520.0)</f>
        <v>118520</v>
      </c>
      <c r="K4628" s="57">
        <f>IFERROR(__xludf.DUMMYFUNCTION("""COMPUTED_VALUE"""),46010.0)</f>
        <v>46010</v>
      </c>
      <c r="L4628" s="6" t="str">
        <f>IFERROR(__xludf.DUMMYFUNCTION("""COMPUTED_VALUE"""),"FIP Engineering")</f>
        <v>FIP Engineering</v>
      </c>
      <c r="M4628" s="6" t="str">
        <f>IFERROR(__xludf.DUMMYFUNCTION("""COMPUTED_VALUE"""),"Mochammad Fadhillah Hakim,")</f>
        <v>Mochammad Fadhillah Hakim,</v>
      </c>
      <c r="N4628" s="6" t="str">
        <f>IFERROR(__xludf.DUMMYFUNCTION("""COMPUTED_VALUE"""),"FIP Engineering")</f>
        <v>FIP Engineering</v>
      </c>
      <c r="O4628" s="6" t="str">
        <f>IFERROR(__xludf.DUMMYFUNCTION("""COMPUTED_VALUE"""),"FIP-DOM-000-11304-OS00001-INA-000000")</f>
        <v>FIP-DOM-000-11304-OS00001-INA-000000</v>
      </c>
      <c r="P4628" s="6" t="str">
        <f>IFERROR(__xludf.DUMMYFUNCTION("""COMPUTED_VALUE"""),"PO Closed")</f>
        <v>PO Closed</v>
      </c>
      <c r="Q4628" s="6" t="str">
        <f>IFERROR(__xludf.DUMMYFUNCTION("""COMPUTED_VALUE"""),"GL2512315")</f>
        <v>GL2512315</v>
      </c>
      <c r="R4628" s="57">
        <f>IFERROR(__xludf.DUMMYFUNCTION("""COMPUTED_VALUE"""),45978.0)</f>
        <v>45978</v>
      </c>
      <c r="S4628" s="57">
        <f>IFERROR(__xludf.DUMMYFUNCTION("""COMPUTED_VALUE"""),45987.0)</f>
        <v>45987</v>
      </c>
      <c r="T4628" s="57">
        <f>IFERROR(__xludf.DUMMYFUNCTION("""COMPUTED_VALUE"""),46032.0)</f>
        <v>46032</v>
      </c>
    </row>
    <row r="4629">
      <c r="A4629" s="6" t="str">
        <f>IFERROR(__xludf.DUMMYFUNCTION("""COMPUTED_VALUE"""),"121703497-1")</f>
        <v>121703497-1</v>
      </c>
      <c r="B4629" s="6" t="str">
        <f>IFERROR(__xludf.DUMMYFUNCTION("""COMPUTED_VALUE"""),"121703497 - APPROVED")</f>
        <v>121703497 - APPROVED</v>
      </c>
      <c r="C4629" s="6">
        <f>IFERROR(__xludf.DUMMYFUNCTION("""COMPUTED_VALUE"""),1.0)</f>
        <v>1</v>
      </c>
      <c r="D4629" s="6" t="str">
        <f>IFERROR(__xludf.DUMMYFUNCTION("""COMPUTED_VALUE"""),"O-17832-00")</f>
        <v>O-17832-00</v>
      </c>
      <c r="E4629" s="6" t="str">
        <f>IFERROR(__xludf.DUMMYFUNCTION("""COMPUTED_VALUE"""),"Washing RAR4 - Outfeed Teflon Left; ; ;")</f>
        <v>Washing RAR4 - Outfeed Teflon Left; ; ;</v>
      </c>
      <c r="F4629" s="6">
        <f>IFERROR(__xludf.DUMMYFUNCTION("""COMPUTED_VALUE"""),1.0)</f>
        <v>1</v>
      </c>
      <c r="G4629" s="6" t="str">
        <f>IFERROR(__xludf.DUMMYFUNCTION("""COMPUTED_VALUE"""),"Pieces")</f>
        <v>Pieces</v>
      </c>
      <c r="H4629" s="6" t="str">
        <f>IFERROR(__xludf.DUMMYFUNCTION("""COMPUTED_VALUE"""),"IDR")</f>
        <v>IDR</v>
      </c>
      <c r="I4629" s="6">
        <f>IFERROR(__xludf.DUMMYFUNCTION("""COMPUTED_VALUE"""),1450000.0)</f>
        <v>1450000</v>
      </c>
      <c r="J4629" s="6">
        <f>IFERROR(__xludf.DUMMYFUNCTION("""COMPUTED_VALUE"""),1450000.0)</f>
        <v>1450000</v>
      </c>
      <c r="K4629" s="57">
        <f>IFERROR(__xludf.DUMMYFUNCTION("""COMPUTED_VALUE"""),46010.0)</f>
        <v>46010</v>
      </c>
      <c r="L4629" s="6" t="str">
        <f>IFERROR(__xludf.DUMMYFUNCTION("""COMPUTED_VALUE"""),"FIP Engineering")</f>
        <v>FIP Engineering</v>
      </c>
      <c r="M4629" s="6" t="str">
        <f>IFERROR(__xludf.DUMMYFUNCTION("""COMPUTED_VALUE"""),"Mochammad Fadhillah Hakim,")</f>
        <v>Mochammad Fadhillah Hakim,</v>
      </c>
      <c r="N4629" s="6" t="str">
        <f>IFERROR(__xludf.DUMMYFUNCTION("""COMPUTED_VALUE"""),"FIP Engineering")</f>
        <v>FIP Engineering</v>
      </c>
      <c r="O4629" s="6" t="str">
        <f>IFERROR(__xludf.DUMMYFUNCTION("""COMPUTED_VALUE"""),"FIP-DOM-000-11304-OS00001-INA-000000")</f>
        <v>FIP-DOM-000-11304-OS00001-INA-000000</v>
      </c>
      <c r="P4629" s="6" t="str">
        <f>IFERROR(__xludf.DUMMYFUNCTION("""COMPUTED_VALUE"""),"PO Closed")</f>
        <v>PO Closed</v>
      </c>
      <c r="Q4629" s="6" t="str">
        <f>IFERROR(__xludf.DUMMYFUNCTION("""COMPUTED_VALUE"""),"GL2512331")</f>
        <v>GL2512331</v>
      </c>
      <c r="R4629" s="57">
        <f>IFERROR(__xludf.DUMMYFUNCTION("""COMPUTED_VALUE"""),45978.0)</f>
        <v>45978</v>
      </c>
      <c r="S4629" s="57">
        <f>IFERROR(__xludf.DUMMYFUNCTION("""COMPUTED_VALUE"""),45994.0)</f>
        <v>45994</v>
      </c>
      <c r="T4629" s="57">
        <f>IFERROR(__xludf.DUMMYFUNCTION("""COMPUTED_VALUE"""),46063.0)</f>
        <v>46063</v>
      </c>
    </row>
    <row r="4630">
      <c r="A4630" s="6" t="str">
        <f>IFERROR(__xludf.DUMMYFUNCTION("""COMPUTED_VALUE"""),"121703497-2")</f>
        <v>121703497-2</v>
      </c>
      <c r="B4630" s="6" t="str">
        <f>IFERROR(__xludf.DUMMYFUNCTION("""COMPUTED_VALUE"""),"121703497 - APPROVED")</f>
        <v>121703497 - APPROVED</v>
      </c>
      <c r="C4630" s="6">
        <f>IFERROR(__xludf.DUMMYFUNCTION("""COMPUTED_VALUE"""),2.0)</f>
        <v>2</v>
      </c>
      <c r="D4630" s="6" t="str">
        <f>IFERROR(__xludf.DUMMYFUNCTION("""COMPUTED_VALUE"""),"O-17833-00")</f>
        <v>O-17833-00</v>
      </c>
      <c r="E4630" s="6" t="str">
        <f>IFERROR(__xludf.DUMMYFUNCTION("""COMPUTED_VALUE"""),"Washing RAR4 - Outfeed Teflon Right; ; ;")</f>
        <v>Washing RAR4 - Outfeed Teflon Right; ; ;</v>
      </c>
      <c r="F4630" s="6">
        <f>IFERROR(__xludf.DUMMYFUNCTION("""COMPUTED_VALUE"""),1.0)</f>
        <v>1</v>
      </c>
      <c r="G4630" s="6" t="str">
        <f>IFERROR(__xludf.DUMMYFUNCTION("""COMPUTED_VALUE"""),"Pieces")</f>
        <v>Pieces</v>
      </c>
      <c r="H4630" s="6" t="str">
        <f>IFERROR(__xludf.DUMMYFUNCTION("""COMPUTED_VALUE"""),"IDR")</f>
        <v>IDR</v>
      </c>
      <c r="I4630" s="6">
        <f>IFERROR(__xludf.DUMMYFUNCTION("""COMPUTED_VALUE"""),1450000.0)</f>
        <v>1450000</v>
      </c>
      <c r="J4630" s="6">
        <f>IFERROR(__xludf.DUMMYFUNCTION("""COMPUTED_VALUE"""),1450000.0)</f>
        <v>1450000</v>
      </c>
      <c r="K4630" s="57">
        <f>IFERROR(__xludf.DUMMYFUNCTION("""COMPUTED_VALUE"""),46010.0)</f>
        <v>46010</v>
      </c>
      <c r="L4630" s="6" t="str">
        <f>IFERROR(__xludf.DUMMYFUNCTION("""COMPUTED_VALUE"""),"FIP Engineering")</f>
        <v>FIP Engineering</v>
      </c>
      <c r="M4630" s="6" t="str">
        <f>IFERROR(__xludf.DUMMYFUNCTION("""COMPUTED_VALUE"""),"Mochammad Fadhillah Hakim,")</f>
        <v>Mochammad Fadhillah Hakim,</v>
      </c>
      <c r="N4630" s="6" t="str">
        <f>IFERROR(__xludf.DUMMYFUNCTION("""COMPUTED_VALUE"""),"FIP Engineering")</f>
        <v>FIP Engineering</v>
      </c>
      <c r="O4630" s="6" t="str">
        <f>IFERROR(__xludf.DUMMYFUNCTION("""COMPUTED_VALUE"""),"FIP-DOM-000-11304-OS00001-INA-000000")</f>
        <v>FIP-DOM-000-11304-OS00001-INA-000000</v>
      </c>
      <c r="P4630" s="6" t="str">
        <f>IFERROR(__xludf.DUMMYFUNCTION("""COMPUTED_VALUE"""),"PO Closed")</f>
        <v>PO Closed</v>
      </c>
      <c r="Q4630" s="6" t="str">
        <f>IFERROR(__xludf.DUMMYFUNCTION("""COMPUTED_VALUE"""),"GL2512331")</f>
        <v>GL2512331</v>
      </c>
      <c r="R4630" s="57">
        <f>IFERROR(__xludf.DUMMYFUNCTION("""COMPUTED_VALUE"""),45978.0)</f>
        <v>45978</v>
      </c>
      <c r="S4630" s="57">
        <f>IFERROR(__xludf.DUMMYFUNCTION("""COMPUTED_VALUE"""),45994.0)</f>
        <v>45994</v>
      </c>
      <c r="T4630" s="57">
        <f>IFERROR(__xludf.DUMMYFUNCTION("""COMPUTED_VALUE"""),46063.0)</f>
        <v>46063</v>
      </c>
    </row>
    <row r="4631">
      <c r="A4631" s="6" t="str">
        <f>IFERROR(__xludf.DUMMYFUNCTION("""COMPUTED_VALUE"""),"121703499-1")</f>
        <v>121703499-1</v>
      </c>
      <c r="B4631" s="6" t="str">
        <f>IFERROR(__xludf.DUMMYFUNCTION("""COMPUTED_VALUE"""),"121703499 - APPROVED")</f>
        <v>121703499 - APPROVED</v>
      </c>
      <c r="C4631" s="6">
        <f>IFERROR(__xludf.DUMMYFUNCTION("""COMPUTED_VALUE"""),1.0)</f>
        <v>1</v>
      </c>
      <c r="D4631" s="6" t="str">
        <f>IFERROR(__xludf.DUMMYFUNCTION("""COMPUTED_VALUE"""),"R-20024-00")</f>
        <v>R-20024-00</v>
      </c>
      <c r="E4631" s="6" t="str">
        <f>IFERROR(__xludf.DUMMYFUNCTION("""COMPUTED_VALUE"""),"Machine Equipment; ; ; - Plat SS untuk project Mesin Baru - Plat SS untuk project Mesin Baru")</f>
        <v>Machine Equipment; ; ; - Plat SS untuk project Mesin Baru - Plat SS untuk project Mesin Baru</v>
      </c>
      <c r="F4631" s="6">
        <f>IFERROR(__xludf.DUMMYFUNCTION("""COMPUTED_VALUE"""),40.0)</f>
        <v>40</v>
      </c>
      <c r="G4631" s="6" t="str">
        <f>IFERROR(__xludf.DUMMYFUNCTION("""COMPUTED_VALUE"""),"Unit")</f>
        <v>Unit</v>
      </c>
      <c r="H4631" s="6" t="str">
        <f>IFERROR(__xludf.DUMMYFUNCTION("""COMPUTED_VALUE"""),"IDR")</f>
        <v>IDR</v>
      </c>
      <c r="I4631" s="6">
        <f>IFERROR(__xludf.DUMMYFUNCTION("""COMPUTED_VALUE"""),25000.0)</f>
        <v>25000</v>
      </c>
      <c r="J4631" s="6">
        <f>IFERROR(__xludf.DUMMYFUNCTION("""COMPUTED_VALUE"""),1000000.0)</f>
        <v>1000000</v>
      </c>
      <c r="K4631" s="57">
        <f>IFERROR(__xludf.DUMMYFUNCTION("""COMPUTED_VALUE"""),46010.0)</f>
        <v>46010</v>
      </c>
      <c r="L4631" s="6" t="str">
        <f>IFERROR(__xludf.DUMMYFUNCTION("""COMPUTED_VALUE"""),"FIP General")</f>
        <v>FIP General</v>
      </c>
      <c r="M4631" s="6" t="str">
        <f>IFERROR(__xludf.DUMMYFUNCTION("""COMPUTED_VALUE"""),"Mochammad Fadhillah Hakim,")</f>
        <v>Mochammad Fadhillah Hakim,</v>
      </c>
      <c r="N4631" s="6" t="str">
        <f>IFERROR(__xludf.DUMMYFUNCTION("""COMPUTED_VALUE"""),"FIP Engineering")</f>
        <v>FIP Engineering</v>
      </c>
      <c r="O4631" s="6" t="str">
        <f>IFERROR(__xludf.DUMMYFUNCTION("""COMPUTED_VALUE"""),"FIP-DOM-PRJ-13404-MC25005-INA-000000")</f>
        <v>FIP-DOM-PRJ-13404-MC25005-INA-000000</v>
      </c>
      <c r="P4631" s="6" t="str">
        <f>IFERROR(__xludf.DUMMYFUNCTION("""COMPUTED_VALUE"""),"PO Closed")</f>
        <v>PO Closed</v>
      </c>
      <c r="Q4631" s="6" t="str">
        <f>IFERROR(__xludf.DUMMYFUNCTION("""COMPUTED_VALUE"""),"GL2511043")</f>
        <v>GL2511043</v>
      </c>
      <c r="R4631" s="57">
        <f>IFERROR(__xludf.DUMMYFUNCTION("""COMPUTED_VALUE"""),45978.0)</f>
        <v>45978</v>
      </c>
      <c r="S4631" s="57">
        <f>IFERROR(__xludf.DUMMYFUNCTION("""COMPUTED_VALUE"""),45978.0)</f>
        <v>45978</v>
      </c>
      <c r="T4631" s="57">
        <f>IFERROR(__xludf.DUMMYFUNCTION("""COMPUTED_VALUE"""),46020.0)</f>
        <v>46020</v>
      </c>
    </row>
    <row r="4632">
      <c r="A4632" s="6" t="str">
        <f>IFERROR(__xludf.DUMMYFUNCTION("""COMPUTED_VALUE"""),"121703500-1")</f>
        <v>121703500-1</v>
      </c>
      <c r="B4632" s="6" t="str">
        <f>IFERROR(__xludf.DUMMYFUNCTION("""COMPUTED_VALUE"""),"121703500 - APPROVED")</f>
        <v>121703500 - APPROVED</v>
      </c>
      <c r="C4632" s="6">
        <f>IFERROR(__xludf.DUMMYFUNCTION("""COMPUTED_VALUE"""),1.0)</f>
        <v>1</v>
      </c>
      <c r="D4632" s="6" t="str">
        <f>IFERROR(__xludf.DUMMYFUNCTION("""COMPUTED_VALUE"""),"R-20024-00")</f>
        <v>R-20024-00</v>
      </c>
      <c r="E4632" s="6" t="str">
        <f>IFERROR(__xludf.DUMMYFUNCTION("""COMPUTED_VALUE"""),"Machine Equipment; ; ; - Suplai dan Instalasi Sistim Exhaust untuk Chimney, BIBO/Safe Change + Preparasi")</f>
        <v>Machine Equipment; ; ; - Suplai dan Instalasi Sistim Exhaust untuk Chimney, BIBO/Safe Change + Preparasi</v>
      </c>
      <c r="F4632" s="6">
        <f>IFERROR(__xludf.DUMMYFUNCTION("""COMPUTED_VALUE"""),1.0)</f>
        <v>1</v>
      </c>
      <c r="G4632" s="6" t="str">
        <f>IFERROR(__xludf.DUMMYFUNCTION("""COMPUTED_VALUE"""),"Unit")</f>
        <v>Unit</v>
      </c>
      <c r="H4632" s="6" t="str">
        <f>IFERROR(__xludf.DUMMYFUNCTION("""COMPUTED_VALUE"""),"IDR")</f>
        <v>IDR</v>
      </c>
      <c r="I4632" s="6">
        <f>IFERROR(__xludf.DUMMYFUNCTION("""COMPUTED_VALUE"""),6.03554E8)</f>
        <v>603554000</v>
      </c>
      <c r="J4632" s="6">
        <f>IFERROR(__xludf.DUMMYFUNCTION("""COMPUTED_VALUE"""),6.03554E8)</f>
        <v>603554000</v>
      </c>
      <c r="K4632" s="57">
        <f>IFERROR(__xludf.DUMMYFUNCTION("""COMPUTED_VALUE"""),46010.0)</f>
        <v>46010</v>
      </c>
      <c r="L4632" s="6" t="str">
        <f>IFERROR(__xludf.DUMMYFUNCTION("""COMPUTED_VALUE"""),"FIP General")</f>
        <v>FIP General</v>
      </c>
      <c r="M4632" s="6" t="str">
        <f>IFERROR(__xludf.DUMMYFUNCTION("""COMPUTED_VALUE"""),"Mochammad Fadhillah Hakim,")</f>
        <v>Mochammad Fadhillah Hakim,</v>
      </c>
      <c r="N4632" s="6" t="str">
        <f>IFERROR(__xludf.DUMMYFUNCTION("""COMPUTED_VALUE"""),"FIP Engineering")</f>
        <v>FIP Engineering</v>
      </c>
      <c r="O4632" s="6" t="str">
        <f>IFERROR(__xludf.DUMMYFUNCTION("""COMPUTED_VALUE"""),"FIP-DOM-PRJ-13404-MC25005-INA-000000")</f>
        <v>FIP-DOM-PRJ-13404-MC25005-INA-000000</v>
      </c>
      <c r="P4632" s="6" t="str">
        <f>IFERROR(__xludf.DUMMYFUNCTION("""COMPUTED_VALUE"""),"PO Open")</f>
        <v>PO Open</v>
      </c>
      <c r="Q4632" s="6" t="str">
        <f>IFERROR(__xludf.DUMMYFUNCTION("""COMPUTED_VALUE"""),"GL2601005")</f>
        <v>GL2601005</v>
      </c>
      <c r="R4632" s="57">
        <f>IFERROR(__xludf.DUMMYFUNCTION("""COMPUTED_VALUE"""),45978.0)</f>
        <v>45978</v>
      </c>
      <c r="S4632" s="57">
        <f>IFERROR(__xludf.DUMMYFUNCTION("""COMPUTED_VALUE"""),45982.0)</f>
        <v>45982</v>
      </c>
      <c r="T4632" s="6"/>
    </row>
    <row r="4633">
      <c r="A4633" s="6" t="str">
        <f>IFERROR(__xludf.DUMMYFUNCTION("""COMPUTED_VALUE"""),"121703501-1")</f>
        <v>121703501-1</v>
      </c>
      <c r="B4633" s="6" t="str">
        <f>IFERROR(__xludf.DUMMYFUNCTION("""COMPUTED_VALUE"""),"121703501 - APPROVED")</f>
        <v>121703501 - APPROVED</v>
      </c>
      <c r="C4633" s="6">
        <f>IFERROR(__xludf.DUMMYFUNCTION("""COMPUTED_VALUE"""),1.0)</f>
        <v>1</v>
      </c>
      <c r="D4633" s="6" t="str">
        <f>IFERROR(__xludf.DUMMYFUNCTION("""COMPUTED_VALUE"""),"T-80635-00")</f>
        <v>T-80635-00</v>
      </c>
      <c r="E4633" s="6" t="str">
        <f>IFERROR(__xludf.DUMMYFUNCTION("""COMPUTED_VALUE"""),"Kertas HVS Putih A4 70 gram;")</f>
        <v>Kertas HVS Putih A4 70 gram;</v>
      </c>
      <c r="F4633" s="6">
        <f>IFERROR(__xludf.DUMMYFUNCTION("""COMPUTED_VALUE"""),10.0)</f>
        <v>10</v>
      </c>
      <c r="G4633" s="6" t="str">
        <f>IFERROR(__xludf.DUMMYFUNCTION("""COMPUTED_VALUE"""),"Rim")</f>
        <v>Rim</v>
      </c>
      <c r="H4633" s="6" t="str">
        <f>IFERROR(__xludf.DUMMYFUNCTION("""COMPUTED_VALUE"""),"IDR")</f>
        <v>IDR</v>
      </c>
      <c r="I4633" s="6">
        <f>IFERROR(__xludf.DUMMYFUNCTION("""COMPUTED_VALUE"""),33000.0)</f>
        <v>33000</v>
      </c>
      <c r="J4633" s="6">
        <f>IFERROR(__xludf.DUMMYFUNCTION("""COMPUTED_VALUE"""),330000.0)</f>
        <v>330000</v>
      </c>
      <c r="K4633" s="57">
        <f>IFERROR(__xludf.DUMMYFUNCTION("""COMPUTED_VALUE"""),46010.0)</f>
        <v>46010</v>
      </c>
      <c r="L4633" s="6" t="str">
        <f>IFERROR(__xludf.DUMMYFUNCTION("""COMPUTED_VALUE"""),"FIP General")</f>
        <v>FIP General</v>
      </c>
      <c r="M4633" s="6" t="str">
        <f>IFERROR(__xludf.DUMMYFUNCTION("""COMPUTED_VALUE"""),"Mochammad Fadhillah Hakim,")</f>
        <v>Mochammad Fadhillah Hakim,</v>
      </c>
      <c r="N4633" s="6" t="str">
        <f>IFERROR(__xludf.DUMMYFUNCTION("""COMPUTED_VALUE"""),"FIP Engineering")</f>
        <v>FIP Engineering</v>
      </c>
      <c r="O4633" s="6" t="str">
        <f>IFERROR(__xludf.DUMMYFUNCTION("""COMPUTED_VALUE"""),"FIP-DOM-ENG-51411-0000000-INA-000000")</f>
        <v>FIP-DOM-ENG-51411-0000000-INA-000000</v>
      </c>
      <c r="P4633" s="6" t="str">
        <f>IFERROR(__xludf.DUMMYFUNCTION("""COMPUTED_VALUE"""),"PO Closed")</f>
        <v>PO Closed</v>
      </c>
      <c r="Q4633" s="6" t="str">
        <f>IFERROR(__xludf.DUMMYFUNCTION("""COMPUTED_VALUE"""),"GL2512020")</f>
        <v>GL2512020</v>
      </c>
      <c r="R4633" s="57">
        <f>IFERROR(__xludf.DUMMYFUNCTION("""COMPUTED_VALUE"""),45978.0)</f>
        <v>45978</v>
      </c>
      <c r="S4633" s="57">
        <f>IFERROR(__xludf.DUMMYFUNCTION("""COMPUTED_VALUE"""),45987.0)</f>
        <v>45987</v>
      </c>
      <c r="T4633" s="57">
        <f>IFERROR(__xludf.DUMMYFUNCTION("""COMPUTED_VALUE"""),46010.0)</f>
        <v>46010</v>
      </c>
    </row>
    <row r="4634">
      <c r="A4634" s="6" t="str">
        <f>IFERROR(__xludf.DUMMYFUNCTION("""COMPUTED_VALUE"""),"121703505-1")</f>
        <v>121703505-1</v>
      </c>
      <c r="B4634" s="6" t="str">
        <f>IFERROR(__xludf.DUMMYFUNCTION("""COMPUTED_VALUE"""),"121703505 - APPROVED")</f>
        <v>121703505 - APPROVED</v>
      </c>
      <c r="C4634" s="6">
        <f>IFERROR(__xludf.DUMMYFUNCTION("""COMPUTED_VALUE"""),1.0)</f>
        <v>1</v>
      </c>
      <c r="D4634" s="6" t="str">
        <f>IFERROR(__xludf.DUMMYFUNCTION("""COMPUTED_VALUE"""),"S-20055-00")</f>
        <v>S-20055-00</v>
      </c>
      <c r="E4634" s="6" t="str">
        <f>IFERROR(__xludf.DUMMYFUNCTION("""COMPUTED_VALUE"""),"Safety Gloves; Promaster; pack size 10 pcs per box")</f>
        <v>Safety Gloves; Promaster; pack size 10 pcs per box</v>
      </c>
      <c r="F4634" s="6">
        <f>IFERROR(__xludf.DUMMYFUNCTION("""COMPUTED_VALUE"""),10.0)</f>
        <v>10</v>
      </c>
      <c r="G4634" s="6" t="str">
        <f>IFERROR(__xludf.DUMMYFUNCTION("""COMPUTED_VALUE"""),"Box")</f>
        <v>Box</v>
      </c>
      <c r="H4634" s="6" t="str">
        <f>IFERROR(__xludf.DUMMYFUNCTION("""COMPUTED_VALUE"""),"IDR")</f>
        <v>IDR</v>
      </c>
      <c r="I4634" s="6">
        <f>IFERROR(__xludf.DUMMYFUNCTION("""COMPUTED_VALUE"""),125000.0)</f>
        <v>125000</v>
      </c>
      <c r="J4634" s="6">
        <f>IFERROR(__xludf.DUMMYFUNCTION("""COMPUTED_VALUE"""),1250000.0)</f>
        <v>1250000</v>
      </c>
      <c r="K4634" s="57">
        <f>IFERROR(__xludf.DUMMYFUNCTION("""COMPUTED_VALUE"""),46010.0)</f>
        <v>46010</v>
      </c>
      <c r="L4634" s="6" t="str">
        <f>IFERROR(__xludf.DUMMYFUNCTION("""COMPUTED_VALUE"""),"FIP General")</f>
        <v>FIP General</v>
      </c>
      <c r="M4634" s="6" t="str">
        <f>IFERROR(__xludf.DUMMYFUNCTION("""COMPUTED_VALUE"""),"Mochammad Fadhillah Hakim,")</f>
        <v>Mochammad Fadhillah Hakim,</v>
      </c>
      <c r="N4634" s="6" t="str">
        <f>IFERROR(__xludf.DUMMYFUNCTION("""COMPUTED_VALUE"""),"FIP Engineering")</f>
        <v>FIP Engineering</v>
      </c>
      <c r="O4634" s="6" t="str">
        <f>IFERROR(__xludf.DUMMYFUNCTION("""COMPUTED_VALUE"""),"FIP-DOM-ENG-51202-0000000-INA-000000")</f>
        <v>FIP-DOM-ENG-51202-0000000-INA-000000</v>
      </c>
      <c r="P4634" s="6" t="str">
        <f>IFERROR(__xludf.DUMMYFUNCTION("""COMPUTED_VALUE"""),"PO Closed")</f>
        <v>PO Closed</v>
      </c>
      <c r="Q4634" s="6" t="str">
        <f>IFERROR(__xludf.DUMMYFUNCTION("""COMPUTED_VALUE"""),"GL2512015")</f>
        <v>GL2512015</v>
      </c>
      <c r="R4634" s="57">
        <f>IFERROR(__xludf.DUMMYFUNCTION("""COMPUTED_VALUE"""),45980.0)</f>
        <v>45980</v>
      </c>
      <c r="S4634" s="57">
        <f>IFERROR(__xludf.DUMMYFUNCTION("""COMPUTED_VALUE"""),45987.0)</f>
        <v>45987</v>
      </c>
      <c r="T4634" s="57">
        <f>IFERROR(__xludf.DUMMYFUNCTION("""COMPUTED_VALUE"""),46015.0)</f>
        <v>46015</v>
      </c>
    </row>
    <row r="4635">
      <c r="A4635" s="6" t="str">
        <f>IFERROR(__xludf.DUMMYFUNCTION("""COMPUTED_VALUE"""),"121703510-1")</f>
        <v>121703510-1</v>
      </c>
      <c r="B4635" s="6" t="str">
        <f>IFERROR(__xludf.DUMMYFUNCTION("""COMPUTED_VALUE"""),"121703510 - APPROVED")</f>
        <v>121703510 - APPROVED</v>
      </c>
      <c r="C4635" s="6">
        <f>IFERROR(__xludf.DUMMYFUNCTION("""COMPUTED_VALUE"""),1.0)</f>
        <v>1</v>
      </c>
      <c r="D4635" s="6" t="str">
        <f>IFERROR(__xludf.DUMMYFUNCTION("""COMPUTED_VALUE"""),"O-53456-00")</f>
        <v>O-53456-00</v>
      </c>
      <c r="E4635" s="6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F4635" s="6">
        <f>IFERROR(__xludf.DUMMYFUNCTION("""COMPUTED_VALUE"""),1.0)</f>
        <v>1</v>
      </c>
      <c r="G4635" s="6" t="str">
        <f>IFERROR(__xludf.DUMMYFUNCTION("""COMPUTED_VALUE"""),"Pieces")</f>
        <v>Pieces</v>
      </c>
      <c r="H4635" s="6" t="str">
        <f>IFERROR(__xludf.DUMMYFUNCTION("""COMPUTED_VALUE"""),"IDR")</f>
        <v>IDR</v>
      </c>
      <c r="I4635" s="6">
        <f>IFERROR(__xludf.DUMMYFUNCTION("""COMPUTED_VALUE"""),1131000.0)</f>
        <v>1131000</v>
      </c>
      <c r="J4635" s="6">
        <f>IFERROR(__xludf.DUMMYFUNCTION("""COMPUTED_VALUE"""),1131000.0)</f>
        <v>1131000</v>
      </c>
      <c r="K4635" s="57">
        <f>IFERROR(__xludf.DUMMYFUNCTION("""COMPUTED_VALUE"""),46017.0)</f>
        <v>46017</v>
      </c>
      <c r="L4635" s="6" t="str">
        <f>IFERROR(__xludf.DUMMYFUNCTION("""COMPUTED_VALUE"""),"FIP Engineering")</f>
        <v>FIP Engineering</v>
      </c>
      <c r="M4635" s="6" t="str">
        <f>IFERROR(__xludf.DUMMYFUNCTION("""COMPUTED_VALUE"""),"Mochammad Fadhillah Hakim,")</f>
        <v>Mochammad Fadhillah Hakim,</v>
      </c>
      <c r="N4635" s="6" t="str">
        <f>IFERROR(__xludf.DUMMYFUNCTION("""COMPUTED_VALUE"""),"FIP Engineering")</f>
        <v>FIP Engineering</v>
      </c>
      <c r="O4635" s="6" t="str">
        <f>IFERROR(__xludf.DUMMYFUNCTION("""COMPUTED_VALUE"""),"FIP-DOM-000-11304-OS00001-INA-000000")</f>
        <v>FIP-DOM-000-11304-OS00001-INA-000000</v>
      </c>
      <c r="P4635" s="6" t="str">
        <f>IFERROR(__xludf.DUMMYFUNCTION("""COMPUTED_VALUE"""),"PO Closed")</f>
        <v>PO Closed</v>
      </c>
      <c r="Q4635" s="6" t="str">
        <f>IFERROR(__xludf.DUMMYFUNCTION("""COMPUTED_VALUE"""),"GL2512332")</f>
        <v>GL2512332</v>
      </c>
      <c r="R4635" s="57">
        <f>IFERROR(__xludf.DUMMYFUNCTION("""COMPUTED_VALUE"""),45981.0)</f>
        <v>45981</v>
      </c>
      <c r="S4635" s="57">
        <f>IFERROR(__xludf.DUMMYFUNCTION("""COMPUTED_VALUE"""),45987.0)</f>
        <v>45987</v>
      </c>
      <c r="T4635" s="57">
        <f>IFERROR(__xludf.DUMMYFUNCTION("""COMPUTED_VALUE"""),46048.0)</f>
        <v>46048</v>
      </c>
    </row>
    <row r="4636">
      <c r="A4636" s="6" t="str">
        <f>IFERROR(__xludf.DUMMYFUNCTION("""COMPUTED_VALUE"""),"121703514-1")</f>
        <v>121703514-1</v>
      </c>
      <c r="B4636" s="6" t="str">
        <f>IFERROR(__xludf.DUMMYFUNCTION("""COMPUTED_VALUE"""),"121703514 - APPROVED")</f>
        <v>121703514 - APPROVED</v>
      </c>
      <c r="C4636" s="6">
        <f>IFERROR(__xludf.DUMMYFUNCTION("""COMPUTED_VALUE"""),1.0)</f>
        <v>1</v>
      </c>
      <c r="D4636" s="6" t="str">
        <f>IFERROR(__xludf.DUMMYFUNCTION("""COMPUTED_VALUE"""),"R-20024-00")</f>
        <v>R-20024-00</v>
      </c>
      <c r="E4636" s="6" t="str">
        <f>IFERROR(__xludf.DUMMYFUNCTION("""COMPUTED_VALUE"""),"Machine Equipment; ; ; - Pemasangan Plat untuk Mobilisasi Mesin (Temporary Works + Chemical Anchor) - Pemasangan Plat untuk Mobilisasi Mesin (Temporary Works + Chemical Anchor)")</f>
        <v>Machine Equipment; ; ; - Pemasangan Plat untuk Mobilisasi Mesin (Temporary Works + Chemical Anchor) - Pemasangan Plat untuk Mobilisasi Mesin (Temporary Works + Chemical Anchor)</v>
      </c>
      <c r="F4636" s="6">
        <f>IFERROR(__xludf.DUMMYFUNCTION("""COMPUTED_VALUE"""),1.0)</f>
        <v>1</v>
      </c>
      <c r="G4636" s="6" t="str">
        <f>IFERROR(__xludf.DUMMYFUNCTION("""COMPUTED_VALUE"""),"Unit")</f>
        <v>Unit</v>
      </c>
      <c r="H4636" s="6" t="str">
        <f>IFERROR(__xludf.DUMMYFUNCTION("""COMPUTED_VALUE"""),"IDR")</f>
        <v>IDR</v>
      </c>
      <c r="I4636" s="6">
        <f>IFERROR(__xludf.DUMMYFUNCTION("""COMPUTED_VALUE"""),4140000.0)</f>
        <v>4140000</v>
      </c>
      <c r="J4636" s="6">
        <f>IFERROR(__xludf.DUMMYFUNCTION("""COMPUTED_VALUE"""),4140000.0)</f>
        <v>4140000</v>
      </c>
      <c r="K4636" s="57">
        <f>IFERROR(__xludf.DUMMYFUNCTION("""COMPUTED_VALUE"""),45989.0)</f>
        <v>45989</v>
      </c>
      <c r="L4636" s="6" t="str">
        <f>IFERROR(__xludf.DUMMYFUNCTION("""COMPUTED_VALUE"""),"FIP General")</f>
        <v>FIP General</v>
      </c>
      <c r="M4636" s="6" t="str">
        <f>IFERROR(__xludf.DUMMYFUNCTION("""COMPUTED_VALUE"""),"Mochammad Fadhillah Hakim,")</f>
        <v>Mochammad Fadhillah Hakim,</v>
      </c>
      <c r="N4636" s="6" t="str">
        <f>IFERROR(__xludf.DUMMYFUNCTION("""COMPUTED_VALUE"""),"FIP Engineering")</f>
        <v>FIP Engineering</v>
      </c>
      <c r="O4636" s="6" t="str">
        <f>IFERROR(__xludf.DUMMYFUNCTION("""COMPUTED_VALUE"""),"FIP-DOM-PRJ-13404-MC25005-INA-000000")</f>
        <v>FIP-DOM-PRJ-13404-MC25005-INA-000000</v>
      </c>
      <c r="P4636" s="6" t="str">
        <f>IFERROR(__xludf.DUMMYFUNCTION("""COMPUTED_VALUE"""),"PO Closed")</f>
        <v>PO Closed</v>
      </c>
      <c r="Q4636" s="6"/>
      <c r="R4636" s="57">
        <f>IFERROR(__xludf.DUMMYFUNCTION("""COMPUTED_VALUE"""),45982.0)</f>
        <v>45982</v>
      </c>
      <c r="S4636" s="57">
        <f>IFERROR(__xludf.DUMMYFUNCTION("""COMPUTED_VALUE"""),45985.0)</f>
        <v>45985</v>
      </c>
      <c r="T4636" s="6"/>
    </row>
    <row r="4637">
      <c r="A4637" s="6" t="str">
        <f>IFERROR(__xludf.DUMMYFUNCTION("""COMPUTED_VALUE"""),"121703527-1")</f>
        <v>121703527-1</v>
      </c>
      <c r="B4637" s="6" t="str">
        <f>IFERROR(__xludf.DUMMYFUNCTION("""COMPUTED_VALUE"""),"121703527 - APPROVED")</f>
        <v>121703527 - APPROVED</v>
      </c>
      <c r="C4637" s="6">
        <f>IFERROR(__xludf.DUMMYFUNCTION("""COMPUTED_VALUE"""),1.0)</f>
        <v>1</v>
      </c>
      <c r="D4637" s="6" t="str">
        <f>IFERROR(__xludf.DUMMYFUNCTION("""COMPUTED_VALUE"""),"O-21031-00")</f>
        <v>O-21031-00</v>
      </c>
      <c r="E4637" s="6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F4637" s="6">
        <f>IFERROR(__xludf.DUMMYFUNCTION("""COMPUTED_VALUE"""),3.0)</f>
        <v>3</v>
      </c>
      <c r="G4637" s="6" t="str">
        <f>IFERROR(__xludf.DUMMYFUNCTION("""COMPUTED_VALUE"""),"Pieces")</f>
        <v>Pieces</v>
      </c>
      <c r="H4637" s="6" t="str">
        <f>IFERROR(__xludf.DUMMYFUNCTION("""COMPUTED_VALUE"""),"IDR")</f>
        <v>IDR</v>
      </c>
      <c r="I4637" s="6">
        <f>IFERROR(__xludf.DUMMYFUNCTION("""COMPUTED_VALUE"""),1200000.0)</f>
        <v>1200000</v>
      </c>
      <c r="J4637" s="6">
        <f>IFERROR(__xludf.DUMMYFUNCTION("""COMPUTED_VALUE"""),3600000.0)</f>
        <v>3600000</v>
      </c>
      <c r="K4637" s="57">
        <f>IFERROR(__xludf.DUMMYFUNCTION("""COMPUTED_VALUE"""),46024.0)</f>
        <v>46024</v>
      </c>
      <c r="L4637" s="6" t="str">
        <f>IFERROR(__xludf.DUMMYFUNCTION("""COMPUTED_VALUE"""),"FIP Engineering")</f>
        <v>FIP Engineering</v>
      </c>
      <c r="M4637" s="6" t="str">
        <f>IFERROR(__xludf.DUMMYFUNCTION("""COMPUTED_VALUE"""),"Mochammad Fadhillah Hakim,")</f>
        <v>Mochammad Fadhillah Hakim,</v>
      </c>
      <c r="N4637" s="6" t="str">
        <f>IFERROR(__xludf.DUMMYFUNCTION("""COMPUTED_VALUE"""),"FIP Engineering")</f>
        <v>FIP Engineering</v>
      </c>
      <c r="O4637" s="6" t="str">
        <f>IFERROR(__xludf.DUMMYFUNCTION("""COMPUTED_VALUE"""),"FIP-DOM-000-11304-OS00001-INA-000000")</f>
        <v>FIP-DOM-000-11304-OS00001-INA-000000</v>
      </c>
      <c r="P4637" s="6" t="str">
        <f>IFERROR(__xludf.DUMMYFUNCTION("""COMPUTED_VALUE"""),"PO Closed")</f>
        <v>PO Closed</v>
      </c>
      <c r="Q4637" s="6" t="str">
        <f>IFERROR(__xludf.DUMMYFUNCTION("""COMPUTED_VALUE"""),"GL2512333")</f>
        <v>GL2512333</v>
      </c>
      <c r="R4637" s="57">
        <f>IFERROR(__xludf.DUMMYFUNCTION("""COMPUTED_VALUE"""),45988.0)</f>
        <v>45988</v>
      </c>
      <c r="S4637" s="57">
        <f>IFERROR(__xludf.DUMMYFUNCTION("""COMPUTED_VALUE"""),45993.0)</f>
        <v>45993</v>
      </c>
      <c r="T4637" s="57">
        <f>IFERROR(__xludf.DUMMYFUNCTION("""COMPUTED_VALUE"""),46024.0)</f>
        <v>46024</v>
      </c>
    </row>
    <row r="4638">
      <c r="A4638" s="6" t="str">
        <f>IFERROR(__xludf.DUMMYFUNCTION("""COMPUTED_VALUE"""),"121703528-1")</f>
        <v>121703528-1</v>
      </c>
      <c r="B4638" s="6" t="str">
        <f>IFERROR(__xludf.DUMMYFUNCTION("""COMPUTED_VALUE"""),"121703528 - APPROVED")</f>
        <v>121703528 - APPROVED</v>
      </c>
      <c r="C4638" s="6">
        <f>IFERROR(__xludf.DUMMYFUNCTION("""COMPUTED_VALUE"""),1.0)</f>
        <v>1</v>
      </c>
      <c r="D4638" s="6" t="str">
        <f>IFERROR(__xludf.DUMMYFUNCTION("""COMPUTED_VALUE"""),"O-53478-00")</f>
        <v>O-53478-00</v>
      </c>
      <c r="E4638" s="6" t="str">
        <f>IFERROR(__xludf.DUMMYFUNCTION("""COMPUTED_VALUE"""),"Filling VFM100 - Vacuump pump Vane balde; VT 4.16; Becker; 90134700007; 1 Pack")</f>
        <v>Filling VFM100 - Vacuump pump Vane balde; VT 4.16; Becker; 90134700007; 1 Pack</v>
      </c>
      <c r="F4638" s="6">
        <f>IFERROR(__xludf.DUMMYFUNCTION("""COMPUTED_VALUE"""),1.0)</f>
        <v>1</v>
      </c>
      <c r="G4638" s="6" t="str">
        <f>IFERROR(__xludf.DUMMYFUNCTION("""COMPUTED_VALUE"""),"Pack")</f>
        <v>Pack</v>
      </c>
      <c r="H4638" s="6" t="str">
        <f>IFERROR(__xludf.DUMMYFUNCTION("""COMPUTED_VALUE"""),"IDR")</f>
        <v>IDR</v>
      </c>
      <c r="I4638" s="6">
        <f>IFERROR(__xludf.DUMMYFUNCTION("""COMPUTED_VALUE"""),6695000.0)</f>
        <v>6695000</v>
      </c>
      <c r="J4638" s="6">
        <f>IFERROR(__xludf.DUMMYFUNCTION("""COMPUTED_VALUE"""),6695000.0)</f>
        <v>6695000</v>
      </c>
      <c r="K4638" s="57">
        <f>IFERROR(__xludf.DUMMYFUNCTION("""COMPUTED_VALUE"""),46024.0)</f>
        <v>46024</v>
      </c>
      <c r="L4638" s="6" t="str">
        <f>IFERROR(__xludf.DUMMYFUNCTION("""COMPUTED_VALUE"""),"FIP Engineering")</f>
        <v>FIP Engineering</v>
      </c>
      <c r="M4638" s="6" t="str">
        <f>IFERROR(__xludf.DUMMYFUNCTION("""COMPUTED_VALUE"""),"Mochammad Fadhillah Hakim,")</f>
        <v>Mochammad Fadhillah Hakim,</v>
      </c>
      <c r="N4638" s="6" t="str">
        <f>IFERROR(__xludf.DUMMYFUNCTION("""COMPUTED_VALUE"""),"FIP Engineering")</f>
        <v>FIP Engineering</v>
      </c>
      <c r="O4638" s="6" t="str">
        <f>IFERROR(__xludf.DUMMYFUNCTION("""COMPUTED_VALUE"""),"FIP-DOM-000-11304-OS00001-INA-000000")</f>
        <v>FIP-DOM-000-11304-OS00001-INA-000000</v>
      </c>
      <c r="P4638" s="6" t="str">
        <f>IFERROR(__xludf.DUMMYFUNCTION("""COMPUTED_VALUE"""),"PO Closed")</f>
        <v>PO Closed</v>
      </c>
      <c r="Q4638" s="6" t="str">
        <f>IFERROR(__xludf.DUMMYFUNCTION("""COMPUTED_VALUE"""),"GL2512334")</f>
        <v>GL2512334</v>
      </c>
      <c r="R4638" s="57">
        <f>IFERROR(__xludf.DUMMYFUNCTION("""COMPUTED_VALUE"""),45988.0)</f>
        <v>45988</v>
      </c>
      <c r="S4638" s="57">
        <f>IFERROR(__xludf.DUMMYFUNCTION("""COMPUTED_VALUE"""),45993.0)</f>
        <v>45993</v>
      </c>
      <c r="T4638" s="57">
        <f>IFERROR(__xludf.DUMMYFUNCTION("""COMPUTED_VALUE"""),46055.0)</f>
        <v>46055</v>
      </c>
    </row>
    <row r="4639">
      <c r="A4639" s="6" t="str">
        <f>IFERROR(__xludf.DUMMYFUNCTION("""COMPUTED_VALUE"""),"121703530-1")</f>
        <v>121703530-1</v>
      </c>
      <c r="B4639" s="6" t="str">
        <f>IFERROR(__xludf.DUMMYFUNCTION("""COMPUTED_VALUE"""),"121703530 - APPROVED")</f>
        <v>121703530 - APPROVED</v>
      </c>
      <c r="C4639" s="6">
        <f>IFERROR(__xludf.DUMMYFUNCTION("""COMPUTED_VALUE"""),1.0)</f>
        <v>1</v>
      </c>
      <c r="D4639" s="6" t="str">
        <f>IFERROR(__xludf.DUMMYFUNCTION("""COMPUTED_VALUE"""),"O-19381-00")</f>
        <v>O-19381-00</v>
      </c>
      <c r="E4639" s="6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F4639" s="6">
        <f>IFERROR(__xludf.DUMMYFUNCTION("""COMPUTED_VALUE"""),1.0)</f>
        <v>1</v>
      </c>
      <c r="G4639" s="6" t="str">
        <f>IFERROR(__xludf.DUMMYFUNCTION("""COMPUTED_VALUE"""),"Pieces")</f>
        <v>Pieces</v>
      </c>
      <c r="H4639" s="6" t="str">
        <f>IFERROR(__xludf.DUMMYFUNCTION("""COMPUTED_VALUE"""),"IDR")</f>
        <v>IDR</v>
      </c>
      <c r="I4639" s="6">
        <f>IFERROR(__xludf.DUMMYFUNCTION("""COMPUTED_VALUE"""),750000.0)</f>
        <v>750000</v>
      </c>
      <c r="J4639" s="6">
        <f>IFERROR(__xludf.DUMMYFUNCTION("""COMPUTED_VALUE"""),750000.0)</f>
        <v>750000</v>
      </c>
      <c r="K4639" s="57">
        <f>IFERROR(__xludf.DUMMYFUNCTION("""COMPUTED_VALUE"""),46024.0)</f>
        <v>46024</v>
      </c>
      <c r="L4639" s="6" t="str">
        <f>IFERROR(__xludf.DUMMYFUNCTION("""COMPUTED_VALUE"""),"FIP Engineering")</f>
        <v>FIP Engineering</v>
      </c>
      <c r="M4639" s="6" t="str">
        <f>IFERROR(__xludf.DUMMYFUNCTION("""COMPUTED_VALUE"""),"Mochammad Fadhillah Hakim,")</f>
        <v>Mochammad Fadhillah Hakim,</v>
      </c>
      <c r="N4639" s="6" t="str">
        <f>IFERROR(__xludf.DUMMYFUNCTION("""COMPUTED_VALUE"""),"FIP Engineering")</f>
        <v>FIP Engineering</v>
      </c>
      <c r="O4639" s="6" t="str">
        <f>IFERROR(__xludf.DUMMYFUNCTION("""COMPUTED_VALUE"""),"FIP-DOM-000-11304-OS00001-INA-000000")</f>
        <v>FIP-DOM-000-11304-OS00001-INA-000000</v>
      </c>
      <c r="P4639" s="6" t="str">
        <f>IFERROR(__xludf.DUMMYFUNCTION("""COMPUTED_VALUE"""),"PO Closed")</f>
        <v>PO Closed</v>
      </c>
      <c r="Q4639" s="6" t="str">
        <f>IFERROR(__xludf.DUMMYFUNCTION("""COMPUTED_VALUE"""),"GL2512321")</f>
        <v>GL2512321</v>
      </c>
      <c r="R4639" s="57">
        <f>IFERROR(__xludf.DUMMYFUNCTION("""COMPUTED_VALUE"""),45988.0)</f>
        <v>45988</v>
      </c>
      <c r="S4639" s="57">
        <f>IFERROR(__xludf.DUMMYFUNCTION("""COMPUTED_VALUE"""),45993.0)</f>
        <v>45993</v>
      </c>
      <c r="T4639" s="57">
        <f>IFERROR(__xludf.DUMMYFUNCTION("""COMPUTED_VALUE"""),46053.0)</f>
        <v>46053</v>
      </c>
    </row>
    <row r="4640">
      <c r="A4640" s="6" t="str">
        <f>IFERROR(__xludf.DUMMYFUNCTION("""COMPUTED_VALUE"""),"121703531-1")</f>
        <v>121703531-1</v>
      </c>
      <c r="B4640" s="6" t="str">
        <f>IFERROR(__xludf.DUMMYFUNCTION("""COMPUTED_VALUE"""),"121703531 - APPROVED")</f>
        <v>121703531 - APPROVED</v>
      </c>
      <c r="C4640" s="6">
        <f>IFERROR(__xludf.DUMMYFUNCTION("""COMPUTED_VALUE"""),1.0)</f>
        <v>1</v>
      </c>
      <c r="D4640" s="6" t="str">
        <f>IFERROR(__xludf.DUMMYFUNCTION("""COMPUTED_VALUE"""),"O-53516-00")</f>
        <v>O-53516-00</v>
      </c>
      <c r="E4640" s="6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F4640" s="6">
        <f>IFERROR(__xludf.DUMMYFUNCTION("""COMPUTED_VALUE"""),2.0)</f>
        <v>2</v>
      </c>
      <c r="G4640" s="6" t="str">
        <f>IFERROR(__xludf.DUMMYFUNCTION("""COMPUTED_VALUE"""),"Pieces")</f>
        <v>Pieces</v>
      </c>
      <c r="H4640" s="6" t="str">
        <f>IFERROR(__xludf.DUMMYFUNCTION("""COMPUTED_VALUE"""),"IDR")</f>
        <v>IDR</v>
      </c>
      <c r="I4640" s="6">
        <f>IFERROR(__xludf.DUMMYFUNCTION("""COMPUTED_VALUE"""),1160000.0)</f>
        <v>1160000</v>
      </c>
      <c r="J4640" s="6">
        <f>IFERROR(__xludf.DUMMYFUNCTION("""COMPUTED_VALUE"""),2320000.0)</f>
        <v>2320000</v>
      </c>
      <c r="K4640" s="57">
        <f>IFERROR(__xludf.DUMMYFUNCTION("""COMPUTED_VALUE"""),46024.0)</f>
        <v>46024</v>
      </c>
      <c r="L4640" s="6" t="str">
        <f>IFERROR(__xludf.DUMMYFUNCTION("""COMPUTED_VALUE"""),"FIP Engineering")</f>
        <v>FIP Engineering</v>
      </c>
      <c r="M4640" s="6" t="str">
        <f>IFERROR(__xludf.DUMMYFUNCTION("""COMPUTED_VALUE"""),"Mochammad Fadhillah Hakim,")</f>
        <v>Mochammad Fadhillah Hakim,</v>
      </c>
      <c r="N4640" s="6" t="str">
        <f>IFERROR(__xludf.DUMMYFUNCTION("""COMPUTED_VALUE"""),"FIP Engineering")</f>
        <v>FIP Engineering</v>
      </c>
      <c r="O4640" s="6" t="str">
        <f>IFERROR(__xludf.DUMMYFUNCTION("""COMPUTED_VALUE"""),"FIP-DOM-000-11304-OS00001-INA-000000")</f>
        <v>FIP-DOM-000-11304-OS00001-INA-000000</v>
      </c>
      <c r="P4640" s="6" t="str">
        <f>IFERROR(__xludf.DUMMYFUNCTION("""COMPUTED_VALUE"""),"PO Closed")</f>
        <v>PO Closed</v>
      </c>
      <c r="Q4640" s="6" t="str">
        <f>IFERROR(__xludf.DUMMYFUNCTION("""COMPUTED_VALUE"""),"GL2512335")</f>
        <v>GL2512335</v>
      </c>
      <c r="R4640" s="57">
        <f>IFERROR(__xludf.DUMMYFUNCTION("""COMPUTED_VALUE"""),45988.0)</f>
        <v>45988</v>
      </c>
      <c r="S4640" s="57">
        <f>IFERROR(__xludf.DUMMYFUNCTION("""COMPUTED_VALUE"""),45993.0)</f>
        <v>45993</v>
      </c>
      <c r="T4640" s="57">
        <f>IFERROR(__xludf.DUMMYFUNCTION("""COMPUTED_VALUE"""),46055.0)</f>
        <v>46055</v>
      </c>
    </row>
    <row r="4641">
      <c r="A4641" s="6" t="str">
        <f>IFERROR(__xludf.DUMMYFUNCTION("""COMPUTED_VALUE"""),"121703533-1")</f>
        <v>121703533-1</v>
      </c>
      <c r="B4641" s="6" t="str">
        <f>IFERROR(__xludf.DUMMYFUNCTION("""COMPUTED_VALUE"""),"121703533 - APPROVED")</f>
        <v>121703533 - APPROVED</v>
      </c>
      <c r="C4641" s="6">
        <f>IFERROR(__xludf.DUMMYFUNCTION("""COMPUTED_VALUE"""),1.0)</f>
        <v>1</v>
      </c>
      <c r="D4641" s="6" t="str">
        <f>IFERROR(__xludf.DUMMYFUNCTION("""COMPUTED_VALUE"""),"S-60050-00")</f>
        <v>S-60050-00</v>
      </c>
      <c r="E4641" s="6" t="str">
        <f>IFERROR(__xludf.DUMMYFUNCTION("""COMPUTED_VALUE"""),"Jasa Perbaikan dan Pemeliharaan Mesin Produksi; ; ; - Perbaikan Needle EDM")</f>
        <v>Jasa Perbaikan dan Pemeliharaan Mesin Produksi; ; ; - Perbaikan Needle EDM</v>
      </c>
      <c r="F4641" s="6">
        <f>IFERROR(__xludf.DUMMYFUNCTION("""COMPUTED_VALUE"""),5.0)</f>
        <v>5</v>
      </c>
      <c r="G4641" s="6" t="str">
        <f>IFERROR(__xludf.DUMMYFUNCTION("""COMPUTED_VALUE"""),"Pieces")</f>
        <v>Pieces</v>
      </c>
      <c r="H4641" s="6" t="str">
        <f>IFERROR(__xludf.DUMMYFUNCTION("""COMPUTED_VALUE"""),"IDR")</f>
        <v>IDR</v>
      </c>
      <c r="I4641" s="6">
        <f>IFERROR(__xludf.DUMMYFUNCTION("""COMPUTED_VALUE"""),885000.0)</f>
        <v>885000</v>
      </c>
      <c r="J4641" s="6">
        <f>IFERROR(__xludf.DUMMYFUNCTION("""COMPUTED_VALUE"""),4425000.0)</f>
        <v>4425000</v>
      </c>
      <c r="K4641" s="57">
        <f>IFERROR(__xludf.DUMMYFUNCTION("""COMPUTED_VALUE"""),46024.0)</f>
        <v>46024</v>
      </c>
      <c r="L4641" s="6" t="str">
        <f>IFERROR(__xludf.DUMMYFUNCTION("""COMPUTED_VALUE"""),"FIP General")</f>
        <v>FIP General</v>
      </c>
      <c r="M4641" s="6" t="str">
        <f>IFERROR(__xludf.DUMMYFUNCTION("""COMPUTED_VALUE"""),"Mochammad Fadhillah Hakim,")</f>
        <v>Mochammad Fadhillah Hakim,</v>
      </c>
      <c r="N4641" s="6" t="str">
        <f>IFERROR(__xludf.DUMMYFUNCTION("""COMPUTED_VALUE"""),"FIP Engineering")</f>
        <v>FIP Engineering</v>
      </c>
      <c r="O4641" s="6" t="str">
        <f>IFERROR(__xludf.DUMMYFUNCTION("""COMPUTED_VALUE"""),"FIP-DOM-ENG-51504-0000000-INA-000000")</f>
        <v>FIP-DOM-ENG-51504-0000000-INA-000000</v>
      </c>
      <c r="P4641" s="6" t="str">
        <f>IFERROR(__xludf.DUMMYFUNCTION("""COMPUTED_VALUE"""),"PO Closed")</f>
        <v>PO Closed</v>
      </c>
      <c r="Q4641" s="6" t="str">
        <f>IFERROR(__xludf.DUMMYFUNCTION("""COMPUTED_VALUE"""),"GL2512022")</f>
        <v>GL2512022</v>
      </c>
      <c r="R4641" s="57">
        <f>IFERROR(__xludf.DUMMYFUNCTION("""COMPUTED_VALUE"""),45988.0)</f>
        <v>45988</v>
      </c>
      <c r="S4641" s="57">
        <f>IFERROR(__xludf.DUMMYFUNCTION("""COMPUTED_VALUE"""),45993.0)</f>
        <v>45993</v>
      </c>
      <c r="T4641" s="57">
        <f>IFERROR(__xludf.DUMMYFUNCTION("""COMPUTED_VALUE"""),46037.0)</f>
        <v>46037</v>
      </c>
    </row>
    <row r="4642">
      <c r="A4642" s="6" t="str">
        <f>IFERROR(__xludf.DUMMYFUNCTION("""COMPUTED_VALUE"""),"121703537-1")</f>
        <v>121703537-1</v>
      </c>
      <c r="B4642" s="6" t="str">
        <f>IFERROR(__xludf.DUMMYFUNCTION("""COMPUTED_VALUE"""),"121703537 - APPROVED")</f>
        <v>121703537 - APPROVED</v>
      </c>
      <c r="C4642" s="6">
        <f>IFERROR(__xludf.DUMMYFUNCTION("""COMPUTED_VALUE"""),1.0)</f>
        <v>1</v>
      </c>
      <c r="D4642" s="6" t="str">
        <f>IFERROR(__xludf.DUMMYFUNCTION("""COMPUTED_VALUE"""),"T-25372-00")</f>
        <v>T-25372-00</v>
      </c>
      <c r="E4642" s="6" t="str">
        <f>IFERROR(__xludf.DUMMYFUNCTION("""COMPUTED_VALUE"""),"Electrode holder uPlace; Mettler Toledo; 30019823;")</f>
        <v>Electrode holder uPlace; Mettler Toledo; 30019823;</v>
      </c>
      <c r="F4642" s="6">
        <f>IFERROR(__xludf.DUMMYFUNCTION("""COMPUTED_VALUE"""),1.0)</f>
        <v>1</v>
      </c>
      <c r="G4642" s="6" t="str">
        <f>IFERROR(__xludf.DUMMYFUNCTION("""COMPUTED_VALUE"""),"Unit")</f>
        <v>Unit</v>
      </c>
      <c r="H4642" s="6" t="str">
        <f>IFERROR(__xludf.DUMMYFUNCTION("""COMPUTED_VALUE"""),"IDR")</f>
        <v>IDR</v>
      </c>
      <c r="I4642" s="6">
        <f>IFERROR(__xludf.DUMMYFUNCTION("""COMPUTED_VALUE"""),4520000.0)</f>
        <v>4520000</v>
      </c>
      <c r="J4642" s="6">
        <f>IFERROR(__xludf.DUMMYFUNCTION("""COMPUTED_VALUE"""),4520000.0)</f>
        <v>4520000</v>
      </c>
      <c r="K4642" s="57">
        <f>IFERROR(__xludf.DUMMYFUNCTION("""COMPUTED_VALUE"""),46024.0)</f>
        <v>46024</v>
      </c>
      <c r="L4642" s="6" t="str">
        <f>IFERROR(__xludf.DUMMYFUNCTION("""COMPUTED_VALUE"""),"FIP General")</f>
        <v>FIP General</v>
      </c>
      <c r="M4642" s="6" t="str">
        <f>IFERROR(__xludf.DUMMYFUNCTION("""COMPUTED_VALUE"""),"Mochammad Fadhillah Hakim,")</f>
        <v>Mochammad Fadhillah Hakim,</v>
      </c>
      <c r="N4642" s="6" t="str">
        <f>IFERROR(__xludf.DUMMYFUNCTION("""COMPUTED_VALUE"""),"FIP Engineering")</f>
        <v>FIP Engineering</v>
      </c>
      <c r="O4642" s="6" t="str">
        <f>IFERROR(__xludf.DUMMYFUNCTION("""COMPUTED_VALUE"""),"FIP-DOM-ENG-51505-0000000-INA-000000")</f>
        <v>FIP-DOM-ENG-51505-0000000-INA-000000</v>
      </c>
      <c r="P4642" s="6" t="str">
        <f>IFERROR(__xludf.DUMMYFUNCTION("""COMPUTED_VALUE"""),"PO Closed")</f>
        <v>PO Closed</v>
      </c>
      <c r="Q4642" s="6" t="str">
        <f>IFERROR(__xludf.DUMMYFUNCTION("""COMPUTED_VALUE"""),"GL2512036")</f>
        <v>GL2512036</v>
      </c>
      <c r="R4642" s="57">
        <f>IFERROR(__xludf.DUMMYFUNCTION("""COMPUTED_VALUE"""),45989.0)</f>
        <v>45989</v>
      </c>
      <c r="S4642" s="57">
        <f>IFERROR(__xludf.DUMMYFUNCTION("""COMPUTED_VALUE"""),45993.0)</f>
        <v>45993</v>
      </c>
      <c r="T4642" s="57">
        <f>IFERROR(__xludf.DUMMYFUNCTION("""COMPUTED_VALUE"""),46034.0)</f>
        <v>46034</v>
      </c>
    </row>
    <row r="4643">
      <c r="A4643" s="6" t="str">
        <f>IFERROR(__xludf.DUMMYFUNCTION("""COMPUTED_VALUE"""),"121703545-1")</f>
        <v>121703545-1</v>
      </c>
      <c r="B4643" s="6" t="str">
        <f>IFERROR(__xludf.DUMMYFUNCTION("""COMPUTED_VALUE"""),"121703545 - APPROVED")</f>
        <v>121703545 - APPROVED</v>
      </c>
      <c r="C4643" s="6">
        <f>IFERROR(__xludf.DUMMYFUNCTION("""COMPUTED_VALUE"""),1.0)</f>
        <v>1</v>
      </c>
      <c r="D4643" s="6" t="str">
        <f>IFERROR(__xludf.DUMMYFUNCTION("""COMPUTED_VALUE"""),"R-21013-00")</f>
        <v>R-21013-00</v>
      </c>
      <c r="E4643" s="6" t="str">
        <f>IFERROR(__xludf.DUMMYFUNCTION("""COMPUTED_VALUE"""),"Utility Equipment; ; ; - FC-102P11KT4E21H2XGXXXXSXXXXAXBXCXXXXDX - FC-102P11KT4E21H2XGXXXXSXXXXAXBXCXXXXDX")</f>
        <v>Utility Equipment; ; ; - FC-102P11KT4E21H2XGXXXXSXXXXAXBXCXXXXDX - FC-102P11KT4E21H2XGXXXXSXXXXAXBXCXXXXDX</v>
      </c>
      <c r="F4643" s="6">
        <f>IFERROR(__xludf.DUMMYFUNCTION("""COMPUTED_VALUE"""),1.0)</f>
        <v>1</v>
      </c>
      <c r="G4643" s="6" t="str">
        <f>IFERROR(__xludf.DUMMYFUNCTION("""COMPUTED_VALUE"""),"Unit")</f>
        <v>Unit</v>
      </c>
      <c r="H4643" s="6" t="str">
        <f>IFERROR(__xludf.DUMMYFUNCTION("""COMPUTED_VALUE"""),"IDR")</f>
        <v>IDR</v>
      </c>
      <c r="I4643" s="6">
        <f>IFERROR(__xludf.DUMMYFUNCTION("""COMPUTED_VALUE"""),2.3708E7)</f>
        <v>23708000</v>
      </c>
      <c r="J4643" s="6">
        <f>IFERROR(__xludf.DUMMYFUNCTION("""COMPUTED_VALUE"""),2.3708E7)</f>
        <v>23708000</v>
      </c>
      <c r="K4643" s="57">
        <f>IFERROR(__xludf.DUMMYFUNCTION("""COMPUTED_VALUE"""),46024.0)</f>
        <v>46024</v>
      </c>
      <c r="L4643" s="6" t="str">
        <f>IFERROR(__xludf.DUMMYFUNCTION("""COMPUTED_VALUE"""),"FIP General")</f>
        <v>FIP General</v>
      </c>
      <c r="M4643" s="6" t="str">
        <f>IFERROR(__xludf.DUMMYFUNCTION("""COMPUTED_VALUE"""),"Mochammad Fadhillah Hakim,")</f>
        <v>Mochammad Fadhillah Hakim,</v>
      </c>
      <c r="N4643" s="6" t="str">
        <f>IFERROR(__xludf.DUMMYFUNCTION("""COMPUTED_VALUE"""),"FIP Engineering")</f>
        <v>FIP Engineering</v>
      </c>
      <c r="O4643" s="6" t="str">
        <f>IFERROR(__xludf.DUMMYFUNCTION("""COMPUTED_VALUE"""),"FIP-DOM-ENG-13405-EQ25023-INA-000000")</f>
        <v>FIP-DOM-ENG-13405-EQ25023-INA-000000</v>
      </c>
      <c r="P4643" s="6" t="str">
        <f>IFERROR(__xludf.DUMMYFUNCTION("""COMPUTED_VALUE"""),"PO Closed")</f>
        <v>PO Closed</v>
      </c>
      <c r="Q4643" s="6" t="str">
        <f>IFERROR(__xludf.DUMMYFUNCTION("""COMPUTED_VALUE"""),"GL2512023")</f>
        <v>GL2512023</v>
      </c>
      <c r="R4643" s="57">
        <f>IFERROR(__xludf.DUMMYFUNCTION("""COMPUTED_VALUE"""),45992.0)</f>
        <v>45992</v>
      </c>
      <c r="S4643" s="57">
        <f>IFERROR(__xludf.DUMMYFUNCTION("""COMPUTED_VALUE"""),45993.0)</f>
        <v>45993</v>
      </c>
      <c r="T4643" s="57">
        <f>IFERROR(__xludf.DUMMYFUNCTION("""COMPUTED_VALUE"""),46037.0)</f>
        <v>46037</v>
      </c>
    </row>
    <row r="4644">
      <c r="A4644" s="6" t="str">
        <f>IFERROR(__xludf.DUMMYFUNCTION("""COMPUTED_VALUE"""),"121703545-2")</f>
        <v>121703545-2</v>
      </c>
      <c r="B4644" s="6" t="str">
        <f>IFERROR(__xludf.DUMMYFUNCTION("""COMPUTED_VALUE"""),"121703545 - APPROVED")</f>
        <v>121703545 - APPROVED</v>
      </c>
      <c r="C4644" s="6">
        <f>IFERROR(__xludf.DUMMYFUNCTION("""COMPUTED_VALUE"""),2.0)</f>
        <v>2</v>
      </c>
      <c r="D4644" s="6" t="str">
        <f>IFERROR(__xludf.DUMMYFUNCTION("""COMPUTED_VALUE"""),"R-21013-00")</f>
        <v>R-21013-00</v>
      </c>
      <c r="E4644" s="6" t="str">
        <f>IFERROR(__xludf.DUMMYFUNCTION("""COMPUTED_VALUE"""),"Utility Equipment; ; ; - FC-102P4K0T4E55H2XGXXXXSXXXXAXBXCXXXXDX - FC-102P4K0T4E55H2XGXXXXSXXXXAXBXCXXXXDX")</f>
        <v>Utility Equipment; ; ; - FC-102P4K0T4E55H2XGXXXXSXXXXAXBXCXXXXDX - FC-102P4K0T4E55H2XGXXXXSXXXXAXBXCXXXXDX</v>
      </c>
      <c r="F4644" s="6">
        <f>IFERROR(__xludf.DUMMYFUNCTION("""COMPUTED_VALUE"""),1.0)</f>
        <v>1</v>
      </c>
      <c r="G4644" s="6" t="str">
        <f>IFERROR(__xludf.DUMMYFUNCTION("""COMPUTED_VALUE"""),"Unit")</f>
        <v>Unit</v>
      </c>
      <c r="H4644" s="6" t="str">
        <f>IFERROR(__xludf.DUMMYFUNCTION("""COMPUTED_VALUE"""),"IDR")</f>
        <v>IDR</v>
      </c>
      <c r="I4644" s="6">
        <f>IFERROR(__xludf.DUMMYFUNCTION("""COMPUTED_VALUE"""),1.5232E7)</f>
        <v>15232000</v>
      </c>
      <c r="J4644" s="6">
        <f>IFERROR(__xludf.DUMMYFUNCTION("""COMPUTED_VALUE"""),1.5232E7)</f>
        <v>15232000</v>
      </c>
      <c r="K4644" s="57">
        <f>IFERROR(__xludf.DUMMYFUNCTION("""COMPUTED_VALUE"""),46024.0)</f>
        <v>46024</v>
      </c>
      <c r="L4644" s="6" t="str">
        <f>IFERROR(__xludf.DUMMYFUNCTION("""COMPUTED_VALUE"""),"FIP General")</f>
        <v>FIP General</v>
      </c>
      <c r="M4644" s="6" t="str">
        <f>IFERROR(__xludf.DUMMYFUNCTION("""COMPUTED_VALUE"""),"Mochammad Fadhillah Hakim,")</f>
        <v>Mochammad Fadhillah Hakim,</v>
      </c>
      <c r="N4644" s="6" t="str">
        <f>IFERROR(__xludf.DUMMYFUNCTION("""COMPUTED_VALUE"""),"FIP Engineering")</f>
        <v>FIP Engineering</v>
      </c>
      <c r="O4644" s="6" t="str">
        <f>IFERROR(__xludf.DUMMYFUNCTION("""COMPUTED_VALUE"""),"FIP-DOM-ENG-13405-EQ25023-INA-000000")</f>
        <v>FIP-DOM-ENG-13405-EQ25023-INA-000000</v>
      </c>
      <c r="P4644" s="6" t="str">
        <f>IFERROR(__xludf.DUMMYFUNCTION("""COMPUTED_VALUE"""),"PO Closed")</f>
        <v>PO Closed</v>
      </c>
      <c r="Q4644" s="6" t="str">
        <f>IFERROR(__xludf.DUMMYFUNCTION("""COMPUTED_VALUE"""),"GL2512023")</f>
        <v>GL2512023</v>
      </c>
      <c r="R4644" s="57">
        <f>IFERROR(__xludf.DUMMYFUNCTION("""COMPUTED_VALUE"""),45992.0)</f>
        <v>45992</v>
      </c>
      <c r="S4644" s="57">
        <f>IFERROR(__xludf.DUMMYFUNCTION("""COMPUTED_VALUE"""),45993.0)</f>
        <v>45993</v>
      </c>
      <c r="T4644" s="57">
        <f>IFERROR(__xludf.DUMMYFUNCTION("""COMPUTED_VALUE"""),46037.0)</f>
        <v>46037</v>
      </c>
    </row>
    <row r="4645">
      <c r="A4645" s="6" t="str">
        <f>IFERROR(__xludf.DUMMYFUNCTION("""COMPUTED_VALUE"""),"121703545-3")</f>
        <v>121703545-3</v>
      </c>
      <c r="B4645" s="6" t="str">
        <f>IFERROR(__xludf.DUMMYFUNCTION("""COMPUTED_VALUE"""),"121703545 - APPROVED")</f>
        <v>121703545 - APPROVED</v>
      </c>
      <c r="C4645" s="6">
        <f>IFERROR(__xludf.DUMMYFUNCTION("""COMPUTED_VALUE"""),3.0)</f>
        <v>3</v>
      </c>
      <c r="D4645" s="6" t="str">
        <f>IFERROR(__xludf.DUMMYFUNCTION("""COMPUTED_VALUE"""),"R-21013-00")</f>
        <v>R-21013-00</v>
      </c>
      <c r="E4645" s="6" t="str">
        <f>IFERROR(__xludf.DUMMYFUNCTION("""COMPUTED_VALUE"""),"Utility Equipment; ; ; - FC-102P11KT4E20H2XGXXXXSXXXXAXBXCXXXXDX - FC-102P11KT4E20H2XGXXXXSXXXXAXBXCXXXXDX")</f>
        <v>Utility Equipment; ; ; - FC-102P11KT4E20H2XGXXXXSXXXXAXBXCXXXXDX - FC-102P11KT4E20H2XGXXXXSXXXXAXBXCXXXXDX</v>
      </c>
      <c r="F4645" s="6">
        <f>IFERROR(__xludf.DUMMYFUNCTION("""COMPUTED_VALUE"""),1.0)</f>
        <v>1</v>
      </c>
      <c r="G4645" s="6" t="str">
        <f>IFERROR(__xludf.DUMMYFUNCTION("""COMPUTED_VALUE"""),"Unit")</f>
        <v>Unit</v>
      </c>
      <c r="H4645" s="6" t="str">
        <f>IFERROR(__xludf.DUMMYFUNCTION("""COMPUTED_VALUE"""),"IDR")</f>
        <v>IDR</v>
      </c>
      <c r="I4645" s="6">
        <f>IFERROR(__xludf.DUMMYFUNCTION("""COMPUTED_VALUE"""),2.2374E7)</f>
        <v>22374000</v>
      </c>
      <c r="J4645" s="6">
        <f>IFERROR(__xludf.DUMMYFUNCTION("""COMPUTED_VALUE"""),2.2374E7)</f>
        <v>22374000</v>
      </c>
      <c r="K4645" s="57">
        <f>IFERROR(__xludf.DUMMYFUNCTION("""COMPUTED_VALUE"""),46024.0)</f>
        <v>46024</v>
      </c>
      <c r="L4645" s="6" t="str">
        <f>IFERROR(__xludf.DUMMYFUNCTION("""COMPUTED_VALUE"""),"FIP General")</f>
        <v>FIP General</v>
      </c>
      <c r="M4645" s="6" t="str">
        <f>IFERROR(__xludf.DUMMYFUNCTION("""COMPUTED_VALUE"""),"Mochammad Fadhillah Hakim,")</f>
        <v>Mochammad Fadhillah Hakim,</v>
      </c>
      <c r="N4645" s="6" t="str">
        <f>IFERROR(__xludf.DUMMYFUNCTION("""COMPUTED_VALUE"""),"FIP Engineering")</f>
        <v>FIP Engineering</v>
      </c>
      <c r="O4645" s="6" t="str">
        <f>IFERROR(__xludf.DUMMYFUNCTION("""COMPUTED_VALUE"""),"FIP-DOM-ENG-13405-EQ25023-INA-000000")</f>
        <v>FIP-DOM-ENG-13405-EQ25023-INA-000000</v>
      </c>
      <c r="P4645" s="6" t="str">
        <f>IFERROR(__xludf.DUMMYFUNCTION("""COMPUTED_VALUE"""),"PO Closed")</f>
        <v>PO Closed</v>
      </c>
      <c r="Q4645" s="6" t="str">
        <f>IFERROR(__xludf.DUMMYFUNCTION("""COMPUTED_VALUE"""),"GL2512023")</f>
        <v>GL2512023</v>
      </c>
      <c r="R4645" s="57">
        <f>IFERROR(__xludf.DUMMYFUNCTION("""COMPUTED_VALUE"""),45992.0)</f>
        <v>45992</v>
      </c>
      <c r="S4645" s="57">
        <f>IFERROR(__xludf.DUMMYFUNCTION("""COMPUTED_VALUE"""),45993.0)</f>
        <v>45993</v>
      </c>
      <c r="T4645" s="57">
        <f>IFERROR(__xludf.DUMMYFUNCTION("""COMPUTED_VALUE"""),46037.0)</f>
        <v>46037</v>
      </c>
    </row>
    <row r="4646">
      <c r="A4646" s="6" t="str">
        <f>IFERROR(__xludf.DUMMYFUNCTION("""COMPUTED_VALUE"""),"121703548-1")</f>
        <v>121703548-1</v>
      </c>
      <c r="B4646" s="6" t="str">
        <f>IFERROR(__xludf.DUMMYFUNCTION("""COMPUTED_VALUE"""),"121703548 - APPROVED")</f>
        <v>121703548 - APPROVED</v>
      </c>
      <c r="C4646" s="6">
        <f>IFERROR(__xludf.DUMMYFUNCTION("""COMPUTED_VALUE"""),1.0)</f>
        <v>1</v>
      </c>
      <c r="D4646" s="6" t="str">
        <f>IFERROR(__xludf.DUMMYFUNCTION("""COMPUTED_VALUE"""),"P-11183-00")</f>
        <v>P-11183-00</v>
      </c>
      <c r="E4646" s="6" t="str">
        <f>IFERROR(__xludf.DUMMYFUNCTION("""COMPUTED_VALUE"""),"General - Push-in Connector, QS-6-4; Festo; 153037; 1 pcs")</f>
        <v>General - Push-in Connector, QS-6-4; Festo; 153037; 1 pcs</v>
      </c>
      <c r="F4646" s="6">
        <f>IFERROR(__xludf.DUMMYFUNCTION("""COMPUTED_VALUE"""),10.0)</f>
        <v>10</v>
      </c>
      <c r="G4646" s="6" t="str">
        <f>IFERROR(__xludf.DUMMYFUNCTION("""COMPUTED_VALUE"""),"Pieces")</f>
        <v>Pieces</v>
      </c>
      <c r="H4646" s="6" t="str">
        <f>IFERROR(__xludf.DUMMYFUNCTION("""COMPUTED_VALUE"""),"IDR")</f>
        <v>IDR</v>
      </c>
      <c r="I4646" s="6">
        <f>IFERROR(__xludf.DUMMYFUNCTION("""COMPUTED_VALUE"""),43756.0)</f>
        <v>43756</v>
      </c>
      <c r="J4646" s="6">
        <f>IFERROR(__xludf.DUMMYFUNCTION("""COMPUTED_VALUE"""),437560.0)</f>
        <v>437560</v>
      </c>
      <c r="K4646" s="57">
        <f>IFERROR(__xludf.DUMMYFUNCTION("""COMPUTED_VALUE"""),46024.0)</f>
        <v>46024</v>
      </c>
      <c r="L4646" s="6" t="str">
        <f>IFERROR(__xludf.DUMMYFUNCTION("""COMPUTED_VALUE"""),"FIP Engineering")</f>
        <v>FIP Engineering</v>
      </c>
      <c r="M4646" s="6" t="str">
        <f>IFERROR(__xludf.DUMMYFUNCTION("""COMPUTED_VALUE"""),"Mochammad Fadhillah Hakim,")</f>
        <v>Mochammad Fadhillah Hakim,</v>
      </c>
      <c r="N4646" s="6" t="str">
        <f>IFERROR(__xludf.DUMMYFUNCTION("""COMPUTED_VALUE"""),"FIP Engineering")</f>
        <v>FIP Engineering</v>
      </c>
      <c r="O4646" s="6" t="str">
        <f>IFERROR(__xludf.DUMMYFUNCTION("""COMPUTED_VALUE"""),"FIP-DOM-000-11304-OS00001-INA-000000")</f>
        <v>FIP-DOM-000-11304-OS00001-INA-000000</v>
      </c>
      <c r="P4646" s="6" t="str">
        <f>IFERROR(__xludf.DUMMYFUNCTION("""COMPUTED_VALUE"""),"PO Closed")</f>
        <v>PO Closed</v>
      </c>
      <c r="Q4646" s="6" t="str">
        <f>IFERROR(__xludf.DUMMYFUNCTION("""COMPUTED_VALUE"""),"GL2512314")</f>
        <v>GL2512314</v>
      </c>
      <c r="R4646" s="57">
        <f>IFERROR(__xludf.DUMMYFUNCTION("""COMPUTED_VALUE"""),45992.0)</f>
        <v>45992</v>
      </c>
      <c r="S4646" s="57">
        <f>IFERROR(__xludf.DUMMYFUNCTION("""COMPUTED_VALUE"""),45993.0)</f>
        <v>45993</v>
      </c>
      <c r="T4646" s="57">
        <f>IFERROR(__xludf.DUMMYFUNCTION("""COMPUTED_VALUE"""),46024.0)</f>
        <v>46024</v>
      </c>
    </row>
    <row r="4647">
      <c r="A4647" s="6" t="str">
        <f>IFERROR(__xludf.DUMMYFUNCTION("""COMPUTED_VALUE"""),"121703549-1")</f>
        <v>121703549-1</v>
      </c>
      <c r="B4647" s="6" t="str">
        <f>IFERROR(__xludf.DUMMYFUNCTION("""COMPUTED_VALUE"""),"121703549 - APPROVED")</f>
        <v>121703549 - APPROVED</v>
      </c>
      <c r="C4647" s="6">
        <f>IFERROR(__xludf.DUMMYFUNCTION("""COMPUTED_VALUE"""),1.0)</f>
        <v>1</v>
      </c>
      <c r="D4647" s="6" t="str">
        <f>IFERROR(__xludf.DUMMYFUNCTION("""COMPUTED_VALUE"""),"P-20362-00")</f>
        <v>P-20362-00</v>
      </c>
      <c r="E4647" s="6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F4647" s="6">
        <f>IFERROR(__xludf.DUMMYFUNCTION("""COMPUTED_VALUE"""),18.0)</f>
        <v>18</v>
      </c>
      <c r="G4647" s="6" t="str">
        <f>IFERROR(__xludf.DUMMYFUNCTION("""COMPUTED_VALUE"""),"Pieces")</f>
        <v>Pieces</v>
      </c>
      <c r="H4647" s="6" t="str">
        <f>IFERROR(__xludf.DUMMYFUNCTION("""COMPUTED_VALUE"""),"IDR")</f>
        <v>IDR</v>
      </c>
      <c r="I4647" s="6">
        <f>IFERROR(__xludf.DUMMYFUNCTION("""COMPUTED_VALUE"""),400000.0)</f>
        <v>400000</v>
      </c>
      <c r="J4647" s="6">
        <f>IFERROR(__xludf.DUMMYFUNCTION("""COMPUTED_VALUE"""),7200000.0)</f>
        <v>7200000</v>
      </c>
      <c r="K4647" s="57">
        <f>IFERROR(__xludf.DUMMYFUNCTION("""COMPUTED_VALUE"""),46024.0)</f>
        <v>46024</v>
      </c>
      <c r="L4647" s="6" t="str">
        <f>IFERROR(__xludf.DUMMYFUNCTION("""COMPUTED_VALUE"""),"FIP Engineering")</f>
        <v>FIP Engineering</v>
      </c>
      <c r="M4647" s="6" t="str">
        <f>IFERROR(__xludf.DUMMYFUNCTION("""COMPUTED_VALUE"""),"Mochammad Fadhillah Hakim,")</f>
        <v>Mochammad Fadhillah Hakim,</v>
      </c>
      <c r="N4647" s="6" t="str">
        <f>IFERROR(__xludf.DUMMYFUNCTION("""COMPUTED_VALUE"""),"FIP Engineering")</f>
        <v>FIP Engineering</v>
      </c>
      <c r="O4647" s="6" t="str">
        <f>IFERROR(__xludf.DUMMYFUNCTION("""COMPUTED_VALUE"""),"FIP-DOM-000-11304-OS00001-INA-000000")</f>
        <v>FIP-DOM-000-11304-OS00001-INA-000000</v>
      </c>
      <c r="P4647" s="6" t="str">
        <f>IFERROR(__xludf.DUMMYFUNCTION("""COMPUTED_VALUE"""),"PO Closed")</f>
        <v>PO Closed</v>
      </c>
      <c r="Q4647" s="6" t="str">
        <f>IFERROR(__xludf.DUMMYFUNCTION("""COMPUTED_VALUE"""),"GL2512030")</f>
        <v>GL2512030</v>
      </c>
      <c r="R4647" s="57">
        <f>IFERROR(__xludf.DUMMYFUNCTION("""COMPUTED_VALUE"""),45992.0)</f>
        <v>45992</v>
      </c>
      <c r="S4647" s="57">
        <f>IFERROR(__xludf.DUMMYFUNCTION("""COMPUTED_VALUE"""),45993.0)</f>
        <v>45993</v>
      </c>
      <c r="T4647" s="57">
        <f>IFERROR(__xludf.DUMMYFUNCTION("""COMPUTED_VALUE"""),46032.0)</f>
        <v>46032</v>
      </c>
    </row>
    <row r="4648">
      <c r="A4648" s="6" t="str">
        <f>IFERROR(__xludf.DUMMYFUNCTION("""COMPUTED_VALUE"""),"121703549-2")</f>
        <v>121703549-2</v>
      </c>
      <c r="B4648" s="6" t="str">
        <f>IFERROR(__xludf.DUMMYFUNCTION("""COMPUTED_VALUE"""),"121703549 - APPROVED")</f>
        <v>121703549 - APPROVED</v>
      </c>
      <c r="C4648" s="6">
        <f>IFERROR(__xludf.DUMMYFUNCTION("""COMPUTED_VALUE"""),2.0)</f>
        <v>2</v>
      </c>
      <c r="D4648" s="6" t="str">
        <f>IFERROR(__xludf.DUMMYFUNCTION("""COMPUTED_VALUE"""),"P-20363-00")</f>
        <v>P-20363-00</v>
      </c>
      <c r="E4648" s="6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F4648" s="6">
        <f>IFERROR(__xludf.DUMMYFUNCTION("""COMPUTED_VALUE"""),6.0)</f>
        <v>6</v>
      </c>
      <c r="G4648" s="6" t="str">
        <f>IFERROR(__xludf.DUMMYFUNCTION("""COMPUTED_VALUE"""),"Pieces")</f>
        <v>Pieces</v>
      </c>
      <c r="H4648" s="6" t="str">
        <f>IFERROR(__xludf.DUMMYFUNCTION("""COMPUTED_VALUE"""),"IDR")</f>
        <v>IDR</v>
      </c>
      <c r="I4648" s="6">
        <f>IFERROR(__xludf.DUMMYFUNCTION("""COMPUTED_VALUE"""),350000.0)</f>
        <v>350000</v>
      </c>
      <c r="J4648" s="6">
        <f>IFERROR(__xludf.DUMMYFUNCTION("""COMPUTED_VALUE"""),2100000.0)</f>
        <v>2100000</v>
      </c>
      <c r="K4648" s="57">
        <f>IFERROR(__xludf.DUMMYFUNCTION("""COMPUTED_VALUE"""),46024.0)</f>
        <v>46024</v>
      </c>
      <c r="L4648" s="6" t="str">
        <f>IFERROR(__xludf.DUMMYFUNCTION("""COMPUTED_VALUE"""),"FIP Engineering")</f>
        <v>FIP Engineering</v>
      </c>
      <c r="M4648" s="6" t="str">
        <f>IFERROR(__xludf.DUMMYFUNCTION("""COMPUTED_VALUE"""),"Mochammad Fadhillah Hakim,")</f>
        <v>Mochammad Fadhillah Hakim,</v>
      </c>
      <c r="N4648" s="6" t="str">
        <f>IFERROR(__xludf.DUMMYFUNCTION("""COMPUTED_VALUE"""),"FIP Engineering")</f>
        <v>FIP Engineering</v>
      </c>
      <c r="O4648" s="6" t="str">
        <f>IFERROR(__xludf.DUMMYFUNCTION("""COMPUTED_VALUE"""),"FIP-DOM-000-11304-OS00001-INA-000000")</f>
        <v>FIP-DOM-000-11304-OS00001-INA-000000</v>
      </c>
      <c r="P4648" s="6" t="str">
        <f>IFERROR(__xludf.DUMMYFUNCTION("""COMPUTED_VALUE"""),"PO Closed")</f>
        <v>PO Closed</v>
      </c>
      <c r="Q4648" s="6" t="str">
        <f>IFERROR(__xludf.DUMMYFUNCTION("""COMPUTED_VALUE"""),"GL2512030")</f>
        <v>GL2512030</v>
      </c>
      <c r="R4648" s="57">
        <f>IFERROR(__xludf.DUMMYFUNCTION("""COMPUTED_VALUE"""),45992.0)</f>
        <v>45992</v>
      </c>
      <c r="S4648" s="57">
        <f>IFERROR(__xludf.DUMMYFUNCTION("""COMPUTED_VALUE"""),45993.0)</f>
        <v>45993</v>
      </c>
      <c r="T4648" s="57">
        <f>IFERROR(__xludf.DUMMYFUNCTION("""COMPUTED_VALUE"""),46032.0)</f>
        <v>46032</v>
      </c>
    </row>
    <row r="4649">
      <c r="A4649" s="6" t="str">
        <f>IFERROR(__xludf.DUMMYFUNCTION("""COMPUTED_VALUE"""),"121703549-3")</f>
        <v>121703549-3</v>
      </c>
      <c r="B4649" s="6" t="str">
        <f>IFERROR(__xludf.DUMMYFUNCTION("""COMPUTED_VALUE"""),"121703549 - APPROVED")</f>
        <v>121703549 - APPROVED</v>
      </c>
      <c r="C4649" s="6">
        <f>IFERROR(__xludf.DUMMYFUNCTION("""COMPUTED_VALUE"""),3.0)</f>
        <v>3</v>
      </c>
      <c r="D4649" s="6" t="str">
        <f>IFERROR(__xludf.DUMMYFUNCTION("""COMPUTED_VALUE"""),"P-20364-00")</f>
        <v>P-20364-00</v>
      </c>
      <c r="E4649" s="6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F4649" s="6">
        <f>IFERROR(__xludf.DUMMYFUNCTION("""COMPUTED_VALUE"""),6.0)</f>
        <v>6</v>
      </c>
      <c r="G4649" s="6" t="str">
        <f>IFERROR(__xludf.DUMMYFUNCTION("""COMPUTED_VALUE"""),"Pieces")</f>
        <v>Pieces</v>
      </c>
      <c r="H4649" s="6" t="str">
        <f>IFERROR(__xludf.DUMMYFUNCTION("""COMPUTED_VALUE"""),"IDR")</f>
        <v>IDR</v>
      </c>
      <c r="I4649" s="6">
        <f>IFERROR(__xludf.DUMMYFUNCTION("""COMPUTED_VALUE"""),400000.0)</f>
        <v>400000</v>
      </c>
      <c r="J4649" s="6">
        <f>IFERROR(__xludf.DUMMYFUNCTION("""COMPUTED_VALUE"""),2400000.0)</f>
        <v>2400000</v>
      </c>
      <c r="K4649" s="57">
        <f>IFERROR(__xludf.DUMMYFUNCTION("""COMPUTED_VALUE"""),46024.0)</f>
        <v>46024</v>
      </c>
      <c r="L4649" s="6" t="str">
        <f>IFERROR(__xludf.DUMMYFUNCTION("""COMPUTED_VALUE"""),"FIP Engineering")</f>
        <v>FIP Engineering</v>
      </c>
      <c r="M4649" s="6" t="str">
        <f>IFERROR(__xludf.DUMMYFUNCTION("""COMPUTED_VALUE"""),"Mochammad Fadhillah Hakim,")</f>
        <v>Mochammad Fadhillah Hakim,</v>
      </c>
      <c r="N4649" s="6" t="str">
        <f>IFERROR(__xludf.DUMMYFUNCTION("""COMPUTED_VALUE"""),"FIP Engineering")</f>
        <v>FIP Engineering</v>
      </c>
      <c r="O4649" s="6" t="str">
        <f>IFERROR(__xludf.DUMMYFUNCTION("""COMPUTED_VALUE"""),"FIP-DOM-000-11304-OS00001-INA-000000")</f>
        <v>FIP-DOM-000-11304-OS00001-INA-000000</v>
      </c>
      <c r="P4649" s="6" t="str">
        <f>IFERROR(__xludf.DUMMYFUNCTION("""COMPUTED_VALUE"""),"PO Closed")</f>
        <v>PO Closed</v>
      </c>
      <c r="Q4649" s="6" t="str">
        <f>IFERROR(__xludf.DUMMYFUNCTION("""COMPUTED_VALUE"""),"GL2512030")</f>
        <v>GL2512030</v>
      </c>
      <c r="R4649" s="57">
        <f>IFERROR(__xludf.DUMMYFUNCTION("""COMPUTED_VALUE"""),45992.0)</f>
        <v>45992</v>
      </c>
      <c r="S4649" s="57">
        <f>IFERROR(__xludf.DUMMYFUNCTION("""COMPUTED_VALUE"""),45993.0)</f>
        <v>45993</v>
      </c>
      <c r="T4649" s="57">
        <f>IFERROR(__xludf.DUMMYFUNCTION("""COMPUTED_VALUE"""),46032.0)</f>
        <v>46032</v>
      </c>
    </row>
    <row r="4650">
      <c r="A4650" s="6" t="str">
        <f>IFERROR(__xludf.DUMMYFUNCTION("""COMPUTED_VALUE"""),"121703549-4")</f>
        <v>121703549-4</v>
      </c>
      <c r="B4650" s="6" t="str">
        <f>IFERROR(__xludf.DUMMYFUNCTION("""COMPUTED_VALUE"""),"121703549 - APPROVED")</f>
        <v>121703549 - APPROVED</v>
      </c>
      <c r="C4650" s="6">
        <f>IFERROR(__xludf.DUMMYFUNCTION("""COMPUTED_VALUE"""),4.0)</f>
        <v>4</v>
      </c>
      <c r="D4650" s="6" t="str">
        <f>IFERROR(__xludf.DUMMYFUNCTION("""COMPUTED_VALUE"""),"P-20365-00")</f>
        <v>P-20365-00</v>
      </c>
      <c r="E4650" s="6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F4650" s="6">
        <f>IFERROR(__xludf.DUMMYFUNCTION("""COMPUTED_VALUE"""),6.0)</f>
        <v>6</v>
      </c>
      <c r="G4650" s="6" t="str">
        <f>IFERROR(__xludf.DUMMYFUNCTION("""COMPUTED_VALUE"""),"Pieces")</f>
        <v>Pieces</v>
      </c>
      <c r="H4650" s="6" t="str">
        <f>IFERROR(__xludf.DUMMYFUNCTION("""COMPUTED_VALUE"""),"IDR")</f>
        <v>IDR</v>
      </c>
      <c r="I4650" s="6">
        <f>IFERROR(__xludf.DUMMYFUNCTION("""COMPUTED_VALUE"""),350000.0)</f>
        <v>350000</v>
      </c>
      <c r="J4650" s="6">
        <f>IFERROR(__xludf.DUMMYFUNCTION("""COMPUTED_VALUE"""),2100000.0)</f>
        <v>2100000</v>
      </c>
      <c r="K4650" s="57">
        <f>IFERROR(__xludf.DUMMYFUNCTION("""COMPUTED_VALUE"""),46024.0)</f>
        <v>46024</v>
      </c>
      <c r="L4650" s="6" t="str">
        <f>IFERROR(__xludf.DUMMYFUNCTION("""COMPUTED_VALUE"""),"FIP Engineering")</f>
        <v>FIP Engineering</v>
      </c>
      <c r="M4650" s="6" t="str">
        <f>IFERROR(__xludf.DUMMYFUNCTION("""COMPUTED_VALUE"""),"Mochammad Fadhillah Hakim,")</f>
        <v>Mochammad Fadhillah Hakim,</v>
      </c>
      <c r="N4650" s="6" t="str">
        <f>IFERROR(__xludf.DUMMYFUNCTION("""COMPUTED_VALUE"""),"FIP Engineering")</f>
        <v>FIP Engineering</v>
      </c>
      <c r="O4650" s="6" t="str">
        <f>IFERROR(__xludf.DUMMYFUNCTION("""COMPUTED_VALUE"""),"FIP-DOM-000-11304-OS00001-INA-000000")</f>
        <v>FIP-DOM-000-11304-OS00001-INA-000000</v>
      </c>
      <c r="P4650" s="6" t="str">
        <f>IFERROR(__xludf.DUMMYFUNCTION("""COMPUTED_VALUE"""),"PO Closed")</f>
        <v>PO Closed</v>
      </c>
      <c r="Q4650" s="6" t="str">
        <f>IFERROR(__xludf.DUMMYFUNCTION("""COMPUTED_VALUE"""),"GL2512030")</f>
        <v>GL2512030</v>
      </c>
      <c r="R4650" s="57">
        <f>IFERROR(__xludf.DUMMYFUNCTION("""COMPUTED_VALUE"""),45992.0)</f>
        <v>45992</v>
      </c>
      <c r="S4650" s="57">
        <f>IFERROR(__xludf.DUMMYFUNCTION("""COMPUTED_VALUE"""),45993.0)</f>
        <v>45993</v>
      </c>
      <c r="T4650" s="57">
        <f>IFERROR(__xludf.DUMMYFUNCTION("""COMPUTED_VALUE"""),46032.0)</f>
        <v>46032</v>
      </c>
    </row>
    <row r="4651">
      <c r="A4651" s="6" t="str">
        <f>IFERROR(__xludf.DUMMYFUNCTION("""COMPUTED_VALUE"""),"121703550-1")</f>
        <v>121703550-1</v>
      </c>
      <c r="B4651" s="6" t="str">
        <f>IFERROR(__xludf.DUMMYFUNCTION("""COMPUTED_VALUE"""),"121703550 - APPROVED")</f>
        <v>121703550 - APPROVED</v>
      </c>
      <c r="C4651" s="6">
        <f>IFERROR(__xludf.DUMMYFUNCTION("""COMPUTED_VALUE"""),1.0)</f>
        <v>1</v>
      </c>
      <c r="D4651" s="6" t="str">
        <f>IFERROR(__xludf.DUMMYFUNCTION("""COMPUTED_VALUE"""),"P-13388-00")</f>
        <v>P-13388-00</v>
      </c>
      <c r="E4651" s="6" t="str">
        <f>IFERROR(__xludf.DUMMYFUNCTION("""COMPUTED_VALUE"""),"General - Ball Valve 1/2inch; KITZ; -; 1 pcs")</f>
        <v>General - Ball Valve 1/2inch; KITZ; -; 1 pcs</v>
      </c>
      <c r="F4651" s="6">
        <f>IFERROR(__xludf.DUMMYFUNCTION("""COMPUTED_VALUE"""),2.0)</f>
        <v>2</v>
      </c>
      <c r="G4651" s="6" t="str">
        <f>IFERROR(__xludf.DUMMYFUNCTION("""COMPUTED_VALUE"""),"Pieces")</f>
        <v>Pieces</v>
      </c>
      <c r="H4651" s="6" t="str">
        <f>IFERROR(__xludf.DUMMYFUNCTION("""COMPUTED_VALUE"""),"IDR")</f>
        <v>IDR</v>
      </c>
      <c r="I4651" s="6">
        <f>IFERROR(__xludf.DUMMYFUNCTION("""COMPUTED_VALUE"""),27500.0)</f>
        <v>27500</v>
      </c>
      <c r="J4651" s="6">
        <f>IFERROR(__xludf.DUMMYFUNCTION("""COMPUTED_VALUE"""),55000.0)</f>
        <v>55000</v>
      </c>
      <c r="K4651" s="57">
        <f>IFERROR(__xludf.DUMMYFUNCTION("""COMPUTED_VALUE"""),46024.0)</f>
        <v>46024</v>
      </c>
      <c r="L4651" s="6" t="str">
        <f>IFERROR(__xludf.DUMMYFUNCTION("""COMPUTED_VALUE"""),"FIP Engineering")</f>
        <v>FIP Engineering</v>
      </c>
      <c r="M4651" s="6" t="str">
        <f>IFERROR(__xludf.DUMMYFUNCTION("""COMPUTED_VALUE"""),"Mochammad Fadhillah Hakim,")</f>
        <v>Mochammad Fadhillah Hakim,</v>
      </c>
      <c r="N4651" s="6" t="str">
        <f>IFERROR(__xludf.DUMMYFUNCTION("""COMPUTED_VALUE"""),"FIP Engineering")</f>
        <v>FIP Engineering</v>
      </c>
      <c r="O4651" s="6" t="str">
        <f>IFERROR(__xludf.DUMMYFUNCTION("""COMPUTED_VALUE"""),"FIP-DOM-000-11304-OS00001-INA-000000")</f>
        <v>FIP-DOM-000-11304-OS00001-INA-000000</v>
      </c>
      <c r="P4651" s="6" t="str">
        <f>IFERROR(__xludf.DUMMYFUNCTION("""COMPUTED_VALUE"""),"PO Closed")</f>
        <v>PO Closed</v>
      </c>
      <c r="Q4651" s="6" t="str">
        <f>IFERROR(__xludf.DUMMYFUNCTION("""COMPUTED_VALUE"""),"GL2512325")</f>
        <v>GL2512325</v>
      </c>
      <c r="R4651" s="57">
        <f>IFERROR(__xludf.DUMMYFUNCTION("""COMPUTED_VALUE"""),45992.0)</f>
        <v>45992</v>
      </c>
      <c r="S4651" s="57">
        <f>IFERROR(__xludf.DUMMYFUNCTION("""COMPUTED_VALUE"""),45993.0)</f>
        <v>45993</v>
      </c>
      <c r="T4651" s="57">
        <f>IFERROR(__xludf.DUMMYFUNCTION("""COMPUTED_VALUE"""),46024.0)</f>
        <v>46024</v>
      </c>
    </row>
    <row r="4652">
      <c r="A4652" s="6" t="str">
        <f>IFERROR(__xludf.DUMMYFUNCTION("""COMPUTED_VALUE"""),"121703550-2")</f>
        <v>121703550-2</v>
      </c>
      <c r="B4652" s="6" t="str">
        <f>IFERROR(__xludf.DUMMYFUNCTION("""COMPUTED_VALUE"""),"121703550 - APPROVED")</f>
        <v>121703550 - APPROVED</v>
      </c>
      <c r="C4652" s="6">
        <f>IFERROR(__xludf.DUMMYFUNCTION("""COMPUTED_VALUE"""),2.0)</f>
        <v>2</v>
      </c>
      <c r="D4652" s="6" t="str">
        <f>IFERROR(__xludf.DUMMYFUNCTION("""COMPUTED_VALUE"""),"P-20366-00")</f>
        <v>P-20366-00</v>
      </c>
      <c r="E4652" s="6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F4652" s="6">
        <f>IFERROR(__xludf.DUMMYFUNCTION("""COMPUTED_VALUE"""),1.0)</f>
        <v>1</v>
      </c>
      <c r="G4652" s="6" t="str">
        <f>IFERROR(__xludf.DUMMYFUNCTION("""COMPUTED_VALUE"""),"Pieces")</f>
        <v>Pieces</v>
      </c>
      <c r="H4652" s="6" t="str">
        <f>IFERROR(__xludf.DUMMYFUNCTION("""COMPUTED_VALUE"""),"IDR")</f>
        <v>IDR</v>
      </c>
      <c r="I4652" s="6">
        <f>IFERROR(__xludf.DUMMYFUNCTION("""COMPUTED_VALUE"""),600000.0)</f>
        <v>600000</v>
      </c>
      <c r="J4652" s="6">
        <f>IFERROR(__xludf.DUMMYFUNCTION("""COMPUTED_VALUE"""),600000.0)</f>
        <v>600000</v>
      </c>
      <c r="K4652" s="57">
        <f>IFERROR(__xludf.DUMMYFUNCTION("""COMPUTED_VALUE"""),46024.0)</f>
        <v>46024</v>
      </c>
      <c r="L4652" s="6" t="str">
        <f>IFERROR(__xludf.DUMMYFUNCTION("""COMPUTED_VALUE"""),"FIP Engineering")</f>
        <v>FIP Engineering</v>
      </c>
      <c r="M4652" s="6" t="str">
        <f>IFERROR(__xludf.DUMMYFUNCTION("""COMPUTED_VALUE"""),"Mochammad Fadhillah Hakim,")</f>
        <v>Mochammad Fadhillah Hakim,</v>
      </c>
      <c r="N4652" s="6" t="str">
        <f>IFERROR(__xludf.DUMMYFUNCTION("""COMPUTED_VALUE"""),"FIP Engineering")</f>
        <v>FIP Engineering</v>
      </c>
      <c r="O4652" s="6" t="str">
        <f>IFERROR(__xludf.DUMMYFUNCTION("""COMPUTED_VALUE"""),"FIP-DOM-000-11304-OS00001-INA-000000")</f>
        <v>FIP-DOM-000-11304-OS00001-INA-000000</v>
      </c>
      <c r="P4652" s="6" t="str">
        <f>IFERROR(__xludf.DUMMYFUNCTION("""COMPUTED_VALUE"""),"PO Closed")</f>
        <v>PO Closed</v>
      </c>
      <c r="Q4652" s="6" t="str">
        <f>IFERROR(__xludf.DUMMYFUNCTION("""COMPUTED_VALUE"""),"GL2512326")</f>
        <v>GL2512326</v>
      </c>
      <c r="R4652" s="57">
        <f>IFERROR(__xludf.DUMMYFUNCTION("""COMPUTED_VALUE"""),45992.0)</f>
        <v>45992</v>
      </c>
      <c r="S4652" s="57">
        <f>IFERROR(__xludf.DUMMYFUNCTION("""COMPUTED_VALUE"""),45993.0)</f>
        <v>45993</v>
      </c>
      <c r="T4652" s="57">
        <f>IFERROR(__xludf.DUMMYFUNCTION("""COMPUTED_VALUE"""),46024.0)</f>
        <v>46024</v>
      </c>
    </row>
    <row r="4653">
      <c r="A4653" s="6" t="str">
        <f>IFERROR(__xludf.DUMMYFUNCTION("""COMPUTED_VALUE"""),"121703550-3")</f>
        <v>121703550-3</v>
      </c>
      <c r="B4653" s="6" t="str">
        <f>IFERROR(__xludf.DUMMYFUNCTION("""COMPUTED_VALUE"""),"121703550 - APPROVED")</f>
        <v>121703550 - APPROVED</v>
      </c>
      <c r="C4653" s="6">
        <f>IFERROR(__xludf.DUMMYFUNCTION("""COMPUTED_VALUE"""),3.0)</f>
        <v>3</v>
      </c>
      <c r="D4653" s="6" t="str">
        <f>IFERROR(__xludf.DUMMYFUNCTION("""COMPUTED_VALUE"""),"P-50810-00")</f>
        <v>P-50810-00</v>
      </c>
      <c r="E4653" s="6" t="str">
        <f>IFERROR(__xludf.DUMMYFUNCTION("""COMPUTED_VALUE"""),"General - Buzzer AD22-22MSD red with lamp; FORT; -; 1 pcs")</f>
        <v>General - Buzzer AD22-22MSD red with lamp; FORT; -; 1 pcs</v>
      </c>
      <c r="F4653" s="6">
        <f>IFERROR(__xludf.DUMMYFUNCTION("""COMPUTED_VALUE"""),3.0)</f>
        <v>3</v>
      </c>
      <c r="G4653" s="6" t="str">
        <f>IFERROR(__xludf.DUMMYFUNCTION("""COMPUTED_VALUE"""),"Pieces")</f>
        <v>Pieces</v>
      </c>
      <c r="H4653" s="6" t="str">
        <f>IFERROR(__xludf.DUMMYFUNCTION("""COMPUTED_VALUE"""),"IDR")</f>
        <v>IDR</v>
      </c>
      <c r="I4653" s="6">
        <f>IFERROR(__xludf.DUMMYFUNCTION("""COMPUTED_VALUE"""),125000.0)</f>
        <v>125000</v>
      </c>
      <c r="J4653" s="6">
        <f>IFERROR(__xludf.DUMMYFUNCTION("""COMPUTED_VALUE"""),375000.0)</f>
        <v>375000</v>
      </c>
      <c r="K4653" s="57">
        <f>IFERROR(__xludf.DUMMYFUNCTION("""COMPUTED_VALUE"""),46024.0)</f>
        <v>46024</v>
      </c>
      <c r="L4653" s="6" t="str">
        <f>IFERROR(__xludf.DUMMYFUNCTION("""COMPUTED_VALUE"""),"FIP Engineering")</f>
        <v>FIP Engineering</v>
      </c>
      <c r="M4653" s="6" t="str">
        <f>IFERROR(__xludf.DUMMYFUNCTION("""COMPUTED_VALUE"""),"Mochammad Fadhillah Hakim,")</f>
        <v>Mochammad Fadhillah Hakim,</v>
      </c>
      <c r="N4653" s="6" t="str">
        <f>IFERROR(__xludf.DUMMYFUNCTION("""COMPUTED_VALUE"""),"FIP Engineering")</f>
        <v>FIP Engineering</v>
      </c>
      <c r="O4653" s="6" t="str">
        <f>IFERROR(__xludf.DUMMYFUNCTION("""COMPUTED_VALUE"""),"FIP-DOM-000-11304-OS00001-INA-000000")</f>
        <v>FIP-DOM-000-11304-OS00001-INA-000000</v>
      </c>
      <c r="P4653" s="6" t="str">
        <f>IFERROR(__xludf.DUMMYFUNCTION("""COMPUTED_VALUE"""),"PO Closed")</f>
        <v>PO Closed</v>
      </c>
      <c r="Q4653" s="6" t="str">
        <f>IFERROR(__xludf.DUMMYFUNCTION("""COMPUTED_VALUE"""),"GL2512326")</f>
        <v>GL2512326</v>
      </c>
      <c r="R4653" s="57">
        <f>IFERROR(__xludf.DUMMYFUNCTION("""COMPUTED_VALUE"""),45992.0)</f>
        <v>45992</v>
      </c>
      <c r="S4653" s="57">
        <f>IFERROR(__xludf.DUMMYFUNCTION("""COMPUTED_VALUE"""),45993.0)</f>
        <v>45993</v>
      </c>
      <c r="T4653" s="57">
        <f>IFERROR(__xludf.DUMMYFUNCTION("""COMPUTED_VALUE"""),46024.0)</f>
        <v>46024</v>
      </c>
    </row>
    <row r="4654">
      <c r="A4654" s="6" t="str">
        <f>IFERROR(__xludf.DUMMYFUNCTION("""COMPUTED_VALUE"""),"121703551-1")</f>
        <v>121703551-1</v>
      </c>
      <c r="B4654" s="6" t="str">
        <f>IFERROR(__xludf.DUMMYFUNCTION("""COMPUTED_VALUE"""),"121703551 - APPROVED")</f>
        <v>121703551 - APPROVED</v>
      </c>
      <c r="C4654" s="6">
        <f>IFERROR(__xludf.DUMMYFUNCTION("""COMPUTED_VALUE"""),1.0)</f>
        <v>1</v>
      </c>
      <c r="D4654" s="6" t="str">
        <f>IFERROR(__xludf.DUMMYFUNCTION("""COMPUTED_VALUE"""),"O-17376-00")</f>
        <v>O-17376-00</v>
      </c>
      <c r="E4654" s="6" t="str">
        <f>IFERROR(__xludf.DUMMYFUNCTION("""COMPUTED_VALUE"""),"Autoclave Fedegari FOF / 6 AC - Kit DN22 Valve Mod; p/n: KK000310; ; ;")</f>
        <v>Autoclave Fedegari FOF / 6 AC - Kit DN22 Valve Mod; p/n: KK000310; ; ;</v>
      </c>
      <c r="F4654" s="6">
        <f>IFERROR(__xludf.DUMMYFUNCTION("""COMPUTED_VALUE"""),8.0)</f>
        <v>8</v>
      </c>
      <c r="G4654" s="6" t="str">
        <f>IFERROR(__xludf.DUMMYFUNCTION("""COMPUTED_VALUE"""),"Pieces")</f>
        <v>Pieces</v>
      </c>
      <c r="H4654" s="6" t="str">
        <f>IFERROR(__xludf.DUMMYFUNCTION("""COMPUTED_VALUE"""),"IDR")</f>
        <v>IDR</v>
      </c>
      <c r="I4654" s="6">
        <f>IFERROR(__xludf.DUMMYFUNCTION("""COMPUTED_VALUE"""),2504000.0)</f>
        <v>2504000</v>
      </c>
      <c r="J4654" s="6">
        <f>IFERROR(__xludf.DUMMYFUNCTION("""COMPUTED_VALUE"""),2.0032E7)</f>
        <v>20032000</v>
      </c>
      <c r="K4654" s="57">
        <f>IFERROR(__xludf.DUMMYFUNCTION("""COMPUTED_VALUE"""),46059.0)</f>
        <v>46059</v>
      </c>
      <c r="L4654" s="6" t="str">
        <f>IFERROR(__xludf.DUMMYFUNCTION("""COMPUTED_VALUE"""),"FIP Engineering")</f>
        <v>FIP Engineering</v>
      </c>
      <c r="M4654" s="6" t="str">
        <f>IFERROR(__xludf.DUMMYFUNCTION("""COMPUTED_VALUE"""),"Mochammad Fadhillah Hakim,")</f>
        <v>Mochammad Fadhillah Hakim,</v>
      </c>
      <c r="N4654" s="6" t="str">
        <f>IFERROR(__xludf.DUMMYFUNCTION("""COMPUTED_VALUE"""),"FIP Engineering")</f>
        <v>FIP Engineering</v>
      </c>
      <c r="O4654" s="6" t="str">
        <f>IFERROR(__xludf.DUMMYFUNCTION("""COMPUTED_VALUE"""),"FIP-DOM-000-11304-OS00001-INA-000000")</f>
        <v>FIP-DOM-000-11304-OS00001-INA-000000</v>
      </c>
      <c r="P4654" s="6" t="str">
        <f>IFERROR(__xludf.DUMMYFUNCTION("""COMPUTED_VALUE"""),"PO Closed")</f>
        <v>PO Closed</v>
      </c>
      <c r="Q4654" s="6" t="str">
        <f>IFERROR(__xludf.DUMMYFUNCTION("""COMPUTED_VALUE"""),"GL2511305")</f>
        <v>GL2511305</v>
      </c>
      <c r="R4654" s="57">
        <f>IFERROR(__xludf.DUMMYFUNCTION("""COMPUTED_VALUE"""),45992.0)</f>
        <v>45992</v>
      </c>
      <c r="S4654" s="57">
        <f>IFERROR(__xludf.DUMMYFUNCTION("""COMPUTED_VALUE"""),45993.0)</f>
        <v>45993</v>
      </c>
      <c r="T4654" s="57">
        <f>IFERROR(__xludf.DUMMYFUNCTION("""COMPUTED_VALUE"""),46107.0)</f>
        <v>46107</v>
      </c>
    </row>
    <row r="4655">
      <c r="A4655" s="6" t="str">
        <f>IFERROR(__xludf.DUMMYFUNCTION("""COMPUTED_VALUE"""),"121703551-2")</f>
        <v>121703551-2</v>
      </c>
      <c r="B4655" s="6" t="str">
        <f>IFERROR(__xludf.DUMMYFUNCTION("""COMPUTED_VALUE"""),"121703551 - APPROVED")</f>
        <v>121703551 - APPROVED</v>
      </c>
      <c r="C4655" s="6">
        <f>IFERROR(__xludf.DUMMYFUNCTION("""COMPUTED_VALUE"""),2.0)</f>
        <v>2</v>
      </c>
      <c r="D4655" s="6" t="str">
        <f>IFERROR(__xludf.DUMMYFUNCTION("""COMPUTED_VALUE"""),"O-50697-00")</f>
        <v>O-50697-00</v>
      </c>
      <c r="E4655" s="6" t="str">
        <f>IFERROR(__xludf.DUMMYFUNCTION("""COMPUTED_VALUE"""),"Autoclave Fedegari FOF / 6 AC - P/N. KK000304-KIT RICAMBI VALV.DN16 ON-OFF")</f>
        <v>Autoclave Fedegari FOF / 6 AC - P/N. KK000304-KIT RICAMBI VALV.DN16 ON-OFF</v>
      </c>
      <c r="F4655" s="6">
        <f>IFERROR(__xludf.DUMMYFUNCTION("""COMPUTED_VALUE"""),5.0)</f>
        <v>5</v>
      </c>
      <c r="G4655" s="6" t="str">
        <f>IFERROR(__xludf.DUMMYFUNCTION("""COMPUTED_VALUE"""),"Pieces")</f>
        <v>Pieces</v>
      </c>
      <c r="H4655" s="6" t="str">
        <f>IFERROR(__xludf.DUMMYFUNCTION("""COMPUTED_VALUE"""),"IDR")</f>
        <v>IDR</v>
      </c>
      <c r="I4655" s="6">
        <f>IFERROR(__xludf.DUMMYFUNCTION("""COMPUTED_VALUE"""),2102000.0)</f>
        <v>2102000</v>
      </c>
      <c r="J4655" s="6">
        <f>IFERROR(__xludf.DUMMYFUNCTION("""COMPUTED_VALUE"""),1.051E7)</f>
        <v>10510000</v>
      </c>
      <c r="K4655" s="57">
        <f>IFERROR(__xludf.DUMMYFUNCTION("""COMPUTED_VALUE"""),46059.0)</f>
        <v>46059</v>
      </c>
      <c r="L4655" s="6" t="str">
        <f>IFERROR(__xludf.DUMMYFUNCTION("""COMPUTED_VALUE"""),"FIP Engineering")</f>
        <v>FIP Engineering</v>
      </c>
      <c r="M4655" s="6" t="str">
        <f>IFERROR(__xludf.DUMMYFUNCTION("""COMPUTED_VALUE"""),"Mochammad Fadhillah Hakim,")</f>
        <v>Mochammad Fadhillah Hakim,</v>
      </c>
      <c r="N4655" s="6" t="str">
        <f>IFERROR(__xludf.DUMMYFUNCTION("""COMPUTED_VALUE"""),"FIP Engineering")</f>
        <v>FIP Engineering</v>
      </c>
      <c r="O4655" s="6" t="str">
        <f>IFERROR(__xludf.DUMMYFUNCTION("""COMPUTED_VALUE"""),"FIP-DOM-000-11304-OS00001-INA-000000")</f>
        <v>FIP-DOM-000-11304-OS00001-INA-000000</v>
      </c>
      <c r="P4655" s="6" t="str">
        <f>IFERROR(__xludf.DUMMYFUNCTION("""COMPUTED_VALUE"""),"PO Closed")</f>
        <v>PO Closed</v>
      </c>
      <c r="Q4655" s="6" t="str">
        <f>IFERROR(__xludf.DUMMYFUNCTION("""COMPUTED_VALUE"""),"GL2511305")</f>
        <v>GL2511305</v>
      </c>
      <c r="R4655" s="57">
        <f>IFERROR(__xludf.DUMMYFUNCTION("""COMPUTED_VALUE"""),45992.0)</f>
        <v>45992</v>
      </c>
      <c r="S4655" s="57">
        <f>IFERROR(__xludf.DUMMYFUNCTION("""COMPUTED_VALUE"""),45993.0)</f>
        <v>45993</v>
      </c>
      <c r="T4655" s="57">
        <f>IFERROR(__xludf.DUMMYFUNCTION("""COMPUTED_VALUE"""),46107.0)</f>
        <v>46107</v>
      </c>
    </row>
    <row r="4656">
      <c r="A4656" s="6" t="str">
        <f>IFERROR(__xludf.DUMMYFUNCTION("""COMPUTED_VALUE"""),"121703552-1")</f>
        <v>121703552-1</v>
      </c>
      <c r="B4656" s="6" t="str">
        <f>IFERROR(__xludf.DUMMYFUNCTION("""COMPUTED_VALUE"""),"121703552 - APPROVED")</f>
        <v>121703552 - APPROVED</v>
      </c>
      <c r="C4656" s="6">
        <f>IFERROR(__xludf.DUMMYFUNCTION("""COMPUTED_VALUE"""),1.0)</f>
        <v>1</v>
      </c>
      <c r="D4656" s="6" t="str">
        <f>IFERROR(__xludf.DUMMYFUNCTION("""COMPUTED_VALUE"""),"P-20358-00")</f>
        <v>P-20358-00</v>
      </c>
      <c r="E4656" s="6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F4656" s="6">
        <f>IFERROR(__xludf.DUMMYFUNCTION("""COMPUTED_VALUE"""),1.0)</f>
        <v>1</v>
      </c>
      <c r="G4656" s="6" t="str">
        <f>IFERROR(__xludf.DUMMYFUNCTION("""COMPUTED_VALUE"""),"Pieces")</f>
        <v>Pieces</v>
      </c>
      <c r="H4656" s="6" t="str">
        <f>IFERROR(__xludf.DUMMYFUNCTION("""COMPUTED_VALUE"""),"IDR")</f>
        <v>IDR</v>
      </c>
      <c r="I4656" s="6">
        <f>IFERROR(__xludf.DUMMYFUNCTION("""COMPUTED_VALUE"""),1.6E7)</f>
        <v>16000000</v>
      </c>
      <c r="J4656" s="6">
        <f>IFERROR(__xludf.DUMMYFUNCTION("""COMPUTED_VALUE"""),1.6E7)</f>
        <v>16000000</v>
      </c>
      <c r="K4656" s="57">
        <f>IFERROR(__xludf.DUMMYFUNCTION("""COMPUTED_VALUE"""),45995.0)</f>
        <v>45995</v>
      </c>
      <c r="L4656" s="6" t="str">
        <f>IFERROR(__xludf.DUMMYFUNCTION("""COMPUTED_VALUE"""),"FIP Engineering")</f>
        <v>FIP Engineering</v>
      </c>
      <c r="M4656" s="6" t="str">
        <f>IFERROR(__xludf.DUMMYFUNCTION("""COMPUTED_VALUE"""),"Mochammad Fadhillah Hakim,")</f>
        <v>Mochammad Fadhillah Hakim,</v>
      </c>
      <c r="N4656" s="6" t="str">
        <f>IFERROR(__xludf.DUMMYFUNCTION("""COMPUTED_VALUE"""),"FIP Engineering")</f>
        <v>FIP Engineering</v>
      </c>
      <c r="O4656" s="6" t="str">
        <f>IFERROR(__xludf.DUMMYFUNCTION("""COMPUTED_VALUE"""),"FIP-DOM-000-11304-OS00001-INA-000000")</f>
        <v>FIP-DOM-000-11304-OS00001-INA-000000</v>
      </c>
      <c r="P4656" s="6" t="str">
        <f>IFERROR(__xludf.DUMMYFUNCTION("""COMPUTED_VALUE"""),"PO Closed")</f>
        <v>PO Closed</v>
      </c>
      <c r="Q4656" s="6" t="str">
        <f>IFERROR(__xludf.DUMMYFUNCTION("""COMPUTED_VALUE"""),"GL2512018")</f>
        <v>GL2512018</v>
      </c>
      <c r="R4656" s="57">
        <f>IFERROR(__xludf.DUMMYFUNCTION("""COMPUTED_VALUE"""),45993.0)</f>
        <v>45993</v>
      </c>
      <c r="S4656" s="57">
        <f>IFERROR(__xludf.DUMMYFUNCTION("""COMPUTED_VALUE"""),45993.0)</f>
        <v>45993</v>
      </c>
      <c r="T4656" s="57">
        <f>IFERROR(__xludf.DUMMYFUNCTION("""COMPUTED_VALUE"""),46117.0)</f>
        <v>46117</v>
      </c>
    </row>
    <row r="4657">
      <c r="A4657" s="6" t="str">
        <f>IFERROR(__xludf.DUMMYFUNCTION("""COMPUTED_VALUE"""),"121703552-2")</f>
        <v>121703552-2</v>
      </c>
      <c r="B4657" s="6" t="str">
        <f>IFERROR(__xludf.DUMMYFUNCTION("""COMPUTED_VALUE"""),"121703552 - APPROVED")</f>
        <v>121703552 - APPROVED</v>
      </c>
      <c r="C4657" s="6">
        <f>IFERROR(__xludf.DUMMYFUNCTION("""COMPUTED_VALUE"""),2.0)</f>
        <v>2</v>
      </c>
      <c r="D4657" s="6" t="str">
        <f>IFERROR(__xludf.DUMMYFUNCTION("""COMPUTED_VALUE"""),"P-20359-00")</f>
        <v>P-20359-00</v>
      </c>
      <c r="E4657" s="6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F4657" s="6">
        <f>IFERROR(__xludf.DUMMYFUNCTION("""COMPUTED_VALUE"""),1.0)</f>
        <v>1</v>
      </c>
      <c r="G4657" s="6" t="str">
        <f>IFERROR(__xludf.DUMMYFUNCTION("""COMPUTED_VALUE"""),"Pieces")</f>
        <v>Pieces</v>
      </c>
      <c r="H4657" s="6" t="str">
        <f>IFERROR(__xludf.DUMMYFUNCTION("""COMPUTED_VALUE"""),"IDR")</f>
        <v>IDR</v>
      </c>
      <c r="I4657" s="6">
        <f>IFERROR(__xludf.DUMMYFUNCTION("""COMPUTED_VALUE"""),1.27E7)</f>
        <v>12700000</v>
      </c>
      <c r="J4657" s="6">
        <f>IFERROR(__xludf.DUMMYFUNCTION("""COMPUTED_VALUE"""),1.27E7)</f>
        <v>12700000</v>
      </c>
      <c r="K4657" s="57">
        <f>IFERROR(__xludf.DUMMYFUNCTION("""COMPUTED_VALUE"""),45995.0)</f>
        <v>45995</v>
      </c>
      <c r="L4657" s="6" t="str">
        <f>IFERROR(__xludf.DUMMYFUNCTION("""COMPUTED_VALUE"""),"FIP Engineering")</f>
        <v>FIP Engineering</v>
      </c>
      <c r="M4657" s="6" t="str">
        <f>IFERROR(__xludf.DUMMYFUNCTION("""COMPUTED_VALUE"""),"Mochammad Fadhillah Hakim,")</f>
        <v>Mochammad Fadhillah Hakim,</v>
      </c>
      <c r="N4657" s="6" t="str">
        <f>IFERROR(__xludf.DUMMYFUNCTION("""COMPUTED_VALUE"""),"FIP Engineering")</f>
        <v>FIP Engineering</v>
      </c>
      <c r="O4657" s="6" t="str">
        <f>IFERROR(__xludf.DUMMYFUNCTION("""COMPUTED_VALUE"""),"FIP-DOM-000-11304-OS00001-INA-000000")</f>
        <v>FIP-DOM-000-11304-OS00001-INA-000000</v>
      </c>
      <c r="P4657" s="6" t="str">
        <f>IFERROR(__xludf.DUMMYFUNCTION("""COMPUTED_VALUE"""),"PO Closed")</f>
        <v>PO Closed</v>
      </c>
      <c r="Q4657" s="6" t="str">
        <f>IFERROR(__xludf.DUMMYFUNCTION("""COMPUTED_VALUE"""),"GL2512018")</f>
        <v>GL2512018</v>
      </c>
      <c r="R4657" s="57">
        <f>IFERROR(__xludf.DUMMYFUNCTION("""COMPUTED_VALUE"""),45993.0)</f>
        <v>45993</v>
      </c>
      <c r="S4657" s="57">
        <f>IFERROR(__xludf.DUMMYFUNCTION("""COMPUTED_VALUE"""),45993.0)</f>
        <v>45993</v>
      </c>
      <c r="T4657" s="57">
        <f>IFERROR(__xludf.DUMMYFUNCTION("""COMPUTED_VALUE"""),46117.0)</f>
        <v>46117</v>
      </c>
    </row>
    <row r="4658">
      <c r="A4658" s="6" t="str">
        <f>IFERROR(__xludf.DUMMYFUNCTION("""COMPUTED_VALUE"""),"121703553-1")</f>
        <v>121703553-1</v>
      </c>
      <c r="B4658" s="6" t="str">
        <f>IFERROR(__xludf.DUMMYFUNCTION("""COMPUTED_VALUE"""),"121703553 - APPROVED")</f>
        <v>121703553 - APPROVED</v>
      </c>
      <c r="C4658" s="6">
        <f>IFERROR(__xludf.DUMMYFUNCTION("""COMPUTED_VALUE"""),1.0)</f>
        <v>1</v>
      </c>
      <c r="D4658" s="6" t="str">
        <f>IFERROR(__xludf.DUMMYFUNCTION("""COMPUTED_VALUE"""),"O-50854-00")</f>
        <v>O-50854-00</v>
      </c>
      <c r="E4658" s="6" t="str">
        <f>IFERROR(__xludf.DUMMYFUNCTION("""COMPUTED_VALUE"""),"Overload Relay / LRD10 / 4-6A/Schneider; ; ;")</f>
        <v>Overload Relay / LRD10 / 4-6A/Schneider; ; ;</v>
      </c>
      <c r="F4658" s="6">
        <f>IFERROR(__xludf.DUMMYFUNCTION("""COMPUTED_VALUE"""),9.0)</f>
        <v>9</v>
      </c>
      <c r="G4658" s="6" t="str">
        <f>IFERROR(__xludf.DUMMYFUNCTION("""COMPUTED_VALUE"""),"Pieces")</f>
        <v>Pieces</v>
      </c>
      <c r="H4658" s="6" t="str">
        <f>IFERROR(__xludf.DUMMYFUNCTION("""COMPUTED_VALUE"""),"IDR")</f>
        <v>IDR</v>
      </c>
      <c r="I4658" s="6">
        <f>IFERROR(__xludf.DUMMYFUNCTION("""COMPUTED_VALUE"""),265000.0)</f>
        <v>265000</v>
      </c>
      <c r="J4658" s="6">
        <f>IFERROR(__xludf.DUMMYFUNCTION("""COMPUTED_VALUE"""),2385000.0)</f>
        <v>2385000</v>
      </c>
      <c r="K4658" s="57">
        <f>IFERROR(__xludf.DUMMYFUNCTION("""COMPUTED_VALUE"""),46024.0)</f>
        <v>46024</v>
      </c>
      <c r="L4658" s="6" t="str">
        <f>IFERROR(__xludf.DUMMYFUNCTION("""COMPUTED_VALUE"""),"FIP Engineering")</f>
        <v>FIP Engineering</v>
      </c>
      <c r="M4658" s="6" t="str">
        <f>IFERROR(__xludf.DUMMYFUNCTION("""COMPUTED_VALUE"""),"Mochammad Fadhillah Hakim,")</f>
        <v>Mochammad Fadhillah Hakim,</v>
      </c>
      <c r="N4658" s="6" t="str">
        <f>IFERROR(__xludf.DUMMYFUNCTION("""COMPUTED_VALUE"""),"FIP Engineering")</f>
        <v>FIP Engineering</v>
      </c>
      <c r="O4658" s="6" t="str">
        <f>IFERROR(__xludf.DUMMYFUNCTION("""COMPUTED_VALUE"""),"FIP-DOM-000-11304-OS00001-INA-000000")</f>
        <v>FIP-DOM-000-11304-OS00001-INA-000000</v>
      </c>
      <c r="P4658" s="6" t="str">
        <f>IFERROR(__xludf.DUMMYFUNCTION("""COMPUTED_VALUE"""),"PO Closed")</f>
        <v>PO Closed</v>
      </c>
      <c r="Q4658" s="6" t="str">
        <f>IFERROR(__xludf.DUMMYFUNCTION("""COMPUTED_VALUE"""),"GL2512316")</f>
        <v>GL2512316</v>
      </c>
      <c r="R4658" s="57">
        <f>IFERROR(__xludf.DUMMYFUNCTION("""COMPUTED_VALUE"""),45993.0)</f>
        <v>45993</v>
      </c>
      <c r="S4658" s="57">
        <f>IFERROR(__xludf.DUMMYFUNCTION("""COMPUTED_VALUE"""),45993.0)</f>
        <v>45993</v>
      </c>
      <c r="T4658" s="57">
        <f>IFERROR(__xludf.DUMMYFUNCTION("""COMPUTED_VALUE"""),46042.0)</f>
        <v>46042</v>
      </c>
    </row>
    <row r="4659">
      <c r="A4659" s="6" t="str">
        <f>IFERROR(__xludf.DUMMYFUNCTION("""COMPUTED_VALUE"""),"121703553-2")</f>
        <v>121703553-2</v>
      </c>
      <c r="B4659" s="6" t="str">
        <f>IFERROR(__xludf.DUMMYFUNCTION("""COMPUTED_VALUE"""),"121703553 - APPROVED")</f>
        <v>121703553 - APPROVED</v>
      </c>
      <c r="C4659" s="6">
        <f>IFERROR(__xludf.DUMMYFUNCTION("""COMPUTED_VALUE"""),2.0)</f>
        <v>2</v>
      </c>
      <c r="D4659" s="6" t="str">
        <f>IFERROR(__xludf.DUMMYFUNCTION("""COMPUTED_VALUE"""),"O-51177-00")</f>
        <v>O-51177-00</v>
      </c>
      <c r="E4659" s="6" t="str">
        <f>IFERROR(__xludf.DUMMYFUNCTION("""COMPUTED_VALUE"""),"General - Pressure Switch type KP35 G1/4; Danfoss; -; 1 Pc")</f>
        <v>General - Pressure Switch type KP35 G1/4; Danfoss; -; 1 Pc</v>
      </c>
      <c r="F4659" s="6">
        <f>IFERROR(__xludf.DUMMYFUNCTION("""COMPUTED_VALUE"""),1.0)</f>
        <v>1</v>
      </c>
      <c r="G4659" s="6" t="str">
        <f>IFERROR(__xludf.DUMMYFUNCTION("""COMPUTED_VALUE"""),"Pieces")</f>
        <v>Pieces</v>
      </c>
      <c r="H4659" s="6" t="str">
        <f>IFERROR(__xludf.DUMMYFUNCTION("""COMPUTED_VALUE"""),"IDR")</f>
        <v>IDR</v>
      </c>
      <c r="I4659" s="6">
        <f>IFERROR(__xludf.DUMMYFUNCTION("""COMPUTED_VALUE"""),1975000.0)</f>
        <v>1975000</v>
      </c>
      <c r="J4659" s="6">
        <f>IFERROR(__xludf.DUMMYFUNCTION("""COMPUTED_VALUE"""),1975000.0)</f>
        <v>1975000</v>
      </c>
      <c r="K4659" s="57">
        <f>IFERROR(__xludf.DUMMYFUNCTION("""COMPUTED_VALUE"""),46024.0)</f>
        <v>46024</v>
      </c>
      <c r="L4659" s="6" t="str">
        <f>IFERROR(__xludf.DUMMYFUNCTION("""COMPUTED_VALUE"""),"FIP Engineering")</f>
        <v>FIP Engineering</v>
      </c>
      <c r="M4659" s="6" t="str">
        <f>IFERROR(__xludf.DUMMYFUNCTION("""COMPUTED_VALUE"""),"Mochammad Fadhillah Hakim,")</f>
        <v>Mochammad Fadhillah Hakim,</v>
      </c>
      <c r="N4659" s="6" t="str">
        <f>IFERROR(__xludf.DUMMYFUNCTION("""COMPUTED_VALUE"""),"FIP Engineering")</f>
        <v>FIP Engineering</v>
      </c>
      <c r="O4659" s="6" t="str">
        <f>IFERROR(__xludf.DUMMYFUNCTION("""COMPUTED_VALUE"""),"FIP-DOM-000-11304-OS00001-INA-000000")</f>
        <v>FIP-DOM-000-11304-OS00001-INA-000000</v>
      </c>
      <c r="P4659" s="6" t="str">
        <f>IFERROR(__xludf.DUMMYFUNCTION("""COMPUTED_VALUE"""),"PO Closed")</f>
        <v>PO Closed</v>
      </c>
      <c r="Q4659" s="6" t="str">
        <f>IFERROR(__xludf.DUMMYFUNCTION("""COMPUTED_VALUE"""),"GL2512317")</f>
        <v>GL2512317</v>
      </c>
      <c r="R4659" s="57">
        <f>IFERROR(__xludf.DUMMYFUNCTION("""COMPUTED_VALUE"""),45993.0)</f>
        <v>45993</v>
      </c>
      <c r="S4659" s="57">
        <f>IFERROR(__xludf.DUMMYFUNCTION("""COMPUTED_VALUE"""),45993.0)</f>
        <v>45993</v>
      </c>
      <c r="T4659" s="57">
        <f>IFERROR(__xludf.DUMMYFUNCTION("""COMPUTED_VALUE"""),46037.0)</f>
        <v>46037</v>
      </c>
    </row>
    <row r="4660">
      <c r="A4660" s="6" t="str">
        <f>IFERROR(__xludf.DUMMYFUNCTION("""COMPUTED_VALUE"""),"121703553-3")</f>
        <v>121703553-3</v>
      </c>
      <c r="B4660" s="6" t="str">
        <f>IFERROR(__xludf.DUMMYFUNCTION("""COMPUTED_VALUE"""),"121703553 - APPROVED")</f>
        <v>121703553 - APPROVED</v>
      </c>
      <c r="C4660" s="6">
        <f>IFERROR(__xludf.DUMMYFUNCTION("""COMPUTED_VALUE"""),3.0)</f>
        <v>3</v>
      </c>
      <c r="D4660" s="6" t="str">
        <f>IFERROR(__xludf.DUMMYFUNCTION("""COMPUTED_VALUE"""),"O-51177-00")</f>
        <v>O-51177-00</v>
      </c>
      <c r="E4660" s="6" t="str">
        <f>IFERROR(__xludf.DUMMYFUNCTION("""COMPUTED_VALUE"""),"General - Pressure Switch type KP35 G1/4; Danfoss; -; 1 Pc")</f>
        <v>General - Pressure Switch type KP35 G1/4; Danfoss; -; 1 Pc</v>
      </c>
      <c r="F4660" s="6">
        <f>IFERROR(__xludf.DUMMYFUNCTION("""COMPUTED_VALUE"""),1.0)</f>
        <v>1</v>
      </c>
      <c r="G4660" s="6" t="str">
        <f>IFERROR(__xludf.DUMMYFUNCTION("""COMPUTED_VALUE"""),"Pieces")</f>
        <v>Pieces</v>
      </c>
      <c r="H4660" s="6" t="str">
        <f>IFERROR(__xludf.DUMMYFUNCTION("""COMPUTED_VALUE"""),"IDR")</f>
        <v>IDR</v>
      </c>
      <c r="I4660" s="6">
        <f>IFERROR(__xludf.DUMMYFUNCTION("""COMPUTED_VALUE"""),1250000.0)</f>
        <v>1250000</v>
      </c>
      <c r="J4660" s="6">
        <f>IFERROR(__xludf.DUMMYFUNCTION("""COMPUTED_VALUE"""),1250000.0)</f>
        <v>1250000</v>
      </c>
      <c r="K4660" s="57">
        <f>IFERROR(__xludf.DUMMYFUNCTION("""COMPUTED_VALUE"""),46024.0)</f>
        <v>46024</v>
      </c>
      <c r="L4660" s="6" t="str">
        <f>IFERROR(__xludf.DUMMYFUNCTION("""COMPUTED_VALUE"""),"FIP Engineering")</f>
        <v>FIP Engineering</v>
      </c>
      <c r="M4660" s="6" t="str">
        <f>IFERROR(__xludf.DUMMYFUNCTION("""COMPUTED_VALUE"""),"Mochammad Fadhillah Hakim,")</f>
        <v>Mochammad Fadhillah Hakim,</v>
      </c>
      <c r="N4660" s="6" t="str">
        <f>IFERROR(__xludf.DUMMYFUNCTION("""COMPUTED_VALUE"""),"FIP Engineering")</f>
        <v>FIP Engineering</v>
      </c>
      <c r="O4660" s="6" t="str">
        <f>IFERROR(__xludf.DUMMYFUNCTION("""COMPUTED_VALUE"""),"FIP-DOM-000-11304-OS00001-INA-000000")</f>
        <v>FIP-DOM-000-11304-OS00001-INA-000000</v>
      </c>
      <c r="P4660" s="6" t="str">
        <f>IFERROR(__xludf.DUMMYFUNCTION("""COMPUTED_VALUE"""),"PO Closed")</f>
        <v>PO Closed</v>
      </c>
      <c r="Q4660" s="6" t="str">
        <f>IFERROR(__xludf.DUMMYFUNCTION("""COMPUTED_VALUE"""),"GL2512317")</f>
        <v>GL2512317</v>
      </c>
      <c r="R4660" s="57">
        <f>IFERROR(__xludf.DUMMYFUNCTION("""COMPUTED_VALUE"""),45993.0)</f>
        <v>45993</v>
      </c>
      <c r="S4660" s="57">
        <f>IFERROR(__xludf.DUMMYFUNCTION("""COMPUTED_VALUE"""),45993.0)</f>
        <v>45993</v>
      </c>
      <c r="T4660" s="57">
        <f>IFERROR(__xludf.DUMMYFUNCTION("""COMPUTED_VALUE"""),46037.0)</f>
        <v>46037</v>
      </c>
    </row>
    <row r="4661">
      <c r="A4661" s="6" t="str">
        <f>IFERROR(__xludf.DUMMYFUNCTION("""COMPUTED_VALUE"""),"121703554-1")</f>
        <v>121703554-1</v>
      </c>
      <c r="B4661" s="6" t="str">
        <f>IFERROR(__xludf.DUMMYFUNCTION("""COMPUTED_VALUE"""),"121703554 - APPROVED")</f>
        <v>121703554 - APPROVED</v>
      </c>
      <c r="C4661" s="6">
        <f>IFERROR(__xludf.DUMMYFUNCTION("""COMPUTED_VALUE"""),1.0)</f>
        <v>1</v>
      </c>
      <c r="D4661" s="6" t="str">
        <f>IFERROR(__xludf.DUMMYFUNCTION("""COMPUTED_VALUE"""),"P-15960-00")</f>
        <v>P-15960-00</v>
      </c>
      <c r="E4661" s="6" t="str">
        <f>IFERROR(__xludf.DUMMYFUNCTION("""COMPUTED_VALUE"""),"General - Freon R32; Dupont; -; 1 pcs")</f>
        <v>General - Freon R32; Dupont; -; 1 pcs</v>
      </c>
      <c r="F4661" s="6">
        <f>IFERROR(__xludf.DUMMYFUNCTION("""COMPUTED_VALUE"""),5.0)</f>
        <v>5</v>
      </c>
      <c r="G4661" s="6" t="str">
        <f>IFERROR(__xludf.DUMMYFUNCTION("""COMPUTED_VALUE"""),"Can")</f>
        <v>Can</v>
      </c>
      <c r="H4661" s="6" t="str">
        <f>IFERROR(__xludf.DUMMYFUNCTION("""COMPUTED_VALUE"""),"IDR")</f>
        <v>IDR</v>
      </c>
      <c r="I4661" s="6">
        <f>IFERROR(__xludf.DUMMYFUNCTION("""COMPUTED_VALUE"""),1237500.0)</f>
        <v>1237500</v>
      </c>
      <c r="J4661" s="6">
        <f>IFERROR(__xludf.DUMMYFUNCTION("""COMPUTED_VALUE"""),6187500.0)</f>
        <v>6187500</v>
      </c>
      <c r="K4661" s="57">
        <f>IFERROR(__xludf.DUMMYFUNCTION("""COMPUTED_VALUE"""),46024.0)</f>
        <v>46024</v>
      </c>
      <c r="L4661" s="6" t="str">
        <f>IFERROR(__xludf.DUMMYFUNCTION("""COMPUTED_VALUE"""),"FIP Engineering")</f>
        <v>FIP Engineering</v>
      </c>
      <c r="M4661" s="6" t="str">
        <f>IFERROR(__xludf.DUMMYFUNCTION("""COMPUTED_VALUE"""),"Mochammad Fadhillah Hakim,")</f>
        <v>Mochammad Fadhillah Hakim,</v>
      </c>
      <c r="N4661" s="6" t="str">
        <f>IFERROR(__xludf.DUMMYFUNCTION("""COMPUTED_VALUE"""),"FIP Engineering")</f>
        <v>FIP Engineering</v>
      </c>
      <c r="O4661" s="6" t="str">
        <f>IFERROR(__xludf.DUMMYFUNCTION("""COMPUTED_VALUE"""),"FIP-DOM-000-11304-OS00001-INA-000000")</f>
        <v>FIP-DOM-000-11304-OS00001-INA-000000</v>
      </c>
      <c r="P4661" s="6" t="str">
        <f>IFERROR(__xludf.DUMMYFUNCTION("""COMPUTED_VALUE"""),"PO Closed")</f>
        <v>PO Closed</v>
      </c>
      <c r="Q4661" s="6" t="str">
        <f>IFERROR(__xludf.DUMMYFUNCTION("""COMPUTED_VALUE"""),"GL2512315")</f>
        <v>GL2512315</v>
      </c>
      <c r="R4661" s="57">
        <f>IFERROR(__xludf.DUMMYFUNCTION("""COMPUTED_VALUE"""),45993.0)</f>
        <v>45993</v>
      </c>
      <c r="S4661" s="57">
        <f>IFERROR(__xludf.DUMMYFUNCTION("""COMPUTED_VALUE"""),45993.0)</f>
        <v>45993</v>
      </c>
      <c r="T4661" s="57">
        <f>IFERROR(__xludf.DUMMYFUNCTION("""COMPUTED_VALUE"""),46032.0)</f>
        <v>46032</v>
      </c>
    </row>
    <row r="4662">
      <c r="A4662" s="6" t="str">
        <f>IFERROR(__xludf.DUMMYFUNCTION("""COMPUTED_VALUE"""),"121703554-2")</f>
        <v>121703554-2</v>
      </c>
      <c r="B4662" s="6" t="str">
        <f>IFERROR(__xludf.DUMMYFUNCTION("""COMPUTED_VALUE"""),"121703554 - APPROVED")</f>
        <v>121703554 - APPROVED</v>
      </c>
      <c r="C4662" s="6">
        <f>IFERROR(__xludf.DUMMYFUNCTION("""COMPUTED_VALUE"""),2.0)</f>
        <v>2</v>
      </c>
      <c r="D4662" s="6" t="str">
        <f>IFERROR(__xludf.DUMMYFUNCTION("""COMPUTED_VALUE"""),"P-16308-00")</f>
        <v>P-16308-00</v>
      </c>
      <c r="E4662" s="6" t="str">
        <f>IFERROR(__xludf.DUMMYFUNCTION("""COMPUTED_VALUE"""),"Fisher S 8 (1 box : 100 pcs)")</f>
        <v>Fisher S 8 (1 box : 100 pcs)</v>
      </c>
      <c r="F4662" s="6">
        <f>IFERROR(__xludf.DUMMYFUNCTION("""COMPUTED_VALUE"""),2.0)</f>
        <v>2</v>
      </c>
      <c r="G4662" s="6" t="str">
        <f>IFERROR(__xludf.DUMMYFUNCTION("""COMPUTED_VALUE"""),"Box")</f>
        <v>Box</v>
      </c>
      <c r="H4662" s="6" t="str">
        <f>IFERROR(__xludf.DUMMYFUNCTION("""COMPUTED_VALUE"""),"IDR")</f>
        <v>IDR</v>
      </c>
      <c r="I4662" s="6">
        <f>IFERROR(__xludf.DUMMYFUNCTION("""COMPUTED_VALUE"""),15000.0)</f>
        <v>15000</v>
      </c>
      <c r="J4662" s="6">
        <f>IFERROR(__xludf.DUMMYFUNCTION("""COMPUTED_VALUE"""),30000.0)</f>
        <v>30000</v>
      </c>
      <c r="K4662" s="57">
        <f>IFERROR(__xludf.DUMMYFUNCTION("""COMPUTED_VALUE"""),46024.0)</f>
        <v>46024</v>
      </c>
      <c r="L4662" s="6" t="str">
        <f>IFERROR(__xludf.DUMMYFUNCTION("""COMPUTED_VALUE"""),"FIP Engineering")</f>
        <v>FIP Engineering</v>
      </c>
      <c r="M4662" s="6" t="str">
        <f>IFERROR(__xludf.DUMMYFUNCTION("""COMPUTED_VALUE"""),"Mochammad Fadhillah Hakim,")</f>
        <v>Mochammad Fadhillah Hakim,</v>
      </c>
      <c r="N4662" s="6" t="str">
        <f>IFERROR(__xludf.DUMMYFUNCTION("""COMPUTED_VALUE"""),"FIP Engineering")</f>
        <v>FIP Engineering</v>
      </c>
      <c r="O4662" s="6" t="str">
        <f>IFERROR(__xludf.DUMMYFUNCTION("""COMPUTED_VALUE"""),"FIP-DOM-000-11304-OS00001-INA-000000")</f>
        <v>FIP-DOM-000-11304-OS00001-INA-000000</v>
      </c>
      <c r="P4662" s="6" t="str">
        <f>IFERROR(__xludf.DUMMYFUNCTION("""COMPUTED_VALUE"""),"PO Closed")</f>
        <v>PO Closed</v>
      </c>
      <c r="Q4662" s="6" t="str">
        <f>IFERROR(__xludf.DUMMYFUNCTION("""COMPUTED_VALUE"""),"GL2512327")</f>
        <v>GL2512327</v>
      </c>
      <c r="R4662" s="57">
        <f>IFERROR(__xludf.DUMMYFUNCTION("""COMPUTED_VALUE"""),45993.0)</f>
        <v>45993</v>
      </c>
      <c r="S4662" s="57">
        <f>IFERROR(__xludf.DUMMYFUNCTION("""COMPUTED_VALUE"""),45993.0)</f>
        <v>45993</v>
      </c>
      <c r="T4662" s="57">
        <f>IFERROR(__xludf.DUMMYFUNCTION("""COMPUTED_VALUE"""),46024.0)</f>
        <v>46024</v>
      </c>
    </row>
    <row r="4663">
      <c r="A4663" s="6" t="str">
        <f>IFERROR(__xludf.DUMMYFUNCTION("""COMPUTED_VALUE"""),"121703554-3")</f>
        <v>121703554-3</v>
      </c>
      <c r="B4663" s="6" t="str">
        <f>IFERROR(__xludf.DUMMYFUNCTION("""COMPUTED_VALUE"""),"121703554 - APPROVED")</f>
        <v>121703554 - APPROVED</v>
      </c>
      <c r="C4663" s="6">
        <f>IFERROR(__xludf.DUMMYFUNCTION("""COMPUTED_VALUE"""),3.0)</f>
        <v>3</v>
      </c>
      <c r="D4663" s="6" t="str">
        <f>IFERROR(__xludf.DUMMYFUNCTION("""COMPUTED_VALUE"""),"P-20360-00")</f>
        <v>P-20360-00</v>
      </c>
      <c r="E4663" s="6" t="str">
        <f>IFERROR(__xludf.DUMMYFUNCTION("""COMPUTED_VALUE"""),"General - Liquid Gasket; Threebond; -; 75g/tube")</f>
        <v>General - Liquid Gasket; Threebond; -; 75g/tube</v>
      </c>
      <c r="F4663" s="6">
        <f>IFERROR(__xludf.DUMMYFUNCTION("""COMPUTED_VALUE"""),2.0)</f>
        <v>2</v>
      </c>
      <c r="G4663" s="6" t="str">
        <f>IFERROR(__xludf.DUMMYFUNCTION("""COMPUTED_VALUE"""),"Pieces")</f>
        <v>Pieces</v>
      </c>
      <c r="H4663" s="6" t="str">
        <f>IFERROR(__xludf.DUMMYFUNCTION("""COMPUTED_VALUE"""),"IDR")</f>
        <v>IDR</v>
      </c>
      <c r="I4663" s="6">
        <f>IFERROR(__xludf.DUMMYFUNCTION("""COMPUTED_VALUE"""),35000.0)</f>
        <v>35000</v>
      </c>
      <c r="J4663" s="6">
        <f>IFERROR(__xludf.DUMMYFUNCTION("""COMPUTED_VALUE"""),70000.0)</f>
        <v>70000</v>
      </c>
      <c r="K4663" s="57">
        <f>IFERROR(__xludf.DUMMYFUNCTION("""COMPUTED_VALUE"""),46024.0)</f>
        <v>46024</v>
      </c>
      <c r="L4663" s="6" t="str">
        <f>IFERROR(__xludf.DUMMYFUNCTION("""COMPUTED_VALUE"""),"FIP Engineering")</f>
        <v>FIP Engineering</v>
      </c>
      <c r="M4663" s="6" t="str">
        <f>IFERROR(__xludf.DUMMYFUNCTION("""COMPUTED_VALUE"""),"Mochammad Fadhillah Hakim,")</f>
        <v>Mochammad Fadhillah Hakim,</v>
      </c>
      <c r="N4663" s="6" t="str">
        <f>IFERROR(__xludf.DUMMYFUNCTION("""COMPUTED_VALUE"""),"FIP Engineering")</f>
        <v>FIP Engineering</v>
      </c>
      <c r="O4663" s="6" t="str">
        <f>IFERROR(__xludf.DUMMYFUNCTION("""COMPUTED_VALUE"""),"FIP-DOM-000-11304-OS00001-INA-000000")</f>
        <v>FIP-DOM-000-11304-OS00001-INA-000000</v>
      </c>
      <c r="P4663" s="6" t="str">
        <f>IFERROR(__xludf.DUMMYFUNCTION("""COMPUTED_VALUE"""),"PO Closed")</f>
        <v>PO Closed</v>
      </c>
      <c r="Q4663" s="6" t="str">
        <f>IFERROR(__xludf.DUMMYFUNCTION("""COMPUTED_VALUE"""),"GL2512315")</f>
        <v>GL2512315</v>
      </c>
      <c r="R4663" s="57">
        <f>IFERROR(__xludf.DUMMYFUNCTION("""COMPUTED_VALUE"""),45993.0)</f>
        <v>45993</v>
      </c>
      <c r="S4663" s="57">
        <f>IFERROR(__xludf.DUMMYFUNCTION("""COMPUTED_VALUE"""),45993.0)</f>
        <v>45993</v>
      </c>
      <c r="T4663" s="57">
        <f>IFERROR(__xludf.DUMMYFUNCTION("""COMPUTED_VALUE"""),46032.0)</f>
        <v>46032</v>
      </c>
    </row>
    <row r="4664">
      <c r="A4664" s="6" t="str">
        <f>IFERROR(__xludf.DUMMYFUNCTION("""COMPUTED_VALUE"""),"121703554-4")</f>
        <v>121703554-4</v>
      </c>
      <c r="B4664" s="6" t="str">
        <f>IFERROR(__xludf.DUMMYFUNCTION("""COMPUTED_VALUE"""),"121703554 - APPROVED")</f>
        <v>121703554 - APPROVED</v>
      </c>
      <c r="C4664" s="6">
        <f>IFERROR(__xludf.DUMMYFUNCTION("""COMPUTED_VALUE"""),4.0)</f>
        <v>4</v>
      </c>
      <c r="D4664" s="6" t="str">
        <f>IFERROR(__xludf.DUMMYFUNCTION("""COMPUTED_VALUE"""),"P-20361-00")</f>
        <v>P-20361-00</v>
      </c>
      <c r="E4664" s="6" t="str">
        <f>IFERROR(__xludf.DUMMYFUNCTION("""COMPUTED_VALUE"""),"General - Ball Valve PVC 1 Inch Gagang Stainless; No Brand; -; 1 pc")</f>
        <v>General - Ball Valve PVC 1 Inch Gagang Stainless; No Brand; -; 1 pc</v>
      </c>
      <c r="F4664" s="6">
        <f>IFERROR(__xludf.DUMMYFUNCTION("""COMPUTED_VALUE"""),4.0)</f>
        <v>4</v>
      </c>
      <c r="G4664" s="6" t="str">
        <f>IFERROR(__xludf.DUMMYFUNCTION("""COMPUTED_VALUE"""),"Pieces")</f>
        <v>Pieces</v>
      </c>
      <c r="H4664" s="6" t="str">
        <f>IFERROR(__xludf.DUMMYFUNCTION("""COMPUTED_VALUE"""),"IDR")</f>
        <v>IDR</v>
      </c>
      <c r="I4664" s="6">
        <f>IFERROR(__xludf.DUMMYFUNCTION("""COMPUTED_VALUE"""),27500.0)</f>
        <v>27500</v>
      </c>
      <c r="J4664" s="6">
        <f>IFERROR(__xludf.DUMMYFUNCTION("""COMPUTED_VALUE"""),110000.0)</f>
        <v>110000</v>
      </c>
      <c r="K4664" s="57">
        <f>IFERROR(__xludf.DUMMYFUNCTION("""COMPUTED_VALUE"""),46024.0)</f>
        <v>46024</v>
      </c>
      <c r="L4664" s="6" t="str">
        <f>IFERROR(__xludf.DUMMYFUNCTION("""COMPUTED_VALUE"""),"FIP Engineering")</f>
        <v>FIP Engineering</v>
      </c>
      <c r="M4664" s="6" t="str">
        <f>IFERROR(__xludf.DUMMYFUNCTION("""COMPUTED_VALUE"""),"Mochammad Fadhillah Hakim,")</f>
        <v>Mochammad Fadhillah Hakim,</v>
      </c>
      <c r="N4664" s="6" t="str">
        <f>IFERROR(__xludf.DUMMYFUNCTION("""COMPUTED_VALUE"""),"FIP Engineering")</f>
        <v>FIP Engineering</v>
      </c>
      <c r="O4664" s="6" t="str">
        <f>IFERROR(__xludf.DUMMYFUNCTION("""COMPUTED_VALUE"""),"FIP-DOM-000-11304-OS00001-INA-000000")</f>
        <v>FIP-DOM-000-11304-OS00001-INA-000000</v>
      </c>
      <c r="P4664" s="6" t="str">
        <f>IFERROR(__xludf.DUMMYFUNCTION("""COMPUTED_VALUE"""),"PO Closed")</f>
        <v>PO Closed</v>
      </c>
      <c r="Q4664" s="6" t="str">
        <f>IFERROR(__xludf.DUMMYFUNCTION("""COMPUTED_VALUE"""),"GL2512325")</f>
        <v>GL2512325</v>
      </c>
      <c r="R4664" s="57">
        <f>IFERROR(__xludf.DUMMYFUNCTION("""COMPUTED_VALUE"""),45993.0)</f>
        <v>45993</v>
      </c>
      <c r="S4664" s="57">
        <f>IFERROR(__xludf.DUMMYFUNCTION("""COMPUTED_VALUE"""),45993.0)</f>
        <v>45993</v>
      </c>
      <c r="T4664" s="57">
        <f>IFERROR(__xludf.DUMMYFUNCTION("""COMPUTED_VALUE"""),46024.0)</f>
        <v>46024</v>
      </c>
    </row>
    <row r="4665">
      <c r="A4665" s="6" t="str">
        <f>IFERROR(__xludf.DUMMYFUNCTION("""COMPUTED_VALUE"""),"121703554-5")</f>
        <v>121703554-5</v>
      </c>
      <c r="B4665" s="6" t="str">
        <f>IFERROR(__xludf.DUMMYFUNCTION("""COMPUTED_VALUE"""),"121703554 - APPROVED")</f>
        <v>121703554 - APPROVED</v>
      </c>
      <c r="C4665" s="6">
        <f>IFERROR(__xludf.DUMMYFUNCTION("""COMPUTED_VALUE"""),5.0)</f>
        <v>5</v>
      </c>
      <c r="D4665" s="6" t="str">
        <f>IFERROR(__xludf.DUMMYFUNCTION("""COMPUTED_VALUE"""),"P-52436-00")</f>
        <v>P-52436-00</v>
      </c>
      <c r="E4665" s="6" t="str">
        <f>IFERROR(__xludf.DUMMYFUNCTION("""COMPUTED_VALUE"""),"General - Kabel NYYHY 4 x 1.5mm; SUPREME; -; 1 meter")</f>
        <v>General - Kabel NYYHY 4 x 1.5mm; SUPREME; -; 1 meter</v>
      </c>
      <c r="F4665" s="6">
        <f>IFERROR(__xludf.DUMMYFUNCTION("""COMPUTED_VALUE"""),1.0)</f>
        <v>1</v>
      </c>
      <c r="G4665" s="6" t="str">
        <f>IFERROR(__xludf.DUMMYFUNCTION("""COMPUTED_VALUE"""),"Roll")</f>
        <v>Roll</v>
      </c>
      <c r="H4665" s="6" t="str">
        <f>IFERROR(__xludf.DUMMYFUNCTION("""COMPUTED_VALUE"""),"IDR")</f>
        <v>IDR</v>
      </c>
      <c r="I4665" s="6">
        <f>IFERROR(__xludf.DUMMYFUNCTION("""COMPUTED_VALUE"""),2050000.0)</f>
        <v>2050000</v>
      </c>
      <c r="J4665" s="6">
        <f>IFERROR(__xludf.DUMMYFUNCTION("""COMPUTED_VALUE"""),2050000.0)</f>
        <v>2050000</v>
      </c>
      <c r="K4665" s="57">
        <f>IFERROR(__xludf.DUMMYFUNCTION("""COMPUTED_VALUE"""),46024.0)</f>
        <v>46024</v>
      </c>
      <c r="L4665" s="6" t="str">
        <f>IFERROR(__xludf.DUMMYFUNCTION("""COMPUTED_VALUE"""),"FIP Engineering")</f>
        <v>FIP Engineering</v>
      </c>
      <c r="M4665" s="6" t="str">
        <f>IFERROR(__xludf.DUMMYFUNCTION("""COMPUTED_VALUE"""),"Mochammad Fadhillah Hakim,")</f>
        <v>Mochammad Fadhillah Hakim,</v>
      </c>
      <c r="N4665" s="6" t="str">
        <f>IFERROR(__xludf.DUMMYFUNCTION("""COMPUTED_VALUE"""),"FIP Engineering")</f>
        <v>FIP Engineering</v>
      </c>
      <c r="O4665" s="6" t="str">
        <f>IFERROR(__xludf.DUMMYFUNCTION("""COMPUTED_VALUE"""),"FIP-DOM-000-11304-OS00001-INA-000000")</f>
        <v>FIP-DOM-000-11304-OS00001-INA-000000</v>
      </c>
      <c r="P4665" s="6" t="str">
        <f>IFERROR(__xludf.DUMMYFUNCTION("""COMPUTED_VALUE"""),"PO Closed")</f>
        <v>PO Closed</v>
      </c>
      <c r="Q4665" s="6" t="str">
        <f>IFERROR(__xludf.DUMMYFUNCTION("""COMPUTED_VALUE"""),"GL2512326")</f>
        <v>GL2512326</v>
      </c>
      <c r="R4665" s="57">
        <f>IFERROR(__xludf.DUMMYFUNCTION("""COMPUTED_VALUE"""),45993.0)</f>
        <v>45993</v>
      </c>
      <c r="S4665" s="57">
        <f>IFERROR(__xludf.DUMMYFUNCTION("""COMPUTED_VALUE"""),45993.0)</f>
        <v>45993</v>
      </c>
      <c r="T4665" s="57">
        <f>IFERROR(__xludf.DUMMYFUNCTION("""COMPUTED_VALUE"""),46024.0)</f>
        <v>46024</v>
      </c>
    </row>
    <row r="4666">
      <c r="A4666" s="6" t="str">
        <f>IFERROR(__xludf.DUMMYFUNCTION("""COMPUTED_VALUE"""),"121703554-6")</f>
        <v>121703554-6</v>
      </c>
      <c r="B4666" s="6" t="str">
        <f>IFERROR(__xludf.DUMMYFUNCTION("""COMPUTED_VALUE"""),"121703554 - APPROVED")</f>
        <v>121703554 - APPROVED</v>
      </c>
      <c r="C4666" s="6">
        <f>IFERROR(__xludf.DUMMYFUNCTION("""COMPUTED_VALUE"""),6.0)</f>
        <v>6</v>
      </c>
      <c r="D4666" s="6" t="str">
        <f>IFERROR(__xludf.DUMMYFUNCTION("""COMPUTED_VALUE"""),"P-54462-00")</f>
        <v>P-54462-00</v>
      </c>
      <c r="E4666" s="6" t="str">
        <f>IFERROR(__xludf.DUMMYFUNCTION("""COMPUTED_VALUE"""),"General - MCB 6A 1Phase Domae; Schneider; DOMF01106; 1 pc")</f>
        <v>General - MCB 6A 1Phase Domae; Schneider; DOMF01106; 1 pc</v>
      </c>
      <c r="F4666" s="6">
        <f>IFERROR(__xludf.DUMMYFUNCTION("""COMPUTED_VALUE"""),2.0)</f>
        <v>2</v>
      </c>
      <c r="G4666" s="6" t="str">
        <f>IFERROR(__xludf.DUMMYFUNCTION("""COMPUTED_VALUE"""),"Pieces")</f>
        <v>Pieces</v>
      </c>
      <c r="H4666" s="6" t="str">
        <f>IFERROR(__xludf.DUMMYFUNCTION("""COMPUTED_VALUE"""),"IDR")</f>
        <v>IDR</v>
      </c>
      <c r="I4666" s="6">
        <f>IFERROR(__xludf.DUMMYFUNCTION("""COMPUTED_VALUE"""),95000.0)</f>
        <v>95000</v>
      </c>
      <c r="J4666" s="6">
        <f>IFERROR(__xludf.DUMMYFUNCTION("""COMPUTED_VALUE"""),190000.0)</f>
        <v>190000</v>
      </c>
      <c r="K4666" s="57">
        <f>IFERROR(__xludf.DUMMYFUNCTION("""COMPUTED_VALUE"""),46024.0)</f>
        <v>46024</v>
      </c>
      <c r="L4666" s="6" t="str">
        <f>IFERROR(__xludf.DUMMYFUNCTION("""COMPUTED_VALUE"""),"FIP Engineering")</f>
        <v>FIP Engineering</v>
      </c>
      <c r="M4666" s="6" t="str">
        <f>IFERROR(__xludf.DUMMYFUNCTION("""COMPUTED_VALUE"""),"Mochammad Fadhillah Hakim,")</f>
        <v>Mochammad Fadhillah Hakim,</v>
      </c>
      <c r="N4666" s="6" t="str">
        <f>IFERROR(__xludf.DUMMYFUNCTION("""COMPUTED_VALUE"""),"FIP Engineering")</f>
        <v>FIP Engineering</v>
      </c>
      <c r="O4666" s="6" t="str">
        <f>IFERROR(__xludf.DUMMYFUNCTION("""COMPUTED_VALUE"""),"FIP-DOM-000-11304-OS00001-INA-000000")</f>
        <v>FIP-DOM-000-11304-OS00001-INA-000000</v>
      </c>
      <c r="P4666" s="6" t="str">
        <f>IFERROR(__xludf.DUMMYFUNCTION("""COMPUTED_VALUE"""),"PO Closed")</f>
        <v>PO Closed</v>
      </c>
      <c r="Q4666" s="6" t="str">
        <f>IFERROR(__xludf.DUMMYFUNCTION("""COMPUTED_VALUE"""),"GL2512326")</f>
        <v>GL2512326</v>
      </c>
      <c r="R4666" s="57">
        <f>IFERROR(__xludf.DUMMYFUNCTION("""COMPUTED_VALUE"""),45993.0)</f>
        <v>45993</v>
      </c>
      <c r="S4666" s="57">
        <f>IFERROR(__xludf.DUMMYFUNCTION("""COMPUTED_VALUE"""),45993.0)</f>
        <v>45993</v>
      </c>
      <c r="T4666" s="57">
        <f>IFERROR(__xludf.DUMMYFUNCTION("""COMPUTED_VALUE"""),46024.0)</f>
        <v>46024</v>
      </c>
    </row>
    <row r="4667">
      <c r="A4667" s="6" t="str">
        <f>IFERROR(__xludf.DUMMYFUNCTION("""COMPUTED_VALUE"""),"121703554-7")</f>
        <v>121703554-7</v>
      </c>
      <c r="B4667" s="6" t="str">
        <f>IFERROR(__xludf.DUMMYFUNCTION("""COMPUTED_VALUE"""),"121703554 - APPROVED")</f>
        <v>121703554 - APPROVED</v>
      </c>
      <c r="C4667" s="6">
        <f>IFERROR(__xludf.DUMMYFUNCTION("""COMPUTED_VALUE"""),7.0)</f>
        <v>7</v>
      </c>
      <c r="D4667" s="6" t="str">
        <f>IFERROR(__xludf.DUMMYFUNCTION("""COMPUTED_VALUE"""),"P-54463-00")</f>
        <v>P-54463-00</v>
      </c>
      <c r="E4667" s="6" t="str">
        <f>IFERROR(__xludf.DUMMYFUNCTION("""COMPUTED_VALUE"""),"General - MCB 4A 1Phase Domae; Schneider; DOMF01104; 1 pc")</f>
        <v>General - MCB 4A 1Phase Domae; Schneider; DOMF01104; 1 pc</v>
      </c>
      <c r="F4667" s="6">
        <f>IFERROR(__xludf.DUMMYFUNCTION("""COMPUTED_VALUE"""),3.0)</f>
        <v>3</v>
      </c>
      <c r="G4667" s="6" t="str">
        <f>IFERROR(__xludf.DUMMYFUNCTION("""COMPUTED_VALUE"""),"Pieces")</f>
        <v>Pieces</v>
      </c>
      <c r="H4667" s="6" t="str">
        <f>IFERROR(__xludf.DUMMYFUNCTION("""COMPUTED_VALUE"""),"IDR")</f>
        <v>IDR</v>
      </c>
      <c r="I4667" s="6">
        <f>IFERROR(__xludf.DUMMYFUNCTION("""COMPUTED_VALUE"""),95000.0)</f>
        <v>95000</v>
      </c>
      <c r="J4667" s="6">
        <f>IFERROR(__xludf.DUMMYFUNCTION("""COMPUTED_VALUE"""),285000.0)</f>
        <v>285000</v>
      </c>
      <c r="K4667" s="57">
        <f>IFERROR(__xludf.DUMMYFUNCTION("""COMPUTED_VALUE"""),46024.0)</f>
        <v>46024</v>
      </c>
      <c r="L4667" s="6" t="str">
        <f>IFERROR(__xludf.DUMMYFUNCTION("""COMPUTED_VALUE"""),"FIP Engineering")</f>
        <v>FIP Engineering</v>
      </c>
      <c r="M4667" s="6" t="str">
        <f>IFERROR(__xludf.DUMMYFUNCTION("""COMPUTED_VALUE"""),"Mochammad Fadhillah Hakim,")</f>
        <v>Mochammad Fadhillah Hakim,</v>
      </c>
      <c r="N4667" s="6" t="str">
        <f>IFERROR(__xludf.DUMMYFUNCTION("""COMPUTED_VALUE"""),"FIP Engineering")</f>
        <v>FIP Engineering</v>
      </c>
      <c r="O4667" s="6" t="str">
        <f>IFERROR(__xludf.DUMMYFUNCTION("""COMPUTED_VALUE"""),"FIP-DOM-000-11304-OS00001-INA-000000")</f>
        <v>FIP-DOM-000-11304-OS00001-INA-000000</v>
      </c>
      <c r="P4667" s="6" t="str">
        <f>IFERROR(__xludf.DUMMYFUNCTION("""COMPUTED_VALUE"""),"PO Closed")</f>
        <v>PO Closed</v>
      </c>
      <c r="Q4667" s="6" t="str">
        <f>IFERROR(__xludf.DUMMYFUNCTION("""COMPUTED_VALUE"""),"GL2512326")</f>
        <v>GL2512326</v>
      </c>
      <c r="R4667" s="57">
        <f>IFERROR(__xludf.DUMMYFUNCTION("""COMPUTED_VALUE"""),45993.0)</f>
        <v>45993</v>
      </c>
      <c r="S4667" s="57">
        <f>IFERROR(__xludf.DUMMYFUNCTION("""COMPUTED_VALUE"""),45993.0)</f>
        <v>45993</v>
      </c>
      <c r="T4667" s="57">
        <f>IFERROR(__xludf.DUMMYFUNCTION("""COMPUTED_VALUE"""),46024.0)</f>
        <v>46024</v>
      </c>
    </row>
    <row r="4668">
      <c r="A4668" s="6" t="str">
        <f>IFERROR(__xludf.DUMMYFUNCTION("""COMPUTED_VALUE"""),"121703554-8")</f>
        <v>121703554-8</v>
      </c>
      <c r="B4668" s="6" t="str">
        <f>IFERROR(__xludf.DUMMYFUNCTION("""COMPUTED_VALUE"""),"121703554 - APPROVED")</f>
        <v>121703554 - APPROVED</v>
      </c>
      <c r="C4668" s="6">
        <f>IFERROR(__xludf.DUMMYFUNCTION("""COMPUTED_VALUE"""),8.0)</f>
        <v>8</v>
      </c>
      <c r="D4668" s="6" t="str">
        <f>IFERROR(__xludf.DUMMYFUNCTION("""COMPUTED_VALUE"""),"P-54464-00")</f>
        <v>P-54464-00</v>
      </c>
      <c r="E4668" s="6" t="str">
        <f>IFERROR(__xludf.DUMMYFUNCTION("""COMPUTED_VALUE"""),"General - MCB 32A 3Phase Domae; Schneider; DOMF01332; 1 pc")</f>
        <v>General - MCB 32A 3Phase Domae; Schneider; DOMF01332; 1 pc</v>
      </c>
      <c r="F4668" s="6">
        <f>IFERROR(__xludf.DUMMYFUNCTION("""COMPUTED_VALUE"""),1.0)</f>
        <v>1</v>
      </c>
      <c r="G4668" s="6" t="str">
        <f>IFERROR(__xludf.DUMMYFUNCTION("""COMPUTED_VALUE"""),"Pieces")</f>
        <v>Pieces</v>
      </c>
      <c r="H4668" s="6" t="str">
        <f>IFERROR(__xludf.DUMMYFUNCTION("""COMPUTED_VALUE"""),"IDR")</f>
        <v>IDR</v>
      </c>
      <c r="I4668" s="6">
        <f>IFERROR(__xludf.DUMMYFUNCTION("""COMPUTED_VALUE"""),485000.0)</f>
        <v>485000</v>
      </c>
      <c r="J4668" s="6">
        <f>IFERROR(__xludf.DUMMYFUNCTION("""COMPUTED_VALUE"""),485000.0)</f>
        <v>485000</v>
      </c>
      <c r="K4668" s="57">
        <f>IFERROR(__xludf.DUMMYFUNCTION("""COMPUTED_VALUE"""),46024.0)</f>
        <v>46024</v>
      </c>
      <c r="L4668" s="6" t="str">
        <f>IFERROR(__xludf.DUMMYFUNCTION("""COMPUTED_VALUE"""),"FIP Engineering")</f>
        <v>FIP Engineering</v>
      </c>
      <c r="M4668" s="6" t="str">
        <f>IFERROR(__xludf.DUMMYFUNCTION("""COMPUTED_VALUE"""),"Mochammad Fadhillah Hakim,")</f>
        <v>Mochammad Fadhillah Hakim,</v>
      </c>
      <c r="N4668" s="6" t="str">
        <f>IFERROR(__xludf.DUMMYFUNCTION("""COMPUTED_VALUE"""),"FIP Engineering")</f>
        <v>FIP Engineering</v>
      </c>
      <c r="O4668" s="6" t="str">
        <f>IFERROR(__xludf.DUMMYFUNCTION("""COMPUTED_VALUE"""),"FIP-DOM-000-11304-OS00001-INA-000000")</f>
        <v>FIP-DOM-000-11304-OS00001-INA-000000</v>
      </c>
      <c r="P4668" s="6" t="str">
        <f>IFERROR(__xludf.DUMMYFUNCTION("""COMPUTED_VALUE"""),"PO Closed")</f>
        <v>PO Closed</v>
      </c>
      <c r="Q4668" s="6" t="str">
        <f>IFERROR(__xludf.DUMMYFUNCTION("""COMPUTED_VALUE"""),"GL2512326")</f>
        <v>GL2512326</v>
      </c>
      <c r="R4668" s="57">
        <f>IFERROR(__xludf.DUMMYFUNCTION("""COMPUTED_VALUE"""),45993.0)</f>
        <v>45993</v>
      </c>
      <c r="S4668" s="57">
        <f>IFERROR(__xludf.DUMMYFUNCTION("""COMPUTED_VALUE"""),45993.0)</f>
        <v>45993</v>
      </c>
      <c r="T4668" s="57">
        <f>IFERROR(__xludf.DUMMYFUNCTION("""COMPUTED_VALUE"""),46024.0)</f>
        <v>46024</v>
      </c>
    </row>
    <row r="4669">
      <c r="A4669" s="6" t="str">
        <f>IFERROR(__xludf.DUMMYFUNCTION("""COMPUTED_VALUE"""),"121703554-9")</f>
        <v>121703554-9</v>
      </c>
      <c r="B4669" s="6" t="str">
        <f>IFERROR(__xludf.DUMMYFUNCTION("""COMPUTED_VALUE"""),"121703554 - APPROVED")</f>
        <v>121703554 - APPROVED</v>
      </c>
      <c r="C4669" s="6">
        <f>IFERROR(__xludf.DUMMYFUNCTION("""COMPUTED_VALUE"""),9.0)</f>
        <v>9</v>
      </c>
      <c r="D4669" s="6" t="str">
        <f>IFERROR(__xludf.DUMMYFUNCTION("""COMPUTED_VALUE"""),"P-54465-00")</f>
        <v>P-54465-00</v>
      </c>
      <c r="E4669" s="6" t="str">
        <f>IFERROR(__xludf.DUMMYFUNCTION("""COMPUTED_VALUE"""),"General - MCB 6A 3Phase C 6000A Domae; Schneider; -; 1 pc")</f>
        <v>General - MCB 6A 3Phase C 6000A Domae; Schneider; -; 1 pc</v>
      </c>
      <c r="F4669" s="6">
        <f>IFERROR(__xludf.DUMMYFUNCTION("""COMPUTED_VALUE"""),5.0)</f>
        <v>5</v>
      </c>
      <c r="G4669" s="6" t="str">
        <f>IFERROR(__xludf.DUMMYFUNCTION("""COMPUTED_VALUE"""),"Pieces")</f>
        <v>Pieces</v>
      </c>
      <c r="H4669" s="6" t="str">
        <f>IFERROR(__xludf.DUMMYFUNCTION("""COMPUTED_VALUE"""),"IDR")</f>
        <v>IDR</v>
      </c>
      <c r="I4669" s="6">
        <f>IFERROR(__xludf.DUMMYFUNCTION("""COMPUTED_VALUE"""),485000.0)</f>
        <v>485000</v>
      </c>
      <c r="J4669" s="6">
        <f>IFERROR(__xludf.DUMMYFUNCTION("""COMPUTED_VALUE"""),2425000.0)</f>
        <v>2425000</v>
      </c>
      <c r="K4669" s="57">
        <f>IFERROR(__xludf.DUMMYFUNCTION("""COMPUTED_VALUE"""),46024.0)</f>
        <v>46024</v>
      </c>
      <c r="L4669" s="6" t="str">
        <f>IFERROR(__xludf.DUMMYFUNCTION("""COMPUTED_VALUE"""),"FIP Engineering")</f>
        <v>FIP Engineering</v>
      </c>
      <c r="M4669" s="6" t="str">
        <f>IFERROR(__xludf.DUMMYFUNCTION("""COMPUTED_VALUE"""),"Mochammad Fadhillah Hakim,")</f>
        <v>Mochammad Fadhillah Hakim,</v>
      </c>
      <c r="N4669" s="6" t="str">
        <f>IFERROR(__xludf.DUMMYFUNCTION("""COMPUTED_VALUE"""),"FIP Engineering")</f>
        <v>FIP Engineering</v>
      </c>
      <c r="O4669" s="6" t="str">
        <f>IFERROR(__xludf.DUMMYFUNCTION("""COMPUTED_VALUE"""),"FIP-DOM-000-11304-OS00001-INA-000000")</f>
        <v>FIP-DOM-000-11304-OS00001-INA-000000</v>
      </c>
      <c r="P4669" s="6" t="str">
        <f>IFERROR(__xludf.DUMMYFUNCTION("""COMPUTED_VALUE"""),"PO Closed")</f>
        <v>PO Closed</v>
      </c>
      <c r="Q4669" s="6" t="str">
        <f>IFERROR(__xludf.DUMMYFUNCTION("""COMPUTED_VALUE"""),"GL2512326")</f>
        <v>GL2512326</v>
      </c>
      <c r="R4669" s="57">
        <f>IFERROR(__xludf.DUMMYFUNCTION("""COMPUTED_VALUE"""),45993.0)</f>
        <v>45993</v>
      </c>
      <c r="S4669" s="57">
        <f>IFERROR(__xludf.DUMMYFUNCTION("""COMPUTED_VALUE"""),45993.0)</f>
        <v>45993</v>
      </c>
      <c r="T4669" s="57">
        <f>IFERROR(__xludf.DUMMYFUNCTION("""COMPUTED_VALUE"""),46024.0)</f>
        <v>46024</v>
      </c>
    </row>
    <row r="4670">
      <c r="A4670" s="6" t="str">
        <f>IFERROR(__xludf.DUMMYFUNCTION("""COMPUTED_VALUE"""),"121703554-10")</f>
        <v>121703554-10</v>
      </c>
      <c r="B4670" s="6" t="str">
        <f>IFERROR(__xludf.DUMMYFUNCTION("""COMPUTED_VALUE"""),"121703554 - APPROVED")</f>
        <v>121703554 - APPROVED</v>
      </c>
      <c r="C4670" s="6">
        <f>IFERROR(__xludf.DUMMYFUNCTION("""COMPUTED_VALUE"""),10.0)</f>
        <v>10</v>
      </c>
      <c r="D4670" s="6" t="str">
        <f>IFERROR(__xludf.DUMMYFUNCTION("""COMPUTED_VALUE"""),"P-54466-00")</f>
        <v>P-54466-00</v>
      </c>
      <c r="E4670" s="6" t="str">
        <f>IFERROR(__xludf.DUMMYFUNCTION("""COMPUTED_VALUE"""),"General - MCB 10A 1Phase Domae; Schneider; DOMF01110; 1 pc")</f>
        <v>General - MCB 10A 1Phase Domae; Schneider; DOMF01110; 1 pc</v>
      </c>
      <c r="F4670" s="6">
        <f>IFERROR(__xludf.DUMMYFUNCTION("""COMPUTED_VALUE"""),3.0)</f>
        <v>3</v>
      </c>
      <c r="G4670" s="6" t="str">
        <f>IFERROR(__xludf.DUMMYFUNCTION("""COMPUTED_VALUE"""),"Pieces")</f>
        <v>Pieces</v>
      </c>
      <c r="H4670" s="6" t="str">
        <f>IFERROR(__xludf.DUMMYFUNCTION("""COMPUTED_VALUE"""),"IDR")</f>
        <v>IDR</v>
      </c>
      <c r="I4670" s="6">
        <f>IFERROR(__xludf.DUMMYFUNCTION("""COMPUTED_VALUE"""),95000.0)</f>
        <v>95000</v>
      </c>
      <c r="J4670" s="6">
        <f>IFERROR(__xludf.DUMMYFUNCTION("""COMPUTED_VALUE"""),285000.0)</f>
        <v>285000</v>
      </c>
      <c r="K4670" s="57">
        <f>IFERROR(__xludf.DUMMYFUNCTION("""COMPUTED_VALUE"""),46024.0)</f>
        <v>46024</v>
      </c>
      <c r="L4670" s="6" t="str">
        <f>IFERROR(__xludf.DUMMYFUNCTION("""COMPUTED_VALUE"""),"FIP Engineering")</f>
        <v>FIP Engineering</v>
      </c>
      <c r="M4670" s="6" t="str">
        <f>IFERROR(__xludf.DUMMYFUNCTION("""COMPUTED_VALUE"""),"Mochammad Fadhillah Hakim,")</f>
        <v>Mochammad Fadhillah Hakim,</v>
      </c>
      <c r="N4670" s="6" t="str">
        <f>IFERROR(__xludf.DUMMYFUNCTION("""COMPUTED_VALUE"""),"FIP Engineering")</f>
        <v>FIP Engineering</v>
      </c>
      <c r="O4670" s="6" t="str">
        <f>IFERROR(__xludf.DUMMYFUNCTION("""COMPUTED_VALUE"""),"FIP-DOM-000-11304-OS00001-INA-000000")</f>
        <v>FIP-DOM-000-11304-OS00001-INA-000000</v>
      </c>
      <c r="P4670" s="6" t="str">
        <f>IFERROR(__xludf.DUMMYFUNCTION("""COMPUTED_VALUE"""),"PO Closed")</f>
        <v>PO Closed</v>
      </c>
      <c r="Q4670" s="6" t="str">
        <f>IFERROR(__xludf.DUMMYFUNCTION("""COMPUTED_VALUE"""),"GL2512326")</f>
        <v>GL2512326</v>
      </c>
      <c r="R4670" s="57">
        <f>IFERROR(__xludf.DUMMYFUNCTION("""COMPUTED_VALUE"""),45993.0)</f>
        <v>45993</v>
      </c>
      <c r="S4670" s="57">
        <f>IFERROR(__xludf.DUMMYFUNCTION("""COMPUTED_VALUE"""),45993.0)</f>
        <v>45993</v>
      </c>
      <c r="T4670" s="57">
        <f>IFERROR(__xludf.DUMMYFUNCTION("""COMPUTED_VALUE"""),46024.0)</f>
        <v>46024</v>
      </c>
    </row>
    <row r="4671">
      <c r="A4671" s="6" t="str">
        <f>IFERROR(__xludf.DUMMYFUNCTION("""COMPUTED_VALUE"""),"121703554-11")</f>
        <v>121703554-11</v>
      </c>
      <c r="B4671" s="6" t="str">
        <f>IFERROR(__xludf.DUMMYFUNCTION("""COMPUTED_VALUE"""),"121703554 - APPROVED")</f>
        <v>121703554 - APPROVED</v>
      </c>
      <c r="C4671" s="6">
        <f>IFERROR(__xludf.DUMMYFUNCTION("""COMPUTED_VALUE"""),11.0)</f>
        <v>11</v>
      </c>
      <c r="D4671" s="6" t="str">
        <f>IFERROR(__xludf.DUMMYFUNCTION("""COMPUTED_VALUE"""),"P-54467-00")</f>
        <v>P-54467-00</v>
      </c>
      <c r="E4671" s="6" t="str">
        <f>IFERROR(__xludf.DUMMYFUNCTION("""COMPUTED_VALUE"""),"General - Selector Switch 3 Posisi 22mm; Idec; YW1S-3E20; 1 pc")</f>
        <v>General - Selector Switch 3 Posisi 22mm; Idec; YW1S-3E20; 1 pc</v>
      </c>
      <c r="F4671" s="6">
        <f>IFERROR(__xludf.DUMMYFUNCTION("""COMPUTED_VALUE"""),9.0)</f>
        <v>9</v>
      </c>
      <c r="G4671" s="6" t="str">
        <f>IFERROR(__xludf.DUMMYFUNCTION("""COMPUTED_VALUE"""),"Pieces")</f>
        <v>Pieces</v>
      </c>
      <c r="H4671" s="6" t="str">
        <f>IFERROR(__xludf.DUMMYFUNCTION("""COMPUTED_VALUE"""),"IDR")</f>
        <v>IDR</v>
      </c>
      <c r="I4671" s="6">
        <f>IFERROR(__xludf.DUMMYFUNCTION("""COMPUTED_VALUE"""),80000.0)</f>
        <v>80000</v>
      </c>
      <c r="J4671" s="6">
        <f>IFERROR(__xludf.DUMMYFUNCTION("""COMPUTED_VALUE"""),720000.0)</f>
        <v>720000</v>
      </c>
      <c r="K4671" s="57">
        <f>IFERROR(__xludf.DUMMYFUNCTION("""COMPUTED_VALUE"""),46024.0)</f>
        <v>46024</v>
      </c>
      <c r="L4671" s="6" t="str">
        <f>IFERROR(__xludf.DUMMYFUNCTION("""COMPUTED_VALUE"""),"FIP Engineering")</f>
        <v>FIP Engineering</v>
      </c>
      <c r="M4671" s="6" t="str">
        <f>IFERROR(__xludf.DUMMYFUNCTION("""COMPUTED_VALUE"""),"Mochammad Fadhillah Hakim,")</f>
        <v>Mochammad Fadhillah Hakim,</v>
      </c>
      <c r="N4671" s="6" t="str">
        <f>IFERROR(__xludf.DUMMYFUNCTION("""COMPUTED_VALUE"""),"FIP Engineering")</f>
        <v>FIP Engineering</v>
      </c>
      <c r="O4671" s="6" t="str">
        <f>IFERROR(__xludf.DUMMYFUNCTION("""COMPUTED_VALUE"""),"FIP-DOM-000-11304-OS00001-INA-000000")</f>
        <v>FIP-DOM-000-11304-OS00001-INA-000000</v>
      </c>
      <c r="P4671" s="6" t="str">
        <f>IFERROR(__xludf.DUMMYFUNCTION("""COMPUTED_VALUE"""),"PO Closed")</f>
        <v>PO Closed</v>
      </c>
      <c r="Q4671" s="6" t="str">
        <f>IFERROR(__xludf.DUMMYFUNCTION("""COMPUTED_VALUE"""),"GL2512325")</f>
        <v>GL2512325</v>
      </c>
      <c r="R4671" s="57">
        <f>IFERROR(__xludf.DUMMYFUNCTION("""COMPUTED_VALUE"""),45993.0)</f>
        <v>45993</v>
      </c>
      <c r="S4671" s="57">
        <f>IFERROR(__xludf.DUMMYFUNCTION("""COMPUTED_VALUE"""),45993.0)</f>
        <v>45993</v>
      </c>
      <c r="T4671" s="57">
        <f>IFERROR(__xludf.DUMMYFUNCTION("""COMPUTED_VALUE"""),46024.0)</f>
        <v>46024</v>
      </c>
    </row>
    <row r="4672">
      <c r="A4672" s="6" t="str">
        <f>IFERROR(__xludf.DUMMYFUNCTION("""COMPUTED_VALUE"""),"121703557-1")</f>
        <v>121703557-1</v>
      </c>
      <c r="B4672" s="6" t="str">
        <f>IFERROR(__xludf.DUMMYFUNCTION("""COMPUTED_VALUE"""),"121703557 - APPROVED")</f>
        <v>121703557 - APPROVED</v>
      </c>
      <c r="C4672" s="6">
        <f>IFERROR(__xludf.DUMMYFUNCTION("""COMPUTED_VALUE"""),1.0)</f>
        <v>1</v>
      </c>
      <c r="D4672" s="6" t="str">
        <f>IFERROR(__xludf.DUMMYFUNCTION("""COMPUTED_VALUE"""),"P-20284-00")</f>
        <v>P-20284-00</v>
      </c>
      <c r="E4672" s="6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F4672" s="6">
        <f>IFERROR(__xludf.DUMMYFUNCTION("""COMPUTED_VALUE"""),2.0)</f>
        <v>2</v>
      </c>
      <c r="G4672" s="6" t="str">
        <f>IFERROR(__xludf.DUMMYFUNCTION("""COMPUTED_VALUE"""),"Pieces")</f>
        <v>Pieces</v>
      </c>
      <c r="H4672" s="6" t="str">
        <f>IFERROR(__xludf.DUMMYFUNCTION("""COMPUTED_VALUE"""),"IDR")</f>
        <v>IDR</v>
      </c>
      <c r="I4672" s="6">
        <f>IFERROR(__xludf.DUMMYFUNCTION("""COMPUTED_VALUE"""),9700000.0)</f>
        <v>9700000</v>
      </c>
      <c r="J4672" s="6">
        <f>IFERROR(__xludf.DUMMYFUNCTION("""COMPUTED_VALUE"""),1.94E7)</f>
        <v>19400000</v>
      </c>
      <c r="K4672" s="57">
        <f>IFERROR(__xludf.DUMMYFUNCTION("""COMPUTED_VALUE"""),46024.0)</f>
        <v>46024</v>
      </c>
      <c r="L4672" s="6" t="str">
        <f>IFERROR(__xludf.DUMMYFUNCTION("""COMPUTED_VALUE"""),"FIP Engineering")</f>
        <v>FIP Engineering</v>
      </c>
      <c r="M4672" s="6" t="str">
        <f>IFERROR(__xludf.DUMMYFUNCTION("""COMPUTED_VALUE"""),"Mochammad Fadhillah Hakim,")</f>
        <v>Mochammad Fadhillah Hakim,</v>
      </c>
      <c r="N4672" s="6" t="str">
        <f>IFERROR(__xludf.DUMMYFUNCTION("""COMPUTED_VALUE"""),"FIP Engineering")</f>
        <v>FIP Engineering</v>
      </c>
      <c r="O4672" s="6" t="str">
        <f>IFERROR(__xludf.DUMMYFUNCTION("""COMPUTED_VALUE"""),"FIP-DOM-000-11304-OS00001-INA-000000")</f>
        <v>FIP-DOM-000-11304-OS00001-INA-000000</v>
      </c>
      <c r="P4672" s="6" t="str">
        <f>IFERROR(__xludf.DUMMYFUNCTION("""COMPUTED_VALUE"""),"PO Closed")</f>
        <v>PO Closed</v>
      </c>
      <c r="Q4672" s="6" t="str">
        <f>IFERROR(__xludf.DUMMYFUNCTION("""COMPUTED_VALUE"""),"GL2512029")</f>
        <v>GL2512029</v>
      </c>
      <c r="R4672" s="57">
        <f>IFERROR(__xludf.DUMMYFUNCTION("""COMPUTED_VALUE"""),45993.0)</f>
        <v>45993</v>
      </c>
      <c r="S4672" s="57">
        <f>IFERROR(__xludf.DUMMYFUNCTION("""COMPUTED_VALUE"""),45993.0)</f>
        <v>45993</v>
      </c>
      <c r="T4672" s="57">
        <f>IFERROR(__xludf.DUMMYFUNCTION("""COMPUTED_VALUE"""),46024.0)</f>
        <v>46024</v>
      </c>
    </row>
    <row r="4673">
      <c r="A4673" s="6" t="str">
        <f>IFERROR(__xludf.DUMMYFUNCTION("""COMPUTED_VALUE"""),"121703558-1")</f>
        <v>121703558-1</v>
      </c>
      <c r="B4673" s="6" t="str">
        <f>IFERROR(__xludf.DUMMYFUNCTION("""COMPUTED_VALUE"""),"121703558 - APPROVED")</f>
        <v>121703558 - APPROVED</v>
      </c>
      <c r="C4673" s="6">
        <f>IFERROR(__xludf.DUMMYFUNCTION("""COMPUTED_VALUE"""),1.0)</f>
        <v>1</v>
      </c>
      <c r="D4673" s="6" t="str">
        <f>IFERROR(__xludf.DUMMYFUNCTION("""COMPUTED_VALUE"""),"P-20367-00")</f>
        <v>P-20367-00</v>
      </c>
      <c r="E4673" s="6" t="str">
        <f>IFERROR(__xludf.DUMMYFUNCTION("""COMPUTED_VALUE"""),"General - Oring 8 x 400 x 416mm NBR; Custom Trenade; -; 1 pc")</f>
        <v>General - Oring 8 x 400 x 416mm NBR; Custom Trenade; -; 1 pc</v>
      </c>
      <c r="F4673" s="6">
        <f>IFERROR(__xludf.DUMMYFUNCTION("""COMPUTED_VALUE"""),3.0)</f>
        <v>3</v>
      </c>
      <c r="G4673" s="6" t="str">
        <f>IFERROR(__xludf.DUMMYFUNCTION("""COMPUTED_VALUE"""),"Pieces")</f>
        <v>Pieces</v>
      </c>
      <c r="H4673" s="6" t="str">
        <f>IFERROR(__xludf.DUMMYFUNCTION("""COMPUTED_VALUE"""),"IDR")</f>
        <v>IDR</v>
      </c>
      <c r="I4673" s="6">
        <f>IFERROR(__xludf.DUMMYFUNCTION("""COMPUTED_VALUE"""),187500.0)</f>
        <v>187500</v>
      </c>
      <c r="J4673" s="6">
        <f>IFERROR(__xludf.DUMMYFUNCTION("""COMPUTED_VALUE"""),562500.0)</f>
        <v>562500</v>
      </c>
      <c r="K4673" s="57">
        <f>IFERROR(__xludf.DUMMYFUNCTION("""COMPUTED_VALUE"""),46024.0)</f>
        <v>46024</v>
      </c>
      <c r="L4673" s="6" t="str">
        <f>IFERROR(__xludf.DUMMYFUNCTION("""COMPUTED_VALUE"""),"FIP Engineering")</f>
        <v>FIP Engineering</v>
      </c>
      <c r="M4673" s="6" t="str">
        <f>IFERROR(__xludf.DUMMYFUNCTION("""COMPUTED_VALUE"""),"Mochammad Fadhillah Hakim,")</f>
        <v>Mochammad Fadhillah Hakim,</v>
      </c>
      <c r="N4673" s="6" t="str">
        <f>IFERROR(__xludf.DUMMYFUNCTION("""COMPUTED_VALUE"""),"FIP Engineering")</f>
        <v>FIP Engineering</v>
      </c>
      <c r="O4673" s="6" t="str">
        <f>IFERROR(__xludf.DUMMYFUNCTION("""COMPUTED_VALUE"""),"FIP-DOM-000-11304-OS00001-INA-000000")</f>
        <v>FIP-DOM-000-11304-OS00001-INA-000000</v>
      </c>
      <c r="P4673" s="6" t="str">
        <f>IFERROR(__xludf.DUMMYFUNCTION("""COMPUTED_VALUE"""),"PO Closed")</f>
        <v>PO Closed</v>
      </c>
      <c r="Q4673" s="6" t="str">
        <f>IFERROR(__xludf.DUMMYFUNCTION("""COMPUTED_VALUE"""),"GL2512031")</f>
        <v>GL2512031</v>
      </c>
      <c r="R4673" s="57">
        <f>IFERROR(__xludf.DUMMYFUNCTION("""COMPUTED_VALUE"""),45993.0)</f>
        <v>45993</v>
      </c>
      <c r="S4673" s="57">
        <f>IFERROR(__xludf.DUMMYFUNCTION("""COMPUTED_VALUE"""),45993.0)</f>
        <v>45993</v>
      </c>
      <c r="T4673" s="57">
        <f>IFERROR(__xludf.DUMMYFUNCTION("""COMPUTED_VALUE"""),46024.0)</f>
        <v>46024</v>
      </c>
    </row>
    <row r="4674">
      <c r="A4674" s="6" t="str">
        <f>IFERROR(__xludf.DUMMYFUNCTION("""COMPUTED_VALUE"""),"121703559-1")</f>
        <v>121703559-1</v>
      </c>
      <c r="B4674" s="6" t="str">
        <f>IFERROR(__xludf.DUMMYFUNCTION("""COMPUTED_VALUE"""),"121703559 - APPROVED")</f>
        <v>121703559 - APPROVED</v>
      </c>
      <c r="C4674" s="6">
        <f>IFERROR(__xludf.DUMMYFUNCTION("""COMPUTED_VALUE"""),1.0)</f>
        <v>1</v>
      </c>
      <c r="D4674" s="6" t="str">
        <f>IFERROR(__xludf.DUMMYFUNCTION("""COMPUTED_VALUE"""),"P-54468-00")</f>
        <v>P-54468-00</v>
      </c>
      <c r="E4674" s="6" t="str">
        <f>IFERROR(__xludf.DUMMYFUNCTION("""COMPUTED_VALUE"""),"General - Temperature Sensor Duct PT TMP 100K Ohm 4 inch; Siemens; 536-811; 1pc")</f>
        <v>General - Temperature Sensor Duct PT TMP 100K Ohm 4 inch; Siemens; 536-811; 1pc</v>
      </c>
      <c r="F4674" s="6">
        <f>IFERROR(__xludf.DUMMYFUNCTION("""COMPUTED_VALUE"""),4.0)</f>
        <v>4</v>
      </c>
      <c r="G4674" s="6" t="str">
        <f>IFERROR(__xludf.DUMMYFUNCTION("""COMPUTED_VALUE"""),"Pieces")</f>
        <v>Pieces</v>
      </c>
      <c r="H4674" s="6" t="str">
        <f>IFERROR(__xludf.DUMMYFUNCTION("""COMPUTED_VALUE"""),"IDR")</f>
        <v>IDR</v>
      </c>
      <c r="I4674" s="6">
        <f>IFERROR(__xludf.DUMMYFUNCTION("""COMPUTED_VALUE"""),720000.0)</f>
        <v>720000</v>
      </c>
      <c r="J4674" s="6">
        <f>IFERROR(__xludf.DUMMYFUNCTION("""COMPUTED_VALUE"""),2880000.0)</f>
        <v>2880000</v>
      </c>
      <c r="K4674" s="57">
        <f>IFERROR(__xludf.DUMMYFUNCTION("""COMPUTED_VALUE"""),46059.0)</f>
        <v>46059</v>
      </c>
      <c r="L4674" s="6" t="str">
        <f>IFERROR(__xludf.DUMMYFUNCTION("""COMPUTED_VALUE"""),"FIP Engineering")</f>
        <v>FIP Engineering</v>
      </c>
      <c r="M4674" s="6" t="str">
        <f>IFERROR(__xludf.DUMMYFUNCTION("""COMPUTED_VALUE"""),"Mochammad Fadhillah Hakim,")</f>
        <v>Mochammad Fadhillah Hakim,</v>
      </c>
      <c r="N4674" s="6" t="str">
        <f>IFERROR(__xludf.DUMMYFUNCTION("""COMPUTED_VALUE"""),"FIP Engineering")</f>
        <v>FIP Engineering</v>
      </c>
      <c r="O4674" s="6" t="str">
        <f>IFERROR(__xludf.DUMMYFUNCTION("""COMPUTED_VALUE"""),"FIP-DOM-000-11304-OS00001-INA-000000")</f>
        <v>FIP-DOM-000-11304-OS00001-INA-000000</v>
      </c>
      <c r="P4674" s="6" t="str">
        <f>IFERROR(__xludf.DUMMYFUNCTION("""COMPUTED_VALUE"""),"PO Closed")</f>
        <v>PO Closed</v>
      </c>
      <c r="Q4674" s="6" t="str">
        <f>IFERROR(__xludf.DUMMYFUNCTION("""COMPUTED_VALUE"""),"GL2512038")</f>
        <v>GL2512038</v>
      </c>
      <c r="R4674" s="57">
        <f>IFERROR(__xludf.DUMMYFUNCTION("""COMPUTED_VALUE"""),45993.0)</f>
        <v>45993</v>
      </c>
      <c r="S4674" s="57">
        <f>IFERROR(__xludf.DUMMYFUNCTION("""COMPUTED_VALUE"""),45995.0)</f>
        <v>45995</v>
      </c>
      <c r="T4674" s="57">
        <f>IFERROR(__xludf.DUMMYFUNCTION("""COMPUTED_VALUE"""),46073.0)</f>
        <v>46073</v>
      </c>
    </row>
    <row r="4675">
      <c r="A4675" s="6" t="str">
        <f>IFERROR(__xludf.DUMMYFUNCTION("""COMPUTED_VALUE"""),"121703573-1")</f>
        <v>121703573-1</v>
      </c>
      <c r="B4675" s="6" t="str">
        <f>IFERROR(__xludf.DUMMYFUNCTION("""COMPUTED_VALUE"""),"121703573 - APPROVED")</f>
        <v>121703573 - APPROVED</v>
      </c>
      <c r="C4675" s="6">
        <f>IFERROR(__xludf.DUMMYFUNCTION("""COMPUTED_VALUE"""),1.0)</f>
        <v>1</v>
      </c>
      <c r="D4675" s="6" t="str">
        <f>IFERROR(__xludf.DUMMYFUNCTION("""COMPUTED_VALUE"""),"O-18775-00")</f>
        <v>O-18775-00</v>
      </c>
      <c r="E4675" s="6" t="str">
        <f>IFERROR(__xludf.DUMMYFUNCTION("""COMPUTED_VALUE"""),"General - Round Bar SS 8 MM; ; ;; -; -; 1 Pc")</f>
        <v>General - Round Bar SS 8 MM; ; ;; -; -; 1 Pc</v>
      </c>
      <c r="F4675" s="6">
        <f>IFERROR(__xludf.DUMMYFUNCTION("""COMPUTED_VALUE"""),8.0)</f>
        <v>8</v>
      </c>
      <c r="G4675" s="6" t="str">
        <f>IFERROR(__xludf.DUMMYFUNCTION("""COMPUTED_VALUE"""),"Pieces")</f>
        <v>Pieces</v>
      </c>
      <c r="H4675" s="6" t="str">
        <f>IFERROR(__xludf.DUMMYFUNCTION("""COMPUTED_VALUE"""),"IDR")</f>
        <v>IDR</v>
      </c>
      <c r="I4675" s="6">
        <f>IFERROR(__xludf.DUMMYFUNCTION("""COMPUTED_VALUE"""),156000.0)</f>
        <v>156000</v>
      </c>
      <c r="J4675" s="6">
        <f>IFERROR(__xludf.DUMMYFUNCTION("""COMPUTED_VALUE"""),1248000.0)</f>
        <v>1248000</v>
      </c>
      <c r="K4675" s="57">
        <f>IFERROR(__xludf.DUMMYFUNCTION("""COMPUTED_VALUE"""),46013.0)</f>
        <v>46013</v>
      </c>
      <c r="L4675" s="6" t="str">
        <f>IFERROR(__xludf.DUMMYFUNCTION("""COMPUTED_VALUE"""),"FIP Engineering")</f>
        <v>FIP Engineering</v>
      </c>
      <c r="M4675" s="6" t="str">
        <f>IFERROR(__xludf.DUMMYFUNCTION("""COMPUTED_VALUE"""),"Mochammad Fadhillah Hakim,")</f>
        <v>Mochammad Fadhillah Hakim,</v>
      </c>
      <c r="N4675" s="6" t="str">
        <f>IFERROR(__xludf.DUMMYFUNCTION("""COMPUTED_VALUE"""),"FIP Engineering")</f>
        <v>FIP Engineering</v>
      </c>
      <c r="O4675" s="6" t="str">
        <f>IFERROR(__xludf.DUMMYFUNCTION("""COMPUTED_VALUE"""),"FIP-DOM-000-11304-OS00001-INA-000000")</f>
        <v>FIP-DOM-000-11304-OS00001-INA-000000</v>
      </c>
      <c r="P4675" s="6" t="str">
        <f>IFERROR(__xludf.DUMMYFUNCTION("""COMPUTED_VALUE"""),"PO Closed")</f>
        <v>PO Closed</v>
      </c>
      <c r="Q4675" s="6" t="str">
        <f>IFERROR(__xludf.DUMMYFUNCTION("""COMPUTED_VALUE"""),"GL2512051")</f>
        <v>GL2512051</v>
      </c>
      <c r="R4675" s="57">
        <f>IFERROR(__xludf.DUMMYFUNCTION("""COMPUTED_VALUE"""),45995.0)</f>
        <v>45995</v>
      </c>
      <c r="S4675" s="57">
        <f>IFERROR(__xludf.DUMMYFUNCTION("""COMPUTED_VALUE"""),46001.0)</f>
        <v>46001</v>
      </c>
      <c r="T4675" s="57">
        <f>IFERROR(__xludf.DUMMYFUNCTION("""COMPUTED_VALUE"""),46052.0)</f>
        <v>46052</v>
      </c>
    </row>
    <row r="4676">
      <c r="A4676" s="6" t="str">
        <f>IFERROR(__xludf.DUMMYFUNCTION("""COMPUTED_VALUE"""),"121703573-2")</f>
        <v>121703573-2</v>
      </c>
      <c r="B4676" s="6" t="str">
        <f>IFERROR(__xludf.DUMMYFUNCTION("""COMPUTED_VALUE"""),"121703573 - APPROVED")</f>
        <v>121703573 - APPROVED</v>
      </c>
      <c r="C4676" s="6">
        <f>IFERROR(__xludf.DUMMYFUNCTION("""COMPUTED_VALUE"""),2.0)</f>
        <v>2</v>
      </c>
      <c r="D4676" s="6" t="str">
        <f>IFERROR(__xludf.DUMMYFUNCTION("""COMPUTED_VALUE"""),"P-20368-00")</f>
        <v>P-20368-00</v>
      </c>
      <c r="E4676" s="6" t="str">
        <f>IFERROR(__xludf.DUMMYFUNCTION("""COMPUTED_VALUE"""),"General - Junction Box 220 x 150 x 75mm; No Brand; -; 1 pc")</f>
        <v>General - Junction Box 220 x 150 x 75mm; No Brand; -; 1 pc</v>
      </c>
      <c r="F4676" s="6">
        <f>IFERROR(__xludf.DUMMYFUNCTION("""COMPUTED_VALUE"""),5.0)</f>
        <v>5</v>
      </c>
      <c r="G4676" s="6" t="str">
        <f>IFERROR(__xludf.DUMMYFUNCTION("""COMPUTED_VALUE"""),"Pieces")</f>
        <v>Pieces</v>
      </c>
      <c r="H4676" s="6" t="str">
        <f>IFERROR(__xludf.DUMMYFUNCTION("""COMPUTED_VALUE"""),"IDR")</f>
        <v>IDR</v>
      </c>
      <c r="I4676" s="6">
        <f>IFERROR(__xludf.DUMMYFUNCTION("""COMPUTED_VALUE"""),44000.0)</f>
        <v>44000</v>
      </c>
      <c r="J4676" s="6">
        <f>IFERROR(__xludf.DUMMYFUNCTION("""COMPUTED_VALUE"""),220000.0)</f>
        <v>220000</v>
      </c>
      <c r="K4676" s="57">
        <f>IFERROR(__xludf.DUMMYFUNCTION("""COMPUTED_VALUE"""),46013.0)</f>
        <v>46013</v>
      </c>
      <c r="L4676" s="6" t="str">
        <f>IFERROR(__xludf.DUMMYFUNCTION("""COMPUTED_VALUE"""),"FIP Engineering")</f>
        <v>FIP Engineering</v>
      </c>
      <c r="M4676" s="6" t="str">
        <f>IFERROR(__xludf.DUMMYFUNCTION("""COMPUTED_VALUE"""),"Mochammad Fadhillah Hakim,")</f>
        <v>Mochammad Fadhillah Hakim,</v>
      </c>
      <c r="N4676" s="6" t="str">
        <f>IFERROR(__xludf.DUMMYFUNCTION("""COMPUTED_VALUE"""),"FIP Engineering")</f>
        <v>FIP Engineering</v>
      </c>
      <c r="O4676" s="6" t="str">
        <f>IFERROR(__xludf.DUMMYFUNCTION("""COMPUTED_VALUE"""),"FIP-DOM-000-11304-OS00001-INA-000000")</f>
        <v>FIP-DOM-000-11304-OS00001-INA-000000</v>
      </c>
      <c r="P4676" s="6" t="str">
        <f>IFERROR(__xludf.DUMMYFUNCTION("""COMPUTED_VALUE"""),"PO Closed")</f>
        <v>PO Closed</v>
      </c>
      <c r="Q4676" s="6" t="str">
        <f>IFERROR(__xludf.DUMMYFUNCTION("""COMPUTED_VALUE"""),"GL2512051")</f>
        <v>GL2512051</v>
      </c>
      <c r="R4676" s="57">
        <f>IFERROR(__xludf.DUMMYFUNCTION("""COMPUTED_VALUE"""),45995.0)</f>
        <v>45995</v>
      </c>
      <c r="S4676" s="57">
        <f>IFERROR(__xludf.DUMMYFUNCTION("""COMPUTED_VALUE"""),46001.0)</f>
        <v>46001</v>
      </c>
      <c r="T4676" s="57">
        <f>IFERROR(__xludf.DUMMYFUNCTION("""COMPUTED_VALUE"""),46052.0)</f>
        <v>46052</v>
      </c>
    </row>
    <row r="4677">
      <c r="A4677" s="6" t="str">
        <f>IFERROR(__xludf.DUMMYFUNCTION("""COMPUTED_VALUE"""),"121703573-3")</f>
        <v>121703573-3</v>
      </c>
      <c r="B4677" s="6" t="str">
        <f>IFERROR(__xludf.DUMMYFUNCTION("""COMPUTED_VALUE"""),"121703573 - APPROVED")</f>
        <v>121703573 - APPROVED</v>
      </c>
      <c r="C4677" s="6">
        <f>IFERROR(__xludf.DUMMYFUNCTION("""COMPUTED_VALUE"""),3.0)</f>
        <v>3</v>
      </c>
      <c r="D4677" s="6" t="str">
        <f>IFERROR(__xludf.DUMMYFUNCTION("""COMPUTED_VALUE"""),"P-20369-00")</f>
        <v>P-20369-00</v>
      </c>
      <c r="E4677" s="6" t="str">
        <f>IFERROR(__xludf.DUMMYFUNCTION("""COMPUTED_VALUE"""),"General - Terminal Viking Grounding 4mm; Legrand; -; 1 pc")</f>
        <v>General - Terminal Viking Grounding 4mm; Legrand; -; 1 pc</v>
      </c>
      <c r="F4677" s="6">
        <f>IFERROR(__xludf.DUMMYFUNCTION("""COMPUTED_VALUE"""),10.0)</f>
        <v>10</v>
      </c>
      <c r="G4677" s="6" t="str">
        <f>IFERROR(__xludf.DUMMYFUNCTION("""COMPUTED_VALUE"""),"Pieces")</f>
        <v>Pieces</v>
      </c>
      <c r="H4677" s="6" t="str">
        <f>IFERROR(__xludf.DUMMYFUNCTION("""COMPUTED_VALUE"""),"IDR")</f>
        <v>IDR</v>
      </c>
      <c r="I4677" s="6">
        <f>IFERROR(__xludf.DUMMYFUNCTION("""COMPUTED_VALUE"""),13500.0)</f>
        <v>13500</v>
      </c>
      <c r="J4677" s="6">
        <f>IFERROR(__xludf.DUMMYFUNCTION("""COMPUTED_VALUE"""),135000.0)</f>
        <v>135000</v>
      </c>
      <c r="K4677" s="57">
        <f>IFERROR(__xludf.DUMMYFUNCTION("""COMPUTED_VALUE"""),46013.0)</f>
        <v>46013</v>
      </c>
      <c r="L4677" s="6" t="str">
        <f>IFERROR(__xludf.DUMMYFUNCTION("""COMPUTED_VALUE"""),"FIP Engineering")</f>
        <v>FIP Engineering</v>
      </c>
      <c r="M4677" s="6" t="str">
        <f>IFERROR(__xludf.DUMMYFUNCTION("""COMPUTED_VALUE"""),"Mochammad Fadhillah Hakim,")</f>
        <v>Mochammad Fadhillah Hakim,</v>
      </c>
      <c r="N4677" s="6" t="str">
        <f>IFERROR(__xludf.DUMMYFUNCTION("""COMPUTED_VALUE"""),"FIP Engineering")</f>
        <v>FIP Engineering</v>
      </c>
      <c r="O4677" s="6" t="str">
        <f>IFERROR(__xludf.DUMMYFUNCTION("""COMPUTED_VALUE"""),"FIP-DOM-000-11304-OS00001-INA-000000")</f>
        <v>FIP-DOM-000-11304-OS00001-INA-000000</v>
      </c>
      <c r="P4677" s="6" t="str">
        <f>IFERROR(__xludf.DUMMYFUNCTION("""COMPUTED_VALUE"""),"PO Closed")</f>
        <v>PO Closed</v>
      </c>
      <c r="Q4677" s="6" t="str">
        <f>IFERROR(__xludf.DUMMYFUNCTION("""COMPUTED_VALUE"""),"GL2512051")</f>
        <v>GL2512051</v>
      </c>
      <c r="R4677" s="57">
        <f>IFERROR(__xludf.DUMMYFUNCTION("""COMPUTED_VALUE"""),45995.0)</f>
        <v>45995</v>
      </c>
      <c r="S4677" s="57">
        <f>IFERROR(__xludf.DUMMYFUNCTION("""COMPUTED_VALUE"""),46001.0)</f>
        <v>46001</v>
      </c>
      <c r="T4677" s="57">
        <f>IFERROR(__xludf.DUMMYFUNCTION("""COMPUTED_VALUE"""),46052.0)</f>
        <v>46052</v>
      </c>
    </row>
    <row r="4678">
      <c r="A4678" s="6" t="str">
        <f>IFERROR(__xludf.DUMMYFUNCTION("""COMPUTED_VALUE"""),"121703573-4")</f>
        <v>121703573-4</v>
      </c>
      <c r="B4678" s="6" t="str">
        <f>IFERROR(__xludf.DUMMYFUNCTION("""COMPUTED_VALUE"""),"121703573 - APPROVED")</f>
        <v>121703573 - APPROVED</v>
      </c>
      <c r="C4678" s="6">
        <f>IFERROR(__xludf.DUMMYFUNCTION("""COMPUTED_VALUE"""),4.0)</f>
        <v>4</v>
      </c>
      <c r="D4678" s="6" t="str">
        <f>IFERROR(__xludf.DUMMYFUNCTION("""COMPUTED_VALUE"""),"P-53262-00")</f>
        <v>P-53262-00</v>
      </c>
      <c r="E4678" s="6" t="str">
        <f>IFERROR(__xludf.DUMMYFUNCTION("""COMPUTED_VALUE"""),"General - Din Rail MCB; No Brand; -; 1 pc")</f>
        <v>General - Din Rail MCB; No Brand; -; 1 pc</v>
      </c>
      <c r="F4678" s="6">
        <f>IFERROR(__xludf.DUMMYFUNCTION("""COMPUTED_VALUE"""),2.0)</f>
        <v>2</v>
      </c>
      <c r="G4678" s="6" t="str">
        <f>IFERROR(__xludf.DUMMYFUNCTION("""COMPUTED_VALUE"""),"Pieces")</f>
        <v>Pieces</v>
      </c>
      <c r="H4678" s="6" t="str">
        <f>IFERROR(__xludf.DUMMYFUNCTION("""COMPUTED_VALUE"""),"IDR")</f>
        <v>IDR</v>
      </c>
      <c r="I4678" s="6">
        <f>IFERROR(__xludf.DUMMYFUNCTION("""COMPUTED_VALUE"""),62500.0)</f>
        <v>62500</v>
      </c>
      <c r="J4678" s="6">
        <f>IFERROR(__xludf.DUMMYFUNCTION("""COMPUTED_VALUE"""),125000.0)</f>
        <v>125000</v>
      </c>
      <c r="K4678" s="57">
        <f>IFERROR(__xludf.DUMMYFUNCTION("""COMPUTED_VALUE"""),46013.0)</f>
        <v>46013</v>
      </c>
      <c r="L4678" s="6" t="str">
        <f>IFERROR(__xludf.DUMMYFUNCTION("""COMPUTED_VALUE"""),"FIP General")</f>
        <v>FIP General</v>
      </c>
      <c r="M4678" s="6" t="str">
        <f>IFERROR(__xludf.DUMMYFUNCTION("""COMPUTED_VALUE"""),"Mochammad Fadhillah Hakim,")</f>
        <v>Mochammad Fadhillah Hakim,</v>
      </c>
      <c r="N4678" s="6" t="str">
        <f>IFERROR(__xludf.DUMMYFUNCTION("""COMPUTED_VALUE"""),"FIP Engineering")</f>
        <v>FIP Engineering</v>
      </c>
      <c r="O4678" s="6" t="str">
        <f>IFERROR(__xludf.DUMMYFUNCTION("""COMPUTED_VALUE"""),"FIP-DOM-ENG-51404-0000000-INA-000000")</f>
        <v>FIP-DOM-ENG-51404-0000000-INA-000000</v>
      </c>
      <c r="P4678" s="6" t="str">
        <f>IFERROR(__xludf.DUMMYFUNCTION("""COMPUTED_VALUE"""),"PO Closed")</f>
        <v>PO Closed</v>
      </c>
      <c r="Q4678" s="6" t="str">
        <f>IFERROR(__xludf.DUMMYFUNCTION("""COMPUTED_VALUE"""),"GL2512051")</f>
        <v>GL2512051</v>
      </c>
      <c r="R4678" s="57">
        <f>IFERROR(__xludf.DUMMYFUNCTION("""COMPUTED_VALUE"""),45995.0)</f>
        <v>45995</v>
      </c>
      <c r="S4678" s="57">
        <f>IFERROR(__xludf.DUMMYFUNCTION("""COMPUTED_VALUE"""),46001.0)</f>
        <v>46001</v>
      </c>
      <c r="T4678" s="57">
        <f>IFERROR(__xludf.DUMMYFUNCTION("""COMPUTED_VALUE"""),46052.0)</f>
        <v>46052</v>
      </c>
    </row>
    <row r="4679">
      <c r="A4679" s="6" t="str">
        <f>IFERROR(__xludf.DUMMYFUNCTION("""COMPUTED_VALUE"""),"121703573-5")</f>
        <v>121703573-5</v>
      </c>
      <c r="B4679" s="6" t="str">
        <f>IFERROR(__xludf.DUMMYFUNCTION("""COMPUTED_VALUE"""),"121703573 - APPROVED")</f>
        <v>121703573 - APPROVED</v>
      </c>
      <c r="C4679" s="6">
        <f>IFERROR(__xludf.DUMMYFUNCTION("""COMPUTED_VALUE"""),5.0)</f>
        <v>5</v>
      </c>
      <c r="D4679" s="6" t="str">
        <f>IFERROR(__xludf.DUMMYFUNCTION("""COMPUTED_VALUE"""),"P-53263-00")</f>
        <v>P-53263-00</v>
      </c>
      <c r="E4679" s="6" t="str">
        <f>IFERROR(__xludf.DUMMYFUNCTION("""COMPUTED_VALUE"""),"General - Terminal Block, 4 mm; No Brand; -; 1 pcs")</f>
        <v>General - Terminal Block, 4 mm; No Brand; -; 1 pcs</v>
      </c>
      <c r="F4679" s="6">
        <f>IFERROR(__xludf.DUMMYFUNCTION("""COMPUTED_VALUE"""),70.0)</f>
        <v>70</v>
      </c>
      <c r="G4679" s="6" t="str">
        <f>IFERROR(__xludf.DUMMYFUNCTION("""COMPUTED_VALUE"""),"Pieces")</f>
        <v>Pieces</v>
      </c>
      <c r="H4679" s="6" t="str">
        <f>IFERROR(__xludf.DUMMYFUNCTION("""COMPUTED_VALUE"""),"IDR")</f>
        <v>IDR</v>
      </c>
      <c r="I4679" s="6">
        <f>IFERROR(__xludf.DUMMYFUNCTION("""COMPUTED_VALUE"""),25000.0)</f>
        <v>25000</v>
      </c>
      <c r="J4679" s="6">
        <f>IFERROR(__xludf.DUMMYFUNCTION("""COMPUTED_VALUE"""),1750000.0)</f>
        <v>1750000</v>
      </c>
      <c r="K4679" s="57">
        <f>IFERROR(__xludf.DUMMYFUNCTION("""COMPUTED_VALUE"""),46013.0)</f>
        <v>46013</v>
      </c>
      <c r="L4679" s="6" t="str">
        <f>IFERROR(__xludf.DUMMYFUNCTION("""COMPUTED_VALUE"""),"FIP General")</f>
        <v>FIP General</v>
      </c>
      <c r="M4679" s="6" t="str">
        <f>IFERROR(__xludf.DUMMYFUNCTION("""COMPUTED_VALUE"""),"Mochammad Fadhillah Hakim,")</f>
        <v>Mochammad Fadhillah Hakim,</v>
      </c>
      <c r="N4679" s="6" t="str">
        <f>IFERROR(__xludf.DUMMYFUNCTION("""COMPUTED_VALUE"""),"FIP Engineering")</f>
        <v>FIP Engineering</v>
      </c>
      <c r="O4679" s="6" t="str">
        <f>IFERROR(__xludf.DUMMYFUNCTION("""COMPUTED_VALUE"""),"FIP-DOM-ENG-51404-0000000-INA-000000")</f>
        <v>FIP-DOM-ENG-51404-0000000-INA-000000</v>
      </c>
      <c r="P4679" s="6" t="str">
        <f>IFERROR(__xludf.DUMMYFUNCTION("""COMPUTED_VALUE"""),"PO Closed")</f>
        <v>PO Closed</v>
      </c>
      <c r="Q4679" s="6" t="str">
        <f>IFERROR(__xludf.DUMMYFUNCTION("""COMPUTED_VALUE"""),"GL2512051")</f>
        <v>GL2512051</v>
      </c>
      <c r="R4679" s="57">
        <f>IFERROR(__xludf.DUMMYFUNCTION("""COMPUTED_VALUE"""),45995.0)</f>
        <v>45995</v>
      </c>
      <c r="S4679" s="57">
        <f>IFERROR(__xludf.DUMMYFUNCTION("""COMPUTED_VALUE"""),46001.0)</f>
        <v>46001</v>
      </c>
      <c r="T4679" s="57">
        <f>IFERROR(__xludf.DUMMYFUNCTION("""COMPUTED_VALUE"""),46052.0)</f>
        <v>46052</v>
      </c>
    </row>
    <row r="4680">
      <c r="A4680" s="6" t="str">
        <f>IFERROR(__xludf.DUMMYFUNCTION("""COMPUTED_VALUE"""),"121703574-1")</f>
        <v>121703574-1</v>
      </c>
      <c r="B4680" s="6" t="str">
        <f>IFERROR(__xludf.DUMMYFUNCTION("""COMPUTED_VALUE"""),"121703574 - APPROVED")</f>
        <v>121703574 - APPROVED</v>
      </c>
      <c r="C4680" s="6">
        <f>IFERROR(__xludf.DUMMYFUNCTION("""COMPUTED_VALUE"""),1.0)</f>
        <v>1</v>
      </c>
      <c r="D4680" s="6" t="str">
        <f>IFERROR(__xludf.DUMMYFUNCTION("""COMPUTED_VALUE"""),"Q-10947-00")</f>
        <v>Q-10947-00</v>
      </c>
      <c r="E4680" s="6" t="str">
        <f>IFERROR(__xludf.DUMMYFUNCTION("""COMPUTED_VALUE"""),"Plastik Cor Bagunan;No Brand;;pack size per pcs - Per 10kg")</f>
        <v>Plastik Cor Bagunan;No Brand;;pack size per pcs - Per 10kg</v>
      </c>
      <c r="F4680" s="6">
        <f>IFERROR(__xludf.DUMMYFUNCTION("""COMPUTED_VALUE"""),8.0)</f>
        <v>8</v>
      </c>
      <c r="G4680" s="6" t="str">
        <f>IFERROR(__xludf.DUMMYFUNCTION("""COMPUTED_VALUE"""),"Pieces")</f>
        <v>Pieces</v>
      </c>
      <c r="H4680" s="6" t="str">
        <f>IFERROR(__xludf.DUMMYFUNCTION("""COMPUTED_VALUE"""),"IDR")</f>
        <v>IDR</v>
      </c>
      <c r="I4680" s="6">
        <f>IFERROR(__xludf.DUMMYFUNCTION("""COMPUTED_VALUE"""),210000.0)</f>
        <v>210000</v>
      </c>
      <c r="J4680" s="6">
        <f>IFERROR(__xludf.DUMMYFUNCTION("""COMPUTED_VALUE"""),1680000.0)</f>
        <v>1680000</v>
      </c>
      <c r="K4680" s="57">
        <f>IFERROR(__xludf.DUMMYFUNCTION("""COMPUTED_VALUE"""),46031.0)</f>
        <v>46031</v>
      </c>
      <c r="L4680" s="6" t="str">
        <f>IFERROR(__xludf.DUMMYFUNCTION("""COMPUTED_VALUE"""),"FIP General")</f>
        <v>FIP General</v>
      </c>
      <c r="M4680" s="6" t="str">
        <f>IFERROR(__xludf.DUMMYFUNCTION("""COMPUTED_VALUE"""),"Mochammad Fadhillah Hakim,")</f>
        <v>Mochammad Fadhillah Hakim,</v>
      </c>
      <c r="N4680" s="6" t="str">
        <f>IFERROR(__xludf.DUMMYFUNCTION("""COMPUTED_VALUE"""),"FIP Engineering")</f>
        <v>FIP Engineering</v>
      </c>
      <c r="O4680" s="6" t="str">
        <f>IFERROR(__xludf.DUMMYFUNCTION("""COMPUTED_VALUE"""),"FIP-DOM-ENG-51502-0000000-INA-000000")</f>
        <v>FIP-DOM-ENG-51502-0000000-INA-000000</v>
      </c>
      <c r="P4680" s="6" t="str">
        <f>IFERROR(__xludf.DUMMYFUNCTION("""COMPUTED_VALUE"""),"PO Closed")</f>
        <v>PO Closed</v>
      </c>
      <c r="Q4680" s="6" t="str">
        <f>IFERROR(__xludf.DUMMYFUNCTION("""COMPUTED_VALUE"""),"GL2512052")</f>
        <v>GL2512052</v>
      </c>
      <c r="R4680" s="57">
        <f>IFERROR(__xludf.DUMMYFUNCTION("""COMPUTED_VALUE"""),45995.0)</f>
        <v>45995</v>
      </c>
      <c r="S4680" s="57">
        <f>IFERROR(__xludf.DUMMYFUNCTION("""COMPUTED_VALUE"""),46008.0)</f>
        <v>46008</v>
      </c>
      <c r="T4680" s="57">
        <f>IFERROR(__xludf.DUMMYFUNCTION("""COMPUTED_VALUE"""),46037.0)</f>
        <v>46037</v>
      </c>
    </row>
    <row r="4681">
      <c r="A4681" s="6" t="str">
        <f>IFERROR(__xludf.DUMMYFUNCTION("""COMPUTED_VALUE"""),"121703584-1")</f>
        <v>121703584-1</v>
      </c>
      <c r="B4681" s="6" t="str">
        <f>IFERROR(__xludf.DUMMYFUNCTION("""COMPUTED_VALUE"""),"121703584 - APPROVED")</f>
        <v>121703584 - APPROVED</v>
      </c>
      <c r="C4681" s="6">
        <f>IFERROR(__xludf.DUMMYFUNCTION("""COMPUTED_VALUE"""),1.0)</f>
        <v>1</v>
      </c>
      <c r="D4681" s="6" t="str">
        <f>IFERROR(__xludf.DUMMYFUNCTION("""COMPUTED_VALUE"""),"R-20024-00")</f>
        <v>R-20024-00</v>
      </c>
      <c r="E4681" s="6" t="str">
        <f>IFERROR(__xludf.DUMMYFUNCTION("""COMPUTED_VALUE"""),"Machine Equipment; ; ; - Addtitional Project Pipa Utilitas - Addtitional Project Pipa Utilitas - Addtitional Project Pipa Utilitas - Addtitional Project Pipa Utilitas - Addtitional Project Pipa Utilitas - Addtitional Project Pipa Utilitas")</f>
        <v>Machine Equipment; ; ; - Addtitional Project Pipa Utilitas - Addtitional Project Pipa Utilitas - Addtitional Project Pipa Utilitas - Addtitional Project Pipa Utilitas - Addtitional Project Pipa Utilitas - Addtitional Project Pipa Utilitas</v>
      </c>
      <c r="F4681" s="6">
        <f>IFERROR(__xludf.DUMMYFUNCTION("""COMPUTED_VALUE"""),1.0)</f>
        <v>1</v>
      </c>
      <c r="G4681" s="6" t="str">
        <f>IFERROR(__xludf.DUMMYFUNCTION("""COMPUTED_VALUE"""),"Unit")</f>
        <v>Unit</v>
      </c>
      <c r="H4681" s="6" t="str">
        <f>IFERROR(__xludf.DUMMYFUNCTION("""COMPUTED_VALUE"""),"IDR")</f>
        <v>IDR</v>
      </c>
      <c r="I4681" s="6">
        <f>IFERROR(__xludf.DUMMYFUNCTION("""COMPUTED_VALUE"""),3.67023E7)</f>
        <v>36702300</v>
      </c>
      <c r="J4681" s="6">
        <f>IFERROR(__xludf.DUMMYFUNCTION("""COMPUTED_VALUE"""),3.67023E7)</f>
        <v>36702300</v>
      </c>
      <c r="K4681" s="57">
        <f>IFERROR(__xludf.DUMMYFUNCTION("""COMPUTED_VALUE"""),46020.0)</f>
        <v>46020</v>
      </c>
      <c r="L4681" s="6" t="str">
        <f>IFERROR(__xludf.DUMMYFUNCTION("""COMPUTED_VALUE"""),"FIP General")</f>
        <v>FIP General</v>
      </c>
      <c r="M4681" s="6" t="str">
        <f>IFERROR(__xludf.DUMMYFUNCTION("""COMPUTED_VALUE"""),"Mochammad Fadhillah Hakim,")</f>
        <v>Mochammad Fadhillah Hakim,</v>
      </c>
      <c r="N4681" s="6" t="str">
        <f>IFERROR(__xludf.DUMMYFUNCTION("""COMPUTED_VALUE"""),"FIP Engineering")</f>
        <v>FIP Engineering</v>
      </c>
      <c r="O4681" s="6" t="str">
        <f>IFERROR(__xludf.DUMMYFUNCTION("""COMPUTED_VALUE"""),"FIP-DOM-PRJ-13404-MC25005-INA-000000")</f>
        <v>FIP-DOM-PRJ-13404-MC25005-INA-000000</v>
      </c>
      <c r="P4681" s="6" t="str">
        <f>IFERROR(__xludf.DUMMYFUNCTION("""COMPUTED_VALUE"""),"PO Closed")</f>
        <v>PO Closed</v>
      </c>
      <c r="Q4681" s="6"/>
      <c r="R4681" s="57">
        <f>IFERROR(__xludf.DUMMYFUNCTION("""COMPUTED_VALUE"""),45997.0)</f>
        <v>45997</v>
      </c>
      <c r="S4681" s="57">
        <f>IFERROR(__xludf.DUMMYFUNCTION("""COMPUTED_VALUE"""),45999.0)</f>
        <v>45999</v>
      </c>
      <c r="T4681" s="6"/>
    </row>
    <row r="4682">
      <c r="A4682" s="6" t="str">
        <f>IFERROR(__xludf.DUMMYFUNCTION("""COMPUTED_VALUE"""),"121703588-1")</f>
        <v>121703588-1</v>
      </c>
      <c r="B4682" s="6" t="str">
        <f>IFERROR(__xludf.DUMMYFUNCTION("""COMPUTED_VALUE"""),"121703588 - APPROVED")</f>
        <v>121703588 - APPROVED</v>
      </c>
      <c r="C4682" s="6">
        <f>IFERROR(__xludf.DUMMYFUNCTION("""COMPUTED_VALUE"""),1.0)</f>
        <v>1</v>
      </c>
      <c r="D4682" s="6" t="str">
        <f>IFERROR(__xludf.DUMMYFUNCTION("""COMPUTED_VALUE"""),"T-80109-00")</f>
        <v>T-80109-00</v>
      </c>
      <c r="E4682" s="6" t="str">
        <f>IFERROR(__xludf.DUMMYFUNCTION("""COMPUTED_VALUE"""),"Cellotape / Lakban Kertas 1 inch warna Putih")</f>
        <v>Cellotape / Lakban Kertas 1 inch warna Putih</v>
      </c>
      <c r="F4682" s="6">
        <f>IFERROR(__xludf.DUMMYFUNCTION("""COMPUTED_VALUE"""),60.0)</f>
        <v>60</v>
      </c>
      <c r="G4682" s="6" t="str">
        <f>IFERROR(__xludf.DUMMYFUNCTION("""COMPUTED_VALUE"""),"Roll")</f>
        <v>Roll</v>
      </c>
      <c r="H4682" s="6" t="str">
        <f>IFERROR(__xludf.DUMMYFUNCTION("""COMPUTED_VALUE"""),"IDR")</f>
        <v>IDR</v>
      </c>
      <c r="I4682" s="6">
        <f>IFERROR(__xludf.DUMMYFUNCTION("""COMPUTED_VALUE"""),5500.0)</f>
        <v>5500</v>
      </c>
      <c r="J4682" s="6">
        <f>IFERROR(__xludf.DUMMYFUNCTION("""COMPUTED_VALUE"""),330000.0)</f>
        <v>330000</v>
      </c>
      <c r="K4682" s="57">
        <f>IFERROR(__xludf.DUMMYFUNCTION("""COMPUTED_VALUE"""),46031.0)</f>
        <v>46031</v>
      </c>
      <c r="L4682" s="6" t="str">
        <f>IFERROR(__xludf.DUMMYFUNCTION("""COMPUTED_VALUE"""),"FIP General")</f>
        <v>FIP General</v>
      </c>
      <c r="M4682" s="6" t="str">
        <f>IFERROR(__xludf.DUMMYFUNCTION("""COMPUTED_VALUE"""),"Mochammad Fadhillah Hakim,")</f>
        <v>Mochammad Fadhillah Hakim,</v>
      </c>
      <c r="N4682" s="6" t="str">
        <f>IFERROR(__xludf.DUMMYFUNCTION("""COMPUTED_VALUE"""),"FIP Engineering")</f>
        <v>FIP Engineering</v>
      </c>
      <c r="O4682" s="6" t="str">
        <f>IFERROR(__xludf.DUMMYFUNCTION("""COMPUTED_VALUE"""),"FIP-DOM-ENG-51411-0000000-INA-000000")</f>
        <v>FIP-DOM-ENG-51411-0000000-INA-000000</v>
      </c>
      <c r="P4682" s="6" t="str">
        <f>IFERROR(__xludf.DUMMYFUNCTION("""COMPUTED_VALUE"""),"PO Closed")</f>
        <v>PO Closed</v>
      </c>
      <c r="Q4682" s="6" t="str">
        <f>IFERROR(__xludf.DUMMYFUNCTION("""COMPUTED_VALUE"""),"GL2601352")</f>
        <v>GL2601352</v>
      </c>
      <c r="R4682" s="57">
        <f>IFERROR(__xludf.DUMMYFUNCTION("""COMPUTED_VALUE"""),46000.0)</f>
        <v>46000</v>
      </c>
      <c r="S4682" s="57">
        <f>IFERROR(__xludf.DUMMYFUNCTION("""COMPUTED_VALUE"""),46001.0)</f>
        <v>46001</v>
      </c>
      <c r="T4682" s="57">
        <f>IFERROR(__xludf.DUMMYFUNCTION("""COMPUTED_VALUE"""),46052.0)</f>
        <v>46052</v>
      </c>
    </row>
    <row r="4683">
      <c r="A4683" s="6" t="str">
        <f>IFERROR(__xludf.DUMMYFUNCTION("""COMPUTED_VALUE"""),"121703588-2")</f>
        <v>121703588-2</v>
      </c>
      <c r="B4683" s="6" t="str">
        <f>IFERROR(__xludf.DUMMYFUNCTION("""COMPUTED_VALUE"""),"121703588 - APPROVED")</f>
        <v>121703588 - APPROVED</v>
      </c>
      <c r="C4683" s="6">
        <f>IFERROR(__xludf.DUMMYFUNCTION("""COMPUTED_VALUE"""),2.0)</f>
        <v>2</v>
      </c>
      <c r="D4683" s="6" t="str">
        <f>IFERROR(__xludf.DUMMYFUNCTION("""COMPUTED_VALUE"""),"T-80109-00")</f>
        <v>T-80109-00</v>
      </c>
      <c r="E4683" s="6" t="str">
        <f>IFERROR(__xludf.DUMMYFUNCTION("""COMPUTED_VALUE"""),"Cellotape / Lakban Kertas 1 inch warna Putih")</f>
        <v>Cellotape / Lakban Kertas 1 inch warna Putih</v>
      </c>
      <c r="F4683" s="6">
        <f>IFERROR(__xludf.DUMMYFUNCTION("""COMPUTED_VALUE"""),60.0)</f>
        <v>60</v>
      </c>
      <c r="G4683" s="6" t="str">
        <f>IFERROR(__xludf.DUMMYFUNCTION("""COMPUTED_VALUE"""),"Roll")</f>
        <v>Roll</v>
      </c>
      <c r="H4683" s="6" t="str">
        <f>IFERROR(__xludf.DUMMYFUNCTION("""COMPUTED_VALUE"""),"IDR")</f>
        <v>IDR</v>
      </c>
      <c r="I4683" s="6">
        <f>IFERROR(__xludf.DUMMYFUNCTION("""COMPUTED_VALUE"""),5500.0)</f>
        <v>5500</v>
      </c>
      <c r="J4683" s="6">
        <f>IFERROR(__xludf.DUMMYFUNCTION("""COMPUTED_VALUE"""),330000.0)</f>
        <v>330000</v>
      </c>
      <c r="K4683" s="57">
        <f>IFERROR(__xludf.DUMMYFUNCTION("""COMPUTED_VALUE"""),46122.0)</f>
        <v>46122</v>
      </c>
      <c r="L4683" s="6" t="str">
        <f>IFERROR(__xludf.DUMMYFUNCTION("""COMPUTED_VALUE"""),"FIP General")</f>
        <v>FIP General</v>
      </c>
      <c r="M4683" s="6" t="str">
        <f>IFERROR(__xludf.DUMMYFUNCTION("""COMPUTED_VALUE"""),"Mochammad Fadhillah Hakim,")</f>
        <v>Mochammad Fadhillah Hakim,</v>
      </c>
      <c r="N4683" s="6" t="str">
        <f>IFERROR(__xludf.DUMMYFUNCTION("""COMPUTED_VALUE"""),"FIP Engineering")</f>
        <v>FIP Engineering</v>
      </c>
      <c r="O4683" s="6" t="str">
        <f>IFERROR(__xludf.DUMMYFUNCTION("""COMPUTED_VALUE"""),"FIP-DOM-ENG-51411-0000000-INA-000000")</f>
        <v>FIP-DOM-ENG-51411-0000000-INA-000000</v>
      </c>
      <c r="P4683" s="6" t="str">
        <f>IFERROR(__xludf.DUMMYFUNCTION("""COMPUTED_VALUE"""),"PO Closed")</f>
        <v>PO Closed</v>
      </c>
      <c r="Q4683" s="6" t="str">
        <f>IFERROR(__xludf.DUMMYFUNCTION("""COMPUTED_VALUE"""),"GL2602012")</f>
        <v>GL2602012</v>
      </c>
      <c r="R4683" s="57">
        <f>IFERROR(__xludf.DUMMYFUNCTION("""COMPUTED_VALUE"""),46000.0)</f>
        <v>46000</v>
      </c>
      <c r="S4683" s="57">
        <f>IFERROR(__xludf.DUMMYFUNCTION("""COMPUTED_VALUE"""),46001.0)</f>
        <v>46001</v>
      </c>
      <c r="T4683" s="57">
        <f>IFERROR(__xludf.DUMMYFUNCTION("""COMPUTED_VALUE"""),46122.0)</f>
        <v>46122</v>
      </c>
    </row>
    <row r="4684">
      <c r="A4684" s="6" t="str">
        <f>IFERROR(__xludf.DUMMYFUNCTION("""COMPUTED_VALUE"""),"121703596-1")</f>
        <v>121703596-1</v>
      </c>
      <c r="B4684" s="6" t="str">
        <f>IFERROR(__xludf.DUMMYFUNCTION("""COMPUTED_VALUE"""),"121703596 - APPROVED")</f>
        <v>121703596 - APPROVED</v>
      </c>
      <c r="C4684" s="6">
        <f>IFERROR(__xludf.DUMMYFUNCTION("""COMPUTED_VALUE"""),1.0)</f>
        <v>1</v>
      </c>
      <c r="D4684" s="6" t="str">
        <f>IFERROR(__xludf.DUMMYFUNCTION("""COMPUTED_VALUE"""),"P-54446-00")</f>
        <v>P-54446-00</v>
      </c>
      <c r="E4684" s="6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F4684" s="6">
        <f>IFERROR(__xludf.DUMMYFUNCTION("""COMPUTED_VALUE"""),1.0)</f>
        <v>1</v>
      </c>
      <c r="G4684" s="6" t="str">
        <f>IFERROR(__xludf.DUMMYFUNCTION("""COMPUTED_VALUE"""),"Pieces")</f>
        <v>Pieces</v>
      </c>
      <c r="H4684" s="6" t="str">
        <f>IFERROR(__xludf.DUMMYFUNCTION("""COMPUTED_VALUE"""),"IDR")</f>
        <v>IDR</v>
      </c>
      <c r="I4684" s="6">
        <f>IFERROR(__xludf.DUMMYFUNCTION("""COMPUTED_VALUE"""),8500000.0)</f>
        <v>8500000</v>
      </c>
      <c r="J4684" s="6">
        <f>IFERROR(__xludf.DUMMYFUNCTION("""COMPUTED_VALUE"""),8500000.0)</f>
        <v>8500000</v>
      </c>
      <c r="K4684" s="57">
        <f>IFERROR(__xludf.DUMMYFUNCTION("""COMPUTED_VALUE"""),46038.0)</f>
        <v>46038</v>
      </c>
      <c r="L4684" s="6" t="str">
        <f>IFERROR(__xludf.DUMMYFUNCTION("""COMPUTED_VALUE"""),"FIP Engineering")</f>
        <v>FIP Engineering</v>
      </c>
      <c r="M4684" s="6" t="str">
        <f>IFERROR(__xludf.DUMMYFUNCTION("""COMPUTED_VALUE"""),"Mochammad Fadhillah Hakim,")</f>
        <v>Mochammad Fadhillah Hakim,</v>
      </c>
      <c r="N4684" s="6" t="str">
        <f>IFERROR(__xludf.DUMMYFUNCTION("""COMPUTED_VALUE"""),"FIP Engineering")</f>
        <v>FIP Engineering</v>
      </c>
      <c r="O4684" s="6" t="str">
        <f>IFERROR(__xludf.DUMMYFUNCTION("""COMPUTED_VALUE"""),"FIP-DOM-000-11304-OS00001-INA-000000")</f>
        <v>FIP-DOM-000-11304-OS00001-INA-000000</v>
      </c>
      <c r="P4684" s="6" t="str">
        <f>IFERROR(__xludf.DUMMYFUNCTION("""COMPUTED_VALUE"""),"PO Closed")</f>
        <v>PO Closed</v>
      </c>
      <c r="Q4684" s="6" t="str">
        <f>IFERROR(__xludf.DUMMYFUNCTION("""COMPUTED_VALUE"""),"GL2512054")</f>
        <v>GL2512054</v>
      </c>
      <c r="R4684" s="57">
        <f>IFERROR(__xludf.DUMMYFUNCTION("""COMPUTED_VALUE"""),46003.0)</f>
        <v>46003</v>
      </c>
      <c r="S4684" s="57">
        <f>IFERROR(__xludf.DUMMYFUNCTION("""COMPUTED_VALUE"""),46007.0)</f>
        <v>46007</v>
      </c>
      <c r="T4684" s="57">
        <f>IFERROR(__xludf.DUMMYFUNCTION("""COMPUTED_VALUE"""),46042.0)</f>
        <v>46042</v>
      </c>
    </row>
    <row r="4685">
      <c r="A4685" s="6" t="str">
        <f>IFERROR(__xludf.DUMMYFUNCTION("""COMPUTED_VALUE"""),"121703597-1")</f>
        <v>121703597-1</v>
      </c>
      <c r="B4685" s="6" t="str">
        <f>IFERROR(__xludf.DUMMYFUNCTION("""COMPUTED_VALUE"""),"121703597 - APPROVED")</f>
        <v>121703597 - APPROVED</v>
      </c>
      <c r="C4685" s="6">
        <f>IFERROR(__xludf.DUMMYFUNCTION("""COMPUTED_VALUE"""),1.0)</f>
        <v>1</v>
      </c>
      <c r="D4685" s="6" t="str">
        <f>IFERROR(__xludf.DUMMYFUNCTION("""COMPUTED_VALUE"""),"R-21013-00")</f>
        <v>R-21013-00</v>
      </c>
      <c r="E4685" s="6" t="str">
        <f>IFERROR(__xludf.DUMMYFUNCTION("""COMPUTED_VALUE"""),"Utility Equipment; ; ; - VORTEX FLOWMETER, REMOTE TYPE DISPLAY, CABLE LENGTH 20M CONN FLANGE PN16 DN80, OUTPUT 4-20MA +RS485, PWR 24 VDC, SS304, EX PROOF, SPV NO: VOFT80S32R1D - VORTEX FLOWMETER, REMOTE TYPE DISPLAY, CABLE LENGTH 20M CONN F")</f>
        <v>Utility Equipment; ; ; - VORTEX FLOWMETER, REMOTE TYPE DISPLAY, CABLE LENGTH 20M CONN FLANGE PN16 DN80, OUTPUT 4-20MA +RS485, PWR 24 VDC, SS304, EX PROOF, SPV NO: VOFT80S32R1D - VORTEX FLOWMETER, REMOTE TYPE DISPLAY, CABLE LENGTH 20M CONN F</v>
      </c>
      <c r="F4685" s="6">
        <f>IFERROR(__xludf.DUMMYFUNCTION("""COMPUTED_VALUE"""),1.0)</f>
        <v>1</v>
      </c>
      <c r="G4685" s="6" t="str">
        <f>IFERROR(__xludf.DUMMYFUNCTION("""COMPUTED_VALUE"""),"Unit")</f>
        <v>Unit</v>
      </c>
      <c r="H4685" s="6" t="str">
        <f>IFERROR(__xludf.DUMMYFUNCTION("""COMPUTED_VALUE"""),"IDR")</f>
        <v>IDR</v>
      </c>
      <c r="I4685" s="6">
        <f>IFERROR(__xludf.DUMMYFUNCTION("""COMPUTED_VALUE"""),4.8549578E7)</f>
        <v>48549578</v>
      </c>
      <c r="J4685" s="6">
        <f>IFERROR(__xludf.DUMMYFUNCTION("""COMPUTED_VALUE"""),4.8549578E7)</f>
        <v>48549578</v>
      </c>
      <c r="K4685" s="57">
        <f>IFERROR(__xludf.DUMMYFUNCTION("""COMPUTED_VALUE"""),46017.0)</f>
        <v>46017</v>
      </c>
      <c r="L4685" s="6" t="str">
        <f>IFERROR(__xludf.DUMMYFUNCTION("""COMPUTED_VALUE"""),"FIP General")</f>
        <v>FIP General</v>
      </c>
      <c r="M4685" s="6" t="str">
        <f>IFERROR(__xludf.DUMMYFUNCTION("""COMPUTED_VALUE"""),"Mochammad Fadhillah Hakim,")</f>
        <v>Mochammad Fadhillah Hakim,</v>
      </c>
      <c r="N4685" s="6" t="str">
        <f>IFERROR(__xludf.DUMMYFUNCTION("""COMPUTED_VALUE"""),"FIP Engineering")</f>
        <v>FIP Engineering</v>
      </c>
      <c r="O4685" s="6" t="str">
        <f>IFERROR(__xludf.DUMMYFUNCTION("""COMPUTED_VALUE"""),"FIP-DOM-ENG-13405-EQ25023-INA-000000")</f>
        <v>FIP-DOM-ENG-13405-EQ25023-INA-000000</v>
      </c>
      <c r="P4685" s="6" t="str">
        <f>IFERROR(__xludf.DUMMYFUNCTION("""COMPUTED_VALUE"""),"PO Closed")</f>
        <v>PO Closed</v>
      </c>
      <c r="Q4685" s="6" t="str">
        <f>IFERROR(__xludf.DUMMYFUNCTION("""COMPUTED_VALUE"""),"GL2602010")</f>
        <v>GL2602010</v>
      </c>
      <c r="R4685" s="57">
        <f>IFERROR(__xludf.DUMMYFUNCTION("""COMPUTED_VALUE"""),46003.0)</f>
        <v>46003</v>
      </c>
      <c r="S4685" s="57">
        <f>IFERROR(__xludf.DUMMYFUNCTION("""COMPUTED_VALUE"""),46007.0)</f>
        <v>46007</v>
      </c>
      <c r="T4685" s="57">
        <f>IFERROR(__xludf.DUMMYFUNCTION("""COMPUTED_VALUE"""),45773.0)</f>
        <v>45773</v>
      </c>
    </row>
    <row r="4686">
      <c r="A4686" s="6" t="str">
        <f>IFERROR(__xludf.DUMMYFUNCTION("""COMPUTED_VALUE"""),"121703600-1")</f>
        <v>121703600-1</v>
      </c>
      <c r="B4686" s="6" t="str">
        <f>IFERROR(__xludf.DUMMYFUNCTION("""COMPUTED_VALUE"""),"121703600 - APPROVED")</f>
        <v>121703600 - APPROVED</v>
      </c>
      <c r="C4686" s="6">
        <f>IFERROR(__xludf.DUMMYFUNCTION("""COMPUTED_VALUE"""),1.0)</f>
        <v>1</v>
      </c>
      <c r="D4686" s="6" t="str">
        <f>IFERROR(__xludf.DUMMYFUNCTION("""COMPUTED_VALUE"""),"R-21013-00")</f>
        <v>R-21013-00</v>
      </c>
      <c r="E4686" s="6" t="str">
        <f>IFERROR(__xludf.DUMMYFUNCTION("""COMPUTED_VALUE"""),"Utility Equipment; ; ; - FLOWMETER ULTRASONIC, MODEL MUF-2000 SERIES, WALL MOUNTED, CLAMP ON, MIDDLE SIZE DN50-700,10 MT CABLE, OUTPUT PULSE+4-20MA+RS485, COMPLETE PACKAGE")</f>
        <v>Utility Equipment; ; ; - FLOWMETER ULTRASONIC, MODEL MUF-2000 SERIES, WALL MOUNTED, CLAMP ON, MIDDLE SIZE DN50-700,10 MT CABLE, OUTPUT PULSE+4-20MA+RS485, COMPLETE PACKAGE</v>
      </c>
      <c r="F4686" s="6">
        <f>IFERROR(__xludf.DUMMYFUNCTION("""COMPUTED_VALUE"""),1.0)</f>
        <v>1</v>
      </c>
      <c r="G4686" s="6" t="str">
        <f>IFERROR(__xludf.DUMMYFUNCTION("""COMPUTED_VALUE"""),"Unit")</f>
        <v>Unit</v>
      </c>
      <c r="H4686" s="6" t="str">
        <f>IFERROR(__xludf.DUMMYFUNCTION("""COMPUTED_VALUE"""),"IDR")</f>
        <v>IDR</v>
      </c>
      <c r="I4686" s="6">
        <f>IFERROR(__xludf.DUMMYFUNCTION("""COMPUTED_VALUE"""),2.384525E7)</f>
        <v>23845250</v>
      </c>
      <c r="J4686" s="6">
        <f>IFERROR(__xludf.DUMMYFUNCTION("""COMPUTED_VALUE"""),2.384525E7)</f>
        <v>23845250</v>
      </c>
      <c r="K4686" s="57">
        <f>IFERROR(__xludf.DUMMYFUNCTION("""COMPUTED_VALUE"""),46017.0)</f>
        <v>46017</v>
      </c>
      <c r="L4686" s="6" t="str">
        <f>IFERROR(__xludf.DUMMYFUNCTION("""COMPUTED_VALUE"""),"FIP General")</f>
        <v>FIP General</v>
      </c>
      <c r="M4686" s="6" t="str">
        <f>IFERROR(__xludf.DUMMYFUNCTION("""COMPUTED_VALUE"""),"Mochammad Fadhillah Hakim,")</f>
        <v>Mochammad Fadhillah Hakim,</v>
      </c>
      <c r="N4686" s="6" t="str">
        <f>IFERROR(__xludf.DUMMYFUNCTION("""COMPUTED_VALUE"""),"FIP Engineering")</f>
        <v>FIP Engineering</v>
      </c>
      <c r="O4686" s="6" t="str">
        <f>IFERROR(__xludf.DUMMYFUNCTION("""COMPUTED_VALUE"""),"FIP-DOM-ENG-13405-EQ25004-INA-000000")</f>
        <v>FIP-DOM-ENG-13405-EQ25004-INA-000000</v>
      </c>
      <c r="P4686" s="6" t="str">
        <f>IFERROR(__xludf.DUMMYFUNCTION("""COMPUTED_VALUE"""),"PO Closed")</f>
        <v>PO Closed</v>
      </c>
      <c r="Q4686" s="6" t="str">
        <f>IFERROR(__xludf.DUMMYFUNCTION("""COMPUTED_VALUE"""),"GL2602010")</f>
        <v>GL2602010</v>
      </c>
      <c r="R4686" s="57">
        <f>IFERROR(__xludf.DUMMYFUNCTION("""COMPUTED_VALUE"""),46006.0)</f>
        <v>46006</v>
      </c>
      <c r="S4686" s="57">
        <f>IFERROR(__xludf.DUMMYFUNCTION("""COMPUTED_VALUE"""),46007.0)</f>
        <v>46007</v>
      </c>
      <c r="T4686" s="57">
        <f>IFERROR(__xludf.DUMMYFUNCTION("""COMPUTED_VALUE"""),46173.0)</f>
        <v>46173</v>
      </c>
    </row>
    <row r="4687">
      <c r="A4687" s="6" t="str">
        <f>IFERROR(__xludf.DUMMYFUNCTION("""COMPUTED_VALUE"""),"121703607-1")</f>
        <v>121703607-1</v>
      </c>
      <c r="B4687" s="6" t="str">
        <f>IFERROR(__xludf.DUMMYFUNCTION("""COMPUTED_VALUE"""),"121703607 - APPROVED")</f>
        <v>121703607 - APPROVED</v>
      </c>
      <c r="C4687" s="6">
        <f>IFERROR(__xludf.DUMMYFUNCTION("""COMPUTED_VALUE"""),1.0)</f>
        <v>1</v>
      </c>
      <c r="D4687" s="6" t="str">
        <f>IFERROR(__xludf.DUMMYFUNCTION("""COMPUTED_VALUE"""),"T-20860-00")</f>
        <v>T-20860-00</v>
      </c>
      <c r="E4687" s="6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F4687" s="6">
        <f>IFERROR(__xludf.DUMMYFUNCTION("""COMPUTED_VALUE"""),1.0)</f>
        <v>1</v>
      </c>
      <c r="G4687" s="6" t="str">
        <f>IFERROR(__xludf.DUMMYFUNCTION("""COMPUTED_VALUE"""),"Pack")</f>
        <v>Pack</v>
      </c>
      <c r="H4687" s="6" t="str">
        <f>IFERROR(__xludf.DUMMYFUNCTION("""COMPUTED_VALUE"""),"IDR")</f>
        <v>IDR</v>
      </c>
      <c r="I4687" s="6">
        <f>IFERROR(__xludf.DUMMYFUNCTION("""COMPUTED_VALUE"""),5968000.0)</f>
        <v>5968000</v>
      </c>
      <c r="J4687" s="6">
        <f>IFERROR(__xludf.DUMMYFUNCTION("""COMPUTED_VALUE"""),5968000.0)</f>
        <v>5968000</v>
      </c>
      <c r="K4687" s="57">
        <f>IFERROR(__xludf.DUMMYFUNCTION("""COMPUTED_VALUE"""),46038.0)</f>
        <v>46038</v>
      </c>
      <c r="L4687" s="6" t="str">
        <f>IFERROR(__xludf.DUMMYFUNCTION("""COMPUTED_VALUE"""),"FIP General")</f>
        <v>FIP General</v>
      </c>
      <c r="M4687" s="6" t="str">
        <f>IFERROR(__xludf.DUMMYFUNCTION("""COMPUTED_VALUE"""),"Mochammad Fadhillah Hakim,")</f>
        <v>Mochammad Fadhillah Hakim,</v>
      </c>
      <c r="N4687" s="6" t="str">
        <f>IFERROR(__xludf.DUMMYFUNCTION("""COMPUTED_VALUE"""),"FIP Engineering")</f>
        <v>FIP Engineering</v>
      </c>
      <c r="O4687" s="6" t="str">
        <f>IFERROR(__xludf.DUMMYFUNCTION("""COMPUTED_VALUE"""),"FIP-DOM-ENG-51505-0000000-INA-000000")</f>
        <v>FIP-DOM-ENG-51505-0000000-INA-000000</v>
      </c>
      <c r="P4687" s="6" t="str">
        <f>IFERROR(__xludf.DUMMYFUNCTION("""COMPUTED_VALUE"""),"PO Closed")</f>
        <v>PO Closed</v>
      </c>
      <c r="Q4687" s="6" t="str">
        <f>IFERROR(__xludf.DUMMYFUNCTION("""COMPUTED_VALUE"""),"GL2512338")</f>
        <v>GL2512338</v>
      </c>
      <c r="R4687" s="57">
        <f>IFERROR(__xludf.DUMMYFUNCTION("""COMPUTED_VALUE"""),46007.0)</f>
        <v>46007</v>
      </c>
      <c r="S4687" s="57">
        <f>IFERROR(__xludf.DUMMYFUNCTION("""COMPUTED_VALUE"""),46009.0)</f>
        <v>46009</v>
      </c>
      <c r="T4687" s="57">
        <f>IFERROR(__xludf.DUMMYFUNCTION("""COMPUTED_VALUE"""),46062.0)</f>
        <v>46062</v>
      </c>
    </row>
    <row r="4688">
      <c r="A4688" s="6" t="str">
        <f>IFERROR(__xludf.DUMMYFUNCTION("""COMPUTED_VALUE"""),"121703608-2")</f>
        <v>121703608-2</v>
      </c>
      <c r="B4688" s="6" t="str">
        <f>IFERROR(__xludf.DUMMYFUNCTION("""COMPUTED_VALUE"""),"121703608 - APPROVED")</f>
        <v>121703608 - APPROVED</v>
      </c>
      <c r="C4688" s="6">
        <f>IFERROR(__xludf.DUMMYFUNCTION("""COMPUTED_VALUE"""),2.0)</f>
        <v>2</v>
      </c>
      <c r="D4688" s="6" t="str">
        <f>IFERROR(__xludf.DUMMYFUNCTION("""COMPUTED_VALUE"""),"S-62005-00")</f>
        <v>S-62005-00</v>
      </c>
      <c r="E4688" s="6" t="str">
        <f>IFERROR(__xludf.DUMMYFUNCTION("""COMPUTED_VALUE"""),"Gas Oksigen (O2) ; 6 M3; Refill; Industrial Grade; Purity ? 99.95%")</f>
        <v>Gas Oksigen (O2) ; 6 M3; Refill; Industrial Grade; Purity ? 99.95%</v>
      </c>
      <c r="F4688" s="6">
        <f>IFERROR(__xludf.DUMMYFUNCTION("""COMPUTED_VALUE"""),1.0)</f>
        <v>1</v>
      </c>
      <c r="G4688" s="6" t="str">
        <f>IFERROR(__xludf.DUMMYFUNCTION("""COMPUTED_VALUE"""),"Tube")</f>
        <v>Tube</v>
      </c>
      <c r="H4688" s="6" t="str">
        <f>IFERROR(__xludf.DUMMYFUNCTION("""COMPUTED_VALUE"""),"IDR")</f>
        <v>IDR</v>
      </c>
      <c r="I4688" s="6">
        <f>IFERROR(__xludf.DUMMYFUNCTION("""COMPUTED_VALUE"""),40000.0)</f>
        <v>40000</v>
      </c>
      <c r="J4688" s="6">
        <f>IFERROR(__xludf.DUMMYFUNCTION("""COMPUTED_VALUE"""),40000.0)</f>
        <v>40000</v>
      </c>
      <c r="K4688" s="57">
        <f>IFERROR(__xludf.DUMMYFUNCTION("""COMPUTED_VALUE"""),46017.0)</f>
        <v>46017</v>
      </c>
      <c r="L4688" s="6" t="str">
        <f>IFERROR(__xludf.DUMMYFUNCTION("""COMPUTED_VALUE"""),"FIP General")</f>
        <v>FIP General</v>
      </c>
      <c r="M4688" s="6" t="str">
        <f>IFERROR(__xludf.DUMMYFUNCTION("""COMPUTED_VALUE"""),"Mochammad Fadhillah Hakim,")</f>
        <v>Mochammad Fadhillah Hakim,</v>
      </c>
      <c r="N4688" s="6" t="str">
        <f>IFERROR(__xludf.DUMMYFUNCTION("""COMPUTED_VALUE"""),"FIP Engineering")</f>
        <v>FIP Engineering</v>
      </c>
      <c r="O4688" s="6" t="str">
        <f>IFERROR(__xludf.DUMMYFUNCTION("""COMPUTED_VALUE"""),"FIP-DOM-ENG-51504-0000000-INA-000000")</f>
        <v>FIP-DOM-ENG-51504-0000000-INA-000000</v>
      </c>
      <c r="P4688" s="6" t="str">
        <f>IFERROR(__xludf.DUMMYFUNCTION("""COMPUTED_VALUE"""),"PO Closed")</f>
        <v>PO Closed</v>
      </c>
      <c r="Q4688" s="6" t="str">
        <f>IFERROR(__xludf.DUMMYFUNCTION("""COMPUTED_VALUE"""),"GL2512339")</f>
        <v>GL2512339</v>
      </c>
      <c r="R4688" s="57">
        <f>IFERROR(__xludf.DUMMYFUNCTION("""COMPUTED_VALUE"""),46007.0)</f>
        <v>46007</v>
      </c>
      <c r="S4688" s="57">
        <f>IFERROR(__xludf.DUMMYFUNCTION("""COMPUTED_VALUE"""),46009.0)</f>
        <v>46009</v>
      </c>
      <c r="T4688" s="57">
        <f>IFERROR(__xludf.DUMMYFUNCTION("""COMPUTED_VALUE"""),46017.0)</f>
        <v>46017</v>
      </c>
    </row>
    <row r="4689">
      <c r="A4689" s="6" t="str">
        <f>IFERROR(__xludf.DUMMYFUNCTION("""COMPUTED_VALUE"""),"121703608-3")</f>
        <v>121703608-3</v>
      </c>
      <c r="B4689" s="6" t="str">
        <f>IFERROR(__xludf.DUMMYFUNCTION("""COMPUTED_VALUE"""),"121703608 - APPROVED")</f>
        <v>121703608 - APPROVED</v>
      </c>
      <c r="C4689" s="6">
        <f>IFERROR(__xludf.DUMMYFUNCTION("""COMPUTED_VALUE"""),3.0)</f>
        <v>3</v>
      </c>
      <c r="D4689" s="6" t="str">
        <f>IFERROR(__xludf.DUMMYFUNCTION("""COMPUTED_VALUE"""),"S-62052-00")</f>
        <v>S-62052-00</v>
      </c>
      <c r="E4689" s="6" t="str">
        <f>IFERROR(__xludf.DUMMYFUNCTION("""COMPUTED_VALUE"""),"Gas Acetylene (C2H2), Industrial Grade, 2kg; ; ;")</f>
        <v>Gas Acetylene (C2H2), Industrial Grade, 2kg; ; ;</v>
      </c>
      <c r="F4689" s="6">
        <f>IFERROR(__xludf.DUMMYFUNCTION("""COMPUTED_VALUE"""),1.0)</f>
        <v>1</v>
      </c>
      <c r="G4689" s="6" t="str">
        <f>IFERROR(__xludf.DUMMYFUNCTION("""COMPUTED_VALUE"""),"Tube")</f>
        <v>Tube</v>
      </c>
      <c r="H4689" s="6" t="str">
        <f>IFERROR(__xludf.DUMMYFUNCTION("""COMPUTED_VALUE"""),"IDR")</f>
        <v>IDR</v>
      </c>
      <c r="I4689" s="6">
        <f>IFERROR(__xludf.DUMMYFUNCTION("""COMPUTED_VALUE"""),250000.0)</f>
        <v>250000</v>
      </c>
      <c r="J4689" s="6">
        <f>IFERROR(__xludf.DUMMYFUNCTION("""COMPUTED_VALUE"""),250000.0)</f>
        <v>250000</v>
      </c>
      <c r="K4689" s="57">
        <f>IFERROR(__xludf.DUMMYFUNCTION("""COMPUTED_VALUE"""),46017.0)</f>
        <v>46017</v>
      </c>
      <c r="L4689" s="6" t="str">
        <f>IFERROR(__xludf.DUMMYFUNCTION("""COMPUTED_VALUE"""),"FIP General")</f>
        <v>FIP General</v>
      </c>
      <c r="M4689" s="6" t="str">
        <f>IFERROR(__xludf.DUMMYFUNCTION("""COMPUTED_VALUE"""),"Mochammad Fadhillah Hakim,")</f>
        <v>Mochammad Fadhillah Hakim,</v>
      </c>
      <c r="N4689" s="6" t="str">
        <f>IFERROR(__xludf.DUMMYFUNCTION("""COMPUTED_VALUE"""),"FIP Engineering")</f>
        <v>FIP Engineering</v>
      </c>
      <c r="O4689" s="6" t="str">
        <f>IFERROR(__xludf.DUMMYFUNCTION("""COMPUTED_VALUE"""),"FIP-DOM-ENG-51504-0000000-INA-000000")</f>
        <v>FIP-DOM-ENG-51504-0000000-INA-000000</v>
      </c>
      <c r="P4689" s="6" t="str">
        <f>IFERROR(__xludf.DUMMYFUNCTION("""COMPUTED_VALUE"""),"PO Closed")</f>
        <v>PO Closed</v>
      </c>
      <c r="Q4689" s="6" t="str">
        <f>IFERROR(__xludf.DUMMYFUNCTION("""COMPUTED_VALUE"""),"GL2512339")</f>
        <v>GL2512339</v>
      </c>
      <c r="R4689" s="57">
        <f>IFERROR(__xludf.DUMMYFUNCTION("""COMPUTED_VALUE"""),46007.0)</f>
        <v>46007</v>
      </c>
      <c r="S4689" s="57">
        <f>IFERROR(__xludf.DUMMYFUNCTION("""COMPUTED_VALUE"""),46009.0)</f>
        <v>46009</v>
      </c>
      <c r="T4689" s="57">
        <f>IFERROR(__xludf.DUMMYFUNCTION("""COMPUTED_VALUE"""),46017.0)</f>
        <v>46017</v>
      </c>
    </row>
    <row r="4690">
      <c r="A4690" s="6" t="str">
        <f>IFERROR(__xludf.DUMMYFUNCTION("""COMPUTED_VALUE"""),"121703618-1")</f>
        <v>121703618-1</v>
      </c>
      <c r="B4690" s="6" t="str">
        <f>IFERROR(__xludf.DUMMYFUNCTION("""COMPUTED_VALUE"""),"121703618 - APPROVED")</f>
        <v>121703618 - APPROVED</v>
      </c>
      <c r="C4690" s="6">
        <f>IFERROR(__xludf.DUMMYFUNCTION("""COMPUTED_VALUE"""),1.0)</f>
        <v>1</v>
      </c>
      <c r="D4690" s="6" t="str">
        <f>IFERROR(__xludf.DUMMYFUNCTION("""COMPUTED_VALUE"""),"P-20431-00")</f>
        <v>P-20431-00</v>
      </c>
      <c r="E4690" s="6" t="str">
        <f>IFERROR(__xludf.DUMMYFUNCTION("""COMPUTED_VALUE"""),"General - Elbow Ornamen SS201 dia. 4 inch; No Brand; -; 1 pc")</f>
        <v>General - Elbow Ornamen SS201 dia. 4 inch; No Brand; -; 1 pc</v>
      </c>
      <c r="F4690" s="6">
        <f>IFERROR(__xludf.DUMMYFUNCTION("""COMPUTED_VALUE"""),2.0)</f>
        <v>2</v>
      </c>
      <c r="G4690" s="6" t="str">
        <f>IFERROR(__xludf.DUMMYFUNCTION("""COMPUTED_VALUE"""),"Pieces")</f>
        <v>Pieces</v>
      </c>
      <c r="H4690" s="6" t="str">
        <f>IFERROR(__xludf.DUMMYFUNCTION("""COMPUTED_VALUE"""),"IDR")</f>
        <v>IDR</v>
      </c>
      <c r="I4690" s="6">
        <f>IFERROR(__xludf.DUMMYFUNCTION("""COMPUTED_VALUE"""),156000.0)</f>
        <v>156000</v>
      </c>
      <c r="J4690" s="6">
        <f>IFERROR(__xludf.DUMMYFUNCTION("""COMPUTED_VALUE"""),312000.0)</f>
        <v>312000</v>
      </c>
      <c r="K4690" s="57">
        <f>IFERROR(__xludf.DUMMYFUNCTION("""COMPUTED_VALUE"""),46024.0)</f>
        <v>46024</v>
      </c>
      <c r="L4690" s="6" t="str">
        <f>IFERROR(__xludf.DUMMYFUNCTION("""COMPUTED_VALUE"""),"FIP Engineering")</f>
        <v>FIP Engineering</v>
      </c>
      <c r="M4690" s="6" t="str">
        <f>IFERROR(__xludf.DUMMYFUNCTION("""COMPUTED_VALUE"""),"Mochammad Fadhillah Hakim,")</f>
        <v>Mochammad Fadhillah Hakim,</v>
      </c>
      <c r="N4690" s="6" t="str">
        <f>IFERROR(__xludf.DUMMYFUNCTION("""COMPUTED_VALUE"""),"FIP Engineering")</f>
        <v>FIP Engineering</v>
      </c>
      <c r="O4690" s="6" t="str">
        <f>IFERROR(__xludf.DUMMYFUNCTION("""COMPUTED_VALUE"""),"FIP-DOM-000-11304-OS00001-INA-000000")</f>
        <v>FIP-DOM-000-11304-OS00001-INA-000000</v>
      </c>
      <c r="P4690" s="6" t="str">
        <f>IFERROR(__xludf.DUMMYFUNCTION("""COMPUTED_VALUE"""),"PO Closed")</f>
        <v>PO Closed</v>
      </c>
      <c r="Q4690" s="6" t="str">
        <f>IFERROR(__xludf.DUMMYFUNCTION("""COMPUTED_VALUE"""),"GL2512049")</f>
        <v>GL2512049</v>
      </c>
      <c r="R4690" s="57">
        <f>IFERROR(__xludf.DUMMYFUNCTION("""COMPUTED_VALUE"""),46014.0)</f>
        <v>46014</v>
      </c>
      <c r="S4690" s="57">
        <f>IFERROR(__xludf.DUMMYFUNCTION("""COMPUTED_VALUE"""),46014.0)</f>
        <v>46014</v>
      </c>
      <c r="T4690" s="57">
        <f>IFERROR(__xludf.DUMMYFUNCTION("""COMPUTED_VALUE"""),46142.0)</f>
        <v>46142</v>
      </c>
    </row>
    <row r="4691">
      <c r="A4691" s="6" t="str">
        <f>IFERROR(__xludf.DUMMYFUNCTION("""COMPUTED_VALUE"""),"121703618-2")</f>
        <v>121703618-2</v>
      </c>
      <c r="B4691" s="6" t="str">
        <f>IFERROR(__xludf.DUMMYFUNCTION("""COMPUTED_VALUE"""),"121703618 - APPROVED")</f>
        <v>121703618 - APPROVED</v>
      </c>
      <c r="C4691" s="6">
        <f>IFERROR(__xludf.DUMMYFUNCTION("""COMPUTED_VALUE"""),2.0)</f>
        <v>2</v>
      </c>
      <c r="D4691" s="6" t="str">
        <f>IFERROR(__xludf.DUMMYFUNCTION("""COMPUTED_VALUE"""),"P-20432-00")</f>
        <v>P-20432-00</v>
      </c>
      <c r="E4691" s="6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F4691" s="6">
        <f>IFERROR(__xludf.DUMMYFUNCTION("""COMPUTED_VALUE"""),3.0)</f>
        <v>3</v>
      </c>
      <c r="G4691" s="6" t="str">
        <f>IFERROR(__xludf.DUMMYFUNCTION("""COMPUTED_VALUE"""),"Pieces")</f>
        <v>Pieces</v>
      </c>
      <c r="H4691" s="6" t="str">
        <f>IFERROR(__xludf.DUMMYFUNCTION("""COMPUTED_VALUE"""),"IDR")</f>
        <v>IDR</v>
      </c>
      <c r="I4691" s="6">
        <f>IFERROR(__xludf.DUMMYFUNCTION("""COMPUTED_VALUE"""),135000.0)</f>
        <v>135000</v>
      </c>
      <c r="J4691" s="6">
        <f>IFERROR(__xludf.DUMMYFUNCTION("""COMPUTED_VALUE"""),405000.0)</f>
        <v>405000</v>
      </c>
      <c r="K4691" s="57">
        <f>IFERROR(__xludf.DUMMYFUNCTION("""COMPUTED_VALUE"""),46024.0)</f>
        <v>46024</v>
      </c>
      <c r="L4691" s="6" t="str">
        <f>IFERROR(__xludf.DUMMYFUNCTION("""COMPUTED_VALUE"""),"FIP Engineering")</f>
        <v>FIP Engineering</v>
      </c>
      <c r="M4691" s="6" t="str">
        <f>IFERROR(__xludf.DUMMYFUNCTION("""COMPUTED_VALUE"""),"Mochammad Fadhillah Hakim,")</f>
        <v>Mochammad Fadhillah Hakim,</v>
      </c>
      <c r="N4691" s="6" t="str">
        <f>IFERROR(__xludf.DUMMYFUNCTION("""COMPUTED_VALUE"""),"FIP Engineering")</f>
        <v>FIP Engineering</v>
      </c>
      <c r="O4691" s="6" t="str">
        <f>IFERROR(__xludf.DUMMYFUNCTION("""COMPUTED_VALUE"""),"FIP-DOM-000-11304-OS00001-INA-000000")</f>
        <v>FIP-DOM-000-11304-OS00001-INA-000000</v>
      </c>
      <c r="P4691" s="6" t="str">
        <f>IFERROR(__xludf.DUMMYFUNCTION("""COMPUTED_VALUE"""),"PO Closed")</f>
        <v>PO Closed</v>
      </c>
      <c r="Q4691" s="6" t="str">
        <f>IFERROR(__xludf.DUMMYFUNCTION("""COMPUTED_VALUE"""),"GL2512049")</f>
        <v>GL2512049</v>
      </c>
      <c r="R4691" s="57">
        <f>IFERROR(__xludf.DUMMYFUNCTION("""COMPUTED_VALUE"""),46014.0)</f>
        <v>46014</v>
      </c>
      <c r="S4691" s="57">
        <f>IFERROR(__xludf.DUMMYFUNCTION("""COMPUTED_VALUE"""),46014.0)</f>
        <v>46014</v>
      </c>
      <c r="T4691" s="57">
        <f>IFERROR(__xludf.DUMMYFUNCTION("""COMPUTED_VALUE"""),46142.0)</f>
        <v>46142</v>
      </c>
    </row>
    <row r="4692">
      <c r="A4692" s="6" t="str">
        <f>IFERROR(__xludf.DUMMYFUNCTION("""COMPUTED_VALUE"""),"121703620-1")</f>
        <v>121703620-1</v>
      </c>
      <c r="B4692" s="6" t="str">
        <f>IFERROR(__xludf.DUMMYFUNCTION("""COMPUTED_VALUE"""),"121703620 - APPROVED")</f>
        <v>121703620 - APPROVED</v>
      </c>
      <c r="C4692" s="6">
        <f>IFERROR(__xludf.DUMMYFUNCTION("""COMPUTED_VALUE"""),1.0)</f>
        <v>1</v>
      </c>
      <c r="D4692" s="6" t="str">
        <f>IFERROR(__xludf.DUMMYFUNCTION("""COMPUTED_VALUE"""),"R-21013-00")</f>
        <v>R-21013-00</v>
      </c>
      <c r="E4692" s="6" t="str">
        <f>IFERROR(__xludf.DUMMYFUNCTION("""COMPUTED_VALUE"""),"Utility Equipment; ; ; - Pompa Grundfos CRN1-6 EFO-CX-A-F-HQQE 3x230/400 50HZ")</f>
        <v>Utility Equipment; ; ; - Pompa Grundfos CRN1-6 EFO-CX-A-F-HQQE 3x230/400 50HZ</v>
      </c>
      <c r="F4692" s="6">
        <f>IFERROR(__xludf.DUMMYFUNCTION("""COMPUTED_VALUE"""),1.0)</f>
        <v>1</v>
      </c>
      <c r="G4692" s="6" t="str">
        <f>IFERROR(__xludf.DUMMYFUNCTION("""COMPUTED_VALUE"""),"Unit")</f>
        <v>Unit</v>
      </c>
      <c r="H4692" s="6" t="str">
        <f>IFERROR(__xludf.DUMMYFUNCTION("""COMPUTED_VALUE"""),"IDR")</f>
        <v>IDR</v>
      </c>
      <c r="I4692" s="6">
        <f>IFERROR(__xludf.DUMMYFUNCTION("""COMPUTED_VALUE"""),6.95799E7)</f>
        <v>69579900</v>
      </c>
      <c r="J4692" s="6">
        <f>IFERROR(__xludf.DUMMYFUNCTION("""COMPUTED_VALUE"""),6.95799E7)</f>
        <v>69579900</v>
      </c>
      <c r="K4692" s="57">
        <f>IFERROR(__xludf.DUMMYFUNCTION("""COMPUTED_VALUE"""),46045.0)</f>
        <v>46045</v>
      </c>
      <c r="L4692" s="6" t="str">
        <f>IFERROR(__xludf.DUMMYFUNCTION("""COMPUTED_VALUE"""),"FIP General")</f>
        <v>FIP General</v>
      </c>
      <c r="M4692" s="6" t="str">
        <f>IFERROR(__xludf.DUMMYFUNCTION("""COMPUTED_VALUE"""),"Mochammad Fadhillah Hakim,")</f>
        <v>Mochammad Fadhillah Hakim,</v>
      </c>
      <c r="N4692" s="6" t="str">
        <f>IFERROR(__xludf.DUMMYFUNCTION("""COMPUTED_VALUE"""),"FIP Engineering")</f>
        <v>FIP Engineering</v>
      </c>
      <c r="O4692" s="6" t="str">
        <f>IFERROR(__xludf.DUMMYFUNCTION("""COMPUTED_VALUE"""),"FIP-DOM-ENG-13405-EQ25004-INA-000000")</f>
        <v>FIP-DOM-ENG-13405-EQ25004-INA-000000</v>
      </c>
      <c r="P4692" s="6" t="str">
        <f>IFERROR(__xludf.DUMMYFUNCTION("""COMPUTED_VALUE"""),"PO Closed")</f>
        <v>PO Closed</v>
      </c>
      <c r="Q4692" s="6" t="str">
        <f>IFERROR(__xludf.DUMMYFUNCTION("""COMPUTED_VALUE"""),"GL2601022")</f>
        <v>GL2601022</v>
      </c>
      <c r="R4692" s="57">
        <f>IFERROR(__xludf.DUMMYFUNCTION("""COMPUTED_VALUE"""),46014.0)</f>
        <v>46014</v>
      </c>
      <c r="S4692" s="57">
        <f>IFERROR(__xludf.DUMMYFUNCTION("""COMPUTED_VALUE"""),46014.0)</f>
        <v>46014</v>
      </c>
      <c r="T4692" s="57">
        <f>IFERROR(__xludf.DUMMYFUNCTION("""COMPUTED_VALUE"""),46203.0)</f>
        <v>46203</v>
      </c>
    </row>
    <row r="4693">
      <c r="A4693" s="6" t="str">
        <f>IFERROR(__xludf.DUMMYFUNCTION("""COMPUTED_VALUE"""),"121703621-1")</f>
        <v>121703621-1</v>
      </c>
      <c r="B4693" s="6" t="str">
        <f>IFERROR(__xludf.DUMMYFUNCTION("""COMPUTED_VALUE"""),"121703621 - APPROVED")</f>
        <v>121703621 - APPROVED</v>
      </c>
      <c r="C4693" s="6">
        <f>IFERROR(__xludf.DUMMYFUNCTION("""COMPUTED_VALUE"""),1.0)</f>
        <v>1</v>
      </c>
      <c r="D4693" s="6" t="str">
        <f>IFERROR(__xludf.DUMMYFUNCTION("""COMPUTED_VALUE"""),"P-12266-00")</f>
        <v>P-12266-00</v>
      </c>
      <c r="E4693" s="6" t="str">
        <f>IFERROR(__xludf.DUMMYFUNCTION("""COMPUTED_VALUE"""),"FESTO - Push In Fitting QS-1/2-10 part number 190646")</f>
        <v>FESTO - Push In Fitting QS-1/2-10 part number 190646</v>
      </c>
      <c r="F4693" s="6">
        <f>IFERROR(__xludf.DUMMYFUNCTION("""COMPUTED_VALUE"""),10.0)</f>
        <v>10</v>
      </c>
      <c r="G4693" s="6" t="str">
        <f>IFERROR(__xludf.DUMMYFUNCTION("""COMPUTED_VALUE"""),"Pieces")</f>
        <v>Pieces</v>
      </c>
      <c r="H4693" s="6" t="str">
        <f>IFERROR(__xludf.DUMMYFUNCTION("""COMPUTED_VALUE"""),"IDR")</f>
        <v>IDR</v>
      </c>
      <c r="I4693" s="6">
        <f>IFERROR(__xludf.DUMMYFUNCTION("""COMPUTED_VALUE"""),60000.0)</f>
        <v>60000</v>
      </c>
      <c r="J4693" s="6">
        <f>IFERROR(__xludf.DUMMYFUNCTION("""COMPUTED_VALUE"""),600000.0)</f>
        <v>600000</v>
      </c>
      <c r="K4693" s="57">
        <f>IFERROR(__xludf.DUMMYFUNCTION("""COMPUTED_VALUE"""),46052.0)</f>
        <v>46052</v>
      </c>
      <c r="L4693" s="6" t="str">
        <f>IFERROR(__xludf.DUMMYFUNCTION("""COMPUTED_VALUE"""),"FIP Engineering")</f>
        <v>FIP Engineering</v>
      </c>
      <c r="M4693" s="6" t="str">
        <f>IFERROR(__xludf.DUMMYFUNCTION("""COMPUTED_VALUE"""),"Mochammad Fadhillah Hakim,")</f>
        <v>Mochammad Fadhillah Hakim,</v>
      </c>
      <c r="N4693" s="6" t="str">
        <f>IFERROR(__xludf.DUMMYFUNCTION("""COMPUTED_VALUE"""),"FIP Engineering")</f>
        <v>FIP Engineering</v>
      </c>
      <c r="O4693" s="6" t="str">
        <f>IFERROR(__xludf.DUMMYFUNCTION("""COMPUTED_VALUE"""),"FIP-DOM-000-11304-OS00001-INA-000000")</f>
        <v>FIP-DOM-000-11304-OS00001-INA-000000</v>
      </c>
      <c r="P4693" s="6" t="str">
        <f>IFERROR(__xludf.DUMMYFUNCTION("""COMPUTED_VALUE"""),"PO Closed")</f>
        <v>PO Closed</v>
      </c>
      <c r="Q4693" s="6" t="str">
        <f>IFERROR(__xludf.DUMMYFUNCTION("""COMPUTED_VALUE"""),"GL2607381")</f>
        <v>GL2607381</v>
      </c>
      <c r="R4693" s="57">
        <f>IFERROR(__xludf.DUMMYFUNCTION("""COMPUTED_VALUE"""),46020.0)</f>
        <v>46020</v>
      </c>
      <c r="S4693" s="57">
        <f>IFERROR(__xludf.DUMMYFUNCTION("""COMPUTED_VALUE"""),46028.0)</f>
        <v>46028</v>
      </c>
      <c r="T4693" s="57">
        <f>IFERROR(__xludf.DUMMYFUNCTION("""COMPUTED_VALUE"""),46264.0)</f>
        <v>46264</v>
      </c>
    </row>
    <row r="4694">
      <c r="A4694" s="6" t="str">
        <f>IFERROR(__xludf.DUMMYFUNCTION("""COMPUTED_VALUE"""),"121703621-2")</f>
        <v>121703621-2</v>
      </c>
      <c r="B4694" s="6" t="str">
        <f>IFERROR(__xludf.DUMMYFUNCTION("""COMPUTED_VALUE"""),"121703621 - APPROVED")</f>
        <v>121703621 - APPROVED</v>
      </c>
      <c r="C4694" s="6">
        <f>IFERROR(__xludf.DUMMYFUNCTION("""COMPUTED_VALUE"""),2.0)</f>
        <v>2</v>
      </c>
      <c r="D4694" s="6" t="str">
        <f>IFERROR(__xludf.DUMMYFUNCTION("""COMPUTED_VALUE"""),"P-11167-00")</f>
        <v>P-11167-00</v>
      </c>
      <c r="E4694" s="6" t="str">
        <f>IFERROR(__xludf.DUMMYFUNCTION("""COMPUTED_VALUE"""),"Pneumatic Fitting - QS 1/4-10 / PN : 153007 / Festo")</f>
        <v>Pneumatic Fitting - QS 1/4-10 / PN : 153007 / Festo</v>
      </c>
      <c r="F4694" s="6">
        <f>IFERROR(__xludf.DUMMYFUNCTION("""COMPUTED_VALUE"""),10.0)</f>
        <v>10</v>
      </c>
      <c r="G4694" s="6" t="str">
        <f>IFERROR(__xludf.DUMMYFUNCTION("""COMPUTED_VALUE"""),"Pieces")</f>
        <v>Pieces</v>
      </c>
      <c r="H4694" s="6" t="str">
        <f>IFERROR(__xludf.DUMMYFUNCTION("""COMPUTED_VALUE"""),"IDR")</f>
        <v>IDR</v>
      </c>
      <c r="I4694" s="6">
        <f>IFERROR(__xludf.DUMMYFUNCTION("""COMPUTED_VALUE"""),38195.0)</f>
        <v>38195</v>
      </c>
      <c r="J4694" s="6">
        <f>IFERROR(__xludf.DUMMYFUNCTION("""COMPUTED_VALUE"""),381950.0)</f>
        <v>381950</v>
      </c>
      <c r="K4694" s="57">
        <f>IFERROR(__xludf.DUMMYFUNCTION("""COMPUTED_VALUE"""),46052.0)</f>
        <v>46052</v>
      </c>
      <c r="L4694" s="6" t="str">
        <f>IFERROR(__xludf.DUMMYFUNCTION("""COMPUTED_VALUE"""),"FIP Engineering")</f>
        <v>FIP Engineering</v>
      </c>
      <c r="M4694" s="6" t="str">
        <f>IFERROR(__xludf.DUMMYFUNCTION("""COMPUTED_VALUE"""),"Mochammad Fadhillah Hakim,")</f>
        <v>Mochammad Fadhillah Hakim,</v>
      </c>
      <c r="N4694" s="6" t="str">
        <f>IFERROR(__xludf.DUMMYFUNCTION("""COMPUTED_VALUE"""),"FIP Engineering")</f>
        <v>FIP Engineering</v>
      </c>
      <c r="O4694" s="6" t="str">
        <f>IFERROR(__xludf.DUMMYFUNCTION("""COMPUTED_VALUE"""),"FIP-DOM-000-11304-OS00001-INA-000000")</f>
        <v>FIP-DOM-000-11304-OS00001-INA-000000</v>
      </c>
      <c r="P4694" s="6" t="str">
        <f>IFERROR(__xludf.DUMMYFUNCTION("""COMPUTED_VALUE"""),"PO Closed")</f>
        <v>PO Closed</v>
      </c>
      <c r="Q4694" s="6" t="str">
        <f>IFERROR(__xludf.DUMMYFUNCTION("""COMPUTED_VALUE"""),"GL2607381")</f>
        <v>GL2607381</v>
      </c>
      <c r="R4694" s="57">
        <f>IFERROR(__xludf.DUMMYFUNCTION("""COMPUTED_VALUE"""),46020.0)</f>
        <v>46020</v>
      </c>
      <c r="S4694" s="57">
        <f>IFERROR(__xludf.DUMMYFUNCTION("""COMPUTED_VALUE"""),46028.0)</f>
        <v>46028</v>
      </c>
      <c r="T4694" s="57">
        <f>IFERROR(__xludf.DUMMYFUNCTION("""COMPUTED_VALUE"""),46264.0)</f>
        <v>46264</v>
      </c>
    </row>
    <row r="4695">
      <c r="A4695" s="6" t="str">
        <f>IFERROR(__xludf.DUMMYFUNCTION("""COMPUTED_VALUE"""),"121703621-3")</f>
        <v>121703621-3</v>
      </c>
      <c r="B4695" s="6" t="str">
        <f>IFERROR(__xludf.DUMMYFUNCTION("""COMPUTED_VALUE"""),"121703621 - APPROVED")</f>
        <v>121703621 - APPROVED</v>
      </c>
      <c r="C4695" s="6">
        <f>IFERROR(__xludf.DUMMYFUNCTION("""COMPUTED_VALUE"""),3.0)</f>
        <v>3</v>
      </c>
      <c r="D4695" s="6" t="str">
        <f>IFERROR(__xludf.DUMMYFUNCTION("""COMPUTED_VALUE"""),"P-11169-00")</f>
        <v>P-11169-00</v>
      </c>
      <c r="E4695" s="6" t="str">
        <f>IFERROR(__xludf.DUMMYFUNCTION("""COMPUTED_VALUE"""),"General - Push-in Fitting, QS-1/4-6; Festo; 153003; 1 pcs")</f>
        <v>General - Push-in Fitting, QS-1/4-6; Festo; 153003; 1 pcs</v>
      </c>
      <c r="F4695" s="6">
        <f>IFERROR(__xludf.DUMMYFUNCTION("""COMPUTED_VALUE"""),10.0)</f>
        <v>10</v>
      </c>
      <c r="G4695" s="6" t="str">
        <f>IFERROR(__xludf.DUMMYFUNCTION("""COMPUTED_VALUE"""),"Pieces")</f>
        <v>Pieces</v>
      </c>
      <c r="H4695" s="6" t="str">
        <f>IFERROR(__xludf.DUMMYFUNCTION("""COMPUTED_VALUE"""),"IDR")</f>
        <v>IDR</v>
      </c>
      <c r="I4695" s="6">
        <f>IFERROR(__xludf.DUMMYFUNCTION("""COMPUTED_VALUE"""),29414.0)</f>
        <v>29414</v>
      </c>
      <c r="J4695" s="6">
        <f>IFERROR(__xludf.DUMMYFUNCTION("""COMPUTED_VALUE"""),294140.0)</f>
        <v>294140</v>
      </c>
      <c r="K4695" s="57">
        <f>IFERROR(__xludf.DUMMYFUNCTION("""COMPUTED_VALUE"""),46052.0)</f>
        <v>46052</v>
      </c>
      <c r="L4695" s="6" t="str">
        <f>IFERROR(__xludf.DUMMYFUNCTION("""COMPUTED_VALUE"""),"FIP Engineering")</f>
        <v>FIP Engineering</v>
      </c>
      <c r="M4695" s="6" t="str">
        <f>IFERROR(__xludf.DUMMYFUNCTION("""COMPUTED_VALUE"""),"Mochammad Fadhillah Hakim,")</f>
        <v>Mochammad Fadhillah Hakim,</v>
      </c>
      <c r="N4695" s="6" t="str">
        <f>IFERROR(__xludf.DUMMYFUNCTION("""COMPUTED_VALUE"""),"FIP Engineering")</f>
        <v>FIP Engineering</v>
      </c>
      <c r="O4695" s="6" t="str">
        <f>IFERROR(__xludf.DUMMYFUNCTION("""COMPUTED_VALUE"""),"FIP-DOM-000-11304-OS00001-INA-000000")</f>
        <v>FIP-DOM-000-11304-OS00001-INA-000000</v>
      </c>
      <c r="P4695" s="6" t="str">
        <f>IFERROR(__xludf.DUMMYFUNCTION("""COMPUTED_VALUE"""),"PO Closed")</f>
        <v>PO Closed</v>
      </c>
      <c r="Q4695" s="6" t="str">
        <f>IFERROR(__xludf.DUMMYFUNCTION("""COMPUTED_VALUE"""),"GL2607381")</f>
        <v>GL2607381</v>
      </c>
      <c r="R4695" s="57">
        <f>IFERROR(__xludf.DUMMYFUNCTION("""COMPUTED_VALUE"""),46020.0)</f>
        <v>46020</v>
      </c>
      <c r="S4695" s="57">
        <f>IFERROR(__xludf.DUMMYFUNCTION("""COMPUTED_VALUE"""),46028.0)</f>
        <v>46028</v>
      </c>
      <c r="T4695" s="57">
        <f>IFERROR(__xludf.DUMMYFUNCTION("""COMPUTED_VALUE"""),46264.0)</f>
        <v>46264</v>
      </c>
    </row>
    <row r="4696">
      <c r="A4696" s="6" t="str">
        <f>IFERROR(__xludf.DUMMYFUNCTION("""COMPUTED_VALUE"""),"121703621-4")</f>
        <v>121703621-4</v>
      </c>
      <c r="B4696" s="6" t="str">
        <f>IFERROR(__xludf.DUMMYFUNCTION("""COMPUTED_VALUE"""),"121703621 - APPROVED")</f>
        <v>121703621 - APPROVED</v>
      </c>
      <c r="C4696" s="6">
        <f>IFERROR(__xludf.DUMMYFUNCTION("""COMPUTED_VALUE"""),4.0)</f>
        <v>4</v>
      </c>
      <c r="D4696" s="6" t="str">
        <f>IFERROR(__xludf.DUMMYFUNCTION("""COMPUTED_VALUE"""),"P-11185-00")</f>
        <v>P-11185-00</v>
      </c>
      <c r="E4696" s="6" t="str">
        <f>IFERROR(__xludf.DUMMYFUNCTION("""COMPUTED_VALUE"""),"General - Push-in Connector, QS-8-6; Festo; 153038; 1 pcs")</f>
        <v>General - Push-in Connector, QS-8-6; Festo; 153038; 1 pcs</v>
      </c>
      <c r="F4696" s="6">
        <f>IFERROR(__xludf.DUMMYFUNCTION("""COMPUTED_VALUE"""),10.0)</f>
        <v>10</v>
      </c>
      <c r="G4696" s="6" t="str">
        <f>IFERROR(__xludf.DUMMYFUNCTION("""COMPUTED_VALUE"""),"Pieces")</f>
        <v>Pieces</v>
      </c>
      <c r="H4696" s="6" t="str">
        <f>IFERROR(__xludf.DUMMYFUNCTION("""COMPUTED_VALUE"""),"IDR")</f>
        <v>IDR</v>
      </c>
      <c r="I4696" s="6">
        <f>IFERROR(__xludf.DUMMYFUNCTION("""COMPUTED_VALUE"""),47707.0)</f>
        <v>47707</v>
      </c>
      <c r="J4696" s="6">
        <f>IFERROR(__xludf.DUMMYFUNCTION("""COMPUTED_VALUE"""),477070.0)</f>
        <v>477070</v>
      </c>
      <c r="K4696" s="57">
        <f>IFERROR(__xludf.DUMMYFUNCTION("""COMPUTED_VALUE"""),46052.0)</f>
        <v>46052</v>
      </c>
      <c r="L4696" s="6" t="str">
        <f>IFERROR(__xludf.DUMMYFUNCTION("""COMPUTED_VALUE"""),"FIP Engineering")</f>
        <v>FIP Engineering</v>
      </c>
      <c r="M4696" s="6" t="str">
        <f>IFERROR(__xludf.DUMMYFUNCTION("""COMPUTED_VALUE"""),"Mochammad Fadhillah Hakim,")</f>
        <v>Mochammad Fadhillah Hakim,</v>
      </c>
      <c r="N4696" s="6" t="str">
        <f>IFERROR(__xludf.DUMMYFUNCTION("""COMPUTED_VALUE"""),"FIP Engineering")</f>
        <v>FIP Engineering</v>
      </c>
      <c r="O4696" s="6" t="str">
        <f>IFERROR(__xludf.DUMMYFUNCTION("""COMPUTED_VALUE"""),"FIP-DOM-000-11304-OS00001-INA-000000")</f>
        <v>FIP-DOM-000-11304-OS00001-INA-000000</v>
      </c>
      <c r="P4696" s="6" t="str">
        <f>IFERROR(__xludf.DUMMYFUNCTION("""COMPUTED_VALUE"""),"PO Closed")</f>
        <v>PO Closed</v>
      </c>
      <c r="Q4696" s="6" t="str">
        <f>IFERROR(__xludf.DUMMYFUNCTION("""COMPUTED_VALUE"""),"GL2607381")</f>
        <v>GL2607381</v>
      </c>
      <c r="R4696" s="57">
        <f>IFERROR(__xludf.DUMMYFUNCTION("""COMPUTED_VALUE"""),46020.0)</f>
        <v>46020</v>
      </c>
      <c r="S4696" s="57">
        <f>IFERROR(__xludf.DUMMYFUNCTION("""COMPUTED_VALUE"""),46028.0)</f>
        <v>46028</v>
      </c>
      <c r="T4696" s="57">
        <f>IFERROR(__xludf.DUMMYFUNCTION("""COMPUTED_VALUE"""),46264.0)</f>
        <v>46264</v>
      </c>
    </row>
    <row r="4697">
      <c r="A4697" s="6" t="str">
        <f>IFERROR(__xludf.DUMMYFUNCTION("""COMPUTED_VALUE"""),"121703622-1")</f>
        <v>121703622-1</v>
      </c>
      <c r="B4697" s="6" t="str">
        <f>IFERROR(__xludf.DUMMYFUNCTION("""COMPUTED_VALUE"""),"121703622 - APPROVED")</f>
        <v>121703622 - APPROVED</v>
      </c>
      <c r="C4697" s="6">
        <f>IFERROR(__xludf.DUMMYFUNCTION("""COMPUTED_VALUE"""),1.0)</f>
        <v>1</v>
      </c>
      <c r="D4697" s="6" t="str">
        <f>IFERROR(__xludf.DUMMYFUNCTION("""COMPUTED_VALUE"""),"P-11405-00")</f>
        <v>P-11405-00</v>
      </c>
      <c r="E4697" s="6" t="str">
        <f>IFERROR(__xludf.DUMMYFUNCTION("""COMPUTED_VALUE"""),"General - Seal Ferrule Teflon 1inch; No Brand; -; 1 pcs")</f>
        <v>General - Seal Ferrule Teflon 1inch; No Brand; -; 1 pcs</v>
      </c>
      <c r="F4697" s="6">
        <f>IFERROR(__xludf.DUMMYFUNCTION("""COMPUTED_VALUE"""),20.0)</f>
        <v>20</v>
      </c>
      <c r="G4697" s="6" t="str">
        <f>IFERROR(__xludf.DUMMYFUNCTION("""COMPUTED_VALUE"""),"Pieces")</f>
        <v>Pieces</v>
      </c>
      <c r="H4697" s="6" t="str">
        <f>IFERROR(__xludf.DUMMYFUNCTION("""COMPUTED_VALUE"""),"IDR")</f>
        <v>IDR</v>
      </c>
      <c r="I4697" s="6">
        <f>IFERROR(__xludf.DUMMYFUNCTION("""COMPUTED_VALUE"""),41250.0)</f>
        <v>41250</v>
      </c>
      <c r="J4697" s="6">
        <f>IFERROR(__xludf.DUMMYFUNCTION("""COMPUTED_VALUE"""),825000.0)</f>
        <v>825000</v>
      </c>
      <c r="K4697" s="57">
        <f>IFERROR(__xludf.DUMMYFUNCTION("""COMPUTED_VALUE"""),46052.0)</f>
        <v>46052</v>
      </c>
      <c r="L4697" s="6" t="str">
        <f>IFERROR(__xludf.DUMMYFUNCTION("""COMPUTED_VALUE"""),"FIP Engineering")</f>
        <v>FIP Engineering</v>
      </c>
      <c r="M4697" s="6" t="str">
        <f>IFERROR(__xludf.DUMMYFUNCTION("""COMPUTED_VALUE"""),"Mochammad Fadhillah Hakim,")</f>
        <v>Mochammad Fadhillah Hakim,</v>
      </c>
      <c r="N4697" s="6" t="str">
        <f>IFERROR(__xludf.DUMMYFUNCTION("""COMPUTED_VALUE"""),"FIP Engineering")</f>
        <v>FIP Engineering</v>
      </c>
      <c r="O4697" s="6" t="str">
        <f>IFERROR(__xludf.DUMMYFUNCTION("""COMPUTED_VALUE"""),"FIP-DOM-000-11304-OS00001-INA-000000")</f>
        <v>FIP-DOM-000-11304-OS00001-INA-000000</v>
      </c>
      <c r="P4697" s="6" t="str">
        <f>IFERROR(__xludf.DUMMYFUNCTION("""COMPUTED_VALUE"""),"PO Closed")</f>
        <v>PO Closed</v>
      </c>
      <c r="Q4697" s="6" t="str">
        <f>IFERROR(__xludf.DUMMYFUNCTION("""COMPUTED_VALUE"""),"GL2601348")</f>
        <v>GL2601348</v>
      </c>
      <c r="R4697" s="57">
        <f>IFERROR(__xludf.DUMMYFUNCTION("""COMPUTED_VALUE"""),46020.0)</f>
        <v>46020</v>
      </c>
      <c r="S4697" s="57">
        <f>IFERROR(__xludf.DUMMYFUNCTION("""COMPUTED_VALUE"""),46028.0)</f>
        <v>46028</v>
      </c>
      <c r="T4697" s="57">
        <f>IFERROR(__xludf.DUMMYFUNCTION("""COMPUTED_VALUE"""),46057.0)</f>
        <v>46057</v>
      </c>
    </row>
    <row r="4698">
      <c r="A4698" s="6" t="str">
        <f>IFERROR(__xludf.DUMMYFUNCTION("""COMPUTED_VALUE"""),"121703622-2")</f>
        <v>121703622-2</v>
      </c>
      <c r="B4698" s="6" t="str">
        <f>IFERROR(__xludf.DUMMYFUNCTION("""COMPUTED_VALUE"""),"121703622 - APPROVED")</f>
        <v>121703622 - APPROVED</v>
      </c>
      <c r="C4698" s="6">
        <f>IFERROR(__xludf.DUMMYFUNCTION("""COMPUTED_VALUE"""),2.0)</f>
        <v>2</v>
      </c>
      <c r="D4698" s="6" t="str">
        <f>IFERROR(__xludf.DUMMYFUNCTION("""COMPUTED_VALUE"""),"P-14980-00")</f>
        <v>P-14980-00</v>
      </c>
      <c r="E4698" s="6" t="str">
        <f>IFERROR(__xludf.DUMMYFUNCTION("""COMPUTED_VALUE"""),"General - Seal Ferrule Teflon 3/4inch; No Brand; -; 1 pcs")</f>
        <v>General - Seal Ferrule Teflon 3/4inch; No Brand; -; 1 pcs</v>
      </c>
      <c r="F4698" s="6">
        <f>IFERROR(__xludf.DUMMYFUNCTION("""COMPUTED_VALUE"""),20.0)</f>
        <v>20</v>
      </c>
      <c r="G4698" s="6" t="str">
        <f>IFERROR(__xludf.DUMMYFUNCTION("""COMPUTED_VALUE"""),"Pieces")</f>
        <v>Pieces</v>
      </c>
      <c r="H4698" s="6" t="str">
        <f>IFERROR(__xludf.DUMMYFUNCTION("""COMPUTED_VALUE"""),"IDR")</f>
        <v>IDR</v>
      </c>
      <c r="I4698" s="6">
        <f>IFERROR(__xludf.DUMMYFUNCTION("""COMPUTED_VALUE"""),38500.0)</f>
        <v>38500</v>
      </c>
      <c r="J4698" s="6">
        <f>IFERROR(__xludf.DUMMYFUNCTION("""COMPUTED_VALUE"""),770000.0)</f>
        <v>770000</v>
      </c>
      <c r="K4698" s="57">
        <f>IFERROR(__xludf.DUMMYFUNCTION("""COMPUTED_VALUE"""),46052.0)</f>
        <v>46052</v>
      </c>
      <c r="L4698" s="6" t="str">
        <f>IFERROR(__xludf.DUMMYFUNCTION("""COMPUTED_VALUE"""),"FIP Engineering")</f>
        <v>FIP Engineering</v>
      </c>
      <c r="M4698" s="6" t="str">
        <f>IFERROR(__xludf.DUMMYFUNCTION("""COMPUTED_VALUE"""),"Mochammad Fadhillah Hakim,")</f>
        <v>Mochammad Fadhillah Hakim,</v>
      </c>
      <c r="N4698" s="6" t="str">
        <f>IFERROR(__xludf.DUMMYFUNCTION("""COMPUTED_VALUE"""),"FIP Engineering")</f>
        <v>FIP Engineering</v>
      </c>
      <c r="O4698" s="6" t="str">
        <f>IFERROR(__xludf.DUMMYFUNCTION("""COMPUTED_VALUE"""),"FIP-DOM-000-11304-OS00001-INA-000000")</f>
        <v>FIP-DOM-000-11304-OS00001-INA-000000</v>
      </c>
      <c r="P4698" s="6" t="str">
        <f>IFERROR(__xludf.DUMMYFUNCTION("""COMPUTED_VALUE"""),"PO Closed")</f>
        <v>PO Closed</v>
      </c>
      <c r="Q4698" s="6" t="str">
        <f>IFERROR(__xludf.DUMMYFUNCTION("""COMPUTED_VALUE"""),"GL2601348")</f>
        <v>GL2601348</v>
      </c>
      <c r="R4698" s="57">
        <f>IFERROR(__xludf.DUMMYFUNCTION("""COMPUTED_VALUE"""),46020.0)</f>
        <v>46020</v>
      </c>
      <c r="S4698" s="57">
        <f>IFERROR(__xludf.DUMMYFUNCTION("""COMPUTED_VALUE"""),46028.0)</f>
        <v>46028</v>
      </c>
      <c r="T4698" s="57">
        <f>IFERROR(__xludf.DUMMYFUNCTION("""COMPUTED_VALUE"""),46057.0)</f>
        <v>46057</v>
      </c>
    </row>
    <row r="4699">
      <c r="A4699" s="6" t="str">
        <f>IFERROR(__xludf.DUMMYFUNCTION("""COMPUTED_VALUE"""),"121703622-3")</f>
        <v>121703622-3</v>
      </c>
      <c r="B4699" s="6" t="str">
        <f>IFERROR(__xludf.DUMMYFUNCTION("""COMPUTED_VALUE"""),"121703622 - APPROVED")</f>
        <v>121703622 - APPROVED</v>
      </c>
      <c r="C4699" s="6">
        <f>IFERROR(__xludf.DUMMYFUNCTION("""COMPUTED_VALUE"""),3.0)</f>
        <v>3</v>
      </c>
      <c r="D4699" s="6" t="str">
        <f>IFERROR(__xludf.DUMMYFUNCTION("""COMPUTED_VALUE"""),"P-11404-00")</f>
        <v>P-11404-00</v>
      </c>
      <c r="E4699" s="6" t="str">
        <f>IFERROR(__xludf.DUMMYFUNCTION("""COMPUTED_VALUE"""),"General - Seal Ferrule Teflon 1 1/2inch; No Brand; -; 1 pcs")</f>
        <v>General - Seal Ferrule Teflon 1 1/2inch; No Brand; -; 1 pcs</v>
      </c>
      <c r="F4699" s="6">
        <f>IFERROR(__xludf.DUMMYFUNCTION("""COMPUTED_VALUE"""),20.0)</f>
        <v>20</v>
      </c>
      <c r="G4699" s="6" t="str">
        <f>IFERROR(__xludf.DUMMYFUNCTION("""COMPUTED_VALUE"""),"Pieces")</f>
        <v>Pieces</v>
      </c>
      <c r="H4699" s="6" t="str">
        <f>IFERROR(__xludf.DUMMYFUNCTION("""COMPUTED_VALUE"""),"IDR")</f>
        <v>IDR</v>
      </c>
      <c r="I4699" s="6">
        <f>IFERROR(__xludf.DUMMYFUNCTION("""COMPUTED_VALUE"""),37400.0)</f>
        <v>37400</v>
      </c>
      <c r="J4699" s="6">
        <f>IFERROR(__xludf.DUMMYFUNCTION("""COMPUTED_VALUE"""),748000.0)</f>
        <v>748000</v>
      </c>
      <c r="K4699" s="57">
        <f>IFERROR(__xludf.DUMMYFUNCTION("""COMPUTED_VALUE"""),46052.0)</f>
        <v>46052</v>
      </c>
      <c r="L4699" s="6" t="str">
        <f>IFERROR(__xludf.DUMMYFUNCTION("""COMPUTED_VALUE"""),"FIP Engineering")</f>
        <v>FIP Engineering</v>
      </c>
      <c r="M4699" s="6" t="str">
        <f>IFERROR(__xludf.DUMMYFUNCTION("""COMPUTED_VALUE"""),"Mochammad Fadhillah Hakim,")</f>
        <v>Mochammad Fadhillah Hakim,</v>
      </c>
      <c r="N4699" s="6" t="str">
        <f>IFERROR(__xludf.DUMMYFUNCTION("""COMPUTED_VALUE"""),"FIP Engineering")</f>
        <v>FIP Engineering</v>
      </c>
      <c r="O4699" s="6" t="str">
        <f>IFERROR(__xludf.DUMMYFUNCTION("""COMPUTED_VALUE"""),"FIP-DOM-000-11304-OS00001-INA-000000")</f>
        <v>FIP-DOM-000-11304-OS00001-INA-000000</v>
      </c>
      <c r="P4699" s="6" t="str">
        <f>IFERROR(__xludf.DUMMYFUNCTION("""COMPUTED_VALUE"""),"PO Closed")</f>
        <v>PO Closed</v>
      </c>
      <c r="Q4699" s="6" t="str">
        <f>IFERROR(__xludf.DUMMYFUNCTION("""COMPUTED_VALUE"""),"GL2602379")</f>
        <v>GL2602379</v>
      </c>
      <c r="R4699" s="57">
        <f>IFERROR(__xludf.DUMMYFUNCTION("""COMPUTED_VALUE"""),46020.0)</f>
        <v>46020</v>
      </c>
      <c r="S4699" s="57">
        <f>IFERROR(__xludf.DUMMYFUNCTION("""COMPUTED_VALUE"""),46028.0)</f>
        <v>46028</v>
      </c>
      <c r="T4699" s="57">
        <f>IFERROR(__xludf.DUMMYFUNCTION("""COMPUTED_VALUE"""),46081.0)</f>
        <v>46081</v>
      </c>
    </row>
    <row r="4700">
      <c r="A4700" s="6" t="str">
        <f>IFERROR(__xludf.DUMMYFUNCTION("""COMPUTED_VALUE"""),"121703623-1")</f>
        <v>121703623-1</v>
      </c>
      <c r="B4700" s="6" t="str">
        <f>IFERROR(__xludf.DUMMYFUNCTION("""COMPUTED_VALUE"""),"121703623 - APPROVED")</f>
        <v>121703623 - APPROVED</v>
      </c>
      <c r="C4700" s="6">
        <f>IFERROR(__xludf.DUMMYFUNCTION("""COMPUTED_VALUE"""),1.0)</f>
        <v>1</v>
      </c>
      <c r="D4700" s="6" t="str">
        <f>IFERROR(__xludf.DUMMYFUNCTION("""COMPUTED_VALUE"""),"P-14244-00")</f>
        <v>P-14244-00</v>
      </c>
      <c r="E4700" s="6" t="str">
        <f>IFERROR(__xludf.DUMMYFUNCTION("""COMPUTED_VALUE"""),"General - UV Lamp SD55-320W; Hanovia; 130071-0320-C; 1 pc")</f>
        <v>General - UV Lamp SD55-320W; Hanovia; 130071-0320-C; 1 pc</v>
      </c>
      <c r="F4700" s="6">
        <f>IFERROR(__xludf.DUMMYFUNCTION("""COMPUTED_VALUE"""),2.0)</f>
        <v>2</v>
      </c>
      <c r="G4700" s="6" t="str">
        <f>IFERROR(__xludf.DUMMYFUNCTION("""COMPUTED_VALUE"""),"Pieces")</f>
        <v>Pieces</v>
      </c>
      <c r="H4700" s="6" t="str">
        <f>IFERROR(__xludf.DUMMYFUNCTION("""COMPUTED_VALUE"""),"IDR")</f>
        <v>IDR</v>
      </c>
      <c r="I4700" s="6">
        <f>IFERROR(__xludf.DUMMYFUNCTION("""COMPUTED_VALUE"""),2.4E7)</f>
        <v>24000000</v>
      </c>
      <c r="J4700" s="6">
        <f>IFERROR(__xludf.DUMMYFUNCTION("""COMPUTED_VALUE"""),4.8E7)</f>
        <v>48000000</v>
      </c>
      <c r="K4700" s="57">
        <f>IFERROR(__xludf.DUMMYFUNCTION("""COMPUTED_VALUE"""),46080.0)</f>
        <v>46080</v>
      </c>
      <c r="L4700" s="6" t="str">
        <f>IFERROR(__xludf.DUMMYFUNCTION("""COMPUTED_VALUE"""),"FIP General")</f>
        <v>FIP General</v>
      </c>
      <c r="M4700" s="6" t="str">
        <f>IFERROR(__xludf.DUMMYFUNCTION("""COMPUTED_VALUE"""),"Mochammad Fadhillah Hakim,")</f>
        <v>Mochammad Fadhillah Hakim,</v>
      </c>
      <c r="N4700" s="6" t="str">
        <f>IFERROR(__xludf.DUMMYFUNCTION("""COMPUTED_VALUE"""),"FIP Engineering")</f>
        <v>FIP Engineering</v>
      </c>
      <c r="O4700" s="6" t="str">
        <f>IFERROR(__xludf.DUMMYFUNCTION("""COMPUTED_VALUE"""),"FIP-DOM-ENG-51504-0000000-INA-000000")</f>
        <v>FIP-DOM-ENG-51504-0000000-INA-000000</v>
      </c>
      <c r="P4700" s="6" t="str">
        <f>IFERROR(__xludf.DUMMYFUNCTION("""COMPUTED_VALUE"""),"PO Closed")</f>
        <v>PO Closed</v>
      </c>
      <c r="Q4700" s="6" t="str">
        <f>IFERROR(__xludf.DUMMYFUNCTION("""COMPUTED_VALUE"""),"GL2601016")</f>
        <v>GL2601016</v>
      </c>
      <c r="R4700" s="57">
        <f>IFERROR(__xludf.DUMMYFUNCTION("""COMPUTED_VALUE"""),46020.0)</f>
        <v>46020</v>
      </c>
      <c r="S4700" s="57">
        <f>IFERROR(__xludf.DUMMYFUNCTION("""COMPUTED_VALUE"""),46036.0)</f>
        <v>46036</v>
      </c>
      <c r="T4700" s="57">
        <f>IFERROR(__xludf.DUMMYFUNCTION("""COMPUTED_VALUE"""),46080.0)</f>
        <v>46080</v>
      </c>
    </row>
    <row r="4701">
      <c r="A4701" s="6" t="str">
        <f>IFERROR(__xludf.DUMMYFUNCTION("""COMPUTED_VALUE"""),"121703624-1")</f>
        <v>121703624-1</v>
      </c>
      <c r="B4701" s="6" t="str">
        <f>IFERROR(__xludf.DUMMYFUNCTION("""COMPUTED_VALUE"""),"121703624 - APPROVED")</f>
        <v>121703624 - APPROVED</v>
      </c>
      <c r="C4701" s="6">
        <f>IFERROR(__xludf.DUMMYFUNCTION("""COMPUTED_VALUE"""),1.0)</f>
        <v>1</v>
      </c>
      <c r="D4701" s="6" t="str">
        <f>IFERROR(__xludf.DUMMYFUNCTION("""COMPUTED_VALUE"""),"P-17645-00")</f>
        <v>P-17645-00</v>
      </c>
      <c r="E4701" s="6" t="str">
        <f>IFERROR(__xludf.DUMMYFUNCTION("""COMPUTED_VALUE"""),"Chemical - Sodium Hiphoclorite; No Brand; -; 1 Liter")</f>
        <v>Chemical - Sodium Hiphoclorite; No Brand; -; 1 Liter</v>
      </c>
      <c r="F4701" s="6">
        <f>IFERROR(__xludf.DUMMYFUNCTION("""COMPUTED_VALUE"""),840.0)</f>
        <v>840</v>
      </c>
      <c r="G4701" s="6" t="str">
        <f>IFERROR(__xludf.DUMMYFUNCTION("""COMPUTED_VALUE"""),"Liter")</f>
        <v>Liter</v>
      </c>
      <c r="H4701" s="6" t="str">
        <f>IFERROR(__xludf.DUMMYFUNCTION("""COMPUTED_VALUE"""),"IDR")</f>
        <v>IDR</v>
      </c>
      <c r="I4701" s="6">
        <f>IFERROR(__xludf.DUMMYFUNCTION("""COMPUTED_VALUE"""),5000.0)</f>
        <v>5000</v>
      </c>
      <c r="J4701" s="6">
        <f>IFERROR(__xludf.DUMMYFUNCTION("""COMPUTED_VALUE"""),4200000.0)</f>
        <v>4200000</v>
      </c>
      <c r="K4701" s="57">
        <f>IFERROR(__xludf.DUMMYFUNCTION("""COMPUTED_VALUE"""),46052.0)</f>
        <v>46052</v>
      </c>
      <c r="L4701" s="6" t="str">
        <f>IFERROR(__xludf.DUMMYFUNCTION("""COMPUTED_VALUE"""),"FIP Engineering")</f>
        <v>FIP Engineering</v>
      </c>
      <c r="M4701" s="6" t="str">
        <f>IFERROR(__xludf.DUMMYFUNCTION("""COMPUTED_VALUE"""),"Mochammad Fadhillah Hakim,")</f>
        <v>Mochammad Fadhillah Hakim,</v>
      </c>
      <c r="N4701" s="6" t="str">
        <f>IFERROR(__xludf.DUMMYFUNCTION("""COMPUTED_VALUE"""),"FIP Engineering")</f>
        <v>FIP Engineering</v>
      </c>
      <c r="O4701" s="6" t="str">
        <f>IFERROR(__xludf.DUMMYFUNCTION("""COMPUTED_VALUE"""),"FIP-DOM-000-11304-OS00001-INA-000000")</f>
        <v>FIP-DOM-000-11304-OS00001-INA-000000</v>
      </c>
      <c r="P4701" s="6" t="str">
        <f>IFERROR(__xludf.DUMMYFUNCTION("""COMPUTED_VALUE"""),"PO Closed")</f>
        <v>PO Closed</v>
      </c>
      <c r="Q4701" s="6" t="str">
        <f>IFERROR(__xludf.DUMMYFUNCTION("""COMPUTED_VALUE"""),"GL2601009")</f>
        <v>GL2601009</v>
      </c>
      <c r="R4701" s="57">
        <f>IFERROR(__xludf.DUMMYFUNCTION("""COMPUTED_VALUE"""),46020.0)</f>
        <v>46020</v>
      </c>
      <c r="S4701" s="57">
        <f>IFERROR(__xludf.DUMMYFUNCTION("""COMPUTED_VALUE"""),46028.0)</f>
        <v>46028</v>
      </c>
      <c r="T4701" s="57">
        <f>IFERROR(__xludf.DUMMYFUNCTION("""COMPUTED_VALUE"""),46052.0)</f>
        <v>46052</v>
      </c>
    </row>
    <row r="4702">
      <c r="A4702" s="6" t="str">
        <f>IFERROR(__xludf.DUMMYFUNCTION("""COMPUTED_VALUE"""),"121703624-2")</f>
        <v>121703624-2</v>
      </c>
      <c r="B4702" s="6" t="str">
        <f>IFERROR(__xludf.DUMMYFUNCTION("""COMPUTED_VALUE"""),"121703624 - APPROVED")</f>
        <v>121703624 - APPROVED</v>
      </c>
      <c r="C4702" s="6">
        <f>IFERROR(__xludf.DUMMYFUNCTION("""COMPUTED_VALUE"""),2.0)</f>
        <v>2</v>
      </c>
      <c r="D4702" s="6" t="str">
        <f>IFERROR(__xludf.DUMMYFUNCTION("""COMPUTED_VALUE"""),"P-17645-00")</f>
        <v>P-17645-00</v>
      </c>
      <c r="E4702" s="6" t="str">
        <f>IFERROR(__xludf.DUMMYFUNCTION("""COMPUTED_VALUE"""),"Chemical - Sodium Hiphoclorite; No Brand; -; 1 Liter")</f>
        <v>Chemical - Sodium Hiphoclorite; No Brand; -; 1 Liter</v>
      </c>
      <c r="F4702" s="6">
        <f>IFERROR(__xludf.DUMMYFUNCTION("""COMPUTED_VALUE"""),840.0)</f>
        <v>840</v>
      </c>
      <c r="G4702" s="6" t="str">
        <f>IFERROR(__xludf.DUMMYFUNCTION("""COMPUTED_VALUE"""),"Liter")</f>
        <v>Liter</v>
      </c>
      <c r="H4702" s="6" t="str">
        <f>IFERROR(__xludf.DUMMYFUNCTION("""COMPUTED_VALUE"""),"IDR")</f>
        <v>IDR</v>
      </c>
      <c r="I4702" s="6">
        <f>IFERROR(__xludf.DUMMYFUNCTION("""COMPUTED_VALUE"""),5000.0)</f>
        <v>5000</v>
      </c>
      <c r="J4702" s="6">
        <f>IFERROR(__xludf.DUMMYFUNCTION("""COMPUTED_VALUE"""),4200000.0)</f>
        <v>4200000</v>
      </c>
      <c r="K4702" s="57">
        <f>IFERROR(__xludf.DUMMYFUNCTION("""COMPUTED_VALUE"""),46143.0)</f>
        <v>46143</v>
      </c>
      <c r="L4702" s="6" t="str">
        <f>IFERROR(__xludf.DUMMYFUNCTION("""COMPUTED_VALUE"""),"FIP Engineering")</f>
        <v>FIP Engineering</v>
      </c>
      <c r="M4702" s="6" t="str">
        <f>IFERROR(__xludf.DUMMYFUNCTION("""COMPUTED_VALUE"""),"Mochammad Fadhillah Hakim,")</f>
        <v>Mochammad Fadhillah Hakim,</v>
      </c>
      <c r="N4702" s="6" t="str">
        <f>IFERROR(__xludf.DUMMYFUNCTION("""COMPUTED_VALUE"""),"FIP Engineering")</f>
        <v>FIP Engineering</v>
      </c>
      <c r="O4702" s="6" t="str">
        <f>IFERROR(__xludf.DUMMYFUNCTION("""COMPUTED_VALUE"""),"FIP-DOM-000-11304-OS00001-INA-000000")</f>
        <v>FIP-DOM-000-11304-OS00001-INA-000000</v>
      </c>
      <c r="P4702" s="6" t="str">
        <f>IFERROR(__xludf.DUMMYFUNCTION("""COMPUTED_VALUE"""),"PO Closed")</f>
        <v>PO Closed</v>
      </c>
      <c r="Q4702" s="6" t="str">
        <f>IFERROR(__xludf.DUMMYFUNCTION("""COMPUTED_VALUE"""),"GL2601009")</f>
        <v>GL2601009</v>
      </c>
      <c r="R4702" s="57">
        <f>IFERROR(__xludf.DUMMYFUNCTION("""COMPUTED_VALUE"""),46020.0)</f>
        <v>46020</v>
      </c>
      <c r="S4702" s="57">
        <f>IFERROR(__xludf.DUMMYFUNCTION("""COMPUTED_VALUE"""),46028.0)</f>
        <v>46028</v>
      </c>
      <c r="T4702" s="57">
        <f>IFERROR(__xludf.DUMMYFUNCTION("""COMPUTED_VALUE"""),46143.0)</f>
        <v>46143</v>
      </c>
    </row>
    <row r="4703">
      <c r="A4703" s="6" t="str">
        <f>IFERROR(__xludf.DUMMYFUNCTION("""COMPUTED_VALUE"""),"121703624-3")</f>
        <v>121703624-3</v>
      </c>
      <c r="B4703" s="6" t="str">
        <f>IFERROR(__xludf.DUMMYFUNCTION("""COMPUTED_VALUE"""),"121703624 - APPROVED")</f>
        <v>121703624 - APPROVED</v>
      </c>
      <c r="C4703" s="6">
        <f>IFERROR(__xludf.DUMMYFUNCTION("""COMPUTED_VALUE"""),3.0)</f>
        <v>3</v>
      </c>
      <c r="D4703" s="6" t="str">
        <f>IFERROR(__xludf.DUMMYFUNCTION("""COMPUTED_VALUE"""),"P-12830-00")</f>
        <v>P-12830-00</v>
      </c>
      <c r="E4703" s="6" t="str">
        <f>IFERROR(__xludf.DUMMYFUNCTION("""COMPUTED_VALUE"""),"Sodium metabisulfit")</f>
        <v>Sodium metabisulfit</v>
      </c>
      <c r="F4703" s="6">
        <f>IFERROR(__xludf.DUMMYFUNCTION("""COMPUTED_VALUE"""),3.0)</f>
        <v>3</v>
      </c>
      <c r="G4703" s="6" t="str">
        <f>IFERROR(__xludf.DUMMYFUNCTION("""COMPUTED_VALUE"""),"Pieces")</f>
        <v>Pieces</v>
      </c>
      <c r="H4703" s="6" t="str">
        <f>IFERROR(__xludf.DUMMYFUNCTION("""COMPUTED_VALUE"""),"IDR")</f>
        <v>IDR</v>
      </c>
      <c r="I4703" s="6">
        <f>IFERROR(__xludf.DUMMYFUNCTION("""COMPUTED_VALUE"""),550000.0)</f>
        <v>550000</v>
      </c>
      <c r="J4703" s="6">
        <f>IFERROR(__xludf.DUMMYFUNCTION("""COMPUTED_VALUE"""),1650000.0)</f>
        <v>1650000</v>
      </c>
      <c r="K4703" s="57">
        <f>IFERROR(__xludf.DUMMYFUNCTION("""COMPUTED_VALUE"""),46052.0)</f>
        <v>46052</v>
      </c>
      <c r="L4703" s="6" t="str">
        <f>IFERROR(__xludf.DUMMYFUNCTION("""COMPUTED_VALUE"""),"FIP Engineering")</f>
        <v>FIP Engineering</v>
      </c>
      <c r="M4703" s="6" t="str">
        <f>IFERROR(__xludf.DUMMYFUNCTION("""COMPUTED_VALUE"""),"Mochammad Fadhillah Hakim,")</f>
        <v>Mochammad Fadhillah Hakim,</v>
      </c>
      <c r="N4703" s="6" t="str">
        <f>IFERROR(__xludf.DUMMYFUNCTION("""COMPUTED_VALUE"""),"FIP Engineering")</f>
        <v>FIP Engineering</v>
      </c>
      <c r="O4703" s="6" t="str">
        <f>IFERROR(__xludf.DUMMYFUNCTION("""COMPUTED_VALUE"""),"FIP-DOM-000-11304-OS00001-INA-000000")</f>
        <v>FIP-DOM-000-11304-OS00001-INA-000000</v>
      </c>
      <c r="P4703" s="6" t="str">
        <f>IFERROR(__xludf.DUMMYFUNCTION("""COMPUTED_VALUE"""),"PO Closed")</f>
        <v>PO Closed</v>
      </c>
      <c r="Q4703" s="6" t="str">
        <f>IFERROR(__xludf.DUMMYFUNCTION("""COMPUTED_VALUE"""),"GL2601012")</f>
        <v>GL2601012</v>
      </c>
      <c r="R4703" s="57">
        <f>IFERROR(__xludf.DUMMYFUNCTION("""COMPUTED_VALUE"""),46020.0)</f>
        <v>46020</v>
      </c>
      <c r="S4703" s="57">
        <f>IFERROR(__xludf.DUMMYFUNCTION("""COMPUTED_VALUE"""),46028.0)</f>
        <v>46028</v>
      </c>
      <c r="T4703" s="57">
        <f>IFERROR(__xludf.DUMMYFUNCTION("""COMPUTED_VALUE"""),46117.0)</f>
        <v>46117</v>
      </c>
    </row>
    <row r="4704">
      <c r="A4704" s="6" t="str">
        <f>IFERROR(__xludf.DUMMYFUNCTION("""COMPUTED_VALUE"""),"121703624-4")</f>
        <v>121703624-4</v>
      </c>
      <c r="B4704" s="6" t="str">
        <f>IFERROR(__xludf.DUMMYFUNCTION("""COMPUTED_VALUE"""),"121703624 - APPROVED")</f>
        <v>121703624 - APPROVED</v>
      </c>
      <c r="C4704" s="6">
        <f>IFERROR(__xludf.DUMMYFUNCTION("""COMPUTED_VALUE"""),4.0)</f>
        <v>4</v>
      </c>
      <c r="D4704" s="6" t="str">
        <f>IFERROR(__xludf.DUMMYFUNCTION("""COMPUTED_VALUE"""),"P-12830-00")</f>
        <v>P-12830-00</v>
      </c>
      <c r="E4704" s="6" t="str">
        <f>IFERROR(__xludf.DUMMYFUNCTION("""COMPUTED_VALUE"""),"Sodium metabisulfit")</f>
        <v>Sodium metabisulfit</v>
      </c>
      <c r="F4704" s="6">
        <f>IFERROR(__xludf.DUMMYFUNCTION("""COMPUTED_VALUE"""),3.0)</f>
        <v>3</v>
      </c>
      <c r="G4704" s="6" t="str">
        <f>IFERROR(__xludf.DUMMYFUNCTION("""COMPUTED_VALUE"""),"Pieces")</f>
        <v>Pieces</v>
      </c>
      <c r="H4704" s="6" t="str">
        <f>IFERROR(__xludf.DUMMYFUNCTION("""COMPUTED_VALUE"""),"IDR")</f>
        <v>IDR</v>
      </c>
      <c r="I4704" s="6">
        <f>IFERROR(__xludf.DUMMYFUNCTION("""COMPUTED_VALUE"""),550000.0)</f>
        <v>550000</v>
      </c>
      <c r="J4704" s="6">
        <f>IFERROR(__xludf.DUMMYFUNCTION("""COMPUTED_VALUE"""),1650000.0)</f>
        <v>1650000</v>
      </c>
      <c r="K4704" s="57">
        <f>IFERROR(__xludf.DUMMYFUNCTION("""COMPUTED_VALUE"""),46143.0)</f>
        <v>46143</v>
      </c>
      <c r="L4704" s="6" t="str">
        <f>IFERROR(__xludf.DUMMYFUNCTION("""COMPUTED_VALUE"""),"FIP Engineering")</f>
        <v>FIP Engineering</v>
      </c>
      <c r="M4704" s="6" t="str">
        <f>IFERROR(__xludf.DUMMYFUNCTION("""COMPUTED_VALUE"""),"Mochammad Fadhillah Hakim,")</f>
        <v>Mochammad Fadhillah Hakim,</v>
      </c>
      <c r="N4704" s="6" t="str">
        <f>IFERROR(__xludf.DUMMYFUNCTION("""COMPUTED_VALUE"""),"FIP Engineering")</f>
        <v>FIP Engineering</v>
      </c>
      <c r="O4704" s="6" t="str">
        <f>IFERROR(__xludf.DUMMYFUNCTION("""COMPUTED_VALUE"""),"FIP-DOM-000-11304-OS00001-INA-000000")</f>
        <v>FIP-DOM-000-11304-OS00001-INA-000000</v>
      </c>
      <c r="P4704" s="6" t="str">
        <f>IFERROR(__xludf.DUMMYFUNCTION("""COMPUTED_VALUE"""),"PO Open")</f>
        <v>PO Open</v>
      </c>
      <c r="Q4704" s="6" t="str">
        <f>IFERROR(__xludf.DUMMYFUNCTION("""COMPUTED_VALUE"""),"GL2601012")</f>
        <v>GL2601012</v>
      </c>
      <c r="R4704" s="57">
        <f>IFERROR(__xludf.DUMMYFUNCTION("""COMPUTED_VALUE"""),46020.0)</f>
        <v>46020</v>
      </c>
      <c r="S4704" s="57">
        <f>IFERROR(__xludf.DUMMYFUNCTION("""COMPUTED_VALUE"""),46028.0)</f>
        <v>46028</v>
      </c>
      <c r="T4704" s="57">
        <f>IFERROR(__xludf.DUMMYFUNCTION("""COMPUTED_VALUE"""),46311.0)</f>
        <v>46311</v>
      </c>
    </row>
    <row r="4705">
      <c r="A4705" s="6" t="str">
        <f>IFERROR(__xludf.DUMMYFUNCTION("""COMPUTED_VALUE"""),"121703628-1")</f>
        <v>121703628-1</v>
      </c>
      <c r="B4705" s="6" t="str">
        <f>IFERROR(__xludf.DUMMYFUNCTION("""COMPUTED_VALUE"""),"121703628 - APPROVED")</f>
        <v>121703628 - APPROVED</v>
      </c>
      <c r="C4705" s="6">
        <f>IFERROR(__xludf.DUMMYFUNCTION("""COMPUTED_VALUE"""),1.0)</f>
        <v>1</v>
      </c>
      <c r="D4705" s="6" t="str">
        <f>IFERROR(__xludf.DUMMYFUNCTION("""COMPUTED_VALUE"""),"O-16647-00")</f>
        <v>O-16647-00</v>
      </c>
      <c r="E4705" s="6" t="str">
        <f>IFERROR(__xludf.DUMMYFUNCTION("""COMPUTED_VALUE"""),"General - Oring Silicone Merah 23x18x2.5 mm; -; -; 1 Pc")</f>
        <v>General - Oring Silicone Merah 23x18x2.5 mm; -; -; 1 Pc</v>
      </c>
      <c r="F4705" s="6">
        <f>IFERROR(__xludf.DUMMYFUNCTION("""COMPUTED_VALUE"""),270.0)</f>
        <v>270</v>
      </c>
      <c r="G4705" s="6" t="str">
        <f>IFERROR(__xludf.DUMMYFUNCTION("""COMPUTED_VALUE"""),"Pieces")</f>
        <v>Pieces</v>
      </c>
      <c r="H4705" s="6" t="str">
        <f>IFERROR(__xludf.DUMMYFUNCTION("""COMPUTED_VALUE"""),"IDR")</f>
        <v>IDR</v>
      </c>
      <c r="I4705" s="6">
        <f>IFERROR(__xludf.DUMMYFUNCTION("""COMPUTED_VALUE"""),35000.0)</f>
        <v>35000</v>
      </c>
      <c r="J4705" s="6">
        <f>IFERROR(__xludf.DUMMYFUNCTION("""COMPUTED_VALUE"""),9450000.0)</f>
        <v>9450000</v>
      </c>
      <c r="K4705" s="57">
        <f>IFERROR(__xludf.DUMMYFUNCTION("""COMPUTED_VALUE"""),46059.0)</f>
        <v>46059</v>
      </c>
      <c r="L4705" s="6" t="str">
        <f>IFERROR(__xludf.DUMMYFUNCTION("""COMPUTED_VALUE"""),"FIP Engineering")</f>
        <v>FIP Engineering</v>
      </c>
      <c r="M4705" s="6" t="str">
        <f>IFERROR(__xludf.DUMMYFUNCTION("""COMPUTED_VALUE"""),"Mochammad Fadhillah Hakim,")</f>
        <v>Mochammad Fadhillah Hakim,</v>
      </c>
      <c r="N4705" s="6" t="str">
        <f>IFERROR(__xludf.DUMMYFUNCTION("""COMPUTED_VALUE"""),"FIP Engineering")</f>
        <v>FIP Engineering</v>
      </c>
      <c r="O4705" s="6" t="str">
        <f>IFERROR(__xludf.DUMMYFUNCTION("""COMPUTED_VALUE"""),"FIP-DOM-000-11304-OS00001-INA-000000")</f>
        <v>FIP-DOM-000-11304-OS00001-INA-000000</v>
      </c>
      <c r="P4705" s="6" t="str">
        <f>IFERROR(__xludf.DUMMYFUNCTION("""COMPUTED_VALUE"""),"PO Closed")</f>
        <v>PO Closed</v>
      </c>
      <c r="Q4705" s="6" t="str">
        <f>IFERROR(__xludf.DUMMYFUNCTION("""COMPUTED_VALUE"""),"GL2601347")</f>
        <v>GL2601347</v>
      </c>
      <c r="R4705" s="57">
        <f>IFERROR(__xludf.DUMMYFUNCTION("""COMPUTED_VALUE"""),46022.0)</f>
        <v>46022</v>
      </c>
      <c r="S4705" s="57">
        <f>IFERROR(__xludf.DUMMYFUNCTION("""COMPUTED_VALUE"""),46028.0)</f>
        <v>46028</v>
      </c>
      <c r="T4705" s="57">
        <f>IFERROR(__xludf.DUMMYFUNCTION("""COMPUTED_VALUE"""),46068.0)</f>
        <v>46068</v>
      </c>
    </row>
    <row r="4706">
      <c r="A4706" s="6" t="str">
        <f>IFERROR(__xludf.DUMMYFUNCTION("""COMPUTED_VALUE"""),"121703628-2")</f>
        <v>121703628-2</v>
      </c>
      <c r="B4706" s="6" t="str">
        <f>IFERROR(__xludf.DUMMYFUNCTION("""COMPUTED_VALUE"""),"121703628 - APPROVED")</f>
        <v>121703628 - APPROVED</v>
      </c>
      <c r="C4706" s="6">
        <f>IFERROR(__xludf.DUMMYFUNCTION("""COMPUTED_VALUE"""),2.0)</f>
        <v>2</v>
      </c>
      <c r="D4706" s="6" t="str">
        <f>IFERROR(__xludf.DUMMYFUNCTION("""COMPUTED_VALUE"""),"O-16647-00")</f>
        <v>O-16647-00</v>
      </c>
      <c r="E4706" s="6" t="str">
        <f>IFERROR(__xludf.DUMMYFUNCTION("""COMPUTED_VALUE"""),"General - Oring Silicone Merah 23x18x2.5 mm; -; -; 1 Pc")</f>
        <v>General - Oring Silicone Merah 23x18x2.5 mm; -; -; 1 Pc</v>
      </c>
      <c r="F4706" s="6">
        <f>IFERROR(__xludf.DUMMYFUNCTION("""COMPUTED_VALUE"""),270.0)</f>
        <v>270</v>
      </c>
      <c r="G4706" s="6" t="str">
        <f>IFERROR(__xludf.DUMMYFUNCTION("""COMPUTED_VALUE"""),"Pieces")</f>
        <v>Pieces</v>
      </c>
      <c r="H4706" s="6" t="str">
        <f>IFERROR(__xludf.DUMMYFUNCTION("""COMPUTED_VALUE"""),"IDR")</f>
        <v>IDR</v>
      </c>
      <c r="I4706" s="6">
        <f>IFERROR(__xludf.DUMMYFUNCTION("""COMPUTED_VALUE"""),35000.0)</f>
        <v>35000</v>
      </c>
      <c r="J4706" s="6">
        <f>IFERROR(__xludf.DUMMYFUNCTION("""COMPUTED_VALUE"""),9450000.0)</f>
        <v>9450000</v>
      </c>
      <c r="K4706" s="57">
        <f>IFERROR(__xludf.DUMMYFUNCTION("""COMPUTED_VALUE"""),46150.0)</f>
        <v>46150</v>
      </c>
      <c r="L4706" s="6" t="str">
        <f>IFERROR(__xludf.DUMMYFUNCTION("""COMPUTED_VALUE"""),"FIP Engineering")</f>
        <v>FIP Engineering</v>
      </c>
      <c r="M4706" s="6" t="str">
        <f>IFERROR(__xludf.DUMMYFUNCTION("""COMPUTED_VALUE"""),"Mochammad Fadhillah Hakim,")</f>
        <v>Mochammad Fadhillah Hakim,</v>
      </c>
      <c r="N4706" s="6" t="str">
        <f>IFERROR(__xludf.DUMMYFUNCTION("""COMPUTED_VALUE"""),"FIP Engineering")</f>
        <v>FIP Engineering</v>
      </c>
      <c r="O4706" s="6" t="str">
        <f>IFERROR(__xludf.DUMMYFUNCTION("""COMPUTED_VALUE"""),"FIP-DOM-000-11304-OS00001-INA-000000")</f>
        <v>FIP-DOM-000-11304-OS00001-INA-000000</v>
      </c>
      <c r="P4706" s="6" t="str">
        <f>IFERROR(__xludf.DUMMYFUNCTION("""COMPUTED_VALUE"""),"PO Closed")</f>
        <v>PO Closed</v>
      </c>
      <c r="Q4706" s="6" t="str">
        <f>IFERROR(__xludf.DUMMYFUNCTION("""COMPUTED_VALUE"""),"GL2601347")</f>
        <v>GL2601347</v>
      </c>
      <c r="R4706" s="57">
        <f>IFERROR(__xludf.DUMMYFUNCTION("""COMPUTED_VALUE"""),46022.0)</f>
        <v>46022</v>
      </c>
      <c r="S4706" s="57">
        <f>IFERROR(__xludf.DUMMYFUNCTION("""COMPUTED_VALUE"""),46028.0)</f>
        <v>46028</v>
      </c>
      <c r="T4706" s="57">
        <f>IFERROR(__xludf.DUMMYFUNCTION("""COMPUTED_VALUE"""),46150.0)</f>
        <v>46150</v>
      </c>
    </row>
    <row r="4707">
      <c r="A4707" s="6" t="str">
        <f>IFERROR(__xludf.DUMMYFUNCTION("""COMPUTED_VALUE"""),"121703633-1")</f>
        <v>121703633-1</v>
      </c>
      <c r="B4707" s="6" t="str">
        <f>IFERROR(__xludf.DUMMYFUNCTION("""COMPUTED_VALUE"""),"121703633 - APPROVED")</f>
        <v>121703633 - APPROVED</v>
      </c>
      <c r="C4707" s="6">
        <f>IFERROR(__xludf.DUMMYFUNCTION("""COMPUTED_VALUE"""),1.0)</f>
        <v>1</v>
      </c>
      <c r="D4707" s="6" t="str">
        <f>IFERROR(__xludf.DUMMYFUNCTION("""COMPUTED_VALUE"""),"O-51996-00")</f>
        <v>O-51996-00</v>
      </c>
      <c r="E4707" s="6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F4707" s="6">
        <f>IFERROR(__xludf.DUMMYFUNCTION("""COMPUTED_VALUE"""),1.0)</f>
        <v>1</v>
      </c>
      <c r="G4707" s="6" t="str">
        <f>IFERROR(__xludf.DUMMYFUNCTION("""COMPUTED_VALUE"""),"Pieces")</f>
        <v>Pieces</v>
      </c>
      <c r="H4707" s="6" t="str">
        <f>IFERROR(__xludf.DUMMYFUNCTION("""COMPUTED_VALUE"""),"IDR")</f>
        <v>IDR</v>
      </c>
      <c r="I4707" s="6">
        <f>IFERROR(__xludf.DUMMYFUNCTION("""COMPUTED_VALUE"""),3.6097209E7)</f>
        <v>36097209</v>
      </c>
      <c r="J4707" s="6">
        <f>IFERROR(__xludf.DUMMYFUNCTION("""COMPUTED_VALUE"""),3.6097209E7)</f>
        <v>36097209</v>
      </c>
      <c r="K4707" s="57">
        <f>IFERROR(__xludf.DUMMYFUNCTION("""COMPUTED_VALUE"""),46087.0)</f>
        <v>46087</v>
      </c>
      <c r="L4707" s="6" t="str">
        <f>IFERROR(__xludf.DUMMYFUNCTION("""COMPUTED_VALUE"""),"FIP Engineering")</f>
        <v>FIP Engineering</v>
      </c>
      <c r="M4707" s="6" t="str">
        <f>IFERROR(__xludf.DUMMYFUNCTION("""COMPUTED_VALUE"""),"Mochammad Fadhillah Hakim,")</f>
        <v>Mochammad Fadhillah Hakim,</v>
      </c>
      <c r="N4707" s="6" t="str">
        <f>IFERROR(__xludf.DUMMYFUNCTION("""COMPUTED_VALUE"""),"FIP Engineering")</f>
        <v>FIP Engineering</v>
      </c>
      <c r="O4707" s="6" t="str">
        <f>IFERROR(__xludf.DUMMYFUNCTION("""COMPUTED_VALUE"""),"FIP-DOM-000-11304-OS00001-INA-000000")</f>
        <v>FIP-DOM-000-11304-OS00001-INA-000000</v>
      </c>
      <c r="P4707" s="6" t="str">
        <f>IFERROR(__xludf.DUMMYFUNCTION("""COMPUTED_VALUE"""),"PO Closed")</f>
        <v>PO Closed</v>
      </c>
      <c r="Q4707" s="6" t="str">
        <f>IFERROR(__xludf.DUMMYFUNCTION("""COMPUTED_VALUE"""),"GL2601027")</f>
        <v>GL2601027</v>
      </c>
      <c r="R4707" s="57">
        <f>IFERROR(__xludf.DUMMYFUNCTION("""COMPUTED_VALUE"""),46024.0)</f>
        <v>46024</v>
      </c>
      <c r="S4707" s="57">
        <f>IFERROR(__xludf.DUMMYFUNCTION("""COMPUTED_VALUE"""),46028.0)</f>
        <v>46028</v>
      </c>
      <c r="T4707" s="57">
        <f>IFERROR(__xludf.DUMMYFUNCTION("""COMPUTED_VALUE"""),46201.0)</f>
        <v>46201</v>
      </c>
    </row>
    <row r="4708">
      <c r="A4708" s="6" t="str">
        <f>IFERROR(__xludf.DUMMYFUNCTION("""COMPUTED_VALUE"""),"121703633-2")</f>
        <v>121703633-2</v>
      </c>
      <c r="B4708" s="6" t="str">
        <f>IFERROR(__xludf.DUMMYFUNCTION("""COMPUTED_VALUE"""),"121703633 - APPROVED")</f>
        <v>121703633 - APPROVED</v>
      </c>
      <c r="C4708" s="6">
        <f>IFERROR(__xludf.DUMMYFUNCTION("""COMPUTED_VALUE"""),2.0)</f>
        <v>2</v>
      </c>
      <c r="D4708" s="6" t="str">
        <f>IFERROR(__xludf.DUMMYFUNCTION("""COMPUTED_VALUE"""),"O-53523-00")</f>
        <v>O-53523-00</v>
      </c>
      <c r="E4708" s="6" t="str">
        <f>IFERROR(__xludf.DUMMYFUNCTION("""COMPUTED_VALUE"""),"cRABS Z064CR - Transmitter for Temperature Probe HC2-xxx; -; 64938; 1 Pc")</f>
        <v>cRABS Z064CR - Transmitter for Temperature Probe HC2-xxx; -; 64938; 1 Pc</v>
      </c>
      <c r="F4708" s="6">
        <f>IFERROR(__xludf.DUMMYFUNCTION("""COMPUTED_VALUE"""),1.0)</f>
        <v>1</v>
      </c>
      <c r="G4708" s="6" t="str">
        <f>IFERROR(__xludf.DUMMYFUNCTION("""COMPUTED_VALUE"""),"Pieces")</f>
        <v>Pieces</v>
      </c>
      <c r="H4708" s="6" t="str">
        <f>IFERROR(__xludf.DUMMYFUNCTION("""COMPUTED_VALUE"""),"IDR")</f>
        <v>IDR</v>
      </c>
      <c r="I4708" s="6">
        <f>IFERROR(__xludf.DUMMYFUNCTION("""COMPUTED_VALUE"""),5.8E7)</f>
        <v>58000000</v>
      </c>
      <c r="J4708" s="6">
        <f>IFERROR(__xludf.DUMMYFUNCTION("""COMPUTED_VALUE"""),5.8E7)</f>
        <v>58000000</v>
      </c>
      <c r="K4708" s="57">
        <f>IFERROR(__xludf.DUMMYFUNCTION("""COMPUTED_VALUE"""),46087.0)</f>
        <v>46087</v>
      </c>
      <c r="L4708" s="6" t="str">
        <f>IFERROR(__xludf.DUMMYFUNCTION("""COMPUTED_VALUE"""),"FIP Engineering")</f>
        <v>FIP Engineering</v>
      </c>
      <c r="M4708" s="6" t="str">
        <f>IFERROR(__xludf.DUMMYFUNCTION("""COMPUTED_VALUE"""),"Mochammad Fadhillah Hakim,")</f>
        <v>Mochammad Fadhillah Hakim,</v>
      </c>
      <c r="N4708" s="6" t="str">
        <f>IFERROR(__xludf.DUMMYFUNCTION("""COMPUTED_VALUE"""),"FIP Engineering")</f>
        <v>FIP Engineering</v>
      </c>
      <c r="O4708" s="6" t="str">
        <f>IFERROR(__xludf.DUMMYFUNCTION("""COMPUTED_VALUE"""),"FIP-DOM-000-11304-OS00001-INA-000000")</f>
        <v>FIP-DOM-000-11304-OS00001-INA-000000</v>
      </c>
      <c r="P4708" s="6" t="str">
        <f>IFERROR(__xludf.DUMMYFUNCTION("""COMPUTED_VALUE"""),"PO Closed")</f>
        <v>PO Closed</v>
      </c>
      <c r="Q4708" s="6" t="str">
        <f>IFERROR(__xludf.DUMMYFUNCTION("""COMPUTED_VALUE"""),"GL2601027")</f>
        <v>GL2601027</v>
      </c>
      <c r="R4708" s="57">
        <f>IFERROR(__xludf.DUMMYFUNCTION("""COMPUTED_VALUE"""),46024.0)</f>
        <v>46024</v>
      </c>
      <c r="S4708" s="57">
        <f>IFERROR(__xludf.DUMMYFUNCTION("""COMPUTED_VALUE"""),46028.0)</f>
        <v>46028</v>
      </c>
      <c r="T4708" s="57">
        <f>IFERROR(__xludf.DUMMYFUNCTION("""COMPUTED_VALUE"""),46201.0)</f>
        <v>46201</v>
      </c>
    </row>
    <row r="4709">
      <c r="A4709" s="6" t="str">
        <f>IFERROR(__xludf.DUMMYFUNCTION("""COMPUTED_VALUE"""),"121703633-3")</f>
        <v>121703633-3</v>
      </c>
      <c r="B4709" s="6" t="str">
        <f>IFERROR(__xludf.DUMMYFUNCTION("""COMPUTED_VALUE"""),"121703633 - APPROVED")</f>
        <v>121703633 - APPROVED</v>
      </c>
      <c r="C4709" s="6">
        <f>IFERROR(__xludf.DUMMYFUNCTION("""COMPUTED_VALUE"""),3.0)</f>
        <v>3</v>
      </c>
      <c r="D4709" s="6" t="str">
        <f>IFERROR(__xludf.DUMMYFUNCTION("""COMPUTED_VALUE"""),"O-53524-00")</f>
        <v>O-53524-00</v>
      </c>
      <c r="E4709" s="6" t="str">
        <f>IFERROR(__xludf.DUMMYFUNCTION("""COMPUTED_VALUE"""),"cRABS Z064CR - Digital Probe for Humidity and Temperature; -; 64939; 1 Pc")</f>
        <v>cRABS Z064CR - Digital Probe for Humidity and Temperature; -; 64939; 1 Pc</v>
      </c>
      <c r="F4709" s="6">
        <f>IFERROR(__xludf.DUMMYFUNCTION("""COMPUTED_VALUE"""),1.0)</f>
        <v>1</v>
      </c>
      <c r="G4709" s="6" t="str">
        <f>IFERROR(__xludf.DUMMYFUNCTION("""COMPUTED_VALUE"""),"Pieces")</f>
        <v>Pieces</v>
      </c>
      <c r="H4709" s="6" t="str">
        <f>IFERROR(__xludf.DUMMYFUNCTION("""COMPUTED_VALUE"""),"IDR")</f>
        <v>IDR</v>
      </c>
      <c r="I4709" s="6">
        <f>IFERROR(__xludf.DUMMYFUNCTION("""COMPUTED_VALUE"""),2.2E7)</f>
        <v>22000000</v>
      </c>
      <c r="J4709" s="6">
        <f>IFERROR(__xludf.DUMMYFUNCTION("""COMPUTED_VALUE"""),2.2E7)</f>
        <v>22000000</v>
      </c>
      <c r="K4709" s="57">
        <f>IFERROR(__xludf.DUMMYFUNCTION("""COMPUTED_VALUE"""),46087.0)</f>
        <v>46087</v>
      </c>
      <c r="L4709" s="6" t="str">
        <f>IFERROR(__xludf.DUMMYFUNCTION("""COMPUTED_VALUE"""),"FIP Engineering")</f>
        <v>FIP Engineering</v>
      </c>
      <c r="M4709" s="6" t="str">
        <f>IFERROR(__xludf.DUMMYFUNCTION("""COMPUTED_VALUE"""),"Mochammad Fadhillah Hakim,")</f>
        <v>Mochammad Fadhillah Hakim,</v>
      </c>
      <c r="N4709" s="6" t="str">
        <f>IFERROR(__xludf.DUMMYFUNCTION("""COMPUTED_VALUE"""),"FIP Engineering")</f>
        <v>FIP Engineering</v>
      </c>
      <c r="O4709" s="6" t="str">
        <f>IFERROR(__xludf.DUMMYFUNCTION("""COMPUTED_VALUE"""),"FIP-DOM-000-11304-OS00001-INA-000000")</f>
        <v>FIP-DOM-000-11304-OS00001-INA-000000</v>
      </c>
      <c r="P4709" s="6" t="str">
        <f>IFERROR(__xludf.DUMMYFUNCTION("""COMPUTED_VALUE"""),"PO Closed")</f>
        <v>PO Closed</v>
      </c>
      <c r="Q4709" s="6" t="str">
        <f>IFERROR(__xludf.DUMMYFUNCTION("""COMPUTED_VALUE"""),"GL2601027")</f>
        <v>GL2601027</v>
      </c>
      <c r="R4709" s="57">
        <f>IFERROR(__xludf.DUMMYFUNCTION("""COMPUTED_VALUE"""),46024.0)</f>
        <v>46024</v>
      </c>
      <c r="S4709" s="57">
        <f>IFERROR(__xludf.DUMMYFUNCTION("""COMPUTED_VALUE"""),46028.0)</f>
        <v>46028</v>
      </c>
      <c r="T4709" s="57">
        <f>IFERROR(__xludf.DUMMYFUNCTION("""COMPUTED_VALUE"""),46201.0)</f>
        <v>46201</v>
      </c>
    </row>
    <row r="4710">
      <c r="A4710" s="6" t="str">
        <f>IFERROR(__xludf.DUMMYFUNCTION("""COMPUTED_VALUE"""),"121703633-4")</f>
        <v>121703633-4</v>
      </c>
      <c r="B4710" s="6" t="str">
        <f>IFERROR(__xludf.DUMMYFUNCTION("""COMPUTED_VALUE"""),"121703633 - APPROVED")</f>
        <v>121703633 - APPROVED</v>
      </c>
      <c r="C4710" s="6">
        <f>IFERROR(__xludf.DUMMYFUNCTION("""COMPUTED_VALUE"""),4.0)</f>
        <v>4</v>
      </c>
      <c r="D4710" s="6" t="str">
        <f>IFERROR(__xludf.DUMMYFUNCTION("""COMPUTED_VALUE"""),"O-53525-00")</f>
        <v>O-53525-00</v>
      </c>
      <c r="E4710" s="6" t="str">
        <f>IFERROR(__xludf.DUMMYFUNCTION("""COMPUTED_VALUE"""),"cRABS Z064CR - Cable Gland for Temperature Probe; -; 64940; 1 Pc")</f>
        <v>cRABS Z064CR - Cable Gland for Temperature Probe; -; 64940; 1 Pc</v>
      </c>
      <c r="F4710" s="6">
        <f>IFERROR(__xludf.DUMMYFUNCTION("""COMPUTED_VALUE"""),1.0)</f>
        <v>1</v>
      </c>
      <c r="G4710" s="6" t="str">
        <f>IFERROR(__xludf.DUMMYFUNCTION("""COMPUTED_VALUE"""),"Pieces")</f>
        <v>Pieces</v>
      </c>
      <c r="H4710" s="6" t="str">
        <f>IFERROR(__xludf.DUMMYFUNCTION("""COMPUTED_VALUE"""),"IDR")</f>
        <v>IDR</v>
      </c>
      <c r="I4710" s="6">
        <f>IFERROR(__xludf.DUMMYFUNCTION("""COMPUTED_VALUE"""),2400000.0)</f>
        <v>2400000</v>
      </c>
      <c r="J4710" s="6">
        <f>IFERROR(__xludf.DUMMYFUNCTION("""COMPUTED_VALUE"""),2400000.0)</f>
        <v>2400000</v>
      </c>
      <c r="K4710" s="57">
        <f>IFERROR(__xludf.DUMMYFUNCTION("""COMPUTED_VALUE"""),46087.0)</f>
        <v>46087</v>
      </c>
      <c r="L4710" s="6" t="str">
        <f>IFERROR(__xludf.DUMMYFUNCTION("""COMPUTED_VALUE"""),"FIP Engineering")</f>
        <v>FIP Engineering</v>
      </c>
      <c r="M4710" s="6" t="str">
        <f>IFERROR(__xludf.DUMMYFUNCTION("""COMPUTED_VALUE"""),"Mochammad Fadhillah Hakim,")</f>
        <v>Mochammad Fadhillah Hakim,</v>
      </c>
      <c r="N4710" s="6" t="str">
        <f>IFERROR(__xludf.DUMMYFUNCTION("""COMPUTED_VALUE"""),"FIP Engineering")</f>
        <v>FIP Engineering</v>
      </c>
      <c r="O4710" s="6" t="str">
        <f>IFERROR(__xludf.DUMMYFUNCTION("""COMPUTED_VALUE"""),"FIP-DOM-000-11304-OS00001-INA-000000")</f>
        <v>FIP-DOM-000-11304-OS00001-INA-000000</v>
      </c>
      <c r="P4710" s="6" t="str">
        <f>IFERROR(__xludf.DUMMYFUNCTION("""COMPUTED_VALUE"""),"PO Closed")</f>
        <v>PO Closed</v>
      </c>
      <c r="Q4710" s="6" t="str">
        <f>IFERROR(__xludf.DUMMYFUNCTION("""COMPUTED_VALUE"""),"GL2601027")</f>
        <v>GL2601027</v>
      </c>
      <c r="R4710" s="57">
        <f>IFERROR(__xludf.DUMMYFUNCTION("""COMPUTED_VALUE"""),46024.0)</f>
        <v>46024</v>
      </c>
      <c r="S4710" s="57">
        <f>IFERROR(__xludf.DUMMYFUNCTION("""COMPUTED_VALUE"""),46028.0)</f>
        <v>46028</v>
      </c>
      <c r="T4710" s="57">
        <f>IFERROR(__xludf.DUMMYFUNCTION("""COMPUTED_VALUE"""),46201.0)</f>
        <v>46201</v>
      </c>
    </row>
    <row r="4711">
      <c r="A4711" s="6" t="str">
        <f>IFERROR(__xludf.DUMMYFUNCTION("""COMPUTED_VALUE"""),"121703634-1")</f>
        <v>121703634-1</v>
      </c>
      <c r="B4711" s="6" t="str">
        <f>IFERROR(__xludf.DUMMYFUNCTION("""COMPUTED_VALUE"""),"121703634 - APPROVED")</f>
        <v>121703634 - APPROVED</v>
      </c>
      <c r="C4711" s="6">
        <f>IFERROR(__xludf.DUMMYFUNCTION("""COMPUTED_VALUE"""),1.0)</f>
        <v>1</v>
      </c>
      <c r="D4711" s="6" t="str">
        <f>IFERROR(__xludf.DUMMYFUNCTION("""COMPUTED_VALUE"""),"S-62027-00")</f>
        <v>S-62027-00</v>
      </c>
      <c r="E4711" s="6" t="str">
        <f>IFERROR(__xludf.DUMMYFUNCTION("""COMPUTED_VALUE"""),"Gas Nitrogen (N2); 6 M3; Refill; Ultra High Purity (UHP); Purity ? 99.999%")</f>
        <v>Gas Nitrogen (N2); 6 M3; Refill; Ultra High Purity (UHP); Purity ? 99.999%</v>
      </c>
      <c r="F4711" s="6">
        <f>IFERROR(__xludf.DUMMYFUNCTION("""COMPUTED_VALUE"""),2.0)</f>
        <v>2</v>
      </c>
      <c r="G4711" s="6" t="str">
        <f>IFERROR(__xludf.DUMMYFUNCTION("""COMPUTED_VALUE"""),"Tube")</f>
        <v>Tube</v>
      </c>
      <c r="H4711" s="6" t="str">
        <f>IFERROR(__xludf.DUMMYFUNCTION("""COMPUTED_VALUE"""),"IDR")</f>
        <v>IDR</v>
      </c>
      <c r="I4711" s="6">
        <f>IFERROR(__xludf.DUMMYFUNCTION("""COMPUTED_VALUE"""),225000.0)</f>
        <v>225000</v>
      </c>
      <c r="J4711" s="6">
        <f>IFERROR(__xludf.DUMMYFUNCTION("""COMPUTED_VALUE"""),450000.0)</f>
        <v>450000</v>
      </c>
      <c r="K4711" s="57">
        <f>IFERROR(__xludf.DUMMYFUNCTION("""COMPUTED_VALUE"""),46042.0)</f>
        <v>46042</v>
      </c>
      <c r="L4711" s="6" t="str">
        <f>IFERROR(__xludf.DUMMYFUNCTION("""COMPUTED_VALUE"""),"FIP General")</f>
        <v>FIP General</v>
      </c>
      <c r="M4711" s="6" t="str">
        <f>IFERROR(__xludf.DUMMYFUNCTION("""COMPUTED_VALUE"""),"Mochammad Fadhillah Hakim,")</f>
        <v>Mochammad Fadhillah Hakim,</v>
      </c>
      <c r="N4711" s="6" t="str">
        <f>IFERROR(__xludf.DUMMYFUNCTION("""COMPUTED_VALUE"""),"FIP Engineering")</f>
        <v>FIP Engineering</v>
      </c>
      <c r="O4711" s="6" t="str">
        <f>IFERROR(__xludf.DUMMYFUNCTION("""COMPUTED_VALUE"""),"FIP-DOM-ENG-51409-0000000-INA-000000")</f>
        <v>FIP-DOM-ENG-51409-0000000-INA-000000</v>
      </c>
      <c r="P4711" s="6" t="str">
        <f>IFERROR(__xludf.DUMMYFUNCTION("""COMPUTED_VALUE"""),"PO Closed")</f>
        <v>PO Closed</v>
      </c>
      <c r="Q4711" s="6" t="str">
        <f>IFERROR(__xludf.DUMMYFUNCTION("""COMPUTED_VALUE"""),"GL2602398")</f>
        <v>GL2602398</v>
      </c>
      <c r="R4711" s="57">
        <f>IFERROR(__xludf.DUMMYFUNCTION("""COMPUTED_VALUE"""),46027.0)</f>
        <v>46027</v>
      </c>
      <c r="S4711" s="57">
        <f>IFERROR(__xludf.DUMMYFUNCTION("""COMPUTED_VALUE"""),46028.0)</f>
        <v>46028</v>
      </c>
      <c r="T4711" s="57">
        <f>IFERROR(__xludf.DUMMYFUNCTION("""COMPUTED_VALUE"""),46078.0)</f>
        <v>46078</v>
      </c>
    </row>
    <row r="4712">
      <c r="A4712" s="6" t="str">
        <f>IFERROR(__xludf.DUMMYFUNCTION("""COMPUTED_VALUE"""),"121703634-2")</f>
        <v>121703634-2</v>
      </c>
      <c r="B4712" s="6" t="str">
        <f>IFERROR(__xludf.DUMMYFUNCTION("""COMPUTED_VALUE"""),"121703634 - APPROVED")</f>
        <v>121703634 - APPROVED</v>
      </c>
      <c r="C4712" s="6">
        <f>IFERROR(__xludf.DUMMYFUNCTION("""COMPUTED_VALUE"""),2.0)</f>
        <v>2</v>
      </c>
      <c r="D4712" s="6" t="str">
        <f>IFERROR(__xludf.DUMMYFUNCTION("""COMPUTED_VALUE"""),"S-62027-00")</f>
        <v>S-62027-00</v>
      </c>
      <c r="E4712" s="6" t="str">
        <f>IFERROR(__xludf.DUMMYFUNCTION("""COMPUTED_VALUE"""),"Gas Nitrogen (N2); 6 M3; Refill; Ultra High Purity (UHP); Purity ? 99.999%")</f>
        <v>Gas Nitrogen (N2); 6 M3; Refill; Ultra High Purity (UHP); Purity ? 99.999%</v>
      </c>
      <c r="F4712" s="6">
        <f>IFERROR(__xludf.DUMMYFUNCTION("""COMPUTED_VALUE"""),3.0)</f>
        <v>3</v>
      </c>
      <c r="G4712" s="6" t="str">
        <f>IFERROR(__xludf.DUMMYFUNCTION("""COMPUTED_VALUE"""),"Tube")</f>
        <v>Tube</v>
      </c>
      <c r="H4712" s="6" t="str">
        <f>IFERROR(__xludf.DUMMYFUNCTION("""COMPUTED_VALUE"""),"IDR")</f>
        <v>IDR</v>
      </c>
      <c r="I4712" s="6">
        <f>IFERROR(__xludf.DUMMYFUNCTION("""COMPUTED_VALUE"""),225000.0)</f>
        <v>225000</v>
      </c>
      <c r="J4712" s="6">
        <f>IFERROR(__xludf.DUMMYFUNCTION("""COMPUTED_VALUE"""),675000.0)</f>
        <v>675000</v>
      </c>
      <c r="K4712" s="57">
        <f>IFERROR(__xludf.DUMMYFUNCTION("""COMPUTED_VALUE"""),46042.0)</f>
        <v>46042</v>
      </c>
      <c r="L4712" s="6" t="str">
        <f>IFERROR(__xludf.DUMMYFUNCTION("""COMPUTED_VALUE"""),"FIP General")</f>
        <v>FIP General</v>
      </c>
      <c r="M4712" s="6" t="str">
        <f>IFERROR(__xludf.DUMMYFUNCTION("""COMPUTED_VALUE"""),"Mochammad Fadhillah Hakim,")</f>
        <v>Mochammad Fadhillah Hakim,</v>
      </c>
      <c r="N4712" s="6" t="str">
        <f>IFERROR(__xludf.DUMMYFUNCTION("""COMPUTED_VALUE"""),"FIP Engineering")</f>
        <v>FIP Engineering</v>
      </c>
      <c r="O4712" s="6" t="str">
        <f>IFERROR(__xludf.DUMMYFUNCTION("""COMPUTED_VALUE"""),"FIP-DOM-ENG-51409-0000000-INA-000000")</f>
        <v>FIP-DOM-ENG-51409-0000000-INA-000000</v>
      </c>
      <c r="P4712" s="6" t="str">
        <f>IFERROR(__xludf.DUMMYFUNCTION("""COMPUTED_VALUE"""),"PO Closed")</f>
        <v>PO Closed</v>
      </c>
      <c r="Q4712" s="6" t="str">
        <f>IFERROR(__xludf.DUMMYFUNCTION("""COMPUTED_VALUE"""),"GL2512339")</f>
        <v>GL2512339</v>
      </c>
      <c r="R4712" s="57">
        <f>IFERROR(__xludf.DUMMYFUNCTION("""COMPUTED_VALUE"""),46027.0)</f>
        <v>46027</v>
      </c>
      <c r="S4712" s="57">
        <f>IFERROR(__xludf.DUMMYFUNCTION("""COMPUTED_VALUE"""),46028.0)</f>
        <v>46028</v>
      </c>
      <c r="T4712" s="57">
        <f>IFERROR(__xludf.DUMMYFUNCTION("""COMPUTED_VALUE"""),46042.0)</f>
        <v>46042</v>
      </c>
    </row>
    <row r="4713">
      <c r="A4713" s="6" t="str">
        <f>IFERROR(__xludf.DUMMYFUNCTION("""COMPUTED_VALUE"""),"121703635-1")</f>
        <v>121703635-1</v>
      </c>
      <c r="B4713" s="6" t="str">
        <f>IFERROR(__xludf.DUMMYFUNCTION("""COMPUTED_VALUE"""),"121703635 - APPROVED")</f>
        <v>121703635 - APPROVED</v>
      </c>
      <c r="C4713" s="6">
        <f>IFERROR(__xludf.DUMMYFUNCTION("""COMPUTED_VALUE"""),1.0)</f>
        <v>1</v>
      </c>
      <c r="D4713" s="6" t="str">
        <f>IFERROR(__xludf.DUMMYFUNCTION("""COMPUTED_VALUE"""),"O-21275-00")</f>
        <v>O-21275-00</v>
      </c>
      <c r="E4713" s="6" t="str">
        <f>IFERROR(__xludf.DUMMYFUNCTION("""COMPUTED_VALUE"""),"General - Tray Kabel Isolator Ukuran 35x35x700; Custom/Lokal; -; 1 Pc")</f>
        <v>General - Tray Kabel Isolator Ukuran 35x35x700; Custom/Lokal; -; 1 Pc</v>
      </c>
      <c r="F4713" s="6">
        <f>IFERROR(__xludf.DUMMYFUNCTION("""COMPUTED_VALUE"""),1.0)</f>
        <v>1</v>
      </c>
      <c r="G4713" s="6" t="str">
        <f>IFERROR(__xludf.DUMMYFUNCTION("""COMPUTED_VALUE"""),"Pieces")</f>
        <v>Pieces</v>
      </c>
      <c r="H4713" s="6" t="str">
        <f>IFERROR(__xludf.DUMMYFUNCTION("""COMPUTED_VALUE"""),"IDR")</f>
        <v>IDR</v>
      </c>
      <c r="I4713" s="6">
        <f>IFERROR(__xludf.DUMMYFUNCTION("""COMPUTED_VALUE"""),1875000.0)</f>
        <v>1875000</v>
      </c>
      <c r="J4713" s="6">
        <f>IFERROR(__xludf.DUMMYFUNCTION("""COMPUTED_VALUE"""),1875000.0)</f>
        <v>1875000</v>
      </c>
      <c r="K4713" s="57">
        <f>IFERROR(__xludf.DUMMYFUNCTION("""COMPUTED_VALUE"""),46059.0)</f>
        <v>46059</v>
      </c>
      <c r="L4713" s="6" t="str">
        <f>IFERROR(__xludf.DUMMYFUNCTION("""COMPUTED_VALUE"""),"FIP Engineering")</f>
        <v>FIP Engineering</v>
      </c>
      <c r="M4713" s="6" t="str">
        <f>IFERROR(__xludf.DUMMYFUNCTION("""COMPUTED_VALUE"""),"Mochammad Fadhillah Hakim,")</f>
        <v>Mochammad Fadhillah Hakim,</v>
      </c>
      <c r="N4713" s="6" t="str">
        <f>IFERROR(__xludf.DUMMYFUNCTION("""COMPUTED_VALUE"""),"FIP Engineering")</f>
        <v>FIP Engineering</v>
      </c>
      <c r="O4713" s="6" t="str">
        <f>IFERROR(__xludf.DUMMYFUNCTION("""COMPUTED_VALUE"""),"FIP-DOM-000-11304-OS00001-INA-000000")</f>
        <v>FIP-DOM-000-11304-OS00001-INA-000000</v>
      </c>
      <c r="P4713" s="6" t="str">
        <f>IFERROR(__xludf.DUMMYFUNCTION("""COMPUTED_VALUE"""),"PO Closed")</f>
        <v>PO Closed</v>
      </c>
      <c r="Q4713" s="6" t="str">
        <f>IFERROR(__xludf.DUMMYFUNCTION("""COMPUTED_VALUE"""),"GL2602365")</f>
        <v>GL2602365</v>
      </c>
      <c r="R4713" s="57">
        <f>IFERROR(__xludf.DUMMYFUNCTION("""COMPUTED_VALUE"""),46027.0)</f>
        <v>46027</v>
      </c>
      <c r="S4713" s="57">
        <f>IFERROR(__xludf.DUMMYFUNCTION("""COMPUTED_VALUE"""),46028.0)</f>
        <v>46028</v>
      </c>
      <c r="T4713" s="57">
        <f>IFERROR(__xludf.DUMMYFUNCTION("""COMPUTED_VALUE"""),46111.0)</f>
        <v>46111</v>
      </c>
    </row>
    <row r="4714">
      <c r="A4714" s="6" t="str">
        <f>IFERROR(__xludf.DUMMYFUNCTION("""COMPUTED_VALUE"""),"121703636-1")</f>
        <v>121703636-1</v>
      </c>
      <c r="B4714" s="6" t="str">
        <f>IFERROR(__xludf.DUMMYFUNCTION("""COMPUTED_VALUE"""),"121703636 - APPROVED")</f>
        <v>121703636 - APPROVED</v>
      </c>
      <c r="C4714" s="6">
        <f>IFERROR(__xludf.DUMMYFUNCTION("""COMPUTED_VALUE"""),1.0)</f>
        <v>1</v>
      </c>
      <c r="D4714" s="6" t="str">
        <f>IFERROR(__xludf.DUMMYFUNCTION("""COMPUTED_VALUE"""),"O-53522-00")</f>
        <v>O-53522-00</v>
      </c>
      <c r="E4714" s="6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F4714" s="6">
        <f>IFERROR(__xludf.DUMMYFUNCTION("""COMPUTED_VALUE"""),1.0)</f>
        <v>1</v>
      </c>
      <c r="G4714" s="6" t="str">
        <f>IFERROR(__xludf.DUMMYFUNCTION("""COMPUTED_VALUE"""),"Pieces")</f>
        <v>Pieces</v>
      </c>
      <c r="H4714" s="6" t="str">
        <f>IFERROR(__xludf.DUMMYFUNCTION("""COMPUTED_VALUE"""),"IDR")</f>
        <v>IDR</v>
      </c>
      <c r="I4714" s="6">
        <f>IFERROR(__xludf.DUMMYFUNCTION("""COMPUTED_VALUE"""),791000.0)</f>
        <v>791000</v>
      </c>
      <c r="J4714" s="6">
        <f>IFERROR(__xludf.DUMMYFUNCTION("""COMPUTED_VALUE"""),791000.0)</f>
        <v>791000</v>
      </c>
      <c r="K4714" s="57">
        <f>IFERROR(__xludf.DUMMYFUNCTION("""COMPUTED_VALUE"""),46059.0)</f>
        <v>46059</v>
      </c>
      <c r="L4714" s="6" t="str">
        <f>IFERROR(__xludf.DUMMYFUNCTION("""COMPUTED_VALUE"""),"FIP Engineering")</f>
        <v>FIP Engineering</v>
      </c>
      <c r="M4714" s="6" t="str">
        <f>IFERROR(__xludf.DUMMYFUNCTION("""COMPUTED_VALUE"""),"Mochammad Fadhillah Hakim,")</f>
        <v>Mochammad Fadhillah Hakim,</v>
      </c>
      <c r="N4714" s="6" t="str">
        <f>IFERROR(__xludf.DUMMYFUNCTION("""COMPUTED_VALUE"""),"FIP Engineering")</f>
        <v>FIP Engineering</v>
      </c>
      <c r="O4714" s="6" t="str">
        <f>IFERROR(__xludf.DUMMYFUNCTION("""COMPUTED_VALUE"""),"FIP-DOM-000-11304-OS00001-INA-000000")</f>
        <v>FIP-DOM-000-11304-OS00001-INA-000000</v>
      </c>
      <c r="P4714" s="6" t="str">
        <f>IFERROR(__xludf.DUMMYFUNCTION("""COMPUTED_VALUE"""),"PO Closed")</f>
        <v>PO Closed</v>
      </c>
      <c r="Q4714" s="6" t="str">
        <f>IFERROR(__xludf.DUMMYFUNCTION("""COMPUTED_VALUE"""),"GL2602366")</f>
        <v>GL2602366</v>
      </c>
      <c r="R4714" s="57">
        <f>IFERROR(__xludf.DUMMYFUNCTION("""COMPUTED_VALUE"""),46027.0)</f>
        <v>46027</v>
      </c>
      <c r="S4714" s="57">
        <f>IFERROR(__xludf.DUMMYFUNCTION("""COMPUTED_VALUE"""),46028.0)</f>
        <v>46028</v>
      </c>
      <c r="T4714" s="57">
        <f>IFERROR(__xludf.DUMMYFUNCTION("""COMPUTED_VALUE"""),46179.0)</f>
        <v>46179</v>
      </c>
    </row>
    <row r="4715">
      <c r="A4715" s="6" t="str">
        <f>IFERROR(__xludf.DUMMYFUNCTION("""COMPUTED_VALUE"""),"121703637-1")</f>
        <v>121703637-1</v>
      </c>
      <c r="B4715" s="6" t="str">
        <f>IFERROR(__xludf.DUMMYFUNCTION("""COMPUTED_VALUE"""),"121703637 - APPROVED")</f>
        <v>121703637 - APPROVED</v>
      </c>
      <c r="C4715" s="6">
        <f>IFERROR(__xludf.DUMMYFUNCTION("""COMPUTED_VALUE"""),1.0)</f>
        <v>1</v>
      </c>
      <c r="D4715" s="6" t="str">
        <f>IFERROR(__xludf.DUMMYFUNCTION("""COMPUTED_VALUE"""),"P-10729-00")</f>
        <v>P-10729-00</v>
      </c>
      <c r="E4715" s="6" t="str">
        <f>IFERROR(__xludf.DUMMYFUNCTION("""COMPUTED_VALUE"""),"General - Contact cleaner WD 40; No Brand; -; 382gr/can")</f>
        <v>General - Contact cleaner WD 40; No Brand; -; 382gr/can</v>
      </c>
      <c r="F4715" s="6">
        <f>IFERROR(__xludf.DUMMYFUNCTION("""COMPUTED_VALUE"""),3.0)</f>
        <v>3</v>
      </c>
      <c r="G4715" s="6" t="str">
        <f>IFERROR(__xludf.DUMMYFUNCTION("""COMPUTED_VALUE"""),"Pieces")</f>
        <v>Pieces</v>
      </c>
      <c r="H4715" s="6" t="str">
        <f>IFERROR(__xludf.DUMMYFUNCTION("""COMPUTED_VALUE"""),"IDR")</f>
        <v>IDR</v>
      </c>
      <c r="I4715" s="6">
        <f>IFERROR(__xludf.DUMMYFUNCTION("""COMPUTED_VALUE"""),93500.0)</f>
        <v>93500</v>
      </c>
      <c r="J4715" s="6">
        <f>IFERROR(__xludf.DUMMYFUNCTION("""COMPUTED_VALUE"""),280500.0)</f>
        <v>280500</v>
      </c>
      <c r="K4715" s="57">
        <f>IFERROR(__xludf.DUMMYFUNCTION("""COMPUTED_VALUE"""),46059.0)</f>
        <v>46059</v>
      </c>
      <c r="L4715" s="6" t="str">
        <f>IFERROR(__xludf.DUMMYFUNCTION("""COMPUTED_VALUE"""),"FIP Engineering")</f>
        <v>FIP Engineering</v>
      </c>
      <c r="M4715" s="6" t="str">
        <f>IFERROR(__xludf.DUMMYFUNCTION("""COMPUTED_VALUE"""),"Mochammad Fadhillah Hakim,")</f>
        <v>Mochammad Fadhillah Hakim,</v>
      </c>
      <c r="N4715" s="6" t="str">
        <f>IFERROR(__xludf.DUMMYFUNCTION("""COMPUTED_VALUE"""),"FIP Engineering")</f>
        <v>FIP Engineering</v>
      </c>
      <c r="O4715" s="6" t="str">
        <f>IFERROR(__xludf.DUMMYFUNCTION("""COMPUTED_VALUE"""),"FIP-DOM-000-11304-OS00001-INA-000000")</f>
        <v>FIP-DOM-000-11304-OS00001-INA-000000</v>
      </c>
      <c r="P4715" s="6" t="str">
        <f>IFERROR(__xludf.DUMMYFUNCTION("""COMPUTED_VALUE"""),"PO Closed")</f>
        <v>PO Closed</v>
      </c>
      <c r="Q4715" s="6" t="str">
        <f>IFERROR(__xludf.DUMMYFUNCTION("""COMPUTED_VALUE"""),"GL2601355")</f>
        <v>GL2601355</v>
      </c>
      <c r="R4715" s="57">
        <f>IFERROR(__xludf.DUMMYFUNCTION("""COMPUTED_VALUE"""),46027.0)</f>
        <v>46027</v>
      </c>
      <c r="S4715" s="57">
        <f>IFERROR(__xludf.DUMMYFUNCTION("""COMPUTED_VALUE"""),46028.0)</f>
        <v>46028</v>
      </c>
      <c r="T4715" s="57">
        <f>IFERROR(__xludf.DUMMYFUNCTION("""COMPUTED_VALUE"""),46073.0)</f>
        <v>46073</v>
      </c>
    </row>
    <row r="4716">
      <c r="A4716" s="6" t="str">
        <f>IFERROR(__xludf.DUMMYFUNCTION("""COMPUTED_VALUE"""),"121703640-1")</f>
        <v>121703640-1</v>
      </c>
      <c r="B4716" s="6" t="str">
        <f>IFERROR(__xludf.DUMMYFUNCTION("""COMPUTED_VALUE"""),"121703640 - APPROVED")</f>
        <v>121703640 - APPROVED</v>
      </c>
      <c r="C4716" s="6">
        <f>IFERROR(__xludf.DUMMYFUNCTION("""COMPUTED_VALUE"""),1.0)</f>
        <v>1</v>
      </c>
      <c r="D4716" s="6" t="str">
        <f>IFERROR(__xludf.DUMMYFUNCTION("""COMPUTED_VALUE"""),"P-54491-00")</f>
        <v>P-54491-00</v>
      </c>
      <c r="E4716" s="6" t="str">
        <f>IFERROR(__xludf.DUMMYFUNCTION("""COMPUTED_VALUE"""),"Lift Schindler - LOP Button Set; Schindler; IWU-000869; 1 set")</f>
        <v>Lift Schindler - LOP Button Set; Schindler; IWU-000869; 1 set</v>
      </c>
      <c r="F4716" s="6">
        <f>IFERROR(__xludf.DUMMYFUNCTION("""COMPUTED_VALUE"""),1.0)</f>
        <v>1</v>
      </c>
      <c r="G4716" s="6" t="str">
        <f>IFERROR(__xludf.DUMMYFUNCTION("""COMPUTED_VALUE"""),"Set")</f>
        <v>Set</v>
      </c>
      <c r="H4716" s="6" t="str">
        <f>IFERROR(__xludf.DUMMYFUNCTION("""COMPUTED_VALUE"""),"IDR")</f>
        <v>IDR</v>
      </c>
      <c r="I4716" s="6">
        <f>IFERROR(__xludf.DUMMYFUNCTION("""COMPUTED_VALUE"""),8500000.0)</f>
        <v>8500000</v>
      </c>
      <c r="J4716" s="6">
        <f>IFERROR(__xludf.DUMMYFUNCTION("""COMPUTED_VALUE"""),8500000.0)</f>
        <v>8500000</v>
      </c>
      <c r="K4716" s="57">
        <f>IFERROR(__xludf.DUMMYFUNCTION("""COMPUTED_VALUE"""),46059.0)</f>
        <v>46059</v>
      </c>
      <c r="L4716" s="6" t="str">
        <f>IFERROR(__xludf.DUMMYFUNCTION("""COMPUTED_VALUE"""),"FIP General")</f>
        <v>FIP General</v>
      </c>
      <c r="M4716" s="6" t="str">
        <f>IFERROR(__xludf.DUMMYFUNCTION("""COMPUTED_VALUE"""),"Mochammad Fadhillah Hakim,")</f>
        <v>Mochammad Fadhillah Hakim,</v>
      </c>
      <c r="N4716" s="6" t="str">
        <f>IFERROR(__xludf.DUMMYFUNCTION("""COMPUTED_VALUE"""),"FIP Engineering")</f>
        <v>FIP Engineering</v>
      </c>
      <c r="O4716" s="6" t="str">
        <f>IFERROR(__xludf.DUMMYFUNCTION("""COMPUTED_VALUE"""),"FIP-DOM-ENG-51502-0000000-INA-000000")</f>
        <v>FIP-DOM-ENG-51502-0000000-INA-000000</v>
      </c>
      <c r="P4716" s="6" t="str">
        <f>IFERROR(__xludf.DUMMYFUNCTION("""COMPUTED_VALUE"""),"PO Closed")</f>
        <v>PO Closed</v>
      </c>
      <c r="Q4716" s="6" t="str">
        <f>IFERROR(__xludf.DUMMYFUNCTION("""COMPUTED_VALUE"""),"GL2602042")</f>
        <v>GL2602042</v>
      </c>
      <c r="R4716" s="57">
        <f>IFERROR(__xludf.DUMMYFUNCTION("""COMPUTED_VALUE"""),46027.0)</f>
        <v>46027</v>
      </c>
      <c r="S4716" s="57">
        <f>IFERROR(__xludf.DUMMYFUNCTION("""COMPUTED_VALUE"""),46029.0)</f>
        <v>46029</v>
      </c>
      <c r="T4716" s="57">
        <f>IFERROR(__xludf.DUMMYFUNCTION("""COMPUTED_VALUE"""),46112.0)</f>
        <v>46112</v>
      </c>
    </row>
    <row r="4717">
      <c r="A4717" s="6" t="str">
        <f>IFERROR(__xludf.DUMMYFUNCTION("""COMPUTED_VALUE"""),"121703641-1")</f>
        <v>121703641-1</v>
      </c>
      <c r="B4717" s="6" t="str">
        <f>IFERROR(__xludf.DUMMYFUNCTION("""COMPUTED_VALUE"""),"121703641 - APPROVED")</f>
        <v>121703641 - APPROVED</v>
      </c>
      <c r="C4717" s="6">
        <f>IFERROR(__xludf.DUMMYFUNCTION("""COMPUTED_VALUE"""),1.0)</f>
        <v>1</v>
      </c>
      <c r="D4717" s="6" t="str">
        <f>IFERROR(__xludf.DUMMYFUNCTION("""COMPUTED_VALUE"""),"P-20392-00")</f>
        <v>P-20392-00</v>
      </c>
      <c r="E4717" s="6" t="str">
        <f>IFERROR(__xludf.DUMMYFUNCTION("""COMPUTED_VALUE"""),"General - Sock Drat Luar PVC 3/4 x 1/2 inch; Rucika; -; 1 pc")</f>
        <v>General - Sock Drat Luar PVC 3/4 x 1/2 inch; Rucika; -; 1 pc</v>
      </c>
      <c r="F4717" s="6">
        <f>IFERROR(__xludf.DUMMYFUNCTION("""COMPUTED_VALUE"""),2.0)</f>
        <v>2</v>
      </c>
      <c r="G4717" s="6" t="str">
        <f>IFERROR(__xludf.DUMMYFUNCTION("""COMPUTED_VALUE"""),"Pieces")</f>
        <v>Pieces</v>
      </c>
      <c r="H4717" s="6" t="str">
        <f>IFERROR(__xludf.DUMMYFUNCTION("""COMPUTED_VALUE"""),"IDR")</f>
        <v>IDR</v>
      </c>
      <c r="I4717" s="6">
        <f>IFERROR(__xludf.DUMMYFUNCTION("""COMPUTED_VALUE"""),8000.0)</f>
        <v>8000</v>
      </c>
      <c r="J4717" s="6">
        <f>IFERROR(__xludf.DUMMYFUNCTION("""COMPUTED_VALUE"""),16000.0)</f>
        <v>16000</v>
      </c>
      <c r="K4717" s="57">
        <f>IFERROR(__xludf.DUMMYFUNCTION("""COMPUTED_VALUE"""),46059.0)</f>
        <v>46059</v>
      </c>
      <c r="L4717" s="6" t="str">
        <f>IFERROR(__xludf.DUMMYFUNCTION("""COMPUTED_VALUE"""),"FIP Engineering")</f>
        <v>FIP Engineering</v>
      </c>
      <c r="M4717" s="6" t="str">
        <f>IFERROR(__xludf.DUMMYFUNCTION("""COMPUTED_VALUE"""),"Mochammad Fadhillah Hakim,")</f>
        <v>Mochammad Fadhillah Hakim,</v>
      </c>
      <c r="N4717" s="6" t="str">
        <f>IFERROR(__xludf.DUMMYFUNCTION("""COMPUTED_VALUE"""),"FIP Engineering")</f>
        <v>FIP Engineering</v>
      </c>
      <c r="O4717" s="6" t="str">
        <f>IFERROR(__xludf.DUMMYFUNCTION("""COMPUTED_VALUE"""),"FIP-DOM-000-11304-OS00001-INA-000000")</f>
        <v>FIP-DOM-000-11304-OS00001-INA-000000</v>
      </c>
      <c r="P4717" s="6" t="str">
        <f>IFERROR(__xludf.DUMMYFUNCTION("""COMPUTED_VALUE"""),"PO Closed")</f>
        <v>PO Closed</v>
      </c>
      <c r="Q4717" s="6" t="str">
        <f>IFERROR(__xludf.DUMMYFUNCTION("""COMPUTED_VALUE"""),"GL2602379")</f>
        <v>GL2602379</v>
      </c>
      <c r="R4717" s="57">
        <f>IFERROR(__xludf.DUMMYFUNCTION("""COMPUTED_VALUE"""),46027.0)</f>
        <v>46027</v>
      </c>
      <c r="S4717" s="57">
        <f>IFERROR(__xludf.DUMMYFUNCTION("""COMPUTED_VALUE"""),46028.0)</f>
        <v>46028</v>
      </c>
      <c r="T4717" s="57">
        <f>IFERROR(__xludf.DUMMYFUNCTION("""COMPUTED_VALUE"""),46081.0)</f>
        <v>46081</v>
      </c>
    </row>
    <row r="4718">
      <c r="A4718" s="6" t="str">
        <f>IFERROR(__xludf.DUMMYFUNCTION("""COMPUTED_VALUE"""),"121703641-2")</f>
        <v>121703641-2</v>
      </c>
      <c r="B4718" s="6" t="str">
        <f>IFERROR(__xludf.DUMMYFUNCTION("""COMPUTED_VALUE"""),"121703641 - APPROVED")</f>
        <v>121703641 - APPROVED</v>
      </c>
      <c r="C4718" s="6">
        <f>IFERROR(__xludf.DUMMYFUNCTION("""COMPUTED_VALUE"""),2.0)</f>
        <v>2</v>
      </c>
      <c r="D4718" s="6" t="str">
        <f>IFERROR(__xludf.DUMMYFUNCTION("""COMPUTED_VALUE"""),"P-20393-00")</f>
        <v>P-20393-00</v>
      </c>
      <c r="E4718" s="6" t="str">
        <f>IFERROR(__xludf.DUMMYFUNCTION("""COMPUTED_VALUE"""),"General - Tee Reducer PVC 2 1/2 x 3/4 inch; ; ;")</f>
        <v>General - Tee Reducer PVC 2 1/2 x 3/4 inch; ; ;</v>
      </c>
      <c r="F4718" s="6">
        <f>IFERROR(__xludf.DUMMYFUNCTION("""COMPUTED_VALUE"""),1.0)</f>
        <v>1</v>
      </c>
      <c r="G4718" s="6" t="str">
        <f>IFERROR(__xludf.DUMMYFUNCTION("""COMPUTED_VALUE"""),"Pieces")</f>
        <v>Pieces</v>
      </c>
      <c r="H4718" s="6" t="str">
        <f>IFERROR(__xludf.DUMMYFUNCTION("""COMPUTED_VALUE"""),"IDR")</f>
        <v>IDR</v>
      </c>
      <c r="I4718" s="6">
        <f>IFERROR(__xludf.DUMMYFUNCTION("""COMPUTED_VALUE"""),30000.0)</f>
        <v>30000</v>
      </c>
      <c r="J4718" s="6">
        <f>IFERROR(__xludf.DUMMYFUNCTION("""COMPUTED_VALUE"""),30000.0)</f>
        <v>30000</v>
      </c>
      <c r="K4718" s="57">
        <f>IFERROR(__xludf.DUMMYFUNCTION("""COMPUTED_VALUE"""),46059.0)</f>
        <v>46059</v>
      </c>
      <c r="L4718" s="6" t="str">
        <f>IFERROR(__xludf.DUMMYFUNCTION("""COMPUTED_VALUE"""),"FIP Engineering")</f>
        <v>FIP Engineering</v>
      </c>
      <c r="M4718" s="6" t="str">
        <f>IFERROR(__xludf.DUMMYFUNCTION("""COMPUTED_VALUE"""),"Mochammad Fadhillah Hakim,")</f>
        <v>Mochammad Fadhillah Hakim,</v>
      </c>
      <c r="N4718" s="6" t="str">
        <f>IFERROR(__xludf.DUMMYFUNCTION("""COMPUTED_VALUE"""),"FIP Engineering")</f>
        <v>FIP Engineering</v>
      </c>
      <c r="O4718" s="6" t="str">
        <f>IFERROR(__xludf.DUMMYFUNCTION("""COMPUTED_VALUE"""),"FIP-DOM-000-11304-OS00001-INA-000000")</f>
        <v>FIP-DOM-000-11304-OS00001-INA-000000</v>
      </c>
      <c r="P4718" s="6" t="str">
        <f>IFERROR(__xludf.DUMMYFUNCTION("""COMPUTED_VALUE"""),"PO Closed")</f>
        <v>PO Closed</v>
      </c>
      <c r="Q4718" s="6" t="str">
        <f>IFERROR(__xludf.DUMMYFUNCTION("""COMPUTED_VALUE"""),"GL2602379")</f>
        <v>GL2602379</v>
      </c>
      <c r="R4718" s="57">
        <f>IFERROR(__xludf.DUMMYFUNCTION("""COMPUTED_VALUE"""),46027.0)</f>
        <v>46027</v>
      </c>
      <c r="S4718" s="57">
        <f>IFERROR(__xludf.DUMMYFUNCTION("""COMPUTED_VALUE"""),46028.0)</f>
        <v>46028</v>
      </c>
      <c r="T4718" s="57">
        <f>IFERROR(__xludf.DUMMYFUNCTION("""COMPUTED_VALUE"""),46081.0)</f>
        <v>46081</v>
      </c>
    </row>
    <row r="4719">
      <c r="A4719" s="6" t="str">
        <f>IFERROR(__xludf.DUMMYFUNCTION("""COMPUTED_VALUE"""),"121703642-1")</f>
        <v>121703642-1</v>
      </c>
      <c r="B4719" s="6" t="str">
        <f>IFERROR(__xludf.DUMMYFUNCTION("""COMPUTED_VALUE"""),"121703642 - APPROVED")</f>
        <v>121703642 - APPROVED</v>
      </c>
      <c r="C4719" s="6">
        <f>IFERROR(__xludf.DUMMYFUNCTION("""COMPUTED_VALUE"""),1.0)</f>
        <v>1</v>
      </c>
      <c r="D4719" s="6" t="str">
        <f>IFERROR(__xludf.DUMMYFUNCTION("""COMPUTED_VALUE"""),"S-20986-00")</f>
        <v>S-20986-00</v>
      </c>
      <c r="E4719" s="6" t="str">
        <f>IFERROR(__xludf.DUMMYFUNCTION("""COMPUTED_VALUE"""),"Sarung Tangan Tahan Panas 500 C; Castong; ABY5T-34; pack size per pairs")</f>
        <v>Sarung Tangan Tahan Panas 500 C; Castong; ABY5T-34; pack size per pairs</v>
      </c>
      <c r="F4719" s="6">
        <f>IFERROR(__xludf.DUMMYFUNCTION("""COMPUTED_VALUE"""),3.0)</f>
        <v>3</v>
      </c>
      <c r="G4719" s="6" t="str">
        <f>IFERROR(__xludf.DUMMYFUNCTION("""COMPUTED_VALUE"""),"Pair")</f>
        <v>Pair</v>
      </c>
      <c r="H4719" s="6" t="str">
        <f>IFERROR(__xludf.DUMMYFUNCTION("""COMPUTED_VALUE"""),"IDR")</f>
        <v>IDR</v>
      </c>
      <c r="I4719" s="6">
        <f>IFERROR(__xludf.DUMMYFUNCTION("""COMPUTED_VALUE"""),693000.0)</f>
        <v>693000</v>
      </c>
      <c r="J4719" s="6">
        <f>IFERROR(__xludf.DUMMYFUNCTION("""COMPUTED_VALUE"""),2079000.0)</f>
        <v>2079000</v>
      </c>
      <c r="K4719" s="57">
        <f>IFERROR(__xludf.DUMMYFUNCTION("""COMPUTED_VALUE"""),46059.0)</f>
        <v>46059</v>
      </c>
      <c r="L4719" s="6" t="str">
        <f>IFERROR(__xludf.DUMMYFUNCTION("""COMPUTED_VALUE"""),"FIP General")</f>
        <v>FIP General</v>
      </c>
      <c r="M4719" s="6" t="str">
        <f>IFERROR(__xludf.DUMMYFUNCTION("""COMPUTED_VALUE"""),"Mochammad Fadhillah Hakim,")</f>
        <v>Mochammad Fadhillah Hakim,</v>
      </c>
      <c r="N4719" s="6" t="str">
        <f>IFERROR(__xludf.DUMMYFUNCTION("""COMPUTED_VALUE"""),"FIP Engineering")</f>
        <v>FIP Engineering</v>
      </c>
      <c r="O4719" s="6" t="str">
        <f>IFERROR(__xludf.DUMMYFUNCTION("""COMPUTED_VALUE"""),"FIP-DOM-ENG-51404-0000000-INA-000000")</f>
        <v>FIP-DOM-ENG-51404-0000000-INA-000000</v>
      </c>
      <c r="P4719" s="6" t="str">
        <f>IFERROR(__xludf.DUMMYFUNCTION("""COMPUTED_VALUE"""),"PO Closed")</f>
        <v>PO Closed</v>
      </c>
      <c r="Q4719" s="6" t="str">
        <f>IFERROR(__xludf.DUMMYFUNCTION("""COMPUTED_VALUE"""),"GL2604005")</f>
        <v>GL2604005</v>
      </c>
      <c r="R4719" s="57">
        <f>IFERROR(__xludf.DUMMYFUNCTION("""COMPUTED_VALUE"""),46027.0)</f>
        <v>46027</v>
      </c>
      <c r="S4719" s="57">
        <f>IFERROR(__xludf.DUMMYFUNCTION("""COMPUTED_VALUE"""),46028.0)</f>
        <v>46028</v>
      </c>
      <c r="T4719" s="57">
        <f>IFERROR(__xludf.DUMMYFUNCTION("""COMPUTED_VALUE"""),46136.0)</f>
        <v>46136</v>
      </c>
    </row>
    <row r="4720">
      <c r="A4720" s="6" t="str">
        <f>IFERROR(__xludf.DUMMYFUNCTION("""COMPUTED_VALUE"""),"121703643-1")</f>
        <v>121703643-1</v>
      </c>
      <c r="B4720" s="6" t="str">
        <f>IFERROR(__xludf.DUMMYFUNCTION("""COMPUTED_VALUE"""),"121703643 - APPROVED")</f>
        <v>121703643 - APPROVED</v>
      </c>
      <c r="C4720" s="6">
        <f>IFERROR(__xludf.DUMMYFUNCTION("""COMPUTED_VALUE"""),1.0)</f>
        <v>1</v>
      </c>
      <c r="D4720" s="6" t="str">
        <f>IFERROR(__xludf.DUMMYFUNCTION("""COMPUTED_VALUE"""),"O-20554-00")</f>
        <v>O-20554-00</v>
      </c>
      <c r="E4720" s="6" t="str">
        <f>IFERROR(__xludf.DUMMYFUNCTION("""COMPUTED_VALUE"""),"Marchesini MA155 - Spring Plate 21.4.0.1/0.368; -; M660010070; 1 Pc")</f>
        <v>Marchesini MA155 - Spring Plate 21.4.0.1/0.368; -; M660010070; 1 Pc</v>
      </c>
      <c r="F4720" s="6">
        <f>IFERROR(__xludf.DUMMYFUNCTION("""COMPUTED_VALUE"""),6.0)</f>
        <v>6</v>
      </c>
      <c r="G4720" s="6" t="str">
        <f>IFERROR(__xludf.DUMMYFUNCTION("""COMPUTED_VALUE"""),"Pieces")</f>
        <v>Pieces</v>
      </c>
      <c r="H4720" s="6" t="str">
        <f>IFERROR(__xludf.DUMMYFUNCTION("""COMPUTED_VALUE"""),"IDR")</f>
        <v>IDR</v>
      </c>
      <c r="I4720" s="6">
        <f>IFERROR(__xludf.DUMMYFUNCTION("""COMPUTED_VALUE"""),352070.0)</f>
        <v>352070</v>
      </c>
      <c r="J4720" s="6">
        <f>IFERROR(__xludf.DUMMYFUNCTION("""COMPUTED_VALUE"""),2112420.0)</f>
        <v>2112420</v>
      </c>
      <c r="K4720" s="57">
        <f>IFERROR(__xludf.DUMMYFUNCTION("""COMPUTED_VALUE"""),46059.0)</f>
        <v>46059</v>
      </c>
      <c r="L4720" s="6" t="str">
        <f>IFERROR(__xludf.DUMMYFUNCTION("""COMPUTED_VALUE"""),"FIP Engineering")</f>
        <v>FIP Engineering</v>
      </c>
      <c r="M4720" s="6" t="str">
        <f>IFERROR(__xludf.DUMMYFUNCTION("""COMPUTED_VALUE"""),"Mochammad Fadhillah Hakim,")</f>
        <v>Mochammad Fadhillah Hakim,</v>
      </c>
      <c r="N4720" s="6" t="str">
        <f>IFERROR(__xludf.DUMMYFUNCTION("""COMPUTED_VALUE"""),"FIP Engineering")</f>
        <v>FIP Engineering</v>
      </c>
      <c r="O4720" s="6" t="str">
        <f>IFERROR(__xludf.DUMMYFUNCTION("""COMPUTED_VALUE"""),"FIP-DOM-000-11304-OS00001-INA-000000")</f>
        <v>FIP-DOM-000-11304-OS00001-INA-000000</v>
      </c>
      <c r="P4720" s="6" t="str">
        <f>IFERROR(__xludf.DUMMYFUNCTION("""COMPUTED_VALUE"""),"PO Closed")</f>
        <v>PO Closed</v>
      </c>
      <c r="Q4720" s="6" t="str">
        <f>IFERROR(__xludf.DUMMYFUNCTION("""COMPUTED_VALUE"""),"GL2602373")</f>
        <v>GL2602373</v>
      </c>
      <c r="R4720" s="57">
        <f>IFERROR(__xludf.DUMMYFUNCTION("""COMPUTED_VALUE"""),46027.0)</f>
        <v>46027</v>
      </c>
      <c r="S4720" s="57">
        <f>IFERROR(__xludf.DUMMYFUNCTION("""COMPUTED_VALUE"""),46028.0)</f>
        <v>46028</v>
      </c>
      <c r="T4720" s="57">
        <f>IFERROR(__xludf.DUMMYFUNCTION("""COMPUTED_VALUE"""),46142.0)</f>
        <v>46142</v>
      </c>
    </row>
    <row r="4721">
      <c r="A4721" s="6" t="str">
        <f>IFERROR(__xludf.DUMMYFUNCTION("""COMPUTED_VALUE"""),"121703644-1")</f>
        <v>121703644-1</v>
      </c>
      <c r="B4721" s="6" t="str">
        <f>IFERROR(__xludf.DUMMYFUNCTION("""COMPUTED_VALUE"""),"121703644 - APPROVED")</f>
        <v>121703644 - APPROVED</v>
      </c>
      <c r="C4721" s="6">
        <f>IFERROR(__xludf.DUMMYFUNCTION("""COMPUTED_VALUE"""),1.0)</f>
        <v>1</v>
      </c>
      <c r="D4721" s="6" t="str">
        <f>IFERROR(__xludf.DUMMYFUNCTION("""COMPUTED_VALUE"""),"P-20408-00")</f>
        <v>P-20408-00</v>
      </c>
      <c r="E4721" s="6" t="str">
        <f>IFERROR(__xludf.DUMMYFUNCTION("""COMPUTED_VALUE"""),"General - Pressure Gauge 10 Bar 3/4 Inch; GMT; -; 1 pc")</f>
        <v>General - Pressure Gauge 10 Bar 3/4 Inch; GMT; -; 1 pc</v>
      </c>
      <c r="F4721" s="6">
        <f>IFERROR(__xludf.DUMMYFUNCTION("""COMPUTED_VALUE"""),2.0)</f>
        <v>2</v>
      </c>
      <c r="G4721" s="6" t="str">
        <f>IFERROR(__xludf.DUMMYFUNCTION("""COMPUTED_VALUE"""),"Pieces")</f>
        <v>Pieces</v>
      </c>
      <c r="H4721" s="6" t="str">
        <f>IFERROR(__xludf.DUMMYFUNCTION("""COMPUTED_VALUE"""),"IDR")</f>
        <v>IDR</v>
      </c>
      <c r="I4721" s="6">
        <f>IFERROR(__xludf.DUMMYFUNCTION("""COMPUTED_VALUE"""),365000.0)</f>
        <v>365000</v>
      </c>
      <c r="J4721" s="6">
        <f>IFERROR(__xludf.DUMMYFUNCTION("""COMPUTED_VALUE"""),730000.0)</f>
        <v>730000</v>
      </c>
      <c r="K4721" s="57">
        <f>IFERROR(__xludf.DUMMYFUNCTION("""COMPUTED_VALUE"""),46059.0)</f>
        <v>46059</v>
      </c>
      <c r="L4721" s="6" t="str">
        <f>IFERROR(__xludf.DUMMYFUNCTION("""COMPUTED_VALUE"""),"FIP Engineering")</f>
        <v>FIP Engineering</v>
      </c>
      <c r="M4721" s="6" t="str">
        <f>IFERROR(__xludf.DUMMYFUNCTION("""COMPUTED_VALUE"""),"Mochammad Fadhillah Hakim,")</f>
        <v>Mochammad Fadhillah Hakim,</v>
      </c>
      <c r="N4721" s="6" t="str">
        <f>IFERROR(__xludf.DUMMYFUNCTION("""COMPUTED_VALUE"""),"FIP Engineering")</f>
        <v>FIP Engineering</v>
      </c>
      <c r="O4721" s="6" t="str">
        <f>IFERROR(__xludf.DUMMYFUNCTION("""COMPUTED_VALUE"""),"FIP-DOM-000-11304-OS00001-INA-000000")</f>
        <v>FIP-DOM-000-11304-OS00001-INA-000000</v>
      </c>
      <c r="P4721" s="6" t="str">
        <f>IFERROR(__xludf.DUMMYFUNCTION("""COMPUTED_VALUE"""),"PO Closed")</f>
        <v>PO Closed</v>
      </c>
      <c r="Q4721" s="6" t="str">
        <f>IFERROR(__xludf.DUMMYFUNCTION("""COMPUTED_VALUE"""),"GL2602379")</f>
        <v>GL2602379</v>
      </c>
      <c r="R4721" s="57">
        <f>IFERROR(__xludf.DUMMYFUNCTION("""COMPUTED_VALUE"""),46027.0)</f>
        <v>46027</v>
      </c>
      <c r="S4721" s="57">
        <f>IFERROR(__xludf.DUMMYFUNCTION("""COMPUTED_VALUE"""),46028.0)</f>
        <v>46028</v>
      </c>
      <c r="T4721" s="57">
        <f>IFERROR(__xludf.DUMMYFUNCTION("""COMPUTED_VALUE"""),46081.0)</f>
        <v>46081</v>
      </c>
    </row>
    <row r="4722">
      <c r="A4722" s="6" t="str">
        <f>IFERROR(__xludf.DUMMYFUNCTION("""COMPUTED_VALUE"""),"121703645-1")</f>
        <v>121703645-1</v>
      </c>
      <c r="B4722" s="6" t="str">
        <f>IFERROR(__xludf.DUMMYFUNCTION("""COMPUTED_VALUE"""),"121703645 - APPROVED")</f>
        <v>121703645 - APPROVED</v>
      </c>
      <c r="C4722" s="6">
        <f>IFERROR(__xludf.DUMMYFUNCTION("""COMPUTED_VALUE"""),1.0)</f>
        <v>1</v>
      </c>
      <c r="D4722" s="6" t="str">
        <f>IFERROR(__xludf.DUMMYFUNCTION("""COMPUTED_VALUE"""),"Q-70224-00")</f>
        <v>Q-70224-00</v>
      </c>
      <c r="E4722" s="6" t="str">
        <f>IFERROR(__xludf.DUMMYFUNCTION("""COMPUTED_VALUE"""),"Kunci L Mini Set; Tekiro; HK-EL1198; 7 pc/set")</f>
        <v>Kunci L Mini Set; Tekiro; HK-EL1198; 7 pc/set</v>
      </c>
      <c r="F4722" s="6">
        <f>IFERROR(__xludf.DUMMYFUNCTION("""COMPUTED_VALUE"""),1.0)</f>
        <v>1</v>
      </c>
      <c r="G4722" s="6" t="str">
        <f>IFERROR(__xludf.DUMMYFUNCTION("""COMPUTED_VALUE"""),"Set")</f>
        <v>Set</v>
      </c>
      <c r="H4722" s="6" t="str">
        <f>IFERROR(__xludf.DUMMYFUNCTION("""COMPUTED_VALUE"""),"IDR")</f>
        <v>IDR</v>
      </c>
      <c r="I4722" s="6">
        <f>IFERROR(__xludf.DUMMYFUNCTION("""COMPUTED_VALUE"""),38500.0)</f>
        <v>38500</v>
      </c>
      <c r="J4722" s="6">
        <f>IFERROR(__xludf.DUMMYFUNCTION("""COMPUTED_VALUE"""),38500.0)</f>
        <v>38500</v>
      </c>
      <c r="K4722" s="57">
        <f>IFERROR(__xludf.DUMMYFUNCTION("""COMPUTED_VALUE"""),46059.0)</f>
        <v>46059</v>
      </c>
      <c r="L4722" s="6" t="str">
        <f>IFERROR(__xludf.DUMMYFUNCTION("""COMPUTED_VALUE"""),"FIP General")</f>
        <v>FIP General</v>
      </c>
      <c r="M4722" s="6" t="str">
        <f>IFERROR(__xludf.DUMMYFUNCTION("""COMPUTED_VALUE"""),"Mochammad Fadhillah Hakim,")</f>
        <v>Mochammad Fadhillah Hakim,</v>
      </c>
      <c r="N4722" s="6" t="str">
        <f>IFERROR(__xludf.DUMMYFUNCTION("""COMPUTED_VALUE"""),"FIP Engineering")</f>
        <v>FIP Engineering</v>
      </c>
      <c r="O4722" s="6" t="str">
        <f>IFERROR(__xludf.DUMMYFUNCTION("""COMPUTED_VALUE"""),"FIP-DOM-ENG-51404-0000000-INA-000000")</f>
        <v>FIP-DOM-ENG-51404-0000000-INA-000000</v>
      </c>
      <c r="P4722" s="6" t="str">
        <f>IFERROR(__xludf.DUMMYFUNCTION("""COMPUTED_VALUE"""),"PO Closed")</f>
        <v>PO Closed</v>
      </c>
      <c r="Q4722" s="6" t="str">
        <f>IFERROR(__xludf.DUMMYFUNCTION("""COMPUTED_VALUE"""),"GL2602027")</f>
        <v>GL2602027</v>
      </c>
      <c r="R4722" s="57">
        <f>IFERROR(__xludf.DUMMYFUNCTION("""COMPUTED_VALUE"""),46027.0)</f>
        <v>46027</v>
      </c>
      <c r="S4722" s="57">
        <f>IFERROR(__xludf.DUMMYFUNCTION("""COMPUTED_VALUE"""),46028.0)</f>
        <v>46028</v>
      </c>
      <c r="T4722" s="57">
        <f>IFERROR(__xludf.DUMMYFUNCTION("""COMPUTED_VALUE"""),46112.0)</f>
        <v>46112</v>
      </c>
    </row>
    <row r="4723">
      <c r="A4723" s="6" t="str">
        <f>IFERROR(__xludf.DUMMYFUNCTION("""COMPUTED_VALUE"""),"121703646-1")</f>
        <v>121703646-1</v>
      </c>
      <c r="B4723" s="6" t="str">
        <f>IFERROR(__xludf.DUMMYFUNCTION("""COMPUTED_VALUE"""),"121703646 - APPROVED")</f>
        <v>121703646 - APPROVED</v>
      </c>
      <c r="C4723" s="6">
        <f>IFERROR(__xludf.DUMMYFUNCTION("""COMPUTED_VALUE"""),1.0)</f>
        <v>1</v>
      </c>
      <c r="D4723" s="6" t="str">
        <f>IFERROR(__xludf.DUMMYFUNCTION("""COMPUTED_VALUE"""),"P-20409-00")</f>
        <v>P-20409-00</v>
      </c>
      <c r="E4723" s="6" t="str">
        <f>IFERROR(__xludf.DUMMYFUNCTION("""COMPUTED_VALUE"""),"Pompa Grundfos - Shaft Seal CR/N 32/45/64/90 HQQE; Grundfos; -; 1 pc")</f>
        <v>Pompa Grundfos - Shaft Seal CR/N 32/45/64/90 HQQE; Grundfos; -; 1 pc</v>
      </c>
      <c r="F4723" s="6">
        <f>IFERROR(__xludf.DUMMYFUNCTION("""COMPUTED_VALUE"""),1.0)</f>
        <v>1</v>
      </c>
      <c r="G4723" s="6" t="str">
        <f>IFERROR(__xludf.DUMMYFUNCTION("""COMPUTED_VALUE"""),"Pieces")</f>
        <v>Pieces</v>
      </c>
      <c r="H4723" s="6" t="str">
        <f>IFERROR(__xludf.DUMMYFUNCTION("""COMPUTED_VALUE"""),"IDR")</f>
        <v>IDR</v>
      </c>
      <c r="I4723" s="6">
        <f>IFERROR(__xludf.DUMMYFUNCTION("""COMPUTED_VALUE"""),6212000.0)</f>
        <v>6212000</v>
      </c>
      <c r="J4723" s="6">
        <f>IFERROR(__xludf.DUMMYFUNCTION("""COMPUTED_VALUE"""),6212000.0)</f>
        <v>6212000</v>
      </c>
      <c r="K4723" s="57">
        <f>IFERROR(__xludf.DUMMYFUNCTION("""COMPUTED_VALUE"""),46059.0)</f>
        <v>46059</v>
      </c>
      <c r="L4723" s="6" t="str">
        <f>IFERROR(__xludf.DUMMYFUNCTION("""COMPUTED_VALUE"""),"FIP Engineering")</f>
        <v>FIP Engineering</v>
      </c>
      <c r="M4723" s="6" t="str">
        <f>IFERROR(__xludf.DUMMYFUNCTION("""COMPUTED_VALUE"""),"Mochammad Fadhillah Hakim,")</f>
        <v>Mochammad Fadhillah Hakim,</v>
      </c>
      <c r="N4723" s="6" t="str">
        <f>IFERROR(__xludf.DUMMYFUNCTION("""COMPUTED_VALUE"""),"FIP Engineering")</f>
        <v>FIP Engineering</v>
      </c>
      <c r="O4723" s="6" t="str">
        <f>IFERROR(__xludf.DUMMYFUNCTION("""COMPUTED_VALUE"""),"FIP-DOM-000-11304-OS00001-INA-000000")</f>
        <v>FIP-DOM-000-11304-OS00001-INA-000000</v>
      </c>
      <c r="P4723" s="6" t="str">
        <f>IFERROR(__xludf.DUMMYFUNCTION("""COMPUTED_VALUE"""),"PO Closed")</f>
        <v>PO Closed</v>
      </c>
      <c r="Q4723" s="6" t="str">
        <f>IFERROR(__xludf.DUMMYFUNCTION("""COMPUTED_VALUE"""),"GL2601017")</f>
        <v>GL2601017</v>
      </c>
      <c r="R4723" s="57">
        <f>IFERROR(__xludf.DUMMYFUNCTION("""COMPUTED_VALUE"""),46027.0)</f>
        <v>46027</v>
      </c>
      <c r="S4723" s="57">
        <f>IFERROR(__xludf.DUMMYFUNCTION("""COMPUTED_VALUE"""),46028.0)</f>
        <v>46028</v>
      </c>
      <c r="T4723" s="57">
        <f>IFERROR(__xludf.DUMMYFUNCTION("""COMPUTED_VALUE"""),46059.0)</f>
        <v>46059</v>
      </c>
    </row>
    <row r="4724">
      <c r="A4724" s="6" t="str">
        <f>IFERROR(__xludf.DUMMYFUNCTION("""COMPUTED_VALUE"""),"121703647-1")</f>
        <v>121703647-1</v>
      </c>
      <c r="B4724" s="6" t="str">
        <f>IFERROR(__xludf.DUMMYFUNCTION("""COMPUTED_VALUE"""),"121703647 - APPROVED")</f>
        <v>121703647 - APPROVED</v>
      </c>
      <c r="C4724" s="6">
        <f>IFERROR(__xludf.DUMMYFUNCTION("""COMPUTED_VALUE"""),1.0)</f>
        <v>1</v>
      </c>
      <c r="D4724" s="6" t="str">
        <f>IFERROR(__xludf.DUMMYFUNCTION("""COMPUTED_VALUE"""),"O-51818-00")</f>
        <v>O-51818-00</v>
      </c>
      <c r="E4724" s="6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F4724" s="6">
        <f>IFERROR(__xludf.DUMMYFUNCTION("""COMPUTED_VALUE"""),2.0)</f>
        <v>2</v>
      </c>
      <c r="G4724" s="6" t="str">
        <f>IFERROR(__xludf.DUMMYFUNCTION("""COMPUTED_VALUE"""),"Unit")</f>
        <v>Unit</v>
      </c>
      <c r="H4724" s="6" t="str">
        <f>IFERROR(__xludf.DUMMYFUNCTION("""COMPUTED_VALUE"""),"IDR")</f>
        <v>IDR</v>
      </c>
      <c r="I4724" s="6">
        <f>IFERROR(__xludf.DUMMYFUNCTION("""COMPUTED_VALUE"""),8331708.0)</f>
        <v>8331708</v>
      </c>
      <c r="J4724" s="6">
        <f>IFERROR(__xludf.DUMMYFUNCTION("""COMPUTED_VALUE"""),1.6663416E7)</f>
        <v>16663416</v>
      </c>
      <c r="K4724" s="57">
        <f>IFERROR(__xludf.DUMMYFUNCTION("""COMPUTED_VALUE"""),46059.0)</f>
        <v>46059</v>
      </c>
      <c r="L4724" s="6" t="str">
        <f>IFERROR(__xludf.DUMMYFUNCTION("""COMPUTED_VALUE"""),"FIP Engineering")</f>
        <v>FIP Engineering</v>
      </c>
      <c r="M4724" s="6" t="str">
        <f>IFERROR(__xludf.DUMMYFUNCTION("""COMPUTED_VALUE"""),"Mochammad Fadhillah Hakim,")</f>
        <v>Mochammad Fadhillah Hakim,</v>
      </c>
      <c r="N4724" s="6" t="str">
        <f>IFERROR(__xludf.DUMMYFUNCTION("""COMPUTED_VALUE"""),"FIP Engineering")</f>
        <v>FIP Engineering</v>
      </c>
      <c r="O4724" s="6" t="str">
        <f>IFERROR(__xludf.DUMMYFUNCTION("""COMPUTED_VALUE"""),"FIP-DOM-000-11304-OS00001-INA-000000")</f>
        <v>FIP-DOM-000-11304-OS00001-INA-000000</v>
      </c>
      <c r="P4724" s="6" t="str">
        <f>IFERROR(__xludf.DUMMYFUNCTION("""COMPUTED_VALUE"""),"PO Open")</f>
        <v>PO Open</v>
      </c>
      <c r="Q4724" s="6" t="str">
        <f>IFERROR(__xludf.DUMMYFUNCTION("""COMPUTED_VALUE"""),"GL2601027")</f>
        <v>GL2601027</v>
      </c>
      <c r="R4724" s="57">
        <f>IFERROR(__xludf.DUMMYFUNCTION("""COMPUTED_VALUE"""),46027.0)</f>
        <v>46027</v>
      </c>
      <c r="S4724" s="57">
        <f>IFERROR(__xludf.DUMMYFUNCTION("""COMPUTED_VALUE"""),46028.0)</f>
        <v>46028</v>
      </c>
      <c r="T4724" s="57">
        <f>IFERROR(__xludf.DUMMYFUNCTION("""COMPUTED_VALUE"""),46265.0)</f>
        <v>46265</v>
      </c>
    </row>
    <row r="4725">
      <c r="A4725" s="6" t="str">
        <f>IFERROR(__xludf.DUMMYFUNCTION("""COMPUTED_VALUE"""),"121703648-1")</f>
        <v>121703648-1</v>
      </c>
      <c r="B4725" s="6" t="str">
        <f>IFERROR(__xludf.DUMMYFUNCTION("""COMPUTED_VALUE"""),"121703648 - APPROVED")</f>
        <v>121703648 - APPROVED</v>
      </c>
      <c r="C4725" s="6">
        <f>IFERROR(__xludf.DUMMYFUNCTION("""COMPUTED_VALUE"""),1.0)</f>
        <v>1</v>
      </c>
      <c r="D4725" s="6" t="str">
        <f>IFERROR(__xludf.DUMMYFUNCTION("""COMPUTED_VALUE"""),"O-21265-00")</f>
        <v>O-21265-00</v>
      </c>
      <c r="E4725" s="6" t="str">
        <f>IFERROR(__xludf.DUMMYFUNCTION("""COMPUTED_VALUE"""),"Autoclave Service NA2247AU - Oring EPDM 3.5x69.7x76.8; Custom/Lokal; -; 1 Pc")</f>
        <v>Autoclave Service NA2247AU - Oring EPDM 3.5x69.7x76.8; Custom/Lokal; -; 1 Pc</v>
      </c>
      <c r="F4725" s="6">
        <f>IFERROR(__xludf.DUMMYFUNCTION("""COMPUTED_VALUE"""),5.0)</f>
        <v>5</v>
      </c>
      <c r="G4725" s="6" t="str">
        <f>IFERROR(__xludf.DUMMYFUNCTION("""COMPUTED_VALUE"""),"Pieces")</f>
        <v>Pieces</v>
      </c>
      <c r="H4725" s="6" t="str">
        <f>IFERROR(__xludf.DUMMYFUNCTION("""COMPUTED_VALUE"""),"IDR")</f>
        <v>IDR</v>
      </c>
      <c r="I4725" s="6">
        <f>IFERROR(__xludf.DUMMYFUNCTION("""COMPUTED_VALUE"""),37500.0)</f>
        <v>37500</v>
      </c>
      <c r="J4725" s="6">
        <f>IFERROR(__xludf.DUMMYFUNCTION("""COMPUTED_VALUE"""),187500.0)</f>
        <v>187500</v>
      </c>
      <c r="K4725" s="57">
        <f>IFERROR(__xludf.DUMMYFUNCTION("""COMPUTED_VALUE"""),46059.0)</f>
        <v>46059</v>
      </c>
      <c r="L4725" s="6" t="str">
        <f>IFERROR(__xludf.DUMMYFUNCTION("""COMPUTED_VALUE"""),"FIP Engineering")</f>
        <v>FIP Engineering</v>
      </c>
      <c r="M4725" s="6" t="str">
        <f>IFERROR(__xludf.DUMMYFUNCTION("""COMPUTED_VALUE"""),"Mochammad Fadhillah Hakim,")</f>
        <v>Mochammad Fadhillah Hakim,</v>
      </c>
      <c r="N4725" s="6" t="str">
        <f>IFERROR(__xludf.DUMMYFUNCTION("""COMPUTED_VALUE"""),"FIP Engineering")</f>
        <v>FIP Engineering</v>
      </c>
      <c r="O4725" s="6" t="str">
        <f>IFERROR(__xludf.DUMMYFUNCTION("""COMPUTED_VALUE"""),"FIP-DOM-000-11304-OS00001-INA-000000")</f>
        <v>FIP-DOM-000-11304-OS00001-INA-000000</v>
      </c>
      <c r="P4725" s="6" t="str">
        <f>IFERROR(__xludf.DUMMYFUNCTION("""COMPUTED_VALUE"""),"PO Closed")</f>
        <v>PO Closed</v>
      </c>
      <c r="Q4725" s="6" t="str">
        <f>IFERROR(__xludf.DUMMYFUNCTION("""COMPUTED_VALUE"""),"GL2602376")</f>
        <v>GL2602376</v>
      </c>
      <c r="R4725" s="57">
        <f>IFERROR(__xludf.DUMMYFUNCTION("""COMPUTED_VALUE"""),46027.0)</f>
        <v>46027</v>
      </c>
      <c r="S4725" s="57">
        <f>IFERROR(__xludf.DUMMYFUNCTION("""COMPUTED_VALUE"""),46028.0)</f>
        <v>46028</v>
      </c>
      <c r="T4725" s="57">
        <f>IFERROR(__xludf.DUMMYFUNCTION("""COMPUTED_VALUE"""),46101.0)</f>
        <v>46101</v>
      </c>
    </row>
    <row r="4726">
      <c r="A4726" s="6" t="str">
        <f>IFERROR(__xludf.DUMMYFUNCTION("""COMPUTED_VALUE"""),"121703649-1")</f>
        <v>121703649-1</v>
      </c>
      <c r="B4726" s="6" t="str">
        <f>IFERROR(__xludf.DUMMYFUNCTION("""COMPUTED_VALUE"""),"121703649 - APPROVED")</f>
        <v>121703649 - APPROVED</v>
      </c>
      <c r="C4726" s="6">
        <f>IFERROR(__xludf.DUMMYFUNCTION("""COMPUTED_VALUE"""),1.0)</f>
        <v>1</v>
      </c>
      <c r="D4726" s="6" t="str">
        <f>IFERROR(__xludf.DUMMYFUNCTION("""COMPUTED_VALUE"""),"O-53510-00")</f>
        <v>O-53510-00</v>
      </c>
      <c r="E4726" s="6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F4726" s="6">
        <f>IFERROR(__xludf.DUMMYFUNCTION("""COMPUTED_VALUE"""),10.0)</f>
        <v>10</v>
      </c>
      <c r="G4726" s="6" t="str">
        <f>IFERROR(__xludf.DUMMYFUNCTION("""COMPUTED_VALUE"""),"Pieces")</f>
        <v>Pieces</v>
      </c>
      <c r="H4726" s="6" t="str">
        <f>IFERROR(__xludf.DUMMYFUNCTION("""COMPUTED_VALUE"""),"IDR")</f>
        <v>IDR</v>
      </c>
      <c r="I4726" s="6">
        <f>IFERROR(__xludf.DUMMYFUNCTION("""COMPUTED_VALUE"""),955000.0)</f>
        <v>955000</v>
      </c>
      <c r="J4726" s="6">
        <f>IFERROR(__xludf.DUMMYFUNCTION("""COMPUTED_VALUE"""),9550000.0)</f>
        <v>9550000</v>
      </c>
      <c r="K4726" s="57">
        <f>IFERROR(__xludf.DUMMYFUNCTION("""COMPUTED_VALUE"""),46059.0)</f>
        <v>46059</v>
      </c>
      <c r="L4726" s="6" t="str">
        <f>IFERROR(__xludf.DUMMYFUNCTION("""COMPUTED_VALUE"""),"FIP Engineering")</f>
        <v>FIP Engineering</v>
      </c>
      <c r="M4726" s="6" t="str">
        <f>IFERROR(__xludf.DUMMYFUNCTION("""COMPUTED_VALUE"""),"Mochammad Fadhillah Hakim,")</f>
        <v>Mochammad Fadhillah Hakim,</v>
      </c>
      <c r="N4726" s="6" t="str">
        <f>IFERROR(__xludf.DUMMYFUNCTION("""COMPUTED_VALUE"""),"FIP Engineering")</f>
        <v>FIP Engineering</v>
      </c>
      <c r="O4726" s="6" t="str">
        <f>IFERROR(__xludf.DUMMYFUNCTION("""COMPUTED_VALUE"""),"FIP-DOM-000-11304-OS00001-INA-000000")</f>
        <v>FIP-DOM-000-11304-OS00001-INA-000000</v>
      </c>
      <c r="P4726" s="6" t="str">
        <f>IFERROR(__xludf.DUMMYFUNCTION("""COMPUTED_VALUE"""),"PO Closed")</f>
        <v>PO Closed</v>
      </c>
      <c r="Q4726" s="6" t="str">
        <f>IFERROR(__xludf.DUMMYFUNCTION("""COMPUTED_VALUE"""),"GL2602377")</f>
        <v>GL2602377</v>
      </c>
      <c r="R4726" s="57">
        <f>IFERROR(__xludf.DUMMYFUNCTION("""COMPUTED_VALUE"""),46027.0)</f>
        <v>46027</v>
      </c>
      <c r="S4726" s="57">
        <f>IFERROR(__xludf.DUMMYFUNCTION("""COMPUTED_VALUE"""),46028.0)</f>
        <v>46028</v>
      </c>
      <c r="T4726" s="57">
        <f>IFERROR(__xludf.DUMMYFUNCTION("""COMPUTED_VALUE"""),46111.0)</f>
        <v>46111</v>
      </c>
    </row>
    <row r="4727">
      <c r="A4727" s="6" t="str">
        <f>IFERROR(__xludf.DUMMYFUNCTION("""COMPUTED_VALUE"""),"121703655-1")</f>
        <v>121703655-1</v>
      </c>
      <c r="B4727" s="6" t="str">
        <f>IFERROR(__xludf.DUMMYFUNCTION("""COMPUTED_VALUE"""),"121703655 - APPROVED")</f>
        <v>121703655 - APPROVED</v>
      </c>
      <c r="C4727" s="6">
        <f>IFERROR(__xludf.DUMMYFUNCTION("""COMPUTED_VALUE"""),1.0)</f>
        <v>1</v>
      </c>
      <c r="D4727" s="6" t="str">
        <f>IFERROR(__xludf.DUMMYFUNCTION("""COMPUTED_VALUE"""),"O-21284-00")</f>
        <v>O-21284-00</v>
      </c>
      <c r="E4727" s="6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F4727" s="6">
        <f>IFERROR(__xludf.DUMMYFUNCTION("""COMPUTED_VALUE"""),30.0)</f>
        <v>30</v>
      </c>
      <c r="G4727" s="6" t="str">
        <f>IFERROR(__xludf.DUMMYFUNCTION("""COMPUTED_VALUE"""),"Pieces")</f>
        <v>Pieces</v>
      </c>
      <c r="H4727" s="6" t="str">
        <f>IFERROR(__xludf.DUMMYFUNCTION("""COMPUTED_VALUE"""),"IDR")</f>
        <v>IDR</v>
      </c>
      <c r="I4727" s="6">
        <f>IFERROR(__xludf.DUMMYFUNCTION("""COMPUTED_VALUE"""),1698000.0)</f>
        <v>1698000</v>
      </c>
      <c r="J4727" s="6">
        <f>IFERROR(__xludf.DUMMYFUNCTION("""COMPUTED_VALUE"""),5.094E7)</f>
        <v>50940000</v>
      </c>
      <c r="K4727" s="57">
        <f>IFERROR(__xludf.DUMMYFUNCTION("""COMPUTED_VALUE"""),46087.0)</f>
        <v>46087</v>
      </c>
      <c r="L4727" s="6" t="str">
        <f>IFERROR(__xludf.DUMMYFUNCTION("""COMPUTED_VALUE"""),"FIP Engineering")</f>
        <v>FIP Engineering</v>
      </c>
      <c r="M4727" s="6" t="str">
        <f>IFERROR(__xludf.DUMMYFUNCTION("""COMPUTED_VALUE"""),"Mochammad Fadhillah Hakim,")</f>
        <v>Mochammad Fadhillah Hakim,</v>
      </c>
      <c r="N4727" s="6" t="str">
        <f>IFERROR(__xludf.DUMMYFUNCTION("""COMPUTED_VALUE"""),"FIP Engineering")</f>
        <v>FIP Engineering</v>
      </c>
      <c r="O4727" s="6" t="str">
        <f>IFERROR(__xludf.DUMMYFUNCTION("""COMPUTED_VALUE"""),"FIP-DOM-000-11304-OS00001-INA-000000")</f>
        <v>FIP-DOM-000-11304-OS00001-INA-000000</v>
      </c>
      <c r="P4727" s="6" t="str">
        <f>IFERROR(__xludf.DUMMYFUNCTION("""COMPUTED_VALUE"""),"PO Closed")</f>
        <v>PO Closed</v>
      </c>
      <c r="Q4727" s="6" t="str">
        <f>IFERROR(__xludf.DUMMYFUNCTION("""COMPUTED_VALUE"""),"GL2601346")</f>
        <v>GL2601346</v>
      </c>
      <c r="R4727" s="57">
        <f>IFERROR(__xludf.DUMMYFUNCTION("""COMPUTED_VALUE"""),46028.0)</f>
        <v>46028</v>
      </c>
      <c r="S4727" s="57">
        <f>IFERROR(__xludf.DUMMYFUNCTION("""COMPUTED_VALUE"""),46028.0)</f>
        <v>46028</v>
      </c>
      <c r="T4727" s="57">
        <f>IFERROR(__xludf.DUMMYFUNCTION("""COMPUTED_VALUE"""),46288.0)</f>
        <v>46288</v>
      </c>
    </row>
    <row r="4728">
      <c r="A4728" s="6" t="str">
        <f>IFERROR(__xludf.DUMMYFUNCTION("""COMPUTED_VALUE"""),"121703656-1")</f>
        <v>121703656-1</v>
      </c>
      <c r="B4728" s="6" t="str">
        <f>IFERROR(__xludf.DUMMYFUNCTION("""COMPUTED_VALUE"""),"121703656 - APPROVED")</f>
        <v>121703656 - APPROVED</v>
      </c>
      <c r="C4728" s="6">
        <f>IFERROR(__xludf.DUMMYFUNCTION("""COMPUTED_VALUE"""),1.0)</f>
        <v>1</v>
      </c>
      <c r="D4728" s="6" t="str">
        <f>IFERROR(__xludf.DUMMYFUNCTION("""COMPUTED_VALUE"""),"T-20148-00")</f>
        <v>T-20148-00</v>
      </c>
      <c r="E4728" s="6" t="str">
        <f>IFERROR(__xludf.DUMMYFUNCTION("""COMPUTED_VALUE"""),"Replacement Filter 60 Micron; Sievers; c/n CHTF94402; 1 pc")</f>
        <v>Replacement Filter 60 Micron; Sievers; c/n CHTF94402; 1 pc</v>
      </c>
      <c r="F4728" s="6">
        <f>IFERROR(__xludf.DUMMYFUNCTION("""COMPUTED_VALUE"""),1.0)</f>
        <v>1</v>
      </c>
      <c r="G4728" s="6" t="str">
        <f>IFERROR(__xludf.DUMMYFUNCTION("""COMPUTED_VALUE"""),"Pieces")</f>
        <v>Pieces</v>
      </c>
      <c r="H4728" s="6" t="str">
        <f>IFERROR(__xludf.DUMMYFUNCTION("""COMPUTED_VALUE"""),"IDR")</f>
        <v>IDR</v>
      </c>
      <c r="I4728" s="6">
        <f>IFERROR(__xludf.DUMMYFUNCTION("""COMPUTED_VALUE"""),2912500.0)</f>
        <v>2912500</v>
      </c>
      <c r="J4728" s="6">
        <f>IFERROR(__xludf.DUMMYFUNCTION("""COMPUTED_VALUE"""),2912500.0)</f>
        <v>2912500</v>
      </c>
      <c r="K4728" s="57">
        <f>IFERROR(__xludf.DUMMYFUNCTION("""COMPUTED_VALUE"""),46059.0)</f>
        <v>46059</v>
      </c>
      <c r="L4728" s="6" t="str">
        <f>IFERROR(__xludf.DUMMYFUNCTION("""COMPUTED_VALUE"""),"FIP General")</f>
        <v>FIP General</v>
      </c>
      <c r="M4728" s="6" t="str">
        <f>IFERROR(__xludf.DUMMYFUNCTION("""COMPUTED_VALUE"""),"Mochammad Fadhillah Hakim,")</f>
        <v>Mochammad Fadhillah Hakim,</v>
      </c>
      <c r="N4728" s="6" t="str">
        <f>IFERROR(__xludf.DUMMYFUNCTION("""COMPUTED_VALUE"""),"FIP Engineering")</f>
        <v>FIP Engineering</v>
      </c>
      <c r="O4728" s="6" t="str">
        <f>IFERROR(__xludf.DUMMYFUNCTION("""COMPUTED_VALUE"""),"FIP-DOM-ENG-51505-0000000-INA-000000")</f>
        <v>FIP-DOM-ENG-51505-0000000-INA-000000</v>
      </c>
      <c r="P4728" s="6" t="str">
        <f>IFERROR(__xludf.DUMMYFUNCTION("""COMPUTED_VALUE"""),"PO Closed")</f>
        <v>PO Closed</v>
      </c>
      <c r="Q4728" s="6" t="str">
        <f>IFERROR(__xludf.DUMMYFUNCTION("""COMPUTED_VALUE"""),"GL2601344")</f>
        <v>GL2601344</v>
      </c>
      <c r="R4728" s="57">
        <f>IFERROR(__xludf.DUMMYFUNCTION("""COMPUTED_VALUE"""),46028.0)</f>
        <v>46028</v>
      </c>
      <c r="S4728" s="57">
        <f>IFERROR(__xludf.DUMMYFUNCTION("""COMPUTED_VALUE"""),46028.0)</f>
        <v>46028</v>
      </c>
      <c r="T4728" s="57">
        <f>IFERROR(__xludf.DUMMYFUNCTION("""COMPUTED_VALUE"""),46094.0)</f>
        <v>46094</v>
      </c>
    </row>
    <row r="4729">
      <c r="A4729" s="6" t="str">
        <f>IFERROR(__xludf.DUMMYFUNCTION("""COMPUTED_VALUE"""),"121703656-2")</f>
        <v>121703656-2</v>
      </c>
      <c r="B4729" s="6" t="str">
        <f>IFERROR(__xludf.DUMMYFUNCTION("""COMPUTED_VALUE"""),"121703656 - APPROVED")</f>
        <v>121703656 - APPROVED</v>
      </c>
      <c r="C4729" s="6">
        <f>IFERROR(__xludf.DUMMYFUNCTION("""COMPUTED_VALUE"""),2.0)</f>
        <v>2</v>
      </c>
      <c r="D4729" s="6" t="str">
        <f>IFERROR(__xludf.DUMMYFUNCTION("""COMPUTED_VALUE"""),"T-20112-00")</f>
        <v>T-20112-00</v>
      </c>
      <c r="E4729" s="6" t="str">
        <f>IFERROR(__xludf.DUMMYFUNCTION("""COMPUTED_VALUE"""),"900 Sample pump tubing; Sievers; P/N CATU 96200; 1 pc")</f>
        <v>900 Sample pump tubing; Sievers; P/N CATU 96200; 1 pc</v>
      </c>
      <c r="F4729" s="6">
        <f>IFERROR(__xludf.DUMMYFUNCTION("""COMPUTED_VALUE"""),1.0)</f>
        <v>1</v>
      </c>
      <c r="G4729" s="6" t="str">
        <f>IFERROR(__xludf.DUMMYFUNCTION("""COMPUTED_VALUE"""),"Pieces")</f>
        <v>Pieces</v>
      </c>
      <c r="H4729" s="6" t="str">
        <f>IFERROR(__xludf.DUMMYFUNCTION("""COMPUTED_VALUE"""),"IDR")</f>
        <v>IDR</v>
      </c>
      <c r="I4729" s="6">
        <f>IFERROR(__xludf.DUMMYFUNCTION("""COMPUTED_VALUE"""),3990000.0)</f>
        <v>3990000</v>
      </c>
      <c r="J4729" s="6">
        <f>IFERROR(__xludf.DUMMYFUNCTION("""COMPUTED_VALUE"""),3990000.0)</f>
        <v>3990000</v>
      </c>
      <c r="K4729" s="57">
        <f>IFERROR(__xludf.DUMMYFUNCTION("""COMPUTED_VALUE"""),46059.0)</f>
        <v>46059</v>
      </c>
      <c r="L4729" s="6" t="str">
        <f>IFERROR(__xludf.DUMMYFUNCTION("""COMPUTED_VALUE"""),"FIP General")</f>
        <v>FIP General</v>
      </c>
      <c r="M4729" s="6" t="str">
        <f>IFERROR(__xludf.DUMMYFUNCTION("""COMPUTED_VALUE"""),"Mochammad Fadhillah Hakim,")</f>
        <v>Mochammad Fadhillah Hakim,</v>
      </c>
      <c r="N4729" s="6" t="str">
        <f>IFERROR(__xludf.DUMMYFUNCTION("""COMPUTED_VALUE"""),"FIP Engineering")</f>
        <v>FIP Engineering</v>
      </c>
      <c r="O4729" s="6" t="str">
        <f>IFERROR(__xludf.DUMMYFUNCTION("""COMPUTED_VALUE"""),"FIP-DOM-ENG-51505-0000000-INA-000000")</f>
        <v>FIP-DOM-ENG-51505-0000000-INA-000000</v>
      </c>
      <c r="P4729" s="6" t="str">
        <f>IFERROR(__xludf.DUMMYFUNCTION("""COMPUTED_VALUE"""),"PO Closed")</f>
        <v>PO Closed</v>
      </c>
      <c r="Q4729" s="6" t="str">
        <f>IFERROR(__xludf.DUMMYFUNCTION("""COMPUTED_VALUE"""),"GL2601344")</f>
        <v>GL2601344</v>
      </c>
      <c r="R4729" s="57">
        <f>IFERROR(__xludf.DUMMYFUNCTION("""COMPUTED_VALUE"""),46028.0)</f>
        <v>46028</v>
      </c>
      <c r="S4729" s="57">
        <f>IFERROR(__xludf.DUMMYFUNCTION("""COMPUTED_VALUE"""),46028.0)</f>
        <v>46028</v>
      </c>
      <c r="T4729" s="57">
        <f>IFERROR(__xludf.DUMMYFUNCTION("""COMPUTED_VALUE"""),46094.0)</f>
        <v>46094</v>
      </c>
    </row>
    <row r="4730">
      <c r="A4730" s="6" t="str">
        <f>IFERROR(__xludf.DUMMYFUNCTION("""COMPUTED_VALUE"""),"121703659-1")</f>
        <v>121703659-1</v>
      </c>
      <c r="B4730" s="6" t="str">
        <f>IFERROR(__xludf.DUMMYFUNCTION("""COMPUTED_VALUE"""),"121703659 - APPROVED")</f>
        <v>121703659 - APPROVED</v>
      </c>
      <c r="C4730" s="6">
        <f>IFERROR(__xludf.DUMMYFUNCTION("""COMPUTED_VALUE"""),1.0)</f>
        <v>1</v>
      </c>
      <c r="D4730" s="6" t="str">
        <f>IFERROR(__xludf.DUMMYFUNCTION("""COMPUTED_VALUE"""),"P-10726-00")</f>
        <v>P-10726-00</v>
      </c>
      <c r="E4730" s="6" t="str">
        <f>IFERROR(__xludf.DUMMYFUNCTION("""COMPUTED_VALUE"""),"Cleaner - Contact Cleaner CRC CO 2016; No Brand; -; 500ml/Botol")</f>
        <v>Cleaner - Contact Cleaner CRC CO 2016; No Brand; -; 500ml/Botol</v>
      </c>
      <c r="F4730" s="6">
        <f>IFERROR(__xludf.DUMMYFUNCTION("""COMPUTED_VALUE"""),3.0)</f>
        <v>3</v>
      </c>
      <c r="G4730" s="6" t="str">
        <f>IFERROR(__xludf.DUMMYFUNCTION("""COMPUTED_VALUE"""),"Pieces")</f>
        <v>Pieces</v>
      </c>
      <c r="H4730" s="6" t="str">
        <f>IFERROR(__xludf.DUMMYFUNCTION("""COMPUTED_VALUE"""),"IDR")</f>
        <v>IDR</v>
      </c>
      <c r="I4730" s="6">
        <f>IFERROR(__xludf.DUMMYFUNCTION("""COMPUTED_VALUE"""),90000.0)</f>
        <v>90000</v>
      </c>
      <c r="J4730" s="6">
        <f>IFERROR(__xludf.DUMMYFUNCTION("""COMPUTED_VALUE"""),270000.0)</f>
        <v>270000</v>
      </c>
      <c r="K4730" s="57">
        <f>IFERROR(__xludf.DUMMYFUNCTION("""COMPUTED_VALUE"""),46059.0)</f>
        <v>46059</v>
      </c>
      <c r="L4730" s="6" t="str">
        <f>IFERROR(__xludf.DUMMYFUNCTION("""COMPUTED_VALUE"""),"FIP Engineering")</f>
        <v>FIP Engineering</v>
      </c>
      <c r="M4730" s="6" t="str">
        <f>IFERROR(__xludf.DUMMYFUNCTION("""COMPUTED_VALUE"""),"Mochammad Fadhillah Hakim,")</f>
        <v>Mochammad Fadhillah Hakim,</v>
      </c>
      <c r="N4730" s="6" t="str">
        <f>IFERROR(__xludf.DUMMYFUNCTION("""COMPUTED_VALUE"""),"FIP Engineering")</f>
        <v>FIP Engineering</v>
      </c>
      <c r="O4730" s="6" t="str">
        <f>IFERROR(__xludf.DUMMYFUNCTION("""COMPUTED_VALUE"""),"FIP-DOM-000-11304-OS00001-INA-000000")</f>
        <v>FIP-DOM-000-11304-OS00001-INA-000000</v>
      </c>
      <c r="P4730" s="6" t="str">
        <f>IFERROR(__xludf.DUMMYFUNCTION("""COMPUTED_VALUE"""),"PO Closed")</f>
        <v>PO Closed</v>
      </c>
      <c r="Q4730" s="6" t="str">
        <f>IFERROR(__xludf.DUMMYFUNCTION("""COMPUTED_VALUE"""),"GL2602379")</f>
        <v>GL2602379</v>
      </c>
      <c r="R4730" s="57">
        <f>IFERROR(__xludf.DUMMYFUNCTION("""COMPUTED_VALUE"""),46028.0)</f>
        <v>46028</v>
      </c>
      <c r="S4730" s="57">
        <f>IFERROR(__xludf.DUMMYFUNCTION("""COMPUTED_VALUE"""),46028.0)</f>
        <v>46028</v>
      </c>
      <c r="T4730" s="57">
        <f>IFERROR(__xludf.DUMMYFUNCTION("""COMPUTED_VALUE"""),46081.0)</f>
        <v>46081</v>
      </c>
    </row>
    <row r="4731">
      <c r="A4731" s="6" t="str">
        <f>IFERROR(__xludf.DUMMYFUNCTION("""COMPUTED_VALUE"""),"121703670-1")</f>
        <v>121703670-1</v>
      </c>
      <c r="B4731" s="6" t="str">
        <f>IFERROR(__xludf.DUMMYFUNCTION("""COMPUTED_VALUE"""),"121703670 - APPROVED")</f>
        <v>121703670 - APPROVED</v>
      </c>
      <c r="C4731" s="6">
        <f>IFERROR(__xludf.DUMMYFUNCTION("""COMPUTED_VALUE"""),1.0)</f>
        <v>1</v>
      </c>
      <c r="D4731" s="6" t="str">
        <f>IFERROR(__xludf.DUMMYFUNCTION("""COMPUTED_VALUE"""),"O-15931-00")</f>
        <v>O-15931-00</v>
      </c>
      <c r="E4731" s="6" t="str">
        <f>IFERROR(__xludf.DUMMYFUNCTION("""COMPUTED_VALUE"""),"General - Double Tape 1"" Merah; 3M; -; 1 Pc")</f>
        <v>General - Double Tape 1" Merah; 3M; -; 1 Pc</v>
      </c>
      <c r="F4731" s="6">
        <f>IFERROR(__xludf.DUMMYFUNCTION("""COMPUTED_VALUE"""),20.0)</f>
        <v>20</v>
      </c>
      <c r="G4731" s="6" t="str">
        <f>IFERROR(__xludf.DUMMYFUNCTION("""COMPUTED_VALUE"""),"Pieces")</f>
        <v>Pieces</v>
      </c>
      <c r="H4731" s="6" t="str">
        <f>IFERROR(__xludf.DUMMYFUNCTION("""COMPUTED_VALUE"""),"IDR")</f>
        <v>IDR</v>
      </c>
      <c r="I4731" s="6">
        <f>IFERROR(__xludf.DUMMYFUNCTION("""COMPUTED_VALUE"""),77500.0)</f>
        <v>77500</v>
      </c>
      <c r="J4731" s="6">
        <f>IFERROR(__xludf.DUMMYFUNCTION("""COMPUTED_VALUE"""),1550000.0)</f>
        <v>1550000</v>
      </c>
      <c r="K4731" s="57">
        <f>IFERROR(__xludf.DUMMYFUNCTION("""COMPUTED_VALUE"""),46066.0)</f>
        <v>46066</v>
      </c>
      <c r="L4731" s="6" t="str">
        <f>IFERROR(__xludf.DUMMYFUNCTION("""COMPUTED_VALUE"""),"FIP Engineering")</f>
        <v>FIP Engineering</v>
      </c>
      <c r="M4731" s="6" t="str">
        <f>IFERROR(__xludf.DUMMYFUNCTION("""COMPUTED_VALUE"""),"Mochammad Fadhillah Hakim,")</f>
        <v>Mochammad Fadhillah Hakim,</v>
      </c>
      <c r="N4731" s="6" t="str">
        <f>IFERROR(__xludf.DUMMYFUNCTION("""COMPUTED_VALUE"""),"FIP Engineering")</f>
        <v>FIP Engineering</v>
      </c>
      <c r="O4731" s="6" t="str">
        <f>IFERROR(__xludf.DUMMYFUNCTION("""COMPUTED_VALUE"""),"FIP-DOM-000-11304-OS00001-INA-000000")</f>
        <v>FIP-DOM-000-11304-OS00001-INA-000000</v>
      </c>
      <c r="P4731" s="6" t="str">
        <f>IFERROR(__xludf.DUMMYFUNCTION("""COMPUTED_VALUE"""),"PO Closed")</f>
        <v>PO Closed</v>
      </c>
      <c r="Q4731" s="6" t="str">
        <f>IFERROR(__xludf.DUMMYFUNCTION("""COMPUTED_VALUE"""),"GL2602367")</f>
        <v>GL2602367</v>
      </c>
      <c r="R4731" s="57">
        <f>IFERROR(__xludf.DUMMYFUNCTION("""COMPUTED_VALUE"""),46031.0)</f>
        <v>46031</v>
      </c>
      <c r="S4731" s="57">
        <f>IFERROR(__xludf.DUMMYFUNCTION("""COMPUTED_VALUE"""),46035.0)</f>
        <v>46035</v>
      </c>
      <c r="T4731" s="57">
        <f>IFERROR(__xludf.DUMMYFUNCTION("""COMPUTED_VALUE"""),46094.0)</f>
        <v>46094</v>
      </c>
    </row>
    <row r="4732">
      <c r="A4732" s="6" t="str">
        <f>IFERROR(__xludf.DUMMYFUNCTION("""COMPUTED_VALUE"""),"121703670-2")</f>
        <v>121703670-2</v>
      </c>
      <c r="B4732" s="6" t="str">
        <f>IFERROR(__xludf.DUMMYFUNCTION("""COMPUTED_VALUE"""),"121703670 - APPROVED")</f>
        <v>121703670 - APPROVED</v>
      </c>
      <c r="C4732" s="6">
        <f>IFERROR(__xludf.DUMMYFUNCTION("""COMPUTED_VALUE"""),2.0)</f>
        <v>2</v>
      </c>
      <c r="D4732" s="6" t="str">
        <f>IFERROR(__xludf.DUMMYFUNCTION("""COMPUTED_VALUE"""),"O-15931-00")</f>
        <v>O-15931-00</v>
      </c>
      <c r="E4732" s="6" t="str">
        <f>IFERROR(__xludf.DUMMYFUNCTION("""COMPUTED_VALUE"""),"General - Double Tape 1"" Merah; 3M; -; 1 Pc")</f>
        <v>General - Double Tape 1" Merah; 3M; -; 1 Pc</v>
      </c>
      <c r="F4732" s="6">
        <f>IFERROR(__xludf.DUMMYFUNCTION("""COMPUTED_VALUE"""),20.0)</f>
        <v>20</v>
      </c>
      <c r="G4732" s="6" t="str">
        <f>IFERROR(__xludf.DUMMYFUNCTION("""COMPUTED_VALUE"""),"Pieces")</f>
        <v>Pieces</v>
      </c>
      <c r="H4732" s="6" t="str">
        <f>IFERROR(__xludf.DUMMYFUNCTION("""COMPUTED_VALUE"""),"IDR")</f>
        <v>IDR</v>
      </c>
      <c r="I4732" s="6">
        <f>IFERROR(__xludf.DUMMYFUNCTION("""COMPUTED_VALUE"""),77500.0)</f>
        <v>77500</v>
      </c>
      <c r="J4732" s="6">
        <f>IFERROR(__xludf.DUMMYFUNCTION("""COMPUTED_VALUE"""),1550000.0)</f>
        <v>1550000</v>
      </c>
      <c r="K4732" s="57">
        <f>IFERROR(__xludf.DUMMYFUNCTION("""COMPUTED_VALUE"""),46157.0)</f>
        <v>46157</v>
      </c>
      <c r="L4732" s="6" t="str">
        <f>IFERROR(__xludf.DUMMYFUNCTION("""COMPUTED_VALUE"""),"FIP Engineering")</f>
        <v>FIP Engineering</v>
      </c>
      <c r="M4732" s="6" t="str">
        <f>IFERROR(__xludf.DUMMYFUNCTION("""COMPUTED_VALUE"""),"Mochammad Fadhillah Hakim,")</f>
        <v>Mochammad Fadhillah Hakim,</v>
      </c>
      <c r="N4732" s="6" t="str">
        <f>IFERROR(__xludf.DUMMYFUNCTION("""COMPUTED_VALUE"""),"FIP Engineering")</f>
        <v>FIP Engineering</v>
      </c>
      <c r="O4732" s="6" t="str">
        <f>IFERROR(__xludf.DUMMYFUNCTION("""COMPUTED_VALUE"""),"FIP-DOM-000-11304-OS00001-INA-000000")</f>
        <v>FIP-DOM-000-11304-OS00001-INA-000000</v>
      </c>
      <c r="P4732" s="6" t="str">
        <f>IFERROR(__xludf.DUMMYFUNCTION("""COMPUTED_VALUE"""),"PO Closed")</f>
        <v>PO Closed</v>
      </c>
      <c r="Q4732" s="6" t="str">
        <f>IFERROR(__xludf.DUMMYFUNCTION("""COMPUTED_VALUE"""),"GL2602367")</f>
        <v>GL2602367</v>
      </c>
      <c r="R4732" s="57">
        <f>IFERROR(__xludf.DUMMYFUNCTION("""COMPUTED_VALUE"""),46031.0)</f>
        <v>46031</v>
      </c>
      <c r="S4732" s="57">
        <f>IFERROR(__xludf.DUMMYFUNCTION("""COMPUTED_VALUE"""),46035.0)</f>
        <v>46035</v>
      </c>
      <c r="T4732" s="57">
        <f>IFERROR(__xludf.DUMMYFUNCTION("""COMPUTED_VALUE"""),46157.0)</f>
        <v>46157</v>
      </c>
    </row>
    <row r="4733">
      <c r="A4733" s="6" t="str">
        <f>IFERROR(__xludf.DUMMYFUNCTION("""COMPUTED_VALUE"""),"121703671-1")</f>
        <v>121703671-1</v>
      </c>
      <c r="B4733" s="6" t="str">
        <f>IFERROR(__xludf.DUMMYFUNCTION("""COMPUTED_VALUE"""),"121703671 - APPROVED")</f>
        <v>121703671 - APPROVED</v>
      </c>
      <c r="C4733" s="6">
        <f>IFERROR(__xludf.DUMMYFUNCTION("""COMPUTED_VALUE"""),1.0)</f>
        <v>1</v>
      </c>
      <c r="D4733" s="6" t="str">
        <f>IFERROR(__xludf.DUMMYFUNCTION("""COMPUTED_VALUE"""),"P-14453-00")</f>
        <v>P-14453-00</v>
      </c>
      <c r="E4733" s="6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F4733" s="6">
        <f>IFERROR(__xludf.DUMMYFUNCTION("""COMPUTED_VALUE"""),10.0)</f>
        <v>10</v>
      </c>
      <c r="G4733" s="6" t="str">
        <f>IFERROR(__xludf.DUMMYFUNCTION("""COMPUTED_VALUE"""),"Pieces")</f>
        <v>Pieces</v>
      </c>
      <c r="H4733" s="6" t="str">
        <f>IFERROR(__xludf.DUMMYFUNCTION("""COMPUTED_VALUE"""),"IDR")</f>
        <v>IDR</v>
      </c>
      <c r="I4733" s="6">
        <f>IFERROR(__xludf.DUMMYFUNCTION("""COMPUTED_VALUE"""),850000.0)</f>
        <v>850000</v>
      </c>
      <c r="J4733" s="6">
        <f>IFERROR(__xludf.DUMMYFUNCTION("""COMPUTED_VALUE"""),8500000.0)</f>
        <v>8500000</v>
      </c>
      <c r="K4733" s="57">
        <f>IFERROR(__xludf.DUMMYFUNCTION("""COMPUTED_VALUE"""),46045.0)</f>
        <v>46045</v>
      </c>
      <c r="L4733" s="6" t="str">
        <f>IFERROR(__xludf.DUMMYFUNCTION("""COMPUTED_VALUE"""),"FIP Engineering")</f>
        <v>FIP Engineering</v>
      </c>
      <c r="M4733" s="6" t="str">
        <f>IFERROR(__xludf.DUMMYFUNCTION("""COMPUTED_VALUE"""),"Mochammad Fadhillah Hakim,")</f>
        <v>Mochammad Fadhillah Hakim,</v>
      </c>
      <c r="N4733" s="6" t="str">
        <f>IFERROR(__xludf.DUMMYFUNCTION("""COMPUTED_VALUE"""),"FIP Engineering")</f>
        <v>FIP Engineering</v>
      </c>
      <c r="O4733" s="6" t="str">
        <f>IFERROR(__xludf.DUMMYFUNCTION("""COMPUTED_VALUE"""),"FIP-DOM-000-11304-OS00001-INA-000000")</f>
        <v>FIP-DOM-000-11304-OS00001-INA-000000</v>
      </c>
      <c r="P4733" s="6" t="str">
        <f>IFERROR(__xludf.DUMMYFUNCTION("""COMPUTED_VALUE"""),"PO Closed")</f>
        <v>PO Closed</v>
      </c>
      <c r="Q4733" s="6" t="str">
        <f>IFERROR(__xludf.DUMMYFUNCTION("""COMPUTED_VALUE"""),"GL2602408")</f>
        <v>GL2602408</v>
      </c>
      <c r="R4733" s="57">
        <f>IFERROR(__xludf.DUMMYFUNCTION("""COMPUTED_VALUE"""),46031.0)</f>
        <v>46031</v>
      </c>
      <c r="S4733" s="57">
        <f>IFERROR(__xludf.DUMMYFUNCTION("""COMPUTED_VALUE"""),46035.0)</f>
        <v>46035</v>
      </c>
      <c r="T4733" s="57">
        <f>IFERROR(__xludf.DUMMYFUNCTION("""COMPUTED_VALUE"""),46102.0)</f>
        <v>46102</v>
      </c>
    </row>
    <row r="4734">
      <c r="A4734" s="6" t="str">
        <f>IFERROR(__xludf.DUMMYFUNCTION("""COMPUTED_VALUE"""),"121703671-2")</f>
        <v>121703671-2</v>
      </c>
      <c r="B4734" s="6" t="str">
        <f>IFERROR(__xludf.DUMMYFUNCTION("""COMPUTED_VALUE"""),"121703671 - APPROVED")</f>
        <v>121703671 - APPROVED</v>
      </c>
      <c r="C4734" s="6">
        <f>IFERROR(__xludf.DUMMYFUNCTION("""COMPUTED_VALUE"""),2.0)</f>
        <v>2</v>
      </c>
      <c r="D4734" s="6" t="str">
        <f>IFERROR(__xludf.DUMMYFUNCTION("""COMPUTED_VALUE"""),"P-14454-00")</f>
        <v>P-14454-00</v>
      </c>
      <c r="E4734" s="6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F4734" s="6">
        <f>IFERROR(__xludf.DUMMYFUNCTION("""COMPUTED_VALUE"""),10.0)</f>
        <v>10</v>
      </c>
      <c r="G4734" s="6" t="str">
        <f>IFERROR(__xludf.DUMMYFUNCTION("""COMPUTED_VALUE"""),"Pieces")</f>
        <v>Pieces</v>
      </c>
      <c r="H4734" s="6" t="str">
        <f>IFERROR(__xludf.DUMMYFUNCTION("""COMPUTED_VALUE"""),"IDR")</f>
        <v>IDR</v>
      </c>
      <c r="I4734" s="6">
        <f>IFERROR(__xludf.DUMMYFUNCTION("""COMPUTED_VALUE"""),650000.0)</f>
        <v>650000</v>
      </c>
      <c r="J4734" s="6">
        <f>IFERROR(__xludf.DUMMYFUNCTION("""COMPUTED_VALUE"""),6500000.0)</f>
        <v>6500000</v>
      </c>
      <c r="K4734" s="57">
        <f>IFERROR(__xludf.DUMMYFUNCTION("""COMPUTED_VALUE"""),46045.0)</f>
        <v>46045</v>
      </c>
      <c r="L4734" s="6" t="str">
        <f>IFERROR(__xludf.DUMMYFUNCTION("""COMPUTED_VALUE"""),"FIP Engineering")</f>
        <v>FIP Engineering</v>
      </c>
      <c r="M4734" s="6" t="str">
        <f>IFERROR(__xludf.DUMMYFUNCTION("""COMPUTED_VALUE"""),"Mochammad Fadhillah Hakim,")</f>
        <v>Mochammad Fadhillah Hakim,</v>
      </c>
      <c r="N4734" s="6" t="str">
        <f>IFERROR(__xludf.DUMMYFUNCTION("""COMPUTED_VALUE"""),"FIP Engineering")</f>
        <v>FIP Engineering</v>
      </c>
      <c r="O4734" s="6" t="str">
        <f>IFERROR(__xludf.DUMMYFUNCTION("""COMPUTED_VALUE"""),"FIP-DOM-000-11304-OS00001-INA-000000")</f>
        <v>FIP-DOM-000-11304-OS00001-INA-000000</v>
      </c>
      <c r="P4734" s="6" t="str">
        <f>IFERROR(__xludf.DUMMYFUNCTION("""COMPUTED_VALUE"""),"PO Closed")</f>
        <v>PO Closed</v>
      </c>
      <c r="Q4734" s="6" t="str">
        <f>IFERROR(__xludf.DUMMYFUNCTION("""COMPUTED_VALUE"""),"GL2602408")</f>
        <v>GL2602408</v>
      </c>
      <c r="R4734" s="57">
        <f>IFERROR(__xludf.DUMMYFUNCTION("""COMPUTED_VALUE"""),46031.0)</f>
        <v>46031</v>
      </c>
      <c r="S4734" s="57">
        <f>IFERROR(__xludf.DUMMYFUNCTION("""COMPUTED_VALUE"""),46035.0)</f>
        <v>46035</v>
      </c>
      <c r="T4734" s="57">
        <f>IFERROR(__xludf.DUMMYFUNCTION("""COMPUTED_VALUE"""),46102.0)</f>
        <v>46102</v>
      </c>
    </row>
    <row r="4735">
      <c r="A4735" s="6" t="str">
        <f>IFERROR(__xludf.DUMMYFUNCTION("""COMPUTED_VALUE"""),"121703672-1")</f>
        <v>121703672-1</v>
      </c>
      <c r="B4735" s="6" t="str">
        <f>IFERROR(__xludf.DUMMYFUNCTION("""COMPUTED_VALUE"""),"121703672 - APPROVED")</f>
        <v>121703672 - APPROVED</v>
      </c>
      <c r="C4735" s="6">
        <f>IFERROR(__xludf.DUMMYFUNCTION("""COMPUTED_VALUE"""),1.0)</f>
        <v>1</v>
      </c>
      <c r="D4735" s="6" t="str">
        <f>IFERROR(__xludf.DUMMYFUNCTION("""COMPUTED_VALUE"""),"P-15852-00")</f>
        <v>P-15852-00</v>
      </c>
      <c r="E4735" s="6" t="str">
        <f>IFERROR(__xludf.DUMMYFUNCTION("""COMPUTED_VALUE"""),"General - Ampelas P500; EAGLE; -; 1 pcs")</f>
        <v>General - Ampelas P500; EAGLE; -; 1 pcs</v>
      </c>
      <c r="F4735" s="6">
        <f>IFERROR(__xludf.DUMMYFUNCTION("""COMPUTED_VALUE"""),15.0)</f>
        <v>15</v>
      </c>
      <c r="G4735" s="6" t="str">
        <f>IFERROR(__xludf.DUMMYFUNCTION("""COMPUTED_VALUE"""),"Pieces")</f>
        <v>Pieces</v>
      </c>
      <c r="H4735" s="6" t="str">
        <f>IFERROR(__xludf.DUMMYFUNCTION("""COMPUTED_VALUE"""),"IDR")</f>
        <v>IDR</v>
      </c>
      <c r="I4735" s="6">
        <f>IFERROR(__xludf.DUMMYFUNCTION("""COMPUTED_VALUE"""),6000.0)</f>
        <v>6000</v>
      </c>
      <c r="J4735" s="6">
        <f>IFERROR(__xludf.DUMMYFUNCTION("""COMPUTED_VALUE"""),90000.0)</f>
        <v>90000</v>
      </c>
      <c r="K4735" s="57">
        <f>IFERROR(__xludf.DUMMYFUNCTION("""COMPUTED_VALUE"""),46045.0)</f>
        <v>46045</v>
      </c>
      <c r="L4735" s="6" t="str">
        <f>IFERROR(__xludf.DUMMYFUNCTION("""COMPUTED_VALUE"""),"FIP Engineering")</f>
        <v>FIP Engineering</v>
      </c>
      <c r="M4735" s="6" t="str">
        <f>IFERROR(__xludf.DUMMYFUNCTION("""COMPUTED_VALUE"""),"Mochammad Fadhillah Hakim,")</f>
        <v>Mochammad Fadhillah Hakim,</v>
      </c>
      <c r="N4735" s="6" t="str">
        <f>IFERROR(__xludf.DUMMYFUNCTION("""COMPUTED_VALUE"""),"FIP Engineering")</f>
        <v>FIP Engineering</v>
      </c>
      <c r="O4735" s="6" t="str">
        <f>IFERROR(__xludf.DUMMYFUNCTION("""COMPUTED_VALUE"""),"FIP-DOM-000-11304-OS00001-INA-000000")</f>
        <v>FIP-DOM-000-11304-OS00001-INA-000000</v>
      </c>
      <c r="P4735" s="6" t="str">
        <f>IFERROR(__xludf.DUMMYFUNCTION("""COMPUTED_VALUE"""),"PO Closed")</f>
        <v>PO Closed</v>
      </c>
      <c r="Q4735" s="6" t="str">
        <f>IFERROR(__xludf.DUMMYFUNCTION("""COMPUTED_VALUE"""),"GL2601355")</f>
        <v>GL2601355</v>
      </c>
      <c r="R4735" s="57">
        <f>IFERROR(__xludf.DUMMYFUNCTION("""COMPUTED_VALUE"""),46031.0)</f>
        <v>46031</v>
      </c>
      <c r="S4735" s="57">
        <f>IFERROR(__xludf.DUMMYFUNCTION("""COMPUTED_VALUE"""),46035.0)</f>
        <v>46035</v>
      </c>
      <c r="T4735" s="57">
        <f>IFERROR(__xludf.DUMMYFUNCTION("""COMPUTED_VALUE"""),46073.0)</f>
        <v>46073</v>
      </c>
    </row>
    <row r="4736">
      <c r="A4736" s="6" t="str">
        <f>IFERROR(__xludf.DUMMYFUNCTION("""COMPUTED_VALUE"""),"121703672-2")</f>
        <v>121703672-2</v>
      </c>
      <c r="B4736" s="6" t="str">
        <f>IFERROR(__xludf.DUMMYFUNCTION("""COMPUTED_VALUE"""),"121703672 - APPROVED")</f>
        <v>121703672 - APPROVED</v>
      </c>
      <c r="C4736" s="6">
        <f>IFERROR(__xludf.DUMMYFUNCTION("""COMPUTED_VALUE"""),2.0)</f>
        <v>2</v>
      </c>
      <c r="D4736" s="6" t="str">
        <f>IFERROR(__xludf.DUMMYFUNCTION("""COMPUTED_VALUE"""),"P-15852-00")</f>
        <v>P-15852-00</v>
      </c>
      <c r="E4736" s="6" t="str">
        <f>IFERROR(__xludf.DUMMYFUNCTION("""COMPUTED_VALUE"""),"General - Ampelas P500; EAGLE; -; 1 pcs")</f>
        <v>General - Ampelas P500; EAGLE; -; 1 pcs</v>
      </c>
      <c r="F4736" s="6">
        <f>IFERROR(__xludf.DUMMYFUNCTION("""COMPUTED_VALUE"""),15.0)</f>
        <v>15</v>
      </c>
      <c r="G4736" s="6" t="str">
        <f>IFERROR(__xludf.DUMMYFUNCTION("""COMPUTED_VALUE"""),"Pieces")</f>
        <v>Pieces</v>
      </c>
      <c r="H4736" s="6" t="str">
        <f>IFERROR(__xludf.DUMMYFUNCTION("""COMPUTED_VALUE"""),"IDR")</f>
        <v>IDR</v>
      </c>
      <c r="I4736" s="6">
        <f>IFERROR(__xludf.DUMMYFUNCTION("""COMPUTED_VALUE"""),6000.0)</f>
        <v>6000</v>
      </c>
      <c r="J4736" s="6">
        <f>IFERROR(__xludf.DUMMYFUNCTION("""COMPUTED_VALUE"""),90000.0)</f>
        <v>90000</v>
      </c>
      <c r="K4736" s="57">
        <f>IFERROR(__xludf.DUMMYFUNCTION("""COMPUTED_VALUE"""),46094.0)</f>
        <v>46094</v>
      </c>
      <c r="L4736" s="6" t="str">
        <f>IFERROR(__xludf.DUMMYFUNCTION("""COMPUTED_VALUE"""),"FIP Engineering")</f>
        <v>FIP Engineering</v>
      </c>
      <c r="M4736" s="6" t="str">
        <f>IFERROR(__xludf.DUMMYFUNCTION("""COMPUTED_VALUE"""),"Mochammad Fadhillah Hakim,")</f>
        <v>Mochammad Fadhillah Hakim,</v>
      </c>
      <c r="N4736" s="6" t="str">
        <f>IFERROR(__xludf.DUMMYFUNCTION("""COMPUTED_VALUE"""),"FIP Engineering")</f>
        <v>FIP Engineering</v>
      </c>
      <c r="O4736" s="6" t="str">
        <f>IFERROR(__xludf.DUMMYFUNCTION("""COMPUTED_VALUE"""),"FIP-DOM-000-11304-OS00001-INA-000000")</f>
        <v>FIP-DOM-000-11304-OS00001-INA-000000</v>
      </c>
      <c r="P4736" s="6" t="str">
        <f>IFERROR(__xludf.DUMMYFUNCTION("""COMPUTED_VALUE"""),"PO Closed")</f>
        <v>PO Closed</v>
      </c>
      <c r="Q4736" s="6" t="str">
        <f>IFERROR(__xludf.DUMMYFUNCTION("""COMPUTED_VALUE"""),"GL2601355")</f>
        <v>GL2601355</v>
      </c>
      <c r="R4736" s="57">
        <f>IFERROR(__xludf.DUMMYFUNCTION("""COMPUTED_VALUE"""),46031.0)</f>
        <v>46031</v>
      </c>
      <c r="S4736" s="57">
        <f>IFERROR(__xludf.DUMMYFUNCTION("""COMPUTED_VALUE"""),46035.0)</f>
        <v>46035</v>
      </c>
      <c r="T4736" s="57">
        <f>IFERROR(__xludf.DUMMYFUNCTION("""COMPUTED_VALUE"""),46073.0)</f>
        <v>46073</v>
      </c>
    </row>
    <row r="4737">
      <c r="A4737" s="6" t="str">
        <f>IFERROR(__xludf.DUMMYFUNCTION("""COMPUTED_VALUE"""),"121703673-1")</f>
        <v>121703673-1</v>
      </c>
      <c r="B4737" s="6" t="str">
        <f>IFERROR(__xludf.DUMMYFUNCTION("""COMPUTED_VALUE"""),"121703673 - APPROVED")</f>
        <v>121703673 - APPROVED</v>
      </c>
      <c r="C4737" s="6">
        <f>IFERROR(__xludf.DUMMYFUNCTION("""COMPUTED_VALUE"""),1.0)</f>
        <v>1</v>
      </c>
      <c r="D4737" s="6" t="str">
        <f>IFERROR(__xludf.DUMMYFUNCTION("""COMPUTED_VALUE"""),"O-19430-00")</f>
        <v>O-19430-00</v>
      </c>
      <c r="E4737" s="6" t="str">
        <f>IFERROR(__xludf.DUMMYFUNCTION("""COMPUTED_VALUE"""),"General - Baut L, SS, M5 x 20 mm + Mur + Ring; No Brand; -; 1 pcs")</f>
        <v>General - Baut L, SS, M5 x 20 mm + Mur + Ring; No Brand; -; 1 pcs</v>
      </c>
      <c r="F4737" s="6">
        <f>IFERROR(__xludf.DUMMYFUNCTION("""COMPUTED_VALUE"""),100.0)</f>
        <v>100</v>
      </c>
      <c r="G4737" s="6" t="str">
        <f>IFERROR(__xludf.DUMMYFUNCTION("""COMPUTED_VALUE"""),"Pieces")</f>
        <v>Pieces</v>
      </c>
      <c r="H4737" s="6" t="str">
        <f>IFERROR(__xludf.DUMMYFUNCTION("""COMPUTED_VALUE"""),"IDR")</f>
        <v>IDR</v>
      </c>
      <c r="I4737" s="6">
        <f>IFERROR(__xludf.DUMMYFUNCTION("""COMPUTED_VALUE"""),3000.0)</f>
        <v>3000</v>
      </c>
      <c r="J4737" s="6">
        <f>IFERROR(__xludf.DUMMYFUNCTION("""COMPUTED_VALUE"""),300000.0)</f>
        <v>300000</v>
      </c>
      <c r="K4737" s="57">
        <f>IFERROR(__xludf.DUMMYFUNCTION("""COMPUTED_VALUE"""),46066.0)</f>
        <v>46066</v>
      </c>
      <c r="L4737" s="6" t="str">
        <f>IFERROR(__xludf.DUMMYFUNCTION("""COMPUTED_VALUE"""),"FIP Engineering")</f>
        <v>FIP Engineering</v>
      </c>
      <c r="M4737" s="6" t="str">
        <f>IFERROR(__xludf.DUMMYFUNCTION("""COMPUTED_VALUE"""),"Mochammad Fadhillah Hakim,")</f>
        <v>Mochammad Fadhillah Hakim,</v>
      </c>
      <c r="N4737" s="6" t="str">
        <f>IFERROR(__xludf.DUMMYFUNCTION("""COMPUTED_VALUE"""),"FIP Engineering")</f>
        <v>FIP Engineering</v>
      </c>
      <c r="O4737" s="6" t="str">
        <f>IFERROR(__xludf.DUMMYFUNCTION("""COMPUTED_VALUE"""),"FIP-DOM-000-11304-OS00001-INA-000000")</f>
        <v>FIP-DOM-000-11304-OS00001-INA-000000</v>
      </c>
      <c r="P4737" s="6" t="str">
        <f>IFERROR(__xludf.DUMMYFUNCTION("""COMPUTED_VALUE"""),"PO Closed")</f>
        <v>PO Closed</v>
      </c>
      <c r="Q4737" s="6" t="str">
        <f>IFERROR(__xludf.DUMMYFUNCTION("""COMPUTED_VALUE"""),"GL2602367")</f>
        <v>GL2602367</v>
      </c>
      <c r="R4737" s="57">
        <f>IFERROR(__xludf.DUMMYFUNCTION("""COMPUTED_VALUE"""),46031.0)</f>
        <v>46031</v>
      </c>
      <c r="S4737" s="57">
        <f>IFERROR(__xludf.DUMMYFUNCTION("""COMPUTED_VALUE"""),46035.0)</f>
        <v>46035</v>
      </c>
      <c r="T4737" s="57">
        <f>IFERROR(__xludf.DUMMYFUNCTION("""COMPUTED_VALUE"""),46094.0)</f>
        <v>46094</v>
      </c>
    </row>
    <row r="4738">
      <c r="A4738" s="6" t="str">
        <f>IFERROR(__xludf.DUMMYFUNCTION("""COMPUTED_VALUE"""),"121703674-1")</f>
        <v>121703674-1</v>
      </c>
      <c r="B4738" s="6" t="str">
        <f>IFERROR(__xludf.DUMMYFUNCTION("""COMPUTED_VALUE"""),"121703674 - APPROVED")</f>
        <v>121703674 - APPROVED</v>
      </c>
      <c r="C4738" s="6">
        <f>IFERROR(__xludf.DUMMYFUNCTION("""COMPUTED_VALUE"""),1.0)</f>
        <v>1</v>
      </c>
      <c r="D4738" s="6" t="str">
        <f>IFERROR(__xludf.DUMMYFUNCTION("""COMPUTED_VALUE"""),"P-18067-00")</f>
        <v>P-18067-00</v>
      </c>
      <c r="E4738" s="6" t="str">
        <f>IFERROR(__xludf.DUMMYFUNCTION("""COMPUTED_VALUE"""),"General - Lampu TL LED T5 16 W 6000 K; No Brand; -; 1 unt")</f>
        <v>General - Lampu TL LED T5 16 W 6000 K; No Brand; -; 1 unt</v>
      </c>
      <c r="F4738" s="6">
        <f>IFERROR(__xludf.DUMMYFUNCTION("""COMPUTED_VALUE"""),5.0)</f>
        <v>5</v>
      </c>
      <c r="G4738" s="6" t="str">
        <f>IFERROR(__xludf.DUMMYFUNCTION("""COMPUTED_VALUE"""),"Pieces")</f>
        <v>Pieces</v>
      </c>
      <c r="H4738" s="6" t="str">
        <f>IFERROR(__xludf.DUMMYFUNCTION("""COMPUTED_VALUE"""),"IDR")</f>
        <v>IDR</v>
      </c>
      <c r="I4738" s="6">
        <f>IFERROR(__xludf.DUMMYFUNCTION("""COMPUTED_VALUE"""),125000.0)</f>
        <v>125000</v>
      </c>
      <c r="J4738" s="6">
        <f>IFERROR(__xludf.DUMMYFUNCTION("""COMPUTED_VALUE"""),625000.0)</f>
        <v>625000</v>
      </c>
      <c r="K4738" s="57">
        <f>IFERROR(__xludf.DUMMYFUNCTION("""COMPUTED_VALUE"""),46066.0)</f>
        <v>46066</v>
      </c>
      <c r="L4738" s="6" t="str">
        <f>IFERROR(__xludf.DUMMYFUNCTION("""COMPUTED_VALUE"""),"FIP Engineering")</f>
        <v>FIP Engineering</v>
      </c>
      <c r="M4738" s="6" t="str">
        <f>IFERROR(__xludf.DUMMYFUNCTION("""COMPUTED_VALUE"""),"Mochammad Fadhillah Hakim,")</f>
        <v>Mochammad Fadhillah Hakim,</v>
      </c>
      <c r="N4738" s="6" t="str">
        <f>IFERROR(__xludf.DUMMYFUNCTION("""COMPUTED_VALUE"""),"FIP Engineering")</f>
        <v>FIP Engineering</v>
      </c>
      <c r="O4738" s="6" t="str">
        <f>IFERROR(__xludf.DUMMYFUNCTION("""COMPUTED_VALUE"""),"FIP-DOM-000-11304-OS00001-INA-000000")</f>
        <v>FIP-DOM-000-11304-OS00001-INA-000000</v>
      </c>
      <c r="P4738" s="6" t="str">
        <f>IFERROR(__xludf.DUMMYFUNCTION("""COMPUTED_VALUE"""),"PO Closed")</f>
        <v>PO Closed</v>
      </c>
      <c r="Q4738" s="6" t="str">
        <f>IFERROR(__xludf.DUMMYFUNCTION("""COMPUTED_VALUE"""),"GL2601348")</f>
        <v>GL2601348</v>
      </c>
      <c r="R4738" s="57">
        <f>IFERROR(__xludf.DUMMYFUNCTION("""COMPUTED_VALUE"""),46031.0)</f>
        <v>46031</v>
      </c>
      <c r="S4738" s="57">
        <f>IFERROR(__xludf.DUMMYFUNCTION("""COMPUTED_VALUE"""),46035.0)</f>
        <v>46035</v>
      </c>
      <c r="T4738" s="57">
        <f>IFERROR(__xludf.DUMMYFUNCTION("""COMPUTED_VALUE"""),46057.0)</f>
        <v>46057</v>
      </c>
    </row>
    <row r="4739">
      <c r="A4739" s="6" t="str">
        <f>IFERROR(__xludf.DUMMYFUNCTION("""COMPUTED_VALUE"""),"121703675-1")</f>
        <v>121703675-1</v>
      </c>
      <c r="B4739" s="6" t="str">
        <f>IFERROR(__xludf.DUMMYFUNCTION("""COMPUTED_VALUE"""),"121703675 - APPROVED")</f>
        <v>121703675 - APPROVED</v>
      </c>
      <c r="C4739" s="6">
        <f>IFERROR(__xludf.DUMMYFUNCTION("""COMPUTED_VALUE"""),1.0)</f>
        <v>1</v>
      </c>
      <c r="D4739" s="6" t="str">
        <f>IFERROR(__xludf.DUMMYFUNCTION("""COMPUTED_VALUE"""),"O-14640-00")</f>
        <v>O-14640-00</v>
      </c>
      <c r="E4739" s="6" t="str">
        <f>IFERROR(__xludf.DUMMYFUNCTION("""COMPUTED_VALUE"""),"General - Silicone Gasket for Ferrule dia. 3/4""; -; -; 1 Pc")</f>
        <v>General - Silicone Gasket for Ferrule dia. 3/4"; -; -; 1 Pc</v>
      </c>
      <c r="F4739" s="6">
        <f>IFERROR(__xludf.DUMMYFUNCTION("""COMPUTED_VALUE"""),50.0)</f>
        <v>50</v>
      </c>
      <c r="G4739" s="6" t="str">
        <f>IFERROR(__xludf.DUMMYFUNCTION("""COMPUTED_VALUE"""),"Pieces")</f>
        <v>Pieces</v>
      </c>
      <c r="H4739" s="6" t="str">
        <f>IFERROR(__xludf.DUMMYFUNCTION("""COMPUTED_VALUE"""),"IDR")</f>
        <v>IDR</v>
      </c>
      <c r="I4739" s="6">
        <f>IFERROR(__xludf.DUMMYFUNCTION("""COMPUTED_VALUE"""),11000.0)</f>
        <v>11000</v>
      </c>
      <c r="J4739" s="6">
        <f>IFERROR(__xludf.DUMMYFUNCTION("""COMPUTED_VALUE"""),550000.0)</f>
        <v>550000</v>
      </c>
      <c r="K4739" s="57">
        <f>IFERROR(__xludf.DUMMYFUNCTION("""COMPUTED_VALUE"""),46066.0)</f>
        <v>46066</v>
      </c>
      <c r="L4739" s="6" t="str">
        <f>IFERROR(__xludf.DUMMYFUNCTION("""COMPUTED_VALUE"""),"FIP Engineering")</f>
        <v>FIP Engineering</v>
      </c>
      <c r="M4739" s="6" t="str">
        <f>IFERROR(__xludf.DUMMYFUNCTION("""COMPUTED_VALUE"""),"Mochammad Fadhillah Hakim,")</f>
        <v>Mochammad Fadhillah Hakim,</v>
      </c>
      <c r="N4739" s="6" t="str">
        <f>IFERROR(__xludf.DUMMYFUNCTION("""COMPUTED_VALUE"""),"FIP Engineering")</f>
        <v>FIP Engineering</v>
      </c>
      <c r="O4739" s="6" t="str">
        <f>IFERROR(__xludf.DUMMYFUNCTION("""COMPUTED_VALUE"""),"FIP-DOM-000-11304-OS00001-INA-000000")</f>
        <v>FIP-DOM-000-11304-OS00001-INA-000000</v>
      </c>
      <c r="P4739" s="6" t="str">
        <f>IFERROR(__xludf.DUMMYFUNCTION("""COMPUTED_VALUE"""),"PO Closed")</f>
        <v>PO Closed</v>
      </c>
      <c r="Q4739" s="6" t="str">
        <f>IFERROR(__xludf.DUMMYFUNCTION("""COMPUTED_VALUE"""),"GL2602375")</f>
        <v>GL2602375</v>
      </c>
      <c r="R4739" s="57">
        <f>IFERROR(__xludf.DUMMYFUNCTION("""COMPUTED_VALUE"""),46031.0)</f>
        <v>46031</v>
      </c>
      <c r="S4739" s="57">
        <f>IFERROR(__xludf.DUMMYFUNCTION("""COMPUTED_VALUE"""),46035.0)</f>
        <v>46035</v>
      </c>
      <c r="T4739" s="57">
        <f>IFERROR(__xludf.DUMMYFUNCTION("""COMPUTED_VALUE"""),46094.0)</f>
        <v>46094</v>
      </c>
    </row>
    <row r="4740">
      <c r="A4740" s="6" t="str">
        <f>IFERROR(__xludf.DUMMYFUNCTION("""COMPUTED_VALUE"""),"121703680-1")</f>
        <v>121703680-1</v>
      </c>
      <c r="B4740" s="6" t="str">
        <f>IFERROR(__xludf.DUMMYFUNCTION("""COMPUTED_VALUE"""),"121703680 - APPROVED")</f>
        <v>121703680 - APPROVED</v>
      </c>
      <c r="C4740" s="6">
        <f>IFERROR(__xludf.DUMMYFUNCTION("""COMPUTED_VALUE"""),1.0)</f>
        <v>1</v>
      </c>
      <c r="D4740" s="6" t="str">
        <f>IFERROR(__xludf.DUMMYFUNCTION("""COMPUTED_VALUE"""),"R-21013-00")</f>
        <v>R-21013-00</v>
      </c>
      <c r="E4740" s="6" t="str">
        <f>IFERROR(__xludf.DUMMYFUNCTION("""COMPUTED_VALUE"""),"Utility Equipment; ; ; - Transmitter M300 Water 2-CH 1/4DIN 30280778")</f>
        <v>Utility Equipment; ; ; - Transmitter M300 Water 2-CH 1/4DIN 30280778</v>
      </c>
      <c r="F4740" s="6">
        <f>IFERROR(__xludf.DUMMYFUNCTION("""COMPUTED_VALUE"""),1.0)</f>
        <v>1</v>
      </c>
      <c r="G4740" s="6" t="str">
        <f>IFERROR(__xludf.DUMMYFUNCTION("""COMPUTED_VALUE"""),"Unit")</f>
        <v>Unit</v>
      </c>
      <c r="H4740" s="6" t="str">
        <f>IFERROR(__xludf.DUMMYFUNCTION("""COMPUTED_VALUE"""),"IDR")</f>
        <v>IDR</v>
      </c>
      <c r="I4740" s="6">
        <f>IFERROR(__xludf.DUMMYFUNCTION("""COMPUTED_VALUE"""),4.972E7)</f>
        <v>49720000</v>
      </c>
      <c r="J4740" s="6">
        <f>IFERROR(__xludf.DUMMYFUNCTION("""COMPUTED_VALUE"""),4.972E7)</f>
        <v>49720000</v>
      </c>
      <c r="K4740" s="57">
        <f>IFERROR(__xludf.DUMMYFUNCTION("""COMPUTED_VALUE"""),46066.0)</f>
        <v>46066</v>
      </c>
      <c r="L4740" s="6" t="str">
        <f>IFERROR(__xludf.DUMMYFUNCTION("""COMPUTED_VALUE"""),"FIP General")</f>
        <v>FIP General</v>
      </c>
      <c r="M4740" s="6" t="str">
        <f>IFERROR(__xludf.DUMMYFUNCTION("""COMPUTED_VALUE"""),"Mochammad Fadhillah Hakim,")</f>
        <v>Mochammad Fadhillah Hakim,</v>
      </c>
      <c r="N4740" s="6" t="str">
        <f>IFERROR(__xludf.DUMMYFUNCTION("""COMPUTED_VALUE"""),"FIP Engineering")</f>
        <v>FIP Engineering</v>
      </c>
      <c r="O4740" s="6" t="str">
        <f>IFERROR(__xludf.DUMMYFUNCTION("""COMPUTED_VALUE"""),"FIP-DOM-ENG-13405-EQ26003-INA-000000")</f>
        <v>FIP-DOM-ENG-13405-EQ26003-INA-000000</v>
      </c>
      <c r="P4740" s="6" t="str">
        <f>IFERROR(__xludf.DUMMYFUNCTION("""COMPUTED_VALUE"""),"PO Closed")</f>
        <v>PO Closed</v>
      </c>
      <c r="Q4740" s="6" t="str">
        <f>IFERROR(__xludf.DUMMYFUNCTION("""COMPUTED_VALUE"""),"GL2602017")</f>
        <v>GL2602017</v>
      </c>
      <c r="R4740" s="57">
        <f>IFERROR(__xludf.DUMMYFUNCTION("""COMPUTED_VALUE"""),46031.0)</f>
        <v>46031</v>
      </c>
      <c r="S4740" s="57">
        <f>IFERROR(__xludf.DUMMYFUNCTION("""COMPUTED_VALUE"""),46035.0)</f>
        <v>46035</v>
      </c>
      <c r="T4740" s="57">
        <f>IFERROR(__xludf.DUMMYFUNCTION("""COMPUTED_VALUE"""),46094.0)</f>
        <v>46094</v>
      </c>
    </row>
    <row r="4741">
      <c r="A4741" s="6" t="str">
        <f>IFERROR(__xludf.DUMMYFUNCTION("""COMPUTED_VALUE"""),"121703680-2")</f>
        <v>121703680-2</v>
      </c>
      <c r="B4741" s="6" t="str">
        <f>IFERROR(__xludf.DUMMYFUNCTION("""COMPUTED_VALUE"""),"121703680 - APPROVED")</f>
        <v>121703680 - APPROVED</v>
      </c>
      <c r="C4741" s="6">
        <f>IFERROR(__xludf.DUMMYFUNCTION("""COMPUTED_VALUE"""),2.0)</f>
        <v>2</v>
      </c>
      <c r="D4741" s="6" t="str">
        <f>IFERROR(__xludf.DUMMYFUNCTION("""COMPUTED_VALUE"""),"R-21013-00")</f>
        <v>R-21013-00</v>
      </c>
      <c r="E4741" s="6" t="str">
        <f>IFERROR(__xludf.DUMMYFUNCTION("""COMPUTED_VALUE"""),"Utility Equipment; ; ; - O3 Sensor Probe, pureO3/12/120 30139305")</f>
        <v>Utility Equipment; ; ; - O3 Sensor Probe, pureO3/12/120 30139305</v>
      </c>
      <c r="F4741" s="6">
        <f>IFERROR(__xludf.DUMMYFUNCTION("""COMPUTED_VALUE"""),1.0)</f>
        <v>1</v>
      </c>
      <c r="G4741" s="6" t="str">
        <f>IFERROR(__xludf.DUMMYFUNCTION("""COMPUTED_VALUE"""),"Unit")</f>
        <v>Unit</v>
      </c>
      <c r="H4741" s="6" t="str">
        <f>IFERROR(__xludf.DUMMYFUNCTION("""COMPUTED_VALUE"""),"IDR")</f>
        <v>IDR</v>
      </c>
      <c r="I4741" s="6">
        <f>IFERROR(__xludf.DUMMYFUNCTION("""COMPUTED_VALUE"""),5.64975E7)</f>
        <v>56497500</v>
      </c>
      <c r="J4741" s="6">
        <f>IFERROR(__xludf.DUMMYFUNCTION("""COMPUTED_VALUE"""),5.64975E7)</f>
        <v>56497500</v>
      </c>
      <c r="K4741" s="57">
        <f>IFERROR(__xludf.DUMMYFUNCTION("""COMPUTED_VALUE"""),46066.0)</f>
        <v>46066</v>
      </c>
      <c r="L4741" s="6" t="str">
        <f>IFERROR(__xludf.DUMMYFUNCTION("""COMPUTED_VALUE"""),"FIP General")</f>
        <v>FIP General</v>
      </c>
      <c r="M4741" s="6" t="str">
        <f>IFERROR(__xludf.DUMMYFUNCTION("""COMPUTED_VALUE"""),"Mochammad Fadhillah Hakim,")</f>
        <v>Mochammad Fadhillah Hakim,</v>
      </c>
      <c r="N4741" s="6" t="str">
        <f>IFERROR(__xludf.DUMMYFUNCTION("""COMPUTED_VALUE"""),"FIP Engineering")</f>
        <v>FIP Engineering</v>
      </c>
      <c r="O4741" s="6" t="str">
        <f>IFERROR(__xludf.DUMMYFUNCTION("""COMPUTED_VALUE"""),"FIP-DOM-ENG-13405-EQ26003-INA-000000")</f>
        <v>FIP-DOM-ENG-13405-EQ26003-INA-000000</v>
      </c>
      <c r="P4741" s="6" t="str">
        <f>IFERROR(__xludf.DUMMYFUNCTION("""COMPUTED_VALUE"""),"PO Closed")</f>
        <v>PO Closed</v>
      </c>
      <c r="Q4741" s="6" t="str">
        <f>IFERROR(__xludf.DUMMYFUNCTION("""COMPUTED_VALUE"""),"GL2602017")</f>
        <v>GL2602017</v>
      </c>
      <c r="R4741" s="57">
        <f>IFERROR(__xludf.DUMMYFUNCTION("""COMPUTED_VALUE"""),46031.0)</f>
        <v>46031</v>
      </c>
      <c r="S4741" s="57">
        <f>IFERROR(__xludf.DUMMYFUNCTION("""COMPUTED_VALUE"""),46035.0)</f>
        <v>46035</v>
      </c>
      <c r="T4741" s="57">
        <f>IFERROR(__xludf.DUMMYFUNCTION("""COMPUTED_VALUE"""),46094.0)</f>
        <v>46094</v>
      </c>
    </row>
    <row r="4742">
      <c r="A4742" s="6" t="str">
        <f>IFERROR(__xludf.DUMMYFUNCTION("""COMPUTED_VALUE"""),"121703680-3")</f>
        <v>121703680-3</v>
      </c>
      <c r="B4742" s="6" t="str">
        <f>IFERROR(__xludf.DUMMYFUNCTION("""COMPUTED_VALUE"""),"121703680 - APPROVED")</f>
        <v>121703680 - APPROVED</v>
      </c>
      <c r="C4742" s="6">
        <f>IFERROR(__xludf.DUMMYFUNCTION("""COMPUTED_VALUE"""),3.0)</f>
        <v>3</v>
      </c>
      <c r="D4742" s="6" t="str">
        <f>IFERROR(__xludf.DUMMYFUNCTION("""COMPUTED_VALUE"""),"R-21013-00")</f>
        <v>R-21013-00</v>
      </c>
      <c r="E4742" s="6" t="str">
        <f>IFERROR(__xludf.DUMMYFUNCTION("""COMPUTED_VALUE"""),"Utility Equipment; ; ; - Cable AK9/10m 59902230")</f>
        <v>Utility Equipment; ; ; - Cable AK9/10m 59902230</v>
      </c>
      <c r="F4742" s="6">
        <f>IFERROR(__xludf.DUMMYFUNCTION("""COMPUTED_VALUE"""),1.0)</f>
        <v>1</v>
      </c>
      <c r="G4742" s="6" t="str">
        <f>IFERROR(__xludf.DUMMYFUNCTION("""COMPUTED_VALUE"""),"Unit")</f>
        <v>Unit</v>
      </c>
      <c r="H4742" s="6" t="str">
        <f>IFERROR(__xludf.DUMMYFUNCTION("""COMPUTED_VALUE"""),"IDR")</f>
        <v>IDR</v>
      </c>
      <c r="I4742" s="6">
        <f>IFERROR(__xludf.DUMMYFUNCTION("""COMPUTED_VALUE"""),4028000.0)</f>
        <v>4028000</v>
      </c>
      <c r="J4742" s="6">
        <f>IFERROR(__xludf.DUMMYFUNCTION("""COMPUTED_VALUE"""),4028000.0)</f>
        <v>4028000</v>
      </c>
      <c r="K4742" s="57">
        <f>IFERROR(__xludf.DUMMYFUNCTION("""COMPUTED_VALUE"""),46066.0)</f>
        <v>46066</v>
      </c>
      <c r="L4742" s="6" t="str">
        <f>IFERROR(__xludf.DUMMYFUNCTION("""COMPUTED_VALUE"""),"FIP General")</f>
        <v>FIP General</v>
      </c>
      <c r="M4742" s="6" t="str">
        <f>IFERROR(__xludf.DUMMYFUNCTION("""COMPUTED_VALUE"""),"Mochammad Fadhillah Hakim,")</f>
        <v>Mochammad Fadhillah Hakim,</v>
      </c>
      <c r="N4742" s="6" t="str">
        <f>IFERROR(__xludf.DUMMYFUNCTION("""COMPUTED_VALUE"""),"FIP Engineering")</f>
        <v>FIP Engineering</v>
      </c>
      <c r="O4742" s="6" t="str">
        <f>IFERROR(__xludf.DUMMYFUNCTION("""COMPUTED_VALUE"""),"FIP-DOM-ENG-13405-EQ26003-INA-000000")</f>
        <v>FIP-DOM-ENG-13405-EQ26003-INA-000000</v>
      </c>
      <c r="P4742" s="6" t="str">
        <f>IFERROR(__xludf.DUMMYFUNCTION("""COMPUTED_VALUE"""),"PO Closed")</f>
        <v>PO Closed</v>
      </c>
      <c r="Q4742" s="6" t="str">
        <f>IFERROR(__xludf.DUMMYFUNCTION("""COMPUTED_VALUE"""),"GL2602017")</f>
        <v>GL2602017</v>
      </c>
      <c r="R4742" s="57">
        <f>IFERROR(__xludf.DUMMYFUNCTION("""COMPUTED_VALUE"""),46031.0)</f>
        <v>46031</v>
      </c>
      <c r="S4742" s="57">
        <f>IFERROR(__xludf.DUMMYFUNCTION("""COMPUTED_VALUE"""),46035.0)</f>
        <v>46035</v>
      </c>
      <c r="T4742" s="57">
        <f>IFERROR(__xludf.DUMMYFUNCTION("""COMPUTED_VALUE"""),46094.0)</f>
        <v>46094</v>
      </c>
    </row>
    <row r="4743">
      <c r="A4743" s="6" t="str">
        <f>IFERROR(__xludf.DUMMYFUNCTION("""COMPUTED_VALUE"""),"121703680-4")</f>
        <v>121703680-4</v>
      </c>
      <c r="B4743" s="6" t="str">
        <f>IFERROR(__xludf.DUMMYFUNCTION("""COMPUTED_VALUE"""),"121703680 - APPROVED")</f>
        <v>121703680 - APPROVED</v>
      </c>
      <c r="C4743" s="6">
        <f>IFERROR(__xludf.DUMMYFUNCTION("""COMPUTED_VALUE"""),4.0)</f>
        <v>4</v>
      </c>
      <c r="D4743" s="6" t="str">
        <f>IFERROR(__xludf.DUMMYFUNCTION("""COMPUTED_VALUE"""),"R-21013-00")</f>
        <v>R-21013-00</v>
      </c>
      <c r="E4743" s="6" t="str">
        <f>IFERROR(__xludf.DUMMYFUNCTION("""COMPUTED_VALUE"""),"Utility Equipment; ; ; - Setup Standard Configuration EA")</f>
        <v>Utility Equipment; ; ; - Setup Standard Configuration EA</v>
      </c>
      <c r="F4743" s="6">
        <f>IFERROR(__xludf.DUMMYFUNCTION("""COMPUTED_VALUE"""),1.0)</f>
        <v>1</v>
      </c>
      <c r="G4743" s="6" t="str">
        <f>IFERROR(__xludf.DUMMYFUNCTION("""COMPUTED_VALUE"""),"Unit")</f>
        <v>Unit</v>
      </c>
      <c r="H4743" s="6" t="str">
        <f>IFERROR(__xludf.DUMMYFUNCTION("""COMPUTED_VALUE"""),"IDR")</f>
        <v>IDR</v>
      </c>
      <c r="I4743" s="6">
        <f>IFERROR(__xludf.DUMMYFUNCTION("""COMPUTED_VALUE"""),3440000.0)</f>
        <v>3440000</v>
      </c>
      <c r="J4743" s="6">
        <f>IFERROR(__xludf.DUMMYFUNCTION("""COMPUTED_VALUE"""),3440000.0)</f>
        <v>3440000</v>
      </c>
      <c r="K4743" s="57">
        <f>IFERROR(__xludf.DUMMYFUNCTION("""COMPUTED_VALUE"""),46066.0)</f>
        <v>46066</v>
      </c>
      <c r="L4743" s="6" t="str">
        <f>IFERROR(__xludf.DUMMYFUNCTION("""COMPUTED_VALUE"""),"FIP General")</f>
        <v>FIP General</v>
      </c>
      <c r="M4743" s="6" t="str">
        <f>IFERROR(__xludf.DUMMYFUNCTION("""COMPUTED_VALUE"""),"Mochammad Fadhillah Hakim,")</f>
        <v>Mochammad Fadhillah Hakim,</v>
      </c>
      <c r="N4743" s="6" t="str">
        <f>IFERROR(__xludf.DUMMYFUNCTION("""COMPUTED_VALUE"""),"FIP Engineering")</f>
        <v>FIP Engineering</v>
      </c>
      <c r="O4743" s="6" t="str">
        <f>IFERROR(__xludf.DUMMYFUNCTION("""COMPUTED_VALUE"""),"FIP-DOM-ENG-13405-EQ26003-INA-000000")</f>
        <v>FIP-DOM-ENG-13405-EQ26003-INA-000000</v>
      </c>
      <c r="P4743" s="6" t="str">
        <f>IFERROR(__xludf.DUMMYFUNCTION("""COMPUTED_VALUE"""),"PO Closed")</f>
        <v>PO Closed</v>
      </c>
      <c r="Q4743" s="6" t="str">
        <f>IFERROR(__xludf.DUMMYFUNCTION("""COMPUTED_VALUE"""),"GL2602017")</f>
        <v>GL2602017</v>
      </c>
      <c r="R4743" s="57">
        <f>IFERROR(__xludf.DUMMYFUNCTION("""COMPUTED_VALUE"""),46031.0)</f>
        <v>46031</v>
      </c>
      <c r="S4743" s="57">
        <f>IFERROR(__xludf.DUMMYFUNCTION("""COMPUTED_VALUE"""),46035.0)</f>
        <v>46035</v>
      </c>
      <c r="T4743" s="57">
        <f>IFERROR(__xludf.DUMMYFUNCTION("""COMPUTED_VALUE"""),46254.0)</f>
        <v>46254</v>
      </c>
    </row>
    <row r="4744">
      <c r="A4744" s="6" t="str">
        <f>IFERROR(__xludf.DUMMYFUNCTION("""COMPUTED_VALUE"""),"121703680-5")</f>
        <v>121703680-5</v>
      </c>
      <c r="B4744" s="6" t="str">
        <f>IFERROR(__xludf.DUMMYFUNCTION("""COMPUTED_VALUE"""),"121703680 - APPROVED")</f>
        <v>121703680 - APPROVED</v>
      </c>
      <c r="C4744" s="6">
        <f>IFERROR(__xludf.DUMMYFUNCTION("""COMPUTED_VALUE"""),5.0)</f>
        <v>5</v>
      </c>
      <c r="D4744" s="6" t="str">
        <f>IFERROR(__xludf.DUMMYFUNCTION("""COMPUTED_VALUE"""),"R-21013-00")</f>
        <v>R-21013-00</v>
      </c>
      <c r="E4744" s="6" t="str">
        <f>IFERROR(__xludf.DUMMYFUNCTION("""COMPUTED_VALUE"""),"Utility Equipment; ; ; - Calibrate Sensor OnSite")</f>
        <v>Utility Equipment; ; ; - Calibrate Sensor OnSite</v>
      </c>
      <c r="F4744" s="6">
        <f>IFERROR(__xludf.DUMMYFUNCTION("""COMPUTED_VALUE"""),1.0)</f>
        <v>1</v>
      </c>
      <c r="G4744" s="6" t="str">
        <f>IFERROR(__xludf.DUMMYFUNCTION("""COMPUTED_VALUE"""),"Unit")</f>
        <v>Unit</v>
      </c>
      <c r="H4744" s="6" t="str">
        <f>IFERROR(__xludf.DUMMYFUNCTION("""COMPUTED_VALUE"""),"IDR")</f>
        <v>IDR</v>
      </c>
      <c r="I4744" s="6">
        <f>IFERROR(__xludf.DUMMYFUNCTION("""COMPUTED_VALUE"""),1.111E7)</f>
        <v>11110000</v>
      </c>
      <c r="J4744" s="6">
        <f>IFERROR(__xludf.DUMMYFUNCTION("""COMPUTED_VALUE"""),1.111E7)</f>
        <v>11110000</v>
      </c>
      <c r="K4744" s="57">
        <f>IFERROR(__xludf.DUMMYFUNCTION("""COMPUTED_VALUE"""),46066.0)</f>
        <v>46066</v>
      </c>
      <c r="L4744" s="6" t="str">
        <f>IFERROR(__xludf.DUMMYFUNCTION("""COMPUTED_VALUE"""),"FIP General")</f>
        <v>FIP General</v>
      </c>
      <c r="M4744" s="6" t="str">
        <f>IFERROR(__xludf.DUMMYFUNCTION("""COMPUTED_VALUE"""),"Mochammad Fadhillah Hakim,")</f>
        <v>Mochammad Fadhillah Hakim,</v>
      </c>
      <c r="N4744" s="6" t="str">
        <f>IFERROR(__xludf.DUMMYFUNCTION("""COMPUTED_VALUE"""),"FIP Engineering")</f>
        <v>FIP Engineering</v>
      </c>
      <c r="O4744" s="6" t="str">
        <f>IFERROR(__xludf.DUMMYFUNCTION("""COMPUTED_VALUE"""),"FIP-DOM-ENG-13405-EQ26003-INA-000000")</f>
        <v>FIP-DOM-ENG-13405-EQ26003-INA-000000</v>
      </c>
      <c r="P4744" s="6" t="str">
        <f>IFERROR(__xludf.DUMMYFUNCTION("""COMPUTED_VALUE"""),"PO Closed")</f>
        <v>PO Closed</v>
      </c>
      <c r="Q4744" s="6" t="str">
        <f>IFERROR(__xludf.DUMMYFUNCTION("""COMPUTED_VALUE"""),"GL2602017")</f>
        <v>GL2602017</v>
      </c>
      <c r="R4744" s="57">
        <f>IFERROR(__xludf.DUMMYFUNCTION("""COMPUTED_VALUE"""),46031.0)</f>
        <v>46031</v>
      </c>
      <c r="S4744" s="57">
        <f>IFERROR(__xludf.DUMMYFUNCTION("""COMPUTED_VALUE"""),46035.0)</f>
        <v>46035</v>
      </c>
      <c r="T4744" s="57">
        <f>IFERROR(__xludf.DUMMYFUNCTION("""COMPUTED_VALUE"""),46094.0)</f>
        <v>46094</v>
      </c>
    </row>
    <row r="4745">
      <c r="A4745" s="6" t="str">
        <f>IFERROR(__xludf.DUMMYFUNCTION("""COMPUTED_VALUE"""),"121703686-1")</f>
        <v>121703686-1</v>
      </c>
      <c r="B4745" s="6" t="str">
        <f>IFERROR(__xludf.DUMMYFUNCTION("""COMPUTED_VALUE"""),"121703686 - APPROVED")</f>
        <v>121703686 - APPROVED</v>
      </c>
      <c r="C4745" s="6">
        <f>IFERROR(__xludf.DUMMYFUNCTION("""COMPUTED_VALUE"""),1.0)</f>
        <v>1</v>
      </c>
      <c r="D4745" s="6" t="str">
        <f>IFERROR(__xludf.DUMMYFUNCTION("""COMPUTED_VALUE"""),"R-20024-00")</f>
        <v>R-20024-00</v>
      </c>
      <c r="E4745" s="6" t="str">
        <f>IFERROR(__xludf.DUMMYFUNCTION("""COMPUTED_VALUE"""),"Machine Equipment; ; ; - Exhaust Freeze Dryer")</f>
        <v>Machine Equipment; ; ; - Exhaust Freeze Dryer</v>
      </c>
      <c r="F4745" s="6">
        <f>IFERROR(__xludf.DUMMYFUNCTION("""COMPUTED_VALUE"""),1.0)</f>
        <v>1</v>
      </c>
      <c r="G4745" s="6" t="str">
        <f>IFERROR(__xludf.DUMMYFUNCTION("""COMPUTED_VALUE"""),"Unit")</f>
        <v>Unit</v>
      </c>
      <c r="H4745" s="6" t="str">
        <f>IFERROR(__xludf.DUMMYFUNCTION("""COMPUTED_VALUE"""),"IDR")</f>
        <v>IDR</v>
      </c>
      <c r="I4745" s="6">
        <f>IFERROR(__xludf.DUMMYFUNCTION("""COMPUTED_VALUE"""),4.45555E8)</f>
        <v>445555000</v>
      </c>
      <c r="J4745" s="6">
        <f>IFERROR(__xludf.DUMMYFUNCTION("""COMPUTED_VALUE"""),4.45555E8)</f>
        <v>445555000</v>
      </c>
      <c r="K4745" s="57">
        <f>IFERROR(__xludf.DUMMYFUNCTION("""COMPUTED_VALUE"""),46066.0)</f>
        <v>46066</v>
      </c>
      <c r="L4745" s="6" t="str">
        <f>IFERROR(__xludf.DUMMYFUNCTION("""COMPUTED_VALUE"""),"FIP General")</f>
        <v>FIP General</v>
      </c>
      <c r="M4745" s="6" t="str">
        <f>IFERROR(__xludf.DUMMYFUNCTION("""COMPUTED_VALUE"""),"Mochammad Fadhillah Hakim,")</f>
        <v>Mochammad Fadhillah Hakim,</v>
      </c>
      <c r="N4745" s="6" t="str">
        <f>IFERROR(__xludf.DUMMYFUNCTION("""COMPUTED_VALUE"""),"FIP Engineering")</f>
        <v>FIP Engineering</v>
      </c>
      <c r="O4745" s="6" t="str">
        <f>IFERROR(__xludf.DUMMYFUNCTION("""COMPUTED_VALUE"""),"FIP-DOM-ENG-13404-MC26001-INA-000000")</f>
        <v>FIP-DOM-ENG-13404-MC26001-INA-000000</v>
      </c>
      <c r="P4745" s="6" t="str">
        <f>IFERROR(__xludf.DUMMYFUNCTION("""COMPUTED_VALUE"""),"PO Closed")</f>
        <v>PO Closed</v>
      </c>
      <c r="Q4745" s="6"/>
      <c r="R4745" s="57">
        <f>IFERROR(__xludf.DUMMYFUNCTION("""COMPUTED_VALUE"""),46031.0)</f>
        <v>46031</v>
      </c>
      <c r="S4745" s="57">
        <f>IFERROR(__xludf.DUMMYFUNCTION("""COMPUTED_VALUE"""),46035.0)</f>
        <v>46035</v>
      </c>
      <c r="T4745" s="6"/>
    </row>
    <row r="4746">
      <c r="A4746" s="6" t="str">
        <f>IFERROR(__xludf.DUMMYFUNCTION("""COMPUTED_VALUE"""),"121703687-2")</f>
        <v>121703687-2</v>
      </c>
      <c r="B4746" s="6" t="str">
        <f>IFERROR(__xludf.DUMMYFUNCTION("""COMPUTED_VALUE"""),"121703687 - APPROVED")</f>
        <v>121703687 - APPROVED</v>
      </c>
      <c r="C4746" s="6">
        <f>IFERROR(__xludf.DUMMYFUNCTION("""COMPUTED_VALUE"""),2.0)</f>
        <v>2</v>
      </c>
      <c r="D4746" s="6" t="str">
        <f>IFERROR(__xludf.DUMMYFUNCTION("""COMPUTED_VALUE"""),"O-21032-00")</f>
        <v>O-21032-00</v>
      </c>
      <c r="E4746" s="6" t="str">
        <f>IFERROR(__xludf.DUMMYFUNCTION("""COMPUTED_VALUE"""),"Washing RAR4 - Steel Ball / Gotri 2.5mm; -; -; 1 pck = 100pc")</f>
        <v>Washing RAR4 - Steel Ball / Gotri 2.5mm; -; -; 1 pck = 100pc</v>
      </c>
      <c r="F4746" s="6">
        <f>IFERROR(__xludf.DUMMYFUNCTION("""COMPUTED_VALUE"""),1.0)</f>
        <v>1</v>
      </c>
      <c r="G4746" s="6" t="str">
        <f>IFERROR(__xludf.DUMMYFUNCTION("""COMPUTED_VALUE"""),"Pack")</f>
        <v>Pack</v>
      </c>
      <c r="H4746" s="6" t="str">
        <f>IFERROR(__xludf.DUMMYFUNCTION("""COMPUTED_VALUE"""),"IDR")</f>
        <v>IDR</v>
      </c>
      <c r="I4746" s="6">
        <f>IFERROR(__xludf.DUMMYFUNCTION("""COMPUTED_VALUE"""),150000.0)</f>
        <v>150000</v>
      </c>
      <c r="J4746" s="6">
        <f>IFERROR(__xludf.DUMMYFUNCTION("""COMPUTED_VALUE"""),150000.0)</f>
        <v>150000</v>
      </c>
      <c r="K4746" s="57">
        <f>IFERROR(__xludf.DUMMYFUNCTION("""COMPUTED_VALUE"""),46066.0)</f>
        <v>46066</v>
      </c>
      <c r="L4746" s="6" t="str">
        <f>IFERROR(__xludf.DUMMYFUNCTION("""COMPUTED_VALUE"""),"FIP Engineering")</f>
        <v>FIP Engineering</v>
      </c>
      <c r="M4746" s="6" t="str">
        <f>IFERROR(__xludf.DUMMYFUNCTION("""COMPUTED_VALUE"""),"Mochammad Fadhillah Hakim,")</f>
        <v>Mochammad Fadhillah Hakim,</v>
      </c>
      <c r="N4746" s="6" t="str">
        <f>IFERROR(__xludf.DUMMYFUNCTION("""COMPUTED_VALUE"""),"FIP Engineering")</f>
        <v>FIP Engineering</v>
      </c>
      <c r="O4746" s="6" t="str">
        <f>IFERROR(__xludf.DUMMYFUNCTION("""COMPUTED_VALUE"""),"FIP-DOM-000-11304-OS00001-INA-000000")</f>
        <v>FIP-DOM-000-11304-OS00001-INA-000000</v>
      </c>
      <c r="P4746" s="6" t="str">
        <f>IFERROR(__xludf.DUMMYFUNCTION("""COMPUTED_VALUE"""),"PO Closed")</f>
        <v>PO Closed</v>
      </c>
      <c r="Q4746" s="6" t="str">
        <f>IFERROR(__xludf.DUMMYFUNCTION("""COMPUTED_VALUE"""),"GL2602372")</f>
        <v>GL2602372</v>
      </c>
      <c r="R4746" s="57">
        <f>IFERROR(__xludf.DUMMYFUNCTION("""COMPUTED_VALUE"""),46034.0)</f>
        <v>46034</v>
      </c>
      <c r="S4746" s="57">
        <f>IFERROR(__xludf.DUMMYFUNCTION("""COMPUTED_VALUE"""),46035.0)</f>
        <v>46035</v>
      </c>
      <c r="T4746" s="57">
        <f>IFERROR(__xludf.DUMMYFUNCTION("""COMPUTED_VALUE"""),46096.0)</f>
        <v>46096</v>
      </c>
    </row>
    <row r="4747">
      <c r="A4747" s="6" t="str">
        <f>IFERROR(__xludf.DUMMYFUNCTION("""COMPUTED_VALUE"""),"121703688-1")</f>
        <v>121703688-1</v>
      </c>
      <c r="B4747" s="6" t="str">
        <f>IFERROR(__xludf.DUMMYFUNCTION("""COMPUTED_VALUE"""),"121703688 - APPROVED")</f>
        <v>121703688 - APPROVED</v>
      </c>
      <c r="C4747" s="6">
        <f>IFERROR(__xludf.DUMMYFUNCTION("""COMPUTED_VALUE"""),1.0)</f>
        <v>1</v>
      </c>
      <c r="D4747" s="6" t="str">
        <f>IFERROR(__xludf.DUMMYFUNCTION("""COMPUTED_VALUE"""),"O-16980-00")</f>
        <v>O-16980-00</v>
      </c>
      <c r="E4747" s="6" t="str">
        <f>IFERROR(__xludf.DUMMYFUNCTION("""COMPUTED_VALUE"""),"General - Diaphragm 40 mm ER Grade EPDM; Saunders; DA040ER M4; 1 Pc")</f>
        <v>General - Diaphragm 40 mm ER Grade EPDM; Saunders; DA040ER M4; 1 Pc</v>
      </c>
      <c r="F4747" s="6">
        <f>IFERROR(__xludf.DUMMYFUNCTION("""COMPUTED_VALUE"""),24.0)</f>
        <v>24</v>
      </c>
      <c r="G4747" s="6" t="str">
        <f>IFERROR(__xludf.DUMMYFUNCTION("""COMPUTED_VALUE"""),"Pieces")</f>
        <v>Pieces</v>
      </c>
      <c r="H4747" s="6" t="str">
        <f>IFERROR(__xludf.DUMMYFUNCTION("""COMPUTED_VALUE"""),"IDR")</f>
        <v>IDR</v>
      </c>
      <c r="I4747" s="6">
        <f>IFERROR(__xludf.DUMMYFUNCTION("""COMPUTED_VALUE"""),1988800.0)</f>
        <v>1988800</v>
      </c>
      <c r="J4747" s="6">
        <f>IFERROR(__xludf.DUMMYFUNCTION("""COMPUTED_VALUE"""),4.77312E7)</f>
        <v>47731200</v>
      </c>
      <c r="K4747" s="57">
        <f>IFERROR(__xludf.DUMMYFUNCTION("""COMPUTED_VALUE"""),46066.0)</f>
        <v>46066</v>
      </c>
      <c r="L4747" s="6" t="str">
        <f>IFERROR(__xludf.DUMMYFUNCTION("""COMPUTED_VALUE"""),"FIP Engineering")</f>
        <v>FIP Engineering</v>
      </c>
      <c r="M4747" s="6" t="str">
        <f>IFERROR(__xludf.DUMMYFUNCTION("""COMPUTED_VALUE"""),"Mochammad Fadhillah Hakim,")</f>
        <v>Mochammad Fadhillah Hakim,</v>
      </c>
      <c r="N4747" s="6" t="str">
        <f>IFERROR(__xludf.DUMMYFUNCTION("""COMPUTED_VALUE"""),"FIP Engineering")</f>
        <v>FIP Engineering</v>
      </c>
      <c r="O4747" s="6" t="str">
        <f>IFERROR(__xludf.DUMMYFUNCTION("""COMPUTED_VALUE"""),"FIP-DOM-000-11304-OS00001-INA-000000")</f>
        <v>FIP-DOM-000-11304-OS00001-INA-000000</v>
      </c>
      <c r="P4747" s="6" t="str">
        <f>IFERROR(__xludf.DUMMYFUNCTION("""COMPUTED_VALUE"""),"PO Closed")</f>
        <v>PO Closed</v>
      </c>
      <c r="Q4747" s="6" t="str">
        <f>IFERROR(__xludf.DUMMYFUNCTION("""COMPUTED_VALUE"""),"GL2602004")</f>
        <v>GL2602004</v>
      </c>
      <c r="R4747" s="57">
        <f>IFERROR(__xludf.DUMMYFUNCTION("""COMPUTED_VALUE"""),46035.0)</f>
        <v>46035</v>
      </c>
      <c r="S4747" s="57">
        <f>IFERROR(__xludf.DUMMYFUNCTION("""COMPUTED_VALUE"""),46035.0)</f>
        <v>46035</v>
      </c>
      <c r="T4747" s="57">
        <f>IFERROR(__xludf.DUMMYFUNCTION("""COMPUTED_VALUE"""),46125.0)</f>
        <v>46125</v>
      </c>
    </row>
    <row r="4748">
      <c r="A4748" s="6" t="str">
        <f>IFERROR(__xludf.DUMMYFUNCTION("""COMPUTED_VALUE"""),"121703688-2")</f>
        <v>121703688-2</v>
      </c>
      <c r="B4748" s="6" t="str">
        <f>IFERROR(__xludf.DUMMYFUNCTION("""COMPUTED_VALUE"""),"121703688 - APPROVED")</f>
        <v>121703688 - APPROVED</v>
      </c>
      <c r="C4748" s="6">
        <f>IFERROR(__xludf.DUMMYFUNCTION("""COMPUTED_VALUE"""),2.0)</f>
        <v>2</v>
      </c>
      <c r="D4748" s="6" t="str">
        <f>IFERROR(__xludf.DUMMYFUNCTION("""COMPUTED_VALUE"""),"O-16981-00")</f>
        <v>O-16981-00</v>
      </c>
      <c r="E4748" s="6" t="str">
        <f>IFERROR(__xludf.DUMMYFUNCTION("""COMPUTED_VALUE"""),"General - Diaphragm 25 mm ER Grade EPDM; Saunders; DA025ER M4; 1 Pc")</f>
        <v>General - Diaphragm 25 mm ER Grade EPDM; Saunders; DA025ER M4; 1 Pc</v>
      </c>
      <c r="F4748" s="6">
        <f>IFERROR(__xludf.DUMMYFUNCTION("""COMPUTED_VALUE"""),40.0)</f>
        <v>40</v>
      </c>
      <c r="G4748" s="6" t="str">
        <f>IFERROR(__xludf.DUMMYFUNCTION("""COMPUTED_VALUE"""),"Pieces")</f>
        <v>Pieces</v>
      </c>
      <c r="H4748" s="6" t="str">
        <f>IFERROR(__xludf.DUMMYFUNCTION("""COMPUTED_VALUE"""),"IDR")</f>
        <v>IDR</v>
      </c>
      <c r="I4748" s="6">
        <f>IFERROR(__xludf.DUMMYFUNCTION("""COMPUTED_VALUE"""),1212200.0)</f>
        <v>1212200</v>
      </c>
      <c r="J4748" s="6">
        <f>IFERROR(__xludf.DUMMYFUNCTION("""COMPUTED_VALUE"""),4.8488E7)</f>
        <v>48488000</v>
      </c>
      <c r="K4748" s="57">
        <f>IFERROR(__xludf.DUMMYFUNCTION("""COMPUTED_VALUE"""),46066.0)</f>
        <v>46066</v>
      </c>
      <c r="L4748" s="6" t="str">
        <f>IFERROR(__xludf.DUMMYFUNCTION("""COMPUTED_VALUE"""),"FIP Engineering")</f>
        <v>FIP Engineering</v>
      </c>
      <c r="M4748" s="6" t="str">
        <f>IFERROR(__xludf.DUMMYFUNCTION("""COMPUTED_VALUE"""),"Mochammad Fadhillah Hakim,")</f>
        <v>Mochammad Fadhillah Hakim,</v>
      </c>
      <c r="N4748" s="6" t="str">
        <f>IFERROR(__xludf.DUMMYFUNCTION("""COMPUTED_VALUE"""),"FIP Engineering")</f>
        <v>FIP Engineering</v>
      </c>
      <c r="O4748" s="6" t="str">
        <f>IFERROR(__xludf.DUMMYFUNCTION("""COMPUTED_VALUE"""),"FIP-DOM-000-11304-OS00001-INA-000000")</f>
        <v>FIP-DOM-000-11304-OS00001-INA-000000</v>
      </c>
      <c r="P4748" s="6" t="str">
        <f>IFERROR(__xludf.DUMMYFUNCTION("""COMPUTED_VALUE"""),"PO Closed")</f>
        <v>PO Closed</v>
      </c>
      <c r="Q4748" s="6" t="str">
        <f>IFERROR(__xludf.DUMMYFUNCTION("""COMPUTED_VALUE"""),"GL2602004")</f>
        <v>GL2602004</v>
      </c>
      <c r="R4748" s="57">
        <f>IFERROR(__xludf.DUMMYFUNCTION("""COMPUTED_VALUE"""),46035.0)</f>
        <v>46035</v>
      </c>
      <c r="S4748" s="57">
        <f>IFERROR(__xludf.DUMMYFUNCTION("""COMPUTED_VALUE"""),46035.0)</f>
        <v>46035</v>
      </c>
      <c r="T4748" s="57">
        <f>IFERROR(__xludf.DUMMYFUNCTION("""COMPUTED_VALUE"""),46125.0)</f>
        <v>46125</v>
      </c>
    </row>
    <row r="4749">
      <c r="A4749" s="6" t="str">
        <f>IFERROR(__xludf.DUMMYFUNCTION("""COMPUTED_VALUE"""),"121703688-3")</f>
        <v>121703688-3</v>
      </c>
      <c r="B4749" s="6" t="str">
        <f>IFERROR(__xludf.DUMMYFUNCTION("""COMPUTED_VALUE"""),"121703688 - APPROVED")</f>
        <v>121703688 - APPROVED</v>
      </c>
      <c r="C4749" s="6">
        <f>IFERROR(__xludf.DUMMYFUNCTION("""COMPUTED_VALUE"""),3.0)</f>
        <v>3</v>
      </c>
      <c r="D4749" s="6" t="str">
        <f>IFERROR(__xludf.DUMMYFUNCTION("""COMPUTED_VALUE"""),"O-20496-00")</f>
        <v>O-20496-00</v>
      </c>
      <c r="E4749" s="6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F4749" s="6">
        <f>IFERROR(__xludf.DUMMYFUNCTION("""COMPUTED_VALUE"""),4.0)</f>
        <v>4</v>
      </c>
      <c r="G4749" s="6" t="str">
        <f>IFERROR(__xludf.DUMMYFUNCTION("""COMPUTED_VALUE"""),"Pieces")</f>
        <v>Pieces</v>
      </c>
      <c r="H4749" s="6" t="str">
        <f>IFERROR(__xludf.DUMMYFUNCTION("""COMPUTED_VALUE"""),"IDR")</f>
        <v>IDR</v>
      </c>
      <c r="I4749" s="6">
        <f>IFERROR(__xludf.DUMMYFUNCTION("""COMPUTED_VALUE"""),3731000.0)</f>
        <v>3731000</v>
      </c>
      <c r="J4749" s="6">
        <f>IFERROR(__xludf.DUMMYFUNCTION("""COMPUTED_VALUE"""),1.4924E7)</f>
        <v>14924000</v>
      </c>
      <c r="K4749" s="57">
        <f>IFERROR(__xludf.DUMMYFUNCTION("""COMPUTED_VALUE"""),46066.0)</f>
        <v>46066</v>
      </c>
      <c r="L4749" s="6" t="str">
        <f>IFERROR(__xludf.DUMMYFUNCTION("""COMPUTED_VALUE"""),"FIP Engineering")</f>
        <v>FIP Engineering</v>
      </c>
      <c r="M4749" s="6" t="str">
        <f>IFERROR(__xludf.DUMMYFUNCTION("""COMPUTED_VALUE"""),"Mochammad Fadhillah Hakim,")</f>
        <v>Mochammad Fadhillah Hakim,</v>
      </c>
      <c r="N4749" s="6" t="str">
        <f>IFERROR(__xludf.DUMMYFUNCTION("""COMPUTED_VALUE"""),"FIP Engineering")</f>
        <v>FIP Engineering</v>
      </c>
      <c r="O4749" s="6" t="str">
        <f>IFERROR(__xludf.DUMMYFUNCTION("""COMPUTED_VALUE"""),"FIP-DOM-000-11304-OS00001-INA-000000")</f>
        <v>FIP-DOM-000-11304-OS00001-INA-000000</v>
      </c>
      <c r="P4749" s="6" t="str">
        <f>IFERROR(__xludf.DUMMYFUNCTION("""COMPUTED_VALUE"""),"PO Closed")</f>
        <v>PO Closed</v>
      </c>
      <c r="Q4749" s="6" t="str">
        <f>IFERROR(__xludf.DUMMYFUNCTION("""COMPUTED_VALUE"""),"GL2602004")</f>
        <v>GL2602004</v>
      </c>
      <c r="R4749" s="57">
        <f>IFERROR(__xludf.DUMMYFUNCTION("""COMPUTED_VALUE"""),46035.0)</f>
        <v>46035</v>
      </c>
      <c r="S4749" s="57">
        <f>IFERROR(__xludf.DUMMYFUNCTION("""COMPUTED_VALUE"""),46035.0)</f>
        <v>46035</v>
      </c>
      <c r="T4749" s="57">
        <f>IFERROR(__xludf.DUMMYFUNCTION("""COMPUTED_VALUE"""),46125.0)</f>
        <v>46125</v>
      </c>
    </row>
    <row r="4750">
      <c r="A4750" s="6" t="str">
        <f>IFERROR(__xludf.DUMMYFUNCTION("""COMPUTED_VALUE"""),"121703689-1")</f>
        <v>121703689-1</v>
      </c>
      <c r="B4750" s="6" t="str">
        <f>IFERROR(__xludf.DUMMYFUNCTION("""COMPUTED_VALUE"""),"121703689 - APPROVED")</f>
        <v>121703689 - APPROVED</v>
      </c>
      <c r="C4750" s="6">
        <f>IFERROR(__xludf.DUMMYFUNCTION("""COMPUTED_VALUE"""),1.0)</f>
        <v>1</v>
      </c>
      <c r="D4750" s="6" t="str">
        <f>IFERROR(__xludf.DUMMYFUNCTION("""COMPUTED_VALUE"""),"O-21304-00")</f>
        <v>O-21304-00</v>
      </c>
      <c r="E4750" s="6" t="str">
        <f>IFERROR(__xludf.DUMMYFUNCTION("""COMPUTED_VALUE"""),"Coating PLAB - Inflatable Silicone Sealing Ring; ; GDA040193; 1 Pc")</f>
        <v>Coating PLAB - Inflatable Silicone Sealing Ring; ; GDA040193; 1 Pc</v>
      </c>
      <c r="F4750" s="6">
        <f>IFERROR(__xludf.DUMMYFUNCTION("""COMPUTED_VALUE"""),1.0)</f>
        <v>1</v>
      </c>
      <c r="G4750" s="6" t="str">
        <f>IFERROR(__xludf.DUMMYFUNCTION("""COMPUTED_VALUE"""),"Pieces")</f>
        <v>Pieces</v>
      </c>
      <c r="H4750" s="6" t="str">
        <f>IFERROR(__xludf.DUMMYFUNCTION("""COMPUTED_VALUE"""),"IDR")</f>
        <v>IDR</v>
      </c>
      <c r="I4750" s="6">
        <f>IFERROR(__xludf.DUMMYFUNCTION("""COMPUTED_VALUE"""),1.45075E7)</f>
        <v>14507500</v>
      </c>
      <c r="J4750" s="6">
        <f>IFERROR(__xludf.DUMMYFUNCTION("""COMPUTED_VALUE"""),1.45075E7)</f>
        <v>14507500</v>
      </c>
      <c r="K4750" s="57">
        <f>IFERROR(__xludf.DUMMYFUNCTION("""COMPUTED_VALUE"""),46066.0)</f>
        <v>46066</v>
      </c>
      <c r="L4750" s="6" t="str">
        <f>IFERROR(__xludf.DUMMYFUNCTION("""COMPUTED_VALUE"""),"FIP Engineering")</f>
        <v>FIP Engineering</v>
      </c>
      <c r="M4750" s="6" t="str">
        <f>IFERROR(__xludf.DUMMYFUNCTION("""COMPUTED_VALUE"""),"Mochammad Fadhillah Hakim,")</f>
        <v>Mochammad Fadhillah Hakim,</v>
      </c>
      <c r="N4750" s="6" t="str">
        <f>IFERROR(__xludf.DUMMYFUNCTION("""COMPUTED_VALUE"""),"FIP Engineering")</f>
        <v>FIP Engineering</v>
      </c>
      <c r="O4750" s="6" t="str">
        <f>IFERROR(__xludf.DUMMYFUNCTION("""COMPUTED_VALUE"""),"FIP-DOM-000-11304-OS00001-INA-000000")</f>
        <v>FIP-DOM-000-11304-OS00001-INA-000000</v>
      </c>
      <c r="P4750" s="6" t="str">
        <f>IFERROR(__xludf.DUMMYFUNCTION("""COMPUTED_VALUE"""),"PO Closed")</f>
        <v>PO Closed</v>
      </c>
      <c r="Q4750" s="6" t="str">
        <f>IFERROR(__xludf.DUMMYFUNCTION("""COMPUTED_VALUE"""),"GL2602369")</f>
        <v>GL2602369</v>
      </c>
      <c r="R4750" s="57">
        <f>IFERROR(__xludf.DUMMYFUNCTION("""COMPUTED_VALUE"""),46035.0)</f>
        <v>46035</v>
      </c>
      <c r="S4750" s="57">
        <f>IFERROR(__xludf.DUMMYFUNCTION("""COMPUTED_VALUE"""),46041.0)</f>
        <v>46041</v>
      </c>
      <c r="T4750" s="57">
        <f>IFERROR(__xludf.DUMMYFUNCTION("""COMPUTED_VALUE"""),46125.0)</f>
        <v>46125</v>
      </c>
    </row>
    <row r="4751">
      <c r="A4751" s="6" t="str">
        <f>IFERROR(__xludf.DUMMYFUNCTION("""COMPUTED_VALUE"""),"121703690-1")</f>
        <v>121703690-1</v>
      </c>
      <c r="B4751" s="6" t="str">
        <f>IFERROR(__xludf.DUMMYFUNCTION("""COMPUTED_VALUE"""),"121703690 - APPROVED")</f>
        <v>121703690 - APPROVED</v>
      </c>
      <c r="C4751" s="6">
        <f>IFERROR(__xludf.DUMMYFUNCTION("""COMPUTED_VALUE"""),1.0)</f>
        <v>1</v>
      </c>
      <c r="D4751" s="6" t="str">
        <f>IFERROR(__xludf.DUMMYFUNCTION("""COMPUTED_VALUE"""),"O-21305-00")</f>
        <v>O-21305-00</v>
      </c>
      <c r="E4751" s="6" t="str">
        <f>IFERROR(__xludf.DUMMYFUNCTION("""COMPUTED_VALUE"""),"Coating PLAB - Directional Control Valve; SMC; VNA101A-F6A; 1 Pc")</f>
        <v>Coating PLAB - Directional Control Valve; SMC; VNA101A-F6A; 1 Pc</v>
      </c>
      <c r="F4751" s="6">
        <f>IFERROR(__xludf.DUMMYFUNCTION("""COMPUTED_VALUE"""),3.0)</f>
        <v>3</v>
      </c>
      <c r="G4751" s="6" t="str">
        <f>IFERROR(__xludf.DUMMYFUNCTION("""COMPUTED_VALUE"""),"Pieces")</f>
        <v>Pieces</v>
      </c>
      <c r="H4751" s="6" t="str">
        <f>IFERROR(__xludf.DUMMYFUNCTION("""COMPUTED_VALUE"""),"IDR")</f>
        <v>IDR</v>
      </c>
      <c r="I4751" s="6">
        <f>IFERROR(__xludf.DUMMYFUNCTION("""COMPUTED_VALUE"""),935000.0)</f>
        <v>935000</v>
      </c>
      <c r="J4751" s="6">
        <f>IFERROR(__xludf.DUMMYFUNCTION("""COMPUTED_VALUE"""),2805000.0)</f>
        <v>2805000</v>
      </c>
      <c r="K4751" s="57">
        <f>IFERROR(__xludf.DUMMYFUNCTION("""COMPUTED_VALUE"""),46066.0)</f>
        <v>46066</v>
      </c>
      <c r="L4751" s="6" t="str">
        <f>IFERROR(__xludf.DUMMYFUNCTION("""COMPUTED_VALUE"""),"FIP Engineering")</f>
        <v>FIP Engineering</v>
      </c>
      <c r="M4751" s="6" t="str">
        <f>IFERROR(__xludf.DUMMYFUNCTION("""COMPUTED_VALUE"""),"Mochammad Fadhillah Hakim,")</f>
        <v>Mochammad Fadhillah Hakim,</v>
      </c>
      <c r="N4751" s="6" t="str">
        <f>IFERROR(__xludf.DUMMYFUNCTION("""COMPUTED_VALUE"""),"FIP Engineering")</f>
        <v>FIP Engineering</v>
      </c>
      <c r="O4751" s="6" t="str">
        <f>IFERROR(__xludf.DUMMYFUNCTION("""COMPUTED_VALUE"""),"FIP-DOM-000-11304-OS00001-INA-000000")</f>
        <v>FIP-DOM-000-11304-OS00001-INA-000000</v>
      </c>
      <c r="P4751" s="6" t="str">
        <f>IFERROR(__xludf.DUMMYFUNCTION("""COMPUTED_VALUE"""),"PO Closed")</f>
        <v>PO Closed</v>
      </c>
      <c r="Q4751" s="6" t="str">
        <f>IFERROR(__xludf.DUMMYFUNCTION("""COMPUTED_VALUE"""),"GL2602374")</f>
        <v>GL2602374</v>
      </c>
      <c r="R4751" s="57">
        <f>IFERROR(__xludf.DUMMYFUNCTION("""COMPUTED_VALUE"""),46035.0)</f>
        <v>46035</v>
      </c>
      <c r="S4751" s="57">
        <f>IFERROR(__xludf.DUMMYFUNCTION("""COMPUTED_VALUE"""),46041.0)</f>
        <v>46041</v>
      </c>
      <c r="T4751" s="57">
        <f>IFERROR(__xludf.DUMMYFUNCTION("""COMPUTED_VALUE"""),46100.0)</f>
        <v>46100</v>
      </c>
    </row>
    <row r="4752">
      <c r="A4752" s="6" t="str">
        <f>IFERROR(__xludf.DUMMYFUNCTION("""COMPUTED_VALUE"""),"121703690-2")</f>
        <v>121703690-2</v>
      </c>
      <c r="B4752" s="6" t="str">
        <f>IFERROR(__xludf.DUMMYFUNCTION("""COMPUTED_VALUE"""),"121703690 - APPROVED")</f>
        <v>121703690 - APPROVED</v>
      </c>
      <c r="C4752" s="6">
        <f>IFERROR(__xludf.DUMMYFUNCTION("""COMPUTED_VALUE"""),2.0)</f>
        <v>2</v>
      </c>
      <c r="D4752" s="6" t="str">
        <f>IFERROR(__xludf.DUMMYFUNCTION("""COMPUTED_VALUE"""),"O-21306-00")</f>
        <v>O-21306-00</v>
      </c>
      <c r="E4752" s="6" t="str">
        <f>IFERROR(__xludf.DUMMYFUNCTION("""COMPUTED_VALUE"""),"Coating PLAB - Spare Kit; SMC; VN1-A3AA; ; ; 1 Pc")</f>
        <v>Coating PLAB - Spare Kit; SMC; VN1-A3AA; ; ; 1 Pc</v>
      </c>
      <c r="F4752" s="6">
        <f>IFERROR(__xludf.DUMMYFUNCTION("""COMPUTED_VALUE"""),3.0)</f>
        <v>3</v>
      </c>
      <c r="G4752" s="6" t="str">
        <f>IFERROR(__xludf.DUMMYFUNCTION("""COMPUTED_VALUE"""),"Pieces")</f>
        <v>Pieces</v>
      </c>
      <c r="H4752" s="6" t="str">
        <f>IFERROR(__xludf.DUMMYFUNCTION("""COMPUTED_VALUE"""),"IDR")</f>
        <v>IDR</v>
      </c>
      <c r="I4752" s="6">
        <f>IFERROR(__xludf.DUMMYFUNCTION("""COMPUTED_VALUE"""),171000.0)</f>
        <v>171000</v>
      </c>
      <c r="J4752" s="6">
        <f>IFERROR(__xludf.DUMMYFUNCTION("""COMPUTED_VALUE"""),513000.0)</f>
        <v>513000</v>
      </c>
      <c r="K4752" s="57">
        <f>IFERROR(__xludf.DUMMYFUNCTION("""COMPUTED_VALUE"""),46066.0)</f>
        <v>46066</v>
      </c>
      <c r="L4752" s="6" t="str">
        <f>IFERROR(__xludf.DUMMYFUNCTION("""COMPUTED_VALUE"""),"FIP Engineering")</f>
        <v>FIP Engineering</v>
      </c>
      <c r="M4752" s="6" t="str">
        <f>IFERROR(__xludf.DUMMYFUNCTION("""COMPUTED_VALUE"""),"Mochammad Fadhillah Hakim,")</f>
        <v>Mochammad Fadhillah Hakim,</v>
      </c>
      <c r="N4752" s="6" t="str">
        <f>IFERROR(__xludf.DUMMYFUNCTION("""COMPUTED_VALUE"""),"FIP Engineering")</f>
        <v>FIP Engineering</v>
      </c>
      <c r="O4752" s="6" t="str">
        <f>IFERROR(__xludf.DUMMYFUNCTION("""COMPUTED_VALUE"""),"FIP-DOM-000-11304-OS00001-INA-000000")</f>
        <v>FIP-DOM-000-11304-OS00001-INA-000000</v>
      </c>
      <c r="P4752" s="6" t="str">
        <f>IFERROR(__xludf.DUMMYFUNCTION("""COMPUTED_VALUE"""),"PO Closed")</f>
        <v>PO Closed</v>
      </c>
      <c r="Q4752" s="6" t="str">
        <f>IFERROR(__xludf.DUMMYFUNCTION("""COMPUTED_VALUE"""),"GL2602374")</f>
        <v>GL2602374</v>
      </c>
      <c r="R4752" s="57">
        <f>IFERROR(__xludf.DUMMYFUNCTION("""COMPUTED_VALUE"""),46035.0)</f>
        <v>46035</v>
      </c>
      <c r="S4752" s="57">
        <f>IFERROR(__xludf.DUMMYFUNCTION("""COMPUTED_VALUE"""),46041.0)</f>
        <v>46041</v>
      </c>
      <c r="T4752" s="57">
        <f>IFERROR(__xludf.DUMMYFUNCTION("""COMPUTED_VALUE"""),46100.0)</f>
        <v>46100</v>
      </c>
    </row>
    <row r="4753">
      <c r="A4753" s="6" t="str">
        <f>IFERROR(__xludf.DUMMYFUNCTION("""COMPUTED_VALUE"""),"121703690-3")</f>
        <v>121703690-3</v>
      </c>
      <c r="B4753" s="6" t="str">
        <f>IFERROR(__xludf.DUMMYFUNCTION("""COMPUTED_VALUE"""),"121703690 - APPROVED")</f>
        <v>121703690 - APPROVED</v>
      </c>
      <c r="C4753" s="6">
        <f>IFERROR(__xludf.DUMMYFUNCTION("""COMPUTED_VALUE"""),3.0)</f>
        <v>3</v>
      </c>
      <c r="D4753" s="6" t="str">
        <f>IFERROR(__xludf.DUMMYFUNCTION("""COMPUTED_VALUE"""),"O-21307-00")</f>
        <v>O-21307-00</v>
      </c>
      <c r="E4753" s="6" t="str">
        <f>IFERROR(__xludf.DUMMYFUNCTION("""COMPUTED_VALUE"""),"Coating PLAB - Spare Kit; SMC; VN1-4AA; ; ; 1 Pc")</f>
        <v>Coating PLAB - Spare Kit; SMC; VN1-4AA; ; ; 1 Pc</v>
      </c>
      <c r="F4753" s="6">
        <f>IFERROR(__xludf.DUMMYFUNCTION("""COMPUTED_VALUE"""),3.0)</f>
        <v>3</v>
      </c>
      <c r="G4753" s="6" t="str">
        <f>IFERROR(__xludf.DUMMYFUNCTION("""COMPUTED_VALUE"""),"Pieces")</f>
        <v>Pieces</v>
      </c>
      <c r="H4753" s="6" t="str">
        <f>IFERROR(__xludf.DUMMYFUNCTION("""COMPUTED_VALUE"""),"IDR")</f>
        <v>IDR</v>
      </c>
      <c r="I4753" s="6">
        <f>IFERROR(__xludf.DUMMYFUNCTION("""COMPUTED_VALUE"""),283700.0)</f>
        <v>283700</v>
      </c>
      <c r="J4753" s="6">
        <f>IFERROR(__xludf.DUMMYFUNCTION("""COMPUTED_VALUE"""),851100.0)</f>
        <v>851100</v>
      </c>
      <c r="K4753" s="57">
        <f>IFERROR(__xludf.DUMMYFUNCTION("""COMPUTED_VALUE"""),46066.0)</f>
        <v>46066</v>
      </c>
      <c r="L4753" s="6" t="str">
        <f>IFERROR(__xludf.DUMMYFUNCTION("""COMPUTED_VALUE"""),"FIP Engineering")</f>
        <v>FIP Engineering</v>
      </c>
      <c r="M4753" s="6" t="str">
        <f>IFERROR(__xludf.DUMMYFUNCTION("""COMPUTED_VALUE"""),"Mochammad Fadhillah Hakim,")</f>
        <v>Mochammad Fadhillah Hakim,</v>
      </c>
      <c r="N4753" s="6" t="str">
        <f>IFERROR(__xludf.DUMMYFUNCTION("""COMPUTED_VALUE"""),"FIP Engineering")</f>
        <v>FIP Engineering</v>
      </c>
      <c r="O4753" s="6" t="str">
        <f>IFERROR(__xludf.DUMMYFUNCTION("""COMPUTED_VALUE"""),"FIP-DOM-000-11304-OS00001-INA-000000")</f>
        <v>FIP-DOM-000-11304-OS00001-INA-000000</v>
      </c>
      <c r="P4753" s="6" t="str">
        <f>IFERROR(__xludf.DUMMYFUNCTION("""COMPUTED_VALUE"""),"PO Closed")</f>
        <v>PO Closed</v>
      </c>
      <c r="Q4753" s="6" t="str">
        <f>IFERROR(__xludf.DUMMYFUNCTION("""COMPUTED_VALUE"""),"GL2602374")</f>
        <v>GL2602374</v>
      </c>
      <c r="R4753" s="57">
        <f>IFERROR(__xludf.DUMMYFUNCTION("""COMPUTED_VALUE"""),46035.0)</f>
        <v>46035</v>
      </c>
      <c r="S4753" s="57">
        <f>IFERROR(__xludf.DUMMYFUNCTION("""COMPUTED_VALUE"""),46041.0)</f>
        <v>46041</v>
      </c>
      <c r="T4753" s="57">
        <f>IFERROR(__xludf.DUMMYFUNCTION("""COMPUTED_VALUE"""),46100.0)</f>
        <v>46100</v>
      </c>
    </row>
    <row r="4754">
      <c r="A4754" s="6" t="str">
        <f>IFERROR(__xludf.DUMMYFUNCTION("""COMPUTED_VALUE"""),"121703695-1")</f>
        <v>121703695-1</v>
      </c>
      <c r="B4754" s="6" t="str">
        <f>IFERROR(__xludf.DUMMYFUNCTION("""COMPUTED_VALUE"""),"121703695 - APPROVED")</f>
        <v>121703695 - APPROVED</v>
      </c>
      <c r="C4754" s="6">
        <f>IFERROR(__xludf.DUMMYFUNCTION("""COMPUTED_VALUE"""),1.0)</f>
        <v>1</v>
      </c>
      <c r="D4754" s="6" t="str">
        <f>IFERROR(__xludf.DUMMYFUNCTION("""COMPUTED_VALUE"""),"R-62003-00")</f>
        <v>R-62003-00</v>
      </c>
      <c r="E4754" s="6" t="str">
        <f>IFERROR(__xludf.DUMMYFUNCTION("""COMPUTED_VALUE"""),"Monitor - Dell Monitor E2225H 21.5"" Widescreen")</f>
        <v>Monitor - Dell Monitor E2225H 21.5" Widescreen</v>
      </c>
      <c r="F4754" s="6">
        <f>IFERROR(__xludf.DUMMYFUNCTION("""COMPUTED_VALUE"""),2.0)</f>
        <v>2</v>
      </c>
      <c r="G4754" s="6" t="str">
        <f>IFERROR(__xludf.DUMMYFUNCTION("""COMPUTED_VALUE"""),"Unit")</f>
        <v>Unit</v>
      </c>
      <c r="H4754" s="6" t="str">
        <f>IFERROR(__xludf.DUMMYFUNCTION("""COMPUTED_VALUE"""),"IDR")</f>
        <v>IDR</v>
      </c>
      <c r="I4754" s="6">
        <f>IFERROR(__xludf.DUMMYFUNCTION("""COMPUTED_VALUE"""),1300000.0)</f>
        <v>1300000</v>
      </c>
      <c r="J4754" s="6">
        <f>IFERROR(__xludf.DUMMYFUNCTION("""COMPUTED_VALUE"""),2600000.0)</f>
        <v>2600000</v>
      </c>
      <c r="K4754" s="57">
        <f>IFERROR(__xludf.DUMMYFUNCTION("""COMPUTED_VALUE"""),46073.0)</f>
        <v>46073</v>
      </c>
      <c r="L4754" s="6" t="str">
        <f>IFERROR(__xludf.DUMMYFUNCTION("""COMPUTED_VALUE"""),"FIP General")</f>
        <v>FIP General</v>
      </c>
      <c r="M4754" s="6" t="str">
        <f>IFERROR(__xludf.DUMMYFUNCTION("""COMPUTED_VALUE"""),"Mochammad Fadhillah Hakim,")</f>
        <v>Mochammad Fadhillah Hakim,</v>
      </c>
      <c r="N4754" s="6" t="str">
        <f>IFERROR(__xludf.DUMMYFUNCTION("""COMPUTED_VALUE"""),"FIP Engineering")</f>
        <v>FIP Engineering</v>
      </c>
      <c r="O4754" s="6" t="str">
        <f>IFERROR(__xludf.DUMMYFUNCTION("""COMPUTED_VALUE"""),"FIP-DOM-ENG-13408-IT26003-INA-000000")</f>
        <v>FIP-DOM-ENG-13408-IT26003-INA-000000</v>
      </c>
      <c r="P4754" s="6" t="str">
        <f>IFERROR(__xludf.DUMMYFUNCTION("""COMPUTED_VALUE"""),"PO Closed")</f>
        <v>PO Closed</v>
      </c>
      <c r="Q4754" s="6" t="str">
        <f>IFERROR(__xludf.DUMMYFUNCTION("""COMPUTED_VALUE"""),"GL2601018")</f>
        <v>GL2601018</v>
      </c>
      <c r="R4754" s="57">
        <f>IFERROR(__xludf.DUMMYFUNCTION("""COMPUTED_VALUE"""),46041.0)</f>
        <v>46041</v>
      </c>
      <c r="S4754" s="57">
        <f>IFERROR(__xludf.DUMMYFUNCTION("""COMPUTED_VALUE"""),46042.0)</f>
        <v>46042</v>
      </c>
      <c r="T4754" s="57">
        <f>IFERROR(__xludf.DUMMYFUNCTION("""COMPUTED_VALUE"""),46059.0)</f>
        <v>46059</v>
      </c>
    </row>
    <row r="4755">
      <c r="A4755" s="6" t="str">
        <f>IFERROR(__xludf.DUMMYFUNCTION("""COMPUTED_VALUE"""),"121703695-2")</f>
        <v>121703695-2</v>
      </c>
      <c r="B4755" s="6" t="str">
        <f>IFERROR(__xludf.DUMMYFUNCTION("""COMPUTED_VALUE"""),"121703695 - APPROVED")</f>
        <v>121703695 - APPROVED</v>
      </c>
      <c r="C4755" s="6">
        <f>IFERROR(__xludf.DUMMYFUNCTION("""COMPUTED_VALUE"""),2.0)</f>
        <v>2</v>
      </c>
      <c r="D4755" s="6" t="str">
        <f>IFERROR(__xludf.DUMMYFUNCTION("""COMPUTED_VALUE"""),"R-62019-00")</f>
        <v>R-62019-00</v>
      </c>
      <c r="E4755" s="6" t="str">
        <f>IFERROR(__xludf.DUMMYFUNCTION("""COMPUTED_VALUE"""),"Thin Client - Thin Client HP Pro T550 (Linux)")</f>
        <v>Thin Client - Thin Client HP Pro T550 (Linux)</v>
      </c>
      <c r="F4755" s="6">
        <f>IFERROR(__xludf.DUMMYFUNCTION("""COMPUTED_VALUE"""),2.0)</f>
        <v>2</v>
      </c>
      <c r="G4755" s="6" t="str">
        <f>IFERROR(__xludf.DUMMYFUNCTION("""COMPUTED_VALUE"""),"Unit")</f>
        <v>Unit</v>
      </c>
      <c r="H4755" s="6" t="str">
        <f>IFERROR(__xludf.DUMMYFUNCTION("""COMPUTED_VALUE"""),"IDR")</f>
        <v>IDR</v>
      </c>
      <c r="I4755" s="6">
        <f>IFERROR(__xludf.DUMMYFUNCTION("""COMPUTED_VALUE"""),4800000.0)</f>
        <v>4800000</v>
      </c>
      <c r="J4755" s="6">
        <f>IFERROR(__xludf.DUMMYFUNCTION("""COMPUTED_VALUE"""),9600000.0)</f>
        <v>9600000</v>
      </c>
      <c r="K4755" s="57">
        <f>IFERROR(__xludf.DUMMYFUNCTION("""COMPUTED_VALUE"""),46073.0)</f>
        <v>46073</v>
      </c>
      <c r="L4755" s="6" t="str">
        <f>IFERROR(__xludf.DUMMYFUNCTION("""COMPUTED_VALUE"""),"FIP General")</f>
        <v>FIP General</v>
      </c>
      <c r="M4755" s="6" t="str">
        <f>IFERROR(__xludf.DUMMYFUNCTION("""COMPUTED_VALUE"""),"Mochammad Fadhillah Hakim,")</f>
        <v>Mochammad Fadhillah Hakim,</v>
      </c>
      <c r="N4755" s="6" t="str">
        <f>IFERROR(__xludf.DUMMYFUNCTION("""COMPUTED_VALUE"""),"FIP Engineering")</f>
        <v>FIP Engineering</v>
      </c>
      <c r="O4755" s="6" t="str">
        <f>IFERROR(__xludf.DUMMYFUNCTION("""COMPUTED_VALUE"""),"FIP-DOM-ENG-13408-IT26002-INA-000000")</f>
        <v>FIP-DOM-ENG-13408-IT26002-INA-000000</v>
      </c>
      <c r="P4755" s="6" t="str">
        <f>IFERROR(__xludf.DUMMYFUNCTION("""COMPUTED_VALUE"""),"PO Closed")</f>
        <v>PO Closed</v>
      </c>
      <c r="Q4755" s="6" t="str">
        <f>IFERROR(__xludf.DUMMYFUNCTION("""COMPUTED_VALUE"""),"GL2603030")</f>
        <v>GL2603030</v>
      </c>
      <c r="R4755" s="57">
        <f>IFERROR(__xludf.DUMMYFUNCTION("""COMPUTED_VALUE"""),46041.0)</f>
        <v>46041</v>
      </c>
      <c r="S4755" s="57">
        <f>IFERROR(__xludf.DUMMYFUNCTION("""COMPUTED_VALUE"""),46042.0)</f>
        <v>46042</v>
      </c>
      <c r="T4755" s="57">
        <f>IFERROR(__xludf.DUMMYFUNCTION("""COMPUTED_VALUE"""),46148.0)</f>
        <v>46148</v>
      </c>
    </row>
    <row r="4756">
      <c r="A4756" s="6" t="str">
        <f>IFERROR(__xludf.DUMMYFUNCTION("""COMPUTED_VALUE"""),"121703696-1")</f>
        <v>121703696-1</v>
      </c>
      <c r="B4756" s="6" t="str">
        <f>IFERROR(__xludf.DUMMYFUNCTION("""COMPUTED_VALUE"""),"121703696 - APPROVED")</f>
        <v>121703696 - APPROVED</v>
      </c>
      <c r="C4756" s="6">
        <f>IFERROR(__xludf.DUMMYFUNCTION("""COMPUTED_VALUE"""),1.0)</f>
        <v>1</v>
      </c>
      <c r="D4756" s="6" t="str">
        <f>IFERROR(__xludf.DUMMYFUNCTION("""COMPUTED_VALUE"""),"S-60050-00")</f>
        <v>S-60050-00</v>
      </c>
      <c r="E4756" s="6" t="str">
        <f>IFERROR(__xludf.DUMMYFUNCTION("""COMPUTED_VALUE"""),"Jasa Perbaikan dan Pemeliharaan Mesin Produksi; ; ; - Perbaikan Heating Plate")</f>
        <v>Jasa Perbaikan dan Pemeliharaan Mesin Produksi; ; ; - Perbaikan Heating Plate</v>
      </c>
      <c r="F4756" s="6">
        <f>IFERROR(__xludf.DUMMYFUNCTION("""COMPUTED_VALUE"""),1.0)</f>
        <v>1</v>
      </c>
      <c r="G4756" s="6" t="str">
        <f>IFERROR(__xludf.DUMMYFUNCTION("""COMPUTED_VALUE"""),"Pieces")</f>
        <v>Pieces</v>
      </c>
      <c r="H4756" s="6" t="str">
        <f>IFERROR(__xludf.DUMMYFUNCTION("""COMPUTED_VALUE"""),"IDR")</f>
        <v>IDR</v>
      </c>
      <c r="I4756" s="6">
        <f>IFERROR(__xludf.DUMMYFUNCTION("""COMPUTED_VALUE"""),3081006.0)</f>
        <v>3081006</v>
      </c>
      <c r="J4756" s="6">
        <f>IFERROR(__xludf.DUMMYFUNCTION("""COMPUTED_VALUE"""),3081006.0)</f>
        <v>3081006</v>
      </c>
      <c r="K4756" s="57">
        <f>IFERROR(__xludf.DUMMYFUNCTION("""COMPUTED_VALUE"""),46073.0)</f>
        <v>46073</v>
      </c>
      <c r="L4756" s="6" t="str">
        <f>IFERROR(__xludf.DUMMYFUNCTION("""COMPUTED_VALUE"""),"FIP General")</f>
        <v>FIP General</v>
      </c>
      <c r="M4756" s="6" t="str">
        <f>IFERROR(__xludf.DUMMYFUNCTION("""COMPUTED_VALUE"""),"Mochammad Fadhillah Hakim,")</f>
        <v>Mochammad Fadhillah Hakim,</v>
      </c>
      <c r="N4756" s="6" t="str">
        <f>IFERROR(__xludf.DUMMYFUNCTION("""COMPUTED_VALUE"""),"FIP Engineering")</f>
        <v>FIP Engineering</v>
      </c>
      <c r="O4756" s="6" t="str">
        <f>IFERROR(__xludf.DUMMYFUNCTION("""COMPUTED_VALUE"""),"FIP-DOM-ENG-51504-0000000-INA-000000")</f>
        <v>FIP-DOM-ENG-51504-0000000-INA-000000</v>
      </c>
      <c r="P4756" s="6" t="str">
        <f>IFERROR(__xludf.DUMMYFUNCTION("""COMPUTED_VALUE"""),"PO Closed")</f>
        <v>PO Closed</v>
      </c>
      <c r="Q4756" s="6" t="str">
        <f>IFERROR(__xludf.DUMMYFUNCTION("""COMPUTED_VALUE"""),"GL2602011")</f>
        <v>GL2602011</v>
      </c>
      <c r="R4756" s="57">
        <f>IFERROR(__xludf.DUMMYFUNCTION("""COMPUTED_VALUE"""),46041.0)</f>
        <v>46041</v>
      </c>
      <c r="S4756" s="57">
        <f>IFERROR(__xludf.DUMMYFUNCTION("""COMPUTED_VALUE"""),46042.0)</f>
        <v>46042</v>
      </c>
      <c r="T4756" s="57">
        <f>IFERROR(__xludf.DUMMYFUNCTION("""COMPUTED_VALUE"""),46101.0)</f>
        <v>46101</v>
      </c>
    </row>
    <row r="4757">
      <c r="A4757" s="6" t="str">
        <f>IFERROR(__xludf.DUMMYFUNCTION("""COMPUTED_VALUE"""),"121703697-1")</f>
        <v>121703697-1</v>
      </c>
      <c r="B4757" s="6" t="str">
        <f>IFERROR(__xludf.DUMMYFUNCTION("""COMPUTED_VALUE"""),"121703697 - APPROVED")</f>
        <v>121703697 - APPROVED</v>
      </c>
      <c r="C4757" s="6">
        <f>IFERROR(__xludf.DUMMYFUNCTION("""COMPUTED_VALUE"""),1.0)</f>
        <v>1</v>
      </c>
      <c r="D4757" s="6" t="str">
        <f>IFERROR(__xludf.DUMMYFUNCTION("""COMPUTED_VALUE"""),"S-40586-00")</f>
        <v>S-40586-00</v>
      </c>
      <c r="E4757" s="6" t="str">
        <f>IFERROR(__xludf.DUMMYFUNCTION("""COMPUTED_VALUE"""),"Container Box; Claris; ; - Container/Box Plastik claris 70 liter (77x42x32) Type 1022 Warna Peach")</f>
        <v>Container Box; Claris; ; - Container/Box Plastik claris 70 liter (77x42x32) Type 1022 Warna Peach</v>
      </c>
      <c r="F4757" s="6">
        <f>IFERROR(__xludf.DUMMYFUNCTION("""COMPUTED_VALUE"""),5.0)</f>
        <v>5</v>
      </c>
      <c r="G4757" s="6" t="str">
        <f>IFERROR(__xludf.DUMMYFUNCTION("""COMPUTED_VALUE"""),"Pieces")</f>
        <v>Pieces</v>
      </c>
      <c r="H4757" s="6" t="str">
        <f>IFERROR(__xludf.DUMMYFUNCTION("""COMPUTED_VALUE"""),"IDR")</f>
        <v>IDR</v>
      </c>
      <c r="I4757" s="6">
        <f>IFERROR(__xludf.DUMMYFUNCTION("""COMPUTED_VALUE"""),275000.0)</f>
        <v>275000</v>
      </c>
      <c r="J4757" s="6">
        <f>IFERROR(__xludf.DUMMYFUNCTION("""COMPUTED_VALUE"""),1375000.0)</f>
        <v>1375000</v>
      </c>
      <c r="K4757" s="57">
        <f>IFERROR(__xludf.DUMMYFUNCTION("""COMPUTED_VALUE"""),46073.0)</f>
        <v>46073</v>
      </c>
      <c r="L4757" s="6" t="str">
        <f>IFERROR(__xludf.DUMMYFUNCTION("""COMPUTED_VALUE"""),"FIP General")</f>
        <v>FIP General</v>
      </c>
      <c r="M4757" s="6" t="str">
        <f>IFERROR(__xludf.DUMMYFUNCTION("""COMPUTED_VALUE"""),"Mochammad Fadhillah Hakim,")</f>
        <v>Mochammad Fadhillah Hakim,</v>
      </c>
      <c r="N4757" s="6" t="str">
        <f>IFERROR(__xludf.DUMMYFUNCTION("""COMPUTED_VALUE"""),"FIP Engineering")</f>
        <v>FIP Engineering</v>
      </c>
      <c r="O4757" s="6" t="str">
        <f>IFERROR(__xludf.DUMMYFUNCTION("""COMPUTED_VALUE"""),"FIP-DOM-ENG-51404-0000000-INA-000000")</f>
        <v>FIP-DOM-ENG-51404-0000000-INA-000000</v>
      </c>
      <c r="P4757" s="6" t="str">
        <f>IFERROR(__xludf.DUMMYFUNCTION("""COMPUTED_VALUE"""),"PO Closed")</f>
        <v>PO Closed</v>
      </c>
      <c r="Q4757" s="6" t="str">
        <f>IFERROR(__xludf.DUMMYFUNCTION("""COMPUTED_VALUE"""),"GL2604003")</f>
        <v>GL2604003</v>
      </c>
      <c r="R4757" s="57">
        <f>IFERROR(__xludf.DUMMYFUNCTION("""COMPUTED_VALUE"""),46041.0)</f>
        <v>46041</v>
      </c>
      <c r="S4757" s="57">
        <f>IFERROR(__xludf.DUMMYFUNCTION("""COMPUTED_VALUE"""),46042.0)</f>
        <v>46042</v>
      </c>
      <c r="T4757" s="57">
        <f>IFERROR(__xludf.DUMMYFUNCTION("""COMPUTED_VALUE"""),46126.0)</f>
        <v>46126</v>
      </c>
    </row>
    <row r="4758">
      <c r="A4758" s="6" t="str">
        <f>IFERROR(__xludf.DUMMYFUNCTION("""COMPUTED_VALUE"""),"121703702-1")</f>
        <v>121703702-1</v>
      </c>
      <c r="B4758" s="6" t="str">
        <f>IFERROR(__xludf.DUMMYFUNCTION("""COMPUTED_VALUE"""),"121703702 - APPROVED")</f>
        <v>121703702 - APPROVED</v>
      </c>
      <c r="C4758" s="6">
        <f>IFERROR(__xludf.DUMMYFUNCTION("""COMPUTED_VALUE"""),1.0)</f>
        <v>1</v>
      </c>
      <c r="D4758" s="6" t="str">
        <f>IFERROR(__xludf.DUMMYFUNCTION("""COMPUTED_VALUE"""),"O-21300-00")</f>
        <v>O-21300-00</v>
      </c>
      <c r="E4758" s="6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F4758" s="6">
        <f>IFERROR(__xludf.DUMMYFUNCTION("""COMPUTED_VALUE"""),3.0)</f>
        <v>3</v>
      </c>
      <c r="G4758" s="6" t="str">
        <f>IFERROR(__xludf.DUMMYFUNCTION("""COMPUTED_VALUE"""),"Pieces")</f>
        <v>Pieces</v>
      </c>
      <c r="H4758" s="6" t="str">
        <f>IFERROR(__xludf.DUMMYFUNCTION("""COMPUTED_VALUE"""),"IDR")</f>
        <v>IDR</v>
      </c>
      <c r="I4758" s="6">
        <f>IFERROR(__xludf.DUMMYFUNCTION("""COMPUTED_VALUE"""),2150000.0)</f>
        <v>2150000</v>
      </c>
      <c r="J4758" s="6">
        <f>IFERROR(__xludf.DUMMYFUNCTION("""COMPUTED_VALUE"""),6450000.0)</f>
        <v>6450000</v>
      </c>
      <c r="K4758" s="57">
        <f>IFERROR(__xludf.DUMMYFUNCTION("""COMPUTED_VALUE"""),46080.0)</f>
        <v>46080</v>
      </c>
      <c r="L4758" s="6" t="str">
        <f>IFERROR(__xludf.DUMMYFUNCTION("""COMPUTED_VALUE"""),"FIP Engineering")</f>
        <v>FIP Engineering</v>
      </c>
      <c r="M4758" s="6" t="str">
        <f>IFERROR(__xludf.DUMMYFUNCTION("""COMPUTED_VALUE"""),"Mochammad Fadhillah Hakim,")</f>
        <v>Mochammad Fadhillah Hakim,</v>
      </c>
      <c r="N4758" s="6" t="str">
        <f>IFERROR(__xludf.DUMMYFUNCTION("""COMPUTED_VALUE"""),"FIP Engineering")</f>
        <v>FIP Engineering</v>
      </c>
      <c r="O4758" s="6" t="str">
        <f>IFERROR(__xludf.DUMMYFUNCTION("""COMPUTED_VALUE"""),"FIP-DOM-000-11304-OS00001-INA-000000")</f>
        <v>FIP-DOM-000-11304-OS00001-INA-000000</v>
      </c>
      <c r="P4758" s="6" t="str">
        <f>IFERROR(__xludf.DUMMYFUNCTION("""COMPUTED_VALUE"""),"PO Closed")</f>
        <v>PO Closed</v>
      </c>
      <c r="Q4758" s="6" t="str">
        <f>IFERROR(__xludf.DUMMYFUNCTION("""COMPUTED_VALUE"""),"GL2602412")</f>
        <v>GL2602412</v>
      </c>
      <c r="R4758" s="57">
        <f>IFERROR(__xludf.DUMMYFUNCTION("""COMPUTED_VALUE"""),46043.0)</f>
        <v>46043</v>
      </c>
      <c r="S4758" s="57">
        <f>IFERROR(__xludf.DUMMYFUNCTION("""COMPUTED_VALUE"""),46043.0)</f>
        <v>46043</v>
      </c>
      <c r="T4758" s="57">
        <f>IFERROR(__xludf.DUMMYFUNCTION("""COMPUTED_VALUE"""),46152.0)</f>
        <v>46152</v>
      </c>
    </row>
    <row r="4759">
      <c r="A4759" s="6" t="str">
        <f>IFERROR(__xludf.DUMMYFUNCTION("""COMPUTED_VALUE"""),"121703702-2")</f>
        <v>121703702-2</v>
      </c>
      <c r="B4759" s="6" t="str">
        <f>IFERROR(__xludf.DUMMYFUNCTION("""COMPUTED_VALUE"""),"121703702 - APPROVED")</f>
        <v>121703702 - APPROVED</v>
      </c>
      <c r="C4759" s="6">
        <f>IFERROR(__xludf.DUMMYFUNCTION("""COMPUTED_VALUE"""),2.0)</f>
        <v>2</v>
      </c>
      <c r="D4759" s="6" t="str">
        <f>IFERROR(__xludf.DUMMYFUNCTION("""COMPUTED_VALUE"""),"P-15429-00")</f>
        <v>P-15429-00</v>
      </c>
      <c r="E4759" s="6" t="str">
        <f>IFERROR(__xludf.DUMMYFUNCTION("""COMPUTED_VALUE"""),"Fedegari FVA2/A1 S/N : NB2964AT - Cover Seal FVM-A/2 FOB2 (Code: PP600265); ; ;")</f>
        <v>Fedegari FVA2/A1 S/N : NB2964AT - Cover Seal FVM-A/2 FOB2 (Code: PP600265); ; ;</v>
      </c>
      <c r="F4759" s="6">
        <f>IFERROR(__xludf.DUMMYFUNCTION("""COMPUTED_VALUE"""),2.0)</f>
        <v>2</v>
      </c>
      <c r="G4759" s="6" t="str">
        <f>IFERROR(__xludf.DUMMYFUNCTION("""COMPUTED_VALUE"""),"Unit")</f>
        <v>Unit</v>
      </c>
      <c r="H4759" s="6" t="str">
        <f>IFERROR(__xludf.DUMMYFUNCTION("""COMPUTED_VALUE"""),"IDR")</f>
        <v>IDR</v>
      </c>
      <c r="I4759" s="6">
        <f>IFERROR(__xludf.DUMMYFUNCTION("""COMPUTED_VALUE"""),6837000.0)</f>
        <v>6837000</v>
      </c>
      <c r="J4759" s="6">
        <f>IFERROR(__xludf.DUMMYFUNCTION("""COMPUTED_VALUE"""),1.3674E7)</f>
        <v>13674000</v>
      </c>
      <c r="K4759" s="57">
        <f>IFERROR(__xludf.DUMMYFUNCTION("""COMPUTED_VALUE"""),46080.0)</f>
        <v>46080</v>
      </c>
      <c r="L4759" s="6" t="str">
        <f>IFERROR(__xludf.DUMMYFUNCTION("""COMPUTED_VALUE"""),"FIP Engineering")</f>
        <v>FIP Engineering</v>
      </c>
      <c r="M4759" s="6" t="str">
        <f>IFERROR(__xludf.DUMMYFUNCTION("""COMPUTED_VALUE"""),"Mochammad Fadhillah Hakim,")</f>
        <v>Mochammad Fadhillah Hakim,</v>
      </c>
      <c r="N4759" s="6" t="str">
        <f>IFERROR(__xludf.DUMMYFUNCTION("""COMPUTED_VALUE"""),"FIP Engineering")</f>
        <v>FIP Engineering</v>
      </c>
      <c r="O4759" s="6" t="str">
        <f>IFERROR(__xludf.DUMMYFUNCTION("""COMPUTED_VALUE"""),"FIP-DOM-000-11304-OS00001-INA-000000")</f>
        <v>FIP-DOM-000-11304-OS00001-INA-000000</v>
      </c>
      <c r="P4759" s="6" t="str">
        <f>IFERROR(__xludf.DUMMYFUNCTION("""COMPUTED_VALUE"""),"PO Closed")</f>
        <v>PO Closed</v>
      </c>
      <c r="Q4759" s="6" t="str">
        <f>IFERROR(__xludf.DUMMYFUNCTION("""COMPUTED_VALUE"""),"GL2602412")</f>
        <v>GL2602412</v>
      </c>
      <c r="R4759" s="57">
        <f>IFERROR(__xludf.DUMMYFUNCTION("""COMPUTED_VALUE"""),46043.0)</f>
        <v>46043</v>
      </c>
      <c r="S4759" s="57">
        <f>IFERROR(__xludf.DUMMYFUNCTION("""COMPUTED_VALUE"""),46043.0)</f>
        <v>46043</v>
      </c>
      <c r="T4759" s="57">
        <f>IFERROR(__xludf.DUMMYFUNCTION("""COMPUTED_VALUE"""),46152.0)</f>
        <v>46152</v>
      </c>
    </row>
    <row r="4760">
      <c r="A4760" s="6" t="str">
        <f>IFERROR(__xludf.DUMMYFUNCTION("""COMPUTED_VALUE"""),"121703705-1")</f>
        <v>121703705-1</v>
      </c>
      <c r="B4760" s="6" t="str">
        <f>IFERROR(__xludf.DUMMYFUNCTION("""COMPUTED_VALUE"""),"121703705 - APPROVED")</f>
        <v>121703705 - APPROVED</v>
      </c>
      <c r="C4760" s="6">
        <f>IFERROR(__xludf.DUMMYFUNCTION("""COMPUTED_VALUE"""),1.0)</f>
        <v>1</v>
      </c>
      <c r="D4760" s="6" t="str">
        <f>IFERROR(__xludf.DUMMYFUNCTION("""COMPUTED_VALUE"""),"O-12736-00")</f>
        <v>O-12736-00</v>
      </c>
      <c r="E4760" s="6" t="str">
        <f>IFERROR(__xludf.DUMMYFUNCTION("""COMPUTED_VALUE"""),"Tubing Polyurethane TU0425 Clear; ; ;")</f>
        <v>Tubing Polyurethane TU0425 Clear; ; ;</v>
      </c>
      <c r="F4760" s="6">
        <f>IFERROR(__xludf.DUMMYFUNCTION("""COMPUTED_VALUE"""),1.0)</f>
        <v>1</v>
      </c>
      <c r="G4760" s="6" t="str">
        <f>IFERROR(__xludf.DUMMYFUNCTION("""COMPUTED_VALUE"""),"Roll")</f>
        <v>Roll</v>
      </c>
      <c r="H4760" s="6" t="str">
        <f>IFERROR(__xludf.DUMMYFUNCTION("""COMPUTED_VALUE"""),"IDR")</f>
        <v>IDR</v>
      </c>
      <c r="I4760" s="6">
        <f>IFERROR(__xludf.DUMMYFUNCTION("""COMPUTED_VALUE"""),1000000.0)</f>
        <v>1000000</v>
      </c>
      <c r="J4760" s="6">
        <f>IFERROR(__xludf.DUMMYFUNCTION("""COMPUTED_VALUE"""),1000000.0)</f>
        <v>1000000</v>
      </c>
      <c r="K4760" s="57">
        <f>IFERROR(__xludf.DUMMYFUNCTION("""COMPUTED_VALUE"""),46080.0)</f>
        <v>46080</v>
      </c>
      <c r="L4760" s="6" t="str">
        <f>IFERROR(__xludf.DUMMYFUNCTION("""COMPUTED_VALUE"""),"FIP General")</f>
        <v>FIP General</v>
      </c>
      <c r="M4760" s="6" t="str">
        <f>IFERROR(__xludf.DUMMYFUNCTION("""COMPUTED_VALUE"""),"Mochammad Fadhillah Hakim,")</f>
        <v>Mochammad Fadhillah Hakim,</v>
      </c>
      <c r="N4760" s="6" t="str">
        <f>IFERROR(__xludf.DUMMYFUNCTION("""COMPUTED_VALUE"""),"FIP Engineering")</f>
        <v>FIP Engineering</v>
      </c>
      <c r="O4760" s="6" t="str">
        <f>IFERROR(__xludf.DUMMYFUNCTION("""COMPUTED_VALUE"""),"FIP-DOM-ENG-51404-0000000-INA-000000")</f>
        <v>FIP-DOM-ENG-51404-0000000-INA-000000</v>
      </c>
      <c r="P4760" s="6" t="str">
        <f>IFERROR(__xludf.DUMMYFUNCTION("""COMPUTED_VALUE"""),"PO Closed")</f>
        <v>PO Closed</v>
      </c>
      <c r="Q4760" s="6" t="str">
        <f>IFERROR(__xludf.DUMMYFUNCTION("""COMPUTED_VALUE"""),"GL2602410")</f>
        <v>GL2602410</v>
      </c>
      <c r="R4760" s="57">
        <f>IFERROR(__xludf.DUMMYFUNCTION("""COMPUTED_VALUE"""),46043.0)</f>
        <v>46043</v>
      </c>
      <c r="S4760" s="57">
        <f>IFERROR(__xludf.DUMMYFUNCTION("""COMPUTED_VALUE"""),46044.0)</f>
        <v>46044</v>
      </c>
      <c r="T4760" s="57">
        <f>IFERROR(__xludf.DUMMYFUNCTION("""COMPUTED_VALUE"""),46118.0)</f>
        <v>46118</v>
      </c>
    </row>
    <row r="4761">
      <c r="A4761" s="6" t="str">
        <f>IFERROR(__xludf.DUMMYFUNCTION("""COMPUTED_VALUE"""),"121703705-2")</f>
        <v>121703705-2</v>
      </c>
      <c r="B4761" s="6" t="str">
        <f>IFERROR(__xludf.DUMMYFUNCTION("""COMPUTED_VALUE"""),"121703705 - APPROVED")</f>
        <v>121703705 - APPROVED</v>
      </c>
      <c r="C4761" s="6">
        <f>IFERROR(__xludf.DUMMYFUNCTION("""COMPUTED_VALUE"""),2.0)</f>
        <v>2</v>
      </c>
      <c r="D4761" s="6" t="str">
        <f>IFERROR(__xludf.DUMMYFUNCTION("""COMPUTED_VALUE"""),"O-12735-00")</f>
        <v>O-12735-00</v>
      </c>
      <c r="E4761" s="6" t="str">
        <f>IFERROR(__xludf.DUMMYFUNCTION("""COMPUTED_VALUE"""),"General - TU Polyurethane Tubing, TU0604C-100; SMC Pneumatics; -; 1 roll")</f>
        <v>General - TU Polyurethane Tubing, TU0604C-100; SMC Pneumatics; -; 1 roll</v>
      </c>
      <c r="F4761" s="6">
        <f>IFERROR(__xludf.DUMMYFUNCTION("""COMPUTED_VALUE"""),2.0)</f>
        <v>2</v>
      </c>
      <c r="G4761" s="6" t="str">
        <f>IFERROR(__xludf.DUMMYFUNCTION("""COMPUTED_VALUE"""),"Roll")</f>
        <v>Roll</v>
      </c>
      <c r="H4761" s="6" t="str">
        <f>IFERROR(__xludf.DUMMYFUNCTION("""COMPUTED_VALUE"""),"IDR")</f>
        <v>IDR</v>
      </c>
      <c r="I4761" s="6">
        <f>IFERROR(__xludf.DUMMYFUNCTION("""COMPUTED_VALUE"""),1200000.0)</f>
        <v>1200000</v>
      </c>
      <c r="J4761" s="6">
        <f>IFERROR(__xludf.DUMMYFUNCTION("""COMPUTED_VALUE"""),2400000.0)</f>
        <v>2400000</v>
      </c>
      <c r="K4761" s="57">
        <f>IFERROR(__xludf.DUMMYFUNCTION("""COMPUTED_VALUE"""),46080.0)</f>
        <v>46080</v>
      </c>
      <c r="L4761" s="6" t="str">
        <f>IFERROR(__xludf.DUMMYFUNCTION("""COMPUTED_VALUE"""),"FIP General")</f>
        <v>FIP General</v>
      </c>
      <c r="M4761" s="6" t="str">
        <f>IFERROR(__xludf.DUMMYFUNCTION("""COMPUTED_VALUE"""),"Mochammad Fadhillah Hakim,")</f>
        <v>Mochammad Fadhillah Hakim,</v>
      </c>
      <c r="N4761" s="6" t="str">
        <f>IFERROR(__xludf.DUMMYFUNCTION("""COMPUTED_VALUE"""),"FIP Engineering")</f>
        <v>FIP Engineering</v>
      </c>
      <c r="O4761" s="6" t="str">
        <f>IFERROR(__xludf.DUMMYFUNCTION("""COMPUTED_VALUE"""),"FIP-DOM-ENG-51404-0000000-INA-000000")</f>
        <v>FIP-DOM-ENG-51404-0000000-INA-000000</v>
      </c>
      <c r="P4761" s="6" t="str">
        <f>IFERROR(__xludf.DUMMYFUNCTION("""COMPUTED_VALUE"""),"PO Closed")</f>
        <v>PO Closed</v>
      </c>
      <c r="Q4761" s="6" t="str">
        <f>IFERROR(__xludf.DUMMYFUNCTION("""COMPUTED_VALUE"""),"GL2602410")</f>
        <v>GL2602410</v>
      </c>
      <c r="R4761" s="57">
        <f>IFERROR(__xludf.DUMMYFUNCTION("""COMPUTED_VALUE"""),46043.0)</f>
        <v>46043</v>
      </c>
      <c r="S4761" s="57">
        <f>IFERROR(__xludf.DUMMYFUNCTION("""COMPUTED_VALUE"""),46044.0)</f>
        <v>46044</v>
      </c>
      <c r="T4761" s="57">
        <f>IFERROR(__xludf.DUMMYFUNCTION("""COMPUTED_VALUE"""),46118.0)</f>
        <v>46118</v>
      </c>
    </row>
    <row r="4762">
      <c r="A4762" s="6" t="str">
        <f>IFERROR(__xludf.DUMMYFUNCTION("""COMPUTED_VALUE"""),"121703705-3")</f>
        <v>121703705-3</v>
      </c>
      <c r="B4762" s="6" t="str">
        <f>IFERROR(__xludf.DUMMYFUNCTION("""COMPUTED_VALUE"""),"121703705 - APPROVED")</f>
        <v>121703705 - APPROVED</v>
      </c>
      <c r="C4762" s="6">
        <f>IFERROR(__xludf.DUMMYFUNCTION("""COMPUTED_VALUE"""),3.0)</f>
        <v>3</v>
      </c>
      <c r="D4762" s="6" t="str">
        <f>IFERROR(__xludf.DUMMYFUNCTION("""COMPUTED_VALUE"""),"O-12734-00")</f>
        <v>O-12734-00</v>
      </c>
      <c r="E4762" s="6" t="str">
        <f>IFERROR(__xludf.DUMMYFUNCTION("""COMPUTED_VALUE"""),"General - TU Polyurethane Tubing, TU0805C-100; SMC Pneumatics; -; 1 roll")</f>
        <v>General - TU Polyurethane Tubing, TU0805C-100; SMC Pneumatics; -; 1 roll</v>
      </c>
      <c r="F4762" s="6">
        <f>IFERROR(__xludf.DUMMYFUNCTION("""COMPUTED_VALUE"""),2.0)</f>
        <v>2</v>
      </c>
      <c r="G4762" s="6" t="str">
        <f>IFERROR(__xludf.DUMMYFUNCTION("""COMPUTED_VALUE"""),"Roll")</f>
        <v>Roll</v>
      </c>
      <c r="H4762" s="6" t="str">
        <f>IFERROR(__xludf.DUMMYFUNCTION("""COMPUTED_VALUE"""),"IDR")</f>
        <v>IDR</v>
      </c>
      <c r="I4762" s="6">
        <f>IFERROR(__xludf.DUMMYFUNCTION("""COMPUTED_VALUE"""),1500000.0)</f>
        <v>1500000</v>
      </c>
      <c r="J4762" s="6">
        <f>IFERROR(__xludf.DUMMYFUNCTION("""COMPUTED_VALUE"""),3000000.0)</f>
        <v>3000000</v>
      </c>
      <c r="K4762" s="57">
        <f>IFERROR(__xludf.DUMMYFUNCTION("""COMPUTED_VALUE"""),46080.0)</f>
        <v>46080</v>
      </c>
      <c r="L4762" s="6" t="str">
        <f>IFERROR(__xludf.DUMMYFUNCTION("""COMPUTED_VALUE"""),"FIP General")</f>
        <v>FIP General</v>
      </c>
      <c r="M4762" s="6" t="str">
        <f>IFERROR(__xludf.DUMMYFUNCTION("""COMPUTED_VALUE"""),"Mochammad Fadhillah Hakim,")</f>
        <v>Mochammad Fadhillah Hakim,</v>
      </c>
      <c r="N4762" s="6" t="str">
        <f>IFERROR(__xludf.DUMMYFUNCTION("""COMPUTED_VALUE"""),"FIP Engineering")</f>
        <v>FIP Engineering</v>
      </c>
      <c r="O4762" s="6" t="str">
        <f>IFERROR(__xludf.DUMMYFUNCTION("""COMPUTED_VALUE"""),"FIP-DOM-ENG-51404-0000000-INA-000000")</f>
        <v>FIP-DOM-ENG-51404-0000000-INA-000000</v>
      </c>
      <c r="P4762" s="6" t="str">
        <f>IFERROR(__xludf.DUMMYFUNCTION("""COMPUTED_VALUE"""),"PO Closed")</f>
        <v>PO Closed</v>
      </c>
      <c r="Q4762" s="6" t="str">
        <f>IFERROR(__xludf.DUMMYFUNCTION("""COMPUTED_VALUE"""),"GL2602410")</f>
        <v>GL2602410</v>
      </c>
      <c r="R4762" s="57">
        <f>IFERROR(__xludf.DUMMYFUNCTION("""COMPUTED_VALUE"""),46043.0)</f>
        <v>46043</v>
      </c>
      <c r="S4762" s="57">
        <f>IFERROR(__xludf.DUMMYFUNCTION("""COMPUTED_VALUE"""),46044.0)</f>
        <v>46044</v>
      </c>
      <c r="T4762" s="57">
        <f>IFERROR(__xludf.DUMMYFUNCTION("""COMPUTED_VALUE"""),46118.0)</f>
        <v>46118</v>
      </c>
    </row>
    <row r="4763">
      <c r="A4763" s="6" t="str">
        <f>IFERROR(__xludf.DUMMYFUNCTION("""COMPUTED_VALUE"""),"121703717-1")</f>
        <v>121703717-1</v>
      </c>
      <c r="B4763" s="6" t="str">
        <f>IFERROR(__xludf.DUMMYFUNCTION("""COMPUTED_VALUE"""),"121703717 - APPROVED")</f>
        <v>121703717 - APPROVED</v>
      </c>
      <c r="C4763" s="6">
        <f>IFERROR(__xludf.DUMMYFUNCTION("""COMPUTED_VALUE"""),1.0)</f>
        <v>1</v>
      </c>
      <c r="D4763" s="6" t="str">
        <f>IFERROR(__xludf.DUMMYFUNCTION("""COMPUTED_VALUE"""),"P-10183-00")</f>
        <v>P-10183-00</v>
      </c>
      <c r="E4763" s="6" t="str">
        <f>IFERROR(__xludf.DUMMYFUNCTION("""COMPUTED_VALUE"""),"General - Drain Sewerage Opener GL-10; No Brand; -; 1 pc")</f>
        <v>General - Drain Sewerage Opener GL-10; No Brand; -; 1 pc</v>
      </c>
      <c r="F4763" s="6">
        <f>IFERROR(__xludf.DUMMYFUNCTION("""COMPUTED_VALUE"""),20.0)</f>
        <v>20</v>
      </c>
      <c r="G4763" s="6" t="str">
        <f>IFERROR(__xludf.DUMMYFUNCTION("""COMPUTED_VALUE"""),"Liter")</f>
        <v>Liter</v>
      </c>
      <c r="H4763" s="6" t="str">
        <f>IFERROR(__xludf.DUMMYFUNCTION("""COMPUTED_VALUE"""),"IDR")</f>
        <v>IDR</v>
      </c>
      <c r="I4763" s="6">
        <f>IFERROR(__xludf.DUMMYFUNCTION("""COMPUTED_VALUE"""),120000.0)</f>
        <v>120000</v>
      </c>
      <c r="J4763" s="6">
        <f>IFERROR(__xludf.DUMMYFUNCTION("""COMPUTED_VALUE"""),2400000.0)</f>
        <v>2400000</v>
      </c>
      <c r="K4763" s="57">
        <f>IFERROR(__xludf.DUMMYFUNCTION("""COMPUTED_VALUE"""),46080.0)</f>
        <v>46080</v>
      </c>
      <c r="L4763" s="6" t="str">
        <f>IFERROR(__xludf.DUMMYFUNCTION("""COMPUTED_VALUE"""),"FIP Engineering")</f>
        <v>FIP Engineering</v>
      </c>
      <c r="M4763" s="6" t="str">
        <f>IFERROR(__xludf.DUMMYFUNCTION("""COMPUTED_VALUE"""),"Mochammad Fadhillah Hakim,")</f>
        <v>Mochammad Fadhillah Hakim,</v>
      </c>
      <c r="N4763" s="6" t="str">
        <f>IFERROR(__xludf.DUMMYFUNCTION("""COMPUTED_VALUE"""),"FIP Engineering")</f>
        <v>FIP Engineering</v>
      </c>
      <c r="O4763" s="6" t="str">
        <f>IFERROR(__xludf.DUMMYFUNCTION("""COMPUTED_VALUE"""),"FIP-DOM-000-11304-OS00001-INA-000000")</f>
        <v>FIP-DOM-000-11304-OS00001-INA-000000</v>
      </c>
      <c r="P4763" s="6" t="str">
        <f>IFERROR(__xludf.DUMMYFUNCTION("""COMPUTED_VALUE"""),"PO Closed")</f>
        <v>PO Closed</v>
      </c>
      <c r="Q4763" s="6" t="str">
        <f>IFERROR(__xludf.DUMMYFUNCTION("""COMPUTED_VALUE"""),"GL2602039")</f>
        <v>GL2602039</v>
      </c>
      <c r="R4763" s="57">
        <f>IFERROR(__xludf.DUMMYFUNCTION("""COMPUTED_VALUE"""),46046.0)</f>
        <v>46046</v>
      </c>
      <c r="S4763" s="57">
        <f>IFERROR(__xludf.DUMMYFUNCTION("""COMPUTED_VALUE"""),46048.0)</f>
        <v>46048</v>
      </c>
      <c r="T4763" s="57">
        <f>IFERROR(__xludf.DUMMYFUNCTION("""COMPUTED_VALUE"""),46090.0)</f>
        <v>46090</v>
      </c>
    </row>
    <row r="4764">
      <c r="A4764" s="6" t="str">
        <f>IFERROR(__xludf.DUMMYFUNCTION("""COMPUTED_VALUE"""),"121703719-1")</f>
        <v>121703719-1</v>
      </c>
      <c r="B4764" s="6" t="str">
        <f>IFERROR(__xludf.DUMMYFUNCTION("""COMPUTED_VALUE"""),"121703719 - APPROVED")</f>
        <v>121703719 - APPROVED</v>
      </c>
      <c r="C4764" s="6">
        <f>IFERROR(__xludf.DUMMYFUNCTION("""COMPUTED_VALUE"""),1.0)</f>
        <v>1</v>
      </c>
      <c r="D4764" s="6" t="str">
        <f>IFERROR(__xludf.DUMMYFUNCTION("""COMPUTED_VALUE"""),"O-20555-00")</f>
        <v>O-20555-00</v>
      </c>
      <c r="E4764" s="6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F4764" s="6">
        <f>IFERROR(__xludf.DUMMYFUNCTION("""COMPUTED_VALUE"""),1.0)</f>
        <v>1</v>
      </c>
      <c r="G4764" s="6" t="str">
        <f>IFERROR(__xludf.DUMMYFUNCTION("""COMPUTED_VALUE"""),"Pieces")</f>
        <v>Pieces</v>
      </c>
      <c r="H4764" s="6" t="str">
        <f>IFERROR(__xludf.DUMMYFUNCTION("""COMPUTED_VALUE"""),"IDR")</f>
        <v>IDR</v>
      </c>
      <c r="I4764" s="6">
        <f>IFERROR(__xludf.DUMMYFUNCTION("""COMPUTED_VALUE"""),4251000.0)</f>
        <v>4251000</v>
      </c>
      <c r="J4764" s="6">
        <f>IFERROR(__xludf.DUMMYFUNCTION("""COMPUTED_VALUE"""),4251000.0)</f>
        <v>4251000</v>
      </c>
      <c r="K4764" s="57">
        <f>IFERROR(__xludf.DUMMYFUNCTION("""COMPUTED_VALUE"""),46066.0)</f>
        <v>46066</v>
      </c>
      <c r="L4764" s="6" t="str">
        <f>IFERROR(__xludf.DUMMYFUNCTION("""COMPUTED_VALUE"""),"FIP Engineering")</f>
        <v>FIP Engineering</v>
      </c>
      <c r="M4764" s="6" t="str">
        <f>IFERROR(__xludf.DUMMYFUNCTION("""COMPUTED_VALUE"""),"Mochammad Fadhillah Hakim,")</f>
        <v>Mochammad Fadhillah Hakim,</v>
      </c>
      <c r="N4764" s="6" t="str">
        <f>IFERROR(__xludf.DUMMYFUNCTION("""COMPUTED_VALUE"""),"FIP Engineering")</f>
        <v>FIP Engineering</v>
      </c>
      <c r="O4764" s="6" t="str">
        <f>IFERROR(__xludf.DUMMYFUNCTION("""COMPUTED_VALUE"""),"FIP-DOM-000-11304-OS00001-INA-000000")</f>
        <v>FIP-DOM-000-11304-OS00001-INA-000000</v>
      </c>
      <c r="P4764" s="6" t="str">
        <f>IFERROR(__xludf.DUMMYFUNCTION("""COMPUTED_VALUE"""),"PO Closed")</f>
        <v>PO Closed</v>
      </c>
      <c r="Q4764" s="6" t="str">
        <f>IFERROR(__xludf.DUMMYFUNCTION("""COMPUTED_VALUE"""),"GL2602022")</f>
        <v>GL2602022</v>
      </c>
      <c r="R4764" s="57">
        <f>IFERROR(__xludf.DUMMYFUNCTION("""COMPUTED_VALUE"""),46046.0)</f>
        <v>46046</v>
      </c>
      <c r="S4764" s="57">
        <f>IFERROR(__xludf.DUMMYFUNCTION("""COMPUTED_VALUE"""),46052.0)</f>
        <v>46052</v>
      </c>
      <c r="T4764" s="57">
        <f>IFERROR(__xludf.DUMMYFUNCTION("""COMPUTED_VALUE"""),46132.0)</f>
        <v>46132</v>
      </c>
    </row>
    <row r="4765">
      <c r="A4765" s="6" t="str">
        <f>IFERROR(__xludf.DUMMYFUNCTION("""COMPUTED_VALUE"""),"121703719-2")</f>
        <v>121703719-2</v>
      </c>
      <c r="B4765" s="6" t="str">
        <f>IFERROR(__xludf.DUMMYFUNCTION("""COMPUTED_VALUE"""),"121703719 - APPROVED")</f>
        <v>121703719 - APPROVED</v>
      </c>
      <c r="C4765" s="6">
        <f>IFERROR(__xludf.DUMMYFUNCTION("""COMPUTED_VALUE"""),2.0)</f>
        <v>2</v>
      </c>
      <c r="D4765" s="6" t="str">
        <f>IFERROR(__xludf.DUMMYFUNCTION("""COMPUTED_VALUE"""),"O-20556-00")</f>
        <v>O-20556-00</v>
      </c>
      <c r="E4765" s="6" t="str">
        <f>IFERROR(__xludf.DUMMYFUNCTION("""COMPUTED_VALUE"""),"Marchesini MA155 - Upper Belt Shaft, 21. 4. 0. 1/0. 394K; -; M660010002; 1 Pc")</f>
        <v>Marchesini MA155 - Upper Belt Shaft, 21. 4. 0. 1/0. 394K; -; M660010002; 1 Pc</v>
      </c>
      <c r="F4765" s="6">
        <f>IFERROR(__xludf.DUMMYFUNCTION("""COMPUTED_VALUE"""),1.0)</f>
        <v>1</v>
      </c>
      <c r="G4765" s="6" t="str">
        <f>IFERROR(__xludf.DUMMYFUNCTION("""COMPUTED_VALUE"""),"Pieces")</f>
        <v>Pieces</v>
      </c>
      <c r="H4765" s="6" t="str">
        <f>IFERROR(__xludf.DUMMYFUNCTION("""COMPUTED_VALUE"""),"IDR")</f>
        <v>IDR</v>
      </c>
      <c r="I4765" s="6">
        <f>IFERROR(__xludf.DUMMYFUNCTION("""COMPUTED_VALUE"""),4251000.0)</f>
        <v>4251000</v>
      </c>
      <c r="J4765" s="6">
        <f>IFERROR(__xludf.DUMMYFUNCTION("""COMPUTED_VALUE"""),4251000.0)</f>
        <v>4251000</v>
      </c>
      <c r="K4765" s="57">
        <f>IFERROR(__xludf.DUMMYFUNCTION("""COMPUTED_VALUE"""),46066.0)</f>
        <v>46066</v>
      </c>
      <c r="L4765" s="6" t="str">
        <f>IFERROR(__xludf.DUMMYFUNCTION("""COMPUTED_VALUE"""),"FIP Engineering")</f>
        <v>FIP Engineering</v>
      </c>
      <c r="M4765" s="6" t="str">
        <f>IFERROR(__xludf.DUMMYFUNCTION("""COMPUTED_VALUE"""),"Mochammad Fadhillah Hakim,")</f>
        <v>Mochammad Fadhillah Hakim,</v>
      </c>
      <c r="N4765" s="6" t="str">
        <f>IFERROR(__xludf.DUMMYFUNCTION("""COMPUTED_VALUE"""),"FIP Engineering")</f>
        <v>FIP Engineering</v>
      </c>
      <c r="O4765" s="6" t="str">
        <f>IFERROR(__xludf.DUMMYFUNCTION("""COMPUTED_VALUE"""),"FIP-DOM-000-11304-OS00001-INA-000000")</f>
        <v>FIP-DOM-000-11304-OS00001-INA-000000</v>
      </c>
      <c r="P4765" s="6" t="str">
        <f>IFERROR(__xludf.DUMMYFUNCTION("""COMPUTED_VALUE"""),"PO Closed")</f>
        <v>PO Closed</v>
      </c>
      <c r="Q4765" s="6" t="str">
        <f>IFERROR(__xludf.DUMMYFUNCTION("""COMPUTED_VALUE"""),"GL2602022")</f>
        <v>GL2602022</v>
      </c>
      <c r="R4765" s="57">
        <f>IFERROR(__xludf.DUMMYFUNCTION("""COMPUTED_VALUE"""),46046.0)</f>
        <v>46046</v>
      </c>
      <c r="S4765" s="57">
        <f>IFERROR(__xludf.DUMMYFUNCTION("""COMPUTED_VALUE"""),46052.0)</f>
        <v>46052</v>
      </c>
      <c r="T4765" s="57">
        <f>IFERROR(__xludf.DUMMYFUNCTION("""COMPUTED_VALUE"""),46132.0)</f>
        <v>46132</v>
      </c>
    </row>
    <row r="4766">
      <c r="A4766" s="6" t="str">
        <f>IFERROR(__xludf.DUMMYFUNCTION("""COMPUTED_VALUE"""),"121703719-3")</f>
        <v>121703719-3</v>
      </c>
      <c r="B4766" s="6" t="str">
        <f>IFERROR(__xludf.DUMMYFUNCTION("""COMPUTED_VALUE"""),"121703719 - APPROVED")</f>
        <v>121703719 - APPROVED</v>
      </c>
      <c r="C4766" s="6">
        <f>IFERROR(__xludf.DUMMYFUNCTION("""COMPUTED_VALUE"""),3.0)</f>
        <v>3</v>
      </c>
      <c r="D4766" s="6" t="str">
        <f>IFERROR(__xludf.DUMMYFUNCTION("""COMPUTED_VALUE"""),"O-20557-00")</f>
        <v>O-20557-00</v>
      </c>
      <c r="E4766" s="6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F4766" s="6">
        <f>IFERROR(__xludf.DUMMYFUNCTION("""COMPUTED_VALUE"""),3.0)</f>
        <v>3</v>
      </c>
      <c r="G4766" s="6" t="str">
        <f>IFERROR(__xludf.DUMMYFUNCTION("""COMPUTED_VALUE"""),"Pieces")</f>
        <v>Pieces</v>
      </c>
      <c r="H4766" s="6" t="str">
        <f>IFERROR(__xludf.DUMMYFUNCTION("""COMPUTED_VALUE"""),"IDR")</f>
        <v>IDR</v>
      </c>
      <c r="I4766" s="6">
        <f>IFERROR(__xludf.DUMMYFUNCTION("""COMPUTED_VALUE"""),6259500.0)</f>
        <v>6259500</v>
      </c>
      <c r="J4766" s="6">
        <f>IFERROR(__xludf.DUMMYFUNCTION("""COMPUTED_VALUE"""),1.87785E7)</f>
        <v>18778500</v>
      </c>
      <c r="K4766" s="57">
        <f>IFERROR(__xludf.DUMMYFUNCTION("""COMPUTED_VALUE"""),46066.0)</f>
        <v>46066</v>
      </c>
      <c r="L4766" s="6" t="str">
        <f>IFERROR(__xludf.DUMMYFUNCTION("""COMPUTED_VALUE"""),"FIP Engineering")</f>
        <v>FIP Engineering</v>
      </c>
      <c r="M4766" s="6" t="str">
        <f>IFERROR(__xludf.DUMMYFUNCTION("""COMPUTED_VALUE"""),"Mochammad Fadhillah Hakim,")</f>
        <v>Mochammad Fadhillah Hakim,</v>
      </c>
      <c r="N4766" s="6" t="str">
        <f>IFERROR(__xludf.DUMMYFUNCTION("""COMPUTED_VALUE"""),"FIP Engineering")</f>
        <v>FIP Engineering</v>
      </c>
      <c r="O4766" s="6" t="str">
        <f>IFERROR(__xludf.DUMMYFUNCTION("""COMPUTED_VALUE"""),"FIP-DOM-000-11304-OS00001-INA-000000")</f>
        <v>FIP-DOM-000-11304-OS00001-INA-000000</v>
      </c>
      <c r="P4766" s="6" t="str">
        <f>IFERROR(__xludf.DUMMYFUNCTION("""COMPUTED_VALUE"""),"PO Closed")</f>
        <v>PO Closed</v>
      </c>
      <c r="Q4766" s="6"/>
      <c r="R4766" s="57">
        <f>IFERROR(__xludf.DUMMYFUNCTION("""COMPUTED_VALUE"""),46046.0)</f>
        <v>46046</v>
      </c>
      <c r="S4766" s="57">
        <f>IFERROR(__xludf.DUMMYFUNCTION("""COMPUTED_VALUE"""),46052.0)</f>
        <v>46052</v>
      </c>
      <c r="T4766" s="57">
        <f>IFERROR(__xludf.DUMMYFUNCTION("""COMPUTED_VALUE"""),46132.0)</f>
        <v>46132</v>
      </c>
    </row>
    <row r="4767">
      <c r="A4767" s="6" t="str">
        <f>IFERROR(__xludf.DUMMYFUNCTION("""COMPUTED_VALUE"""),"121703719-4")</f>
        <v>121703719-4</v>
      </c>
      <c r="B4767" s="6" t="str">
        <f>IFERROR(__xludf.DUMMYFUNCTION("""COMPUTED_VALUE"""),"121703719 - APPROVED")</f>
        <v>121703719 - APPROVED</v>
      </c>
      <c r="C4767" s="6">
        <f>IFERROR(__xludf.DUMMYFUNCTION("""COMPUTED_VALUE"""),4.0)</f>
        <v>4</v>
      </c>
      <c r="D4767" s="6" t="str">
        <f>IFERROR(__xludf.DUMMYFUNCTION("""COMPUTED_VALUE"""),"O-20558-00")</f>
        <v>O-20558-00</v>
      </c>
      <c r="E4767" s="6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F4767" s="6">
        <f>IFERROR(__xludf.DUMMYFUNCTION("""COMPUTED_VALUE"""),5.0)</f>
        <v>5</v>
      </c>
      <c r="G4767" s="6" t="str">
        <f>IFERROR(__xludf.DUMMYFUNCTION("""COMPUTED_VALUE"""),"Pieces")</f>
        <v>Pieces</v>
      </c>
      <c r="H4767" s="6" t="str">
        <f>IFERROR(__xludf.DUMMYFUNCTION("""COMPUTED_VALUE"""),"IDR")</f>
        <v>IDR</v>
      </c>
      <c r="I4767" s="6">
        <f>IFERROR(__xludf.DUMMYFUNCTION("""COMPUTED_VALUE"""),6259500.0)</f>
        <v>6259500</v>
      </c>
      <c r="J4767" s="6">
        <f>IFERROR(__xludf.DUMMYFUNCTION("""COMPUTED_VALUE"""),3.12975E7)</f>
        <v>31297500</v>
      </c>
      <c r="K4767" s="57">
        <f>IFERROR(__xludf.DUMMYFUNCTION("""COMPUTED_VALUE"""),46066.0)</f>
        <v>46066</v>
      </c>
      <c r="L4767" s="6" t="str">
        <f>IFERROR(__xludf.DUMMYFUNCTION("""COMPUTED_VALUE"""),"FIP Engineering")</f>
        <v>FIP Engineering</v>
      </c>
      <c r="M4767" s="6" t="str">
        <f>IFERROR(__xludf.DUMMYFUNCTION("""COMPUTED_VALUE"""),"Mochammad Fadhillah Hakim,")</f>
        <v>Mochammad Fadhillah Hakim,</v>
      </c>
      <c r="N4767" s="6" t="str">
        <f>IFERROR(__xludf.DUMMYFUNCTION("""COMPUTED_VALUE"""),"FIP Engineering")</f>
        <v>FIP Engineering</v>
      </c>
      <c r="O4767" s="6" t="str">
        <f>IFERROR(__xludf.DUMMYFUNCTION("""COMPUTED_VALUE"""),"FIP-DOM-000-11304-OS00001-INA-000000")</f>
        <v>FIP-DOM-000-11304-OS00001-INA-000000</v>
      </c>
      <c r="P4767" s="6" t="str">
        <f>IFERROR(__xludf.DUMMYFUNCTION("""COMPUTED_VALUE"""),"PO Closed")</f>
        <v>PO Closed</v>
      </c>
      <c r="Q4767" s="6" t="str">
        <f>IFERROR(__xludf.DUMMYFUNCTION("""COMPUTED_VALUE"""),"GL2602022")</f>
        <v>GL2602022</v>
      </c>
      <c r="R4767" s="57">
        <f>IFERROR(__xludf.DUMMYFUNCTION("""COMPUTED_VALUE"""),46046.0)</f>
        <v>46046</v>
      </c>
      <c r="S4767" s="57">
        <f>IFERROR(__xludf.DUMMYFUNCTION("""COMPUTED_VALUE"""),46052.0)</f>
        <v>46052</v>
      </c>
      <c r="T4767" s="57">
        <f>IFERROR(__xludf.DUMMYFUNCTION("""COMPUTED_VALUE"""),46132.0)</f>
        <v>46132</v>
      </c>
    </row>
    <row r="4768">
      <c r="A4768" s="6" t="str">
        <f>IFERROR(__xludf.DUMMYFUNCTION("""COMPUTED_VALUE"""),"121703719-5")</f>
        <v>121703719-5</v>
      </c>
      <c r="B4768" s="6" t="str">
        <f>IFERROR(__xludf.DUMMYFUNCTION("""COMPUTED_VALUE"""),"121703719 - APPROVED")</f>
        <v>121703719 - APPROVED</v>
      </c>
      <c r="C4768" s="6">
        <f>IFERROR(__xludf.DUMMYFUNCTION("""COMPUTED_VALUE"""),5.0)</f>
        <v>5</v>
      </c>
      <c r="D4768" s="6" t="str">
        <f>IFERROR(__xludf.DUMMYFUNCTION("""COMPUTED_VALUE"""),"O-20559-00")</f>
        <v>O-20559-00</v>
      </c>
      <c r="E4768" s="6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F4768" s="6">
        <f>IFERROR(__xludf.DUMMYFUNCTION("""COMPUTED_VALUE"""),2.0)</f>
        <v>2</v>
      </c>
      <c r="G4768" s="6" t="str">
        <f>IFERROR(__xludf.DUMMYFUNCTION("""COMPUTED_VALUE"""),"Pieces")</f>
        <v>Pieces</v>
      </c>
      <c r="H4768" s="6" t="str">
        <f>IFERROR(__xludf.DUMMYFUNCTION("""COMPUTED_VALUE"""),"IDR")</f>
        <v>IDR</v>
      </c>
      <c r="I4768" s="6">
        <f>IFERROR(__xludf.DUMMYFUNCTION("""COMPUTED_VALUE"""),6259500.0)</f>
        <v>6259500</v>
      </c>
      <c r="J4768" s="6">
        <f>IFERROR(__xludf.DUMMYFUNCTION("""COMPUTED_VALUE"""),1.2519E7)</f>
        <v>12519000</v>
      </c>
      <c r="K4768" s="57">
        <f>IFERROR(__xludf.DUMMYFUNCTION("""COMPUTED_VALUE"""),46066.0)</f>
        <v>46066</v>
      </c>
      <c r="L4768" s="6" t="str">
        <f>IFERROR(__xludf.DUMMYFUNCTION("""COMPUTED_VALUE"""),"FIP Engineering")</f>
        <v>FIP Engineering</v>
      </c>
      <c r="M4768" s="6" t="str">
        <f>IFERROR(__xludf.DUMMYFUNCTION("""COMPUTED_VALUE"""),"Mochammad Fadhillah Hakim,")</f>
        <v>Mochammad Fadhillah Hakim,</v>
      </c>
      <c r="N4768" s="6" t="str">
        <f>IFERROR(__xludf.DUMMYFUNCTION("""COMPUTED_VALUE"""),"FIP Engineering")</f>
        <v>FIP Engineering</v>
      </c>
      <c r="O4768" s="6" t="str">
        <f>IFERROR(__xludf.DUMMYFUNCTION("""COMPUTED_VALUE"""),"FIP-DOM-000-11304-OS00001-INA-000000")</f>
        <v>FIP-DOM-000-11304-OS00001-INA-000000</v>
      </c>
      <c r="P4768" s="6" t="str">
        <f>IFERROR(__xludf.DUMMYFUNCTION("""COMPUTED_VALUE"""),"PO Closed")</f>
        <v>PO Closed</v>
      </c>
      <c r="Q4768" s="6" t="str">
        <f>IFERROR(__xludf.DUMMYFUNCTION("""COMPUTED_VALUE"""),"GL2602022")</f>
        <v>GL2602022</v>
      </c>
      <c r="R4768" s="57">
        <f>IFERROR(__xludf.DUMMYFUNCTION("""COMPUTED_VALUE"""),46046.0)</f>
        <v>46046</v>
      </c>
      <c r="S4768" s="57">
        <f>IFERROR(__xludf.DUMMYFUNCTION("""COMPUTED_VALUE"""),46052.0)</f>
        <v>46052</v>
      </c>
      <c r="T4768" s="57">
        <f>IFERROR(__xludf.DUMMYFUNCTION("""COMPUTED_VALUE"""),46216.0)</f>
        <v>46216</v>
      </c>
    </row>
    <row r="4769">
      <c r="A4769" s="6" t="str">
        <f>IFERROR(__xludf.DUMMYFUNCTION("""COMPUTED_VALUE"""),"121703720-1")</f>
        <v>121703720-1</v>
      </c>
      <c r="B4769" s="6" t="str">
        <f>IFERROR(__xludf.DUMMYFUNCTION("""COMPUTED_VALUE"""),"121703720 - APPROVED")</f>
        <v>121703720 - APPROVED</v>
      </c>
      <c r="C4769" s="6">
        <f>IFERROR(__xludf.DUMMYFUNCTION("""COMPUTED_VALUE"""),1.0)</f>
        <v>1</v>
      </c>
      <c r="D4769" s="6" t="str">
        <f>IFERROR(__xludf.DUMMYFUNCTION("""COMPUTED_VALUE"""),"P-50274-00")</f>
        <v>P-50274-00</v>
      </c>
      <c r="E4769" s="6" t="str">
        <f>IFERROR(__xludf.DUMMYFUNCTION("""COMPUTED_VALUE"""),"General - Kabel NYAF Uk. 1 x 0.75mm, Warna Merah; SUPREME; -; 1 meter")</f>
        <v>General - Kabel NYAF Uk. 1 x 0.75mm, Warna Merah; SUPREME; -; 1 meter</v>
      </c>
      <c r="F4769" s="6">
        <f>IFERROR(__xludf.DUMMYFUNCTION("""COMPUTED_VALUE"""),1.0)</f>
        <v>1</v>
      </c>
      <c r="G4769" s="6" t="str">
        <f>IFERROR(__xludf.DUMMYFUNCTION("""COMPUTED_VALUE"""),"Pieces")</f>
        <v>Pieces</v>
      </c>
      <c r="H4769" s="6" t="str">
        <f>IFERROR(__xludf.DUMMYFUNCTION("""COMPUTED_VALUE"""),"IDR")</f>
        <v>IDR</v>
      </c>
      <c r="I4769" s="6">
        <f>IFERROR(__xludf.DUMMYFUNCTION("""COMPUTED_VALUE"""),250000.0)</f>
        <v>250000</v>
      </c>
      <c r="J4769" s="6">
        <f>IFERROR(__xludf.DUMMYFUNCTION("""COMPUTED_VALUE"""),250000.0)</f>
        <v>250000</v>
      </c>
      <c r="K4769" s="57">
        <f>IFERROR(__xludf.DUMMYFUNCTION("""COMPUTED_VALUE"""),46052.0)</f>
        <v>46052</v>
      </c>
      <c r="L4769" s="6" t="str">
        <f>IFERROR(__xludf.DUMMYFUNCTION("""COMPUTED_VALUE"""),"FIP Engineering")</f>
        <v>FIP Engineering</v>
      </c>
      <c r="M4769" s="6" t="str">
        <f>IFERROR(__xludf.DUMMYFUNCTION("""COMPUTED_VALUE"""),"Mochammad Fadhillah Hakim,")</f>
        <v>Mochammad Fadhillah Hakim,</v>
      </c>
      <c r="N4769" s="6" t="str">
        <f>IFERROR(__xludf.DUMMYFUNCTION("""COMPUTED_VALUE"""),"FIP Engineering")</f>
        <v>FIP Engineering</v>
      </c>
      <c r="O4769" s="6" t="str">
        <f>IFERROR(__xludf.DUMMYFUNCTION("""COMPUTED_VALUE"""),"FIP-DOM-000-11304-OS00001-INA-000000")</f>
        <v>FIP-DOM-000-11304-OS00001-INA-000000</v>
      </c>
      <c r="P4769" s="6" t="str">
        <f>IFERROR(__xludf.DUMMYFUNCTION("""COMPUTED_VALUE"""),"PO Closed")</f>
        <v>PO Closed</v>
      </c>
      <c r="Q4769" s="6" t="str">
        <f>IFERROR(__xludf.DUMMYFUNCTION("""COMPUTED_VALUE"""),"GL2601348")</f>
        <v>GL2601348</v>
      </c>
      <c r="R4769" s="57">
        <f>IFERROR(__xludf.DUMMYFUNCTION("""COMPUTED_VALUE"""),46046.0)</f>
        <v>46046</v>
      </c>
      <c r="S4769" s="57">
        <f>IFERROR(__xludf.DUMMYFUNCTION("""COMPUTED_VALUE"""),46048.0)</f>
        <v>46048</v>
      </c>
      <c r="T4769" s="57">
        <f>IFERROR(__xludf.DUMMYFUNCTION("""COMPUTED_VALUE"""),46057.0)</f>
        <v>46057</v>
      </c>
    </row>
    <row r="4770">
      <c r="A4770" s="6" t="str">
        <f>IFERROR(__xludf.DUMMYFUNCTION("""COMPUTED_VALUE"""),"121703720-2")</f>
        <v>121703720-2</v>
      </c>
      <c r="B4770" s="6" t="str">
        <f>IFERROR(__xludf.DUMMYFUNCTION("""COMPUTED_VALUE"""),"121703720 - APPROVED")</f>
        <v>121703720 - APPROVED</v>
      </c>
      <c r="C4770" s="6">
        <f>IFERROR(__xludf.DUMMYFUNCTION("""COMPUTED_VALUE"""),2.0)</f>
        <v>2</v>
      </c>
      <c r="D4770" s="6" t="str">
        <f>IFERROR(__xludf.DUMMYFUNCTION("""COMPUTED_VALUE"""),"P-51030-00")</f>
        <v>P-51030-00</v>
      </c>
      <c r="E4770" s="6" t="str">
        <f>IFERROR(__xludf.DUMMYFUNCTION("""COMPUTED_VALUE"""),"General - Kabel NYAF 1x0.75mm, Warna Biru; JEMBO; -; 1 meter")</f>
        <v>General - Kabel NYAF 1x0.75mm, Warna Biru; JEMBO; -; 1 meter</v>
      </c>
      <c r="F4770" s="6">
        <f>IFERROR(__xludf.DUMMYFUNCTION("""COMPUTED_VALUE"""),1.0)</f>
        <v>1</v>
      </c>
      <c r="G4770" s="6" t="str">
        <f>IFERROR(__xludf.DUMMYFUNCTION("""COMPUTED_VALUE"""),"Pieces")</f>
        <v>Pieces</v>
      </c>
      <c r="H4770" s="6" t="str">
        <f>IFERROR(__xludf.DUMMYFUNCTION("""COMPUTED_VALUE"""),"IDR")</f>
        <v>IDR</v>
      </c>
      <c r="I4770" s="6">
        <f>IFERROR(__xludf.DUMMYFUNCTION("""COMPUTED_VALUE"""),298000.0)</f>
        <v>298000</v>
      </c>
      <c r="J4770" s="6">
        <f>IFERROR(__xludf.DUMMYFUNCTION("""COMPUTED_VALUE"""),298000.0)</f>
        <v>298000</v>
      </c>
      <c r="K4770" s="57">
        <f>IFERROR(__xludf.DUMMYFUNCTION("""COMPUTED_VALUE"""),46052.0)</f>
        <v>46052</v>
      </c>
      <c r="L4770" s="6" t="str">
        <f>IFERROR(__xludf.DUMMYFUNCTION("""COMPUTED_VALUE"""),"FIP Engineering")</f>
        <v>FIP Engineering</v>
      </c>
      <c r="M4770" s="6" t="str">
        <f>IFERROR(__xludf.DUMMYFUNCTION("""COMPUTED_VALUE"""),"Mochammad Fadhillah Hakim,")</f>
        <v>Mochammad Fadhillah Hakim,</v>
      </c>
      <c r="N4770" s="6" t="str">
        <f>IFERROR(__xludf.DUMMYFUNCTION("""COMPUTED_VALUE"""),"FIP Engineering")</f>
        <v>FIP Engineering</v>
      </c>
      <c r="O4770" s="6" t="str">
        <f>IFERROR(__xludf.DUMMYFUNCTION("""COMPUTED_VALUE"""),"FIP-DOM-000-11304-OS00001-INA-000000")</f>
        <v>FIP-DOM-000-11304-OS00001-INA-000000</v>
      </c>
      <c r="P4770" s="6" t="str">
        <f>IFERROR(__xludf.DUMMYFUNCTION("""COMPUTED_VALUE"""),"PO Closed")</f>
        <v>PO Closed</v>
      </c>
      <c r="Q4770" s="6" t="str">
        <f>IFERROR(__xludf.DUMMYFUNCTION("""COMPUTED_VALUE"""),"GL2601348")</f>
        <v>GL2601348</v>
      </c>
      <c r="R4770" s="57">
        <f>IFERROR(__xludf.DUMMYFUNCTION("""COMPUTED_VALUE"""),46046.0)</f>
        <v>46046</v>
      </c>
      <c r="S4770" s="57">
        <f>IFERROR(__xludf.DUMMYFUNCTION("""COMPUTED_VALUE"""),46048.0)</f>
        <v>46048</v>
      </c>
      <c r="T4770" s="57">
        <f>IFERROR(__xludf.DUMMYFUNCTION("""COMPUTED_VALUE"""),46057.0)</f>
        <v>46057</v>
      </c>
    </row>
    <row r="4771">
      <c r="A4771" s="6" t="str">
        <f>IFERROR(__xludf.DUMMYFUNCTION("""COMPUTED_VALUE"""),"121703720-3")</f>
        <v>121703720-3</v>
      </c>
      <c r="B4771" s="6" t="str">
        <f>IFERROR(__xludf.DUMMYFUNCTION("""COMPUTED_VALUE"""),"121703720 - APPROVED")</f>
        <v>121703720 - APPROVED</v>
      </c>
      <c r="C4771" s="6">
        <f>IFERROR(__xludf.DUMMYFUNCTION("""COMPUTED_VALUE"""),3.0)</f>
        <v>3</v>
      </c>
      <c r="D4771" s="6" t="str">
        <f>IFERROR(__xludf.DUMMYFUNCTION("""COMPUTED_VALUE"""),"P-51793-00")</f>
        <v>P-51793-00</v>
      </c>
      <c r="E4771" s="6" t="str">
        <f>IFERROR(__xludf.DUMMYFUNCTION("""COMPUTED_VALUE"""),"General - Panel Box Uk. 20 x 30 x 15cm; No Brand; -; 1 pc")</f>
        <v>General - Panel Box Uk. 20 x 30 x 15cm; No Brand; -; 1 pc</v>
      </c>
      <c r="F4771" s="6">
        <f>IFERROR(__xludf.DUMMYFUNCTION("""COMPUTED_VALUE"""),1.0)</f>
        <v>1</v>
      </c>
      <c r="G4771" s="6" t="str">
        <f>IFERROR(__xludf.DUMMYFUNCTION("""COMPUTED_VALUE"""),"Pieces")</f>
        <v>Pieces</v>
      </c>
      <c r="H4771" s="6" t="str">
        <f>IFERROR(__xludf.DUMMYFUNCTION("""COMPUTED_VALUE"""),"IDR")</f>
        <v>IDR</v>
      </c>
      <c r="I4771" s="6">
        <f>IFERROR(__xludf.DUMMYFUNCTION("""COMPUTED_VALUE"""),185250.0)</f>
        <v>185250</v>
      </c>
      <c r="J4771" s="6">
        <f>IFERROR(__xludf.DUMMYFUNCTION("""COMPUTED_VALUE"""),185250.0)</f>
        <v>185250</v>
      </c>
      <c r="K4771" s="57">
        <f>IFERROR(__xludf.DUMMYFUNCTION("""COMPUTED_VALUE"""),46052.0)</f>
        <v>46052</v>
      </c>
      <c r="L4771" s="6" t="str">
        <f>IFERROR(__xludf.DUMMYFUNCTION("""COMPUTED_VALUE"""),"FIP General")</f>
        <v>FIP General</v>
      </c>
      <c r="M4771" s="6" t="str">
        <f>IFERROR(__xludf.DUMMYFUNCTION("""COMPUTED_VALUE"""),"Mochammad Fadhillah Hakim,")</f>
        <v>Mochammad Fadhillah Hakim,</v>
      </c>
      <c r="N4771" s="6" t="str">
        <f>IFERROR(__xludf.DUMMYFUNCTION("""COMPUTED_VALUE"""),"FIP Engineering")</f>
        <v>FIP Engineering</v>
      </c>
      <c r="O4771" s="6" t="str">
        <f>IFERROR(__xludf.DUMMYFUNCTION("""COMPUTED_VALUE"""),"FIP-DOM-ENG-51404-0000000-INA-000000")</f>
        <v>FIP-DOM-ENG-51404-0000000-INA-000000</v>
      </c>
      <c r="P4771" s="6" t="str">
        <f>IFERROR(__xludf.DUMMYFUNCTION("""COMPUTED_VALUE"""),"PO Closed")</f>
        <v>PO Closed</v>
      </c>
      <c r="Q4771" s="6" t="str">
        <f>IFERROR(__xludf.DUMMYFUNCTION("""COMPUTED_VALUE"""),"GL2601348")</f>
        <v>GL2601348</v>
      </c>
      <c r="R4771" s="57">
        <f>IFERROR(__xludf.DUMMYFUNCTION("""COMPUTED_VALUE"""),46046.0)</f>
        <v>46046</v>
      </c>
      <c r="S4771" s="57">
        <f>IFERROR(__xludf.DUMMYFUNCTION("""COMPUTED_VALUE"""),46048.0)</f>
        <v>46048</v>
      </c>
      <c r="T4771" s="57">
        <f>IFERROR(__xludf.DUMMYFUNCTION("""COMPUTED_VALUE"""),46057.0)</f>
        <v>46057</v>
      </c>
    </row>
    <row r="4772">
      <c r="A4772" s="6" t="str">
        <f>IFERROR(__xludf.DUMMYFUNCTION("""COMPUTED_VALUE"""),"121703720-4")</f>
        <v>121703720-4</v>
      </c>
      <c r="B4772" s="6" t="str">
        <f>IFERROR(__xludf.DUMMYFUNCTION("""COMPUTED_VALUE"""),"121703720 - APPROVED")</f>
        <v>121703720 - APPROVED</v>
      </c>
      <c r="C4772" s="6">
        <f>IFERROR(__xludf.DUMMYFUNCTION("""COMPUTED_VALUE"""),4.0)</f>
        <v>4</v>
      </c>
      <c r="D4772" s="6" t="str">
        <f>IFERROR(__xludf.DUMMYFUNCTION("""COMPUTED_VALUE"""),"P-51856-00")</f>
        <v>P-51856-00</v>
      </c>
      <c r="E4772" s="6" t="str">
        <f>IFERROR(__xludf.DUMMYFUNCTION("""COMPUTED_VALUE"""),"General - Key Selector Switch; Autonics; S2KR-4CK2AM; 1 pc")</f>
        <v>General - Key Selector Switch; Autonics; S2KR-4CK2AM; 1 pc</v>
      </c>
      <c r="F4772" s="6">
        <f>IFERROR(__xludf.DUMMYFUNCTION("""COMPUTED_VALUE"""),2.0)</f>
        <v>2</v>
      </c>
      <c r="G4772" s="6" t="str">
        <f>IFERROR(__xludf.DUMMYFUNCTION("""COMPUTED_VALUE"""),"Pieces")</f>
        <v>Pieces</v>
      </c>
      <c r="H4772" s="6" t="str">
        <f>IFERROR(__xludf.DUMMYFUNCTION("""COMPUTED_VALUE"""),"IDR")</f>
        <v>IDR</v>
      </c>
      <c r="I4772" s="6">
        <f>IFERROR(__xludf.DUMMYFUNCTION("""COMPUTED_VALUE"""),71700.0)</f>
        <v>71700</v>
      </c>
      <c r="J4772" s="6">
        <f>IFERROR(__xludf.DUMMYFUNCTION("""COMPUTED_VALUE"""),143400.0)</f>
        <v>143400</v>
      </c>
      <c r="K4772" s="57">
        <f>IFERROR(__xludf.DUMMYFUNCTION("""COMPUTED_VALUE"""),46048.0)</f>
        <v>46048</v>
      </c>
      <c r="L4772" s="6" t="str">
        <f>IFERROR(__xludf.DUMMYFUNCTION("""COMPUTED_VALUE"""),"FIP Engineering")</f>
        <v>FIP Engineering</v>
      </c>
      <c r="M4772" s="6" t="str">
        <f>IFERROR(__xludf.DUMMYFUNCTION("""COMPUTED_VALUE"""),"Mochammad Fadhillah Hakim,")</f>
        <v>Mochammad Fadhillah Hakim,</v>
      </c>
      <c r="N4772" s="6" t="str">
        <f>IFERROR(__xludf.DUMMYFUNCTION("""COMPUTED_VALUE"""),"FIP Engineering")</f>
        <v>FIP Engineering</v>
      </c>
      <c r="O4772" s="6" t="str">
        <f>IFERROR(__xludf.DUMMYFUNCTION("""COMPUTED_VALUE"""),"FIP-DOM-000-11304-OS00001-INA-000000")</f>
        <v>FIP-DOM-000-11304-OS00001-INA-000000</v>
      </c>
      <c r="P4772" s="6" t="str">
        <f>IFERROR(__xludf.DUMMYFUNCTION("""COMPUTED_VALUE"""),"PO Closed")</f>
        <v>PO Closed</v>
      </c>
      <c r="Q4772" s="6" t="str">
        <f>IFERROR(__xludf.DUMMYFUNCTION("""COMPUTED_VALUE"""),"GL2601348")</f>
        <v>GL2601348</v>
      </c>
      <c r="R4772" s="57">
        <f>IFERROR(__xludf.DUMMYFUNCTION("""COMPUTED_VALUE"""),46046.0)</f>
        <v>46046</v>
      </c>
      <c r="S4772" s="57">
        <f>IFERROR(__xludf.DUMMYFUNCTION("""COMPUTED_VALUE"""),46048.0)</f>
        <v>46048</v>
      </c>
      <c r="T4772" s="57">
        <f>IFERROR(__xludf.DUMMYFUNCTION("""COMPUTED_VALUE"""),46057.0)</f>
        <v>46057</v>
      </c>
    </row>
    <row r="4773">
      <c r="A4773" s="6" t="str">
        <f>IFERROR(__xludf.DUMMYFUNCTION("""COMPUTED_VALUE"""),"121703720-5")</f>
        <v>121703720-5</v>
      </c>
      <c r="B4773" s="6" t="str">
        <f>IFERROR(__xludf.DUMMYFUNCTION("""COMPUTED_VALUE"""),"121703720 - APPROVED")</f>
        <v>121703720 - APPROVED</v>
      </c>
      <c r="C4773" s="6">
        <f>IFERROR(__xludf.DUMMYFUNCTION("""COMPUTED_VALUE"""),5.0)</f>
        <v>5</v>
      </c>
      <c r="D4773" s="6" t="str">
        <f>IFERROR(__xludf.DUMMYFUNCTION("""COMPUTED_VALUE"""),"O-51967-00")</f>
        <v>O-51967-00</v>
      </c>
      <c r="E4773" s="6" t="str">
        <f>IFERROR(__xludf.DUMMYFUNCTION("""COMPUTED_VALUE"""),"General - Solid State Relay 3-32 VDC - 330 VAC 25 A; Fotek; SSR 3-32; 1 Pc")</f>
        <v>General - Solid State Relay 3-32 VDC - 330 VAC 25 A; Fotek; SSR 3-32; 1 Pc</v>
      </c>
      <c r="F4773" s="6">
        <f>IFERROR(__xludf.DUMMYFUNCTION("""COMPUTED_VALUE"""),2.0)</f>
        <v>2</v>
      </c>
      <c r="G4773" s="6" t="str">
        <f>IFERROR(__xludf.DUMMYFUNCTION("""COMPUTED_VALUE"""),"Pieces")</f>
        <v>Pieces</v>
      </c>
      <c r="H4773" s="6" t="str">
        <f>IFERROR(__xludf.DUMMYFUNCTION("""COMPUTED_VALUE"""),"IDR")</f>
        <v>IDR</v>
      </c>
      <c r="I4773" s="6">
        <f>IFERROR(__xludf.DUMMYFUNCTION("""COMPUTED_VALUE"""),390000.0)</f>
        <v>390000</v>
      </c>
      <c r="J4773" s="6">
        <f>IFERROR(__xludf.DUMMYFUNCTION("""COMPUTED_VALUE"""),780000.0)</f>
        <v>780000</v>
      </c>
      <c r="K4773" s="57">
        <f>IFERROR(__xludf.DUMMYFUNCTION("""COMPUTED_VALUE"""),46048.0)</f>
        <v>46048</v>
      </c>
      <c r="L4773" s="6" t="str">
        <f>IFERROR(__xludf.DUMMYFUNCTION("""COMPUTED_VALUE"""),"FIP Engineering")</f>
        <v>FIP Engineering</v>
      </c>
      <c r="M4773" s="6" t="str">
        <f>IFERROR(__xludf.DUMMYFUNCTION("""COMPUTED_VALUE"""),"Mochammad Fadhillah Hakim,")</f>
        <v>Mochammad Fadhillah Hakim,</v>
      </c>
      <c r="N4773" s="6" t="str">
        <f>IFERROR(__xludf.DUMMYFUNCTION("""COMPUTED_VALUE"""),"FIP Engineering")</f>
        <v>FIP Engineering</v>
      </c>
      <c r="O4773" s="6" t="str">
        <f>IFERROR(__xludf.DUMMYFUNCTION("""COMPUTED_VALUE"""),"FIP-DOM-000-11304-OS00001-INA-000000")</f>
        <v>FIP-DOM-000-11304-OS00001-INA-000000</v>
      </c>
      <c r="P4773" s="6" t="str">
        <f>IFERROR(__xludf.DUMMYFUNCTION("""COMPUTED_VALUE"""),"PO Closed")</f>
        <v>PO Closed</v>
      </c>
      <c r="Q4773" s="6" t="str">
        <f>IFERROR(__xludf.DUMMYFUNCTION("""COMPUTED_VALUE"""),"GL2601348")</f>
        <v>GL2601348</v>
      </c>
      <c r="R4773" s="57">
        <f>IFERROR(__xludf.DUMMYFUNCTION("""COMPUTED_VALUE"""),46046.0)</f>
        <v>46046</v>
      </c>
      <c r="S4773" s="57">
        <f>IFERROR(__xludf.DUMMYFUNCTION("""COMPUTED_VALUE"""),46048.0)</f>
        <v>46048</v>
      </c>
      <c r="T4773" s="57">
        <f>IFERROR(__xludf.DUMMYFUNCTION("""COMPUTED_VALUE"""),46057.0)</f>
        <v>46057</v>
      </c>
    </row>
    <row r="4774">
      <c r="A4774" s="6" t="str">
        <f>IFERROR(__xludf.DUMMYFUNCTION("""COMPUTED_VALUE"""),"121703720-6")</f>
        <v>121703720-6</v>
      </c>
      <c r="B4774" s="6" t="str">
        <f>IFERROR(__xludf.DUMMYFUNCTION("""COMPUTED_VALUE"""),"121703720 - APPROVED")</f>
        <v>121703720 - APPROVED</v>
      </c>
      <c r="C4774" s="6">
        <f>IFERROR(__xludf.DUMMYFUNCTION("""COMPUTED_VALUE"""),6.0)</f>
        <v>6</v>
      </c>
      <c r="D4774" s="6" t="str">
        <f>IFERROR(__xludf.DUMMYFUNCTION("""COMPUTED_VALUE"""),"O-50863-00")</f>
        <v>O-50863-00</v>
      </c>
      <c r="E4774" s="6" t="str">
        <f>IFERROR(__xludf.DUMMYFUNCTION("""COMPUTED_VALUE"""),"General - Relay 220-240 VAC; Omron; MY4N; 1 Pc")</f>
        <v>General - Relay 220-240 VAC; Omron; MY4N; 1 Pc</v>
      </c>
      <c r="F4774" s="6">
        <f>IFERROR(__xludf.DUMMYFUNCTION("""COMPUTED_VALUE"""),5.0)</f>
        <v>5</v>
      </c>
      <c r="G4774" s="6" t="str">
        <f>IFERROR(__xludf.DUMMYFUNCTION("""COMPUTED_VALUE"""),"Pieces")</f>
        <v>Pieces</v>
      </c>
      <c r="H4774" s="6" t="str">
        <f>IFERROR(__xludf.DUMMYFUNCTION("""COMPUTED_VALUE"""),"IDR")</f>
        <v>IDR</v>
      </c>
      <c r="I4774" s="6">
        <f>IFERROR(__xludf.DUMMYFUNCTION("""COMPUTED_VALUE"""),37000.0)</f>
        <v>37000</v>
      </c>
      <c r="J4774" s="6">
        <f>IFERROR(__xludf.DUMMYFUNCTION("""COMPUTED_VALUE"""),185000.0)</f>
        <v>185000</v>
      </c>
      <c r="K4774" s="57">
        <f>IFERROR(__xludf.DUMMYFUNCTION("""COMPUTED_VALUE"""),46048.0)</f>
        <v>46048</v>
      </c>
      <c r="L4774" s="6" t="str">
        <f>IFERROR(__xludf.DUMMYFUNCTION("""COMPUTED_VALUE"""),"FIP Engineering")</f>
        <v>FIP Engineering</v>
      </c>
      <c r="M4774" s="6" t="str">
        <f>IFERROR(__xludf.DUMMYFUNCTION("""COMPUTED_VALUE"""),"Mochammad Fadhillah Hakim,")</f>
        <v>Mochammad Fadhillah Hakim,</v>
      </c>
      <c r="N4774" s="6" t="str">
        <f>IFERROR(__xludf.DUMMYFUNCTION("""COMPUTED_VALUE"""),"FIP Engineering")</f>
        <v>FIP Engineering</v>
      </c>
      <c r="O4774" s="6" t="str">
        <f>IFERROR(__xludf.DUMMYFUNCTION("""COMPUTED_VALUE"""),"FIP-DOM-000-11304-OS00001-INA-000000")</f>
        <v>FIP-DOM-000-11304-OS00001-INA-000000</v>
      </c>
      <c r="P4774" s="6" t="str">
        <f>IFERROR(__xludf.DUMMYFUNCTION("""COMPUTED_VALUE"""),"PO Closed")</f>
        <v>PO Closed</v>
      </c>
      <c r="Q4774" s="6" t="str">
        <f>IFERROR(__xludf.DUMMYFUNCTION("""COMPUTED_VALUE"""),"GL2601348")</f>
        <v>GL2601348</v>
      </c>
      <c r="R4774" s="57">
        <f>IFERROR(__xludf.DUMMYFUNCTION("""COMPUTED_VALUE"""),46046.0)</f>
        <v>46046</v>
      </c>
      <c r="S4774" s="57">
        <f>IFERROR(__xludf.DUMMYFUNCTION("""COMPUTED_VALUE"""),46048.0)</f>
        <v>46048</v>
      </c>
      <c r="T4774" s="57">
        <f>IFERROR(__xludf.DUMMYFUNCTION("""COMPUTED_VALUE"""),46057.0)</f>
        <v>46057</v>
      </c>
    </row>
    <row r="4775">
      <c r="A4775" s="6" t="str">
        <f>IFERROR(__xludf.DUMMYFUNCTION("""COMPUTED_VALUE"""),"121703721-1")</f>
        <v>121703721-1</v>
      </c>
      <c r="B4775" s="6" t="str">
        <f>IFERROR(__xludf.DUMMYFUNCTION("""COMPUTED_VALUE"""),"121703721 - APPROVED")</f>
        <v>121703721 - APPROVED</v>
      </c>
      <c r="C4775" s="6">
        <f>IFERROR(__xludf.DUMMYFUNCTION("""COMPUTED_VALUE"""),1.0)</f>
        <v>1</v>
      </c>
      <c r="D4775" s="6" t="str">
        <f>IFERROR(__xludf.DUMMYFUNCTION("""COMPUTED_VALUE"""),"S-51937-00")</f>
        <v>S-51937-00</v>
      </c>
      <c r="E4775" s="6" t="str">
        <f>IFERROR(__xludf.DUMMYFUNCTION("""COMPUTED_VALUE"""),"Lid for Desicator, with Stopcock, dor ID 200mm; Normax; 4906324; pieces")</f>
        <v>Lid for Desicator, with Stopcock, dor ID 200mm; Normax; 4906324; pieces</v>
      </c>
      <c r="F4775" s="6">
        <f>IFERROR(__xludf.DUMMYFUNCTION("""COMPUTED_VALUE"""),1.0)</f>
        <v>1</v>
      </c>
      <c r="G4775" s="6" t="str">
        <f>IFERROR(__xludf.DUMMYFUNCTION("""COMPUTED_VALUE"""),"Pieces")</f>
        <v>Pieces</v>
      </c>
      <c r="H4775" s="6" t="str">
        <f>IFERROR(__xludf.DUMMYFUNCTION("""COMPUTED_VALUE"""),"IDR")</f>
        <v>IDR</v>
      </c>
      <c r="I4775" s="6">
        <f>IFERROR(__xludf.DUMMYFUNCTION("""COMPUTED_VALUE"""),1297500.0)</f>
        <v>1297500</v>
      </c>
      <c r="J4775" s="6">
        <f>IFERROR(__xludf.DUMMYFUNCTION("""COMPUTED_VALUE"""),1297500.0)</f>
        <v>1297500</v>
      </c>
      <c r="K4775" s="57">
        <f>IFERROR(__xludf.DUMMYFUNCTION("""COMPUTED_VALUE"""),46080.0)</f>
        <v>46080</v>
      </c>
      <c r="L4775" s="6" t="str">
        <f>IFERROR(__xludf.DUMMYFUNCTION("""COMPUTED_VALUE"""),"FIP General")</f>
        <v>FIP General</v>
      </c>
      <c r="M4775" s="6" t="str">
        <f>IFERROR(__xludf.DUMMYFUNCTION("""COMPUTED_VALUE"""),"Mochammad Fadhillah Hakim,")</f>
        <v>Mochammad Fadhillah Hakim,</v>
      </c>
      <c r="N4775" s="6" t="str">
        <f>IFERROR(__xludf.DUMMYFUNCTION("""COMPUTED_VALUE"""),"FIP Engineering")</f>
        <v>FIP Engineering</v>
      </c>
      <c r="O4775" s="6" t="str">
        <f>IFERROR(__xludf.DUMMYFUNCTION("""COMPUTED_VALUE"""),"FIP-DOM-ENG-51505-0000000-INA-000000")</f>
        <v>FIP-DOM-ENG-51505-0000000-INA-000000</v>
      </c>
      <c r="P4775" s="6" t="str">
        <f>IFERROR(__xludf.DUMMYFUNCTION("""COMPUTED_VALUE"""),"PO Closed")</f>
        <v>PO Closed</v>
      </c>
      <c r="Q4775" s="6" t="str">
        <f>IFERROR(__xludf.DUMMYFUNCTION("""COMPUTED_VALUE"""),"GL2602396")</f>
        <v>GL2602396</v>
      </c>
      <c r="R4775" s="57">
        <f>IFERROR(__xludf.DUMMYFUNCTION("""COMPUTED_VALUE"""),46048.0)</f>
        <v>46048</v>
      </c>
      <c r="S4775" s="57">
        <f>IFERROR(__xludf.DUMMYFUNCTION("""COMPUTED_VALUE"""),46052.0)</f>
        <v>46052</v>
      </c>
      <c r="T4775" s="57">
        <f>IFERROR(__xludf.DUMMYFUNCTION("""COMPUTED_VALUE"""),46090.0)</f>
        <v>46090</v>
      </c>
    </row>
    <row r="4776">
      <c r="A4776" s="6" t="str">
        <f>IFERROR(__xludf.DUMMYFUNCTION("""COMPUTED_VALUE"""),"121703722-1")</f>
        <v>121703722-1</v>
      </c>
      <c r="B4776" s="6" t="str">
        <f>IFERROR(__xludf.DUMMYFUNCTION("""COMPUTED_VALUE"""),"121703722 - APPROVED")</f>
        <v>121703722 - APPROVED</v>
      </c>
      <c r="C4776" s="6">
        <f>IFERROR(__xludf.DUMMYFUNCTION("""COMPUTED_VALUE"""),1.0)</f>
        <v>1</v>
      </c>
      <c r="D4776" s="6" t="str">
        <f>IFERROR(__xludf.DUMMYFUNCTION("""COMPUTED_VALUE"""),"T-80635-00")</f>
        <v>T-80635-00</v>
      </c>
      <c r="E4776" s="6" t="str">
        <f>IFERROR(__xludf.DUMMYFUNCTION("""COMPUTED_VALUE"""),"Kertas HVS Putih A4 70 gram;")</f>
        <v>Kertas HVS Putih A4 70 gram;</v>
      </c>
      <c r="F4776" s="6">
        <f>IFERROR(__xludf.DUMMYFUNCTION("""COMPUTED_VALUE"""),15.0)</f>
        <v>15</v>
      </c>
      <c r="G4776" s="6" t="str">
        <f>IFERROR(__xludf.DUMMYFUNCTION("""COMPUTED_VALUE"""),"Rim")</f>
        <v>Rim</v>
      </c>
      <c r="H4776" s="6" t="str">
        <f>IFERROR(__xludf.DUMMYFUNCTION("""COMPUTED_VALUE"""),"IDR")</f>
        <v>IDR</v>
      </c>
      <c r="I4776" s="6">
        <f>IFERROR(__xludf.DUMMYFUNCTION("""COMPUTED_VALUE"""),33000.0)</f>
        <v>33000</v>
      </c>
      <c r="J4776" s="6">
        <f>IFERROR(__xludf.DUMMYFUNCTION("""COMPUTED_VALUE"""),495000.0)</f>
        <v>495000</v>
      </c>
      <c r="K4776" s="57">
        <f>IFERROR(__xludf.DUMMYFUNCTION("""COMPUTED_VALUE"""),46080.0)</f>
        <v>46080</v>
      </c>
      <c r="L4776" s="6" t="str">
        <f>IFERROR(__xludf.DUMMYFUNCTION("""COMPUTED_VALUE"""),"FIP General")</f>
        <v>FIP General</v>
      </c>
      <c r="M4776" s="6" t="str">
        <f>IFERROR(__xludf.DUMMYFUNCTION("""COMPUTED_VALUE"""),"Mochammad Fadhillah Hakim,")</f>
        <v>Mochammad Fadhillah Hakim,</v>
      </c>
      <c r="N4776" s="6" t="str">
        <f>IFERROR(__xludf.DUMMYFUNCTION("""COMPUTED_VALUE"""),"FIP Engineering")</f>
        <v>FIP Engineering</v>
      </c>
      <c r="O4776" s="6" t="str">
        <f>IFERROR(__xludf.DUMMYFUNCTION("""COMPUTED_VALUE"""),"FIP-DOM-ENG-51411-0000000-INA-000000")</f>
        <v>FIP-DOM-ENG-51411-0000000-INA-000000</v>
      </c>
      <c r="P4776" s="6" t="str">
        <f>IFERROR(__xludf.DUMMYFUNCTION("""COMPUTED_VALUE"""),"PO Closed")</f>
        <v>PO Closed</v>
      </c>
      <c r="Q4776" s="6" t="str">
        <f>IFERROR(__xludf.DUMMYFUNCTION("""COMPUTED_VALUE"""),"GL2602397")</f>
        <v>GL2602397</v>
      </c>
      <c r="R4776" s="57">
        <f>IFERROR(__xludf.DUMMYFUNCTION("""COMPUTED_VALUE"""),46048.0)</f>
        <v>46048</v>
      </c>
      <c r="S4776" s="57">
        <f>IFERROR(__xludf.DUMMYFUNCTION("""COMPUTED_VALUE"""),46048.0)</f>
        <v>46048</v>
      </c>
      <c r="T4776" s="57">
        <f>IFERROR(__xludf.DUMMYFUNCTION("""COMPUTED_VALUE"""),46080.0)</f>
        <v>46080</v>
      </c>
    </row>
    <row r="4777">
      <c r="A4777" s="6" t="str">
        <f>IFERROR(__xludf.DUMMYFUNCTION("""COMPUTED_VALUE"""),"121703722-2")</f>
        <v>121703722-2</v>
      </c>
      <c r="B4777" s="6" t="str">
        <f>IFERROR(__xludf.DUMMYFUNCTION("""COMPUTED_VALUE"""),"121703722 - APPROVED")</f>
        <v>121703722 - APPROVED</v>
      </c>
      <c r="C4777" s="6">
        <f>IFERROR(__xludf.DUMMYFUNCTION("""COMPUTED_VALUE"""),2.0)</f>
        <v>2</v>
      </c>
      <c r="D4777" s="6" t="str">
        <f>IFERROR(__xludf.DUMMYFUNCTION("""COMPUTED_VALUE"""),"T-80028-00")</f>
        <v>T-80028-00</v>
      </c>
      <c r="E4777" s="6" t="str">
        <f>IFERROR(__xludf.DUMMYFUNCTION("""COMPUTED_VALUE"""),"Pena Hitam; Snowman V1; pc - Ballpoint Snowman V5 BIRU")</f>
        <v>Pena Hitam; Snowman V1; pc - Ballpoint Snowman V5 BIRU</v>
      </c>
      <c r="F4777" s="6">
        <f>IFERROR(__xludf.DUMMYFUNCTION("""COMPUTED_VALUE"""),20.0)</f>
        <v>20</v>
      </c>
      <c r="G4777" s="6" t="str">
        <f>IFERROR(__xludf.DUMMYFUNCTION("""COMPUTED_VALUE"""),"Pieces")</f>
        <v>Pieces</v>
      </c>
      <c r="H4777" s="6" t="str">
        <f>IFERROR(__xludf.DUMMYFUNCTION("""COMPUTED_VALUE"""),"IDR")</f>
        <v>IDR</v>
      </c>
      <c r="I4777" s="6">
        <f>IFERROR(__xludf.DUMMYFUNCTION("""COMPUTED_VALUE"""),1750.0)</f>
        <v>1750</v>
      </c>
      <c r="J4777" s="6">
        <f>IFERROR(__xludf.DUMMYFUNCTION("""COMPUTED_VALUE"""),35000.0)</f>
        <v>35000</v>
      </c>
      <c r="K4777" s="57">
        <f>IFERROR(__xludf.DUMMYFUNCTION("""COMPUTED_VALUE"""),46080.0)</f>
        <v>46080</v>
      </c>
      <c r="L4777" s="6" t="str">
        <f>IFERROR(__xludf.DUMMYFUNCTION("""COMPUTED_VALUE"""),"FIP General")</f>
        <v>FIP General</v>
      </c>
      <c r="M4777" s="6" t="str">
        <f>IFERROR(__xludf.DUMMYFUNCTION("""COMPUTED_VALUE"""),"Mochammad Fadhillah Hakim,")</f>
        <v>Mochammad Fadhillah Hakim,</v>
      </c>
      <c r="N4777" s="6" t="str">
        <f>IFERROR(__xludf.DUMMYFUNCTION("""COMPUTED_VALUE"""),"FIP Engineering")</f>
        <v>FIP Engineering</v>
      </c>
      <c r="O4777" s="6" t="str">
        <f>IFERROR(__xludf.DUMMYFUNCTION("""COMPUTED_VALUE"""),"FIP-DOM-ENG-51411-0000000-INA-000000")</f>
        <v>FIP-DOM-ENG-51411-0000000-INA-000000</v>
      </c>
      <c r="P4777" s="6" t="str">
        <f>IFERROR(__xludf.DUMMYFUNCTION("""COMPUTED_VALUE"""),"PO Closed")</f>
        <v>PO Closed</v>
      </c>
      <c r="Q4777" s="6" t="str">
        <f>IFERROR(__xludf.DUMMYFUNCTION("""COMPUTED_VALUE"""),"GL2602026")</f>
        <v>GL2602026</v>
      </c>
      <c r="R4777" s="57">
        <f>IFERROR(__xludf.DUMMYFUNCTION("""COMPUTED_VALUE"""),46048.0)</f>
        <v>46048</v>
      </c>
      <c r="S4777" s="57">
        <f>IFERROR(__xludf.DUMMYFUNCTION("""COMPUTED_VALUE"""),46048.0)</f>
        <v>46048</v>
      </c>
      <c r="T4777" s="57">
        <f>IFERROR(__xludf.DUMMYFUNCTION("""COMPUTED_VALUE"""),46099.0)</f>
        <v>46099</v>
      </c>
    </row>
    <row r="4778">
      <c r="A4778" s="6" t="str">
        <f>IFERROR(__xludf.DUMMYFUNCTION("""COMPUTED_VALUE"""),"121703724-1")</f>
        <v>121703724-1</v>
      </c>
      <c r="B4778" s="6" t="str">
        <f>IFERROR(__xludf.DUMMYFUNCTION("""COMPUTED_VALUE"""),"121703724 - APPROVED")</f>
        <v>121703724 - APPROVED</v>
      </c>
      <c r="C4778" s="6">
        <f>IFERROR(__xludf.DUMMYFUNCTION("""COMPUTED_VALUE"""),1.0)</f>
        <v>1</v>
      </c>
      <c r="D4778" s="6" t="str">
        <f>IFERROR(__xludf.DUMMYFUNCTION("""COMPUTED_VALUE"""),"P-11175-00")</f>
        <v>P-11175-00</v>
      </c>
      <c r="E4778" s="6" t="str">
        <f>IFERROR(__xludf.DUMMYFUNCTION("""COMPUTED_VALUE"""),"Pneumatic  Fitting - QS 10-8 / PN : 153039 / Festo")</f>
        <v>Pneumatic  Fitting - QS 10-8 / PN : 153039 / Festo</v>
      </c>
      <c r="F4778" s="6">
        <f>IFERROR(__xludf.DUMMYFUNCTION("""COMPUTED_VALUE"""),10.0)</f>
        <v>10</v>
      </c>
      <c r="G4778" s="6" t="str">
        <f>IFERROR(__xludf.DUMMYFUNCTION("""COMPUTED_VALUE"""),"Pieces")</f>
        <v>Pieces</v>
      </c>
      <c r="H4778" s="6" t="str">
        <f>IFERROR(__xludf.DUMMYFUNCTION("""COMPUTED_VALUE"""),"IDR")</f>
        <v>IDR</v>
      </c>
      <c r="I4778" s="6">
        <f>IFERROR(__xludf.DUMMYFUNCTION("""COMPUTED_VALUE"""),63220.0)</f>
        <v>63220</v>
      </c>
      <c r="J4778" s="6">
        <f>IFERROR(__xludf.DUMMYFUNCTION("""COMPUTED_VALUE"""),632200.0)</f>
        <v>632200</v>
      </c>
      <c r="K4778" s="57">
        <f>IFERROR(__xludf.DUMMYFUNCTION("""COMPUTED_VALUE"""),46080.0)</f>
        <v>46080</v>
      </c>
      <c r="L4778" s="6" t="str">
        <f>IFERROR(__xludf.DUMMYFUNCTION("""COMPUTED_VALUE"""),"FIP Engineering")</f>
        <v>FIP Engineering</v>
      </c>
      <c r="M4778" s="6" t="str">
        <f>IFERROR(__xludf.DUMMYFUNCTION("""COMPUTED_VALUE"""),"Mochammad Fadhillah Hakim,")</f>
        <v>Mochammad Fadhillah Hakim,</v>
      </c>
      <c r="N4778" s="6" t="str">
        <f>IFERROR(__xludf.DUMMYFUNCTION("""COMPUTED_VALUE"""),"FIP Engineering")</f>
        <v>FIP Engineering</v>
      </c>
      <c r="O4778" s="6" t="str">
        <f>IFERROR(__xludf.DUMMYFUNCTION("""COMPUTED_VALUE"""),"FIP-DOM-000-11304-OS00001-INA-000000")</f>
        <v>FIP-DOM-000-11304-OS00001-INA-000000</v>
      </c>
      <c r="P4778" s="6" t="str">
        <f>IFERROR(__xludf.DUMMYFUNCTION("""COMPUTED_VALUE"""),"PO Closed")</f>
        <v>PO Closed</v>
      </c>
      <c r="Q4778" s="6" t="str">
        <f>IFERROR(__xludf.DUMMYFUNCTION("""COMPUTED_VALUE"""),"GL2607381")</f>
        <v>GL2607381</v>
      </c>
      <c r="R4778" s="57">
        <f>IFERROR(__xludf.DUMMYFUNCTION("""COMPUTED_VALUE"""),46048.0)</f>
        <v>46048</v>
      </c>
      <c r="S4778" s="57">
        <f>IFERROR(__xludf.DUMMYFUNCTION("""COMPUTED_VALUE"""),46048.0)</f>
        <v>46048</v>
      </c>
      <c r="T4778" s="57">
        <f>IFERROR(__xludf.DUMMYFUNCTION("""COMPUTED_VALUE"""),46264.0)</f>
        <v>46264</v>
      </c>
    </row>
    <row r="4779">
      <c r="A4779" s="6" t="str">
        <f>IFERROR(__xludf.DUMMYFUNCTION("""COMPUTED_VALUE"""),"121703725-1")</f>
        <v>121703725-1</v>
      </c>
      <c r="B4779" s="6" t="str">
        <f>IFERROR(__xludf.DUMMYFUNCTION("""COMPUTED_VALUE"""),"121703725 - APPROVED")</f>
        <v>121703725 - APPROVED</v>
      </c>
      <c r="C4779" s="6">
        <f>IFERROR(__xludf.DUMMYFUNCTION("""COMPUTED_VALUE"""),1.0)</f>
        <v>1</v>
      </c>
      <c r="D4779" s="6" t="str">
        <f>IFERROR(__xludf.DUMMYFUNCTION("""COMPUTED_VALUE"""),"P-50274-00")</f>
        <v>P-50274-00</v>
      </c>
      <c r="E4779" s="6" t="str">
        <f>IFERROR(__xludf.DUMMYFUNCTION("""COMPUTED_VALUE"""),"General - Kabel NYAF Uk. 1 x 0.75mm, Warna Merah; SUPREME; -; 1 meter")</f>
        <v>General - Kabel NYAF Uk. 1 x 0.75mm, Warna Merah; SUPREME; -; 1 meter</v>
      </c>
      <c r="F4779" s="6">
        <f>IFERROR(__xludf.DUMMYFUNCTION("""COMPUTED_VALUE"""),50.0)</f>
        <v>50</v>
      </c>
      <c r="G4779" s="6" t="str">
        <f>IFERROR(__xludf.DUMMYFUNCTION("""COMPUTED_VALUE"""),"Pieces")</f>
        <v>Pieces</v>
      </c>
      <c r="H4779" s="6" t="str">
        <f>IFERROR(__xludf.DUMMYFUNCTION("""COMPUTED_VALUE"""),"IDR")</f>
        <v>IDR</v>
      </c>
      <c r="I4779" s="6">
        <f>IFERROR(__xludf.DUMMYFUNCTION("""COMPUTED_VALUE"""),5000.0)</f>
        <v>5000</v>
      </c>
      <c r="J4779" s="6">
        <f>IFERROR(__xludf.DUMMYFUNCTION("""COMPUTED_VALUE"""),250000.0)</f>
        <v>250000</v>
      </c>
      <c r="K4779" s="57">
        <f>IFERROR(__xludf.DUMMYFUNCTION("""COMPUTED_VALUE"""),46080.0)</f>
        <v>46080</v>
      </c>
      <c r="L4779" s="6" t="str">
        <f>IFERROR(__xludf.DUMMYFUNCTION("""COMPUTED_VALUE"""),"FIP Engineering")</f>
        <v>FIP Engineering</v>
      </c>
      <c r="M4779" s="6" t="str">
        <f>IFERROR(__xludf.DUMMYFUNCTION("""COMPUTED_VALUE"""),"Mochammad Fadhillah Hakim,")</f>
        <v>Mochammad Fadhillah Hakim,</v>
      </c>
      <c r="N4779" s="6" t="str">
        <f>IFERROR(__xludf.DUMMYFUNCTION("""COMPUTED_VALUE"""),"FIP Engineering")</f>
        <v>FIP Engineering</v>
      </c>
      <c r="O4779" s="6" t="str">
        <f>IFERROR(__xludf.DUMMYFUNCTION("""COMPUTED_VALUE"""),"FIP-DOM-000-11304-OS00001-INA-000000")</f>
        <v>FIP-DOM-000-11304-OS00001-INA-000000</v>
      </c>
      <c r="P4779" s="6" t="str">
        <f>IFERROR(__xludf.DUMMYFUNCTION("""COMPUTED_VALUE"""),"PO Closed")</f>
        <v>PO Closed</v>
      </c>
      <c r="Q4779" s="6" t="str">
        <f>IFERROR(__xludf.DUMMYFUNCTION("""COMPUTED_VALUE"""),"GL2603431")</f>
        <v>GL2603431</v>
      </c>
      <c r="R4779" s="57">
        <f>IFERROR(__xludf.DUMMYFUNCTION("""COMPUTED_VALUE"""),46048.0)</f>
        <v>46048</v>
      </c>
      <c r="S4779" s="57">
        <f>IFERROR(__xludf.DUMMYFUNCTION("""COMPUTED_VALUE"""),46048.0)</f>
        <v>46048</v>
      </c>
      <c r="T4779" s="57">
        <f>IFERROR(__xludf.DUMMYFUNCTION("""COMPUTED_VALUE"""),46114.0)</f>
        <v>46114</v>
      </c>
    </row>
    <row r="4780">
      <c r="A4780" s="6" t="str">
        <f>IFERROR(__xludf.DUMMYFUNCTION("""COMPUTED_VALUE"""),"121703725-2")</f>
        <v>121703725-2</v>
      </c>
      <c r="B4780" s="6" t="str">
        <f>IFERROR(__xludf.DUMMYFUNCTION("""COMPUTED_VALUE"""),"121703725 - APPROVED")</f>
        <v>121703725 - APPROVED</v>
      </c>
      <c r="C4780" s="6">
        <f>IFERROR(__xludf.DUMMYFUNCTION("""COMPUTED_VALUE"""),2.0)</f>
        <v>2</v>
      </c>
      <c r="D4780" s="6" t="str">
        <f>IFERROR(__xludf.DUMMYFUNCTION("""COMPUTED_VALUE"""),"P-51704-00")</f>
        <v>P-51704-00</v>
      </c>
      <c r="E4780" s="6" t="str">
        <f>IFERROR(__xludf.DUMMYFUNCTION("""COMPUTED_VALUE"""),"Terminal Krustin 6 Terminal; ; ;")</f>
        <v>Terminal Krustin 6 Terminal; ; ;</v>
      </c>
      <c r="F4780" s="6">
        <f>IFERROR(__xludf.DUMMYFUNCTION("""COMPUTED_VALUE"""),10.0)</f>
        <v>10</v>
      </c>
      <c r="G4780" s="6" t="str">
        <f>IFERROR(__xludf.DUMMYFUNCTION("""COMPUTED_VALUE"""),"Pieces")</f>
        <v>Pieces</v>
      </c>
      <c r="H4780" s="6" t="str">
        <f>IFERROR(__xludf.DUMMYFUNCTION("""COMPUTED_VALUE"""),"IDR")</f>
        <v>IDR</v>
      </c>
      <c r="I4780" s="6">
        <f>IFERROR(__xludf.DUMMYFUNCTION("""COMPUTED_VALUE"""),18000.0)</f>
        <v>18000</v>
      </c>
      <c r="J4780" s="6">
        <f>IFERROR(__xludf.DUMMYFUNCTION("""COMPUTED_VALUE"""),180000.0)</f>
        <v>180000</v>
      </c>
      <c r="K4780" s="57">
        <f>IFERROR(__xludf.DUMMYFUNCTION("""COMPUTED_VALUE"""),46080.0)</f>
        <v>46080</v>
      </c>
      <c r="L4780" s="6" t="str">
        <f>IFERROR(__xludf.DUMMYFUNCTION("""COMPUTED_VALUE"""),"FIP Engineering")</f>
        <v>FIP Engineering</v>
      </c>
      <c r="M4780" s="6" t="str">
        <f>IFERROR(__xludf.DUMMYFUNCTION("""COMPUTED_VALUE"""),"Mochammad Fadhillah Hakim,")</f>
        <v>Mochammad Fadhillah Hakim,</v>
      </c>
      <c r="N4780" s="6" t="str">
        <f>IFERROR(__xludf.DUMMYFUNCTION("""COMPUTED_VALUE"""),"FIP Engineering")</f>
        <v>FIP Engineering</v>
      </c>
      <c r="O4780" s="6" t="str">
        <f>IFERROR(__xludf.DUMMYFUNCTION("""COMPUTED_VALUE"""),"FIP-DOM-000-11304-OS00001-INA-000000")</f>
        <v>FIP-DOM-000-11304-OS00001-INA-000000</v>
      </c>
      <c r="P4780" s="6" t="str">
        <f>IFERROR(__xludf.DUMMYFUNCTION("""COMPUTED_VALUE"""),"PO Closed")</f>
        <v>PO Closed</v>
      </c>
      <c r="Q4780" s="6" t="str">
        <f>IFERROR(__xludf.DUMMYFUNCTION("""COMPUTED_VALUE"""),"GL2603434")</f>
        <v>GL2603434</v>
      </c>
      <c r="R4780" s="57">
        <f>IFERROR(__xludf.DUMMYFUNCTION("""COMPUTED_VALUE"""),46048.0)</f>
        <v>46048</v>
      </c>
      <c r="S4780" s="57">
        <f>IFERROR(__xludf.DUMMYFUNCTION("""COMPUTED_VALUE"""),46048.0)</f>
        <v>46048</v>
      </c>
      <c r="T4780" s="57">
        <f>IFERROR(__xludf.DUMMYFUNCTION("""COMPUTED_VALUE"""),46080.0)</f>
        <v>46080</v>
      </c>
    </row>
    <row r="4781">
      <c r="A4781" s="6" t="str">
        <f>IFERROR(__xludf.DUMMYFUNCTION("""COMPUTED_VALUE"""),"121703726-1")</f>
        <v>121703726-1</v>
      </c>
      <c r="B4781" s="6" t="str">
        <f>IFERROR(__xludf.DUMMYFUNCTION("""COMPUTED_VALUE"""),"121703726 - APPROVED")</f>
        <v>121703726 - APPROVED</v>
      </c>
      <c r="C4781" s="6">
        <f>IFERROR(__xludf.DUMMYFUNCTION("""COMPUTED_VALUE"""),1.0)</f>
        <v>1</v>
      </c>
      <c r="D4781" s="6" t="str">
        <f>IFERROR(__xludf.DUMMYFUNCTION("""COMPUTED_VALUE"""),"O-51850-00")</f>
        <v>O-51850-00</v>
      </c>
      <c r="E4781" s="6" t="str">
        <f>IFERROR(__xludf.DUMMYFUNCTION("""COMPUTED_VALUE"""),"General - Power Supply 220 VAC 12 VDC, 3 Ampere; -; -; 1 Pc")</f>
        <v>General - Power Supply 220 VAC 12 VDC, 3 Ampere; -; -; 1 Pc</v>
      </c>
      <c r="F4781" s="6">
        <f>IFERROR(__xludf.DUMMYFUNCTION("""COMPUTED_VALUE"""),3.0)</f>
        <v>3</v>
      </c>
      <c r="G4781" s="6" t="str">
        <f>IFERROR(__xludf.DUMMYFUNCTION("""COMPUTED_VALUE"""),"Pieces")</f>
        <v>Pieces</v>
      </c>
      <c r="H4781" s="6" t="str">
        <f>IFERROR(__xludf.DUMMYFUNCTION("""COMPUTED_VALUE"""),"IDR")</f>
        <v>IDR</v>
      </c>
      <c r="I4781" s="6">
        <f>IFERROR(__xludf.DUMMYFUNCTION("""COMPUTED_VALUE"""),112500.0)</f>
        <v>112500</v>
      </c>
      <c r="J4781" s="6">
        <f>IFERROR(__xludf.DUMMYFUNCTION("""COMPUTED_VALUE"""),337500.0)</f>
        <v>337500</v>
      </c>
      <c r="K4781" s="57">
        <f>IFERROR(__xludf.DUMMYFUNCTION("""COMPUTED_VALUE"""),46080.0)</f>
        <v>46080</v>
      </c>
      <c r="L4781" s="6" t="str">
        <f>IFERROR(__xludf.DUMMYFUNCTION("""COMPUTED_VALUE"""),"FIP Engineering")</f>
        <v>FIP Engineering</v>
      </c>
      <c r="M4781" s="6" t="str">
        <f>IFERROR(__xludf.DUMMYFUNCTION("""COMPUTED_VALUE"""),"Mochammad Fadhillah Hakim,")</f>
        <v>Mochammad Fadhillah Hakim,</v>
      </c>
      <c r="N4781" s="6" t="str">
        <f>IFERROR(__xludf.DUMMYFUNCTION("""COMPUTED_VALUE"""),"FIP Engineering")</f>
        <v>FIP Engineering</v>
      </c>
      <c r="O4781" s="6" t="str">
        <f>IFERROR(__xludf.DUMMYFUNCTION("""COMPUTED_VALUE"""),"FIP-DOM-000-11304-OS00001-INA-000000")</f>
        <v>FIP-DOM-000-11304-OS00001-INA-000000</v>
      </c>
      <c r="P4781" s="6" t="str">
        <f>IFERROR(__xludf.DUMMYFUNCTION("""COMPUTED_VALUE"""),"PO Closed")</f>
        <v>PO Closed</v>
      </c>
      <c r="Q4781" s="6" t="str">
        <f>IFERROR(__xludf.DUMMYFUNCTION("""COMPUTED_VALUE"""),"GL2602413")</f>
        <v>GL2602413</v>
      </c>
      <c r="R4781" s="57">
        <f>IFERROR(__xludf.DUMMYFUNCTION("""COMPUTED_VALUE"""),46048.0)</f>
        <v>46048</v>
      </c>
      <c r="S4781" s="57">
        <f>IFERROR(__xludf.DUMMYFUNCTION("""COMPUTED_VALUE"""),46048.0)</f>
        <v>46048</v>
      </c>
      <c r="T4781" s="57">
        <f>IFERROR(__xludf.DUMMYFUNCTION("""COMPUTED_VALUE"""),46115.0)</f>
        <v>46115</v>
      </c>
    </row>
    <row r="4782">
      <c r="A4782" s="6" t="str">
        <f>IFERROR(__xludf.DUMMYFUNCTION("""COMPUTED_VALUE"""),"121703726-2")</f>
        <v>121703726-2</v>
      </c>
      <c r="B4782" s="6" t="str">
        <f>IFERROR(__xludf.DUMMYFUNCTION("""COMPUTED_VALUE"""),"121703726 - APPROVED")</f>
        <v>121703726 - APPROVED</v>
      </c>
      <c r="C4782" s="6">
        <f>IFERROR(__xludf.DUMMYFUNCTION("""COMPUTED_VALUE"""),2.0)</f>
        <v>2</v>
      </c>
      <c r="D4782" s="6" t="str">
        <f>IFERROR(__xludf.DUMMYFUNCTION("""COMPUTED_VALUE"""),"O-54008-00")</f>
        <v>O-54008-00</v>
      </c>
      <c r="E4782" s="6" t="str">
        <f>IFERROR(__xludf.DUMMYFUNCTION("""COMPUTED_VALUE"""),"General - MCB 1 PHASE 25 AMPERE; Schneider; -; 1 Pc")</f>
        <v>General - MCB 1 PHASE 25 AMPERE; Schneider; -; 1 Pc</v>
      </c>
      <c r="F4782" s="6">
        <f>IFERROR(__xludf.DUMMYFUNCTION("""COMPUTED_VALUE"""),5.0)</f>
        <v>5</v>
      </c>
      <c r="G4782" s="6" t="str">
        <f>IFERROR(__xludf.DUMMYFUNCTION("""COMPUTED_VALUE"""),"Pieces")</f>
        <v>Pieces</v>
      </c>
      <c r="H4782" s="6" t="str">
        <f>IFERROR(__xludf.DUMMYFUNCTION("""COMPUTED_VALUE"""),"IDR")</f>
        <v>IDR</v>
      </c>
      <c r="I4782" s="6">
        <f>IFERROR(__xludf.DUMMYFUNCTION("""COMPUTED_VALUE"""),150000.0)</f>
        <v>150000</v>
      </c>
      <c r="J4782" s="6">
        <f>IFERROR(__xludf.DUMMYFUNCTION("""COMPUTED_VALUE"""),750000.0)</f>
        <v>750000</v>
      </c>
      <c r="K4782" s="57">
        <f>IFERROR(__xludf.DUMMYFUNCTION("""COMPUTED_VALUE"""),46080.0)</f>
        <v>46080</v>
      </c>
      <c r="L4782" s="6" t="str">
        <f>IFERROR(__xludf.DUMMYFUNCTION("""COMPUTED_VALUE"""),"FIP Engineering")</f>
        <v>FIP Engineering</v>
      </c>
      <c r="M4782" s="6" t="str">
        <f>IFERROR(__xludf.DUMMYFUNCTION("""COMPUTED_VALUE"""),"Mochammad Fadhillah Hakim,")</f>
        <v>Mochammad Fadhillah Hakim,</v>
      </c>
      <c r="N4782" s="6" t="str">
        <f>IFERROR(__xludf.DUMMYFUNCTION("""COMPUTED_VALUE"""),"FIP Engineering")</f>
        <v>FIP Engineering</v>
      </c>
      <c r="O4782" s="6" t="str">
        <f>IFERROR(__xludf.DUMMYFUNCTION("""COMPUTED_VALUE"""),"FIP-DOM-000-11304-OS00001-INA-000000")</f>
        <v>FIP-DOM-000-11304-OS00001-INA-000000</v>
      </c>
      <c r="P4782" s="6" t="str">
        <f>IFERROR(__xludf.DUMMYFUNCTION("""COMPUTED_VALUE"""),"PO Closed")</f>
        <v>PO Closed</v>
      </c>
      <c r="Q4782" s="6" t="str">
        <f>IFERROR(__xludf.DUMMYFUNCTION("""COMPUTED_VALUE"""),"GL2602414")</f>
        <v>GL2602414</v>
      </c>
      <c r="R4782" s="57">
        <f>IFERROR(__xludf.DUMMYFUNCTION("""COMPUTED_VALUE"""),46048.0)</f>
        <v>46048</v>
      </c>
      <c r="S4782" s="57">
        <f>IFERROR(__xludf.DUMMYFUNCTION("""COMPUTED_VALUE"""),46048.0)</f>
        <v>46048</v>
      </c>
      <c r="T4782" s="57">
        <f>IFERROR(__xludf.DUMMYFUNCTION("""COMPUTED_VALUE"""),46123.0)</f>
        <v>46123</v>
      </c>
    </row>
    <row r="4783">
      <c r="A4783" s="6" t="str">
        <f>IFERROR(__xludf.DUMMYFUNCTION("""COMPUTED_VALUE"""),"121703726-3")</f>
        <v>121703726-3</v>
      </c>
      <c r="B4783" s="6" t="str">
        <f>IFERROR(__xludf.DUMMYFUNCTION("""COMPUTED_VALUE"""),"121703726 - APPROVED")</f>
        <v>121703726 - APPROVED</v>
      </c>
      <c r="C4783" s="6">
        <f>IFERROR(__xludf.DUMMYFUNCTION("""COMPUTED_VALUE"""),3.0)</f>
        <v>3</v>
      </c>
      <c r="D4783" s="6" t="str">
        <f>IFERROR(__xludf.DUMMYFUNCTION("""COMPUTED_VALUE"""),"O-54137-00")</f>
        <v>O-54137-00</v>
      </c>
      <c r="E4783" s="6" t="str">
        <f>IFERROR(__xludf.DUMMYFUNCTION("""COMPUTED_VALUE"""),"General - Terminal Block, 6 mm; Fort; -; 1 pcs")</f>
        <v>General - Terminal Block, 6 mm; Fort; -; 1 pcs</v>
      </c>
      <c r="F4783" s="6">
        <f>IFERROR(__xludf.DUMMYFUNCTION("""COMPUTED_VALUE"""),10.0)</f>
        <v>10</v>
      </c>
      <c r="G4783" s="6" t="str">
        <f>IFERROR(__xludf.DUMMYFUNCTION("""COMPUTED_VALUE"""),"Pieces")</f>
        <v>Pieces</v>
      </c>
      <c r="H4783" s="6" t="str">
        <f>IFERROR(__xludf.DUMMYFUNCTION("""COMPUTED_VALUE"""),"IDR")</f>
        <v>IDR</v>
      </c>
      <c r="I4783" s="6">
        <f>IFERROR(__xludf.DUMMYFUNCTION("""COMPUTED_VALUE"""),7000.0)</f>
        <v>7000</v>
      </c>
      <c r="J4783" s="6">
        <f>IFERROR(__xludf.DUMMYFUNCTION("""COMPUTED_VALUE"""),70000.0)</f>
        <v>70000</v>
      </c>
      <c r="K4783" s="57">
        <f>IFERROR(__xludf.DUMMYFUNCTION("""COMPUTED_VALUE"""),46080.0)</f>
        <v>46080</v>
      </c>
      <c r="L4783" s="6" t="str">
        <f>IFERROR(__xludf.DUMMYFUNCTION("""COMPUTED_VALUE"""),"FIP Engineering")</f>
        <v>FIP Engineering</v>
      </c>
      <c r="M4783" s="6" t="str">
        <f>IFERROR(__xludf.DUMMYFUNCTION("""COMPUTED_VALUE"""),"Mochammad Fadhillah Hakim,")</f>
        <v>Mochammad Fadhillah Hakim,</v>
      </c>
      <c r="N4783" s="6" t="str">
        <f>IFERROR(__xludf.DUMMYFUNCTION("""COMPUTED_VALUE"""),"FIP Engineering")</f>
        <v>FIP Engineering</v>
      </c>
      <c r="O4783" s="6" t="str">
        <f>IFERROR(__xludf.DUMMYFUNCTION("""COMPUTED_VALUE"""),"FIP-DOM-000-11304-OS00001-INA-000000")</f>
        <v>FIP-DOM-000-11304-OS00001-INA-000000</v>
      </c>
      <c r="P4783" s="6" t="str">
        <f>IFERROR(__xludf.DUMMYFUNCTION("""COMPUTED_VALUE"""),"PO Closed")</f>
        <v>PO Closed</v>
      </c>
      <c r="Q4783" s="6" t="str">
        <f>IFERROR(__xludf.DUMMYFUNCTION("""COMPUTED_VALUE"""),"GL2602413")</f>
        <v>GL2602413</v>
      </c>
      <c r="R4783" s="57">
        <f>IFERROR(__xludf.DUMMYFUNCTION("""COMPUTED_VALUE"""),46048.0)</f>
        <v>46048</v>
      </c>
      <c r="S4783" s="57">
        <f>IFERROR(__xludf.DUMMYFUNCTION("""COMPUTED_VALUE"""),46048.0)</f>
        <v>46048</v>
      </c>
      <c r="T4783" s="57">
        <f>IFERROR(__xludf.DUMMYFUNCTION("""COMPUTED_VALUE"""),46115.0)</f>
        <v>46115</v>
      </c>
    </row>
    <row r="4784">
      <c r="A4784" s="6" t="str">
        <f>IFERROR(__xludf.DUMMYFUNCTION("""COMPUTED_VALUE"""),"121703726-4")</f>
        <v>121703726-4</v>
      </c>
      <c r="B4784" s="6" t="str">
        <f>IFERROR(__xludf.DUMMYFUNCTION("""COMPUTED_VALUE"""),"121703726 - APPROVED")</f>
        <v>121703726 - APPROVED</v>
      </c>
      <c r="C4784" s="6">
        <f>IFERROR(__xludf.DUMMYFUNCTION("""COMPUTED_VALUE"""),4.0)</f>
        <v>4</v>
      </c>
      <c r="D4784" s="6" t="str">
        <f>IFERROR(__xludf.DUMMYFUNCTION("""COMPUTED_VALUE"""),"O-54138-00")</f>
        <v>O-54138-00</v>
      </c>
      <c r="E4784" s="6" t="str">
        <f>IFERROR(__xludf.DUMMYFUNCTION("""COMPUTED_VALUE"""),"General - Terminal Block, 10 mm; Fort; -; 1 pcs")</f>
        <v>General - Terminal Block, 10 mm; Fort; -; 1 pcs</v>
      </c>
      <c r="F4784" s="6">
        <f>IFERROR(__xludf.DUMMYFUNCTION("""COMPUTED_VALUE"""),10.0)</f>
        <v>10</v>
      </c>
      <c r="G4784" s="6" t="str">
        <f>IFERROR(__xludf.DUMMYFUNCTION("""COMPUTED_VALUE"""),"Pieces")</f>
        <v>Pieces</v>
      </c>
      <c r="H4784" s="6" t="str">
        <f>IFERROR(__xludf.DUMMYFUNCTION("""COMPUTED_VALUE"""),"IDR")</f>
        <v>IDR</v>
      </c>
      <c r="I4784" s="6">
        <f>IFERROR(__xludf.DUMMYFUNCTION("""COMPUTED_VALUE"""),8000.0)</f>
        <v>8000</v>
      </c>
      <c r="J4784" s="6">
        <f>IFERROR(__xludf.DUMMYFUNCTION("""COMPUTED_VALUE"""),80000.0)</f>
        <v>80000</v>
      </c>
      <c r="K4784" s="57">
        <f>IFERROR(__xludf.DUMMYFUNCTION("""COMPUTED_VALUE"""),46080.0)</f>
        <v>46080</v>
      </c>
      <c r="L4784" s="6" t="str">
        <f>IFERROR(__xludf.DUMMYFUNCTION("""COMPUTED_VALUE"""),"FIP Engineering")</f>
        <v>FIP Engineering</v>
      </c>
      <c r="M4784" s="6" t="str">
        <f>IFERROR(__xludf.DUMMYFUNCTION("""COMPUTED_VALUE"""),"Mochammad Fadhillah Hakim,")</f>
        <v>Mochammad Fadhillah Hakim,</v>
      </c>
      <c r="N4784" s="6" t="str">
        <f>IFERROR(__xludf.DUMMYFUNCTION("""COMPUTED_VALUE"""),"FIP Engineering")</f>
        <v>FIP Engineering</v>
      </c>
      <c r="O4784" s="6" t="str">
        <f>IFERROR(__xludf.DUMMYFUNCTION("""COMPUTED_VALUE"""),"FIP-DOM-000-11304-OS00001-INA-000000")</f>
        <v>FIP-DOM-000-11304-OS00001-INA-000000</v>
      </c>
      <c r="P4784" s="6" t="str">
        <f>IFERROR(__xludf.DUMMYFUNCTION("""COMPUTED_VALUE"""),"PO Closed")</f>
        <v>PO Closed</v>
      </c>
      <c r="Q4784" s="6" t="str">
        <f>IFERROR(__xludf.DUMMYFUNCTION("""COMPUTED_VALUE"""),"GL2602413")</f>
        <v>GL2602413</v>
      </c>
      <c r="R4784" s="57">
        <f>IFERROR(__xludf.DUMMYFUNCTION("""COMPUTED_VALUE"""),46048.0)</f>
        <v>46048</v>
      </c>
      <c r="S4784" s="57">
        <f>IFERROR(__xludf.DUMMYFUNCTION("""COMPUTED_VALUE"""),46048.0)</f>
        <v>46048</v>
      </c>
      <c r="T4784" s="57">
        <f>IFERROR(__xludf.DUMMYFUNCTION("""COMPUTED_VALUE"""),46115.0)</f>
        <v>46115</v>
      </c>
    </row>
    <row r="4785">
      <c r="A4785" s="6" t="str">
        <f>IFERROR(__xludf.DUMMYFUNCTION("""COMPUTED_VALUE"""),"121703727-1")</f>
        <v>121703727-1</v>
      </c>
      <c r="B4785" s="6" t="str">
        <f>IFERROR(__xludf.DUMMYFUNCTION("""COMPUTED_VALUE"""),"121703727 - APPROVED")</f>
        <v>121703727 - APPROVED</v>
      </c>
      <c r="C4785" s="6">
        <f>IFERROR(__xludf.DUMMYFUNCTION("""COMPUTED_VALUE"""),1.0)</f>
        <v>1</v>
      </c>
      <c r="D4785" s="6" t="str">
        <f>IFERROR(__xludf.DUMMYFUNCTION("""COMPUTED_VALUE"""),"P-18240-00")</f>
        <v>P-18240-00</v>
      </c>
      <c r="E4785" s="6" t="str">
        <f>IFERROR(__xludf.DUMMYFUNCTION("""COMPUTED_VALUE"""),"General - Stang Sealant; Tekiro; -; 1 Pc")</f>
        <v>General - Stang Sealant; Tekiro; -; 1 Pc</v>
      </c>
      <c r="F4785" s="6">
        <f>IFERROR(__xludf.DUMMYFUNCTION("""COMPUTED_VALUE"""),4.0)</f>
        <v>4</v>
      </c>
      <c r="G4785" s="6" t="str">
        <f>IFERROR(__xludf.DUMMYFUNCTION("""COMPUTED_VALUE"""),"Pieces")</f>
        <v>Pieces</v>
      </c>
      <c r="H4785" s="6" t="str">
        <f>IFERROR(__xludf.DUMMYFUNCTION("""COMPUTED_VALUE"""),"IDR")</f>
        <v>IDR</v>
      </c>
      <c r="I4785" s="6">
        <f>IFERROR(__xludf.DUMMYFUNCTION("""COMPUTED_VALUE"""),5960.0)</f>
        <v>5960</v>
      </c>
      <c r="J4785" s="6">
        <f>IFERROR(__xludf.DUMMYFUNCTION("""COMPUTED_VALUE"""),23840.0)</f>
        <v>23840</v>
      </c>
      <c r="K4785" s="57">
        <f>IFERROR(__xludf.DUMMYFUNCTION("""COMPUTED_VALUE"""),46080.0)</f>
        <v>46080</v>
      </c>
      <c r="L4785" s="6" t="str">
        <f>IFERROR(__xludf.DUMMYFUNCTION("""COMPUTED_VALUE"""),"FIP General")</f>
        <v>FIP General</v>
      </c>
      <c r="M4785" s="6" t="str">
        <f>IFERROR(__xludf.DUMMYFUNCTION("""COMPUTED_VALUE"""),"Mochammad Fadhillah Hakim,")</f>
        <v>Mochammad Fadhillah Hakim,</v>
      </c>
      <c r="N4785" s="6" t="str">
        <f>IFERROR(__xludf.DUMMYFUNCTION("""COMPUTED_VALUE"""),"FIP Engineering")</f>
        <v>FIP Engineering</v>
      </c>
      <c r="O4785" s="6" t="str">
        <f>IFERROR(__xludf.DUMMYFUNCTION("""COMPUTED_VALUE"""),"FIP-DOM-ENG-51502-0000000-INA-000000")</f>
        <v>FIP-DOM-ENG-51502-0000000-INA-000000</v>
      </c>
      <c r="P4785" s="6" t="str">
        <f>IFERROR(__xludf.DUMMYFUNCTION("""COMPUTED_VALUE"""),"PO Closed")</f>
        <v>PO Closed</v>
      </c>
      <c r="Q4785" s="6" t="str">
        <f>IFERROR(__xludf.DUMMYFUNCTION("""COMPUTED_VALUE"""),"GL2603434")</f>
        <v>GL2603434</v>
      </c>
      <c r="R4785" s="57">
        <f>IFERROR(__xludf.DUMMYFUNCTION("""COMPUTED_VALUE"""),46048.0)</f>
        <v>46048</v>
      </c>
      <c r="S4785" s="57">
        <f>IFERROR(__xludf.DUMMYFUNCTION("""COMPUTED_VALUE"""),46048.0)</f>
        <v>46048</v>
      </c>
      <c r="T4785" s="57">
        <f>IFERROR(__xludf.DUMMYFUNCTION("""COMPUTED_VALUE"""),46106.0)</f>
        <v>46106</v>
      </c>
    </row>
    <row r="4786">
      <c r="A4786" s="6" t="str">
        <f>IFERROR(__xludf.DUMMYFUNCTION("""COMPUTED_VALUE"""),"121703727-2")</f>
        <v>121703727-2</v>
      </c>
      <c r="B4786" s="6" t="str">
        <f>IFERROR(__xludf.DUMMYFUNCTION("""COMPUTED_VALUE"""),"121703727 - APPROVED")</f>
        <v>121703727 - APPROVED</v>
      </c>
      <c r="C4786" s="6">
        <f>IFERROR(__xludf.DUMMYFUNCTION("""COMPUTED_VALUE"""),2.0)</f>
        <v>2</v>
      </c>
      <c r="D4786" s="6" t="str">
        <f>IFERROR(__xludf.DUMMYFUNCTION("""COMPUTED_VALUE"""),"Q-70224-00")</f>
        <v>Q-70224-00</v>
      </c>
      <c r="E4786" s="6" t="str">
        <f>IFERROR(__xludf.DUMMYFUNCTION("""COMPUTED_VALUE"""),"Kunci L Mini Set; Tekiro; HK-EL1198; 7 pc/set")</f>
        <v>Kunci L Mini Set; Tekiro; HK-EL1198; 7 pc/set</v>
      </c>
      <c r="F4786" s="6">
        <f>IFERROR(__xludf.DUMMYFUNCTION("""COMPUTED_VALUE"""),2.0)</f>
        <v>2</v>
      </c>
      <c r="G4786" s="6" t="str">
        <f>IFERROR(__xludf.DUMMYFUNCTION("""COMPUTED_VALUE"""),"Set")</f>
        <v>Set</v>
      </c>
      <c r="H4786" s="6" t="str">
        <f>IFERROR(__xludf.DUMMYFUNCTION("""COMPUTED_VALUE"""),"IDR")</f>
        <v>IDR</v>
      </c>
      <c r="I4786" s="6">
        <f>IFERROR(__xludf.DUMMYFUNCTION("""COMPUTED_VALUE"""),38500.0)</f>
        <v>38500</v>
      </c>
      <c r="J4786" s="6">
        <f>IFERROR(__xludf.DUMMYFUNCTION("""COMPUTED_VALUE"""),77000.0)</f>
        <v>77000</v>
      </c>
      <c r="K4786" s="57">
        <f>IFERROR(__xludf.DUMMYFUNCTION("""COMPUTED_VALUE"""),46080.0)</f>
        <v>46080</v>
      </c>
      <c r="L4786" s="6" t="str">
        <f>IFERROR(__xludf.DUMMYFUNCTION("""COMPUTED_VALUE"""),"FIP General")</f>
        <v>FIP General</v>
      </c>
      <c r="M4786" s="6" t="str">
        <f>IFERROR(__xludf.DUMMYFUNCTION("""COMPUTED_VALUE"""),"Mochammad Fadhillah Hakim,")</f>
        <v>Mochammad Fadhillah Hakim,</v>
      </c>
      <c r="N4786" s="6" t="str">
        <f>IFERROR(__xludf.DUMMYFUNCTION("""COMPUTED_VALUE"""),"FIP Engineering")</f>
        <v>FIP Engineering</v>
      </c>
      <c r="O4786" s="6" t="str">
        <f>IFERROR(__xludf.DUMMYFUNCTION("""COMPUTED_VALUE"""),"FIP-DOM-ENG-51404-0000000-INA-000000")</f>
        <v>FIP-DOM-ENG-51404-0000000-INA-000000</v>
      </c>
      <c r="P4786" s="6" t="str">
        <f>IFERROR(__xludf.DUMMYFUNCTION("""COMPUTED_VALUE"""),"PO Closed")</f>
        <v>PO Closed</v>
      </c>
      <c r="Q4786" s="6" t="str">
        <f>IFERROR(__xludf.DUMMYFUNCTION("""COMPUTED_VALUE"""),"GL2602027")</f>
        <v>GL2602027</v>
      </c>
      <c r="R4786" s="57">
        <f>IFERROR(__xludf.DUMMYFUNCTION("""COMPUTED_VALUE"""),46048.0)</f>
        <v>46048</v>
      </c>
      <c r="S4786" s="57">
        <f>IFERROR(__xludf.DUMMYFUNCTION("""COMPUTED_VALUE"""),46048.0)</f>
        <v>46048</v>
      </c>
      <c r="T4786" s="57">
        <f>IFERROR(__xludf.DUMMYFUNCTION("""COMPUTED_VALUE"""),46112.0)</f>
        <v>46112</v>
      </c>
    </row>
    <row r="4787">
      <c r="A4787" s="6" t="str">
        <f>IFERROR(__xludf.DUMMYFUNCTION("""COMPUTED_VALUE"""),"121703729-1")</f>
        <v>121703729-1</v>
      </c>
      <c r="B4787" s="6" t="str">
        <f>IFERROR(__xludf.DUMMYFUNCTION("""COMPUTED_VALUE"""),"121703729 - APPROVED")</f>
        <v>121703729 - APPROVED</v>
      </c>
      <c r="C4787" s="6">
        <f>IFERROR(__xludf.DUMMYFUNCTION("""COMPUTED_VALUE"""),1.0)</f>
        <v>1</v>
      </c>
      <c r="D4787" s="6" t="str">
        <f>IFERROR(__xludf.DUMMYFUNCTION("""COMPUTED_VALUE"""),"T-25577-00")</f>
        <v>T-25577-00</v>
      </c>
      <c r="E4787" s="6" t="str">
        <f>IFERROR(__xludf.DUMMYFUNCTION("""COMPUTED_VALUE"""),"UV LAMP FOR M500 TOC Analyzer; Sievers; TOC M500; 1 pc")</f>
        <v>UV LAMP FOR M500 TOC Analyzer; Sievers; TOC M500; 1 pc</v>
      </c>
      <c r="F4787" s="6">
        <f>IFERROR(__xludf.DUMMYFUNCTION("""COMPUTED_VALUE"""),2.0)</f>
        <v>2</v>
      </c>
      <c r="G4787" s="6" t="str">
        <f>IFERROR(__xludf.DUMMYFUNCTION("""COMPUTED_VALUE"""),"Pieces")</f>
        <v>Pieces</v>
      </c>
      <c r="H4787" s="6" t="str">
        <f>IFERROR(__xludf.DUMMYFUNCTION("""COMPUTED_VALUE"""),"IDR")</f>
        <v>IDR</v>
      </c>
      <c r="I4787" s="6">
        <f>IFERROR(__xludf.DUMMYFUNCTION("""COMPUTED_VALUE"""),1.678E7)</f>
        <v>16780000</v>
      </c>
      <c r="J4787" s="6">
        <f>IFERROR(__xludf.DUMMYFUNCTION("""COMPUTED_VALUE"""),3.356E7)</f>
        <v>33560000</v>
      </c>
      <c r="K4787" s="57">
        <f>IFERROR(__xludf.DUMMYFUNCTION("""COMPUTED_VALUE"""),46080.0)</f>
        <v>46080</v>
      </c>
      <c r="L4787" s="6" t="str">
        <f>IFERROR(__xludf.DUMMYFUNCTION("""COMPUTED_VALUE"""),"FIP General")</f>
        <v>FIP General</v>
      </c>
      <c r="M4787" s="6" t="str">
        <f>IFERROR(__xludf.DUMMYFUNCTION("""COMPUTED_VALUE"""),"Mochammad Fadhillah Hakim,")</f>
        <v>Mochammad Fadhillah Hakim,</v>
      </c>
      <c r="N4787" s="6" t="str">
        <f>IFERROR(__xludf.DUMMYFUNCTION("""COMPUTED_VALUE"""),"FIP Engineering")</f>
        <v>FIP Engineering</v>
      </c>
      <c r="O4787" s="6" t="str">
        <f>IFERROR(__xludf.DUMMYFUNCTION("""COMPUTED_VALUE"""),"FIP-DOM-ENG-51505-0000000-INA-000000")</f>
        <v>FIP-DOM-ENG-51505-0000000-INA-000000</v>
      </c>
      <c r="P4787" s="6" t="str">
        <f>IFERROR(__xludf.DUMMYFUNCTION("""COMPUTED_VALUE"""),"PO Closed")</f>
        <v>PO Closed</v>
      </c>
      <c r="Q4787" s="6" t="str">
        <f>IFERROR(__xludf.DUMMYFUNCTION("""COMPUTED_VALUE"""),"GL2602392")</f>
        <v>GL2602392</v>
      </c>
      <c r="R4787" s="57">
        <f>IFERROR(__xludf.DUMMYFUNCTION("""COMPUTED_VALUE"""),46048.0)</f>
        <v>46048</v>
      </c>
      <c r="S4787" s="57">
        <f>IFERROR(__xludf.DUMMYFUNCTION("""COMPUTED_VALUE"""),46048.0)</f>
        <v>46048</v>
      </c>
      <c r="T4787" s="57">
        <f>IFERROR(__xludf.DUMMYFUNCTION("""COMPUTED_VALUE"""),46153.0)</f>
        <v>46153</v>
      </c>
    </row>
    <row r="4788">
      <c r="A4788" s="6" t="str">
        <f>IFERROR(__xludf.DUMMYFUNCTION("""COMPUTED_VALUE"""),"121703732-1")</f>
        <v>121703732-1</v>
      </c>
      <c r="B4788" s="6" t="str">
        <f>IFERROR(__xludf.DUMMYFUNCTION("""COMPUTED_VALUE"""),"121703732 - APPROVED")</f>
        <v>121703732 - APPROVED</v>
      </c>
      <c r="C4788" s="6">
        <f>IFERROR(__xludf.DUMMYFUNCTION("""COMPUTED_VALUE"""),1.0)</f>
        <v>1</v>
      </c>
      <c r="D4788" s="6" t="str">
        <f>IFERROR(__xludf.DUMMYFUNCTION("""COMPUTED_VALUE"""),"O-50863-00")</f>
        <v>O-50863-00</v>
      </c>
      <c r="E4788" s="6" t="str">
        <f>IFERROR(__xludf.DUMMYFUNCTION("""COMPUTED_VALUE"""),"General - Relay 220-240 VAC; Omron; MY4N; 1 Pc")</f>
        <v>General - Relay 220-240 VAC; Omron; MY4N; 1 Pc</v>
      </c>
      <c r="F4788" s="6">
        <f>IFERROR(__xludf.DUMMYFUNCTION("""COMPUTED_VALUE"""),20.0)</f>
        <v>20</v>
      </c>
      <c r="G4788" s="6" t="str">
        <f>IFERROR(__xludf.DUMMYFUNCTION("""COMPUTED_VALUE"""),"Pieces")</f>
        <v>Pieces</v>
      </c>
      <c r="H4788" s="6" t="str">
        <f>IFERROR(__xludf.DUMMYFUNCTION("""COMPUTED_VALUE"""),"IDR")</f>
        <v>IDR</v>
      </c>
      <c r="I4788" s="6">
        <f>IFERROR(__xludf.DUMMYFUNCTION("""COMPUTED_VALUE"""),37000.0)</f>
        <v>37000</v>
      </c>
      <c r="J4788" s="6">
        <f>IFERROR(__xludf.DUMMYFUNCTION("""COMPUTED_VALUE"""),740000.0)</f>
        <v>740000</v>
      </c>
      <c r="K4788" s="57">
        <f>IFERROR(__xludf.DUMMYFUNCTION("""COMPUTED_VALUE"""),46080.0)</f>
        <v>46080</v>
      </c>
      <c r="L4788" s="6" t="str">
        <f>IFERROR(__xludf.DUMMYFUNCTION("""COMPUTED_VALUE"""),"FIP Engineering")</f>
        <v>FIP Engineering</v>
      </c>
      <c r="M4788" s="6" t="str">
        <f>IFERROR(__xludf.DUMMYFUNCTION("""COMPUTED_VALUE"""),"Mochammad Fadhillah Hakim,")</f>
        <v>Mochammad Fadhillah Hakim,</v>
      </c>
      <c r="N4788" s="6" t="str">
        <f>IFERROR(__xludf.DUMMYFUNCTION("""COMPUTED_VALUE"""),"FIP Engineering")</f>
        <v>FIP Engineering</v>
      </c>
      <c r="O4788" s="6" t="str">
        <f>IFERROR(__xludf.DUMMYFUNCTION("""COMPUTED_VALUE"""),"FIP-DOM-000-11304-OS00001-INA-000000")</f>
        <v>FIP-DOM-000-11304-OS00001-INA-000000</v>
      </c>
      <c r="P4788" s="6" t="str">
        <f>IFERROR(__xludf.DUMMYFUNCTION("""COMPUTED_VALUE"""),"PO Closed")</f>
        <v>PO Closed</v>
      </c>
      <c r="Q4788" s="6" t="str">
        <f>IFERROR(__xludf.DUMMYFUNCTION("""COMPUTED_VALUE"""),"GL2602414")</f>
        <v>GL2602414</v>
      </c>
      <c r="R4788" s="57">
        <f>IFERROR(__xludf.DUMMYFUNCTION("""COMPUTED_VALUE"""),46048.0)</f>
        <v>46048</v>
      </c>
      <c r="S4788" s="57">
        <f>IFERROR(__xludf.DUMMYFUNCTION("""COMPUTED_VALUE"""),46048.0)</f>
        <v>46048</v>
      </c>
      <c r="T4788" s="57">
        <f>IFERROR(__xludf.DUMMYFUNCTION("""COMPUTED_VALUE"""),46123.0)</f>
        <v>46123</v>
      </c>
    </row>
    <row r="4789">
      <c r="A4789" s="6" t="str">
        <f>IFERROR(__xludf.DUMMYFUNCTION("""COMPUTED_VALUE"""),"121703745-1")</f>
        <v>121703745-1</v>
      </c>
      <c r="B4789" s="6" t="str">
        <f>IFERROR(__xludf.DUMMYFUNCTION("""COMPUTED_VALUE"""),"121703745 - APPROVED")</f>
        <v>121703745 - APPROVED</v>
      </c>
      <c r="C4789" s="6">
        <f>IFERROR(__xludf.DUMMYFUNCTION("""COMPUTED_VALUE"""),1.0)</f>
        <v>1</v>
      </c>
      <c r="D4789" s="6" t="str">
        <f>IFERROR(__xludf.DUMMYFUNCTION("""COMPUTED_VALUE"""),"P-20528-00")</f>
        <v>P-20528-00</v>
      </c>
      <c r="E4789" s="6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F4789" s="6">
        <f>IFERROR(__xludf.DUMMYFUNCTION("""COMPUTED_VALUE"""),1.0)</f>
        <v>1</v>
      </c>
      <c r="G4789" s="6" t="str">
        <f>IFERROR(__xludf.DUMMYFUNCTION("""COMPUTED_VALUE"""),"Pieces")</f>
        <v>Pieces</v>
      </c>
      <c r="H4789" s="6" t="str">
        <f>IFERROR(__xludf.DUMMYFUNCTION("""COMPUTED_VALUE"""),"IDR")</f>
        <v>IDR</v>
      </c>
      <c r="I4789" s="6">
        <f>IFERROR(__xludf.DUMMYFUNCTION("""COMPUTED_VALUE"""),185000.0)</f>
        <v>185000</v>
      </c>
      <c r="J4789" s="6">
        <f>IFERROR(__xludf.DUMMYFUNCTION("""COMPUTED_VALUE"""),185000.0)</f>
        <v>185000</v>
      </c>
      <c r="K4789" s="57">
        <f>IFERROR(__xludf.DUMMYFUNCTION("""COMPUTED_VALUE"""),46059.0)</f>
        <v>46059</v>
      </c>
      <c r="L4789" s="6" t="str">
        <f>IFERROR(__xludf.DUMMYFUNCTION("""COMPUTED_VALUE"""),"FIP Engineering")</f>
        <v>FIP Engineering</v>
      </c>
      <c r="M4789" s="6" t="str">
        <f>IFERROR(__xludf.DUMMYFUNCTION("""COMPUTED_VALUE"""),"Mochammad Fadhillah Hakim,")</f>
        <v>Mochammad Fadhillah Hakim,</v>
      </c>
      <c r="N4789" s="6" t="str">
        <f>IFERROR(__xludf.DUMMYFUNCTION("""COMPUTED_VALUE"""),"FIP Engineering")</f>
        <v>FIP Engineering</v>
      </c>
      <c r="O4789" s="6" t="str">
        <f>IFERROR(__xludf.DUMMYFUNCTION("""COMPUTED_VALUE"""),"FIP-DOM-000-11304-OS00001-INA-000000")</f>
        <v>FIP-DOM-000-11304-OS00001-INA-000000</v>
      </c>
      <c r="P4789" s="6" t="str">
        <f>IFERROR(__xludf.DUMMYFUNCTION("""COMPUTED_VALUE"""),"PO Closed")</f>
        <v>PO Closed</v>
      </c>
      <c r="Q4789" s="6" t="str">
        <f>IFERROR(__xludf.DUMMYFUNCTION("""COMPUTED_VALUE"""),"GL2603428")</f>
        <v>GL2603428</v>
      </c>
      <c r="R4789" s="57">
        <f>IFERROR(__xludf.DUMMYFUNCTION("""COMPUTED_VALUE"""),46049.0)</f>
        <v>46049</v>
      </c>
      <c r="S4789" s="57">
        <f>IFERROR(__xludf.DUMMYFUNCTION("""COMPUTED_VALUE"""),46050.0)</f>
        <v>46050</v>
      </c>
      <c r="T4789" s="57">
        <f>IFERROR(__xludf.DUMMYFUNCTION("""COMPUTED_VALUE"""),46105.0)</f>
        <v>46105</v>
      </c>
    </row>
    <row r="4790">
      <c r="A4790" s="6" t="str">
        <f>IFERROR(__xludf.DUMMYFUNCTION("""COMPUTED_VALUE"""),"121703747-1")</f>
        <v>121703747-1</v>
      </c>
      <c r="B4790" s="6" t="str">
        <f>IFERROR(__xludf.DUMMYFUNCTION("""COMPUTED_VALUE"""),"121703747 - APPROVED")</f>
        <v>121703747 - APPROVED</v>
      </c>
      <c r="C4790" s="6">
        <f>IFERROR(__xludf.DUMMYFUNCTION("""COMPUTED_VALUE"""),1.0)</f>
        <v>1</v>
      </c>
      <c r="D4790" s="6" t="str">
        <f>IFERROR(__xludf.DUMMYFUNCTION("""COMPUTED_VALUE"""),"P-51236-00")</f>
        <v>P-51236-00</v>
      </c>
      <c r="E4790" s="6" t="str">
        <f>IFERROR(__xludf.DUMMYFUNCTION("""COMPUTED_VALUE"""),"Skun ( I ) pin dia 0.75 mm")</f>
        <v>Skun ( I ) pin dia 0.75 mm</v>
      </c>
      <c r="F4790" s="6">
        <f>IFERROR(__xludf.DUMMYFUNCTION("""COMPUTED_VALUE"""),2.0)</f>
        <v>2</v>
      </c>
      <c r="G4790" s="6" t="str">
        <f>IFERROR(__xludf.DUMMYFUNCTION("""COMPUTED_VALUE"""),"Pieces")</f>
        <v>Pieces</v>
      </c>
      <c r="H4790" s="6" t="str">
        <f>IFERROR(__xludf.DUMMYFUNCTION("""COMPUTED_VALUE"""),"IDR")</f>
        <v>IDR</v>
      </c>
      <c r="I4790" s="6">
        <f>IFERROR(__xludf.DUMMYFUNCTION("""COMPUTED_VALUE"""),50000.0)</f>
        <v>50000</v>
      </c>
      <c r="J4790" s="6">
        <f>IFERROR(__xludf.DUMMYFUNCTION("""COMPUTED_VALUE"""),100000.0)</f>
        <v>100000</v>
      </c>
      <c r="K4790" s="57">
        <f>IFERROR(__xludf.DUMMYFUNCTION("""COMPUTED_VALUE"""),46057.0)</f>
        <v>46057</v>
      </c>
      <c r="L4790" s="6" t="str">
        <f>IFERROR(__xludf.DUMMYFUNCTION("""COMPUTED_VALUE"""),"FIP Engineering")</f>
        <v>FIP Engineering</v>
      </c>
      <c r="M4790" s="6" t="str">
        <f>IFERROR(__xludf.DUMMYFUNCTION("""COMPUTED_VALUE"""),"Mochammad Fadhillah Hakim,")</f>
        <v>Mochammad Fadhillah Hakim,</v>
      </c>
      <c r="N4790" s="6" t="str">
        <f>IFERROR(__xludf.DUMMYFUNCTION("""COMPUTED_VALUE"""),"FIP Engineering")</f>
        <v>FIP Engineering</v>
      </c>
      <c r="O4790" s="6" t="str">
        <f>IFERROR(__xludf.DUMMYFUNCTION("""COMPUTED_VALUE"""),"FIP-DOM-000-11304-OS00001-INA-000000")</f>
        <v>FIP-DOM-000-11304-OS00001-INA-000000</v>
      </c>
      <c r="P4790" s="6" t="str">
        <f>IFERROR(__xludf.DUMMYFUNCTION("""COMPUTED_VALUE"""),"PO Closed")</f>
        <v>PO Closed</v>
      </c>
      <c r="Q4790" s="6" t="str">
        <f>IFERROR(__xludf.DUMMYFUNCTION("""COMPUTED_VALUE"""),"GL2601348")</f>
        <v>GL2601348</v>
      </c>
      <c r="R4790" s="57">
        <f>IFERROR(__xludf.DUMMYFUNCTION("""COMPUTED_VALUE"""),46049.0)</f>
        <v>46049</v>
      </c>
      <c r="S4790" s="57">
        <f>IFERROR(__xludf.DUMMYFUNCTION("""COMPUTED_VALUE"""),46050.0)</f>
        <v>46050</v>
      </c>
      <c r="T4790" s="57">
        <f>IFERROR(__xludf.DUMMYFUNCTION("""COMPUTED_VALUE"""),46057.0)</f>
        <v>46057</v>
      </c>
    </row>
    <row r="4791">
      <c r="A4791" s="6" t="str">
        <f>IFERROR(__xludf.DUMMYFUNCTION("""COMPUTED_VALUE"""),"121703747-2")</f>
        <v>121703747-2</v>
      </c>
      <c r="B4791" s="6" t="str">
        <f>IFERROR(__xludf.DUMMYFUNCTION("""COMPUTED_VALUE"""),"121703747 - APPROVED")</f>
        <v>121703747 - APPROVED</v>
      </c>
      <c r="C4791" s="6">
        <f>IFERROR(__xludf.DUMMYFUNCTION("""COMPUTED_VALUE"""),2.0)</f>
        <v>2</v>
      </c>
      <c r="D4791" s="6" t="str">
        <f>IFERROR(__xludf.DUMMYFUNCTION("""COMPUTED_VALUE"""),"P-51253-00")</f>
        <v>P-51253-00</v>
      </c>
      <c r="E4791" s="6" t="str">
        <f>IFERROR(__xludf.DUMMYFUNCTION("""COMPUTED_VALUE"""),"General - Skun Y 0.75mm; No Brand; -; 100pcs/pack")</f>
        <v>General - Skun Y 0.75mm; No Brand; -; 100pcs/pack</v>
      </c>
      <c r="F4791" s="6">
        <f>IFERROR(__xludf.DUMMYFUNCTION("""COMPUTED_VALUE"""),2.0)</f>
        <v>2</v>
      </c>
      <c r="G4791" s="6" t="str">
        <f>IFERROR(__xludf.DUMMYFUNCTION("""COMPUTED_VALUE"""),"Pieces")</f>
        <v>Pieces</v>
      </c>
      <c r="H4791" s="6" t="str">
        <f>IFERROR(__xludf.DUMMYFUNCTION("""COMPUTED_VALUE"""),"IDR")</f>
        <v>IDR</v>
      </c>
      <c r="I4791" s="6">
        <f>IFERROR(__xludf.DUMMYFUNCTION("""COMPUTED_VALUE"""),50000.0)</f>
        <v>50000</v>
      </c>
      <c r="J4791" s="6">
        <f>IFERROR(__xludf.DUMMYFUNCTION("""COMPUTED_VALUE"""),100000.0)</f>
        <v>100000</v>
      </c>
      <c r="K4791" s="57">
        <f>IFERROR(__xludf.DUMMYFUNCTION("""COMPUTED_VALUE"""),46057.0)</f>
        <v>46057</v>
      </c>
      <c r="L4791" s="6" t="str">
        <f>IFERROR(__xludf.DUMMYFUNCTION("""COMPUTED_VALUE"""),"FIP Engineering")</f>
        <v>FIP Engineering</v>
      </c>
      <c r="M4791" s="6" t="str">
        <f>IFERROR(__xludf.DUMMYFUNCTION("""COMPUTED_VALUE"""),"Mochammad Fadhillah Hakim,")</f>
        <v>Mochammad Fadhillah Hakim,</v>
      </c>
      <c r="N4791" s="6" t="str">
        <f>IFERROR(__xludf.DUMMYFUNCTION("""COMPUTED_VALUE"""),"FIP Engineering")</f>
        <v>FIP Engineering</v>
      </c>
      <c r="O4791" s="6" t="str">
        <f>IFERROR(__xludf.DUMMYFUNCTION("""COMPUTED_VALUE"""),"FIP-DOM-000-11304-OS00001-INA-000000")</f>
        <v>FIP-DOM-000-11304-OS00001-INA-000000</v>
      </c>
      <c r="P4791" s="6" t="str">
        <f>IFERROR(__xludf.DUMMYFUNCTION("""COMPUTED_VALUE"""),"PO Closed")</f>
        <v>PO Closed</v>
      </c>
      <c r="Q4791" s="6" t="str">
        <f>IFERROR(__xludf.DUMMYFUNCTION("""COMPUTED_VALUE"""),"GL2601348")</f>
        <v>GL2601348</v>
      </c>
      <c r="R4791" s="57">
        <f>IFERROR(__xludf.DUMMYFUNCTION("""COMPUTED_VALUE"""),46049.0)</f>
        <v>46049</v>
      </c>
      <c r="S4791" s="57">
        <f>IFERROR(__xludf.DUMMYFUNCTION("""COMPUTED_VALUE"""),46050.0)</f>
        <v>46050</v>
      </c>
      <c r="T4791" s="57">
        <f>IFERROR(__xludf.DUMMYFUNCTION("""COMPUTED_VALUE"""),46057.0)</f>
        <v>46057</v>
      </c>
    </row>
    <row r="4792">
      <c r="A4792" s="6" t="str">
        <f>IFERROR(__xludf.DUMMYFUNCTION("""COMPUTED_VALUE"""),"121703749-1")</f>
        <v>121703749-1</v>
      </c>
      <c r="B4792" s="6" t="str">
        <f>IFERROR(__xludf.DUMMYFUNCTION("""COMPUTED_VALUE"""),"121703749 - APPROVED")</f>
        <v>121703749 - APPROVED</v>
      </c>
      <c r="C4792" s="6">
        <f>IFERROR(__xludf.DUMMYFUNCTION("""COMPUTED_VALUE"""),1.0)</f>
        <v>1</v>
      </c>
      <c r="D4792" s="6" t="str">
        <f>IFERROR(__xludf.DUMMYFUNCTION("""COMPUTED_VALUE"""),"P-54506-00")</f>
        <v>P-54506-00</v>
      </c>
      <c r="E4792" s="6" t="str">
        <f>IFERROR(__xludf.DUMMYFUNCTION("""COMPUTED_VALUE"""),"General - Sensor Stick Flow Probe MFS-R-500; Micatrone; -; 1 unit")</f>
        <v>General - Sensor Stick Flow Probe MFS-R-500; Micatrone; -; 1 unit</v>
      </c>
      <c r="F4792" s="6">
        <f>IFERROR(__xludf.DUMMYFUNCTION("""COMPUTED_VALUE"""),2.0)</f>
        <v>2</v>
      </c>
      <c r="G4792" s="6" t="str">
        <f>IFERROR(__xludf.DUMMYFUNCTION("""COMPUTED_VALUE"""),"Unit")</f>
        <v>Unit</v>
      </c>
      <c r="H4792" s="6" t="str">
        <f>IFERROR(__xludf.DUMMYFUNCTION("""COMPUTED_VALUE"""),"IDR")</f>
        <v>IDR</v>
      </c>
      <c r="I4792" s="6">
        <f>IFERROR(__xludf.DUMMYFUNCTION("""COMPUTED_VALUE"""),5940000.0)</f>
        <v>5940000</v>
      </c>
      <c r="J4792" s="6">
        <f>IFERROR(__xludf.DUMMYFUNCTION("""COMPUTED_VALUE"""),1.188E7)</f>
        <v>11880000</v>
      </c>
      <c r="K4792" s="57">
        <f>IFERROR(__xludf.DUMMYFUNCTION("""COMPUTED_VALUE"""),46087.0)</f>
        <v>46087</v>
      </c>
      <c r="L4792" s="6" t="str">
        <f>IFERROR(__xludf.DUMMYFUNCTION("""COMPUTED_VALUE"""),"FIP Engineering")</f>
        <v>FIP Engineering</v>
      </c>
      <c r="M4792" s="6" t="str">
        <f>IFERROR(__xludf.DUMMYFUNCTION("""COMPUTED_VALUE"""),"Mochammad Fadhillah Hakim,")</f>
        <v>Mochammad Fadhillah Hakim,</v>
      </c>
      <c r="N4792" s="6" t="str">
        <f>IFERROR(__xludf.DUMMYFUNCTION("""COMPUTED_VALUE"""),"FIP Engineering")</f>
        <v>FIP Engineering</v>
      </c>
      <c r="O4792" s="6" t="str">
        <f>IFERROR(__xludf.DUMMYFUNCTION("""COMPUTED_VALUE"""),"FIP-DOM-000-11304-OS00001-INA-000000")</f>
        <v>FIP-DOM-000-11304-OS00001-INA-000000</v>
      </c>
      <c r="P4792" s="6" t="str">
        <f>IFERROR(__xludf.DUMMYFUNCTION("""COMPUTED_VALUE"""),"PO Closed")</f>
        <v>PO Closed</v>
      </c>
      <c r="Q4792" s="6" t="str">
        <f>IFERROR(__xludf.DUMMYFUNCTION("""COMPUTED_VALUE"""),"GL2602040")</f>
        <v>GL2602040</v>
      </c>
      <c r="R4792" s="57">
        <f>IFERROR(__xludf.DUMMYFUNCTION("""COMPUTED_VALUE"""),46050.0)</f>
        <v>46050</v>
      </c>
      <c r="S4792" s="57">
        <f>IFERROR(__xludf.DUMMYFUNCTION("""COMPUTED_VALUE"""),46051.0)</f>
        <v>46051</v>
      </c>
      <c r="T4792" s="57">
        <f>IFERROR(__xludf.DUMMYFUNCTION("""COMPUTED_VALUE"""),46087.0)</f>
        <v>46087</v>
      </c>
    </row>
    <row r="4793">
      <c r="A4793" s="6" t="str">
        <f>IFERROR(__xludf.DUMMYFUNCTION("""COMPUTED_VALUE"""),"121703752-1")</f>
        <v>121703752-1</v>
      </c>
      <c r="B4793" s="6" t="str">
        <f>IFERROR(__xludf.DUMMYFUNCTION("""COMPUTED_VALUE"""),"121703752 - APPROVED")</f>
        <v>121703752 - APPROVED</v>
      </c>
      <c r="C4793" s="6">
        <f>IFERROR(__xludf.DUMMYFUNCTION("""COMPUTED_VALUE"""),1.0)</f>
        <v>1</v>
      </c>
      <c r="D4793" s="6" t="str">
        <f>IFERROR(__xludf.DUMMYFUNCTION("""COMPUTED_VALUE"""),"P-20444-00")</f>
        <v>P-20444-00</v>
      </c>
      <c r="E4793" s="6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F4793" s="6">
        <f>IFERROR(__xludf.DUMMYFUNCTION("""COMPUTED_VALUE"""),6.0)</f>
        <v>6</v>
      </c>
      <c r="G4793" s="6" t="str">
        <f>IFERROR(__xludf.DUMMYFUNCTION("""COMPUTED_VALUE"""),"Pieces")</f>
        <v>Pieces</v>
      </c>
      <c r="H4793" s="6" t="str">
        <f>IFERROR(__xludf.DUMMYFUNCTION("""COMPUTED_VALUE"""),"IDR")</f>
        <v>IDR</v>
      </c>
      <c r="I4793" s="6">
        <f>IFERROR(__xludf.DUMMYFUNCTION("""COMPUTED_VALUE"""),400000.0)</f>
        <v>400000</v>
      </c>
      <c r="J4793" s="6">
        <f>IFERROR(__xludf.DUMMYFUNCTION("""COMPUTED_VALUE"""),2400000.0)</f>
        <v>2400000</v>
      </c>
      <c r="K4793" s="57">
        <f>IFERROR(__xludf.DUMMYFUNCTION("""COMPUTED_VALUE"""),46087.0)</f>
        <v>46087</v>
      </c>
      <c r="L4793" s="6" t="str">
        <f>IFERROR(__xludf.DUMMYFUNCTION("""COMPUTED_VALUE"""),"FIP Engineering")</f>
        <v>FIP Engineering</v>
      </c>
      <c r="M4793" s="6" t="str">
        <f>IFERROR(__xludf.DUMMYFUNCTION("""COMPUTED_VALUE"""),"Mochammad Fadhillah Hakim,")</f>
        <v>Mochammad Fadhillah Hakim,</v>
      </c>
      <c r="N4793" s="6" t="str">
        <f>IFERROR(__xludf.DUMMYFUNCTION("""COMPUTED_VALUE"""),"FIP Engineering")</f>
        <v>FIP Engineering</v>
      </c>
      <c r="O4793" s="6" t="str">
        <f>IFERROR(__xludf.DUMMYFUNCTION("""COMPUTED_VALUE"""),"FIP-DOM-000-11304-OS00001-INA-000000")</f>
        <v>FIP-DOM-000-11304-OS00001-INA-000000</v>
      </c>
      <c r="P4793" s="6" t="str">
        <f>IFERROR(__xludf.DUMMYFUNCTION("""COMPUTED_VALUE"""),"PO Closed")</f>
        <v>PO Closed</v>
      </c>
      <c r="Q4793" s="6" t="str">
        <f>IFERROR(__xludf.DUMMYFUNCTION("""COMPUTED_VALUE"""),"GL2602408")</f>
        <v>GL2602408</v>
      </c>
      <c r="R4793" s="57">
        <f>IFERROR(__xludf.DUMMYFUNCTION("""COMPUTED_VALUE"""),46050.0)</f>
        <v>46050</v>
      </c>
      <c r="S4793" s="57">
        <f>IFERROR(__xludf.DUMMYFUNCTION("""COMPUTED_VALUE"""),46050.0)</f>
        <v>46050</v>
      </c>
      <c r="T4793" s="57">
        <f>IFERROR(__xludf.DUMMYFUNCTION("""COMPUTED_VALUE"""),46102.0)</f>
        <v>46102</v>
      </c>
    </row>
    <row r="4794">
      <c r="A4794" s="6" t="str">
        <f>IFERROR(__xludf.DUMMYFUNCTION("""COMPUTED_VALUE"""),"121703753-1")</f>
        <v>121703753-1</v>
      </c>
      <c r="B4794" s="6" t="str">
        <f>IFERROR(__xludf.DUMMYFUNCTION("""COMPUTED_VALUE"""),"121703753 - APPROVED")</f>
        <v>121703753 - APPROVED</v>
      </c>
      <c r="C4794" s="6">
        <f>IFERROR(__xludf.DUMMYFUNCTION("""COMPUTED_VALUE"""),1.0)</f>
        <v>1</v>
      </c>
      <c r="D4794" s="6" t="str">
        <f>IFERROR(__xludf.DUMMYFUNCTION("""COMPUTED_VALUE"""),"P-18472-00")</f>
        <v>P-18472-00</v>
      </c>
      <c r="E4794" s="6" t="str">
        <f>IFERROR(__xludf.DUMMYFUNCTION("""COMPUTED_VALUE"""),"General - Thermostatic Steam Trap LV6-CE DN20 SS; TLV; -; 1 Pc")</f>
        <v>General - Thermostatic Steam Trap LV6-CE DN20 SS; TLV; -; 1 Pc</v>
      </c>
      <c r="F4794" s="6">
        <f>IFERROR(__xludf.DUMMYFUNCTION("""COMPUTED_VALUE"""),1.0)</f>
        <v>1</v>
      </c>
      <c r="G4794" s="6" t="str">
        <f>IFERROR(__xludf.DUMMYFUNCTION("""COMPUTED_VALUE"""),"Pieces")</f>
        <v>Pieces</v>
      </c>
      <c r="H4794" s="6" t="str">
        <f>IFERROR(__xludf.DUMMYFUNCTION("""COMPUTED_VALUE"""),"IDR")</f>
        <v>IDR</v>
      </c>
      <c r="I4794" s="6">
        <f>IFERROR(__xludf.DUMMYFUNCTION("""COMPUTED_VALUE"""),7200000.0)</f>
        <v>7200000</v>
      </c>
      <c r="J4794" s="6">
        <f>IFERROR(__xludf.DUMMYFUNCTION("""COMPUTED_VALUE"""),7200000.0)</f>
        <v>7200000</v>
      </c>
      <c r="K4794" s="57">
        <f>IFERROR(__xludf.DUMMYFUNCTION("""COMPUTED_VALUE"""),46087.0)</f>
        <v>46087</v>
      </c>
      <c r="L4794" s="6" t="str">
        <f>IFERROR(__xludf.DUMMYFUNCTION("""COMPUTED_VALUE"""),"FIP Engineering")</f>
        <v>FIP Engineering</v>
      </c>
      <c r="M4794" s="6" t="str">
        <f>IFERROR(__xludf.DUMMYFUNCTION("""COMPUTED_VALUE"""),"Mochammad Fadhillah Hakim,")</f>
        <v>Mochammad Fadhillah Hakim,</v>
      </c>
      <c r="N4794" s="6" t="str">
        <f>IFERROR(__xludf.DUMMYFUNCTION("""COMPUTED_VALUE"""),"FIP Engineering")</f>
        <v>FIP Engineering</v>
      </c>
      <c r="O4794" s="6" t="str">
        <f>IFERROR(__xludf.DUMMYFUNCTION("""COMPUTED_VALUE"""),"FIP-DOM-000-11304-OS00001-INA-000000")</f>
        <v>FIP-DOM-000-11304-OS00001-INA-000000</v>
      </c>
      <c r="P4794" s="6" t="str">
        <f>IFERROR(__xludf.DUMMYFUNCTION("""COMPUTED_VALUE"""),"PO Closed")</f>
        <v>PO Closed</v>
      </c>
      <c r="Q4794" s="6" t="str">
        <f>IFERROR(__xludf.DUMMYFUNCTION("""COMPUTED_VALUE"""),"GL2602014")</f>
        <v>GL2602014</v>
      </c>
      <c r="R4794" s="57">
        <f>IFERROR(__xludf.DUMMYFUNCTION("""COMPUTED_VALUE"""),46050.0)</f>
        <v>46050</v>
      </c>
      <c r="S4794" s="57">
        <f>IFERROR(__xludf.DUMMYFUNCTION("""COMPUTED_VALUE"""),46051.0)</f>
        <v>46051</v>
      </c>
      <c r="T4794" s="57">
        <f>IFERROR(__xludf.DUMMYFUNCTION("""COMPUTED_VALUE"""),46193.0)</f>
        <v>46193</v>
      </c>
    </row>
    <row r="4795">
      <c r="A4795" s="6" t="str">
        <f>IFERROR(__xludf.DUMMYFUNCTION("""COMPUTED_VALUE"""),"121703754-1")</f>
        <v>121703754-1</v>
      </c>
      <c r="B4795" s="6" t="str">
        <f>IFERROR(__xludf.DUMMYFUNCTION("""COMPUTED_VALUE"""),"121703754 - APPROVED")</f>
        <v>121703754 - APPROVED</v>
      </c>
      <c r="C4795" s="6">
        <f>IFERROR(__xludf.DUMMYFUNCTION("""COMPUTED_VALUE"""),1.0)</f>
        <v>1</v>
      </c>
      <c r="D4795" s="6" t="str">
        <f>IFERROR(__xludf.DUMMYFUNCTION("""COMPUTED_VALUE"""),"P-16596-00")</f>
        <v>P-16596-00</v>
      </c>
      <c r="E4795" s="6" t="str">
        <f>IFERROR(__xludf.DUMMYFUNCTION("""COMPUTED_VALUE"""),"General - Paku Ripet 5mm; No Brand; -; 1000pcs/box")</f>
        <v>General - Paku Ripet 5mm; No Brand; -; 1000pcs/box</v>
      </c>
      <c r="F4795" s="6">
        <f>IFERROR(__xludf.DUMMYFUNCTION("""COMPUTED_VALUE"""),1.0)</f>
        <v>1</v>
      </c>
      <c r="G4795" s="6" t="str">
        <f>IFERROR(__xludf.DUMMYFUNCTION("""COMPUTED_VALUE"""),"Box")</f>
        <v>Box</v>
      </c>
      <c r="H4795" s="6" t="str">
        <f>IFERROR(__xludf.DUMMYFUNCTION("""COMPUTED_VALUE"""),"IDR")</f>
        <v>IDR</v>
      </c>
      <c r="I4795" s="6">
        <f>IFERROR(__xludf.DUMMYFUNCTION("""COMPUTED_VALUE"""),100000.0)</f>
        <v>100000</v>
      </c>
      <c r="J4795" s="6">
        <f>IFERROR(__xludf.DUMMYFUNCTION("""COMPUTED_VALUE"""),100000.0)</f>
        <v>100000</v>
      </c>
      <c r="K4795" s="57">
        <f>IFERROR(__xludf.DUMMYFUNCTION("""COMPUTED_VALUE"""),46087.0)</f>
        <v>46087</v>
      </c>
      <c r="L4795" s="6" t="str">
        <f>IFERROR(__xludf.DUMMYFUNCTION("""COMPUTED_VALUE"""),"FIP Engineering")</f>
        <v>FIP Engineering</v>
      </c>
      <c r="M4795" s="6" t="str">
        <f>IFERROR(__xludf.DUMMYFUNCTION("""COMPUTED_VALUE"""),"Mochammad Fadhillah Hakim,")</f>
        <v>Mochammad Fadhillah Hakim,</v>
      </c>
      <c r="N4795" s="6" t="str">
        <f>IFERROR(__xludf.DUMMYFUNCTION("""COMPUTED_VALUE"""),"FIP Engineering")</f>
        <v>FIP Engineering</v>
      </c>
      <c r="O4795" s="6" t="str">
        <f>IFERROR(__xludf.DUMMYFUNCTION("""COMPUTED_VALUE"""),"FIP-DOM-000-11304-OS00001-INA-000000")</f>
        <v>FIP-DOM-000-11304-OS00001-INA-000000</v>
      </c>
      <c r="P4795" s="6" t="str">
        <f>IFERROR(__xludf.DUMMYFUNCTION("""COMPUTED_VALUE"""),"PO Closed")</f>
        <v>PO Closed</v>
      </c>
      <c r="Q4795" s="6" t="str">
        <f>IFERROR(__xludf.DUMMYFUNCTION("""COMPUTED_VALUE"""),"GL2603449")</f>
        <v>GL2603449</v>
      </c>
      <c r="R4795" s="57">
        <f>IFERROR(__xludf.DUMMYFUNCTION("""COMPUTED_VALUE"""),46050.0)</f>
        <v>46050</v>
      </c>
      <c r="S4795" s="57">
        <f>IFERROR(__xludf.DUMMYFUNCTION("""COMPUTED_VALUE"""),46051.0)</f>
        <v>46051</v>
      </c>
      <c r="T4795" s="57">
        <f>IFERROR(__xludf.DUMMYFUNCTION("""COMPUTED_VALUE"""),46115.0)</f>
        <v>46115</v>
      </c>
    </row>
    <row r="4796">
      <c r="A4796" s="6" t="str">
        <f>IFERROR(__xludf.DUMMYFUNCTION("""COMPUTED_VALUE"""),"121703754-2")</f>
        <v>121703754-2</v>
      </c>
      <c r="B4796" s="6" t="str">
        <f>IFERROR(__xludf.DUMMYFUNCTION("""COMPUTED_VALUE"""),"121703754 - APPROVED")</f>
        <v>121703754 - APPROVED</v>
      </c>
      <c r="C4796" s="6">
        <f>IFERROR(__xludf.DUMMYFUNCTION("""COMPUTED_VALUE"""),2.0)</f>
        <v>2</v>
      </c>
      <c r="D4796" s="6" t="str">
        <f>IFERROR(__xludf.DUMMYFUNCTION("""COMPUTED_VALUE"""),"P-20448-00")</f>
        <v>P-20448-00</v>
      </c>
      <c r="E4796" s="6" t="str">
        <f>IFERROR(__xludf.DUMMYFUNCTION("""COMPUTED_VALUE"""),"General - Insulation Ducting Tebal 20mm Uk. 1.2 x 0.9m; Proflex; -; 1 pc")</f>
        <v>General - Insulation Ducting Tebal 20mm Uk. 1.2 x 0.9m; Proflex; -; 1 pc</v>
      </c>
      <c r="F4796" s="6">
        <f>IFERROR(__xludf.DUMMYFUNCTION("""COMPUTED_VALUE"""),5.0)</f>
        <v>5</v>
      </c>
      <c r="G4796" s="6" t="str">
        <f>IFERROR(__xludf.DUMMYFUNCTION("""COMPUTED_VALUE"""),"Pieces")</f>
        <v>Pieces</v>
      </c>
      <c r="H4796" s="6" t="str">
        <f>IFERROR(__xludf.DUMMYFUNCTION("""COMPUTED_VALUE"""),"IDR")</f>
        <v>IDR</v>
      </c>
      <c r="I4796" s="6">
        <f>IFERROR(__xludf.DUMMYFUNCTION("""COMPUTED_VALUE"""),225000.0)</f>
        <v>225000</v>
      </c>
      <c r="J4796" s="6">
        <f>IFERROR(__xludf.DUMMYFUNCTION("""COMPUTED_VALUE"""),1125000.0)</f>
        <v>1125000</v>
      </c>
      <c r="K4796" s="57">
        <f>IFERROR(__xludf.DUMMYFUNCTION("""COMPUTED_VALUE"""),46087.0)</f>
        <v>46087</v>
      </c>
      <c r="L4796" s="6" t="str">
        <f>IFERROR(__xludf.DUMMYFUNCTION("""COMPUTED_VALUE"""),"FIP Engineering")</f>
        <v>FIP Engineering</v>
      </c>
      <c r="M4796" s="6" t="str">
        <f>IFERROR(__xludf.DUMMYFUNCTION("""COMPUTED_VALUE"""),"Mochammad Fadhillah Hakim,")</f>
        <v>Mochammad Fadhillah Hakim,</v>
      </c>
      <c r="N4796" s="6" t="str">
        <f>IFERROR(__xludf.DUMMYFUNCTION("""COMPUTED_VALUE"""),"FIP Engineering")</f>
        <v>FIP Engineering</v>
      </c>
      <c r="O4796" s="6" t="str">
        <f>IFERROR(__xludf.DUMMYFUNCTION("""COMPUTED_VALUE"""),"FIP-DOM-000-11304-OS00001-INA-000000")</f>
        <v>FIP-DOM-000-11304-OS00001-INA-000000</v>
      </c>
      <c r="P4796" s="6" t="str">
        <f>IFERROR(__xludf.DUMMYFUNCTION("""COMPUTED_VALUE"""),"PO Closed")</f>
        <v>PO Closed</v>
      </c>
      <c r="Q4796" s="6" t="str">
        <f>IFERROR(__xludf.DUMMYFUNCTION("""COMPUTED_VALUE"""),"GL2603431")</f>
        <v>GL2603431</v>
      </c>
      <c r="R4796" s="57">
        <f>IFERROR(__xludf.DUMMYFUNCTION("""COMPUTED_VALUE"""),46050.0)</f>
        <v>46050</v>
      </c>
      <c r="S4796" s="57">
        <f>IFERROR(__xludf.DUMMYFUNCTION("""COMPUTED_VALUE"""),46051.0)</f>
        <v>46051</v>
      </c>
      <c r="T4796" s="57">
        <f>IFERROR(__xludf.DUMMYFUNCTION("""COMPUTED_VALUE"""),46114.0)</f>
        <v>46114</v>
      </c>
    </row>
    <row r="4797">
      <c r="A4797" s="6" t="str">
        <f>IFERROR(__xludf.DUMMYFUNCTION("""COMPUTED_VALUE"""),"121703754-3")</f>
        <v>121703754-3</v>
      </c>
      <c r="B4797" s="6" t="str">
        <f>IFERROR(__xludf.DUMMYFUNCTION("""COMPUTED_VALUE"""),"121703754 - APPROVED")</f>
        <v>121703754 - APPROVED</v>
      </c>
      <c r="C4797" s="6">
        <f>IFERROR(__xludf.DUMMYFUNCTION("""COMPUTED_VALUE"""),3.0)</f>
        <v>3</v>
      </c>
      <c r="D4797" s="6" t="str">
        <f>IFERROR(__xludf.DUMMYFUNCTION("""COMPUTED_VALUE"""),"P-20517-00")</f>
        <v>P-20517-00</v>
      </c>
      <c r="E4797" s="6" t="str">
        <f>IFERROR(__xludf.DUMMYFUNCTION("""COMPUTED_VALUE"""),"General - Hole Saw SS TCT 23mm; Kugel; -; 1 pc")</f>
        <v>General - Hole Saw SS TCT 23mm; Kugel; -; 1 pc</v>
      </c>
      <c r="F4797" s="6">
        <f>IFERROR(__xludf.DUMMYFUNCTION("""COMPUTED_VALUE"""),2.0)</f>
        <v>2</v>
      </c>
      <c r="G4797" s="6" t="str">
        <f>IFERROR(__xludf.DUMMYFUNCTION("""COMPUTED_VALUE"""),"Pieces")</f>
        <v>Pieces</v>
      </c>
      <c r="H4797" s="6" t="str">
        <f>IFERROR(__xludf.DUMMYFUNCTION("""COMPUTED_VALUE"""),"IDR")</f>
        <v>IDR</v>
      </c>
      <c r="I4797" s="6">
        <f>IFERROR(__xludf.DUMMYFUNCTION("""COMPUTED_VALUE"""),75000.0)</f>
        <v>75000</v>
      </c>
      <c r="J4797" s="6">
        <f>IFERROR(__xludf.DUMMYFUNCTION("""COMPUTED_VALUE"""),150000.0)</f>
        <v>150000</v>
      </c>
      <c r="K4797" s="57">
        <f>IFERROR(__xludf.DUMMYFUNCTION("""COMPUTED_VALUE"""),46087.0)</f>
        <v>46087</v>
      </c>
      <c r="L4797" s="6" t="str">
        <f>IFERROR(__xludf.DUMMYFUNCTION("""COMPUTED_VALUE"""),"FIP Engineering")</f>
        <v>FIP Engineering</v>
      </c>
      <c r="M4797" s="6" t="str">
        <f>IFERROR(__xludf.DUMMYFUNCTION("""COMPUTED_VALUE"""),"Mochammad Fadhillah Hakim,")</f>
        <v>Mochammad Fadhillah Hakim,</v>
      </c>
      <c r="N4797" s="6" t="str">
        <f>IFERROR(__xludf.DUMMYFUNCTION("""COMPUTED_VALUE"""),"FIP Engineering")</f>
        <v>FIP Engineering</v>
      </c>
      <c r="O4797" s="6" t="str">
        <f>IFERROR(__xludf.DUMMYFUNCTION("""COMPUTED_VALUE"""),"FIP-DOM-000-11304-OS00001-INA-000000")</f>
        <v>FIP-DOM-000-11304-OS00001-INA-000000</v>
      </c>
      <c r="P4797" s="6" t="str">
        <f>IFERROR(__xludf.DUMMYFUNCTION("""COMPUTED_VALUE"""),"PO Closed")</f>
        <v>PO Closed</v>
      </c>
      <c r="Q4797" s="6" t="str">
        <f>IFERROR(__xludf.DUMMYFUNCTION("""COMPUTED_VALUE"""),"GL2603431")</f>
        <v>GL2603431</v>
      </c>
      <c r="R4797" s="57">
        <f>IFERROR(__xludf.DUMMYFUNCTION("""COMPUTED_VALUE"""),46050.0)</f>
        <v>46050</v>
      </c>
      <c r="S4797" s="57">
        <f>IFERROR(__xludf.DUMMYFUNCTION("""COMPUTED_VALUE"""),46051.0)</f>
        <v>46051</v>
      </c>
      <c r="T4797" s="57">
        <f>IFERROR(__xludf.DUMMYFUNCTION("""COMPUTED_VALUE"""),46114.0)</f>
        <v>46114</v>
      </c>
    </row>
    <row r="4798">
      <c r="A4798" s="6" t="str">
        <f>IFERROR(__xludf.DUMMYFUNCTION("""COMPUTED_VALUE"""),"121703754-4")</f>
        <v>121703754-4</v>
      </c>
      <c r="B4798" s="6" t="str">
        <f>IFERROR(__xludf.DUMMYFUNCTION("""COMPUTED_VALUE"""),"121703754 - APPROVED")</f>
        <v>121703754 - APPROVED</v>
      </c>
      <c r="C4798" s="6">
        <f>IFERROR(__xludf.DUMMYFUNCTION("""COMPUTED_VALUE"""),4.0)</f>
        <v>4</v>
      </c>
      <c r="D4798" s="6" t="str">
        <f>IFERROR(__xludf.DUMMYFUNCTION("""COMPUTED_VALUE"""),"P-54508-00")</f>
        <v>P-54508-00</v>
      </c>
      <c r="E4798" s="6" t="str">
        <f>IFERROR(__xludf.DUMMYFUNCTION("""COMPUTED_VALUE"""),"General - Comb Busbar Sisir, 3 Phase, 63A, 10391; Schneider; -; 1 pc")</f>
        <v>General - Comb Busbar Sisir, 3 Phase, 63A, 10391; Schneider; -; 1 pc</v>
      </c>
      <c r="F4798" s="6">
        <f>IFERROR(__xludf.DUMMYFUNCTION("""COMPUTED_VALUE"""),2.0)</f>
        <v>2</v>
      </c>
      <c r="G4798" s="6" t="str">
        <f>IFERROR(__xludf.DUMMYFUNCTION("""COMPUTED_VALUE"""),"Pieces")</f>
        <v>Pieces</v>
      </c>
      <c r="H4798" s="6" t="str">
        <f>IFERROR(__xludf.DUMMYFUNCTION("""COMPUTED_VALUE"""),"IDR")</f>
        <v>IDR</v>
      </c>
      <c r="I4798" s="6">
        <f>IFERROR(__xludf.DUMMYFUNCTION("""COMPUTED_VALUE"""),150000.0)</f>
        <v>150000</v>
      </c>
      <c r="J4798" s="6">
        <f>IFERROR(__xludf.DUMMYFUNCTION("""COMPUTED_VALUE"""),300000.0)</f>
        <v>300000</v>
      </c>
      <c r="K4798" s="57">
        <f>IFERROR(__xludf.DUMMYFUNCTION("""COMPUTED_VALUE"""),46087.0)</f>
        <v>46087</v>
      </c>
      <c r="L4798" s="6" t="str">
        <f>IFERROR(__xludf.DUMMYFUNCTION("""COMPUTED_VALUE"""),"FIP Engineering")</f>
        <v>FIP Engineering</v>
      </c>
      <c r="M4798" s="6" t="str">
        <f>IFERROR(__xludf.DUMMYFUNCTION("""COMPUTED_VALUE"""),"Mochammad Fadhillah Hakim,")</f>
        <v>Mochammad Fadhillah Hakim,</v>
      </c>
      <c r="N4798" s="6" t="str">
        <f>IFERROR(__xludf.DUMMYFUNCTION("""COMPUTED_VALUE"""),"FIP Engineering")</f>
        <v>FIP Engineering</v>
      </c>
      <c r="O4798" s="6" t="str">
        <f>IFERROR(__xludf.DUMMYFUNCTION("""COMPUTED_VALUE"""),"FIP-DOM-000-11304-OS00001-INA-000000")</f>
        <v>FIP-DOM-000-11304-OS00001-INA-000000</v>
      </c>
      <c r="P4798" s="6" t="str">
        <f>IFERROR(__xludf.DUMMYFUNCTION("""COMPUTED_VALUE"""),"PO Closed")</f>
        <v>PO Closed</v>
      </c>
      <c r="Q4798" s="6" t="str">
        <f>IFERROR(__xludf.DUMMYFUNCTION("""COMPUTED_VALUE"""),"GL2603431")</f>
        <v>GL2603431</v>
      </c>
      <c r="R4798" s="57">
        <f>IFERROR(__xludf.DUMMYFUNCTION("""COMPUTED_VALUE"""),46050.0)</f>
        <v>46050</v>
      </c>
      <c r="S4798" s="57">
        <f>IFERROR(__xludf.DUMMYFUNCTION("""COMPUTED_VALUE"""),46051.0)</f>
        <v>46051</v>
      </c>
      <c r="T4798" s="57">
        <f>IFERROR(__xludf.DUMMYFUNCTION("""COMPUTED_VALUE"""),46114.0)</f>
        <v>46114</v>
      </c>
    </row>
    <row r="4799">
      <c r="A4799" s="6" t="str">
        <f>IFERROR(__xludf.DUMMYFUNCTION("""COMPUTED_VALUE"""),"121703754-5")</f>
        <v>121703754-5</v>
      </c>
      <c r="B4799" s="6" t="str">
        <f>IFERROR(__xludf.DUMMYFUNCTION("""COMPUTED_VALUE"""),"121703754 - APPROVED")</f>
        <v>121703754 - APPROVED</v>
      </c>
      <c r="C4799" s="6">
        <f>IFERROR(__xludf.DUMMYFUNCTION("""COMPUTED_VALUE"""),5.0)</f>
        <v>5</v>
      </c>
      <c r="D4799" s="6" t="str">
        <f>IFERROR(__xludf.DUMMYFUNCTION("""COMPUTED_VALUE"""),"P-54509-00")</f>
        <v>P-54509-00</v>
      </c>
      <c r="E4799" s="6" t="str">
        <f>IFERROR(__xludf.DUMMYFUNCTION("""COMPUTED_VALUE"""),"General - Buzzer Panel, 12VDC, 22mm, SCB-22; Shemco; -; 1 pc")</f>
        <v>General - Buzzer Panel, 12VDC, 22mm, SCB-22; Shemco; -; 1 pc</v>
      </c>
      <c r="F4799" s="6">
        <f>IFERROR(__xludf.DUMMYFUNCTION("""COMPUTED_VALUE"""),5.0)</f>
        <v>5</v>
      </c>
      <c r="G4799" s="6" t="str">
        <f>IFERROR(__xludf.DUMMYFUNCTION("""COMPUTED_VALUE"""),"Pieces")</f>
        <v>Pieces</v>
      </c>
      <c r="H4799" s="6" t="str">
        <f>IFERROR(__xludf.DUMMYFUNCTION("""COMPUTED_VALUE"""),"IDR")</f>
        <v>IDR</v>
      </c>
      <c r="I4799" s="6">
        <f>IFERROR(__xludf.DUMMYFUNCTION("""COMPUTED_VALUE"""),37000.0)</f>
        <v>37000</v>
      </c>
      <c r="J4799" s="6">
        <f>IFERROR(__xludf.DUMMYFUNCTION("""COMPUTED_VALUE"""),185000.0)</f>
        <v>185000</v>
      </c>
      <c r="K4799" s="57">
        <f>IFERROR(__xludf.DUMMYFUNCTION("""COMPUTED_VALUE"""),46087.0)</f>
        <v>46087</v>
      </c>
      <c r="L4799" s="6" t="str">
        <f>IFERROR(__xludf.DUMMYFUNCTION("""COMPUTED_VALUE"""),"FIP Engineering")</f>
        <v>FIP Engineering</v>
      </c>
      <c r="M4799" s="6" t="str">
        <f>IFERROR(__xludf.DUMMYFUNCTION("""COMPUTED_VALUE"""),"Mochammad Fadhillah Hakim,")</f>
        <v>Mochammad Fadhillah Hakim,</v>
      </c>
      <c r="N4799" s="6" t="str">
        <f>IFERROR(__xludf.DUMMYFUNCTION("""COMPUTED_VALUE"""),"FIP Engineering")</f>
        <v>FIP Engineering</v>
      </c>
      <c r="O4799" s="6" t="str">
        <f>IFERROR(__xludf.DUMMYFUNCTION("""COMPUTED_VALUE"""),"FIP-DOM-000-11304-OS00001-INA-000000")</f>
        <v>FIP-DOM-000-11304-OS00001-INA-000000</v>
      </c>
      <c r="P4799" s="6" t="str">
        <f>IFERROR(__xludf.DUMMYFUNCTION("""COMPUTED_VALUE"""),"PO Closed")</f>
        <v>PO Closed</v>
      </c>
      <c r="Q4799" s="6" t="str">
        <f>IFERROR(__xludf.DUMMYFUNCTION("""COMPUTED_VALUE"""),"GL2603428")</f>
        <v>GL2603428</v>
      </c>
      <c r="R4799" s="57">
        <f>IFERROR(__xludf.DUMMYFUNCTION("""COMPUTED_VALUE"""),46050.0)</f>
        <v>46050</v>
      </c>
      <c r="S4799" s="57">
        <f>IFERROR(__xludf.DUMMYFUNCTION("""COMPUTED_VALUE"""),46051.0)</f>
        <v>46051</v>
      </c>
      <c r="T4799" s="57">
        <f>IFERROR(__xludf.DUMMYFUNCTION("""COMPUTED_VALUE"""),46105.0)</f>
        <v>46105</v>
      </c>
    </row>
    <row r="4800">
      <c r="A4800" s="6" t="str">
        <f>IFERROR(__xludf.DUMMYFUNCTION("""COMPUTED_VALUE"""),"121703754-6")</f>
        <v>121703754-6</v>
      </c>
      <c r="B4800" s="6" t="str">
        <f>IFERROR(__xludf.DUMMYFUNCTION("""COMPUTED_VALUE"""),"121703754 - APPROVED")</f>
        <v>121703754 - APPROVED</v>
      </c>
      <c r="C4800" s="6">
        <f>IFERROR(__xludf.DUMMYFUNCTION("""COMPUTED_VALUE"""),6.0)</f>
        <v>6</v>
      </c>
      <c r="D4800" s="6" t="str">
        <f>IFERROR(__xludf.DUMMYFUNCTION("""COMPUTED_VALUE"""),"P-54512-00")</f>
        <v>P-54512-00</v>
      </c>
      <c r="E4800" s="6" t="str">
        <f>IFERROR(__xludf.DUMMYFUNCTION("""COMPUTED_VALUE"""),"General - Kabel Duct PVC, Lubang, Uk. 32 x 32mm; No Brand; -; 1 pc")</f>
        <v>General - Kabel Duct PVC, Lubang, Uk. 32 x 32mm; No Brand; -; 1 pc</v>
      </c>
      <c r="F4800" s="6">
        <f>IFERROR(__xludf.DUMMYFUNCTION("""COMPUTED_VALUE"""),5.0)</f>
        <v>5</v>
      </c>
      <c r="G4800" s="6" t="str">
        <f>IFERROR(__xludf.DUMMYFUNCTION("""COMPUTED_VALUE"""),"Pieces")</f>
        <v>Pieces</v>
      </c>
      <c r="H4800" s="6" t="str">
        <f>IFERROR(__xludf.DUMMYFUNCTION("""COMPUTED_VALUE"""),"IDR")</f>
        <v>IDR</v>
      </c>
      <c r="I4800" s="6">
        <f>IFERROR(__xludf.DUMMYFUNCTION("""COMPUTED_VALUE"""),50000.0)</f>
        <v>50000</v>
      </c>
      <c r="J4800" s="6">
        <f>IFERROR(__xludf.DUMMYFUNCTION("""COMPUTED_VALUE"""),250000.0)</f>
        <v>250000</v>
      </c>
      <c r="K4800" s="57">
        <f>IFERROR(__xludf.DUMMYFUNCTION("""COMPUTED_VALUE"""),46087.0)</f>
        <v>46087</v>
      </c>
      <c r="L4800" s="6" t="str">
        <f>IFERROR(__xludf.DUMMYFUNCTION("""COMPUTED_VALUE"""),"FIP Engineering")</f>
        <v>FIP Engineering</v>
      </c>
      <c r="M4800" s="6" t="str">
        <f>IFERROR(__xludf.DUMMYFUNCTION("""COMPUTED_VALUE"""),"Mochammad Fadhillah Hakim,")</f>
        <v>Mochammad Fadhillah Hakim,</v>
      </c>
      <c r="N4800" s="6" t="str">
        <f>IFERROR(__xludf.DUMMYFUNCTION("""COMPUTED_VALUE"""),"FIP Engineering")</f>
        <v>FIP Engineering</v>
      </c>
      <c r="O4800" s="6" t="str">
        <f>IFERROR(__xludf.DUMMYFUNCTION("""COMPUTED_VALUE"""),"FIP-DOM-000-11304-OS00001-INA-000000")</f>
        <v>FIP-DOM-000-11304-OS00001-INA-000000</v>
      </c>
      <c r="P4800" s="6" t="str">
        <f>IFERROR(__xludf.DUMMYFUNCTION("""COMPUTED_VALUE"""),"PO Closed")</f>
        <v>PO Closed</v>
      </c>
      <c r="Q4800" s="6" t="str">
        <f>IFERROR(__xludf.DUMMYFUNCTION("""COMPUTED_VALUE"""),"GL2603434")</f>
        <v>GL2603434</v>
      </c>
      <c r="R4800" s="57">
        <f>IFERROR(__xludf.DUMMYFUNCTION("""COMPUTED_VALUE"""),46050.0)</f>
        <v>46050</v>
      </c>
      <c r="S4800" s="57">
        <f>IFERROR(__xludf.DUMMYFUNCTION("""COMPUTED_VALUE"""),46051.0)</f>
        <v>46051</v>
      </c>
      <c r="T4800" s="57">
        <f>IFERROR(__xludf.DUMMYFUNCTION("""COMPUTED_VALUE"""),46106.0)</f>
        <v>46106</v>
      </c>
    </row>
    <row r="4801">
      <c r="A4801" s="6" t="str">
        <f>IFERROR(__xludf.DUMMYFUNCTION("""COMPUTED_VALUE"""),"121703754-7")</f>
        <v>121703754-7</v>
      </c>
      <c r="B4801" s="6" t="str">
        <f>IFERROR(__xludf.DUMMYFUNCTION("""COMPUTED_VALUE"""),"121703754 - APPROVED")</f>
        <v>121703754 - APPROVED</v>
      </c>
      <c r="C4801" s="6">
        <f>IFERROR(__xludf.DUMMYFUNCTION("""COMPUTED_VALUE"""),7.0)</f>
        <v>7</v>
      </c>
      <c r="D4801" s="6" t="str">
        <f>IFERROR(__xludf.DUMMYFUNCTION("""COMPUTED_VALUE"""),"P-54513-00")</f>
        <v>P-54513-00</v>
      </c>
      <c r="E4801" s="6" t="str">
        <f>IFERROR(__xludf.DUMMYFUNCTION("""COMPUTED_VALUE"""),"General - Kabel Gland PG25; No Brand; -; 1 pc")</f>
        <v>General - Kabel Gland PG25; No Brand; -; 1 pc</v>
      </c>
      <c r="F4801" s="6">
        <f>IFERROR(__xludf.DUMMYFUNCTION("""COMPUTED_VALUE"""),10.0)</f>
        <v>10</v>
      </c>
      <c r="G4801" s="6" t="str">
        <f>IFERROR(__xludf.DUMMYFUNCTION("""COMPUTED_VALUE"""),"Pieces")</f>
        <v>Pieces</v>
      </c>
      <c r="H4801" s="6" t="str">
        <f>IFERROR(__xludf.DUMMYFUNCTION("""COMPUTED_VALUE"""),"IDR")</f>
        <v>IDR</v>
      </c>
      <c r="I4801" s="6">
        <f>IFERROR(__xludf.DUMMYFUNCTION("""COMPUTED_VALUE"""),7000.0)</f>
        <v>7000</v>
      </c>
      <c r="J4801" s="6">
        <f>IFERROR(__xludf.DUMMYFUNCTION("""COMPUTED_VALUE"""),70000.0)</f>
        <v>70000</v>
      </c>
      <c r="K4801" s="57">
        <f>IFERROR(__xludf.DUMMYFUNCTION("""COMPUTED_VALUE"""),46087.0)</f>
        <v>46087</v>
      </c>
      <c r="L4801" s="6" t="str">
        <f>IFERROR(__xludf.DUMMYFUNCTION("""COMPUTED_VALUE"""),"FIP Engineering")</f>
        <v>FIP Engineering</v>
      </c>
      <c r="M4801" s="6" t="str">
        <f>IFERROR(__xludf.DUMMYFUNCTION("""COMPUTED_VALUE"""),"Mochammad Fadhillah Hakim,")</f>
        <v>Mochammad Fadhillah Hakim,</v>
      </c>
      <c r="N4801" s="6" t="str">
        <f>IFERROR(__xludf.DUMMYFUNCTION("""COMPUTED_VALUE"""),"FIP Engineering")</f>
        <v>FIP Engineering</v>
      </c>
      <c r="O4801" s="6" t="str">
        <f>IFERROR(__xludf.DUMMYFUNCTION("""COMPUTED_VALUE"""),"FIP-DOM-000-11304-OS00001-INA-000000")</f>
        <v>FIP-DOM-000-11304-OS00001-INA-000000</v>
      </c>
      <c r="P4801" s="6" t="str">
        <f>IFERROR(__xludf.DUMMYFUNCTION("""COMPUTED_VALUE"""),"PO Closed")</f>
        <v>PO Closed</v>
      </c>
      <c r="Q4801" s="6" t="str">
        <f>IFERROR(__xludf.DUMMYFUNCTION("""COMPUTED_VALUE"""),"GL2603428")</f>
        <v>GL2603428</v>
      </c>
      <c r="R4801" s="57">
        <f>IFERROR(__xludf.DUMMYFUNCTION("""COMPUTED_VALUE"""),46050.0)</f>
        <v>46050</v>
      </c>
      <c r="S4801" s="57">
        <f>IFERROR(__xludf.DUMMYFUNCTION("""COMPUTED_VALUE"""),46051.0)</f>
        <v>46051</v>
      </c>
      <c r="T4801" s="57">
        <f>IFERROR(__xludf.DUMMYFUNCTION("""COMPUTED_VALUE"""),46105.0)</f>
        <v>46105</v>
      </c>
    </row>
    <row r="4802">
      <c r="A4802" s="6" t="str">
        <f>IFERROR(__xludf.DUMMYFUNCTION("""COMPUTED_VALUE"""),"121703754-8")</f>
        <v>121703754-8</v>
      </c>
      <c r="B4802" s="6" t="str">
        <f>IFERROR(__xludf.DUMMYFUNCTION("""COMPUTED_VALUE"""),"121703754 - APPROVED")</f>
        <v>121703754 - APPROVED</v>
      </c>
      <c r="C4802" s="6">
        <f>IFERROR(__xludf.DUMMYFUNCTION("""COMPUTED_VALUE"""),8.0)</f>
        <v>8</v>
      </c>
      <c r="D4802" s="6" t="str">
        <f>IFERROR(__xludf.DUMMYFUNCTION("""COMPUTED_VALUE"""),"P-54514-00")</f>
        <v>P-54514-00</v>
      </c>
      <c r="E4802" s="6" t="str">
        <f>IFERROR(__xludf.DUMMYFUNCTION("""COMPUTED_VALUE"""),"General - Skun Y, 2.5mm, Hijau; Ewig; -; 100pcs/pack")</f>
        <v>General - Skun Y, 2.5mm, Hijau; Ewig; -; 100pcs/pack</v>
      </c>
      <c r="F4802" s="6">
        <f>IFERROR(__xludf.DUMMYFUNCTION("""COMPUTED_VALUE"""),1.0)</f>
        <v>1</v>
      </c>
      <c r="G4802" s="6" t="str">
        <f>IFERROR(__xludf.DUMMYFUNCTION("""COMPUTED_VALUE"""),"Pack")</f>
        <v>Pack</v>
      </c>
      <c r="H4802" s="6" t="str">
        <f>IFERROR(__xludf.DUMMYFUNCTION("""COMPUTED_VALUE"""),"IDR")</f>
        <v>IDR</v>
      </c>
      <c r="I4802" s="6">
        <f>IFERROR(__xludf.DUMMYFUNCTION("""COMPUTED_VALUE"""),25000.0)</f>
        <v>25000</v>
      </c>
      <c r="J4802" s="6">
        <f>IFERROR(__xludf.DUMMYFUNCTION("""COMPUTED_VALUE"""),25000.0)</f>
        <v>25000</v>
      </c>
      <c r="K4802" s="57">
        <f>IFERROR(__xludf.DUMMYFUNCTION("""COMPUTED_VALUE"""),46087.0)</f>
        <v>46087</v>
      </c>
      <c r="L4802" s="6" t="str">
        <f>IFERROR(__xludf.DUMMYFUNCTION("""COMPUTED_VALUE"""),"FIP Engineering")</f>
        <v>FIP Engineering</v>
      </c>
      <c r="M4802" s="6" t="str">
        <f>IFERROR(__xludf.DUMMYFUNCTION("""COMPUTED_VALUE"""),"Mochammad Fadhillah Hakim,")</f>
        <v>Mochammad Fadhillah Hakim,</v>
      </c>
      <c r="N4802" s="6" t="str">
        <f>IFERROR(__xludf.DUMMYFUNCTION("""COMPUTED_VALUE"""),"FIP Engineering")</f>
        <v>FIP Engineering</v>
      </c>
      <c r="O4802" s="6" t="str">
        <f>IFERROR(__xludf.DUMMYFUNCTION("""COMPUTED_VALUE"""),"FIP-DOM-000-11304-OS00001-INA-000000")</f>
        <v>FIP-DOM-000-11304-OS00001-INA-000000</v>
      </c>
      <c r="P4802" s="6" t="str">
        <f>IFERROR(__xludf.DUMMYFUNCTION("""COMPUTED_VALUE"""),"PO Closed")</f>
        <v>PO Closed</v>
      </c>
      <c r="Q4802" s="6" t="str">
        <f>IFERROR(__xludf.DUMMYFUNCTION("""COMPUTED_VALUE"""),"GL2603431")</f>
        <v>GL2603431</v>
      </c>
      <c r="R4802" s="57">
        <f>IFERROR(__xludf.DUMMYFUNCTION("""COMPUTED_VALUE"""),46050.0)</f>
        <v>46050</v>
      </c>
      <c r="S4802" s="57">
        <f>IFERROR(__xludf.DUMMYFUNCTION("""COMPUTED_VALUE"""),46051.0)</f>
        <v>46051</v>
      </c>
      <c r="T4802" s="57">
        <f>IFERROR(__xludf.DUMMYFUNCTION("""COMPUTED_VALUE"""),46114.0)</f>
        <v>46114</v>
      </c>
    </row>
    <row r="4803">
      <c r="A4803" s="6" t="str">
        <f>IFERROR(__xludf.DUMMYFUNCTION("""COMPUTED_VALUE"""),"121703754-9")</f>
        <v>121703754-9</v>
      </c>
      <c r="B4803" s="6" t="str">
        <f>IFERROR(__xludf.DUMMYFUNCTION("""COMPUTED_VALUE"""),"121703754 - APPROVED")</f>
        <v>121703754 - APPROVED</v>
      </c>
      <c r="C4803" s="6">
        <f>IFERROR(__xludf.DUMMYFUNCTION("""COMPUTED_VALUE"""),9.0)</f>
        <v>9</v>
      </c>
      <c r="D4803" s="6" t="str">
        <f>IFERROR(__xludf.DUMMYFUNCTION("""COMPUTED_VALUE"""),"P-54515-00")</f>
        <v>P-54515-00</v>
      </c>
      <c r="E4803" s="6" t="str">
        <f>IFERROR(__xludf.DUMMYFUNCTION("""COMPUTED_VALUE"""),"General - Skun Y, 2.5mm, Kuning; Ewig; -; 100pcs/pack")</f>
        <v>General - Skun Y, 2.5mm, Kuning; Ewig; -; 100pcs/pack</v>
      </c>
      <c r="F4803" s="6">
        <f>IFERROR(__xludf.DUMMYFUNCTION("""COMPUTED_VALUE"""),1.0)</f>
        <v>1</v>
      </c>
      <c r="G4803" s="6" t="str">
        <f>IFERROR(__xludf.DUMMYFUNCTION("""COMPUTED_VALUE"""),"Pieces")</f>
        <v>Pieces</v>
      </c>
      <c r="H4803" s="6" t="str">
        <f>IFERROR(__xludf.DUMMYFUNCTION("""COMPUTED_VALUE"""),"IDR")</f>
        <v>IDR</v>
      </c>
      <c r="I4803" s="6">
        <f>IFERROR(__xludf.DUMMYFUNCTION("""COMPUTED_VALUE"""),25000.0)</f>
        <v>25000</v>
      </c>
      <c r="J4803" s="6">
        <f>IFERROR(__xludf.DUMMYFUNCTION("""COMPUTED_VALUE"""),25000.0)</f>
        <v>25000</v>
      </c>
      <c r="K4803" s="57">
        <f>IFERROR(__xludf.DUMMYFUNCTION("""COMPUTED_VALUE"""),46087.0)</f>
        <v>46087</v>
      </c>
      <c r="L4803" s="6" t="str">
        <f>IFERROR(__xludf.DUMMYFUNCTION("""COMPUTED_VALUE"""),"FIP Engineering")</f>
        <v>FIP Engineering</v>
      </c>
      <c r="M4803" s="6" t="str">
        <f>IFERROR(__xludf.DUMMYFUNCTION("""COMPUTED_VALUE"""),"Mochammad Fadhillah Hakim,")</f>
        <v>Mochammad Fadhillah Hakim,</v>
      </c>
      <c r="N4803" s="6" t="str">
        <f>IFERROR(__xludf.DUMMYFUNCTION("""COMPUTED_VALUE"""),"FIP Engineering")</f>
        <v>FIP Engineering</v>
      </c>
      <c r="O4803" s="6" t="str">
        <f>IFERROR(__xludf.DUMMYFUNCTION("""COMPUTED_VALUE"""),"FIP-DOM-000-11304-OS00001-INA-000000")</f>
        <v>FIP-DOM-000-11304-OS00001-INA-000000</v>
      </c>
      <c r="P4803" s="6" t="str">
        <f>IFERROR(__xludf.DUMMYFUNCTION("""COMPUTED_VALUE"""),"PO Closed")</f>
        <v>PO Closed</v>
      </c>
      <c r="Q4803" s="6" t="str">
        <f>IFERROR(__xludf.DUMMYFUNCTION("""COMPUTED_VALUE"""),"GL2603431")</f>
        <v>GL2603431</v>
      </c>
      <c r="R4803" s="57">
        <f>IFERROR(__xludf.DUMMYFUNCTION("""COMPUTED_VALUE"""),46050.0)</f>
        <v>46050</v>
      </c>
      <c r="S4803" s="57">
        <f>IFERROR(__xludf.DUMMYFUNCTION("""COMPUTED_VALUE"""),46051.0)</f>
        <v>46051</v>
      </c>
      <c r="T4803" s="57">
        <f>IFERROR(__xludf.DUMMYFUNCTION("""COMPUTED_VALUE"""),46114.0)</f>
        <v>46114</v>
      </c>
    </row>
    <row r="4804">
      <c r="A4804" s="6" t="str">
        <f>IFERROR(__xludf.DUMMYFUNCTION("""COMPUTED_VALUE"""),"121703754-10")</f>
        <v>121703754-10</v>
      </c>
      <c r="B4804" s="6" t="str">
        <f>IFERROR(__xludf.DUMMYFUNCTION("""COMPUTED_VALUE"""),"121703754 - APPROVED")</f>
        <v>121703754 - APPROVED</v>
      </c>
      <c r="C4804" s="6">
        <f>IFERROR(__xludf.DUMMYFUNCTION("""COMPUTED_VALUE"""),10.0)</f>
        <v>10</v>
      </c>
      <c r="D4804" s="6" t="str">
        <f>IFERROR(__xludf.DUMMYFUNCTION("""COMPUTED_VALUE"""),"P-54516-00")</f>
        <v>P-54516-00</v>
      </c>
      <c r="E4804" s="6" t="str">
        <f>IFERROR(__xludf.DUMMYFUNCTION("""COMPUTED_VALUE"""),"General - Skun Y, 2.5mm, Merah; Ewig; -; 100pcs/pack")</f>
        <v>General - Skun Y, 2.5mm, Merah; Ewig; -; 100pcs/pack</v>
      </c>
      <c r="F4804" s="6">
        <f>IFERROR(__xludf.DUMMYFUNCTION("""COMPUTED_VALUE"""),1.0)</f>
        <v>1</v>
      </c>
      <c r="G4804" s="6" t="str">
        <f>IFERROR(__xludf.DUMMYFUNCTION("""COMPUTED_VALUE"""),"Pieces")</f>
        <v>Pieces</v>
      </c>
      <c r="H4804" s="6" t="str">
        <f>IFERROR(__xludf.DUMMYFUNCTION("""COMPUTED_VALUE"""),"IDR")</f>
        <v>IDR</v>
      </c>
      <c r="I4804" s="6">
        <f>IFERROR(__xludf.DUMMYFUNCTION("""COMPUTED_VALUE"""),25000.0)</f>
        <v>25000</v>
      </c>
      <c r="J4804" s="6">
        <f>IFERROR(__xludf.DUMMYFUNCTION("""COMPUTED_VALUE"""),25000.0)</f>
        <v>25000</v>
      </c>
      <c r="K4804" s="57">
        <f>IFERROR(__xludf.DUMMYFUNCTION("""COMPUTED_VALUE"""),46087.0)</f>
        <v>46087</v>
      </c>
      <c r="L4804" s="6" t="str">
        <f>IFERROR(__xludf.DUMMYFUNCTION("""COMPUTED_VALUE"""),"FIP Engineering")</f>
        <v>FIP Engineering</v>
      </c>
      <c r="M4804" s="6" t="str">
        <f>IFERROR(__xludf.DUMMYFUNCTION("""COMPUTED_VALUE"""),"Mochammad Fadhillah Hakim,")</f>
        <v>Mochammad Fadhillah Hakim,</v>
      </c>
      <c r="N4804" s="6" t="str">
        <f>IFERROR(__xludf.DUMMYFUNCTION("""COMPUTED_VALUE"""),"FIP Engineering")</f>
        <v>FIP Engineering</v>
      </c>
      <c r="O4804" s="6" t="str">
        <f>IFERROR(__xludf.DUMMYFUNCTION("""COMPUTED_VALUE"""),"FIP-DOM-000-11304-OS00001-INA-000000")</f>
        <v>FIP-DOM-000-11304-OS00001-INA-000000</v>
      </c>
      <c r="P4804" s="6" t="str">
        <f>IFERROR(__xludf.DUMMYFUNCTION("""COMPUTED_VALUE"""),"PO Closed")</f>
        <v>PO Closed</v>
      </c>
      <c r="Q4804" s="6" t="str">
        <f>IFERROR(__xludf.DUMMYFUNCTION("""COMPUTED_VALUE"""),"GL2603431")</f>
        <v>GL2603431</v>
      </c>
      <c r="R4804" s="57">
        <f>IFERROR(__xludf.DUMMYFUNCTION("""COMPUTED_VALUE"""),46050.0)</f>
        <v>46050</v>
      </c>
      <c r="S4804" s="57">
        <f>IFERROR(__xludf.DUMMYFUNCTION("""COMPUTED_VALUE"""),46051.0)</f>
        <v>46051</v>
      </c>
      <c r="T4804" s="57">
        <f>IFERROR(__xludf.DUMMYFUNCTION("""COMPUTED_VALUE"""),46114.0)</f>
        <v>46114</v>
      </c>
    </row>
    <row r="4805">
      <c r="A4805" s="6" t="str">
        <f>IFERROR(__xludf.DUMMYFUNCTION("""COMPUTED_VALUE"""),"121703755-1")</f>
        <v>121703755-1</v>
      </c>
      <c r="B4805" s="6" t="str">
        <f>IFERROR(__xludf.DUMMYFUNCTION("""COMPUTED_VALUE"""),"121703755 - APPROVED")</f>
        <v>121703755 - APPROVED</v>
      </c>
      <c r="C4805" s="6">
        <f>IFERROR(__xludf.DUMMYFUNCTION("""COMPUTED_VALUE"""),1.0)</f>
        <v>1</v>
      </c>
      <c r="D4805" s="6" t="str">
        <f>IFERROR(__xludf.DUMMYFUNCTION("""COMPUTED_VALUE"""),"O-21327-00")</f>
        <v>O-21327-00</v>
      </c>
      <c r="E4805" s="6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F4805" s="6">
        <f>IFERROR(__xludf.DUMMYFUNCTION("""COMPUTED_VALUE"""),27.0)</f>
        <v>27</v>
      </c>
      <c r="G4805" s="6" t="str">
        <f>IFERROR(__xludf.DUMMYFUNCTION("""COMPUTED_VALUE"""),"Pieces")</f>
        <v>Pieces</v>
      </c>
      <c r="H4805" s="6" t="str">
        <f>IFERROR(__xludf.DUMMYFUNCTION("""COMPUTED_VALUE"""),"IDR")</f>
        <v>IDR</v>
      </c>
      <c r="I4805" s="6">
        <f>IFERROR(__xludf.DUMMYFUNCTION("""COMPUTED_VALUE"""),185000.0)</f>
        <v>185000</v>
      </c>
      <c r="J4805" s="6">
        <f>IFERROR(__xludf.DUMMYFUNCTION("""COMPUTED_VALUE"""),4995000.0)</f>
        <v>4995000</v>
      </c>
      <c r="K4805" s="57">
        <f>IFERROR(__xludf.DUMMYFUNCTION("""COMPUTED_VALUE"""),46053.0)</f>
        <v>46053</v>
      </c>
      <c r="L4805" s="6" t="str">
        <f>IFERROR(__xludf.DUMMYFUNCTION("""COMPUTED_VALUE"""),"FIP Engineering")</f>
        <v>FIP Engineering</v>
      </c>
      <c r="M4805" s="6" t="str">
        <f>IFERROR(__xludf.DUMMYFUNCTION("""COMPUTED_VALUE"""),"Mochammad Fadhillah Hakim,")</f>
        <v>Mochammad Fadhillah Hakim,</v>
      </c>
      <c r="N4805" s="6" t="str">
        <f>IFERROR(__xludf.DUMMYFUNCTION("""COMPUTED_VALUE"""),"FIP Engineering")</f>
        <v>FIP Engineering</v>
      </c>
      <c r="O4805" s="6" t="str">
        <f>IFERROR(__xludf.DUMMYFUNCTION("""COMPUTED_VALUE"""),"FIP-DOM-000-11304-OS00001-INA-000000")</f>
        <v>FIP-DOM-000-11304-OS00001-INA-000000</v>
      </c>
      <c r="P4805" s="6" t="str">
        <f>IFERROR(__xludf.DUMMYFUNCTION("""COMPUTED_VALUE"""),"PO Closed")</f>
        <v>PO Closed</v>
      </c>
      <c r="Q4805" s="6" t="str">
        <f>IFERROR(__xludf.DUMMYFUNCTION("""COMPUTED_VALUE"""),"GL2602003")</f>
        <v>GL2602003</v>
      </c>
      <c r="R4805" s="57">
        <f>IFERROR(__xludf.DUMMYFUNCTION("""COMPUTED_VALUE"""),46050.0)</f>
        <v>46050</v>
      </c>
      <c r="S4805" s="57">
        <f>IFERROR(__xludf.DUMMYFUNCTION("""COMPUTED_VALUE"""),46051.0)</f>
        <v>46051</v>
      </c>
      <c r="T4805" s="57">
        <f>IFERROR(__xludf.DUMMYFUNCTION("""COMPUTED_VALUE"""),46081.0)</f>
        <v>46081</v>
      </c>
    </row>
    <row r="4806">
      <c r="A4806" s="6" t="str">
        <f>IFERROR(__xludf.DUMMYFUNCTION("""COMPUTED_VALUE"""),"121703757-1")</f>
        <v>121703757-1</v>
      </c>
      <c r="B4806" s="6" t="str">
        <f>IFERROR(__xludf.DUMMYFUNCTION("""COMPUTED_VALUE"""),"121703757 - APPROVED")</f>
        <v>121703757 - APPROVED</v>
      </c>
      <c r="C4806" s="6">
        <f>IFERROR(__xludf.DUMMYFUNCTION("""COMPUTED_VALUE"""),1.0)</f>
        <v>1</v>
      </c>
      <c r="D4806" s="6" t="str">
        <f>IFERROR(__xludf.DUMMYFUNCTION("""COMPUTED_VALUE"""),"P-54518-00")</f>
        <v>P-54518-00</v>
      </c>
      <c r="E4806" s="6" t="str">
        <f>IFERROR(__xludf.DUMMYFUNCTION("""COMPUTED_VALUE"""),"General - Stop Kontak Panel Mounting 2Phase, 16A, 220V; Fort; CEE112; 1 pc")</f>
        <v>General - Stop Kontak Panel Mounting 2Phase, 16A, 220V; Fort; CEE112; 1 pc</v>
      </c>
      <c r="F4806" s="6">
        <f>IFERROR(__xludf.DUMMYFUNCTION("""COMPUTED_VALUE"""),1.0)</f>
        <v>1</v>
      </c>
      <c r="G4806" s="6" t="str">
        <f>IFERROR(__xludf.DUMMYFUNCTION("""COMPUTED_VALUE"""),"Pieces")</f>
        <v>Pieces</v>
      </c>
      <c r="H4806" s="6" t="str">
        <f>IFERROR(__xludf.DUMMYFUNCTION("""COMPUTED_VALUE"""),"IDR")</f>
        <v>IDR</v>
      </c>
      <c r="I4806" s="6">
        <f>IFERROR(__xludf.DUMMYFUNCTION("""COMPUTED_VALUE"""),50000.0)</f>
        <v>50000</v>
      </c>
      <c r="J4806" s="6">
        <f>IFERROR(__xludf.DUMMYFUNCTION("""COMPUTED_VALUE"""),50000.0)</f>
        <v>50000</v>
      </c>
      <c r="K4806" s="57">
        <f>IFERROR(__xludf.DUMMYFUNCTION("""COMPUTED_VALUE"""),46087.0)</f>
        <v>46087</v>
      </c>
      <c r="L4806" s="6" t="str">
        <f>IFERROR(__xludf.DUMMYFUNCTION("""COMPUTED_VALUE"""),"FIP Engineering")</f>
        <v>FIP Engineering</v>
      </c>
      <c r="M4806" s="6" t="str">
        <f>IFERROR(__xludf.DUMMYFUNCTION("""COMPUTED_VALUE"""),"Mochammad Fadhillah Hakim,")</f>
        <v>Mochammad Fadhillah Hakim,</v>
      </c>
      <c r="N4806" s="6" t="str">
        <f>IFERROR(__xludf.DUMMYFUNCTION("""COMPUTED_VALUE"""),"FIP Engineering")</f>
        <v>FIP Engineering</v>
      </c>
      <c r="O4806" s="6" t="str">
        <f>IFERROR(__xludf.DUMMYFUNCTION("""COMPUTED_VALUE"""),"FIP-DOM-000-11304-OS00001-INA-000000")</f>
        <v>FIP-DOM-000-11304-OS00001-INA-000000</v>
      </c>
      <c r="P4806" s="6" t="str">
        <f>IFERROR(__xludf.DUMMYFUNCTION("""COMPUTED_VALUE"""),"PO Closed")</f>
        <v>PO Closed</v>
      </c>
      <c r="Q4806" s="6" t="str">
        <f>IFERROR(__xludf.DUMMYFUNCTION("""COMPUTED_VALUE"""),"GL2603428")</f>
        <v>GL2603428</v>
      </c>
      <c r="R4806" s="57">
        <f>IFERROR(__xludf.DUMMYFUNCTION("""COMPUTED_VALUE"""),46050.0)</f>
        <v>46050</v>
      </c>
      <c r="S4806" s="57">
        <f>IFERROR(__xludf.DUMMYFUNCTION("""COMPUTED_VALUE"""),46051.0)</f>
        <v>46051</v>
      </c>
      <c r="T4806" s="57">
        <f>IFERROR(__xludf.DUMMYFUNCTION("""COMPUTED_VALUE"""),46105.0)</f>
        <v>46105</v>
      </c>
    </row>
    <row r="4807">
      <c r="A4807" s="6" t="str">
        <f>IFERROR(__xludf.DUMMYFUNCTION("""COMPUTED_VALUE"""),"121703757-2")</f>
        <v>121703757-2</v>
      </c>
      <c r="B4807" s="6" t="str">
        <f>IFERROR(__xludf.DUMMYFUNCTION("""COMPUTED_VALUE"""),"121703757 - APPROVED")</f>
        <v>121703757 - APPROVED</v>
      </c>
      <c r="C4807" s="6">
        <f>IFERROR(__xludf.DUMMYFUNCTION("""COMPUTED_VALUE"""),2.0)</f>
        <v>2</v>
      </c>
      <c r="D4807" s="6" t="str">
        <f>IFERROR(__xludf.DUMMYFUNCTION("""COMPUTED_VALUE"""),"P-54519-00")</f>
        <v>P-54519-00</v>
      </c>
      <c r="E4807" s="6" t="str">
        <f>IFERROR(__xludf.DUMMYFUNCTION("""COMPUTED_VALUE"""),"General - Terminal Block TBR20; Fort; -; 50pcs/pack")</f>
        <v>General - Terminal Block TBR20; Fort; -; 50pcs/pack</v>
      </c>
      <c r="F4807" s="6">
        <f>IFERROR(__xludf.DUMMYFUNCTION("""COMPUTED_VALUE"""),2.0)</f>
        <v>2</v>
      </c>
      <c r="G4807" s="6" t="str">
        <f>IFERROR(__xludf.DUMMYFUNCTION("""COMPUTED_VALUE"""),"Pack")</f>
        <v>Pack</v>
      </c>
      <c r="H4807" s="6" t="str">
        <f>IFERROR(__xludf.DUMMYFUNCTION("""COMPUTED_VALUE"""),"IDR")</f>
        <v>IDR</v>
      </c>
      <c r="I4807" s="6">
        <f>IFERROR(__xludf.DUMMYFUNCTION("""COMPUTED_VALUE"""),250000.0)</f>
        <v>250000</v>
      </c>
      <c r="J4807" s="6">
        <f>IFERROR(__xludf.DUMMYFUNCTION("""COMPUTED_VALUE"""),500000.0)</f>
        <v>500000</v>
      </c>
      <c r="K4807" s="57">
        <f>IFERROR(__xludf.DUMMYFUNCTION("""COMPUTED_VALUE"""),46087.0)</f>
        <v>46087</v>
      </c>
      <c r="L4807" s="6" t="str">
        <f>IFERROR(__xludf.DUMMYFUNCTION("""COMPUTED_VALUE"""),"FIP Engineering")</f>
        <v>FIP Engineering</v>
      </c>
      <c r="M4807" s="6" t="str">
        <f>IFERROR(__xludf.DUMMYFUNCTION("""COMPUTED_VALUE"""),"Mochammad Fadhillah Hakim,")</f>
        <v>Mochammad Fadhillah Hakim,</v>
      </c>
      <c r="N4807" s="6" t="str">
        <f>IFERROR(__xludf.DUMMYFUNCTION("""COMPUTED_VALUE"""),"FIP Engineering")</f>
        <v>FIP Engineering</v>
      </c>
      <c r="O4807" s="6" t="str">
        <f>IFERROR(__xludf.DUMMYFUNCTION("""COMPUTED_VALUE"""),"FIP-DOM-000-11304-OS00001-INA-000000")</f>
        <v>FIP-DOM-000-11304-OS00001-INA-000000</v>
      </c>
      <c r="P4807" s="6" t="str">
        <f>IFERROR(__xludf.DUMMYFUNCTION("""COMPUTED_VALUE"""),"PO Closed")</f>
        <v>PO Closed</v>
      </c>
      <c r="Q4807" s="6" t="str">
        <f>IFERROR(__xludf.DUMMYFUNCTION("""COMPUTED_VALUE"""),"GL2603431")</f>
        <v>GL2603431</v>
      </c>
      <c r="R4807" s="57">
        <f>IFERROR(__xludf.DUMMYFUNCTION("""COMPUTED_VALUE"""),46050.0)</f>
        <v>46050</v>
      </c>
      <c r="S4807" s="57">
        <f>IFERROR(__xludf.DUMMYFUNCTION("""COMPUTED_VALUE"""),46051.0)</f>
        <v>46051</v>
      </c>
      <c r="T4807" s="57">
        <f>IFERROR(__xludf.DUMMYFUNCTION("""COMPUTED_VALUE"""),46114.0)</f>
        <v>46114</v>
      </c>
    </row>
    <row r="4808">
      <c r="A4808" s="6" t="str">
        <f>IFERROR(__xludf.DUMMYFUNCTION("""COMPUTED_VALUE"""),"121703759-1")</f>
        <v>121703759-1</v>
      </c>
      <c r="B4808" s="6" t="str">
        <f>IFERROR(__xludf.DUMMYFUNCTION("""COMPUTED_VALUE"""),"121703759 - APPROVED")</f>
        <v>121703759 - APPROVED</v>
      </c>
      <c r="C4808" s="6">
        <f>IFERROR(__xludf.DUMMYFUNCTION("""COMPUTED_VALUE"""),1.0)</f>
        <v>1</v>
      </c>
      <c r="D4808" s="6" t="str">
        <f>IFERROR(__xludf.DUMMYFUNCTION("""COMPUTED_VALUE"""),"Q-50027-00")</f>
        <v>Q-50027-00</v>
      </c>
      <c r="E4808" s="6" t="str">
        <f>IFERROR(__xludf.DUMMYFUNCTION("""COMPUTED_VALUE"""),"Glass Lock atau Grendel Pintu Kaca Tanpa Bingkai; Dekkson; GL621CP; pc")</f>
        <v>Glass Lock atau Grendel Pintu Kaca Tanpa Bingkai; Dekkson; GL621CP; pc</v>
      </c>
      <c r="F4808" s="6">
        <f>IFERROR(__xludf.DUMMYFUNCTION("""COMPUTED_VALUE"""),4.0)</f>
        <v>4</v>
      </c>
      <c r="G4808" s="6" t="str">
        <f>IFERROR(__xludf.DUMMYFUNCTION("""COMPUTED_VALUE"""),"Pieces")</f>
        <v>Pieces</v>
      </c>
      <c r="H4808" s="6" t="str">
        <f>IFERROR(__xludf.DUMMYFUNCTION("""COMPUTED_VALUE"""),"IDR")</f>
        <v>IDR</v>
      </c>
      <c r="I4808" s="6">
        <f>IFERROR(__xludf.DUMMYFUNCTION("""COMPUTED_VALUE"""),225000.0)</f>
        <v>225000</v>
      </c>
      <c r="J4808" s="6">
        <f>IFERROR(__xludf.DUMMYFUNCTION("""COMPUTED_VALUE"""),900000.0)</f>
        <v>900000</v>
      </c>
      <c r="K4808" s="57">
        <f>IFERROR(__xludf.DUMMYFUNCTION("""COMPUTED_VALUE"""),46087.0)</f>
        <v>46087</v>
      </c>
      <c r="L4808" s="6" t="str">
        <f>IFERROR(__xludf.DUMMYFUNCTION("""COMPUTED_VALUE"""),"FIP General")</f>
        <v>FIP General</v>
      </c>
      <c r="M4808" s="6" t="str">
        <f>IFERROR(__xludf.DUMMYFUNCTION("""COMPUTED_VALUE"""),"Mochammad Fadhillah Hakim,")</f>
        <v>Mochammad Fadhillah Hakim,</v>
      </c>
      <c r="N4808" s="6" t="str">
        <f>IFERROR(__xludf.DUMMYFUNCTION("""COMPUTED_VALUE"""),"FIP Engineering")</f>
        <v>FIP Engineering</v>
      </c>
      <c r="O4808" s="6" t="str">
        <f>IFERROR(__xludf.DUMMYFUNCTION("""COMPUTED_VALUE"""),"FIP-DOM-ENG-51502-0000000-INA-000000")</f>
        <v>FIP-DOM-ENG-51502-0000000-INA-000000</v>
      </c>
      <c r="P4808" s="6" t="str">
        <f>IFERROR(__xludf.DUMMYFUNCTION("""COMPUTED_VALUE"""),"PO Closed")</f>
        <v>PO Closed</v>
      </c>
      <c r="Q4808" s="6" t="str">
        <f>IFERROR(__xludf.DUMMYFUNCTION("""COMPUTED_VALUE"""),"GL2602027")</f>
        <v>GL2602027</v>
      </c>
      <c r="R4808" s="57">
        <f>IFERROR(__xludf.DUMMYFUNCTION("""COMPUTED_VALUE"""),46051.0)</f>
        <v>46051</v>
      </c>
      <c r="S4808" s="57">
        <f>IFERROR(__xludf.DUMMYFUNCTION("""COMPUTED_VALUE"""),46051.0)</f>
        <v>46051</v>
      </c>
      <c r="T4808" s="57">
        <f>IFERROR(__xludf.DUMMYFUNCTION("""COMPUTED_VALUE"""),46112.0)</f>
        <v>46112</v>
      </c>
    </row>
    <row r="4809">
      <c r="A4809" s="6" t="str">
        <f>IFERROR(__xludf.DUMMYFUNCTION("""COMPUTED_VALUE"""),"121703760-1")</f>
        <v>121703760-1</v>
      </c>
      <c r="B4809" s="6" t="str">
        <f>IFERROR(__xludf.DUMMYFUNCTION("""COMPUTED_VALUE"""),"121703760 - APPROVED")</f>
        <v>121703760 - APPROVED</v>
      </c>
      <c r="C4809" s="6">
        <f>IFERROR(__xludf.DUMMYFUNCTION("""COMPUTED_VALUE"""),1.0)</f>
        <v>1</v>
      </c>
      <c r="D4809" s="6" t="str">
        <f>IFERROR(__xludf.DUMMYFUNCTION("""COMPUTED_VALUE"""),"P-50277-00")</f>
        <v>P-50277-00</v>
      </c>
      <c r="E4809" s="6" t="str">
        <f>IFERROR(__xludf.DUMMYFUNCTION("""COMPUTED_VALUE"""),"General - Kabel NYAF 1 x 1.5 Hitam; Supreme; -; 50m/roll")</f>
        <v>General - Kabel NYAF 1 x 1.5 Hitam; Supreme; -; 50m/roll</v>
      </c>
      <c r="F4809" s="6">
        <f>IFERROR(__xludf.DUMMYFUNCTION("""COMPUTED_VALUE"""),2.0)</f>
        <v>2</v>
      </c>
      <c r="G4809" s="6" t="str">
        <f>IFERROR(__xludf.DUMMYFUNCTION("""COMPUTED_VALUE"""),"Pieces")</f>
        <v>Pieces</v>
      </c>
      <c r="H4809" s="6" t="str">
        <f>IFERROR(__xludf.DUMMYFUNCTION("""COMPUTED_VALUE"""),"IDR")</f>
        <v>IDR</v>
      </c>
      <c r="I4809" s="6">
        <f>IFERROR(__xludf.DUMMYFUNCTION("""COMPUTED_VALUE"""),335000.0)</f>
        <v>335000</v>
      </c>
      <c r="J4809" s="6">
        <f>IFERROR(__xludf.DUMMYFUNCTION("""COMPUTED_VALUE"""),670000.0)</f>
        <v>670000</v>
      </c>
      <c r="K4809" s="57">
        <f>IFERROR(__xludf.DUMMYFUNCTION("""COMPUTED_VALUE"""),46087.0)</f>
        <v>46087</v>
      </c>
      <c r="L4809" s="6" t="str">
        <f>IFERROR(__xludf.DUMMYFUNCTION("""COMPUTED_VALUE"""),"FIP Engineering")</f>
        <v>FIP Engineering</v>
      </c>
      <c r="M4809" s="6" t="str">
        <f>IFERROR(__xludf.DUMMYFUNCTION("""COMPUTED_VALUE"""),"Mochammad Fadhillah Hakim,")</f>
        <v>Mochammad Fadhillah Hakim,</v>
      </c>
      <c r="N4809" s="6" t="str">
        <f>IFERROR(__xludf.DUMMYFUNCTION("""COMPUTED_VALUE"""),"FIP Engineering")</f>
        <v>FIP Engineering</v>
      </c>
      <c r="O4809" s="6" t="str">
        <f>IFERROR(__xludf.DUMMYFUNCTION("""COMPUTED_VALUE"""),"FIP-DOM-000-11304-OS00001-INA-000000")</f>
        <v>FIP-DOM-000-11304-OS00001-INA-000000</v>
      </c>
      <c r="P4809" s="6" t="str">
        <f>IFERROR(__xludf.DUMMYFUNCTION("""COMPUTED_VALUE"""),"PO Closed")</f>
        <v>PO Closed</v>
      </c>
      <c r="Q4809" s="6" t="str">
        <f>IFERROR(__xludf.DUMMYFUNCTION("""COMPUTED_VALUE"""),"GL2603428")</f>
        <v>GL2603428</v>
      </c>
      <c r="R4809" s="57">
        <f>IFERROR(__xludf.DUMMYFUNCTION("""COMPUTED_VALUE"""),46051.0)</f>
        <v>46051</v>
      </c>
      <c r="S4809" s="57">
        <f>IFERROR(__xludf.DUMMYFUNCTION("""COMPUTED_VALUE"""),46051.0)</f>
        <v>46051</v>
      </c>
      <c r="T4809" s="57">
        <f>IFERROR(__xludf.DUMMYFUNCTION("""COMPUTED_VALUE"""),46105.0)</f>
        <v>46105</v>
      </c>
    </row>
    <row r="4810">
      <c r="A4810" s="6" t="str">
        <f>IFERROR(__xludf.DUMMYFUNCTION("""COMPUTED_VALUE"""),"121703761-1")</f>
        <v>121703761-1</v>
      </c>
      <c r="B4810" s="6" t="str">
        <f>IFERROR(__xludf.DUMMYFUNCTION("""COMPUTED_VALUE"""),"121703761 - APPROVED")</f>
        <v>121703761 - APPROVED</v>
      </c>
      <c r="C4810" s="6">
        <f>IFERROR(__xludf.DUMMYFUNCTION("""COMPUTED_VALUE"""),1.0)</f>
        <v>1</v>
      </c>
      <c r="D4810" s="6" t="str">
        <f>IFERROR(__xludf.DUMMYFUNCTION("""COMPUTED_VALUE"""),"P-20449-00")</f>
        <v>P-20449-00</v>
      </c>
      <c r="E4810" s="6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F4810" s="6">
        <f>IFERROR(__xludf.DUMMYFUNCTION("""COMPUTED_VALUE"""),5.0)</f>
        <v>5</v>
      </c>
      <c r="G4810" s="6" t="str">
        <f>IFERROR(__xludf.DUMMYFUNCTION("""COMPUTED_VALUE"""),"Pieces")</f>
        <v>Pieces</v>
      </c>
      <c r="H4810" s="6" t="str">
        <f>IFERROR(__xludf.DUMMYFUNCTION("""COMPUTED_VALUE"""),"IDR")</f>
        <v>IDR</v>
      </c>
      <c r="I4810" s="6">
        <f>IFERROR(__xludf.DUMMYFUNCTION("""COMPUTED_VALUE"""),230000.0)</f>
        <v>230000</v>
      </c>
      <c r="J4810" s="6">
        <f>IFERROR(__xludf.DUMMYFUNCTION("""COMPUTED_VALUE"""),1150000.0)</f>
        <v>1150000</v>
      </c>
      <c r="K4810" s="57">
        <f>IFERROR(__xludf.DUMMYFUNCTION("""COMPUTED_VALUE"""),46059.0)</f>
        <v>46059</v>
      </c>
      <c r="L4810" s="6" t="str">
        <f>IFERROR(__xludf.DUMMYFUNCTION("""COMPUTED_VALUE"""),"FIP Engineering")</f>
        <v>FIP Engineering</v>
      </c>
      <c r="M4810" s="6" t="str">
        <f>IFERROR(__xludf.DUMMYFUNCTION("""COMPUTED_VALUE"""),"Mochammad Fadhillah Hakim,")</f>
        <v>Mochammad Fadhillah Hakim,</v>
      </c>
      <c r="N4810" s="6" t="str">
        <f>IFERROR(__xludf.DUMMYFUNCTION("""COMPUTED_VALUE"""),"FIP Engineering")</f>
        <v>FIP Engineering</v>
      </c>
      <c r="O4810" s="6" t="str">
        <f>IFERROR(__xludf.DUMMYFUNCTION("""COMPUTED_VALUE"""),"FIP-DOM-000-11304-OS00001-INA-000000")</f>
        <v>FIP-DOM-000-11304-OS00001-INA-000000</v>
      </c>
      <c r="P4810" s="6" t="str">
        <f>IFERROR(__xludf.DUMMYFUNCTION("""COMPUTED_VALUE"""),"PO Closed")</f>
        <v>PO Closed</v>
      </c>
      <c r="Q4810" s="6" t="str">
        <f>IFERROR(__xludf.DUMMYFUNCTION("""COMPUTED_VALUE"""),"GL2603430")</f>
        <v>GL2603430</v>
      </c>
      <c r="R4810" s="57">
        <f>IFERROR(__xludf.DUMMYFUNCTION("""COMPUTED_VALUE"""),46051.0)</f>
        <v>46051</v>
      </c>
      <c r="S4810" s="57">
        <f>IFERROR(__xludf.DUMMYFUNCTION("""COMPUTED_VALUE"""),46051.0)</f>
        <v>46051</v>
      </c>
      <c r="T4810" s="57">
        <f>IFERROR(__xludf.DUMMYFUNCTION("""COMPUTED_VALUE"""),46059.0)</f>
        <v>46059</v>
      </c>
    </row>
    <row r="4811">
      <c r="A4811" s="6" t="str">
        <f>IFERROR(__xludf.DUMMYFUNCTION("""COMPUTED_VALUE"""),"121703762-1")</f>
        <v>121703762-1</v>
      </c>
      <c r="B4811" s="6" t="str">
        <f>IFERROR(__xludf.DUMMYFUNCTION("""COMPUTED_VALUE"""),"121703762 - APPROVED")</f>
        <v>121703762 - APPROVED</v>
      </c>
      <c r="C4811" s="6">
        <f>IFERROR(__xludf.DUMMYFUNCTION("""COMPUTED_VALUE"""),1.0)</f>
        <v>1</v>
      </c>
      <c r="D4811" s="6" t="str">
        <f>IFERROR(__xludf.DUMMYFUNCTION("""COMPUTED_VALUE"""),"Q-10487-00")</f>
        <v>Q-10487-00</v>
      </c>
      <c r="E4811" s="6" t="str">
        <f>IFERROR(__xludf.DUMMYFUNCTION("""COMPUTED_VALUE"""),"Tutup Wastafel TOTO; ; ;")</f>
        <v>Tutup Wastafel TOTO; ; ;</v>
      </c>
      <c r="F4811" s="6">
        <f>IFERROR(__xludf.DUMMYFUNCTION("""COMPUTED_VALUE"""),5.0)</f>
        <v>5</v>
      </c>
      <c r="G4811" s="6" t="str">
        <f>IFERROR(__xludf.DUMMYFUNCTION("""COMPUTED_VALUE"""),"Pieces")</f>
        <v>Pieces</v>
      </c>
      <c r="H4811" s="6" t="str">
        <f>IFERROR(__xludf.DUMMYFUNCTION("""COMPUTED_VALUE"""),"IDR")</f>
        <v>IDR</v>
      </c>
      <c r="I4811" s="6">
        <f>IFERROR(__xludf.DUMMYFUNCTION("""COMPUTED_VALUE"""),285000.0)</f>
        <v>285000</v>
      </c>
      <c r="J4811" s="6">
        <f>IFERROR(__xludf.DUMMYFUNCTION("""COMPUTED_VALUE"""),1425000.0)</f>
        <v>1425000</v>
      </c>
      <c r="K4811" s="57">
        <f>IFERROR(__xludf.DUMMYFUNCTION("""COMPUTED_VALUE"""),46087.0)</f>
        <v>46087</v>
      </c>
      <c r="L4811" s="6" t="str">
        <f>IFERROR(__xludf.DUMMYFUNCTION("""COMPUTED_VALUE"""),"FIP General")</f>
        <v>FIP General</v>
      </c>
      <c r="M4811" s="6" t="str">
        <f>IFERROR(__xludf.DUMMYFUNCTION("""COMPUTED_VALUE"""),"Mochammad Fadhillah Hakim,")</f>
        <v>Mochammad Fadhillah Hakim,</v>
      </c>
      <c r="N4811" s="6" t="str">
        <f>IFERROR(__xludf.DUMMYFUNCTION("""COMPUTED_VALUE"""),"FIP Engineering")</f>
        <v>FIP Engineering</v>
      </c>
      <c r="O4811" s="6" t="str">
        <f>IFERROR(__xludf.DUMMYFUNCTION("""COMPUTED_VALUE"""),"FIP-DOM-ENG-51502-0000000-INA-000000")</f>
        <v>FIP-DOM-ENG-51502-0000000-INA-000000</v>
      </c>
      <c r="P4811" s="6" t="str">
        <f>IFERROR(__xludf.DUMMYFUNCTION("""COMPUTED_VALUE"""),"PO Closed")</f>
        <v>PO Closed</v>
      </c>
      <c r="Q4811" s="6" t="str">
        <f>IFERROR(__xludf.DUMMYFUNCTION("""COMPUTED_VALUE"""),"GL2602027")</f>
        <v>GL2602027</v>
      </c>
      <c r="R4811" s="57">
        <f>IFERROR(__xludf.DUMMYFUNCTION("""COMPUTED_VALUE"""),46051.0)</f>
        <v>46051</v>
      </c>
      <c r="S4811" s="57">
        <f>IFERROR(__xludf.DUMMYFUNCTION("""COMPUTED_VALUE"""),46051.0)</f>
        <v>46051</v>
      </c>
      <c r="T4811" s="57">
        <f>IFERROR(__xludf.DUMMYFUNCTION("""COMPUTED_VALUE"""),46112.0)</f>
        <v>46112</v>
      </c>
    </row>
    <row r="4812">
      <c r="A4812" s="6" t="str">
        <f>IFERROR(__xludf.DUMMYFUNCTION("""COMPUTED_VALUE"""),"121703763-1")</f>
        <v>121703763-1</v>
      </c>
      <c r="B4812" s="6" t="str">
        <f>IFERROR(__xludf.DUMMYFUNCTION("""COMPUTED_VALUE"""),"121703763 - APPROVED")</f>
        <v>121703763 - APPROVED</v>
      </c>
      <c r="C4812" s="6">
        <f>IFERROR(__xludf.DUMMYFUNCTION("""COMPUTED_VALUE"""),1.0)</f>
        <v>1</v>
      </c>
      <c r="D4812" s="6" t="str">
        <f>IFERROR(__xludf.DUMMYFUNCTION("""COMPUTED_VALUE"""),"P-13513-00")</f>
        <v>P-13513-00</v>
      </c>
      <c r="E4812" s="6" t="str">
        <f>IFERROR(__xludf.DUMMYFUNCTION("""COMPUTED_VALUE"""),"General - Magnehelic Pressure Gauges 2000-500Pa; Dwyer; -; 1 Pc")</f>
        <v>General - Magnehelic Pressure Gauges 2000-500Pa; Dwyer; -; 1 Pc</v>
      </c>
      <c r="F4812" s="6">
        <f>IFERROR(__xludf.DUMMYFUNCTION("""COMPUTED_VALUE"""),3.0)</f>
        <v>3</v>
      </c>
      <c r="G4812" s="6" t="str">
        <f>IFERROR(__xludf.DUMMYFUNCTION("""COMPUTED_VALUE"""),"Pack")</f>
        <v>Pack</v>
      </c>
      <c r="H4812" s="6" t="str">
        <f>IFERROR(__xludf.DUMMYFUNCTION("""COMPUTED_VALUE"""),"IDR")</f>
        <v>IDR</v>
      </c>
      <c r="I4812" s="6">
        <f>IFERROR(__xludf.DUMMYFUNCTION("""COMPUTED_VALUE"""),1600000.0)</f>
        <v>1600000</v>
      </c>
      <c r="J4812" s="6">
        <f>IFERROR(__xludf.DUMMYFUNCTION("""COMPUTED_VALUE"""),4800000.0)</f>
        <v>4800000</v>
      </c>
      <c r="K4812" s="57">
        <f>IFERROR(__xludf.DUMMYFUNCTION("""COMPUTED_VALUE"""),46087.0)</f>
        <v>46087</v>
      </c>
      <c r="L4812" s="6" t="str">
        <f>IFERROR(__xludf.DUMMYFUNCTION("""COMPUTED_VALUE"""),"FIP Engineering")</f>
        <v>FIP Engineering</v>
      </c>
      <c r="M4812" s="6" t="str">
        <f>IFERROR(__xludf.DUMMYFUNCTION("""COMPUTED_VALUE"""),"Mochammad Fadhillah Hakim,")</f>
        <v>Mochammad Fadhillah Hakim,</v>
      </c>
      <c r="N4812" s="6" t="str">
        <f>IFERROR(__xludf.DUMMYFUNCTION("""COMPUTED_VALUE"""),"FIP Engineering")</f>
        <v>FIP Engineering</v>
      </c>
      <c r="O4812" s="6" t="str">
        <f>IFERROR(__xludf.DUMMYFUNCTION("""COMPUTED_VALUE"""),"FIP-DOM-000-11304-OS00001-INA-000000")</f>
        <v>FIP-DOM-000-11304-OS00001-INA-000000</v>
      </c>
      <c r="P4812" s="6" t="str">
        <f>IFERROR(__xludf.DUMMYFUNCTION("""COMPUTED_VALUE"""),"PO Closed")</f>
        <v>PO Closed</v>
      </c>
      <c r="Q4812" s="6" t="str">
        <f>IFERROR(__xludf.DUMMYFUNCTION("""COMPUTED_VALUE"""),"GL2602016")</f>
        <v>GL2602016</v>
      </c>
      <c r="R4812" s="57">
        <f>IFERROR(__xludf.DUMMYFUNCTION("""COMPUTED_VALUE"""),46051.0)</f>
        <v>46051</v>
      </c>
      <c r="S4812" s="57">
        <f>IFERROR(__xludf.DUMMYFUNCTION("""COMPUTED_VALUE"""),46051.0)</f>
        <v>46051</v>
      </c>
      <c r="T4812" s="57">
        <f>IFERROR(__xludf.DUMMYFUNCTION("""COMPUTED_VALUE"""),46087.0)</f>
        <v>46087</v>
      </c>
    </row>
    <row r="4813">
      <c r="A4813" s="6" t="str">
        <f>IFERROR(__xludf.DUMMYFUNCTION("""COMPUTED_VALUE"""),"121703763-2")</f>
        <v>121703763-2</v>
      </c>
      <c r="B4813" s="6" t="str">
        <f>IFERROR(__xludf.DUMMYFUNCTION("""COMPUTED_VALUE"""),"121703763 - APPROVED")</f>
        <v>121703763 - APPROVED</v>
      </c>
      <c r="C4813" s="6">
        <f>IFERROR(__xludf.DUMMYFUNCTION("""COMPUTED_VALUE"""),2.0)</f>
        <v>2</v>
      </c>
      <c r="D4813" s="6" t="str">
        <f>IFERROR(__xludf.DUMMYFUNCTION("""COMPUTED_VALUE"""),"P-20443-00")</f>
        <v>P-20443-00</v>
      </c>
      <c r="E4813" s="6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F4813" s="6">
        <f>IFERROR(__xludf.DUMMYFUNCTION("""COMPUTED_VALUE"""),3.0)</f>
        <v>3</v>
      </c>
      <c r="G4813" s="6" t="str">
        <f>IFERROR(__xludf.DUMMYFUNCTION("""COMPUTED_VALUE"""),"Pieces")</f>
        <v>Pieces</v>
      </c>
      <c r="H4813" s="6" t="str">
        <f>IFERROR(__xludf.DUMMYFUNCTION("""COMPUTED_VALUE"""),"IDR")</f>
        <v>IDR</v>
      </c>
      <c r="I4813" s="6">
        <f>IFERROR(__xludf.DUMMYFUNCTION("""COMPUTED_VALUE"""),1.115E7)</f>
        <v>11150000</v>
      </c>
      <c r="J4813" s="6">
        <f>IFERROR(__xludf.DUMMYFUNCTION("""COMPUTED_VALUE"""),3.345E7)</f>
        <v>33450000</v>
      </c>
      <c r="K4813" s="57">
        <f>IFERROR(__xludf.DUMMYFUNCTION("""COMPUTED_VALUE"""),46087.0)</f>
        <v>46087</v>
      </c>
      <c r="L4813" s="6" t="str">
        <f>IFERROR(__xludf.DUMMYFUNCTION("""COMPUTED_VALUE"""),"FIP Engineering")</f>
        <v>FIP Engineering</v>
      </c>
      <c r="M4813" s="6" t="str">
        <f>IFERROR(__xludf.DUMMYFUNCTION("""COMPUTED_VALUE"""),"Mochammad Fadhillah Hakim,")</f>
        <v>Mochammad Fadhillah Hakim,</v>
      </c>
      <c r="N4813" s="6" t="str">
        <f>IFERROR(__xludf.DUMMYFUNCTION("""COMPUTED_VALUE"""),"FIP Engineering")</f>
        <v>FIP Engineering</v>
      </c>
      <c r="O4813" s="6" t="str">
        <f>IFERROR(__xludf.DUMMYFUNCTION("""COMPUTED_VALUE"""),"FIP-DOM-000-11304-OS00001-INA-000000")</f>
        <v>FIP-DOM-000-11304-OS00001-INA-000000</v>
      </c>
      <c r="P4813" s="6" t="str">
        <f>IFERROR(__xludf.DUMMYFUNCTION("""COMPUTED_VALUE"""),"PO Closed")</f>
        <v>PO Closed</v>
      </c>
      <c r="Q4813" s="6" t="str">
        <f>IFERROR(__xludf.DUMMYFUNCTION("""COMPUTED_VALUE"""),"GL2602016")</f>
        <v>GL2602016</v>
      </c>
      <c r="R4813" s="57">
        <f>IFERROR(__xludf.DUMMYFUNCTION("""COMPUTED_VALUE"""),46051.0)</f>
        <v>46051</v>
      </c>
      <c r="S4813" s="57">
        <f>IFERROR(__xludf.DUMMYFUNCTION("""COMPUTED_VALUE"""),46051.0)</f>
        <v>46051</v>
      </c>
      <c r="T4813" s="57">
        <f>IFERROR(__xludf.DUMMYFUNCTION("""COMPUTED_VALUE"""),46118.0)</f>
        <v>46118</v>
      </c>
    </row>
    <row r="4814">
      <c r="A4814" s="6" t="str">
        <f>IFERROR(__xludf.DUMMYFUNCTION("""COMPUTED_VALUE"""),"121703764-1")</f>
        <v>121703764-1</v>
      </c>
      <c r="B4814" s="6" t="str">
        <f>IFERROR(__xludf.DUMMYFUNCTION("""COMPUTED_VALUE"""),"121703764 - APPROVED")</f>
        <v>121703764 - APPROVED</v>
      </c>
      <c r="C4814" s="6">
        <f>IFERROR(__xludf.DUMMYFUNCTION("""COMPUTED_VALUE"""),1.0)</f>
        <v>1</v>
      </c>
      <c r="D4814" s="6" t="str">
        <f>IFERROR(__xludf.DUMMYFUNCTION("""COMPUTED_VALUE"""),"O-21308-00")</f>
        <v>O-21308-00</v>
      </c>
      <c r="E4814" s="6" t="str">
        <f>IFERROR(__xludf.DUMMYFUNCTION("""COMPUTED_VALUE"""),"Autoclave Fedegari FVA2/A1 - Oring EPDM 3.7x20.8x28.2mm; Custom/Lokal; -; 1 Pc")</f>
        <v>Autoclave Fedegari FVA2/A1 - Oring EPDM 3.7x20.8x28.2mm; Custom/Lokal; -; 1 Pc</v>
      </c>
      <c r="F4814" s="6">
        <f>IFERROR(__xludf.DUMMYFUNCTION("""COMPUTED_VALUE"""),10.0)</f>
        <v>10</v>
      </c>
      <c r="G4814" s="6" t="str">
        <f>IFERROR(__xludf.DUMMYFUNCTION("""COMPUTED_VALUE"""),"Pieces")</f>
        <v>Pieces</v>
      </c>
      <c r="H4814" s="6" t="str">
        <f>IFERROR(__xludf.DUMMYFUNCTION("""COMPUTED_VALUE"""),"IDR")</f>
        <v>IDR</v>
      </c>
      <c r="I4814" s="6">
        <f>IFERROR(__xludf.DUMMYFUNCTION("""COMPUTED_VALUE"""),35000.0)</f>
        <v>35000</v>
      </c>
      <c r="J4814" s="6">
        <f>IFERROR(__xludf.DUMMYFUNCTION("""COMPUTED_VALUE"""),350000.0)</f>
        <v>350000</v>
      </c>
      <c r="K4814" s="57">
        <f>IFERROR(__xludf.DUMMYFUNCTION("""COMPUTED_VALUE"""),46087.0)</f>
        <v>46087</v>
      </c>
      <c r="L4814" s="6" t="str">
        <f>IFERROR(__xludf.DUMMYFUNCTION("""COMPUTED_VALUE"""),"FIP Engineering")</f>
        <v>FIP Engineering</v>
      </c>
      <c r="M4814" s="6" t="str">
        <f>IFERROR(__xludf.DUMMYFUNCTION("""COMPUTED_VALUE"""),"Mochammad Fadhillah Hakim,")</f>
        <v>Mochammad Fadhillah Hakim,</v>
      </c>
      <c r="N4814" s="6" t="str">
        <f>IFERROR(__xludf.DUMMYFUNCTION("""COMPUTED_VALUE"""),"FIP Engineering")</f>
        <v>FIP Engineering</v>
      </c>
      <c r="O4814" s="6" t="str">
        <f>IFERROR(__xludf.DUMMYFUNCTION("""COMPUTED_VALUE"""),"FIP-DOM-000-11304-OS00001-INA-000000")</f>
        <v>FIP-DOM-000-11304-OS00001-INA-000000</v>
      </c>
      <c r="P4814" s="6" t="str">
        <f>IFERROR(__xludf.DUMMYFUNCTION("""COMPUTED_VALUE"""),"PO Closed")</f>
        <v>PO Closed</v>
      </c>
      <c r="Q4814" s="6" t="str">
        <f>IFERROR(__xludf.DUMMYFUNCTION("""COMPUTED_VALUE"""),"GL2602415")</f>
        <v>GL2602415</v>
      </c>
      <c r="R4814" s="57">
        <f>IFERROR(__xludf.DUMMYFUNCTION("""COMPUTED_VALUE"""),46051.0)</f>
        <v>46051</v>
      </c>
      <c r="S4814" s="57">
        <f>IFERROR(__xludf.DUMMYFUNCTION("""COMPUTED_VALUE"""),46051.0)</f>
        <v>46051</v>
      </c>
      <c r="T4814" s="57">
        <f>IFERROR(__xludf.DUMMYFUNCTION("""COMPUTED_VALUE"""),46118.0)</f>
        <v>46118</v>
      </c>
    </row>
    <row r="4815">
      <c r="A4815" s="6" t="str">
        <f>IFERROR(__xludf.DUMMYFUNCTION("""COMPUTED_VALUE"""),"121703766-1")</f>
        <v>121703766-1</v>
      </c>
      <c r="B4815" s="6" t="str">
        <f>IFERROR(__xludf.DUMMYFUNCTION("""COMPUTED_VALUE"""),"121703766 - APPROVED")</f>
        <v>121703766 - APPROVED</v>
      </c>
      <c r="C4815" s="6">
        <f>IFERROR(__xludf.DUMMYFUNCTION("""COMPUTED_VALUE"""),1.0)</f>
        <v>1</v>
      </c>
      <c r="D4815" s="6" t="str">
        <f>IFERROR(__xludf.DUMMYFUNCTION("""COMPUTED_VALUE"""),"T-80046-00")</f>
        <v>T-80046-00</v>
      </c>
      <c r="E4815" s="6" t="str">
        <f>IFERROR(__xludf.DUMMYFUNCTION("""COMPUTED_VALUE"""),"Baterai AA; Alkaline; Isi 6pc/pck")</f>
        <v>Baterai AA; Alkaline; Isi 6pc/pck</v>
      </c>
      <c r="F4815" s="6">
        <f>IFERROR(__xludf.DUMMYFUNCTION("""COMPUTED_VALUE"""),9.0)</f>
        <v>9</v>
      </c>
      <c r="G4815" s="6" t="str">
        <f>IFERROR(__xludf.DUMMYFUNCTION("""COMPUTED_VALUE"""),"Pieces")</f>
        <v>Pieces</v>
      </c>
      <c r="H4815" s="6" t="str">
        <f>IFERROR(__xludf.DUMMYFUNCTION("""COMPUTED_VALUE"""),"IDR")</f>
        <v>IDR</v>
      </c>
      <c r="I4815" s="6">
        <f>IFERROR(__xludf.DUMMYFUNCTION("""COMPUTED_VALUE"""),28500.0)</f>
        <v>28500</v>
      </c>
      <c r="J4815" s="6">
        <f>IFERROR(__xludf.DUMMYFUNCTION("""COMPUTED_VALUE"""),256500.0)</f>
        <v>256500</v>
      </c>
      <c r="K4815" s="57">
        <f>IFERROR(__xludf.DUMMYFUNCTION("""COMPUTED_VALUE"""),46087.0)</f>
        <v>46087</v>
      </c>
      <c r="L4815" s="6" t="str">
        <f>IFERROR(__xludf.DUMMYFUNCTION("""COMPUTED_VALUE"""),"FIP General")</f>
        <v>FIP General</v>
      </c>
      <c r="M4815" s="6" t="str">
        <f>IFERROR(__xludf.DUMMYFUNCTION("""COMPUTED_VALUE"""),"Mochammad Fadhillah Hakim,")</f>
        <v>Mochammad Fadhillah Hakim,</v>
      </c>
      <c r="N4815" s="6" t="str">
        <f>IFERROR(__xludf.DUMMYFUNCTION("""COMPUTED_VALUE"""),"FIP Engineering")</f>
        <v>FIP Engineering</v>
      </c>
      <c r="O4815" s="6" t="str">
        <f>IFERROR(__xludf.DUMMYFUNCTION("""COMPUTED_VALUE"""),"FIP-DOM-ENG-51411-0000000-INA-000000")</f>
        <v>FIP-DOM-ENG-51411-0000000-INA-000000</v>
      </c>
      <c r="P4815" s="6" t="str">
        <f>IFERROR(__xludf.DUMMYFUNCTION("""COMPUTED_VALUE"""),"PO Closed")</f>
        <v>PO Closed</v>
      </c>
      <c r="Q4815" s="6" t="str">
        <f>IFERROR(__xludf.DUMMYFUNCTION("""COMPUTED_VALUE"""),"GL2602026")</f>
        <v>GL2602026</v>
      </c>
      <c r="R4815" s="57">
        <f>IFERROR(__xludf.DUMMYFUNCTION("""COMPUTED_VALUE"""),46051.0)</f>
        <v>46051</v>
      </c>
      <c r="S4815" s="57">
        <f>IFERROR(__xludf.DUMMYFUNCTION("""COMPUTED_VALUE"""),46051.0)</f>
        <v>46051</v>
      </c>
      <c r="T4815" s="57">
        <f>IFERROR(__xludf.DUMMYFUNCTION("""COMPUTED_VALUE"""),46099.0)</f>
        <v>46099</v>
      </c>
    </row>
    <row r="4816">
      <c r="A4816" s="6" t="str">
        <f>IFERROR(__xludf.DUMMYFUNCTION("""COMPUTED_VALUE"""),"121703766-2")</f>
        <v>121703766-2</v>
      </c>
      <c r="B4816" s="6" t="str">
        <f>IFERROR(__xludf.DUMMYFUNCTION("""COMPUTED_VALUE"""),"121703766 - APPROVED")</f>
        <v>121703766 - APPROVED</v>
      </c>
      <c r="C4816" s="6">
        <f>IFERROR(__xludf.DUMMYFUNCTION("""COMPUTED_VALUE"""),2.0)</f>
        <v>2</v>
      </c>
      <c r="D4816" s="6" t="str">
        <f>IFERROR(__xludf.DUMMYFUNCTION("""COMPUTED_VALUE"""),"T-80047-00")</f>
        <v>T-80047-00</v>
      </c>
      <c r="E4816" s="6" t="str">
        <f>IFERROR(__xludf.DUMMYFUNCTION("""COMPUTED_VALUE"""),"Baterai AAA; Alkaline; Isi 6pc/pck")</f>
        <v>Baterai AAA; Alkaline; Isi 6pc/pck</v>
      </c>
      <c r="F4816" s="6">
        <f>IFERROR(__xludf.DUMMYFUNCTION("""COMPUTED_VALUE"""),5.0)</f>
        <v>5</v>
      </c>
      <c r="G4816" s="6" t="str">
        <f>IFERROR(__xludf.DUMMYFUNCTION("""COMPUTED_VALUE"""),"Pieces")</f>
        <v>Pieces</v>
      </c>
      <c r="H4816" s="6" t="str">
        <f>IFERROR(__xludf.DUMMYFUNCTION("""COMPUTED_VALUE"""),"IDR")</f>
        <v>IDR</v>
      </c>
      <c r="I4816" s="6">
        <f>IFERROR(__xludf.DUMMYFUNCTION("""COMPUTED_VALUE"""),28500.0)</f>
        <v>28500</v>
      </c>
      <c r="J4816" s="6">
        <f>IFERROR(__xludf.DUMMYFUNCTION("""COMPUTED_VALUE"""),142500.0)</f>
        <v>142500</v>
      </c>
      <c r="K4816" s="57">
        <f>IFERROR(__xludf.DUMMYFUNCTION("""COMPUTED_VALUE"""),46087.0)</f>
        <v>46087</v>
      </c>
      <c r="L4816" s="6" t="str">
        <f>IFERROR(__xludf.DUMMYFUNCTION("""COMPUTED_VALUE"""),"FIP General")</f>
        <v>FIP General</v>
      </c>
      <c r="M4816" s="6" t="str">
        <f>IFERROR(__xludf.DUMMYFUNCTION("""COMPUTED_VALUE"""),"Mochammad Fadhillah Hakim,")</f>
        <v>Mochammad Fadhillah Hakim,</v>
      </c>
      <c r="N4816" s="6" t="str">
        <f>IFERROR(__xludf.DUMMYFUNCTION("""COMPUTED_VALUE"""),"FIP Engineering")</f>
        <v>FIP Engineering</v>
      </c>
      <c r="O4816" s="6" t="str">
        <f>IFERROR(__xludf.DUMMYFUNCTION("""COMPUTED_VALUE"""),"FIP-DOM-ENG-51411-0000000-INA-000000")</f>
        <v>FIP-DOM-ENG-51411-0000000-INA-000000</v>
      </c>
      <c r="P4816" s="6" t="str">
        <f>IFERROR(__xludf.DUMMYFUNCTION("""COMPUTED_VALUE"""),"PO Closed")</f>
        <v>PO Closed</v>
      </c>
      <c r="Q4816" s="6" t="str">
        <f>IFERROR(__xludf.DUMMYFUNCTION("""COMPUTED_VALUE"""),"GL2602025")</f>
        <v>GL2602025</v>
      </c>
      <c r="R4816" s="57">
        <f>IFERROR(__xludf.DUMMYFUNCTION("""COMPUTED_VALUE"""),46051.0)</f>
        <v>46051</v>
      </c>
      <c r="S4816" s="57">
        <f>IFERROR(__xludf.DUMMYFUNCTION("""COMPUTED_VALUE"""),46051.0)</f>
        <v>46051</v>
      </c>
      <c r="T4816" s="57">
        <f>IFERROR(__xludf.DUMMYFUNCTION("""COMPUTED_VALUE"""),46080.0)</f>
        <v>46080</v>
      </c>
    </row>
    <row r="4817">
      <c r="A4817" s="6" t="str">
        <f>IFERROR(__xludf.DUMMYFUNCTION("""COMPUTED_VALUE"""),"121703767-1")</f>
        <v>121703767-1</v>
      </c>
      <c r="B4817" s="6" t="str">
        <f>IFERROR(__xludf.DUMMYFUNCTION("""COMPUTED_VALUE"""),"121703767 - APPROVED")</f>
        <v>121703767 - APPROVED</v>
      </c>
      <c r="C4817" s="6">
        <f>IFERROR(__xludf.DUMMYFUNCTION("""COMPUTED_VALUE"""),1.0)</f>
        <v>1</v>
      </c>
      <c r="D4817" s="6" t="str">
        <f>IFERROR(__xludf.DUMMYFUNCTION("""COMPUTED_VALUE"""),"P-12695-00")</f>
        <v>P-12695-00</v>
      </c>
      <c r="E4817" s="6" t="str">
        <f>IFERROR(__xludf.DUMMYFUNCTION("""COMPUTED_VALUE"""),"PC 4200/IMA C90 - Draw in-roller Cpl; GUK; 21401-0007; 1 pcs")</f>
        <v>PC 4200/IMA C90 - Draw in-roller Cpl; GUK; 21401-0007; 1 pcs</v>
      </c>
      <c r="F4817" s="6">
        <f>IFERROR(__xludf.DUMMYFUNCTION("""COMPUTED_VALUE"""),2.0)</f>
        <v>2</v>
      </c>
      <c r="G4817" s="6" t="str">
        <f>IFERROR(__xludf.DUMMYFUNCTION("""COMPUTED_VALUE"""),"Pieces")</f>
        <v>Pieces</v>
      </c>
      <c r="H4817" s="6" t="str">
        <f>IFERROR(__xludf.DUMMYFUNCTION("""COMPUTED_VALUE"""),"EUR")</f>
        <v>EUR</v>
      </c>
      <c r="I4817" s="6">
        <f>IFERROR(__xludf.DUMMYFUNCTION("""COMPUTED_VALUE"""),6152846.0)</f>
        <v>6152846</v>
      </c>
      <c r="J4817" s="6">
        <f>IFERROR(__xludf.DUMMYFUNCTION("""COMPUTED_VALUE"""),1.2305692E7)</f>
        <v>12305692</v>
      </c>
      <c r="K4817" s="57">
        <f>IFERROR(__xludf.DUMMYFUNCTION("""COMPUTED_VALUE"""),46087.0)</f>
        <v>46087</v>
      </c>
      <c r="L4817" s="6" t="str">
        <f>IFERROR(__xludf.DUMMYFUNCTION("""COMPUTED_VALUE"""),"FIP Engineering")</f>
        <v>FIP Engineering</v>
      </c>
      <c r="M4817" s="6" t="str">
        <f>IFERROR(__xludf.DUMMYFUNCTION("""COMPUTED_VALUE"""),"Mochammad Fadhillah Hakim,")</f>
        <v>Mochammad Fadhillah Hakim,</v>
      </c>
      <c r="N4817" s="6" t="str">
        <f>IFERROR(__xludf.DUMMYFUNCTION("""COMPUTED_VALUE"""),"FIP Engineering")</f>
        <v>FIP Engineering</v>
      </c>
      <c r="O4817" s="6" t="str">
        <f>IFERROR(__xludf.DUMMYFUNCTION("""COMPUTED_VALUE"""),"FIP-DOM-000-11304-OS00001-INA-000000")</f>
        <v>FIP-DOM-000-11304-OS00001-INA-000000</v>
      </c>
      <c r="P4817" s="6" t="str">
        <f>IFERROR(__xludf.DUMMYFUNCTION("""COMPUTED_VALUE"""),"PO Closed")</f>
        <v>PO Closed</v>
      </c>
      <c r="Q4817" s="6" t="str">
        <f>IFERROR(__xludf.DUMMYFUNCTION("""COMPUTED_VALUE"""),"GL2602022")</f>
        <v>GL2602022</v>
      </c>
      <c r="R4817" s="57">
        <f>IFERROR(__xludf.DUMMYFUNCTION("""COMPUTED_VALUE"""),46051.0)</f>
        <v>46051</v>
      </c>
      <c r="S4817" s="57">
        <f>IFERROR(__xludf.DUMMYFUNCTION("""COMPUTED_VALUE"""),46051.0)</f>
        <v>46051</v>
      </c>
      <c r="T4817" s="57">
        <f>IFERROR(__xludf.DUMMYFUNCTION("""COMPUTED_VALUE"""),46087.0)</f>
        <v>46087</v>
      </c>
    </row>
    <row r="4818">
      <c r="A4818" s="6" t="str">
        <f>IFERROR(__xludf.DUMMYFUNCTION("""COMPUTED_VALUE"""),"121703768-1")</f>
        <v>121703768-1</v>
      </c>
      <c r="B4818" s="6" t="str">
        <f>IFERROR(__xludf.DUMMYFUNCTION("""COMPUTED_VALUE"""),"121703768 - APPROVED")</f>
        <v>121703768 - APPROVED</v>
      </c>
      <c r="C4818" s="6">
        <f>IFERROR(__xludf.DUMMYFUNCTION("""COMPUTED_VALUE"""),1.0)</f>
        <v>1</v>
      </c>
      <c r="D4818" s="6" t="str">
        <f>IFERROR(__xludf.DUMMYFUNCTION("""COMPUTED_VALUE"""),"S-60002-00")</f>
        <v>S-60002-00</v>
      </c>
      <c r="E4818" s="6" t="str">
        <f>IFERROR(__xludf.DUMMYFUNCTION("""COMPUTED_VALUE"""),"Jasa Perbaikan dan Pemeliharaan Mesin Utility - Perbaikan Pompa Kondensat")</f>
        <v>Jasa Perbaikan dan Pemeliharaan Mesin Utility - Perbaikan Pompa Kondensat</v>
      </c>
      <c r="F4818" s="6">
        <f>IFERROR(__xludf.DUMMYFUNCTION("""COMPUTED_VALUE"""),1.0)</f>
        <v>1</v>
      </c>
      <c r="G4818" s="6" t="str">
        <f>IFERROR(__xludf.DUMMYFUNCTION("""COMPUTED_VALUE"""),"Lot")</f>
        <v>Lot</v>
      </c>
      <c r="H4818" s="6" t="str">
        <f>IFERROR(__xludf.DUMMYFUNCTION("""COMPUTED_VALUE"""),"IDR")</f>
        <v>IDR</v>
      </c>
      <c r="I4818" s="6">
        <f>IFERROR(__xludf.DUMMYFUNCTION("""COMPUTED_VALUE"""),4780000.0)</f>
        <v>4780000</v>
      </c>
      <c r="J4818" s="6">
        <f>IFERROR(__xludf.DUMMYFUNCTION("""COMPUTED_VALUE"""),4780000.0)</f>
        <v>4780000</v>
      </c>
      <c r="K4818" s="57">
        <f>IFERROR(__xludf.DUMMYFUNCTION("""COMPUTED_VALUE"""),46087.0)</f>
        <v>46087</v>
      </c>
      <c r="L4818" s="6" t="str">
        <f>IFERROR(__xludf.DUMMYFUNCTION("""COMPUTED_VALUE"""),"FIP General")</f>
        <v>FIP General</v>
      </c>
      <c r="M4818" s="6" t="str">
        <f>IFERROR(__xludf.DUMMYFUNCTION("""COMPUTED_VALUE"""),"Mochammad Fadhillah Hakim,")</f>
        <v>Mochammad Fadhillah Hakim,</v>
      </c>
      <c r="N4818" s="6" t="str">
        <f>IFERROR(__xludf.DUMMYFUNCTION("""COMPUTED_VALUE"""),"FIP Engineering")</f>
        <v>FIP Engineering</v>
      </c>
      <c r="O4818" s="6" t="str">
        <f>IFERROR(__xludf.DUMMYFUNCTION("""COMPUTED_VALUE"""),"FIP-DOM-ENG-51508-0000000-INA-000000")</f>
        <v>FIP-DOM-ENG-51508-0000000-INA-000000</v>
      </c>
      <c r="P4818" s="6" t="str">
        <f>IFERROR(__xludf.DUMMYFUNCTION("""COMPUTED_VALUE"""),"PO Closed")</f>
        <v>PO Closed</v>
      </c>
      <c r="Q4818" s="6"/>
      <c r="R4818" s="57">
        <f>IFERROR(__xludf.DUMMYFUNCTION("""COMPUTED_VALUE"""),46052.0)</f>
        <v>46052</v>
      </c>
      <c r="S4818" s="57">
        <f>IFERROR(__xludf.DUMMYFUNCTION("""COMPUTED_VALUE"""),46052.0)</f>
        <v>46052</v>
      </c>
      <c r="T4818" s="6"/>
    </row>
    <row r="4819">
      <c r="A4819" s="6" t="str">
        <f>IFERROR(__xludf.DUMMYFUNCTION("""COMPUTED_VALUE"""),"121703769-1")</f>
        <v>121703769-1</v>
      </c>
      <c r="B4819" s="6" t="str">
        <f>IFERROR(__xludf.DUMMYFUNCTION("""COMPUTED_VALUE"""),"121703769 - APPROVED")</f>
        <v>121703769 - APPROVED</v>
      </c>
      <c r="C4819" s="6">
        <f>IFERROR(__xludf.DUMMYFUNCTION("""COMPUTED_VALUE"""),1.0)</f>
        <v>1</v>
      </c>
      <c r="D4819" s="6" t="str">
        <f>IFERROR(__xludf.DUMMYFUNCTION("""COMPUTED_VALUE"""),"O-11149-00")</f>
        <v>O-11149-00</v>
      </c>
      <c r="E4819" s="6" t="str">
        <f>IFERROR(__xludf.DUMMYFUNCTION("""COMPUTED_VALUE"""),"Bearing 6202 ZZ - P/N : -  pc")</f>
        <v>Bearing 6202 ZZ - P/N : -  pc</v>
      </c>
      <c r="F4819" s="6">
        <f>IFERROR(__xludf.DUMMYFUNCTION("""COMPUTED_VALUE"""),10.0)</f>
        <v>10</v>
      </c>
      <c r="G4819" s="6" t="str">
        <f>IFERROR(__xludf.DUMMYFUNCTION("""COMPUTED_VALUE"""),"Pieces")</f>
        <v>Pieces</v>
      </c>
      <c r="H4819" s="6" t="str">
        <f>IFERROR(__xludf.DUMMYFUNCTION("""COMPUTED_VALUE"""),"IDR")</f>
        <v>IDR</v>
      </c>
      <c r="I4819" s="6">
        <f>IFERROR(__xludf.DUMMYFUNCTION("""COMPUTED_VALUE"""),25000.0)</f>
        <v>25000</v>
      </c>
      <c r="J4819" s="6">
        <f>IFERROR(__xludf.DUMMYFUNCTION("""COMPUTED_VALUE"""),250000.0)</f>
        <v>250000</v>
      </c>
      <c r="K4819" s="57">
        <f>IFERROR(__xludf.DUMMYFUNCTION("""COMPUTED_VALUE"""),46087.0)</f>
        <v>46087</v>
      </c>
      <c r="L4819" s="6" t="str">
        <f>IFERROR(__xludf.DUMMYFUNCTION("""COMPUTED_VALUE"""),"FIP Engineering")</f>
        <v>FIP Engineering</v>
      </c>
      <c r="M4819" s="6" t="str">
        <f>IFERROR(__xludf.DUMMYFUNCTION("""COMPUTED_VALUE"""),"Mochammad Fadhillah Hakim,")</f>
        <v>Mochammad Fadhillah Hakim,</v>
      </c>
      <c r="N4819" s="6" t="str">
        <f>IFERROR(__xludf.DUMMYFUNCTION("""COMPUTED_VALUE"""),"FIP Engineering")</f>
        <v>FIP Engineering</v>
      </c>
      <c r="O4819" s="6" t="str">
        <f>IFERROR(__xludf.DUMMYFUNCTION("""COMPUTED_VALUE"""),"FIP-DOM-000-11304-OS00001-INA-000000")</f>
        <v>FIP-DOM-000-11304-OS00001-INA-000000</v>
      </c>
      <c r="P4819" s="6" t="str">
        <f>IFERROR(__xludf.DUMMYFUNCTION("""COMPUTED_VALUE"""),"PO Closed")</f>
        <v>PO Closed</v>
      </c>
      <c r="Q4819" s="6" t="str">
        <f>IFERROR(__xludf.DUMMYFUNCTION("""COMPUTED_VALUE"""),"GL2602409")</f>
        <v>GL2602409</v>
      </c>
      <c r="R4819" s="57">
        <f>IFERROR(__xludf.DUMMYFUNCTION("""COMPUTED_VALUE"""),46055.0)</f>
        <v>46055</v>
      </c>
      <c r="S4819" s="57">
        <f>IFERROR(__xludf.DUMMYFUNCTION("""COMPUTED_VALUE"""),46055.0)</f>
        <v>46055</v>
      </c>
      <c r="T4819" s="57">
        <f>IFERROR(__xludf.DUMMYFUNCTION("""COMPUTED_VALUE"""),46111.0)</f>
        <v>46111</v>
      </c>
    </row>
    <row r="4820">
      <c r="A4820" s="6" t="str">
        <f>IFERROR(__xludf.DUMMYFUNCTION("""COMPUTED_VALUE"""),"121703772-1")</f>
        <v>121703772-1</v>
      </c>
      <c r="B4820" s="6" t="str">
        <f>IFERROR(__xludf.DUMMYFUNCTION("""COMPUTED_VALUE"""),"121703772 - APPROVED")</f>
        <v>121703772 - APPROVED</v>
      </c>
      <c r="C4820" s="6">
        <f>IFERROR(__xludf.DUMMYFUNCTION("""COMPUTED_VALUE"""),1.0)</f>
        <v>1</v>
      </c>
      <c r="D4820" s="6" t="str">
        <f>IFERROR(__xludf.DUMMYFUNCTION("""COMPUTED_VALUE"""),"Q-10207-00")</f>
        <v>Q-10207-00</v>
      </c>
      <c r="E4820" s="6" t="str">
        <f>IFERROR(__xludf.DUMMYFUNCTION("""COMPUTED_VALUE"""),"Keramik Roman Warna Putih 40 x 40 cm;Roman;CN: 447106;pack size per pack")</f>
        <v>Keramik Roman Warna Putih 40 x 40 cm;Roman;CN: 447106;pack size per pack</v>
      </c>
      <c r="F4820" s="6">
        <f>IFERROR(__xludf.DUMMYFUNCTION("""COMPUTED_VALUE"""),6.0)</f>
        <v>6</v>
      </c>
      <c r="G4820" s="6" t="str">
        <f>IFERROR(__xludf.DUMMYFUNCTION("""COMPUTED_VALUE"""),"Box")</f>
        <v>Box</v>
      </c>
      <c r="H4820" s="6" t="str">
        <f>IFERROR(__xludf.DUMMYFUNCTION("""COMPUTED_VALUE"""),"IDR")</f>
        <v>IDR</v>
      </c>
      <c r="I4820" s="6">
        <f>IFERROR(__xludf.DUMMYFUNCTION("""COMPUTED_VALUE"""),150000.0)</f>
        <v>150000</v>
      </c>
      <c r="J4820" s="6">
        <f>IFERROR(__xludf.DUMMYFUNCTION("""COMPUTED_VALUE"""),900000.0)</f>
        <v>900000</v>
      </c>
      <c r="K4820" s="57">
        <f>IFERROR(__xludf.DUMMYFUNCTION("""COMPUTED_VALUE"""),46057.0)</f>
        <v>46057</v>
      </c>
      <c r="L4820" s="6" t="str">
        <f>IFERROR(__xludf.DUMMYFUNCTION("""COMPUTED_VALUE"""),"FIP Engineering")</f>
        <v>FIP Engineering</v>
      </c>
      <c r="M4820" s="6" t="str">
        <f>IFERROR(__xludf.DUMMYFUNCTION("""COMPUTED_VALUE"""),"Mochammad Fadhillah Hakim,")</f>
        <v>Mochammad Fadhillah Hakim,</v>
      </c>
      <c r="N4820" s="6" t="str">
        <f>IFERROR(__xludf.DUMMYFUNCTION("""COMPUTED_VALUE"""),"FIP Engineering")</f>
        <v>FIP Engineering</v>
      </c>
      <c r="O4820" s="6" t="str">
        <f>IFERROR(__xludf.DUMMYFUNCTION("""COMPUTED_VALUE"""),"FIP-DOM-000-11304-OS00001-INA-000000")</f>
        <v>FIP-DOM-000-11304-OS00001-INA-000000</v>
      </c>
      <c r="P4820" s="6" t="str">
        <f>IFERROR(__xludf.DUMMYFUNCTION("""COMPUTED_VALUE"""),"PO Closed")</f>
        <v>PO Closed</v>
      </c>
      <c r="Q4820" s="6" t="str">
        <f>IFERROR(__xludf.DUMMYFUNCTION("""COMPUTED_VALUE"""),"GL2602027")</f>
        <v>GL2602027</v>
      </c>
      <c r="R4820" s="57">
        <f>IFERROR(__xludf.DUMMYFUNCTION("""COMPUTED_VALUE"""),46055.0)</f>
        <v>46055</v>
      </c>
      <c r="S4820" s="57">
        <f>IFERROR(__xludf.DUMMYFUNCTION("""COMPUTED_VALUE"""),46056.0)</f>
        <v>46056</v>
      </c>
      <c r="T4820" s="57">
        <f>IFERROR(__xludf.DUMMYFUNCTION("""COMPUTED_VALUE"""),46112.0)</f>
        <v>46112</v>
      </c>
    </row>
    <row r="4821">
      <c r="A4821" s="6" t="str">
        <f>IFERROR(__xludf.DUMMYFUNCTION("""COMPUTED_VALUE"""),"121703773-1")</f>
        <v>121703773-1</v>
      </c>
      <c r="B4821" s="6" t="str">
        <f>IFERROR(__xludf.DUMMYFUNCTION("""COMPUTED_VALUE"""),"121703773 - APPROVED")</f>
        <v>121703773 - APPROVED</v>
      </c>
      <c r="C4821" s="6">
        <f>IFERROR(__xludf.DUMMYFUNCTION("""COMPUTED_VALUE"""),1.0)</f>
        <v>1</v>
      </c>
      <c r="D4821" s="6" t="str">
        <f>IFERROR(__xludf.DUMMYFUNCTION("""COMPUTED_VALUE"""),"Q-10172-00")</f>
        <v>Q-10172-00</v>
      </c>
      <c r="E4821" s="6" t="str">
        <f>IFERROR(__xludf.DUMMYFUNCTION("""COMPUTED_VALUE"""),"Polyfloor PFT-213 Light blue @ 20 KG")</f>
        <v>Polyfloor PFT-213 Light blue @ 20 KG</v>
      </c>
      <c r="F4821" s="6">
        <f>IFERROR(__xludf.DUMMYFUNCTION("""COMPUTED_VALUE"""),4.0)</f>
        <v>4</v>
      </c>
      <c r="G4821" s="6" t="str">
        <f>IFERROR(__xludf.DUMMYFUNCTION("""COMPUTED_VALUE"""),"Pieces")</f>
        <v>Pieces</v>
      </c>
      <c r="H4821" s="6" t="str">
        <f>IFERROR(__xludf.DUMMYFUNCTION("""COMPUTED_VALUE"""),"IDR")</f>
        <v>IDR</v>
      </c>
      <c r="I4821" s="6">
        <f>IFERROR(__xludf.DUMMYFUNCTION("""COMPUTED_VALUE"""),3291750.0)</f>
        <v>3291750</v>
      </c>
      <c r="J4821" s="6">
        <f>IFERROR(__xludf.DUMMYFUNCTION("""COMPUTED_VALUE"""),1.3167E7)</f>
        <v>13167000</v>
      </c>
      <c r="K4821" s="57">
        <f>IFERROR(__xludf.DUMMYFUNCTION("""COMPUTED_VALUE"""),46087.0)</f>
        <v>46087</v>
      </c>
      <c r="L4821" s="6" t="str">
        <f>IFERROR(__xludf.DUMMYFUNCTION("""COMPUTED_VALUE"""),"FIP Engineering")</f>
        <v>FIP Engineering</v>
      </c>
      <c r="M4821" s="6" t="str">
        <f>IFERROR(__xludf.DUMMYFUNCTION("""COMPUTED_VALUE"""),"Mochammad Fadhillah Hakim,")</f>
        <v>Mochammad Fadhillah Hakim,</v>
      </c>
      <c r="N4821" s="6" t="str">
        <f>IFERROR(__xludf.DUMMYFUNCTION("""COMPUTED_VALUE"""),"FIP Engineering")</f>
        <v>FIP Engineering</v>
      </c>
      <c r="O4821" s="6" t="str">
        <f>IFERROR(__xludf.DUMMYFUNCTION("""COMPUTED_VALUE"""),"FIP-DOM-000-11304-OS00001-INA-000000")</f>
        <v>FIP-DOM-000-11304-OS00001-INA-000000</v>
      </c>
      <c r="P4821" s="6" t="str">
        <f>IFERROR(__xludf.DUMMYFUNCTION("""COMPUTED_VALUE"""),"PO Closed")</f>
        <v>PO Closed</v>
      </c>
      <c r="Q4821" s="6" t="str">
        <f>IFERROR(__xludf.DUMMYFUNCTION("""COMPUTED_VALUE"""),"GL2603052")</f>
        <v>GL2603052</v>
      </c>
      <c r="R4821" s="57">
        <f>IFERROR(__xludf.DUMMYFUNCTION("""COMPUTED_VALUE"""),46055.0)</f>
        <v>46055</v>
      </c>
      <c r="S4821" s="57">
        <f>IFERROR(__xludf.DUMMYFUNCTION("""COMPUTED_VALUE"""),46056.0)</f>
        <v>46056</v>
      </c>
      <c r="T4821" s="57">
        <f>IFERROR(__xludf.DUMMYFUNCTION("""COMPUTED_VALUE"""),46127.0)</f>
        <v>46127</v>
      </c>
    </row>
    <row r="4822">
      <c r="A4822" s="6" t="str">
        <f>IFERROR(__xludf.DUMMYFUNCTION("""COMPUTED_VALUE"""),"121703774-1")</f>
        <v>121703774-1</v>
      </c>
      <c r="B4822" s="6" t="str">
        <f>IFERROR(__xludf.DUMMYFUNCTION("""COMPUTED_VALUE"""),"121703774 - APPROVED")</f>
        <v>121703774 - APPROVED</v>
      </c>
      <c r="C4822" s="6">
        <f>IFERROR(__xludf.DUMMYFUNCTION("""COMPUTED_VALUE"""),1.0)</f>
        <v>1</v>
      </c>
      <c r="D4822" s="6" t="str">
        <f>IFERROR(__xludf.DUMMYFUNCTION("""COMPUTED_VALUE"""),"Q-90767-00")</f>
        <v>Q-90767-00</v>
      </c>
      <c r="E4822" s="6" t="str">
        <f>IFERROR(__xludf.DUMMYFUNCTION("""COMPUTED_VALUE"""),"Cat Weathershield Day Break;Dulux;Type 40544M Day Break;pack size per 20L pail")</f>
        <v>Cat Weathershield Day Break;Dulux;Type 40544M Day Break;pack size per 20L pail</v>
      </c>
      <c r="F4822" s="6">
        <f>IFERROR(__xludf.DUMMYFUNCTION("""COMPUTED_VALUE"""),3.0)</f>
        <v>3</v>
      </c>
      <c r="G4822" s="6" t="str">
        <f>IFERROR(__xludf.DUMMYFUNCTION("""COMPUTED_VALUE"""),"Can")</f>
        <v>Can</v>
      </c>
      <c r="H4822" s="6" t="str">
        <f>IFERROR(__xludf.DUMMYFUNCTION("""COMPUTED_VALUE"""),"IDR")</f>
        <v>IDR</v>
      </c>
      <c r="I4822" s="6">
        <f>IFERROR(__xludf.DUMMYFUNCTION("""COMPUTED_VALUE"""),2960000.0)</f>
        <v>2960000</v>
      </c>
      <c r="J4822" s="6">
        <f>IFERROR(__xludf.DUMMYFUNCTION("""COMPUTED_VALUE"""),8880000.0)</f>
        <v>8880000</v>
      </c>
      <c r="K4822" s="57">
        <f>IFERROR(__xludf.DUMMYFUNCTION("""COMPUTED_VALUE"""),46087.0)</f>
        <v>46087</v>
      </c>
      <c r="L4822" s="6" t="str">
        <f>IFERROR(__xludf.DUMMYFUNCTION("""COMPUTED_VALUE"""),"FIP General")</f>
        <v>FIP General</v>
      </c>
      <c r="M4822" s="6" t="str">
        <f>IFERROR(__xludf.DUMMYFUNCTION("""COMPUTED_VALUE"""),"Mochammad Fadhillah Hakim,")</f>
        <v>Mochammad Fadhillah Hakim,</v>
      </c>
      <c r="N4822" s="6" t="str">
        <f>IFERROR(__xludf.DUMMYFUNCTION("""COMPUTED_VALUE"""),"FIP Engineering")</f>
        <v>FIP Engineering</v>
      </c>
      <c r="O4822" s="6" t="str">
        <f>IFERROR(__xludf.DUMMYFUNCTION("""COMPUTED_VALUE"""),"FIP-DOM-ENG-51502-0000000-INA-000000")</f>
        <v>FIP-DOM-ENG-51502-0000000-INA-000000</v>
      </c>
      <c r="P4822" s="6" t="str">
        <f>IFERROR(__xludf.DUMMYFUNCTION("""COMPUTED_VALUE"""),"PO Closed")</f>
        <v>PO Closed</v>
      </c>
      <c r="Q4822" s="6" t="str">
        <f>IFERROR(__xludf.DUMMYFUNCTION("""COMPUTED_VALUE"""),"GL2604011")</f>
        <v>GL2604011</v>
      </c>
      <c r="R4822" s="57">
        <f>IFERROR(__xludf.DUMMYFUNCTION("""COMPUTED_VALUE"""),46055.0)</f>
        <v>46055</v>
      </c>
      <c r="S4822" s="57">
        <f>IFERROR(__xludf.DUMMYFUNCTION("""COMPUTED_VALUE"""),46055.0)</f>
        <v>46055</v>
      </c>
      <c r="T4822" s="57">
        <f>IFERROR(__xludf.DUMMYFUNCTION("""COMPUTED_VALUE"""),46133.0)</f>
        <v>46133</v>
      </c>
    </row>
    <row r="4823">
      <c r="A4823" s="6" t="str">
        <f>IFERROR(__xludf.DUMMYFUNCTION("""COMPUTED_VALUE"""),"121703775-1")</f>
        <v>121703775-1</v>
      </c>
      <c r="B4823" s="6" t="str">
        <f>IFERROR(__xludf.DUMMYFUNCTION("""COMPUTED_VALUE"""),"121703775 - APPROVED")</f>
        <v>121703775 - APPROVED</v>
      </c>
      <c r="C4823" s="6">
        <f>IFERROR(__xludf.DUMMYFUNCTION("""COMPUTED_VALUE"""),1.0)</f>
        <v>1</v>
      </c>
      <c r="D4823" s="6" t="str">
        <f>IFERROR(__xludf.DUMMYFUNCTION("""COMPUTED_VALUE"""),"P-11185-00")</f>
        <v>P-11185-00</v>
      </c>
      <c r="E4823" s="6" t="str">
        <f>IFERROR(__xludf.DUMMYFUNCTION("""COMPUTED_VALUE"""),"General - Push-in Connector, QS-8-6; Festo; 153038; 1 pcs")</f>
        <v>General - Push-in Connector, QS-8-6; Festo; 153038; 1 pcs</v>
      </c>
      <c r="F4823" s="6">
        <f>IFERROR(__xludf.DUMMYFUNCTION("""COMPUTED_VALUE"""),10.0)</f>
        <v>10</v>
      </c>
      <c r="G4823" s="6" t="str">
        <f>IFERROR(__xludf.DUMMYFUNCTION("""COMPUTED_VALUE"""),"Pieces")</f>
        <v>Pieces</v>
      </c>
      <c r="H4823" s="6" t="str">
        <f>IFERROR(__xludf.DUMMYFUNCTION("""COMPUTED_VALUE"""),"IDR")</f>
        <v>IDR</v>
      </c>
      <c r="I4823" s="6">
        <f>IFERROR(__xludf.DUMMYFUNCTION("""COMPUTED_VALUE"""),47707.0)</f>
        <v>47707</v>
      </c>
      <c r="J4823" s="6">
        <f>IFERROR(__xludf.DUMMYFUNCTION("""COMPUTED_VALUE"""),477070.0)</f>
        <v>477070</v>
      </c>
      <c r="K4823" s="57">
        <f>IFERROR(__xludf.DUMMYFUNCTION("""COMPUTED_VALUE"""),46087.0)</f>
        <v>46087</v>
      </c>
      <c r="L4823" s="6" t="str">
        <f>IFERROR(__xludf.DUMMYFUNCTION("""COMPUTED_VALUE"""),"FIP Engineering")</f>
        <v>FIP Engineering</v>
      </c>
      <c r="M4823" s="6" t="str">
        <f>IFERROR(__xludf.DUMMYFUNCTION("""COMPUTED_VALUE"""),"Mochammad Fadhillah Hakim,")</f>
        <v>Mochammad Fadhillah Hakim,</v>
      </c>
      <c r="N4823" s="6" t="str">
        <f>IFERROR(__xludf.DUMMYFUNCTION("""COMPUTED_VALUE"""),"FIP Engineering")</f>
        <v>FIP Engineering</v>
      </c>
      <c r="O4823" s="6" t="str">
        <f>IFERROR(__xludf.DUMMYFUNCTION("""COMPUTED_VALUE"""),"FIP-DOM-000-11304-OS00001-INA-000000")</f>
        <v>FIP-DOM-000-11304-OS00001-INA-000000</v>
      </c>
      <c r="P4823" s="6" t="str">
        <f>IFERROR(__xludf.DUMMYFUNCTION("""COMPUTED_VALUE"""),"PO Closed")</f>
        <v>PO Closed</v>
      </c>
      <c r="Q4823" s="6" t="str">
        <f>IFERROR(__xludf.DUMMYFUNCTION("""COMPUTED_VALUE"""),"GL2607381")</f>
        <v>GL2607381</v>
      </c>
      <c r="R4823" s="57">
        <f>IFERROR(__xludf.DUMMYFUNCTION("""COMPUTED_VALUE"""),46055.0)</f>
        <v>46055</v>
      </c>
      <c r="S4823" s="57">
        <f>IFERROR(__xludf.DUMMYFUNCTION("""COMPUTED_VALUE"""),46056.0)</f>
        <v>46056</v>
      </c>
      <c r="T4823" s="57">
        <f>IFERROR(__xludf.DUMMYFUNCTION("""COMPUTED_VALUE"""),46264.0)</f>
        <v>46264</v>
      </c>
    </row>
    <row r="4824">
      <c r="A4824" s="6" t="str">
        <f>IFERROR(__xludf.DUMMYFUNCTION("""COMPUTED_VALUE"""),"121703775-2")</f>
        <v>121703775-2</v>
      </c>
      <c r="B4824" s="6" t="str">
        <f>IFERROR(__xludf.DUMMYFUNCTION("""COMPUTED_VALUE"""),"121703775 - APPROVED")</f>
        <v>121703775 - APPROVED</v>
      </c>
      <c r="C4824" s="6">
        <f>IFERROR(__xludf.DUMMYFUNCTION("""COMPUTED_VALUE"""),2.0)</f>
        <v>2</v>
      </c>
      <c r="D4824" s="6" t="str">
        <f>IFERROR(__xludf.DUMMYFUNCTION("""COMPUTED_VALUE"""),"P-12282-00")</f>
        <v>P-12282-00</v>
      </c>
      <c r="E4824" s="6" t="str">
        <f>IFERROR(__xludf.DUMMYFUNCTION("""COMPUTED_VALUE"""),"FESTO - QS-12-10 Push in Connector p/n: 153040")</f>
        <v>FESTO - QS-12-10 Push in Connector p/n: 153040</v>
      </c>
      <c r="F4824" s="6">
        <f>IFERROR(__xludf.DUMMYFUNCTION("""COMPUTED_VALUE"""),10.0)</f>
        <v>10</v>
      </c>
      <c r="G4824" s="6" t="str">
        <f>IFERROR(__xludf.DUMMYFUNCTION("""COMPUTED_VALUE"""),"Pieces")</f>
        <v>Pieces</v>
      </c>
      <c r="H4824" s="6" t="str">
        <f>IFERROR(__xludf.DUMMYFUNCTION("""COMPUTED_VALUE"""),"IDR")</f>
        <v>IDR</v>
      </c>
      <c r="I4824" s="6">
        <f>IFERROR(__xludf.DUMMYFUNCTION("""COMPUTED_VALUE"""),66439.0)</f>
        <v>66439</v>
      </c>
      <c r="J4824" s="6">
        <f>IFERROR(__xludf.DUMMYFUNCTION("""COMPUTED_VALUE"""),664390.0)</f>
        <v>664390</v>
      </c>
      <c r="K4824" s="57">
        <f>IFERROR(__xludf.DUMMYFUNCTION("""COMPUTED_VALUE"""),46087.0)</f>
        <v>46087</v>
      </c>
      <c r="L4824" s="6" t="str">
        <f>IFERROR(__xludf.DUMMYFUNCTION("""COMPUTED_VALUE"""),"FIP Engineering")</f>
        <v>FIP Engineering</v>
      </c>
      <c r="M4824" s="6" t="str">
        <f>IFERROR(__xludf.DUMMYFUNCTION("""COMPUTED_VALUE"""),"Mochammad Fadhillah Hakim,")</f>
        <v>Mochammad Fadhillah Hakim,</v>
      </c>
      <c r="N4824" s="6" t="str">
        <f>IFERROR(__xludf.DUMMYFUNCTION("""COMPUTED_VALUE"""),"FIP Engineering")</f>
        <v>FIP Engineering</v>
      </c>
      <c r="O4824" s="6" t="str">
        <f>IFERROR(__xludf.DUMMYFUNCTION("""COMPUTED_VALUE"""),"FIP-DOM-000-11304-OS00001-INA-000000")</f>
        <v>FIP-DOM-000-11304-OS00001-INA-000000</v>
      </c>
      <c r="P4824" s="6" t="str">
        <f>IFERROR(__xludf.DUMMYFUNCTION("""COMPUTED_VALUE"""),"PO Closed")</f>
        <v>PO Closed</v>
      </c>
      <c r="Q4824" s="6" t="str">
        <f>IFERROR(__xludf.DUMMYFUNCTION("""COMPUTED_VALUE"""),"GL2607381")</f>
        <v>GL2607381</v>
      </c>
      <c r="R4824" s="57">
        <f>IFERROR(__xludf.DUMMYFUNCTION("""COMPUTED_VALUE"""),46055.0)</f>
        <v>46055</v>
      </c>
      <c r="S4824" s="57">
        <f>IFERROR(__xludf.DUMMYFUNCTION("""COMPUTED_VALUE"""),46056.0)</f>
        <v>46056</v>
      </c>
      <c r="T4824" s="57">
        <f>IFERROR(__xludf.DUMMYFUNCTION("""COMPUTED_VALUE"""),46264.0)</f>
        <v>46264</v>
      </c>
    </row>
    <row r="4825">
      <c r="A4825" s="6" t="str">
        <f>IFERROR(__xludf.DUMMYFUNCTION("""COMPUTED_VALUE"""),"121703775-3")</f>
        <v>121703775-3</v>
      </c>
      <c r="B4825" s="6" t="str">
        <f>IFERROR(__xludf.DUMMYFUNCTION("""COMPUTED_VALUE"""),"121703775 - APPROVED")</f>
        <v>121703775 - APPROVED</v>
      </c>
      <c r="C4825" s="6">
        <f>IFERROR(__xludf.DUMMYFUNCTION("""COMPUTED_VALUE"""),3.0)</f>
        <v>3</v>
      </c>
      <c r="D4825" s="6" t="str">
        <f>IFERROR(__xludf.DUMMYFUNCTION("""COMPUTED_VALUE"""),"P-11173-00")</f>
        <v>P-11173-00</v>
      </c>
      <c r="E4825" s="6" t="str">
        <f>IFERROR(__xludf.DUMMYFUNCTION("""COMPUTED_VALUE"""),"General - Push-in Connector, QS-10; Festo; 153034; 1 pcs")</f>
        <v>General - Push-in Connector, QS-10; Festo; 153034; 1 pcs</v>
      </c>
      <c r="F4825" s="6">
        <f>IFERROR(__xludf.DUMMYFUNCTION("""COMPUTED_VALUE"""),10.0)</f>
        <v>10</v>
      </c>
      <c r="G4825" s="6" t="str">
        <f>IFERROR(__xludf.DUMMYFUNCTION("""COMPUTED_VALUE"""),"Pieces")</f>
        <v>Pieces</v>
      </c>
      <c r="H4825" s="6" t="str">
        <f>IFERROR(__xludf.DUMMYFUNCTION("""COMPUTED_VALUE"""),"IDR")</f>
        <v>IDR</v>
      </c>
      <c r="I4825" s="6">
        <f>IFERROR(__xludf.DUMMYFUNCTION("""COMPUTED_VALUE"""),63220.0)</f>
        <v>63220</v>
      </c>
      <c r="J4825" s="6">
        <f>IFERROR(__xludf.DUMMYFUNCTION("""COMPUTED_VALUE"""),632200.0)</f>
        <v>632200</v>
      </c>
      <c r="K4825" s="57">
        <f>IFERROR(__xludf.DUMMYFUNCTION("""COMPUTED_VALUE"""),46087.0)</f>
        <v>46087</v>
      </c>
      <c r="L4825" s="6" t="str">
        <f>IFERROR(__xludf.DUMMYFUNCTION("""COMPUTED_VALUE"""),"FIP Engineering")</f>
        <v>FIP Engineering</v>
      </c>
      <c r="M4825" s="6" t="str">
        <f>IFERROR(__xludf.DUMMYFUNCTION("""COMPUTED_VALUE"""),"Mochammad Fadhillah Hakim,")</f>
        <v>Mochammad Fadhillah Hakim,</v>
      </c>
      <c r="N4825" s="6" t="str">
        <f>IFERROR(__xludf.DUMMYFUNCTION("""COMPUTED_VALUE"""),"FIP Engineering")</f>
        <v>FIP Engineering</v>
      </c>
      <c r="O4825" s="6" t="str">
        <f>IFERROR(__xludf.DUMMYFUNCTION("""COMPUTED_VALUE"""),"FIP-DOM-000-11304-OS00001-INA-000000")</f>
        <v>FIP-DOM-000-11304-OS00001-INA-000000</v>
      </c>
      <c r="P4825" s="6" t="str">
        <f>IFERROR(__xludf.DUMMYFUNCTION("""COMPUTED_VALUE"""),"PO Closed")</f>
        <v>PO Closed</v>
      </c>
      <c r="Q4825" s="6" t="str">
        <f>IFERROR(__xludf.DUMMYFUNCTION("""COMPUTED_VALUE"""),"GL2607381")</f>
        <v>GL2607381</v>
      </c>
      <c r="R4825" s="57">
        <f>IFERROR(__xludf.DUMMYFUNCTION("""COMPUTED_VALUE"""),46055.0)</f>
        <v>46055</v>
      </c>
      <c r="S4825" s="57">
        <f>IFERROR(__xludf.DUMMYFUNCTION("""COMPUTED_VALUE"""),46056.0)</f>
        <v>46056</v>
      </c>
      <c r="T4825" s="57">
        <f>IFERROR(__xludf.DUMMYFUNCTION("""COMPUTED_VALUE"""),46264.0)</f>
        <v>46264</v>
      </c>
    </row>
    <row r="4826">
      <c r="A4826" s="6" t="str">
        <f>IFERROR(__xludf.DUMMYFUNCTION("""COMPUTED_VALUE"""),"121703775-4")</f>
        <v>121703775-4</v>
      </c>
      <c r="B4826" s="6" t="str">
        <f>IFERROR(__xludf.DUMMYFUNCTION("""COMPUTED_VALUE"""),"121703775 - APPROVED")</f>
        <v>121703775 - APPROVED</v>
      </c>
      <c r="C4826" s="6">
        <f>IFERROR(__xludf.DUMMYFUNCTION("""COMPUTED_VALUE"""),4.0)</f>
        <v>4</v>
      </c>
      <c r="D4826" s="6" t="str">
        <f>IFERROR(__xludf.DUMMYFUNCTION("""COMPUTED_VALUE"""),"P-11182-00")</f>
        <v>P-11182-00</v>
      </c>
      <c r="E4826" s="6" t="str">
        <f>IFERROR(__xludf.DUMMYFUNCTION("""COMPUTED_VALUE"""),"General - Push-in Connector, QS-6; Festo; 153032; 1 pcs")</f>
        <v>General - Push-in Connector, QS-6; Festo; 153032; 1 pcs</v>
      </c>
      <c r="F4826" s="6">
        <f>IFERROR(__xludf.DUMMYFUNCTION("""COMPUTED_VALUE"""),10.0)</f>
        <v>10</v>
      </c>
      <c r="G4826" s="6" t="str">
        <f>IFERROR(__xludf.DUMMYFUNCTION("""COMPUTED_VALUE"""),"Pieces")</f>
        <v>Pieces</v>
      </c>
      <c r="H4826" s="6" t="str">
        <f>IFERROR(__xludf.DUMMYFUNCTION("""COMPUTED_VALUE"""),"IDR")</f>
        <v>IDR</v>
      </c>
      <c r="I4826" s="6">
        <f>IFERROR(__xludf.DUMMYFUNCTION("""COMPUTED_VALUE"""),44049.0)</f>
        <v>44049</v>
      </c>
      <c r="J4826" s="6">
        <f>IFERROR(__xludf.DUMMYFUNCTION("""COMPUTED_VALUE"""),440490.0)</f>
        <v>440490</v>
      </c>
      <c r="K4826" s="57">
        <f>IFERROR(__xludf.DUMMYFUNCTION("""COMPUTED_VALUE"""),46087.0)</f>
        <v>46087</v>
      </c>
      <c r="L4826" s="6" t="str">
        <f>IFERROR(__xludf.DUMMYFUNCTION("""COMPUTED_VALUE"""),"FIP Engineering")</f>
        <v>FIP Engineering</v>
      </c>
      <c r="M4826" s="6" t="str">
        <f>IFERROR(__xludf.DUMMYFUNCTION("""COMPUTED_VALUE"""),"Mochammad Fadhillah Hakim,")</f>
        <v>Mochammad Fadhillah Hakim,</v>
      </c>
      <c r="N4826" s="6" t="str">
        <f>IFERROR(__xludf.DUMMYFUNCTION("""COMPUTED_VALUE"""),"FIP Engineering")</f>
        <v>FIP Engineering</v>
      </c>
      <c r="O4826" s="6" t="str">
        <f>IFERROR(__xludf.DUMMYFUNCTION("""COMPUTED_VALUE"""),"FIP-DOM-000-11304-OS00001-INA-000000")</f>
        <v>FIP-DOM-000-11304-OS00001-INA-000000</v>
      </c>
      <c r="P4826" s="6" t="str">
        <f>IFERROR(__xludf.DUMMYFUNCTION("""COMPUTED_VALUE"""),"PO Closed")</f>
        <v>PO Closed</v>
      </c>
      <c r="Q4826" s="6" t="str">
        <f>IFERROR(__xludf.DUMMYFUNCTION("""COMPUTED_VALUE"""),"GL2607381")</f>
        <v>GL2607381</v>
      </c>
      <c r="R4826" s="57">
        <f>IFERROR(__xludf.DUMMYFUNCTION("""COMPUTED_VALUE"""),46055.0)</f>
        <v>46055</v>
      </c>
      <c r="S4826" s="57">
        <f>IFERROR(__xludf.DUMMYFUNCTION("""COMPUTED_VALUE"""),46056.0)</f>
        <v>46056</v>
      </c>
      <c r="T4826" s="57">
        <f>IFERROR(__xludf.DUMMYFUNCTION("""COMPUTED_VALUE"""),46264.0)</f>
        <v>46264</v>
      </c>
    </row>
    <row r="4827">
      <c r="A4827" s="6" t="str">
        <f>IFERROR(__xludf.DUMMYFUNCTION("""COMPUTED_VALUE"""),"121703776-1")</f>
        <v>121703776-1</v>
      </c>
      <c r="B4827" s="6" t="str">
        <f>IFERROR(__xludf.DUMMYFUNCTION("""COMPUTED_VALUE"""),"121703776 - APPROVED")</f>
        <v>121703776 - APPROVED</v>
      </c>
      <c r="C4827" s="6">
        <f>IFERROR(__xludf.DUMMYFUNCTION("""COMPUTED_VALUE"""),1.0)</f>
        <v>1</v>
      </c>
      <c r="D4827" s="6" t="str">
        <f>IFERROR(__xludf.DUMMYFUNCTION("""COMPUTED_VALUE"""),"O-20913-00")</f>
        <v>O-20913-00</v>
      </c>
      <c r="E4827" s="6" t="str">
        <f>IFERROR(__xludf.DUMMYFUNCTION("""COMPUTED_VALUE"""),"General - Air Gripper; SMC; MHZJ2 20DS X43 X81B; 1 Pc")</f>
        <v>General - Air Gripper; SMC; MHZJ2 20DS X43 X81B; 1 Pc</v>
      </c>
      <c r="F4827" s="6">
        <f>IFERROR(__xludf.DUMMYFUNCTION("""COMPUTED_VALUE"""),5.0)</f>
        <v>5</v>
      </c>
      <c r="G4827" s="6" t="str">
        <f>IFERROR(__xludf.DUMMYFUNCTION("""COMPUTED_VALUE"""),"Pieces")</f>
        <v>Pieces</v>
      </c>
      <c r="H4827" s="6" t="str">
        <f>IFERROR(__xludf.DUMMYFUNCTION("""COMPUTED_VALUE"""),"IDR")</f>
        <v>IDR</v>
      </c>
      <c r="I4827" s="6">
        <f>IFERROR(__xludf.DUMMYFUNCTION("""COMPUTED_VALUE"""),6025000.0)</f>
        <v>6025000</v>
      </c>
      <c r="J4827" s="6">
        <f>IFERROR(__xludf.DUMMYFUNCTION("""COMPUTED_VALUE"""),3.0125E7)</f>
        <v>30125000</v>
      </c>
      <c r="K4827" s="57">
        <f>IFERROR(__xludf.DUMMYFUNCTION("""COMPUTED_VALUE"""),46087.0)</f>
        <v>46087</v>
      </c>
      <c r="L4827" s="6" t="str">
        <f>IFERROR(__xludf.DUMMYFUNCTION("""COMPUTED_VALUE"""),"FIP Engineering")</f>
        <v>FIP Engineering</v>
      </c>
      <c r="M4827" s="6" t="str">
        <f>IFERROR(__xludf.DUMMYFUNCTION("""COMPUTED_VALUE"""),"Mochammad Fadhillah Hakim,")</f>
        <v>Mochammad Fadhillah Hakim,</v>
      </c>
      <c r="N4827" s="6" t="str">
        <f>IFERROR(__xludf.DUMMYFUNCTION("""COMPUTED_VALUE"""),"FIP Engineering")</f>
        <v>FIP Engineering</v>
      </c>
      <c r="O4827" s="6" t="str">
        <f>IFERROR(__xludf.DUMMYFUNCTION("""COMPUTED_VALUE"""),"FIP-DOM-000-11304-OS00001-INA-000000")</f>
        <v>FIP-DOM-000-11304-OS00001-INA-000000</v>
      </c>
      <c r="P4827" s="6" t="str">
        <f>IFERROR(__xludf.DUMMYFUNCTION("""COMPUTED_VALUE"""),"PO Closed")</f>
        <v>PO Closed</v>
      </c>
      <c r="Q4827" s="6" t="str">
        <f>IFERROR(__xludf.DUMMYFUNCTION("""COMPUTED_VALUE"""),"GL2602410")</f>
        <v>GL2602410</v>
      </c>
      <c r="R4827" s="57">
        <f>IFERROR(__xludf.DUMMYFUNCTION("""COMPUTED_VALUE"""),46055.0)</f>
        <v>46055</v>
      </c>
      <c r="S4827" s="57">
        <f>IFERROR(__xludf.DUMMYFUNCTION("""COMPUTED_VALUE"""),46056.0)</f>
        <v>46056</v>
      </c>
      <c r="T4827" s="57">
        <f>IFERROR(__xludf.DUMMYFUNCTION("""COMPUTED_VALUE"""),46142.0)</f>
        <v>46142</v>
      </c>
    </row>
    <row r="4828">
      <c r="A4828" s="6" t="str">
        <f>IFERROR(__xludf.DUMMYFUNCTION("""COMPUTED_VALUE"""),"121703793-1")</f>
        <v>121703793-1</v>
      </c>
      <c r="B4828" s="6" t="str">
        <f>IFERROR(__xludf.DUMMYFUNCTION("""COMPUTED_VALUE"""),"121703793 - APPROVED")</f>
        <v>121703793 - APPROVED</v>
      </c>
      <c r="C4828" s="6">
        <f>IFERROR(__xludf.DUMMYFUNCTION("""COMPUTED_VALUE"""),1.0)</f>
        <v>1</v>
      </c>
      <c r="D4828" s="6" t="str">
        <f>IFERROR(__xludf.DUMMYFUNCTION("""COMPUTED_VALUE"""),"Q-90000-00")</f>
        <v>Q-90000-00</v>
      </c>
      <c r="E4828" s="6" t="str">
        <f>IFERROR(__xludf.DUMMYFUNCTION("""COMPUTED_VALUE"""),"Building Maintenance Pure Expense - Penggantian Kaca Temperred")</f>
        <v>Building Maintenance Pure Expense - Penggantian Kaca Temperred</v>
      </c>
      <c r="F4828" s="6">
        <f>IFERROR(__xludf.DUMMYFUNCTION("""COMPUTED_VALUE"""),3.0)</f>
        <v>3</v>
      </c>
      <c r="G4828" s="6" t="str">
        <f>IFERROR(__xludf.DUMMYFUNCTION("""COMPUTED_VALUE"""),"Unit")</f>
        <v>Unit</v>
      </c>
      <c r="H4828" s="6" t="str">
        <f>IFERROR(__xludf.DUMMYFUNCTION("""COMPUTED_VALUE"""),"IDR")</f>
        <v>IDR</v>
      </c>
      <c r="I4828" s="6">
        <f>IFERROR(__xludf.DUMMYFUNCTION("""COMPUTED_VALUE"""),1.11E7)</f>
        <v>11100000</v>
      </c>
      <c r="J4828" s="6">
        <f>IFERROR(__xludf.DUMMYFUNCTION("""COMPUTED_VALUE"""),3.33E7)</f>
        <v>33300000</v>
      </c>
      <c r="K4828" s="57">
        <f>IFERROR(__xludf.DUMMYFUNCTION("""COMPUTED_VALUE"""),46087.0)</f>
        <v>46087</v>
      </c>
      <c r="L4828" s="6" t="str">
        <f>IFERROR(__xludf.DUMMYFUNCTION("""COMPUTED_VALUE"""),"FIP General")</f>
        <v>FIP General</v>
      </c>
      <c r="M4828" s="6" t="str">
        <f>IFERROR(__xludf.DUMMYFUNCTION("""COMPUTED_VALUE"""),"Mochammad Fadhillah Hakim,")</f>
        <v>Mochammad Fadhillah Hakim,</v>
      </c>
      <c r="N4828" s="6" t="str">
        <f>IFERROR(__xludf.DUMMYFUNCTION("""COMPUTED_VALUE"""),"FIP Engineering")</f>
        <v>FIP Engineering</v>
      </c>
      <c r="O4828" s="6" t="str">
        <f>IFERROR(__xludf.DUMMYFUNCTION("""COMPUTED_VALUE"""),"FIP-DOM-ENG-51502-0000000-INA-000000")</f>
        <v>FIP-DOM-ENG-51502-0000000-INA-000000</v>
      </c>
      <c r="P4828" s="6" t="str">
        <f>IFERROR(__xludf.DUMMYFUNCTION("""COMPUTED_VALUE"""),"PO Open")</f>
        <v>PO Open</v>
      </c>
      <c r="Q4828" s="6" t="str">
        <f>IFERROR(__xludf.DUMMYFUNCTION("""COMPUTED_VALUE"""),"GL2603035")</f>
        <v>GL2603035</v>
      </c>
      <c r="R4828" s="57">
        <f>IFERROR(__xludf.DUMMYFUNCTION("""COMPUTED_VALUE"""),46057.0)</f>
        <v>46057</v>
      </c>
      <c r="S4828" s="57">
        <f>IFERROR(__xludf.DUMMYFUNCTION("""COMPUTED_VALUE"""),46058.0)</f>
        <v>46058</v>
      </c>
      <c r="T4828" s="57">
        <f>IFERROR(__xludf.DUMMYFUNCTION("""COMPUTED_VALUE"""),46115.0)</f>
        <v>46115</v>
      </c>
    </row>
    <row r="4829">
      <c r="A4829" s="6" t="str">
        <f>IFERROR(__xludf.DUMMYFUNCTION("""COMPUTED_VALUE"""),"121703795-1")</f>
        <v>121703795-1</v>
      </c>
      <c r="B4829" s="6" t="str">
        <f>IFERROR(__xludf.DUMMYFUNCTION("""COMPUTED_VALUE"""),"121703795 - APPROVED")</f>
        <v>121703795 - APPROVED</v>
      </c>
      <c r="C4829" s="6">
        <f>IFERROR(__xludf.DUMMYFUNCTION("""COMPUTED_VALUE"""),1.0)</f>
        <v>1</v>
      </c>
      <c r="D4829" s="6" t="str">
        <f>IFERROR(__xludf.DUMMYFUNCTION("""COMPUTED_VALUE"""),"S-46129-00")</f>
        <v>S-46129-00</v>
      </c>
      <c r="E4829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F4829" s="6">
        <f>IFERROR(__xludf.DUMMYFUNCTION("""COMPUTED_VALUE"""),5.0)</f>
        <v>5</v>
      </c>
      <c r="G4829" s="6" t="str">
        <f>IFERROR(__xludf.DUMMYFUNCTION("""COMPUTED_VALUE"""),"Roll")</f>
        <v>Roll</v>
      </c>
      <c r="H4829" s="6" t="str">
        <f>IFERROR(__xludf.DUMMYFUNCTION("""COMPUTED_VALUE"""),"IDR")</f>
        <v>IDR</v>
      </c>
      <c r="I4829" s="6">
        <f>IFERROR(__xludf.DUMMYFUNCTION("""COMPUTED_VALUE"""),44000.0)</f>
        <v>44000</v>
      </c>
      <c r="J4829" s="6">
        <f>IFERROR(__xludf.DUMMYFUNCTION("""COMPUTED_VALUE"""),220000.0)</f>
        <v>220000</v>
      </c>
      <c r="K4829" s="57">
        <f>IFERROR(__xludf.DUMMYFUNCTION("""COMPUTED_VALUE"""),46087.0)</f>
        <v>46087</v>
      </c>
      <c r="L4829" s="6" t="str">
        <f>IFERROR(__xludf.DUMMYFUNCTION("""COMPUTED_VALUE"""),"FIP General")</f>
        <v>FIP General</v>
      </c>
      <c r="M4829" s="6" t="str">
        <f>IFERROR(__xludf.DUMMYFUNCTION("""COMPUTED_VALUE"""),"Mochammad Fadhillah Hakim,")</f>
        <v>Mochammad Fadhillah Hakim,</v>
      </c>
      <c r="N4829" s="6" t="str">
        <f>IFERROR(__xludf.DUMMYFUNCTION("""COMPUTED_VALUE"""),"FIP Engineering")</f>
        <v>FIP Engineering</v>
      </c>
      <c r="O4829" s="6" t="str">
        <f>IFERROR(__xludf.DUMMYFUNCTION("""COMPUTED_VALUE"""),"FIP-DOM-ENG-51404-0000000-INA-000000")</f>
        <v>FIP-DOM-ENG-51404-0000000-INA-000000</v>
      </c>
      <c r="P4829" s="6" t="str">
        <f>IFERROR(__xludf.DUMMYFUNCTION("""COMPUTED_VALUE"""),"PO Closed")</f>
        <v>PO Closed</v>
      </c>
      <c r="Q4829" s="6" t="str">
        <f>IFERROR(__xludf.DUMMYFUNCTION("""COMPUTED_VALUE"""),"GL2603001")</f>
        <v>GL2603001</v>
      </c>
      <c r="R4829" s="57">
        <f>IFERROR(__xludf.DUMMYFUNCTION("""COMPUTED_VALUE"""),46057.0)</f>
        <v>46057</v>
      </c>
      <c r="S4829" s="57">
        <f>IFERROR(__xludf.DUMMYFUNCTION("""COMPUTED_VALUE"""),46058.0)</f>
        <v>46058</v>
      </c>
      <c r="T4829" s="57">
        <f>IFERROR(__xludf.DUMMYFUNCTION("""COMPUTED_VALUE"""),46091.0)</f>
        <v>46091</v>
      </c>
    </row>
    <row r="4830">
      <c r="A4830" s="6" t="str">
        <f>IFERROR(__xludf.DUMMYFUNCTION("""COMPUTED_VALUE"""),"121703807-1")</f>
        <v>121703807-1</v>
      </c>
      <c r="B4830" s="6" t="str">
        <f>IFERROR(__xludf.DUMMYFUNCTION("""COMPUTED_VALUE"""),"121703807 - APPROVED")</f>
        <v>121703807 - APPROVED</v>
      </c>
      <c r="C4830" s="6">
        <f>IFERROR(__xludf.DUMMYFUNCTION("""COMPUTED_VALUE"""),1.0)</f>
        <v>1</v>
      </c>
      <c r="D4830" s="6" t="str">
        <f>IFERROR(__xludf.DUMMYFUNCTION("""COMPUTED_VALUE"""),"P-54447-00")</f>
        <v>P-54447-00</v>
      </c>
      <c r="E4830" s="6" t="str">
        <f>IFERROR(__xludf.DUMMYFUNCTION("""COMPUTED_VALUE"""),"General - Lampu LED Downlight DN027B G3 D125 9W, 900 lm, 65k, Putih; Philips; -; 1 pc")</f>
        <v>General - Lampu LED Downlight DN027B G3 D125 9W, 900 lm, 65k, Putih; Philips; -; 1 pc</v>
      </c>
      <c r="F4830" s="6">
        <f>IFERROR(__xludf.DUMMYFUNCTION("""COMPUTED_VALUE"""),50.0)</f>
        <v>50</v>
      </c>
      <c r="G4830" s="6" t="str">
        <f>IFERROR(__xludf.DUMMYFUNCTION("""COMPUTED_VALUE"""),"Pieces")</f>
        <v>Pieces</v>
      </c>
      <c r="H4830" s="6" t="str">
        <f>IFERROR(__xludf.DUMMYFUNCTION("""COMPUTED_VALUE"""),"IDR")</f>
        <v>IDR</v>
      </c>
      <c r="I4830" s="6">
        <f>IFERROR(__xludf.DUMMYFUNCTION("""COMPUTED_VALUE"""),165000.0)</f>
        <v>165000</v>
      </c>
      <c r="J4830" s="6">
        <f>IFERROR(__xludf.DUMMYFUNCTION("""COMPUTED_VALUE"""),8250000.0)</f>
        <v>8250000</v>
      </c>
      <c r="K4830" s="57">
        <f>IFERROR(__xludf.DUMMYFUNCTION("""COMPUTED_VALUE"""),46076.0)</f>
        <v>46076</v>
      </c>
      <c r="L4830" s="6" t="str">
        <f>IFERROR(__xludf.DUMMYFUNCTION("""COMPUTED_VALUE"""),"FIP Engineering")</f>
        <v>FIP Engineering</v>
      </c>
      <c r="M4830" s="6" t="str">
        <f>IFERROR(__xludf.DUMMYFUNCTION("""COMPUTED_VALUE"""),"Mochammad Fadhillah Hakim,")</f>
        <v>Mochammad Fadhillah Hakim,</v>
      </c>
      <c r="N4830" s="6" t="str">
        <f>IFERROR(__xludf.DUMMYFUNCTION("""COMPUTED_VALUE"""),"FIP Engineering")</f>
        <v>FIP Engineering</v>
      </c>
      <c r="O4830" s="6" t="str">
        <f>IFERROR(__xludf.DUMMYFUNCTION("""COMPUTED_VALUE"""),"FIP-DOM-000-11304-OS00001-INA-000000")</f>
        <v>FIP-DOM-000-11304-OS00001-INA-000000</v>
      </c>
      <c r="P4830" s="6" t="str">
        <f>IFERROR(__xludf.DUMMYFUNCTION("""COMPUTED_VALUE"""),"PO Closed")</f>
        <v>PO Closed</v>
      </c>
      <c r="Q4830" s="6" t="str">
        <f>IFERROR(__xludf.DUMMYFUNCTION("""COMPUTED_VALUE"""),"GL2601355")</f>
        <v>GL2601355</v>
      </c>
      <c r="R4830" s="57">
        <f>IFERROR(__xludf.DUMMYFUNCTION("""COMPUTED_VALUE"""),46059.0)</f>
        <v>46059</v>
      </c>
      <c r="S4830" s="57">
        <f>IFERROR(__xludf.DUMMYFUNCTION("""COMPUTED_VALUE"""),46062.0)</f>
        <v>46062</v>
      </c>
      <c r="T4830" s="57">
        <f>IFERROR(__xludf.DUMMYFUNCTION("""COMPUTED_VALUE"""),46076.0)</f>
        <v>46076</v>
      </c>
    </row>
    <row r="4831">
      <c r="A4831" s="6" t="str">
        <f>IFERROR(__xludf.DUMMYFUNCTION("""COMPUTED_VALUE"""),"121703817-1")</f>
        <v>121703817-1</v>
      </c>
      <c r="B4831" s="6" t="str">
        <f>IFERROR(__xludf.DUMMYFUNCTION("""COMPUTED_VALUE"""),"121703817 - APPROVED")</f>
        <v>121703817 - APPROVED</v>
      </c>
      <c r="C4831" s="6">
        <f>IFERROR(__xludf.DUMMYFUNCTION("""COMPUTED_VALUE"""),1.0)</f>
        <v>1</v>
      </c>
      <c r="D4831" s="6" t="str">
        <f>IFERROR(__xludf.DUMMYFUNCTION("""COMPUTED_VALUE"""),"O-21378-00")</f>
        <v>O-21378-00</v>
      </c>
      <c r="E4831" s="6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F4831" s="6">
        <f>IFERROR(__xludf.DUMMYFUNCTION("""COMPUTED_VALUE"""),1.0)</f>
        <v>1</v>
      </c>
      <c r="G4831" s="6" t="str">
        <f>IFERROR(__xludf.DUMMYFUNCTION("""COMPUTED_VALUE"""),"Pieces")</f>
        <v>Pieces</v>
      </c>
      <c r="H4831" s="6" t="str">
        <f>IFERROR(__xludf.DUMMYFUNCTION("""COMPUTED_VALUE"""),"IDR")</f>
        <v>IDR</v>
      </c>
      <c r="I4831" s="6">
        <f>IFERROR(__xludf.DUMMYFUNCTION("""COMPUTED_VALUE"""),1050000.0)</f>
        <v>1050000</v>
      </c>
      <c r="J4831" s="6">
        <f>IFERROR(__xludf.DUMMYFUNCTION("""COMPUTED_VALUE"""),1050000.0)</f>
        <v>1050000</v>
      </c>
      <c r="K4831" s="57">
        <f>IFERROR(__xludf.DUMMYFUNCTION("""COMPUTED_VALUE"""),46094.0)</f>
        <v>46094</v>
      </c>
      <c r="L4831" s="6" t="str">
        <f>IFERROR(__xludf.DUMMYFUNCTION("""COMPUTED_VALUE"""),"FIP Engineering")</f>
        <v>FIP Engineering</v>
      </c>
      <c r="M4831" s="6" t="str">
        <f>IFERROR(__xludf.DUMMYFUNCTION("""COMPUTED_VALUE"""),"Mochammad Fadhillah Hakim,")</f>
        <v>Mochammad Fadhillah Hakim,</v>
      </c>
      <c r="N4831" s="6" t="str">
        <f>IFERROR(__xludf.DUMMYFUNCTION("""COMPUTED_VALUE"""),"FIP Engineering")</f>
        <v>FIP Engineering</v>
      </c>
      <c r="O4831" s="6" t="str">
        <f>IFERROR(__xludf.DUMMYFUNCTION("""COMPUTED_VALUE"""),"FIP-DOM-000-11304-OS00001-INA-000000")</f>
        <v>FIP-DOM-000-11304-OS00001-INA-000000</v>
      </c>
      <c r="P4831" s="6" t="str">
        <f>IFERROR(__xludf.DUMMYFUNCTION("""COMPUTED_VALUE"""),"PO Closed")</f>
        <v>PO Closed</v>
      </c>
      <c r="Q4831" s="6" t="str">
        <f>IFERROR(__xludf.DUMMYFUNCTION("""COMPUTED_VALUE"""),"GL2603433")</f>
        <v>GL2603433</v>
      </c>
      <c r="R4831" s="57">
        <f>IFERROR(__xludf.DUMMYFUNCTION("""COMPUTED_VALUE"""),46062.0)</f>
        <v>46062</v>
      </c>
      <c r="S4831" s="57">
        <f>IFERROR(__xludf.DUMMYFUNCTION("""COMPUTED_VALUE"""),46064.0)</f>
        <v>46064</v>
      </c>
      <c r="T4831" s="57">
        <f>IFERROR(__xludf.DUMMYFUNCTION("""COMPUTED_VALUE"""),46125.0)</f>
        <v>46125</v>
      </c>
    </row>
    <row r="4832">
      <c r="A4832" s="6" t="str">
        <f>IFERROR(__xludf.DUMMYFUNCTION("""COMPUTED_VALUE"""),"121703818-1")</f>
        <v>121703818-1</v>
      </c>
      <c r="B4832" s="6" t="str">
        <f>IFERROR(__xludf.DUMMYFUNCTION("""COMPUTED_VALUE"""),"121703818 - APPROVED")</f>
        <v>121703818 - APPROVED</v>
      </c>
      <c r="C4832" s="6">
        <f>IFERROR(__xludf.DUMMYFUNCTION("""COMPUTED_VALUE"""),1.0)</f>
        <v>1</v>
      </c>
      <c r="D4832" s="6" t="str">
        <f>IFERROR(__xludf.DUMMYFUNCTION("""COMPUTED_VALUE"""),"P-20529-00")</f>
        <v>P-20529-00</v>
      </c>
      <c r="E4832" s="6" t="str">
        <f>IFERROR(__xludf.DUMMYFUNCTION("""COMPUTED_VALUE"""),"General - Oring Port Sampling 8 x 61 x 77mm; Custom Agru; -; 1 pc")</f>
        <v>General - Oring Port Sampling 8 x 61 x 77mm; Custom Agru; -; 1 pc</v>
      </c>
      <c r="F4832" s="6">
        <f>IFERROR(__xludf.DUMMYFUNCTION("""COMPUTED_VALUE"""),3.0)</f>
        <v>3</v>
      </c>
      <c r="G4832" s="6" t="str">
        <f>IFERROR(__xludf.DUMMYFUNCTION("""COMPUTED_VALUE"""),"Pieces")</f>
        <v>Pieces</v>
      </c>
      <c r="H4832" s="6" t="str">
        <f>IFERROR(__xludf.DUMMYFUNCTION("""COMPUTED_VALUE"""),"IDR")</f>
        <v>IDR</v>
      </c>
      <c r="I4832" s="6">
        <f>IFERROR(__xludf.DUMMYFUNCTION("""COMPUTED_VALUE"""),350000.0)</f>
        <v>350000</v>
      </c>
      <c r="J4832" s="6">
        <f>IFERROR(__xludf.DUMMYFUNCTION("""COMPUTED_VALUE"""),1050000.0)</f>
        <v>1050000</v>
      </c>
      <c r="K4832" s="57">
        <f>IFERROR(__xludf.DUMMYFUNCTION("""COMPUTED_VALUE"""),46094.0)</f>
        <v>46094</v>
      </c>
      <c r="L4832" s="6" t="str">
        <f>IFERROR(__xludf.DUMMYFUNCTION("""COMPUTED_VALUE"""),"FIP Engineering")</f>
        <v>FIP Engineering</v>
      </c>
      <c r="M4832" s="6" t="str">
        <f>IFERROR(__xludf.DUMMYFUNCTION("""COMPUTED_VALUE"""),"Mochammad Fadhillah Hakim,")</f>
        <v>Mochammad Fadhillah Hakim,</v>
      </c>
      <c r="N4832" s="6" t="str">
        <f>IFERROR(__xludf.DUMMYFUNCTION("""COMPUTED_VALUE"""),"FIP Engineering")</f>
        <v>FIP Engineering</v>
      </c>
      <c r="O4832" s="6" t="str">
        <f>IFERROR(__xludf.DUMMYFUNCTION("""COMPUTED_VALUE"""),"FIP-DOM-000-11304-OS00001-INA-000000")</f>
        <v>FIP-DOM-000-11304-OS00001-INA-000000</v>
      </c>
      <c r="P4832" s="6" t="str">
        <f>IFERROR(__xludf.DUMMYFUNCTION("""COMPUTED_VALUE"""),"PO Closed")</f>
        <v>PO Closed</v>
      </c>
      <c r="Q4832" s="6" t="str">
        <f>IFERROR(__xludf.DUMMYFUNCTION("""COMPUTED_VALUE"""),"GL2602034")</f>
        <v>GL2602034</v>
      </c>
      <c r="R4832" s="57">
        <f>IFERROR(__xludf.DUMMYFUNCTION("""COMPUTED_VALUE"""),46062.0)</f>
        <v>46062</v>
      </c>
      <c r="S4832" s="57">
        <f>IFERROR(__xludf.DUMMYFUNCTION("""COMPUTED_VALUE"""),46063.0)</f>
        <v>46063</v>
      </c>
      <c r="T4832" s="57">
        <f>IFERROR(__xludf.DUMMYFUNCTION("""COMPUTED_VALUE"""),46094.0)</f>
        <v>46094</v>
      </c>
    </row>
    <row r="4833">
      <c r="A4833" s="6" t="str">
        <f>IFERROR(__xludf.DUMMYFUNCTION("""COMPUTED_VALUE"""),"121703819-1")</f>
        <v>121703819-1</v>
      </c>
      <c r="B4833" s="6" t="str">
        <f>IFERROR(__xludf.DUMMYFUNCTION("""COMPUTED_VALUE"""),"121703819 - APPROVED")</f>
        <v>121703819 - APPROVED</v>
      </c>
      <c r="C4833" s="6">
        <f>IFERROR(__xludf.DUMMYFUNCTION("""COMPUTED_VALUE"""),1.0)</f>
        <v>1</v>
      </c>
      <c r="D4833" s="6" t="str">
        <f>IFERROR(__xludf.DUMMYFUNCTION("""COMPUTED_VALUE"""),"T-12314-00")</f>
        <v>T-12314-00</v>
      </c>
      <c r="E4833" s="6" t="str">
        <f>IFERROR(__xludf.DUMMYFUNCTION("""COMPUTED_VALUE"""),"Converter USB to RS232 UC232A; ; ;")</f>
        <v>Converter USB to RS232 UC232A; ; ;</v>
      </c>
      <c r="F4833" s="6">
        <f>IFERROR(__xludf.DUMMYFUNCTION("""COMPUTED_VALUE"""),4.0)</f>
        <v>4</v>
      </c>
      <c r="G4833" s="6" t="str">
        <f>IFERROR(__xludf.DUMMYFUNCTION("""COMPUTED_VALUE"""),"Pieces")</f>
        <v>Pieces</v>
      </c>
      <c r="H4833" s="6" t="str">
        <f>IFERROR(__xludf.DUMMYFUNCTION("""COMPUTED_VALUE"""),"IDR")</f>
        <v>IDR</v>
      </c>
      <c r="I4833" s="6">
        <f>IFERROR(__xludf.DUMMYFUNCTION("""COMPUTED_VALUE"""),267000.0)</f>
        <v>267000</v>
      </c>
      <c r="J4833" s="6">
        <f>IFERROR(__xludf.DUMMYFUNCTION("""COMPUTED_VALUE"""),1068000.0)</f>
        <v>1068000</v>
      </c>
      <c r="K4833" s="57">
        <f>IFERROR(__xludf.DUMMYFUNCTION("""COMPUTED_VALUE"""),46094.0)</f>
        <v>46094</v>
      </c>
      <c r="L4833" s="6" t="str">
        <f>IFERROR(__xludf.DUMMYFUNCTION("""COMPUTED_VALUE"""),"FIP General")</f>
        <v>FIP General</v>
      </c>
      <c r="M4833" s="6" t="str">
        <f>IFERROR(__xludf.DUMMYFUNCTION("""COMPUTED_VALUE"""),"Mochammad Fadhillah Hakim,")</f>
        <v>Mochammad Fadhillah Hakim,</v>
      </c>
      <c r="N4833" s="6" t="str">
        <f>IFERROR(__xludf.DUMMYFUNCTION("""COMPUTED_VALUE"""),"FIP Engineering")</f>
        <v>FIP Engineering</v>
      </c>
      <c r="O4833" s="6" t="str">
        <f>IFERROR(__xludf.DUMMYFUNCTION("""COMPUTED_VALUE"""),"FIP-DOM-ENG-51504-0000000-INA-000000")</f>
        <v>FIP-DOM-ENG-51504-0000000-INA-000000</v>
      </c>
      <c r="P4833" s="6" t="str">
        <f>IFERROR(__xludf.DUMMYFUNCTION("""COMPUTED_VALUE"""),"PO Closed")</f>
        <v>PO Closed</v>
      </c>
      <c r="Q4833" s="6" t="str">
        <f>IFERROR(__xludf.DUMMYFUNCTION("""COMPUTED_VALUE"""),"GL2603038")</f>
        <v>GL2603038</v>
      </c>
      <c r="R4833" s="57">
        <f>IFERROR(__xludf.DUMMYFUNCTION("""COMPUTED_VALUE"""),46062.0)</f>
        <v>46062</v>
      </c>
      <c r="S4833" s="57">
        <f>IFERROR(__xludf.DUMMYFUNCTION("""COMPUTED_VALUE"""),46064.0)</f>
        <v>46064</v>
      </c>
      <c r="T4833" s="57">
        <f>IFERROR(__xludf.DUMMYFUNCTION("""COMPUTED_VALUE"""),46112.0)</f>
        <v>46112</v>
      </c>
    </row>
    <row r="4834">
      <c r="A4834" s="6" t="str">
        <f>IFERROR(__xludf.DUMMYFUNCTION("""COMPUTED_VALUE"""),"121703819-2")</f>
        <v>121703819-2</v>
      </c>
      <c r="B4834" s="6" t="str">
        <f>IFERROR(__xludf.DUMMYFUNCTION("""COMPUTED_VALUE"""),"121703819 - APPROVED")</f>
        <v>121703819 - APPROVED</v>
      </c>
      <c r="C4834" s="6">
        <f>IFERROR(__xludf.DUMMYFUNCTION("""COMPUTED_VALUE"""),2.0)</f>
        <v>2</v>
      </c>
      <c r="D4834" s="6" t="str">
        <f>IFERROR(__xludf.DUMMYFUNCTION("""COMPUTED_VALUE"""),"T-12352-00")</f>
        <v>T-12352-00</v>
      </c>
      <c r="E4834" s="6" t="str">
        <f>IFERROR(__xludf.DUMMYFUNCTION("""COMPUTED_VALUE"""),"Adapter converter LAN to Type C with Ethernet; UGREEN; ;")</f>
        <v>Adapter converter LAN to Type C with Ethernet; UGREEN; ;</v>
      </c>
      <c r="F4834" s="6">
        <f>IFERROR(__xludf.DUMMYFUNCTION("""COMPUTED_VALUE"""),9.0)</f>
        <v>9</v>
      </c>
      <c r="G4834" s="6" t="str">
        <f>IFERROR(__xludf.DUMMYFUNCTION("""COMPUTED_VALUE"""),"Pieces")</f>
        <v>Pieces</v>
      </c>
      <c r="H4834" s="6" t="str">
        <f>IFERROR(__xludf.DUMMYFUNCTION("""COMPUTED_VALUE"""),"IDR")</f>
        <v>IDR</v>
      </c>
      <c r="I4834" s="6">
        <f>IFERROR(__xludf.DUMMYFUNCTION("""COMPUTED_VALUE"""),191000.0)</f>
        <v>191000</v>
      </c>
      <c r="J4834" s="6">
        <f>IFERROR(__xludf.DUMMYFUNCTION("""COMPUTED_VALUE"""),1719000.0)</f>
        <v>1719000</v>
      </c>
      <c r="K4834" s="57">
        <f>IFERROR(__xludf.DUMMYFUNCTION("""COMPUTED_VALUE"""),46094.0)</f>
        <v>46094</v>
      </c>
      <c r="L4834" s="6" t="str">
        <f>IFERROR(__xludf.DUMMYFUNCTION("""COMPUTED_VALUE"""),"FIP General")</f>
        <v>FIP General</v>
      </c>
      <c r="M4834" s="6" t="str">
        <f>IFERROR(__xludf.DUMMYFUNCTION("""COMPUTED_VALUE"""),"Mochammad Fadhillah Hakim,")</f>
        <v>Mochammad Fadhillah Hakim,</v>
      </c>
      <c r="N4834" s="6" t="str">
        <f>IFERROR(__xludf.DUMMYFUNCTION("""COMPUTED_VALUE"""),"FIP Engineering")</f>
        <v>FIP Engineering</v>
      </c>
      <c r="O4834" s="6" t="str">
        <f>IFERROR(__xludf.DUMMYFUNCTION("""COMPUTED_VALUE"""),"FIP-DOM-ENG-51404-0000000-INA-000000")</f>
        <v>FIP-DOM-ENG-51404-0000000-INA-000000</v>
      </c>
      <c r="P4834" s="6" t="str">
        <f>IFERROR(__xludf.DUMMYFUNCTION("""COMPUTED_VALUE"""),"PO Closed")</f>
        <v>PO Closed</v>
      </c>
      <c r="Q4834" s="6" t="str">
        <f>IFERROR(__xludf.DUMMYFUNCTION("""COMPUTED_VALUE"""),"GL2603038")</f>
        <v>GL2603038</v>
      </c>
      <c r="R4834" s="57">
        <f>IFERROR(__xludf.DUMMYFUNCTION("""COMPUTED_VALUE"""),46062.0)</f>
        <v>46062</v>
      </c>
      <c r="S4834" s="57">
        <f>IFERROR(__xludf.DUMMYFUNCTION("""COMPUTED_VALUE"""),46064.0)</f>
        <v>46064</v>
      </c>
      <c r="T4834" s="57">
        <f>IFERROR(__xludf.DUMMYFUNCTION("""COMPUTED_VALUE"""),46112.0)</f>
        <v>46112</v>
      </c>
    </row>
    <row r="4835">
      <c r="A4835" s="6" t="str">
        <f>IFERROR(__xludf.DUMMYFUNCTION("""COMPUTED_VALUE"""),"121703820-1")</f>
        <v>121703820-1</v>
      </c>
      <c r="B4835" s="6" t="str">
        <f>IFERROR(__xludf.DUMMYFUNCTION("""COMPUTED_VALUE"""),"121703820 - APPROVED")</f>
        <v>121703820 - APPROVED</v>
      </c>
      <c r="C4835" s="6">
        <f>IFERROR(__xludf.DUMMYFUNCTION("""COMPUTED_VALUE"""),1.0)</f>
        <v>1</v>
      </c>
      <c r="D4835" s="6" t="str">
        <f>IFERROR(__xludf.DUMMYFUNCTION("""COMPUTED_VALUE"""),"P-54507-00")</f>
        <v>P-54507-00</v>
      </c>
      <c r="E4835" s="6" t="str">
        <f>IFERROR(__xludf.DUMMYFUNCTION("""COMPUTED_VALUE"""),"General - Relay MY2N-GS-R AC24 BY OMZ; Omron; -; 1 pc")</f>
        <v>General - Relay MY2N-GS-R AC24 BY OMZ; Omron; -; 1 pc</v>
      </c>
      <c r="F4835" s="6">
        <f>IFERROR(__xludf.DUMMYFUNCTION("""COMPUTED_VALUE"""),10.0)</f>
        <v>10</v>
      </c>
      <c r="G4835" s="6" t="str">
        <f>IFERROR(__xludf.DUMMYFUNCTION("""COMPUTED_VALUE"""),"Pieces")</f>
        <v>Pieces</v>
      </c>
      <c r="H4835" s="6" t="str">
        <f>IFERROR(__xludf.DUMMYFUNCTION("""COMPUTED_VALUE"""),"IDR")</f>
        <v>IDR</v>
      </c>
      <c r="I4835" s="6">
        <f>IFERROR(__xludf.DUMMYFUNCTION("""COMPUTED_VALUE"""),49000.0)</f>
        <v>49000</v>
      </c>
      <c r="J4835" s="6">
        <f>IFERROR(__xludf.DUMMYFUNCTION("""COMPUTED_VALUE"""),490000.0)</f>
        <v>490000</v>
      </c>
      <c r="K4835" s="57">
        <f>IFERROR(__xludf.DUMMYFUNCTION("""COMPUTED_VALUE"""),46094.0)</f>
        <v>46094</v>
      </c>
      <c r="L4835" s="6" t="str">
        <f>IFERROR(__xludf.DUMMYFUNCTION("""COMPUTED_VALUE"""),"FIP Engineering")</f>
        <v>FIP Engineering</v>
      </c>
      <c r="M4835" s="6" t="str">
        <f>IFERROR(__xludf.DUMMYFUNCTION("""COMPUTED_VALUE"""),"Mochammad Fadhillah Hakim,")</f>
        <v>Mochammad Fadhillah Hakim,</v>
      </c>
      <c r="N4835" s="6" t="str">
        <f>IFERROR(__xludf.DUMMYFUNCTION("""COMPUTED_VALUE"""),"FIP Engineering")</f>
        <v>FIP Engineering</v>
      </c>
      <c r="O4835" s="6" t="str">
        <f>IFERROR(__xludf.DUMMYFUNCTION("""COMPUTED_VALUE"""),"FIP-DOM-000-11304-OS00001-INA-000000")</f>
        <v>FIP-DOM-000-11304-OS00001-INA-000000</v>
      </c>
      <c r="P4835" s="6" t="str">
        <f>IFERROR(__xludf.DUMMYFUNCTION("""COMPUTED_VALUE"""),"PO Closed")</f>
        <v>PO Closed</v>
      </c>
      <c r="Q4835" s="6" t="str">
        <f>IFERROR(__xludf.DUMMYFUNCTION("""COMPUTED_VALUE"""),"GL2603004")</f>
        <v>GL2603004</v>
      </c>
      <c r="R4835" s="57">
        <f>IFERROR(__xludf.DUMMYFUNCTION("""COMPUTED_VALUE"""),46062.0)</f>
        <v>46062</v>
      </c>
      <c r="S4835" s="57">
        <f>IFERROR(__xludf.DUMMYFUNCTION("""COMPUTED_VALUE"""),46064.0)</f>
        <v>46064</v>
      </c>
      <c r="T4835" s="57">
        <f>IFERROR(__xludf.DUMMYFUNCTION("""COMPUTED_VALUE"""),46094.0)</f>
        <v>46094</v>
      </c>
    </row>
    <row r="4836">
      <c r="A4836" s="6" t="str">
        <f>IFERROR(__xludf.DUMMYFUNCTION("""COMPUTED_VALUE"""),"121703821-1")</f>
        <v>121703821-1</v>
      </c>
      <c r="B4836" s="6" t="str">
        <f>IFERROR(__xludf.DUMMYFUNCTION("""COMPUTED_VALUE"""),"121703821 - APPROVED")</f>
        <v>121703821 - APPROVED</v>
      </c>
      <c r="C4836" s="6">
        <f>IFERROR(__xludf.DUMMYFUNCTION("""COMPUTED_VALUE"""),1.0)</f>
        <v>1</v>
      </c>
      <c r="D4836" s="6" t="str">
        <f>IFERROR(__xludf.DUMMYFUNCTION("""COMPUTED_VALUE"""),"O-21372-00")</f>
        <v>O-21372-00</v>
      </c>
      <c r="E4836" s="6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F4836" s="6">
        <f>IFERROR(__xludf.DUMMYFUNCTION("""COMPUTED_VALUE"""),6.0)</f>
        <v>6</v>
      </c>
      <c r="G4836" s="6" t="str">
        <f>IFERROR(__xludf.DUMMYFUNCTION("""COMPUTED_VALUE"""),"Pieces")</f>
        <v>Pieces</v>
      </c>
      <c r="H4836" s="6" t="str">
        <f>IFERROR(__xludf.DUMMYFUNCTION("""COMPUTED_VALUE"""),"IDR")</f>
        <v>IDR</v>
      </c>
      <c r="I4836" s="6">
        <f>IFERROR(__xludf.DUMMYFUNCTION("""COMPUTED_VALUE"""),395000.0)</f>
        <v>395000</v>
      </c>
      <c r="J4836" s="6">
        <f>IFERROR(__xludf.DUMMYFUNCTION("""COMPUTED_VALUE"""),2370000.0)</f>
        <v>2370000</v>
      </c>
      <c r="K4836" s="57">
        <f>IFERROR(__xludf.DUMMYFUNCTION("""COMPUTED_VALUE"""),46094.0)</f>
        <v>46094</v>
      </c>
      <c r="L4836" s="6" t="str">
        <f>IFERROR(__xludf.DUMMYFUNCTION("""COMPUTED_VALUE"""),"FIP Engineering")</f>
        <v>FIP Engineering</v>
      </c>
      <c r="M4836" s="6" t="str">
        <f>IFERROR(__xludf.DUMMYFUNCTION("""COMPUTED_VALUE"""),"Mochammad Fadhillah Hakim,")</f>
        <v>Mochammad Fadhillah Hakim,</v>
      </c>
      <c r="N4836" s="6" t="str">
        <f>IFERROR(__xludf.DUMMYFUNCTION("""COMPUTED_VALUE"""),"FIP Engineering")</f>
        <v>FIP Engineering</v>
      </c>
      <c r="O4836" s="6" t="str">
        <f>IFERROR(__xludf.DUMMYFUNCTION("""COMPUTED_VALUE"""),"FIP-DOM-000-11304-OS00001-INA-000000")</f>
        <v>FIP-DOM-000-11304-OS00001-INA-000000</v>
      </c>
      <c r="P4836" s="6" t="str">
        <f>IFERROR(__xludf.DUMMYFUNCTION("""COMPUTED_VALUE"""),"PO Closed")</f>
        <v>PO Closed</v>
      </c>
      <c r="Q4836" s="6" t="str">
        <f>IFERROR(__xludf.DUMMYFUNCTION("""COMPUTED_VALUE"""),"GL2603437")</f>
        <v>GL2603437</v>
      </c>
      <c r="R4836" s="57">
        <f>IFERROR(__xludf.DUMMYFUNCTION("""COMPUTED_VALUE"""),46062.0)</f>
        <v>46062</v>
      </c>
      <c r="S4836" s="57">
        <f>IFERROR(__xludf.DUMMYFUNCTION("""COMPUTED_VALUE"""),46064.0)</f>
        <v>46064</v>
      </c>
      <c r="T4836" s="57">
        <f>IFERROR(__xludf.DUMMYFUNCTION("""COMPUTED_VALUE"""),46142.0)</f>
        <v>46142</v>
      </c>
    </row>
    <row r="4837">
      <c r="A4837" s="6" t="str">
        <f>IFERROR(__xludf.DUMMYFUNCTION("""COMPUTED_VALUE"""),"121703822-1")</f>
        <v>121703822-1</v>
      </c>
      <c r="B4837" s="6" t="str">
        <f>IFERROR(__xludf.DUMMYFUNCTION("""COMPUTED_VALUE"""),"121703822 - APPROVED")</f>
        <v>121703822 - APPROVED</v>
      </c>
      <c r="C4837" s="6">
        <f>IFERROR(__xludf.DUMMYFUNCTION("""COMPUTED_VALUE"""),1.0)</f>
        <v>1</v>
      </c>
      <c r="D4837" s="6" t="str">
        <f>IFERROR(__xludf.DUMMYFUNCTION("""COMPUTED_VALUE"""),"P-20540-00")</f>
        <v>P-20540-00</v>
      </c>
      <c r="E4837" s="6" t="str">
        <f>IFERROR(__xludf.DUMMYFUNCTION("""COMPUTED_VALUE"""),"General - Handle Pintu Panel H3-60-221-050; Soutcho; -; 1 pc")</f>
        <v>General - Handle Pintu Panel H3-60-221-050; Soutcho; -; 1 pc</v>
      </c>
      <c r="F4837" s="6">
        <f>IFERROR(__xludf.DUMMYFUNCTION("""COMPUTED_VALUE"""),2.0)</f>
        <v>2</v>
      </c>
      <c r="G4837" s="6" t="str">
        <f>IFERROR(__xludf.DUMMYFUNCTION("""COMPUTED_VALUE"""),"Pieces")</f>
        <v>Pieces</v>
      </c>
      <c r="H4837" s="6" t="str">
        <f>IFERROR(__xludf.DUMMYFUNCTION("""COMPUTED_VALUE"""),"IDR")</f>
        <v>IDR</v>
      </c>
      <c r="I4837" s="6">
        <f>IFERROR(__xludf.DUMMYFUNCTION("""COMPUTED_VALUE"""),1105000.0)</f>
        <v>1105000</v>
      </c>
      <c r="J4837" s="6">
        <f>IFERROR(__xludf.DUMMYFUNCTION("""COMPUTED_VALUE"""),2210000.0)</f>
        <v>2210000</v>
      </c>
      <c r="K4837" s="57">
        <f>IFERROR(__xludf.DUMMYFUNCTION("""COMPUTED_VALUE"""),46094.0)</f>
        <v>46094</v>
      </c>
      <c r="L4837" s="6" t="str">
        <f>IFERROR(__xludf.DUMMYFUNCTION("""COMPUTED_VALUE"""),"FIP Engineering")</f>
        <v>FIP Engineering</v>
      </c>
      <c r="M4837" s="6" t="str">
        <f>IFERROR(__xludf.DUMMYFUNCTION("""COMPUTED_VALUE"""),"Mochammad Fadhillah Hakim,")</f>
        <v>Mochammad Fadhillah Hakim,</v>
      </c>
      <c r="N4837" s="6" t="str">
        <f>IFERROR(__xludf.DUMMYFUNCTION("""COMPUTED_VALUE"""),"FIP Engineering")</f>
        <v>FIP Engineering</v>
      </c>
      <c r="O4837" s="6" t="str">
        <f>IFERROR(__xludf.DUMMYFUNCTION("""COMPUTED_VALUE"""),"FIP-DOM-000-11304-OS00001-INA-000000")</f>
        <v>FIP-DOM-000-11304-OS00001-INA-000000</v>
      </c>
      <c r="P4837" s="6" t="str">
        <f>IFERROR(__xludf.DUMMYFUNCTION("""COMPUTED_VALUE"""),"PO Closed")</f>
        <v>PO Closed</v>
      </c>
      <c r="Q4837" s="6" t="str">
        <f>IFERROR(__xludf.DUMMYFUNCTION("""COMPUTED_VALUE"""),"GL2603003")</f>
        <v>GL2603003</v>
      </c>
      <c r="R4837" s="57">
        <f>IFERROR(__xludf.DUMMYFUNCTION("""COMPUTED_VALUE"""),46062.0)</f>
        <v>46062</v>
      </c>
      <c r="S4837" s="57">
        <f>IFERROR(__xludf.DUMMYFUNCTION("""COMPUTED_VALUE"""),46063.0)</f>
        <v>46063</v>
      </c>
      <c r="T4837" s="57">
        <f>IFERROR(__xludf.DUMMYFUNCTION("""COMPUTED_VALUE"""),46172.0)</f>
        <v>46172</v>
      </c>
    </row>
    <row r="4838">
      <c r="A4838" s="6" t="str">
        <f>IFERROR(__xludf.DUMMYFUNCTION("""COMPUTED_VALUE"""),"121703822-2")</f>
        <v>121703822-2</v>
      </c>
      <c r="B4838" s="6" t="str">
        <f>IFERROR(__xludf.DUMMYFUNCTION("""COMPUTED_VALUE"""),"121703822 - APPROVED")</f>
        <v>121703822 - APPROVED</v>
      </c>
      <c r="C4838" s="6">
        <f>IFERROR(__xludf.DUMMYFUNCTION("""COMPUTED_VALUE"""),2.0)</f>
        <v>2</v>
      </c>
      <c r="D4838" s="6" t="str">
        <f>IFERROR(__xludf.DUMMYFUNCTION("""COMPUTED_VALUE"""),"P-20541-00")</f>
        <v>P-20541-00</v>
      </c>
      <c r="E4838" s="6" t="str">
        <f>IFERROR(__xludf.DUMMYFUNCTION("""COMPUTED_VALUE"""),"General - Lidah Handle Panel E5-6110; Southco; -; 1 pc")</f>
        <v>General - Lidah Handle Panel E5-6110; Southco; -; 1 pc</v>
      </c>
      <c r="F4838" s="6">
        <f>IFERROR(__xludf.DUMMYFUNCTION("""COMPUTED_VALUE"""),2.0)</f>
        <v>2</v>
      </c>
      <c r="G4838" s="6" t="str">
        <f>IFERROR(__xludf.DUMMYFUNCTION("""COMPUTED_VALUE"""),"Pieces")</f>
        <v>Pieces</v>
      </c>
      <c r="H4838" s="6" t="str">
        <f>IFERROR(__xludf.DUMMYFUNCTION("""COMPUTED_VALUE"""),"IDR")</f>
        <v>IDR</v>
      </c>
      <c r="I4838" s="6">
        <f>IFERROR(__xludf.DUMMYFUNCTION("""COMPUTED_VALUE"""),40000.0)</f>
        <v>40000</v>
      </c>
      <c r="J4838" s="6">
        <f>IFERROR(__xludf.DUMMYFUNCTION("""COMPUTED_VALUE"""),80000.0)</f>
        <v>80000</v>
      </c>
      <c r="K4838" s="57">
        <f>IFERROR(__xludf.DUMMYFUNCTION("""COMPUTED_VALUE"""),46094.0)</f>
        <v>46094</v>
      </c>
      <c r="L4838" s="6" t="str">
        <f>IFERROR(__xludf.DUMMYFUNCTION("""COMPUTED_VALUE"""),"FIP Engineering")</f>
        <v>FIP Engineering</v>
      </c>
      <c r="M4838" s="6" t="str">
        <f>IFERROR(__xludf.DUMMYFUNCTION("""COMPUTED_VALUE"""),"Mochammad Fadhillah Hakim,")</f>
        <v>Mochammad Fadhillah Hakim,</v>
      </c>
      <c r="N4838" s="6" t="str">
        <f>IFERROR(__xludf.DUMMYFUNCTION("""COMPUTED_VALUE"""),"FIP Engineering")</f>
        <v>FIP Engineering</v>
      </c>
      <c r="O4838" s="6" t="str">
        <f>IFERROR(__xludf.DUMMYFUNCTION("""COMPUTED_VALUE"""),"FIP-DOM-000-11304-OS00001-INA-000000")</f>
        <v>FIP-DOM-000-11304-OS00001-INA-000000</v>
      </c>
      <c r="P4838" s="6" t="str">
        <f>IFERROR(__xludf.DUMMYFUNCTION("""COMPUTED_VALUE"""),"PO Closed")</f>
        <v>PO Closed</v>
      </c>
      <c r="Q4838" s="6" t="str">
        <f>IFERROR(__xludf.DUMMYFUNCTION("""COMPUTED_VALUE"""),"GL2603003")</f>
        <v>GL2603003</v>
      </c>
      <c r="R4838" s="57">
        <f>IFERROR(__xludf.DUMMYFUNCTION("""COMPUTED_VALUE"""),46062.0)</f>
        <v>46062</v>
      </c>
      <c r="S4838" s="57">
        <f>IFERROR(__xludf.DUMMYFUNCTION("""COMPUTED_VALUE"""),46063.0)</f>
        <v>46063</v>
      </c>
      <c r="T4838" s="57">
        <f>IFERROR(__xludf.DUMMYFUNCTION("""COMPUTED_VALUE"""),46172.0)</f>
        <v>46172</v>
      </c>
    </row>
    <row r="4839">
      <c r="A4839" s="6" t="str">
        <f>IFERROR(__xludf.DUMMYFUNCTION("""COMPUTED_VALUE"""),"121703823-1")</f>
        <v>121703823-1</v>
      </c>
      <c r="B4839" s="6" t="str">
        <f>IFERROR(__xludf.DUMMYFUNCTION("""COMPUTED_VALUE"""),"121703823 - APPROVED")</f>
        <v>121703823 - APPROVED</v>
      </c>
      <c r="C4839" s="6">
        <f>IFERROR(__xludf.DUMMYFUNCTION("""COMPUTED_VALUE"""),1.0)</f>
        <v>1</v>
      </c>
      <c r="D4839" s="6" t="str">
        <f>IFERROR(__xludf.DUMMYFUNCTION("""COMPUTED_VALUE"""),"P-20530-00")</f>
        <v>P-20530-00</v>
      </c>
      <c r="E4839" s="6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F4839" s="6">
        <f>IFERROR(__xludf.DUMMYFUNCTION("""COMPUTED_VALUE"""),2.0)</f>
        <v>2</v>
      </c>
      <c r="G4839" s="6" t="str">
        <f>IFERROR(__xludf.DUMMYFUNCTION("""COMPUTED_VALUE"""),"Pieces")</f>
        <v>Pieces</v>
      </c>
      <c r="H4839" s="6" t="str">
        <f>IFERROR(__xludf.DUMMYFUNCTION("""COMPUTED_VALUE"""),"IDR")</f>
        <v>IDR</v>
      </c>
      <c r="I4839" s="6">
        <f>IFERROR(__xludf.DUMMYFUNCTION("""COMPUTED_VALUE"""),500000.0)</f>
        <v>500000</v>
      </c>
      <c r="J4839" s="6">
        <f>IFERROR(__xludf.DUMMYFUNCTION("""COMPUTED_VALUE"""),1000000.0)</f>
        <v>1000000</v>
      </c>
      <c r="K4839" s="57">
        <f>IFERROR(__xludf.DUMMYFUNCTION("""COMPUTED_VALUE"""),46094.0)</f>
        <v>46094</v>
      </c>
      <c r="L4839" s="6" t="str">
        <f>IFERROR(__xludf.DUMMYFUNCTION("""COMPUTED_VALUE"""),"FIP Engineering")</f>
        <v>FIP Engineering</v>
      </c>
      <c r="M4839" s="6" t="str">
        <f>IFERROR(__xludf.DUMMYFUNCTION("""COMPUTED_VALUE"""),"Mochammad Fadhillah Hakim,")</f>
        <v>Mochammad Fadhillah Hakim,</v>
      </c>
      <c r="N4839" s="6" t="str">
        <f>IFERROR(__xludf.DUMMYFUNCTION("""COMPUTED_VALUE"""),"FIP Engineering")</f>
        <v>FIP Engineering</v>
      </c>
      <c r="O4839" s="6" t="str">
        <f>IFERROR(__xludf.DUMMYFUNCTION("""COMPUTED_VALUE"""),"FIP-DOM-000-11304-OS00001-INA-000000")</f>
        <v>FIP-DOM-000-11304-OS00001-INA-000000</v>
      </c>
      <c r="P4839" s="6" t="str">
        <f>IFERROR(__xludf.DUMMYFUNCTION("""COMPUTED_VALUE"""),"PO Closed")</f>
        <v>PO Closed</v>
      </c>
      <c r="Q4839" s="6" t="str">
        <f>IFERROR(__xludf.DUMMYFUNCTION("""COMPUTED_VALUE"""),"GL2602408")</f>
        <v>GL2602408</v>
      </c>
      <c r="R4839" s="57">
        <f>IFERROR(__xludf.DUMMYFUNCTION("""COMPUTED_VALUE"""),46062.0)</f>
        <v>46062</v>
      </c>
      <c r="S4839" s="57">
        <f>IFERROR(__xludf.DUMMYFUNCTION("""COMPUTED_VALUE"""),46065.0)</f>
        <v>46065</v>
      </c>
      <c r="T4839" s="57">
        <f>IFERROR(__xludf.DUMMYFUNCTION("""COMPUTED_VALUE"""),46102.0)</f>
        <v>46102</v>
      </c>
    </row>
    <row r="4840">
      <c r="A4840" s="6" t="str">
        <f>IFERROR(__xludf.DUMMYFUNCTION("""COMPUTED_VALUE"""),"121703823-2")</f>
        <v>121703823-2</v>
      </c>
      <c r="B4840" s="6" t="str">
        <f>IFERROR(__xludf.DUMMYFUNCTION("""COMPUTED_VALUE"""),"121703823 - APPROVED")</f>
        <v>121703823 - APPROVED</v>
      </c>
      <c r="C4840" s="6">
        <f>IFERROR(__xludf.DUMMYFUNCTION("""COMPUTED_VALUE"""),2.0)</f>
        <v>2</v>
      </c>
      <c r="D4840" s="6" t="str">
        <f>IFERROR(__xludf.DUMMYFUNCTION("""COMPUTED_VALUE"""),"P-20531-00")</f>
        <v>P-20531-00</v>
      </c>
      <c r="E4840" s="6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F4840" s="6">
        <f>IFERROR(__xludf.DUMMYFUNCTION("""COMPUTED_VALUE"""),2.0)</f>
        <v>2</v>
      </c>
      <c r="G4840" s="6" t="str">
        <f>IFERROR(__xludf.DUMMYFUNCTION("""COMPUTED_VALUE"""),"Pieces")</f>
        <v>Pieces</v>
      </c>
      <c r="H4840" s="6" t="str">
        <f>IFERROR(__xludf.DUMMYFUNCTION("""COMPUTED_VALUE"""),"IDR")</f>
        <v>IDR</v>
      </c>
      <c r="I4840" s="6">
        <f>IFERROR(__xludf.DUMMYFUNCTION("""COMPUTED_VALUE"""),350000.0)</f>
        <v>350000</v>
      </c>
      <c r="J4840" s="6">
        <f>IFERROR(__xludf.DUMMYFUNCTION("""COMPUTED_VALUE"""),700000.0)</f>
        <v>700000</v>
      </c>
      <c r="K4840" s="57">
        <f>IFERROR(__xludf.DUMMYFUNCTION("""COMPUTED_VALUE"""),46094.0)</f>
        <v>46094</v>
      </c>
      <c r="L4840" s="6" t="str">
        <f>IFERROR(__xludf.DUMMYFUNCTION("""COMPUTED_VALUE"""),"FIP Engineering")</f>
        <v>FIP Engineering</v>
      </c>
      <c r="M4840" s="6" t="str">
        <f>IFERROR(__xludf.DUMMYFUNCTION("""COMPUTED_VALUE"""),"Mochammad Fadhillah Hakim,")</f>
        <v>Mochammad Fadhillah Hakim,</v>
      </c>
      <c r="N4840" s="6" t="str">
        <f>IFERROR(__xludf.DUMMYFUNCTION("""COMPUTED_VALUE"""),"FIP Engineering")</f>
        <v>FIP Engineering</v>
      </c>
      <c r="O4840" s="6" t="str">
        <f>IFERROR(__xludf.DUMMYFUNCTION("""COMPUTED_VALUE"""),"FIP-DOM-000-11304-OS00001-INA-000000")</f>
        <v>FIP-DOM-000-11304-OS00001-INA-000000</v>
      </c>
      <c r="P4840" s="6" t="str">
        <f>IFERROR(__xludf.DUMMYFUNCTION("""COMPUTED_VALUE"""),"PO Closed")</f>
        <v>PO Closed</v>
      </c>
      <c r="Q4840" s="6" t="str">
        <f>IFERROR(__xludf.DUMMYFUNCTION("""COMPUTED_VALUE"""),"GL2602408")</f>
        <v>GL2602408</v>
      </c>
      <c r="R4840" s="57">
        <f>IFERROR(__xludf.DUMMYFUNCTION("""COMPUTED_VALUE"""),46062.0)</f>
        <v>46062</v>
      </c>
      <c r="S4840" s="57">
        <f>IFERROR(__xludf.DUMMYFUNCTION("""COMPUTED_VALUE"""),46065.0)</f>
        <v>46065</v>
      </c>
      <c r="T4840" s="57">
        <f>IFERROR(__xludf.DUMMYFUNCTION("""COMPUTED_VALUE"""),46102.0)</f>
        <v>46102</v>
      </c>
    </row>
    <row r="4841">
      <c r="A4841" s="6" t="str">
        <f>IFERROR(__xludf.DUMMYFUNCTION("""COMPUTED_VALUE"""),"121703824-1")</f>
        <v>121703824-1</v>
      </c>
      <c r="B4841" s="6" t="str">
        <f>IFERROR(__xludf.DUMMYFUNCTION("""COMPUTED_VALUE"""),"121703824 - APPROVED")</f>
        <v>121703824 - APPROVED</v>
      </c>
      <c r="C4841" s="6">
        <f>IFERROR(__xludf.DUMMYFUNCTION("""COMPUTED_VALUE"""),1.0)</f>
        <v>1</v>
      </c>
      <c r="D4841" s="6" t="str">
        <f>IFERROR(__xludf.DUMMYFUNCTION("""COMPUTED_VALUE"""),"O-53566-00")</f>
        <v>O-53566-00</v>
      </c>
      <c r="E4841" s="6" t="str">
        <f>IFERROR(__xludf.DUMMYFUNCTION("""COMPUTED_VALUE"""),"Integrated Granulation Line - K-Adp-Usb Programmer; Pepperl+Fuchs; ;")</f>
        <v>Integrated Granulation Line - K-Adp-Usb Programmer; Pepperl+Fuchs; ;</v>
      </c>
      <c r="F4841" s="6">
        <f>IFERROR(__xludf.DUMMYFUNCTION("""COMPUTED_VALUE"""),1.0)</f>
        <v>1</v>
      </c>
      <c r="G4841" s="6" t="str">
        <f>IFERROR(__xludf.DUMMYFUNCTION("""COMPUTED_VALUE"""),"Pieces")</f>
        <v>Pieces</v>
      </c>
      <c r="H4841" s="6" t="str">
        <f>IFERROR(__xludf.DUMMYFUNCTION("""COMPUTED_VALUE"""),"IDR")</f>
        <v>IDR</v>
      </c>
      <c r="I4841" s="6">
        <f>IFERROR(__xludf.DUMMYFUNCTION("""COMPUTED_VALUE"""),5650000.0)</f>
        <v>5650000</v>
      </c>
      <c r="J4841" s="6">
        <f>IFERROR(__xludf.DUMMYFUNCTION("""COMPUTED_VALUE"""),5650000.0)</f>
        <v>5650000</v>
      </c>
      <c r="K4841" s="57">
        <f>IFERROR(__xludf.DUMMYFUNCTION("""COMPUTED_VALUE"""),46064.0)</f>
        <v>46064</v>
      </c>
      <c r="L4841" s="6" t="str">
        <f>IFERROR(__xludf.DUMMYFUNCTION("""COMPUTED_VALUE"""),"FIP Engineering")</f>
        <v>FIP Engineering</v>
      </c>
      <c r="M4841" s="6" t="str">
        <f>IFERROR(__xludf.DUMMYFUNCTION("""COMPUTED_VALUE"""),"Mochammad Fadhillah Hakim,")</f>
        <v>Mochammad Fadhillah Hakim,</v>
      </c>
      <c r="N4841" s="6" t="str">
        <f>IFERROR(__xludf.DUMMYFUNCTION("""COMPUTED_VALUE"""),"FIP Engineering")</f>
        <v>FIP Engineering</v>
      </c>
      <c r="O4841" s="6" t="str">
        <f>IFERROR(__xludf.DUMMYFUNCTION("""COMPUTED_VALUE"""),"FIP-DOM-000-11304-OS00001-INA-000000")</f>
        <v>FIP-DOM-000-11304-OS00001-INA-000000</v>
      </c>
      <c r="P4841" s="6" t="str">
        <f>IFERROR(__xludf.DUMMYFUNCTION("""COMPUTED_VALUE"""),"PO Closed")</f>
        <v>PO Closed</v>
      </c>
      <c r="Q4841" s="6" t="str">
        <f>IFERROR(__xludf.DUMMYFUNCTION("""COMPUTED_VALUE"""),"GL2602414")</f>
        <v>GL2602414</v>
      </c>
      <c r="R4841" s="57">
        <f>IFERROR(__xludf.DUMMYFUNCTION("""COMPUTED_VALUE"""),46062.0)</f>
        <v>46062</v>
      </c>
      <c r="S4841" s="57">
        <f>IFERROR(__xludf.DUMMYFUNCTION("""COMPUTED_VALUE"""),46062.0)</f>
        <v>46062</v>
      </c>
      <c r="T4841" s="57">
        <f>IFERROR(__xludf.DUMMYFUNCTION("""COMPUTED_VALUE"""),46123.0)</f>
        <v>46123</v>
      </c>
    </row>
    <row r="4842">
      <c r="A4842" s="6" t="str">
        <f>IFERROR(__xludf.DUMMYFUNCTION("""COMPUTED_VALUE"""),"121703825-1")</f>
        <v>121703825-1</v>
      </c>
      <c r="B4842" s="6" t="str">
        <f>IFERROR(__xludf.DUMMYFUNCTION("""COMPUTED_VALUE"""),"121703825 - APPROVED")</f>
        <v>121703825 - APPROVED</v>
      </c>
      <c r="C4842" s="6">
        <f>IFERROR(__xludf.DUMMYFUNCTION("""COMPUTED_VALUE"""),1.0)</f>
        <v>1</v>
      </c>
      <c r="D4842" s="6" t="str">
        <f>IFERROR(__xludf.DUMMYFUNCTION("""COMPUTED_VALUE"""),"P-20532-00")</f>
        <v>P-20532-00</v>
      </c>
      <c r="E4842" s="6" t="str">
        <f>IFERROR(__xludf.DUMMYFUNCTION("""COMPUTED_VALUE"""),"General - Hand Tap M3 x 0.5; Yamawa; -; 3pcs/pack")</f>
        <v>General - Hand Tap M3 x 0.5; Yamawa; -; 3pcs/pack</v>
      </c>
      <c r="F4842" s="6">
        <f>IFERROR(__xludf.DUMMYFUNCTION("""COMPUTED_VALUE"""),4.0)</f>
        <v>4</v>
      </c>
      <c r="G4842" s="6" t="str">
        <f>IFERROR(__xludf.DUMMYFUNCTION("""COMPUTED_VALUE"""),"Pack")</f>
        <v>Pack</v>
      </c>
      <c r="H4842" s="6" t="str">
        <f>IFERROR(__xludf.DUMMYFUNCTION("""COMPUTED_VALUE"""),"IDR")</f>
        <v>IDR</v>
      </c>
      <c r="I4842" s="6">
        <f>IFERROR(__xludf.DUMMYFUNCTION("""COMPUTED_VALUE"""),90000.0)</f>
        <v>90000</v>
      </c>
      <c r="J4842" s="6">
        <f>IFERROR(__xludf.DUMMYFUNCTION("""COMPUTED_VALUE"""),360000.0)</f>
        <v>360000</v>
      </c>
      <c r="K4842" s="57">
        <f>IFERROR(__xludf.DUMMYFUNCTION("""COMPUTED_VALUE"""),46094.0)</f>
        <v>46094</v>
      </c>
      <c r="L4842" s="6" t="str">
        <f>IFERROR(__xludf.DUMMYFUNCTION("""COMPUTED_VALUE"""),"FIP Engineering")</f>
        <v>FIP Engineering</v>
      </c>
      <c r="M4842" s="6" t="str">
        <f>IFERROR(__xludf.DUMMYFUNCTION("""COMPUTED_VALUE"""),"Mochammad Fadhillah Hakim,")</f>
        <v>Mochammad Fadhillah Hakim,</v>
      </c>
      <c r="N4842" s="6" t="str">
        <f>IFERROR(__xludf.DUMMYFUNCTION("""COMPUTED_VALUE"""),"FIP Engineering")</f>
        <v>FIP Engineering</v>
      </c>
      <c r="O4842" s="6" t="str">
        <f>IFERROR(__xludf.DUMMYFUNCTION("""COMPUTED_VALUE"""),"FIP-DOM-000-11304-OS00001-INA-000000")</f>
        <v>FIP-DOM-000-11304-OS00001-INA-000000</v>
      </c>
      <c r="P4842" s="6" t="str">
        <f>IFERROR(__xludf.DUMMYFUNCTION("""COMPUTED_VALUE"""),"PO Closed")</f>
        <v>PO Closed</v>
      </c>
      <c r="Q4842" s="6" t="str">
        <f>IFERROR(__xludf.DUMMYFUNCTION("""COMPUTED_VALUE"""),"GL2603431")</f>
        <v>GL2603431</v>
      </c>
      <c r="R4842" s="57">
        <f>IFERROR(__xludf.DUMMYFUNCTION("""COMPUTED_VALUE"""),46062.0)</f>
        <v>46062</v>
      </c>
      <c r="S4842" s="57">
        <f>IFERROR(__xludf.DUMMYFUNCTION("""COMPUTED_VALUE"""),46063.0)</f>
        <v>46063</v>
      </c>
      <c r="T4842" s="57">
        <f>IFERROR(__xludf.DUMMYFUNCTION("""COMPUTED_VALUE"""),46114.0)</f>
        <v>46114</v>
      </c>
    </row>
    <row r="4843">
      <c r="A4843" s="6" t="str">
        <f>IFERROR(__xludf.DUMMYFUNCTION("""COMPUTED_VALUE"""),"121703825-2")</f>
        <v>121703825-2</v>
      </c>
      <c r="B4843" s="6" t="str">
        <f>IFERROR(__xludf.DUMMYFUNCTION("""COMPUTED_VALUE"""),"121703825 - APPROVED")</f>
        <v>121703825 - APPROVED</v>
      </c>
      <c r="C4843" s="6">
        <f>IFERROR(__xludf.DUMMYFUNCTION("""COMPUTED_VALUE"""),2.0)</f>
        <v>2</v>
      </c>
      <c r="D4843" s="6" t="str">
        <f>IFERROR(__xludf.DUMMYFUNCTION("""COMPUTED_VALUE"""),"P-54535-00")</f>
        <v>P-54535-00</v>
      </c>
      <c r="E4843" s="6" t="str">
        <f>IFERROR(__xludf.DUMMYFUNCTION("""COMPUTED_VALUE"""),"General - Stopper Din Rail 20mm; No Brand; -; 1 pc")</f>
        <v>General - Stopper Din Rail 20mm; No Brand; -; 1 pc</v>
      </c>
      <c r="F4843" s="6">
        <f>IFERROR(__xludf.DUMMYFUNCTION("""COMPUTED_VALUE"""),25.0)</f>
        <v>25</v>
      </c>
      <c r="G4843" s="6" t="str">
        <f>IFERROR(__xludf.DUMMYFUNCTION("""COMPUTED_VALUE"""),"Pieces")</f>
        <v>Pieces</v>
      </c>
      <c r="H4843" s="6" t="str">
        <f>IFERROR(__xludf.DUMMYFUNCTION("""COMPUTED_VALUE"""),"IDR")</f>
        <v>IDR</v>
      </c>
      <c r="I4843" s="6">
        <f>IFERROR(__xludf.DUMMYFUNCTION("""COMPUTED_VALUE"""),3000.0)</f>
        <v>3000</v>
      </c>
      <c r="J4843" s="6">
        <f>IFERROR(__xludf.DUMMYFUNCTION("""COMPUTED_VALUE"""),75000.0)</f>
        <v>75000</v>
      </c>
      <c r="K4843" s="57">
        <f>IFERROR(__xludf.DUMMYFUNCTION("""COMPUTED_VALUE"""),46094.0)</f>
        <v>46094</v>
      </c>
      <c r="L4843" s="6" t="str">
        <f>IFERROR(__xludf.DUMMYFUNCTION("""COMPUTED_VALUE"""),"FIP Engineering")</f>
        <v>FIP Engineering</v>
      </c>
      <c r="M4843" s="6" t="str">
        <f>IFERROR(__xludf.DUMMYFUNCTION("""COMPUTED_VALUE"""),"Mochammad Fadhillah Hakim,")</f>
        <v>Mochammad Fadhillah Hakim,</v>
      </c>
      <c r="N4843" s="6" t="str">
        <f>IFERROR(__xludf.DUMMYFUNCTION("""COMPUTED_VALUE"""),"FIP Engineering")</f>
        <v>FIP Engineering</v>
      </c>
      <c r="O4843" s="6" t="str">
        <f>IFERROR(__xludf.DUMMYFUNCTION("""COMPUTED_VALUE"""),"FIP-DOM-000-11304-OS00001-INA-000000")</f>
        <v>FIP-DOM-000-11304-OS00001-INA-000000</v>
      </c>
      <c r="P4843" s="6" t="str">
        <f>IFERROR(__xludf.DUMMYFUNCTION("""COMPUTED_VALUE"""),"PO Closed")</f>
        <v>PO Closed</v>
      </c>
      <c r="Q4843" s="6" t="str">
        <f>IFERROR(__xludf.DUMMYFUNCTION("""COMPUTED_VALUE"""),"GL2603431")</f>
        <v>GL2603431</v>
      </c>
      <c r="R4843" s="57">
        <f>IFERROR(__xludf.DUMMYFUNCTION("""COMPUTED_VALUE"""),46062.0)</f>
        <v>46062</v>
      </c>
      <c r="S4843" s="57">
        <f>IFERROR(__xludf.DUMMYFUNCTION("""COMPUTED_VALUE"""),46063.0)</f>
        <v>46063</v>
      </c>
      <c r="T4843" s="57">
        <f>IFERROR(__xludf.DUMMYFUNCTION("""COMPUTED_VALUE"""),46114.0)</f>
        <v>46114</v>
      </c>
    </row>
    <row r="4844">
      <c r="A4844" s="6" t="str">
        <f>IFERROR(__xludf.DUMMYFUNCTION("""COMPUTED_VALUE"""),"121703825-3")</f>
        <v>121703825-3</v>
      </c>
      <c r="B4844" s="6" t="str">
        <f>IFERROR(__xludf.DUMMYFUNCTION("""COMPUTED_VALUE"""),"121703825 - APPROVED")</f>
        <v>121703825 - APPROVED</v>
      </c>
      <c r="C4844" s="6">
        <f>IFERROR(__xludf.DUMMYFUNCTION("""COMPUTED_VALUE"""),3.0)</f>
        <v>3</v>
      </c>
      <c r="D4844" s="6" t="str">
        <f>IFERROR(__xludf.DUMMYFUNCTION("""COMPUTED_VALUE"""),"P-54543-00")</f>
        <v>P-54543-00</v>
      </c>
      <c r="E4844" s="6" t="str">
        <f>IFERROR(__xludf.DUMMYFUNCTION("""COMPUTED_VALUE"""),"General - Junction Box MG 33 x 22 x 12cm; Duradus; -; 1 pc")</f>
        <v>General - Junction Box MG 33 x 22 x 12cm; Duradus; -; 1 pc</v>
      </c>
      <c r="F4844" s="6">
        <f>IFERROR(__xludf.DUMMYFUNCTION("""COMPUTED_VALUE"""),1.0)</f>
        <v>1</v>
      </c>
      <c r="G4844" s="6" t="str">
        <f>IFERROR(__xludf.DUMMYFUNCTION("""COMPUTED_VALUE"""),"Pieces")</f>
        <v>Pieces</v>
      </c>
      <c r="H4844" s="6" t="str">
        <f>IFERROR(__xludf.DUMMYFUNCTION("""COMPUTED_VALUE"""),"IDR")</f>
        <v>IDR</v>
      </c>
      <c r="I4844" s="6">
        <f>IFERROR(__xludf.DUMMYFUNCTION("""COMPUTED_VALUE"""),165000.0)</f>
        <v>165000</v>
      </c>
      <c r="J4844" s="6">
        <f>IFERROR(__xludf.DUMMYFUNCTION("""COMPUTED_VALUE"""),165000.0)</f>
        <v>165000</v>
      </c>
      <c r="K4844" s="57">
        <f>IFERROR(__xludf.DUMMYFUNCTION("""COMPUTED_VALUE"""),46094.0)</f>
        <v>46094</v>
      </c>
      <c r="L4844" s="6" t="str">
        <f>IFERROR(__xludf.DUMMYFUNCTION("""COMPUTED_VALUE"""),"FIP Engineering")</f>
        <v>FIP Engineering</v>
      </c>
      <c r="M4844" s="6" t="str">
        <f>IFERROR(__xludf.DUMMYFUNCTION("""COMPUTED_VALUE"""),"Mochammad Fadhillah Hakim,")</f>
        <v>Mochammad Fadhillah Hakim,</v>
      </c>
      <c r="N4844" s="6" t="str">
        <f>IFERROR(__xludf.DUMMYFUNCTION("""COMPUTED_VALUE"""),"FIP Engineering")</f>
        <v>FIP Engineering</v>
      </c>
      <c r="O4844" s="6" t="str">
        <f>IFERROR(__xludf.DUMMYFUNCTION("""COMPUTED_VALUE"""),"FIP-DOM-000-11304-OS00001-INA-000000")</f>
        <v>FIP-DOM-000-11304-OS00001-INA-000000</v>
      </c>
      <c r="P4844" s="6" t="str">
        <f>IFERROR(__xludf.DUMMYFUNCTION("""COMPUTED_VALUE"""),"PO Closed")</f>
        <v>PO Closed</v>
      </c>
      <c r="Q4844" s="6" t="str">
        <f>IFERROR(__xludf.DUMMYFUNCTION("""COMPUTED_VALUE"""),"GL2603431")</f>
        <v>GL2603431</v>
      </c>
      <c r="R4844" s="57">
        <f>IFERROR(__xludf.DUMMYFUNCTION("""COMPUTED_VALUE"""),46062.0)</f>
        <v>46062</v>
      </c>
      <c r="S4844" s="57">
        <f>IFERROR(__xludf.DUMMYFUNCTION("""COMPUTED_VALUE"""),46063.0)</f>
        <v>46063</v>
      </c>
      <c r="T4844" s="57">
        <f>IFERROR(__xludf.DUMMYFUNCTION("""COMPUTED_VALUE"""),46114.0)</f>
        <v>46114</v>
      </c>
    </row>
    <row r="4845">
      <c r="A4845" s="6" t="str">
        <f>IFERROR(__xludf.DUMMYFUNCTION("""COMPUTED_VALUE"""),"121703826-1")</f>
        <v>121703826-1</v>
      </c>
      <c r="B4845" s="6" t="str">
        <f>IFERROR(__xludf.DUMMYFUNCTION("""COMPUTED_VALUE"""),"121703826 - APPROVED")</f>
        <v>121703826 - APPROVED</v>
      </c>
      <c r="C4845" s="6">
        <f>IFERROR(__xludf.DUMMYFUNCTION("""COMPUTED_VALUE"""),1.0)</f>
        <v>1</v>
      </c>
      <c r="D4845" s="6" t="str">
        <f>IFERROR(__xludf.DUMMYFUNCTION("""COMPUTED_VALUE"""),"Q-50028-00")</f>
        <v>Q-50028-00</v>
      </c>
      <c r="E4845" s="6" t="str">
        <f>IFERROR(__xludf.DUMMYFUNCTION("""COMPUTED_VALUE"""),"Engsel Sendok Profil Hinge 40 mm; Ferrari; ; pc")</f>
        <v>Engsel Sendok Profil Hinge 40 mm; Ferrari; ; pc</v>
      </c>
      <c r="F4845" s="6">
        <f>IFERROR(__xludf.DUMMYFUNCTION("""COMPUTED_VALUE"""),5.0)</f>
        <v>5</v>
      </c>
      <c r="G4845" s="6" t="str">
        <f>IFERROR(__xludf.DUMMYFUNCTION("""COMPUTED_VALUE"""),"Pieces")</f>
        <v>Pieces</v>
      </c>
      <c r="H4845" s="6" t="str">
        <f>IFERROR(__xludf.DUMMYFUNCTION("""COMPUTED_VALUE"""),"IDR")</f>
        <v>IDR</v>
      </c>
      <c r="I4845" s="6">
        <f>IFERROR(__xludf.DUMMYFUNCTION("""COMPUTED_VALUE"""),35000.0)</f>
        <v>35000</v>
      </c>
      <c r="J4845" s="6">
        <f>IFERROR(__xludf.DUMMYFUNCTION("""COMPUTED_VALUE"""),175000.0)</f>
        <v>175000</v>
      </c>
      <c r="K4845" s="57">
        <f>IFERROR(__xludf.DUMMYFUNCTION("""COMPUTED_VALUE"""),46094.0)</f>
        <v>46094</v>
      </c>
      <c r="L4845" s="6" t="str">
        <f>IFERROR(__xludf.DUMMYFUNCTION("""COMPUTED_VALUE"""),"FIP General")</f>
        <v>FIP General</v>
      </c>
      <c r="M4845" s="6" t="str">
        <f>IFERROR(__xludf.DUMMYFUNCTION("""COMPUTED_VALUE"""),"Mochammad Fadhillah Hakim,")</f>
        <v>Mochammad Fadhillah Hakim,</v>
      </c>
      <c r="N4845" s="6" t="str">
        <f>IFERROR(__xludf.DUMMYFUNCTION("""COMPUTED_VALUE"""),"FIP Engineering")</f>
        <v>FIP Engineering</v>
      </c>
      <c r="O4845" s="6" t="str">
        <f>IFERROR(__xludf.DUMMYFUNCTION("""COMPUTED_VALUE"""),"FIP-DOM-ENG-51502-0000000-INA-000000")</f>
        <v>FIP-DOM-ENG-51502-0000000-INA-000000</v>
      </c>
      <c r="P4845" s="6" t="str">
        <f>IFERROR(__xludf.DUMMYFUNCTION("""COMPUTED_VALUE"""),"PO Closed")</f>
        <v>PO Closed</v>
      </c>
      <c r="Q4845" s="6" t="str">
        <f>IFERROR(__xludf.DUMMYFUNCTION("""COMPUTED_VALUE"""),"GL2603049")</f>
        <v>GL2603049</v>
      </c>
      <c r="R4845" s="57">
        <f>IFERROR(__xludf.DUMMYFUNCTION("""COMPUTED_VALUE"""),46062.0)</f>
        <v>46062</v>
      </c>
      <c r="S4845" s="57">
        <f>IFERROR(__xludf.DUMMYFUNCTION("""COMPUTED_VALUE"""),46063.0)</f>
        <v>46063</v>
      </c>
      <c r="T4845" s="57">
        <f>IFERROR(__xludf.DUMMYFUNCTION("""COMPUTED_VALUE"""),46122.0)</f>
        <v>46122</v>
      </c>
    </row>
    <row r="4846">
      <c r="A4846" s="6" t="str">
        <f>IFERROR(__xludf.DUMMYFUNCTION("""COMPUTED_VALUE"""),"121703826-2")</f>
        <v>121703826-2</v>
      </c>
      <c r="B4846" s="6" t="str">
        <f>IFERROR(__xludf.DUMMYFUNCTION("""COMPUTED_VALUE"""),"121703826 - APPROVED")</f>
        <v>121703826 - APPROVED</v>
      </c>
      <c r="C4846" s="6">
        <f>IFERROR(__xludf.DUMMYFUNCTION("""COMPUTED_VALUE"""),2.0)</f>
        <v>2</v>
      </c>
      <c r="D4846" s="6" t="str">
        <f>IFERROR(__xludf.DUMMYFUNCTION("""COMPUTED_VALUE"""),"Q-70148-00")</f>
        <v>Q-70148-00</v>
      </c>
      <c r="E4846" s="6" t="str">
        <f>IFERROR(__xludf.DUMMYFUNCTION("""COMPUTED_VALUE"""),"Kunci L Bintang / Tamper Torx Key; Tekiro; HK-TA1206; 9 pc/set")</f>
        <v>Kunci L Bintang / Tamper Torx Key; Tekiro; HK-TA1206; 9 pc/set</v>
      </c>
      <c r="F4846" s="6">
        <f>IFERROR(__xludf.DUMMYFUNCTION("""COMPUTED_VALUE"""),3.0)</f>
        <v>3</v>
      </c>
      <c r="G4846" s="6" t="str">
        <f>IFERROR(__xludf.DUMMYFUNCTION("""COMPUTED_VALUE"""),"Set")</f>
        <v>Set</v>
      </c>
      <c r="H4846" s="6" t="str">
        <f>IFERROR(__xludf.DUMMYFUNCTION("""COMPUTED_VALUE"""),"IDR")</f>
        <v>IDR</v>
      </c>
      <c r="I4846" s="6">
        <f>IFERROR(__xludf.DUMMYFUNCTION("""COMPUTED_VALUE"""),210000.0)</f>
        <v>210000</v>
      </c>
      <c r="J4846" s="6">
        <f>IFERROR(__xludf.DUMMYFUNCTION("""COMPUTED_VALUE"""),630000.0)</f>
        <v>630000</v>
      </c>
      <c r="K4846" s="57">
        <f>IFERROR(__xludf.DUMMYFUNCTION("""COMPUTED_VALUE"""),46094.0)</f>
        <v>46094</v>
      </c>
      <c r="L4846" s="6" t="str">
        <f>IFERROR(__xludf.DUMMYFUNCTION("""COMPUTED_VALUE"""),"FIP General")</f>
        <v>FIP General</v>
      </c>
      <c r="M4846" s="6" t="str">
        <f>IFERROR(__xludf.DUMMYFUNCTION("""COMPUTED_VALUE"""),"Mochammad Fadhillah Hakim,")</f>
        <v>Mochammad Fadhillah Hakim,</v>
      </c>
      <c r="N4846" s="6" t="str">
        <f>IFERROR(__xludf.DUMMYFUNCTION("""COMPUTED_VALUE"""),"FIP Engineering")</f>
        <v>FIP Engineering</v>
      </c>
      <c r="O4846" s="6" t="str">
        <f>IFERROR(__xludf.DUMMYFUNCTION("""COMPUTED_VALUE"""),"FIP-DOM-ENG-51404-0000000-INA-000000")</f>
        <v>FIP-DOM-ENG-51404-0000000-INA-000000</v>
      </c>
      <c r="P4846" s="6" t="str">
        <f>IFERROR(__xludf.DUMMYFUNCTION("""COMPUTED_VALUE"""),"PO Closed")</f>
        <v>PO Closed</v>
      </c>
      <c r="Q4846" s="6" t="str">
        <f>IFERROR(__xludf.DUMMYFUNCTION("""COMPUTED_VALUE"""),"GL2603049")</f>
        <v>GL2603049</v>
      </c>
      <c r="R4846" s="57">
        <f>IFERROR(__xludf.DUMMYFUNCTION("""COMPUTED_VALUE"""),46062.0)</f>
        <v>46062</v>
      </c>
      <c r="S4846" s="57">
        <f>IFERROR(__xludf.DUMMYFUNCTION("""COMPUTED_VALUE"""),46063.0)</f>
        <v>46063</v>
      </c>
      <c r="T4846" s="57">
        <f>IFERROR(__xludf.DUMMYFUNCTION("""COMPUTED_VALUE"""),46122.0)</f>
        <v>46122</v>
      </c>
    </row>
    <row r="4847">
      <c r="A4847" s="6" t="str">
        <f>IFERROR(__xludf.DUMMYFUNCTION("""COMPUTED_VALUE"""),"121703827-1")</f>
        <v>121703827-1</v>
      </c>
      <c r="B4847" s="6" t="str">
        <f>IFERROR(__xludf.DUMMYFUNCTION("""COMPUTED_VALUE"""),"121703827 - APPROVED")</f>
        <v>121703827 - APPROVED</v>
      </c>
      <c r="C4847" s="6">
        <f>IFERROR(__xludf.DUMMYFUNCTION("""COMPUTED_VALUE"""),1.0)</f>
        <v>1</v>
      </c>
      <c r="D4847" s="6" t="str">
        <f>IFERROR(__xludf.DUMMYFUNCTION("""COMPUTED_VALUE"""),"S-13374-00")</f>
        <v>S-13374-00</v>
      </c>
      <c r="E4847" s="6" t="str">
        <f>IFERROR(__xludf.DUMMYFUNCTION("""COMPUTED_VALUE"""),"Smoke Detector Tester ; Sabre; ; ;")</f>
        <v>Smoke Detector Tester ; Sabre; ; ;</v>
      </c>
      <c r="F4847" s="6">
        <f>IFERROR(__xludf.DUMMYFUNCTION("""COMPUTED_VALUE"""),5.0)</f>
        <v>5</v>
      </c>
      <c r="G4847" s="6" t="str">
        <f>IFERROR(__xludf.DUMMYFUNCTION("""COMPUTED_VALUE"""),"Pieces")</f>
        <v>Pieces</v>
      </c>
      <c r="H4847" s="6" t="str">
        <f>IFERROR(__xludf.DUMMYFUNCTION("""COMPUTED_VALUE"""),"IDR")</f>
        <v>IDR</v>
      </c>
      <c r="I4847" s="6">
        <f>IFERROR(__xludf.DUMMYFUNCTION("""COMPUTED_VALUE"""),650000.0)</f>
        <v>650000</v>
      </c>
      <c r="J4847" s="6">
        <f>IFERROR(__xludf.DUMMYFUNCTION("""COMPUTED_VALUE"""),3250000.0)</f>
        <v>3250000</v>
      </c>
      <c r="K4847" s="57">
        <f>IFERROR(__xludf.DUMMYFUNCTION("""COMPUTED_VALUE"""),46094.0)</f>
        <v>46094</v>
      </c>
      <c r="L4847" s="6" t="str">
        <f>IFERROR(__xludf.DUMMYFUNCTION("""COMPUTED_VALUE"""),"FIP Engineering")</f>
        <v>FIP Engineering</v>
      </c>
      <c r="M4847" s="6" t="str">
        <f>IFERROR(__xludf.DUMMYFUNCTION("""COMPUTED_VALUE"""),"Mochammad Fadhillah Hakim,")</f>
        <v>Mochammad Fadhillah Hakim,</v>
      </c>
      <c r="N4847" s="6" t="str">
        <f>IFERROR(__xludf.DUMMYFUNCTION("""COMPUTED_VALUE"""),"FIP Engineering")</f>
        <v>FIP Engineering</v>
      </c>
      <c r="O4847" s="6" t="str">
        <f>IFERROR(__xludf.DUMMYFUNCTION("""COMPUTED_VALUE"""),"FIP-DOM-000-11304-OS00001-INA-000000")</f>
        <v>FIP-DOM-000-11304-OS00001-INA-000000</v>
      </c>
      <c r="P4847" s="6" t="str">
        <f>IFERROR(__xludf.DUMMYFUNCTION("""COMPUTED_VALUE"""),"PO Closed")</f>
        <v>PO Closed</v>
      </c>
      <c r="Q4847" s="6" t="str">
        <f>IFERROR(__xludf.DUMMYFUNCTION("""COMPUTED_VALUE"""),"GL2603049")</f>
        <v>GL2603049</v>
      </c>
      <c r="R4847" s="57">
        <f>IFERROR(__xludf.DUMMYFUNCTION("""COMPUTED_VALUE"""),46062.0)</f>
        <v>46062</v>
      </c>
      <c r="S4847" s="57">
        <f>IFERROR(__xludf.DUMMYFUNCTION("""COMPUTED_VALUE"""),46063.0)</f>
        <v>46063</v>
      </c>
      <c r="T4847" s="57">
        <f>IFERROR(__xludf.DUMMYFUNCTION("""COMPUTED_VALUE"""),46122.0)</f>
        <v>46122</v>
      </c>
    </row>
    <row r="4848">
      <c r="A4848" s="6" t="str">
        <f>IFERROR(__xludf.DUMMYFUNCTION("""COMPUTED_VALUE"""),"121703828-1")</f>
        <v>121703828-1</v>
      </c>
      <c r="B4848" s="6" t="str">
        <f>IFERROR(__xludf.DUMMYFUNCTION("""COMPUTED_VALUE"""),"121703828 - APPROVED")</f>
        <v>121703828 - APPROVED</v>
      </c>
      <c r="C4848" s="6">
        <f>IFERROR(__xludf.DUMMYFUNCTION("""COMPUTED_VALUE"""),1.0)</f>
        <v>1</v>
      </c>
      <c r="D4848" s="6" t="str">
        <f>IFERROR(__xludf.DUMMYFUNCTION("""COMPUTED_VALUE"""),"O-21374-00")</f>
        <v>O-21374-00</v>
      </c>
      <c r="E4848" s="6" t="str">
        <f>IFERROR(__xludf.DUMMYFUNCTION("""COMPUTED_VALUE"""),"Tunnel ST1L - Socket Star Aktuator 14x11; -; -;")</f>
        <v>Tunnel ST1L - Socket Star Aktuator 14x11; -; -;</v>
      </c>
      <c r="F4848" s="6">
        <f>IFERROR(__xludf.DUMMYFUNCTION("""COMPUTED_VALUE"""),2.0)</f>
        <v>2</v>
      </c>
      <c r="G4848" s="6" t="str">
        <f>IFERROR(__xludf.DUMMYFUNCTION("""COMPUTED_VALUE"""),"Pieces")</f>
        <v>Pieces</v>
      </c>
      <c r="H4848" s="6" t="str">
        <f>IFERROR(__xludf.DUMMYFUNCTION("""COMPUTED_VALUE"""),"IDR")</f>
        <v>IDR</v>
      </c>
      <c r="I4848" s="6">
        <f>IFERROR(__xludf.DUMMYFUNCTION("""COMPUTED_VALUE"""),26000.0)</f>
        <v>26000</v>
      </c>
      <c r="J4848" s="6">
        <f>IFERROR(__xludf.DUMMYFUNCTION("""COMPUTED_VALUE"""),52000.0)</f>
        <v>52000</v>
      </c>
      <c r="K4848" s="57">
        <f>IFERROR(__xludf.DUMMYFUNCTION("""COMPUTED_VALUE"""),46065.0)</f>
        <v>46065</v>
      </c>
      <c r="L4848" s="6" t="str">
        <f>IFERROR(__xludf.DUMMYFUNCTION("""COMPUTED_VALUE"""),"FIP Engineering")</f>
        <v>FIP Engineering</v>
      </c>
      <c r="M4848" s="6" t="str">
        <f>IFERROR(__xludf.DUMMYFUNCTION("""COMPUTED_VALUE"""),"Mochammad Fadhillah Hakim,")</f>
        <v>Mochammad Fadhillah Hakim,</v>
      </c>
      <c r="N4848" s="6" t="str">
        <f>IFERROR(__xludf.DUMMYFUNCTION("""COMPUTED_VALUE"""),"FIP Engineering")</f>
        <v>FIP Engineering</v>
      </c>
      <c r="O4848" s="6" t="str">
        <f>IFERROR(__xludf.DUMMYFUNCTION("""COMPUTED_VALUE"""),"FIP-DOM-000-11304-OS00001-INA-000000")</f>
        <v>FIP-DOM-000-11304-OS00001-INA-000000</v>
      </c>
      <c r="P4848" s="6" t="str">
        <f>IFERROR(__xludf.DUMMYFUNCTION("""COMPUTED_VALUE"""),"PO Closed")</f>
        <v>PO Closed</v>
      </c>
      <c r="Q4848" s="6" t="str">
        <f>IFERROR(__xludf.DUMMYFUNCTION("""COMPUTED_VALUE"""),"GL2603436")</f>
        <v>GL2603436</v>
      </c>
      <c r="R4848" s="57">
        <f>IFERROR(__xludf.DUMMYFUNCTION("""COMPUTED_VALUE"""),46062.0)</f>
        <v>46062</v>
      </c>
      <c r="S4848" s="57">
        <f>IFERROR(__xludf.DUMMYFUNCTION("""COMPUTED_VALUE"""),46063.0)</f>
        <v>46063</v>
      </c>
      <c r="T4848" s="57">
        <f>IFERROR(__xludf.DUMMYFUNCTION("""COMPUTED_VALUE"""),46124.0)</f>
        <v>46124</v>
      </c>
    </row>
    <row r="4849">
      <c r="A4849" s="6" t="str">
        <f>IFERROR(__xludf.DUMMYFUNCTION("""COMPUTED_VALUE"""),"121703829-1")</f>
        <v>121703829-1</v>
      </c>
      <c r="B4849" s="6" t="str">
        <f>IFERROR(__xludf.DUMMYFUNCTION("""COMPUTED_VALUE"""),"121703829 - APPROVED")</f>
        <v>121703829 - APPROVED</v>
      </c>
      <c r="C4849" s="6">
        <f>IFERROR(__xludf.DUMMYFUNCTION("""COMPUTED_VALUE"""),1.0)</f>
        <v>1</v>
      </c>
      <c r="D4849" s="6" t="str">
        <f>IFERROR(__xludf.DUMMYFUNCTION("""COMPUTED_VALUE"""),"P-19885-00")</f>
        <v>P-19885-00</v>
      </c>
      <c r="E4849" s="6" t="str">
        <f>IFERROR(__xludf.DUMMYFUNCTION("""COMPUTED_VALUE"""),"General - Kabel Duct Oval, Size: 50x15, Panjang 2.9meter; Stindo; -; 1 pc")</f>
        <v>General - Kabel Duct Oval, Size: 50x15, Panjang 2.9meter; Stindo; -; 1 pc</v>
      </c>
      <c r="F4849" s="6">
        <f>IFERROR(__xludf.DUMMYFUNCTION("""COMPUTED_VALUE"""),2.0)</f>
        <v>2</v>
      </c>
      <c r="G4849" s="6" t="str">
        <f>IFERROR(__xludf.DUMMYFUNCTION("""COMPUTED_VALUE"""),"Pieces")</f>
        <v>Pieces</v>
      </c>
      <c r="H4849" s="6" t="str">
        <f>IFERROR(__xludf.DUMMYFUNCTION("""COMPUTED_VALUE"""),"IDR")</f>
        <v>IDR</v>
      </c>
      <c r="I4849" s="6">
        <f>IFERROR(__xludf.DUMMYFUNCTION("""COMPUTED_VALUE"""),99000.0)</f>
        <v>99000</v>
      </c>
      <c r="J4849" s="6">
        <f>IFERROR(__xludf.DUMMYFUNCTION("""COMPUTED_VALUE"""),198000.0)</f>
        <v>198000</v>
      </c>
      <c r="K4849" s="57">
        <f>IFERROR(__xludf.DUMMYFUNCTION("""COMPUTED_VALUE"""),46094.0)</f>
        <v>46094</v>
      </c>
      <c r="L4849" s="6" t="str">
        <f>IFERROR(__xludf.DUMMYFUNCTION("""COMPUTED_VALUE"""),"FIP Engineering")</f>
        <v>FIP Engineering</v>
      </c>
      <c r="M4849" s="6" t="str">
        <f>IFERROR(__xludf.DUMMYFUNCTION("""COMPUTED_VALUE"""),"Mochammad Fadhillah Hakim,")</f>
        <v>Mochammad Fadhillah Hakim,</v>
      </c>
      <c r="N4849" s="6" t="str">
        <f>IFERROR(__xludf.DUMMYFUNCTION("""COMPUTED_VALUE"""),"FIP Engineering")</f>
        <v>FIP Engineering</v>
      </c>
      <c r="O4849" s="6" t="str">
        <f>IFERROR(__xludf.DUMMYFUNCTION("""COMPUTED_VALUE"""),"FIP-DOM-000-11304-OS00001-INA-000000")</f>
        <v>FIP-DOM-000-11304-OS00001-INA-000000</v>
      </c>
      <c r="P4849" s="6" t="str">
        <f>IFERROR(__xludf.DUMMYFUNCTION("""COMPUTED_VALUE"""),"PO Closed")</f>
        <v>PO Closed</v>
      </c>
      <c r="Q4849" s="6" t="str">
        <f>IFERROR(__xludf.DUMMYFUNCTION("""COMPUTED_VALUE"""),"GL2603431")</f>
        <v>GL2603431</v>
      </c>
      <c r="R4849" s="57">
        <f>IFERROR(__xludf.DUMMYFUNCTION("""COMPUTED_VALUE"""),46062.0)</f>
        <v>46062</v>
      </c>
      <c r="S4849" s="57">
        <f>IFERROR(__xludf.DUMMYFUNCTION("""COMPUTED_VALUE"""),46063.0)</f>
        <v>46063</v>
      </c>
      <c r="T4849" s="57">
        <f>IFERROR(__xludf.DUMMYFUNCTION("""COMPUTED_VALUE"""),46114.0)</f>
        <v>46114</v>
      </c>
    </row>
    <row r="4850">
      <c r="A4850" s="6" t="str">
        <f>IFERROR(__xludf.DUMMYFUNCTION("""COMPUTED_VALUE"""),"121703829-2")</f>
        <v>121703829-2</v>
      </c>
      <c r="B4850" s="6" t="str">
        <f>IFERROR(__xludf.DUMMYFUNCTION("""COMPUTED_VALUE"""),"121703829 - APPROVED")</f>
        <v>121703829 - APPROVED</v>
      </c>
      <c r="C4850" s="6">
        <f>IFERROR(__xludf.DUMMYFUNCTION("""COMPUTED_VALUE"""),2.0)</f>
        <v>2</v>
      </c>
      <c r="D4850" s="6" t="str">
        <f>IFERROR(__xludf.DUMMYFUNCTION("""COMPUTED_VALUE"""),"P-20533-00")</f>
        <v>P-20533-00</v>
      </c>
      <c r="E4850" s="6" t="str">
        <f>IFERROR(__xludf.DUMMYFUNCTION("""COMPUTED_VALUE"""),"General - Chain Lube; WD-40 Specialist; -; 360ml/can")</f>
        <v>General - Chain Lube; WD-40 Specialist; -; 360ml/can</v>
      </c>
      <c r="F4850" s="6">
        <f>IFERROR(__xludf.DUMMYFUNCTION("""COMPUTED_VALUE"""),3.0)</f>
        <v>3</v>
      </c>
      <c r="G4850" s="6" t="str">
        <f>IFERROR(__xludf.DUMMYFUNCTION("""COMPUTED_VALUE"""),"Can")</f>
        <v>Can</v>
      </c>
      <c r="H4850" s="6" t="str">
        <f>IFERROR(__xludf.DUMMYFUNCTION("""COMPUTED_VALUE"""),"IDR")</f>
        <v>IDR</v>
      </c>
      <c r="I4850" s="6">
        <f>IFERROR(__xludf.DUMMYFUNCTION("""COMPUTED_VALUE"""),170000.0)</f>
        <v>170000</v>
      </c>
      <c r="J4850" s="6">
        <f>IFERROR(__xludf.DUMMYFUNCTION("""COMPUTED_VALUE"""),510000.0)</f>
        <v>510000</v>
      </c>
      <c r="K4850" s="57">
        <f>IFERROR(__xludf.DUMMYFUNCTION("""COMPUTED_VALUE"""),46094.0)</f>
        <v>46094</v>
      </c>
      <c r="L4850" s="6" t="str">
        <f>IFERROR(__xludf.DUMMYFUNCTION("""COMPUTED_VALUE"""),"FIP Engineering")</f>
        <v>FIP Engineering</v>
      </c>
      <c r="M4850" s="6" t="str">
        <f>IFERROR(__xludf.DUMMYFUNCTION("""COMPUTED_VALUE"""),"Mochammad Fadhillah Hakim,")</f>
        <v>Mochammad Fadhillah Hakim,</v>
      </c>
      <c r="N4850" s="6" t="str">
        <f>IFERROR(__xludf.DUMMYFUNCTION("""COMPUTED_VALUE"""),"FIP Engineering")</f>
        <v>FIP Engineering</v>
      </c>
      <c r="O4850" s="6" t="str">
        <f>IFERROR(__xludf.DUMMYFUNCTION("""COMPUTED_VALUE"""),"FIP-DOM-000-11304-OS00001-INA-000000")</f>
        <v>FIP-DOM-000-11304-OS00001-INA-000000</v>
      </c>
      <c r="P4850" s="6" t="str">
        <f>IFERROR(__xludf.DUMMYFUNCTION("""COMPUTED_VALUE"""),"PO Closed")</f>
        <v>PO Closed</v>
      </c>
      <c r="Q4850" s="6" t="str">
        <f>IFERROR(__xludf.DUMMYFUNCTION("""COMPUTED_VALUE"""),"GL2603431")</f>
        <v>GL2603431</v>
      </c>
      <c r="R4850" s="57">
        <f>IFERROR(__xludf.DUMMYFUNCTION("""COMPUTED_VALUE"""),46062.0)</f>
        <v>46062</v>
      </c>
      <c r="S4850" s="57">
        <f>IFERROR(__xludf.DUMMYFUNCTION("""COMPUTED_VALUE"""),46063.0)</f>
        <v>46063</v>
      </c>
      <c r="T4850" s="57">
        <f>IFERROR(__xludf.DUMMYFUNCTION("""COMPUTED_VALUE"""),46114.0)</f>
        <v>46114</v>
      </c>
    </row>
    <row r="4851">
      <c r="A4851" s="6" t="str">
        <f>IFERROR(__xludf.DUMMYFUNCTION("""COMPUTED_VALUE"""),"121703829-3")</f>
        <v>121703829-3</v>
      </c>
      <c r="B4851" s="6" t="str">
        <f>IFERROR(__xludf.DUMMYFUNCTION("""COMPUTED_VALUE"""),"121703829 - APPROVED")</f>
        <v>121703829 - APPROVED</v>
      </c>
      <c r="C4851" s="6">
        <f>IFERROR(__xludf.DUMMYFUNCTION("""COMPUTED_VALUE"""),3.0)</f>
        <v>3</v>
      </c>
      <c r="D4851" s="6" t="str">
        <f>IFERROR(__xludf.DUMMYFUNCTION("""COMPUTED_VALUE"""),"P-54536-00")</f>
        <v>P-54536-00</v>
      </c>
      <c r="E4851" s="6" t="str">
        <f>IFERROR(__xludf.DUMMYFUNCTION("""COMPUTED_VALUE"""),"General - Lampu TL-D 58W 6500K 1500mm; Philips; -; 1 pc")</f>
        <v>General - Lampu TL-D 58W 6500K 1500mm; Philips; -; 1 pc</v>
      </c>
      <c r="F4851" s="6">
        <f>IFERROR(__xludf.DUMMYFUNCTION("""COMPUTED_VALUE"""),2.0)</f>
        <v>2</v>
      </c>
      <c r="G4851" s="6" t="str">
        <f>IFERROR(__xludf.DUMMYFUNCTION("""COMPUTED_VALUE"""),"Pieces")</f>
        <v>Pieces</v>
      </c>
      <c r="H4851" s="6" t="str">
        <f>IFERROR(__xludf.DUMMYFUNCTION("""COMPUTED_VALUE"""),"IDR")</f>
        <v>IDR</v>
      </c>
      <c r="I4851" s="6">
        <f>IFERROR(__xludf.DUMMYFUNCTION("""COMPUTED_VALUE"""),106250.0)</f>
        <v>106250</v>
      </c>
      <c r="J4851" s="6">
        <f>IFERROR(__xludf.DUMMYFUNCTION("""COMPUTED_VALUE"""),212500.0)</f>
        <v>212500</v>
      </c>
      <c r="K4851" s="57">
        <f>IFERROR(__xludf.DUMMYFUNCTION("""COMPUTED_VALUE"""),46094.0)</f>
        <v>46094</v>
      </c>
      <c r="L4851" s="6" t="str">
        <f>IFERROR(__xludf.DUMMYFUNCTION("""COMPUTED_VALUE"""),"FIP Engineering")</f>
        <v>FIP Engineering</v>
      </c>
      <c r="M4851" s="6" t="str">
        <f>IFERROR(__xludf.DUMMYFUNCTION("""COMPUTED_VALUE"""),"Mochammad Fadhillah Hakim,")</f>
        <v>Mochammad Fadhillah Hakim,</v>
      </c>
      <c r="N4851" s="6" t="str">
        <f>IFERROR(__xludf.DUMMYFUNCTION("""COMPUTED_VALUE"""),"FIP Engineering")</f>
        <v>FIP Engineering</v>
      </c>
      <c r="O4851" s="6" t="str">
        <f>IFERROR(__xludf.DUMMYFUNCTION("""COMPUTED_VALUE"""),"FIP-DOM-000-11304-OS00001-INA-000000")</f>
        <v>FIP-DOM-000-11304-OS00001-INA-000000</v>
      </c>
      <c r="P4851" s="6" t="str">
        <f>IFERROR(__xludf.DUMMYFUNCTION("""COMPUTED_VALUE"""),"PO Closed")</f>
        <v>PO Closed</v>
      </c>
      <c r="Q4851" s="6" t="str">
        <f>IFERROR(__xludf.DUMMYFUNCTION("""COMPUTED_VALUE"""),"GL2603431")</f>
        <v>GL2603431</v>
      </c>
      <c r="R4851" s="57">
        <f>IFERROR(__xludf.DUMMYFUNCTION("""COMPUTED_VALUE"""),46062.0)</f>
        <v>46062</v>
      </c>
      <c r="S4851" s="57">
        <f>IFERROR(__xludf.DUMMYFUNCTION("""COMPUTED_VALUE"""),46063.0)</f>
        <v>46063</v>
      </c>
      <c r="T4851" s="57">
        <f>IFERROR(__xludf.DUMMYFUNCTION("""COMPUTED_VALUE"""),46114.0)</f>
        <v>46114</v>
      </c>
    </row>
    <row r="4852">
      <c r="A4852" s="6" t="str">
        <f>IFERROR(__xludf.DUMMYFUNCTION("""COMPUTED_VALUE"""),"121703830-1")</f>
        <v>121703830-1</v>
      </c>
      <c r="B4852" s="6" t="str">
        <f>IFERROR(__xludf.DUMMYFUNCTION("""COMPUTED_VALUE"""),"121703830 - APPROVED")</f>
        <v>121703830 - APPROVED</v>
      </c>
      <c r="C4852" s="6">
        <f>IFERROR(__xludf.DUMMYFUNCTION("""COMPUTED_VALUE"""),1.0)</f>
        <v>1</v>
      </c>
      <c r="D4852" s="6" t="str">
        <f>IFERROR(__xludf.DUMMYFUNCTION("""COMPUTED_VALUE"""),"Q-12105-00")</f>
        <v>Q-12105-00</v>
      </c>
      <c r="E4852" s="6" t="str">
        <f>IFERROR(__xludf.DUMMYFUNCTION("""COMPUTED_VALUE"""),"Cat Semprot Metallic Black 1139; Samurai Paint; Metallic Black 1139; 400 ml/can")</f>
        <v>Cat Semprot Metallic Black 1139; Samurai Paint; Metallic Black 1139; 400 ml/can</v>
      </c>
      <c r="F4852" s="6">
        <f>IFERROR(__xludf.DUMMYFUNCTION("""COMPUTED_VALUE"""),10.0)</f>
        <v>10</v>
      </c>
      <c r="G4852" s="6" t="str">
        <f>IFERROR(__xludf.DUMMYFUNCTION("""COMPUTED_VALUE"""),"Can")</f>
        <v>Can</v>
      </c>
      <c r="H4852" s="6" t="str">
        <f>IFERROR(__xludf.DUMMYFUNCTION("""COMPUTED_VALUE"""),"IDR")</f>
        <v>IDR</v>
      </c>
      <c r="I4852" s="6">
        <f>IFERROR(__xludf.DUMMYFUNCTION("""COMPUTED_VALUE"""),70000.0)</f>
        <v>70000</v>
      </c>
      <c r="J4852" s="6">
        <f>IFERROR(__xludf.DUMMYFUNCTION("""COMPUTED_VALUE"""),700000.0)</f>
        <v>700000</v>
      </c>
      <c r="K4852" s="57">
        <f>IFERROR(__xludf.DUMMYFUNCTION("""COMPUTED_VALUE"""),46094.0)</f>
        <v>46094</v>
      </c>
      <c r="L4852" s="6" t="str">
        <f>IFERROR(__xludf.DUMMYFUNCTION("""COMPUTED_VALUE"""),"FIP General")</f>
        <v>FIP General</v>
      </c>
      <c r="M4852" s="6" t="str">
        <f>IFERROR(__xludf.DUMMYFUNCTION("""COMPUTED_VALUE"""),"Mochammad Fadhillah Hakim,")</f>
        <v>Mochammad Fadhillah Hakim,</v>
      </c>
      <c r="N4852" s="6" t="str">
        <f>IFERROR(__xludf.DUMMYFUNCTION("""COMPUTED_VALUE"""),"FIP Engineering")</f>
        <v>FIP Engineering</v>
      </c>
      <c r="O4852" s="6" t="str">
        <f>IFERROR(__xludf.DUMMYFUNCTION("""COMPUTED_VALUE"""),"FIP-DOM-ENG-51502-0000000-INA-000000")</f>
        <v>FIP-DOM-ENG-51502-0000000-INA-000000</v>
      </c>
      <c r="P4852" s="6" t="str">
        <f>IFERROR(__xludf.DUMMYFUNCTION("""COMPUTED_VALUE"""),"PO Closed")</f>
        <v>PO Closed</v>
      </c>
      <c r="Q4852" s="6" t="str">
        <f>IFERROR(__xludf.DUMMYFUNCTION("""COMPUTED_VALUE"""),"GL2604040")</f>
        <v>GL2604040</v>
      </c>
      <c r="R4852" s="57">
        <f>IFERROR(__xludf.DUMMYFUNCTION("""COMPUTED_VALUE"""),46062.0)</f>
        <v>46062</v>
      </c>
      <c r="S4852" s="57">
        <f>IFERROR(__xludf.DUMMYFUNCTION("""COMPUTED_VALUE"""),46065.0)</f>
        <v>46065</v>
      </c>
      <c r="T4852" s="57">
        <f>IFERROR(__xludf.DUMMYFUNCTION("""COMPUTED_VALUE"""),46147.0)</f>
        <v>46147</v>
      </c>
    </row>
    <row r="4853">
      <c r="A4853" s="6" t="str">
        <f>IFERROR(__xludf.DUMMYFUNCTION("""COMPUTED_VALUE"""),"121703830-2")</f>
        <v>121703830-2</v>
      </c>
      <c r="B4853" s="6" t="str">
        <f>IFERROR(__xludf.DUMMYFUNCTION("""COMPUTED_VALUE"""),"121703830 - APPROVED")</f>
        <v>121703830 - APPROVED</v>
      </c>
      <c r="C4853" s="6">
        <f>IFERROR(__xludf.DUMMYFUNCTION("""COMPUTED_VALUE"""),2.0)</f>
        <v>2</v>
      </c>
      <c r="D4853" s="6" t="str">
        <f>IFERROR(__xludf.DUMMYFUNCTION("""COMPUTED_VALUE"""),"Q-50029-00")</f>
        <v>Q-50029-00</v>
      </c>
      <c r="E4853" s="6" t="str">
        <f>IFERROR(__xludf.DUMMYFUNCTION("""COMPUTED_VALUE"""),"Kunci Tusuk Laci / Kunci Tekan (Push Lock) HL105; Huben; HL105; pc")</f>
        <v>Kunci Tusuk Laci / Kunci Tekan (Push Lock) HL105; Huben; HL105; pc</v>
      </c>
      <c r="F4853" s="6">
        <f>IFERROR(__xludf.DUMMYFUNCTION("""COMPUTED_VALUE"""),5.0)</f>
        <v>5</v>
      </c>
      <c r="G4853" s="6" t="str">
        <f>IFERROR(__xludf.DUMMYFUNCTION("""COMPUTED_VALUE"""),"Pieces")</f>
        <v>Pieces</v>
      </c>
      <c r="H4853" s="6" t="str">
        <f>IFERROR(__xludf.DUMMYFUNCTION("""COMPUTED_VALUE"""),"IDR")</f>
        <v>IDR</v>
      </c>
      <c r="I4853" s="6">
        <f>IFERROR(__xludf.DUMMYFUNCTION("""COMPUTED_VALUE"""),27000.0)</f>
        <v>27000</v>
      </c>
      <c r="J4853" s="6">
        <f>IFERROR(__xludf.DUMMYFUNCTION("""COMPUTED_VALUE"""),135000.0)</f>
        <v>135000</v>
      </c>
      <c r="K4853" s="57">
        <f>IFERROR(__xludf.DUMMYFUNCTION("""COMPUTED_VALUE"""),46094.0)</f>
        <v>46094</v>
      </c>
      <c r="L4853" s="6" t="str">
        <f>IFERROR(__xludf.DUMMYFUNCTION("""COMPUTED_VALUE"""),"FIP General")</f>
        <v>FIP General</v>
      </c>
      <c r="M4853" s="6" t="str">
        <f>IFERROR(__xludf.DUMMYFUNCTION("""COMPUTED_VALUE"""),"Mochammad Fadhillah Hakim,")</f>
        <v>Mochammad Fadhillah Hakim,</v>
      </c>
      <c r="N4853" s="6" t="str">
        <f>IFERROR(__xludf.DUMMYFUNCTION("""COMPUTED_VALUE"""),"FIP Engineering")</f>
        <v>FIP Engineering</v>
      </c>
      <c r="O4853" s="6" t="str">
        <f>IFERROR(__xludf.DUMMYFUNCTION("""COMPUTED_VALUE"""),"FIP-DOM-ENG-51502-0000000-INA-000000")</f>
        <v>FIP-DOM-ENG-51502-0000000-INA-000000</v>
      </c>
      <c r="P4853" s="6" t="str">
        <f>IFERROR(__xludf.DUMMYFUNCTION("""COMPUTED_VALUE"""),"PO Closed")</f>
        <v>PO Closed</v>
      </c>
      <c r="Q4853" s="6" t="str">
        <f>IFERROR(__xludf.DUMMYFUNCTION("""COMPUTED_VALUE"""),"GL2603049")</f>
        <v>GL2603049</v>
      </c>
      <c r="R4853" s="57">
        <f>IFERROR(__xludf.DUMMYFUNCTION("""COMPUTED_VALUE"""),46062.0)</f>
        <v>46062</v>
      </c>
      <c r="S4853" s="57">
        <f>IFERROR(__xludf.DUMMYFUNCTION("""COMPUTED_VALUE"""),46065.0)</f>
        <v>46065</v>
      </c>
      <c r="T4853" s="57">
        <f>IFERROR(__xludf.DUMMYFUNCTION("""COMPUTED_VALUE"""),46122.0)</f>
        <v>46122</v>
      </c>
    </row>
    <row r="4854">
      <c r="A4854" s="6" t="str">
        <f>IFERROR(__xludf.DUMMYFUNCTION("""COMPUTED_VALUE"""),"121703831-1")</f>
        <v>121703831-1</v>
      </c>
      <c r="B4854" s="6" t="str">
        <f>IFERROR(__xludf.DUMMYFUNCTION("""COMPUTED_VALUE"""),"121703831 - APPROVED")</f>
        <v>121703831 - APPROVED</v>
      </c>
      <c r="C4854" s="6">
        <f>IFERROR(__xludf.DUMMYFUNCTION("""COMPUTED_VALUE"""),1.0)</f>
        <v>1</v>
      </c>
      <c r="D4854" s="6" t="str">
        <f>IFERROR(__xludf.DUMMYFUNCTION("""COMPUTED_VALUE"""),"P-20509-00")</f>
        <v>P-20509-00</v>
      </c>
      <c r="E4854" s="6" t="str">
        <f>IFERROR(__xludf.DUMMYFUNCTION("""COMPUTED_VALUE"""),"General - Pressure Regulator AR20-F02G-D; SMC; -; 1 pc")</f>
        <v>General - Pressure Regulator AR20-F02G-D; SMC; -; 1 pc</v>
      </c>
      <c r="F4854" s="6">
        <f>IFERROR(__xludf.DUMMYFUNCTION("""COMPUTED_VALUE"""),2.0)</f>
        <v>2</v>
      </c>
      <c r="G4854" s="6" t="str">
        <f>IFERROR(__xludf.DUMMYFUNCTION("""COMPUTED_VALUE"""),"Pieces")</f>
        <v>Pieces</v>
      </c>
      <c r="H4854" s="6" t="str">
        <f>IFERROR(__xludf.DUMMYFUNCTION("""COMPUTED_VALUE"""),"IDR")</f>
        <v>IDR</v>
      </c>
      <c r="I4854" s="6">
        <f>IFERROR(__xludf.DUMMYFUNCTION("""COMPUTED_VALUE"""),525000.0)</f>
        <v>525000</v>
      </c>
      <c r="J4854" s="6">
        <f>IFERROR(__xludf.DUMMYFUNCTION("""COMPUTED_VALUE"""),1050000.0)</f>
        <v>1050000</v>
      </c>
      <c r="K4854" s="57">
        <f>IFERROR(__xludf.DUMMYFUNCTION("""COMPUTED_VALUE"""),46094.0)</f>
        <v>46094</v>
      </c>
      <c r="L4854" s="6" t="str">
        <f>IFERROR(__xludf.DUMMYFUNCTION("""COMPUTED_VALUE"""),"FIP Engineering")</f>
        <v>FIP Engineering</v>
      </c>
      <c r="M4854" s="6" t="str">
        <f>IFERROR(__xludf.DUMMYFUNCTION("""COMPUTED_VALUE"""),"Mochammad Fadhillah Hakim,")</f>
        <v>Mochammad Fadhillah Hakim,</v>
      </c>
      <c r="N4854" s="6" t="str">
        <f>IFERROR(__xludf.DUMMYFUNCTION("""COMPUTED_VALUE"""),"FIP Engineering")</f>
        <v>FIP Engineering</v>
      </c>
      <c r="O4854" s="6" t="str">
        <f>IFERROR(__xludf.DUMMYFUNCTION("""COMPUTED_VALUE"""),"FIP-DOM-000-11304-OS00001-INA-000000")</f>
        <v>FIP-DOM-000-11304-OS00001-INA-000000</v>
      </c>
      <c r="P4854" s="6" t="str">
        <f>IFERROR(__xludf.DUMMYFUNCTION("""COMPUTED_VALUE"""),"PO Closed")</f>
        <v>PO Closed</v>
      </c>
      <c r="Q4854" s="6" t="str">
        <f>IFERROR(__xludf.DUMMYFUNCTION("""COMPUTED_VALUE"""),"GL2603008")</f>
        <v>GL2603008</v>
      </c>
      <c r="R4854" s="57">
        <f>IFERROR(__xludf.DUMMYFUNCTION("""COMPUTED_VALUE"""),46062.0)</f>
        <v>46062</v>
      </c>
      <c r="S4854" s="57">
        <f>IFERROR(__xludf.DUMMYFUNCTION("""COMPUTED_VALUE"""),46063.0)</f>
        <v>46063</v>
      </c>
      <c r="T4854" s="57">
        <f>IFERROR(__xludf.DUMMYFUNCTION("""COMPUTED_VALUE"""),46132.0)</f>
        <v>46132</v>
      </c>
    </row>
    <row r="4855">
      <c r="A4855" s="6" t="str">
        <f>IFERROR(__xludf.DUMMYFUNCTION("""COMPUTED_VALUE"""),"121703832-1")</f>
        <v>121703832-1</v>
      </c>
      <c r="B4855" s="6" t="str">
        <f>IFERROR(__xludf.DUMMYFUNCTION("""COMPUTED_VALUE"""),"121703832 - APPROVED")</f>
        <v>121703832 - APPROVED</v>
      </c>
      <c r="C4855" s="6">
        <f>IFERROR(__xludf.DUMMYFUNCTION("""COMPUTED_VALUE"""),1.0)</f>
        <v>1</v>
      </c>
      <c r="D4855" s="6" t="str">
        <f>IFERROR(__xludf.DUMMYFUNCTION("""COMPUTED_VALUE"""),"S-60050-00")</f>
        <v>S-60050-00</v>
      </c>
      <c r="E4855" s="6" t="str">
        <f>IFERROR(__xludf.DUMMYFUNCTION("""COMPUTED_VALUE"""),"Jasa Perbaikan dan Pemeliharaan Mesin Produksi; ; ; - Perbaikan Headcaps")</f>
        <v>Jasa Perbaikan dan Pemeliharaan Mesin Produksi; ; ; - Perbaikan Headcaps</v>
      </c>
      <c r="F4855" s="6">
        <f>IFERROR(__xludf.DUMMYFUNCTION("""COMPUTED_VALUE"""),1.0)</f>
        <v>1</v>
      </c>
      <c r="G4855" s="6" t="str">
        <f>IFERROR(__xludf.DUMMYFUNCTION("""COMPUTED_VALUE"""),"Pieces")</f>
        <v>Pieces</v>
      </c>
      <c r="H4855" s="6" t="str">
        <f>IFERROR(__xludf.DUMMYFUNCTION("""COMPUTED_VALUE"""),"IDR")</f>
        <v>IDR</v>
      </c>
      <c r="I4855" s="6">
        <f>IFERROR(__xludf.DUMMYFUNCTION("""COMPUTED_VALUE"""),3570000.0)</f>
        <v>3570000</v>
      </c>
      <c r="J4855" s="6">
        <f>IFERROR(__xludf.DUMMYFUNCTION("""COMPUTED_VALUE"""),3570000.0)</f>
        <v>3570000</v>
      </c>
      <c r="K4855" s="57">
        <f>IFERROR(__xludf.DUMMYFUNCTION("""COMPUTED_VALUE"""),46094.0)</f>
        <v>46094</v>
      </c>
      <c r="L4855" s="6" t="str">
        <f>IFERROR(__xludf.DUMMYFUNCTION("""COMPUTED_VALUE"""),"FIP General")</f>
        <v>FIP General</v>
      </c>
      <c r="M4855" s="6" t="str">
        <f>IFERROR(__xludf.DUMMYFUNCTION("""COMPUTED_VALUE"""),"Mochammad Fadhillah Hakim,")</f>
        <v>Mochammad Fadhillah Hakim,</v>
      </c>
      <c r="N4855" s="6" t="str">
        <f>IFERROR(__xludf.DUMMYFUNCTION("""COMPUTED_VALUE"""),"FIP Engineering")</f>
        <v>FIP Engineering</v>
      </c>
      <c r="O4855" s="6" t="str">
        <f>IFERROR(__xludf.DUMMYFUNCTION("""COMPUTED_VALUE"""),"FIP-DOM-ENG-51504-0000000-INA-000000")</f>
        <v>FIP-DOM-ENG-51504-0000000-INA-000000</v>
      </c>
      <c r="P4855" s="6" t="str">
        <f>IFERROR(__xludf.DUMMYFUNCTION("""COMPUTED_VALUE"""),"PO Closed")</f>
        <v>PO Closed</v>
      </c>
      <c r="Q4855" s="6" t="str">
        <f>IFERROR(__xludf.DUMMYFUNCTION("""COMPUTED_VALUE"""),"GL2602038")</f>
        <v>GL2602038</v>
      </c>
      <c r="R4855" s="57">
        <f>IFERROR(__xludf.DUMMYFUNCTION("""COMPUTED_VALUE"""),46062.0)</f>
        <v>46062</v>
      </c>
      <c r="S4855" s="57">
        <f>IFERROR(__xludf.DUMMYFUNCTION("""COMPUTED_VALUE"""),46063.0)</f>
        <v>46063</v>
      </c>
      <c r="T4855" s="57">
        <f>IFERROR(__xludf.DUMMYFUNCTION("""COMPUTED_VALUE"""),46094.0)</f>
        <v>46094</v>
      </c>
    </row>
    <row r="4856">
      <c r="A4856" s="6" t="str">
        <f>IFERROR(__xludf.DUMMYFUNCTION("""COMPUTED_VALUE"""),"121703832-2")</f>
        <v>121703832-2</v>
      </c>
      <c r="B4856" s="6" t="str">
        <f>IFERROR(__xludf.DUMMYFUNCTION("""COMPUTED_VALUE"""),"121703832 - APPROVED")</f>
        <v>121703832 - APPROVED</v>
      </c>
      <c r="C4856" s="6">
        <f>IFERROR(__xludf.DUMMYFUNCTION("""COMPUTED_VALUE"""),2.0)</f>
        <v>2</v>
      </c>
      <c r="D4856" s="6" t="str">
        <f>IFERROR(__xludf.DUMMYFUNCTION("""COMPUTED_VALUE"""),"S-60050-00")</f>
        <v>S-60050-00</v>
      </c>
      <c r="E4856" s="6" t="str">
        <f>IFERROR(__xludf.DUMMYFUNCTION("""COMPUTED_VALUE"""),"Jasa Perbaikan dan Pemeliharaan Mesin Produksi; ; ; - Relining Roller")</f>
        <v>Jasa Perbaikan dan Pemeliharaan Mesin Produksi; ; ; - Relining Roller</v>
      </c>
      <c r="F4856" s="6">
        <f>IFERROR(__xludf.DUMMYFUNCTION("""COMPUTED_VALUE"""),3.0)</f>
        <v>3</v>
      </c>
      <c r="G4856" s="6" t="str">
        <f>IFERROR(__xludf.DUMMYFUNCTION("""COMPUTED_VALUE"""),"Pieces")</f>
        <v>Pieces</v>
      </c>
      <c r="H4856" s="6" t="str">
        <f>IFERROR(__xludf.DUMMYFUNCTION("""COMPUTED_VALUE"""),"IDR")</f>
        <v>IDR</v>
      </c>
      <c r="I4856" s="6">
        <f>IFERROR(__xludf.DUMMYFUNCTION("""COMPUTED_VALUE"""),2439675.0)</f>
        <v>2439675</v>
      </c>
      <c r="J4856" s="6">
        <f>IFERROR(__xludf.DUMMYFUNCTION("""COMPUTED_VALUE"""),7319025.0)</f>
        <v>7319025</v>
      </c>
      <c r="K4856" s="57">
        <f>IFERROR(__xludf.DUMMYFUNCTION("""COMPUTED_VALUE"""),46094.0)</f>
        <v>46094</v>
      </c>
      <c r="L4856" s="6" t="str">
        <f>IFERROR(__xludf.DUMMYFUNCTION("""COMPUTED_VALUE"""),"FIP General")</f>
        <v>FIP General</v>
      </c>
      <c r="M4856" s="6" t="str">
        <f>IFERROR(__xludf.DUMMYFUNCTION("""COMPUTED_VALUE"""),"Mochammad Fadhillah Hakim,")</f>
        <v>Mochammad Fadhillah Hakim,</v>
      </c>
      <c r="N4856" s="6" t="str">
        <f>IFERROR(__xludf.DUMMYFUNCTION("""COMPUTED_VALUE"""),"FIP Engineering")</f>
        <v>FIP Engineering</v>
      </c>
      <c r="O4856" s="6" t="str">
        <f>IFERROR(__xludf.DUMMYFUNCTION("""COMPUTED_VALUE"""),"FIP-DOM-ENG-51504-0000000-INA-000000")</f>
        <v>FIP-DOM-ENG-51504-0000000-INA-000000</v>
      </c>
      <c r="P4856" s="6" t="str">
        <f>IFERROR(__xludf.DUMMYFUNCTION("""COMPUTED_VALUE"""),"PO Closed")</f>
        <v>PO Closed</v>
      </c>
      <c r="Q4856" s="6" t="str">
        <f>IFERROR(__xludf.DUMMYFUNCTION("""COMPUTED_VALUE"""),"GL2602038")</f>
        <v>GL2602038</v>
      </c>
      <c r="R4856" s="57">
        <f>IFERROR(__xludf.DUMMYFUNCTION("""COMPUTED_VALUE"""),46062.0)</f>
        <v>46062</v>
      </c>
      <c r="S4856" s="57">
        <f>IFERROR(__xludf.DUMMYFUNCTION("""COMPUTED_VALUE"""),46063.0)</f>
        <v>46063</v>
      </c>
      <c r="T4856" s="57">
        <f>IFERROR(__xludf.DUMMYFUNCTION("""COMPUTED_VALUE"""),46094.0)</f>
        <v>46094</v>
      </c>
    </row>
    <row r="4857">
      <c r="A4857" s="6" t="str">
        <f>IFERROR(__xludf.DUMMYFUNCTION("""COMPUTED_VALUE"""),"121703837-1")</f>
        <v>121703837-1</v>
      </c>
      <c r="B4857" s="6" t="str">
        <f>IFERROR(__xludf.DUMMYFUNCTION("""COMPUTED_VALUE"""),"121703837 - APPROVED")</f>
        <v>121703837 - APPROVED</v>
      </c>
      <c r="C4857" s="6">
        <f>IFERROR(__xludf.DUMMYFUNCTION("""COMPUTED_VALUE"""),1.0)</f>
        <v>1</v>
      </c>
      <c r="D4857" s="6" t="str">
        <f>IFERROR(__xludf.DUMMYFUNCTION("""COMPUTED_VALUE"""),"S-60050-00")</f>
        <v>S-60050-00</v>
      </c>
      <c r="E4857" s="6" t="str">
        <f>IFERROR(__xludf.DUMMYFUNCTION("""COMPUTED_VALUE"""),"Jasa Perbaikan dan Pemeliharaan Mesin Produksi; ; ; - Perbaikan Hubber")</f>
        <v>Jasa Perbaikan dan Pemeliharaan Mesin Produksi; ; ; - Perbaikan Hubber</v>
      </c>
      <c r="F4857" s="6">
        <f>IFERROR(__xludf.DUMMYFUNCTION("""COMPUTED_VALUE"""),1.0)</f>
        <v>1</v>
      </c>
      <c r="G4857" s="6" t="str">
        <f>IFERROR(__xludf.DUMMYFUNCTION("""COMPUTED_VALUE"""),"Pieces")</f>
        <v>Pieces</v>
      </c>
      <c r="H4857" s="6" t="str">
        <f>IFERROR(__xludf.DUMMYFUNCTION("""COMPUTED_VALUE"""),"IDR")</f>
        <v>IDR</v>
      </c>
      <c r="I4857" s="6">
        <f>IFERROR(__xludf.DUMMYFUNCTION("""COMPUTED_VALUE"""),1.2E7)</f>
        <v>12000000</v>
      </c>
      <c r="J4857" s="6">
        <f>IFERROR(__xludf.DUMMYFUNCTION("""COMPUTED_VALUE"""),1.2E7)</f>
        <v>12000000</v>
      </c>
      <c r="K4857" s="57">
        <f>IFERROR(__xludf.DUMMYFUNCTION("""COMPUTED_VALUE"""),46080.0)</f>
        <v>46080</v>
      </c>
      <c r="L4857" s="6" t="str">
        <f>IFERROR(__xludf.DUMMYFUNCTION("""COMPUTED_VALUE"""),"FIP General")</f>
        <v>FIP General</v>
      </c>
      <c r="M4857" s="6" t="str">
        <f>IFERROR(__xludf.DUMMYFUNCTION("""COMPUTED_VALUE"""),"Mochammad Fadhillah Hakim,")</f>
        <v>Mochammad Fadhillah Hakim,</v>
      </c>
      <c r="N4857" s="6" t="str">
        <f>IFERROR(__xludf.DUMMYFUNCTION("""COMPUTED_VALUE"""),"FIP Engineering")</f>
        <v>FIP Engineering</v>
      </c>
      <c r="O4857" s="6" t="str">
        <f>IFERROR(__xludf.DUMMYFUNCTION("""COMPUTED_VALUE"""),"FIP-DOM-ENG-51504-0000000-INA-000000")</f>
        <v>FIP-DOM-ENG-51504-0000000-INA-000000</v>
      </c>
      <c r="P4857" s="6" t="str">
        <f>IFERROR(__xludf.DUMMYFUNCTION("""COMPUTED_VALUE"""),"PO Closed")</f>
        <v>PO Closed</v>
      </c>
      <c r="Q4857" s="6" t="str">
        <f>IFERROR(__xludf.DUMMYFUNCTION("""COMPUTED_VALUE"""),"GL2602015")</f>
        <v>GL2602015</v>
      </c>
      <c r="R4857" s="57">
        <f>IFERROR(__xludf.DUMMYFUNCTION("""COMPUTED_VALUE"""),46063.0)</f>
        <v>46063</v>
      </c>
      <c r="S4857" s="57">
        <f>IFERROR(__xludf.DUMMYFUNCTION("""COMPUTED_VALUE"""),46063.0)</f>
        <v>46063</v>
      </c>
      <c r="T4857" s="57">
        <f>IFERROR(__xludf.DUMMYFUNCTION("""COMPUTED_VALUE"""),46080.0)</f>
        <v>46080</v>
      </c>
    </row>
    <row r="4858">
      <c r="A4858" s="6" t="str">
        <f>IFERROR(__xludf.DUMMYFUNCTION("""COMPUTED_VALUE"""),"121703857-1")</f>
        <v>121703857-1</v>
      </c>
      <c r="B4858" s="6" t="str">
        <f>IFERROR(__xludf.DUMMYFUNCTION("""COMPUTED_VALUE"""),"121703857 - APPROVED")</f>
        <v>121703857 - APPROVED</v>
      </c>
      <c r="C4858" s="6">
        <f>IFERROR(__xludf.DUMMYFUNCTION("""COMPUTED_VALUE"""),1.0)</f>
        <v>1</v>
      </c>
      <c r="D4858" s="6" t="str">
        <f>IFERROR(__xludf.DUMMYFUNCTION("""COMPUTED_VALUE"""),"P-12920-00")</f>
        <v>P-12920-00</v>
      </c>
      <c r="E4858" s="6" t="str">
        <f>IFERROR(__xludf.DUMMYFUNCTION("""COMPUTED_VALUE"""),"General - Tungsten Electrodes dia 1.6 mm; No Brand; -; 1 pc")</f>
        <v>General - Tungsten Electrodes dia 1.6 mm; No Brand; -; 1 pc</v>
      </c>
      <c r="F4858" s="6">
        <f>IFERROR(__xludf.DUMMYFUNCTION("""COMPUTED_VALUE"""),15.0)</f>
        <v>15</v>
      </c>
      <c r="G4858" s="6" t="str">
        <f>IFERROR(__xludf.DUMMYFUNCTION("""COMPUTED_VALUE"""),"Pieces")</f>
        <v>Pieces</v>
      </c>
      <c r="H4858" s="6" t="str">
        <f>IFERROR(__xludf.DUMMYFUNCTION("""COMPUTED_VALUE"""),"IDR")</f>
        <v>IDR</v>
      </c>
      <c r="I4858" s="6">
        <f>IFERROR(__xludf.DUMMYFUNCTION("""COMPUTED_VALUE"""),10000.0)</f>
        <v>10000</v>
      </c>
      <c r="J4858" s="6">
        <f>IFERROR(__xludf.DUMMYFUNCTION("""COMPUTED_VALUE"""),150000.0)</f>
        <v>150000</v>
      </c>
      <c r="K4858" s="57">
        <f>IFERROR(__xludf.DUMMYFUNCTION("""COMPUTED_VALUE"""),46094.0)</f>
        <v>46094</v>
      </c>
      <c r="L4858" s="6" t="str">
        <f>IFERROR(__xludf.DUMMYFUNCTION("""COMPUTED_VALUE"""),"FIP Engineering")</f>
        <v>FIP Engineering</v>
      </c>
      <c r="M4858" s="6" t="str">
        <f>IFERROR(__xludf.DUMMYFUNCTION("""COMPUTED_VALUE"""),"Mochammad Fadhillah Hakim,")</f>
        <v>Mochammad Fadhillah Hakim,</v>
      </c>
      <c r="N4858" s="6" t="str">
        <f>IFERROR(__xludf.DUMMYFUNCTION("""COMPUTED_VALUE"""),"FIP Engineering")</f>
        <v>FIP Engineering</v>
      </c>
      <c r="O4858" s="6" t="str">
        <f>IFERROR(__xludf.DUMMYFUNCTION("""COMPUTED_VALUE"""),"FIP-DOM-000-11304-OS00001-INA-000000")</f>
        <v>FIP-DOM-000-11304-OS00001-INA-000000</v>
      </c>
      <c r="P4858" s="6" t="str">
        <f>IFERROR(__xludf.DUMMYFUNCTION("""COMPUTED_VALUE"""),"PO Closed")</f>
        <v>PO Closed</v>
      </c>
      <c r="Q4858" s="6" t="str">
        <f>IFERROR(__xludf.DUMMYFUNCTION("""COMPUTED_VALUE"""),"GL2603428")</f>
        <v>GL2603428</v>
      </c>
      <c r="R4858" s="57">
        <f>IFERROR(__xludf.DUMMYFUNCTION("""COMPUTED_VALUE"""),46065.0)</f>
        <v>46065</v>
      </c>
      <c r="S4858" s="57">
        <f>IFERROR(__xludf.DUMMYFUNCTION("""COMPUTED_VALUE"""),46065.0)</f>
        <v>46065</v>
      </c>
      <c r="T4858" s="57">
        <f>IFERROR(__xludf.DUMMYFUNCTION("""COMPUTED_VALUE"""),46105.0)</f>
        <v>46105</v>
      </c>
    </row>
    <row r="4859">
      <c r="A4859" s="6" t="str">
        <f>IFERROR(__xludf.DUMMYFUNCTION("""COMPUTED_VALUE"""),"121703858-1")</f>
        <v>121703858-1</v>
      </c>
      <c r="B4859" s="6" t="str">
        <f>IFERROR(__xludf.DUMMYFUNCTION("""COMPUTED_VALUE"""),"121703858 - APPROVED")</f>
        <v>121703858 - APPROVED</v>
      </c>
      <c r="C4859" s="6">
        <f>IFERROR(__xludf.DUMMYFUNCTION("""COMPUTED_VALUE"""),1.0)</f>
        <v>1</v>
      </c>
      <c r="D4859" s="6" t="str">
        <f>IFERROR(__xludf.DUMMYFUNCTION("""COMPUTED_VALUE"""),"P-12471-00")</f>
        <v>P-12471-00</v>
      </c>
      <c r="E4859" s="6" t="str">
        <f>IFERROR(__xludf.DUMMYFUNCTION("""COMPUTED_VALUE"""),"General - Lem silicone; Elastosil; E41; 90gram/tube")</f>
        <v>General - Lem silicone; Elastosil; E41; 90gram/tube</v>
      </c>
      <c r="F4859" s="6">
        <f>IFERROR(__xludf.DUMMYFUNCTION("""COMPUTED_VALUE"""),8.0)</f>
        <v>8</v>
      </c>
      <c r="G4859" s="6" t="str">
        <f>IFERROR(__xludf.DUMMYFUNCTION("""COMPUTED_VALUE"""),"Pieces")</f>
        <v>Pieces</v>
      </c>
      <c r="H4859" s="6" t="str">
        <f>IFERROR(__xludf.DUMMYFUNCTION("""COMPUTED_VALUE"""),"IDR")</f>
        <v>IDR</v>
      </c>
      <c r="I4859" s="6">
        <f>IFERROR(__xludf.DUMMYFUNCTION("""COMPUTED_VALUE"""),810000.0)</f>
        <v>810000</v>
      </c>
      <c r="J4859" s="6">
        <f>IFERROR(__xludf.DUMMYFUNCTION("""COMPUTED_VALUE"""),6480000.0)</f>
        <v>6480000</v>
      </c>
      <c r="K4859" s="57">
        <f>IFERROR(__xludf.DUMMYFUNCTION("""COMPUTED_VALUE"""),46094.0)</f>
        <v>46094</v>
      </c>
      <c r="L4859" s="6" t="str">
        <f>IFERROR(__xludf.DUMMYFUNCTION("""COMPUTED_VALUE"""),"FIP Engineering")</f>
        <v>FIP Engineering</v>
      </c>
      <c r="M4859" s="6" t="str">
        <f>IFERROR(__xludf.DUMMYFUNCTION("""COMPUTED_VALUE"""),"Mochammad Fadhillah Hakim,")</f>
        <v>Mochammad Fadhillah Hakim,</v>
      </c>
      <c r="N4859" s="6" t="str">
        <f>IFERROR(__xludf.DUMMYFUNCTION("""COMPUTED_VALUE"""),"FIP Engineering")</f>
        <v>FIP Engineering</v>
      </c>
      <c r="O4859" s="6" t="str">
        <f>IFERROR(__xludf.DUMMYFUNCTION("""COMPUTED_VALUE"""),"FIP-DOM-000-11304-OS00001-INA-000000")</f>
        <v>FIP-DOM-000-11304-OS00001-INA-000000</v>
      </c>
      <c r="P4859" s="6" t="str">
        <f>IFERROR(__xludf.DUMMYFUNCTION("""COMPUTED_VALUE"""),"PO Closed")</f>
        <v>PO Closed</v>
      </c>
      <c r="Q4859" s="6" t="str">
        <f>IFERROR(__xludf.DUMMYFUNCTION("""COMPUTED_VALUE"""),"GL2603013")</f>
        <v>GL2603013</v>
      </c>
      <c r="R4859" s="57">
        <f>IFERROR(__xludf.DUMMYFUNCTION("""COMPUTED_VALUE"""),46065.0)</f>
        <v>46065</v>
      </c>
      <c r="S4859" s="57">
        <f>IFERROR(__xludf.DUMMYFUNCTION("""COMPUTED_VALUE"""),46065.0)</f>
        <v>46065</v>
      </c>
      <c r="T4859" s="57">
        <f>IFERROR(__xludf.DUMMYFUNCTION("""COMPUTED_VALUE"""),46127.0)</f>
        <v>46127</v>
      </c>
    </row>
    <row r="4860">
      <c r="A4860" s="6" t="str">
        <f>IFERROR(__xludf.DUMMYFUNCTION("""COMPUTED_VALUE"""),"121703859-1")</f>
        <v>121703859-1</v>
      </c>
      <c r="B4860" s="6" t="str">
        <f>IFERROR(__xludf.DUMMYFUNCTION("""COMPUTED_VALUE"""),"121703859 - APPROVED")</f>
        <v>121703859 - APPROVED</v>
      </c>
      <c r="C4860" s="6">
        <f>IFERROR(__xludf.DUMMYFUNCTION("""COMPUTED_VALUE"""),1.0)</f>
        <v>1</v>
      </c>
      <c r="D4860" s="6" t="str">
        <f>IFERROR(__xludf.DUMMYFUNCTION("""COMPUTED_VALUE"""),"P-17363-00")</f>
        <v>P-17363-00</v>
      </c>
      <c r="E4860" s="6" t="str">
        <f>IFERROR(__xludf.DUMMYFUNCTION("""COMPUTED_VALUE"""),"General - Ferrule SS 316, 1/2inch; No Brand; -; 1 pcs")</f>
        <v>General - Ferrule SS 316, 1/2inch; No Brand; -; 1 pcs</v>
      </c>
      <c r="F4860" s="6">
        <f>IFERROR(__xludf.DUMMYFUNCTION("""COMPUTED_VALUE"""),2.0)</f>
        <v>2</v>
      </c>
      <c r="G4860" s="6" t="str">
        <f>IFERROR(__xludf.DUMMYFUNCTION("""COMPUTED_VALUE"""),"Pieces")</f>
        <v>Pieces</v>
      </c>
      <c r="H4860" s="6" t="str">
        <f>IFERROR(__xludf.DUMMYFUNCTION("""COMPUTED_VALUE"""),"IDR")</f>
        <v>IDR</v>
      </c>
      <c r="I4860" s="6">
        <f>IFERROR(__xludf.DUMMYFUNCTION("""COMPUTED_VALUE"""),365000.0)</f>
        <v>365000</v>
      </c>
      <c r="J4860" s="6">
        <f>IFERROR(__xludf.DUMMYFUNCTION("""COMPUTED_VALUE"""),730000.0)</f>
        <v>730000</v>
      </c>
      <c r="K4860" s="57">
        <f>IFERROR(__xludf.DUMMYFUNCTION("""COMPUTED_VALUE"""),46094.0)</f>
        <v>46094</v>
      </c>
      <c r="L4860" s="6" t="str">
        <f>IFERROR(__xludf.DUMMYFUNCTION("""COMPUTED_VALUE"""),"FIP Engineering")</f>
        <v>FIP Engineering</v>
      </c>
      <c r="M4860" s="6" t="str">
        <f>IFERROR(__xludf.DUMMYFUNCTION("""COMPUTED_VALUE"""),"Mochammad Fadhillah Hakim,")</f>
        <v>Mochammad Fadhillah Hakim,</v>
      </c>
      <c r="N4860" s="6" t="str">
        <f>IFERROR(__xludf.DUMMYFUNCTION("""COMPUTED_VALUE"""),"FIP Engineering")</f>
        <v>FIP Engineering</v>
      </c>
      <c r="O4860" s="6" t="str">
        <f>IFERROR(__xludf.DUMMYFUNCTION("""COMPUTED_VALUE"""),"FIP-DOM-000-11304-OS00001-INA-000000")</f>
        <v>FIP-DOM-000-11304-OS00001-INA-000000</v>
      </c>
      <c r="P4860" s="6" t="str">
        <f>IFERROR(__xludf.DUMMYFUNCTION("""COMPUTED_VALUE"""),"PO Closed")</f>
        <v>PO Closed</v>
      </c>
      <c r="Q4860" s="6" t="str">
        <f>IFERROR(__xludf.DUMMYFUNCTION("""COMPUTED_VALUE"""),"GL2603430")</f>
        <v>GL2603430</v>
      </c>
      <c r="R4860" s="57">
        <f>IFERROR(__xludf.DUMMYFUNCTION("""COMPUTED_VALUE"""),46065.0)</f>
        <v>46065</v>
      </c>
      <c r="S4860" s="57">
        <f>IFERROR(__xludf.DUMMYFUNCTION("""COMPUTED_VALUE"""),46067.0)</f>
        <v>46067</v>
      </c>
      <c r="T4860" s="57">
        <f>IFERROR(__xludf.DUMMYFUNCTION("""COMPUTED_VALUE"""),46094.0)</f>
        <v>46094</v>
      </c>
    </row>
    <row r="4861">
      <c r="A4861" s="6" t="str">
        <f>IFERROR(__xludf.DUMMYFUNCTION("""COMPUTED_VALUE"""),"121703859-2")</f>
        <v>121703859-2</v>
      </c>
      <c r="B4861" s="6" t="str">
        <f>IFERROR(__xludf.DUMMYFUNCTION("""COMPUTED_VALUE"""),"121703859 - APPROVED")</f>
        <v>121703859 - APPROVED</v>
      </c>
      <c r="C4861" s="6">
        <f>IFERROR(__xludf.DUMMYFUNCTION("""COMPUTED_VALUE"""),2.0)</f>
        <v>2</v>
      </c>
      <c r="D4861" s="6" t="str">
        <f>IFERROR(__xludf.DUMMYFUNCTION("""COMPUTED_VALUE"""),"P-10763-00")</f>
        <v>P-10763-00</v>
      </c>
      <c r="E4861" s="6" t="str">
        <f>IFERROR(__xludf.DUMMYFUNCTION("""COMPUTED_VALUE"""),"General - Ferrule SS 316L 1inch; No Brand; -; 1 pcs")</f>
        <v>General - Ferrule SS 316L 1inch; No Brand; -; 1 pcs</v>
      </c>
      <c r="F4861" s="6">
        <f>IFERROR(__xludf.DUMMYFUNCTION("""COMPUTED_VALUE"""),2.0)</f>
        <v>2</v>
      </c>
      <c r="G4861" s="6" t="str">
        <f>IFERROR(__xludf.DUMMYFUNCTION("""COMPUTED_VALUE"""),"Pieces")</f>
        <v>Pieces</v>
      </c>
      <c r="H4861" s="6" t="str">
        <f>IFERROR(__xludf.DUMMYFUNCTION("""COMPUTED_VALUE"""),"IDR")</f>
        <v>IDR</v>
      </c>
      <c r="I4861" s="6">
        <f>IFERROR(__xludf.DUMMYFUNCTION("""COMPUTED_VALUE"""),345000.0)</f>
        <v>345000</v>
      </c>
      <c r="J4861" s="6">
        <f>IFERROR(__xludf.DUMMYFUNCTION("""COMPUTED_VALUE"""),690000.0)</f>
        <v>690000</v>
      </c>
      <c r="K4861" s="57">
        <f>IFERROR(__xludf.DUMMYFUNCTION("""COMPUTED_VALUE"""),46094.0)</f>
        <v>46094</v>
      </c>
      <c r="L4861" s="6" t="str">
        <f>IFERROR(__xludf.DUMMYFUNCTION("""COMPUTED_VALUE"""),"FIP Engineering")</f>
        <v>FIP Engineering</v>
      </c>
      <c r="M4861" s="6" t="str">
        <f>IFERROR(__xludf.DUMMYFUNCTION("""COMPUTED_VALUE"""),"Mochammad Fadhillah Hakim,")</f>
        <v>Mochammad Fadhillah Hakim,</v>
      </c>
      <c r="N4861" s="6" t="str">
        <f>IFERROR(__xludf.DUMMYFUNCTION("""COMPUTED_VALUE"""),"FIP Engineering")</f>
        <v>FIP Engineering</v>
      </c>
      <c r="O4861" s="6" t="str">
        <f>IFERROR(__xludf.DUMMYFUNCTION("""COMPUTED_VALUE"""),"FIP-DOM-000-11304-OS00001-INA-000000")</f>
        <v>FIP-DOM-000-11304-OS00001-INA-000000</v>
      </c>
      <c r="P4861" s="6" t="str">
        <f>IFERROR(__xludf.DUMMYFUNCTION("""COMPUTED_VALUE"""),"PO Closed")</f>
        <v>PO Closed</v>
      </c>
      <c r="Q4861" s="6" t="str">
        <f>IFERROR(__xludf.DUMMYFUNCTION("""COMPUTED_VALUE"""),"GL2602033")</f>
        <v>GL2602033</v>
      </c>
      <c r="R4861" s="57">
        <f>IFERROR(__xludf.DUMMYFUNCTION("""COMPUTED_VALUE"""),46065.0)</f>
        <v>46065</v>
      </c>
      <c r="S4861" s="57">
        <f>IFERROR(__xludf.DUMMYFUNCTION("""COMPUTED_VALUE"""),46067.0)</f>
        <v>46067</v>
      </c>
      <c r="T4861" s="57">
        <f>IFERROR(__xludf.DUMMYFUNCTION("""COMPUTED_VALUE"""),46105.0)</f>
        <v>46105</v>
      </c>
    </row>
    <row r="4862">
      <c r="A4862" s="6" t="str">
        <f>IFERROR(__xludf.DUMMYFUNCTION("""COMPUTED_VALUE"""),"121703859-3")</f>
        <v>121703859-3</v>
      </c>
      <c r="B4862" s="6" t="str">
        <f>IFERROR(__xludf.DUMMYFUNCTION("""COMPUTED_VALUE"""),"121703859 - APPROVED")</f>
        <v>121703859 - APPROVED</v>
      </c>
      <c r="C4862" s="6">
        <f>IFERROR(__xludf.DUMMYFUNCTION("""COMPUTED_VALUE"""),3.0)</f>
        <v>3</v>
      </c>
      <c r="D4862" s="6" t="str">
        <f>IFERROR(__xludf.DUMMYFUNCTION("""COMPUTED_VALUE"""),"P-12195-00")</f>
        <v>P-12195-00</v>
      </c>
      <c r="E4862" s="6" t="str">
        <f>IFERROR(__xludf.DUMMYFUNCTION("""COMPUTED_VALUE"""),"Elbow SS 316 L dia 1inch")</f>
        <v>Elbow SS 316 L dia 1inch</v>
      </c>
      <c r="F4862" s="6">
        <f>IFERROR(__xludf.DUMMYFUNCTION("""COMPUTED_VALUE"""),6.0)</f>
        <v>6</v>
      </c>
      <c r="G4862" s="6" t="str">
        <f>IFERROR(__xludf.DUMMYFUNCTION("""COMPUTED_VALUE"""),"Pieces")</f>
        <v>Pieces</v>
      </c>
      <c r="H4862" s="6" t="str">
        <f>IFERROR(__xludf.DUMMYFUNCTION("""COMPUTED_VALUE"""),"IDR")</f>
        <v>IDR</v>
      </c>
      <c r="I4862" s="6">
        <f>IFERROR(__xludf.DUMMYFUNCTION("""COMPUTED_VALUE"""),155000.0)</f>
        <v>155000</v>
      </c>
      <c r="J4862" s="6">
        <f>IFERROR(__xludf.DUMMYFUNCTION("""COMPUTED_VALUE"""),930000.0)</f>
        <v>930000</v>
      </c>
      <c r="K4862" s="57">
        <f>IFERROR(__xludf.DUMMYFUNCTION("""COMPUTED_VALUE"""),46094.0)</f>
        <v>46094</v>
      </c>
      <c r="L4862" s="6" t="str">
        <f>IFERROR(__xludf.DUMMYFUNCTION("""COMPUTED_VALUE"""),"FIP Engineering")</f>
        <v>FIP Engineering</v>
      </c>
      <c r="M4862" s="6" t="str">
        <f>IFERROR(__xludf.DUMMYFUNCTION("""COMPUTED_VALUE"""),"Mochammad Fadhillah Hakim,")</f>
        <v>Mochammad Fadhillah Hakim,</v>
      </c>
      <c r="N4862" s="6" t="str">
        <f>IFERROR(__xludf.DUMMYFUNCTION("""COMPUTED_VALUE"""),"FIP Engineering")</f>
        <v>FIP Engineering</v>
      </c>
      <c r="O4862" s="6" t="str">
        <f>IFERROR(__xludf.DUMMYFUNCTION("""COMPUTED_VALUE"""),"FIP-DOM-000-11304-OS00001-INA-000000")</f>
        <v>FIP-DOM-000-11304-OS00001-INA-000000</v>
      </c>
      <c r="P4862" s="6" t="str">
        <f>IFERROR(__xludf.DUMMYFUNCTION("""COMPUTED_VALUE"""),"PO Closed")</f>
        <v>PO Closed</v>
      </c>
      <c r="Q4862" s="6" t="str">
        <f>IFERROR(__xludf.DUMMYFUNCTION("""COMPUTED_VALUE"""),"GL2603430")</f>
        <v>GL2603430</v>
      </c>
      <c r="R4862" s="57">
        <f>IFERROR(__xludf.DUMMYFUNCTION("""COMPUTED_VALUE"""),46065.0)</f>
        <v>46065</v>
      </c>
      <c r="S4862" s="57">
        <f>IFERROR(__xludf.DUMMYFUNCTION("""COMPUTED_VALUE"""),46067.0)</f>
        <v>46067</v>
      </c>
      <c r="T4862" s="57">
        <f>IFERROR(__xludf.DUMMYFUNCTION("""COMPUTED_VALUE"""),46094.0)</f>
        <v>46094</v>
      </c>
    </row>
    <row r="4863">
      <c r="A4863" s="6" t="str">
        <f>IFERROR(__xludf.DUMMYFUNCTION("""COMPUTED_VALUE"""),"121703861-1")</f>
        <v>121703861-1</v>
      </c>
      <c r="B4863" s="6" t="str">
        <f>IFERROR(__xludf.DUMMYFUNCTION("""COMPUTED_VALUE"""),"121703861 - APPROVED")</f>
        <v>121703861 - APPROVED</v>
      </c>
      <c r="C4863" s="6">
        <f>IFERROR(__xludf.DUMMYFUNCTION("""COMPUTED_VALUE"""),1.0)</f>
        <v>1</v>
      </c>
      <c r="D4863" s="6" t="str">
        <f>IFERROR(__xludf.DUMMYFUNCTION("""COMPUTED_VALUE"""),"P-52975-00")</f>
        <v>P-52975-00</v>
      </c>
      <c r="E4863" s="6" t="str">
        <f>IFERROR(__xludf.DUMMYFUNCTION("""COMPUTED_VALUE"""),"General - Limit Switch IP65; EWIG; E8108; 1 pc")</f>
        <v>General - Limit Switch IP65; EWIG; E8108; 1 pc</v>
      </c>
      <c r="F4863" s="6">
        <f>IFERROR(__xludf.DUMMYFUNCTION("""COMPUTED_VALUE"""),3.0)</f>
        <v>3</v>
      </c>
      <c r="G4863" s="6" t="str">
        <f>IFERROR(__xludf.DUMMYFUNCTION("""COMPUTED_VALUE"""),"Pieces")</f>
        <v>Pieces</v>
      </c>
      <c r="H4863" s="6" t="str">
        <f>IFERROR(__xludf.DUMMYFUNCTION("""COMPUTED_VALUE"""),"IDR")</f>
        <v>IDR</v>
      </c>
      <c r="I4863" s="6">
        <f>IFERROR(__xludf.DUMMYFUNCTION("""COMPUTED_VALUE"""),99000.0)</f>
        <v>99000</v>
      </c>
      <c r="J4863" s="6">
        <f>IFERROR(__xludf.DUMMYFUNCTION("""COMPUTED_VALUE"""),297000.0)</f>
        <v>297000</v>
      </c>
      <c r="K4863" s="57">
        <f>IFERROR(__xludf.DUMMYFUNCTION("""COMPUTED_VALUE"""),46094.0)</f>
        <v>46094</v>
      </c>
      <c r="L4863" s="6" t="str">
        <f>IFERROR(__xludf.DUMMYFUNCTION("""COMPUTED_VALUE"""),"FIP Engineering")</f>
        <v>FIP Engineering</v>
      </c>
      <c r="M4863" s="6" t="str">
        <f>IFERROR(__xludf.DUMMYFUNCTION("""COMPUTED_VALUE"""),"Mochammad Fadhillah Hakim,")</f>
        <v>Mochammad Fadhillah Hakim,</v>
      </c>
      <c r="N4863" s="6" t="str">
        <f>IFERROR(__xludf.DUMMYFUNCTION("""COMPUTED_VALUE"""),"FIP Engineering")</f>
        <v>FIP Engineering</v>
      </c>
      <c r="O4863" s="6" t="str">
        <f>IFERROR(__xludf.DUMMYFUNCTION("""COMPUTED_VALUE"""),"FIP-DOM-000-11304-OS00001-INA-000000")</f>
        <v>FIP-DOM-000-11304-OS00001-INA-000000</v>
      </c>
      <c r="P4863" s="6" t="str">
        <f>IFERROR(__xludf.DUMMYFUNCTION("""COMPUTED_VALUE"""),"PO Closed")</f>
        <v>PO Closed</v>
      </c>
      <c r="Q4863" s="6" t="str">
        <f>IFERROR(__xludf.DUMMYFUNCTION("""COMPUTED_VALUE"""),"GL2603434")</f>
        <v>GL2603434</v>
      </c>
      <c r="R4863" s="57">
        <f>IFERROR(__xludf.DUMMYFUNCTION("""COMPUTED_VALUE"""),46065.0)</f>
        <v>46065</v>
      </c>
      <c r="S4863" s="57">
        <f>IFERROR(__xludf.DUMMYFUNCTION("""COMPUTED_VALUE"""),46067.0)</f>
        <v>46067</v>
      </c>
      <c r="T4863" s="57">
        <f>IFERROR(__xludf.DUMMYFUNCTION("""COMPUTED_VALUE"""),46106.0)</f>
        <v>46106</v>
      </c>
    </row>
    <row r="4864">
      <c r="A4864" s="6" t="str">
        <f>IFERROR(__xludf.DUMMYFUNCTION("""COMPUTED_VALUE"""),"121703863-1")</f>
        <v>121703863-1</v>
      </c>
      <c r="B4864" s="6" t="str">
        <f>IFERROR(__xludf.DUMMYFUNCTION("""COMPUTED_VALUE"""),"121703863 - APPROVED")</f>
        <v>121703863 - APPROVED</v>
      </c>
      <c r="C4864" s="6">
        <f>IFERROR(__xludf.DUMMYFUNCTION("""COMPUTED_VALUE"""),1.0)</f>
        <v>1</v>
      </c>
      <c r="D4864" s="6" t="str">
        <f>IFERROR(__xludf.DUMMYFUNCTION("""COMPUTED_VALUE"""),"R-62010-00")</f>
        <v>R-62010-00</v>
      </c>
      <c r="E4864" s="6" t="str">
        <f>IFERROR(__xludf.DUMMYFUNCTION("""COMPUTED_VALUE"""),"Computer Desktop - Production - PC Autoclave Windows 7 - PC Autoclave Windows 7")</f>
        <v>Computer Desktop - Production - PC Autoclave Windows 7 - PC Autoclave Windows 7</v>
      </c>
      <c r="F4864" s="6">
        <f>IFERROR(__xludf.DUMMYFUNCTION("""COMPUTED_VALUE"""),1.0)</f>
        <v>1</v>
      </c>
      <c r="G4864" s="6" t="str">
        <f>IFERROR(__xludf.DUMMYFUNCTION("""COMPUTED_VALUE"""),"Unit")</f>
        <v>Unit</v>
      </c>
      <c r="H4864" s="6" t="str">
        <f>IFERROR(__xludf.DUMMYFUNCTION("""COMPUTED_VALUE"""),"IDR")</f>
        <v>IDR</v>
      </c>
      <c r="I4864" s="6">
        <f>IFERROR(__xludf.DUMMYFUNCTION("""COMPUTED_VALUE"""),8844000.0)</f>
        <v>8844000</v>
      </c>
      <c r="J4864" s="6">
        <f>IFERROR(__xludf.DUMMYFUNCTION("""COMPUTED_VALUE"""),8844000.0)</f>
        <v>8844000</v>
      </c>
      <c r="K4864" s="57">
        <f>IFERROR(__xludf.DUMMYFUNCTION("""COMPUTED_VALUE"""),46094.0)</f>
        <v>46094</v>
      </c>
      <c r="L4864" s="6" t="str">
        <f>IFERROR(__xludf.DUMMYFUNCTION("""COMPUTED_VALUE"""),"FIP General")</f>
        <v>FIP General</v>
      </c>
      <c r="M4864" s="6" t="str">
        <f>IFERROR(__xludf.DUMMYFUNCTION("""COMPUTED_VALUE"""),"Mochammad Fadhillah Hakim,")</f>
        <v>Mochammad Fadhillah Hakim,</v>
      </c>
      <c r="N4864" s="6" t="str">
        <f>IFERROR(__xludf.DUMMYFUNCTION("""COMPUTED_VALUE"""),"FIP Engineering")</f>
        <v>FIP Engineering</v>
      </c>
      <c r="O4864" s="6" t="str">
        <f>IFERROR(__xludf.DUMMYFUNCTION("""COMPUTED_VALUE"""),"FIP-DOM-ENG-13408-IT26001-INA-000000")</f>
        <v>FIP-DOM-ENG-13408-IT26001-INA-000000</v>
      </c>
      <c r="P4864" s="6" t="str">
        <f>IFERROR(__xludf.DUMMYFUNCTION("""COMPUTED_VALUE"""),"PO Closed")</f>
        <v>PO Closed</v>
      </c>
      <c r="Q4864" s="6" t="str">
        <f>IFERROR(__xludf.DUMMYFUNCTION("""COMPUTED_VALUE"""),"GL2603031")</f>
        <v>GL2603031</v>
      </c>
      <c r="R4864" s="57">
        <f>IFERROR(__xludf.DUMMYFUNCTION("""COMPUTED_VALUE"""),46065.0)</f>
        <v>46065</v>
      </c>
      <c r="S4864" s="57">
        <f>IFERROR(__xludf.DUMMYFUNCTION("""COMPUTED_VALUE"""),46067.0)</f>
        <v>46067</v>
      </c>
      <c r="T4864" s="57">
        <f>IFERROR(__xludf.DUMMYFUNCTION("""COMPUTED_VALUE"""),46239.0)</f>
        <v>46239</v>
      </c>
    </row>
    <row r="4865">
      <c r="A4865" s="6" t="str">
        <f>IFERROR(__xludf.DUMMYFUNCTION("""COMPUTED_VALUE"""),"121703864-1")</f>
        <v>121703864-1</v>
      </c>
      <c r="B4865" s="6" t="str">
        <f>IFERROR(__xludf.DUMMYFUNCTION("""COMPUTED_VALUE"""),"121703864 - APPROVED")</f>
        <v>121703864 - APPROVED</v>
      </c>
      <c r="C4865" s="6">
        <f>IFERROR(__xludf.DUMMYFUNCTION("""COMPUTED_VALUE"""),1.0)</f>
        <v>1</v>
      </c>
      <c r="D4865" s="6" t="str">
        <f>IFERROR(__xludf.DUMMYFUNCTION("""COMPUTED_VALUE"""),"P-70002-00")</f>
        <v>P-70002-00</v>
      </c>
      <c r="E4865" s="6" t="str">
        <f>IFERROR(__xludf.DUMMYFUNCTION("""COMPUTED_VALUE"""),"Forklift Jungheinrich - Filter Cartridge; Jungheinrich; 5140412; 1 pc")</f>
        <v>Forklift Jungheinrich - Filter Cartridge; Jungheinrich; 5140412; 1 pc</v>
      </c>
      <c r="F4865" s="6">
        <f>IFERROR(__xludf.DUMMYFUNCTION("""COMPUTED_VALUE"""),1.0)</f>
        <v>1</v>
      </c>
      <c r="G4865" s="6" t="str">
        <f>IFERROR(__xludf.DUMMYFUNCTION("""COMPUTED_VALUE"""),"Pieces")</f>
        <v>Pieces</v>
      </c>
      <c r="H4865" s="6" t="str">
        <f>IFERROR(__xludf.DUMMYFUNCTION("""COMPUTED_VALUE"""),"IDR")</f>
        <v>IDR</v>
      </c>
      <c r="I4865" s="6">
        <f>IFERROR(__xludf.DUMMYFUNCTION("""COMPUTED_VALUE"""),2910000.0)</f>
        <v>2910000</v>
      </c>
      <c r="J4865" s="6">
        <f>IFERROR(__xludf.DUMMYFUNCTION("""COMPUTED_VALUE"""),2910000.0)</f>
        <v>2910000</v>
      </c>
      <c r="K4865" s="57">
        <f>IFERROR(__xludf.DUMMYFUNCTION("""COMPUTED_VALUE"""),46094.0)</f>
        <v>46094</v>
      </c>
      <c r="L4865" s="6" t="str">
        <f>IFERROR(__xludf.DUMMYFUNCTION("""COMPUTED_VALUE"""),"FIP Engineering")</f>
        <v>FIP Engineering</v>
      </c>
      <c r="M4865" s="6" t="str">
        <f>IFERROR(__xludf.DUMMYFUNCTION("""COMPUTED_VALUE"""),"Mochammad Fadhillah Hakim,")</f>
        <v>Mochammad Fadhillah Hakim,</v>
      </c>
      <c r="N4865" s="6" t="str">
        <f>IFERROR(__xludf.DUMMYFUNCTION("""COMPUTED_VALUE"""),"FIP Engineering")</f>
        <v>FIP Engineering</v>
      </c>
      <c r="O4865" s="6" t="str">
        <f>IFERROR(__xludf.DUMMYFUNCTION("""COMPUTED_VALUE"""),"FIP-DOM-000-11304-OS00001-INA-000000")</f>
        <v>FIP-DOM-000-11304-OS00001-INA-000000</v>
      </c>
      <c r="P4865" s="6" t="str">
        <f>IFERROR(__xludf.DUMMYFUNCTION("""COMPUTED_VALUE"""),"PO Closed")</f>
        <v>PO Closed</v>
      </c>
      <c r="Q4865" s="6" t="str">
        <f>IFERROR(__xludf.DUMMYFUNCTION("""COMPUTED_VALUE"""),"GL2603006")</f>
        <v>GL2603006</v>
      </c>
      <c r="R4865" s="57">
        <f>IFERROR(__xludf.DUMMYFUNCTION("""COMPUTED_VALUE"""),46065.0)</f>
        <v>46065</v>
      </c>
      <c r="S4865" s="57">
        <f>IFERROR(__xludf.DUMMYFUNCTION("""COMPUTED_VALUE"""),46066.0)</f>
        <v>46066</v>
      </c>
      <c r="T4865" s="57">
        <f>IFERROR(__xludf.DUMMYFUNCTION("""COMPUTED_VALUE"""),46108.0)</f>
        <v>46108</v>
      </c>
    </row>
    <row r="4866">
      <c r="A4866" s="6" t="str">
        <f>IFERROR(__xludf.DUMMYFUNCTION("""COMPUTED_VALUE"""),"121703864-2")</f>
        <v>121703864-2</v>
      </c>
      <c r="B4866" s="6" t="str">
        <f>IFERROR(__xludf.DUMMYFUNCTION("""COMPUTED_VALUE"""),"121703864 - APPROVED")</f>
        <v>121703864 - APPROVED</v>
      </c>
      <c r="C4866" s="6">
        <f>IFERROR(__xludf.DUMMYFUNCTION("""COMPUTED_VALUE"""),2.0)</f>
        <v>2</v>
      </c>
      <c r="D4866" s="6" t="str">
        <f>IFERROR(__xludf.DUMMYFUNCTION("""COMPUTED_VALUE"""),"P-70003-00")</f>
        <v>P-70003-00</v>
      </c>
      <c r="E4866" s="6" t="str">
        <f>IFERROR(__xludf.DUMMYFUNCTION("""COMPUTED_VALUE"""),"Forklift Jungheinrich - Filter Air; Jungheinrich; 51440858; 1 pc")</f>
        <v>Forklift Jungheinrich - Filter Air; Jungheinrich; 51440858; 1 pc</v>
      </c>
      <c r="F4866" s="6">
        <f>IFERROR(__xludf.DUMMYFUNCTION("""COMPUTED_VALUE"""),1.0)</f>
        <v>1</v>
      </c>
      <c r="G4866" s="6" t="str">
        <f>IFERROR(__xludf.DUMMYFUNCTION("""COMPUTED_VALUE"""),"Pieces")</f>
        <v>Pieces</v>
      </c>
      <c r="H4866" s="6" t="str">
        <f>IFERROR(__xludf.DUMMYFUNCTION("""COMPUTED_VALUE"""),"IDR")</f>
        <v>IDR</v>
      </c>
      <c r="I4866" s="6">
        <f>IFERROR(__xludf.DUMMYFUNCTION("""COMPUTED_VALUE"""),750000.0)</f>
        <v>750000</v>
      </c>
      <c r="J4866" s="6">
        <f>IFERROR(__xludf.DUMMYFUNCTION("""COMPUTED_VALUE"""),750000.0)</f>
        <v>750000</v>
      </c>
      <c r="K4866" s="57">
        <f>IFERROR(__xludf.DUMMYFUNCTION("""COMPUTED_VALUE"""),46094.0)</f>
        <v>46094</v>
      </c>
      <c r="L4866" s="6" t="str">
        <f>IFERROR(__xludf.DUMMYFUNCTION("""COMPUTED_VALUE"""),"FIP Engineering")</f>
        <v>FIP Engineering</v>
      </c>
      <c r="M4866" s="6" t="str">
        <f>IFERROR(__xludf.DUMMYFUNCTION("""COMPUTED_VALUE"""),"Mochammad Fadhillah Hakim,")</f>
        <v>Mochammad Fadhillah Hakim,</v>
      </c>
      <c r="N4866" s="6" t="str">
        <f>IFERROR(__xludf.DUMMYFUNCTION("""COMPUTED_VALUE"""),"FIP Engineering")</f>
        <v>FIP Engineering</v>
      </c>
      <c r="O4866" s="6" t="str">
        <f>IFERROR(__xludf.DUMMYFUNCTION("""COMPUTED_VALUE"""),"FIP-DOM-000-11304-OS00001-INA-000000")</f>
        <v>FIP-DOM-000-11304-OS00001-INA-000000</v>
      </c>
      <c r="P4866" s="6" t="str">
        <f>IFERROR(__xludf.DUMMYFUNCTION("""COMPUTED_VALUE"""),"PO Closed")</f>
        <v>PO Closed</v>
      </c>
      <c r="Q4866" s="6" t="str">
        <f>IFERROR(__xludf.DUMMYFUNCTION("""COMPUTED_VALUE"""),"GL2603006")</f>
        <v>GL2603006</v>
      </c>
      <c r="R4866" s="57">
        <f>IFERROR(__xludf.DUMMYFUNCTION("""COMPUTED_VALUE"""),46065.0)</f>
        <v>46065</v>
      </c>
      <c r="S4866" s="57">
        <f>IFERROR(__xludf.DUMMYFUNCTION("""COMPUTED_VALUE"""),46066.0)</f>
        <v>46066</v>
      </c>
      <c r="T4866" s="57">
        <f>IFERROR(__xludf.DUMMYFUNCTION("""COMPUTED_VALUE"""),46108.0)</f>
        <v>46108</v>
      </c>
    </row>
    <row r="4867">
      <c r="A4867" s="6" t="str">
        <f>IFERROR(__xludf.DUMMYFUNCTION("""COMPUTED_VALUE"""),"121703864-3")</f>
        <v>121703864-3</v>
      </c>
      <c r="B4867" s="6" t="str">
        <f>IFERROR(__xludf.DUMMYFUNCTION("""COMPUTED_VALUE"""),"121703864 - APPROVED")</f>
        <v>121703864 - APPROVED</v>
      </c>
      <c r="C4867" s="6">
        <f>IFERROR(__xludf.DUMMYFUNCTION("""COMPUTED_VALUE"""),3.0)</f>
        <v>3</v>
      </c>
      <c r="D4867" s="6" t="str">
        <f>IFERROR(__xludf.DUMMYFUNCTION("""COMPUTED_VALUE"""),"P-70004-00")</f>
        <v>P-70004-00</v>
      </c>
      <c r="E4867" s="6" t="str">
        <f>IFERROR(__xludf.DUMMYFUNCTION("""COMPUTED_VALUE"""),"Forklift Jungheinrich - Oil Hidraulic UG 46 (C); Jungheinrich; -; 1 pc")</f>
        <v>Forklift Jungheinrich - Oil Hidraulic UG 46 (C); Jungheinrich; -; 1 pc</v>
      </c>
      <c r="F4867" s="6">
        <f>IFERROR(__xludf.DUMMYFUNCTION("""COMPUTED_VALUE"""),35.0)</f>
        <v>35</v>
      </c>
      <c r="G4867" s="6" t="str">
        <f>IFERROR(__xludf.DUMMYFUNCTION("""COMPUTED_VALUE"""),"Set")</f>
        <v>Set</v>
      </c>
      <c r="H4867" s="6" t="str">
        <f>IFERROR(__xludf.DUMMYFUNCTION("""COMPUTED_VALUE"""),"IDR")</f>
        <v>IDR</v>
      </c>
      <c r="I4867" s="6">
        <f>IFERROR(__xludf.DUMMYFUNCTION("""COMPUTED_VALUE"""),85000.0)</f>
        <v>85000</v>
      </c>
      <c r="J4867" s="6">
        <f>IFERROR(__xludf.DUMMYFUNCTION("""COMPUTED_VALUE"""),2975000.0)</f>
        <v>2975000</v>
      </c>
      <c r="K4867" s="57">
        <f>IFERROR(__xludf.DUMMYFUNCTION("""COMPUTED_VALUE"""),46094.0)</f>
        <v>46094</v>
      </c>
      <c r="L4867" s="6" t="str">
        <f>IFERROR(__xludf.DUMMYFUNCTION("""COMPUTED_VALUE"""),"FIP Engineering")</f>
        <v>FIP Engineering</v>
      </c>
      <c r="M4867" s="6" t="str">
        <f>IFERROR(__xludf.DUMMYFUNCTION("""COMPUTED_VALUE"""),"Mochammad Fadhillah Hakim,")</f>
        <v>Mochammad Fadhillah Hakim,</v>
      </c>
      <c r="N4867" s="6" t="str">
        <f>IFERROR(__xludf.DUMMYFUNCTION("""COMPUTED_VALUE"""),"FIP Engineering")</f>
        <v>FIP Engineering</v>
      </c>
      <c r="O4867" s="6" t="str">
        <f>IFERROR(__xludf.DUMMYFUNCTION("""COMPUTED_VALUE"""),"FIP-DOM-000-11304-OS00001-INA-000000")</f>
        <v>FIP-DOM-000-11304-OS00001-INA-000000</v>
      </c>
      <c r="P4867" s="6" t="str">
        <f>IFERROR(__xludf.DUMMYFUNCTION("""COMPUTED_VALUE"""),"PO Closed")</f>
        <v>PO Closed</v>
      </c>
      <c r="Q4867" s="6" t="str">
        <f>IFERROR(__xludf.DUMMYFUNCTION("""COMPUTED_VALUE"""),"GL2603006")</f>
        <v>GL2603006</v>
      </c>
      <c r="R4867" s="57">
        <f>IFERROR(__xludf.DUMMYFUNCTION("""COMPUTED_VALUE"""),46065.0)</f>
        <v>46065</v>
      </c>
      <c r="S4867" s="57">
        <f>IFERROR(__xludf.DUMMYFUNCTION("""COMPUTED_VALUE"""),46066.0)</f>
        <v>46066</v>
      </c>
      <c r="T4867" s="57">
        <f>IFERROR(__xludf.DUMMYFUNCTION("""COMPUTED_VALUE"""),46108.0)</f>
        <v>46108</v>
      </c>
    </row>
    <row r="4868">
      <c r="A4868" s="6" t="str">
        <f>IFERROR(__xludf.DUMMYFUNCTION("""COMPUTED_VALUE"""),"121703864-4")</f>
        <v>121703864-4</v>
      </c>
      <c r="B4868" s="6" t="str">
        <f>IFERROR(__xludf.DUMMYFUNCTION("""COMPUTED_VALUE"""),"121703864 - APPROVED")</f>
        <v>121703864 - APPROVED</v>
      </c>
      <c r="C4868" s="6">
        <f>IFERROR(__xludf.DUMMYFUNCTION("""COMPUTED_VALUE"""),4.0)</f>
        <v>4</v>
      </c>
      <c r="D4868" s="6" t="str">
        <f>IFERROR(__xludf.DUMMYFUNCTION("""COMPUTED_VALUE"""),"P-70005-00")</f>
        <v>P-70005-00</v>
      </c>
      <c r="E4868" s="6" t="str">
        <f>IFERROR(__xludf.DUMMYFUNCTION("""COMPUTED_VALUE"""),"Forklift Jungheinrich - Oil Transmission 80W 90 (L); Jungheinrich; -; 1 pc")</f>
        <v>Forklift Jungheinrich - Oil Transmission 80W 90 (L); Jungheinrich; -; 1 pc</v>
      </c>
      <c r="F4868" s="6">
        <f>IFERROR(__xludf.DUMMYFUNCTION("""COMPUTED_VALUE"""),5.0)</f>
        <v>5</v>
      </c>
      <c r="G4868" s="6" t="str">
        <f>IFERROR(__xludf.DUMMYFUNCTION("""COMPUTED_VALUE"""),"Set")</f>
        <v>Set</v>
      </c>
      <c r="H4868" s="6" t="str">
        <f>IFERROR(__xludf.DUMMYFUNCTION("""COMPUTED_VALUE"""),"IDR")</f>
        <v>IDR</v>
      </c>
      <c r="I4868" s="6">
        <f>IFERROR(__xludf.DUMMYFUNCTION("""COMPUTED_VALUE"""),110000.0)</f>
        <v>110000</v>
      </c>
      <c r="J4868" s="6">
        <f>IFERROR(__xludf.DUMMYFUNCTION("""COMPUTED_VALUE"""),550000.0)</f>
        <v>550000</v>
      </c>
      <c r="K4868" s="57">
        <f>IFERROR(__xludf.DUMMYFUNCTION("""COMPUTED_VALUE"""),46094.0)</f>
        <v>46094</v>
      </c>
      <c r="L4868" s="6" t="str">
        <f>IFERROR(__xludf.DUMMYFUNCTION("""COMPUTED_VALUE"""),"FIP Engineering")</f>
        <v>FIP Engineering</v>
      </c>
      <c r="M4868" s="6" t="str">
        <f>IFERROR(__xludf.DUMMYFUNCTION("""COMPUTED_VALUE"""),"Mochammad Fadhillah Hakim,")</f>
        <v>Mochammad Fadhillah Hakim,</v>
      </c>
      <c r="N4868" s="6" t="str">
        <f>IFERROR(__xludf.DUMMYFUNCTION("""COMPUTED_VALUE"""),"FIP Engineering")</f>
        <v>FIP Engineering</v>
      </c>
      <c r="O4868" s="6" t="str">
        <f>IFERROR(__xludf.DUMMYFUNCTION("""COMPUTED_VALUE"""),"FIP-DOM-000-11304-OS00001-INA-000000")</f>
        <v>FIP-DOM-000-11304-OS00001-INA-000000</v>
      </c>
      <c r="P4868" s="6" t="str">
        <f>IFERROR(__xludf.DUMMYFUNCTION("""COMPUTED_VALUE"""),"PO Closed")</f>
        <v>PO Closed</v>
      </c>
      <c r="Q4868" s="6" t="str">
        <f>IFERROR(__xludf.DUMMYFUNCTION("""COMPUTED_VALUE"""),"GL2603006")</f>
        <v>GL2603006</v>
      </c>
      <c r="R4868" s="57">
        <f>IFERROR(__xludf.DUMMYFUNCTION("""COMPUTED_VALUE"""),46065.0)</f>
        <v>46065</v>
      </c>
      <c r="S4868" s="57">
        <f>IFERROR(__xludf.DUMMYFUNCTION("""COMPUTED_VALUE"""),46066.0)</f>
        <v>46066</v>
      </c>
      <c r="T4868" s="57">
        <f>IFERROR(__xludf.DUMMYFUNCTION("""COMPUTED_VALUE"""),46108.0)</f>
        <v>46108</v>
      </c>
    </row>
    <row r="4869">
      <c r="A4869" s="6" t="str">
        <f>IFERROR(__xludf.DUMMYFUNCTION("""COMPUTED_VALUE"""),"121703868-1")</f>
        <v>121703868-1</v>
      </c>
      <c r="B4869" s="6" t="str">
        <f>IFERROR(__xludf.DUMMYFUNCTION("""COMPUTED_VALUE"""),"121703868 - APPROVED")</f>
        <v>121703868 - APPROVED</v>
      </c>
      <c r="C4869" s="6">
        <f>IFERROR(__xludf.DUMMYFUNCTION("""COMPUTED_VALUE"""),1.0)</f>
        <v>1</v>
      </c>
      <c r="D4869" s="6" t="str">
        <f>IFERROR(__xludf.DUMMYFUNCTION("""COMPUTED_VALUE"""),"O-51000-00")</f>
        <v>O-51000-00</v>
      </c>
      <c r="E4869" s="6" t="str">
        <f>IFERROR(__xludf.DUMMYFUNCTION("""COMPUTED_VALUE"""),"Colamark - Print Head; Domino; EPP001359 SP; 1 Pc")</f>
        <v>Colamark - Print Head; Domino; EPP001359 SP; 1 Pc</v>
      </c>
      <c r="F4869" s="6">
        <f>IFERROR(__xludf.DUMMYFUNCTION("""COMPUTED_VALUE"""),1.0)</f>
        <v>1</v>
      </c>
      <c r="G4869" s="6" t="str">
        <f>IFERROR(__xludf.DUMMYFUNCTION("""COMPUTED_VALUE"""),"Pieces")</f>
        <v>Pieces</v>
      </c>
      <c r="H4869" s="6" t="str">
        <f>IFERROR(__xludf.DUMMYFUNCTION("""COMPUTED_VALUE"""),"IDR")</f>
        <v>IDR</v>
      </c>
      <c r="I4869" s="6">
        <f>IFERROR(__xludf.DUMMYFUNCTION("""COMPUTED_VALUE"""),1.236E7)</f>
        <v>12360000</v>
      </c>
      <c r="J4869" s="6">
        <f>IFERROR(__xludf.DUMMYFUNCTION("""COMPUTED_VALUE"""),1.236E7)</f>
        <v>12360000</v>
      </c>
      <c r="K4869" s="57">
        <f>IFERROR(__xludf.DUMMYFUNCTION("""COMPUTED_VALUE"""),46094.0)</f>
        <v>46094</v>
      </c>
      <c r="L4869" s="6" t="str">
        <f>IFERROR(__xludf.DUMMYFUNCTION("""COMPUTED_VALUE"""),"FIP General")</f>
        <v>FIP General</v>
      </c>
      <c r="M4869" s="6" t="str">
        <f>IFERROR(__xludf.DUMMYFUNCTION("""COMPUTED_VALUE"""),"Mochammad Fadhillah Hakim,")</f>
        <v>Mochammad Fadhillah Hakim,</v>
      </c>
      <c r="N4869" s="6" t="str">
        <f>IFERROR(__xludf.DUMMYFUNCTION("""COMPUTED_VALUE"""),"FIP Engineering")</f>
        <v>FIP Engineering</v>
      </c>
      <c r="O4869" s="6" t="str">
        <f>IFERROR(__xludf.DUMMYFUNCTION("""COMPUTED_VALUE"""),"FIP-DOM-ENG-51504-0000000-INA-000000")</f>
        <v>FIP-DOM-ENG-51504-0000000-INA-000000</v>
      </c>
      <c r="P4869" s="6" t="str">
        <f>IFERROR(__xludf.DUMMYFUNCTION("""COMPUTED_VALUE"""),"PO Closed")</f>
        <v>PO Closed</v>
      </c>
      <c r="Q4869" s="6" t="str">
        <f>IFERROR(__xludf.DUMMYFUNCTION("""COMPUTED_VALUE"""),"GL2603438")</f>
        <v>GL2603438</v>
      </c>
      <c r="R4869" s="57">
        <f>IFERROR(__xludf.DUMMYFUNCTION("""COMPUTED_VALUE"""),46066.0)</f>
        <v>46066</v>
      </c>
      <c r="S4869" s="57">
        <f>IFERROR(__xludf.DUMMYFUNCTION("""COMPUTED_VALUE"""),46067.0)</f>
        <v>46067</v>
      </c>
      <c r="T4869" s="57">
        <f>IFERROR(__xludf.DUMMYFUNCTION("""COMPUTED_VALUE"""),46122.0)</f>
        <v>46122</v>
      </c>
    </row>
    <row r="4870">
      <c r="A4870" s="6" t="str">
        <f>IFERROR(__xludf.DUMMYFUNCTION("""COMPUTED_VALUE"""),"121703869-1")</f>
        <v>121703869-1</v>
      </c>
      <c r="B4870" s="6" t="str">
        <f>IFERROR(__xludf.DUMMYFUNCTION("""COMPUTED_VALUE"""),"121703869 - APPROVED")</f>
        <v>121703869 - APPROVED</v>
      </c>
      <c r="C4870" s="6">
        <f>IFERROR(__xludf.DUMMYFUNCTION("""COMPUTED_VALUE"""),1.0)</f>
        <v>1</v>
      </c>
      <c r="D4870" s="6" t="str">
        <f>IFERROR(__xludf.DUMMYFUNCTION("""COMPUTED_VALUE"""),"T-20858-00")</f>
        <v>T-20858-00</v>
      </c>
      <c r="E4870" s="6" t="str">
        <f>IFERROR(__xludf.DUMMYFUNCTION("""COMPUTED_VALUE"""),"Kit, e2695 Performance Maintenace; Waters; 201000313; 1")</f>
        <v>Kit, e2695 Performance Maintenace; Waters; 201000313; 1</v>
      </c>
      <c r="F4870" s="6">
        <f>IFERROR(__xludf.DUMMYFUNCTION("""COMPUTED_VALUE"""),2.0)</f>
        <v>2</v>
      </c>
      <c r="G4870" s="6" t="str">
        <f>IFERROR(__xludf.DUMMYFUNCTION("""COMPUTED_VALUE"""),"Pack")</f>
        <v>Pack</v>
      </c>
      <c r="H4870" s="6" t="str">
        <f>IFERROR(__xludf.DUMMYFUNCTION("""COMPUTED_VALUE"""),"IDR")</f>
        <v>IDR</v>
      </c>
      <c r="I4870" s="6">
        <f>IFERROR(__xludf.DUMMYFUNCTION("""COMPUTED_VALUE"""),3.7684375E7)</f>
        <v>37684375</v>
      </c>
      <c r="J4870" s="6">
        <f>IFERROR(__xludf.DUMMYFUNCTION("""COMPUTED_VALUE"""),7.536875E7)</f>
        <v>75368750</v>
      </c>
      <c r="K4870" s="57">
        <f>IFERROR(__xludf.DUMMYFUNCTION("""COMPUTED_VALUE"""),46101.0)</f>
        <v>46101</v>
      </c>
      <c r="L4870" s="6" t="str">
        <f>IFERROR(__xludf.DUMMYFUNCTION("""COMPUTED_VALUE"""),"FIP General")</f>
        <v>FIP General</v>
      </c>
      <c r="M4870" s="6" t="str">
        <f>IFERROR(__xludf.DUMMYFUNCTION("""COMPUTED_VALUE"""),"Mochammad Fadhillah Hakim,")</f>
        <v>Mochammad Fadhillah Hakim,</v>
      </c>
      <c r="N4870" s="6" t="str">
        <f>IFERROR(__xludf.DUMMYFUNCTION("""COMPUTED_VALUE"""),"FIP Engineering")</f>
        <v>FIP Engineering</v>
      </c>
      <c r="O4870" s="6" t="str">
        <f>IFERROR(__xludf.DUMMYFUNCTION("""COMPUTED_VALUE"""),"FIP-DOM-ENG-51505-0000000-INA-000000")</f>
        <v>FIP-DOM-ENG-51505-0000000-INA-000000</v>
      </c>
      <c r="P4870" s="6" t="str">
        <f>IFERROR(__xludf.DUMMYFUNCTION("""COMPUTED_VALUE"""),"PO Closed")</f>
        <v>PO Closed</v>
      </c>
      <c r="Q4870" s="6" t="str">
        <f>IFERROR(__xludf.DUMMYFUNCTION("""COMPUTED_VALUE"""),"GL2602404")</f>
        <v>GL2602404</v>
      </c>
      <c r="R4870" s="57">
        <f>IFERROR(__xludf.DUMMYFUNCTION("""COMPUTED_VALUE"""),46069.0)</f>
        <v>46069</v>
      </c>
      <c r="S4870" s="57">
        <f>IFERROR(__xludf.DUMMYFUNCTION("""COMPUTED_VALUE"""),46071.0)</f>
        <v>46071</v>
      </c>
      <c r="T4870" s="57">
        <f>IFERROR(__xludf.DUMMYFUNCTION("""COMPUTED_VALUE"""),46122.0)</f>
        <v>46122</v>
      </c>
    </row>
    <row r="4871">
      <c r="A4871" s="6" t="str">
        <f>IFERROR(__xludf.DUMMYFUNCTION("""COMPUTED_VALUE"""),"121703872-1")</f>
        <v>121703872-1</v>
      </c>
      <c r="B4871" s="6" t="str">
        <f>IFERROR(__xludf.DUMMYFUNCTION("""COMPUTED_VALUE"""),"121703872 - APPROVED")</f>
        <v>121703872 - APPROVED</v>
      </c>
      <c r="C4871" s="6">
        <f>IFERROR(__xludf.DUMMYFUNCTION("""COMPUTED_VALUE"""),1.0)</f>
        <v>1</v>
      </c>
      <c r="D4871" s="6" t="str">
        <f>IFERROR(__xludf.DUMMYFUNCTION("""COMPUTED_VALUE"""),"P-52928-00")</f>
        <v>P-52928-00</v>
      </c>
      <c r="E4871" s="6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F4871" s="6">
        <f>IFERROR(__xludf.DUMMYFUNCTION("""COMPUTED_VALUE"""),2.0)</f>
        <v>2</v>
      </c>
      <c r="G4871" s="6" t="str">
        <f>IFERROR(__xludf.DUMMYFUNCTION("""COMPUTED_VALUE"""),"Unit")</f>
        <v>Unit</v>
      </c>
      <c r="H4871" s="6" t="str">
        <f>IFERROR(__xludf.DUMMYFUNCTION("""COMPUTED_VALUE"""),"IDR")</f>
        <v>IDR</v>
      </c>
      <c r="I4871" s="6">
        <f>IFERROR(__xludf.DUMMYFUNCTION("""COMPUTED_VALUE"""),750000.0)</f>
        <v>750000</v>
      </c>
      <c r="J4871" s="6">
        <f>IFERROR(__xludf.DUMMYFUNCTION("""COMPUTED_VALUE"""),1500000.0)</f>
        <v>1500000</v>
      </c>
      <c r="K4871" s="57">
        <f>IFERROR(__xludf.DUMMYFUNCTION("""COMPUTED_VALUE"""),46101.0)</f>
        <v>46101</v>
      </c>
      <c r="L4871" s="6" t="str">
        <f>IFERROR(__xludf.DUMMYFUNCTION("""COMPUTED_VALUE"""),"FIP General")</f>
        <v>FIP General</v>
      </c>
      <c r="M4871" s="6" t="str">
        <f>IFERROR(__xludf.DUMMYFUNCTION("""COMPUTED_VALUE"""),"Mochammad Fadhillah Hakim,")</f>
        <v>Mochammad Fadhillah Hakim,</v>
      </c>
      <c r="N4871" s="6" t="str">
        <f>IFERROR(__xludf.DUMMYFUNCTION("""COMPUTED_VALUE"""),"FIP Engineering")</f>
        <v>FIP Engineering</v>
      </c>
      <c r="O4871" s="6" t="str">
        <f>IFERROR(__xludf.DUMMYFUNCTION("""COMPUTED_VALUE"""),"FIP-DOM-ENG-51404-0000000-INA-000000")</f>
        <v>FIP-DOM-ENG-51404-0000000-INA-000000</v>
      </c>
      <c r="P4871" s="6" t="str">
        <f>IFERROR(__xludf.DUMMYFUNCTION("""COMPUTED_VALUE"""),"PO Closed")</f>
        <v>PO Closed</v>
      </c>
      <c r="Q4871" s="6" t="str">
        <f>IFERROR(__xludf.DUMMYFUNCTION("""COMPUTED_VALUE"""),"GL2603451")</f>
        <v>GL2603451</v>
      </c>
      <c r="R4871" s="57">
        <f>IFERROR(__xludf.DUMMYFUNCTION("""COMPUTED_VALUE"""),46069.0)</f>
        <v>46069</v>
      </c>
      <c r="S4871" s="57">
        <f>IFERROR(__xludf.DUMMYFUNCTION("""COMPUTED_VALUE"""),46072.0)</f>
        <v>46072</v>
      </c>
      <c r="T4871" s="57">
        <f>IFERROR(__xludf.DUMMYFUNCTION("""COMPUTED_VALUE"""),46115.0)</f>
        <v>46115</v>
      </c>
    </row>
    <row r="4872">
      <c r="A4872" s="6" t="str">
        <f>IFERROR(__xludf.DUMMYFUNCTION("""COMPUTED_VALUE"""),"121703873-1")</f>
        <v>121703873-1</v>
      </c>
      <c r="B4872" s="6" t="str">
        <f>IFERROR(__xludf.DUMMYFUNCTION("""COMPUTED_VALUE"""),"121703873 - APPROVED")</f>
        <v>121703873 - APPROVED</v>
      </c>
      <c r="C4872" s="6">
        <f>IFERROR(__xludf.DUMMYFUNCTION("""COMPUTED_VALUE"""),1.0)</f>
        <v>1</v>
      </c>
      <c r="D4872" s="6" t="str">
        <f>IFERROR(__xludf.DUMMYFUNCTION("""COMPUTED_VALUE"""),"O-16032-00")</f>
        <v>O-16032-00</v>
      </c>
      <c r="E4872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F4872" s="6">
        <f>IFERROR(__xludf.DUMMYFUNCTION("""COMPUTED_VALUE"""),20.0)</f>
        <v>20</v>
      </c>
      <c r="G4872" s="6" t="str">
        <f>IFERROR(__xludf.DUMMYFUNCTION("""COMPUTED_VALUE"""),"Unit")</f>
        <v>Unit</v>
      </c>
      <c r="H4872" s="6" t="str">
        <f>IFERROR(__xludf.DUMMYFUNCTION("""COMPUTED_VALUE"""),"IDR")</f>
        <v>IDR</v>
      </c>
      <c r="I4872" s="6">
        <f>IFERROR(__xludf.DUMMYFUNCTION("""COMPUTED_VALUE"""),3009767.0)</f>
        <v>3009767</v>
      </c>
      <c r="J4872" s="6">
        <f>IFERROR(__xludf.DUMMYFUNCTION("""COMPUTED_VALUE"""),6.019534E7)</f>
        <v>60195340</v>
      </c>
      <c r="K4872" s="57">
        <f>IFERROR(__xludf.DUMMYFUNCTION("""COMPUTED_VALUE"""),46101.0)</f>
        <v>46101</v>
      </c>
      <c r="L4872" s="6" t="str">
        <f>IFERROR(__xludf.DUMMYFUNCTION("""COMPUTED_VALUE"""),"FIP Engineering")</f>
        <v>FIP Engineering</v>
      </c>
      <c r="M4872" s="6" t="str">
        <f>IFERROR(__xludf.DUMMYFUNCTION("""COMPUTED_VALUE"""),"Mochammad Fadhillah Hakim,")</f>
        <v>Mochammad Fadhillah Hakim,</v>
      </c>
      <c r="N4872" s="6" t="str">
        <f>IFERROR(__xludf.DUMMYFUNCTION("""COMPUTED_VALUE"""),"FIP Engineering")</f>
        <v>FIP Engineering</v>
      </c>
      <c r="O4872" s="6" t="str">
        <f>IFERROR(__xludf.DUMMYFUNCTION("""COMPUTED_VALUE"""),"FIP-DOM-000-11304-OS00001-INA-000000")</f>
        <v>FIP-DOM-000-11304-OS00001-INA-000000</v>
      </c>
      <c r="P4872" s="6" t="str">
        <f>IFERROR(__xludf.DUMMYFUNCTION("""COMPUTED_VALUE"""),"PO Closed")</f>
        <v>PO Closed</v>
      </c>
      <c r="Q4872" s="6" t="str">
        <f>IFERROR(__xludf.DUMMYFUNCTION("""COMPUTED_VALUE"""),"GL2601346")</f>
        <v>GL2601346</v>
      </c>
      <c r="R4872" s="57">
        <f>IFERROR(__xludf.DUMMYFUNCTION("""COMPUTED_VALUE"""),46069.0)</f>
        <v>46069</v>
      </c>
      <c r="S4872" s="57">
        <f>IFERROR(__xludf.DUMMYFUNCTION("""COMPUTED_VALUE"""),46072.0)</f>
        <v>46072</v>
      </c>
      <c r="T4872" s="57">
        <f>IFERROR(__xludf.DUMMYFUNCTION("""COMPUTED_VALUE"""),46288.0)</f>
        <v>46288</v>
      </c>
    </row>
    <row r="4873">
      <c r="A4873" s="6" t="str">
        <f>IFERROR(__xludf.DUMMYFUNCTION("""COMPUTED_VALUE"""),"121703874-1")</f>
        <v>121703874-1</v>
      </c>
      <c r="B4873" s="6" t="str">
        <f>IFERROR(__xludf.DUMMYFUNCTION("""COMPUTED_VALUE"""),"121703874 - APPROVED")</f>
        <v>121703874 - APPROVED</v>
      </c>
      <c r="C4873" s="6">
        <f>IFERROR(__xludf.DUMMYFUNCTION("""COMPUTED_VALUE"""),1.0)</f>
        <v>1</v>
      </c>
      <c r="D4873" s="6" t="str">
        <f>IFERROR(__xludf.DUMMYFUNCTION("""COMPUTED_VALUE"""),"S-60002-00")</f>
        <v>S-60002-00</v>
      </c>
      <c r="E4873" s="6" t="str">
        <f>IFERROR(__xludf.DUMMYFUNCTION("""COMPUTED_VALUE"""),"Jasa Perbaikan dan Pemeliharaan Mesin Utility - jasa power meter")</f>
        <v>Jasa Perbaikan dan Pemeliharaan Mesin Utility - jasa power meter</v>
      </c>
      <c r="F4873" s="6">
        <f>IFERROR(__xludf.DUMMYFUNCTION("""COMPUTED_VALUE"""),1.0)</f>
        <v>1</v>
      </c>
      <c r="G4873" s="6" t="str">
        <f>IFERROR(__xludf.DUMMYFUNCTION("""COMPUTED_VALUE"""),"Lot")</f>
        <v>Lot</v>
      </c>
      <c r="H4873" s="6" t="str">
        <f>IFERROR(__xludf.DUMMYFUNCTION("""COMPUTED_VALUE"""),"IDR")</f>
        <v>IDR</v>
      </c>
      <c r="I4873" s="6">
        <f>IFERROR(__xludf.DUMMYFUNCTION("""COMPUTED_VALUE"""),7273200.0)</f>
        <v>7273200</v>
      </c>
      <c r="J4873" s="6">
        <f>IFERROR(__xludf.DUMMYFUNCTION("""COMPUTED_VALUE"""),7273200.0)</f>
        <v>7273200</v>
      </c>
      <c r="K4873" s="57">
        <f>IFERROR(__xludf.DUMMYFUNCTION("""COMPUTED_VALUE"""),46101.0)</f>
        <v>46101</v>
      </c>
      <c r="L4873" s="6" t="str">
        <f>IFERROR(__xludf.DUMMYFUNCTION("""COMPUTED_VALUE"""),"FIP General")</f>
        <v>FIP General</v>
      </c>
      <c r="M4873" s="6" t="str">
        <f>IFERROR(__xludf.DUMMYFUNCTION("""COMPUTED_VALUE"""),"Mochammad Fadhillah Hakim,")</f>
        <v>Mochammad Fadhillah Hakim,</v>
      </c>
      <c r="N4873" s="6" t="str">
        <f>IFERROR(__xludf.DUMMYFUNCTION("""COMPUTED_VALUE"""),"FIP Engineering")</f>
        <v>FIP Engineering</v>
      </c>
      <c r="O4873" s="6" t="str">
        <f>IFERROR(__xludf.DUMMYFUNCTION("""COMPUTED_VALUE"""),"FIP-DOM-ENG-51508-0000000-INA-000000")</f>
        <v>FIP-DOM-ENG-51508-0000000-INA-000000</v>
      </c>
      <c r="P4873" s="6" t="str">
        <f>IFERROR(__xludf.DUMMYFUNCTION("""COMPUTED_VALUE"""),"PO Closed")</f>
        <v>PO Closed</v>
      </c>
      <c r="Q4873" s="6"/>
      <c r="R4873" s="57">
        <f>IFERROR(__xludf.DUMMYFUNCTION("""COMPUTED_VALUE"""),46069.0)</f>
        <v>46069</v>
      </c>
      <c r="S4873" s="57">
        <f>IFERROR(__xludf.DUMMYFUNCTION("""COMPUTED_VALUE"""),46071.0)</f>
        <v>46071</v>
      </c>
      <c r="T4873" s="6"/>
    </row>
    <row r="4874">
      <c r="A4874" s="6" t="str">
        <f>IFERROR(__xludf.DUMMYFUNCTION("""COMPUTED_VALUE"""),"121703875-1")</f>
        <v>121703875-1</v>
      </c>
      <c r="B4874" s="6" t="str">
        <f>IFERROR(__xludf.DUMMYFUNCTION("""COMPUTED_VALUE"""),"121703875 - APPROVED")</f>
        <v>121703875 - APPROVED</v>
      </c>
      <c r="C4874" s="6">
        <f>IFERROR(__xludf.DUMMYFUNCTION("""COMPUTED_VALUE"""),1.0)</f>
        <v>1</v>
      </c>
      <c r="D4874" s="6" t="str">
        <f>IFERROR(__xludf.DUMMYFUNCTION("""COMPUTED_VALUE"""),"P-50288-00")</f>
        <v>P-50288-00</v>
      </c>
      <c r="E4874" s="6" t="str">
        <f>IFERROR(__xludf.DUMMYFUNCTION("""COMPUTED_VALUE"""),"General - Lampu Halogen 20 W; Osram; -; 1 unt")</f>
        <v>General - Lampu Halogen 20 W; Osram; -; 1 unt</v>
      </c>
      <c r="F4874" s="6">
        <f>IFERROR(__xludf.DUMMYFUNCTION("""COMPUTED_VALUE"""),4.0)</f>
        <v>4</v>
      </c>
      <c r="G4874" s="6" t="str">
        <f>IFERROR(__xludf.DUMMYFUNCTION("""COMPUTED_VALUE"""),"Pieces")</f>
        <v>Pieces</v>
      </c>
      <c r="H4874" s="6" t="str">
        <f>IFERROR(__xludf.DUMMYFUNCTION("""COMPUTED_VALUE"""),"IDR")</f>
        <v>IDR</v>
      </c>
      <c r="I4874" s="6">
        <f>IFERROR(__xludf.DUMMYFUNCTION("""COMPUTED_VALUE"""),70000.0)</f>
        <v>70000</v>
      </c>
      <c r="J4874" s="6">
        <f>IFERROR(__xludf.DUMMYFUNCTION("""COMPUTED_VALUE"""),280000.0)</f>
        <v>280000</v>
      </c>
      <c r="K4874" s="57">
        <f>IFERROR(__xludf.DUMMYFUNCTION("""COMPUTED_VALUE"""),46101.0)</f>
        <v>46101</v>
      </c>
      <c r="L4874" s="6" t="str">
        <f>IFERROR(__xludf.DUMMYFUNCTION("""COMPUTED_VALUE"""),"FIP Engineering")</f>
        <v>FIP Engineering</v>
      </c>
      <c r="M4874" s="6" t="str">
        <f>IFERROR(__xludf.DUMMYFUNCTION("""COMPUTED_VALUE"""),"Mochammad Fadhillah Hakim,")</f>
        <v>Mochammad Fadhillah Hakim,</v>
      </c>
      <c r="N4874" s="6" t="str">
        <f>IFERROR(__xludf.DUMMYFUNCTION("""COMPUTED_VALUE"""),"FIP Engineering")</f>
        <v>FIP Engineering</v>
      </c>
      <c r="O4874" s="6" t="str">
        <f>IFERROR(__xludf.DUMMYFUNCTION("""COMPUTED_VALUE"""),"FIP-DOM-000-11304-OS00001-INA-000000")</f>
        <v>FIP-DOM-000-11304-OS00001-INA-000000</v>
      </c>
      <c r="P4874" s="6" t="str">
        <f>IFERROR(__xludf.DUMMYFUNCTION("""COMPUTED_VALUE"""),"PO Closed")</f>
        <v>PO Closed</v>
      </c>
      <c r="Q4874" s="6" t="str">
        <f>IFERROR(__xludf.DUMMYFUNCTION("""COMPUTED_VALUE"""),"GL2603430")</f>
        <v>GL2603430</v>
      </c>
      <c r="R4874" s="57">
        <f>IFERROR(__xludf.DUMMYFUNCTION("""COMPUTED_VALUE"""),46069.0)</f>
        <v>46069</v>
      </c>
      <c r="S4874" s="57">
        <f>IFERROR(__xludf.DUMMYFUNCTION("""COMPUTED_VALUE"""),46071.0)</f>
        <v>46071</v>
      </c>
      <c r="T4874" s="57">
        <f>IFERROR(__xludf.DUMMYFUNCTION("""COMPUTED_VALUE"""),46101.0)</f>
        <v>46101</v>
      </c>
    </row>
    <row r="4875">
      <c r="A4875" s="6" t="str">
        <f>IFERROR(__xludf.DUMMYFUNCTION("""COMPUTED_VALUE"""),"121703876-1")</f>
        <v>121703876-1</v>
      </c>
      <c r="B4875" s="6" t="str">
        <f>IFERROR(__xludf.DUMMYFUNCTION("""COMPUTED_VALUE"""),"121703876 - APPROVED")</f>
        <v>121703876 - APPROVED</v>
      </c>
      <c r="C4875" s="6">
        <f>IFERROR(__xludf.DUMMYFUNCTION("""COMPUTED_VALUE"""),1.0)</f>
        <v>1</v>
      </c>
      <c r="D4875" s="6" t="str">
        <f>IFERROR(__xludf.DUMMYFUNCTION("""COMPUTED_VALUE"""),"O-53568-00")</f>
        <v>O-53568-00</v>
      </c>
      <c r="E4875" s="6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F4875" s="6">
        <f>IFERROR(__xludf.DUMMYFUNCTION("""COMPUTED_VALUE"""),6.0)</f>
        <v>6</v>
      </c>
      <c r="G4875" s="6" t="str">
        <f>IFERROR(__xludf.DUMMYFUNCTION("""COMPUTED_VALUE"""),"Pieces")</f>
        <v>Pieces</v>
      </c>
      <c r="H4875" s="6" t="str">
        <f>IFERROR(__xludf.DUMMYFUNCTION("""COMPUTED_VALUE"""),"IDR")</f>
        <v>IDR</v>
      </c>
      <c r="I4875" s="6">
        <f>IFERROR(__xludf.DUMMYFUNCTION("""COMPUTED_VALUE"""),3880800.0)</f>
        <v>3880800</v>
      </c>
      <c r="J4875" s="6">
        <f>IFERROR(__xludf.DUMMYFUNCTION("""COMPUTED_VALUE"""),2.32848E7)</f>
        <v>23284800</v>
      </c>
      <c r="K4875" s="57">
        <f>IFERROR(__xludf.DUMMYFUNCTION("""COMPUTED_VALUE"""),46101.0)</f>
        <v>46101</v>
      </c>
      <c r="L4875" s="6" t="str">
        <f>IFERROR(__xludf.DUMMYFUNCTION("""COMPUTED_VALUE"""),"FIP Engineering")</f>
        <v>FIP Engineering</v>
      </c>
      <c r="M4875" s="6" t="str">
        <f>IFERROR(__xludf.DUMMYFUNCTION("""COMPUTED_VALUE"""),"Mochammad Fadhillah Hakim,")</f>
        <v>Mochammad Fadhillah Hakim,</v>
      </c>
      <c r="N4875" s="6" t="str">
        <f>IFERROR(__xludf.DUMMYFUNCTION("""COMPUTED_VALUE"""),"FIP Engineering")</f>
        <v>FIP Engineering</v>
      </c>
      <c r="O4875" s="6" t="str">
        <f>IFERROR(__xludf.DUMMYFUNCTION("""COMPUTED_VALUE"""),"FIP-DOM-000-11304-OS00001-INA-000000")</f>
        <v>FIP-DOM-000-11304-OS00001-INA-000000</v>
      </c>
      <c r="P4875" s="6" t="str">
        <f>IFERROR(__xludf.DUMMYFUNCTION("""COMPUTED_VALUE"""),"PO Closed")</f>
        <v>PO Closed</v>
      </c>
      <c r="Q4875" s="6" t="str">
        <f>IFERROR(__xludf.DUMMYFUNCTION("""COMPUTED_VALUE"""),"GL2603010")</f>
        <v>GL2603010</v>
      </c>
      <c r="R4875" s="57">
        <f>IFERROR(__xludf.DUMMYFUNCTION("""COMPUTED_VALUE"""),46069.0)</f>
        <v>46069</v>
      </c>
      <c r="S4875" s="57">
        <f>IFERROR(__xludf.DUMMYFUNCTION("""COMPUTED_VALUE"""),46072.0)</f>
        <v>46072</v>
      </c>
      <c r="T4875" s="57">
        <f>IFERROR(__xludf.DUMMYFUNCTION("""COMPUTED_VALUE"""),46162.0)</f>
        <v>46162</v>
      </c>
    </row>
    <row r="4876">
      <c r="A4876" s="6" t="str">
        <f>IFERROR(__xludf.DUMMYFUNCTION("""COMPUTED_VALUE"""),"121703878-1")</f>
        <v>121703878-1</v>
      </c>
      <c r="B4876" s="6" t="str">
        <f>IFERROR(__xludf.DUMMYFUNCTION("""COMPUTED_VALUE"""),"121703878 - APPROVED")</f>
        <v>121703878 - APPROVED</v>
      </c>
      <c r="C4876" s="6">
        <f>IFERROR(__xludf.DUMMYFUNCTION("""COMPUTED_VALUE"""),1.0)</f>
        <v>1</v>
      </c>
      <c r="D4876" s="6" t="str">
        <f>IFERROR(__xludf.DUMMYFUNCTION("""COMPUTED_VALUE"""),"T-20177-00")</f>
        <v>T-20177-00</v>
      </c>
      <c r="E4876" s="6" t="str">
        <f>IFERROR(__xludf.DUMMYFUNCTION("""COMPUTED_VALUE"""),"2690/95 PERFORMANCE MAINTENANCE KIT., Waters, Part No. WAT270944")</f>
        <v>2690/95 PERFORMANCE MAINTENANCE KIT., Waters, Part No. WAT270944</v>
      </c>
      <c r="F4876" s="6">
        <f>IFERROR(__xludf.DUMMYFUNCTION("""COMPUTED_VALUE"""),2.0)</f>
        <v>2</v>
      </c>
      <c r="G4876" s="6" t="str">
        <f>IFERROR(__xludf.DUMMYFUNCTION("""COMPUTED_VALUE"""),"Pieces")</f>
        <v>Pieces</v>
      </c>
      <c r="H4876" s="6" t="str">
        <f>IFERROR(__xludf.DUMMYFUNCTION("""COMPUTED_VALUE"""),"IDR")</f>
        <v>IDR</v>
      </c>
      <c r="I4876" s="6">
        <f>IFERROR(__xludf.DUMMYFUNCTION("""COMPUTED_VALUE"""),2.3986006E7)</f>
        <v>23986006</v>
      </c>
      <c r="J4876" s="6">
        <f>IFERROR(__xludf.DUMMYFUNCTION("""COMPUTED_VALUE"""),4.7972012E7)</f>
        <v>47972012</v>
      </c>
      <c r="K4876" s="57">
        <f>IFERROR(__xludf.DUMMYFUNCTION("""COMPUTED_VALUE"""),46101.0)</f>
        <v>46101</v>
      </c>
      <c r="L4876" s="6" t="str">
        <f>IFERROR(__xludf.DUMMYFUNCTION("""COMPUTED_VALUE"""),"FIP General")</f>
        <v>FIP General</v>
      </c>
      <c r="M4876" s="6" t="str">
        <f>IFERROR(__xludf.DUMMYFUNCTION("""COMPUTED_VALUE"""),"Mochammad Fadhillah Hakim,")</f>
        <v>Mochammad Fadhillah Hakim,</v>
      </c>
      <c r="N4876" s="6" t="str">
        <f>IFERROR(__xludf.DUMMYFUNCTION("""COMPUTED_VALUE"""),"FIP Engineering")</f>
        <v>FIP Engineering</v>
      </c>
      <c r="O4876" s="6" t="str">
        <f>IFERROR(__xludf.DUMMYFUNCTION("""COMPUTED_VALUE"""),"FIP-DOM-ENG-51505-0000000-INA-000000")</f>
        <v>FIP-DOM-ENG-51505-0000000-INA-000000</v>
      </c>
      <c r="P4876" s="6" t="str">
        <f>IFERROR(__xludf.DUMMYFUNCTION("""COMPUTED_VALUE"""),"PO Closed")</f>
        <v>PO Closed</v>
      </c>
      <c r="Q4876" s="6" t="str">
        <f>IFERROR(__xludf.DUMMYFUNCTION("""COMPUTED_VALUE"""),"GL2602404")</f>
        <v>GL2602404</v>
      </c>
      <c r="R4876" s="57">
        <f>IFERROR(__xludf.DUMMYFUNCTION("""COMPUTED_VALUE"""),46071.0)</f>
        <v>46071</v>
      </c>
      <c r="S4876" s="57">
        <f>IFERROR(__xludf.DUMMYFUNCTION("""COMPUTED_VALUE"""),46073.0)</f>
        <v>46073</v>
      </c>
      <c r="T4876" s="57">
        <f>IFERROR(__xludf.DUMMYFUNCTION("""COMPUTED_VALUE"""),46122.0)</f>
        <v>46122</v>
      </c>
    </row>
    <row r="4877">
      <c r="A4877" s="6" t="str">
        <f>IFERROR(__xludf.DUMMYFUNCTION("""COMPUTED_VALUE"""),"121703881-1")</f>
        <v>121703881-1</v>
      </c>
      <c r="B4877" s="6" t="str">
        <f>IFERROR(__xludf.DUMMYFUNCTION("""COMPUTED_VALUE"""),"121703881 - APPROVED")</f>
        <v>121703881 - APPROVED</v>
      </c>
      <c r="C4877" s="6">
        <f>IFERROR(__xludf.DUMMYFUNCTION("""COMPUTED_VALUE"""),1.0)</f>
        <v>1</v>
      </c>
      <c r="D4877" s="6" t="str">
        <f>IFERROR(__xludf.DUMMYFUNCTION("""COMPUTED_VALUE"""),"Q-60117-00")</f>
        <v>Q-60117-00</v>
      </c>
      <c r="E4877" s="6" t="str">
        <f>IFERROR(__xludf.DUMMYFUNCTION("""COMPUTED_VALUE"""),"Cat Epoxy PU-Crete Flowfresh MF Type Light Grey; Flowcrete; ; 20 kg/set")</f>
        <v>Cat Epoxy PU-Crete Flowfresh MF Type Light Grey; Flowcrete; ; 20 kg/set</v>
      </c>
      <c r="F4877" s="6">
        <f>IFERROR(__xludf.DUMMYFUNCTION("""COMPUTED_VALUE"""),2.0)</f>
        <v>2</v>
      </c>
      <c r="G4877" s="6" t="str">
        <f>IFERROR(__xludf.DUMMYFUNCTION("""COMPUTED_VALUE"""),"Set")</f>
        <v>Set</v>
      </c>
      <c r="H4877" s="6" t="str">
        <f>IFERROR(__xludf.DUMMYFUNCTION("""COMPUTED_VALUE"""),"IDR")</f>
        <v>IDR</v>
      </c>
      <c r="I4877" s="6">
        <f>IFERROR(__xludf.DUMMYFUNCTION("""COMPUTED_VALUE"""),1350000.0)</f>
        <v>1350000</v>
      </c>
      <c r="J4877" s="6">
        <f>IFERROR(__xludf.DUMMYFUNCTION("""COMPUTED_VALUE"""),2700000.0)</f>
        <v>2700000</v>
      </c>
      <c r="K4877" s="57">
        <f>IFERROR(__xludf.DUMMYFUNCTION("""COMPUTED_VALUE"""),46101.0)</f>
        <v>46101</v>
      </c>
      <c r="L4877" s="6" t="str">
        <f>IFERROR(__xludf.DUMMYFUNCTION("""COMPUTED_VALUE"""),"FIP General")</f>
        <v>FIP General</v>
      </c>
      <c r="M4877" s="6" t="str">
        <f>IFERROR(__xludf.DUMMYFUNCTION("""COMPUTED_VALUE"""),"Mochammad Fadhillah Hakim,")</f>
        <v>Mochammad Fadhillah Hakim,</v>
      </c>
      <c r="N4877" s="6" t="str">
        <f>IFERROR(__xludf.DUMMYFUNCTION("""COMPUTED_VALUE"""),"FIP Engineering")</f>
        <v>FIP Engineering</v>
      </c>
      <c r="O4877" s="6" t="str">
        <f>IFERROR(__xludf.DUMMYFUNCTION("""COMPUTED_VALUE"""),"FIP-DOM-ENG-51502-0000000-INA-000000")</f>
        <v>FIP-DOM-ENG-51502-0000000-INA-000000</v>
      </c>
      <c r="P4877" s="6" t="str">
        <f>IFERROR(__xludf.DUMMYFUNCTION("""COMPUTED_VALUE"""),"PO Closed")</f>
        <v>PO Closed</v>
      </c>
      <c r="Q4877" s="6" t="str">
        <f>IFERROR(__xludf.DUMMYFUNCTION("""COMPUTED_VALUE"""),"GL2603053")</f>
        <v>GL2603053</v>
      </c>
      <c r="R4877" s="57">
        <f>IFERROR(__xludf.DUMMYFUNCTION("""COMPUTED_VALUE"""),46072.0)</f>
        <v>46072</v>
      </c>
      <c r="S4877" s="57">
        <f>IFERROR(__xludf.DUMMYFUNCTION("""COMPUTED_VALUE"""),46073.0)</f>
        <v>46073</v>
      </c>
      <c r="T4877" s="57">
        <f>IFERROR(__xludf.DUMMYFUNCTION("""COMPUTED_VALUE"""),46101.0)</f>
        <v>46101</v>
      </c>
    </row>
    <row r="4878">
      <c r="A4878" s="6" t="str">
        <f>IFERROR(__xludf.DUMMYFUNCTION("""COMPUTED_VALUE"""),"121703883-1")</f>
        <v>121703883-1</v>
      </c>
      <c r="B4878" s="6" t="str">
        <f>IFERROR(__xludf.DUMMYFUNCTION("""COMPUTED_VALUE"""),"121703883 - APPROVED")</f>
        <v>121703883 - APPROVED</v>
      </c>
      <c r="C4878" s="6">
        <f>IFERROR(__xludf.DUMMYFUNCTION("""COMPUTED_VALUE"""),1.0)</f>
        <v>1</v>
      </c>
      <c r="D4878" s="6" t="str">
        <f>IFERROR(__xludf.DUMMYFUNCTION("""COMPUTED_VALUE"""),"O-17399-00")</f>
        <v>O-17399-00</v>
      </c>
      <c r="E4878" s="6" t="str">
        <f>IFERROR(__xludf.DUMMYFUNCTION("""COMPUTED_VALUE"""),"Autoclave Fedegari FOF / 6 AC - O-RING21.82x3.53 ; p/n CC150010; ; ;")</f>
        <v>Autoclave Fedegari FOF / 6 AC - O-RING21.82x3.53 ; p/n CC150010; ; ;</v>
      </c>
      <c r="F4878" s="6">
        <f>IFERROR(__xludf.DUMMYFUNCTION("""COMPUTED_VALUE"""),20.0)</f>
        <v>20</v>
      </c>
      <c r="G4878" s="6" t="str">
        <f>IFERROR(__xludf.DUMMYFUNCTION("""COMPUTED_VALUE"""),"Pieces")</f>
        <v>Pieces</v>
      </c>
      <c r="H4878" s="6" t="str">
        <f>IFERROR(__xludf.DUMMYFUNCTION("""COMPUTED_VALUE"""),"IDR")</f>
        <v>IDR</v>
      </c>
      <c r="I4878" s="6">
        <f>IFERROR(__xludf.DUMMYFUNCTION("""COMPUTED_VALUE"""),50000.0)</f>
        <v>50000</v>
      </c>
      <c r="J4878" s="6">
        <f>IFERROR(__xludf.DUMMYFUNCTION("""COMPUTED_VALUE"""),1000000.0)</f>
        <v>1000000</v>
      </c>
      <c r="K4878" s="57">
        <f>IFERROR(__xludf.DUMMYFUNCTION("""COMPUTED_VALUE"""),46136.0)</f>
        <v>46136</v>
      </c>
      <c r="L4878" s="6" t="str">
        <f>IFERROR(__xludf.DUMMYFUNCTION("""COMPUTED_VALUE"""),"FIP Engineering")</f>
        <v>FIP Engineering</v>
      </c>
      <c r="M4878" s="6" t="str">
        <f>IFERROR(__xludf.DUMMYFUNCTION("""COMPUTED_VALUE"""),"Mochammad Fadhillah Hakim,")</f>
        <v>Mochammad Fadhillah Hakim,</v>
      </c>
      <c r="N4878" s="6" t="str">
        <f>IFERROR(__xludf.DUMMYFUNCTION("""COMPUTED_VALUE"""),"FIP Engineering")</f>
        <v>FIP Engineering</v>
      </c>
      <c r="O4878" s="6" t="str">
        <f>IFERROR(__xludf.DUMMYFUNCTION("""COMPUTED_VALUE"""),"FIP-DOM-000-11304-OS00001-INA-000000")</f>
        <v>FIP-DOM-000-11304-OS00001-INA-000000</v>
      </c>
      <c r="P4878" s="6" t="str">
        <f>IFERROR(__xludf.DUMMYFUNCTION("""COMPUTED_VALUE"""),"PO Closed")</f>
        <v>PO Closed</v>
      </c>
      <c r="Q4878" s="6" t="str">
        <f>IFERROR(__xludf.DUMMYFUNCTION("""COMPUTED_VALUE"""),"GL2603453")</f>
        <v>GL2603453</v>
      </c>
      <c r="R4878" s="57">
        <f>IFERROR(__xludf.DUMMYFUNCTION("""COMPUTED_VALUE"""),46073.0)</f>
        <v>46073</v>
      </c>
      <c r="S4878" s="57">
        <f>IFERROR(__xludf.DUMMYFUNCTION("""COMPUTED_VALUE"""),46073.0)</f>
        <v>46073</v>
      </c>
      <c r="T4878" s="57">
        <f>IFERROR(__xludf.DUMMYFUNCTION("""COMPUTED_VALUE"""),46178.0)</f>
        <v>46178</v>
      </c>
    </row>
    <row r="4879">
      <c r="A4879" s="6" t="str">
        <f>IFERROR(__xludf.DUMMYFUNCTION("""COMPUTED_VALUE"""),"121703884-1")</f>
        <v>121703884-1</v>
      </c>
      <c r="B4879" s="6" t="str">
        <f>IFERROR(__xludf.DUMMYFUNCTION("""COMPUTED_VALUE"""),"121703884 - APPROVED")</f>
        <v>121703884 - APPROVED</v>
      </c>
      <c r="C4879" s="6">
        <f>IFERROR(__xludf.DUMMYFUNCTION("""COMPUTED_VALUE"""),1.0)</f>
        <v>1</v>
      </c>
      <c r="D4879" s="6" t="str">
        <f>IFERROR(__xludf.DUMMYFUNCTION("""COMPUTED_VALUE"""),"P-12464-00")</f>
        <v>P-12464-00</v>
      </c>
      <c r="E4879" s="6" t="str">
        <f>IFERROR(__xludf.DUMMYFUNCTION("""COMPUTED_VALUE"""),"General - Lem Aibon; No Brand; -; 300 gram/can")</f>
        <v>General - Lem Aibon; No Brand; -; 300 gram/can</v>
      </c>
      <c r="F4879" s="6">
        <f>IFERROR(__xludf.DUMMYFUNCTION("""COMPUTED_VALUE"""),3.0)</f>
        <v>3</v>
      </c>
      <c r="G4879" s="6" t="str">
        <f>IFERROR(__xludf.DUMMYFUNCTION("""COMPUTED_VALUE"""),"Pieces")</f>
        <v>Pieces</v>
      </c>
      <c r="H4879" s="6" t="str">
        <f>IFERROR(__xludf.DUMMYFUNCTION("""COMPUTED_VALUE"""),"IDR")</f>
        <v>IDR</v>
      </c>
      <c r="I4879" s="6">
        <f>IFERROR(__xludf.DUMMYFUNCTION("""COMPUTED_VALUE"""),85500.0)</f>
        <v>85500</v>
      </c>
      <c r="J4879" s="6">
        <f>IFERROR(__xludf.DUMMYFUNCTION("""COMPUTED_VALUE"""),256500.0)</f>
        <v>256500</v>
      </c>
      <c r="K4879" s="57">
        <f>IFERROR(__xludf.DUMMYFUNCTION("""COMPUTED_VALUE"""),46101.0)</f>
        <v>46101</v>
      </c>
      <c r="L4879" s="6" t="str">
        <f>IFERROR(__xludf.DUMMYFUNCTION("""COMPUTED_VALUE"""),"FIP Engineering")</f>
        <v>FIP Engineering</v>
      </c>
      <c r="M4879" s="6" t="str">
        <f>IFERROR(__xludf.DUMMYFUNCTION("""COMPUTED_VALUE"""),"Mochammad Fadhillah Hakim,")</f>
        <v>Mochammad Fadhillah Hakim,</v>
      </c>
      <c r="N4879" s="6" t="str">
        <f>IFERROR(__xludf.DUMMYFUNCTION("""COMPUTED_VALUE"""),"FIP Engineering")</f>
        <v>FIP Engineering</v>
      </c>
      <c r="O4879" s="6" t="str">
        <f>IFERROR(__xludf.DUMMYFUNCTION("""COMPUTED_VALUE"""),"FIP-DOM-000-11304-OS00001-INA-000000")</f>
        <v>FIP-DOM-000-11304-OS00001-INA-000000</v>
      </c>
      <c r="P4879" s="6" t="str">
        <f>IFERROR(__xludf.DUMMYFUNCTION("""COMPUTED_VALUE"""),"PO Closed")</f>
        <v>PO Closed</v>
      </c>
      <c r="Q4879" s="6" t="str">
        <f>IFERROR(__xludf.DUMMYFUNCTION("""COMPUTED_VALUE"""),"GL2603449")</f>
        <v>GL2603449</v>
      </c>
      <c r="R4879" s="57">
        <f>IFERROR(__xludf.DUMMYFUNCTION("""COMPUTED_VALUE"""),46073.0)</f>
        <v>46073</v>
      </c>
      <c r="S4879" s="57">
        <f>IFERROR(__xludf.DUMMYFUNCTION("""COMPUTED_VALUE"""),46073.0)</f>
        <v>46073</v>
      </c>
      <c r="T4879" s="57">
        <f>IFERROR(__xludf.DUMMYFUNCTION("""COMPUTED_VALUE"""),46115.0)</f>
        <v>46115</v>
      </c>
    </row>
    <row r="4880">
      <c r="A4880" s="6" t="str">
        <f>IFERROR(__xludf.DUMMYFUNCTION("""COMPUTED_VALUE"""),"121703884-2")</f>
        <v>121703884-2</v>
      </c>
      <c r="B4880" s="6" t="str">
        <f>IFERROR(__xludf.DUMMYFUNCTION("""COMPUTED_VALUE"""),"121703884 - APPROVED")</f>
        <v>121703884 - APPROVED</v>
      </c>
      <c r="C4880" s="6">
        <f>IFERROR(__xludf.DUMMYFUNCTION("""COMPUTED_VALUE"""),2.0)</f>
        <v>2</v>
      </c>
      <c r="D4880" s="6" t="str">
        <f>IFERROR(__xludf.DUMMYFUNCTION("""COMPUTED_VALUE"""),"P-52009-00")</f>
        <v>P-52009-00</v>
      </c>
      <c r="E4880" s="6" t="str">
        <f>IFERROR(__xludf.DUMMYFUNCTION("""COMPUTED_VALUE"""),"Limit Switch;; Omron; Part No. D4MC-1000; 1 pc/pack")</f>
        <v>Limit Switch;; Omron; Part No. D4MC-1000; 1 pc/pack</v>
      </c>
      <c r="F4880" s="6">
        <f>IFERROR(__xludf.DUMMYFUNCTION("""COMPUTED_VALUE"""),3.0)</f>
        <v>3</v>
      </c>
      <c r="G4880" s="6" t="str">
        <f>IFERROR(__xludf.DUMMYFUNCTION("""COMPUTED_VALUE"""),"Pieces")</f>
        <v>Pieces</v>
      </c>
      <c r="H4880" s="6" t="str">
        <f>IFERROR(__xludf.DUMMYFUNCTION("""COMPUTED_VALUE"""),"IDR")</f>
        <v>IDR</v>
      </c>
      <c r="I4880" s="6">
        <f>IFERROR(__xludf.DUMMYFUNCTION("""COMPUTED_VALUE"""),175000.0)</f>
        <v>175000</v>
      </c>
      <c r="J4880" s="6">
        <f>IFERROR(__xludf.DUMMYFUNCTION("""COMPUTED_VALUE"""),525000.0)</f>
        <v>525000</v>
      </c>
      <c r="K4880" s="57">
        <f>IFERROR(__xludf.DUMMYFUNCTION("""COMPUTED_VALUE"""),46101.0)</f>
        <v>46101</v>
      </c>
      <c r="L4880" s="6" t="str">
        <f>IFERROR(__xludf.DUMMYFUNCTION("""COMPUTED_VALUE"""),"FIP Engineering")</f>
        <v>FIP Engineering</v>
      </c>
      <c r="M4880" s="6" t="str">
        <f>IFERROR(__xludf.DUMMYFUNCTION("""COMPUTED_VALUE"""),"Mochammad Fadhillah Hakim,")</f>
        <v>Mochammad Fadhillah Hakim,</v>
      </c>
      <c r="N4880" s="6" t="str">
        <f>IFERROR(__xludf.DUMMYFUNCTION("""COMPUTED_VALUE"""),"FIP Engineering")</f>
        <v>FIP Engineering</v>
      </c>
      <c r="O4880" s="6" t="str">
        <f>IFERROR(__xludf.DUMMYFUNCTION("""COMPUTED_VALUE"""),"FIP-DOM-000-11304-OS00001-INA-000000")</f>
        <v>FIP-DOM-000-11304-OS00001-INA-000000</v>
      </c>
      <c r="P4880" s="6" t="str">
        <f>IFERROR(__xludf.DUMMYFUNCTION("""COMPUTED_VALUE"""),"PO Closed")</f>
        <v>PO Closed</v>
      </c>
      <c r="Q4880" s="6" t="str">
        <f>IFERROR(__xludf.DUMMYFUNCTION("""COMPUTED_VALUE"""),"GL2603042")</f>
        <v>GL2603042</v>
      </c>
      <c r="R4880" s="57">
        <f>IFERROR(__xludf.DUMMYFUNCTION("""COMPUTED_VALUE"""),46073.0)</f>
        <v>46073</v>
      </c>
      <c r="S4880" s="57">
        <f>IFERROR(__xludf.DUMMYFUNCTION("""COMPUTED_VALUE"""),46073.0)</f>
        <v>46073</v>
      </c>
      <c r="T4880" s="57">
        <f>IFERROR(__xludf.DUMMYFUNCTION("""COMPUTED_VALUE"""),46117.0)</f>
        <v>46117</v>
      </c>
    </row>
    <row r="4881">
      <c r="A4881" s="6" t="str">
        <f>IFERROR(__xludf.DUMMYFUNCTION("""COMPUTED_VALUE"""),"121703886-1")</f>
        <v>121703886-1</v>
      </c>
      <c r="B4881" s="6" t="str">
        <f>IFERROR(__xludf.DUMMYFUNCTION("""COMPUTED_VALUE"""),"121703886 - APPROVED")</f>
        <v>121703886 - APPROVED</v>
      </c>
      <c r="C4881" s="6">
        <f>IFERROR(__xludf.DUMMYFUNCTION("""COMPUTED_VALUE"""),1.0)</f>
        <v>1</v>
      </c>
      <c r="D4881" s="6" t="str">
        <f>IFERROR(__xludf.DUMMYFUNCTION("""COMPUTED_VALUE"""),"Q-60025-00")</f>
        <v>Q-60025-00</v>
      </c>
      <c r="E4881" s="6" t="str">
        <f>IFERROR(__xludf.DUMMYFUNCTION("""COMPUTED_VALUE"""),"Kuas Cat Uk. 1 inch;Eterna;Tipe 611;pack size per pcs")</f>
        <v>Kuas Cat Uk. 1 inch;Eterna;Tipe 611;pack size per pcs</v>
      </c>
      <c r="F4881" s="6">
        <f>IFERROR(__xludf.DUMMYFUNCTION("""COMPUTED_VALUE"""),5.0)</f>
        <v>5</v>
      </c>
      <c r="G4881" s="6" t="str">
        <f>IFERROR(__xludf.DUMMYFUNCTION("""COMPUTED_VALUE"""),"Pieces")</f>
        <v>Pieces</v>
      </c>
      <c r="H4881" s="6" t="str">
        <f>IFERROR(__xludf.DUMMYFUNCTION("""COMPUTED_VALUE"""),"IDR")</f>
        <v>IDR</v>
      </c>
      <c r="I4881" s="6">
        <f>IFERROR(__xludf.DUMMYFUNCTION("""COMPUTED_VALUE"""),2500.0)</f>
        <v>2500</v>
      </c>
      <c r="J4881" s="6">
        <f>IFERROR(__xludf.DUMMYFUNCTION("""COMPUTED_VALUE"""),12500.0)</f>
        <v>12500</v>
      </c>
      <c r="K4881" s="57">
        <f>IFERROR(__xludf.DUMMYFUNCTION("""COMPUTED_VALUE"""),46101.0)</f>
        <v>46101</v>
      </c>
      <c r="L4881" s="6" t="str">
        <f>IFERROR(__xludf.DUMMYFUNCTION("""COMPUTED_VALUE"""),"FIP General")</f>
        <v>FIP General</v>
      </c>
      <c r="M4881" s="6" t="str">
        <f>IFERROR(__xludf.DUMMYFUNCTION("""COMPUTED_VALUE"""),"Mochammad Fadhillah Hakim,")</f>
        <v>Mochammad Fadhillah Hakim,</v>
      </c>
      <c r="N4881" s="6" t="str">
        <f>IFERROR(__xludf.DUMMYFUNCTION("""COMPUTED_VALUE"""),"FIP Engineering")</f>
        <v>FIP Engineering</v>
      </c>
      <c r="O4881" s="6" t="str">
        <f>IFERROR(__xludf.DUMMYFUNCTION("""COMPUTED_VALUE"""),"FIP-DOM-ENG-51404-0000000-INA-000000")</f>
        <v>FIP-DOM-ENG-51404-0000000-INA-000000</v>
      </c>
      <c r="P4881" s="6" t="str">
        <f>IFERROR(__xludf.DUMMYFUNCTION("""COMPUTED_VALUE"""),"PO Closed")</f>
        <v>PO Closed</v>
      </c>
      <c r="Q4881" s="6" t="str">
        <f>IFERROR(__xludf.DUMMYFUNCTION("""COMPUTED_VALUE"""),"GL2604011")</f>
        <v>GL2604011</v>
      </c>
      <c r="R4881" s="57">
        <f>IFERROR(__xludf.DUMMYFUNCTION("""COMPUTED_VALUE"""),46073.0)</f>
        <v>46073</v>
      </c>
      <c r="S4881" s="57">
        <f>IFERROR(__xludf.DUMMYFUNCTION("""COMPUTED_VALUE"""),46073.0)</f>
        <v>46073</v>
      </c>
      <c r="T4881" s="57">
        <f>IFERROR(__xludf.DUMMYFUNCTION("""COMPUTED_VALUE"""),46133.0)</f>
        <v>46133</v>
      </c>
    </row>
    <row r="4882">
      <c r="A4882" s="6" t="str">
        <f>IFERROR(__xludf.DUMMYFUNCTION("""COMPUTED_VALUE"""),"121703886-2")</f>
        <v>121703886-2</v>
      </c>
      <c r="B4882" s="6" t="str">
        <f>IFERROR(__xludf.DUMMYFUNCTION("""COMPUTED_VALUE"""),"121703886 - APPROVED")</f>
        <v>121703886 - APPROVED</v>
      </c>
      <c r="C4882" s="6">
        <f>IFERROR(__xludf.DUMMYFUNCTION("""COMPUTED_VALUE"""),2.0)</f>
        <v>2</v>
      </c>
      <c r="D4882" s="6" t="str">
        <f>IFERROR(__xludf.DUMMYFUNCTION("""COMPUTED_VALUE"""),"Q-10401-00")</f>
        <v>Q-10401-00</v>
      </c>
      <c r="E4882" s="6" t="str">
        <f>IFERROR(__xludf.DUMMYFUNCTION("""COMPUTED_VALUE"""),"Kuas Cat Uk. 3 inch;Eterna;Tipe 611;pack size per pcs")</f>
        <v>Kuas Cat Uk. 3 inch;Eterna;Tipe 611;pack size per pcs</v>
      </c>
      <c r="F4882" s="6">
        <f>IFERROR(__xludf.DUMMYFUNCTION("""COMPUTED_VALUE"""),5.0)</f>
        <v>5</v>
      </c>
      <c r="G4882" s="6" t="str">
        <f>IFERROR(__xludf.DUMMYFUNCTION("""COMPUTED_VALUE"""),"Pieces")</f>
        <v>Pieces</v>
      </c>
      <c r="H4882" s="6" t="str">
        <f>IFERROR(__xludf.DUMMYFUNCTION("""COMPUTED_VALUE"""),"IDR")</f>
        <v>IDR</v>
      </c>
      <c r="I4882" s="6">
        <f>IFERROR(__xludf.DUMMYFUNCTION("""COMPUTED_VALUE"""),7500.0)</f>
        <v>7500</v>
      </c>
      <c r="J4882" s="6">
        <f>IFERROR(__xludf.DUMMYFUNCTION("""COMPUTED_VALUE"""),37500.0)</f>
        <v>37500</v>
      </c>
      <c r="K4882" s="57">
        <f>IFERROR(__xludf.DUMMYFUNCTION("""COMPUTED_VALUE"""),46101.0)</f>
        <v>46101</v>
      </c>
      <c r="L4882" s="6" t="str">
        <f>IFERROR(__xludf.DUMMYFUNCTION("""COMPUTED_VALUE"""),"FIP Engineering")</f>
        <v>FIP Engineering</v>
      </c>
      <c r="M4882" s="6" t="str">
        <f>IFERROR(__xludf.DUMMYFUNCTION("""COMPUTED_VALUE"""),"Mochammad Fadhillah Hakim,")</f>
        <v>Mochammad Fadhillah Hakim,</v>
      </c>
      <c r="N4882" s="6" t="str">
        <f>IFERROR(__xludf.DUMMYFUNCTION("""COMPUTED_VALUE"""),"FIP Engineering")</f>
        <v>FIP Engineering</v>
      </c>
      <c r="O4882" s="6" t="str">
        <f>IFERROR(__xludf.DUMMYFUNCTION("""COMPUTED_VALUE"""),"FIP-DOM-000-11304-OS00001-INA-000000")</f>
        <v>FIP-DOM-000-11304-OS00001-INA-000000</v>
      </c>
      <c r="P4882" s="6" t="str">
        <f>IFERROR(__xludf.DUMMYFUNCTION("""COMPUTED_VALUE"""),"PO Closed")</f>
        <v>PO Closed</v>
      </c>
      <c r="Q4882" s="6" t="str">
        <f>IFERROR(__xludf.DUMMYFUNCTION("""COMPUTED_VALUE"""),"GL2604011")</f>
        <v>GL2604011</v>
      </c>
      <c r="R4882" s="57">
        <f>IFERROR(__xludf.DUMMYFUNCTION("""COMPUTED_VALUE"""),46073.0)</f>
        <v>46073</v>
      </c>
      <c r="S4882" s="57">
        <f>IFERROR(__xludf.DUMMYFUNCTION("""COMPUTED_VALUE"""),46073.0)</f>
        <v>46073</v>
      </c>
      <c r="T4882" s="57">
        <f>IFERROR(__xludf.DUMMYFUNCTION("""COMPUTED_VALUE"""),46133.0)</f>
        <v>46133</v>
      </c>
    </row>
    <row r="4883">
      <c r="A4883" s="6" t="str">
        <f>IFERROR(__xludf.DUMMYFUNCTION("""COMPUTED_VALUE"""),"121703887-1")</f>
        <v>121703887-1</v>
      </c>
      <c r="B4883" s="6" t="str">
        <f>IFERROR(__xludf.DUMMYFUNCTION("""COMPUTED_VALUE"""),"121703887 - APPROVED")</f>
        <v>121703887 - APPROVED</v>
      </c>
      <c r="C4883" s="6">
        <f>IFERROR(__xludf.DUMMYFUNCTION("""COMPUTED_VALUE"""),1.0)</f>
        <v>1</v>
      </c>
      <c r="D4883" s="6" t="str">
        <f>IFERROR(__xludf.DUMMYFUNCTION("""COMPUTED_VALUE"""),"O-50863-00")</f>
        <v>O-50863-00</v>
      </c>
      <c r="E4883" s="6" t="str">
        <f>IFERROR(__xludf.DUMMYFUNCTION("""COMPUTED_VALUE"""),"General - Relay 220-240 VAC; Omron; MY4N; 1 Pc")</f>
        <v>General - Relay 220-240 VAC; Omron; MY4N; 1 Pc</v>
      </c>
      <c r="F4883" s="6">
        <f>IFERROR(__xludf.DUMMYFUNCTION("""COMPUTED_VALUE"""),20.0)</f>
        <v>20</v>
      </c>
      <c r="G4883" s="6" t="str">
        <f>IFERROR(__xludf.DUMMYFUNCTION("""COMPUTED_VALUE"""),"Pieces")</f>
        <v>Pieces</v>
      </c>
      <c r="H4883" s="6" t="str">
        <f>IFERROR(__xludf.DUMMYFUNCTION("""COMPUTED_VALUE"""),"IDR")</f>
        <v>IDR</v>
      </c>
      <c r="I4883" s="6">
        <f>IFERROR(__xludf.DUMMYFUNCTION("""COMPUTED_VALUE"""),37000.0)</f>
        <v>37000</v>
      </c>
      <c r="J4883" s="6">
        <f>IFERROR(__xludf.DUMMYFUNCTION("""COMPUTED_VALUE"""),740000.0)</f>
        <v>740000</v>
      </c>
      <c r="K4883" s="57">
        <f>IFERROR(__xludf.DUMMYFUNCTION("""COMPUTED_VALUE"""),46101.0)</f>
        <v>46101</v>
      </c>
      <c r="L4883" s="6" t="str">
        <f>IFERROR(__xludf.DUMMYFUNCTION("""COMPUTED_VALUE"""),"FIP Engineering")</f>
        <v>FIP Engineering</v>
      </c>
      <c r="M4883" s="6" t="str">
        <f>IFERROR(__xludf.DUMMYFUNCTION("""COMPUTED_VALUE"""),"Mochammad Fadhillah Hakim,")</f>
        <v>Mochammad Fadhillah Hakim,</v>
      </c>
      <c r="N4883" s="6" t="str">
        <f>IFERROR(__xludf.DUMMYFUNCTION("""COMPUTED_VALUE"""),"FIP Engineering")</f>
        <v>FIP Engineering</v>
      </c>
      <c r="O4883" s="6" t="str">
        <f>IFERROR(__xludf.DUMMYFUNCTION("""COMPUTED_VALUE"""),"FIP-DOM-000-11304-OS00001-INA-000000")</f>
        <v>FIP-DOM-000-11304-OS00001-INA-000000</v>
      </c>
      <c r="P4883" s="6" t="str">
        <f>IFERROR(__xludf.DUMMYFUNCTION("""COMPUTED_VALUE"""),"PO Closed")</f>
        <v>PO Closed</v>
      </c>
      <c r="Q4883" s="6" t="str">
        <f>IFERROR(__xludf.DUMMYFUNCTION("""COMPUTED_VALUE"""),"GL2603454")</f>
        <v>GL2603454</v>
      </c>
      <c r="R4883" s="57">
        <f>IFERROR(__xludf.DUMMYFUNCTION("""COMPUTED_VALUE"""),46073.0)</f>
        <v>46073</v>
      </c>
      <c r="S4883" s="57">
        <f>IFERROR(__xludf.DUMMYFUNCTION("""COMPUTED_VALUE"""),46073.0)</f>
        <v>46073</v>
      </c>
      <c r="T4883" s="57">
        <f>IFERROR(__xludf.DUMMYFUNCTION("""COMPUTED_VALUE"""),46132.0)</f>
        <v>46132</v>
      </c>
    </row>
    <row r="4884">
      <c r="A4884" s="6" t="str">
        <f>IFERROR(__xludf.DUMMYFUNCTION("""COMPUTED_VALUE"""),"121703888-1")</f>
        <v>121703888-1</v>
      </c>
      <c r="B4884" s="6" t="str">
        <f>IFERROR(__xludf.DUMMYFUNCTION("""COMPUTED_VALUE"""),"121703888 - APPROVED")</f>
        <v>121703888 - APPROVED</v>
      </c>
      <c r="C4884" s="6">
        <f>IFERROR(__xludf.DUMMYFUNCTION("""COMPUTED_VALUE"""),1.0)</f>
        <v>1</v>
      </c>
      <c r="D4884" s="6" t="str">
        <f>IFERROR(__xludf.DUMMYFUNCTION("""COMPUTED_VALUE"""),"P-15938-00")</f>
        <v>P-15938-00</v>
      </c>
      <c r="E4884" s="6" t="str">
        <f>IFERROR(__xludf.DUMMYFUNCTION("""COMPUTED_VALUE"""),"General - Water Hardness Test Kit; No Brand; -; 1 Pc")</f>
        <v>General - Water Hardness Test Kit; No Brand; -; 1 Pc</v>
      </c>
      <c r="F4884" s="6">
        <f>IFERROR(__xludf.DUMMYFUNCTION("""COMPUTED_VALUE"""),3.0)</f>
        <v>3</v>
      </c>
      <c r="G4884" s="6" t="str">
        <f>IFERROR(__xludf.DUMMYFUNCTION("""COMPUTED_VALUE"""),"Box")</f>
        <v>Box</v>
      </c>
      <c r="H4884" s="6" t="str">
        <f>IFERROR(__xludf.DUMMYFUNCTION("""COMPUTED_VALUE"""),"IDR")</f>
        <v>IDR</v>
      </c>
      <c r="I4884" s="6">
        <f>IFERROR(__xludf.DUMMYFUNCTION("""COMPUTED_VALUE"""),260000.0)</f>
        <v>260000</v>
      </c>
      <c r="J4884" s="6">
        <f>IFERROR(__xludf.DUMMYFUNCTION("""COMPUTED_VALUE"""),780000.0)</f>
        <v>780000</v>
      </c>
      <c r="K4884" s="57">
        <f>IFERROR(__xludf.DUMMYFUNCTION("""COMPUTED_VALUE"""),46101.0)</f>
        <v>46101</v>
      </c>
      <c r="L4884" s="6" t="str">
        <f>IFERROR(__xludf.DUMMYFUNCTION("""COMPUTED_VALUE"""),"FIP General")</f>
        <v>FIP General</v>
      </c>
      <c r="M4884" s="6" t="str">
        <f>IFERROR(__xludf.DUMMYFUNCTION("""COMPUTED_VALUE"""),"Mochammad Fadhillah Hakim,")</f>
        <v>Mochammad Fadhillah Hakim,</v>
      </c>
      <c r="N4884" s="6" t="str">
        <f>IFERROR(__xludf.DUMMYFUNCTION("""COMPUTED_VALUE"""),"FIP Engineering")</f>
        <v>FIP Engineering</v>
      </c>
      <c r="O4884" s="6" t="str">
        <f>IFERROR(__xludf.DUMMYFUNCTION("""COMPUTED_VALUE"""),"FIP-DOM-ENG-51504-0000000-INA-000000")</f>
        <v>FIP-DOM-ENG-51504-0000000-INA-000000</v>
      </c>
      <c r="P4884" s="6" t="str">
        <f>IFERROR(__xludf.DUMMYFUNCTION("""COMPUTED_VALUE"""),"PO Closed")</f>
        <v>PO Closed</v>
      </c>
      <c r="Q4884" s="6" t="str">
        <f>IFERROR(__xludf.DUMMYFUNCTION("""COMPUTED_VALUE"""),"GL2603449")</f>
        <v>GL2603449</v>
      </c>
      <c r="R4884" s="57">
        <f>IFERROR(__xludf.DUMMYFUNCTION("""COMPUTED_VALUE"""),46073.0)</f>
        <v>46073</v>
      </c>
      <c r="S4884" s="57">
        <f>IFERROR(__xludf.DUMMYFUNCTION("""COMPUTED_VALUE"""),46073.0)</f>
        <v>46073</v>
      </c>
      <c r="T4884" s="57">
        <f>IFERROR(__xludf.DUMMYFUNCTION("""COMPUTED_VALUE"""),46115.0)</f>
        <v>46115</v>
      </c>
    </row>
    <row r="4885">
      <c r="A4885" s="6" t="str">
        <f>IFERROR(__xludf.DUMMYFUNCTION("""COMPUTED_VALUE"""),"121703889-1")</f>
        <v>121703889-1</v>
      </c>
      <c r="B4885" s="6" t="str">
        <f>IFERROR(__xludf.DUMMYFUNCTION("""COMPUTED_VALUE"""),"121703889 - APPROVED")</f>
        <v>121703889 - APPROVED</v>
      </c>
      <c r="C4885" s="6">
        <f>IFERROR(__xludf.DUMMYFUNCTION("""COMPUTED_VALUE"""),1.0)</f>
        <v>1</v>
      </c>
      <c r="D4885" s="6" t="str">
        <f>IFERROR(__xludf.DUMMYFUNCTION("""COMPUTED_VALUE"""),"P-20369-00")</f>
        <v>P-20369-00</v>
      </c>
      <c r="E4885" s="6" t="str">
        <f>IFERROR(__xludf.DUMMYFUNCTION("""COMPUTED_VALUE"""),"General - Terminal Viking Grounding 4mm; Legrand; -; 1 pc")</f>
        <v>General - Terminal Viking Grounding 4mm; Legrand; -; 1 pc</v>
      </c>
      <c r="F4885" s="6">
        <f>IFERROR(__xludf.DUMMYFUNCTION("""COMPUTED_VALUE"""),50.0)</f>
        <v>50</v>
      </c>
      <c r="G4885" s="6" t="str">
        <f>IFERROR(__xludf.DUMMYFUNCTION("""COMPUTED_VALUE"""),"Pieces")</f>
        <v>Pieces</v>
      </c>
      <c r="H4885" s="6" t="str">
        <f>IFERROR(__xludf.DUMMYFUNCTION("""COMPUTED_VALUE"""),"IDR")</f>
        <v>IDR</v>
      </c>
      <c r="I4885" s="6">
        <f>IFERROR(__xludf.DUMMYFUNCTION("""COMPUTED_VALUE"""),12825.0)</f>
        <v>12825</v>
      </c>
      <c r="J4885" s="6">
        <f>IFERROR(__xludf.DUMMYFUNCTION("""COMPUTED_VALUE"""),641250.0)</f>
        <v>641250</v>
      </c>
      <c r="K4885" s="57">
        <f>IFERROR(__xludf.DUMMYFUNCTION("""COMPUTED_VALUE"""),46101.0)</f>
        <v>46101</v>
      </c>
      <c r="L4885" s="6" t="str">
        <f>IFERROR(__xludf.DUMMYFUNCTION("""COMPUTED_VALUE"""),"FIP Engineering")</f>
        <v>FIP Engineering</v>
      </c>
      <c r="M4885" s="6" t="str">
        <f>IFERROR(__xludf.DUMMYFUNCTION("""COMPUTED_VALUE"""),"Mochammad Fadhillah Hakim,")</f>
        <v>Mochammad Fadhillah Hakim,</v>
      </c>
      <c r="N4885" s="6" t="str">
        <f>IFERROR(__xludf.DUMMYFUNCTION("""COMPUTED_VALUE"""),"FIP Engineering")</f>
        <v>FIP Engineering</v>
      </c>
      <c r="O4885" s="6" t="str">
        <f>IFERROR(__xludf.DUMMYFUNCTION("""COMPUTED_VALUE"""),"FIP-DOM-000-11304-OS00001-INA-000000")</f>
        <v>FIP-DOM-000-11304-OS00001-INA-000000</v>
      </c>
      <c r="P4885" s="6" t="str">
        <f>IFERROR(__xludf.DUMMYFUNCTION("""COMPUTED_VALUE"""),"PO Closed")</f>
        <v>PO Closed</v>
      </c>
      <c r="Q4885" s="6" t="str">
        <f>IFERROR(__xludf.DUMMYFUNCTION("""COMPUTED_VALUE"""),"GL2603451")</f>
        <v>GL2603451</v>
      </c>
      <c r="R4885" s="57">
        <f>IFERROR(__xludf.DUMMYFUNCTION("""COMPUTED_VALUE"""),46073.0)</f>
        <v>46073</v>
      </c>
      <c r="S4885" s="57">
        <f>IFERROR(__xludf.DUMMYFUNCTION("""COMPUTED_VALUE"""),46073.0)</f>
        <v>46073</v>
      </c>
      <c r="T4885" s="57">
        <f>IFERROR(__xludf.DUMMYFUNCTION("""COMPUTED_VALUE"""),46115.0)</f>
        <v>46115</v>
      </c>
    </row>
    <row r="4886">
      <c r="A4886" s="6" t="str">
        <f>IFERROR(__xludf.DUMMYFUNCTION("""COMPUTED_VALUE"""),"121703890-1")</f>
        <v>121703890-1</v>
      </c>
      <c r="B4886" s="6" t="str">
        <f>IFERROR(__xludf.DUMMYFUNCTION("""COMPUTED_VALUE"""),"121703890 - APPROVED")</f>
        <v>121703890 - APPROVED</v>
      </c>
      <c r="C4886" s="6">
        <f>IFERROR(__xludf.DUMMYFUNCTION("""COMPUTED_VALUE"""),1.0)</f>
        <v>1</v>
      </c>
      <c r="D4886" s="6" t="str">
        <f>IFERROR(__xludf.DUMMYFUNCTION("""COMPUTED_VALUE"""),"O-54007-00")</f>
        <v>O-54007-00</v>
      </c>
      <c r="E4886" s="6" t="str">
        <f>IFERROR(__xludf.DUMMYFUNCTION("""COMPUTED_VALUE"""),"MCB 1 PHASE, SCHNEIDER ELECTRIC, IC60H 10Ka 16 AMPERE")</f>
        <v>MCB 1 PHASE, SCHNEIDER ELECTRIC, IC60H 10Ka 16 AMPERE</v>
      </c>
      <c r="F4886" s="6">
        <f>IFERROR(__xludf.DUMMYFUNCTION("""COMPUTED_VALUE"""),5.0)</f>
        <v>5</v>
      </c>
      <c r="G4886" s="6" t="str">
        <f>IFERROR(__xludf.DUMMYFUNCTION("""COMPUTED_VALUE"""),"Pieces")</f>
        <v>Pieces</v>
      </c>
      <c r="H4886" s="6" t="str">
        <f>IFERROR(__xludf.DUMMYFUNCTION("""COMPUTED_VALUE"""),"IDR")</f>
        <v>IDR</v>
      </c>
      <c r="I4886" s="6">
        <f>IFERROR(__xludf.DUMMYFUNCTION("""COMPUTED_VALUE"""),260000.0)</f>
        <v>260000</v>
      </c>
      <c r="J4886" s="6">
        <f>IFERROR(__xludf.DUMMYFUNCTION("""COMPUTED_VALUE"""),1300000.0)</f>
        <v>1300000</v>
      </c>
      <c r="K4886" s="57">
        <f>IFERROR(__xludf.DUMMYFUNCTION("""COMPUTED_VALUE"""),46101.0)</f>
        <v>46101</v>
      </c>
      <c r="L4886" s="6" t="str">
        <f>IFERROR(__xludf.DUMMYFUNCTION("""COMPUTED_VALUE"""),"FIP Engineering")</f>
        <v>FIP Engineering</v>
      </c>
      <c r="M4886" s="6" t="str">
        <f>IFERROR(__xludf.DUMMYFUNCTION("""COMPUTED_VALUE"""),"Mochammad Fadhillah Hakim,")</f>
        <v>Mochammad Fadhillah Hakim,</v>
      </c>
      <c r="N4886" s="6" t="str">
        <f>IFERROR(__xludf.DUMMYFUNCTION("""COMPUTED_VALUE"""),"FIP Engineering")</f>
        <v>FIP Engineering</v>
      </c>
      <c r="O4886" s="6" t="str">
        <f>IFERROR(__xludf.DUMMYFUNCTION("""COMPUTED_VALUE"""),"FIP-DOM-000-11304-OS00001-INA-000000")</f>
        <v>FIP-DOM-000-11304-OS00001-INA-000000</v>
      </c>
      <c r="P4886" s="6" t="str">
        <f>IFERROR(__xludf.DUMMYFUNCTION("""COMPUTED_VALUE"""),"PO Closed")</f>
        <v>PO Closed</v>
      </c>
      <c r="Q4886" s="6" t="str">
        <f>IFERROR(__xludf.DUMMYFUNCTION("""COMPUTED_VALUE"""),"GL2603456")</f>
        <v>GL2603456</v>
      </c>
      <c r="R4886" s="57">
        <f>IFERROR(__xludf.DUMMYFUNCTION("""COMPUTED_VALUE"""),46073.0)</f>
        <v>46073</v>
      </c>
      <c r="S4886" s="57">
        <f>IFERROR(__xludf.DUMMYFUNCTION("""COMPUTED_VALUE"""),46073.0)</f>
        <v>46073</v>
      </c>
      <c r="T4886" s="57">
        <f>IFERROR(__xludf.DUMMYFUNCTION("""COMPUTED_VALUE"""),46132.0)</f>
        <v>46132</v>
      </c>
    </row>
    <row r="4887">
      <c r="A4887" s="6" t="str">
        <f>IFERROR(__xludf.DUMMYFUNCTION("""COMPUTED_VALUE"""),"121703890-2")</f>
        <v>121703890-2</v>
      </c>
      <c r="B4887" s="6" t="str">
        <f>IFERROR(__xludf.DUMMYFUNCTION("""COMPUTED_VALUE"""),"121703890 - APPROVED")</f>
        <v>121703890 - APPROVED</v>
      </c>
      <c r="C4887" s="6">
        <f>IFERROR(__xludf.DUMMYFUNCTION("""COMPUTED_VALUE"""),2.0)</f>
        <v>2</v>
      </c>
      <c r="D4887" s="6" t="str">
        <f>IFERROR(__xludf.DUMMYFUNCTION("""COMPUTED_VALUE"""),"O-54137-00")</f>
        <v>O-54137-00</v>
      </c>
      <c r="E4887" s="6" t="str">
        <f>IFERROR(__xludf.DUMMYFUNCTION("""COMPUTED_VALUE"""),"General - Terminal Block, 6 mm; Fort; -; 1 pcs")</f>
        <v>General - Terminal Block, 6 mm; Fort; -; 1 pcs</v>
      </c>
      <c r="F4887" s="6">
        <f>IFERROR(__xludf.DUMMYFUNCTION("""COMPUTED_VALUE"""),50.0)</f>
        <v>50</v>
      </c>
      <c r="G4887" s="6" t="str">
        <f>IFERROR(__xludf.DUMMYFUNCTION("""COMPUTED_VALUE"""),"Pieces")</f>
        <v>Pieces</v>
      </c>
      <c r="H4887" s="6" t="str">
        <f>IFERROR(__xludf.DUMMYFUNCTION("""COMPUTED_VALUE"""),"IDR")</f>
        <v>IDR</v>
      </c>
      <c r="I4887" s="6">
        <f>IFERROR(__xludf.DUMMYFUNCTION("""COMPUTED_VALUE"""),7500.0)</f>
        <v>7500</v>
      </c>
      <c r="J4887" s="6">
        <f>IFERROR(__xludf.DUMMYFUNCTION("""COMPUTED_VALUE"""),375000.0)</f>
        <v>375000</v>
      </c>
      <c r="K4887" s="57">
        <f>IFERROR(__xludf.DUMMYFUNCTION("""COMPUTED_VALUE"""),46101.0)</f>
        <v>46101</v>
      </c>
      <c r="L4887" s="6" t="str">
        <f>IFERROR(__xludf.DUMMYFUNCTION("""COMPUTED_VALUE"""),"FIP Engineering")</f>
        <v>FIP Engineering</v>
      </c>
      <c r="M4887" s="6" t="str">
        <f>IFERROR(__xludf.DUMMYFUNCTION("""COMPUTED_VALUE"""),"Mochammad Fadhillah Hakim,")</f>
        <v>Mochammad Fadhillah Hakim,</v>
      </c>
      <c r="N4887" s="6" t="str">
        <f>IFERROR(__xludf.DUMMYFUNCTION("""COMPUTED_VALUE"""),"FIP Engineering")</f>
        <v>FIP Engineering</v>
      </c>
      <c r="O4887" s="6" t="str">
        <f>IFERROR(__xludf.DUMMYFUNCTION("""COMPUTED_VALUE"""),"FIP-DOM-000-11304-OS00001-INA-000000")</f>
        <v>FIP-DOM-000-11304-OS00001-INA-000000</v>
      </c>
      <c r="P4887" s="6" t="str">
        <f>IFERROR(__xludf.DUMMYFUNCTION("""COMPUTED_VALUE"""),"PO Closed")</f>
        <v>PO Closed</v>
      </c>
      <c r="Q4887" s="6" t="str">
        <f>IFERROR(__xludf.DUMMYFUNCTION("""COMPUTED_VALUE"""),"GL2603456")</f>
        <v>GL2603456</v>
      </c>
      <c r="R4887" s="57">
        <f>IFERROR(__xludf.DUMMYFUNCTION("""COMPUTED_VALUE"""),46073.0)</f>
        <v>46073</v>
      </c>
      <c r="S4887" s="57">
        <f>IFERROR(__xludf.DUMMYFUNCTION("""COMPUTED_VALUE"""),46073.0)</f>
        <v>46073</v>
      </c>
      <c r="T4887" s="57">
        <f>IFERROR(__xludf.DUMMYFUNCTION("""COMPUTED_VALUE"""),46132.0)</f>
        <v>46132</v>
      </c>
    </row>
    <row r="4888">
      <c r="A4888" s="6" t="str">
        <f>IFERROR(__xludf.DUMMYFUNCTION("""COMPUTED_VALUE"""),"121703891-1")</f>
        <v>121703891-1</v>
      </c>
      <c r="B4888" s="6" t="str">
        <f>IFERROR(__xludf.DUMMYFUNCTION("""COMPUTED_VALUE"""),"121703891 - APPROVED")</f>
        <v>121703891 - APPROVED</v>
      </c>
      <c r="C4888" s="6">
        <f>IFERROR(__xludf.DUMMYFUNCTION("""COMPUTED_VALUE"""),1.0)</f>
        <v>1</v>
      </c>
      <c r="D4888" s="6" t="str">
        <f>IFERROR(__xludf.DUMMYFUNCTION("""COMPUTED_VALUE"""),"P-14877-00")</f>
        <v>P-14877-00</v>
      </c>
      <c r="E4888" s="6" t="str">
        <f>IFERROR(__xludf.DUMMYFUNCTION("""COMPUTED_VALUE"""),"General - Kabel NYYHY 3 x 2.5mm; SUPREME; -; 1 meter")</f>
        <v>General - Kabel NYYHY 3 x 2.5mm; SUPREME; -; 1 meter</v>
      </c>
      <c r="F4888" s="6">
        <f>IFERROR(__xludf.DUMMYFUNCTION("""COMPUTED_VALUE"""),200.0)</f>
        <v>200</v>
      </c>
      <c r="G4888" s="6" t="str">
        <f>IFERROR(__xludf.DUMMYFUNCTION("""COMPUTED_VALUE"""),"Meter")</f>
        <v>Meter</v>
      </c>
      <c r="H4888" s="6" t="str">
        <f>IFERROR(__xludf.DUMMYFUNCTION("""COMPUTED_VALUE"""),"IDR")</f>
        <v>IDR</v>
      </c>
      <c r="I4888" s="6">
        <f>IFERROR(__xludf.DUMMYFUNCTION("""COMPUTED_VALUE"""),24875.0)</f>
        <v>24875</v>
      </c>
      <c r="J4888" s="6">
        <f>IFERROR(__xludf.DUMMYFUNCTION("""COMPUTED_VALUE"""),4975000.0)</f>
        <v>4975000</v>
      </c>
      <c r="K4888" s="57">
        <f>IFERROR(__xludf.DUMMYFUNCTION("""COMPUTED_VALUE"""),46101.0)</f>
        <v>46101</v>
      </c>
      <c r="L4888" s="6" t="str">
        <f>IFERROR(__xludf.DUMMYFUNCTION("""COMPUTED_VALUE"""),"FIP General")</f>
        <v>FIP General</v>
      </c>
      <c r="M4888" s="6" t="str">
        <f>IFERROR(__xludf.DUMMYFUNCTION("""COMPUTED_VALUE"""),"Mochammad Fadhillah Hakim,")</f>
        <v>Mochammad Fadhillah Hakim,</v>
      </c>
      <c r="N4888" s="6" t="str">
        <f>IFERROR(__xludf.DUMMYFUNCTION("""COMPUTED_VALUE"""),"FIP Engineering")</f>
        <v>FIP Engineering</v>
      </c>
      <c r="O4888" s="6" t="str">
        <f>IFERROR(__xludf.DUMMYFUNCTION("""COMPUTED_VALUE"""),"FIP-DOM-ENG-51504-0000000-INA-000000")</f>
        <v>FIP-DOM-ENG-51504-0000000-INA-000000</v>
      </c>
      <c r="P4888" s="6" t="str">
        <f>IFERROR(__xludf.DUMMYFUNCTION("""COMPUTED_VALUE"""),"PO Closed")</f>
        <v>PO Closed</v>
      </c>
      <c r="Q4888" s="6" t="str">
        <f>IFERROR(__xludf.DUMMYFUNCTION("""COMPUTED_VALUE"""),"GL2604492")</f>
        <v>GL2604492</v>
      </c>
      <c r="R4888" s="57">
        <f>IFERROR(__xludf.DUMMYFUNCTION("""COMPUTED_VALUE"""),46073.0)</f>
        <v>46073</v>
      </c>
      <c r="S4888" s="57">
        <f>IFERROR(__xludf.DUMMYFUNCTION("""COMPUTED_VALUE"""),46073.0)</f>
        <v>46073</v>
      </c>
      <c r="T4888" s="57">
        <f>IFERROR(__xludf.DUMMYFUNCTION("""COMPUTED_VALUE"""),46142.0)</f>
        <v>46142</v>
      </c>
    </row>
    <row r="4889">
      <c r="A4889" s="6" t="str">
        <f>IFERROR(__xludf.DUMMYFUNCTION("""COMPUTED_VALUE"""),"121703892-1")</f>
        <v>121703892-1</v>
      </c>
      <c r="B4889" s="6" t="str">
        <f>IFERROR(__xludf.DUMMYFUNCTION("""COMPUTED_VALUE"""),"121703892 - APPROVED")</f>
        <v>121703892 - APPROVED</v>
      </c>
      <c r="C4889" s="6">
        <f>IFERROR(__xludf.DUMMYFUNCTION("""COMPUTED_VALUE"""),1.0)</f>
        <v>1</v>
      </c>
      <c r="D4889" s="6" t="str">
        <f>IFERROR(__xludf.DUMMYFUNCTION("""COMPUTED_VALUE"""),"Q-10656-00")</f>
        <v>Q-10656-00</v>
      </c>
      <c r="E4889" s="6" t="str">
        <f>IFERROR(__xludf.DUMMYFUNCTION("""COMPUTED_VALUE"""),"Kuas Cat Uk. 5 inch;No Brand;;pack size per pcs")</f>
        <v>Kuas Cat Uk. 5 inch;No Brand;;pack size per pcs</v>
      </c>
      <c r="F4889" s="6">
        <f>IFERROR(__xludf.DUMMYFUNCTION("""COMPUTED_VALUE"""),5.0)</f>
        <v>5</v>
      </c>
      <c r="G4889" s="6" t="str">
        <f>IFERROR(__xludf.DUMMYFUNCTION("""COMPUTED_VALUE"""),"Pieces")</f>
        <v>Pieces</v>
      </c>
      <c r="H4889" s="6" t="str">
        <f>IFERROR(__xludf.DUMMYFUNCTION("""COMPUTED_VALUE"""),"IDR")</f>
        <v>IDR</v>
      </c>
      <c r="I4889" s="6">
        <f>IFERROR(__xludf.DUMMYFUNCTION("""COMPUTED_VALUE"""),18500.0)</f>
        <v>18500</v>
      </c>
      <c r="J4889" s="6">
        <f>IFERROR(__xludf.DUMMYFUNCTION("""COMPUTED_VALUE"""),92500.0)</f>
        <v>92500</v>
      </c>
      <c r="K4889" s="57">
        <f>IFERROR(__xludf.DUMMYFUNCTION("""COMPUTED_VALUE"""),46101.0)</f>
        <v>46101</v>
      </c>
      <c r="L4889" s="6" t="str">
        <f>IFERROR(__xludf.DUMMYFUNCTION("""COMPUTED_VALUE"""),"FIP Engineering")</f>
        <v>FIP Engineering</v>
      </c>
      <c r="M4889" s="6" t="str">
        <f>IFERROR(__xludf.DUMMYFUNCTION("""COMPUTED_VALUE"""),"Mochammad Fadhillah Hakim,")</f>
        <v>Mochammad Fadhillah Hakim,</v>
      </c>
      <c r="N4889" s="6" t="str">
        <f>IFERROR(__xludf.DUMMYFUNCTION("""COMPUTED_VALUE"""),"FIP Engineering")</f>
        <v>FIP Engineering</v>
      </c>
      <c r="O4889" s="6" t="str">
        <f>IFERROR(__xludf.DUMMYFUNCTION("""COMPUTED_VALUE"""),"FIP-DOM-000-11304-OS00001-INA-000000")</f>
        <v>FIP-DOM-000-11304-OS00001-INA-000000</v>
      </c>
      <c r="P4889" s="6" t="str">
        <f>IFERROR(__xludf.DUMMYFUNCTION("""COMPUTED_VALUE"""),"PO Closed")</f>
        <v>PO Closed</v>
      </c>
      <c r="Q4889" s="6" t="str">
        <f>IFERROR(__xludf.DUMMYFUNCTION("""COMPUTED_VALUE"""),"GL2604040")</f>
        <v>GL2604040</v>
      </c>
      <c r="R4889" s="57">
        <f>IFERROR(__xludf.DUMMYFUNCTION("""COMPUTED_VALUE"""),46073.0)</f>
        <v>46073</v>
      </c>
      <c r="S4889" s="57">
        <f>IFERROR(__xludf.DUMMYFUNCTION("""COMPUTED_VALUE"""),46077.0)</f>
        <v>46077</v>
      </c>
      <c r="T4889" s="57">
        <f>IFERROR(__xludf.DUMMYFUNCTION("""COMPUTED_VALUE"""),46147.0)</f>
        <v>46147</v>
      </c>
    </row>
    <row r="4890">
      <c r="A4890" s="6" t="str">
        <f>IFERROR(__xludf.DUMMYFUNCTION("""COMPUTED_VALUE"""),"121703893-1")</f>
        <v>121703893-1</v>
      </c>
      <c r="B4890" s="6" t="str">
        <f>IFERROR(__xludf.DUMMYFUNCTION("""COMPUTED_VALUE"""),"121703893 - APPROVED")</f>
        <v>121703893 - APPROVED</v>
      </c>
      <c r="C4890" s="6">
        <f>IFERROR(__xludf.DUMMYFUNCTION("""COMPUTED_VALUE"""),1.0)</f>
        <v>1</v>
      </c>
      <c r="D4890" s="6" t="str">
        <f>IFERROR(__xludf.DUMMYFUNCTION("""COMPUTED_VALUE"""),"Q-10580-00")</f>
        <v>Q-10580-00</v>
      </c>
      <c r="E4890" s="6" t="str">
        <f>IFERROR(__xludf.DUMMYFUNCTION("""COMPUTED_VALUE"""),"Cat Ftalit 444 Banana Yellow; ; ; 1 Kg per Can")</f>
        <v>Cat Ftalit 444 Banana Yellow; ; ; 1 Kg per Can</v>
      </c>
      <c r="F4890" s="6">
        <f>IFERROR(__xludf.DUMMYFUNCTION("""COMPUTED_VALUE"""),3.0)</f>
        <v>3</v>
      </c>
      <c r="G4890" s="6" t="str">
        <f>IFERROR(__xludf.DUMMYFUNCTION("""COMPUTED_VALUE"""),"Kilogram")</f>
        <v>Kilogram</v>
      </c>
      <c r="H4890" s="6" t="str">
        <f>IFERROR(__xludf.DUMMYFUNCTION("""COMPUTED_VALUE"""),"IDR")</f>
        <v>IDR</v>
      </c>
      <c r="I4890" s="6">
        <f>IFERROR(__xludf.DUMMYFUNCTION("""COMPUTED_VALUE"""),84000.0)</f>
        <v>84000</v>
      </c>
      <c r="J4890" s="6">
        <f>IFERROR(__xludf.DUMMYFUNCTION("""COMPUTED_VALUE"""),252000.0)</f>
        <v>252000</v>
      </c>
      <c r="K4890" s="57">
        <f>IFERROR(__xludf.DUMMYFUNCTION("""COMPUTED_VALUE"""),46101.0)</f>
        <v>46101</v>
      </c>
      <c r="L4890" s="6" t="str">
        <f>IFERROR(__xludf.DUMMYFUNCTION("""COMPUTED_VALUE"""),"FIP Engineering")</f>
        <v>FIP Engineering</v>
      </c>
      <c r="M4890" s="6" t="str">
        <f>IFERROR(__xludf.DUMMYFUNCTION("""COMPUTED_VALUE"""),"Mochammad Fadhillah Hakim,")</f>
        <v>Mochammad Fadhillah Hakim,</v>
      </c>
      <c r="N4890" s="6" t="str">
        <f>IFERROR(__xludf.DUMMYFUNCTION("""COMPUTED_VALUE"""),"FIP Engineering")</f>
        <v>FIP Engineering</v>
      </c>
      <c r="O4890" s="6" t="str">
        <f>IFERROR(__xludf.DUMMYFUNCTION("""COMPUTED_VALUE"""),"FIP-DOM-000-11304-OS00001-INA-000000")</f>
        <v>FIP-DOM-000-11304-OS00001-INA-000000</v>
      </c>
      <c r="P4890" s="6" t="str">
        <f>IFERROR(__xludf.DUMMYFUNCTION("""COMPUTED_VALUE"""),"PO Closed")</f>
        <v>PO Closed</v>
      </c>
      <c r="Q4890" s="6" t="str">
        <f>IFERROR(__xludf.DUMMYFUNCTION("""COMPUTED_VALUE"""),"GL2604011")</f>
        <v>GL2604011</v>
      </c>
      <c r="R4890" s="57">
        <f>IFERROR(__xludf.DUMMYFUNCTION("""COMPUTED_VALUE"""),46073.0)</f>
        <v>46073</v>
      </c>
      <c r="S4890" s="57">
        <f>IFERROR(__xludf.DUMMYFUNCTION("""COMPUTED_VALUE"""),46077.0)</f>
        <v>46077</v>
      </c>
      <c r="T4890" s="57">
        <f>IFERROR(__xludf.DUMMYFUNCTION("""COMPUTED_VALUE"""),46133.0)</f>
        <v>46133</v>
      </c>
    </row>
    <row r="4891">
      <c r="A4891" s="6" t="str">
        <f>IFERROR(__xludf.DUMMYFUNCTION("""COMPUTED_VALUE"""),"121703894-1")</f>
        <v>121703894-1</v>
      </c>
      <c r="B4891" s="6" t="str">
        <f>IFERROR(__xludf.DUMMYFUNCTION("""COMPUTED_VALUE"""),"121703894 - APPROVED")</f>
        <v>121703894 - APPROVED</v>
      </c>
      <c r="C4891" s="6">
        <f>IFERROR(__xludf.DUMMYFUNCTION("""COMPUTED_VALUE"""),1.0)</f>
        <v>1</v>
      </c>
      <c r="D4891" s="6" t="str">
        <f>IFERROR(__xludf.DUMMYFUNCTION("""COMPUTED_VALUE"""),"O-16033-00")</f>
        <v>O-16033-00</v>
      </c>
      <c r="E4891" s="6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F4891" s="6">
        <f>IFERROR(__xludf.DUMMYFUNCTION("""COMPUTED_VALUE"""),15.0)</f>
        <v>15</v>
      </c>
      <c r="G4891" s="6" t="str">
        <f>IFERROR(__xludf.DUMMYFUNCTION("""COMPUTED_VALUE"""),"Unit")</f>
        <v>Unit</v>
      </c>
      <c r="H4891" s="6" t="str">
        <f>IFERROR(__xludf.DUMMYFUNCTION("""COMPUTED_VALUE"""),"IDR")</f>
        <v>IDR</v>
      </c>
      <c r="I4891" s="6">
        <f>IFERROR(__xludf.DUMMYFUNCTION("""COMPUTED_VALUE"""),2.3699163E7)</f>
        <v>23699163</v>
      </c>
      <c r="J4891" s="6">
        <f>IFERROR(__xludf.DUMMYFUNCTION("""COMPUTED_VALUE"""),3.55487445E8)</f>
        <v>355487445</v>
      </c>
      <c r="K4891" s="57">
        <f>IFERROR(__xludf.DUMMYFUNCTION("""COMPUTED_VALUE"""),46136.0)</f>
        <v>46136</v>
      </c>
      <c r="L4891" s="6" t="str">
        <f>IFERROR(__xludf.DUMMYFUNCTION("""COMPUTED_VALUE"""),"FIP Engineering")</f>
        <v>FIP Engineering</v>
      </c>
      <c r="M4891" s="6" t="str">
        <f>IFERROR(__xludf.DUMMYFUNCTION("""COMPUTED_VALUE"""),"Mochammad Fadhillah Hakim,")</f>
        <v>Mochammad Fadhillah Hakim,</v>
      </c>
      <c r="N4891" s="6" t="str">
        <f>IFERROR(__xludf.DUMMYFUNCTION("""COMPUTED_VALUE"""),"FIP Engineering")</f>
        <v>FIP Engineering</v>
      </c>
      <c r="O4891" s="6" t="str">
        <f>IFERROR(__xludf.DUMMYFUNCTION("""COMPUTED_VALUE"""),"FIP-DOM-000-11304-OS00001-INA-000000")</f>
        <v>FIP-DOM-000-11304-OS00001-INA-000000</v>
      </c>
      <c r="P4891" s="6" t="str">
        <f>IFERROR(__xludf.DUMMYFUNCTION("""COMPUTED_VALUE"""),"PO Closed")</f>
        <v>PO Closed</v>
      </c>
      <c r="Q4891" s="6" t="str">
        <f>IFERROR(__xludf.DUMMYFUNCTION("""COMPUTED_VALUE"""),"GL2603045")</f>
        <v>GL2603045</v>
      </c>
      <c r="R4891" s="57">
        <f>IFERROR(__xludf.DUMMYFUNCTION("""COMPUTED_VALUE"""),46073.0)</f>
        <v>46073</v>
      </c>
      <c r="S4891" s="57">
        <f>IFERROR(__xludf.DUMMYFUNCTION("""COMPUTED_VALUE"""),46098.0)</f>
        <v>46098</v>
      </c>
      <c r="T4891" s="57">
        <f>IFERROR(__xludf.DUMMYFUNCTION("""COMPUTED_VALUE"""),46152.0)</f>
        <v>46152</v>
      </c>
    </row>
    <row r="4892">
      <c r="A4892" s="6" t="str">
        <f>IFERROR(__xludf.DUMMYFUNCTION("""COMPUTED_VALUE"""),"121703902-1")</f>
        <v>121703902-1</v>
      </c>
      <c r="B4892" s="6" t="str">
        <f>IFERROR(__xludf.DUMMYFUNCTION("""COMPUTED_VALUE"""),"121703902 - APPROVED")</f>
        <v>121703902 - APPROVED</v>
      </c>
      <c r="C4892" s="6">
        <f>IFERROR(__xludf.DUMMYFUNCTION("""COMPUTED_VALUE"""),1.0)</f>
        <v>1</v>
      </c>
      <c r="D4892" s="6" t="str">
        <f>IFERROR(__xludf.DUMMYFUNCTION("""COMPUTED_VALUE"""),"S-60050-00")</f>
        <v>S-60050-00</v>
      </c>
      <c r="E4892" s="6" t="str">
        <f>IFERROR(__xludf.DUMMYFUNCTION("""COMPUTED_VALUE"""),"Jasa Perbaikan dan Pemeliharaan Mesin Produksi; ; ; - Modifikasi Passbox Dispensing")</f>
        <v>Jasa Perbaikan dan Pemeliharaan Mesin Produksi; ; ; - Modifikasi Passbox Dispensing</v>
      </c>
      <c r="F4892" s="6">
        <f>IFERROR(__xludf.DUMMYFUNCTION("""COMPUTED_VALUE"""),1.0)</f>
        <v>1</v>
      </c>
      <c r="G4892" s="6" t="str">
        <f>IFERROR(__xludf.DUMMYFUNCTION("""COMPUTED_VALUE"""),"Pieces")</f>
        <v>Pieces</v>
      </c>
      <c r="H4892" s="6" t="str">
        <f>IFERROR(__xludf.DUMMYFUNCTION("""COMPUTED_VALUE"""),"IDR")</f>
        <v>IDR</v>
      </c>
      <c r="I4892" s="6">
        <f>IFERROR(__xludf.DUMMYFUNCTION("""COMPUTED_VALUE"""),7000000.0)</f>
        <v>7000000</v>
      </c>
      <c r="J4892" s="6">
        <f>IFERROR(__xludf.DUMMYFUNCTION("""COMPUTED_VALUE"""),7000000.0)</f>
        <v>7000000</v>
      </c>
      <c r="K4892" s="57">
        <f>IFERROR(__xludf.DUMMYFUNCTION("""COMPUTED_VALUE"""),46108.0)</f>
        <v>46108</v>
      </c>
      <c r="L4892" s="6" t="str">
        <f>IFERROR(__xludf.DUMMYFUNCTION("""COMPUTED_VALUE"""),"FIP General")</f>
        <v>FIP General</v>
      </c>
      <c r="M4892" s="6" t="str">
        <f>IFERROR(__xludf.DUMMYFUNCTION("""COMPUTED_VALUE"""),"Mochammad Fadhillah Hakim,")</f>
        <v>Mochammad Fadhillah Hakim,</v>
      </c>
      <c r="N4892" s="6" t="str">
        <f>IFERROR(__xludf.DUMMYFUNCTION("""COMPUTED_VALUE"""),"FIP Engineering")</f>
        <v>FIP Engineering</v>
      </c>
      <c r="O4892" s="6" t="str">
        <f>IFERROR(__xludf.DUMMYFUNCTION("""COMPUTED_VALUE"""),"FIP-DOM-ENG-51504-0000000-INA-000000")</f>
        <v>FIP-DOM-ENG-51504-0000000-INA-000000</v>
      </c>
      <c r="P4892" s="6" t="str">
        <f>IFERROR(__xludf.DUMMYFUNCTION("""COMPUTED_VALUE"""),"PO Closed")</f>
        <v>PO Closed</v>
      </c>
      <c r="Q4892" s="6" t="str">
        <f>IFERROR(__xludf.DUMMYFUNCTION("""COMPUTED_VALUE"""),"GL2603014")</f>
        <v>GL2603014</v>
      </c>
      <c r="R4892" s="57">
        <f>IFERROR(__xludf.DUMMYFUNCTION("""COMPUTED_VALUE"""),46077.0)</f>
        <v>46077</v>
      </c>
      <c r="S4892" s="57">
        <f>IFERROR(__xludf.DUMMYFUNCTION("""COMPUTED_VALUE"""),46077.0)</f>
        <v>46077</v>
      </c>
      <c r="T4892" s="57">
        <f>IFERROR(__xludf.DUMMYFUNCTION("""COMPUTED_VALUE"""),46127.0)</f>
        <v>46127</v>
      </c>
    </row>
    <row r="4893">
      <c r="A4893" s="6" t="str">
        <f>IFERROR(__xludf.DUMMYFUNCTION("""COMPUTED_VALUE"""),"121703904-1")</f>
        <v>121703904-1</v>
      </c>
      <c r="B4893" s="6" t="str">
        <f>IFERROR(__xludf.DUMMYFUNCTION("""COMPUTED_VALUE"""),"121703904 - APPROVED")</f>
        <v>121703904 - APPROVED</v>
      </c>
      <c r="C4893" s="6">
        <f>IFERROR(__xludf.DUMMYFUNCTION("""COMPUTED_VALUE"""),1.0)</f>
        <v>1</v>
      </c>
      <c r="D4893" s="6" t="str">
        <f>IFERROR(__xludf.DUMMYFUNCTION("""COMPUTED_VALUE"""),"T-22314-00")</f>
        <v>T-22314-00</v>
      </c>
      <c r="E4893" s="6" t="str">
        <f>IFERROR(__xludf.DUMMYFUNCTION("""COMPUTED_VALUE"""),"Refill Board DSR Autosampler.; Pharma Test; 317-0133; unit")</f>
        <v>Refill Board DSR Autosampler.; Pharma Test; 317-0133; unit</v>
      </c>
      <c r="F4893" s="6">
        <f>IFERROR(__xludf.DUMMYFUNCTION("""COMPUTED_VALUE"""),1.0)</f>
        <v>1</v>
      </c>
      <c r="G4893" s="6" t="str">
        <f>IFERROR(__xludf.DUMMYFUNCTION("""COMPUTED_VALUE"""),"Unit")</f>
        <v>Unit</v>
      </c>
      <c r="H4893" s="6" t="str">
        <f>IFERROR(__xludf.DUMMYFUNCTION("""COMPUTED_VALUE"""),"IDR")</f>
        <v>IDR</v>
      </c>
      <c r="I4893" s="6">
        <f>IFERROR(__xludf.DUMMYFUNCTION("""COMPUTED_VALUE"""),7300000.0)</f>
        <v>7300000</v>
      </c>
      <c r="J4893" s="6">
        <f>IFERROR(__xludf.DUMMYFUNCTION("""COMPUTED_VALUE"""),7300000.0)</f>
        <v>7300000</v>
      </c>
      <c r="K4893" s="57">
        <f>IFERROR(__xludf.DUMMYFUNCTION("""COMPUTED_VALUE"""),46108.0)</f>
        <v>46108</v>
      </c>
      <c r="L4893" s="6" t="str">
        <f>IFERROR(__xludf.DUMMYFUNCTION("""COMPUTED_VALUE"""),"FIP General")</f>
        <v>FIP General</v>
      </c>
      <c r="M4893" s="6" t="str">
        <f>IFERROR(__xludf.DUMMYFUNCTION("""COMPUTED_VALUE"""),"Mochammad Fadhillah Hakim,")</f>
        <v>Mochammad Fadhillah Hakim,</v>
      </c>
      <c r="N4893" s="6" t="str">
        <f>IFERROR(__xludf.DUMMYFUNCTION("""COMPUTED_VALUE"""),"FIP Engineering")</f>
        <v>FIP Engineering</v>
      </c>
      <c r="O4893" s="6" t="str">
        <f>IFERROR(__xludf.DUMMYFUNCTION("""COMPUTED_VALUE"""),"FIP-DOM-ENG-51505-0000000-INA-000000")</f>
        <v>FIP-DOM-ENG-51505-0000000-INA-000000</v>
      </c>
      <c r="P4893" s="6" t="str">
        <f>IFERROR(__xludf.DUMMYFUNCTION("""COMPUTED_VALUE"""),"PO Closed")</f>
        <v>PO Closed</v>
      </c>
      <c r="Q4893" s="6" t="str">
        <f>IFERROR(__xludf.DUMMYFUNCTION("""COMPUTED_VALUE"""),"GL2603022")</f>
        <v>GL2603022</v>
      </c>
      <c r="R4893" s="57">
        <f>IFERROR(__xludf.DUMMYFUNCTION("""COMPUTED_VALUE"""),46077.0)</f>
        <v>46077</v>
      </c>
      <c r="S4893" s="57">
        <f>IFERROR(__xludf.DUMMYFUNCTION("""COMPUTED_VALUE"""),46078.0)</f>
        <v>46078</v>
      </c>
      <c r="T4893" s="57">
        <f>IFERROR(__xludf.DUMMYFUNCTION("""COMPUTED_VALUE"""),46108.0)</f>
        <v>46108</v>
      </c>
    </row>
    <row r="4894">
      <c r="A4894" s="6" t="str">
        <f>IFERROR(__xludf.DUMMYFUNCTION("""COMPUTED_VALUE"""),"121703910-1")</f>
        <v>121703910-1</v>
      </c>
      <c r="B4894" s="6" t="str">
        <f>IFERROR(__xludf.DUMMYFUNCTION("""COMPUTED_VALUE"""),"121703910 - APPROVED")</f>
        <v>121703910 - APPROVED</v>
      </c>
      <c r="C4894" s="6">
        <f>IFERROR(__xludf.DUMMYFUNCTION("""COMPUTED_VALUE"""),1.0)</f>
        <v>1</v>
      </c>
      <c r="D4894" s="6" t="str">
        <f>IFERROR(__xludf.DUMMYFUNCTION("""COMPUTED_VALUE"""),"S-40645-00")</f>
        <v>S-40645-00</v>
      </c>
      <c r="E4894" s="6" t="str">
        <f>IFERROR(__xludf.DUMMYFUNCTION("""COMPUTED_VALUE"""),"Cable Ties, 200 x 4.8 mm; SIGMA; CS 200L; Putih;100 pcs/pack")</f>
        <v>Cable Ties, 200 x 4.8 mm; SIGMA; CS 200L; Putih;100 pcs/pack</v>
      </c>
      <c r="F4894" s="6">
        <f>IFERROR(__xludf.DUMMYFUNCTION("""COMPUTED_VALUE"""),12.0)</f>
        <v>12</v>
      </c>
      <c r="G4894" s="6" t="str">
        <f>IFERROR(__xludf.DUMMYFUNCTION("""COMPUTED_VALUE"""),"Pack")</f>
        <v>Pack</v>
      </c>
      <c r="H4894" s="6" t="str">
        <f>IFERROR(__xludf.DUMMYFUNCTION("""COMPUTED_VALUE"""),"IDR")</f>
        <v>IDR</v>
      </c>
      <c r="I4894" s="6">
        <f>IFERROR(__xludf.DUMMYFUNCTION("""COMPUTED_VALUE"""),32000.0)</f>
        <v>32000</v>
      </c>
      <c r="J4894" s="6">
        <f>IFERROR(__xludf.DUMMYFUNCTION("""COMPUTED_VALUE"""),384000.0)</f>
        <v>384000</v>
      </c>
      <c r="K4894" s="57">
        <f>IFERROR(__xludf.DUMMYFUNCTION("""COMPUTED_VALUE"""),46108.0)</f>
        <v>46108</v>
      </c>
      <c r="L4894" s="6" t="str">
        <f>IFERROR(__xludf.DUMMYFUNCTION("""COMPUTED_VALUE"""),"FIP General")</f>
        <v>FIP General</v>
      </c>
      <c r="M4894" s="6" t="str">
        <f>IFERROR(__xludf.DUMMYFUNCTION("""COMPUTED_VALUE"""),"Mochammad Fadhillah Hakim,")</f>
        <v>Mochammad Fadhillah Hakim,</v>
      </c>
      <c r="N4894" s="6" t="str">
        <f>IFERROR(__xludf.DUMMYFUNCTION("""COMPUTED_VALUE"""),"FIP Engineering")</f>
        <v>FIP Engineering</v>
      </c>
      <c r="O4894" s="6" t="str">
        <f>IFERROR(__xludf.DUMMYFUNCTION("""COMPUTED_VALUE"""),"FIP-DOM-ENG-51404-0000000-INA-000000")</f>
        <v>FIP-DOM-ENG-51404-0000000-INA-000000</v>
      </c>
      <c r="P4894" s="6" t="str">
        <f>IFERROR(__xludf.DUMMYFUNCTION("""COMPUTED_VALUE"""),"PO Closed")</f>
        <v>PO Closed</v>
      </c>
      <c r="Q4894" s="6" t="str">
        <f>IFERROR(__xludf.DUMMYFUNCTION("""COMPUTED_VALUE"""),"GL2603467")</f>
        <v>GL2603467</v>
      </c>
      <c r="R4894" s="57">
        <f>IFERROR(__xludf.DUMMYFUNCTION("""COMPUTED_VALUE"""),46077.0)</f>
        <v>46077</v>
      </c>
      <c r="S4894" s="57">
        <f>IFERROR(__xludf.DUMMYFUNCTION("""COMPUTED_VALUE"""),46078.0)</f>
        <v>46078</v>
      </c>
      <c r="T4894" s="57">
        <f>IFERROR(__xludf.DUMMYFUNCTION("""COMPUTED_VALUE"""),46108.0)</f>
        <v>46108</v>
      </c>
    </row>
    <row r="4895">
      <c r="A4895" s="6" t="str">
        <f>IFERROR(__xludf.DUMMYFUNCTION("""COMPUTED_VALUE"""),"121703910-2")</f>
        <v>121703910-2</v>
      </c>
      <c r="B4895" s="6" t="str">
        <f>IFERROR(__xludf.DUMMYFUNCTION("""COMPUTED_VALUE"""),"121703910 - APPROVED")</f>
        <v>121703910 - APPROVED</v>
      </c>
      <c r="C4895" s="6">
        <f>IFERROR(__xludf.DUMMYFUNCTION("""COMPUTED_VALUE"""),2.0)</f>
        <v>2</v>
      </c>
      <c r="D4895" s="6" t="str">
        <f>IFERROR(__xludf.DUMMYFUNCTION("""COMPUTED_VALUE"""),"S-40640-00")</f>
        <v>S-40640-00</v>
      </c>
      <c r="E4895" s="6" t="str">
        <f>IFERROR(__xludf.DUMMYFUNCTION("""COMPUTED_VALUE"""),"Cable Ties, 150 x 3.6 mm; SIGMA; CS 150T; Putih;100 pcs/pack")</f>
        <v>Cable Ties, 150 x 3.6 mm; SIGMA; CS 150T; Putih;100 pcs/pack</v>
      </c>
      <c r="F4895" s="6">
        <f>IFERROR(__xludf.DUMMYFUNCTION("""COMPUTED_VALUE"""),6.0)</f>
        <v>6</v>
      </c>
      <c r="G4895" s="6" t="str">
        <f>IFERROR(__xludf.DUMMYFUNCTION("""COMPUTED_VALUE"""),"Pack")</f>
        <v>Pack</v>
      </c>
      <c r="H4895" s="6" t="str">
        <f>IFERROR(__xludf.DUMMYFUNCTION("""COMPUTED_VALUE"""),"IDR")</f>
        <v>IDR</v>
      </c>
      <c r="I4895" s="6">
        <f>IFERROR(__xludf.DUMMYFUNCTION("""COMPUTED_VALUE"""),19000.0)</f>
        <v>19000</v>
      </c>
      <c r="J4895" s="6">
        <f>IFERROR(__xludf.DUMMYFUNCTION("""COMPUTED_VALUE"""),114000.0)</f>
        <v>114000</v>
      </c>
      <c r="K4895" s="57">
        <f>IFERROR(__xludf.DUMMYFUNCTION("""COMPUTED_VALUE"""),46108.0)</f>
        <v>46108</v>
      </c>
      <c r="L4895" s="6" t="str">
        <f>IFERROR(__xludf.DUMMYFUNCTION("""COMPUTED_VALUE"""),"FIP General")</f>
        <v>FIP General</v>
      </c>
      <c r="M4895" s="6" t="str">
        <f>IFERROR(__xludf.DUMMYFUNCTION("""COMPUTED_VALUE"""),"Mochammad Fadhillah Hakim,")</f>
        <v>Mochammad Fadhillah Hakim,</v>
      </c>
      <c r="N4895" s="6" t="str">
        <f>IFERROR(__xludf.DUMMYFUNCTION("""COMPUTED_VALUE"""),"FIP Engineering")</f>
        <v>FIP Engineering</v>
      </c>
      <c r="O4895" s="6" t="str">
        <f>IFERROR(__xludf.DUMMYFUNCTION("""COMPUTED_VALUE"""),"FIP-DOM-ENG-51404-0000000-INA-000000")</f>
        <v>FIP-DOM-ENG-51404-0000000-INA-000000</v>
      </c>
      <c r="P4895" s="6" t="str">
        <f>IFERROR(__xludf.DUMMYFUNCTION("""COMPUTED_VALUE"""),"PO Closed")</f>
        <v>PO Closed</v>
      </c>
      <c r="Q4895" s="6" t="str">
        <f>IFERROR(__xludf.DUMMYFUNCTION("""COMPUTED_VALUE"""),"GL2603467")</f>
        <v>GL2603467</v>
      </c>
      <c r="R4895" s="57">
        <f>IFERROR(__xludf.DUMMYFUNCTION("""COMPUTED_VALUE"""),46077.0)</f>
        <v>46077</v>
      </c>
      <c r="S4895" s="57">
        <f>IFERROR(__xludf.DUMMYFUNCTION("""COMPUTED_VALUE"""),46078.0)</f>
        <v>46078</v>
      </c>
      <c r="T4895" s="57">
        <f>IFERROR(__xludf.DUMMYFUNCTION("""COMPUTED_VALUE"""),46108.0)</f>
        <v>46108</v>
      </c>
    </row>
    <row r="4896">
      <c r="A4896" s="6" t="str">
        <f>IFERROR(__xludf.DUMMYFUNCTION("""COMPUTED_VALUE"""),"121703913-1")</f>
        <v>121703913-1</v>
      </c>
      <c r="B4896" s="6" t="str">
        <f>IFERROR(__xludf.DUMMYFUNCTION("""COMPUTED_VALUE"""),"121703913 - APPROVED")</f>
        <v>121703913 - APPROVED</v>
      </c>
      <c r="C4896" s="6">
        <f>IFERROR(__xludf.DUMMYFUNCTION("""COMPUTED_VALUE"""),1.0)</f>
        <v>1</v>
      </c>
      <c r="D4896" s="6" t="str">
        <f>IFERROR(__xludf.DUMMYFUNCTION("""COMPUTED_VALUE"""),"P-53055-00")</f>
        <v>P-53055-00</v>
      </c>
      <c r="E4896" s="6" t="str">
        <f>IFERROR(__xludf.DUMMYFUNCTION("""COMPUTED_VALUE"""),"General - Fuse Keramik Double 160A 690VAC Bussman FEE160")</f>
        <v>General - Fuse Keramik Double 160A 690VAC Bussman FEE160</v>
      </c>
      <c r="F4896" s="6">
        <f>IFERROR(__xludf.DUMMYFUNCTION("""COMPUTED_VALUE"""),4.0)</f>
        <v>4</v>
      </c>
      <c r="G4896" s="6" t="str">
        <f>IFERROR(__xludf.DUMMYFUNCTION("""COMPUTED_VALUE"""),"Pieces")</f>
        <v>Pieces</v>
      </c>
      <c r="H4896" s="6" t="str">
        <f>IFERROR(__xludf.DUMMYFUNCTION("""COMPUTED_VALUE"""),"IDR")</f>
        <v>IDR</v>
      </c>
      <c r="I4896" s="6">
        <f>IFERROR(__xludf.DUMMYFUNCTION("""COMPUTED_VALUE"""),615000.0)</f>
        <v>615000</v>
      </c>
      <c r="J4896" s="6">
        <f>IFERROR(__xludf.DUMMYFUNCTION("""COMPUTED_VALUE"""),2460000.0)</f>
        <v>2460000</v>
      </c>
      <c r="K4896" s="57">
        <f>IFERROR(__xludf.DUMMYFUNCTION("""COMPUTED_VALUE"""),46081.0)</f>
        <v>46081</v>
      </c>
      <c r="L4896" s="6" t="str">
        <f>IFERROR(__xludf.DUMMYFUNCTION("""COMPUTED_VALUE"""),"FIP Engineering")</f>
        <v>FIP Engineering</v>
      </c>
      <c r="M4896" s="6" t="str">
        <f>IFERROR(__xludf.DUMMYFUNCTION("""COMPUTED_VALUE"""),"Mochammad Fadhillah Hakim,")</f>
        <v>Mochammad Fadhillah Hakim,</v>
      </c>
      <c r="N4896" s="6" t="str">
        <f>IFERROR(__xludf.DUMMYFUNCTION("""COMPUTED_VALUE"""),"FIP Engineering")</f>
        <v>FIP Engineering</v>
      </c>
      <c r="O4896" s="6" t="str">
        <f>IFERROR(__xludf.DUMMYFUNCTION("""COMPUTED_VALUE"""),"FIP-DOM-000-11304-OS00001-INA-000000")</f>
        <v>FIP-DOM-000-11304-OS00001-INA-000000</v>
      </c>
      <c r="P4896" s="6" t="str">
        <f>IFERROR(__xludf.DUMMYFUNCTION("""COMPUTED_VALUE"""),"PO Closed")</f>
        <v>PO Closed</v>
      </c>
      <c r="Q4896" s="6" t="str">
        <f>IFERROR(__xludf.DUMMYFUNCTION("""COMPUTED_VALUE"""),"GL2603428")</f>
        <v>GL2603428</v>
      </c>
      <c r="R4896" s="57">
        <f>IFERROR(__xludf.DUMMYFUNCTION("""COMPUTED_VALUE"""),46078.0)</f>
        <v>46078</v>
      </c>
      <c r="S4896" s="57">
        <f>IFERROR(__xludf.DUMMYFUNCTION("""COMPUTED_VALUE"""),46078.0)</f>
        <v>46078</v>
      </c>
      <c r="T4896" s="57">
        <f>IFERROR(__xludf.DUMMYFUNCTION("""COMPUTED_VALUE"""),46105.0)</f>
        <v>46105</v>
      </c>
    </row>
    <row r="4897">
      <c r="A4897" s="6" t="str">
        <f>IFERROR(__xludf.DUMMYFUNCTION("""COMPUTED_VALUE"""),"121703916-1")</f>
        <v>121703916-1</v>
      </c>
      <c r="B4897" s="6" t="str">
        <f>IFERROR(__xludf.DUMMYFUNCTION("""COMPUTED_VALUE"""),"121703916 - APPROVED")</f>
        <v>121703916 - APPROVED</v>
      </c>
      <c r="C4897" s="6">
        <f>IFERROR(__xludf.DUMMYFUNCTION("""COMPUTED_VALUE"""),1.0)</f>
        <v>1</v>
      </c>
      <c r="D4897" s="6" t="str">
        <f>IFERROR(__xludf.DUMMYFUNCTION("""COMPUTED_VALUE"""),"P-20544-00")</f>
        <v>P-20544-00</v>
      </c>
      <c r="E4897" s="6" t="str">
        <f>IFERROR(__xludf.DUMMYFUNCTION("""COMPUTED_VALUE"""),"General - General Ferrule EPDM NW200; No Brand; -; 1pc")</f>
        <v>General - General Ferrule EPDM NW200; No Brand; -; 1pc</v>
      </c>
      <c r="F4897" s="6">
        <f>IFERROR(__xludf.DUMMYFUNCTION("""COMPUTED_VALUE"""),5.0)</f>
        <v>5</v>
      </c>
      <c r="G4897" s="6" t="str">
        <f>IFERROR(__xludf.DUMMYFUNCTION("""COMPUTED_VALUE"""),"Pieces")</f>
        <v>Pieces</v>
      </c>
      <c r="H4897" s="6" t="str">
        <f>IFERROR(__xludf.DUMMYFUNCTION("""COMPUTED_VALUE"""),"IDR")</f>
        <v>IDR</v>
      </c>
      <c r="I4897" s="6">
        <f>IFERROR(__xludf.DUMMYFUNCTION("""COMPUTED_VALUE"""),207000.0)</f>
        <v>207000</v>
      </c>
      <c r="J4897" s="6">
        <f>IFERROR(__xludf.DUMMYFUNCTION("""COMPUTED_VALUE"""),1035000.0)</f>
        <v>1035000</v>
      </c>
      <c r="K4897" s="57">
        <f>IFERROR(__xludf.DUMMYFUNCTION("""COMPUTED_VALUE"""),46108.0)</f>
        <v>46108</v>
      </c>
      <c r="L4897" s="6" t="str">
        <f>IFERROR(__xludf.DUMMYFUNCTION("""COMPUTED_VALUE"""),"FIP Engineering")</f>
        <v>FIP Engineering</v>
      </c>
      <c r="M4897" s="6" t="str">
        <f>IFERROR(__xludf.DUMMYFUNCTION("""COMPUTED_VALUE"""),"Mochammad Fadhillah Hakim,")</f>
        <v>Mochammad Fadhillah Hakim,</v>
      </c>
      <c r="N4897" s="6" t="str">
        <f>IFERROR(__xludf.DUMMYFUNCTION("""COMPUTED_VALUE"""),"FIP Engineering")</f>
        <v>FIP Engineering</v>
      </c>
      <c r="O4897" s="6" t="str">
        <f>IFERROR(__xludf.DUMMYFUNCTION("""COMPUTED_VALUE"""),"FIP-DOM-000-11304-OS00001-INA-000000")</f>
        <v>FIP-DOM-000-11304-OS00001-INA-000000</v>
      </c>
      <c r="P4897" s="6" t="str">
        <f>IFERROR(__xludf.DUMMYFUNCTION("""COMPUTED_VALUE"""),"PO Closed")</f>
        <v>PO Closed</v>
      </c>
      <c r="Q4897" s="6" t="str">
        <f>IFERROR(__xludf.DUMMYFUNCTION("""COMPUTED_VALUE"""),"GL2603037")</f>
        <v>GL2603037</v>
      </c>
      <c r="R4897" s="57">
        <f>IFERROR(__xludf.DUMMYFUNCTION("""COMPUTED_VALUE"""),46078.0)</f>
        <v>46078</v>
      </c>
      <c r="S4897" s="57">
        <f>IFERROR(__xludf.DUMMYFUNCTION("""COMPUTED_VALUE"""),46078.0)</f>
        <v>46078</v>
      </c>
      <c r="T4897" s="57">
        <f>IFERROR(__xludf.DUMMYFUNCTION("""COMPUTED_VALUE"""),46115.0)</f>
        <v>46115</v>
      </c>
    </row>
    <row r="4898">
      <c r="A4898" s="6" t="str">
        <f>IFERROR(__xludf.DUMMYFUNCTION("""COMPUTED_VALUE"""),"121703919-1")</f>
        <v>121703919-1</v>
      </c>
      <c r="B4898" s="6" t="str">
        <f>IFERROR(__xludf.DUMMYFUNCTION("""COMPUTED_VALUE"""),"121703919 - APPROVED")</f>
        <v>121703919 - APPROVED</v>
      </c>
      <c r="C4898" s="6">
        <f>IFERROR(__xludf.DUMMYFUNCTION("""COMPUTED_VALUE"""),1.0)</f>
        <v>1</v>
      </c>
      <c r="D4898" s="6" t="str">
        <f>IFERROR(__xludf.DUMMYFUNCTION("""COMPUTED_VALUE"""),"S-60050-00")</f>
        <v>S-60050-00</v>
      </c>
      <c r="E4898" s="6" t="str">
        <f>IFERROR(__xludf.DUMMYFUNCTION("""COMPUTED_VALUE"""),"Jasa Perbaikan dan Pemeliharaan Mesin Produksi; ; ; - Perbaikan Parcount")</f>
        <v>Jasa Perbaikan dan Pemeliharaan Mesin Produksi; ; ; - Perbaikan Parcount</v>
      </c>
      <c r="F4898" s="6">
        <f>IFERROR(__xludf.DUMMYFUNCTION("""COMPUTED_VALUE"""),1.0)</f>
        <v>1</v>
      </c>
      <c r="G4898" s="6" t="str">
        <f>IFERROR(__xludf.DUMMYFUNCTION("""COMPUTED_VALUE"""),"Pieces")</f>
        <v>Pieces</v>
      </c>
      <c r="H4898" s="6" t="str">
        <f>IFERROR(__xludf.DUMMYFUNCTION("""COMPUTED_VALUE"""),"IDR")</f>
        <v>IDR</v>
      </c>
      <c r="I4898" s="6">
        <f>IFERROR(__xludf.DUMMYFUNCTION("""COMPUTED_VALUE"""),3.3565062E7)</f>
        <v>33565062</v>
      </c>
      <c r="J4898" s="6">
        <f>IFERROR(__xludf.DUMMYFUNCTION("""COMPUTED_VALUE"""),3.3565062E7)</f>
        <v>33565062</v>
      </c>
      <c r="K4898" s="57">
        <f>IFERROR(__xludf.DUMMYFUNCTION("""COMPUTED_VALUE"""),46108.0)</f>
        <v>46108</v>
      </c>
      <c r="L4898" s="6" t="str">
        <f>IFERROR(__xludf.DUMMYFUNCTION("""COMPUTED_VALUE"""),"FIP General")</f>
        <v>FIP General</v>
      </c>
      <c r="M4898" s="6" t="str">
        <f>IFERROR(__xludf.DUMMYFUNCTION("""COMPUTED_VALUE"""),"Mochammad Fadhillah Hakim,")</f>
        <v>Mochammad Fadhillah Hakim,</v>
      </c>
      <c r="N4898" s="6" t="str">
        <f>IFERROR(__xludf.DUMMYFUNCTION("""COMPUTED_VALUE"""),"FIP Engineering")</f>
        <v>FIP Engineering</v>
      </c>
      <c r="O4898" s="6" t="str">
        <f>IFERROR(__xludf.DUMMYFUNCTION("""COMPUTED_VALUE"""),"FIP-DOM-ENG-51504-0000000-INA-000000")</f>
        <v>FIP-DOM-ENG-51504-0000000-INA-000000</v>
      </c>
      <c r="P4898" s="6" t="str">
        <f>IFERROR(__xludf.DUMMYFUNCTION("""COMPUTED_VALUE"""),"PO Closed")</f>
        <v>PO Closed</v>
      </c>
      <c r="Q4898" s="6"/>
      <c r="R4898" s="57">
        <f>IFERROR(__xludf.DUMMYFUNCTION("""COMPUTED_VALUE"""),46079.0)</f>
        <v>46079</v>
      </c>
      <c r="S4898" s="57">
        <f>IFERROR(__xludf.DUMMYFUNCTION("""COMPUTED_VALUE"""),46079.0)</f>
        <v>46079</v>
      </c>
      <c r="T4898" s="6"/>
    </row>
    <row r="4899">
      <c r="A4899" s="6" t="str">
        <f>IFERROR(__xludf.DUMMYFUNCTION("""COMPUTED_VALUE"""),"121703920-1")</f>
        <v>121703920-1</v>
      </c>
      <c r="B4899" s="6" t="str">
        <f>IFERROR(__xludf.DUMMYFUNCTION("""COMPUTED_VALUE"""),"121703920 - APPROVED")</f>
        <v>121703920 - APPROVED</v>
      </c>
      <c r="C4899" s="6">
        <f>IFERROR(__xludf.DUMMYFUNCTION("""COMPUTED_VALUE"""),1.0)</f>
        <v>1</v>
      </c>
      <c r="D4899" s="6" t="str">
        <f>IFERROR(__xludf.DUMMYFUNCTION("""COMPUTED_VALUE"""),"T-21161-00")</f>
        <v>T-21161-00</v>
      </c>
      <c r="E4899" s="6" t="str">
        <f>IFERROR(__xludf.DUMMYFUNCTION("""COMPUTED_VALUE"""),"Kalibrasi Furnace; Vulcan; Type : D-550 - Kalibrasi Furnance")</f>
        <v>Kalibrasi Furnace; Vulcan; Type : D-550 - Kalibrasi Furnance</v>
      </c>
      <c r="F4899" s="6">
        <f>IFERROR(__xludf.DUMMYFUNCTION("""COMPUTED_VALUE"""),1.0)</f>
        <v>1</v>
      </c>
      <c r="G4899" s="6" t="str">
        <f>IFERROR(__xludf.DUMMYFUNCTION("""COMPUTED_VALUE"""),"Pieces")</f>
        <v>Pieces</v>
      </c>
      <c r="H4899" s="6" t="str">
        <f>IFERROR(__xludf.DUMMYFUNCTION("""COMPUTED_VALUE"""),"IDR")</f>
        <v>IDR</v>
      </c>
      <c r="I4899" s="6">
        <f>IFERROR(__xludf.DUMMYFUNCTION("""COMPUTED_VALUE"""),1800000.0)</f>
        <v>1800000</v>
      </c>
      <c r="J4899" s="6">
        <f>IFERROR(__xludf.DUMMYFUNCTION("""COMPUTED_VALUE"""),1800000.0)</f>
        <v>1800000</v>
      </c>
      <c r="K4899" s="57">
        <f>IFERROR(__xludf.DUMMYFUNCTION("""COMPUTED_VALUE"""),46087.0)</f>
        <v>46087</v>
      </c>
      <c r="L4899" s="6" t="str">
        <f>IFERROR(__xludf.DUMMYFUNCTION("""COMPUTED_VALUE"""),"FIP General")</f>
        <v>FIP General</v>
      </c>
      <c r="M4899" s="6" t="str">
        <f>IFERROR(__xludf.DUMMYFUNCTION("""COMPUTED_VALUE"""),"Mochammad Fadhillah Hakim,")</f>
        <v>Mochammad Fadhillah Hakim,</v>
      </c>
      <c r="N4899" s="6" t="str">
        <f>IFERROR(__xludf.DUMMYFUNCTION("""COMPUTED_VALUE"""),"FIP Engineering")</f>
        <v>FIP Engineering</v>
      </c>
      <c r="O4899" s="6" t="str">
        <f>IFERROR(__xludf.DUMMYFUNCTION("""COMPUTED_VALUE"""),"FIP-DOM-ENG-51505-0000000-INA-000000")</f>
        <v>FIP-DOM-ENG-51505-0000000-INA-000000</v>
      </c>
      <c r="P4899" s="6" t="str">
        <f>IFERROR(__xludf.DUMMYFUNCTION("""COMPUTED_VALUE"""),"PO Closed")</f>
        <v>PO Closed</v>
      </c>
      <c r="Q4899" s="6" t="str">
        <f>IFERROR(__xludf.DUMMYFUNCTION("""COMPUTED_VALUE"""),"GL2603002")</f>
        <v>GL2603002</v>
      </c>
      <c r="R4899" s="57">
        <f>IFERROR(__xludf.DUMMYFUNCTION("""COMPUTED_VALUE"""),46080.0)</f>
        <v>46080</v>
      </c>
      <c r="S4899" s="57">
        <f>IFERROR(__xludf.DUMMYFUNCTION("""COMPUTED_VALUE"""),46080.0)</f>
        <v>46080</v>
      </c>
      <c r="T4899" s="57">
        <f>IFERROR(__xludf.DUMMYFUNCTION("""COMPUTED_VALUE"""),46097.0)</f>
        <v>46097</v>
      </c>
    </row>
    <row r="4900">
      <c r="A4900" s="6" t="str">
        <f>IFERROR(__xludf.DUMMYFUNCTION("""COMPUTED_VALUE"""),"121703921-1")</f>
        <v>121703921-1</v>
      </c>
      <c r="B4900" s="6" t="str">
        <f>IFERROR(__xludf.DUMMYFUNCTION("""COMPUTED_VALUE"""),"121703921 - APPROVED")</f>
        <v>121703921 - APPROVED</v>
      </c>
      <c r="C4900" s="6">
        <f>IFERROR(__xludf.DUMMYFUNCTION("""COMPUTED_VALUE"""),1.0)</f>
        <v>1</v>
      </c>
      <c r="D4900" s="6" t="str">
        <f>IFERROR(__xludf.DUMMYFUNCTION("""COMPUTED_VALUE"""),"R-71002-00")</f>
        <v>R-71002-00</v>
      </c>
      <c r="E4900" s="6" t="str">
        <f>IFERROR(__xludf.DUMMYFUNCTION("""COMPUTED_VALUE"""),"Renovation - Modifikasi Pipa Hot Water")</f>
        <v>Renovation - Modifikasi Pipa Hot Water</v>
      </c>
      <c r="F4900" s="6">
        <f>IFERROR(__xludf.DUMMYFUNCTION("""COMPUTED_VALUE"""),1.0)</f>
        <v>1</v>
      </c>
      <c r="G4900" s="6" t="str">
        <f>IFERROR(__xludf.DUMMYFUNCTION("""COMPUTED_VALUE"""),"Unit")</f>
        <v>Unit</v>
      </c>
      <c r="H4900" s="6" t="str">
        <f>IFERROR(__xludf.DUMMYFUNCTION("""COMPUTED_VALUE"""),"IDR")</f>
        <v>IDR</v>
      </c>
      <c r="I4900" s="6">
        <f>IFERROR(__xludf.DUMMYFUNCTION("""COMPUTED_VALUE"""),2.264851E8)</f>
        <v>226485100</v>
      </c>
      <c r="J4900" s="6">
        <f>IFERROR(__xludf.DUMMYFUNCTION("""COMPUTED_VALUE"""),2.264851E8)</f>
        <v>226485100</v>
      </c>
      <c r="K4900" s="57">
        <f>IFERROR(__xludf.DUMMYFUNCTION("""COMPUTED_VALUE"""),46108.0)</f>
        <v>46108</v>
      </c>
      <c r="L4900" s="6" t="str">
        <f>IFERROR(__xludf.DUMMYFUNCTION("""COMPUTED_VALUE"""),"FIP General")</f>
        <v>FIP General</v>
      </c>
      <c r="M4900" s="6" t="str">
        <f>IFERROR(__xludf.DUMMYFUNCTION("""COMPUTED_VALUE"""),"Mochammad Fadhillah Hakim,")</f>
        <v>Mochammad Fadhillah Hakim,</v>
      </c>
      <c r="N4900" s="6" t="str">
        <f>IFERROR(__xludf.DUMMYFUNCTION("""COMPUTED_VALUE"""),"FIP Engineering")</f>
        <v>FIP Engineering</v>
      </c>
      <c r="O4900" s="6" t="str">
        <f>IFERROR(__xludf.DUMMYFUNCTION("""COMPUTED_VALUE"""),"FIP-DOM-ENG-13402-BL26001-INA-000000")</f>
        <v>FIP-DOM-ENG-13402-BL26001-INA-000000</v>
      </c>
      <c r="P4900" s="6" t="str">
        <f>IFERROR(__xludf.DUMMYFUNCTION("""COMPUTED_VALUE"""),"PO Closed")</f>
        <v>PO Closed</v>
      </c>
      <c r="Q4900" s="6"/>
      <c r="R4900" s="57">
        <f>IFERROR(__xludf.DUMMYFUNCTION("""COMPUTED_VALUE"""),46080.0)</f>
        <v>46080</v>
      </c>
      <c r="S4900" s="57">
        <f>IFERROR(__xludf.DUMMYFUNCTION("""COMPUTED_VALUE"""),46090.0)</f>
        <v>46090</v>
      </c>
      <c r="T4900" s="6"/>
    </row>
    <row r="4901">
      <c r="A4901" s="6" t="str">
        <f>IFERROR(__xludf.DUMMYFUNCTION("""COMPUTED_VALUE"""),"121703924-1")</f>
        <v>121703924-1</v>
      </c>
      <c r="B4901" s="6" t="str">
        <f>IFERROR(__xludf.DUMMYFUNCTION("""COMPUTED_VALUE"""),"121703924 - APPROVED")</f>
        <v>121703924 - APPROVED</v>
      </c>
      <c r="C4901" s="6">
        <f>IFERROR(__xludf.DUMMYFUNCTION("""COMPUTED_VALUE"""),1.0)</f>
        <v>1</v>
      </c>
      <c r="D4901" s="6" t="str">
        <f>IFERROR(__xludf.DUMMYFUNCTION("""COMPUTED_VALUE"""),"P-54554-00")</f>
        <v>P-54554-00</v>
      </c>
      <c r="E4901" s="6" t="str">
        <f>IFERROR(__xludf.DUMMYFUNCTION("""COMPUTED_VALUE"""),"General - Lampu Tl LED Slimliner II T5 10W Cool Light; Hannoch; -; 1 pc")</f>
        <v>General - Lampu Tl LED Slimliner II T5 10W Cool Light; Hannoch; -; 1 pc</v>
      </c>
      <c r="F4901" s="6">
        <f>IFERROR(__xludf.DUMMYFUNCTION("""COMPUTED_VALUE"""),100.0)</f>
        <v>100</v>
      </c>
      <c r="G4901" s="6" t="str">
        <f>IFERROR(__xludf.DUMMYFUNCTION("""COMPUTED_VALUE"""),"Pieces")</f>
        <v>Pieces</v>
      </c>
      <c r="H4901" s="6" t="str">
        <f>IFERROR(__xludf.DUMMYFUNCTION("""COMPUTED_VALUE"""),"IDR")</f>
        <v>IDR</v>
      </c>
      <c r="I4901" s="6">
        <f>IFERROR(__xludf.DUMMYFUNCTION("""COMPUTED_VALUE"""),56000.0)</f>
        <v>56000</v>
      </c>
      <c r="J4901" s="6">
        <f>IFERROR(__xludf.DUMMYFUNCTION("""COMPUTED_VALUE"""),5600000.0)</f>
        <v>5600000</v>
      </c>
      <c r="K4901" s="57">
        <f>IFERROR(__xludf.DUMMYFUNCTION("""COMPUTED_VALUE"""),46108.0)</f>
        <v>46108</v>
      </c>
      <c r="L4901" s="6" t="str">
        <f>IFERROR(__xludf.DUMMYFUNCTION("""COMPUTED_VALUE"""),"FIP Engineering")</f>
        <v>FIP Engineering</v>
      </c>
      <c r="M4901" s="6" t="str">
        <f>IFERROR(__xludf.DUMMYFUNCTION("""COMPUTED_VALUE"""),"Mochammad Fadhillah Hakim,")</f>
        <v>Mochammad Fadhillah Hakim,</v>
      </c>
      <c r="N4901" s="6" t="str">
        <f>IFERROR(__xludf.DUMMYFUNCTION("""COMPUTED_VALUE"""),"FIP Engineering")</f>
        <v>FIP Engineering</v>
      </c>
      <c r="O4901" s="6" t="str">
        <f>IFERROR(__xludf.DUMMYFUNCTION("""COMPUTED_VALUE"""),"FIP-DOM-000-11304-OS00001-INA-000000")</f>
        <v>FIP-DOM-000-11304-OS00001-INA-000000</v>
      </c>
      <c r="P4901" s="6" t="str">
        <f>IFERROR(__xludf.DUMMYFUNCTION("""COMPUTED_VALUE"""),"PO Closed")</f>
        <v>PO Closed</v>
      </c>
      <c r="Q4901" s="6" t="str">
        <f>IFERROR(__xludf.DUMMYFUNCTION("""COMPUTED_VALUE"""),"GL2603475")</f>
        <v>GL2603475</v>
      </c>
      <c r="R4901" s="57">
        <f>IFERROR(__xludf.DUMMYFUNCTION("""COMPUTED_VALUE"""),46080.0)</f>
        <v>46080</v>
      </c>
      <c r="S4901" s="57">
        <f>IFERROR(__xludf.DUMMYFUNCTION("""COMPUTED_VALUE"""),46080.0)</f>
        <v>46080</v>
      </c>
      <c r="T4901" s="57">
        <f>IFERROR(__xludf.DUMMYFUNCTION("""COMPUTED_VALUE"""),46133.0)</f>
        <v>46133</v>
      </c>
    </row>
    <row r="4902">
      <c r="A4902" s="6" t="str">
        <f>IFERROR(__xludf.DUMMYFUNCTION("""COMPUTED_VALUE"""),"121703924-2")</f>
        <v>121703924-2</v>
      </c>
      <c r="B4902" s="6" t="str">
        <f>IFERROR(__xludf.DUMMYFUNCTION("""COMPUTED_VALUE"""),"121703924 - APPROVED")</f>
        <v>121703924 - APPROVED</v>
      </c>
      <c r="C4902" s="6">
        <f>IFERROR(__xludf.DUMMYFUNCTION("""COMPUTED_VALUE"""),2.0)</f>
        <v>2</v>
      </c>
      <c r="D4902" s="6" t="str">
        <f>IFERROR(__xludf.DUMMYFUNCTION("""COMPUTED_VALUE"""),"P-54447-00")</f>
        <v>P-54447-00</v>
      </c>
      <c r="E4902" s="6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F4902" s="6">
        <f>IFERROR(__xludf.DUMMYFUNCTION("""COMPUTED_VALUE"""),50.0)</f>
        <v>50</v>
      </c>
      <c r="G4902" s="6" t="str">
        <f>IFERROR(__xludf.DUMMYFUNCTION("""COMPUTED_VALUE"""),"Pieces")</f>
        <v>Pieces</v>
      </c>
      <c r="H4902" s="6" t="str">
        <f>IFERROR(__xludf.DUMMYFUNCTION("""COMPUTED_VALUE"""),"IDR")</f>
        <v>IDR</v>
      </c>
      <c r="I4902" s="6">
        <f>IFERROR(__xludf.DUMMYFUNCTION("""COMPUTED_VALUE"""),165000.0)</f>
        <v>165000</v>
      </c>
      <c r="J4902" s="6">
        <f>IFERROR(__xludf.DUMMYFUNCTION("""COMPUTED_VALUE"""),8250000.0)</f>
        <v>8250000</v>
      </c>
      <c r="K4902" s="57">
        <f>IFERROR(__xludf.DUMMYFUNCTION("""COMPUTED_VALUE"""),46108.0)</f>
        <v>46108</v>
      </c>
      <c r="L4902" s="6" t="str">
        <f>IFERROR(__xludf.DUMMYFUNCTION("""COMPUTED_VALUE"""),"FIP Engineering")</f>
        <v>FIP Engineering</v>
      </c>
      <c r="M4902" s="6" t="str">
        <f>IFERROR(__xludf.DUMMYFUNCTION("""COMPUTED_VALUE"""),"Mochammad Fadhillah Hakim,")</f>
        <v>Mochammad Fadhillah Hakim,</v>
      </c>
      <c r="N4902" s="6" t="str">
        <f>IFERROR(__xludf.DUMMYFUNCTION("""COMPUTED_VALUE"""),"FIP Engineering")</f>
        <v>FIP Engineering</v>
      </c>
      <c r="O4902" s="6" t="str">
        <f>IFERROR(__xludf.DUMMYFUNCTION("""COMPUTED_VALUE"""),"FIP-DOM-000-11304-OS00001-INA-000000")</f>
        <v>FIP-DOM-000-11304-OS00001-INA-000000</v>
      </c>
      <c r="P4902" s="6" t="str">
        <f>IFERROR(__xludf.DUMMYFUNCTION("""COMPUTED_VALUE"""),"PO Closed")</f>
        <v>PO Closed</v>
      </c>
      <c r="Q4902" s="6" t="str">
        <f>IFERROR(__xludf.DUMMYFUNCTION("""COMPUTED_VALUE"""),"GL2603465")</f>
        <v>GL2603465</v>
      </c>
      <c r="R4902" s="57">
        <f>IFERROR(__xludf.DUMMYFUNCTION("""COMPUTED_VALUE"""),46080.0)</f>
        <v>46080</v>
      </c>
      <c r="S4902" s="57">
        <f>IFERROR(__xludf.DUMMYFUNCTION("""COMPUTED_VALUE"""),46080.0)</f>
        <v>46080</v>
      </c>
      <c r="T4902" s="57">
        <f>IFERROR(__xludf.DUMMYFUNCTION("""COMPUTED_VALUE"""),46115.0)</f>
        <v>46115</v>
      </c>
    </row>
    <row r="4903">
      <c r="A4903" s="6" t="str">
        <f>IFERROR(__xludf.DUMMYFUNCTION("""COMPUTED_VALUE"""),"121703925-1")</f>
        <v>121703925-1</v>
      </c>
      <c r="B4903" s="6" t="str">
        <f>IFERROR(__xludf.DUMMYFUNCTION("""COMPUTED_VALUE"""),"121703925 - APPROVED")</f>
        <v>121703925 - APPROVED</v>
      </c>
      <c r="C4903" s="6">
        <f>IFERROR(__xludf.DUMMYFUNCTION("""COMPUTED_VALUE"""),1.0)</f>
        <v>1</v>
      </c>
      <c r="D4903" s="6" t="str">
        <f>IFERROR(__xludf.DUMMYFUNCTION("""COMPUTED_VALUE"""),"O-18447-00")</f>
        <v>O-18447-00</v>
      </c>
      <c r="E4903" s="6" t="str">
        <f>IFERROR(__xludf.DUMMYFUNCTION("""COMPUTED_VALUE"""),"General - Silicone Guide Outfeed; Custom/Lokal; -; 1 Pc")</f>
        <v>General - Silicone Guide Outfeed; Custom/Lokal; -; 1 Pc</v>
      </c>
      <c r="F4903" s="6">
        <f>IFERROR(__xludf.DUMMYFUNCTION("""COMPUTED_VALUE"""),1.0)</f>
        <v>1</v>
      </c>
      <c r="G4903" s="6" t="str">
        <f>IFERROR(__xludf.DUMMYFUNCTION("""COMPUTED_VALUE"""),"Pieces")</f>
        <v>Pieces</v>
      </c>
      <c r="H4903" s="6" t="str">
        <f>IFERROR(__xludf.DUMMYFUNCTION("""COMPUTED_VALUE"""),"IDR")</f>
        <v>IDR</v>
      </c>
      <c r="I4903" s="6">
        <f>IFERROR(__xludf.DUMMYFUNCTION("""COMPUTED_VALUE"""),6183000.0)</f>
        <v>6183000</v>
      </c>
      <c r="J4903" s="6">
        <f>IFERROR(__xludf.DUMMYFUNCTION("""COMPUTED_VALUE"""),6183000.0)</f>
        <v>6183000</v>
      </c>
      <c r="K4903" s="57">
        <f>IFERROR(__xludf.DUMMYFUNCTION("""COMPUTED_VALUE"""),46115.0)</f>
        <v>46115</v>
      </c>
      <c r="L4903" s="6" t="str">
        <f>IFERROR(__xludf.DUMMYFUNCTION("""COMPUTED_VALUE"""),"FIP Engineering")</f>
        <v>FIP Engineering</v>
      </c>
      <c r="M4903" s="6" t="str">
        <f>IFERROR(__xludf.DUMMYFUNCTION("""COMPUTED_VALUE"""),"Mochammad Fadhillah Hakim,")</f>
        <v>Mochammad Fadhillah Hakim,</v>
      </c>
      <c r="N4903" s="6" t="str">
        <f>IFERROR(__xludf.DUMMYFUNCTION("""COMPUTED_VALUE"""),"FIP Engineering")</f>
        <v>FIP Engineering</v>
      </c>
      <c r="O4903" s="6" t="str">
        <f>IFERROR(__xludf.DUMMYFUNCTION("""COMPUTED_VALUE"""),"FIP-DOM-000-11304-OS00001-INA-000000")</f>
        <v>FIP-DOM-000-11304-OS00001-INA-000000</v>
      </c>
      <c r="P4903" s="6" t="str">
        <f>IFERROR(__xludf.DUMMYFUNCTION("""COMPUTED_VALUE"""),"PO Closed")</f>
        <v>PO Closed</v>
      </c>
      <c r="Q4903" s="6" t="str">
        <f>IFERROR(__xludf.DUMMYFUNCTION("""COMPUTED_VALUE"""),"GL2603458")</f>
        <v>GL2603458</v>
      </c>
      <c r="R4903" s="57">
        <f>IFERROR(__xludf.DUMMYFUNCTION("""COMPUTED_VALUE"""),46083.0)</f>
        <v>46083</v>
      </c>
      <c r="S4903" s="57">
        <f>IFERROR(__xludf.DUMMYFUNCTION("""COMPUTED_VALUE"""),46083.0)</f>
        <v>46083</v>
      </c>
      <c r="T4903" s="57">
        <f>IFERROR(__xludf.DUMMYFUNCTION("""COMPUTED_VALUE"""),46145.0)</f>
        <v>46145</v>
      </c>
    </row>
    <row r="4904">
      <c r="A4904" s="6" t="str">
        <f>IFERROR(__xludf.DUMMYFUNCTION("""COMPUTED_VALUE"""),"121703925-2")</f>
        <v>121703925-2</v>
      </c>
      <c r="B4904" s="6" t="str">
        <f>IFERROR(__xludf.DUMMYFUNCTION("""COMPUTED_VALUE"""),"121703925 - APPROVED")</f>
        <v>121703925 - APPROVED</v>
      </c>
      <c r="C4904" s="6">
        <f>IFERROR(__xludf.DUMMYFUNCTION("""COMPUTED_VALUE"""),2.0)</f>
        <v>2</v>
      </c>
      <c r="D4904" s="6" t="str">
        <f>IFERROR(__xludf.DUMMYFUNCTION("""COMPUTED_VALUE"""),"O-18446-00")</f>
        <v>O-18446-00</v>
      </c>
      <c r="E4904" s="6" t="str">
        <f>IFERROR(__xludf.DUMMYFUNCTION("""COMPUTED_VALUE"""),"General - Silicone Guide Infeed; Custom/Lokal; -; 1 Pc")</f>
        <v>General - Silicone Guide Infeed; Custom/Lokal; -; 1 Pc</v>
      </c>
      <c r="F4904" s="6">
        <f>IFERROR(__xludf.DUMMYFUNCTION("""COMPUTED_VALUE"""),1.0)</f>
        <v>1</v>
      </c>
      <c r="G4904" s="6" t="str">
        <f>IFERROR(__xludf.DUMMYFUNCTION("""COMPUTED_VALUE"""),"Pieces")</f>
        <v>Pieces</v>
      </c>
      <c r="H4904" s="6" t="str">
        <f>IFERROR(__xludf.DUMMYFUNCTION("""COMPUTED_VALUE"""),"IDR")</f>
        <v>IDR</v>
      </c>
      <c r="I4904" s="6">
        <f>IFERROR(__xludf.DUMMYFUNCTION("""COMPUTED_VALUE"""),6520000.0)</f>
        <v>6520000</v>
      </c>
      <c r="J4904" s="6">
        <f>IFERROR(__xludf.DUMMYFUNCTION("""COMPUTED_VALUE"""),6520000.0)</f>
        <v>6520000</v>
      </c>
      <c r="K4904" s="57">
        <f>IFERROR(__xludf.DUMMYFUNCTION("""COMPUTED_VALUE"""),46115.0)</f>
        <v>46115</v>
      </c>
      <c r="L4904" s="6" t="str">
        <f>IFERROR(__xludf.DUMMYFUNCTION("""COMPUTED_VALUE"""),"FIP Engineering")</f>
        <v>FIP Engineering</v>
      </c>
      <c r="M4904" s="6" t="str">
        <f>IFERROR(__xludf.DUMMYFUNCTION("""COMPUTED_VALUE"""),"Mochammad Fadhillah Hakim,")</f>
        <v>Mochammad Fadhillah Hakim,</v>
      </c>
      <c r="N4904" s="6" t="str">
        <f>IFERROR(__xludf.DUMMYFUNCTION("""COMPUTED_VALUE"""),"FIP Engineering")</f>
        <v>FIP Engineering</v>
      </c>
      <c r="O4904" s="6" t="str">
        <f>IFERROR(__xludf.DUMMYFUNCTION("""COMPUTED_VALUE"""),"FIP-DOM-000-11304-OS00001-INA-000000")</f>
        <v>FIP-DOM-000-11304-OS00001-INA-000000</v>
      </c>
      <c r="P4904" s="6" t="str">
        <f>IFERROR(__xludf.DUMMYFUNCTION("""COMPUTED_VALUE"""),"PO Closed")</f>
        <v>PO Closed</v>
      </c>
      <c r="Q4904" s="6" t="str">
        <f>IFERROR(__xludf.DUMMYFUNCTION("""COMPUTED_VALUE"""),"GL2603458")</f>
        <v>GL2603458</v>
      </c>
      <c r="R4904" s="57">
        <f>IFERROR(__xludf.DUMMYFUNCTION("""COMPUTED_VALUE"""),46083.0)</f>
        <v>46083</v>
      </c>
      <c r="S4904" s="57">
        <f>IFERROR(__xludf.DUMMYFUNCTION("""COMPUTED_VALUE"""),46083.0)</f>
        <v>46083</v>
      </c>
      <c r="T4904" s="57">
        <f>IFERROR(__xludf.DUMMYFUNCTION("""COMPUTED_VALUE"""),46145.0)</f>
        <v>46145</v>
      </c>
    </row>
    <row r="4905">
      <c r="A4905" s="6" t="str">
        <f>IFERROR(__xludf.DUMMYFUNCTION("""COMPUTED_VALUE"""),"121703927-1")</f>
        <v>121703927-1</v>
      </c>
      <c r="B4905" s="6" t="str">
        <f>IFERROR(__xludf.DUMMYFUNCTION("""COMPUTED_VALUE"""),"121703927 - APPROVED")</f>
        <v>121703927 - APPROVED</v>
      </c>
      <c r="C4905" s="6">
        <f>IFERROR(__xludf.DUMMYFUNCTION("""COMPUTED_VALUE"""),1.0)</f>
        <v>1</v>
      </c>
      <c r="D4905" s="6" t="str">
        <f>IFERROR(__xludf.DUMMYFUNCTION("""COMPUTED_VALUE"""),"O-19345-00")</f>
        <v>O-19345-00</v>
      </c>
      <c r="E4905" s="6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F4905" s="6">
        <f>IFERROR(__xludf.DUMMYFUNCTION("""COMPUTED_VALUE"""),2.0)</f>
        <v>2</v>
      </c>
      <c r="G4905" s="6" t="str">
        <f>IFERROR(__xludf.DUMMYFUNCTION("""COMPUTED_VALUE"""),"Pieces")</f>
        <v>Pieces</v>
      </c>
      <c r="H4905" s="6" t="str">
        <f>IFERROR(__xludf.DUMMYFUNCTION("""COMPUTED_VALUE"""),"IDR")</f>
        <v>IDR</v>
      </c>
      <c r="I4905" s="6">
        <f>IFERROR(__xludf.DUMMYFUNCTION("""COMPUTED_VALUE"""),1615000.0)</f>
        <v>1615000</v>
      </c>
      <c r="J4905" s="6">
        <f>IFERROR(__xludf.DUMMYFUNCTION("""COMPUTED_VALUE"""),3230000.0)</f>
        <v>3230000</v>
      </c>
      <c r="K4905" s="57">
        <f>IFERROR(__xludf.DUMMYFUNCTION("""COMPUTED_VALUE"""),46115.0)</f>
        <v>46115</v>
      </c>
      <c r="L4905" s="6" t="str">
        <f>IFERROR(__xludf.DUMMYFUNCTION("""COMPUTED_VALUE"""),"FIP Engineering")</f>
        <v>FIP Engineering</v>
      </c>
      <c r="M4905" s="6" t="str">
        <f>IFERROR(__xludf.DUMMYFUNCTION("""COMPUTED_VALUE"""),"Mochammad Fadhillah Hakim,")</f>
        <v>Mochammad Fadhillah Hakim,</v>
      </c>
      <c r="N4905" s="6" t="str">
        <f>IFERROR(__xludf.DUMMYFUNCTION("""COMPUTED_VALUE"""),"FIP Engineering")</f>
        <v>FIP Engineering</v>
      </c>
      <c r="O4905" s="6" t="str">
        <f>IFERROR(__xludf.DUMMYFUNCTION("""COMPUTED_VALUE"""),"FIP-DOM-000-11304-OS00001-INA-000000")</f>
        <v>FIP-DOM-000-11304-OS00001-INA-000000</v>
      </c>
      <c r="P4905" s="6" t="str">
        <f>IFERROR(__xludf.DUMMYFUNCTION("""COMPUTED_VALUE"""),"PO Closed")</f>
        <v>PO Closed</v>
      </c>
      <c r="Q4905" s="6" t="str">
        <f>IFERROR(__xludf.DUMMYFUNCTION("""COMPUTED_VALUE"""),"GL2603459")</f>
        <v>GL2603459</v>
      </c>
      <c r="R4905" s="57">
        <f>IFERROR(__xludf.DUMMYFUNCTION("""COMPUTED_VALUE"""),46083.0)</f>
        <v>46083</v>
      </c>
      <c r="S4905" s="57">
        <f>IFERROR(__xludf.DUMMYFUNCTION("""COMPUTED_VALUE"""),46083.0)</f>
        <v>46083</v>
      </c>
      <c r="T4905" s="57">
        <f>IFERROR(__xludf.DUMMYFUNCTION("""COMPUTED_VALUE"""),46172.0)</f>
        <v>46172</v>
      </c>
    </row>
    <row r="4906">
      <c r="A4906" s="6" t="str">
        <f>IFERROR(__xludf.DUMMYFUNCTION("""COMPUTED_VALUE"""),"121703927-2")</f>
        <v>121703927-2</v>
      </c>
      <c r="B4906" s="6" t="str">
        <f>IFERROR(__xludf.DUMMYFUNCTION("""COMPUTED_VALUE"""),"121703927 - APPROVED")</f>
        <v>121703927 - APPROVED</v>
      </c>
      <c r="C4906" s="6">
        <f>IFERROR(__xludf.DUMMYFUNCTION("""COMPUTED_VALUE"""),2.0)</f>
        <v>2</v>
      </c>
      <c r="D4906" s="6" t="str">
        <f>IFERROR(__xludf.DUMMYFUNCTION("""COMPUTED_VALUE"""),"O-19343-00")</f>
        <v>O-19343-00</v>
      </c>
      <c r="E4906" s="6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F4906" s="6">
        <f>IFERROR(__xludf.DUMMYFUNCTION("""COMPUTED_VALUE"""),2.0)</f>
        <v>2</v>
      </c>
      <c r="G4906" s="6" t="str">
        <f>IFERROR(__xludf.DUMMYFUNCTION("""COMPUTED_VALUE"""),"Pieces")</f>
        <v>Pieces</v>
      </c>
      <c r="H4906" s="6" t="str">
        <f>IFERROR(__xludf.DUMMYFUNCTION("""COMPUTED_VALUE"""),"IDR")</f>
        <v>IDR</v>
      </c>
      <c r="I4906" s="6">
        <f>IFERROR(__xludf.DUMMYFUNCTION("""COMPUTED_VALUE"""),2442500.0)</f>
        <v>2442500</v>
      </c>
      <c r="J4906" s="6">
        <f>IFERROR(__xludf.DUMMYFUNCTION("""COMPUTED_VALUE"""),4885000.0)</f>
        <v>4885000</v>
      </c>
      <c r="K4906" s="57">
        <f>IFERROR(__xludf.DUMMYFUNCTION("""COMPUTED_VALUE"""),46115.0)</f>
        <v>46115</v>
      </c>
      <c r="L4906" s="6" t="str">
        <f>IFERROR(__xludf.DUMMYFUNCTION("""COMPUTED_VALUE"""),"FIP Engineering")</f>
        <v>FIP Engineering</v>
      </c>
      <c r="M4906" s="6" t="str">
        <f>IFERROR(__xludf.DUMMYFUNCTION("""COMPUTED_VALUE"""),"Mochammad Fadhillah Hakim,")</f>
        <v>Mochammad Fadhillah Hakim,</v>
      </c>
      <c r="N4906" s="6" t="str">
        <f>IFERROR(__xludf.DUMMYFUNCTION("""COMPUTED_VALUE"""),"FIP Engineering")</f>
        <v>FIP Engineering</v>
      </c>
      <c r="O4906" s="6" t="str">
        <f>IFERROR(__xludf.DUMMYFUNCTION("""COMPUTED_VALUE"""),"FIP-DOM-000-11304-OS00001-INA-000000")</f>
        <v>FIP-DOM-000-11304-OS00001-INA-000000</v>
      </c>
      <c r="P4906" s="6" t="str">
        <f>IFERROR(__xludf.DUMMYFUNCTION("""COMPUTED_VALUE"""),"PO Closed")</f>
        <v>PO Closed</v>
      </c>
      <c r="Q4906" s="6" t="str">
        <f>IFERROR(__xludf.DUMMYFUNCTION("""COMPUTED_VALUE"""),"GL2603459")</f>
        <v>GL2603459</v>
      </c>
      <c r="R4906" s="57">
        <f>IFERROR(__xludf.DUMMYFUNCTION("""COMPUTED_VALUE"""),46083.0)</f>
        <v>46083</v>
      </c>
      <c r="S4906" s="57">
        <f>IFERROR(__xludf.DUMMYFUNCTION("""COMPUTED_VALUE"""),46083.0)</f>
        <v>46083</v>
      </c>
      <c r="T4906" s="57">
        <f>IFERROR(__xludf.DUMMYFUNCTION("""COMPUTED_VALUE"""),46172.0)</f>
        <v>46172</v>
      </c>
    </row>
    <row r="4907">
      <c r="A4907" s="6" t="str">
        <f>IFERROR(__xludf.DUMMYFUNCTION("""COMPUTED_VALUE"""),"121703928-1")</f>
        <v>121703928-1</v>
      </c>
      <c r="B4907" s="6" t="str">
        <f>IFERROR(__xludf.DUMMYFUNCTION("""COMPUTED_VALUE"""),"121703928 - APPROVED")</f>
        <v>121703928 - APPROVED</v>
      </c>
      <c r="C4907" s="6">
        <f>IFERROR(__xludf.DUMMYFUNCTION("""COMPUTED_VALUE"""),1.0)</f>
        <v>1</v>
      </c>
      <c r="D4907" s="6" t="str">
        <f>IFERROR(__xludf.DUMMYFUNCTION("""COMPUTED_VALUE"""),"O-15820-00")</f>
        <v>O-15820-00</v>
      </c>
      <c r="E4907" s="6" t="str">
        <f>IFERROR(__xludf.DUMMYFUNCTION("""COMPUTED_VALUE"""),"General - MCB C60H 1 phase 1 pole 2 A; Schneider; -; 1 Pc")</f>
        <v>General - MCB C60H 1 phase 1 pole 2 A; Schneider; -; 1 Pc</v>
      </c>
      <c r="F4907" s="6">
        <f>IFERROR(__xludf.DUMMYFUNCTION("""COMPUTED_VALUE"""),4.0)</f>
        <v>4</v>
      </c>
      <c r="G4907" s="6" t="str">
        <f>IFERROR(__xludf.DUMMYFUNCTION("""COMPUTED_VALUE"""),"Pieces")</f>
        <v>Pieces</v>
      </c>
      <c r="H4907" s="6" t="str">
        <f>IFERROR(__xludf.DUMMYFUNCTION("""COMPUTED_VALUE"""),"IDR")</f>
        <v>IDR</v>
      </c>
      <c r="I4907" s="6">
        <f>IFERROR(__xludf.DUMMYFUNCTION("""COMPUTED_VALUE"""),82950.0)</f>
        <v>82950</v>
      </c>
      <c r="J4907" s="6">
        <f>IFERROR(__xludf.DUMMYFUNCTION("""COMPUTED_VALUE"""),331800.0)</f>
        <v>331800</v>
      </c>
      <c r="K4907" s="57">
        <f>IFERROR(__xludf.DUMMYFUNCTION("""COMPUTED_VALUE"""),46115.0)</f>
        <v>46115</v>
      </c>
      <c r="L4907" s="6" t="str">
        <f>IFERROR(__xludf.DUMMYFUNCTION("""COMPUTED_VALUE"""),"FIP Engineering")</f>
        <v>FIP Engineering</v>
      </c>
      <c r="M4907" s="6" t="str">
        <f>IFERROR(__xludf.DUMMYFUNCTION("""COMPUTED_VALUE"""),"Mochammad Fadhillah Hakim,")</f>
        <v>Mochammad Fadhillah Hakim,</v>
      </c>
      <c r="N4907" s="6" t="str">
        <f>IFERROR(__xludf.DUMMYFUNCTION("""COMPUTED_VALUE"""),"FIP Engineering")</f>
        <v>FIP Engineering</v>
      </c>
      <c r="O4907" s="6" t="str">
        <f>IFERROR(__xludf.DUMMYFUNCTION("""COMPUTED_VALUE"""),"FIP-DOM-000-11304-OS00001-INA-000000")</f>
        <v>FIP-DOM-000-11304-OS00001-INA-000000</v>
      </c>
      <c r="P4907" s="6" t="str">
        <f>IFERROR(__xludf.DUMMYFUNCTION("""COMPUTED_VALUE"""),"PO Closed")</f>
        <v>PO Closed</v>
      </c>
      <c r="Q4907" s="6" t="str">
        <f>IFERROR(__xludf.DUMMYFUNCTION("""COMPUTED_VALUE"""),"GL2603460")</f>
        <v>GL2603460</v>
      </c>
      <c r="R4907" s="57">
        <f>IFERROR(__xludf.DUMMYFUNCTION("""COMPUTED_VALUE"""),46083.0)</f>
        <v>46083</v>
      </c>
      <c r="S4907" s="57">
        <f>IFERROR(__xludf.DUMMYFUNCTION("""COMPUTED_VALUE"""),46083.0)</f>
        <v>46083</v>
      </c>
      <c r="T4907" s="57">
        <f>IFERROR(__xludf.DUMMYFUNCTION("""COMPUTED_VALUE"""),46117.0)</f>
        <v>46117</v>
      </c>
    </row>
    <row r="4908">
      <c r="A4908" s="6" t="str">
        <f>IFERROR(__xludf.DUMMYFUNCTION("""COMPUTED_VALUE"""),"121703929-1")</f>
        <v>121703929-1</v>
      </c>
      <c r="B4908" s="6" t="str">
        <f>IFERROR(__xludf.DUMMYFUNCTION("""COMPUTED_VALUE"""),"121703929 - APPROVED")</f>
        <v>121703929 - APPROVED</v>
      </c>
      <c r="C4908" s="6">
        <f>IFERROR(__xludf.DUMMYFUNCTION("""COMPUTED_VALUE"""),1.0)</f>
        <v>1</v>
      </c>
      <c r="D4908" s="6" t="str">
        <f>IFERROR(__xludf.DUMMYFUNCTION("""COMPUTED_VALUE"""),"T-21619-00")</f>
        <v>T-21619-00</v>
      </c>
      <c r="E4908" s="6" t="str">
        <f>IFERROR(__xludf.DUMMYFUNCTION("""COMPUTED_VALUE"""),"Biaya Transportasi / Insitu / Onsite kalibrasi; ; ; pcs")</f>
        <v>Biaya Transportasi / Insitu / Onsite kalibrasi; ; ; pcs</v>
      </c>
      <c r="F4908" s="6">
        <f>IFERROR(__xludf.DUMMYFUNCTION("""COMPUTED_VALUE"""),1.0)</f>
        <v>1</v>
      </c>
      <c r="G4908" s="6" t="str">
        <f>IFERROR(__xludf.DUMMYFUNCTION("""COMPUTED_VALUE"""),"Pieces")</f>
        <v>Pieces</v>
      </c>
      <c r="H4908" s="6" t="str">
        <f>IFERROR(__xludf.DUMMYFUNCTION("""COMPUTED_VALUE"""),"IDR")</f>
        <v>IDR</v>
      </c>
      <c r="I4908" s="6">
        <f>IFERROR(__xludf.DUMMYFUNCTION("""COMPUTED_VALUE"""),300000.0)</f>
        <v>300000</v>
      </c>
      <c r="J4908" s="6">
        <f>IFERROR(__xludf.DUMMYFUNCTION("""COMPUTED_VALUE"""),300000.0)</f>
        <v>300000</v>
      </c>
      <c r="K4908" s="57">
        <f>IFERROR(__xludf.DUMMYFUNCTION("""COMPUTED_VALUE"""),46115.0)</f>
        <v>46115</v>
      </c>
      <c r="L4908" s="6" t="str">
        <f>IFERROR(__xludf.DUMMYFUNCTION("""COMPUTED_VALUE"""),"FIP General")</f>
        <v>FIP General</v>
      </c>
      <c r="M4908" s="6" t="str">
        <f>IFERROR(__xludf.DUMMYFUNCTION("""COMPUTED_VALUE"""),"Mochammad Fadhillah Hakim,")</f>
        <v>Mochammad Fadhillah Hakim,</v>
      </c>
      <c r="N4908" s="6" t="str">
        <f>IFERROR(__xludf.DUMMYFUNCTION("""COMPUTED_VALUE"""),"FIP Engineering")</f>
        <v>FIP Engineering</v>
      </c>
      <c r="O4908" s="6" t="str">
        <f>IFERROR(__xludf.DUMMYFUNCTION("""COMPUTED_VALUE"""),"FIP-DOM-ENG-51505-0000000-INA-000000")</f>
        <v>FIP-DOM-ENG-51505-0000000-INA-000000</v>
      </c>
      <c r="P4908" s="6" t="str">
        <f>IFERROR(__xludf.DUMMYFUNCTION("""COMPUTED_VALUE"""),"PO Closed")</f>
        <v>PO Closed</v>
      </c>
      <c r="Q4908" s="6" t="str">
        <f>IFERROR(__xludf.DUMMYFUNCTION("""COMPUTED_VALUE"""),"GL2603002")</f>
        <v>GL2603002</v>
      </c>
      <c r="R4908" s="57">
        <f>IFERROR(__xludf.DUMMYFUNCTION("""COMPUTED_VALUE"""),46083.0)</f>
        <v>46083</v>
      </c>
      <c r="S4908" s="57">
        <f>IFERROR(__xludf.DUMMYFUNCTION("""COMPUTED_VALUE"""),46083.0)</f>
        <v>46083</v>
      </c>
      <c r="T4908" s="57">
        <f>IFERROR(__xludf.DUMMYFUNCTION("""COMPUTED_VALUE"""),46097.0)</f>
        <v>46097</v>
      </c>
    </row>
    <row r="4909">
      <c r="A4909" s="6" t="str">
        <f>IFERROR(__xludf.DUMMYFUNCTION("""COMPUTED_VALUE"""),"121703930-1")</f>
        <v>121703930-1</v>
      </c>
      <c r="B4909" s="6" t="str">
        <f>IFERROR(__xludf.DUMMYFUNCTION("""COMPUTED_VALUE"""),"121703930 - APPROVED")</f>
        <v>121703930 - APPROVED</v>
      </c>
      <c r="C4909" s="6">
        <f>IFERROR(__xludf.DUMMYFUNCTION("""COMPUTED_VALUE"""),1.0)</f>
        <v>1</v>
      </c>
      <c r="D4909" s="6" t="str">
        <f>IFERROR(__xludf.DUMMYFUNCTION("""COMPUTED_VALUE"""),"O-52478-00")</f>
        <v>O-52478-00</v>
      </c>
      <c r="E4909" s="6" t="str">
        <f>IFERROR(__xludf.DUMMYFUNCTION("""COMPUTED_VALUE"""),"General - Proximity Sensor; Schmersal; BNS260-11ZG-ST-R; 1 Pc")</f>
        <v>General - Proximity Sensor; Schmersal; BNS260-11ZG-ST-R; 1 Pc</v>
      </c>
      <c r="F4909" s="6">
        <f>IFERROR(__xludf.DUMMYFUNCTION("""COMPUTED_VALUE"""),2.0)</f>
        <v>2</v>
      </c>
      <c r="G4909" s="6" t="str">
        <f>IFERROR(__xludf.DUMMYFUNCTION("""COMPUTED_VALUE"""),"Pieces")</f>
        <v>Pieces</v>
      </c>
      <c r="H4909" s="6" t="str">
        <f>IFERROR(__xludf.DUMMYFUNCTION("""COMPUTED_VALUE"""),"IDR")</f>
        <v>IDR</v>
      </c>
      <c r="I4909" s="6">
        <f>IFERROR(__xludf.DUMMYFUNCTION("""COMPUTED_VALUE"""),2480000.0)</f>
        <v>2480000</v>
      </c>
      <c r="J4909" s="6">
        <f>IFERROR(__xludf.DUMMYFUNCTION("""COMPUTED_VALUE"""),4960000.0)</f>
        <v>4960000</v>
      </c>
      <c r="K4909" s="57">
        <f>IFERROR(__xludf.DUMMYFUNCTION("""COMPUTED_VALUE"""),46115.0)</f>
        <v>46115</v>
      </c>
      <c r="L4909" s="6" t="str">
        <f>IFERROR(__xludf.DUMMYFUNCTION("""COMPUTED_VALUE"""),"FIP Engineering")</f>
        <v>FIP Engineering</v>
      </c>
      <c r="M4909" s="6" t="str">
        <f>IFERROR(__xludf.DUMMYFUNCTION("""COMPUTED_VALUE"""),"Mochammad Fadhillah Hakim,")</f>
        <v>Mochammad Fadhillah Hakim,</v>
      </c>
      <c r="N4909" s="6" t="str">
        <f>IFERROR(__xludf.DUMMYFUNCTION("""COMPUTED_VALUE"""),"FIP Engineering")</f>
        <v>FIP Engineering</v>
      </c>
      <c r="O4909" s="6" t="str">
        <f>IFERROR(__xludf.DUMMYFUNCTION("""COMPUTED_VALUE"""),"FIP-DOM-000-11304-OS00001-INA-000000")</f>
        <v>FIP-DOM-000-11304-OS00001-INA-000000</v>
      </c>
      <c r="P4909" s="6" t="str">
        <f>IFERROR(__xludf.DUMMYFUNCTION("""COMPUTED_VALUE"""),"PO Closed")</f>
        <v>PO Closed</v>
      </c>
      <c r="Q4909" s="6" t="str">
        <f>IFERROR(__xludf.DUMMYFUNCTION("""COMPUTED_VALUE"""),"GL2603033")</f>
        <v>GL2603033</v>
      </c>
      <c r="R4909" s="57">
        <f>IFERROR(__xludf.DUMMYFUNCTION("""COMPUTED_VALUE"""),46083.0)</f>
        <v>46083</v>
      </c>
      <c r="S4909" s="57">
        <f>IFERROR(__xludf.DUMMYFUNCTION("""COMPUTED_VALUE"""),46083.0)</f>
        <v>46083</v>
      </c>
      <c r="T4909" s="57">
        <f>IFERROR(__xludf.DUMMYFUNCTION("""COMPUTED_VALUE"""),46176.0)</f>
        <v>46176</v>
      </c>
    </row>
    <row r="4910">
      <c r="A4910" s="6" t="str">
        <f>IFERROR(__xludf.DUMMYFUNCTION("""COMPUTED_VALUE"""),"121703931-1")</f>
        <v>121703931-1</v>
      </c>
      <c r="B4910" s="6" t="str">
        <f>IFERROR(__xludf.DUMMYFUNCTION("""COMPUTED_VALUE"""),"121703931 - APPROVED")</f>
        <v>121703931 - APPROVED</v>
      </c>
      <c r="C4910" s="6">
        <f>IFERROR(__xludf.DUMMYFUNCTION("""COMPUTED_VALUE"""),1.0)</f>
        <v>1</v>
      </c>
      <c r="D4910" s="6" t="str">
        <f>IFERROR(__xludf.DUMMYFUNCTION("""COMPUTED_VALUE"""),"P-12223-00")</f>
        <v>P-12223-00</v>
      </c>
      <c r="E4910" s="6" t="str">
        <f>IFERROR(__xludf.DUMMYFUNCTION("""COMPUTED_VALUE"""),"FESTO - Blanking plug QSC-6H  p/n 153268")</f>
        <v>FESTO - Blanking plug QSC-6H  p/n 153268</v>
      </c>
      <c r="F4910" s="6">
        <f>IFERROR(__xludf.DUMMYFUNCTION("""COMPUTED_VALUE"""),15.0)</f>
        <v>15</v>
      </c>
      <c r="G4910" s="6" t="str">
        <f>IFERROR(__xludf.DUMMYFUNCTION("""COMPUTED_VALUE"""),"Pieces")</f>
        <v>Pieces</v>
      </c>
      <c r="H4910" s="6" t="str">
        <f>IFERROR(__xludf.DUMMYFUNCTION("""COMPUTED_VALUE"""),"IDR")</f>
        <v>IDR</v>
      </c>
      <c r="I4910" s="6">
        <f>IFERROR(__xludf.DUMMYFUNCTION("""COMPUTED_VALUE"""),15366.0)</f>
        <v>15366</v>
      </c>
      <c r="J4910" s="6">
        <f>IFERROR(__xludf.DUMMYFUNCTION("""COMPUTED_VALUE"""),230490.0)</f>
        <v>230490</v>
      </c>
      <c r="K4910" s="57">
        <f>IFERROR(__xludf.DUMMYFUNCTION("""COMPUTED_VALUE"""),46115.0)</f>
        <v>46115</v>
      </c>
      <c r="L4910" s="6" t="str">
        <f>IFERROR(__xludf.DUMMYFUNCTION("""COMPUTED_VALUE"""),"FIP Engineering")</f>
        <v>FIP Engineering</v>
      </c>
      <c r="M4910" s="6" t="str">
        <f>IFERROR(__xludf.DUMMYFUNCTION("""COMPUTED_VALUE"""),"Mochammad Fadhillah Hakim,")</f>
        <v>Mochammad Fadhillah Hakim,</v>
      </c>
      <c r="N4910" s="6" t="str">
        <f>IFERROR(__xludf.DUMMYFUNCTION("""COMPUTED_VALUE"""),"FIP Engineering")</f>
        <v>FIP Engineering</v>
      </c>
      <c r="O4910" s="6" t="str">
        <f>IFERROR(__xludf.DUMMYFUNCTION("""COMPUTED_VALUE"""),"FIP-DOM-000-11304-OS00001-INA-000000")</f>
        <v>FIP-DOM-000-11304-OS00001-INA-000000</v>
      </c>
      <c r="P4910" s="6" t="str">
        <f>IFERROR(__xludf.DUMMYFUNCTION("""COMPUTED_VALUE"""),"PO Closed")</f>
        <v>PO Closed</v>
      </c>
      <c r="Q4910" s="6" t="str">
        <f>IFERROR(__xludf.DUMMYFUNCTION("""COMPUTED_VALUE"""),"GL2603472")</f>
        <v>GL2603472</v>
      </c>
      <c r="R4910" s="57">
        <f>IFERROR(__xludf.DUMMYFUNCTION("""COMPUTED_VALUE"""),46083.0)</f>
        <v>46083</v>
      </c>
      <c r="S4910" s="57">
        <f>IFERROR(__xludf.DUMMYFUNCTION("""COMPUTED_VALUE"""),46083.0)</f>
        <v>46083</v>
      </c>
      <c r="T4910" s="57">
        <f>IFERROR(__xludf.DUMMYFUNCTION("""COMPUTED_VALUE"""),46115.0)</f>
        <v>46115</v>
      </c>
    </row>
    <row r="4911">
      <c r="A4911" s="6" t="str">
        <f>IFERROR(__xludf.DUMMYFUNCTION("""COMPUTED_VALUE"""),"121703931-2")</f>
        <v>121703931-2</v>
      </c>
      <c r="B4911" s="6" t="str">
        <f>IFERROR(__xludf.DUMMYFUNCTION("""COMPUTED_VALUE"""),"121703931 - APPROVED")</f>
        <v>121703931 - APPROVED</v>
      </c>
      <c r="C4911" s="6">
        <f>IFERROR(__xludf.DUMMYFUNCTION("""COMPUTED_VALUE"""),2.0)</f>
        <v>2</v>
      </c>
      <c r="D4911" s="6" t="str">
        <f>IFERROR(__xludf.DUMMYFUNCTION("""COMPUTED_VALUE"""),"P-11195-00")</f>
        <v>P-11195-00</v>
      </c>
      <c r="E4911" s="6" t="str">
        <f>IFERROR(__xludf.DUMMYFUNCTION("""COMPUTED_VALUE"""),"General - Push-in Fitting, QSF-1/8-6-B; Festo; 153023; 1 pcs")</f>
        <v>General - Push-in Fitting, QSF-1/8-6-B; Festo; 153023; 1 pcs</v>
      </c>
      <c r="F4911" s="6">
        <f>IFERROR(__xludf.DUMMYFUNCTION("""COMPUTED_VALUE"""),20.0)</f>
        <v>20</v>
      </c>
      <c r="G4911" s="6" t="str">
        <f>IFERROR(__xludf.DUMMYFUNCTION("""COMPUTED_VALUE"""),"Pieces")</f>
        <v>Pieces</v>
      </c>
      <c r="H4911" s="6" t="str">
        <f>IFERROR(__xludf.DUMMYFUNCTION("""COMPUTED_VALUE"""),"IDR")</f>
        <v>IDR</v>
      </c>
      <c r="I4911" s="6">
        <f>IFERROR(__xludf.DUMMYFUNCTION("""COMPUTED_VALUE"""),29414.0)</f>
        <v>29414</v>
      </c>
      <c r="J4911" s="6">
        <f>IFERROR(__xludf.DUMMYFUNCTION("""COMPUTED_VALUE"""),588280.0)</f>
        <v>588280</v>
      </c>
      <c r="K4911" s="57">
        <f>IFERROR(__xludf.DUMMYFUNCTION("""COMPUTED_VALUE"""),46115.0)</f>
        <v>46115</v>
      </c>
      <c r="L4911" s="6" t="str">
        <f>IFERROR(__xludf.DUMMYFUNCTION("""COMPUTED_VALUE"""),"FIP Engineering")</f>
        <v>FIP Engineering</v>
      </c>
      <c r="M4911" s="6" t="str">
        <f>IFERROR(__xludf.DUMMYFUNCTION("""COMPUTED_VALUE"""),"Mochammad Fadhillah Hakim,")</f>
        <v>Mochammad Fadhillah Hakim,</v>
      </c>
      <c r="N4911" s="6" t="str">
        <f>IFERROR(__xludf.DUMMYFUNCTION("""COMPUTED_VALUE"""),"FIP Engineering")</f>
        <v>FIP Engineering</v>
      </c>
      <c r="O4911" s="6" t="str">
        <f>IFERROR(__xludf.DUMMYFUNCTION("""COMPUTED_VALUE"""),"FIP-DOM-000-11304-OS00001-INA-000000")</f>
        <v>FIP-DOM-000-11304-OS00001-INA-000000</v>
      </c>
      <c r="P4911" s="6" t="str">
        <f>IFERROR(__xludf.DUMMYFUNCTION("""COMPUTED_VALUE"""),"PO Closed")</f>
        <v>PO Closed</v>
      </c>
      <c r="Q4911" s="6" t="str">
        <f>IFERROR(__xludf.DUMMYFUNCTION("""COMPUTED_VALUE"""),"GL2603472")</f>
        <v>GL2603472</v>
      </c>
      <c r="R4911" s="57">
        <f>IFERROR(__xludf.DUMMYFUNCTION("""COMPUTED_VALUE"""),46083.0)</f>
        <v>46083</v>
      </c>
      <c r="S4911" s="57">
        <f>IFERROR(__xludf.DUMMYFUNCTION("""COMPUTED_VALUE"""),46083.0)</f>
        <v>46083</v>
      </c>
      <c r="T4911" s="57">
        <f>IFERROR(__xludf.DUMMYFUNCTION("""COMPUTED_VALUE"""),46115.0)</f>
        <v>46115</v>
      </c>
    </row>
    <row r="4912">
      <c r="A4912" s="6" t="str">
        <f>IFERROR(__xludf.DUMMYFUNCTION("""COMPUTED_VALUE"""),"121703931-3")</f>
        <v>121703931-3</v>
      </c>
      <c r="B4912" s="6" t="str">
        <f>IFERROR(__xludf.DUMMYFUNCTION("""COMPUTED_VALUE"""),"121703931 - APPROVED")</f>
        <v>121703931 - APPROVED</v>
      </c>
      <c r="C4912" s="6">
        <f>IFERROR(__xludf.DUMMYFUNCTION("""COMPUTED_VALUE"""),3.0)</f>
        <v>3</v>
      </c>
      <c r="D4912" s="6" t="str">
        <f>IFERROR(__xludf.DUMMYFUNCTION("""COMPUTED_VALUE"""),"P-12280-00")</f>
        <v>P-12280-00</v>
      </c>
      <c r="E4912" s="6" t="str">
        <f>IFERROR(__xludf.DUMMYFUNCTION("""COMPUTED_VALUE"""),"FESTO - QS-1/8-8 Push-In fitting p/n 153004")</f>
        <v>FESTO - QS-1/8-8 Push-In fitting p/n 153004</v>
      </c>
      <c r="F4912" s="6">
        <f>IFERROR(__xludf.DUMMYFUNCTION("""COMPUTED_VALUE"""),20.0)</f>
        <v>20</v>
      </c>
      <c r="G4912" s="6" t="str">
        <f>IFERROR(__xludf.DUMMYFUNCTION("""COMPUTED_VALUE"""),"Pieces")</f>
        <v>Pieces</v>
      </c>
      <c r="H4912" s="6" t="str">
        <f>IFERROR(__xludf.DUMMYFUNCTION("""COMPUTED_VALUE"""),"IDR")</f>
        <v>IDR</v>
      </c>
      <c r="I4912" s="6">
        <f>IFERROR(__xludf.DUMMYFUNCTION("""COMPUTED_VALUE"""),30293.0)</f>
        <v>30293</v>
      </c>
      <c r="J4912" s="6">
        <f>IFERROR(__xludf.DUMMYFUNCTION("""COMPUTED_VALUE"""),605860.0)</f>
        <v>605860</v>
      </c>
      <c r="K4912" s="57">
        <f>IFERROR(__xludf.DUMMYFUNCTION("""COMPUTED_VALUE"""),46115.0)</f>
        <v>46115</v>
      </c>
      <c r="L4912" s="6" t="str">
        <f>IFERROR(__xludf.DUMMYFUNCTION("""COMPUTED_VALUE"""),"FIP Engineering")</f>
        <v>FIP Engineering</v>
      </c>
      <c r="M4912" s="6" t="str">
        <f>IFERROR(__xludf.DUMMYFUNCTION("""COMPUTED_VALUE"""),"Mochammad Fadhillah Hakim,")</f>
        <v>Mochammad Fadhillah Hakim,</v>
      </c>
      <c r="N4912" s="6" t="str">
        <f>IFERROR(__xludf.DUMMYFUNCTION("""COMPUTED_VALUE"""),"FIP Engineering")</f>
        <v>FIP Engineering</v>
      </c>
      <c r="O4912" s="6" t="str">
        <f>IFERROR(__xludf.DUMMYFUNCTION("""COMPUTED_VALUE"""),"FIP-DOM-000-11304-OS00001-INA-000000")</f>
        <v>FIP-DOM-000-11304-OS00001-INA-000000</v>
      </c>
      <c r="P4912" s="6" t="str">
        <f>IFERROR(__xludf.DUMMYFUNCTION("""COMPUTED_VALUE"""),"PO Closed")</f>
        <v>PO Closed</v>
      </c>
      <c r="Q4912" s="6" t="str">
        <f>IFERROR(__xludf.DUMMYFUNCTION("""COMPUTED_VALUE"""),"GL2603472")</f>
        <v>GL2603472</v>
      </c>
      <c r="R4912" s="57">
        <f>IFERROR(__xludf.DUMMYFUNCTION("""COMPUTED_VALUE"""),46083.0)</f>
        <v>46083</v>
      </c>
      <c r="S4912" s="57">
        <f>IFERROR(__xludf.DUMMYFUNCTION("""COMPUTED_VALUE"""),46083.0)</f>
        <v>46083</v>
      </c>
      <c r="T4912" s="57">
        <f>IFERROR(__xludf.DUMMYFUNCTION("""COMPUTED_VALUE"""),46115.0)</f>
        <v>46115</v>
      </c>
    </row>
    <row r="4913">
      <c r="A4913" s="6" t="str">
        <f>IFERROR(__xludf.DUMMYFUNCTION("""COMPUTED_VALUE"""),"121703931-4")</f>
        <v>121703931-4</v>
      </c>
      <c r="B4913" s="6" t="str">
        <f>IFERROR(__xludf.DUMMYFUNCTION("""COMPUTED_VALUE"""),"121703931 - APPROVED")</f>
        <v>121703931 - APPROVED</v>
      </c>
      <c r="C4913" s="6">
        <f>IFERROR(__xludf.DUMMYFUNCTION("""COMPUTED_VALUE"""),4.0)</f>
        <v>4</v>
      </c>
      <c r="D4913" s="6" t="str">
        <f>IFERROR(__xludf.DUMMYFUNCTION("""COMPUTED_VALUE"""),"P-12286-00")</f>
        <v>P-12286-00</v>
      </c>
      <c r="E4913" s="6" t="str">
        <f>IFERROR(__xludf.DUMMYFUNCTION("""COMPUTED_VALUE"""),"FESTO - QS-3/8-6 Push-In fitting p/n 190645")</f>
        <v>FESTO - QS-3/8-6 Push-In fitting p/n 190645</v>
      </c>
      <c r="F4913" s="6">
        <f>IFERROR(__xludf.DUMMYFUNCTION("""COMPUTED_VALUE"""),20.0)</f>
        <v>20</v>
      </c>
      <c r="G4913" s="6" t="str">
        <f>IFERROR(__xludf.DUMMYFUNCTION("""COMPUTED_VALUE"""),"Pieces")</f>
        <v>Pieces</v>
      </c>
      <c r="H4913" s="6" t="str">
        <f>IFERROR(__xludf.DUMMYFUNCTION("""COMPUTED_VALUE"""),"IDR")</f>
        <v>IDR</v>
      </c>
      <c r="I4913" s="6">
        <f>IFERROR(__xludf.DUMMYFUNCTION("""COMPUTED_VALUE"""),33248.0)</f>
        <v>33248</v>
      </c>
      <c r="J4913" s="6">
        <f>IFERROR(__xludf.DUMMYFUNCTION("""COMPUTED_VALUE"""),664960.0)</f>
        <v>664960</v>
      </c>
      <c r="K4913" s="57">
        <f>IFERROR(__xludf.DUMMYFUNCTION("""COMPUTED_VALUE"""),46115.0)</f>
        <v>46115</v>
      </c>
      <c r="L4913" s="6" t="str">
        <f>IFERROR(__xludf.DUMMYFUNCTION("""COMPUTED_VALUE"""),"FIP Engineering")</f>
        <v>FIP Engineering</v>
      </c>
      <c r="M4913" s="6" t="str">
        <f>IFERROR(__xludf.DUMMYFUNCTION("""COMPUTED_VALUE"""),"Mochammad Fadhillah Hakim,")</f>
        <v>Mochammad Fadhillah Hakim,</v>
      </c>
      <c r="N4913" s="6" t="str">
        <f>IFERROR(__xludf.DUMMYFUNCTION("""COMPUTED_VALUE"""),"FIP Engineering")</f>
        <v>FIP Engineering</v>
      </c>
      <c r="O4913" s="6" t="str">
        <f>IFERROR(__xludf.DUMMYFUNCTION("""COMPUTED_VALUE"""),"FIP-DOM-000-11304-OS00001-INA-000000")</f>
        <v>FIP-DOM-000-11304-OS00001-INA-000000</v>
      </c>
      <c r="P4913" s="6" t="str">
        <f>IFERROR(__xludf.DUMMYFUNCTION("""COMPUTED_VALUE"""),"PO Closed")</f>
        <v>PO Closed</v>
      </c>
      <c r="Q4913" s="6" t="str">
        <f>IFERROR(__xludf.DUMMYFUNCTION("""COMPUTED_VALUE"""),"GL2603472")</f>
        <v>GL2603472</v>
      </c>
      <c r="R4913" s="57">
        <f>IFERROR(__xludf.DUMMYFUNCTION("""COMPUTED_VALUE"""),46083.0)</f>
        <v>46083</v>
      </c>
      <c r="S4913" s="57">
        <f>IFERROR(__xludf.DUMMYFUNCTION("""COMPUTED_VALUE"""),46083.0)</f>
        <v>46083</v>
      </c>
      <c r="T4913" s="57">
        <f>IFERROR(__xludf.DUMMYFUNCTION("""COMPUTED_VALUE"""),46115.0)</f>
        <v>46115</v>
      </c>
    </row>
    <row r="4914">
      <c r="A4914" s="6" t="str">
        <f>IFERROR(__xludf.DUMMYFUNCTION("""COMPUTED_VALUE"""),"121703931-5")</f>
        <v>121703931-5</v>
      </c>
      <c r="B4914" s="6" t="str">
        <f>IFERROR(__xludf.DUMMYFUNCTION("""COMPUTED_VALUE"""),"121703931 - APPROVED")</f>
        <v>121703931 - APPROVED</v>
      </c>
      <c r="C4914" s="6">
        <f>IFERROR(__xludf.DUMMYFUNCTION("""COMPUTED_VALUE"""),5.0)</f>
        <v>5</v>
      </c>
      <c r="D4914" s="6" t="str">
        <f>IFERROR(__xludf.DUMMYFUNCTION("""COMPUTED_VALUE"""),"P-11182-00")</f>
        <v>P-11182-00</v>
      </c>
      <c r="E4914" s="6" t="str">
        <f>IFERROR(__xludf.DUMMYFUNCTION("""COMPUTED_VALUE"""),"General - Push-in Connector, QS-6; Festo; 153032; 1 pcs")</f>
        <v>General - Push-in Connector, QS-6; Festo; 153032; 1 pcs</v>
      </c>
      <c r="F4914" s="6">
        <f>IFERROR(__xludf.DUMMYFUNCTION("""COMPUTED_VALUE"""),17.0)</f>
        <v>17</v>
      </c>
      <c r="G4914" s="6" t="str">
        <f>IFERROR(__xludf.DUMMYFUNCTION("""COMPUTED_VALUE"""),"Pieces")</f>
        <v>Pieces</v>
      </c>
      <c r="H4914" s="6" t="str">
        <f>IFERROR(__xludf.DUMMYFUNCTION("""COMPUTED_VALUE"""),"IDR")</f>
        <v>IDR</v>
      </c>
      <c r="I4914" s="6">
        <f>IFERROR(__xludf.DUMMYFUNCTION("""COMPUTED_VALUE"""),44049.0)</f>
        <v>44049</v>
      </c>
      <c r="J4914" s="6">
        <f>IFERROR(__xludf.DUMMYFUNCTION("""COMPUTED_VALUE"""),748833.0)</f>
        <v>748833</v>
      </c>
      <c r="K4914" s="57">
        <f>IFERROR(__xludf.DUMMYFUNCTION("""COMPUTED_VALUE"""),46115.0)</f>
        <v>46115</v>
      </c>
      <c r="L4914" s="6" t="str">
        <f>IFERROR(__xludf.DUMMYFUNCTION("""COMPUTED_VALUE"""),"FIP Engineering")</f>
        <v>FIP Engineering</v>
      </c>
      <c r="M4914" s="6" t="str">
        <f>IFERROR(__xludf.DUMMYFUNCTION("""COMPUTED_VALUE"""),"Mochammad Fadhillah Hakim,")</f>
        <v>Mochammad Fadhillah Hakim,</v>
      </c>
      <c r="N4914" s="6" t="str">
        <f>IFERROR(__xludf.DUMMYFUNCTION("""COMPUTED_VALUE"""),"FIP Engineering")</f>
        <v>FIP Engineering</v>
      </c>
      <c r="O4914" s="6" t="str">
        <f>IFERROR(__xludf.DUMMYFUNCTION("""COMPUTED_VALUE"""),"FIP-DOM-000-11304-OS00001-INA-000000")</f>
        <v>FIP-DOM-000-11304-OS00001-INA-000000</v>
      </c>
      <c r="P4914" s="6" t="str">
        <f>IFERROR(__xludf.DUMMYFUNCTION("""COMPUTED_VALUE"""),"PO Closed")</f>
        <v>PO Closed</v>
      </c>
      <c r="Q4914" s="6" t="str">
        <f>IFERROR(__xludf.DUMMYFUNCTION("""COMPUTED_VALUE"""),"GL2603472")</f>
        <v>GL2603472</v>
      </c>
      <c r="R4914" s="57">
        <f>IFERROR(__xludf.DUMMYFUNCTION("""COMPUTED_VALUE"""),46083.0)</f>
        <v>46083</v>
      </c>
      <c r="S4914" s="57">
        <f>IFERROR(__xludf.DUMMYFUNCTION("""COMPUTED_VALUE"""),46083.0)</f>
        <v>46083</v>
      </c>
      <c r="T4914" s="57">
        <f>IFERROR(__xludf.DUMMYFUNCTION("""COMPUTED_VALUE"""),46115.0)</f>
        <v>46115</v>
      </c>
    </row>
    <row r="4915">
      <c r="A4915" s="6" t="str">
        <f>IFERROR(__xludf.DUMMYFUNCTION("""COMPUTED_VALUE"""),"121703931-6")</f>
        <v>121703931-6</v>
      </c>
      <c r="B4915" s="6" t="str">
        <f>IFERROR(__xludf.DUMMYFUNCTION("""COMPUTED_VALUE"""),"121703931 - APPROVED")</f>
        <v>121703931 - APPROVED</v>
      </c>
      <c r="C4915" s="6">
        <f>IFERROR(__xludf.DUMMYFUNCTION("""COMPUTED_VALUE"""),6.0)</f>
        <v>6</v>
      </c>
      <c r="D4915" s="6" t="str">
        <f>IFERROR(__xludf.DUMMYFUNCTION("""COMPUTED_VALUE"""),"P-12263-00")</f>
        <v>P-12263-00</v>
      </c>
      <c r="E4915" s="6" t="str">
        <f>IFERROR(__xludf.DUMMYFUNCTION("""COMPUTED_VALUE"""),"FESTO - Push In Connector QS-8 p/n 153033")</f>
        <v>FESTO - Push In Connector QS-8 p/n 153033</v>
      </c>
      <c r="F4915" s="6">
        <f>IFERROR(__xludf.DUMMYFUNCTION("""COMPUTED_VALUE"""),17.0)</f>
        <v>17</v>
      </c>
      <c r="G4915" s="6" t="str">
        <f>IFERROR(__xludf.DUMMYFUNCTION("""COMPUTED_VALUE"""),"Pieces")</f>
        <v>Pieces</v>
      </c>
      <c r="H4915" s="6" t="str">
        <f>IFERROR(__xludf.DUMMYFUNCTION("""COMPUTED_VALUE"""),"IDR")</f>
        <v>IDR</v>
      </c>
      <c r="I4915" s="6">
        <f>IFERROR(__xludf.DUMMYFUNCTION("""COMPUTED_VALUE"""),53251.0)</f>
        <v>53251</v>
      </c>
      <c r="J4915" s="6">
        <f>IFERROR(__xludf.DUMMYFUNCTION("""COMPUTED_VALUE"""),905267.0)</f>
        <v>905267</v>
      </c>
      <c r="K4915" s="57">
        <f>IFERROR(__xludf.DUMMYFUNCTION("""COMPUTED_VALUE"""),46115.0)</f>
        <v>46115</v>
      </c>
      <c r="L4915" s="6" t="str">
        <f>IFERROR(__xludf.DUMMYFUNCTION("""COMPUTED_VALUE"""),"FIP Engineering")</f>
        <v>FIP Engineering</v>
      </c>
      <c r="M4915" s="6" t="str">
        <f>IFERROR(__xludf.DUMMYFUNCTION("""COMPUTED_VALUE"""),"Mochammad Fadhillah Hakim,")</f>
        <v>Mochammad Fadhillah Hakim,</v>
      </c>
      <c r="N4915" s="6" t="str">
        <f>IFERROR(__xludf.DUMMYFUNCTION("""COMPUTED_VALUE"""),"FIP Engineering")</f>
        <v>FIP Engineering</v>
      </c>
      <c r="O4915" s="6" t="str">
        <f>IFERROR(__xludf.DUMMYFUNCTION("""COMPUTED_VALUE"""),"FIP-DOM-000-11304-OS00001-INA-000000")</f>
        <v>FIP-DOM-000-11304-OS00001-INA-000000</v>
      </c>
      <c r="P4915" s="6" t="str">
        <f>IFERROR(__xludf.DUMMYFUNCTION("""COMPUTED_VALUE"""),"PO Closed")</f>
        <v>PO Closed</v>
      </c>
      <c r="Q4915" s="6" t="str">
        <f>IFERROR(__xludf.DUMMYFUNCTION("""COMPUTED_VALUE"""),"GL2603472")</f>
        <v>GL2603472</v>
      </c>
      <c r="R4915" s="57">
        <f>IFERROR(__xludf.DUMMYFUNCTION("""COMPUTED_VALUE"""),46083.0)</f>
        <v>46083</v>
      </c>
      <c r="S4915" s="57">
        <f>IFERROR(__xludf.DUMMYFUNCTION("""COMPUTED_VALUE"""),46083.0)</f>
        <v>46083</v>
      </c>
      <c r="T4915" s="57">
        <f>IFERROR(__xludf.DUMMYFUNCTION("""COMPUTED_VALUE"""),46115.0)</f>
        <v>46115</v>
      </c>
    </row>
    <row r="4916">
      <c r="A4916" s="6" t="str">
        <f>IFERROR(__xludf.DUMMYFUNCTION("""COMPUTED_VALUE"""),"121703931-7")</f>
        <v>121703931-7</v>
      </c>
      <c r="B4916" s="6" t="str">
        <f>IFERROR(__xludf.DUMMYFUNCTION("""COMPUTED_VALUE"""),"121703931 - APPROVED")</f>
        <v>121703931 - APPROVED</v>
      </c>
      <c r="C4916" s="6">
        <f>IFERROR(__xludf.DUMMYFUNCTION("""COMPUTED_VALUE"""),7.0)</f>
        <v>7</v>
      </c>
      <c r="D4916" s="6" t="str">
        <f>IFERROR(__xludf.DUMMYFUNCTION("""COMPUTED_VALUE"""),"P-12265-00")</f>
        <v>P-12265-00</v>
      </c>
      <c r="E4916" s="6" t="str">
        <f>IFERROR(__xludf.DUMMYFUNCTION("""COMPUTED_VALUE"""),"FESTO - Push In Connector QS-8-6 p/n 153038")</f>
        <v>FESTO - Push In Connector QS-8-6 p/n 153038</v>
      </c>
      <c r="F4916" s="6">
        <f>IFERROR(__xludf.DUMMYFUNCTION("""COMPUTED_VALUE"""),20.0)</f>
        <v>20</v>
      </c>
      <c r="G4916" s="6" t="str">
        <f>IFERROR(__xludf.DUMMYFUNCTION("""COMPUTED_VALUE"""),"Pieces")</f>
        <v>Pieces</v>
      </c>
      <c r="H4916" s="6" t="str">
        <f>IFERROR(__xludf.DUMMYFUNCTION("""COMPUTED_VALUE"""),"IDR")</f>
        <v>IDR</v>
      </c>
      <c r="I4916" s="6">
        <f>IFERROR(__xludf.DUMMYFUNCTION("""COMPUTED_VALUE"""),47707.0)</f>
        <v>47707</v>
      </c>
      <c r="J4916" s="6">
        <f>IFERROR(__xludf.DUMMYFUNCTION("""COMPUTED_VALUE"""),954140.0)</f>
        <v>954140</v>
      </c>
      <c r="K4916" s="57">
        <f>IFERROR(__xludf.DUMMYFUNCTION("""COMPUTED_VALUE"""),46115.0)</f>
        <v>46115</v>
      </c>
      <c r="L4916" s="6" t="str">
        <f>IFERROR(__xludf.DUMMYFUNCTION("""COMPUTED_VALUE"""),"FIP Engineering")</f>
        <v>FIP Engineering</v>
      </c>
      <c r="M4916" s="6" t="str">
        <f>IFERROR(__xludf.DUMMYFUNCTION("""COMPUTED_VALUE"""),"Mochammad Fadhillah Hakim,")</f>
        <v>Mochammad Fadhillah Hakim,</v>
      </c>
      <c r="N4916" s="6" t="str">
        <f>IFERROR(__xludf.DUMMYFUNCTION("""COMPUTED_VALUE"""),"FIP Engineering")</f>
        <v>FIP Engineering</v>
      </c>
      <c r="O4916" s="6" t="str">
        <f>IFERROR(__xludf.DUMMYFUNCTION("""COMPUTED_VALUE"""),"FIP-DOM-000-11304-OS00001-INA-000000")</f>
        <v>FIP-DOM-000-11304-OS00001-INA-000000</v>
      </c>
      <c r="P4916" s="6" t="str">
        <f>IFERROR(__xludf.DUMMYFUNCTION("""COMPUTED_VALUE"""),"PO Closed")</f>
        <v>PO Closed</v>
      </c>
      <c r="Q4916" s="6" t="str">
        <f>IFERROR(__xludf.DUMMYFUNCTION("""COMPUTED_VALUE"""),"GL2603472")</f>
        <v>GL2603472</v>
      </c>
      <c r="R4916" s="57">
        <f>IFERROR(__xludf.DUMMYFUNCTION("""COMPUTED_VALUE"""),46083.0)</f>
        <v>46083</v>
      </c>
      <c r="S4916" s="57">
        <f>IFERROR(__xludf.DUMMYFUNCTION("""COMPUTED_VALUE"""),46083.0)</f>
        <v>46083</v>
      </c>
      <c r="T4916" s="57">
        <f>IFERROR(__xludf.DUMMYFUNCTION("""COMPUTED_VALUE"""),46115.0)</f>
        <v>46115</v>
      </c>
    </row>
    <row r="4917">
      <c r="A4917" s="6" t="str">
        <f>IFERROR(__xludf.DUMMYFUNCTION("""COMPUTED_VALUE"""),"121703931-8")</f>
        <v>121703931-8</v>
      </c>
      <c r="B4917" s="6" t="str">
        <f>IFERROR(__xludf.DUMMYFUNCTION("""COMPUTED_VALUE"""),"121703931 - APPROVED")</f>
        <v>121703931 - APPROVED</v>
      </c>
      <c r="C4917" s="6">
        <f>IFERROR(__xludf.DUMMYFUNCTION("""COMPUTED_VALUE"""),8.0)</f>
        <v>8</v>
      </c>
      <c r="D4917" s="6" t="str">
        <f>IFERROR(__xludf.DUMMYFUNCTION("""COMPUTED_VALUE"""),"P-11228-00")</f>
        <v>P-11228-00</v>
      </c>
      <c r="E4917" s="6" t="str">
        <f>IFERROR(__xludf.DUMMYFUNCTION("""COMPUTED_VALUE"""),"General - Push-in T-connector, QST-8; Festo; 153130; 1 pcs")</f>
        <v>General - Push-in T-connector, QST-8; Festo; 153130; 1 pcs</v>
      </c>
      <c r="F4917" s="6">
        <f>IFERROR(__xludf.DUMMYFUNCTION("""COMPUTED_VALUE"""),16.0)</f>
        <v>16</v>
      </c>
      <c r="G4917" s="6" t="str">
        <f>IFERROR(__xludf.DUMMYFUNCTION("""COMPUTED_VALUE"""),"Pieces")</f>
        <v>Pieces</v>
      </c>
      <c r="H4917" s="6" t="str">
        <f>IFERROR(__xludf.DUMMYFUNCTION("""COMPUTED_VALUE"""),"IDR")</f>
        <v>IDR</v>
      </c>
      <c r="I4917" s="6">
        <f>IFERROR(__xludf.DUMMYFUNCTION("""COMPUTED_VALUE"""),70683.0)</f>
        <v>70683</v>
      </c>
      <c r="J4917" s="6">
        <f>IFERROR(__xludf.DUMMYFUNCTION("""COMPUTED_VALUE"""),1130928.0)</f>
        <v>1130928</v>
      </c>
      <c r="K4917" s="57">
        <f>IFERROR(__xludf.DUMMYFUNCTION("""COMPUTED_VALUE"""),46115.0)</f>
        <v>46115</v>
      </c>
      <c r="L4917" s="6" t="str">
        <f>IFERROR(__xludf.DUMMYFUNCTION("""COMPUTED_VALUE"""),"FIP Engineering")</f>
        <v>FIP Engineering</v>
      </c>
      <c r="M4917" s="6" t="str">
        <f>IFERROR(__xludf.DUMMYFUNCTION("""COMPUTED_VALUE"""),"Mochammad Fadhillah Hakim,")</f>
        <v>Mochammad Fadhillah Hakim,</v>
      </c>
      <c r="N4917" s="6" t="str">
        <f>IFERROR(__xludf.DUMMYFUNCTION("""COMPUTED_VALUE"""),"FIP Engineering")</f>
        <v>FIP Engineering</v>
      </c>
      <c r="O4917" s="6" t="str">
        <f>IFERROR(__xludf.DUMMYFUNCTION("""COMPUTED_VALUE"""),"FIP-DOM-000-11304-OS00001-INA-000000")</f>
        <v>FIP-DOM-000-11304-OS00001-INA-000000</v>
      </c>
      <c r="P4917" s="6" t="str">
        <f>IFERROR(__xludf.DUMMYFUNCTION("""COMPUTED_VALUE"""),"PO Closed")</f>
        <v>PO Closed</v>
      </c>
      <c r="Q4917" s="6" t="str">
        <f>IFERROR(__xludf.DUMMYFUNCTION("""COMPUTED_VALUE"""),"GL2603472")</f>
        <v>GL2603472</v>
      </c>
      <c r="R4917" s="57">
        <f>IFERROR(__xludf.DUMMYFUNCTION("""COMPUTED_VALUE"""),46083.0)</f>
        <v>46083</v>
      </c>
      <c r="S4917" s="57">
        <f>IFERROR(__xludf.DUMMYFUNCTION("""COMPUTED_VALUE"""),46083.0)</f>
        <v>46083</v>
      </c>
      <c r="T4917" s="57">
        <f>IFERROR(__xludf.DUMMYFUNCTION("""COMPUTED_VALUE"""),46115.0)</f>
        <v>46115</v>
      </c>
    </row>
    <row r="4918">
      <c r="A4918" s="6" t="str">
        <f>IFERROR(__xludf.DUMMYFUNCTION("""COMPUTED_VALUE"""),"121703931-9")</f>
        <v>121703931-9</v>
      </c>
      <c r="B4918" s="6" t="str">
        <f>IFERROR(__xludf.DUMMYFUNCTION("""COMPUTED_VALUE"""),"121703931 - APPROVED")</f>
        <v>121703931 - APPROVED</v>
      </c>
      <c r="C4918" s="6">
        <f>IFERROR(__xludf.DUMMYFUNCTION("""COMPUTED_VALUE"""),9.0)</f>
        <v>9</v>
      </c>
      <c r="D4918" s="6" t="str">
        <f>IFERROR(__xludf.DUMMYFUNCTION("""COMPUTED_VALUE"""),"P-11227-00")</f>
        <v>P-11227-00</v>
      </c>
      <c r="E4918" s="6" t="str">
        <f>IFERROR(__xludf.DUMMYFUNCTION("""COMPUTED_VALUE"""),"General - Push-in T-connector, QST-6; Festo; 153129; 1 pcs")</f>
        <v>General - Push-in T-connector, QST-6; Festo; 153129; 1 pcs</v>
      </c>
      <c r="F4918" s="6">
        <f>IFERROR(__xludf.DUMMYFUNCTION("""COMPUTED_VALUE"""),20.0)</f>
        <v>20</v>
      </c>
      <c r="G4918" s="6" t="str">
        <f>IFERROR(__xludf.DUMMYFUNCTION("""COMPUTED_VALUE"""),"Pieces")</f>
        <v>Pieces</v>
      </c>
      <c r="H4918" s="6" t="str">
        <f>IFERROR(__xludf.DUMMYFUNCTION("""COMPUTED_VALUE"""),"IDR")</f>
        <v>IDR</v>
      </c>
      <c r="I4918" s="6">
        <f>IFERROR(__xludf.DUMMYFUNCTION("""COMPUTED_VALUE"""),59415.0)</f>
        <v>59415</v>
      </c>
      <c r="J4918" s="6">
        <f>IFERROR(__xludf.DUMMYFUNCTION("""COMPUTED_VALUE"""),1188300.0)</f>
        <v>1188300</v>
      </c>
      <c r="K4918" s="57">
        <f>IFERROR(__xludf.DUMMYFUNCTION("""COMPUTED_VALUE"""),46115.0)</f>
        <v>46115</v>
      </c>
      <c r="L4918" s="6" t="str">
        <f>IFERROR(__xludf.DUMMYFUNCTION("""COMPUTED_VALUE"""),"FIP Engineering")</f>
        <v>FIP Engineering</v>
      </c>
      <c r="M4918" s="6" t="str">
        <f>IFERROR(__xludf.DUMMYFUNCTION("""COMPUTED_VALUE"""),"Mochammad Fadhillah Hakim,")</f>
        <v>Mochammad Fadhillah Hakim,</v>
      </c>
      <c r="N4918" s="6" t="str">
        <f>IFERROR(__xludf.DUMMYFUNCTION("""COMPUTED_VALUE"""),"FIP Engineering")</f>
        <v>FIP Engineering</v>
      </c>
      <c r="O4918" s="6" t="str">
        <f>IFERROR(__xludf.DUMMYFUNCTION("""COMPUTED_VALUE"""),"FIP-DOM-000-11304-OS00001-INA-000000")</f>
        <v>FIP-DOM-000-11304-OS00001-INA-000000</v>
      </c>
      <c r="P4918" s="6" t="str">
        <f>IFERROR(__xludf.DUMMYFUNCTION("""COMPUTED_VALUE"""),"PO Closed")</f>
        <v>PO Closed</v>
      </c>
      <c r="Q4918" s="6" t="str">
        <f>IFERROR(__xludf.DUMMYFUNCTION("""COMPUTED_VALUE"""),"GL2603472")</f>
        <v>GL2603472</v>
      </c>
      <c r="R4918" s="57">
        <f>IFERROR(__xludf.DUMMYFUNCTION("""COMPUTED_VALUE"""),46083.0)</f>
        <v>46083</v>
      </c>
      <c r="S4918" s="57">
        <f>IFERROR(__xludf.DUMMYFUNCTION("""COMPUTED_VALUE"""),46083.0)</f>
        <v>46083</v>
      </c>
      <c r="T4918" s="57">
        <f>IFERROR(__xludf.DUMMYFUNCTION("""COMPUTED_VALUE"""),46115.0)</f>
        <v>46115</v>
      </c>
    </row>
    <row r="4919">
      <c r="A4919" s="6" t="str">
        <f>IFERROR(__xludf.DUMMYFUNCTION("""COMPUTED_VALUE"""),"121703931-10")</f>
        <v>121703931-10</v>
      </c>
      <c r="B4919" s="6" t="str">
        <f>IFERROR(__xludf.DUMMYFUNCTION("""COMPUTED_VALUE"""),"121703931 - APPROVED")</f>
        <v>121703931 - APPROVED</v>
      </c>
      <c r="C4919" s="6">
        <f>IFERROR(__xludf.DUMMYFUNCTION("""COMPUTED_VALUE"""),10.0)</f>
        <v>10</v>
      </c>
      <c r="D4919" s="6" t="str">
        <f>IFERROR(__xludf.DUMMYFUNCTION("""COMPUTED_VALUE"""),"P-11165-00")</f>
        <v>P-11165-00</v>
      </c>
      <c r="E4919" s="6" t="str">
        <f>IFERROR(__xludf.DUMMYFUNCTION("""COMPUTED_VALUE"""),"General - Push-in Fitting, QS-1/2-12; Festo; 153010; 1 pcs")</f>
        <v>General - Push-in Fitting, QS-1/2-12; Festo; 153010; 1 pcs</v>
      </c>
      <c r="F4919" s="6">
        <f>IFERROR(__xludf.DUMMYFUNCTION("""COMPUTED_VALUE"""),20.0)</f>
        <v>20</v>
      </c>
      <c r="G4919" s="6" t="str">
        <f>IFERROR(__xludf.DUMMYFUNCTION("""COMPUTED_VALUE"""),"Pieces")</f>
        <v>Pieces</v>
      </c>
      <c r="H4919" s="6" t="str">
        <f>IFERROR(__xludf.DUMMYFUNCTION("""COMPUTED_VALUE"""),"IDR")</f>
        <v>IDR</v>
      </c>
      <c r="I4919" s="6">
        <f>IFERROR(__xludf.DUMMYFUNCTION("""COMPUTED_VALUE"""),62634.0)</f>
        <v>62634</v>
      </c>
      <c r="J4919" s="6">
        <f>IFERROR(__xludf.DUMMYFUNCTION("""COMPUTED_VALUE"""),1252680.0)</f>
        <v>1252680</v>
      </c>
      <c r="K4919" s="57">
        <f>IFERROR(__xludf.DUMMYFUNCTION("""COMPUTED_VALUE"""),46115.0)</f>
        <v>46115</v>
      </c>
      <c r="L4919" s="6" t="str">
        <f>IFERROR(__xludf.DUMMYFUNCTION("""COMPUTED_VALUE"""),"FIP Engineering")</f>
        <v>FIP Engineering</v>
      </c>
      <c r="M4919" s="6" t="str">
        <f>IFERROR(__xludf.DUMMYFUNCTION("""COMPUTED_VALUE"""),"Mochammad Fadhillah Hakim,")</f>
        <v>Mochammad Fadhillah Hakim,</v>
      </c>
      <c r="N4919" s="6" t="str">
        <f>IFERROR(__xludf.DUMMYFUNCTION("""COMPUTED_VALUE"""),"FIP Engineering")</f>
        <v>FIP Engineering</v>
      </c>
      <c r="O4919" s="6" t="str">
        <f>IFERROR(__xludf.DUMMYFUNCTION("""COMPUTED_VALUE"""),"FIP-DOM-000-11304-OS00001-INA-000000")</f>
        <v>FIP-DOM-000-11304-OS00001-INA-000000</v>
      </c>
      <c r="P4919" s="6" t="str">
        <f>IFERROR(__xludf.DUMMYFUNCTION("""COMPUTED_VALUE"""),"PO Closed")</f>
        <v>PO Closed</v>
      </c>
      <c r="Q4919" s="6" t="str">
        <f>IFERROR(__xludf.DUMMYFUNCTION("""COMPUTED_VALUE"""),"GL2603472")</f>
        <v>GL2603472</v>
      </c>
      <c r="R4919" s="57">
        <f>IFERROR(__xludf.DUMMYFUNCTION("""COMPUTED_VALUE"""),46083.0)</f>
        <v>46083</v>
      </c>
      <c r="S4919" s="57">
        <f>IFERROR(__xludf.DUMMYFUNCTION("""COMPUTED_VALUE"""),46083.0)</f>
        <v>46083</v>
      </c>
      <c r="T4919" s="57">
        <f>IFERROR(__xludf.DUMMYFUNCTION("""COMPUTED_VALUE"""),46115.0)</f>
        <v>46115</v>
      </c>
    </row>
    <row r="4920">
      <c r="A4920" s="6" t="str">
        <f>IFERROR(__xludf.DUMMYFUNCTION("""COMPUTED_VALUE"""),"121703931-11")</f>
        <v>121703931-11</v>
      </c>
      <c r="B4920" s="6" t="str">
        <f>IFERROR(__xludf.DUMMYFUNCTION("""COMPUTED_VALUE"""),"121703931 - APPROVED")</f>
        <v>121703931 - APPROVED</v>
      </c>
      <c r="C4920" s="6">
        <f>IFERROR(__xludf.DUMMYFUNCTION("""COMPUTED_VALUE"""),11.0)</f>
        <v>11</v>
      </c>
      <c r="D4920" s="6" t="str">
        <f>IFERROR(__xludf.DUMMYFUNCTION("""COMPUTED_VALUE"""),"O-13505-00")</f>
        <v>O-13505-00</v>
      </c>
      <c r="E4920" s="6" t="str">
        <f>IFERROR(__xludf.DUMMYFUNCTION("""COMPUTED_VALUE"""),"General - Push-in T-connector, QST-10; Festo; 153131; 1 pcs")</f>
        <v>General - Push-in T-connector, QST-10; Festo; 153131; 1 pcs</v>
      </c>
      <c r="F4920" s="6">
        <f>IFERROR(__xludf.DUMMYFUNCTION("""COMPUTED_VALUE"""),20.0)</f>
        <v>20</v>
      </c>
      <c r="G4920" s="6" t="str">
        <f>IFERROR(__xludf.DUMMYFUNCTION("""COMPUTED_VALUE"""),"Pieces")</f>
        <v>Pieces</v>
      </c>
      <c r="H4920" s="6" t="str">
        <f>IFERROR(__xludf.DUMMYFUNCTION("""COMPUTED_VALUE"""),"IDR")</f>
        <v>IDR</v>
      </c>
      <c r="I4920" s="6">
        <f>IFERROR(__xludf.DUMMYFUNCTION("""COMPUTED_VALUE"""),102293.0)</f>
        <v>102293</v>
      </c>
      <c r="J4920" s="6">
        <f>IFERROR(__xludf.DUMMYFUNCTION("""COMPUTED_VALUE"""),2045860.0)</f>
        <v>2045860</v>
      </c>
      <c r="K4920" s="57">
        <f>IFERROR(__xludf.DUMMYFUNCTION("""COMPUTED_VALUE"""),46115.0)</f>
        <v>46115</v>
      </c>
      <c r="L4920" s="6" t="str">
        <f>IFERROR(__xludf.DUMMYFUNCTION("""COMPUTED_VALUE"""),"FIP Engineering")</f>
        <v>FIP Engineering</v>
      </c>
      <c r="M4920" s="6" t="str">
        <f>IFERROR(__xludf.DUMMYFUNCTION("""COMPUTED_VALUE"""),"Mochammad Fadhillah Hakim,")</f>
        <v>Mochammad Fadhillah Hakim,</v>
      </c>
      <c r="N4920" s="6" t="str">
        <f>IFERROR(__xludf.DUMMYFUNCTION("""COMPUTED_VALUE"""),"FIP Engineering")</f>
        <v>FIP Engineering</v>
      </c>
      <c r="O4920" s="6" t="str">
        <f>IFERROR(__xludf.DUMMYFUNCTION("""COMPUTED_VALUE"""),"FIP-DOM-000-11304-OS00001-INA-000000")</f>
        <v>FIP-DOM-000-11304-OS00001-INA-000000</v>
      </c>
      <c r="P4920" s="6" t="str">
        <f>IFERROR(__xludf.DUMMYFUNCTION("""COMPUTED_VALUE"""),"PO Closed")</f>
        <v>PO Closed</v>
      </c>
      <c r="Q4920" s="6" t="str">
        <f>IFERROR(__xludf.DUMMYFUNCTION("""COMPUTED_VALUE"""),"GL2603462")</f>
        <v>GL2603462</v>
      </c>
      <c r="R4920" s="57">
        <f>IFERROR(__xludf.DUMMYFUNCTION("""COMPUTED_VALUE"""),46083.0)</f>
        <v>46083</v>
      </c>
      <c r="S4920" s="57">
        <f>IFERROR(__xludf.DUMMYFUNCTION("""COMPUTED_VALUE"""),46083.0)</f>
        <v>46083</v>
      </c>
      <c r="T4920" s="57">
        <f>IFERROR(__xludf.DUMMYFUNCTION("""COMPUTED_VALUE"""),46148.0)</f>
        <v>46148</v>
      </c>
    </row>
    <row r="4921">
      <c r="A4921" s="6" t="str">
        <f>IFERROR(__xludf.DUMMYFUNCTION("""COMPUTED_VALUE"""),"121703931-12")</f>
        <v>121703931-12</v>
      </c>
      <c r="B4921" s="6" t="str">
        <f>IFERROR(__xludf.DUMMYFUNCTION("""COMPUTED_VALUE"""),"121703931 - APPROVED")</f>
        <v>121703931 - APPROVED</v>
      </c>
      <c r="C4921" s="6">
        <f>IFERROR(__xludf.DUMMYFUNCTION("""COMPUTED_VALUE"""),12.0)</f>
        <v>12</v>
      </c>
      <c r="D4921" s="6" t="str">
        <f>IFERROR(__xludf.DUMMYFUNCTION("""COMPUTED_VALUE"""),"O-13501-00")</f>
        <v>O-13501-00</v>
      </c>
      <c r="E4921" s="6" t="str">
        <f>IFERROR(__xludf.DUMMYFUNCTION("""COMPUTED_VALUE"""),"General - Push-in T-connector, QST-12; Festo; 153132; 1 pcs")</f>
        <v>General - Push-in T-connector, QST-12; Festo; 153132; 1 pcs</v>
      </c>
      <c r="F4921" s="6">
        <f>IFERROR(__xludf.DUMMYFUNCTION("""COMPUTED_VALUE"""),20.0)</f>
        <v>20</v>
      </c>
      <c r="G4921" s="6" t="str">
        <f>IFERROR(__xludf.DUMMYFUNCTION("""COMPUTED_VALUE"""),"Pieces")</f>
        <v>Pieces</v>
      </c>
      <c r="H4921" s="6" t="str">
        <f>IFERROR(__xludf.DUMMYFUNCTION("""COMPUTED_VALUE"""),"IDR")</f>
        <v>IDR</v>
      </c>
      <c r="I4921" s="6">
        <f>IFERROR(__xludf.DUMMYFUNCTION("""COMPUTED_VALUE"""),97463.0)</f>
        <v>97463</v>
      </c>
      <c r="J4921" s="6">
        <f>IFERROR(__xludf.DUMMYFUNCTION("""COMPUTED_VALUE"""),1949260.0)</f>
        <v>1949260</v>
      </c>
      <c r="K4921" s="57">
        <f>IFERROR(__xludf.DUMMYFUNCTION("""COMPUTED_VALUE"""),46115.0)</f>
        <v>46115</v>
      </c>
      <c r="L4921" s="6" t="str">
        <f>IFERROR(__xludf.DUMMYFUNCTION("""COMPUTED_VALUE"""),"FIP Engineering")</f>
        <v>FIP Engineering</v>
      </c>
      <c r="M4921" s="6" t="str">
        <f>IFERROR(__xludf.DUMMYFUNCTION("""COMPUTED_VALUE"""),"Mochammad Fadhillah Hakim,")</f>
        <v>Mochammad Fadhillah Hakim,</v>
      </c>
      <c r="N4921" s="6" t="str">
        <f>IFERROR(__xludf.DUMMYFUNCTION("""COMPUTED_VALUE"""),"FIP Engineering")</f>
        <v>FIP Engineering</v>
      </c>
      <c r="O4921" s="6" t="str">
        <f>IFERROR(__xludf.DUMMYFUNCTION("""COMPUTED_VALUE"""),"FIP-DOM-000-11304-OS00001-INA-000000")</f>
        <v>FIP-DOM-000-11304-OS00001-INA-000000</v>
      </c>
      <c r="P4921" s="6" t="str">
        <f>IFERROR(__xludf.DUMMYFUNCTION("""COMPUTED_VALUE"""),"PO Closed")</f>
        <v>PO Closed</v>
      </c>
      <c r="Q4921" s="6" t="str">
        <f>IFERROR(__xludf.DUMMYFUNCTION("""COMPUTED_VALUE"""),"GL2603462")</f>
        <v>GL2603462</v>
      </c>
      <c r="R4921" s="57">
        <f>IFERROR(__xludf.DUMMYFUNCTION("""COMPUTED_VALUE"""),46083.0)</f>
        <v>46083</v>
      </c>
      <c r="S4921" s="57">
        <f>IFERROR(__xludf.DUMMYFUNCTION("""COMPUTED_VALUE"""),46083.0)</f>
        <v>46083</v>
      </c>
      <c r="T4921" s="57">
        <f>IFERROR(__xludf.DUMMYFUNCTION("""COMPUTED_VALUE"""),46148.0)</f>
        <v>46148</v>
      </c>
    </row>
    <row r="4922">
      <c r="A4922" s="6" t="str">
        <f>IFERROR(__xludf.DUMMYFUNCTION("""COMPUTED_VALUE"""),"121703931-13")</f>
        <v>121703931-13</v>
      </c>
      <c r="B4922" s="6" t="str">
        <f>IFERROR(__xludf.DUMMYFUNCTION("""COMPUTED_VALUE"""),"121703931 - APPROVED")</f>
        <v>121703931 - APPROVED</v>
      </c>
      <c r="C4922" s="6">
        <f>IFERROR(__xludf.DUMMYFUNCTION("""COMPUTED_VALUE"""),13.0)</f>
        <v>13</v>
      </c>
      <c r="D4922" s="6" t="str">
        <f>IFERROR(__xludf.DUMMYFUNCTION("""COMPUTED_VALUE"""),"P-13650-00")</f>
        <v>P-13650-00</v>
      </c>
      <c r="E4922" s="6" t="str">
        <f>IFERROR(__xludf.DUMMYFUNCTION("""COMPUTED_VALUE"""),"General - Shut off Valve HE-2-QS-6; FESTO; P/N : 153467; 1 Pc")</f>
        <v>General - Shut off Valve HE-2-QS-6; FESTO; P/N : 153467; 1 Pc</v>
      </c>
      <c r="F4922" s="6">
        <f>IFERROR(__xludf.DUMMYFUNCTION("""COMPUTED_VALUE"""),15.0)</f>
        <v>15</v>
      </c>
      <c r="G4922" s="6" t="str">
        <f>IFERROR(__xludf.DUMMYFUNCTION("""COMPUTED_VALUE"""),"Pieces")</f>
        <v>Pieces</v>
      </c>
      <c r="H4922" s="6" t="str">
        <f>IFERROR(__xludf.DUMMYFUNCTION("""COMPUTED_VALUE"""),"IDR")</f>
        <v>IDR</v>
      </c>
      <c r="I4922" s="6">
        <f>IFERROR(__xludf.DUMMYFUNCTION("""COMPUTED_VALUE"""),217610.0)</f>
        <v>217610</v>
      </c>
      <c r="J4922" s="6">
        <f>IFERROR(__xludf.DUMMYFUNCTION("""COMPUTED_VALUE"""),3264150.0)</f>
        <v>3264150</v>
      </c>
      <c r="K4922" s="57">
        <f>IFERROR(__xludf.DUMMYFUNCTION("""COMPUTED_VALUE"""),46115.0)</f>
        <v>46115</v>
      </c>
      <c r="L4922" s="6" t="str">
        <f>IFERROR(__xludf.DUMMYFUNCTION("""COMPUTED_VALUE"""),"FIP Engineering")</f>
        <v>FIP Engineering</v>
      </c>
      <c r="M4922" s="6" t="str">
        <f>IFERROR(__xludf.DUMMYFUNCTION("""COMPUTED_VALUE"""),"Mochammad Fadhillah Hakim,")</f>
        <v>Mochammad Fadhillah Hakim,</v>
      </c>
      <c r="N4922" s="6" t="str">
        <f>IFERROR(__xludf.DUMMYFUNCTION("""COMPUTED_VALUE"""),"FIP Engineering")</f>
        <v>FIP Engineering</v>
      </c>
      <c r="O4922" s="6" t="str">
        <f>IFERROR(__xludf.DUMMYFUNCTION("""COMPUTED_VALUE"""),"FIP-DOM-000-11304-OS00001-INA-000000")</f>
        <v>FIP-DOM-000-11304-OS00001-INA-000000</v>
      </c>
      <c r="P4922" s="6" t="str">
        <f>IFERROR(__xludf.DUMMYFUNCTION("""COMPUTED_VALUE"""),"PO Closed")</f>
        <v>PO Closed</v>
      </c>
      <c r="Q4922" s="6" t="str">
        <f>IFERROR(__xludf.DUMMYFUNCTION("""COMPUTED_VALUE"""),"GL2603472")</f>
        <v>GL2603472</v>
      </c>
      <c r="R4922" s="57">
        <f>IFERROR(__xludf.DUMMYFUNCTION("""COMPUTED_VALUE"""),46083.0)</f>
        <v>46083</v>
      </c>
      <c r="S4922" s="57">
        <f>IFERROR(__xludf.DUMMYFUNCTION("""COMPUTED_VALUE"""),46083.0)</f>
        <v>46083</v>
      </c>
      <c r="T4922" s="57">
        <f>IFERROR(__xludf.DUMMYFUNCTION("""COMPUTED_VALUE"""),46115.0)</f>
        <v>46115</v>
      </c>
    </row>
    <row r="4923">
      <c r="A4923" s="6" t="str">
        <f>IFERROR(__xludf.DUMMYFUNCTION("""COMPUTED_VALUE"""),"121703931-14")</f>
        <v>121703931-14</v>
      </c>
      <c r="B4923" s="6" t="str">
        <f>IFERROR(__xludf.DUMMYFUNCTION("""COMPUTED_VALUE"""),"121703931 - APPROVED")</f>
        <v>121703931 - APPROVED</v>
      </c>
      <c r="C4923" s="6">
        <f>IFERROR(__xludf.DUMMYFUNCTION("""COMPUTED_VALUE"""),14.0)</f>
        <v>14</v>
      </c>
      <c r="D4923" s="6" t="str">
        <f>IFERROR(__xludf.DUMMYFUNCTION("""COMPUTED_VALUE"""),"P-14245-00")</f>
        <v>P-14245-00</v>
      </c>
      <c r="E4923" s="6" t="str">
        <f>IFERROR(__xludf.DUMMYFUNCTION("""COMPUTED_VALUE"""),"General - Shut off valve HE-2-QS-8;  FESTO; P/N : 153468; 1 Pc")</f>
        <v>General - Shut off valve HE-2-QS-8;  FESTO; P/N : 153468; 1 Pc</v>
      </c>
      <c r="F4923" s="6">
        <f>IFERROR(__xludf.DUMMYFUNCTION("""COMPUTED_VALUE"""),14.0)</f>
        <v>14</v>
      </c>
      <c r="G4923" s="6" t="str">
        <f>IFERROR(__xludf.DUMMYFUNCTION("""COMPUTED_VALUE"""),"Pieces")</f>
        <v>Pieces</v>
      </c>
      <c r="H4923" s="6" t="str">
        <f>IFERROR(__xludf.DUMMYFUNCTION("""COMPUTED_VALUE"""),"IDR")</f>
        <v>IDR</v>
      </c>
      <c r="I4923" s="6">
        <f>IFERROR(__xludf.DUMMYFUNCTION("""COMPUTED_VALUE"""),236049.0)</f>
        <v>236049</v>
      </c>
      <c r="J4923" s="6">
        <f>IFERROR(__xludf.DUMMYFUNCTION("""COMPUTED_VALUE"""),3304686.0)</f>
        <v>3304686</v>
      </c>
      <c r="K4923" s="57">
        <f>IFERROR(__xludf.DUMMYFUNCTION("""COMPUTED_VALUE"""),46115.0)</f>
        <v>46115</v>
      </c>
      <c r="L4923" s="6" t="str">
        <f>IFERROR(__xludf.DUMMYFUNCTION("""COMPUTED_VALUE"""),"FIP Engineering")</f>
        <v>FIP Engineering</v>
      </c>
      <c r="M4923" s="6" t="str">
        <f>IFERROR(__xludf.DUMMYFUNCTION("""COMPUTED_VALUE"""),"Mochammad Fadhillah Hakim,")</f>
        <v>Mochammad Fadhillah Hakim,</v>
      </c>
      <c r="N4923" s="6" t="str">
        <f>IFERROR(__xludf.DUMMYFUNCTION("""COMPUTED_VALUE"""),"FIP Engineering")</f>
        <v>FIP Engineering</v>
      </c>
      <c r="O4923" s="6" t="str">
        <f>IFERROR(__xludf.DUMMYFUNCTION("""COMPUTED_VALUE"""),"FIP-DOM-000-11304-OS00001-INA-000000")</f>
        <v>FIP-DOM-000-11304-OS00001-INA-000000</v>
      </c>
      <c r="P4923" s="6" t="str">
        <f>IFERROR(__xludf.DUMMYFUNCTION("""COMPUTED_VALUE"""),"PO Closed")</f>
        <v>PO Closed</v>
      </c>
      <c r="Q4923" s="6" t="str">
        <f>IFERROR(__xludf.DUMMYFUNCTION("""COMPUTED_VALUE"""),"GL2603472")</f>
        <v>GL2603472</v>
      </c>
      <c r="R4923" s="57">
        <f>IFERROR(__xludf.DUMMYFUNCTION("""COMPUTED_VALUE"""),46083.0)</f>
        <v>46083</v>
      </c>
      <c r="S4923" s="57">
        <f>IFERROR(__xludf.DUMMYFUNCTION("""COMPUTED_VALUE"""),46083.0)</f>
        <v>46083</v>
      </c>
      <c r="T4923" s="57">
        <f>IFERROR(__xludf.DUMMYFUNCTION("""COMPUTED_VALUE"""),46115.0)</f>
        <v>46115</v>
      </c>
    </row>
    <row r="4924">
      <c r="A4924" s="6" t="str">
        <f>IFERROR(__xludf.DUMMYFUNCTION("""COMPUTED_VALUE"""),"121703937-1")</f>
        <v>121703937-1</v>
      </c>
      <c r="B4924" s="6" t="str">
        <f>IFERROR(__xludf.DUMMYFUNCTION("""COMPUTED_VALUE"""),"121703937 - APPROVED")</f>
        <v>121703937 - APPROVED</v>
      </c>
      <c r="C4924" s="6">
        <f>IFERROR(__xludf.DUMMYFUNCTION("""COMPUTED_VALUE"""),1.0)</f>
        <v>1</v>
      </c>
      <c r="D4924" s="6" t="str">
        <f>IFERROR(__xludf.DUMMYFUNCTION("""COMPUTED_VALUE"""),"P-11422-00")</f>
        <v>P-11422-00</v>
      </c>
      <c r="E4924" s="6" t="str">
        <f>IFERROR(__xludf.DUMMYFUNCTION("""COMPUTED_VALUE"""),"Selang Festo Pun-H-10x1.5 / Blue NR : 197386")</f>
        <v>Selang Festo Pun-H-10x1.5 / Blue NR : 197386</v>
      </c>
      <c r="F4924" s="6">
        <f>IFERROR(__xludf.DUMMYFUNCTION("""COMPUTED_VALUE"""),100.0)</f>
        <v>100</v>
      </c>
      <c r="G4924" s="6" t="str">
        <f>IFERROR(__xludf.DUMMYFUNCTION("""COMPUTED_VALUE"""),"Meter")</f>
        <v>Meter</v>
      </c>
      <c r="H4924" s="6" t="str">
        <f>IFERROR(__xludf.DUMMYFUNCTION("""COMPUTED_VALUE"""),"IDR")</f>
        <v>IDR</v>
      </c>
      <c r="I4924" s="6">
        <f>IFERROR(__xludf.DUMMYFUNCTION("""COMPUTED_VALUE"""),29854.0)</f>
        <v>29854</v>
      </c>
      <c r="J4924" s="6">
        <f>IFERROR(__xludf.DUMMYFUNCTION("""COMPUTED_VALUE"""),2985400.0)</f>
        <v>2985400</v>
      </c>
      <c r="K4924" s="57">
        <f>IFERROR(__xludf.DUMMYFUNCTION("""COMPUTED_VALUE"""),46115.0)</f>
        <v>46115</v>
      </c>
      <c r="L4924" s="6" t="str">
        <f>IFERROR(__xludf.DUMMYFUNCTION("""COMPUTED_VALUE"""),"FIP Engineering")</f>
        <v>FIP Engineering</v>
      </c>
      <c r="M4924" s="6" t="str">
        <f>IFERROR(__xludf.DUMMYFUNCTION("""COMPUTED_VALUE"""),"Mochammad Fadhillah Hakim,")</f>
        <v>Mochammad Fadhillah Hakim,</v>
      </c>
      <c r="N4924" s="6" t="str">
        <f>IFERROR(__xludf.DUMMYFUNCTION("""COMPUTED_VALUE"""),"FIP Engineering")</f>
        <v>FIP Engineering</v>
      </c>
      <c r="O4924" s="6" t="str">
        <f>IFERROR(__xludf.DUMMYFUNCTION("""COMPUTED_VALUE"""),"FIP-DOM-000-11304-OS00001-INA-000000")</f>
        <v>FIP-DOM-000-11304-OS00001-INA-000000</v>
      </c>
      <c r="P4924" s="6" t="str">
        <f>IFERROR(__xludf.DUMMYFUNCTION("""COMPUTED_VALUE"""),"PO Closed")</f>
        <v>PO Closed</v>
      </c>
      <c r="Q4924" s="6" t="str">
        <f>IFERROR(__xludf.DUMMYFUNCTION("""COMPUTED_VALUE"""),"GL2603472")</f>
        <v>GL2603472</v>
      </c>
      <c r="R4924" s="57">
        <f>IFERROR(__xludf.DUMMYFUNCTION("""COMPUTED_VALUE"""),46084.0)</f>
        <v>46084</v>
      </c>
      <c r="S4924" s="57">
        <f>IFERROR(__xludf.DUMMYFUNCTION("""COMPUTED_VALUE"""),46084.0)</f>
        <v>46084</v>
      </c>
      <c r="T4924" s="57">
        <f>IFERROR(__xludf.DUMMYFUNCTION("""COMPUTED_VALUE"""),46115.0)</f>
        <v>46115</v>
      </c>
    </row>
    <row r="4925">
      <c r="A4925" s="6" t="str">
        <f>IFERROR(__xludf.DUMMYFUNCTION("""COMPUTED_VALUE"""),"121703937-2")</f>
        <v>121703937-2</v>
      </c>
      <c r="B4925" s="6" t="str">
        <f>IFERROR(__xludf.DUMMYFUNCTION("""COMPUTED_VALUE"""),"121703937 - APPROVED")</f>
        <v>121703937 - APPROVED</v>
      </c>
      <c r="C4925" s="6">
        <f>IFERROR(__xludf.DUMMYFUNCTION("""COMPUTED_VALUE"""),2.0)</f>
        <v>2</v>
      </c>
      <c r="D4925" s="6" t="str">
        <f>IFERROR(__xludf.DUMMYFUNCTION("""COMPUTED_VALUE"""),"P-11424-00")</f>
        <v>P-11424-00</v>
      </c>
      <c r="E4925" s="6" t="str">
        <f>IFERROR(__xludf.DUMMYFUNCTION("""COMPUTED_VALUE"""),"Selang Festo Pun-H-12x2 Blue 2 x 50 m")</f>
        <v>Selang Festo Pun-H-12x2 Blue 2 x 50 m</v>
      </c>
      <c r="F4925" s="6">
        <f>IFERROR(__xludf.DUMMYFUNCTION("""COMPUTED_VALUE"""),50.0)</f>
        <v>50</v>
      </c>
      <c r="G4925" s="6" t="str">
        <f>IFERROR(__xludf.DUMMYFUNCTION("""COMPUTED_VALUE"""),"Meter")</f>
        <v>Meter</v>
      </c>
      <c r="H4925" s="6" t="str">
        <f>IFERROR(__xludf.DUMMYFUNCTION("""COMPUTED_VALUE"""),"IDR")</f>
        <v>IDR</v>
      </c>
      <c r="I4925" s="6">
        <f>IFERROR(__xludf.DUMMYFUNCTION("""COMPUTED_VALUE"""),41561.0)</f>
        <v>41561</v>
      </c>
      <c r="J4925" s="6">
        <f>IFERROR(__xludf.DUMMYFUNCTION("""COMPUTED_VALUE"""),2078050.0)</f>
        <v>2078050</v>
      </c>
      <c r="K4925" s="57">
        <f>IFERROR(__xludf.DUMMYFUNCTION("""COMPUTED_VALUE"""),46115.0)</f>
        <v>46115</v>
      </c>
      <c r="L4925" s="6" t="str">
        <f>IFERROR(__xludf.DUMMYFUNCTION("""COMPUTED_VALUE"""),"FIP Engineering")</f>
        <v>FIP Engineering</v>
      </c>
      <c r="M4925" s="6" t="str">
        <f>IFERROR(__xludf.DUMMYFUNCTION("""COMPUTED_VALUE"""),"Mochammad Fadhillah Hakim,")</f>
        <v>Mochammad Fadhillah Hakim,</v>
      </c>
      <c r="N4925" s="6" t="str">
        <f>IFERROR(__xludf.DUMMYFUNCTION("""COMPUTED_VALUE"""),"FIP Engineering")</f>
        <v>FIP Engineering</v>
      </c>
      <c r="O4925" s="6" t="str">
        <f>IFERROR(__xludf.DUMMYFUNCTION("""COMPUTED_VALUE"""),"FIP-DOM-000-11304-OS00001-INA-000000")</f>
        <v>FIP-DOM-000-11304-OS00001-INA-000000</v>
      </c>
      <c r="P4925" s="6" t="str">
        <f>IFERROR(__xludf.DUMMYFUNCTION("""COMPUTED_VALUE"""),"PO Closed")</f>
        <v>PO Closed</v>
      </c>
      <c r="Q4925" s="6" t="str">
        <f>IFERROR(__xludf.DUMMYFUNCTION("""COMPUTED_VALUE"""),"GL2603472")</f>
        <v>GL2603472</v>
      </c>
      <c r="R4925" s="57">
        <f>IFERROR(__xludf.DUMMYFUNCTION("""COMPUTED_VALUE"""),46084.0)</f>
        <v>46084</v>
      </c>
      <c r="S4925" s="57">
        <f>IFERROR(__xludf.DUMMYFUNCTION("""COMPUTED_VALUE"""),46084.0)</f>
        <v>46084</v>
      </c>
      <c r="T4925" s="57">
        <f>IFERROR(__xludf.DUMMYFUNCTION("""COMPUTED_VALUE"""),46115.0)</f>
        <v>46115</v>
      </c>
    </row>
    <row r="4926">
      <c r="A4926" s="6" t="str">
        <f>IFERROR(__xludf.DUMMYFUNCTION("""COMPUTED_VALUE"""),"121703937-3")</f>
        <v>121703937-3</v>
      </c>
      <c r="B4926" s="6" t="str">
        <f>IFERROR(__xludf.DUMMYFUNCTION("""COMPUTED_VALUE"""),"121703937 - APPROVED")</f>
        <v>121703937 - APPROVED</v>
      </c>
      <c r="C4926" s="6">
        <f>IFERROR(__xludf.DUMMYFUNCTION("""COMPUTED_VALUE"""),3.0)</f>
        <v>3</v>
      </c>
      <c r="D4926" s="6" t="str">
        <f>IFERROR(__xludf.DUMMYFUNCTION("""COMPUTED_VALUE"""),"P-19255-00")</f>
        <v>P-19255-00</v>
      </c>
      <c r="E4926" s="6" t="str">
        <f>IFERROR(__xludf.DUMMYFUNCTION("""COMPUTED_VALUE"""),"Plastic Tubing PUN-H-14x2-BL; Festo; 570386;")</f>
        <v>Plastic Tubing PUN-H-14x2-BL; Festo; 570386;</v>
      </c>
      <c r="F4926" s="6">
        <f>IFERROR(__xludf.DUMMYFUNCTION("""COMPUTED_VALUE"""),50.0)</f>
        <v>50</v>
      </c>
      <c r="G4926" s="6" t="str">
        <f>IFERROR(__xludf.DUMMYFUNCTION("""COMPUTED_VALUE"""),"Meter")</f>
        <v>Meter</v>
      </c>
      <c r="H4926" s="6" t="str">
        <f>IFERROR(__xludf.DUMMYFUNCTION("""COMPUTED_VALUE"""),"IDR")</f>
        <v>IDR</v>
      </c>
      <c r="I4926" s="6">
        <f>IFERROR(__xludf.DUMMYFUNCTION("""COMPUTED_VALUE"""),60586.0)</f>
        <v>60586</v>
      </c>
      <c r="J4926" s="6">
        <f>IFERROR(__xludf.DUMMYFUNCTION("""COMPUTED_VALUE"""),3029300.0)</f>
        <v>3029300</v>
      </c>
      <c r="K4926" s="57">
        <f>IFERROR(__xludf.DUMMYFUNCTION("""COMPUTED_VALUE"""),46115.0)</f>
        <v>46115</v>
      </c>
      <c r="L4926" s="6" t="str">
        <f>IFERROR(__xludf.DUMMYFUNCTION("""COMPUTED_VALUE"""),"FIP Engineering")</f>
        <v>FIP Engineering</v>
      </c>
      <c r="M4926" s="6" t="str">
        <f>IFERROR(__xludf.DUMMYFUNCTION("""COMPUTED_VALUE"""),"Mochammad Fadhillah Hakim,")</f>
        <v>Mochammad Fadhillah Hakim,</v>
      </c>
      <c r="N4926" s="6" t="str">
        <f>IFERROR(__xludf.DUMMYFUNCTION("""COMPUTED_VALUE"""),"FIP Engineering")</f>
        <v>FIP Engineering</v>
      </c>
      <c r="O4926" s="6" t="str">
        <f>IFERROR(__xludf.DUMMYFUNCTION("""COMPUTED_VALUE"""),"FIP-DOM-000-11304-OS00001-INA-000000")</f>
        <v>FIP-DOM-000-11304-OS00001-INA-000000</v>
      </c>
      <c r="P4926" s="6" t="str">
        <f>IFERROR(__xludf.DUMMYFUNCTION("""COMPUTED_VALUE"""),"PO Closed")</f>
        <v>PO Closed</v>
      </c>
      <c r="Q4926" s="6" t="str">
        <f>IFERROR(__xludf.DUMMYFUNCTION("""COMPUTED_VALUE"""),"GL2603472")</f>
        <v>GL2603472</v>
      </c>
      <c r="R4926" s="57">
        <f>IFERROR(__xludf.DUMMYFUNCTION("""COMPUTED_VALUE"""),46084.0)</f>
        <v>46084</v>
      </c>
      <c r="S4926" s="57">
        <f>IFERROR(__xludf.DUMMYFUNCTION("""COMPUTED_VALUE"""),46084.0)</f>
        <v>46084</v>
      </c>
      <c r="T4926" s="57">
        <f>IFERROR(__xludf.DUMMYFUNCTION("""COMPUTED_VALUE"""),46115.0)</f>
        <v>46115</v>
      </c>
    </row>
    <row r="4927">
      <c r="A4927" s="6" t="str">
        <f>IFERROR(__xludf.DUMMYFUNCTION("""COMPUTED_VALUE"""),"121703939-1")</f>
        <v>121703939-1</v>
      </c>
      <c r="B4927" s="6" t="str">
        <f>IFERROR(__xludf.DUMMYFUNCTION("""COMPUTED_VALUE"""),"121703939 - APPROVED")</f>
        <v>121703939 - APPROVED</v>
      </c>
      <c r="C4927" s="6">
        <f>IFERROR(__xludf.DUMMYFUNCTION("""COMPUTED_VALUE"""),1.0)</f>
        <v>1</v>
      </c>
      <c r="D4927" s="6" t="str">
        <f>IFERROR(__xludf.DUMMYFUNCTION("""COMPUTED_VALUE"""),"P-16972-00")</f>
        <v>P-16972-00</v>
      </c>
      <c r="E4927" s="6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F4927" s="6">
        <f>IFERROR(__xludf.DUMMYFUNCTION("""COMPUTED_VALUE"""),1.0)</f>
        <v>1</v>
      </c>
      <c r="G4927" s="6" t="str">
        <f>IFERROR(__xludf.DUMMYFUNCTION("""COMPUTED_VALUE"""),"Unit")</f>
        <v>Unit</v>
      </c>
      <c r="H4927" s="6" t="str">
        <f>IFERROR(__xludf.DUMMYFUNCTION("""COMPUTED_VALUE"""),"IDR")</f>
        <v>IDR</v>
      </c>
      <c r="I4927" s="6">
        <f>IFERROR(__xludf.DUMMYFUNCTION("""COMPUTED_VALUE"""),5500000.0)</f>
        <v>5500000</v>
      </c>
      <c r="J4927" s="6">
        <f>IFERROR(__xludf.DUMMYFUNCTION("""COMPUTED_VALUE"""),5500000.0)</f>
        <v>5500000</v>
      </c>
      <c r="K4927" s="57">
        <f>IFERROR(__xludf.DUMMYFUNCTION("""COMPUTED_VALUE"""),46115.0)</f>
        <v>46115</v>
      </c>
      <c r="L4927" s="6" t="str">
        <f>IFERROR(__xludf.DUMMYFUNCTION("""COMPUTED_VALUE"""),"FIP Engineering")</f>
        <v>FIP Engineering</v>
      </c>
      <c r="M4927" s="6" t="str">
        <f>IFERROR(__xludf.DUMMYFUNCTION("""COMPUTED_VALUE"""),"Mochammad Fadhillah Hakim,")</f>
        <v>Mochammad Fadhillah Hakim,</v>
      </c>
      <c r="N4927" s="6" t="str">
        <f>IFERROR(__xludf.DUMMYFUNCTION("""COMPUTED_VALUE"""),"FIP Engineering")</f>
        <v>FIP Engineering</v>
      </c>
      <c r="O4927" s="6" t="str">
        <f>IFERROR(__xludf.DUMMYFUNCTION("""COMPUTED_VALUE"""),"FIP-DOM-000-11304-OS00001-INA-000000")</f>
        <v>FIP-DOM-000-11304-OS00001-INA-000000</v>
      </c>
      <c r="P4927" s="6" t="str">
        <f>IFERROR(__xludf.DUMMYFUNCTION("""COMPUTED_VALUE"""),"PO Closed")</f>
        <v>PO Closed</v>
      </c>
      <c r="Q4927" s="6" t="str">
        <f>IFERROR(__xludf.DUMMYFUNCTION("""COMPUTED_VALUE"""),"GL2603439")</f>
        <v>GL2603439</v>
      </c>
      <c r="R4927" s="57">
        <f>IFERROR(__xludf.DUMMYFUNCTION("""COMPUTED_VALUE"""),46084.0)</f>
        <v>46084</v>
      </c>
      <c r="S4927" s="57">
        <f>IFERROR(__xludf.DUMMYFUNCTION("""COMPUTED_VALUE"""),46084.0)</f>
        <v>46084</v>
      </c>
      <c r="T4927" s="57">
        <f>IFERROR(__xludf.DUMMYFUNCTION("""COMPUTED_VALUE"""),46115.0)</f>
        <v>46115</v>
      </c>
    </row>
    <row r="4928">
      <c r="A4928" s="6" t="str">
        <f>IFERROR(__xludf.DUMMYFUNCTION("""COMPUTED_VALUE"""),"121703940-1")</f>
        <v>121703940-1</v>
      </c>
      <c r="B4928" s="6" t="str">
        <f>IFERROR(__xludf.DUMMYFUNCTION("""COMPUTED_VALUE"""),"121703940 - APPROVED")</f>
        <v>121703940 - APPROVED</v>
      </c>
      <c r="C4928" s="6">
        <f>IFERROR(__xludf.DUMMYFUNCTION("""COMPUTED_VALUE"""),1.0)</f>
        <v>1</v>
      </c>
      <c r="D4928" s="6" t="str">
        <f>IFERROR(__xludf.DUMMYFUNCTION("""COMPUTED_VALUE"""),"P-52854-00")</f>
        <v>P-52854-00</v>
      </c>
      <c r="E4928" s="6" t="str">
        <f>IFERROR(__xludf.DUMMYFUNCTION("""COMPUTED_VALUE"""),"General - Socket RJ45 Cat 6; Belden; -; 100pcs/pack")</f>
        <v>General - Socket RJ45 Cat 6; Belden; -; 100pcs/pack</v>
      </c>
      <c r="F4928" s="6">
        <f>IFERROR(__xludf.DUMMYFUNCTION("""COMPUTED_VALUE"""),1.0)</f>
        <v>1</v>
      </c>
      <c r="G4928" s="6" t="str">
        <f>IFERROR(__xludf.DUMMYFUNCTION("""COMPUTED_VALUE"""),"Pieces")</f>
        <v>Pieces</v>
      </c>
      <c r="H4928" s="6" t="str">
        <f>IFERROR(__xludf.DUMMYFUNCTION("""COMPUTED_VALUE"""),"IDR")</f>
        <v>IDR</v>
      </c>
      <c r="I4928" s="6">
        <f>IFERROR(__xludf.DUMMYFUNCTION("""COMPUTED_VALUE"""),315000.0)</f>
        <v>315000</v>
      </c>
      <c r="J4928" s="6">
        <f>IFERROR(__xludf.DUMMYFUNCTION("""COMPUTED_VALUE"""),315000.0)</f>
        <v>315000</v>
      </c>
      <c r="K4928" s="57">
        <f>IFERROR(__xludf.DUMMYFUNCTION("""COMPUTED_VALUE"""),46115.0)</f>
        <v>46115</v>
      </c>
      <c r="L4928" s="6" t="str">
        <f>IFERROR(__xludf.DUMMYFUNCTION("""COMPUTED_VALUE"""),"FIP Engineering")</f>
        <v>FIP Engineering</v>
      </c>
      <c r="M4928" s="6" t="str">
        <f>IFERROR(__xludf.DUMMYFUNCTION("""COMPUTED_VALUE"""),"Mochammad Fadhillah Hakim,")</f>
        <v>Mochammad Fadhillah Hakim,</v>
      </c>
      <c r="N4928" s="6" t="str">
        <f>IFERROR(__xludf.DUMMYFUNCTION("""COMPUTED_VALUE"""),"FIP Engineering")</f>
        <v>FIP Engineering</v>
      </c>
      <c r="O4928" s="6" t="str">
        <f>IFERROR(__xludf.DUMMYFUNCTION("""COMPUTED_VALUE"""),"FIP-DOM-000-11304-OS00001-INA-000000")</f>
        <v>FIP-DOM-000-11304-OS00001-INA-000000</v>
      </c>
      <c r="P4928" s="6" t="str">
        <f>IFERROR(__xludf.DUMMYFUNCTION("""COMPUTED_VALUE"""),"PO Closed")</f>
        <v>PO Closed</v>
      </c>
      <c r="Q4928" s="6" t="str">
        <f>IFERROR(__xludf.DUMMYFUNCTION("""COMPUTED_VALUE"""),"GL2603449")</f>
        <v>GL2603449</v>
      </c>
      <c r="R4928" s="57">
        <f>IFERROR(__xludf.DUMMYFUNCTION("""COMPUTED_VALUE"""),46084.0)</f>
        <v>46084</v>
      </c>
      <c r="S4928" s="57">
        <f>IFERROR(__xludf.DUMMYFUNCTION("""COMPUTED_VALUE"""),46084.0)</f>
        <v>46084</v>
      </c>
      <c r="T4928" s="57">
        <f>IFERROR(__xludf.DUMMYFUNCTION("""COMPUTED_VALUE"""),46115.0)</f>
        <v>46115</v>
      </c>
    </row>
    <row r="4929">
      <c r="A4929" s="6" t="str">
        <f>IFERROR(__xludf.DUMMYFUNCTION("""COMPUTED_VALUE"""),"121703940-3")</f>
        <v>121703940-3</v>
      </c>
      <c r="B4929" s="6" t="str">
        <f>IFERROR(__xludf.DUMMYFUNCTION("""COMPUTED_VALUE"""),"121703940 - APPROVED")</f>
        <v>121703940 - APPROVED</v>
      </c>
      <c r="C4929" s="6">
        <f>IFERROR(__xludf.DUMMYFUNCTION("""COMPUTED_VALUE"""),3.0)</f>
        <v>3</v>
      </c>
      <c r="D4929" s="6" t="str">
        <f>IFERROR(__xludf.DUMMYFUNCTION("""COMPUTED_VALUE"""),"P-13384-00")</f>
        <v>P-13384-00</v>
      </c>
      <c r="E4929" s="6" t="str">
        <f>IFERROR(__xludf.DUMMYFUNCTION("""COMPUTED_VALUE"""),"Sok Drat Luar 2"" Pvc Rucika; ; ;")</f>
        <v>Sok Drat Luar 2" Pvc Rucika; ; ;</v>
      </c>
      <c r="F4929" s="6">
        <f>IFERROR(__xludf.DUMMYFUNCTION("""COMPUTED_VALUE"""),4.0)</f>
        <v>4</v>
      </c>
      <c r="G4929" s="6" t="str">
        <f>IFERROR(__xludf.DUMMYFUNCTION("""COMPUTED_VALUE"""),"Pieces")</f>
        <v>Pieces</v>
      </c>
      <c r="H4929" s="6" t="str">
        <f>IFERROR(__xludf.DUMMYFUNCTION("""COMPUTED_VALUE"""),"IDR")</f>
        <v>IDR</v>
      </c>
      <c r="I4929" s="6">
        <f>IFERROR(__xludf.DUMMYFUNCTION("""COMPUTED_VALUE"""),10800.0)</f>
        <v>10800</v>
      </c>
      <c r="J4929" s="6">
        <f>IFERROR(__xludf.DUMMYFUNCTION("""COMPUTED_VALUE"""),43200.0)</f>
        <v>43200</v>
      </c>
      <c r="K4929" s="57">
        <f>IFERROR(__xludf.DUMMYFUNCTION("""COMPUTED_VALUE"""),46115.0)</f>
        <v>46115</v>
      </c>
      <c r="L4929" s="6" t="str">
        <f>IFERROR(__xludf.DUMMYFUNCTION("""COMPUTED_VALUE"""),"FIP Engineering")</f>
        <v>FIP Engineering</v>
      </c>
      <c r="M4929" s="6" t="str">
        <f>IFERROR(__xludf.DUMMYFUNCTION("""COMPUTED_VALUE"""),"Mochammad Fadhillah Hakim,")</f>
        <v>Mochammad Fadhillah Hakim,</v>
      </c>
      <c r="N4929" s="6" t="str">
        <f>IFERROR(__xludf.DUMMYFUNCTION("""COMPUTED_VALUE"""),"FIP Engineering")</f>
        <v>FIP Engineering</v>
      </c>
      <c r="O4929" s="6" t="str">
        <f>IFERROR(__xludf.DUMMYFUNCTION("""COMPUTED_VALUE"""),"FIP-DOM-000-11304-OS00001-INA-000000")</f>
        <v>FIP-DOM-000-11304-OS00001-INA-000000</v>
      </c>
      <c r="P4929" s="6" t="str">
        <f>IFERROR(__xludf.DUMMYFUNCTION("""COMPUTED_VALUE"""),"PO Closed")</f>
        <v>PO Closed</v>
      </c>
      <c r="Q4929" s="6" t="str">
        <f>IFERROR(__xludf.DUMMYFUNCTION("""COMPUTED_VALUE"""),"GL2604493")</f>
        <v>GL2604493</v>
      </c>
      <c r="R4929" s="57">
        <f>IFERROR(__xludf.DUMMYFUNCTION("""COMPUTED_VALUE"""),46084.0)</f>
        <v>46084</v>
      </c>
      <c r="S4929" s="57">
        <f>IFERROR(__xludf.DUMMYFUNCTION("""COMPUTED_VALUE"""),46084.0)</f>
        <v>46084</v>
      </c>
      <c r="T4929" s="57">
        <f>IFERROR(__xludf.DUMMYFUNCTION("""COMPUTED_VALUE"""),46137.0)</f>
        <v>46137</v>
      </c>
    </row>
    <row r="4930">
      <c r="A4930" s="6" t="str">
        <f>IFERROR(__xludf.DUMMYFUNCTION("""COMPUTED_VALUE"""),"121703940-4")</f>
        <v>121703940-4</v>
      </c>
      <c r="B4930" s="6" t="str">
        <f>IFERROR(__xludf.DUMMYFUNCTION("""COMPUTED_VALUE"""),"121703940 - APPROVED")</f>
        <v>121703940 - APPROVED</v>
      </c>
      <c r="C4930" s="6">
        <f>IFERROR(__xludf.DUMMYFUNCTION("""COMPUTED_VALUE"""),4.0)</f>
        <v>4</v>
      </c>
      <c r="D4930" s="6" t="str">
        <f>IFERROR(__xludf.DUMMYFUNCTION("""COMPUTED_VALUE"""),"P-50962-00")</f>
        <v>P-50962-00</v>
      </c>
      <c r="E4930" s="6" t="str">
        <f>IFERROR(__xludf.DUMMYFUNCTION("""COMPUTED_VALUE"""),"General - Fuse kaca 5A x 6 x 30mm; Lokal; -; 1 pc")</f>
        <v>General - Fuse kaca 5A x 6 x 30mm; Lokal; -; 1 pc</v>
      </c>
      <c r="F4930" s="6">
        <f>IFERROR(__xludf.DUMMYFUNCTION("""COMPUTED_VALUE"""),10.0)</f>
        <v>10</v>
      </c>
      <c r="G4930" s="6" t="str">
        <f>IFERROR(__xludf.DUMMYFUNCTION("""COMPUTED_VALUE"""),"Pieces")</f>
        <v>Pieces</v>
      </c>
      <c r="H4930" s="6" t="str">
        <f>IFERROR(__xludf.DUMMYFUNCTION("""COMPUTED_VALUE"""),"IDR")</f>
        <v>IDR</v>
      </c>
      <c r="I4930" s="6">
        <f>IFERROR(__xludf.DUMMYFUNCTION("""COMPUTED_VALUE"""),4500.0)</f>
        <v>4500</v>
      </c>
      <c r="J4930" s="6">
        <f>IFERROR(__xludf.DUMMYFUNCTION("""COMPUTED_VALUE"""),45000.0)</f>
        <v>45000</v>
      </c>
      <c r="K4930" s="57">
        <f>IFERROR(__xludf.DUMMYFUNCTION("""COMPUTED_VALUE"""),46115.0)</f>
        <v>46115</v>
      </c>
      <c r="L4930" s="6" t="str">
        <f>IFERROR(__xludf.DUMMYFUNCTION("""COMPUTED_VALUE"""),"FIP Engineering")</f>
        <v>FIP Engineering</v>
      </c>
      <c r="M4930" s="6" t="str">
        <f>IFERROR(__xludf.DUMMYFUNCTION("""COMPUTED_VALUE"""),"Mochammad Fadhillah Hakim,")</f>
        <v>Mochammad Fadhillah Hakim,</v>
      </c>
      <c r="N4930" s="6" t="str">
        <f>IFERROR(__xludf.DUMMYFUNCTION("""COMPUTED_VALUE"""),"FIP Engineering")</f>
        <v>FIP Engineering</v>
      </c>
      <c r="O4930" s="6" t="str">
        <f>IFERROR(__xludf.DUMMYFUNCTION("""COMPUTED_VALUE"""),"FIP-DOM-000-11304-OS00001-INA-000000")</f>
        <v>FIP-DOM-000-11304-OS00001-INA-000000</v>
      </c>
      <c r="P4930" s="6" t="str">
        <f>IFERROR(__xludf.DUMMYFUNCTION("""COMPUTED_VALUE"""),"PO Closed")</f>
        <v>PO Closed</v>
      </c>
      <c r="Q4930" s="6" t="str">
        <f>IFERROR(__xludf.DUMMYFUNCTION("""COMPUTED_VALUE"""),"GL2603465")</f>
        <v>GL2603465</v>
      </c>
      <c r="R4930" s="57">
        <f>IFERROR(__xludf.DUMMYFUNCTION("""COMPUTED_VALUE"""),46084.0)</f>
        <v>46084</v>
      </c>
      <c r="S4930" s="57">
        <f>IFERROR(__xludf.DUMMYFUNCTION("""COMPUTED_VALUE"""),46084.0)</f>
        <v>46084</v>
      </c>
      <c r="T4930" s="57">
        <f>IFERROR(__xludf.DUMMYFUNCTION("""COMPUTED_VALUE"""),46115.0)</f>
        <v>46115</v>
      </c>
    </row>
    <row r="4931">
      <c r="A4931" s="6" t="str">
        <f>IFERROR(__xludf.DUMMYFUNCTION("""COMPUTED_VALUE"""),"121703940-5")</f>
        <v>121703940-5</v>
      </c>
      <c r="B4931" s="6" t="str">
        <f>IFERROR(__xludf.DUMMYFUNCTION("""COMPUTED_VALUE"""),"121703940 - APPROVED")</f>
        <v>121703940 - APPROVED</v>
      </c>
      <c r="C4931" s="6">
        <f>IFERROR(__xludf.DUMMYFUNCTION("""COMPUTED_VALUE"""),5.0)</f>
        <v>5</v>
      </c>
      <c r="D4931" s="6" t="str">
        <f>IFERROR(__xludf.DUMMYFUNCTION("""COMPUTED_VALUE"""),"P-12488-00")</f>
        <v>P-12488-00</v>
      </c>
      <c r="E4931" s="6" t="str">
        <f>IFERROR(__xludf.DUMMYFUNCTION("""COMPUTED_VALUE"""),"General - Mata Bor Besi, dia. 4 mm; NACHI; -; 1 pcs")</f>
        <v>General - Mata Bor Besi, dia. 4 mm; NACHI; -; 1 pcs</v>
      </c>
      <c r="F4931" s="6">
        <f>IFERROR(__xludf.DUMMYFUNCTION("""COMPUTED_VALUE"""),3.0)</f>
        <v>3</v>
      </c>
      <c r="G4931" s="6" t="str">
        <f>IFERROR(__xludf.DUMMYFUNCTION("""COMPUTED_VALUE"""),"Pieces")</f>
        <v>Pieces</v>
      </c>
      <c r="H4931" s="6" t="str">
        <f>IFERROR(__xludf.DUMMYFUNCTION("""COMPUTED_VALUE"""),"IDR")</f>
        <v>IDR</v>
      </c>
      <c r="I4931" s="6">
        <f>IFERROR(__xludf.DUMMYFUNCTION("""COMPUTED_VALUE"""),22500.0)</f>
        <v>22500</v>
      </c>
      <c r="J4931" s="6">
        <f>IFERROR(__xludf.DUMMYFUNCTION("""COMPUTED_VALUE"""),67500.0)</f>
        <v>67500</v>
      </c>
      <c r="K4931" s="57">
        <f>IFERROR(__xludf.DUMMYFUNCTION("""COMPUTED_VALUE"""),46115.0)</f>
        <v>46115</v>
      </c>
      <c r="L4931" s="6" t="str">
        <f>IFERROR(__xludf.DUMMYFUNCTION("""COMPUTED_VALUE"""),"FIP Engineering")</f>
        <v>FIP Engineering</v>
      </c>
      <c r="M4931" s="6" t="str">
        <f>IFERROR(__xludf.DUMMYFUNCTION("""COMPUTED_VALUE"""),"Mochammad Fadhillah Hakim,")</f>
        <v>Mochammad Fadhillah Hakim,</v>
      </c>
      <c r="N4931" s="6" t="str">
        <f>IFERROR(__xludf.DUMMYFUNCTION("""COMPUTED_VALUE"""),"FIP Engineering")</f>
        <v>FIP Engineering</v>
      </c>
      <c r="O4931" s="6" t="str">
        <f>IFERROR(__xludf.DUMMYFUNCTION("""COMPUTED_VALUE"""),"FIP-DOM-000-11304-OS00001-INA-000000")</f>
        <v>FIP-DOM-000-11304-OS00001-INA-000000</v>
      </c>
      <c r="P4931" s="6" t="str">
        <f>IFERROR(__xludf.DUMMYFUNCTION("""COMPUTED_VALUE"""),"PO Closed")</f>
        <v>PO Closed</v>
      </c>
      <c r="Q4931" s="6" t="str">
        <f>IFERROR(__xludf.DUMMYFUNCTION("""COMPUTED_VALUE"""),"GL2603451")</f>
        <v>GL2603451</v>
      </c>
      <c r="R4931" s="57">
        <f>IFERROR(__xludf.DUMMYFUNCTION("""COMPUTED_VALUE"""),46084.0)</f>
        <v>46084</v>
      </c>
      <c r="S4931" s="57">
        <f>IFERROR(__xludf.DUMMYFUNCTION("""COMPUTED_VALUE"""),46084.0)</f>
        <v>46084</v>
      </c>
      <c r="T4931" s="57">
        <f>IFERROR(__xludf.DUMMYFUNCTION("""COMPUTED_VALUE"""),46115.0)</f>
        <v>46115</v>
      </c>
    </row>
    <row r="4932">
      <c r="A4932" s="6" t="str">
        <f>IFERROR(__xludf.DUMMYFUNCTION("""COMPUTED_VALUE"""),"121703940-6")</f>
        <v>121703940-6</v>
      </c>
      <c r="B4932" s="6" t="str">
        <f>IFERROR(__xludf.DUMMYFUNCTION("""COMPUTED_VALUE"""),"121703940 - APPROVED")</f>
        <v>121703940 - APPROVED</v>
      </c>
      <c r="C4932" s="6">
        <f>IFERROR(__xludf.DUMMYFUNCTION("""COMPUTED_VALUE"""),6.0)</f>
        <v>6</v>
      </c>
      <c r="D4932" s="6" t="str">
        <f>IFERROR(__xludf.DUMMYFUNCTION("""COMPUTED_VALUE"""),"P-51299-00")</f>
        <v>P-51299-00</v>
      </c>
      <c r="E4932" s="6" t="str">
        <f>IFERROR(__xludf.DUMMYFUNCTION("""COMPUTED_VALUE"""),"General - Terminal Plastik, dia. 6 mm; No Brand; -; 1 pcs")</f>
        <v>General - Terminal Plastik, dia. 6 mm; No Brand; -; 1 pcs</v>
      </c>
      <c r="F4932" s="6">
        <f>IFERROR(__xludf.DUMMYFUNCTION("""COMPUTED_VALUE"""),10.0)</f>
        <v>10</v>
      </c>
      <c r="G4932" s="6" t="str">
        <f>IFERROR(__xludf.DUMMYFUNCTION("""COMPUTED_VALUE"""),"Pieces")</f>
        <v>Pieces</v>
      </c>
      <c r="H4932" s="6" t="str">
        <f>IFERROR(__xludf.DUMMYFUNCTION("""COMPUTED_VALUE"""),"IDR")</f>
        <v>IDR</v>
      </c>
      <c r="I4932" s="6">
        <f>IFERROR(__xludf.DUMMYFUNCTION("""COMPUTED_VALUE"""),9000.0)</f>
        <v>9000</v>
      </c>
      <c r="J4932" s="6">
        <f>IFERROR(__xludf.DUMMYFUNCTION("""COMPUTED_VALUE"""),90000.0)</f>
        <v>90000</v>
      </c>
      <c r="K4932" s="57">
        <f>IFERROR(__xludf.DUMMYFUNCTION("""COMPUTED_VALUE"""),46115.0)</f>
        <v>46115</v>
      </c>
      <c r="L4932" s="6" t="str">
        <f>IFERROR(__xludf.DUMMYFUNCTION("""COMPUTED_VALUE"""),"FIP Engineering")</f>
        <v>FIP Engineering</v>
      </c>
      <c r="M4932" s="6" t="str">
        <f>IFERROR(__xludf.DUMMYFUNCTION("""COMPUTED_VALUE"""),"Mochammad Fadhillah Hakim,")</f>
        <v>Mochammad Fadhillah Hakim,</v>
      </c>
      <c r="N4932" s="6" t="str">
        <f>IFERROR(__xludf.DUMMYFUNCTION("""COMPUTED_VALUE"""),"FIP Engineering")</f>
        <v>FIP Engineering</v>
      </c>
      <c r="O4932" s="6" t="str">
        <f>IFERROR(__xludf.DUMMYFUNCTION("""COMPUTED_VALUE"""),"FIP-DOM-000-11304-OS00001-INA-000000")</f>
        <v>FIP-DOM-000-11304-OS00001-INA-000000</v>
      </c>
      <c r="P4932" s="6" t="str">
        <f>IFERROR(__xludf.DUMMYFUNCTION("""COMPUTED_VALUE"""),"PO Closed")</f>
        <v>PO Closed</v>
      </c>
      <c r="Q4932" s="6" t="str">
        <f>IFERROR(__xludf.DUMMYFUNCTION("""COMPUTED_VALUE"""),"GL2603451")</f>
        <v>GL2603451</v>
      </c>
      <c r="R4932" s="57">
        <f>IFERROR(__xludf.DUMMYFUNCTION("""COMPUTED_VALUE"""),46084.0)</f>
        <v>46084</v>
      </c>
      <c r="S4932" s="57">
        <f>IFERROR(__xludf.DUMMYFUNCTION("""COMPUTED_VALUE"""),46084.0)</f>
        <v>46084</v>
      </c>
      <c r="T4932" s="57">
        <f>IFERROR(__xludf.DUMMYFUNCTION("""COMPUTED_VALUE"""),46115.0)</f>
        <v>46115</v>
      </c>
    </row>
    <row r="4933">
      <c r="A4933" s="6" t="str">
        <f>IFERROR(__xludf.DUMMYFUNCTION("""COMPUTED_VALUE"""),"121703940-7")</f>
        <v>121703940-7</v>
      </c>
      <c r="B4933" s="6" t="str">
        <f>IFERROR(__xludf.DUMMYFUNCTION("""COMPUTED_VALUE"""),"121703940 - APPROVED")</f>
        <v>121703940 - APPROVED</v>
      </c>
      <c r="C4933" s="6">
        <f>IFERROR(__xludf.DUMMYFUNCTION("""COMPUTED_VALUE"""),7.0)</f>
        <v>7</v>
      </c>
      <c r="D4933" s="6" t="str">
        <f>IFERROR(__xludf.DUMMYFUNCTION("""COMPUTED_VALUE"""),"P-18555-00")</f>
        <v>P-18555-00</v>
      </c>
      <c r="E4933" s="6" t="str">
        <f>IFERROR(__xludf.DUMMYFUNCTION("""COMPUTED_VALUE"""),"General - Baut L, SS 304, M3 x 6 mm + Mur; No Brand; -; 1 pcs")</f>
        <v>General - Baut L, SS 304, M3 x 6 mm + Mur; No Brand; -; 1 pcs</v>
      </c>
      <c r="F4933" s="6">
        <f>IFERROR(__xludf.DUMMYFUNCTION("""COMPUTED_VALUE"""),100.0)</f>
        <v>100</v>
      </c>
      <c r="G4933" s="6" t="str">
        <f>IFERROR(__xludf.DUMMYFUNCTION("""COMPUTED_VALUE"""),"Pieces")</f>
        <v>Pieces</v>
      </c>
      <c r="H4933" s="6" t="str">
        <f>IFERROR(__xludf.DUMMYFUNCTION("""COMPUTED_VALUE"""),"IDR")</f>
        <v>IDR</v>
      </c>
      <c r="I4933" s="6">
        <f>IFERROR(__xludf.DUMMYFUNCTION("""COMPUTED_VALUE"""),900.0)</f>
        <v>900</v>
      </c>
      <c r="J4933" s="6">
        <f>IFERROR(__xludf.DUMMYFUNCTION("""COMPUTED_VALUE"""),90000.0)</f>
        <v>90000</v>
      </c>
      <c r="K4933" s="57">
        <f>IFERROR(__xludf.DUMMYFUNCTION("""COMPUTED_VALUE"""),46115.0)</f>
        <v>46115</v>
      </c>
      <c r="L4933" s="6" t="str">
        <f>IFERROR(__xludf.DUMMYFUNCTION("""COMPUTED_VALUE"""),"FIP Engineering")</f>
        <v>FIP Engineering</v>
      </c>
      <c r="M4933" s="6" t="str">
        <f>IFERROR(__xludf.DUMMYFUNCTION("""COMPUTED_VALUE"""),"Mochammad Fadhillah Hakim,")</f>
        <v>Mochammad Fadhillah Hakim,</v>
      </c>
      <c r="N4933" s="6" t="str">
        <f>IFERROR(__xludf.DUMMYFUNCTION("""COMPUTED_VALUE"""),"FIP Engineering")</f>
        <v>FIP Engineering</v>
      </c>
      <c r="O4933" s="6" t="str">
        <f>IFERROR(__xludf.DUMMYFUNCTION("""COMPUTED_VALUE"""),"FIP-DOM-000-11304-OS00001-INA-000000")</f>
        <v>FIP-DOM-000-11304-OS00001-INA-000000</v>
      </c>
      <c r="P4933" s="6" t="str">
        <f>IFERROR(__xludf.DUMMYFUNCTION("""COMPUTED_VALUE"""),"PO Closed")</f>
        <v>PO Closed</v>
      </c>
      <c r="Q4933" s="6" t="str">
        <f>IFERROR(__xludf.DUMMYFUNCTION("""COMPUTED_VALUE"""),"GL2603465")</f>
        <v>GL2603465</v>
      </c>
      <c r="R4933" s="57">
        <f>IFERROR(__xludf.DUMMYFUNCTION("""COMPUTED_VALUE"""),46084.0)</f>
        <v>46084</v>
      </c>
      <c r="S4933" s="57">
        <f>IFERROR(__xludf.DUMMYFUNCTION("""COMPUTED_VALUE"""),46084.0)</f>
        <v>46084</v>
      </c>
      <c r="T4933" s="57">
        <f>IFERROR(__xludf.DUMMYFUNCTION("""COMPUTED_VALUE"""),46115.0)</f>
        <v>46115</v>
      </c>
    </row>
    <row r="4934">
      <c r="A4934" s="6" t="str">
        <f>IFERROR(__xludf.DUMMYFUNCTION("""COMPUTED_VALUE"""),"121703940-8")</f>
        <v>121703940-8</v>
      </c>
      <c r="B4934" s="6" t="str">
        <f>IFERROR(__xludf.DUMMYFUNCTION("""COMPUTED_VALUE"""),"121703940 - APPROVED")</f>
        <v>121703940 - APPROVED</v>
      </c>
      <c r="C4934" s="6">
        <f>IFERROR(__xludf.DUMMYFUNCTION("""COMPUTED_VALUE"""),8.0)</f>
        <v>8</v>
      </c>
      <c r="D4934" s="6" t="str">
        <f>IFERROR(__xludf.DUMMYFUNCTION("""COMPUTED_VALUE"""),"P-18556-00")</f>
        <v>P-18556-00</v>
      </c>
      <c r="E4934" s="6" t="str">
        <f>IFERROR(__xludf.DUMMYFUNCTION("""COMPUTED_VALUE"""),"General - Baut L, SS 304, M3 x 10 mm + Mur; No Brand; -; 1 pcs")</f>
        <v>General - Baut L, SS 304, M3 x 10 mm + Mur; No Brand; -; 1 pcs</v>
      </c>
      <c r="F4934" s="6">
        <f>IFERROR(__xludf.DUMMYFUNCTION("""COMPUTED_VALUE"""),100.0)</f>
        <v>100</v>
      </c>
      <c r="G4934" s="6" t="str">
        <f>IFERROR(__xludf.DUMMYFUNCTION("""COMPUTED_VALUE"""),"Pieces")</f>
        <v>Pieces</v>
      </c>
      <c r="H4934" s="6" t="str">
        <f>IFERROR(__xludf.DUMMYFUNCTION("""COMPUTED_VALUE"""),"IDR")</f>
        <v>IDR</v>
      </c>
      <c r="I4934" s="6">
        <f>IFERROR(__xludf.DUMMYFUNCTION("""COMPUTED_VALUE"""),900.0)</f>
        <v>900</v>
      </c>
      <c r="J4934" s="6">
        <f>IFERROR(__xludf.DUMMYFUNCTION("""COMPUTED_VALUE"""),90000.0)</f>
        <v>90000</v>
      </c>
      <c r="K4934" s="57">
        <f>IFERROR(__xludf.DUMMYFUNCTION("""COMPUTED_VALUE"""),46115.0)</f>
        <v>46115</v>
      </c>
      <c r="L4934" s="6" t="str">
        <f>IFERROR(__xludf.DUMMYFUNCTION("""COMPUTED_VALUE"""),"FIP Engineering")</f>
        <v>FIP Engineering</v>
      </c>
      <c r="M4934" s="6" t="str">
        <f>IFERROR(__xludf.DUMMYFUNCTION("""COMPUTED_VALUE"""),"Mochammad Fadhillah Hakim,")</f>
        <v>Mochammad Fadhillah Hakim,</v>
      </c>
      <c r="N4934" s="6" t="str">
        <f>IFERROR(__xludf.DUMMYFUNCTION("""COMPUTED_VALUE"""),"FIP Engineering")</f>
        <v>FIP Engineering</v>
      </c>
      <c r="O4934" s="6" t="str">
        <f>IFERROR(__xludf.DUMMYFUNCTION("""COMPUTED_VALUE"""),"FIP-DOM-000-11304-OS00001-INA-000000")</f>
        <v>FIP-DOM-000-11304-OS00001-INA-000000</v>
      </c>
      <c r="P4934" s="6" t="str">
        <f>IFERROR(__xludf.DUMMYFUNCTION("""COMPUTED_VALUE"""),"PO Closed")</f>
        <v>PO Closed</v>
      </c>
      <c r="Q4934" s="6" t="str">
        <f>IFERROR(__xludf.DUMMYFUNCTION("""COMPUTED_VALUE"""),"GL2603465")</f>
        <v>GL2603465</v>
      </c>
      <c r="R4934" s="57">
        <f>IFERROR(__xludf.DUMMYFUNCTION("""COMPUTED_VALUE"""),46084.0)</f>
        <v>46084</v>
      </c>
      <c r="S4934" s="57">
        <f>IFERROR(__xludf.DUMMYFUNCTION("""COMPUTED_VALUE"""),46084.0)</f>
        <v>46084</v>
      </c>
      <c r="T4934" s="57">
        <f>IFERROR(__xludf.DUMMYFUNCTION("""COMPUTED_VALUE"""),46115.0)</f>
        <v>46115</v>
      </c>
    </row>
    <row r="4935">
      <c r="A4935" s="6" t="str">
        <f>IFERROR(__xludf.DUMMYFUNCTION("""COMPUTED_VALUE"""),"121703940-9")</f>
        <v>121703940-9</v>
      </c>
      <c r="B4935" s="6" t="str">
        <f>IFERROR(__xludf.DUMMYFUNCTION("""COMPUTED_VALUE"""),"121703940 - APPROVED")</f>
        <v>121703940 - APPROVED</v>
      </c>
      <c r="C4935" s="6">
        <f>IFERROR(__xludf.DUMMYFUNCTION("""COMPUTED_VALUE"""),9.0)</f>
        <v>9</v>
      </c>
      <c r="D4935" s="6" t="str">
        <f>IFERROR(__xludf.DUMMYFUNCTION("""COMPUTED_VALUE"""),"P-18554-00")</f>
        <v>P-18554-00</v>
      </c>
      <c r="E4935" s="6" t="str">
        <f>IFERROR(__xludf.DUMMYFUNCTION("""COMPUTED_VALUE"""),"General - Baut Hexagonal, SS 304, M4 x 8 mm; No Brand; -; 1 pcs")</f>
        <v>General - Baut Hexagonal, SS 304, M4 x 8 mm; No Brand; -; 1 pcs</v>
      </c>
      <c r="F4935" s="6">
        <f>IFERROR(__xludf.DUMMYFUNCTION("""COMPUTED_VALUE"""),100.0)</f>
        <v>100</v>
      </c>
      <c r="G4935" s="6" t="str">
        <f>IFERROR(__xludf.DUMMYFUNCTION("""COMPUTED_VALUE"""),"Pieces")</f>
        <v>Pieces</v>
      </c>
      <c r="H4935" s="6" t="str">
        <f>IFERROR(__xludf.DUMMYFUNCTION("""COMPUTED_VALUE"""),"IDR")</f>
        <v>IDR</v>
      </c>
      <c r="I4935" s="6">
        <f>IFERROR(__xludf.DUMMYFUNCTION("""COMPUTED_VALUE"""),1080.0)</f>
        <v>1080</v>
      </c>
      <c r="J4935" s="6">
        <f>IFERROR(__xludf.DUMMYFUNCTION("""COMPUTED_VALUE"""),108000.0)</f>
        <v>108000</v>
      </c>
      <c r="K4935" s="57">
        <f>IFERROR(__xludf.DUMMYFUNCTION("""COMPUTED_VALUE"""),46115.0)</f>
        <v>46115</v>
      </c>
      <c r="L4935" s="6" t="str">
        <f>IFERROR(__xludf.DUMMYFUNCTION("""COMPUTED_VALUE"""),"FIP Engineering")</f>
        <v>FIP Engineering</v>
      </c>
      <c r="M4935" s="6" t="str">
        <f>IFERROR(__xludf.DUMMYFUNCTION("""COMPUTED_VALUE"""),"Mochammad Fadhillah Hakim,")</f>
        <v>Mochammad Fadhillah Hakim,</v>
      </c>
      <c r="N4935" s="6" t="str">
        <f>IFERROR(__xludf.DUMMYFUNCTION("""COMPUTED_VALUE"""),"FIP Engineering")</f>
        <v>FIP Engineering</v>
      </c>
      <c r="O4935" s="6" t="str">
        <f>IFERROR(__xludf.DUMMYFUNCTION("""COMPUTED_VALUE"""),"FIP-DOM-000-11304-OS00001-INA-000000")</f>
        <v>FIP-DOM-000-11304-OS00001-INA-000000</v>
      </c>
      <c r="P4935" s="6" t="str">
        <f>IFERROR(__xludf.DUMMYFUNCTION("""COMPUTED_VALUE"""),"PO Closed")</f>
        <v>PO Closed</v>
      </c>
      <c r="Q4935" s="6" t="str">
        <f>IFERROR(__xludf.DUMMYFUNCTION("""COMPUTED_VALUE"""),"GL2603465")</f>
        <v>GL2603465</v>
      </c>
      <c r="R4935" s="57">
        <f>IFERROR(__xludf.DUMMYFUNCTION("""COMPUTED_VALUE"""),46084.0)</f>
        <v>46084</v>
      </c>
      <c r="S4935" s="57">
        <f>IFERROR(__xludf.DUMMYFUNCTION("""COMPUTED_VALUE"""),46084.0)</f>
        <v>46084</v>
      </c>
      <c r="T4935" s="57">
        <f>IFERROR(__xludf.DUMMYFUNCTION("""COMPUTED_VALUE"""),46115.0)</f>
        <v>46115</v>
      </c>
    </row>
    <row r="4936">
      <c r="A4936" s="6" t="str">
        <f>IFERROR(__xludf.DUMMYFUNCTION("""COMPUTED_VALUE"""),"121703940-10")</f>
        <v>121703940-10</v>
      </c>
      <c r="B4936" s="6" t="str">
        <f>IFERROR(__xludf.DUMMYFUNCTION("""COMPUTED_VALUE"""),"121703940 - APPROVED")</f>
        <v>121703940 - APPROVED</v>
      </c>
      <c r="C4936" s="6">
        <f>IFERROR(__xludf.DUMMYFUNCTION("""COMPUTED_VALUE"""),10.0)</f>
        <v>10</v>
      </c>
      <c r="D4936" s="6" t="str">
        <f>IFERROR(__xludf.DUMMYFUNCTION("""COMPUTED_VALUE"""),"P-11886-00")</f>
        <v>P-11886-00</v>
      </c>
      <c r="E4936" s="6" t="str">
        <f>IFERROR(__xludf.DUMMYFUNCTION("""COMPUTED_VALUE"""),"Baut SS L countersunk  M 4x0.7x10mm + Mur")</f>
        <v>Baut SS L countersunk  M 4x0.7x10mm + Mur</v>
      </c>
      <c r="F4936" s="6">
        <f>IFERROR(__xludf.DUMMYFUNCTION("""COMPUTED_VALUE"""),100.0)</f>
        <v>100</v>
      </c>
      <c r="G4936" s="6" t="str">
        <f>IFERROR(__xludf.DUMMYFUNCTION("""COMPUTED_VALUE"""),"Pieces")</f>
        <v>Pieces</v>
      </c>
      <c r="H4936" s="6" t="str">
        <f>IFERROR(__xludf.DUMMYFUNCTION("""COMPUTED_VALUE"""),"IDR")</f>
        <v>IDR</v>
      </c>
      <c r="I4936" s="6">
        <f>IFERROR(__xludf.DUMMYFUNCTION("""COMPUTED_VALUE"""),1200.0)</f>
        <v>1200</v>
      </c>
      <c r="J4936" s="6">
        <f>IFERROR(__xludf.DUMMYFUNCTION("""COMPUTED_VALUE"""),120000.0)</f>
        <v>120000</v>
      </c>
      <c r="K4936" s="57">
        <f>IFERROR(__xludf.DUMMYFUNCTION("""COMPUTED_VALUE"""),46115.0)</f>
        <v>46115</v>
      </c>
      <c r="L4936" s="6" t="str">
        <f>IFERROR(__xludf.DUMMYFUNCTION("""COMPUTED_VALUE"""),"FIP Engineering")</f>
        <v>FIP Engineering</v>
      </c>
      <c r="M4936" s="6" t="str">
        <f>IFERROR(__xludf.DUMMYFUNCTION("""COMPUTED_VALUE"""),"Mochammad Fadhillah Hakim,")</f>
        <v>Mochammad Fadhillah Hakim,</v>
      </c>
      <c r="N4936" s="6" t="str">
        <f>IFERROR(__xludf.DUMMYFUNCTION("""COMPUTED_VALUE"""),"FIP Engineering")</f>
        <v>FIP Engineering</v>
      </c>
      <c r="O4936" s="6" t="str">
        <f>IFERROR(__xludf.DUMMYFUNCTION("""COMPUTED_VALUE"""),"FIP-DOM-000-11304-OS00001-INA-000000")</f>
        <v>FIP-DOM-000-11304-OS00001-INA-000000</v>
      </c>
      <c r="P4936" s="6" t="str">
        <f>IFERROR(__xludf.DUMMYFUNCTION("""COMPUTED_VALUE"""),"PO Closed")</f>
        <v>PO Closed</v>
      </c>
      <c r="Q4936" s="6" t="str">
        <f>IFERROR(__xludf.DUMMYFUNCTION("""COMPUTED_VALUE"""),"GL2603465")</f>
        <v>GL2603465</v>
      </c>
      <c r="R4936" s="57">
        <f>IFERROR(__xludf.DUMMYFUNCTION("""COMPUTED_VALUE"""),46084.0)</f>
        <v>46084</v>
      </c>
      <c r="S4936" s="57">
        <f>IFERROR(__xludf.DUMMYFUNCTION("""COMPUTED_VALUE"""),46084.0)</f>
        <v>46084</v>
      </c>
      <c r="T4936" s="57">
        <f>IFERROR(__xludf.DUMMYFUNCTION("""COMPUTED_VALUE"""),46115.0)</f>
        <v>46115</v>
      </c>
    </row>
    <row r="4937">
      <c r="A4937" s="6" t="str">
        <f>IFERROR(__xludf.DUMMYFUNCTION("""COMPUTED_VALUE"""),"121703941-1")</f>
        <v>121703941-1</v>
      </c>
      <c r="B4937" s="6" t="str">
        <f>IFERROR(__xludf.DUMMYFUNCTION("""COMPUTED_VALUE"""),"121703941 - APPROVED")</f>
        <v>121703941 - APPROVED</v>
      </c>
      <c r="C4937" s="6">
        <f>IFERROR(__xludf.DUMMYFUNCTION("""COMPUTED_VALUE"""),1.0)</f>
        <v>1</v>
      </c>
      <c r="D4937" s="6" t="str">
        <f>IFERROR(__xludf.DUMMYFUNCTION("""COMPUTED_VALUE"""),"P-15438-00")</f>
        <v>P-15438-00</v>
      </c>
      <c r="E4937" s="6" t="str">
        <f>IFERROR(__xludf.DUMMYFUNCTION("""COMPUTED_VALUE"""),"General - Cable Spiral Wrapping; KSS; KS12; 1 Pc")</f>
        <v>General - Cable Spiral Wrapping; KSS; KS12; 1 Pc</v>
      </c>
      <c r="F4937" s="6">
        <f>IFERROR(__xludf.DUMMYFUNCTION("""COMPUTED_VALUE"""),2.0)</f>
        <v>2</v>
      </c>
      <c r="G4937" s="6" t="str">
        <f>IFERROR(__xludf.DUMMYFUNCTION("""COMPUTED_VALUE"""),"Pack")</f>
        <v>Pack</v>
      </c>
      <c r="H4937" s="6" t="str">
        <f>IFERROR(__xludf.DUMMYFUNCTION("""COMPUTED_VALUE"""),"IDR")</f>
        <v>IDR</v>
      </c>
      <c r="I4937" s="6">
        <f>IFERROR(__xludf.DUMMYFUNCTION("""COMPUTED_VALUE"""),62000.0)</f>
        <v>62000</v>
      </c>
      <c r="J4937" s="6">
        <f>IFERROR(__xludf.DUMMYFUNCTION("""COMPUTED_VALUE"""),124000.0)</f>
        <v>124000</v>
      </c>
      <c r="K4937" s="57">
        <f>IFERROR(__xludf.DUMMYFUNCTION("""COMPUTED_VALUE"""),46115.0)</f>
        <v>46115</v>
      </c>
      <c r="L4937" s="6" t="str">
        <f>IFERROR(__xludf.DUMMYFUNCTION("""COMPUTED_VALUE"""),"FIP Engineering")</f>
        <v>FIP Engineering</v>
      </c>
      <c r="M4937" s="6" t="str">
        <f>IFERROR(__xludf.DUMMYFUNCTION("""COMPUTED_VALUE"""),"Mochammad Fadhillah Hakim,")</f>
        <v>Mochammad Fadhillah Hakim,</v>
      </c>
      <c r="N4937" s="6" t="str">
        <f>IFERROR(__xludf.DUMMYFUNCTION("""COMPUTED_VALUE"""),"FIP Engineering")</f>
        <v>FIP Engineering</v>
      </c>
      <c r="O4937" s="6" t="str">
        <f>IFERROR(__xludf.DUMMYFUNCTION("""COMPUTED_VALUE"""),"FIP-DOM-000-11304-OS00001-INA-000000")</f>
        <v>FIP-DOM-000-11304-OS00001-INA-000000</v>
      </c>
      <c r="P4937" s="6" t="str">
        <f>IFERROR(__xludf.DUMMYFUNCTION("""COMPUTED_VALUE"""),"PO Closed")</f>
        <v>PO Closed</v>
      </c>
      <c r="Q4937" s="6" t="str">
        <f>IFERROR(__xludf.DUMMYFUNCTION("""COMPUTED_VALUE"""),"GL2604492")</f>
        <v>GL2604492</v>
      </c>
      <c r="R4937" s="57">
        <f>IFERROR(__xludf.DUMMYFUNCTION("""COMPUTED_VALUE"""),46084.0)</f>
        <v>46084</v>
      </c>
      <c r="S4937" s="57">
        <f>IFERROR(__xludf.DUMMYFUNCTION("""COMPUTED_VALUE"""),46090.0)</f>
        <v>46090</v>
      </c>
      <c r="T4937" s="57">
        <f>IFERROR(__xludf.DUMMYFUNCTION("""COMPUTED_VALUE"""),46142.0)</f>
        <v>46142</v>
      </c>
    </row>
    <row r="4938">
      <c r="A4938" s="6" t="str">
        <f>IFERROR(__xludf.DUMMYFUNCTION("""COMPUTED_VALUE"""),"121703941-2")</f>
        <v>121703941-2</v>
      </c>
      <c r="B4938" s="6" t="str">
        <f>IFERROR(__xludf.DUMMYFUNCTION("""COMPUTED_VALUE"""),"121703941 - APPROVED")</f>
        <v>121703941 - APPROVED</v>
      </c>
      <c r="C4938" s="6">
        <f>IFERROR(__xludf.DUMMYFUNCTION("""COMPUTED_VALUE"""),2.0)</f>
        <v>2</v>
      </c>
      <c r="D4938" s="6" t="str">
        <f>IFERROR(__xludf.DUMMYFUNCTION("""COMPUTED_VALUE"""),"P-12490-00")</f>
        <v>P-12490-00</v>
      </c>
      <c r="E4938" s="6" t="str">
        <f>IFERROR(__xludf.DUMMYFUNCTION("""COMPUTED_VALUE"""),"General - Mata Bor Besi, dia. 5 mm; NACHI; -; 1 pcs")</f>
        <v>General - Mata Bor Besi, dia. 5 mm; NACHI; -; 1 pcs</v>
      </c>
      <c r="F4938" s="6">
        <f>IFERROR(__xludf.DUMMYFUNCTION("""COMPUTED_VALUE"""),3.0)</f>
        <v>3</v>
      </c>
      <c r="G4938" s="6" t="str">
        <f>IFERROR(__xludf.DUMMYFUNCTION("""COMPUTED_VALUE"""),"Pieces")</f>
        <v>Pieces</v>
      </c>
      <c r="H4938" s="6" t="str">
        <f>IFERROR(__xludf.DUMMYFUNCTION("""COMPUTED_VALUE"""),"IDR")</f>
        <v>IDR</v>
      </c>
      <c r="I4938" s="6">
        <f>IFERROR(__xludf.DUMMYFUNCTION("""COMPUTED_VALUE"""),50000.0)</f>
        <v>50000</v>
      </c>
      <c r="J4938" s="6">
        <f>IFERROR(__xludf.DUMMYFUNCTION("""COMPUTED_VALUE"""),150000.0)</f>
        <v>150000</v>
      </c>
      <c r="K4938" s="57">
        <f>IFERROR(__xludf.DUMMYFUNCTION("""COMPUTED_VALUE"""),46115.0)</f>
        <v>46115</v>
      </c>
      <c r="L4938" s="6" t="str">
        <f>IFERROR(__xludf.DUMMYFUNCTION("""COMPUTED_VALUE"""),"FIP Engineering")</f>
        <v>FIP Engineering</v>
      </c>
      <c r="M4938" s="6" t="str">
        <f>IFERROR(__xludf.DUMMYFUNCTION("""COMPUTED_VALUE"""),"Mochammad Fadhillah Hakim,")</f>
        <v>Mochammad Fadhillah Hakim,</v>
      </c>
      <c r="N4938" s="6" t="str">
        <f>IFERROR(__xludf.DUMMYFUNCTION("""COMPUTED_VALUE"""),"FIP Engineering")</f>
        <v>FIP Engineering</v>
      </c>
      <c r="O4938" s="6" t="str">
        <f>IFERROR(__xludf.DUMMYFUNCTION("""COMPUTED_VALUE"""),"FIP-DOM-000-11304-OS00001-INA-000000")</f>
        <v>FIP-DOM-000-11304-OS00001-INA-000000</v>
      </c>
      <c r="P4938" s="6" t="str">
        <f>IFERROR(__xludf.DUMMYFUNCTION("""COMPUTED_VALUE"""),"PO Closed")</f>
        <v>PO Closed</v>
      </c>
      <c r="Q4938" s="6" t="str">
        <f>IFERROR(__xludf.DUMMYFUNCTION("""COMPUTED_VALUE"""),"GL2603475")</f>
        <v>GL2603475</v>
      </c>
      <c r="R4938" s="57">
        <f>IFERROR(__xludf.DUMMYFUNCTION("""COMPUTED_VALUE"""),46084.0)</f>
        <v>46084</v>
      </c>
      <c r="S4938" s="57">
        <f>IFERROR(__xludf.DUMMYFUNCTION("""COMPUTED_VALUE"""),46090.0)</f>
        <v>46090</v>
      </c>
      <c r="T4938" s="57">
        <f>IFERROR(__xludf.DUMMYFUNCTION("""COMPUTED_VALUE"""),46117.0)</f>
        <v>46117</v>
      </c>
    </row>
    <row r="4939">
      <c r="A4939" s="6" t="str">
        <f>IFERROR(__xludf.DUMMYFUNCTION("""COMPUTED_VALUE"""),"121703941-3")</f>
        <v>121703941-3</v>
      </c>
      <c r="B4939" s="6" t="str">
        <f>IFERROR(__xludf.DUMMYFUNCTION("""COMPUTED_VALUE"""),"121703941 - APPROVED")</f>
        <v>121703941 - APPROVED</v>
      </c>
      <c r="C4939" s="6">
        <f>IFERROR(__xludf.DUMMYFUNCTION("""COMPUTED_VALUE"""),3.0)</f>
        <v>3</v>
      </c>
      <c r="D4939" s="6" t="str">
        <f>IFERROR(__xludf.DUMMYFUNCTION("""COMPUTED_VALUE"""),"P-12492-00")</f>
        <v>P-12492-00</v>
      </c>
      <c r="E4939" s="6" t="str">
        <f>IFERROR(__xludf.DUMMYFUNCTION("""COMPUTED_VALUE"""),"General - Mata Bor Besi, dia. 6.5 mm; NACHI; -; 1 pcs")</f>
        <v>General - Mata Bor Besi, dia. 6.5 mm; NACHI; -; 1 pcs</v>
      </c>
      <c r="F4939" s="6">
        <f>IFERROR(__xludf.DUMMYFUNCTION("""COMPUTED_VALUE"""),3.0)</f>
        <v>3</v>
      </c>
      <c r="G4939" s="6" t="str">
        <f>IFERROR(__xludf.DUMMYFUNCTION("""COMPUTED_VALUE"""),"Pieces")</f>
        <v>Pieces</v>
      </c>
      <c r="H4939" s="6" t="str">
        <f>IFERROR(__xludf.DUMMYFUNCTION("""COMPUTED_VALUE"""),"IDR")</f>
        <v>IDR</v>
      </c>
      <c r="I4939" s="6">
        <f>IFERROR(__xludf.DUMMYFUNCTION("""COMPUTED_VALUE"""),53000.0)</f>
        <v>53000</v>
      </c>
      <c r="J4939" s="6">
        <f>IFERROR(__xludf.DUMMYFUNCTION("""COMPUTED_VALUE"""),159000.0)</f>
        <v>159000</v>
      </c>
      <c r="K4939" s="57">
        <f>IFERROR(__xludf.DUMMYFUNCTION("""COMPUTED_VALUE"""),46115.0)</f>
        <v>46115</v>
      </c>
      <c r="L4939" s="6" t="str">
        <f>IFERROR(__xludf.DUMMYFUNCTION("""COMPUTED_VALUE"""),"FIP Engineering")</f>
        <v>FIP Engineering</v>
      </c>
      <c r="M4939" s="6" t="str">
        <f>IFERROR(__xludf.DUMMYFUNCTION("""COMPUTED_VALUE"""),"Mochammad Fadhillah Hakim,")</f>
        <v>Mochammad Fadhillah Hakim,</v>
      </c>
      <c r="N4939" s="6" t="str">
        <f>IFERROR(__xludf.DUMMYFUNCTION("""COMPUTED_VALUE"""),"FIP Engineering")</f>
        <v>FIP Engineering</v>
      </c>
      <c r="O4939" s="6" t="str">
        <f>IFERROR(__xludf.DUMMYFUNCTION("""COMPUTED_VALUE"""),"FIP-DOM-000-11304-OS00001-INA-000000")</f>
        <v>FIP-DOM-000-11304-OS00001-INA-000000</v>
      </c>
      <c r="P4939" s="6" t="str">
        <f>IFERROR(__xludf.DUMMYFUNCTION("""COMPUTED_VALUE"""),"PO Closed")</f>
        <v>PO Closed</v>
      </c>
      <c r="Q4939" s="6" t="str">
        <f>IFERROR(__xludf.DUMMYFUNCTION("""COMPUTED_VALUE"""),"GL2604492")</f>
        <v>GL2604492</v>
      </c>
      <c r="R4939" s="57">
        <f>IFERROR(__xludf.DUMMYFUNCTION("""COMPUTED_VALUE"""),46084.0)</f>
        <v>46084</v>
      </c>
      <c r="S4939" s="57">
        <f>IFERROR(__xludf.DUMMYFUNCTION("""COMPUTED_VALUE"""),46090.0)</f>
        <v>46090</v>
      </c>
      <c r="T4939" s="57">
        <f>IFERROR(__xludf.DUMMYFUNCTION("""COMPUTED_VALUE"""),46142.0)</f>
        <v>46142</v>
      </c>
    </row>
    <row r="4940">
      <c r="A4940" s="6" t="str">
        <f>IFERROR(__xludf.DUMMYFUNCTION("""COMPUTED_VALUE"""),"121703941-4")</f>
        <v>121703941-4</v>
      </c>
      <c r="B4940" s="6" t="str">
        <f>IFERROR(__xludf.DUMMYFUNCTION("""COMPUTED_VALUE"""),"121703941 - APPROVED")</f>
        <v>121703941 - APPROVED</v>
      </c>
      <c r="C4940" s="6">
        <f>IFERROR(__xludf.DUMMYFUNCTION("""COMPUTED_VALUE"""),4.0)</f>
        <v>4</v>
      </c>
      <c r="D4940" s="6" t="str">
        <f>IFERROR(__xludf.DUMMYFUNCTION("""COMPUTED_VALUE"""),"P-17389-00")</f>
        <v>P-17389-00</v>
      </c>
      <c r="E4940" s="6" t="str">
        <f>IFERROR(__xludf.DUMMYFUNCTION("""COMPUTED_VALUE"""),"General - Kawat Las SS316 3.2mm; No Brand; -; 1 kg")</f>
        <v>General - Kawat Las SS316 3.2mm; No Brand; -; 1 kg</v>
      </c>
      <c r="F4940" s="6">
        <f>IFERROR(__xludf.DUMMYFUNCTION("""COMPUTED_VALUE"""),10.0)</f>
        <v>10</v>
      </c>
      <c r="G4940" s="6" t="str">
        <f>IFERROR(__xludf.DUMMYFUNCTION("""COMPUTED_VALUE"""),"Pieces")</f>
        <v>Pieces</v>
      </c>
      <c r="H4940" s="6" t="str">
        <f>IFERROR(__xludf.DUMMYFUNCTION("""COMPUTED_VALUE"""),"IDR")</f>
        <v>IDR</v>
      </c>
      <c r="I4940" s="6">
        <f>IFERROR(__xludf.DUMMYFUNCTION("""COMPUTED_VALUE"""),18000.0)</f>
        <v>18000</v>
      </c>
      <c r="J4940" s="6">
        <f>IFERROR(__xludf.DUMMYFUNCTION("""COMPUTED_VALUE"""),180000.0)</f>
        <v>180000</v>
      </c>
      <c r="K4940" s="57">
        <f>IFERROR(__xludf.DUMMYFUNCTION("""COMPUTED_VALUE"""),46115.0)</f>
        <v>46115</v>
      </c>
      <c r="L4940" s="6" t="str">
        <f>IFERROR(__xludf.DUMMYFUNCTION("""COMPUTED_VALUE"""),"FIP Engineering")</f>
        <v>FIP Engineering</v>
      </c>
      <c r="M4940" s="6" t="str">
        <f>IFERROR(__xludf.DUMMYFUNCTION("""COMPUTED_VALUE"""),"Mochammad Fadhillah Hakim,")</f>
        <v>Mochammad Fadhillah Hakim,</v>
      </c>
      <c r="N4940" s="6" t="str">
        <f>IFERROR(__xludf.DUMMYFUNCTION("""COMPUTED_VALUE"""),"FIP Engineering")</f>
        <v>FIP Engineering</v>
      </c>
      <c r="O4940" s="6" t="str">
        <f>IFERROR(__xludf.DUMMYFUNCTION("""COMPUTED_VALUE"""),"FIP-DOM-000-11304-OS00001-INA-000000")</f>
        <v>FIP-DOM-000-11304-OS00001-INA-000000</v>
      </c>
      <c r="P4940" s="6" t="str">
        <f>IFERROR(__xludf.DUMMYFUNCTION("""COMPUTED_VALUE"""),"PO Closed")</f>
        <v>PO Closed</v>
      </c>
      <c r="Q4940" s="6" t="str">
        <f>IFERROR(__xludf.DUMMYFUNCTION("""COMPUTED_VALUE"""),"GL2604492")</f>
        <v>GL2604492</v>
      </c>
      <c r="R4940" s="57">
        <f>IFERROR(__xludf.DUMMYFUNCTION("""COMPUTED_VALUE"""),46084.0)</f>
        <v>46084</v>
      </c>
      <c r="S4940" s="57">
        <f>IFERROR(__xludf.DUMMYFUNCTION("""COMPUTED_VALUE"""),46090.0)</f>
        <v>46090</v>
      </c>
      <c r="T4940" s="57">
        <f>IFERROR(__xludf.DUMMYFUNCTION("""COMPUTED_VALUE"""),46142.0)</f>
        <v>46142</v>
      </c>
    </row>
    <row r="4941">
      <c r="A4941" s="6" t="str">
        <f>IFERROR(__xludf.DUMMYFUNCTION("""COMPUTED_VALUE"""),"121703941-5")</f>
        <v>121703941-5</v>
      </c>
      <c r="B4941" s="6" t="str">
        <f>IFERROR(__xludf.DUMMYFUNCTION("""COMPUTED_VALUE"""),"121703941 - APPROVED")</f>
        <v>121703941 - APPROVED</v>
      </c>
      <c r="C4941" s="6">
        <f>IFERROR(__xludf.DUMMYFUNCTION("""COMPUTED_VALUE"""),5.0)</f>
        <v>5</v>
      </c>
      <c r="D4941" s="6" t="str">
        <f>IFERROR(__xludf.DUMMYFUNCTION("""COMPUTED_VALUE"""),"P-12495-00")</f>
        <v>P-12495-00</v>
      </c>
      <c r="E4941" s="6" t="str">
        <f>IFERROR(__xludf.DUMMYFUNCTION("""COMPUTED_VALUE"""),"Mata Bor besi dia 7.5 mm ex NACHI")</f>
        <v>Mata Bor besi dia 7.5 mm ex NACHI</v>
      </c>
      <c r="F4941" s="6">
        <f>IFERROR(__xludf.DUMMYFUNCTION("""COMPUTED_VALUE"""),3.0)</f>
        <v>3</v>
      </c>
      <c r="G4941" s="6" t="str">
        <f>IFERROR(__xludf.DUMMYFUNCTION("""COMPUTED_VALUE"""),"Pieces")</f>
        <v>Pieces</v>
      </c>
      <c r="H4941" s="6" t="str">
        <f>IFERROR(__xludf.DUMMYFUNCTION("""COMPUTED_VALUE"""),"IDR")</f>
        <v>IDR</v>
      </c>
      <c r="I4941" s="6">
        <f>IFERROR(__xludf.DUMMYFUNCTION("""COMPUTED_VALUE"""),65000.0)</f>
        <v>65000</v>
      </c>
      <c r="J4941" s="6">
        <f>IFERROR(__xludf.DUMMYFUNCTION("""COMPUTED_VALUE"""),195000.0)</f>
        <v>195000</v>
      </c>
      <c r="K4941" s="57">
        <f>IFERROR(__xludf.DUMMYFUNCTION("""COMPUTED_VALUE"""),46115.0)</f>
        <v>46115</v>
      </c>
      <c r="L4941" s="6" t="str">
        <f>IFERROR(__xludf.DUMMYFUNCTION("""COMPUTED_VALUE"""),"FIP Engineering")</f>
        <v>FIP Engineering</v>
      </c>
      <c r="M4941" s="6" t="str">
        <f>IFERROR(__xludf.DUMMYFUNCTION("""COMPUTED_VALUE"""),"Mochammad Fadhillah Hakim,")</f>
        <v>Mochammad Fadhillah Hakim,</v>
      </c>
      <c r="N4941" s="6" t="str">
        <f>IFERROR(__xludf.DUMMYFUNCTION("""COMPUTED_VALUE"""),"FIP Engineering")</f>
        <v>FIP Engineering</v>
      </c>
      <c r="O4941" s="6" t="str">
        <f>IFERROR(__xludf.DUMMYFUNCTION("""COMPUTED_VALUE"""),"FIP-DOM-000-11304-OS00001-INA-000000")</f>
        <v>FIP-DOM-000-11304-OS00001-INA-000000</v>
      </c>
      <c r="P4941" s="6" t="str">
        <f>IFERROR(__xludf.DUMMYFUNCTION("""COMPUTED_VALUE"""),"PO Closed")</f>
        <v>PO Closed</v>
      </c>
      <c r="Q4941" s="6" t="str">
        <f>IFERROR(__xludf.DUMMYFUNCTION("""COMPUTED_VALUE"""),"GL2604490")</f>
        <v>GL2604490</v>
      </c>
      <c r="R4941" s="57">
        <f>IFERROR(__xludf.DUMMYFUNCTION("""COMPUTED_VALUE"""),46084.0)</f>
        <v>46084</v>
      </c>
      <c r="S4941" s="57">
        <f>IFERROR(__xludf.DUMMYFUNCTION("""COMPUTED_VALUE"""),46090.0)</f>
        <v>46090</v>
      </c>
      <c r="T4941" s="57">
        <f>IFERROR(__xludf.DUMMYFUNCTION("""COMPUTED_VALUE"""),46115.0)</f>
        <v>46115</v>
      </c>
    </row>
    <row r="4942">
      <c r="A4942" s="6" t="str">
        <f>IFERROR(__xludf.DUMMYFUNCTION("""COMPUTED_VALUE"""),"121703941-6")</f>
        <v>121703941-6</v>
      </c>
      <c r="B4942" s="6" t="str">
        <f>IFERROR(__xludf.DUMMYFUNCTION("""COMPUTED_VALUE"""),"121703941 - APPROVED")</f>
        <v>121703941 - APPROVED</v>
      </c>
      <c r="C4942" s="6">
        <f>IFERROR(__xludf.DUMMYFUNCTION("""COMPUTED_VALUE"""),6.0)</f>
        <v>6</v>
      </c>
      <c r="D4942" s="6" t="str">
        <f>IFERROR(__xludf.DUMMYFUNCTION("""COMPUTED_VALUE"""),"P-51739-00")</f>
        <v>P-51739-00</v>
      </c>
      <c r="E4942" s="6" t="str">
        <f>IFERROR(__xludf.DUMMYFUNCTION("""COMPUTED_VALUE"""),"TOR Schneider LRD05 0,63 - 1,0 A; ; ;")</f>
        <v>TOR Schneider LRD05 0,63 - 1,0 A; ; ;</v>
      </c>
      <c r="F4942" s="6">
        <f>IFERROR(__xludf.DUMMYFUNCTION("""COMPUTED_VALUE"""),1.0)</f>
        <v>1</v>
      </c>
      <c r="G4942" s="6" t="str">
        <f>IFERROR(__xludf.DUMMYFUNCTION("""COMPUTED_VALUE"""),"Pieces")</f>
        <v>Pieces</v>
      </c>
      <c r="H4942" s="6" t="str">
        <f>IFERROR(__xludf.DUMMYFUNCTION("""COMPUTED_VALUE"""),"IDR")</f>
        <v>IDR</v>
      </c>
      <c r="I4942" s="6">
        <f>IFERROR(__xludf.DUMMYFUNCTION("""COMPUTED_VALUE"""),229500.0)</f>
        <v>229500</v>
      </c>
      <c r="J4942" s="6">
        <f>IFERROR(__xludf.DUMMYFUNCTION("""COMPUTED_VALUE"""),229500.0)</f>
        <v>229500</v>
      </c>
      <c r="K4942" s="57">
        <f>IFERROR(__xludf.DUMMYFUNCTION("""COMPUTED_VALUE"""),46115.0)</f>
        <v>46115</v>
      </c>
      <c r="L4942" s="6" t="str">
        <f>IFERROR(__xludf.DUMMYFUNCTION("""COMPUTED_VALUE"""),"FIP Engineering")</f>
        <v>FIP Engineering</v>
      </c>
      <c r="M4942" s="6" t="str">
        <f>IFERROR(__xludf.DUMMYFUNCTION("""COMPUTED_VALUE"""),"Mochammad Fadhillah Hakim,")</f>
        <v>Mochammad Fadhillah Hakim,</v>
      </c>
      <c r="N4942" s="6" t="str">
        <f>IFERROR(__xludf.DUMMYFUNCTION("""COMPUTED_VALUE"""),"FIP Engineering")</f>
        <v>FIP Engineering</v>
      </c>
      <c r="O4942" s="6" t="str">
        <f>IFERROR(__xludf.DUMMYFUNCTION("""COMPUTED_VALUE"""),"FIP-DOM-000-11304-OS00001-INA-000000")</f>
        <v>FIP-DOM-000-11304-OS00001-INA-000000</v>
      </c>
      <c r="P4942" s="6" t="str">
        <f>IFERROR(__xludf.DUMMYFUNCTION("""COMPUTED_VALUE"""),"PO Closed")</f>
        <v>PO Closed</v>
      </c>
      <c r="Q4942" s="6" t="str">
        <f>IFERROR(__xludf.DUMMYFUNCTION("""COMPUTED_VALUE"""),"GL2604492")</f>
        <v>GL2604492</v>
      </c>
      <c r="R4942" s="57">
        <f>IFERROR(__xludf.DUMMYFUNCTION("""COMPUTED_VALUE"""),46084.0)</f>
        <v>46084</v>
      </c>
      <c r="S4942" s="57">
        <f>IFERROR(__xludf.DUMMYFUNCTION("""COMPUTED_VALUE"""),46090.0)</f>
        <v>46090</v>
      </c>
      <c r="T4942" s="57">
        <f>IFERROR(__xludf.DUMMYFUNCTION("""COMPUTED_VALUE"""),46142.0)</f>
        <v>46142</v>
      </c>
    </row>
    <row r="4943">
      <c r="A4943" s="6" t="str">
        <f>IFERROR(__xludf.DUMMYFUNCTION("""COMPUTED_VALUE"""),"121703941-7")</f>
        <v>121703941-7</v>
      </c>
      <c r="B4943" s="6" t="str">
        <f>IFERROR(__xludf.DUMMYFUNCTION("""COMPUTED_VALUE"""),"121703941 - APPROVED")</f>
        <v>121703941 - APPROVED</v>
      </c>
      <c r="C4943" s="6">
        <f>IFERROR(__xludf.DUMMYFUNCTION("""COMPUTED_VALUE"""),7.0)</f>
        <v>7</v>
      </c>
      <c r="D4943" s="6" t="str">
        <f>IFERROR(__xludf.DUMMYFUNCTION("""COMPUTED_VALUE"""),"P-50307-00")</f>
        <v>P-50307-00</v>
      </c>
      <c r="E4943" s="6" t="str">
        <f>IFERROR(__xludf.DUMMYFUNCTION("""COMPUTED_VALUE"""),"General - Lampu SL Tornado 24 W / 220-240 V; Philips; -; 1 unt")</f>
        <v>General - Lampu SL Tornado 24 W / 220-240 V; Philips; -; 1 unt</v>
      </c>
      <c r="F4943" s="6">
        <f>IFERROR(__xludf.DUMMYFUNCTION("""COMPUTED_VALUE"""),4.0)</f>
        <v>4</v>
      </c>
      <c r="G4943" s="6" t="str">
        <f>IFERROR(__xludf.DUMMYFUNCTION("""COMPUTED_VALUE"""),"Pieces")</f>
        <v>Pieces</v>
      </c>
      <c r="H4943" s="6" t="str">
        <f>IFERROR(__xludf.DUMMYFUNCTION("""COMPUTED_VALUE"""),"IDR")</f>
        <v>IDR</v>
      </c>
      <c r="I4943" s="6">
        <f>IFERROR(__xludf.DUMMYFUNCTION("""COMPUTED_VALUE"""),60000.0)</f>
        <v>60000</v>
      </c>
      <c r="J4943" s="6">
        <f>IFERROR(__xludf.DUMMYFUNCTION("""COMPUTED_VALUE"""),240000.0)</f>
        <v>240000</v>
      </c>
      <c r="K4943" s="57">
        <f>IFERROR(__xludf.DUMMYFUNCTION("""COMPUTED_VALUE"""),46115.0)</f>
        <v>46115</v>
      </c>
      <c r="L4943" s="6" t="str">
        <f>IFERROR(__xludf.DUMMYFUNCTION("""COMPUTED_VALUE"""),"FIP Engineering")</f>
        <v>FIP Engineering</v>
      </c>
      <c r="M4943" s="6" t="str">
        <f>IFERROR(__xludf.DUMMYFUNCTION("""COMPUTED_VALUE"""),"Mochammad Fadhillah Hakim,")</f>
        <v>Mochammad Fadhillah Hakim,</v>
      </c>
      <c r="N4943" s="6" t="str">
        <f>IFERROR(__xludf.DUMMYFUNCTION("""COMPUTED_VALUE"""),"FIP Engineering")</f>
        <v>FIP Engineering</v>
      </c>
      <c r="O4943" s="6" t="str">
        <f>IFERROR(__xludf.DUMMYFUNCTION("""COMPUTED_VALUE"""),"FIP-DOM-000-11304-OS00001-INA-000000")</f>
        <v>FIP-DOM-000-11304-OS00001-INA-000000</v>
      </c>
      <c r="P4943" s="6" t="str">
        <f>IFERROR(__xludf.DUMMYFUNCTION("""COMPUTED_VALUE"""),"PO Closed")</f>
        <v>PO Closed</v>
      </c>
      <c r="Q4943" s="6" t="str">
        <f>IFERROR(__xludf.DUMMYFUNCTION("""COMPUTED_VALUE"""),"GL2604490")</f>
        <v>GL2604490</v>
      </c>
      <c r="R4943" s="57">
        <f>IFERROR(__xludf.DUMMYFUNCTION("""COMPUTED_VALUE"""),46084.0)</f>
        <v>46084</v>
      </c>
      <c r="S4943" s="57">
        <f>IFERROR(__xludf.DUMMYFUNCTION("""COMPUTED_VALUE"""),46090.0)</f>
        <v>46090</v>
      </c>
      <c r="T4943" s="57">
        <f>IFERROR(__xludf.DUMMYFUNCTION("""COMPUTED_VALUE"""),46115.0)</f>
        <v>46115</v>
      </c>
    </row>
    <row r="4944">
      <c r="A4944" s="6" t="str">
        <f>IFERROR(__xludf.DUMMYFUNCTION("""COMPUTED_VALUE"""),"121703941-8")</f>
        <v>121703941-8</v>
      </c>
      <c r="B4944" s="6" t="str">
        <f>IFERROR(__xludf.DUMMYFUNCTION("""COMPUTED_VALUE"""),"121703941 - APPROVED")</f>
        <v>121703941 - APPROVED</v>
      </c>
      <c r="C4944" s="6">
        <f>IFERROR(__xludf.DUMMYFUNCTION("""COMPUTED_VALUE"""),8.0)</f>
        <v>8</v>
      </c>
      <c r="D4944" s="6" t="str">
        <f>IFERROR(__xludf.DUMMYFUNCTION("""COMPUTED_VALUE"""),"P-12419-00")</f>
        <v>P-12419-00</v>
      </c>
      <c r="E4944" s="6" t="str">
        <f>IFERROR(__xludf.DUMMYFUNCTION("""COMPUTED_VALUE"""),"General - Hole Saw for Stainless Steel, dia. 22 mm; UNIKA; -; 1 pcs")</f>
        <v>General - Hole Saw for Stainless Steel, dia. 22 mm; UNIKA; -; 1 pcs</v>
      </c>
      <c r="F4944" s="6">
        <f>IFERROR(__xludf.DUMMYFUNCTION("""COMPUTED_VALUE"""),3.0)</f>
        <v>3</v>
      </c>
      <c r="G4944" s="6" t="str">
        <f>IFERROR(__xludf.DUMMYFUNCTION("""COMPUTED_VALUE"""),"Pieces")</f>
        <v>Pieces</v>
      </c>
      <c r="H4944" s="6" t="str">
        <f>IFERROR(__xludf.DUMMYFUNCTION("""COMPUTED_VALUE"""),"IDR")</f>
        <v>IDR</v>
      </c>
      <c r="I4944" s="6">
        <f>IFERROR(__xludf.DUMMYFUNCTION("""COMPUTED_VALUE"""),81000.0)</f>
        <v>81000</v>
      </c>
      <c r="J4944" s="6">
        <f>IFERROR(__xludf.DUMMYFUNCTION("""COMPUTED_VALUE"""),243000.0)</f>
        <v>243000</v>
      </c>
      <c r="K4944" s="57">
        <f>IFERROR(__xludf.DUMMYFUNCTION("""COMPUTED_VALUE"""),46115.0)</f>
        <v>46115</v>
      </c>
      <c r="L4944" s="6" t="str">
        <f>IFERROR(__xludf.DUMMYFUNCTION("""COMPUTED_VALUE"""),"FIP Engineering")</f>
        <v>FIP Engineering</v>
      </c>
      <c r="M4944" s="6" t="str">
        <f>IFERROR(__xludf.DUMMYFUNCTION("""COMPUTED_VALUE"""),"Mochammad Fadhillah Hakim,")</f>
        <v>Mochammad Fadhillah Hakim,</v>
      </c>
      <c r="N4944" s="6" t="str">
        <f>IFERROR(__xludf.DUMMYFUNCTION("""COMPUTED_VALUE"""),"FIP Engineering")</f>
        <v>FIP Engineering</v>
      </c>
      <c r="O4944" s="6" t="str">
        <f>IFERROR(__xludf.DUMMYFUNCTION("""COMPUTED_VALUE"""),"FIP-DOM-000-11304-OS00001-INA-000000")</f>
        <v>FIP-DOM-000-11304-OS00001-INA-000000</v>
      </c>
      <c r="P4944" s="6" t="str">
        <f>IFERROR(__xludf.DUMMYFUNCTION("""COMPUTED_VALUE"""),"PO Closed")</f>
        <v>PO Closed</v>
      </c>
      <c r="Q4944" s="6" t="str">
        <f>IFERROR(__xludf.DUMMYFUNCTION("""COMPUTED_VALUE"""),"GL2604490")</f>
        <v>GL2604490</v>
      </c>
      <c r="R4944" s="57">
        <f>IFERROR(__xludf.DUMMYFUNCTION("""COMPUTED_VALUE"""),46084.0)</f>
        <v>46084</v>
      </c>
      <c r="S4944" s="57">
        <f>IFERROR(__xludf.DUMMYFUNCTION("""COMPUTED_VALUE"""),46090.0)</f>
        <v>46090</v>
      </c>
      <c r="T4944" s="57">
        <f>IFERROR(__xludf.DUMMYFUNCTION("""COMPUTED_VALUE"""),46115.0)</f>
        <v>46115</v>
      </c>
    </row>
    <row r="4945">
      <c r="A4945" s="6" t="str">
        <f>IFERROR(__xludf.DUMMYFUNCTION("""COMPUTED_VALUE"""),"121703941-9")</f>
        <v>121703941-9</v>
      </c>
      <c r="B4945" s="6" t="str">
        <f>IFERROR(__xludf.DUMMYFUNCTION("""COMPUTED_VALUE"""),"121703941 - APPROVED")</f>
        <v>121703941 - APPROVED</v>
      </c>
      <c r="C4945" s="6">
        <f>IFERROR(__xludf.DUMMYFUNCTION("""COMPUTED_VALUE"""),9.0)</f>
        <v>9</v>
      </c>
      <c r="D4945" s="6" t="str">
        <f>IFERROR(__xludf.DUMMYFUNCTION("""COMPUTED_VALUE"""),"P-12476-00")</f>
        <v>P-12476-00</v>
      </c>
      <c r="E4945" s="6" t="str">
        <f>IFERROR(__xludf.DUMMYFUNCTION("""COMPUTED_VALUE"""),"General - Mata Bor Besi, dia. 10 mm; NACHI; -; 1 pcs")</f>
        <v>General - Mata Bor Besi, dia. 10 mm; NACHI; -; 1 pcs</v>
      </c>
      <c r="F4945" s="6">
        <f>IFERROR(__xludf.DUMMYFUNCTION("""COMPUTED_VALUE"""),3.0)</f>
        <v>3</v>
      </c>
      <c r="G4945" s="6" t="str">
        <f>IFERROR(__xludf.DUMMYFUNCTION("""COMPUTED_VALUE"""),"Pieces")</f>
        <v>Pieces</v>
      </c>
      <c r="H4945" s="6" t="str">
        <f>IFERROR(__xludf.DUMMYFUNCTION("""COMPUTED_VALUE"""),"IDR")</f>
        <v>IDR</v>
      </c>
      <c r="I4945" s="6">
        <f>IFERROR(__xludf.DUMMYFUNCTION("""COMPUTED_VALUE"""),106000.0)</f>
        <v>106000</v>
      </c>
      <c r="J4945" s="6">
        <f>IFERROR(__xludf.DUMMYFUNCTION("""COMPUTED_VALUE"""),318000.0)</f>
        <v>318000</v>
      </c>
      <c r="K4945" s="57">
        <f>IFERROR(__xludf.DUMMYFUNCTION("""COMPUTED_VALUE"""),46115.0)</f>
        <v>46115</v>
      </c>
      <c r="L4945" s="6" t="str">
        <f>IFERROR(__xludf.DUMMYFUNCTION("""COMPUTED_VALUE"""),"FIP Engineering")</f>
        <v>FIP Engineering</v>
      </c>
      <c r="M4945" s="6" t="str">
        <f>IFERROR(__xludf.DUMMYFUNCTION("""COMPUTED_VALUE"""),"Mochammad Fadhillah Hakim,")</f>
        <v>Mochammad Fadhillah Hakim,</v>
      </c>
      <c r="N4945" s="6" t="str">
        <f>IFERROR(__xludf.DUMMYFUNCTION("""COMPUTED_VALUE"""),"FIP Engineering")</f>
        <v>FIP Engineering</v>
      </c>
      <c r="O4945" s="6" t="str">
        <f>IFERROR(__xludf.DUMMYFUNCTION("""COMPUTED_VALUE"""),"FIP-DOM-000-11304-OS00001-INA-000000")</f>
        <v>FIP-DOM-000-11304-OS00001-INA-000000</v>
      </c>
      <c r="P4945" s="6" t="str">
        <f>IFERROR(__xludf.DUMMYFUNCTION("""COMPUTED_VALUE"""),"PO Closed")</f>
        <v>PO Closed</v>
      </c>
      <c r="Q4945" s="6" t="str">
        <f>IFERROR(__xludf.DUMMYFUNCTION("""COMPUTED_VALUE"""),"GL2603475")</f>
        <v>GL2603475</v>
      </c>
      <c r="R4945" s="57">
        <f>IFERROR(__xludf.DUMMYFUNCTION("""COMPUTED_VALUE"""),46084.0)</f>
        <v>46084</v>
      </c>
      <c r="S4945" s="57">
        <f>IFERROR(__xludf.DUMMYFUNCTION("""COMPUTED_VALUE"""),46090.0)</f>
        <v>46090</v>
      </c>
      <c r="T4945" s="57">
        <f>IFERROR(__xludf.DUMMYFUNCTION("""COMPUTED_VALUE"""),46117.0)</f>
        <v>46117</v>
      </c>
    </row>
    <row r="4946">
      <c r="A4946" s="6" t="str">
        <f>IFERROR(__xludf.DUMMYFUNCTION("""COMPUTED_VALUE"""),"121703941-10")</f>
        <v>121703941-10</v>
      </c>
      <c r="B4946" s="6" t="str">
        <f>IFERROR(__xludf.DUMMYFUNCTION("""COMPUTED_VALUE"""),"121703941 - APPROVED")</f>
        <v>121703941 - APPROVED</v>
      </c>
      <c r="C4946" s="6">
        <f>IFERROR(__xludf.DUMMYFUNCTION("""COMPUTED_VALUE"""),10.0)</f>
        <v>10</v>
      </c>
      <c r="D4946" s="6" t="str">
        <f>IFERROR(__xludf.DUMMYFUNCTION("""COMPUTED_VALUE"""),"P-51891-00")</f>
        <v>P-51891-00</v>
      </c>
      <c r="E4946" s="6" t="str">
        <f>IFERROR(__xludf.DUMMYFUNCTION("""COMPUTED_VALUE"""),"General - Exhaust Fan Panel 240VAC; TW; -; 1 pc")</f>
        <v>General - Exhaust Fan Panel 240VAC; TW; -; 1 pc</v>
      </c>
      <c r="F4946" s="6">
        <f>IFERROR(__xludf.DUMMYFUNCTION("""COMPUTED_VALUE"""),3.0)</f>
        <v>3</v>
      </c>
      <c r="G4946" s="6" t="str">
        <f>IFERROR(__xludf.DUMMYFUNCTION("""COMPUTED_VALUE"""),"Pieces")</f>
        <v>Pieces</v>
      </c>
      <c r="H4946" s="6" t="str">
        <f>IFERROR(__xludf.DUMMYFUNCTION("""COMPUTED_VALUE"""),"IDR")</f>
        <v>IDR</v>
      </c>
      <c r="I4946" s="6">
        <f>IFERROR(__xludf.DUMMYFUNCTION("""COMPUTED_VALUE"""),150000.0)</f>
        <v>150000</v>
      </c>
      <c r="J4946" s="6">
        <f>IFERROR(__xludf.DUMMYFUNCTION("""COMPUTED_VALUE"""),450000.0)</f>
        <v>450000</v>
      </c>
      <c r="K4946" s="57">
        <f>IFERROR(__xludf.DUMMYFUNCTION("""COMPUTED_VALUE"""),46115.0)</f>
        <v>46115</v>
      </c>
      <c r="L4946" s="6" t="str">
        <f>IFERROR(__xludf.DUMMYFUNCTION("""COMPUTED_VALUE"""),"FIP Engineering")</f>
        <v>FIP Engineering</v>
      </c>
      <c r="M4946" s="6" t="str">
        <f>IFERROR(__xludf.DUMMYFUNCTION("""COMPUTED_VALUE"""),"Mochammad Fadhillah Hakim,")</f>
        <v>Mochammad Fadhillah Hakim,</v>
      </c>
      <c r="N4946" s="6" t="str">
        <f>IFERROR(__xludf.DUMMYFUNCTION("""COMPUTED_VALUE"""),"FIP Engineering")</f>
        <v>FIP Engineering</v>
      </c>
      <c r="O4946" s="6" t="str">
        <f>IFERROR(__xludf.DUMMYFUNCTION("""COMPUTED_VALUE"""),"FIP-DOM-000-11304-OS00001-INA-000000")</f>
        <v>FIP-DOM-000-11304-OS00001-INA-000000</v>
      </c>
      <c r="P4946" s="6" t="str">
        <f>IFERROR(__xludf.DUMMYFUNCTION("""COMPUTED_VALUE"""),"PO Closed")</f>
        <v>PO Closed</v>
      </c>
      <c r="Q4946" s="6" t="str">
        <f>IFERROR(__xludf.DUMMYFUNCTION("""COMPUTED_VALUE"""),"GL2604494")</f>
        <v>GL2604494</v>
      </c>
      <c r="R4946" s="57">
        <f>IFERROR(__xludf.DUMMYFUNCTION("""COMPUTED_VALUE"""),46084.0)</f>
        <v>46084</v>
      </c>
      <c r="S4946" s="57">
        <f>IFERROR(__xludf.DUMMYFUNCTION("""COMPUTED_VALUE"""),46090.0)</f>
        <v>46090</v>
      </c>
      <c r="T4946" s="57">
        <f>IFERROR(__xludf.DUMMYFUNCTION("""COMPUTED_VALUE"""),46132.0)</f>
        <v>46132</v>
      </c>
    </row>
    <row r="4947">
      <c r="A4947" s="6" t="str">
        <f>IFERROR(__xludf.DUMMYFUNCTION("""COMPUTED_VALUE"""),"121703942-1")</f>
        <v>121703942-1</v>
      </c>
      <c r="B4947" s="6" t="str">
        <f>IFERROR(__xludf.DUMMYFUNCTION("""COMPUTED_VALUE"""),"121703942 - APPROVED")</f>
        <v>121703942 - APPROVED</v>
      </c>
      <c r="C4947" s="6">
        <f>IFERROR(__xludf.DUMMYFUNCTION("""COMPUTED_VALUE"""),1.0)</f>
        <v>1</v>
      </c>
      <c r="D4947" s="6" t="str">
        <f>IFERROR(__xludf.DUMMYFUNCTION("""COMPUTED_VALUE"""),"P-11819-00")</f>
        <v>P-11819-00</v>
      </c>
      <c r="E4947" s="6" t="str">
        <f>IFERROR(__xludf.DUMMYFUNCTION("""COMPUTED_VALUE"""),"General - Alumunium duct tape 2inch; No Brand; -; 1 rol")</f>
        <v>General - Alumunium duct tape 2inch; No Brand; -; 1 rol</v>
      </c>
      <c r="F4947" s="6">
        <f>IFERROR(__xludf.DUMMYFUNCTION("""COMPUTED_VALUE"""),10.0)</f>
        <v>10</v>
      </c>
      <c r="G4947" s="6" t="str">
        <f>IFERROR(__xludf.DUMMYFUNCTION("""COMPUTED_VALUE"""),"Pieces")</f>
        <v>Pieces</v>
      </c>
      <c r="H4947" s="6" t="str">
        <f>IFERROR(__xludf.DUMMYFUNCTION("""COMPUTED_VALUE"""),"IDR")</f>
        <v>IDR</v>
      </c>
      <c r="I4947" s="6">
        <f>IFERROR(__xludf.DUMMYFUNCTION("""COMPUTED_VALUE"""),45000.0)</f>
        <v>45000</v>
      </c>
      <c r="J4947" s="6">
        <f>IFERROR(__xludf.DUMMYFUNCTION("""COMPUTED_VALUE"""),450000.0)</f>
        <v>450000</v>
      </c>
      <c r="K4947" s="57">
        <f>IFERROR(__xludf.DUMMYFUNCTION("""COMPUTED_VALUE"""),46115.0)</f>
        <v>46115</v>
      </c>
      <c r="L4947" s="6" t="str">
        <f>IFERROR(__xludf.DUMMYFUNCTION("""COMPUTED_VALUE"""),"FIP Engineering")</f>
        <v>FIP Engineering</v>
      </c>
      <c r="M4947" s="6" t="str">
        <f>IFERROR(__xludf.DUMMYFUNCTION("""COMPUTED_VALUE"""),"Mochammad Fadhillah Hakim,")</f>
        <v>Mochammad Fadhillah Hakim,</v>
      </c>
      <c r="N4947" s="6" t="str">
        <f>IFERROR(__xludf.DUMMYFUNCTION("""COMPUTED_VALUE"""),"FIP Engineering")</f>
        <v>FIP Engineering</v>
      </c>
      <c r="O4947" s="6" t="str">
        <f>IFERROR(__xludf.DUMMYFUNCTION("""COMPUTED_VALUE"""),"FIP-DOM-000-11304-OS00001-INA-000000")</f>
        <v>FIP-DOM-000-11304-OS00001-INA-000000</v>
      </c>
      <c r="P4947" s="6" t="str">
        <f>IFERROR(__xludf.DUMMYFUNCTION("""COMPUTED_VALUE"""),"PO Closed")</f>
        <v>PO Closed</v>
      </c>
      <c r="Q4947" s="6" t="str">
        <f>IFERROR(__xludf.DUMMYFUNCTION("""COMPUTED_VALUE"""),"GL2603465")</f>
        <v>GL2603465</v>
      </c>
      <c r="R4947" s="57">
        <f>IFERROR(__xludf.DUMMYFUNCTION("""COMPUTED_VALUE"""),46084.0)</f>
        <v>46084</v>
      </c>
      <c r="S4947" s="57">
        <f>IFERROR(__xludf.DUMMYFUNCTION("""COMPUTED_VALUE"""),46084.0)</f>
        <v>46084</v>
      </c>
      <c r="T4947" s="57">
        <f>IFERROR(__xludf.DUMMYFUNCTION("""COMPUTED_VALUE"""),46115.0)</f>
        <v>46115</v>
      </c>
    </row>
    <row r="4948">
      <c r="A4948" s="6" t="str">
        <f>IFERROR(__xludf.DUMMYFUNCTION("""COMPUTED_VALUE"""),"121703942-2")</f>
        <v>121703942-2</v>
      </c>
      <c r="B4948" s="6" t="str">
        <f>IFERROR(__xludf.DUMMYFUNCTION("""COMPUTED_VALUE"""),"121703942 - APPROVED")</f>
        <v>121703942 - APPROVED</v>
      </c>
      <c r="C4948" s="6">
        <f>IFERROR(__xludf.DUMMYFUNCTION("""COMPUTED_VALUE"""),2.0)</f>
        <v>2</v>
      </c>
      <c r="D4948" s="6" t="str">
        <f>IFERROR(__xludf.DUMMYFUNCTION("""COMPUTED_VALUE"""),"P-53216-00")</f>
        <v>P-53216-00</v>
      </c>
      <c r="E4948" s="6" t="str">
        <f>IFERROR(__xludf.DUMMYFUNCTION("""COMPUTED_VALUE"""),"Silicon Lembaran, tebal 3 mm, size: 1 meter X 1 meter; ; ;")</f>
        <v>Silicon Lembaran, tebal 3 mm, size: 1 meter X 1 meter; ; ;</v>
      </c>
      <c r="F4948" s="6">
        <f>IFERROR(__xludf.DUMMYFUNCTION("""COMPUTED_VALUE"""),1.0)</f>
        <v>1</v>
      </c>
      <c r="G4948" s="6" t="str">
        <f>IFERROR(__xludf.DUMMYFUNCTION("""COMPUTED_VALUE"""),"Pieces")</f>
        <v>Pieces</v>
      </c>
      <c r="H4948" s="6" t="str">
        <f>IFERROR(__xludf.DUMMYFUNCTION("""COMPUTED_VALUE"""),"IDR")</f>
        <v>IDR</v>
      </c>
      <c r="I4948" s="6">
        <f>IFERROR(__xludf.DUMMYFUNCTION("""COMPUTED_VALUE"""),550000.0)</f>
        <v>550000</v>
      </c>
      <c r="J4948" s="6">
        <f>IFERROR(__xludf.DUMMYFUNCTION("""COMPUTED_VALUE"""),550000.0)</f>
        <v>550000</v>
      </c>
      <c r="K4948" s="57">
        <f>IFERROR(__xludf.DUMMYFUNCTION("""COMPUTED_VALUE"""),46115.0)</f>
        <v>46115</v>
      </c>
      <c r="L4948" s="6" t="str">
        <f>IFERROR(__xludf.DUMMYFUNCTION("""COMPUTED_VALUE"""),"FIP Engineering")</f>
        <v>FIP Engineering</v>
      </c>
      <c r="M4948" s="6" t="str">
        <f>IFERROR(__xludf.DUMMYFUNCTION("""COMPUTED_VALUE"""),"Mochammad Fadhillah Hakim,")</f>
        <v>Mochammad Fadhillah Hakim,</v>
      </c>
      <c r="N4948" s="6" t="str">
        <f>IFERROR(__xludf.DUMMYFUNCTION("""COMPUTED_VALUE"""),"FIP Engineering")</f>
        <v>FIP Engineering</v>
      </c>
      <c r="O4948" s="6" t="str">
        <f>IFERROR(__xludf.DUMMYFUNCTION("""COMPUTED_VALUE"""),"FIP-DOM-000-11304-OS00001-INA-000000")</f>
        <v>FIP-DOM-000-11304-OS00001-INA-000000</v>
      </c>
      <c r="P4948" s="6" t="str">
        <f>IFERROR(__xludf.DUMMYFUNCTION("""COMPUTED_VALUE"""),"PO Closed")</f>
        <v>PO Closed</v>
      </c>
      <c r="Q4948" s="6" t="str">
        <f>IFERROR(__xludf.DUMMYFUNCTION("""COMPUTED_VALUE"""),"GL2603465")</f>
        <v>GL2603465</v>
      </c>
      <c r="R4948" s="57">
        <f>IFERROR(__xludf.DUMMYFUNCTION("""COMPUTED_VALUE"""),46084.0)</f>
        <v>46084</v>
      </c>
      <c r="S4948" s="57">
        <f>IFERROR(__xludf.DUMMYFUNCTION("""COMPUTED_VALUE"""),46084.0)</f>
        <v>46084</v>
      </c>
      <c r="T4948" s="57">
        <f>IFERROR(__xludf.DUMMYFUNCTION("""COMPUTED_VALUE"""),46115.0)</f>
        <v>46115</v>
      </c>
    </row>
    <row r="4949">
      <c r="A4949" s="6" t="str">
        <f>IFERROR(__xludf.DUMMYFUNCTION("""COMPUTED_VALUE"""),"121703942-3")</f>
        <v>121703942-3</v>
      </c>
      <c r="B4949" s="6" t="str">
        <f>IFERROR(__xludf.DUMMYFUNCTION("""COMPUTED_VALUE"""),"121703942 - APPROVED")</f>
        <v>121703942 - APPROVED</v>
      </c>
      <c r="C4949" s="6">
        <f>IFERROR(__xludf.DUMMYFUNCTION("""COMPUTED_VALUE"""),3.0)</f>
        <v>3</v>
      </c>
      <c r="D4949" s="6" t="str">
        <f>IFERROR(__xludf.DUMMYFUNCTION("""COMPUTED_VALUE"""),"P-13600-00")</f>
        <v>P-13600-00</v>
      </c>
      <c r="E4949" s="6" t="str">
        <f>IFERROR(__xludf.DUMMYFUNCTION("""COMPUTED_VALUE"""),"General - Besi Pejal, SS 304, dia. 8 mm; No Brand; -; 1 pcs")</f>
        <v>General - Besi Pejal, SS 304, dia. 8 mm; No Brand; -; 1 pcs</v>
      </c>
      <c r="F4949" s="6">
        <f>IFERROR(__xludf.DUMMYFUNCTION("""COMPUTED_VALUE"""),1.0)</f>
        <v>1</v>
      </c>
      <c r="G4949" s="6" t="str">
        <f>IFERROR(__xludf.DUMMYFUNCTION("""COMPUTED_VALUE"""),"Pieces")</f>
        <v>Pieces</v>
      </c>
      <c r="H4949" s="6" t="str">
        <f>IFERROR(__xludf.DUMMYFUNCTION("""COMPUTED_VALUE"""),"IDR")</f>
        <v>IDR</v>
      </c>
      <c r="I4949" s="6">
        <f>IFERROR(__xludf.DUMMYFUNCTION("""COMPUTED_VALUE"""),350000.0)</f>
        <v>350000</v>
      </c>
      <c r="J4949" s="6">
        <f>IFERROR(__xludf.DUMMYFUNCTION("""COMPUTED_VALUE"""),350000.0)</f>
        <v>350000</v>
      </c>
      <c r="K4949" s="57">
        <f>IFERROR(__xludf.DUMMYFUNCTION("""COMPUTED_VALUE"""),46115.0)</f>
        <v>46115</v>
      </c>
      <c r="L4949" s="6" t="str">
        <f>IFERROR(__xludf.DUMMYFUNCTION("""COMPUTED_VALUE"""),"FIP Engineering")</f>
        <v>FIP Engineering</v>
      </c>
      <c r="M4949" s="6" t="str">
        <f>IFERROR(__xludf.DUMMYFUNCTION("""COMPUTED_VALUE"""),"Mochammad Fadhillah Hakim,")</f>
        <v>Mochammad Fadhillah Hakim,</v>
      </c>
      <c r="N4949" s="6" t="str">
        <f>IFERROR(__xludf.DUMMYFUNCTION("""COMPUTED_VALUE"""),"FIP Engineering")</f>
        <v>FIP Engineering</v>
      </c>
      <c r="O4949" s="6" t="str">
        <f>IFERROR(__xludf.DUMMYFUNCTION("""COMPUTED_VALUE"""),"FIP-DOM-000-11304-OS00001-INA-000000")</f>
        <v>FIP-DOM-000-11304-OS00001-INA-000000</v>
      </c>
      <c r="P4949" s="6" t="str">
        <f>IFERROR(__xludf.DUMMYFUNCTION("""COMPUTED_VALUE"""),"PO Closed")</f>
        <v>PO Closed</v>
      </c>
      <c r="Q4949" s="6" t="str">
        <f>IFERROR(__xludf.DUMMYFUNCTION("""COMPUTED_VALUE"""),"GL2603465")</f>
        <v>GL2603465</v>
      </c>
      <c r="R4949" s="57">
        <f>IFERROR(__xludf.DUMMYFUNCTION("""COMPUTED_VALUE"""),46084.0)</f>
        <v>46084</v>
      </c>
      <c r="S4949" s="57">
        <f>IFERROR(__xludf.DUMMYFUNCTION("""COMPUTED_VALUE"""),46084.0)</f>
        <v>46084</v>
      </c>
      <c r="T4949" s="57">
        <f>IFERROR(__xludf.DUMMYFUNCTION("""COMPUTED_VALUE"""),46115.0)</f>
        <v>46115</v>
      </c>
    </row>
    <row r="4950">
      <c r="A4950" s="6" t="str">
        <f>IFERROR(__xludf.DUMMYFUNCTION("""COMPUTED_VALUE"""),"121703942-4")</f>
        <v>121703942-4</v>
      </c>
      <c r="B4950" s="6" t="str">
        <f>IFERROR(__xludf.DUMMYFUNCTION("""COMPUTED_VALUE"""),"121703942 - APPROVED")</f>
        <v>121703942 - APPROVED</v>
      </c>
      <c r="C4950" s="6">
        <f>IFERROR(__xludf.DUMMYFUNCTION("""COMPUTED_VALUE"""),4.0)</f>
        <v>4</v>
      </c>
      <c r="D4950" s="6" t="str">
        <f>IFERROR(__xludf.DUMMYFUNCTION("""COMPUTED_VALUE"""),"O-50994-00")</f>
        <v>O-50994-00</v>
      </c>
      <c r="E4950" s="6" t="str">
        <f>IFERROR(__xludf.DUMMYFUNCTION("""COMPUTED_VALUE"""),"Battery kering 12V 7,2AH; ; ;")</f>
        <v>Battery kering 12V 7,2AH; ; ;</v>
      </c>
      <c r="F4950" s="6">
        <f>IFERROR(__xludf.DUMMYFUNCTION("""COMPUTED_VALUE"""),3.0)</f>
        <v>3</v>
      </c>
      <c r="G4950" s="6" t="str">
        <f>IFERROR(__xludf.DUMMYFUNCTION("""COMPUTED_VALUE"""),"Pieces")</f>
        <v>Pieces</v>
      </c>
      <c r="H4950" s="6" t="str">
        <f>IFERROR(__xludf.DUMMYFUNCTION("""COMPUTED_VALUE"""),"IDR")</f>
        <v>IDR</v>
      </c>
      <c r="I4950" s="6">
        <f>IFERROR(__xludf.DUMMYFUNCTION("""COMPUTED_VALUE"""),650000.0)</f>
        <v>650000</v>
      </c>
      <c r="J4950" s="6">
        <f>IFERROR(__xludf.DUMMYFUNCTION("""COMPUTED_VALUE"""),1950000.0)</f>
        <v>1950000</v>
      </c>
      <c r="K4950" s="57">
        <f>IFERROR(__xludf.DUMMYFUNCTION("""COMPUTED_VALUE"""),46115.0)</f>
        <v>46115</v>
      </c>
      <c r="L4950" s="6" t="str">
        <f>IFERROR(__xludf.DUMMYFUNCTION("""COMPUTED_VALUE"""),"FIP Engineering")</f>
        <v>FIP Engineering</v>
      </c>
      <c r="M4950" s="6" t="str">
        <f>IFERROR(__xludf.DUMMYFUNCTION("""COMPUTED_VALUE"""),"Mochammad Fadhillah Hakim,")</f>
        <v>Mochammad Fadhillah Hakim,</v>
      </c>
      <c r="N4950" s="6" t="str">
        <f>IFERROR(__xludf.DUMMYFUNCTION("""COMPUTED_VALUE"""),"FIP Engineering")</f>
        <v>FIP Engineering</v>
      </c>
      <c r="O4950" s="6" t="str">
        <f>IFERROR(__xludf.DUMMYFUNCTION("""COMPUTED_VALUE"""),"FIP-DOM-000-11304-OS00001-INA-000000")</f>
        <v>FIP-DOM-000-11304-OS00001-INA-000000</v>
      </c>
      <c r="P4950" s="6" t="str">
        <f>IFERROR(__xludf.DUMMYFUNCTION("""COMPUTED_VALUE"""),"PO Closed")</f>
        <v>PO Closed</v>
      </c>
      <c r="Q4950" s="6" t="str">
        <f>IFERROR(__xludf.DUMMYFUNCTION("""COMPUTED_VALUE"""),"GL2603460")</f>
        <v>GL2603460</v>
      </c>
      <c r="R4950" s="57">
        <f>IFERROR(__xludf.DUMMYFUNCTION("""COMPUTED_VALUE"""),46084.0)</f>
        <v>46084</v>
      </c>
      <c r="S4950" s="57">
        <f>IFERROR(__xludf.DUMMYFUNCTION("""COMPUTED_VALUE"""),46084.0)</f>
        <v>46084</v>
      </c>
      <c r="T4950" s="57">
        <f>IFERROR(__xludf.DUMMYFUNCTION("""COMPUTED_VALUE"""),46117.0)</f>
        <v>46117</v>
      </c>
    </row>
    <row r="4951">
      <c r="A4951" s="6" t="str">
        <f>IFERROR(__xludf.DUMMYFUNCTION("""COMPUTED_VALUE"""),"121703942-5")</f>
        <v>121703942-5</v>
      </c>
      <c r="B4951" s="6" t="str">
        <f>IFERROR(__xludf.DUMMYFUNCTION("""COMPUTED_VALUE"""),"121703942 - APPROVED")</f>
        <v>121703942 - APPROVED</v>
      </c>
      <c r="C4951" s="6">
        <f>IFERROR(__xludf.DUMMYFUNCTION("""COMPUTED_VALUE"""),5.0)</f>
        <v>5</v>
      </c>
      <c r="D4951" s="6" t="str">
        <f>IFERROR(__xludf.DUMMYFUNCTION("""COMPUTED_VALUE"""),"P-12994-00")</f>
        <v>P-12994-00</v>
      </c>
      <c r="E4951" s="6" t="str">
        <f>IFERROR(__xludf.DUMMYFUNCTION("""COMPUTED_VALUE"""),"General - Adhesive Tape -; Nippon; ASF-110FR; 1 pc")</f>
        <v>General - Adhesive Tape -; Nippon; ASF-110FR; 1 pc</v>
      </c>
      <c r="F4951" s="6">
        <f>IFERROR(__xludf.DUMMYFUNCTION("""COMPUTED_VALUE"""),8.0)</f>
        <v>8</v>
      </c>
      <c r="G4951" s="6" t="str">
        <f>IFERROR(__xludf.DUMMYFUNCTION("""COMPUTED_VALUE"""),"Pieces")</f>
        <v>Pieces</v>
      </c>
      <c r="H4951" s="6" t="str">
        <f>IFERROR(__xludf.DUMMYFUNCTION("""COMPUTED_VALUE"""),"IDR")</f>
        <v>IDR</v>
      </c>
      <c r="I4951" s="6">
        <f>IFERROR(__xludf.DUMMYFUNCTION("""COMPUTED_VALUE"""),550000.0)</f>
        <v>550000</v>
      </c>
      <c r="J4951" s="6">
        <f>IFERROR(__xludf.DUMMYFUNCTION("""COMPUTED_VALUE"""),4400000.0)</f>
        <v>4400000</v>
      </c>
      <c r="K4951" s="57">
        <f>IFERROR(__xludf.DUMMYFUNCTION("""COMPUTED_VALUE"""),46115.0)</f>
        <v>46115</v>
      </c>
      <c r="L4951" s="6" t="str">
        <f>IFERROR(__xludf.DUMMYFUNCTION("""COMPUTED_VALUE"""),"FIP Engineering")</f>
        <v>FIP Engineering</v>
      </c>
      <c r="M4951" s="6" t="str">
        <f>IFERROR(__xludf.DUMMYFUNCTION("""COMPUTED_VALUE"""),"Mochammad Fadhillah Hakim,")</f>
        <v>Mochammad Fadhillah Hakim,</v>
      </c>
      <c r="N4951" s="6" t="str">
        <f>IFERROR(__xludf.DUMMYFUNCTION("""COMPUTED_VALUE"""),"FIP Engineering")</f>
        <v>FIP Engineering</v>
      </c>
      <c r="O4951" s="6" t="str">
        <f>IFERROR(__xludf.DUMMYFUNCTION("""COMPUTED_VALUE"""),"FIP-DOM-000-11304-OS00001-INA-000000")</f>
        <v>FIP-DOM-000-11304-OS00001-INA-000000</v>
      </c>
      <c r="P4951" s="6" t="str">
        <f>IFERROR(__xludf.DUMMYFUNCTION("""COMPUTED_VALUE"""),"PO Closed")</f>
        <v>PO Closed</v>
      </c>
      <c r="Q4951" s="6" t="str">
        <f>IFERROR(__xludf.DUMMYFUNCTION("""COMPUTED_VALUE"""),"GL2603465")</f>
        <v>GL2603465</v>
      </c>
      <c r="R4951" s="57">
        <f>IFERROR(__xludf.DUMMYFUNCTION("""COMPUTED_VALUE"""),46084.0)</f>
        <v>46084</v>
      </c>
      <c r="S4951" s="57">
        <f>IFERROR(__xludf.DUMMYFUNCTION("""COMPUTED_VALUE"""),46084.0)</f>
        <v>46084</v>
      </c>
      <c r="T4951" s="57">
        <f>IFERROR(__xludf.DUMMYFUNCTION("""COMPUTED_VALUE"""),46115.0)</f>
        <v>46115</v>
      </c>
    </row>
    <row r="4952">
      <c r="A4952" s="6" t="str">
        <f>IFERROR(__xludf.DUMMYFUNCTION("""COMPUTED_VALUE"""),"121703942-6")</f>
        <v>121703942-6</v>
      </c>
      <c r="B4952" s="6" t="str">
        <f>IFERROR(__xludf.DUMMYFUNCTION("""COMPUTED_VALUE"""),"121703942 - APPROVED")</f>
        <v>121703942 - APPROVED</v>
      </c>
      <c r="C4952" s="6">
        <f>IFERROR(__xludf.DUMMYFUNCTION("""COMPUTED_VALUE"""),6.0)</f>
        <v>6</v>
      </c>
      <c r="D4952" s="6" t="str">
        <f>IFERROR(__xludf.DUMMYFUNCTION("""COMPUTED_VALUE"""),"P-52711-00")</f>
        <v>P-52711-00</v>
      </c>
      <c r="E4952" s="6" t="str">
        <f>IFERROR(__xludf.DUMMYFUNCTION("""COMPUTED_VALUE"""),"General - Accu NS70, Baterai Kering, 12 V, 65 Ah; GS Astra; -; 1 pcs")</f>
        <v>General - Accu NS70, Baterai Kering, 12 V, 65 Ah; GS Astra; -; 1 pcs</v>
      </c>
      <c r="F4952" s="6">
        <f>IFERROR(__xludf.DUMMYFUNCTION("""COMPUTED_VALUE"""),1.0)</f>
        <v>1</v>
      </c>
      <c r="G4952" s="6" t="str">
        <f>IFERROR(__xludf.DUMMYFUNCTION("""COMPUTED_VALUE"""),"Pieces")</f>
        <v>Pieces</v>
      </c>
      <c r="H4952" s="6" t="str">
        <f>IFERROR(__xludf.DUMMYFUNCTION("""COMPUTED_VALUE"""),"IDR")</f>
        <v>IDR</v>
      </c>
      <c r="I4952" s="6">
        <f>IFERROR(__xludf.DUMMYFUNCTION("""COMPUTED_VALUE"""),1550000.0)</f>
        <v>1550000</v>
      </c>
      <c r="J4952" s="6">
        <f>IFERROR(__xludf.DUMMYFUNCTION("""COMPUTED_VALUE"""),1550000.0)</f>
        <v>1550000</v>
      </c>
      <c r="K4952" s="57">
        <f>IFERROR(__xludf.DUMMYFUNCTION("""COMPUTED_VALUE"""),46115.0)</f>
        <v>46115</v>
      </c>
      <c r="L4952" s="6" t="str">
        <f>IFERROR(__xludf.DUMMYFUNCTION("""COMPUTED_VALUE"""),"FIP Engineering")</f>
        <v>FIP Engineering</v>
      </c>
      <c r="M4952" s="6" t="str">
        <f>IFERROR(__xludf.DUMMYFUNCTION("""COMPUTED_VALUE"""),"Mochammad Fadhillah Hakim,")</f>
        <v>Mochammad Fadhillah Hakim,</v>
      </c>
      <c r="N4952" s="6" t="str">
        <f>IFERROR(__xludf.DUMMYFUNCTION("""COMPUTED_VALUE"""),"FIP Engineering")</f>
        <v>FIP Engineering</v>
      </c>
      <c r="O4952" s="6" t="str">
        <f>IFERROR(__xludf.DUMMYFUNCTION("""COMPUTED_VALUE"""),"FIP-DOM-000-11304-OS00001-INA-000000")</f>
        <v>FIP-DOM-000-11304-OS00001-INA-000000</v>
      </c>
      <c r="P4952" s="6" t="str">
        <f>IFERROR(__xludf.DUMMYFUNCTION("""COMPUTED_VALUE"""),"PO Closed")</f>
        <v>PO Closed</v>
      </c>
      <c r="Q4952" s="6" t="str">
        <f>IFERROR(__xludf.DUMMYFUNCTION("""COMPUTED_VALUE"""),"GL2603465")</f>
        <v>GL2603465</v>
      </c>
      <c r="R4952" s="57">
        <f>IFERROR(__xludf.DUMMYFUNCTION("""COMPUTED_VALUE"""),46084.0)</f>
        <v>46084</v>
      </c>
      <c r="S4952" s="57">
        <f>IFERROR(__xludf.DUMMYFUNCTION("""COMPUTED_VALUE"""),46084.0)</f>
        <v>46084</v>
      </c>
      <c r="T4952" s="57">
        <f>IFERROR(__xludf.DUMMYFUNCTION("""COMPUTED_VALUE"""),46115.0)</f>
        <v>46115</v>
      </c>
    </row>
    <row r="4953">
      <c r="A4953" s="6" t="str">
        <f>IFERROR(__xludf.DUMMYFUNCTION("""COMPUTED_VALUE"""),"121703947-1")</f>
        <v>121703947-1</v>
      </c>
      <c r="B4953" s="6" t="str">
        <f>IFERROR(__xludf.DUMMYFUNCTION("""COMPUTED_VALUE"""),"121703947 - APPROVED")</f>
        <v>121703947 - APPROVED</v>
      </c>
      <c r="C4953" s="6">
        <f>IFERROR(__xludf.DUMMYFUNCTION("""COMPUTED_VALUE"""),1.0)</f>
        <v>1</v>
      </c>
      <c r="D4953" s="6" t="str">
        <f>IFERROR(__xludf.DUMMYFUNCTION("""COMPUTED_VALUE"""),"O-20857-00")</f>
        <v>O-20857-00</v>
      </c>
      <c r="E4953" s="6" t="str">
        <f>IFERROR(__xludf.DUMMYFUNCTION("""COMPUTED_VALUE"""),"Washing RAR4 - Needle CA, OD 15 x 168 mm, Mat. SS316; Custom/Lokal; -; 1 Pc")</f>
        <v>Washing RAR4 - Needle CA, OD 15 x 168 mm, Mat. SS316; Custom/Lokal; -; 1 Pc</v>
      </c>
      <c r="F4953" s="6">
        <f>IFERROR(__xludf.DUMMYFUNCTION("""COMPUTED_VALUE"""),2.0)</f>
        <v>2</v>
      </c>
      <c r="G4953" s="6" t="str">
        <f>IFERROR(__xludf.DUMMYFUNCTION("""COMPUTED_VALUE"""),"Pieces")</f>
        <v>Pieces</v>
      </c>
      <c r="H4953" s="6" t="str">
        <f>IFERROR(__xludf.DUMMYFUNCTION("""COMPUTED_VALUE"""),"IDR")</f>
        <v>IDR</v>
      </c>
      <c r="I4953" s="6">
        <f>IFERROR(__xludf.DUMMYFUNCTION("""COMPUTED_VALUE"""),2000000.0)</f>
        <v>2000000</v>
      </c>
      <c r="J4953" s="6">
        <f>IFERROR(__xludf.DUMMYFUNCTION("""COMPUTED_VALUE"""),4000000.0)</f>
        <v>4000000</v>
      </c>
      <c r="K4953" s="57">
        <f>IFERROR(__xludf.DUMMYFUNCTION("""COMPUTED_VALUE"""),46122.0)</f>
        <v>46122</v>
      </c>
      <c r="L4953" s="6" t="str">
        <f>IFERROR(__xludf.DUMMYFUNCTION("""COMPUTED_VALUE"""),"FIP Engineering")</f>
        <v>FIP Engineering</v>
      </c>
      <c r="M4953" s="6" t="str">
        <f>IFERROR(__xludf.DUMMYFUNCTION("""COMPUTED_VALUE"""),"Mochammad Fadhillah Hakim,")</f>
        <v>Mochammad Fadhillah Hakim,</v>
      </c>
      <c r="N4953" s="6" t="str">
        <f>IFERROR(__xludf.DUMMYFUNCTION("""COMPUTED_VALUE"""),"FIP Engineering")</f>
        <v>FIP Engineering</v>
      </c>
      <c r="O4953" s="6" t="str">
        <f>IFERROR(__xludf.DUMMYFUNCTION("""COMPUTED_VALUE"""),"FIP-DOM-000-11304-OS00001-INA-000000")</f>
        <v>FIP-DOM-000-11304-OS00001-INA-000000</v>
      </c>
      <c r="P4953" s="6" t="str">
        <f>IFERROR(__xludf.DUMMYFUNCTION("""COMPUTED_VALUE"""),"PO Closed")</f>
        <v>PO Closed</v>
      </c>
      <c r="Q4953" s="6" t="str">
        <f>IFERROR(__xludf.DUMMYFUNCTION("""COMPUTED_VALUE"""),"GL2604481")</f>
        <v>GL2604481</v>
      </c>
      <c r="R4953" s="57">
        <f>IFERROR(__xludf.DUMMYFUNCTION("""COMPUTED_VALUE"""),46085.0)</f>
        <v>46085</v>
      </c>
      <c r="S4953" s="57">
        <f>IFERROR(__xludf.DUMMYFUNCTION("""COMPUTED_VALUE"""),46087.0)</f>
        <v>46087</v>
      </c>
      <c r="T4953" s="57">
        <f>IFERROR(__xludf.DUMMYFUNCTION("""COMPUTED_VALUE"""),46152.0)</f>
        <v>46152</v>
      </c>
    </row>
    <row r="4954">
      <c r="A4954" s="6" t="str">
        <f>IFERROR(__xludf.DUMMYFUNCTION("""COMPUTED_VALUE"""),"121703948-1")</f>
        <v>121703948-1</v>
      </c>
      <c r="B4954" s="6" t="str">
        <f>IFERROR(__xludf.DUMMYFUNCTION("""COMPUTED_VALUE"""),"121703948 - APPROVED")</f>
        <v>121703948 - APPROVED</v>
      </c>
      <c r="C4954" s="6">
        <f>IFERROR(__xludf.DUMMYFUNCTION("""COMPUTED_VALUE"""),1.0)</f>
        <v>1</v>
      </c>
      <c r="D4954" s="6" t="str">
        <f>IFERROR(__xludf.DUMMYFUNCTION("""COMPUTED_VALUE"""),"O-52826-00")</f>
        <v>O-52826-00</v>
      </c>
      <c r="E4954" s="6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F4954" s="6">
        <f>IFERROR(__xludf.DUMMYFUNCTION("""COMPUTED_VALUE"""),2.0)</f>
        <v>2</v>
      </c>
      <c r="G4954" s="6" t="str">
        <f>IFERROR(__xludf.DUMMYFUNCTION("""COMPUTED_VALUE"""),"Pieces")</f>
        <v>Pieces</v>
      </c>
      <c r="H4954" s="6" t="str">
        <f>IFERROR(__xludf.DUMMYFUNCTION("""COMPUTED_VALUE"""),"IDR")</f>
        <v>IDR</v>
      </c>
      <c r="I4954" s="6">
        <f>IFERROR(__xludf.DUMMYFUNCTION("""COMPUTED_VALUE"""),2842415.0)</f>
        <v>2842415</v>
      </c>
      <c r="J4954" s="6">
        <f>IFERROR(__xludf.DUMMYFUNCTION("""COMPUTED_VALUE"""),5684830.0)</f>
        <v>5684830</v>
      </c>
      <c r="K4954" s="57">
        <f>IFERROR(__xludf.DUMMYFUNCTION("""COMPUTED_VALUE"""),46150.0)</f>
        <v>46150</v>
      </c>
      <c r="L4954" s="6" t="str">
        <f>IFERROR(__xludf.DUMMYFUNCTION("""COMPUTED_VALUE"""),"FIP Engineering")</f>
        <v>FIP Engineering</v>
      </c>
      <c r="M4954" s="6" t="str">
        <f>IFERROR(__xludf.DUMMYFUNCTION("""COMPUTED_VALUE"""),"Mochammad Fadhillah Hakim,")</f>
        <v>Mochammad Fadhillah Hakim,</v>
      </c>
      <c r="N4954" s="6" t="str">
        <f>IFERROR(__xludf.DUMMYFUNCTION("""COMPUTED_VALUE"""),"FIP Engineering")</f>
        <v>FIP Engineering</v>
      </c>
      <c r="O4954" s="6" t="str">
        <f>IFERROR(__xludf.DUMMYFUNCTION("""COMPUTED_VALUE"""),"FIP-DOM-000-11304-OS00001-INA-000000")</f>
        <v>FIP-DOM-000-11304-OS00001-INA-000000</v>
      </c>
      <c r="P4954" s="6" t="str">
        <f>IFERROR(__xludf.DUMMYFUNCTION("""COMPUTED_VALUE"""),"PO Closed")</f>
        <v>PO Closed</v>
      </c>
      <c r="Q4954" s="6" t="str">
        <f>IFERROR(__xludf.DUMMYFUNCTION("""COMPUTED_VALUE"""),"GL2606012")</f>
        <v>GL2606012</v>
      </c>
      <c r="R4954" s="57">
        <f>IFERROR(__xludf.DUMMYFUNCTION("""COMPUTED_VALUE"""),46085.0)</f>
        <v>46085</v>
      </c>
      <c r="S4954" s="57">
        <f>IFERROR(__xludf.DUMMYFUNCTION("""COMPUTED_VALUE"""),46086.0)</f>
        <v>46086</v>
      </c>
      <c r="T4954" s="57">
        <f>IFERROR(__xludf.DUMMYFUNCTION("""COMPUTED_VALUE"""),46242.0)</f>
        <v>46242</v>
      </c>
    </row>
    <row r="4955">
      <c r="A4955" s="6" t="str">
        <f>IFERROR(__xludf.DUMMYFUNCTION("""COMPUTED_VALUE"""),"121703949-1")</f>
        <v>121703949-1</v>
      </c>
      <c r="B4955" s="6" t="str">
        <f>IFERROR(__xludf.DUMMYFUNCTION("""COMPUTED_VALUE"""),"121703949 - APPROVED")</f>
        <v>121703949 - APPROVED</v>
      </c>
      <c r="C4955" s="6">
        <f>IFERROR(__xludf.DUMMYFUNCTION("""COMPUTED_VALUE"""),1.0)</f>
        <v>1</v>
      </c>
      <c r="D4955" s="6" t="str">
        <f>IFERROR(__xludf.DUMMYFUNCTION("""COMPUTED_VALUE"""),"P-16474-00")</f>
        <v>P-16474-00</v>
      </c>
      <c r="E4955" s="6" t="str">
        <f>IFERROR(__xludf.DUMMYFUNCTION("""COMPUTED_VALUE"""),"General - Lem PLastic Steel Epoxy + Hardener 5 menit; Dextone; -; 1 set")</f>
        <v>General - Lem PLastic Steel Epoxy + Hardener 5 menit; Dextone; -; 1 set</v>
      </c>
      <c r="F4955" s="6">
        <f>IFERROR(__xludf.DUMMYFUNCTION("""COMPUTED_VALUE"""),5.0)</f>
        <v>5</v>
      </c>
      <c r="G4955" s="6" t="str">
        <f>IFERROR(__xludf.DUMMYFUNCTION("""COMPUTED_VALUE"""),"Pack")</f>
        <v>Pack</v>
      </c>
      <c r="H4955" s="6" t="str">
        <f>IFERROR(__xludf.DUMMYFUNCTION("""COMPUTED_VALUE"""),"IDR")</f>
        <v>IDR</v>
      </c>
      <c r="I4955" s="6">
        <f>IFERROR(__xludf.DUMMYFUNCTION("""COMPUTED_VALUE"""),15000.0)</f>
        <v>15000</v>
      </c>
      <c r="J4955" s="6">
        <f>IFERROR(__xludf.DUMMYFUNCTION("""COMPUTED_VALUE"""),75000.0)</f>
        <v>75000</v>
      </c>
      <c r="K4955" s="57">
        <f>IFERROR(__xludf.DUMMYFUNCTION("""COMPUTED_VALUE"""),46122.0)</f>
        <v>46122</v>
      </c>
      <c r="L4955" s="6" t="str">
        <f>IFERROR(__xludf.DUMMYFUNCTION("""COMPUTED_VALUE"""),"FIP Engineering")</f>
        <v>FIP Engineering</v>
      </c>
      <c r="M4955" s="6" t="str">
        <f>IFERROR(__xludf.DUMMYFUNCTION("""COMPUTED_VALUE"""),"Mochammad Fadhillah Hakim,")</f>
        <v>Mochammad Fadhillah Hakim,</v>
      </c>
      <c r="N4955" s="6" t="str">
        <f>IFERROR(__xludf.DUMMYFUNCTION("""COMPUTED_VALUE"""),"FIP Engineering")</f>
        <v>FIP Engineering</v>
      </c>
      <c r="O4955" s="6" t="str">
        <f>IFERROR(__xludf.DUMMYFUNCTION("""COMPUTED_VALUE"""),"FIP-DOM-000-11304-OS00001-INA-000000")</f>
        <v>FIP-DOM-000-11304-OS00001-INA-000000</v>
      </c>
      <c r="P4955" s="6" t="str">
        <f>IFERROR(__xludf.DUMMYFUNCTION("""COMPUTED_VALUE"""),"PO Closed")</f>
        <v>PO Closed</v>
      </c>
      <c r="Q4955" s="6" t="str">
        <f>IFERROR(__xludf.DUMMYFUNCTION("""COMPUTED_VALUE"""),"GL2604490")</f>
        <v>GL2604490</v>
      </c>
      <c r="R4955" s="57">
        <f>IFERROR(__xludf.DUMMYFUNCTION("""COMPUTED_VALUE"""),46085.0)</f>
        <v>46085</v>
      </c>
      <c r="S4955" s="57">
        <f>IFERROR(__xludf.DUMMYFUNCTION("""COMPUTED_VALUE"""),46086.0)</f>
        <v>46086</v>
      </c>
      <c r="T4955" s="57">
        <f>IFERROR(__xludf.DUMMYFUNCTION("""COMPUTED_VALUE"""),46122.0)</f>
        <v>46122</v>
      </c>
    </row>
    <row r="4956">
      <c r="A4956" s="6" t="str">
        <f>IFERROR(__xludf.DUMMYFUNCTION("""COMPUTED_VALUE"""),"121703950-1")</f>
        <v>121703950-1</v>
      </c>
      <c r="B4956" s="6" t="str">
        <f>IFERROR(__xludf.DUMMYFUNCTION("""COMPUTED_VALUE"""),"121703950 - APPROVED")</f>
        <v>121703950 - APPROVED</v>
      </c>
      <c r="C4956" s="6">
        <f>IFERROR(__xludf.DUMMYFUNCTION("""COMPUTED_VALUE"""),1.0)</f>
        <v>1</v>
      </c>
      <c r="D4956" s="6" t="str">
        <f>IFERROR(__xludf.DUMMYFUNCTION("""COMPUTED_VALUE"""),"O-53011-00")</f>
        <v>O-53011-00</v>
      </c>
      <c r="E4956" s="6" t="str">
        <f>IFERROR(__xludf.DUMMYFUNCTION("""COMPUTED_VALUE"""),"General - Timer Digital LE8B-BF; Autonics; A01761; 1 Pc")</f>
        <v>General - Timer Digital LE8B-BF; Autonics; A01761; 1 Pc</v>
      </c>
      <c r="F4956" s="6">
        <f>IFERROR(__xludf.DUMMYFUNCTION("""COMPUTED_VALUE"""),2.0)</f>
        <v>2</v>
      </c>
      <c r="G4956" s="6" t="str">
        <f>IFERROR(__xludf.DUMMYFUNCTION("""COMPUTED_VALUE"""),"Pieces")</f>
        <v>Pieces</v>
      </c>
      <c r="H4956" s="6" t="str">
        <f>IFERROR(__xludf.DUMMYFUNCTION("""COMPUTED_VALUE"""),"IDR")</f>
        <v>IDR</v>
      </c>
      <c r="I4956" s="6">
        <f>IFERROR(__xludf.DUMMYFUNCTION("""COMPUTED_VALUE"""),408200.0)</f>
        <v>408200</v>
      </c>
      <c r="J4956" s="6">
        <f>IFERROR(__xludf.DUMMYFUNCTION("""COMPUTED_VALUE"""),816400.0)</f>
        <v>816400</v>
      </c>
      <c r="K4956" s="57">
        <f>IFERROR(__xludf.DUMMYFUNCTION("""COMPUTED_VALUE"""),46122.0)</f>
        <v>46122</v>
      </c>
      <c r="L4956" s="6" t="str">
        <f>IFERROR(__xludf.DUMMYFUNCTION("""COMPUTED_VALUE"""),"FIP Engineering")</f>
        <v>FIP Engineering</v>
      </c>
      <c r="M4956" s="6" t="str">
        <f>IFERROR(__xludf.DUMMYFUNCTION("""COMPUTED_VALUE"""),"Mochammad Fadhillah Hakim,")</f>
        <v>Mochammad Fadhillah Hakim,</v>
      </c>
      <c r="N4956" s="6" t="str">
        <f>IFERROR(__xludf.DUMMYFUNCTION("""COMPUTED_VALUE"""),"FIP Engineering")</f>
        <v>FIP Engineering</v>
      </c>
      <c r="O4956" s="6" t="str">
        <f>IFERROR(__xludf.DUMMYFUNCTION("""COMPUTED_VALUE"""),"FIP-DOM-000-11304-OS00001-INA-000000")</f>
        <v>FIP-DOM-000-11304-OS00001-INA-000000</v>
      </c>
      <c r="P4956" s="6" t="str">
        <f>IFERROR(__xludf.DUMMYFUNCTION("""COMPUTED_VALUE"""),"PO Closed")</f>
        <v>PO Closed</v>
      </c>
      <c r="Q4956" s="6" t="str">
        <f>IFERROR(__xludf.DUMMYFUNCTION("""COMPUTED_VALUE"""),"GL2603479")</f>
        <v>GL2603479</v>
      </c>
      <c r="R4956" s="57">
        <f>IFERROR(__xludf.DUMMYFUNCTION("""COMPUTED_VALUE"""),46085.0)</f>
        <v>46085</v>
      </c>
      <c r="S4956" s="57">
        <f>IFERROR(__xludf.DUMMYFUNCTION("""COMPUTED_VALUE"""),46086.0)</f>
        <v>46086</v>
      </c>
      <c r="T4956" s="57">
        <f>IFERROR(__xludf.DUMMYFUNCTION("""COMPUTED_VALUE"""),46152.0)</f>
        <v>46152</v>
      </c>
    </row>
    <row r="4957">
      <c r="A4957" s="6" t="str">
        <f>IFERROR(__xludf.DUMMYFUNCTION("""COMPUTED_VALUE"""),"121703951-1")</f>
        <v>121703951-1</v>
      </c>
      <c r="B4957" s="6" t="str">
        <f>IFERROR(__xludf.DUMMYFUNCTION("""COMPUTED_VALUE"""),"121703951 - APPROVED")</f>
        <v>121703951 - APPROVED</v>
      </c>
      <c r="C4957" s="6">
        <f>IFERROR(__xludf.DUMMYFUNCTION("""COMPUTED_VALUE"""),1.0)</f>
        <v>1</v>
      </c>
      <c r="D4957" s="6" t="str">
        <f>IFERROR(__xludf.DUMMYFUNCTION("""COMPUTED_VALUE"""),"O-15912-00")</f>
        <v>O-15912-00</v>
      </c>
      <c r="E4957" s="6" t="str">
        <f>IFERROR(__xludf.DUMMYFUNCTION("""COMPUTED_VALUE"""),"Fedegari FVA2/A1 - CLAMP DN34-DN35 (MICROCASTED); Code : GM100094; ; ;")</f>
        <v>Fedegari FVA2/A1 - CLAMP DN34-DN35 (MICROCASTED); Code : GM100094; ; ;</v>
      </c>
      <c r="F4957" s="6">
        <f>IFERROR(__xludf.DUMMYFUNCTION("""COMPUTED_VALUE"""),2.0)</f>
        <v>2</v>
      </c>
      <c r="G4957" s="6" t="str">
        <f>IFERROR(__xludf.DUMMYFUNCTION("""COMPUTED_VALUE"""),"Unit")</f>
        <v>Unit</v>
      </c>
      <c r="H4957" s="6" t="str">
        <f>IFERROR(__xludf.DUMMYFUNCTION("""COMPUTED_VALUE"""),"IDR")</f>
        <v>IDR</v>
      </c>
      <c r="I4957" s="6">
        <f>IFERROR(__xludf.DUMMYFUNCTION("""COMPUTED_VALUE"""),853000.0)</f>
        <v>853000</v>
      </c>
      <c r="J4957" s="6">
        <f>IFERROR(__xludf.DUMMYFUNCTION("""COMPUTED_VALUE"""),1706000.0)</f>
        <v>1706000</v>
      </c>
      <c r="K4957" s="57">
        <f>IFERROR(__xludf.DUMMYFUNCTION("""COMPUTED_VALUE"""),46150.0)</f>
        <v>46150</v>
      </c>
      <c r="L4957" s="6" t="str">
        <f>IFERROR(__xludf.DUMMYFUNCTION("""COMPUTED_VALUE"""),"FIP Engineering")</f>
        <v>FIP Engineering</v>
      </c>
      <c r="M4957" s="6" t="str">
        <f>IFERROR(__xludf.DUMMYFUNCTION("""COMPUTED_VALUE"""),"Mochammad Fadhillah Hakim,")</f>
        <v>Mochammad Fadhillah Hakim,</v>
      </c>
      <c r="N4957" s="6" t="str">
        <f>IFERROR(__xludf.DUMMYFUNCTION("""COMPUTED_VALUE"""),"FIP Engineering")</f>
        <v>FIP Engineering</v>
      </c>
      <c r="O4957" s="6" t="str">
        <f>IFERROR(__xludf.DUMMYFUNCTION("""COMPUTED_VALUE"""),"FIP-DOM-000-11304-OS00001-INA-000000")</f>
        <v>FIP-DOM-000-11304-OS00001-INA-000000</v>
      </c>
      <c r="P4957" s="6" t="str">
        <f>IFERROR(__xludf.DUMMYFUNCTION("""COMPUTED_VALUE"""),"PO Closed")</f>
        <v>PO Closed</v>
      </c>
      <c r="Q4957" s="6" t="str">
        <f>IFERROR(__xludf.DUMMYFUNCTION("""COMPUTED_VALUE"""),"GL2603453")</f>
        <v>GL2603453</v>
      </c>
      <c r="R4957" s="57">
        <f>IFERROR(__xludf.DUMMYFUNCTION("""COMPUTED_VALUE"""),46085.0)</f>
        <v>46085</v>
      </c>
      <c r="S4957" s="57">
        <f>IFERROR(__xludf.DUMMYFUNCTION("""COMPUTED_VALUE"""),46085.0)</f>
        <v>46085</v>
      </c>
      <c r="T4957" s="57">
        <f>IFERROR(__xludf.DUMMYFUNCTION("""COMPUTED_VALUE"""),46178.0)</f>
        <v>46178</v>
      </c>
    </row>
    <row r="4958">
      <c r="A4958" s="6" t="str">
        <f>IFERROR(__xludf.DUMMYFUNCTION("""COMPUTED_VALUE"""),"121703952-1")</f>
        <v>121703952-1</v>
      </c>
      <c r="B4958" s="6" t="str">
        <f>IFERROR(__xludf.DUMMYFUNCTION("""COMPUTED_VALUE"""),"121703952 - APPROVED")</f>
        <v>121703952 - APPROVED</v>
      </c>
      <c r="C4958" s="6">
        <f>IFERROR(__xludf.DUMMYFUNCTION("""COMPUTED_VALUE"""),1.0)</f>
        <v>1</v>
      </c>
      <c r="D4958" s="6" t="str">
        <f>IFERROR(__xludf.DUMMYFUNCTION("""COMPUTED_VALUE"""),"O-19901-00")</f>
        <v>O-19901-00</v>
      </c>
      <c r="E4958" s="6" t="str">
        <f>IFERROR(__xludf.DUMMYFUNCTION("""COMPUTED_VALUE"""),"Freeze Dryer MBE1207 - New Seat Valve Dia 36x22x7; Custom/Lokal; -; 1 pc")</f>
        <v>Freeze Dryer MBE1207 - New Seat Valve Dia 36x22x7; Custom/Lokal; -; 1 pc</v>
      </c>
      <c r="F4958" s="6">
        <f>IFERROR(__xludf.DUMMYFUNCTION("""COMPUTED_VALUE"""),2.0)</f>
        <v>2</v>
      </c>
      <c r="G4958" s="6" t="str">
        <f>IFERROR(__xludf.DUMMYFUNCTION("""COMPUTED_VALUE"""),"Set")</f>
        <v>Set</v>
      </c>
      <c r="H4958" s="6" t="str">
        <f>IFERROR(__xludf.DUMMYFUNCTION("""COMPUTED_VALUE"""),"IDR")</f>
        <v>IDR</v>
      </c>
      <c r="I4958" s="6">
        <f>IFERROR(__xludf.DUMMYFUNCTION("""COMPUTED_VALUE"""),1184000.0)</f>
        <v>1184000</v>
      </c>
      <c r="J4958" s="6">
        <f>IFERROR(__xludf.DUMMYFUNCTION("""COMPUTED_VALUE"""),2368000.0)</f>
        <v>2368000</v>
      </c>
      <c r="K4958" s="57">
        <f>IFERROR(__xludf.DUMMYFUNCTION("""COMPUTED_VALUE"""),46122.0)</f>
        <v>46122</v>
      </c>
      <c r="L4958" s="6" t="str">
        <f>IFERROR(__xludf.DUMMYFUNCTION("""COMPUTED_VALUE"""),"FIP Engineering")</f>
        <v>FIP Engineering</v>
      </c>
      <c r="M4958" s="6" t="str">
        <f>IFERROR(__xludf.DUMMYFUNCTION("""COMPUTED_VALUE"""),"Mochammad Fadhillah Hakim,")</f>
        <v>Mochammad Fadhillah Hakim,</v>
      </c>
      <c r="N4958" s="6" t="str">
        <f>IFERROR(__xludf.DUMMYFUNCTION("""COMPUTED_VALUE"""),"FIP Engineering")</f>
        <v>FIP Engineering</v>
      </c>
      <c r="O4958" s="6" t="str">
        <f>IFERROR(__xludf.DUMMYFUNCTION("""COMPUTED_VALUE"""),"FIP-DOM-000-11304-OS00001-INA-000000")</f>
        <v>FIP-DOM-000-11304-OS00001-INA-000000</v>
      </c>
      <c r="P4958" s="6" t="str">
        <f>IFERROR(__xludf.DUMMYFUNCTION("""COMPUTED_VALUE"""),"PO Closed")</f>
        <v>PO Closed</v>
      </c>
      <c r="Q4958" s="6" t="str">
        <f>IFERROR(__xludf.DUMMYFUNCTION("""COMPUTED_VALUE"""),"GL2603480")</f>
        <v>GL2603480</v>
      </c>
      <c r="R4958" s="57">
        <f>IFERROR(__xludf.DUMMYFUNCTION("""COMPUTED_VALUE"""),46085.0)</f>
        <v>46085</v>
      </c>
      <c r="S4958" s="57">
        <f>IFERROR(__xludf.DUMMYFUNCTION("""COMPUTED_VALUE"""),46086.0)</f>
        <v>46086</v>
      </c>
      <c r="T4958" s="57">
        <f>IFERROR(__xludf.DUMMYFUNCTION("""COMPUTED_VALUE"""),46142.0)</f>
        <v>46142</v>
      </c>
    </row>
    <row r="4959">
      <c r="A4959" s="6" t="str">
        <f>IFERROR(__xludf.DUMMYFUNCTION("""COMPUTED_VALUE"""),"121703953-1")</f>
        <v>121703953-1</v>
      </c>
      <c r="B4959" s="6" t="str">
        <f>IFERROR(__xludf.DUMMYFUNCTION("""COMPUTED_VALUE"""),"121703953 - APPROVED")</f>
        <v>121703953 - APPROVED</v>
      </c>
      <c r="C4959" s="6">
        <f>IFERROR(__xludf.DUMMYFUNCTION("""COMPUTED_VALUE"""),1.0)</f>
        <v>1</v>
      </c>
      <c r="D4959" s="6" t="str">
        <f>IFERROR(__xludf.DUMMYFUNCTION("""COMPUTED_VALUE"""),"P-51889-00")</f>
        <v>P-51889-00</v>
      </c>
      <c r="E4959" s="6" t="str">
        <f>IFERROR(__xludf.DUMMYFUNCTION("""COMPUTED_VALUE"""),"General - Power Supply SPA-050-24VDC; Autonics; -; 1 pc")</f>
        <v>General - Power Supply SPA-050-24VDC; Autonics; -; 1 pc</v>
      </c>
      <c r="F4959" s="6">
        <f>IFERROR(__xludf.DUMMYFUNCTION("""COMPUTED_VALUE"""),5.0)</f>
        <v>5</v>
      </c>
      <c r="G4959" s="6" t="str">
        <f>IFERROR(__xludf.DUMMYFUNCTION("""COMPUTED_VALUE"""),"Pieces")</f>
        <v>Pieces</v>
      </c>
      <c r="H4959" s="6" t="str">
        <f>IFERROR(__xludf.DUMMYFUNCTION("""COMPUTED_VALUE"""),"IDR")</f>
        <v>IDR</v>
      </c>
      <c r="I4959" s="6">
        <f>IFERROR(__xludf.DUMMYFUNCTION("""COMPUTED_VALUE"""),719200.0)</f>
        <v>719200</v>
      </c>
      <c r="J4959" s="6">
        <f>IFERROR(__xludf.DUMMYFUNCTION("""COMPUTED_VALUE"""),3596000.0)</f>
        <v>3596000</v>
      </c>
      <c r="K4959" s="57">
        <f>IFERROR(__xludf.DUMMYFUNCTION("""COMPUTED_VALUE"""),46122.0)</f>
        <v>46122</v>
      </c>
      <c r="L4959" s="6" t="str">
        <f>IFERROR(__xludf.DUMMYFUNCTION("""COMPUTED_VALUE"""),"FIP Engineering")</f>
        <v>FIP Engineering</v>
      </c>
      <c r="M4959" s="6" t="str">
        <f>IFERROR(__xludf.DUMMYFUNCTION("""COMPUTED_VALUE"""),"Mochammad Fadhillah Hakim,")</f>
        <v>Mochammad Fadhillah Hakim,</v>
      </c>
      <c r="N4959" s="6" t="str">
        <f>IFERROR(__xludf.DUMMYFUNCTION("""COMPUTED_VALUE"""),"FIP Engineering")</f>
        <v>FIP Engineering</v>
      </c>
      <c r="O4959" s="6" t="str">
        <f>IFERROR(__xludf.DUMMYFUNCTION("""COMPUTED_VALUE"""),"FIP-DOM-000-11304-OS00001-INA-000000")</f>
        <v>FIP-DOM-000-11304-OS00001-INA-000000</v>
      </c>
      <c r="P4959" s="6" t="str">
        <f>IFERROR(__xludf.DUMMYFUNCTION("""COMPUTED_VALUE"""),"PO Closed")</f>
        <v>PO Closed</v>
      </c>
      <c r="Q4959" s="6" t="str">
        <f>IFERROR(__xludf.DUMMYFUNCTION("""COMPUTED_VALUE"""),"GL2604002")</f>
        <v>GL2604002</v>
      </c>
      <c r="R4959" s="57">
        <f>IFERROR(__xludf.DUMMYFUNCTION("""COMPUTED_VALUE"""),46085.0)</f>
        <v>46085</v>
      </c>
      <c r="S4959" s="57">
        <f>IFERROR(__xludf.DUMMYFUNCTION("""COMPUTED_VALUE"""),46086.0)</f>
        <v>46086</v>
      </c>
      <c r="T4959" s="57">
        <f>IFERROR(__xludf.DUMMYFUNCTION("""COMPUTED_VALUE"""),46132.0)</f>
        <v>46132</v>
      </c>
    </row>
    <row r="4960">
      <c r="A4960" s="6" t="str">
        <f>IFERROR(__xludf.DUMMYFUNCTION("""COMPUTED_VALUE"""),"121703954-1")</f>
        <v>121703954-1</v>
      </c>
      <c r="B4960" s="6" t="str">
        <f>IFERROR(__xludf.DUMMYFUNCTION("""COMPUTED_VALUE"""),"121703954 - APPROVED")</f>
        <v>121703954 - APPROVED</v>
      </c>
      <c r="C4960" s="6">
        <f>IFERROR(__xludf.DUMMYFUNCTION("""COMPUTED_VALUE"""),1.0)</f>
        <v>1</v>
      </c>
      <c r="D4960" s="6" t="str">
        <f>IFERROR(__xludf.DUMMYFUNCTION("""COMPUTED_VALUE"""),"P-14950-00")</f>
        <v>P-14950-00</v>
      </c>
      <c r="E4960" s="6" t="str">
        <f>IFERROR(__xludf.DUMMYFUNCTION("""COMPUTED_VALUE"""),"General - KQ2 Fitting, KQ2T04-00A; SMC Pneumatics; -; 10 pcs per pack")</f>
        <v>General - KQ2 Fitting, KQ2T04-00A; SMC Pneumatics; -; 10 pcs per pack</v>
      </c>
      <c r="F4960" s="6">
        <f>IFERROR(__xludf.DUMMYFUNCTION("""COMPUTED_VALUE"""),4.0)</f>
        <v>4</v>
      </c>
      <c r="G4960" s="6" t="str">
        <f>IFERROR(__xludf.DUMMYFUNCTION("""COMPUTED_VALUE"""),"Pieces")</f>
        <v>Pieces</v>
      </c>
      <c r="H4960" s="6" t="str">
        <f>IFERROR(__xludf.DUMMYFUNCTION("""COMPUTED_VALUE"""),"IDR")</f>
        <v>IDR</v>
      </c>
      <c r="I4960" s="6">
        <f>IFERROR(__xludf.DUMMYFUNCTION("""COMPUTED_VALUE"""),39000.0)</f>
        <v>39000</v>
      </c>
      <c r="J4960" s="6">
        <f>IFERROR(__xludf.DUMMYFUNCTION("""COMPUTED_VALUE"""),156000.0)</f>
        <v>156000</v>
      </c>
      <c r="K4960" s="57">
        <f>IFERROR(__xludf.DUMMYFUNCTION("""COMPUTED_VALUE"""),46122.0)</f>
        <v>46122</v>
      </c>
      <c r="L4960" s="6" t="str">
        <f>IFERROR(__xludf.DUMMYFUNCTION("""COMPUTED_VALUE"""),"FIP Engineering")</f>
        <v>FIP Engineering</v>
      </c>
      <c r="M4960" s="6" t="str">
        <f>IFERROR(__xludf.DUMMYFUNCTION("""COMPUTED_VALUE"""),"Mochammad Fadhillah Hakim,")</f>
        <v>Mochammad Fadhillah Hakim,</v>
      </c>
      <c r="N4960" s="6" t="str">
        <f>IFERROR(__xludf.DUMMYFUNCTION("""COMPUTED_VALUE"""),"FIP Engineering")</f>
        <v>FIP Engineering</v>
      </c>
      <c r="O4960" s="6" t="str">
        <f>IFERROR(__xludf.DUMMYFUNCTION("""COMPUTED_VALUE"""),"FIP-DOM-000-11304-OS00001-INA-000000")</f>
        <v>FIP-DOM-000-11304-OS00001-INA-000000</v>
      </c>
      <c r="P4960" s="6" t="str">
        <f>IFERROR(__xludf.DUMMYFUNCTION("""COMPUTED_VALUE"""),"PO Closed")</f>
        <v>PO Closed</v>
      </c>
      <c r="Q4960" s="6" t="str">
        <f>IFERROR(__xludf.DUMMYFUNCTION("""COMPUTED_VALUE"""),"GL2603440")</f>
        <v>GL2603440</v>
      </c>
      <c r="R4960" s="57">
        <f>IFERROR(__xludf.DUMMYFUNCTION("""COMPUTED_VALUE"""),46085.0)</f>
        <v>46085</v>
      </c>
      <c r="S4960" s="57">
        <f>IFERROR(__xludf.DUMMYFUNCTION("""COMPUTED_VALUE"""),46085.0)</f>
        <v>46085</v>
      </c>
      <c r="T4960" s="57">
        <f>IFERROR(__xludf.DUMMYFUNCTION("""COMPUTED_VALUE"""),46122.0)</f>
        <v>46122</v>
      </c>
    </row>
    <row r="4961">
      <c r="A4961" s="6" t="str">
        <f>IFERROR(__xludf.DUMMYFUNCTION("""COMPUTED_VALUE"""),"121703954-2")</f>
        <v>121703954-2</v>
      </c>
      <c r="B4961" s="6" t="str">
        <f>IFERROR(__xludf.DUMMYFUNCTION("""COMPUTED_VALUE"""),"121703954 - APPROVED")</f>
        <v>121703954 - APPROVED</v>
      </c>
      <c r="C4961" s="6">
        <f>IFERROR(__xludf.DUMMYFUNCTION("""COMPUTED_VALUE"""),2.0)</f>
        <v>2</v>
      </c>
      <c r="D4961" s="6" t="str">
        <f>IFERROR(__xludf.DUMMYFUNCTION("""COMPUTED_VALUE"""),"P-14956-00")</f>
        <v>P-14956-00</v>
      </c>
      <c r="E4961" s="6" t="str">
        <f>IFERROR(__xludf.DUMMYFUNCTION("""COMPUTED_VALUE"""),"General - Straight Union KQ2H06-00A; No Brand; -; 1 Pc")</f>
        <v>General - Straight Union KQ2H06-00A; No Brand; -; 1 Pc</v>
      </c>
      <c r="F4961" s="6">
        <f>IFERROR(__xludf.DUMMYFUNCTION("""COMPUTED_VALUE"""),6.0)</f>
        <v>6</v>
      </c>
      <c r="G4961" s="6" t="str">
        <f>IFERROR(__xludf.DUMMYFUNCTION("""COMPUTED_VALUE"""),"Pieces")</f>
        <v>Pieces</v>
      </c>
      <c r="H4961" s="6" t="str">
        <f>IFERROR(__xludf.DUMMYFUNCTION("""COMPUTED_VALUE"""),"IDR")</f>
        <v>IDR</v>
      </c>
      <c r="I4961" s="6">
        <f>IFERROR(__xludf.DUMMYFUNCTION("""COMPUTED_VALUE"""),29000.0)</f>
        <v>29000</v>
      </c>
      <c r="J4961" s="6">
        <f>IFERROR(__xludf.DUMMYFUNCTION("""COMPUTED_VALUE"""),174000.0)</f>
        <v>174000</v>
      </c>
      <c r="K4961" s="57">
        <f>IFERROR(__xludf.DUMMYFUNCTION("""COMPUTED_VALUE"""),46122.0)</f>
        <v>46122</v>
      </c>
      <c r="L4961" s="6" t="str">
        <f>IFERROR(__xludf.DUMMYFUNCTION("""COMPUTED_VALUE"""),"FIP Engineering")</f>
        <v>FIP Engineering</v>
      </c>
      <c r="M4961" s="6" t="str">
        <f>IFERROR(__xludf.DUMMYFUNCTION("""COMPUTED_VALUE"""),"Mochammad Fadhillah Hakim,")</f>
        <v>Mochammad Fadhillah Hakim,</v>
      </c>
      <c r="N4961" s="6" t="str">
        <f>IFERROR(__xludf.DUMMYFUNCTION("""COMPUTED_VALUE"""),"FIP Engineering")</f>
        <v>FIP Engineering</v>
      </c>
      <c r="O4961" s="6" t="str">
        <f>IFERROR(__xludf.DUMMYFUNCTION("""COMPUTED_VALUE"""),"FIP-DOM-000-11304-OS00001-INA-000000")</f>
        <v>FIP-DOM-000-11304-OS00001-INA-000000</v>
      </c>
      <c r="P4961" s="6" t="str">
        <f>IFERROR(__xludf.DUMMYFUNCTION("""COMPUTED_VALUE"""),"PO Closed")</f>
        <v>PO Closed</v>
      </c>
      <c r="Q4961" s="6" t="str">
        <f>IFERROR(__xludf.DUMMYFUNCTION("""COMPUTED_VALUE"""),"GL2603440")</f>
        <v>GL2603440</v>
      </c>
      <c r="R4961" s="57">
        <f>IFERROR(__xludf.DUMMYFUNCTION("""COMPUTED_VALUE"""),46085.0)</f>
        <v>46085</v>
      </c>
      <c r="S4961" s="57">
        <f>IFERROR(__xludf.DUMMYFUNCTION("""COMPUTED_VALUE"""),46085.0)</f>
        <v>46085</v>
      </c>
      <c r="T4961" s="57">
        <f>IFERROR(__xludf.DUMMYFUNCTION("""COMPUTED_VALUE"""),46122.0)</f>
        <v>46122</v>
      </c>
    </row>
    <row r="4962">
      <c r="A4962" s="6" t="str">
        <f>IFERROR(__xludf.DUMMYFUNCTION("""COMPUTED_VALUE"""),"121703954-3")</f>
        <v>121703954-3</v>
      </c>
      <c r="B4962" s="6" t="str">
        <f>IFERROR(__xludf.DUMMYFUNCTION("""COMPUTED_VALUE"""),"121703954 - APPROVED")</f>
        <v>121703954 - APPROVED</v>
      </c>
      <c r="C4962" s="6">
        <f>IFERROR(__xludf.DUMMYFUNCTION("""COMPUTED_VALUE"""),3.0)</f>
        <v>3</v>
      </c>
      <c r="D4962" s="6" t="str">
        <f>IFERROR(__xludf.DUMMYFUNCTION("""COMPUTED_VALUE"""),"P-14953-00")</f>
        <v>P-14953-00</v>
      </c>
      <c r="E4962" s="6" t="str">
        <f>IFERROR(__xludf.DUMMYFUNCTION("""COMPUTED_VALUE"""),"Straight Reducer KQ2H04-06A; ; ;")</f>
        <v>Straight Reducer KQ2H04-06A; ; ;</v>
      </c>
      <c r="F4962" s="6">
        <f>IFERROR(__xludf.DUMMYFUNCTION("""COMPUTED_VALUE"""),6.0)</f>
        <v>6</v>
      </c>
      <c r="G4962" s="6" t="str">
        <f>IFERROR(__xludf.DUMMYFUNCTION("""COMPUTED_VALUE"""),"Pieces")</f>
        <v>Pieces</v>
      </c>
      <c r="H4962" s="6" t="str">
        <f>IFERROR(__xludf.DUMMYFUNCTION("""COMPUTED_VALUE"""),"IDR")</f>
        <v>IDR</v>
      </c>
      <c r="I4962" s="6">
        <f>IFERROR(__xludf.DUMMYFUNCTION("""COMPUTED_VALUE"""),32738.0)</f>
        <v>32738</v>
      </c>
      <c r="J4962" s="6">
        <f>IFERROR(__xludf.DUMMYFUNCTION("""COMPUTED_VALUE"""),196428.0)</f>
        <v>196428</v>
      </c>
      <c r="K4962" s="57">
        <f>IFERROR(__xludf.DUMMYFUNCTION("""COMPUTED_VALUE"""),46122.0)</f>
        <v>46122</v>
      </c>
      <c r="L4962" s="6" t="str">
        <f>IFERROR(__xludf.DUMMYFUNCTION("""COMPUTED_VALUE"""),"FIP Engineering")</f>
        <v>FIP Engineering</v>
      </c>
      <c r="M4962" s="6" t="str">
        <f>IFERROR(__xludf.DUMMYFUNCTION("""COMPUTED_VALUE"""),"Mochammad Fadhillah Hakim,")</f>
        <v>Mochammad Fadhillah Hakim,</v>
      </c>
      <c r="N4962" s="6" t="str">
        <f>IFERROR(__xludf.DUMMYFUNCTION("""COMPUTED_VALUE"""),"FIP Engineering")</f>
        <v>FIP Engineering</v>
      </c>
      <c r="O4962" s="6" t="str">
        <f>IFERROR(__xludf.DUMMYFUNCTION("""COMPUTED_VALUE"""),"FIP-DOM-000-11304-OS00001-INA-000000")</f>
        <v>FIP-DOM-000-11304-OS00001-INA-000000</v>
      </c>
      <c r="P4962" s="6" t="str">
        <f>IFERROR(__xludf.DUMMYFUNCTION("""COMPUTED_VALUE"""),"PO Closed")</f>
        <v>PO Closed</v>
      </c>
      <c r="Q4962" s="6" t="str">
        <f>IFERROR(__xludf.DUMMYFUNCTION("""COMPUTED_VALUE"""),"GL2603440")</f>
        <v>GL2603440</v>
      </c>
      <c r="R4962" s="57">
        <f>IFERROR(__xludf.DUMMYFUNCTION("""COMPUTED_VALUE"""),46085.0)</f>
        <v>46085</v>
      </c>
      <c r="S4962" s="57">
        <f>IFERROR(__xludf.DUMMYFUNCTION("""COMPUTED_VALUE"""),46085.0)</f>
        <v>46085</v>
      </c>
      <c r="T4962" s="57">
        <f>IFERROR(__xludf.DUMMYFUNCTION("""COMPUTED_VALUE"""),46122.0)</f>
        <v>46122</v>
      </c>
    </row>
    <row r="4963">
      <c r="A4963" s="6" t="str">
        <f>IFERROR(__xludf.DUMMYFUNCTION("""COMPUTED_VALUE"""),"121703954-4")</f>
        <v>121703954-4</v>
      </c>
      <c r="B4963" s="6" t="str">
        <f>IFERROR(__xludf.DUMMYFUNCTION("""COMPUTED_VALUE"""),"121703954 - APPROVED")</f>
        <v>121703954 - APPROVED</v>
      </c>
      <c r="C4963" s="6">
        <f>IFERROR(__xludf.DUMMYFUNCTION("""COMPUTED_VALUE"""),4.0)</f>
        <v>4</v>
      </c>
      <c r="D4963" s="6" t="str">
        <f>IFERROR(__xludf.DUMMYFUNCTION("""COMPUTED_VALUE"""),"P-14954-00")</f>
        <v>P-14954-00</v>
      </c>
      <c r="E4963" s="6" t="str">
        <f>IFERROR(__xludf.DUMMYFUNCTION("""COMPUTED_VALUE"""),"Straight Reducer KQ2H06-08A; ; ;")</f>
        <v>Straight Reducer KQ2H06-08A; ; ;</v>
      </c>
      <c r="F4963" s="6">
        <f>IFERROR(__xludf.DUMMYFUNCTION("""COMPUTED_VALUE"""),6.0)</f>
        <v>6</v>
      </c>
      <c r="G4963" s="6" t="str">
        <f>IFERROR(__xludf.DUMMYFUNCTION("""COMPUTED_VALUE"""),"Pieces")</f>
        <v>Pieces</v>
      </c>
      <c r="H4963" s="6" t="str">
        <f>IFERROR(__xludf.DUMMYFUNCTION("""COMPUTED_VALUE"""),"IDR")</f>
        <v>IDR</v>
      </c>
      <c r="I4963" s="6">
        <f>IFERROR(__xludf.DUMMYFUNCTION("""COMPUTED_VALUE"""),32738.0)</f>
        <v>32738</v>
      </c>
      <c r="J4963" s="6">
        <f>IFERROR(__xludf.DUMMYFUNCTION("""COMPUTED_VALUE"""),196428.0)</f>
        <v>196428</v>
      </c>
      <c r="K4963" s="57">
        <f>IFERROR(__xludf.DUMMYFUNCTION("""COMPUTED_VALUE"""),46122.0)</f>
        <v>46122</v>
      </c>
      <c r="L4963" s="6" t="str">
        <f>IFERROR(__xludf.DUMMYFUNCTION("""COMPUTED_VALUE"""),"FIP Engineering")</f>
        <v>FIP Engineering</v>
      </c>
      <c r="M4963" s="6" t="str">
        <f>IFERROR(__xludf.DUMMYFUNCTION("""COMPUTED_VALUE"""),"Mochammad Fadhillah Hakim,")</f>
        <v>Mochammad Fadhillah Hakim,</v>
      </c>
      <c r="N4963" s="6" t="str">
        <f>IFERROR(__xludf.DUMMYFUNCTION("""COMPUTED_VALUE"""),"FIP Engineering")</f>
        <v>FIP Engineering</v>
      </c>
      <c r="O4963" s="6" t="str">
        <f>IFERROR(__xludf.DUMMYFUNCTION("""COMPUTED_VALUE"""),"FIP-DOM-000-11304-OS00001-INA-000000")</f>
        <v>FIP-DOM-000-11304-OS00001-INA-000000</v>
      </c>
      <c r="P4963" s="6" t="str">
        <f>IFERROR(__xludf.DUMMYFUNCTION("""COMPUTED_VALUE"""),"PO Closed")</f>
        <v>PO Closed</v>
      </c>
      <c r="Q4963" s="6" t="str">
        <f>IFERROR(__xludf.DUMMYFUNCTION("""COMPUTED_VALUE"""),"GL2603440")</f>
        <v>GL2603440</v>
      </c>
      <c r="R4963" s="57">
        <f>IFERROR(__xludf.DUMMYFUNCTION("""COMPUTED_VALUE"""),46085.0)</f>
        <v>46085</v>
      </c>
      <c r="S4963" s="57">
        <f>IFERROR(__xludf.DUMMYFUNCTION("""COMPUTED_VALUE"""),46085.0)</f>
        <v>46085</v>
      </c>
      <c r="T4963" s="57">
        <f>IFERROR(__xludf.DUMMYFUNCTION("""COMPUTED_VALUE"""),46122.0)</f>
        <v>46122</v>
      </c>
    </row>
    <row r="4964">
      <c r="A4964" s="6" t="str">
        <f>IFERROR(__xludf.DUMMYFUNCTION("""COMPUTED_VALUE"""),"121703954-5")</f>
        <v>121703954-5</v>
      </c>
      <c r="B4964" s="6" t="str">
        <f>IFERROR(__xludf.DUMMYFUNCTION("""COMPUTED_VALUE"""),"121703954 - APPROVED")</f>
        <v>121703954 - APPROVED</v>
      </c>
      <c r="C4964" s="6">
        <f>IFERROR(__xludf.DUMMYFUNCTION("""COMPUTED_VALUE"""),5.0)</f>
        <v>5</v>
      </c>
      <c r="D4964" s="6" t="str">
        <f>IFERROR(__xludf.DUMMYFUNCTION("""COMPUTED_VALUE"""),"P-14951-00")</f>
        <v>P-14951-00</v>
      </c>
      <c r="E4964" s="6" t="str">
        <f>IFERROR(__xludf.DUMMYFUNCTION("""COMPUTED_VALUE"""),"Fitting Union Tee KQ2T06-00A; ; ;")</f>
        <v>Fitting Union Tee KQ2T06-00A; ; ;</v>
      </c>
      <c r="F4964" s="6">
        <f>IFERROR(__xludf.DUMMYFUNCTION("""COMPUTED_VALUE"""),6.0)</f>
        <v>6</v>
      </c>
      <c r="G4964" s="6" t="str">
        <f>IFERROR(__xludf.DUMMYFUNCTION("""COMPUTED_VALUE"""),"Pieces")</f>
        <v>Pieces</v>
      </c>
      <c r="H4964" s="6" t="str">
        <f>IFERROR(__xludf.DUMMYFUNCTION("""COMPUTED_VALUE"""),"IDR")</f>
        <v>IDR</v>
      </c>
      <c r="I4964" s="6">
        <f>IFERROR(__xludf.DUMMYFUNCTION("""COMPUTED_VALUE"""),38070.0)</f>
        <v>38070</v>
      </c>
      <c r="J4964" s="6">
        <f>IFERROR(__xludf.DUMMYFUNCTION("""COMPUTED_VALUE"""),228420.0)</f>
        <v>228420</v>
      </c>
      <c r="K4964" s="57">
        <f>IFERROR(__xludf.DUMMYFUNCTION("""COMPUTED_VALUE"""),46122.0)</f>
        <v>46122</v>
      </c>
      <c r="L4964" s="6" t="str">
        <f>IFERROR(__xludf.DUMMYFUNCTION("""COMPUTED_VALUE"""),"FIP Engineering")</f>
        <v>FIP Engineering</v>
      </c>
      <c r="M4964" s="6" t="str">
        <f>IFERROR(__xludf.DUMMYFUNCTION("""COMPUTED_VALUE"""),"Mochammad Fadhillah Hakim,")</f>
        <v>Mochammad Fadhillah Hakim,</v>
      </c>
      <c r="N4964" s="6" t="str">
        <f>IFERROR(__xludf.DUMMYFUNCTION("""COMPUTED_VALUE"""),"FIP Engineering")</f>
        <v>FIP Engineering</v>
      </c>
      <c r="O4964" s="6" t="str">
        <f>IFERROR(__xludf.DUMMYFUNCTION("""COMPUTED_VALUE"""),"FIP-DOM-000-11304-OS00001-INA-000000")</f>
        <v>FIP-DOM-000-11304-OS00001-INA-000000</v>
      </c>
      <c r="P4964" s="6" t="str">
        <f>IFERROR(__xludf.DUMMYFUNCTION("""COMPUTED_VALUE"""),"PO Closed")</f>
        <v>PO Closed</v>
      </c>
      <c r="Q4964" s="6" t="str">
        <f>IFERROR(__xludf.DUMMYFUNCTION("""COMPUTED_VALUE"""),"GL2603440")</f>
        <v>GL2603440</v>
      </c>
      <c r="R4964" s="57">
        <f>IFERROR(__xludf.DUMMYFUNCTION("""COMPUTED_VALUE"""),46085.0)</f>
        <v>46085</v>
      </c>
      <c r="S4964" s="57">
        <f>IFERROR(__xludf.DUMMYFUNCTION("""COMPUTED_VALUE"""),46085.0)</f>
        <v>46085</v>
      </c>
      <c r="T4964" s="57">
        <f>IFERROR(__xludf.DUMMYFUNCTION("""COMPUTED_VALUE"""),46122.0)</f>
        <v>46122</v>
      </c>
    </row>
    <row r="4965">
      <c r="A4965" s="6" t="str">
        <f>IFERROR(__xludf.DUMMYFUNCTION("""COMPUTED_VALUE"""),"121703954-6")</f>
        <v>121703954-6</v>
      </c>
      <c r="B4965" s="6" t="str">
        <f>IFERROR(__xludf.DUMMYFUNCTION("""COMPUTED_VALUE"""),"121703954 - APPROVED")</f>
        <v>121703954 - APPROVED</v>
      </c>
      <c r="C4965" s="6">
        <f>IFERROR(__xludf.DUMMYFUNCTION("""COMPUTED_VALUE"""),6.0)</f>
        <v>6</v>
      </c>
      <c r="D4965" s="6" t="str">
        <f>IFERROR(__xludf.DUMMYFUNCTION("""COMPUTED_VALUE"""),"P-14949-00")</f>
        <v>P-14949-00</v>
      </c>
      <c r="E4965" s="6" t="str">
        <f>IFERROR(__xludf.DUMMYFUNCTION("""COMPUTED_VALUE"""),"Fitting Male Elbow KQ2L08-03AS; ; ;")</f>
        <v>Fitting Male Elbow KQ2L08-03AS; ; ;</v>
      </c>
      <c r="F4965" s="6">
        <f>IFERROR(__xludf.DUMMYFUNCTION("""COMPUTED_VALUE"""),6.0)</f>
        <v>6</v>
      </c>
      <c r="G4965" s="6" t="str">
        <f>IFERROR(__xludf.DUMMYFUNCTION("""COMPUTED_VALUE"""),"Pieces")</f>
        <v>Pieces</v>
      </c>
      <c r="H4965" s="6" t="str">
        <f>IFERROR(__xludf.DUMMYFUNCTION("""COMPUTED_VALUE"""),"IDR")</f>
        <v>IDR</v>
      </c>
      <c r="I4965" s="6">
        <f>IFERROR(__xludf.DUMMYFUNCTION("""COMPUTED_VALUE"""),40365.0)</f>
        <v>40365</v>
      </c>
      <c r="J4965" s="6">
        <f>IFERROR(__xludf.DUMMYFUNCTION("""COMPUTED_VALUE"""),242190.0)</f>
        <v>242190</v>
      </c>
      <c r="K4965" s="57">
        <f>IFERROR(__xludf.DUMMYFUNCTION("""COMPUTED_VALUE"""),46122.0)</f>
        <v>46122</v>
      </c>
      <c r="L4965" s="6" t="str">
        <f>IFERROR(__xludf.DUMMYFUNCTION("""COMPUTED_VALUE"""),"FIP Engineering")</f>
        <v>FIP Engineering</v>
      </c>
      <c r="M4965" s="6" t="str">
        <f>IFERROR(__xludf.DUMMYFUNCTION("""COMPUTED_VALUE"""),"Mochammad Fadhillah Hakim,")</f>
        <v>Mochammad Fadhillah Hakim,</v>
      </c>
      <c r="N4965" s="6" t="str">
        <f>IFERROR(__xludf.DUMMYFUNCTION("""COMPUTED_VALUE"""),"FIP Engineering")</f>
        <v>FIP Engineering</v>
      </c>
      <c r="O4965" s="6" t="str">
        <f>IFERROR(__xludf.DUMMYFUNCTION("""COMPUTED_VALUE"""),"FIP-DOM-000-11304-OS00001-INA-000000")</f>
        <v>FIP-DOM-000-11304-OS00001-INA-000000</v>
      </c>
      <c r="P4965" s="6" t="str">
        <f>IFERROR(__xludf.DUMMYFUNCTION("""COMPUTED_VALUE"""),"PO Closed")</f>
        <v>PO Closed</v>
      </c>
      <c r="Q4965" s="6" t="str">
        <f>IFERROR(__xludf.DUMMYFUNCTION("""COMPUTED_VALUE"""),"GL2603440")</f>
        <v>GL2603440</v>
      </c>
      <c r="R4965" s="57">
        <f>IFERROR(__xludf.DUMMYFUNCTION("""COMPUTED_VALUE"""),46085.0)</f>
        <v>46085</v>
      </c>
      <c r="S4965" s="57">
        <f>IFERROR(__xludf.DUMMYFUNCTION("""COMPUTED_VALUE"""),46085.0)</f>
        <v>46085</v>
      </c>
      <c r="T4965" s="57">
        <f>IFERROR(__xludf.DUMMYFUNCTION("""COMPUTED_VALUE"""),46122.0)</f>
        <v>46122</v>
      </c>
    </row>
    <row r="4966">
      <c r="A4966" s="6" t="str">
        <f>IFERROR(__xludf.DUMMYFUNCTION("""COMPUTED_VALUE"""),"121703954-7")</f>
        <v>121703954-7</v>
      </c>
      <c r="B4966" s="6" t="str">
        <f>IFERROR(__xludf.DUMMYFUNCTION("""COMPUTED_VALUE"""),"121703954 - APPROVED")</f>
        <v>121703954 - APPROVED</v>
      </c>
      <c r="C4966" s="6">
        <f>IFERROR(__xludf.DUMMYFUNCTION("""COMPUTED_VALUE"""),7.0)</f>
        <v>7</v>
      </c>
      <c r="D4966" s="6" t="str">
        <f>IFERROR(__xludf.DUMMYFUNCTION("""COMPUTED_VALUE"""),"P-14952-00")</f>
        <v>P-14952-00</v>
      </c>
      <c r="E4966" s="6" t="str">
        <f>IFERROR(__xludf.DUMMYFUNCTION("""COMPUTED_VALUE"""),"General - KQ2 Fitting, KQ2T08-00A; SMC Pneumatics; -; 10 pcs per pack")</f>
        <v>General - KQ2 Fitting, KQ2T08-00A; SMC Pneumatics; -; 10 pcs per pack</v>
      </c>
      <c r="F4966" s="6">
        <f>IFERROR(__xludf.DUMMYFUNCTION("""COMPUTED_VALUE"""),6.0)</f>
        <v>6</v>
      </c>
      <c r="G4966" s="6" t="str">
        <f>IFERROR(__xludf.DUMMYFUNCTION("""COMPUTED_VALUE"""),"Pieces")</f>
        <v>Pieces</v>
      </c>
      <c r="H4966" s="6" t="str">
        <f>IFERROR(__xludf.DUMMYFUNCTION("""COMPUTED_VALUE"""),"IDR")</f>
        <v>IDR</v>
      </c>
      <c r="I4966" s="6">
        <f>IFERROR(__xludf.DUMMYFUNCTION("""COMPUTED_VALUE"""),50000.0)</f>
        <v>50000</v>
      </c>
      <c r="J4966" s="6">
        <f>IFERROR(__xludf.DUMMYFUNCTION("""COMPUTED_VALUE"""),300000.0)</f>
        <v>300000</v>
      </c>
      <c r="K4966" s="57">
        <f>IFERROR(__xludf.DUMMYFUNCTION("""COMPUTED_VALUE"""),46122.0)</f>
        <v>46122</v>
      </c>
      <c r="L4966" s="6" t="str">
        <f>IFERROR(__xludf.DUMMYFUNCTION("""COMPUTED_VALUE"""),"FIP Engineering")</f>
        <v>FIP Engineering</v>
      </c>
      <c r="M4966" s="6" t="str">
        <f>IFERROR(__xludf.DUMMYFUNCTION("""COMPUTED_VALUE"""),"Mochammad Fadhillah Hakim,")</f>
        <v>Mochammad Fadhillah Hakim,</v>
      </c>
      <c r="N4966" s="6" t="str">
        <f>IFERROR(__xludf.DUMMYFUNCTION("""COMPUTED_VALUE"""),"FIP Engineering")</f>
        <v>FIP Engineering</v>
      </c>
      <c r="O4966" s="6" t="str">
        <f>IFERROR(__xludf.DUMMYFUNCTION("""COMPUTED_VALUE"""),"FIP-DOM-000-11304-OS00001-INA-000000")</f>
        <v>FIP-DOM-000-11304-OS00001-INA-000000</v>
      </c>
      <c r="P4966" s="6" t="str">
        <f>IFERROR(__xludf.DUMMYFUNCTION("""COMPUTED_VALUE"""),"PO Closed")</f>
        <v>PO Closed</v>
      </c>
      <c r="Q4966" s="6" t="str">
        <f>IFERROR(__xludf.DUMMYFUNCTION("""COMPUTED_VALUE"""),"GL2603440")</f>
        <v>GL2603440</v>
      </c>
      <c r="R4966" s="57">
        <f>IFERROR(__xludf.DUMMYFUNCTION("""COMPUTED_VALUE"""),46085.0)</f>
        <v>46085</v>
      </c>
      <c r="S4966" s="57">
        <f>IFERROR(__xludf.DUMMYFUNCTION("""COMPUTED_VALUE"""),46085.0)</f>
        <v>46085</v>
      </c>
      <c r="T4966" s="57">
        <f>IFERROR(__xludf.DUMMYFUNCTION("""COMPUTED_VALUE"""),46122.0)</f>
        <v>46122</v>
      </c>
    </row>
    <row r="4967">
      <c r="A4967" s="6" t="str">
        <f>IFERROR(__xludf.DUMMYFUNCTION("""COMPUTED_VALUE"""),"121703954-8")</f>
        <v>121703954-8</v>
      </c>
      <c r="B4967" s="6" t="str">
        <f>IFERROR(__xludf.DUMMYFUNCTION("""COMPUTED_VALUE"""),"121703954 - APPROVED")</f>
        <v>121703954 - APPROVED</v>
      </c>
      <c r="C4967" s="6">
        <f>IFERROR(__xludf.DUMMYFUNCTION("""COMPUTED_VALUE"""),8.0)</f>
        <v>8</v>
      </c>
      <c r="D4967" s="6" t="str">
        <f>IFERROR(__xludf.DUMMYFUNCTION("""COMPUTED_VALUE"""),"P-15076-00")</f>
        <v>P-15076-00</v>
      </c>
      <c r="E4967" s="6" t="str">
        <f>IFERROR(__xludf.DUMMYFUNCTION("""COMPUTED_VALUE"""),"Fitting KQ2H10-04AS; ; ;")</f>
        <v>Fitting KQ2H10-04AS; ; ;</v>
      </c>
      <c r="F4967" s="6">
        <f>IFERROR(__xludf.DUMMYFUNCTION("""COMPUTED_VALUE"""),10.0)</f>
        <v>10</v>
      </c>
      <c r="G4967" s="6" t="str">
        <f>IFERROR(__xludf.DUMMYFUNCTION("""COMPUTED_VALUE"""),"Pieces")</f>
        <v>Pieces</v>
      </c>
      <c r="H4967" s="6" t="str">
        <f>IFERROR(__xludf.DUMMYFUNCTION("""COMPUTED_VALUE"""),"IDR")</f>
        <v>IDR</v>
      </c>
      <c r="I4967" s="6">
        <f>IFERROR(__xludf.DUMMYFUNCTION("""COMPUTED_VALUE"""),37000.0)</f>
        <v>37000</v>
      </c>
      <c r="J4967" s="6">
        <f>IFERROR(__xludf.DUMMYFUNCTION("""COMPUTED_VALUE"""),370000.0)</f>
        <v>370000</v>
      </c>
      <c r="K4967" s="57">
        <f>IFERROR(__xludf.DUMMYFUNCTION("""COMPUTED_VALUE"""),46122.0)</f>
        <v>46122</v>
      </c>
      <c r="L4967" s="6" t="str">
        <f>IFERROR(__xludf.DUMMYFUNCTION("""COMPUTED_VALUE"""),"FIP Engineering")</f>
        <v>FIP Engineering</v>
      </c>
      <c r="M4967" s="6" t="str">
        <f>IFERROR(__xludf.DUMMYFUNCTION("""COMPUTED_VALUE"""),"Mochammad Fadhillah Hakim,")</f>
        <v>Mochammad Fadhillah Hakim,</v>
      </c>
      <c r="N4967" s="6" t="str">
        <f>IFERROR(__xludf.DUMMYFUNCTION("""COMPUTED_VALUE"""),"FIP Engineering")</f>
        <v>FIP Engineering</v>
      </c>
      <c r="O4967" s="6" t="str">
        <f>IFERROR(__xludf.DUMMYFUNCTION("""COMPUTED_VALUE"""),"FIP-DOM-000-11304-OS00001-INA-000000")</f>
        <v>FIP-DOM-000-11304-OS00001-INA-000000</v>
      </c>
      <c r="P4967" s="6" t="str">
        <f>IFERROR(__xludf.DUMMYFUNCTION("""COMPUTED_VALUE"""),"PO Closed")</f>
        <v>PO Closed</v>
      </c>
      <c r="Q4967" s="6" t="str">
        <f>IFERROR(__xludf.DUMMYFUNCTION("""COMPUTED_VALUE"""),"GL2603440")</f>
        <v>GL2603440</v>
      </c>
      <c r="R4967" s="57">
        <f>IFERROR(__xludf.DUMMYFUNCTION("""COMPUTED_VALUE"""),46085.0)</f>
        <v>46085</v>
      </c>
      <c r="S4967" s="57">
        <f>IFERROR(__xludf.DUMMYFUNCTION("""COMPUTED_VALUE"""),46085.0)</f>
        <v>46085</v>
      </c>
      <c r="T4967" s="57">
        <f>IFERROR(__xludf.DUMMYFUNCTION("""COMPUTED_VALUE"""),46122.0)</f>
        <v>46122</v>
      </c>
    </row>
    <row r="4968">
      <c r="A4968" s="6" t="str">
        <f>IFERROR(__xludf.DUMMYFUNCTION("""COMPUTED_VALUE"""),"121703954-9")</f>
        <v>121703954-9</v>
      </c>
      <c r="B4968" s="6" t="str">
        <f>IFERROR(__xludf.DUMMYFUNCTION("""COMPUTED_VALUE"""),"121703954 - APPROVED")</f>
        <v>121703954 - APPROVED</v>
      </c>
      <c r="C4968" s="6">
        <f>IFERROR(__xludf.DUMMYFUNCTION("""COMPUTED_VALUE"""),9.0)</f>
        <v>9</v>
      </c>
      <c r="D4968" s="6" t="str">
        <f>IFERROR(__xludf.DUMMYFUNCTION("""COMPUTED_VALUE"""),"P-15077-00")</f>
        <v>P-15077-00</v>
      </c>
      <c r="E4968" s="6" t="str">
        <f>IFERROR(__xludf.DUMMYFUNCTION("""COMPUTED_VALUE"""),"Fitting KQ2H06-03AS; ; ;")</f>
        <v>Fitting KQ2H06-03AS; ; ;</v>
      </c>
      <c r="F4968" s="6">
        <f>IFERROR(__xludf.DUMMYFUNCTION("""COMPUTED_VALUE"""),10.0)</f>
        <v>10</v>
      </c>
      <c r="G4968" s="6" t="str">
        <f>IFERROR(__xludf.DUMMYFUNCTION("""COMPUTED_VALUE"""),"Pieces")</f>
        <v>Pieces</v>
      </c>
      <c r="H4968" s="6" t="str">
        <f>IFERROR(__xludf.DUMMYFUNCTION("""COMPUTED_VALUE"""),"IDR")</f>
        <v>IDR</v>
      </c>
      <c r="I4968" s="6">
        <f>IFERROR(__xludf.DUMMYFUNCTION("""COMPUTED_VALUE"""),38000.0)</f>
        <v>38000</v>
      </c>
      <c r="J4968" s="6">
        <f>IFERROR(__xludf.DUMMYFUNCTION("""COMPUTED_VALUE"""),380000.0)</f>
        <v>380000</v>
      </c>
      <c r="K4968" s="57">
        <f>IFERROR(__xludf.DUMMYFUNCTION("""COMPUTED_VALUE"""),46122.0)</f>
        <v>46122</v>
      </c>
      <c r="L4968" s="6" t="str">
        <f>IFERROR(__xludf.DUMMYFUNCTION("""COMPUTED_VALUE"""),"FIP Engineering")</f>
        <v>FIP Engineering</v>
      </c>
      <c r="M4968" s="6" t="str">
        <f>IFERROR(__xludf.DUMMYFUNCTION("""COMPUTED_VALUE"""),"Mochammad Fadhillah Hakim,")</f>
        <v>Mochammad Fadhillah Hakim,</v>
      </c>
      <c r="N4968" s="6" t="str">
        <f>IFERROR(__xludf.DUMMYFUNCTION("""COMPUTED_VALUE"""),"FIP Engineering")</f>
        <v>FIP Engineering</v>
      </c>
      <c r="O4968" s="6" t="str">
        <f>IFERROR(__xludf.DUMMYFUNCTION("""COMPUTED_VALUE"""),"FIP-DOM-000-11304-OS00001-INA-000000")</f>
        <v>FIP-DOM-000-11304-OS00001-INA-000000</v>
      </c>
      <c r="P4968" s="6" t="str">
        <f>IFERROR(__xludf.DUMMYFUNCTION("""COMPUTED_VALUE"""),"PO Closed")</f>
        <v>PO Closed</v>
      </c>
      <c r="Q4968" s="6" t="str">
        <f>IFERROR(__xludf.DUMMYFUNCTION("""COMPUTED_VALUE"""),"GL2603440")</f>
        <v>GL2603440</v>
      </c>
      <c r="R4968" s="57">
        <f>IFERROR(__xludf.DUMMYFUNCTION("""COMPUTED_VALUE"""),46085.0)</f>
        <v>46085</v>
      </c>
      <c r="S4968" s="57">
        <f>IFERROR(__xludf.DUMMYFUNCTION("""COMPUTED_VALUE"""),46085.0)</f>
        <v>46085</v>
      </c>
      <c r="T4968" s="57">
        <f>IFERROR(__xludf.DUMMYFUNCTION("""COMPUTED_VALUE"""),46122.0)</f>
        <v>46122</v>
      </c>
    </row>
    <row r="4969">
      <c r="A4969" s="6" t="str">
        <f>IFERROR(__xludf.DUMMYFUNCTION("""COMPUTED_VALUE"""),"121703954-10")</f>
        <v>121703954-10</v>
      </c>
      <c r="B4969" s="6" t="str">
        <f>IFERROR(__xludf.DUMMYFUNCTION("""COMPUTED_VALUE"""),"121703954 - APPROVED")</f>
        <v>121703954 - APPROVED</v>
      </c>
      <c r="C4969" s="6">
        <f>IFERROR(__xludf.DUMMYFUNCTION("""COMPUTED_VALUE"""),10.0)</f>
        <v>10</v>
      </c>
      <c r="D4969" s="6" t="str">
        <f>IFERROR(__xludf.DUMMYFUNCTION("""COMPUTED_VALUE"""),"P-15433-00")</f>
        <v>P-15433-00</v>
      </c>
      <c r="E4969" s="6" t="str">
        <f>IFERROR(__xludf.DUMMYFUNCTION("""COMPUTED_VALUE"""),"General - Fitting KQ2E06-00A; SMC; -; 1 Pc")</f>
        <v>General - Fitting KQ2E06-00A; SMC; -; 1 Pc</v>
      </c>
      <c r="F4969" s="6">
        <f>IFERROR(__xludf.DUMMYFUNCTION("""COMPUTED_VALUE"""),10.0)</f>
        <v>10</v>
      </c>
      <c r="G4969" s="6" t="str">
        <f>IFERROR(__xludf.DUMMYFUNCTION("""COMPUTED_VALUE"""),"Pieces")</f>
        <v>Pieces</v>
      </c>
      <c r="H4969" s="6" t="str">
        <f>IFERROR(__xludf.DUMMYFUNCTION("""COMPUTED_VALUE"""),"IDR")</f>
        <v>IDR</v>
      </c>
      <c r="I4969" s="6">
        <f>IFERROR(__xludf.DUMMYFUNCTION("""COMPUTED_VALUE"""),53830.0)</f>
        <v>53830</v>
      </c>
      <c r="J4969" s="6">
        <f>IFERROR(__xludf.DUMMYFUNCTION("""COMPUTED_VALUE"""),538300.0)</f>
        <v>538300</v>
      </c>
      <c r="K4969" s="57">
        <f>IFERROR(__xludf.DUMMYFUNCTION("""COMPUTED_VALUE"""),46122.0)</f>
        <v>46122</v>
      </c>
      <c r="L4969" s="6" t="str">
        <f>IFERROR(__xludf.DUMMYFUNCTION("""COMPUTED_VALUE"""),"FIP Engineering")</f>
        <v>FIP Engineering</v>
      </c>
      <c r="M4969" s="6" t="str">
        <f>IFERROR(__xludf.DUMMYFUNCTION("""COMPUTED_VALUE"""),"Mochammad Fadhillah Hakim,")</f>
        <v>Mochammad Fadhillah Hakim,</v>
      </c>
      <c r="N4969" s="6" t="str">
        <f>IFERROR(__xludf.DUMMYFUNCTION("""COMPUTED_VALUE"""),"FIP Engineering")</f>
        <v>FIP Engineering</v>
      </c>
      <c r="O4969" s="6" t="str">
        <f>IFERROR(__xludf.DUMMYFUNCTION("""COMPUTED_VALUE"""),"FIP-DOM-000-11304-OS00001-INA-000000")</f>
        <v>FIP-DOM-000-11304-OS00001-INA-000000</v>
      </c>
      <c r="P4969" s="6" t="str">
        <f>IFERROR(__xludf.DUMMYFUNCTION("""COMPUTED_VALUE"""),"PO Closed")</f>
        <v>PO Closed</v>
      </c>
      <c r="Q4969" s="6" t="str">
        <f>IFERROR(__xludf.DUMMYFUNCTION("""COMPUTED_VALUE"""),"GL2603440")</f>
        <v>GL2603440</v>
      </c>
      <c r="R4969" s="57">
        <f>IFERROR(__xludf.DUMMYFUNCTION("""COMPUTED_VALUE"""),46085.0)</f>
        <v>46085</v>
      </c>
      <c r="S4969" s="57">
        <f>IFERROR(__xludf.DUMMYFUNCTION("""COMPUTED_VALUE"""),46085.0)</f>
        <v>46085</v>
      </c>
      <c r="T4969" s="57">
        <f>IFERROR(__xludf.DUMMYFUNCTION("""COMPUTED_VALUE"""),46122.0)</f>
        <v>46122</v>
      </c>
    </row>
    <row r="4970">
      <c r="A4970" s="6" t="str">
        <f>IFERROR(__xludf.DUMMYFUNCTION("""COMPUTED_VALUE"""),"121703956-1")</f>
        <v>121703956-1</v>
      </c>
      <c r="B4970" s="6" t="str">
        <f>IFERROR(__xludf.DUMMYFUNCTION("""COMPUTED_VALUE"""),"121703956 - APPROVED")</f>
        <v>121703956 - APPROVED</v>
      </c>
      <c r="C4970" s="6">
        <f>IFERROR(__xludf.DUMMYFUNCTION("""COMPUTED_VALUE"""),1.0)</f>
        <v>1</v>
      </c>
      <c r="D4970" s="6" t="str">
        <f>IFERROR(__xludf.DUMMYFUNCTION("""COMPUTED_VALUE"""),"P-15432-00")</f>
        <v>P-15432-00</v>
      </c>
      <c r="E4970" s="6" t="str">
        <f>IFERROR(__xludf.DUMMYFUNCTION("""COMPUTED_VALUE"""),"Fitting KQ2E08-00; ; ;")</f>
        <v>Fitting KQ2E08-00; ; ;</v>
      </c>
      <c r="F4970" s="6">
        <f>IFERROR(__xludf.DUMMYFUNCTION("""COMPUTED_VALUE"""),10.0)</f>
        <v>10</v>
      </c>
      <c r="G4970" s="6" t="str">
        <f>IFERROR(__xludf.DUMMYFUNCTION("""COMPUTED_VALUE"""),"Pieces")</f>
        <v>Pieces</v>
      </c>
      <c r="H4970" s="6" t="str">
        <f>IFERROR(__xludf.DUMMYFUNCTION("""COMPUTED_VALUE"""),"IDR")</f>
        <v>IDR</v>
      </c>
      <c r="I4970" s="6">
        <f>IFERROR(__xludf.DUMMYFUNCTION("""COMPUTED_VALUE"""),56000.0)</f>
        <v>56000</v>
      </c>
      <c r="J4970" s="6">
        <f>IFERROR(__xludf.DUMMYFUNCTION("""COMPUTED_VALUE"""),560000.0)</f>
        <v>560000</v>
      </c>
      <c r="K4970" s="57">
        <f>IFERROR(__xludf.DUMMYFUNCTION("""COMPUTED_VALUE"""),46122.0)</f>
        <v>46122</v>
      </c>
      <c r="L4970" s="6" t="str">
        <f>IFERROR(__xludf.DUMMYFUNCTION("""COMPUTED_VALUE"""),"FIP Engineering")</f>
        <v>FIP Engineering</v>
      </c>
      <c r="M4970" s="6" t="str">
        <f>IFERROR(__xludf.DUMMYFUNCTION("""COMPUTED_VALUE"""),"Mochammad Fadhillah Hakim,")</f>
        <v>Mochammad Fadhillah Hakim,</v>
      </c>
      <c r="N4970" s="6" t="str">
        <f>IFERROR(__xludf.DUMMYFUNCTION("""COMPUTED_VALUE"""),"FIP Engineering")</f>
        <v>FIP Engineering</v>
      </c>
      <c r="O4970" s="6" t="str">
        <f>IFERROR(__xludf.DUMMYFUNCTION("""COMPUTED_VALUE"""),"FIP-DOM-000-11304-OS00001-INA-000000")</f>
        <v>FIP-DOM-000-11304-OS00001-INA-000000</v>
      </c>
      <c r="P4970" s="6" t="str">
        <f>IFERROR(__xludf.DUMMYFUNCTION("""COMPUTED_VALUE"""),"PO Closed")</f>
        <v>PO Closed</v>
      </c>
      <c r="Q4970" s="6" t="str">
        <f>IFERROR(__xludf.DUMMYFUNCTION("""COMPUTED_VALUE"""),"GL2603440")</f>
        <v>GL2603440</v>
      </c>
      <c r="R4970" s="57">
        <f>IFERROR(__xludf.DUMMYFUNCTION("""COMPUTED_VALUE"""),46085.0)</f>
        <v>46085</v>
      </c>
      <c r="S4970" s="57">
        <f>IFERROR(__xludf.DUMMYFUNCTION("""COMPUTED_VALUE"""),46086.0)</f>
        <v>46086</v>
      </c>
      <c r="T4970" s="57">
        <f>IFERROR(__xludf.DUMMYFUNCTION("""COMPUTED_VALUE"""),46122.0)</f>
        <v>46122</v>
      </c>
    </row>
    <row r="4971">
      <c r="A4971" s="6" t="str">
        <f>IFERROR(__xludf.DUMMYFUNCTION("""COMPUTED_VALUE"""),"121703956-2")</f>
        <v>121703956-2</v>
      </c>
      <c r="B4971" s="6" t="str">
        <f>IFERROR(__xludf.DUMMYFUNCTION("""COMPUTED_VALUE"""),"121703956 - APPROVED")</f>
        <v>121703956 - APPROVED</v>
      </c>
      <c r="C4971" s="6">
        <f>IFERROR(__xludf.DUMMYFUNCTION("""COMPUTED_VALUE"""),2.0)</f>
        <v>2</v>
      </c>
      <c r="D4971" s="6" t="str">
        <f>IFERROR(__xludf.DUMMYFUNCTION("""COMPUTED_VALUE"""),"P-17668-00")</f>
        <v>P-17668-00</v>
      </c>
      <c r="E4971" s="6" t="str">
        <f>IFERROR(__xludf.DUMMYFUNCTION("""COMPUTED_VALUE"""),"General - Flow Control With Fitting, AS2002F-04; SMC Pneumatics; -; 1 pcs")</f>
        <v>General - Flow Control With Fitting, AS2002F-04; SMC Pneumatics; -; 1 pcs</v>
      </c>
      <c r="F4971" s="6">
        <f>IFERROR(__xludf.DUMMYFUNCTION("""COMPUTED_VALUE"""),10.0)</f>
        <v>10</v>
      </c>
      <c r="G4971" s="6" t="str">
        <f>IFERROR(__xludf.DUMMYFUNCTION("""COMPUTED_VALUE"""),"Pieces")</f>
        <v>Pieces</v>
      </c>
      <c r="H4971" s="6" t="str">
        <f>IFERROR(__xludf.DUMMYFUNCTION("""COMPUTED_VALUE"""),"IDR")</f>
        <v>IDR</v>
      </c>
      <c r="I4971" s="6">
        <f>IFERROR(__xludf.DUMMYFUNCTION("""COMPUTED_VALUE"""),194000.0)</f>
        <v>194000</v>
      </c>
      <c r="J4971" s="6">
        <f>IFERROR(__xludf.DUMMYFUNCTION("""COMPUTED_VALUE"""),1940000.0)</f>
        <v>1940000</v>
      </c>
      <c r="K4971" s="57">
        <f>IFERROR(__xludf.DUMMYFUNCTION("""COMPUTED_VALUE"""),46122.0)</f>
        <v>46122</v>
      </c>
      <c r="L4971" s="6" t="str">
        <f>IFERROR(__xludf.DUMMYFUNCTION("""COMPUTED_VALUE"""),"FIP Engineering")</f>
        <v>FIP Engineering</v>
      </c>
      <c r="M4971" s="6" t="str">
        <f>IFERROR(__xludf.DUMMYFUNCTION("""COMPUTED_VALUE"""),"Mochammad Fadhillah Hakim,")</f>
        <v>Mochammad Fadhillah Hakim,</v>
      </c>
      <c r="N4971" s="6" t="str">
        <f>IFERROR(__xludf.DUMMYFUNCTION("""COMPUTED_VALUE"""),"FIP Engineering")</f>
        <v>FIP Engineering</v>
      </c>
      <c r="O4971" s="6" t="str">
        <f>IFERROR(__xludf.DUMMYFUNCTION("""COMPUTED_VALUE"""),"FIP-DOM-000-11304-OS00001-INA-000000")</f>
        <v>FIP-DOM-000-11304-OS00001-INA-000000</v>
      </c>
      <c r="P4971" s="6" t="str">
        <f>IFERROR(__xludf.DUMMYFUNCTION("""COMPUTED_VALUE"""),"PO Closed")</f>
        <v>PO Closed</v>
      </c>
      <c r="Q4971" s="6" t="str">
        <f>IFERROR(__xludf.DUMMYFUNCTION("""COMPUTED_VALUE"""),"GL2603440")</f>
        <v>GL2603440</v>
      </c>
      <c r="R4971" s="57">
        <f>IFERROR(__xludf.DUMMYFUNCTION("""COMPUTED_VALUE"""),46085.0)</f>
        <v>46085</v>
      </c>
      <c r="S4971" s="57">
        <f>IFERROR(__xludf.DUMMYFUNCTION("""COMPUTED_VALUE"""),46086.0)</f>
        <v>46086</v>
      </c>
      <c r="T4971" s="57">
        <f>IFERROR(__xludf.DUMMYFUNCTION("""COMPUTED_VALUE"""),46122.0)</f>
        <v>46122</v>
      </c>
    </row>
    <row r="4972">
      <c r="A4972" s="6" t="str">
        <f>IFERROR(__xludf.DUMMYFUNCTION("""COMPUTED_VALUE"""),"121703956-3")</f>
        <v>121703956-3</v>
      </c>
      <c r="B4972" s="6" t="str">
        <f>IFERROR(__xludf.DUMMYFUNCTION("""COMPUTED_VALUE"""),"121703956 - APPROVED")</f>
        <v>121703956 - APPROVED</v>
      </c>
      <c r="C4972" s="6">
        <f>IFERROR(__xludf.DUMMYFUNCTION("""COMPUTED_VALUE"""),3.0)</f>
        <v>3</v>
      </c>
      <c r="D4972" s="6" t="str">
        <f>IFERROR(__xludf.DUMMYFUNCTION("""COMPUTED_VALUE"""),"P-14948-00")</f>
        <v>P-14948-00</v>
      </c>
      <c r="E4972" s="6" t="str">
        <f>IFERROR(__xludf.DUMMYFUNCTION("""COMPUTED_VALUE"""),"Fitting Male Elbow KQ2L08-02AS; ; ;")</f>
        <v>Fitting Male Elbow KQ2L08-02AS; ; ;</v>
      </c>
      <c r="F4972" s="6">
        <f>IFERROR(__xludf.DUMMYFUNCTION("""COMPUTED_VALUE"""),6.0)</f>
        <v>6</v>
      </c>
      <c r="G4972" s="6" t="str">
        <f>IFERROR(__xludf.DUMMYFUNCTION("""COMPUTED_VALUE"""),"Pieces")</f>
        <v>Pieces</v>
      </c>
      <c r="H4972" s="6" t="str">
        <f>IFERROR(__xludf.DUMMYFUNCTION("""COMPUTED_VALUE"""),"IDR")</f>
        <v>IDR</v>
      </c>
      <c r="I4972" s="6">
        <f>IFERROR(__xludf.DUMMYFUNCTION("""COMPUTED_VALUE"""),38070.0)</f>
        <v>38070</v>
      </c>
      <c r="J4972" s="6">
        <f>IFERROR(__xludf.DUMMYFUNCTION("""COMPUTED_VALUE"""),228420.0)</f>
        <v>228420</v>
      </c>
      <c r="K4972" s="57">
        <f>IFERROR(__xludf.DUMMYFUNCTION("""COMPUTED_VALUE"""),46122.0)</f>
        <v>46122</v>
      </c>
      <c r="L4972" s="6" t="str">
        <f>IFERROR(__xludf.DUMMYFUNCTION("""COMPUTED_VALUE"""),"FIP Engineering")</f>
        <v>FIP Engineering</v>
      </c>
      <c r="M4972" s="6" t="str">
        <f>IFERROR(__xludf.DUMMYFUNCTION("""COMPUTED_VALUE"""),"Mochammad Fadhillah Hakim,")</f>
        <v>Mochammad Fadhillah Hakim,</v>
      </c>
      <c r="N4972" s="6" t="str">
        <f>IFERROR(__xludf.DUMMYFUNCTION("""COMPUTED_VALUE"""),"FIP Engineering")</f>
        <v>FIP Engineering</v>
      </c>
      <c r="O4972" s="6" t="str">
        <f>IFERROR(__xludf.DUMMYFUNCTION("""COMPUTED_VALUE"""),"FIP-DOM-000-11304-OS00001-INA-000000")</f>
        <v>FIP-DOM-000-11304-OS00001-INA-000000</v>
      </c>
      <c r="P4972" s="6" t="str">
        <f>IFERROR(__xludf.DUMMYFUNCTION("""COMPUTED_VALUE"""),"PO Closed")</f>
        <v>PO Closed</v>
      </c>
      <c r="Q4972" s="6" t="str">
        <f>IFERROR(__xludf.DUMMYFUNCTION("""COMPUTED_VALUE"""),"GL2603440")</f>
        <v>GL2603440</v>
      </c>
      <c r="R4972" s="57">
        <f>IFERROR(__xludf.DUMMYFUNCTION("""COMPUTED_VALUE"""),46085.0)</f>
        <v>46085</v>
      </c>
      <c r="S4972" s="57">
        <f>IFERROR(__xludf.DUMMYFUNCTION("""COMPUTED_VALUE"""),46086.0)</f>
        <v>46086</v>
      </c>
      <c r="T4972" s="57">
        <f>IFERROR(__xludf.DUMMYFUNCTION("""COMPUTED_VALUE"""),46122.0)</f>
        <v>46122</v>
      </c>
    </row>
    <row r="4973">
      <c r="A4973" s="6" t="str">
        <f>IFERROR(__xludf.DUMMYFUNCTION("""COMPUTED_VALUE"""),"121703960-1")</f>
        <v>121703960-1</v>
      </c>
      <c r="B4973" s="6" t="str">
        <f>IFERROR(__xludf.DUMMYFUNCTION("""COMPUTED_VALUE"""),"121703960 - APPROVED")</f>
        <v>121703960 - APPROVED</v>
      </c>
      <c r="C4973" s="6">
        <f>IFERROR(__xludf.DUMMYFUNCTION("""COMPUTED_VALUE"""),1.0)</f>
        <v>1</v>
      </c>
      <c r="D4973" s="6" t="str">
        <f>IFERROR(__xludf.DUMMYFUNCTION("""COMPUTED_VALUE"""),"O-15822-00")</f>
        <v>O-15822-00</v>
      </c>
      <c r="E4973" s="6" t="str">
        <f>IFERROR(__xludf.DUMMYFUNCTION("""COMPUTED_VALUE"""),"General - MCB C60H 1 phase 1 pole 10 A; Schneider; -; 1 Pc")</f>
        <v>General - MCB C60H 1 phase 1 pole 10 A; Schneider; -; 1 Pc</v>
      </c>
      <c r="F4973" s="6">
        <f>IFERROR(__xludf.DUMMYFUNCTION("""COMPUTED_VALUE"""),1.0)</f>
        <v>1</v>
      </c>
      <c r="G4973" s="6" t="str">
        <f>IFERROR(__xludf.DUMMYFUNCTION("""COMPUTED_VALUE"""),"Pieces")</f>
        <v>Pieces</v>
      </c>
      <c r="H4973" s="6" t="str">
        <f>IFERROR(__xludf.DUMMYFUNCTION("""COMPUTED_VALUE"""),"IDR")</f>
        <v>IDR</v>
      </c>
      <c r="I4973" s="6">
        <f>IFERROR(__xludf.DUMMYFUNCTION("""COMPUTED_VALUE"""),115000.0)</f>
        <v>115000</v>
      </c>
      <c r="J4973" s="6">
        <f>IFERROR(__xludf.DUMMYFUNCTION("""COMPUTED_VALUE"""),115000.0)</f>
        <v>115000</v>
      </c>
      <c r="K4973" s="57">
        <f>IFERROR(__xludf.DUMMYFUNCTION("""COMPUTED_VALUE"""),46122.0)</f>
        <v>46122</v>
      </c>
      <c r="L4973" s="6" t="str">
        <f>IFERROR(__xludf.DUMMYFUNCTION("""COMPUTED_VALUE"""),"FIP Engineering")</f>
        <v>FIP Engineering</v>
      </c>
      <c r="M4973" s="6" t="str">
        <f>IFERROR(__xludf.DUMMYFUNCTION("""COMPUTED_VALUE"""),"Mochammad Fadhillah Hakim,")</f>
        <v>Mochammad Fadhillah Hakim,</v>
      </c>
      <c r="N4973" s="6" t="str">
        <f>IFERROR(__xludf.DUMMYFUNCTION("""COMPUTED_VALUE"""),"FIP Engineering")</f>
        <v>FIP Engineering</v>
      </c>
      <c r="O4973" s="6" t="str">
        <f>IFERROR(__xludf.DUMMYFUNCTION("""COMPUTED_VALUE"""),"FIP-DOM-000-11304-OS00001-INA-000000")</f>
        <v>FIP-DOM-000-11304-OS00001-INA-000000</v>
      </c>
      <c r="P4973" s="6" t="str">
        <f>IFERROR(__xludf.DUMMYFUNCTION("""COMPUTED_VALUE"""),"PO Closed")</f>
        <v>PO Closed</v>
      </c>
      <c r="Q4973" s="6" t="str">
        <f>IFERROR(__xludf.DUMMYFUNCTION("""COMPUTED_VALUE"""),"GL2604482")</f>
        <v>GL2604482</v>
      </c>
      <c r="R4973" s="57">
        <f>IFERROR(__xludf.DUMMYFUNCTION("""COMPUTED_VALUE"""),46086.0)</f>
        <v>46086</v>
      </c>
      <c r="S4973" s="57">
        <f>IFERROR(__xludf.DUMMYFUNCTION("""COMPUTED_VALUE"""),46087.0)</f>
        <v>46087</v>
      </c>
      <c r="T4973" s="57">
        <f>IFERROR(__xludf.DUMMYFUNCTION("""COMPUTED_VALUE"""),46152.0)</f>
        <v>46152</v>
      </c>
    </row>
    <row r="4974">
      <c r="A4974" s="6" t="str">
        <f>IFERROR(__xludf.DUMMYFUNCTION("""COMPUTED_VALUE"""),"121703960-2")</f>
        <v>121703960-2</v>
      </c>
      <c r="B4974" s="6" t="str">
        <f>IFERROR(__xludf.DUMMYFUNCTION("""COMPUTED_VALUE"""),"121703960 - APPROVED")</f>
        <v>121703960 - APPROVED</v>
      </c>
      <c r="C4974" s="6">
        <f>IFERROR(__xludf.DUMMYFUNCTION("""COMPUTED_VALUE"""),2.0)</f>
        <v>2</v>
      </c>
      <c r="D4974" s="6" t="str">
        <f>IFERROR(__xludf.DUMMYFUNCTION("""COMPUTED_VALUE"""),"O-18356-00")</f>
        <v>O-18356-00</v>
      </c>
      <c r="E4974" s="6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F4974" s="6">
        <f>IFERROR(__xludf.DUMMYFUNCTION("""COMPUTED_VALUE"""),3.0)</f>
        <v>3</v>
      </c>
      <c r="G4974" s="6" t="str">
        <f>IFERROR(__xludf.DUMMYFUNCTION("""COMPUTED_VALUE"""),"Meter")</f>
        <v>Meter</v>
      </c>
      <c r="H4974" s="6" t="str">
        <f>IFERROR(__xludf.DUMMYFUNCTION("""COMPUTED_VALUE"""),"IDR")</f>
        <v>IDR</v>
      </c>
      <c r="I4974" s="6">
        <f>IFERROR(__xludf.DUMMYFUNCTION("""COMPUTED_VALUE"""),216667.0)</f>
        <v>216667</v>
      </c>
      <c r="J4974" s="6">
        <f>IFERROR(__xludf.DUMMYFUNCTION("""COMPUTED_VALUE"""),650001.0)</f>
        <v>650001</v>
      </c>
      <c r="K4974" s="57">
        <f>IFERROR(__xludf.DUMMYFUNCTION("""COMPUTED_VALUE"""),46122.0)</f>
        <v>46122</v>
      </c>
      <c r="L4974" s="6" t="str">
        <f>IFERROR(__xludf.DUMMYFUNCTION("""COMPUTED_VALUE"""),"FIP Engineering")</f>
        <v>FIP Engineering</v>
      </c>
      <c r="M4974" s="6" t="str">
        <f>IFERROR(__xludf.DUMMYFUNCTION("""COMPUTED_VALUE"""),"Mochammad Fadhillah Hakim,")</f>
        <v>Mochammad Fadhillah Hakim,</v>
      </c>
      <c r="N4974" s="6" t="str">
        <f>IFERROR(__xludf.DUMMYFUNCTION("""COMPUTED_VALUE"""),"FIP Engineering")</f>
        <v>FIP Engineering</v>
      </c>
      <c r="O4974" s="6" t="str">
        <f>IFERROR(__xludf.DUMMYFUNCTION("""COMPUTED_VALUE"""),"FIP-DOM-000-11304-OS00001-INA-000000")</f>
        <v>FIP-DOM-000-11304-OS00001-INA-000000</v>
      </c>
      <c r="P4974" s="6" t="str">
        <f>IFERROR(__xludf.DUMMYFUNCTION("""COMPUTED_VALUE"""),"PO Closed")</f>
        <v>PO Closed</v>
      </c>
      <c r="Q4974" s="6" t="str">
        <f>IFERROR(__xludf.DUMMYFUNCTION("""COMPUTED_VALUE"""),"GL2604483")</f>
        <v>GL2604483</v>
      </c>
      <c r="R4974" s="57">
        <f>IFERROR(__xludf.DUMMYFUNCTION("""COMPUTED_VALUE"""),46086.0)</f>
        <v>46086</v>
      </c>
      <c r="S4974" s="57">
        <f>IFERROR(__xludf.DUMMYFUNCTION("""COMPUTED_VALUE"""),46087.0)</f>
        <v>46087</v>
      </c>
      <c r="T4974" s="57">
        <f>IFERROR(__xludf.DUMMYFUNCTION("""COMPUTED_VALUE"""),46152.0)</f>
        <v>46152</v>
      </c>
    </row>
    <row r="4975">
      <c r="A4975" s="6" t="str">
        <f>IFERROR(__xludf.DUMMYFUNCTION("""COMPUTED_VALUE"""),"121703960-3")</f>
        <v>121703960-3</v>
      </c>
      <c r="B4975" s="6" t="str">
        <f>IFERROR(__xludf.DUMMYFUNCTION("""COMPUTED_VALUE"""),"121703960 - APPROVED")</f>
        <v>121703960 - APPROVED</v>
      </c>
      <c r="C4975" s="6">
        <f>IFERROR(__xludf.DUMMYFUNCTION("""COMPUTED_VALUE"""),3.0)</f>
        <v>3</v>
      </c>
      <c r="D4975" s="6" t="str">
        <f>IFERROR(__xludf.DUMMYFUNCTION("""COMPUTED_VALUE"""),"O-19424-00")</f>
        <v>O-19424-00</v>
      </c>
      <c r="E4975" s="6" t="str">
        <f>IFERROR(__xludf.DUMMYFUNCTION("""COMPUTED_VALUE"""),"General - Baut Hexagonal, SS 304, M6 x 20 mm + Mur + Ring; No Brand; -; 1 pcs")</f>
        <v>General - Baut Hexagonal, SS 304, M6 x 20 mm + Mur + Ring; No Brand; -; 1 pcs</v>
      </c>
      <c r="F4975" s="6">
        <f>IFERROR(__xludf.DUMMYFUNCTION("""COMPUTED_VALUE"""),100.0)</f>
        <v>100</v>
      </c>
      <c r="G4975" s="6" t="str">
        <f>IFERROR(__xludf.DUMMYFUNCTION("""COMPUTED_VALUE"""),"Pieces")</f>
        <v>Pieces</v>
      </c>
      <c r="H4975" s="6" t="str">
        <f>IFERROR(__xludf.DUMMYFUNCTION("""COMPUTED_VALUE"""),"IDR")</f>
        <v>IDR</v>
      </c>
      <c r="I4975" s="6">
        <f>IFERROR(__xludf.DUMMYFUNCTION("""COMPUTED_VALUE"""),3600.0)</f>
        <v>3600</v>
      </c>
      <c r="J4975" s="6">
        <f>IFERROR(__xludf.DUMMYFUNCTION("""COMPUTED_VALUE"""),360000.0)</f>
        <v>360000</v>
      </c>
      <c r="K4975" s="57">
        <f>IFERROR(__xludf.DUMMYFUNCTION("""COMPUTED_VALUE"""),46122.0)</f>
        <v>46122</v>
      </c>
      <c r="L4975" s="6" t="str">
        <f>IFERROR(__xludf.DUMMYFUNCTION("""COMPUTED_VALUE"""),"FIP Engineering")</f>
        <v>FIP Engineering</v>
      </c>
      <c r="M4975" s="6" t="str">
        <f>IFERROR(__xludf.DUMMYFUNCTION("""COMPUTED_VALUE"""),"Mochammad Fadhillah Hakim,")</f>
        <v>Mochammad Fadhillah Hakim,</v>
      </c>
      <c r="N4975" s="6" t="str">
        <f>IFERROR(__xludf.DUMMYFUNCTION("""COMPUTED_VALUE"""),"FIP Engineering")</f>
        <v>FIP Engineering</v>
      </c>
      <c r="O4975" s="6" t="str">
        <f>IFERROR(__xludf.DUMMYFUNCTION("""COMPUTED_VALUE"""),"FIP-DOM-000-11304-OS00001-INA-000000")</f>
        <v>FIP-DOM-000-11304-OS00001-INA-000000</v>
      </c>
      <c r="P4975" s="6" t="str">
        <f>IFERROR(__xludf.DUMMYFUNCTION("""COMPUTED_VALUE"""),"PO Closed")</f>
        <v>PO Closed</v>
      </c>
      <c r="Q4975" s="6" t="str">
        <f>IFERROR(__xludf.DUMMYFUNCTION("""COMPUTED_VALUE"""),"GL2604482")</f>
        <v>GL2604482</v>
      </c>
      <c r="R4975" s="57">
        <f>IFERROR(__xludf.DUMMYFUNCTION("""COMPUTED_VALUE"""),46086.0)</f>
        <v>46086</v>
      </c>
      <c r="S4975" s="57">
        <f>IFERROR(__xludf.DUMMYFUNCTION("""COMPUTED_VALUE"""),46087.0)</f>
        <v>46087</v>
      </c>
      <c r="T4975" s="57">
        <f>IFERROR(__xludf.DUMMYFUNCTION("""COMPUTED_VALUE"""),46152.0)</f>
        <v>46152</v>
      </c>
    </row>
    <row r="4976">
      <c r="A4976" s="6" t="str">
        <f>IFERROR(__xludf.DUMMYFUNCTION("""COMPUTED_VALUE"""),"121703960-4")</f>
        <v>121703960-4</v>
      </c>
      <c r="B4976" s="6" t="str">
        <f>IFERROR(__xludf.DUMMYFUNCTION("""COMPUTED_VALUE"""),"121703960 - APPROVED")</f>
        <v>121703960 - APPROVED</v>
      </c>
      <c r="C4976" s="6">
        <f>IFERROR(__xludf.DUMMYFUNCTION("""COMPUTED_VALUE"""),4.0)</f>
        <v>4</v>
      </c>
      <c r="D4976" s="6" t="str">
        <f>IFERROR(__xludf.DUMMYFUNCTION("""COMPUTED_VALUE"""),"O-19429-00")</f>
        <v>O-19429-00</v>
      </c>
      <c r="E4976" s="6" t="str">
        <f>IFERROR(__xludf.DUMMYFUNCTION("""COMPUTED_VALUE"""),"General - Baut L, SS, M4 x 10 mm + Mur + Ring; No Brand; -; 1 pcs")</f>
        <v>General - Baut L, SS, M4 x 10 mm + Mur + Ring; No Brand; -; 1 pcs</v>
      </c>
      <c r="F4976" s="6">
        <f>IFERROR(__xludf.DUMMYFUNCTION("""COMPUTED_VALUE"""),100.0)</f>
        <v>100</v>
      </c>
      <c r="G4976" s="6" t="str">
        <f>IFERROR(__xludf.DUMMYFUNCTION("""COMPUTED_VALUE"""),"Pieces")</f>
        <v>Pieces</v>
      </c>
      <c r="H4976" s="6" t="str">
        <f>IFERROR(__xludf.DUMMYFUNCTION("""COMPUTED_VALUE"""),"IDR")</f>
        <v>IDR</v>
      </c>
      <c r="I4976" s="6">
        <f>IFERROR(__xludf.DUMMYFUNCTION("""COMPUTED_VALUE"""),1900.0)</f>
        <v>1900</v>
      </c>
      <c r="J4976" s="6">
        <f>IFERROR(__xludf.DUMMYFUNCTION("""COMPUTED_VALUE"""),190000.0)</f>
        <v>190000</v>
      </c>
      <c r="K4976" s="57">
        <f>IFERROR(__xludf.DUMMYFUNCTION("""COMPUTED_VALUE"""),46122.0)</f>
        <v>46122</v>
      </c>
      <c r="L4976" s="6" t="str">
        <f>IFERROR(__xludf.DUMMYFUNCTION("""COMPUTED_VALUE"""),"FIP Engineering")</f>
        <v>FIP Engineering</v>
      </c>
      <c r="M4976" s="6" t="str">
        <f>IFERROR(__xludf.DUMMYFUNCTION("""COMPUTED_VALUE"""),"Mochammad Fadhillah Hakim,")</f>
        <v>Mochammad Fadhillah Hakim,</v>
      </c>
      <c r="N4976" s="6" t="str">
        <f>IFERROR(__xludf.DUMMYFUNCTION("""COMPUTED_VALUE"""),"FIP Engineering")</f>
        <v>FIP Engineering</v>
      </c>
      <c r="O4976" s="6" t="str">
        <f>IFERROR(__xludf.DUMMYFUNCTION("""COMPUTED_VALUE"""),"FIP-DOM-000-11304-OS00001-INA-000000")</f>
        <v>FIP-DOM-000-11304-OS00001-INA-000000</v>
      </c>
      <c r="P4976" s="6" t="str">
        <f>IFERROR(__xludf.DUMMYFUNCTION("""COMPUTED_VALUE"""),"PO Closed")</f>
        <v>PO Closed</v>
      </c>
      <c r="Q4976" s="6" t="str">
        <f>IFERROR(__xludf.DUMMYFUNCTION("""COMPUTED_VALUE"""),"GL2604482")</f>
        <v>GL2604482</v>
      </c>
      <c r="R4976" s="57">
        <f>IFERROR(__xludf.DUMMYFUNCTION("""COMPUTED_VALUE"""),46086.0)</f>
        <v>46086</v>
      </c>
      <c r="S4976" s="57">
        <f>IFERROR(__xludf.DUMMYFUNCTION("""COMPUTED_VALUE"""),46087.0)</f>
        <v>46087</v>
      </c>
      <c r="T4976" s="57">
        <f>IFERROR(__xludf.DUMMYFUNCTION("""COMPUTED_VALUE"""),46152.0)</f>
        <v>46152</v>
      </c>
    </row>
    <row r="4977">
      <c r="A4977" s="6" t="str">
        <f>IFERROR(__xludf.DUMMYFUNCTION("""COMPUTED_VALUE"""),"121703960-5")</f>
        <v>121703960-5</v>
      </c>
      <c r="B4977" s="6" t="str">
        <f>IFERROR(__xludf.DUMMYFUNCTION("""COMPUTED_VALUE"""),"121703960 - APPROVED")</f>
        <v>121703960 - APPROVED</v>
      </c>
      <c r="C4977" s="6">
        <f>IFERROR(__xludf.DUMMYFUNCTION("""COMPUTED_VALUE"""),5.0)</f>
        <v>5</v>
      </c>
      <c r="D4977" s="6" t="str">
        <f>IFERROR(__xludf.DUMMYFUNCTION("""COMPUTED_VALUE"""),"O-19431-00")</f>
        <v>O-19431-00</v>
      </c>
      <c r="E4977" s="6" t="str">
        <f>IFERROR(__xludf.DUMMYFUNCTION("""COMPUTED_VALUE"""),"General - Baut L, SS, M8 x 30 mm + Mur + Ring; No Brand; -; 1 pcs")</f>
        <v>General - Baut L, SS, M8 x 30 mm + Mur + Ring; No Brand; -; 1 pcs</v>
      </c>
      <c r="F4977" s="6">
        <f>IFERROR(__xludf.DUMMYFUNCTION("""COMPUTED_VALUE"""),100.0)</f>
        <v>100</v>
      </c>
      <c r="G4977" s="6" t="str">
        <f>IFERROR(__xludf.DUMMYFUNCTION("""COMPUTED_VALUE"""),"Pieces")</f>
        <v>Pieces</v>
      </c>
      <c r="H4977" s="6" t="str">
        <f>IFERROR(__xludf.DUMMYFUNCTION("""COMPUTED_VALUE"""),"IDR")</f>
        <v>IDR</v>
      </c>
      <c r="I4977" s="6">
        <f>IFERROR(__xludf.DUMMYFUNCTION("""COMPUTED_VALUE"""),5000.0)</f>
        <v>5000</v>
      </c>
      <c r="J4977" s="6">
        <f>IFERROR(__xludf.DUMMYFUNCTION("""COMPUTED_VALUE"""),500000.0)</f>
        <v>500000</v>
      </c>
      <c r="K4977" s="57">
        <f>IFERROR(__xludf.DUMMYFUNCTION("""COMPUTED_VALUE"""),46122.0)</f>
        <v>46122</v>
      </c>
      <c r="L4977" s="6" t="str">
        <f>IFERROR(__xludf.DUMMYFUNCTION("""COMPUTED_VALUE"""),"FIP Engineering")</f>
        <v>FIP Engineering</v>
      </c>
      <c r="M4977" s="6" t="str">
        <f>IFERROR(__xludf.DUMMYFUNCTION("""COMPUTED_VALUE"""),"Mochammad Fadhillah Hakim,")</f>
        <v>Mochammad Fadhillah Hakim,</v>
      </c>
      <c r="N4977" s="6" t="str">
        <f>IFERROR(__xludf.DUMMYFUNCTION("""COMPUTED_VALUE"""),"FIP Engineering")</f>
        <v>FIP Engineering</v>
      </c>
      <c r="O4977" s="6" t="str">
        <f>IFERROR(__xludf.DUMMYFUNCTION("""COMPUTED_VALUE"""),"FIP-DOM-000-11304-OS00001-INA-000000")</f>
        <v>FIP-DOM-000-11304-OS00001-INA-000000</v>
      </c>
      <c r="P4977" s="6" t="str">
        <f>IFERROR(__xludf.DUMMYFUNCTION("""COMPUTED_VALUE"""),"PO Closed")</f>
        <v>PO Closed</v>
      </c>
      <c r="Q4977" s="6" t="str">
        <f>IFERROR(__xludf.DUMMYFUNCTION("""COMPUTED_VALUE"""),"GL2604482")</f>
        <v>GL2604482</v>
      </c>
      <c r="R4977" s="57">
        <f>IFERROR(__xludf.DUMMYFUNCTION("""COMPUTED_VALUE"""),46086.0)</f>
        <v>46086</v>
      </c>
      <c r="S4977" s="57">
        <f>IFERROR(__xludf.DUMMYFUNCTION("""COMPUTED_VALUE"""),46087.0)</f>
        <v>46087</v>
      </c>
      <c r="T4977" s="57">
        <f>IFERROR(__xludf.DUMMYFUNCTION("""COMPUTED_VALUE"""),46152.0)</f>
        <v>46152</v>
      </c>
    </row>
    <row r="4978">
      <c r="A4978" s="6" t="str">
        <f>IFERROR(__xludf.DUMMYFUNCTION("""COMPUTED_VALUE"""),"121703961-1")</f>
        <v>121703961-1</v>
      </c>
      <c r="B4978" s="6" t="str">
        <f>IFERROR(__xludf.DUMMYFUNCTION("""COMPUTED_VALUE"""),"121703961 - APPROVED")</f>
        <v>121703961 - APPROVED</v>
      </c>
      <c r="C4978" s="6">
        <f>IFERROR(__xludf.DUMMYFUNCTION("""COMPUTED_VALUE"""),1.0)</f>
        <v>1</v>
      </c>
      <c r="D4978" s="6" t="str">
        <f>IFERROR(__xludf.DUMMYFUNCTION("""COMPUTED_VALUE"""),"P-10763-00")</f>
        <v>P-10763-00</v>
      </c>
      <c r="E4978" s="6" t="str">
        <f>IFERROR(__xludf.DUMMYFUNCTION("""COMPUTED_VALUE"""),"General - Ferrule SS 316L 1inch; No Brand; -; 1 pcs")</f>
        <v>General - Ferrule SS 316L 1inch; No Brand; -; 1 pcs</v>
      </c>
      <c r="F4978" s="6">
        <f>IFERROR(__xludf.DUMMYFUNCTION("""COMPUTED_VALUE"""),1.0)</f>
        <v>1</v>
      </c>
      <c r="G4978" s="6" t="str">
        <f>IFERROR(__xludf.DUMMYFUNCTION("""COMPUTED_VALUE"""),"Pieces")</f>
        <v>Pieces</v>
      </c>
      <c r="H4978" s="6" t="str">
        <f>IFERROR(__xludf.DUMMYFUNCTION("""COMPUTED_VALUE"""),"IDR")</f>
        <v>IDR</v>
      </c>
      <c r="I4978" s="6">
        <f>IFERROR(__xludf.DUMMYFUNCTION("""COMPUTED_VALUE"""),345000.0)</f>
        <v>345000</v>
      </c>
      <c r="J4978" s="6">
        <f>IFERROR(__xludf.DUMMYFUNCTION("""COMPUTED_VALUE"""),345000.0)</f>
        <v>345000</v>
      </c>
      <c r="K4978" s="57">
        <f>IFERROR(__xludf.DUMMYFUNCTION("""COMPUTED_VALUE"""),46122.0)</f>
        <v>46122</v>
      </c>
      <c r="L4978" s="6" t="str">
        <f>IFERROR(__xludf.DUMMYFUNCTION("""COMPUTED_VALUE"""),"FIP Engineering")</f>
        <v>FIP Engineering</v>
      </c>
      <c r="M4978" s="6" t="str">
        <f>IFERROR(__xludf.DUMMYFUNCTION("""COMPUTED_VALUE"""),"Mochammad Fadhillah Hakim,")</f>
        <v>Mochammad Fadhillah Hakim,</v>
      </c>
      <c r="N4978" s="6" t="str">
        <f>IFERROR(__xludf.DUMMYFUNCTION("""COMPUTED_VALUE"""),"FIP Engineering")</f>
        <v>FIP Engineering</v>
      </c>
      <c r="O4978" s="6" t="str">
        <f>IFERROR(__xludf.DUMMYFUNCTION("""COMPUTED_VALUE"""),"FIP-DOM-000-11304-OS00001-INA-000000")</f>
        <v>FIP-DOM-000-11304-OS00001-INA-000000</v>
      </c>
      <c r="P4978" s="6" t="str">
        <f>IFERROR(__xludf.DUMMYFUNCTION("""COMPUTED_VALUE"""),"PO Closed")</f>
        <v>PO Closed</v>
      </c>
      <c r="Q4978" s="6" t="str">
        <f>IFERROR(__xludf.DUMMYFUNCTION("""COMPUTED_VALUE"""),"GL2604305")</f>
        <v>GL2604305</v>
      </c>
      <c r="R4978" s="57">
        <f>IFERROR(__xludf.DUMMYFUNCTION("""COMPUTED_VALUE"""),46086.0)</f>
        <v>46086</v>
      </c>
      <c r="S4978" s="57">
        <f>IFERROR(__xludf.DUMMYFUNCTION("""COMPUTED_VALUE"""),46087.0)</f>
        <v>46087</v>
      </c>
      <c r="T4978" s="57">
        <f>IFERROR(__xludf.DUMMYFUNCTION("""COMPUTED_VALUE"""),46142.0)</f>
        <v>46142</v>
      </c>
    </row>
    <row r="4979">
      <c r="A4979" s="6" t="str">
        <f>IFERROR(__xludf.DUMMYFUNCTION("""COMPUTED_VALUE"""),"121703961-2")</f>
        <v>121703961-2</v>
      </c>
      <c r="B4979" s="6" t="str">
        <f>IFERROR(__xludf.DUMMYFUNCTION("""COMPUTED_VALUE"""),"121703961 - APPROVED")</f>
        <v>121703961 - APPROVED</v>
      </c>
      <c r="C4979" s="6">
        <f>IFERROR(__xludf.DUMMYFUNCTION("""COMPUTED_VALUE"""),2.0)</f>
        <v>2</v>
      </c>
      <c r="D4979" s="6" t="str">
        <f>IFERROR(__xludf.DUMMYFUNCTION("""COMPUTED_VALUE"""),"P-11356-00")</f>
        <v>P-11356-00</v>
      </c>
      <c r="E4979" s="6" t="str">
        <f>IFERROR(__xludf.DUMMYFUNCTION("""COMPUTED_VALUE"""),"Trolly - Roda ABUS 4inch (100 x 27mm), Without Brake; No Brand; -; 1 pc")</f>
        <v>Trolly - Roda ABUS 4inch (100 x 27mm), Without Brake; No Brand; -; 1 pc</v>
      </c>
      <c r="F4979" s="6">
        <f>IFERROR(__xludf.DUMMYFUNCTION("""COMPUTED_VALUE"""),3.0)</f>
        <v>3</v>
      </c>
      <c r="G4979" s="6" t="str">
        <f>IFERROR(__xludf.DUMMYFUNCTION("""COMPUTED_VALUE"""),"Pieces")</f>
        <v>Pieces</v>
      </c>
      <c r="H4979" s="6" t="str">
        <f>IFERROR(__xludf.DUMMYFUNCTION("""COMPUTED_VALUE"""),"IDR")</f>
        <v>IDR</v>
      </c>
      <c r="I4979" s="6">
        <f>IFERROR(__xludf.DUMMYFUNCTION("""COMPUTED_VALUE"""),451000.0)</f>
        <v>451000</v>
      </c>
      <c r="J4979" s="6">
        <f>IFERROR(__xludf.DUMMYFUNCTION("""COMPUTED_VALUE"""),1353000.0)</f>
        <v>1353000</v>
      </c>
      <c r="K4979" s="57">
        <f>IFERROR(__xludf.DUMMYFUNCTION("""COMPUTED_VALUE"""),46122.0)</f>
        <v>46122</v>
      </c>
      <c r="L4979" s="6" t="str">
        <f>IFERROR(__xludf.DUMMYFUNCTION("""COMPUTED_VALUE"""),"FIP Engineering")</f>
        <v>FIP Engineering</v>
      </c>
      <c r="M4979" s="6" t="str">
        <f>IFERROR(__xludf.DUMMYFUNCTION("""COMPUTED_VALUE"""),"Mochammad Fadhillah Hakim,")</f>
        <v>Mochammad Fadhillah Hakim,</v>
      </c>
      <c r="N4979" s="6" t="str">
        <f>IFERROR(__xludf.DUMMYFUNCTION("""COMPUTED_VALUE"""),"FIP Engineering")</f>
        <v>FIP Engineering</v>
      </c>
      <c r="O4979" s="6" t="str">
        <f>IFERROR(__xludf.DUMMYFUNCTION("""COMPUTED_VALUE"""),"FIP-DOM-000-11304-OS00001-INA-000000")</f>
        <v>FIP-DOM-000-11304-OS00001-INA-000000</v>
      </c>
      <c r="P4979" s="6" t="str">
        <f>IFERROR(__xludf.DUMMYFUNCTION("""COMPUTED_VALUE"""),"PO Closed")</f>
        <v>PO Closed</v>
      </c>
      <c r="Q4979" s="6" t="str">
        <f>IFERROR(__xludf.DUMMYFUNCTION("""COMPUTED_VALUE"""),"GL2604491")</f>
        <v>GL2604491</v>
      </c>
      <c r="R4979" s="57">
        <f>IFERROR(__xludf.DUMMYFUNCTION("""COMPUTED_VALUE"""),46086.0)</f>
        <v>46086</v>
      </c>
      <c r="S4979" s="57">
        <f>IFERROR(__xludf.DUMMYFUNCTION("""COMPUTED_VALUE"""),46087.0)</f>
        <v>46087</v>
      </c>
      <c r="T4979" s="57">
        <f>IFERROR(__xludf.DUMMYFUNCTION("""COMPUTED_VALUE"""),46142.0)</f>
        <v>46142</v>
      </c>
    </row>
    <row r="4980">
      <c r="A4980" s="6" t="str">
        <f>IFERROR(__xludf.DUMMYFUNCTION("""COMPUTED_VALUE"""),"121703961-3")</f>
        <v>121703961-3</v>
      </c>
      <c r="B4980" s="6" t="str">
        <f>IFERROR(__xludf.DUMMYFUNCTION("""COMPUTED_VALUE"""),"121703961 - APPROVED")</f>
        <v>121703961 - APPROVED</v>
      </c>
      <c r="C4980" s="6">
        <f>IFERROR(__xludf.DUMMYFUNCTION("""COMPUTED_VALUE"""),3.0)</f>
        <v>3</v>
      </c>
      <c r="D4980" s="6" t="str">
        <f>IFERROR(__xludf.DUMMYFUNCTION("""COMPUTED_VALUE"""),"P-11838-00")</f>
        <v>P-11838-00</v>
      </c>
      <c r="E4980" s="6" t="str">
        <f>IFERROR(__xludf.DUMMYFUNCTION("""COMPUTED_VALUE"""),"General - Ball Valve PVC 3/4inch; No Brand; -; 1 pcs")</f>
        <v>General - Ball Valve PVC 3/4inch; No Brand; -; 1 pcs</v>
      </c>
      <c r="F4980" s="6">
        <f>IFERROR(__xludf.DUMMYFUNCTION("""COMPUTED_VALUE"""),2.0)</f>
        <v>2</v>
      </c>
      <c r="G4980" s="6" t="str">
        <f>IFERROR(__xludf.DUMMYFUNCTION("""COMPUTED_VALUE"""),"Pieces")</f>
        <v>Pieces</v>
      </c>
      <c r="H4980" s="6" t="str">
        <f>IFERROR(__xludf.DUMMYFUNCTION("""COMPUTED_VALUE"""),"IDR")</f>
        <v>IDR</v>
      </c>
      <c r="I4980" s="6">
        <f>IFERROR(__xludf.DUMMYFUNCTION("""COMPUTED_VALUE"""),37500.0)</f>
        <v>37500</v>
      </c>
      <c r="J4980" s="6">
        <f>IFERROR(__xludf.DUMMYFUNCTION("""COMPUTED_VALUE"""),75000.0)</f>
        <v>75000</v>
      </c>
      <c r="K4980" s="57">
        <f>IFERROR(__xludf.DUMMYFUNCTION("""COMPUTED_VALUE"""),46122.0)</f>
        <v>46122</v>
      </c>
      <c r="L4980" s="6" t="str">
        <f>IFERROR(__xludf.DUMMYFUNCTION("""COMPUTED_VALUE"""),"FIP Engineering")</f>
        <v>FIP Engineering</v>
      </c>
      <c r="M4980" s="6" t="str">
        <f>IFERROR(__xludf.DUMMYFUNCTION("""COMPUTED_VALUE"""),"Mochammad Fadhillah Hakim,")</f>
        <v>Mochammad Fadhillah Hakim,</v>
      </c>
      <c r="N4980" s="6" t="str">
        <f>IFERROR(__xludf.DUMMYFUNCTION("""COMPUTED_VALUE"""),"FIP Engineering")</f>
        <v>FIP Engineering</v>
      </c>
      <c r="O4980" s="6" t="str">
        <f>IFERROR(__xludf.DUMMYFUNCTION("""COMPUTED_VALUE"""),"FIP-DOM-000-11304-OS00001-INA-000000")</f>
        <v>FIP-DOM-000-11304-OS00001-INA-000000</v>
      </c>
      <c r="P4980" s="6" t="str">
        <f>IFERROR(__xludf.DUMMYFUNCTION("""COMPUTED_VALUE"""),"PO Closed")</f>
        <v>PO Closed</v>
      </c>
      <c r="Q4980" s="6" t="str">
        <f>IFERROR(__xludf.DUMMYFUNCTION("""COMPUTED_VALUE"""),"GL2604493")</f>
        <v>GL2604493</v>
      </c>
      <c r="R4980" s="57">
        <f>IFERROR(__xludf.DUMMYFUNCTION("""COMPUTED_VALUE"""),46086.0)</f>
        <v>46086</v>
      </c>
      <c r="S4980" s="57">
        <f>IFERROR(__xludf.DUMMYFUNCTION("""COMPUTED_VALUE"""),46087.0)</f>
        <v>46087</v>
      </c>
      <c r="T4980" s="57">
        <f>IFERROR(__xludf.DUMMYFUNCTION("""COMPUTED_VALUE"""),46137.0)</f>
        <v>46137</v>
      </c>
    </row>
    <row r="4981">
      <c r="A4981" s="6" t="str">
        <f>IFERROR(__xludf.DUMMYFUNCTION("""COMPUTED_VALUE"""),"121703961-4")</f>
        <v>121703961-4</v>
      </c>
      <c r="B4981" s="6" t="str">
        <f>IFERROR(__xludf.DUMMYFUNCTION("""COMPUTED_VALUE"""),"121703961 - APPROVED")</f>
        <v>121703961 - APPROVED</v>
      </c>
      <c r="C4981" s="6">
        <f>IFERROR(__xludf.DUMMYFUNCTION("""COMPUTED_VALUE"""),4.0)</f>
        <v>4</v>
      </c>
      <c r="D4981" s="6" t="str">
        <f>IFERROR(__xludf.DUMMYFUNCTION("""COMPUTED_VALUE"""),"P-12420-00")</f>
        <v>P-12420-00</v>
      </c>
      <c r="E4981" s="6" t="str">
        <f>IFERROR(__xludf.DUMMYFUNCTION("""COMPUTED_VALUE"""),"General - Hole Saw for Stainless Steel, dia. 25 mm; UNIKA; -; 1 pcs")</f>
        <v>General - Hole Saw for Stainless Steel, dia. 25 mm; UNIKA; -; 1 pcs</v>
      </c>
      <c r="F4981" s="6">
        <f>IFERROR(__xludf.DUMMYFUNCTION("""COMPUTED_VALUE"""),2.0)</f>
        <v>2</v>
      </c>
      <c r="G4981" s="6" t="str">
        <f>IFERROR(__xludf.DUMMYFUNCTION("""COMPUTED_VALUE"""),"Pieces")</f>
        <v>Pieces</v>
      </c>
      <c r="H4981" s="6" t="str">
        <f>IFERROR(__xludf.DUMMYFUNCTION("""COMPUTED_VALUE"""),"IDR")</f>
        <v>IDR</v>
      </c>
      <c r="I4981" s="6">
        <f>IFERROR(__xludf.DUMMYFUNCTION("""COMPUTED_VALUE"""),98750.0)</f>
        <v>98750</v>
      </c>
      <c r="J4981" s="6">
        <f>IFERROR(__xludf.DUMMYFUNCTION("""COMPUTED_VALUE"""),197500.0)</f>
        <v>197500</v>
      </c>
      <c r="K4981" s="57">
        <f>IFERROR(__xludf.DUMMYFUNCTION("""COMPUTED_VALUE"""),46122.0)</f>
        <v>46122</v>
      </c>
      <c r="L4981" s="6" t="str">
        <f>IFERROR(__xludf.DUMMYFUNCTION("""COMPUTED_VALUE"""),"FIP Engineering")</f>
        <v>FIP Engineering</v>
      </c>
      <c r="M4981" s="6" t="str">
        <f>IFERROR(__xludf.DUMMYFUNCTION("""COMPUTED_VALUE"""),"Mochammad Fadhillah Hakim,")</f>
        <v>Mochammad Fadhillah Hakim,</v>
      </c>
      <c r="N4981" s="6" t="str">
        <f>IFERROR(__xludf.DUMMYFUNCTION("""COMPUTED_VALUE"""),"FIP Engineering")</f>
        <v>FIP Engineering</v>
      </c>
      <c r="O4981" s="6" t="str">
        <f>IFERROR(__xludf.DUMMYFUNCTION("""COMPUTED_VALUE"""),"FIP-DOM-000-11304-OS00001-INA-000000")</f>
        <v>FIP-DOM-000-11304-OS00001-INA-000000</v>
      </c>
      <c r="P4981" s="6" t="str">
        <f>IFERROR(__xludf.DUMMYFUNCTION("""COMPUTED_VALUE"""),"PO Closed")</f>
        <v>PO Closed</v>
      </c>
      <c r="Q4981" s="6" t="str">
        <f>IFERROR(__xludf.DUMMYFUNCTION("""COMPUTED_VALUE"""),"GL2604491")</f>
        <v>GL2604491</v>
      </c>
      <c r="R4981" s="57">
        <f>IFERROR(__xludf.DUMMYFUNCTION("""COMPUTED_VALUE"""),46086.0)</f>
        <v>46086</v>
      </c>
      <c r="S4981" s="57">
        <f>IFERROR(__xludf.DUMMYFUNCTION("""COMPUTED_VALUE"""),46087.0)</f>
        <v>46087</v>
      </c>
      <c r="T4981" s="57">
        <f>IFERROR(__xludf.DUMMYFUNCTION("""COMPUTED_VALUE"""),46142.0)</f>
        <v>46142</v>
      </c>
    </row>
    <row r="4982">
      <c r="A4982" s="6" t="str">
        <f>IFERROR(__xludf.DUMMYFUNCTION("""COMPUTED_VALUE"""),"121703961-6")</f>
        <v>121703961-6</v>
      </c>
      <c r="B4982" s="6" t="str">
        <f>IFERROR(__xludf.DUMMYFUNCTION("""COMPUTED_VALUE"""),"121703961 - APPROVED")</f>
        <v>121703961 - APPROVED</v>
      </c>
      <c r="C4982" s="6">
        <f>IFERROR(__xludf.DUMMYFUNCTION("""COMPUTED_VALUE"""),6.0)</f>
        <v>6</v>
      </c>
      <c r="D4982" s="6" t="str">
        <f>IFERROR(__xludf.DUMMYFUNCTION("""COMPUTED_VALUE"""),"P-14519-00")</f>
        <v>P-14519-00</v>
      </c>
      <c r="E4982" s="6" t="str">
        <f>IFERROR(__xludf.DUMMYFUNCTION("""COMPUTED_VALUE"""),"General - Baut Hexagonal, SS, M8 x 30 mm + Mur + Ring; No Brand; -; 1 pcs")</f>
        <v>General - Baut Hexagonal, SS, M8 x 30 mm + Mur + Ring; No Brand; -; 1 pcs</v>
      </c>
      <c r="F4982" s="6">
        <f>IFERROR(__xludf.DUMMYFUNCTION("""COMPUTED_VALUE"""),100.0)</f>
        <v>100</v>
      </c>
      <c r="G4982" s="6" t="str">
        <f>IFERROR(__xludf.DUMMYFUNCTION("""COMPUTED_VALUE"""),"Pieces")</f>
        <v>Pieces</v>
      </c>
      <c r="H4982" s="6" t="str">
        <f>IFERROR(__xludf.DUMMYFUNCTION("""COMPUTED_VALUE"""),"IDR")</f>
        <v>IDR</v>
      </c>
      <c r="I4982" s="6">
        <f>IFERROR(__xludf.DUMMYFUNCTION("""COMPUTED_VALUE"""),4700.0)</f>
        <v>4700</v>
      </c>
      <c r="J4982" s="6">
        <f>IFERROR(__xludf.DUMMYFUNCTION("""COMPUTED_VALUE"""),470000.0)</f>
        <v>470000</v>
      </c>
      <c r="K4982" s="57">
        <f>IFERROR(__xludf.DUMMYFUNCTION("""COMPUTED_VALUE"""),46122.0)</f>
        <v>46122</v>
      </c>
      <c r="L4982" s="6" t="str">
        <f>IFERROR(__xludf.DUMMYFUNCTION("""COMPUTED_VALUE"""),"FIP Engineering")</f>
        <v>FIP Engineering</v>
      </c>
      <c r="M4982" s="6" t="str">
        <f>IFERROR(__xludf.DUMMYFUNCTION("""COMPUTED_VALUE"""),"Mochammad Fadhillah Hakim,")</f>
        <v>Mochammad Fadhillah Hakim,</v>
      </c>
      <c r="N4982" s="6" t="str">
        <f>IFERROR(__xludf.DUMMYFUNCTION("""COMPUTED_VALUE"""),"FIP Engineering")</f>
        <v>FIP Engineering</v>
      </c>
      <c r="O4982" s="6" t="str">
        <f>IFERROR(__xludf.DUMMYFUNCTION("""COMPUTED_VALUE"""),"FIP-DOM-000-11304-OS00001-INA-000000")</f>
        <v>FIP-DOM-000-11304-OS00001-INA-000000</v>
      </c>
      <c r="P4982" s="6" t="str">
        <f>IFERROR(__xludf.DUMMYFUNCTION("""COMPUTED_VALUE"""),"PO Closed")</f>
        <v>PO Closed</v>
      </c>
      <c r="Q4982" s="6" t="str">
        <f>IFERROR(__xludf.DUMMYFUNCTION("""COMPUTED_VALUE"""),"GL2604491")</f>
        <v>GL2604491</v>
      </c>
      <c r="R4982" s="57">
        <f>IFERROR(__xludf.DUMMYFUNCTION("""COMPUTED_VALUE"""),46086.0)</f>
        <v>46086</v>
      </c>
      <c r="S4982" s="57">
        <f>IFERROR(__xludf.DUMMYFUNCTION("""COMPUTED_VALUE"""),46087.0)</f>
        <v>46087</v>
      </c>
      <c r="T4982" s="57">
        <f>IFERROR(__xludf.DUMMYFUNCTION("""COMPUTED_VALUE"""),46142.0)</f>
        <v>46142</v>
      </c>
    </row>
    <row r="4983">
      <c r="A4983" s="6" t="str">
        <f>IFERROR(__xludf.DUMMYFUNCTION("""COMPUTED_VALUE"""),"121703961-7")</f>
        <v>121703961-7</v>
      </c>
      <c r="B4983" s="6" t="str">
        <f>IFERROR(__xludf.DUMMYFUNCTION("""COMPUTED_VALUE"""),"121703961 - APPROVED")</f>
        <v>121703961 - APPROVED</v>
      </c>
      <c r="C4983" s="6">
        <f>IFERROR(__xludf.DUMMYFUNCTION("""COMPUTED_VALUE"""),7.0)</f>
        <v>7</v>
      </c>
      <c r="D4983" s="6" t="str">
        <f>IFERROR(__xludf.DUMMYFUNCTION("""COMPUTED_VALUE"""),"P-15817-00")</f>
        <v>P-15817-00</v>
      </c>
      <c r="E4983" s="6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F4983" s="6">
        <f>IFERROR(__xludf.DUMMYFUNCTION("""COMPUTED_VALUE"""),1.0)</f>
        <v>1</v>
      </c>
      <c r="G4983" s="6" t="str">
        <f>IFERROR(__xludf.DUMMYFUNCTION("""COMPUTED_VALUE"""),"Pieces")</f>
        <v>Pieces</v>
      </c>
      <c r="H4983" s="6" t="str">
        <f>IFERROR(__xludf.DUMMYFUNCTION("""COMPUTED_VALUE"""),"IDR")</f>
        <v>IDR</v>
      </c>
      <c r="I4983" s="6">
        <f>IFERROR(__xludf.DUMMYFUNCTION("""COMPUTED_VALUE"""),2327000.0)</f>
        <v>2327000</v>
      </c>
      <c r="J4983" s="6">
        <f>IFERROR(__xludf.DUMMYFUNCTION("""COMPUTED_VALUE"""),2327000.0)</f>
        <v>2327000</v>
      </c>
      <c r="K4983" s="57">
        <f>IFERROR(__xludf.DUMMYFUNCTION("""COMPUTED_VALUE"""),46122.0)</f>
        <v>46122</v>
      </c>
      <c r="L4983" s="6" t="str">
        <f>IFERROR(__xludf.DUMMYFUNCTION("""COMPUTED_VALUE"""),"FIP Engineering")</f>
        <v>FIP Engineering</v>
      </c>
      <c r="M4983" s="6" t="str">
        <f>IFERROR(__xludf.DUMMYFUNCTION("""COMPUTED_VALUE"""),"Mochammad Fadhillah Hakim,")</f>
        <v>Mochammad Fadhillah Hakim,</v>
      </c>
      <c r="N4983" s="6" t="str">
        <f>IFERROR(__xludf.DUMMYFUNCTION("""COMPUTED_VALUE"""),"FIP Engineering")</f>
        <v>FIP Engineering</v>
      </c>
      <c r="O4983" s="6" t="str">
        <f>IFERROR(__xludf.DUMMYFUNCTION("""COMPUTED_VALUE"""),"FIP-DOM-000-11304-OS00001-INA-000000")</f>
        <v>FIP-DOM-000-11304-OS00001-INA-000000</v>
      </c>
      <c r="P4983" s="6" t="str">
        <f>IFERROR(__xludf.DUMMYFUNCTION("""COMPUTED_VALUE"""),"PO Closed")</f>
        <v>PO Closed</v>
      </c>
      <c r="Q4983" s="6" t="str">
        <f>IFERROR(__xludf.DUMMYFUNCTION("""COMPUTED_VALUE"""),"GL2604491")</f>
        <v>GL2604491</v>
      </c>
      <c r="R4983" s="57">
        <f>IFERROR(__xludf.DUMMYFUNCTION("""COMPUTED_VALUE"""),46086.0)</f>
        <v>46086</v>
      </c>
      <c r="S4983" s="57">
        <f>IFERROR(__xludf.DUMMYFUNCTION("""COMPUTED_VALUE"""),46087.0)</f>
        <v>46087</v>
      </c>
      <c r="T4983" s="57">
        <f>IFERROR(__xludf.DUMMYFUNCTION("""COMPUTED_VALUE"""),46142.0)</f>
        <v>46142</v>
      </c>
    </row>
    <row r="4984">
      <c r="A4984" s="6" t="str">
        <f>IFERROR(__xludf.DUMMYFUNCTION("""COMPUTED_VALUE"""),"121703961-8")</f>
        <v>121703961-8</v>
      </c>
      <c r="B4984" s="6" t="str">
        <f>IFERROR(__xludf.DUMMYFUNCTION("""COMPUTED_VALUE"""),"121703961 - APPROVED")</f>
        <v>121703961 - APPROVED</v>
      </c>
      <c r="C4984" s="6">
        <f>IFERROR(__xludf.DUMMYFUNCTION("""COMPUTED_VALUE"""),8.0)</f>
        <v>8</v>
      </c>
      <c r="D4984" s="6" t="str">
        <f>IFERROR(__xludf.DUMMYFUNCTION("""COMPUTED_VALUE"""),"P-17167-00")</f>
        <v>P-17167-00</v>
      </c>
      <c r="E4984" s="6" t="str">
        <f>IFERROR(__xludf.DUMMYFUNCTION("""COMPUTED_VALUE"""),"General - Hollow SS304 Uk. 30 x 30 x 1.5 x 6000mm; No Brand; -; 1 Pcs")</f>
        <v>General - Hollow SS304 Uk. 30 x 30 x 1.5 x 6000mm; No Brand; -; 1 Pcs</v>
      </c>
      <c r="F4984" s="6">
        <f>IFERROR(__xludf.DUMMYFUNCTION("""COMPUTED_VALUE"""),3.0)</f>
        <v>3</v>
      </c>
      <c r="G4984" s="6" t="str">
        <f>IFERROR(__xludf.DUMMYFUNCTION("""COMPUTED_VALUE"""),"Pieces")</f>
        <v>Pieces</v>
      </c>
      <c r="H4984" s="6" t="str">
        <f>IFERROR(__xludf.DUMMYFUNCTION("""COMPUTED_VALUE"""),"IDR")</f>
        <v>IDR</v>
      </c>
      <c r="I4984" s="6">
        <f>IFERROR(__xludf.DUMMYFUNCTION("""COMPUTED_VALUE"""),475000.0)</f>
        <v>475000</v>
      </c>
      <c r="J4984" s="6">
        <f>IFERROR(__xludf.DUMMYFUNCTION("""COMPUTED_VALUE"""),1425000.0)</f>
        <v>1425000</v>
      </c>
      <c r="K4984" s="57">
        <f>IFERROR(__xludf.DUMMYFUNCTION("""COMPUTED_VALUE"""),46122.0)</f>
        <v>46122</v>
      </c>
      <c r="L4984" s="6" t="str">
        <f>IFERROR(__xludf.DUMMYFUNCTION("""COMPUTED_VALUE"""),"FIP Engineering")</f>
        <v>FIP Engineering</v>
      </c>
      <c r="M4984" s="6" t="str">
        <f>IFERROR(__xludf.DUMMYFUNCTION("""COMPUTED_VALUE"""),"Mochammad Fadhillah Hakim,")</f>
        <v>Mochammad Fadhillah Hakim,</v>
      </c>
      <c r="N4984" s="6" t="str">
        <f>IFERROR(__xludf.DUMMYFUNCTION("""COMPUTED_VALUE"""),"FIP Engineering")</f>
        <v>FIP Engineering</v>
      </c>
      <c r="O4984" s="6" t="str">
        <f>IFERROR(__xludf.DUMMYFUNCTION("""COMPUTED_VALUE"""),"FIP-DOM-000-11304-OS00001-INA-000000")</f>
        <v>FIP-DOM-000-11304-OS00001-INA-000000</v>
      </c>
      <c r="P4984" s="6" t="str">
        <f>IFERROR(__xludf.DUMMYFUNCTION("""COMPUTED_VALUE"""),"PO Closed")</f>
        <v>PO Closed</v>
      </c>
      <c r="Q4984" s="6" t="str">
        <f>IFERROR(__xludf.DUMMYFUNCTION("""COMPUTED_VALUE"""),"GL2604305")</f>
        <v>GL2604305</v>
      </c>
      <c r="R4984" s="57">
        <f>IFERROR(__xludf.DUMMYFUNCTION("""COMPUTED_VALUE"""),46086.0)</f>
        <v>46086</v>
      </c>
      <c r="S4984" s="57">
        <f>IFERROR(__xludf.DUMMYFUNCTION("""COMPUTED_VALUE"""),46087.0)</f>
        <v>46087</v>
      </c>
      <c r="T4984" s="57">
        <f>IFERROR(__xludf.DUMMYFUNCTION("""COMPUTED_VALUE"""),46142.0)</f>
        <v>46142</v>
      </c>
    </row>
    <row r="4985">
      <c r="A4985" s="6" t="str">
        <f>IFERROR(__xludf.DUMMYFUNCTION("""COMPUTED_VALUE"""),"121703961-9")</f>
        <v>121703961-9</v>
      </c>
      <c r="B4985" s="6" t="str">
        <f>IFERROR(__xludf.DUMMYFUNCTION("""COMPUTED_VALUE"""),"121703961 - APPROVED")</f>
        <v>121703961 - APPROVED</v>
      </c>
      <c r="C4985" s="6">
        <f>IFERROR(__xludf.DUMMYFUNCTION("""COMPUTED_VALUE"""),9.0)</f>
        <v>9</v>
      </c>
      <c r="D4985" s="6" t="str">
        <f>IFERROR(__xludf.DUMMYFUNCTION("""COMPUTED_VALUE"""),"P-17562-00")</f>
        <v>P-17562-00</v>
      </c>
      <c r="E4985" s="6" t="str">
        <f>IFERROR(__xludf.DUMMYFUNCTION("""COMPUTED_VALUE"""),"General - Mounting Base 20 x 20mm; SIGMA; -; 1 Pc")</f>
        <v>General - Mounting Base 20 x 20mm; SIGMA; -; 1 Pc</v>
      </c>
      <c r="F4985" s="6">
        <f>IFERROR(__xludf.DUMMYFUNCTION("""COMPUTED_VALUE"""),3.0)</f>
        <v>3</v>
      </c>
      <c r="G4985" s="6" t="str">
        <f>IFERROR(__xludf.DUMMYFUNCTION("""COMPUTED_VALUE"""),"Pieces")</f>
        <v>Pieces</v>
      </c>
      <c r="H4985" s="6" t="str">
        <f>IFERROR(__xludf.DUMMYFUNCTION("""COMPUTED_VALUE"""),"IDR")</f>
        <v>IDR</v>
      </c>
      <c r="I4985" s="6">
        <f>IFERROR(__xludf.DUMMYFUNCTION("""COMPUTED_VALUE"""),95000.0)</f>
        <v>95000</v>
      </c>
      <c r="J4985" s="6">
        <f>IFERROR(__xludf.DUMMYFUNCTION("""COMPUTED_VALUE"""),285000.0)</f>
        <v>285000</v>
      </c>
      <c r="K4985" s="57">
        <f>IFERROR(__xludf.DUMMYFUNCTION("""COMPUTED_VALUE"""),46122.0)</f>
        <v>46122</v>
      </c>
      <c r="L4985" s="6" t="str">
        <f>IFERROR(__xludf.DUMMYFUNCTION("""COMPUTED_VALUE"""),"FIP Engineering")</f>
        <v>FIP Engineering</v>
      </c>
      <c r="M4985" s="6" t="str">
        <f>IFERROR(__xludf.DUMMYFUNCTION("""COMPUTED_VALUE"""),"Mochammad Fadhillah Hakim,")</f>
        <v>Mochammad Fadhillah Hakim,</v>
      </c>
      <c r="N4985" s="6" t="str">
        <f>IFERROR(__xludf.DUMMYFUNCTION("""COMPUTED_VALUE"""),"FIP Engineering")</f>
        <v>FIP Engineering</v>
      </c>
      <c r="O4985" s="6" t="str">
        <f>IFERROR(__xludf.DUMMYFUNCTION("""COMPUTED_VALUE"""),"FIP-DOM-000-11304-OS00001-INA-000000")</f>
        <v>FIP-DOM-000-11304-OS00001-INA-000000</v>
      </c>
      <c r="P4985" s="6" t="str">
        <f>IFERROR(__xludf.DUMMYFUNCTION("""COMPUTED_VALUE"""),"PO Closed")</f>
        <v>PO Closed</v>
      </c>
      <c r="Q4985" s="6" t="str">
        <f>IFERROR(__xludf.DUMMYFUNCTION("""COMPUTED_VALUE"""),"GL2604492")</f>
        <v>GL2604492</v>
      </c>
      <c r="R4985" s="57">
        <f>IFERROR(__xludf.DUMMYFUNCTION("""COMPUTED_VALUE"""),46086.0)</f>
        <v>46086</v>
      </c>
      <c r="S4985" s="57">
        <f>IFERROR(__xludf.DUMMYFUNCTION("""COMPUTED_VALUE"""),46087.0)</f>
        <v>46087</v>
      </c>
      <c r="T4985" s="57">
        <f>IFERROR(__xludf.DUMMYFUNCTION("""COMPUTED_VALUE"""),46142.0)</f>
        <v>46142</v>
      </c>
    </row>
    <row r="4986">
      <c r="A4986" s="6" t="str">
        <f>IFERROR(__xludf.DUMMYFUNCTION("""COMPUTED_VALUE"""),"121703961-10")</f>
        <v>121703961-10</v>
      </c>
      <c r="B4986" s="6" t="str">
        <f>IFERROR(__xludf.DUMMYFUNCTION("""COMPUTED_VALUE"""),"121703961 - APPROVED")</f>
        <v>121703961 - APPROVED</v>
      </c>
      <c r="C4986" s="6">
        <f>IFERROR(__xludf.DUMMYFUNCTION("""COMPUTED_VALUE"""),10.0)</f>
        <v>10</v>
      </c>
      <c r="D4986" s="6" t="str">
        <f>IFERROR(__xludf.DUMMYFUNCTION("""COMPUTED_VALUE"""),"P-17896-00")</f>
        <v>P-17896-00</v>
      </c>
      <c r="E4986" s="6" t="str">
        <f>IFERROR(__xludf.DUMMYFUNCTION("""COMPUTED_VALUE"""),"General - Hole Saw for Stainless Steel, dia. 37 mm; No Brand; -; 1 pcs")</f>
        <v>General - Hole Saw for Stainless Steel, dia. 37 mm; No Brand; -; 1 pcs</v>
      </c>
      <c r="F4986" s="6">
        <f>IFERROR(__xludf.DUMMYFUNCTION("""COMPUTED_VALUE"""),3.0)</f>
        <v>3</v>
      </c>
      <c r="G4986" s="6" t="str">
        <f>IFERROR(__xludf.DUMMYFUNCTION("""COMPUTED_VALUE"""),"Pieces")</f>
        <v>Pieces</v>
      </c>
      <c r="H4986" s="6" t="str">
        <f>IFERROR(__xludf.DUMMYFUNCTION("""COMPUTED_VALUE"""),"IDR")</f>
        <v>IDR</v>
      </c>
      <c r="I4986" s="6">
        <f>IFERROR(__xludf.DUMMYFUNCTION("""COMPUTED_VALUE"""),135000.0)</f>
        <v>135000</v>
      </c>
      <c r="J4986" s="6">
        <f>IFERROR(__xludf.DUMMYFUNCTION("""COMPUTED_VALUE"""),405000.0)</f>
        <v>405000</v>
      </c>
      <c r="K4986" s="57">
        <f>IFERROR(__xludf.DUMMYFUNCTION("""COMPUTED_VALUE"""),46122.0)</f>
        <v>46122</v>
      </c>
      <c r="L4986" s="6" t="str">
        <f>IFERROR(__xludf.DUMMYFUNCTION("""COMPUTED_VALUE"""),"FIP Engineering")</f>
        <v>FIP Engineering</v>
      </c>
      <c r="M4986" s="6" t="str">
        <f>IFERROR(__xludf.DUMMYFUNCTION("""COMPUTED_VALUE"""),"Mochammad Fadhillah Hakim,")</f>
        <v>Mochammad Fadhillah Hakim,</v>
      </c>
      <c r="N4986" s="6" t="str">
        <f>IFERROR(__xludf.DUMMYFUNCTION("""COMPUTED_VALUE"""),"FIP Engineering")</f>
        <v>FIP Engineering</v>
      </c>
      <c r="O4986" s="6" t="str">
        <f>IFERROR(__xludf.DUMMYFUNCTION("""COMPUTED_VALUE"""),"FIP-DOM-000-11304-OS00001-INA-000000")</f>
        <v>FIP-DOM-000-11304-OS00001-INA-000000</v>
      </c>
      <c r="P4986" s="6" t="str">
        <f>IFERROR(__xludf.DUMMYFUNCTION("""COMPUTED_VALUE"""),"PO Closed")</f>
        <v>PO Closed</v>
      </c>
      <c r="Q4986" s="6" t="str">
        <f>IFERROR(__xludf.DUMMYFUNCTION("""COMPUTED_VALUE"""),"GL2604492")</f>
        <v>GL2604492</v>
      </c>
      <c r="R4986" s="57">
        <f>IFERROR(__xludf.DUMMYFUNCTION("""COMPUTED_VALUE"""),46086.0)</f>
        <v>46086</v>
      </c>
      <c r="S4986" s="57">
        <f>IFERROR(__xludf.DUMMYFUNCTION("""COMPUTED_VALUE"""),46087.0)</f>
        <v>46087</v>
      </c>
      <c r="T4986" s="57">
        <f>IFERROR(__xludf.DUMMYFUNCTION("""COMPUTED_VALUE"""),46142.0)</f>
        <v>46142</v>
      </c>
    </row>
    <row r="4987">
      <c r="A4987" s="6" t="str">
        <f>IFERROR(__xludf.DUMMYFUNCTION("""COMPUTED_VALUE"""),"121703962-1")</f>
        <v>121703962-1</v>
      </c>
      <c r="B4987" s="6" t="str">
        <f>IFERROR(__xludf.DUMMYFUNCTION("""COMPUTED_VALUE"""),"121703962 - APPROVED")</f>
        <v>121703962 - APPROVED</v>
      </c>
      <c r="C4987" s="6">
        <f>IFERROR(__xludf.DUMMYFUNCTION("""COMPUTED_VALUE"""),1.0)</f>
        <v>1</v>
      </c>
      <c r="D4987" s="6" t="str">
        <f>IFERROR(__xludf.DUMMYFUNCTION("""COMPUTED_VALUE"""),"P-17897-00")</f>
        <v>P-17897-00</v>
      </c>
      <c r="E4987" s="6" t="str">
        <f>IFERROR(__xludf.DUMMYFUNCTION("""COMPUTED_VALUE"""),"General - Single Tape Foam 3mm x 25mm; No Brand; -; 10meter/roll")</f>
        <v>General - Single Tape Foam 3mm x 25mm; No Brand; -; 10meter/roll</v>
      </c>
      <c r="F4987" s="6">
        <f>IFERROR(__xludf.DUMMYFUNCTION("""COMPUTED_VALUE"""),2.0)</f>
        <v>2</v>
      </c>
      <c r="G4987" s="6" t="str">
        <f>IFERROR(__xludf.DUMMYFUNCTION("""COMPUTED_VALUE"""),"Pieces")</f>
        <v>Pieces</v>
      </c>
      <c r="H4987" s="6" t="str">
        <f>IFERROR(__xludf.DUMMYFUNCTION("""COMPUTED_VALUE"""),"IDR")</f>
        <v>IDR</v>
      </c>
      <c r="I4987" s="6">
        <f>IFERROR(__xludf.DUMMYFUNCTION("""COMPUTED_VALUE"""),77500.0)</f>
        <v>77500</v>
      </c>
      <c r="J4987" s="6">
        <f>IFERROR(__xludf.DUMMYFUNCTION("""COMPUTED_VALUE"""),155000.0)</f>
        <v>155000</v>
      </c>
      <c r="K4987" s="57">
        <f>IFERROR(__xludf.DUMMYFUNCTION("""COMPUTED_VALUE"""),46122.0)</f>
        <v>46122</v>
      </c>
      <c r="L4987" s="6" t="str">
        <f>IFERROR(__xludf.DUMMYFUNCTION("""COMPUTED_VALUE"""),"FIP Engineering")</f>
        <v>FIP Engineering</v>
      </c>
      <c r="M4987" s="6" t="str">
        <f>IFERROR(__xludf.DUMMYFUNCTION("""COMPUTED_VALUE"""),"Mochammad Fadhillah Hakim,")</f>
        <v>Mochammad Fadhillah Hakim,</v>
      </c>
      <c r="N4987" s="6" t="str">
        <f>IFERROR(__xludf.DUMMYFUNCTION("""COMPUTED_VALUE"""),"FIP Engineering")</f>
        <v>FIP Engineering</v>
      </c>
      <c r="O4987" s="6" t="str">
        <f>IFERROR(__xludf.DUMMYFUNCTION("""COMPUTED_VALUE"""),"FIP-DOM-000-11304-OS00001-INA-000000")</f>
        <v>FIP-DOM-000-11304-OS00001-INA-000000</v>
      </c>
      <c r="P4987" s="6" t="str">
        <f>IFERROR(__xludf.DUMMYFUNCTION("""COMPUTED_VALUE"""),"PO Closed")</f>
        <v>PO Closed</v>
      </c>
      <c r="Q4987" s="6" t="str">
        <f>IFERROR(__xludf.DUMMYFUNCTION("""COMPUTED_VALUE"""),"GL2604492")</f>
        <v>GL2604492</v>
      </c>
      <c r="R4987" s="57">
        <f>IFERROR(__xludf.DUMMYFUNCTION("""COMPUTED_VALUE"""),46086.0)</f>
        <v>46086</v>
      </c>
      <c r="S4987" s="57">
        <f>IFERROR(__xludf.DUMMYFUNCTION("""COMPUTED_VALUE"""),46087.0)</f>
        <v>46087</v>
      </c>
      <c r="T4987" s="57">
        <f>IFERROR(__xludf.DUMMYFUNCTION("""COMPUTED_VALUE"""),46142.0)</f>
        <v>46142</v>
      </c>
    </row>
    <row r="4988">
      <c r="A4988" s="6" t="str">
        <f>IFERROR(__xludf.DUMMYFUNCTION("""COMPUTED_VALUE"""),"121703962-2")</f>
        <v>121703962-2</v>
      </c>
      <c r="B4988" s="6" t="str">
        <f>IFERROR(__xludf.DUMMYFUNCTION("""COMPUTED_VALUE"""),"121703962 - APPROVED")</f>
        <v>121703962 - APPROVED</v>
      </c>
      <c r="C4988" s="6">
        <f>IFERROR(__xludf.DUMMYFUNCTION("""COMPUTED_VALUE"""),2.0)</f>
        <v>2</v>
      </c>
      <c r="D4988" s="6" t="str">
        <f>IFERROR(__xludf.DUMMYFUNCTION("""COMPUTED_VALUE"""),"P-18666-00")</f>
        <v>P-18666-00</v>
      </c>
      <c r="E4988" s="6" t="str">
        <f>IFERROR(__xludf.DUMMYFUNCTION("""COMPUTED_VALUE"""),"General - Vlok Ring, Kuningan/Brass, 1 x 1/2inch; No Brand; -; 1 pc")</f>
        <v>General - Vlok Ring, Kuningan/Brass, 1 x 1/2inch; No Brand; -; 1 pc</v>
      </c>
      <c r="F4988" s="6">
        <f>IFERROR(__xludf.DUMMYFUNCTION("""COMPUTED_VALUE"""),3.0)</f>
        <v>3</v>
      </c>
      <c r="G4988" s="6" t="str">
        <f>IFERROR(__xludf.DUMMYFUNCTION("""COMPUTED_VALUE"""),"Pieces")</f>
        <v>Pieces</v>
      </c>
      <c r="H4988" s="6" t="str">
        <f>IFERROR(__xludf.DUMMYFUNCTION("""COMPUTED_VALUE"""),"IDR")</f>
        <v>IDR</v>
      </c>
      <c r="I4988" s="6">
        <f>IFERROR(__xludf.DUMMYFUNCTION("""COMPUTED_VALUE"""),43000.0)</f>
        <v>43000</v>
      </c>
      <c r="J4988" s="6">
        <f>IFERROR(__xludf.DUMMYFUNCTION("""COMPUTED_VALUE"""),129000.0)</f>
        <v>129000</v>
      </c>
      <c r="K4988" s="57">
        <f>IFERROR(__xludf.DUMMYFUNCTION("""COMPUTED_VALUE"""),46122.0)</f>
        <v>46122</v>
      </c>
      <c r="L4988" s="6" t="str">
        <f>IFERROR(__xludf.DUMMYFUNCTION("""COMPUTED_VALUE"""),"FIP Engineering")</f>
        <v>FIP Engineering</v>
      </c>
      <c r="M4988" s="6" t="str">
        <f>IFERROR(__xludf.DUMMYFUNCTION("""COMPUTED_VALUE"""),"Mochammad Fadhillah Hakim,")</f>
        <v>Mochammad Fadhillah Hakim,</v>
      </c>
      <c r="N4988" s="6" t="str">
        <f>IFERROR(__xludf.DUMMYFUNCTION("""COMPUTED_VALUE"""),"FIP Engineering")</f>
        <v>FIP Engineering</v>
      </c>
      <c r="O4988" s="6" t="str">
        <f>IFERROR(__xludf.DUMMYFUNCTION("""COMPUTED_VALUE"""),"FIP-DOM-000-11304-OS00001-INA-000000")</f>
        <v>FIP-DOM-000-11304-OS00001-INA-000000</v>
      </c>
      <c r="P4988" s="6" t="str">
        <f>IFERROR(__xludf.DUMMYFUNCTION("""COMPUTED_VALUE"""),"PO Closed")</f>
        <v>PO Closed</v>
      </c>
      <c r="Q4988" s="6" t="str">
        <f>IFERROR(__xludf.DUMMYFUNCTION("""COMPUTED_VALUE"""),"GL2604492")</f>
        <v>GL2604492</v>
      </c>
      <c r="R4988" s="57">
        <f>IFERROR(__xludf.DUMMYFUNCTION("""COMPUTED_VALUE"""),46086.0)</f>
        <v>46086</v>
      </c>
      <c r="S4988" s="57">
        <f>IFERROR(__xludf.DUMMYFUNCTION("""COMPUTED_VALUE"""),46087.0)</f>
        <v>46087</v>
      </c>
      <c r="T4988" s="57">
        <f>IFERROR(__xludf.DUMMYFUNCTION("""COMPUTED_VALUE"""),46142.0)</f>
        <v>46142</v>
      </c>
    </row>
    <row r="4989">
      <c r="A4989" s="6" t="str">
        <f>IFERROR(__xludf.DUMMYFUNCTION("""COMPUTED_VALUE"""),"121703962-3")</f>
        <v>121703962-3</v>
      </c>
      <c r="B4989" s="6" t="str">
        <f>IFERROR(__xludf.DUMMYFUNCTION("""COMPUTED_VALUE"""),"121703962 - APPROVED")</f>
        <v>121703962 - APPROVED</v>
      </c>
      <c r="C4989" s="6">
        <f>IFERROR(__xludf.DUMMYFUNCTION("""COMPUTED_VALUE"""),3.0)</f>
        <v>3</v>
      </c>
      <c r="D4989" s="6" t="str">
        <f>IFERROR(__xludf.DUMMYFUNCTION("""COMPUTED_VALUE"""),"P-18908-00")</f>
        <v>P-18908-00</v>
      </c>
      <c r="E4989" s="6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F4989" s="6">
        <f>IFERROR(__xludf.DUMMYFUNCTION("""COMPUTED_VALUE"""),2.0)</f>
        <v>2</v>
      </c>
      <c r="G4989" s="6" t="str">
        <f>IFERROR(__xludf.DUMMYFUNCTION("""COMPUTED_VALUE"""),"Pieces")</f>
        <v>Pieces</v>
      </c>
      <c r="H4989" s="6" t="str">
        <f>IFERROR(__xludf.DUMMYFUNCTION("""COMPUTED_VALUE"""),"IDR")</f>
        <v>IDR</v>
      </c>
      <c r="I4989" s="6">
        <f>IFERROR(__xludf.DUMMYFUNCTION("""COMPUTED_VALUE"""),451000.0)</f>
        <v>451000</v>
      </c>
      <c r="J4989" s="6">
        <f>IFERROR(__xludf.DUMMYFUNCTION("""COMPUTED_VALUE"""),902000.0)</f>
        <v>902000</v>
      </c>
      <c r="K4989" s="57">
        <f>IFERROR(__xludf.DUMMYFUNCTION("""COMPUTED_VALUE"""),46122.0)</f>
        <v>46122</v>
      </c>
      <c r="L4989" s="6" t="str">
        <f>IFERROR(__xludf.DUMMYFUNCTION("""COMPUTED_VALUE"""),"FIP Engineering")</f>
        <v>FIP Engineering</v>
      </c>
      <c r="M4989" s="6" t="str">
        <f>IFERROR(__xludf.DUMMYFUNCTION("""COMPUTED_VALUE"""),"Mochammad Fadhillah Hakim,")</f>
        <v>Mochammad Fadhillah Hakim,</v>
      </c>
      <c r="N4989" s="6" t="str">
        <f>IFERROR(__xludf.DUMMYFUNCTION("""COMPUTED_VALUE"""),"FIP Engineering")</f>
        <v>FIP Engineering</v>
      </c>
      <c r="O4989" s="6" t="str">
        <f>IFERROR(__xludf.DUMMYFUNCTION("""COMPUTED_VALUE"""),"FIP-DOM-000-11304-OS00001-INA-000000")</f>
        <v>FIP-DOM-000-11304-OS00001-INA-000000</v>
      </c>
      <c r="P4989" s="6" t="str">
        <f>IFERROR(__xludf.DUMMYFUNCTION("""COMPUTED_VALUE"""),"PO Closed")</f>
        <v>PO Closed</v>
      </c>
      <c r="Q4989" s="6" t="str">
        <f>IFERROR(__xludf.DUMMYFUNCTION("""COMPUTED_VALUE"""),"GL2604491")</f>
        <v>GL2604491</v>
      </c>
      <c r="R4989" s="57">
        <f>IFERROR(__xludf.DUMMYFUNCTION("""COMPUTED_VALUE"""),46086.0)</f>
        <v>46086</v>
      </c>
      <c r="S4989" s="57">
        <f>IFERROR(__xludf.DUMMYFUNCTION("""COMPUTED_VALUE"""),46087.0)</f>
        <v>46087</v>
      </c>
      <c r="T4989" s="57">
        <f>IFERROR(__xludf.DUMMYFUNCTION("""COMPUTED_VALUE"""),46142.0)</f>
        <v>46142</v>
      </c>
    </row>
    <row r="4990">
      <c r="A4990" s="6" t="str">
        <f>IFERROR(__xludf.DUMMYFUNCTION("""COMPUTED_VALUE"""),"121703962-4")</f>
        <v>121703962-4</v>
      </c>
      <c r="B4990" s="6" t="str">
        <f>IFERROR(__xludf.DUMMYFUNCTION("""COMPUTED_VALUE"""),"121703962 - APPROVED")</f>
        <v>121703962 - APPROVED</v>
      </c>
      <c r="C4990" s="6">
        <f>IFERROR(__xludf.DUMMYFUNCTION("""COMPUTED_VALUE"""),4.0)</f>
        <v>4</v>
      </c>
      <c r="D4990" s="6" t="str">
        <f>IFERROR(__xludf.DUMMYFUNCTION("""COMPUTED_VALUE"""),"P-18963-00")</f>
        <v>P-18963-00</v>
      </c>
      <c r="E4990" s="6" t="str">
        <f>IFERROR(__xludf.DUMMYFUNCTION("""COMPUTED_VALUE"""),"General - Tubing Nylon Putih 6 x 8mm; No Brand; -; 1 Pc")</f>
        <v>General - Tubing Nylon Putih 6 x 8mm; No Brand; -; 1 Pc</v>
      </c>
      <c r="F4990" s="6">
        <f>IFERROR(__xludf.DUMMYFUNCTION("""COMPUTED_VALUE"""),30.0)</f>
        <v>30</v>
      </c>
      <c r="G4990" s="6" t="str">
        <f>IFERROR(__xludf.DUMMYFUNCTION("""COMPUTED_VALUE"""),"Pieces")</f>
        <v>Pieces</v>
      </c>
      <c r="H4990" s="6" t="str">
        <f>IFERROR(__xludf.DUMMYFUNCTION("""COMPUTED_VALUE"""),"IDR")</f>
        <v>IDR</v>
      </c>
      <c r="I4990" s="6">
        <f>IFERROR(__xludf.DUMMYFUNCTION("""COMPUTED_VALUE"""),13500.0)</f>
        <v>13500</v>
      </c>
      <c r="J4990" s="6">
        <f>IFERROR(__xludf.DUMMYFUNCTION("""COMPUTED_VALUE"""),405000.0)</f>
        <v>405000</v>
      </c>
      <c r="K4990" s="57">
        <f>IFERROR(__xludf.DUMMYFUNCTION("""COMPUTED_VALUE"""),46122.0)</f>
        <v>46122</v>
      </c>
      <c r="L4990" s="6" t="str">
        <f>IFERROR(__xludf.DUMMYFUNCTION("""COMPUTED_VALUE"""),"FIP Engineering")</f>
        <v>FIP Engineering</v>
      </c>
      <c r="M4990" s="6" t="str">
        <f>IFERROR(__xludf.DUMMYFUNCTION("""COMPUTED_VALUE"""),"Mochammad Fadhillah Hakim,")</f>
        <v>Mochammad Fadhillah Hakim,</v>
      </c>
      <c r="N4990" s="6" t="str">
        <f>IFERROR(__xludf.DUMMYFUNCTION("""COMPUTED_VALUE"""),"FIP Engineering")</f>
        <v>FIP Engineering</v>
      </c>
      <c r="O4990" s="6" t="str">
        <f>IFERROR(__xludf.DUMMYFUNCTION("""COMPUTED_VALUE"""),"FIP-DOM-000-11304-OS00001-INA-000000")</f>
        <v>FIP-DOM-000-11304-OS00001-INA-000000</v>
      </c>
      <c r="P4990" s="6" t="str">
        <f>IFERROR(__xludf.DUMMYFUNCTION("""COMPUTED_VALUE"""),"PO Closed")</f>
        <v>PO Closed</v>
      </c>
      <c r="Q4990" s="6" t="str">
        <f>IFERROR(__xludf.DUMMYFUNCTION("""COMPUTED_VALUE"""),"GL2604491")</f>
        <v>GL2604491</v>
      </c>
      <c r="R4990" s="57">
        <f>IFERROR(__xludf.DUMMYFUNCTION("""COMPUTED_VALUE"""),46086.0)</f>
        <v>46086</v>
      </c>
      <c r="S4990" s="57">
        <f>IFERROR(__xludf.DUMMYFUNCTION("""COMPUTED_VALUE"""),46087.0)</f>
        <v>46087</v>
      </c>
      <c r="T4990" s="57">
        <f>IFERROR(__xludf.DUMMYFUNCTION("""COMPUTED_VALUE"""),46142.0)</f>
        <v>46142</v>
      </c>
    </row>
    <row r="4991">
      <c r="A4991" s="6" t="str">
        <f>IFERROR(__xludf.DUMMYFUNCTION("""COMPUTED_VALUE"""),"121703962-5")</f>
        <v>121703962-5</v>
      </c>
      <c r="B4991" s="6" t="str">
        <f>IFERROR(__xludf.DUMMYFUNCTION("""COMPUTED_VALUE"""),"121703962 - APPROVED")</f>
        <v>121703962 - APPROVED</v>
      </c>
      <c r="C4991" s="6">
        <f>IFERROR(__xludf.DUMMYFUNCTION("""COMPUTED_VALUE"""),5.0)</f>
        <v>5</v>
      </c>
      <c r="D4991" s="6" t="str">
        <f>IFERROR(__xludf.DUMMYFUNCTION("""COMPUTED_VALUE"""),"P-19232-00")</f>
        <v>P-19232-00</v>
      </c>
      <c r="E4991" s="6" t="str">
        <f>IFERROR(__xludf.DUMMYFUNCTION("""COMPUTED_VALUE"""),"General - Fitting QSL 3/8 x 12 mm; EMC; -; 1 pc")</f>
        <v>General - Fitting QSL 3/8 x 12 mm; EMC; -; 1 pc</v>
      </c>
      <c r="F4991" s="6">
        <f>IFERROR(__xludf.DUMMYFUNCTION("""COMPUTED_VALUE"""),10.0)</f>
        <v>10</v>
      </c>
      <c r="G4991" s="6" t="str">
        <f>IFERROR(__xludf.DUMMYFUNCTION("""COMPUTED_VALUE"""),"Pieces")</f>
        <v>Pieces</v>
      </c>
      <c r="H4991" s="6" t="str">
        <f>IFERROR(__xludf.DUMMYFUNCTION("""COMPUTED_VALUE"""),"IDR")</f>
        <v>IDR</v>
      </c>
      <c r="I4991" s="6">
        <f>IFERROR(__xludf.DUMMYFUNCTION("""COMPUTED_VALUE"""),27000.0)</f>
        <v>27000</v>
      </c>
      <c r="J4991" s="6">
        <f>IFERROR(__xludf.DUMMYFUNCTION("""COMPUTED_VALUE"""),270000.0)</f>
        <v>270000</v>
      </c>
      <c r="K4991" s="57">
        <f>IFERROR(__xludf.DUMMYFUNCTION("""COMPUTED_VALUE"""),46122.0)</f>
        <v>46122</v>
      </c>
      <c r="L4991" s="6" t="str">
        <f>IFERROR(__xludf.DUMMYFUNCTION("""COMPUTED_VALUE"""),"FIP Engineering")</f>
        <v>FIP Engineering</v>
      </c>
      <c r="M4991" s="6" t="str">
        <f>IFERROR(__xludf.DUMMYFUNCTION("""COMPUTED_VALUE"""),"Mochammad Fadhillah Hakim,")</f>
        <v>Mochammad Fadhillah Hakim,</v>
      </c>
      <c r="N4991" s="6" t="str">
        <f>IFERROR(__xludf.DUMMYFUNCTION("""COMPUTED_VALUE"""),"FIP Engineering")</f>
        <v>FIP Engineering</v>
      </c>
      <c r="O4991" s="6" t="str">
        <f>IFERROR(__xludf.DUMMYFUNCTION("""COMPUTED_VALUE"""),"FIP-DOM-000-11304-OS00001-INA-000000")</f>
        <v>FIP-DOM-000-11304-OS00001-INA-000000</v>
      </c>
      <c r="P4991" s="6" t="str">
        <f>IFERROR(__xludf.DUMMYFUNCTION("""COMPUTED_VALUE"""),"PO Closed")</f>
        <v>PO Closed</v>
      </c>
      <c r="Q4991" s="6" t="str">
        <f>IFERROR(__xludf.DUMMYFUNCTION("""COMPUTED_VALUE"""),"GL2604491")</f>
        <v>GL2604491</v>
      </c>
      <c r="R4991" s="57">
        <f>IFERROR(__xludf.DUMMYFUNCTION("""COMPUTED_VALUE"""),46086.0)</f>
        <v>46086</v>
      </c>
      <c r="S4991" s="57">
        <f>IFERROR(__xludf.DUMMYFUNCTION("""COMPUTED_VALUE"""),46087.0)</f>
        <v>46087</v>
      </c>
      <c r="T4991" s="57">
        <f>IFERROR(__xludf.DUMMYFUNCTION("""COMPUTED_VALUE"""),46142.0)</f>
        <v>46142</v>
      </c>
    </row>
    <row r="4992">
      <c r="A4992" s="6" t="str">
        <f>IFERROR(__xludf.DUMMYFUNCTION("""COMPUTED_VALUE"""),"121703962-6")</f>
        <v>121703962-6</v>
      </c>
      <c r="B4992" s="6" t="str">
        <f>IFERROR(__xludf.DUMMYFUNCTION("""COMPUTED_VALUE"""),"121703962 - APPROVED")</f>
        <v>121703962 - APPROVED</v>
      </c>
      <c r="C4992" s="6">
        <f>IFERROR(__xludf.DUMMYFUNCTION("""COMPUTED_VALUE"""),6.0)</f>
        <v>6</v>
      </c>
      <c r="D4992" s="6" t="str">
        <f>IFERROR(__xludf.DUMMYFUNCTION("""COMPUTED_VALUE"""),"P-51298-00")</f>
        <v>P-51298-00</v>
      </c>
      <c r="E4992" s="6" t="str">
        <f>IFERROR(__xludf.DUMMYFUNCTION("""COMPUTED_VALUE"""),"General - Terminal Plastik, dia. 4 mm; No Brand; -; 1 pcs")</f>
        <v>General - Terminal Plastik, dia. 4 mm; No Brand; -; 1 pcs</v>
      </c>
      <c r="F4992" s="6">
        <f>IFERROR(__xludf.DUMMYFUNCTION("""COMPUTED_VALUE"""),5.0)</f>
        <v>5</v>
      </c>
      <c r="G4992" s="6" t="str">
        <f>IFERROR(__xludf.DUMMYFUNCTION("""COMPUTED_VALUE"""),"Pieces")</f>
        <v>Pieces</v>
      </c>
      <c r="H4992" s="6" t="str">
        <f>IFERROR(__xludf.DUMMYFUNCTION("""COMPUTED_VALUE"""),"IDR")</f>
        <v>IDR</v>
      </c>
      <c r="I4992" s="6">
        <f>IFERROR(__xludf.DUMMYFUNCTION("""COMPUTED_VALUE"""),7000.0)</f>
        <v>7000</v>
      </c>
      <c r="J4992" s="6">
        <f>IFERROR(__xludf.DUMMYFUNCTION("""COMPUTED_VALUE"""),35000.0)</f>
        <v>35000</v>
      </c>
      <c r="K4992" s="57">
        <f>IFERROR(__xludf.DUMMYFUNCTION("""COMPUTED_VALUE"""),46122.0)</f>
        <v>46122</v>
      </c>
      <c r="L4992" s="6" t="str">
        <f>IFERROR(__xludf.DUMMYFUNCTION("""COMPUTED_VALUE"""),"FIP Engineering")</f>
        <v>FIP Engineering</v>
      </c>
      <c r="M4992" s="6" t="str">
        <f>IFERROR(__xludf.DUMMYFUNCTION("""COMPUTED_VALUE"""),"Mochammad Fadhillah Hakim,")</f>
        <v>Mochammad Fadhillah Hakim,</v>
      </c>
      <c r="N4992" s="6" t="str">
        <f>IFERROR(__xludf.DUMMYFUNCTION("""COMPUTED_VALUE"""),"FIP Engineering")</f>
        <v>FIP Engineering</v>
      </c>
      <c r="O4992" s="6" t="str">
        <f>IFERROR(__xludf.DUMMYFUNCTION("""COMPUTED_VALUE"""),"FIP-DOM-000-11304-OS00001-INA-000000")</f>
        <v>FIP-DOM-000-11304-OS00001-INA-000000</v>
      </c>
      <c r="P4992" s="6" t="str">
        <f>IFERROR(__xludf.DUMMYFUNCTION("""COMPUTED_VALUE"""),"PO Closed")</f>
        <v>PO Closed</v>
      </c>
      <c r="Q4992" s="6" t="str">
        <f>IFERROR(__xludf.DUMMYFUNCTION("""COMPUTED_VALUE"""),"GL2603475")</f>
        <v>GL2603475</v>
      </c>
      <c r="R4992" s="57">
        <f>IFERROR(__xludf.DUMMYFUNCTION("""COMPUTED_VALUE"""),46086.0)</f>
        <v>46086</v>
      </c>
      <c r="S4992" s="57">
        <f>IFERROR(__xludf.DUMMYFUNCTION("""COMPUTED_VALUE"""),46087.0)</f>
        <v>46087</v>
      </c>
      <c r="T4992" s="57">
        <f>IFERROR(__xludf.DUMMYFUNCTION("""COMPUTED_VALUE"""),46117.0)</f>
        <v>46117</v>
      </c>
    </row>
    <row r="4993">
      <c r="A4993" s="6" t="str">
        <f>IFERROR(__xludf.DUMMYFUNCTION("""COMPUTED_VALUE"""),"121703962-7")</f>
        <v>121703962-7</v>
      </c>
      <c r="B4993" s="6" t="str">
        <f>IFERROR(__xludf.DUMMYFUNCTION("""COMPUTED_VALUE"""),"121703962 - APPROVED")</f>
        <v>121703962 - APPROVED</v>
      </c>
      <c r="C4993" s="6">
        <f>IFERROR(__xludf.DUMMYFUNCTION("""COMPUTED_VALUE"""),7.0)</f>
        <v>7</v>
      </c>
      <c r="D4993" s="6" t="str">
        <f>IFERROR(__xludf.DUMMYFUNCTION("""COMPUTED_VALUE"""),"P-51756-00")</f>
        <v>P-51756-00</v>
      </c>
      <c r="E4993" s="6" t="str">
        <f>IFERROR(__xludf.DUMMYFUNCTION("""COMPUTED_VALUE"""),"General - Kabel NYYHY 3 x 0.75mm; Jembo; -; 1 meter")</f>
        <v>General - Kabel NYYHY 3 x 0.75mm; Jembo; -; 1 meter</v>
      </c>
      <c r="F4993" s="6">
        <f>IFERROR(__xludf.DUMMYFUNCTION("""COMPUTED_VALUE"""),150.0)</f>
        <v>150</v>
      </c>
      <c r="G4993" s="6" t="str">
        <f>IFERROR(__xludf.DUMMYFUNCTION("""COMPUTED_VALUE"""),"Meter")</f>
        <v>Meter</v>
      </c>
      <c r="H4993" s="6" t="str">
        <f>IFERROR(__xludf.DUMMYFUNCTION("""COMPUTED_VALUE"""),"IDR")</f>
        <v>IDR</v>
      </c>
      <c r="I4993" s="6">
        <f>IFERROR(__xludf.DUMMYFUNCTION("""COMPUTED_VALUE"""),11370.0)</f>
        <v>11370</v>
      </c>
      <c r="J4993" s="6">
        <f>IFERROR(__xludf.DUMMYFUNCTION("""COMPUTED_VALUE"""),1705500.0)</f>
        <v>1705500</v>
      </c>
      <c r="K4993" s="57">
        <f>IFERROR(__xludf.DUMMYFUNCTION("""COMPUTED_VALUE"""),46122.0)</f>
        <v>46122</v>
      </c>
      <c r="L4993" s="6" t="str">
        <f>IFERROR(__xludf.DUMMYFUNCTION("""COMPUTED_VALUE"""),"FIP Engineering")</f>
        <v>FIP Engineering</v>
      </c>
      <c r="M4993" s="6" t="str">
        <f>IFERROR(__xludf.DUMMYFUNCTION("""COMPUTED_VALUE"""),"Mochammad Fadhillah Hakim,")</f>
        <v>Mochammad Fadhillah Hakim,</v>
      </c>
      <c r="N4993" s="6" t="str">
        <f>IFERROR(__xludf.DUMMYFUNCTION("""COMPUTED_VALUE"""),"FIP Engineering")</f>
        <v>FIP Engineering</v>
      </c>
      <c r="O4993" s="6" t="str">
        <f>IFERROR(__xludf.DUMMYFUNCTION("""COMPUTED_VALUE"""),"FIP-DOM-000-11304-OS00001-INA-000000")</f>
        <v>FIP-DOM-000-11304-OS00001-INA-000000</v>
      </c>
      <c r="P4993" s="6" t="str">
        <f>IFERROR(__xludf.DUMMYFUNCTION("""COMPUTED_VALUE"""),"PO Closed")</f>
        <v>PO Closed</v>
      </c>
      <c r="Q4993" s="6" t="str">
        <f>IFERROR(__xludf.DUMMYFUNCTION("""COMPUTED_VALUE"""),"GL2604494")</f>
        <v>GL2604494</v>
      </c>
      <c r="R4993" s="57">
        <f>IFERROR(__xludf.DUMMYFUNCTION("""COMPUTED_VALUE"""),46086.0)</f>
        <v>46086</v>
      </c>
      <c r="S4993" s="57">
        <f>IFERROR(__xludf.DUMMYFUNCTION("""COMPUTED_VALUE"""),46087.0)</f>
        <v>46087</v>
      </c>
      <c r="T4993" s="57">
        <f>IFERROR(__xludf.DUMMYFUNCTION("""COMPUTED_VALUE"""),46132.0)</f>
        <v>46132</v>
      </c>
    </row>
    <row r="4994">
      <c r="A4994" s="6" t="str">
        <f>IFERROR(__xludf.DUMMYFUNCTION("""COMPUTED_VALUE"""),"121703962-8")</f>
        <v>121703962-8</v>
      </c>
      <c r="B4994" s="6" t="str">
        <f>IFERROR(__xludf.DUMMYFUNCTION("""COMPUTED_VALUE"""),"121703962 - APPROVED")</f>
        <v>121703962 - APPROVED</v>
      </c>
      <c r="C4994" s="6">
        <f>IFERROR(__xludf.DUMMYFUNCTION("""COMPUTED_VALUE"""),8.0)</f>
        <v>8</v>
      </c>
      <c r="D4994" s="6" t="str">
        <f>IFERROR(__xludf.DUMMYFUNCTION("""COMPUTED_VALUE"""),"P-52254-00")</f>
        <v>P-52254-00</v>
      </c>
      <c r="E4994" s="6" t="str">
        <f>IFERROR(__xludf.DUMMYFUNCTION("""COMPUTED_VALUE"""),"General - Capacitor, 40 mF, 400/450 VAC; No Brand; -; 1 pcs")</f>
        <v>General - Capacitor, 40 mF, 400/450 VAC; No Brand; -; 1 pcs</v>
      </c>
      <c r="F4994" s="6">
        <f>IFERROR(__xludf.DUMMYFUNCTION("""COMPUTED_VALUE"""),3.0)</f>
        <v>3</v>
      </c>
      <c r="G4994" s="6" t="str">
        <f>IFERROR(__xludf.DUMMYFUNCTION("""COMPUTED_VALUE"""),"Pieces")</f>
        <v>Pieces</v>
      </c>
      <c r="H4994" s="6" t="str">
        <f>IFERROR(__xludf.DUMMYFUNCTION("""COMPUTED_VALUE"""),"IDR")</f>
        <v>IDR</v>
      </c>
      <c r="I4994" s="6">
        <f>IFERROR(__xludf.DUMMYFUNCTION("""COMPUTED_VALUE"""),107500.0)</f>
        <v>107500</v>
      </c>
      <c r="J4994" s="6">
        <f>IFERROR(__xludf.DUMMYFUNCTION("""COMPUTED_VALUE"""),322500.0)</f>
        <v>322500</v>
      </c>
      <c r="K4994" s="57">
        <f>IFERROR(__xludf.DUMMYFUNCTION("""COMPUTED_VALUE"""),46122.0)</f>
        <v>46122</v>
      </c>
      <c r="L4994" s="6" t="str">
        <f>IFERROR(__xludf.DUMMYFUNCTION("""COMPUTED_VALUE"""),"FIP Engineering")</f>
        <v>FIP Engineering</v>
      </c>
      <c r="M4994" s="6" t="str">
        <f>IFERROR(__xludf.DUMMYFUNCTION("""COMPUTED_VALUE"""),"Mochammad Fadhillah Hakim,")</f>
        <v>Mochammad Fadhillah Hakim,</v>
      </c>
      <c r="N4994" s="6" t="str">
        <f>IFERROR(__xludf.DUMMYFUNCTION("""COMPUTED_VALUE"""),"FIP Engineering")</f>
        <v>FIP Engineering</v>
      </c>
      <c r="O4994" s="6" t="str">
        <f>IFERROR(__xludf.DUMMYFUNCTION("""COMPUTED_VALUE"""),"FIP-DOM-000-11304-OS00001-INA-000000")</f>
        <v>FIP-DOM-000-11304-OS00001-INA-000000</v>
      </c>
      <c r="P4994" s="6" t="str">
        <f>IFERROR(__xludf.DUMMYFUNCTION("""COMPUTED_VALUE"""),"PO Closed")</f>
        <v>PO Closed</v>
      </c>
      <c r="Q4994" s="6" t="str">
        <f>IFERROR(__xludf.DUMMYFUNCTION("""COMPUTED_VALUE"""),"GL2604490")</f>
        <v>GL2604490</v>
      </c>
      <c r="R4994" s="57">
        <f>IFERROR(__xludf.DUMMYFUNCTION("""COMPUTED_VALUE"""),46086.0)</f>
        <v>46086</v>
      </c>
      <c r="S4994" s="57">
        <f>IFERROR(__xludf.DUMMYFUNCTION("""COMPUTED_VALUE"""),46087.0)</f>
        <v>46087</v>
      </c>
      <c r="T4994" s="57">
        <f>IFERROR(__xludf.DUMMYFUNCTION("""COMPUTED_VALUE"""),46122.0)</f>
        <v>46122</v>
      </c>
    </row>
    <row r="4995">
      <c r="A4995" s="6" t="str">
        <f>IFERROR(__xludf.DUMMYFUNCTION("""COMPUTED_VALUE"""),"121703962-9")</f>
        <v>121703962-9</v>
      </c>
      <c r="B4995" s="6" t="str">
        <f>IFERROR(__xludf.DUMMYFUNCTION("""COMPUTED_VALUE"""),"121703962 - APPROVED")</f>
        <v>121703962 - APPROVED</v>
      </c>
      <c r="C4995" s="6">
        <f>IFERROR(__xludf.DUMMYFUNCTION("""COMPUTED_VALUE"""),9.0)</f>
        <v>9</v>
      </c>
      <c r="D4995" s="6" t="str">
        <f>IFERROR(__xludf.DUMMYFUNCTION("""COMPUTED_VALUE"""),"P-52513-00")</f>
        <v>P-52513-00</v>
      </c>
      <c r="E4995" s="6" t="str">
        <f>IFERROR(__xludf.DUMMYFUNCTION("""COMPUTED_VALUE"""),"General - Emergency Stop 22mm; IDEC; -; 1 pc")</f>
        <v>General - Emergency Stop 22mm; IDEC; -; 1 pc</v>
      </c>
      <c r="F4995" s="6">
        <f>IFERROR(__xludf.DUMMYFUNCTION("""COMPUTED_VALUE"""),2.0)</f>
        <v>2</v>
      </c>
      <c r="G4995" s="6" t="str">
        <f>IFERROR(__xludf.DUMMYFUNCTION("""COMPUTED_VALUE"""),"Pieces")</f>
        <v>Pieces</v>
      </c>
      <c r="H4995" s="6" t="str">
        <f>IFERROR(__xludf.DUMMYFUNCTION("""COMPUTED_VALUE"""),"IDR")</f>
        <v>IDR</v>
      </c>
      <c r="I4995" s="6">
        <f>IFERROR(__xludf.DUMMYFUNCTION("""COMPUTED_VALUE"""),85000.0)</f>
        <v>85000</v>
      </c>
      <c r="J4995" s="6">
        <f>IFERROR(__xludf.DUMMYFUNCTION("""COMPUTED_VALUE"""),170000.0)</f>
        <v>170000</v>
      </c>
      <c r="K4995" s="57">
        <f>IFERROR(__xludf.DUMMYFUNCTION("""COMPUTED_VALUE"""),46122.0)</f>
        <v>46122</v>
      </c>
      <c r="L4995" s="6" t="str">
        <f>IFERROR(__xludf.DUMMYFUNCTION("""COMPUTED_VALUE"""),"FIP Engineering")</f>
        <v>FIP Engineering</v>
      </c>
      <c r="M4995" s="6" t="str">
        <f>IFERROR(__xludf.DUMMYFUNCTION("""COMPUTED_VALUE"""),"Mochammad Fadhillah Hakim,")</f>
        <v>Mochammad Fadhillah Hakim,</v>
      </c>
      <c r="N4995" s="6" t="str">
        <f>IFERROR(__xludf.DUMMYFUNCTION("""COMPUTED_VALUE"""),"FIP Engineering")</f>
        <v>FIP Engineering</v>
      </c>
      <c r="O4995" s="6" t="str">
        <f>IFERROR(__xludf.DUMMYFUNCTION("""COMPUTED_VALUE"""),"FIP-DOM-000-11304-OS00001-INA-000000")</f>
        <v>FIP-DOM-000-11304-OS00001-INA-000000</v>
      </c>
      <c r="P4995" s="6" t="str">
        <f>IFERROR(__xludf.DUMMYFUNCTION("""COMPUTED_VALUE"""),"PO Closed")</f>
        <v>PO Closed</v>
      </c>
      <c r="Q4995" s="6" t="str">
        <f>IFERROR(__xludf.DUMMYFUNCTION("""COMPUTED_VALUE"""),"GL2604490")</f>
        <v>GL2604490</v>
      </c>
      <c r="R4995" s="57">
        <f>IFERROR(__xludf.DUMMYFUNCTION("""COMPUTED_VALUE"""),46086.0)</f>
        <v>46086</v>
      </c>
      <c r="S4995" s="57">
        <f>IFERROR(__xludf.DUMMYFUNCTION("""COMPUTED_VALUE"""),46087.0)</f>
        <v>46087</v>
      </c>
      <c r="T4995" s="57">
        <f>IFERROR(__xludf.DUMMYFUNCTION("""COMPUTED_VALUE"""),46122.0)</f>
        <v>46122</v>
      </c>
    </row>
    <row r="4996">
      <c r="A4996" s="6" t="str">
        <f>IFERROR(__xludf.DUMMYFUNCTION("""COMPUTED_VALUE"""),"121703962-10")</f>
        <v>121703962-10</v>
      </c>
      <c r="B4996" s="6" t="str">
        <f>IFERROR(__xludf.DUMMYFUNCTION("""COMPUTED_VALUE"""),"121703962 - APPROVED")</f>
        <v>121703962 - APPROVED</v>
      </c>
      <c r="C4996" s="6">
        <f>IFERROR(__xludf.DUMMYFUNCTION("""COMPUTED_VALUE"""),10.0)</f>
        <v>10</v>
      </c>
      <c r="D4996" s="6" t="str">
        <f>IFERROR(__xludf.DUMMYFUNCTION("""COMPUTED_VALUE"""),"P-52642-00")</f>
        <v>P-52642-00</v>
      </c>
      <c r="E4996" s="6" t="str">
        <f>IFERROR(__xludf.DUMMYFUNCTION("""COMPUTED_VALUE"""),"General - Kabel NYYHY 2 x 0.75mm; SUPREME; -; 1 meter")</f>
        <v>General - Kabel NYYHY 2 x 0.75mm; SUPREME; -; 1 meter</v>
      </c>
      <c r="F4996" s="6">
        <f>IFERROR(__xludf.DUMMYFUNCTION("""COMPUTED_VALUE"""),150.0)</f>
        <v>150</v>
      </c>
      <c r="G4996" s="6" t="str">
        <f>IFERROR(__xludf.DUMMYFUNCTION("""COMPUTED_VALUE"""),"Meter")</f>
        <v>Meter</v>
      </c>
      <c r="H4996" s="6" t="str">
        <f>IFERROR(__xludf.DUMMYFUNCTION("""COMPUTED_VALUE"""),"IDR")</f>
        <v>IDR</v>
      </c>
      <c r="I4996" s="6">
        <f>IFERROR(__xludf.DUMMYFUNCTION("""COMPUTED_VALUE"""),8000.0)</f>
        <v>8000</v>
      </c>
      <c r="J4996" s="6">
        <f>IFERROR(__xludf.DUMMYFUNCTION("""COMPUTED_VALUE"""),1200000.0)</f>
        <v>1200000</v>
      </c>
      <c r="K4996" s="57">
        <f>IFERROR(__xludf.DUMMYFUNCTION("""COMPUTED_VALUE"""),46122.0)</f>
        <v>46122</v>
      </c>
      <c r="L4996" s="6" t="str">
        <f>IFERROR(__xludf.DUMMYFUNCTION("""COMPUTED_VALUE"""),"FIP Engineering")</f>
        <v>FIP Engineering</v>
      </c>
      <c r="M4996" s="6" t="str">
        <f>IFERROR(__xludf.DUMMYFUNCTION("""COMPUTED_VALUE"""),"Mochammad Fadhillah Hakim,")</f>
        <v>Mochammad Fadhillah Hakim,</v>
      </c>
      <c r="N4996" s="6" t="str">
        <f>IFERROR(__xludf.DUMMYFUNCTION("""COMPUTED_VALUE"""),"FIP Engineering")</f>
        <v>FIP Engineering</v>
      </c>
      <c r="O4996" s="6" t="str">
        <f>IFERROR(__xludf.DUMMYFUNCTION("""COMPUTED_VALUE"""),"FIP-DOM-000-11304-OS00001-INA-000000")</f>
        <v>FIP-DOM-000-11304-OS00001-INA-000000</v>
      </c>
      <c r="P4996" s="6" t="str">
        <f>IFERROR(__xludf.DUMMYFUNCTION("""COMPUTED_VALUE"""),"PO Closed")</f>
        <v>PO Closed</v>
      </c>
      <c r="Q4996" s="6" t="str">
        <f>IFERROR(__xludf.DUMMYFUNCTION("""COMPUTED_VALUE"""),"GL2604492")</f>
        <v>GL2604492</v>
      </c>
      <c r="R4996" s="57">
        <f>IFERROR(__xludf.DUMMYFUNCTION("""COMPUTED_VALUE"""),46086.0)</f>
        <v>46086</v>
      </c>
      <c r="S4996" s="57">
        <f>IFERROR(__xludf.DUMMYFUNCTION("""COMPUTED_VALUE"""),46087.0)</f>
        <v>46087</v>
      </c>
      <c r="T4996" s="57">
        <f>IFERROR(__xludf.DUMMYFUNCTION("""COMPUTED_VALUE"""),46142.0)</f>
        <v>46142</v>
      </c>
    </row>
    <row r="4997">
      <c r="A4997" s="6" t="str">
        <f>IFERROR(__xludf.DUMMYFUNCTION("""COMPUTED_VALUE"""),"121703970-1")</f>
        <v>121703970-1</v>
      </c>
      <c r="B4997" s="6" t="str">
        <f>IFERROR(__xludf.DUMMYFUNCTION("""COMPUTED_VALUE"""),"121703970 - APPROVED")</f>
        <v>121703970 - APPROVED</v>
      </c>
      <c r="C4997" s="6">
        <f>IFERROR(__xludf.DUMMYFUNCTION("""COMPUTED_VALUE"""),1.0)</f>
        <v>1</v>
      </c>
      <c r="D4997" s="6" t="str">
        <f>IFERROR(__xludf.DUMMYFUNCTION("""COMPUTED_VALUE"""),"P-18290-00")</f>
        <v>P-18290-00</v>
      </c>
      <c r="E4997" s="6" t="str">
        <f>IFERROR(__xludf.DUMMYFUNCTION("""COMPUTED_VALUE"""),"Festo Standar Cylinder DSBC-40-40-PPVA-N3 PN. 1376657; ; ; pc")</f>
        <v>Festo Standar Cylinder DSBC-40-40-PPVA-N3 PN. 1376657; ; ; pc</v>
      </c>
      <c r="F4997" s="6">
        <f>IFERROR(__xludf.DUMMYFUNCTION("""COMPUTED_VALUE"""),2.0)</f>
        <v>2</v>
      </c>
      <c r="G4997" s="6" t="str">
        <f>IFERROR(__xludf.DUMMYFUNCTION("""COMPUTED_VALUE"""),"Pieces")</f>
        <v>Pieces</v>
      </c>
      <c r="H4997" s="6" t="str">
        <f>IFERROR(__xludf.DUMMYFUNCTION("""COMPUTED_VALUE"""),"IDR")</f>
        <v>IDR</v>
      </c>
      <c r="I4997" s="6">
        <f>IFERROR(__xludf.DUMMYFUNCTION("""COMPUTED_VALUE"""),1706637.0)</f>
        <v>1706637</v>
      </c>
      <c r="J4997" s="6">
        <f>IFERROR(__xludf.DUMMYFUNCTION("""COMPUTED_VALUE"""),3413274.0)</f>
        <v>3413274</v>
      </c>
      <c r="K4997" s="57">
        <f>IFERROR(__xludf.DUMMYFUNCTION("""COMPUTED_VALUE"""),46122.0)</f>
        <v>46122</v>
      </c>
      <c r="L4997" s="6" t="str">
        <f>IFERROR(__xludf.DUMMYFUNCTION("""COMPUTED_VALUE"""),"FIP Engineering")</f>
        <v>FIP Engineering</v>
      </c>
      <c r="M4997" s="6" t="str">
        <f>IFERROR(__xludf.DUMMYFUNCTION("""COMPUTED_VALUE"""),"Mochammad Fadhillah Hakim,")</f>
        <v>Mochammad Fadhillah Hakim,</v>
      </c>
      <c r="N4997" s="6" t="str">
        <f>IFERROR(__xludf.DUMMYFUNCTION("""COMPUTED_VALUE"""),"FIP Engineering")</f>
        <v>FIP Engineering</v>
      </c>
      <c r="O4997" s="6" t="str">
        <f>IFERROR(__xludf.DUMMYFUNCTION("""COMPUTED_VALUE"""),"FIP-DOM-000-11304-OS00001-INA-000000")</f>
        <v>FIP-DOM-000-11304-OS00001-INA-000000</v>
      </c>
      <c r="P4997" s="6" t="str">
        <f>IFERROR(__xludf.DUMMYFUNCTION("""COMPUTED_VALUE"""),"PO Closed")</f>
        <v>PO Closed</v>
      </c>
      <c r="Q4997" s="6" t="str">
        <f>IFERROR(__xludf.DUMMYFUNCTION("""COMPUTED_VALUE"""),"GL2604306")</f>
        <v>GL2604306</v>
      </c>
      <c r="R4997" s="57">
        <f>IFERROR(__xludf.DUMMYFUNCTION("""COMPUTED_VALUE"""),46086.0)</f>
        <v>46086</v>
      </c>
      <c r="S4997" s="57">
        <f>IFERROR(__xludf.DUMMYFUNCTION("""COMPUTED_VALUE"""),46087.0)</f>
        <v>46087</v>
      </c>
      <c r="T4997" s="57">
        <f>IFERROR(__xludf.DUMMYFUNCTION("""COMPUTED_VALUE"""),46152.0)</f>
        <v>46152</v>
      </c>
    </row>
    <row r="4998">
      <c r="A4998" s="6" t="str">
        <f>IFERROR(__xludf.DUMMYFUNCTION("""COMPUTED_VALUE"""),"121703971-1")</f>
        <v>121703971-1</v>
      </c>
      <c r="B4998" s="6" t="str">
        <f>IFERROR(__xludf.DUMMYFUNCTION("""COMPUTED_VALUE"""),"121703971 - APPROVED")</f>
        <v>121703971 - APPROVED</v>
      </c>
      <c r="C4998" s="6">
        <f>IFERROR(__xludf.DUMMYFUNCTION("""COMPUTED_VALUE"""),1.0)</f>
        <v>1</v>
      </c>
      <c r="D4998" s="6" t="str">
        <f>IFERROR(__xludf.DUMMYFUNCTION("""COMPUTED_VALUE"""),"P-20571-00")</f>
        <v>P-20571-00</v>
      </c>
      <c r="E4998" s="6" t="str">
        <f>IFERROR(__xludf.DUMMYFUNCTION("""COMPUTED_VALUE"""),"General - Force Gauge Digital 50kg; No Brand; AMF-500; 1 pc")</f>
        <v>General - Force Gauge Digital 50kg; No Brand; AMF-500; 1 pc</v>
      </c>
      <c r="F4998" s="6">
        <f>IFERROR(__xludf.DUMMYFUNCTION("""COMPUTED_VALUE"""),1.0)</f>
        <v>1</v>
      </c>
      <c r="G4998" s="6" t="str">
        <f>IFERROR(__xludf.DUMMYFUNCTION("""COMPUTED_VALUE"""),"Pieces")</f>
        <v>Pieces</v>
      </c>
      <c r="H4998" s="6" t="str">
        <f>IFERROR(__xludf.DUMMYFUNCTION("""COMPUTED_VALUE"""),"IDR")</f>
        <v>IDR</v>
      </c>
      <c r="I4998" s="6">
        <f>IFERROR(__xludf.DUMMYFUNCTION("""COMPUTED_VALUE"""),1089000.0)</f>
        <v>1089000</v>
      </c>
      <c r="J4998" s="6">
        <f>IFERROR(__xludf.DUMMYFUNCTION("""COMPUTED_VALUE"""),1089000.0)</f>
        <v>1089000</v>
      </c>
      <c r="K4998" s="57">
        <f>IFERROR(__xludf.DUMMYFUNCTION("""COMPUTED_VALUE"""),46122.0)</f>
        <v>46122</v>
      </c>
      <c r="L4998" s="6" t="str">
        <f>IFERROR(__xludf.DUMMYFUNCTION("""COMPUTED_VALUE"""),"FIP General")</f>
        <v>FIP General</v>
      </c>
      <c r="M4998" s="6" t="str">
        <f>IFERROR(__xludf.DUMMYFUNCTION("""COMPUTED_VALUE"""),"Mochammad Fadhillah Hakim,")</f>
        <v>Mochammad Fadhillah Hakim,</v>
      </c>
      <c r="N4998" s="6" t="str">
        <f>IFERROR(__xludf.DUMMYFUNCTION("""COMPUTED_VALUE"""),"FIP Engineering")</f>
        <v>FIP Engineering</v>
      </c>
      <c r="O4998" s="6" t="str">
        <f>IFERROR(__xludf.DUMMYFUNCTION("""COMPUTED_VALUE"""),"FIP-DOM-ENG-51404-0000000-INA-000000")</f>
        <v>FIP-DOM-ENG-51404-0000000-INA-000000</v>
      </c>
      <c r="P4998" s="6" t="str">
        <f>IFERROR(__xludf.DUMMYFUNCTION("""COMPUTED_VALUE"""),"PO Closed")</f>
        <v>PO Closed</v>
      </c>
      <c r="Q4998" s="6" t="str">
        <f>IFERROR(__xludf.DUMMYFUNCTION("""COMPUTED_VALUE"""),"GL2604492")</f>
        <v>GL2604492</v>
      </c>
      <c r="R4998" s="57">
        <f>IFERROR(__xludf.DUMMYFUNCTION("""COMPUTED_VALUE"""),46086.0)</f>
        <v>46086</v>
      </c>
      <c r="S4998" s="57">
        <f>IFERROR(__xludf.DUMMYFUNCTION("""COMPUTED_VALUE"""),46086.0)</f>
        <v>46086</v>
      </c>
      <c r="T4998" s="57">
        <f>IFERROR(__xludf.DUMMYFUNCTION("""COMPUTED_VALUE"""),46142.0)</f>
        <v>46142</v>
      </c>
    </row>
    <row r="4999">
      <c r="A4999" s="6" t="str">
        <f>IFERROR(__xludf.DUMMYFUNCTION("""COMPUTED_VALUE"""),"121703974-1")</f>
        <v>121703974-1</v>
      </c>
      <c r="B4999" s="6" t="str">
        <f>IFERROR(__xludf.DUMMYFUNCTION("""COMPUTED_VALUE"""),"121703974 - APPROVED")</f>
        <v>121703974 - APPROVED</v>
      </c>
      <c r="C4999" s="6">
        <f>IFERROR(__xludf.DUMMYFUNCTION("""COMPUTED_VALUE"""),1.0)</f>
        <v>1</v>
      </c>
      <c r="D4999" s="6" t="str">
        <f>IFERROR(__xludf.DUMMYFUNCTION("""COMPUTED_VALUE"""),"P-53210-00")</f>
        <v>P-53210-00</v>
      </c>
      <c r="E4999" s="6" t="str">
        <f>IFERROR(__xludf.DUMMYFUNCTION("""COMPUTED_VALUE"""),"General - Capacitor, 5 uF, 220 V, 2 kutub; No Brand; -; 1 pcs")</f>
        <v>General - Capacitor, 5 uF, 220 V, 2 kutub; No Brand; -; 1 pcs</v>
      </c>
      <c r="F4999" s="6">
        <f>IFERROR(__xludf.DUMMYFUNCTION("""COMPUTED_VALUE"""),4.0)</f>
        <v>4</v>
      </c>
      <c r="G4999" s="6" t="str">
        <f>IFERROR(__xludf.DUMMYFUNCTION("""COMPUTED_VALUE"""),"Pieces")</f>
        <v>Pieces</v>
      </c>
      <c r="H4999" s="6" t="str">
        <f>IFERROR(__xludf.DUMMYFUNCTION("""COMPUTED_VALUE"""),"IDR")</f>
        <v>IDR</v>
      </c>
      <c r="I4999" s="6">
        <f>IFERROR(__xludf.DUMMYFUNCTION("""COMPUTED_VALUE"""),50000.0)</f>
        <v>50000</v>
      </c>
      <c r="J4999" s="6">
        <f>IFERROR(__xludf.DUMMYFUNCTION("""COMPUTED_VALUE"""),200000.0)</f>
        <v>200000</v>
      </c>
      <c r="K4999" s="57">
        <f>IFERROR(__xludf.DUMMYFUNCTION("""COMPUTED_VALUE"""),46122.0)</f>
        <v>46122</v>
      </c>
      <c r="L4999" s="6" t="str">
        <f>IFERROR(__xludf.DUMMYFUNCTION("""COMPUTED_VALUE"""),"FIP Engineering")</f>
        <v>FIP Engineering</v>
      </c>
      <c r="M4999" s="6" t="str">
        <f>IFERROR(__xludf.DUMMYFUNCTION("""COMPUTED_VALUE"""),"Mochammad Fadhillah Hakim,")</f>
        <v>Mochammad Fadhillah Hakim,</v>
      </c>
      <c r="N4999" s="6" t="str">
        <f>IFERROR(__xludf.DUMMYFUNCTION("""COMPUTED_VALUE"""),"FIP Engineering")</f>
        <v>FIP Engineering</v>
      </c>
      <c r="O4999" s="6" t="str">
        <f>IFERROR(__xludf.DUMMYFUNCTION("""COMPUTED_VALUE"""),"FIP-DOM-000-11304-OS00001-INA-000000")</f>
        <v>FIP-DOM-000-11304-OS00001-INA-000000</v>
      </c>
      <c r="P4999" s="6" t="str">
        <f>IFERROR(__xludf.DUMMYFUNCTION("""COMPUTED_VALUE"""),"PO Closed")</f>
        <v>PO Closed</v>
      </c>
      <c r="Q4999" s="6" t="str">
        <f>IFERROR(__xludf.DUMMYFUNCTION("""COMPUTED_VALUE"""),"GL2604491")</f>
        <v>GL2604491</v>
      </c>
      <c r="R4999" s="57">
        <f>IFERROR(__xludf.DUMMYFUNCTION("""COMPUTED_VALUE"""),46087.0)</f>
        <v>46087</v>
      </c>
      <c r="S4999" s="57">
        <f>IFERROR(__xludf.DUMMYFUNCTION("""COMPUTED_VALUE"""),46090.0)</f>
        <v>46090</v>
      </c>
      <c r="T4999" s="57">
        <f>IFERROR(__xludf.DUMMYFUNCTION("""COMPUTED_VALUE"""),46142.0)</f>
        <v>46142</v>
      </c>
    </row>
    <row r="5000">
      <c r="A5000" s="6" t="str">
        <f>IFERROR(__xludf.DUMMYFUNCTION("""COMPUTED_VALUE"""),"121703974-2")</f>
        <v>121703974-2</v>
      </c>
      <c r="B5000" s="6" t="str">
        <f>IFERROR(__xludf.DUMMYFUNCTION("""COMPUTED_VALUE"""),"121703974 - APPROVED")</f>
        <v>121703974 - APPROVED</v>
      </c>
      <c r="C5000" s="6">
        <f>IFERROR(__xludf.DUMMYFUNCTION("""COMPUTED_VALUE"""),2.0)</f>
        <v>2</v>
      </c>
      <c r="D5000" s="6" t="str">
        <f>IFERROR(__xludf.DUMMYFUNCTION("""COMPUTED_VALUE"""),"Q-10715-00")</f>
        <v>Q-10715-00</v>
      </c>
      <c r="E5000" s="6" t="str">
        <f>IFERROR(__xludf.DUMMYFUNCTION("""COMPUTED_VALUE"""),"Lem PVC Isarplas Kuas @400gr; ; ;")</f>
        <v>Lem PVC Isarplas Kuas @400gr; ; ;</v>
      </c>
      <c r="F5000" s="6">
        <f>IFERROR(__xludf.DUMMYFUNCTION("""COMPUTED_VALUE"""),2.0)</f>
        <v>2</v>
      </c>
      <c r="G5000" s="6" t="str">
        <f>IFERROR(__xludf.DUMMYFUNCTION("""COMPUTED_VALUE"""),"Pieces")</f>
        <v>Pieces</v>
      </c>
      <c r="H5000" s="6" t="str">
        <f>IFERROR(__xludf.DUMMYFUNCTION("""COMPUTED_VALUE"""),"IDR")</f>
        <v>IDR</v>
      </c>
      <c r="I5000" s="6">
        <f>IFERROR(__xludf.DUMMYFUNCTION("""COMPUTED_VALUE"""),55000.0)</f>
        <v>55000</v>
      </c>
      <c r="J5000" s="6">
        <f>IFERROR(__xludf.DUMMYFUNCTION("""COMPUTED_VALUE"""),110000.0)</f>
        <v>110000</v>
      </c>
      <c r="K5000" s="57">
        <f>IFERROR(__xludf.DUMMYFUNCTION("""COMPUTED_VALUE"""),46122.0)</f>
        <v>46122</v>
      </c>
      <c r="L5000" s="6" t="str">
        <f>IFERROR(__xludf.DUMMYFUNCTION("""COMPUTED_VALUE"""),"FIP General")</f>
        <v>FIP General</v>
      </c>
      <c r="M5000" s="6" t="str">
        <f>IFERROR(__xludf.DUMMYFUNCTION("""COMPUTED_VALUE"""),"Mochammad Fadhillah Hakim,")</f>
        <v>Mochammad Fadhillah Hakim,</v>
      </c>
      <c r="N5000" s="6" t="str">
        <f>IFERROR(__xludf.DUMMYFUNCTION("""COMPUTED_VALUE"""),"FIP Engineering")</f>
        <v>FIP Engineering</v>
      </c>
      <c r="O5000" s="6" t="str">
        <f>IFERROR(__xludf.DUMMYFUNCTION("""COMPUTED_VALUE"""),"FIP-DOM-ENG-51502-0000000-INA-000000")</f>
        <v>FIP-DOM-ENG-51502-0000000-INA-000000</v>
      </c>
      <c r="P5000" s="6" t="str">
        <f>IFERROR(__xludf.DUMMYFUNCTION("""COMPUTED_VALUE"""),"PO Closed")</f>
        <v>PO Closed</v>
      </c>
      <c r="Q5000" s="6" t="str">
        <f>IFERROR(__xludf.DUMMYFUNCTION("""COMPUTED_VALUE"""),"GL2604040")</f>
        <v>GL2604040</v>
      </c>
      <c r="R5000" s="57">
        <f>IFERROR(__xludf.DUMMYFUNCTION("""COMPUTED_VALUE"""),46087.0)</f>
        <v>46087</v>
      </c>
      <c r="S5000" s="57">
        <f>IFERROR(__xludf.DUMMYFUNCTION("""COMPUTED_VALUE"""),46090.0)</f>
        <v>46090</v>
      </c>
      <c r="T5000" s="57">
        <f>IFERROR(__xludf.DUMMYFUNCTION("""COMPUTED_VALUE"""),46147.0)</f>
        <v>46147</v>
      </c>
    </row>
    <row r="5001">
      <c r="A5001" s="6" t="str">
        <f>IFERROR(__xludf.DUMMYFUNCTION("""COMPUTED_VALUE"""),"121703974-3")</f>
        <v>121703974-3</v>
      </c>
      <c r="B5001" s="6" t="str">
        <f>IFERROR(__xludf.DUMMYFUNCTION("""COMPUTED_VALUE"""),"121703974 - APPROVED")</f>
        <v>121703974 - APPROVED</v>
      </c>
      <c r="C5001" s="6">
        <f>IFERROR(__xludf.DUMMYFUNCTION("""COMPUTED_VALUE"""),3.0)</f>
        <v>3</v>
      </c>
      <c r="D5001" s="6" t="str">
        <f>IFERROR(__xludf.DUMMYFUNCTION("""COMPUTED_VALUE"""),"Q-70069-00")</f>
        <v>Q-70069-00</v>
      </c>
      <c r="E5001" s="6" t="str">
        <f>IFERROR(__xludf.DUMMYFUNCTION("""COMPUTED_VALUE"""),"Dynabolt Beton M10x70; M10; M10x70;")</f>
        <v>Dynabolt Beton M10x70; M10; M10x70;</v>
      </c>
      <c r="F5001" s="6">
        <f>IFERROR(__xludf.DUMMYFUNCTION("""COMPUTED_VALUE"""),50.0)</f>
        <v>50</v>
      </c>
      <c r="G5001" s="6" t="str">
        <f>IFERROR(__xludf.DUMMYFUNCTION("""COMPUTED_VALUE"""),"Pieces")</f>
        <v>Pieces</v>
      </c>
      <c r="H5001" s="6" t="str">
        <f>IFERROR(__xludf.DUMMYFUNCTION("""COMPUTED_VALUE"""),"IDR")</f>
        <v>IDR</v>
      </c>
      <c r="I5001" s="6">
        <f>IFERROR(__xludf.DUMMYFUNCTION("""COMPUTED_VALUE"""),3395.0)</f>
        <v>3395</v>
      </c>
      <c r="J5001" s="6">
        <f>IFERROR(__xludf.DUMMYFUNCTION("""COMPUTED_VALUE"""),169750.0)</f>
        <v>169750</v>
      </c>
      <c r="K5001" s="57">
        <f>IFERROR(__xludf.DUMMYFUNCTION("""COMPUTED_VALUE"""),46122.0)</f>
        <v>46122</v>
      </c>
      <c r="L5001" s="6" t="str">
        <f>IFERROR(__xludf.DUMMYFUNCTION("""COMPUTED_VALUE"""),"FIP Engineering")</f>
        <v>FIP Engineering</v>
      </c>
      <c r="M5001" s="6" t="str">
        <f>IFERROR(__xludf.DUMMYFUNCTION("""COMPUTED_VALUE"""),"Mochammad Fadhillah Hakim,")</f>
        <v>Mochammad Fadhillah Hakim,</v>
      </c>
      <c r="N5001" s="6" t="str">
        <f>IFERROR(__xludf.DUMMYFUNCTION("""COMPUTED_VALUE"""),"FIP Engineering")</f>
        <v>FIP Engineering</v>
      </c>
      <c r="O5001" s="6" t="str">
        <f>IFERROR(__xludf.DUMMYFUNCTION("""COMPUTED_VALUE"""),"FIP-DOM-000-11304-OS00001-INA-000000")</f>
        <v>FIP-DOM-000-11304-OS00001-INA-000000</v>
      </c>
      <c r="P5001" s="6" t="str">
        <f>IFERROR(__xludf.DUMMYFUNCTION("""COMPUTED_VALUE"""),"PO Closed")</f>
        <v>PO Closed</v>
      </c>
      <c r="Q5001" s="6" t="str">
        <f>IFERROR(__xludf.DUMMYFUNCTION("""COMPUTED_VALUE"""),"GL2604038")</f>
        <v>GL2604038</v>
      </c>
      <c r="R5001" s="57">
        <f>IFERROR(__xludf.DUMMYFUNCTION("""COMPUTED_VALUE"""),46087.0)</f>
        <v>46087</v>
      </c>
      <c r="S5001" s="57">
        <f>IFERROR(__xludf.DUMMYFUNCTION("""COMPUTED_VALUE"""),46090.0)</f>
        <v>46090</v>
      </c>
      <c r="T5001" s="57">
        <f>IFERROR(__xludf.DUMMYFUNCTION("""COMPUTED_VALUE"""),46147.0)</f>
        <v>46147</v>
      </c>
    </row>
    <row r="5002">
      <c r="A5002" s="6" t="str">
        <f>IFERROR(__xludf.DUMMYFUNCTION("""COMPUTED_VALUE"""),"121703975-1")</f>
        <v>121703975-1</v>
      </c>
      <c r="B5002" s="6" t="str">
        <f>IFERROR(__xludf.DUMMYFUNCTION("""COMPUTED_VALUE"""),"121703975 - APPROVED")</f>
        <v>121703975 - APPROVED</v>
      </c>
      <c r="C5002" s="6">
        <f>IFERROR(__xludf.DUMMYFUNCTION("""COMPUTED_VALUE"""),1.0)</f>
        <v>1</v>
      </c>
      <c r="D5002" s="6" t="str">
        <f>IFERROR(__xludf.DUMMYFUNCTION("""COMPUTED_VALUE"""),"P-12764-00")</f>
        <v>P-12764-00</v>
      </c>
      <c r="E5002" s="6" t="str">
        <f>IFERROR(__xludf.DUMMYFUNCTION("""COMPUTED_VALUE"""),"General - Silicone Gasket for Ferrule dia. 1/2inch; Custom; -; 1 pcs")</f>
        <v>General - Silicone Gasket for Ferrule dia. 1/2inch; Custom; -; 1 pcs</v>
      </c>
      <c r="F5002" s="6">
        <f>IFERROR(__xludf.DUMMYFUNCTION("""COMPUTED_VALUE"""),9.0)</f>
        <v>9</v>
      </c>
      <c r="G5002" s="6" t="str">
        <f>IFERROR(__xludf.DUMMYFUNCTION("""COMPUTED_VALUE"""),"Pieces")</f>
        <v>Pieces</v>
      </c>
      <c r="H5002" s="6" t="str">
        <f>IFERROR(__xludf.DUMMYFUNCTION("""COMPUTED_VALUE"""),"IDR")</f>
        <v>IDR</v>
      </c>
      <c r="I5002" s="6">
        <f>IFERROR(__xludf.DUMMYFUNCTION("""COMPUTED_VALUE"""),13200.0)</f>
        <v>13200</v>
      </c>
      <c r="J5002" s="6">
        <f>IFERROR(__xludf.DUMMYFUNCTION("""COMPUTED_VALUE"""),118800.0)</f>
        <v>118800</v>
      </c>
      <c r="K5002" s="57">
        <f>IFERROR(__xludf.DUMMYFUNCTION("""COMPUTED_VALUE"""),46122.0)</f>
        <v>46122</v>
      </c>
      <c r="L5002" s="6" t="str">
        <f>IFERROR(__xludf.DUMMYFUNCTION("""COMPUTED_VALUE"""),"FIP Engineering")</f>
        <v>FIP Engineering</v>
      </c>
      <c r="M5002" s="6" t="str">
        <f>IFERROR(__xludf.DUMMYFUNCTION("""COMPUTED_VALUE"""),"Mochammad Fadhillah Hakim,")</f>
        <v>Mochammad Fadhillah Hakim,</v>
      </c>
      <c r="N5002" s="6" t="str">
        <f>IFERROR(__xludf.DUMMYFUNCTION("""COMPUTED_VALUE"""),"FIP Engineering")</f>
        <v>FIP Engineering</v>
      </c>
      <c r="O5002" s="6" t="str">
        <f>IFERROR(__xludf.DUMMYFUNCTION("""COMPUTED_VALUE"""),"FIP-DOM-000-11304-OS00001-INA-000000")</f>
        <v>FIP-DOM-000-11304-OS00001-INA-000000</v>
      </c>
      <c r="P5002" s="6" t="str">
        <f>IFERROR(__xludf.DUMMYFUNCTION("""COMPUTED_VALUE"""),"PO Closed")</f>
        <v>PO Closed</v>
      </c>
      <c r="Q5002" s="6" t="str">
        <f>IFERROR(__xludf.DUMMYFUNCTION("""COMPUTED_VALUE"""),"GL2604492")</f>
        <v>GL2604492</v>
      </c>
      <c r="R5002" s="57">
        <f>IFERROR(__xludf.DUMMYFUNCTION("""COMPUTED_VALUE"""),46087.0)</f>
        <v>46087</v>
      </c>
      <c r="S5002" s="57">
        <f>IFERROR(__xludf.DUMMYFUNCTION("""COMPUTED_VALUE"""),46090.0)</f>
        <v>46090</v>
      </c>
      <c r="T5002" s="57">
        <f>IFERROR(__xludf.DUMMYFUNCTION("""COMPUTED_VALUE"""),46142.0)</f>
        <v>46142</v>
      </c>
    </row>
    <row r="5003">
      <c r="A5003" s="6" t="str">
        <f>IFERROR(__xludf.DUMMYFUNCTION("""COMPUTED_VALUE"""),"121703977-1")</f>
        <v>121703977-1</v>
      </c>
      <c r="B5003" s="6" t="str">
        <f>IFERROR(__xludf.DUMMYFUNCTION("""COMPUTED_VALUE"""),"121703977 - APPROVED")</f>
        <v>121703977 - APPROVED</v>
      </c>
      <c r="C5003" s="6">
        <f>IFERROR(__xludf.DUMMYFUNCTION("""COMPUTED_VALUE"""),1.0)</f>
        <v>1</v>
      </c>
      <c r="D5003" s="6" t="str">
        <f>IFERROR(__xludf.DUMMYFUNCTION("""COMPUTED_VALUE"""),"O-15697-00")</f>
        <v>O-15697-00</v>
      </c>
      <c r="E5003" s="6" t="str">
        <f>IFERROR(__xludf.DUMMYFUNCTION("""COMPUTED_VALUE"""),"General - SILICONE SUCKER 01.16.20; Steriline; 202370; 1 Pc")</f>
        <v>General - SILICONE SUCKER 01.16.20; Steriline; 202370; 1 Pc</v>
      </c>
      <c r="F5003" s="6">
        <f>IFERROR(__xludf.DUMMYFUNCTION("""COMPUTED_VALUE"""),50.0)</f>
        <v>50</v>
      </c>
      <c r="G5003" s="6" t="str">
        <f>IFERROR(__xludf.DUMMYFUNCTION("""COMPUTED_VALUE"""),"Unit")</f>
        <v>Unit</v>
      </c>
      <c r="H5003" s="6" t="str">
        <f>IFERROR(__xludf.DUMMYFUNCTION("""COMPUTED_VALUE"""),"IDR")</f>
        <v>IDR</v>
      </c>
      <c r="I5003" s="6">
        <f>IFERROR(__xludf.DUMMYFUNCTION("""COMPUTED_VALUE"""),127700.0)</f>
        <v>127700</v>
      </c>
      <c r="J5003" s="6">
        <f>IFERROR(__xludf.DUMMYFUNCTION("""COMPUTED_VALUE"""),6385000.0)</f>
        <v>6385000</v>
      </c>
      <c r="K5003" s="57">
        <f>IFERROR(__xludf.DUMMYFUNCTION("""COMPUTED_VALUE"""),46150.0)</f>
        <v>46150</v>
      </c>
      <c r="L5003" s="6" t="str">
        <f>IFERROR(__xludf.DUMMYFUNCTION("""COMPUTED_VALUE"""),"FIP Engineering")</f>
        <v>FIP Engineering</v>
      </c>
      <c r="M5003" s="6" t="str">
        <f>IFERROR(__xludf.DUMMYFUNCTION("""COMPUTED_VALUE"""),"Mochammad Fadhillah Hakim,")</f>
        <v>Mochammad Fadhillah Hakim,</v>
      </c>
      <c r="N5003" s="6" t="str">
        <f>IFERROR(__xludf.DUMMYFUNCTION("""COMPUTED_VALUE"""),"FIP Engineering")</f>
        <v>FIP Engineering</v>
      </c>
      <c r="O5003" s="6" t="str">
        <f>IFERROR(__xludf.DUMMYFUNCTION("""COMPUTED_VALUE"""),"FIP-DOM-000-11304-OS00001-INA-000000")</f>
        <v>FIP-DOM-000-11304-OS00001-INA-000000</v>
      </c>
      <c r="P5003" s="6" t="str">
        <f>IFERROR(__xludf.DUMMYFUNCTION("""COMPUTED_VALUE"""),"PO Closed")</f>
        <v>PO Closed</v>
      </c>
      <c r="Q5003" s="6" t="str">
        <f>IFERROR(__xludf.DUMMYFUNCTION("""COMPUTED_VALUE"""),"GL2604009")</f>
        <v>GL2604009</v>
      </c>
      <c r="R5003" s="57">
        <f>IFERROR(__xludf.DUMMYFUNCTION("""COMPUTED_VALUE"""),46087.0)</f>
        <v>46087</v>
      </c>
      <c r="S5003" s="57">
        <f>IFERROR(__xludf.DUMMYFUNCTION("""COMPUTED_VALUE"""),46113.0)</f>
        <v>46113</v>
      </c>
      <c r="T5003" s="57">
        <f>IFERROR(__xludf.DUMMYFUNCTION("""COMPUTED_VALUE"""),46211.0)</f>
        <v>46211</v>
      </c>
    </row>
    <row r="5004">
      <c r="A5004" s="6" t="str">
        <f>IFERROR(__xludf.DUMMYFUNCTION("""COMPUTED_VALUE"""),"121703977-2")</f>
        <v>121703977-2</v>
      </c>
      <c r="B5004" s="6" t="str">
        <f>IFERROR(__xludf.DUMMYFUNCTION("""COMPUTED_VALUE"""),"121703977 - APPROVED")</f>
        <v>121703977 - APPROVED</v>
      </c>
      <c r="C5004" s="6">
        <f>IFERROR(__xludf.DUMMYFUNCTION("""COMPUTED_VALUE"""),2.0)</f>
        <v>2</v>
      </c>
      <c r="D5004" s="6" t="str">
        <f>IFERROR(__xludf.DUMMYFUNCTION("""COMPUTED_VALUE"""),"O-15905-00")</f>
        <v>O-15905-00</v>
      </c>
      <c r="E5004" s="6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F5004" s="6">
        <f>IFERROR(__xludf.DUMMYFUNCTION("""COMPUTED_VALUE"""),1.0)</f>
        <v>1</v>
      </c>
      <c r="G5004" s="6" t="str">
        <f>IFERROR(__xludf.DUMMYFUNCTION("""COMPUTED_VALUE"""),"Unit")</f>
        <v>Unit</v>
      </c>
      <c r="H5004" s="6" t="str">
        <f>IFERROR(__xludf.DUMMYFUNCTION("""COMPUTED_VALUE"""),"IDR")</f>
        <v>IDR</v>
      </c>
      <c r="I5004" s="6">
        <f>IFERROR(__xludf.DUMMYFUNCTION("""COMPUTED_VALUE"""),1892591.0)</f>
        <v>1892591</v>
      </c>
      <c r="J5004" s="6">
        <f>IFERROR(__xludf.DUMMYFUNCTION("""COMPUTED_VALUE"""),1892591.0)</f>
        <v>1892591</v>
      </c>
      <c r="K5004" s="57">
        <f>IFERROR(__xludf.DUMMYFUNCTION("""COMPUTED_VALUE"""),46150.0)</f>
        <v>46150</v>
      </c>
      <c r="L5004" s="6" t="str">
        <f>IFERROR(__xludf.DUMMYFUNCTION("""COMPUTED_VALUE"""),"FIP Engineering")</f>
        <v>FIP Engineering</v>
      </c>
      <c r="M5004" s="6" t="str">
        <f>IFERROR(__xludf.DUMMYFUNCTION("""COMPUTED_VALUE"""),"Mochammad Fadhillah Hakim,")</f>
        <v>Mochammad Fadhillah Hakim,</v>
      </c>
      <c r="N5004" s="6" t="str">
        <f>IFERROR(__xludf.DUMMYFUNCTION("""COMPUTED_VALUE"""),"FIP Engineering")</f>
        <v>FIP Engineering</v>
      </c>
      <c r="O5004" s="6" t="str">
        <f>IFERROR(__xludf.DUMMYFUNCTION("""COMPUTED_VALUE"""),"FIP-DOM-000-11304-OS00001-INA-000000")</f>
        <v>FIP-DOM-000-11304-OS00001-INA-000000</v>
      </c>
      <c r="P5004" s="6" t="str">
        <f>IFERROR(__xludf.DUMMYFUNCTION("""COMPUTED_VALUE"""),"PO Closed")</f>
        <v>PO Closed</v>
      </c>
      <c r="Q5004" s="6" t="str">
        <f>IFERROR(__xludf.DUMMYFUNCTION("""COMPUTED_VALUE"""),"GL2604009")</f>
        <v>GL2604009</v>
      </c>
      <c r="R5004" s="57">
        <f>IFERROR(__xludf.DUMMYFUNCTION("""COMPUTED_VALUE"""),46087.0)</f>
        <v>46087</v>
      </c>
      <c r="S5004" s="57">
        <f>IFERROR(__xludf.DUMMYFUNCTION("""COMPUTED_VALUE"""),46113.0)</f>
        <v>46113</v>
      </c>
      <c r="T5004" s="57">
        <f>IFERROR(__xludf.DUMMYFUNCTION("""COMPUTED_VALUE"""),46211.0)</f>
        <v>46211</v>
      </c>
    </row>
    <row r="5005">
      <c r="A5005" s="6" t="str">
        <f>IFERROR(__xludf.DUMMYFUNCTION("""COMPUTED_VALUE"""),"121703978-1")</f>
        <v>121703978-1</v>
      </c>
      <c r="B5005" s="6" t="str">
        <f>IFERROR(__xludf.DUMMYFUNCTION("""COMPUTED_VALUE"""),"121703978 - APPROVED")</f>
        <v>121703978 - APPROVED</v>
      </c>
      <c r="C5005" s="6">
        <f>IFERROR(__xludf.DUMMYFUNCTION("""COMPUTED_VALUE"""),1.0)</f>
        <v>1</v>
      </c>
      <c r="D5005" s="6" t="str">
        <f>IFERROR(__xludf.DUMMYFUNCTION("""COMPUTED_VALUE"""),"P-10859-00")</f>
        <v>P-10859-00</v>
      </c>
      <c r="E5005" s="6" t="str">
        <f>IFERROR(__xludf.DUMMYFUNCTION("""COMPUTED_VALUE"""),"General - Elbow PVC 90 AW 1/2inch; Rucika; -; 1 Pc")</f>
        <v>General - Elbow PVC 90 AW 1/2inch; Rucika; -; 1 Pc</v>
      </c>
      <c r="F5005" s="6">
        <f>IFERROR(__xludf.DUMMYFUNCTION("""COMPUTED_VALUE"""),4.0)</f>
        <v>4</v>
      </c>
      <c r="G5005" s="6" t="str">
        <f>IFERROR(__xludf.DUMMYFUNCTION("""COMPUTED_VALUE"""),"Pieces")</f>
        <v>Pieces</v>
      </c>
      <c r="H5005" s="6" t="str">
        <f>IFERROR(__xludf.DUMMYFUNCTION("""COMPUTED_VALUE"""),"IDR")</f>
        <v>IDR</v>
      </c>
      <c r="I5005" s="6">
        <f>IFERROR(__xludf.DUMMYFUNCTION("""COMPUTED_VALUE"""),1800.0)</f>
        <v>1800</v>
      </c>
      <c r="J5005" s="6">
        <f>IFERROR(__xludf.DUMMYFUNCTION("""COMPUTED_VALUE"""),7200.0)</f>
        <v>7200</v>
      </c>
      <c r="K5005" s="57">
        <f>IFERROR(__xludf.DUMMYFUNCTION("""COMPUTED_VALUE"""),46122.0)</f>
        <v>46122</v>
      </c>
      <c r="L5005" s="6" t="str">
        <f>IFERROR(__xludf.DUMMYFUNCTION("""COMPUTED_VALUE"""),"FIP Engineering")</f>
        <v>FIP Engineering</v>
      </c>
      <c r="M5005" s="6" t="str">
        <f>IFERROR(__xludf.DUMMYFUNCTION("""COMPUTED_VALUE"""),"Mochammad Fadhillah Hakim,")</f>
        <v>Mochammad Fadhillah Hakim,</v>
      </c>
      <c r="N5005" s="6" t="str">
        <f>IFERROR(__xludf.DUMMYFUNCTION("""COMPUTED_VALUE"""),"FIP Engineering")</f>
        <v>FIP Engineering</v>
      </c>
      <c r="O5005" s="6" t="str">
        <f>IFERROR(__xludf.DUMMYFUNCTION("""COMPUTED_VALUE"""),"FIP-DOM-000-11304-OS00001-INA-000000")</f>
        <v>FIP-DOM-000-11304-OS00001-INA-000000</v>
      </c>
      <c r="P5005" s="6" t="str">
        <f>IFERROR(__xludf.DUMMYFUNCTION("""COMPUTED_VALUE"""),"PO Closed")</f>
        <v>PO Closed</v>
      </c>
      <c r="Q5005" s="6" t="str">
        <f>IFERROR(__xludf.DUMMYFUNCTION("""COMPUTED_VALUE"""),"GL2603473")</f>
        <v>GL2603473</v>
      </c>
      <c r="R5005" s="57">
        <f>IFERROR(__xludf.DUMMYFUNCTION("""COMPUTED_VALUE"""),46087.0)</f>
        <v>46087</v>
      </c>
      <c r="S5005" s="57">
        <f>IFERROR(__xludf.DUMMYFUNCTION("""COMPUTED_VALUE"""),46090.0)</f>
        <v>46090</v>
      </c>
      <c r="T5005" s="57">
        <f>IFERROR(__xludf.DUMMYFUNCTION("""COMPUTED_VALUE"""),46122.0)</f>
        <v>46122</v>
      </c>
    </row>
    <row r="5006">
      <c r="A5006" s="6" t="str">
        <f>IFERROR(__xludf.DUMMYFUNCTION("""COMPUTED_VALUE"""),"121703978-2")</f>
        <v>121703978-2</v>
      </c>
      <c r="B5006" s="6" t="str">
        <f>IFERROR(__xludf.DUMMYFUNCTION("""COMPUTED_VALUE"""),"121703978 - APPROVED")</f>
        <v>121703978 - APPROVED</v>
      </c>
      <c r="C5006" s="6">
        <f>IFERROR(__xludf.DUMMYFUNCTION("""COMPUTED_VALUE"""),2.0)</f>
        <v>2</v>
      </c>
      <c r="D5006" s="6" t="str">
        <f>IFERROR(__xludf.DUMMYFUNCTION("""COMPUTED_VALUE"""),"P-10867-00")</f>
        <v>P-10867-00</v>
      </c>
      <c r="E5006" s="6" t="str">
        <f>IFERROR(__xludf.DUMMYFUNCTION("""COMPUTED_VALUE"""),"General - Elbow PVC 3 inch; Rucika; -; 1 pc")</f>
        <v>General - Elbow PVC 3 inch; Rucika; -; 1 pc</v>
      </c>
      <c r="F5006" s="6">
        <f>IFERROR(__xludf.DUMMYFUNCTION("""COMPUTED_VALUE"""),4.0)</f>
        <v>4</v>
      </c>
      <c r="G5006" s="6" t="str">
        <f>IFERROR(__xludf.DUMMYFUNCTION("""COMPUTED_VALUE"""),"Pieces")</f>
        <v>Pieces</v>
      </c>
      <c r="H5006" s="6" t="str">
        <f>IFERROR(__xludf.DUMMYFUNCTION("""COMPUTED_VALUE"""),"IDR")</f>
        <v>IDR</v>
      </c>
      <c r="I5006" s="6">
        <f>IFERROR(__xludf.DUMMYFUNCTION("""COMPUTED_VALUE"""),14670.0)</f>
        <v>14670</v>
      </c>
      <c r="J5006" s="6">
        <f>IFERROR(__xludf.DUMMYFUNCTION("""COMPUTED_VALUE"""),58680.0)</f>
        <v>58680</v>
      </c>
      <c r="K5006" s="57">
        <f>IFERROR(__xludf.DUMMYFUNCTION("""COMPUTED_VALUE"""),46122.0)</f>
        <v>46122</v>
      </c>
      <c r="L5006" s="6" t="str">
        <f>IFERROR(__xludf.DUMMYFUNCTION("""COMPUTED_VALUE"""),"FIP Engineering")</f>
        <v>FIP Engineering</v>
      </c>
      <c r="M5006" s="6" t="str">
        <f>IFERROR(__xludf.DUMMYFUNCTION("""COMPUTED_VALUE"""),"Mochammad Fadhillah Hakim,")</f>
        <v>Mochammad Fadhillah Hakim,</v>
      </c>
      <c r="N5006" s="6" t="str">
        <f>IFERROR(__xludf.DUMMYFUNCTION("""COMPUTED_VALUE"""),"FIP Engineering")</f>
        <v>FIP Engineering</v>
      </c>
      <c r="O5006" s="6" t="str">
        <f>IFERROR(__xludf.DUMMYFUNCTION("""COMPUTED_VALUE"""),"FIP-DOM-000-11304-OS00001-INA-000000")</f>
        <v>FIP-DOM-000-11304-OS00001-INA-000000</v>
      </c>
      <c r="P5006" s="6" t="str">
        <f>IFERROR(__xludf.DUMMYFUNCTION("""COMPUTED_VALUE"""),"PO Closed")</f>
        <v>PO Closed</v>
      </c>
      <c r="Q5006" s="6" t="str">
        <f>IFERROR(__xludf.DUMMYFUNCTION("""COMPUTED_VALUE"""),"GL2603473")</f>
        <v>GL2603473</v>
      </c>
      <c r="R5006" s="57">
        <f>IFERROR(__xludf.DUMMYFUNCTION("""COMPUTED_VALUE"""),46087.0)</f>
        <v>46087</v>
      </c>
      <c r="S5006" s="57">
        <f>IFERROR(__xludf.DUMMYFUNCTION("""COMPUTED_VALUE"""),46090.0)</f>
        <v>46090</v>
      </c>
      <c r="T5006" s="57">
        <f>IFERROR(__xludf.DUMMYFUNCTION("""COMPUTED_VALUE"""),46122.0)</f>
        <v>46122</v>
      </c>
    </row>
    <row r="5007">
      <c r="A5007" s="6" t="str">
        <f>IFERROR(__xludf.DUMMYFUNCTION("""COMPUTED_VALUE"""),"121703978-3")</f>
        <v>121703978-3</v>
      </c>
      <c r="B5007" s="6" t="str">
        <f>IFERROR(__xludf.DUMMYFUNCTION("""COMPUTED_VALUE"""),"121703978 - APPROVED")</f>
        <v>121703978 - APPROVED</v>
      </c>
      <c r="C5007" s="6">
        <f>IFERROR(__xludf.DUMMYFUNCTION("""COMPUTED_VALUE"""),3.0)</f>
        <v>3</v>
      </c>
      <c r="D5007" s="6" t="str">
        <f>IFERROR(__xludf.DUMMYFUNCTION("""COMPUTED_VALUE"""),"P-10868-00")</f>
        <v>P-10868-00</v>
      </c>
      <c r="E5007" s="6" t="str">
        <f>IFERROR(__xludf.DUMMYFUNCTION("""COMPUTED_VALUE"""),"General - Elbow PVC AW 4inch; Rucika; -; 1 Pc")</f>
        <v>General - Elbow PVC AW 4inch; Rucika; -; 1 Pc</v>
      </c>
      <c r="F5007" s="6">
        <f>IFERROR(__xludf.DUMMYFUNCTION("""COMPUTED_VALUE"""),4.0)</f>
        <v>4</v>
      </c>
      <c r="G5007" s="6" t="str">
        <f>IFERROR(__xludf.DUMMYFUNCTION("""COMPUTED_VALUE"""),"Pieces")</f>
        <v>Pieces</v>
      </c>
      <c r="H5007" s="6" t="str">
        <f>IFERROR(__xludf.DUMMYFUNCTION("""COMPUTED_VALUE"""),"IDR")</f>
        <v>IDR</v>
      </c>
      <c r="I5007" s="6">
        <f>IFERROR(__xludf.DUMMYFUNCTION("""COMPUTED_VALUE"""),62000.0)</f>
        <v>62000</v>
      </c>
      <c r="J5007" s="6">
        <f>IFERROR(__xludf.DUMMYFUNCTION("""COMPUTED_VALUE"""),248000.0)</f>
        <v>248000</v>
      </c>
      <c r="K5007" s="57">
        <f>IFERROR(__xludf.DUMMYFUNCTION("""COMPUTED_VALUE"""),46122.0)</f>
        <v>46122</v>
      </c>
      <c r="L5007" s="6" t="str">
        <f>IFERROR(__xludf.DUMMYFUNCTION("""COMPUTED_VALUE"""),"FIP Engineering")</f>
        <v>FIP Engineering</v>
      </c>
      <c r="M5007" s="6" t="str">
        <f>IFERROR(__xludf.DUMMYFUNCTION("""COMPUTED_VALUE"""),"Mochammad Fadhillah Hakim,")</f>
        <v>Mochammad Fadhillah Hakim,</v>
      </c>
      <c r="N5007" s="6" t="str">
        <f>IFERROR(__xludf.DUMMYFUNCTION("""COMPUTED_VALUE"""),"FIP Engineering")</f>
        <v>FIP Engineering</v>
      </c>
      <c r="O5007" s="6" t="str">
        <f>IFERROR(__xludf.DUMMYFUNCTION("""COMPUTED_VALUE"""),"FIP-DOM-000-11304-OS00001-INA-000000")</f>
        <v>FIP-DOM-000-11304-OS00001-INA-000000</v>
      </c>
      <c r="P5007" s="6" t="str">
        <f>IFERROR(__xludf.DUMMYFUNCTION("""COMPUTED_VALUE"""),"PO Closed")</f>
        <v>PO Closed</v>
      </c>
      <c r="Q5007" s="6" t="str">
        <f>IFERROR(__xludf.DUMMYFUNCTION("""COMPUTED_VALUE"""),"GL2603473")</f>
        <v>GL2603473</v>
      </c>
      <c r="R5007" s="57">
        <f>IFERROR(__xludf.DUMMYFUNCTION("""COMPUTED_VALUE"""),46087.0)</f>
        <v>46087</v>
      </c>
      <c r="S5007" s="57">
        <f>IFERROR(__xludf.DUMMYFUNCTION("""COMPUTED_VALUE"""),46090.0)</f>
        <v>46090</v>
      </c>
      <c r="T5007" s="57">
        <f>IFERROR(__xludf.DUMMYFUNCTION("""COMPUTED_VALUE"""),46122.0)</f>
        <v>46122</v>
      </c>
    </row>
    <row r="5008">
      <c r="A5008" s="6" t="str">
        <f>IFERROR(__xludf.DUMMYFUNCTION("""COMPUTED_VALUE"""),"121703978-4")</f>
        <v>121703978-4</v>
      </c>
      <c r="B5008" s="6" t="str">
        <f>IFERROR(__xludf.DUMMYFUNCTION("""COMPUTED_VALUE"""),"121703978 - APPROVED")</f>
        <v>121703978 - APPROVED</v>
      </c>
      <c r="C5008" s="6">
        <f>IFERROR(__xludf.DUMMYFUNCTION("""COMPUTED_VALUE"""),4.0)</f>
        <v>4</v>
      </c>
      <c r="D5008" s="6" t="str">
        <f>IFERROR(__xludf.DUMMYFUNCTION("""COMPUTED_VALUE"""),"P-10877-00")</f>
        <v>P-10877-00</v>
      </c>
      <c r="E5008" s="6" t="str">
        <f>IFERROR(__xludf.DUMMYFUNCTION("""COMPUTED_VALUE"""),"General - Reducer, PVC, 2"" x 1""; Rucika; -; 1 pcs")</f>
        <v>General - Reducer, PVC, 2" x 1"; Rucika; -; 1 pcs</v>
      </c>
      <c r="F5008" s="6">
        <f>IFERROR(__xludf.DUMMYFUNCTION("""COMPUTED_VALUE"""),6.0)</f>
        <v>6</v>
      </c>
      <c r="G5008" s="6" t="str">
        <f>IFERROR(__xludf.DUMMYFUNCTION("""COMPUTED_VALUE"""),"Pieces")</f>
        <v>Pieces</v>
      </c>
      <c r="H5008" s="6" t="str">
        <f>IFERROR(__xludf.DUMMYFUNCTION("""COMPUTED_VALUE"""),"IDR")</f>
        <v>IDR</v>
      </c>
      <c r="I5008" s="6">
        <f>IFERROR(__xludf.DUMMYFUNCTION("""COMPUTED_VALUE"""),9000.0)</f>
        <v>9000</v>
      </c>
      <c r="J5008" s="6">
        <f>IFERROR(__xludf.DUMMYFUNCTION("""COMPUTED_VALUE"""),54000.0)</f>
        <v>54000</v>
      </c>
      <c r="K5008" s="57">
        <f>IFERROR(__xludf.DUMMYFUNCTION("""COMPUTED_VALUE"""),46122.0)</f>
        <v>46122</v>
      </c>
      <c r="L5008" s="6" t="str">
        <f>IFERROR(__xludf.DUMMYFUNCTION("""COMPUTED_VALUE"""),"FIP Engineering")</f>
        <v>FIP Engineering</v>
      </c>
      <c r="M5008" s="6" t="str">
        <f>IFERROR(__xludf.DUMMYFUNCTION("""COMPUTED_VALUE"""),"Mochammad Fadhillah Hakim,")</f>
        <v>Mochammad Fadhillah Hakim,</v>
      </c>
      <c r="N5008" s="6" t="str">
        <f>IFERROR(__xludf.DUMMYFUNCTION("""COMPUTED_VALUE"""),"FIP Engineering")</f>
        <v>FIP Engineering</v>
      </c>
      <c r="O5008" s="6" t="str">
        <f>IFERROR(__xludf.DUMMYFUNCTION("""COMPUTED_VALUE"""),"FIP-DOM-000-11304-OS00001-INA-000000")</f>
        <v>FIP-DOM-000-11304-OS00001-INA-000000</v>
      </c>
      <c r="P5008" s="6" t="str">
        <f>IFERROR(__xludf.DUMMYFUNCTION("""COMPUTED_VALUE"""),"PO Closed")</f>
        <v>PO Closed</v>
      </c>
      <c r="Q5008" s="6" t="str">
        <f>IFERROR(__xludf.DUMMYFUNCTION("""COMPUTED_VALUE"""),"GL2603473")</f>
        <v>GL2603473</v>
      </c>
      <c r="R5008" s="57">
        <f>IFERROR(__xludf.DUMMYFUNCTION("""COMPUTED_VALUE"""),46087.0)</f>
        <v>46087</v>
      </c>
      <c r="S5008" s="57">
        <f>IFERROR(__xludf.DUMMYFUNCTION("""COMPUTED_VALUE"""),46090.0)</f>
        <v>46090</v>
      </c>
      <c r="T5008" s="57">
        <f>IFERROR(__xludf.DUMMYFUNCTION("""COMPUTED_VALUE"""),46122.0)</f>
        <v>46122</v>
      </c>
    </row>
    <row r="5009">
      <c r="A5009" s="6" t="str">
        <f>IFERROR(__xludf.DUMMYFUNCTION("""COMPUTED_VALUE"""),"121703978-5")</f>
        <v>121703978-5</v>
      </c>
      <c r="B5009" s="6" t="str">
        <f>IFERROR(__xludf.DUMMYFUNCTION("""COMPUTED_VALUE"""),"121703978 - APPROVED")</f>
        <v>121703978 - APPROVED</v>
      </c>
      <c r="C5009" s="6">
        <f>IFERROR(__xludf.DUMMYFUNCTION("""COMPUTED_VALUE"""),5.0)</f>
        <v>5</v>
      </c>
      <c r="D5009" s="6" t="str">
        <f>IFERROR(__xludf.DUMMYFUNCTION("""COMPUTED_VALUE"""),"P-10884-00")</f>
        <v>P-10884-00</v>
      </c>
      <c r="E5009" s="6" t="str">
        <f>IFERROR(__xludf.DUMMYFUNCTION("""COMPUTED_VALUE"""),"General - Socket Drat Dalam PVC 1 1/4inch; Rucika; -; 1 pcs")</f>
        <v>General - Socket Drat Dalam PVC 1 1/4inch; Rucika; -; 1 pcs</v>
      </c>
      <c r="F5009" s="6">
        <f>IFERROR(__xludf.DUMMYFUNCTION("""COMPUTED_VALUE"""),4.0)</f>
        <v>4</v>
      </c>
      <c r="G5009" s="6" t="str">
        <f>IFERROR(__xludf.DUMMYFUNCTION("""COMPUTED_VALUE"""),"Pieces")</f>
        <v>Pieces</v>
      </c>
      <c r="H5009" s="6" t="str">
        <f>IFERROR(__xludf.DUMMYFUNCTION("""COMPUTED_VALUE"""),"IDR")</f>
        <v>IDR</v>
      </c>
      <c r="I5009" s="6">
        <f>IFERROR(__xludf.DUMMYFUNCTION("""COMPUTED_VALUE"""),6000.0)</f>
        <v>6000</v>
      </c>
      <c r="J5009" s="6">
        <f>IFERROR(__xludf.DUMMYFUNCTION("""COMPUTED_VALUE"""),24000.0)</f>
        <v>24000</v>
      </c>
      <c r="K5009" s="57">
        <f>IFERROR(__xludf.DUMMYFUNCTION("""COMPUTED_VALUE"""),46122.0)</f>
        <v>46122</v>
      </c>
      <c r="L5009" s="6" t="str">
        <f>IFERROR(__xludf.DUMMYFUNCTION("""COMPUTED_VALUE"""),"FIP Engineering")</f>
        <v>FIP Engineering</v>
      </c>
      <c r="M5009" s="6" t="str">
        <f>IFERROR(__xludf.DUMMYFUNCTION("""COMPUTED_VALUE"""),"Mochammad Fadhillah Hakim,")</f>
        <v>Mochammad Fadhillah Hakim,</v>
      </c>
      <c r="N5009" s="6" t="str">
        <f>IFERROR(__xludf.DUMMYFUNCTION("""COMPUTED_VALUE"""),"FIP Engineering")</f>
        <v>FIP Engineering</v>
      </c>
      <c r="O5009" s="6" t="str">
        <f>IFERROR(__xludf.DUMMYFUNCTION("""COMPUTED_VALUE"""),"FIP-DOM-000-11304-OS00001-INA-000000")</f>
        <v>FIP-DOM-000-11304-OS00001-INA-000000</v>
      </c>
      <c r="P5009" s="6" t="str">
        <f>IFERROR(__xludf.DUMMYFUNCTION("""COMPUTED_VALUE"""),"PO Closed")</f>
        <v>PO Closed</v>
      </c>
      <c r="Q5009" s="6" t="str">
        <f>IFERROR(__xludf.DUMMYFUNCTION("""COMPUTED_VALUE"""),"GL2603473")</f>
        <v>GL2603473</v>
      </c>
      <c r="R5009" s="57">
        <f>IFERROR(__xludf.DUMMYFUNCTION("""COMPUTED_VALUE"""),46087.0)</f>
        <v>46087</v>
      </c>
      <c r="S5009" s="57">
        <f>IFERROR(__xludf.DUMMYFUNCTION("""COMPUTED_VALUE"""),46090.0)</f>
        <v>46090</v>
      </c>
      <c r="T5009" s="57">
        <f>IFERROR(__xludf.DUMMYFUNCTION("""COMPUTED_VALUE"""),46122.0)</f>
        <v>46122</v>
      </c>
    </row>
    <row r="5010">
      <c r="A5010" s="6" t="str">
        <f>IFERROR(__xludf.DUMMYFUNCTION("""COMPUTED_VALUE"""),"121703978-6")</f>
        <v>121703978-6</v>
      </c>
      <c r="B5010" s="6" t="str">
        <f>IFERROR(__xludf.DUMMYFUNCTION("""COMPUTED_VALUE"""),"121703978 - APPROVED")</f>
        <v>121703978 - APPROVED</v>
      </c>
      <c r="C5010" s="6">
        <f>IFERROR(__xludf.DUMMYFUNCTION("""COMPUTED_VALUE"""),6.0)</f>
        <v>6</v>
      </c>
      <c r="D5010" s="6" t="str">
        <f>IFERROR(__xludf.DUMMYFUNCTION("""COMPUTED_VALUE"""),"P-10885-00")</f>
        <v>P-10885-00</v>
      </c>
      <c r="E5010" s="6" t="str">
        <f>IFERROR(__xludf.DUMMYFUNCTION("""COMPUTED_VALUE"""),"General - Socket Drat Dalam, PVC, 1/2""; Rucika; -; 1 pcs")</f>
        <v>General - Socket Drat Dalam, PVC, 1/2"; Rucika; -; 1 pcs</v>
      </c>
      <c r="F5010" s="6">
        <f>IFERROR(__xludf.DUMMYFUNCTION("""COMPUTED_VALUE"""),4.0)</f>
        <v>4</v>
      </c>
      <c r="G5010" s="6" t="str">
        <f>IFERROR(__xludf.DUMMYFUNCTION("""COMPUTED_VALUE"""),"Pieces")</f>
        <v>Pieces</v>
      </c>
      <c r="H5010" s="6" t="str">
        <f>IFERROR(__xludf.DUMMYFUNCTION("""COMPUTED_VALUE"""),"IDR")</f>
        <v>IDR</v>
      </c>
      <c r="I5010" s="6">
        <f>IFERROR(__xludf.DUMMYFUNCTION("""COMPUTED_VALUE"""),1980.0)</f>
        <v>1980</v>
      </c>
      <c r="J5010" s="6">
        <f>IFERROR(__xludf.DUMMYFUNCTION("""COMPUTED_VALUE"""),7920.0)</f>
        <v>7920</v>
      </c>
      <c r="K5010" s="57">
        <f>IFERROR(__xludf.DUMMYFUNCTION("""COMPUTED_VALUE"""),46122.0)</f>
        <v>46122</v>
      </c>
      <c r="L5010" s="6" t="str">
        <f>IFERROR(__xludf.DUMMYFUNCTION("""COMPUTED_VALUE"""),"FIP Engineering")</f>
        <v>FIP Engineering</v>
      </c>
      <c r="M5010" s="6" t="str">
        <f>IFERROR(__xludf.DUMMYFUNCTION("""COMPUTED_VALUE"""),"Mochammad Fadhillah Hakim,")</f>
        <v>Mochammad Fadhillah Hakim,</v>
      </c>
      <c r="N5010" s="6" t="str">
        <f>IFERROR(__xludf.DUMMYFUNCTION("""COMPUTED_VALUE"""),"FIP Engineering")</f>
        <v>FIP Engineering</v>
      </c>
      <c r="O5010" s="6" t="str">
        <f>IFERROR(__xludf.DUMMYFUNCTION("""COMPUTED_VALUE"""),"FIP-DOM-000-11304-OS00001-INA-000000")</f>
        <v>FIP-DOM-000-11304-OS00001-INA-000000</v>
      </c>
      <c r="P5010" s="6" t="str">
        <f>IFERROR(__xludf.DUMMYFUNCTION("""COMPUTED_VALUE"""),"PO Closed")</f>
        <v>PO Closed</v>
      </c>
      <c r="Q5010" s="6" t="str">
        <f>IFERROR(__xludf.DUMMYFUNCTION("""COMPUTED_VALUE"""),"GL2603473")</f>
        <v>GL2603473</v>
      </c>
      <c r="R5010" s="57">
        <f>IFERROR(__xludf.DUMMYFUNCTION("""COMPUTED_VALUE"""),46087.0)</f>
        <v>46087</v>
      </c>
      <c r="S5010" s="57">
        <f>IFERROR(__xludf.DUMMYFUNCTION("""COMPUTED_VALUE"""),46090.0)</f>
        <v>46090</v>
      </c>
      <c r="T5010" s="57">
        <f>IFERROR(__xludf.DUMMYFUNCTION("""COMPUTED_VALUE"""),46122.0)</f>
        <v>46122</v>
      </c>
    </row>
    <row r="5011">
      <c r="A5011" s="6" t="str">
        <f>IFERROR(__xludf.DUMMYFUNCTION("""COMPUTED_VALUE"""),"121703978-7")</f>
        <v>121703978-7</v>
      </c>
      <c r="B5011" s="6" t="str">
        <f>IFERROR(__xludf.DUMMYFUNCTION("""COMPUTED_VALUE"""),"121703978 - APPROVED")</f>
        <v>121703978 - APPROVED</v>
      </c>
      <c r="C5011" s="6">
        <f>IFERROR(__xludf.DUMMYFUNCTION("""COMPUTED_VALUE"""),7.0)</f>
        <v>7</v>
      </c>
      <c r="D5011" s="6" t="str">
        <f>IFERROR(__xludf.DUMMYFUNCTION("""COMPUTED_VALUE"""),"P-10886-00")</f>
        <v>P-10886-00</v>
      </c>
      <c r="E5011" s="6" t="str">
        <f>IFERROR(__xludf.DUMMYFUNCTION("""COMPUTED_VALUE"""),"General - Socket Drat Dalam, PVC, 1""; Rucika; -; 1 pcs")</f>
        <v>General - Socket Drat Dalam, PVC, 1"; Rucika; -; 1 pcs</v>
      </c>
      <c r="F5011" s="6">
        <f>IFERROR(__xludf.DUMMYFUNCTION("""COMPUTED_VALUE"""),4.0)</f>
        <v>4</v>
      </c>
      <c r="G5011" s="6" t="str">
        <f>IFERROR(__xludf.DUMMYFUNCTION("""COMPUTED_VALUE"""),"Pieces")</f>
        <v>Pieces</v>
      </c>
      <c r="H5011" s="6" t="str">
        <f>IFERROR(__xludf.DUMMYFUNCTION("""COMPUTED_VALUE"""),"IDR")</f>
        <v>IDR</v>
      </c>
      <c r="I5011" s="6">
        <f>IFERROR(__xludf.DUMMYFUNCTION("""COMPUTED_VALUE"""),4140.0)</f>
        <v>4140</v>
      </c>
      <c r="J5011" s="6">
        <f>IFERROR(__xludf.DUMMYFUNCTION("""COMPUTED_VALUE"""),16560.0)</f>
        <v>16560</v>
      </c>
      <c r="K5011" s="57">
        <f>IFERROR(__xludf.DUMMYFUNCTION("""COMPUTED_VALUE"""),46122.0)</f>
        <v>46122</v>
      </c>
      <c r="L5011" s="6" t="str">
        <f>IFERROR(__xludf.DUMMYFUNCTION("""COMPUTED_VALUE"""),"FIP Engineering")</f>
        <v>FIP Engineering</v>
      </c>
      <c r="M5011" s="6" t="str">
        <f>IFERROR(__xludf.DUMMYFUNCTION("""COMPUTED_VALUE"""),"Mochammad Fadhillah Hakim,")</f>
        <v>Mochammad Fadhillah Hakim,</v>
      </c>
      <c r="N5011" s="6" t="str">
        <f>IFERROR(__xludf.DUMMYFUNCTION("""COMPUTED_VALUE"""),"FIP Engineering")</f>
        <v>FIP Engineering</v>
      </c>
      <c r="O5011" s="6" t="str">
        <f>IFERROR(__xludf.DUMMYFUNCTION("""COMPUTED_VALUE"""),"FIP-DOM-000-11304-OS00001-INA-000000")</f>
        <v>FIP-DOM-000-11304-OS00001-INA-000000</v>
      </c>
      <c r="P5011" s="6" t="str">
        <f>IFERROR(__xludf.DUMMYFUNCTION("""COMPUTED_VALUE"""),"PO Closed")</f>
        <v>PO Closed</v>
      </c>
      <c r="Q5011" s="6" t="str">
        <f>IFERROR(__xludf.DUMMYFUNCTION("""COMPUTED_VALUE"""),"GL2603473")</f>
        <v>GL2603473</v>
      </c>
      <c r="R5011" s="57">
        <f>IFERROR(__xludf.DUMMYFUNCTION("""COMPUTED_VALUE"""),46087.0)</f>
        <v>46087</v>
      </c>
      <c r="S5011" s="57">
        <f>IFERROR(__xludf.DUMMYFUNCTION("""COMPUTED_VALUE"""),46090.0)</f>
        <v>46090</v>
      </c>
      <c r="T5011" s="57">
        <f>IFERROR(__xludf.DUMMYFUNCTION("""COMPUTED_VALUE"""),46122.0)</f>
        <v>46122</v>
      </c>
    </row>
    <row r="5012">
      <c r="A5012" s="6" t="str">
        <f>IFERROR(__xludf.DUMMYFUNCTION("""COMPUTED_VALUE"""),"121703978-8")</f>
        <v>121703978-8</v>
      </c>
      <c r="B5012" s="6" t="str">
        <f>IFERROR(__xludf.DUMMYFUNCTION("""COMPUTED_VALUE"""),"121703978 - APPROVED")</f>
        <v>121703978 - APPROVED</v>
      </c>
      <c r="C5012" s="6">
        <f>IFERROR(__xludf.DUMMYFUNCTION("""COMPUTED_VALUE"""),8.0)</f>
        <v>8</v>
      </c>
      <c r="D5012" s="6" t="str">
        <f>IFERROR(__xludf.DUMMYFUNCTION("""COMPUTED_VALUE"""),"P-10887-00")</f>
        <v>P-10887-00</v>
      </c>
      <c r="E5012" s="6" t="str">
        <f>IFERROR(__xludf.DUMMYFUNCTION("""COMPUTED_VALUE"""),"General - Socket Drat Dalam, PVC, 2""; Rucika; -; 1 pcs")</f>
        <v>General - Socket Drat Dalam, PVC, 2"; Rucika; -; 1 pcs</v>
      </c>
      <c r="F5012" s="6">
        <f>IFERROR(__xludf.DUMMYFUNCTION("""COMPUTED_VALUE"""),4.0)</f>
        <v>4</v>
      </c>
      <c r="G5012" s="6" t="str">
        <f>IFERROR(__xludf.DUMMYFUNCTION("""COMPUTED_VALUE"""),"Pieces")</f>
        <v>Pieces</v>
      </c>
      <c r="H5012" s="6" t="str">
        <f>IFERROR(__xludf.DUMMYFUNCTION("""COMPUTED_VALUE"""),"IDR")</f>
        <v>IDR</v>
      </c>
      <c r="I5012" s="6">
        <f>IFERROR(__xludf.DUMMYFUNCTION("""COMPUTED_VALUE"""),9500.0)</f>
        <v>9500</v>
      </c>
      <c r="J5012" s="6">
        <f>IFERROR(__xludf.DUMMYFUNCTION("""COMPUTED_VALUE"""),38000.0)</f>
        <v>38000</v>
      </c>
      <c r="K5012" s="57">
        <f>IFERROR(__xludf.DUMMYFUNCTION("""COMPUTED_VALUE"""),46122.0)</f>
        <v>46122</v>
      </c>
      <c r="L5012" s="6" t="str">
        <f>IFERROR(__xludf.DUMMYFUNCTION("""COMPUTED_VALUE"""),"FIP Engineering")</f>
        <v>FIP Engineering</v>
      </c>
      <c r="M5012" s="6" t="str">
        <f>IFERROR(__xludf.DUMMYFUNCTION("""COMPUTED_VALUE"""),"Mochammad Fadhillah Hakim,")</f>
        <v>Mochammad Fadhillah Hakim,</v>
      </c>
      <c r="N5012" s="6" t="str">
        <f>IFERROR(__xludf.DUMMYFUNCTION("""COMPUTED_VALUE"""),"FIP Engineering")</f>
        <v>FIP Engineering</v>
      </c>
      <c r="O5012" s="6" t="str">
        <f>IFERROR(__xludf.DUMMYFUNCTION("""COMPUTED_VALUE"""),"FIP-DOM-000-11304-OS00001-INA-000000")</f>
        <v>FIP-DOM-000-11304-OS00001-INA-000000</v>
      </c>
      <c r="P5012" s="6" t="str">
        <f>IFERROR(__xludf.DUMMYFUNCTION("""COMPUTED_VALUE"""),"PO Closed")</f>
        <v>PO Closed</v>
      </c>
      <c r="Q5012" s="6" t="str">
        <f>IFERROR(__xludf.DUMMYFUNCTION("""COMPUTED_VALUE"""),"GL2603473")</f>
        <v>GL2603473</v>
      </c>
      <c r="R5012" s="57">
        <f>IFERROR(__xludf.DUMMYFUNCTION("""COMPUTED_VALUE"""),46087.0)</f>
        <v>46087</v>
      </c>
      <c r="S5012" s="57">
        <f>IFERROR(__xludf.DUMMYFUNCTION("""COMPUTED_VALUE"""),46090.0)</f>
        <v>46090</v>
      </c>
      <c r="T5012" s="57">
        <f>IFERROR(__xludf.DUMMYFUNCTION("""COMPUTED_VALUE"""),46122.0)</f>
        <v>46122</v>
      </c>
    </row>
    <row r="5013">
      <c r="A5013" s="6" t="str">
        <f>IFERROR(__xludf.DUMMYFUNCTION("""COMPUTED_VALUE"""),"121703978-9")</f>
        <v>121703978-9</v>
      </c>
      <c r="B5013" s="6" t="str">
        <f>IFERROR(__xludf.DUMMYFUNCTION("""COMPUTED_VALUE"""),"121703978 - APPROVED")</f>
        <v>121703978 - APPROVED</v>
      </c>
      <c r="C5013" s="6">
        <f>IFERROR(__xludf.DUMMYFUNCTION("""COMPUTED_VALUE"""),9.0)</f>
        <v>9</v>
      </c>
      <c r="D5013" s="6" t="str">
        <f>IFERROR(__xludf.DUMMYFUNCTION("""COMPUTED_VALUE"""),"P-10890-00")</f>
        <v>P-10890-00</v>
      </c>
      <c r="E5013" s="6" t="str">
        <f>IFERROR(__xludf.DUMMYFUNCTION("""COMPUTED_VALUE"""),"General - Socket Drat Luar, PVC, 1 1/2""; Rucika; -; 1 pcs")</f>
        <v>General - Socket Drat Luar, PVC, 1 1/2"; Rucika; -; 1 pcs</v>
      </c>
      <c r="F5013" s="6">
        <f>IFERROR(__xludf.DUMMYFUNCTION("""COMPUTED_VALUE"""),4.0)</f>
        <v>4</v>
      </c>
      <c r="G5013" s="6" t="str">
        <f>IFERROR(__xludf.DUMMYFUNCTION("""COMPUTED_VALUE"""),"Pieces")</f>
        <v>Pieces</v>
      </c>
      <c r="H5013" s="6" t="str">
        <f>IFERROR(__xludf.DUMMYFUNCTION("""COMPUTED_VALUE"""),"IDR")</f>
        <v>IDR</v>
      </c>
      <c r="I5013" s="6">
        <f>IFERROR(__xludf.DUMMYFUNCTION("""COMPUTED_VALUE"""),6500.0)</f>
        <v>6500</v>
      </c>
      <c r="J5013" s="6">
        <f>IFERROR(__xludf.DUMMYFUNCTION("""COMPUTED_VALUE"""),26000.0)</f>
        <v>26000</v>
      </c>
      <c r="K5013" s="57">
        <f>IFERROR(__xludf.DUMMYFUNCTION("""COMPUTED_VALUE"""),46122.0)</f>
        <v>46122</v>
      </c>
      <c r="L5013" s="6" t="str">
        <f>IFERROR(__xludf.DUMMYFUNCTION("""COMPUTED_VALUE"""),"FIP Engineering")</f>
        <v>FIP Engineering</v>
      </c>
      <c r="M5013" s="6" t="str">
        <f>IFERROR(__xludf.DUMMYFUNCTION("""COMPUTED_VALUE"""),"Mochammad Fadhillah Hakim,")</f>
        <v>Mochammad Fadhillah Hakim,</v>
      </c>
      <c r="N5013" s="6" t="str">
        <f>IFERROR(__xludf.DUMMYFUNCTION("""COMPUTED_VALUE"""),"FIP Engineering")</f>
        <v>FIP Engineering</v>
      </c>
      <c r="O5013" s="6" t="str">
        <f>IFERROR(__xludf.DUMMYFUNCTION("""COMPUTED_VALUE"""),"FIP-DOM-000-11304-OS00001-INA-000000")</f>
        <v>FIP-DOM-000-11304-OS00001-INA-000000</v>
      </c>
      <c r="P5013" s="6" t="str">
        <f>IFERROR(__xludf.DUMMYFUNCTION("""COMPUTED_VALUE"""),"PO Closed")</f>
        <v>PO Closed</v>
      </c>
      <c r="Q5013" s="6" t="str">
        <f>IFERROR(__xludf.DUMMYFUNCTION("""COMPUTED_VALUE"""),"GL2603473")</f>
        <v>GL2603473</v>
      </c>
      <c r="R5013" s="57">
        <f>IFERROR(__xludf.DUMMYFUNCTION("""COMPUTED_VALUE"""),46087.0)</f>
        <v>46087</v>
      </c>
      <c r="S5013" s="57">
        <f>IFERROR(__xludf.DUMMYFUNCTION("""COMPUTED_VALUE"""),46090.0)</f>
        <v>46090</v>
      </c>
      <c r="T5013" s="57">
        <f>IFERROR(__xludf.DUMMYFUNCTION("""COMPUTED_VALUE"""),46122.0)</f>
        <v>46122</v>
      </c>
    </row>
    <row r="5014">
      <c r="A5014" s="6" t="str">
        <f>IFERROR(__xludf.DUMMYFUNCTION("""COMPUTED_VALUE"""),"121703978-10")</f>
        <v>121703978-10</v>
      </c>
      <c r="B5014" s="6" t="str">
        <f>IFERROR(__xludf.DUMMYFUNCTION("""COMPUTED_VALUE"""),"121703978 - APPROVED")</f>
        <v>121703978 - APPROVED</v>
      </c>
      <c r="C5014" s="6">
        <f>IFERROR(__xludf.DUMMYFUNCTION("""COMPUTED_VALUE"""),10.0)</f>
        <v>10</v>
      </c>
      <c r="D5014" s="6" t="str">
        <f>IFERROR(__xludf.DUMMYFUNCTION("""COMPUTED_VALUE"""),"P-10892-00")</f>
        <v>P-10892-00</v>
      </c>
      <c r="E5014" s="6" t="str">
        <f>IFERROR(__xludf.DUMMYFUNCTION("""COMPUTED_VALUE"""),"General - Socket Drat Luar, PVC, 1""; Rucika; -; 1 pcs")</f>
        <v>General - Socket Drat Luar, PVC, 1"; Rucika; -; 1 pcs</v>
      </c>
      <c r="F5014" s="6">
        <f>IFERROR(__xludf.DUMMYFUNCTION("""COMPUTED_VALUE"""),4.0)</f>
        <v>4</v>
      </c>
      <c r="G5014" s="6" t="str">
        <f>IFERROR(__xludf.DUMMYFUNCTION("""COMPUTED_VALUE"""),"Pieces")</f>
        <v>Pieces</v>
      </c>
      <c r="H5014" s="6" t="str">
        <f>IFERROR(__xludf.DUMMYFUNCTION("""COMPUTED_VALUE"""),"IDR")</f>
        <v>IDR</v>
      </c>
      <c r="I5014" s="6">
        <f>IFERROR(__xludf.DUMMYFUNCTION("""COMPUTED_VALUE"""),3000.0)</f>
        <v>3000</v>
      </c>
      <c r="J5014" s="6">
        <f>IFERROR(__xludf.DUMMYFUNCTION("""COMPUTED_VALUE"""),12000.0)</f>
        <v>12000</v>
      </c>
      <c r="K5014" s="57">
        <f>IFERROR(__xludf.DUMMYFUNCTION("""COMPUTED_VALUE"""),46122.0)</f>
        <v>46122</v>
      </c>
      <c r="L5014" s="6" t="str">
        <f>IFERROR(__xludf.DUMMYFUNCTION("""COMPUTED_VALUE"""),"FIP Engineering")</f>
        <v>FIP Engineering</v>
      </c>
      <c r="M5014" s="6" t="str">
        <f>IFERROR(__xludf.DUMMYFUNCTION("""COMPUTED_VALUE"""),"Mochammad Fadhillah Hakim,")</f>
        <v>Mochammad Fadhillah Hakim,</v>
      </c>
      <c r="N5014" s="6" t="str">
        <f>IFERROR(__xludf.DUMMYFUNCTION("""COMPUTED_VALUE"""),"FIP Engineering")</f>
        <v>FIP Engineering</v>
      </c>
      <c r="O5014" s="6" t="str">
        <f>IFERROR(__xludf.DUMMYFUNCTION("""COMPUTED_VALUE"""),"FIP-DOM-000-11304-OS00001-INA-000000")</f>
        <v>FIP-DOM-000-11304-OS00001-INA-000000</v>
      </c>
      <c r="P5014" s="6" t="str">
        <f>IFERROR(__xludf.DUMMYFUNCTION("""COMPUTED_VALUE"""),"PO Closed")</f>
        <v>PO Closed</v>
      </c>
      <c r="Q5014" s="6" t="str">
        <f>IFERROR(__xludf.DUMMYFUNCTION("""COMPUTED_VALUE"""),"GL2604493")</f>
        <v>GL2604493</v>
      </c>
      <c r="R5014" s="57">
        <f>IFERROR(__xludf.DUMMYFUNCTION("""COMPUTED_VALUE"""),46087.0)</f>
        <v>46087</v>
      </c>
      <c r="S5014" s="57">
        <f>IFERROR(__xludf.DUMMYFUNCTION("""COMPUTED_VALUE"""),46090.0)</f>
        <v>46090</v>
      </c>
      <c r="T5014" s="57">
        <f>IFERROR(__xludf.DUMMYFUNCTION("""COMPUTED_VALUE"""),46137.0)</f>
        <v>46137</v>
      </c>
    </row>
    <row r="5015">
      <c r="A5015" s="6" t="str">
        <f>IFERROR(__xludf.DUMMYFUNCTION("""COMPUTED_VALUE"""),"121703980-1")</f>
        <v>121703980-1</v>
      </c>
      <c r="B5015" s="6" t="str">
        <f>IFERROR(__xludf.DUMMYFUNCTION("""COMPUTED_VALUE"""),"121703980 - APPROVED")</f>
        <v>121703980 - APPROVED</v>
      </c>
      <c r="C5015" s="6">
        <f>IFERROR(__xludf.DUMMYFUNCTION("""COMPUTED_VALUE"""),1.0)</f>
        <v>1</v>
      </c>
      <c r="D5015" s="6" t="str">
        <f>IFERROR(__xludf.DUMMYFUNCTION("""COMPUTED_VALUE"""),"P-10893-00")</f>
        <v>P-10893-00</v>
      </c>
      <c r="E5015" s="6" t="str">
        <f>IFERROR(__xludf.DUMMYFUNCTION("""COMPUTED_VALUE"""),"General - Socket Drat Luar, PVC, 2""; Rucika; -; 1 pcs")</f>
        <v>General - Socket Drat Luar, PVC, 2"; Rucika; -; 1 pcs</v>
      </c>
      <c r="F5015" s="6">
        <f>IFERROR(__xludf.DUMMYFUNCTION("""COMPUTED_VALUE"""),4.0)</f>
        <v>4</v>
      </c>
      <c r="G5015" s="6" t="str">
        <f>IFERROR(__xludf.DUMMYFUNCTION("""COMPUTED_VALUE"""),"Pieces")</f>
        <v>Pieces</v>
      </c>
      <c r="H5015" s="6" t="str">
        <f>IFERROR(__xludf.DUMMYFUNCTION("""COMPUTED_VALUE"""),"IDR")</f>
        <v>IDR</v>
      </c>
      <c r="I5015" s="6">
        <f>IFERROR(__xludf.DUMMYFUNCTION("""COMPUTED_VALUE"""),10170.0)</f>
        <v>10170</v>
      </c>
      <c r="J5015" s="6">
        <f>IFERROR(__xludf.DUMMYFUNCTION("""COMPUTED_VALUE"""),40680.0)</f>
        <v>40680</v>
      </c>
      <c r="K5015" s="57">
        <f>IFERROR(__xludf.DUMMYFUNCTION("""COMPUTED_VALUE"""),46122.0)</f>
        <v>46122</v>
      </c>
      <c r="L5015" s="6" t="str">
        <f>IFERROR(__xludf.DUMMYFUNCTION("""COMPUTED_VALUE"""),"FIP Engineering")</f>
        <v>FIP Engineering</v>
      </c>
      <c r="M5015" s="6" t="str">
        <f>IFERROR(__xludf.DUMMYFUNCTION("""COMPUTED_VALUE"""),"Mochammad Fadhillah Hakim,")</f>
        <v>Mochammad Fadhillah Hakim,</v>
      </c>
      <c r="N5015" s="6" t="str">
        <f>IFERROR(__xludf.DUMMYFUNCTION("""COMPUTED_VALUE"""),"FIP Engineering")</f>
        <v>FIP Engineering</v>
      </c>
      <c r="O5015" s="6" t="str">
        <f>IFERROR(__xludf.DUMMYFUNCTION("""COMPUTED_VALUE"""),"FIP-DOM-000-11304-OS00001-INA-000000")</f>
        <v>FIP-DOM-000-11304-OS00001-INA-000000</v>
      </c>
      <c r="P5015" s="6" t="str">
        <f>IFERROR(__xludf.DUMMYFUNCTION("""COMPUTED_VALUE"""),"PO Closed")</f>
        <v>PO Closed</v>
      </c>
      <c r="Q5015" s="6" t="str">
        <f>IFERROR(__xludf.DUMMYFUNCTION("""COMPUTED_VALUE"""),"GL2603473")</f>
        <v>GL2603473</v>
      </c>
      <c r="R5015" s="57">
        <f>IFERROR(__xludf.DUMMYFUNCTION("""COMPUTED_VALUE"""),46087.0)</f>
        <v>46087</v>
      </c>
      <c r="S5015" s="57">
        <f>IFERROR(__xludf.DUMMYFUNCTION("""COMPUTED_VALUE"""),46090.0)</f>
        <v>46090</v>
      </c>
      <c r="T5015" s="57">
        <f>IFERROR(__xludf.DUMMYFUNCTION("""COMPUTED_VALUE"""),46122.0)</f>
        <v>46122</v>
      </c>
    </row>
    <row r="5016">
      <c r="A5016" s="6" t="str">
        <f>IFERROR(__xludf.DUMMYFUNCTION("""COMPUTED_VALUE"""),"121703980-2")</f>
        <v>121703980-2</v>
      </c>
      <c r="B5016" s="6" t="str">
        <f>IFERROR(__xludf.DUMMYFUNCTION("""COMPUTED_VALUE"""),"121703980 - APPROVED")</f>
        <v>121703980 - APPROVED</v>
      </c>
      <c r="C5016" s="6">
        <f>IFERROR(__xludf.DUMMYFUNCTION("""COMPUTED_VALUE"""),2.0)</f>
        <v>2</v>
      </c>
      <c r="D5016" s="6" t="str">
        <f>IFERROR(__xludf.DUMMYFUNCTION("""COMPUTED_VALUE"""),"P-10894-00")</f>
        <v>P-10894-00</v>
      </c>
      <c r="E5016" s="6" t="str">
        <f>IFERROR(__xludf.DUMMYFUNCTION("""COMPUTED_VALUE"""),"General - Socket Drat Luar, PVC AW, 3""; Rucika; -; 1 pcs")</f>
        <v>General - Socket Drat Luar, PVC AW, 3"; Rucika; -; 1 pcs</v>
      </c>
      <c r="F5016" s="6">
        <f>IFERROR(__xludf.DUMMYFUNCTION("""COMPUTED_VALUE"""),4.0)</f>
        <v>4</v>
      </c>
      <c r="G5016" s="6" t="str">
        <f>IFERROR(__xludf.DUMMYFUNCTION("""COMPUTED_VALUE"""),"Pieces")</f>
        <v>Pieces</v>
      </c>
      <c r="H5016" s="6" t="str">
        <f>IFERROR(__xludf.DUMMYFUNCTION("""COMPUTED_VALUE"""),"IDR")</f>
        <v>IDR</v>
      </c>
      <c r="I5016" s="6">
        <f>IFERROR(__xludf.DUMMYFUNCTION("""COMPUTED_VALUE"""),22680.0)</f>
        <v>22680</v>
      </c>
      <c r="J5016" s="6">
        <f>IFERROR(__xludf.DUMMYFUNCTION("""COMPUTED_VALUE"""),90720.0)</f>
        <v>90720</v>
      </c>
      <c r="K5016" s="57">
        <f>IFERROR(__xludf.DUMMYFUNCTION("""COMPUTED_VALUE"""),46122.0)</f>
        <v>46122</v>
      </c>
      <c r="L5016" s="6" t="str">
        <f>IFERROR(__xludf.DUMMYFUNCTION("""COMPUTED_VALUE"""),"FIP Engineering")</f>
        <v>FIP Engineering</v>
      </c>
      <c r="M5016" s="6" t="str">
        <f>IFERROR(__xludf.DUMMYFUNCTION("""COMPUTED_VALUE"""),"Mochammad Fadhillah Hakim,")</f>
        <v>Mochammad Fadhillah Hakim,</v>
      </c>
      <c r="N5016" s="6" t="str">
        <f>IFERROR(__xludf.DUMMYFUNCTION("""COMPUTED_VALUE"""),"FIP Engineering")</f>
        <v>FIP Engineering</v>
      </c>
      <c r="O5016" s="6" t="str">
        <f>IFERROR(__xludf.DUMMYFUNCTION("""COMPUTED_VALUE"""),"FIP-DOM-000-11304-OS00001-INA-000000")</f>
        <v>FIP-DOM-000-11304-OS00001-INA-000000</v>
      </c>
      <c r="P5016" s="6" t="str">
        <f>IFERROR(__xludf.DUMMYFUNCTION("""COMPUTED_VALUE"""),"PO Closed")</f>
        <v>PO Closed</v>
      </c>
      <c r="Q5016" s="6" t="str">
        <f>IFERROR(__xludf.DUMMYFUNCTION("""COMPUTED_VALUE"""),"GL2603473")</f>
        <v>GL2603473</v>
      </c>
      <c r="R5016" s="57">
        <f>IFERROR(__xludf.DUMMYFUNCTION("""COMPUTED_VALUE"""),46087.0)</f>
        <v>46087</v>
      </c>
      <c r="S5016" s="57">
        <f>IFERROR(__xludf.DUMMYFUNCTION("""COMPUTED_VALUE"""),46090.0)</f>
        <v>46090</v>
      </c>
      <c r="T5016" s="57">
        <f>IFERROR(__xludf.DUMMYFUNCTION("""COMPUTED_VALUE"""),46122.0)</f>
        <v>46122</v>
      </c>
    </row>
    <row r="5017">
      <c r="A5017" s="6" t="str">
        <f>IFERROR(__xludf.DUMMYFUNCTION("""COMPUTED_VALUE"""),"121703980-3")</f>
        <v>121703980-3</v>
      </c>
      <c r="B5017" s="6" t="str">
        <f>IFERROR(__xludf.DUMMYFUNCTION("""COMPUTED_VALUE"""),"121703980 - APPROVED")</f>
        <v>121703980 - APPROVED</v>
      </c>
      <c r="C5017" s="6">
        <f>IFERROR(__xludf.DUMMYFUNCTION("""COMPUTED_VALUE"""),3.0)</f>
        <v>3</v>
      </c>
      <c r="D5017" s="6" t="str">
        <f>IFERROR(__xludf.DUMMYFUNCTION("""COMPUTED_VALUE"""),"P-10899-00")</f>
        <v>P-10899-00</v>
      </c>
      <c r="E5017" s="6" t="str">
        <f>IFERROR(__xludf.DUMMYFUNCTION("""COMPUTED_VALUE"""),"General - Socket, PVC, 3/4""; Rucika; -; 1 pcs")</f>
        <v>General - Socket, PVC, 3/4"; Rucika; -; 1 pcs</v>
      </c>
      <c r="F5017" s="6">
        <f>IFERROR(__xludf.DUMMYFUNCTION("""COMPUTED_VALUE"""),3.0)</f>
        <v>3</v>
      </c>
      <c r="G5017" s="6" t="str">
        <f>IFERROR(__xludf.DUMMYFUNCTION("""COMPUTED_VALUE"""),"Pieces")</f>
        <v>Pieces</v>
      </c>
      <c r="H5017" s="6" t="str">
        <f>IFERROR(__xludf.DUMMYFUNCTION("""COMPUTED_VALUE"""),"IDR")</f>
        <v>IDR</v>
      </c>
      <c r="I5017" s="6">
        <f>IFERROR(__xludf.DUMMYFUNCTION("""COMPUTED_VALUE"""),2340.0)</f>
        <v>2340</v>
      </c>
      <c r="J5017" s="6">
        <f>IFERROR(__xludf.DUMMYFUNCTION("""COMPUTED_VALUE"""),7020.0)</f>
        <v>7020</v>
      </c>
      <c r="K5017" s="57">
        <f>IFERROR(__xludf.DUMMYFUNCTION("""COMPUTED_VALUE"""),46122.0)</f>
        <v>46122</v>
      </c>
      <c r="L5017" s="6" t="str">
        <f>IFERROR(__xludf.DUMMYFUNCTION("""COMPUTED_VALUE"""),"FIP Engineering")</f>
        <v>FIP Engineering</v>
      </c>
      <c r="M5017" s="6" t="str">
        <f>IFERROR(__xludf.DUMMYFUNCTION("""COMPUTED_VALUE"""),"Mochammad Fadhillah Hakim,")</f>
        <v>Mochammad Fadhillah Hakim,</v>
      </c>
      <c r="N5017" s="6" t="str">
        <f>IFERROR(__xludf.DUMMYFUNCTION("""COMPUTED_VALUE"""),"FIP Engineering")</f>
        <v>FIP Engineering</v>
      </c>
      <c r="O5017" s="6" t="str">
        <f>IFERROR(__xludf.DUMMYFUNCTION("""COMPUTED_VALUE"""),"FIP-DOM-000-11304-OS00001-INA-000000")</f>
        <v>FIP-DOM-000-11304-OS00001-INA-000000</v>
      </c>
      <c r="P5017" s="6" t="str">
        <f>IFERROR(__xludf.DUMMYFUNCTION("""COMPUTED_VALUE"""),"PO Closed")</f>
        <v>PO Closed</v>
      </c>
      <c r="Q5017" s="6" t="str">
        <f>IFERROR(__xludf.DUMMYFUNCTION("""COMPUTED_VALUE"""),"GL2603473")</f>
        <v>GL2603473</v>
      </c>
      <c r="R5017" s="57">
        <f>IFERROR(__xludf.DUMMYFUNCTION("""COMPUTED_VALUE"""),46087.0)</f>
        <v>46087</v>
      </c>
      <c r="S5017" s="57">
        <f>IFERROR(__xludf.DUMMYFUNCTION("""COMPUTED_VALUE"""),46090.0)</f>
        <v>46090</v>
      </c>
      <c r="T5017" s="57">
        <f>IFERROR(__xludf.DUMMYFUNCTION("""COMPUTED_VALUE"""),46122.0)</f>
        <v>46122</v>
      </c>
    </row>
    <row r="5018">
      <c r="A5018" s="6" t="str">
        <f>IFERROR(__xludf.DUMMYFUNCTION("""COMPUTED_VALUE"""),"121703980-4")</f>
        <v>121703980-4</v>
      </c>
      <c r="B5018" s="6" t="str">
        <f>IFERROR(__xludf.DUMMYFUNCTION("""COMPUTED_VALUE"""),"121703980 - APPROVED")</f>
        <v>121703980 - APPROVED</v>
      </c>
      <c r="C5018" s="6">
        <f>IFERROR(__xludf.DUMMYFUNCTION("""COMPUTED_VALUE"""),4.0)</f>
        <v>4</v>
      </c>
      <c r="D5018" s="6" t="str">
        <f>IFERROR(__xludf.DUMMYFUNCTION("""COMPUTED_VALUE"""),"P-10904-00")</f>
        <v>P-10904-00</v>
      </c>
      <c r="E5018" s="6" t="str">
        <f>IFERROR(__xludf.DUMMYFUNCTION("""COMPUTED_VALUE"""),"General - Tee, PVC, 1 1/4""; Rucika; -; 1 pcs")</f>
        <v>General - Tee, PVC, 1 1/4"; Rucika; -; 1 pcs</v>
      </c>
      <c r="F5018" s="6">
        <f>IFERROR(__xludf.DUMMYFUNCTION("""COMPUTED_VALUE"""),3.0)</f>
        <v>3</v>
      </c>
      <c r="G5018" s="6" t="str">
        <f>IFERROR(__xludf.DUMMYFUNCTION("""COMPUTED_VALUE"""),"Pieces")</f>
        <v>Pieces</v>
      </c>
      <c r="H5018" s="6" t="str">
        <f>IFERROR(__xludf.DUMMYFUNCTION("""COMPUTED_VALUE"""),"IDR")</f>
        <v>IDR</v>
      </c>
      <c r="I5018" s="6">
        <f>IFERROR(__xludf.DUMMYFUNCTION("""COMPUTED_VALUE"""),10170.0)</f>
        <v>10170</v>
      </c>
      <c r="J5018" s="6">
        <f>IFERROR(__xludf.DUMMYFUNCTION("""COMPUTED_VALUE"""),30510.0)</f>
        <v>30510</v>
      </c>
      <c r="K5018" s="57">
        <f>IFERROR(__xludf.DUMMYFUNCTION("""COMPUTED_VALUE"""),46122.0)</f>
        <v>46122</v>
      </c>
      <c r="L5018" s="6" t="str">
        <f>IFERROR(__xludf.DUMMYFUNCTION("""COMPUTED_VALUE"""),"FIP Engineering")</f>
        <v>FIP Engineering</v>
      </c>
      <c r="M5018" s="6" t="str">
        <f>IFERROR(__xludf.DUMMYFUNCTION("""COMPUTED_VALUE"""),"Mochammad Fadhillah Hakim,")</f>
        <v>Mochammad Fadhillah Hakim,</v>
      </c>
      <c r="N5018" s="6" t="str">
        <f>IFERROR(__xludf.DUMMYFUNCTION("""COMPUTED_VALUE"""),"FIP Engineering")</f>
        <v>FIP Engineering</v>
      </c>
      <c r="O5018" s="6" t="str">
        <f>IFERROR(__xludf.DUMMYFUNCTION("""COMPUTED_VALUE"""),"FIP-DOM-000-11304-OS00001-INA-000000")</f>
        <v>FIP-DOM-000-11304-OS00001-INA-000000</v>
      </c>
      <c r="P5018" s="6" t="str">
        <f>IFERROR(__xludf.DUMMYFUNCTION("""COMPUTED_VALUE"""),"PO Closed")</f>
        <v>PO Closed</v>
      </c>
      <c r="Q5018" s="6" t="str">
        <f>IFERROR(__xludf.DUMMYFUNCTION("""COMPUTED_VALUE"""),"GL2603473")</f>
        <v>GL2603473</v>
      </c>
      <c r="R5018" s="57">
        <f>IFERROR(__xludf.DUMMYFUNCTION("""COMPUTED_VALUE"""),46087.0)</f>
        <v>46087</v>
      </c>
      <c r="S5018" s="57">
        <f>IFERROR(__xludf.DUMMYFUNCTION("""COMPUTED_VALUE"""),46090.0)</f>
        <v>46090</v>
      </c>
      <c r="T5018" s="57">
        <f>IFERROR(__xludf.DUMMYFUNCTION("""COMPUTED_VALUE"""),46122.0)</f>
        <v>46122</v>
      </c>
    </row>
    <row r="5019">
      <c r="A5019" s="6" t="str">
        <f>IFERROR(__xludf.DUMMYFUNCTION("""COMPUTED_VALUE"""),"121703980-5")</f>
        <v>121703980-5</v>
      </c>
      <c r="B5019" s="6" t="str">
        <f>IFERROR(__xludf.DUMMYFUNCTION("""COMPUTED_VALUE"""),"121703980 - APPROVED")</f>
        <v>121703980 - APPROVED</v>
      </c>
      <c r="C5019" s="6">
        <f>IFERROR(__xludf.DUMMYFUNCTION("""COMPUTED_VALUE"""),5.0)</f>
        <v>5</v>
      </c>
      <c r="D5019" s="6" t="str">
        <f>IFERROR(__xludf.DUMMYFUNCTION("""COMPUTED_VALUE"""),"P-10905-00")</f>
        <v>P-10905-00</v>
      </c>
      <c r="E5019" s="6" t="str">
        <f>IFERROR(__xludf.DUMMYFUNCTION("""COMPUTED_VALUE"""),"General - Tee, PVC, 1/2""; Rucika; -; 1 pcs")</f>
        <v>General - Tee, PVC, 1/2"; Rucika; -; 1 pcs</v>
      </c>
      <c r="F5019" s="6">
        <f>IFERROR(__xludf.DUMMYFUNCTION("""COMPUTED_VALUE"""),4.0)</f>
        <v>4</v>
      </c>
      <c r="G5019" s="6" t="str">
        <f>IFERROR(__xludf.DUMMYFUNCTION("""COMPUTED_VALUE"""),"Pieces")</f>
        <v>Pieces</v>
      </c>
      <c r="H5019" s="6" t="str">
        <f>IFERROR(__xludf.DUMMYFUNCTION("""COMPUTED_VALUE"""),"IDR")</f>
        <v>IDR</v>
      </c>
      <c r="I5019" s="6">
        <f>IFERROR(__xludf.DUMMYFUNCTION("""COMPUTED_VALUE"""),2880.0)</f>
        <v>2880</v>
      </c>
      <c r="J5019" s="6">
        <f>IFERROR(__xludf.DUMMYFUNCTION("""COMPUTED_VALUE"""),11520.0)</f>
        <v>11520</v>
      </c>
      <c r="K5019" s="57">
        <f>IFERROR(__xludf.DUMMYFUNCTION("""COMPUTED_VALUE"""),46122.0)</f>
        <v>46122</v>
      </c>
      <c r="L5019" s="6" t="str">
        <f>IFERROR(__xludf.DUMMYFUNCTION("""COMPUTED_VALUE"""),"FIP Engineering")</f>
        <v>FIP Engineering</v>
      </c>
      <c r="M5019" s="6" t="str">
        <f>IFERROR(__xludf.DUMMYFUNCTION("""COMPUTED_VALUE"""),"Mochammad Fadhillah Hakim,")</f>
        <v>Mochammad Fadhillah Hakim,</v>
      </c>
      <c r="N5019" s="6" t="str">
        <f>IFERROR(__xludf.DUMMYFUNCTION("""COMPUTED_VALUE"""),"FIP Engineering")</f>
        <v>FIP Engineering</v>
      </c>
      <c r="O5019" s="6" t="str">
        <f>IFERROR(__xludf.DUMMYFUNCTION("""COMPUTED_VALUE"""),"FIP-DOM-000-11304-OS00001-INA-000000")</f>
        <v>FIP-DOM-000-11304-OS00001-INA-000000</v>
      </c>
      <c r="P5019" s="6" t="str">
        <f>IFERROR(__xludf.DUMMYFUNCTION("""COMPUTED_VALUE"""),"PO Closed")</f>
        <v>PO Closed</v>
      </c>
      <c r="Q5019" s="6" t="str">
        <f>IFERROR(__xludf.DUMMYFUNCTION("""COMPUTED_VALUE"""),"GL2603473")</f>
        <v>GL2603473</v>
      </c>
      <c r="R5019" s="57">
        <f>IFERROR(__xludf.DUMMYFUNCTION("""COMPUTED_VALUE"""),46087.0)</f>
        <v>46087</v>
      </c>
      <c r="S5019" s="57">
        <f>IFERROR(__xludf.DUMMYFUNCTION("""COMPUTED_VALUE"""),46090.0)</f>
        <v>46090</v>
      </c>
      <c r="T5019" s="57">
        <f>IFERROR(__xludf.DUMMYFUNCTION("""COMPUTED_VALUE"""),46122.0)</f>
        <v>46122</v>
      </c>
    </row>
    <row r="5020">
      <c r="A5020" s="6" t="str">
        <f>IFERROR(__xludf.DUMMYFUNCTION("""COMPUTED_VALUE"""),"121703980-6")</f>
        <v>121703980-6</v>
      </c>
      <c r="B5020" s="6" t="str">
        <f>IFERROR(__xludf.DUMMYFUNCTION("""COMPUTED_VALUE"""),"121703980 - APPROVED")</f>
        <v>121703980 - APPROVED</v>
      </c>
      <c r="C5020" s="6">
        <f>IFERROR(__xludf.DUMMYFUNCTION("""COMPUTED_VALUE"""),6.0)</f>
        <v>6</v>
      </c>
      <c r="D5020" s="6" t="str">
        <f>IFERROR(__xludf.DUMMYFUNCTION("""COMPUTED_VALUE"""),"P-10907-00")</f>
        <v>P-10907-00</v>
      </c>
      <c r="E5020" s="6" t="str">
        <f>IFERROR(__xludf.DUMMYFUNCTION("""COMPUTED_VALUE"""),"General - Tee, PVC AW, 2""; Rucika; -; 1 pcs")</f>
        <v>General - Tee, PVC AW, 2"; Rucika; -; 1 pcs</v>
      </c>
      <c r="F5020" s="6">
        <f>IFERROR(__xludf.DUMMYFUNCTION("""COMPUTED_VALUE"""),4.0)</f>
        <v>4</v>
      </c>
      <c r="G5020" s="6" t="str">
        <f>IFERROR(__xludf.DUMMYFUNCTION("""COMPUTED_VALUE"""),"Pieces")</f>
        <v>Pieces</v>
      </c>
      <c r="H5020" s="6" t="str">
        <f>IFERROR(__xludf.DUMMYFUNCTION("""COMPUTED_VALUE"""),"IDR")</f>
        <v>IDR</v>
      </c>
      <c r="I5020" s="6">
        <f>IFERROR(__xludf.DUMMYFUNCTION("""COMPUTED_VALUE"""),21000.0)</f>
        <v>21000</v>
      </c>
      <c r="J5020" s="6">
        <f>IFERROR(__xludf.DUMMYFUNCTION("""COMPUTED_VALUE"""),84000.0)</f>
        <v>84000</v>
      </c>
      <c r="K5020" s="57">
        <f>IFERROR(__xludf.DUMMYFUNCTION("""COMPUTED_VALUE"""),46122.0)</f>
        <v>46122</v>
      </c>
      <c r="L5020" s="6" t="str">
        <f>IFERROR(__xludf.DUMMYFUNCTION("""COMPUTED_VALUE"""),"FIP Engineering")</f>
        <v>FIP Engineering</v>
      </c>
      <c r="M5020" s="6" t="str">
        <f>IFERROR(__xludf.DUMMYFUNCTION("""COMPUTED_VALUE"""),"Mochammad Fadhillah Hakim,")</f>
        <v>Mochammad Fadhillah Hakim,</v>
      </c>
      <c r="N5020" s="6" t="str">
        <f>IFERROR(__xludf.DUMMYFUNCTION("""COMPUTED_VALUE"""),"FIP Engineering")</f>
        <v>FIP Engineering</v>
      </c>
      <c r="O5020" s="6" t="str">
        <f>IFERROR(__xludf.DUMMYFUNCTION("""COMPUTED_VALUE"""),"FIP-DOM-000-11304-OS00001-INA-000000")</f>
        <v>FIP-DOM-000-11304-OS00001-INA-000000</v>
      </c>
      <c r="P5020" s="6" t="str">
        <f>IFERROR(__xludf.DUMMYFUNCTION("""COMPUTED_VALUE"""),"PO Closed")</f>
        <v>PO Closed</v>
      </c>
      <c r="Q5020" s="6" t="str">
        <f>IFERROR(__xludf.DUMMYFUNCTION("""COMPUTED_VALUE"""),"GL2603473")</f>
        <v>GL2603473</v>
      </c>
      <c r="R5020" s="57">
        <f>IFERROR(__xludf.DUMMYFUNCTION("""COMPUTED_VALUE"""),46087.0)</f>
        <v>46087</v>
      </c>
      <c r="S5020" s="57">
        <f>IFERROR(__xludf.DUMMYFUNCTION("""COMPUTED_VALUE"""),46090.0)</f>
        <v>46090</v>
      </c>
      <c r="T5020" s="57">
        <f>IFERROR(__xludf.DUMMYFUNCTION("""COMPUTED_VALUE"""),46122.0)</f>
        <v>46122</v>
      </c>
    </row>
    <row r="5021">
      <c r="A5021" s="6" t="str">
        <f>IFERROR(__xludf.DUMMYFUNCTION("""COMPUTED_VALUE"""),"121703980-7")</f>
        <v>121703980-7</v>
      </c>
      <c r="B5021" s="6" t="str">
        <f>IFERROR(__xludf.DUMMYFUNCTION("""COMPUTED_VALUE"""),"121703980 - APPROVED")</f>
        <v>121703980 - APPROVED</v>
      </c>
      <c r="C5021" s="6">
        <f>IFERROR(__xludf.DUMMYFUNCTION("""COMPUTED_VALUE"""),7.0)</f>
        <v>7</v>
      </c>
      <c r="D5021" s="6" t="str">
        <f>IFERROR(__xludf.DUMMYFUNCTION("""COMPUTED_VALUE"""),"P-12746-00")</f>
        <v>P-12746-00</v>
      </c>
      <c r="E5021" s="6" t="str">
        <f>IFERROR(__xludf.DUMMYFUNCTION("""COMPUTED_VALUE"""),"General - Pipa PVC AW dia. 1 1/2inch, Warna Abu-Abu; Rucika; -; 1 pcs")</f>
        <v>General - Pipa PVC AW dia. 1 1/2inch, Warna Abu-Abu; Rucika; -; 1 pcs</v>
      </c>
      <c r="F5021" s="6">
        <f>IFERROR(__xludf.DUMMYFUNCTION("""COMPUTED_VALUE"""),5.0)</f>
        <v>5</v>
      </c>
      <c r="G5021" s="6" t="str">
        <f>IFERROR(__xludf.DUMMYFUNCTION("""COMPUTED_VALUE"""),"Pieces")</f>
        <v>Pieces</v>
      </c>
      <c r="H5021" s="6" t="str">
        <f>IFERROR(__xludf.DUMMYFUNCTION("""COMPUTED_VALUE"""),"IDR")</f>
        <v>IDR</v>
      </c>
      <c r="I5021" s="6">
        <f>IFERROR(__xludf.DUMMYFUNCTION("""COMPUTED_VALUE"""),129000.0)</f>
        <v>129000</v>
      </c>
      <c r="J5021" s="6">
        <f>IFERROR(__xludf.DUMMYFUNCTION("""COMPUTED_VALUE"""),645000.0)</f>
        <v>645000</v>
      </c>
      <c r="K5021" s="57">
        <f>IFERROR(__xludf.DUMMYFUNCTION("""COMPUTED_VALUE"""),46122.0)</f>
        <v>46122</v>
      </c>
      <c r="L5021" s="6" t="str">
        <f>IFERROR(__xludf.DUMMYFUNCTION("""COMPUTED_VALUE"""),"FIP Engineering")</f>
        <v>FIP Engineering</v>
      </c>
      <c r="M5021" s="6" t="str">
        <f>IFERROR(__xludf.DUMMYFUNCTION("""COMPUTED_VALUE"""),"Mochammad Fadhillah Hakim,")</f>
        <v>Mochammad Fadhillah Hakim,</v>
      </c>
      <c r="N5021" s="6" t="str">
        <f>IFERROR(__xludf.DUMMYFUNCTION("""COMPUTED_VALUE"""),"FIP Engineering")</f>
        <v>FIP Engineering</v>
      </c>
      <c r="O5021" s="6" t="str">
        <f>IFERROR(__xludf.DUMMYFUNCTION("""COMPUTED_VALUE"""),"FIP-DOM-000-11304-OS00001-INA-000000")</f>
        <v>FIP-DOM-000-11304-OS00001-INA-000000</v>
      </c>
      <c r="P5021" s="6" t="str">
        <f>IFERROR(__xludf.DUMMYFUNCTION("""COMPUTED_VALUE"""),"PO Closed")</f>
        <v>PO Closed</v>
      </c>
      <c r="Q5021" s="6" t="str">
        <f>IFERROR(__xludf.DUMMYFUNCTION("""COMPUTED_VALUE"""),"GL2603473")</f>
        <v>GL2603473</v>
      </c>
      <c r="R5021" s="57">
        <f>IFERROR(__xludf.DUMMYFUNCTION("""COMPUTED_VALUE"""),46087.0)</f>
        <v>46087</v>
      </c>
      <c r="S5021" s="57">
        <f>IFERROR(__xludf.DUMMYFUNCTION("""COMPUTED_VALUE"""),46090.0)</f>
        <v>46090</v>
      </c>
      <c r="T5021" s="57">
        <f>IFERROR(__xludf.DUMMYFUNCTION("""COMPUTED_VALUE"""),46122.0)</f>
        <v>46122</v>
      </c>
    </row>
    <row r="5022">
      <c r="A5022" s="6" t="str">
        <f>IFERROR(__xludf.DUMMYFUNCTION("""COMPUTED_VALUE"""),"121703980-8")</f>
        <v>121703980-8</v>
      </c>
      <c r="B5022" s="6" t="str">
        <f>IFERROR(__xludf.DUMMYFUNCTION("""COMPUTED_VALUE"""),"121703980 - APPROVED")</f>
        <v>121703980 - APPROVED</v>
      </c>
      <c r="C5022" s="6">
        <f>IFERROR(__xludf.DUMMYFUNCTION("""COMPUTED_VALUE"""),8.0)</f>
        <v>8</v>
      </c>
      <c r="D5022" s="6" t="str">
        <f>IFERROR(__xludf.DUMMYFUNCTION("""COMPUTED_VALUE"""),"P-12803-00")</f>
        <v>P-12803-00</v>
      </c>
      <c r="E5022" s="6" t="str">
        <f>IFERROR(__xludf.DUMMYFUNCTION("""COMPUTED_VALUE"""),"General - Socket Drat Dalam, PVC AW, 1""; No Brand; -; 1 pcs")</f>
        <v>General - Socket Drat Dalam, PVC AW, 1"; No Brand; -; 1 pcs</v>
      </c>
      <c r="F5022" s="6">
        <f>IFERROR(__xludf.DUMMYFUNCTION("""COMPUTED_VALUE"""),10.0)</f>
        <v>10</v>
      </c>
      <c r="G5022" s="6" t="str">
        <f>IFERROR(__xludf.DUMMYFUNCTION("""COMPUTED_VALUE"""),"Pieces")</f>
        <v>Pieces</v>
      </c>
      <c r="H5022" s="6" t="str">
        <f>IFERROR(__xludf.DUMMYFUNCTION("""COMPUTED_VALUE"""),"IDR")</f>
        <v>IDR</v>
      </c>
      <c r="I5022" s="6">
        <f>IFERROR(__xludf.DUMMYFUNCTION("""COMPUTED_VALUE"""),4500.0)</f>
        <v>4500</v>
      </c>
      <c r="J5022" s="6">
        <f>IFERROR(__xludf.DUMMYFUNCTION("""COMPUTED_VALUE"""),45000.0)</f>
        <v>45000</v>
      </c>
      <c r="K5022" s="57">
        <f>IFERROR(__xludf.DUMMYFUNCTION("""COMPUTED_VALUE"""),46122.0)</f>
        <v>46122</v>
      </c>
      <c r="L5022" s="6" t="str">
        <f>IFERROR(__xludf.DUMMYFUNCTION("""COMPUTED_VALUE"""),"FIP Engineering")</f>
        <v>FIP Engineering</v>
      </c>
      <c r="M5022" s="6" t="str">
        <f>IFERROR(__xludf.DUMMYFUNCTION("""COMPUTED_VALUE"""),"Mochammad Fadhillah Hakim,")</f>
        <v>Mochammad Fadhillah Hakim,</v>
      </c>
      <c r="N5022" s="6" t="str">
        <f>IFERROR(__xludf.DUMMYFUNCTION("""COMPUTED_VALUE"""),"FIP Engineering")</f>
        <v>FIP Engineering</v>
      </c>
      <c r="O5022" s="6" t="str">
        <f>IFERROR(__xludf.DUMMYFUNCTION("""COMPUTED_VALUE"""),"FIP-DOM-000-11304-OS00001-INA-000000")</f>
        <v>FIP-DOM-000-11304-OS00001-INA-000000</v>
      </c>
      <c r="P5022" s="6" t="str">
        <f>IFERROR(__xludf.DUMMYFUNCTION("""COMPUTED_VALUE"""),"PO Closed")</f>
        <v>PO Closed</v>
      </c>
      <c r="Q5022" s="6" t="str">
        <f>IFERROR(__xludf.DUMMYFUNCTION("""COMPUTED_VALUE"""),"GL2604493")</f>
        <v>GL2604493</v>
      </c>
      <c r="R5022" s="57">
        <f>IFERROR(__xludf.DUMMYFUNCTION("""COMPUTED_VALUE"""),46087.0)</f>
        <v>46087</v>
      </c>
      <c r="S5022" s="57">
        <f>IFERROR(__xludf.DUMMYFUNCTION("""COMPUTED_VALUE"""),46090.0)</f>
        <v>46090</v>
      </c>
      <c r="T5022" s="57">
        <f>IFERROR(__xludf.DUMMYFUNCTION("""COMPUTED_VALUE"""),46137.0)</f>
        <v>46137</v>
      </c>
    </row>
    <row r="5023">
      <c r="A5023" s="6" t="str">
        <f>IFERROR(__xludf.DUMMYFUNCTION("""COMPUTED_VALUE"""),"121703980-9")</f>
        <v>121703980-9</v>
      </c>
      <c r="B5023" s="6" t="str">
        <f>IFERROR(__xludf.DUMMYFUNCTION("""COMPUTED_VALUE"""),"121703980 - APPROVED")</f>
        <v>121703980 - APPROVED</v>
      </c>
      <c r="C5023" s="6">
        <f>IFERROR(__xludf.DUMMYFUNCTION("""COMPUTED_VALUE"""),9.0)</f>
        <v>9</v>
      </c>
      <c r="D5023" s="6" t="str">
        <f>IFERROR(__xludf.DUMMYFUNCTION("""COMPUTED_VALUE"""),"P-12816-00")</f>
        <v>P-12816-00</v>
      </c>
      <c r="E5023" s="6" t="str">
        <f>IFERROR(__xludf.DUMMYFUNCTION("""COMPUTED_VALUE"""),"General - Socket, PVC AW, 1 1/2""; Rucika; -; 1 pcs")</f>
        <v>General - Socket, PVC AW, 1 1/2"; Rucika; -; 1 pcs</v>
      </c>
      <c r="F5023" s="6">
        <f>IFERROR(__xludf.DUMMYFUNCTION("""COMPUTED_VALUE"""),10.0)</f>
        <v>10</v>
      </c>
      <c r="G5023" s="6" t="str">
        <f>IFERROR(__xludf.DUMMYFUNCTION("""COMPUTED_VALUE"""),"Pieces")</f>
        <v>Pieces</v>
      </c>
      <c r="H5023" s="6" t="str">
        <f>IFERROR(__xludf.DUMMYFUNCTION("""COMPUTED_VALUE"""),"IDR")</f>
        <v>IDR</v>
      </c>
      <c r="I5023" s="6">
        <f>IFERROR(__xludf.DUMMYFUNCTION("""COMPUTED_VALUE"""),8000.0)</f>
        <v>8000</v>
      </c>
      <c r="J5023" s="6">
        <f>IFERROR(__xludf.DUMMYFUNCTION("""COMPUTED_VALUE"""),80000.0)</f>
        <v>80000</v>
      </c>
      <c r="K5023" s="57">
        <f>IFERROR(__xludf.DUMMYFUNCTION("""COMPUTED_VALUE"""),46122.0)</f>
        <v>46122</v>
      </c>
      <c r="L5023" s="6" t="str">
        <f>IFERROR(__xludf.DUMMYFUNCTION("""COMPUTED_VALUE"""),"FIP Engineering")</f>
        <v>FIP Engineering</v>
      </c>
      <c r="M5023" s="6" t="str">
        <f>IFERROR(__xludf.DUMMYFUNCTION("""COMPUTED_VALUE"""),"Mochammad Fadhillah Hakim,")</f>
        <v>Mochammad Fadhillah Hakim,</v>
      </c>
      <c r="N5023" s="6" t="str">
        <f>IFERROR(__xludf.DUMMYFUNCTION("""COMPUTED_VALUE"""),"FIP Engineering")</f>
        <v>FIP Engineering</v>
      </c>
      <c r="O5023" s="6" t="str">
        <f>IFERROR(__xludf.DUMMYFUNCTION("""COMPUTED_VALUE"""),"FIP-DOM-000-11304-OS00001-INA-000000")</f>
        <v>FIP-DOM-000-11304-OS00001-INA-000000</v>
      </c>
      <c r="P5023" s="6" t="str">
        <f>IFERROR(__xludf.DUMMYFUNCTION("""COMPUTED_VALUE"""),"PO Closed")</f>
        <v>PO Closed</v>
      </c>
      <c r="Q5023" s="6" t="str">
        <f>IFERROR(__xludf.DUMMYFUNCTION("""COMPUTED_VALUE"""),"GL2603473")</f>
        <v>GL2603473</v>
      </c>
      <c r="R5023" s="57">
        <f>IFERROR(__xludf.DUMMYFUNCTION("""COMPUTED_VALUE"""),46087.0)</f>
        <v>46087</v>
      </c>
      <c r="S5023" s="57">
        <f>IFERROR(__xludf.DUMMYFUNCTION("""COMPUTED_VALUE"""),46090.0)</f>
        <v>46090</v>
      </c>
      <c r="T5023" s="57">
        <f>IFERROR(__xludf.DUMMYFUNCTION("""COMPUTED_VALUE"""),46122.0)</f>
        <v>46122</v>
      </c>
    </row>
    <row r="5024">
      <c r="A5024" s="6" t="str">
        <f>IFERROR(__xludf.DUMMYFUNCTION("""COMPUTED_VALUE"""),"121703980-10")</f>
        <v>121703980-10</v>
      </c>
      <c r="B5024" s="6" t="str">
        <f>IFERROR(__xludf.DUMMYFUNCTION("""COMPUTED_VALUE"""),"121703980 - APPROVED")</f>
        <v>121703980 - APPROVED</v>
      </c>
      <c r="C5024" s="6">
        <f>IFERROR(__xludf.DUMMYFUNCTION("""COMPUTED_VALUE"""),10.0)</f>
        <v>10</v>
      </c>
      <c r="D5024" s="6" t="str">
        <f>IFERROR(__xludf.DUMMYFUNCTION("""COMPUTED_VALUE"""),"P-12881-00")</f>
        <v>P-12881-00</v>
      </c>
      <c r="E5024" s="6" t="str">
        <f>IFERROR(__xludf.DUMMYFUNCTION("""COMPUTED_VALUE"""),"General - Tee, PVC AW, 1 1/2"" x 1 1/2""; No Brand; -; 1 pcs")</f>
        <v>General - Tee, PVC AW, 1 1/2" x 1 1/2"; No Brand; -; 1 pcs</v>
      </c>
      <c r="F5024" s="6">
        <f>IFERROR(__xludf.DUMMYFUNCTION("""COMPUTED_VALUE"""),10.0)</f>
        <v>10</v>
      </c>
      <c r="G5024" s="6" t="str">
        <f>IFERROR(__xludf.DUMMYFUNCTION("""COMPUTED_VALUE"""),"Pieces")</f>
        <v>Pieces</v>
      </c>
      <c r="H5024" s="6" t="str">
        <f>IFERROR(__xludf.DUMMYFUNCTION("""COMPUTED_VALUE"""),"IDR")</f>
        <v>IDR</v>
      </c>
      <c r="I5024" s="6">
        <f>IFERROR(__xludf.DUMMYFUNCTION("""COMPUTED_VALUE"""),13500.0)</f>
        <v>13500</v>
      </c>
      <c r="J5024" s="6">
        <f>IFERROR(__xludf.DUMMYFUNCTION("""COMPUTED_VALUE"""),135000.0)</f>
        <v>135000</v>
      </c>
      <c r="K5024" s="57">
        <f>IFERROR(__xludf.DUMMYFUNCTION("""COMPUTED_VALUE"""),46122.0)</f>
        <v>46122</v>
      </c>
      <c r="L5024" s="6" t="str">
        <f>IFERROR(__xludf.DUMMYFUNCTION("""COMPUTED_VALUE"""),"FIP Engineering")</f>
        <v>FIP Engineering</v>
      </c>
      <c r="M5024" s="6" t="str">
        <f>IFERROR(__xludf.DUMMYFUNCTION("""COMPUTED_VALUE"""),"Mochammad Fadhillah Hakim,")</f>
        <v>Mochammad Fadhillah Hakim,</v>
      </c>
      <c r="N5024" s="6" t="str">
        <f>IFERROR(__xludf.DUMMYFUNCTION("""COMPUTED_VALUE"""),"FIP Engineering")</f>
        <v>FIP Engineering</v>
      </c>
      <c r="O5024" s="6" t="str">
        <f>IFERROR(__xludf.DUMMYFUNCTION("""COMPUTED_VALUE"""),"FIP-DOM-000-11304-OS00001-INA-000000")</f>
        <v>FIP-DOM-000-11304-OS00001-INA-000000</v>
      </c>
      <c r="P5024" s="6" t="str">
        <f>IFERROR(__xludf.DUMMYFUNCTION("""COMPUTED_VALUE"""),"PO Closed")</f>
        <v>PO Closed</v>
      </c>
      <c r="Q5024" s="6" t="str">
        <f>IFERROR(__xludf.DUMMYFUNCTION("""COMPUTED_VALUE"""),"GL2604493")</f>
        <v>GL2604493</v>
      </c>
      <c r="R5024" s="57">
        <f>IFERROR(__xludf.DUMMYFUNCTION("""COMPUTED_VALUE"""),46087.0)</f>
        <v>46087</v>
      </c>
      <c r="S5024" s="57">
        <f>IFERROR(__xludf.DUMMYFUNCTION("""COMPUTED_VALUE"""),46090.0)</f>
        <v>46090</v>
      </c>
      <c r="T5024" s="57">
        <f>IFERROR(__xludf.DUMMYFUNCTION("""COMPUTED_VALUE"""),46137.0)</f>
        <v>46137</v>
      </c>
    </row>
    <row r="5025">
      <c r="A5025" s="6" t="str">
        <f>IFERROR(__xludf.DUMMYFUNCTION("""COMPUTED_VALUE"""),"121703981-1")</f>
        <v>121703981-1</v>
      </c>
      <c r="B5025" s="6" t="str">
        <f>IFERROR(__xludf.DUMMYFUNCTION("""COMPUTED_VALUE"""),"121703981 - APPROVED")</f>
        <v>121703981 - APPROVED</v>
      </c>
      <c r="C5025" s="6">
        <f>IFERROR(__xludf.DUMMYFUNCTION("""COMPUTED_VALUE"""),1.0)</f>
        <v>1</v>
      </c>
      <c r="D5025" s="6" t="str">
        <f>IFERROR(__xludf.DUMMYFUNCTION("""COMPUTED_VALUE"""),"P-12883-00")</f>
        <v>P-12883-00</v>
      </c>
      <c r="E5025" s="6" t="str">
        <f>IFERROR(__xludf.DUMMYFUNCTION("""COMPUTED_VALUE"""),"Tee PVC AW General - Tee PVC AW dia 1/2inch X 1/2inch; Rucika; -; 1 pcs")</f>
        <v>Tee PVC AW General - Tee PVC AW dia 1/2inch X 1/2inch; Rucika; -; 1 pcs</v>
      </c>
      <c r="F5025" s="6">
        <f>IFERROR(__xludf.DUMMYFUNCTION("""COMPUTED_VALUE"""),9.0)</f>
        <v>9</v>
      </c>
      <c r="G5025" s="6" t="str">
        <f>IFERROR(__xludf.DUMMYFUNCTION("""COMPUTED_VALUE"""),"Pieces")</f>
        <v>Pieces</v>
      </c>
      <c r="H5025" s="6" t="str">
        <f>IFERROR(__xludf.DUMMYFUNCTION("""COMPUTED_VALUE"""),"IDR")</f>
        <v>IDR</v>
      </c>
      <c r="I5025" s="6">
        <f>IFERROR(__xludf.DUMMYFUNCTION("""COMPUTED_VALUE"""),2880.0)</f>
        <v>2880</v>
      </c>
      <c r="J5025" s="6">
        <f>IFERROR(__xludf.DUMMYFUNCTION("""COMPUTED_VALUE"""),25920.0)</f>
        <v>25920</v>
      </c>
      <c r="K5025" s="57">
        <f>IFERROR(__xludf.DUMMYFUNCTION("""COMPUTED_VALUE"""),46122.0)</f>
        <v>46122</v>
      </c>
      <c r="L5025" s="6" t="str">
        <f>IFERROR(__xludf.DUMMYFUNCTION("""COMPUTED_VALUE"""),"FIP Engineering")</f>
        <v>FIP Engineering</v>
      </c>
      <c r="M5025" s="6" t="str">
        <f>IFERROR(__xludf.DUMMYFUNCTION("""COMPUTED_VALUE"""),"Mochammad Fadhillah Hakim,")</f>
        <v>Mochammad Fadhillah Hakim,</v>
      </c>
      <c r="N5025" s="6" t="str">
        <f>IFERROR(__xludf.DUMMYFUNCTION("""COMPUTED_VALUE"""),"FIP Engineering")</f>
        <v>FIP Engineering</v>
      </c>
      <c r="O5025" s="6" t="str">
        <f>IFERROR(__xludf.DUMMYFUNCTION("""COMPUTED_VALUE"""),"FIP-DOM-000-11304-OS00001-INA-000000")</f>
        <v>FIP-DOM-000-11304-OS00001-INA-000000</v>
      </c>
      <c r="P5025" s="6" t="str">
        <f>IFERROR(__xludf.DUMMYFUNCTION("""COMPUTED_VALUE"""),"PO Closed")</f>
        <v>PO Closed</v>
      </c>
      <c r="Q5025" s="6" t="str">
        <f>IFERROR(__xludf.DUMMYFUNCTION("""COMPUTED_VALUE"""),"GL2603473")</f>
        <v>GL2603473</v>
      </c>
      <c r="R5025" s="57">
        <f>IFERROR(__xludf.DUMMYFUNCTION("""COMPUTED_VALUE"""),46087.0)</f>
        <v>46087</v>
      </c>
      <c r="S5025" s="57">
        <f>IFERROR(__xludf.DUMMYFUNCTION("""COMPUTED_VALUE"""),46090.0)</f>
        <v>46090</v>
      </c>
      <c r="T5025" s="57">
        <f>IFERROR(__xludf.DUMMYFUNCTION("""COMPUTED_VALUE"""),46122.0)</f>
        <v>46122</v>
      </c>
    </row>
    <row r="5026">
      <c r="A5026" s="6" t="str">
        <f>IFERROR(__xludf.DUMMYFUNCTION("""COMPUTED_VALUE"""),"121703981-2")</f>
        <v>121703981-2</v>
      </c>
      <c r="B5026" s="6" t="str">
        <f>IFERROR(__xludf.DUMMYFUNCTION("""COMPUTED_VALUE"""),"121703981 - APPROVED")</f>
        <v>121703981 - APPROVED</v>
      </c>
      <c r="C5026" s="6">
        <f>IFERROR(__xludf.DUMMYFUNCTION("""COMPUTED_VALUE"""),2.0)</f>
        <v>2</v>
      </c>
      <c r="D5026" s="6" t="str">
        <f>IFERROR(__xludf.DUMMYFUNCTION("""COMPUTED_VALUE"""),"P-13259-00")</f>
        <v>P-13259-00</v>
      </c>
      <c r="E5026" s="6" t="str">
        <f>IFERROR(__xludf.DUMMYFUNCTION("""COMPUTED_VALUE"""),"General - Socket Drat Dalam, SS 304, 1""; No Brand; -; 1 pcs")</f>
        <v>General - Socket Drat Dalam, SS 304, 1"; No Brand; -; 1 pcs</v>
      </c>
      <c r="F5026" s="6">
        <f>IFERROR(__xludf.DUMMYFUNCTION("""COMPUTED_VALUE"""),3.0)</f>
        <v>3</v>
      </c>
      <c r="G5026" s="6" t="str">
        <f>IFERROR(__xludf.DUMMYFUNCTION("""COMPUTED_VALUE"""),"Pieces")</f>
        <v>Pieces</v>
      </c>
      <c r="H5026" s="6" t="str">
        <f>IFERROR(__xludf.DUMMYFUNCTION("""COMPUTED_VALUE"""),"IDR")</f>
        <v>IDR</v>
      </c>
      <c r="I5026" s="6">
        <f>IFERROR(__xludf.DUMMYFUNCTION("""COMPUTED_VALUE"""),55000.0)</f>
        <v>55000</v>
      </c>
      <c r="J5026" s="6">
        <f>IFERROR(__xludf.DUMMYFUNCTION("""COMPUTED_VALUE"""),165000.0)</f>
        <v>165000</v>
      </c>
      <c r="K5026" s="57">
        <f>IFERROR(__xludf.DUMMYFUNCTION("""COMPUTED_VALUE"""),46122.0)</f>
        <v>46122</v>
      </c>
      <c r="L5026" s="6" t="str">
        <f>IFERROR(__xludf.DUMMYFUNCTION("""COMPUTED_VALUE"""),"FIP Engineering")</f>
        <v>FIP Engineering</v>
      </c>
      <c r="M5026" s="6" t="str">
        <f>IFERROR(__xludf.DUMMYFUNCTION("""COMPUTED_VALUE"""),"Mochammad Fadhillah Hakim,")</f>
        <v>Mochammad Fadhillah Hakim,</v>
      </c>
      <c r="N5026" s="6" t="str">
        <f>IFERROR(__xludf.DUMMYFUNCTION("""COMPUTED_VALUE"""),"FIP Engineering")</f>
        <v>FIP Engineering</v>
      </c>
      <c r="O5026" s="6" t="str">
        <f>IFERROR(__xludf.DUMMYFUNCTION("""COMPUTED_VALUE"""),"FIP-DOM-000-11304-OS00001-INA-000000")</f>
        <v>FIP-DOM-000-11304-OS00001-INA-000000</v>
      </c>
      <c r="P5026" s="6" t="str">
        <f>IFERROR(__xludf.DUMMYFUNCTION("""COMPUTED_VALUE"""),"PO Closed")</f>
        <v>PO Closed</v>
      </c>
      <c r="Q5026" s="6" t="str">
        <f>IFERROR(__xludf.DUMMYFUNCTION("""COMPUTED_VALUE"""),"GL2604492")</f>
        <v>GL2604492</v>
      </c>
      <c r="R5026" s="57">
        <f>IFERROR(__xludf.DUMMYFUNCTION("""COMPUTED_VALUE"""),46087.0)</f>
        <v>46087</v>
      </c>
      <c r="S5026" s="57">
        <f>IFERROR(__xludf.DUMMYFUNCTION("""COMPUTED_VALUE"""),46090.0)</f>
        <v>46090</v>
      </c>
      <c r="T5026" s="57">
        <f>IFERROR(__xludf.DUMMYFUNCTION("""COMPUTED_VALUE"""),46142.0)</f>
        <v>46142</v>
      </c>
    </row>
    <row r="5027">
      <c r="A5027" s="6" t="str">
        <f>IFERROR(__xludf.DUMMYFUNCTION("""COMPUTED_VALUE"""),"121703981-3")</f>
        <v>121703981-3</v>
      </c>
      <c r="B5027" s="6" t="str">
        <f>IFERROR(__xludf.DUMMYFUNCTION("""COMPUTED_VALUE"""),"121703981 - APPROVED")</f>
        <v>121703981 - APPROVED</v>
      </c>
      <c r="C5027" s="6">
        <f>IFERROR(__xludf.DUMMYFUNCTION("""COMPUTED_VALUE"""),3.0)</f>
        <v>3</v>
      </c>
      <c r="D5027" s="6" t="str">
        <f>IFERROR(__xludf.DUMMYFUNCTION("""COMPUTED_VALUE"""),"P-13269-00")</f>
        <v>P-13269-00</v>
      </c>
      <c r="E5027" s="6" t="str">
        <f>IFERROR(__xludf.DUMMYFUNCTION("""COMPUTED_VALUE"""),"General - Socket, PVC, 4""; Rucika; -; 1 pcs")</f>
        <v>General - Socket, PVC, 4"; Rucika; -; 1 pcs</v>
      </c>
      <c r="F5027" s="6">
        <f>IFERROR(__xludf.DUMMYFUNCTION("""COMPUTED_VALUE"""),2.0)</f>
        <v>2</v>
      </c>
      <c r="G5027" s="6" t="str">
        <f>IFERROR(__xludf.DUMMYFUNCTION("""COMPUTED_VALUE"""),"Pieces")</f>
        <v>Pieces</v>
      </c>
      <c r="H5027" s="6" t="str">
        <f>IFERROR(__xludf.DUMMYFUNCTION("""COMPUTED_VALUE"""),"IDR")</f>
        <v>IDR</v>
      </c>
      <c r="I5027" s="6">
        <f>IFERROR(__xludf.DUMMYFUNCTION("""COMPUTED_VALUE"""),59490.0)</f>
        <v>59490</v>
      </c>
      <c r="J5027" s="6">
        <f>IFERROR(__xludf.DUMMYFUNCTION("""COMPUTED_VALUE"""),118980.0)</f>
        <v>118980</v>
      </c>
      <c r="K5027" s="57">
        <f>IFERROR(__xludf.DUMMYFUNCTION("""COMPUTED_VALUE"""),46122.0)</f>
        <v>46122</v>
      </c>
      <c r="L5027" s="6" t="str">
        <f>IFERROR(__xludf.DUMMYFUNCTION("""COMPUTED_VALUE"""),"FIP Engineering")</f>
        <v>FIP Engineering</v>
      </c>
      <c r="M5027" s="6" t="str">
        <f>IFERROR(__xludf.DUMMYFUNCTION("""COMPUTED_VALUE"""),"Mochammad Fadhillah Hakim,")</f>
        <v>Mochammad Fadhillah Hakim,</v>
      </c>
      <c r="N5027" s="6" t="str">
        <f>IFERROR(__xludf.DUMMYFUNCTION("""COMPUTED_VALUE"""),"FIP Engineering")</f>
        <v>FIP Engineering</v>
      </c>
      <c r="O5027" s="6" t="str">
        <f>IFERROR(__xludf.DUMMYFUNCTION("""COMPUTED_VALUE"""),"FIP-DOM-000-11304-OS00001-INA-000000")</f>
        <v>FIP-DOM-000-11304-OS00001-INA-000000</v>
      </c>
      <c r="P5027" s="6" t="str">
        <f>IFERROR(__xludf.DUMMYFUNCTION("""COMPUTED_VALUE"""),"PO Closed")</f>
        <v>PO Closed</v>
      </c>
      <c r="Q5027" s="6" t="str">
        <f>IFERROR(__xludf.DUMMYFUNCTION("""COMPUTED_VALUE"""),"GL2603473")</f>
        <v>GL2603473</v>
      </c>
      <c r="R5027" s="57">
        <f>IFERROR(__xludf.DUMMYFUNCTION("""COMPUTED_VALUE"""),46087.0)</f>
        <v>46087</v>
      </c>
      <c r="S5027" s="57">
        <f>IFERROR(__xludf.DUMMYFUNCTION("""COMPUTED_VALUE"""),46090.0)</f>
        <v>46090</v>
      </c>
      <c r="T5027" s="57">
        <f>IFERROR(__xludf.DUMMYFUNCTION("""COMPUTED_VALUE"""),46122.0)</f>
        <v>46122</v>
      </c>
    </row>
    <row r="5028">
      <c r="A5028" s="6" t="str">
        <f>IFERROR(__xludf.DUMMYFUNCTION("""COMPUTED_VALUE"""),"121703981-4")</f>
        <v>121703981-4</v>
      </c>
      <c r="B5028" s="6" t="str">
        <f>IFERROR(__xludf.DUMMYFUNCTION("""COMPUTED_VALUE"""),"121703981 - APPROVED")</f>
        <v>121703981 - APPROVED</v>
      </c>
      <c r="C5028" s="6">
        <f>IFERROR(__xludf.DUMMYFUNCTION("""COMPUTED_VALUE"""),4.0)</f>
        <v>4</v>
      </c>
      <c r="D5028" s="6" t="str">
        <f>IFERROR(__xludf.DUMMYFUNCTION("""COMPUTED_VALUE"""),"P-13285-00")</f>
        <v>P-13285-00</v>
      </c>
      <c r="E5028" s="6" t="str">
        <f>IFERROR(__xludf.DUMMYFUNCTION("""COMPUTED_VALUE"""),"General - Socket Drat Luar, PVC, 1/2""; Rucika; -; 1 pcs")</f>
        <v>General - Socket Drat Luar, PVC, 1/2"; Rucika; -; 1 pcs</v>
      </c>
      <c r="F5028" s="6">
        <f>IFERROR(__xludf.DUMMYFUNCTION("""COMPUTED_VALUE"""),4.0)</f>
        <v>4</v>
      </c>
      <c r="G5028" s="6" t="str">
        <f>IFERROR(__xludf.DUMMYFUNCTION("""COMPUTED_VALUE"""),"Pieces")</f>
        <v>Pieces</v>
      </c>
      <c r="H5028" s="6" t="str">
        <f>IFERROR(__xludf.DUMMYFUNCTION("""COMPUTED_VALUE"""),"IDR")</f>
        <v>IDR</v>
      </c>
      <c r="I5028" s="6">
        <f>IFERROR(__xludf.DUMMYFUNCTION("""COMPUTED_VALUE"""),1530.0)</f>
        <v>1530</v>
      </c>
      <c r="J5028" s="6">
        <f>IFERROR(__xludf.DUMMYFUNCTION("""COMPUTED_VALUE"""),6120.0)</f>
        <v>6120</v>
      </c>
      <c r="K5028" s="57">
        <f>IFERROR(__xludf.DUMMYFUNCTION("""COMPUTED_VALUE"""),46122.0)</f>
        <v>46122</v>
      </c>
      <c r="L5028" s="6" t="str">
        <f>IFERROR(__xludf.DUMMYFUNCTION("""COMPUTED_VALUE"""),"FIP Engineering")</f>
        <v>FIP Engineering</v>
      </c>
      <c r="M5028" s="6" t="str">
        <f>IFERROR(__xludf.DUMMYFUNCTION("""COMPUTED_VALUE"""),"Mochammad Fadhillah Hakim,")</f>
        <v>Mochammad Fadhillah Hakim,</v>
      </c>
      <c r="N5028" s="6" t="str">
        <f>IFERROR(__xludf.DUMMYFUNCTION("""COMPUTED_VALUE"""),"FIP Engineering")</f>
        <v>FIP Engineering</v>
      </c>
      <c r="O5028" s="6" t="str">
        <f>IFERROR(__xludf.DUMMYFUNCTION("""COMPUTED_VALUE"""),"FIP-DOM-000-11304-OS00001-INA-000000")</f>
        <v>FIP-DOM-000-11304-OS00001-INA-000000</v>
      </c>
      <c r="P5028" s="6" t="str">
        <f>IFERROR(__xludf.DUMMYFUNCTION("""COMPUTED_VALUE"""),"PO Closed")</f>
        <v>PO Closed</v>
      </c>
      <c r="Q5028" s="6" t="str">
        <f>IFERROR(__xludf.DUMMYFUNCTION("""COMPUTED_VALUE"""),"GL2603473")</f>
        <v>GL2603473</v>
      </c>
      <c r="R5028" s="57">
        <f>IFERROR(__xludf.DUMMYFUNCTION("""COMPUTED_VALUE"""),46087.0)</f>
        <v>46087</v>
      </c>
      <c r="S5028" s="57">
        <f>IFERROR(__xludf.DUMMYFUNCTION("""COMPUTED_VALUE"""),46090.0)</f>
        <v>46090</v>
      </c>
      <c r="T5028" s="57">
        <f>IFERROR(__xludf.DUMMYFUNCTION("""COMPUTED_VALUE"""),46122.0)</f>
        <v>46122</v>
      </c>
    </row>
    <row r="5029">
      <c r="A5029" s="6" t="str">
        <f>IFERROR(__xludf.DUMMYFUNCTION("""COMPUTED_VALUE"""),"121703981-5")</f>
        <v>121703981-5</v>
      </c>
      <c r="B5029" s="6" t="str">
        <f>IFERROR(__xludf.DUMMYFUNCTION("""COMPUTED_VALUE"""),"121703981 - APPROVED")</f>
        <v>121703981 - APPROVED</v>
      </c>
      <c r="C5029" s="6">
        <f>IFERROR(__xludf.DUMMYFUNCTION("""COMPUTED_VALUE"""),5.0)</f>
        <v>5</v>
      </c>
      <c r="D5029" s="6" t="str">
        <f>IFERROR(__xludf.DUMMYFUNCTION("""COMPUTED_VALUE"""),"P-13386-00")</f>
        <v>P-13386-00</v>
      </c>
      <c r="E5029" s="6" t="str">
        <f>IFERROR(__xludf.DUMMYFUNCTION("""COMPUTED_VALUE"""),"Sok Polos 2"" Rucika; ; ;")</f>
        <v>Sok Polos 2" Rucika; ; ;</v>
      </c>
      <c r="F5029" s="6">
        <f>IFERROR(__xludf.DUMMYFUNCTION("""COMPUTED_VALUE"""),4.0)</f>
        <v>4</v>
      </c>
      <c r="G5029" s="6" t="str">
        <f>IFERROR(__xludf.DUMMYFUNCTION("""COMPUTED_VALUE"""),"Pieces")</f>
        <v>Pieces</v>
      </c>
      <c r="H5029" s="6" t="str">
        <f>IFERROR(__xludf.DUMMYFUNCTION("""COMPUTED_VALUE"""),"IDR")</f>
        <v>IDR</v>
      </c>
      <c r="I5029" s="6">
        <f>IFERROR(__xludf.DUMMYFUNCTION("""COMPUTED_VALUE"""),11000.0)</f>
        <v>11000</v>
      </c>
      <c r="J5029" s="6">
        <f>IFERROR(__xludf.DUMMYFUNCTION("""COMPUTED_VALUE"""),44000.0)</f>
        <v>44000</v>
      </c>
      <c r="K5029" s="57">
        <f>IFERROR(__xludf.DUMMYFUNCTION("""COMPUTED_VALUE"""),46122.0)</f>
        <v>46122</v>
      </c>
      <c r="L5029" s="6" t="str">
        <f>IFERROR(__xludf.DUMMYFUNCTION("""COMPUTED_VALUE"""),"FIP Engineering")</f>
        <v>FIP Engineering</v>
      </c>
      <c r="M5029" s="6" t="str">
        <f>IFERROR(__xludf.DUMMYFUNCTION("""COMPUTED_VALUE"""),"Mochammad Fadhillah Hakim,")</f>
        <v>Mochammad Fadhillah Hakim,</v>
      </c>
      <c r="N5029" s="6" t="str">
        <f>IFERROR(__xludf.DUMMYFUNCTION("""COMPUTED_VALUE"""),"FIP Engineering")</f>
        <v>FIP Engineering</v>
      </c>
      <c r="O5029" s="6" t="str">
        <f>IFERROR(__xludf.DUMMYFUNCTION("""COMPUTED_VALUE"""),"FIP-DOM-000-11304-OS00001-INA-000000")</f>
        <v>FIP-DOM-000-11304-OS00001-INA-000000</v>
      </c>
      <c r="P5029" s="6" t="str">
        <f>IFERROR(__xludf.DUMMYFUNCTION("""COMPUTED_VALUE"""),"PO Closed")</f>
        <v>PO Closed</v>
      </c>
      <c r="Q5029" s="6" t="str">
        <f>IFERROR(__xludf.DUMMYFUNCTION("""COMPUTED_VALUE"""),"GL2604493")</f>
        <v>GL2604493</v>
      </c>
      <c r="R5029" s="57">
        <f>IFERROR(__xludf.DUMMYFUNCTION("""COMPUTED_VALUE"""),46087.0)</f>
        <v>46087</v>
      </c>
      <c r="S5029" s="57">
        <f>IFERROR(__xludf.DUMMYFUNCTION("""COMPUTED_VALUE"""),46090.0)</f>
        <v>46090</v>
      </c>
      <c r="T5029" s="57">
        <f>IFERROR(__xludf.DUMMYFUNCTION("""COMPUTED_VALUE"""),46137.0)</f>
        <v>46137</v>
      </c>
    </row>
    <row r="5030">
      <c r="A5030" s="6" t="str">
        <f>IFERROR(__xludf.DUMMYFUNCTION("""COMPUTED_VALUE"""),"121703981-6")</f>
        <v>121703981-6</v>
      </c>
      <c r="B5030" s="6" t="str">
        <f>IFERROR(__xludf.DUMMYFUNCTION("""COMPUTED_VALUE"""),"121703981 - APPROVED")</f>
        <v>121703981 - APPROVED</v>
      </c>
      <c r="C5030" s="6">
        <f>IFERROR(__xludf.DUMMYFUNCTION("""COMPUTED_VALUE"""),6.0)</f>
        <v>6</v>
      </c>
      <c r="D5030" s="6" t="str">
        <f>IFERROR(__xludf.DUMMYFUNCTION("""COMPUTED_VALUE"""),"P-15766-00")</f>
        <v>P-15766-00</v>
      </c>
      <c r="E5030" s="6" t="str">
        <f>IFERROR(__xludf.DUMMYFUNCTION("""COMPUTED_VALUE"""),"Tee PVC dia. 1 1/2""")</f>
        <v>Tee PVC dia. 1 1/2"</v>
      </c>
      <c r="F5030" s="6">
        <f>IFERROR(__xludf.DUMMYFUNCTION("""COMPUTED_VALUE"""),6.0)</f>
        <v>6</v>
      </c>
      <c r="G5030" s="6" t="str">
        <f>IFERROR(__xludf.DUMMYFUNCTION("""COMPUTED_VALUE"""),"Pieces")</f>
        <v>Pieces</v>
      </c>
      <c r="H5030" s="6" t="str">
        <f>IFERROR(__xludf.DUMMYFUNCTION("""COMPUTED_VALUE"""),"IDR")</f>
        <v>IDR</v>
      </c>
      <c r="I5030" s="6">
        <f>IFERROR(__xludf.DUMMYFUNCTION("""COMPUTED_VALUE"""),13500.0)</f>
        <v>13500</v>
      </c>
      <c r="J5030" s="6">
        <f>IFERROR(__xludf.DUMMYFUNCTION("""COMPUTED_VALUE"""),81000.0)</f>
        <v>81000</v>
      </c>
      <c r="K5030" s="57">
        <f>IFERROR(__xludf.DUMMYFUNCTION("""COMPUTED_VALUE"""),46122.0)</f>
        <v>46122</v>
      </c>
      <c r="L5030" s="6" t="str">
        <f>IFERROR(__xludf.DUMMYFUNCTION("""COMPUTED_VALUE"""),"FIP Engineering")</f>
        <v>FIP Engineering</v>
      </c>
      <c r="M5030" s="6" t="str">
        <f>IFERROR(__xludf.DUMMYFUNCTION("""COMPUTED_VALUE"""),"Mochammad Fadhillah Hakim,")</f>
        <v>Mochammad Fadhillah Hakim,</v>
      </c>
      <c r="N5030" s="6" t="str">
        <f>IFERROR(__xludf.DUMMYFUNCTION("""COMPUTED_VALUE"""),"FIP Engineering")</f>
        <v>FIP Engineering</v>
      </c>
      <c r="O5030" s="6" t="str">
        <f>IFERROR(__xludf.DUMMYFUNCTION("""COMPUTED_VALUE"""),"FIP-DOM-000-11304-OS00001-INA-000000")</f>
        <v>FIP-DOM-000-11304-OS00001-INA-000000</v>
      </c>
      <c r="P5030" s="6" t="str">
        <f>IFERROR(__xludf.DUMMYFUNCTION("""COMPUTED_VALUE"""),"PO Closed")</f>
        <v>PO Closed</v>
      </c>
      <c r="Q5030" s="6" t="str">
        <f>IFERROR(__xludf.DUMMYFUNCTION("""COMPUTED_VALUE"""),"GL2603473")</f>
        <v>GL2603473</v>
      </c>
      <c r="R5030" s="57">
        <f>IFERROR(__xludf.DUMMYFUNCTION("""COMPUTED_VALUE"""),46087.0)</f>
        <v>46087</v>
      </c>
      <c r="S5030" s="57">
        <f>IFERROR(__xludf.DUMMYFUNCTION("""COMPUTED_VALUE"""),46090.0)</f>
        <v>46090</v>
      </c>
      <c r="T5030" s="57">
        <f>IFERROR(__xludf.DUMMYFUNCTION("""COMPUTED_VALUE"""),46122.0)</f>
        <v>46122</v>
      </c>
    </row>
    <row r="5031">
      <c r="A5031" s="6" t="str">
        <f>IFERROR(__xludf.DUMMYFUNCTION("""COMPUTED_VALUE"""),"121703981-7")</f>
        <v>121703981-7</v>
      </c>
      <c r="B5031" s="6" t="str">
        <f>IFERROR(__xludf.DUMMYFUNCTION("""COMPUTED_VALUE"""),"121703981 - APPROVED")</f>
        <v>121703981 - APPROVED</v>
      </c>
      <c r="C5031" s="6">
        <f>IFERROR(__xludf.DUMMYFUNCTION("""COMPUTED_VALUE"""),7.0)</f>
        <v>7</v>
      </c>
      <c r="D5031" s="6" t="str">
        <f>IFERROR(__xludf.DUMMYFUNCTION("""COMPUTED_VALUE"""),"P-19660-00")</f>
        <v>P-19660-00</v>
      </c>
      <c r="E5031" s="6" t="str">
        <f>IFERROR(__xludf.DUMMYFUNCTION("""COMPUTED_VALUE"""),"Fitting PVC - Tee PVC 2.5 Inch; Rucika; -; 1 pc")</f>
        <v>Fitting PVC - Tee PVC 2.5 Inch; Rucika; -; 1 pc</v>
      </c>
      <c r="F5031" s="6">
        <f>IFERROR(__xludf.DUMMYFUNCTION("""COMPUTED_VALUE"""),6.0)</f>
        <v>6</v>
      </c>
      <c r="G5031" s="6" t="str">
        <f>IFERROR(__xludf.DUMMYFUNCTION("""COMPUTED_VALUE"""),"Pieces")</f>
        <v>Pieces</v>
      </c>
      <c r="H5031" s="6" t="str">
        <f>IFERROR(__xludf.DUMMYFUNCTION("""COMPUTED_VALUE"""),"IDR")</f>
        <v>IDR</v>
      </c>
      <c r="I5031" s="6">
        <f>IFERROR(__xludf.DUMMYFUNCTION("""COMPUTED_VALUE"""),34920.0)</f>
        <v>34920</v>
      </c>
      <c r="J5031" s="6">
        <f>IFERROR(__xludf.DUMMYFUNCTION("""COMPUTED_VALUE"""),209520.0)</f>
        <v>209520</v>
      </c>
      <c r="K5031" s="57">
        <f>IFERROR(__xludf.DUMMYFUNCTION("""COMPUTED_VALUE"""),46122.0)</f>
        <v>46122</v>
      </c>
      <c r="L5031" s="6" t="str">
        <f>IFERROR(__xludf.DUMMYFUNCTION("""COMPUTED_VALUE"""),"FIP Engineering")</f>
        <v>FIP Engineering</v>
      </c>
      <c r="M5031" s="6" t="str">
        <f>IFERROR(__xludf.DUMMYFUNCTION("""COMPUTED_VALUE"""),"Mochammad Fadhillah Hakim,")</f>
        <v>Mochammad Fadhillah Hakim,</v>
      </c>
      <c r="N5031" s="6" t="str">
        <f>IFERROR(__xludf.DUMMYFUNCTION("""COMPUTED_VALUE"""),"FIP Engineering")</f>
        <v>FIP Engineering</v>
      </c>
      <c r="O5031" s="6" t="str">
        <f>IFERROR(__xludf.DUMMYFUNCTION("""COMPUTED_VALUE"""),"FIP-DOM-000-11304-OS00001-INA-000000")</f>
        <v>FIP-DOM-000-11304-OS00001-INA-000000</v>
      </c>
      <c r="P5031" s="6" t="str">
        <f>IFERROR(__xludf.DUMMYFUNCTION("""COMPUTED_VALUE"""),"PO Closed")</f>
        <v>PO Closed</v>
      </c>
      <c r="Q5031" s="6" t="str">
        <f>IFERROR(__xludf.DUMMYFUNCTION("""COMPUTED_VALUE"""),"GL2603473")</f>
        <v>GL2603473</v>
      </c>
      <c r="R5031" s="57">
        <f>IFERROR(__xludf.DUMMYFUNCTION("""COMPUTED_VALUE"""),46087.0)</f>
        <v>46087</v>
      </c>
      <c r="S5031" s="57">
        <f>IFERROR(__xludf.DUMMYFUNCTION("""COMPUTED_VALUE"""),46090.0)</f>
        <v>46090</v>
      </c>
      <c r="T5031" s="57">
        <f>IFERROR(__xludf.DUMMYFUNCTION("""COMPUTED_VALUE"""),46122.0)</f>
        <v>46122</v>
      </c>
    </row>
    <row r="5032">
      <c r="A5032" s="6" t="str">
        <f>IFERROR(__xludf.DUMMYFUNCTION("""COMPUTED_VALUE"""),"121703984-1")</f>
        <v>121703984-1</v>
      </c>
      <c r="B5032" s="6" t="str">
        <f>IFERROR(__xludf.DUMMYFUNCTION("""COMPUTED_VALUE"""),"121703984 - APPROVED")</f>
        <v>121703984 - APPROVED</v>
      </c>
      <c r="C5032" s="6">
        <f>IFERROR(__xludf.DUMMYFUNCTION("""COMPUTED_VALUE"""),1.0)</f>
        <v>1</v>
      </c>
      <c r="D5032" s="6" t="str">
        <f>IFERROR(__xludf.DUMMYFUNCTION("""COMPUTED_VALUE"""),"P-10387-00")</f>
        <v>P-10387-00</v>
      </c>
      <c r="E5032" s="6" t="str">
        <f>IFERROR(__xludf.DUMMYFUNCTION("""COMPUTED_VALUE"""),"Ball Valve Kuningan 3/4"" KITZ")</f>
        <v>Ball Valve Kuningan 3/4" KITZ</v>
      </c>
      <c r="F5032" s="6">
        <f>IFERROR(__xludf.DUMMYFUNCTION("""COMPUTED_VALUE"""),2.0)</f>
        <v>2</v>
      </c>
      <c r="G5032" s="6" t="str">
        <f>IFERROR(__xludf.DUMMYFUNCTION("""COMPUTED_VALUE"""),"Pieces")</f>
        <v>Pieces</v>
      </c>
      <c r="H5032" s="6" t="str">
        <f>IFERROR(__xludf.DUMMYFUNCTION("""COMPUTED_VALUE"""),"IDR")</f>
        <v>IDR</v>
      </c>
      <c r="I5032" s="6">
        <f>IFERROR(__xludf.DUMMYFUNCTION("""COMPUTED_VALUE"""),195000.0)</f>
        <v>195000</v>
      </c>
      <c r="J5032" s="6">
        <f>IFERROR(__xludf.DUMMYFUNCTION("""COMPUTED_VALUE"""),390000.0)</f>
        <v>390000</v>
      </c>
      <c r="K5032" s="57">
        <f>IFERROR(__xludf.DUMMYFUNCTION("""COMPUTED_VALUE"""),46122.0)</f>
        <v>46122</v>
      </c>
      <c r="L5032" s="6" t="str">
        <f>IFERROR(__xludf.DUMMYFUNCTION("""COMPUTED_VALUE"""),"FIP Engineering")</f>
        <v>FIP Engineering</v>
      </c>
      <c r="M5032" s="6" t="str">
        <f>IFERROR(__xludf.DUMMYFUNCTION("""COMPUTED_VALUE"""),"Mochammad Fadhillah Hakim,")</f>
        <v>Mochammad Fadhillah Hakim,</v>
      </c>
      <c r="N5032" s="6" t="str">
        <f>IFERROR(__xludf.DUMMYFUNCTION("""COMPUTED_VALUE"""),"FIP Engineering")</f>
        <v>FIP Engineering</v>
      </c>
      <c r="O5032" s="6" t="str">
        <f>IFERROR(__xludf.DUMMYFUNCTION("""COMPUTED_VALUE"""),"FIP-DOM-000-11304-OS00001-INA-000000")</f>
        <v>FIP-DOM-000-11304-OS00001-INA-000000</v>
      </c>
      <c r="P5032" s="6" t="str">
        <f>IFERROR(__xludf.DUMMYFUNCTION("""COMPUTED_VALUE"""),"PO Closed")</f>
        <v>PO Closed</v>
      </c>
      <c r="Q5032" s="6" t="str">
        <f>IFERROR(__xludf.DUMMYFUNCTION("""COMPUTED_VALUE"""),"GL2604490")</f>
        <v>GL2604490</v>
      </c>
      <c r="R5032" s="57">
        <f>IFERROR(__xludf.DUMMYFUNCTION("""COMPUTED_VALUE"""),46087.0)</f>
        <v>46087</v>
      </c>
      <c r="S5032" s="57">
        <f>IFERROR(__xludf.DUMMYFUNCTION("""COMPUTED_VALUE"""),46090.0)</f>
        <v>46090</v>
      </c>
      <c r="T5032" s="57">
        <f>IFERROR(__xludf.DUMMYFUNCTION("""COMPUTED_VALUE"""),46122.0)</f>
        <v>46122</v>
      </c>
    </row>
    <row r="5033">
      <c r="A5033" s="6" t="str">
        <f>IFERROR(__xludf.DUMMYFUNCTION("""COMPUTED_VALUE"""),"121703985-1")</f>
        <v>121703985-1</v>
      </c>
      <c r="B5033" s="6" t="str">
        <f>IFERROR(__xludf.DUMMYFUNCTION("""COMPUTED_VALUE"""),"121703985 - APPROVED")</f>
        <v>121703985 - APPROVED</v>
      </c>
      <c r="C5033" s="6">
        <f>IFERROR(__xludf.DUMMYFUNCTION("""COMPUTED_VALUE"""),1.0)</f>
        <v>1</v>
      </c>
      <c r="D5033" s="6" t="str">
        <f>IFERROR(__xludf.DUMMYFUNCTION("""COMPUTED_VALUE"""),"O-20897-00")</f>
        <v>O-20897-00</v>
      </c>
      <c r="E5033" s="6" t="str">
        <f>IFERROR(__xludf.DUMMYFUNCTION("""COMPUTED_VALUE"""),"Capping VCM200 - Oring Silicone 2.5 x 30.50 x 30.50; Custom/Lokal; -; 1 Pc")</f>
        <v>Capping VCM200 - Oring Silicone 2.5 x 30.50 x 30.50; Custom/Lokal; -; 1 Pc</v>
      </c>
      <c r="F5033" s="6">
        <f>IFERROR(__xludf.DUMMYFUNCTION("""COMPUTED_VALUE"""),11.0)</f>
        <v>11</v>
      </c>
      <c r="G5033" s="6" t="str">
        <f>IFERROR(__xludf.DUMMYFUNCTION("""COMPUTED_VALUE"""),"Pieces")</f>
        <v>Pieces</v>
      </c>
      <c r="H5033" s="6" t="str">
        <f>IFERROR(__xludf.DUMMYFUNCTION("""COMPUTED_VALUE"""),"IDR")</f>
        <v>IDR</v>
      </c>
      <c r="I5033" s="6">
        <f>IFERROR(__xludf.DUMMYFUNCTION("""COMPUTED_VALUE"""),35000.0)</f>
        <v>35000</v>
      </c>
      <c r="J5033" s="6">
        <f>IFERROR(__xludf.DUMMYFUNCTION("""COMPUTED_VALUE"""),385000.0)</f>
        <v>385000</v>
      </c>
      <c r="K5033" s="57">
        <f>IFERROR(__xludf.DUMMYFUNCTION("""COMPUTED_VALUE"""),46122.0)</f>
        <v>46122</v>
      </c>
      <c r="L5033" s="6" t="str">
        <f>IFERROR(__xludf.DUMMYFUNCTION("""COMPUTED_VALUE"""),"FIP Engineering")</f>
        <v>FIP Engineering</v>
      </c>
      <c r="M5033" s="6" t="str">
        <f>IFERROR(__xludf.DUMMYFUNCTION("""COMPUTED_VALUE"""),"Mochammad Fadhillah Hakim,")</f>
        <v>Mochammad Fadhillah Hakim,</v>
      </c>
      <c r="N5033" s="6" t="str">
        <f>IFERROR(__xludf.DUMMYFUNCTION("""COMPUTED_VALUE"""),"FIP Engineering")</f>
        <v>FIP Engineering</v>
      </c>
      <c r="O5033" s="6" t="str">
        <f>IFERROR(__xludf.DUMMYFUNCTION("""COMPUTED_VALUE"""),"FIP-DOM-000-11304-OS00001-INA-000000")</f>
        <v>FIP-DOM-000-11304-OS00001-INA-000000</v>
      </c>
      <c r="P5033" s="6" t="str">
        <f>IFERROR(__xludf.DUMMYFUNCTION("""COMPUTED_VALUE"""),"PO Closed")</f>
        <v>PO Closed</v>
      </c>
      <c r="Q5033" s="6" t="str">
        <f>IFERROR(__xludf.DUMMYFUNCTION("""COMPUTED_VALUE"""),"GL2604486")</f>
        <v>GL2604486</v>
      </c>
      <c r="R5033" s="57">
        <f>IFERROR(__xludf.DUMMYFUNCTION("""COMPUTED_VALUE"""),46087.0)</f>
        <v>46087</v>
      </c>
      <c r="S5033" s="57">
        <f>IFERROR(__xludf.DUMMYFUNCTION("""COMPUTED_VALUE"""),46090.0)</f>
        <v>46090</v>
      </c>
      <c r="T5033" s="57">
        <f>IFERROR(__xludf.DUMMYFUNCTION("""COMPUTED_VALUE"""),46152.0)</f>
        <v>46152</v>
      </c>
    </row>
    <row r="5034">
      <c r="A5034" s="6" t="str">
        <f>IFERROR(__xludf.DUMMYFUNCTION("""COMPUTED_VALUE"""),"121703987-1")</f>
        <v>121703987-1</v>
      </c>
      <c r="B5034" s="6" t="str">
        <f>IFERROR(__xludf.DUMMYFUNCTION("""COMPUTED_VALUE"""),"121703987 - APPROVED")</f>
        <v>121703987 - APPROVED</v>
      </c>
      <c r="C5034" s="6">
        <f>IFERROR(__xludf.DUMMYFUNCTION("""COMPUTED_VALUE"""),1.0)</f>
        <v>1</v>
      </c>
      <c r="D5034" s="6" t="str">
        <f>IFERROR(__xludf.DUMMYFUNCTION("""COMPUTED_VALUE"""),"P-20580-00")</f>
        <v>P-20580-00</v>
      </c>
      <c r="E5034" s="6" t="str">
        <f>IFERROR(__xludf.DUMMYFUNCTION("""COMPUTED_VALUE"""),"General - Bracket Timbangan VGA Uk. 50 x 320 x 450mm; Custom Agru; -; 1 pc")</f>
        <v>General - Bracket Timbangan VGA Uk. 50 x 320 x 450mm; Custom Agru; -; 1 pc</v>
      </c>
      <c r="F5034" s="6">
        <f>IFERROR(__xludf.DUMMYFUNCTION("""COMPUTED_VALUE"""),1.0)</f>
        <v>1</v>
      </c>
      <c r="G5034" s="6" t="str">
        <f>IFERROR(__xludf.DUMMYFUNCTION("""COMPUTED_VALUE"""),"Pieces")</f>
        <v>Pieces</v>
      </c>
      <c r="H5034" s="6" t="str">
        <f>IFERROR(__xludf.DUMMYFUNCTION("""COMPUTED_VALUE"""),"IDR")</f>
        <v>IDR</v>
      </c>
      <c r="I5034" s="6">
        <f>IFERROR(__xludf.DUMMYFUNCTION("""COMPUTED_VALUE"""),3275000.0)</f>
        <v>3275000</v>
      </c>
      <c r="J5034" s="6">
        <f>IFERROR(__xludf.DUMMYFUNCTION("""COMPUTED_VALUE"""),3275000.0)</f>
        <v>3275000</v>
      </c>
      <c r="K5034" s="57">
        <f>IFERROR(__xludf.DUMMYFUNCTION("""COMPUTED_VALUE"""),46122.0)</f>
        <v>46122</v>
      </c>
      <c r="L5034" s="6" t="str">
        <f>IFERROR(__xludf.DUMMYFUNCTION("""COMPUTED_VALUE"""),"FIP Engineering")</f>
        <v>FIP Engineering</v>
      </c>
      <c r="M5034" s="6" t="str">
        <f>IFERROR(__xludf.DUMMYFUNCTION("""COMPUTED_VALUE"""),"Mochammad Fadhillah Hakim,")</f>
        <v>Mochammad Fadhillah Hakim,</v>
      </c>
      <c r="N5034" s="6" t="str">
        <f>IFERROR(__xludf.DUMMYFUNCTION("""COMPUTED_VALUE"""),"FIP Engineering")</f>
        <v>FIP Engineering</v>
      </c>
      <c r="O5034" s="6" t="str">
        <f>IFERROR(__xludf.DUMMYFUNCTION("""COMPUTED_VALUE"""),"FIP-DOM-000-11304-OS00001-INA-000000")</f>
        <v>FIP-DOM-000-11304-OS00001-INA-000000</v>
      </c>
      <c r="P5034" s="6" t="str">
        <f>IFERROR(__xludf.DUMMYFUNCTION("""COMPUTED_VALUE"""),"PO Closed")</f>
        <v>PO Closed</v>
      </c>
      <c r="Q5034" s="6" t="str">
        <f>IFERROR(__xludf.DUMMYFUNCTION("""COMPUTED_VALUE"""),"GL2603054")</f>
        <v>GL2603054</v>
      </c>
      <c r="R5034" s="57">
        <f>IFERROR(__xludf.DUMMYFUNCTION("""COMPUTED_VALUE"""),46090.0)</f>
        <v>46090</v>
      </c>
      <c r="S5034" s="57">
        <f>IFERROR(__xludf.DUMMYFUNCTION("""COMPUTED_VALUE"""),46090.0)</f>
        <v>46090</v>
      </c>
      <c r="T5034" s="57">
        <f>IFERROR(__xludf.DUMMYFUNCTION("""COMPUTED_VALUE"""),46152.0)</f>
        <v>46152</v>
      </c>
    </row>
    <row r="5035">
      <c r="A5035" s="6" t="str">
        <f>IFERROR(__xludf.DUMMYFUNCTION("""COMPUTED_VALUE"""),"121703989-1")</f>
        <v>121703989-1</v>
      </c>
      <c r="B5035" s="6" t="str">
        <f>IFERROR(__xludf.DUMMYFUNCTION("""COMPUTED_VALUE"""),"121703989 - APPROVED")</f>
        <v>121703989 - APPROVED</v>
      </c>
      <c r="C5035" s="6">
        <f>IFERROR(__xludf.DUMMYFUNCTION("""COMPUTED_VALUE"""),1.0)</f>
        <v>1</v>
      </c>
      <c r="D5035" s="6" t="str">
        <f>IFERROR(__xludf.DUMMYFUNCTION("""COMPUTED_VALUE"""),"P-11170-00")</f>
        <v>P-11170-00</v>
      </c>
      <c r="E5035" s="6" t="str">
        <f>IFERROR(__xludf.DUMMYFUNCTION("""COMPUTED_VALUE"""),"Pneumatic  Fitting - QS 1/4-8 / PN : 153005 / Festo")</f>
        <v>Pneumatic  Fitting - QS 1/4-8 / PN : 153005 / Festo</v>
      </c>
      <c r="F5035" s="6">
        <f>IFERROR(__xludf.DUMMYFUNCTION("""COMPUTED_VALUE"""),10.0)</f>
        <v>10</v>
      </c>
      <c r="G5035" s="6" t="str">
        <f>IFERROR(__xludf.DUMMYFUNCTION("""COMPUTED_VALUE"""),"Pieces")</f>
        <v>Pieces</v>
      </c>
      <c r="H5035" s="6" t="str">
        <f>IFERROR(__xludf.DUMMYFUNCTION("""COMPUTED_VALUE"""),"IDR")</f>
        <v>IDR</v>
      </c>
      <c r="I5035" s="6">
        <f>IFERROR(__xludf.DUMMYFUNCTION("""COMPUTED_VALUE"""),31317.0)</f>
        <v>31317</v>
      </c>
      <c r="J5035" s="6">
        <f>IFERROR(__xludf.DUMMYFUNCTION("""COMPUTED_VALUE"""),313170.0)</f>
        <v>313170</v>
      </c>
      <c r="K5035" s="57">
        <f>IFERROR(__xludf.DUMMYFUNCTION("""COMPUTED_VALUE"""),46122.0)</f>
        <v>46122</v>
      </c>
      <c r="L5035" s="6" t="str">
        <f>IFERROR(__xludf.DUMMYFUNCTION("""COMPUTED_VALUE"""),"FIP Engineering")</f>
        <v>FIP Engineering</v>
      </c>
      <c r="M5035" s="6" t="str">
        <f>IFERROR(__xludf.DUMMYFUNCTION("""COMPUTED_VALUE"""),"Mochammad Fadhillah Hakim,")</f>
        <v>Mochammad Fadhillah Hakim,</v>
      </c>
      <c r="N5035" s="6" t="str">
        <f>IFERROR(__xludf.DUMMYFUNCTION("""COMPUTED_VALUE"""),"FIP Engineering")</f>
        <v>FIP Engineering</v>
      </c>
      <c r="O5035" s="6" t="str">
        <f>IFERROR(__xludf.DUMMYFUNCTION("""COMPUTED_VALUE"""),"FIP-DOM-000-11304-OS00001-INA-000000")</f>
        <v>FIP-DOM-000-11304-OS00001-INA-000000</v>
      </c>
      <c r="P5035" s="6" t="str">
        <f>IFERROR(__xludf.DUMMYFUNCTION("""COMPUTED_VALUE"""),"PO Closed")</f>
        <v>PO Closed</v>
      </c>
      <c r="Q5035" s="6" t="str">
        <f>IFERROR(__xludf.DUMMYFUNCTION("""COMPUTED_VALUE"""),"GL2604306")</f>
        <v>GL2604306</v>
      </c>
      <c r="R5035" s="57">
        <f>IFERROR(__xludf.DUMMYFUNCTION("""COMPUTED_VALUE"""),46090.0)</f>
        <v>46090</v>
      </c>
      <c r="S5035" s="57">
        <f>IFERROR(__xludf.DUMMYFUNCTION("""COMPUTED_VALUE"""),46090.0)</f>
        <v>46090</v>
      </c>
      <c r="T5035" s="57">
        <f>IFERROR(__xludf.DUMMYFUNCTION("""COMPUTED_VALUE"""),46152.0)</f>
        <v>46152</v>
      </c>
    </row>
    <row r="5036">
      <c r="A5036" s="6" t="str">
        <f>IFERROR(__xludf.DUMMYFUNCTION("""COMPUTED_VALUE"""),"121703989-2")</f>
        <v>121703989-2</v>
      </c>
      <c r="B5036" s="6" t="str">
        <f>IFERROR(__xludf.DUMMYFUNCTION("""COMPUTED_VALUE"""),"121703989 - APPROVED")</f>
        <v>121703989 - APPROVED</v>
      </c>
      <c r="C5036" s="6">
        <f>IFERROR(__xludf.DUMMYFUNCTION("""COMPUTED_VALUE"""),2.0)</f>
        <v>2</v>
      </c>
      <c r="D5036" s="6" t="str">
        <f>IFERROR(__xludf.DUMMYFUNCTION("""COMPUTED_VALUE"""),"P-12263-00")</f>
        <v>P-12263-00</v>
      </c>
      <c r="E5036" s="6" t="str">
        <f>IFERROR(__xludf.DUMMYFUNCTION("""COMPUTED_VALUE"""),"FESTO - Push In Connector QS-8 p/n 153033")</f>
        <v>FESTO - Push In Connector QS-8 p/n 153033</v>
      </c>
      <c r="F5036" s="6">
        <f>IFERROR(__xludf.DUMMYFUNCTION("""COMPUTED_VALUE"""),10.0)</f>
        <v>10</v>
      </c>
      <c r="G5036" s="6" t="str">
        <f>IFERROR(__xludf.DUMMYFUNCTION("""COMPUTED_VALUE"""),"Pieces")</f>
        <v>Pieces</v>
      </c>
      <c r="H5036" s="6" t="str">
        <f>IFERROR(__xludf.DUMMYFUNCTION("""COMPUTED_VALUE"""),"IDR")</f>
        <v>IDR</v>
      </c>
      <c r="I5036" s="6">
        <f>IFERROR(__xludf.DUMMYFUNCTION("""COMPUTED_VALUE"""),53251.0)</f>
        <v>53251</v>
      </c>
      <c r="J5036" s="6">
        <f>IFERROR(__xludf.DUMMYFUNCTION("""COMPUTED_VALUE"""),532510.0)</f>
        <v>532510</v>
      </c>
      <c r="K5036" s="57">
        <f>IFERROR(__xludf.DUMMYFUNCTION("""COMPUTED_VALUE"""),46122.0)</f>
        <v>46122</v>
      </c>
      <c r="L5036" s="6" t="str">
        <f>IFERROR(__xludf.DUMMYFUNCTION("""COMPUTED_VALUE"""),"FIP Engineering")</f>
        <v>FIP Engineering</v>
      </c>
      <c r="M5036" s="6" t="str">
        <f>IFERROR(__xludf.DUMMYFUNCTION("""COMPUTED_VALUE"""),"Mochammad Fadhillah Hakim,")</f>
        <v>Mochammad Fadhillah Hakim,</v>
      </c>
      <c r="N5036" s="6" t="str">
        <f>IFERROR(__xludf.DUMMYFUNCTION("""COMPUTED_VALUE"""),"FIP Engineering")</f>
        <v>FIP Engineering</v>
      </c>
      <c r="O5036" s="6" t="str">
        <f>IFERROR(__xludf.DUMMYFUNCTION("""COMPUTED_VALUE"""),"FIP-DOM-000-11304-OS00001-INA-000000")</f>
        <v>FIP-DOM-000-11304-OS00001-INA-000000</v>
      </c>
      <c r="P5036" s="6" t="str">
        <f>IFERROR(__xludf.DUMMYFUNCTION("""COMPUTED_VALUE"""),"PO Closed")</f>
        <v>PO Closed</v>
      </c>
      <c r="Q5036" s="6" t="str">
        <f>IFERROR(__xludf.DUMMYFUNCTION("""COMPUTED_VALUE"""),"GL2604306")</f>
        <v>GL2604306</v>
      </c>
      <c r="R5036" s="57">
        <f>IFERROR(__xludf.DUMMYFUNCTION("""COMPUTED_VALUE"""),46090.0)</f>
        <v>46090</v>
      </c>
      <c r="S5036" s="57">
        <f>IFERROR(__xludf.DUMMYFUNCTION("""COMPUTED_VALUE"""),46090.0)</f>
        <v>46090</v>
      </c>
      <c r="T5036" s="57">
        <f>IFERROR(__xludf.DUMMYFUNCTION("""COMPUTED_VALUE"""),46152.0)</f>
        <v>46152</v>
      </c>
    </row>
    <row r="5037">
      <c r="A5037" s="6" t="str">
        <f>IFERROR(__xludf.DUMMYFUNCTION("""COMPUTED_VALUE"""),"121703989-3")</f>
        <v>121703989-3</v>
      </c>
      <c r="B5037" s="6" t="str">
        <f>IFERROR(__xludf.DUMMYFUNCTION("""COMPUTED_VALUE"""),"121703989 - APPROVED")</f>
        <v>121703989 - APPROVED</v>
      </c>
      <c r="C5037" s="6">
        <f>IFERROR(__xludf.DUMMYFUNCTION("""COMPUTED_VALUE"""),3.0)</f>
        <v>3</v>
      </c>
      <c r="D5037" s="6" t="str">
        <f>IFERROR(__xludf.DUMMYFUNCTION("""COMPUTED_VALUE"""),"P-12267-00")</f>
        <v>P-12267-00</v>
      </c>
      <c r="E5037" s="6" t="str">
        <f>IFERROR(__xludf.DUMMYFUNCTION("""COMPUTED_VALUE"""),"FESTO - Push In Fitting QS-1/2-8 (NPQE-D-R12-Q8-P5);  P/N : 8112930")</f>
        <v>FESTO - Push In Fitting QS-1/2-8 (NPQE-D-R12-Q8-P5);  P/N : 8112930</v>
      </c>
      <c r="F5037" s="6">
        <f>IFERROR(__xludf.DUMMYFUNCTION("""COMPUTED_VALUE"""),10.0)</f>
        <v>10</v>
      </c>
      <c r="G5037" s="6" t="str">
        <f>IFERROR(__xludf.DUMMYFUNCTION("""COMPUTED_VALUE"""),"Pieces")</f>
        <v>Pieces</v>
      </c>
      <c r="H5037" s="6" t="str">
        <f>IFERROR(__xludf.DUMMYFUNCTION("""COMPUTED_VALUE"""),"IDR")</f>
        <v>IDR</v>
      </c>
      <c r="I5037" s="6">
        <f>IFERROR(__xludf.DUMMYFUNCTION("""COMPUTED_VALUE"""),59707.0)</f>
        <v>59707</v>
      </c>
      <c r="J5037" s="6">
        <f>IFERROR(__xludf.DUMMYFUNCTION("""COMPUTED_VALUE"""),597070.0)</f>
        <v>597070</v>
      </c>
      <c r="K5037" s="57">
        <f>IFERROR(__xludf.DUMMYFUNCTION("""COMPUTED_VALUE"""),46122.0)</f>
        <v>46122</v>
      </c>
      <c r="L5037" s="6" t="str">
        <f>IFERROR(__xludf.DUMMYFUNCTION("""COMPUTED_VALUE"""),"FIP Engineering")</f>
        <v>FIP Engineering</v>
      </c>
      <c r="M5037" s="6" t="str">
        <f>IFERROR(__xludf.DUMMYFUNCTION("""COMPUTED_VALUE"""),"Mochammad Fadhillah Hakim,")</f>
        <v>Mochammad Fadhillah Hakim,</v>
      </c>
      <c r="N5037" s="6" t="str">
        <f>IFERROR(__xludf.DUMMYFUNCTION("""COMPUTED_VALUE"""),"FIP Engineering")</f>
        <v>FIP Engineering</v>
      </c>
      <c r="O5037" s="6" t="str">
        <f>IFERROR(__xludf.DUMMYFUNCTION("""COMPUTED_VALUE"""),"FIP-DOM-000-11304-OS00001-INA-000000")</f>
        <v>FIP-DOM-000-11304-OS00001-INA-000000</v>
      </c>
      <c r="P5037" s="6" t="str">
        <f>IFERROR(__xludf.DUMMYFUNCTION("""COMPUTED_VALUE"""),"PO Closed")</f>
        <v>PO Closed</v>
      </c>
      <c r="Q5037" s="6" t="str">
        <f>IFERROR(__xludf.DUMMYFUNCTION("""COMPUTED_VALUE"""),"GL2604306")</f>
        <v>GL2604306</v>
      </c>
      <c r="R5037" s="57">
        <f>IFERROR(__xludf.DUMMYFUNCTION("""COMPUTED_VALUE"""),46090.0)</f>
        <v>46090</v>
      </c>
      <c r="S5037" s="57">
        <f>IFERROR(__xludf.DUMMYFUNCTION("""COMPUTED_VALUE"""),46090.0)</f>
        <v>46090</v>
      </c>
      <c r="T5037" s="57">
        <f>IFERROR(__xludf.DUMMYFUNCTION("""COMPUTED_VALUE"""),46152.0)</f>
        <v>46152</v>
      </c>
    </row>
    <row r="5038">
      <c r="A5038" s="6" t="str">
        <f>IFERROR(__xludf.DUMMYFUNCTION("""COMPUTED_VALUE"""),"121703989-4")</f>
        <v>121703989-4</v>
      </c>
      <c r="B5038" s="6" t="str">
        <f>IFERROR(__xludf.DUMMYFUNCTION("""COMPUTED_VALUE"""),"121703989 - APPROVED")</f>
        <v>121703989 - APPROVED</v>
      </c>
      <c r="C5038" s="6">
        <f>IFERROR(__xludf.DUMMYFUNCTION("""COMPUTED_VALUE"""),4.0)</f>
        <v>4</v>
      </c>
      <c r="D5038" s="6" t="str">
        <f>IFERROR(__xludf.DUMMYFUNCTION("""COMPUTED_VALUE"""),"P-12269-00")</f>
        <v>P-12269-00</v>
      </c>
      <c r="E5038" s="6" t="str">
        <f>IFERROR(__xludf.DUMMYFUNCTION("""COMPUTED_VALUE"""),"FESTO - Push-In Fitting type QSM-M5-6 p/n 153306")</f>
        <v>FESTO - Push-In Fitting type QSM-M5-6 p/n 153306</v>
      </c>
      <c r="F5038" s="6">
        <f>IFERROR(__xludf.DUMMYFUNCTION("""COMPUTED_VALUE"""),10.0)</f>
        <v>10</v>
      </c>
      <c r="G5038" s="6" t="str">
        <f>IFERROR(__xludf.DUMMYFUNCTION("""COMPUTED_VALUE"""),"Pieces")</f>
        <v>Pieces</v>
      </c>
      <c r="H5038" s="6" t="str">
        <f>IFERROR(__xludf.DUMMYFUNCTION("""COMPUTED_VALUE"""),"IDR")</f>
        <v>IDR</v>
      </c>
      <c r="I5038" s="6">
        <f>IFERROR(__xludf.DUMMYFUNCTION("""COMPUTED_VALUE"""),32488.0)</f>
        <v>32488</v>
      </c>
      <c r="J5038" s="6">
        <f>IFERROR(__xludf.DUMMYFUNCTION("""COMPUTED_VALUE"""),324880.0)</f>
        <v>324880</v>
      </c>
      <c r="K5038" s="57">
        <f>IFERROR(__xludf.DUMMYFUNCTION("""COMPUTED_VALUE"""),46122.0)</f>
        <v>46122</v>
      </c>
      <c r="L5038" s="6" t="str">
        <f>IFERROR(__xludf.DUMMYFUNCTION("""COMPUTED_VALUE"""),"FIP Engineering")</f>
        <v>FIP Engineering</v>
      </c>
      <c r="M5038" s="6" t="str">
        <f>IFERROR(__xludf.DUMMYFUNCTION("""COMPUTED_VALUE"""),"Mochammad Fadhillah Hakim,")</f>
        <v>Mochammad Fadhillah Hakim,</v>
      </c>
      <c r="N5038" s="6" t="str">
        <f>IFERROR(__xludf.DUMMYFUNCTION("""COMPUTED_VALUE"""),"FIP Engineering")</f>
        <v>FIP Engineering</v>
      </c>
      <c r="O5038" s="6" t="str">
        <f>IFERROR(__xludf.DUMMYFUNCTION("""COMPUTED_VALUE"""),"FIP-DOM-000-11304-OS00001-INA-000000")</f>
        <v>FIP-DOM-000-11304-OS00001-INA-000000</v>
      </c>
      <c r="P5038" s="6" t="str">
        <f>IFERROR(__xludf.DUMMYFUNCTION("""COMPUTED_VALUE"""),"PO Closed")</f>
        <v>PO Closed</v>
      </c>
      <c r="Q5038" s="6" t="str">
        <f>IFERROR(__xludf.DUMMYFUNCTION("""COMPUTED_VALUE"""),"GL2604306")</f>
        <v>GL2604306</v>
      </c>
      <c r="R5038" s="57">
        <f>IFERROR(__xludf.DUMMYFUNCTION("""COMPUTED_VALUE"""),46090.0)</f>
        <v>46090</v>
      </c>
      <c r="S5038" s="57">
        <f>IFERROR(__xludf.DUMMYFUNCTION("""COMPUTED_VALUE"""),46090.0)</f>
        <v>46090</v>
      </c>
      <c r="T5038" s="57">
        <f>IFERROR(__xludf.DUMMYFUNCTION("""COMPUTED_VALUE"""),46152.0)</f>
        <v>46152</v>
      </c>
    </row>
    <row r="5039">
      <c r="A5039" s="6" t="str">
        <f>IFERROR(__xludf.DUMMYFUNCTION("""COMPUTED_VALUE"""),"121703991-1")</f>
        <v>121703991-1</v>
      </c>
      <c r="B5039" s="6" t="str">
        <f>IFERROR(__xludf.DUMMYFUNCTION("""COMPUTED_VALUE"""),"121703991 - APPROVED")</f>
        <v>121703991 - APPROVED</v>
      </c>
      <c r="C5039" s="6">
        <f>IFERROR(__xludf.DUMMYFUNCTION("""COMPUTED_VALUE"""),1.0)</f>
        <v>1</v>
      </c>
      <c r="D5039" s="6" t="str">
        <f>IFERROR(__xludf.DUMMYFUNCTION("""COMPUTED_VALUE"""),"P-11175-00")</f>
        <v>P-11175-00</v>
      </c>
      <c r="E5039" s="6" t="str">
        <f>IFERROR(__xludf.DUMMYFUNCTION("""COMPUTED_VALUE"""),"Pneumatic  Fitting - QS 10-8 / PN : 153039 / Festo")</f>
        <v>Pneumatic  Fitting - QS 10-8 / PN : 153039 / Festo</v>
      </c>
      <c r="F5039" s="6">
        <f>IFERROR(__xludf.DUMMYFUNCTION("""COMPUTED_VALUE"""),10.0)</f>
        <v>10</v>
      </c>
      <c r="G5039" s="6" t="str">
        <f>IFERROR(__xludf.DUMMYFUNCTION("""COMPUTED_VALUE"""),"Pieces")</f>
        <v>Pieces</v>
      </c>
      <c r="H5039" s="6" t="str">
        <f>IFERROR(__xludf.DUMMYFUNCTION("""COMPUTED_VALUE"""),"IDR")</f>
        <v>IDR</v>
      </c>
      <c r="I5039" s="6">
        <f>IFERROR(__xludf.DUMMYFUNCTION("""COMPUTED_VALUE"""),63220.0)</f>
        <v>63220</v>
      </c>
      <c r="J5039" s="6">
        <f>IFERROR(__xludf.DUMMYFUNCTION("""COMPUTED_VALUE"""),632200.0)</f>
        <v>632200</v>
      </c>
      <c r="K5039" s="57">
        <f>IFERROR(__xludf.DUMMYFUNCTION("""COMPUTED_VALUE"""),46122.0)</f>
        <v>46122</v>
      </c>
      <c r="L5039" s="6" t="str">
        <f>IFERROR(__xludf.DUMMYFUNCTION("""COMPUTED_VALUE"""),"FIP Engineering")</f>
        <v>FIP Engineering</v>
      </c>
      <c r="M5039" s="6" t="str">
        <f>IFERROR(__xludf.DUMMYFUNCTION("""COMPUTED_VALUE"""),"Mochammad Fadhillah Hakim,")</f>
        <v>Mochammad Fadhillah Hakim,</v>
      </c>
      <c r="N5039" s="6" t="str">
        <f>IFERROR(__xludf.DUMMYFUNCTION("""COMPUTED_VALUE"""),"FIP Engineering")</f>
        <v>FIP Engineering</v>
      </c>
      <c r="O5039" s="6" t="str">
        <f>IFERROR(__xludf.DUMMYFUNCTION("""COMPUTED_VALUE"""),"FIP-DOM-000-11304-OS00001-INA-000000")</f>
        <v>FIP-DOM-000-11304-OS00001-INA-000000</v>
      </c>
      <c r="P5039" s="6" t="str">
        <f>IFERROR(__xludf.DUMMYFUNCTION("""COMPUTED_VALUE"""),"PO Closed")</f>
        <v>PO Closed</v>
      </c>
      <c r="Q5039" s="6" t="str">
        <f>IFERROR(__xludf.DUMMYFUNCTION("""COMPUTED_VALUE"""),"GL2604306")</f>
        <v>GL2604306</v>
      </c>
      <c r="R5039" s="57">
        <f>IFERROR(__xludf.DUMMYFUNCTION("""COMPUTED_VALUE"""),46090.0)</f>
        <v>46090</v>
      </c>
      <c r="S5039" s="57">
        <f>IFERROR(__xludf.DUMMYFUNCTION("""COMPUTED_VALUE"""),46090.0)</f>
        <v>46090</v>
      </c>
      <c r="T5039" s="57">
        <f>IFERROR(__xludf.DUMMYFUNCTION("""COMPUTED_VALUE"""),46152.0)</f>
        <v>46152</v>
      </c>
    </row>
    <row r="5040">
      <c r="A5040" s="6" t="str">
        <f>IFERROR(__xludf.DUMMYFUNCTION("""COMPUTED_VALUE"""),"121703992-1")</f>
        <v>121703992-1</v>
      </c>
      <c r="B5040" s="6" t="str">
        <f>IFERROR(__xludf.DUMMYFUNCTION("""COMPUTED_VALUE"""),"121703992 - APPROVED")</f>
        <v>121703992 - APPROVED</v>
      </c>
      <c r="C5040" s="6">
        <f>IFERROR(__xludf.DUMMYFUNCTION("""COMPUTED_VALUE"""),1.0)</f>
        <v>1</v>
      </c>
      <c r="D5040" s="6" t="str">
        <f>IFERROR(__xludf.DUMMYFUNCTION("""COMPUTED_VALUE"""),"Q-60061-00")</f>
        <v>Q-60061-00</v>
      </c>
      <c r="E5040" s="6" t="str">
        <f>IFERROR(__xludf.DUMMYFUNCTION("""COMPUTED_VALUE"""),"Cat Pilox 109 - Black")</f>
        <v>Cat Pilox 109 - Black</v>
      </c>
      <c r="F5040" s="6">
        <f>IFERROR(__xludf.DUMMYFUNCTION("""COMPUTED_VALUE"""),10.0)</f>
        <v>10</v>
      </c>
      <c r="G5040" s="6" t="str">
        <f>IFERROR(__xludf.DUMMYFUNCTION("""COMPUTED_VALUE"""),"Can")</f>
        <v>Can</v>
      </c>
      <c r="H5040" s="6" t="str">
        <f>IFERROR(__xludf.DUMMYFUNCTION("""COMPUTED_VALUE"""),"IDR")</f>
        <v>IDR</v>
      </c>
      <c r="I5040" s="6">
        <f>IFERROR(__xludf.DUMMYFUNCTION("""COMPUTED_VALUE"""),33000.0)</f>
        <v>33000</v>
      </c>
      <c r="J5040" s="6">
        <f>IFERROR(__xludf.DUMMYFUNCTION("""COMPUTED_VALUE"""),330000.0)</f>
        <v>330000</v>
      </c>
      <c r="K5040" s="57">
        <f>IFERROR(__xludf.DUMMYFUNCTION("""COMPUTED_VALUE"""),46122.0)</f>
        <v>46122</v>
      </c>
      <c r="L5040" s="6" t="str">
        <f>IFERROR(__xludf.DUMMYFUNCTION("""COMPUTED_VALUE"""),"FIP Engineering")</f>
        <v>FIP Engineering</v>
      </c>
      <c r="M5040" s="6" t="str">
        <f>IFERROR(__xludf.DUMMYFUNCTION("""COMPUTED_VALUE"""),"Mochammad Fadhillah Hakim,")</f>
        <v>Mochammad Fadhillah Hakim,</v>
      </c>
      <c r="N5040" s="6" t="str">
        <f>IFERROR(__xludf.DUMMYFUNCTION("""COMPUTED_VALUE"""),"FIP Engineering")</f>
        <v>FIP Engineering</v>
      </c>
      <c r="O5040" s="6" t="str">
        <f>IFERROR(__xludf.DUMMYFUNCTION("""COMPUTED_VALUE"""),"FIP-DOM-000-11304-OS00001-INA-000000")</f>
        <v>FIP-DOM-000-11304-OS00001-INA-000000</v>
      </c>
      <c r="P5040" s="6" t="str">
        <f>IFERROR(__xludf.DUMMYFUNCTION("""COMPUTED_VALUE"""),"PO Closed")</f>
        <v>PO Closed</v>
      </c>
      <c r="Q5040" s="6" t="str">
        <f>IFERROR(__xludf.DUMMYFUNCTION("""COMPUTED_VALUE"""),"GL2604011")</f>
        <v>GL2604011</v>
      </c>
      <c r="R5040" s="57">
        <f>IFERROR(__xludf.DUMMYFUNCTION("""COMPUTED_VALUE"""),46090.0)</f>
        <v>46090</v>
      </c>
      <c r="S5040" s="57">
        <f>IFERROR(__xludf.DUMMYFUNCTION("""COMPUTED_VALUE"""),46090.0)</f>
        <v>46090</v>
      </c>
      <c r="T5040" s="57">
        <f>IFERROR(__xludf.DUMMYFUNCTION("""COMPUTED_VALUE"""),46133.0)</f>
        <v>46133</v>
      </c>
    </row>
    <row r="5041">
      <c r="A5041" s="6" t="str">
        <f>IFERROR(__xludf.DUMMYFUNCTION("""COMPUTED_VALUE"""),"121703992-2")</f>
        <v>121703992-2</v>
      </c>
      <c r="B5041" s="6" t="str">
        <f>IFERROR(__xludf.DUMMYFUNCTION("""COMPUTED_VALUE"""),"121703992 - APPROVED")</f>
        <v>121703992 - APPROVED</v>
      </c>
      <c r="C5041" s="6">
        <f>IFERROR(__xludf.DUMMYFUNCTION("""COMPUTED_VALUE"""),2.0)</f>
        <v>2</v>
      </c>
      <c r="D5041" s="6" t="str">
        <f>IFERROR(__xludf.DUMMYFUNCTION("""COMPUTED_VALUE"""),"Q-60063-00")</f>
        <v>Q-60063-00</v>
      </c>
      <c r="E5041" s="6" t="str">
        <f>IFERROR(__xludf.DUMMYFUNCTION("""COMPUTED_VALUE"""),"Cat Pilox 102 - White")</f>
        <v>Cat Pilox 102 - White</v>
      </c>
      <c r="F5041" s="6">
        <f>IFERROR(__xludf.DUMMYFUNCTION("""COMPUTED_VALUE"""),15.0)</f>
        <v>15</v>
      </c>
      <c r="G5041" s="6" t="str">
        <f>IFERROR(__xludf.DUMMYFUNCTION("""COMPUTED_VALUE"""),"Can")</f>
        <v>Can</v>
      </c>
      <c r="H5041" s="6" t="str">
        <f>IFERROR(__xludf.DUMMYFUNCTION("""COMPUTED_VALUE"""),"IDR")</f>
        <v>IDR</v>
      </c>
      <c r="I5041" s="6">
        <f>IFERROR(__xludf.DUMMYFUNCTION("""COMPUTED_VALUE"""),33000.0)</f>
        <v>33000</v>
      </c>
      <c r="J5041" s="6">
        <f>IFERROR(__xludf.DUMMYFUNCTION("""COMPUTED_VALUE"""),495000.0)</f>
        <v>495000</v>
      </c>
      <c r="K5041" s="57">
        <f>IFERROR(__xludf.DUMMYFUNCTION("""COMPUTED_VALUE"""),46122.0)</f>
        <v>46122</v>
      </c>
      <c r="L5041" s="6" t="str">
        <f>IFERROR(__xludf.DUMMYFUNCTION("""COMPUTED_VALUE"""),"FIP Engineering")</f>
        <v>FIP Engineering</v>
      </c>
      <c r="M5041" s="6" t="str">
        <f>IFERROR(__xludf.DUMMYFUNCTION("""COMPUTED_VALUE"""),"Mochammad Fadhillah Hakim,")</f>
        <v>Mochammad Fadhillah Hakim,</v>
      </c>
      <c r="N5041" s="6" t="str">
        <f>IFERROR(__xludf.DUMMYFUNCTION("""COMPUTED_VALUE"""),"FIP Engineering")</f>
        <v>FIP Engineering</v>
      </c>
      <c r="O5041" s="6" t="str">
        <f>IFERROR(__xludf.DUMMYFUNCTION("""COMPUTED_VALUE"""),"FIP-DOM-000-11304-OS00001-INA-000000")</f>
        <v>FIP-DOM-000-11304-OS00001-INA-000000</v>
      </c>
      <c r="P5041" s="6" t="str">
        <f>IFERROR(__xludf.DUMMYFUNCTION("""COMPUTED_VALUE"""),"PO Closed")</f>
        <v>PO Closed</v>
      </c>
      <c r="Q5041" s="6" t="str">
        <f>IFERROR(__xludf.DUMMYFUNCTION("""COMPUTED_VALUE"""),"GL2604011")</f>
        <v>GL2604011</v>
      </c>
      <c r="R5041" s="57">
        <f>IFERROR(__xludf.DUMMYFUNCTION("""COMPUTED_VALUE"""),46090.0)</f>
        <v>46090</v>
      </c>
      <c r="S5041" s="57">
        <f>IFERROR(__xludf.DUMMYFUNCTION("""COMPUTED_VALUE"""),46090.0)</f>
        <v>46090</v>
      </c>
      <c r="T5041" s="57">
        <f>IFERROR(__xludf.DUMMYFUNCTION("""COMPUTED_VALUE"""),46133.0)</f>
        <v>46133</v>
      </c>
    </row>
    <row r="5042">
      <c r="A5042" s="6" t="str">
        <f>IFERROR(__xludf.DUMMYFUNCTION("""COMPUTED_VALUE"""),"121703993-1")</f>
        <v>121703993-1</v>
      </c>
      <c r="B5042" s="6" t="str">
        <f>IFERROR(__xludf.DUMMYFUNCTION("""COMPUTED_VALUE"""),"121703993 - APPROVED")</f>
        <v>121703993 - APPROVED</v>
      </c>
      <c r="C5042" s="6">
        <f>IFERROR(__xludf.DUMMYFUNCTION("""COMPUTED_VALUE"""),1.0)</f>
        <v>1</v>
      </c>
      <c r="D5042" s="6" t="str">
        <f>IFERROR(__xludf.DUMMYFUNCTION("""COMPUTED_VALUE"""),"O-20624-00")</f>
        <v>O-20624-00</v>
      </c>
      <c r="E5042" s="6" t="str">
        <f>IFERROR(__xludf.DUMMYFUNCTION("""COMPUTED_VALUE"""),"Baut L SS304 M6x10mm + Nut; ; ;")</f>
        <v>Baut L SS304 M6x10mm + Nut; ; ;</v>
      </c>
      <c r="F5042" s="6">
        <f>IFERROR(__xludf.DUMMYFUNCTION("""COMPUTED_VALUE"""),1.0)</f>
        <v>1</v>
      </c>
      <c r="G5042" s="6" t="str">
        <f>IFERROR(__xludf.DUMMYFUNCTION("""COMPUTED_VALUE"""),"Pieces")</f>
        <v>Pieces</v>
      </c>
      <c r="H5042" s="6" t="str">
        <f>IFERROR(__xludf.DUMMYFUNCTION("""COMPUTED_VALUE"""),"IDR")</f>
        <v>IDR</v>
      </c>
      <c r="I5042" s="6">
        <f>IFERROR(__xludf.DUMMYFUNCTION("""COMPUTED_VALUE"""),100000.0)</f>
        <v>100000</v>
      </c>
      <c r="J5042" s="6">
        <f>IFERROR(__xludf.DUMMYFUNCTION("""COMPUTED_VALUE"""),100000.0)</f>
        <v>100000</v>
      </c>
      <c r="K5042" s="57">
        <f>IFERROR(__xludf.DUMMYFUNCTION("""COMPUTED_VALUE"""),46122.0)</f>
        <v>46122</v>
      </c>
      <c r="L5042" s="6" t="str">
        <f>IFERROR(__xludf.DUMMYFUNCTION("""COMPUTED_VALUE"""),"FIP Engineering")</f>
        <v>FIP Engineering</v>
      </c>
      <c r="M5042" s="6" t="str">
        <f>IFERROR(__xludf.DUMMYFUNCTION("""COMPUTED_VALUE"""),"Mochammad Fadhillah Hakim,")</f>
        <v>Mochammad Fadhillah Hakim,</v>
      </c>
      <c r="N5042" s="6" t="str">
        <f>IFERROR(__xludf.DUMMYFUNCTION("""COMPUTED_VALUE"""),"FIP Engineering")</f>
        <v>FIP Engineering</v>
      </c>
      <c r="O5042" s="6" t="str">
        <f>IFERROR(__xludf.DUMMYFUNCTION("""COMPUTED_VALUE"""),"FIP-DOM-000-11304-OS00001-INA-000000")</f>
        <v>FIP-DOM-000-11304-OS00001-INA-000000</v>
      </c>
      <c r="P5042" s="6" t="str">
        <f>IFERROR(__xludf.DUMMYFUNCTION("""COMPUTED_VALUE"""),"PO Closed")</f>
        <v>PO Closed</v>
      </c>
      <c r="Q5042" s="6" t="str">
        <f>IFERROR(__xludf.DUMMYFUNCTION("""COMPUTED_VALUE"""),"GL2604482")</f>
        <v>GL2604482</v>
      </c>
      <c r="R5042" s="57">
        <f>IFERROR(__xludf.DUMMYFUNCTION("""COMPUTED_VALUE"""),46090.0)</f>
        <v>46090</v>
      </c>
      <c r="S5042" s="57">
        <f>IFERROR(__xludf.DUMMYFUNCTION("""COMPUTED_VALUE"""),46090.0)</f>
        <v>46090</v>
      </c>
      <c r="T5042" s="57">
        <f>IFERROR(__xludf.DUMMYFUNCTION("""COMPUTED_VALUE"""),46152.0)</f>
        <v>46152</v>
      </c>
    </row>
    <row r="5043">
      <c r="A5043" s="6" t="str">
        <f>IFERROR(__xludf.DUMMYFUNCTION("""COMPUTED_VALUE"""),"121703995-1")</f>
        <v>121703995-1</v>
      </c>
      <c r="B5043" s="6" t="str">
        <f>IFERROR(__xludf.DUMMYFUNCTION("""COMPUTED_VALUE"""),"121703995 - APPROVED")</f>
        <v>121703995 - APPROVED</v>
      </c>
      <c r="C5043" s="6">
        <f>IFERROR(__xludf.DUMMYFUNCTION("""COMPUTED_VALUE"""),1.0)</f>
        <v>1</v>
      </c>
      <c r="D5043" s="6" t="str">
        <f>IFERROR(__xludf.DUMMYFUNCTION("""COMPUTED_VALUE"""),"Q-12033-00")</f>
        <v>Q-12033-00</v>
      </c>
      <c r="E5043" s="6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F5043" s="6">
        <f>IFERROR(__xludf.DUMMYFUNCTION("""COMPUTED_VALUE"""),1.0)</f>
        <v>1</v>
      </c>
      <c r="G5043" s="6" t="str">
        <f>IFERROR(__xludf.DUMMYFUNCTION("""COMPUTED_VALUE"""),"Set")</f>
        <v>Set</v>
      </c>
      <c r="H5043" s="6" t="str">
        <f>IFERROR(__xludf.DUMMYFUNCTION("""COMPUTED_VALUE"""),"IDR")</f>
        <v>IDR</v>
      </c>
      <c r="I5043" s="6">
        <f>IFERROR(__xludf.DUMMYFUNCTION("""COMPUTED_VALUE"""),355000.0)</f>
        <v>355000</v>
      </c>
      <c r="J5043" s="6">
        <f>IFERROR(__xludf.DUMMYFUNCTION("""COMPUTED_VALUE"""),355000.0)</f>
        <v>355000</v>
      </c>
      <c r="K5043" s="57">
        <f>IFERROR(__xludf.DUMMYFUNCTION("""COMPUTED_VALUE"""),46122.0)</f>
        <v>46122</v>
      </c>
      <c r="L5043" s="6" t="str">
        <f>IFERROR(__xludf.DUMMYFUNCTION("""COMPUTED_VALUE"""),"FIP General")</f>
        <v>FIP General</v>
      </c>
      <c r="M5043" s="6" t="str">
        <f>IFERROR(__xludf.DUMMYFUNCTION("""COMPUTED_VALUE"""),"Mochammad Fadhillah Hakim,")</f>
        <v>Mochammad Fadhillah Hakim,</v>
      </c>
      <c r="N5043" s="6" t="str">
        <f>IFERROR(__xludf.DUMMYFUNCTION("""COMPUTED_VALUE"""),"FIP Engineering")</f>
        <v>FIP Engineering</v>
      </c>
      <c r="O5043" s="6" t="str">
        <f>IFERROR(__xludf.DUMMYFUNCTION("""COMPUTED_VALUE"""),"FIP-DOM-ENG-51502-0000000-INA-000000")</f>
        <v>FIP-DOM-ENG-51502-0000000-INA-000000</v>
      </c>
      <c r="P5043" s="6" t="str">
        <f>IFERROR(__xludf.DUMMYFUNCTION("""COMPUTED_VALUE"""),"PO Closed")</f>
        <v>PO Closed</v>
      </c>
      <c r="Q5043" s="6" t="str">
        <f>IFERROR(__xludf.DUMMYFUNCTION("""COMPUTED_VALUE"""),"GL2604011")</f>
        <v>GL2604011</v>
      </c>
      <c r="R5043" s="57">
        <f>IFERROR(__xludf.DUMMYFUNCTION("""COMPUTED_VALUE"""),46090.0)</f>
        <v>46090</v>
      </c>
      <c r="S5043" s="57">
        <f>IFERROR(__xludf.DUMMYFUNCTION("""COMPUTED_VALUE"""),46091.0)</f>
        <v>46091</v>
      </c>
      <c r="T5043" s="57">
        <f>IFERROR(__xludf.DUMMYFUNCTION("""COMPUTED_VALUE"""),46133.0)</f>
        <v>46133</v>
      </c>
    </row>
    <row r="5044">
      <c r="A5044" s="6" t="str">
        <f>IFERROR(__xludf.DUMMYFUNCTION("""COMPUTED_VALUE"""),"121703995-2")</f>
        <v>121703995-2</v>
      </c>
      <c r="B5044" s="6" t="str">
        <f>IFERROR(__xludf.DUMMYFUNCTION("""COMPUTED_VALUE"""),"121703995 - APPROVED")</f>
        <v>121703995 - APPROVED</v>
      </c>
      <c r="C5044" s="6">
        <f>IFERROR(__xludf.DUMMYFUNCTION("""COMPUTED_VALUE"""),2.0)</f>
        <v>2</v>
      </c>
      <c r="D5044" s="6" t="str">
        <f>IFERROR(__xludf.DUMMYFUNCTION("""COMPUTED_VALUE"""),"Q-12117-00")</f>
        <v>Q-12117-00</v>
      </c>
      <c r="E5044" s="6" t="str">
        <f>IFERROR(__xludf.DUMMYFUNCTION("""COMPUTED_VALUE"""),"Lem Anti Bocor Waterproof Nano Transparan; Aqualuxe; ; 1 kg")</f>
        <v>Lem Anti Bocor Waterproof Nano Transparan; Aqualuxe; ; 1 kg</v>
      </c>
      <c r="F5044" s="6">
        <f>IFERROR(__xludf.DUMMYFUNCTION("""COMPUTED_VALUE"""),5.0)</f>
        <v>5</v>
      </c>
      <c r="G5044" s="6" t="str">
        <f>IFERROR(__xludf.DUMMYFUNCTION("""COMPUTED_VALUE"""),"Can")</f>
        <v>Can</v>
      </c>
      <c r="H5044" s="6" t="str">
        <f>IFERROR(__xludf.DUMMYFUNCTION("""COMPUTED_VALUE"""),"IDR")</f>
        <v>IDR</v>
      </c>
      <c r="I5044" s="6">
        <f>IFERROR(__xludf.DUMMYFUNCTION("""COMPUTED_VALUE"""),65000.0)</f>
        <v>65000</v>
      </c>
      <c r="J5044" s="6">
        <f>IFERROR(__xludf.DUMMYFUNCTION("""COMPUTED_VALUE"""),325000.0)</f>
        <v>325000</v>
      </c>
      <c r="K5044" s="57">
        <f>IFERROR(__xludf.DUMMYFUNCTION("""COMPUTED_VALUE"""),46122.0)</f>
        <v>46122</v>
      </c>
      <c r="L5044" s="6" t="str">
        <f>IFERROR(__xludf.DUMMYFUNCTION("""COMPUTED_VALUE"""),"FIP General")</f>
        <v>FIP General</v>
      </c>
      <c r="M5044" s="6" t="str">
        <f>IFERROR(__xludf.DUMMYFUNCTION("""COMPUTED_VALUE"""),"Mochammad Fadhillah Hakim,")</f>
        <v>Mochammad Fadhillah Hakim,</v>
      </c>
      <c r="N5044" s="6" t="str">
        <f>IFERROR(__xludf.DUMMYFUNCTION("""COMPUTED_VALUE"""),"FIP Engineering")</f>
        <v>FIP Engineering</v>
      </c>
      <c r="O5044" s="6" t="str">
        <f>IFERROR(__xludf.DUMMYFUNCTION("""COMPUTED_VALUE"""),"FIP-DOM-ENG-51502-0000000-INA-000000")</f>
        <v>FIP-DOM-ENG-51502-0000000-INA-000000</v>
      </c>
      <c r="P5044" s="6" t="str">
        <f>IFERROR(__xludf.DUMMYFUNCTION("""COMPUTED_VALUE"""),"PO Closed")</f>
        <v>PO Closed</v>
      </c>
      <c r="Q5044" s="6" t="str">
        <f>IFERROR(__xludf.DUMMYFUNCTION("""COMPUTED_VALUE"""),"GL2604040")</f>
        <v>GL2604040</v>
      </c>
      <c r="R5044" s="57">
        <f>IFERROR(__xludf.DUMMYFUNCTION("""COMPUTED_VALUE"""),46090.0)</f>
        <v>46090</v>
      </c>
      <c r="S5044" s="57">
        <f>IFERROR(__xludf.DUMMYFUNCTION("""COMPUTED_VALUE"""),46091.0)</f>
        <v>46091</v>
      </c>
      <c r="T5044" s="57">
        <f>IFERROR(__xludf.DUMMYFUNCTION("""COMPUTED_VALUE"""),46147.0)</f>
        <v>46147</v>
      </c>
    </row>
    <row r="5045">
      <c r="A5045" s="6" t="str">
        <f>IFERROR(__xludf.DUMMYFUNCTION("""COMPUTED_VALUE"""),"121703995-3")</f>
        <v>121703995-3</v>
      </c>
      <c r="B5045" s="6" t="str">
        <f>IFERROR(__xludf.DUMMYFUNCTION("""COMPUTED_VALUE"""),"121703995 - APPROVED")</f>
        <v>121703995 - APPROVED</v>
      </c>
      <c r="C5045" s="6">
        <f>IFERROR(__xludf.DUMMYFUNCTION("""COMPUTED_VALUE"""),3.0)</f>
        <v>3</v>
      </c>
      <c r="D5045" s="6" t="str">
        <f>IFERROR(__xludf.DUMMYFUNCTION("""COMPUTED_VALUE"""),"Q-60342-00")</f>
        <v>Q-60342-00</v>
      </c>
      <c r="E5045" s="6" t="str">
        <f>IFERROR(__xludf.DUMMYFUNCTION("""COMPUTED_VALUE"""),"Cat Semprot Green Relax (V9488); Diton Premium; V9488; 400 ml")</f>
        <v>Cat Semprot Green Relax (V9488); Diton Premium; V9488; 400 ml</v>
      </c>
      <c r="F5045" s="6">
        <f>IFERROR(__xludf.DUMMYFUNCTION("""COMPUTED_VALUE"""),10.0)</f>
        <v>10</v>
      </c>
      <c r="G5045" s="6" t="str">
        <f>IFERROR(__xludf.DUMMYFUNCTION("""COMPUTED_VALUE"""),"Can")</f>
        <v>Can</v>
      </c>
      <c r="H5045" s="6" t="str">
        <f>IFERROR(__xludf.DUMMYFUNCTION("""COMPUTED_VALUE"""),"IDR")</f>
        <v>IDR</v>
      </c>
      <c r="I5045" s="6">
        <f>IFERROR(__xludf.DUMMYFUNCTION("""COMPUTED_VALUE"""),85000.0)</f>
        <v>85000</v>
      </c>
      <c r="J5045" s="6">
        <f>IFERROR(__xludf.DUMMYFUNCTION("""COMPUTED_VALUE"""),850000.0)</f>
        <v>850000</v>
      </c>
      <c r="K5045" s="57">
        <f>IFERROR(__xludf.DUMMYFUNCTION("""COMPUTED_VALUE"""),46122.0)</f>
        <v>46122</v>
      </c>
      <c r="L5045" s="6" t="str">
        <f>IFERROR(__xludf.DUMMYFUNCTION("""COMPUTED_VALUE"""),"FIP General")</f>
        <v>FIP General</v>
      </c>
      <c r="M5045" s="6" t="str">
        <f>IFERROR(__xludf.DUMMYFUNCTION("""COMPUTED_VALUE"""),"Mochammad Fadhillah Hakim,")</f>
        <v>Mochammad Fadhillah Hakim,</v>
      </c>
      <c r="N5045" s="6" t="str">
        <f>IFERROR(__xludf.DUMMYFUNCTION("""COMPUTED_VALUE"""),"FIP Engineering")</f>
        <v>FIP Engineering</v>
      </c>
      <c r="O5045" s="6" t="str">
        <f>IFERROR(__xludf.DUMMYFUNCTION("""COMPUTED_VALUE"""),"FIP-DOM-ENG-51502-0000000-INA-000000")</f>
        <v>FIP-DOM-ENG-51502-0000000-INA-000000</v>
      </c>
      <c r="P5045" s="6" t="str">
        <f>IFERROR(__xludf.DUMMYFUNCTION("""COMPUTED_VALUE"""),"PO Closed")</f>
        <v>PO Closed</v>
      </c>
      <c r="Q5045" s="6" t="str">
        <f>IFERROR(__xludf.DUMMYFUNCTION("""COMPUTED_VALUE"""),"GL2604040")</f>
        <v>GL2604040</v>
      </c>
      <c r="R5045" s="57">
        <f>IFERROR(__xludf.DUMMYFUNCTION("""COMPUTED_VALUE"""),46090.0)</f>
        <v>46090</v>
      </c>
      <c r="S5045" s="57">
        <f>IFERROR(__xludf.DUMMYFUNCTION("""COMPUTED_VALUE"""),46091.0)</f>
        <v>46091</v>
      </c>
      <c r="T5045" s="57">
        <f>IFERROR(__xludf.DUMMYFUNCTION("""COMPUTED_VALUE"""),46147.0)</f>
        <v>46147</v>
      </c>
    </row>
    <row r="5046">
      <c r="A5046" s="6" t="str">
        <f>IFERROR(__xludf.DUMMYFUNCTION("""COMPUTED_VALUE"""),"121703995-4")</f>
        <v>121703995-4</v>
      </c>
      <c r="B5046" s="6" t="str">
        <f>IFERROR(__xludf.DUMMYFUNCTION("""COMPUTED_VALUE"""),"121703995 - APPROVED")</f>
        <v>121703995 - APPROVED</v>
      </c>
      <c r="C5046" s="6">
        <f>IFERROR(__xludf.DUMMYFUNCTION("""COMPUTED_VALUE"""),4.0)</f>
        <v>4</v>
      </c>
      <c r="D5046" s="6" t="str">
        <f>IFERROR(__xludf.DUMMYFUNCTION("""COMPUTED_VALUE"""),"Q-70239-00")</f>
        <v>Q-70239-00</v>
      </c>
      <c r="E5046" s="6" t="str">
        <f>IFERROR(__xludf.DUMMYFUNCTION("""COMPUTED_VALUE"""),"Tang Buaya Bengkok 10 Inch (Curved Jaw); Tekiro; PL-LG0770; pc")</f>
        <v>Tang Buaya Bengkok 10 Inch (Curved Jaw); Tekiro; PL-LG0770; pc</v>
      </c>
      <c r="F5046" s="6">
        <f>IFERROR(__xludf.DUMMYFUNCTION("""COMPUTED_VALUE"""),2.0)</f>
        <v>2</v>
      </c>
      <c r="G5046" s="6" t="str">
        <f>IFERROR(__xludf.DUMMYFUNCTION("""COMPUTED_VALUE"""),"Pieces")</f>
        <v>Pieces</v>
      </c>
      <c r="H5046" s="6" t="str">
        <f>IFERROR(__xludf.DUMMYFUNCTION("""COMPUTED_VALUE"""),"IDR")</f>
        <v>IDR</v>
      </c>
      <c r="I5046" s="6">
        <f>IFERROR(__xludf.DUMMYFUNCTION("""COMPUTED_VALUE"""),175000.0)</f>
        <v>175000</v>
      </c>
      <c r="J5046" s="6">
        <f>IFERROR(__xludf.DUMMYFUNCTION("""COMPUTED_VALUE"""),350000.0)</f>
        <v>350000</v>
      </c>
      <c r="K5046" s="57">
        <f>IFERROR(__xludf.DUMMYFUNCTION("""COMPUTED_VALUE"""),46122.0)</f>
        <v>46122</v>
      </c>
      <c r="L5046" s="6" t="str">
        <f>IFERROR(__xludf.DUMMYFUNCTION("""COMPUTED_VALUE"""),"FIP General")</f>
        <v>FIP General</v>
      </c>
      <c r="M5046" s="6" t="str">
        <f>IFERROR(__xludf.DUMMYFUNCTION("""COMPUTED_VALUE"""),"Mochammad Fadhillah Hakim,")</f>
        <v>Mochammad Fadhillah Hakim,</v>
      </c>
      <c r="N5046" s="6" t="str">
        <f>IFERROR(__xludf.DUMMYFUNCTION("""COMPUTED_VALUE"""),"FIP Engineering")</f>
        <v>FIP Engineering</v>
      </c>
      <c r="O5046" s="6" t="str">
        <f>IFERROR(__xludf.DUMMYFUNCTION("""COMPUTED_VALUE"""),"FIP-DOM-ENG-51404-0000000-INA-000000")</f>
        <v>FIP-DOM-ENG-51404-0000000-INA-000000</v>
      </c>
      <c r="P5046" s="6" t="str">
        <f>IFERROR(__xludf.DUMMYFUNCTION("""COMPUTED_VALUE"""),"PO Closed")</f>
        <v>PO Closed</v>
      </c>
      <c r="Q5046" s="6" t="str">
        <f>IFERROR(__xludf.DUMMYFUNCTION("""COMPUTED_VALUE"""),"GL2604038")</f>
        <v>GL2604038</v>
      </c>
      <c r="R5046" s="57">
        <f>IFERROR(__xludf.DUMMYFUNCTION("""COMPUTED_VALUE"""),46090.0)</f>
        <v>46090</v>
      </c>
      <c r="S5046" s="57">
        <f>IFERROR(__xludf.DUMMYFUNCTION("""COMPUTED_VALUE"""),46091.0)</f>
        <v>46091</v>
      </c>
      <c r="T5046" s="57">
        <f>IFERROR(__xludf.DUMMYFUNCTION("""COMPUTED_VALUE"""),46147.0)</f>
        <v>46147</v>
      </c>
    </row>
    <row r="5047">
      <c r="A5047" s="6" t="str">
        <f>IFERROR(__xludf.DUMMYFUNCTION("""COMPUTED_VALUE"""),"121703995-5")</f>
        <v>121703995-5</v>
      </c>
      <c r="B5047" s="6" t="str">
        <f>IFERROR(__xludf.DUMMYFUNCTION("""COMPUTED_VALUE"""),"121703995 - APPROVED")</f>
        <v>121703995 - APPROVED</v>
      </c>
      <c r="C5047" s="6">
        <f>IFERROR(__xludf.DUMMYFUNCTION("""COMPUTED_VALUE"""),5.0)</f>
        <v>5</v>
      </c>
      <c r="D5047" s="6" t="str">
        <f>IFERROR(__xludf.DUMMYFUNCTION("""COMPUTED_VALUE"""),"Q-70240-00")</f>
        <v>Q-70240-00</v>
      </c>
      <c r="E5047" s="6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F5047" s="6">
        <f>IFERROR(__xludf.DUMMYFUNCTION("""COMPUTED_VALUE"""),1.0)</f>
        <v>1</v>
      </c>
      <c r="G5047" s="6" t="str">
        <f>IFERROR(__xludf.DUMMYFUNCTION("""COMPUTED_VALUE"""),"Set")</f>
        <v>Set</v>
      </c>
      <c r="H5047" s="6" t="str">
        <f>IFERROR(__xludf.DUMMYFUNCTION("""COMPUTED_VALUE"""),"IDR")</f>
        <v>IDR</v>
      </c>
      <c r="I5047" s="6">
        <f>IFERROR(__xludf.DUMMYFUNCTION("""COMPUTED_VALUE"""),550000.0)</f>
        <v>550000</v>
      </c>
      <c r="J5047" s="6">
        <f>IFERROR(__xludf.DUMMYFUNCTION("""COMPUTED_VALUE"""),550000.0)</f>
        <v>550000</v>
      </c>
      <c r="K5047" s="57">
        <f>IFERROR(__xludf.DUMMYFUNCTION("""COMPUTED_VALUE"""),46122.0)</f>
        <v>46122</v>
      </c>
      <c r="L5047" s="6" t="str">
        <f>IFERROR(__xludf.DUMMYFUNCTION("""COMPUTED_VALUE"""),"FIP General")</f>
        <v>FIP General</v>
      </c>
      <c r="M5047" s="6" t="str">
        <f>IFERROR(__xludf.DUMMYFUNCTION("""COMPUTED_VALUE"""),"Mochammad Fadhillah Hakim,")</f>
        <v>Mochammad Fadhillah Hakim,</v>
      </c>
      <c r="N5047" s="6" t="str">
        <f>IFERROR(__xludf.DUMMYFUNCTION("""COMPUTED_VALUE"""),"FIP Engineering")</f>
        <v>FIP Engineering</v>
      </c>
      <c r="O5047" s="6" t="str">
        <f>IFERROR(__xludf.DUMMYFUNCTION("""COMPUTED_VALUE"""),"FIP-DOM-ENG-51404-0000000-INA-000000")</f>
        <v>FIP-DOM-ENG-51404-0000000-INA-000000</v>
      </c>
      <c r="P5047" s="6" t="str">
        <f>IFERROR(__xludf.DUMMYFUNCTION("""COMPUTED_VALUE"""),"PO Closed")</f>
        <v>PO Closed</v>
      </c>
      <c r="Q5047" s="6" t="str">
        <f>IFERROR(__xludf.DUMMYFUNCTION("""COMPUTED_VALUE"""),"GL2604040")</f>
        <v>GL2604040</v>
      </c>
      <c r="R5047" s="57">
        <f>IFERROR(__xludf.DUMMYFUNCTION("""COMPUTED_VALUE"""),46090.0)</f>
        <v>46090</v>
      </c>
      <c r="S5047" s="57">
        <f>IFERROR(__xludf.DUMMYFUNCTION("""COMPUTED_VALUE"""),46091.0)</f>
        <v>46091</v>
      </c>
      <c r="T5047" s="57">
        <f>IFERROR(__xludf.DUMMYFUNCTION("""COMPUTED_VALUE"""),46147.0)</f>
        <v>46147</v>
      </c>
    </row>
    <row r="5048">
      <c r="A5048" s="6" t="str">
        <f>IFERROR(__xludf.DUMMYFUNCTION("""COMPUTED_VALUE"""),"121703996-1")</f>
        <v>121703996-1</v>
      </c>
      <c r="B5048" s="6" t="str">
        <f>IFERROR(__xludf.DUMMYFUNCTION("""COMPUTED_VALUE"""),"121703996 - APPROVED")</f>
        <v>121703996 - APPROVED</v>
      </c>
      <c r="C5048" s="6">
        <f>IFERROR(__xludf.DUMMYFUNCTION("""COMPUTED_VALUE"""),1.0)</f>
        <v>1</v>
      </c>
      <c r="D5048" s="6" t="str">
        <f>IFERROR(__xludf.DUMMYFUNCTION("""COMPUTED_VALUE"""),"T-12311-00")</f>
        <v>T-12311-00</v>
      </c>
      <c r="E5048" s="6" t="str">
        <f>IFERROR(__xludf.DUMMYFUNCTION("""COMPUTED_VALUE"""),"Thermal Paste for Processor/CPU; ; ;")</f>
        <v>Thermal Paste for Processor/CPU; ; ;</v>
      </c>
      <c r="F5048" s="6">
        <f>IFERROR(__xludf.DUMMYFUNCTION("""COMPUTED_VALUE"""),5.0)</f>
        <v>5</v>
      </c>
      <c r="G5048" s="6" t="str">
        <f>IFERROR(__xludf.DUMMYFUNCTION("""COMPUTED_VALUE"""),"Pieces")</f>
        <v>Pieces</v>
      </c>
      <c r="H5048" s="6" t="str">
        <f>IFERROR(__xludf.DUMMYFUNCTION("""COMPUTED_VALUE"""),"IDR")</f>
        <v>IDR</v>
      </c>
      <c r="I5048" s="6">
        <f>IFERROR(__xludf.DUMMYFUNCTION("""COMPUTED_VALUE"""),70000.0)</f>
        <v>70000</v>
      </c>
      <c r="J5048" s="6">
        <f>IFERROR(__xludf.DUMMYFUNCTION("""COMPUTED_VALUE"""),350000.0)</f>
        <v>350000</v>
      </c>
      <c r="K5048" s="57">
        <f>IFERROR(__xludf.DUMMYFUNCTION("""COMPUTED_VALUE"""),46122.0)</f>
        <v>46122</v>
      </c>
      <c r="L5048" s="6" t="str">
        <f>IFERROR(__xludf.DUMMYFUNCTION("""COMPUTED_VALUE"""),"FIP General")</f>
        <v>FIP General</v>
      </c>
      <c r="M5048" s="6" t="str">
        <f>IFERROR(__xludf.DUMMYFUNCTION("""COMPUTED_VALUE"""),"Mochammad Fadhillah Hakim,")</f>
        <v>Mochammad Fadhillah Hakim,</v>
      </c>
      <c r="N5048" s="6" t="str">
        <f>IFERROR(__xludf.DUMMYFUNCTION("""COMPUTED_VALUE"""),"FIP Engineering")</f>
        <v>FIP Engineering</v>
      </c>
      <c r="O5048" s="6" t="str">
        <f>IFERROR(__xludf.DUMMYFUNCTION("""COMPUTED_VALUE"""),"FIP-DOM-ENG-51504-0000000-INA-000000")</f>
        <v>FIP-DOM-ENG-51504-0000000-INA-000000</v>
      </c>
      <c r="P5048" s="6" t="str">
        <f>IFERROR(__xludf.DUMMYFUNCTION("""COMPUTED_VALUE"""),"PO Closed")</f>
        <v>PO Closed</v>
      </c>
      <c r="Q5048" s="6" t="str">
        <f>IFERROR(__xludf.DUMMYFUNCTION("""COMPUTED_VALUE"""),"GL2604017")</f>
        <v>GL2604017</v>
      </c>
      <c r="R5048" s="57">
        <f>IFERROR(__xludf.DUMMYFUNCTION("""COMPUTED_VALUE"""),46090.0)</f>
        <v>46090</v>
      </c>
      <c r="S5048" s="57">
        <f>IFERROR(__xludf.DUMMYFUNCTION("""COMPUTED_VALUE"""),46091.0)</f>
        <v>46091</v>
      </c>
      <c r="T5048" s="57">
        <f>IFERROR(__xludf.DUMMYFUNCTION("""COMPUTED_VALUE"""),46133.0)</f>
        <v>46133</v>
      </c>
    </row>
    <row r="5049">
      <c r="A5049" s="6" t="str">
        <f>IFERROR(__xludf.DUMMYFUNCTION("""COMPUTED_VALUE"""),"121703997-1")</f>
        <v>121703997-1</v>
      </c>
      <c r="B5049" s="6" t="str">
        <f>IFERROR(__xludf.DUMMYFUNCTION("""COMPUTED_VALUE"""),"121703997 - APPROVED")</f>
        <v>121703997 - APPROVED</v>
      </c>
      <c r="C5049" s="6">
        <f>IFERROR(__xludf.DUMMYFUNCTION("""COMPUTED_VALUE"""),1.0)</f>
        <v>1</v>
      </c>
      <c r="D5049" s="6" t="str">
        <f>IFERROR(__xludf.DUMMYFUNCTION("""COMPUTED_VALUE"""),"P-53055-00")</f>
        <v>P-53055-00</v>
      </c>
      <c r="E5049" s="6" t="str">
        <f>IFERROR(__xludf.DUMMYFUNCTION("""COMPUTED_VALUE"""),"General - Fuse Keramik Double 160A 690VAC Bussman FEE160")</f>
        <v>General - Fuse Keramik Double 160A 690VAC Bussman FEE160</v>
      </c>
      <c r="F5049" s="6">
        <f>IFERROR(__xludf.DUMMYFUNCTION("""COMPUTED_VALUE"""),6.0)</f>
        <v>6</v>
      </c>
      <c r="G5049" s="6" t="str">
        <f>IFERROR(__xludf.DUMMYFUNCTION("""COMPUTED_VALUE"""),"Pieces")</f>
        <v>Pieces</v>
      </c>
      <c r="H5049" s="6" t="str">
        <f>IFERROR(__xludf.DUMMYFUNCTION("""COMPUTED_VALUE"""),"IDR")</f>
        <v>IDR</v>
      </c>
      <c r="I5049" s="6">
        <f>IFERROR(__xludf.DUMMYFUNCTION("""COMPUTED_VALUE"""),525000.0)</f>
        <v>525000</v>
      </c>
      <c r="J5049" s="6">
        <f>IFERROR(__xludf.DUMMYFUNCTION("""COMPUTED_VALUE"""),3150000.0)</f>
        <v>3150000</v>
      </c>
      <c r="K5049" s="57">
        <f>IFERROR(__xludf.DUMMYFUNCTION("""COMPUTED_VALUE"""),46122.0)</f>
        <v>46122</v>
      </c>
      <c r="L5049" s="6" t="str">
        <f>IFERROR(__xludf.DUMMYFUNCTION("""COMPUTED_VALUE"""),"FIP Engineering")</f>
        <v>FIP Engineering</v>
      </c>
      <c r="M5049" s="6" t="str">
        <f>IFERROR(__xludf.DUMMYFUNCTION("""COMPUTED_VALUE"""),"Mochammad Fadhillah Hakim,")</f>
        <v>Mochammad Fadhillah Hakim,</v>
      </c>
      <c r="N5049" s="6" t="str">
        <f>IFERROR(__xludf.DUMMYFUNCTION("""COMPUTED_VALUE"""),"FIP Engineering")</f>
        <v>FIP Engineering</v>
      </c>
      <c r="O5049" s="6" t="str">
        <f>IFERROR(__xludf.DUMMYFUNCTION("""COMPUTED_VALUE"""),"FIP-DOM-000-11304-OS00001-INA-000000")</f>
        <v>FIP-DOM-000-11304-OS00001-INA-000000</v>
      </c>
      <c r="P5049" s="6" t="str">
        <f>IFERROR(__xludf.DUMMYFUNCTION("""COMPUTED_VALUE"""),"PO Closed")</f>
        <v>PO Closed</v>
      </c>
      <c r="Q5049" s="6" t="str">
        <f>IFERROR(__xludf.DUMMYFUNCTION("""COMPUTED_VALUE"""),"GL2603475")</f>
        <v>GL2603475</v>
      </c>
      <c r="R5049" s="57">
        <f>IFERROR(__xludf.DUMMYFUNCTION("""COMPUTED_VALUE"""),46090.0)</f>
        <v>46090</v>
      </c>
      <c r="S5049" s="57">
        <f>IFERROR(__xludf.DUMMYFUNCTION("""COMPUTED_VALUE"""),46090.0)</f>
        <v>46090</v>
      </c>
      <c r="T5049" s="57">
        <f>IFERROR(__xludf.DUMMYFUNCTION("""COMPUTED_VALUE"""),46117.0)</f>
        <v>46117</v>
      </c>
    </row>
    <row r="5050">
      <c r="A5050" s="6" t="str">
        <f>IFERROR(__xludf.DUMMYFUNCTION("""COMPUTED_VALUE"""),"121703997-2")</f>
        <v>121703997-2</v>
      </c>
      <c r="B5050" s="6" t="str">
        <f>IFERROR(__xludf.DUMMYFUNCTION("""COMPUTED_VALUE"""),"121703997 - APPROVED")</f>
        <v>121703997 - APPROVED</v>
      </c>
      <c r="C5050" s="6">
        <f>IFERROR(__xludf.DUMMYFUNCTION("""COMPUTED_VALUE"""),2.0)</f>
        <v>2</v>
      </c>
      <c r="D5050" s="6" t="str">
        <f>IFERROR(__xludf.DUMMYFUNCTION("""COMPUTED_VALUE"""),"P-54559-00")</f>
        <v>P-54559-00</v>
      </c>
      <c r="E5050" s="6" t="str">
        <f>IFERROR(__xludf.DUMMYFUNCTION("""COMPUTED_VALUE"""),"General - Automatic Circuit Breaker Finder; Nofaya; NF-827S; 1 pc")</f>
        <v>General - Automatic Circuit Breaker Finder; Nofaya; NF-827S; 1 pc</v>
      </c>
      <c r="F5050" s="6">
        <f>IFERROR(__xludf.DUMMYFUNCTION("""COMPUTED_VALUE"""),1.0)</f>
        <v>1</v>
      </c>
      <c r="G5050" s="6" t="str">
        <f>IFERROR(__xludf.DUMMYFUNCTION("""COMPUTED_VALUE"""),"Pieces")</f>
        <v>Pieces</v>
      </c>
      <c r="H5050" s="6" t="str">
        <f>IFERROR(__xludf.DUMMYFUNCTION("""COMPUTED_VALUE"""),"IDR")</f>
        <v>IDR</v>
      </c>
      <c r="I5050" s="6">
        <f>IFERROR(__xludf.DUMMYFUNCTION("""COMPUTED_VALUE"""),1750000.0)</f>
        <v>1750000</v>
      </c>
      <c r="J5050" s="6">
        <f>IFERROR(__xludf.DUMMYFUNCTION("""COMPUTED_VALUE"""),1750000.0)</f>
        <v>1750000</v>
      </c>
      <c r="K5050" s="57">
        <f>IFERROR(__xludf.DUMMYFUNCTION("""COMPUTED_VALUE"""),46122.0)</f>
        <v>46122</v>
      </c>
      <c r="L5050" s="6" t="str">
        <f>IFERROR(__xludf.DUMMYFUNCTION("""COMPUTED_VALUE"""),"FIP General")</f>
        <v>FIP General</v>
      </c>
      <c r="M5050" s="6" t="str">
        <f>IFERROR(__xludf.DUMMYFUNCTION("""COMPUTED_VALUE"""),"Mochammad Fadhillah Hakim,")</f>
        <v>Mochammad Fadhillah Hakim,</v>
      </c>
      <c r="N5050" s="6" t="str">
        <f>IFERROR(__xludf.DUMMYFUNCTION("""COMPUTED_VALUE"""),"FIP Engineering")</f>
        <v>FIP Engineering</v>
      </c>
      <c r="O5050" s="6" t="str">
        <f>IFERROR(__xludf.DUMMYFUNCTION("""COMPUTED_VALUE"""),"FIP-DOM-ENG-51404-0000000-INA-000000")</f>
        <v>FIP-DOM-ENG-51404-0000000-INA-000000</v>
      </c>
      <c r="P5050" s="6" t="str">
        <f>IFERROR(__xludf.DUMMYFUNCTION("""COMPUTED_VALUE"""),"PO Closed")</f>
        <v>PO Closed</v>
      </c>
      <c r="Q5050" s="6" t="str">
        <f>IFERROR(__xludf.DUMMYFUNCTION("""COMPUTED_VALUE"""),"GL2604492")</f>
        <v>GL2604492</v>
      </c>
      <c r="R5050" s="57">
        <f>IFERROR(__xludf.DUMMYFUNCTION("""COMPUTED_VALUE"""),46090.0)</f>
        <v>46090</v>
      </c>
      <c r="S5050" s="57">
        <f>IFERROR(__xludf.DUMMYFUNCTION("""COMPUTED_VALUE"""),46090.0)</f>
        <v>46090</v>
      </c>
      <c r="T5050" s="57">
        <f>IFERROR(__xludf.DUMMYFUNCTION("""COMPUTED_VALUE"""),46142.0)</f>
        <v>46142</v>
      </c>
    </row>
    <row r="5051">
      <c r="A5051" s="6" t="str">
        <f>IFERROR(__xludf.DUMMYFUNCTION("""COMPUTED_VALUE"""),"121703998-1")</f>
        <v>121703998-1</v>
      </c>
      <c r="B5051" s="6" t="str">
        <f>IFERROR(__xludf.DUMMYFUNCTION("""COMPUTED_VALUE"""),"121703998 - APPROVED")</f>
        <v>121703998 - APPROVED</v>
      </c>
      <c r="C5051" s="6">
        <f>IFERROR(__xludf.DUMMYFUNCTION("""COMPUTED_VALUE"""),1.0)</f>
        <v>1</v>
      </c>
      <c r="D5051" s="6" t="str">
        <f>IFERROR(__xludf.DUMMYFUNCTION("""COMPUTED_VALUE"""),"P-54348-00")</f>
        <v>P-54348-00</v>
      </c>
      <c r="E5051" s="6" t="str">
        <f>IFERROR(__xludf.DUMMYFUNCTION("""COMPUTED_VALUE"""),"General - Exhaust Fan 4414M; EBMPast; -; 1 pc")</f>
        <v>General - Exhaust Fan 4414M; EBMPast; -; 1 pc</v>
      </c>
      <c r="F5051" s="6">
        <f>IFERROR(__xludf.DUMMYFUNCTION("""COMPUTED_VALUE"""),4.0)</f>
        <v>4</v>
      </c>
      <c r="G5051" s="6" t="str">
        <f>IFERROR(__xludf.DUMMYFUNCTION("""COMPUTED_VALUE"""),"Pieces")</f>
        <v>Pieces</v>
      </c>
      <c r="H5051" s="6" t="str">
        <f>IFERROR(__xludf.DUMMYFUNCTION("""COMPUTED_VALUE"""),"IDR")</f>
        <v>IDR</v>
      </c>
      <c r="I5051" s="6">
        <f>IFERROR(__xludf.DUMMYFUNCTION("""COMPUTED_VALUE"""),615950.0)</f>
        <v>615950</v>
      </c>
      <c r="J5051" s="6">
        <f>IFERROR(__xludf.DUMMYFUNCTION("""COMPUTED_VALUE"""),2463800.0)</f>
        <v>2463800</v>
      </c>
      <c r="K5051" s="57">
        <f>IFERROR(__xludf.DUMMYFUNCTION("""COMPUTED_VALUE"""),46122.0)</f>
        <v>46122</v>
      </c>
      <c r="L5051" s="6" t="str">
        <f>IFERROR(__xludf.DUMMYFUNCTION("""COMPUTED_VALUE"""),"FIP Engineering")</f>
        <v>FIP Engineering</v>
      </c>
      <c r="M5051" s="6" t="str">
        <f>IFERROR(__xludf.DUMMYFUNCTION("""COMPUTED_VALUE"""),"Mochammad Fadhillah Hakim,")</f>
        <v>Mochammad Fadhillah Hakim,</v>
      </c>
      <c r="N5051" s="6" t="str">
        <f>IFERROR(__xludf.DUMMYFUNCTION("""COMPUTED_VALUE"""),"FIP Engineering")</f>
        <v>FIP Engineering</v>
      </c>
      <c r="O5051" s="6" t="str">
        <f>IFERROR(__xludf.DUMMYFUNCTION("""COMPUTED_VALUE"""),"FIP-DOM-000-11304-OS00001-INA-000000")</f>
        <v>FIP-DOM-000-11304-OS00001-INA-000000</v>
      </c>
      <c r="P5051" s="6" t="str">
        <f>IFERROR(__xludf.DUMMYFUNCTION("""COMPUTED_VALUE"""),"PO Closed")</f>
        <v>PO Closed</v>
      </c>
      <c r="Q5051" s="6" t="str">
        <f>IFERROR(__xludf.DUMMYFUNCTION("""COMPUTED_VALUE"""),"GL2604491")</f>
        <v>GL2604491</v>
      </c>
      <c r="R5051" s="57">
        <f>IFERROR(__xludf.DUMMYFUNCTION("""COMPUTED_VALUE"""),46090.0)</f>
        <v>46090</v>
      </c>
      <c r="S5051" s="57">
        <f>IFERROR(__xludf.DUMMYFUNCTION("""COMPUTED_VALUE"""),46090.0)</f>
        <v>46090</v>
      </c>
      <c r="T5051" s="57">
        <f>IFERROR(__xludf.DUMMYFUNCTION("""COMPUTED_VALUE"""),46142.0)</f>
        <v>46142</v>
      </c>
    </row>
    <row r="5052">
      <c r="A5052" s="6" t="str">
        <f>IFERROR(__xludf.DUMMYFUNCTION("""COMPUTED_VALUE"""),"121704000-1")</f>
        <v>121704000-1</v>
      </c>
      <c r="B5052" s="6" t="str">
        <f>IFERROR(__xludf.DUMMYFUNCTION("""COMPUTED_VALUE"""),"121704000 - APPROVED")</f>
        <v>121704000 - APPROVED</v>
      </c>
      <c r="C5052" s="6">
        <f>IFERROR(__xludf.DUMMYFUNCTION("""COMPUTED_VALUE"""),1.0)</f>
        <v>1</v>
      </c>
      <c r="D5052" s="6" t="str">
        <f>IFERROR(__xludf.DUMMYFUNCTION("""COMPUTED_VALUE"""),"P-20556-00")</f>
        <v>P-20556-00</v>
      </c>
      <c r="E5052" s="6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F5052" s="6">
        <f>IFERROR(__xludf.DUMMYFUNCTION("""COMPUTED_VALUE"""),3.0)</f>
        <v>3</v>
      </c>
      <c r="G5052" s="6" t="str">
        <f>IFERROR(__xludf.DUMMYFUNCTION("""COMPUTED_VALUE"""),"Pieces")</f>
        <v>Pieces</v>
      </c>
      <c r="H5052" s="6" t="str">
        <f>IFERROR(__xludf.DUMMYFUNCTION("""COMPUTED_VALUE"""),"IDR")</f>
        <v>IDR</v>
      </c>
      <c r="I5052" s="6">
        <f>IFERROR(__xludf.DUMMYFUNCTION("""COMPUTED_VALUE"""),1700000.0)</f>
        <v>1700000</v>
      </c>
      <c r="J5052" s="6">
        <f>IFERROR(__xludf.DUMMYFUNCTION("""COMPUTED_VALUE"""),5100000.0)</f>
        <v>5100000</v>
      </c>
      <c r="K5052" s="57">
        <f>IFERROR(__xludf.DUMMYFUNCTION("""COMPUTED_VALUE"""),46122.0)</f>
        <v>46122</v>
      </c>
      <c r="L5052" s="6" t="str">
        <f>IFERROR(__xludf.DUMMYFUNCTION("""COMPUTED_VALUE"""),"FIP Engineering")</f>
        <v>FIP Engineering</v>
      </c>
      <c r="M5052" s="6" t="str">
        <f>IFERROR(__xludf.DUMMYFUNCTION("""COMPUTED_VALUE"""),"Mochammad Fadhillah Hakim,")</f>
        <v>Mochammad Fadhillah Hakim,</v>
      </c>
      <c r="N5052" s="6" t="str">
        <f>IFERROR(__xludf.DUMMYFUNCTION("""COMPUTED_VALUE"""),"FIP Engineering")</f>
        <v>FIP Engineering</v>
      </c>
      <c r="O5052" s="6" t="str">
        <f>IFERROR(__xludf.DUMMYFUNCTION("""COMPUTED_VALUE"""),"FIP-DOM-000-11304-OS00001-INA-000000")</f>
        <v>FIP-DOM-000-11304-OS00001-INA-000000</v>
      </c>
      <c r="P5052" s="6" t="str">
        <f>IFERROR(__xludf.DUMMYFUNCTION("""COMPUTED_VALUE"""),"PO Closed")</f>
        <v>PO Closed</v>
      </c>
      <c r="Q5052" s="6" t="str">
        <f>IFERROR(__xludf.DUMMYFUNCTION("""COMPUTED_VALUE"""),"GL2603055")</f>
        <v>GL2603055</v>
      </c>
      <c r="R5052" s="57">
        <f>IFERROR(__xludf.DUMMYFUNCTION("""COMPUTED_VALUE"""),46090.0)</f>
        <v>46090</v>
      </c>
      <c r="S5052" s="57">
        <f>IFERROR(__xludf.DUMMYFUNCTION("""COMPUTED_VALUE"""),46090.0)</f>
        <v>46090</v>
      </c>
      <c r="T5052" s="57">
        <f>IFERROR(__xludf.DUMMYFUNCTION("""COMPUTED_VALUE"""),46122.0)</f>
        <v>46122</v>
      </c>
    </row>
    <row r="5053">
      <c r="A5053" s="6" t="str">
        <f>IFERROR(__xludf.DUMMYFUNCTION("""COMPUTED_VALUE"""),"121704003-1")</f>
        <v>121704003-1</v>
      </c>
      <c r="B5053" s="6" t="str">
        <f>IFERROR(__xludf.DUMMYFUNCTION("""COMPUTED_VALUE"""),"121704003 - APPROVED")</f>
        <v>121704003 - APPROVED</v>
      </c>
      <c r="C5053" s="6">
        <f>IFERROR(__xludf.DUMMYFUNCTION("""COMPUTED_VALUE"""),1.0)</f>
        <v>1</v>
      </c>
      <c r="D5053" s="6" t="str">
        <f>IFERROR(__xludf.DUMMYFUNCTION("""COMPUTED_VALUE"""),"T-26629-00")</f>
        <v>T-26629-00</v>
      </c>
      <c r="E5053" s="6" t="str">
        <f>IFERROR(__xludf.DUMMYFUNCTION("""COMPUTED_VALUE"""),"Engine, Heater/Cooler; Waters; 700002139; piece")</f>
        <v>Engine, Heater/Cooler; Waters; 700002139; piece</v>
      </c>
      <c r="F5053" s="6">
        <f>IFERROR(__xludf.DUMMYFUNCTION("""COMPUTED_VALUE"""),1.0)</f>
        <v>1</v>
      </c>
      <c r="G5053" s="6" t="str">
        <f>IFERROR(__xludf.DUMMYFUNCTION("""COMPUTED_VALUE"""),"Pieces")</f>
        <v>Pieces</v>
      </c>
      <c r="H5053" s="6" t="str">
        <f>IFERROR(__xludf.DUMMYFUNCTION("""COMPUTED_VALUE"""),"IDR")</f>
        <v>IDR</v>
      </c>
      <c r="I5053" s="6">
        <f>IFERROR(__xludf.DUMMYFUNCTION("""COMPUTED_VALUE"""),1.67E7)</f>
        <v>16700000</v>
      </c>
      <c r="J5053" s="6">
        <f>IFERROR(__xludf.DUMMYFUNCTION("""COMPUTED_VALUE"""),1.67E7)</f>
        <v>16700000</v>
      </c>
      <c r="K5053" s="57">
        <f>IFERROR(__xludf.DUMMYFUNCTION("""COMPUTED_VALUE"""),46122.0)</f>
        <v>46122</v>
      </c>
      <c r="L5053" s="6" t="str">
        <f>IFERROR(__xludf.DUMMYFUNCTION("""COMPUTED_VALUE"""),"FIP General")</f>
        <v>FIP General</v>
      </c>
      <c r="M5053" s="6" t="str">
        <f>IFERROR(__xludf.DUMMYFUNCTION("""COMPUTED_VALUE"""),"Mochammad Fadhillah Hakim,")</f>
        <v>Mochammad Fadhillah Hakim,</v>
      </c>
      <c r="N5053" s="6" t="str">
        <f>IFERROR(__xludf.DUMMYFUNCTION("""COMPUTED_VALUE"""),"FIP Engineering")</f>
        <v>FIP Engineering</v>
      </c>
      <c r="O5053" s="6" t="str">
        <f>IFERROR(__xludf.DUMMYFUNCTION("""COMPUTED_VALUE"""),"FIP-DOM-ENG-51505-0000000-INA-000000")</f>
        <v>FIP-DOM-ENG-51505-0000000-INA-000000</v>
      </c>
      <c r="P5053" s="6" t="str">
        <f>IFERROR(__xludf.DUMMYFUNCTION("""COMPUTED_VALUE"""),"PO Closed")</f>
        <v>PO Closed</v>
      </c>
      <c r="Q5053" s="6" t="str">
        <f>IFERROR(__xludf.DUMMYFUNCTION("""COMPUTED_VALUE"""),"GL2603470")</f>
        <v>GL2603470</v>
      </c>
      <c r="R5053" s="57">
        <f>IFERROR(__xludf.DUMMYFUNCTION("""COMPUTED_VALUE"""),46090.0)</f>
        <v>46090</v>
      </c>
      <c r="S5053" s="57">
        <f>IFERROR(__xludf.DUMMYFUNCTION("""COMPUTED_VALUE"""),46090.0)</f>
        <v>46090</v>
      </c>
      <c r="T5053" s="57">
        <f>IFERROR(__xludf.DUMMYFUNCTION("""COMPUTED_VALUE"""),46122.0)</f>
        <v>46122</v>
      </c>
    </row>
    <row r="5054">
      <c r="A5054" s="6" t="str">
        <f>IFERROR(__xludf.DUMMYFUNCTION("""COMPUTED_VALUE"""),"121704004-1")</f>
        <v>121704004-1</v>
      </c>
      <c r="B5054" s="6" t="str">
        <f>IFERROR(__xludf.DUMMYFUNCTION("""COMPUTED_VALUE"""),"121704004 - APPROVED")</f>
        <v>121704004 - APPROVED</v>
      </c>
      <c r="C5054" s="6">
        <f>IFERROR(__xludf.DUMMYFUNCTION("""COMPUTED_VALUE"""),1.0)</f>
        <v>1</v>
      </c>
      <c r="D5054" s="6" t="str">
        <f>IFERROR(__xludf.DUMMYFUNCTION("""COMPUTED_VALUE"""),"P-20557-00")</f>
        <v>P-20557-00</v>
      </c>
      <c r="E5054" s="6" t="str">
        <f>IFERROR(__xludf.DUMMYFUNCTION("""COMPUTED_VALUE"""),"General - Reducer Ducting BJLS 6.4 x 3inch; No Brand; -; 1 pc")</f>
        <v>General - Reducer Ducting BJLS 6.4 x 3inch; No Brand; -; 1 pc</v>
      </c>
      <c r="F5054" s="6">
        <f>IFERROR(__xludf.DUMMYFUNCTION("""COMPUTED_VALUE"""),2.0)</f>
        <v>2</v>
      </c>
      <c r="G5054" s="6" t="str">
        <f>IFERROR(__xludf.DUMMYFUNCTION("""COMPUTED_VALUE"""),"Pieces")</f>
        <v>Pieces</v>
      </c>
      <c r="H5054" s="6" t="str">
        <f>IFERROR(__xludf.DUMMYFUNCTION("""COMPUTED_VALUE"""),"IDR")</f>
        <v>IDR</v>
      </c>
      <c r="I5054" s="6">
        <f>IFERROR(__xludf.DUMMYFUNCTION("""COMPUTED_VALUE"""),250000.0)</f>
        <v>250000</v>
      </c>
      <c r="J5054" s="6">
        <f>IFERROR(__xludf.DUMMYFUNCTION("""COMPUTED_VALUE"""),500000.0)</f>
        <v>500000</v>
      </c>
      <c r="K5054" s="57">
        <f>IFERROR(__xludf.DUMMYFUNCTION("""COMPUTED_VALUE"""),46122.0)</f>
        <v>46122</v>
      </c>
      <c r="L5054" s="6" t="str">
        <f>IFERROR(__xludf.DUMMYFUNCTION("""COMPUTED_VALUE"""),"FIP Engineering")</f>
        <v>FIP Engineering</v>
      </c>
      <c r="M5054" s="6" t="str">
        <f>IFERROR(__xludf.DUMMYFUNCTION("""COMPUTED_VALUE"""),"Mochammad Fadhillah Hakim,")</f>
        <v>Mochammad Fadhillah Hakim,</v>
      </c>
      <c r="N5054" s="6" t="str">
        <f>IFERROR(__xludf.DUMMYFUNCTION("""COMPUTED_VALUE"""),"FIP Engineering")</f>
        <v>FIP Engineering</v>
      </c>
      <c r="O5054" s="6" t="str">
        <f>IFERROR(__xludf.DUMMYFUNCTION("""COMPUTED_VALUE"""),"FIP-DOM-000-11304-OS00001-INA-000000")</f>
        <v>FIP-DOM-000-11304-OS00001-INA-000000</v>
      </c>
      <c r="P5054" s="6" t="str">
        <f>IFERROR(__xludf.DUMMYFUNCTION("""COMPUTED_VALUE"""),"PO Closed")</f>
        <v>PO Closed</v>
      </c>
      <c r="Q5054" s="6" t="str">
        <f>IFERROR(__xludf.DUMMYFUNCTION("""COMPUTED_VALUE"""),"GL2604492")</f>
        <v>GL2604492</v>
      </c>
      <c r="R5054" s="57">
        <f>IFERROR(__xludf.DUMMYFUNCTION("""COMPUTED_VALUE"""),46090.0)</f>
        <v>46090</v>
      </c>
      <c r="S5054" s="57">
        <f>IFERROR(__xludf.DUMMYFUNCTION("""COMPUTED_VALUE"""),46090.0)</f>
        <v>46090</v>
      </c>
      <c r="T5054" s="57">
        <f>IFERROR(__xludf.DUMMYFUNCTION("""COMPUTED_VALUE"""),46142.0)</f>
        <v>46142</v>
      </c>
    </row>
    <row r="5055">
      <c r="A5055" s="6" t="str">
        <f>IFERROR(__xludf.DUMMYFUNCTION("""COMPUTED_VALUE"""),"121704004-2")</f>
        <v>121704004-2</v>
      </c>
      <c r="B5055" s="6" t="str">
        <f>IFERROR(__xludf.DUMMYFUNCTION("""COMPUTED_VALUE"""),"121704004 - APPROVED")</f>
        <v>121704004 - APPROVED</v>
      </c>
      <c r="C5055" s="6">
        <f>IFERROR(__xludf.DUMMYFUNCTION("""COMPUTED_VALUE"""),2.0)</f>
        <v>2</v>
      </c>
      <c r="D5055" s="6" t="str">
        <f>IFERROR(__xludf.DUMMYFUNCTION("""COMPUTED_VALUE"""),"P-20574-00")</f>
        <v>P-20574-00</v>
      </c>
      <c r="E5055" s="6" t="str">
        <f>IFERROR(__xludf.DUMMYFUNCTION("""COMPUTED_VALUE"""),"General - Rivet Nut M10 SS304; Lokal; -; 1 pc")</f>
        <v>General - Rivet Nut M10 SS304; Lokal; -; 1 pc</v>
      </c>
      <c r="F5055" s="6">
        <f>IFERROR(__xludf.DUMMYFUNCTION("""COMPUTED_VALUE"""),100.0)</f>
        <v>100</v>
      </c>
      <c r="G5055" s="6" t="str">
        <f>IFERROR(__xludf.DUMMYFUNCTION("""COMPUTED_VALUE"""),"Pieces")</f>
        <v>Pieces</v>
      </c>
      <c r="H5055" s="6" t="str">
        <f>IFERROR(__xludf.DUMMYFUNCTION("""COMPUTED_VALUE"""),"IDR")</f>
        <v>IDR</v>
      </c>
      <c r="I5055" s="6">
        <f>IFERROR(__xludf.DUMMYFUNCTION("""COMPUTED_VALUE"""),6000.0)</f>
        <v>6000</v>
      </c>
      <c r="J5055" s="6">
        <f>IFERROR(__xludf.DUMMYFUNCTION("""COMPUTED_VALUE"""),600000.0)</f>
        <v>600000</v>
      </c>
      <c r="K5055" s="57">
        <f>IFERROR(__xludf.DUMMYFUNCTION("""COMPUTED_VALUE"""),46122.0)</f>
        <v>46122</v>
      </c>
      <c r="L5055" s="6" t="str">
        <f>IFERROR(__xludf.DUMMYFUNCTION("""COMPUTED_VALUE"""),"FIP Engineering")</f>
        <v>FIP Engineering</v>
      </c>
      <c r="M5055" s="6" t="str">
        <f>IFERROR(__xludf.DUMMYFUNCTION("""COMPUTED_VALUE"""),"Mochammad Fadhillah Hakim,")</f>
        <v>Mochammad Fadhillah Hakim,</v>
      </c>
      <c r="N5055" s="6" t="str">
        <f>IFERROR(__xludf.DUMMYFUNCTION("""COMPUTED_VALUE"""),"FIP Engineering")</f>
        <v>FIP Engineering</v>
      </c>
      <c r="O5055" s="6" t="str">
        <f>IFERROR(__xludf.DUMMYFUNCTION("""COMPUTED_VALUE"""),"FIP-DOM-000-11304-OS00001-INA-000000")</f>
        <v>FIP-DOM-000-11304-OS00001-INA-000000</v>
      </c>
      <c r="P5055" s="6" t="str">
        <f>IFERROR(__xludf.DUMMYFUNCTION("""COMPUTED_VALUE"""),"PO Closed")</f>
        <v>PO Closed</v>
      </c>
      <c r="Q5055" s="6" t="str">
        <f>IFERROR(__xludf.DUMMYFUNCTION("""COMPUTED_VALUE"""),"GL2604490")</f>
        <v>GL2604490</v>
      </c>
      <c r="R5055" s="57">
        <f>IFERROR(__xludf.DUMMYFUNCTION("""COMPUTED_VALUE"""),46090.0)</f>
        <v>46090</v>
      </c>
      <c r="S5055" s="57">
        <f>IFERROR(__xludf.DUMMYFUNCTION("""COMPUTED_VALUE"""),46090.0)</f>
        <v>46090</v>
      </c>
      <c r="T5055" s="57">
        <f>IFERROR(__xludf.DUMMYFUNCTION("""COMPUTED_VALUE"""),46122.0)</f>
        <v>46122</v>
      </c>
    </row>
    <row r="5056">
      <c r="A5056" s="6" t="str">
        <f>IFERROR(__xludf.DUMMYFUNCTION("""COMPUTED_VALUE"""),"121704004-3")</f>
        <v>121704004-3</v>
      </c>
      <c r="B5056" s="6" t="str">
        <f>IFERROR(__xludf.DUMMYFUNCTION("""COMPUTED_VALUE"""),"121704004 - APPROVED")</f>
        <v>121704004 - APPROVED</v>
      </c>
      <c r="C5056" s="6">
        <f>IFERROR(__xludf.DUMMYFUNCTION("""COMPUTED_VALUE"""),3.0)</f>
        <v>3</v>
      </c>
      <c r="D5056" s="6" t="str">
        <f>IFERROR(__xludf.DUMMYFUNCTION("""COMPUTED_VALUE"""),"P-54550-00")</f>
        <v>P-54550-00</v>
      </c>
      <c r="E5056" s="6" t="str">
        <f>IFERROR(__xludf.DUMMYFUNCTION("""COMPUTED_VALUE"""),"General - Inline Fan Duct Size 6,4 Inch 755CMH; CKE; CI CDI160AZ; 1 pc")</f>
        <v>General - Inline Fan Duct Size 6,4 Inch 755CMH; CKE; CI CDI160AZ; 1 pc</v>
      </c>
      <c r="F5056" s="6">
        <f>IFERROR(__xludf.DUMMYFUNCTION("""COMPUTED_VALUE"""),1.0)</f>
        <v>1</v>
      </c>
      <c r="G5056" s="6" t="str">
        <f>IFERROR(__xludf.DUMMYFUNCTION("""COMPUTED_VALUE"""),"Pieces")</f>
        <v>Pieces</v>
      </c>
      <c r="H5056" s="6" t="str">
        <f>IFERROR(__xludf.DUMMYFUNCTION("""COMPUTED_VALUE"""),"IDR")</f>
        <v>IDR</v>
      </c>
      <c r="I5056" s="6">
        <f>IFERROR(__xludf.DUMMYFUNCTION("""COMPUTED_VALUE"""),1170000.0)</f>
        <v>1170000</v>
      </c>
      <c r="J5056" s="6">
        <f>IFERROR(__xludf.DUMMYFUNCTION("""COMPUTED_VALUE"""),1170000.0)</f>
        <v>1170000</v>
      </c>
      <c r="K5056" s="57">
        <f>IFERROR(__xludf.DUMMYFUNCTION("""COMPUTED_VALUE"""),46122.0)</f>
        <v>46122</v>
      </c>
      <c r="L5056" s="6" t="str">
        <f>IFERROR(__xludf.DUMMYFUNCTION("""COMPUTED_VALUE"""),"FIP Engineering")</f>
        <v>FIP Engineering</v>
      </c>
      <c r="M5056" s="6" t="str">
        <f>IFERROR(__xludf.DUMMYFUNCTION("""COMPUTED_VALUE"""),"Mochammad Fadhillah Hakim,")</f>
        <v>Mochammad Fadhillah Hakim,</v>
      </c>
      <c r="N5056" s="6" t="str">
        <f>IFERROR(__xludf.DUMMYFUNCTION("""COMPUTED_VALUE"""),"FIP Engineering")</f>
        <v>FIP Engineering</v>
      </c>
      <c r="O5056" s="6" t="str">
        <f>IFERROR(__xludf.DUMMYFUNCTION("""COMPUTED_VALUE"""),"FIP-DOM-000-11304-OS00001-INA-000000")</f>
        <v>FIP-DOM-000-11304-OS00001-INA-000000</v>
      </c>
      <c r="P5056" s="6" t="str">
        <f>IFERROR(__xludf.DUMMYFUNCTION("""COMPUTED_VALUE"""),"PO Closed")</f>
        <v>PO Closed</v>
      </c>
      <c r="Q5056" s="6" t="str">
        <f>IFERROR(__xludf.DUMMYFUNCTION("""COMPUTED_VALUE"""),"GL2604492")</f>
        <v>GL2604492</v>
      </c>
      <c r="R5056" s="57">
        <f>IFERROR(__xludf.DUMMYFUNCTION("""COMPUTED_VALUE"""),46090.0)</f>
        <v>46090</v>
      </c>
      <c r="S5056" s="57">
        <f>IFERROR(__xludf.DUMMYFUNCTION("""COMPUTED_VALUE"""),46090.0)</f>
        <v>46090</v>
      </c>
      <c r="T5056" s="57">
        <f>IFERROR(__xludf.DUMMYFUNCTION("""COMPUTED_VALUE"""),46142.0)</f>
        <v>46142</v>
      </c>
    </row>
    <row r="5057">
      <c r="A5057" s="6" t="str">
        <f>IFERROR(__xludf.DUMMYFUNCTION("""COMPUTED_VALUE"""),"121704004-4")</f>
        <v>121704004-4</v>
      </c>
      <c r="B5057" s="6" t="str">
        <f>IFERROR(__xludf.DUMMYFUNCTION("""COMPUTED_VALUE"""),"121704004 - APPROVED")</f>
        <v>121704004 - APPROVED</v>
      </c>
      <c r="C5057" s="6">
        <f>IFERROR(__xludf.DUMMYFUNCTION("""COMPUTED_VALUE"""),4.0)</f>
        <v>4</v>
      </c>
      <c r="D5057" s="6" t="str">
        <f>IFERROR(__xludf.DUMMYFUNCTION("""COMPUTED_VALUE"""),"P-53149-00")</f>
        <v>P-53149-00</v>
      </c>
      <c r="E5057" s="6" t="str">
        <f>IFERROR(__xludf.DUMMYFUNCTION("""COMPUTED_VALUE"""),"General - Kabel NYAF 3 x 2.5mm; Jembo; -; 1 meter")</f>
        <v>General - Kabel NYAF 3 x 2.5mm; Jembo; -; 1 meter</v>
      </c>
      <c r="F5057" s="6">
        <f>IFERROR(__xludf.DUMMYFUNCTION("""COMPUTED_VALUE"""),100.0)</f>
        <v>100</v>
      </c>
      <c r="G5057" s="6" t="str">
        <f>IFERROR(__xludf.DUMMYFUNCTION("""COMPUTED_VALUE"""),"Meter")</f>
        <v>Meter</v>
      </c>
      <c r="H5057" s="6" t="str">
        <f>IFERROR(__xludf.DUMMYFUNCTION("""COMPUTED_VALUE"""),"IDR")</f>
        <v>IDR</v>
      </c>
      <c r="I5057" s="6">
        <f>IFERROR(__xludf.DUMMYFUNCTION("""COMPUTED_VALUE"""),30000.0)</f>
        <v>30000</v>
      </c>
      <c r="J5057" s="6">
        <f>IFERROR(__xludf.DUMMYFUNCTION("""COMPUTED_VALUE"""),3000000.0)</f>
        <v>3000000</v>
      </c>
      <c r="K5057" s="57">
        <f>IFERROR(__xludf.DUMMYFUNCTION("""COMPUTED_VALUE"""),46122.0)</f>
        <v>46122</v>
      </c>
      <c r="L5057" s="6" t="str">
        <f>IFERROR(__xludf.DUMMYFUNCTION("""COMPUTED_VALUE"""),"FIP Engineering")</f>
        <v>FIP Engineering</v>
      </c>
      <c r="M5057" s="6" t="str">
        <f>IFERROR(__xludf.DUMMYFUNCTION("""COMPUTED_VALUE"""),"Mochammad Fadhillah Hakim,")</f>
        <v>Mochammad Fadhillah Hakim,</v>
      </c>
      <c r="N5057" s="6" t="str">
        <f>IFERROR(__xludf.DUMMYFUNCTION("""COMPUTED_VALUE"""),"FIP Engineering")</f>
        <v>FIP Engineering</v>
      </c>
      <c r="O5057" s="6" t="str">
        <f>IFERROR(__xludf.DUMMYFUNCTION("""COMPUTED_VALUE"""),"FIP-DOM-000-11304-OS00001-INA-000000")</f>
        <v>FIP-DOM-000-11304-OS00001-INA-000000</v>
      </c>
      <c r="P5057" s="6" t="str">
        <f>IFERROR(__xludf.DUMMYFUNCTION("""COMPUTED_VALUE"""),"PO Closed")</f>
        <v>PO Closed</v>
      </c>
      <c r="Q5057" s="6" t="str">
        <f>IFERROR(__xludf.DUMMYFUNCTION("""COMPUTED_VALUE"""),"GL2603475")</f>
        <v>GL2603475</v>
      </c>
      <c r="R5057" s="57">
        <f>IFERROR(__xludf.DUMMYFUNCTION("""COMPUTED_VALUE"""),46090.0)</f>
        <v>46090</v>
      </c>
      <c r="S5057" s="57">
        <f>IFERROR(__xludf.DUMMYFUNCTION("""COMPUTED_VALUE"""),46090.0)</f>
        <v>46090</v>
      </c>
      <c r="T5057" s="57">
        <f>IFERROR(__xludf.DUMMYFUNCTION("""COMPUTED_VALUE"""),46117.0)</f>
        <v>46117</v>
      </c>
    </row>
    <row r="5058">
      <c r="A5058" s="6" t="str">
        <f>IFERROR(__xludf.DUMMYFUNCTION("""COMPUTED_VALUE"""),"121704005-1")</f>
        <v>121704005-1</v>
      </c>
      <c r="B5058" s="6" t="str">
        <f>IFERROR(__xludf.DUMMYFUNCTION("""COMPUTED_VALUE"""),"121704005 - APPROVED")</f>
        <v>121704005 - APPROVED</v>
      </c>
      <c r="C5058" s="6">
        <f>IFERROR(__xludf.DUMMYFUNCTION("""COMPUTED_VALUE"""),1.0)</f>
        <v>1</v>
      </c>
      <c r="D5058" s="6" t="str">
        <f>IFERROR(__xludf.DUMMYFUNCTION("""COMPUTED_VALUE"""),"R-71002-00")</f>
        <v>R-71002-00</v>
      </c>
      <c r="E5058" s="6" t="str">
        <f>IFERROR(__xludf.DUMMYFUNCTION("""COMPUTED_VALUE"""),"Renovation - Pembuatan Safety Roof")</f>
        <v>Renovation - Pembuatan Safety Roof</v>
      </c>
      <c r="F5058" s="6">
        <f>IFERROR(__xludf.DUMMYFUNCTION("""COMPUTED_VALUE"""),1.0)</f>
        <v>1</v>
      </c>
      <c r="G5058" s="6" t="str">
        <f>IFERROR(__xludf.DUMMYFUNCTION("""COMPUTED_VALUE"""),"Unit")</f>
        <v>Unit</v>
      </c>
      <c r="H5058" s="6" t="str">
        <f>IFERROR(__xludf.DUMMYFUNCTION("""COMPUTED_VALUE"""),"IDR")</f>
        <v>IDR</v>
      </c>
      <c r="I5058" s="6">
        <f>IFERROR(__xludf.DUMMYFUNCTION("""COMPUTED_VALUE"""),6.0E7)</f>
        <v>60000000</v>
      </c>
      <c r="J5058" s="6">
        <f>IFERROR(__xludf.DUMMYFUNCTION("""COMPUTED_VALUE"""),6.0E7)</f>
        <v>60000000</v>
      </c>
      <c r="K5058" s="57">
        <f>IFERROR(__xludf.DUMMYFUNCTION("""COMPUTED_VALUE"""),46122.0)</f>
        <v>46122</v>
      </c>
      <c r="L5058" s="6" t="str">
        <f>IFERROR(__xludf.DUMMYFUNCTION("""COMPUTED_VALUE"""),"FIP General")</f>
        <v>FIP General</v>
      </c>
      <c r="M5058" s="6" t="str">
        <f>IFERROR(__xludf.DUMMYFUNCTION("""COMPUTED_VALUE"""),"Mochammad Fadhillah Hakim,")</f>
        <v>Mochammad Fadhillah Hakim,</v>
      </c>
      <c r="N5058" s="6" t="str">
        <f>IFERROR(__xludf.DUMMYFUNCTION("""COMPUTED_VALUE"""),"FIP Engineering")</f>
        <v>FIP Engineering</v>
      </c>
      <c r="O5058" s="6" t="str">
        <f>IFERROR(__xludf.DUMMYFUNCTION("""COMPUTED_VALUE"""),"FIP-DOM-ENG-13402-BL26002-INA-000000")</f>
        <v>FIP-DOM-ENG-13402-BL26002-INA-000000</v>
      </c>
      <c r="P5058" s="6" t="str">
        <f>IFERROR(__xludf.DUMMYFUNCTION("""COMPUTED_VALUE"""),"PO Closed")</f>
        <v>PO Closed</v>
      </c>
      <c r="Q5058" s="6"/>
      <c r="R5058" s="57">
        <f>IFERROR(__xludf.DUMMYFUNCTION("""COMPUTED_VALUE"""),46090.0)</f>
        <v>46090</v>
      </c>
      <c r="S5058" s="57">
        <f>IFERROR(__xludf.DUMMYFUNCTION("""COMPUTED_VALUE"""),46091.0)</f>
        <v>46091</v>
      </c>
      <c r="T5058" s="6"/>
    </row>
    <row r="5059">
      <c r="A5059" s="6" t="str">
        <f>IFERROR(__xludf.DUMMYFUNCTION("""COMPUTED_VALUE"""),"121704007-1")</f>
        <v>121704007-1</v>
      </c>
      <c r="B5059" s="6" t="str">
        <f>IFERROR(__xludf.DUMMYFUNCTION("""COMPUTED_VALUE"""),"121704007 - APPROVED")</f>
        <v>121704007 - APPROVED</v>
      </c>
      <c r="C5059" s="6">
        <f>IFERROR(__xludf.DUMMYFUNCTION("""COMPUTED_VALUE"""),1.0)</f>
        <v>1</v>
      </c>
      <c r="D5059" s="6" t="str">
        <f>IFERROR(__xludf.DUMMYFUNCTION("""COMPUTED_VALUE"""),"P-54577-00")</f>
        <v>P-54577-00</v>
      </c>
      <c r="E5059" s="6" t="str">
        <f>IFERROR(__xludf.DUMMYFUNCTION("""COMPUTED_VALUE"""),"General - Lampu Neon LED Silinder II T5 16W Putih; Hannochs; -; 1 pc")</f>
        <v>General - Lampu Neon LED Silinder II T5 16W Putih; Hannochs; -; 1 pc</v>
      </c>
      <c r="F5059" s="6">
        <f>IFERROR(__xludf.DUMMYFUNCTION("""COMPUTED_VALUE"""),100.0)</f>
        <v>100</v>
      </c>
      <c r="G5059" s="6" t="str">
        <f>IFERROR(__xludf.DUMMYFUNCTION("""COMPUTED_VALUE"""),"Pieces")</f>
        <v>Pieces</v>
      </c>
      <c r="H5059" s="6" t="str">
        <f>IFERROR(__xludf.DUMMYFUNCTION("""COMPUTED_VALUE"""),"IDR")</f>
        <v>IDR</v>
      </c>
      <c r="I5059" s="6">
        <f>IFERROR(__xludf.DUMMYFUNCTION("""COMPUTED_VALUE"""),96000.0)</f>
        <v>96000</v>
      </c>
      <c r="J5059" s="6">
        <f>IFERROR(__xludf.DUMMYFUNCTION("""COMPUTED_VALUE"""),9600000.0)</f>
        <v>9600000</v>
      </c>
      <c r="K5059" s="57">
        <f>IFERROR(__xludf.DUMMYFUNCTION("""COMPUTED_VALUE"""),46129.0)</f>
        <v>46129</v>
      </c>
      <c r="L5059" s="6" t="str">
        <f>IFERROR(__xludf.DUMMYFUNCTION("""COMPUTED_VALUE"""),"FIP Engineering")</f>
        <v>FIP Engineering</v>
      </c>
      <c r="M5059" s="6" t="str">
        <f>IFERROR(__xludf.DUMMYFUNCTION("""COMPUTED_VALUE"""),"Mochammad Fadhillah Hakim,")</f>
        <v>Mochammad Fadhillah Hakim,</v>
      </c>
      <c r="N5059" s="6" t="str">
        <f>IFERROR(__xludf.DUMMYFUNCTION("""COMPUTED_VALUE"""),"FIP Engineering")</f>
        <v>FIP Engineering</v>
      </c>
      <c r="O5059" s="6" t="str">
        <f>IFERROR(__xludf.DUMMYFUNCTION("""COMPUTED_VALUE"""),"FIP-DOM-000-11304-OS00001-INA-000000")</f>
        <v>FIP-DOM-000-11304-OS00001-INA-000000</v>
      </c>
      <c r="P5059" s="6" t="str">
        <f>IFERROR(__xludf.DUMMYFUNCTION("""COMPUTED_VALUE"""),"PO Closed")</f>
        <v>PO Closed</v>
      </c>
      <c r="Q5059" s="6" t="str">
        <f>IFERROR(__xludf.DUMMYFUNCTION("""COMPUTED_VALUE"""),"GL2604492")</f>
        <v>GL2604492</v>
      </c>
      <c r="R5059" s="57">
        <f>IFERROR(__xludf.DUMMYFUNCTION("""COMPUTED_VALUE"""),46092.0)</f>
        <v>46092</v>
      </c>
      <c r="S5059" s="57">
        <f>IFERROR(__xludf.DUMMYFUNCTION("""COMPUTED_VALUE"""),46094.0)</f>
        <v>46094</v>
      </c>
      <c r="T5059" s="57">
        <f>IFERROR(__xludf.DUMMYFUNCTION("""COMPUTED_VALUE"""),46142.0)</f>
        <v>46142</v>
      </c>
    </row>
    <row r="5060">
      <c r="A5060" s="6" t="str">
        <f>IFERROR(__xludf.DUMMYFUNCTION("""COMPUTED_VALUE"""),"121704008-1")</f>
        <v>121704008-1</v>
      </c>
      <c r="B5060" s="6" t="str">
        <f>IFERROR(__xludf.DUMMYFUNCTION("""COMPUTED_VALUE"""),"121704008 - APPROVED")</f>
        <v>121704008 - APPROVED</v>
      </c>
      <c r="C5060" s="6">
        <f>IFERROR(__xludf.DUMMYFUNCTION("""COMPUTED_VALUE"""),1.0)</f>
        <v>1</v>
      </c>
      <c r="D5060" s="6" t="str">
        <f>IFERROR(__xludf.DUMMYFUNCTION("""COMPUTED_VALUE"""),"P-20637-00")</f>
        <v>P-20637-00</v>
      </c>
      <c r="E5060" s="6" t="str">
        <f>IFERROR(__xludf.DUMMYFUNCTION("""COMPUTED_VALUE"""),"General - Motorize Valve; Belimo; NMX 120-3; 1 pc")</f>
        <v>General - Motorize Valve; Belimo; NMX 120-3; 1 pc</v>
      </c>
      <c r="F5060" s="6">
        <f>IFERROR(__xludf.DUMMYFUNCTION("""COMPUTED_VALUE"""),2.0)</f>
        <v>2</v>
      </c>
      <c r="G5060" s="6" t="str">
        <f>IFERROR(__xludf.DUMMYFUNCTION("""COMPUTED_VALUE"""),"Pieces")</f>
        <v>Pieces</v>
      </c>
      <c r="H5060" s="6" t="str">
        <f>IFERROR(__xludf.DUMMYFUNCTION("""COMPUTED_VALUE"""),"IDR")</f>
        <v>IDR</v>
      </c>
      <c r="I5060" s="6">
        <f>IFERROR(__xludf.DUMMYFUNCTION("""COMPUTED_VALUE"""),7975000.0)</f>
        <v>7975000</v>
      </c>
      <c r="J5060" s="6">
        <f>IFERROR(__xludf.DUMMYFUNCTION("""COMPUTED_VALUE"""),1.595E7)</f>
        <v>15950000</v>
      </c>
      <c r="K5060" s="57">
        <f>IFERROR(__xludf.DUMMYFUNCTION("""COMPUTED_VALUE"""),46129.0)</f>
        <v>46129</v>
      </c>
      <c r="L5060" s="6" t="str">
        <f>IFERROR(__xludf.DUMMYFUNCTION("""COMPUTED_VALUE"""),"FIP Engineering")</f>
        <v>FIP Engineering</v>
      </c>
      <c r="M5060" s="6" t="str">
        <f>IFERROR(__xludf.DUMMYFUNCTION("""COMPUTED_VALUE"""),"Mochammad Fadhillah Hakim,")</f>
        <v>Mochammad Fadhillah Hakim,</v>
      </c>
      <c r="N5060" s="6" t="str">
        <f>IFERROR(__xludf.DUMMYFUNCTION("""COMPUTED_VALUE"""),"FIP Engineering")</f>
        <v>FIP Engineering</v>
      </c>
      <c r="O5060" s="6" t="str">
        <f>IFERROR(__xludf.DUMMYFUNCTION("""COMPUTED_VALUE"""),"FIP-DOM-000-11304-OS00001-INA-000000")</f>
        <v>FIP-DOM-000-11304-OS00001-INA-000000</v>
      </c>
      <c r="P5060" s="6" t="str">
        <f>IFERROR(__xludf.DUMMYFUNCTION("""COMPUTED_VALUE"""),"PO Closed")</f>
        <v>PO Closed</v>
      </c>
      <c r="Q5060" s="6" t="str">
        <f>IFERROR(__xludf.DUMMYFUNCTION("""COMPUTED_VALUE"""),"GL2605332")</f>
        <v>GL2605332</v>
      </c>
      <c r="R5060" s="57">
        <f>IFERROR(__xludf.DUMMYFUNCTION("""COMPUTED_VALUE"""),46092.0)</f>
        <v>46092</v>
      </c>
      <c r="S5060" s="57">
        <f>IFERROR(__xludf.DUMMYFUNCTION("""COMPUTED_VALUE"""),46094.0)</f>
        <v>46094</v>
      </c>
      <c r="T5060" s="57">
        <f>IFERROR(__xludf.DUMMYFUNCTION("""COMPUTED_VALUE"""),46178.0)</f>
        <v>46178</v>
      </c>
    </row>
    <row r="5061">
      <c r="A5061" s="6" t="str">
        <f>IFERROR(__xludf.DUMMYFUNCTION("""COMPUTED_VALUE"""),"121704009-1")</f>
        <v>121704009-1</v>
      </c>
      <c r="B5061" s="6" t="str">
        <f>IFERROR(__xludf.DUMMYFUNCTION("""COMPUTED_VALUE"""),"121704009 - APPROVED")</f>
        <v>121704009 - APPROVED</v>
      </c>
      <c r="C5061" s="6">
        <f>IFERROR(__xludf.DUMMYFUNCTION("""COMPUTED_VALUE"""),1.0)</f>
        <v>1</v>
      </c>
      <c r="D5061" s="6" t="str">
        <f>IFERROR(__xludf.DUMMYFUNCTION("""COMPUTED_VALUE"""),"P-51321-00")</f>
        <v>P-51321-00</v>
      </c>
      <c r="E5061" s="6" t="str">
        <f>IFERROR(__xludf.DUMMYFUNCTION("""COMPUTED_VALUE"""),"General - Analog Smoke Detector; Nohmi Bosai; FDK38U; 1 pcs")</f>
        <v>General - Analog Smoke Detector; Nohmi Bosai; FDK38U; 1 pcs</v>
      </c>
      <c r="F5061" s="6">
        <f>IFERROR(__xludf.DUMMYFUNCTION("""COMPUTED_VALUE"""),2.0)</f>
        <v>2</v>
      </c>
      <c r="G5061" s="6" t="str">
        <f>IFERROR(__xludf.DUMMYFUNCTION("""COMPUTED_VALUE"""),"Pieces")</f>
        <v>Pieces</v>
      </c>
      <c r="H5061" s="6" t="str">
        <f>IFERROR(__xludf.DUMMYFUNCTION("""COMPUTED_VALUE"""),"IDR")</f>
        <v>IDR</v>
      </c>
      <c r="I5061" s="6">
        <f>IFERROR(__xludf.DUMMYFUNCTION("""COMPUTED_VALUE"""),1500000.0)</f>
        <v>1500000</v>
      </c>
      <c r="J5061" s="6">
        <f>IFERROR(__xludf.DUMMYFUNCTION("""COMPUTED_VALUE"""),3000000.0)</f>
        <v>3000000</v>
      </c>
      <c r="K5061" s="57">
        <f>IFERROR(__xludf.DUMMYFUNCTION("""COMPUTED_VALUE"""),46129.0)</f>
        <v>46129</v>
      </c>
      <c r="L5061" s="6" t="str">
        <f>IFERROR(__xludf.DUMMYFUNCTION("""COMPUTED_VALUE"""),"FIP Engineering")</f>
        <v>FIP Engineering</v>
      </c>
      <c r="M5061" s="6" t="str">
        <f>IFERROR(__xludf.DUMMYFUNCTION("""COMPUTED_VALUE"""),"Mochammad Fadhillah Hakim,")</f>
        <v>Mochammad Fadhillah Hakim,</v>
      </c>
      <c r="N5061" s="6" t="str">
        <f>IFERROR(__xludf.DUMMYFUNCTION("""COMPUTED_VALUE"""),"FIP Engineering")</f>
        <v>FIP Engineering</v>
      </c>
      <c r="O5061" s="6" t="str">
        <f>IFERROR(__xludf.DUMMYFUNCTION("""COMPUTED_VALUE"""),"FIP-DOM-000-11304-OS00001-INA-000000")</f>
        <v>FIP-DOM-000-11304-OS00001-INA-000000</v>
      </c>
      <c r="P5061" s="6" t="str">
        <f>IFERROR(__xludf.DUMMYFUNCTION("""COMPUTED_VALUE"""),"PO Closed")</f>
        <v>PO Closed</v>
      </c>
      <c r="Q5061" s="6" t="str">
        <f>IFERROR(__xludf.DUMMYFUNCTION("""COMPUTED_VALUE"""),"GL2604021")</f>
        <v>GL2604021</v>
      </c>
      <c r="R5061" s="57">
        <f>IFERROR(__xludf.DUMMYFUNCTION("""COMPUTED_VALUE"""),46092.0)</f>
        <v>46092</v>
      </c>
      <c r="S5061" s="57">
        <f>IFERROR(__xludf.DUMMYFUNCTION("""COMPUTED_VALUE"""),46094.0)</f>
        <v>46094</v>
      </c>
      <c r="T5061" s="57">
        <f>IFERROR(__xludf.DUMMYFUNCTION("""COMPUTED_VALUE"""),46147.0)</f>
        <v>46147</v>
      </c>
    </row>
    <row r="5062">
      <c r="A5062" s="6" t="str">
        <f>IFERROR(__xludf.DUMMYFUNCTION("""COMPUTED_VALUE"""),"121704010-1")</f>
        <v>121704010-1</v>
      </c>
      <c r="B5062" s="6" t="str">
        <f>IFERROR(__xludf.DUMMYFUNCTION("""COMPUTED_VALUE"""),"121704010 - APPROVED")</f>
        <v>121704010 - APPROVED</v>
      </c>
      <c r="C5062" s="6">
        <f>IFERROR(__xludf.DUMMYFUNCTION("""COMPUTED_VALUE"""),1.0)</f>
        <v>1</v>
      </c>
      <c r="D5062" s="6" t="str">
        <f>IFERROR(__xludf.DUMMYFUNCTION("""COMPUTED_VALUE"""),"P-20576-00")</f>
        <v>P-20576-00</v>
      </c>
      <c r="E5062" s="6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F5062" s="6">
        <f>IFERROR(__xludf.DUMMYFUNCTION("""COMPUTED_VALUE"""),2.0)</f>
        <v>2</v>
      </c>
      <c r="G5062" s="6" t="str">
        <f>IFERROR(__xludf.DUMMYFUNCTION("""COMPUTED_VALUE"""),"Pieces")</f>
        <v>Pieces</v>
      </c>
      <c r="H5062" s="6" t="str">
        <f>IFERROR(__xludf.DUMMYFUNCTION("""COMPUTED_VALUE"""),"IDR")</f>
        <v>IDR</v>
      </c>
      <c r="I5062" s="6">
        <f>IFERROR(__xludf.DUMMYFUNCTION("""COMPUTED_VALUE"""),475000.0)</f>
        <v>475000</v>
      </c>
      <c r="J5062" s="6">
        <f>IFERROR(__xludf.DUMMYFUNCTION("""COMPUTED_VALUE"""),950000.0)</f>
        <v>950000</v>
      </c>
      <c r="K5062" s="57">
        <f>IFERROR(__xludf.DUMMYFUNCTION("""COMPUTED_VALUE"""),46129.0)</f>
        <v>46129</v>
      </c>
      <c r="L5062" s="6" t="str">
        <f>IFERROR(__xludf.DUMMYFUNCTION("""COMPUTED_VALUE"""),"FIP Engineering")</f>
        <v>FIP Engineering</v>
      </c>
      <c r="M5062" s="6" t="str">
        <f>IFERROR(__xludf.DUMMYFUNCTION("""COMPUTED_VALUE"""),"Mochammad Fadhillah Hakim,")</f>
        <v>Mochammad Fadhillah Hakim,</v>
      </c>
      <c r="N5062" s="6" t="str">
        <f>IFERROR(__xludf.DUMMYFUNCTION("""COMPUTED_VALUE"""),"FIP Engineering")</f>
        <v>FIP Engineering</v>
      </c>
      <c r="O5062" s="6" t="str">
        <f>IFERROR(__xludf.DUMMYFUNCTION("""COMPUTED_VALUE"""),"FIP-DOM-000-11304-OS00001-INA-000000")</f>
        <v>FIP-DOM-000-11304-OS00001-INA-000000</v>
      </c>
      <c r="P5062" s="6" t="str">
        <f>IFERROR(__xludf.DUMMYFUNCTION("""COMPUTED_VALUE"""),"PO Closed")</f>
        <v>PO Closed</v>
      </c>
      <c r="Q5062" s="6" t="str">
        <f>IFERROR(__xludf.DUMMYFUNCTION("""COMPUTED_VALUE"""),"GL2604492")</f>
        <v>GL2604492</v>
      </c>
      <c r="R5062" s="57">
        <f>IFERROR(__xludf.DUMMYFUNCTION("""COMPUTED_VALUE"""),46092.0)</f>
        <v>46092</v>
      </c>
      <c r="S5062" s="57">
        <f>IFERROR(__xludf.DUMMYFUNCTION("""COMPUTED_VALUE"""),46094.0)</f>
        <v>46094</v>
      </c>
      <c r="T5062" s="57">
        <f>IFERROR(__xludf.DUMMYFUNCTION("""COMPUTED_VALUE"""),46142.0)</f>
        <v>46142</v>
      </c>
    </row>
    <row r="5063">
      <c r="A5063" s="6" t="str">
        <f>IFERROR(__xludf.DUMMYFUNCTION("""COMPUTED_VALUE"""),"121704010-2")</f>
        <v>121704010-2</v>
      </c>
      <c r="B5063" s="6" t="str">
        <f>IFERROR(__xludf.DUMMYFUNCTION("""COMPUTED_VALUE"""),"121704010 - APPROVED")</f>
        <v>121704010 - APPROVED</v>
      </c>
      <c r="C5063" s="6">
        <f>IFERROR(__xludf.DUMMYFUNCTION("""COMPUTED_VALUE"""),2.0)</f>
        <v>2</v>
      </c>
      <c r="D5063" s="6" t="str">
        <f>IFERROR(__xludf.DUMMYFUNCTION("""COMPUTED_VALUE"""),"P-20577-00")</f>
        <v>P-20577-00</v>
      </c>
      <c r="E5063" s="6" t="str">
        <f>IFERROR(__xludf.DUMMYFUNCTION("""COMPUTED_VALUE"""),"General - Ball Valve SS316 Fig. 600 UTKM 1/4 Inch 8mm Drat Screw; Kitz; -; 1 pc")</f>
        <v>General - Ball Valve SS316 Fig. 600 UTKM 1/4 Inch 8mm Drat Screw; Kitz; -; 1 pc</v>
      </c>
      <c r="F5063" s="6">
        <f>IFERROR(__xludf.DUMMYFUNCTION("""COMPUTED_VALUE"""),2.0)</f>
        <v>2</v>
      </c>
      <c r="G5063" s="6" t="str">
        <f>IFERROR(__xludf.DUMMYFUNCTION("""COMPUTED_VALUE"""),"Pieces")</f>
        <v>Pieces</v>
      </c>
      <c r="H5063" s="6" t="str">
        <f>IFERROR(__xludf.DUMMYFUNCTION("""COMPUTED_VALUE"""),"IDR")</f>
        <v>IDR</v>
      </c>
      <c r="I5063" s="6">
        <f>IFERROR(__xludf.DUMMYFUNCTION("""COMPUTED_VALUE"""),525000.0)</f>
        <v>525000</v>
      </c>
      <c r="J5063" s="6">
        <f>IFERROR(__xludf.DUMMYFUNCTION("""COMPUTED_VALUE"""),1050000.0)</f>
        <v>1050000</v>
      </c>
      <c r="K5063" s="57">
        <f>IFERROR(__xludf.DUMMYFUNCTION("""COMPUTED_VALUE"""),46129.0)</f>
        <v>46129</v>
      </c>
      <c r="L5063" s="6" t="str">
        <f>IFERROR(__xludf.DUMMYFUNCTION("""COMPUTED_VALUE"""),"FIP Engineering")</f>
        <v>FIP Engineering</v>
      </c>
      <c r="M5063" s="6" t="str">
        <f>IFERROR(__xludf.DUMMYFUNCTION("""COMPUTED_VALUE"""),"Mochammad Fadhillah Hakim,")</f>
        <v>Mochammad Fadhillah Hakim,</v>
      </c>
      <c r="N5063" s="6" t="str">
        <f>IFERROR(__xludf.DUMMYFUNCTION("""COMPUTED_VALUE"""),"FIP Engineering")</f>
        <v>FIP Engineering</v>
      </c>
      <c r="O5063" s="6" t="str">
        <f>IFERROR(__xludf.DUMMYFUNCTION("""COMPUTED_VALUE"""),"FIP-DOM-000-11304-OS00001-INA-000000")</f>
        <v>FIP-DOM-000-11304-OS00001-INA-000000</v>
      </c>
      <c r="P5063" s="6" t="str">
        <f>IFERROR(__xludf.DUMMYFUNCTION("""COMPUTED_VALUE"""),"PO Closed")</f>
        <v>PO Closed</v>
      </c>
      <c r="Q5063" s="6" t="str">
        <f>IFERROR(__xludf.DUMMYFUNCTION("""COMPUTED_VALUE"""),"GL2604492")</f>
        <v>GL2604492</v>
      </c>
      <c r="R5063" s="57">
        <f>IFERROR(__xludf.DUMMYFUNCTION("""COMPUTED_VALUE"""),46092.0)</f>
        <v>46092</v>
      </c>
      <c r="S5063" s="57">
        <f>IFERROR(__xludf.DUMMYFUNCTION("""COMPUTED_VALUE"""),46094.0)</f>
        <v>46094</v>
      </c>
      <c r="T5063" s="57">
        <f>IFERROR(__xludf.DUMMYFUNCTION("""COMPUTED_VALUE"""),46142.0)</f>
        <v>46142</v>
      </c>
    </row>
    <row r="5064">
      <c r="A5064" s="6" t="str">
        <f>IFERROR(__xludf.DUMMYFUNCTION("""COMPUTED_VALUE"""),"121704011-1")</f>
        <v>121704011-1</v>
      </c>
      <c r="B5064" s="6" t="str">
        <f>IFERROR(__xludf.DUMMYFUNCTION("""COMPUTED_VALUE"""),"121704011 - APPROVED")</f>
        <v>121704011 - APPROVED</v>
      </c>
      <c r="C5064" s="6">
        <f>IFERROR(__xludf.DUMMYFUNCTION("""COMPUTED_VALUE"""),1.0)</f>
        <v>1</v>
      </c>
      <c r="D5064" s="6" t="str">
        <f>IFERROR(__xludf.DUMMYFUNCTION("""COMPUTED_VALUE"""),"O-21436-00")</f>
        <v>O-21436-00</v>
      </c>
      <c r="E5064" s="6" t="str">
        <f>IFERROR(__xludf.DUMMYFUNCTION("""COMPUTED_VALUE"""),"General - Roller Chain RS35-1 (Single) 3 meter; -; 0; 1 Pc")</f>
        <v>General - Roller Chain RS35-1 (Single) 3 meter; -; 0; 1 Pc</v>
      </c>
      <c r="F5064" s="6">
        <f>IFERROR(__xludf.DUMMYFUNCTION("""COMPUTED_VALUE"""),1.0)</f>
        <v>1</v>
      </c>
      <c r="G5064" s="6" t="str">
        <f>IFERROR(__xludf.DUMMYFUNCTION("""COMPUTED_VALUE"""),"Pieces")</f>
        <v>Pieces</v>
      </c>
      <c r="H5064" s="6" t="str">
        <f>IFERROR(__xludf.DUMMYFUNCTION("""COMPUTED_VALUE"""),"IDR")</f>
        <v>IDR</v>
      </c>
      <c r="I5064" s="6">
        <f>IFERROR(__xludf.DUMMYFUNCTION("""COMPUTED_VALUE"""),169000.0)</f>
        <v>169000</v>
      </c>
      <c r="J5064" s="6">
        <f>IFERROR(__xludf.DUMMYFUNCTION("""COMPUTED_VALUE"""),169000.0)</f>
        <v>169000</v>
      </c>
      <c r="K5064" s="57">
        <f>IFERROR(__xludf.DUMMYFUNCTION("""COMPUTED_VALUE"""),46129.0)</f>
        <v>46129</v>
      </c>
      <c r="L5064" s="6" t="str">
        <f>IFERROR(__xludf.DUMMYFUNCTION("""COMPUTED_VALUE"""),"FIP Engineering")</f>
        <v>FIP Engineering</v>
      </c>
      <c r="M5064" s="6" t="str">
        <f>IFERROR(__xludf.DUMMYFUNCTION("""COMPUTED_VALUE"""),"Mochammad Fadhillah Hakim,")</f>
        <v>Mochammad Fadhillah Hakim,</v>
      </c>
      <c r="N5064" s="6" t="str">
        <f>IFERROR(__xludf.DUMMYFUNCTION("""COMPUTED_VALUE"""),"FIP Engineering")</f>
        <v>FIP Engineering</v>
      </c>
      <c r="O5064" s="6" t="str">
        <f>IFERROR(__xludf.DUMMYFUNCTION("""COMPUTED_VALUE"""),"FIP-DOM-000-11304-OS00001-INA-000000")</f>
        <v>FIP-DOM-000-11304-OS00001-INA-000000</v>
      </c>
      <c r="P5064" s="6" t="str">
        <f>IFERROR(__xludf.DUMMYFUNCTION("""COMPUTED_VALUE"""),"PO Closed")</f>
        <v>PO Closed</v>
      </c>
      <c r="Q5064" s="6" t="str">
        <f>IFERROR(__xludf.DUMMYFUNCTION("""COMPUTED_VALUE"""),"GL2604487")</f>
        <v>GL2604487</v>
      </c>
      <c r="R5064" s="57">
        <f>IFERROR(__xludf.DUMMYFUNCTION("""COMPUTED_VALUE"""),46092.0)</f>
        <v>46092</v>
      </c>
      <c r="S5064" s="57">
        <f>IFERROR(__xludf.DUMMYFUNCTION("""COMPUTED_VALUE"""),46094.0)</f>
        <v>46094</v>
      </c>
      <c r="T5064" s="57">
        <f>IFERROR(__xludf.DUMMYFUNCTION("""COMPUTED_VALUE"""),46152.0)</f>
        <v>46152</v>
      </c>
    </row>
    <row r="5065">
      <c r="A5065" s="6" t="str">
        <f>IFERROR(__xludf.DUMMYFUNCTION("""COMPUTED_VALUE"""),"121704012-1")</f>
        <v>121704012-1</v>
      </c>
      <c r="B5065" s="6" t="str">
        <f>IFERROR(__xludf.DUMMYFUNCTION("""COMPUTED_VALUE"""),"121704012 - APPROVED")</f>
        <v>121704012 - APPROVED</v>
      </c>
      <c r="C5065" s="6">
        <f>IFERROR(__xludf.DUMMYFUNCTION("""COMPUTED_VALUE"""),1.0)</f>
        <v>1</v>
      </c>
      <c r="D5065" s="6" t="str">
        <f>IFERROR(__xludf.DUMMYFUNCTION("""COMPUTED_VALUE"""),"P-53357-00")</f>
        <v>P-53357-00</v>
      </c>
      <c r="E5065" s="6" t="str">
        <f>IFERROR(__xludf.DUMMYFUNCTION("""COMPUTED_VALUE"""),"General - Battery Kering / Accu MF N100 12V 100Ah; GS Astra; 95E41R; 1 unit")</f>
        <v>General - Battery Kering / Accu MF N100 12V 100Ah; GS Astra; 95E41R; 1 unit</v>
      </c>
      <c r="F5065" s="6">
        <f>IFERROR(__xludf.DUMMYFUNCTION("""COMPUTED_VALUE"""),2.0)</f>
        <v>2</v>
      </c>
      <c r="G5065" s="6" t="str">
        <f>IFERROR(__xludf.DUMMYFUNCTION("""COMPUTED_VALUE"""),"Unit")</f>
        <v>Unit</v>
      </c>
      <c r="H5065" s="6" t="str">
        <f>IFERROR(__xludf.DUMMYFUNCTION("""COMPUTED_VALUE"""),"IDR")</f>
        <v>IDR</v>
      </c>
      <c r="I5065" s="6">
        <f>IFERROR(__xludf.DUMMYFUNCTION("""COMPUTED_VALUE"""),2400000.0)</f>
        <v>2400000</v>
      </c>
      <c r="J5065" s="6">
        <f>IFERROR(__xludf.DUMMYFUNCTION("""COMPUTED_VALUE"""),4800000.0)</f>
        <v>4800000</v>
      </c>
      <c r="K5065" s="57">
        <f>IFERROR(__xludf.DUMMYFUNCTION("""COMPUTED_VALUE"""),46129.0)</f>
        <v>46129</v>
      </c>
      <c r="L5065" s="6" t="str">
        <f>IFERROR(__xludf.DUMMYFUNCTION("""COMPUTED_VALUE"""),"FIP Engineering")</f>
        <v>FIP Engineering</v>
      </c>
      <c r="M5065" s="6" t="str">
        <f>IFERROR(__xludf.DUMMYFUNCTION("""COMPUTED_VALUE"""),"Mochammad Fadhillah Hakim,")</f>
        <v>Mochammad Fadhillah Hakim,</v>
      </c>
      <c r="N5065" s="6" t="str">
        <f>IFERROR(__xludf.DUMMYFUNCTION("""COMPUTED_VALUE"""),"FIP Engineering")</f>
        <v>FIP Engineering</v>
      </c>
      <c r="O5065" s="6" t="str">
        <f>IFERROR(__xludf.DUMMYFUNCTION("""COMPUTED_VALUE"""),"FIP-DOM-000-11304-OS00001-INA-000000")</f>
        <v>FIP-DOM-000-11304-OS00001-INA-000000</v>
      </c>
      <c r="P5065" s="6" t="str">
        <f>IFERROR(__xludf.DUMMYFUNCTION("""COMPUTED_VALUE"""),"PO Closed")</f>
        <v>PO Closed</v>
      </c>
      <c r="Q5065" s="6" t="str">
        <f>IFERROR(__xludf.DUMMYFUNCTION("""COMPUTED_VALUE"""),"GL2604497")</f>
        <v>GL2604497</v>
      </c>
      <c r="R5065" s="57">
        <f>IFERROR(__xludf.DUMMYFUNCTION("""COMPUTED_VALUE"""),46092.0)</f>
        <v>46092</v>
      </c>
      <c r="S5065" s="57">
        <f>IFERROR(__xludf.DUMMYFUNCTION("""COMPUTED_VALUE"""),46094.0)</f>
        <v>46094</v>
      </c>
      <c r="T5065" s="57">
        <f>IFERROR(__xludf.DUMMYFUNCTION("""COMPUTED_VALUE"""),46137.0)</f>
        <v>46137</v>
      </c>
    </row>
    <row r="5066">
      <c r="A5066" s="6" t="str">
        <f>IFERROR(__xludf.DUMMYFUNCTION("""COMPUTED_VALUE"""),"121704013-1")</f>
        <v>121704013-1</v>
      </c>
      <c r="B5066" s="6" t="str">
        <f>IFERROR(__xludf.DUMMYFUNCTION("""COMPUTED_VALUE"""),"121704013 - APPROVED")</f>
        <v>121704013 - APPROVED</v>
      </c>
      <c r="C5066" s="6">
        <f>IFERROR(__xludf.DUMMYFUNCTION("""COMPUTED_VALUE"""),1.0)</f>
        <v>1</v>
      </c>
      <c r="D5066" s="6" t="str">
        <f>IFERROR(__xludf.DUMMYFUNCTION("""COMPUTED_VALUE"""),"Q-10563-00")</f>
        <v>Q-10563-00</v>
      </c>
      <c r="E5066" s="6" t="str">
        <f>IFERROR(__xludf.DUMMYFUNCTION("""COMPUTED_VALUE"""),"Cat Weathershield Merlin;Dulux;Type 40156M Merlin;pack size per 20L pail")</f>
        <v>Cat Weathershield Merlin;Dulux;Type 40156M Merlin;pack size per 20L pail</v>
      </c>
      <c r="F5066" s="6">
        <f>IFERROR(__xludf.DUMMYFUNCTION("""COMPUTED_VALUE"""),2.0)</f>
        <v>2</v>
      </c>
      <c r="G5066" s="6" t="str">
        <f>IFERROR(__xludf.DUMMYFUNCTION("""COMPUTED_VALUE"""),"Pail")</f>
        <v>Pail</v>
      </c>
      <c r="H5066" s="6" t="str">
        <f>IFERROR(__xludf.DUMMYFUNCTION("""COMPUTED_VALUE"""),"IDR")</f>
        <v>IDR</v>
      </c>
      <c r="I5066" s="6">
        <f>IFERROR(__xludf.DUMMYFUNCTION("""COMPUTED_VALUE"""),2900000.0)</f>
        <v>2900000</v>
      </c>
      <c r="J5066" s="6">
        <f>IFERROR(__xludf.DUMMYFUNCTION("""COMPUTED_VALUE"""),5800000.0)</f>
        <v>5800000</v>
      </c>
      <c r="K5066" s="57">
        <f>IFERROR(__xludf.DUMMYFUNCTION("""COMPUTED_VALUE"""),46129.0)</f>
        <v>46129</v>
      </c>
      <c r="L5066" s="6" t="str">
        <f>IFERROR(__xludf.DUMMYFUNCTION("""COMPUTED_VALUE"""),"FIP General")</f>
        <v>FIP General</v>
      </c>
      <c r="M5066" s="6" t="str">
        <f>IFERROR(__xludf.DUMMYFUNCTION("""COMPUTED_VALUE"""),"Mochammad Fadhillah Hakim,")</f>
        <v>Mochammad Fadhillah Hakim,</v>
      </c>
      <c r="N5066" s="6" t="str">
        <f>IFERROR(__xludf.DUMMYFUNCTION("""COMPUTED_VALUE"""),"FIP Engineering")</f>
        <v>FIP Engineering</v>
      </c>
      <c r="O5066" s="6" t="str">
        <f>IFERROR(__xludf.DUMMYFUNCTION("""COMPUTED_VALUE"""),"FIP-DOM-ENG-51502-0000000-INA-000000")</f>
        <v>FIP-DOM-ENG-51502-0000000-INA-000000</v>
      </c>
      <c r="P5066" s="6" t="str">
        <f>IFERROR(__xludf.DUMMYFUNCTION("""COMPUTED_VALUE"""),"PO Closed")</f>
        <v>PO Closed</v>
      </c>
      <c r="Q5066" s="6" t="str">
        <f>IFERROR(__xludf.DUMMYFUNCTION("""COMPUTED_VALUE"""),"GL2604011")</f>
        <v>GL2604011</v>
      </c>
      <c r="R5066" s="57">
        <f>IFERROR(__xludf.DUMMYFUNCTION("""COMPUTED_VALUE"""),46092.0)</f>
        <v>46092</v>
      </c>
      <c r="S5066" s="57">
        <f>IFERROR(__xludf.DUMMYFUNCTION("""COMPUTED_VALUE"""),46094.0)</f>
        <v>46094</v>
      </c>
      <c r="T5066" s="57">
        <f>IFERROR(__xludf.DUMMYFUNCTION("""COMPUTED_VALUE"""),46133.0)</f>
        <v>46133</v>
      </c>
    </row>
    <row r="5067">
      <c r="A5067" s="6" t="str">
        <f>IFERROR(__xludf.DUMMYFUNCTION("""COMPUTED_VALUE"""),"121704014-1")</f>
        <v>121704014-1</v>
      </c>
      <c r="B5067" s="6" t="str">
        <f>IFERROR(__xludf.DUMMYFUNCTION("""COMPUTED_VALUE"""),"121704014 - APPROVED")</f>
        <v>121704014 - APPROVED</v>
      </c>
      <c r="C5067" s="6">
        <f>IFERROR(__xludf.DUMMYFUNCTION("""COMPUTED_VALUE"""),1.0)</f>
        <v>1</v>
      </c>
      <c r="D5067" s="6" t="str">
        <f>IFERROR(__xludf.DUMMYFUNCTION("""COMPUTED_VALUE"""),"P-13773-00")</f>
        <v>P-13773-00</v>
      </c>
      <c r="E5067" s="6" t="str">
        <f>IFERROR(__xludf.DUMMYFUNCTION("""COMPUTED_VALUE"""),"Valve PN16 DN25 for Actuator SQS65 Siemens; ; ;")</f>
        <v>Valve PN16 DN25 for Actuator SQS65 Siemens; ; ;</v>
      </c>
      <c r="F5067" s="6">
        <f>IFERROR(__xludf.DUMMYFUNCTION("""COMPUTED_VALUE"""),2.0)</f>
        <v>2</v>
      </c>
      <c r="G5067" s="6" t="str">
        <f>IFERROR(__xludf.DUMMYFUNCTION("""COMPUTED_VALUE"""),"Pieces")</f>
        <v>Pieces</v>
      </c>
      <c r="H5067" s="6" t="str">
        <f>IFERROR(__xludf.DUMMYFUNCTION("""COMPUTED_VALUE"""),"IDR")</f>
        <v>IDR</v>
      </c>
      <c r="I5067" s="6">
        <f>IFERROR(__xludf.DUMMYFUNCTION("""COMPUTED_VALUE"""),4251500.0)</f>
        <v>4251500</v>
      </c>
      <c r="J5067" s="6">
        <f>IFERROR(__xludf.DUMMYFUNCTION("""COMPUTED_VALUE"""),8503000.0)</f>
        <v>8503000</v>
      </c>
      <c r="K5067" s="57">
        <f>IFERROR(__xludf.DUMMYFUNCTION("""COMPUTED_VALUE"""),46129.0)</f>
        <v>46129</v>
      </c>
      <c r="L5067" s="6" t="str">
        <f>IFERROR(__xludf.DUMMYFUNCTION("""COMPUTED_VALUE"""),"FIP Engineering")</f>
        <v>FIP Engineering</v>
      </c>
      <c r="M5067" s="6" t="str">
        <f>IFERROR(__xludf.DUMMYFUNCTION("""COMPUTED_VALUE"""),"Mochammad Fadhillah Hakim,")</f>
        <v>Mochammad Fadhillah Hakim,</v>
      </c>
      <c r="N5067" s="6" t="str">
        <f>IFERROR(__xludf.DUMMYFUNCTION("""COMPUTED_VALUE"""),"FIP Engineering")</f>
        <v>FIP Engineering</v>
      </c>
      <c r="O5067" s="6" t="str">
        <f>IFERROR(__xludf.DUMMYFUNCTION("""COMPUTED_VALUE"""),"FIP-DOM-000-11304-OS00001-INA-000000")</f>
        <v>FIP-DOM-000-11304-OS00001-INA-000000</v>
      </c>
      <c r="P5067" s="6" t="str">
        <f>IFERROR(__xludf.DUMMYFUNCTION("""COMPUTED_VALUE"""),"PO Open")</f>
        <v>PO Open</v>
      </c>
      <c r="Q5067" s="6" t="str">
        <f>IFERROR(__xludf.DUMMYFUNCTION("""COMPUTED_VALUE"""),"GL2605006")</f>
        <v>GL2605006</v>
      </c>
      <c r="R5067" s="57">
        <f>IFERROR(__xludf.DUMMYFUNCTION("""COMPUTED_VALUE"""),46092.0)</f>
        <v>46092</v>
      </c>
      <c r="S5067" s="57">
        <f>IFERROR(__xludf.DUMMYFUNCTION("""COMPUTED_VALUE"""),46094.0)</f>
        <v>46094</v>
      </c>
      <c r="T5067" s="57">
        <f>IFERROR(__xludf.DUMMYFUNCTION("""COMPUTED_VALUE"""),46295.0)</f>
        <v>46295</v>
      </c>
    </row>
    <row r="5068">
      <c r="A5068" s="6" t="str">
        <f>IFERROR(__xludf.DUMMYFUNCTION("""COMPUTED_VALUE"""),"121704016-1")</f>
        <v>121704016-1</v>
      </c>
      <c r="B5068" s="6" t="str">
        <f>IFERROR(__xludf.DUMMYFUNCTION("""COMPUTED_VALUE"""),"121704016 - APPROVED")</f>
        <v>121704016 - APPROVED</v>
      </c>
      <c r="C5068" s="6">
        <f>IFERROR(__xludf.DUMMYFUNCTION("""COMPUTED_VALUE"""),1.0)</f>
        <v>1</v>
      </c>
      <c r="D5068" s="6" t="str">
        <f>IFERROR(__xludf.DUMMYFUNCTION("""COMPUTED_VALUE"""),"O-21437-00")</f>
        <v>O-21437-00</v>
      </c>
      <c r="E5068" s="6" t="str">
        <f>IFERROR(__xludf.DUMMYFUNCTION("""COMPUTED_VALUE"""),"Marchesini MA155 - Gas Spring; Misumi; FGSS15050B; 1 Pc")</f>
        <v>Marchesini MA155 - Gas Spring; Misumi; FGSS15050B; 1 Pc</v>
      </c>
      <c r="F5068" s="6">
        <f>IFERROR(__xludf.DUMMYFUNCTION("""COMPUTED_VALUE"""),1.0)</f>
        <v>1</v>
      </c>
      <c r="G5068" s="6" t="str">
        <f>IFERROR(__xludf.DUMMYFUNCTION("""COMPUTED_VALUE"""),"Pieces")</f>
        <v>Pieces</v>
      </c>
      <c r="H5068" s="6" t="str">
        <f>IFERROR(__xludf.DUMMYFUNCTION("""COMPUTED_VALUE"""),"IDR")</f>
        <v>IDR</v>
      </c>
      <c r="I5068" s="6">
        <f>IFERROR(__xludf.DUMMYFUNCTION("""COMPUTED_VALUE"""),325105.0)</f>
        <v>325105</v>
      </c>
      <c r="J5068" s="6">
        <f>IFERROR(__xludf.DUMMYFUNCTION("""COMPUTED_VALUE"""),325105.0)</f>
        <v>325105</v>
      </c>
      <c r="K5068" s="57">
        <f>IFERROR(__xludf.DUMMYFUNCTION("""COMPUTED_VALUE"""),46129.0)</f>
        <v>46129</v>
      </c>
      <c r="L5068" s="6" t="str">
        <f>IFERROR(__xludf.DUMMYFUNCTION("""COMPUTED_VALUE"""),"FIP Engineering")</f>
        <v>FIP Engineering</v>
      </c>
      <c r="M5068" s="6" t="str">
        <f>IFERROR(__xludf.DUMMYFUNCTION("""COMPUTED_VALUE"""),"Mochammad Fadhillah Hakim,")</f>
        <v>Mochammad Fadhillah Hakim,</v>
      </c>
      <c r="N5068" s="6" t="str">
        <f>IFERROR(__xludf.DUMMYFUNCTION("""COMPUTED_VALUE"""),"FIP Engineering")</f>
        <v>FIP Engineering</v>
      </c>
      <c r="O5068" s="6" t="str">
        <f>IFERROR(__xludf.DUMMYFUNCTION("""COMPUTED_VALUE"""),"FIP-DOM-000-11304-OS00001-INA-000000")</f>
        <v>FIP-DOM-000-11304-OS00001-INA-000000</v>
      </c>
      <c r="P5068" s="6" t="str">
        <f>IFERROR(__xludf.DUMMYFUNCTION("""COMPUTED_VALUE"""),"PO Closed")</f>
        <v>PO Closed</v>
      </c>
      <c r="Q5068" s="6" t="str">
        <f>IFERROR(__xludf.DUMMYFUNCTION("""COMPUTED_VALUE"""),"GL2604485")</f>
        <v>GL2604485</v>
      </c>
      <c r="R5068" s="57">
        <f>IFERROR(__xludf.DUMMYFUNCTION("""COMPUTED_VALUE"""),46092.0)</f>
        <v>46092</v>
      </c>
      <c r="S5068" s="57">
        <f>IFERROR(__xludf.DUMMYFUNCTION("""COMPUTED_VALUE"""),46092.0)</f>
        <v>46092</v>
      </c>
      <c r="T5068" s="57">
        <f>IFERROR(__xludf.DUMMYFUNCTION("""COMPUTED_VALUE"""),46147.0)</f>
        <v>46147</v>
      </c>
    </row>
    <row r="5069">
      <c r="A5069" s="6" t="str">
        <f>IFERROR(__xludf.DUMMYFUNCTION("""COMPUTED_VALUE"""),"121704017-1")</f>
        <v>121704017-1</v>
      </c>
      <c r="B5069" s="6" t="str">
        <f>IFERROR(__xludf.DUMMYFUNCTION("""COMPUTED_VALUE"""),"121704017 - APPROVED")</f>
        <v>121704017 - APPROVED</v>
      </c>
      <c r="C5069" s="6">
        <f>IFERROR(__xludf.DUMMYFUNCTION("""COMPUTED_VALUE"""),1.0)</f>
        <v>1</v>
      </c>
      <c r="D5069" s="6" t="str">
        <f>IFERROR(__xludf.DUMMYFUNCTION("""COMPUTED_VALUE"""),"O-21429-00")</f>
        <v>O-21429-00</v>
      </c>
      <c r="E5069" s="6" t="str">
        <f>IFERROR(__xludf.DUMMYFUNCTION("""COMPUTED_VALUE"""),"Blister TR100LT - Teflon Forming 5689 ukuran 9.5x19; Custom/Lokal; -; 1 Pc")</f>
        <v>Blister TR100LT - Teflon Forming 5689 ukuran 9.5x19; Custom/Lokal; -; 1 Pc</v>
      </c>
      <c r="F5069" s="6">
        <f>IFERROR(__xludf.DUMMYFUNCTION("""COMPUTED_VALUE"""),30.0)</f>
        <v>30</v>
      </c>
      <c r="G5069" s="6" t="str">
        <f>IFERROR(__xludf.DUMMYFUNCTION("""COMPUTED_VALUE"""),"Pieces")</f>
        <v>Pieces</v>
      </c>
      <c r="H5069" s="6" t="str">
        <f>IFERROR(__xludf.DUMMYFUNCTION("""COMPUTED_VALUE"""),"IDR")</f>
        <v>IDR</v>
      </c>
      <c r="I5069" s="6">
        <f>IFERROR(__xludf.DUMMYFUNCTION("""COMPUTED_VALUE"""),173000.0)</f>
        <v>173000</v>
      </c>
      <c r="J5069" s="6">
        <f>IFERROR(__xludf.DUMMYFUNCTION("""COMPUTED_VALUE"""),5190000.0)</f>
        <v>5190000</v>
      </c>
      <c r="K5069" s="57">
        <f>IFERROR(__xludf.DUMMYFUNCTION("""COMPUTED_VALUE"""),46129.0)</f>
        <v>46129</v>
      </c>
      <c r="L5069" s="6" t="str">
        <f>IFERROR(__xludf.DUMMYFUNCTION("""COMPUTED_VALUE"""),"FIP Engineering")</f>
        <v>FIP Engineering</v>
      </c>
      <c r="M5069" s="6" t="str">
        <f>IFERROR(__xludf.DUMMYFUNCTION("""COMPUTED_VALUE"""),"Mochammad Fadhillah Hakim,")</f>
        <v>Mochammad Fadhillah Hakim,</v>
      </c>
      <c r="N5069" s="6" t="str">
        <f>IFERROR(__xludf.DUMMYFUNCTION("""COMPUTED_VALUE"""),"FIP Engineering")</f>
        <v>FIP Engineering</v>
      </c>
      <c r="O5069" s="6" t="str">
        <f>IFERROR(__xludf.DUMMYFUNCTION("""COMPUTED_VALUE"""),"FIP-DOM-000-11304-OS00001-INA-000000")</f>
        <v>FIP-DOM-000-11304-OS00001-INA-000000</v>
      </c>
      <c r="P5069" s="6" t="str">
        <f>IFERROR(__xludf.DUMMYFUNCTION("""COMPUTED_VALUE"""),"PO Closed")</f>
        <v>PO Closed</v>
      </c>
      <c r="Q5069" s="6" t="str">
        <f>IFERROR(__xludf.DUMMYFUNCTION("""COMPUTED_VALUE"""),"GL2603478")</f>
        <v>GL2603478</v>
      </c>
      <c r="R5069" s="57">
        <f>IFERROR(__xludf.DUMMYFUNCTION("""COMPUTED_VALUE"""),46092.0)</f>
        <v>46092</v>
      </c>
      <c r="S5069" s="57">
        <f>IFERROR(__xludf.DUMMYFUNCTION("""COMPUTED_VALUE"""),46094.0)</f>
        <v>46094</v>
      </c>
      <c r="T5069" s="57">
        <f>IFERROR(__xludf.DUMMYFUNCTION("""COMPUTED_VALUE"""),46172.0)</f>
        <v>46172</v>
      </c>
    </row>
    <row r="5070">
      <c r="A5070" s="6" t="str">
        <f>IFERROR(__xludf.DUMMYFUNCTION("""COMPUTED_VALUE"""),"121704017-2")</f>
        <v>121704017-2</v>
      </c>
      <c r="B5070" s="6" t="str">
        <f>IFERROR(__xludf.DUMMYFUNCTION("""COMPUTED_VALUE"""),"121704017 - APPROVED")</f>
        <v>121704017 - APPROVED</v>
      </c>
      <c r="C5070" s="6">
        <f>IFERROR(__xludf.DUMMYFUNCTION("""COMPUTED_VALUE"""),2.0)</f>
        <v>2</v>
      </c>
      <c r="D5070" s="6" t="str">
        <f>IFERROR(__xludf.DUMMYFUNCTION("""COMPUTED_VALUE"""),"O-21430-00")</f>
        <v>O-21430-00</v>
      </c>
      <c r="E5070" s="6" t="str">
        <f>IFERROR(__xludf.DUMMYFUNCTION("""COMPUTED_VALUE"""),"Blister TR100LT - Teflon Forming 568 ukuran 11.5x19; Custom/Lokal; ; 1 Pc")</f>
        <v>Blister TR100LT - Teflon Forming 568 ukuran 11.5x19; Custom/Lokal; ; 1 Pc</v>
      </c>
      <c r="F5070" s="6">
        <f>IFERROR(__xludf.DUMMYFUNCTION("""COMPUTED_VALUE"""),30.0)</f>
        <v>30</v>
      </c>
      <c r="G5070" s="6" t="str">
        <f>IFERROR(__xludf.DUMMYFUNCTION("""COMPUTED_VALUE"""),"Pieces")</f>
        <v>Pieces</v>
      </c>
      <c r="H5070" s="6" t="str">
        <f>IFERROR(__xludf.DUMMYFUNCTION("""COMPUTED_VALUE"""),"IDR")</f>
        <v>IDR</v>
      </c>
      <c r="I5070" s="6">
        <f>IFERROR(__xludf.DUMMYFUNCTION("""COMPUTED_VALUE"""),175000.0)</f>
        <v>175000</v>
      </c>
      <c r="J5070" s="6">
        <f>IFERROR(__xludf.DUMMYFUNCTION("""COMPUTED_VALUE"""),5250000.0)</f>
        <v>5250000</v>
      </c>
      <c r="K5070" s="57">
        <f>IFERROR(__xludf.DUMMYFUNCTION("""COMPUTED_VALUE"""),46129.0)</f>
        <v>46129</v>
      </c>
      <c r="L5070" s="6" t="str">
        <f>IFERROR(__xludf.DUMMYFUNCTION("""COMPUTED_VALUE"""),"FIP Engineering")</f>
        <v>FIP Engineering</v>
      </c>
      <c r="M5070" s="6" t="str">
        <f>IFERROR(__xludf.DUMMYFUNCTION("""COMPUTED_VALUE"""),"Mochammad Fadhillah Hakim,")</f>
        <v>Mochammad Fadhillah Hakim,</v>
      </c>
      <c r="N5070" s="6" t="str">
        <f>IFERROR(__xludf.DUMMYFUNCTION("""COMPUTED_VALUE"""),"FIP Engineering")</f>
        <v>FIP Engineering</v>
      </c>
      <c r="O5070" s="6" t="str">
        <f>IFERROR(__xludf.DUMMYFUNCTION("""COMPUTED_VALUE"""),"FIP-DOM-000-11304-OS00001-INA-000000")</f>
        <v>FIP-DOM-000-11304-OS00001-INA-000000</v>
      </c>
      <c r="P5070" s="6" t="str">
        <f>IFERROR(__xludf.DUMMYFUNCTION("""COMPUTED_VALUE"""),"PO Closed")</f>
        <v>PO Closed</v>
      </c>
      <c r="Q5070" s="6" t="str">
        <f>IFERROR(__xludf.DUMMYFUNCTION("""COMPUTED_VALUE"""),"GL2603478")</f>
        <v>GL2603478</v>
      </c>
      <c r="R5070" s="57">
        <f>IFERROR(__xludf.DUMMYFUNCTION("""COMPUTED_VALUE"""),46092.0)</f>
        <v>46092</v>
      </c>
      <c r="S5070" s="57">
        <f>IFERROR(__xludf.DUMMYFUNCTION("""COMPUTED_VALUE"""),46094.0)</f>
        <v>46094</v>
      </c>
      <c r="T5070" s="57">
        <f>IFERROR(__xludf.DUMMYFUNCTION("""COMPUTED_VALUE"""),46172.0)</f>
        <v>46172</v>
      </c>
    </row>
    <row r="5071">
      <c r="A5071" s="6" t="str">
        <f>IFERROR(__xludf.DUMMYFUNCTION("""COMPUTED_VALUE"""),"121704018-1")</f>
        <v>121704018-1</v>
      </c>
      <c r="B5071" s="6" t="str">
        <f>IFERROR(__xludf.DUMMYFUNCTION("""COMPUTED_VALUE"""),"121704018 - APPROVED")</f>
        <v>121704018 - APPROVED</v>
      </c>
      <c r="C5071" s="6">
        <f>IFERROR(__xludf.DUMMYFUNCTION("""COMPUTED_VALUE"""),1.0)</f>
        <v>1</v>
      </c>
      <c r="D5071" s="6" t="str">
        <f>IFERROR(__xludf.DUMMYFUNCTION("""COMPUTED_VALUE"""),"P-17167-00")</f>
        <v>P-17167-00</v>
      </c>
      <c r="E5071" s="6" t="str">
        <f>IFERROR(__xludf.DUMMYFUNCTION("""COMPUTED_VALUE"""),"General - Hollow SS304 Uk. 30 x 30 x 1.5 x 6000mm; No Brand; -; 1 Pcs")</f>
        <v>General - Hollow SS304 Uk. 30 x 30 x 1.5 x 6000mm; No Brand; -; 1 Pcs</v>
      </c>
      <c r="F5071" s="6">
        <f>IFERROR(__xludf.DUMMYFUNCTION("""COMPUTED_VALUE"""),4.0)</f>
        <v>4</v>
      </c>
      <c r="G5071" s="6" t="str">
        <f>IFERROR(__xludf.DUMMYFUNCTION("""COMPUTED_VALUE"""),"Pieces")</f>
        <v>Pieces</v>
      </c>
      <c r="H5071" s="6" t="str">
        <f>IFERROR(__xludf.DUMMYFUNCTION("""COMPUTED_VALUE"""),"IDR")</f>
        <v>IDR</v>
      </c>
      <c r="I5071" s="6">
        <f>IFERROR(__xludf.DUMMYFUNCTION("""COMPUTED_VALUE"""),475000.0)</f>
        <v>475000</v>
      </c>
      <c r="J5071" s="6">
        <f>IFERROR(__xludf.DUMMYFUNCTION("""COMPUTED_VALUE"""),1900000.0)</f>
        <v>1900000</v>
      </c>
      <c r="K5071" s="57">
        <f>IFERROR(__xludf.DUMMYFUNCTION("""COMPUTED_VALUE"""),46122.0)</f>
        <v>46122</v>
      </c>
      <c r="L5071" s="6" t="str">
        <f>IFERROR(__xludf.DUMMYFUNCTION("""COMPUTED_VALUE"""),"FIP Engineering")</f>
        <v>FIP Engineering</v>
      </c>
      <c r="M5071" s="6" t="str">
        <f>IFERROR(__xludf.DUMMYFUNCTION("""COMPUTED_VALUE"""),"Mochammad Fadhillah Hakim,")</f>
        <v>Mochammad Fadhillah Hakim,</v>
      </c>
      <c r="N5071" s="6" t="str">
        <f>IFERROR(__xludf.DUMMYFUNCTION("""COMPUTED_VALUE"""),"FIP Engineering")</f>
        <v>FIP Engineering</v>
      </c>
      <c r="O5071" s="6" t="str">
        <f>IFERROR(__xludf.DUMMYFUNCTION("""COMPUTED_VALUE"""),"FIP-DOM-000-11304-OS00001-INA-000000")</f>
        <v>FIP-DOM-000-11304-OS00001-INA-000000</v>
      </c>
      <c r="P5071" s="6" t="str">
        <f>IFERROR(__xludf.DUMMYFUNCTION("""COMPUTED_VALUE"""),"PO Closed")</f>
        <v>PO Closed</v>
      </c>
      <c r="Q5071" s="6" t="str">
        <f>IFERROR(__xludf.DUMMYFUNCTION("""COMPUTED_VALUE"""),"GL2604305")</f>
        <v>GL2604305</v>
      </c>
      <c r="R5071" s="57">
        <f>IFERROR(__xludf.DUMMYFUNCTION("""COMPUTED_VALUE"""),46092.0)</f>
        <v>46092</v>
      </c>
      <c r="S5071" s="57">
        <f>IFERROR(__xludf.DUMMYFUNCTION("""COMPUTED_VALUE"""),46094.0)</f>
        <v>46094</v>
      </c>
      <c r="T5071" s="57">
        <f>IFERROR(__xludf.DUMMYFUNCTION("""COMPUTED_VALUE"""),46142.0)</f>
        <v>46142</v>
      </c>
    </row>
    <row r="5072">
      <c r="A5072" s="6" t="str">
        <f>IFERROR(__xludf.DUMMYFUNCTION("""COMPUTED_VALUE"""),"121704019-1")</f>
        <v>121704019-1</v>
      </c>
      <c r="B5072" s="6" t="str">
        <f>IFERROR(__xludf.DUMMYFUNCTION("""COMPUTED_VALUE"""),"121704019 - APPROVED")</f>
        <v>121704019 - APPROVED</v>
      </c>
      <c r="C5072" s="6">
        <f>IFERROR(__xludf.DUMMYFUNCTION("""COMPUTED_VALUE"""),1.0)</f>
        <v>1</v>
      </c>
      <c r="D5072" s="6" t="str">
        <f>IFERROR(__xludf.DUMMYFUNCTION("""COMPUTED_VALUE"""),"P-20580-00")</f>
        <v>P-20580-00</v>
      </c>
      <c r="E5072" s="6" t="str">
        <f>IFERROR(__xludf.DUMMYFUNCTION("""COMPUTED_VALUE"""),"General - Bracket Timbangan VGA Uk. 50 x 320 x 450mm; Custom Agru; -; 1 pc")</f>
        <v>General - Bracket Timbangan VGA Uk. 50 x 320 x 450mm; Custom Agru; -; 1 pc</v>
      </c>
      <c r="F5072" s="6">
        <f>IFERROR(__xludf.DUMMYFUNCTION("""COMPUTED_VALUE"""),1.0)</f>
        <v>1</v>
      </c>
      <c r="G5072" s="6" t="str">
        <f>IFERROR(__xludf.DUMMYFUNCTION("""COMPUTED_VALUE"""),"Pieces")</f>
        <v>Pieces</v>
      </c>
      <c r="H5072" s="6" t="str">
        <f>IFERROR(__xludf.DUMMYFUNCTION("""COMPUTED_VALUE"""),"IDR")</f>
        <v>IDR</v>
      </c>
      <c r="I5072" s="6">
        <f>IFERROR(__xludf.DUMMYFUNCTION("""COMPUTED_VALUE"""),3275000.0)</f>
        <v>3275000</v>
      </c>
      <c r="J5072" s="6">
        <f>IFERROR(__xludf.DUMMYFUNCTION("""COMPUTED_VALUE"""),3275000.0)</f>
        <v>3275000</v>
      </c>
      <c r="K5072" s="57">
        <f>IFERROR(__xludf.DUMMYFUNCTION("""COMPUTED_VALUE"""),46129.0)</f>
        <v>46129</v>
      </c>
      <c r="L5072" s="6" t="str">
        <f>IFERROR(__xludf.DUMMYFUNCTION("""COMPUTED_VALUE"""),"FIP Engineering")</f>
        <v>FIP Engineering</v>
      </c>
      <c r="M5072" s="6" t="str">
        <f>IFERROR(__xludf.DUMMYFUNCTION("""COMPUTED_VALUE"""),"Mochammad Fadhillah Hakim,")</f>
        <v>Mochammad Fadhillah Hakim,</v>
      </c>
      <c r="N5072" s="6" t="str">
        <f>IFERROR(__xludf.DUMMYFUNCTION("""COMPUTED_VALUE"""),"FIP Engineering")</f>
        <v>FIP Engineering</v>
      </c>
      <c r="O5072" s="6" t="str">
        <f>IFERROR(__xludf.DUMMYFUNCTION("""COMPUTED_VALUE"""),"FIP-DOM-000-11304-OS00001-INA-000000")</f>
        <v>FIP-DOM-000-11304-OS00001-INA-000000</v>
      </c>
      <c r="P5072" s="6" t="str">
        <f>IFERROR(__xludf.DUMMYFUNCTION("""COMPUTED_VALUE"""),"PO Closed")</f>
        <v>PO Closed</v>
      </c>
      <c r="Q5072" s="6" t="str">
        <f>IFERROR(__xludf.DUMMYFUNCTION("""COMPUTED_VALUE"""),"GL2603054")</f>
        <v>GL2603054</v>
      </c>
      <c r="R5072" s="57">
        <f>IFERROR(__xludf.DUMMYFUNCTION("""COMPUTED_VALUE"""),46092.0)</f>
        <v>46092</v>
      </c>
      <c r="S5072" s="57">
        <f>IFERROR(__xludf.DUMMYFUNCTION("""COMPUTED_VALUE"""),46094.0)</f>
        <v>46094</v>
      </c>
      <c r="T5072" s="57">
        <f>IFERROR(__xludf.DUMMYFUNCTION("""COMPUTED_VALUE"""),46152.0)</f>
        <v>46152</v>
      </c>
    </row>
    <row r="5073">
      <c r="A5073" s="6" t="str">
        <f>IFERROR(__xludf.DUMMYFUNCTION("""COMPUTED_VALUE"""),"121704020-1")</f>
        <v>121704020-1</v>
      </c>
      <c r="B5073" s="6" t="str">
        <f>IFERROR(__xludf.DUMMYFUNCTION("""COMPUTED_VALUE"""),"121704020 - APPROVED")</f>
        <v>121704020 - APPROVED</v>
      </c>
      <c r="C5073" s="6">
        <f>IFERROR(__xludf.DUMMYFUNCTION("""COMPUTED_VALUE"""),1.0)</f>
        <v>1</v>
      </c>
      <c r="D5073" s="6" t="str">
        <f>IFERROR(__xludf.DUMMYFUNCTION("""COMPUTED_VALUE"""),"O-21435-00")</f>
        <v>O-21435-00</v>
      </c>
      <c r="E5073" s="6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F5073" s="6">
        <f>IFERROR(__xludf.DUMMYFUNCTION("""COMPUTED_VALUE"""),1.0)</f>
        <v>1</v>
      </c>
      <c r="G5073" s="6" t="str">
        <f>IFERROR(__xludf.DUMMYFUNCTION("""COMPUTED_VALUE"""),"Pieces")</f>
        <v>Pieces</v>
      </c>
      <c r="H5073" s="6" t="str">
        <f>IFERROR(__xludf.DUMMYFUNCTION("""COMPUTED_VALUE"""),"IDR")</f>
        <v>IDR</v>
      </c>
      <c r="I5073" s="6">
        <f>IFERROR(__xludf.DUMMYFUNCTION("""COMPUTED_VALUE"""),4475000.0)</f>
        <v>4475000</v>
      </c>
      <c r="J5073" s="6">
        <f>IFERROR(__xludf.DUMMYFUNCTION("""COMPUTED_VALUE"""),4475000.0)</f>
        <v>4475000</v>
      </c>
      <c r="K5073" s="57">
        <f>IFERROR(__xludf.DUMMYFUNCTION("""COMPUTED_VALUE"""),46129.0)</f>
        <v>46129</v>
      </c>
      <c r="L5073" s="6" t="str">
        <f>IFERROR(__xludf.DUMMYFUNCTION("""COMPUTED_VALUE"""),"FIP Engineering")</f>
        <v>FIP Engineering</v>
      </c>
      <c r="M5073" s="6" t="str">
        <f>IFERROR(__xludf.DUMMYFUNCTION("""COMPUTED_VALUE"""),"Mochammad Fadhillah Hakim,")</f>
        <v>Mochammad Fadhillah Hakim,</v>
      </c>
      <c r="N5073" s="6" t="str">
        <f>IFERROR(__xludf.DUMMYFUNCTION("""COMPUTED_VALUE"""),"FIP Engineering")</f>
        <v>FIP Engineering</v>
      </c>
      <c r="O5073" s="6" t="str">
        <f>IFERROR(__xludf.DUMMYFUNCTION("""COMPUTED_VALUE"""),"FIP-DOM-000-11304-OS00001-INA-000000")</f>
        <v>FIP-DOM-000-11304-OS00001-INA-000000</v>
      </c>
      <c r="P5073" s="6" t="str">
        <f>IFERROR(__xludf.DUMMYFUNCTION("""COMPUTED_VALUE"""),"PO Closed")</f>
        <v>PO Closed</v>
      </c>
      <c r="Q5073" s="6" t="str">
        <f>IFERROR(__xludf.DUMMYFUNCTION("""COMPUTED_VALUE"""),"GL2603478")</f>
        <v>GL2603478</v>
      </c>
      <c r="R5073" s="57">
        <f>IFERROR(__xludf.DUMMYFUNCTION("""COMPUTED_VALUE"""),46092.0)</f>
        <v>46092</v>
      </c>
      <c r="S5073" s="57">
        <f>IFERROR(__xludf.DUMMYFUNCTION("""COMPUTED_VALUE"""),46099.0)</f>
        <v>46099</v>
      </c>
      <c r="T5073" s="57">
        <f>IFERROR(__xludf.DUMMYFUNCTION("""COMPUTED_VALUE"""),46172.0)</f>
        <v>46172</v>
      </c>
    </row>
    <row r="5074">
      <c r="A5074" s="6" t="str">
        <f>IFERROR(__xludf.DUMMYFUNCTION("""COMPUTED_VALUE"""),"121704021-1")</f>
        <v>121704021-1</v>
      </c>
      <c r="B5074" s="6" t="str">
        <f>IFERROR(__xludf.DUMMYFUNCTION("""COMPUTED_VALUE"""),"121704021 - APPROVED")</f>
        <v>121704021 - APPROVED</v>
      </c>
      <c r="C5074" s="6">
        <f>IFERROR(__xludf.DUMMYFUNCTION("""COMPUTED_VALUE"""),1.0)</f>
        <v>1</v>
      </c>
      <c r="D5074" s="6" t="str">
        <f>IFERROR(__xludf.DUMMYFUNCTION("""COMPUTED_VALUE"""),"O-21443-00")</f>
        <v>O-21443-00</v>
      </c>
      <c r="E5074" s="6" t="str">
        <f>IFERROR(__xludf.DUMMYFUNCTION("""COMPUTED_VALUE"""),"Washing RAR4 - Ball Valve SS304 Ferrule End Size 1 Inch; -; -; 1 Pc")</f>
        <v>Washing RAR4 - Ball Valve SS304 Ferrule End Size 1 Inch; -; -; 1 Pc</v>
      </c>
      <c r="F5074" s="6">
        <f>IFERROR(__xludf.DUMMYFUNCTION("""COMPUTED_VALUE"""),2.0)</f>
        <v>2</v>
      </c>
      <c r="G5074" s="6" t="str">
        <f>IFERROR(__xludf.DUMMYFUNCTION("""COMPUTED_VALUE"""),"Pieces")</f>
        <v>Pieces</v>
      </c>
      <c r="H5074" s="6" t="str">
        <f>IFERROR(__xludf.DUMMYFUNCTION("""COMPUTED_VALUE"""),"IDR")</f>
        <v>IDR</v>
      </c>
      <c r="I5074" s="6">
        <f>IFERROR(__xludf.DUMMYFUNCTION("""COMPUTED_VALUE"""),587500.0)</f>
        <v>587500</v>
      </c>
      <c r="J5074" s="6">
        <f>IFERROR(__xludf.DUMMYFUNCTION("""COMPUTED_VALUE"""),1175000.0)</f>
        <v>1175000</v>
      </c>
      <c r="K5074" s="57">
        <f>IFERROR(__xludf.DUMMYFUNCTION("""COMPUTED_VALUE"""),46129.0)</f>
        <v>46129</v>
      </c>
      <c r="L5074" s="6" t="str">
        <f>IFERROR(__xludf.DUMMYFUNCTION("""COMPUTED_VALUE"""),"FIP Engineering")</f>
        <v>FIP Engineering</v>
      </c>
      <c r="M5074" s="6" t="str">
        <f>IFERROR(__xludf.DUMMYFUNCTION("""COMPUTED_VALUE"""),"Mochammad Fadhillah Hakim,")</f>
        <v>Mochammad Fadhillah Hakim,</v>
      </c>
      <c r="N5074" s="6" t="str">
        <f>IFERROR(__xludf.DUMMYFUNCTION("""COMPUTED_VALUE"""),"FIP Engineering")</f>
        <v>FIP Engineering</v>
      </c>
      <c r="O5074" s="6" t="str">
        <f>IFERROR(__xludf.DUMMYFUNCTION("""COMPUTED_VALUE"""),"FIP-DOM-000-11304-OS00001-INA-000000")</f>
        <v>FIP-DOM-000-11304-OS00001-INA-000000</v>
      </c>
      <c r="P5074" s="6" t="str">
        <f>IFERROR(__xludf.DUMMYFUNCTION("""COMPUTED_VALUE"""),"PO Closed")</f>
        <v>PO Closed</v>
      </c>
      <c r="Q5074" s="6" t="str">
        <f>IFERROR(__xludf.DUMMYFUNCTION("""COMPUTED_VALUE"""),"GL2604487")</f>
        <v>GL2604487</v>
      </c>
      <c r="R5074" s="57">
        <f>IFERROR(__xludf.DUMMYFUNCTION("""COMPUTED_VALUE"""),46092.0)</f>
        <v>46092</v>
      </c>
      <c r="S5074" s="57">
        <f>IFERROR(__xludf.DUMMYFUNCTION("""COMPUTED_VALUE"""),46094.0)</f>
        <v>46094</v>
      </c>
      <c r="T5074" s="57">
        <f>IFERROR(__xludf.DUMMYFUNCTION("""COMPUTED_VALUE"""),46152.0)</f>
        <v>46152</v>
      </c>
    </row>
    <row r="5075">
      <c r="A5075" s="6" t="str">
        <f>IFERROR(__xludf.DUMMYFUNCTION("""COMPUTED_VALUE"""),"121704021-2")</f>
        <v>121704021-2</v>
      </c>
      <c r="B5075" s="6" t="str">
        <f>IFERROR(__xludf.DUMMYFUNCTION("""COMPUTED_VALUE"""),"121704021 - APPROVED")</f>
        <v>121704021 - APPROVED</v>
      </c>
      <c r="C5075" s="6">
        <f>IFERROR(__xludf.DUMMYFUNCTION("""COMPUTED_VALUE"""),2.0)</f>
        <v>2</v>
      </c>
      <c r="D5075" s="6" t="str">
        <f>IFERROR(__xludf.DUMMYFUNCTION("""COMPUTED_VALUE"""),"O-21455-00")</f>
        <v>O-21455-00</v>
      </c>
      <c r="E5075" s="6" t="str">
        <f>IFERROR(__xludf.DUMMYFUNCTION("""COMPUTED_VALUE"""),"Washing RAR4 - Ball Valve SS304 Ferrule End Size 3/4 Inch; -; -; 1 Pc")</f>
        <v>Washing RAR4 - Ball Valve SS304 Ferrule End Size 3/4 Inch; -; -; 1 Pc</v>
      </c>
      <c r="F5075" s="6">
        <f>IFERROR(__xludf.DUMMYFUNCTION("""COMPUTED_VALUE"""),2.0)</f>
        <v>2</v>
      </c>
      <c r="G5075" s="6" t="str">
        <f>IFERROR(__xludf.DUMMYFUNCTION("""COMPUTED_VALUE"""),"Pieces")</f>
        <v>Pieces</v>
      </c>
      <c r="H5075" s="6" t="str">
        <f>IFERROR(__xludf.DUMMYFUNCTION("""COMPUTED_VALUE"""),"IDR")</f>
        <v>IDR</v>
      </c>
      <c r="I5075" s="6">
        <f>IFERROR(__xludf.DUMMYFUNCTION("""COMPUTED_VALUE"""),562500.0)</f>
        <v>562500</v>
      </c>
      <c r="J5075" s="6">
        <f>IFERROR(__xludf.DUMMYFUNCTION("""COMPUTED_VALUE"""),1125000.0)</f>
        <v>1125000</v>
      </c>
      <c r="K5075" s="57">
        <f>IFERROR(__xludf.DUMMYFUNCTION("""COMPUTED_VALUE"""),46129.0)</f>
        <v>46129</v>
      </c>
      <c r="L5075" s="6" t="str">
        <f>IFERROR(__xludf.DUMMYFUNCTION("""COMPUTED_VALUE"""),"FIP Engineering")</f>
        <v>FIP Engineering</v>
      </c>
      <c r="M5075" s="6" t="str">
        <f>IFERROR(__xludf.DUMMYFUNCTION("""COMPUTED_VALUE"""),"Mochammad Fadhillah Hakim,")</f>
        <v>Mochammad Fadhillah Hakim,</v>
      </c>
      <c r="N5075" s="6" t="str">
        <f>IFERROR(__xludf.DUMMYFUNCTION("""COMPUTED_VALUE"""),"FIP Engineering")</f>
        <v>FIP Engineering</v>
      </c>
      <c r="O5075" s="6" t="str">
        <f>IFERROR(__xludf.DUMMYFUNCTION("""COMPUTED_VALUE"""),"FIP-DOM-000-11304-OS00001-INA-000000")</f>
        <v>FIP-DOM-000-11304-OS00001-INA-000000</v>
      </c>
      <c r="P5075" s="6" t="str">
        <f>IFERROR(__xludf.DUMMYFUNCTION("""COMPUTED_VALUE"""),"PO Closed")</f>
        <v>PO Closed</v>
      </c>
      <c r="Q5075" s="6" t="str">
        <f>IFERROR(__xludf.DUMMYFUNCTION("""COMPUTED_VALUE"""),"GL2604487")</f>
        <v>GL2604487</v>
      </c>
      <c r="R5075" s="57">
        <f>IFERROR(__xludf.DUMMYFUNCTION("""COMPUTED_VALUE"""),46092.0)</f>
        <v>46092</v>
      </c>
      <c r="S5075" s="57">
        <f>IFERROR(__xludf.DUMMYFUNCTION("""COMPUTED_VALUE"""),46094.0)</f>
        <v>46094</v>
      </c>
      <c r="T5075" s="57">
        <f>IFERROR(__xludf.DUMMYFUNCTION("""COMPUTED_VALUE"""),46152.0)</f>
        <v>46152</v>
      </c>
    </row>
    <row r="5076">
      <c r="A5076" s="6" t="str">
        <f>IFERROR(__xludf.DUMMYFUNCTION("""COMPUTED_VALUE"""),"121704022-1")</f>
        <v>121704022-1</v>
      </c>
      <c r="B5076" s="6" t="str">
        <f>IFERROR(__xludf.DUMMYFUNCTION("""COMPUTED_VALUE"""),"121704022 - APPROVED")</f>
        <v>121704022 - APPROVED</v>
      </c>
      <c r="C5076" s="6">
        <f>IFERROR(__xludf.DUMMYFUNCTION("""COMPUTED_VALUE"""),1.0)</f>
        <v>1</v>
      </c>
      <c r="D5076" s="6" t="str">
        <f>IFERROR(__xludf.DUMMYFUNCTION("""COMPUTED_VALUE"""),"R-20024-00")</f>
        <v>R-20024-00</v>
      </c>
      <c r="E5076" s="6" t="str">
        <f>IFERROR(__xludf.DUMMYFUNCTION("""COMPUTED_VALUE"""),"Machine Equipment; ; ; - Additional For Shipping Steriline - Additional For Shipping Steriline")</f>
        <v>Machine Equipment; ; ; - Additional For Shipping Steriline - Additional For Shipping Steriline</v>
      </c>
      <c r="F5076" s="6">
        <f>IFERROR(__xludf.DUMMYFUNCTION("""COMPUTED_VALUE"""),1.0)</f>
        <v>1</v>
      </c>
      <c r="G5076" s="6" t="str">
        <f>IFERROR(__xludf.DUMMYFUNCTION("""COMPUTED_VALUE"""),"Unit")</f>
        <v>Unit</v>
      </c>
      <c r="H5076" s="6" t="str">
        <f>IFERROR(__xludf.DUMMYFUNCTION("""COMPUTED_VALUE"""),"EUR")</f>
        <v>EUR</v>
      </c>
      <c r="I5076" s="6">
        <f>IFERROR(__xludf.DUMMYFUNCTION("""COMPUTED_VALUE"""),1.6107588E8)</f>
        <v>161075880</v>
      </c>
      <c r="J5076" s="6">
        <f>IFERROR(__xludf.DUMMYFUNCTION("""COMPUTED_VALUE"""),1.6107588E8)</f>
        <v>161075880</v>
      </c>
      <c r="K5076" s="57">
        <f>IFERROR(__xludf.DUMMYFUNCTION("""COMPUTED_VALUE"""),46129.0)</f>
        <v>46129</v>
      </c>
      <c r="L5076" s="6" t="str">
        <f>IFERROR(__xludf.DUMMYFUNCTION("""COMPUTED_VALUE"""),"FIP General")</f>
        <v>FIP General</v>
      </c>
      <c r="M5076" s="6" t="str">
        <f>IFERROR(__xludf.DUMMYFUNCTION("""COMPUTED_VALUE"""),"Mochammad Fadhillah Hakim,")</f>
        <v>Mochammad Fadhillah Hakim,</v>
      </c>
      <c r="N5076" s="6" t="str">
        <f>IFERROR(__xludf.DUMMYFUNCTION("""COMPUTED_VALUE"""),"FIP Engineering")</f>
        <v>FIP Engineering</v>
      </c>
      <c r="O5076" s="6" t="str">
        <f>IFERROR(__xludf.DUMMYFUNCTION("""COMPUTED_VALUE"""),"FIP-DOM-PRJ-13404-MC26022-INA-000000")</f>
        <v>FIP-DOM-PRJ-13404-MC26022-INA-000000</v>
      </c>
      <c r="P5076" s="6" t="str">
        <f>IFERROR(__xludf.DUMMYFUNCTION("""COMPUTED_VALUE"""),"PO Closed")</f>
        <v>PO Closed</v>
      </c>
      <c r="Q5076" s="6" t="str">
        <f>IFERROR(__xludf.DUMMYFUNCTION("""COMPUTED_VALUE"""),"GL2412016")</f>
        <v>GL2412016</v>
      </c>
      <c r="R5076" s="57">
        <f>IFERROR(__xludf.DUMMYFUNCTION("""COMPUTED_VALUE"""),46092.0)</f>
        <v>46092</v>
      </c>
      <c r="S5076" s="57">
        <f>IFERROR(__xludf.DUMMYFUNCTION("""COMPUTED_VALUE"""),46092.0)</f>
        <v>46092</v>
      </c>
      <c r="T5076" s="57">
        <f>IFERROR(__xludf.DUMMYFUNCTION("""COMPUTED_VALUE"""),46129.0)</f>
        <v>46129</v>
      </c>
    </row>
    <row r="5077">
      <c r="A5077" s="6" t="str">
        <f>IFERROR(__xludf.DUMMYFUNCTION("""COMPUTED_VALUE"""),"121704023-1")</f>
        <v>121704023-1</v>
      </c>
      <c r="B5077" s="6" t="str">
        <f>IFERROR(__xludf.DUMMYFUNCTION("""COMPUTED_VALUE"""),"121704023 - APPROVED")</f>
        <v>121704023 - APPROVED</v>
      </c>
      <c r="C5077" s="6">
        <f>IFERROR(__xludf.DUMMYFUNCTION("""COMPUTED_VALUE"""),1.0)</f>
        <v>1</v>
      </c>
      <c r="D5077" s="6" t="str">
        <f>IFERROR(__xludf.DUMMYFUNCTION("""COMPUTED_VALUE"""),"P-20570-00")</f>
        <v>P-20570-00</v>
      </c>
      <c r="E5077" s="6" t="str">
        <f>IFERROR(__xludf.DUMMYFUNCTION("""COMPUTED_VALUE"""),"General - Dudukan Equinok Uk. 50 x 90 x 160mm; Custom Agru; -; 1 pc")</f>
        <v>General - Dudukan Equinok Uk. 50 x 90 x 160mm; Custom Agru; -; 1 pc</v>
      </c>
      <c r="F5077" s="6">
        <f>IFERROR(__xludf.DUMMYFUNCTION("""COMPUTED_VALUE"""),1.0)</f>
        <v>1</v>
      </c>
      <c r="G5077" s="6" t="str">
        <f>IFERROR(__xludf.DUMMYFUNCTION("""COMPUTED_VALUE"""),"Pieces")</f>
        <v>Pieces</v>
      </c>
      <c r="H5077" s="6" t="str">
        <f>IFERROR(__xludf.DUMMYFUNCTION("""COMPUTED_VALUE"""),"IDR")</f>
        <v>IDR</v>
      </c>
      <c r="I5077" s="6">
        <f>IFERROR(__xludf.DUMMYFUNCTION("""COMPUTED_VALUE"""),2275000.0)</f>
        <v>2275000</v>
      </c>
      <c r="J5077" s="6">
        <f>IFERROR(__xludf.DUMMYFUNCTION("""COMPUTED_VALUE"""),2275000.0)</f>
        <v>2275000</v>
      </c>
      <c r="K5077" s="57">
        <f>IFERROR(__xludf.DUMMYFUNCTION("""COMPUTED_VALUE"""),46129.0)</f>
        <v>46129</v>
      </c>
      <c r="L5077" s="6" t="str">
        <f>IFERROR(__xludf.DUMMYFUNCTION("""COMPUTED_VALUE"""),"FIP Engineering")</f>
        <v>FIP Engineering</v>
      </c>
      <c r="M5077" s="6" t="str">
        <f>IFERROR(__xludf.DUMMYFUNCTION("""COMPUTED_VALUE"""),"Mochammad Fadhillah Hakim,")</f>
        <v>Mochammad Fadhillah Hakim,</v>
      </c>
      <c r="N5077" s="6" t="str">
        <f>IFERROR(__xludf.DUMMYFUNCTION("""COMPUTED_VALUE"""),"FIP Engineering")</f>
        <v>FIP Engineering</v>
      </c>
      <c r="O5077" s="6" t="str">
        <f>IFERROR(__xludf.DUMMYFUNCTION("""COMPUTED_VALUE"""),"FIP-DOM-000-11304-OS00001-INA-000000")</f>
        <v>FIP-DOM-000-11304-OS00001-INA-000000</v>
      </c>
      <c r="P5077" s="6" t="str">
        <f>IFERROR(__xludf.DUMMYFUNCTION("""COMPUTED_VALUE"""),"PO Closed")</f>
        <v>PO Closed</v>
      </c>
      <c r="Q5077" s="6" t="str">
        <f>IFERROR(__xludf.DUMMYFUNCTION("""COMPUTED_VALUE"""),"GL2603054")</f>
        <v>GL2603054</v>
      </c>
      <c r="R5077" s="57">
        <f>IFERROR(__xludf.DUMMYFUNCTION("""COMPUTED_VALUE"""),46092.0)</f>
        <v>46092</v>
      </c>
      <c r="S5077" s="57">
        <f>IFERROR(__xludf.DUMMYFUNCTION("""COMPUTED_VALUE"""),46092.0)</f>
        <v>46092</v>
      </c>
      <c r="T5077" s="57">
        <f>IFERROR(__xludf.DUMMYFUNCTION("""COMPUTED_VALUE"""),46152.0)</f>
        <v>46152</v>
      </c>
    </row>
    <row r="5078">
      <c r="A5078" s="6" t="str">
        <f>IFERROR(__xludf.DUMMYFUNCTION("""COMPUTED_VALUE"""),"121704024-1")</f>
        <v>121704024-1</v>
      </c>
      <c r="B5078" s="6" t="str">
        <f>IFERROR(__xludf.DUMMYFUNCTION("""COMPUTED_VALUE"""),"121704024 - APPROVED")</f>
        <v>121704024 - APPROVED</v>
      </c>
      <c r="C5078" s="6">
        <f>IFERROR(__xludf.DUMMYFUNCTION("""COMPUTED_VALUE"""),1.0)</f>
        <v>1</v>
      </c>
      <c r="D5078" s="6" t="str">
        <f>IFERROR(__xludf.DUMMYFUNCTION("""COMPUTED_VALUE"""),"P-20639-00")</f>
        <v>P-20639-00</v>
      </c>
      <c r="E5078" s="6" t="str">
        <f>IFERROR(__xludf.DUMMYFUNCTION("""COMPUTED_VALUE"""),"General - Pipa Tembaga Dia. 4mm; No Brand; -; 1 meter")</f>
        <v>General - Pipa Tembaga Dia. 4mm; No Brand; -; 1 meter</v>
      </c>
      <c r="F5078" s="6">
        <f>IFERROR(__xludf.DUMMYFUNCTION("""COMPUTED_VALUE"""),1.0)</f>
        <v>1</v>
      </c>
      <c r="G5078" s="6" t="str">
        <f>IFERROR(__xludf.DUMMYFUNCTION("""COMPUTED_VALUE"""),"Pieces")</f>
        <v>Pieces</v>
      </c>
      <c r="H5078" s="6" t="str">
        <f>IFERROR(__xludf.DUMMYFUNCTION("""COMPUTED_VALUE"""),"IDR")</f>
        <v>IDR</v>
      </c>
      <c r="I5078" s="6">
        <f>IFERROR(__xludf.DUMMYFUNCTION("""COMPUTED_VALUE"""),200000.0)</f>
        <v>200000</v>
      </c>
      <c r="J5078" s="6">
        <f>IFERROR(__xludf.DUMMYFUNCTION("""COMPUTED_VALUE"""),200000.0)</f>
        <v>200000</v>
      </c>
      <c r="K5078" s="57">
        <f>IFERROR(__xludf.DUMMYFUNCTION("""COMPUTED_VALUE"""),46129.0)</f>
        <v>46129</v>
      </c>
      <c r="L5078" s="6" t="str">
        <f>IFERROR(__xludf.DUMMYFUNCTION("""COMPUTED_VALUE"""),"FIP Engineering")</f>
        <v>FIP Engineering</v>
      </c>
      <c r="M5078" s="6" t="str">
        <f>IFERROR(__xludf.DUMMYFUNCTION("""COMPUTED_VALUE"""),"Mochammad Fadhillah Hakim,")</f>
        <v>Mochammad Fadhillah Hakim,</v>
      </c>
      <c r="N5078" s="6" t="str">
        <f>IFERROR(__xludf.DUMMYFUNCTION("""COMPUTED_VALUE"""),"FIP Engineering")</f>
        <v>FIP Engineering</v>
      </c>
      <c r="O5078" s="6" t="str">
        <f>IFERROR(__xludf.DUMMYFUNCTION("""COMPUTED_VALUE"""),"FIP-DOM-000-11304-OS00001-INA-000000")</f>
        <v>FIP-DOM-000-11304-OS00001-INA-000000</v>
      </c>
      <c r="P5078" s="6" t="str">
        <f>IFERROR(__xludf.DUMMYFUNCTION("""COMPUTED_VALUE"""),"PO Closed")</f>
        <v>PO Closed</v>
      </c>
      <c r="Q5078" s="6" t="str">
        <f>IFERROR(__xludf.DUMMYFUNCTION("""COMPUTED_VALUE"""),"GL2604019")</f>
        <v>GL2604019</v>
      </c>
      <c r="R5078" s="57">
        <f>IFERROR(__xludf.DUMMYFUNCTION("""COMPUTED_VALUE"""),46092.0)</f>
        <v>46092</v>
      </c>
      <c r="S5078" s="57">
        <f>IFERROR(__xludf.DUMMYFUNCTION("""COMPUTED_VALUE"""),46094.0)</f>
        <v>46094</v>
      </c>
      <c r="T5078" s="57">
        <f>IFERROR(__xludf.DUMMYFUNCTION("""COMPUTED_VALUE"""),46147.0)</f>
        <v>46147</v>
      </c>
    </row>
    <row r="5079">
      <c r="A5079" s="6" t="str">
        <f>IFERROR(__xludf.DUMMYFUNCTION("""COMPUTED_VALUE"""),"121704024-2")</f>
        <v>121704024-2</v>
      </c>
      <c r="B5079" s="6" t="str">
        <f>IFERROR(__xludf.DUMMYFUNCTION("""COMPUTED_VALUE"""),"121704024 - APPROVED")</f>
        <v>121704024 - APPROVED</v>
      </c>
      <c r="C5079" s="6">
        <f>IFERROR(__xludf.DUMMYFUNCTION("""COMPUTED_VALUE"""),2.0)</f>
        <v>2</v>
      </c>
      <c r="D5079" s="6" t="str">
        <f>IFERROR(__xludf.DUMMYFUNCTION("""COMPUTED_VALUE"""),"P-20640-00")</f>
        <v>P-20640-00</v>
      </c>
      <c r="E5079" s="6" t="str">
        <f>IFERROR(__xludf.DUMMYFUNCTION("""COMPUTED_VALUE"""),"General - Tee Tembaga 1/4inch; No Brand; -; 1 pc")</f>
        <v>General - Tee Tembaga 1/4inch; No Brand; -; 1 pc</v>
      </c>
      <c r="F5079" s="6">
        <f>IFERROR(__xludf.DUMMYFUNCTION("""COMPUTED_VALUE"""),1.0)</f>
        <v>1</v>
      </c>
      <c r="G5079" s="6" t="str">
        <f>IFERROR(__xludf.DUMMYFUNCTION("""COMPUTED_VALUE"""),"Pieces")</f>
        <v>Pieces</v>
      </c>
      <c r="H5079" s="6" t="str">
        <f>IFERROR(__xludf.DUMMYFUNCTION("""COMPUTED_VALUE"""),"IDR")</f>
        <v>IDR</v>
      </c>
      <c r="I5079" s="6">
        <f>IFERROR(__xludf.DUMMYFUNCTION("""COMPUTED_VALUE"""),120000.0)</f>
        <v>120000</v>
      </c>
      <c r="J5079" s="6">
        <f>IFERROR(__xludf.DUMMYFUNCTION("""COMPUTED_VALUE"""),120000.0)</f>
        <v>120000</v>
      </c>
      <c r="K5079" s="57">
        <f>IFERROR(__xludf.DUMMYFUNCTION("""COMPUTED_VALUE"""),46129.0)</f>
        <v>46129</v>
      </c>
      <c r="L5079" s="6" t="str">
        <f>IFERROR(__xludf.DUMMYFUNCTION("""COMPUTED_VALUE"""),"FIP Engineering")</f>
        <v>FIP Engineering</v>
      </c>
      <c r="M5079" s="6" t="str">
        <f>IFERROR(__xludf.DUMMYFUNCTION("""COMPUTED_VALUE"""),"Mochammad Fadhillah Hakim,")</f>
        <v>Mochammad Fadhillah Hakim,</v>
      </c>
      <c r="N5079" s="6" t="str">
        <f>IFERROR(__xludf.DUMMYFUNCTION("""COMPUTED_VALUE"""),"FIP Engineering")</f>
        <v>FIP Engineering</v>
      </c>
      <c r="O5079" s="6" t="str">
        <f>IFERROR(__xludf.DUMMYFUNCTION("""COMPUTED_VALUE"""),"FIP-DOM-000-11304-OS00001-INA-000000")</f>
        <v>FIP-DOM-000-11304-OS00001-INA-000000</v>
      </c>
      <c r="P5079" s="6" t="str">
        <f>IFERROR(__xludf.DUMMYFUNCTION("""COMPUTED_VALUE"""),"PO Closed")</f>
        <v>PO Closed</v>
      </c>
      <c r="Q5079" s="6" t="str">
        <f>IFERROR(__xludf.DUMMYFUNCTION("""COMPUTED_VALUE"""),"GL2604019")</f>
        <v>GL2604019</v>
      </c>
      <c r="R5079" s="57">
        <f>IFERROR(__xludf.DUMMYFUNCTION("""COMPUTED_VALUE"""),46092.0)</f>
        <v>46092</v>
      </c>
      <c r="S5079" s="57">
        <f>IFERROR(__xludf.DUMMYFUNCTION("""COMPUTED_VALUE"""),46094.0)</f>
        <v>46094</v>
      </c>
      <c r="T5079" s="57">
        <f>IFERROR(__xludf.DUMMYFUNCTION("""COMPUTED_VALUE"""),46147.0)</f>
        <v>46147</v>
      </c>
    </row>
    <row r="5080">
      <c r="A5080" s="6" t="str">
        <f>IFERROR(__xludf.DUMMYFUNCTION("""COMPUTED_VALUE"""),"121704024-3")</f>
        <v>121704024-3</v>
      </c>
      <c r="B5080" s="6" t="str">
        <f>IFERROR(__xludf.DUMMYFUNCTION("""COMPUTED_VALUE"""),"121704024 - APPROVED")</f>
        <v>121704024 - APPROVED</v>
      </c>
      <c r="C5080" s="6">
        <f>IFERROR(__xludf.DUMMYFUNCTION("""COMPUTED_VALUE"""),3.0)</f>
        <v>3</v>
      </c>
      <c r="D5080" s="6" t="str">
        <f>IFERROR(__xludf.DUMMYFUNCTION("""COMPUTED_VALUE"""),"P-20641-00")</f>
        <v>P-20641-00</v>
      </c>
      <c r="E5080" s="6" t="str">
        <f>IFERROR(__xludf.DUMMYFUNCTION("""COMPUTED_VALUE"""),"General - Regulator Gas 300 Bar; Harris`; 901; 1 pc")</f>
        <v>General - Regulator Gas 300 Bar; Harris`; 901; 1 pc</v>
      </c>
      <c r="F5080" s="6">
        <f>IFERROR(__xludf.DUMMYFUNCTION("""COMPUTED_VALUE"""),1.0)</f>
        <v>1</v>
      </c>
      <c r="G5080" s="6" t="str">
        <f>IFERROR(__xludf.DUMMYFUNCTION("""COMPUTED_VALUE"""),"Pieces")</f>
        <v>Pieces</v>
      </c>
      <c r="H5080" s="6" t="str">
        <f>IFERROR(__xludf.DUMMYFUNCTION("""COMPUTED_VALUE"""),"IDR")</f>
        <v>IDR</v>
      </c>
      <c r="I5080" s="6">
        <f>IFERROR(__xludf.DUMMYFUNCTION("""COMPUTED_VALUE"""),5000000.0)</f>
        <v>5000000</v>
      </c>
      <c r="J5080" s="6">
        <f>IFERROR(__xludf.DUMMYFUNCTION("""COMPUTED_VALUE"""),5000000.0)</f>
        <v>5000000</v>
      </c>
      <c r="K5080" s="57">
        <f>IFERROR(__xludf.DUMMYFUNCTION("""COMPUTED_VALUE"""),46129.0)</f>
        <v>46129</v>
      </c>
      <c r="L5080" s="6" t="str">
        <f>IFERROR(__xludf.DUMMYFUNCTION("""COMPUTED_VALUE"""),"FIP Engineering")</f>
        <v>FIP Engineering</v>
      </c>
      <c r="M5080" s="6" t="str">
        <f>IFERROR(__xludf.DUMMYFUNCTION("""COMPUTED_VALUE"""),"Mochammad Fadhillah Hakim,")</f>
        <v>Mochammad Fadhillah Hakim,</v>
      </c>
      <c r="N5080" s="6" t="str">
        <f>IFERROR(__xludf.DUMMYFUNCTION("""COMPUTED_VALUE"""),"FIP Engineering")</f>
        <v>FIP Engineering</v>
      </c>
      <c r="O5080" s="6" t="str">
        <f>IFERROR(__xludf.DUMMYFUNCTION("""COMPUTED_VALUE"""),"FIP-DOM-000-11304-OS00001-INA-000000")</f>
        <v>FIP-DOM-000-11304-OS00001-INA-000000</v>
      </c>
      <c r="P5080" s="6" t="str">
        <f>IFERROR(__xludf.DUMMYFUNCTION("""COMPUTED_VALUE"""),"PO Closed")</f>
        <v>PO Closed</v>
      </c>
      <c r="Q5080" s="6" t="str">
        <f>IFERROR(__xludf.DUMMYFUNCTION("""COMPUTED_VALUE"""),"GL2604019")</f>
        <v>GL2604019</v>
      </c>
      <c r="R5080" s="57">
        <f>IFERROR(__xludf.DUMMYFUNCTION("""COMPUTED_VALUE"""),46092.0)</f>
        <v>46092</v>
      </c>
      <c r="S5080" s="57">
        <f>IFERROR(__xludf.DUMMYFUNCTION("""COMPUTED_VALUE"""),46094.0)</f>
        <v>46094</v>
      </c>
      <c r="T5080" s="57">
        <f>IFERROR(__xludf.DUMMYFUNCTION("""COMPUTED_VALUE"""),46147.0)</f>
        <v>46147</v>
      </c>
    </row>
    <row r="5081">
      <c r="A5081" s="6" t="str">
        <f>IFERROR(__xludf.DUMMYFUNCTION("""COMPUTED_VALUE"""),"121704024-4")</f>
        <v>121704024-4</v>
      </c>
      <c r="B5081" s="6" t="str">
        <f>IFERROR(__xludf.DUMMYFUNCTION("""COMPUTED_VALUE"""),"121704024 - APPROVED")</f>
        <v>121704024 - APPROVED</v>
      </c>
      <c r="C5081" s="6">
        <f>IFERROR(__xludf.DUMMYFUNCTION("""COMPUTED_VALUE"""),4.0)</f>
        <v>4</v>
      </c>
      <c r="D5081" s="6" t="str">
        <f>IFERROR(__xludf.DUMMYFUNCTION("""COMPUTED_VALUE"""),"P-20642-00")</f>
        <v>P-20642-00</v>
      </c>
      <c r="E5081" s="6" t="str">
        <f>IFERROR(__xludf.DUMMYFUNCTION("""COMPUTED_VALUE"""),"General - Quick Connector STWM 1/4 Male JIC; Swagelok; -; 1 pc")</f>
        <v>General - Quick Connector STWM 1/4 Male JIC; Swagelok; -; 1 pc</v>
      </c>
      <c r="F5081" s="6">
        <f>IFERROR(__xludf.DUMMYFUNCTION("""COMPUTED_VALUE"""),1.0)</f>
        <v>1</v>
      </c>
      <c r="G5081" s="6" t="str">
        <f>IFERROR(__xludf.DUMMYFUNCTION("""COMPUTED_VALUE"""),"Pieces")</f>
        <v>Pieces</v>
      </c>
      <c r="H5081" s="6" t="str">
        <f>IFERROR(__xludf.DUMMYFUNCTION("""COMPUTED_VALUE"""),"IDR")</f>
        <v>IDR</v>
      </c>
      <c r="I5081" s="6">
        <f>IFERROR(__xludf.DUMMYFUNCTION("""COMPUTED_VALUE"""),4200000.0)</f>
        <v>4200000</v>
      </c>
      <c r="J5081" s="6">
        <f>IFERROR(__xludf.DUMMYFUNCTION("""COMPUTED_VALUE"""),4200000.0)</f>
        <v>4200000</v>
      </c>
      <c r="K5081" s="57">
        <f>IFERROR(__xludf.DUMMYFUNCTION("""COMPUTED_VALUE"""),46129.0)</f>
        <v>46129</v>
      </c>
      <c r="L5081" s="6" t="str">
        <f>IFERROR(__xludf.DUMMYFUNCTION("""COMPUTED_VALUE"""),"FIP Engineering")</f>
        <v>FIP Engineering</v>
      </c>
      <c r="M5081" s="6" t="str">
        <f>IFERROR(__xludf.DUMMYFUNCTION("""COMPUTED_VALUE"""),"Mochammad Fadhillah Hakim,")</f>
        <v>Mochammad Fadhillah Hakim,</v>
      </c>
      <c r="N5081" s="6" t="str">
        <f>IFERROR(__xludf.DUMMYFUNCTION("""COMPUTED_VALUE"""),"FIP Engineering")</f>
        <v>FIP Engineering</v>
      </c>
      <c r="O5081" s="6" t="str">
        <f>IFERROR(__xludf.DUMMYFUNCTION("""COMPUTED_VALUE"""),"FIP-DOM-000-11304-OS00001-INA-000000")</f>
        <v>FIP-DOM-000-11304-OS00001-INA-000000</v>
      </c>
      <c r="P5081" s="6" t="str">
        <f>IFERROR(__xludf.DUMMYFUNCTION("""COMPUTED_VALUE"""),"PO Closed")</f>
        <v>PO Closed</v>
      </c>
      <c r="Q5081" s="6" t="str">
        <f>IFERROR(__xludf.DUMMYFUNCTION("""COMPUTED_VALUE"""),"GL2604019")</f>
        <v>GL2604019</v>
      </c>
      <c r="R5081" s="57">
        <f>IFERROR(__xludf.DUMMYFUNCTION("""COMPUTED_VALUE"""),46092.0)</f>
        <v>46092</v>
      </c>
      <c r="S5081" s="57">
        <f>IFERROR(__xludf.DUMMYFUNCTION("""COMPUTED_VALUE"""),46094.0)</f>
        <v>46094</v>
      </c>
      <c r="T5081" s="57">
        <f>IFERROR(__xludf.DUMMYFUNCTION("""COMPUTED_VALUE"""),46147.0)</f>
        <v>46147</v>
      </c>
    </row>
    <row r="5082">
      <c r="A5082" s="6" t="str">
        <f>IFERROR(__xludf.DUMMYFUNCTION("""COMPUTED_VALUE"""),"121704031-1")</f>
        <v>121704031-1</v>
      </c>
      <c r="B5082" s="6" t="str">
        <f>IFERROR(__xludf.DUMMYFUNCTION("""COMPUTED_VALUE"""),"121704031 - APPROVED")</f>
        <v>121704031 - APPROVED</v>
      </c>
      <c r="C5082" s="6">
        <f>IFERROR(__xludf.DUMMYFUNCTION("""COMPUTED_VALUE"""),1.0)</f>
        <v>1</v>
      </c>
      <c r="D5082" s="6" t="str">
        <f>IFERROR(__xludf.DUMMYFUNCTION("""COMPUTED_VALUE"""),"P-54584-00")</f>
        <v>P-54584-00</v>
      </c>
      <c r="E5082" s="6" t="str">
        <f>IFERROR(__xludf.DUMMYFUNCTION("""COMPUTED_VALUE"""),"AHU - Centrifugal Duct Inline Blower 8inch; Nicotra; GCIL 200; 1 unit")</f>
        <v>AHU - Centrifugal Duct Inline Blower 8inch; Nicotra; GCIL 200; 1 unit</v>
      </c>
      <c r="F5082" s="6">
        <f>IFERROR(__xludf.DUMMYFUNCTION("""COMPUTED_VALUE"""),2.0)</f>
        <v>2</v>
      </c>
      <c r="G5082" s="6" t="str">
        <f>IFERROR(__xludf.DUMMYFUNCTION("""COMPUTED_VALUE"""),"Unit")</f>
        <v>Unit</v>
      </c>
      <c r="H5082" s="6" t="str">
        <f>IFERROR(__xludf.DUMMYFUNCTION("""COMPUTED_VALUE"""),"IDR")</f>
        <v>IDR</v>
      </c>
      <c r="I5082" s="6">
        <f>IFERROR(__xludf.DUMMYFUNCTION("""COMPUTED_VALUE"""),5000000.0)</f>
        <v>5000000</v>
      </c>
      <c r="J5082" s="6">
        <f>IFERROR(__xludf.DUMMYFUNCTION("""COMPUTED_VALUE"""),1.0E7)</f>
        <v>10000000</v>
      </c>
      <c r="K5082" s="57">
        <f>IFERROR(__xludf.DUMMYFUNCTION("""COMPUTED_VALUE"""),46104.0)</f>
        <v>46104</v>
      </c>
      <c r="L5082" s="6" t="str">
        <f>IFERROR(__xludf.DUMMYFUNCTION("""COMPUTED_VALUE"""),"FIP Engineering")</f>
        <v>FIP Engineering</v>
      </c>
      <c r="M5082" s="6" t="str">
        <f>IFERROR(__xludf.DUMMYFUNCTION("""COMPUTED_VALUE"""),"Mochammad Fadhillah Hakim,")</f>
        <v>Mochammad Fadhillah Hakim,</v>
      </c>
      <c r="N5082" s="6" t="str">
        <f>IFERROR(__xludf.DUMMYFUNCTION("""COMPUTED_VALUE"""),"FIP Engineering")</f>
        <v>FIP Engineering</v>
      </c>
      <c r="O5082" s="6" t="str">
        <f>IFERROR(__xludf.DUMMYFUNCTION("""COMPUTED_VALUE"""),"FIP-DOM-000-11304-OS00001-INA-000000")</f>
        <v>FIP-DOM-000-11304-OS00001-INA-000000</v>
      </c>
      <c r="P5082" s="6" t="str">
        <f>IFERROR(__xludf.DUMMYFUNCTION("""COMPUTED_VALUE"""),"PO Closed")</f>
        <v>PO Closed</v>
      </c>
      <c r="Q5082" s="6" t="str">
        <f>IFERROR(__xludf.DUMMYFUNCTION("""COMPUTED_VALUE"""),"GL2603475")</f>
        <v>GL2603475</v>
      </c>
      <c r="R5082" s="57">
        <f>IFERROR(__xludf.DUMMYFUNCTION("""COMPUTED_VALUE"""),46094.0)</f>
        <v>46094</v>
      </c>
      <c r="S5082" s="57">
        <f>IFERROR(__xludf.DUMMYFUNCTION("""COMPUTED_VALUE"""),46094.0)</f>
        <v>46094</v>
      </c>
      <c r="T5082" s="57">
        <f>IFERROR(__xludf.DUMMYFUNCTION("""COMPUTED_VALUE"""),46117.0)</f>
        <v>46117</v>
      </c>
    </row>
    <row r="5083">
      <c r="A5083" s="6" t="str">
        <f>IFERROR(__xludf.DUMMYFUNCTION("""COMPUTED_VALUE"""),"121704032-1")</f>
        <v>121704032-1</v>
      </c>
      <c r="B5083" s="6" t="str">
        <f>IFERROR(__xludf.DUMMYFUNCTION("""COMPUTED_VALUE"""),"121704032 - APPROVED")</f>
        <v>121704032 - APPROVED</v>
      </c>
      <c r="C5083" s="6">
        <f>IFERROR(__xludf.DUMMYFUNCTION("""COMPUTED_VALUE"""),1.0)</f>
        <v>1</v>
      </c>
      <c r="D5083" s="6" t="str">
        <f>IFERROR(__xludf.DUMMYFUNCTION("""COMPUTED_VALUE"""),"O-21458-00")</f>
        <v>O-21458-00</v>
      </c>
      <c r="E5083" s="6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F5083" s="6">
        <f>IFERROR(__xludf.DUMMYFUNCTION("""COMPUTED_VALUE"""),1.0)</f>
        <v>1</v>
      </c>
      <c r="G5083" s="6" t="str">
        <f>IFERROR(__xludf.DUMMYFUNCTION("""COMPUTED_VALUE"""),"Pieces")</f>
        <v>Pieces</v>
      </c>
      <c r="H5083" s="6" t="str">
        <f>IFERROR(__xludf.DUMMYFUNCTION("""COMPUTED_VALUE"""),"IDR")</f>
        <v>IDR</v>
      </c>
      <c r="I5083" s="6">
        <f>IFERROR(__xludf.DUMMYFUNCTION("""COMPUTED_VALUE"""),2350000.0)</f>
        <v>2350000</v>
      </c>
      <c r="J5083" s="6">
        <f>IFERROR(__xludf.DUMMYFUNCTION("""COMPUTED_VALUE"""),2350000.0)</f>
        <v>2350000</v>
      </c>
      <c r="K5083" s="57">
        <f>IFERROR(__xludf.DUMMYFUNCTION("""COMPUTED_VALUE"""),46129.0)</f>
        <v>46129</v>
      </c>
      <c r="L5083" s="6" t="str">
        <f>IFERROR(__xludf.DUMMYFUNCTION("""COMPUTED_VALUE"""),"FIP Engineering")</f>
        <v>FIP Engineering</v>
      </c>
      <c r="M5083" s="6" t="str">
        <f>IFERROR(__xludf.DUMMYFUNCTION("""COMPUTED_VALUE"""),"Mochammad Fadhillah Hakim,")</f>
        <v>Mochammad Fadhillah Hakim,</v>
      </c>
      <c r="N5083" s="6" t="str">
        <f>IFERROR(__xludf.DUMMYFUNCTION("""COMPUTED_VALUE"""),"FIP Engineering")</f>
        <v>FIP Engineering</v>
      </c>
      <c r="O5083" s="6" t="str">
        <f>IFERROR(__xludf.DUMMYFUNCTION("""COMPUTED_VALUE"""),"FIP-DOM-000-11304-OS00001-INA-000000")</f>
        <v>FIP-DOM-000-11304-OS00001-INA-000000</v>
      </c>
      <c r="P5083" s="6" t="str">
        <f>IFERROR(__xludf.DUMMYFUNCTION("""COMPUTED_VALUE"""),"PO Closed")</f>
        <v>PO Closed</v>
      </c>
      <c r="Q5083" s="6" t="str">
        <f>IFERROR(__xludf.DUMMYFUNCTION("""COMPUTED_VALUE"""),"GL2603478")</f>
        <v>GL2603478</v>
      </c>
      <c r="R5083" s="57">
        <f>IFERROR(__xludf.DUMMYFUNCTION("""COMPUTED_VALUE"""),46094.0)</f>
        <v>46094</v>
      </c>
      <c r="S5083" s="57">
        <f>IFERROR(__xludf.DUMMYFUNCTION("""COMPUTED_VALUE"""),46094.0)</f>
        <v>46094</v>
      </c>
      <c r="T5083" s="57">
        <f>IFERROR(__xludf.DUMMYFUNCTION("""COMPUTED_VALUE"""),46172.0)</f>
        <v>46172</v>
      </c>
    </row>
    <row r="5084">
      <c r="A5084" s="6" t="str">
        <f>IFERROR(__xludf.DUMMYFUNCTION("""COMPUTED_VALUE"""),"121704033-1")</f>
        <v>121704033-1</v>
      </c>
      <c r="B5084" s="6" t="str">
        <f>IFERROR(__xludf.DUMMYFUNCTION("""COMPUTED_VALUE"""),"121704033 - APPROVED")</f>
        <v>121704033 - APPROVED</v>
      </c>
      <c r="C5084" s="6">
        <f>IFERROR(__xludf.DUMMYFUNCTION("""COMPUTED_VALUE"""),1.0)</f>
        <v>1</v>
      </c>
      <c r="D5084" s="6" t="str">
        <f>IFERROR(__xludf.DUMMYFUNCTION("""COMPUTED_VALUE"""),"P-20660-00")</f>
        <v>P-20660-00</v>
      </c>
      <c r="E5084" s="6" t="str">
        <f>IFERROR(__xludf.DUMMYFUNCTION("""COMPUTED_VALUE"""),"General - Gas Spring FGSS22200B; Misumi; -; 1 pc")</f>
        <v>General - Gas Spring FGSS22200B; Misumi; -; 1 pc</v>
      </c>
      <c r="F5084" s="6">
        <f>IFERROR(__xludf.DUMMYFUNCTION("""COMPUTED_VALUE"""),2.0)</f>
        <v>2</v>
      </c>
      <c r="G5084" s="6" t="str">
        <f>IFERROR(__xludf.DUMMYFUNCTION("""COMPUTED_VALUE"""),"Pieces")</f>
        <v>Pieces</v>
      </c>
      <c r="H5084" s="6" t="str">
        <f>IFERROR(__xludf.DUMMYFUNCTION("""COMPUTED_VALUE"""),"IDR")</f>
        <v>IDR</v>
      </c>
      <c r="I5084" s="6">
        <f>IFERROR(__xludf.DUMMYFUNCTION("""COMPUTED_VALUE"""),417000.0)</f>
        <v>417000</v>
      </c>
      <c r="J5084" s="6">
        <f>IFERROR(__xludf.DUMMYFUNCTION("""COMPUTED_VALUE"""),834000.0)</f>
        <v>834000</v>
      </c>
      <c r="K5084" s="57">
        <f>IFERROR(__xludf.DUMMYFUNCTION("""COMPUTED_VALUE"""),46129.0)</f>
        <v>46129</v>
      </c>
      <c r="L5084" s="6" t="str">
        <f>IFERROR(__xludf.DUMMYFUNCTION("""COMPUTED_VALUE"""),"FIP Engineering")</f>
        <v>FIP Engineering</v>
      </c>
      <c r="M5084" s="6" t="str">
        <f>IFERROR(__xludf.DUMMYFUNCTION("""COMPUTED_VALUE"""),"Mochammad Fadhillah Hakim,")</f>
        <v>Mochammad Fadhillah Hakim,</v>
      </c>
      <c r="N5084" s="6" t="str">
        <f>IFERROR(__xludf.DUMMYFUNCTION("""COMPUTED_VALUE"""),"FIP Engineering")</f>
        <v>FIP Engineering</v>
      </c>
      <c r="O5084" s="6" t="str">
        <f>IFERROR(__xludf.DUMMYFUNCTION("""COMPUTED_VALUE"""),"FIP-DOM-000-11304-OS00001-INA-000000")</f>
        <v>FIP-DOM-000-11304-OS00001-INA-000000</v>
      </c>
      <c r="P5084" s="6" t="str">
        <f>IFERROR(__xludf.DUMMYFUNCTION("""COMPUTED_VALUE"""),"PO Closed")</f>
        <v>PO Closed</v>
      </c>
      <c r="Q5084" s="6" t="str">
        <f>IFERROR(__xludf.DUMMYFUNCTION("""COMPUTED_VALUE"""),"GL2604001")</f>
        <v>GL2604001</v>
      </c>
      <c r="R5084" s="57">
        <f>IFERROR(__xludf.DUMMYFUNCTION("""COMPUTED_VALUE"""),46094.0)</f>
        <v>46094</v>
      </c>
      <c r="S5084" s="57">
        <f>IFERROR(__xludf.DUMMYFUNCTION("""COMPUTED_VALUE"""),46094.0)</f>
        <v>46094</v>
      </c>
      <c r="T5084" s="57">
        <f>IFERROR(__xludf.DUMMYFUNCTION("""COMPUTED_VALUE"""),46132.0)</f>
        <v>46132</v>
      </c>
    </row>
    <row r="5085">
      <c r="A5085" s="6" t="str">
        <f>IFERROR(__xludf.DUMMYFUNCTION("""COMPUTED_VALUE"""),"121704034-1")</f>
        <v>121704034-1</v>
      </c>
      <c r="B5085" s="6" t="str">
        <f>IFERROR(__xludf.DUMMYFUNCTION("""COMPUTED_VALUE"""),"121704034 - APPROVED")</f>
        <v>121704034 - APPROVED</v>
      </c>
      <c r="C5085" s="6">
        <f>IFERROR(__xludf.DUMMYFUNCTION("""COMPUTED_VALUE"""),1.0)</f>
        <v>1</v>
      </c>
      <c r="D5085" s="6" t="str">
        <f>IFERROR(__xludf.DUMMYFUNCTION("""COMPUTED_VALUE"""),"P-51741-00")</f>
        <v>P-51741-00</v>
      </c>
      <c r="E5085" s="6" t="str">
        <f>IFERROR(__xludf.DUMMYFUNCTION("""COMPUTED_VALUE"""),"Lampu Phillips PHP LED; 710 7w E27 White 220-240v; ; ;")</f>
        <v>Lampu Phillips PHP LED; 710 7w E27 White 220-240v; ; ;</v>
      </c>
      <c r="F5085" s="6">
        <f>IFERROR(__xludf.DUMMYFUNCTION("""COMPUTED_VALUE"""),100.0)</f>
        <v>100</v>
      </c>
      <c r="G5085" s="6" t="str">
        <f>IFERROR(__xludf.DUMMYFUNCTION("""COMPUTED_VALUE"""),"Pieces")</f>
        <v>Pieces</v>
      </c>
      <c r="H5085" s="6" t="str">
        <f>IFERROR(__xludf.DUMMYFUNCTION("""COMPUTED_VALUE"""),"IDR")</f>
        <v>IDR</v>
      </c>
      <c r="I5085" s="6">
        <f>IFERROR(__xludf.DUMMYFUNCTION("""COMPUTED_VALUE"""),33500.0)</f>
        <v>33500</v>
      </c>
      <c r="J5085" s="6">
        <f>IFERROR(__xludf.DUMMYFUNCTION("""COMPUTED_VALUE"""),3350000.0)</f>
        <v>3350000</v>
      </c>
      <c r="K5085" s="57">
        <f>IFERROR(__xludf.DUMMYFUNCTION("""COMPUTED_VALUE"""),46129.0)</f>
        <v>46129</v>
      </c>
      <c r="L5085" s="6" t="str">
        <f>IFERROR(__xludf.DUMMYFUNCTION("""COMPUTED_VALUE"""),"FIP Engineering")</f>
        <v>FIP Engineering</v>
      </c>
      <c r="M5085" s="6" t="str">
        <f>IFERROR(__xludf.DUMMYFUNCTION("""COMPUTED_VALUE"""),"Mochammad Fadhillah Hakim,")</f>
        <v>Mochammad Fadhillah Hakim,</v>
      </c>
      <c r="N5085" s="6" t="str">
        <f>IFERROR(__xludf.DUMMYFUNCTION("""COMPUTED_VALUE"""),"FIP Engineering")</f>
        <v>FIP Engineering</v>
      </c>
      <c r="O5085" s="6" t="str">
        <f>IFERROR(__xludf.DUMMYFUNCTION("""COMPUTED_VALUE"""),"FIP-DOM-000-11304-OS00001-INA-000000")</f>
        <v>FIP-DOM-000-11304-OS00001-INA-000000</v>
      </c>
      <c r="P5085" s="6" t="str">
        <f>IFERROR(__xludf.DUMMYFUNCTION("""COMPUTED_VALUE"""),"PO Closed")</f>
        <v>PO Closed</v>
      </c>
      <c r="Q5085" s="6" t="str">
        <f>IFERROR(__xludf.DUMMYFUNCTION("""COMPUTED_VALUE"""),"GL2604492")</f>
        <v>GL2604492</v>
      </c>
      <c r="R5085" s="57">
        <f>IFERROR(__xludf.DUMMYFUNCTION("""COMPUTED_VALUE"""),46094.0)</f>
        <v>46094</v>
      </c>
      <c r="S5085" s="57">
        <f>IFERROR(__xludf.DUMMYFUNCTION("""COMPUTED_VALUE"""),46094.0)</f>
        <v>46094</v>
      </c>
      <c r="T5085" s="57">
        <f>IFERROR(__xludf.DUMMYFUNCTION("""COMPUTED_VALUE"""),46142.0)</f>
        <v>46142</v>
      </c>
    </row>
    <row r="5086">
      <c r="A5086" s="6" t="str">
        <f>IFERROR(__xludf.DUMMYFUNCTION("""COMPUTED_VALUE"""),"121704034-2")</f>
        <v>121704034-2</v>
      </c>
      <c r="B5086" s="6" t="str">
        <f>IFERROR(__xludf.DUMMYFUNCTION("""COMPUTED_VALUE"""),"121704034 - APPROVED")</f>
        <v>121704034 - APPROVED</v>
      </c>
      <c r="C5086" s="6">
        <f>IFERROR(__xludf.DUMMYFUNCTION("""COMPUTED_VALUE"""),2.0)</f>
        <v>2</v>
      </c>
      <c r="D5086" s="6" t="str">
        <f>IFERROR(__xludf.DUMMYFUNCTION("""COMPUTED_VALUE"""),"Q-10845-00")</f>
        <v>Q-10845-00</v>
      </c>
      <c r="E5086" s="6" t="str">
        <f>IFERROR(__xludf.DUMMYFUNCTION("""COMPUTED_VALUE"""),"Fitting Lampu Bholam E27; ; ; pcs")</f>
        <v>Fitting Lampu Bholam E27; ; ; pcs</v>
      </c>
      <c r="F5086" s="6">
        <f>IFERROR(__xludf.DUMMYFUNCTION("""COMPUTED_VALUE"""),100.0)</f>
        <v>100</v>
      </c>
      <c r="G5086" s="6" t="str">
        <f>IFERROR(__xludf.DUMMYFUNCTION("""COMPUTED_VALUE"""),"Pieces")</f>
        <v>Pieces</v>
      </c>
      <c r="H5086" s="6" t="str">
        <f>IFERROR(__xludf.DUMMYFUNCTION("""COMPUTED_VALUE"""),"IDR")</f>
        <v>IDR</v>
      </c>
      <c r="I5086" s="6">
        <f>IFERROR(__xludf.DUMMYFUNCTION("""COMPUTED_VALUE"""),18000.0)</f>
        <v>18000</v>
      </c>
      <c r="J5086" s="6">
        <f>IFERROR(__xludf.DUMMYFUNCTION("""COMPUTED_VALUE"""),1800000.0)</f>
        <v>1800000</v>
      </c>
      <c r="K5086" s="57">
        <f>IFERROR(__xludf.DUMMYFUNCTION("""COMPUTED_VALUE"""),46129.0)</f>
        <v>46129</v>
      </c>
      <c r="L5086" s="6" t="str">
        <f>IFERROR(__xludf.DUMMYFUNCTION("""COMPUTED_VALUE"""),"FIP Engineering")</f>
        <v>FIP Engineering</v>
      </c>
      <c r="M5086" s="6" t="str">
        <f>IFERROR(__xludf.DUMMYFUNCTION("""COMPUTED_VALUE"""),"Mochammad Fadhillah Hakim,")</f>
        <v>Mochammad Fadhillah Hakim,</v>
      </c>
      <c r="N5086" s="6" t="str">
        <f>IFERROR(__xludf.DUMMYFUNCTION("""COMPUTED_VALUE"""),"FIP Engineering")</f>
        <v>FIP Engineering</v>
      </c>
      <c r="O5086" s="6" t="str">
        <f>IFERROR(__xludf.DUMMYFUNCTION("""COMPUTED_VALUE"""),"FIP-DOM-000-11304-OS00001-INA-000000")</f>
        <v>FIP-DOM-000-11304-OS00001-INA-000000</v>
      </c>
      <c r="P5086" s="6" t="str">
        <f>IFERROR(__xludf.DUMMYFUNCTION("""COMPUTED_VALUE"""),"PO Closed")</f>
        <v>PO Closed</v>
      </c>
      <c r="Q5086" s="6" t="str">
        <f>IFERROR(__xludf.DUMMYFUNCTION("""COMPUTED_VALUE"""),"GL2604040")</f>
        <v>GL2604040</v>
      </c>
      <c r="R5086" s="57">
        <f>IFERROR(__xludf.DUMMYFUNCTION("""COMPUTED_VALUE"""),46094.0)</f>
        <v>46094</v>
      </c>
      <c r="S5086" s="57">
        <f>IFERROR(__xludf.DUMMYFUNCTION("""COMPUTED_VALUE"""),46094.0)</f>
        <v>46094</v>
      </c>
      <c r="T5086" s="57">
        <f>IFERROR(__xludf.DUMMYFUNCTION("""COMPUTED_VALUE"""),46147.0)</f>
        <v>46147</v>
      </c>
    </row>
    <row r="5087">
      <c r="A5087" s="6" t="str">
        <f>IFERROR(__xludf.DUMMYFUNCTION("""COMPUTED_VALUE"""),"121704038-1")</f>
        <v>121704038-1</v>
      </c>
      <c r="B5087" s="6" t="str">
        <f>IFERROR(__xludf.DUMMYFUNCTION("""COMPUTED_VALUE"""),"121704038 - APPROVED")</f>
        <v>121704038 - APPROVED</v>
      </c>
      <c r="C5087" s="6">
        <f>IFERROR(__xludf.DUMMYFUNCTION("""COMPUTED_VALUE"""),1.0)</f>
        <v>1</v>
      </c>
      <c r="D5087" s="6" t="str">
        <f>IFERROR(__xludf.DUMMYFUNCTION("""COMPUTED_VALUE"""),"R-62010-00")</f>
        <v>R-62010-00</v>
      </c>
      <c r="E5087" s="6" t="str">
        <f>IFERROR(__xludf.DUMMYFUNCTION("""COMPUTED_VALUE"""),"Computer Desktop - Production - Dell Pro Tower QCT1250 + Dell 22 Monitor - E2225H - Dell Pro Tower QCT1250 + Dell 22 Monitor - E2225H")</f>
        <v>Computer Desktop - Production - Dell Pro Tower QCT1250 + Dell 22 Monitor - E2225H - Dell Pro Tower QCT1250 + Dell 22 Monitor - E2225H</v>
      </c>
      <c r="F5087" s="6">
        <f>IFERROR(__xludf.DUMMYFUNCTION("""COMPUTED_VALUE"""),1.0)</f>
        <v>1</v>
      </c>
      <c r="G5087" s="6" t="str">
        <f>IFERROR(__xludf.DUMMYFUNCTION("""COMPUTED_VALUE"""),"Unit")</f>
        <v>Unit</v>
      </c>
      <c r="H5087" s="6" t="str">
        <f>IFERROR(__xludf.DUMMYFUNCTION("""COMPUTED_VALUE"""),"IDR")</f>
        <v>IDR</v>
      </c>
      <c r="I5087" s="6">
        <f>IFERROR(__xludf.DUMMYFUNCTION("""COMPUTED_VALUE"""),2.6E7)</f>
        <v>26000000</v>
      </c>
      <c r="J5087" s="6">
        <f>IFERROR(__xludf.DUMMYFUNCTION("""COMPUTED_VALUE"""),2.6E7)</f>
        <v>26000000</v>
      </c>
      <c r="K5087" s="57">
        <f>IFERROR(__xludf.DUMMYFUNCTION("""COMPUTED_VALUE"""),46200.0)</f>
        <v>46200</v>
      </c>
      <c r="L5087" s="6" t="str">
        <f>IFERROR(__xludf.DUMMYFUNCTION("""COMPUTED_VALUE"""),"FIP General")</f>
        <v>FIP General</v>
      </c>
      <c r="M5087" s="6" t="str">
        <f>IFERROR(__xludf.DUMMYFUNCTION("""COMPUTED_VALUE"""),"Mochammad Fadhillah Hakim,")</f>
        <v>Mochammad Fadhillah Hakim,</v>
      </c>
      <c r="N5087" s="6" t="str">
        <f>IFERROR(__xludf.DUMMYFUNCTION("""COMPUTED_VALUE"""),"FIP Engineering")</f>
        <v>FIP Engineering</v>
      </c>
      <c r="O5087" s="6" t="str">
        <f>IFERROR(__xludf.DUMMYFUNCTION("""COMPUTED_VALUE"""),"FIP-DOM-ENG-13408-IT26001-INA-000000")</f>
        <v>FIP-DOM-ENG-13408-IT26001-INA-000000</v>
      </c>
      <c r="P5087" s="6" t="str">
        <f>IFERROR(__xludf.DUMMYFUNCTION("""COMPUTED_VALUE"""),"PR Open")</f>
        <v>PR Open</v>
      </c>
      <c r="Q5087" s="6"/>
      <c r="R5087" s="57">
        <f>IFERROR(__xludf.DUMMYFUNCTION("""COMPUTED_VALUE"""),46094.0)</f>
        <v>46094</v>
      </c>
      <c r="S5087" s="57">
        <f>IFERROR(__xludf.DUMMYFUNCTION("""COMPUTED_VALUE"""),46261.0)</f>
        <v>46261</v>
      </c>
      <c r="T5087" s="6"/>
    </row>
    <row r="5088">
      <c r="A5088" s="6" t="str">
        <f>IFERROR(__xludf.DUMMYFUNCTION("""COMPUTED_VALUE"""),"121704041-1")</f>
        <v>121704041-1</v>
      </c>
      <c r="B5088" s="6" t="str">
        <f>IFERROR(__xludf.DUMMYFUNCTION("""COMPUTED_VALUE"""),"121704041 - APPROVED")</f>
        <v>121704041 - APPROVED</v>
      </c>
      <c r="C5088" s="6">
        <f>IFERROR(__xludf.DUMMYFUNCTION("""COMPUTED_VALUE"""),1.0)</f>
        <v>1</v>
      </c>
      <c r="D5088" s="6" t="str">
        <f>IFERROR(__xludf.DUMMYFUNCTION("""COMPUTED_VALUE"""),"P-12269-00")</f>
        <v>P-12269-00</v>
      </c>
      <c r="E5088" s="6" t="str">
        <f>IFERROR(__xludf.DUMMYFUNCTION("""COMPUTED_VALUE"""),"FESTO - Push-In Fitting type QSM-M5-6 p/n 153306")</f>
        <v>FESTO - Push-In Fitting type QSM-M5-6 p/n 153306</v>
      </c>
      <c r="F5088" s="6">
        <f>IFERROR(__xludf.DUMMYFUNCTION("""COMPUTED_VALUE"""),10.0)</f>
        <v>10</v>
      </c>
      <c r="G5088" s="6" t="str">
        <f>IFERROR(__xludf.DUMMYFUNCTION("""COMPUTED_VALUE"""),"Pieces")</f>
        <v>Pieces</v>
      </c>
      <c r="H5088" s="6" t="str">
        <f>IFERROR(__xludf.DUMMYFUNCTION("""COMPUTED_VALUE"""),"IDR")</f>
        <v>IDR</v>
      </c>
      <c r="I5088" s="6">
        <f>IFERROR(__xludf.DUMMYFUNCTION("""COMPUTED_VALUE"""),32488.0)</f>
        <v>32488</v>
      </c>
      <c r="J5088" s="6">
        <f>IFERROR(__xludf.DUMMYFUNCTION("""COMPUTED_VALUE"""),324880.0)</f>
        <v>324880</v>
      </c>
      <c r="K5088" s="57">
        <f>IFERROR(__xludf.DUMMYFUNCTION("""COMPUTED_VALUE"""),46129.0)</f>
        <v>46129</v>
      </c>
      <c r="L5088" s="6" t="str">
        <f>IFERROR(__xludf.DUMMYFUNCTION("""COMPUTED_VALUE"""),"FIP Engineering")</f>
        <v>FIP Engineering</v>
      </c>
      <c r="M5088" s="6" t="str">
        <f>IFERROR(__xludf.DUMMYFUNCTION("""COMPUTED_VALUE"""),"Mochammad Fadhillah Hakim,")</f>
        <v>Mochammad Fadhillah Hakim,</v>
      </c>
      <c r="N5088" s="6" t="str">
        <f>IFERROR(__xludf.DUMMYFUNCTION("""COMPUTED_VALUE"""),"FIP Engineering")</f>
        <v>FIP Engineering</v>
      </c>
      <c r="O5088" s="6" t="str">
        <f>IFERROR(__xludf.DUMMYFUNCTION("""COMPUTED_VALUE"""),"FIP-DOM-000-11304-OS00001-INA-000000")</f>
        <v>FIP-DOM-000-11304-OS00001-INA-000000</v>
      </c>
      <c r="P5088" s="6" t="str">
        <f>IFERROR(__xludf.DUMMYFUNCTION("""COMPUTED_VALUE"""),"PO Closed")</f>
        <v>PO Closed</v>
      </c>
      <c r="Q5088" s="6" t="str">
        <f>IFERROR(__xludf.DUMMYFUNCTION("""COMPUTED_VALUE"""),"GL2604306")</f>
        <v>GL2604306</v>
      </c>
      <c r="R5088" s="57">
        <f>IFERROR(__xludf.DUMMYFUNCTION("""COMPUTED_VALUE"""),46097.0)</f>
        <v>46097</v>
      </c>
      <c r="S5088" s="57">
        <f>IFERROR(__xludf.DUMMYFUNCTION("""COMPUTED_VALUE"""),46097.0)</f>
        <v>46097</v>
      </c>
      <c r="T5088" s="57">
        <f>IFERROR(__xludf.DUMMYFUNCTION("""COMPUTED_VALUE"""),46152.0)</f>
        <v>46152</v>
      </c>
    </row>
    <row r="5089">
      <c r="A5089" s="6" t="str">
        <f>IFERROR(__xludf.DUMMYFUNCTION("""COMPUTED_VALUE"""),"121704042-1")</f>
        <v>121704042-1</v>
      </c>
      <c r="B5089" s="6" t="str">
        <f>IFERROR(__xludf.DUMMYFUNCTION("""COMPUTED_VALUE"""),"121704042 - APPROVED")</f>
        <v>121704042 - APPROVED</v>
      </c>
      <c r="C5089" s="6">
        <f>IFERROR(__xludf.DUMMYFUNCTION("""COMPUTED_VALUE"""),1.0)</f>
        <v>1</v>
      </c>
      <c r="D5089" s="6" t="str">
        <f>IFERROR(__xludf.DUMMYFUNCTION("""COMPUTED_VALUE"""),"Q-10825-00")</f>
        <v>Q-10825-00</v>
      </c>
      <c r="E5089" s="6" t="str">
        <f>IFERROR(__xludf.DUMMYFUNCTION("""COMPUTED_VALUE"""),"Tali Karet Ban;No Brand;;pack size per pcs")</f>
        <v>Tali Karet Ban;No Brand;;pack size per pcs</v>
      </c>
      <c r="F5089" s="6">
        <f>IFERROR(__xludf.DUMMYFUNCTION("""COMPUTED_VALUE"""),20.0)</f>
        <v>20</v>
      </c>
      <c r="G5089" s="6" t="str">
        <f>IFERROR(__xludf.DUMMYFUNCTION("""COMPUTED_VALUE"""),"Pieces")</f>
        <v>Pieces</v>
      </c>
      <c r="H5089" s="6" t="str">
        <f>IFERROR(__xludf.DUMMYFUNCTION("""COMPUTED_VALUE"""),"IDR")</f>
        <v>IDR</v>
      </c>
      <c r="I5089" s="6">
        <f>IFERROR(__xludf.DUMMYFUNCTION("""COMPUTED_VALUE"""),8000.0)</f>
        <v>8000</v>
      </c>
      <c r="J5089" s="6">
        <f>IFERROR(__xludf.DUMMYFUNCTION("""COMPUTED_VALUE"""),160000.0)</f>
        <v>160000</v>
      </c>
      <c r="K5089" s="57">
        <f>IFERROR(__xludf.DUMMYFUNCTION("""COMPUTED_VALUE"""),46129.0)</f>
        <v>46129</v>
      </c>
      <c r="L5089" s="6" t="str">
        <f>IFERROR(__xludf.DUMMYFUNCTION("""COMPUTED_VALUE"""),"FIP General")</f>
        <v>FIP General</v>
      </c>
      <c r="M5089" s="6" t="str">
        <f>IFERROR(__xludf.DUMMYFUNCTION("""COMPUTED_VALUE"""),"Mochammad Fadhillah Hakim,")</f>
        <v>Mochammad Fadhillah Hakim,</v>
      </c>
      <c r="N5089" s="6" t="str">
        <f>IFERROR(__xludf.DUMMYFUNCTION("""COMPUTED_VALUE"""),"FIP Engineering")</f>
        <v>FIP Engineering</v>
      </c>
      <c r="O5089" s="6" t="str">
        <f>IFERROR(__xludf.DUMMYFUNCTION("""COMPUTED_VALUE"""),"FIP-DOM-ENG-51502-0000000-INA-000000")</f>
        <v>FIP-DOM-ENG-51502-0000000-INA-000000</v>
      </c>
      <c r="P5089" s="6" t="str">
        <f>IFERROR(__xludf.DUMMYFUNCTION("""COMPUTED_VALUE"""),"PO Closed")</f>
        <v>PO Closed</v>
      </c>
      <c r="Q5089" s="6" t="str">
        <f>IFERROR(__xludf.DUMMYFUNCTION("""COMPUTED_VALUE"""),"GL2604038")</f>
        <v>GL2604038</v>
      </c>
      <c r="R5089" s="57">
        <f>IFERROR(__xludf.DUMMYFUNCTION("""COMPUTED_VALUE"""),46097.0)</f>
        <v>46097</v>
      </c>
      <c r="S5089" s="57">
        <f>IFERROR(__xludf.DUMMYFUNCTION("""COMPUTED_VALUE"""),46097.0)</f>
        <v>46097</v>
      </c>
      <c r="T5089" s="57">
        <f>IFERROR(__xludf.DUMMYFUNCTION("""COMPUTED_VALUE"""),46147.0)</f>
        <v>46147</v>
      </c>
    </row>
    <row r="5090">
      <c r="A5090" s="6" t="str">
        <f>IFERROR(__xludf.DUMMYFUNCTION("""COMPUTED_VALUE"""),"121704043-1")</f>
        <v>121704043-1</v>
      </c>
      <c r="B5090" s="6" t="str">
        <f>IFERROR(__xludf.DUMMYFUNCTION("""COMPUTED_VALUE"""),"121704043 - APPROVED")</f>
        <v>121704043 - APPROVED</v>
      </c>
      <c r="C5090" s="6">
        <f>IFERROR(__xludf.DUMMYFUNCTION("""COMPUTED_VALUE"""),1.0)</f>
        <v>1</v>
      </c>
      <c r="D5090" s="6" t="str">
        <f>IFERROR(__xludf.DUMMYFUNCTION("""COMPUTED_VALUE"""),"P-20578-00")</f>
        <v>P-20578-00</v>
      </c>
      <c r="E5090" s="6" t="str">
        <f>IFERROR(__xludf.DUMMYFUNCTION("""COMPUTED_VALUE"""),"General - Mur Rivet SS304 M5; No Brand; -; 100pcs/pck")</f>
        <v>General - Mur Rivet SS304 M5; No Brand; -; 100pcs/pck</v>
      </c>
      <c r="F5090" s="6">
        <f>IFERROR(__xludf.DUMMYFUNCTION("""COMPUTED_VALUE"""),1.0)</f>
        <v>1</v>
      </c>
      <c r="G5090" s="6" t="str">
        <f>IFERROR(__xludf.DUMMYFUNCTION("""COMPUTED_VALUE"""),"Pack")</f>
        <v>Pack</v>
      </c>
      <c r="H5090" s="6" t="str">
        <f>IFERROR(__xludf.DUMMYFUNCTION("""COMPUTED_VALUE"""),"IDR")</f>
        <v>IDR</v>
      </c>
      <c r="I5090" s="6">
        <f>IFERROR(__xludf.DUMMYFUNCTION("""COMPUTED_VALUE"""),150000.0)</f>
        <v>150000</v>
      </c>
      <c r="J5090" s="6">
        <f>IFERROR(__xludf.DUMMYFUNCTION("""COMPUTED_VALUE"""),150000.0)</f>
        <v>150000</v>
      </c>
      <c r="K5090" s="57">
        <f>IFERROR(__xludf.DUMMYFUNCTION("""COMPUTED_VALUE"""),46129.0)</f>
        <v>46129</v>
      </c>
      <c r="L5090" s="6" t="str">
        <f>IFERROR(__xludf.DUMMYFUNCTION("""COMPUTED_VALUE"""),"FIP Engineering")</f>
        <v>FIP Engineering</v>
      </c>
      <c r="M5090" s="6" t="str">
        <f>IFERROR(__xludf.DUMMYFUNCTION("""COMPUTED_VALUE"""),"Mochammad Fadhillah Hakim,")</f>
        <v>Mochammad Fadhillah Hakim,</v>
      </c>
      <c r="N5090" s="6" t="str">
        <f>IFERROR(__xludf.DUMMYFUNCTION("""COMPUTED_VALUE"""),"FIP Engineering")</f>
        <v>FIP Engineering</v>
      </c>
      <c r="O5090" s="6" t="str">
        <f>IFERROR(__xludf.DUMMYFUNCTION("""COMPUTED_VALUE"""),"FIP-DOM-000-11304-OS00001-INA-000000")</f>
        <v>FIP-DOM-000-11304-OS00001-INA-000000</v>
      </c>
      <c r="P5090" s="6" t="str">
        <f>IFERROR(__xludf.DUMMYFUNCTION("""COMPUTED_VALUE"""),"PO Closed")</f>
        <v>PO Closed</v>
      </c>
      <c r="Q5090" s="6" t="str">
        <f>IFERROR(__xludf.DUMMYFUNCTION("""COMPUTED_VALUE"""),"GL2604490")</f>
        <v>GL2604490</v>
      </c>
      <c r="R5090" s="57">
        <f>IFERROR(__xludf.DUMMYFUNCTION("""COMPUTED_VALUE"""),46097.0)</f>
        <v>46097</v>
      </c>
      <c r="S5090" s="57">
        <f>IFERROR(__xludf.DUMMYFUNCTION("""COMPUTED_VALUE"""),46098.0)</f>
        <v>46098</v>
      </c>
      <c r="T5090" s="57">
        <f>IFERROR(__xludf.DUMMYFUNCTION("""COMPUTED_VALUE"""),46129.0)</f>
        <v>46129</v>
      </c>
    </row>
    <row r="5091">
      <c r="A5091" s="6" t="str">
        <f>IFERROR(__xludf.DUMMYFUNCTION("""COMPUTED_VALUE"""),"121704043-2")</f>
        <v>121704043-2</v>
      </c>
      <c r="B5091" s="6" t="str">
        <f>IFERROR(__xludf.DUMMYFUNCTION("""COMPUTED_VALUE"""),"121704043 - APPROVED")</f>
        <v>121704043 - APPROVED</v>
      </c>
      <c r="C5091" s="6">
        <f>IFERROR(__xludf.DUMMYFUNCTION("""COMPUTED_VALUE"""),2.0)</f>
        <v>2</v>
      </c>
      <c r="D5091" s="6" t="str">
        <f>IFERROR(__xludf.DUMMYFUNCTION("""COMPUTED_VALUE"""),"P-20634-00")</f>
        <v>P-20634-00</v>
      </c>
      <c r="E5091" s="6" t="str">
        <f>IFERROR(__xludf.DUMMYFUNCTION("""COMPUTED_VALUE"""),"General - Socket Tester Pro Voltage HT106D; Habotest; -; 1 pc")</f>
        <v>General - Socket Tester Pro Voltage HT106D; Habotest; -; 1 pc</v>
      </c>
      <c r="F5091" s="6">
        <f>IFERROR(__xludf.DUMMYFUNCTION("""COMPUTED_VALUE"""),1.0)</f>
        <v>1</v>
      </c>
      <c r="G5091" s="6" t="str">
        <f>IFERROR(__xludf.DUMMYFUNCTION("""COMPUTED_VALUE"""),"Pieces")</f>
        <v>Pieces</v>
      </c>
      <c r="H5091" s="6" t="str">
        <f>IFERROR(__xludf.DUMMYFUNCTION("""COMPUTED_VALUE"""),"IDR")</f>
        <v>IDR</v>
      </c>
      <c r="I5091" s="6">
        <f>IFERROR(__xludf.DUMMYFUNCTION("""COMPUTED_VALUE"""),155000.0)</f>
        <v>155000</v>
      </c>
      <c r="J5091" s="6">
        <f>IFERROR(__xludf.DUMMYFUNCTION("""COMPUTED_VALUE"""),155000.0)</f>
        <v>155000</v>
      </c>
      <c r="K5091" s="57">
        <f>IFERROR(__xludf.DUMMYFUNCTION("""COMPUTED_VALUE"""),46129.0)</f>
        <v>46129</v>
      </c>
      <c r="L5091" s="6" t="str">
        <f>IFERROR(__xludf.DUMMYFUNCTION("""COMPUTED_VALUE"""),"FIP Engineering")</f>
        <v>FIP Engineering</v>
      </c>
      <c r="M5091" s="6" t="str">
        <f>IFERROR(__xludf.DUMMYFUNCTION("""COMPUTED_VALUE"""),"Mochammad Fadhillah Hakim,")</f>
        <v>Mochammad Fadhillah Hakim,</v>
      </c>
      <c r="N5091" s="6" t="str">
        <f>IFERROR(__xludf.DUMMYFUNCTION("""COMPUTED_VALUE"""),"FIP Engineering")</f>
        <v>FIP Engineering</v>
      </c>
      <c r="O5091" s="6" t="str">
        <f>IFERROR(__xludf.DUMMYFUNCTION("""COMPUTED_VALUE"""),"FIP-DOM-000-11304-OS00001-INA-000000")</f>
        <v>FIP-DOM-000-11304-OS00001-INA-000000</v>
      </c>
      <c r="P5091" s="6" t="str">
        <f>IFERROR(__xludf.DUMMYFUNCTION("""COMPUTED_VALUE"""),"PO Closed")</f>
        <v>PO Closed</v>
      </c>
      <c r="Q5091" s="6" t="str">
        <f>IFERROR(__xludf.DUMMYFUNCTION("""COMPUTED_VALUE"""),"GL2604492")</f>
        <v>GL2604492</v>
      </c>
      <c r="R5091" s="57">
        <f>IFERROR(__xludf.DUMMYFUNCTION("""COMPUTED_VALUE"""),46097.0)</f>
        <v>46097</v>
      </c>
      <c r="S5091" s="57">
        <f>IFERROR(__xludf.DUMMYFUNCTION("""COMPUTED_VALUE"""),46098.0)</f>
        <v>46098</v>
      </c>
      <c r="T5091" s="57">
        <f>IFERROR(__xludf.DUMMYFUNCTION("""COMPUTED_VALUE"""),46142.0)</f>
        <v>46142</v>
      </c>
    </row>
    <row r="5092">
      <c r="A5092" s="6" t="str">
        <f>IFERROR(__xludf.DUMMYFUNCTION("""COMPUTED_VALUE"""),"121704043-3")</f>
        <v>121704043-3</v>
      </c>
      <c r="B5092" s="6" t="str">
        <f>IFERROR(__xludf.DUMMYFUNCTION("""COMPUTED_VALUE"""),"121704043 - APPROVED")</f>
        <v>121704043 - APPROVED</v>
      </c>
      <c r="C5092" s="6">
        <f>IFERROR(__xludf.DUMMYFUNCTION("""COMPUTED_VALUE"""),3.0)</f>
        <v>3</v>
      </c>
      <c r="D5092" s="6" t="str">
        <f>IFERROR(__xludf.DUMMYFUNCTION("""COMPUTED_VALUE"""),"P-20638-00")</f>
        <v>P-20638-00</v>
      </c>
      <c r="E5092" s="6" t="str">
        <f>IFERROR(__xludf.DUMMYFUNCTION("""COMPUTED_VALUE"""),"General - Mata Bor Socket Hex Nut; No Brand; -; 9 pcs/set")</f>
        <v>General - Mata Bor Socket Hex Nut; No Brand; -; 9 pcs/set</v>
      </c>
      <c r="F5092" s="6">
        <f>IFERROR(__xludf.DUMMYFUNCTION("""COMPUTED_VALUE"""),1.0)</f>
        <v>1</v>
      </c>
      <c r="G5092" s="6" t="str">
        <f>IFERROR(__xludf.DUMMYFUNCTION("""COMPUTED_VALUE"""),"Set")</f>
        <v>Set</v>
      </c>
      <c r="H5092" s="6" t="str">
        <f>IFERROR(__xludf.DUMMYFUNCTION("""COMPUTED_VALUE"""),"IDR")</f>
        <v>IDR</v>
      </c>
      <c r="I5092" s="6">
        <f>IFERROR(__xludf.DUMMYFUNCTION("""COMPUTED_VALUE"""),50000.0)</f>
        <v>50000</v>
      </c>
      <c r="J5092" s="6">
        <f>IFERROR(__xludf.DUMMYFUNCTION("""COMPUTED_VALUE"""),50000.0)</f>
        <v>50000</v>
      </c>
      <c r="K5092" s="57">
        <f>IFERROR(__xludf.DUMMYFUNCTION("""COMPUTED_VALUE"""),46129.0)</f>
        <v>46129</v>
      </c>
      <c r="L5092" s="6" t="str">
        <f>IFERROR(__xludf.DUMMYFUNCTION("""COMPUTED_VALUE"""),"FIP Engineering")</f>
        <v>FIP Engineering</v>
      </c>
      <c r="M5092" s="6" t="str">
        <f>IFERROR(__xludf.DUMMYFUNCTION("""COMPUTED_VALUE"""),"Mochammad Fadhillah Hakim,")</f>
        <v>Mochammad Fadhillah Hakim,</v>
      </c>
      <c r="N5092" s="6" t="str">
        <f>IFERROR(__xludf.DUMMYFUNCTION("""COMPUTED_VALUE"""),"FIP Engineering")</f>
        <v>FIP Engineering</v>
      </c>
      <c r="O5092" s="6" t="str">
        <f>IFERROR(__xludf.DUMMYFUNCTION("""COMPUTED_VALUE"""),"FIP-DOM-000-11304-OS00001-INA-000000")</f>
        <v>FIP-DOM-000-11304-OS00001-INA-000000</v>
      </c>
      <c r="P5092" s="6" t="str">
        <f>IFERROR(__xludf.DUMMYFUNCTION("""COMPUTED_VALUE"""),"PO Closed")</f>
        <v>PO Closed</v>
      </c>
      <c r="Q5092" s="6" t="str">
        <f>IFERROR(__xludf.DUMMYFUNCTION("""COMPUTED_VALUE"""),"GL2604497")</f>
        <v>GL2604497</v>
      </c>
      <c r="R5092" s="57">
        <f>IFERROR(__xludf.DUMMYFUNCTION("""COMPUTED_VALUE"""),46097.0)</f>
        <v>46097</v>
      </c>
      <c r="S5092" s="57">
        <f>IFERROR(__xludf.DUMMYFUNCTION("""COMPUTED_VALUE"""),46098.0)</f>
        <v>46098</v>
      </c>
      <c r="T5092" s="57">
        <f>IFERROR(__xludf.DUMMYFUNCTION("""COMPUTED_VALUE"""),46137.0)</f>
        <v>46137</v>
      </c>
    </row>
    <row r="5093">
      <c r="A5093" s="6" t="str">
        <f>IFERROR(__xludf.DUMMYFUNCTION("""COMPUTED_VALUE"""),"121704043-4")</f>
        <v>121704043-4</v>
      </c>
      <c r="B5093" s="6" t="str">
        <f>IFERROR(__xludf.DUMMYFUNCTION("""COMPUTED_VALUE"""),"121704043 - APPROVED")</f>
        <v>121704043 - APPROVED</v>
      </c>
      <c r="C5093" s="6">
        <f>IFERROR(__xludf.DUMMYFUNCTION("""COMPUTED_VALUE"""),4.0)</f>
        <v>4</v>
      </c>
      <c r="D5093" s="6" t="str">
        <f>IFERROR(__xludf.DUMMYFUNCTION("""COMPUTED_VALUE"""),"P-20643-00")</f>
        <v>P-20643-00</v>
      </c>
      <c r="E5093" s="6" t="str">
        <f>IFERROR(__xludf.DUMMYFUNCTION("""COMPUTED_VALUE"""),"General - Pressure Gauge Switch 4 inch, 10kg, Drat 1/2inch; No Brand; -; 1 pc")</f>
        <v>General - Pressure Gauge Switch 4 inch, 10kg, Drat 1/2inch; No Brand; -; 1 pc</v>
      </c>
      <c r="F5093" s="6">
        <f>IFERROR(__xludf.DUMMYFUNCTION("""COMPUTED_VALUE"""),1.0)</f>
        <v>1</v>
      </c>
      <c r="G5093" s="6" t="str">
        <f>IFERROR(__xludf.DUMMYFUNCTION("""COMPUTED_VALUE"""),"Pieces")</f>
        <v>Pieces</v>
      </c>
      <c r="H5093" s="6" t="str">
        <f>IFERROR(__xludf.DUMMYFUNCTION("""COMPUTED_VALUE"""),"IDR")</f>
        <v>IDR</v>
      </c>
      <c r="I5093" s="6">
        <f>IFERROR(__xludf.DUMMYFUNCTION("""COMPUTED_VALUE"""),2000000.0)</f>
        <v>2000000</v>
      </c>
      <c r="J5093" s="6">
        <f>IFERROR(__xludf.DUMMYFUNCTION("""COMPUTED_VALUE"""),2000000.0)</f>
        <v>2000000</v>
      </c>
      <c r="K5093" s="57">
        <f>IFERROR(__xludf.DUMMYFUNCTION("""COMPUTED_VALUE"""),46129.0)</f>
        <v>46129</v>
      </c>
      <c r="L5093" s="6" t="str">
        <f>IFERROR(__xludf.DUMMYFUNCTION("""COMPUTED_VALUE"""),"FIP Engineering")</f>
        <v>FIP Engineering</v>
      </c>
      <c r="M5093" s="6" t="str">
        <f>IFERROR(__xludf.DUMMYFUNCTION("""COMPUTED_VALUE"""),"Mochammad Fadhillah Hakim,")</f>
        <v>Mochammad Fadhillah Hakim,</v>
      </c>
      <c r="N5093" s="6" t="str">
        <f>IFERROR(__xludf.DUMMYFUNCTION("""COMPUTED_VALUE"""),"FIP Engineering")</f>
        <v>FIP Engineering</v>
      </c>
      <c r="O5093" s="6" t="str">
        <f>IFERROR(__xludf.DUMMYFUNCTION("""COMPUTED_VALUE"""),"FIP-DOM-000-11304-OS00001-INA-000000")</f>
        <v>FIP-DOM-000-11304-OS00001-INA-000000</v>
      </c>
      <c r="P5093" s="6" t="str">
        <f>IFERROR(__xludf.DUMMYFUNCTION("""COMPUTED_VALUE"""),"PO Closed")</f>
        <v>PO Closed</v>
      </c>
      <c r="Q5093" s="6" t="str">
        <f>IFERROR(__xludf.DUMMYFUNCTION("""COMPUTED_VALUE"""),"GL2604497")</f>
        <v>GL2604497</v>
      </c>
      <c r="R5093" s="57">
        <f>IFERROR(__xludf.DUMMYFUNCTION("""COMPUTED_VALUE"""),46097.0)</f>
        <v>46097</v>
      </c>
      <c r="S5093" s="57">
        <f>IFERROR(__xludf.DUMMYFUNCTION("""COMPUTED_VALUE"""),46098.0)</f>
        <v>46098</v>
      </c>
      <c r="T5093" s="57">
        <f>IFERROR(__xludf.DUMMYFUNCTION("""COMPUTED_VALUE"""),46137.0)</f>
        <v>46137</v>
      </c>
    </row>
    <row r="5094">
      <c r="A5094" s="6" t="str">
        <f>IFERROR(__xludf.DUMMYFUNCTION("""COMPUTED_VALUE"""),"121704043-5")</f>
        <v>121704043-5</v>
      </c>
      <c r="B5094" s="6" t="str">
        <f>IFERROR(__xludf.DUMMYFUNCTION("""COMPUTED_VALUE"""),"121704043 - APPROVED")</f>
        <v>121704043 - APPROVED</v>
      </c>
      <c r="C5094" s="6">
        <f>IFERROR(__xludf.DUMMYFUNCTION("""COMPUTED_VALUE"""),5.0)</f>
        <v>5</v>
      </c>
      <c r="D5094" s="6" t="str">
        <f>IFERROR(__xludf.DUMMYFUNCTION("""COMPUTED_VALUE"""),"P-54576-00")</f>
        <v>P-54576-00</v>
      </c>
      <c r="E5094" s="6" t="str">
        <f>IFERROR(__xludf.DUMMYFUNCTION("""COMPUTED_VALUE"""),"General - End Plate for Terminal Blok TBR20; No Brand; -; 1 pc")</f>
        <v>General - End Plate for Terminal Blok TBR20; No Brand; -; 1 pc</v>
      </c>
      <c r="F5094" s="6">
        <f>IFERROR(__xludf.DUMMYFUNCTION("""COMPUTED_VALUE"""),100.0)</f>
        <v>100</v>
      </c>
      <c r="G5094" s="6" t="str">
        <f>IFERROR(__xludf.DUMMYFUNCTION("""COMPUTED_VALUE"""),"Pieces")</f>
        <v>Pieces</v>
      </c>
      <c r="H5094" s="6" t="str">
        <f>IFERROR(__xludf.DUMMYFUNCTION("""COMPUTED_VALUE"""),"IDR")</f>
        <v>IDR</v>
      </c>
      <c r="I5094" s="6">
        <f>IFERROR(__xludf.DUMMYFUNCTION("""COMPUTED_VALUE"""),1500.0)</f>
        <v>1500</v>
      </c>
      <c r="J5094" s="6">
        <f>IFERROR(__xludf.DUMMYFUNCTION("""COMPUTED_VALUE"""),150000.0)</f>
        <v>150000</v>
      </c>
      <c r="K5094" s="57">
        <f>IFERROR(__xludf.DUMMYFUNCTION("""COMPUTED_VALUE"""),46129.0)</f>
        <v>46129</v>
      </c>
      <c r="L5094" s="6" t="str">
        <f>IFERROR(__xludf.DUMMYFUNCTION("""COMPUTED_VALUE"""),"FIP Engineering")</f>
        <v>FIP Engineering</v>
      </c>
      <c r="M5094" s="6" t="str">
        <f>IFERROR(__xludf.DUMMYFUNCTION("""COMPUTED_VALUE"""),"Mochammad Fadhillah Hakim,")</f>
        <v>Mochammad Fadhillah Hakim,</v>
      </c>
      <c r="N5094" s="6" t="str">
        <f>IFERROR(__xludf.DUMMYFUNCTION("""COMPUTED_VALUE"""),"FIP Engineering")</f>
        <v>FIP Engineering</v>
      </c>
      <c r="O5094" s="6" t="str">
        <f>IFERROR(__xludf.DUMMYFUNCTION("""COMPUTED_VALUE"""),"FIP-DOM-000-11304-OS00001-INA-000000")</f>
        <v>FIP-DOM-000-11304-OS00001-INA-000000</v>
      </c>
      <c r="P5094" s="6" t="str">
        <f>IFERROR(__xludf.DUMMYFUNCTION("""COMPUTED_VALUE"""),"PO Closed")</f>
        <v>PO Closed</v>
      </c>
      <c r="Q5094" s="6" t="str">
        <f>IFERROR(__xludf.DUMMYFUNCTION("""COMPUTED_VALUE"""),"GL2604490")</f>
        <v>GL2604490</v>
      </c>
      <c r="R5094" s="57">
        <f>IFERROR(__xludf.DUMMYFUNCTION("""COMPUTED_VALUE"""),46097.0)</f>
        <v>46097</v>
      </c>
      <c r="S5094" s="57">
        <f>IFERROR(__xludf.DUMMYFUNCTION("""COMPUTED_VALUE"""),46098.0)</f>
        <v>46098</v>
      </c>
      <c r="T5094" s="57">
        <f>IFERROR(__xludf.DUMMYFUNCTION("""COMPUTED_VALUE"""),46129.0)</f>
        <v>46129</v>
      </c>
    </row>
    <row r="5095">
      <c r="A5095" s="6" t="str">
        <f>IFERROR(__xludf.DUMMYFUNCTION("""COMPUTED_VALUE"""),"121704044-1")</f>
        <v>121704044-1</v>
      </c>
      <c r="B5095" s="6" t="str">
        <f>IFERROR(__xludf.DUMMYFUNCTION("""COMPUTED_VALUE"""),"121704044 - APPROVED")</f>
        <v>121704044 - APPROVED</v>
      </c>
      <c r="C5095" s="6">
        <f>IFERROR(__xludf.DUMMYFUNCTION("""COMPUTED_VALUE"""),1.0)</f>
        <v>1</v>
      </c>
      <c r="D5095" s="6" t="str">
        <f>IFERROR(__xludf.DUMMYFUNCTION("""COMPUTED_VALUE"""),"S-20856-00")</f>
        <v>S-20856-00</v>
      </c>
      <c r="E5095" s="6" t="str">
        <f>IFERROR(__xludf.DUMMYFUNCTION("""COMPUTED_VALUE"""),"Senter Kepala / LED Head Lamp ; 1600A0307X ; Bosch ; pack size per pcsp; ; ;")</f>
        <v>Senter Kepala / LED Head Lamp ; 1600A0307X ; Bosch ; pack size per pcsp; ; ;</v>
      </c>
      <c r="F5095" s="6">
        <f>IFERROR(__xludf.DUMMYFUNCTION("""COMPUTED_VALUE"""),3.0)</f>
        <v>3</v>
      </c>
      <c r="G5095" s="6" t="str">
        <f>IFERROR(__xludf.DUMMYFUNCTION("""COMPUTED_VALUE"""),"Pieces")</f>
        <v>Pieces</v>
      </c>
      <c r="H5095" s="6" t="str">
        <f>IFERROR(__xludf.DUMMYFUNCTION("""COMPUTED_VALUE"""),"IDR")</f>
        <v>IDR</v>
      </c>
      <c r="I5095" s="6">
        <f>IFERROR(__xludf.DUMMYFUNCTION("""COMPUTED_VALUE"""),200000.0)</f>
        <v>200000</v>
      </c>
      <c r="J5095" s="6">
        <f>IFERROR(__xludf.DUMMYFUNCTION("""COMPUTED_VALUE"""),600000.0)</f>
        <v>600000</v>
      </c>
      <c r="K5095" s="57">
        <f>IFERROR(__xludf.DUMMYFUNCTION("""COMPUTED_VALUE"""),46129.0)</f>
        <v>46129</v>
      </c>
      <c r="L5095" s="6" t="str">
        <f>IFERROR(__xludf.DUMMYFUNCTION("""COMPUTED_VALUE"""),"FIP General")</f>
        <v>FIP General</v>
      </c>
      <c r="M5095" s="6" t="str">
        <f>IFERROR(__xludf.DUMMYFUNCTION("""COMPUTED_VALUE"""),"Mochammad Fadhillah Hakim,")</f>
        <v>Mochammad Fadhillah Hakim,</v>
      </c>
      <c r="N5095" s="6" t="str">
        <f>IFERROR(__xludf.DUMMYFUNCTION("""COMPUTED_VALUE"""),"FIP Engineering")</f>
        <v>FIP Engineering</v>
      </c>
      <c r="O5095" s="6" t="str">
        <f>IFERROR(__xludf.DUMMYFUNCTION("""COMPUTED_VALUE"""),"FIP-DOM-ENG-51404-0000000-INA-000000")</f>
        <v>FIP-DOM-ENG-51404-0000000-INA-000000</v>
      </c>
      <c r="P5095" s="6" t="str">
        <f>IFERROR(__xludf.DUMMYFUNCTION("""COMPUTED_VALUE"""),"PO Closed")</f>
        <v>PO Closed</v>
      </c>
      <c r="Q5095" s="6" t="str">
        <f>IFERROR(__xludf.DUMMYFUNCTION("""COMPUTED_VALUE"""),"GL2604023")</f>
        <v>GL2604023</v>
      </c>
      <c r="R5095" s="57">
        <f>IFERROR(__xludf.DUMMYFUNCTION("""COMPUTED_VALUE"""),46097.0)</f>
        <v>46097</v>
      </c>
      <c r="S5095" s="57">
        <f>IFERROR(__xludf.DUMMYFUNCTION("""COMPUTED_VALUE"""),46098.0)</f>
        <v>46098</v>
      </c>
      <c r="T5095" s="57">
        <f>IFERROR(__xludf.DUMMYFUNCTION("""COMPUTED_VALUE"""),46142.0)</f>
        <v>46142</v>
      </c>
    </row>
    <row r="5096">
      <c r="A5096" s="6" t="str">
        <f>IFERROR(__xludf.DUMMYFUNCTION("""COMPUTED_VALUE"""),"121704045-1")</f>
        <v>121704045-1</v>
      </c>
      <c r="B5096" s="6" t="str">
        <f>IFERROR(__xludf.DUMMYFUNCTION("""COMPUTED_VALUE"""),"121704045 - APPROVED")</f>
        <v>121704045 - APPROVED</v>
      </c>
      <c r="C5096" s="6">
        <f>IFERROR(__xludf.DUMMYFUNCTION("""COMPUTED_VALUE"""),1.0)</f>
        <v>1</v>
      </c>
      <c r="D5096" s="6" t="str">
        <f>IFERROR(__xludf.DUMMYFUNCTION("""COMPUTED_VALUE"""),"O-21433-00")</f>
        <v>O-21433-00</v>
      </c>
      <c r="E5096" s="6" t="str">
        <f>IFERROR(__xludf.DUMMYFUNCTION("""COMPUTED_VALUE"""),"Marchesini MA155 - Metal Finger Sponda Trainante; Marchesini; 3M0YI000001; 1 Pc")</f>
        <v>Marchesini MA155 - Metal Finger Sponda Trainante; Marchesini; 3M0YI000001; 1 Pc</v>
      </c>
      <c r="F5096" s="6">
        <f>IFERROR(__xludf.DUMMYFUNCTION("""COMPUTED_VALUE"""),5.0)</f>
        <v>5</v>
      </c>
      <c r="G5096" s="6" t="str">
        <f>IFERROR(__xludf.DUMMYFUNCTION("""COMPUTED_VALUE"""),"Pieces")</f>
        <v>Pieces</v>
      </c>
      <c r="H5096" s="6" t="str">
        <f>IFERROR(__xludf.DUMMYFUNCTION("""COMPUTED_VALUE"""),"IDR")</f>
        <v>IDR</v>
      </c>
      <c r="I5096" s="6">
        <f>IFERROR(__xludf.DUMMYFUNCTION("""COMPUTED_VALUE"""),7907600.0)</f>
        <v>7907600</v>
      </c>
      <c r="J5096" s="6">
        <f>IFERROR(__xludf.DUMMYFUNCTION("""COMPUTED_VALUE"""),3.9538E7)</f>
        <v>39538000</v>
      </c>
      <c r="K5096" s="57">
        <f>IFERROR(__xludf.DUMMYFUNCTION("""COMPUTED_VALUE"""),46129.0)</f>
        <v>46129</v>
      </c>
      <c r="L5096" s="6" t="str">
        <f>IFERROR(__xludf.DUMMYFUNCTION("""COMPUTED_VALUE"""),"FIP Engineering")</f>
        <v>FIP Engineering</v>
      </c>
      <c r="M5096" s="6" t="str">
        <f>IFERROR(__xludf.DUMMYFUNCTION("""COMPUTED_VALUE"""),"Mochammad Fadhillah Hakim,")</f>
        <v>Mochammad Fadhillah Hakim,</v>
      </c>
      <c r="N5096" s="6" t="str">
        <f>IFERROR(__xludf.DUMMYFUNCTION("""COMPUTED_VALUE"""),"FIP Engineering")</f>
        <v>FIP Engineering</v>
      </c>
      <c r="O5096" s="6" t="str">
        <f>IFERROR(__xludf.DUMMYFUNCTION("""COMPUTED_VALUE"""),"FIP-DOM-000-11304-OS00001-INA-000000")</f>
        <v>FIP-DOM-000-11304-OS00001-INA-000000</v>
      </c>
      <c r="P5096" s="6" t="str">
        <f>IFERROR(__xludf.DUMMYFUNCTION("""COMPUTED_VALUE"""),"PO Closed")</f>
        <v>PO Closed</v>
      </c>
      <c r="Q5096" s="6" t="str">
        <f>IFERROR(__xludf.DUMMYFUNCTION("""COMPUTED_VALUE"""),"GL2604004")</f>
        <v>GL2604004</v>
      </c>
      <c r="R5096" s="57">
        <f>IFERROR(__xludf.DUMMYFUNCTION("""COMPUTED_VALUE"""),46097.0)</f>
        <v>46097</v>
      </c>
      <c r="S5096" s="57">
        <f>IFERROR(__xludf.DUMMYFUNCTION("""COMPUTED_VALUE"""),46099.0)</f>
        <v>46099</v>
      </c>
      <c r="T5096" s="57">
        <f>IFERROR(__xludf.DUMMYFUNCTION("""COMPUTED_VALUE"""),46172.0)</f>
        <v>46172</v>
      </c>
    </row>
    <row r="5097">
      <c r="A5097" s="6" t="str">
        <f>IFERROR(__xludf.DUMMYFUNCTION("""COMPUTED_VALUE"""),"121704045-2")</f>
        <v>121704045-2</v>
      </c>
      <c r="B5097" s="6" t="str">
        <f>IFERROR(__xludf.DUMMYFUNCTION("""COMPUTED_VALUE"""),"121704045 - APPROVED")</f>
        <v>121704045 - APPROVED</v>
      </c>
      <c r="C5097" s="6">
        <f>IFERROR(__xludf.DUMMYFUNCTION("""COMPUTED_VALUE"""),2.0)</f>
        <v>2</v>
      </c>
      <c r="D5097" s="6" t="str">
        <f>IFERROR(__xludf.DUMMYFUNCTION("""COMPUTED_VALUE"""),"O-21434-00")</f>
        <v>O-21434-00</v>
      </c>
      <c r="E5097" s="6" t="str">
        <f>IFERROR(__xludf.DUMMYFUNCTION("""COMPUTED_VALUE"""),"Marchesini MA155 - Metal Finger Sponda Contrasto; Marchesini; 3M0Y000002; 1 Pc")</f>
        <v>Marchesini MA155 - Metal Finger Sponda Contrasto; Marchesini; 3M0Y000002; 1 Pc</v>
      </c>
      <c r="F5097" s="6">
        <f>IFERROR(__xludf.DUMMYFUNCTION("""COMPUTED_VALUE"""),2.0)</f>
        <v>2</v>
      </c>
      <c r="G5097" s="6" t="str">
        <f>IFERROR(__xludf.DUMMYFUNCTION("""COMPUTED_VALUE"""),"Pieces")</f>
        <v>Pieces</v>
      </c>
      <c r="H5097" s="6" t="str">
        <f>IFERROR(__xludf.DUMMYFUNCTION("""COMPUTED_VALUE"""),"IDR")</f>
        <v>IDR</v>
      </c>
      <c r="I5097" s="6">
        <f>IFERROR(__xludf.DUMMYFUNCTION("""COMPUTED_VALUE"""),7907600.0)</f>
        <v>7907600</v>
      </c>
      <c r="J5097" s="6">
        <f>IFERROR(__xludf.DUMMYFUNCTION("""COMPUTED_VALUE"""),1.58152E7)</f>
        <v>15815200</v>
      </c>
      <c r="K5097" s="57">
        <f>IFERROR(__xludf.DUMMYFUNCTION("""COMPUTED_VALUE"""),46129.0)</f>
        <v>46129</v>
      </c>
      <c r="L5097" s="6" t="str">
        <f>IFERROR(__xludf.DUMMYFUNCTION("""COMPUTED_VALUE"""),"FIP Engineering")</f>
        <v>FIP Engineering</v>
      </c>
      <c r="M5097" s="6" t="str">
        <f>IFERROR(__xludf.DUMMYFUNCTION("""COMPUTED_VALUE"""),"Mochammad Fadhillah Hakim,")</f>
        <v>Mochammad Fadhillah Hakim,</v>
      </c>
      <c r="N5097" s="6" t="str">
        <f>IFERROR(__xludf.DUMMYFUNCTION("""COMPUTED_VALUE"""),"FIP Engineering")</f>
        <v>FIP Engineering</v>
      </c>
      <c r="O5097" s="6" t="str">
        <f>IFERROR(__xludf.DUMMYFUNCTION("""COMPUTED_VALUE"""),"FIP-DOM-000-11304-OS00001-INA-000000")</f>
        <v>FIP-DOM-000-11304-OS00001-INA-000000</v>
      </c>
      <c r="P5097" s="6" t="str">
        <f>IFERROR(__xludf.DUMMYFUNCTION("""COMPUTED_VALUE"""),"PO Closed")</f>
        <v>PO Closed</v>
      </c>
      <c r="Q5097" s="6" t="str">
        <f>IFERROR(__xludf.DUMMYFUNCTION("""COMPUTED_VALUE"""),"GL2604004")</f>
        <v>GL2604004</v>
      </c>
      <c r="R5097" s="57">
        <f>IFERROR(__xludf.DUMMYFUNCTION("""COMPUTED_VALUE"""),46097.0)</f>
        <v>46097</v>
      </c>
      <c r="S5097" s="57">
        <f>IFERROR(__xludf.DUMMYFUNCTION("""COMPUTED_VALUE"""),46099.0)</f>
        <v>46099</v>
      </c>
      <c r="T5097" s="57">
        <f>IFERROR(__xludf.DUMMYFUNCTION("""COMPUTED_VALUE"""),46172.0)</f>
        <v>46172</v>
      </c>
    </row>
    <row r="5098">
      <c r="A5098" s="6" t="str">
        <f>IFERROR(__xludf.DUMMYFUNCTION("""COMPUTED_VALUE"""),"121704047-1")</f>
        <v>121704047-1</v>
      </c>
      <c r="B5098" s="6" t="str">
        <f>IFERROR(__xludf.DUMMYFUNCTION("""COMPUTED_VALUE"""),"121704047 - APPROVED")</f>
        <v>121704047 - APPROVED</v>
      </c>
      <c r="C5098" s="6">
        <f>IFERROR(__xludf.DUMMYFUNCTION("""COMPUTED_VALUE"""),1.0)</f>
        <v>1</v>
      </c>
      <c r="D5098" s="6" t="str">
        <f>IFERROR(__xludf.DUMMYFUNCTION("""COMPUTED_VALUE"""),"P-20635-00")</f>
        <v>P-20635-00</v>
      </c>
      <c r="E5098" s="6" t="str">
        <f>IFERROR(__xludf.DUMMYFUNCTION("""COMPUTED_VALUE"""),"General - Belt Dressing; Prestone; -; 250ml/can")</f>
        <v>General - Belt Dressing; Prestone; -; 250ml/can</v>
      </c>
      <c r="F5098" s="6">
        <f>IFERROR(__xludf.DUMMYFUNCTION("""COMPUTED_VALUE"""),5.0)</f>
        <v>5</v>
      </c>
      <c r="G5098" s="6" t="str">
        <f>IFERROR(__xludf.DUMMYFUNCTION("""COMPUTED_VALUE"""),"Can")</f>
        <v>Can</v>
      </c>
      <c r="H5098" s="6" t="str">
        <f>IFERROR(__xludf.DUMMYFUNCTION("""COMPUTED_VALUE"""),"IDR")</f>
        <v>IDR</v>
      </c>
      <c r="I5098" s="6">
        <f>IFERROR(__xludf.DUMMYFUNCTION("""COMPUTED_VALUE"""),45500.0)</f>
        <v>45500</v>
      </c>
      <c r="J5098" s="6">
        <f>IFERROR(__xludf.DUMMYFUNCTION("""COMPUTED_VALUE"""),227500.0)</f>
        <v>227500</v>
      </c>
      <c r="K5098" s="57">
        <f>IFERROR(__xludf.DUMMYFUNCTION("""COMPUTED_VALUE"""),46129.0)</f>
        <v>46129</v>
      </c>
      <c r="L5098" s="6" t="str">
        <f>IFERROR(__xludf.DUMMYFUNCTION("""COMPUTED_VALUE"""),"FIP Engineering")</f>
        <v>FIP Engineering</v>
      </c>
      <c r="M5098" s="6" t="str">
        <f>IFERROR(__xludf.DUMMYFUNCTION("""COMPUTED_VALUE"""),"Mochammad Fadhillah Hakim,")</f>
        <v>Mochammad Fadhillah Hakim,</v>
      </c>
      <c r="N5098" s="6" t="str">
        <f>IFERROR(__xludf.DUMMYFUNCTION("""COMPUTED_VALUE"""),"FIP Engineering")</f>
        <v>FIP Engineering</v>
      </c>
      <c r="O5098" s="6" t="str">
        <f>IFERROR(__xludf.DUMMYFUNCTION("""COMPUTED_VALUE"""),"FIP-DOM-000-11304-OS00001-INA-000000")</f>
        <v>FIP-DOM-000-11304-OS00001-INA-000000</v>
      </c>
      <c r="P5098" s="6" t="str">
        <f>IFERROR(__xludf.DUMMYFUNCTION("""COMPUTED_VALUE"""),"PO Closed")</f>
        <v>PO Closed</v>
      </c>
      <c r="Q5098" s="6" t="str">
        <f>IFERROR(__xludf.DUMMYFUNCTION("""COMPUTED_VALUE"""),"GL2604492")</f>
        <v>GL2604492</v>
      </c>
      <c r="R5098" s="57">
        <f>IFERROR(__xludf.DUMMYFUNCTION("""COMPUTED_VALUE"""),46097.0)</f>
        <v>46097</v>
      </c>
      <c r="S5098" s="57">
        <f>IFERROR(__xludf.DUMMYFUNCTION("""COMPUTED_VALUE"""),46098.0)</f>
        <v>46098</v>
      </c>
      <c r="T5098" s="57">
        <f>IFERROR(__xludf.DUMMYFUNCTION("""COMPUTED_VALUE"""),46142.0)</f>
        <v>46142</v>
      </c>
    </row>
    <row r="5099">
      <c r="A5099" s="6" t="str">
        <f>IFERROR(__xludf.DUMMYFUNCTION("""COMPUTED_VALUE"""),"121704047-2")</f>
        <v>121704047-2</v>
      </c>
      <c r="B5099" s="6" t="str">
        <f>IFERROR(__xludf.DUMMYFUNCTION("""COMPUTED_VALUE"""),"121704047 - APPROVED")</f>
        <v>121704047 - APPROVED</v>
      </c>
      <c r="C5099" s="6">
        <f>IFERROR(__xludf.DUMMYFUNCTION("""COMPUTED_VALUE"""),2.0)</f>
        <v>2</v>
      </c>
      <c r="D5099" s="6" t="str">
        <f>IFERROR(__xludf.DUMMYFUNCTION("""COMPUTED_VALUE"""),"P-54575-00")</f>
        <v>P-54575-00</v>
      </c>
      <c r="E5099" s="6" t="str">
        <f>IFERROR(__xludf.DUMMYFUNCTION("""COMPUTED_VALUE"""),"General - Fitting Lampu Halogen MR16 Socket GY5.3; No Brand; -; 1 pc")</f>
        <v>General - Fitting Lampu Halogen MR16 Socket GY5.3; No Brand; -; 1 pc</v>
      </c>
      <c r="F5099" s="6">
        <f>IFERROR(__xludf.DUMMYFUNCTION("""COMPUTED_VALUE"""),5.0)</f>
        <v>5</v>
      </c>
      <c r="G5099" s="6" t="str">
        <f>IFERROR(__xludf.DUMMYFUNCTION("""COMPUTED_VALUE"""),"Pieces")</f>
        <v>Pieces</v>
      </c>
      <c r="H5099" s="6" t="str">
        <f>IFERROR(__xludf.DUMMYFUNCTION("""COMPUTED_VALUE"""),"IDR")</f>
        <v>IDR</v>
      </c>
      <c r="I5099" s="6">
        <f>IFERROR(__xludf.DUMMYFUNCTION("""COMPUTED_VALUE"""),6750.0)</f>
        <v>6750</v>
      </c>
      <c r="J5099" s="6">
        <f>IFERROR(__xludf.DUMMYFUNCTION("""COMPUTED_VALUE"""),33750.0)</f>
        <v>33750</v>
      </c>
      <c r="K5099" s="57">
        <f>IFERROR(__xludf.DUMMYFUNCTION("""COMPUTED_VALUE"""),46129.0)</f>
        <v>46129</v>
      </c>
      <c r="L5099" s="6" t="str">
        <f>IFERROR(__xludf.DUMMYFUNCTION("""COMPUTED_VALUE"""),"FIP Engineering")</f>
        <v>FIP Engineering</v>
      </c>
      <c r="M5099" s="6" t="str">
        <f>IFERROR(__xludf.DUMMYFUNCTION("""COMPUTED_VALUE"""),"Mochammad Fadhillah Hakim,")</f>
        <v>Mochammad Fadhillah Hakim,</v>
      </c>
      <c r="N5099" s="6" t="str">
        <f>IFERROR(__xludf.DUMMYFUNCTION("""COMPUTED_VALUE"""),"FIP Engineering")</f>
        <v>FIP Engineering</v>
      </c>
      <c r="O5099" s="6" t="str">
        <f>IFERROR(__xludf.DUMMYFUNCTION("""COMPUTED_VALUE"""),"FIP-DOM-000-11304-OS00001-INA-000000")</f>
        <v>FIP-DOM-000-11304-OS00001-INA-000000</v>
      </c>
      <c r="P5099" s="6" t="str">
        <f>IFERROR(__xludf.DUMMYFUNCTION("""COMPUTED_VALUE"""),"PO Closed")</f>
        <v>PO Closed</v>
      </c>
      <c r="Q5099" s="6" t="str">
        <f>IFERROR(__xludf.DUMMYFUNCTION("""COMPUTED_VALUE"""),"GL2604492")</f>
        <v>GL2604492</v>
      </c>
      <c r="R5099" s="57">
        <f>IFERROR(__xludf.DUMMYFUNCTION("""COMPUTED_VALUE"""),46097.0)</f>
        <v>46097</v>
      </c>
      <c r="S5099" s="57">
        <f>IFERROR(__xludf.DUMMYFUNCTION("""COMPUTED_VALUE"""),46098.0)</f>
        <v>46098</v>
      </c>
      <c r="T5099" s="57">
        <f>IFERROR(__xludf.DUMMYFUNCTION("""COMPUTED_VALUE"""),46142.0)</f>
        <v>46142</v>
      </c>
    </row>
    <row r="5100">
      <c r="A5100" s="6" t="str">
        <f>IFERROR(__xludf.DUMMYFUNCTION("""COMPUTED_VALUE"""),"121704049-1")</f>
        <v>121704049-1</v>
      </c>
      <c r="B5100" s="6" t="str">
        <f>IFERROR(__xludf.DUMMYFUNCTION("""COMPUTED_VALUE"""),"121704049 - APPROVED")</f>
        <v>121704049 - APPROVED</v>
      </c>
      <c r="C5100" s="6">
        <f>IFERROR(__xludf.DUMMYFUNCTION("""COMPUTED_VALUE"""),1.0)</f>
        <v>1</v>
      </c>
      <c r="D5100" s="6" t="str">
        <f>IFERROR(__xludf.DUMMYFUNCTION("""COMPUTED_VALUE"""),"O-21438-00")</f>
        <v>O-21438-00</v>
      </c>
      <c r="E5100" s="6" t="str">
        <f>IFERROR(__xludf.DUMMYFUNCTION("""COMPUTED_VALUE"""),"Blister TR100LT - Filter Regulator; SMC; AW30-03G-D; 1 Pc")</f>
        <v>Blister TR100LT - Filter Regulator; SMC; AW30-03G-D; 1 Pc</v>
      </c>
      <c r="F5100" s="6">
        <f>IFERROR(__xludf.DUMMYFUNCTION("""COMPUTED_VALUE"""),1.0)</f>
        <v>1</v>
      </c>
      <c r="G5100" s="6" t="str">
        <f>IFERROR(__xludf.DUMMYFUNCTION("""COMPUTED_VALUE"""),"Pieces")</f>
        <v>Pieces</v>
      </c>
      <c r="H5100" s="6" t="str">
        <f>IFERROR(__xludf.DUMMYFUNCTION("""COMPUTED_VALUE"""),"IDR")</f>
        <v>IDR</v>
      </c>
      <c r="I5100" s="6">
        <f>IFERROR(__xludf.DUMMYFUNCTION("""COMPUTED_VALUE"""),917000.0)</f>
        <v>917000</v>
      </c>
      <c r="J5100" s="6">
        <f>IFERROR(__xludf.DUMMYFUNCTION("""COMPUTED_VALUE"""),917000.0)</f>
        <v>917000</v>
      </c>
      <c r="K5100" s="57">
        <f>IFERROR(__xludf.DUMMYFUNCTION("""COMPUTED_VALUE"""),46129.0)</f>
        <v>46129</v>
      </c>
      <c r="L5100" s="6" t="str">
        <f>IFERROR(__xludf.DUMMYFUNCTION("""COMPUTED_VALUE"""),"FIP Engineering")</f>
        <v>FIP Engineering</v>
      </c>
      <c r="M5100" s="6" t="str">
        <f>IFERROR(__xludf.DUMMYFUNCTION("""COMPUTED_VALUE"""),"Mochammad Fadhillah Hakim,")</f>
        <v>Mochammad Fadhillah Hakim,</v>
      </c>
      <c r="N5100" s="6" t="str">
        <f>IFERROR(__xludf.DUMMYFUNCTION("""COMPUTED_VALUE"""),"FIP Engineering")</f>
        <v>FIP Engineering</v>
      </c>
      <c r="O5100" s="6" t="str">
        <f>IFERROR(__xludf.DUMMYFUNCTION("""COMPUTED_VALUE"""),"FIP-DOM-000-11304-OS00001-INA-000000")</f>
        <v>FIP-DOM-000-11304-OS00001-INA-000000</v>
      </c>
      <c r="P5100" s="6" t="str">
        <f>IFERROR(__xludf.DUMMYFUNCTION("""COMPUTED_VALUE"""),"PO Closed")</f>
        <v>PO Closed</v>
      </c>
      <c r="Q5100" s="6" t="str">
        <f>IFERROR(__xludf.DUMMYFUNCTION("""COMPUTED_VALUE"""),"GL2604489")</f>
        <v>GL2604489</v>
      </c>
      <c r="R5100" s="57">
        <f>IFERROR(__xludf.DUMMYFUNCTION("""COMPUTED_VALUE"""),46097.0)</f>
        <v>46097</v>
      </c>
      <c r="S5100" s="57">
        <f>IFERROR(__xludf.DUMMYFUNCTION("""COMPUTED_VALUE"""),46098.0)</f>
        <v>46098</v>
      </c>
      <c r="T5100" s="57">
        <f>IFERROR(__xludf.DUMMYFUNCTION("""COMPUTED_VALUE"""),46147.0)</f>
        <v>46147</v>
      </c>
    </row>
    <row r="5101">
      <c r="A5101" s="6" t="str">
        <f>IFERROR(__xludf.DUMMYFUNCTION("""COMPUTED_VALUE"""),"121704050-1")</f>
        <v>121704050-1</v>
      </c>
      <c r="B5101" s="6" t="str">
        <f>IFERROR(__xludf.DUMMYFUNCTION("""COMPUTED_VALUE"""),"121704050 - APPROVED")</f>
        <v>121704050 - APPROVED</v>
      </c>
      <c r="C5101" s="6">
        <f>IFERROR(__xludf.DUMMYFUNCTION("""COMPUTED_VALUE"""),1.0)</f>
        <v>1</v>
      </c>
      <c r="D5101" s="6" t="str">
        <f>IFERROR(__xludf.DUMMYFUNCTION("""COMPUTED_VALUE"""),"O-16647-00")</f>
        <v>O-16647-00</v>
      </c>
      <c r="E5101" s="6" t="str">
        <f>IFERROR(__xludf.DUMMYFUNCTION("""COMPUTED_VALUE"""),"General - Oring Silicone Merah 23x18x2.5 mm; -; -; 1 Pc")</f>
        <v>General - Oring Silicone Merah 23x18x2.5 mm; -; -; 1 Pc</v>
      </c>
      <c r="F5101" s="6">
        <f>IFERROR(__xludf.DUMMYFUNCTION("""COMPUTED_VALUE"""),10.0)</f>
        <v>10</v>
      </c>
      <c r="G5101" s="6" t="str">
        <f>IFERROR(__xludf.DUMMYFUNCTION("""COMPUTED_VALUE"""),"Pieces")</f>
        <v>Pieces</v>
      </c>
      <c r="H5101" s="6" t="str">
        <f>IFERROR(__xludf.DUMMYFUNCTION("""COMPUTED_VALUE"""),"IDR")</f>
        <v>IDR</v>
      </c>
      <c r="I5101" s="6">
        <f>IFERROR(__xludf.DUMMYFUNCTION("""COMPUTED_VALUE"""),30000.0)</f>
        <v>30000</v>
      </c>
      <c r="J5101" s="6">
        <f>IFERROR(__xludf.DUMMYFUNCTION("""COMPUTED_VALUE"""),300000.0)</f>
        <v>300000</v>
      </c>
      <c r="K5101" s="57">
        <f>IFERROR(__xludf.DUMMYFUNCTION("""COMPUTED_VALUE"""),46129.0)</f>
        <v>46129</v>
      </c>
      <c r="L5101" s="6" t="str">
        <f>IFERROR(__xludf.DUMMYFUNCTION("""COMPUTED_VALUE"""),"FIP Engineering")</f>
        <v>FIP Engineering</v>
      </c>
      <c r="M5101" s="6" t="str">
        <f>IFERROR(__xludf.DUMMYFUNCTION("""COMPUTED_VALUE"""),"Mochammad Fadhillah Hakim,")</f>
        <v>Mochammad Fadhillah Hakim,</v>
      </c>
      <c r="N5101" s="6" t="str">
        <f>IFERROR(__xludf.DUMMYFUNCTION("""COMPUTED_VALUE"""),"FIP Engineering")</f>
        <v>FIP Engineering</v>
      </c>
      <c r="O5101" s="6" t="str">
        <f>IFERROR(__xludf.DUMMYFUNCTION("""COMPUTED_VALUE"""),"FIP-DOM-000-11304-OS00001-INA-000000")</f>
        <v>FIP-DOM-000-11304-OS00001-INA-000000</v>
      </c>
      <c r="P5101" s="6" t="str">
        <f>IFERROR(__xludf.DUMMYFUNCTION("""COMPUTED_VALUE"""),"PO Closed")</f>
        <v>PO Closed</v>
      </c>
      <c r="Q5101" s="6" t="str">
        <f>IFERROR(__xludf.DUMMYFUNCTION("""COMPUTED_VALUE"""),"GL2604486")</f>
        <v>GL2604486</v>
      </c>
      <c r="R5101" s="57">
        <f>IFERROR(__xludf.DUMMYFUNCTION("""COMPUTED_VALUE"""),46098.0)</f>
        <v>46098</v>
      </c>
      <c r="S5101" s="57">
        <f>IFERROR(__xludf.DUMMYFUNCTION("""COMPUTED_VALUE"""),46098.0)</f>
        <v>46098</v>
      </c>
      <c r="T5101" s="57">
        <f>IFERROR(__xludf.DUMMYFUNCTION("""COMPUTED_VALUE"""),46152.0)</f>
        <v>46152</v>
      </c>
    </row>
    <row r="5102">
      <c r="A5102" s="6" t="str">
        <f>IFERROR(__xludf.DUMMYFUNCTION("""COMPUTED_VALUE"""),"121704050-2")</f>
        <v>121704050-2</v>
      </c>
      <c r="B5102" s="6" t="str">
        <f>IFERROR(__xludf.DUMMYFUNCTION("""COMPUTED_VALUE"""),"121704050 - APPROVED")</f>
        <v>121704050 - APPROVED</v>
      </c>
      <c r="C5102" s="6">
        <f>IFERROR(__xludf.DUMMYFUNCTION("""COMPUTED_VALUE"""),2.0)</f>
        <v>2</v>
      </c>
      <c r="D5102" s="6" t="str">
        <f>IFERROR(__xludf.DUMMYFUNCTION("""COMPUTED_VALUE"""),"O-21428-00")</f>
        <v>O-21428-00</v>
      </c>
      <c r="E5102" s="6" t="str">
        <f>IFERROR(__xludf.DUMMYFUNCTION("""COMPUTED_VALUE"""),"PLAB Coating - Oring ID 51 OD 56 Tebal 2,5 EPDM; Custom/Lokal; -; 1 Pc")</f>
        <v>PLAB Coating - Oring ID 51 OD 56 Tebal 2,5 EPDM; Custom/Lokal; -; 1 Pc</v>
      </c>
      <c r="F5102" s="6">
        <f>IFERROR(__xludf.DUMMYFUNCTION("""COMPUTED_VALUE"""),5.0)</f>
        <v>5</v>
      </c>
      <c r="G5102" s="6" t="str">
        <f>IFERROR(__xludf.DUMMYFUNCTION("""COMPUTED_VALUE"""),"Pieces")</f>
        <v>Pieces</v>
      </c>
      <c r="H5102" s="6" t="str">
        <f>IFERROR(__xludf.DUMMYFUNCTION("""COMPUTED_VALUE"""),"IDR")</f>
        <v>IDR</v>
      </c>
      <c r="I5102" s="6">
        <f>IFERROR(__xludf.DUMMYFUNCTION("""COMPUTED_VALUE"""),35000.0)</f>
        <v>35000</v>
      </c>
      <c r="J5102" s="6">
        <f>IFERROR(__xludf.DUMMYFUNCTION("""COMPUTED_VALUE"""),175000.0)</f>
        <v>175000</v>
      </c>
      <c r="K5102" s="57">
        <f>IFERROR(__xludf.DUMMYFUNCTION("""COMPUTED_VALUE"""),46129.0)</f>
        <v>46129</v>
      </c>
      <c r="L5102" s="6" t="str">
        <f>IFERROR(__xludf.DUMMYFUNCTION("""COMPUTED_VALUE"""),"FIP Engineering")</f>
        <v>FIP Engineering</v>
      </c>
      <c r="M5102" s="6" t="str">
        <f>IFERROR(__xludf.DUMMYFUNCTION("""COMPUTED_VALUE"""),"Mochammad Fadhillah Hakim,")</f>
        <v>Mochammad Fadhillah Hakim,</v>
      </c>
      <c r="N5102" s="6" t="str">
        <f>IFERROR(__xludf.DUMMYFUNCTION("""COMPUTED_VALUE"""),"FIP Engineering")</f>
        <v>FIP Engineering</v>
      </c>
      <c r="O5102" s="6" t="str">
        <f>IFERROR(__xludf.DUMMYFUNCTION("""COMPUTED_VALUE"""),"FIP-DOM-000-11304-OS00001-INA-000000")</f>
        <v>FIP-DOM-000-11304-OS00001-INA-000000</v>
      </c>
      <c r="P5102" s="6" t="str">
        <f>IFERROR(__xludf.DUMMYFUNCTION("""COMPUTED_VALUE"""),"PO Closed")</f>
        <v>PO Closed</v>
      </c>
      <c r="Q5102" s="6" t="str">
        <f>IFERROR(__xludf.DUMMYFUNCTION("""COMPUTED_VALUE"""),"GL2604486")</f>
        <v>GL2604486</v>
      </c>
      <c r="R5102" s="57">
        <f>IFERROR(__xludf.DUMMYFUNCTION("""COMPUTED_VALUE"""),46098.0)</f>
        <v>46098</v>
      </c>
      <c r="S5102" s="57">
        <f>IFERROR(__xludf.DUMMYFUNCTION("""COMPUTED_VALUE"""),46098.0)</f>
        <v>46098</v>
      </c>
      <c r="T5102" s="57">
        <f>IFERROR(__xludf.DUMMYFUNCTION("""COMPUTED_VALUE"""),46152.0)</f>
        <v>46152</v>
      </c>
    </row>
    <row r="5103">
      <c r="A5103" s="6" t="str">
        <f>IFERROR(__xludf.DUMMYFUNCTION("""COMPUTED_VALUE"""),"121704058-1")</f>
        <v>121704058-1</v>
      </c>
      <c r="B5103" s="6" t="str">
        <f>IFERROR(__xludf.DUMMYFUNCTION("""COMPUTED_VALUE"""),"121704058 - APPROVED")</f>
        <v>121704058 - APPROVED</v>
      </c>
      <c r="C5103" s="6">
        <f>IFERROR(__xludf.DUMMYFUNCTION("""COMPUTED_VALUE"""),1.0)</f>
        <v>1</v>
      </c>
      <c r="D5103" s="6" t="str">
        <f>IFERROR(__xludf.DUMMYFUNCTION("""COMPUTED_VALUE"""),"O-16030-00")</f>
        <v>O-16030-00</v>
      </c>
      <c r="E5103" s="6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F5103" s="6">
        <f>IFERROR(__xludf.DUMMYFUNCTION("""COMPUTED_VALUE"""),20.0)</f>
        <v>20</v>
      </c>
      <c r="G5103" s="6" t="str">
        <f>IFERROR(__xludf.DUMMYFUNCTION("""COMPUTED_VALUE"""),"Unit")</f>
        <v>Unit</v>
      </c>
      <c r="H5103" s="6" t="str">
        <f>IFERROR(__xludf.DUMMYFUNCTION("""COMPUTED_VALUE"""),"IDR")</f>
        <v>IDR</v>
      </c>
      <c r="I5103" s="6">
        <f>IFERROR(__xludf.DUMMYFUNCTION("""COMPUTED_VALUE"""),3133098.0)</f>
        <v>3133098</v>
      </c>
      <c r="J5103" s="6">
        <f>IFERROR(__xludf.DUMMYFUNCTION("""COMPUTED_VALUE"""),6.266196E7)</f>
        <v>62661960</v>
      </c>
      <c r="K5103" s="57">
        <f>IFERROR(__xludf.DUMMYFUNCTION("""COMPUTED_VALUE"""),46129.0)</f>
        <v>46129</v>
      </c>
      <c r="L5103" s="6" t="str">
        <f>IFERROR(__xludf.DUMMYFUNCTION("""COMPUTED_VALUE"""),"FIP Engineering")</f>
        <v>FIP Engineering</v>
      </c>
      <c r="M5103" s="6" t="str">
        <f>IFERROR(__xludf.DUMMYFUNCTION("""COMPUTED_VALUE"""),"Mochammad Fadhillah Hakim,")</f>
        <v>Mochammad Fadhillah Hakim,</v>
      </c>
      <c r="N5103" s="6" t="str">
        <f>IFERROR(__xludf.DUMMYFUNCTION("""COMPUTED_VALUE"""),"FIP Engineering")</f>
        <v>FIP Engineering</v>
      </c>
      <c r="O5103" s="6" t="str">
        <f>IFERROR(__xludf.DUMMYFUNCTION("""COMPUTED_VALUE"""),"FIP-DOM-000-11304-OS00001-INA-000000")</f>
        <v>FIP-DOM-000-11304-OS00001-INA-000000</v>
      </c>
      <c r="P5103" s="6" t="str">
        <f>IFERROR(__xludf.DUMMYFUNCTION("""COMPUTED_VALUE"""),"PO Closed")</f>
        <v>PO Closed</v>
      </c>
      <c r="Q5103" s="6" t="str">
        <f>IFERROR(__xludf.DUMMYFUNCTION("""COMPUTED_VALUE"""),"GL2603066")</f>
        <v>GL2603066</v>
      </c>
      <c r="R5103" s="57">
        <f>IFERROR(__xludf.DUMMYFUNCTION("""COMPUTED_VALUE"""),46098.0)</f>
        <v>46098</v>
      </c>
      <c r="S5103" s="57">
        <f>IFERROR(__xludf.DUMMYFUNCTION("""COMPUTED_VALUE"""),46099.0)</f>
        <v>46099</v>
      </c>
      <c r="T5103" s="57">
        <f>IFERROR(__xludf.DUMMYFUNCTION("""COMPUTED_VALUE"""),46312.0)</f>
        <v>46312</v>
      </c>
    </row>
    <row r="5104">
      <c r="A5104" s="6" t="str">
        <f>IFERROR(__xludf.DUMMYFUNCTION("""COMPUTED_VALUE"""),"121704058-2")</f>
        <v>121704058-2</v>
      </c>
      <c r="B5104" s="6" t="str">
        <f>IFERROR(__xludf.DUMMYFUNCTION("""COMPUTED_VALUE"""),"121704058 - APPROVED")</f>
        <v>121704058 - APPROVED</v>
      </c>
      <c r="C5104" s="6">
        <f>IFERROR(__xludf.DUMMYFUNCTION("""COMPUTED_VALUE"""),2.0)</f>
        <v>2</v>
      </c>
      <c r="D5104" s="6" t="str">
        <f>IFERROR(__xludf.DUMMYFUNCTION("""COMPUTED_VALUE"""),"O-16033-00")</f>
        <v>O-16033-00</v>
      </c>
      <c r="E5104" s="6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F5104" s="6">
        <f>IFERROR(__xludf.DUMMYFUNCTION("""COMPUTED_VALUE"""),40.0)</f>
        <v>40</v>
      </c>
      <c r="G5104" s="6" t="str">
        <f>IFERROR(__xludf.DUMMYFUNCTION("""COMPUTED_VALUE"""),"Unit")</f>
        <v>Unit</v>
      </c>
      <c r="H5104" s="6" t="str">
        <f>IFERROR(__xludf.DUMMYFUNCTION("""COMPUTED_VALUE"""),"IDR")</f>
        <v>IDR</v>
      </c>
      <c r="I5104" s="6">
        <f>IFERROR(__xludf.DUMMYFUNCTION("""COMPUTED_VALUE"""),2738397.0)</f>
        <v>2738397</v>
      </c>
      <c r="J5104" s="6">
        <f>IFERROR(__xludf.DUMMYFUNCTION("""COMPUTED_VALUE"""),1.0953588E8)</f>
        <v>109535880</v>
      </c>
      <c r="K5104" s="57">
        <f>IFERROR(__xludf.DUMMYFUNCTION("""COMPUTED_VALUE"""),46129.0)</f>
        <v>46129</v>
      </c>
      <c r="L5104" s="6" t="str">
        <f>IFERROR(__xludf.DUMMYFUNCTION("""COMPUTED_VALUE"""),"FIP Engineering")</f>
        <v>FIP Engineering</v>
      </c>
      <c r="M5104" s="6" t="str">
        <f>IFERROR(__xludf.DUMMYFUNCTION("""COMPUTED_VALUE"""),"Mochammad Fadhillah Hakim,")</f>
        <v>Mochammad Fadhillah Hakim,</v>
      </c>
      <c r="N5104" s="6" t="str">
        <f>IFERROR(__xludf.DUMMYFUNCTION("""COMPUTED_VALUE"""),"FIP Engineering")</f>
        <v>FIP Engineering</v>
      </c>
      <c r="O5104" s="6" t="str">
        <f>IFERROR(__xludf.DUMMYFUNCTION("""COMPUTED_VALUE"""),"FIP-DOM-000-11304-OS00001-INA-000000")</f>
        <v>FIP-DOM-000-11304-OS00001-INA-000000</v>
      </c>
      <c r="P5104" s="6" t="str">
        <f>IFERROR(__xludf.DUMMYFUNCTION("""COMPUTED_VALUE"""),"PO Closed")</f>
        <v>PO Closed</v>
      </c>
      <c r="Q5104" s="6" t="str">
        <f>IFERROR(__xludf.DUMMYFUNCTION("""COMPUTED_VALUE"""),"GL2603066")</f>
        <v>GL2603066</v>
      </c>
      <c r="R5104" s="57">
        <f>IFERROR(__xludf.DUMMYFUNCTION("""COMPUTED_VALUE"""),46098.0)</f>
        <v>46098</v>
      </c>
      <c r="S5104" s="57">
        <f>IFERROR(__xludf.DUMMYFUNCTION("""COMPUTED_VALUE"""),46099.0)</f>
        <v>46099</v>
      </c>
      <c r="T5104" s="57">
        <f>IFERROR(__xludf.DUMMYFUNCTION("""COMPUTED_VALUE"""),46312.0)</f>
        <v>46312</v>
      </c>
    </row>
    <row r="5105">
      <c r="A5105" s="6" t="str">
        <f>IFERROR(__xludf.DUMMYFUNCTION("""COMPUTED_VALUE"""),"121704073-1")</f>
        <v>121704073-1</v>
      </c>
      <c r="B5105" s="6" t="str">
        <f>IFERROR(__xludf.DUMMYFUNCTION("""COMPUTED_VALUE"""),"121704073 - APPROVED")</f>
        <v>121704073 - APPROVED</v>
      </c>
      <c r="C5105" s="6">
        <f>IFERROR(__xludf.DUMMYFUNCTION("""COMPUTED_VALUE"""),1.0)</f>
        <v>1</v>
      </c>
      <c r="D5105" s="6" t="str">
        <f>IFERROR(__xludf.DUMMYFUNCTION("""COMPUTED_VALUE"""),"S-62036-00")</f>
        <v>S-62036-00</v>
      </c>
      <c r="E5105" s="6" t="str">
        <f>IFERROR(__xludf.DUMMYFUNCTION("""COMPUTED_VALUE"""),"Gas Argon (Ar); 6 M3; Refill; High Purity (HP); Purity ? 99.995%")</f>
        <v>Gas Argon (Ar); 6 M3; Refill; High Purity (HP); Purity ? 99.995%</v>
      </c>
      <c r="F5105" s="6">
        <f>IFERROR(__xludf.DUMMYFUNCTION("""COMPUTED_VALUE"""),3.0)</f>
        <v>3</v>
      </c>
      <c r="G5105" s="6" t="str">
        <f>IFERROR(__xludf.DUMMYFUNCTION("""COMPUTED_VALUE"""),"Tube")</f>
        <v>Tube</v>
      </c>
      <c r="H5105" s="6" t="str">
        <f>IFERROR(__xludf.DUMMYFUNCTION("""COMPUTED_VALUE"""),"IDR")</f>
        <v>IDR</v>
      </c>
      <c r="I5105" s="6">
        <f>IFERROR(__xludf.DUMMYFUNCTION("""COMPUTED_VALUE"""),225000.0)</f>
        <v>225000</v>
      </c>
      <c r="J5105" s="6">
        <f>IFERROR(__xludf.DUMMYFUNCTION("""COMPUTED_VALUE"""),675000.0)</f>
        <v>675000</v>
      </c>
      <c r="K5105" s="57">
        <f>IFERROR(__xludf.DUMMYFUNCTION("""COMPUTED_VALUE"""),46150.0)</f>
        <v>46150</v>
      </c>
      <c r="L5105" s="6" t="str">
        <f>IFERROR(__xludf.DUMMYFUNCTION("""COMPUTED_VALUE"""),"FIP General")</f>
        <v>FIP General</v>
      </c>
      <c r="M5105" s="6" t="str">
        <f>IFERROR(__xludf.DUMMYFUNCTION("""COMPUTED_VALUE"""),"Mochammad Fadhillah Hakim,")</f>
        <v>Mochammad Fadhillah Hakim,</v>
      </c>
      <c r="N5105" s="6" t="str">
        <f>IFERROR(__xludf.DUMMYFUNCTION("""COMPUTED_VALUE"""),"FIP Engineering")</f>
        <v>FIP Engineering</v>
      </c>
      <c r="O5105" s="6" t="str">
        <f>IFERROR(__xludf.DUMMYFUNCTION("""COMPUTED_VALUE"""),"FIP-DOM-ENG-51404-0000000-INA-000000")</f>
        <v>FIP-DOM-ENG-51404-0000000-INA-000000</v>
      </c>
      <c r="P5105" s="6" t="str">
        <f>IFERROR(__xludf.DUMMYFUNCTION("""COMPUTED_VALUE"""),"PO Closed")</f>
        <v>PO Closed</v>
      </c>
      <c r="Q5105" s="6" t="str">
        <f>IFERROR(__xludf.DUMMYFUNCTION("""COMPUTED_VALUE"""),"GL2603477")</f>
        <v>GL2603477</v>
      </c>
      <c r="R5105" s="57">
        <f>IFERROR(__xludf.DUMMYFUNCTION("""COMPUTED_VALUE"""),46108.0)</f>
        <v>46108</v>
      </c>
      <c r="S5105" s="57">
        <f>IFERROR(__xludf.DUMMYFUNCTION("""COMPUTED_VALUE"""),46108.0)</f>
        <v>46108</v>
      </c>
      <c r="T5105" s="57">
        <f>IFERROR(__xludf.DUMMYFUNCTION("""COMPUTED_VALUE"""),46117.0)</f>
        <v>46117</v>
      </c>
    </row>
    <row r="5106">
      <c r="A5106" s="6" t="str">
        <f>IFERROR(__xludf.DUMMYFUNCTION("""COMPUTED_VALUE"""),"121704074-1")</f>
        <v>121704074-1</v>
      </c>
      <c r="B5106" s="6" t="str">
        <f>IFERROR(__xludf.DUMMYFUNCTION("""COMPUTED_VALUE"""),"121704074 - APPROVED")</f>
        <v>121704074 - APPROVED</v>
      </c>
      <c r="C5106" s="6">
        <f>IFERROR(__xludf.DUMMYFUNCTION("""COMPUTED_VALUE"""),1.0)</f>
        <v>1</v>
      </c>
      <c r="D5106" s="6" t="str">
        <f>IFERROR(__xludf.DUMMYFUNCTION("""COMPUTED_VALUE"""),"O-53215-00")</f>
        <v>O-53215-00</v>
      </c>
      <c r="E5106" s="6" t="str">
        <f>IFERROR(__xludf.DUMMYFUNCTION("""COMPUTED_VALUE"""),"General - Exhaust Fan;Ebm-Papst;R3G190-RC05-03;")</f>
        <v>General - Exhaust Fan;Ebm-Papst;R3G190-RC05-03;</v>
      </c>
      <c r="F5106" s="6">
        <f>IFERROR(__xludf.DUMMYFUNCTION("""COMPUTED_VALUE"""),2.0)</f>
        <v>2</v>
      </c>
      <c r="G5106" s="6" t="str">
        <f>IFERROR(__xludf.DUMMYFUNCTION("""COMPUTED_VALUE"""),"Pieces")</f>
        <v>Pieces</v>
      </c>
      <c r="H5106" s="6" t="str">
        <f>IFERROR(__xludf.DUMMYFUNCTION("""COMPUTED_VALUE"""),"IDR")</f>
        <v>IDR</v>
      </c>
      <c r="I5106" s="6">
        <f>IFERROR(__xludf.DUMMYFUNCTION("""COMPUTED_VALUE"""),8000000.0)</f>
        <v>8000000</v>
      </c>
      <c r="J5106" s="6">
        <f>IFERROR(__xludf.DUMMYFUNCTION("""COMPUTED_VALUE"""),1.6E7)</f>
        <v>16000000</v>
      </c>
      <c r="K5106" s="57">
        <f>IFERROR(__xludf.DUMMYFUNCTION("""COMPUTED_VALUE"""),46171.0)</f>
        <v>46171</v>
      </c>
      <c r="L5106" s="6" t="str">
        <f>IFERROR(__xludf.DUMMYFUNCTION("""COMPUTED_VALUE"""),"FIP Engineering")</f>
        <v>FIP Engineering</v>
      </c>
      <c r="M5106" s="6" t="str">
        <f>IFERROR(__xludf.DUMMYFUNCTION("""COMPUTED_VALUE"""),"Mochammad Fadhillah Hakim,")</f>
        <v>Mochammad Fadhillah Hakim,</v>
      </c>
      <c r="N5106" s="6" t="str">
        <f>IFERROR(__xludf.DUMMYFUNCTION("""COMPUTED_VALUE"""),"FIP Engineering")</f>
        <v>FIP Engineering</v>
      </c>
      <c r="O5106" s="6" t="str">
        <f>IFERROR(__xludf.DUMMYFUNCTION("""COMPUTED_VALUE"""),"FIP-DOM-000-11304-OS00001-INA-000000")</f>
        <v>FIP-DOM-000-11304-OS00001-INA-000000</v>
      </c>
      <c r="P5106" s="6" t="str">
        <f>IFERROR(__xludf.DUMMYFUNCTION("""COMPUTED_VALUE"""),"PO Closed")</f>
        <v>PO Closed</v>
      </c>
      <c r="Q5106" s="6" t="str">
        <f>IFERROR(__xludf.DUMMYFUNCTION("""COMPUTED_VALUE"""),"GL2604303")</f>
        <v>GL2604303</v>
      </c>
      <c r="R5106" s="57">
        <f>IFERROR(__xludf.DUMMYFUNCTION("""COMPUTED_VALUE"""),46108.0)</f>
        <v>46108</v>
      </c>
      <c r="S5106" s="57">
        <f>IFERROR(__xludf.DUMMYFUNCTION("""COMPUTED_VALUE"""),46111.0)</f>
        <v>46111</v>
      </c>
      <c r="T5106" s="57">
        <f>IFERROR(__xludf.DUMMYFUNCTION("""COMPUTED_VALUE"""),46162.0)</f>
        <v>46162</v>
      </c>
    </row>
    <row r="5107">
      <c r="A5107" s="6" t="str">
        <f>IFERROR(__xludf.DUMMYFUNCTION("""COMPUTED_VALUE"""),"121704074-2")</f>
        <v>121704074-2</v>
      </c>
      <c r="B5107" s="6" t="str">
        <f>IFERROR(__xludf.DUMMYFUNCTION("""COMPUTED_VALUE"""),"121704074 - APPROVED")</f>
        <v>121704074 - APPROVED</v>
      </c>
      <c r="C5107" s="6">
        <f>IFERROR(__xludf.DUMMYFUNCTION("""COMPUTED_VALUE"""),2.0)</f>
        <v>2</v>
      </c>
      <c r="D5107" s="6" t="str">
        <f>IFERROR(__xludf.DUMMYFUNCTION("""COMPUTED_VALUE"""),"P-54256-00")</f>
        <v>P-54256-00</v>
      </c>
      <c r="E5107" s="6" t="str">
        <f>IFERROR(__xludf.DUMMYFUNCTION("""COMPUTED_VALUE"""),"General - Centrifugal Fan R3G220-RD53-03; EBMPAST; 8115613807; 1 unit")</f>
        <v>General - Centrifugal Fan R3G220-RD53-03; EBMPAST; 8115613807; 1 unit</v>
      </c>
      <c r="F5107" s="6">
        <f>IFERROR(__xludf.DUMMYFUNCTION("""COMPUTED_VALUE"""),2.0)</f>
        <v>2</v>
      </c>
      <c r="G5107" s="6" t="str">
        <f>IFERROR(__xludf.DUMMYFUNCTION("""COMPUTED_VALUE"""),"Unit")</f>
        <v>Unit</v>
      </c>
      <c r="H5107" s="6" t="str">
        <f>IFERROR(__xludf.DUMMYFUNCTION("""COMPUTED_VALUE"""),"USD")</f>
        <v>USD</v>
      </c>
      <c r="I5107" s="6">
        <f>IFERROR(__xludf.DUMMYFUNCTION("""COMPUTED_VALUE"""),1.149948E7)</f>
        <v>11499480</v>
      </c>
      <c r="J5107" s="6">
        <f>IFERROR(__xludf.DUMMYFUNCTION("""COMPUTED_VALUE"""),2.299896E7)</f>
        <v>22998960</v>
      </c>
      <c r="K5107" s="57">
        <f>IFERROR(__xludf.DUMMYFUNCTION("""COMPUTED_VALUE"""),46171.0)</f>
        <v>46171</v>
      </c>
      <c r="L5107" s="6" t="str">
        <f>IFERROR(__xludf.DUMMYFUNCTION("""COMPUTED_VALUE"""),"FIP Engineering")</f>
        <v>FIP Engineering</v>
      </c>
      <c r="M5107" s="6" t="str">
        <f>IFERROR(__xludf.DUMMYFUNCTION("""COMPUTED_VALUE"""),"Mochammad Fadhillah Hakim,")</f>
        <v>Mochammad Fadhillah Hakim,</v>
      </c>
      <c r="N5107" s="6" t="str">
        <f>IFERROR(__xludf.DUMMYFUNCTION("""COMPUTED_VALUE"""),"FIP Engineering")</f>
        <v>FIP Engineering</v>
      </c>
      <c r="O5107" s="6" t="str">
        <f>IFERROR(__xludf.DUMMYFUNCTION("""COMPUTED_VALUE"""),"FIP-DOM-000-11304-OS00001-INA-000000")</f>
        <v>FIP-DOM-000-11304-OS00001-INA-000000</v>
      </c>
      <c r="P5107" s="6" t="str">
        <f>IFERROR(__xludf.DUMMYFUNCTION("""COMPUTED_VALUE"""),"PO Open")</f>
        <v>PO Open</v>
      </c>
      <c r="Q5107" s="6" t="str">
        <f>IFERROR(__xludf.DUMMYFUNCTION("""COMPUTED_VALUE"""),"GL2605043")</f>
        <v>GL2605043</v>
      </c>
      <c r="R5107" s="57">
        <f>IFERROR(__xludf.DUMMYFUNCTION("""COMPUTED_VALUE"""),46108.0)</f>
        <v>46108</v>
      </c>
      <c r="S5107" s="57">
        <f>IFERROR(__xludf.DUMMYFUNCTION("""COMPUTED_VALUE"""),46111.0)</f>
        <v>46111</v>
      </c>
      <c r="T5107" s="57">
        <f>IFERROR(__xludf.DUMMYFUNCTION("""COMPUTED_VALUE"""),46295.0)</f>
        <v>46295</v>
      </c>
    </row>
    <row r="5108">
      <c r="A5108" s="6" t="str">
        <f>IFERROR(__xludf.DUMMYFUNCTION("""COMPUTED_VALUE"""),"121704080-1")</f>
        <v>121704080-1</v>
      </c>
      <c r="B5108" s="6" t="str">
        <f>IFERROR(__xludf.DUMMYFUNCTION("""COMPUTED_VALUE"""),"121704080 - APPROVED")</f>
        <v>121704080 - APPROVED</v>
      </c>
      <c r="C5108" s="6">
        <f>IFERROR(__xludf.DUMMYFUNCTION("""COMPUTED_VALUE"""),1.0)</f>
        <v>1</v>
      </c>
      <c r="D5108" s="6" t="str">
        <f>IFERROR(__xludf.DUMMYFUNCTION("""COMPUTED_VALUE"""),"T-22337-00")</f>
        <v>T-22337-00</v>
      </c>
      <c r="E5108" s="6" t="str">
        <f>IFERROR(__xludf.DUMMYFUNCTION("""COMPUTED_VALUE"""),"Moisture Trap for Rocker 300; Rocker; 167301-64; piece")</f>
        <v>Moisture Trap for Rocker 300; Rocker; 167301-64; piece</v>
      </c>
      <c r="F5108" s="6">
        <f>IFERROR(__xludf.DUMMYFUNCTION("""COMPUTED_VALUE"""),2.0)</f>
        <v>2</v>
      </c>
      <c r="G5108" s="6" t="str">
        <f>IFERROR(__xludf.DUMMYFUNCTION("""COMPUTED_VALUE"""),"Pieces")</f>
        <v>Pieces</v>
      </c>
      <c r="H5108" s="6" t="str">
        <f>IFERROR(__xludf.DUMMYFUNCTION("""COMPUTED_VALUE"""),"IDR")</f>
        <v>IDR</v>
      </c>
      <c r="I5108" s="6">
        <f>IFERROR(__xludf.DUMMYFUNCTION("""COMPUTED_VALUE"""),999000.0)</f>
        <v>999000</v>
      </c>
      <c r="J5108" s="6">
        <f>IFERROR(__xludf.DUMMYFUNCTION("""COMPUTED_VALUE"""),1998000.0)</f>
        <v>1998000</v>
      </c>
      <c r="K5108" s="57">
        <f>IFERROR(__xludf.DUMMYFUNCTION("""COMPUTED_VALUE"""),46143.0)</f>
        <v>46143</v>
      </c>
      <c r="L5108" s="6" t="str">
        <f>IFERROR(__xludf.DUMMYFUNCTION("""COMPUTED_VALUE"""),"FIP General")</f>
        <v>FIP General</v>
      </c>
      <c r="M5108" s="6" t="str">
        <f>IFERROR(__xludf.DUMMYFUNCTION("""COMPUTED_VALUE"""),"Mochammad Fadhillah Hakim,")</f>
        <v>Mochammad Fadhillah Hakim,</v>
      </c>
      <c r="N5108" s="6" t="str">
        <f>IFERROR(__xludf.DUMMYFUNCTION("""COMPUTED_VALUE"""),"FIP Engineering")</f>
        <v>FIP Engineering</v>
      </c>
      <c r="O5108" s="6" t="str">
        <f>IFERROR(__xludf.DUMMYFUNCTION("""COMPUTED_VALUE"""),"FIP-DOM-ENG-51505-0000000-INA-000000")</f>
        <v>FIP-DOM-ENG-51505-0000000-INA-000000</v>
      </c>
      <c r="P5108" s="6" t="str">
        <f>IFERROR(__xludf.DUMMYFUNCTION("""COMPUTED_VALUE"""),"PO Open")</f>
        <v>PO Open</v>
      </c>
      <c r="Q5108" s="6" t="str">
        <f>IFERROR(__xludf.DUMMYFUNCTION("""COMPUTED_VALUE"""),"GL2604015")</f>
        <v>GL2604015</v>
      </c>
      <c r="R5108" s="57">
        <f>IFERROR(__xludf.DUMMYFUNCTION("""COMPUTED_VALUE"""),46111.0)</f>
        <v>46111</v>
      </c>
      <c r="S5108" s="57">
        <f>IFERROR(__xludf.DUMMYFUNCTION("""COMPUTED_VALUE"""),46111.0)</f>
        <v>46111</v>
      </c>
      <c r="T5108" s="57">
        <f>IFERROR(__xludf.DUMMYFUNCTION("""COMPUTED_VALUE"""),46153.0)</f>
        <v>46153</v>
      </c>
    </row>
    <row r="5109">
      <c r="A5109" s="6" t="str">
        <f>IFERROR(__xludf.DUMMYFUNCTION("""COMPUTED_VALUE"""),"121704080-2")</f>
        <v>121704080-2</v>
      </c>
      <c r="B5109" s="6" t="str">
        <f>IFERROR(__xludf.DUMMYFUNCTION("""COMPUTED_VALUE"""),"121704080 - APPROVED")</f>
        <v>121704080 - APPROVED</v>
      </c>
      <c r="C5109" s="6">
        <f>IFERROR(__xludf.DUMMYFUNCTION("""COMPUTED_VALUE"""),2.0)</f>
        <v>2</v>
      </c>
      <c r="D5109" s="6" t="str">
        <f>IFERROR(__xludf.DUMMYFUNCTION("""COMPUTED_VALUE"""),"T-22339-00")</f>
        <v>T-22339-00</v>
      </c>
      <c r="E5109" s="6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F5109" s="6">
        <f>IFERROR(__xludf.DUMMYFUNCTION("""COMPUTED_VALUE"""),2.0)</f>
        <v>2</v>
      </c>
      <c r="G5109" s="6" t="str">
        <f>IFERROR(__xludf.DUMMYFUNCTION("""COMPUTED_VALUE"""),"Pieces")</f>
        <v>Pieces</v>
      </c>
      <c r="H5109" s="6" t="str">
        <f>IFERROR(__xludf.DUMMYFUNCTION("""COMPUTED_VALUE"""),"IDR")</f>
        <v>IDR</v>
      </c>
      <c r="I5109" s="6">
        <f>IFERROR(__xludf.DUMMYFUNCTION("""COMPUTED_VALUE"""),2000000.0)</f>
        <v>2000000</v>
      </c>
      <c r="J5109" s="6">
        <f>IFERROR(__xludf.DUMMYFUNCTION("""COMPUTED_VALUE"""),4000000.0)</f>
        <v>4000000</v>
      </c>
      <c r="K5109" s="57">
        <f>IFERROR(__xludf.DUMMYFUNCTION("""COMPUTED_VALUE"""),46143.0)</f>
        <v>46143</v>
      </c>
      <c r="L5109" s="6" t="str">
        <f>IFERROR(__xludf.DUMMYFUNCTION("""COMPUTED_VALUE"""),"FIP General")</f>
        <v>FIP General</v>
      </c>
      <c r="M5109" s="6" t="str">
        <f>IFERROR(__xludf.DUMMYFUNCTION("""COMPUTED_VALUE"""),"Mochammad Fadhillah Hakim,")</f>
        <v>Mochammad Fadhillah Hakim,</v>
      </c>
      <c r="N5109" s="6" t="str">
        <f>IFERROR(__xludf.DUMMYFUNCTION("""COMPUTED_VALUE"""),"FIP Engineering")</f>
        <v>FIP Engineering</v>
      </c>
      <c r="O5109" s="6" t="str">
        <f>IFERROR(__xludf.DUMMYFUNCTION("""COMPUTED_VALUE"""),"FIP-DOM-ENG-51505-0000000-INA-000000")</f>
        <v>FIP-DOM-ENG-51505-0000000-INA-000000</v>
      </c>
      <c r="P5109" s="6" t="str">
        <f>IFERROR(__xludf.DUMMYFUNCTION("""COMPUTED_VALUE"""),"PO Closed")</f>
        <v>PO Closed</v>
      </c>
      <c r="Q5109" s="6" t="str">
        <f>IFERROR(__xludf.DUMMYFUNCTION("""COMPUTED_VALUE"""),"GL2604010")</f>
        <v>GL2604010</v>
      </c>
      <c r="R5109" s="57">
        <f>IFERROR(__xludf.DUMMYFUNCTION("""COMPUTED_VALUE"""),46111.0)</f>
        <v>46111</v>
      </c>
      <c r="S5109" s="57">
        <f>IFERROR(__xludf.DUMMYFUNCTION("""COMPUTED_VALUE"""),46111.0)</f>
        <v>46111</v>
      </c>
      <c r="T5109" s="57">
        <f>IFERROR(__xludf.DUMMYFUNCTION("""COMPUTED_VALUE"""),46143.0)</f>
        <v>46143</v>
      </c>
    </row>
    <row r="5110">
      <c r="A5110" s="6" t="str">
        <f>IFERROR(__xludf.DUMMYFUNCTION("""COMPUTED_VALUE"""),"121704081-1")</f>
        <v>121704081-1</v>
      </c>
      <c r="B5110" s="6" t="str">
        <f>IFERROR(__xludf.DUMMYFUNCTION("""COMPUTED_VALUE"""),"121704081 - APPROVED")</f>
        <v>121704081 - APPROVED</v>
      </c>
      <c r="C5110" s="6">
        <f>IFERROR(__xludf.DUMMYFUNCTION("""COMPUTED_VALUE"""),1.0)</f>
        <v>1</v>
      </c>
      <c r="D5110" s="6" t="str">
        <f>IFERROR(__xludf.DUMMYFUNCTION("""COMPUTED_VALUE"""),"S-60050-00")</f>
        <v>S-60050-00</v>
      </c>
      <c r="E5110" s="6" t="str">
        <f>IFERROR(__xludf.DUMMYFUNCTION("""COMPUTED_VALUE"""),"Jasa Perbaikan dan Pemeliharaan Mesin Produksi; ; ; - Perbaikan Hidrolik FD")</f>
        <v>Jasa Perbaikan dan Pemeliharaan Mesin Produksi; ; ; - Perbaikan Hidrolik FD</v>
      </c>
      <c r="F5110" s="6">
        <f>IFERROR(__xludf.DUMMYFUNCTION("""COMPUTED_VALUE"""),1.0)</f>
        <v>1</v>
      </c>
      <c r="G5110" s="6" t="str">
        <f>IFERROR(__xludf.DUMMYFUNCTION("""COMPUTED_VALUE"""),"Pieces")</f>
        <v>Pieces</v>
      </c>
      <c r="H5110" s="6" t="str">
        <f>IFERROR(__xludf.DUMMYFUNCTION("""COMPUTED_VALUE"""),"IDR")</f>
        <v>IDR</v>
      </c>
      <c r="I5110" s="6">
        <f>IFERROR(__xludf.DUMMYFUNCTION("""COMPUTED_VALUE"""),2.05E7)</f>
        <v>20500000</v>
      </c>
      <c r="J5110" s="6">
        <f>IFERROR(__xludf.DUMMYFUNCTION("""COMPUTED_VALUE"""),2.05E7)</f>
        <v>20500000</v>
      </c>
      <c r="K5110" s="57">
        <f>IFERROR(__xludf.DUMMYFUNCTION("""COMPUTED_VALUE"""),46143.0)</f>
        <v>46143</v>
      </c>
      <c r="L5110" s="6" t="str">
        <f>IFERROR(__xludf.DUMMYFUNCTION("""COMPUTED_VALUE"""),"FIP General")</f>
        <v>FIP General</v>
      </c>
      <c r="M5110" s="6" t="str">
        <f>IFERROR(__xludf.DUMMYFUNCTION("""COMPUTED_VALUE"""),"Mochammad Fadhillah Hakim,")</f>
        <v>Mochammad Fadhillah Hakim,</v>
      </c>
      <c r="N5110" s="6" t="str">
        <f>IFERROR(__xludf.DUMMYFUNCTION("""COMPUTED_VALUE"""),"FIP Engineering")</f>
        <v>FIP Engineering</v>
      </c>
      <c r="O5110" s="6" t="str">
        <f>IFERROR(__xludf.DUMMYFUNCTION("""COMPUTED_VALUE"""),"FIP-DOM-ENG-51504-0000000-INA-000000")</f>
        <v>FIP-DOM-ENG-51504-0000000-INA-000000</v>
      </c>
      <c r="P5110" s="6" t="str">
        <f>IFERROR(__xludf.DUMMYFUNCTION("""COMPUTED_VALUE"""),"PO Open")</f>
        <v>PO Open</v>
      </c>
      <c r="Q5110" s="6" t="str">
        <f>IFERROR(__xludf.DUMMYFUNCTION("""COMPUTED_VALUE"""),"GL2604018")</f>
        <v>GL2604018</v>
      </c>
      <c r="R5110" s="57">
        <f>IFERROR(__xludf.DUMMYFUNCTION("""COMPUTED_VALUE"""),46111.0)</f>
        <v>46111</v>
      </c>
      <c r="S5110" s="57">
        <f>IFERROR(__xludf.DUMMYFUNCTION("""COMPUTED_VALUE"""),46112.0)</f>
        <v>46112</v>
      </c>
      <c r="T5110" s="57">
        <f>IFERROR(__xludf.DUMMYFUNCTION("""COMPUTED_VALUE"""),46173.0)</f>
        <v>46173</v>
      </c>
    </row>
    <row r="5111">
      <c r="A5111" s="6" t="str">
        <f>IFERROR(__xludf.DUMMYFUNCTION("""COMPUTED_VALUE"""),"121704082-1")</f>
        <v>121704082-1</v>
      </c>
      <c r="B5111" s="6" t="str">
        <f>IFERROR(__xludf.DUMMYFUNCTION("""COMPUTED_VALUE"""),"121704082 - APPROVED")</f>
        <v>121704082 - APPROVED</v>
      </c>
      <c r="C5111" s="6">
        <f>IFERROR(__xludf.DUMMYFUNCTION("""COMPUTED_VALUE"""),1.0)</f>
        <v>1</v>
      </c>
      <c r="D5111" s="6" t="str">
        <f>IFERROR(__xludf.DUMMYFUNCTION("""COMPUTED_VALUE"""),"O-21484-00")</f>
        <v>O-21484-00</v>
      </c>
      <c r="E5111" s="6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F5111" s="6">
        <f>IFERROR(__xludf.DUMMYFUNCTION("""COMPUTED_VALUE"""),20.0)</f>
        <v>20</v>
      </c>
      <c r="G5111" s="6" t="str">
        <f>IFERROR(__xludf.DUMMYFUNCTION("""COMPUTED_VALUE"""),"Pieces")</f>
        <v>Pieces</v>
      </c>
      <c r="H5111" s="6" t="str">
        <f>IFERROR(__xludf.DUMMYFUNCTION("""COMPUTED_VALUE"""),"IDR")</f>
        <v>IDR</v>
      </c>
      <c r="I5111" s="6">
        <f>IFERROR(__xludf.DUMMYFUNCTION("""COMPUTED_VALUE"""),7350000.0)</f>
        <v>7350000</v>
      </c>
      <c r="J5111" s="6">
        <f>IFERROR(__xludf.DUMMYFUNCTION("""COMPUTED_VALUE"""),1.47E8)</f>
        <v>147000000</v>
      </c>
      <c r="K5111" s="57">
        <f>IFERROR(__xludf.DUMMYFUNCTION("""COMPUTED_VALUE"""),46206.0)</f>
        <v>46206</v>
      </c>
      <c r="L5111" s="6" t="str">
        <f>IFERROR(__xludf.DUMMYFUNCTION("""COMPUTED_VALUE"""),"FIP Engineering")</f>
        <v>FIP Engineering</v>
      </c>
      <c r="M5111" s="6" t="str">
        <f>IFERROR(__xludf.DUMMYFUNCTION("""COMPUTED_VALUE"""),"Mochammad Fadhillah Hakim,")</f>
        <v>Mochammad Fadhillah Hakim,</v>
      </c>
      <c r="N5111" s="6" t="str">
        <f>IFERROR(__xludf.DUMMYFUNCTION("""COMPUTED_VALUE"""),"FIP Engineering")</f>
        <v>FIP Engineering</v>
      </c>
      <c r="O5111" s="6" t="str">
        <f>IFERROR(__xludf.DUMMYFUNCTION("""COMPUTED_VALUE"""),"FIP-DOM-000-11304-OS00001-INA-000000")</f>
        <v>FIP-DOM-000-11304-OS00001-INA-000000</v>
      </c>
      <c r="P5111" s="6" t="str">
        <f>IFERROR(__xludf.DUMMYFUNCTION("""COMPUTED_VALUE"""),"PO Closed")</f>
        <v>PO Closed</v>
      </c>
      <c r="Q5111" s="6" t="str">
        <f>IFERROR(__xludf.DUMMYFUNCTION("""COMPUTED_VALUE"""),"GL2604012")</f>
        <v>GL2604012</v>
      </c>
      <c r="R5111" s="57">
        <f>IFERROR(__xludf.DUMMYFUNCTION("""COMPUTED_VALUE"""),46111.0)</f>
        <v>46111</v>
      </c>
      <c r="S5111" s="57">
        <f>IFERROR(__xludf.DUMMYFUNCTION("""COMPUTED_VALUE"""),46112.0)</f>
        <v>46112</v>
      </c>
      <c r="T5111" s="57">
        <f>IFERROR(__xludf.DUMMYFUNCTION("""COMPUTED_VALUE"""),46237.0)</f>
        <v>46237</v>
      </c>
    </row>
    <row r="5112">
      <c r="A5112" s="6" t="str">
        <f>IFERROR(__xludf.DUMMYFUNCTION("""COMPUTED_VALUE"""),"121704082-2")</f>
        <v>121704082-2</v>
      </c>
      <c r="B5112" s="6" t="str">
        <f>IFERROR(__xludf.DUMMYFUNCTION("""COMPUTED_VALUE"""),"121704082 - APPROVED")</f>
        <v>121704082 - APPROVED</v>
      </c>
      <c r="C5112" s="6">
        <f>IFERROR(__xludf.DUMMYFUNCTION("""COMPUTED_VALUE"""),2.0)</f>
        <v>2</v>
      </c>
      <c r="D5112" s="6" t="str">
        <f>IFERROR(__xludf.DUMMYFUNCTION("""COMPUTED_VALUE"""),"O-21485-00")</f>
        <v>O-21485-00</v>
      </c>
      <c r="E5112" s="6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F5112" s="6">
        <f>IFERROR(__xludf.DUMMYFUNCTION("""COMPUTED_VALUE"""),20.0)</f>
        <v>20</v>
      </c>
      <c r="G5112" s="6" t="str">
        <f>IFERROR(__xludf.DUMMYFUNCTION("""COMPUTED_VALUE"""),"Pieces")</f>
        <v>Pieces</v>
      </c>
      <c r="H5112" s="6" t="str">
        <f>IFERROR(__xludf.DUMMYFUNCTION("""COMPUTED_VALUE"""),"IDR")</f>
        <v>IDR</v>
      </c>
      <c r="I5112" s="6">
        <f>IFERROR(__xludf.DUMMYFUNCTION("""COMPUTED_VALUE"""),5750000.0)</f>
        <v>5750000</v>
      </c>
      <c r="J5112" s="6">
        <f>IFERROR(__xludf.DUMMYFUNCTION("""COMPUTED_VALUE"""),1.15E8)</f>
        <v>115000000</v>
      </c>
      <c r="K5112" s="57">
        <f>IFERROR(__xludf.DUMMYFUNCTION("""COMPUTED_VALUE"""),46206.0)</f>
        <v>46206</v>
      </c>
      <c r="L5112" s="6" t="str">
        <f>IFERROR(__xludf.DUMMYFUNCTION("""COMPUTED_VALUE"""),"FIP Engineering")</f>
        <v>FIP Engineering</v>
      </c>
      <c r="M5112" s="6" t="str">
        <f>IFERROR(__xludf.DUMMYFUNCTION("""COMPUTED_VALUE"""),"Mochammad Fadhillah Hakim,")</f>
        <v>Mochammad Fadhillah Hakim,</v>
      </c>
      <c r="N5112" s="6" t="str">
        <f>IFERROR(__xludf.DUMMYFUNCTION("""COMPUTED_VALUE"""),"FIP Engineering")</f>
        <v>FIP Engineering</v>
      </c>
      <c r="O5112" s="6" t="str">
        <f>IFERROR(__xludf.DUMMYFUNCTION("""COMPUTED_VALUE"""),"FIP-DOM-000-11304-OS00001-INA-000000")</f>
        <v>FIP-DOM-000-11304-OS00001-INA-000000</v>
      </c>
      <c r="P5112" s="6" t="str">
        <f>IFERROR(__xludf.DUMMYFUNCTION("""COMPUTED_VALUE"""),"PO Closed")</f>
        <v>PO Closed</v>
      </c>
      <c r="Q5112" s="6" t="str">
        <f>IFERROR(__xludf.DUMMYFUNCTION("""COMPUTED_VALUE"""),"GL2604012")</f>
        <v>GL2604012</v>
      </c>
      <c r="R5112" s="57">
        <f>IFERROR(__xludf.DUMMYFUNCTION("""COMPUTED_VALUE"""),46111.0)</f>
        <v>46111</v>
      </c>
      <c r="S5112" s="57">
        <f>IFERROR(__xludf.DUMMYFUNCTION("""COMPUTED_VALUE"""),46112.0)</f>
        <v>46112</v>
      </c>
      <c r="T5112" s="57">
        <f>IFERROR(__xludf.DUMMYFUNCTION("""COMPUTED_VALUE"""),46237.0)</f>
        <v>46237</v>
      </c>
    </row>
    <row r="5113">
      <c r="A5113" s="6" t="str">
        <f>IFERROR(__xludf.DUMMYFUNCTION("""COMPUTED_VALUE"""),"121704082-3")</f>
        <v>121704082-3</v>
      </c>
      <c r="B5113" s="6" t="str">
        <f>IFERROR(__xludf.DUMMYFUNCTION("""COMPUTED_VALUE"""),"121704082 - APPROVED")</f>
        <v>121704082 - APPROVED</v>
      </c>
      <c r="C5113" s="6">
        <f>IFERROR(__xludf.DUMMYFUNCTION("""COMPUTED_VALUE"""),3.0)</f>
        <v>3</v>
      </c>
      <c r="D5113" s="6" t="str">
        <f>IFERROR(__xludf.DUMMYFUNCTION("""COMPUTED_VALUE"""),"O-21486-00")</f>
        <v>O-21486-00</v>
      </c>
      <c r="E5113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F5113" s="6">
        <f>IFERROR(__xludf.DUMMYFUNCTION("""COMPUTED_VALUE"""),20.0)</f>
        <v>20</v>
      </c>
      <c r="G5113" s="6" t="str">
        <f>IFERROR(__xludf.DUMMYFUNCTION("""COMPUTED_VALUE"""),"Pieces")</f>
        <v>Pieces</v>
      </c>
      <c r="H5113" s="6" t="str">
        <f>IFERROR(__xludf.DUMMYFUNCTION("""COMPUTED_VALUE"""),"IDR")</f>
        <v>IDR</v>
      </c>
      <c r="I5113" s="6">
        <f>IFERROR(__xludf.DUMMYFUNCTION("""COMPUTED_VALUE"""),5750000.0)</f>
        <v>5750000</v>
      </c>
      <c r="J5113" s="6">
        <f>IFERROR(__xludf.DUMMYFUNCTION("""COMPUTED_VALUE"""),1.15E8)</f>
        <v>115000000</v>
      </c>
      <c r="K5113" s="57">
        <f>IFERROR(__xludf.DUMMYFUNCTION("""COMPUTED_VALUE"""),46206.0)</f>
        <v>46206</v>
      </c>
      <c r="L5113" s="6" t="str">
        <f>IFERROR(__xludf.DUMMYFUNCTION("""COMPUTED_VALUE"""),"FIP Engineering")</f>
        <v>FIP Engineering</v>
      </c>
      <c r="M5113" s="6" t="str">
        <f>IFERROR(__xludf.DUMMYFUNCTION("""COMPUTED_VALUE"""),"Mochammad Fadhillah Hakim,")</f>
        <v>Mochammad Fadhillah Hakim,</v>
      </c>
      <c r="N5113" s="6" t="str">
        <f>IFERROR(__xludf.DUMMYFUNCTION("""COMPUTED_VALUE"""),"FIP Engineering")</f>
        <v>FIP Engineering</v>
      </c>
      <c r="O5113" s="6" t="str">
        <f>IFERROR(__xludf.DUMMYFUNCTION("""COMPUTED_VALUE"""),"FIP-DOM-000-11304-OS00001-INA-000000")</f>
        <v>FIP-DOM-000-11304-OS00001-INA-000000</v>
      </c>
      <c r="P5113" s="6" t="str">
        <f>IFERROR(__xludf.DUMMYFUNCTION("""COMPUTED_VALUE"""),"PO Closed")</f>
        <v>PO Closed</v>
      </c>
      <c r="Q5113" s="6" t="str">
        <f>IFERROR(__xludf.DUMMYFUNCTION("""COMPUTED_VALUE"""),"GL2604012")</f>
        <v>GL2604012</v>
      </c>
      <c r="R5113" s="57">
        <f>IFERROR(__xludf.DUMMYFUNCTION("""COMPUTED_VALUE"""),46111.0)</f>
        <v>46111</v>
      </c>
      <c r="S5113" s="57">
        <f>IFERROR(__xludf.DUMMYFUNCTION("""COMPUTED_VALUE"""),46112.0)</f>
        <v>46112</v>
      </c>
      <c r="T5113" s="57">
        <f>IFERROR(__xludf.DUMMYFUNCTION("""COMPUTED_VALUE"""),46237.0)</f>
        <v>46237</v>
      </c>
    </row>
    <row r="5114">
      <c r="A5114" s="6" t="str">
        <f>IFERROR(__xludf.DUMMYFUNCTION("""COMPUTED_VALUE"""),"121704083-1")</f>
        <v>121704083-1</v>
      </c>
      <c r="B5114" s="6" t="str">
        <f>IFERROR(__xludf.DUMMYFUNCTION("""COMPUTED_VALUE"""),"121704083 - APPROVED")</f>
        <v>121704083 - APPROVED</v>
      </c>
      <c r="C5114" s="6">
        <f>IFERROR(__xludf.DUMMYFUNCTION("""COMPUTED_VALUE"""),1.0)</f>
        <v>1</v>
      </c>
      <c r="D5114" s="6" t="str">
        <f>IFERROR(__xludf.DUMMYFUNCTION("""COMPUTED_VALUE"""),"O-21471-00")</f>
        <v>O-21471-00</v>
      </c>
      <c r="E5114" s="6" t="str">
        <f>IFERROR(__xludf.DUMMYFUNCTION("""COMPUTED_VALUE"""),"Colamark - Spares Full Mechanism EAS00 1023SP; Domino; SP-0078; 1 Pc")</f>
        <v>Colamark - Spares Full Mechanism EAS00 1023SP; Domino; SP-0078; 1 Pc</v>
      </c>
      <c r="F5114" s="6">
        <f>IFERROR(__xludf.DUMMYFUNCTION("""COMPUTED_VALUE"""),1.0)</f>
        <v>1</v>
      </c>
      <c r="G5114" s="6" t="str">
        <f>IFERROR(__xludf.DUMMYFUNCTION("""COMPUTED_VALUE"""),"Pieces")</f>
        <v>Pieces</v>
      </c>
      <c r="H5114" s="6" t="str">
        <f>IFERROR(__xludf.DUMMYFUNCTION("""COMPUTED_VALUE"""),"IDR")</f>
        <v>IDR</v>
      </c>
      <c r="I5114" s="6">
        <f>IFERROR(__xludf.DUMMYFUNCTION("""COMPUTED_VALUE"""),1.75E7)</f>
        <v>17500000</v>
      </c>
      <c r="J5114" s="6">
        <f>IFERROR(__xludf.DUMMYFUNCTION("""COMPUTED_VALUE"""),1.75E7)</f>
        <v>17500000</v>
      </c>
      <c r="K5114" s="57">
        <f>IFERROR(__xludf.DUMMYFUNCTION("""COMPUTED_VALUE"""),46178.0)</f>
        <v>46178</v>
      </c>
      <c r="L5114" s="6" t="str">
        <f>IFERROR(__xludf.DUMMYFUNCTION("""COMPUTED_VALUE"""),"FIP Engineering")</f>
        <v>FIP Engineering</v>
      </c>
      <c r="M5114" s="6" t="str">
        <f>IFERROR(__xludf.DUMMYFUNCTION("""COMPUTED_VALUE"""),"Mochammad Fadhillah Hakim,")</f>
        <v>Mochammad Fadhillah Hakim,</v>
      </c>
      <c r="N5114" s="6" t="str">
        <f>IFERROR(__xludf.DUMMYFUNCTION("""COMPUTED_VALUE"""),"FIP Engineering")</f>
        <v>FIP Engineering</v>
      </c>
      <c r="O5114" s="6" t="str">
        <f>IFERROR(__xludf.DUMMYFUNCTION("""COMPUTED_VALUE"""),"FIP-DOM-000-11304-OS00001-INA-000000")</f>
        <v>FIP-DOM-000-11304-OS00001-INA-000000</v>
      </c>
      <c r="P5114" s="6" t="str">
        <f>IFERROR(__xludf.DUMMYFUNCTION("""COMPUTED_VALUE"""),"PO Closed")</f>
        <v>PO Closed</v>
      </c>
      <c r="Q5114" s="6" t="str">
        <f>IFERROR(__xludf.DUMMYFUNCTION("""COMPUTED_VALUE"""),"GL2604304")</f>
        <v>GL2604304</v>
      </c>
      <c r="R5114" s="57">
        <f>IFERROR(__xludf.DUMMYFUNCTION("""COMPUTED_VALUE"""),46111.0)</f>
        <v>46111</v>
      </c>
      <c r="S5114" s="57">
        <f>IFERROR(__xludf.DUMMYFUNCTION("""COMPUTED_VALUE"""),46112.0)</f>
        <v>46112</v>
      </c>
      <c r="T5114" s="57">
        <f>IFERROR(__xludf.DUMMYFUNCTION("""COMPUTED_VALUE"""),46178.0)</f>
        <v>46178</v>
      </c>
    </row>
    <row r="5115">
      <c r="A5115" s="6" t="str">
        <f>IFERROR(__xludf.DUMMYFUNCTION("""COMPUTED_VALUE"""),"121704083-2")</f>
        <v>121704083-2</v>
      </c>
      <c r="B5115" s="6" t="str">
        <f>IFERROR(__xludf.DUMMYFUNCTION("""COMPUTED_VALUE"""),"121704083 - APPROVED")</f>
        <v>121704083 - APPROVED</v>
      </c>
      <c r="C5115" s="6">
        <f>IFERROR(__xludf.DUMMYFUNCTION("""COMPUTED_VALUE"""),2.0)</f>
        <v>2</v>
      </c>
      <c r="D5115" s="6" t="str">
        <f>IFERROR(__xludf.DUMMYFUNCTION("""COMPUTED_VALUE"""),"O-15400-00")</f>
        <v>O-15400-00</v>
      </c>
      <c r="E5115" s="6" t="str">
        <f>IFERROR(__xludf.DUMMYFUNCTION("""COMPUTED_VALUE"""),"Colamark - Side Arms kit EPT012551; Domino; SP-0076; 1 Pc")</f>
        <v>Colamark - Side Arms kit EPT012551; Domino; SP-0076; 1 Pc</v>
      </c>
      <c r="F5115" s="6">
        <f>IFERROR(__xludf.DUMMYFUNCTION("""COMPUTED_VALUE"""),1.0)</f>
        <v>1</v>
      </c>
      <c r="G5115" s="6" t="str">
        <f>IFERROR(__xludf.DUMMYFUNCTION("""COMPUTED_VALUE"""),"Pieces")</f>
        <v>Pieces</v>
      </c>
      <c r="H5115" s="6" t="str">
        <f>IFERROR(__xludf.DUMMYFUNCTION("""COMPUTED_VALUE"""),"IDR")</f>
        <v>IDR</v>
      </c>
      <c r="I5115" s="6">
        <f>IFERROR(__xludf.DUMMYFUNCTION("""COMPUTED_VALUE"""),4700000.0)</f>
        <v>4700000</v>
      </c>
      <c r="J5115" s="6">
        <f>IFERROR(__xludf.DUMMYFUNCTION("""COMPUTED_VALUE"""),4700000.0)</f>
        <v>4700000</v>
      </c>
      <c r="K5115" s="57">
        <f>IFERROR(__xludf.DUMMYFUNCTION("""COMPUTED_VALUE"""),46178.0)</f>
        <v>46178</v>
      </c>
      <c r="L5115" s="6" t="str">
        <f>IFERROR(__xludf.DUMMYFUNCTION("""COMPUTED_VALUE"""),"FIP Engineering")</f>
        <v>FIP Engineering</v>
      </c>
      <c r="M5115" s="6" t="str">
        <f>IFERROR(__xludf.DUMMYFUNCTION("""COMPUTED_VALUE"""),"Mochammad Fadhillah Hakim,")</f>
        <v>Mochammad Fadhillah Hakim,</v>
      </c>
      <c r="N5115" s="6" t="str">
        <f>IFERROR(__xludf.DUMMYFUNCTION("""COMPUTED_VALUE"""),"FIP Engineering")</f>
        <v>FIP Engineering</v>
      </c>
      <c r="O5115" s="6" t="str">
        <f>IFERROR(__xludf.DUMMYFUNCTION("""COMPUTED_VALUE"""),"FIP-DOM-000-11304-OS00001-INA-000000")</f>
        <v>FIP-DOM-000-11304-OS00001-INA-000000</v>
      </c>
      <c r="P5115" s="6" t="str">
        <f>IFERROR(__xludf.DUMMYFUNCTION("""COMPUTED_VALUE"""),"PO Closed")</f>
        <v>PO Closed</v>
      </c>
      <c r="Q5115" s="6" t="str">
        <f>IFERROR(__xludf.DUMMYFUNCTION("""COMPUTED_VALUE"""),"GL2604304")</f>
        <v>GL2604304</v>
      </c>
      <c r="R5115" s="57">
        <f>IFERROR(__xludf.DUMMYFUNCTION("""COMPUTED_VALUE"""),46111.0)</f>
        <v>46111</v>
      </c>
      <c r="S5115" s="57">
        <f>IFERROR(__xludf.DUMMYFUNCTION("""COMPUTED_VALUE"""),46112.0)</f>
        <v>46112</v>
      </c>
      <c r="T5115" s="57">
        <f>IFERROR(__xludf.DUMMYFUNCTION("""COMPUTED_VALUE"""),46178.0)</f>
        <v>46178</v>
      </c>
    </row>
    <row r="5116">
      <c r="A5116" s="6" t="str">
        <f>IFERROR(__xludf.DUMMYFUNCTION("""COMPUTED_VALUE"""),"121704083-3")</f>
        <v>121704083-3</v>
      </c>
      <c r="B5116" s="6" t="str">
        <f>IFERROR(__xludf.DUMMYFUNCTION("""COMPUTED_VALUE"""),"121704083 - APPROVED")</f>
        <v>121704083 - APPROVED</v>
      </c>
      <c r="C5116" s="6">
        <f>IFERROR(__xludf.DUMMYFUNCTION("""COMPUTED_VALUE"""),3.0)</f>
        <v>3</v>
      </c>
      <c r="D5116" s="6" t="str">
        <f>IFERROR(__xludf.DUMMYFUNCTION("""COMPUTED_VALUE"""),"O-21404-00")</f>
        <v>O-21404-00</v>
      </c>
      <c r="E5116" s="6" t="str">
        <f>IFERROR(__xludf.DUMMYFUNCTION("""COMPUTED_VALUE"""),"General - Capstan Roller V Series EAS001201SP 32mm; Domino; SP-0069; 1 Unit")</f>
        <v>General - Capstan Roller V Series EAS001201SP 32mm; Domino; SP-0069; 1 Unit</v>
      </c>
      <c r="F5116" s="6">
        <f>IFERROR(__xludf.DUMMYFUNCTION("""COMPUTED_VALUE"""),1.0)</f>
        <v>1</v>
      </c>
      <c r="G5116" s="6" t="str">
        <f>IFERROR(__xludf.DUMMYFUNCTION("""COMPUTED_VALUE"""),"Unit")</f>
        <v>Unit</v>
      </c>
      <c r="H5116" s="6" t="str">
        <f>IFERROR(__xludf.DUMMYFUNCTION("""COMPUTED_VALUE"""),"IDR")</f>
        <v>IDR</v>
      </c>
      <c r="I5116" s="6">
        <f>IFERROR(__xludf.DUMMYFUNCTION("""COMPUTED_VALUE"""),2950000.0)</f>
        <v>2950000</v>
      </c>
      <c r="J5116" s="6">
        <f>IFERROR(__xludf.DUMMYFUNCTION("""COMPUTED_VALUE"""),2950000.0)</f>
        <v>2950000</v>
      </c>
      <c r="K5116" s="57">
        <f>IFERROR(__xludf.DUMMYFUNCTION("""COMPUTED_VALUE"""),46178.0)</f>
        <v>46178</v>
      </c>
      <c r="L5116" s="6" t="str">
        <f>IFERROR(__xludf.DUMMYFUNCTION("""COMPUTED_VALUE"""),"FIP Engineering")</f>
        <v>FIP Engineering</v>
      </c>
      <c r="M5116" s="6" t="str">
        <f>IFERROR(__xludf.DUMMYFUNCTION("""COMPUTED_VALUE"""),"Mochammad Fadhillah Hakim,")</f>
        <v>Mochammad Fadhillah Hakim,</v>
      </c>
      <c r="N5116" s="6" t="str">
        <f>IFERROR(__xludf.DUMMYFUNCTION("""COMPUTED_VALUE"""),"FIP Engineering")</f>
        <v>FIP Engineering</v>
      </c>
      <c r="O5116" s="6" t="str">
        <f>IFERROR(__xludf.DUMMYFUNCTION("""COMPUTED_VALUE"""),"FIP-DOM-000-11304-OS00001-INA-000000")</f>
        <v>FIP-DOM-000-11304-OS00001-INA-000000</v>
      </c>
      <c r="P5116" s="6" t="str">
        <f>IFERROR(__xludf.DUMMYFUNCTION("""COMPUTED_VALUE"""),"PO Closed")</f>
        <v>PO Closed</v>
      </c>
      <c r="Q5116" s="6" t="str">
        <f>IFERROR(__xludf.DUMMYFUNCTION("""COMPUTED_VALUE"""),"GL2604304")</f>
        <v>GL2604304</v>
      </c>
      <c r="R5116" s="57">
        <f>IFERROR(__xludf.DUMMYFUNCTION("""COMPUTED_VALUE"""),46111.0)</f>
        <v>46111</v>
      </c>
      <c r="S5116" s="57">
        <f>IFERROR(__xludf.DUMMYFUNCTION("""COMPUTED_VALUE"""),46112.0)</f>
        <v>46112</v>
      </c>
      <c r="T5116" s="57">
        <f>IFERROR(__xludf.DUMMYFUNCTION("""COMPUTED_VALUE"""),46178.0)</f>
        <v>46178</v>
      </c>
    </row>
    <row r="5117">
      <c r="A5117" s="6" t="str">
        <f>IFERROR(__xludf.DUMMYFUNCTION("""COMPUTED_VALUE"""),"121704089-1")</f>
        <v>121704089-1</v>
      </c>
      <c r="B5117" s="6" t="str">
        <f>IFERROR(__xludf.DUMMYFUNCTION("""COMPUTED_VALUE"""),"121704089 - APPROVED")</f>
        <v>121704089 - APPROVED</v>
      </c>
      <c r="C5117" s="6">
        <f>IFERROR(__xludf.DUMMYFUNCTION("""COMPUTED_VALUE"""),1.0)</f>
        <v>1</v>
      </c>
      <c r="D5117" s="6" t="str">
        <f>IFERROR(__xludf.DUMMYFUNCTION("""COMPUTED_VALUE"""),"O-21487-00")</f>
        <v>O-21487-00</v>
      </c>
      <c r="E5117" s="6" t="str">
        <f>IFERROR(__xludf.DUMMYFUNCTION("""COMPUTED_VALUE"""),"Colamark - Bracket/Dudukan Monitor Ukuran 3x100x410 mm; Custom/Lokal; -; 1 pc")</f>
        <v>Colamark - Bracket/Dudukan Monitor Ukuran 3x100x410 mm; Custom/Lokal; -; 1 pc</v>
      </c>
      <c r="F5117" s="6">
        <f>IFERROR(__xludf.DUMMYFUNCTION("""COMPUTED_VALUE"""),1.0)</f>
        <v>1</v>
      </c>
      <c r="G5117" s="6" t="str">
        <f>IFERROR(__xludf.DUMMYFUNCTION("""COMPUTED_VALUE"""),"Pieces")</f>
        <v>Pieces</v>
      </c>
      <c r="H5117" s="6" t="str">
        <f>IFERROR(__xludf.DUMMYFUNCTION("""COMPUTED_VALUE"""),"IDR")</f>
        <v>IDR</v>
      </c>
      <c r="I5117" s="6">
        <f>IFERROR(__xludf.DUMMYFUNCTION("""COMPUTED_VALUE"""),3150000.0)</f>
        <v>3150000</v>
      </c>
      <c r="J5117" s="6">
        <f>IFERROR(__xludf.DUMMYFUNCTION("""COMPUTED_VALUE"""),3150000.0)</f>
        <v>3150000</v>
      </c>
      <c r="K5117" s="57">
        <f>IFERROR(__xludf.DUMMYFUNCTION("""COMPUTED_VALUE"""),46122.0)</f>
        <v>46122</v>
      </c>
      <c r="L5117" s="6" t="str">
        <f>IFERROR(__xludf.DUMMYFUNCTION("""COMPUTED_VALUE"""),"FIP Engineering")</f>
        <v>FIP Engineering</v>
      </c>
      <c r="M5117" s="6" t="str">
        <f>IFERROR(__xludf.DUMMYFUNCTION("""COMPUTED_VALUE"""),"Mochammad Fadhillah Hakim,")</f>
        <v>Mochammad Fadhillah Hakim,</v>
      </c>
      <c r="N5117" s="6" t="str">
        <f>IFERROR(__xludf.DUMMYFUNCTION("""COMPUTED_VALUE"""),"FIP Engineering")</f>
        <v>FIP Engineering</v>
      </c>
      <c r="O5117" s="6" t="str">
        <f>IFERROR(__xludf.DUMMYFUNCTION("""COMPUTED_VALUE"""),"FIP-DOM-000-11304-OS00001-INA-000000")</f>
        <v>FIP-DOM-000-11304-OS00001-INA-000000</v>
      </c>
      <c r="P5117" s="6" t="str">
        <f>IFERROR(__xludf.DUMMYFUNCTION("""COMPUTED_VALUE"""),"PO Closed")</f>
        <v>PO Closed</v>
      </c>
      <c r="Q5117" s="6" t="str">
        <f>IFERROR(__xludf.DUMMYFUNCTION("""COMPUTED_VALUE"""),"GL2604006")</f>
        <v>GL2604006</v>
      </c>
      <c r="R5117" s="57">
        <f>IFERROR(__xludf.DUMMYFUNCTION("""COMPUTED_VALUE"""),46113.0)</f>
        <v>46113</v>
      </c>
      <c r="S5117" s="57">
        <f>IFERROR(__xludf.DUMMYFUNCTION("""COMPUTED_VALUE"""),46114.0)</f>
        <v>46114</v>
      </c>
      <c r="T5117" s="57">
        <f>IFERROR(__xludf.DUMMYFUNCTION("""COMPUTED_VALUE"""),46152.0)</f>
        <v>46152</v>
      </c>
    </row>
    <row r="5118">
      <c r="A5118" s="6" t="str">
        <f>IFERROR(__xludf.DUMMYFUNCTION("""COMPUTED_VALUE"""),"121704089-2")</f>
        <v>121704089-2</v>
      </c>
      <c r="B5118" s="6" t="str">
        <f>IFERROR(__xludf.DUMMYFUNCTION("""COMPUTED_VALUE"""),"121704089 - APPROVED")</f>
        <v>121704089 - APPROVED</v>
      </c>
      <c r="C5118" s="6">
        <f>IFERROR(__xludf.DUMMYFUNCTION("""COMPUTED_VALUE"""),2.0)</f>
        <v>2</v>
      </c>
      <c r="D5118" s="6" t="str">
        <f>IFERROR(__xludf.DUMMYFUNCTION("""COMPUTED_VALUE"""),"O-21488-00")</f>
        <v>O-21488-00</v>
      </c>
      <c r="E5118" s="6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F5118" s="6">
        <f>IFERROR(__xludf.DUMMYFUNCTION("""COMPUTED_VALUE"""),1.0)</f>
        <v>1</v>
      </c>
      <c r="G5118" s="6" t="str">
        <f>IFERROR(__xludf.DUMMYFUNCTION("""COMPUTED_VALUE"""),"Pieces")</f>
        <v>Pieces</v>
      </c>
      <c r="H5118" s="6" t="str">
        <f>IFERROR(__xludf.DUMMYFUNCTION("""COMPUTED_VALUE"""),"IDR")</f>
        <v>IDR</v>
      </c>
      <c r="I5118" s="6">
        <f>IFERROR(__xludf.DUMMYFUNCTION("""COMPUTED_VALUE"""),2750000.0)</f>
        <v>2750000</v>
      </c>
      <c r="J5118" s="6">
        <f>IFERROR(__xludf.DUMMYFUNCTION("""COMPUTED_VALUE"""),2750000.0)</f>
        <v>2750000</v>
      </c>
      <c r="K5118" s="57">
        <f>IFERROR(__xludf.DUMMYFUNCTION("""COMPUTED_VALUE"""),46122.0)</f>
        <v>46122</v>
      </c>
      <c r="L5118" s="6" t="str">
        <f>IFERROR(__xludf.DUMMYFUNCTION("""COMPUTED_VALUE"""),"FIP Engineering")</f>
        <v>FIP Engineering</v>
      </c>
      <c r="M5118" s="6" t="str">
        <f>IFERROR(__xludf.DUMMYFUNCTION("""COMPUTED_VALUE"""),"Mochammad Fadhillah Hakim,")</f>
        <v>Mochammad Fadhillah Hakim,</v>
      </c>
      <c r="N5118" s="6" t="str">
        <f>IFERROR(__xludf.DUMMYFUNCTION("""COMPUTED_VALUE"""),"FIP Engineering")</f>
        <v>FIP Engineering</v>
      </c>
      <c r="O5118" s="6" t="str">
        <f>IFERROR(__xludf.DUMMYFUNCTION("""COMPUTED_VALUE"""),"FIP-DOM-000-11304-OS00001-INA-000000")</f>
        <v>FIP-DOM-000-11304-OS00001-INA-000000</v>
      </c>
      <c r="P5118" s="6" t="str">
        <f>IFERROR(__xludf.DUMMYFUNCTION("""COMPUTED_VALUE"""),"PO Closed")</f>
        <v>PO Closed</v>
      </c>
      <c r="Q5118" s="6" t="str">
        <f>IFERROR(__xludf.DUMMYFUNCTION("""COMPUTED_VALUE"""),"GL2604006")</f>
        <v>GL2604006</v>
      </c>
      <c r="R5118" s="57">
        <f>IFERROR(__xludf.DUMMYFUNCTION("""COMPUTED_VALUE"""),46113.0)</f>
        <v>46113</v>
      </c>
      <c r="S5118" s="57">
        <f>IFERROR(__xludf.DUMMYFUNCTION("""COMPUTED_VALUE"""),46114.0)</f>
        <v>46114</v>
      </c>
      <c r="T5118" s="57">
        <f>IFERROR(__xludf.DUMMYFUNCTION("""COMPUTED_VALUE"""),46152.0)</f>
        <v>46152</v>
      </c>
    </row>
    <row r="5119">
      <c r="A5119" s="6" t="str">
        <f>IFERROR(__xludf.DUMMYFUNCTION("""COMPUTED_VALUE"""),"121704090-1")</f>
        <v>121704090-1</v>
      </c>
      <c r="B5119" s="6" t="str">
        <f>IFERROR(__xludf.DUMMYFUNCTION("""COMPUTED_VALUE"""),"121704090 - APPROVED")</f>
        <v>121704090 - APPROVED</v>
      </c>
      <c r="C5119" s="6">
        <f>IFERROR(__xludf.DUMMYFUNCTION("""COMPUTED_VALUE"""),1.0)</f>
        <v>1</v>
      </c>
      <c r="D5119" s="6" t="str">
        <f>IFERROR(__xludf.DUMMYFUNCTION("""COMPUTED_VALUE"""),"O-21475-00")</f>
        <v>O-21475-00</v>
      </c>
      <c r="E5119" s="6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F5119" s="6">
        <f>IFERROR(__xludf.DUMMYFUNCTION("""COMPUTED_VALUE"""),50.0)</f>
        <v>50</v>
      </c>
      <c r="G5119" s="6" t="str">
        <f>IFERROR(__xludf.DUMMYFUNCTION("""COMPUTED_VALUE"""),"Pieces")</f>
        <v>Pieces</v>
      </c>
      <c r="H5119" s="6" t="str">
        <f>IFERROR(__xludf.DUMMYFUNCTION("""COMPUTED_VALUE"""),"IDR")</f>
        <v>IDR</v>
      </c>
      <c r="I5119" s="6">
        <f>IFERROR(__xludf.DUMMYFUNCTION("""COMPUTED_VALUE"""),90000.0)</f>
        <v>90000</v>
      </c>
      <c r="J5119" s="6">
        <f>IFERROR(__xludf.DUMMYFUNCTION("""COMPUTED_VALUE"""),4500000.0)</f>
        <v>4500000</v>
      </c>
      <c r="K5119" s="57">
        <f>IFERROR(__xludf.DUMMYFUNCTION("""COMPUTED_VALUE"""),46143.0)</f>
        <v>46143</v>
      </c>
      <c r="L5119" s="6" t="str">
        <f>IFERROR(__xludf.DUMMYFUNCTION("""COMPUTED_VALUE"""),"FIP Engineering")</f>
        <v>FIP Engineering</v>
      </c>
      <c r="M5119" s="6" t="str">
        <f>IFERROR(__xludf.DUMMYFUNCTION("""COMPUTED_VALUE"""),"Mochammad Fadhillah Hakim,")</f>
        <v>Mochammad Fadhillah Hakim,</v>
      </c>
      <c r="N5119" s="6" t="str">
        <f>IFERROR(__xludf.DUMMYFUNCTION("""COMPUTED_VALUE"""),"FIP Engineering")</f>
        <v>FIP Engineering</v>
      </c>
      <c r="O5119" s="6" t="str">
        <f>IFERROR(__xludf.DUMMYFUNCTION("""COMPUTED_VALUE"""),"FIP-DOM-000-11304-OS00001-INA-000000")</f>
        <v>FIP-DOM-000-11304-OS00001-INA-000000</v>
      </c>
      <c r="P5119" s="6" t="str">
        <f>IFERROR(__xludf.DUMMYFUNCTION("""COMPUTED_VALUE"""),"PO Open")</f>
        <v>PO Open</v>
      </c>
      <c r="Q5119" s="6" t="str">
        <f>IFERROR(__xludf.DUMMYFUNCTION("""COMPUTED_VALUE"""),"GL2604022")</f>
        <v>GL2604022</v>
      </c>
      <c r="R5119" s="57">
        <f>IFERROR(__xludf.DUMMYFUNCTION("""COMPUTED_VALUE"""),46113.0)</f>
        <v>46113</v>
      </c>
      <c r="S5119" s="57">
        <f>IFERROR(__xludf.DUMMYFUNCTION("""COMPUTED_VALUE"""),46114.0)</f>
        <v>46114</v>
      </c>
      <c r="T5119" s="57">
        <f>IFERROR(__xludf.DUMMYFUNCTION("""COMPUTED_VALUE"""),46295.0)</f>
        <v>46295</v>
      </c>
    </row>
    <row r="5120">
      <c r="A5120" s="6" t="str">
        <f>IFERROR(__xludf.DUMMYFUNCTION("""COMPUTED_VALUE"""),"121704097-1")</f>
        <v>121704097-1</v>
      </c>
      <c r="B5120" s="6" t="str">
        <f>IFERROR(__xludf.DUMMYFUNCTION("""COMPUTED_VALUE"""),"121704097 - APPROVED")</f>
        <v>121704097 - APPROVED</v>
      </c>
      <c r="C5120" s="6">
        <f>IFERROR(__xludf.DUMMYFUNCTION("""COMPUTED_VALUE"""),1.0)</f>
        <v>1</v>
      </c>
      <c r="D5120" s="6" t="str">
        <f>IFERROR(__xludf.DUMMYFUNCTION("""COMPUTED_VALUE"""),"Q-10249-00")</f>
        <v>Q-10249-00</v>
      </c>
      <c r="E5120" s="6" t="str">
        <f>IFERROR(__xludf.DUMMYFUNCTION("""COMPUTED_VALUE"""),"Lem Power Glue; ; ;")</f>
        <v>Lem Power Glue; ; ;</v>
      </c>
      <c r="F5120" s="6">
        <f>IFERROR(__xludf.DUMMYFUNCTION("""COMPUTED_VALUE"""),80.0)</f>
        <v>80</v>
      </c>
      <c r="G5120" s="6" t="str">
        <f>IFERROR(__xludf.DUMMYFUNCTION("""COMPUTED_VALUE"""),"Pieces")</f>
        <v>Pieces</v>
      </c>
      <c r="H5120" s="6" t="str">
        <f>IFERROR(__xludf.DUMMYFUNCTION("""COMPUTED_VALUE"""),"IDR")</f>
        <v>IDR</v>
      </c>
      <c r="I5120" s="6">
        <f>IFERROR(__xludf.DUMMYFUNCTION("""COMPUTED_VALUE"""),5000.0)</f>
        <v>5000</v>
      </c>
      <c r="J5120" s="6">
        <f>IFERROR(__xludf.DUMMYFUNCTION("""COMPUTED_VALUE"""),400000.0)</f>
        <v>400000</v>
      </c>
      <c r="K5120" s="57">
        <f>IFERROR(__xludf.DUMMYFUNCTION("""COMPUTED_VALUE"""),46150.0)</f>
        <v>46150</v>
      </c>
      <c r="L5120" s="6" t="str">
        <f>IFERROR(__xludf.DUMMYFUNCTION("""COMPUTED_VALUE"""),"FIP Engineering")</f>
        <v>FIP Engineering</v>
      </c>
      <c r="M5120" s="6" t="str">
        <f>IFERROR(__xludf.DUMMYFUNCTION("""COMPUTED_VALUE"""),"Mochammad Fadhillah Hakim,")</f>
        <v>Mochammad Fadhillah Hakim,</v>
      </c>
      <c r="N5120" s="6" t="str">
        <f>IFERROR(__xludf.DUMMYFUNCTION("""COMPUTED_VALUE"""),"FIP Engineering")</f>
        <v>FIP Engineering</v>
      </c>
      <c r="O5120" s="6" t="str">
        <f>IFERROR(__xludf.DUMMYFUNCTION("""COMPUTED_VALUE"""),"FIP-DOM-000-11304-OS00001-INA-000000")</f>
        <v>FIP-DOM-000-11304-OS00001-INA-000000</v>
      </c>
      <c r="P5120" s="6" t="str">
        <f>IFERROR(__xludf.DUMMYFUNCTION("""COMPUTED_VALUE"""),"PO Closed")</f>
        <v>PO Closed</v>
      </c>
      <c r="Q5120" s="6" t="str">
        <f>IFERROR(__xludf.DUMMYFUNCTION("""COMPUTED_VALUE"""),"GL2604037")</f>
        <v>GL2604037</v>
      </c>
      <c r="R5120" s="57">
        <f>IFERROR(__xludf.DUMMYFUNCTION("""COMPUTED_VALUE"""),46114.0)</f>
        <v>46114</v>
      </c>
      <c r="S5120" s="57">
        <f>IFERROR(__xludf.DUMMYFUNCTION("""COMPUTED_VALUE"""),46118.0)</f>
        <v>46118</v>
      </c>
      <c r="T5120" s="57">
        <f>IFERROR(__xludf.DUMMYFUNCTION("""COMPUTED_VALUE"""),46147.0)</f>
        <v>46147</v>
      </c>
    </row>
    <row r="5121">
      <c r="A5121" s="6" t="str">
        <f>IFERROR(__xludf.DUMMYFUNCTION("""COMPUTED_VALUE"""),"121704098-1")</f>
        <v>121704098-1</v>
      </c>
      <c r="B5121" s="6" t="str">
        <f>IFERROR(__xludf.DUMMYFUNCTION("""COMPUTED_VALUE"""),"121704098 - APPROVED")</f>
        <v>121704098 - APPROVED</v>
      </c>
      <c r="C5121" s="6">
        <f>IFERROR(__xludf.DUMMYFUNCTION("""COMPUTED_VALUE"""),1.0)</f>
        <v>1</v>
      </c>
      <c r="D5121" s="6" t="str">
        <f>IFERROR(__xludf.DUMMYFUNCTION("""COMPUTED_VALUE"""),"P-51027-00")</f>
        <v>P-51027-00</v>
      </c>
      <c r="E5121" s="6" t="str">
        <f>IFERROR(__xludf.DUMMYFUNCTION("""COMPUTED_VALUE"""),"General - IsoLasi Kabel Hitam 33 (19mm x 20mm x 0.177mm); Scotch; -; 1 Pcs")</f>
        <v>General - IsoLasi Kabel Hitam 33 (19mm x 20mm x 0.177mm); Scotch; -; 1 Pcs</v>
      </c>
      <c r="F5121" s="6">
        <f>IFERROR(__xludf.DUMMYFUNCTION("""COMPUTED_VALUE"""),10.0)</f>
        <v>10</v>
      </c>
      <c r="G5121" s="6" t="str">
        <f>IFERROR(__xludf.DUMMYFUNCTION("""COMPUTED_VALUE"""),"Pieces")</f>
        <v>Pieces</v>
      </c>
      <c r="H5121" s="6" t="str">
        <f>IFERROR(__xludf.DUMMYFUNCTION("""COMPUTED_VALUE"""),"IDR")</f>
        <v>IDR</v>
      </c>
      <c r="I5121" s="6">
        <f>IFERROR(__xludf.DUMMYFUNCTION("""COMPUTED_VALUE"""),57000.0)</f>
        <v>57000</v>
      </c>
      <c r="J5121" s="6">
        <f>IFERROR(__xludf.DUMMYFUNCTION("""COMPUTED_VALUE"""),570000.0)</f>
        <v>570000</v>
      </c>
      <c r="K5121" s="57">
        <f>IFERROR(__xludf.DUMMYFUNCTION("""COMPUTED_VALUE"""),46150.0)</f>
        <v>46150</v>
      </c>
      <c r="L5121" s="6" t="str">
        <f>IFERROR(__xludf.DUMMYFUNCTION("""COMPUTED_VALUE"""),"FIP Engineering")</f>
        <v>FIP Engineering</v>
      </c>
      <c r="M5121" s="6" t="str">
        <f>IFERROR(__xludf.DUMMYFUNCTION("""COMPUTED_VALUE"""),"Mochammad Fadhillah Hakim,")</f>
        <v>Mochammad Fadhillah Hakim,</v>
      </c>
      <c r="N5121" s="6" t="str">
        <f>IFERROR(__xludf.DUMMYFUNCTION("""COMPUTED_VALUE"""),"FIP Engineering")</f>
        <v>FIP Engineering</v>
      </c>
      <c r="O5121" s="6" t="str">
        <f>IFERROR(__xludf.DUMMYFUNCTION("""COMPUTED_VALUE"""),"FIP-DOM-000-11304-OS00001-INA-000000")</f>
        <v>FIP-DOM-000-11304-OS00001-INA-000000</v>
      </c>
      <c r="P5121" s="6" t="str">
        <f>IFERROR(__xludf.DUMMYFUNCTION("""COMPUTED_VALUE"""),"PO Closed")</f>
        <v>PO Closed</v>
      </c>
      <c r="Q5121" s="6" t="str">
        <f>IFERROR(__xludf.DUMMYFUNCTION("""COMPUTED_VALUE"""),"GL2604318")</f>
        <v>GL2604318</v>
      </c>
      <c r="R5121" s="57">
        <f>IFERROR(__xludf.DUMMYFUNCTION("""COMPUTED_VALUE"""),46114.0)</f>
        <v>46114</v>
      </c>
      <c r="S5121" s="57">
        <f>IFERROR(__xludf.DUMMYFUNCTION("""COMPUTED_VALUE"""),46118.0)</f>
        <v>46118</v>
      </c>
      <c r="T5121" s="57">
        <f>IFERROR(__xludf.DUMMYFUNCTION("""COMPUTED_VALUE"""),46223.0)</f>
        <v>46223</v>
      </c>
    </row>
    <row r="5122">
      <c r="A5122" s="6" t="str">
        <f>IFERROR(__xludf.DUMMYFUNCTION("""COMPUTED_VALUE"""),"121704104-1")</f>
        <v>121704104-1</v>
      </c>
      <c r="B5122" s="6" t="str">
        <f>IFERROR(__xludf.DUMMYFUNCTION("""COMPUTED_VALUE"""),"121704104 - APPROVED")</f>
        <v>121704104 - APPROVED</v>
      </c>
      <c r="C5122" s="6">
        <f>IFERROR(__xludf.DUMMYFUNCTION("""COMPUTED_VALUE"""),1.0)</f>
        <v>1</v>
      </c>
      <c r="D5122" s="6" t="str">
        <f>IFERROR(__xludf.DUMMYFUNCTION("""COMPUTED_VALUE"""),"P-52685-00")</f>
        <v>P-52685-00</v>
      </c>
      <c r="E5122" s="6" t="str">
        <f>IFERROR(__xludf.DUMMYFUNCTION("""COMPUTED_VALUE"""),"General - Power Supply 24VDC, 6A; Fort; S-145-24; 1 pc")</f>
        <v>General - Power Supply 24VDC, 6A; Fort; S-145-24; 1 pc</v>
      </c>
      <c r="F5122" s="6">
        <f>IFERROR(__xludf.DUMMYFUNCTION("""COMPUTED_VALUE"""),1.0)</f>
        <v>1</v>
      </c>
      <c r="G5122" s="6" t="str">
        <f>IFERROR(__xludf.DUMMYFUNCTION("""COMPUTED_VALUE"""),"Pieces")</f>
        <v>Pieces</v>
      </c>
      <c r="H5122" s="6" t="str">
        <f>IFERROR(__xludf.DUMMYFUNCTION("""COMPUTED_VALUE"""),"IDR")</f>
        <v>IDR</v>
      </c>
      <c r="I5122" s="6">
        <f>IFERROR(__xludf.DUMMYFUNCTION("""COMPUTED_VALUE"""),390000.0)</f>
        <v>390000</v>
      </c>
      <c r="J5122" s="6">
        <f>IFERROR(__xludf.DUMMYFUNCTION("""COMPUTED_VALUE"""),390000.0)</f>
        <v>390000</v>
      </c>
      <c r="K5122" s="57">
        <f>IFERROR(__xludf.DUMMYFUNCTION("""COMPUTED_VALUE"""),46150.0)</f>
        <v>46150</v>
      </c>
      <c r="L5122" s="6" t="str">
        <f>IFERROR(__xludf.DUMMYFUNCTION("""COMPUTED_VALUE"""),"FIP Engineering")</f>
        <v>FIP Engineering</v>
      </c>
      <c r="M5122" s="6" t="str">
        <f>IFERROR(__xludf.DUMMYFUNCTION("""COMPUTED_VALUE"""),"Mochammad Fadhillah Hakim,")</f>
        <v>Mochammad Fadhillah Hakim,</v>
      </c>
      <c r="N5122" s="6" t="str">
        <f>IFERROR(__xludf.DUMMYFUNCTION("""COMPUTED_VALUE"""),"FIP Engineering")</f>
        <v>FIP Engineering</v>
      </c>
      <c r="O5122" s="6" t="str">
        <f>IFERROR(__xludf.DUMMYFUNCTION("""COMPUTED_VALUE"""),"FIP-DOM-000-11304-OS00001-INA-000000")</f>
        <v>FIP-DOM-000-11304-OS00001-INA-000000</v>
      </c>
      <c r="P5122" s="6" t="str">
        <f>IFERROR(__xludf.DUMMYFUNCTION("""COMPUTED_VALUE"""),"PO Closed")</f>
        <v>PO Closed</v>
      </c>
      <c r="Q5122" s="6" t="str">
        <f>IFERROR(__xludf.DUMMYFUNCTION("""COMPUTED_VALUE"""),"GL2605332")</f>
        <v>GL2605332</v>
      </c>
      <c r="R5122" s="57">
        <f>IFERROR(__xludf.DUMMYFUNCTION("""COMPUTED_VALUE"""),46119.0)</f>
        <v>46119</v>
      </c>
      <c r="S5122" s="57">
        <f>IFERROR(__xludf.DUMMYFUNCTION("""COMPUTED_VALUE"""),46121.0)</f>
        <v>46121</v>
      </c>
      <c r="T5122" s="57">
        <f>IFERROR(__xludf.DUMMYFUNCTION("""COMPUTED_VALUE"""),46178.0)</f>
        <v>46178</v>
      </c>
    </row>
    <row r="5123">
      <c r="A5123" s="6" t="str">
        <f>IFERROR(__xludf.DUMMYFUNCTION("""COMPUTED_VALUE"""),"121704104-2")</f>
        <v>121704104-2</v>
      </c>
      <c r="B5123" s="6" t="str">
        <f>IFERROR(__xludf.DUMMYFUNCTION("""COMPUTED_VALUE"""),"121704104 - APPROVED")</f>
        <v>121704104 - APPROVED</v>
      </c>
      <c r="C5123" s="6">
        <f>IFERROR(__xludf.DUMMYFUNCTION("""COMPUTED_VALUE"""),2.0)</f>
        <v>2</v>
      </c>
      <c r="D5123" s="6" t="str">
        <f>IFERROR(__xludf.DUMMYFUNCTION("""COMPUTED_VALUE"""),"P-53411-00")</f>
        <v>P-53411-00</v>
      </c>
      <c r="E5123" s="6" t="str">
        <f>IFERROR(__xludf.DUMMYFUNCTION("""COMPUTED_VALUE"""),"General - Power Supply ECO 1-PH 24VDC 5A; Wago; 787-722; 1 pc")</f>
        <v>General - Power Supply ECO 1-PH 24VDC 5A; Wago; 787-722; 1 pc</v>
      </c>
      <c r="F5123" s="6">
        <f>IFERROR(__xludf.DUMMYFUNCTION("""COMPUTED_VALUE"""),2.0)</f>
        <v>2</v>
      </c>
      <c r="G5123" s="6" t="str">
        <f>IFERROR(__xludf.DUMMYFUNCTION("""COMPUTED_VALUE"""),"Pieces")</f>
        <v>Pieces</v>
      </c>
      <c r="H5123" s="6" t="str">
        <f>IFERROR(__xludf.DUMMYFUNCTION("""COMPUTED_VALUE"""),"IDR")</f>
        <v>IDR</v>
      </c>
      <c r="I5123" s="6">
        <f>IFERROR(__xludf.DUMMYFUNCTION("""COMPUTED_VALUE"""),1060000.0)</f>
        <v>1060000</v>
      </c>
      <c r="J5123" s="6">
        <f>IFERROR(__xludf.DUMMYFUNCTION("""COMPUTED_VALUE"""),2120000.0)</f>
        <v>2120000</v>
      </c>
      <c r="K5123" s="57">
        <f>IFERROR(__xludf.DUMMYFUNCTION("""COMPUTED_VALUE"""),46150.0)</f>
        <v>46150</v>
      </c>
      <c r="L5123" s="6" t="str">
        <f>IFERROR(__xludf.DUMMYFUNCTION("""COMPUTED_VALUE"""),"FIP Engineering")</f>
        <v>FIP Engineering</v>
      </c>
      <c r="M5123" s="6" t="str">
        <f>IFERROR(__xludf.DUMMYFUNCTION("""COMPUTED_VALUE"""),"Mochammad Fadhillah Hakim,")</f>
        <v>Mochammad Fadhillah Hakim,</v>
      </c>
      <c r="N5123" s="6" t="str">
        <f>IFERROR(__xludf.DUMMYFUNCTION("""COMPUTED_VALUE"""),"FIP Engineering")</f>
        <v>FIP Engineering</v>
      </c>
      <c r="O5123" s="6" t="str">
        <f>IFERROR(__xludf.DUMMYFUNCTION("""COMPUTED_VALUE"""),"FIP-DOM-000-11304-OS00001-INA-000000")</f>
        <v>FIP-DOM-000-11304-OS00001-INA-000000</v>
      </c>
      <c r="P5123" s="6" t="str">
        <f>IFERROR(__xludf.DUMMYFUNCTION("""COMPUTED_VALUE"""),"PO Closed")</f>
        <v>PO Closed</v>
      </c>
      <c r="Q5123" s="6" t="str">
        <f>IFERROR(__xludf.DUMMYFUNCTION("""COMPUTED_VALUE"""),"GL2604030")</f>
        <v>GL2604030</v>
      </c>
      <c r="R5123" s="57">
        <f>IFERROR(__xludf.DUMMYFUNCTION("""COMPUTED_VALUE"""),46119.0)</f>
        <v>46119</v>
      </c>
      <c r="S5123" s="57">
        <f>IFERROR(__xludf.DUMMYFUNCTION("""COMPUTED_VALUE"""),46121.0)</f>
        <v>46121</v>
      </c>
      <c r="T5123" s="57">
        <f>IFERROR(__xludf.DUMMYFUNCTION("""COMPUTED_VALUE"""),46150.0)</f>
        <v>46150</v>
      </c>
    </row>
    <row r="5124">
      <c r="A5124" s="6" t="str">
        <f>IFERROR(__xludf.DUMMYFUNCTION("""COMPUTED_VALUE"""),"121704105-1")</f>
        <v>121704105-1</v>
      </c>
      <c r="B5124" s="6" t="str">
        <f>IFERROR(__xludf.DUMMYFUNCTION("""COMPUTED_VALUE"""),"121704105 - APPROVED")</f>
        <v>121704105 - APPROVED</v>
      </c>
      <c r="C5124" s="6">
        <f>IFERROR(__xludf.DUMMYFUNCTION("""COMPUTED_VALUE"""),1.0)</f>
        <v>1</v>
      </c>
      <c r="D5124" s="6" t="str">
        <f>IFERROR(__xludf.DUMMYFUNCTION("""COMPUTED_VALUE"""),"O-16725-00")</f>
        <v>O-16725-00</v>
      </c>
      <c r="E5124" s="6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F5124" s="6">
        <f>IFERROR(__xludf.DUMMYFUNCTION("""COMPUTED_VALUE"""),2.0)</f>
        <v>2</v>
      </c>
      <c r="G5124" s="6" t="str">
        <f>IFERROR(__xludf.DUMMYFUNCTION("""COMPUTED_VALUE"""),"Unit")</f>
        <v>Unit</v>
      </c>
      <c r="H5124" s="6" t="str">
        <f>IFERROR(__xludf.DUMMYFUNCTION("""COMPUTED_VALUE"""),"IDR")</f>
        <v>IDR</v>
      </c>
      <c r="I5124" s="6">
        <f>IFERROR(__xludf.DUMMYFUNCTION("""COMPUTED_VALUE"""),2300000.0)</f>
        <v>2300000</v>
      </c>
      <c r="J5124" s="6">
        <f>IFERROR(__xludf.DUMMYFUNCTION("""COMPUTED_VALUE"""),4600000.0)</f>
        <v>4600000</v>
      </c>
      <c r="K5124" s="57">
        <f>IFERROR(__xludf.DUMMYFUNCTION("""COMPUTED_VALUE"""),46150.0)</f>
        <v>46150</v>
      </c>
      <c r="L5124" s="6" t="str">
        <f>IFERROR(__xludf.DUMMYFUNCTION("""COMPUTED_VALUE"""),"FIP Engineering")</f>
        <v>FIP Engineering</v>
      </c>
      <c r="M5124" s="6" t="str">
        <f>IFERROR(__xludf.DUMMYFUNCTION("""COMPUTED_VALUE"""),"Mochammad Fadhillah Hakim,")</f>
        <v>Mochammad Fadhillah Hakim,</v>
      </c>
      <c r="N5124" s="6" t="str">
        <f>IFERROR(__xludf.DUMMYFUNCTION("""COMPUTED_VALUE"""),"FIP Engineering")</f>
        <v>FIP Engineering</v>
      </c>
      <c r="O5124" s="6" t="str">
        <f>IFERROR(__xludf.DUMMYFUNCTION("""COMPUTED_VALUE"""),"FIP-DOM-000-11304-OS00001-INA-000000")</f>
        <v>FIP-DOM-000-11304-OS00001-INA-000000</v>
      </c>
      <c r="P5124" s="6" t="str">
        <f>IFERROR(__xludf.DUMMYFUNCTION("""COMPUTED_VALUE"""),"PO Closed")</f>
        <v>PO Closed</v>
      </c>
      <c r="Q5124" s="6" t="str">
        <f>IFERROR(__xludf.DUMMYFUNCTION("""COMPUTED_VALUE"""),"GL2604317")</f>
        <v>GL2604317</v>
      </c>
      <c r="R5124" s="57">
        <f>IFERROR(__xludf.DUMMYFUNCTION("""COMPUTED_VALUE"""),46119.0)</f>
        <v>46119</v>
      </c>
      <c r="S5124" s="57">
        <f>IFERROR(__xludf.DUMMYFUNCTION("""COMPUTED_VALUE"""),46121.0)</f>
        <v>46121</v>
      </c>
      <c r="T5124" s="57">
        <f>IFERROR(__xludf.DUMMYFUNCTION("""COMPUTED_VALUE"""),46181.0)</f>
        <v>46181</v>
      </c>
    </row>
    <row r="5125">
      <c r="A5125" s="6" t="str">
        <f>IFERROR(__xludf.DUMMYFUNCTION("""COMPUTED_VALUE"""),"121704110-1")</f>
        <v>121704110-1</v>
      </c>
      <c r="B5125" s="6" t="str">
        <f>IFERROR(__xludf.DUMMYFUNCTION("""COMPUTED_VALUE"""),"121704110 - APPROVED")</f>
        <v>121704110 - APPROVED</v>
      </c>
      <c r="C5125" s="6">
        <f>IFERROR(__xludf.DUMMYFUNCTION("""COMPUTED_VALUE"""),1.0)</f>
        <v>1</v>
      </c>
      <c r="D5125" s="6" t="str">
        <f>IFERROR(__xludf.DUMMYFUNCTION("""COMPUTED_VALUE"""),"P-54467-00")</f>
        <v>P-54467-00</v>
      </c>
      <c r="E5125" s="6" t="str">
        <f>IFERROR(__xludf.DUMMYFUNCTION("""COMPUTED_VALUE"""),"General - Selector Switch 3 Posisi 22mm; Idec; YW1S-3E20; 1 pc")</f>
        <v>General - Selector Switch 3 Posisi 22mm; Idec; YW1S-3E20; 1 pc</v>
      </c>
      <c r="F5125" s="6">
        <f>IFERROR(__xludf.DUMMYFUNCTION("""COMPUTED_VALUE"""),10.0)</f>
        <v>10</v>
      </c>
      <c r="G5125" s="6" t="str">
        <f>IFERROR(__xludf.DUMMYFUNCTION("""COMPUTED_VALUE"""),"Pieces")</f>
        <v>Pieces</v>
      </c>
      <c r="H5125" s="6" t="str">
        <f>IFERROR(__xludf.DUMMYFUNCTION("""COMPUTED_VALUE"""),"IDR")</f>
        <v>IDR</v>
      </c>
      <c r="I5125" s="6">
        <f>IFERROR(__xludf.DUMMYFUNCTION("""COMPUTED_VALUE"""),80000.0)</f>
        <v>80000</v>
      </c>
      <c r="J5125" s="6">
        <f>IFERROR(__xludf.DUMMYFUNCTION("""COMPUTED_VALUE"""),800000.0)</f>
        <v>800000</v>
      </c>
      <c r="K5125" s="57">
        <f>IFERROR(__xludf.DUMMYFUNCTION("""COMPUTED_VALUE"""),46150.0)</f>
        <v>46150</v>
      </c>
      <c r="L5125" s="6" t="str">
        <f>IFERROR(__xludf.DUMMYFUNCTION("""COMPUTED_VALUE"""),"FIP Engineering")</f>
        <v>FIP Engineering</v>
      </c>
      <c r="M5125" s="6" t="str">
        <f>IFERROR(__xludf.DUMMYFUNCTION("""COMPUTED_VALUE"""),"Mochammad Fadhillah Hakim,")</f>
        <v>Mochammad Fadhillah Hakim,</v>
      </c>
      <c r="N5125" s="6" t="str">
        <f>IFERROR(__xludf.DUMMYFUNCTION("""COMPUTED_VALUE"""),"FIP Engineering")</f>
        <v>FIP Engineering</v>
      </c>
      <c r="O5125" s="6" t="str">
        <f>IFERROR(__xludf.DUMMYFUNCTION("""COMPUTED_VALUE"""),"FIP-DOM-000-11304-OS00001-INA-000000")</f>
        <v>FIP-DOM-000-11304-OS00001-INA-000000</v>
      </c>
      <c r="P5125" s="6" t="str">
        <f>IFERROR(__xludf.DUMMYFUNCTION("""COMPUTED_VALUE"""),"PO Closed")</f>
        <v>PO Closed</v>
      </c>
      <c r="Q5125" s="6" t="str">
        <f>IFERROR(__xludf.DUMMYFUNCTION("""COMPUTED_VALUE"""),"GL2604318")</f>
        <v>GL2604318</v>
      </c>
      <c r="R5125" s="57">
        <f>IFERROR(__xludf.DUMMYFUNCTION("""COMPUTED_VALUE"""),46120.0)</f>
        <v>46120</v>
      </c>
      <c r="S5125" s="57">
        <f>IFERROR(__xludf.DUMMYFUNCTION("""COMPUTED_VALUE"""),46122.0)</f>
        <v>46122</v>
      </c>
      <c r="T5125" s="57">
        <f>IFERROR(__xludf.DUMMYFUNCTION("""COMPUTED_VALUE"""),46223.0)</f>
        <v>46223</v>
      </c>
    </row>
    <row r="5126">
      <c r="A5126" s="6" t="str">
        <f>IFERROR(__xludf.DUMMYFUNCTION("""COMPUTED_VALUE"""),"121704113-1")</f>
        <v>121704113-1</v>
      </c>
      <c r="B5126" s="6" t="str">
        <f>IFERROR(__xludf.DUMMYFUNCTION("""COMPUTED_VALUE"""),"121704113 - APPROVED")</f>
        <v>121704113 - APPROVED</v>
      </c>
      <c r="C5126" s="6">
        <f>IFERROR(__xludf.DUMMYFUNCTION("""COMPUTED_VALUE"""),1.0)</f>
        <v>1</v>
      </c>
      <c r="D5126" s="6" t="str">
        <f>IFERROR(__xludf.DUMMYFUNCTION("""COMPUTED_VALUE"""),"O-53591-00")</f>
        <v>O-53591-00</v>
      </c>
      <c r="E5126" s="6" t="str">
        <f>IFERROR(__xludf.DUMMYFUNCTION("""COMPUTED_VALUE"""),"Filling VFM100 - M8-4 Pin Power Cable; Meech; A900IPS-PCS10; 1 Pc")</f>
        <v>Filling VFM100 - M8-4 Pin Power Cable; Meech; A900IPS-PCS10; 1 Pc</v>
      </c>
      <c r="F5126" s="6">
        <f>IFERROR(__xludf.DUMMYFUNCTION("""COMPUTED_VALUE"""),1.0)</f>
        <v>1</v>
      </c>
      <c r="G5126" s="6" t="str">
        <f>IFERROR(__xludf.DUMMYFUNCTION("""COMPUTED_VALUE"""),"Pieces")</f>
        <v>Pieces</v>
      </c>
      <c r="H5126" s="6" t="str">
        <f>IFERROR(__xludf.DUMMYFUNCTION("""COMPUTED_VALUE"""),"IDR")</f>
        <v>IDR</v>
      </c>
      <c r="I5126" s="6">
        <f>IFERROR(__xludf.DUMMYFUNCTION("""COMPUTED_VALUE"""),2.3E7)</f>
        <v>23000000</v>
      </c>
      <c r="J5126" s="6">
        <f>IFERROR(__xludf.DUMMYFUNCTION("""COMPUTED_VALUE"""),2.3E7)</f>
        <v>23000000</v>
      </c>
      <c r="K5126" s="57">
        <f>IFERROR(__xludf.DUMMYFUNCTION("""COMPUTED_VALUE"""),46185.0)</f>
        <v>46185</v>
      </c>
      <c r="L5126" s="6" t="str">
        <f>IFERROR(__xludf.DUMMYFUNCTION("""COMPUTED_VALUE"""),"FIP Engineering")</f>
        <v>FIP Engineering</v>
      </c>
      <c r="M5126" s="6" t="str">
        <f>IFERROR(__xludf.DUMMYFUNCTION("""COMPUTED_VALUE"""),"Mochammad Fadhillah Hakim,")</f>
        <v>Mochammad Fadhillah Hakim,</v>
      </c>
      <c r="N5126" s="6" t="str">
        <f>IFERROR(__xludf.DUMMYFUNCTION("""COMPUTED_VALUE"""),"FIP Engineering")</f>
        <v>FIP Engineering</v>
      </c>
      <c r="O5126" s="6" t="str">
        <f>IFERROR(__xludf.DUMMYFUNCTION("""COMPUTED_VALUE"""),"FIP-DOM-000-11304-OS00001-INA-000000")</f>
        <v>FIP-DOM-000-11304-OS00001-INA-000000</v>
      </c>
      <c r="P5126" s="6" t="str">
        <f>IFERROR(__xludf.DUMMYFUNCTION("""COMPUTED_VALUE"""),"PO Closed")</f>
        <v>PO Closed</v>
      </c>
      <c r="Q5126" s="6" t="str">
        <f>IFERROR(__xludf.DUMMYFUNCTION("""COMPUTED_VALUE"""),"GL2604029")</f>
        <v>GL2604029</v>
      </c>
      <c r="R5126" s="57">
        <f>IFERROR(__xludf.DUMMYFUNCTION("""COMPUTED_VALUE"""),46120.0)</f>
        <v>46120</v>
      </c>
      <c r="S5126" s="57">
        <f>IFERROR(__xludf.DUMMYFUNCTION("""COMPUTED_VALUE"""),46122.0)</f>
        <v>46122</v>
      </c>
      <c r="T5126" s="57">
        <f>IFERROR(__xludf.DUMMYFUNCTION("""COMPUTED_VALUE"""),46213.0)</f>
        <v>46213</v>
      </c>
    </row>
    <row r="5127">
      <c r="A5127" s="6" t="str">
        <f>IFERROR(__xludf.DUMMYFUNCTION("""COMPUTED_VALUE"""),"121704113-2")</f>
        <v>121704113-2</v>
      </c>
      <c r="B5127" s="6" t="str">
        <f>IFERROR(__xludf.DUMMYFUNCTION("""COMPUTED_VALUE"""),"121704113 - APPROVED")</f>
        <v>121704113 - APPROVED</v>
      </c>
      <c r="C5127" s="6">
        <f>IFERROR(__xludf.DUMMYFUNCTION("""COMPUTED_VALUE"""),2.0)</f>
        <v>2</v>
      </c>
      <c r="D5127" s="6" t="str">
        <f>IFERROR(__xludf.DUMMYFUNCTION("""COMPUTED_VALUE"""),"O-53590-00")</f>
        <v>O-53590-00</v>
      </c>
      <c r="E5127" s="6" t="str">
        <f>IFERROR(__xludf.DUMMYFUNCTION("""COMPUTED_VALUE"""),"Filling VFM100 - Hyperion Medium Range Bar; Meech; A945IPS-0400; 1 Pc")</f>
        <v>Filling VFM100 - Hyperion Medium Range Bar; Meech; A945IPS-0400; 1 Pc</v>
      </c>
      <c r="F5127" s="6">
        <f>IFERROR(__xludf.DUMMYFUNCTION("""COMPUTED_VALUE"""),1.0)</f>
        <v>1</v>
      </c>
      <c r="G5127" s="6" t="str">
        <f>IFERROR(__xludf.DUMMYFUNCTION("""COMPUTED_VALUE"""),"Pieces")</f>
        <v>Pieces</v>
      </c>
      <c r="H5127" s="6" t="str">
        <f>IFERROR(__xludf.DUMMYFUNCTION("""COMPUTED_VALUE"""),"IDR")</f>
        <v>IDR</v>
      </c>
      <c r="I5127" s="6">
        <f>IFERROR(__xludf.DUMMYFUNCTION("""COMPUTED_VALUE"""),970000.0)</f>
        <v>970000</v>
      </c>
      <c r="J5127" s="6">
        <f>IFERROR(__xludf.DUMMYFUNCTION("""COMPUTED_VALUE"""),970000.0)</f>
        <v>970000</v>
      </c>
      <c r="K5127" s="57">
        <f>IFERROR(__xludf.DUMMYFUNCTION("""COMPUTED_VALUE"""),46185.0)</f>
        <v>46185</v>
      </c>
      <c r="L5127" s="6" t="str">
        <f>IFERROR(__xludf.DUMMYFUNCTION("""COMPUTED_VALUE"""),"FIP Engineering")</f>
        <v>FIP Engineering</v>
      </c>
      <c r="M5127" s="6" t="str">
        <f>IFERROR(__xludf.DUMMYFUNCTION("""COMPUTED_VALUE"""),"Mochammad Fadhillah Hakim,")</f>
        <v>Mochammad Fadhillah Hakim,</v>
      </c>
      <c r="N5127" s="6" t="str">
        <f>IFERROR(__xludf.DUMMYFUNCTION("""COMPUTED_VALUE"""),"FIP Engineering")</f>
        <v>FIP Engineering</v>
      </c>
      <c r="O5127" s="6" t="str">
        <f>IFERROR(__xludf.DUMMYFUNCTION("""COMPUTED_VALUE"""),"FIP-DOM-000-11304-OS00001-INA-000000")</f>
        <v>FIP-DOM-000-11304-OS00001-INA-000000</v>
      </c>
      <c r="P5127" s="6" t="str">
        <f>IFERROR(__xludf.DUMMYFUNCTION("""COMPUTED_VALUE"""),"PO Closed")</f>
        <v>PO Closed</v>
      </c>
      <c r="Q5127" s="6" t="str">
        <f>IFERROR(__xludf.DUMMYFUNCTION("""COMPUTED_VALUE"""),"GL2604029")</f>
        <v>GL2604029</v>
      </c>
      <c r="R5127" s="57">
        <f>IFERROR(__xludf.DUMMYFUNCTION("""COMPUTED_VALUE"""),46120.0)</f>
        <v>46120</v>
      </c>
      <c r="S5127" s="57">
        <f>IFERROR(__xludf.DUMMYFUNCTION("""COMPUTED_VALUE"""),46122.0)</f>
        <v>46122</v>
      </c>
      <c r="T5127" s="57">
        <f>IFERROR(__xludf.DUMMYFUNCTION("""COMPUTED_VALUE"""),46213.0)</f>
        <v>46213</v>
      </c>
    </row>
    <row r="5128">
      <c r="A5128" s="6" t="str">
        <f>IFERROR(__xludf.DUMMYFUNCTION("""COMPUTED_VALUE"""),"121704114-1")</f>
        <v>121704114-1</v>
      </c>
      <c r="B5128" s="6" t="str">
        <f>IFERROR(__xludf.DUMMYFUNCTION("""COMPUTED_VALUE"""),"121704114 - APPROVED")</f>
        <v>121704114 - APPROVED</v>
      </c>
      <c r="C5128" s="6">
        <f>IFERROR(__xludf.DUMMYFUNCTION("""COMPUTED_VALUE"""),1.0)</f>
        <v>1</v>
      </c>
      <c r="D5128" s="6" t="str">
        <f>IFERROR(__xludf.DUMMYFUNCTION("""COMPUTED_VALUE"""),"R-20024-00")</f>
        <v>R-20024-00</v>
      </c>
      <c r="E5128" s="6" t="str">
        <f>IFERROR(__xludf.DUMMYFUNCTION("""COMPUTED_VALUE"""),"Machine Equipment; ; ; - TZML-0052 Adapter TC 25 mm / Staubli RBE03 female (socket) automatically closing material 316L")</f>
        <v>Machine Equipment; ; ; - TZML-0052 Adapter TC 25 mm / Staubli RBE03 female (socket) automatically closing material 316L</v>
      </c>
      <c r="F5128" s="6">
        <f>IFERROR(__xludf.DUMMYFUNCTION("""COMPUTED_VALUE"""),2.0)</f>
        <v>2</v>
      </c>
      <c r="G5128" s="6" t="str">
        <f>IFERROR(__xludf.DUMMYFUNCTION("""COMPUTED_VALUE"""),"Unit")</f>
        <v>Unit</v>
      </c>
      <c r="H5128" s="6" t="str">
        <f>IFERROR(__xludf.DUMMYFUNCTION("""COMPUTED_VALUE"""),"IDR")</f>
        <v>IDR</v>
      </c>
      <c r="I5128" s="6">
        <f>IFERROR(__xludf.DUMMYFUNCTION("""COMPUTED_VALUE"""),2.4216E7)</f>
        <v>24216000</v>
      </c>
      <c r="J5128" s="6">
        <f>IFERROR(__xludf.DUMMYFUNCTION("""COMPUTED_VALUE"""),4.8432E7)</f>
        <v>48432000</v>
      </c>
      <c r="K5128" s="57">
        <f>IFERROR(__xludf.DUMMYFUNCTION("""COMPUTED_VALUE"""),46185.0)</f>
        <v>46185</v>
      </c>
      <c r="L5128" s="6" t="str">
        <f>IFERROR(__xludf.DUMMYFUNCTION("""COMPUTED_VALUE"""),"FIP General")</f>
        <v>FIP General</v>
      </c>
      <c r="M5128" s="6" t="str">
        <f>IFERROR(__xludf.DUMMYFUNCTION("""COMPUTED_VALUE"""),"Mochammad Fadhillah Hakim,")</f>
        <v>Mochammad Fadhillah Hakim,</v>
      </c>
      <c r="N5128" s="6" t="str">
        <f>IFERROR(__xludf.DUMMYFUNCTION("""COMPUTED_VALUE"""),"FIP Engineering")</f>
        <v>FIP Engineering</v>
      </c>
      <c r="O5128" s="6" t="str">
        <f>IFERROR(__xludf.DUMMYFUNCTION("""COMPUTED_VALUE"""),"FIP-DOM-ENG-13404-MC26008-INA-000000")</f>
        <v>FIP-DOM-ENG-13404-MC26008-INA-000000</v>
      </c>
      <c r="P5128" s="6" t="str">
        <f>IFERROR(__xludf.DUMMYFUNCTION("""COMPUTED_VALUE"""),"PO Closed")</f>
        <v>PO Closed</v>
      </c>
      <c r="Q5128" s="6" t="str">
        <f>IFERROR(__xludf.DUMMYFUNCTION("""COMPUTED_VALUE"""),"GL2604046")</f>
        <v>GL2604046</v>
      </c>
      <c r="R5128" s="57">
        <f>IFERROR(__xludf.DUMMYFUNCTION("""COMPUTED_VALUE"""),46120.0)</f>
        <v>46120</v>
      </c>
      <c r="S5128" s="57">
        <f>IFERROR(__xludf.DUMMYFUNCTION("""COMPUTED_VALUE"""),46129.0)</f>
        <v>46129</v>
      </c>
      <c r="T5128" s="57">
        <f>IFERROR(__xludf.DUMMYFUNCTION("""COMPUTED_VALUE"""),46193.0)</f>
        <v>46193</v>
      </c>
    </row>
    <row r="5129">
      <c r="A5129" s="6" t="str">
        <f>IFERROR(__xludf.DUMMYFUNCTION("""COMPUTED_VALUE"""),"121704125-1")</f>
        <v>121704125-1</v>
      </c>
      <c r="B5129" s="6" t="str">
        <f>IFERROR(__xludf.DUMMYFUNCTION("""COMPUTED_VALUE"""),"121704125 - APPROVED")</f>
        <v>121704125 - APPROVED</v>
      </c>
      <c r="C5129" s="6">
        <f>IFERROR(__xludf.DUMMYFUNCTION("""COMPUTED_VALUE"""),1.0)</f>
        <v>1</v>
      </c>
      <c r="D5129" s="6" t="str">
        <f>IFERROR(__xludf.DUMMYFUNCTION("""COMPUTED_VALUE"""),"P-20720-00")</f>
        <v>P-20720-00</v>
      </c>
      <c r="E5129" s="6" t="str">
        <f>IFERROR(__xludf.DUMMYFUNCTION("""COMPUTED_VALUE"""),"General - Dudukan Sensor ORP Ukuran 58 x 27 mm; Custom Agru; -; 1 pc")</f>
        <v>General - Dudukan Sensor ORP Ukuran 58 x 27 mm; Custom Agru; -; 1 pc</v>
      </c>
      <c r="F5129" s="6">
        <f>IFERROR(__xludf.DUMMYFUNCTION("""COMPUTED_VALUE"""),1.0)</f>
        <v>1</v>
      </c>
      <c r="G5129" s="6" t="str">
        <f>IFERROR(__xludf.DUMMYFUNCTION("""COMPUTED_VALUE"""),"Pieces")</f>
        <v>Pieces</v>
      </c>
      <c r="H5129" s="6" t="str">
        <f>IFERROR(__xludf.DUMMYFUNCTION("""COMPUTED_VALUE"""),"IDR")</f>
        <v>IDR</v>
      </c>
      <c r="I5129" s="6">
        <f>IFERROR(__xludf.DUMMYFUNCTION("""COMPUTED_VALUE"""),975000.0)</f>
        <v>975000</v>
      </c>
      <c r="J5129" s="6">
        <f>IFERROR(__xludf.DUMMYFUNCTION("""COMPUTED_VALUE"""),975000.0)</f>
        <v>975000</v>
      </c>
      <c r="K5129" s="57">
        <f>IFERROR(__xludf.DUMMYFUNCTION("""COMPUTED_VALUE"""),46136.0)</f>
        <v>46136</v>
      </c>
      <c r="L5129" s="6" t="str">
        <f>IFERROR(__xludf.DUMMYFUNCTION("""COMPUTED_VALUE"""),"FIP Engineering")</f>
        <v>FIP Engineering</v>
      </c>
      <c r="M5129" s="6" t="str">
        <f>IFERROR(__xludf.DUMMYFUNCTION("""COMPUTED_VALUE"""),"Mochammad Fadhillah Hakim,")</f>
        <v>Mochammad Fadhillah Hakim,</v>
      </c>
      <c r="N5129" s="6" t="str">
        <f>IFERROR(__xludf.DUMMYFUNCTION("""COMPUTED_VALUE"""),"FIP Engineering")</f>
        <v>FIP Engineering</v>
      </c>
      <c r="O5129" s="6" t="str">
        <f>IFERROR(__xludf.DUMMYFUNCTION("""COMPUTED_VALUE"""),"FIP-DOM-000-11304-OS00001-INA-000000")</f>
        <v>FIP-DOM-000-11304-OS00001-INA-000000</v>
      </c>
      <c r="P5129" s="6" t="str">
        <f>IFERROR(__xludf.DUMMYFUNCTION("""COMPUTED_VALUE"""),"PO Closed")</f>
        <v>PO Closed</v>
      </c>
      <c r="Q5129" s="6" t="str">
        <f>IFERROR(__xludf.DUMMYFUNCTION("""COMPUTED_VALUE"""),"GL2604020")</f>
        <v>GL2604020</v>
      </c>
      <c r="R5129" s="57">
        <f>IFERROR(__xludf.DUMMYFUNCTION("""COMPUTED_VALUE"""),46121.0)</f>
        <v>46121</v>
      </c>
      <c r="S5129" s="57">
        <f>IFERROR(__xludf.DUMMYFUNCTION("""COMPUTED_VALUE"""),46125.0)</f>
        <v>46125</v>
      </c>
      <c r="T5129" s="57">
        <f>IFERROR(__xludf.DUMMYFUNCTION("""COMPUTED_VALUE"""),46166.0)</f>
        <v>46166</v>
      </c>
    </row>
    <row r="5130">
      <c r="A5130" s="6" t="str">
        <f>IFERROR(__xludf.DUMMYFUNCTION("""COMPUTED_VALUE"""),"121704154-1")</f>
        <v>121704154-1</v>
      </c>
      <c r="B5130" s="6" t="str">
        <f>IFERROR(__xludf.DUMMYFUNCTION("""COMPUTED_VALUE"""),"121704154 - APPROVED")</f>
        <v>121704154 - APPROVED</v>
      </c>
      <c r="C5130" s="6">
        <f>IFERROR(__xludf.DUMMYFUNCTION("""COMPUTED_VALUE"""),1.0)</f>
        <v>1</v>
      </c>
      <c r="D5130" s="6" t="str">
        <f>IFERROR(__xludf.DUMMYFUNCTION("""COMPUTED_VALUE"""),"P-19898-00")</f>
        <v>P-19898-00</v>
      </c>
      <c r="E5130" s="6" t="str">
        <f>IFERROR(__xludf.DUMMYFUNCTION("""COMPUTED_VALUE"""),"General - Bushing VAV dia. 24 x 26mm; Custom Agru Farma; -; 1 pc")</f>
        <v>General - Bushing VAV dia. 24 x 26mm; Custom Agru Farma; -; 1 pc</v>
      </c>
      <c r="F5130" s="6">
        <f>IFERROR(__xludf.DUMMYFUNCTION("""COMPUTED_VALUE"""),50.0)</f>
        <v>50</v>
      </c>
      <c r="G5130" s="6" t="str">
        <f>IFERROR(__xludf.DUMMYFUNCTION("""COMPUTED_VALUE"""),"Pieces")</f>
        <v>Pieces</v>
      </c>
      <c r="H5130" s="6" t="str">
        <f>IFERROR(__xludf.DUMMYFUNCTION("""COMPUTED_VALUE"""),"IDR")</f>
        <v>IDR</v>
      </c>
      <c r="I5130" s="6">
        <f>IFERROR(__xludf.DUMMYFUNCTION("""COMPUTED_VALUE"""),531875.0)</f>
        <v>531875</v>
      </c>
      <c r="J5130" s="6">
        <f>IFERROR(__xludf.DUMMYFUNCTION("""COMPUTED_VALUE"""),2.659375E7)</f>
        <v>26593750</v>
      </c>
      <c r="K5130" s="57">
        <f>IFERROR(__xludf.DUMMYFUNCTION("""COMPUTED_VALUE"""),46171.0)</f>
        <v>46171</v>
      </c>
      <c r="L5130" s="6" t="str">
        <f>IFERROR(__xludf.DUMMYFUNCTION("""COMPUTED_VALUE"""),"FIP Engineering")</f>
        <v>FIP Engineering</v>
      </c>
      <c r="M5130" s="6" t="str">
        <f>IFERROR(__xludf.DUMMYFUNCTION("""COMPUTED_VALUE"""),"Mochammad Fadhillah Hakim,")</f>
        <v>Mochammad Fadhillah Hakim,</v>
      </c>
      <c r="N5130" s="6" t="str">
        <f>IFERROR(__xludf.DUMMYFUNCTION("""COMPUTED_VALUE"""),"FIP Engineering")</f>
        <v>FIP Engineering</v>
      </c>
      <c r="O5130" s="6" t="str">
        <f>IFERROR(__xludf.DUMMYFUNCTION("""COMPUTED_VALUE"""),"FIP-DOM-000-11304-OS00001-INA-000000")</f>
        <v>FIP-DOM-000-11304-OS00001-INA-000000</v>
      </c>
      <c r="P5130" s="6" t="str">
        <f>IFERROR(__xludf.DUMMYFUNCTION("""COMPUTED_VALUE"""),"PO Closed")</f>
        <v>PO Closed</v>
      </c>
      <c r="Q5130" s="6" t="str">
        <f>IFERROR(__xludf.DUMMYFUNCTION("""COMPUTED_VALUE"""),"GL2605002")</f>
        <v>GL2605002</v>
      </c>
      <c r="R5130" s="57">
        <f>IFERROR(__xludf.DUMMYFUNCTION("""COMPUTED_VALUE"""),46135.0)</f>
        <v>46135</v>
      </c>
      <c r="S5130" s="57">
        <f>IFERROR(__xludf.DUMMYFUNCTION("""COMPUTED_VALUE"""),46135.0)</f>
        <v>46135</v>
      </c>
      <c r="T5130" s="57">
        <f>IFERROR(__xludf.DUMMYFUNCTION("""COMPUTED_VALUE"""),46188.0)</f>
        <v>46188</v>
      </c>
    </row>
    <row r="5131">
      <c r="A5131" s="6" t="str">
        <f>IFERROR(__xludf.DUMMYFUNCTION("""COMPUTED_VALUE"""),"121704155-1")</f>
        <v>121704155-1</v>
      </c>
      <c r="B5131" s="6" t="str">
        <f>IFERROR(__xludf.DUMMYFUNCTION("""COMPUTED_VALUE"""),"121704155 - APPROVED")</f>
        <v>121704155 - APPROVED</v>
      </c>
      <c r="C5131" s="6">
        <f>IFERROR(__xludf.DUMMYFUNCTION("""COMPUTED_VALUE"""),1.0)</f>
        <v>1</v>
      </c>
      <c r="D5131" s="6" t="str">
        <f>IFERROR(__xludf.DUMMYFUNCTION("""COMPUTED_VALUE"""),"O-11367-00")</f>
        <v>O-11367-00</v>
      </c>
      <c r="E5131" s="6" t="str">
        <f>IFERROR(__xludf.DUMMYFUNCTION("""COMPUTED_VALUE"""),"Lubricant ? Oli ISO VG 320 MULTIPRIMA INDOSEJAHTERA, PT P/N : -  pc")</f>
        <v>Lubricant ? Oli ISO VG 320 MULTIPRIMA INDOSEJAHTERA, PT P/N : -  pc</v>
      </c>
      <c r="F5131" s="6">
        <f>IFERROR(__xludf.DUMMYFUNCTION("""COMPUTED_VALUE"""),3.0)</f>
        <v>3</v>
      </c>
      <c r="G5131" s="6" t="str">
        <f>IFERROR(__xludf.DUMMYFUNCTION("""COMPUTED_VALUE"""),"Liter")</f>
        <v>Liter</v>
      </c>
      <c r="H5131" s="6" t="str">
        <f>IFERROR(__xludf.DUMMYFUNCTION("""COMPUTED_VALUE"""),"IDR")</f>
        <v>IDR</v>
      </c>
      <c r="I5131" s="6">
        <f>IFERROR(__xludf.DUMMYFUNCTION("""COMPUTED_VALUE"""),61000.0)</f>
        <v>61000</v>
      </c>
      <c r="J5131" s="6">
        <f>IFERROR(__xludf.DUMMYFUNCTION("""COMPUTED_VALUE"""),183000.0)</f>
        <v>183000</v>
      </c>
      <c r="K5131" s="57">
        <f>IFERROR(__xludf.DUMMYFUNCTION("""COMPUTED_VALUE"""),46171.0)</f>
        <v>46171</v>
      </c>
      <c r="L5131" s="6" t="str">
        <f>IFERROR(__xludf.DUMMYFUNCTION("""COMPUTED_VALUE"""),"FIP Engineering")</f>
        <v>FIP Engineering</v>
      </c>
      <c r="M5131" s="6" t="str">
        <f>IFERROR(__xludf.DUMMYFUNCTION("""COMPUTED_VALUE"""),"Mochammad Fadhillah Hakim,")</f>
        <v>Mochammad Fadhillah Hakim,</v>
      </c>
      <c r="N5131" s="6" t="str">
        <f>IFERROR(__xludf.DUMMYFUNCTION("""COMPUTED_VALUE"""),"FIP Engineering")</f>
        <v>FIP Engineering</v>
      </c>
      <c r="O5131" s="6" t="str">
        <f>IFERROR(__xludf.DUMMYFUNCTION("""COMPUTED_VALUE"""),"FIP-DOM-000-11304-OS00001-INA-000000")</f>
        <v>FIP-DOM-000-11304-OS00001-INA-000000</v>
      </c>
      <c r="P5131" s="6" t="str">
        <f>IFERROR(__xludf.DUMMYFUNCTION("""COMPUTED_VALUE"""),"PO Closed")</f>
        <v>PO Closed</v>
      </c>
      <c r="Q5131" s="6" t="str">
        <f>IFERROR(__xludf.DUMMYFUNCTION("""COMPUTED_VALUE"""),"GL2605327")</f>
        <v>GL2605327</v>
      </c>
      <c r="R5131" s="57">
        <f>IFERROR(__xludf.DUMMYFUNCTION("""COMPUTED_VALUE"""),46135.0)</f>
        <v>46135</v>
      </c>
      <c r="S5131" s="57">
        <f>IFERROR(__xludf.DUMMYFUNCTION("""COMPUTED_VALUE"""),46135.0)</f>
        <v>46135</v>
      </c>
      <c r="T5131" s="57">
        <f>IFERROR(__xludf.DUMMYFUNCTION("""COMPUTED_VALUE"""),46188.0)</f>
        <v>46188</v>
      </c>
    </row>
    <row r="5132">
      <c r="A5132" s="6" t="str">
        <f>IFERROR(__xludf.DUMMYFUNCTION("""COMPUTED_VALUE"""),"121704156-1")</f>
        <v>121704156-1</v>
      </c>
      <c r="B5132" s="6" t="str">
        <f>IFERROR(__xludf.DUMMYFUNCTION("""COMPUTED_VALUE"""),"121704156 - APPROVED")</f>
        <v>121704156 - APPROVED</v>
      </c>
      <c r="C5132" s="6">
        <f>IFERROR(__xludf.DUMMYFUNCTION("""COMPUTED_VALUE"""),1.0)</f>
        <v>1</v>
      </c>
      <c r="D5132" s="6" t="str">
        <f>IFERROR(__xludf.DUMMYFUNCTION("""COMPUTED_VALUE"""),"O-11761-00")</f>
        <v>O-11761-00</v>
      </c>
      <c r="E5132" s="6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F5132" s="6">
        <f>IFERROR(__xludf.DUMMYFUNCTION("""COMPUTED_VALUE"""),2.0)</f>
        <v>2</v>
      </c>
      <c r="G5132" s="6" t="str">
        <f>IFERROR(__xludf.DUMMYFUNCTION("""COMPUTED_VALUE"""),"Pieces")</f>
        <v>Pieces</v>
      </c>
      <c r="H5132" s="6" t="str">
        <f>IFERROR(__xludf.DUMMYFUNCTION("""COMPUTED_VALUE"""),"IDR")</f>
        <v>IDR</v>
      </c>
      <c r="I5132" s="6">
        <f>IFERROR(__xludf.DUMMYFUNCTION("""COMPUTED_VALUE"""),221670.0)</f>
        <v>221670</v>
      </c>
      <c r="J5132" s="6">
        <f>IFERROR(__xludf.DUMMYFUNCTION("""COMPUTED_VALUE"""),443340.0)</f>
        <v>443340</v>
      </c>
      <c r="K5132" s="57">
        <f>IFERROR(__xludf.DUMMYFUNCTION("""COMPUTED_VALUE"""),46171.0)</f>
        <v>46171</v>
      </c>
      <c r="L5132" s="6" t="str">
        <f>IFERROR(__xludf.DUMMYFUNCTION("""COMPUTED_VALUE"""),"FIP Engineering")</f>
        <v>FIP Engineering</v>
      </c>
      <c r="M5132" s="6" t="str">
        <f>IFERROR(__xludf.DUMMYFUNCTION("""COMPUTED_VALUE"""),"Mochammad Fadhillah Hakim,")</f>
        <v>Mochammad Fadhillah Hakim,</v>
      </c>
      <c r="N5132" s="6" t="str">
        <f>IFERROR(__xludf.DUMMYFUNCTION("""COMPUTED_VALUE"""),"FIP Engineering")</f>
        <v>FIP Engineering</v>
      </c>
      <c r="O5132" s="6" t="str">
        <f>IFERROR(__xludf.DUMMYFUNCTION("""COMPUTED_VALUE"""),"FIP-DOM-000-11304-OS00001-INA-000000")</f>
        <v>FIP-DOM-000-11304-OS00001-INA-000000</v>
      </c>
      <c r="P5132" s="6" t="str">
        <f>IFERROR(__xludf.DUMMYFUNCTION("""COMPUTED_VALUE"""),"PO Closed")</f>
        <v>PO Closed</v>
      </c>
      <c r="Q5132" s="6" t="str">
        <f>IFERROR(__xludf.DUMMYFUNCTION("""COMPUTED_VALUE"""),"GL2605330")</f>
        <v>GL2605330</v>
      </c>
      <c r="R5132" s="57">
        <f>IFERROR(__xludf.DUMMYFUNCTION("""COMPUTED_VALUE"""),46135.0)</f>
        <v>46135</v>
      </c>
      <c r="S5132" s="57">
        <f>IFERROR(__xludf.DUMMYFUNCTION("""COMPUTED_VALUE"""),46135.0)</f>
        <v>46135</v>
      </c>
      <c r="T5132" s="57">
        <f>IFERROR(__xludf.DUMMYFUNCTION("""COMPUTED_VALUE"""),46188.0)</f>
        <v>46188</v>
      </c>
    </row>
    <row r="5133">
      <c r="A5133" s="6" t="str">
        <f>IFERROR(__xludf.DUMMYFUNCTION("""COMPUTED_VALUE"""),"121704156-2")</f>
        <v>121704156-2</v>
      </c>
      <c r="B5133" s="6" t="str">
        <f>IFERROR(__xludf.DUMMYFUNCTION("""COMPUTED_VALUE"""),"121704156 - APPROVED")</f>
        <v>121704156 - APPROVED</v>
      </c>
      <c r="C5133" s="6">
        <f>IFERROR(__xludf.DUMMYFUNCTION("""COMPUTED_VALUE"""),2.0)</f>
        <v>2</v>
      </c>
      <c r="D5133" s="6" t="str">
        <f>IFERROR(__xludf.DUMMYFUNCTION("""COMPUTED_VALUE"""),"O-11762-00")</f>
        <v>O-11762-00</v>
      </c>
      <c r="E5133" s="6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F5133" s="6">
        <f>IFERROR(__xludf.DUMMYFUNCTION("""COMPUTED_VALUE"""),2.0)</f>
        <v>2</v>
      </c>
      <c r="G5133" s="6" t="str">
        <f>IFERROR(__xludf.DUMMYFUNCTION("""COMPUTED_VALUE"""),"Pieces")</f>
        <v>Pieces</v>
      </c>
      <c r="H5133" s="6" t="str">
        <f>IFERROR(__xludf.DUMMYFUNCTION("""COMPUTED_VALUE"""),"IDR")</f>
        <v>IDR</v>
      </c>
      <c r="I5133" s="6">
        <f>IFERROR(__xludf.DUMMYFUNCTION("""COMPUTED_VALUE"""),189000.0)</f>
        <v>189000</v>
      </c>
      <c r="J5133" s="6">
        <f>IFERROR(__xludf.DUMMYFUNCTION("""COMPUTED_VALUE"""),378000.0)</f>
        <v>378000</v>
      </c>
      <c r="K5133" s="57">
        <f>IFERROR(__xludf.DUMMYFUNCTION("""COMPUTED_VALUE"""),46171.0)</f>
        <v>46171</v>
      </c>
      <c r="L5133" s="6" t="str">
        <f>IFERROR(__xludf.DUMMYFUNCTION("""COMPUTED_VALUE"""),"FIP Engineering")</f>
        <v>FIP Engineering</v>
      </c>
      <c r="M5133" s="6" t="str">
        <f>IFERROR(__xludf.DUMMYFUNCTION("""COMPUTED_VALUE"""),"Mochammad Fadhillah Hakim,")</f>
        <v>Mochammad Fadhillah Hakim,</v>
      </c>
      <c r="N5133" s="6" t="str">
        <f>IFERROR(__xludf.DUMMYFUNCTION("""COMPUTED_VALUE"""),"FIP Engineering")</f>
        <v>FIP Engineering</v>
      </c>
      <c r="O5133" s="6" t="str">
        <f>IFERROR(__xludf.DUMMYFUNCTION("""COMPUTED_VALUE"""),"FIP-DOM-000-11304-OS00001-INA-000000")</f>
        <v>FIP-DOM-000-11304-OS00001-INA-000000</v>
      </c>
      <c r="P5133" s="6" t="str">
        <f>IFERROR(__xludf.DUMMYFUNCTION("""COMPUTED_VALUE"""),"PO Closed")</f>
        <v>PO Closed</v>
      </c>
      <c r="Q5133" s="6" t="str">
        <f>IFERROR(__xludf.DUMMYFUNCTION("""COMPUTED_VALUE"""),"GL2605330")</f>
        <v>GL2605330</v>
      </c>
      <c r="R5133" s="57">
        <f>IFERROR(__xludf.DUMMYFUNCTION("""COMPUTED_VALUE"""),46135.0)</f>
        <v>46135</v>
      </c>
      <c r="S5133" s="57">
        <f>IFERROR(__xludf.DUMMYFUNCTION("""COMPUTED_VALUE"""),46135.0)</f>
        <v>46135</v>
      </c>
      <c r="T5133" s="57">
        <f>IFERROR(__xludf.DUMMYFUNCTION("""COMPUTED_VALUE"""),46188.0)</f>
        <v>46188</v>
      </c>
    </row>
    <row r="5134">
      <c r="A5134" s="6" t="str">
        <f>IFERROR(__xludf.DUMMYFUNCTION("""COMPUTED_VALUE"""),"121704157-1")</f>
        <v>121704157-1</v>
      </c>
      <c r="B5134" s="6" t="str">
        <f>IFERROR(__xludf.DUMMYFUNCTION("""COMPUTED_VALUE"""),"121704157 - APPROVED")</f>
        <v>121704157 - APPROVED</v>
      </c>
      <c r="C5134" s="6">
        <f>IFERROR(__xludf.DUMMYFUNCTION("""COMPUTED_VALUE"""),1.0)</f>
        <v>1</v>
      </c>
      <c r="D5134" s="6" t="str">
        <f>IFERROR(__xludf.DUMMYFUNCTION("""COMPUTED_VALUE"""),"Q-10550-00")</f>
        <v>Q-10550-00</v>
      </c>
      <c r="E5134" s="6" t="str">
        <f>IFERROR(__xludf.DUMMYFUNCTION("""COMPUTED_VALUE"""),"Door Closer TS 2000V Hold Open GEZE; ; ;")</f>
        <v>Door Closer TS 2000V Hold Open GEZE; ; ;</v>
      </c>
      <c r="F5134" s="6">
        <f>IFERROR(__xludf.DUMMYFUNCTION("""COMPUTED_VALUE"""),3.0)</f>
        <v>3</v>
      </c>
      <c r="G5134" s="6" t="str">
        <f>IFERROR(__xludf.DUMMYFUNCTION("""COMPUTED_VALUE"""),"Pieces")</f>
        <v>Pieces</v>
      </c>
      <c r="H5134" s="6" t="str">
        <f>IFERROR(__xludf.DUMMYFUNCTION("""COMPUTED_VALUE"""),"IDR")</f>
        <v>IDR</v>
      </c>
      <c r="I5134" s="6">
        <f>IFERROR(__xludf.DUMMYFUNCTION("""COMPUTED_VALUE"""),2610000.0)</f>
        <v>2610000</v>
      </c>
      <c r="J5134" s="6">
        <f>IFERROR(__xludf.DUMMYFUNCTION("""COMPUTED_VALUE"""),7830000.0)</f>
        <v>7830000</v>
      </c>
      <c r="K5134" s="57">
        <f>IFERROR(__xludf.DUMMYFUNCTION("""COMPUTED_VALUE"""),46171.0)</f>
        <v>46171</v>
      </c>
      <c r="L5134" s="6" t="str">
        <f>IFERROR(__xludf.DUMMYFUNCTION("""COMPUTED_VALUE"""),"FIP Engineering")</f>
        <v>FIP Engineering</v>
      </c>
      <c r="M5134" s="6" t="str">
        <f>IFERROR(__xludf.DUMMYFUNCTION("""COMPUTED_VALUE"""),"Mochammad Fadhillah Hakim,")</f>
        <v>Mochammad Fadhillah Hakim,</v>
      </c>
      <c r="N5134" s="6" t="str">
        <f>IFERROR(__xludf.DUMMYFUNCTION("""COMPUTED_VALUE"""),"FIP Engineering")</f>
        <v>FIP Engineering</v>
      </c>
      <c r="O5134" s="6" t="str">
        <f>IFERROR(__xludf.DUMMYFUNCTION("""COMPUTED_VALUE"""),"FIP-DOM-000-11304-OS00001-INA-000000")</f>
        <v>FIP-DOM-000-11304-OS00001-INA-000000</v>
      </c>
      <c r="P5134" s="6" t="str">
        <f>IFERROR(__xludf.DUMMYFUNCTION("""COMPUTED_VALUE"""),"PO Closed")</f>
        <v>PO Closed</v>
      </c>
      <c r="Q5134" s="6" t="str">
        <f>IFERROR(__xludf.DUMMYFUNCTION("""COMPUTED_VALUE"""),"GL2605018")</f>
        <v>GL2605018</v>
      </c>
      <c r="R5134" s="57">
        <f>IFERROR(__xludf.DUMMYFUNCTION("""COMPUTED_VALUE"""),46135.0)</f>
        <v>46135</v>
      </c>
      <c r="S5134" s="57">
        <f>IFERROR(__xludf.DUMMYFUNCTION("""COMPUTED_VALUE"""),46140.0)</f>
        <v>46140</v>
      </c>
      <c r="T5134" s="57">
        <f>IFERROR(__xludf.DUMMYFUNCTION("""COMPUTED_VALUE"""),46178.0)</f>
        <v>46178</v>
      </c>
    </row>
    <row r="5135">
      <c r="A5135" s="6" t="str">
        <f>IFERROR(__xludf.DUMMYFUNCTION("""COMPUTED_VALUE"""),"121704158-1")</f>
        <v>121704158-1</v>
      </c>
      <c r="B5135" s="6" t="str">
        <f>IFERROR(__xludf.DUMMYFUNCTION("""COMPUTED_VALUE"""),"121704158 - APPROVED")</f>
        <v>121704158 - APPROVED</v>
      </c>
      <c r="C5135" s="6">
        <f>IFERROR(__xludf.DUMMYFUNCTION("""COMPUTED_VALUE"""),1.0)</f>
        <v>1</v>
      </c>
      <c r="D5135" s="6" t="str">
        <f>IFERROR(__xludf.DUMMYFUNCTION("""COMPUTED_VALUE"""),"P-20695-00")</f>
        <v>P-20695-00</v>
      </c>
      <c r="E5135" s="6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F5135" s="6">
        <f>IFERROR(__xludf.DUMMYFUNCTION("""COMPUTED_VALUE"""),3.0)</f>
        <v>3</v>
      </c>
      <c r="G5135" s="6" t="str">
        <f>IFERROR(__xludf.DUMMYFUNCTION("""COMPUTED_VALUE"""),"Pieces")</f>
        <v>Pieces</v>
      </c>
      <c r="H5135" s="6" t="str">
        <f>IFERROR(__xludf.DUMMYFUNCTION("""COMPUTED_VALUE"""),"IDR")</f>
        <v>IDR</v>
      </c>
      <c r="I5135" s="6">
        <f>IFERROR(__xludf.DUMMYFUNCTION("""COMPUTED_VALUE"""),97800.0)</f>
        <v>97800</v>
      </c>
      <c r="J5135" s="6">
        <f>IFERROR(__xludf.DUMMYFUNCTION("""COMPUTED_VALUE"""),293400.0)</f>
        <v>293400</v>
      </c>
      <c r="K5135" s="57">
        <f>IFERROR(__xludf.DUMMYFUNCTION("""COMPUTED_VALUE"""),46171.0)</f>
        <v>46171</v>
      </c>
      <c r="L5135" s="6" t="str">
        <f>IFERROR(__xludf.DUMMYFUNCTION("""COMPUTED_VALUE"""),"FIP Engineering")</f>
        <v>FIP Engineering</v>
      </c>
      <c r="M5135" s="6" t="str">
        <f>IFERROR(__xludf.DUMMYFUNCTION("""COMPUTED_VALUE"""),"Mochammad Fadhillah Hakim,")</f>
        <v>Mochammad Fadhillah Hakim,</v>
      </c>
      <c r="N5135" s="6" t="str">
        <f>IFERROR(__xludf.DUMMYFUNCTION("""COMPUTED_VALUE"""),"FIP Engineering")</f>
        <v>FIP Engineering</v>
      </c>
      <c r="O5135" s="6" t="str">
        <f>IFERROR(__xludf.DUMMYFUNCTION("""COMPUTED_VALUE"""),"FIP-DOM-000-11304-OS00001-INA-000000")</f>
        <v>FIP-DOM-000-11304-OS00001-INA-000000</v>
      </c>
      <c r="P5135" s="6" t="str">
        <f>IFERROR(__xludf.DUMMYFUNCTION("""COMPUTED_VALUE"""),"PO Closed")</f>
        <v>PO Closed</v>
      </c>
      <c r="Q5135" s="6" t="str">
        <f>IFERROR(__xludf.DUMMYFUNCTION("""COMPUTED_VALUE"""),"GL2606349")</f>
        <v>GL2606349</v>
      </c>
      <c r="R5135" s="57">
        <f>IFERROR(__xludf.DUMMYFUNCTION("""COMPUTED_VALUE"""),46135.0)</f>
        <v>46135</v>
      </c>
      <c r="S5135" s="57">
        <f>IFERROR(__xludf.DUMMYFUNCTION("""COMPUTED_VALUE"""),46140.0)</f>
        <v>46140</v>
      </c>
      <c r="T5135" s="57">
        <f>IFERROR(__xludf.DUMMYFUNCTION("""COMPUTED_VALUE"""),46223.0)</f>
        <v>46223</v>
      </c>
    </row>
    <row r="5136">
      <c r="A5136" s="6" t="str">
        <f>IFERROR(__xludf.DUMMYFUNCTION("""COMPUTED_VALUE"""),"121704158-2")</f>
        <v>121704158-2</v>
      </c>
      <c r="B5136" s="6" t="str">
        <f>IFERROR(__xludf.DUMMYFUNCTION("""COMPUTED_VALUE"""),"121704158 - APPROVED")</f>
        <v>121704158 - APPROVED</v>
      </c>
      <c r="C5136" s="6">
        <f>IFERROR(__xludf.DUMMYFUNCTION("""COMPUTED_VALUE"""),2.0)</f>
        <v>2</v>
      </c>
      <c r="D5136" s="6" t="str">
        <f>IFERROR(__xludf.DUMMYFUNCTION("""COMPUTED_VALUE"""),"P-20696-00")</f>
        <v>P-20696-00</v>
      </c>
      <c r="E5136" s="6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F5136" s="6">
        <f>IFERROR(__xludf.DUMMYFUNCTION("""COMPUTED_VALUE"""),3.0)</f>
        <v>3</v>
      </c>
      <c r="G5136" s="6" t="str">
        <f>IFERROR(__xludf.DUMMYFUNCTION("""COMPUTED_VALUE"""),"Pieces")</f>
        <v>Pieces</v>
      </c>
      <c r="H5136" s="6" t="str">
        <f>IFERROR(__xludf.DUMMYFUNCTION("""COMPUTED_VALUE"""),"IDR")</f>
        <v>IDR</v>
      </c>
      <c r="I5136" s="6">
        <f>IFERROR(__xludf.DUMMYFUNCTION("""COMPUTED_VALUE"""),152200.0)</f>
        <v>152200</v>
      </c>
      <c r="J5136" s="6">
        <f>IFERROR(__xludf.DUMMYFUNCTION("""COMPUTED_VALUE"""),456600.0)</f>
        <v>456600</v>
      </c>
      <c r="K5136" s="57">
        <f>IFERROR(__xludf.DUMMYFUNCTION("""COMPUTED_VALUE"""),46171.0)</f>
        <v>46171</v>
      </c>
      <c r="L5136" s="6" t="str">
        <f>IFERROR(__xludf.DUMMYFUNCTION("""COMPUTED_VALUE"""),"FIP Engineering")</f>
        <v>FIP Engineering</v>
      </c>
      <c r="M5136" s="6" t="str">
        <f>IFERROR(__xludf.DUMMYFUNCTION("""COMPUTED_VALUE"""),"Mochammad Fadhillah Hakim,")</f>
        <v>Mochammad Fadhillah Hakim,</v>
      </c>
      <c r="N5136" s="6" t="str">
        <f>IFERROR(__xludf.DUMMYFUNCTION("""COMPUTED_VALUE"""),"FIP Engineering")</f>
        <v>FIP Engineering</v>
      </c>
      <c r="O5136" s="6" t="str">
        <f>IFERROR(__xludf.DUMMYFUNCTION("""COMPUTED_VALUE"""),"FIP-DOM-000-11304-OS00001-INA-000000")</f>
        <v>FIP-DOM-000-11304-OS00001-INA-000000</v>
      </c>
      <c r="P5136" s="6" t="str">
        <f>IFERROR(__xludf.DUMMYFUNCTION("""COMPUTED_VALUE"""),"PO Closed")</f>
        <v>PO Closed</v>
      </c>
      <c r="Q5136" s="6" t="str">
        <f>IFERROR(__xludf.DUMMYFUNCTION("""COMPUTED_VALUE"""),"GL2606349")</f>
        <v>GL2606349</v>
      </c>
      <c r="R5136" s="57">
        <f>IFERROR(__xludf.DUMMYFUNCTION("""COMPUTED_VALUE"""),46135.0)</f>
        <v>46135</v>
      </c>
      <c r="S5136" s="57">
        <f>IFERROR(__xludf.DUMMYFUNCTION("""COMPUTED_VALUE"""),46140.0)</f>
        <v>46140</v>
      </c>
      <c r="T5136" s="57">
        <f>IFERROR(__xludf.DUMMYFUNCTION("""COMPUTED_VALUE"""),46223.0)</f>
        <v>46223</v>
      </c>
    </row>
    <row r="5137">
      <c r="A5137" s="6" t="str">
        <f>IFERROR(__xludf.DUMMYFUNCTION("""COMPUTED_VALUE"""),"121704158-3")</f>
        <v>121704158-3</v>
      </c>
      <c r="B5137" s="6" t="str">
        <f>IFERROR(__xludf.DUMMYFUNCTION("""COMPUTED_VALUE"""),"121704158 - APPROVED")</f>
        <v>121704158 - APPROVED</v>
      </c>
      <c r="C5137" s="6">
        <f>IFERROR(__xludf.DUMMYFUNCTION("""COMPUTED_VALUE"""),3.0)</f>
        <v>3</v>
      </c>
      <c r="D5137" s="6" t="str">
        <f>IFERROR(__xludf.DUMMYFUNCTION("""COMPUTED_VALUE"""),"P-20697-00")</f>
        <v>P-20697-00</v>
      </c>
      <c r="E5137" s="6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F5137" s="6">
        <f>IFERROR(__xludf.DUMMYFUNCTION("""COMPUTED_VALUE"""),3.0)</f>
        <v>3</v>
      </c>
      <c r="G5137" s="6" t="str">
        <f>IFERROR(__xludf.DUMMYFUNCTION("""COMPUTED_VALUE"""),"Pieces")</f>
        <v>Pieces</v>
      </c>
      <c r="H5137" s="6" t="str">
        <f>IFERROR(__xludf.DUMMYFUNCTION("""COMPUTED_VALUE"""),"IDR")</f>
        <v>IDR</v>
      </c>
      <c r="I5137" s="6">
        <f>IFERROR(__xludf.DUMMYFUNCTION("""COMPUTED_VALUE"""),184200.0)</f>
        <v>184200</v>
      </c>
      <c r="J5137" s="6">
        <f>IFERROR(__xludf.DUMMYFUNCTION("""COMPUTED_VALUE"""),552600.0)</f>
        <v>552600</v>
      </c>
      <c r="K5137" s="57">
        <f>IFERROR(__xludf.DUMMYFUNCTION("""COMPUTED_VALUE"""),46171.0)</f>
        <v>46171</v>
      </c>
      <c r="L5137" s="6" t="str">
        <f>IFERROR(__xludf.DUMMYFUNCTION("""COMPUTED_VALUE"""),"FIP Engineering")</f>
        <v>FIP Engineering</v>
      </c>
      <c r="M5137" s="6" t="str">
        <f>IFERROR(__xludf.DUMMYFUNCTION("""COMPUTED_VALUE"""),"Mochammad Fadhillah Hakim,")</f>
        <v>Mochammad Fadhillah Hakim,</v>
      </c>
      <c r="N5137" s="6" t="str">
        <f>IFERROR(__xludf.DUMMYFUNCTION("""COMPUTED_VALUE"""),"FIP Engineering")</f>
        <v>FIP Engineering</v>
      </c>
      <c r="O5137" s="6" t="str">
        <f>IFERROR(__xludf.DUMMYFUNCTION("""COMPUTED_VALUE"""),"FIP-DOM-000-11304-OS00001-INA-000000")</f>
        <v>FIP-DOM-000-11304-OS00001-INA-000000</v>
      </c>
      <c r="P5137" s="6" t="str">
        <f>IFERROR(__xludf.DUMMYFUNCTION("""COMPUTED_VALUE"""),"PO Closed")</f>
        <v>PO Closed</v>
      </c>
      <c r="Q5137" s="6" t="str">
        <f>IFERROR(__xludf.DUMMYFUNCTION("""COMPUTED_VALUE"""),"GL2606349")</f>
        <v>GL2606349</v>
      </c>
      <c r="R5137" s="57">
        <f>IFERROR(__xludf.DUMMYFUNCTION("""COMPUTED_VALUE"""),46135.0)</f>
        <v>46135</v>
      </c>
      <c r="S5137" s="57">
        <f>IFERROR(__xludf.DUMMYFUNCTION("""COMPUTED_VALUE"""),46140.0)</f>
        <v>46140</v>
      </c>
      <c r="T5137" s="57">
        <f>IFERROR(__xludf.DUMMYFUNCTION("""COMPUTED_VALUE"""),46223.0)</f>
        <v>46223</v>
      </c>
    </row>
    <row r="5138">
      <c r="A5138" s="6" t="str">
        <f>IFERROR(__xludf.DUMMYFUNCTION("""COMPUTED_VALUE"""),"121704158-4")</f>
        <v>121704158-4</v>
      </c>
      <c r="B5138" s="6" t="str">
        <f>IFERROR(__xludf.DUMMYFUNCTION("""COMPUTED_VALUE"""),"121704158 - APPROVED")</f>
        <v>121704158 - APPROVED</v>
      </c>
      <c r="C5138" s="6">
        <f>IFERROR(__xludf.DUMMYFUNCTION("""COMPUTED_VALUE"""),4.0)</f>
        <v>4</v>
      </c>
      <c r="D5138" s="6" t="str">
        <f>IFERROR(__xludf.DUMMYFUNCTION("""COMPUTED_VALUE"""),"P-20698-00")</f>
        <v>P-20698-00</v>
      </c>
      <c r="E5138" s="6" t="str">
        <f>IFERROR(__xludf.DUMMYFUNCTION("""COMPUTED_VALUE"""),"General - Elbow Thermaflex 2 1/2 Inch x 3/4 Inch; No Brand; -; 1 pc")</f>
        <v>General - Elbow Thermaflex 2 1/2 Inch x 3/4 Inch; No Brand; -; 1 pc</v>
      </c>
      <c r="F5138" s="6">
        <f>IFERROR(__xludf.DUMMYFUNCTION("""COMPUTED_VALUE"""),1.0)</f>
        <v>1</v>
      </c>
      <c r="G5138" s="6" t="str">
        <f>IFERROR(__xludf.DUMMYFUNCTION("""COMPUTED_VALUE"""),"Pieces")</f>
        <v>Pieces</v>
      </c>
      <c r="H5138" s="6" t="str">
        <f>IFERROR(__xludf.DUMMYFUNCTION("""COMPUTED_VALUE"""),"IDR")</f>
        <v>IDR</v>
      </c>
      <c r="I5138" s="6">
        <f>IFERROR(__xludf.DUMMYFUNCTION("""COMPUTED_VALUE"""),184200.0)</f>
        <v>184200</v>
      </c>
      <c r="J5138" s="6">
        <f>IFERROR(__xludf.DUMMYFUNCTION("""COMPUTED_VALUE"""),184200.0)</f>
        <v>184200</v>
      </c>
      <c r="K5138" s="57">
        <f>IFERROR(__xludf.DUMMYFUNCTION("""COMPUTED_VALUE"""),46171.0)</f>
        <v>46171</v>
      </c>
      <c r="L5138" s="6" t="str">
        <f>IFERROR(__xludf.DUMMYFUNCTION("""COMPUTED_VALUE"""),"FIP Engineering")</f>
        <v>FIP Engineering</v>
      </c>
      <c r="M5138" s="6" t="str">
        <f>IFERROR(__xludf.DUMMYFUNCTION("""COMPUTED_VALUE"""),"Mochammad Fadhillah Hakim,")</f>
        <v>Mochammad Fadhillah Hakim,</v>
      </c>
      <c r="N5138" s="6" t="str">
        <f>IFERROR(__xludf.DUMMYFUNCTION("""COMPUTED_VALUE"""),"FIP Engineering")</f>
        <v>FIP Engineering</v>
      </c>
      <c r="O5138" s="6" t="str">
        <f>IFERROR(__xludf.DUMMYFUNCTION("""COMPUTED_VALUE"""),"FIP-DOM-000-11304-OS00001-INA-000000")</f>
        <v>FIP-DOM-000-11304-OS00001-INA-000000</v>
      </c>
      <c r="P5138" s="6" t="str">
        <f>IFERROR(__xludf.DUMMYFUNCTION("""COMPUTED_VALUE"""),"PO Closed")</f>
        <v>PO Closed</v>
      </c>
      <c r="Q5138" s="6" t="str">
        <f>IFERROR(__xludf.DUMMYFUNCTION("""COMPUTED_VALUE"""),"GL2606349")</f>
        <v>GL2606349</v>
      </c>
      <c r="R5138" s="57">
        <f>IFERROR(__xludf.DUMMYFUNCTION("""COMPUTED_VALUE"""),46135.0)</f>
        <v>46135</v>
      </c>
      <c r="S5138" s="57">
        <f>IFERROR(__xludf.DUMMYFUNCTION("""COMPUTED_VALUE"""),46140.0)</f>
        <v>46140</v>
      </c>
      <c r="T5138" s="57">
        <f>IFERROR(__xludf.DUMMYFUNCTION("""COMPUTED_VALUE"""),46223.0)</f>
        <v>46223</v>
      </c>
    </row>
    <row r="5139">
      <c r="A5139" s="6" t="str">
        <f>IFERROR(__xludf.DUMMYFUNCTION("""COMPUTED_VALUE"""),"121704158-5")</f>
        <v>121704158-5</v>
      </c>
      <c r="B5139" s="6" t="str">
        <f>IFERROR(__xludf.DUMMYFUNCTION("""COMPUTED_VALUE"""),"121704158 - APPROVED")</f>
        <v>121704158 - APPROVED</v>
      </c>
      <c r="C5139" s="6">
        <f>IFERROR(__xludf.DUMMYFUNCTION("""COMPUTED_VALUE"""),5.0)</f>
        <v>5</v>
      </c>
      <c r="D5139" s="6" t="str">
        <f>IFERROR(__xludf.DUMMYFUNCTION("""COMPUTED_VALUE"""),"P-20699-00")</f>
        <v>P-20699-00</v>
      </c>
      <c r="E5139" s="6" t="str">
        <f>IFERROR(__xludf.DUMMYFUNCTION("""COMPUTED_VALUE"""),"General - Elbow Thermaflex 1 Inch x 3/4 Inch; No Brand; -; 1 pc")</f>
        <v>General - Elbow Thermaflex 1 Inch x 3/4 Inch; No Brand; -; 1 pc</v>
      </c>
      <c r="F5139" s="6">
        <f>IFERROR(__xludf.DUMMYFUNCTION("""COMPUTED_VALUE"""),1.0)</f>
        <v>1</v>
      </c>
      <c r="G5139" s="6" t="str">
        <f>IFERROR(__xludf.DUMMYFUNCTION("""COMPUTED_VALUE"""),"Pieces")</f>
        <v>Pieces</v>
      </c>
      <c r="H5139" s="6" t="str">
        <f>IFERROR(__xludf.DUMMYFUNCTION("""COMPUTED_VALUE"""),"IDR")</f>
        <v>IDR</v>
      </c>
      <c r="I5139" s="6">
        <f>IFERROR(__xludf.DUMMYFUNCTION("""COMPUTED_VALUE"""),97800.0)</f>
        <v>97800</v>
      </c>
      <c r="J5139" s="6">
        <f>IFERROR(__xludf.DUMMYFUNCTION("""COMPUTED_VALUE"""),97800.0)</f>
        <v>97800</v>
      </c>
      <c r="K5139" s="57">
        <f>IFERROR(__xludf.DUMMYFUNCTION("""COMPUTED_VALUE"""),46171.0)</f>
        <v>46171</v>
      </c>
      <c r="L5139" s="6" t="str">
        <f>IFERROR(__xludf.DUMMYFUNCTION("""COMPUTED_VALUE"""),"FIP Engineering")</f>
        <v>FIP Engineering</v>
      </c>
      <c r="M5139" s="6" t="str">
        <f>IFERROR(__xludf.DUMMYFUNCTION("""COMPUTED_VALUE"""),"Mochammad Fadhillah Hakim,")</f>
        <v>Mochammad Fadhillah Hakim,</v>
      </c>
      <c r="N5139" s="6" t="str">
        <f>IFERROR(__xludf.DUMMYFUNCTION("""COMPUTED_VALUE"""),"FIP Engineering")</f>
        <v>FIP Engineering</v>
      </c>
      <c r="O5139" s="6" t="str">
        <f>IFERROR(__xludf.DUMMYFUNCTION("""COMPUTED_VALUE"""),"FIP-DOM-000-11304-OS00001-INA-000000")</f>
        <v>FIP-DOM-000-11304-OS00001-INA-000000</v>
      </c>
      <c r="P5139" s="6" t="str">
        <f>IFERROR(__xludf.DUMMYFUNCTION("""COMPUTED_VALUE"""),"PO Closed")</f>
        <v>PO Closed</v>
      </c>
      <c r="Q5139" s="6" t="str">
        <f>IFERROR(__xludf.DUMMYFUNCTION("""COMPUTED_VALUE"""),"GL2606349")</f>
        <v>GL2606349</v>
      </c>
      <c r="R5139" s="57">
        <f>IFERROR(__xludf.DUMMYFUNCTION("""COMPUTED_VALUE"""),46135.0)</f>
        <v>46135</v>
      </c>
      <c r="S5139" s="57">
        <f>IFERROR(__xludf.DUMMYFUNCTION("""COMPUTED_VALUE"""),46140.0)</f>
        <v>46140</v>
      </c>
      <c r="T5139" s="57">
        <f>IFERROR(__xludf.DUMMYFUNCTION("""COMPUTED_VALUE"""),46223.0)</f>
        <v>46223</v>
      </c>
    </row>
    <row r="5140">
      <c r="A5140" s="6" t="str">
        <f>IFERROR(__xludf.DUMMYFUNCTION("""COMPUTED_VALUE"""),"121704158-6")</f>
        <v>121704158-6</v>
      </c>
      <c r="B5140" s="6" t="str">
        <f>IFERROR(__xludf.DUMMYFUNCTION("""COMPUTED_VALUE"""),"121704158 - APPROVED")</f>
        <v>121704158 - APPROVED</v>
      </c>
      <c r="C5140" s="6">
        <f>IFERROR(__xludf.DUMMYFUNCTION("""COMPUTED_VALUE"""),6.0)</f>
        <v>6</v>
      </c>
      <c r="D5140" s="6" t="str">
        <f>IFERROR(__xludf.DUMMYFUNCTION("""COMPUTED_VALUE"""),"P-20700-00")</f>
        <v>P-20700-00</v>
      </c>
      <c r="E5140" s="6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F5140" s="6">
        <f>IFERROR(__xludf.DUMMYFUNCTION("""COMPUTED_VALUE"""),1.0)</f>
        <v>1</v>
      </c>
      <c r="G5140" s="6" t="str">
        <f>IFERROR(__xludf.DUMMYFUNCTION("""COMPUTED_VALUE"""),"Pieces")</f>
        <v>Pieces</v>
      </c>
      <c r="H5140" s="6" t="str">
        <f>IFERROR(__xludf.DUMMYFUNCTION("""COMPUTED_VALUE"""),"IDR")</f>
        <v>IDR</v>
      </c>
      <c r="I5140" s="6">
        <f>IFERROR(__xludf.DUMMYFUNCTION("""COMPUTED_VALUE"""),455500.0)</f>
        <v>455500</v>
      </c>
      <c r="J5140" s="6">
        <f>IFERROR(__xludf.DUMMYFUNCTION("""COMPUTED_VALUE"""),455500.0)</f>
        <v>455500</v>
      </c>
      <c r="K5140" s="57">
        <f>IFERROR(__xludf.DUMMYFUNCTION("""COMPUTED_VALUE"""),46171.0)</f>
        <v>46171</v>
      </c>
      <c r="L5140" s="6" t="str">
        <f>IFERROR(__xludf.DUMMYFUNCTION("""COMPUTED_VALUE"""),"FIP Engineering")</f>
        <v>FIP Engineering</v>
      </c>
      <c r="M5140" s="6" t="str">
        <f>IFERROR(__xludf.DUMMYFUNCTION("""COMPUTED_VALUE"""),"Mochammad Fadhillah Hakim,")</f>
        <v>Mochammad Fadhillah Hakim,</v>
      </c>
      <c r="N5140" s="6" t="str">
        <f>IFERROR(__xludf.DUMMYFUNCTION("""COMPUTED_VALUE"""),"FIP Engineering")</f>
        <v>FIP Engineering</v>
      </c>
      <c r="O5140" s="6" t="str">
        <f>IFERROR(__xludf.DUMMYFUNCTION("""COMPUTED_VALUE"""),"FIP-DOM-000-11304-OS00001-INA-000000")</f>
        <v>FIP-DOM-000-11304-OS00001-INA-000000</v>
      </c>
      <c r="P5140" s="6" t="str">
        <f>IFERROR(__xludf.DUMMYFUNCTION("""COMPUTED_VALUE"""),"PO Closed")</f>
        <v>PO Closed</v>
      </c>
      <c r="Q5140" s="6" t="str">
        <f>IFERROR(__xludf.DUMMYFUNCTION("""COMPUTED_VALUE"""),"GL2606349")</f>
        <v>GL2606349</v>
      </c>
      <c r="R5140" s="57">
        <f>IFERROR(__xludf.DUMMYFUNCTION("""COMPUTED_VALUE"""),46135.0)</f>
        <v>46135</v>
      </c>
      <c r="S5140" s="57">
        <f>IFERROR(__xludf.DUMMYFUNCTION("""COMPUTED_VALUE"""),46140.0)</f>
        <v>46140</v>
      </c>
      <c r="T5140" s="57">
        <f>IFERROR(__xludf.DUMMYFUNCTION("""COMPUTED_VALUE"""),46223.0)</f>
        <v>46223</v>
      </c>
    </row>
    <row r="5141">
      <c r="A5141" s="6" t="str">
        <f>IFERROR(__xludf.DUMMYFUNCTION("""COMPUTED_VALUE"""),"121704159-1")</f>
        <v>121704159-1</v>
      </c>
      <c r="B5141" s="6" t="str">
        <f>IFERROR(__xludf.DUMMYFUNCTION("""COMPUTED_VALUE"""),"121704159 - APPROVED")</f>
        <v>121704159 - APPROVED</v>
      </c>
      <c r="C5141" s="6">
        <f>IFERROR(__xludf.DUMMYFUNCTION("""COMPUTED_VALUE"""),1.0)</f>
        <v>1</v>
      </c>
      <c r="D5141" s="6" t="str">
        <f>IFERROR(__xludf.DUMMYFUNCTION("""COMPUTED_VALUE"""),"O-53605-00")</f>
        <v>O-53605-00</v>
      </c>
      <c r="E5141" s="6" t="str">
        <f>IFERROR(__xludf.DUMMYFUNCTION("""COMPUTED_VALUE"""),"Autoclave Fedegari FVA2/A1 - Proface Printer; Fedegari; GP400736; 1 pc")</f>
        <v>Autoclave Fedegari FVA2/A1 - Proface Printer; Fedegari; GP400736; 1 pc</v>
      </c>
      <c r="F5141" s="6">
        <f>IFERROR(__xludf.DUMMYFUNCTION("""COMPUTED_VALUE"""),2.0)</f>
        <v>2</v>
      </c>
      <c r="G5141" s="6" t="str">
        <f>IFERROR(__xludf.DUMMYFUNCTION("""COMPUTED_VALUE"""),"Pieces")</f>
        <v>Pieces</v>
      </c>
      <c r="H5141" s="6" t="str">
        <f>IFERROR(__xludf.DUMMYFUNCTION("""COMPUTED_VALUE"""),"IDR")</f>
        <v>IDR</v>
      </c>
      <c r="I5141" s="6">
        <f>IFERROR(__xludf.DUMMYFUNCTION("""COMPUTED_VALUE"""),9811600.0)</f>
        <v>9811600</v>
      </c>
      <c r="J5141" s="6">
        <f>IFERROR(__xludf.DUMMYFUNCTION("""COMPUTED_VALUE"""),1.96232E7)</f>
        <v>19623200</v>
      </c>
      <c r="K5141" s="57">
        <f>IFERROR(__xludf.DUMMYFUNCTION("""COMPUTED_VALUE"""),46227.0)</f>
        <v>46227</v>
      </c>
      <c r="L5141" s="6" t="str">
        <f>IFERROR(__xludf.DUMMYFUNCTION("""COMPUTED_VALUE"""),"FIP Engineering")</f>
        <v>FIP Engineering</v>
      </c>
      <c r="M5141" s="6" t="str">
        <f>IFERROR(__xludf.DUMMYFUNCTION("""COMPUTED_VALUE"""),"Mochammad Fadhillah Hakim,")</f>
        <v>Mochammad Fadhillah Hakim,</v>
      </c>
      <c r="N5141" s="6" t="str">
        <f>IFERROR(__xludf.DUMMYFUNCTION("""COMPUTED_VALUE"""),"FIP Engineering")</f>
        <v>FIP Engineering</v>
      </c>
      <c r="O5141" s="6" t="str">
        <f>IFERROR(__xludf.DUMMYFUNCTION("""COMPUTED_VALUE"""),"FIP-DOM-000-11304-OS00001-INA-000000")</f>
        <v>FIP-DOM-000-11304-OS00001-INA-000000</v>
      </c>
      <c r="P5141" s="6" t="str">
        <f>IFERROR(__xludf.DUMMYFUNCTION("""COMPUTED_VALUE"""),"PO Open")</f>
        <v>PO Open</v>
      </c>
      <c r="Q5141" s="6" t="str">
        <f>IFERROR(__xludf.DUMMYFUNCTION("""COMPUTED_VALUE"""),"GL2605340")</f>
        <v>GL2605340</v>
      </c>
      <c r="R5141" s="57">
        <f>IFERROR(__xludf.DUMMYFUNCTION("""COMPUTED_VALUE"""),46135.0)</f>
        <v>46135</v>
      </c>
      <c r="S5141" s="57">
        <f>IFERROR(__xludf.DUMMYFUNCTION("""COMPUTED_VALUE"""),46157.0)</f>
        <v>46157</v>
      </c>
      <c r="T5141" s="57">
        <f>IFERROR(__xludf.DUMMYFUNCTION("""COMPUTED_VALUE"""),46234.0)</f>
        <v>46234</v>
      </c>
    </row>
    <row r="5142">
      <c r="A5142" s="6" t="str">
        <f>IFERROR(__xludf.DUMMYFUNCTION("""COMPUTED_VALUE"""),"121704160-1")</f>
        <v>121704160-1</v>
      </c>
      <c r="B5142" s="6" t="str">
        <f>IFERROR(__xludf.DUMMYFUNCTION("""COMPUTED_VALUE"""),"121704160 - APPROVED")</f>
        <v>121704160 - APPROVED</v>
      </c>
      <c r="C5142" s="6">
        <f>IFERROR(__xludf.DUMMYFUNCTION("""COMPUTED_VALUE"""),1.0)</f>
        <v>1</v>
      </c>
      <c r="D5142" s="6" t="str">
        <f>IFERROR(__xludf.DUMMYFUNCTION("""COMPUTED_VALUE"""),"P-54257-00")</f>
        <v>P-54257-00</v>
      </c>
      <c r="E5142" s="6" t="str">
        <f>IFERROR(__xludf.DUMMYFUNCTION("""COMPUTED_VALUE"""),"General - Instrument Cooling Fan R3G 250 AK41-71; EBMPAST; 8115610923; 1 unit")</f>
        <v>General - Instrument Cooling Fan R3G 250 AK41-71; EBMPAST; 8115610923; 1 unit</v>
      </c>
      <c r="F5142" s="6">
        <f>IFERROR(__xludf.DUMMYFUNCTION("""COMPUTED_VALUE"""),1.0)</f>
        <v>1</v>
      </c>
      <c r="G5142" s="6" t="str">
        <f>IFERROR(__xludf.DUMMYFUNCTION("""COMPUTED_VALUE"""),"Unit")</f>
        <v>Unit</v>
      </c>
      <c r="H5142" s="6" t="str">
        <f>IFERROR(__xludf.DUMMYFUNCTION("""COMPUTED_VALUE"""),"IDR")</f>
        <v>IDR</v>
      </c>
      <c r="I5142" s="6">
        <f>IFERROR(__xludf.DUMMYFUNCTION("""COMPUTED_VALUE"""),1.954448E7)</f>
        <v>19544480</v>
      </c>
      <c r="J5142" s="6">
        <f>IFERROR(__xludf.DUMMYFUNCTION("""COMPUTED_VALUE"""),1.954448E7)</f>
        <v>19544480</v>
      </c>
      <c r="K5142" s="57">
        <f>IFERROR(__xludf.DUMMYFUNCTION("""COMPUTED_VALUE"""),46199.0)</f>
        <v>46199</v>
      </c>
      <c r="L5142" s="6" t="str">
        <f>IFERROR(__xludf.DUMMYFUNCTION("""COMPUTED_VALUE"""),"FIP Engineering")</f>
        <v>FIP Engineering</v>
      </c>
      <c r="M5142" s="6" t="str">
        <f>IFERROR(__xludf.DUMMYFUNCTION("""COMPUTED_VALUE"""),"Mochammad Fadhillah Hakim,")</f>
        <v>Mochammad Fadhillah Hakim,</v>
      </c>
      <c r="N5142" s="6" t="str">
        <f>IFERROR(__xludf.DUMMYFUNCTION("""COMPUTED_VALUE"""),"FIP Engineering")</f>
        <v>FIP Engineering</v>
      </c>
      <c r="O5142" s="6" t="str">
        <f>IFERROR(__xludf.DUMMYFUNCTION("""COMPUTED_VALUE"""),"FIP-DOM-000-11304-OS00001-INA-000000")</f>
        <v>FIP-DOM-000-11304-OS00001-INA-000000</v>
      </c>
      <c r="P5142" s="6" t="str">
        <f>IFERROR(__xludf.DUMMYFUNCTION("""COMPUTED_VALUE"""),"PO Open")</f>
        <v>PO Open</v>
      </c>
      <c r="Q5142" s="6" t="str">
        <f>IFERROR(__xludf.DUMMYFUNCTION("""COMPUTED_VALUE"""),"GL2605043")</f>
        <v>GL2605043</v>
      </c>
      <c r="R5142" s="57">
        <f>IFERROR(__xludf.DUMMYFUNCTION("""COMPUTED_VALUE"""),46135.0)</f>
        <v>46135</v>
      </c>
      <c r="S5142" s="57">
        <f>IFERROR(__xludf.DUMMYFUNCTION("""COMPUTED_VALUE"""),46139.0)</f>
        <v>46139</v>
      </c>
      <c r="T5142" s="57">
        <f>IFERROR(__xludf.DUMMYFUNCTION("""COMPUTED_VALUE"""),46295.0)</f>
        <v>46295</v>
      </c>
    </row>
    <row r="5143">
      <c r="A5143" s="6" t="str">
        <f>IFERROR(__xludf.DUMMYFUNCTION("""COMPUTED_VALUE"""),"121704161-1")</f>
        <v>121704161-1</v>
      </c>
      <c r="B5143" s="6" t="str">
        <f>IFERROR(__xludf.DUMMYFUNCTION("""COMPUTED_VALUE"""),"121704161 - APPROVED")</f>
        <v>121704161 - APPROVED</v>
      </c>
      <c r="C5143" s="6">
        <f>IFERROR(__xludf.DUMMYFUNCTION("""COMPUTED_VALUE"""),1.0)</f>
        <v>1</v>
      </c>
      <c r="D5143" s="6" t="str">
        <f>IFERROR(__xludf.DUMMYFUNCTION("""COMPUTED_VALUE"""),"T-20715-00")</f>
        <v>T-20715-00</v>
      </c>
      <c r="E5143" s="6" t="str">
        <f>IFERROR(__xludf.DUMMYFUNCTION("""COMPUTED_VALUE"""),"SYRINGE, 250 ML. WISP. WATERS; WATERS; PN: WAT073109; PCS")</f>
        <v>SYRINGE, 250 ML. WISP. WATERS; WATERS; PN: WAT073109; PCS</v>
      </c>
      <c r="F5143" s="6">
        <f>IFERROR(__xludf.DUMMYFUNCTION("""COMPUTED_VALUE"""),1.0)</f>
        <v>1</v>
      </c>
      <c r="G5143" s="6" t="str">
        <f>IFERROR(__xludf.DUMMYFUNCTION("""COMPUTED_VALUE"""),"Pieces")</f>
        <v>Pieces</v>
      </c>
      <c r="H5143" s="6" t="str">
        <f>IFERROR(__xludf.DUMMYFUNCTION("""COMPUTED_VALUE"""),"USD")</f>
        <v>USD</v>
      </c>
      <c r="I5143" s="6">
        <f>IFERROR(__xludf.DUMMYFUNCTION("""COMPUTED_VALUE"""),3790981.0)</f>
        <v>3790981</v>
      </c>
      <c r="J5143" s="6">
        <f>IFERROR(__xludf.DUMMYFUNCTION("""COMPUTED_VALUE"""),3790981.0)</f>
        <v>3790981</v>
      </c>
      <c r="K5143" s="57">
        <f>IFERROR(__xludf.DUMMYFUNCTION("""COMPUTED_VALUE"""),46199.0)</f>
        <v>46199</v>
      </c>
      <c r="L5143" s="6" t="str">
        <f>IFERROR(__xludf.DUMMYFUNCTION("""COMPUTED_VALUE"""),"FIP General")</f>
        <v>FIP General</v>
      </c>
      <c r="M5143" s="6" t="str">
        <f>IFERROR(__xludf.DUMMYFUNCTION("""COMPUTED_VALUE"""),"Mochammad Fadhillah Hakim,")</f>
        <v>Mochammad Fadhillah Hakim,</v>
      </c>
      <c r="N5143" s="6" t="str">
        <f>IFERROR(__xludf.DUMMYFUNCTION("""COMPUTED_VALUE"""),"FIP Engineering")</f>
        <v>FIP Engineering</v>
      </c>
      <c r="O5143" s="6" t="str">
        <f>IFERROR(__xludf.DUMMYFUNCTION("""COMPUTED_VALUE"""),"FIP-DOM-ENG-51505-0000000-INA-000000")</f>
        <v>FIP-DOM-ENG-51505-0000000-INA-000000</v>
      </c>
      <c r="P5143" s="6" t="str">
        <f>IFERROR(__xludf.DUMMYFUNCTION("""COMPUTED_VALUE"""),"PO Closed")</f>
        <v>PO Closed</v>
      </c>
      <c r="Q5143" s="6" t="str">
        <f>IFERROR(__xludf.DUMMYFUNCTION("""COMPUTED_VALUE"""),"GL2604316")</f>
        <v>GL2604316</v>
      </c>
      <c r="R5143" s="57">
        <f>IFERROR(__xludf.DUMMYFUNCTION("""COMPUTED_VALUE"""),46135.0)</f>
        <v>46135</v>
      </c>
      <c r="S5143" s="57">
        <f>IFERROR(__xludf.DUMMYFUNCTION("""COMPUTED_VALUE"""),46139.0)</f>
        <v>46139</v>
      </c>
      <c r="T5143" s="57">
        <f>IFERROR(__xludf.DUMMYFUNCTION("""COMPUTED_VALUE"""),46199.0)</f>
        <v>46199</v>
      </c>
    </row>
    <row r="5144">
      <c r="A5144" s="6" t="str">
        <f>IFERROR(__xludf.DUMMYFUNCTION("""COMPUTED_VALUE"""),"121704162-1")</f>
        <v>121704162-1</v>
      </c>
      <c r="B5144" s="6" t="str">
        <f>IFERROR(__xludf.DUMMYFUNCTION("""COMPUTED_VALUE"""),"121704162 - APPROVED")</f>
        <v>121704162 - APPROVED</v>
      </c>
      <c r="C5144" s="6">
        <f>IFERROR(__xludf.DUMMYFUNCTION("""COMPUTED_VALUE"""),1.0)</f>
        <v>1</v>
      </c>
      <c r="D5144" s="6" t="str">
        <f>IFERROR(__xludf.DUMMYFUNCTION("""COMPUTED_VALUE"""),"P-20242-00")</f>
        <v>P-20242-00</v>
      </c>
      <c r="E5144" s="6" t="str">
        <f>IFERROR(__xludf.DUMMYFUNCTION("""COMPUTED_VALUE"""),"General - Plate SS304 Uk. 1,2 x 1220 x 2440mm F2B; No Brand; -; 1 pc")</f>
        <v>General - Plate SS304 Uk. 1,2 x 1220 x 2440mm F2B; No Brand; -; 1 pc</v>
      </c>
      <c r="F5144" s="6">
        <f>IFERROR(__xludf.DUMMYFUNCTION("""COMPUTED_VALUE"""),1.0)</f>
        <v>1</v>
      </c>
      <c r="G5144" s="6" t="str">
        <f>IFERROR(__xludf.DUMMYFUNCTION("""COMPUTED_VALUE"""),"Pieces")</f>
        <v>Pieces</v>
      </c>
      <c r="H5144" s="6" t="str">
        <f>IFERROR(__xludf.DUMMYFUNCTION("""COMPUTED_VALUE"""),"IDR")</f>
        <v>IDR</v>
      </c>
      <c r="I5144" s="6">
        <f>IFERROR(__xludf.DUMMYFUNCTION("""COMPUTED_VALUE"""),2100000.0)</f>
        <v>2100000</v>
      </c>
      <c r="J5144" s="6">
        <f>IFERROR(__xludf.DUMMYFUNCTION("""COMPUTED_VALUE"""),2100000.0)</f>
        <v>2100000</v>
      </c>
      <c r="K5144" s="57">
        <f>IFERROR(__xludf.DUMMYFUNCTION("""COMPUTED_VALUE"""),46137.0)</f>
        <v>46137</v>
      </c>
      <c r="L5144" s="6" t="str">
        <f>IFERROR(__xludf.DUMMYFUNCTION("""COMPUTED_VALUE"""),"FIP Engineering")</f>
        <v>FIP Engineering</v>
      </c>
      <c r="M5144" s="6" t="str">
        <f>IFERROR(__xludf.DUMMYFUNCTION("""COMPUTED_VALUE"""),"Mochammad Fadhillah Hakim,")</f>
        <v>Mochammad Fadhillah Hakim,</v>
      </c>
      <c r="N5144" s="6" t="str">
        <f>IFERROR(__xludf.DUMMYFUNCTION("""COMPUTED_VALUE"""),"FIP Engineering")</f>
        <v>FIP Engineering</v>
      </c>
      <c r="O5144" s="6" t="str">
        <f>IFERROR(__xludf.DUMMYFUNCTION("""COMPUTED_VALUE"""),"FIP-DOM-000-11304-OS00001-INA-000000")</f>
        <v>FIP-DOM-000-11304-OS00001-INA-000000</v>
      </c>
      <c r="P5144" s="6" t="str">
        <f>IFERROR(__xludf.DUMMYFUNCTION("""COMPUTED_VALUE"""),"PO Closed")</f>
        <v>PO Closed</v>
      </c>
      <c r="Q5144" s="6" t="str">
        <f>IFERROR(__xludf.DUMMYFUNCTION("""COMPUTED_VALUE"""),"GL2605008")</f>
        <v>GL2605008</v>
      </c>
      <c r="R5144" s="57">
        <f>IFERROR(__xludf.DUMMYFUNCTION("""COMPUTED_VALUE"""),46135.0)</f>
        <v>46135</v>
      </c>
      <c r="S5144" s="57">
        <f>IFERROR(__xludf.DUMMYFUNCTION("""COMPUTED_VALUE"""),46135.0)</f>
        <v>46135</v>
      </c>
      <c r="T5144" s="57">
        <f>IFERROR(__xludf.DUMMYFUNCTION("""COMPUTED_VALUE"""),46172.0)</f>
        <v>46172</v>
      </c>
    </row>
    <row r="5145">
      <c r="A5145" s="6" t="str">
        <f>IFERROR(__xludf.DUMMYFUNCTION("""COMPUTED_VALUE"""),"121704162-2")</f>
        <v>121704162-2</v>
      </c>
      <c r="B5145" s="6" t="str">
        <f>IFERROR(__xludf.DUMMYFUNCTION("""COMPUTED_VALUE"""),"121704162 - APPROVED")</f>
        <v>121704162 - APPROVED</v>
      </c>
      <c r="C5145" s="6">
        <f>IFERROR(__xludf.DUMMYFUNCTION("""COMPUTED_VALUE"""),2.0)</f>
        <v>2</v>
      </c>
      <c r="D5145" s="6" t="str">
        <f>IFERROR(__xludf.DUMMYFUNCTION("""COMPUTED_VALUE"""),"P-20309-00")</f>
        <v>P-20309-00</v>
      </c>
      <c r="E5145" s="6" t="str">
        <f>IFERROR(__xludf.DUMMYFUNCTION("""COMPUTED_VALUE"""),"General - Hole Saw TCT Kugel 100 mm; Kugel; ;")</f>
        <v>General - Hole Saw TCT Kugel 100 mm; Kugel; ;</v>
      </c>
      <c r="F5145" s="6">
        <f>IFERROR(__xludf.DUMMYFUNCTION("""COMPUTED_VALUE"""),1.0)</f>
        <v>1</v>
      </c>
      <c r="G5145" s="6" t="str">
        <f>IFERROR(__xludf.DUMMYFUNCTION("""COMPUTED_VALUE"""),"Pieces")</f>
        <v>Pieces</v>
      </c>
      <c r="H5145" s="6" t="str">
        <f>IFERROR(__xludf.DUMMYFUNCTION("""COMPUTED_VALUE"""),"IDR")</f>
        <v>IDR</v>
      </c>
      <c r="I5145" s="6">
        <f>IFERROR(__xludf.DUMMYFUNCTION("""COMPUTED_VALUE"""),345000.0)</f>
        <v>345000</v>
      </c>
      <c r="J5145" s="6">
        <f>IFERROR(__xludf.DUMMYFUNCTION("""COMPUTED_VALUE"""),345000.0)</f>
        <v>345000</v>
      </c>
      <c r="K5145" s="57">
        <f>IFERROR(__xludf.DUMMYFUNCTION("""COMPUTED_VALUE"""),46137.0)</f>
        <v>46137</v>
      </c>
      <c r="L5145" s="6" t="str">
        <f>IFERROR(__xludf.DUMMYFUNCTION("""COMPUTED_VALUE"""),"FIP Engineering")</f>
        <v>FIP Engineering</v>
      </c>
      <c r="M5145" s="6" t="str">
        <f>IFERROR(__xludf.DUMMYFUNCTION("""COMPUTED_VALUE"""),"Mochammad Fadhillah Hakim,")</f>
        <v>Mochammad Fadhillah Hakim,</v>
      </c>
      <c r="N5145" s="6" t="str">
        <f>IFERROR(__xludf.DUMMYFUNCTION("""COMPUTED_VALUE"""),"FIP Engineering")</f>
        <v>FIP Engineering</v>
      </c>
      <c r="O5145" s="6" t="str">
        <f>IFERROR(__xludf.DUMMYFUNCTION("""COMPUTED_VALUE"""),"FIP-DOM-000-11304-OS00001-INA-000000")</f>
        <v>FIP-DOM-000-11304-OS00001-INA-000000</v>
      </c>
      <c r="P5145" s="6" t="str">
        <f>IFERROR(__xludf.DUMMYFUNCTION("""COMPUTED_VALUE"""),"PO Closed")</f>
        <v>PO Closed</v>
      </c>
      <c r="Q5145" s="6" t="str">
        <f>IFERROR(__xludf.DUMMYFUNCTION("""COMPUTED_VALUE"""),"GL2605325")</f>
        <v>GL2605325</v>
      </c>
      <c r="R5145" s="57">
        <f>IFERROR(__xludf.DUMMYFUNCTION("""COMPUTED_VALUE"""),46135.0)</f>
        <v>46135</v>
      </c>
      <c r="S5145" s="57">
        <f>IFERROR(__xludf.DUMMYFUNCTION("""COMPUTED_VALUE"""),46135.0)</f>
        <v>46135</v>
      </c>
      <c r="T5145" s="57">
        <f>IFERROR(__xludf.DUMMYFUNCTION("""COMPUTED_VALUE"""),46172.0)</f>
        <v>46172</v>
      </c>
    </row>
    <row r="5146">
      <c r="A5146" s="6" t="str">
        <f>IFERROR(__xludf.DUMMYFUNCTION("""COMPUTED_VALUE"""),"121704162-3")</f>
        <v>121704162-3</v>
      </c>
      <c r="B5146" s="6" t="str">
        <f>IFERROR(__xludf.DUMMYFUNCTION("""COMPUTED_VALUE"""),"121704162 - APPROVED")</f>
        <v>121704162 - APPROVED</v>
      </c>
      <c r="C5146" s="6">
        <f>IFERROR(__xludf.DUMMYFUNCTION("""COMPUTED_VALUE"""),3.0)</f>
        <v>3</v>
      </c>
      <c r="D5146" s="6" t="str">
        <f>IFERROR(__xludf.DUMMYFUNCTION("""COMPUTED_VALUE"""),"P-20575-00")</f>
        <v>P-20575-00</v>
      </c>
      <c r="E5146" s="6" t="str">
        <f>IFERROR(__xludf.DUMMYFUNCTION("""COMPUTED_VALUE"""),"General - Baut L SS304 M5 x 40mm HT (Socket Cap Screw); No Brand; -; 100pc/pck")</f>
        <v>General - Baut L SS304 M5 x 40mm HT (Socket Cap Screw); No Brand; -; 100pc/pck</v>
      </c>
      <c r="F5146" s="6">
        <f>IFERROR(__xludf.DUMMYFUNCTION("""COMPUTED_VALUE"""),1.0)</f>
        <v>1</v>
      </c>
      <c r="G5146" s="6" t="str">
        <f>IFERROR(__xludf.DUMMYFUNCTION("""COMPUTED_VALUE"""),"Pack")</f>
        <v>Pack</v>
      </c>
      <c r="H5146" s="6" t="str">
        <f>IFERROR(__xludf.DUMMYFUNCTION("""COMPUTED_VALUE"""),"IDR")</f>
        <v>IDR</v>
      </c>
      <c r="I5146" s="6">
        <f>IFERROR(__xludf.DUMMYFUNCTION("""COMPUTED_VALUE"""),550000.0)</f>
        <v>550000</v>
      </c>
      <c r="J5146" s="6">
        <f>IFERROR(__xludf.DUMMYFUNCTION("""COMPUTED_VALUE"""),550000.0)</f>
        <v>550000</v>
      </c>
      <c r="K5146" s="57">
        <f>IFERROR(__xludf.DUMMYFUNCTION("""COMPUTED_VALUE"""),46137.0)</f>
        <v>46137</v>
      </c>
      <c r="L5146" s="6" t="str">
        <f>IFERROR(__xludf.DUMMYFUNCTION("""COMPUTED_VALUE"""),"FIP Engineering")</f>
        <v>FIP Engineering</v>
      </c>
      <c r="M5146" s="6" t="str">
        <f>IFERROR(__xludf.DUMMYFUNCTION("""COMPUTED_VALUE"""),"Mochammad Fadhillah Hakim,")</f>
        <v>Mochammad Fadhillah Hakim,</v>
      </c>
      <c r="N5146" s="6" t="str">
        <f>IFERROR(__xludf.DUMMYFUNCTION("""COMPUTED_VALUE"""),"FIP Engineering")</f>
        <v>FIP Engineering</v>
      </c>
      <c r="O5146" s="6" t="str">
        <f>IFERROR(__xludf.DUMMYFUNCTION("""COMPUTED_VALUE"""),"FIP-DOM-000-11304-OS00001-INA-000000")</f>
        <v>FIP-DOM-000-11304-OS00001-INA-000000</v>
      </c>
      <c r="P5146" s="6" t="str">
        <f>IFERROR(__xludf.DUMMYFUNCTION("""COMPUTED_VALUE"""),"PO Closed")</f>
        <v>PO Closed</v>
      </c>
      <c r="Q5146" s="6" t="str">
        <f>IFERROR(__xludf.DUMMYFUNCTION("""COMPUTED_VALUE"""),"GL2605332")</f>
        <v>GL2605332</v>
      </c>
      <c r="R5146" s="57">
        <f>IFERROR(__xludf.DUMMYFUNCTION("""COMPUTED_VALUE"""),46135.0)</f>
        <v>46135</v>
      </c>
      <c r="S5146" s="57">
        <f>IFERROR(__xludf.DUMMYFUNCTION("""COMPUTED_VALUE"""),46135.0)</f>
        <v>46135</v>
      </c>
      <c r="T5146" s="57">
        <f>IFERROR(__xludf.DUMMYFUNCTION("""COMPUTED_VALUE"""),46137.0)</f>
        <v>46137</v>
      </c>
    </row>
    <row r="5147">
      <c r="A5147" s="6" t="str">
        <f>IFERROR(__xludf.DUMMYFUNCTION("""COMPUTED_VALUE"""),"121704162-4")</f>
        <v>121704162-4</v>
      </c>
      <c r="B5147" s="6" t="str">
        <f>IFERROR(__xludf.DUMMYFUNCTION("""COMPUTED_VALUE"""),"121704162 - APPROVED")</f>
        <v>121704162 - APPROVED</v>
      </c>
      <c r="C5147" s="6">
        <f>IFERROR(__xludf.DUMMYFUNCTION("""COMPUTED_VALUE"""),4.0)</f>
        <v>4</v>
      </c>
      <c r="D5147" s="6" t="str">
        <f>IFERROR(__xludf.DUMMYFUNCTION("""COMPUTED_VALUE"""),"P-20651-00")</f>
        <v>P-20651-00</v>
      </c>
      <c r="E5147" s="6" t="str">
        <f>IFERROR(__xludf.DUMMYFUNCTION("""COMPUTED_VALUE"""),"General - Wire Brush Mata Bor; JLD; 263; 3pcs/set")</f>
        <v>General - Wire Brush Mata Bor; JLD; 263; 3pcs/set</v>
      </c>
      <c r="F5147" s="6">
        <f>IFERROR(__xludf.DUMMYFUNCTION("""COMPUTED_VALUE"""),1.0)</f>
        <v>1</v>
      </c>
      <c r="G5147" s="6" t="str">
        <f>IFERROR(__xludf.DUMMYFUNCTION("""COMPUTED_VALUE"""),"Set")</f>
        <v>Set</v>
      </c>
      <c r="H5147" s="6" t="str">
        <f>IFERROR(__xludf.DUMMYFUNCTION("""COMPUTED_VALUE"""),"IDR")</f>
        <v>IDR</v>
      </c>
      <c r="I5147" s="6">
        <f>IFERROR(__xludf.DUMMYFUNCTION("""COMPUTED_VALUE"""),35000.0)</f>
        <v>35000</v>
      </c>
      <c r="J5147" s="6">
        <f>IFERROR(__xludf.DUMMYFUNCTION("""COMPUTED_VALUE"""),35000.0)</f>
        <v>35000</v>
      </c>
      <c r="K5147" s="57">
        <f>IFERROR(__xludf.DUMMYFUNCTION("""COMPUTED_VALUE"""),46137.0)</f>
        <v>46137</v>
      </c>
      <c r="L5147" s="6" t="str">
        <f>IFERROR(__xludf.DUMMYFUNCTION("""COMPUTED_VALUE"""),"FIP Engineering")</f>
        <v>FIP Engineering</v>
      </c>
      <c r="M5147" s="6" t="str">
        <f>IFERROR(__xludf.DUMMYFUNCTION("""COMPUTED_VALUE"""),"Mochammad Fadhillah Hakim,")</f>
        <v>Mochammad Fadhillah Hakim,</v>
      </c>
      <c r="N5147" s="6" t="str">
        <f>IFERROR(__xludf.DUMMYFUNCTION("""COMPUTED_VALUE"""),"FIP Engineering")</f>
        <v>FIP Engineering</v>
      </c>
      <c r="O5147" s="6" t="str">
        <f>IFERROR(__xludf.DUMMYFUNCTION("""COMPUTED_VALUE"""),"FIP-DOM-000-11304-OS00001-INA-000000")</f>
        <v>FIP-DOM-000-11304-OS00001-INA-000000</v>
      </c>
      <c r="P5147" s="6" t="str">
        <f>IFERROR(__xludf.DUMMYFUNCTION("""COMPUTED_VALUE"""),"PO Closed")</f>
        <v>PO Closed</v>
      </c>
      <c r="Q5147" s="6" t="str">
        <f>IFERROR(__xludf.DUMMYFUNCTION("""COMPUTED_VALUE"""),"GL2605332")</f>
        <v>GL2605332</v>
      </c>
      <c r="R5147" s="57">
        <f>IFERROR(__xludf.DUMMYFUNCTION("""COMPUTED_VALUE"""),46135.0)</f>
        <v>46135</v>
      </c>
      <c r="S5147" s="57">
        <f>IFERROR(__xludf.DUMMYFUNCTION("""COMPUTED_VALUE"""),46135.0)</f>
        <v>46135</v>
      </c>
      <c r="T5147" s="57">
        <f>IFERROR(__xludf.DUMMYFUNCTION("""COMPUTED_VALUE"""),46137.0)</f>
        <v>46137</v>
      </c>
    </row>
    <row r="5148">
      <c r="A5148" s="6" t="str">
        <f>IFERROR(__xludf.DUMMYFUNCTION("""COMPUTED_VALUE"""),"121704162-5")</f>
        <v>121704162-5</v>
      </c>
      <c r="B5148" s="6" t="str">
        <f>IFERROR(__xludf.DUMMYFUNCTION("""COMPUTED_VALUE"""),"121704162 - APPROVED")</f>
        <v>121704162 - APPROVED</v>
      </c>
      <c r="C5148" s="6">
        <f>IFERROR(__xludf.DUMMYFUNCTION("""COMPUTED_VALUE"""),5.0)</f>
        <v>5</v>
      </c>
      <c r="D5148" s="6" t="str">
        <f>IFERROR(__xludf.DUMMYFUNCTION("""COMPUTED_VALUE"""),"P-54592-00")</f>
        <v>P-54592-00</v>
      </c>
      <c r="E5148" s="6" t="str">
        <f>IFERROR(__xludf.DUMMYFUNCTION("""COMPUTED_VALUE"""),"General - Fan Motor F61-10; Polytron; -; 1 unit")</f>
        <v>General - Fan Motor F61-10; Polytron; -; 1 unit</v>
      </c>
      <c r="F5148" s="6">
        <f>IFERROR(__xludf.DUMMYFUNCTION("""COMPUTED_VALUE"""),5.0)</f>
        <v>5</v>
      </c>
      <c r="G5148" s="6" t="str">
        <f>IFERROR(__xludf.DUMMYFUNCTION("""COMPUTED_VALUE"""),"Unit")</f>
        <v>Unit</v>
      </c>
      <c r="H5148" s="6" t="str">
        <f>IFERROR(__xludf.DUMMYFUNCTION("""COMPUTED_VALUE"""),"IDR")</f>
        <v>IDR</v>
      </c>
      <c r="I5148" s="6">
        <f>IFERROR(__xludf.DUMMYFUNCTION("""COMPUTED_VALUE"""),96000.0)</f>
        <v>96000</v>
      </c>
      <c r="J5148" s="6">
        <f>IFERROR(__xludf.DUMMYFUNCTION("""COMPUTED_VALUE"""),480000.0)</f>
        <v>480000</v>
      </c>
      <c r="K5148" s="57">
        <f>IFERROR(__xludf.DUMMYFUNCTION("""COMPUTED_VALUE"""),46137.0)</f>
        <v>46137</v>
      </c>
      <c r="L5148" s="6" t="str">
        <f>IFERROR(__xludf.DUMMYFUNCTION("""COMPUTED_VALUE"""),"FIP Engineering")</f>
        <v>FIP Engineering</v>
      </c>
      <c r="M5148" s="6" t="str">
        <f>IFERROR(__xludf.DUMMYFUNCTION("""COMPUTED_VALUE"""),"Mochammad Fadhillah Hakim,")</f>
        <v>Mochammad Fadhillah Hakim,</v>
      </c>
      <c r="N5148" s="6" t="str">
        <f>IFERROR(__xludf.DUMMYFUNCTION("""COMPUTED_VALUE"""),"FIP Engineering")</f>
        <v>FIP Engineering</v>
      </c>
      <c r="O5148" s="6" t="str">
        <f>IFERROR(__xludf.DUMMYFUNCTION("""COMPUTED_VALUE"""),"FIP-DOM-000-11304-OS00001-INA-000000")</f>
        <v>FIP-DOM-000-11304-OS00001-INA-000000</v>
      </c>
      <c r="P5148" s="6" t="str">
        <f>IFERROR(__xludf.DUMMYFUNCTION("""COMPUTED_VALUE"""),"PO Closed")</f>
        <v>PO Closed</v>
      </c>
      <c r="Q5148" s="6" t="str">
        <f>IFERROR(__xludf.DUMMYFUNCTION("""COMPUTED_VALUE"""),"GL2605332")</f>
        <v>GL2605332</v>
      </c>
      <c r="R5148" s="57">
        <f>IFERROR(__xludf.DUMMYFUNCTION("""COMPUTED_VALUE"""),46135.0)</f>
        <v>46135</v>
      </c>
      <c r="S5148" s="57">
        <f>IFERROR(__xludf.DUMMYFUNCTION("""COMPUTED_VALUE"""),46135.0)</f>
        <v>46135</v>
      </c>
      <c r="T5148" s="57">
        <f>IFERROR(__xludf.DUMMYFUNCTION("""COMPUTED_VALUE"""),46137.0)</f>
        <v>46137</v>
      </c>
    </row>
    <row r="5149">
      <c r="A5149" s="6" t="str">
        <f>IFERROR(__xludf.DUMMYFUNCTION("""COMPUTED_VALUE"""),"121704164-1")</f>
        <v>121704164-1</v>
      </c>
      <c r="B5149" s="6" t="str">
        <f>IFERROR(__xludf.DUMMYFUNCTION("""COMPUTED_VALUE"""),"121704164 - APPROVED")</f>
        <v>121704164 - APPROVED</v>
      </c>
      <c r="C5149" s="6">
        <f>IFERROR(__xludf.DUMMYFUNCTION("""COMPUTED_VALUE"""),1.0)</f>
        <v>1</v>
      </c>
      <c r="D5149" s="6" t="str">
        <f>IFERROR(__xludf.DUMMYFUNCTION("""COMPUTED_VALUE"""),"Q-12123-00")</f>
        <v>Q-12123-00</v>
      </c>
      <c r="E5149" s="6" t="str">
        <f>IFERROR(__xludf.DUMMYFUNCTION("""COMPUTED_VALUE"""),"Lis Strip Pintu Seal Peredam Suara 6M; Lokal; 6M-SD6-Hitam; 6 meter/roll")</f>
        <v>Lis Strip Pintu Seal Peredam Suara 6M; Lokal; 6M-SD6-Hitam; 6 meter/roll</v>
      </c>
      <c r="F5149" s="6">
        <f>IFERROR(__xludf.DUMMYFUNCTION("""COMPUTED_VALUE"""),20.0)</f>
        <v>20</v>
      </c>
      <c r="G5149" s="6" t="str">
        <f>IFERROR(__xludf.DUMMYFUNCTION("""COMPUTED_VALUE"""),"Roll")</f>
        <v>Roll</v>
      </c>
      <c r="H5149" s="6" t="str">
        <f>IFERROR(__xludf.DUMMYFUNCTION("""COMPUTED_VALUE"""),"IDR")</f>
        <v>IDR</v>
      </c>
      <c r="I5149" s="6">
        <f>IFERROR(__xludf.DUMMYFUNCTION("""COMPUTED_VALUE"""),55000.0)</f>
        <v>55000</v>
      </c>
      <c r="J5149" s="6">
        <f>IFERROR(__xludf.DUMMYFUNCTION("""COMPUTED_VALUE"""),1100000.0)</f>
        <v>1100000</v>
      </c>
      <c r="K5149" s="57">
        <f>IFERROR(__xludf.DUMMYFUNCTION("""COMPUTED_VALUE"""),46171.0)</f>
        <v>46171</v>
      </c>
      <c r="L5149" s="6" t="str">
        <f>IFERROR(__xludf.DUMMYFUNCTION("""COMPUTED_VALUE"""),"FIP General")</f>
        <v>FIP General</v>
      </c>
      <c r="M5149" s="6" t="str">
        <f>IFERROR(__xludf.DUMMYFUNCTION("""COMPUTED_VALUE"""),"Mochammad Fadhillah Hakim,")</f>
        <v>Mochammad Fadhillah Hakim,</v>
      </c>
      <c r="N5149" s="6" t="str">
        <f>IFERROR(__xludf.DUMMYFUNCTION("""COMPUTED_VALUE"""),"FIP Engineering")</f>
        <v>FIP Engineering</v>
      </c>
      <c r="O5149" s="6" t="str">
        <f>IFERROR(__xludf.DUMMYFUNCTION("""COMPUTED_VALUE"""),"FIP-DOM-ENG-51502-0000000-INA-000000")</f>
        <v>FIP-DOM-ENG-51502-0000000-INA-000000</v>
      </c>
      <c r="P5149" s="6" t="str">
        <f>IFERROR(__xludf.DUMMYFUNCTION("""COMPUTED_VALUE"""),"PO Closed")</f>
        <v>PO Closed</v>
      </c>
      <c r="Q5149" s="6" t="str">
        <f>IFERROR(__xludf.DUMMYFUNCTION("""COMPUTED_VALUE"""),"GL2605018")</f>
        <v>GL2605018</v>
      </c>
      <c r="R5149" s="57">
        <f>IFERROR(__xludf.DUMMYFUNCTION("""COMPUTED_VALUE"""),46136.0)</f>
        <v>46136</v>
      </c>
      <c r="S5149" s="57">
        <f>IFERROR(__xludf.DUMMYFUNCTION("""COMPUTED_VALUE"""),46139.0)</f>
        <v>46139</v>
      </c>
      <c r="T5149" s="57">
        <f>IFERROR(__xludf.DUMMYFUNCTION("""COMPUTED_VALUE"""),46178.0)</f>
        <v>46178</v>
      </c>
    </row>
    <row r="5150">
      <c r="A5150" s="6" t="str">
        <f>IFERROR(__xludf.DUMMYFUNCTION("""COMPUTED_VALUE"""),"121704165-1")</f>
        <v>121704165-1</v>
      </c>
      <c r="B5150" s="6" t="str">
        <f>IFERROR(__xludf.DUMMYFUNCTION("""COMPUTED_VALUE"""),"121704165 - APPROVED")</f>
        <v>121704165 - APPROVED</v>
      </c>
      <c r="C5150" s="6">
        <f>IFERROR(__xludf.DUMMYFUNCTION("""COMPUTED_VALUE"""),1.0)</f>
        <v>1</v>
      </c>
      <c r="D5150" s="6" t="str">
        <f>IFERROR(__xludf.DUMMYFUNCTION("""COMPUTED_VALUE"""),"S-47082-00")</f>
        <v>S-47082-00</v>
      </c>
      <c r="E5150" s="6" t="str">
        <f>IFERROR(__xludf.DUMMYFUNCTION("""COMPUTED_VALUE"""),"Benang Anti Panas ukuran 20/2; ; ; per meter")</f>
        <v>Benang Anti Panas ukuran 20/2; ; ; per meter</v>
      </c>
      <c r="F5150" s="6">
        <f>IFERROR(__xludf.DUMMYFUNCTION("""COMPUTED_VALUE"""),10.0)</f>
        <v>10</v>
      </c>
      <c r="G5150" s="6" t="str">
        <f>IFERROR(__xludf.DUMMYFUNCTION("""COMPUTED_VALUE"""),"Meter")</f>
        <v>Meter</v>
      </c>
      <c r="H5150" s="6" t="str">
        <f>IFERROR(__xludf.DUMMYFUNCTION("""COMPUTED_VALUE"""),"IDR")</f>
        <v>IDR</v>
      </c>
      <c r="I5150" s="6">
        <f>IFERROR(__xludf.DUMMYFUNCTION("""COMPUTED_VALUE"""),35000.0)</f>
        <v>35000</v>
      </c>
      <c r="J5150" s="6">
        <f>IFERROR(__xludf.DUMMYFUNCTION("""COMPUTED_VALUE"""),350000.0)</f>
        <v>350000</v>
      </c>
      <c r="K5150" s="57">
        <f>IFERROR(__xludf.DUMMYFUNCTION("""COMPUTED_VALUE"""),46171.0)</f>
        <v>46171</v>
      </c>
      <c r="L5150" s="6" t="str">
        <f>IFERROR(__xludf.DUMMYFUNCTION("""COMPUTED_VALUE"""),"FIP General")</f>
        <v>FIP General</v>
      </c>
      <c r="M5150" s="6" t="str">
        <f>IFERROR(__xludf.DUMMYFUNCTION("""COMPUTED_VALUE"""),"Mochammad Fadhillah Hakim,")</f>
        <v>Mochammad Fadhillah Hakim,</v>
      </c>
      <c r="N5150" s="6" t="str">
        <f>IFERROR(__xludf.DUMMYFUNCTION("""COMPUTED_VALUE"""),"FIP Engineering")</f>
        <v>FIP Engineering</v>
      </c>
      <c r="O5150" s="6" t="str">
        <f>IFERROR(__xludf.DUMMYFUNCTION("""COMPUTED_VALUE"""),"FIP-DOM-ENG-51504-0000000-INA-000000")</f>
        <v>FIP-DOM-ENG-51504-0000000-INA-000000</v>
      </c>
      <c r="P5150" s="6" t="str">
        <f>IFERROR(__xludf.DUMMYFUNCTION("""COMPUTED_VALUE"""),"PO Closed")</f>
        <v>PO Closed</v>
      </c>
      <c r="Q5150" s="6" t="str">
        <f>IFERROR(__xludf.DUMMYFUNCTION("""COMPUTED_VALUE"""),"GL2605018")</f>
        <v>GL2605018</v>
      </c>
      <c r="R5150" s="57">
        <f>IFERROR(__xludf.DUMMYFUNCTION("""COMPUTED_VALUE"""),46136.0)</f>
        <v>46136</v>
      </c>
      <c r="S5150" s="57">
        <f>IFERROR(__xludf.DUMMYFUNCTION("""COMPUTED_VALUE"""),46139.0)</f>
        <v>46139</v>
      </c>
      <c r="T5150" s="57">
        <f>IFERROR(__xludf.DUMMYFUNCTION("""COMPUTED_VALUE"""),46178.0)</f>
        <v>46178</v>
      </c>
    </row>
    <row r="5151">
      <c r="A5151" s="6" t="str">
        <f>IFERROR(__xludf.DUMMYFUNCTION("""COMPUTED_VALUE"""),"121704166-1")</f>
        <v>121704166-1</v>
      </c>
      <c r="B5151" s="6" t="str">
        <f>IFERROR(__xludf.DUMMYFUNCTION("""COMPUTED_VALUE"""),"121704166 - APPROVED")</f>
        <v>121704166 - APPROVED</v>
      </c>
      <c r="C5151" s="6">
        <f>IFERROR(__xludf.DUMMYFUNCTION("""COMPUTED_VALUE"""),1.0)</f>
        <v>1</v>
      </c>
      <c r="D5151" s="6" t="str">
        <f>IFERROR(__xludf.DUMMYFUNCTION("""COMPUTED_VALUE"""),"P-52664-00")</f>
        <v>P-52664-00</v>
      </c>
      <c r="E5151" s="6" t="str">
        <f>IFERROR(__xludf.DUMMYFUNCTION("""COMPUTED_VALUE"""),"General - Pelampung Air Radar Float Switch 2m; No Brand; -; 1 Pc")</f>
        <v>General - Pelampung Air Radar Float Switch 2m; No Brand; -; 1 Pc</v>
      </c>
      <c r="F5151" s="6">
        <f>IFERROR(__xludf.DUMMYFUNCTION("""COMPUTED_VALUE"""),5.0)</f>
        <v>5</v>
      </c>
      <c r="G5151" s="6" t="str">
        <f>IFERROR(__xludf.DUMMYFUNCTION("""COMPUTED_VALUE"""),"Pieces")</f>
        <v>Pieces</v>
      </c>
      <c r="H5151" s="6" t="str">
        <f>IFERROR(__xludf.DUMMYFUNCTION("""COMPUTED_VALUE"""),"IDR")</f>
        <v>IDR</v>
      </c>
      <c r="I5151" s="6">
        <f>IFERROR(__xludf.DUMMYFUNCTION("""COMPUTED_VALUE"""),70000.0)</f>
        <v>70000</v>
      </c>
      <c r="J5151" s="6">
        <f>IFERROR(__xludf.DUMMYFUNCTION("""COMPUTED_VALUE"""),350000.0)</f>
        <v>350000</v>
      </c>
      <c r="K5151" s="57">
        <f>IFERROR(__xludf.DUMMYFUNCTION("""COMPUTED_VALUE"""),46171.0)</f>
        <v>46171</v>
      </c>
      <c r="L5151" s="6" t="str">
        <f>IFERROR(__xludf.DUMMYFUNCTION("""COMPUTED_VALUE"""),"FIP Engineering")</f>
        <v>FIP Engineering</v>
      </c>
      <c r="M5151" s="6" t="str">
        <f>IFERROR(__xludf.DUMMYFUNCTION("""COMPUTED_VALUE"""),"Mochammad Fadhillah Hakim,")</f>
        <v>Mochammad Fadhillah Hakim,</v>
      </c>
      <c r="N5151" s="6" t="str">
        <f>IFERROR(__xludf.DUMMYFUNCTION("""COMPUTED_VALUE"""),"FIP Engineering")</f>
        <v>FIP Engineering</v>
      </c>
      <c r="O5151" s="6" t="str">
        <f>IFERROR(__xludf.DUMMYFUNCTION("""COMPUTED_VALUE"""),"FIP-DOM-000-11304-OS00001-INA-000000")</f>
        <v>FIP-DOM-000-11304-OS00001-INA-000000</v>
      </c>
      <c r="P5151" s="6" t="str">
        <f>IFERROR(__xludf.DUMMYFUNCTION("""COMPUTED_VALUE"""),"PO Closed")</f>
        <v>PO Closed</v>
      </c>
      <c r="Q5151" s="6" t="str">
        <f>IFERROR(__xludf.DUMMYFUNCTION("""COMPUTED_VALUE"""),"GL2605322")</f>
        <v>GL2605322</v>
      </c>
      <c r="R5151" s="57">
        <f>IFERROR(__xludf.DUMMYFUNCTION("""COMPUTED_VALUE"""),46136.0)</f>
        <v>46136</v>
      </c>
      <c r="S5151" s="57">
        <f>IFERROR(__xludf.DUMMYFUNCTION("""COMPUTED_VALUE"""),46139.0)</f>
        <v>46139</v>
      </c>
      <c r="T5151" s="57">
        <f>IFERROR(__xludf.DUMMYFUNCTION("""COMPUTED_VALUE"""),46178.0)</f>
        <v>46178</v>
      </c>
    </row>
    <row r="5152">
      <c r="A5152" s="6" t="str">
        <f>IFERROR(__xludf.DUMMYFUNCTION("""COMPUTED_VALUE"""),"121704167-1")</f>
        <v>121704167-1</v>
      </c>
      <c r="B5152" s="6" t="str">
        <f>IFERROR(__xludf.DUMMYFUNCTION("""COMPUTED_VALUE"""),"121704167 - APPROVED")</f>
        <v>121704167 - APPROVED</v>
      </c>
      <c r="C5152" s="6">
        <f>IFERROR(__xludf.DUMMYFUNCTION("""COMPUTED_VALUE"""),1.0)</f>
        <v>1</v>
      </c>
      <c r="D5152" s="6" t="str">
        <f>IFERROR(__xludf.DUMMYFUNCTION("""COMPUTED_VALUE"""),"Q-60405-00")</f>
        <v>Q-60405-00</v>
      </c>
      <c r="E5152" s="6" t="str">
        <f>IFERROR(__xludf.DUMMYFUNCTION("""COMPUTED_VALUE"""),"Cat Durogloss DR-2000; Propan; Type Spiders Web 90YY 73/040; 0,9 L/can")</f>
        <v>Cat Durogloss DR-2000; Propan; Type Spiders Web 90YY 73/040; 0,9 L/can</v>
      </c>
      <c r="F5152" s="6">
        <f>IFERROR(__xludf.DUMMYFUNCTION("""COMPUTED_VALUE"""),5.0)</f>
        <v>5</v>
      </c>
      <c r="G5152" s="6" t="str">
        <f>IFERROR(__xludf.DUMMYFUNCTION("""COMPUTED_VALUE"""),"Can")</f>
        <v>Can</v>
      </c>
      <c r="H5152" s="6" t="str">
        <f>IFERROR(__xludf.DUMMYFUNCTION("""COMPUTED_VALUE"""),"IDR")</f>
        <v>IDR</v>
      </c>
      <c r="I5152" s="6">
        <f>IFERROR(__xludf.DUMMYFUNCTION("""COMPUTED_VALUE"""),95919.0)</f>
        <v>95919</v>
      </c>
      <c r="J5152" s="6">
        <f>IFERROR(__xludf.DUMMYFUNCTION("""COMPUTED_VALUE"""),479595.0)</f>
        <v>479595</v>
      </c>
      <c r="K5152" s="57">
        <f>IFERROR(__xludf.DUMMYFUNCTION("""COMPUTED_VALUE"""),46171.0)</f>
        <v>46171</v>
      </c>
      <c r="L5152" s="6" t="str">
        <f>IFERROR(__xludf.DUMMYFUNCTION("""COMPUTED_VALUE"""),"FIP General")</f>
        <v>FIP General</v>
      </c>
      <c r="M5152" s="6" t="str">
        <f>IFERROR(__xludf.DUMMYFUNCTION("""COMPUTED_VALUE"""),"Mochammad Fadhillah Hakim,")</f>
        <v>Mochammad Fadhillah Hakim,</v>
      </c>
      <c r="N5152" s="6" t="str">
        <f>IFERROR(__xludf.DUMMYFUNCTION("""COMPUTED_VALUE"""),"FIP Engineering")</f>
        <v>FIP Engineering</v>
      </c>
      <c r="O5152" s="6" t="str">
        <f>IFERROR(__xludf.DUMMYFUNCTION("""COMPUTED_VALUE"""),"FIP-DOM-ENG-51402-0000000-INA-000000")</f>
        <v>FIP-DOM-ENG-51402-0000000-INA-000000</v>
      </c>
      <c r="P5152" s="6" t="str">
        <f>IFERROR(__xludf.DUMMYFUNCTION("""COMPUTED_VALUE"""),"PO Closed")</f>
        <v>PO Closed</v>
      </c>
      <c r="Q5152" s="6" t="str">
        <f>IFERROR(__xludf.DUMMYFUNCTION("""COMPUTED_VALUE"""),"GL2605017")</f>
        <v>GL2605017</v>
      </c>
      <c r="R5152" s="57">
        <f>IFERROR(__xludf.DUMMYFUNCTION("""COMPUTED_VALUE"""),46136.0)</f>
        <v>46136</v>
      </c>
      <c r="S5152" s="57">
        <f>IFERROR(__xludf.DUMMYFUNCTION("""COMPUTED_VALUE"""),46139.0)</f>
        <v>46139</v>
      </c>
      <c r="T5152" s="57">
        <f>IFERROR(__xludf.DUMMYFUNCTION("""COMPUTED_VALUE"""),46178.0)</f>
        <v>46178</v>
      </c>
    </row>
    <row r="5153">
      <c r="A5153" s="6" t="str">
        <f>IFERROR(__xludf.DUMMYFUNCTION("""COMPUTED_VALUE"""),"121704168-1")</f>
        <v>121704168-1</v>
      </c>
      <c r="B5153" s="6" t="str">
        <f>IFERROR(__xludf.DUMMYFUNCTION("""COMPUTED_VALUE"""),"121704168 - APPROVED")</f>
        <v>121704168 - APPROVED</v>
      </c>
      <c r="C5153" s="6">
        <f>IFERROR(__xludf.DUMMYFUNCTION("""COMPUTED_VALUE"""),1.0)</f>
        <v>1</v>
      </c>
      <c r="D5153" s="6" t="str">
        <f>IFERROR(__xludf.DUMMYFUNCTION("""COMPUTED_VALUE"""),"P-52662-00")</f>
        <v>P-52662-00</v>
      </c>
      <c r="E5153" s="6" t="str">
        <f>IFERROR(__xludf.DUMMYFUNCTION("""COMPUTED_VALUE"""),"General - Temperature Controller TK4S- 14SN 100-240 VAC; Autonics; -; 1 pc")</f>
        <v>General - Temperature Controller TK4S- 14SN 100-240 VAC; Autonics; -; 1 pc</v>
      </c>
      <c r="F5153" s="6">
        <f>IFERROR(__xludf.DUMMYFUNCTION("""COMPUTED_VALUE"""),1.0)</f>
        <v>1</v>
      </c>
      <c r="G5153" s="6" t="str">
        <f>IFERROR(__xludf.DUMMYFUNCTION("""COMPUTED_VALUE"""),"Pieces")</f>
        <v>Pieces</v>
      </c>
      <c r="H5153" s="6" t="str">
        <f>IFERROR(__xludf.DUMMYFUNCTION("""COMPUTED_VALUE"""),"IDR")</f>
        <v>IDR</v>
      </c>
      <c r="I5153" s="6">
        <f>IFERROR(__xludf.DUMMYFUNCTION("""COMPUTED_VALUE"""),646100.0)</f>
        <v>646100</v>
      </c>
      <c r="J5153" s="6">
        <f>IFERROR(__xludf.DUMMYFUNCTION("""COMPUTED_VALUE"""),646100.0)</f>
        <v>646100</v>
      </c>
      <c r="K5153" s="57">
        <f>IFERROR(__xludf.DUMMYFUNCTION("""COMPUTED_VALUE"""),46171.0)</f>
        <v>46171</v>
      </c>
      <c r="L5153" s="6" t="str">
        <f>IFERROR(__xludf.DUMMYFUNCTION("""COMPUTED_VALUE"""),"FIP Engineering")</f>
        <v>FIP Engineering</v>
      </c>
      <c r="M5153" s="6" t="str">
        <f>IFERROR(__xludf.DUMMYFUNCTION("""COMPUTED_VALUE"""),"Mochammad Fadhillah Hakim,")</f>
        <v>Mochammad Fadhillah Hakim,</v>
      </c>
      <c r="N5153" s="6" t="str">
        <f>IFERROR(__xludf.DUMMYFUNCTION("""COMPUTED_VALUE"""),"FIP Engineering")</f>
        <v>FIP Engineering</v>
      </c>
      <c r="O5153" s="6" t="str">
        <f>IFERROR(__xludf.DUMMYFUNCTION("""COMPUTED_VALUE"""),"FIP-DOM-000-11304-OS00001-INA-000000")</f>
        <v>FIP-DOM-000-11304-OS00001-INA-000000</v>
      </c>
      <c r="P5153" s="6" t="str">
        <f>IFERROR(__xludf.DUMMYFUNCTION("""COMPUTED_VALUE"""),"PO Closed")</f>
        <v>PO Closed</v>
      </c>
      <c r="Q5153" s="6" t="str">
        <f>IFERROR(__xludf.DUMMYFUNCTION("""COMPUTED_VALUE"""),"GL2605020")</f>
        <v>GL2605020</v>
      </c>
      <c r="R5153" s="57">
        <f>IFERROR(__xludf.DUMMYFUNCTION("""COMPUTED_VALUE"""),46136.0)</f>
        <v>46136</v>
      </c>
      <c r="S5153" s="57">
        <f>IFERROR(__xludf.DUMMYFUNCTION("""COMPUTED_VALUE"""),46139.0)</f>
        <v>46139</v>
      </c>
      <c r="T5153" s="57">
        <f>IFERROR(__xludf.DUMMYFUNCTION("""COMPUTED_VALUE"""),46178.0)</f>
        <v>46178</v>
      </c>
    </row>
    <row r="5154">
      <c r="A5154" s="6" t="str">
        <f>IFERROR(__xludf.DUMMYFUNCTION("""COMPUTED_VALUE"""),"121704168-2")</f>
        <v>121704168-2</v>
      </c>
      <c r="B5154" s="6" t="str">
        <f>IFERROR(__xludf.DUMMYFUNCTION("""COMPUTED_VALUE"""),"121704168 - APPROVED")</f>
        <v>121704168 - APPROVED</v>
      </c>
      <c r="C5154" s="6">
        <f>IFERROR(__xludf.DUMMYFUNCTION("""COMPUTED_VALUE"""),2.0)</f>
        <v>2</v>
      </c>
      <c r="D5154" s="6" t="str">
        <f>IFERROR(__xludf.DUMMYFUNCTION("""COMPUTED_VALUE"""),"P-54402-00")</f>
        <v>P-54402-00</v>
      </c>
      <c r="E5154" s="6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F5154" s="6">
        <f>IFERROR(__xludf.DUMMYFUNCTION("""COMPUTED_VALUE"""),1.0)</f>
        <v>1</v>
      </c>
      <c r="G5154" s="6" t="str">
        <f>IFERROR(__xludf.DUMMYFUNCTION("""COMPUTED_VALUE"""),"Pieces")</f>
        <v>Pieces</v>
      </c>
      <c r="H5154" s="6" t="str">
        <f>IFERROR(__xludf.DUMMYFUNCTION("""COMPUTED_VALUE"""),"IDR")</f>
        <v>IDR</v>
      </c>
      <c r="I5154" s="6">
        <f>IFERROR(__xludf.DUMMYFUNCTION("""COMPUTED_VALUE"""),306200.0)</f>
        <v>306200</v>
      </c>
      <c r="J5154" s="6">
        <f>IFERROR(__xludf.DUMMYFUNCTION("""COMPUTED_VALUE"""),306200.0)</f>
        <v>306200</v>
      </c>
      <c r="K5154" s="57">
        <f>IFERROR(__xludf.DUMMYFUNCTION("""COMPUTED_VALUE"""),46171.0)</f>
        <v>46171</v>
      </c>
      <c r="L5154" s="6" t="str">
        <f>IFERROR(__xludf.DUMMYFUNCTION("""COMPUTED_VALUE"""),"FIP Engineering")</f>
        <v>FIP Engineering</v>
      </c>
      <c r="M5154" s="6" t="str">
        <f>IFERROR(__xludf.DUMMYFUNCTION("""COMPUTED_VALUE"""),"Mochammad Fadhillah Hakim,")</f>
        <v>Mochammad Fadhillah Hakim,</v>
      </c>
      <c r="N5154" s="6" t="str">
        <f>IFERROR(__xludf.DUMMYFUNCTION("""COMPUTED_VALUE"""),"FIP Engineering")</f>
        <v>FIP Engineering</v>
      </c>
      <c r="O5154" s="6" t="str">
        <f>IFERROR(__xludf.DUMMYFUNCTION("""COMPUTED_VALUE"""),"FIP-DOM-000-11304-OS00001-INA-000000")</f>
        <v>FIP-DOM-000-11304-OS00001-INA-000000</v>
      </c>
      <c r="P5154" s="6" t="str">
        <f>IFERROR(__xludf.DUMMYFUNCTION("""COMPUTED_VALUE"""),"PO Closed")</f>
        <v>PO Closed</v>
      </c>
      <c r="Q5154" s="6" t="str">
        <f>IFERROR(__xludf.DUMMYFUNCTION("""COMPUTED_VALUE"""),"GL2605020")</f>
        <v>GL2605020</v>
      </c>
      <c r="R5154" s="57">
        <f>IFERROR(__xludf.DUMMYFUNCTION("""COMPUTED_VALUE"""),46136.0)</f>
        <v>46136</v>
      </c>
      <c r="S5154" s="57">
        <f>IFERROR(__xludf.DUMMYFUNCTION("""COMPUTED_VALUE"""),46139.0)</f>
        <v>46139</v>
      </c>
      <c r="T5154" s="57">
        <f>IFERROR(__xludf.DUMMYFUNCTION("""COMPUTED_VALUE"""),46178.0)</f>
        <v>46178</v>
      </c>
    </row>
    <row r="5155">
      <c r="A5155" s="6" t="str">
        <f>IFERROR(__xludf.DUMMYFUNCTION("""COMPUTED_VALUE"""),"121704169-1")</f>
        <v>121704169-1</v>
      </c>
      <c r="B5155" s="6" t="str">
        <f>IFERROR(__xludf.DUMMYFUNCTION("""COMPUTED_VALUE"""),"121704169 - APPROVED")</f>
        <v>121704169 - APPROVED</v>
      </c>
      <c r="C5155" s="6">
        <f>IFERROR(__xludf.DUMMYFUNCTION("""COMPUTED_VALUE"""),1.0)</f>
        <v>1</v>
      </c>
      <c r="D5155" s="6" t="str">
        <f>IFERROR(__xludf.DUMMYFUNCTION("""COMPUTED_VALUE"""),"O-53604-00")</f>
        <v>O-53604-00</v>
      </c>
      <c r="E5155" s="6" t="str">
        <f>IFERROR(__xludf.DUMMYFUNCTION("""COMPUTED_VALUE"""),"Freeze Dryer MBE1207 -  Flow Switch; SMC; IFW510-04-00; 1 pc")</f>
        <v>Freeze Dryer MBE1207 -  Flow Switch; SMC; IFW510-04-00; 1 pc</v>
      </c>
      <c r="F5155" s="6">
        <f>IFERROR(__xludf.DUMMYFUNCTION("""COMPUTED_VALUE"""),2.0)</f>
        <v>2</v>
      </c>
      <c r="G5155" s="6" t="str">
        <f>IFERROR(__xludf.DUMMYFUNCTION("""COMPUTED_VALUE"""),"Pieces")</f>
        <v>Pieces</v>
      </c>
      <c r="H5155" s="6" t="str">
        <f>IFERROR(__xludf.DUMMYFUNCTION("""COMPUTED_VALUE"""),"IDR")</f>
        <v>IDR</v>
      </c>
      <c r="I5155" s="6">
        <f>IFERROR(__xludf.DUMMYFUNCTION("""COMPUTED_VALUE"""),1898000.0)</f>
        <v>1898000</v>
      </c>
      <c r="J5155" s="6">
        <f>IFERROR(__xludf.DUMMYFUNCTION("""COMPUTED_VALUE"""),3796000.0)</f>
        <v>3796000</v>
      </c>
      <c r="K5155" s="57">
        <f>IFERROR(__xludf.DUMMYFUNCTION("""COMPUTED_VALUE"""),46171.0)</f>
        <v>46171</v>
      </c>
      <c r="L5155" s="6" t="str">
        <f>IFERROR(__xludf.DUMMYFUNCTION("""COMPUTED_VALUE"""),"FIP Engineering")</f>
        <v>FIP Engineering</v>
      </c>
      <c r="M5155" s="6" t="str">
        <f>IFERROR(__xludf.DUMMYFUNCTION("""COMPUTED_VALUE"""),"Mochammad Fadhillah Hakim,")</f>
        <v>Mochammad Fadhillah Hakim,</v>
      </c>
      <c r="N5155" s="6" t="str">
        <f>IFERROR(__xludf.DUMMYFUNCTION("""COMPUTED_VALUE"""),"FIP Engineering")</f>
        <v>FIP Engineering</v>
      </c>
      <c r="O5155" s="6" t="str">
        <f>IFERROR(__xludf.DUMMYFUNCTION("""COMPUTED_VALUE"""),"FIP-DOM-000-11304-OS00001-INA-000000")</f>
        <v>FIP-DOM-000-11304-OS00001-INA-000000</v>
      </c>
      <c r="P5155" s="6" t="str">
        <f>IFERROR(__xludf.DUMMYFUNCTION("""COMPUTED_VALUE"""),"PO Closed")</f>
        <v>PO Closed</v>
      </c>
      <c r="Q5155" s="6" t="str">
        <f>IFERROR(__xludf.DUMMYFUNCTION("""COMPUTED_VALUE"""),"GL2605328")</f>
        <v>GL2605328</v>
      </c>
      <c r="R5155" s="57">
        <f>IFERROR(__xludf.DUMMYFUNCTION("""COMPUTED_VALUE"""),46136.0)</f>
        <v>46136</v>
      </c>
      <c r="S5155" s="57">
        <f>IFERROR(__xludf.DUMMYFUNCTION("""COMPUTED_VALUE"""),46139.0)</f>
        <v>46139</v>
      </c>
      <c r="T5155" s="57">
        <f>IFERROR(__xludf.DUMMYFUNCTION("""COMPUTED_VALUE"""),46193.0)</f>
        <v>46193</v>
      </c>
    </row>
    <row r="5156">
      <c r="A5156" s="6" t="str">
        <f>IFERROR(__xludf.DUMMYFUNCTION("""COMPUTED_VALUE"""),"121704169-2")</f>
        <v>121704169-2</v>
      </c>
      <c r="B5156" s="6" t="str">
        <f>IFERROR(__xludf.DUMMYFUNCTION("""COMPUTED_VALUE"""),"121704169 - APPROVED")</f>
        <v>121704169 - APPROVED</v>
      </c>
      <c r="C5156" s="6">
        <f>IFERROR(__xludf.DUMMYFUNCTION("""COMPUTED_VALUE"""),2.0)</f>
        <v>2</v>
      </c>
      <c r="D5156" s="6" t="str">
        <f>IFERROR(__xludf.DUMMYFUNCTION("""COMPUTED_VALUE"""),"O-12733-00")</f>
        <v>O-12733-00</v>
      </c>
      <c r="E5156" s="6" t="str">
        <f>IFERROR(__xludf.DUMMYFUNCTION("""COMPUTED_VALUE"""),"General - TU Polyurethane Tubing, TU1065C-100; SMC Pneumatics; -; 1 roll")</f>
        <v>General - TU Polyurethane Tubing, TU1065C-100; SMC Pneumatics; -; 1 roll</v>
      </c>
      <c r="F5156" s="6">
        <f>IFERROR(__xludf.DUMMYFUNCTION("""COMPUTED_VALUE"""),1.0)</f>
        <v>1</v>
      </c>
      <c r="G5156" s="6" t="str">
        <f>IFERROR(__xludf.DUMMYFUNCTION("""COMPUTED_VALUE"""),"Roll")</f>
        <v>Roll</v>
      </c>
      <c r="H5156" s="6" t="str">
        <f>IFERROR(__xludf.DUMMYFUNCTION("""COMPUTED_VALUE"""),"IDR")</f>
        <v>IDR</v>
      </c>
      <c r="I5156" s="6">
        <f>IFERROR(__xludf.DUMMYFUNCTION("""COMPUTED_VALUE"""),700000.0)</f>
        <v>700000</v>
      </c>
      <c r="J5156" s="6">
        <f>IFERROR(__xludf.DUMMYFUNCTION("""COMPUTED_VALUE"""),700000.0)</f>
        <v>700000</v>
      </c>
      <c r="K5156" s="57">
        <f>IFERROR(__xludf.DUMMYFUNCTION("""COMPUTED_VALUE"""),46171.0)</f>
        <v>46171</v>
      </c>
      <c r="L5156" s="6" t="str">
        <f>IFERROR(__xludf.DUMMYFUNCTION("""COMPUTED_VALUE"""),"FIP General")</f>
        <v>FIP General</v>
      </c>
      <c r="M5156" s="6" t="str">
        <f>IFERROR(__xludf.DUMMYFUNCTION("""COMPUTED_VALUE"""),"Mochammad Fadhillah Hakim,")</f>
        <v>Mochammad Fadhillah Hakim,</v>
      </c>
      <c r="N5156" s="6" t="str">
        <f>IFERROR(__xludf.DUMMYFUNCTION("""COMPUTED_VALUE"""),"FIP Engineering")</f>
        <v>FIP Engineering</v>
      </c>
      <c r="O5156" s="6" t="str">
        <f>IFERROR(__xludf.DUMMYFUNCTION("""COMPUTED_VALUE"""),"FIP-DOM-ENG-51404-0000000-INA-000000")</f>
        <v>FIP-DOM-ENG-51404-0000000-INA-000000</v>
      </c>
      <c r="P5156" s="6" t="str">
        <f>IFERROR(__xludf.DUMMYFUNCTION("""COMPUTED_VALUE"""),"PO Closed")</f>
        <v>PO Closed</v>
      </c>
      <c r="Q5156" s="6" t="str">
        <f>IFERROR(__xludf.DUMMYFUNCTION("""COMPUTED_VALUE"""),"GL2605328")</f>
        <v>GL2605328</v>
      </c>
      <c r="R5156" s="57">
        <f>IFERROR(__xludf.DUMMYFUNCTION("""COMPUTED_VALUE"""),46136.0)</f>
        <v>46136</v>
      </c>
      <c r="S5156" s="57">
        <f>IFERROR(__xludf.DUMMYFUNCTION("""COMPUTED_VALUE"""),46139.0)</f>
        <v>46139</v>
      </c>
      <c r="T5156" s="57">
        <f>IFERROR(__xludf.DUMMYFUNCTION("""COMPUTED_VALUE"""),46173.0)</f>
        <v>46173</v>
      </c>
    </row>
    <row r="5157">
      <c r="A5157" s="6" t="str">
        <f>IFERROR(__xludf.DUMMYFUNCTION("""COMPUTED_VALUE"""),"121704170-1")</f>
        <v>121704170-1</v>
      </c>
      <c r="B5157" s="6" t="str">
        <f>IFERROR(__xludf.DUMMYFUNCTION("""COMPUTED_VALUE"""),"121704170 - APPROVED")</f>
        <v>121704170 - APPROVED</v>
      </c>
      <c r="C5157" s="6">
        <f>IFERROR(__xludf.DUMMYFUNCTION("""COMPUTED_VALUE"""),1.0)</f>
        <v>1</v>
      </c>
      <c r="D5157" s="6" t="str">
        <f>IFERROR(__xludf.DUMMYFUNCTION("""COMPUTED_VALUE"""),"P-15833-00")</f>
        <v>P-15833-00</v>
      </c>
      <c r="E5157" s="6" t="str">
        <f>IFERROR(__xludf.DUMMYFUNCTION("""COMPUTED_VALUE"""),"SMC - Pressure Filter Regulator Manual Drain AW30-03BG-A; ; ;")</f>
        <v>SMC - Pressure Filter Regulator Manual Drain AW30-03BG-A; ; ;</v>
      </c>
      <c r="F5157" s="6">
        <f>IFERROR(__xludf.DUMMYFUNCTION("""COMPUTED_VALUE"""),2.0)</f>
        <v>2</v>
      </c>
      <c r="G5157" s="6" t="str">
        <f>IFERROR(__xludf.DUMMYFUNCTION("""COMPUTED_VALUE"""),"Pieces")</f>
        <v>Pieces</v>
      </c>
      <c r="H5157" s="6" t="str">
        <f>IFERROR(__xludf.DUMMYFUNCTION("""COMPUTED_VALUE"""),"IDR")</f>
        <v>IDR</v>
      </c>
      <c r="I5157" s="6">
        <f>IFERROR(__xludf.DUMMYFUNCTION("""COMPUTED_VALUE"""),943000.0)</f>
        <v>943000</v>
      </c>
      <c r="J5157" s="6">
        <f>IFERROR(__xludf.DUMMYFUNCTION("""COMPUTED_VALUE"""),1886000.0)</f>
        <v>1886000</v>
      </c>
      <c r="K5157" s="57">
        <f>IFERROR(__xludf.DUMMYFUNCTION("""COMPUTED_VALUE"""),46171.0)</f>
        <v>46171</v>
      </c>
      <c r="L5157" s="6" t="str">
        <f>IFERROR(__xludf.DUMMYFUNCTION("""COMPUTED_VALUE"""),"FIP Engineering")</f>
        <v>FIP Engineering</v>
      </c>
      <c r="M5157" s="6" t="str">
        <f>IFERROR(__xludf.DUMMYFUNCTION("""COMPUTED_VALUE"""),"Mochammad Fadhillah Hakim,")</f>
        <v>Mochammad Fadhillah Hakim,</v>
      </c>
      <c r="N5157" s="6" t="str">
        <f>IFERROR(__xludf.DUMMYFUNCTION("""COMPUTED_VALUE"""),"FIP Engineering")</f>
        <v>FIP Engineering</v>
      </c>
      <c r="O5157" s="6" t="str">
        <f>IFERROR(__xludf.DUMMYFUNCTION("""COMPUTED_VALUE"""),"FIP-DOM-000-11304-OS00001-INA-000000")</f>
        <v>FIP-DOM-000-11304-OS00001-INA-000000</v>
      </c>
      <c r="P5157" s="6" t="str">
        <f>IFERROR(__xludf.DUMMYFUNCTION("""COMPUTED_VALUE"""),"PO Closed")</f>
        <v>PO Closed</v>
      </c>
      <c r="Q5157" s="6" t="str">
        <f>IFERROR(__xludf.DUMMYFUNCTION("""COMPUTED_VALUE"""),"GL2605009")</f>
        <v>GL2605009</v>
      </c>
      <c r="R5157" s="57">
        <f>IFERROR(__xludf.DUMMYFUNCTION("""COMPUTED_VALUE"""),46136.0)</f>
        <v>46136</v>
      </c>
      <c r="S5157" s="57">
        <f>IFERROR(__xludf.DUMMYFUNCTION("""COMPUTED_VALUE"""),46139.0)</f>
        <v>46139</v>
      </c>
      <c r="T5157" s="57">
        <f>IFERROR(__xludf.DUMMYFUNCTION("""COMPUTED_VALUE"""),46295.0)</f>
        <v>46295</v>
      </c>
    </row>
    <row r="5158">
      <c r="A5158" s="6" t="str">
        <f>IFERROR(__xludf.DUMMYFUNCTION("""COMPUTED_VALUE"""),"121704175-1")</f>
        <v>121704175-1</v>
      </c>
      <c r="B5158" s="6" t="str">
        <f>IFERROR(__xludf.DUMMYFUNCTION("""COMPUTED_VALUE"""),"121704175 - APPROVED")</f>
        <v>121704175 - APPROVED</v>
      </c>
      <c r="C5158" s="6">
        <f>IFERROR(__xludf.DUMMYFUNCTION("""COMPUTED_VALUE"""),1.0)</f>
        <v>1</v>
      </c>
      <c r="D5158" s="6" t="str">
        <f>IFERROR(__xludf.DUMMYFUNCTION("""COMPUTED_VALUE"""),"O-54006-00")</f>
        <v>O-54006-00</v>
      </c>
      <c r="E5158" s="6" t="str">
        <f>IFERROR(__xludf.DUMMYFUNCTION("""COMPUTED_VALUE"""),"General - MCB 1 PHASE 10 AMPERE; Schneider; -; 1 Pc")</f>
        <v>General - MCB 1 PHASE 10 AMPERE; Schneider; -; 1 Pc</v>
      </c>
      <c r="F5158" s="6">
        <f>IFERROR(__xludf.DUMMYFUNCTION("""COMPUTED_VALUE"""),1.0)</f>
        <v>1</v>
      </c>
      <c r="G5158" s="6" t="str">
        <f>IFERROR(__xludf.DUMMYFUNCTION("""COMPUTED_VALUE"""),"Pieces")</f>
        <v>Pieces</v>
      </c>
      <c r="H5158" s="6" t="str">
        <f>IFERROR(__xludf.DUMMYFUNCTION("""COMPUTED_VALUE"""),"IDR")</f>
        <v>IDR</v>
      </c>
      <c r="I5158" s="6">
        <f>IFERROR(__xludf.DUMMYFUNCTION("""COMPUTED_VALUE"""),200000.0)</f>
        <v>200000</v>
      </c>
      <c r="J5158" s="6">
        <f>IFERROR(__xludf.DUMMYFUNCTION("""COMPUTED_VALUE"""),200000.0)</f>
        <v>200000</v>
      </c>
      <c r="K5158" s="57">
        <f>IFERROR(__xludf.DUMMYFUNCTION("""COMPUTED_VALUE"""),46141.0)</f>
        <v>46141</v>
      </c>
      <c r="L5158" s="6" t="str">
        <f>IFERROR(__xludf.DUMMYFUNCTION("""COMPUTED_VALUE"""),"FIP Engineering")</f>
        <v>FIP Engineering</v>
      </c>
      <c r="M5158" s="6" t="str">
        <f>IFERROR(__xludf.DUMMYFUNCTION("""COMPUTED_VALUE"""),"Mochammad Fadhillah Hakim,")</f>
        <v>Mochammad Fadhillah Hakim,</v>
      </c>
      <c r="N5158" s="6" t="str">
        <f>IFERROR(__xludf.DUMMYFUNCTION("""COMPUTED_VALUE"""),"FIP Engineering")</f>
        <v>FIP Engineering</v>
      </c>
      <c r="O5158" s="6" t="str">
        <f>IFERROR(__xludf.DUMMYFUNCTION("""COMPUTED_VALUE"""),"FIP-DOM-000-11304-OS00001-INA-000000")</f>
        <v>FIP-DOM-000-11304-OS00001-INA-000000</v>
      </c>
      <c r="P5158" s="6" t="str">
        <f>IFERROR(__xludf.DUMMYFUNCTION("""COMPUTED_VALUE"""),"PO Closed")</f>
        <v>PO Closed</v>
      </c>
      <c r="Q5158" s="6" t="str">
        <f>IFERROR(__xludf.DUMMYFUNCTION("""COMPUTED_VALUE"""),"GL2605331")</f>
        <v>GL2605331</v>
      </c>
      <c r="R5158" s="57">
        <f>IFERROR(__xludf.DUMMYFUNCTION("""COMPUTED_VALUE"""),46139.0)</f>
        <v>46139</v>
      </c>
      <c r="S5158" s="57">
        <f>IFERROR(__xludf.DUMMYFUNCTION("""COMPUTED_VALUE"""),46139.0)</f>
        <v>46139</v>
      </c>
      <c r="T5158" s="57">
        <f>IFERROR(__xludf.DUMMYFUNCTION("""COMPUTED_VALUE"""),46178.0)</f>
        <v>46178</v>
      </c>
    </row>
    <row r="5159">
      <c r="A5159" s="6" t="str">
        <f>IFERROR(__xludf.DUMMYFUNCTION("""COMPUTED_VALUE"""),"121704176-1")</f>
        <v>121704176-1</v>
      </c>
      <c r="B5159" s="6" t="str">
        <f>IFERROR(__xludf.DUMMYFUNCTION("""COMPUTED_VALUE"""),"121704176 - APPROVED")</f>
        <v>121704176 - APPROVED</v>
      </c>
      <c r="C5159" s="6">
        <f>IFERROR(__xludf.DUMMYFUNCTION("""COMPUTED_VALUE"""),1.0)</f>
        <v>1</v>
      </c>
      <c r="D5159" s="6" t="str">
        <f>IFERROR(__xludf.DUMMYFUNCTION("""COMPUTED_VALUE"""),"P-14407-00")</f>
        <v>P-14407-00</v>
      </c>
      <c r="E5159" s="6" t="str">
        <f>IFERROR(__xludf.DUMMYFUNCTION("""COMPUTED_VALUE"""),"General - Gate Valve 1/2inch; Kitz; -; 1 pc")</f>
        <v>General - Gate Valve 1/2inch; Kitz; -; 1 pc</v>
      </c>
      <c r="F5159" s="6">
        <f>IFERROR(__xludf.DUMMYFUNCTION("""COMPUTED_VALUE"""),3.0)</f>
        <v>3</v>
      </c>
      <c r="G5159" s="6" t="str">
        <f>IFERROR(__xludf.DUMMYFUNCTION("""COMPUTED_VALUE"""),"Pieces")</f>
        <v>Pieces</v>
      </c>
      <c r="H5159" s="6" t="str">
        <f>IFERROR(__xludf.DUMMYFUNCTION("""COMPUTED_VALUE"""),"IDR")</f>
        <v>IDR</v>
      </c>
      <c r="I5159" s="6">
        <f>IFERROR(__xludf.DUMMYFUNCTION("""COMPUTED_VALUE"""),223500.0)</f>
        <v>223500</v>
      </c>
      <c r="J5159" s="6">
        <f>IFERROR(__xludf.DUMMYFUNCTION("""COMPUTED_VALUE"""),670500.0)</f>
        <v>670500</v>
      </c>
      <c r="K5159" s="57">
        <f>IFERROR(__xludf.DUMMYFUNCTION("""COMPUTED_VALUE"""),46171.0)</f>
        <v>46171</v>
      </c>
      <c r="L5159" s="6" t="str">
        <f>IFERROR(__xludf.DUMMYFUNCTION("""COMPUTED_VALUE"""),"FIP Engineering")</f>
        <v>FIP Engineering</v>
      </c>
      <c r="M5159" s="6" t="str">
        <f>IFERROR(__xludf.DUMMYFUNCTION("""COMPUTED_VALUE"""),"Mochammad Fadhillah Hakim,")</f>
        <v>Mochammad Fadhillah Hakim,</v>
      </c>
      <c r="N5159" s="6" t="str">
        <f>IFERROR(__xludf.DUMMYFUNCTION("""COMPUTED_VALUE"""),"FIP Engineering")</f>
        <v>FIP Engineering</v>
      </c>
      <c r="O5159" s="6" t="str">
        <f>IFERROR(__xludf.DUMMYFUNCTION("""COMPUTED_VALUE"""),"FIP-DOM-000-11304-OS00001-INA-000000")</f>
        <v>FIP-DOM-000-11304-OS00001-INA-000000</v>
      </c>
      <c r="P5159" s="6" t="str">
        <f>IFERROR(__xludf.DUMMYFUNCTION("""COMPUTED_VALUE"""),"PO Closed")</f>
        <v>PO Closed</v>
      </c>
      <c r="Q5159" s="6" t="str">
        <f>IFERROR(__xludf.DUMMYFUNCTION("""COMPUTED_VALUE"""),"GL2605322")</f>
        <v>GL2605322</v>
      </c>
      <c r="R5159" s="57">
        <f>IFERROR(__xludf.DUMMYFUNCTION("""COMPUTED_VALUE"""),46139.0)</f>
        <v>46139</v>
      </c>
      <c r="S5159" s="57">
        <f>IFERROR(__xludf.DUMMYFUNCTION("""COMPUTED_VALUE"""),46139.0)</f>
        <v>46139</v>
      </c>
      <c r="T5159" s="57">
        <f>IFERROR(__xludf.DUMMYFUNCTION("""COMPUTED_VALUE"""),46178.0)</f>
        <v>46178</v>
      </c>
    </row>
    <row r="5160">
      <c r="A5160" s="6" t="str">
        <f>IFERROR(__xludf.DUMMYFUNCTION("""COMPUTED_VALUE"""),"121704176-2")</f>
        <v>121704176-2</v>
      </c>
      <c r="B5160" s="6" t="str">
        <f>IFERROR(__xludf.DUMMYFUNCTION("""COMPUTED_VALUE"""),"121704176 - APPROVED")</f>
        <v>121704176 - APPROVED</v>
      </c>
      <c r="C5160" s="6">
        <f>IFERROR(__xludf.DUMMYFUNCTION("""COMPUTED_VALUE"""),2.0)</f>
        <v>2</v>
      </c>
      <c r="D5160" s="6" t="str">
        <f>IFERROR(__xludf.DUMMYFUNCTION("""COMPUTED_VALUE"""),"P-19233-00")</f>
        <v>P-19233-00</v>
      </c>
      <c r="E5160" s="6" t="str">
        <f>IFERROR(__xludf.DUMMYFUNCTION("""COMPUTED_VALUE"""),"General - Fitting QS 1/2 x 8 mm; EMC; -; 1 pc")</f>
        <v>General - Fitting QS 1/2 x 8 mm; EMC; -; 1 pc</v>
      </c>
      <c r="F5160" s="6">
        <f>IFERROR(__xludf.DUMMYFUNCTION("""COMPUTED_VALUE"""),5.0)</f>
        <v>5</v>
      </c>
      <c r="G5160" s="6" t="str">
        <f>IFERROR(__xludf.DUMMYFUNCTION("""COMPUTED_VALUE"""),"Pieces")</f>
        <v>Pieces</v>
      </c>
      <c r="H5160" s="6" t="str">
        <f>IFERROR(__xludf.DUMMYFUNCTION("""COMPUTED_VALUE"""),"IDR")</f>
        <v>IDR</v>
      </c>
      <c r="I5160" s="6">
        <f>IFERROR(__xludf.DUMMYFUNCTION("""COMPUTED_VALUE"""),23500.0)</f>
        <v>23500</v>
      </c>
      <c r="J5160" s="6">
        <f>IFERROR(__xludf.DUMMYFUNCTION("""COMPUTED_VALUE"""),117500.0)</f>
        <v>117500</v>
      </c>
      <c r="K5160" s="57">
        <f>IFERROR(__xludf.DUMMYFUNCTION("""COMPUTED_VALUE"""),46171.0)</f>
        <v>46171</v>
      </c>
      <c r="L5160" s="6" t="str">
        <f>IFERROR(__xludf.DUMMYFUNCTION("""COMPUTED_VALUE"""),"FIP Engineering")</f>
        <v>FIP Engineering</v>
      </c>
      <c r="M5160" s="6" t="str">
        <f>IFERROR(__xludf.DUMMYFUNCTION("""COMPUTED_VALUE"""),"Mochammad Fadhillah Hakim,")</f>
        <v>Mochammad Fadhillah Hakim,</v>
      </c>
      <c r="N5160" s="6" t="str">
        <f>IFERROR(__xludf.DUMMYFUNCTION("""COMPUTED_VALUE"""),"FIP Engineering")</f>
        <v>FIP Engineering</v>
      </c>
      <c r="O5160" s="6" t="str">
        <f>IFERROR(__xludf.DUMMYFUNCTION("""COMPUTED_VALUE"""),"FIP-DOM-000-11304-OS00001-INA-000000")</f>
        <v>FIP-DOM-000-11304-OS00001-INA-000000</v>
      </c>
      <c r="P5160" s="6" t="str">
        <f>IFERROR(__xludf.DUMMYFUNCTION("""COMPUTED_VALUE"""),"PO Closed")</f>
        <v>PO Closed</v>
      </c>
      <c r="Q5160" s="6" t="str">
        <f>IFERROR(__xludf.DUMMYFUNCTION("""COMPUTED_VALUE"""),"GL2605325")</f>
        <v>GL2605325</v>
      </c>
      <c r="R5160" s="57">
        <f>IFERROR(__xludf.DUMMYFUNCTION("""COMPUTED_VALUE"""),46139.0)</f>
        <v>46139</v>
      </c>
      <c r="S5160" s="57">
        <f>IFERROR(__xludf.DUMMYFUNCTION("""COMPUTED_VALUE"""),46139.0)</f>
        <v>46139</v>
      </c>
      <c r="T5160" s="57">
        <f>IFERROR(__xludf.DUMMYFUNCTION("""COMPUTED_VALUE"""),46172.0)</f>
        <v>46172</v>
      </c>
    </row>
    <row r="5161">
      <c r="A5161" s="6" t="str">
        <f>IFERROR(__xludf.DUMMYFUNCTION("""COMPUTED_VALUE"""),"121704176-3")</f>
        <v>121704176-3</v>
      </c>
      <c r="B5161" s="6" t="str">
        <f>IFERROR(__xludf.DUMMYFUNCTION("""COMPUTED_VALUE"""),"121704176 - APPROVED")</f>
        <v>121704176 - APPROVED</v>
      </c>
      <c r="C5161" s="6">
        <f>IFERROR(__xludf.DUMMYFUNCTION("""COMPUTED_VALUE"""),3.0)</f>
        <v>3</v>
      </c>
      <c r="D5161" s="6" t="str">
        <f>IFERROR(__xludf.DUMMYFUNCTION("""COMPUTED_VALUE"""),"P-19908-00")</f>
        <v>P-19908-00</v>
      </c>
      <c r="E5161" s="6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F5161" s="6">
        <f>IFERROR(__xludf.DUMMYFUNCTION("""COMPUTED_VALUE"""),1.0)</f>
        <v>1</v>
      </c>
      <c r="G5161" s="6" t="str">
        <f>IFERROR(__xludf.DUMMYFUNCTION("""COMPUTED_VALUE"""),"Set")</f>
        <v>Set</v>
      </c>
      <c r="H5161" s="6" t="str">
        <f>IFERROR(__xludf.DUMMYFUNCTION("""COMPUTED_VALUE"""),"IDR")</f>
        <v>IDR</v>
      </c>
      <c r="I5161" s="6">
        <f>IFERROR(__xludf.DUMMYFUNCTION("""COMPUTED_VALUE"""),354050.0)</f>
        <v>354050</v>
      </c>
      <c r="J5161" s="6">
        <f>IFERROR(__xludf.DUMMYFUNCTION("""COMPUTED_VALUE"""),354050.0)</f>
        <v>354050</v>
      </c>
      <c r="K5161" s="57">
        <f>IFERROR(__xludf.DUMMYFUNCTION("""COMPUTED_VALUE"""),46171.0)</f>
        <v>46171</v>
      </c>
      <c r="L5161" s="6" t="str">
        <f>IFERROR(__xludf.DUMMYFUNCTION("""COMPUTED_VALUE"""),"FIP General")</f>
        <v>FIP General</v>
      </c>
      <c r="M5161" s="6" t="str">
        <f>IFERROR(__xludf.DUMMYFUNCTION("""COMPUTED_VALUE"""),"Mochammad Fadhillah Hakim,")</f>
        <v>Mochammad Fadhillah Hakim,</v>
      </c>
      <c r="N5161" s="6" t="str">
        <f>IFERROR(__xludf.DUMMYFUNCTION("""COMPUTED_VALUE"""),"FIP Engineering")</f>
        <v>FIP Engineering</v>
      </c>
      <c r="O5161" s="6" t="str">
        <f>IFERROR(__xludf.DUMMYFUNCTION("""COMPUTED_VALUE"""),"FIP-DOM-ENG-51404-0000000-INA-000000")</f>
        <v>FIP-DOM-ENG-51404-0000000-INA-000000</v>
      </c>
      <c r="P5161" s="6" t="str">
        <f>IFERROR(__xludf.DUMMYFUNCTION("""COMPUTED_VALUE"""),"PO Closed")</f>
        <v>PO Closed</v>
      </c>
      <c r="Q5161" s="6" t="str">
        <f>IFERROR(__xludf.DUMMYFUNCTION("""COMPUTED_VALUE"""),"GL2605325")</f>
        <v>GL2605325</v>
      </c>
      <c r="R5161" s="57">
        <f>IFERROR(__xludf.DUMMYFUNCTION("""COMPUTED_VALUE"""),46139.0)</f>
        <v>46139</v>
      </c>
      <c r="S5161" s="57">
        <f>IFERROR(__xludf.DUMMYFUNCTION("""COMPUTED_VALUE"""),46139.0)</f>
        <v>46139</v>
      </c>
      <c r="T5161" s="57">
        <f>IFERROR(__xludf.DUMMYFUNCTION("""COMPUTED_VALUE"""),46172.0)</f>
        <v>46172</v>
      </c>
    </row>
    <row r="5162">
      <c r="A5162" s="6" t="str">
        <f>IFERROR(__xludf.DUMMYFUNCTION("""COMPUTED_VALUE"""),"121704176-4")</f>
        <v>121704176-4</v>
      </c>
      <c r="B5162" s="6" t="str">
        <f>IFERROR(__xludf.DUMMYFUNCTION("""COMPUTED_VALUE"""),"121704176 - APPROVED")</f>
        <v>121704176 - APPROVED</v>
      </c>
      <c r="C5162" s="6">
        <f>IFERROR(__xludf.DUMMYFUNCTION("""COMPUTED_VALUE"""),4.0)</f>
        <v>4</v>
      </c>
      <c r="D5162" s="6" t="str">
        <f>IFERROR(__xludf.DUMMYFUNCTION("""COMPUTED_VALUE"""),"P-50286-00")</f>
        <v>P-50286-00</v>
      </c>
      <c r="E5162" s="6" t="str">
        <f>IFERROR(__xludf.DUMMYFUNCTION("""COMPUTED_VALUE"""),"General - Kabel NYYHY 3 x 1.5mm; SUPREME; -; 1 meter")</f>
        <v>General - Kabel NYYHY 3 x 1.5mm; SUPREME; -; 1 meter</v>
      </c>
      <c r="F5162" s="6">
        <f>IFERROR(__xludf.DUMMYFUNCTION("""COMPUTED_VALUE"""),100.0)</f>
        <v>100</v>
      </c>
      <c r="G5162" s="6" t="str">
        <f>IFERROR(__xludf.DUMMYFUNCTION("""COMPUTED_VALUE"""),"Pieces")</f>
        <v>Pieces</v>
      </c>
      <c r="H5162" s="6" t="str">
        <f>IFERROR(__xludf.DUMMYFUNCTION("""COMPUTED_VALUE"""),"IDR")</f>
        <v>IDR</v>
      </c>
      <c r="I5162" s="6">
        <f>IFERROR(__xludf.DUMMYFUNCTION("""COMPUTED_VALUE"""),16000.0)</f>
        <v>16000</v>
      </c>
      <c r="J5162" s="6">
        <f>IFERROR(__xludf.DUMMYFUNCTION("""COMPUTED_VALUE"""),1600000.0)</f>
        <v>1600000</v>
      </c>
      <c r="K5162" s="57">
        <f>IFERROR(__xludf.DUMMYFUNCTION("""COMPUTED_VALUE"""),46171.0)</f>
        <v>46171</v>
      </c>
      <c r="L5162" s="6" t="str">
        <f>IFERROR(__xludf.DUMMYFUNCTION("""COMPUTED_VALUE"""),"FIP Engineering")</f>
        <v>FIP Engineering</v>
      </c>
      <c r="M5162" s="6" t="str">
        <f>IFERROR(__xludf.DUMMYFUNCTION("""COMPUTED_VALUE"""),"Mochammad Fadhillah Hakim,")</f>
        <v>Mochammad Fadhillah Hakim,</v>
      </c>
      <c r="N5162" s="6" t="str">
        <f>IFERROR(__xludf.DUMMYFUNCTION("""COMPUTED_VALUE"""),"FIP Engineering")</f>
        <v>FIP Engineering</v>
      </c>
      <c r="O5162" s="6" t="str">
        <f>IFERROR(__xludf.DUMMYFUNCTION("""COMPUTED_VALUE"""),"FIP-DOM-000-11304-OS00001-INA-000000")</f>
        <v>FIP-DOM-000-11304-OS00001-INA-000000</v>
      </c>
      <c r="P5162" s="6" t="str">
        <f>IFERROR(__xludf.DUMMYFUNCTION("""COMPUTED_VALUE"""),"PO Closed")</f>
        <v>PO Closed</v>
      </c>
      <c r="Q5162" s="6" t="str">
        <f>IFERROR(__xludf.DUMMYFUNCTION("""COMPUTED_VALUE"""),"GL2605332")</f>
        <v>GL2605332</v>
      </c>
      <c r="R5162" s="57">
        <f>IFERROR(__xludf.DUMMYFUNCTION("""COMPUTED_VALUE"""),46139.0)</f>
        <v>46139</v>
      </c>
      <c r="S5162" s="57">
        <f>IFERROR(__xludf.DUMMYFUNCTION("""COMPUTED_VALUE"""),46139.0)</f>
        <v>46139</v>
      </c>
      <c r="T5162" s="57">
        <f>IFERROR(__xludf.DUMMYFUNCTION("""COMPUTED_VALUE"""),46178.0)</f>
        <v>46178</v>
      </c>
    </row>
    <row r="5163">
      <c r="A5163" s="6" t="str">
        <f>IFERROR(__xludf.DUMMYFUNCTION("""COMPUTED_VALUE"""),"121704177-1")</f>
        <v>121704177-1</v>
      </c>
      <c r="B5163" s="6" t="str">
        <f>IFERROR(__xludf.DUMMYFUNCTION("""COMPUTED_VALUE"""),"121704177 - APPROVED")</f>
        <v>121704177 - APPROVED</v>
      </c>
      <c r="C5163" s="6">
        <f>IFERROR(__xludf.DUMMYFUNCTION("""COMPUTED_VALUE"""),1.0)</f>
        <v>1</v>
      </c>
      <c r="D5163" s="6" t="str">
        <f>IFERROR(__xludf.DUMMYFUNCTION("""COMPUTED_VALUE"""),"Q-10154-00")</f>
        <v>Q-10154-00</v>
      </c>
      <c r="E5163" s="6" t="str">
        <f>IFERROR(__xludf.DUMMYFUNCTION("""COMPUTED_VALUE"""),"Kuas Cat Roller uk. 230 mm;No Brand;;pack size per set")</f>
        <v>Kuas Cat Roller uk. 230 mm;No Brand;;pack size per set</v>
      </c>
      <c r="F5163" s="6">
        <f>IFERROR(__xludf.DUMMYFUNCTION("""COMPUTED_VALUE"""),10.0)</f>
        <v>10</v>
      </c>
      <c r="G5163" s="6" t="str">
        <f>IFERROR(__xludf.DUMMYFUNCTION("""COMPUTED_VALUE"""),"Pieces")</f>
        <v>Pieces</v>
      </c>
      <c r="H5163" s="6" t="str">
        <f>IFERROR(__xludf.DUMMYFUNCTION("""COMPUTED_VALUE"""),"IDR")</f>
        <v>IDR</v>
      </c>
      <c r="I5163" s="6">
        <f>IFERROR(__xludf.DUMMYFUNCTION("""COMPUTED_VALUE"""),35000.0)</f>
        <v>35000</v>
      </c>
      <c r="J5163" s="6">
        <f>IFERROR(__xludf.DUMMYFUNCTION("""COMPUTED_VALUE"""),350000.0)</f>
        <v>350000</v>
      </c>
      <c r="K5163" s="57">
        <f>IFERROR(__xludf.DUMMYFUNCTION("""COMPUTED_VALUE"""),46171.0)</f>
        <v>46171</v>
      </c>
      <c r="L5163" s="6" t="str">
        <f>IFERROR(__xludf.DUMMYFUNCTION("""COMPUTED_VALUE"""),"FIP Engineering")</f>
        <v>FIP Engineering</v>
      </c>
      <c r="M5163" s="6" t="str">
        <f>IFERROR(__xludf.DUMMYFUNCTION("""COMPUTED_VALUE"""),"Mochammad Fadhillah Hakim,")</f>
        <v>Mochammad Fadhillah Hakim,</v>
      </c>
      <c r="N5163" s="6" t="str">
        <f>IFERROR(__xludf.DUMMYFUNCTION("""COMPUTED_VALUE"""),"FIP Engineering")</f>
        <v>FIP Engineering</v>
      </c>
      <c r="O5163" s="6" t="str">
        <f>IFERROR(__xludf.DUMMYFUNCTION("""COMPUTED_VALUE"""),"FIP-DOM-000-11304-OS00001-INA-000000")</f>
        <v>FIP-DOM-000-11304-OS00001-INA-000000</v>
      </c>
      <c r="P5163" s="6" t="str">
        <f>IFERROR(__xludf.DUMMYFUNCTION("""COMPUTED_VALUE"""),"PO Closed")</f>
        <v>PO Closed</v>
      </c>
      <c r="Q5163" s="6" t="str">
        <f>IFERROR(__xludf.DUMMYFUNCTION("""COMPUTED_VALUE"""),"GL2605026")</f>
        <v>GL2605026</v>
      </c>
      <c r="R5163" s="57">
        <f>IFERROR(__xludf.DUMMYFUNCTION("""COMPUTED_VALUE"""),46139.0)</f>
        <v>46139</v>
      </c>
      <c r="S5163" s="57">
        <f>IFERROR(__xludf.DUMMYFUNCTION("""COMPUTED_VALUE"""),46139.0)</f>
        <v>46139</v>
      </c>
      <c r="T5163" s="57">
        <f>IFERROR(__xludf.DUMMYFUNCTION("""COMPUTED_VALUE"""),46178.0)</f>
        <v>46178</v>
      </c>
    </row>
    <row r="5164">
      <c r="A5164" s="6" t="str">
        <f>IFERROR(__xludf.DUMMYFUNCTION("""COMPUTED_VALUE"""),"121704177-2")</f>
        <v>121704177-2</v>
      </c>
      <c r="B5164" s="6" t="str">
        <f>IFERROR(__xludf.DUMMYFUNCTION("""COMPUTED_VALUE"""),"121704177 - APPROVED")</f>
        <v>121704177 - APPROVED</v>
      </c>
      <c r="C5164" s="6">
        <f>IFERROR(__xludf.DUMMYFUNCTION("""COMPUTED_VALUE"""),2.0)</f>
        <v>2</v>
      </c>
      <c r="D5164" s="6" t="str">
        <f>IFERROR(__xludf.DUMMYFUNCTION("""COMPUTED_VALUE"""),"Q-10510-00")</f>
        <v>Q-10510-00</v>
      </c>
      <c r="E5164" s="6" t="str">
        <f>IFERROR(__xludf.DUMMYFUNCTION("""COMPUTED_VALUE"""),"Junction Box Plastik 12x12x10 cm; ; ;")</f>
        <v>Junction Box Plastik 12x12x10 cm; ; ;</v>
      </c>
      <c r="F5164" s="6">
        <f>IFERROR(__xludf.DUMMYFUNCTION("""COMPUTED_VALUE"""),1.0)</f>
        <v>1</v>
      </c>
      <c r="G5164" s="6" t="str">
        <f>IFERROR(__xludf.DUMMYFUNCTION("""COMPUTED_VALUE"""),"Pieces")</f>
        <v>Pieces</v>
      </c>
      <c r="H5164" s="6" t="str">
        <f>IFERROR(__xludf.DUMMYFUNCTION("""COMPUTED_VALUE"""),"IDR")</f>
        <v>IDR</v>
      </c>
      <c r="I5164" s="6">
        <f>IFERROR(__xludf.DUMMYFUNCTION("""COMPUTED_VALUE"""),133600.0)</f>
        <v>133600</v>
      </c>
      <c r="J5164" s="6">
        <f>IFERROR(__xludf.DUMMYFUNCTION("""COMPUTED_VALUE"""),133600.0)</f>
        <v>133600</v>
      </c>
      <c r="K5164" s="57">
        <f>IFERROR(__xludf.DUMMYFUNCTION("""COMPUTED_VALUE"""),46171.0)</f>
        <v>46171</v>
      </c>
      <c r="L5164" s="6" t="str">
        <f>IFERROR(__xludf.DUMMYFUNCTION("""COMPUTED_VALUE"""),"FIP General")</f>
        <v>FIP General</v>
      </c>
      <c r="M5164" s="6" t="str">
        <f>IFERROR(__xludf.DUMMYFUNCTION("""COMPUTED_VALUE"""),"Mochammad Fadhillah Hakim,")</f>
        <v>Mochammad Fadhillah Hakim,</v>
      </c>
      <c r="N5164" s="6" t="str">
        <f>IFERROR(__xludf.DUMMYFUNCTION("""COMPUTED_VALUE"""),"FIP Engineering")</f>
        <v>FIP Engineering</v>
      </c>
      <c r="O5164" s="6" t="str">
        <f>IFERROR(__xludf.DUMMYFUNCTION("""COMPUTED_VALUE"""),"FIP-DOM-ENG-51502-0000000-INA-000000")</f>
        <v>FIP-DOM-ENG-51502-0000000-INA-000000</v>
      </c>
      <c r="P5164" s="6" t="str">
        <f>IFERROR(__xludf.DUMMYFUNCTION("""COMPUTED_VALUE"""),"PO Closed")</f>
        <v>PO Closed</v>
      </c>
      <c r="Q5164" s="6" t="str">
        <f>IFERROR(__xludf.DUMMYFUNCTION("""COMPUTED_VALUE"""),"GL2605018")</f>
        <v>GL2605018</v>
      </c>
      <c r="R5164" s="57">
        <f>IFERROR(__xludf.DUMMYFUNCTION("""COMPUTED_VALUE"""),46139.0)</f>
        <v>46139</v>
      </c>
      <c r="S5164" s="57">
        <f>IFERROR(__xludf.DUMMYFUNCTION("""COMPUTED_VALUE"""),46139.0)</f>
        <v>46139</v>
      </c>
      <c r="T5164" s="57">
        <f>IFERROR(__xludf.DUMMYFUNCTION("""COMPUTED_VALUE"""),46178.0)</f>
        <v>46178</v>
      </c>
    </row>
    <row r="5165">
      <c r="A5165" s="6" t="str">
        <f>IFERROR(__xludf.DUMMYFUNCTION("""COMPUTED_VALUE"""),"121704177-3")</f>
        <v>121704177-3</v>
      </c>
      <c r="B5165" s="6" t="str">
        <f>IFERROR(__xludf.DUMMYFUNCTION("""COMPUTED_VALUE"""),"121704177 - APPROVED")</f>
        <v>121704177 - APPROVED</v>
      </c>
      <c r="C5165" s="6">
        <f>IFERROR(__xludf.DUMMYFUNCTION("""COMPUTED_VALUE"""),3.0)</f>
        <v>3</v>
      </c>
      <c r="D5165" s="6" t="str">
        <f>IFERROR(__xludf.DUMMYFUNCTION("""COMPUTED_VALUE"""),"Q-10724-00")</f>
        <v>Q-10724-00</v>
      </c>
      <c r="E5165" s="6" t="str">
        <f>IFERROR(__xludf.DUMMYFUNCTION("""COMPUTED_VALUE"""),"Semen MU 301 Plester Plus; ; ;")</f>
        <v>Semen MU 301 Plester Plus; ; ;</v>
      </c>
      <c r="F5165" s="6">
        <f>IFERROR(__xludf.DUMMYFUNCTION("""COMPUTED_VALUE"""),40.0)</f>
        <v>40</v>
      </c>
      <c r="G5165" s="6" t="str">
        <f>IFERROR(__xludf.DUMMYFUNCTION("""COMPUTED_VALUE"""),"Unit")</f>
        <v>Unit</v>
      </c>
      <c r="H5165" s="6" t="str">
        <f>IFERROR(__xludf.DUMMYFUNCTION("""COMPUTED_VALUE"""),"IDR")</f>
        <v>IDR</v>
      </c>
      <c r="I5165" s="6">
        <f>IFERROR(__xludf.DUMMYFUNCTION("""COMPUTED_VALUE"""),111550.0)</f>
        <v>111550</v>
      </c>
      <c r="J5165" s="6">
        <f>IFERROR(__xludf.DUMMYFUNCTION("""COMPUTED_VALUE"""),4462000.0)</f>
        <v>4462000</v>
      </c>
      <c r="K5165" s="57">
        <f>IFERROR(__xludf.DUMMYFUNCTION("""COMPUTED_VALUE"""),46171.0)</f>
        <v>46171</v>
      </c>
      <c r="L5165" s="6" t="str">
        <f>IFERROR(__xludf.DUMMYFUNCTION("""COMPUTED_VALUE"""),"FIP Engineering")</f>
        <v>FIP Engineering</v>
      </c>
      <c r="M5165" s="6" t="str">
        <f>IFERROR(__xludf.DUMMYFUNCTION("""COMPUTED_VALUE"""),"Mochammad Fadhillah Hakim,")</f>
        <v>Mochammad Fadhillah Hakim,</v>
      </c>
      <c r="N5165" s="6" t="str">
        <f>IFERROR(__xludf.DUMMYFUNCTION("""COMPUTED_VALUE"""),"FIP Engineering")</f>
        <v>FIP Engineering</v>
      </c>
      <c r="O5165" s="6" t="str">
        <f>IFERROR(__xludf.DUMMYFUNCTION("""COMPUTED_VALUE"""),"FIP-DOM-000-11304-OS00001-INA-000000")</f>
        <v>FIP-DOM-000-11304-OS00001-INA-000000</v>
      </c>
      <c r="P5165" s="6" t="str">
        <f>IFERROR(__xludf.DUMMYFUNCTION("""COMPUTED_VALUE"""),"PO Closed")</f>
        <v>PO Closed</v>
      </c>
      <c r="Q5165" s="6"/>
      <c r="R5165" s="57">
        <f>IFERROR(__xludf.DUMMYFUNCTION("""COMPUTED_VALUE"""),46139.0)</f>
        <v>46139</v>
      </c>
      <c r="S5165" s="57">
        <f>IFERROR(__xludf.DUMMYFUNCTION("""COMPUTED_VALUE"""),46139.0)</f>
        <v>46139</v>
      </c>
      <c r="T5165" s="57">
        <f>IFERROR(__xludf.DUMMYFUNCTION("""COMPUTED_VALUE"""),46178.0)</f>
        <v>46178</v>
      </c>
    </row>
    <row r="5166">
      <c r="A5166" s="6" t="str">
        <f>IFERROR(__xludf.DUMMYFUNCTION("""COMPUTED_VALUE"""),"121704177-4")</f>
        <v>121704177-4</v>
      </c>
      <c r="B5166" s="6" t="str">
        <f>IFERROR(__xludf.DUMMYFUNCTION("""COMPUTED_VALUE"""),"121704177 - APPROVED")</f>
        <v>121704177 - APPROVED</v>
      </c>
      <c r="C5166" s="6">
        <f>IFERROR(__xludf.DUMMYFUNCTION("""COMPUTED_VALUE"""),4.0)</f>
        <v>4</v>
      </c>
      <c r="D5166" s="6" t="str">
        <f>IFERROR(__xludf.DUMMYFUNCTION("""COMPUTED_VALUE"""),"Q-10153-00")</f>
        <v>Q-10153-00</v>
      </c>
      <c r="E5166" s="6" t="str">
        <f>IFERROR(__xludf.DUMMYFUNCTION("""COMPUTED_VALUE"""),"Kuas Cat Roller uk. 110 mm;No Brand;;pack size per set")</f>
        <v>Kuas Cat Roller uk. 110 mm;No Brand;;pack size per set</v>
      </c>
      <c r="F5166" s="6">
        <f>IFERROR(__xludf.DUMMYFUNCTION("""COMPUTED_VALUE"""),10.0)</f>
        <v>10</v>
      </c>
      <c r="G5166" s="6" t="str">
        <f>IFERROR(__xludf.DUMMYFUNCTION("""COMPUTED_VALUE"""),"Pieces")</f>
        <v>Pieces</v>
      </c>
      <c r="H5166" s="6" t="str">
        <f>IFERROR(__xludf.DUMMYFUNCTION("""COMPUTED_VALUE"""),"IDR")</f>
        <v>IDR</v>
      </c>
      <c r="I5166" s="6">
        <f>IFERROR(__xludf.DUMMYFUNCTION("""COMPUTED_VALUE"""),22000.0)</f>
        <v>22000</v>
      </c>
      <c r="J5166" s="6">
        <f>IFERROR(__xludf.DUMMYFUNCTION("""COMPUTED_VALUE"""),220000.0)</f>
        <v>220000</v>
      </c>
      <c r="K5166" s="57">
        <f>IFERROR(__xludf.DUMMYFUNCTION("""COMPUTED_VALUE"""),46171.0)</f>
        <v>46171</v>
      </c>
      <c r="L5166" s="6" t="str">
        <f>IFERROR(__xludf.DUMMYFUNCTION("""COMPUTED_VALUE"""),"FIP Engineering")</f>
        <v>FIP Engineering</v>
      </c>
      <c r="M5166" s="6" t="str">
        <f>IFERROR(__xludf.DUMMYFUNCTION("""COMPUTED_VALUE"""),"Mochammad Fadhillah Hakim,")</f>
        <v>Mochammad Fadhillah Hakim,</v>
      </c>
      <c r="N5166" s="6" t="str">
        <f>IFERROR(__xludf.DUMMYFUNCTION("""COMPUTED_VALUE"""),"FIP Engineering")</f>
        <v>FIP Engineering</v>
      </c>
      <c r="O5166" s="6" t="str">
        <f>IFERROR(__xludf.DUMMYFUNCTION("""COMPUTED_VALUE"""),"FIP-DOM-000-11304-OS00001-INA-000000")</f>
        <v>FIP-DOM-000-11304-OS00001-INA-000000</v>
      </c>
      <c r="P5166" s="6" t="str">
        <f>IFERROR(__xludf.DUMMYFUNCTION("""COMPUTED_VALUE"""),"PO Closed")</f>
        <v>PO Closed</v>
      </c>
      <c r="Q5166" s="6" t="str">
        <f>IFERROR(__xludf.DUMMYFUNCTION("""COMPUTED_VALUE"""),"GL2605026")</f>
        <v>GL2605026</v>
      </c>
      <c r="R5166" s="57">
        <f>IFERROR(__xludf.DUMMYFUNCTION("""COMPUTED_VALUE"""),46139.0)</f>
        <v>46139</v>
      </c>
      <c r="S5166" s="57">
        <f>IFERROR(__xludf.DUMMYFUNCTION("""COMPUTED_VALUE"""),46139.0)</f>
        <v>46139</v>
      </c>
      <c r="T5166" s="57">
        <f>IFERROR(__xludf.DUMMYFUNCTION("""COMPUTED_VALUE"""),46178.0)</f>
        <v>46178</v>
      </c>
    </row>
    <row r="5167">
      <c r="A5167" s="6" t="str">
        <f>IFERROR(__xludf.DUMMYFUNCTION("""COMPUTED_VALUE"""),"121704177-5")</f>
        <v>121704177-5</v>
      </c>
      <c r="B5167" s="6" t="str">
        <f>IFERROR(__xludf.DUMMYFUNCTION("""COMPUTED_VALUE"""),"121704177 - APPROVED")</f>
        <v>121704177 - APPROVED</v>
      </c>
      <c r="C5167" s="6">
        <f>IFERROR(__xludf.DUMMYFUNCTION("""COMPUTED_VALUE"""),5.0)</f>
        <v>5</v>
      </c>
      <c r="D5167" s="6" t="str">
        <f>IFERROR(__xludf.DUMMYFUNCTION("""COMPUTED_VALUE"""),"Q-10401-00")</f>
        <v>Q-10401-00</v>
      </c>
      <c r="E5167" s="6" t="str">
        <f>IFERROR(__xludf.DUMMYFUNCTION("""COMPUTED_VALUE"""),"Kuas Cat Uk. 3 inch;Eterna;Tipe 611;pack size per pcs")</f>
        <v>Kuas Cat Uk. 3 inch;Eterna;Tipe 611;pack size per pcs</v>
      </c>
      <c r="F5167" s="6">
        <f>IFERROR(__xludf.DUMMYFUNCTION("""COMPUTED_VALUE"""),5.0)</f>
        <v>5</v>
      </c>
      <c r="G5167" s="6" t="str">
        <f>IFERROR(__xludf.DUMMYFUNCTION("""COMPUTED_VALUE"""),"Pieces")</f>
        <v>Pieces</v>
      </c>
      <c r="H5167" s="6" t="str">
        <f>IFERROR(__xludf.DUMMYFUNCTION("""COMPUTED_VALUE"""),"IDR")</f>
        <v>IDR</v>
      </c>
      <c r="I5167" s="6">
        <f>IFERROR(__xludf.DUMMYFUNCTION("""COMPUTED_VALUE"""),7000.0)</f>
        <v>7000</v>
      </c>
      <c r="J5167" s="6">
        <f>IFERROR(__xludf.DUMMYFUNCTION("""COMPUTED_VALUE"""),35000.0)</f>
        <v>35000</v>
      </c>
      <c r="K5167" s="57">
        <f>IFERROR(__xludf.DUMMYFUNCTION("""COMPUTED_VALUE"""),46171.0)</f>
        <v>46171</v>
      </c>
      <c r="L5167" s="6" t="str">
        <f>IFERROR(__xludf.DUMMYFUNCTION("""COMPUTED_VALUE"""),"FIP Engineering")</f>
        <v>FIP Engineering</v>
      </c>
      <c r="M5167" s="6" t="str">
        <f>IFERROR(__xludf.DUMMYFUNCTION("""COMPUTED_VALUE"""),"Mochammad Fadhillah Hakim,")</f>
        <v>Mochammad Fadhillah Hakim,</v>
      </c>
      <c r="N5167" s="6" t="str">
        <f>IFERROR(__xludf.DUMMYFUNCTION("""COMPUTED_VALUE"""),"FIP Engineering")</f>
        <v>FIP Engineering</v>
      </c>
      <c r="O5167" s="6" t="str">
        <f>IFERROR(__xludf.DUMMYFUNCTION("""COMPUTED_VALUE"""),"FIP-DOM-000-11304-OS00001-INA-000000")</f>
        <v>FIP-DOM-000-11304-OS00001-INA-000000</v>
      </c>
      <c r="P5167" s="6" t="str">
        <f>IFERROR(__xludf.DUMMYFUNCTION("""COMPUTED_VALUE"""),"PO Closed")</f>
        <v>PO Closed</v>
      </c>
      <c r="Q5167" s="6" t="str">
        <f>IFERROR(__xludf.DUMMYFUNCTION("""COMPUTED_VALUE"""),"GL2605026")</f>
        <v>GL2605026</v>
      </c>
      <c r="R5167" s="57">
        <f>IFERROR(__xludf.DUMMYFUNCTION("""COMPUTED_VALUE"""),46139.0)</f>
        <v>46139</v>
      </c>
      <c r="S5167" s="57">
        <f>IFERROR(__xludf.DUMMYFUNCTION("""COMPUTED_VALUE"""),46139.0)</f>
        <v>46139</v>
      </c>
      <c r="T5167" s="57">
        <f>IFERROR(__xludf.DUMMYFUNCTION("""COMPUTED_VALUE"""),46178.0)</f>
        <v>46178</v>
      </c>
    </row>
    <row r="5168">
      <c r="A5168" s="6" t="str">
        <f>IFERROR(__xludf.DUMMYFUNCTION("""COMPUTED_VALUE"""),"121704178-1")</f>
        <v>121704178-1</v>
      </c>
      <c r="B5168" s="6" t="str">
        <f>IFERROR(__xludf.DUMMYFUNCTION("""COMPUTED_VALUE"""),"121704178 - APPROVED")</f>
        <v>121704178 - APPROVED</v>
      </c>
      <c r="C5168" s="6">
        <f>IFERROR(__xludf.DUMMYFUNCTION("""COMPUTED_VALUE"""),1.0)</f>
        <v>1</v>
      </c>
      <c r="D5168" s="6" t="str">
        <f>IFERROR(__xludf.DUMMYFUNCTION("""COMPUTED_VALUE"""),"P-19192-00")</f>
        <v>P-19192-00</v>
      </c>
      <c r="E5168" s="6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F5168" s="6">
        <f>IFERROR(__xludf.DUMMYFUNCTION("""COMPUTED_VALUE"""),1.0)</f>
        <v>1</v>
      </c>
      <c r="G5168" s="6" t="str">
        <f>IFERROR(__xludf.DUMMYFUNCTION("""COMPUTED_VALUE"""),"Pieces")</f>
        <v>Pieces</v>
      </c>
      <c r="H5168" s="6" t="str">
        <f>IFERROR(__xludf.DUMMYFUNCTION("""COMPUTED_VALUE"""),"IDR")</f>
        <v>IDR</v>
      </c>
      <c r="I5168" s="6">
        <f>IFERROR(__xludf.DUMMYFUNCTION("""COMPUTED_VALUE"""),1600000.0)</f>
        <v>1600000</v>
      </c>
      <c r="J5168" s="6">
        <f>IFERROR(__xludf.DUMMYFUNCTION("""COMPUTED_VALUE"""),1600000.0)</f>
        <v>1600000</v>
      </c>
      <c r="K5168" s="57">
        <f>IFERROR(__xludf.DUMMYFUNCTION("""COMPUTED_VALUE"""),46171.0)</f>
        <v>46171</v>
      </c>
      <c r="L5168" s="6" t="str">
        <f>IFERROR(__xludf.DUMMYFUNCTION("""COMPUTED_VALUE"""),"FIP Engineering")</f>
        <v>FIP Engineering</v>
      </c>
      <c r="M5168" s="6" t="str">
        <f>IFERROR(__xludf.DUMMYFUNCTION("""COMPUTED_VALUE"""),"Mochammad Fadhillah Hakim,")</f>
        <v>Mochammad Fadhillah Hakim,</v>
      </c>
      <c r="N5168" s="6" t="str">
        <f>IFERROR(__xludf.DUMMYFUNCTION("""COMPUTED_VALUE"""),"FIP Engineering")</f>
        <v>FIP Engineering</v>
      </c>
      <c r="O5168" s="6" t="str">
        <f>IFERROR(__xludf.DUMMYFUNCTION("""COMPUTED_VALUE"""),"FIP-DOM-000-11304-OS00001-INA-000000")</f>
        <v>FIP-DOM-000-11304-OS00001-INA-000000</v>
      </c>
      <c r="P5168" s="6" t="str">
        <f>IFERROR(__xludf.DUMMYFUNCTION("""COMPUTED_VALUE"""),"PO Closed")</f>
        <v>PO Closed</v>
      </c>
      <c r="Q5168" s="6" t="str">
        <f>IFERROR(__xludf.DUMMYFUNCTION("""COMPUTED_VALUE"""),"GL2605004")</f>
        <v>GL2605004</v>
      </c>
      <c r="R5168" s="57">
        <f>IFERROR(__xludf.DUMMYFUNCTION("""COMPUTED_VALUE"""),46139.0)</f>
        <v>46139</v>
      </c>
      <c r="S5168" s="57">
        <f>IFERROR(__xludf.DUMMYFUNCTION("""COMPUTED_VALUE"""),46139.0)</f>
        <v>46139</v>
      </c>
      <c r="T5168" s="57">
        <f>IFERROR(__xludf.DUMMYFUNCTION("""COMPUTED_VALUE"""),46172.0)</f>
        <v>46172</v>
      </c>
    </row>
    <row r="5169">
      <c r="A5169" s="6" t="str">
        <f>IFERROR(__xludf.DUMMYFUNCTION("""COMPUTED_VALUE"""),"121704179-1")</f>
        <v>121704179-1</v>
      </c>
      <c r="B5169" s="6" t="str">
        <f>IFERROR(__xludf.DUMMYFUNCTION("""COMPUTED_VALUE"""),"121704179 - APPROVED")</f>
        <v>121704179 - APPROVED</v>
      </c>
      <c r="C5169" s="6">
        <f>IFERROR(__xludf.DUMMYFUNCTION("""COMPUTED_VALUE"""),1.0)</f>
        <v>1</v>
      </c>
      <c r="D5169" s="6" t="str">
        <f>IFERROR(__xludf.DUMMYFUNCTION("""COMPUTED_VALUE"""),"P-20754-00")</f>
        <v>P-20754-00</v>
      </c>
      <c r="E5169" s="6" t="str">
        <f>IFERROR(__xludf.DUMMYFUNCTION("""COMPUTED_VALUE"""),"General - Oring 200 Viton Tebal 5.7 ID 199.3 OD 210.7 mm; Custom; -; 1 pc")</f>
        <v>General - Oring 200 Viton Tebal 5.7 ID 199.3 OD 210.7 mm; Custom; -; 1 pc</v>
      </c>
      <c r="F5169" s="6">
        <f>IFERROR(__xludf.DUMMYFUNCTION("""COMPUTED_VALUE"""),5.0)</f>
        <v>5</v>
      </c>
      <c r="G5169" s="6" t="str">
        <f>IFERROR(__xludf.DUMMYFUNCTION("""COMPUTED_VALUE"""),"Pieces")</f>
        <v>Pieces</v>
      </c>
      <c r="H5169" s="6" t="str">
        <f>IFERROR(__xludf.DUMMYFUNCTION("""COMPUTED_VALUE"""),"IDR")</f>
        <v>IDR</v>
      </c>
      <c r="I5169" s="6">
        <f>IFERROR(__xludf.DUMMYFUNCTION("""COMPUTED_VALUE"""),187500.0)</f>
        <v>187500</v>
      </c>
      <c r="J5169" s="6">
        <f>IFERROR(__xludf.DUMMYFUNCTION("""COMPUTED_VALUE"""),937500.0)</f>
        <v>937500</v>
      </c>
      <c r="K5169" s="57">
        <f>IFERROR(__xludf.DUMMYFUNCTION("""COMPUTED_VALUE"""),46171.0)</f>
        <v>46171</v>
      </c>
      <c r="L5169" s="6" t="str">
        <f>IFERROR(__xludf.DUMMYFUNCTION("""COMPUTED_VALUE"""),"FIP Engineering")</f>
        <v>FIP Engineering</v>
      </c>
      <c r="M5169" s="6" t="str">
        <f>IFERROR(__xludf.DUMMYFUNCTION("""COMPUTED_VALUE"""),"Mochammad Fadhillah Hakim,")</f>
        <v>Mochammad Fadhillah Hakim,</v>
      </c>
      <c r="N5169" s="6" t="str">
        <f>IFERROR(__xludf.DUMMYFUNCTION("""COMPUTED_VALUE"""),"FIP Engineering")</f>
        <v>FIP Engineering</v>
      </c>
      <c r="O5169" s="6" t="str">
        <f>IFERROR(__xludf.DUMMYFUNCTION("""COMPUTED_VALUE"""),"FIP-DOM-000-11304-OS00001-INA-000000")</f>
        <v>FIP-DOM-000-11304-OS00001-INA-000000</v>
      </c>
      <c r="P5169" s="6" t="str">
        <f>IFERROR(__xludf.DUMMYFUNCTION("""COMPUTED_VALUE"""),"PO Closed")</f>
        <v>PO Closed</v>
      </c>
      <c r="Q5169" s="6" t="str">
        <f>IFERROR(__xludf.DUMMYFUNCTION("""COMPUTED_VALUE"""),"GL2605005")</f>
        <v>GL2605005</v>
      </c>
      <c r="R5169" s="57">
        <f>IFERROR(__xludf.DUMMYFUNCTION("""COMPUTED_VALUE"""),46139.0)</f>
        <v>46139</v>
      </c>
      <c r="S5169" s="57">
        <f>IFERROR(__xludf.DUMMYFUNCTION("""COMPUTED_VALUE"""),46140.0)</f>
        <v>46140</v>
      </c>
      <c r="T5169" s="57">
        <f>IFERROR(__xludf.DUMMYFUNCTION("""COMPUTED_VALUE"""),46178.0)</f>
        <v>46178</v>
      </c>
    </row>
    <row r="5170">
      <c r="A5170" s="6" t="str">
        <f>IFERROR(__xludf.DUMMYFUNCTION("""COMPUTED_VALUE"""),"121704179-2")</f>
        <v>121704179-2</v>
      </c>
      <c r="B5170" s="6" t="str">
        <f>IFERROR(__xludf.DUMMYFUNCTION("""COMPUTED_VALUE"""),"121704179 - APPROVED")</f>
        <v>121704179 - APPROVED</v>
      </c>
      <c r="C5170" s="6">
        <f>IFERROR(__xludf.DUMMYFUNCTION("""COMPUTED_VALUE"""),2.0)</f>
        <v>2</v>
      </c>
      <c r="D5170" s="6" t="str">
        <f>IFERROR(__xludf.DUMMYFUNCTION("""COMPUTED_VALUE"""),"P-20755-00")</f>
        <v>P-20755-00</v>
      </c>
      <c r="E5170" s="6" t="str">
        <f>IFERROR(__xludf.DUMMYFUNCTION("""COMPUTED_VALUE"""),"General - Oring 260 Viton Tebal 5.7 ID 259.3 OD 270.7 mm; Custom; -; 1 pc")</f>
        <v>General - Oring 260 Viton Tebal 5.7 ID 259.3 OD 270.7 mm; Custom; -; 1 pc</v>
      </c>
      <c r="F5170" s="6">
        <f>IFERROR(__xludf.DUMMYFUNCTION("""COMPUTED_VALUE"""),10.0)</f>
        <v>10</v>
      </c>
      <c r="G5170" s="6" t="str">
        <f>IFERROR(__xludf.DUMMYFUNCTION("""COMPUTED_VALUE"""),"Pieces")</f>
        <v>Pieces</v>
      </c>
      <c r="H5170" s="6" t="str">
        <f>IFERROR(__xludf.DUMMYFUNCTION("""COMPUTED_VALUE"""),"IDR")</f>
        <v>IDR</v>
      </c>
      <c r="I5170" s="6">
        <f>IFERROR(__xludf.DUMMYFUNCTION("""COMPUTED_VALUE"""),237500.0)</f>
        <v>237500</v>
      </c>
      <c r="J5170" s="6">
        <f>IFERROR(__xludf.DUMMYFUNCTION("""COMPUTED_VALUE"""),2375000.0)</f>
        <v>2375000</v>
      </c>
      <c r="K5170" s="57">
        <f>IFERROR(__xludf.DUMMYFUNCTION("""COMPUTED_VALUE"""),46171.0)</f>
        <v>46171</v>
      </c>
      <c r="L5170" s="6" t="str">
        <f>IFERROR(__xludf.DUMMYFUNCTION("""COMPUTED_VALUE"""),"FIP Engineering")</f>
        <v>FIP Engineering</v>
      </c>
      <c r="M5170" s="6" t="str">
        <f>IFERROR(__xludf.DUMMYFUNCTION("""COMPUTED_VALUE"""),"Mochammad Fadhillah Hakim,")</f>
        <v>Mochammad Fadhillah Hakim,</v>
      </c>
      <c r="N5170" s="6" t="str">
        <f>IFERROR(__xludf.DUMMYFUNCTION("""COMPUTED_VALUE"""),"FIP Engineering")</f>
        <v>FIP Engineering</v>
      </c>
      <c r="O5170" s="6" t="str">
        <f>IFERROR(__xludf.DUMMYFUNCTION("""COMPUTED_VALUE"""),"FIP-DOM-000-11304-OS00001-INA-000000")</f>
        <v>FIP-DOM-000-11304-OS00001-INA-000000</v>
      </c>
      <c r="P5170" s="6" t="str">
        <f>IFERROR(__xludf.DUMMYFUNCTION("""COMPUTED_VALUE"""),"PO Closed")</f>
        <v>PO Closed</v>
      </c>
      <c r="Q5170" s="6" t="str">
        <f>IFERROR(__xludf.DUMMYFUNCTION("""COMPUTED_VALUE"""),"GL2605005")</f>
        <v>GL2605005</v>
      </c>
      <c r="R5170" s="57">
        <f>IFERROR(__xludf.DUMMYFUNCTION("""COMPUTED_VALUE"""),46139.0)</f>
        <v>46139</v>
      </c>
      <c r="S5170" s="57">
        <f>IFERROR(__xludf.DUMMYFUNCTION("""COMPUTED_VALUE"""),46140.0)</f>
        <v>46140</v>
      </c>
      <c r="T5170" s="57">
        <f>IFERROR(__xludf.DUMMYFUNCTION("""COMPUTED_VALUE"""),46178.0)</f>
        <v>46178</v>
      </c>
    </row>
    <row r="5171">
      <c r="A5171" s="6" t="str">
        <f>IFERROR(__xludf.DUMMYFUNCTION("""COMPUTED_VALUE"""),"121704182-1")</f>
        <v>121704182-1</v>
      </c>
      <c r="B5171" s="6" t="str">
        <f>IFERROR(__xludf.DUMMYFUNCTION("""COMPUTED_VALUE"""),"121704182 - APPROVED")</f>
        <v>121704182 - APPROVED</v>
      </c>
      <c r="C5171" s="6">
        <f>IFERROR(__xludf.DUMMYFUNCTION("""COMPUTED_VALUE"""),1.0)</f>
        <v>1</v>
      </c>
      <c r="D5171" s="6" t="str">
        <f>IFERROR(__xludf.DUMMYFUNCTION("""COMPUTED_VALUE"""),"P-20753-00")</f>
        <v>P-20753-00</v>
      </c>
      <c r="E5171" s="6" t="str">
        <f>IFERROR(__xludf.DUMMYFUNCTION("""COMPUTED_VALUE"""),"General - Heater Heating Plate; Lokal; 220V+PT100; 1 pc")</f>
        <v>General - Heater Heating Plate; Lokal; 220V+PT100; 1 pc</v>
      </c>
      <c r="F5171" s="6">
        <f>IFERROR(__xludf.DUMMYFUNCTION("""COMPUTED_VALUE"""),1.0)</f>
        <v>1</v>
      </c>
      <c r="G5171" s="6" t="str">
        <f>IFERROR(__xludf.DUMMYFUNCTION("""COMPUTED_VALUE"""),"Pieces")</f>
        <v>Pieces</v>
      </c>
      <c r="H5171" s="6" t="str">
        <f>IFERROR(__xludf.DUMMYFUNCTION("""COMPUTED_VALUE"""),"IDR")</f>
        <v>IDR</v>
      </c>
      <c r="I5171" s="6">
        <f>IFERROR(__xludf.DUMMYFUNCTION("""COMPUTED_VALUE"""),1179288.0)</f>
        <v>1179288</v>
      </c>
      <c r="J5171" s="6">
        <f>IFERROR(__xludf.DUMMYFUNCTION("""COMPUTED_VALUE"""),1179288.0)</f>
        <v>1179288</v>
      </c>
      <c r="K5171" s="57">
        <f>IFERROR(__xludf.DUMMYFUNCTION("""COMPUTED_VALUE"""),46171.0)</f>
        <v>46171</v>
      </c>
      <c r="L5171" s="6" t="str">
        <f>IFERROR(__xludf.DUMMYFUNCTION("""COMPUTED_VALUE"""),"FIP Engineering")</f>
        <v>FIP Engineering</v>
      </c>
      <c r="M5171" s="6" t="str">
        <f>IFERROR(__xludf.DUMMYFUNCTION("""COMPUTED_VALUE"""),"Mochammad Fadhillah Hakim,")</f>
        <v>Mochammad Fadhillah Hakim,</v>
      </c>
      <c r="N5171" s="6" t="str">
        <f>IFERROR(__xludf.DUMMYFUNCTION("""COMPUTED_VALUE"""),"FIP Engineering")</f>
        <v>FIP Engineering</v>
      </c>
      <c r="O5171" s="6" t="str">
        <f>IFERROR(__xludf.DUMMYFUNCTION("""COMPUTED_VALUE"""),"FIP-DOM-000-11304-OS00001-INA-000000")</f>
        <v>FIP-DOM-000-11304-OS00001-INA-000000</v>
      </c>
      <c r="P5171" s="6" t="str">
        <f>IFERROR(__xludf.DUMMYFUNCTION("""COMPUTED_VALUE"""),"PO Closed")</f>
        <v>PO Closed</v>
      </c>
      <c r="Q5171" s="6" t="str">
        <f>IFERROR(__xludf.DUMMYFUNCTION("""COMPUTED_VALUE"""),"GL2605012")</f>
        <v>GL2605012</v>
      </c>
      <c r="R5171" s="57">
        <f>IFERROR(__xludf.DUMMYFUNCTION("""COMPUTED_VALUE"""),46139.0)</f>
        <v>46139</v>
      </c>
      <c r="S5171" s="57">
        <f>IFERROR(__xludf.DUMMYFUNCTION("""COMPUTED_VALUE"""),46139.0)</f>
        <v>46139</v>
      </c>
      <c r="T5171" s="57">
        <f>IFERROR(__xludf.DUMMYFUNCTION("""COMPUTED_VALUE"""),46285.0)</f>
        <v>46285</v>
      </c>
    </row>
    <row r="5172">
      <c r="A5172" s="6" t="str">
        <f>IFERROR(__xludf.DUMMYFUNCTION("""COMPUTED_VALUE"""),"121704192-1")</f>
        <v>121704192-1</v>
      </c>
      <c r="B5172" s="6" t="str">
        <f>IFERROR(__xludf.DUMMYFUNCTION("""COMPUTED_VALUE"""),"121704192 - APPROVED")</f>
        <v>121704192 - APPROVED</v>
      </c>
      <c r="C5172" s="6">
        <f>IFERROR(__xludf.DUMMYFUNCTION("""COMPUTED_VALUE"""),1.0)</f>
        <v>1</v>
      </c>
      <c r="D5172" s="6" t="str">
        <f>IFERROR(__xludf.DUMMYFUNCTION("""COMPUTED_VALUE"""),"S-60002-00")</f>
        <v>S-60002-00</v>
      </c>
      <c r="E5172" s="6" t="str">
        <f>IFERROR(__xludf.DUMMYFUNCTION("""COMPUTED_VALUE"""),"Jasa Perbaikan dan Pemeliharaan Mesin Utility - Perbaikan Pompa Kondensat dengan modif")</f>
        <v>Jasa Perbaikan dan Pemeliharaan Mesin Utility - Perbaikan Pompa Kondensat dengan modif</v>
      </c>
      <c r="F5172" s="6">
        <f>IFERROR(__xludf.DUMMYFUNCTION("""COMPUTED_VALUE"""),1.0)</f>
        <v>1</v>
      </c>
      <c r="G5172" s="6" t="str">
        <f>IFERROR(__xludf.DUMMYFUNCTION("""COMPUTED_VALUE"""),"Lot")</f>
        <v>Lot</v>
      </c>
      <c r="H5172" s="6" t="str">
        <f>IFERROR(__xludf.DUMMYFUNCTION("""COMPUTED_VALUE"""),"IDR")</f>
        <v>IDR</v>
      </c>
      <c r="I5172" s="6">
        <f>IFERROR(__xludf.DUMMYFUNCTION("""COMPUTED_VALUE"""),7891000.0)</f>
        <v>7891000</v>
      </c>
      <c r="J5172" s="6">
        <f>IFERROR(__xludf.DUMMYFUNCTION("""COMPUTED_VALUE"""),7891000.0)</f>
        <v>7891000</v>
      </c>
      <c r="K5172" s="57">
        <f>IFERROR(__xludf.DUMMYFUNCTION("""COMPUTED_VALUE"""),46150.0)</f>
        <v>46150</v>
      </c>
      <c r="L5172" s="6" t="str">
        <f>IFERROR(__xludf.DUMMYFUNCTION("""COMPUTED_VALUE"""),"FIP General")</f>
        <v>FIP General</v>
      </c>
      <c r="M5172" s="6" t="str">
        <f>IFERROR(__xludf.DUMMYFUNCTION("""COMPUTED_VALUE"""),"Mochammad Fadhillah Hakim,")</f>
        <v>Mochammad Fadhillah Hakim,</v>
      </c>
      <c r="N5172" s="6" t="str">
        <f>IFERROR(__xludf.DUMMYFUNCTION("""COMPUTED_VALUE"""),"FIP Engineering")</f>
        <v>FIP Engineering</v>
      </c>
      <c r="O5172" s="6" t="str">
        <f>IFERROR(__xludf.DUMMYFUNCTION("""COMPUTED_VALUE"""),"FIP-DOM-ENG-51508-0000000-INA-000000")</f>
        <v>FIP-DOM-ENG-51508-0000000-INA-000000</v>
      </c>
      <c r="P5172" s="6" t="str">
        <f>IFERROR(__xludf.DUMMYFUNCTION("""COMPUTED_VALUE"""),"PO Closed")</f>
        <v>PO Closed</v>
      </c>
      <c r="Q5172" s="6" t="str">
        <f>IFERROR(__xludf.DUMMYFUNCTION("""COMPUTED_VALUE"""),"GL2605014")</f>
        <v>GL2605014</v>
      </c>
      <c r="R5172" s="57">
        <f>IFERROR(__xludf.DUMMYFUNCTION("""COMPUTED_VALUE"""),46146.0)</f>
        <v>46146</v>
      </c>
      <c r="S5172" s="57">
        <f>IFERROR(__xludf.DUMMYFUNCTION("""COMPUTED_VALUE"""),46147.0)</f>
        <v>46147</v>
      </c>
      <c r="T5172" s="57">
        <f>IFERROR(__xludf.DUMMYFUNCTION("""COMPUTED_VALUE"""),46162.0)</f>
        <v>46162</v>
      </c>
    </row>
    <row r="5173">
      <c r="A5173" s="6" t="str">
        <f>IFERROR(__xludf.DUMMYFUNCTION("""COMPUTED_VALUE"""),"121704194-1")</f>
        <v>121704194-1</v>
      </c>
      <c r="B5173" s="6" t="str">
        <f>IFERROR(__xludf.DUMMYFUNCTION("""COMPUTED_VALUE"""),"121704194 - APPROVED")</f>
        <v>121704194 - APPROVED</v>
      </c>
      <c r="C5173" s="6">
        <f>IFERROR(__xludf.DUMMYFUNCTION("""COMPUTED_VALUE"""),1.0)</f>
        <v>1</v>
      </c>
      <c r="D5173" s="6" t="str">
        <f>IFERROR(__xludf.DUMMYFUNCTION("""COMPUTED_VALUE"""),"S-60002-00")</f>
        <v>S-60002-00</v>
      </c>
      <c r="E5173" s="6" t="str">
        <f>IFERROR(__xludf.DUMMYFUNCTION("""COMPUTED_VALUE"""),"Jasa Perbaikan dan Pemeliharaan Mesin Utility - Jasa Pemasangan Flowmeter")</f>
        <v>Jasa Perbaikan dan Pemeliharaan Mesin Utility - Jasa Pemasangan Flowmeter</v>
      </c>
      <c r="F5173" s="6">
        <f>IFERROR(__xludf.DUMMYFUNCTION("""COMPUTED_VALUE"""),1.0)</f>
        <v>1</v>
      </c>
      <c r="G5173" s="6" t="str">
        <f>IFERROR(__xludf.DUMMYFUNCTION("""COMPUTED_VALUE"""),"Lot")</f>
        <v>Lot</v>
      </c>
      <c r="H5173" s="6" t="str">
        <f>IFERROR(__xludf.DUMMYFUNCTION("""COMPUTED_VALUE"""),"IDR")</f>
        <v>IDR</v>
      </c>
      <c r="I5173" s="6">
        <f>IFERROR(__xludf.DUMMYFUNCTION("""COMPUTED_VALUE"""),5697800.0)</f>
        <v>5697800</v>
      </c>
      <c r="J5173" s="6">
        <f>IFERROR(__xludf.DUMMYFUNCTION("""COMPUTED_VALUE"""),5697800.0)</f>
        <v>5697800</v>
      </c>
      <c r="K5173" s="57">
        <f>IFERROR(__xludf.DUMMYFUNCTION("""COMPUTED_VALUE"""),46178.0)</f>
        <v>46178</v>
      </c>
      <c r="L5173" s="6" t="str">
        <f>IFERROR(__xludf.DUMMYFUNCTION("""COMPUTED_VALUE"""),"FIP General")</f>
        <v>FIP General</v>
      </c>
      <c r="M5173" s="6" t="str">
        <f>IFERROR(__xludf.DUMMYFUNCTION("""COMPUTED_VALUE"""),"Mochammad Fadhillah Hakim,")</f>
        <v>Mochammad Fadhillah Hakim,</v>
      </c>
      <c r="N5173" s="6" t="str">
        <f>IFERROR(__xludf.DUMMYFUNCTION("""COMPUTED_VALUE"""),"FIP Engineering")</f>
        <v>FIP Engineering</v>
      </c>
      <c r="O5173" s="6" t="str">
        <f>IFERROR(__xludf.DUMMYFUNCTION("""COMPUTED_VALUE"""),"FIP-DOM-ENG-51508-0000000-INA-000000")</f>
        <v>FIP-DOM-ENG-51508-0000000-INA-000000</v>
      </c>
      <c r="P5173" s="6" t="str">
        <f>IFERROR(__xludf.DUMMYFUNCTION("""COMPUTED_VALUE"""),"PO Open")</f>
        <v>PO Open</v>
      </c>
      <c r="Q5173" s="6" t="str">
        <f>IFERROR(__xludf.DUMMYFUNCTION("""COMPUTED_VALUE"""),"GL2605042")</f>
        <v>GL2605042</v>
      </c>
      <c r="R5173" s="57">
        <f>IFERROR(__xludf.DUMMYFUNCTION("""COMPUTED_VALUE"""),46146.0)</f>
        <v>46146</v>
      </c>
      <c r="S5173" s="57">
        <f>IFERROR(__xludf.DUMMYFUNCTION("""COMPUTED_VALUE"""),46147.0)</f>
        <v>46147</v>
      </c>
      <c r="T5173" s="57">
        <f>IFERROR(__xludf.DUMMYFUNCTION("""COMPUTED_VALUE"""),46208.0)</f>
        <v>46208</v>
      </c>
    </row>
    <row r="5174">
      <c r="A5174" s="6" t="str">
        <f>IFERROR(__xludf.DUMMYFUNCTION("""COMPUTED_VALUE"""),"121704196-1")</f>
        <v>121704196-1</v>
      </c>
      <c r="B5174" s="6" t="str">
        <f>IFERROR(__xludf.DUMMYFUNCTION("""COMPUTED_VALUE"""),"121704196 - APPROVED")</f>
        <v>121704196 - APPROVED</v>
      </c>
      <c r="C5174" s="6">
        <f>IFERROR(__xludf.DUMMYFUNCTION("""COMPUTED_VALUE"""),1.0)</f>
        <v>1</v>
      </c>
      <c r="D5174" s="6" t="str">
        <f>IFERROR(__xludf.DUMMYFUNCTION("""COMPUTED_VALUE"""),"O-20040-00")</f>
        <v>O-20040-00</v>
      </c>
      <c r="E5174" s="6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F5174" s="6">
        <f>IFERROR(__xludf.DUMMYFUNCTION("""COMPUTED_VALUE"""),1.0)</f>
        <v>1</v>
      </c>
      <c r="G5174" s="6" t="str">
        <f>IFERROR(__xludf.DUMMYFUNCTION("""COMPUTED_VALUE"""),"Pieces")</f>
        <v>Pieces</v>
      </c>
      <c r="H5174" s="6" t="str">
        <f>IFERROR(__xludf.DUMMYFUNCTION("""COMPUTED_VALUE"""),"IDR")</f>
        <v>IDR</v>
      </c>
      <c r="I5174" s="6">
        <f>IFERROR(__xludf.DUMMYFUNCTION("""COMPUTED_VALUE"""),1.36125E8)</f>
        <v>136125000</v>
      </c>
      <c r="J5174" s="6">
        <f>IFERROR(__xludf.DUMMYFUNCTION("""COMPUTED_VALUE"""),1.36125E8)</f>
        <v>136125000</v>
      </c>
      <c r="K5174" s="57">
        <f>IFERROR(__xludf.DUMMYFUNCTION("""COMPUTED_VALUE"""),46241.0)</f>
        <v>46241</v>
      </c>
      <c r="L5174" s="6" t="str">
        <f>IFERROR(__xludf.DUMMYFUNCTION("""COMPUTED_VALUE"""),"FIP Engineering")</f>
        <v>FIP Engineering</v>
      </c>
      <c r="M5174" s="6" t="str">
        <f>IFERROR(__xludf.DUMMYFUNCTION("""COMPUTED_VALUE"""),"Mochammad Fadhillah Hakim,")</f>
        <v>Mochammad Fadhillah Hakim,</v>
      </c>
      <c r="N5174" s="6" t="str">
        <f>IFERROR(__xludf.DUMMYFUNCTION("""COMPUTED_VALUE"""),"FIP Engineering")</f>
        <v>FIP Engineering</v>
      </c>
      <c r="O5174" s="6" t="str">
        <f>IFERROR(__xludf.DUMMYFUNCTION("""COMPUTED_VALUE"""),"FIP-DOM-000-11304-OS00001-INA-000000")</f>
        <v>FIP-DOM-000-11304-OS00001-INA-000000</v>
      </c>
      <c r="P5174" s="6" t="str">
        <f>IFERROR(__xludf.DUMMYFUNCTION("""COMPUTED_VALUE"""),"PO Open")</f>
        <v>PO Open</v>
      </c>
      <c r="Q5174" s="6" t="str">
        <f>IFERROR(__xludf.DUMMYFUNCTION("""COMPUTED_VALUE"""),"GL2605341")</f>
        <v>GL2605341</v>
      </c>
      <c r="R5174" s="57">
        <f>IFERROR(__xludf.DUMMYFUNCTION("""COMPUTED_VALUE"""),46147.0)</f>
        <v>46147</v>
      </c>
      <c r="S5174" s="57">
        <f>IFERROR(__xludf.DUMMYFUNCTION("""COMPUTED_VALUE"""),46157.0)</f>
        <v>46157</v>
      </c>
      <c r="T5174" s="57">
        <f>IFERROR(__xludf.DUMMYFUNCTION("""COMPUTED_VALUE"""),46302.0)</f>
        <v>46302</v>
      </c>
    </row>
    <row r="5175">
      <c r="A5175" s="6" t="str">
        <f>IFERROR(__xludf.DUMMYFUNCTION("""COMPUTED_VALUE"""),"121704197-1")</f>
        <v>121704197-1</v>
      </c>
      <c r="B5175" s="6" t="str">
        <f>IFERROR(__xludf.DUMMYFUNCTION("""COMPUTED_VALUE"""),"121704197 - APPROVED")</f>
        <v>121704197 - APPROVED</v>
      </c>
      <c r="C5175" s="6">
        <f>IFERROR(__xludf.DUMMYFUNCTION("""COMPUTED_VALUE"""),1.0)</f>
        <v>1</v>
      </c>
      <c r="D5175" s="6" t="str">
        <f>IFERROR(__xludf.DUMMYFUNCTION("""COMPUTED_VALUE"""),"O-16731-00")</f>
        <v>O-16731-00</v>
      </c>
      <c r="E5175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F5175" s="6">
        <f>IFERROR(__xludf.DUMMYFUNCTION("""COMPUTED_VALUE"""),5.0)</f>
        <v>5</v>
      </c>
      <c r="G5175" s="6" t="str">
        <f>IFERROR(__xludf.DUMMYFUNCTION("""COMPUTED_VALUE"""),"Pieces")</f>
        <v>Pieces</v>
      </c>
      <c r="H5175" s="6" t="str">
        <f>IFERROR(__xludf.DUMMYFUNCTION("""COMPUTED_VALUE"""),"IDR")</f>
        <v>IDR</v>
      </c>
      <c r="I5175" s="6">
        <f>IFERROR(__xludf.DUMMYFUNCTION("""COMPUTED_VALUE"""),1016000.0)</f>
        <v>1016000</v>
      </c>
      <c r="J5175" s="6">
        <f>IFERROR(__xludf.DUMMYFUNCTION("""COMPUTED_VALUE"""),5080000.0)</f>
        <v>5080000</v>
      </c>
      <c r="K5175" s="57">
        <f>IFERROR(__xludf.DUMMYFUNCTION("""COMPUTED_VALUE"""),46213.0)</f>
        <v>46213</v>
      </c>
      <c r="L5175" s="6" t="str">
        <f>IFERROR(__xludf.DUMMYFUNCTION("""COMPUTED_VALUE"""),"FIP Engineering")</f>
        <v>FIP Engineering</v>
      </c>
      <c r="M5175" s="6" t="str">
        <f>IFERROR(__xludf.DUMMYFUNCTION("""COMPUTED_VALUE"""),"Mochammad Fadhillah Hakim,")</f>
        <v>Mochammad Fadhillah Hakim,</v>
      </c>
      <c r="N5175" s="6" t="str">
        <f>IFERROR(__xludf.DUMMYFUNCTION("""COMPUTED_VALUE"""),"FIP Engineering")</f>
        <v>FIP Engineering</v>
      </c>
      <c r="O5175" s="6" t="str">
        <f>IFERROR(__xludf.DUMMYFUNCTION("""COMPUTED_VALUE"""),"FIP-DOM-000-11304-OS00001-INA-000000")</f>
        <v>FIP-DOM-000-11304-OS00001-INA-000000</v>
      </c>
      <c r="P5175" s="6" t="str">
        <f>IFERROR(__xludf.DUMMYFUNCTION("""COMPUTED_VALUE"""),"PO Open")</f>
        <v>PO Open</v>
      </c>
      <c r="Q5175" s="6" t="str">
        <f>IFERROR(__xludf.DUMMYFUNCTION("""COMPUTED_VALUE"""),"GL2607373")</f>
        <v>GL2607373</v>
      </c>
      <c r="R5175" s="57">
        <f>IFERROR(__xludf.DUMMYFUNCTION("""COMPUTED_VALUE"""),46147.0)</f>
        <v>46147</v>
      </c>
      <c r="S5175" s="57">
        <f>IFERROR(__xludf.DUMMYFUNCTION("""COMPUTED_VALUE"""),46205.0)</f>
        <v>46205</v>
      </c>
      <c r="T5175" s="57">
        <f>IFERROR(__xludf.DUMMYFUNCTION("""COMPUTED_VALUE"""),46325.0)</f>
        <v>46325</v>
      </c>
    </row>
    <row r="5176">
      <c r="A5176" s="6" t="str">
        <f>IFERROR(__xludf.DUMMYFUNCTION("""COMPUTED_VALUE"""),"121704197-2")</f>
        <v>121704197-2</v>
      </c>
      <c r="B5176" s="6" t="str">
        <f>IFERROR(__xludf.DUMMYFUNCTION("""COMPUTED_VALUE"""),"121704197 - APPROVED")</f>
        <v>121704197 - APPROVED</v>
      </c>
      <c r="C5176" s="6">
        <f>IFERROR(__xludf.DUMMYFUNCTION("""COMPUTED_VALUE"""),2.0)</f>
        <v>2</v>
      </c>
      <c r="D5176" s="6" t="str">
        <f>IFERROR(__xludf.DUMMYFUNCTION("""COMPUTED_VALUE"""),"O-16732-00")</f>
        <v>O-16732-00</v>
      </c>
      <c r="E5176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F5176" s="6">
        <f>IFERROR(__xludf.DUMMYFUNCTION("""COMPUTED_VALUE"""),10.0)</f>
        <v>10</v>
      </c>
      <c r="G5176" s="6" t="str">
        <f>IFERROR(__xludf.DUMMYFUNCTION("""COMPUTED_VALUE"""),"Pieces")</f>
        <v>Pieces</v>
      </c>
      <c r="H5176" s="6" t="str">
        <f>IFERROR(__xludf.DUMMYFUNCTION("""COMPUTED_VALUE"""),"IDR")</f>
        <v>IDR</v>
      </c>
      <c r="I5176" s="6">
        <f>IFERROR(__xludf.DUMMYFUNCTION("""COMPUTED_VALUE"""),284278.0)</f>
        <v>284278</v>
      </c>
      <c r="J5176" s="6">
        <f>IFERROR(__xludf.DUMMYFUNCTION("""COMPUTED_VALUE"""),2842780.0)</f>
        <v>2842780</v>
      </c>
      <c r="K5176" s="57">
        <f>IFERROR(__xludf.DUMMYFUNCTION("""COMPUTED_VALUE"""),46213.0)</f>
        <v>46213</v>
      </c>
      <c r="L5176" s="6" t="str">
        <f>IFERROR(__xludf.DUMMYFUNCTION("""COMPUTED_VALUE"""),"FIP Engineering")</f>
        <v>FIP Engineering</v>
      </c>
      <c r="M5176" s="6" t="str">
        <f>IFERROR(__xludf.DUMMYFUNCTION("""COMPUTED_VALUE"""),"Mochammad Fadhillah Hakim,")</f>
        <v>Mochammad Fadhillah Hakim,</v>
      </c>
      <c r="N5176" s="6" t="str">
        <f>IFERROR(__xludf.DUMMYFUNCTION("""COMPUTED_VALUE"""),"FIP Engineering")</f>
        <v>FIP Engineering</v>
      </c>
      <c r="O5176" s="6" t="str">
        <f>IFERROR(__xludf.DUMMYFUNCTION("""COMPUTED_VALUE"""),"FIP-DOM-000-11304-OS00001-INA-000000")</f>
        <v>FIP-DOM-000-11304-OS00001-INA-000000</v>
      </c>
      <c r="P5176" s="6" t="str">
        <f>IFERROR(__xludf.DUMMYFUNCTION("""COMPUTED_VALUE"""),"PO Open")</f>
        <v>PO Open</v>
      </c>
      <c r="Q5176" s="6" t="str">
        <f>IFERROR(__xludf.DUMMYFUNCTION("""COMPUTED_VALUE"""),"GL2607373")</f>
        <v>GL2607373</v>
      </c>
      <c r="R5176" s="57">
        <f>IFERROR(__xludf.DUMMYFUNCTION("""COMPUTED_VALUE"""),46147.0)</f>
        <v>46147</v>
      </c>
      <c r="S5176" s="57">
        <f>IFERROR(__xludf.DUMMYFUNCTION("""COMPUTED_VALUE"""),46205.0)</f>
        <v>46205</v>
      </c>
      <c r="T5176" s="57">
        <f>IFERROR(__xludf.DUMMYFUNCTION("""COMPUTED_VALUE"""),46325.0)</f>
        <v>46325</v>
      </c>
    </row>
    <row r="5177">
      <c r="A5177" s="6" t="str">
        <f>IFERROR(__xludf.DUMMYFUNCTION("""COMPUTED_VALUE"""),"121704197-3")</f>
        <v>121704197-3</v>
      </c>
      <c r="B5177" s="6" t="str">
        <f>IFERROR(__xludf.DUMMYFUNCTION("""COMPUTED_VALUE"""),"121704197 - APPROVED")</f>
        <v>121704197 - APPROVED</v>
      </c>
      <c r="C5177" s="6">
        <f>IFERROR(__xludf.DUMMYFUNCTION("""COMPUTED_VALUE"""),3.0)</f>
        <v>3</v>
      </c>
      <c r="D5177" s="6" t="str">
        <f>IFERROR(__xludf.DUMMYFUNCTION("""COMPUTED_VALUE"""),"O-17376-00")</f>
        <v>O-17376-00</v>
      </c>
      <c r="E5177" s="6" t="str">
        <f>IFERROR(__xludf.DUMMYFUNCTION("""COMPUTED_VALUE"""),"Autoclave Fedegari FOF / 6 AC - Kit DN22 Valve Mod; p/n: KK000310; ; ;")</f>
        <v>Autoclave Fedegari FOF / 6 AC - Kit DN22 Valve Mod; p/n: KK000310; ; ;</v>
      </c>
      <c r="F5177" s="6">
        <f>IFERROR(__xludf.DUMMYFUNCTION("""COMPUTED_VALUE"""),5.0)</f>
        <v>5</v>
      </c>
      <c r="G5177" s="6" t="str">
        <f>IFERROR(__xludf.DUMMYFUNCTION("""COMPUTED_VALUE"""),"Pieces")</f>
        <v>Pieces</v>
      </c>
      <c r="H5177" s="6" t="str">
        <f>IFERROR(__xludf.DUMMYFUNCTION("""COMPUTED_VALUE"""),"IDR")</f>
        <v>IDR</v>
      </c>
      <c r="I5177" s="6">
        <f>IFERROR(__xludf.DUMMYFUNCTION("""COMPUTED_VALUE"""),1737258.0)</f>
        <v>1737258</v>
      </c>
      <c r="J5177" s="6">
        <f>IFERROR(__xludf.DUMMYFUNCTION("""COMPUTED_VALUE"""),8686290.0)</f>
        <v>8686290</v>
      </c>
      <c r="K5177" s="57">
        <f>IFERROR(__xludf.DUMMYFUNCTION("""COMPUTED_VALUE"""),46213.0)</f>
        <v>46213</v>
      </c>
      <c r="L5177" s="6" t="str">
        <f>IFERROR(__xludf.DUMMYFUNCTION("""COMPUTED_VALUE"""),"FIP Engineering")</f>
        <v>FIP Engineering</v>
      </c>
      <c r="M5177" s="6" t="str">
        <f>IFERROR(__xludf.DUMMYFUNCTION("""COMPUTED_VALUE"""),"Mochammad Fadhillah Hakim,")</f>
        <v>Mochammad Fadhillah Hakim,</v>
      </c>
      <c r="N5177" s="6" t="str">
        <f>IFERROR(__xludf.DUMMYFUNCTION("""COMPUTED_VALUE"""),"FIP Engineering")</f>
        <v>FIP Engineering</v>
      </c>
      <c r="O5177" s="6" t="str">
        <f>IFERROR(__xludf.DUMMYFUNCTION("""COMPUTED_VALUE"""),"FIP-DOM-000-11304-OS00001-INA-000000")</f>
        <v>FIP-DOM-000-11304-OS00001-INA-000000</v>
      </c>
      <c r="P5177" s="6" t="str">
        <f>IFERROR(__xludf.DUMMYFUNCTION("""COMPUTED_VALUE"""),"PO Open")</f>
        <v>PO Open</v>
      </c>
      <c r="Q5177" s="6" t="str">
        <f>IFERROR(__xludf.DUMMYFUNCTION("""COMPUTED_VALUE"""),"GL2607373")</f>
        <v>GL2607373</v>
      </c>
      <c r="R5177" s="57">
        <f>IFERROR(__xludf.DUMMYFUNCTION("""COMPUTED_VALUE"""),46147.0)</f>
        <v>46147</v>
      </c>
      <c r="S5177" s="57">
        <f>IFERROR(__xludf.DUMMYFUNCTION("""COMPUTED_VALUE"""),46205.0)</f>
        <v>46205</v>
      </c>
      <c r="T5177" s="57">
        <f>IFERROR(__xludf.DUMMYFUNCTION("""COMPUTED_VALUE"""),46325.0)</f>
        <v>46325</v>
      </c>
    </row>
    <row r="5178">
      <c r="A5178" s="6" t="str">
        <f>IFERROR(__xludf.DUMMYFUNCTION("""COMPUTED_VALUE"""),"121704197-4")</f>
        <v>121704197-4</v>
      </c>
      <c r="B5178" s="6" t="str">
        <f>IFERROR(__xludf.DUMMYFUNCTION("""COMPUTED_VALUE"""),"121704197 - APPROVED")</f>
        <v>121704197 - APPROVED</v>
      </c>
      <c r="C5178" s="6">
        <f>IFERROR(__xludf.DUMMYFUNCTION("""COMPUTED_VALUE"""),4.0)</f>
        <v>4</v>
      </c>
      <c r="D5178" s="6" t="str">
        <f>IFERROR(__xludf.DUMMYFUNCTION("""COMPUTED_VALUE"""),"O-17393-00")</f>
        <v>O-17393-00</v>
      </c>
      <c r="E5178" s="6" t="str">
        <f>IFERROR(__xludf.DUMMYFUNCTION("""COMPUTED_VALUE"""),"Autoclave Fedegari FOF / 6 AC - O-Ring 6.02x2.62; p/n. CC150168; ; ;")</f>
        <v>Autoclave Fedegari FOF / 6 AC - O-Ring 6.02x2.62; p/n. CC150168; ; ;</v>
      </c>
      <c r="F5178" s="6">
        <f>IFERROR(__xludf.DUMMYFUNCTION("""COMPUTED_VALUE"""),10.0)</f>
        <v>10</v>
      </c>
      <c r="G5178" s="6" t="str">
        <f>IFERROR(__xludf.DUMMYFUNCTION("""COMPUTED_VALUE"""),"Pieces")</f>
        <v>Pieces</v>
      </c>
      <c r="H5178" s="6" t="str">
        <f>IFERROR(__xludf.DUMMYFUNCTION("""COMPUTED_VALUE"""),"IDR")</f>
        <v>IDR</v>
      </c>
      <c r="I5178" s="6">
        <f>IFERROR(__xludf.DUMMYFUNCTION("""COMPUTED_VALUE"""),25000.0)</f>
        <v>25000</v>
      </c>
      <c r="J5178" s="6">
        <f>IFERROR(__xludf.DUMMYFUNCTION("""COMPUTED_VALUE"""),250000.0)</f>
        <v>250000</v>
      </c>
      <c r="K5178" s="57">
        <f>IFERROR(__xludf.DUMMYFUNCTION("""COMPUTED_VALUE"""),46213.0)</f>
        <v>46213</v>
      </c>
      <c r="L5178" s="6" t="str">
        <f>IFERROR(__xludf.DUMMYFUNCTION("""COMPUTED_VALUE"""),"FIP Engineering")</f>
        <v>FIP Engineering</v>
      </c>
      <c r="M5178" s="6" t="str">
        <f>IFERROR(__xludf.DUMMYFUNCTION("""COMPUTED_VALUE"""),"Mochammad Fadhillah Hakim,")</f>
        <v>Mochammad Fadhillah Hakim,</v>
      </c>
      <c r="N5178" s="6" t="str">
        <f>IFERROR(__xludf.DUMMYFUNCTION("""COMPUTED_VALUE"""),"FIP Engineering")</f>
        <v>FIP Engineering</v>
      </c>
      <c r="O5178" s="6" t="str">
        <f>IFERROR(__xludf.DUMMYFUNCTION("""COMPUTED_VALUE"""),"FIP-DOM-000-11304-OS00001-INA-000000")</f>
        <v>FIP-DOM-000-11304-OS00001-INA-000000</v>
      </c>
      <c r="P5178" s="6" t="str">
        <f>IFERROR(__xludf.DUMMYFUNCTION("""COMPUTED_VALUE"""),"PO Open")</f>
        <v>PO Open</v>
      </c>
      <c r="Q5178" s="6" t="str">
        <f>IFERROR(__xludf.DUMMYFUNCTION("""COMPUTED_VALUE"""),"GL2607373")</f>
        <v>GL2607373</v>
      </c>
      <c r="R5178" s="57">
        <f>IFERROR(__xludf.DUMMYFUNCTION("""COMPUTED_VALUE"""),46147.0)</f>
        <v>46147</v>
      </c>
      <c r="S5178" s="57">
        <f>IFERROR(__xludf.DUMMYFUNCTION("""COMPUTED_VALUE"""),46205.0)</f>
        <v>46205</v>
      </c>
      <c r="T5178" s="57">
        <f>IFERROR(__xludf.DUMMYFUNCTION("""COMPUTED_VALUE"""),46325.0)</f>
        <v>46325</v>
      </c>
    </row>
    <row r="5179">
      <c r="A5179" s="6" t="str">
        <f>IFERROR(__xludf.DUMMYFUNCTION("""COMPUTED_VALUE"""),"121704197-5")</f>
        <v>121704197-5</v>
      </c>
      <c r="B5179" s="6" t="str">
        <f>IFERROR(__xludf.DUMMYFUNCTION("""COMPUTED_VALUE"""),"121704197 - APPROVED")</f>
        <v>121704197 - APPROVED</v>
      </c>
      <c r="C5179" s="6">
        <f>IFERROR(__xludf.DUMMYFUNCTION("""COMPUTED_VALUE"""),5.0)</f>
        <v>5</v>
      </c>
      <c r="D5179" s="6" t="str">
        <f>IFERROR(__xludf.DUMMYFUNCTION("""COMPUTED_VALUE"""),"O-17395-00")</f>
        <v>O-17395-00</v>
      </c>
      <c r="E5179" s="6" t="str">
        <f>IFERROR(__xludf.DUMMYFUNCTION("""COMPUTED_VALUE"""),"Autoclave Fedegari FOF / 6 AC - O-Ring 10.78x2.62; p/n. CC150169; ; ;")</f>
        <v>Autoclave Fedegari FOF / 6 AC - O-Ring 10.78x2.62; p/n. CC150169; ; ;</v>
      </c>
      <c r="F5179" s="6">
        <f>IFERROR(__xludf.DUMMYFUNCTION("""COMPUTED_VALUE"""),10.0)</f>
        <v>10</v>
      </c>
      <c r="G5179" s="6" t="str">
        <f>IFERROR(__xludf.DUMMYFUNCTION("""COMPUTED_VALUE"""),"Pieces")</f>
        <v>Pieces</v>
      </c>
      <c r="H5179" s="6" t="str">
        <f>IFERROR(__xludf.DUMMYFUNCTION("""COMPUTED_VALUE"""),"IDR")</f>
        <v>IDR</v>
      </c>
      <c r="I5179" s="6">
        <f>IFERROR(__xludf.DUMMYFUNCTION("""COMPUTED_VALUE"""),25000.0)</f>
        <v>25000</v>
      </c>
      <c r="J5179" s="6">
        <f>IFERROR(__xludf.DUMMYFUNCTION("""COMPUTED_VALUE"""),250000.0)</f>
        <v>250000</v>
      </c>
      <c r="K5179" s="57">
        <f>IFERROR(__xludf.DUMMYFUNCTION("""COMPUTED_VALUE"""),46213.0)</f>
        <v>46213</v>
      </c>
      <c r="L5179" s="6" t="str">
        <f>IFERROR(__xludf.DUMMYFUNCTION("""COMPUTED_VALUE"""),"FIP Engineering")</f>
        <v>FIP Engineering</v>
      </c>
      <c r="M5179" s="6" t="str">
        <f>IFERROR(__xludf.DUMMYFUNCTION("""COMPUTED_VALUE"""),"Mochammad Fadhillah Hakim,")</f>
        <v>Mochammad Fadhillah Hakim,</v>
      </c>
      <c r="N5179" s="6" t="str">
        <f>IFERROR(__xludf.DUMMYFUNCTION("""COMPUTED_VALUE"""),"FIP Engineering")</f>
        <v>FIP Engineering</v>
      </c>
      <c r="O5179" s="6" t="str">
        <f>IFERROR(__xludf.DUMMYFUNCTION("""COMPUTED_VALUE"""),"FIP-DOM-000-11304-OS00001-INA-000000")</f>
        <v>FIP-DOM-000-11304-OS00001-INA-000000</v>
      </c>
      <c r="P5179" s="6" t="str">
        <f>IFERROR(__xludf.DUMMYFUNCTION("""COMPUTED_VALUE"""),"PO Open")</f>
        <v>PO Open</v>
      </c>
      <c r="Q5179" s="6" t="str">
        <f>IFERROR(__xludf.DUMMYFUNCTION("""COMPUTED_VALUE"""),"GL2607373")</f>
        <v>GL2607373</v>
      </c>
      <c r="R5179" s="57">
        <f>IFERROR(__xludf.DUMMYFUNCTION("""COMPUTED_VALUE"""),46147.0)</f>
        <v>46147</v>
      </c>
      <c r="S5179" s="57">
        <f>IFERROR(__xludf.DUMMYFUNCTION("""COMPUTED_VALUE"""),46205.0)</f>
        <v>46205</v>
      </c>
      <c r="T5179" s="57">
        <f>IFERROR(__xludf.DUMMYFUNCTION("""COMPUTED_VALUE"""),46325.0)</f>
        <v>46325</v>
      </c>
    </row>
    <row r="5180">
      <c r="A5180" s="6" t="str">
        <f>IFERROR(__xludf.DUMMYFUNCTION("""COMPUTED_VALUE"""),"121704197-6")</f>
        <v>121704197-6</v>
      </c>
      <c r="B5180" s="6" t="str">
        <f>IFERROR(__xludf.DUMMYFUNCTION("""COMPUTED_VALUE"""),"121704197 - APPROVED")</f>
        <v>121704197 - APPROVED</v>
      </c>
      <c r="C5180" s="6">
        <f>IFERROR(__xludf.DUMMYFUNCTION("""COMPUTED_VALUE"""),6.0)</f>
        <v>6</v>
      </c>
      <c r="D5180" s="6" t="str">
        <f>IFERROR(__xludf.DUMMYFUNCTION("""COMPUTED_VALUE"""),"O-50697-00")</f>
        <v>O-50697-00</v>
      </c>
      <c r="E5180" s="6" t="str">
        <f>IFERROR(__xludf.DUMMYFUNCTION("""COMPUTED_VALUE"""),"Autoclave Fedegari FOF / 6 AC - P/N. KK000304-KIT RICAMBI VALV.DN16 ON-OFF")</f>
        <v>Autoclave Fedegari FOF / 6 AC - P/N. KK000304-KIT RICAMBI VALV.DN16 ON-OFF</v>
      </c>
      <c r="F5180" s="6">
        <f>IFERROR(__xludf.DUMMYFUNCTION("""COMPUTED_VALUE"""),5.0)</f>
        <v>5</v>
      </c>
      <c r="G5180" s="6" t="str">
        <f>IFERROR(__xludf.DUMMYFUNCTION("""COMPUTED_VALUE"""),"Pieces")</f>
        <v>Pieces</v>
      </c>
      <c r="H5180" s="6" t="str">
        <f>IFERROR(__xludf.DUMMYFUNCTION("""COMPUTED_VALUE"""),"IDR")</f>
        <v>IDR</v>
      </c>
      <c r="I5180" s="6">
        <f>IFERROR(__xludf.DUMMYFUNCTION("""COMPUTED_VALUE"""),1263460.0)</f>
        <v>1263460</v>
      </c>
      <c r="J5180" s="6">
        <f>IFERROR(__xludf.DUMMYFUNCTION("""COMPUTED_VALUE"""),6317300.0)</f>
        <v>6317300</v>
      </c>
      <c r="K5180" s="57">
        <f>IFERROR(__xludf.DUMMYFUNCTION("""COMPUTED_VALUE"""),46213.0)</f>
        <v>46213</v>
      </c>
      <c r="L5180" s="6" t="str">
        <f>IFERROR(__xludf.DUMMYFUNCTION("""COMPUTED_VALUE"""),"FIP Engineering")</f>
        <v>FIP Engineering</v>
      </c>
      <c r="M5180" s="6" t="str">
        <f>IFERROR(__xludf.DUMMYFUNCTION("""COMPUTED_VALUE"""),"Mochammad Fadhillah Hakim,")</f>
        <v>Mochammad Fadhillah Hakim,</v>
      </c>
      <c r="N5180" s="6" t="str">
        <f>IFERROR(__xludf.DUMMYFUNCTION("""COMPUTED_VALUE"""),"FIP Engineering")</f>
        <v>FIP Engineering</v>
      </c>
      <c r="O5180" s="6" t="str">
        <f>IFERROR(__xludf.DUMMYFUNCTION("""COMPUTED_VALUE"""),"FIP-DOM-000-11304-OS00001-INA-000000")</f>
        <v>FIP-DOM-000-11304-OS00001-INA-000000</v>
      </c>
      <c r="P5180" s="6" t="str">
        <f>IFERROR(__xludf.DUMMYFUNCTION("""COMPUTED_VALUE"""),"PO Open")</f>
        <v>PO Open</v>
      </c>
      <c r="Q5180" s="6" t="str">
        <f>IFERROR(__xludf.DUMMYFUNCTION("""COMPUTED_VALUE"""),"GL2607373")</f>
        <v>GL2607373</v>
      </c>
      <c r="R5180" s="57">
        <f>IFERROR(__xludf.DUMMYFUNCTION("""COMPUTED_VALUE"""),46147.0)</f>
        <v>46147</v>
      </c>
      <c r="S5180" s="57">
        <f>IFERROR(__xludf.DUMMYFUNCTION("""COMPUTED_VALUE"""),46205.0)</f>
        <v>46205</v>
      </c>
      <c r="T5180" s="57">
        <f>IFERROR(__xludf.DUMMYFUNCTION("""COMPUTED_VALUE"""),46325.0)</f>
        <v>46325</v>
      </c>
    </row>
    <row r="5181">
      <c r="A5181" s="6" t="str">
        <f>IFERROR(__xludf.DUMMYFUNCTION("""COMPUTED_VALUE"""),"121704197-8")</f>
        <v>121704197-8</v>
      </c>
      <c r="B5181" s="6" t="str">
        <f>IFERROR(__xludf.DUMMYFUNCTION("""COMPUTED_VALUE"""),"121704197 - APPROVED")</f>
        <v>121704197 - APPROVED</v>
      </c>
      <c r="C5181" s="6">
        <f>IFERROR(__xludf.DUMMYFUNCTION("""COMPUTED_VALUE"""),8.0)</f>
        <v>8</v>
      </c>
      <c r="D5181" s="6" t="str">
        <f>IFERROR(__xludf.DUMMYFUNCTION("""COMPUTED_VALUE"""),"O-52210-00")</f>
        <v>O-52210-00</v>
      </c>
      <c r="E5181" s="6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F5181" s="6">
        <f>IFERROR(__xludf.DUMMYFUNCTION("""COMPUTED_VALUE"""),2.0)</f>
        <v>2</v>
      </c>
      <c r="G5181" s="6" t="str">
        <f>IFERROR(__xludf.DUMMYFUNCTION("""COMPUTED_VALUE"""),"Pieces")</f>
        <v>Pieces</v>
      </c>
      <c r="H5181" s="6" t="str">
        <f>IFERROR(__xludf.DUMMYFUNCTION("""COMPUTED_VALUE"""),"IDR")</f>
        <v>IDR</v>
      </c>
      <c r="I5181" s="6">
        <f>IFERROR(__xludf.DUMMYFUNCTION("""COMPUTED_VALUE"""),3225900.0)</f>
        <v>3225900</v>
      </c>
      <c r="J5181" s="6">
        <f>IFERROR(__xludf.DUMMYFUNCTION("""COMPUTED_VALUE"""),6451800.0)</f>
        <v>6451800</v>
      </c>
      <c r="K5181" s="57">
        <f>IFERROR(__xludf.DUMMYFUNCTION("""COMPUTED_VALUE"""),46213.0)</f>
        <v>46213</v>
      </c>
      <c r="L5181" s="6" t="str">
        <f>IFERROR(__xludf.DUMMYFUNCTION("""COMPUTED_VALUE"""),"FIP Engineering")</f>
        <v>FIP Engineering</v>
      </c>
      <c r="M5181" s="6" t="str">
        <f>IFERROR(__xludf.DUMMYFUNCTION("""COMPUTED_VALUE"""),"Mochammad Fadhillah Hakim,")</f>
        <v>Mochammad Fadhillah Hakim,</v>
      </c>
      <c r="N5181" s="6" t="str">
        <f>IFERROR(__xludf.DUMMYFUNCTION("""COMPUTED_VALUE"""),"FIP Engineering")</f>
        <v>FIP Engineering</v>
      </c>
      <c r="O5181" s="6" t="str">
        <f>IFERROR(__xludf.DUMMYFUNCTION("""COMPUTED_VALUE"""),"FIP-DOM-000-11304-OS00001-INA-000000")</f>
        <v>FIP-DOM-000-11304-OS00001-INA-000000</v>
      </c>
      <c r="P5181" s="6" t="str">
        <f>IFERROR(__xludf.DUMMYFUNCTION("""COMPUTED_VALUE"""),"PO Open")</f>
        <v>PO Open</v>
      </c>
      <c r="Q5181" s="6" t="str">
        <f>IFERROR(__xludf.DUMMYFUNCTION("""COMPUTED_VALUE"""),"GL2607373")</f>
        <v>GL2607373</v>
      </c>
      <c r="R5181" s="57">
        <f>IFERROR(__xludf.DUMMYFUNCTION("""COMPUTED_VALUE"""),46147.0)</f>
        <v>46147</v>
      </c>
      <c r="S5181" s="57">
        <f>IFERROR(__xludf.DUMMYFUNCTION("""COMPUTED_VALUE"""),46205.0)</f>
        <v>46205</v>
      </c>
      <c r="T5181" s="57">
        <f>IFERROR(__xludf.DUMMYFUNCTION("""COMPUTED_VALUE"""),46325.0)</f>
        <v>46325</v>
      </c>
    </row>
    <row r="5182">
      <c r="A5182" s="6" t="str">
        <f>IFERROR(__xludf.DUMMYFUNCTION("""COMPUTED_VALUE"""),"121704201-1")</f>
        <v>121704201-1</v>
      </c>
      <c r="B5182" s="6" t="str">
        <f>IFERROR(__xludf.DUMMYFUNCTION("""COMPUTED_VALUE"""),"121704201 - APPROVED")</f>
        <v>121704201 - APPROVED</v>
      </c>
      <c r="C5182" s="6">
        <f>IFERROR(__xludf.DUMMYFUNCTION("""COMPUTED_VALUE"""),1.0)</f>
        <v>1</v>
      </c>
      <c r="D5182" s="6" t="str">
        <f>IFERROR(__xludf.DUMMYFUNCTION("""COMPUTED_VALUE"""),"P-11431-00")</f>
        <v>P-11431-00</v>
      </c>
      <c r="E5182" s="6" t="str">
        <f>IFERROR(__xludf.DUMMYFUNCTION("""COMPUTED_VALUE"""),"General - Plastic Tubing, PUN-H-8X1,25-BL; Festo; 197385; 1 m")</f>
        <v>General - Plastic Tubing, PUN-H-8X1,25-BL; Festo; 197385; 1 m</v>
      </c>
      <c r="F5182" s="6">
        <f>IFERROR(__xludf.DUMMYFUNCTION("""COMPUTED_VALUE"""),200.0)</f>
        <v>200</v>
      </c>
      <c r="G5182" s="6" t="str">
        <f>IFERROR(__xludf.DUMMYFUNCTION("""COMPUTED_VALUE"""),"Meter")</f>
        <v>Meter</v>
      </c>
      <c r="H5182" s="6" t="str">
        <f>IFERROR(__xludf.DUMMYFUNCTION("""COMPUTED_VALUE"""),"IDR")</f>
        <v>IDR</v>
      </c>
      <c r="I5182" s="6">
        <f>IFERROR(__xludf.DUMMYFUNCTION("""COMPUTED_VALUE"""),19903.0)</f>
        <v>19903</v>
      </c>
      <c r="J5182" s="6">
        <f>IFERROR(__xludf.DUMMYFUNCTION("""COMPUTED_VALUE"""),3980600.0)</f>
        <v>3980600</v>
      </c>
      <c r="K5182" s="57">
        <f>IFERROR(__xludf.DUMMYFUNCTION("""COMPUTED_VALUE"""),46178.0)</f>
        <v>46178</v>
      </c>
      <c r="L5182" s="6" t="str">
        <f>IFERROR(__xludf.DUMMYFUNCTION("""COMPUTED_VALUE"""),"FIP Engineering")</f>
        <v>FIP Engineering</v>
      </c>
      <c r="M5182" s="6" t="str">
        <f>IFERROR(__xludf.DUMMYFUNCTION("""COMPUTED_VALUE"""),"Mochammad Fadhillah Hakim,")</f>
        <v>Mochammad Fadhillah Hakim,</v>
      </c>
      <c r="N5182" s="6" t="str">
        <f>IFERROR(__xludf.DUMMYFUNCTION("""COMPUTED_VALUE"""),"FIP Engineering")</f>
        <v>FIP Engineering</v>
      </c>
      <c r="O5182" s="6" t="str">
        <f>IFERROR(__xludf.DUMMYFUNCTION("""COMPUTED_VALUE"""),"FIP-DOM-000-11304-OS00001-INA-000000")</f>
        <v>FIP-DOM-000-11304-OS00001-INA-000000</v>
      </c>
      <c r="P5182" s="6" t="str">
        <f>IFERROR(__xludf.DUMMYFUNCTION("""COMPUTED_VALUE"""),"PO Closed")</f>
        <v>PO Closed</v>
      </c>
      <c r="Q5182" s="6" t="str">
        <f>IFERROR(__xludf.DUMMYFUNCTION("""COMPUTED_VALUE"""),"GL2606017")</f>
        <v>GL2606017</v>
      </c>
      <c r="R5182" s="57">
        <f>IFERROR(__xludf.DUMMYFUNCTION("""COMPUTED_VALUE"""),46147.0)</f>
        <v>46147</v>
      </c>
      <c r="S5182" s="57">
        <f>IFERROR(__xludf.DUMMYFUNCTION("""COMPUTED_VALUE"""),46157.0)</f>
        <v>46157</v>
      </c>
      <c r="T5182" s="57">
        <f>IFERROR(__xludf.DUMMYFUNCTION("""COMPUTED_VALUE"""),46223.0)</f>
        <v>46223</v>
      </c>
    </row>
    <row r="5183">
      <c r="A5183" s="6" t="str">
        <f>IFERROR(__xludf.DUMMYFUNCTION("""COMPUTED_VALUE"""),"121704202-1")</f>
        <v>121704202-1</v>
      </c>
      <c r="B5183" s="6" t="str">
        <f>IFERROR(__xludf.DUMMYFUNCTION("""COMPUTED_VALUE"""),"121704202 - APPROVED")</f>
        <v>121704202 - APPROVED</v>
      </c>
      <c r="C5183" s="6">
        <f>IFERROR(__xludf.DUMMYFUNCTION("""COMPUTED_VALUE"""),1.0)</f>
        <v>1</v>
      </c>
      <c r="D5183" s="6" t="str">
        <f>IFERROR(__xludf.DUMMYFUNCTION("""COMPUTED_VALUE"""),"O-52878-00")</f>
        <v>O-52878-00</v>
      </c>
      <c r="E5183" s="6" t="str">
        <f>IFERROR(__xludf.DUMMYFUNCTION("""COMPUTED_VALUE"""),"General - Heat Sink untuk SSR; Fotex; -; 1 Pc")</f>
        <v>General - Heat Sink untuk SSR; Fotex; -; 1 Pc</v>
      </c>
      <c r="F5183" s="6">
        <f>IFERROR(__xludf.DUMMYFUNCTION("""COMPUTED_VALUE"""),5.0)</f>
        <v>5</v>
      </c>
      <c r="G5183" s="6" t="str">
        <f>IFERROR(__xludf.DUMMYFUNCTION("""COMPUTED_VALUE"""),"Pieces")</f>
        <v>Pieces</v>
      </c>
      <c r="H5183" s="6" t="str">
        <f>IFERROR(__xludf.DUMMYFUNCTION("""COMPUTED_VALUE"""),"IDR")</f>
        <v>IDR</v>
      </c>
      <c r="I5183" s="6">
        <f>IFERROR(__xludf.DUMMYFUNCTION("""COMPUTED_VALUE"""),135000.0)</f>
        <v>135000</v>
      </c>
      <c r="J5183" s="6">
        <f>IFERROR(__xludf.DUMMYFUNCTION("""COMPUTED_VALUE"""),675000.0)</f>
        <v>675000</v>
      </c>
      <c r="K5183" s="57">
        <f>IFERROR(__xludf.DUMMYFUNCTION("""COMPUTED_VALUE"""),46178.0)</f>
        <v>46178</v>
      </c>
      <c r="L5183" s="6" t="str">
        <f>IFERROR(__xludf.DUMMYFUNCTION("""COMPUTED_VALUE"""),"FIP Engineering")</f>
        <v>FIP Engineering</v>
      </c>
      <c r="M5183" s="6" t="str">
        <f>IFERROR(__xludf.DUMMYFUNCTION("""COMPUTED_VALUE"""),"Mochammad Fadhillah Hakim,")</f>
        <v>Mochammad Fadhillah Hakim,</v>
      </c>
      <c r="N5183" s="6" t="str">
        <f>IFERROR(__xludf.DUMMYFUNCTION("""COMPUTED_VALUE"""),"FIP Engineering")</f>
        <v>FIP Engineering</v>
      </c>
      <c r="O5183" s="6" t="str">
        <f>IFERROR(__xludf.DUMMYFUNCTION("""COMPUTED_VALUE"""),"FIP-DOM-000-11304-OS00001-INA-000000")</f>
        <v>FIP-DOM-000-11304-OS00001-INA-000000</v>
      </c>
      <c r="P5183" s="6" t="str">
        <f>IFERROR(__xludf.DUMMYFUNCTION("""COMPUTED_VALUE"""),"PO Closed")</f>
        <v>PO Closed</v>
      </c>
      <c r="Q5183" s="6" t="str">
        <f>IFERROR(__xludf.DUMMYFUNCTION("""COMPUTED_VALUE"""),"GL2605343")</f>
        <v>GL2605343</v>
      </c>
      <c r="R5183" s="57">
        <f>IFERROR(__xludf.DUMMYFUNCTION("""COMPUTED_VALUE"""),46147.0)</f>
        <v>46147</v>
      </c>
      <c r="S5183" s="57">
        <f>IFERROR(__xludf.DUMMYFUNCTION("""COMPUTED_VALUE"""),46157.0)</f>
        <v>46157</v>
      </c>
      <c r="T5183" s="57">
        <f>IFERROR(__xludf.DUMMYFUNCTION("""COMPUTED_VALUE"""),46209.0)</f>
        <v>46209</v>
      </c>
    </row>
    <row r="5184">
      <c r="A5184" s="6" t="str">
        <f>IFERROR(__xludf.DUMMYFUNCTION("""COMPUTED_VALUE"""),"121704203-1")</f>
        <v>121704203-1</v>
      </c>
      <c r="B5184" s="6" t="str">
        <f>IFERROR(__xludf.DUMMYFUNCTION("""COMPUTED_VALUE"""),"121704203 - APPROVED")</f>
        <v>121704203 - APPROVED</v>
      </c>
      <c r="C5184" s="6">
        <f>IFERROR(__xludf.DUMMYFUNCTION("""COMPUTED_VALUE"""),1.0)</f>
        <v>1</v>
      </c>
      <c r="D5184" s="6" t="str">
        <f>IFERROR(__xludf.DUMMYFUNCTION("""COMPUTED_VALUE"""),"P-52663-00")</f>
        <v>P-52663-00</v>
      </c>
      <c r="E5184" s="6" t="str">
        <f>IFERROR(__xludf.DUMMYFUNCTION("""COMPUTED_VALUE"""),"General - Solid State Relay (SSR) 3-32VDC 24-330VAC 40A; No Brand; -; 1 Pc")</f>
        <v>General - Solid State Relay (SSR) 3-32VDC 24-330VAC 40A; No Brand; -; 1 Pc</v>
      </c>
      <c r="F5184" s="6">
        <f>IFERROR(__xludf.DUMMYFUNCTION("""COMPUTED_VALUE"""),5.0)</f>
        <v>5</v>
      </c>
      <c r="G5184" s="6" t="str">
        <f>IFERROR(__xludf.DUMMYFUNCTION("""COMPUTED_VALUE"""),"Pieces")</f>
        <v>Pieces</v>
      </c>
      <c r="H5184" s="6" t="str">
        <f>IFERROR(__xludf.DUMMYFUNCTION("""COMPUTED_VALUE"""),"IDR")</f>
        <v>IDR</v>
      </c>
      <c r="I5184" s="6">
        <f>IFERROR(__xludf.DUMMYFUNCTION("""COMPUTED_VALUE"""),205000.0)</f>
        <v>205000</v>
      </c>
      <c r="J5184" s="6">
        <f>IFERROR(__xludf.DUMMYFUNCTION("""COMPUTED_VALUE"""),1025000.0)</f>
        <v>1025000</v>
      </c>
      <c r="K5184" s="57">
        <f>IFERROR(__xludf.DUMMYFUNCTION("""COMPUTED_VALUE"""),46178.0)</f>
        <v>46178</v>
      </c>
      <c r="L5184" s="6" t="str">
        <f>IFERROR(__xludf.DUMMYFUNCTION("""COMPUTED_VALUE"""),"FIP Engineering")</f>
        <v>FIP Engineering</v>
      </c>
      <c r="M5184" s="6" t="str">
        <f>IFERROR(__xludf.DUMMYFUNCTION("""COMPUTED_VALUE"""),"Mochammad Fadhillah Hakim,")</f>
        <v>Mochammad Fadhillah Hakim,</v>
      </c>
      <c r="N5184" s="6" t="str">
        <f>IFERROR(__xludf.DUMMYFUNCTION("""COMPUTED_VALUE"""),"FIP Engineering")</f>
        <v>FIP Engineering</v>
      </c>
      <c r="O5184" s="6" t="str">
        <f>IFERROR(__xludf.DUMMYFUNCTION("""COMPUTED_VALUE"""),"FIP-DOM-000-11304-OS00001-INA-000000")</f>
        <v>FIP-DOM-000-11304-OS00001-INA-000000</v>
      </c>
      <c r="P5184" s="6" t="str">
        <f>IFERROR(__xludf.DUMMYFUNCTION("""COMPUTED_VALUE"""),"PO Open")</f>
        <v>PO Open</v>
      </c>
      <c r="Q5184" s="6" t="str">
        <f>IFERROR(__xludf.DUMMYFUNCTION("""COMPUTED_VALUE"""),"GL2606013")</f>
        <v>GL2606013</v>
      </c>
      <c r="R5184" s="57">
        <f>IFERROR(__xludf.DUMMYFUNCTION("""COMPUTED_VALUE"""),46147.0)</f>
        <v>46147</v>
      </c>
      <c r="S5184" s="57">
        <f>IFERROR(__xludf.DUMMYFUNCTION("""COMPUTED_VALUE"""),46157.0)</f>
        <v>46157</v>
      </c>
      <c r="T5184" s="57">
        <f>IFERROR(__xludf.DUMMYFUNCTION("""COMPUTED_VALUE"""),46295.0)</f>
        <v>46295</v>
      </c>
    </row>
    <row r="5185">
      <c r="A5185" s="6" t="str">
        <f>IFERROR(__xludf.DUMMYFUNCTION("""COMPUTED_VALUE"""),"121704204-1")</f>
        <v>121704204-1</v>
      </c>
      <c r="B5185" s="6" t="str">
        <f>IFERROR(__xludf.DUMMYFUNCTION("""COMPUTED_VALUE"""),"121704204 - APPROVED")</f>
        <v>121704204 - APPROVED</v>
      </c>
      <c r="C5185" s="6">
        <f>IFERROR(__xludf.DUMMYFUNCTION("""COMPUTED_VALUE"""),1.0)</f>
        <v>1</v>
      </c>
      <c r="D5185" s="6" t="str">
        <f>IFERROR(__xludf.DUMMYFUNCTION("""COMPUTED_VALUE"""),"P-18725-00")</f>
        <v>P-18725-00</v>
      </c>
      <c r="E5185" s="6" t="str">
        <f>IFERROR(__xludf.DUMMYFUNCTION("""COMPUTED_VALUE"""),"General - Freon R507; Chemours; -; 1 pcs")</f>
        <v>General - Freon R507; Chemours; -; 1 pcs</v>
      </c>
      <c r="F5185" s="6">
        <f>IFERROR(__xludf.DUMMYFUNCTION("""COMPUTED_VALUE"""),3.0)</f>
        <v>3</v>
      </c>
      <c r="G5185" s="6" t="str">
        <f>IFERROR(__xludf.DUMMYFUNCTION("""COMPUTED_VALUE"""),"Can")</f>
        <v>Can</v>
      </c>
      <c r="H5185" s="6" t="str">
        <f>IFERROR(__xludf.DUMMYFUNCTION("""COMPUTED_VALUE"""),"IDR")</f>
        <v>IDR</v>
      </c>
      <c r="I5185" s="6">
        <f>IFERROR(__xludf.DUMMYFUNCTION("""COMPUTED_VALUE"""),2250000.0)</f>
        <v>2250000</v>
      </c>
      <c r="J5185" s="6">
        <f>IFERROR(__xludf.DUMMYFUNCTION("""COMPUTED_VALUE"""),6750000.0)</f>
        <v>6750000</v>
      </c>
      <c r="K5185" s="57">
        <f>IFERROR(__xludf.DUMMYFUNCTION("""COMPUTED_VALUE"""),46178.0)</f>
        <v>46178</v>
      </c>
      <c r="L5185" s="6" t="str">
        <f>IFERROR(__xludf.DUMMYFUNCTION("""COMPUTED_VALUE"""),"FIP Engineering")</f>
        <v>FIP Engineering</v>
      </c>
      <c r="M5185" s="6" t="str">
        <f>IFERROR(__xludf.DUMMYFUNCTION("""COMPUTED_VALUE"""),"Mochammad Fadhillah Hakim,")</f>
        <v>Mochammad Fadhillah Hakim,</v>
      </c>
      <c r="N5185" s="6" t="str">
        <f>IFERROR(__xludf.DUMMYFUNCTION("""COMPUTED_VALUE"""),"FIP Engineering")</f>
        <v>FIP Engineering</v>
      </c>
      <c r="O5185" s="6" t="str">
        <f>IFERROR(__xludf.DUMMYFUNCTION("""COMPUTED_VALUE"""),"FIP-DOM-000-11304-OS00001-INA-000000")</f>
        <v>FIP-DOM-000-11304-OS00001-INA-000000</v>
      </c>
      <c r="P5185" s="6" t="str">
        <f>IFERROR(__xludf.DUMMYFUNCTION("""COMPUTED_VALUE"""),"PO Closed")</f>
        <v>PO Closed</v>
      </c>
      <c r="Q5185" s="6" t="str">
        <f>IFERROR(__xludf.DUMMYFUNCTION("""COMPUTED_VALUE"""),"GL2605338")</f>
        <v>GL2605338</v>
      </c>
      <c r="R5185" s="57">
        <f>IFERROR(__xludf.DUMMYFUNCTION("""COMPUTED_VALUE"""),46147.0)</f>
        <v>46147</v>
      </c>
      <c r="S5185" s="57">
        <f>IFERROR(__xludf.DUMMYFUNCTION("""COMPUTED_VALUE"""),46157.0)</f>
        <v>46157</v>
      </c>
      <c r="T5185" s="57">
        <f>IFERROR(__xludf.DUMMYFUNCTION("""COMPUTED_VALUE"""),46203.0)</f>
        <v>46203</v>
      </c>
    </row>
    <row r="5186">
      <c r="A5186" s="6" t="str">
        <f>IFERROR(__xludf.DUMMYFUNCTION("""COMPUTED_VALUE"""),"121704205-1")</f>
        <v>121704205-1</v>
      </c>
      <c r="B5186" s="6" t="str">
        <f>IFERROR(__xludf.DUMMYFUNCTION("""COMPUTED_VALUE"""),"121704205 - APPROVED")</f>
        <v>121704205 - APPROVED</v>
      </c>
      <c r="C5186" s="6">
        <f>IFERROR(__xludf.DUMMYFUNCTION("""COMPUTED_VALUE"""),1.0)</f>
        <v>1</v>
      </c>
      <c r="D5186" s="6" t="str">
        <f>IFERROR(__xludf.DUMMYFUNCTION("""COMPUTED_VALUE"""),"O-53421-00")</f>
        <v>O-53421-00</v>
      </c>
      <c r="E5186" s="6" t="str">
        <f>IFERROR(__xludf.DUMMYFUNCTION("""COMPUTED_VALUE"""),"General - Analog Input Module 4AI 0-10 VDC, Light Gray; Wago; 750-468; 1 Pc")</f>
        <v>General - Analog Input Module 4AI 0-10 VDC, Light Gray; Wago; 750-468; 1 Pc</v>
      </c>
      <c r="F5186" s="6">
        <f>IFERROR(__xludf.DUMMYFUNCTION("""COMPUTED_VALUE"""),2.0)</f>
        <v>2</v>
      </c>
      <c r="G5186" s="6" t="str">
        <f>IFERROR(__xludf.DUMMYFUNCTION("""COMPUTED_VALUE"""),"Pieces")</f>
        <v>Pieces</v>
      </c>
      <c r="H5186" s="6" t="str">
        <f>IFERROR(__xludf.DUMMYFUNCTION("""COMPUTED_VALUE"""),"IDR")</f>
        <v>IDR</v>
      </c>
      <c r="I5186" s="6">
        <f>IFERROR(__xludf.DUMMYFUNCTION("""COMPUTED_VALUE"""),6225180.0)</f>
        <v>6225180</v>
      </c>
      <c r="J5186" s="6">
        <f>IFERROR(__xludf.DUMMYFUNCTION("""COMPUTED_VALUE"""),1.245036E7)</f>
        <v>12450360</v>
      </c>
      <c r="K5186" s="57">
        <f>IFERROR(__xludf.DUMMYFUNCTION("""COMPUTED_VALUE"""),46213.0)</f>
        <v>46213</v>
      </c>
      <c r="L5186" s="6" t="str">
        <f>IFERROR(__xludf.DUMMYFUNCTION("""COMPUTED_VALUE"""),"FIP Engineering")</f>
        <v>FIP Engineering</v>
      </c>
      <c r="M5186" s="6" t="str">
        <f>IFERROR(__xludf.DUMMYFUNCTION("""COMPUTED_VALUE"""),"Mochammad Fadhillah Hakim,")</f>
        <v>Mochammad Fadhillah Hakim,</v>
      </c>
      <c r="N5186" s="6" t="str">
        <f>IFERROR(__xludf.DUMMYFUNCTION("""COMPUTED_VALUE"""),"FIP Engineering")</f>
        <v>FIP Engineering</v>
      </c>
      <c r="O5186" s="6" t="str">
        <f>IFERROR(__xludf.DUMMYFUNCTION("""COMPUTED_VALUE"""),"FIP-DOM-000-11304-OS00001-INA-000000")</f>
        <v>FIP-DOM-000-11304-OS00001-INA-000000</v>
      </c>
      <c r="P5186" s="6" t="str">
        <f>IFERROR(__xludf.DUMMYFUNCTION("""COMPUTED_VALUE"""),"PO Closed")</f>
        <v>PO Closed</v>
      </c>
      <c r="Q5186" s="6" t="str">
        <f>IFERROR(__xludf.DUMMYFUNCTION("""COMPUTED_VALUE"""),"GL2605339")</f>
        <v>GL2605339</v>
      </c>
      <c r="R5186" s="57">
        <f>IFERROR(__xludf.DUMMYFUNCTION("""COMPUTED_VALUE"""),46147.0)</f>
        <v>46147</v>
      </c>
      <c r="S5186" s="57">
        <f>IFERROR(__xludf.DUMMYFUNCTION("""COMPUTED_VALUE"""),46157.0)</f>
        <v>46157</v>
      </c>
      <c r="T5186" s="57">
        <f>IFERROR(__xludf.DUMMYFUNCTION("""COMPUTED_VALUE"""),46213.0)</f>
        <v>46213</v>
      </c>
    </row>
    <row r="5187">
      <c r="A5187" s="6" t="str">
        <f>IFERROR(__xludf.DUMMYFUNCTION("""COMPUTED_VALUE"""),"121704206-1")</f>
        <v>121704206-1</v>
      </c>
      <c r="B5187" s="6" t="str">
        <f>IFERROR(__xludf.DUMMYFUNCTION("""COMPUTED_VALUE"""),"121704206 - APPROVED")</f>
        <v>121704206 - APPROVED</v>
      </c>
      <c r="C5187" s="6">
        <f>IFERROR(__xludf.DUMMYFUNCTION("""COMPUTED_VALUE"""),1.0)</f>
        <v>1</v>
      </c>
      <c r="D5187" s="6" t="str">
        <f>IFERROR(__xludf.DUMMYFUNCTION("""COMPUTED_VALUE"""),"O-51967-00")</f>
        <v>O-51967-00</v>
      </c>
      <c r="E5187" s="6" t="str">
        <f>IFERROR(__xludf.DUMMYFUNCTION("""COMPUTED_VALUE"""),"General - Solid State Relay 3-32 VDC - 330 VAC 25 A; Fotek; SSR 3-32; 1 Pc")</f>
        <v>General - Solid State Relay 3-32 VDC - 330 VAC 25 A; Fotek; SSR 3-32; 1 Pc</v>
      </c>
      <c r="F5187" s="6">
        <f>IFERROR(__xludf.DUMMYFUNCTION("""COMPUTED_VALUE"""),5.0)</f>
        <v>5</v>
      </c>
      <c r="G5187" s="6" t="str">
        <f>IFERROR(__xludf.DUMMYFUNCTION("""COMPUTED_VALUE"""),"Pieces")</f>
        <v>Pieces</v>
      </c>
      <c r="H5187" s="6" t="str">
        <f>IFERROR(__xludf.DUMMYFUNCTION("""COMPUTED_VALUE"""),"IDR")</f>
        <v>IDR</v>
      </c>
      <c r="I5187" s="6">
        <f>IFERROR(__xludf.DUMMYFUNCTION("""COMPUTED_VALUE"""),380000.0)</f>
        <v>380000</v>
      </c>
      <c r="J5187" s="6">
        <f>IFERROR(__xludf.DUMMYFUNCTION("""COMPUTED_VALUE"""),1900000.0)</f>
        <v>1900000</v>
      </c>
      <c r="K5187" s="57">
        <f>IFERROR(__xludf.DUMMYFUNCTION("""COMPUTED_VALUE"""),46178.0)</f>
        <v>46178</v>
      </c>
      <c r="L5187" s="6" t="str">
        <f>IFERROR(__xludf.DUMMYFUNCTION("""COMPUTED_VALUE"""),"FIP Engineering")</f>
        <v>FIP Engineering</v>
      </c>
      <c r="M5187" s="6" t="str">
        <f>IFERROR(__xludf.DUMMYFUNCTION("""COMPUTED_VALUE"""),"Mochammad Fadhillah Hakim,")</f>
        <v>Mochammad Fadhillah Hakim,</v>
      </c>
      <c r="N5187" s="6" t="str">
        <f>IFERROR(__xludf.DUMMYFUNCTION("""COMPUTED_VALUE"""),"FIP Engineering")</f>
        <v>FIP Engineering</v>
      </c>
      <c r="O5187" s="6" t="str">
        <f>IFERROR(__xludf.DUMMYFUNCTION("""COMPUTED_VALUE"""),"FIP-DOM-000-11304-OS00001-INA-000000")</f>
        <v>FIP-DOM-000-11304-OS00001-INA-000000</v>
      </c>
      <c r="P5187" s="6" t="str">
        <f>IFERROR(__xludf.DUMMYFUNCTION("""COMPUTED_VALUE"""),"PO Closed")</f>
        <v>PO Closed</v>
      </c>
      <c r="Q5187" s="6" t="str">
        <f>IFERROR(__xludf.DUMMYFUNCTION("""COMPUTED_VALUE"""),"GL2605344")</f>
        <v>GL2605344</v>
      </c>
      <c r="R5187" s="57">
        <f>IFERROR(__xludf.DUMMYFUNCTION("""COMPUTED_VALUE"""),46147.0)</f>
        <v>46147</v>
      </c>
      <c r="S5187" s="57">
        <f>IFERROR(__xludf.DUMMYFUNCTION("""COMPUTED_VALUE"""),46157.0)</f>
        <v>46157</v>
      </c>
      <c r="T5187" s="57">
        <f>IFERROR(__xludf.DUMMYFUNCTION("""COMPUTED_VALUE"""),46208.0)</f>
        <v>46208</v>
      </c>
    </row>
    <row r="5188">
      <c r="A5188" s="6" t="str">
        <f>IFERROR(__xludf.DUMMYFUNCTION("""COMPUTED_VALUE"""),"121704207-1")</f>
        <v>121704207-1</v>
      </c>
      <c r="B5188" s="6" t="str">
        <f>IFERROR(__xludf.DUMMYFUNCTION("""COMPUTED_VALUE"""),"121704207 - APPROVED")</f>
        <v>121704207 - APPROVED</v>
      </c>
      <c r="C5188" s="6">
        <f>IFERROR(__xludf.DUMMYFUNCTION("""COMPUTED_VALUE"""),1.0)</f>
        <v>1</v>
      </c>
      <c r="D5188" s="6" t="str">
        <f>IFERROR(__xludf.DUMMYFUNCTION("""COMPUTED_VALUE"""),"P-51706-00")</f>
        <v>P-51706-00</v>
      </c>
      <c r="E5188" s="6" t="str">
        <f>IFERROR(__xludf.DUMMYFUNCTION("""COMPUTED_VALUE"""),"General - Terminal Block, 4 Pin; No Brand; -; 1 pcs")</f>
        <v>General - Terminal Block, 4 Pin; No Brand; -; 1 pcs</v>
      </c>
      <c r="F5188" s="6">
        <f>IFERROR(__xludf.DUMMYFUNCTION("""COMPUTED_VALUE"""),4.0)</f>
        <v>4</v>
      </c>
      <c r="G5188" s="6" t="str">
        <f>IFERROR(__xludf.DUMMYFUNCTION("""COMPUTED_VALUE"""),"Pieces")</f>
        <v>Pieces</v>
      </c>
      <c r="H5188" s="6" t="str">
        <f>IFERROR(__xludf.DUMMYFUNCTION("""COMPUTED_VALUE"""),"IDR")</f>
        <v>IDR</v>
      </c>
      <c r="I5188" s="6">
        <f>IFERROR(__xludf.DUMMYFUNCTION("""COMPUTED_VALUE"""),9400.0)</f>
        <v>9400</v>
      </c>
      <c r="J5188" s="6">
        <f>IFERROR(__xludf.DUMMYFUNCTION("""COMPUTED_VALUE"""),37600.0)</f>
        <v>37600</v>
      </c>
      <c r="K5188" s="57">
        <f>IFERROR(__xludf.DUMMYFUNCTION("""COMPUTED_VALUE"""),46149.0)</f>
        <v>46149</v>
      </c>
      <c r="L5188" s="6" t="str">
        <f>IFERROR(__xludf.DUMMYFUNCTION("""COMPUTED_VALUE"""),"FIP Engineering")</f>
        <v>FIP Engineering</v>
      </c>
      <c r="M5188" s="6" t="str">
        <f>IFERROR(__xludf.DUMMYFUNCTION("""COMPUTED_VALUE"""),"Mochammad Fadhillah Hakim,")</f>
        <v>Mochammad Fadhillah Hakim,</v>
      </c>
      <c r="N5188" s="6" t="str">
        <f>IFERROR(__xludf.DUMMYFUNCTION("""COMPUTED_VALUE"""),"FIP Engineering")</f>
        <v>FIP Engineering</v>
      </c>
      <c r="O5188" s="6" t="str">
        <f>IFERROR(__xludf.DUMMYFUNCTION("""COMPUTED_VALUE"""),"FIP-DOM-000-11304-OS00001-INA-000000")</f>
        <v>FIP-DOM-000-11304-OS00001-INA-000000</v>
      </c>
      <c r="P5188" s="6" t="str">
        <f>IFERROR(__xludf.DUMMYFUNCTION("""COMPUTED_VALUE"""),"PO Closed")</f>
        <v>PO Closed</v>
      </c>
      <c r="Q5188" s="6" t="str">
        <f>IFERROR(__xludf.DUMMYFUNCTION("""COMPUTED_VALUE"""),"GL2605338")</f>
        <v>GL2605338</v>
      </c>
      <c r="R5188" s="57">
        <f>IFERROR(__xludf.DUMMYFUNCTION("""COMPUTED_VALUE"""),46147.0)</f>
        <v>46147</v>
      </c>
      <c r="S5188" s="57">
        <f>IFERROR(__xludf.DUMMYFUNCTION("""COMPUTED_VALUE"""),46157.0)</f>
        <v>46157</v>
      </c>
      <c r="T5188" s="57">
        <f>IFERROR(__xludf.DUMMYFUNCTION("""COMPUTED_VALUE"""),46203.0)</f>
        <v>46203</v>
      </c>
    </row>
    <row r="5189">
      <c r="A5189" s="6" t="str">
        <f>IFERROR(__xludf.DUMMYFUNCTION("""COMPUTED_VALUE"""),"121704207-2")</f>
        <v>121704207-2</v>
      </c>
      <c r="B5189" s="6" t="str">
        <f>IFERROR(__xludf.DUMMYFUNCTION("""COMPUTED_VALUE"""),"121704207 - APPROVED")</f>
        <v>121704207 - APPROVED</v>
      </c>
      <c r="C5189" s="6">
        <f>IFERROR(__xludf.DUMMYFUNCTION("""COMPUTED_VALUE"""),2.0)</f>
        <v>2</v>
      </c>
      <c r="D5189" s="6" t="str">
        <f>IFERROR(__xludf.DUMMYFUNCTION("""COMPUTED_VALUE"""),"P-53293-00")</f>
        <v>P-53293-00</v>
      </c>
      <c r="E5189" s="6" t="str">
        <f>IFERROR(__xludf.DUMMYFUNCTION("""COMPUTED_VALUE"""),"General - Lampu Emergency TL LED 16W Waterproof IP65; Briliant; -; 1 pc")</f>
        <v>General - Lampu Emergency TL LED 16W Waterproof IP65; Briliant; -; 1 pc</v>
      </c>
      <c r="F5189" s="6">
        <f>IFERROR(__xludf.DUMMYFUNCTION("""COMPUTED_VALUE"""),15.0)</f>
        <v>15</v>
      </c>
      <c r="G5189" s="6" t="str">
        <f>IFERROR(__xludf.DUMMYFUNCTION("""COMPUTED_VALUE"""),"Pieces")</f>
        <v>Pieces</v>
      </c>
      <c r="H5189" s="6" t="str">
        <f>IFERROR(__xludf.DUMMYFUNCTION("""COMPUTED_VALUE"""),"IDR")</f>
        <v>IDR</v>
      </c>
      <c r="I5189" s="6">
        <f>IFERROR(__xludf.DUMMYFUNCTION("""COMPUTED_VALUE"""),481000.0)</f>
        <v>481000</v>
      </c>
      <c r="J5189" s="6">
        <f>IFERROR(__xludf.DUMMYFUNCTION("""COMPUTED_VALUE"""),7215000.0)</f>
        <v>7215000</v>
      </c>
      <c r="K5189" s="57">
        <f>IFERROR(__xludf.DUMMYFUNCTION("""COMPUTED_VALUE"""),46149.0)</f>
        <v>46149</v>
      </c>
      <c r="L5189" s="6" t="str">
        <f>IFERROR(__xludf.DUMMYFUNCTION("""COMPUTED_VALUE"""),"FIP Engineering")</f>
        <v>FIP Engineering</v>
      </c>
      <c r="M5189" s="6" t="str">
        <f>IFERROR(__xludf.DUMMYFUNCTION("""COMPUTED_VALUE"""),"Mochammad Fadhillah Hakim,")</f>
        <v>Mochammad Fadhillah Hakim,</v>
      </c>
      <c r="N5189" s="6" t="str">
        <f>IFERROR(__xludf.DUMMYFUNCTION("""COMPUTED_VALUE"""),"FIP Engineering")</f>
        <v>FIP Engineering</v>
      </c>
      <c r="O5189" s="6" t="str">
        <f>IFERROR(__xludf.DUMMYFUNCTION("""COMPUTED_VALUE"""),"FIP-DOM-000-11304-OS00001-INA-000000")</f>
        <v>FIP-DOM-000-11304-OS00001-INA-000000</v>
      </c>
      <c r="P5189" s="6" t="str">
        <f>IFERROR(__xludf.DUMMYFUNCTION("""COMPUTED_VALUE"""),"PO Closed")</f>
        <v>PO Closed</v>
      </c>
      <c r="Q5189" s="6" t="str">
        <f>IFERROR(__xludf.DUMMYFUNCTION("""COMPUTED_VALUE"""),"GL2605338")</f>
        <v>GL2605338</v>
      </c>
      <c r="R5189" s="57">
        <f>IFERROR(__xludf.DUMMYFUNCTION("""COMPUTED_VALUE"""),46147.0)</f>
        <v>46147</v>
      </c>
      <c r="S5189" s="57">
        <f>IFERROR(__xludf.DUMMYFUNCTION("""COMPUTED_VALUE"""),46157.0)</f>
        <v>46157</v>
      </c>
      <c r="T5189" s="57">
        <f>IFERROR(__xludf.DUMMYFUNCTION("""COMPUTED_VALUE"""),46203.0)</f>
        <v>46203</v>
      </c>
    </row>
    <row r="5190">
      <c r="A5190" s="6" t="str">
        <f>IFERROR(__xludf.DUMMYFUNCTION("""COMPUTED_VALUE"""),"121704208-1")</f>
        <v>121704208-1</v>
      </c>
      <c r="B5190" s="6" t="str">
        <f>IFERROR(__xludf.DUMMYFUNCTION("""COMPUTED_VALUE"""),"121704208 - APPROVED")</f>
        <v>121704208 - APPROVED</v>
      </c>
      <c r="C5190" s="6">
        <f>IFERROR(__xludf.DUMMYFUNCTION("""COMPUTED_VALUE"""),1.0)</f>
        <v>1</v>
      </c>
      <c r="D5190" s="6" t="str">
        <f>IFERROR(__xludf.DUMMYFUNCTION("""COMPUTED_VALUE"""),"P-14955-00")</f>
        <v>P-14955-00</v>
      </c>
      <c r="E5190" s="6" t="str">
        <f>IFERROR(__xludf.DUMMYFUNCTION("""COMPUTED_VALUE"""),"Straight Union KQ2H04-00A; ; ;")</f>
        <v>Straight Union KQ2H04-00A; ; ;</v>
      </c>
      <c r="F5190" s="6">
        <f>IFERROR(__xludf.DUMMYFUNCTION("""COMPUTED_VALUE"""),4.0)</f>
        <v>4</v>
      </c>
      <c r="G5190" s="6" t="str">
        <f>IFERROR(__xludf.DUMMYFUNCTION("""COMPUTED_VALUE"""),"Pieces")</f>
        <v>Pieces</v>
      </c>
      <c r="H5190" s="6" t="str">
        <f>IFERROR(__xludf.DUMMYFUNCTION("""COMPUTED_VALUE"""),"IDR")</f>
        <v>IDR</v>
      </c>
      <c r="I5190" s="6">
        <f>IFERROR(__xludf.DUMMYFUNCTION("""COMPUTED_VALUE"""),29000.0)</f>
        <v>29000</v>
      </c>
      <c r="J5190" s="6">
        <f>IFERROR(__xludf.DUMMYFUNCTION("""COMPUTED_VALUE"""),116000.0)</f>
        <v>116000</v>
      </c>
      <c r="K5190" s="57">
        <f>IFERROR(__xludf.DUMMYFUNCTION("""COMPUTED_VALUE"""),46178.0)</f>
        <v>46178</v>
      </c>
      <c r="L5190" s="6" t="str">
        <f>IFERROR(__xludf.DUMMYFUNCTION("""COMPUTED_VALUE"""),"FIP Engineering")</f>
        <v>FIP Engineering</v>
      </c>
      <c r="M5190" s="6" t="str">
        <f>IFERROR(__xludf.DUMMYFUNCTION("""COMPUTED_VALUE"""),"Mochammad Fadhillah Hakim,")</f>
        <v>Mochammad Fadhillah Hakim,</v>
      </c>
      <c r="N5190" s="6" t="str">
        <f>IFERROR(__xludf.DUMMYFUNCTION("""COMPUTED_VALUE"""),"FIP Engineering")</f>
        <v>FIP Engineering</v>
      </c>
      <c r="O5190" s="6" t="str">
        <f>IFERROR(__xludf.DUMMYFUNCTION("""COMPUTED_VALUE"""),"FIP-DOM-000-11304-OS00001-INA-000000")</f>
        <v>FIP-DOM-000-11304-OS00001-INA-000000</v>
      </c>
      <c r="P5190" s="6" t="str">
        <f>IFERROR(__xludf.DUMMYFUNCTION("""COMPUTED_VALUE"""),"PO Closed")</f>
        <v>PO Closed</v>
      </c>
      <c r="Q5190" s="6" t="str">
        <f>IFERROR(__xludf.DUMMYFUNCTION("""COMPUTED_VALUE"""),"GL2605030")</f>
        <v>GL2605030</v>
      </c>
      <c r="R5190" s="57">
        <f>IFERROR(__xludf.DUMMYFUNCTION("""COMPUTED_VALUE"""),46147.0)</f>
        <v>46147</v>
      </c>
      <c r="S5190" s="57">
        <f>IFERROR(__xludf.DUMMYFUNCTION("""COMPUTED_VALUE"""),46157.0)</f>
        <v>46157</v>
      </c>
      <c r="T5190" s="57">
        <f>IFERROR(__xludf.DUMMYFUNCTION("""COMPUTED_VALUE"""),46193.0)</f>
        <v>46193</v>
      </c>
    </row>
    <row r="5191">
      <c r="A5191" s="6" t="str">
        <f>IFERROR(__xludf.DUMMYFUNCTION("""COMPUTED_VALUE"""),"121704209-1")</f>
        <v>121704209-1</v>
      </c>
      <c r="B5191" s="6" t="str">
        <f>IFERROR(__xludf.DUMMYFUNCTION("""COMPUTED_VALUE"""),"121704209 - APPROVED")</f>
        <v>121704209 - APPROVED</v>
      </c>
      <c r="C5191" s="6">
        <f>IFERROR(__xludf.DUMMYFUNCTION("""COMPUTED_VALUE"""),1.0)</f>
        <v>1</v>
      </c>
      <c r="D5191" s="6" t="str">
        <f>IFERROR(__xludf.DUMMYFUNCTION("""COMPUTED_VALUE"""),"P-18140-00")</f>
        <v>P-18140-00</v>
      </c>
      <c r="E5191" s="6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F5191" s="6">
        <f>IFERROR(__xludf.DUMMYFUNCTION("""COMPUTED_VALUE"""),2.0)</f>
        <v>2</v>
      </c>
      <c r="G5191" s="6" t="str">
        <f>IFERROR(__xludf.DUMMYFUNCTION("""COMPUTED_VALUE"""),"Pieces")</f>
        <v>Pieces</v>
      </c>
      <c r="H5191" s="6" t="str">
        <f>IFERROR(__xludf.DUMMYFUNCTION("""COMPUTED_VALUE"""),"IDR")</f>
        <v>IDR</v>
      </c>
      <c r="I5191" s="6">
        <f>IFERROR(__xludf.DUMMYFUNCTION("""COMPUTED_VALUE"""),1621620.0)</f>
        <v>1621620</v>
      </c>
      <c r="J5191" s="6">
        <f>IFERROR(__xludf.DUMMYFUNCTION("""COMPUTED_VALUE"""),3243240.0)</f>
        <v>3243240</v>
      </c>
      <c r="K5191" s="57">
        <f>IFERROR(__xludf.DUMMYFUNCTION("""COMPUTED_VALUE"""),46178.0)</f>
        <v>46178</v>
      </c>
      <c r="L5191" s="6" t="str">
        <f>IFERROR(__xludf.DUMMYFUNCTION("""COMPUTED_VALUE"""),"FIP Engineering")</f>
        <v>FIP Engineering</v>
      </c>
      <c r="M5191" s="6" t="str">
        <f>IFERROR(__xludf.DUMMYFUNCTION("""COMPUTED_VALUE"""),"Mochammad Fadhillah Hakim,")</f>
        <v>Mochammad Fadhillah Hakim,</v>
      </c>
      <c r="N5191" s="6" t="str">
        <f>IFERROR(__xludf.DUMMYFUNCTION("""COMPUTED_VALUE"""),"FIP Engineering")</f>
        <v>FIP Engineering</v>
      </c>
      <c r="O5191" s="6" t="str">
        <f>IFERROR(__xludf.DUMMYFUNCTION("""COMPUTED_VALUE"""),"FIP-DOM-000-11304-OS00001-INA-000000")</f>
        <v>FIP-DOM-000-11304-OS00001-INA-000000</v>
      </c>
      <c r="P5191" s="6" t="str">
        <f>IFERROR(__xludf.DUMMYFUNCTION("""COMPUTED_VALUE"""),"PO Open")</f>
        <v>PO Open</v>
      </c>
      <c r="Q5191" s="6" t="str">
        <f>IFERROR(__xludf.DUMMYFUNCTION("""COMPUTED_VALUE"""),"GL2605044")</f>
        <v>GL2605044</v>
      </c>
      <c r="R5191" s="57">
        <f>IFERROR(__xludf.DUMMYFUNCTION("""COMPUTED_VALUE"""),46147.0)</f>
        <v>46147</v>
      </c>
      <c r="S5191" s="57">
        <f>IFERROR(__xludf.DUMMYFUNCTION("""COMPUTED_VALUE"""),46157.0)</f>
        <v>46157</v>
      </c>
      <c r="T5191" s="57">
        <f>IFERROR(__xludf.DUMMYFUNCTION("""COMPUTED_VALUE"""),46269.0)</f>
        <v>46269</v>
      </c>
    </row>
    <row r="5192">
      <c r="A5192" s="6" t="str">
        <f>IFERROR(__xludf.DUMMYFUNCTION("""COMPUTED_VALUE"""),"121704210-1")</f>
        <v>121704210-1</v>
      </c>
      <c r="B5192" s="6" t="str">
        <f>IFERROR(__xludf.DUMMYFUNCTION("""COMPUTED_VALUE"""),"121704210 - APPROVED")</f>
        <v>121704210 - APPROVED</v>
      </c>
      <c r="C5192" s="6">
        <f>IFERROR(__xludf.DUMMYFUNCTION("""COMPUTED_VALUE"""),1.0)</f>
        <v>1</v>
      </c>
      <c r="D5192" s="6" t="str">
        <f>IFERROR(__xludf.DUMMYFUNCTION("""COMPUTED_VALUE"""),"Q-10128-00")</f>
        <v>Q-10128-00</v>
      </c>
      <c r="E5192" s="6" t="str">
        <f>IFERROR(__xludf.DUMMYFUNCTION("""COMPUTED_VALUE"""),"Thinner Super End/Impala @ 1 Liter")</f>
        <v>Thinner Super End/Impala @ 1 Liter</v>
      </c>
      <c r="F5192" s="6">
        <f>IFERROR(__xludf.DUMMYFUNCTION("""COMPUTED_VALUE"""),10.0)</f>
        <v>10</v>
      </c>
      <c r="G5192" s="6" t="str">
        <f>IFERROR(__xludf.DUMMYFUNCTION("""COMPUTED_VALUE"""),"Pieces")</f>
        <v>Pieces</v>
      </c>
      <c r="H5192" s="6" t="str">
        <f>IFERROR(__xludf.DUMMYFUNCTION("""COMPUTED_VALUE"""),"IDR")</f>
        <v>IDR</v>
      </c>
      <c r="I5192" s="6">
        <f>IFERROR(__xludf.DUMMYFUNCTION("""COMPUTED_VALUE"""),37500.0)</f>
        <v>37500</v>
      </c>
      <c r="J5192" s="6">
        <f>IFERROR(__xludf.DUMMYFUNCTION("""COMPUTED_VALUE"""),375000.0)</f>
        <v>375000</v>
      </c>
      <c r="K5192" s="57">
        <f>IFERROR(__xludf.DUMMYFUNCTION("""COMPUTED_VALUE"""),46178.0)</f>
        <v>46178</v>
      </c>
      <c r="L5192" s="6" t="str">
        <f>IFERROR(__xludf.DUMMYFUNCTION("""COMPUTED_VALUE"""),"FIP Engineering")</f>
        <v>FIP Engineering</v>
      </c>
      <c r="M5192" s="6" t="str">
        <f>IFERROR(__xludf.DUMMYFUNCTION("""COMPUTED_VALUE"""),"Mochammad Fadhillah Hakim,")</f>
        <v>Mochammad Fadhillah Hakim,</v>
      </c>
      <c r="N5192" s="6" t="str">
        <f>IFERROR(__xludf.DUMMYFUNCTION("""COMPUTED_VALUE"""),"FIP Engineering")</f>
        <v>FIP Engineering</v>
      </c>
      <c r="O5192" s="6" t="str">
        <f>IFERROR(__xludf.DUMMYFUNCTION("""COMPUTED_VALUE"""),"FIP-DOM-000-11304-OS00001-INA-000000")</f>
        <v>FIP-DOM-000-11304-OS00001-INA-000000</v>
      </c>
      <c r="P5192" s="6" t="str">
        <f>IFERROR(__xludf.DUMMYFUNCTION("""COMPUTED_VALUE"""),"PO Closed")</f>
        <v>PO Closed</v>
      </c>
      <c r="Q5192" s="6" t="str">
        <f>IFERROR(__xludf.DUMMYFUNCTION("""COMPUTED_VALUE"""),"GL2606003")</f>
        <v>GL2606003</v>
      </c>
      <c r="R5192" s="57">
        <f>IFERROR(__xludf.DUMMYFUNCTION("""COMPUTED_VALUE"""),46147.0)</f>
        <v>46147</v>
      </c>
      <c r="S5192" s="57">
        <f>IFERROR(__xludf.DUMMYFUNCTION("""COMPUTED_VALUE"""),46157.0)</f>
        <v>46157</v>
      </c>
      <c r="T5192" s="57">
        <f>IFERROR(__xludf.DUMMYFUNCTION("""COMPUTED_VALUE"""),46192.0)</f>
        <v>46192</v>
      </c>
    </row>
    <row r="5193">
      <c r="A5193" s="6" t="str">
        <f>IFERROR(__xludf.DUMMYFUNCTION("""COMPUTED_VALUE"""),"121704211-1")</f>
        <v>121704211-1</v>
      </c>
      <c r="B5193" s="6" t="str">
        <f>IFERROR(__xludf.DUMMYFUNCTION("""COMPUTED_VALUE"""),"121704211 - APPROVED")</f>
        <v>121704211 - APPROVED</v>
      </c>
      <c r="C5193" s="6">
        <f>IFERROR(__xludf.DUMMYFUNCTION("""COMPUTED_VALUE"""),1.0)</f>
        <v>1</v>
      </c>
      <c r="D5193" s="6" t="str">
        <f>IFERROR(__xludf.DUMMYFUNCTION("""COMPUTED_VALUE"""),"S-60050-00")</f>
        <v>S-60050-00</v>
      </c>
      <c r="E5193" s="6" t="str">
        <f>IFERROR(__xludf.DUMMYFUNCTION("""COMPUTED_VALUE"""),"Jasa Perbaikan dan Pemeliharaan Mesin Produksi; ; ; - Tolls Wash Lance Washing Reorder GL2506028")</f>
        <v>Jasa Perbaikan dan Pemeliharaan Mesin Produksi; ; ; - Tolls Wash Lance Washing Reorder GL2506028</v>
      </c>
      <c r="F5193" s="6">
        <f>IFERROR(__xludf.DUMMYFUNCTION("""COMPUTED_VALUE"""),1.0)</f>
        <v>1</v>
      </c>
      <c r="G5193" s="6" t="str">
        <f>IFERROR(__xludf.DUMMYFUNCTION("""COMPUTED_VALUE"""),"Pieces")</f>
        <v>Pieces</v>
      </c>
      <c r="H5193" s="6" t="str">
        <f>IFERROR(__xludf.DUMMYFUNCTION("""COMPUTED_VALUE"""),"IDR")</f>
        <v>IDR</v>
      </c>
      <c r="I5193" s="6">
        <f>IFERROR(__xludf.DUMMYFUNCTION("""COMPUTED_VALUE"""),2500000.0)</f>
        <v>2500000</v>
      </c>
      <c r="J5193" s="6">
        <f>IFERROR(__xludf.DUMMYFUNCTION("""COMPUTED_VALUE"""),2500000.0)</f>
        <v>2500000</v>
      </c>
      <c r="K5193" s="57">
        <f>IFERROR(__xludf.DUMMYFUNCTION("""COMPUTED_VALUE"""),46178.0)</f>
        <v>46178</v>
      </c>
      <c r="L5193" s="6" t="str">
        <f>IFERROR(__xludf.DUMMYFUNCTION("""COMPUTED_VALUE"""),"FIP General")</f>
        <v>FIP General</v>
      </c>
      <c r="M5193" s="6" t="str">
        <f>IFERROR(__xludf.DUMMYFUNCTION("""COMPUTED_VALUE"""),"Mochammad Fadhillah Hakim,")</f>
        <v>Mochammad Fadhillah Hakim,</v>
      </c>
      <c r="N5193" s="6" t="str">
        <f>IFERROR(__xludf.DUMMYFUNCTION("""COMPUTED_VALUE"""),"FIP Engineering")</f>
        <v>FIP Engineering</v>
      </c>
      <c r="O5193" s="6" t="str">
        <f>IFERROR(__xludf.DUMMYFUNCTION("""COMPUTED_VALUE"""),"FIP-DOM-ENG-51504-0000000-INA-000000")</f>
        <v>FIP-DOM-ENG-51504-0000000-INA-000000</v>
      </c>
      <c r="P5193" s="6" t="str">
        <f>IFERROR(__xludf.DUMMYFUNCTION("""COMPUTED_VALUE"""),"PO Open")</f>
        <v>PO Open</v>
      </c>
      <c r="Q5193" s="6" t="str">
        <f>IFERROR(__xludf.DUMMYFUNCTION("""COMPUTED_VALUE"""),"GL2605041")</f>
        <v>GL2605041</v>
      </c>
      <c r="R5193" s="57">
        <f>IFERROR(__xludf.DUMMYFUNCTION("""COMPUTED_VALUE"""),46147.0)</f>
        <v>46147</v>
      </c>
      <c r="S5193" s="57">
        <f>IFERROR(__xludf.DUMMYFUNCTION("""COMPUTED_VALUE"""),46157.0)</f>
        <v>46157</v>
      </c>
      <c r="T5193" s="57">
        <f>IFERROR(__xludf.DUMMYFUNCTION("""COMPUTED_VALUE"""),46203.0)</f>
        <v>46203</v>
      </c>
    </row>
    <row r="5194">
      <c r="A5194" s="6" t="str">
        <f>IFERROR(__xludf.DUMMYFUNCTION("""COMPUTED_VALUE"""),"121704212-1")</f>
        <v>121704212-1</v>
      </c>
      <c r="B5194" s="6" t="str">
        <f>IFERROR(__xludf.DUMMYFUNCTION("""COMPUTED_VALUE"""),"121704212 - APPROVED")</f>
        <v>121704212 - APPROVED</v>
      </c>
      <c r="C5194" s="6">
        <f>IFERROR(__xludf.DUMMYFUNCTION("""COMPUTED_VALUE"""),1.0)</f>
        <v>1</v>
      </c>
      <c r="D5194" s="6" t="str">
        <f>IFERROR(__xludf.DUMMYFUNCTION("""COMPUTED_VALUE"""),"P-54218-00")</f>
        <v>P-54218-00</v>
      </c>
      <c r="E5194" s="6" t="str">
        <f>IFERROR(__xludf.DUMMYFUNCTION("""COMPUTED_VALUE"""),"General - Vertical Float Level Switch; Wingel; VSS-2FJ-S4-L720-FS45-HT; 1 Pc")</f>
        <v>General - Vertical Float Level Switch; Wingel; VSS-2FJ-S4-L720-FS45-HT; 1 Pc</v>
      </c>
      <c r="F5194" s="6">
        <f>IFERROR(__xludf.DUMMYFUNCTION("""COMPUTED_VALUE"""),2.0)</f>
        <v>2</v>
      </c>
      <c r="G5194" s="6" t="str">
        <f>IFERROR(__xludf.DUMMYFUNCTION("""COMPUTED_VALUE"""),"Pieces")</f>
        <v>Pieces</v>
      </c>
      <c r="H5194" s="6" t="str">
        <f>IFERROR(__xludf.DUMMYFUNCTION("""COMPUTED_VALUE"""),"IDR")</f>
        <v>IDR</v>
      </c>
      <c r="I5194" s="6">
        <f>IFERROR(__xludf.DUMMYFUNCTION("""COMPUTED_VALUE"""),4500000.0)</f>
        <v>4500000</v>
      </c>
      <c r="J5194" s="6">
        <f>IFERROR(__xludf.DUMMYFUNCTION("""COMPUTED_VALUE"""),9000000.0)</f>
        <v>9000000</v>
      </c>
      <c r="K5194" s="57">
        <f>IFERROR(__xludf.DUMMYFUNCTION("""COMPUTED_VALUE"""),46192.0)</f>
        <v>46192</v>
      </c>
      <c r="L5194" s="6" t="str">
        <f>IFERROR(__xludf.DUMMYFUNCTION("""COMPUTED_VALUE"""),"FIP Engineering")</f>
        <v>FIP Engineering</v>
      </c>
      <c r="M5194" s="6" t="str">
        <f>IFERROR(__xludf.DUMMYFUNCTION("""COMPUTED_VALUE"""),"Mochammad Fadhillah Hakim,")</f>
        <v>Mochammad Fadhillah Hakim,</v>
      </c>
      <c r="N5194" s="6" t="str">
        <f>IFERROR(__xludf.DUMMYFUNCTION("""COMPUTED_VALUE"""),"FIP Engineering")</f>
        <v>FIP Engineering</v>
      </c>
      <c r="O5194" s="6" t="str">
        <f>IFERROR(__xludf.DUMMYFUNCTION("""COMPUTED_VALUE"""),"FIP-DOM-000-11304-OS00001-INA-000000")</f>
        <v>FIP-DOM-000-11304-OS00001-INA-000000</v>
      </c>
      <c r="P5194" s="6" t="str">
        <f>IFERROR(__xludf.DUMMYFUNCTION("""COMPUTED_VALUE"""),"PO Closed")</f>
        <v>PO Closed</v>
      </c>
      <c r="Q5194" s="6" t="str">
        <f>IFERROR(__xludf.DUMMYFUNCTION("""COMPUTED_VALUE"""),"GL2605028")</f>
        <v>GL2605028</v>
      </c>
      <c r="R5194" s="57">
        <f>IFERROR(__xludf.DUMMYFUNCTION("""COMPUTED_VALUE"""),46147.0)</f>
        <v>46147</v>
      </c>
      <c r="S5194" s="57">
        <f>IFERROR(__xludf.DUMMYFUNCTION("""COMPUTED_VALUE"""),46157.0)</f>
        <v>46157</v>
      </c>
      <c r="T5194" s="57">
        <f>IFERROR(__xludf.DUMMYFUNCTION("""COMPUTED_VALUE"""),46193.0)</f>
        <v>46193</v>
      </c>
    </row>
    <row r="5195">
      <c r="A5195" s="6" t="str">
        <f>IFERROR(__xludf.DUMMYFUNCTION("""COMPUTED_VALUE"""),"121704213-1")</f>
        <v>121704213-1</v>
      </c>
      <c r="B5195" s="6" t="str">
        <f>IFERROR(__xludf.DUMMYFUNCTION("""COMPUTED_VALUE"""),"121704213 - APPROVED")</f>
        <v>121704213 - APPROVED</v>
      </c>
      <c r="C5195" s="6">
        <f>IFERROR(__xludf.DUMMYFUNCTION("""COMPUTED_VALUE"""),1.0)</f>
        <v>1</v>
      </c>
      <c r="D5195" s="6" t="str">
        <f>IFERROR(__xludf.DUMMYFUNCTION("""COMPUTED_VALUE"""),"P-17361-00")</f>
        <v>P-17361-00</v>
      </c>
      <c r="E5195" s="6" t="str">
        <f>IFERROR(__xludf.DUMMYFUNCTION("""COMPUTED_VALUE"""),"General - O-ring EPDM 15 x 9 x 3 mm; No Brand; -; 1 pc")</f>
        <v>General - O-ring EPDM 15 x 9 x 3 mm; No Brand; -; 1 pc</v>
      </c>
      <c r="F5195" s="6">
        <f>IFERROR(__xludf.DUMMYFUNCTION("""COMPUTED_VALUE"""),13.0)</f>
        <v>13</v>
      </c>
      <c r="G5195" s="6" t="str">
        <f>IFERROR(__xludf.DUMMYFUNCTION("""COMPUTED_VALUE"""),"Pieces")</f>
        <v>Pieces</v>
      </c>
      <c r="H5195" s="6" t="str">
        <f>IFERROR(__xludf.DUMMYFUNCTION("""COMPUTED_VALUE"""),"IDR")</f>
        <v>IDR</v>
      </c>
      <c r="I5195" s="6">
        <f>IFERROR(__xludf.DUMMYFUNCTION("""COMPUTED_VALUE"""),25000.0)</f>
        <v>25000</v>
      </c>
      <c r="J5195" s="6">
        <f>IFERROR(__xludf.DUMMYFUNCTION("""COMPUTED_VALUE"""),325000.0)</f>
        <v>325000</v>
      </c>
      <c r="K5195" s="57">
        <f>IFERROR(__xludf.DUMMYFUNCTION("""COMPUTED_VALUE"""),46178.0)</f>
        <v>46178</v>
      </c>
      <c r="L5195" s="6" t="str">
        <f>IFERROR(__xludf.DUMMYFUNCTION("""COMPUTED_VALUE"""),"FIP Engineering")</f>
        <v>FIP Engineering</v>
      </c>
      <c r="M5195" s="6" t="str">
        <f>IFERROR(__xludf.DUMMYFUNCTION("""COMPUTED_VALUE"""),"Mochammad Fadhillah Hakim,")</f>
        <v>Mochammad Fadhillah Hakim,</v>
      </c>
      <c r="N5195" s="6" t="str">
        <f>IFERROR(__xludf.DUMMYFUNCTION("""COMPUTED_VALUE"""),"FIP Engineering")</f>
        <v>FIP Engineering</v>
      </c>
      <c r="O5195" s="6" t="str">
        <f>IFERROR(__xludf.DUMMYFUNCTION("""COMPUTED_VALUE"""),"FIP-DOM-000-11304-OS00001-INA-000000")</f>
        <v>FIP-DOM-000-11304-OS00001-INA-000000</v>
      </c>
      <c r="P5195" s="6" t="str">
        <f>IFERROR(__xludf.DUMMYFUNCTION("""COMPUTED_VALUE"""),"PO Closed")</f>
        <v>PO Closed</v>
      </c>
      <c r="Q5195" s="6" t="str">
        <f>IFERROR(__xludf.DUMMYFUNCTION("""COMPUTED_VALUE"""),"GL2605337")</f>
        <v>GL2605337</v>
      </c>
      <c r="R5195" s="57">
        <f>IFERROR(__xludf.DUMMYFUNCTION("""COMPUTED_VALUE"""),46147.0)</f>
        <v>46147</v>
      </c>
      <c r="S5195" s="57">
        <f>IFERROR(__xludf.DUMMYFUNCTION("""COMPUTED_VALUE"""),46150.0)</f>
        <v>46150</v>
      </c>
      <c r="T5195" s="57">
        <f>IFERROR(__xludf.DUMMYFUNCTION("""COMPUTED_VALUE"""),46193.0)</f>
        <v>46193</v>
      </c>
    </row>
    <row r="5196">
      <c r="A5196" s="6" t="str">
        <f>IFERROR(__xludf.DUMMYFUNCTION("""COMPUTED_VALUE"""),"121704214-1")</f>
        <v>121704214-1</v>
      </c>
      <c r="B5196" s="6" t="str">
        <f>IFERROR(__xludf.DUMMYFUNCTION("""COMPUTED_VALUE"""),"121704214 - APPROVED")</f>
        <v>121704214 - APPROVED</v>
      </c>
      <c r="C5196" s="6">
        <f>IFERROR(__xludf.DUMMYFUNCTION("""COMPUTED_VALUE"""),1.0)</f>
        <v>1</v>
      </c>
      <c r="D5196" s="6" t="str">
        <f>IFERROR(__xludf.DUMMYFUNCTION("""COMPUTED_VALUE"""),"P-52590-00")</f>
        <v>P-52590-00</v>
      </c>
      <c r="E5196" s="6" t="str">
        <f>IFERROR(__xludf.DUMMYFUNCTION("""COMPUTED_VALUE"""),"General - Heater Ducting Dia. 11.2 x 300mm 220V 5000W; No Brand; -; 1 Pc")</f>
        <v>General - Heater Ducting Dia. 11.2 x 300mm 220V 5000W; No Brand; -; 1 Pc</v>
      </c>
      <c r="F5196" s="6">
        <f>IFERROR(__xludf.DUMMYFUNCTION("""COMPUTED_VALUE"""),3.0)</f>
        <v>3</v>
      </c>
      <c r="G5196" s="6" t="str">
        <f>IFERROR(__xludf.DUMMYFUNCTION("""COMPUTED_VALUE"""),"Pieces")</f>
        <v>Pieces</v>
      </c>
      <c r="H5196" s="6" t="str">
        <f>IFERROR(__xludf.DUMMYFUNCTION("""COMPUTED_VALUE"""),"IDR")</f>
        <v>IDR</v>
      </c>
      <c r="I5196" s="6">
        <f>IFERROR(__xludf.DUMMYFUNCTION("""COMPUTED_VALUE"""),1000000.0)</f>
        <v>1000000</v>
      </c>
      <c r="J5196" s="6">
        <f>IFERROR(__xludf.DUMMYFUNCTION("""COMPUTED_VALUE"""),3000000.0)</f>
        <v>3000000</v>
      </c>
      <c r="K5196" s="57">
        <f>IFERROR(__xludf.DUMMYFUNCTION("""COMPUTED_VALUE"""),46178.0)</f>
        <v>46178</v>
      </c>
      <c r="L5196" s="6" t="str">
        <f>IFERROR(__xludf.DUMMYFUNCTION("""COMPUTED_VALUE"""),"FIP Engineering")</f>
        <v>FIP Engineering</v>
      </c>
      <c r="M5196" s="6" t="str">
        <f>IFERROR(__xludf.DUMMYFUNCTION("""COMPUTED_VALUE"""),"Mochammad Fadhillah Hakim,")</f>
        <v>Mochammad Fadhillah Hakim,</v>
      </c>
      <c r="N5196" s="6" t="str">
        <f>IFERROR(__xludf.DUMMYFUNCTION("""COMPUTED_VALUE"""),"FIP Engineering")</f>
        <v>FIP Engineering</v>
      </c>
      <c r="O5196" s="6" t="str">
        <f>IFERROR(__xludf.DUMMYFUNCTION("""COMPUTED_VALUE"""),"FIP-DOM-000-11304-OS00001-INA-000000")</f>
        <v>FIP-DOM-000-11304-OS00001-INA-000000</v>
      </c>
      <c r="P5196" s="6" t="str">
        <f>IFERROR(__xludf.DUMMYFUNCTION("""COMPUTED_VALUE"""),"PO Closed")</f>
        <v>PO Closed</v>
      </c>
      <c r="Q5196" s="6" t="str">
        <f>IFERROR(__xludf.DUMMYFUNCTION("""COMPUTED_VALUE"""),"GL2605027")</f>
        <v>GL2605027</v>
      </c>
      <c r="R5196" s="57">
        <f>IFERROR(__xludf.DUMMYFUNCTION("""COMPUTED_VALUE"""),46147.0)</f>
        <v>46147</v>
      </c>
      <c r="S5196" s="57">
        <f>IFERROR(__xludf.DUMMYFUNCTION("""COMPUTED_VALUE"""),46150.0)</f>
        <v>46150</v>
      </c>
      <c r="T5196" s="57">
        <f>IFERROR(__xludf.DUMMYFUNCTION("""COMPUTED_VALUE"""),46193.0)</f>
        <v>46193</v>
      </c>
    </row>
    <row r="5197">
      <c r="A5197" s="6" t="str">
        <f>IFERROR(__xludf.DUMMYFUNCTION("""COMPUTED_VALUE"""),"121704215-1")</f>
        <v>121704215-1</v>
      </c>
      <c r="B5197" s="6" t="str">
        <f>IFERROR(__xludf.DUMMYFUNCTION("""COMPUTED_VALUE"""),"121704215 - APPROVED")</f>
        <v>121704215 - APPROVED</v>
      </c>
      <c r="C5197" s="6">
        <f>IFERROR(__xludf.DUMMYFUNCTION("""COMPUTED_VALUE"""),1.0)</f>
        <v>1</v>
      </c>
      <c r="D5197" s="6" t="str">
        <f>IFERROR(__xludf.DUMMYFUNCTION("""COMPUTED_VALUE"""),"O-53392-00")</f>
        <v>O-53392-00</v>
      </c>
      <c r="E5197" s="6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F5197" s="6">
        <f>IFERROR(__xludf.DUMMYFUNCTION("""COMPUTED_VALUE"""),2.0)</f>
        <v>2</v>
      </c>
      <c r="G5197" s="6" t="str">
        <f>IFERROR(__xludf.DUMMYFUNCTION("""COMPUTED_VALUE"""),"Pieces")</f>
        <v>Pieces</v>
      </c>
      <c r="H5197" s="6" t="str">
        <f>IFERROR(__xludf.DUMMYFUNCTION("""COMPUTED_VALUE"""),"IDR")</f>
        <v>IDR</v>
      </c>
      <c r="I5197" s="6">
        <f>IFERROR(__xludf.DUMMYFUNCTION("""COMPUTED_VALUE"""),1850000.0)</f>
        <v>1850000</v>
      </c>
      <c r="J5197" s="6">
        <f>IFERROR(__xludf.DUMMYFUNCTION("""COMPUTED_VALUE"""),3700000.0)</f>
        <v>3700000</v>
      </c>
      <c r="K5197" s="57">
        <f>IFERROR(__xludf.DUMMYFUNCTION("""COMPUTED_VALUE"""),46178.0)</f>
        <v>46178</v>
      </c>
      <c r="L5197" s="6" t="str">
        <f>IFERROR(__xludf.DUMMYFUNCTION("""COMPUTED_VALUE"""),"FIP Engineering")</f>
        <v>FIP Engineering</v>
      </c>
      <c r="M5197" s="6" t="str">
        <f>IFERROR(__xludf.DUMMYFUNCTION("""COMPUTED_VALUE"""),"Mochammad Fadhillah Hakim,")</f>
        <v>Mochammad Fadhillah Hakim,</v>
      </c>
      <c r="N5197" s="6" t="str">
        <f>IFERROR(__xludf.DUMMYFUNCTION("""COMPUTED_VALUE"""),"FIP Engineering")</f>
        <v>FIP Engineering</v>
      </c>
      <c r="O5197" s="6" t="str">
        <f>IFERROR(__xludf.DUMMYFUNCTION("""COMPUTED_VALUE"""),"FIP-DOM-000-11304-OS00001-INA-000000")</f>
        <v>FIP-DOM-000-11304-OS00001-INA-000000</v>
      </c>
      <c r="P5197" s="6" t="str">
        <f>IFERROR(__xludf.DUMMYFUNCTION("""COMPUTED_VALUE"""),"PO Closed")</f>
        <v>PO Closed</v>
      </c>
      <c r="Q5197" s="6" t="str">
        <f>IFERROR(__xludf.DUMMYFUNCTION("""COMPUTED_VALUE"""),"GL2605339")</f>
        <v>GL2605339</v>
      </c>
      <c r="R5197" s="57">
        <f>IFERROR(__xludf.DUMMYFUNCTION("""COMPUTED_VALUE"""),46147.0)</f>
        <v>46147</v>
      </c>
      <c r="S5197" s="57">
        <f>IFERROR(__xludf.DUMMYFUNCTION("""COMPUTED_VALUE"""),46150.0)</f>
        <v>46150</v>
      </c>
      <c r="T5197" s="57">
        <f>IFERROR(__xludf.DUMMYFUNCTION("""COMPUTED_VALUE"""),46213.0)</f>
        <v>46213</v>
      </c>
    </row>
    <row r="5198">
      <c r="A5198" s="6" t="str">
        <f>IFERROR(__xludf.DUMMYFUNCTION("""COMPUTED_VALUE"""),"121704226-1")</f>
        <v>121704226-1</v>
      </c>
      <c r="B5198" s="6" t="str">
        <f>IFERROR(__xludf.DUMMYFUNCTION("""COMPUTED_VALUE"""),"121704226 - APPROVED")</f>
        <v>121704226 - APPROVED</v>
      </c>
      <c r="C5198" s="6">
        <f>IFERROR(__xludf.DUMMYFUNCTION("""COMPUTED_VALUE"""),1.0)</f>
        <v>1</v>
      </c>
      <c r="D5198" s="6" t="str">
        <f>IFERROR(__xludf.DUMMYFUNCTION("""COMPUTED_VALUE"""),"Q-90000-00")</f>
        <v>Q-90000-00</v>
      </c>
      <c r="E5198" s="6" t="str">
        <f>IFERROR(__xludf.DUMMYFUNCTION("""COMPUTED_VALUE"""),"Building Maintenance Pure Expense;;; - Pembuatan Man Hole Gorong Gorong")</f>
        <v>Building Maintenance Pure Expense;;; - Pembuatan Man Hole Gorong Gorong</v>
      </c>
      <c r="F5198" s="6">
        <f>IFERROR(__xludf.DUMMYFUNCTION("""COMPUTED_VALUE"""),1.0)</f>
        <v>1</v>
      </c>
      <c r="G5198" s="6" t="str">
        <f>IFERROR(__xludf.DUMMYFUNCTION("""COMPUTED_VALUE"""),"Unit")</f>
        <v>Unit</v>
      </c>
      <c r="H5198" s="6" t="str">
        <f>IFERROR(__xludf.DUMMYFUNCTION("""COMPUTED_VALUE"""),"IDR")</f>
        <v>IDR</v>
      </c>
      <c r="I5198" s="6">
        <f>IFERROR(__xludf.DUMMYFUNCTION("""COMPUTED_VALUE"""),3.3E7)</f>
        <v>33000000</v>
      </c>
      <c r="J5198" s="6">
        <f>IFERROR(__xludf.DUMMYFUNCTION("""COMPUTED_VALUE"""),3.3E7)</f>
        <v>33000000</v>
      </c>
      <c r="K5198" s="57">
        <f>IFERROR(__xludf.DUMMYFUNCTION("""COMPUTED_VALUE"""),46185.0)</f>
        <v>46185</v>
      </c>
      <c r="L5198" s="6" t="str">
        <f>IFERROR(__xludf.DUMMYFUNCTION("""COMPUTED_VALUE"""),"FIP General")</f>
        <v>FIP General</v>
      </c>
      <c r="M5198" s="6" t="str">
        <f>IFERROR(__xludf.DUMMYFUNCTION("""COMPUTED_VALUE"""),"Mochammad Fadhillah Hakim,")</f>
        <v>Mochammad Fadhillah Hakim,</v>
      </c>
      <c r="N5198" s="6" t="str">
        <f>IFERROR(__xludf.DUMMYFUNCTION("""COMPUTED_VALUE"""),"FIP Engineering")</f>
        <v>FIP Engineering</v>
      </c>
      <c r="O5198" s="6" t="str">
        <f>IFERROR(__xludf.DUMMYFUNCTION("""COMPUTED_VALUE"""),"FIP-DOM-ENG-51502-0000000-INA-000000")</f>
        <v>FIP-DOM-ENG-51502-0000000-INA-000000</v>
      </c>
      <c r="P5198" s="6" t="str">
        <f>IFERROR(__xludf.DUMMYFUNCTION("""COMPUTED_VALUE"""),"PO Closed")</f>
        <v>PO Closed</v>
      </c>
      <c r="Q5198" s="6" t="str">
        <f>IFERROR(__xludf.DUMMYFUNCTION("""COMPUTED_VALUE"""),"GL2606006")</f>
        <v>GL2606006</v>
      </c>
      <c r="R5198" s="57">
        <f>IFERROR(__xludf.DUMMYFUNCTION("""COMPUTED_VALUE"""),46154.0)</f>
        <v>46154</v>
      </c>
      <c r="S5198" s="57">
        <f>IFERROR(__xludf.DUMMYFUNCTION("""COMPUTED_VALUE"""),46161.0)</f>
        <v>46161</v>
      </c>
      <c r="T5198" s="57">
        <f>IFERROR(__xludf.DUMMYFUNCTION("""COMPUTED_VALUE"""),46234.0)</f>
        <v>46234</v>
      </c>
    </row>
    <row r="5199">
      <c r="A5199" s="6" t="str">
        <f>IFERROR(__xludf.DUMMYFUNCTION("""COMPUTED_VALUE"""),"121704234-1")</f>
        <v>121704234-1</v>
      </c>
      <c r="B5199" s="6" t="str">
        <f>IFERROR(__xludf.DUMMYFUNCTION("""COMPUTED_VALUE"""),"121704234 - APPROVED")</f>
        <v>121704234 - APPROVED</v>
      </c>
      <c r="C5199" s="6">
        <f>IFERROR(__xludf.DUMMYFUNCTION("""COMPUTED_VALUE"""),1.0)</f>
        <v>1</v>
      </c>
      <c r="D5199" s="6" t="str">
        <f>IFERROR(__xludf.DUMMYFUNCTION("""COMPUTED_VALUE"""),"Q-60503-00")</f>
        <v>Q-60503-00</v>
      </c>
      <c r="E5199" s="6" t="str">
        <f>IFERROR(__xludf.DUMMYFUNCTION("""COMPUTED_VALUE"""),"Silicone Sealant;Silglaze;Type N10 Grey;pack size per pcs")</f>
        <v>Silicone Sealant;Silglaze;Type N10 Grey;pack size per pcs</v>
      </c>
      <c r="F5199" s="6">
        <f>IFERROR(__xludf.DUMMYFUNCTION("""COMPUTED_VALUE"""),25.0)</f>
        <v>25</v>
      </c>
      <c r="G5199" s="6" t="str">
        <f>IFERROR(__xludf.DUMMYFUNCTION("""COMPUTED_VALUE"""),"Pieces")</f>
        <v>Pieces</v>
      </c>
      <c r="H5199" s="6" t="str">
        <f>IFERROR(__xludf.DUMMYFUNCTION("""COMPUTED_VALUE"""),"IDR")</f>
        <v>IDR</v>
      </c>
      <c r="I5199" s="6">
        <f>IFERROR(__xludf.DUMMYFUNCTION("""COMPUTED_VALUE"""),41000.0)</f>
        <v>41000</v>
      </c>
      <c r="J5199" s="6">
        <f>IFERROR(__xludf.DUMMYFUNCTION("""COMPUTED_VALUE"""),1025000.0)</f>
        <v>1025000</v>
      </c>
      <c r="K5199" s="57">
        <f>IFERROR(__xludf.DUMMYFUNCTION("""COMPUTED_VALUE"""),46191.0)</f>
        <v>46191</v>
      </c>
      <c r="L5199" s="6" t="str">
        <f>IFERROR(__xludf.DUMMYFUNCTION("""COMPUTED_VALUE"""),"FIP Engineering")</f>
        <v>FIP Engineering</v>
      </c>
      <c r="M5199" s="6" t="str">
        <f>IFERROR(__xludf.DUMMYFUNCTION("""COMPUTED_VALUE"""),"Mochammad Fadhillah Hakim,")</f>
        <v>Mochammad Fadhillah Hakim,</v>
      </c>
      <c r="N5199" s="6" t="str">
        <f>IFERROR(__xludf.DUMMYFUNCTION("""COMPUTED_VALUE"""),"FIP Engineering")</f>
        <v>FIP Engineering</v>
      </c>
      <c r="O5199" s="6" t="str">
        <f>IFERROR(__xludf.DUMMYFUNCTION("""COMPUTED_VALUE"""),"FIP-DOM-000-11304-OS00001-INA-000000")</f>
        <v>FIP-DOM-000-11304-OS00001-INA-000000</v>
      </c>
      <c r="P5199" s="6" t="str">
        <f>IFERROR(__xludf.DUMMYFUNCTION("""COMPUTED_VALUE"""),"PO Closed")</f>
        <v>PO Closed</v>
      </c>
      <c r="Q5199" s="6" t="str">
        <f>IFERROR(__xludf.DUMMYFUNCTION("""COMPUTED_VALUE"""),"GL2606005")</f>
        <v>GL2606005</v>
      </c>
      <c r="R5199" s="57">
        <f>IFERROR(__xludf.DUMMYFUNCTION("""COMPUTED_VALUE"""),46160.0)</f>
        <v>46160</v>
      </c>
      <c r="S5199" s="57">
        <f>IFERROR(__xludf.DUMMYFUNCTION("""COMPUTED_VALUE"""),46161.0)</f>
        <v>46161</v>
      </c>
      <c r="T5199" s="57">
        <f>IFERROR(__xludf.DUMMYFUNCTION("""COMPUTED_VALUE"""),46192.0)</f>
        <v>46192</v>
      </c>
    </row>
    <row r="5200">
      <c r="A5200" s="6" t="str">
        <f>IFERROR(__xludf.DUMMYFUNCTION("""COMPUTED_VALUE"""),"121704234-2")</f>
        <v>121704234-2</v>
      </c>
      <c r="B5200" s="6" t="str">
        <f>IFERROR(__xludf.DUMMYFUNCTION("""COMPUTED_VALUE"""),"121704234 - APPROVED")</f>
        <v>121704234 - APPROVED</v>
      </c>
      <c r="C5200" s="6">
        <f>IFERROR(__xludf.DUMMYFUNCTION("""COMPUTED_VALUE"""),2.0)</f>
        <v>2</v>
      </c>
      <c r="D5200" s="6" t="str">
        <f>IFERROR(__xludf.DUMMYFUNCTION("""COMPUTED_VALUE"""),"S-46129-00")</f>
        <v>S-46129-00</v>
      </c>
      <c r="E5200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F5200" s="6">
        <f>IFERROR(__xludf.DUMMYFUNCTION("""COMPUTED_VALUE"""),20.0)</f>
        <v>20</v>
      </c>
      <c r="G5200" s="6" t="str">
        <f>IFERROR(__xludf.DUMMYFUNCTION("""COMPUTED_VALUE"""),"Roll")</f>
        <v>Roll</v>
      </c>
      <c r="H5200" s="6" t="str">
        <f>IFERROR(__xludf.DUMMYFUNCTION("""COMPUTED_VALUE"""),"IDR")</f>
        <v>IDR</v>
      </c>
      <c r="I5200" s="6">
        <f>IFERROR(__xludf.DUMMYFUNCTION("""COMPUTED_VALUE"""),43800.0)</f>
        <v>43800</v>
      </c>
      <c r="J5200" s="6">
        <f>IFERROR(__xludf.DUMMYFUNCTION("""COMPUTED_VALUE"""),876000.0)</f>
        <v>876000</v>
      </c>
      <c r="K5200" s="57">
        <f>IFERROR(__xludf.DUMMYFUNCTION("""COMPUTED_VALUE"""),46191.0)</f>
        <v>46191</v>
      </c>
      <c r="L5200" s="6" t="str">
        <f>IFERROR(__xludf.DUMMYFUNCTION("""COMPUTED_VALUE"""),"FIP General")</f>
        <v>FIP General</v>
      </c>
      <c r="M5200" s="6" t="str">
        <f>IFERROR(__xludf.DUMMYFUNCTION("""COMPUTED_VALUE"""),"Mochammad Fadhillah Hakim,")</f>
        <v>Mochammad Fadhillah Hakim,</v>
      </c>
      <c r="N5200" s="6" t="str">
        <f>IFERROR(__xludf.DUMMYFUNCTION("""COMPUTED_VALUE"""),"FIP Engineering")</f>
        <v>FIP Engineering</v>
      </c>
      <c r="O5200" s="6" t="str">
        <f>IFERROR(__xludf.DUMMYFUNCTION("""COMPUTED_VALUE"""),"FIP-DOM-ENG-51404-0000000-INA-000000")</f>
        <v>FIP-DOM-ENG-51404-0000000-INA-000000</v>
      </c>
      <c r="P5200" s="6" t="str">
        <f>IFERROR(__xludf.DUMMYFUNCTION("""COMPUTED_VALUE"""),"PO Closed")</f>
        <v>PO Closed</v>
      </c>
      <c r="Q5200" s="6" t="str">
        <f>IFERROR(__xludf.DUMMYFUNCTION("""COMPUTED_VALUE"""),"GL2605334")</f>
        <v>GL2605334</v>
      </c>
      <c r="R5200" s="57">
        <f>IFERROR(__xludf.DUMMYFUNCTION("""COMPUTED_VALUE"""),46160.0)</f>
        <v>46160</v>
      </c>
      <c r="S5200" s="57">
        <f>IFERROR(__xludf.DUMMYFUNCTION("""COMPUTED_VALUE"""),46161.0)</f>
        <v>46161</v>
      </c>
      <c r="T5200" s="57">
        <f>IFERROR(__xludf.DUMMYFUNCTION("""COMPUTED_VALUE"""),46199.0)</f>
        <v>46199</v>
      </c>
    </row>
    <row r="5201">
      <c r="A5201" s="6" t="str">
        <f>IFERROR(__xludf.DUMMYFUNCTION("""COMPUTED_VALUE"""),"121704234-3")</f>
        <v>121704234-3</v>
      </c>
      <c r="B5201" s="6" t="str">
        <f>IFERROR(__xludf.DUMMYFUNCTION("""COMPUTED_VALUE"""),"121704234 - APPROVED")</f>
        <v>121704234 - APPROVED</v>
      </c>
      <c r="C5201" s="6">
        <f>IFERROR(__xludf.DUMMYFUNCTION("""COMPUTED_VALUE"""),3.0)</f>
        <v>3</v>
      </c>
      <c r="D5201" s="6" t="str">
        <f>IFERROR(__xludf.DUMMYFUNCTION("""COMPUTED_VALUE"""),"S-46525-00")</f>
        <v>S-46525-00</v>
      </c>
      <c r="E5201" s="6" t="str">
        <f>IFERROR(__xludf.DUMMYFUNCTION("""COMPUTED_VALUE"""),"Jolly Box ; JX-3 No. 300; Lion Star; ;")</f>
        <v>Jolly Box ; JX-3 No. 300; Lion Star; ;</v>
      </c>
      <c r="F5201" s="6">
        <f>IFERROR(__xludf.DUMMYFUNCTION("""COMPUTED_VALUE"""),96.0)</f>
        <v>96</v>
      </c>
      <c r="G5201" s="6" t="str">
        <f>IFERROR(__xludf.DUMMYFUNCTION("""COMPUTED_VALUE"""),"Pieces")</f>
        <v>Pieces</v>
      </c>
      <c r="H5201" s="6" t="str">
        <f>IFERROR(__xludf.DUMMYFUNCTION("""COMPUTED_VALUE"""),"IDR")</f>
        <v>IDR</v>
      </c>
      <c r="I5201" s="6">
        <f>IFERROR(__xludf.DUMMYFUNCTION("""COMPUTED_VALUE"""),44850.0)</f>
        <v>44850</v>
      </c>
      <c r="J5201" s="6">
        <f>IFERROR(__xludf.DUMMYFUNCTION("""COMPUTED_VALUE"""),4305600.0)</f>
        <v>4305600</v>
      </c>
      <c r="K5201" s="57">
        <f>IFERROR(__xludf.DUMMYFUNCTION("""COMPUTED_VALUE"""),46191.0)</f>
        <v>46191</v>
      </c>
      <c r="L5201" s="6" t="str">
        <f>IFERROR(__xludf.DUMMYFUNCTION("""COMPUTED_VALUE"""),"FIP General")</f>
        <v>FIP General</v>
      </c>
      <c r="M5201" s="6" t="str">
        <f>IFERROR(__xludf.DUMMYFUNCTION("""COMPUTED_VALUE"""),"Mochammad Fadhillah Hakim,")</f>
        <v>Mochammad Fadhillah Hakim,</v>
      </c>
      <c r="N5201" s="6" t="str">
        <f>IFERROR(__xludf.DUMMYFUNCTION("""COMPUTED_VALUE"""),"FIP Engineering")</f>
        <v>FIP Engineering</v>
      </c>
      <c r="O5201" s="6" t="str">
        <f>IFERROR(__xludf.DUMMYFUNCTION("""COMPUTED_VALUE"""),"FIP-DOM-ENG-51404-0000000-INA-000000")</f>
        <v>FIP-DOM-ENG-51404-0000000-INA-000000</v>
      </c>
      <c r="P5201" s="6" t="str">
        <f>IFERROR(__xludf.DUMMYFUNCTION("""COMPUTED_VALUE"""),"PO Closed")</f>
        <v>PO Closed</v>
      </c>
      <c r="Q5201" s="6" t="str">
        <f>IFERROR(__xludf.DUMMYFUNCTION("""COMPUTED_VALUE"""),"GL2606039")</f>
        <v>GL2606039</v>
      </c>
      <c r="R5201" s="57">
        <f>IFERROR(__xludf.DUMMYFUNCTION("""COMPUTED_VALUE"""),46160.0)</f>
        <v>46160</v>
      </c>
      <c r="S5201" s="57">
        <f>IFERROR(__xludf.DUMMYFUNCTION("""COMPUTED_VALUE"""),46161.0)</f>
        <v>46161</v>
      </c>
      <c r="T5201" s="57">
        <f>IFERROR(__xludf.DUMMYFUNCTION("""COMPUTED_VALUE"""),46213.0)</f>
        <v>46213</v>
      </c>
    </row>
    <row r="5202">
      <c r="A5202" s="6" t="str">
        <f>IFERROR(__xludf.DUMMYFUNCTION("""COMPUTED_VALUE"""),"121704234-4")</f>
        <v>121704234-4</v>
      </c>
      <c r="B5202" s="6" t="str">
        <f>IFERROR(__xludf.DUMMYFUNCTION("""COMPUTED_VALUE"""),"121704234 - APPROVED")</f>
        <v>121704234 - APPROVED</v>
      </c>
      <c r="C5202" s="6">
        <f>IFERROR(__xludf.DUMMYFUNCTION("""COMPUTED_VALUE"""),4.0)</f>
        <v>4</v>
      </c>
      <c r="D5202" s="6" t="str">
        <f>IFERROR(__xludf.DUMMYFUNCTION("""COMPUTED_VALUE"""),"P-11694-00")</f>
        <v>P-11694-00</v>
      </c>
      <c r="E5202" s="6" t="str">
        <f>IFERROR(__xludf.DUMMYFUNCTION("""COMPUTED_VALUE"""),"General - Mata Gerinda 4inch; No Brand; -; 1 pcs")</f>
        <v>General - Mata Gerinda 4inch; No Brand; -; 1 pcs</v>
      </c>
      <c r="F5202" s="6">
        <f>IFERROR(__xludf.DUMMYFUNCTION("""COMPUTED_VALUE"""),3.0)</f>
        <v>3</v>
      </c>
      <c r="G5202" s="6" t="str">
        <f>IFERROR(__xludf.DUMMYFUNCTION("""COMPUTED_VALUE"""),"Pieces")</f>
        <v>Pieces</v>
      </c>
      <c r="H5202" s="6" t="str">
        <f>IFERROR(__xludf.DUMMYFUNCTION("""COMPUTED_VALUE"""),"IDR")</f>
        <v>IDR</v>
      </c>
      <c r="I5202" s="6">
        <f>IFERROR(__xludf.DUMMYFUNCTION("""COMPUTED_VALUE"""),76000.0)</f>
        <v>76000</v>
      </c>
      <c r="J5202" s="6">
        <f>IFERROR(__xludf.DUMMYFUNCTION("""COMPUTED_VALUE"""),228000.0)</f>
        <v>228000</v>
      </c>
      <c r="K5202" s="57">
        <f>IFERROR(__xludf.DUMMYFUNCTION("""COMPUTED_VALUE"""),46191.0)</f>
        <v>46191</v>
      </c>
      <c r="L5202" s="6" t="str">
        <f>IFERROR(__xludf.DUMMYFUNCTION("""COMPUTED_VALUE"""),"FIP General")</f>
        <v>FIP General</v>
      </c>
      <c r="M5202" s="6" t="str">
        <f>IFERROR(__xludf.DUMMYFUNCTION("""COMPUTED_VALUE"""),"Mochammad Fadhillah Hakim,")</f>
        <v>Mochammad Fadhillah Hakim,</v>
      </c>
      <c r="N5202" s="6" t="str">
        <f>IFERROR(__xludf.DUMMYFUNCTION("""COMPUTED_VALUE"""),"FIP Engineering")</f>
        <v>FIP Engineering</v>
      </c>
      <c r="O5202" s="6" t="str">
        <f>IFERROR(__xludf.DUMMYFUNCTION("""COMPUTED_VALUE"""),"FIP-DOM-ENG-51404-0000000-INA-000000")</f>
        <v>FIP-DOM-ENG-51404-0000000-INA-000000</v>
      </c>
      <c r="P5202" s="6" t="str">
        <f>IFERROR(__xludf.DUMMYFUNCTION("""COMPUTED_VALUE"""),"PO Closed")</f>
        <v>PO Closed</v>
      </c>
      <c r="Q5202" s="6" t="str">
        <f>IFERROR(__xludf.DUMMYFUNCTION("""COMPUTED_VALUE"""),"GL2605338")</f>
        <v>GL2605338</v>
      </c>
      <c r="R5202" s="57">
        <f>IFERROR(__xludf.DUMMYFUNCTION("""COMPUTED_VALUE"""),46160.0)</f>
        <v>46160</v>
      </c>
      <c r="S5202" s="57">
        <f>IFERROR(__xludf.DUMMYFUNCTION("""COMPUTED_VALUE"""),46161.0)</f>
        <v>46161</v>
      </c>
      <c r="T5202" s="57">
        <f>IFERROR(__xludf.DUMMYFUNCTION("""COMPUTED_VALUE"""),46203.0)</f>
        <v>46203</v>
      </c>
    </row>
    <row r="5203">
      <c r="A5203" s="6" t="str">
        <f>IFERROR(__xludf.DUMMYFUNCTION("""COMPUTED_VALUE"""),"121704234-5")</f>
        <v>121704234-5</v>
      </c>
      <c r="B5203" s="6" t="str">
        <f>IFERROR(__xludf.DUMMYFUNCTION("""COMPUTED_VALUE"""),"121704234 - APPROVED")</f>
        <v>121704234 - APPROVED</v>
      </c>
      <c r="C5203" s="6">
        <f>IFERROR(__xludf.DUMMYFUNCTION("""COMPUTED_VALUE"""),5.0)</f>
        <v>5</v>
      </c>
      <c r="D5203" s="6" t="str">
        <f>IFERROR(__xludf.DUMMYFUNCTION("""COMPUTED_VALUE"""),"S-40036-00")</f>
        <v>S-40036-00</v>
      </c>
      <c r="E5203" s="6" t="str">
        <f>IFERROR(__xludf.DUMMYFUNCTION("""COMPUTED_VALUE"""),"Container/Box dgn Handle CLARIS Type Q-BIC 1058")</f>
        <v>Container/Box dgn Handle CLARIS Type Q-BIC 1058</v>
      </c>
      <c r="F5203" s="6">
        <f>IFERROR(__xludf.DUMMYFUNCTION("""COMPUTED_VALUE"""),11.0)</f>
        <v>11</v>
      </c>
      <c r="G5203" s="6" t="str">
        <f>IFERROR(__xludf.DUMMYFUNCTION("""COMPUTED_VALUE"""),"Pieces")</f>
        <v>Pieces</v>
      </c>
      <c r="H5203" s="6" t="str">
        <f>IFERROR(__xludf.DUMMYFUNCTION("""COMPUTED_VALUE"""),"IDR")</f>
        <v>IDR</v>
      </c>
      <c r="I5203" s="6">
        <f>IFERROR(__xludf.DUMMYFUNCTION("""COMPUTED_VALUE"""),165000.0)</f>
        <v>165000</v>
      </c>
      <c r="J5203" s="6">
        <f>IFERROR(__xludf.DUMMYFUNCTION("""COMPUTED_VALUE"""),1815000.0)</f>
        <v>1815000</v>
      </c>
      <c r="K5203" s="57">
        <f>IFERROR(__xludf.DUMMYFUNCTION("""COMPUTED_VALUE"""),46191.0)</f>
        <v>46191</v>
      </c>
      <c r="L5203" s="6" t="str">
        <f>IFERROR(__xludf.DUMMYFUNCTION("""COMPUTED_VALUE"""),"FIP General")</f>
        <v>FIP General</v>
      </c>
      <c r="M5203" s="6" t="str">
        <f>IFERROR(__xludf.DUMMYFUNCTION("""COMPUTED_VALUE"""),"Mochammad Fadhillah Hakim,")</f>
        <v>Mochammad Fadhillah Hakim,</v>
      </c>
      <c r="N5203" s="6" t="str">
        <f>IFERROR(__xludf.DUMMYFUNCTION("""COMPUTED_VALUE"""),"FIP Engineering")</f>
        <v>FIP Engineering</v>
      </c>
      <c r="O5203" s="6" t="str">
        <f>IFERROR(__xludf.DUMMYFUNCTION("""COMPUTED_VALUE"""),"FIP-DOM-ENG-51404-0000000-INA-000000")</f>
        <v>FIP-DOM-ENG-51404-0000000-INA-000000</v>
      </c>
      <c r="P5203" s="6" t="str">
        <f>IFERROR(__xludf.DUMMYFUNCTION("""COMPUTED_VALUE"""),"PO Closed")</f>
        <v>PO Closed</v>
      </c>
      <c r="Q5203" s="6" t="str">
        <f>IFERROR(__xludf.DUMMYFUNCTION("""COMPUTED_VALUE"""),"GL2606039")</f>
        <v>GL2606039</v>
      </c>
      <c r="R5203" s="57">
        <f>IFERROR(__xludf.DUMMYFUNCTION("""COMPUTED_VALUE"""),46160.0)</f>
        <v>46160</v>
      </c>
      <c r="S5203" s="57">
        <f>IFERROR(__xludf.DUMMYFUNCTION("""COMPUTED_VALUE"""),46161.0)</f>
        <v>46161</v>
      </c>
      <c r="T5203" s="57">
        <f>IFERROR(__xludf.DUMMYFUNCTION("""COMPUTED_VALUE"""),46213.0)</f>
        <v>46213</v>
      </c>
    </row>
    <row r="5204">
      <c r="A5204" s="6" t="str">
        <f>IFERROR(__xludf.DUMMYFUNCTION("""COMPUTED_VALUE"""),"121704245-1")</f>
        <v>121704245-1</v>
      </c>
      <c r="B5204" s="6" t="str">
        <f>IFERROR(__xludf.DUMMYFUNCTION("""COMPUTED_VALUE"""),"121704245 - APPROVED")</f>
        <v>121704245 - APPROVED</v>
      </c>
      <c r="C5204" s="6">
        <f>IFERROR(__xludf.DUMMYFUNCTION("""COMPUTED_VALUE"""),1.0)</f>
        <v>1</v>
      </c>
      <c r="D5204" s="6" t="str">
        <f>IFERROR(__xludf.DUMMYFUNCTION("""COMPUTED_VALUE"""),"O-53620-00")</f>
        <v>O-53620-00</v>
      </c>
      <c r="E5204" s="6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F5204" s="6">
        <f>IFERROR(__xludf.DUMMYFUNCTION("""COMPUTED_VALUE"""),5.0)</f>
        <v>5</v>
      </c>
      <c r="G5204" s="6" t="str">
        <f>IFERROR(__xludf.DUMMYFUNCTION("""COMPUTED_VALUE"""),"Pieces")</f>
        <v>Pieces</v>
      </c>
      <c r="H5204" s="6" t="str">
        <f>IFERROR(__xludf.DUMMYFUNCTION("""COMPUTED_VALUE"""),"IDR")</f>
        <v>IDR</v>
      </c>
      <c r="I5204" s="6">
        <f>IFERROR(__xludf.DUMMYFUNCTION("""COMPUTED_VALUE"""),5150988.0)</f>
        <v>5150988</v>
      </c>
      <c r="J5204" s="6">
        <f>IFERROR(__xludf.DUMMYFUNCTION("""COMPUTED_VALUE"""),2.575494E7)</f>
        <v>25754940</v>
      </c>
      <c r="K5204" s="57">
        <f>IFERROR(__xludf.DUMMYFUNCTION("""COMPUTED_VALUE"""),46227.0)</f>
        <v>46227</v>
      </c>
      <c r="L5204" s="6" t="str">
        <f>IFERROR(__xludf.DUMMYFUNCTION("""COMPUTED_VALUE"""),"FIP Engineering")</f>
        <v>FIP Engineering</v>
      </c>
      <c r="M5204" s="6" t="str">
        <f>IFERROR(__xludf.DUMMYFUNCTION("""COMPUTED_VALUE"""),"Mochammad Fadhillah Hakim,")</f>
        <v>Mochammad Fadhillah Hakim,</v>
      </c>
      <c r="N5204" s="6" t="str">
        <f>IFERROR(__xludf.DUMMYFUNCTION("""COMPUTED_VALUE"""),"FIP Engineering")</f>
        <v>FIP Engineering</v>
      </c>
      <c r="O5204" s="6" t="str">
        <f>IFERROR(__xludf.DUMMYFUNCTION("""COMPUTED_VALUE"""),"FIP-DOM-000-11304-OS00001-INA-000000")</f>
        <v>FIP-DOM-000-11304-OS00001-INA-000000</v>
      </c>
      <c r="P5204" s="6" t="str">
        <f>IFERROR(__xludf.DUMMYFUNCTION("""COMPUTED_VALUE"""),"PO Open")</f>
        <v>PO Open</v>
      </c>
      <c r="Q5204" s="6" t="str">
        <f>IFERROR(__xludf.DUMMYFUNCTION("""COMPUTED_VALUE"""),"GL2606027")</f>
        <v>GL2606027</v>
      </c>
      <c r="R5204" s="57">
        <f>IFERROR(__xludf.DUMMYFUNCTION("""COMPUTED_VALUE"""),46163.0)</f>
        <v>46163</v>
      </c>
      <c r="S5204" s="57">
        <f>IFERROR(__xludf.DUMMYFUNCTION("""COMPUTED_VALUE"""),46164.0)</f>
        <v>46164</v>
      </c>
      <c r="T5204" s="57">
        <f>IFERROR(__xludf.DUMMYFUNCTION("""COMPUTED_VALUE"""),46289.0)</f>
        <v>46289</v>
      </c>
    </row>
    <row r="5205">
      <c r="A5205" s="6" t="str">
        <f>IFERROR(__xludf.DUMMYFUNCTION("""COMPUTED_VALUE"""),"121704266-1")</f>
        <v>121704266-1</v>
      </c>
      <c r="B5205" s="6" t="str">
        <f>IFERROR(__xludf.DUMMYFUNCTION("""COMPUTED_VALUE"""),"121704266 - APPROVED")</f>
        <v>121704266 - APPROVED</v>
      </c>
      <c r="C5205" s="6">
        <f>IFERROR(__xludf.DUMMYFUNCTION("""COMPUTED_VALUE"""),1.0)</f>
        <v>1</v>
      </c>
      <c r="D5205" s="6" t="str">
        <f>IFERROR(__xludf.DUMMYFUNCTION("""COMPUTED_VALUE"""),"R-20024-00")</f>
        <v>R-20024-00</v>
      </c>
      <c r="E5205" s="6" t="str">
        <f>IFERROR(__xludf.DUMMYFUNCTION("""COMPUTED_VALUE"""),"Machine Equipment; ; ; - Tray Kabel untuk mesin CRABS, CLU dan FD baru - Tray Kabel untuk mesin CRABS, CLU dan FD baru")</f>
        <v>Machine Equipment; ; ; - Tray Kabel untuk mesin CRABS, CLU dan FD baru - Tray Kabel untuk mesin CRABS, CLU dan FD baru</v>
      </c>
      <c r="F5205" s="6">
        <f>IFERROR(__xludf.DUMMYFUNCTION("""COMPUTED_VALUE"""),1.0)</f>
        <v>1</v>
      </c>
      <c r="G5205" s="6" t="str">
        <f>IFERROR(__xludf.DUMMYFUNCTION("""COMPUTED_VALUE"""),"Unit")</f>
        <v>Unit</v>
      </c>
      <c r="H5205" s="6" t="str">
        <f>IFERROR(__xludf.DUMMYFUNCTION("""COMPUTED_VALUE"""),"IDR")</f>
        <v>IDR</v>
      </c>
      <c r="I5205" s="6">
        <f>IFERROR(__xludf.DUMMYFUNCTION("""COMPUTED_VALUE"""),7.4608E7)</f>
        <v>74608000</v>
      </c>
      <c r="J5205" s="6">
        <f>IFERROR(__xludf.DUMMYFUNCTION("""COMPUTED_VALUE"""),7.4608E7)</f>
        <v>74608000</v>
      </c>
      <c r="K5205" s="57">
        <f>IFERROR(__xludf.DUMMYFUNCTION("""COMPUTED_VALUE"""),46206.0)</f>
        <v>46206</v>
      </c>
      <c r="L5205" s="6" t="str">
        <f>IFERROR(__xludf.DUMMYFUNCTION("""COMPUTED_VALUE"""),"FIP General")</f>
        <v>FIP General</v>
      </c>
      <c r="M5205" s="6" t="str">
        <f>IFERROR(__xludf.DUMMYFUNCTION("""COMPUTED_VALUE"""),"Mochammad Fadhillah Hakim,")</f>
        <v>Mochammad Fadhillah Hakim,</v>
      </c>
      <c r="N5205" s="6" t="str">
        <f>IFERROR(__xludf.DUMMYFUNCTION("""COMPUTED_VALUE"""),"FIP Engineering")</f>
        <v>FIP Engineering</v>
      </c>
      <c r="O5205" s="6" t="str">
        <f>IFERROR(__xludf.DUMMYFUNCTION("""COMPUTED_VALUE"""),"FIP-DOM-PRJ-13404-MC26022-INA-000000")</f>
        <v>FIP-DOM-PRJ-13404-MC26022-INA-000000</v>
      </c>
      <c r="P5205" s="6" t="str">
        <f>IFERROR(__xludf.DUMMYFUNCTION("""COMPUTED_VALUE"""),"PO Open")</f>
        <v>PO Open</v>
      </c>
      <c r="Q5205" s="6" t="str">
        <f>IFERROR(__xludf.DUMMYFUNCTION("""COMPUTED_VALUE"""),"GL2606018")</f>
        <v>GL2606018</v>
      </c>
      <c r="R5205" s="57">
        <f>IFERROR(__xludf.DUMMYFUNCTION("""COMPUTED_VALUE"""),46176.0)</f>
        <v>46176</v>
      </c>
      <c r="S5205" s="57">
        <f>IFERROR(__xludf.DUMMYFUNCTION("""COMPUTED_VALUE"""),46176.0)</f>
        <v>46176</v>
      </c>
      <c r="T5205" s="6"/>
    </row>
    <row r="5206">
      <c r="A5206" s="6" t="str">
        <f>IFERROR(__xludf.DUMMYFUNCTION("""COMPUTED_VALUE"""),"121704270-1")</f>
        <v>121704270-1</v>
      </c>
      <c r="B5206" s="6" t="str">
        <f>IFERROR(__xludf.DUMMYFUNCTION("""COMPUTED_VALUE"""),"121704270 - APPROVED")</f>
        <v>121704270 - APPROVED</v>
      </c>
      <c r="C5206" s="6">
        <f>IFERROR(__xludf.DUMMYFUNCTION("""COMPUTED_VALUE"""),1.0)</f>
        <v>1</v>
      </c>
      <c r="D5206" s="6" t="str">
        <f>IFERROR(__xludf.DUMMYFUNCTION("""COMPUTED_VALUE"""),"P-50283-00")</f>
        <v>P-50283-00</v>
      </c>
      <c r="E5206" s="6" t="str">
        <f>IFERROR(__xludf.DUMMYFUNCTION("""COMPUTED_VALUE"""),"General - Kabel NYMHY 3 x 1.5mm; SUPREME; -; 1 meter")</f>
        <v>General - Kabel NYMHY 3 x 1.5mm; SUPREME; -; 1 meter</v>
      </c>
      <c r="F5206" s="6">
        <f>IFERROR(__xludf.DUMMYFUNCTION("""COMPUTED_VALUE"""),100.0)</f>
        <v>100</v>
      </c>
      <c r="G5206" s="6" t="str">
        <f>IFERROR(__xludf.DUMMYFUNCTION("""COMPUTED_VALUE"""),"Pieces")</f>
        <v>Pieces</v>
      </c>
      <c r="H5206" s="6" t="str">
        <f>IFERROR(__xludf.DUMMYFUNCTION("""COMPUTED_VALUE"""),"IDR")</f>
        <v>IDR</v>
      </c>
      <c r="I5206" s="6">
        <f>IFERROR(__xludf.DUMMYFUNCTION("""COMPUTED_VALUE"""),30000.0)</f>
        <v>30000</v>
      </c>
      <c r="J5206" s="6">
        <f>IFERROR(__xludf.DUMMYFUNCTION("""COMPUTED_VALUE"""),3000000.0)</f>
        <v>3000000</v>
      </c>
      <c r="K5206" s="57">
        <f>IFERROR(__xludf.DUMMYFUNCTION("""COMPUTED_VALUE"""),46206.0)</f>
        <v>46206</v>
      </c>
      <c r="L5206" s="6" t="str">
        <f>IFERROR(__xludf.DUMMYFUNCTION("""COMPUTED_VALUE"""),"FIP Engineering")</f>
        <v>FIP Engineering</v>
      </c>
      <c r="M5206" s="6" t="str">
        <f>IFERROR(__xludf.DUMMYFUNCTION("""COMPUTED_VALUE"""),"Mochammad Fadhillah Hakim,")</f>
        <v>Mochammad Fadhillah Hakim,</v>
      </c>
      <c r="N5206" s="6" t="str">
        <f>IFERROR(__xludf.DUMMYFUNCTION("""COMPUTED_VALUE"""),"FIP Engineering")</f>
        <v>FIP Engineering</v>
      </c>
      <c r="O5206" s="6" t="str">
        <f>IFERROR(__xludf.DUMMYFUNCTION("""COMPUTED_VALUE"""),"FIP-DOM-000-11304-OS00001-INA-000000")</f>
        <v>FIP-DOM-000-11304-OS00001-INA-000000</v>
      </c>
      <c r="P5206" s="6" t="str">
        <f>IFERROR(__xludf.DUMMYFUNCTION("""COMPUTED_VALUE"""),"PO Closed")</f>
        <v>PO Closed</v>
      </c>
      <c r="Q5206" s="6" t="str">
        <f>IFERROR(__xludf.DUMMYFUNCTION("""COMPUTED_VALUE"""),"GL2606354")</f>
        <v>GL2606354</v>
      </c>
      <c r="R5206" s="57">
        <f>IFERROR(__xludf.DUMMYFUNCTION("""COMPUTED_VALUE"""),46176.0)</f>
        <v>46176</v>
      </c>
      <c r="S5206" s="57">
        <f>IFERROR(__xludf.DUMMYFUNCTION("""COMPUTED_VALUE"""),46176.0)</f>
        <v>46176</v>
      </c>
      <c r="T5206" s="57">
        <f>IFERROR(__xludf.DUMMYFUNCTION("""COMPUTED_VALUE"""),46206.0)</f>
        <v>46206</v>
      </c>
    </row>
    <row r="5207">
      <c r="A5207" s="6" t="str">
        <f>IFERROR(__xludf.DUMMYFUNCTION("""COMPUTED_VALUE"""),"121704271-1")</f>
        <v>121704271-1</v>
      </c>
      <c r="B5207" s="6" t="str">
        <f>IFERROR(__xludf.DUMMYFUNCTION("""COMPUTED_VALUE"""),"121704271 - APPROVED")</f>
        <v>121704271 - APPROVED</v>
      </c>
      <c r="C5207" s="6">
        <f>IFERROR(__xludf.DUMMYFUNCTION("""COMPUTED_VALUE"""),1.0)</f>
        <v>1</v>
      </c>
      <c r="D5207" s="6" t="str">
        <f>IFERROR(__xludf.DUMMYFUNCTION("""COMPUTED_VALUE"""),"S-40039-00")</f>
        <v>S-40039-00</v>
      </c>
      <c r="E5207" s="6" t="str">
        <f>IFERROR(__xludf.DUMMYFUNCTION("""COMPUTED_VALUE"""),"Container/Box Plastik NEXIS 70 liter (77x42x32) Type 1022")</f>
        <v>Container/Box Plastik NEXIS 70 liter (77x42x32) Type 1022</v>
      </c>
      <c r="F5207" s="6">
        <f>IFERROR(__xludf.DUMMYFUNCTION("""COMPUTED_VALUE"""),10.0)</f>
        <v>10</v>
      </c>
      <c r="G5207" s="6" t="str">
        <f>IFERROR(__xludf.DUMMYFUNCTION("""COMPUTED_VALUE"""),"Pieces")</f>
        <v>Pieces</v>
      </c>
      <c r="H5207" s="6" t="str">
        <f>IFERROR(__xludf.DUMMYFUNCTION("""COMPUTED_VALUE"""),"IDR")</f>
        <v>IDR</v>
      </c>
      <c r="I5207" s="6">
        <f>IFERROR(__xludf.DUMMYFUNCTION("""COMPUTED_VALUE"""),310000.0)</f>
        <v>310000</v>
      </c>
      <c r="J5207" s="6">
        <f>IFERROR(__xludf.DUMMYFUNCTION("""COMPUTED_VALUE"""),3100000.0)</f>
        <v>3100000</v>
      </c>
      <c r="K5207" s="57">
        <f>IFERROR(__xludf.DUMMYFUNCTION("""COMPUTED_VALUE"""),46206.0)</f>
        <v>46206</v>
      </c>
      <c r="L5207" s="6" t="str">
        <f>IFERROR(__xludf.DUMMYFUNCTION("""COMPUTED_VALUE"""),"FIP General")</f>
        <v>FIP General</v>
      </c>
      <c r="M5207" s="6" t="str">
        <f>IFERROR(__xludf.DUMMYFUNCTION("""COMPUTED_VALUE"""),"Mochammad Fadhillah Hakim,")</f>
        <v>Mochammad Fadhillah Hakim,</v>
      </c>
      <c r="N5207" s="6" t="str">
        <f>IFERROR(__xludf.DUMMYFUNCTION("""COMPUTED_VALUE"""),"FIP Engineering")</f>
        <v>FIP Engineering</v>
      </c>
      <c r="O5207" s="6" t="str">
        <f>IFERROR(__xludf.DUMMYFUNCTION("""COMPUTED_VALUE"""),"FIP-DOM-ENG-51404-0000000-INA-000000")</f>
        <v>FIP-DOM-ENG-51404-0000000-INA-000000</v>
      </c>
      <c r="P5207" s="6" t="str">
        <f>IFERROR(__xludf.DUMMYFUNCTION("""COMPUTED_VALUE"""),"PO Closed")</f>
        <v>PO Closed</v>
      </c>
      <c r="Q5207" s="6" t="str">
        <f>IFERROR(__xludf.DUMMYFUNCTION("""COMPUTED_VALUE"""),"GL2606039")</f>
        <v>GL2606039</v>
      </c>
      <c r="R5207" s="57">
        <f>IFERROR(__xludf.DUMMYFUNCTION("""COMPUTED_VALUE"""),46176.0)</f>
        <v>46176</v>
      </c>
      <c r="S5207" s="57">
        <f>IFERROR(__xludf.DUMMYFUNCTION("""COMPUTED_VALUE"""),46176.0)</f>
        <v>46176</v>
      </c>
      <c r="T5207" s="57">
        <f>IFERROR(__xludf.DUMMYFUNCTION("""COMPUTED_VALUE"""),46213.0)</f>
        <v>46213</v>
      </c>
    </row>
    <row r="5208">
      <c r="A5208" s="6" t="str">
        <f>IFERROR(__xludf.DUMMYFUNCTION("""COMPUTED_VALUE"""),"121704274-1")</f>
        <v>121704274-1</v>
      </c>
      <c r="B5208" s="6" t="str">
        <f>IFERROR(__xludf.DUMMYFUNCTION("""COMPUTED_VALUE"""),"121704274 - APPROVED")</f>
        <v>121704274 - APPROVED</v>
      </c>
      <c r="C5208" s="6">
        <f>IFERROR(__xludf.DUMMYFUNCTION("""COMPUTED_VALUE"""),1.0)</f>
        <v>1</v>
      </c>
      <c r="D5208" s="6" t="str">
        <f>IFERROR(__xludf.DUMMYFUNCTION("""COMPUTED_VALUE"""),"O-18055-00")</f>
        <v>O-18055-00</v>
      </c>
      <c r="E5208" s="6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F5208" s="6">
        <f>IFERROR(__xludf.DUMMYFUNCTION("""COMPUTED_VALUE"""),40.0)</f>
        <v>40</v>
      </c>
      <c r="G5208" s="6" t="str">
        <f>IFERROR(__xludf.DUMMYFUNCTION("""COMPUTED_VALUE"""),"Pieces")</f>
        <v>Pieces</v>
      </c>
      <c r="H5208" s="6" t="str">
        <f>IFERROR(__xludf.DUMMYFUNCTION("""COMPUTED_VALUE"""),"IDR")</f>
        <v>IDR</v>
      </c>
      <c r="I5208" s="6">
        <f>IFERROR(__xludf.DUMMYFUNCTION("""COMPUTED_VALUE"""),172000.0)</f>
        <v>172000</v>
      </c>
      <c r="J5208" s="6">
        <f>IFERROR(__xludf.DUMMYFUNCTION("""COMPUTED_VALUE"""),6880000.0)</f>
        <v>6880000</v>
      </c>
      <c r="K5208" s="57">
        <f>IFERROR(__xludf.DUMMYFUNCTION("""COMPUTED_VALUE"""),46206.0)</f>
        <v>46206</v>
      </c>
      <c r="L5208" s="6" t="str">
        <f>IFERROR(__xludf.DUMMYFUNCTION("""COMPUTED_VALUE"""),"FIP Engineering")</f>
        <v>FIP Engineering</v>
      </c>
      <c r="M5208" s="6" t="str">
        <f>IFERROR(__xludf.DUMMYFUNCTION("""COMPUTED_VALUE"""),"Mochammad Fadhillah Hakim,")</f>
        <v>Mochammad Fadhillah Hakim,</v>
      </c>
      <c r="N5208" s="6" t="str">
        <f>IFERROR(__xludf.DUMMYFUNCTION("""COMPUTED_VALUE"""),"FIP Engineering")</f>
        <v>FIP Engineering</v>
      </c>
      <c r="O5208" s="6" t="str">
        <f>IFERROR(__xludf.DUMMYFUNCTION("""COMPUTED_VALUE"""),"FIP-DOM-000-11304-OS00001-INA-000000")</f>
        <v>FIP-DOM-000-11304-OS00001-INA-000000</v>
      </c>
      <c r="P5208" s="6" t="str">
        <f>IFERROR(__xludf.DUMMYFUNCTION("""COMPUTED_VALUE"""),"PO Closed")</f>
        <v>PO Closed</v>
      </c>
      <c r="Q5208" s="6" t="str">
        <f>IFERROR(__xludf.DUMMYFUNCTION("""COMPUTED_VALUE"""),"GL2606351")</f>
        <v>GL2606351</v>
      </c>
      <c r="R5208" s="57">
        <f>IFERROR(__xludf.DUMMYFUNCTION("""COMPUTED_VALUE"""),46176.0)</f>
        <v>46176</v>
      </c>
      <c r="S5208" s="57">
        <f>IFERROR(__xludf.DUMMYFUNCTION("""COMPUTED_VALUE"""),46176.0)</f>
        <v>46176</v>
      </c>
      <c r="T5208" s="57">
        <f>IFERROR(__xludf.DUMMYFUNCTION("""COMPUTED_VALUE"""),46223.0)</f>
        <v>46223</v>
      </c>
    </row>
    <row r="5209">
      <c r="A5209" s="6" t="str">
        <f>IFERROR(__xludf.DUMMYFUNCTION("""COMPUTED_VALUE"""),"121704276-1")</f>
        <v>121704276-1</v>
      </c>
      <c r="B5209" s="6" t="str">
        <f>IFERROR(__xludf.DUMMYFUNCTION("""COMPUTED_VALUE"""),"121704276 - APPROVED")</f>
        <v>121704276 - APPROVED</v>
      </c>
      <c r="C5209" s="6">
        <f>IFERROR(__xludf.DUMMYFUNCTION("""COMPUTED_VALUE"""),1.0)</f>
        <v>1</v>
      </c>
      <c r="D5209" s="6" t="str">
        <f>IFERROR(__xludf.DUMMYFUNCTION("""COMPUTED_VALUE"""),"Q-90000-00")</f>
        <v>Q-90000-00</v>
      </c>
      <c r="E5209" s="6" t="str">
        <f>IFERROR(__xludf.DUMMYFUNCTION("""COMPUTED_VALUE"""),"Building Maintenance Pure Expense - Repair Rak WH Miring")</f>
        <v>Building Maintenance Pure Expense - Repair Rak WH Miring</v>
      </c>
      <c r="F5209" s="6">
        <f>IFERROR(__xludf.DUMMYFUNCTION("""COMPUTED_VALUE"""),1.0)</f>
        <v>1</v>
      </c>
      <c r="G5209" s="6" t="str">
        <f>IFERROR(__xludf.DUMMYFUNCTION("""COMPUTED_VALUE"""),"Unit")</f>
        <v>Unit</v>
      </c>
      <c r="H5209" s="6" t="str">
        <f>IFERROR(__xludf.DUMMYFUNCTION("""COMPUTED_VALUE"""),"IDR")</f>
        <v>IDR</v>
      </c>
      <c r="I5209" s="6">
        <f>IFERROR(__xludf.DUMMYFUNCTION("""COMPUTED_VALUE"""),9500000.0)</f>
        <v>9500000</v>
      </c>
      <c r="J5209" s="6">
        <f>IFERROR(__xludf.DUMMYFUNCTION("""COMPUTED_VALUE"""),9500000.0)</f>
        <v>9500000</v>
      </c>
      <c r="K5209" s="57">
        <f>IFERROR(__xludf.DUMMYFUNCTION("""COMPUTED_VALUE"""),46206.0)</f>
        <v>46206</v>
      </c>
      <c r="L5209" s="6" t="str">
        <f>IFERROR(__xludf.DUMMYFUNCTION("""COMPUTED_VALUE"""),"FIP General")</f>
        <v>FIP General</v>
      </c>
      <c r="M5209" s="6" t="str">
        <f>IFERROR(__xludf.DUMMYFUNCTION("""COMPUTED_VALUE"""),"Mochammad Fadhillah Hakim,")</f>
        <v>Mochammad Fadhillah Hakim,</v>
      </c>
      <c r="N5209" s="6" t="str">
        <f>IFERROR(__xludf.DUMMYFUNCTION("""COMPUTED_VALUE"""),"FIP Engineering")</f>
        <v>FIP Engineering</v>
      </c>
      <c r="O5209" s="6" t="str">
        <f>IFERROR(__xludf.DUMMYFUNCTION("""COMPUTED_VALUE"""),"FIP-DOM-ENG-51502-0000000-INA-000000")</f>
        <v>FIP-DOM-ENG-51502-0000000-INA-000000</v>
      </c>
      <c r="P5209" s="6" t="str">
        <f>IFERROR(__xludf.DUMMYFUNCTION("""COMPUTED_VALUE"""),"PO Open")</f>
        <v>PO Open</v>
      </c>
      <c r="Q5209" s="6" t="str">
        <f>IFERROR(__xludf.DUMMYFUNCTION("""COMPUTED_VALUE"""),"GL2607023")</f>
        <v>GL2607023</v>
      </c>
      <c r="R5209" s="57">
        <f>IFERROR(__xludf.DUMMYFUNCTION("""COMPUTED_VALUE"""),46176.0)</f>
        <v>46176</v>
      </c>
      <c r="S5209" s="57">
        <f>IFERROR(__xludf.DUMMYFUNCTION("""COMPUTED_VALUE"""),46176.0)</f>
        <v>46176</v>
      </c>
      <c r="T5209" s="57">
        <f>IFERROR(__xludf.DUMMYFUNCTION("""COMPUTED_VALUE"""),46248.0)</f>
        <v>46248</v>
      </c>
    </row>
    <row r="5210">
      <c r="A5210" s="6" t="str">
        <f>IFERROR(__xludf.DUMMYFUNCTION("""COMPUTED_VALUE"""),"121704277-1")</f>
        <v>121704277-1</v>
      </c>
      <c r="B5210" s="6" t="str">
        <f>IFERROR(__xludf.DUMMYFUNCTION("""COMPUTED_VALUE"""),"121704277 - APPROVED")</f>
        <v>121704277 - APPROVED</v>
      </c>
      <c r="C5210" s="6">
        <f>IFERROR(__xludf.DUMMYFUNCTION("""COMPUTED_VALUE"""),1.0)</f>
        <v>1</v>
      </c>
      <c r="D5210" s="6" t="str">
        <f>IFERROR(__xludf.DUMMYFUNCTION("""COMPUTED_VALUE"""),"S-60002-00")</f>
        <v>S-60002-00</v>
      </c>
      <c r="E5210" s="6" t="str">
        <f>IFERROR(__xludf.DUMMYFUNCTION("""COMPUTED_VALUE"""),"Jasa Perbaikan dan Pemeliharaan Mesin Utility - Perbaikan Pipa Kondensat yang Bocor")</f>
        <v>Jasa Perbaikan dan Pemeliharaan Mesin Utility - Perbaikan Pipa Kondensat yang Bocor</v>
      </c>
      <c r="F5210" s="6">
        <f>IFERROR(__xludf.DUMMYFUNCTION("""COMPUTED_VALUE"""),1.0)</f>
        <v>1</v>
      </c>
      <c r="G5210" s="6" t="str">
        <f>IFERROR(__xludf.DUMMYFUNCTION("""COMPUTED_VALUE"""),"Lot")</f>
        <v>Lot</v>
      </c>
      <c r="H5210" s="6" t="str">
        <f>IFERROR(__xludf.DUMMYFUNCTION("""COMPUTED_VALUE"""),"IDR")</f>
        <v>IDR</v>
      </c>
      <c r="I5210" s="6">
        <f>IFERROR(__xludf.DUMMYFUNCTION("""COMPUTED_VALUE"""),1.44066E7)</f>
        <v>14406600</v>
      </c>
      <c r="J5210" s="6">
        <f>IFERROR(__xludf.DUMMYFUNCTION("""COMPUTED_VALUE"""),1.44066E7)</f>
        <v>14406600</v>
      </c>
      <c r="K5210" s="57">
        <f>IFERROR(__xludf.DUMMYFUNCTION("""COMPUTED_VALUE"""),46206.0)</f>
        <v>46206</v>
      </c>
      <c r="L5210" s="6" t="str">
        <f>IFERROR(__xludf.DUMMYFUNCTION("""COMPUTED_VALUE"""),"FIP General")</f>
        <v>FIP General</v>
      </c>
      <c r="M5210" s="6" t="str">
        <f>IFERROR(__xludf.DUMMYFUNCTION("""COMPUTED_VALUE"""),"Mochammad Fadhillah Hakim,")</f>
        <v>Mochammad Fadhillah Hakim,</v>
      </c>
      <c r="N5210" s="6" t="str">
        <f>IFERROR(__xludf.DUMMYFUNCTION("""COMPUTED_VALUE"""),"FIP Engineering")</f>
        <v>FIP Engineering</v>
      </c>
      <c r="O5210" s="6" t="str">
        <f>IFERROR(__xludf.DUMMYFUNCTION("""COMPUTED_VALUE"""),"FIP-DOM-ENG-51508-0000000-INA-000000")</f>
        <v>FIP-DOM-ENG-51508-0000000-INA-000000</v>
      </c>
      <c r="P5210" s="6" t="str">
        <f>IFERROR(__xludf.DUMMYFUNCTION("""COMPUTED_VALUE"""),"PO Open")</f>
        <v>PO Open</v>
      </c>
      <c r="Q5210" s="6" t="str">
        <f>IFERROR(__xludf.DUMMYFUNCTION("""COMPUTED_VALUE"""),"GL2606015")</f>
        <v>GL2606015</v>
      </c>
      <c r="R5210" s="57">
        <f>IFERROR(__xludf.DUMMYFUNCTION("""COMPUTED_VALUE"""),46176.0)</f>
        <v>46176</v>
      </c>
      <c r="S5210" s="57">
        <f>IFERROR(__xludf.DUMMYFUNCTION("""COMPUTED_VALUE"""),46176.0)</f>
        <v>46176</v>
      </c>
      <c r="T5210" s="57">
        <f>IFERROR(__xludf.DUMMYFUNCTION("""COMPUTED_VALUE"""),46206.0)</f>
        <v>46206</v>
      </c>
    </row>
    <row r="5211">
      <c r="A5211" s="6" t="str">
        <f>IFERROR(__xludf.DUMMYFUNCTION("""COMPUTED_VALUE"""),"121704280-1")</f>
        <v>121704280-1</v>
      </c>
      <c r="B5211" s="6" t="str">
        <f>IFERROR(__xludf.DUMMYFUNCTION("""COMPUTED_VALUE"""),"121704280 - APPROVED")</f>
        <v>121704280 - APPROVED</v>
      </c>
      <c r="C5211" s="6">
        <f>IFERROR(__xludf.DUMMYFUNCTION("""COMPUTED_VALUE"""),1.0)</f>
        <v>1</v>
      </c>
      <c r="D5211" s="6" t="str">
        <f>IFERROR(__xludf.DUMMYFUNCTION("""COMPUTED_VALUE"""),"T-80635-00")</f>
        <v>T-80635-00</v>
      </c>
      <c r="E5211" s="6" t="str">
        <f>IFERROR(__xludf.DUMMYFUNCTION("""COMPUTED_VALUE"""),"Kertas HVS Putih A4 70 gram;")</f>
        <v>Kertas HVS Putih A4 70 gram;</v>
      </c>
      <c r="F5211" s="6">
        <f>IFERROR(__xludf.DUMMYFUNCTION("""COMPUTED_VALUE"""),15.0)</f>
        <v>15</v>
      </c>
      <c r="G5211" s="6" t="str">
        <f>IFERROR(__xludf.DUMMYFUNCTION("""COMPUTED_VALUE"""),"Rim")</f>
        <v>Rim</v>
      </c>
      <c r="H5211" s="6" t="str">
        <f>IFERROR(__xludf.DUMMYFUNCTION("""COMPUTED_VALUE"""),"IDR")</f>
        <v>IDR</v>
      </c>
      <c r="I5211" s="6">
        <f>IFERROR(__xludf.DUMMYFUNCTION("""COMPUTED_VALUE"""),33000.0)</f>
        <v>33000</v>
      </c>
      <c r="J5211" s="6">
        <f>IFERROR(__xludf.DUMMYFUNCTION("""COMPUTED_VALUE"""),495000.0)</f>
        <v>495000</v>
      </c>
      <c r="K5211" s="57">
        <f>IFERROR(__xludf.DUMMYFUNCTION("""COMPUTED_VALUE"""),46206.0)</f>
        <v>46206</v>
      </c>
      <c r="L5211" s="6" t="str">
        <f>IFERROR(__xludf.DUMMYFUNCTION("""COMPUTED_VALUE"""),"FIP General")</f>
        <v>FIP General</v>
      </c>
      <c r="M5211" s="6" t="str">
        <f>IFERROR(__xludf.DUMMYFUNCTION("""COMPUTED_VALUE"""),"Mochammad Fadhillah Hakim,")</f>
        <v>Mochammad Fadhillah Hakim,</v>
      </c>
      <c r="N5211" s="6" t="str">
        <f>IFERROR(__xludf.DUMMYFUNCTION("""COMPUTED_VALUE"""),"FIP Engineering")</f>
        <v>FIP Engineering</v>
      </c>
      <c r="O5211" s="6" t="str">
        <f>IFERROR(__xludf.DUMMYFUNCTION("""COMPUTED_VALUE"""),"FIP-DOM-ENG-51411-0000000-INA-000000")</f>
        <v>FIP-DOM-ENG-51411-0000000-INA-000000</v>
      </c>
      <c r="P5211" s="6" t="str">
        <f>IFERROR(__xludf.DUMMYFUNCTION("""COMPUTED_VALUE"""),"PO Closed")</f>
        <v>PO Closed</v>
      </c>
      <c r="Q5211" s="6" t="str">
        <f>IFERROR(__xludf.DUMMYFUNCTION("""COMPUTED_VALUE"""),"GL2606345")</f>
        <v>GL2606345</v>
      </c>
      <c r="R5211" s="57">
        <f>IFERROR(__xludf.DUMMYFUNCTION("""COMPUTED_VALUE"""),46176.0)</f>
        <v>46176</v>
      </c>
      <c r="S5211" s="57">
        <f>IFERROR(__xludf.DUMMYFUNCTION("""COMPUTED_VALUE"""),46178.0)</f>
        <v>46178</v>
      </c>
      <c r="T5211" s="57">
        <f>IFERROR(__xludf.DUMMYFUNCTION("""COMPUTED_VALUE"""),46198.0)</f>
        <v>46198</v>
      </c>
    </row>
    <row r="5212">
      <c r="A5212" s="6" t="str">
        <f>IFERROR(__xludf.DUMMYFUNCTION("""COMPUTED_VALUE"""),"121704292-1")</f>
        <v>121704292-1</v>
      </c>
      <c r="B5212" s="6" t="str">
        <f>IFERROR(__xludf.DUMMYFUNCTION("""COMPUTED_VALUE"""),"121704292 - APPROVED")</f>
        <v>121704292 - APPROVED</v>
      </c>
      <c r="C5212" s="6">
        <f>IFERROR(__xludf.DUMMYFUNCTION("""COMPUTED_VALUE"""),1.0)</f>
        <v>1</v>
      </c>
      <c r="D5212" s="6" t="str">
        <f>IFERROR(__xludf.DUMMYFUNCTION("""COMPUTED_VALUE"""),"S-60002-00")</f>
        <v>S-60002-00</v>
      </c>
      <c r="E5212" s="6" t="str">
        <f>IFERROR(__xludf.DUMMYFUNCTION("""COMPUTED_VALUE"""),"Jasa Perbaikan dan Pemeliharaan Mesin Utility - Perbaikan Board untuk WICC")</f>
        <v>Jasa Perbaikan dan Pemeliharaan Mesin Utility - Perbaikan Board untuk WICC</v>
      </c>
      <c r="F5212" s="6">
        <f>IFERROR(__xludf.DUMMYFUNCTION("""COMPUTED_VALUE"""),1.0)</f>
        <v>1</v>
      </c>
      <c r="G5212" s="6" t="str">
        <f>IFERROR(__xludf.DUMMYFUNCTION("""COMPUTED_VALUE"""),"Lot")</f>
        <v>Lot</v>
      </c>
      <c r="H5212" s="6" t="str">
        <f>IFERROR(__xludf.DUMMYFUNCTION("""COMPUTED_VALUE"""),"IDR")</f>
        <v>IDR</v>
      </c>
      <c r="I5212" s="6">
        <f>IFERROR(__xludf.DUMMYFUNCTION("""COMPUTED_VALUE"""),1545003.0)</f>
        <v>1545003</v>
      </c>
      <c r="J5212" s="6">
        <f>IFERROR(__xludf.DUMMYFUNCTION("""COMPUTED_VALUE"""),1545003.0)</f>
        <v>1545003</v>
      </c>
      <c r="K5212" s="57">
        <f>IFERROR(__xludf.DUMMYFUNCTION("""COMPUTED_VALUE"""),46213.0)</f>
        <v>46213</v>
      </c>
      <c r="L5212" s="6" t="str">
        <f>IFERROR(__xludf.DUMMYFUNCTION("""COMPUTED_VALUE"""),"FIP General")</f>
        <v>FIP General</v>
      </c>
      <c r="M5212" s="6" t="str">
        <f>IFERROR(__xludf.DUMMYFUNCTION("""COMPUTED_VALUE"""),"Mochammad Fadhillah Hakim,")</f>
        <v>Mochammad Fadhillah Hakim,</v>
      </c>
      <c r="N5212" s="6" t="str">
        <f>IFERROR(__xludf.DUMMYFUNCTION("""COMPUTED_VALUE"""),"FIP Engineering")</f>
        <v>FIP Engineering</v>
      </c>
      <c r="O5212" s="6" t="str">
        <f>IFERROR(__xludf.DUMMYFUNCTION("""COMPUTED_VALUE"""),"FIP-DOM-ENG-51508-0000000-INA-000000")</f>
        <v>FIP-DOM-ENG-51508-0000000-INA-000000</v>
      </c>
      <c r="P5212" s="6" t="str">
        <f>IFERROR(__xludf.DUMMYFUNCTION("""COMPUTED_VALUE"""),"PO Closed")</f>
        <v>PO Closed</v>
      </c>
      <c r="Q5212" s="6" t="str">
        <f>IFERROR(__xludf.DUMMYFUNCTION("""COMPUTED_VALUE"""),"GL2607001")</f>
        <v>GL2607001</v>
      </c>
      <c r="R5212" s="57">
        <f>IFERROR(__xludf.DUMMYFUNCTION("""COMPUTED_VALUE"""),46178.0)</f>
        <v>46178</v>
      </c>
      <c r="S5212" s="57">
        <f>IFERROR(__xludf.DUMMYFUNCTION("""COMPUTED_VALUE"""),46178.0)</f>
        <v>46178</v>
      </c>
      <c r="T5212" s="57">
        <f>IFERROR(__xludf.DUMMYFUNCTION("""COMPUTED_VALUE"""),46233.0)</f>
        <v>46233</v>
      </c>
    </row>
    <row r="5213">
      <c r="A5213" s="6" t="str">
        <f>IFERROR(__xludf.DUMMYFUNCTION("""COMPUTED_VALUE"""),"121704296-1")</f>
        <v>121704296-1</v>
      </c>
      <c r="B5213" s="6" t="str">
        <f>IFERROR(__xludf.DUMMYFUNCTION("""COMPUTED_VALUE"""),"121704296 - APPROVED")</f>
        <v>121704296 - APPROVED</v>
      </c>
      <c r="C5213" s="6">
        <f>IFERROR(__xludf.DUMMYFUNCTION("""COMPUTED_VALUE"""),1.0)</f>
        <v>1</v>
      </c>
      <c r="D5213" s="6" t="str">
        <f>IFERROR(__xludf.DUMMYFUNCTION("""COMPUTED_VALUE"""),"O-20751-00")</f>
        <v>O-20751-00</v>
      </c>
      <c r="E5213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F5213" s="6">
        <f>IFERROR(__xludf.DUMMYFUNCTION("""COMPUTED_VALUE"""),30.0)</f>
        <v>30</v>
      </c>
      <c r="G5213" s="6" t="str">
        <f>IFERROR(__xludf.DUMMYFUNCTION("""COMPUTED_VALUE"""),"Pieces")</f>
        <v>Pieces</v>
      </c>
      <c r="H5213" s="6" t="str">
        <f>IFERROR(__xludf.DUMMYFUNCTION("""COMPUTED_VALUE"""),"IDR")</f>
        <v>IDR</v>
      </c>
      <c r="I5213" s="6">
        <f>IFERROR(__xludf.DUMMYFUNCTION("""COMPUTED_VALUE"""),55000.0)</f>
        <v>55000</v>
      </c>
      <c r="J5213" s="6">
        <f>IFERROR(__xludf.DUMMYFUNCTION("""COMPUTED_VALUE"""),1650000.0)</f>
        <v>1650000</v>
      </c>
      <c r="K5213" s="57">
        <f>IFERROR(__xludf.DUMMYFUNCTION("""COMPUTED_VALUE"""),46213.0)</f>
        <v>46213</v>
      </c>
      <c r="L5213" s="6" t="str">
        <f>IFERROR(__xludf.DUMMYFUNCTION("""COMPUTED_VALUE"""),"FIP Engineering")</f>
        <v>FIP Engineering</v>
      </c>
      <c r="M5213" s="6" t="str">
        <f>IFERROR(__xludf.DUMMYFUNCTION("""COMPUTED_VALUE"""),"Mochammad Fadhillah Hakim,")</f>
        <v>Mochammad Fadhillah Hakim,</v>
      </c>
      <c r="N5213" s="6" t="str">
        <f>IFERROR(__xludf.DUMMYFUNCTION("""COMPUTED_VALUE"""),"FIP Engineering")</f>
        <v>FIP Engineering</v>
      </c>
      <c r="O5213" s="6" t="str">
        <f>IFERROR(__xludf.DUMMYFUNCTION("""COMPUTED_VALUE"""),"FIP-DOM-000-11304-OS00001-INA-000000")</f>
        <v>FIP-DOM-000-11304-OS00001-INA-000000</v>
      </c>
      <c r="P5213" s="6" t="str">
        <f>IFERROR(__xludf.DUMMYFUNCTION("""COMPUTED_VALUE"""),"PO Closed")</f>
        <v>PO Closed</v>
      </c>
      <c r="Q5213" s="6" t="str">
        <f>IFERROR(__xludf.DUMMYFUNCTION("""COMPUTED_VALUE"""),"GL2607356")</f>
        <v>GL2607356</v>
      </c>
      <c r="R5213" s="57">
        <f>IFERROR(__xludf.DUMMYFUNCTION("""COMPUTED_VALUE"""),46181.0)</f>
        <v>46181</v>
      </c>
      <c r="S5213" s="57">
        <f>IFERROR(__xludf.DUMMYFUNCTION("""COMPUTED_VALUE"""),46184.0)</f>
        <v>46184</v>
      </c>
      <c r="T5213" s="57">
        <f>IFERROR(__xludf.DUMMYFUNCTION("""COMPUTED_VALUE"""),46244.0)</f>
        <v>46244</v>
      </c>
    </row>
    <row r="5214">
      <c r="A5214" s="6" t="str">
        <f>IFERROR(__xludf.DUMMYFUNCTION("""COMPUTED_VALUE"""),"121704306-1")</f>
        <v>121704306-1</v>
      </c>
      <c r="B5214" s="6" t="str">
        <f>IFERROR(__xludf.DUMMYFUNCTION("""COMPUTED_VALUE"""),"121704306 - APPROVED")</f>
        <v>121704306 - APPROVED</v>
      </c>
      <c r="C5214" s="6">
        <f>IFERROR(__xludf.DUMMYFUNCTION("""COMPUTED_VALUE"""),1.0)</f>
        <v>1</v>
      </c>
      <c r="D5214" s="6" t="str">
        <f>IFERROR(__xludf.DUMMYFUNCTION("""COMPUTED_VALUE"""),"R-20024-00")</f>
        <v>R-20024-00</v>
      </c>
      <c r="E5214" s="6" t="str">
        <f>IFERROR(__xludf.DUMMYFUNCTION("""COMPUTED_VALUE"""),"Machine Equipment; ; ; - Backlight LED Std.110x140, white, narrow edge 95-220131-00")</f>
        <v>Machine Equipment; ; ; - Backlight LED Std.110x140, white, narrow edge 95-220131-00</v>
      </c>
      <c r="F5214" s="6">
        <f>IFERROR(__xludf.DUMMYFUNCTION("""COMPUTED_VALUE"""),1.0)</f>
        <v>1</v>
      </c>
      <c r="G5214" s="6" t="str">
        <f>IFERROR(__xludf.DUMMYFUNCTION("""COMPUTED_VALUE"""),"Unit")</f>
        <v>Unit</v>
      </c>
      <c r="H5214" s="6" t="str">
        <f>IFERROR(__xludf.DUMMYFUNCTION("""COMPUTED_VALUE"""),"IDR")</f>
        <v>IDR</v>
      </c>
      <c r="I5214" s="6">
        <f>IFERROR(__xludf.DUMMYFUNCTION("""COMPUTED_VALUE"""),7.4E7)</f>
        <v>74000000</v>
      </c>
      <c r="J5214" s="6">
        <f>IFERROR(__xludf.DUMMYFUNCTION("""COMPUTED_VALUE"""),7.4E7)</f>
        <v>74000000</v>
      </c>
      <c r="K5214" s="57">
        <f>IFERROR(__xludf.DUMMYFUNCTION("""COMPUTED_VALUE"""),46248.0)</f>
        <v>46248</v>
      </c>
      <c r="L5214" s="6" t="str">
        <f>IFERROR(__xludf.DUMMYFUNCTION("""COMPUTED_VALUE"""),"FIP General")</f>
        <v>FIP General</v>
      </c>
      <c r="M5214" s="6" t="str">
        <f>IFERROR(__xludf.DUMMYFUNCTION("""COMPUTED_VALUE"""),"Mochammad Fadhillah Hakim,")</f>
        <v>Mochammad Fadhillah Hakim,</v>
      </c>
      <c r="N5214" s="6" t="str">
        <f>IFERROR(__xludf.DUMMYFUNCTION("""COMPUTED_VALUE"""),"FIP Engineering")</f>
        <v>FIP Engineering</v>
      </c>
      <c r="O5214" s="6" t="str">
        <f>IFERROR(__xludf.DUMMYFUNCTION("""COMPUTED_VALUE"""),"FIP-DOM-ENG-13404-MC26006-INA-000000")</f>
        <v>FIP-DOM-ENG-13404-MC26006-INA-000000</v>
      </c>
      <c r="P5214" s="6" t="str">
        <f>IFERROR(__xludf.DUMMYFUNCTION("""COMPUTED_VALUE"""),"PO Open")</f>
        <v>PO Open</v>
      </c>
      <c r="Q5214" s="6" t="str">
        <f>IFERROR(__xludf.DUMMYFUNCTION("""COMPUTED_VALUE"""),"GL2607036")</f>
        <v>GL2607036</v>
      </c>
      <c r="R5214" s="57">
        <f>IFERROR(__xludf.DUMMYFUNCTION("""COMPUTED_VALUE"""),46184.0)</f>
        <v>46184</v>
      </c>
      <c r="S5214" s="57">
        <f>IFERROR(__xludf.DUMMYFUNCTION("""COMPUTED_VALUE"""),46195.0)</f>
        <v>46195</v>
      </c>
      <c r="T5214" s="57">
        <f>IFERROR(__xludf.DUMMYFUNCTION("""COMPUTED_VALUE"""),46343.0)</f>
        <v>46343</v>
      </c>
    </row>
    <row r="5215">
      <c r="A5215" s="6" t="str">
        <f>IFERROR(__xludf.DUMMYFUNCTION("""COMPUTED_VALUE"""),"121704306-2")</f>
        <v>121704306-2</v>
      </c>
      <c r="B5215" s="6" t="str">
        <f>IFERROR(__xludf.DUMMYFUNCTION("""COMPUTED_VALUE"""),"121704306 - APPROVED")</f>
        <v>121704306 - APPROVED</v>
      </c>
      <c r="C5215" s="6">
        <f>IFERROR(__xludf.DUMMYFUNCTION("""COMPUTED_VALUE"""),2.0)</f>
        <v>2</v>
      </c>
      <c r="D5215" s="6" t="str">
        <f>IFERROR(__xludf.DUMMYFUNCTION("""COMPUTED_VALUE"""),"R-20024-00")</f>
        <v>R-20024-00</v>
      </c>
      <c r="E5215" s="6" t="str">
        <f>IFERROR(__xludf.DUMMYFUNCTION("""COMPUTED_VALUE"""),"Machine Equipment; ; ; - Backlight LED Std.110x140, white, narrow edge 95-220131-00")</f>
        <v>Machine Equipment; ; ; - Backlight LED Std.110x140, white, narrow edge 95-220131-00</v>
      </c>
      <c r="F5215" s="6">
        <f>IFERROR(__xludf.DUMMYFUNCTION("""COMPUTED_VALUE"""),1.0)</f>
        <v>1</v>
      </c>
      <c r="G5215" s="6" t="str">
        <f>IFERROR(__xludf.DUMMYFUNCTION("""COMPUTED_VALUE"""),"Unit")</f>
        <v>Unit</v>
      </c>
      <c r="H5215" s="6" t="str">
        <f>IFERROR(__xludf.DUMMYFUNCTION("""COMPUTED_VALUE"""),"IDR")</f>
        <v>IDR</v>
      </c>
      <c r="I5215" s="6">
        <f>IFERROR(__xludf.DUMMYFUNCTION("""COMPUTED_VALUE"""),7.4E7)</f>
        <v>74000000</v>
      </c>
      <c r="J5215" s="6">
        <f>IFERROR(__xludf.DUMMYFUNCTION("""COMPUTED_VALUE"""),7.4E7)</f>
        <v>74000000</v>
      </c>
      <c r="K5215" s="57">
        <f>IFERROR(__xludf.DUMMYFUNCTION("""COMPUTED_VALUE"""),46248.0)</f>
        <v>46248</v>
      </c>
      <c r="L5215" s="6" t="str">
        <f>IFERROR(__xludf.DUMMYFUNCTION("""COMPUTED_VALUE"""),"FIP General")</f>
        <v>FIP General</v>
      </c>
      <c r="M5215" s="6" t="str">
        <f>IFERROR(__xludf.DUMMYFUNCTION("""COMPUTED_VALUE"""),"Mochammad Fadhillah Hakim,")</f>
        <v>Mochammad Fadhillah Hakim,</v>
      </c>
      <c r="N5215" s="6" t="str">
        <f>IFERROR(__xludf.DUMMYFUNCTION("""COMPUTED_VALUE"""),"FIP Engineering")</f>
        <v>FIP Engineering</v>
      </c>
      <c r="O5215" s="6" t="str">
        <f>IFERROR(__xludf.DUMMYFUNCTION("""COMPUTED_VALUE"""),"FIP-DOM-ENG-13404-MC26007-INA-000000")</f>
        <v>FIP-DOM-ENG-13404-MC26007-INA-000000</v>
      </c>
      <c r="P5215" s="6" t="str">
        <f>IFERROR(__xludf.DUMMYFUNCTION("""COMPUTED_VALUE"""),"PO Open")</f>
        <v>PO Open</v>
      </c>
      <c r="Q5215" s="6" t="str">
        <f>IFERROR(__xludf.DUMMYFUNCTION("""COMPUTED_VALUE"""),"GL2607036")</f>
        <v>GL2607036</v>
      </c>
      <c r="R5215" s="57">
        <f>IFERROR(__xludf.DUMMYFUNCTION("""COMPUTED_VALUE"""),46184.0)</f>
        <v>46184</v>
      </c>
      <c r="S5215" s="57">
        <f>IFERROR(__xludf.DUMMYFUNCTION("""COMPUTED_VALUE"""),46195.0)</f>
        <v>46195</v>
      </c>
      <c r="T5215" s="57">
        <f>IFERROR(__xludf.DUMMYFUNCTION("""COMPUTED_VALUE"""),46343.0)</f>
        <v>46343</v>
      </c>
    </row>
    <row r="5216">
      <c r="A5216" s="6" t="str">
        <f>IFERROR(__xludf.DUMMYFUNCTION("""COMPUTED_VALUE"""),"121704306-3")</f>
        <v>121704306-3</v>
      </c>
      <c r="B5216" s="6" t="str">
        <f>IFERROR(__xludf.DUMMYFUNCTION("""COMPUTED_VALUE"""),"121704306 - APPROVED")</f>
        <v>121704306 - APPROVED</v>
      </c>
      <c r="C5216" s="6">
        <f>IFERROR(__xludf.DUMMYFUNCTION("""COMPUTED_VALUE"""),3.0)</f>
        <v>3</v>
      </c>
      <c r="D5216" s="6" t="str">
        <f>IFERROR(__xludf.DUMMYFUNCTION("""COMPUTED_VALUE"""),"R-20024-00")</f>
        <v>R-20024-00</v>
      </c>
      <c r="E5216" s="6" t="str">
        <f>IFERROR(__xludf.DUMMYFUNCTION("""COMPUTED_VALUE"""),"Machine Equipment; ; ; - Backlight LED Part.140x110, white, narrow edge 95-220132-10")</f>
        <v>Machine Equipment; ; ; - Backlight LED Part.140x110, white, narrow edge 95-220132-10</v>
      </c>
      <c r="F5216" s="6">
        <f>IFERROR(__xludf.DUMMYFUNCTION("""COMPUTED_VALUE"""),1.0)</f>
        <v>1</v>
      </c>
      <c r="G5216" s="6" t="str">
        <f>IFERROR(__xludf.DUMMYFUNCTION("""COMPUTED_VALUE"""),"Unit")</f>
        <v>Unit</v>
      </c>
      <c r="H5216" s="6" t="str">
        <f>IFERROR(__xludf.DUMMYFUNCTION("""COMPUTED_VALUE"""),"IDR")</f>
        <v>IDR</v>
      </c>
      <c r="I5216" s="6">
        <f>IFERROR(__xludf.DUMMYFUNCTION("""COMPUTED_VALUE"""),1.62E8)</f>
        <v>162000000</v>
      </c>
      <c r="J5216" s="6">
        <f>IFERROR(__xludf.DUMMYFUNCTION("""COMPUTED_VALUE"""),1.62E8)</f>
        <v>162000000</v>
      </c>
      <c r="K5216" s="57">
        <f>IFERROR(__xludf.DUMMYFUNCTION("""COMPUTED_VALUE"""),46248.0)</f>
        <v>46248</v>
      </c>
      <c r="L5216" s="6" t="str">
        <f>IFERROR(__xludf.DUMMYFUNCTION("""COMPUTED_VALUE"""),"FIP General")</f>
        <v>FIP General</v>
      </c>
      <c r="M5216" s="6" t="str">
        <f>IFERROR(__xludf.DUMMYFUNCTION("""COMPUTED_VALUE"""),"Mochammad Fadhillah Hakim,")</f>
        <v>Mochammad Fadhillah Hakim,</v>
      </c>
      <c r="N5216" s="6" t="str">
        <f>IFERROR(__xludf.DUMMYFUNCTION("""COMPUTED_VALUE"""),"FIP Engineering")</f>
        <v>FIP Engineering</v>
      </c>
      <c r="O5216" s="6" t="str">
        <f>IFERROR(__xludf.DUMMYFUNCTION("""COMPUTED_VALUE"""),"FIP-DOM-ENG-13404-MC26003-INA-000000")</f>
        <v>FIP-DOM-ENG-13404-MC26003-INA-000000</v>
      </c>
      <c r="P5216" s="6" t="str">
        <f>IFERROR(__xludf.DUMMYFUNCTION("""COMPUTED_VALUE"""),"PO Open")</f>
        <v>PO Open</v>
      </c>
      <c r="Q5216" s="6" t="str">
        <f>IFERROR(__xludf.DUMMYFUNCTION("""COMPUTED_VALUE"""),"GL2607036")</f>
        <v>GL2607036</v>
      </c>
      <c r="R5216" s="57">
        <f>IFERROR(__xludf.DUMMYFUNCTION("""COMPUTED_VALUE"""),46184.0)</f>
        <v>46184</v>
      </c>
      <c r="S5216" s="57">
        <f>IFERROR(__xludf.DUMMYFUNCTION("""COMPUTED_VALUE"""),46195.0)</f>
        <v>46195</v>
      </c>
      <c r="T5216" s="57">
        <f>IFERROR(__xludf.DUMMYFUNCTION("""COMPUTED_VALUE"""),46343.0)</f>
        <v>46343</v>
      </c>
    </row>
    <row r="5217">
      <c r="A5217" s="6" t="str">
        <f>IFERROR(__xludf.DUMMYFUNCTION("""COMPUTED_VALUE"""),"121704308-1")</f>
        <v>121704308-1</v>
      </c>
      <c r="B5217" s="6" t="str">
        <f>IFERROR(__xludf.DUMMYFUNCTION("""COMPUTED_VALUE"""),"121704308 - APPROVED")</f>
        <v>121704308 - APPROVED</v>
      </c>
      <c r="C5217" s="6">
        <f>IFERROR(__xludf.DUMMYFUNCTION("""COMPUTED_VALUE"""),1.0)</f>
        <v>1</v>
      </c>
      <c r="D5217" s="6" t="str">
        <f>IFERROR(__xludf.DUMMYFUNCTION("""COMPUTED_VALUE"""),"P-54627-00")</f>
        <v>P-54627-00</v>
      </c>
      <c r="E5217" s="6" t="str">
        <f>IFERROR(__xludf.DUMMYFUNCTION("""COMPUTED_VALUE"""),"General - Solenoid Valve Welded EVR3 1/4 Inch; Danfoss; -; 1 pc")</f>
        <v>General - Solenoid Valve Welded EVR3 1/4 Inch; Danfoss; -; 1 pc</v>
      </c>
      <c r="F5217" s="6">
        <f>IFERROR(__xludf.DUMMYFUNCTION("""COMPUTED_VALUE"""),1.0)</f>
        <v>1</v>
      </c>
      <c r="G5217" s="6" t="str">
        <f>IFERROR(__xludf.DUMMYFUNCTION("""COMPUTED_VALUE"""),"Pieces")</f>
        <v>Pieces</v>
      </c>
      <c r="H5217" s="6" t="str">
        <f>IFERROR(__xludf.DUMMYFUNCTION("""COMPUTED_VALUE"""),"IDR")</f>
        <v>IDR</v>
      </c>
      <c r="I5217" s="6">
        <f>IFERROR(__xludf.DUMMYFUNCTION("""COMPUTED_VALUE"""),1100000.0)</f>
        <v>1100000</v>
      </c>
      <c r="J5217" s="6">
        <f>IFERROR(__xludf.DUMMYFUNCTION("""COMPUTED_VALUE"""),1100000.0)</f>
        <v>1100000</v>
      </c>
      <c r="K5217" s="57">
        <f>IFERROR(__xludf.DUMMYFUNCTION("""COMPUTED_VALUE"""),46220.0)</f>
        <v>46220</v>
      </c>
      <c r="L5217" s="6" t="str">
        <f>IFERROR(__xludf.DUMMYFUNCTION("""COMPUTED_VALUE"""),"FIP Engineering")</f>
        <v>FIP Engineering</v>
      </c>
      <c r="M5217" s="6" t="str">
        <f>IFERROR(__xludf.DUMMYFUNCTION("""COMPUTED_VALUE"""),"Mochammad Fadhillah Hakim,")</f>
        <v>Mochammad Fadhillah Hakim,</v>
      </c>
      <c r="N5217" s="6" t="str">
        <f>IFERROR(__xludf.DUMMYFUNCTION("""COMPUTED_VALUE"""),"FIP Engineering")</f>
        <v>FIP Engineering</v>
      </c>
      <c r="O5217" s="6" t="str">
        <f>IFERROR(__xludf.DUMMYFUNCTION("""COMPUTED_VALUE"""),"FIP-DOM-000-11304-OS00001-INA-000000")</f>
        <v>FIP-DOM-000-11304-OS00001-INA-000000</v>
      </c>
      <c r="P5217" s="6" t="str">
        <f>IFERROR(__xludf.DUMMYFUNCTION("""COMPUTED_VALUE"""),"PO Closed")</f>
        <v>PO Closed</v>
      </c>
      <c r="Q5217" s="6" t="str">
        <f>IFERROR(__xludf.DUMMYFUNCTION("""COMPUTED_VALUE"""),"GL2606354")</f>
        <v>GL2606354</v>
      </c>
      <c r="R5217" s="57">
        <f>IFERROR(__xludf.DUMMYFUNCTION("""COMPUTED_VALUE"""),46184.0)</f>
        <v>46184</v>
      </c>
      <c r="S5217" s="57">
        <f>IFERROR(__xludf.DUMMYFUNCTION("""COMPUTED_VALUE"""),46184.0)</f>
        <v>46184</v>
      </c>
      <c r="T5217" s="57">
        <f>IFERROR(__xludf.DUMMYFUNCTION("""COMPUTED_VALUE"""),46220.0)</f>
        <v>46220</v>
      </c>
    </row>
    <row r="5218">
      <c r="A5218" s="6" t="str">
        <f>IFERROR(__xludf.DUMMYFUNCTION("""COMPUTED_VALUE"""),"121704308-2")</f>
        <v>121704308-2</v>
      </c>
      <c r="B5218" s="6" t="str">
        <f>IFERROR(__xludf.DUMMYFUNCTION("""COMPUTED_VALUE"""),"121704308 - APPROVED")</f>
        <v>121704308 - APPROVED</v>
      </c>
      <c r="C5218" s="6">
        <f>IFERROR(__xludf.DUMMYFUNCTION("""COMPUTED_VALUE"""),2.0)</f>
        <v>2</v>
      </c>
      <c r="D5218" s="6" t="str">
        <f>IFERROR(__xludf.DUMMYFUNCTION("""COMPUTED_VALUE"""),"P-54628-00")</f>
        <v>P-54628-00</v>
      </c>
      <c r="E5218" s="6" t="str">
        <f>IFERROR(__xludf.DUMMYFUNCTION("""COMPUTED_VALUE"""),"General - Solenoid Coil 018F6282 220V; No Brand; -; 1 pc")</f>
        <v>General - Solenoid Coil 018F6282 220V; No Brand; -; 1 pc</v>
      </c>
      <c r="F5218" s="6">
        <f>IFERROR(__xludf.DUMMYFUNCTION("""COMPUTED_VALUE"""),1.0)</f>
        <v>1</v>
      </c>
      <c r="G5218" s="6" t="str">
        <f>IFERROR(__xludf.DUMMYFUNCTION("""COMPUTED_VALUE"""),"Pieces")</f>
        <v>Pieces</v>
      </c>
      <c r="H5218" s="6" t="str">
        <f>IFERROR(__xludf.DUMMYFUNCTION("""COMPUTED_VALUE"""),"IDR")</f>
        <v>IDR</v>
      </c>
      <c r="I5218" s="6">
        <f>IFERROR(__xludf.DUMMYFUNCTION("""COMPUTED_VALUE"""),562500.0)</f>
        <v>562500</v>
      </c>
      <c r="J5218" s="6">
        <f>IFERROR(__xludf.DUMMYFUNCTION("""COMPUTED_VALUE"""),562500.0)</f>
        <v>562500</v>
      </c>
      <c r="K5218" s="57">
        <f>IFERROR(__xludf.DUMMYFUNCTION("""COMPUTED_VALUE"""),46220.0)</f>
        <v>46220</v>
      </c>
      <c r="L5218" s="6" t="str">
        <f>IFERROR(__xludf.DUMMYFUNCTION("""COMPUTED_VALUE"""),"FIP Engineering")</f>
        <v>FIP Engineering</v>
      </c>
      <c r="M5218" s="6" t="str">
        <f>IFERROR(__xludf.DUMMYFUNCTION("""COMPUTED_VALUE"""),"Mochammad Fadhillah Hakim,")</f>
        <v>Mochammad Fadhillah Hakim,</v>
      </c>
      <c r="N5218" s="6" t="str">
        <f>IFERROR(__xludf.DUMMYFUNCTION("""COMPUTED_VALUE"""),"FIP Engineering")</f>
        <v>FIP Engineering</v>
      </c>
      <c r="O5218" s="6" t="str">
        <f>IFERROR(__xludf.DUMMYFUNCTION("""COMPUTED_VALUE"""),"FIP-DOM-000-11304-OS00001-INA-000000")</f>
        <v>FIP-DOM-000-11304-OS00001-INA-000000</v>
      </c>
      <c r="P5218" s="6" t="str">
        <f>IFERROR(__xludf.DUMMYFUNCTION("""COMPUTED_VALUE"""),"PO Closed")</f>
        <v>PO Closed</v>
      </c>
      <c r="Q5218" s="6" t="str">
        <f>IFERROR(__xludf.DUMMYFUNCTION("""COMPUTED_VALUE"""),"GL2606354")</f>
        <v>GL2606354</v>
      </c>
      <c r="R5218" s="57">
        <f>IFERROR(__xludf.DUMMYFUNCTION("""COMPUTED_VALUE"""),46184.0)</f>
        <v>46184</v>
      </c>
      <c r="S5218" s="57">
        <f>IFERROR(__xludf.DUMMYFUNCTION("""COMPUTED_VALUE"""),46184.0)</f>
        <v>46184</v>
      </c>
      <c r="T5218" s="57">
        <f>IFERROR(__xludf.DUMMYFUNCTION("""COMPUTED_VALUE"""),46220.0)</f>
        <v>46220</v>
      </c>
    </row>
    <row r="5219">
      <c r="A5219" s="6" t="str">
        <f>IFERROR(__xludf.DUMMYFUNCTION("""COMPUTED_VALUE"""),"121704308-3")</f>
        <v>121704308-3</v>
      </c>
      <c r="B5219" s="6" t="str">
        <f>IFERROR(__xludf.DUMMYFUNCTION("""COMPUTED_VALUE"""),"121704308 - APPROVED")</f>
        <v>121704308 - APPROVED</v>
      </c>
      <c r="C5219" s="6">
        <f>IFERROR(__xludf.DUMMYFUNCTION("""COMPUTED_VALUE"""),3.0)</f>
        <v>3</v>
      </c>
      <c r="D5219" s="6" t="str">
        <f>IFERROR(__xludf.DUMMYFUNCTION("""COMPUTED_VALUE"""),"P-19065-00")</f>
        <v>P-19065-00</v>
      </c>
      <c r="E5219" s="6" t="str">
        <f>IFERROR(__xludf.DUMMYFUNCTION("""COMPUTED_VALUE"""),"General - Filter Dryer; Emerson; EK-052; 1 pcs")</f>
        <v>General - Filter Dryer; Emerson; EK-052; 1 pcs</v>
      </c>
      <c r="F5219" s="6">
        <f>IFERROR(__xludf.DUMMYFUNCTION("""COMPUTED_VALUE"""),1.0)</f>
        <v>1</v>
      </c>
      <c r="G5219" s="6" t="str">
        <f>IFERROR(__xludf.DUMMYFUNCTION("""COMPUTED_VALUE"""),"Pieces")</f>
        <v>Pieces</v>
      </c>
      <c r="H5219" s="6" t="str">
        <f>IFERROR(__xludf.DUMMYFUNCTION("""COMPUTED_VALUE"""),"IDR")</f>
        <v>IDR</v>
      </c>
      <c r="I5219" s="6">
        <f>IFERROR(__xludf.DUMMYFUNCTION("""COMPUTED_VALUE"""),185000.0)</f>
        <v>185000</v>
      </c>
      <c r="J5219" s="6">
        <f>IFERROR(__xludf.DUMMYFUNCTION("""COMPUTED_VALUE"""),185000.0)</f>
        <v>185000</v>
      </c>
      <c r="K5219" s="57">
        <f>IFERROR(__xludf.DUMMYFUNCTION("""COMPUTED_VALUE"""),46220.0)</f>
        <v>46220</v>
      </c>
      <c r="L5219" s="6" t="str">
        <f>IFERROR(__xludf.DUMMYFUNCTION("""COMPUTED_VALUE"""),"FIP Engineering")</f>
        <v>FIP Engineering</v>
      </c>
      <c r="M5219" s="6" t="str">
        <f>IFERROR(__xludf.DUMMYFUNCTION("""COMPUTED_VALUE"""),"Mochammad Fadhillah Hakim,")</f>
        <v>Mochammad Fadhillah Hakim,</v>
      </c>
      <c r="N5219" s="6" t="str">
        <f>IFERROR(__xludf.DUMMYFUNCTION("""COMPUTED_VALUE"""),"FIP Engineering")</f>
        <v>FIP Engineering</v>
      </c>
      <c r="O5219" s="6" t="str">
        <f>IFERROR(__xludf.DUMMYFUNCTION("""COMPUTED_VALUE"""),"FIP-DOM-000-11304-OS00001-INA-000000")</f>
        <v>FIP-DOM-000-11304-OS00001-INA-000000</v>
      </c>
      <c r="P5219" s="6" t="str">
        <f>IFERROR(__xludf.DUMMYFUNCTION("""COMPUTED_VALUE"""),"PO Closed")</f>
        <v>PO Closed</v>
      </c>
      <c r="Q5219" s="6" t="str">
        <f>IFERROR(__xludf.DUMMYFUNCTION("""COMPUTED_VALUE"""),"GL2606354")</f>
        <v>GL2606354</v>
      </c>
      <c r="R5219" s="57">
        <f>IFERROR(__xludf.DUMMYFUNCTION("""COMPUTED_VALUE"""),46184.0)</f>
        <v>46184</v>
      </c>
      <c r="S5219" s="57">
        <f>IFERROR(__xludf.DUMMYFUNCTION("""COMPUTED_VALUE"""),46184.0)</f>
        <v>46184</v>
      </c>
      <c r="T5219" s="57">
        <f>IFERROR(__xludf.DUMMYFUNCTION("""COMPUTED_VALUE"""),46220.0)</f>
        <v>46220</v>
      </c>
    </row>
    <row r="5220">
      <c r="A5220" s="6" t="str">
        <f>IFERROR(__xludf.DUMMYFUNCTION("""COMPUTED_VALUE"""),"121704314-1")</f>
        <v>121704314-1</v>
      </c>
      <c r="B5220" s="6" t="str">
        <f>IFERROR(__xludf.DUMMYFUNCTION("""COMPUTED_VALUE"""),"121704314 - APPROVED")</f>
        <v>121704314 - APPROVED</v>
      </c>
      <c r="C5220" s="6">
        <f>IFERROR(__xludf.DUMMYFUNCTION("""COMPUTED_VALUE"""),1.0)</f>
        <v>1</v>
      </c>
      <c r="D5220" s="6" t="str">
        <f>IFERROR(__xludf.DUMMYFUNCTION("""COMPUTED_VALUE"""),"R-20024-00")</f>
        <v>R-20024-00</v>
      </c>
      <c r="E5220" s="6" t="str">
        <f>IFERROR(__xludf.DUMMYFUNCTION("""COMPUTED_VALUE"""),"Machine Equipment; ; ; - Baut tanpa kepala M4 x 20 mm SS - Baut tanpa kepala M4 x 20 mm SS")</f>
        <v>Machine Equipment; ; ; - Baut tanpa kepala M4 x 20 mm SS - Baut tanpa kepala M4 x 20 mm SS</v>
      </c>
      <c r="F5220" s="6">
        <f>IFERROR(__xludf.DUMMYFUNCTION("""COMPUTED_VALUE"""),100.0)</f>
        <v>100</v>
      </c>
      <c r="G5220" s="6" t="str">
        <f>IFERROR(__xludf.DUMMYFUNCTION("""COMPUTED_VALUE"""),"Unit")</f>
        <v>Unit</v>
      </c>
      <c r="H5220" s="6" t="str">
        <f>IFERROR(__xludf.DUMMYFUNCTION("""COMPUTED_VALUE"""),"IDR")</f>
        <v>IDR</v>
      </c>
      <c r="I5220" s="6">
        <f>IFERROR(__xludf.DUMMYFUNCTION("""COMPUTED_VALUE"""),1820.0)</f>
        <v>1820</v>
      </c>
      <c r="J5220" s="6">
        <f>IFERROR(__xludf.DUMMYFUNCTION("""COMPUTED_VALUE"""),182000.0)</f>
        <v>182000</v>
      </c>
      <c r="K5220" s="57">
        <f>IFERROR(__xludf.DUMMYFUNCTION("""COMPUTED_VALUE"""),46220.0)</f>
        <v>46220</v>
      </c>
      <c r="L5220" s="6" t="str">
        <f>IFERROR(__xludf.DUMMYFUNCTION("""COMPUTED_VALUE"""),"FIP General")</f>
        <v>FIP General</v>
      </c>
      <c r="M5220" s="6" t="str">
        <f>IFERROR(__xludf.DUMMYFUNCTION("""COMPUTED_VALUE"""),"Mochammad Fadhillah Hakim,")</f>
        <v>Mochammad Fadhillah Hakim,</v>
      </c>
      <c r="N5220" s="6" t="str">
        <f>IFERROR(__xludf.DUMMYFUNCTION("""COMPUTED_VALUE"""),"FIP Engineering")</f>
        <v>FIP Engineering</v>
      </c>
      <c r="O5220" s="6" t="str">
        <f>IFERROR(__xludf.DUMMYFUNCTION("""COMPUTED_VALUE"""),"FIP-DOM-PRJ-13404-MC26022-INA-000000")</f>
        <v>FIP-DOM-PRJ-13404-MC26022-INA-000000</v>
      </c>
      <c r="P5220" s="6" t="str">
        <f>IFERROR(__xludf.DUMMYFUNCTION("""COMPUTED_VALUE"""),"PO Closed")</f>
        <v>PO Closed</v>
      </c>
      <c r="Q5220" s="6" t="str">
        <f>IFERROR(__xludf.DUMMYFUNCTION("""COMPUTED_VALUE"""),"GL2606042")</f>
        <v>GL2606042</v>
      </c>
      <c r="R5220" s="57">
        <f>IFERROR(__xludf.DUMMYFUNCTION("""COMPUTED_VALUE"""),46188.0)</f>
        <v>46188</v>
      </c>
      <c r="S5220" s="57">
        <f>IFERROR(__xludf.DUMMYFUNCTION("""COMPUTED_VALUE"""),46188.0)</f>
        <v>46188</v>
      </c>
      <c r="T5220" s="57">
        <f>IFERROR(__xludf.DUMMYFUNCTION("""COMPUTED_VALUE"""),46227.0)</f>
        <v>46227</v>
      </c>
    </row>
    <row r="5221">
      <c r="A5221" s="6" t="str">
        <f>IFERROR(__xludf.DUMMYFUNCTION("""COMPUTED_VALUE"""),"121704314-2")</f>
        <v>121704314-2</v>
      </c>
      <c r="B5221" s="6" t="str">
        <f>IFERROR(__xludf.DUMMYFUNCTION("""COMPUTED_VALUE"""),"121704314 - APPROVED")</f>
        <v>121704314 - APPROVED</v>
      </c>
      <c r="C5221" s="6">
        <f>IFERROR(__xludf.DUMMYFUNCTION("""COMPUTED_VALUE"""),2.0)</f>
        <v>2</v>
      </c>
      <c r="D5221" s="6" t="str">
        <f>IFERROR(__xludf.DUMMYFUNCTION("""COMPUTED_VALUE"""),"R-20024-00")</f>
        <v>R-20024-00</v>
      </c>
      <c r="E5221" s="6" t="str">
        <f>IFERROR(__xludf.DUMMYFUNCTION("""COMPUTED_VALUE"""),"Machine Equipment; ; ; - Baut tanpa kepala M5 x 20 mm SS - Baut tanpa kepala M5 x 20 mm SS")</f>
        <v>Machine Equipment; ; ; - Baut tanpa kepala M5 x 20 mm SS - Baut tanpa kepala M5 x 20 mm SS</v>
      </c>
      <c r="F5221" s="6">
        <f>IFERROR(__xludf.DUMMYFUNCTION("""COMPUTED_VALUE"""),100.0)</f>
        <v>100</v>
      </c>
      <c r="G5221" s="6" t="str">
        <f>IFERROR(__xludf.DUMMYFUNCTION("""COMPUTED_VALUE"""),"Unit")</f>
        <v>Unit</v>
      </c>
      <c r="H5221" s="6" t="str">
        <f>IFERROR(__xludf.DUMMYFUNCTION("""COMPUTED_VALUE"""),"IDR")</f>
        <v>IDR</v>
      </c>
      <c r="I5221" s="6">
        <f>IFERROR(__xludf.DUMMYFUNCTION("""COMPUTED_VALUE"""),2080.0)</f>
        <v>2080</v>
      </c>
      <c r="J5221" s="6">
        <f>IFERROR(__xludf.DUMMYFUNCTION("""COMPUTED_VALUE"""),208000.0)</f>
        <v>208000</v>
      </c>
      <c r="K5221" s="57">
        <f>IFERROR(__xludf.DUMMYFUNCTION("""COMPUTED_VALUE"""),46220.0)</f>
        <v>46220</v>
      </c>
      <c r="L5221" s="6" t="str">
        <f>IFERROR(__xludf.DUMMYFUNCTION("""COMPUTED_VALUE"""),"FIP General")</f>
        <v>FIP General</v>
      </c>
      <c r="M5221" s="6" t="str">
        <f>IFERROR(__xludf.DUMMYFUNCTION("""COMPUTED_VALUE"""),"Mochammad Fadhillah Hakim,")</f>
        <v>Mochammad Fadhillah Hakim,</v>
      </c>
      <c r="N5221" s="6" t="str">
        <f>IFERROR(__xludf.DUMMYFUNCTION("""COMPUTED_VALUE"""),"FIP Engineering")</f>
        <v>FIP Engineering</v>
      </c>
      <c r="O5221" s="6" t="str">
        <f>IFERROR(__xludf.DUMMYFUNCTION("""COMPUTED_VALUE"""),"FIP-DOM-PRJ-13404-MC26022-INA-000000")</f>
        <v>FIP-DOM-PRJ-13404-MC26022-INA-000000</v>
      </c>
      <c r="P5221" s="6" t="str">
        <f>IFERROR(__xludf.DUMMYFUNCTION("""COMPUTED_VALUE"""),"PO Closed")</f>
        <v>PO Closed</v>
      </c>
      <c r="Q5221" s="6" t="str">
        <f>IFERROR(__xludf.DUMMYFUNCTION("""COMPUTED_VALUE"""),"GL2606042")</f>
        <v>GL2606042</v>
      </c>
      <c r="R5221" s="57">
        <f>IFERROR(__xludf.DUMMYFUNCTION("""COMPUTED_VALUE"""),46188.0)</f>
        <v>46188</v>
      </c>
      <c r="S5221" s="57">
        <f>IFERROR(__xludf.DUMMYFUNCTION("""COMPUTED_VALUE"""),46188.0)</f>
        <v>46188</v>
      </c>
      <c r="T5221" s="57">
        <f>IFERROR(__xludf.DUMMYFUNCTION("""COMPUTED_VALUE"""),46227.0)</f>
        <v>46227</v>
      </c>
    </row>
    <row r="5222">
      <c r="A5222" s="6" t="str">
        <f>IFERROR(__xludf.DUMMYFUNCTION("""COMPUTED_VALUE"""),"121704314-3")</f>
        <v>121704314-3</v>
      </c>
      <c r="B5222" s="6" t="str">
        <f>IFERROR(__xludf.DUMMYFUNCTION("""COMPUTED_VALUE"""),"121704314 - APPROVED")</f>
        <v>121704314 - APPROVED</v>
      </c>
      <c r="C5222" s="6">
        <f>IFERROR(__xludf.DUMMYFUNCTION("""COMPUTED_VALUE"""),3.0)</f>
        <v>3</v>
      </c>
      <c r="D5222" s="6" t="str">
        <f>IFERROR(__xludf.DUMMYFUNCTION("""COMPUTED_VALUE"""),"R-20024-00")</f>
        <v>R-20024-00</v>
      </c>
      <c r="E5222" s="6" t="str">
        <f>IFERROR(__xludf.DUMMYFUNCTION("""COMPUTED_VALUE"""),"Machine Equipment; ; ; - Baut tanpa kepala M6 x 20 mm SS - Baut tanpa kepala M6 x 20 mm SS")</f>
        <v>Machine Equipment; ; ; - Baut tanpa kepala M6 x 20 mm SS - Baut tanpa kepala M6 x 20 mm SS</v>
      </c>
      <c r="F5222" s="6">
        <f>IFERROR(__xludf.DUMMYFUNCTION("""COMPUTED_VALUE"""),100.0)</f>
        <v>100</v>
      </c>
      <c r="G5222" s="6" t="str">
        <f>IFERROR(__xludf.DUMMYFUNCTION("""COMPUTED_VALUE"""),"Unit")</f>
        <v>Unit</v>
      </c>
      <c r="H5222" s="6" t="str">
        <f>IFERROR(__xludf.DUMMYFUNCTION("""COMPUTED_VALUE"""),"IDR")</f>
        <v>IDR</v>
      </c>
      <c r="I5222" s="6">
        <f>IFERROR(__xludf.DUMMYFUNCTION("""COMPUTED_VALUE"""),2470.0)</f>
        <v>2470</v>
      </c>
      <c r="J5222" s="6">
        <f>IFERROR(__xludf.DUMMYFUNCTION("""COMPUTED_VALUE"""),247000.0)</f>
        <v>247000</v>
      </c>
      <c r="K5222" s="57">
        <f>IFERROR(__xludf.DUMMYFUNCTION("""COMPUTED_VALUE"""),46220.0)</f>
        <v>46220</v>
      </c>
      <c r="L5222" s="6" t="str">
        <f>IFERROR(__xludf.DUMMYFUNCTION("""COMPUTED_VALUE"""),"FIP General")</f>
        <v>FIP General</v>
      </c>
      <c r="M5222" s="6" t="str">
        <f>IFERROR(__xludf.DUMMYFUNCTION("""COMPUTED_VALUE"""),"Mochammad Fadhillah Hakim,")</f>
        <v>Mochammad Fadhillah Hakim,</v>
      </c>
      <c r="N5222" s="6" t="str">
        <f>IFERROR(__xludf.DUMMYFUNCTION("""COMPUTED_VALUE"""),"FIP Engineering")</f>
        <v>FIP Engineering</v>
      </c>
      <c r="O5222" s="6" t="str">
        <f>IFERROR(__xludf.DUMMYFUNCTION("""COMPUTED_VALUE"""),"FIP-DOM-PRJ-13404-MC26022-INA-000000")</f>
        <v>FIP-DOM-PRJ-13404-MC26022-INA-000000</v>
      </c>
      <c r="P5222" s="6" t="str">
        <f>IFERROR(__xludf.DUMMYFUNCTION("""COMPUTED_VALUE"""),"PO Closed")</f>
        <v>PO Closed</v>
      </c>
      <c r="Q5222" s="6" t="str">
        <f>IFERROR(__xludf.DUMMYFUNCTION("""COMPUTED_VALUE"""),"GL2606042")</f>
        <v>GL2606042</v>
      </c>
      <c r="R5222" s="57">
        <f>IFERROR(__xludf.DUMMYFUNCTION("""COMPUTED_VALUE"""),46188.0)</f>
        <v>46188</v>
      </c>
      <c r="S5222" s="57">
        <f>IFERROR(__xludf.DUMMYFUNCTION("""COMPUTED_VALUE"""),46188.0)</f>
        <v>46188</v>
      </c>
      <c r="T5222" s="57">
        <f>IFERROR(__xludf.DUMMYFUNCTION("""COMPUTED_VALUE"""),46227.0)</f>
        <v>46227</v>
      </c>
    </row>
    <row r="5223">
      <c r="A5223" s="6" t="str">
        <f>IFERROR(__xludf.DUMMYFUNCTION("""COMPUTED_VALUE"""),"121704314-4")</f>
        <v>121704314-4</v>
      </c>
      <c r="B5223" s="6" t="str">
        <f>IFERROR(__xludf.DUMMYFUNCTION("""COMPUTED_VALUE"""),"121704314 - APPROVED")</f>
        <v>121704314 - APPROVED</v>
      </c>
      <c r="C5223" s="6">
        <f>IFERROR(__xludf.DUMMYFUNCTION("""COMPUTED_VALUE"""),4.0)</f>
        <v>4</v>
      </c>
      <c r="D5223" s="6" t="str">
        <f>IFERROR(__xludf.DUMMYFUNCTION("""COMPUTED_VALUE"""),"R-20024-00")</f>
        <v>R-20024-00</v>
      </c>
      <c r="E5223" s="6" t="str">
        <f>IFERROR(__xludf.DUMMYFUNCTION("""COMPUTED_VALUE"""),"Machine Equipment; ; ; - Baut tanpa kepala M8 x 20 mm SS - Baut tanpa kepala M8 x 20 mm SS")</f>
        <v>Machine Equipment; ; ; - Baut tanpa kepala M8 x 20 mm SS - Baut tanpa kepala M8 x 20 mm SS</v>
      </c>
      <c r="F5223" s="6">
        <f>IFERROR(__xludf.DUMMYFUNCTION("""COMPUTED_VALUE"""),100.0)</f>
        <v>100</v>
      </c>
      <c r="G5223" s="6" t="str">
        <f>IFERROR(__xludf.DUMMYFUNCTION("""COMPUTED_VALUE"""),"Unit")</f>
        <v>Unit</v>
      </c>
      <c r="H5223" s="6" t="str">
        <f>IFERROR(__xludf.DUMMYFUNCTION("""COMPUTED_VALUE"""),"IDR")</f>
        <v>IDR</v>
      </c>
      <c r="I5223" s="6">
        <f>IFERROR(__xludf.DUMMYFUNCTION("""COMPUTED_VALUE"""),2990.0)</f>
        <v>2990</v>
      </c>
      <c r="J5223" s="6">
        <f>IFERROR(__xludf.DUMMYFUNCTION("""COMPUTED_VALUE"""),299000.0)</f>
        <v>299000</v>
      </c>
      <c r="K5223" s="57">
        <f>IFERROR(__xludf.DUMMYFUNCTION("""COMPUTED_VALUE"""),46220.0)</f>
        <v>46220</v>
      </c>
      <c r="L5223" s="6" t="str">
        <f>IFERROR(__xludf.DUMMYFUNCTION("""COMPUTED_VALUE"""),"FIP General")</f>
        <v>FIP General</v>
      </c>
      <c r="M5223" s="6" t="str">
        <f>IFERROR(__xludf.DUMMYFUNCTION("""COMPUTED_VALUE"""),"Mochammad Fadhillah Hakim,")</f>
        <v>Mochammad Fadhillah Hakim,</v>
      </c>
      <c r="N5223" s="6" t="str">
        <f>IFERROR(__xludf.DUMMYFUNCTION("""COMPUTED_VALUE"""),"FIP Engineering")</f>
        <v>FIP Engineering</v>
      </c>
      <c r="O5223" s="6" t="str">
        <f>IFERROR(__xludf.DUMMYFUNCTION("""COMPUTED_VALUE"""),"FIP-DOM-PRJ-13404-MC26022-INA-000000")</f>
        <v>FIP-DOM-PRJ-13404-MC26022-INA-000000</v>
      </c>
      <c r="P5223" s="6" t="str">
        <f>IFERROR(__xludf.DUMMYFUNCTION("""COMPUTED_VALUE"""),"PO Closed")</f>
        <v>PO Closed</v>
      </c>
      <c r="Q5223" s="6" t="str">
        <f>IFERROR(__xludf.DUMMYFUNCTION("""COMPUTED_VALUE"""),"GL2606042")</f>
        <v>GL2606042</v>
      </c>
      <c r="R5223" s="57">
        <f>IFERROR(__xludf.DUMMYFUNCTION("""COMPUTED_VALUE"""),46188.0)</f>
        <v>46188</v>
      </c>
      <c r="S5223" s="57">
        <f>IFERROR(__xludf.DUMMYFUNCTION("""COMPUTED_VALUE"""),46188.0)</f>
        <v>46188</v>
      </c>
      <c r="T5223" s="57">
        <f>IFERROR(__xludf.DUMMYFUNCTION("""COMPUTED_VALUE"""),46227.0)</f>
        <v>46227</v>
      </c>
    </row>
    <row r="5224">
      <c r="A5224" s="6" t="str">
        <f>IFERROR(__xludf.DUMMYFUNCTION("""COMPUTED_VALUE"""),"121704314-5")</f>
        <v>121704314-5</v>
      </c>
      <c r="B5224" s="6" t="str">
        <f>IFERROR(__xludf.DUMMYFUNCTION("""COMPUTED_VALUE"""),"121704314 - APPROVED")</f>
        <v>121704314 - APPROVED</v>
      </c>
      <c r="C5224" s="6">
        <f>IFERROR(__xludf.DUMMYFUNCTION("""COMPUTED_VALUE"""),5.0)</f>
        <v>5</v>
      </c>
      <c r="D5224" s="6" t="str">
        <f>IFERROR(__xludf.DUMMYFUNCTION("""COMPUTED_VALUE"""),"R-20024-00")</f>
        <v>R-20024-00</v>
      </c>
      <c r="E5224" s="6" t="str">
        <f>IFERROR(__xludf.DUMMYFUNCTION("""COMPUTED_VALUE"""),"Machine Equipment; ; ; - Mur + Ring + Ring per M4 SS - Mur + Ring + Ring per M4 SS")</f>
        <v>Machine Equipment; ; ; - Mur + Ring + Ring per M4 SS - Mur + Ring + Ring per M4 SS</v>
      </c>
      <c r="F5224" s="6">
        <f>IFERROR(__xludf.DUMMYFUNCTION("""COMPUTED_VALUE"""),100.0)</f>
        <v>100</v>
      </c>
      <c r="G5224" s="6" t="str">
        <f>IFERROR(__xludf.DUMMYFUNCTION("""COMPUTED_VALUE"""),"Unit")</f>
        <v>Unit</v>
      </c>
      <c r="H5224" s="6" t="str">
        <f>IFERROR(__xludf.DUMMYFUNCTION("""COMPUTED_VALUE"""),"IDR")</f>
        <v>IDR</v>
      </c>
      <c r="I5224" s="6">
        <f>IFERROR(__xludf.DUMMYFUNCTION("""COMPUTED_VALUE"""),1820.0)</f>
        <v>1820</v>
      </c>
      <c r="J5224" s="6">
        <f>IFERROR(__xludf.DUMMYFUNCTION("""COMPUTED_VALUE"""),182000.0)</f>
        <v>182000</v>
      </c>
      <c r="K5224" s="57">
        <f>IFERROR(__xludf.DUMMYFUNCTION("""COMPUTED_VALUE"""),46220.0)</f>
        <v>46220</v>
      </c>
      <c r="L5224" s="6" t="str">
        <f>IFERROR(__xludf.DUMMYFUNCTION("""COMPUTED_VALUE"""),"FIP General")</f>
        <v>FIP General</v>
      </c>
      <c r="M5224" s="6" t="str">
        <f>IFERROR(__xludf.DUMMYFUNCTION("""COMPUTED_VALUE"""),"Mochammad Fadhillah Hakim,")</f>
        <v>Mochammad Fadhillah Hakim,</v>
      </c>
      <c r="N5224" s="6" t="str">
        <f>IFERROR(__xludf.DUMMYFUNCTION("""COMPUTED_VALUE"""),"FIP Engineering")</f>
        <v>FIP Engineering</v>
      </c>
      <c r="O5224" s="6" t="str">
        <f>IFERROR(__xludf.DUMMYFUNCTION("""COMPUTED_VALUE"""),"FIP-DOM-PRJ-13404-MC26022-INA-000000")</f>
        <v>FIP-DOM-PRJ-13404-MC26022-INA-000000</v>
      </c>
      <c r="P5224" s="6" t="str">
        <f>IFERROR(__xludf.DUMMYFUNCTION("""COMPUTED_VALUE"""),"PO Closed")</f>
        <v>PO Closed</v>
      </c>
      <c r="Q5224" s="6" t="str">
        <f>IFERROR(__xludf.DUMMYFUNCTION("""COMPUTED_VALUE"""),"GL2606042")</f>
        <v>GL2606042</v>
      </c>
      <c r="R5224" s="57">
        <f>IFERROR(__xludf.DUMMYFUNCTION("""COMPUTED_VALUE"""),46188.0)</f>
        <v>46188</v>
      </c>
      <c r="S5224" s="57">
        <f>IFERROR(__xludf.DUMMYFUNCTION("""COMPUTED_VALUE"""),46188.0)</f>
        <v>46188</v>
      </c>
      <c r="T5224" s="57">
        <f>IFERROR(__xludf.DUMMYFUNCTION("""COMPUTED_VALUE"""),46227.0)</f>
        <v>46227</v>
      </c>
    </row>
    <row r="5225">
      <c r="A5225" s="6" t="str">
        <f>IFERROR(__xludf.DUMMYFUNCTION("""COMPUTED_VALUE"""),"121704314-6")</f>
        <v>121704314-6</v>
      </c>
      <c r="B5225" s="6" t="str">
        <f>IFERROR(__xludf.DUMMYFUNCTION("""COMPUTED_VALUE"""),"121704314 - APPROVED")</f>
        <v>121704314 - APPROVED</v>
      </c>
      <c r="C5225" s="6">
        <f>IFERROR(__xludf.DUMMYFUNCTION("""COMPUTED_VALUE"""),6.0)</f>
        <v>6</v>
      </c>
      <c r="D5225" s="6" t="str">
        <f>IFERROR(__xludf.DUMMYFUNCTION("""COMPUTED_VALUE"""),"R-20024-00")</f>
        <v>R-20024-00</v>
      </c>
      <c r="E5225" s="6" t="str">
        <f>IFERROR(__xludf.DUMMYFUNCTION("""COMPUTED_VALUE"""),"Machine Equipment; ; ; - Mur + Ring + Ring per M5 SS - Mur + Ring + Ring per M5 SS")</f>
        <v>Machine Equipment; ; ; - Mur + Ring + Ring per M5 SS - Mur + Ring + Ring per M5 SS</v>
      </c>
      <c r="F5225" s="6">
        <f>IFERROR(__xludf.DUMMYFUNCTION("""COMPUTED_VALUE"""),100.0)</f>
        <v>100</v>
      </c>
      <c r="G5225" s="6" t="str">
        <f>IFERROR(__xludf.DUMMYFUNCTION("""COMPUTED_VALUE"""),"Unit")</f>
        <v>Unit</v>
      </c>
      <c r="H5225" s="6" t="str">
        <f>IFERROR(__xludf.DUMMYFUNCTION("""COMPUTED_VALUE"""),"IDR")</f>
        <v>IDR</v>
      </c>
      <c r="I5225" s="6">
        <f>IFERROR(__xludf.DUMMYFUNCTION("""COMPUTED_VALUE"""),2080.0)</f>
        <v>2080</v>
      </c>
      <c r="J5225" s="6">
        <f>IFERROR(__xludf.DUMMYFUNCTION("""COMPUTED_VALUE"""),208000.0)</f>
        <v>208000</v>
      </c>
      <c r="K5225" s="57">
        <f>IFERROR(__xludf.DUMMYFUNCTION("""COMPUTED_VALUE"""),46220.0)</f>
        <v>46220</v>
      </c>
      <c r="L5225" s="6" t="str">
        <f>IFERROR(__xludf.DUMMYFUNCTION("""COMPUTED_VALUE"""),"FIP General")</f>
        <v>FIP General</v>
      </c>
      <c r="M5225" s="6" t="str">
        <f>IFERROR(__xludf.DUMMYFUNCTION("""COMPUTED_VALUE"""),"Mochammad Fadhillah Hakim,")</f>
        <v>Mochammad Fadhillah Hakim,</v>
      </c>
      <c r="N5225" s="6" t="str">
        <f>IFERROR(__xludf.DUMMYFUNCTION("""COMPUTED_VALUE"""),"FIP Engineering")</f>
        <v>FIP Engineering</v>
      </c>
      <c r="O5225" s="6" t="str">
        <f>IFERROR(__xludf.DUMMYFUNCTION("""COMPUTED_VALUE"""),"FIP-DOM-PRJ-13404-MC26022-INA-000000")</f>
        <v>FIP-DOM-PRJ-13404-MC26022-INA-000000</v>
      </c>
      <c r="P5225" s="6" t="str">
        <f>IFERROR(__xludf.DUMMYFUNCTION("""COMPUTED_VALUE"""),"PO Closed")</f>
        <v>PO Closed</v>
      </c>
      <c r="Q5225" s="6" t="str">
        <f>IFERROR(__xludf.DUMMYFUNCTION("""COMPUTED_VALUE"""),"GL2606042")</f>
        <v>GL2606042</v>
      </c>
      <c r="R5225" s="57">
        <f>IFERROR(__xludf.DUMMYFUNCTION("""COMPUTED_VALUE"""),46188.0)</f>
        <v>46188</v>
      </c>
      <c r="S5225" s="57">
        <f>IFERROR(__xludf.DUMMYFUNCTION("""COMPUTED_VALUE"""),46188.0)</f>
        <v>46188</v>
      </c>
      <c r="T5225" s="57">
        <f>IFERROR(__xludf.DUMMYFUNCTION("""COMPUTED_VALUE"""),46227.0)</f>
        <v>46227</v>
      </c>
    </row>
    <row r="5226">
      <c r="A5226" s="6" t="str">
        <f>IFERROR(__xludf.DUMMYFUNCTION("""COMPUTED_VALUE"""),"121704314-7")</f>
        <v>121704314-7</v>
      </c>
      <c r="B5226" s="6" t="str">
        <f>IFERROR(__xludf.DUMMYFUNCTION("""COMPUTED_VALUE"""),"121704314 - APPROVED")</f>
        <v>121704314 - APPROVED</v>
      </c>
      <c r="C5226" s="6">
        <f>IFERROR(__xludf.DUMMYFUNCTION("""COMPUTED_VALUE"""),7.0)</f>
        <v>7</v>
      </c>
      <c r="D5226" s="6" t="str">
        <f>IFERROR(__xludf.DUMMYFUNCTION("""COMPUTED_VALUE"""),"R-20024-00")</f>
        <v>R-20024-00</v>
      </c>
      <c r="E5226" s="6" t="str">
        <f>IFERROR(__xludf.DUMMYFUNCTION("""COMPUTED_VALUE"""),"Machine Equipment; ; ; - Mur + Ring + Ring per M6 SS - Mur + Ring + Ring per M6 SS")</f>
        <v>Machine Equipment; ; ; - Mur + Ring + Ring per M6 SS - Mur + Ring + Ring per M6 SS</v>
      </c>
      <c r="F5226" s="6">
        <f>IFERROR(__xludf.DUMMYFUNCTION("""COMPUTED_VALUE"""),100.0)</f>
        <v>100</v>
      </c>
      <c r="G5226" s="6" t="str">
        <f>IFERROR(__xludf.DUMMYFUNCTION("""COMPUTED_VALUE"""),"Unit")</f>
        <v>Unit</v>
      </c>
      <c r="H5226" s="6" t="str">
        <f>IFERROR(__xludf.DUMMYFUNCTION("""COMPUTED_VALUE"""),"IDR")</f>
        <v>IDR</v>
      </c>
      <c r="I5226" s="6">
        <f>IFERROR(__xludf.DUMMYFUNCTION("""COMPUTED_VALUE"""),2340.0)</f>
        <v>2340</v>
      </c>
      <c r="J5226" s="6">
        <f>IFERROR(__xludf.DUMMYFUNCTION("""COMPUTED_VALUE"""),234000.0)</f>
        <v>234000</v>
      </c>
      <c r="K5226" s="57">
        <f>IFERROR(__xludf.DUMMYFUNCTION("""COMPUTED_VALUE"""),46220.0)</f>
        <v>46220</v>
      </c>
      <c r="L5226" s="6" t="str">
        <f>IFERROR(__xludf.DUMMYFUNCTION("""COMPUTED_VALUE"""),"FIP General")</f>
        <v>FIP General</v>
      </c>
      <c r="M5226" s="6" t="str">
        <f>IFERROR(__xludf.DUMMYFUNCTION("""COMPUTED_VALUE"""),"Mochammad Fadhillah Hakim,")</f>
        <v>Mochammad Fadhillah Hakim,</v>
      </c>
      <c r="N5226" s="6" t="str">
        <f>IFERROR(__xludf.DUMMYFUNCTION("""COMPUTED_VALUE"""),"FIP Engineering")</f>
        <v>FIP Engineering</v>
      </c>
      <c r="O5226" s="6" t="str">
        <f>IFERROR(__xludf.DUMMYFUNCTION("""COMPUTED_VALUE"""),"FIP-DOM-PRJ-13404-MC26022-INA-000000")</f>
        <v>FIP-DOM-PRJ-13404-MC26022-INA-000000</v>
      </c>
      <c r="P5226" s="6" t="str">
        <f>IFERROR(__xludf.DUMMYFUNCTION("""COMPUTED_VALUE"""),"PO Closed")</f>
        <v>PO Closed</v>
      </c>
      <c r="Q5226" s="6" t="str">
        <f>IFERROR(__xludf.DUMMYFUNCTION("""COMPUTED_VALUE"""),"GL2606042")</f>
        <v>GL2606042</v>
      </c>
      <c r="R5226" s="57">
        <f>IFERROR(__xludf.DUMMYFUNCTION("""COMPUTED_VALUE"""),46188.0)</f>
        <v>46188</v>
      </c>
      <c r="S5226" s="57">
        <f>IFERROR(__xludf.DUMMYFUNCTION("""COMPUTED_VALUE"""),46188.0)</f>
        <v>46188</v>
      </c>
      <c r="T5226" s="57">
        <f>IFERROR(__xludf.DUMMYFUNCTION("""COMPUTED_VALUE"""),46227.0)</f>
        <v>46227</v>
      </c>
    </row>
    <row r="5227">
      <c r="A5227" s="6" t="str">
        <f>IFERROR(__xludf.DUMMYFUNCTION("""COMPUTED_VALUE"""),"121704314-8")</f>
        <v>121704314-8</v>
      </c>
      <c r="B5227" s="6" t="str">
        <f>IFERROR(__xludf.DUMMYFUNCTION("""COMPUTED_VALUE"""),"121704314 - APPROVED")</f>
        <v>121704314 - APPROVED</v>
      </c>
      <c r="C5227" s="6">
        <f>IFERROR(__xludf.DUMMYFUNCTION("""COMPUTED_VALUE"""),8.0)</f>
        <v>8</v>
      </c>
      <c r="D5227" s="6" t="str">
        <f>IFERROR(__xludf.DUMMYFUNCTION("""COMPUTED_VALUE"""),"R-20024-00")</f>
        <v>R-20024-00</v>
      </c>
      <c r="E5227" s="6" t="str">
        <f>IFERROR(__xludf.DUMMYFUNCTION("""COMPUTED_VALUE"""),"Machine Equipment; ; ; - Mur + Ring + Ring per M8 SS - Mur + Ring + Ring per M8 SS")</f>
        <v>Machine Equipment; ; ; - Mur + Ring + Ring per M8 SS - Mur + Ring + Ring per M8 SS</v>
      </c>
      <c r="F5227" s="6">
        <f>IFERROR(__xludf.DUMMYFUNCTION("""COMPUTED_VALUE"""),100.0)</f>
        <v>100</v>
      </c>
      <c r="G5227" s="6" t="str">
        <f>IFERROR(__xludf.DUMMYFUNCTION("""COMPUTED_VALUE"""),"Unit")</f>
        <v>Unit</v>
      </c>
      <c r="H5227" s="6" t="str">
        <f>IFERROR(__xludf.DUMMYFUNCTION("""COMPUTED_VALUE"""),"IDR")</f>
        <v>IDR</v>
      </c>
      <c r="I5227" s="6">
        <f>IFERROR(__xludf.DUMMYFUNCTION("""COMPUTED_VALUE"""),2600.0)</f>
        <v>2600</v>
      </c>
      <c r="J5227" s="6">
        <f>IFERROR(__xludf.DUMMYFUNCTION("""COMPUTED_VALUE"""),260000.0)</f>
        <v>260000</v>
      </c>
      <c r="K5227" s="57">
        <f>IFERROR(__xludf.DUMMYFUNCTION("""COMPUTED_VALUE"""),46220.0)</f>
        <v>46220</v>
      </c>
      <c r="L5227" s="6" t="str">
        <f>IFERROR(__xludf.DUMMYFUNCTION("""COMPUTED_VALUE"""),"FIP General")</f>
        <v>FIP General</v>
      </c>
      <c r="M5227" s="6" t="str">
        <f>IFERROR(__xludf.DUMMYFUNCTION("""COMPUTED_VALUE"""),"Mochammad Fadhillah Hakim,")</f>
        <v>Mochammad Fadhillah Hakim,</v>
      </c>
      <c r="N5227" s="6" t="str">
        <f>IFERROR(__xludf.DUMMYFUNCTION("""COMPUTED_VALUE"""),"FIP Engineering")</f>
        <v>FIP Engineering</v>
      </c>
      <c r="O5227" s="6" t="str">
        <f>IFERROR(__xludf.DUMMYFUNCTION("""COMPUTED_VALUE"""),"FIP-DOM-PRJ-13404-MC26022-INA-000000")</f>
        <v>FIP-DOM-PRJ-13404-MC26022-INA-000000</v>
      </c>
      <c r="P5227" s="6" t="str">
        <f>IFERROR(__xludf.DUMMYFUNCTION("""COMPUTED_VALUE"""),"PO Closed")</f>
        <v>PO Closed</v>
      </c>
      <c r="Q5227" s="6" t="str">
        <f>IFERROR(__xludf.DUMMYFUNCTION("""COMPUTED_VALUE"""),"GL2606042")</f>
        <v>GL2606042</v>
      </c>
      <c r="R5227" s="57">
        <f>IFERROR(__xludf.DUMMYFUNCTION("""COMPUTED_VALUE"""),46188.0)</f>
        <v>46188</v>
      </c>
      <c r="S5227" s="57">
        <f>IFERROR(__xludf.DUMMYFUNCTION("""COMPUTED_VALUE"""),46188.0)</f>
        <v>46188</v>
      </c>
      <c r="T5227" s="57">
        <f>IFERROR(__xludf.DUMMYFUNCTION("""COMPUTED_VALUE"""),46227.0)</f>
        <v>46227</v>
      </c>
    </row>
    <row r="5228">
      <c r="A5228" s="6" t="str">
        <f>IFERROR(__xludf.DUMMYFUNCTION("""COMPUTED_VALUE"""),"121704314-9")</f>
        <v>121704314-9</v>
      </c>
      <c r="B5228" s="6" t="str">
        <f>IFERROR(__xludf.DUMMYFUNCTION("""COMPUTED_VALUE"""),"121704314 - APPROVED")</f>
        <v>121704314 - APPROVED</v>
      </c>
      <c r="C5228" s="6">
        <f>IFERROR(__xludf.DUMMYFUNCTION("""COMPUTED_VALUE"""),9.0)</f>
        <v>9</v>
      </c>
      <c r="D5228" s="6" t="str">
        <f>IFERROR(__xludf.DUMMYFUNCTION("""COMPUTED_VALUE"""),"R-20024-00")</f>
        <v>R-20024-00</v>
      </c>
      <c r="E5228" s="6" t="str">
        <f>IFERROR(__xludf.DUMMYFUNCTION("""COMPUTED_VALUE"""),"Machine Equipment; ; ; - Besi UNP 100x50x5mm, 6 meter - Besi UNP 100x50x5mm, 6 meter")</f>
        <v>Machine Equipment; ; ; - Besi UNP 100x50x5mm, 6 meter - Besi UNP 100x50x5mm, 6 meter</v>
      </c>
      <c r="F5228" s="6">
        <f>IFERROR(__xludf.DUMMYFUNCTION("""COMPUTED_VALUE"""),3.0)</f>
        <v>3</v>
      </c>
      <c r="G5228" s="6" t="str">
        <f>IFERROR(__xludf.DUMMYFUNCTION("""COMPUTED_VALUE"""),"Unit")</f>
        <v>Unit</v>
      </c>
      <c r="H5228" s="6" t="str">
        <f>IFERROR(__xludf.DUMMYFUNCTION("""COMPUTED_VALUE"""),"IDR")</f>
        <v>IDR</v>
      </c>
      <c r="I5228" s="6">
        <f>IFERROR(__xludf.DUMMYFUNCTION("""COMPUTED_VALUE"""),877500.0)</f>
        <v>877500</v>
      </c>
      <c r="J5228" s="6">
        <f>IFERROR(__xludf.DUMMYFUNCTION("""COMPUTED_VALUE"""),2632500.0)</f>
        <v>2632500</v>
      </c>
      <c r="K5228" s="57">
        <f>IFERROR(__xludf.DUMMYFUNCTION("""COMPUTED_VALUE"""),46220.0)</f>
        <v>46220</v>
      </c>
      <c r="L5228" s="6" t="str">
        <f>IFERROR(__xludf.DUMMYFUNCTION("""COMPUTED_VALUE"""),"FIP General")</f>
        <v>FIP General</v>
      </c>
      <c r="M5228" s="6" t="str">
        <f>IFERROR(__xludf.DUMMYFUNCTION("""COMPUTED_VALUE"""),"Mochammad Fadhillah Hakim,")</f>
        <v>Mochammad Fadhillah Hakim,</v>
      </c>
      <c r="N5228" s="6" t="str">
        <f>IFERROR(__xludf.DUMMYFUNCTION("""COMPUTED_VALUE"""),"FIP Engineering")</f>
        <v>FIP Engineering</v>
      </c>
      <c r="O5228" s="6" t="str">
        <f>IFERROR(__xludf.DUMMYFUNCTION("""COMPUTED_VALUE"""),"FIP-DOM-PRJ-13404-MC26022-INA-000000")</f>
        <v>FIP-DOM-PRJ-13404-MC26022-INA-000000</v>
      </c>
      <c r="P5228" s="6" t="str">
        <f>IFERROR(__xludf.DUMMYFUNCTION("""COMPUTED_VALUE"""),"PO Closed")</f>
        <v>PO Closed</v>
      </c>
      <c r="Q5228" s="6" t="str">
        <f>IFERROR(__xludf.DUMMYFUNCTION("""COMPUTED_VALUE"""),"GL2606043")</f>
        <v>GL2606043</v>
      </c>
      <c r="R5228" s="57">
        <f>IFERROR(__xludf.DUMMYFUNCTION("""COMPUTED_VALUE"""),46188.0)</f>
        <v>46188</v>
      </c>
      <c r="S5228" s="57">
        <f>IFERROR(__xludf.DUMMYFUNCTION("""COMPUTED_VALUE"""),46188.0)</f>
        <v>46188</v>
      </c>
      <c r="T5228" s="57">
        <f>IFERROR(__xludf.DUMMYFUNCTION("""COMPUTED_VALUE"""),46227.0)</f>
        <v>46227</v>
      </c>
    </row>
    <row r="5229">
      <c r="A5229" s="6" t="str">
        <f>IFERROR(__xludf.DUMMYFUNCTION("""COMPUTED_VALUE"""),"121704314-10")</f>
        <v>121704314-10</v>
      </c>
      <c r="B5229" s="6" t="str">
        <f>IFERROR(__xludf.DUMMYFUNCTION("""COMPUTED_VALUE"""),"121704314 - APPROVED")</f>
        <v>121704314 - APPROVED</v>
      </c>
      <c r="C5229" s="6">
        <f>IFERROR(__xludf.DUMMYFUNCTION("""COMPUTED_VALUE"""),10.0)</f>
        <v>10</v>
      </c>
      <c r="D5229" s="6" t="str">
        <f>IFERROR(__xludf.DUMMYFUNCTION("""COMPUTED_VALUE"""),"R-20024-00")</f>
        <v>R-20024-00</v>
      </c>
      <c r="E5229" s="6" t="str">
        <f>IFERROR(__xludf.DUMMYFUNCTION("""COMPUTED_VALUE"""),"Machine Equipment; ; ; - Besi UNP 150x75x5.5, 6 meter - Besi UNP 150x75x5.5, 6 meter")</f>
        <v>Machine Equipment; ; ; - Besi UNP 150x75x5.5, 6 meter - Besi UNP 150x75x5.5, 6 meter</v>
      </c>
      <c r="F5229" s="6">
        <f>IFERROR(__xludf.DUMMYFUNCTION("""COMPUTED_VALUE"""),1.0)</f>
        <v>1</v>
      </c>
      <c r="G5229" s="6" t="str">
        <f>IFERROR(__xludf.DUMMYFUNCTION("""COMPUTED_VALUE"""),"Unit")</f>
        <v>Unit</v>
      </c>
      <c r="H5229" s="6" t="str">
        <f>IFERROR(__xludf.DUMMYFUNCTION("""COMPUTED_VALUE"""),"IDR")</f>
        <v>IDR</v>
      </c>
      <c r="I5229" s="6">
        <f>IFERROR(__xludf.DUMMYFUNCTION("""COMPUTED_VALUE"""),1820000.0)</f>
        <v>1820000</v>
      </c>
      <c r="J5229" s="6">
        <f>IFERROR(__xludf.DUMMYFUNCTION("""COMPUTED_VALUE"""),1820000.0)</f>
        <v>1820000</v>
      </c>
      <c r="K5229" s="57">
        <f>IFERROR(__xludf.DUMMYFUNCTION("""COMPUTED_VALUE"""),46220.0)</f>
        <v>46220</v>
      </c>
      <c r="L5229" s="6" t="str">
        <f>IFERROR(__xludf.DUMMYFUNCTION("""COMPUTED_VALUE"""),"FIP General")</f>
        <v>FIP General</v>
      </c>
      <c r="M5229" s="6" t="str">
        <f>IFERROR(__xludf.DUMMYFUNCTION("""COMPUTED_VALUE"""),"Mochammad Fadhillah Hakim,")</f>
        <v>Mochammad Fadhillah Hakim,</v>
      </c>
      <c r="N5229" s="6" t="str">
        <f>IFERROR(__xludf.DUMMYFUNCTION("""COMPUTED_VALUE"""),"FIP Engineering")</f>
        <v>FIP Engineering</v>
      </c>
      <c r="O5229" s="6" t="str">
        <f>IFERROR(__xludf.DUMMYFUNCTION("""COMPUTED_VALUE"""),"FIP-DOM-PRJ-13404-MC26022-INA-000000")</f>
        <v>FIP-DOM-PRJ-13404-MC26022-INA-000000</v>
      </c>
      <c r="P5229" s="6" t="str">
        <f>IFERROR(__xludf.DUMMYFUNCTION("""COMPUTED_VALUE"""),"PO Closed")</f>
        <v>PO Closed</v>
      </c>
      <c r="Q5229" s="6" t="str">
        <f>IFERROR(__xludf.DUMMYFUNCTION("""COMPUTED_VALUE"""),"GL2606043")</f>
        <v>GL2606043</v>
      </c>
      <c r="R5229" s="57">
        <f>IFERROR(__xludf.DUMMYFUNCTION("""COMPUTED_VALUE"""),46188.0)</f>
        <v>46188</v>
      </c>
      <c r="S5229" s="57">
        <f>IFERROR(__xludf.DUMMYFUNCTION("""COMPUTED_VALUE"""),46188.0)</f>
        <v>46188</v>
      </c>
      <c r="T5229" s="57">
        <f>IFERROR(__xludf.DUMMYFUNCTION("""COMPUTED_VALUE"""),46227.0)</f>
        <v>46227</v>
      </c>
    </row>
    <row r="5230">
      <c r="A5230" s="6" t="str">
        <f>IFERROR(__xludf.DUMMYFUNCTION("""COMPUTED_VALUE"""),"121704314-11")</f>
        <v>121704314-11</v>
      </c>
      <c r="B5230" s="6" t="str">
        <f>IFERROR(__xludf.DUMMYFUNCTION("""COMPUTED_VALUE"""),"121704314 - APPROVED")</f>
        <v>121704314 - APPROVED</v>
      </c>
      <c r="C5230" s="6">
        <f>IFERROR(__xludf.DUMMYFUNCTION("""COMPUTED_VALUE"""),11.0)</f>
        <v>11</v>
      </c>
      <c r="D5230" s="6" t="str">
        <f>IFERROR(__xludf.DUMMYFUNCTION("""COMPUTED_VALUE"""),"R-20024-00")</f>
        <v>R-20024-00</v>
      </c>
      <c r="E5230" s="6" t="str">
        <f>IFERROR(__xludf.DUMMYFUNCTION("""COMPUTED_VALUE"""),"Machine Equipment; ; ; - Gerinda Potong besar - Gerinda Potong besar")</f>
        <v>Machine Equipment; ; ; - Gerinda Potong besar - Gerinda Potong besar</v>
      </c>
      <c r="F5230" s="6">
        <f>IFERROR(__xludf.DUMMYFUNCTION("""COMPUTED_VALUE"""),5.0)</f>
        <v>5</v>
      </c>
      <c r="G5230" s="6" t="str">
        <f>IFERROR(__xludf.DUMMYFUNCTION("""COMPUTED_VALUE"""),"Unit")</f>
        <v>Unit</v>
      </c>
      <c r="H5230" s="6" t="str">
        <f>IFERROR(__xludf.DUMMYFUNCTION("""COMPUTED_VALUE"""),"IDR")</f>
        <v>IDR</v>
      </c>
      <c r="I5230" s="6">
        <f>IFERROR(__xludf.DUMMYFUNCTION("""COMPUTED_VALUE"""),87750.0)</f>
        <v>87750</v>
      </c>
      <c r="J5230" s="6">
        <f>IFERROR(__xludf.DUMMYFUNCTION("""COMPUTED_VALUE"""),438750.0)</f>
        <v>438750</v>
      </c>
      <c r="K5230" s="57">
        <f>IFERROR(__xludf.DUMMYFUNCTION("""COMPUTED_VALUE"""),46220.0)</f>
        <v>46220</v>
      </c>
      <c r="L5230" s="6" t="str">
        <f>IFERROR(__xludf.DUMMYFUNCTION("""COMPUTED_VALUE"""),"FIP General")</f>
        <v>FIP General</v>
      </c>
      <c r="M5230" s="6" t="str">
        <f>IFERROR(__xludf.DUMMYFUNCTION("""COMPUTED_VALUE"""),"Mochammad Fadhillah Hakim,")</f>
        <v>Mochammad Fadhillah Hakim,</v>
      </c>
      <c r="N5230" s="6" t="str">
        <f>IFERROR(__xludf.DUMMYFUNCTION("""COMPUTED_VALUE"""),"FIP Engineering")</f>
        <v>FIP Engineering</v>
      </c>
      <c r="O5230" s="6" t="str">
        <f>IFERROR(__xludf.DUMMYFUNCTION("""COMPUTED_VALUE"""),"FIP-DOM-PRJ-13404-MC26022-INA-000000")</f>
        <v>FIP-DOM-PRJ-13404-MC26022-INA-000000</v>
      </c>
      <c r="P5230" s="6" t="str">
        <f>IFERROR(__xludf.DUMMYFUNCTION("""COMPUTED_VALUE"""),"PO Closed")</f>
        <v>PO Closed</v>
      </c>
      <c r="Q5230" s="6" t="str">
        <f>IFERROR(__xludf.DUMMYFUNCTION("""COMPUTED_VALUE"""),"GL2606042")</f>
        <v>GL2606042</v>
      </c>
      <c r="R5230" s="57">
        <f>IFERROR(__xludf.DUMMYFUNCTION("""COMPUTED_VALUE"""),46188.0)</f>
        <v>46188</v>
      </c>
      <c r="S5230" s="57">
        <f>IFERROR(__xludf.DUMMYFUNCTION("""COMPUTED_VALUE"""),46188.0)</f>
        <v>46188</v>
      </c>
      <c r="T5230" s="57">
        <f>IFERROR(__xludf.DUMMYFUNCTION("""COMPUTED_VALUE"""),46227.0)</f>
        <v>46227</v>
      </c>
    </row>
    <row r="5231">
      <c r="A5231" s="6" t="str">
        <f>IFERROR(__xludf.DUMMYFUNCTION("""COMPUTED_VALUE"""),"121704314-12")</f>
        <v>121704314-12</v>
      </c>
      <c r="B5231" s="6" t="str">
        <f>IFERROR(__xludf.DUMMYFUNCTION("""COMPUTED_VALUE"""),"121704314 - APPROVED")</f>
        <v>121704314 - APPROVED</v>
      </c>
      <c r="C5231" s="6">
        <f>IFERROR(__xludf.DUMMYFUNCTION("""COMPUTED_VALUE"""),12.0)</f>
        <v>12</v>
      </c>
      <c r="D5231" s="6" t="str">
        <f>IFERROR(__xludf.DUMMYFUNCTION("""COMPUTED_VALUE"""),"R-20024-00")</f>
        <v>R-20024-00</v>
      </c>
      <c r="E5231" s="6" t="str">
        <f>IFERROR(__xludf.DUMMYFUNCTION("""COMPUTED_VALUE"""),"Machine Equipment; ; ; - Gerinda Potong 4 inch - Gerinda Potong 4 inch")</f>
        <v>Machine Equipment; ; ; - Gerinda Potong 4 inch - Gerinda Potong 4 inch</v>
      </c>
      <c r="F5231" s="6">
        <f>IFERROR(__xludf.DUMMYFUNCTION("""COMPUTED_VALUE"""),2.0)</f>
        <v>2</v>
      </c>
      <c r="G5231" s="6" t="str">
        <f>IFERROR(__xludf.DUMMYFUNCTION("""COMPUTED_VALUE"""),"Unit")</f>
        <v>Unit</v>
      </c>
      <c r="H5231" s="6" t="str">
        <f>IFERROR(__xludf.DUMMYFUNCTION("""COMPUTED_VALUE"""),"IDR")</f>
        <v>IDR</v>
      </c>
      <c r="I5231" s="6">
        <f>IFERROR(__xludf.DUMMYFUNCTION("""COMPUTED_VALUE"""),13500.0)</f>
        <v>13500</v>
      </c>
      <c r="J5231" s="6">
        <f>IFERROR(__xludf.DUMMYFUNCTION("""COMPUTED_VALUE"""),27000.0)</f>
        <v>27000</v>
      </c>
      <c r="K5231" s="57">
        <f>IFERROR(__xludf.DUMMYFUNCTION("""COMPUTED_VALUE"""),46220.0)</f>
        <v>46220</v>
      </c>
      <c r="L5231" s="6" t="str">
        <f>IFERROR(__xludf.DUMMYFUNCTION("""COMPUTED_VALUE"""),"FIP General")</f>
        <v>FIP General</v>
      </c>
      <c r="M5231" s="6" t="str">
        <f>IFERROR(__xludf.DUMMYFUNCTION("""COMPUTED_VALUE"""),"Mochammad Fadhillah Hakim,")</f>
        <v>Mochammad Fadhillah Hakim,</v>
      </c>
      <c r="N5231" s="6" t="str">
        <f>IFERROR(__xludf.DUMMYFUNCTION("""COMPUTED_VALUE"""),"FIP Engineering")</f>
        <v>FIP Engineering</v>
      </c>
      <c r="O5231" s="6" t="str">
        <f>IFERROR(__xludf.DUMMYFUNCTION("""COMPUTED_VALUE"""),"FIP-DOM-PRJ-13404-MC26022-INA-000000")</f>
        <v>FIP-DOM-PRJ-13404-MC26022-INA-000000</v>
      </c>
      <c r="P5231" s="6" t="str">
        <f>IFERROR(__xludf.DUMMYFUNCTION("""COMPUTED_VALUE"""),"PO Closed")</f>
        <v>PO Closed</v>
      </c>
      <c r="Q5231" s="6" t="str">
        <f>IFERROR(__xludf.DUMMYFUNCTION("""COMPUTED_VALUE"""),"GL2606042")</f>
        <v>GL2606042</v>
      </c>
      <c r="R5231" s="57">
        <f>IFERROR(__xludf.DUMMYFUNCTION("""COMPUTED_VALUE"""),46188.0)</f>
        <v>46188</v>
      </c>
      <c r="S5231" s="57">
        <f>IFERROR(__xludf.DUMMYFUNCTION("""COMPUTED_VALUE"""),46188.0)</f>
        <v>46188</v>
      </c>
      <c r="T5231" s="57">
        <f>IFERROR(__xludf.DUMMYFUNCTION("""COMPUTED_VALUE"""),46227.0)</f>
        <v>46227</v>
      </c>
    </row>
    <row r="5232">
      <c r="A5232" s="6" t="str">
        <f>IFERROR(__xludf.DUMMYFUNCTION("""COMPUTED_VALUE"""),"121704314-13")</f>
        <v>121704314-13</v>
      </c>
      <c r="B5232" s="6" t="str">
        <f>IFERROR(__xludf.DUMMYFUNCTION("""COMPUTED_VALUE"""),"121704314 - APPROVED")</f>
        <v>121704314 - APPROVED</v>
      </c>
      <c r="C5232" s="6">
        <f>IFERROR(__xludf.DUMMYFUNCTION("""COMPUTED_VALUE"""),13.0)</f>
        <v>13</v>
      </c>
      <c r="D5232" s="6" t="str">
        <f>IFERROR(__xludf.DUMMYFUNCTION("""COMPUTED_VALUE"""),"R-20024-00")</f>
        <v>R-20024-00</v>
      </c>
      <c r="E5232" s="6" t="str">
        <f>IFERROR(__xludf.DUMMYFUNCTION("""COMPUTED_VALUE"""),"Machine Equipment; ; ; - Gerinda Poles 4 inch - Gerinda Poles 4 inch")</f>
        <v>Machine Equipment; ; ; - Gerinda Poles 4 inch - Gerinda Poles 4 inch</v>
      </c>
      <c r="F5232" s="6">
        <f>IFERROR(__xludf.DUMMYFUNCTION("""COMPUTED_VALUE"""),2.0)</f>
        <v>2</v>
      </c>
      <c r="G5232" s="6" t="str">
        <f>IFERROR(__xludf.DUMMYFUNCTION("""COMPUTED_VALUE"""),"Unit")</f>
        <v>Unit</v>
      </c>
      <c r="H5232" s="6" t="str">
        <f>IFERROR(__xludf.DUMMYFUNCTION("""COMPUTED_VALUE"""),"IDR")</f>
        <v>IDR</v>
      </c>
      <c r="I5232" s="6">
        <f>IFERROR(__xludf.DUMMYFUNCTION("""COMPUTED_VALUE"""),13500.0)</f>
        <v>13500</v>
      </c>
      <c r="J5232" s="6">
        <f>IFERROR(__xludf.DUMMYFUNCTION("""COMPUTED_VALUE"""),27000.0)</f>
        <v>27000</v>
      </c>
      <c r="K5232" s="57">
        <f>IFERROR(__xludf.DUMMYFUNCTION("""COMPUTED_VALUE"""),46220.0)</f>
        <v>46220</v>
      </c>
      <c r="L5232" s="6" t="str">
        <f>IFERROR(__xludf.DUMMYFUNCTION("""COMPUTED_VALUE"""),"FIP General")</f>
        <v>FIP General</v>
      </c>
      <c r="M5232" s="6" t="str">
        <f>IFERROR(__xludf.DUMMYFUNCTION("""COMPUTED_VALUE"""),"Mochammad Fadhillah Hakim,")</f>
        <v>Mochammad Fadhillah Hakim,</v>
      </c>
      <c r="N5232" s="6" t="str">
        <f>IFERROR(__xludf.DUMMYFUNCTION("""COMPUTED_VALUE"""),"FIP Engineering")</f>
        <v>FIP Engineering</v>
      </c>
      <c r="O5232" s="6" t="str">
        <f>IFERROR(__xludf.DUMMYFUNCTION("""COMPUTED_VALUE"""),"FIP-DOM-PRJ-13404-MC26022-INA-000000")</f>
        <v>FIP-DOM-PRJ-13404-MC26022-INA-000000</v>
      </c>
      <c r="P5232" s="6" t="str">
        <f>IFERROR(__xludf.DUMMYFUNCTION("""COMPUTED_VALUE"""),"PO Closed")</f>
        <v>PO Closed</v>
      </c>
      <c r="Q5232" s="6" t="str">
        <f>IFERROR(__xludf.DUMMYFUNCTION("""COMPUTED_VALUE"""),"GL2606043")</f>
        <v>GL2606043</v>
      </c>
      <c r="R5232" s="57">
        <f>IFERROR(__xludf.DUMMYFUNCTION("""COMPUTED_VALUE"""),46188.0)</f>
        <v>46188</v>
      </c>
      <c r="S5232" s="57">
        <f>IFERROR(__xludf.DUMMYFUNCTION("""COMPUTED_VALUE"""),46188.0)</f>
        <v>46188</v>
      </c>
      <c r="T5232" s="57">
        <f>IFERROR(__xludf.DUMMYFUNCTION("""COMPUTED_VALUE"""),46227.0)</f>
        <v>46227</v>
      </c>
    </row>
    <row r="5233">
      <c r="A5233" s="6" t="str">
        <f>IFERROR(__xludf.DUMMYFUNCTION("""COMPUTED_VALUE"""),"121704317-1")</f>
        <v>121704317-1</v>
      </c>
      <c r="B5233" s="6" t="str">
        <f>IFERROR(__xludf.DUMMYFUNCTION("""COMPUTED_VALUE"""),"121704317 - APPROVED")</f>
        <v>121704317 - APPROVED</v>
      </c>
      <c r="C5233" s="6">
        <f>IFERROR(__xludf.DUMMYFUNCTION("""COMPUTED_VALUE"""),1.0)</f>
        <v>1</v>
      </c>
      <c r="D5233" s="6" t="str">
        <f>IFERROR(__xludf.DUMMYFUNCTION("""COMPUTED_VALUE"""),"S-60002-00")</f>
        <v>S-60002-00</v>
      </c>
      <c r="E5233" s="6" t="str">
        <f>IFERROR(__xludf.DUMMYFUNCTION("""COMPUTED_VALUE"""),"Jasa Perbaikan dan Pemeliharaan Mesin Utility - Perbaikan Pompa Kondensat dan juga Air Hujan plus modif")</f>
        <v>Jasa Perbaikan dan Pemeliharaan Mesin Utility - Perbaikan Pompa Kondensat dan juga Air Hujan plus modif</v>
      </c>
      <c r="F5233" s="6">
        <f>IFERROR(__xludf.DUMMYFUNCTION("""COMPUTED_VALUE"""),1.0)</f>
        <v>1</v>
      </c>
      <c r="G5233" s="6" t="str">
        <f>IFERROR(__xludf.DUMMYFUNCTION("""COMPUTED_VALUE"""),"Lot")</f>
        <v>Lot</v>
      </c>
      <c r="H5233" s="6" t="str">
        <f>IFERROR(__xludf.DUMMYFUNCTION("""COMPUTED_VALUE"""),"IDR")</f>
        <v>IDR</v>
      </c>
      <c r="I5233" s="6">
        <f>IFERROR(__xludf.DUMMYFUNCTION("""COMPUTED_VALUE"""),1.0941E7)</f>
        <v>10941000</v>
      </c>
      <c r="J5233" s="6">
        <f>IFERROR(__xludf.DUMMYFUNCTION("""COMPUTED_VALUE"""),1.0941E7)</f>
        <v>10941000</v>
      </c>
      <c r="K5233" s="57">
        <f>IFERROR(__xludf.DUMMYFUNCTION("""COMPUTED_VALUE"""),46220.0)</f>
        <v>46220</v>
      </c>
      <c r="L5233" s="6" t="str">
        <f>IFERROR(__xludf.DUMMYFUNCTION("""COMPUTED_VALUE"""),"FIP General")</f>
        <v>FIP General</v>
      </c>
      <c r="M5233" s="6" t="str">
        <f>IFERROR(__xludf.DUMMYFUNCTION("""COMPUTED_VALUE"""),"Mochammad Fadhillah Hakim,")</f>
        <v>Mochammad Fadhillah Hakim,</v>
      </c>
      <c r="N5233" s="6" t="str">
        <f>IFERROR(__xludf.DUMMYFUNCTION("""COMPUTED_VALUE"""),"FIP Engineering")</f>
        <v>FIP Engineering</v>
      </c>
      <c r="O5233" s="6" t="str">
        <f>IFERROR(__xludf.DUMMYFUNCTION("""COMPUTED_VALUE"""),"FIP-DOM-ENG-51508-0000000-INA-000000")</f>
        <v>FIP-DOM-ENG-51508-0000000-INA-000000</v>
      </c>
      <c r="P5233" s="6" t="str">
        <f>IFERROR(__xludf.DUMMYFUNCTION("""COMPUTED_VALUE"""),"PO Closed")</f>
        <v>PO Closed</v>
      </c>
      <c r="Q5233" s="6" t="str">
        <f>IFERROR(__xludf.DUMMYFUNCTION("""COMPUTED_VALUE"""),"GL2607017")</f>
        <v>GL2607017</v>
      </c>
      <c r="R5233" s="57">
        <f>IFERROR(__xludf.DUMMYFUNCTION("""COMPUTED_VALUE"""),46190.0)</f>
        <v>46190</v>
      </c>
      <c r="S5233" s="57">
        <f>IFERROR(__xludf.DUMMYFUNCTION("""COMPUTED_VALUE"""),46205.0)</f>
        <v>46205</v>
      </c>
      <c r="T5233" s="6"/>
    </row>
    <row r="5234">
      <c r="A5234" s="6" t="str">
        <f>IFERROR(__xludf.DUMMYFUNCTION("""COMPUTED_VALUE"""),"121704325-1")</f>
        <v>121704325-1</v>
      </c>
      <c r="B5234" s="6" t="str">
        <f>IFERROR(__xludf.DUMMYFUNCTION("""COMPUTED_VALUE"""),"121704325 - APPROVED")</f>
        <v>121704325 - APPROVED</v>
      </c>
      <c r="C5234" s="6">
        <f>IFERROR(__xludf.DUMMYFUNCTION("""COMPUTED_VALUE"""),1.0)</f>
        <v>1</v>
      </c>
      <c r="D5234" s="6" t="str">
        <f>IFERROR(__xludf.DUMMYFUNCTION("""COMPUTED_VALUE"""),"R-20024-00")</f>
        <v>R-20024-00</v>
      </c>
      <c r="E5234" s="6" t="str">
        <f>IFERROR(__xludf.DUMMYFUNCTION("""COMPUTED_VALUE"""),"Machine Equipment; ; ; - Mesin LAS Inverter TIG-200P WEIRO - Mesin LAS Inverter TIG-200P WEIRO")</f>
        <v>Machine Equipment; ; ; - Mesin LAS Inverter TIG-200P WEIRO - Mesin LAS Inverter TIG-200P WEIRO</v>
      </c>
      <c r="F5234" s="6">
        <f>IFERROR(__xludf.DUMMYFUNCTION("""COMPUTED_VALUE"""),1.0)</f>
        <v>1</v>
      </c>
      <c r="G5234" s="6" t="str">
        <f>IFERROR(__xludf.DUMMYFUNCTION("""COMPUTED_VALUE"""),"Unit")</f>
        <v>Unit</v>
      </c>
      <c r="H5234" s="6" t="str">
        <f>IFERROR(__xludf.DUMMYFUNCTION("""COMPUTED_VALUE"""),"IDR")</f>
        <v>IDR</v>
      </c>
      <c r="I5234" s="6">
        <f>IFERROR(__xludf.DUMMYFUNCTION("""COMPUTED_VALUE"""),1.25E7)</f>
        <v>12500000</v>
      </c>
      <c r="J5234" s="6">
        <f>IFERROR(__xludf.DUMMYFUNCTION("""COMPUTED_VALUE"""),1.25E7)</f>
        <v>12500000</v>
      </c>
      <c r="K5234" s="57">
        <f>IFERROR(__xludf.DUMMYFUNCTION("""COMPUTED_VALUE"""),46227.0)</f>
        <v>46227</v>
      </c>
      <c r="L5234" s="6" t="str">
        <f>IFERROR(__xludf.DUMMYFUNCTION("""COMPUTED_VALUE"""),"FIP General")</f>
        <v>FIP General</v>
      </c>
      <c r="M5234" s="6" t="str">
        <f>IFERROR(__xludf.DUMMYFUNCTION("""COMPUTED_VALUE"""),"Mochammad Fadhillah Hakim,")</f>
        <v>Mochammad Fadhillah Hakim,</v>
      </c>
      <c r="N5234" s="6" t="str">
        <f>IFERROR(__xludf.DUMMYFUNCTION("""COMPUTED_VALUE"""),"FIP Engineering")</f>
        <v>FIP Engineering</v>
      </c>
      <c r="O5234" s="6" t="str">
        <f>IFERROR(__xludf.DUMMYFUNCTION("""COMPUTED_VALUE"""),"FIP-DOM-PRJ-13404-MC26022-INA-000000")</f>
        <v>FIP-DOM-PRJ-13404-MC26022-INA-000000</v>
      </c>
      <c r="P5234" s="6" t="str">
        <f>IFERROR(__xludf.DUMMYFUNCTION("""COMPUTED_VALUE"""),"PO Closed")</f>
        <v>PO Closed</v>
      </c>
      <c r="Q5234" s="6" t="str">
        <f>IFERROR(__xludf.DUMMYFUNCTION("""COMPUTED_VALUE"""),"GL2606043")</f>
        <v>GL2606043</v>
      </c>
      <c r="R5234" s="57">
        <f>IFERROR(__xludf.DUMMYFUNCTION("""COMPUTED_VALUE"""),46192.0)</f>
        <v>46192</v>
      </c>
      <c r="S5234" s="57">
        <f>IFERROR(__xludf.DUMMYFUNCTION("""COMPUTED_VALUE"""),46192.0)</f>
        <v>46192</v>
      </c>
      <c r="T5234" s="57">
        <f>IFERROR(__xludf.DUMMYFUNCTION("""COMPUTED_VALUE"""),46227.0)</f>
        <v>46227</v>
      </c>
    </row>
    <row r="5235">
      <c r="A5235" s="6" t="str">
        <f>IFERROR(__xludf.DUMMYFUNCTION("""COMPUTED_VALUE"""),"121704325-2")</f>
        <v>121704325-2</v>
      </c>
      <c r="B5235" s="6" t="str">
        <f>IFERROR(__xludf.DUMMYFUNCTION("""COMPUTED_VALUE"""),"121704325 - APPROVED")</f>
        <v>121704325 - APPROVED</v>
      </c>
      <c r="C5235" s="6">
        <f>IFERROR(__xludf.DUMMYFUNCTION("""COMPUTED_VALUE"""),2.0)</f>
        <v>2</v>
      </c>
      <c r="D5235" s="6" t="str">
        <f>IFERROR(__xludf.DUMMYFUNCTION("""COMPUTED_VALUE"""),"R-20024-00")</f>
        <v>R-20024-00</v>
      </c>
      <c r="E5235" s="6" t="str">
        <f>IFERROR(__xludf.DUMMYFUNCTION("""COMPUTED_VALUE"""),"Machine Equipment; ; ; - Gear Troly 2 Ton Brand TOYO - Gear Troly 2 Ton Brand TOYO")</f>
        <v>Machine Equipment; ; ; - Gear Troly 2 Ton Brand TOYO - Gear Troly 2 Ton Brand TOYO</v>
      </c>
      <c r="F5235" s="6">
        <f>IFERROR(__xludf.DUMMYFUNCTION("""COMPUTED_VALUE"""),1.0)</f>
        <v>1</v>
      </c>
      <c r="G5235" s="6" t="str">
        <f>IFERROR(__xludf.DUMMYFUNCTION("""COMPUTED_VALUE"""),"Unit")</f>
        <v>Unit</v>
      </c>
      <c r="H5235" s="6" t="str">
        <f>IFERROR(__xludf.DUMMYFUNCTION("""COMPUTED_VALUE"""),"IDR")</f>
        <v>IDR</v>
      </c>
      <c r="I5235" s="6">
        <f>IFERROR(__xludf.DUMMYFUNCTION("""COMPUTED_VALUE"""),2600000.0)</f>
        <v>2600000</v>
      </c>
      <c r="J5235" s="6">
        <f>IFERROR(__xludf.DUMMYFUNCTION("""COMPUTED_VALUE"""),2600000.0)</f>
        <v>2600000</v>
      </c>
      <c r="K5235" s="57">
        <f>IFERROR(__xludf.DUMMYFUNCTION("""COMPUTED_VALUE"""),46227.0)</f>
        <v>46227</v>
      </c>
      <c r="L5235" s="6" t="str">
        <f>IFERROR(__xludf.DUMMYFUNCTION("""COMPUTED_VALUE"""),"FIP General")</f>
        <v>FIP General</v>
      </c>
      <c r="M5235" s="6" t="str">
        <f>IFERROR(__xludf.DUMMYFUNCTION("""COMPUTED_VALUE"""),"Mochammad Fadhillah Hakim,")</f>
        <v>Mochammad Fadhillah Hakim,</v>
      </c>
      <c r="N5235" s="6" t="str">
        <f>IFERROR(__xludf.DUMMYFUNCTION("""COMPUTED_VALUE"""),"FIP Engineering")</f>
        <v>FIP Engineering</v>
      </c>
      <c r="O5235" s="6" t="str">
        <f>IFERROR(__xludf.DUMMYFUNCTION("""COMPUTED_VALUE"""),"FIP-DOM-PRJ-13404-MC26022-INA-000000")</f>
        <v>FIP-DOM-PRJ-13404-MC26022-INA-000000</v>
      </c>
      <c r="P5235" s="6" t="str">
        <f>IFERROR(__xludf.DUMMYFUNCTION("""COMPUTED_VALUE"""),"PO Closed")</f>
        <v>PO Closed</v>
      </c>
      <c r="Q5235" s="6" t="str">
        <f>IFERROR(__xludf.DUMMYFUNCTION("""COMPUTED_VALUE"""),"GL2606042")</f>
        <v>GL2606042</v>
      </c>
      <c r="R5235" s="57">
        <f>IFERROR(__xludf.DUMMYFUNCTION("""COMPUTED_VALUE"""),46192.0)</f>
        <v>46192</v>
      </c>
      <c r="S5235" s="57">
        <f>IFERROR(__xludf.DUMMYFUNCTION("""COMPUTED_VALUE"""),46192.0)</f>
        <v>46192</v>
      </c>
      <c r="T5235" s="57">
        <f>IFERROR(__xludf.DUMMYFUNCTION("""COMPUTED_VALUE"""),46227.0)</f>
        <v>46227</v>
      </c>
    </row>
    <row r="5236">
      <c r="A5236" s="6" t="str">
        <f>IFERROR(__xludf.DUMMYFUNCTION("""COMPUTED_VALUE"""),"121704325-3")</f>
        <v>121704325-3</v>
      </c>
      <c r="B5236" s="6" t="str">
        <f>IFERROR(__xludf.DUMMYFUNCTION("""COMPUTED_VALUE"""),"121704325 - APPROVED")</f>
        <v>121704325 - APPROVED</v>
      </c>
      <c r="C5236" s="6">
        <f>IFERROR(__xludf.DUMMYFUNCTION("""COMPUTED_VALUE"""),3.0)</f>
        <v>3</v>
      </c>
      <c r="D5236" s="6" t="str">
        <f>IFERROR(__xludf.DUMMYFUNCTION("""COMPUTED_VALUE"""),"R-20024-00")</f>
        <v>R-20024-00</v>
      </c>
      <c r="E5236" s="6" t="str">
        <f>IFERROR(__xludf.DUMMYFUNCTION("""COMPUTED_VALUE"""),"Machine Equipment; ; ; - Shackle 20 mm Galvanies - Shackle 20 mm Galvanies")</f>
        <v>Machine Equipment; ; ; - Shackle 20 mm Galvanies - Shackle 20 mm Galvanies</v>
      </c>
      <c r="F5236" s="6">
        <f>IFERROR(__xludf.DUMMYFUNCTION("""COMPUTED_VALUE"""),4.0)</f>
        <v>4</v>
      </c>
      <c r="G5236" s="6" t="str">
        <f>IFERROR(__xludf.DUMMYFUNCTION("""COMPUTED_VALUE"""),"Unit")</f>
        <v>Unit</v>
      </c>
      <c r="H5236" s="6" t="str">
        <f>IFERROR(__xludf.DUMMYFUNCTION("""COMPUTED_VALUE"""),"IDR")</f>
        <v>IDR</v>
      </c>
      <c r="I5236" s="6">
        <f>IFERROR(__xludf.DUMMYFUNCTION("""COMPUTED_VALUE"""),39000.0)</f>
        <v>39000</v>
      </c>
      <c r="J5236" s="6">
        <f>IFERROR(__xludf.DUMMYFUNCTION("""COMPUTED_VALUE"""),156000.0)</f>
        <v>156000</v>
      </c>
      <c r="K5236" s="57">
        <f>IFERROR(__xludf.DUMMYFUNCTION("""COMPUTED_VALUE"""),46227.0)</f>
        <v>46227</v>
      </c>
      <c r="L5236" s="6" t="str">
        <f>IFERROR(__xludf.DUMMYFUNCTION("""COMPUTED_VALUE"""),"FIP General")</f>
        <v>FIP General</v>
      </c>
      <c r="M5236" s="6" t="str">
        <f>IFERROR(__xludf.DUMMYFUNCTION("""COMPUTED_VALUE"""),"Mochammad Fadhillah Hakim,")</f>
        <v>Mochammad Fadhillah Hakim,</v>
      </c>
      <c r="N5236" s="6" t="str">
        <f>IFERROR(__xludf.DUMMYFUNCTION("""COMPUTED_VALUE"""),"FIP Engineering")</f>
        <v>FIP Engineering</v>
      </c>
      <c r="O5236" s="6" t="str">
        <f>IFERROR(__xludf.DUMMYFUNCTION("""COMPUTED_VALUE"""),"FIP-DOM-PRJ-13404-MC26022-INA-000000")</f>
        <v>FIP-DOM-PRJ-13404-MC26022-INA-000000</v>
      </c>
      <c r="P5236" s="6" t="str">
        <f>IFERROR(__xludf.DUMMYFUNCTION("""COMPUTED_VALUE"""),"PO Closed")</f>
        <v>PO Closed</v>
      </c>
      <c r="Q5236" s="6" t="str">
        <f>IFERROR(__xludf.DUMMYFUNCTION("""COMPUTED_VALUE"""),"GL2606043")</f>
        <v>GL2606043</v>
      </c>
      <c r="R5236" s="57">
        <f>IFERROR(__xludf.DUMMYFUNCTION("""COMPUTED_VALUE"""),46192.0)</f>
        <v>46192</v>
      </c>
      <c r="S5236" s="57">
        <f>IFERROR(__xludf.DUMMYFUNCTION("""COMPUTED_VALUE"""),46192.0)</f>
        <v>46192</v>
      </c>
      <c r="T5236" s="57">
        <f>IFERROR(__xludf.DUMMYFUNCTION("""COMPUTED_VALUE"""),46227.0)</f>
        <v>46227</v>
      </c>
    </row>
    <row r="5237">
      <c r="A5237" s="6" t="str">
        <f>IFERROR(__xludf.DUMMYFUNCTION("""COMPUTED_VALUE"""),"121704325-4")</f>
        <v>121704325-4</v>
      </c>
      <c r="B5237" s="6" t="str">
        <f>IFERROR(__xludf.DUMMYFUNCTION("""COMPUTED_VALUE"""),"121704325 - APPROVED")</f>
        <v>121704325 - APPROVED</v>
      </c>
      <c r="C5237" s="6">
        <f>IFERROR(__xludf.DUMMYFUNCTION("""COMPUTED_VALUE"""),4.0)</f>
        <v>4</v>
      </c>
      <c r="D5237" s="6" t="str">
        <f>IFERROR(__xludf.DUMMYFUNCTION("""COMPUTED_VALUE"""),"R-20024-00")</f>
        <v>R-20024-00</v>
      </c>
      <c r="E5237" s="6" t="str">
        <f>IFERROR(__xludf.DUMMYFUNCTION("""COMPUTED_VALUE"""),"Machine Equipment; ; ; - Shackle 25 mm Galvanies - Shackle 25 mm Galvanies")</f>
        <v>Machine Equipment; ; ; - Shackle 25 mm Galvanies - Shackle 25 mm Galvanies</v>
      </c>
      <c r="F5237" s="6">
        <f>IFERROR(__xludf.DUMMYFUNCTION("""COMPUTED_VALUE"""),4.0)</f>
        <v>4</v>
      </c>
      <c r="G5237" s="6" t="str">
        <f>IFERROR(__xludf.DUMMYFUNCTION("""COMPUTED_VALUE"""),"Unit")</f>
        <v>Unit</v>
      </c>
      <c r="H5237" s="6" t="str">
        <f>IFERROR(__xludf.DUMMYFUNCTION("""COMPUTED_VALUE"""),"IDR")</f>
        <v>IDR</v>
      </c>
      <c r="I5237" s="6">
        <f>IFERROR(__xludf.DUMMYFUNCTION("""COMPUTED_VALUE"""),78000.0)</f>
        <v>78000</v>
      </c>
      <c r="J5237" s="6">
        <f>IFERROR(__xludf.DUMMYFUNCTION("""COMPUTED_VALUE"""),312000.0)</f>
        <v>312000</v>
      </c>
      <c r="K5237" s="57">
        <f>IFERROR(__xludf.DUMMYFUNCTION("""COMPUTED_VALUE"""),46227.0)</f>
        <v>46227</v>
      </c>
      <c r="L5237" s="6" t="str">
        <f>IFERROR(__xludf.DUMMYFUNCTION("""COMPUTED_VALUE"""),"FIP General")</f>
        <v>FIP General</v>
      </c>
      <c r="M5237" s="6" t="str">
        <f>IFERROR(__xludf.DUMMYFUNCTION("""COMPUTED_VALUE"""),"Mochammad Fadhillah Hakim,")</f>
        <v>Mochammad Fadhillah Hakim,</v>
      </c>
      <c r="N5237" s="6" t="str">
        <f>IFERROR(__xludf.DUMMYFUNCTION("""COMPUTED_VALUE"""),"FIP Engineering")</f>
        <v>FIP Engineering</v>
      </c>
      <c r="O5237" s="6" t="str">
        <f>IFERROR(__xludf.DUMMYFUNCTION("""COMPUTED_VALUE"""),"FIP-DOM-PRJ-13404-MC26022-INA-000000")</f>
        <v>FIP-DOM-PRJ-13404-MC26022-INA-000000</v>
      </c>
      <c r="P5237" s="6" t="str">
        <f>IFERROR(__xludf.DUMMYFUNCTION("""COMPUTED_VALUE"""),"PO Closed")</f>
        <v>PO Closed</v>
      </c>
      <c r="Q5237" s="6" t="str">
        <f>IFERROR(__xludf.DUMMYFUNCTION("""COMPUTED_VALUE"""),"GL2606042")</f>
        <v>GL2606042</v>
      </c>
      <c r="R5237" s="57">
        <f>IFERROR(__xludf.DUMMYFUNCTION("""COMPUTED_VALUE"""),46192.0)</f>
        <v>46192</v>
      </c>
      <c r="S5237" s="57">
        <f>IFERROR(__xludf.DUMMYFUNCTION("""COMPUTED_VALUE"""),46192.0)</f>
        <v>46192</v>
      </c>
      <c r="T5237" s="57">
        <f>IFERROR(__xludf.DUMMYFUNCTION("""COMPUTED_VALUE"""),46227.0)</f>
        <v>46227</v>
      </c>
    </row>
    <row r="5238">
      <c r="A5238" s="6" t="str">
        <f>IFERROR(__xludf.DUMMYFUNCTION("""COMPUTED_VALUE"""),"121704325-5")</f>
        <v>121704325-5</v>
      </c>
      <c r="B5238" s="6" t="str">
        <f>IFERROR(__xludf.DUMMYFUNCTION("""COMPUTED_VALUE"""),"121704325 - APPROVED")</f>
        <v>121704325 - APPROVED</v>
      </c>
      <c r="C5238" s="6">
        <f>IFERROR(__xludf.DUMMYFUNCTION("""COMPUTED_VALUE"""),5.0)</f>
        <v>5</v>
      </c>
      <c r="D5238" s="6" t="str">
        <f>IFERROR(__xludf.DUMMYFUNCTION("""COMPUTED_VALUE"""),"R-20024-00")</f>
        <v>R-20024-00</v>
      </c>
      <c r="E5238" s="6" t="str">
        <f>IFERROR(__xludf.DUMMYFUNCTION("""COMPUTED_VALUE"""),"Machine Equipment; ; ; - Webbing 2 Ton 3 meter - Webbing 2 Ton 3 meter")</f>
        <v>Machine Equipment; ; ; - Webbing 2 Ton 3 meter - Webbing 2 Ton 3 meter</v>
      </c>
      <c r="F5238" s="6">
        <f>IFERROR(__xludf.DUMMYFUNCTION("""COMPUTED_VALUE"""),2.0)</f>
        <v>2</v>
      </c>
      <c r="G5238" s="6" t="str">
        <f>IFERROR(__xludf.DUMMYFUNCTION("""COMPUTED_VALUE"""),"Unit")</f>
        <v>Unit</v>
      </c>
      <c r="H5238" s="6" t="str">
        <f>IFERROR(__xludf.DUMMYFUNCTION("""COMPUTED_VALUE"""),"IDR")</f>
        <v>IDR</v>
      </c>
      <c r="I5238" s="6">
        <f>IFERROR(__xludf.DUMMYFUNCTION("""COMPUTED_VALUE"""),611000.0)</f>
        <v>611000</v>
      </c>
      <c r="J5238" s="6">
        <f>IFERROR(__xludf.DUMMYFUNCTION("""COMPUTED_VALUE"""),1222000.0)</f>
        <v>1222000</v>
      </c>
      <c r="K5238" s="57">
        <f>IFERROR(__xludf.DUMMYFUNCTION("""COMPUTED_VALUE"""),46227.0)</f>
        <v>46227</v>
      </c>
      <c r="L5238" s="6" t="str">
        <f>IFERROR(__xludf.DUMMYFUNCTION("""COMPUTED_VALUE"""),"FIP General")</f>
        <v>FIP General</v>
      </c>
      <c r="M5238" s="6" t="str">
        <f>IFERROR(__xludf.DUMMYFUNCTION("""COMPUTED_VALUE"""),"Mochammad Fadhillah Hakim,")</f>
        <v>Mochammad Fadhillah Hakim,</v>
      </c>
      <c r="N5238" s="6" t="str">
        <f>IFERROR(__xludf.DUMMYFUNCTION("""COMPUTED_VALUE"""),"FIP Engineering")</f>
        <v>FIP Engineering</v>
      </c>
      <c r="O5238" s="6" t="str">
        <f>IFERROR(__xludf.DUMMYFUNCTION("""COMPUTED_VALUE"""),"FIP-DOM-PRJ-13404-MC26022-INA-000000")</f>
        <v>FIP-DOM-PRJ-13404-MC26022-INA-000000</v>
      </c>
      <c r="P5238" s="6" t="str">
        <f>IFERROR(__xludf.DUMMYFUNCTION("""COMPUTED_VALUE"""),"PO Closed")</f>
        <v>PO Closed</v>
      </c>
      <c r="Q5238" s="6" t="str">
        <f>IFERROR(__xludf.DUMMYFUNCTION("""COMPUTED_VALUE"""),"GL2606042")</f>
        <v>GL2606042</v>
      </c>
      <c r="R5238" s="57">
        <f>IFERROR(__xludf.DUMMYFUNCTION("""COMPUTED_VALUE"""),46192.0)</f>
        <v>46192</v>
      </c>
      <c r="S5238" s="57">
        <f>IFERROR(__xludf.DUMMYFUNCTION("""COMPUTED_VALUE"""),46192.0)</f>
        <v>46192</v>
      </c>
      <c r="T5238" s="57">
        <f>IFERROR(__xludf.DUMMYFUNCTION("""COMPUTED_VALUE"""),46227.0)</f>
        <v>46227</v>
      </c>
    </row>
    <row r="5239">
      <c r="A5239" s="6" t="str">
        <f>IFERROR(__xludf.DUMMYFUNCTION("""COMPUTED_VALUE"""),"121704326-2")</f>
        <v>121704326-2</v>
      </c>
      <c r="B5239" s="6" t="str">
        <f>IFERROR(__xludf.DUMMYFUNCTION("""COMPUTED_VALUE"""),"121704326 - APPROVED")</f>
        <v>121704326 - APPROVED</v>
      </c>
      <c r="C5239" s="6">
        <f>IFERROR(__xludf.DUMMYFUNCTION("""COMPUTED_VALUE"""),2.0)</f>
        <v>2</v>
      </c>
      <c r="D5239" s="6" t="str">
        <f>IFERROR(__xludf.DUMMYFUNCTION("""COMPUTED_VALUE"""),"R-20024-00")</f>
        <v>R-20024-00</v>
      </c>
      <c r="E5239" s="6" t="str">
        <f>IFERROR(__xludf.DUMMYFUNCTION("""COMPUTED_VALUE"""),"Machine Equipment; ; ; - 3 Mata Bore Komplit - 3 Mata Bore Komplit - 3 Mata Bore Komplit - 3 Mata Bore Komplit")</f>
        <v>Machine Equipment; ; ; - 3 Mata Bore Komplit - 3 Mata Bore Komplit - 3 Mata Bore Komplit - 3 Mata Bore Komplit</v>
      </c>
      <c r="F5239" s="6">
        <f>IFERROR(__xludf.DUMMYFUNCTION("""COMPUTED_VALUE"""),1.0)</f>
        <v>1</v>
      </c>
      <c r="G5239" s="6" t="str">
        <f>IFERROR(__xludf.DUMMYFUNCTION("""COMPUTED_VALUE"""),"Unit")</f>
        <v>Unit</v>
      </c>
      <c r="H5239" s="6" t="str">
        <f>IFERROR(__xludf.DUMMYFUNCTION("""COMPUTED_VALUE"""),"IDR")</f>
        <v>IDR</v>
      </c>
      <c r="I5239" s="6">
        <f>IFERROR(__xludf.DUMMYFUNCTION("""COMPUTED_VALUE"""),2625000.0)</f>
        <v>2625000</v>
      </c>
      <c r="J5239" s="6">
        <f>IFERROR(__xludf.DUMMYFUNCTION("""COMPUTED_VALUE"""),2625000.0)</f>
        <v>2625000</v>
      </c>
      <c r="K5239" s="57">
        <f>IFERROR(__xludf.DUMMYFUNCTION("""COMPUTED_VALUE"""),46227.0)</f>
        <v>46227</v>
      </c>
      <c r="L5239" s="6" t="str">
        <f>IFERROR(__xludf.DUMMYFUNCTION("""COMPUTED_VALUE"""),"FIP General")</f>
        <v>FIP General</v>
      </c>
      <c r="M5239" s="6" t="str">
        <f>IFERROR(__xludf.DUMMYFUNCTION("""COMPUTED_VALUE"""),"Mochammad Fadhillah Hakim,")</f>
        <v>Mochammad Fadhillah Hakim,</v>
      </c>
      <c r="N5239" s="6" t="str">
        <f>IFERROR(__xludf.DUMMYFUNCTION("""COMPUTED_VALUE"""),"FIP Engineering")</f>
        <v>FIP Engineering</v>
      </c>
      <c r="O5239" s="6" t="str">
        <f>IFERROR(__xludf.DUMMYFUNCTION("""COMPUTED_VALUE"""),"FIP-DOM-PRJ-13404-MC26022-INA-000000")</f>
        <v>FIP-DOM-PRJ-13404-MC26022-INA-000000</v>
      </c>
      <c r="P5239" s="6" t="str">
        <f>IFERROR(__xludf.DUMMYFUNCTION("""COMPUTED_VALUE"""),"PO Open")</f>
        <v>PO Open</v>
      </c>
      <c r="Q5239" s="6" t="str">
        <f>IFERROR(__xludf.DUMMYFUNCTION("""COMPUTED_VALUE"""),"GL2606042")</f>
        <v>GL2606042</v>
      </c>
      <c r="R5239" s="57">
        <f>IFERROR(__xludf.DUMMYFUNCTION("""COMPUTED_VALUE"""),46192.0)</f>
        <v>46192</v>
      </c>
      <c r="S5239" s="57">
        <f>IFERROR(__xludf.DUMMYFUNCTION("""COMPUTED_VALUE"""),46192.0)</f>
        <v>46192</v>
      </c>
      <c r="T5239" s="57">
        <f>IFERROR(__xludf.DUMMYFUNCTION("""COMPUTED_VALUE"""),46244.0)</f>
        <v>46244</v>
      </c>
    </row>
    <row r="5240">
      <c r="A5240" s="6" t="str">
        <f>IFERROR(__xludf.DUMMYFUNCTION("""COMPUTED_VALUE"""),"121704326-3")</f>
        <v>121704326-3</v>
      </c>
      <c r="B5240" s="6" t="str">
        <f>IFERROR(__xludf.DUMMYFUNCTION("""COMPUTED_VALUE"""),"121704326 - APPROVED")</f>
        <v>121704326 - APPROVED</v>
      </c>
      <c r="C5240" s="6">
        <f>IFERROR(__xludf.DUMMYFUNCTION("""COMPUTED_VALUE"""),3.0)</f>
        <v>3</v>
      </c>
      <c r="D5240" s="6" t="str">
        <f>IFERROR(__xludf.DUMMYFUNCTION("""COMPUTED_VALUE"""),"R-20024-00")</f>
        <v>R-20024-00</v>
      </c>
      <c r="E5240" s="6" t="str">
        <f>IFERROR(__xludf.DUMMYFUNCTION("""COMPUTED_VALUE"""),"Machine Equipment; ; ; - Hole saw Uk 15 mm - Hole saw Uk 15 mm - Hole saw Uk 15 mm - Hole saw Uk 15 mm")</f>
        <v>Machine Equipment; ; ; - Hole saw Uk 15 mm - Hole saw Uk 15 mm - Hole saw Uk 15 mm - Hole saw Uk 15 mm</v>
      </c>
      <c r="F5240" s="6">
        <f>IFERROR(__xludf.DUMMYFUNCTION("""COMPUTED_VALUE"""),2.0)</f>
        <v>2</v>
      </c>
      <c r="G5240" s="6" t="str">
        <f>IFERROR(__xludf.DUMMYFUNCTION("""COMPUTED_VALUE"""),"Unit")</f>
        <v>Unit</v>
      </c>
      <c r="H5240" s="6" t="str">
        <f>IFERROR(__xludf.DUMMYFUNCTION("""COMPUTED_VALUE"""),"IDR")</f>
        <v>IDR</v>
      </c>
      <c r="I5240" s="6">
        <f>IFERROR(__xludf.DUMMYFUNCTION("""COMPUTED_VALUE"""),74250.0)</f>
        <v>74250</v>
      </c>
      <c r="J5240" s="6">
        <f>IFERROR(__xludf.DUMMYFUNCTION("""COMPUTED_VALUE"""),148500.0)</f>
        <v>148500</v>
      </c>
      <c r="K5240" s="57">
        <f>IFERROR(__xludf.DUMMYFUNCTION("""COMPUTED_VALUE"""),46227.0)</f>
        <v>46227</v>
      </c>
      <c r="L5240" s="6" t="str">
        <f>IFERROR(__xludf.DUMMYFUNCTION("""COMPUTED_VALUE"""),"FIP General")</f>
        <v>FIP General</v>
      </c>
      <c r="M5240" s="6" t="str">
        <f>IFERROR(__xludf.DUMMYFUNCTION("""COMPUTED_VALUE"""),"Mochammad Fadhillah Hakim,")</f>
        <v>Mochammad Fadhillah Hakim,</v>
      </c>
      <c r="N5240" s="6" t="str">
        <f>IFERROR(__xludf.DUMMYFUNCTION("""COMPUTED_VALUE"""),"FIP Engineering")</f>
        <v>FIP Engineering</v>
      </c>
      <c r="O5240" s="6" t="str">
        <f>IFERROR(__xludf.DUMMYFUNCTION("""COMPUTED_VALUE"""),"FIP-DOM-PRJ-13404-MC26022-INA-000000")</f>
        <v>FIP-DOM-PRJ-13404-MC26022-INA-000000</v>
      </c>
      <c r="P5240" s="6" t="str">
        <f>IFERROR(__xludf.DUMMYFUNCTION("""COMPUTED_VALUE"""),"PO Closed")</f>
        <v>PO Closed</v>
      </c>
      <c r="Q5240" s="6" t="str">
        <f>IFERROR(__xludf.DUMMYFUNCTION("""COMPUTED_VALUE"""),"GL2606042")</f>
        <v>GL2606042</v>
      </c>
      <c r="R5240" s="57">
        <f>IFERROR(__xludf.DUMMYFUNCTION("""COMPUTED_VALUE"""),46192.0)</f>
        <v>46192</v>
      </c>
      <c r="S5240" s="57">
        <f>IFERROR(__xludf.DUMMYFUNCTION("""COMPUTED_VALUE"""),46192.0)</f>
        <v>46192</v>
      </c>
      <c r="T5240" s="57">
        <f>IFERROR(__xludf.DUMMYFUNCTION("""COMPUTED_VALUE"""),46227.0)</f>
        <v>46227</v>
      </c>
    </row>
    <row r="5241">
      <c r="A5241" s="6" t="str">
        <f>IFERROR(__xludf.DUMMYFUNCTION("""COMPUTED_VALUE"""),"121704326-4")</f>
        <v>121704326-4</v>
      </c>
      <c r="B5241" s="6" t="str">
        <f>IFERROR(__xludf.DUMMYFUNCTION("""COMPUTED_VALUE"""),"121704326 - APPROVED")</f>
        <v>121704326 - APPROVED</v>
      </c>
      <c r="C5241" s="6">
        <f>IFERROR(__xludf.DUMMYFUNCTION("""COMPUTED_VALUE"""),4.0)</f>
        <v>4</v>
      </c>
      <c r="D5241" s="6" t="str">
        <f>IFERROR(__xludf.DUMMYFUNCTION("""COMPUTED_VALUE"""),"R-20024-00")</f>
        <v>R-20024-00</v>
      </c>
      <c r="E5241" s="6" t="str">
        <f>IFERROR(__xludf.DUMMYFUNCTION("""COMPUTED_VALUE"""),"Machine Equipment; ; ; - Hole saw Uk 18 mm - Hole saw Uk 18 mm - Hole saw Uk 18 mm - Hole saw Uk 18 mm")</f>
        <v>Machine Equipment; ; ; - Hole saw Uk 18 mm - Hole saw Uk 18 mm - Hole saw Uk 18 mm - Hole saw Uk 18 mm</v>
      </c>
      <c r="F5241" s="6">
        <f>IFERROR(__xludf.DUMMYFUNCTION("""COMPUTED_VALUE"""),2.0)</f>
        <v>2</v>
      </c>
      <c r="G5241" s="6" t="str">
        <f>IFERROR(__xludf.DUMMYFUNCTION("""COMPUTED_VALUE"""),"Unit")</f>
        <v>Unit</v>
      </c>
      <c r="H5241" s="6" t="str">
        <f>IFERROR(__xludf.DUMMYFUNCTION("""COMPUTED_VALUE"""),"IDR")</f>
        <v>IDR</v>
      </c>
      <c r="I5241" s="6">
        <f>IFERROR(__xludf.DUMMYFUNCTION("""COMPUTED_VALUE"""),77550.0)</f>
        <v>77550</v>
      </c>
      <c r="J5241" s="6">
        <f>IFERROR(__xludf.DUMMYFUNCTION("""COMPUTED_VALUE"""),155100.0)</f>
        <v>155100</v>
      </c>
      <c r="K5241" s="57">
        <f>IFERROR(__xludf.DUMMYFUNCTION("""COMPUTED_VALUE"""),46227.0)</f>
        <v>46227</v>
      </c>
      <c r="L5241" s="6" t="str">
        <f>IFERROR(__xludf.DUMMYFUNCTION("""COMPUTED_VALUE"""),"FIP General")</f>
        <v>FIP General</v>
      </c>
      <c r="M5241" s="6" t="str">
        <f>IFERROR(__xludf.DUMMYFUNCTION("""COMPUTED_VALUE"""),"Mochammad Fadhillah Hakim,")</f>
        <v>Mochammad Fadhillah Hakim,</v>
      </c>
      <c r="N5241" s="6" t="str">
        <f>IFERROR(__xludf.DUMMYFUNCTION("""COMPUTED_VALUE"""),"FIP Engineering")</f>
        <v>FIP Engineering</v>
      </c>
      <c r="O5241" s="6" t="str">
        <f>IFERROR(__xludf.DUMMYFUNCTION("""COMPUTED_VALUE"""),"FIP-DOM-PRJ-13404-MC26022-INA-000000")</f>
        <v>FIP-DOM-PRJ-13404-MC26022-INA-000000</v>
      </c>
      <c r="P5241" s="6" t="str">
        <f>IFERROR(__xludf.DUMMYFUNCTION("""COMPUTED_VALUE"""),"PO Closed")</f>
        <v>PO Closed</v>
      </c>
      <c r="Q5241" s="6" t="str">
        <f>IFERROR(__xludf.DUMMYFUNCTION("""COMPUTED_VALUE"""),"GL2606042")</f>
        <v>GL2606042</v>
      </c>
      <c r="R5241" s="57">
        <f>IFERROR(__xludf.DUMMYFUNCTION("""COMPUTED_VALUE"""),46192.0)</f>
        <v>46192</v>
      </c>
      <c r="S5241" s="57">
        <f>IFERROR(__xludf.DUMMYFUNCTION("""COMPUTED_VALUE"""),46192.0)</f>
        <v>46192</v>
      </c>
      <c r="T5241" s="57">
        <f>IFERROR(__xludf.DUMMYFUNCTION("""COMPUTED_VALUE"""),46227.0)</f>
        <v>46227</v>
      </c>
    </row>
    <row r="5242">
      <c r="A5242" s="6" t="str">
        <f>IFERROR(__xludf.DUMMYFUNCTION("""COMPUTED_VALUE"""),"121704326-5")</f>
        <v>121704326-5</v>
      </c>
      <c r="B5242" s="6" t="str">
        <f>IFERROR(__xludf.DUMMYFUNCTION("""COMPUTED_VALUE"""),"121704326 - APPROVED")</f>
        <v>121704326 - APPROVED</v>
      </c>
      <c r="C5242" s="6">
        <f>IFERROR(__xludf.DUMMYFUNCTION("""COMPUTED_VALUE"""),5.0)</f>
        <v>5</v>
      </c>
      <c r="D5242" s="6" t="str">
        <f>IFERROR(__xludf.DUMMYFUNCTION("""COMPUTED_VALUE"""),"R-20024-00")</f>
        <v>R-20024-00</v>
      </c>
      <c r="E5242" s="6" t="str">
        <f>IFERROR(__xludf.DUMMYFUNCTION("""COMPUTED_VALUE"""),"Machine Equipment; ; ; - Hole saw Uk 20 mm - Hole saw Uk 20 mm - Hole saw Uk 20 mm - Hole saw Uk 20 mm")</f>
        <v>Machine Equipment; ; ; - Hole saw Uk 20 mm - Hole saw Uk 20 mm - Hole saw Uk 20 mm - Hole saw Uk 20 mm</v>
      </c>
      <c r="F5242" s="6">
        <f>IFERROR(__xludf.DUMMYFUNCTION("""COMPUTED_VALUE"""),2.0)</f>
        <v>2</v>
      </c>
      <c r="G5242" s="6" t="str">
        <f>IFERROR(__xludf.DUMMYFUNCTION("""COMPUTED_VALUE"""),"Unit")</f>
        <v>Unit</v>
      </c>
      <c r="H5242" s="6" t="str">
        <f>IFERROR(__xludf.DUMMYFUNCTION("""COMPUTED_VALUE"""),"IDR")</f>
        <v>IDR</v>
      </c>
      <c r="I5242" s="6">
        <f>IFERROR(__xludf.DUMMYFUNCTION("""COMPUTED_VALUE"""),90750.0)</f>
        <v>90750</v>
      </c>
      <c r="J5242" s="6">
        <f>IFERROR(__xludf.DUMMYFUNCTION("""COMPUTED_VALUE"""),181500.0)</f>
        <v>181500</v>
      </c>
      <c r="K5242" s="57">
        <f>IFERROR(__xludf.DUMMYFUNCTION("""COMPUTED_VALUE"""),46227.0)</f>
        <v>46227</v>
      </c>
      <c r="L5242" s="6" t="str">
        <f>IFERROR(__xludf.DUMMYFUNCTION("""COMPUTED_VALUE"""),"FIP General")</f>
        <v>FIP General</v>
      </c>
      <c r="M5242" s="6" t="str">
        <f>IFERROR(__xludf.DUMMYFUNCTION("""COMPUTED_VALUE"""),"Mochammad Fadhillah Hakim,")</f>
        <v>Mochammad Fadhillah Hakim,</v>
      </c>
      <c r="N5242" s="6" t="str">
        <f>IFERROR(__xludf.DUMMYFUNCTION("""COMPUTED_VALUE"""),"FIP Engineering")</f>
        <v>FIP Engineering</v>
      </c>
      <c r="O5242" s="6" t="str">
        <f>IFERROR(__xludf.DUMMYFUNCTION("""COMPUTED_VALUE"""),"FIP-DOM-PRJ-13404-MC26022-INA-000000")</f>
        <v>FIP-DOM-PRJ-13404-MC26022-INA-000000</v>
      </c>
      <c r="P5242" s="6" t="str">
        <f>IFERROR(__xludf.DUMMYFUNCTION("""COMPUTED_VALUE"""),"PO Closed")</f>
        <v>PO Closed</v>
      </c>
      <c r="Q5242" s="6" t="str">
        <f>IFERROR(__xludf.DUMMYFUNCTION("""COMPUTED_VALUE"""),"GL2606042")</f>
        <v>GL2606042</v>
      </c>
      <c r="R5242" s="57">
        <f>IFERROR(__xludf.DUMMYFUNCTION("""COMPUTED_VALUE"""),46192.0)</f>
        <v>46192</v>
      </c>
      <c r="S5242" s="57">
        <f>IFERROR(__xludf.DUMMYFUNCTION("""COMPUTED_VALUE"""),46192.0)</f>
        <v>46192</v>
      </c>
      <c r="T5242" s="57">
        <f>IFERROR(__xludf.DUMMYFUNCTION("""COMPUTED_VALUE"""),46227.0)</f>
        <v>46227</v>
      </c>
    </row>
    <row r="5243">
      <c r="A5243" s="6" t="str">
        <f>IFERROR(__xludf.DUMMYFUNCTION("""COMPUTED_VALUE"""),"121704326-6")</f>
        <v>121704326-6</v>
      </c>
      <c r="B5243" s="6" t="str">
        <f>IFERROR(__xludf.DUMMYFUNCTION("""COMPUTED_VALUE"""),"121704326 - APPROVED")</f>
        <v>121704326 - APPROVED</v>
      </c>
      <c r="C5243" s="6">
        <f>IFERROR(__xludf.DUMMYFUNCTION("""COMPUTED_VALUE"""),6.0)</f>
        <v>6</v>
      </c>
      <c r="D5243" s="6" t="str">
        <f>IFERROR(__xludf.DUMMYFUNCTION("""COMPUTED_VALUE"""),"R-20024-00")</f>
        <v>R-20024-00</v>
      </c>
      <c r="E5243" s="6" t="str">
        <f>IFERROR(__xludf.DUMMYFUNCTION("""COMPUTED_VALUE"""),"Machine Equipment; ; ; - Hole saw Uk 22 mm - Hole saw Uk 22 mm - Hole saw Uk 22 mm - Hole saw Uk 22 mm")</f>
        <v>Machine Equipment; ; ; - Hole saw Uk 22 mm - Hole saw Uk 22 mm - Hole saw Uk 22 mm - Hole saw Uk 22 mm</v>
      </c>
      <c r="F5243" s="6">
        <f>IFERROR(__xludf.DUMMYFUNCTION("""COMPUTED_VALUE"""),2.0)</f>
        <v>2</v>
      </c>
      <c r="G5243" s="6" t="str">
        <f>IFERROR(__xludf.DUMMYFUNCTION("""COMPUTED_VALUE"""),"Unit")</f>
        <v>Unit</v>
      </c>
      <c r="H5243" s="6" t="str">
        <f>IFERROR(__xludf.DUMMYFUNCTION("""COMPUTED_VALUE"""),"IDR")</f>
        <v>IDR</v>
      </c>
      <c r="I5243" s="6">
        <f>IFERROR(__xludf.DUMMYFUNCTION("""COMPUTED_VALUE"""),103950.0)</f>
        <v>103950</v>
      </c>
      <c r="J5243" s="6">
        <f>IFERROR(__xludf.DUMMYFUNCTION("""COMPUTED_VALUE"""),207900.0)</f>
        <v>207900</v>
      </c>
      <c r="K5243" s="57">
        <f>IFERROR(__xludf.DUMMYFUNCTION("""COMPUTED_VALUE"""),46227.0)</f>
        <v>46227</v>
      </c>
      <c r="L5243" s="6" t="str">
        <f>IFERROR(__xludf.DUMMYFUNCTION("""COMPUTED_VALUE"""),"FIP General")</f>
        <v>FIP General</v>
      </c>
      <c r="M5243" s="6" t="str">
        <f>IFERROR(__xludf.DUMMYFUNCTION("""COMPUTED_VALUE"""),"Mochammad Fadhillah Hakim,")</f>
        <v>Mochammad Fadhillah Hakim,</v>
      </c>
      <c r="N5243" s="6" t="str">
        <f>IFERROR(__xludf.DUMMYFUNCTION("""COMPUTED_VALUE"""),"FIP Engineering")</f>
        <v>FIP Engineering</v>
      </c>
      <c r="O5243" s="6" t="str">
        <f>IFERROR(__xludf.DUMMYFUNCTION("""COMPUTED_VALUE"""),"FIP-DOM-PRJ-13404-MC26022-INA-000000")</f>
        <v>FIP-DOM-PRJ-13404-MC26022-INA-000000</v>
      </c>
      <c r="P5243" s="6" t="str">
        <f>IFERROR(__xludf.DUMMYFUNCTION("""COMPUTED_VALUE"""),"PO Closed")</f>
        <v>PO Closed</v>
      </c>
      <c r="Q5243" s="6" t="str">
        <f>IFERROR(__xludf.DUMMYFUNCTION("""COMPUTED_VALUE"""),"GL2606042")</f>
        <v>GL2606042</v>
      </c>
      <c r="R5243" s="57">
        <f>IFERROR(__xludf.DUMMYFUNCTION("""COMPUTED_VALUE"""),46192.0)</f>
        <v>46192</v>
      </c>
      <c r="S5243" s="57">
        <f>IFERROR(__xludf.DUMMYFUNCTION("""COMPUTED_VALUE"""),46192.0)</f>
        <v>46192</v>
      </c>
      <c r="T5243" s="57">
        <f>IFERROR(__xludf.DUMMYFUNCTION("""COMPUTED_VALUE"""),46227.0)</f>
        <v>46227</v>
      </c>
    </row>
    <row r="5244">
      <c r="A5244" s="6" t="str">
        <f>IFERROR(__xludf.DUMMYFUNCTION("""COMPUTED_VALUE"""),"121704326-7")</f>
        <v>121704326-7</v>
      </c>
      <c r="B5244" s="6" t="str">
        <f>IFERROR(__xludf.DUMMYFUNCTION("""COMPUTED_VALUE"""),"121704326 - APPROVED")</f>
        <v>121704326 - APPROVED</v>
      </c>
      <c r="C5244" s="6">
        <f>IFERROR(__xludf.DUMMYFUNCTION("""COMPUTED_VALUE"""),7.0)</f>
        <v>7</v>
      </c>
      <c r="D5244" s="6" t="str">
        <f>IFERROR(__xludf.DUMMYFUNCTION("""COMPUTED_VALUE"""),"R-20024-00")</f>
        <v>R-20024-00</v>
      </c>
      <c r="E5244" s="6" t="str">
        <f>IFERROR(__xludf.DUMMYFUNCTION("""COMPUTED_VALUE"""),"Machine Equipment; ; ; - Hole saw Uk 25 mm - Hole saw Uk 25 mm - Hole saw Uk 25 mm - Hole saw Uk 25 mm")</f>
        <v>Machine Equipment; ; ; - Hole saw Uk 25 mm - Hole saw Uk 25 mm - Hole saw Uk 25 mm - Hole saw Uk 25 mm</v>
      </c>
      <c r="F5244" s="6">
        <f>IFERROR(__xludf.DUMMYFUNCTION("""COMPUTED_VALUE"""),2.0)</f>
        <v>2</v>
      </c>
      <c r="G5244" s="6" t="str">
        <f>IFERROR(__xludf.DUMMYFUNCTION("""COMPUTED_VALUE"""),"Unit")</f>
        <v>Unit</v>
      </c>
      <c r="H5244" s="6" t="str">
        <f>IFERROR(__xludf.DUMMYFUNCTION("""COMPUTED_VALUE"""),"IDR")</f>
        <v>IDR</v>
      </c>
      <c r="I5244" s="6">
        <f>IFERROR(__xludf.DUMMYFUNCTION("""COMPUTED_VALUE"""),115500.0)</f>
        <v>115500</v>
      </c>
      <c r="J5244" s="6">
        <f>IFERROR(__xludf.DUMMYFUNCTION("""COMPUTED_VALUE"""),231000.0)</f>
        <v>231000</v>
      </c>
      <c r="K5244" s="57">
        <f>IFERROR(__xludf.DUMMYFUNCTION("""COMPUTED_VALUE"""),46227.0)</f>
        <v>46227</v>
      </c>
      <c r="L5244" s="6" t="str">
        <f>IFERROR(__xludf.DUMMYFUNCTION("""COMPUTED_VALUE"""),"FIP General")</f>
        <v>FIP General</v>
      </c>
      <c r="M5244" s="6" t="str">
        <f>IFERROR(__xludf.DUMMYFUNCTION("""COMPUTED_VALUE"""),"Mochammad Fadhillah Hakim,")</f>
        <v>Mochammad Fadhillah Hakim,</v>
      </c>
      <c r="N5244" s="6" t="str">
        <f>IFERROR(__xludf.DUMMYFUNCTION("""COMPUTED_VALUE"""),"FIP Engineering")</f>
        <v>FIP Engineering</v>
      </c>
      <c r="O5244" s="6" t="str">
        <f>IFERROR(__xludf.DUMMYFUNCTION("""COMPUTED_VALUE"""),"FIP-DOM-PRJ-13404-MC26022-INA-000000")</f>
        <v>FIP-DOM-PRJ-13404-MC26022-INA-000000</v>
      </c>
      <c r="P5244" s="6" t="str">
        <f>IFERROR(__xludf.DUMMYFUNCTION("""COMPUTED_VALUE"""),"PO Closed")</f>
        <v>PO Closed</v>
      </c>
      <c r="Q5244" s="6" t="str">
        <f>IFERROR(__xludf.DUMMYFUNCTION("""COMPUTED_VALUE"""),"GL2606042")</f>
        <v>GL2606042</v>
      </c>
      <c r="R5244" s="57">
        <f>IFERROR(__xludf.DUMMYFUNCTION("""COMPUTED_VALUE"""),46192.0)</f>
        <v>46192</v>
      </c>
      <c r="S5244" s="57">
        <f>IFERROR(__xludf.DUMMYFUNCTION("""COMPUTED_VALUE"""),46192.0)</f>
        <v>46192</v>
      </c>
      <c r="T5244" s="57">
        <f>IFERROR(__xludf.DUMMYFUNCTION("""COMPUTED_VALUE"""),46227.0)</f>
        <v>46227</v>
      </c>
    </row>
    <row r="5245">
      <c r="A5245" s="6" t="str">
        <f>IFERROR(__xludf.DUMMYFUNCTION("""COMPUTED_VALUE"""),"121704333-1")</f>
        <v>121704333-1</v>
      </c>
      <c r="B5245" s="6" t="str">
        <f>IFERROR(__xludf.DUMMYFUNCTION("""COMPUTED_VALUE"""),"121704333 - APPROVED")</f>
        <v>121704333 - APPROVED</v>
      </c>
      <c r="C5245" s="6">
        <f>IFERROR(__xludf.DUMMYFUNCTION("""COMPUTED_VALUE"""),1.0)</f>
        <v>1</v>
      </c>
      <c r="D5245" s="6" t="str">
        <f>IFERROR(__xludf.DUMMYFUNCTION("""COMPUTED_VALUE"""),"O-53635-00")</f>
        <v>O-53635-00</v>
      </c>
      <c r="E5245" s="6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F5245" s="6">
        <f>IFERROR(__xludf.DUMMYFUNCTION("""COMPUTED_VALUE"""),2.0)</f>
        <v>2</v>
      </c>
      <c r="G5245" s="6" t="str">
        <f>IFERROR(__xludf.DUMMYFUNCTION("""COMPUTED_VALUE"""),"Pieces")</f>
        <v>Pieces</v>
      </c>
      <c r="H5245" s="6" t="str">
        <f>IFERROR(__xludf.DUMMYFUNCTION("""COMPUTED_VALUE"""),"IDR")</f>
        <v>IDR</v>
      </c>
      <c r="I5245" s="6">
        <f>IFERROR(__xludf.DUMMYFUNCTION("""COMPUTED_VALUE"""),7183000.0)</f>
        <v>7183000</v>
      </c>
      <c r="J5245" s="6">
        <f>IFERROR(__xludf.DUMMYFUNCTION("""COMPUTED_VALUE"""),1.4366E7)</f>
        <v>14366000</v>
      </c>
      <c r="K5245" s="57">
        <f>IFERROR(__xludf.DUMMYFUNCTION("""COMPUTED_VALUE"""),46262.0)</f>
        <v>46262</v>
      </c>
      <c r="L5245" s="6" t="str">
        <f>IFERROR(__xludf.DUMMYFUNCTION("""COMPUTED_VALUE"""),"FIP Engineering")</f>
        <v>FIP Engineering</v>
      </c>
      <c r="M5245" s="6" t="str">
        <f>IFERROR(__xludf.DUMMYFUNCTION("""COMPUTED_VALUE"""),"Mochammad Fadhillah Hakim,")</f>
        <v>Mochammad Fadhillah Hakim,</v>
      </c>
      <c r="N5245" s="6" t="str">
        <f>IFERROR(__xludf.DUMMYFUNCTION("""COMPUTED_VALUE"""),"FIP Engineering")</f>
        <v>FIP Engineering</v>
      </c>
      <c r="O5245" s="6" t="str">
        <f>IFERROR(__xludf.DUMMYFUNCTION("""COMPUTED_VALUE"""),"FIP-DOM-000-11304-OS00001-INA-000000")</f>
        <v>FIP-DOM-000-11304-OS00001-INA-000000</v>
      </c>
      <c r="P5245" s="6" t="str">
        <f>IFERROR(__xludf.DUMMYFUNCTION("""COMPUTED_VALUE"""),"PO Open")</f>
        <v>PO Open</v>
      </c>
      <c r="Q5245" s="6" t="str">
        <f>IFERROR(__xludf.DUMMYFUNCTION("""COMPUTED_VALUE"""),"GL2607030")</f>
        <v>GL2607030</v>
      </c>
      <c r="R5245" s="57">
        <f>IFERROR(__xludf.DUMMYFUNCTION("""COMPUTED_VALUE"""),46195.0)</f>
        <v>46195</v>
      </c>
      <c r="S5245" s="57">
        <f>IFERROR(__xludf.DUMMYFUNCTION("""COMPUTED_VALUE"""),46197.0)</f>
        <v>46197</v>
      </c>
      <c r="T5245" s="57">
        <f>IFERROR(__xludf.DUMMYFUNCTION("""COMPUTED_VALUE"""),46262.0)</f>
        <v>46262</v>
      </c>
    </row>
    <row r="5246">
      <c r="A5246" s="6" t="str">
        <f>IFERROR(__xludf.DUMMYFUNCTION("""COMPUTED_VALUE"""),"121704338-1")</f>
        <v>121704338-1</v>
      </c>
      <c r="B5246" s="6" t="str">
        <f>IFERROR(__xludf.DUMMYFUNCTION("""COMPUTED_VALUE"""),"121704338 - APPROVED")</f>
        <v>121704338 - APPROVED</v>
      </c>
      <c r="C5246" s="6">
        <f>IFERROR(__xludf.DUMMYFUNCTION("""COMPUTED_VALUE"""),1.0)</f>
        <v>1</v>
      </c>
      <c r="D5246" s="6" t="str">
        <f>IFERROR(__xludf.DUMMYFUNCTION("""COMPUTED_VALUE"""),"O-21611-00")</f>
        <v>O-21611-00</v>
      </c>
      <c r="E5246" s="6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F5246" s="6">
        <f>IFERROR(__xludf.DUMMYFUNCTION("""COMPUTED_VALUE"""),25.0)</f>
        <v>25</v>
      </c>
      <c r="G5246" s="6" t="str">
        <f>IFERROR(__xludf.DUMMYFUNCTION("""COMPUTED_VALUE"""),"Pieces")</f>
        <v>Pieces</v>
      </c>
      <c r="H5246" s="6" t="str">
        <f>IFERROR(__xludf.DUMMYFUNCTION("""COMPUTED_VALUE"""),"IDR")</f>
        <v>IDR</v>
      </c>
      <c r="I5246" s="6">
        <f>IFERROR(__xludf.DUMMYFUNCTION("""COMPUTED_VALUE"""),275000.0)</f>
        <v>275000</v>
      </c>
      <c r="J5246" s="6">
        <f>IFERROR(__xludf.DUMMYFUNCTION("""COMPUTED_VALUE"""),6875000.0)</f>
        <v>6875000</v>
      </c>
      <c r="K5246" s="57">
        <f>IFERROR(__xludf.DUMMYFUNCTION("""COMPUTED_VALUE"""),46227.0)</f>
        <v>46227</v>
      </c>
      <c r="L5246" s="6" t="str">
        <f>IFERROR(__xludf.DUMMYFUNCTION("""COMPUTED_VALUE"""),"FIP Engineering")</f>
        <v>FIP Engineering</v>
      </c>
      <c r="M5246" s="6" t="str">
        <f>IFERROR(__xludf.DUMMYFUNCTION("""COMPUTED_VALUE"""),"Mochammad Fadhillah Hakim,")</f>
        <v>Mochammad Fadhillah Hakim,</v>
      </c>
      <c r="N5246" s="6" t="str">
        <f>IFERROR(__xludf.DUMMYFUNCTION("""COMPUTED_VALUE"""),"FIP Engineering")</f>
        <v>FIP Engineering</v>
      </c>
      <c r="O5246" s="6" t="str">
        <f>IFERROR(__xludf.DUMMYFUNCTION("""COMPUTED_VALUE"""),"FIP-DOM-000-11304-OS00001-INA-000000")</f>
        <v>FIP-DOM-000-11304-OS00001-INA-000000</v>
      </c>
      <c r="P5246" s="6" t="str">
        <f>IFERROR(__xludf.DUMMYFUNCTION("""COMPUTED_VALUE"""),"PO Open")</f>
        <v>PO Open</v>
      </c>
      <c r="Q5246" s="6" t="str">
        <f>IFERROR(__xludf.DUMMYFUNCTION("""COMPUTED_VALUE"""),"GL2608404")</f>
        <v>GL2608404</v>
      </c>
      <c r="R5246" s="57">
        <f>IFERROR(__xludf.DUMMYFUNCTION("""COMPUTED_VALUE"""),46196.0)</f>
        <v>46196</v>
      </c>
      <c r="S5246" s="57">
        <f>IFERROR(__xludf.DUMMYFUNCTION("""COMPUTED_VALUE"""),46223.0)</f>
        <v>46223</v>
      </c>
      <c r="T5246" s="57">
        <f>IFERROR(__xludf.DUMMYFUNCTION("""COMPUTED_VALUE"""),46289.0)</f>
        <v>46289</v>
      </c>
    </row>
    <row r="5247">
      <c r="A5247" s="6" t="str">
        <f>IFERROR(__xludf.DUMMYFUNCTION("""COMPUTED_VALUE"""),"121704340-1")</f>
        <v>121704340-1</v>
      </c>
      <c r="B5247" s="6" t="str">
        <f>IFERROR(__xludf.DUMMYFUNCTION("""COMPUTED_VALUE"""),"121704340 - APPROVED")</f>
        <v>121704340 - APPROVED</v>
      </c>
      <c r="C5247" s="6">
        <f>IFERROR(__xludf.DUMMYFUNCTION("""COMPUTED_VALUE"""),1.0)</f>
        <v>1</v>
      </c>
      <c r="D5247" s="6" t="str">
        <f>IFERROR(__xludf.DUMMYFUNCTION("""COMPUTED_VALUE"""),"O-54159-00")</f>
        <v>O-54159-00</v>
      </c>
      <c r="E5247" s="6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F5247" s="6">
        <f>IFERROR(__xludf.DUMMYFUNCTION("""COMPUTED_VALUE"""),4.0)</f>
        <v>4</v>
      </c>
      <c r="G5247" s="6" t="str">
        <f>IFERROR(__xludf.DUMMYFUNCTION("""COMPUTED_VALUE"""),"Pieces")</f>
        <v>Pieces</v>
      </c>
      <c r="H5247" s="6" t="str">
        <f>IFERROR(__xludf.DUMMYFUNCTION("""COMPUTED_VALUE"""),"IDR")</f>
        <v>IDR</v>
      </c>
      <c r="I5247" s="6">
        <f>IFERROR(__xludf.DUMMYFUNCTION("""COMPUTED_VALUE"""),4200000.0)</f>
        <v>4200000</v>
      </c>
      <c r="J5247" s="6">
        <f>IFERROR(__xludf.DUMMYFUNCTION("""COMPUTED_VALUE"""),1.68E7)</f>
        <v>16800000</v>
      </c>
      <c r="K5247" s="57">
        <f>IFERROR(__xludf.DUMMYFUNCTION("""COMPUTED_VALUE"""),46227.0)</f>
        <v>46227</v>
      </c>
      <c r="L5247" s="6" t="str">
        <f>IFERROR(__xludf.DUMMYFUNCTION("""COMPUTED_VALUE"""),"FIP Engineering")</f>
        <v>FIP Engineering</v>
      </c>
      <c r="M5247" s="6" t="str">
        <f>IFERROR(__xludf.DUMMYFUNCTION("""COMPUTED_VALUE"""),"Mochammad Fadhillah Hakim,")</f>
        <v>Mochammad Fadhillah Hakim,</v>
      </c>
      <c r="N5247" s="6" t="str">
        <f>IFERROR(__xludf.DUMMYFUNCTION("""COMPUTED_VALUE"""),"FIP Engineering")</f>
        <v>FIP Engineering</v>
      </c>
      <c r="O5247" s="6" t="str">
        <f>IFERROR(__xludf.DUMMYFUNCTION("""COMPUTED_VALUE"""),"FIP-DOM-000-11304-OS00001-INA-000000")</f>
        <v>FIP-DOM-000-11304-OS00001-INA-000000</v>
      </c>
      <c r="P5247" s="6" t="str">
        <f>IFERROR(__xludf.DUMMYFUNCTION("""COMPUTED_VALUE"""),"PO Closed")</f>
        <v>PO Closed</v>
      </c>
      <c r="Q5247" s="6" t="str">
        <f>IFERROR(__xludf.DUMMYFUNCTION("""COMPUTED_VALUE"""),"GL2607375")</f>
        <v>GL2607375</v>
      </c>
      <c r="R5247" s="57">
        <f>IFERROR(__xludf.DUMMYFUNCTION("""COMPUTED_VALUE"""),46197.0)</f>
        <v>46197</v>
      </c>
      <c r="S5247" s="57">
        <f>IFERROR(__xludf.DUMMYFUNCTION("""COMPUTED_VALUE"""),46197.0)</f>
        <v>46197</v>
      </c>
      <c r="T5247" s="57">
        <f>IFERROR(__xludf.DUMMYFUNCTION("""COMPUTED_VALUE"""),46262.0)</f>
        <v>46262</v>
      </c>
    </row>
    <row r="5248">
      <c r="A5248" s="6" t="str">
        <f>IFERROR(__xludf.DUMMYFUNCTION("""COMPUTED_VALUE"""),"121704346-1")</f>
        <v>121704346-1</v>
      </c>
      <c r="B5248" s="6" t="str">
        <f>IFERROR(__xludf.DUMMYFUNCTION("""COMPUTED_VALUE"""),"121704346 - APPROVED")</f>
        <v>121704346 - APPROVED</v>
      </c>
      <c r="C5248" s="6">
        <f>IFERROR(__xludf.DUMMYFUNCTION("""COMPUTED_VALUE"""),1.0)</f>
        <v>1</v>
      </c>
      <c r="D5248" s="6" t="str">
        <f>IFERROR(__xludf.DUMMYFUNCTION("""COMPUTED_VALUE"""),"S-60002-00")</f>
        <v>S-60002-00</v>
      </c>
      <c r="E5248" s="6" t="str">
        <f>IFERROR(__xludf.DUMMYFUNCTION("""COMPUTED_VALUE"""),"Jasa Perbaikan dan Pemeliharaan Mesin Utility - Perbaikan Battery Parcount")</f>
        <v>Jasa Perbaikan dan Pemeliharaan Mesin Utility - Perbaikan Battery Parcount</v>
      </c>
      <c r="F5248" s="6">
        <f>IFERROR(__xludf.DUMMYFUNCTION("""COMPUTED_VALUE"""),1.0)</f>
        <v>1</v>
      </c>
      <c r="G5248" s="6" t="str">
        <f>IFERROR(__xludf.DUMMYFUNCTION("""COMPUTED_VALUE"""),"Lot")</f>
        <v>Lot</v>
      </c>
      <c r="H5248" s="6" t="str">
        <f>IFERROR(__xludf.DUMMYFUNCTION("""COMPUTED_VALUE"""),"IDR")</f>
        <v>IDR</v>
      </c>
      <c r="I5248" s="6">
        <f>IFERROR(__xludf.DUMMYFUNCTION("""COMPUTED_VALUE"""),2.1847852E7)</f>
        <v>21847852</v>
      </c>
      <c r="J5248" s="6">
        <f>IFERROR(__xludf.DUMMYFUNCTION("""COMPUTED_VALUE"""),2.1847852E7)</f>
        <v>21847852</v>
      </c>
      <c r="K5248" s="57">
        <f>IFERROR(__xludf.DUMMYFUNCTION("""COMPUTED_VALUE"""),46234.0)</f>
        <v>46234</v>
      </c>
      <c r="L5248" s="6" t="str">
        <f>IFERROR(__xludf.DUMMYFUNCTION("""COMPUTED_VALUE"""),"FIP General")</f>
        <v>FIP General</v>
      </c>
      <c r="M5248" s="6" t="str">
        <f>IFERROR(__xludf.DUMMYFUNCTION("""COMPUTED_VALUE"""),"Mochammad Fadhillah Hakim,")</f>
        <v>Mochammad Fadhillah Hakim,</v>
      </c>
      <c r="N5248" s="6" t="str">
        <f>IFERROR(__xludf.DUMMYFUNCTION("""COMPUTED_VALUE"""),"FIP Engineering")</f>
        <v>FIP Engineering</v>
      </c>
      <c r="O5248" s="6" t="str">
        <f>IFERROR(__xludf.DUMMYFUNCTION("""COMPUTED_VALUE"""),"FIP-DOM-ENG-51508-0000000-INA-000000")</f>
        <v>FIP-DOM-ENG-51508-0000000-INA-000000</v>
      </c>
      <c r="P5248" s="6" t="str">
        <f>IFERROR(__xludf.DUMMYFUNCTION("""COMPUTED_VALUE"""),"PO Closed")</f>
        <v>PO Closed</v>
      </c>
      <c r="Q5248" s="6" t="str">
        <f>IFERROR(__xludf.DUMMYFUNCTION("""COMPUTED_VALUE"""),"GL2607021")</f>
        <v>GL2607021</v>
      </c>
      <c r="R5248" s="57">
        <f>IFERROR(__xludf.DUMMYFUNCTION("""COMPUTED_VALUE"""),46198.0)</f>
        <v>46198</v>
      </c>
      <c r="S5248" s="57">
        <f>IFERROR(__xludf.DUMMYFUNCTION("""COMPUTED_VALUE"""),46198.0)</f>
        <v>46198</v>
      </c>
      <c r="T5248" s="57">
        <f>IFERROR(__xludf.DUMMYFUNCTION("""COMPUTED_VALUE"""),46265.0)</f>
        <v>46265</v>
      </c>
    </row>
    <row r="5249">
      <c r="A5249" s="6" t="str">
        <f>IFERROR(__xludf.DUMMYFUNCTION("""COMPUTED_VALUE"""),"121704357-1")</f>
        <v>121704357-1</v>
      </c>
      <c r="B5249" s="6" t="str">
        <f>IFERROR(__xludf.DUMMYFUNCTION("""COMPUTED_VALUE"""),"121704357 - APPROVED")</f>
        <v>121704357 - APPROVED</v>
      </c>
      <c r="C5249" s="6">
        <f>IFERROR(__xludf.DUMMYFUNCTION("""COMPUTED_VALUE"""),1.0)</f>
        <v>1</v>
      </c>
      <c r="D5249" s="6" t="str">
        <f>IFERROR(__xludf.DUMMYFUNCTION("""COMPUTED_VALUE"""),"O-21473-00")</f>
        <v>O-21473-00</v>
      </c>
      <c r="E5249" s="6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F5249" s="6">
        <f>IFERROR(__xludf.DUMMYFUNCTION("""COMPUTED_VALUE"""),1.0)</f>
        <v>1</v>
      </c>
      <c r="G5249" s="6" t="str">
        <f>IFERROR(__xludf.DUMMYFUNCTION("""COMPUTED_VALUE"""),"Pieces")</f>
        <v>Pieces</v>
      </c>
      <c r="H5249" s="6" t="str">
        <f>IFERROR(__xludf.DUMMYFUNCTION("""COMPUTED_VALUE"""),"IDR")</f>
        <v>IDR</v>
      </c>
      <c r="I5249" s="6">
        <f>IFERROR(__xludf.DUMMYFUNCTION("""COMPUTED_VALUE"""),975000.0)</f>
        <v>975000</v>
      </c>
      <c r="J5249" s="6">
        <f>IFERROR(__xludf.DUMMYFUNCTION("""COMPUTED_VALUE"""),975000.0)</f>
        <v>975000</v>
      </c>
      <c r="K5249" s="57">
        <f>IFERROR(__xludf.DUMMYFUNCTION("""COMPUTED_VALUE"""),46234.0)</f>
        <v>46234</v>
      </c>
      <c r="L5249" s="6" t="str">
        <f>IFERROR(__xludf.DUMMYFUNCTION("""COMPUTED_VALUE"""),"FIP Engineering")</f>
        <v>FIP Engineering</v>
      </c>
      <c r="M5249" s="6" t="str">
        <f>IFERROR(__xludf.DUMMYFUNCTION("""COMPUTED_VALUE"""),"Mochammad Fadhillah Hakim,")</f>
        <v>Mochammad Fadhillah Hakim,</v>
      </c>
      <c r="N5249" s="6" t="str">
        <f>IFERROR(__xludf.DUMMYFUNCTION("""COMPUTED_VALUE"""),"FIP Engineering")</f>
        <v>FIP Engineering</v>
      </c>
      <c r="O5249" s="6" t="str">
        <f>IFERROR(__xludf.DUMMYFUNCTION("""COMPUTED_VALUE"""),"FIP-DOM-000-11304-OS00001-INA-000000")</f>
        <v>FIP-DOM-000-11304-OS00001-INA-000000</v>
      </c>
      <c r="P5249" s="6" t="str">
        <f>IFERROR(__xludf.DUMMYFUNCTION("""COMPUTED_VALUE"""),"PO Open")</f>
        <v>PO Open</v>
      </c>
      <c r="Q5249" s="6" t="str">
        <f>IFERROR(__xludf.DUMMYFUNCTION("""COMPUTED_VALUE"""),"GL2607372")</f>
        <v>GL2607372</v>
      </c>
      <c r="R5249" s="57">
        <f>IFERROR(__xludf.DUMMYFUNCTION("""COMPUTED_VALUE"""),46203.0)</f>
        <v>46203</v>
      </c>
      <c r="S5249" s="57">
        <f>IFERROR(__xludf.DUMMYFUNCTION("""COMPUTED_VALUE"""),46204.0)</f>
        <v>46204</v>
      </c>
      <c r="T5249" s="57">
        <f>IFERROR(__xludf.DUMMYFUNCTION("""COMPUTED_VALUE"""),46265.0)</f>
        <v>46265</v>
      </c>
    </row>
    <row r="5250">
      <c r="A5250" s="6" t="str">
        <f>IFERROR(__xludf.DUMMYFUNCTION("""COMPUTED_VALUE"""),"121704358-1")</f>
        <v>121704358-1</v>
      </c>
      <c r="B5250" s="6" t="str">
        <f>IFERROR(__xludf.DUMMYFUNCTION("""COMPUTED_VALUE"""),"121704358 - APPROVED")</f>
        <v>121704358 - APPROVED</v>
      </c>
      <c r="C5250" s="6">
        <f>IFERROR(__xludf.DUMMYFUNCTION("""COMPUTED_VALUE"""),1.0)</f>
        <v>1</v>
      </c>
      <c r="D5250" s="6" t="str">
        <f>IFERROR(__xludf.DUMMYFUNCTION("""COMPUTED_VALUE"""),"P-20847-00")</f>
        <v>P-20847-00</v>
      </c>
      <c r="E5250" s="6" t="str">
        <f>IFERROR(__xludf.DUMMYFUNCTION("""COMPUTED_VALUE"""),"General - Bearing R4-2RS; EZO; -; 1 pc")</f>
        <v>General - Bearing R4-2RS; EZO; -; 1 pc</v>
      </c>
      <c r="F5250" s="6">
        <f>IFERROR(__xludf.DUMMYFUNCTION("""COMPUTED_VALUE"""),20.0)</f>
        <v>20</v>
      </c>
      <c r="G5250" s="6" t="str">
        <f>IFERROR(__xludf.DUMMYFUNCTION("""COMPUTED_VALUE"""),"Pieces")</f>
        <v>Pieces</v>
      </c>
      <c r="H5250" s="6" t="str">
        <f>IFERROR(__xludf.DUMMYFUNCTION("""COMPUTED_VALUE"""),"IDR")</f>
        <v>IDR</v>
      </c>
      <c r="I5250" s="6">
        <f>IFERROR(__xludf.DUMMYFUNCTION("""COMPUTED_VALUE"""),18500.0)</f>
        <v>18500</v>
      </c>
      <c r="J5250" s="6">
        <f>IFERROR(__xludf.DUMMYFUNCTION("""COMPUTED_VALUE"""),370000.0)</f>
        <v>370000</v>
      </c>
      <c r="K5250" s="57">
        <f>IFERROR(__xludf.DUMMYFUNCTION("""COMPUTED_VALUE"""),46234.0)</f>
        <v>46234</v>
      </c>
      <c r="L5250" s="6" t="str">
        <f>IFERROR(__xludf.DUMMYFUNCTION("""COMPUTED_VALUE"""),"FIP Engineering")</f>
        <v>FIP Engineering</v>
      </c>
      <c r="M5250" s="6" t="str">
        <f>IFERROR(__xludf.DUMMYFUNCTION("""COMPUTED_VALUE"""),"Mochammad Fadhillah Hakim,")</f>
        <v>Mochammad Fadhillah Hakim,</v>
      </c>
      <c r="N5250" s="6" t="str">
        <f>IFERROR(__xludf.DUMMYFUNCTION("""COMPUTED_VALUE"""),"FIP Engineering")</f>
        <v>FIP Engineering</v>
      </c>
      <c r="O5250" s="6" t="str">
        <f>IFERROR(__xludf.DUMMYFUNCTION("""COMPUTED_VALUE"""),"FIP-DOM-000-11304-OS00001-INA-000000")</f>
        <v>FIP-DOM-000-11304-OS00001-INA-000000</v>
      </c>
      <c r="P5250" s="6" t="str">
        <f>IFERROR(__xludf.DUMMYFUNCTION("""COMPUTED_VALUE"""),"PO Closed")</f>
        <v>PO Closed</v>
      </c>
      <c r="Q5250" s="6" t="str">
        <f>IFERROR(__xludf.DUMMYFUNCTION("""COMPUTED_VALUE"""),"GL2607382")</f>
        <v>GL2607382</v>
      </c>
      <c r="R5250" s="57">
        <f>IFERROR(__xludf.DUMMYFUNCTION("""COMPUTED_VALUE"""),46203.0)</f>
        <v>46203</v>
      </c>
      <c r="S5250" s="57">
        <f>IFERROR(__xludf.DUMMYFUNCTION("""COMPUTED_VALUE"""),46204.0)</f>
        <v>46204</v>
      </c>
      <c r="T5250" s="57">
        <f>IFERROR(__xludf.DUMMYFUNCTION("""COMPUTED_VALUE"""),46264.0)</f>
        <v>46264</v>
      </c>
    </row>
    <row r="5251">
      <c r="A5251" s="6" t="str">
        <f>IFERROR(__xludf.DUMMYFUNCTION("""COMPUTED_VALUE"""),"121704359-1")</f>
        <v>121704359-1</v>
      </c>
      <c r="B5251" s="6" t="str">
        <f>IFERROR(__xludf.DUMMYFUNCTION("""COMPUTED_VALUE"""),"121704359 - APPROVED")</f>
        <v>121704359 - APPROVED</v>
      </c>
      <c r="C5251" s="6">
        <f>IFERROR(__xludf.DUMMYFUNCTION("""COMPUTED_VALUE"""),1.0)</f>
        <v>1</v>
      </c>
      <c r="D5251" s="6" t="str">
        <f>IFERROR(__xludf.DUMMYFUNCTION("""COMPUTED_VALUE"""),"S-13096-00")</f>
        <v>S-13096-00</v>
      </c>
      <c r="E5251" s="6" t="str">
        <f>IFERROR(__xludf.DUMMYFUNCTION("""COMPUTED_VALUE"""),"Sodium Hydroxide (NaOH) Flake; Tjiwi; ; 25 kg per zak")</f>
        <v>Sodium Hydroxide (NaOH) Flake; Tjiwi; ; 25 kg per zak</v>
      </c>
      <c r="F5251" s="6">
        <f>IFERROR(__xludf.DUMMYFUNCTION("""COMPUTED_VALUE"""),1.0)</f>
        <v>1</v>
      </c>
      <c r="G5251" s="6" t="str">
        <f>IFERROR(__xludf.DUMMYFUNCTION("""COMPUTED_VALUE"""),"Pack")</f>
        <v>Pack</v>
      </c>
      <c r="H5251" s="6" t="str">
        <f>IFERROR(__xludf.DUMMYFUNCTION("""COMPUTED_VALUE"""),"IDR")</f>
        <v>IDR</v>
      </c>
      <c r="I5251" s="6">
        <f>IFERROR(__xludf.DUMMYFUNCTION("""COMPUTED_VALUE"""),500000.0)</f>
        <v>500000</v>
      </c>
      <c r="J5251" s="6">
        <f>IFERROR(__xludf.DUMMYFUNCTION("""COMPUTED_VALUE"""),500000.0)</f>
        <v>500000</v>
      </c>
      <c r="K5251" s="57">
        <f>IFERROR(__xludf.DUMMYFUNCTION("""COMPUTED_VALUE"""),46234.0)</f>
        <v>46234</v>
      </c>
      <c r="L5251" s="6" t="str">
        <f>IFERROR(__xludf.DUMMYFUNCTION("""COMPUTED_VALUE"""),"FIP General")</f>
        <v>FIP General</v>
      </c>
      <c r="M5251" s="6" t="str">
        <f>IFERROR(__xludf.DUMMYFUNCTION("""COMPUTED_VALUE"""),"Mochammad Fadhillah Hakim,")</f>
        <v>Mochammad Fadhillah Hakim,</v>
      </c>
      <c r="N5251" s="6" t="str">
        <f>IFERROR(__xludf.DUMMYFUNCTION("""COMPUTED_VALUE"""),"FIP Engineering")</f>
        <v>FIP Engineering</v>
      </c>
      <c r="O5251" s="6" t="str">
        <f>IFERROR(__xludf.DUMMYFUNCTION("""COMPUTED_VALUE"""),"FIP-DOM-ENG-51504-0000000-INA-000000")</f>
        <v>FIP-DOM-ENG-51504-0000000-INA-000000</v>
      </c>
      <c r="P5251" s="6" t="str">
        <f>IFERROR(__xludf.DUMMYFUNCTION("""COMPUTED_VALUE"""),"PO Open")</f>
        <v>PO Open</v>
      </c>
      <c r="Q5251" s="6" t="str">
        <f>IFERROR(__xludf.DUMMYFUNCTION("""COMPUTED_VALUE"""),"GL2608040")</f>
        <v>GL2608040</v>
      </c>
      <c r="R5251" s="57">
        <f>IFERROR(__xludf.DUMMYFUNCTION("""COMPUTED_VALUE"""),46203.0)</f>
        <v>46203</v>
      </c>
      <c r="S5251" s="57">
        <f>IFERROR(__xludf.DUMMYFUNCTION("""COMPUTED_VALUE"""),46204.0)</f>
        <v>46204</v>
      </c>
      <c r="T5251" s="57">
        <f>IFERROR(__xludf.DUMMYFUNCTION("""COMPUTED_VALUE"""),46283.0)</f>
        <v>46283</v>
      </c>
    </row>
    <row r="5252">
      <c r="A5252" s="6" t="str">
        <f>IFERROR(__xludf.DUMMYFUNCTION("""COMPUTED_VALUE"""),"121704359-2")</f>
        <v>121704359-2</v>
      </c>
      <c r="B5252" s="6" t="str">
        <f>IFERROR(__xludf.DUMMYFUNCTION("""COMPUTED_VALUE"""),"121704359 - APPROVED")</f>
        <v>121704359 - APPROVED</v>
      </c>
      <c r="C5252" s="6">
        <f>IFERROR(__xludf.DUMMYFUNCTION("""COMPUTED_VALUE"""),2.0)</f>
        <v>2</v>
      </c>
      <c r="D5252" s="6" t="str">
        <f>IFERROR(__xludf.DUMMYFUNCTION("""COMPUTED_VALUE"""),"P-17645-00")</f>
        <v>P-17645-00</v>
      </c>
      <c r="E5252" s="6" t="str">
        <f>IFERROR(__xludf.DUMMYFUNCTION("""COMPUTED_VALUE"""),"Chemical - Sodium Hiphoclorite; No Brand; -; 1 Liter")</f>
        <v>Chemical - Sodium Hiphoclorite; No Brand; -; 1 Liter</v>
      </c>
      <c r="F5252" s="6">
        <f>IFERROR(__xludf.DUMMYFUNCTION("""COMPUTED_VALUE"""),350.0)</f>
        <v>350</v>
      </c>
      <c r="G5252" s="6" t="str">
        <f>IFERROR(__xludf.DUMMYFUNCTION("""COMPUTED_VALUE"""),"Liter")</f>
        <v>Liter</v>
      </c>
      <c r="H5252" s="6" t="str">
        <f>IFERROR(__xludf.DUMMYFUNCTION("""COMPUTED_VALUE"""),"IDR")</f>
        <v>IDR</v>
      </c>
      <c r="I5252" s="6">
        <f>IFERROR(__xludf.DUMMYFUNCTION("""COMPUTED_VALUE"""),6300.0)</f>
        <v>6300</v>
      </c>
      <c r="J5252" s="6">
        <f>IFERROR(__xludf.DUMMYFUNCTION("""COMPUTED_VALUE"""),2205000.0)</f>
        <v>2205000</v>
      </c>
      <c r="K5252" s="57">
        <f>IFERROR(__xludf.DUMMYFUNCTION("""COMPUTED_VALUE"""),46234.0)</f>
        <v>46234</v>
      </c>
      <c r="L5252" s="6" t="str">
        <f>IFERROR(__xludf.DUMMYFUNCTION("""COMPUTED_VALUE"""),"FIP Engineering")</f>
        <v>FIP Engineering</v>
      </c>
      <c r="M5252" s="6" t="str">
        <f>IFERROR(__xludf.DUMMYFUNCTION("""COMPUTED_VALUE"""),"Mochammad Fadhillah Hakim,")</f>
        <v>Mochammad Fadhillah Hakim,</v>
      </c>
      <c r="N5252" s="6" t="str">
        <f>IFERROR(__xludf.DUMMYFUNCTION("""COMPUTED_VALUE"""),"FIP Engineering")</f>
        <v>FIP Engineering</v>
      </c>
      <c r="O5252" s="6" t="str">
        <f>IFERROR(__xludf.DUMMYFUNCTION("""COMPUTED_VALUE"""),"FIP-DOM-000-11304-OS00001-INA-000000")</f>
        <v>FIP-DOM-000-11304-OS00001-INA-000000</v>
      </c>
      <c r="P5252" s="6" t="str">
        <f>IFERROR(__xludf.DUMMYFUNCTION("""COMPUTED_VALUE"""),"PO Closed")</f>
        <v>PO Closed</v>
      </c>
      <c r="Q5252" s="6" t="str">
        <f>IFERROR(__xludf.DUMMYFUNCTION("""COMPUTED_VALUE"""),"GL2607360")</f>
        <v>GL2607360</v>
      </c>
      <c r="R5252" s="57">
        <f>IFERROR(__xludf.DUMMYFUNCTION("""COMPUTED_VALUE"""),46203.0)</f>
        <v>46203</v>
      </c>
      <c r="S5252" s="57">
        <f>IFERROR(__xludf.DUMMYFUNCTION("""COMPUTED_VALUE"""),46204.0)</f>
        <v>46204</v>
      </c>
      <c r="T5252" s="57">
        <f>IFERROR(__xludf.DUMMYFUNCTION("""COMPUTED_VALUE"""),46234.0)</f>
        <v>46234</v>
      </c>
    </row>
    <row r="5253">
      <c r="A5253" s="6" t="str">
        <f>IFERROR(__xludf.DUMMYFUNCTION("""COMPUTED_VALUE"""),"121704359-3")</f>
        <v>121704359-3</v>
      </c>
      <c r="B5253" s="6" t="str">
        <f>IFERROR(__xludf.DUMMYFUNCTION("""COMPUTED_VALUE"""),"121704359 - APPROVED")</f>
        <v>121704359 - APPROVED</v>
      </c>
      <c r="C5253" s="6">
        <f>IFERROR(__xludf.DUMMYFUNCTION("""COMPUTED_VALUE"""),3.0)</f>
        <v>3</v>
      </c>
      <c r="D5253" s="6" t="str">
        <f>IFERROR(__xludf.DUMMYFUNCTION("""COMPUTED_VALUE"""),"P-17645-00")</f>
        <v>P-17645-00</v>
      </c>
      <c r="E5253" s="6" t="str">
        <f>IFERROR(__xludf.DUMMYFUNCTION("""COMPUTED_VALUE"""),"Chemical - Sodium Hiphoclorite; No Brand; -; 1 Liter")</f>
        <v>Chemical - Sodium Hiphoclorite; No Brand; -; 1 Liter</v>
      </c>
      <c r="F5253" s="6">
        <f>IFERROR(__xludf.DUMMYFUNCTION("""COMPUTED_VALUE"""),350.0)</f>
        <v>350</v>
      </c>
      <c r="G5253" s="6" t="str">
        <f>IFERROR(__xludf.DUMMYFUNCTION("""COMPUTED_VALUE"""),"Liter")</f>
        <v>Liter</v>
      </c>
      <c r="H5253" s="6" t="str">
        <f>IFERROR(__xludf.DUMMYFUNCTION("""COMPUTED_VALUE"""),"IDR")</f>
        <v>IDR</v>
      </c>
      <c r="I5253" s="6">
        <f>IFERROR(__xludf.DUMMYFUNCTION("""COMPUTED_VALUE"""),6300.0)</f>
        <v>6300</v>
      </c>
      <c r="J5253" s="6">
        <f>IFERROR(__xludf.DUMMYFUNCTION("""COMPUTED_VALUE"""),2205000.0)</f>
        <v>2205000</v>
      </c>
      <c r="K5253" s="57">
        <f>IFERROR(__xludf.DUMMYFUNCTION("""COMPUTED_VALUE"""),46325.0)</f>
        <v>46325</v>
      </c>
      <c r="L5253" s="6" t="str">
        <f>IFERROR(__xludf.DUMMYFUNCTION("""COMPUTED_VALUE"""),"FIP Engineering")</f>
        <v>FIP Engineering</v>
      </c>
      <c r="M5253" s="6" t="str">
        <f>IFERROR(__xludf.DUMMYFUNCTION("""COMPUTED_VALUE"""),"Mochammad Fadhillah Hakim,")</f>
        <v>Mochammad Fadhillah Hakim,</v>
      </c>
      <c r="N5253" s="6" t="str">
        <f>IFERROR(__xludf.DUMMYFUNCTION("""COMPUTED_VALUE"""),"FIP Engineering")</f>
        <v>FIP Engineering</v>
      </c>
      <c r="O5253" s="6" t="str">
        <f>IFERROR(__xludf.DUMMYFUNCTION("""COMPUTED_VALUE"""),"FIP-DOM-000-11304-OS00001-INA-000000")</f>
        <v>FIP-DOM-000-11304-OS00001-INA-000000</v>
      </c>
      <c r="P5253" s="6" t="str">
        <f>IFERROR(__xludf.DUMMYFUNCTION("""COMPUTED_VALUE"""),"PO Open")</f>
        <v>PO Open</v>
      </c>
      <c r="Q5253" s="6" t="str">
        <f>IFERROR(__xludf.DUMMYFUNCTION("""COMPUTED_VALUE"""),"GL2607360")</f>
        <v>GL2607360</v>
      </c>
      <c r="R5253" s="57">
        <f>IFERROR(__xludf.DUMMYFUNCTION("""COMPUTED_VALUE"""),46203.0)</f>
        <v>46203</v>
      </c>
      <c r="S5253" s="57">
        <f>IFERROR(__xludf.DUMMYFUNCTION("""COMPUTED_VALUE"""),46204.0)</f>
        <v>46204</v>
      </c>
      <c r="T5253" s="57">
        <f>IFERROR(__xludf.DUMMYFUNCTION("""COMPUTED_VALUE"""),46325.0)</f>
        <v>46325</v>
      </c>
    </row>
    <row r="5254">
      <c r="A5254" s="6" t="str">
        <f>IFERROR(__xludf.DUMMYFUNCTION("""COMPUTED_VALUE"""),"121704359-4")</f>
        <v>121704359-4</v>
      </c>
      <c r="B5254" s="6" t="str">
        <f>IFERROR(__xludf.DUMMYFUNCTION("""COMPUTED_VALUE"""),"121704359 - APPROVED")</f>
        <v>121704359 - APPROVED</v>
      </c>
      <c r="C5254" s="6">
        <f>IFERROR(__xludf.DUMMYFUNCTION("""COMPUTED_VALUE"""),4.0)</f>
        <v>4</v>
      </c>
      <c r="D5254" s="6" t="str">
        <f>IFERROR(__xludf.DUMMYFUNCTION("""COMPUTED_VALUE"""),"P-17645-00")</f>
        <v>P-17645-00</v>
      </c>
      <c r="E5254" s="6" t="str">
        <f>IFERROR(__xludf.DUMMYFUNCTION("""COMPUTED_VALUE"""),"Chemical - Sodium Hiphoclorite; No Brand; -; 1 Liter")</f>
        <v>Chemical - Sodium Hiphoclorite; No Brand; -; 1 Liter</v>
      </c>
      <c r="F5254" s="6">
        <f>IFERROR(__xludf.DUMMYFUNCTION("""COMPUTED_VALUE"""),350.0)</f>
        <v>350</v>
      </c>
      <c r="G5254" s="6" t="str">
        <f>IFERROR(__xludf.DUMMYFUNCTION("""COMPUTED_VALUE"""),"Liter")</f>
        <v>Liter</v>
      </c>
      <c r="H5254" s="6" t="str">
        <f>IFERROR(__xludf.DUMMYFUNCTION("""COMPUTED_VALUE"""),"IDR")</f>
        <v>IDR</v>
      </c>
      <c r="I5254" s="6">
        <f>IFERROR(__xludf.DUMMYFUNCTION("""COMPUTED_VALUE"""),6300.0)</f>
        <v>6300</v>
      </c>
      <c r="J5254" s="6">
        <f>IFERROR(__xludf.DUMMYFUNCTION("""COMPUTED_VALUE"""),2205000.0)</f>
        <v>2205000</v>
      </c>
      <c r="K5254" s="57">
        <f>IFERROR(__xludf.DUMMYFUNCTION("""COMPUTED_VALUE"""),46416.0)</f>
        <v>46416</v>
      </c>
      <c r="L5254" s="6" t="str">
        <f>IFERROR(__xludf.DUMMYFUNCTION("""COMPUTED_VALUE"""),"FIP Engineering")</f>
        <v>FIP Engineering</v>
      </c>
      <c r="M5254" s="6" t="str">
        <f>IFERROR(__xludf.DUMMYFUNCTION("""COMPUTED_VALUE"""),"Mochammad Fadhillah Hakim,")</f>
        <v>Mochammad Fadhillah Hakim,</v>
      </c>
      <c r="N5254" s="6" t="str">
        <f>IFERROR(__xludf.DUMMYFUNCTION("""COMPUTED_VALUE"""),"FIP Engineering")</f>
        <v>FIP Engineering</v>
      </c>
      <c r="O5254" s="6" t="str">
        <f>IFERROR(__xludf.DUMMYFUNCTION("""COMPUTED_VALUE"""),"FIP-DOM-000-11304-OS00001-INA-000000")</f>
        <v>FIP-DOM-000-11304-OS00001-INA-000000</v>
      </c>
      <c r="P5254" s="6" t="str">
        <f>IFERROR(__xludf.DUMMYFUNCTION("""COMPUTED_VALUE"""),"PO Open")</f>
        <v>PO Open</v>
      </c>
      <c r="Q5254" s="6" t="str">
        <f>IFERROR(__xludf.DUMMYFUNCTION("""COMPUTED_VALUE"""),"GL2607360")</f>
        <v>GL2607360</v>
      </c>
      <c r="R5254" s="57">
        <f>IFERROR(__xludf.DUMMYFUNCTION("""COMPUTED_VALUE"""),46203.0)</f>
        <v>46203</v>
      </c>
      <c r="S5254" s="57">
        <f>IFERROR(__xludf.DUMMYFUNCTION("""COMPUTED_VALUE"""),46204.0)</f>
        <v>46204</v>
      </c>
      <c r="T5254" s="57">
        <f>IFERROR(__xludf.DUMMYFUNCTION("""COMPUTED_VALUE"""),46416.0)</f>
        <v>46416</v>
      </c>
    </row>
    <row r="5255">
      <c r="A5255" s="6" t="str">
        <f>IFERROR(__xludf.DUMMYFUNCTION("""COMPUTED_VALUE"""),"121704359-5")</f>
        <v>121704359-5</v>
      </c>
      <c r="B5255" s="6" t="str">
        <f>IFERROR(__xludf.DUMMYFUNCTION("""COMPUTED_VALUE"""),"121704359 - APPROVED")</f>
        <v>121704359 - APPROVED</v>
      </c>
      <c r="C5255" s="6">
        <f>IFERROR(__xludf.DUMMYFUNCTION("""COMPUTED_VALUE"""),5.0)</f>
        <v>5</v>
      </c>
      <c r="D5255" s="6" t="str">
        <f>IFERROR(__xludf.DUMMYFUNCTION("""COMPUTED_VALUE"""),"P-17645-00")</f>
        <v>P-17645-00</v>
      </c>
      <c r="E5255" s="6" t="str">
        <f>IFERROR(__xludf.DUMMYFUNCTION("""COMPUTED_VALUE"""),"Chemical - Sodium Hiphoclorite; No Brand; -; 1 Liter")</f>
        <v>Chemical - Sodium Hiphoclorite; No Brand; -; 1 Liter</v>
      </c>
      <c r="F5255" s="6">
        <f>IFERROR(__xludf.DUMMYFUNCTION("""COMPUTED_VALUE"""),350.0)</f>
        <v>350</v>
      </c>
      <c r="G5255" s="6" t="str">
        <f>IFERROR(__xludf.DUMMYFUNCTION("""COMPUTED_VALUE"""),"Liter")</f>
        <v>Liter</v>
      </c>
      <c r="H5255" s="6" t="str">
        <f>IFERROR(__xludf.DUMMYFUNCTION("""COMPUTED_VALUE"""),"IDR")</f>
        <v>IDR</v>
      </c>
      <c r="I5255" s="6">
        <f>IFERROR(__xludf.DUMMYFUNCTION("""COMPUTED_VALUE"""),6300.0)</f>
        <v>6300</v>
      </c>
      <c r="J5255" s="6">
        <f>IFERROR(__xludf.DUMMYFUNCTION("""COMPUTED_VALUE"""),2205000.0)</f>
        <v>2205000</v>
      </c>
      <c r="K5255" s="57">
        <f>IFERROR(__xludf.DUMMYFUNCTION("""COMPUTED_VALUE"""),46507.0)</f>
        <v>46507</v>
      </c>
      <c r="L5255" s="6" t="str">
        <f>IFERROR(__xludf.DUMMYFUNCTION("""COMPUTED_VALUE"""),"FIP Engineering")</f>
        <v>FIP Engineering</v>
      </c>
      <c r="M5255" s="6" t="str">
        <f>IFERROR(__xludf.DUMMYFUNCTION("""COMPUTED_VALUE"""),"Mochammad Fadhillah Hakim,")</f>
        <v>Mochammad Fadhillah Hakim,</v>
      </c>
      <c r="N5255" s="6" t="str">
        <f>IFERROR(__xludf.DUMMYFUNCTION("""COMPUTED_VALUE"""),"FIP Engineering")</f>
        <v>FIP Engineering</v>
      </c>
      <c r="O5255" s="6" t="str">
        <f>IFERROR(__xludf.DUMMYFUNCTION("""COMPUTED_VALUE"""),"FIP-DOM-000-11304-OS00001-INA-000000")</f>
        <v>FIP-DOM-000-11304-OS00001-INA-000000</v>
      </c>
      <c r="P5255" s="6" t="str">
        <f>IFERROR(__xludf.DUMMYFUNCTION("""COMPUTED_VALUE"""),"PO Open")</f>
        <v>PO Open</v>
      </c>
      <c r="Q5255" s="6" t="str">
        <f>IFERROR(__xludf.DUMMYFUNCTION("""COMPUTED_VALUE"""),"GL2607360")</f>
        <v>GL2607360</v>
      </c>
      <c r="R5255" s="57">
        <f>IFERROR(__xludf.DUMMYFUNCTION("""COMPUTED_VALUE"""),46203.0)</f>
        <v>46203</v>
      </c>
      <c r="S5255" s="57">
        <f>IFERROR(__xludf.DUMMYFUNCTION("""COMPUTED_VALUE"""),46204.0)</f>
        <v>46204</v>
      </c>
      <c r="T5255" s="57">
        <f>IFERROR(__xludf.DUMMYFUNCTION("""COMPUTED_VALUE"""),46507.0)</f>
        <v>46507</v>
      </c>
    </row>
    <row r="5256">
      <c r="A5256" s="6" t="str">
        <f>IFERROR(__xludf.DUMMYFUNCTION("""COMPUTED_VALUE"""),"121704359-6")</f>
        <v>121704359-6</v>
      </c>
      <c r="B5256" s="6" t="str">
        <f>IFERROR(__xludf.DUMMYFUNCTION("""COMPUTED_VALUE"""),"121704359 - APPROVED")</f>
        <v>121704359 - APPROVED</v>
      </c>
      <c r="C5256" s="6">
        <f>IFERROR(__xludf.DUMMYFUNCTION("""COMPUTED_VALUE"""),6.0)</f>
        <v>6</v>
      </c>
      <c r="D5256" s="6" t="str">
        <f>IFERROR(__xludf.DUMMYFUNCTION("""COMPUTED_VALUE"""),"P-12830-00")</f>
        <v>P-12830-00</v>
      </c>
      <c r="E5256" s="6" t="str">
        <f>IFERROR(__xludf.DUMMYFUNCTION("""COMPUTED_VALUE"""),"Sodium metabisulfit")</f>
        <v>Sodium metabisulfit</v>
      </c>
      <c r="F5256" s="6">
        <f>IFERROR(__xludf.DUMMYFUNCTION("""COMPUTED_VALUE"""),3.0)</f>
        <v>3</v>
      </c>
      <c r="G5256" s="6" t="str">
        <f>IFERROR(__xludf.DUMMYFUNCTION("""COMPUTED_VALUE"""),"Pieces")</f>
        <v>Pieces</v>
      </c>
      <c r="H5256" s="6" t="str">
        <f>IFERROR(__xludf.DUMMYFUNCTION("""COMPUTED_VALUE"""),"IDR")</f>
        <v>IDR</v>
      </c>
      <c r="I5256" s="6">
        <f>IFERROR(__xludf.DUMMYFUNCTION("""COMPUTED_VALUE"""),550000.0)</f>
        <v>550000</v>
      </c>
      <c r="J5256" s="6">
        <f>IFERROR(__xludf.DUMMYFUNCTION("""COMPUTED_VALUE"""),1650000.0)</f>
        <v>1650000</v>
      </c>
      <c r="K5256" s="57">
        <f>IFERROR(__xludf.DUMMYFUNCTION("""COMPUTED_VALUE"""),46388.0)</f>
        <v>46388</v>
      </c>
      <c r="L5256" s="6" t="str">
        <f>IFERROR(__xludf.DUMMYFUNCTION("""COMPUTED_VALUE"""),"FIP Engineering")</f>
        <v>FIP Engineering</v>
      </c>
      <c r="M5256" s="6" t="str">
        <f>IFERROR(__xludf.DUMMYFUNCTION("""COMPUTED_VALUE"""),"Mochammad Fadhillah Hakim,")</f>
        <v>Mochammad Fadhillah Hakim,</v>
      </c>
      <c r="N5256" s="6" t="str">
        <f>IFERROR(__xludf.DUMMYFUNCTION("""COMPUTED_VALUE"""),"FIP Engineering")</f>
        <v>FIP Engineering</v>
      </c>
      <c r="O5256" s="6" t="str">
        <f>IFERROR(__xludf.DUMMYFUNCTION("""COMPUTED_VALUE"""),"FIP-DOM-000-11304-OS00001-INA-000000")</f>
        <v>FIP-DOM-000-11304-OS00001-INA-000000</v>
      </c>
      <c r="P5256" s="6" t="str">
        <f>IFERROR(__xludf.DUMMYFUNCTION("""COMPUTED_VALUE"""),"PO Closed")</f>
        <v>PO Closed</v>
      </c>
      <c r="Q5256" s="6" t="str">
        <f>IFERROR(__xludf.DUMMYFUNCTION("""COMPUTED_VALUE"""),"GL2607027")</f>
        <v>GL2607027</v>
      </c>
      <c r="R5256" s="57">
        <f>IFERROR(__xludf.DUMMYFUNCTION("""COMPUTED_VALUE"""),46203.0)</f>
        <v>46203</v>
      </c>
      <c r="S5256" s="57">
        <f>IFERROR(__xludf.DUMMYFUNCTION("""COMPUTED_VALUE"""),46204.0)</f>
        <v>46204</v>
      </c>
      <c r="T5256" s="57">
        <f>IFERROR(__xludf.DUMMYFUNCTION("""COMPUTED_VALUE"""),46241.0)</f>
        <v>46241</v>
      </c>
    </row>
    <row r="5257">
      <c r="A5257" s="6" t="str">
        <f>IFERROR(__xludf.DUMMYFUNCTION("""COMPUTED_VALUE"""),"121704359-7")</f>
        <v>121704359-7</v>
      </c>
      <c r="B5257" s="6" t="str">
        <f>IFERROR(__xludf.DUMMYFUNCTION("""COMPUTED_VALUE"""),"121704359 - APPROVED")</f>
        <v>121704359 - APPROVED</v>
      </c>
      <c r="C5257" s="6">
        <f>IFERROR(__xludf.DUMMYFUNCTION("""COMPUTED_VALUE"""),7.0)</f>
        <v>7</v>
      </c>
      <c r="D5257" s="6" t="str">
        <f>IFERROR(__xludf.DUMMYFUNCTION("""COMPUTED_VALUE"""),"P-12830-00")</f>
        <v>P-12830-00</v>
      </c>
      <c r="E5257" s="6" t="str">
        <f>IFERROR(__xludf.DUMMYFUNCTION("""COMPUTED_VALUE"""),"Sodium metabisulfit")</f>
        <v>Sodium metabisulfit</v>
      </c>
      <c r="F5257" s="6">
        <f>IFERROR(__xludf.DUMMYFUNCTION("""COMPUTED_VALUE"""),3.0)</f>
        <v>3</v>
      </c>
      <c r="G5257" s="6" t="str">
        <f>IFERROR(__xludf.DUMMYFUNCTION("""COMPUTED_VALUE"""),"Pieces")</f>
        <v>Pieces</v>
      </c>
      <c r="H5257" s="6" t="str">
        <f>IFERROR(__xludf.DUMMYFUNCTION("""COMPUTED_VALUE"""),"IDR")</f>
        <v>IDR</v>
      </c>
      <c r="I5257" s="6">
        <f>IFERROR(__xludf.DUMMYFUNCTION("""COMPUTED_VALUE"""),550000.0)</f>
        <v>550000</v>
      </c>
      <c r="J5257" s="6">
        <f>IFERROR(__xludf.DUMMYFUNCTION("""COMPUTED_VALUE"""),1650000.0)</f>
        <v>1650000</v>
      </c>
      <c r="K5257" s="57">
        <f>IFERROR(__xludf.DUMMYFUNCTION("""COMPUTED_VALUE"""),46205.0)</f>
        <v>46205</v>
      </c>
      <c r="L5257" s="6" t="str">
        <f>IFERROR(__xludf.DUMMYFUNCTION("""COMPUTED_VALUE"""),"FIP Engineering")</f>
        <v>FIP Engineering</v>
      </c>
      <c r="M5257" s="6" t="str">
        <f>IFERROR(__xludf.DUMMYFUNCTION("""COMPUTED_VALUE"""),"Mochammad Fadhillah Hakim,")</f>
        <v>Mochammad Fadhillah Hakim,</v>
      </c>
      <c r="N5257" s="6" t="str">
        <f>IFERROR(__xludf.DUMMYFUNCTION("""COMPUTED_VALUE"""),"FIP Engineering")</f>
        <v>FIP Engineering</v>
      </c>
      <c r="O5257" s="6" t="str">
        <f>IFERROR(__xludf.DUMMYFUNCTION("""COMPUTED_VALUE"""),"FIP-DOM-000-11304-OS00001-INA-000000")</f>
        <v>FIP-DOM-000-11304-OS00001-INA-000000</v>
      </c>
      <c r="P5257" s="6" t="str">
        <f>IFERROR(__xludf.DUMMYFUNCTION("""COMPUTED_VALUE"""),"PO Open")</f>
        <v>PO Open</v>
      </c>
      <c r="Q5257" s="6" t="str">
        <f>IFERROR(__xludf.DUMMYFUNCTION("""COMPUTED_VALUE"""),"GL2608019")</f>
        <v>GL2608019</v>
      </c>
      <c r="R5257" s="57">
        <f>IFERROR(__xludf.DUMMYFUNCTION("""COMPUTED_VALUE"""),46203.0)</f>
        <v>46203</v>
      </c>
      <c r="S5257" s="57">
        <f>IFERROR(__xludf.DUMMYFUNCTION("""COMPUTED_VALUE"""),46204.0)</f>
        <v>46204</v>
      </c>
      <c r="T5257" s="57">
        <f>IFERROR(__xludf.DUMMYFUNCTION("""COMPUTED_VALUE"""),46295.0)</f>
        <v>46295</v>
      </c>
    </row>
    <row r="5258">
      <c r="A5258" s="6" t="str">
        <f>IFERROR(__xludf.DUMMYFUNCTION("""COMPUTED_VALUE"""),"121704360-1")</f>
        <v>121704360-1</v>
      </c>
      <c r="B5258" s="6" t="str">
        <f>IFERROR(__xludf.DUMMYFUNCTION("""COMPUTED_VALUE"""),"121704360 - APPROVED")</f>
        <v>121704360 - APPROVED</v>
      </c>
      <c r="C5258" s="6">
        <f>IFERROR(__xludf.DUMMYFUNCTION("""COMPUTED_VALUE"""),1.0)</f>
        <v>1</v>
      </c>
      <c r="D5258" s="6" t="str">
        <f>IFERROR(__xludf.DUMMYFUNCTION("""COMPUTED_VALUE"""),"P-14244-00")</f>
        <v>P-14244-00</v>
      </c>
      <c r="E5258" s="6" t="str">
        <f>IFERROR(__xludf.DUMMYFUNCTION("""COMPUTED_VALUE"""),"General - UV Lamp SD55-320W; Hanovia; 130071-0320-C; 1 pc")</f>
        <v>General - UV Lamp SD55-320W; Hanovia; 130071-0320-C; 1 pc</v>
      </c>
      <c r="F5258" s="6">
        <f>IFERROR(__xludf.DUMMYFUNCTION("""COMPUTED_VALUE"""),2.0)</f>
        <v>2</v>
      </c>
      <c r="G5258" s="6" t="str">
        <f>IFERROR(__xludf.DUMMYFUNCTION("""COMPUTED_VALUE"""),"Pieces")</f>
        <v>Pieces</v>
      </c>
      <c r="H5258" s="6" t="str">
        <f>IFERROR(__xludf.DUMMYFUNCTION("""COMPUTED_VALUE"""),"IDR")</f>
        <v>IDR</v>
      </c>
      <c r="I5258" s="6">
        <f>IFERROR(__xludf.DUMMYFUNCTION("""COMPUTED_VALUE"""),2.4E7)</f>
        <v>24000000</v>
      </c>
      <c r="J5258" s="6">
        <f>IFERROR(__xludf.DUMMYFUNCTION("""COMPUTED_VALUE"""),4.8E7)</f>
        <v>48000000</v>
      </c>
      <c r="K5258" s="57">
        <f>IFERROR(__xludf.DUMMYFUNCTION("""COMPUTED_VALUE"""),46290.0)</f>
        <v>46290</v>
      </c>
      <c r="L5258" s="6" t="str">
        <f>IFERROR(__xludf.DUMMYFUNCTION("""COMPUTED_VALUE"""),"FIP Engineering")</f>
        <v>FIP Engineering</v>
      </c>
      <c r="M5258" s="6" t="str">
        <f>IFERROR(__xludf.DUMMYFUNCTION("""COMPUTED_VALUE"""),"Mochammad Fadhillah Hakim,")</f>
        <v>Mochammad Fadhillah Hakim,</v>
      </c>
      <c r="N5258" s="6" t="str">
        <f>IFERROR(__xludf.DUMMYFUNCTION("""COMPUTED_VALUE"""),"FIP Engineering")</f>
        <v>FIP Engineering</v>
      </c>
      <c r="O5258" s="6" t="str">
        <f>IFERROR(__xludf.DUMMYFUNCTION("""COMPUTED_VALUE"""),"FIP-DOM-000-11304-OS00001-INA-000000")</f>
        <v>FIP-DOM-000-11304-OS00001-INA-000000</v>
      </c>
      <c r="P5258" s="6" t="str">
        <f>IFERROR(__xludf.DUMMYFUNCTION("""COMPUTED_VALUE"""),"PO Open")</f>
        <v>PO Open</v>
      </c>
      <c r="Q5258" s="6" t="str">
        <f>IFERROR(__xludf.DUMMYFUNCTION("""COMPUTED_VALUE"""),"GL2608046")</f>
        <v>GL2608046</v>
      </c>
      <c r="R5258" s="57">
        <f>IFERROR(__xludf.DUMMYFUNCTION("""COMPUTED_VALUE"""),46203.0)</f>
        <v>46203</v>
      </c>
      <c r="S5258" s="57">
        <f>IFERROR(__xludf.DUMMYFUNCTION("""COMPUTED_VALUE"""),46244.0)</f>
        <v>46244</v>
      </c>
      <c r="T5258" s="57">
        <f>IFERROR(__xludf.DUMMYFUNCTION("""COMPUTED_VALUE"""),46336.0)</f>
        <v>46336</v>
      </c>
    </row>
    <row r="5259">
      <c r="A5259" s="6" t="str">
        <f>IFERROR(__xludf.DUMMYFUNCTION("""COMPUTED_VALUE"""),"121704361-1")</f>
        <v>121704361-1</v>
      </c>
      <c r="B5259" s="6" t="str">
        <f>IFERROR(__xludf.DUMMYFUNCTION("""COMPUTED_VALUE"""),"121704361 - APPROVED")</f>
        <v>121704361 - APPROVED</v>
      </c>
      <c r="C5259" s="6">
        <f>IFERROR(__xludf.DUMMYFUNCTION("""COMPUTED_VALUE"""),1.0)</f>
        <v>1</v>
      </c>
      <c r="D5259" s="6" t="str">
        <f>IFERROR(__xludf.DUMMYFUNCTION("""COMPUTED_VALUE"""),"O-20626-00")</f>
        <v>O-20626-00</v>
      </c>
      <c r="E5259" s="6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F5259" s="6">
        <f>IFERROR(__xludf.DUMMYFUNCTION("""COMPUTED_VALUE"""),2.0)</f>
        <v>2</v>
      </c>
      <c r="G5259" s="6" t="str">
        <f>IFERROR(__xludf.DUMMYFUNCTION("""COMPUTED_VALUE"""),"Pieces")</f>
        <v>Pieces</v>
      </c>
      <c r="H5259" s="6" t="str">
        <f>IFERROR(__xludf.DUMMYFUNCTION("""COMPUTED_VALUE"""),"IDR")</f>
        <v>IDR</v>
      </c>
      <c r="I5259" s="6">
        <f>IFERROR(__xludf.DUMMYFUNCTION("""COMPUTED_VALUE"""),2700000.0)</f>
        <v>2700000</v>
      </c>
      <c r="J5259" s="6">
        <f>IFERROR(__xludf.DUMMYFUNCTION("""COMPUTED_VALUE"""),5400000.0)</f>
        <v>5400000</v>
      </c>
      <c r="K5259" s="57">
        <f>IFERROR(__xludf.DUMMYFUNCTION("""COMPUTED_VALUE"""),46262.0)</f>
        <v>46262</v>
      </c>
      <c r="L5259" s="6" t="str">
        <f>IFERROR(__xludf.DUMMYFUNCTION("""COMPUTED_VALUE"""),"FIP Engineering")</f>
        <v>FIP Engineering</v>
      </c>
      <c r="M5259" s="6" t="str">
        <f>IFERROR(__xludf.DUMMYFUNCTION("""COMPUTED_VALUE"""),"Mochammad Fadhillah Hakim,")</f>
        <v>Mochammad Fadhillah Hakim,</v>
      </c>
      <c r="N5259" s="6" t="str">
        <f>IFERROR(__xludf.DUMMYFUNCTION("""COMPUTED_VALUE"""),"FIP Engineering")</f>
        <v>FIP Engineering</v>
      </c>
      <c r="O5259" s="6" t="str">
        <f>IFERROR(__xludf.DUMMYFUNCTION("""COMPUTED_VALUE"""),"FIP-DOM-000-11304-OS00001-INA-000000")</f>
        <v>FIP-DOM-000-11304-OS00001-INA-000000</v>
      </c>
      <c r="P5259" s="6" t="str">
        <f>IFERROR(__xludf.DUMMYFUNCTION("""COMPUTED_VALUE"""),"PO Closed")</f>
        <v>PO Closed</v>
      </c>
      <c r="Q5259" s="6" t="str">
        <f>IFERROR(__xludf.DUMMYFUNCTION("""COMPUTED_VALUE"""),"GL2607375")</f>
        <v>GL2607375</v>
      </c>
      <c r="R5259" s="57">
        <f>IFERROR(__xludf.DUMMYFUNCTION("""COMPUTED_VALUE"""),46203.0)</f>
        <v>46203</v>
      </c>
      <c r="S5259" s="57">
        <f>IFERROR(__xludf.DUMMYFUNCTION("""COMPUTED_VALUE"""),46205.0)</f>
        <v>46205</v>
      </c>
      <c r="T5259" s="57">
        <f>IFERROR(__xludf.DUMMYFUNCTION("""COMPUTED_VALUE"""),46262.0)</f>
        <v>46262</v>
      </c>
    </row>
    <row r="5260">
      <c r="A5260" s="6" t="str">
        <f>IFERROR(__xludf.DUMMYFUNCTION("""COMPUTED_VALUE"""),"121704362-1")</f>
        <v>121704362-1</v>
      </c>
      <c r="B5260" s="6" t="str">
        <f>IFERROR(__xludf.DUMMYFUNCTION("""COMPUTED_VALUE"""),"121704362 - APPROVED")</f>
        <v>121704362 - APPROVED</v>
      </c>
      <c r="C5260" s="6">
        <f>IFERROR(__xludf.DUMMYFUNCTION("""COMPUTED_VALUE"""),1.0)</f>
        <v>1</v>
      </c>
      <c r="D5260" s="6" t="str">
        <f>IFERROR(__xludf.DUMMYFUNCTION("""COMPUTED_VALUE"""),"Q-70040-00")</f>
        <v>Q-70040-00</v>
      </c>
      <c r="E5260" s="6" t="str">
        <f>IFERROR(__xludf.DUMMYFUNCTION("""COMPUTED_VALUE"""),"Tang Potong ukuran 6 inch, Merk : Tekiro; ; ;")</f>
        <v>Tang Potong ukuran 6 inch, Merk : Tekiro; ; ;</v>
      </c>
      <c r="F5260" s="6">
        <f>IFERROR(__xludf.DUMMYFUNCTION("""COMPUTED_VALUE"""),2.0)</f>
        <v>2</v>
      </c>
      <c r="G5260" s="6" t="str">
        <f>IFERROR(__xludf.DUMMYFUNCTION("""COMPUTED_VALUE"""),"Pieces")</f>
        <v>Pieces</v>
      </c>
      <c r="H5260" s="6" t="str">
        <f>IFERROR(__xludf.DUMMYFUNCTION("""COMPUTED_VALUE"""),"IDR")</f>
        <v>IDR</v>
      </c>
      <c r="I5260" s="6">
        <f>IFERROR(__xludf.DUMMYFUNCTION("""COMPUTED_VALUE"""),65000.0)</f>
        <v>65000</v>
      </c>
      <c r="J5260" s="6">
        <f>IFERROR(__xludf.DUMMYFUNCTION("""COMPUTED_VALUE"""),130000.0)</f>
        <v>130000</v>
      </c>
      <c r="K5260" s="57">
        <f>IFERROR(__xludf.DUMMYFUNCTION("""COMPUTED_VALUE"""),46234.0)</f>
        <v>46234</v>
      </c>
      <c r="L5260" s="6" t="str">
        <f>IFERROR(__xludf.DUMMYFUNCTION("""COMPUTED_VALUE"""),"FIP General")</f>
        <v>FIP General</v>
      </c>
      <c r="M5260" s="6" t="str">
        <f>IFERROR(__xludf.DUMMYFUNCTION("""COMPUTED_VALUE"""),"Mochammad Fadhillah Hakim,")</f>
        <v>Mochammad Fadhillah Hakim,</v>
      </c>
      <c r="N5260" s="6" t="str">
        <f>IFERROR(__xludf.DUMMYFUNCTION("""COMPUTED_VALUE"""),"FIP Engineering")</f>
        <v>FIP Engineering</v>
      </c>
      <c r="O5260" s="6" t="str">
        <f>IFERROR(__xludf.DUMMYFUNCTION("""COMPUTED_VALUE"""),"FIP-DOM-ENG-51404-0000000-INA-000000")</f>
        <v>FIP-DOM-ENG-51404-0000000-INA-000000</v>
      </c>
      <c r="P5260" s="6" t="str">
        <f>IFERROR(__xludf.DUMMYFUNCTION("""COMPUTED_VALUE"""),"PO Open")</f>
        <v>PO Open</v>
      </c>
      <c r="Q5260" s="6" t="str">
        <f>IFERROR(__xludf.DUMMYFUNCTION("""COMPUTED_VALUE"""),"GL2609003")</f>
        <v>GL2609003</v>
      </c>
      <c r="R5260" s="57">
        <f>IFERROR(__xludf.DUMMYFUNCTION("""COMPUTED_VALUE"""),46203.0)</f>
        <v>46203</v>
      </c>
      <c r="S5260" s="57">
        <f>IFERROR(__xludf.DUMMYFUNCTION("""COMPUTED_VALUE"""),46204.0)</f>
        <v>46204</v>
      </c>
      <c r="T5260" s="57">
        <f>IFERROR(__xludf.DUMMYFUNCTION("""COMPUTED_VALUE"""),46286.0)</f>
        <v>46286</v>
      </c>
    </row>
    <row r="5261">
      <c r="A5261" s="6" t="str">
        <f>IFERROR(__xludf.DUMMYFUNCTION("""COMPUTED_VALUE"""),"121704363-1")</f>
        <v>121704363-1</v>
      </c>
      <c r="B5261" s="6" t="str">
        <f>IFERROR(__xludf.DUMMYFUNCTION("""COMPUTED_VALUE"""),"121704363 - APPROVED")</f>
        <v>121704363 - APPROVED</v>
      </c>
      <c r="C5261" s="6">
        <f>IFERROR(__xludf.DUMMYFUNCTION("""COMPUTED_VALUE"""),1.0)</f>
        <v>1</v>
      </c>
      <c r="D5261" s="6" t="str">
        <f>IFERROR(__xludf.DUMMYFUNCTION("""COMPUTED_VALUE"""),"O-12868-00")</f>
        <v>O-12868-00</v>
      </c>
      <c r="E5261" s="6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F5261" s="6">
        <f>IFERROR(__xludf.DUMMYFUNCTION("""COMPUTED_VALUE"""),2.0)</f>
        <v>2</v>
      </c>
      <c r="G5261" s="6" t="str">
        <f>IFERROR(__xludf.DUMMYFUNCTION("""COMPUTED_VALUE"""),"Pieces")</f>
        <v>Pieces</v>
      </c>
      <c r="H5261" s="6" t="str">
        <f>IFERROR(__xludf.DUMMYFUNCTION("""COMPUTED_VALUE"""),"IDR")</f>
        <v>IDR</v>
      </c>
      <c r="I5261" s="6">
        <f>IFERROR(__xludf.DUMMYFUNCTION("""COMPUTED_VALUE"""),4550000.0)</f>
        <v>4550000</v>
      </c>
      <c r="J5261" s="6">
        <f>IFERROR(__xludf.DUMMYFUNCTION("""COMPUTED_VALUE"""),9100000.0)</f>
        <v>9100000</v>
      </c>
      <c r="K5261" s="57">
        <f>IFERROR(__xludf.DUMMYFUNCTION("""COMPUTED_VALUE"""),46262.0)</f>
        <v>46262</v>
      </c>
      <c r="L5261" s="6" t="str">
        <f>IFERROR(__xludf.DUMMYFUNCTION("""COMPUTED_VALUE"""),"FIP Engineering")</f>
        <v>FIP Engineering</v>
      </c>
      <c r="M5261" s="6" t="str">
        <f>IFERROR(__xludf.DUMMYFUNCTION("""COMPUTED_VALUE"""),"Mochammad Fadhillah Hakim,")</f>
        <v>Mochammad Fadhillah Hakim,</v>
      </c>
      <c r="N5261" s="6" t="str">
        <f>IFERROR(__xludf.DUMMYFUNCTION("""COMPUTED_VALUE"""),"FIP Engineering")</f>
        <v>FIP Engineering</v>
      </c>
      <c r="O5261" s="6" t="str">
        <f>IFERROR(__xludf.DUMMYFUNCTION("""COMPUTED_VALUE"""),"FIP-DOM-000-11304-OS00001-INA-000000")</f>
        <v>FIP-DOM-000-11304-OS00001-INA-000000</v>
      </c>
      <c r="P5261" s="6" t="str">
        <f>IFERROR(__xludf.DUMMYFUNCTION("""COMPUTED_VALUE"""),"PO Open")</f>
        <v>PO Open</v>
      </c>
      <c r="Q5261" s="6" t="str">
        <f>IFERROR(__xludf.DUMMYFUNCTION("""COMPUTED_VALUE"""),"GL2607374")</f>
        <v>GL2607374</v>
      </c>
      <c r="R5261" s="57">
        <f>IFERROR(__xludf.DUMMYFUNCTION("""COMPUTED_VALUE"""),46203.0)</f>
        <v>46203</v>
      </c>
      <c r="S5261" s="57">
        <f>IFERROR(__xludf.DUMMYFUNCTION("""COMPUTED_VALUE"""),46204.0)</f>
        <v>46204</v>
      </c>
      <c r="T5261" s="57">
        <f>IFERROR(__xludf.DUMMYFUNCTION("""COMPUTED_VALUE"""),46262.0)</f>
        <v>46262</v>
      </c>
    </row>
    <row r="5262">
      <c r="A5262" s="6" t="str">
        <f>IFERROR(__xludf.DUMMYFUNCTION("""COMPUTED_VALUE"""),"121704363-2")</f>
        <v>121704363-2</v>
      </c>
      <c r="B5262" s="6" t="str">
        <f>IFERROR(__xludf.DUMMYFUNCTION("""COMPUTED_VALUE"""),"121704363 - APPROVED")</f>
        <v>121704363 - APPROVED</v>
      </c>
      <c r="C5262" s="6">
        <f>IFERROR(__xludf.DUMMYFUNCTION("""COMPUTED_VALUE"""),2.0)</f>
        <v>2</v>
      </c>
      <c r="D5262" s="6" t="str">
        <f>IFERROR(__xludf.DUMMYFUNCTION("""COMPUTED_VALUE"""),"P-16972-00")</f>
        <v>P-16972-00</v>
      </c>
      <c r="E5262" s="6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F5262" s="6">
        <f>IFERROR(__xludf.DUMMYFUNCTION("""COMPUTED_VALUE"""),2.0)</f>
        <v>2</v>
      </c>
      <c r="G5262" s="6" t="str">
        <f>IFERROR(__xludf.DUMMYFUNCTION("""COMPUTED_VALUE"""),"Unit")</f>
        <v>Unit</v>
      </c>
      <c r="H5262" s="6" t="str">
        <f>IFERROR(__xludf.DUMMYFUNCTION("""COMPUTED_VALUE"""),"IDR")</f>
        <v>IDR</v>
      </c>
      <c r="I5262" s="6">
        <f>IFERROR(__xludf.DUMMYFUNCTION("""COMPUTED_VALUE"""),5650000.0)</f>
        <v>5650000</v>
      </c>
      <c r="J5262" s="6">
        <f>IFERROR(__xludf.DUMMYFUNCTION("""COMPUTED_VALUE"""),1.13E7)</f>
        <v>11300000</v>
      </c>
      <c r="K5262" s="57">
        <f>IFERROR(__xludf.DUMMYFUNCTION("""COMPUTED_VALUE"""),46262.0)</f>
        <v>46262</v>
      </c>
      <c r="L5262" s="6" t="str">
        <f>IFERROR(__xludf.DUMMYFUNCTION("""COMPUTED_VALUE"""),"FIP Engineering")</f>
        <v>FIP Engineering</v>
      </c>
      <c r="M5262" s="6" t="str">
        <f>IFERROR(__xludf.DUMMYFUNCTION("""COMPUTED_VALUE"""),"Mochammad Fadhillah Hakim,")</f>
        <v>Mochammad Fadhillah Hakim,</v>
      </c>
      <c r="N5262" s="6" t="str">
        <f>IFERROR(__xludf.DUMMYFUNCTION("""COMPUTED_VALUE"""),"FIP Engineering")</f>
        <v>FIP Engineering</v>
      </c>
      <c r="O5262" s="6" t="str">
        <f>IFERROR(__xludf.DUMMYFUNCTION("""COMPUTED_VALUE"""),"FIP-DOM-000-11304-OS00001-INA-000000")</f>
        <v>FIP-DOM-000-11304-OS00001-INA-000000</v>
      </c>
      <c r="P5262" s="6" t="str">
        <f>IFERROR(__xludf.DUMMYFUNCTION("""COMPUTED_VALUE"""),"PO Closed")</f>
        <v>PO Closed</v>
      </c>
      <c r="Q5262" s="6" t="str">
        <f>IFERROR(__xludf.DUMMYFUNCTION("""COMPUTED_VALUE"""),"GL2607362")</f>
        <v>GL2607362</v>
      </c>
      <c r="R5262" s="57">
        <f>IFERROR(__xludf.DUMMYFUNCTION("""COMPUTED_VALUE"""),46203.0)</f>
        <v>46203</v>
      </c>
      <c r="S5262" s="57">
        <f>IFERROR(__xludf.DUMMYFUNCTION("""COMPUTED_VALUE"""),46204.0)</f>
        <v>46204</v>
      </c>
      <c r="T5262" s="57">
        <f>IFERROR(__xludf.DUMMYFUNCTION("""COMPUTED_VALUE"""),46264.0)</f>
        <v>46264</v>
      </c>
    </row>
    <row r="5263">
      <c r="A5263" s="6" t="str">
        <f>IFERROR(__xludf.DUMMYFUNCTION("""COMPUTED_VALUE"""),"121704363-3")</f>
        <v>121704363-3</v>
      </c>
      <c r="B5263" s="6" t="str">
        <f>IFERROR(__xludf.DUMMYFUNCTION("""COMPUTED_VALUE"""),"121704363 - APPROVED")</f>
        <v>121704363 - APPROVED</v>
      </c>
      <c r="C5263" s="6">
        <f>IFERROR(__xludf.DUMMYFUNCTION("""COMPUTED_VALUE"""),3.0)</f>
        <v>3</v>
      </c>
      <c r="D5263" s="6" t="str">
        <f>IFERROR(__xludf.DUMMYFUNCTION("""COMPUTED_VALUE"""),"O-11287-00")</f>
        <v>O-11287-00</v>
      </c>
      <c r="E5263" s="6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F5263" s="6">
        <f>IFERROR(__xludf.DUMMYFUNCTION("""COMPUTED_VALUE"""),2.0)</f>
        <v>2</v>
      </c>
      <c r="G5263" s="6" t="str">
        <f>IFERROR(__xludf.DUMMYFUNCTION("""COMPUTED_VALUE"""),"Pieces")</f>
        <v>Pieces</v>
      </c>
      <c r="H5263" s="6" t="str">
        <f>IFERROR(__xludf.DUMMYFUNCTION("""COMPUTED_VALUE"""),"IDR")</f>
        <v>IDR</v>
      </c>
      <c r="I5263" s="6">
        <f>IFERROR(__xludf.DUMMYFUNCTION("""COMPUTED_VALUE"""),3450000.0)</f>
        <v>3450000</v>
      </c>
      <c r="J5263" s="6">
        <f>IFERROR(__xludf.DUMMYFUNCTION("""COMPUTED_VALUE"""),6900000.0)</f>
        <v>6900000</v>
      </c>
      <c r="K5263" s="57">
        <f>IFERROR(__xludf.DUMMYFUNCTION("""COMPUTED_VALUE"""),46262.0)</f>
        <v>46262</v>
      </c>
      <c r="L5263" s="6" t="str">
        <f>IFERROR(__xludf.DUMMYFUNCTION("""COMPUTED_VALUE"""),"FIP Engineering")</f>
        <v>FIP Engineering</v>
      </c>
      <c r="M5263" s="6" t="str">
        <f>IFERROR(__xludf.DUMMYFUNCTION("""COMPUTED_VALUE"""),"Mochammad Fadhillah Hakim,")</f>
        <v>Mochammad Fadhillah Hakim,</v>
      </c>
      <c r="N5263" s="6" t="str">
        <f>IFERROR(__xludf.DUMMYFUNCTION("""COMPUTED_VALUE"""),"FIP Engineering")</f>
        <v>FIP Engineering</v>
      </c>
      <c r="O5263" s="6" t="str">
        <f>IFERROR(__xludf.DUMMYFUNCTION("""COMPUTED_VALUE"""),"FIP-DOM-000-11304-OS00001-INA-000000")</f>
        <v>FIP-DOM-000-11304-OS00001-INA-000000</v>
      </c>
      <c r="P5263" s="6" t="str">
        <f>IFERROR(__xludf.DUMMYFUNCTION("""COMPUTED_VALUE"""),"PO Open")</f>
        <v>PO Open</v>
      </c>
      <c r="Q5263" s="6" t="str">
        <f>IFERROR(__xludf.DUMMYFUNCTION("""COMPUTED_VALUE"""),"GL2607374")</f>
        <v>GL2607374</v>
      </c>
      <c r="R5263" s="57">
        <f>IFERROR(__xludf.DUMMYFUNCTION("""COMPUTED_VALUE"""),46203.0)</f>
        <v>46203</v>
      </c>
      <c r="S5263" s="57">
        <f>IFERROR(__xludf.DUMMYFUNCTION("""COMPUTED_VALUE"""),46204.0)</f>
        <v>46204</v>
      </c>
      <c r="T5263" s="57">
        <f>IFERROR(__xludf.DUMMYFUNCTION("""COMPUTED_VALUE"""),46262.0)</f>
        <v>46262</v>
      </c>
    </row>
    <row r="5264">
      <c r="A5264" s="6" t="str">
        <f>IFERROR(__xludf.DUMMYFUNCTION("""COMPUTED_VALUE"""),"121704365-1")</f>
        <v>121704365-1</v>
      </c>
      <c r="B5264" s="6" t="str">
        <f>IFERROR(__xludf.DUMMYFUNCTION("""COMPUTED_VALUE"""),"121704365 - APPROVED")</f>
        <v>121704365 - APPROVED</v>
      </c>
      <c r="C5264" s="6">
        <f>IFERROR(__xludf.DUMMYFUNCTION("""COMPUTED_VALUE"""),1.0)</f>
        <v>1</v>
      </c>
      <c r="D5264" s="6" t="str">
        <f>IFERROR(__xludf.DUMMYFUNCTION("""COMPUTED_VALUE"""),"P-10750-00")</f>
        <v>P-10750-00</v>
      </c>
      <c r="E5264" s="6" t="str">
        <f>IFERROR(__xludf.DUMMYFUNCTION("""COMPUTED_VALUE"""),"General - Blind Ferrule SS 316L 1/2inch; No Brand; -; 1 pcs")</f>
        <v>General - Blind Ferrule SS 316L 1/2inch; No Brand; -; 1 pcs</v>
      </c>
      <c r="F5264" s="6">
        <f>IFERROR(__xludf.DUMMYFUNCTION("""COMPUTED_VALUE"""),10.0)</f>
        <v>10</v>
      </c>
      <c r="G5264" s="6" t="str">
        <f>IFERROR(__xludf.DUMMYFUNCTION("""COMPUTED_VALUE"""),"Pieces")</f>
        <v>Pieces</v>
      </c>
      <c r="H5264" s="6" t="str">
        <f>IFERROR(__xludf.DUMMYFUNCTION("""COMPUTED_VALUE"""),"IDR")</f>
        <v>IDR</v>
      </c>
      <c r="I5264" s="6">
        <f>IFERROR(__xludf.DUMMYFUNCTION("""COMPUTED_VALUE"""),58500.0)</f>
        <v>58500</v>
      </c>
      <c r="J5264" s="6">
        <f>IFERROR(__xludf.DUMMYFUNCTION("""COMPUTED_VALUE"""),585000.0)</f>
        <v>585000</v>
      </c>
      <c r="K5264" s="57">
        <f>IFERROR(__xludf.DUMMYFUNCTION("""COMPUTED_VALUE"""),46234.0)</f>
        <v>46234</v>
      </c>
      <c r="L5264" s="6" t="str">
        <f>IFERROR(__xludf.DUMMYFUNCTION("""COMPUTED_VALUE"""),"FIP Engineering")</f>
        <v>FIP Engineering</v>
      </c>
      <c r="M5264" s="6" t="str">
        <f>IFERROR(__xludf.DUMMYFUNCTION("""COMPUTED_VALUE"""),"Mochammad Fadhillah Hakim,")</f>
        <v>Mochammad Fadhillah Hakim,</v>
      </c>
      <c r="N5264" s="6" t="str">
        <f>IFERROR(__xludf.DUMMYFUNCTION("""COMPUTED_VALUE"""),"FIP Engineering")</f>
        <v>FIP Engineering</v>
      </c>
      <c r="O5264" s="6" t="str">
        <f>IFERROR(__xludf.DUMMYFUNCTION("""COMPUTED_VALUE"""),"FIP-DOM-000-11304-OS00001-INA-000000")</f>
        <v>FIP-DOM-000-11304-OS00001-INA-000000</v>
      </c>
      <c r="P5264" s="6" t="str">
        <f>IFERROR(__xludf.DUMMYFUNCTION("""COMPUTED_VALUE"""),"PO Open")</f>
        <v>PO Open</v>
      </c>
      <c r="Q5264" s="6" t="str">
        <f>IFERROR(__xludf.DUMMYFUNCTION("""COMPUTED_VALUE"""),"GL2609002")</f>
        <v>GL2609002</v>
      </c>
      <c r="R5264" s="57">
        <f>IFERROR(__xludf.DUMMYFUNCTION("""COMPUTED_VALUE"""),46203.0)</f>
        <v>46203</v>
      </c>
      <c r="S5264" s="57">
        <f>IFERROR(__xludf.DUMMYFUNCTION("""COMPUTED_VALUE"""),46223.0)</f>
        <v>46223</v>
      </c>
      <c r="T5264" s="57">
        <f>IFERROR(__xludf.DUMMYFUNCTION("""COMPUTED_VALUE"""),46295.0)</f>
        <v>46295</v>
      </c>
    </row>
    <row r="5265">
      <c r="A5265" s="6" t="str">
        <f>IFERROR(__xludf.DUMMYFUNCTION("""COMPUTED_VALUE"""),"121704367-1")</f>
        <v>121704367-1</v>
      </c>
      <c r="B5265" s="6" t="str">
        <f>IFERROR(__xludf.DUMMYFUNCTION("""COMPUTED_VALUE"""),"121704367 - APPROVED")</f>
        <v>121704367 - APPROVED</v>
      </c>
      <c r="C5265" s="6">
        <f>IFERROR(__xludf.DUMMYFUNCTION("""COMPUTED_VALUE"""),1.0)</f>
        <v>1</v>
      </c>
      <c r="D5265" s="6" t="str">
        <f>IFERROR(__xludf.DUMMYFUNCTION("""COMPUTED_VALUE"""),"T-22395-00")</f>
        <v>T-22395-00</v>
      </c>
      <c r="E5265" s="6" t="str">
        <f>IFERROR(__xludf.DUMMYFUNCTION("""COMPUTED_VALUE"""),"Memory Card for KV Series (1GB); Keyence; KV-M4G; pc")</f>
        <v>Memory Card for KV Series (1GB); Keyence; KV-M4G; pc</v>
      </c>
      <c r="F5265" s="6">
        <f>IFERROR(__xludf.DUMMYFUNCTION("""COMPUTED_VALUE"""),1.0)</f>
        <v>1</v>
      </c>
      <c r="G5265" s="6" t="str">
        <f>IFERROR(__xludf.DUMMYFUNCTION("""COMPUTED_VALUE"""),"Pieces")</f>
        <v>Pieces</v>
      </c>
      <c r="H5265" s="6" t="str">
        <f>IFERROR(__xludf.DUMMYFUNCTION("""COMPUTED_VALUE"""),"IDR")</f>
        <v>IDR</v>
      </c>
      <c r="I5265" s="6">
        <f>IFERROR(__xludf.DUMMYFUNCTION("""COMPUTED_VALUE"""),6358000.0)</f>
        <v>6358000</v>
      </c>
      <c r="J5265" s="6">
        <f>IFERROR(__xludf.DUMMYFUNCTION("""COMPUTED_VALUE"""),6358000.0)</f>
        <v>6358000</v>
      </c>
      <c r="K5265" s="57">
        <f>IFERROR(__xludf.DUMMYFUNCTION("""COMPUTED_VALUE"""),46262.0)</f>
        <v>46262</v>
      </c>
      <c r="L5265" s="6" t="str">
        <f>IFERROR(__xludf.DUMMYFUNCTION("""COMPUTED_VALUE"""),"FIP General")</f>
        <v>FIP General</v>
      </c>
      <c r="M5265" s="6" t="str">
        <f>IFERROR(__xludf.DUMMYFUNCTION("""COMPUTED_VALUE"""),"Mochammad Fadhillah Hakim,")</f>
        <v>Mochammad Fadhillah Hakim,</v>
      </c>
      <c r="N5265" s="6" t="str">
        <f>IFERROR(__xludf.DUMMYFUNCTION("""COMPUTED_VALUE"""),"FIP Engineering")</f>
        <v>FIP Engineering</v>
      </c>
      <c r="O5265" s="6" t="str">
        <f>IFERROR(__xludf.DUMMYFUNCTION("""COMPUTED_VALUE"""),"FIP-DOM-ENG-51504-0000000-INA-000000")</f>
        <v>FIP-DOM-ENG-51504-0000000-INA-000000</v>
      </c>
      <c r="P5265" s="6" t="str">
        <f>IFERROR(__xludf.DUMMYFUNCTION("""COMPUTED_VALUE"""),"PO Closed")</f>
        <v>PO Closed</v>
      </c>
      <c r="Q5265" s="6" t="str">
        <f>IFERROR(__xludf.DUMMYFUNCTION("""COMPUTED_VALUE"""),"GL2607038")</f>
        <v>GL2607038</v>
      </c>
      <c r="R5265" s="57">
        <f>IFERROR(__xludf.DUMMYFUNCTION("""COMPUTED_VALUE"""),46203.0)</f>
        <v>46203</v>
      </c>
      <c r="S5265" s="57">
        <f>IFERROR(__xludf.DUMMYFUNCTION("""COMPUTED_VALUE"""),46204.0)</f>
        <v>46204</v>
      </c>
      <c r="T5265" s="57">
        <f>IFERROR(__xludf.DUMMYFUNCTION("""COMPUTED_VALUE"""),46265.0)</f>
        <v>46265</v>
      </c>
    </row>
    <row r="5266">
      <c r="A5266" s="6" t="str">
        <f>IFERROR(__xludf.DUMMYFUNCTION("""COMPUTED_VALUE"""),"121704367-2")</f>
        <v>121704367-2</v>
      </c>
      <c r="B5266" s="6" t="str">
        <f>IFERROR(__xludf.DUMMYFUNCTION("""COMPUTED_VALUE"""),"121704367 - APPROVED")</f>
        <v>121704367 - APPROVED</v>
      </c>
      <c r="C5266" s="6">
        <f>IFERROR(__xludf.DUMMYFUNCTION("""COMPUTED_VALUE"""),2.0)</f>
        <v>2</v>
      </c>
      <c r="D5266" s="6" t="str">
        <f>IFERROR(__xludf.DUMMYFUNCTION("""COMPUTED_VALUE"""),"T-22394-00")</f>
        <v>T-22394-00</v>
      </c>
      <c r="E5266" s="6" t="str">
        <f>IFERROR(__xludf.DUMMYFUNCTION("""COMPUTED_VALUE"""),"Vision Sensor Monitor USB Memory Stick (1GB); Keyence; OP-87502; pieces")</f>
        <v>Vision Sensor Monitor USB Memory Stick (1GB); Keyence; OP-87502; pieces</v>
      </c>
      <c r="F5266" s="6">
        <f>IFERROR(__xludf.DUMMYFUNCTION("""COMPUTED_VALUE"""),1.0)</f>
        <v>1</v>
      </c>
      <c r="G5266" s="6" t="str">
        <f>IFERROR(__xludf.DUMMYFUNCTION("""COMPUTED_VALUE"""),"Pieces")</f>
        <v>Pieces</v>
      </c>
      <c r="H5266" s="6" t="str">
        <f>IFERROR(__xludf.DUMMYFUNCTION("""COMPUTED_VALUE"""),"IDR")</f>
        <v>IDR</v>
      </c>
      <c r="I5266" s="6">
        <f>IFERROR(__xludf.DUMMYFUNCTION("""COMPUTED_VALUE"""),946000.0)</f>
        <v>946000</v>
      </c>
      <c r="J5266" s="6">
        <f>IFERROR(__xludf.DUMMYFUNCTION("""COMPUTED_VALUE"""),946000.0)</f>
        <v>946000</v>
      </c>
      <c r="K5266" s="57">
        <f>IFERROR(__xludf.DUMMYFUNCTION("""COMPUTED_VALUE"""),46262.0)</f>
        <v>46262</v>
      </c>
      <c r="L5266" s="6" t="str">
        <f>IFERROR(__xludf.DUMMYFUNCTION("""COMPUTED_VALUE"""),"FIP General")</f>
        <v>FIP General</v>
      </c>
      <c r="M5266" s="6" t="str">
        <f>IFERROR(__xludf.DUMMYFUNCTION("""COMPUTED_VALUE"""),"Mochammad Fadhillah Hakim,")</f>
        <v>Mochammad Fadhillah Hakim,</v>
      </c>
      <c r="N5266" s="6" t="str">
        <f>IFERROR(__xludf.DUMMYFUNCTION("""COMPUTED_VALUE"""),"FIP Engineering")</f>
        <v>FIP Engineering</v>
      </c>
      <c r="O5266" s="6" t="str">
        <f>IFERROR(__xludf.DUMMYFUNCTION("""COMPUTED_VALUE"""),"FIP-DOM-ENG-51504-0000000-INA-000000")</f>
        <v>FIP-DOM-ENG-51504-0000000-INA-000000</v>
      </c>
      <c r="P5266" s="6" t="str">
        <f>IFERROR(__xludf.DUMMYFUNCTION("""COMPUTED_VALUE"""),"PO Closed")</f>
        <v>PO Closed</v>
      </c>
      <c r="Q5266" s="6" t="str">
        <f>IFERROR(__xludf.DUMMYFUNCTION("""COMPUTED_VALUE"""),"GL2607038")</f>
        <v>GL2607038</v>
      </c>
      <c r="R5266" s="57">
        <f>IFERROR(__xludf.DUMMYFUNCTION("""COMPUTED_VALUE"""),46203.0)</f>
        <v>46203</v>
      </c>
      <c r="S5266" s="57">
        <f>IFERROR(__xludf.DUMMYFUNCTION("""COMPUTED_VALUE"""),46204.0)</f>
        <v>46204</v>
      </c>
      <c r="T5266" s="57">
        <f>IFERROR(__xludf.DUMMYFUNCTION("""COMPUTED_VALUE"""),46265.0)</f>
        <v>46265</v>
      </c>
    </row>
    <row r="5267">
      <c r="A5267" s="6" t="str">
        <f>IFERROR(__xludf.DUMMYFUNCTION("""COMPUTED_VALUE"""),"121704369-1")</f>
        <v>121704369-1</v>
      </c>
      <c r="B5267" s="6" t="str">
        <f>IFERROR(__xludf.DUMMYFUNCTION("""COMPUTED_VALUE"""),"121704369 - APPROVED")</f>
        <v>121704369 - APPROVED</v>
      </c>
      <c r="C5267" s="6">
        <f>IFERROR(__xludf.DUMMYFUNCTION("""COMPUTED_VALUE"""),1.0)</f>
        <v>1</v>
      </c>
      <c r="D5267" s="6" t="str">
        <f>IFERROR(__xludf.DUMMYFUNCTION("""COMPUTED_VALUE"""),"P-54672-00")</f>
        <v>P-54672-00</v>
      </c>
      <c r="E5267" s="6" t="str">
        <f>IFERROR(__xludf.DUMMYFUNCTION("""COMPUTED_VALUE"""),"General - Box Panel 950 x 600 x 300mm Tebal 1mm; No Brand; -; 1 pc")</f>
        <v>General - Box Panel 950 x 600 x 300mm Tebal 1mm; No Brand; -; 1 pc</v>
      </c>
      <c r="F5267" s="6">
        <f>IFERROR(__xludf.DUMMYFUNCTION("""COMPUTED_VALUE"""),1.0)</f>
        <v>1</v>
      </c>
      <c r="G5267" s="6" t="str">
        <f>IFERROR(__xludf.DUMMYFUNCTION("""COMPUTED_VALUE"""),"Pieces")</f>
        <v>Pieces</v>
      </c>
      <c r="H5267" s="6" t="str">
        <f>IFERROR(__xludf.DUMMYFUNCTION("""COMPUTED_VALUE"""),"IDR")</f>
        <v>IDR</v>
      </c>
      <c r="I5267" s="6">
        <f>IFERROR(__xludf.DUMMYFUNCTION("""COMPUTED_VALUE"""),2000000.0)</f>
        <v>2000000</v>
      </c>
      <c r="J5267" s="6">
        <f>IFERROR(__xludf.DUMMYFUNCTION("""COMPUTED_VALUE"""),2000000.0)</f>
        <v>2000000</v>
      </c>
      <c r="K5267" s="57">
        <f>IFERROR(__xludf.DUMMYFUNCTION("""COMPUTED_VALUE"""),46241.0)</f>
        <v>46241</v>
      </c>
      <c r="L5267" s="6" t="str">
        <f>IFERROR(__xludf.DUMMYFUNCTION("""COMPUTED_VALUE"""),"FIP Engineering")</f>
        <v>FIP Engineering</v>
      </c>
      <c r="M5267" s="6" t="str">
        <f>IFERROR(__xludf.DUMMYFUNCTION("""COMPUTED_VALUE"""),"Mochammad Fadhillah Hakim,")</f>
        <v>Mochammad Fadhillah Hakim,</v>
      </c>
      <c r="N5267" s="6" t="str">
        <f>IFERROR(__xludf.DUMMYFUNCTION("""COMPUTED_VALUE"""),"FIP Engineering")</f>
        <v>FIP Engineering</v>
      </c>
      <c r="O5267" s="6" t="str">
        <f>IFERROR(__xludf.DUMMYFUNCTION("""COMPUTED_VALUE"""),"FIP-DOM-000-11304-OS00001-INA-000000")</f>
        <v>FIP-DOM-000-11304-OS00001-INA-000000</v>
      </c>
      <c r="P5267" s="6" t="str">
        <f>IFERROR(__xludf.DUMMYFUNCTION("""COMPUTED_VALUE"""),"PO Closed")</f>
        <v>PO Closed</v>
      </c>
      <c r="Q5267" s="6" t="str">
        <f>IFERROR(__xludf.DUMMYFUNCTION("""COMPUTED_VALUE"""),"GL2607378")</f>
        <v>GL2607378</v>
      </c>
      <c r="R5267" s="57">
        <f>IFERROR(__xludf.DUMMYFUNCTION("""COMPUTED_VALUE"""),46203.0)</f>
        <v>46203</v>
      </c>
      <c r="S5267" s="57">
        <f>IFERROR(__xludf.DUMMYFUNCTION("""COMPUTED_VALUE"""),46204.0)</f>
        <v>46204</v>
      </c>
      <c r="T5267" s="57">
        <f>IFERROR(__xludf.DUMMYFUNCTION("""COMPUTED_VALUE"""),46264.0)</f>
        <v>46264</v>
      </c>
    </row>
    <row r="5268">
      <c r="A5268" s="6" t="str">
        <f>IFERROR(__xludf.DUMMYFUNCTION("""COMPUTED_VALUE"""),"121704369-2")</f>
        <v>121704369-2</v>
      </c>
      <c r="B5268" s="6" t="str">
        <f>IFERROR(__xludf.DUMMYFUNCTION("""COMPUTED_VALUE"""),"121704369 - APPROVED")</f>
        <v>121704369 - APPROVED</v>
      </c>
      <c r="C5268" s="6">
        <f>IFERROR(__xludf.DUMMYFUNCTION("""COMPUTED_VALUE"""),2.0)</f>
        <v>2</v>
      </c>
      <c r="D5268" s="6" t="str">
        <f>IFERROR(__xludf.DUMMYFUNCTION("""COMPUTED_VALUE"""),"P-20848-00")</f>
        <v>P-20848-00</v>
      </c>
      <c r="E5268" s="6" t="str">
        <f>IFERROR(__xludf.DUMMYFUNCTION("""COMPUTED_VALUE"""),"General - Paku Rivet 529 4mm x 8mm; SIP; -; 1000pcs/box")</f>
        <v>General - Paku Rivet 529 4mm x 8mm; SIP; -; 1000pcs/box</v>
      </c>
      <c r="F5268" s="6">
        <f>IFERROR(__xludf.DUMMYFUNCTION("""COMPUTED_VALUE"""),1.0)</f>
        <v>1</v>
      </c>
      <c r="G5268" s="6" t="str">
        <f>IFERROR(__xludf.DUMMYFUNCTION("""COMPUTED_VALUE"""),"Box")</f>
        <v>Box</v>
      </c>
      <c r="H5268" s="6" t="str">
        <f>IFERROR(__xludf.DUMMYFUNCTION("""COMPUTED_VALUE"""),"IDR")</f>
        <v>IDR</v>
      </c>
      <c r="I5268" s="6">
        <f>IFERROR(__xludf.DUMMYFUNCTION("""COMPUTED_VALUE"""),155000.0)</f>
        <v>155000</v>
      </c>
      <c r="J5268" s="6">
        <f>IFERROR(__xludf.DUMMYFUNCTION("""COMPUTED_VALUE"""),155000.0)</f>
        <v>155000</v>
      </c>
      <c r="K5268" s="57">
        <f>IFERROR(__xludf.DUMMYFUNCTION("""COMPUTED_VALUE"""),46241.0)</f>
        <v>46241</v>
      </c>
      <c r="L5268" s="6" t="str">
        <f>IFERROR(__xludf.DUMMYFUNCTION("""COMPUTED_VALUE"""),"FIP Engineering")</f>
        <v>FIP Engineering</v>
      </c>
      <c r="M5268" s="6" t="str">
        <f>IFERROR(__xludf.DUMMYFUNCTION("""COMPUTED_VALUE"""),"Mochammad Fadhillah Hakim,")</f>
        <v>Mochammad Fadhillah Hakim,</v>
      </c>
      <c r="N5268" s="6" t="str">
        <f>IFERROR(__xludf.DUMMYFUNCTION("""COMPUTED_VALUE"""),"FIP Engineering")</f>
        <v>FIP Engineering</v>
      </c>
      <c r="O5268" s="6" t="str">
        <f>IFERROR(__xludf.DUMMYFUNCTION("""COMPUTED_VALUE"""),"FIP-DOM-000-11304-OS00001-INA-000000")</f>
        <v>FIP-DOM-000-11304-OS00001-INA-000000</v>
      </c>
      <c r="P5268" s="6" t="str">
        <f>IFERROR(__xludf.DUMMYFUNCTION("""COMPUTED_VALUE"""),"PO Closed")</f>
        <v>PO Closed</v>
      </c>
      <c r="Q5268" s="6" t="str">
        <f>IFERROR(__xludf.DUMMYFUNCTION("""COMPUTED_VALUE"""),"GL2607378")</f>
        <v>GL2607378</v>
      </c>
      <c r="R5268" s="57">
        <f>IFERROR(__xludf.DUMMYFUNCTION("""COMPUTED_VALUE"""),46203.0)</f>
        <v>46203</v>
      </c>
      <c r="S5268" s="57">
        <f>IFERROR(__xludf.DUMMYFUNCTION("""COMPUTED_VALUE"""),46204.0)</f>
        <v>46204</v>
      </c>
      <c r="T5268" s="57">
        <f>IFERROR(__xludf.DUMMYFUNCTION("""COMPUTED_VALUE"""),46264.0)</f>
        <v>46264</v>
      </c>
    </row>
    <row r="5269">
      <c r="A5269" s="6" t="str">
        <f>IFERROR(__xludf.DUMMYFUNCTION("""COMPUTED_VALUE"""),"121704369-3")</f>
        <v>121704369-3</v>
      </c>
      <c r="B5269" s="6" t="str">
        <f>IFERROR(__xludf.DUMMYFUNCTION("""COMPUTED_VALUE"""),"121704369 - APPROVED")</f>
        <v>121704369 - APPROVED</v>
      </c>
      <c r="C5269" s="6">
        <f>IFERROR(__xludf.DUMMYFUNCTION("""COMPUTED_VALUE"""),3.0)</f>
        <v>3</v>
      </c>
      <c r="D5269" s="6" t="str">
        <f>IFERROR(__xludf.DUMMYFUNCTION("""COMPUTED_VALUE"""),"P-20850-00")</f>
        <v>P-20850-00</v>
      </c>
      <c r="E5269" s="6" t="str">
        <f>IFERROR(__xludf.DUMMYFUNCTION("""COMPUTED_VALUE"""),"General - Paku Rivet 435 3,2mm x 9,5mm x 8mm; SIP; -; 1000pcs/box")</f>
        <v>General - Paku Rivet 435 3,2mm x 9,5mm x 8mm; SIP; -; 1000pcs/box</v>
      </c>
      <c r="F5269" s="6">
        <f>IFERROR(__xludf.DUMMYFUNCTION("""COMPUTED_VALUE"""),1.0)</f>
        <v>1</v>
      </c>
      <c r="G5269" s="6" t="str">
        <f>IFERROR(__xludf.DUMMYFUNCTION("""COMPUTED_VALUE"""),"Box")</f>
        <v>Box</v>
      </c>
      <c r="H5269" s="6" t="str">
        <f>IFERROR(__xludf.DUMMYFUNCTION("""COMPUTED_VALUE"""),"IDR")</f>
        <v>IDR</v>
      </c>
      <c r="I5269" s="6">
        <f>IFERROR(__xludf.DUMMYFUNCTION("""COMPUTED_VALUE"""),125000.0)</f>
        <v>125000</v>
      </c>
      <c r="J5269" s="6">
        <f>IFERROR(__xludf.DUMMYFUNCTION("""COMPUTED_VALUE"""),125000.0)</f>
        <v>125000</v>
      </c>
      <c r="K5269" s="57">
        <f>IFERROR(__xludf.DUMMYFUNCTION("""COMPUTED_VALUE"""),46241.0)</f>
        <v>46241</v>
      </c>
      <c r="L5269" s="6" t="str">
        <f>IFERROR(__xludf.DUMMYFUNCTION("""COMPUTED_VALUE"""),"FIP Engineering")</f>
        <v>FIP Engineering</v>
      </c>
      <c r="M5269" s="6" t="str">
        <f>IFERROR(__xludf.DUMMYFUNCTION("""COMPUTED_VALUE"""),"Mochammad Fadhillah Hakim,")</f>
        <v>Mochammad Fadhillah Hakim,</v>
      </c>
      <c r="N5269" s="6" t="str">
        <f>IFERROR(__xludf.DUMMYFUNCTION("""COMPUTED_VALUE"""),"FIP Engineering")</f>
        <v>FIP Engineering</v>
      </c>
      <c r="O5269" s="6" t="str">
        <f>IFERROR(__xludf.DUMMYFUNCTION("""COMPUTED_VALUE"""),"FIP-DOM-000-11304-OS00001-INA-000000")</f>
        <v>FIP-DOM-000-11304-OS00001-INA-000000</v>
      </c>
      <c r="P5269" s="6" t="str">
        <f>IFERROR(__xludf.DUMMYFUNCTION("""COMPUTED_VALUE"""),"PO Closed")</f>
        <v>PO Closed</v>
      </c>
      <c r="Q5269" s="6" t="str">
        <f>IFERROR(__xludf.DUMMYFUNCTION("""COMPUTED_VALUE"""),"GL2607378")</f>
        <v>GL2607378</v>
      </c>
      <c r="R5269" s="57">
        <f>IFERROR(__xludf.DUMMYFUNCTION("""COMPUTED_VALUE"""),46203.0)</f>
        <v>46203</v>
      </c>
      <c r="S5269" s="57">
        <f>IFERROR(__xludf.DUMMYFUNCTION("""COMPUTED_VALUE"""),46204.0)</f>
        <v>46204</v>
      </c>
      <c r="T5269" s="57">
        <f>IFERROR(__xludf.DUMMYFUNCTION("""COMPUTED_VALUE"""),46264.0)</f>
        <v>46264</v>
      </c>
    </row>
    <row r="5270">
      <c r="A5270" s="6" t="str">
        <f>IFERROR(__xludf.DUMMYFUNCTION("""COMPUTED_VALUE"""),"121704369-4")</f>
        <v>121704369-4</v>
      </c>
      <c r="B5270" s="6" t="str">
        <f>IFERROR(__xludf.DUMMYFUNCTION("""COMPUTED_VALUE"""),"121704369 - APPROVED")</f>
        <v>121704369 - APPROVED</v>
      </c>
      <c r="C5270" s="6">
        <f>IFERROR(__xludf.DUMMYFUNCTION("""COMPUTED_VALUE"""),4.0)</f>
        <v>4</v>
      </c>
      <c r="D5270" s="6" t="str">
        <f>IFERROR(__xludf.DUMMYFUNCTION("""COMPUTED_VALUE"""),"P-20849-00")</f>
        <v>P-20849-00</v>
      </c>
      <c r="E5270" s="6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F5270" s="6">
        <f>IFERROR(__xludf.DUMMYFUNCTION("""COMPUTED_VALUE"""),10.0)</f>
        <v>10</v>
      </c>
      <c r="G5270" s="6" t="str">
        <f>IFERROR(__xludf.DUMMYFUNCTION("""COMPUTED_VALUE"""),"Pieces")</f>
        <v>Pieces</v>
      </c>
      <c r="H5270" s="6" t="str">
        <f>IFERROR(__xludf.DUMMYFUNCTION("""COMPUTED_VALUE"""),"IDR")</f>
        <v>IDR</v>
      </c>
      <c r="I5270" s="6">
        <f>IFERROR(__xludf.DUMMYFUNCTION("""COMPUTED_VALUE"""),75000.0)</f>
        <v>75000</v>
      </c>
      <c r="J5270" s="6">
        <f>IFERROR(__xludf.DUMMYFUNCTION("""COMPUTED_VALUE"""),750000.0)</f>
        <v>750000</v>
      </c>
      <c r="K5270" s="57">
        <f>IFERROR(__xludf.DUMMYFUNCTION("""COMPUTED_VALUE"""),46241.0)</f>
        <v>46241</v>
      </c>
      <c r="L5270" s="6" t="str">
        <f>IFERROR(__xludf.DUMMYFUNCTION("""COMPUTED_VALUE"""),"FIP Engineering")</f>
        <v>FIP Engineering</v>
      </c>
      <c r="M5270" s="6" t="str">
        <f>IFERROR(__xludf.DUMMYFUNCTION("""COMPUTED_VALUE"""),"Mochammad Fadhillah Hakim,")</f>
        <v>Mochammad Fadhillah Hakim,</v>
      </c>
      <c r="N5270" s="6" t="str">
        <f>IFERROR(__xludf.DUMMYFUNCTION("""COMPUTED_VALUE"""),"FIP Engineering")</f>
        <v>FIP Engineering</v>
      </c>
      <c r="O5270" s="6" t="str">
        <f>IFERROR(__xludf.DUMMYFUNCTION("""COMPUTED_VALUE"""),"FIP-DOM-000-11304-OS00001-INA-000000")</f>
        <v>FIP-DOM-000-11304-OS00001-INA-000000</v>
      </c>
      <c r="P5270" s="6" t="str">
        <f>IFERROR(__xludf.DUMMYFUNCTION("""COMPUTED_VALUE"""),"PO Closed")</f>
        <v>PO Closed</v>
      </c>
      <c r="Q5270" s="6" t="str">
        <f>IFERROR(__xludf.DUMMYFUNCTION("""COMPUTED_VALUE"""),"GL2607378")</f>
        <v>GL2607378</v>
      </c>
      <c r="R5270" s="57">
        <f>IFERROR(__xludf.DUMMYFUNCTION("""COMPUTED_VALUE"""),46203.0)</f>
        <v>46203</v>
      </c>
      <c r="S5270" s="57">
        <f>IFERROR(__xludf.DUMMYFUNCTION("""COMPUTED_VALUE"""),46204.0)</f>
        <v>46204</v>
      </c>
      <c r="T5270" s="57">
        <f>IFERROR(__xludf.DUMMYFUNCTION("""COMPUTED_VALUE"""),46264.0)</f>
        <v>46264</v>
      </c>
    </row>
    <row r="5271">
      <c r="A5271" s="6" t="str">
        <f>IFERROR(__xludf.DUMMYFUNCTION("""COMPUTED_VALUE"""),"121704369-5")</f>
        <v>121704369-5</v>
      </c>
      <c r="B5271" s="6" t="str">
        <f>IFERROR(__xludf.DUMMYFUNCTION("""COMPUTED_VALUE"""),"121704369 - APPROVED")</f>
        <v>121704369 - APPROVED</v>
      </c>
      <c r="C5271" s="6">
        <f>IFERROR(__xludf.DUMMYFUNCTION("""COMPUTED_VALUE"""),5.0)</f>
        <v>5</v>
      </c>
      <c r="D5271" s="6" t="str">
        <f>IFERROR(__xludf.DUMMYFUNCTION("""COMPUTED_VALUE"""),"P-20854-00")</f>
        <v>P-20854-00</v>
      </c>
      <c r="E5271" s="6" t="str">
        <f>IFERROR(__xludf.DUMMYFUNCTION("""COMPUTED_VALUE"""),"General - Silicone Rubber Sheet 5mm x 1000mm x 1000mm; No Brand; -; 1 pc")</f>
        <v>General - Silicone Rubber Sheet 5mm x 1000mm x 1000mm; No Brand; -; 1 pc</v>
      </c>
      <c r="F5271" s="6">
        <f>IFERROR(__xludf.DUMMYFUNCTION("""COMPUTED_VALUE"""),1.0)</f>
        <v>1</v>
      </c>
      <c r="G5271" s="6" t="str">
        <f>IFERROR(__xludf.DUMMYFUNCTION("""COMPUTED_VALUE"""),"Pieces")</f>
        <v>Pieces</v>
      </c>
      <c r="H5271" s="6" t="str">
        <f>IFERROR(__xludf.DUMMYFUNCTION("""COMPUTED_VALUE"""),"IDR")</f>
        <v>IDR</v>
      </c>
      <c r="I5271" s="6">
        <f>IFERROR(__xludf.DUMMYFUNCTION("""COMPUTED_VALUE"""),1750000.0)</f>
        <v>1750000</v>
      </c>
      <c r="J5271" s="6">
        <f>IFERROR(__xludf.DUMMYFUNCTION("""COMPUTED_VALUE"""),1750000.0)</f>
        <v>1750000</v>
      </c>
      <c r="K5271" s="57">
        <f>IFERROR(__xludf.DUMMYFUNCTION("""COMPUTED_VALUE"""),46241.0)</f>
        <v>46241</v>
      </c>
      <c r="L5271" s="6" t="str">
        <f>IFERROR(__xludf.DUMMYFUNCTION("""COMPUTED_VALUE"""),"FIP Engineering")</f>
        <v>FIP Engineering</v>
      </c>
      <c r="M5271" s="6" t="str">
        <f>IFERROR(__xludf.DUMMYFUNCTION("""COMPUTED_VALUE"""),"Mochammad Fadhillah Hakim,")</f>
        <v>Mochammad Fadhillah Hakim,</v>
      </c>
      <c r="N5271" s="6" t="str">
        <f>IFERROR(__xludf.DUMMYFUNCTION("""COMPUTED_VALUE"""),"FIP Engineering")</f>
        <v>FIP Engineering</v>
      </c>
      <c r="O5271" s="6" t="str">
        <f>IFERROR(__xludf.DUMMYFUNCTION("""COMPUTED_VALUE"""),"FIP-DOM-000-11304-OS00001-INA-000000")</f>
        <v>FIP-DOM-000-11304-OS00001-INA-000000</v>
      </c>
      <c r="P5271" s="6" t="str">
        <f>IFERROR(__xludf.DUMMYFUNCTION("""COMPUTED_VALUE"""),"PO Closed")</f>
        <v>PO Closed</v>
      </c>
      <c r="Q5271" s="6" t="str">
        <f>IFERROR(__xludf.DUMMYFUNCTION("""COMPUTED_VALUE"""),"GL2607379")</f>
        <v>GL2607379</v>
      </c>
      <c r="R5271" s="57">
        <f>IFERROR(__xludf.DUMMYFUNCTION("""COMPUTED_VALUE"""),46203.0)</f>
        <v>46203</v>
      </c>
      <c r="S5271" s="57">
        <f>IFERROR(__xludf.DUMMYFUNCTION("""COMPUTED_VALUE"""),46204.0)</f>
        <v>46204</v>
      </c>
      <c r="T5271" s="57">
        <f>IFERROR(__xludf.DUMMYFUNCTION("""COMPUTED_VALUE"""),46264.0)</f>
        <v>46264</v>
      </c>
    </row>
    <row r="5272">
      <c r="A5272" s="6" t="str">
        <f>IFERROR(__xludf.DUMMYFUNCTION("""COMPUTED_VALUE"""),"121704369-6")</f>
        <v>121704369-6</v>
      </c>
      <c r="B5272" s="6" t="str">
        <f>IFERROR(__xludf.DUMMYFUNCTION("""COMPUTED_VALUE"""),"121704369 - APPROVED")</f>
        <v>121704369 - APPROVED</v>
      </c>
      <c r="C5272" s="6">
        <f>IFERROR(__xludf.DUMMYFUNCTION("""COMPUTED_VALUE"""),6.0)</f>
        <v>6</v>
      </c>
      <c r="D5272" s="6" t="str">
        <f>IFERROR(__xludf.DUMMYFUNCTION("""COMPUTED_VALUE"""),"P-20851-00")</f>
        <v>P-20851-00</v>
      </c>
      <c r="E5272" s="6" t="str">
        <f>IFERROR(__xludf.DUMMYFUNCTION("""COMPUTED_VALUE"""),"General - Rivet Nut Aluminium M4; No Brand; -; 50pcs/box")</f>
        <v>General - Rivet Nut Aluminium M4; No Brand; -; 50pcs/box</v>
      </c>
      <c r="F5272" s="6">
        <f>IFERROR(__xludf.DUMMYFUNCTION("""COMPUTED_VALUE"""),1.0)</f>
        <v>1</v>
      </c>
      <c r="G5272" s="6" t="str">
        <f>IFERROR(__xludf.DUMMYFUNCTION("""COMPUTED_VALUE"""),"Box")</f>
        <v>Box</v>
      </c>
      <c r="H5272" s="6" t="str">
        <f>IFERROR(__xludf.DUMMYFUNCTION("""COMPUTED_VALUE"""),"IDR")</f>
        <v>IDR</v>
      </c>
      <c r="I5272" s="6">
        <f>IFERROR(__xludf.DUMMYFUNCTION("""COMPUTED_VALUE"""),75000.0)</f>
        <v>75000</v>
      </c>
      <c r="J5272" s="6">
        <f>IFERROR(__xludf.DUMMYFUNCTION("""COMPUTED_VALUE"""),75000.0)</f>
        <v>75000</v>
      </c>
      <c r="K5272" s="57">
        <f>IFERROR(__xludf.DUMMYFUNCTION("""COMPUTED_VALUE"""),46241.0)</f>
        <v>46241</v>
      </c>
      <c r="L5272" s="6" t="str">
        <f>IFERROR(__xludf.DUMMYFUNCTION("""COMPUTED_VALUE"""),"FIP Engineering")</f>
        <v>FIP Engineering</v>
      </c>
      <c r="M5272" s="6" t="str">
        <f>IFERROR(__xludf.DUMMYFUNCTION("""COMPUTED_VALUE"""),"Mochammad Fadhillah Hakim,")</f>
        <v>Mochammad Fadhillah Hakim,</v>
      </c>
      <c r="N5272" s="6" t="str">
        <f>IFERROR(__xludf.DUMMYFUNCTION("""COMPUTED_VALUE"""),"FIP Engineering")</f>
        <v>FIP Engineering</v>
      </c>
      <c r="O5272" s="6" t="str">
        <f>IFERROR(__xludf.DUMMYFUNCTION("""COMPUTED_VALUE"""),"FIP-DOM-000-11304-OS00001-INA-000000")</f>
        <v>FIP-DOM-000-11304-OS00001-INA-000000</v>
      </c>
      <c r="P5272" s="6" t="str">
        <f>IFERROR(__xludf.DUMMYFUNCTION("""COMPUTED_VALUE"""),"PO Closed")</f>
        <v>PO Closed</v>
      </c>
      <c r="Q5272" s="6" t="str">
        <f>IFERROR(__xludf.DUMMYFUNCTION("""COMPUTED_VALUE"""),"GL2607379")</f>
        <v>GL2607379</v>
      </c>
      <c r="R5272" s="57">
        <f>IFERROR(__xludf.DUMMYFUNCTION("""COMPUTED_VALUE"""),46203.0)</f>
        <v>46203</v>
      </c>
      <c r="S5272" s="57">
        <f>IFERROR(__xludf.DUMMYFUNCTION("""COMPUTED_VALUE"""),46204.0)</f>
        <v>46204</v>
      </c>
      <c r="T5272" s="57">
        <f>IFERROR(__xludf.DUMMYFUNCTION("""COMPUTED_VALUE"""),46264.0)</f>
        <v>46264</v>
      </c>
    </row>
    <row r="5273">
      <c r="A5273" s="6" t="str">
        <f>IFERROR(__xludf.DUMMYFUNCTION("""COMPUTED_VALUE"""),"121704369-7")</f>
        <v>121704369-7</v>
      </c>
      <c r="B5273" s="6" t="str">
        <f>IFERROR(__xludf.DUMMYFUNCTION("""COMPUTED_VALUE"""),"121704369 - APPROVED")</f>
        <v>121704369 - APPROVED</v>
      </c>
      <c r="C5273" s="6">
        <f>IFERROR(__xludf.DUMMYFUNCTION("""COMPUTED_VALUE"""),7.0)</f>
        <v>7</v>
      </c>
      <c r="D5273" s="6" t="str">
        <f>IFERROR(__xludf.DUMMYFUNCTION("""COMPUTED_VALUE"""),"P-20855-00")</f>
        <v>P-20855-00</v>
      </c>
      <c r="E5273" s="6" t="str">
        <f>IFERROR(__xludf.DUMMYFUNCTION("""COMPUTED_VALUE"""),"General - Mur M10 SS304 A2-70; No Brand; -; 50pcs/box")</f>
        <v>General - Mur M10 SS304 A2-70; No Brand; -; 50pcs/box</v>
      </c>
      <c r="F5273" s="6">
        <f>IFERROR(__xludf.DUMMYFUNCTION("""COMPUTED_VALUE"""),3.0)</f>
        <v>3</v>
      </c>
      <c r="G5273" s="6" t="str">
        <f>IFERROR(__xludf.DUMMYFUNCTION("""COMPUTED_VALUE"""),"Box")</f>
        <v>Box</v>
      </c>
      <c r="H5273" s="6" t="str">
        <f>IFERROR(__xludf.DUMMYFUNCTION("""COMPUTED_VALUE"""),"IDR")</f>
        <v>IDR</v>
      </c>
      <c r="I5273" s="6">
        <f>IFERROR(__xludf.DUMMYFUNCTION("""COMPUTED_VALUE"""),75000.0)</f>
        <v>75000</v>
      </c>
      <c r="J5273" s="6">
        <f>IFERROR(__xludf.DUMMYFUNCTION("""COMPUTED_VALUE"""),225000.0)</f>
        <v>225000</v>
      </c>
      <c r="K5273" s="57">
        <f>IFERROR(__xludf.DUMMYFUNCTION("""COMPUTED_VALUE"""),46241.0)</f>
        <v>46241</v>
      </c>
      <c r="L5273" s="6" t="str">
        <f>IFERROR(__xludf.DUMMYFUNCTION("""COMPUTED_VALUE"""),"FIP Engineering")</f>
        <v>FIP Engineering</v>
      </c>
      <c r="M5273" s="6" t="str">
        <f>IFERROR(__xludf.DUMMYFUNCTION("""COMPUTED_VALUE"""),"Mochammad Fadhillah Hakim,")</f>
        <v>Mochammad Fadhillah Hakim,</v>
      </c>
      <c r="N5273" s="6" t="str">
        <f>IFERROR(__xludf.DUMMYFUNCTION("""COMPUTED_VALUE"""),"FIP Engineering")</f>
        <v>FIP Engineering</v>
      </c>
      <c r="O5273" s="6" t="str">
        <f>IFERROR(__xludf.DUMMYFUNCTION("""COMPUTED_VALUE"""),"FIP-DOM-000-11304-OS00001-INA-000000")</f>
        <v>FIP-DOM-000-11304-OS00001-INA-000000</v>
      </c>
      <c r="P5273" s="6" t="str">
        <f>IFERROR(__xludf.DUMMYFUNCTION("""COMPUTED_VALUE"""),"PO Closed")</f>
        <v>PO Closed</v>
      </c>
      <c r="Q5273" s="6" t="str">
        <f>IFERROR(__xludf.DUMMYFUNCTION("""COMPUTED_VALUE"""),"GL2607378")</f>
        <v>GL2607378</v>
      </c>
      <c r="R5273" s="57">
        <f>IFERROR(__xludf.DUMMYFUNCTION("""COMPUTED_VALUE"""),46203.0)</f>
        <v>46203</v>
      </c>
      <c r="S5273" s="57">
        <f>IFERROR(__xludf.DUMMYFUNCTION("""COMPUTED_VALUE"""),46204.0)</f>
        <v>46204</v>
      </c>
      <c r="T5273" s="57">
        <f>IFERROR(__xludf.DUMMYFUNCTION("""COMPUTED_VALUE"""),46264.0)</f>
        <v>46264</v>
      </c>
    </row>
    <row r="5274">
      <c r="A5274" s="6" t="str">
        <f>IFERROR(__xludf.DUMMYFUNCTION("""COMPUTED_VALUE"""),"121704369-8")</f>
        <v>121704369-8</v>
      </c>
      <c r="B5274" s="6" t="str">
        <f>IFERROR(__xludf.DUMMYFUNCTION("""COMPUTED_VALUE"""),"121704369 - APPROVED")</f>
        <v>121704369 - APPROVED</v>
      </c>
      <c r="C5274" s="6">
        <f>IFERROR(__xludf.DUMMYFUNCTION("""COMPUTED_VALUE"""),8.0)</f>
        <v>8</v>
      </c>
      <c r="D5274" s="6" t="str">
        <f>IFERROR(__xludf.DUMMYFUNCTION("""COMPUTED_VALUE"""),"Q-60107-00")</f>
        <v>Q-60107-00</v>
      </c>
      <c r="E5274" s="6" t="str">
        <f>IFERROR(__xludf.DUMMYFUNCTION("""COMPUTED_VALUE"""),"Hardener / Obat dempul sanpolac; ; ; pack size per tube")</f>
        <v>Hardener / Obat dempul sanpolac; ; ; pack size per tube</v>
      </c>
      <c r="F5274" s="6">
        <f>IFERROR(__xludf.DUMMYFUNCTION("""COMPUTED_VALUE"""),5.0)</f>
        <v>5</v>
      </c>
      <c r="G5274" s="6" t="str">
        <f>IFERROR(__xludf.DUMMYFUNCTION("""COMPUTED_VALUE"""),"Tube")</f>
        <v>Tube</v>
      </c>
      <c r="H5274" s="6" t="str">
        <f>IFERROR(__xludf.DUMMYFUNCTION("""COMPUTED_VALUE"""),"IDR")</f>
        <v>IDR</v>
      </c>
      <c r="I5274" s="6">
        <f>IFERROR(__xludf.DUMMYFUNCTION("""COMPUTED_VALUE"""),45000.0)</f>
        <v>45000</v>
      </c>
      <c r="J5274" s="6">
        <f>IFERROR(__xludf.DUMMYFUNCTION("""COMPUTED_VALUE"""),225000.0)</f>
        <v>225000</v>
      </c>
      <c r="K5274" s="57">
        <f>IFERROR(__xludf.DUMMYFUNCTION("""COMPUTED_VALUE"""),46241.0)</f>
        <v>46241</v>
      </c>
      <c r="L5274" s="6" t="str">
        <f>IFERROR(__xludf.DUMMYFUNCTION("""COMPUTED_VALUE"""),"FIP General")</f>
        <v>FIP General</v>
      </c>
      <c r="M5274" s="6" t="str">
        <f>IFERROR(__xludf.DUMMYFUNCTION("""COMPUTED_VALUE"""),"Mochammad Fadhillah Hakim,")</f>
        <v>Mochammad Fadhillah Hakim,</v>
      </c>
      <c r="N5274" s="6" t="str">
        <f>IFERROR(__xludf.DUMMYFUNCTION("""COMPUTED_VALUE"""),"FIP Engineering")</f>
        <v>FIP Engineering</v>
      </c>
      <c r="O5274" s="6" t="str">
        <f>IFERROR(__xludf.DUMMYFUNCTION("""COMPUTED_VALUE"""),"FIP-DOM-ENG-51502-0000000-INA-000000")</f>
        <v>FIP-DOM-ENG-51502-0000000-INA-000000</v>
      </c>
      <c r="P5274" s="6" t="str">
        <f>IFERROR(__xludf.DUMMYFUNCTION("""COMPUTED_VALUE"""),"PO Closed")</f>
        <v>PO Closed</v>
      </c>
      <c r="Q5274" s="6" t="str">
        <f>IFERROR(__xludf.DUMMYFUNCTION("""COMPUTED_VALUE"""),"GL2607035")</f>
        <v>GL2607035</v>
      </c>
      <c r="R5274" s="57">
        <f>IFERROR(__xludf.DUMMYFUNCTION("""COMPUTED_VALUE"""),46203.0)</f>
        <v>46203</v>
      </c>
      <c r="S5274" s="57">
        <f>IFERROR(__xludf.DUMMYFUNCTION("""COMPUTED_VALUE"""),46204.0)</f>
        <v>46204</v>
      </c>
      <c r="T5274" s="57">
        <f>IFERROR(__xludf.DUMMYFUNCTION("""COMPUTED_VALUE"""),46241.0)</f>
        <v>46241</v>
      </c>
    </row>
    <row r="5275">
      <c r="A5275" s="6" t="str">
        <f>IFERROR(__xludf.DUMMYFUNCTION("""COMPUTED_VALUE"""),"121704369-9")</f>
        <v>121704369-9</v>
      </c>
      <c r="B5275" s="6" t="str">
        <f>IFERROR(__xludf.DUMMYFUNCTION("""COMPUTED_VALUE"""),"121704369 - APPROVED")</f>
        <v>121704369 - APPROVED</v>
      </c>
      <c r="C5275" s="6">
        <f>IFERROR(__xludf.DUMMYFUNCTION("""COMPUTED_VALUE"""),9.0)</f>
        <v>9</v>
      </c>
      <c r="D5275" s="6" t="str">
        <f>IFERROR(__xludf.DUMMYFUNCTION("""COMPUTED_VALUE"""),"P-20852-00")</f>
        <v>P-20852-00</v>
      </c>
      <c r="E5275" s="6" t="str">
        <f>IFERROR(__xludf.DUMMYFUNCTION("""COMPUTED_VALUE"""),"General - Tungsten Electrode WT20-2.4mm x 150mm; No Brand; -; 10 pcs/pack")</f>
        <v>General - Tungsten Electrode WT20-2.4mm x 150mm; No Brand; -; 10 pcs/pack</v>
      </c>
      <c r="F5275" s="6">
        <f>IFERROR(__xludf.DUMMYFUNCTION("""COMPUTED_VALUE"""),1.0)</f>
        <v>1</v>
      </c>
      <c r="G5275" s="6" t="str">
        <f>IFERROR(__xludf.DUMMYFUNCTION("""COMPUTED_VALUE"""),"Pack")</f>
        <v>Pack</v>
      </c>
      <c r="H5275" s="6" t="str">
        <f>IFERROR(__xludf.DUMMYFUNCTION("""COMPUTED_VALUE"""),"IDR")</f>
        <v>IDR</v>
      </c>
      <c r="I5275" s="6">
        <f>IFERROR(__xludf.DUMMYFUNCTION("""COMPUTED_VALUE"""),1250000.0)</f>
        <v>1250000</v>
      </c>
      <c r="J5275" s="6">
        <f>IFERROR(__xludf.DUMMYFUNCTION("""COMPUTED_VALUE"""),1250000.0)</f>
        <v>1250000</v>
      </c>
      <c r="K5275" s="57">
        <f>IFERROR(__xludf.DUMMYFUNCTION("""COMPUTED_VALUE"""),46241.0)</f>
        <v>46241</v>
      </c>
      <c r="L5275" s="6" t="str">
        <f>IFERROR(__xludf.DUMMYFUNCTION("""COMPUTED_VALUE"""),"FIP Engineering")</f>
        <v>FIP Engineering</v>
      </c>
      <c r="M5275" s="6" t="str">
        <f>IFERROR(__xludf.DUMMYFUNCTION("""COMPUTED_VALUE"""),"Mochammad Fadhillah Hakim,")</f>
        <v>Mochammad Fadhillah Hakim,</v>
      </c>
      <c r="N5275" s="6" t="str">
        <f>IFERROR(__xludf.DUMMYFUNCTION("""COMPUTED_VALUE"""),"FIP Engineering")</f>
        <v>FIP Engineering</v>
      </c>
      <c r="O5275" s="6" t="str">
        <f>IFERROR(__xludf.DUMMYFUNCTION("""COMPUTED_VALUE"""),"FIP-DOM-000-11304-OS00001-INA-000000")</f>
        <v>FIP-DOM-000-11304-OS00001-INA-000000</v>
      </c>
      <c r="P5275" s="6" t="str">
        <f>IFERROR(__xludf.DUMMYFUNCTION("""COMPUTED_VALUE"""),"PO Closed")</f>
        <v>PO Closed</v>
      </c>
      <c r="Q5275" s="6" t="str">
        <f>IFERROR(__xludf.DUMMYFUNCTION("""COMPUTED_VALUE"""),"GL2607379")</f>
        <v>GL2607379</v>
      </c>
      <c r="R5275" s="57">
        <f>IFERROR(__xludf.DUMMYFUNCTION("""COMPUTED_VALUE"""),46203.0)</f>
        <v>46203</v>
      </c>
      <c r="S5275" s="57">
        <f>IFERROR(__xludf.DUMMYFUNCTION("""COMPUTED_VALUE"""),46204.0)</f>
        <v>46204</v>
      </c>
      <c r="T5275" s="57">
        <f>IFERROR(__xludf.DUMMYFUNCTION("""COMPUTED_VALUE"""),46264.0)</f>
        <v>46264</v>
      </c>
    </row>
    <row r="5276">
      <c r="A5276" s="6" t="str">
        <f>IFERROR(__xludf.DUMMYFUNCTION("""COMPUTED_VALUE"""),"121704375-1")</f>
        <v>121704375-1</v>
      </c>
      <c r="B5276" s="6" t="str">
        <f>IFERROR(__xludf.DUMMYFUNCTION("""COMPUTED_VALUE"""),"121704375 - APPROVED")</f>
        <v>121704375 - APPROVED</v>
      </c>
      <c r="C5276" s="6">
        <f>IFERROR(__xludf.DUMMYFUNCTION("""COMPUTED_VALUE"""),1.0)</f>
        <v>1</v>
      </c>
      <c r="D5276" s="6" t="str">
        <f>IFERROR(__xludf.DUMMYFUNCTION("""COMPUTED_VALUE"""),"O-50827-00")</f>
        <v>O-50827-00</v>
      </c>
      <c r="E5276" s="6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F5276" s="6">
        <f>IFERROR(__xludf.DUMMYFUNCTION("""COMPUTED_VALUE"""),1.0)</f>
        <v>1</v>
      </c>
      <c r="G5276" s="6" t="str">
        <f>IFERROR(__xludf.DUMMYFUNCTION("""COMPUTED_VALUE"""),"Unit")</f>
        <v>Unit</v>
      </c>
      <c r="H5276" s="6" t="str">
        <f>IFERROR(__xludf.DUMMYFUNCTION("""COMPUTED_VALUE"""),"IDR")</f>
        <v>IDR</v>
      </c>
      <c r="I5276" s="6">
        <f>IFERROR(__xludf.DUMMYFUNCTION("""COMPUTED_VALUE"""),1.6009104E7)</f>
        <v>16009104</v>
      </c>
      <c r="J5276" s="6">
        <f>IFERROR(__xludf.DUMMYFUNCTION("""COMPUTED_VALUE"""),1.6009104E7)</f>
        <v>16009104</v>
      </c>
      <c r="K5276" s="57">
        <f>IFERROR(__xludf.DUMMYFUNCTION("""COMPUTED_VALUE"""),46269.0)</f>
        <v>46269</v>
      </c>
      <c r="L5276" s="6" t="str">
        <f>IFERROR(__xludf.DUMMYFUNCTION("""COMPUTED_VALUE"""),"FIP Engineering")</f>
        <v>FIP Engineering</v>
      </c>
      <c r="M5276" s="6" t="str">
        <f>IFERROR(__xludf.DUMMYFUNCTION("""COMPUTED_VALUE"""),"Mochammad Fadhillah Hakim,")</f>
        <v>Mochammad Fadhillah Hakim,</v>
      </c>
      <c r="N5276" s="6" t="str">
        <f>IFERROR(__xludf.DUMMYFUNCTION("""COMPUTED_VALUE"""),"FIP Engineering")</f>
        <v>FIP Engineering</v>
      </c>
      <c r="O5276" s="6" t="str">
        <f>IFERROR(__xludf.DUMMYFUNCTION("""COMPUTED_VALUE"""),"FIP-DOM-000-11304-OS00001-INA-000000")</f>
        <v>FIP-DOM-000-11304-OS00001-INA-000000</v>
      </c>
      <c r="P5276" s="6" t="str">
        <f>IFERROR(__xludf.DUMMYFUNCTION("""COMPUTED_VALUE"""),"PO Closed")</f>
        <v>PO Closed</v>
      </c>
      <c r="Q5276" s="6" t="str">
        <f>IFERROR(__xludf.DUMMYFUNCTION("""COMPUTED_VALUE"""),"GL2607377")</f>
        <v>GL2607377</v>
      </c>
      <c r="R5276" s="57">
        <f>IFERROR(__xludf.DUMMYFUNCTION("""COMPUTED_VALUE"""),46204.0)</f>
        <v>46204</v>
      </c>
      <c r="S5276" s="57">
        <f>IFERROR(__xludf.DUMMYFUNCTION("""COMPUTED_VALUE"""),46204.0)</f>
        <v>46204</v>
      </c>
      <c r="T5276" s="57">
        <f>IFERROR(__xludf.DUMMYFUNCTION("""COMPUTED_VALUE"""),46269.0)</f>
        <v>46269</v>
      </c>
    </row>
    <row r="5277">
      <c r="A5277" s="6" t="str">
        <f>IFERROR(__xludf.DUMMYFUNCTION("""COMPUTED_VALUE"""),"121704377-1")</f>
        <v>121704377-1</v>
      </c>
      <c r="B5277" s="6" t="str">
        <f>IFERROR(__xludf.DUMMYFUNCTION("""COMPUTED_VALUE"""),"121704377 - APPROVED")</f>
        <v>121704377 - APPROVED</v>
      </c>
      <c r="C5277" s="6">
        <f>IFERROR(__xludf.DUMMYFUNCTION("""COMPUTED_VALUE"""),1.0)</f>
        <v>1</v>
      </c>
      <c r="D5277" s="6" t="str">
        <f>IFERROR(__xludf.DUMMYFUNCTION("""COMPUTED_VALUE"""),"P-18618-00")</f>
        <v>P-18618-00</v>
      </c>
      <c r="E5277" s="6" t="str">
        <f>IFERROR(__xludf.DUMMYFUNCTION("""COMPUTED_VALUE"""),"Chemical - Kuclean; No Brand; HL-351; 20L/can")</f>
        <v>Chemical - Kuclean; No Brand; HL-351; 20L/can</v>
      </c>
      <c r="F5277" s="6">
        <f>IFERROR(__xludf.DUMMYFUNCTION("""COMPUTED_VALUE"""),40.0)</f>
        <v>40</v>
      </c>
      <c r="G5277" s="6" t="str">
        <f>IFERROR(__xludf.DUMMYFUNCTION("""COMPUTED_VALUE"""),"Unit")</f>
        <v>Unit</v>
      </c>
      <c r="H5277" s="6" t="str">
        <f>IFERROR(__xludf.DUMMYFUNCTION("""COMPUTED_VALUE"""),"IDR")</f>
        <v>IDR</v>
      </c>
      <c r="I5277" s="6">
        <f>IFERROR(__xludf.DUMMYFUNCTION("""COMPUTED_VALUE"""),37000.0)</f>
        <v>37000</v>
      </c>
      <c r="J5277" s="6">
        <f>IFERROR(__xludf.DUMMYFUNCTION("""COMPUTED_VALUE"""),1480000.0)</f>
        <v>1480000</v>
      </c>
      <c r="K5277" s="57">
        <f>IFERROR(__xludf.DUMMYFUNCTION("""COMPUTED_VALUE"""),46241.0)</f>
        <v>46241</v>
      </c>
      <c r="L5277" s="6" t="str">
        <f>IFERROR(__xludf.DUMMYFUNCTION("""COMPUTED_VALUE"""),"FIP Engineering")</f>
        <v>FIP Engineering</v>
      </c>
      <c r="M5277" s="6" t="str">
        <f>IFERROR(__xludf.DUMMYFUNCTION("""COMPUTED_VALUE"""),"Mochammad Fadhillah Hakim,")</f>
        <v>Mochammad Fadhillah Hakim,</v>
      </c>
      <c r="N5277" s="6" t="str">
        <f>IFERROR(__xludf.DUMMYFUNCTION("""COMPUTED_VALUE"""),"FIP Engineering")</f>
        <v>FIP Engineering</v>
      </c>
      <c r="O5277" s="6" t="str">
        <f>IFERROR(__xludf.DUMMYFUNCTION("""COMPUTED_VALUE"""),"FIP-DOM-000-11304-OS00001-INA-000000")</f>
        <v>FIP-DOM-000-11304-OS00001-INA-000000</v>
      </c>
      <c r="P5277" s="6" t="str">
        <f>IFERROR(__xludf.DUMMYFUNCTION("""COMPUTED_VALUE"""),"PO Closed")</f>
        <v>PO Closed</v>
      </c>
      <c r="Q5277" s="6" t="str">
        <f>IFERROR(__xludf.DUMMYFUNCTION("""COMPUTED_VALUE"""),"GL2607370")</f>
        <v>GL2607370</v>
      </c>
      <c r="R5277" s="57">
        <f>IFERROR(__xludf.DUMMYFUNCTION("""COMPUTED_VALUE"""),46204.0)</f>
        <v>46204</v>
      </c>
      <c r="S5277" s="57">
        <f>IFERROR(__xludf.DUMMYFUNCTION("""COMPUTED_VALUE"""),46204.0)</f>
        <v>46204</v>
      </c>
      <c r="T5277" s="57">
        <f>IFERROR(__xludf.DUMMYFUNCTION("""COMPUTED_VALUE"""),46241.0)</f>
        <v>46241</v>
      </c>
    </row>
    <row r="5278">
      <c r="A5278" s="6" t="str">
        <f>IFERROR(__xludf.DUMMYFUNCTION("""COMPUTED_VALUE"""),"121704378-1")</f>
        <v>121704378-1</v>
      </c>
      <c r="B5278" s="6" t="str">
        <f>IFERROR(__xludf.DUMMYFUNCTION("""COMPUTED_VALUE"""),"121704378 - APPROVED")</f>
        <v>121704378 - APPROVED</v>
      </c>
      <c r="C5278" s="6">
        <f>IFERROR(__xludf.DUMMYFUNCTION("""COMPUTED_VALUE"""),1.0)</f>
        <v>1</v>
      </c>
      <c r="D5278" s="6" t="str">
        <f>IFERROR(__xludf.DUMMYFUNCTION("""COMPUTED_VALUE"""),"Q-12050-00")</f>
        <v>Q-12050-00</v>
      </c>
      <c r="E5278" s="6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F5278" s="6">
        <f>IFERROR(__xludf.DUMMYFUNCTION("""COMPUTED_VALUE"""),2.0)</f>
        <v>2</v>
      </c>
      <c r="G5278" s="6" t="str">
        <f>IFERROR(__xludf.DUMMYFUNCTION("""COMPUTED_VALUE"""),"Pieces")</f>
        <v>Pieces</v>
      </c>
      <c r="H5278" s="6" t="str">
        <f>IFERROR(__xludf.DUMMYFUNCTION("""COMPUTED_VALUE"""),"IDR")</f>
        <v>IDR</v>
      </c>
      <c r="I5278" s="6">
        <f>IFERROR(__xludf.DUMMYFUNCTION("""COMPUTED_VALUE"""),3500000.0)</f>
        <v>3500000</v>
      </c>
      <c r="J5278" s="6">
        <f>IFERROR(__xludf.DUMMYFUNCTION("""COMPUTED_VALUE"""),7000000.0)</f>
        <v>7000000</v>
      </c>
      <c r="K5278" s="57">
        <f>IFERROR(__xludf.DUMMYFUNCTION("""COMPUTED_VALUE"""),46241.0)</f>
        <v>46241</v>
      </c>
      <c r="L5278" s="6" t="str">
        <f>IFERROR(__xludf.DUMMYFUNCTION("""COMPUTED_VALUE"""),"FIP General")</f>
        <v>FIP General</v>
      </c>
      <c r="M5278" s="6" t="str">
        <f>IFERROR(__xludf.DUMMYFUNCTION("""COMPUTED_VALUE"""),"Mochammad Fadhillah Hakim,")</f>
        <v>Mochammad Fadhillah Hakim,</v>
      </c>
      <c r="N5278" s="6" t="str">
        <f>IFERROR(__xludf.DUMMYFUNCTION("""COMPUTED_VALUE"""),"FIP Engineering")</f>
        <v>FIP Engineering</v>
      </c>
      <c r="O5278" s="6" t="str">
        <f>IFERROR(__xludf.DUMMYFUNCTION("""COMPUTED_VALUE"""),"FIP-DOM-ENG-51502-0000000-INA-000000")</f>
        <v>FIP-DOM-ENG-51502-0000000-INA-000000</v>
      </c>
      <c r="P5278" s="6" t="str">
        <f>IFERROR(__xludf.DUMMYFUNCTION("""COMPUTED_VALUE"""),"PO Closed")</f>
        <v>PO Closed</v>
      </c>
      <c r="Q5278" s="6" t="str">
        <f>IFERROR(__xludf.DUMMYFUNCTION("""COMPUTED_VALUE"""),"GL2607024")</f>
        <v>GL2607024</v>
      </c>
      <c r="R5278" s="57">
        <f>IFERROR(__xludf.DUMMYFUNCTION("""COMPUTED_VALUE"""),46204.0)</f>
        <v>46204</v>
      </c>
      <c r="S5278" s="57">
        <f>IFERROR(__xludf.DUMMYFUNCTION("""COMPUTED_VALUE"""),46204.0)</f>
        <v>46204</v>
      </c>
      <c r="T5278" s="57">
        <f>IFERROR(__xludf.DUMMYFUNCTION("""COMPUTED_VALUE"""),46241.0)</f>
        <v>46241</v>
      </c>
    </row>
    <row r="5279">
      <c r="A5279" s="6" t="str">
        <f>IFERROR(__xludf.DUMMYFUNCTION("""COMPUTED_VALUE"""),"121704379-1")</f>
        <v>121704379-1</v>
      </c>
      <c r="B5279" s="6" t="str">
        <f>IFERROR(__xludf.DUMMYFUNCTION("""COMPUTED_VALUE"""),"121704379 - APPROVED")</f>
        <v>121704379 - APPROVED</v>
      </c>
      <c r="C5279" s="6">
        <f>IFERROR(__xludf.DUMMYFUNCTION("""COMPUTED_VALUE"""),1.0)</f>
        <v>1</v>
      </c>
      <c r="D5279" s="6" t="str">
        <f>IFERROR(__xludf.DUMMYFUNCTION("""COMPUTED_VALUE"""),"Q-70239-00")</f>
        <v>Q-70239-00</v>
      </c>
      <c r="E5279" s="6" t="str">
        <f>IFERROR(__xludf.DUMMYFUNCTION("""COMPUTED_VALUE"""),"Tang Buaya Bengkok 10 Inch (Curved Jaw); Tekiro; PL-LG0770; pc")</f>
        <v>Tang Buaya Bengkok 10 Inch (Curved Jaw); Tekiro; PL-LG0770; pc</v>
      </c>
      <c r="F5279" s="6">
        <f>IFERROR(__xludf.DUMMYFUNCTION("""COMPUTED_VALUE"""),1.0)</f>
        <v>1</v>
      </c>
      <c r="G5279" s="6" t="str">
        <f>IFERROR(__xludf.DUMMYFUNCTION("""COMPUTED_VALUE"""),"Pieces")</f>
        <v>Pieces</v>
      </c>
      <c r="H5279" s="6" t="str">
        <f>IFERROR(__xludf.DUMMYFUNCTION("""COMPUTED_VALUE"""),"IDR")</f>
        <v>IDR</v>
      </c>
      <c r="I5279" s="6">
        <f>IFERROR(__xludf.DUMMYFUNCTION("""COMPUTED_VALUE"""),143000.0)</f>
        <v>143000</v>
      </c>
      <c r="J5279" s="6">
        <f>IFERROR(__xludf.DUMMYFUNCTION("""COMPUTED_VALUE"""),143000.0)</f>
        <v>143000</v>
      </c>
      <c r="K5279" s="57">
        <f>IFERROR(__xludf.DUMMYFUNCTION("""COMPUTED_VALUE"""),46241.0)</f>
        <v>46241</v>
      </c>
      <c r="L5279" s="6" t="str">
        <f>IFERROR(__xludf.DUMMYFUNCTION("""COMPUTED_VALUE"""),"FIP General")</f>
        <v>FIP General</v>
      </c>
      <c r="M5279" s="6" t="str">
        <f>IFERROR(__xludf.DUMMYFUNCTION("""COMPUTED_VALUE"""),"Mochammad Fadhillah Hakim,")</f>
        <v>Mochammad Fadhillah Hakim,</v>
      </c>
      <c r="N5279" s="6" t="str">
        <f>IFERROR(__xludf.DUMMYFUNCTION("""COMPUTED_VALUE"""),"FIP Engineering")</f>
        <v>FIP Engineering</v>
      </c>
      <c r="O5279" s="6" t="str">
        <f>IFERROR(__xludf.DUMMYFUNCTION("""COMPUTED_VALUE"""),"FIP-DOM-ENG-51404-0000000-INA-000000")</f>
        <v>FIP-DOM-ENG-51404-0000000-INA-000000</v>
      </c>
      <c r="P5279" s="6" t="str">
        <f>IFERROR(__xludf.DUMMYFUNCTION("""COMPUTED_VALUE"""),"PO Open")</f>
        <v>PO Open</v>
      </c>
      <c r="Q5279" s="6" t="str">
        <f>IFERROR(__xludf.DUMMYFUNCTION("""COMPUTED_VALUE"""),"GL2608001")</f>
        <v>GL2608001</v>
      </c>
      <c r="R5279" s="57">
        <f>IFERROR(__xludf.DUMMYFUNCTION("""COMPUTED_VALUE"""),46204.0)</f>
        <v>46204</v>
      </c>
      <c r="S5279" s="57">
        <f>IFERROR(__xludf.DUMMYFUNCTION("""COMPUTED_VALUE"""),46204.0)</f>
        <v>46204</v>
      </c>
      <c r="T5279" s="57">
        <f>IFERROR(__xludf.DUMMYFUNCTION("""COMPUTED_VALUE"""),46286.0)</f>
        <v>46286</v>
      </c>
    </row>
    <row r="5280">
      <c r="A5280" s="6" t="str">
        <f>IFERROR(__xludf.DUMMYFUNCTION("""COMPUTED_VALUE"""),"121704380-1")</f>
        <v>121704380-1</v>
      </c>
      <c r="B5280" s="6" t="str">
        <f>IFERROR(__xludf.DUMMYFUNCTION("""COMPUTED_VALUE"""),"121704380 - APPROVED")</f>
        <v>121704380 - APPROVED</v>
      </c>
      <c r="C5280" s="6">
        <f>IFERROR(__xludf.DUMMYFUNCTION("""COMPUTED_VALUE"""),1.0)</f>
        <v>1</v>
      </c>
      <c r="D5280" s="6" t="str">
        <f>IFERROR(__xludf.DUMMYFUNCTION("""COMPUTED_VALUE"""),"Q-10985-00")</f>
        <v>Q-10985-00</v>
      </c>
      <c r="E5280" s="6" t="str">
        <f>IFERROR(__xludf.DUMMYFUNCTION("""COMPUTED_VALUE"""),"Keramik Granito Warna Crystal White Sand 60x60; Granito; ;")</f>
        <v>Keramik Granito Warna Crystal White Sand 60x60; Granito; ;</v>
      </c>
      <c r="F5280" s="6">
        <f>IFERROR(__xludf.DUMMYFUNCTION("""COMPUTED_VALUE"""),4.0)</f>
        <v>4</v>
      </c>
      <c r="G5280" s="6" t="str">
        <f>IFERROR(__xludf.DUMMYFUNCTION("""COMPUTED_VALUE"""),"Box")</f>
        <v>Box</v>
      </c>
      <c r="H5280" s="6" t="str">
        <f>IFERROR(__xludf.DUMMYFUNCTION("""COMPUTED_VALUE"""),"IDR")</f>
        <v>IDR</v>
      </c>
      <c r="I5280" s="6">
        <f>IFERROR(__xludf.DUMMYFUNCTION("""COMPUTED_VALUE"""),428000.0)</f>
        <v>428000</v>
      </c>
      <c r="J5280" s="6">
        <f>IFERROR(__xludf.DUMMYFUNCTION("""COMPUTED_VALUE"""),1712000.0)</f>
        <v>1712000</v>
      </c>
      <c r="K5280" s="57">
        <f>IFERROR(__xludf.DUMMYFUNCTION("""COMPUTED_VALUE"""),46241.0)</f>
        <v>46241</v>
      </c>
      <c r="L5280" s="6" t="str">
        <f>IFERROR(__xludf.DUMMYFUNCTION("""COMPUTED_VALUE"""),"FIP General")</f>
        <v>FIP General</v>
      </c>
      <c r="M5280" s="6" t="str">
        <f>IFERROR(__xludf.DUMMYFUNCTION("""COMPUTED_VALUE"""),"Mochammad Fadhillah Hakim,")</f>
        <v>Mochammad Fadhillah Hakim,</v>
      </c>
      <c r="N5280" s="6" t="str">
        <f>IFERROR(__xludf.DUMMYFUNCTION("""COMPUTED_VALUE"""),"FIP Engineering")</f>
        <v>FIP Engineering</v>
      </c>
      <c r="O5280" s="6" t="str">
        <f>IFERROR(__xludf.DUMMYFUNCTION("""COMPUTED_VALUE"""),"FIP-DOM-ENG-51502-0000000-INA-000000")</f>
        <v>FIP-DOM-ENG-51502-0000000-INA-000000</v>
      </c>
      <c r="P5280" s="6" t="str">
        <f>IFERROR(__xludf.DUMMYFUNCTION("""COMPUTED_VALUE"""),"PO Open")</f>
        <v>PO Open</v>
      </c>
      <c r="Q5280" s="6" t="str">
        <f>IFERROR(__xludf.DUMMYFUNCTION("""COMPUTED_VALUE"""),"GL2608001")</f>
        <v>GL2608001</v>
      </c>
      <c r="R5280" s="57">
        <f>IFERROR(__xludf.DUMMYFUNCTION("""COMPUTED_VALUE"""),46204.0)</f>
        <v>46204</v>
      </c>
      <c r="S5280" s="57">
        <f>IFERROR(__xludf.DUMMYFUNCTION("""COMPUTED_VALUE"""),46204.0)</f>
        <v>46204</v>
      </c>
      <c r="T5280" s="57">
        <f>IFERROR(__xludf.DUMMYFUNCTION("""COMPUTED_VALUE"""),46286.0)</f>
        <v>46286</v>
      </c>
    </row>
    <row r="5281">
      <c r="A5281" s="6" t="str">
        <f>IFERROR(__xludf.DUMMYFUNCTION("""COMPUTED_VALUE"""),"121704380-2")</f>
        <v>121704380-2</v>
      </c>
      <c r="B5281" s="6" t="str">
        <f>IFERROR(__xludf.DUMMYFUNCTION("""COMPUTED_VALUE"""),"121704380 - APPROVED")</f>
        <v>121704380 - APPROVED</v>
      </c>
      <c r="C5281" s="6">
        <f>IFERROR(__xludf.DUMMYFUNCTION("""COMPUTED_VALUE"""),2.0)</f>
        <v>2</v>
      </c>
      <c r="D5281" s="6" t="str">
        <f>IFERROR(__xludf.DUMMYFUNCTION("""COMPUTED_VALUE"""),"P-52228-00")</f>
        <v>P-52228-00</v>
      </c>
      <c r="E5281" s="6" t="str">
        <f>IFERROR(__xludf.DUMMYFUNCTION("""COMPUTED_VALUE"""),"General - Inline Duct Fan 6""; CKE; CDI-150; 1 pcs")</f>
        <v>General - Inline Duct Fan 6"; CKE; CDI-150; 1 pcs</v>
      </c>
      <c r="F5281" s="6">
        <f>IFERROR(__xludf.DUMMYFUNCTION("""COMPUTED_VALUE"""),1.0)</f>
        <v>1</v>
      </c>
      <c r="G5281" s="6" t="str">
        <f>IFERROR(__xludf.DUMMYFUNCTION("""COMPUTED_VALUE"""),"Pieces")</f>
        <v>Pieces</v>
      </c>
      <c r="H5281" s="6" t="str">
        <f>IFERROR(__xludf.DUMMYFUNCTION("""COMPUTED_VALUE"""),"IDR")</f>
        <v>IDR</v>
      </c>
      <c r="I5281" s="6">
        <f>IFERROR(__xludf.DUMMYFUNCTION("""COMPUTED_VALUE"""),1250000.0)</f>
        <v>1250000</v>
      </c>
      <c r="J5281" s="6">
        <f>IFERROR(__xludf.DUMMYFUNCTION("""COMPUTED_VALUE"""),1250000.0)</f>
        <v>1250000</v>
      </c>
      <c r="K5281" s="57">
        <f>IFERROR(__xludf.DUMMYFUNCTION("""COMPUTED_VALUE"""),46241.0)</f>
        <v>46241</v>
      </c>
      <c r="L5281" s="6" t="str">
        <f>IFERROR(__xludf.DUMMYFUNCTION("""COMPUTED_VALUE"""),"FIP Engineering")</f>
        <v>FIP Engineering</v>
      </c>
      <c r="M5281" s="6" t="str">
        <f>IFERROR(__xludf.DUMMYFUNCTION("""COMPUTED_VALUE"""),"Mochammad Fadhillah Hakim,")</f>
        <v>Mochammad Fadhillah Hakim,</v>
      </c>
      <c r="N5281" s="6" t="str">
        <f>IFERROR(__xludf.DUMMYFUNCTION("""COMPUTED_VALUE"""),"FIP Engineering")</f>
        <v>FIP Engineering</v>
      </c>
      <c r="O5281" s="6" t="str">
        <f>IFERROR(__xludf.DUMMYFUNCTION("""COMPUTED_VALUE"""),"FIP-DOM-000-11304-OS00001-INA-000000")</f>
        <v>FIP-DOM-000-11304-OS00001-INA-000000</v>
      </c>
      <c r="P5281" s="6" t="str">
        <f>IFERROR(__xludf.DUMMYFUNCTION("""COMPUTED_VALUE"""),"PO Closed")</f>
        <v>PO Closed</v>
      </c>
      <c r="Q5281" s="6" t="str">
        <f>IFERROR(__xludf.DUMMYFUNCTION("""COMPUTED_VALUE"""),"GL2607378")</f>
        <v>GL2607378</v>
      </c>
      <c r="R5281" s="57">
        <f>IFERROR(__xludf.DUMMYFUNCTION("""COMPUTED_VALUE"""),46204.0)</f>
        <v>46204</v>
      </c>
      <c r="S5281" s="57">
        <f>IFERROR(__xludf.DUMMYFUNCTION("""COMPUTED_VALUE"""),46204.0)</f>
        <v>46204</v>
      </c>
      <c r="T5281" s="57">
        <f>IFERROR(__xludf.DUMMYFUNCTION("""COMPUTED_VALUE"""),46264.0)</f>
        <v>46264</v>
      </c>
    </row>
    <row r="5282">
      <c r="A5282" s="6" t="str">
        <f>IFERROR(__xludf.DUMMYFUNCTION("""COMPUTED_VALUE"""),"121704380-3")</f>
        <v>121704380-3</v>
      </c>
      <c r="B5282" s="6" t="str">
        <f>IFERROR(__xludf.DUMMYFUNCTION("""COMPUTED_VALUE"""),"121704380 - APPROVED")</f>
        <v>121704380 - APPROVED</v>
      </c>
      <c r="C5282" s="6">
        <f>IFERROR(__xludf.DUMMYFUNCTION("""COMPUTED_VALUE"""),3.0)</f>
        <v>3</v>
      </c>
      <c r="D5282" s="6" t="str">
        <f>IFERROR(__xludf.DUMMYFUNCTION("""COMPUTED_VALUE"""),"P-52110-00")</f>
        <v>P-52110-00</v>
      </c>
      <c r="E5282" s="6" t="str">
        <f>IFERROR(__xludf.DUMMYFUNCTION("""COMPUTED_VALUE"""),"General - Capacitor, 5 uF, 500 V, 50/60 Hz; No Brand; -; 1 pcs")</f>
        <v>General - Capacitor, 5 uF, 500 V, 50/60 Hz; No Brand; -; 1 pcs</v>
      </c>
      <c r="F5282" s="6">
        <f>IFERROR(__xludf.DUMMYFUNCTION("""COMPUTED_VALUE"""),5.0)</f>
        <v>5</v>
      </c>
      <c r="G5282" s="6" t="str">
        <f>IFERROR(__xludf.DUMMYFUNCTION("""COMPUTED_VALUE"""),"Pieces")</f>
        <v>Pieces</v>
      </c>
      <c r="H5282" s="6" t="str">
        <f>IFERROR(__xludf.DUMMYFUNCTION("""COMPUTED_VALUE"""),"IDR")</f>
        <v>IDR</v>
      </c>
      <c r="I5282" s="6">
        <f>IFERROR(__xludf.DUMMYFUNCTION("""COMPUTED_VALUE"""),18500.0)</f>
        <v>18500</v>
      </c>
      <c r="J5282" s="6">
        <f>IFERROR(__xludf.DUMMYFUNCTION("""COMPUTED_VALUE"""),92500.0)</f>
        <v>92500</v>
      </c>
      <c r="K5282" s="57">
        <f>IFERROR(__xludf.DUMMYFUNCTION("""COMPUTED_VALUE"""),46241.0)</f>
        <v>46241</v>
      </c>
      <c r="L5282" s="6" t="str">
        <f>IFERROR(__xludf.DUMMYFUNCTION("""COMPUTED_VALUE"""),"FIP Engineering")</f>
        <v>FIP Engineering</v>
      </c>
      <c r="M5282" s="6" t="str">
        <f>IFERROR(__xludf.DUMMYFUNCTION("""COMPUTED_VALUE"""),"Mochammad Fadhillah Hakim,")</f>
        <v>Mochammad Fadhillah Hakim,</v>
      </c>
      <c r="N5282" s="6" t="str">
        <f>IFERROR(__xludf.DUMMYFUNCTION("""COMPUTED_VALUE"""),"FIP Engineering")</f>
        <v>FIP Engineering</v>
      </c>
      <c r="O5282" s="6" t="str">
        <f>IFERROR(__xludf.DUMMYFUNCTION("""COMPUTED_VALUE"""),"FIP-DOM-000-11304-OS00001-INA-000000")</f>
        <v>FIP-DOM-000-11304-OS00001-INA-000000</v>
      </c>
      <c r="P5282" s="6" t="str">
        <f>IFERROR(__xludf.DUMMYFUNCTION("""COMPUTED_VALUE"""),"PO Closed")</f>
        <v>PO Closed</v>
      </c>
      <c r="Q5282" s="6" t="str">
        <f>IFERROR(__xludf.DUMMYFUNCTION("""COMPUTED_VALUE"""),"GL2607378")</f>
        <v>GL2607378</v>
      </c>
      <c r="R5282" s="57">
        <f>IFERROR(__xludf.DUMMYFUNCTION("""COMPUTED_VALUE"""),46204.0)</f>
        <v>46204</v>
      </c>
      <c r="S5282" s="57">
        <f>IFERROR(__xludf.DUMMYFUNCTION("""COMPUTED_VALUE"""),46204.0)</f>
        <v>46204</v>
      </c>
      <c r="T5282" s="57">
        <f>IFERROR(__xludf.DUMMYFUNCTION("""COMPUTED_VALUE"""),46264.0)</f>
        <v>46264</v>
      </c>
    </row>
    <row r="5283">
      <c r="A5283" s="6" t="str">
        <f>IFERROR(__xludf.DUMMYFUNCTION("""COMPUTED_VALUE"""),"121704381-1")</f>
        <v>121704381-1</v>
      </c>
      <c r="B5283" s="6" t="str">
        <f>IFERROR(__xludf.DUMMYFUNCTION("""COMPUTED_VALUE"""),"121704381 - APPROVED")</f>
        <v>121704381 - APPROVED</v>
      </c>
      <c r="C5283" s="6">
        <f>IFERROR(__xludf.DUMMYFUNCTION("""COMPUTED_VALUE"""),1.0)</f>
        <v>1</v>
      </c>
      <c r="D5283" s="6" t="str">
        <f>IFERROR(__xludf.DUMMYFUNCTION("""COMPUTED_VALUE"""),"P-20853-00")</f>
        <v>P-20853-00</v>
      </c>
      <c r="E5283" s="6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F5283" s="6">
        <f>IFERROR(__xludf.DUMMYFUNCTION("""COMPUTED_VALUE"""),1.0)</f>
        <v>1</v>
      </c>
      <c r="G5283" s="6" t="str">
        <f>IFERROR(__xludf.DUMMYFUNCTION("""COMPUTED_VALUE"""),"Pieces")</f>
        <v>Pieces</v>
      </c>
      <c r="H5283" s="6" t="str">
        <f>IFERROR(__xludf.DUMMYFUNCTION("""COMPUTED_VALUE"""),"IDR")</f>
        <v>IDR</v>
      </c>
      <c r="I5283" s="6">
        <f>IFERROR(__xludf.DUMMYFUNCTION("""COMPUTED_VALUE"""),3.92E7)</f>
        <v>39200000</v>
      </c>
      <c r="J5283" s="6">
        <f>IFERROR(__xludf.DUMMYFUNCTION("""COMPUTED_VALUE"""),3.92E7)</f>
        <v>39200000</v>
      </c>
      <c r="K5283" s="57">
        <f>IFERROR(__xludf.DUMMYFUNCTION("""COMPUTED_VALUE"""),46269.0)</f>
        <v>46269</v>
      </c>
      <c r="L5283" s="6" t="str">
        <f>IFERROR(__xludf.DUMMYFUNCTION("""COMPUTED_VALUE"""),"FIP Engineering")</f>
        <v>FIP Engineering</v>
      </c>
      <c r="M5283" s="6" t="str">
        <f>IFERROR(__xludf.DUMMYFUNCTION("""COMPUTED_VALUE"""),"Mochammad Fadhillah Hakim,")</f>
        <v>Mochammad Fadhillah Hakim,</v>
      </c>
      <c r="N5283" s="6" t="str">
        <f>IFERROR(__xludf.DUMMYFUNCTION("""COMPUTED_VALUE"""),"FIP Engineering")</f>
        <v>FIP Engineering</v>
      </c>
      <c r="O5283" s="6" t="str">
        <f>IFERROR(__xludf.DUMMYFUNCTION("""COMPUTED_VALUE"""),"FIP-DOM-000-11304-OS00001-INA-000000")</f>
        <v>FIP-DOM-000-11304-OS00001-INA-000000</v>
      </c>
      <c r="P5283" s="6" t="str">
        <f>IFERROR(__xludf.DUMMYFUNCTION("""COMPUTED_VALUE"""),"PO Closed")</f>
        <v>PO Closed</v>
      </c>
      <c r="Q5283" s="6" t="str">
        <f>IFERROR(__xludf.DUMMYFUNCTION("""COMPUTED_VALUE"""),"GL2607010")</f>
        <v>GL2607010</v>
      </c>
      <c r="R5283" s="57">
        <f>IFERROR(__xludf.DUMMYFUNCTION("""COMPUTED_VALUE"""),46204.0)</f>
        <v>46204</v>
      </c>
      <c r="S5283" s="57">
        <f>IFERROR(__xludf.DUMMYFUNCTION("""COMPUTED_VALUE"""),46205.0)</f>
        <v>46205</v>
      </c>
      <c r="T5283" s="57">
        <f>IFERROR(__xludf.DUMMYFUNCTION("""COMPUTED_VALUE"""),46269.0)</f>
        <v>46269</v>
      </c>
    </row>
    <row r="5284">
      <c r="A5284" s="6" t="str">
        <f>IFERROR(__xludf.DUMMYFUNCTION("""COMPUTED_VALUE"""),"121704382-1")</f>
        <v>121704382-1</v>
      </c>
      <c r="B5284" s="6" t="str">
        <f>IFERROR(__xludf.DUMMYFUNCTION("""COMPUTED_VALUE"""),"121704382 - APPROVED")</f>
        <v>121704382 - APPROVED</v>
      </c>
      <c r="C5284" s="6">
        <f>IFERROR(__xludf.DUMMYFUNCTION("""COMPUTED_VALUE"""),1.0)</f>
        <v>1</v>
      </c>
      <c r="D5284" s="6" t="str">
        <f>IFERROR(__xludf.DUMMYFUNCTION("""COMPUTED_VALUE"""),"P-18140-00")</f>
        <v>P-18140-00</v>
      </c>
      <c r="E5284" s="6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F5284" s="6">
        <f>IFERROR(__xludf.DUMMYFUNCTION("""COMPUTED_VALUE"""),2.0)</f>
        <v>2</v>
      </c>
      <c r="G5284" s="6" t="str">
        <f>IFERROR(__xludf.DUMMYFUNCTION("""COMPUTED_VALUE"""),"Pieces")</f>
        <v>Pieces</v>
      </c>
      <c r="H5284" s="6" t="str">
        <f>IFERROR(__xludf.DUMMYFUNCTION("""COMPUTED_VALUE"""),"IDR")</f>
        <v>IDR</v>
      </c>
      <c r="I5284" s="6">
        <f>IFERROR(__xludf.DUMMYFUNCTION("""COMPUTED_VALUE"""),1150000.0)</f>
        <v>1150000</v>
      </c>
      <c r="J5284" s="6">
        <f>IFERROR(__xludf.DUMMYFUNCTION("""COMPUTED_VALUE"""),2300000.0)</f>
        <v>2300000</v>
      </c>
      <c r="K5284" s="57">
        <f>IFERROR(__xludf.DUMMYFUNCTION("""COMPUTED_VALUE"""),46269.0)</f>
        <v>46269</v>
      </c>
      <c r="L5284" s="6" t="str">
        <f>IFERROR(__xludf.DUMMYFUNCTION("""COMPUTED_VALUE"""),"FIP Engineering")</f>
        <v>FIP Engineering</v>
      </c>
      <c r="M5284" s="6" t="str">
        <f>IFERROR(__xludf.DUMMYFUNCTION("""COMPUTED_VALUE"""),"Mochammad Fadhillah Hakim,")</f>
        <v>Mochammad Fadhillah Hakim,</v>
      </c>
      <c r="N5284" s="6" t="str">
        <f>IFERROR(__xludf.DUMMYFUNCTION("""COMPUTED_VALUE"""),"FIP Engineering")</f>
        <v>FIP Engineering</v>
      </c>
      <c r="O5284" s="6" t="str">
        <f>IFERROR(__xludf.DUMMYFUNCTION("""COMPUTED_VALUE"""),"FIP-DOM-000-11304-OS00001-INA-000000")</f>
        <v>FIP-DOM-000-11304-OS00001-INA-000000</v>
      </c>
      <c r="P5284" s="6" t="str">
        <f>IFERROR(__xludf.DUMMYFUNCTION("""COMPUTED_VALUE"""),"PO Open")</f>
        <v>PO Open</v>
      </c>
      <c r="Q5284" s="6" t="str">
        <f>IFERROR(__xludf.DUMMYFUNCTION("""COMPUTED_VALUE"""),"GL2605044")</f>
        <v>GL2605044</v>
      </c>
      <c r="R5284" s="57">
        <f>IFERROR(__xludf.DUMMYFUNCTION("""COMPUTED_VALUE"""),46204.0)</f>
        <v>46204</v>
      </c>
      <c r="S5284" s="57">
        <f>IFERROR(__xludf.DUMMYFUNCTION("""COMPUTED_VALUE"""),46204.0)</f>
        <v>46204</v>
      </c>
      <c r="T5284" s="57">
        <f>IFERROR(__xludf.DUMMYFUNCTION("""COMPUTED_VALUE"""),46269.0)</f>
        <v>46269</v>
      </c>
    </row>
    <row r="5285">
      <c r="A5285" s="6" t="str">
        <f>IFERROR(__xludf.DUMMYFUNCTION("""COMPUTED_VALUE"""),"121704383-1")</f>
        <v>121704383-1</v>
      </c>
      <c r="B5285" s="6" t="str">
        <f>IFERROR(__xludf.DUMMYFUNCTION("""COMPUTED_VALUE"""),"121704383 - APPROVED")</f>
        <v>121704383 - APPROVED</v>
      </c>
      <c r="C5285" s="6">
        <f>IFERROR(__xludf.DUMMYFUNCTION("""COMPUTED_VALUE"""),1.0)</f>
        <v>1</v>
      </c>
      <c r="D5285" s="6" t="str">
        <f>IFERROR(__xludf.DUMMYFUNCTION("""COMPUTED_VALUE"""),"T-10005-00")</f>
        <v>T-10005-00</v>
      </c>
      <c r="E5285" s="6" t="str">
        <f>IFERROR(__xludf.DUMMYFUNCTION("""COMPUTED_VALUE"""),"Mouse; Logitech; M331 Silent Plus")</f>
        <v>Mouse; Logitech; M331 Silent Plus</v>
      </c>
      <c r="F5285" s="6">
        <f>IFERROR(__xludf.DUMMYFUNCTION("""COMPUTED_VALUE"""),2.0)</f>
        <v>2</v>
      </c>
      <c r="G5285" s="6" t="str">
        <f>IFERROR(__xludf.DUMMYFUNCTION("""COMPUTED_VALUE"""),"Pieces")</f>
        <v>Pieces</v>
      </c>
      <c r="H5285" s="6" t="str">
        <f>IFERROR(__xludf.DUMMYFUNCTION("""COMPUTED_VALUE"""),"IDR")</f>
        <v>IDR</v>
      </c>
      <c r="I5285" s="6">
        <f>IFERROR(__xludf.DUMMYFUNCTION("""COMPUTED_VALUE"""),250000.0)</f>
        <v>250000</v>
      </c>
      <c r="J5285" s="6">
        <f>IFERROR(__xludf.DUMMYFUNCTION("""COMPUTED_VALUE"""),500000.0)</f>
        <v>500000</v>
      </c>
      <c r="K5285" s="57">
        <f>IFERROR(__xludf.DUMMYFUNCTION("""COMPUTED_VALUE"""),46241.0)</f>
        <v>46241</v>
      </c>
      <c r="L5285" s="6" t="str">
        <f>IFERROR(__xludf.DUMMYFUNCTION("""COMPUTED_VALUE"""),"FIP General")</f>
        <v>FIP General</v>
      </c>
      <c r="M5285" s="6" t="str">
        <f>IFERROR(__xludf.DUMMYFUNCTION("""COMPUTED_VALUE"""),"Mochammad Fadhillah Hakim,")</f>
        <v>Mochammad Fadhillah Hakim,</v>
      </c>
      <c r="N5285" s="6" t="str">
        <f>IFERROR(__xludf.DUMMYFUNCTION("""COMPUTED_VALUE"""),"FIP Engineering")</f>
        <v>FIP Engineering</v>
      </c>
      <c r="O5285" s="6" t="str">
        <f>IFERROR(__xludf.DUMMYFUNCTION("""COMPUTED_VALUE"""),"FIP-DOM-ENG-51404-0000000-INA-000000")</f>
        <v>FIP-DOM-ENG-51404-0000000-INA-000000</v>
      </c>
      <c r="P5285" s="6" t="str">
        <f>IFERROR(__xludf.DUMMYFUNCTION("""COMPUTED_VALUE"""),"PO Closed")</f>
        <v>PO Closed</v>
      </c>
      <c r="Q5285" s="6" t="str">
        <f>IFERROR(__xludf.DUMMYFUNCTION("""COMPUTED_VALUE"""),"GL2607041")</f>
        <v>GL2607041</v>
      </c>
      <c r="R5285" s="57">
        <f>IFERROR(__xludf.DUMMYFUNCTION("""COMPUTED_VALUE"""),46204.0)</f>
        <v>46204</v>
      </c>
      <c r="S5285" s="57">
        <f>IFERROR(__xludf.DUMMYFUNCTION("""COMPUTED_VALUE"""),46205.0)</f>
        <v>46205</v>
      </c>
      <c r="T5285" s="57">
        <f>IFERROR(__xludf.DUMMYFUNCTION("""COMPUTED_VALUE"""),46241.0)</f>
        <v>46241</v>
      </c>
    </row>
    <row r="5286">
      <c r="A5286" s="6" t="str">
        <f>IFERROR(__xludf.DUMMYFUNCTION("""COMPUTED_VALUE"""),"121704384-1")</f>
        <v>121704384-1</v>
      </c>
      <c r="B5286" s="6" t="str">
        <f>IFERROR(__xludf.DUMMYFUNCTION("""COMPUTED_VALUE"""),"121704384 - APPROVED")</f>
        <v>121704384 - APPROVED</v>
      </c>
      <c r="C5286" s="6">
        <f>IFERROR(__xludf.DUMMYFUNCTION("""COMPUTED_VALUE"""),1.0)</f>
        <v>1</v>
      </c>
      <c r="D5286" s="6" t="str">
        <f>IFERROR(__xludf.DUMMYFUNCTION("""COMPUTED_VALUE"""),"P-10389-00")</f>
        <v>P-10389-00</v>
      </c>
      <c r="E5286" s="6" t="str">
        <f>IFERROR(__xludf.DUMMYFUNCTION("""COMPUTED_VALUE"""),"General - Ball Valve PVC 1 1/2inch; No Brand; -; 1 pcs")</f>
        <v>General - Ball Valve PVC 1 1/2inch; No Brand; -; 1 pcs</v>
      </c>
      <c r="F5286" s="6">
        <f>IFERROR(__xludf.DUMMYFUNCTION("""COMPUTED_VALUE"""),2.0)</f>
        <v>2</v>
      </c>
      <c r="G5286" s="6" t="str">
        <f>IFERROR(__xludf.DUMMYFUNCTION("""COMPUTED_VALUE"""),"Pieces")</f>
        <v>Pieces</v>
      </c>
      <c r="H5286" s="6" t="str">
        <f>IFERROR(__xludf.DUMMYFUNCTION("""COMPUTED_VALUE"""),"IDR")</f>
        <v>IDR</v>
      </c>
      <c r="I5286" s="6">
        <f>IFERROR(__xludf.DUMMYFUNCTION("""COMPUTED_VALUE"""),100000.0)</f>
        <v>100000</v>
      </c>
      <c r="J5286" s="6">
        <f>IFERROR(__xludf.DUMMYFUNCTION("""COMPUTED_VALUE"""),200000.0)</f>
        <v>200000</v>
      </c>
      <c r="K5286" s="57">
        <f>IFERROR(__xludf.DUMMYFUNCTION("""COMPUTED_VALUE"""),46241.0)</f>
        <v>46241</v>
      </c>
      <c r="L5286" s="6" t="str">
        <f>IFERROR(__xludf.DUMMYFUNCTION("""COMPUTED_VALUE"""),"FIP Engineering")</f>
        <v>FIP Engineering</v>
      </c>
      <c r="M5286" s="6" t="str">
        <f>IFERROR(__xludf.DUMMYFUNCTION("""COMPUTED_VALUE"""),"Mochammad Fadhillah Hakim,")</f>
        <v>Mochammad Fadhillah Hakim,</v>
      </c>
      <c r="N5286" s="6" t="str">
        <f>IFERROR(__xludf.DUMMYFUNCTION("""COMPUTED_VALUE"""),"FIP Engineering")</f>
        <v>FIP Engineering</v>
      </c>
      <c r="O5286" s="6" t="str">
        <f>IFERROR(__xludf.DUMMYFUNCTION("""COMPUTED_VALUE"""),"FIP-DOM-000-11304-OS00001-INA-000000")</f>
        <v>FIP-DOM-000-11304-OS00001-INA-000000</v>
      </c>
      <c r="P5286" s="6" t="str">
        <f>IFERROR(__xludf.DUMMYFUNCTION("""COMPUTED_VALUE"""),"PO Closed")</f>
        <v>PO Closed</v>
      </c>
      <c r="Q5286" s="6" t="str">
        <f>IFERROR(__xludf.DUMMYFUNCTION("""COMPUTED_VALUE"""),"GL2607369")</f>
        <v>GL2607369</v>
      </c>
      <c r="R5286" s="57">
        <f>IFERROR(__xludf.DUMMYFUNCTION("""COMPUTED_VALUE"""),46204.0)</f>
        <v>46204</v>
      </c>
      <c r="S5286" s="57">
        <f>IFERROR(__xludf.DUMMYFUNCTION("""COMPUTED_VALUE"""),46205.0)</f>
        <v>46205</v>
      </c>
      <c r="T5286" s="57">
        <f>IFERROR(__xludf.DUMMYFUNCTION("""COMPUTED_VALUE"""),46295.0)</f>
        <v>46295</v>
      </c>
    </row>
    <row r="5287">
      <c r="A5287" s="6" t="str">
        <f>IFERROR(__xludf.DUMMYFUNCTION("""COMPUTED_VALUE"""),"121704384-2")</f>
        <v>121704384-2</v>
      </c>
      <c r="B5287" s="6" t="str">
        <f>IFERROR(__xludf.DUMMYFUNCTION("""COMPUTED_VALUE"""),"121704384 - APPROVED")</f>
        <v>121704384 - APPROVED</v>
      </c>
      <c r="C5287" s="6">
        <f>IFERROR(__xludf.DUMMYFUNCTION("""COMPUTED_VALUE"""),2.0)</f>
        <v>2</v>
      </c>
      <c r="D5287" s="6" t="str">
        <f>IFERROR(__xludf.DUMMYFUNCTION("""COMPUTED_VALUE"""),"P-11836-00")</f>
        <v>P-11836-00</v>
      </c>
      <c r="E5287" s="6" t="str">
        <f>IFERROR(__xludf.DUMMYFUNCTION("""COMPUTED_VALUE"""),"Ball valve PVC dia 1 1/4 inch drat")</f>
        <v>Ball valve PVC dia 1 1/4 inch drat</v>
      </c>
      <c r="F5287" s="6">
        <f>IFERROR(__xludf.DUMMYFUNCTION("""COMPUTED_VALUE"""),2.0)</f>
        <v>2</v>
      </c>
      <c r="G5287" s="6" t="str">
        <f>IFERROR(__xludf.DUMMYFUNCTION("""COMPUTED_VALUE"""),"Pieces")</f>
        <v>Pieces</v>
      </c>
      <c r="H5287" s="6" t="str">
        <f>IFERROR(__xludf.DUMMYFUNCTION("""COMPUTED_VALUE"""),"IDR")</f>
        <v>IDR</v>
      </c>
      <c r="I5287" s="6">
        <f>IFERROR(__xludf.DUMMYFUNCTION("""COMPUTED_VALUE"""),100000.0)</f>
        <v>100000</v>
      </c>
      <c r="J5287" s="6">
        <f>IFERROR(__xludf.DUMMYFUNCTION("""COMPUTED_VALUE"""),200000.0)</f>
        <v>200000</v>
      </c>
      <c r="K5287" s="57">
        <f>IFERROR(__xludf.DUMMYFUNCTION("""COMPUTED_VALUE"""),46241.0)</f>
        <v>46241</v>
      </c>
      <c r="L5287" s="6" t="str">
        <f>IFERROR(__xludf.DUMMYFUNCTION("""COMPUTED_VALUE"""),"FIP Engineering")</f>
        <v>FIP Engineering</v>
      </c>
      <c r="M5287" s="6" t="str">
        <f>IFERROR(__xludf.DUMMYFUNCTION("""COMPUTED_VALUE"""),"Mochammad Fadhillah Hakim,")</f>
        <v>Mochammad Fadhillah Hakim,</v>
      </c>
      <c r="N5287" s="6" t="str">
        <f>IFERROR(__xludf.DUMMYFUNCTION("""COMPUTED_VALUE"""),"FIP Engineering")</f>
        <v>FIP Engineering</v>
      </c>
      <c r="O5287" s="6" t="str">
        <f>IFERROR(__xludf.DUMMYFUNCTION("""COMPUTED_VALUE"""),"FIP-DOM-000-11304-OS00001-INA-000000")</f>
        <v>FIP-DOM-000-11304-OS00001-INA-000000</v>
      </c>
      <c r="P5287" s="6" t="str">
        <f>IFERROR(__xludf.DUMMYFUNCTION("""COMPUTED_VALUE"""),"PO Closed")</f>
        <v>PO Closed</v>
      </c>
      <c r="Q5287" s="6" t="str">
        <f>IFERROR(__xludf.DUMMYFUNCTION("""COMPUTED_VALUE"""),"GL2607381")</f>
        <v>GL2607381</v>
      </c>
      <c r="R5287" s="57">
        <f>IFERROR(__xludf.DUMMYFUNCTION("""COMPUTED_VALUE"""),46204.0)</f>
        <v>46204</v>
      </c>
      <c r="S5287" s="57">
        <f>IFERROR(__xludf.DUMMYFUNCTION("""COMPUTED_VALUE"""),46205.0)</f>
        <v>46205</v>
      </c>
      <c r="T5287" s="57">
        <f>IFERROR(__xludf.DUMMYFUNCTION("""COMPUTED_VALUE"""),46264.0)</f>
        <v>46264</v>
      </c>
    </row>
    <row r="5288">
      <c r="A5288" s="6" t="str">
        <f>IFERROR(__xludf.DUMMYFUNCTION("""COMPUTED_VALUE"""),"121704384-3")</f>
        <v>121704384-3</v>
      </c>
      <c r="B5288" s="6" t="str">
        <f>IFERROR(__xludf.DUMMYFUNCTION("""COMPUTED_VALUE"""),"121704384 - APPROVED")</f>
        <v>121704384 - APPROVED</v>
      </c>
      <c r="C5288" s="6">
        <f>IFERROR(__xludf.DUMMYFUNCTION("""COMPUTED_VALUE"""),3.0)</f>
        <v>3</v>
      </c>
      <c r="D5288" s="6" t="str">
        <f>IFERROR(__xludf.DUMMYFUNCTION("""COMPUTED_VALUE"""),"P-10883-00")</f>
        <v>P-10883-00</v>
      </c>
      <c r="E5288" s="6" t="str">
        <f>IFERROR(__xludf.DUMMYFUNCTION("""COMPUTED_VALUE"""),"General - Socket Drat Dalam, PVC, 1 1/2""; Rucika; -; 1 pcs")</f>
        <v>General - Socket Drat Dalam, PVC, 1 1/2"; Rucika; -; 1 pcs</v>
      </c>
      <c r="F5288" s="6">
        <f>IFERROR(__xludf.DUMMYFUNCTION("""COMPUTED_VALUE"""),4.0)</f>
        <v>4</v>
      </c>
      <c r="G5288" s="6" t="str">
        <f>IFERROR(__xludf.DUMMYFUNCTION("""COMPUTED_VALUE"""),"Pieces")</f>
        <v>Pieces</v>
      </c>
      <c r="H5288" s="6" t="str">
        <f>IFERROR(__xludf.DUMMYFUNCTION("""COMPUTED_VALUE"""),"IDR")</f>
        <v>IDR</v>
      </c>
      <c r="I5288" s="6">
        <f>IFERROR(__xludf.DUMMYFUNCTION("""COMPUTED_VALUE"""),20000.0)</f>
        <v>20000</v>
      </c>
      <c r="J5288" s="6">
        <f>IFERROR(__xludf.DUMMYFUNCTION("""COMPUTED_VALUE"""),80000.0)</f>
        <v>80000</v>
      </c>
      <c r="K5288" s="57">
        <f>IFERROR(__xludf.DUMMYFUNCTION("""COMPUTED_VALUE"""),46241.0)</f>
        <v>46241</v>
      </c>
      <c r="L5288" s="6" t="str">
        <f>IFERROR(__xludf.DUMMYFUNCTION("""COMPUTED_VALUE"""),"FIP Engineering")</f>
        <v>FIP Engineering</v>
      </c>
      <c r="M5288" s="6" t="str">
        <f>IFERROR(__xludf.DUMMYFUNCTION("""COMPUTED_VALUE"""),"Mochammad Fadhillah Hakim,")</f>
        <v>Mochammad Fadhillah Hakim,</v>
      </c>
      <c r="N5288" s="6" t="str">
        <f>IFERROR(__xludf.DUMMYFUNCTION("""COMPUTED_VALUE"""),"FIP Engineering")</f>
        <v>FIP Engineering</v>
      </c>
      <c r="O5288" s="6" t="str">
        <f>IFERROR(__xludf.DUMMYFUNCTION("""COMPUTED_VALUE"""),"FIP-DOM-000-11304-OS00001-INA-000000")</f>
        <v>FIP-DOM-000-11304-OS00001-INA-000000</v>
      </c>
      <c r="P5288" s="6" t="str">
        <f>IFERROR(__xludf.DUMMYFUNCTION("""COMPUTED_VALUE"""),"PO Closed")</f>
        <v>PO Closed</v>
      </c>
      <c r="Q5288" s="6" t="str">
        <f>IFERROR(__xludf.DUMMYFUNCTION("""COMPUTED_VALUE"""),"GL2607369")</f>
        <v>GL2607369</v>
      </c>
      <c r="R5288" s="57">
        <f>IFERROR(__xludf.DUMMYFUNCTION("""COMPUTED_VALUE"""),46204.0)</f>
        <v>46204</v>
      </c>
      <c r="S5288" s="57">
        <f>IFERROR(__xludf.DUMMYFUNCTION("""COMPUTED_VALUE"""),46205.0)</f>
        <v>46205</v>
      </c>
      <c r="T5288" s="57">
        <f>IFERROR(__xludf.DUMMYFUNCTION("""COMPUTED_VALUE"""),46295.0)</f>
        <v>46295</v>
      </c>
    </row>
    <row r="5289">
      <c r="A5289" s="6" t="str">
        <f>IFERROR(__xludf.DUMMYFUNCTION("""COMPUTED_VALUE"""),"121704384-4")</f>
        <v>121704384-4</v>
      </c>
      <c r="B5289" s="6" t="str">
        <f>IFERROR(__xludf.DUMMYFUNCTION("""COMPUTED_VALUE"""),"121704384 - APPROVED")</f>
        <v>121704384 - APPROVED</v>
      </c>
      <c r="C5289" s="6">
        <f>IFERROR(__xludf.DUMMYFUNCTION("""COMPUTED_VALUE"""),4.0)</f>
        <v>4</v>
      </c>
      <c r="D5289" s="6" t="str">
        <f>IFERROR(__xludf.DUMMYFUNCTION("""COMPUTED_VALUE"""),"P-10889-00")</f>
        <v>P-10889-00</v>
      </c>
      <c r="E5289" s="6" t="str">
        <f>IFERROR(__xludf.DUMMYFUNCTION("""COMPUTED_VALUE"""),"General - Socket Drat Dalam, PVC AW, 3/4""; Rucika; -; 1 pcs")</f>
        <v>General - Socket Drat Dalam, PVC AW, 3/4"; Rucika; -; 1 pcs</v>
      </c>
      <c r="F5289" s="6">
        <f>IFERROR(__xludf.DUMMYFUNCTION("""COMPUTED_VALUE"""),4.0)</f>
        <v>4</v>
      </c>
      <c r="G5289" s="6" t="str">
        <f>IFERROR(__xludf.DUMMYFUNCTION("""COMPUTED_VALUE"""),"Pieces")</f>
        <v>Pieces</v>
      </c>
      <c r="H5289" s="6" t="str">
        <f>IFERROR(__xludf.DUMMYFUNCTION("""COMPUTED_VALUE"""),"IDR")</f>
        <v>IDR</v>
      </c>
      <c r="I5289" s="6">
        <f>IFERROR(__xludf.DUMMYFUNCTION("""COMPUTED_VALUE"""),15000.0)</f>
        <v>15000</v>
      </c>
      <c r="J5289" s="6">
        <f>IFERROR(__xludf.DUMMYFUNCTION("""COMPUTED_VALUE"""),60000.0)</f>
        <v>60000</v>
      </c>
      <c r="K5289" s="57">
        <f>IFERROR(__xludf.DUMMYFUNCTION("""COMPUTED_VALUE"""),46241.0)</f>
        <v>46241</v>
      </c>
      <c r="L5289" s="6" t="str">
        <f>IFERROR(__xludf.DUMMYFUNCTION("""COMPUTED_VALUE"""),"FIP Engineering")</f>
        <v>FIP Engineering</v>
      </c>
      <c r="M5289" s="6" t="str">
        <f>IFERROR(__xludf.DUMMYFUNCTION("""COMPUTED_VALUE"""),"Mochammad Fadhillah Hakim,")</f>
        <v>Mochammad Fadhillah Hakim,</v>
      </c>
      <c r="N5289" s="6" t="str">
        <f>IFERROR(__xludf.DUMMYFUNCTION("""COMPUTED_VALUE"""),"FIP Engineering")</f>
        <v>FIP Engineering</v>
      </c>
      <c r="O5289" s="6" t="str">
        <f>IFERROR(__xludf.DUMMYFUNCTION("""COMPUTED_VALUE"""),"FIP-DOM-000-11304-OS00001-INA-000000")</f>
        <v>FIP-DOM-000-11304-OS00001-INA-000000</v>
      </c>
      <c r="P5289" s="6" t="str">
        <f>IFERROR(__xludf.DUMMYFUNCTION("""COMPUTED_VALUE"""),"PO Closed")</f>
        <v>PO Closed</v>
      </c>
      <c r="Q5289" s="6" t="str">
        <f>IFERROR(__xludf.DUMMYFUNCTION("""COMPUTED_VALUE"""),"GL2607369")</f>
        <v>GL2607369</v>
      </c>
      <c r="R5289" s="57">
        <f>IFERROR(__xludf.DUMMYFUNCTION("""COMPUTED_VALUE"""),46204.0)</f>
        <v>46204</v>
      </c>
      <c r="S5289" s="57">
        <f>IFERROR(__xludf.DUMMYFUNCTION("""COMPUTED_VALUE"""),46205.0)</f>
        <v>46205</v>
      </c>
      <c r="T5289" s="57">
        <f>IFERROR(__xludf.DUMMYFUNCTION("""COMPUTED_VALUE"""),46295.0)</f>
        <v>46295</v>
      </c>
    </row>
    <row r="5290">
      <c r="A5290" s="6" t="str">
        <f>IFERROR(__xludf.DUMMYFUNCTION("""COMPUTED_VALUE"""),"121704384-5")</f>
        <v>121704384-5</v>
      </c>
      <c r="B5290" s="6" t="str">
        <f>IFERROR(__xludf.DUMMYFUNCTION("""COMPUTED_VALUE"""),"121704384 - APPROVED")</f>
        <v>121704384 - APPROVED</v>
      </c>
      <c r="C5290" s="6">
        <f>IFERROR(__xludf.DUMMYFUNCTION("""COMPUTED_VALUE"""),5.0)</f>
        <v>5</v>
      </c>
      <c r="D5290" s="6" t="str">
        <f>IFERROR(__xludf.DUMMYFUNCTION("""COMPUTED_VALUE"""),"P-10891-00")</f>
        <v>P-10891-00</v>
      </c>
      <c r="E5290" s="6" t="str">
        <f>IFERROR(__xludf.DUMMYFUNCTION("""COMPUTED_VALUE"""),"General - Socket Drat Luar, PVC, 1 1/4""; Rucika; -; 1 pcs")</f>
        <v>General - Socket Drat Luar, PVC, 1 1/4"; Rucika; -; 1 pcs</v>
      </c>
      <c r="F5290" s="6">
        <f>IFERROR(__xludf.DUMMYFUNCTION("""COMPUTED_VALUE"""),4.0)</f>
        <v>4</v>
      </c>
      <c r="G5290" s="6" t="str">
        <f>IFERROR(__xludf.DUMMYFUNCTION("""COMPUTED_VALUE"""),"Pieces")</f>
        <v>Pieces</v>
      </c>
      <c r="H5290" s="6" t="str">
        <f>IFERROR(__xludf.DUMMYFUNCTION("""COMPUTED_VALUE"""),"IDR")</f>
        <v>IDR</v>
      </c>
      <c r="I5290" s="6">
        <f>IFERROR(__xludf.DUMMYFUNCTION("""COMPUTED_VALUE"""),20000.0)</f>
        <v>20000</v>
      </c>
      <c r="J5290" s="6">
        <f>IFERROR(__xludf.DUMMYFUNCTION("""COMPUTED_VALUE"""),80000.0)</f>
        <v>80000</v>
      </c>
      <c r="K5290" s="57">
        <f>IFERROR(__xludf.DUMMYFUNCTION("""COMPUTED_VALUE"""),46241.0)</f>
        <v>46241</v>
      </c>
      <c r="L5290" s="6" t="str">
        <f>IFERROR(__xludf.DUMMYFUNCTION("""COMPUTED_VALUE"""),"FIP Engineering")</f>
        <v>FIP Engineering</v>
      </c>
      <c r="M5290" s="6" t="str">
        <f>IFERROR(__xludf.DUMMYFUNCTION("""COMPUTED_VALUE"""),"Mochammad Fadhillah Hakim,")</f>
        <v>Mochammad Fadhillah Hakim,</v>
      </c>
      <c r="N5290" s="6" t="str">
        <f>IFERROR(__xludf.DUMMYFUNCTION("""COMPUTED_VALUE"""),"FIP Engineering")</f>
        <v>FIP Engineering</v>
      </c>
      <c r="O5290" s="6" t="str">
        <f>IFERROR(__xludf.DUMMYFUNCTION("""COMPUTED_VALUE"""),"FIP-DOM-000-11304-OS00001-INA-000000")</f>
        <v>FIP-DOM-000-11304-OS00001-INA-000000</v>
      </c>
      <c r="P5290" s="6" t="str">
        <f>IFERROR(__xludf.DUMMYFUNCTION("""COMPUTED_VALUE"""),"PO Closed")</f>
        <v>PO Closed</v>
      </c>
      <c r="Q5290" s="6" t="str">
        <f>IFERROR(__xludf.DUMMYFUNCTION("""COMPUTED_VALUE"""),"GL2607369")</f>
        <v>GL2607369</v>
      </c>
      <c r="R5290" s="57">
        <f>IFERROR(__xludf.DUMMYFUNCTION("""COMPUTED_VALUE"""),46204.0)</f>
        <v>46204</v>
      </c>
      <c r="S5290" s="57">
        <f>IFERROR(__xludf.DUMMYFUNCTION("""COMPUTED_VALUE"""),46205.0)</f>
        <v>46205</v>
      </c>
      <c r="T5290" s="57">
        <f>IFERROR(__xludf.DUMMYFUNCTION("""COMPUTED_VALUE"""),46295.0)</f>
        <v>46295</v>
      </c>
    </row>
    <row r="5291">
      <c r="A5291" s="6" t="str">
        <f>IFERROR(__xludf.DUMMYFUNCTION("""COMPUTED_VALUE"""),"121704384-6")</f>
        <v>121704384-6</v>
      </c>
      <c r="B5291" s="6" t="str">
        <f>IFERROR(__xludf.DUMMYFUNCTION("""COMPUTED_VALUE"""),"121704384 - APPROVED")</f>
        <v>121704384 - APPROVED</v>
      </c>
      <c r="C5291" s="6">
        <f>IFERROR(__xludf.DUMMYFUNCTION("""COMPUTED_VALUE"""),6.0)</f>
        <v>6</v>
      </c>
      <c r="D5291" s="6" t="str">
        <f>IFERROR(__xludf.DUMMYFUNCTION("""COMPUTED_VALUE"""),"P-10908-00")</f>
        <v>P-10908-00</v>
      </c>
      <c r="E5291" s="6" t="str">
        <f>IFERROR(__xludf.DUMMYFUNCTION("""COMPUTED_VALUE"""),"General - Tee, PVC AW, 3/4""; Rucika; -; 1 pcs")</f>
        <v>General - Tee, PVC AW, 3/4"; Rucika; -; 1 pcs</v>
      </c>
      <c r="F5291" s="6">
        <f>IFERROR(__xludf.DUMMYFUNCTION("""COMPUTED_VALUE"""),4.0)</f>
        <v>4</v>
      </c>
      <c r="G5291" s="6" t="str">
        <f>IFERROR(__xludf.DUMMYFUNCTION("""COMPUTED_VALUE"""),"Pieces")</f>
        <v>Pieces</v>
      </c>
      <c r="H5291" s="6" t="str">
        <f>IFERROR(__xludf.DUMMYFUNCTION("""COMPUTED_VALUE"""),"IDR")</f>
        <v>IDR</v>
      </c>
      <c r="I5291" s="6">
        <f>IFERROR(__xludf.DUMMYFUNCTION("""COMPUTED_VALUE"""),15000.0)</f>
        <v>15000</v>
      </c>
      <c r="J5291" s="6">
        <f>IFERROR(__xludf.DUMMYFUNCTION("""COMPUTED_VALUE"""),60000.0)</f>
        <v>60000</v>
      </c>
      <c r="K5291" s="57">
        <f>IFERROR(__xludf.DUMMYFUNCTION("""COMPUTED_VALUE"""),46241.0)</f>
        <v>46241</v>
      </c>
      <c r="L5291" s="6" t="str">
        <f>IFERROR(__xludf.DUMMYFUNCTION("""COMPUTED_VALUE"""),"FIP Engineering")</f>
        <v>FIP Engineering</v>
      </c>
      <c r="M5291" s="6" t="str">
        <f>IFERROR(__xludf.DUMMYFUNCTION("""COMPUTED_VALUE"""),"Mochammad Fadhillah Hakim,")</f>
        <v>Mochammad Fadhillah Hakim,</v>
      </c>
      <c r="N5291" s="6" t="str">
        <f>IFERROR(__xludf.DUMMYFUNCTION("""COMPUTED_VALUE"""),"FIP Engineering")</f>
        <v>FIP Engineering</v>
      </c>
      <c r="O5291" s="6" t="str">
        <f>IFERROR(__xludf.DUMMYFUNCTION("""COMPUTED_VALUE"""),"FIP-DOM-000-11304-OS00001-INA-000000")</f>
        <v>FIP-DOM-000-11304-OS00001-INA-000000</v>
      </c>
      <c r="P5291" s="6" t="str">
        <f>IFERROR(__xludf.DUMMYFUNCTION("""COMPUTED_VALUE"""),"PO Closed")</f>
        <v>PO Closed</v>
      </c>
      <c r="Q5291" s="6" t="str">
        <f>IFERROR(__xludf.DUMMYFUNCTION("""COMPUTED_VALUE"""),"GL2607369")</f>
        <v>GL2607369</v>
      </c>
      <c r="R5291" s="57">
        <f>IFERROR(__xludf.DUMMYFUNCTION("""COMPUTED_VALUE"""),46204.0)</f>
        <v>46204</v>
      </c>
      <c r="S5291" s="57">
        <f>IFERROR(__xludf.DUMMYFUNCTION("""COMPUTED_VALUE"""),46205.0)</f>
        <v>46205</v>
      </c>
      <c r="T5291" s="57">
        <f>IFERROR(__xludf.DUMMYFUNCTION("""COMPUTED_VALUE"""),46295.0)</f>
        <v>46295</v>
      </c>
    </row>
    <row r="5292">
      <c r="A5292" s="6" t="str">
        <f>IFERROR(__xludf.DUMMYFUNCTION("""COMPUTED_VALUE"""),"121704384-7")</f>
        <v>121704384-7</v>
      </c>
      <c r="B5292" s="6" t="str">
        <f>IFERROR(__xludf.DUMMYFUNCTION("""COMPUTED_VALUE"""),"121704384 - APPROVED")</f>
        <v>121704384 - APPROVED</v>
      </c>
      <c r="C5292" s="6">
        <f>IFERROR(__xludf.DUMMYFUNCTION("""COMPUTED_VALUE"""),7.0)</f>
        <v>7</v>
      </c>
      <c r="D5292" s="6" t="str">
        <f>IFERROR(__xludf.DUMMYFUNCTION("""COMPUTED_VALUE"""),"P-10874-00")</f>
        <v>P-10874-00</v>
      </c>
      <c r="E5292" s="6" t="str">
        <f>IFERROR(__xludf.DUMMYFUNCTION("""COMPUTED_VALUE"""),"General - Reducer, PVC, 1"" x 1/2""; Rucika; -; 1 pcs")</f>
        <v>General - Reducer, PVC, 1" x 1/2"; Rucika; -; 1 pcs</v>
      </c>
      <c r="F5292" s="6">
        <f>IFERROR(__xludf.DUMMYFUNCTION("""COMPUTED_VALUE"""),8.0)</f>
        <v>8</v>
      </c>
      <c r="G5292" s="6" t="str">
        <f>IFERROR(__xludf.DUMMYFUNCTION("""COMPUTED_VALUE"""),"Pieces")</f>
        <v>Pieces</v>
      </c>
      <c r="H5292" s="6" t="str">
        <f>IFERROR(__xludf.DUMMYFUNCTION("""COMPUTED_VALUE"""),"IDR")</f>
        <v>IDR</v>
      </c>
      <c r="I5292" s="6">
        <f>IFERROR(__xludf.DUMMYFUNCTION("""COMPUTED_VALUE"""),2520.0)</f>
        <v>2520</v>
      </c>
      <c r="J5292" s="6">
        <f>IFERROR(__xludf.DUMMYFUNCTION("""COMPUTED_VALUE"""),20160.0)</f>
        <v>20160</v>
      </c>
      <c r="K5292" s="57">
        <f>IFERROR(__xludf.DUMMYFUNCTION("""COMPUTED_VALUE"""),46241.0)</f>
        <v>46241</v>
      </c>
      <c r="L5292" s="6" t="str">
        <f>IFERROR(__xludf.DUMMYFUNCTION("""COMPUTED_VALUE"""),"FIP Engineering")</f>
        <v>FIP Engineering</v>
      </c>
      <c r="M5292" s="6" t="str">
        <f>IFERROR(__xludf.DUMMYFUNCTION("""COMPUTED_VALUE"""),"Mochammad Fadhillah Hakim,")</f>
        <v>Mochammad Fadhillah Hakim,</v>
      </c>
      <c r="N5292" s="6" t="str">
        <f>IFERROR(__xludf.DUMMYFUNCTION("""COMPUTED_VALUE"""),"FIP Engineering")</f>
        <v>FIP Engineering</v>
      </c>
      <c r="O5292" s="6" t="str">
        <f>IFERROR(__xludf.DUMMYFUNCTION("""COMPUTED_VALUE"""),"FIP-DOM-000-11304-OS00001-INA-000000")</f>
        <v>FIP-DOM-000-11304-OS00001-INA-000000</v>
      </c>
      <c r="P5292" s="6" t="str">
        <f>IFERROR(__xludf.DUMMYFUNCTION("""COMPUTED_VALUE"""),"PO Closed")</f>
        <v>PO Closed</v>
      </c>
      <c r="Q5292" s="6" t="str">
        <f>IFERROR(__xludf.DUMMYFUNCTION("""COMPUTED_VALUE"""),"GL2607369")</f>
        <v>GL2607369</v>
      </c>
      <c r="R5292" s="57">
        <f>IFERROR(__xludf.DUMMYFUNCTION("""COMPUTED_VALUE"""),46204.0)</f>
        <v>46204</v>
      </c>
      <c r="S5292" s="57">
        <f>IFERROR(__xludf.DUMMYFUNCTION("""COMPUTED_VALUE"""),46205.0)</f>
        <v>46205</v>
      </c>
      <c r="T5292" s="57">
        <f>IFERROR(__xludf.DUMMYFUNCTION("""COMPUTED_VALUE"""),46295.0)</f>
        <v>46295</v>
      </c>
    </row>
    <row r="5293">
      <c r="A5293" s="6" t="str">
        <f>IFERROR(__xludf.DUMMYFUNCTION("""COMPUTED_VALUE"""),"121704393-1")</f>
        <v>121704393-1</v>
      </c>
      <c r="B5293" s="6" t="str">
        <f>IFERROR(__xludf.DUMMYFUNCTION("""COMPUTED_VALUE"""),"121704393 - APPROVED")</f>
        <v>121704393 - APPROVED</v>
      </c>
      <c r="C5293" s="6">
        <f>IFERROR(__xludf.DUMMYFUNCTION("""COMPUTED_VALUE"""),1.0)</f>
        <v>1</v>
      </c>
      <c r="D5293" s="6" t="str">
        <f>IFERROR(__xludf.DUMMYFUNCTION("""COMPUTED_VALUE"""),"O-53645-00")</f>
        <v>O-53645-00</v>
      </c>
      <c r="E5293" s="6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F5293" s="6">
        <f>IFERROR(__xludf.DUMMYFUNCTION("""COMPUTED_VALUE"""),1.0)</f>
        <v>1</v>
      </c>
      <c r="G5293" s="6" t="str">
        <f>IFERROR(__xludf.DUMMYFUNCTION("""COMPUTED_VALUE"""),"Pieces")</f>
        <v>Pieces</v>
      </c>
      <c r="H5293" s="6" t="str">
        <f>IFERROR(__xludf.DUMMYFUNCTION("""COMPUTED_VALUE"""),"IDR")</f>
        <v>IDR</v>
      </c>
      <c r="I5293" s="6">
        <f>IFERROR(__xludf.DUMMYFUNCTION("""COMPUTED_VALUE"""),1.2857E7)</f>
        <v>12857000</v>
      </c>
      <c r="J5293" s="6">
        <f>IFERROR(__xludf.DUMMYFUNCTION("""COMPUTED_VALUE"""),1.2857E7)</f>
        <v>12857000</v>
      </c>
      <c r="K5293" s="57">
        <f>IFERROR(__xludf.DUMMYFUNCTION("""COMPUTED_VALUE"""),46297.0)</f>
        <v>46297</v>
      </c>
      <c r="L5293" s="6" t="str">
        <f>IFERROR(__xludf.DUMMYFUNCTION("""COMPUTED_VALUE"""),"FIP Engineering")</f>
        <v>FIP Engineering</v>
      </c>
      <c r="M5293" s="6" t="str">
        <f>IFERROR(__xludf.DUMMYFUNCTION("""COMPUTED_VALUE"""),"Mochammad Fadhillah Hakim,")</f>
        <v>Mochammad Fadhillah Hakim,</v>
      </c>
      <c r="N5293" s="6" t="str">
        <f>IFERROR(__xludf.DUMMYFUNCTION("""COMPUTED_VALUE"""),"FIP Engineering")</f>
        <v>FIP Engineering</v>
      </c>
      <c r="O5293" s="6" t="str">
        <f>IFERROR(__xludf.DUMMYFUNCTION("""COMPUTED_VALUE"""),"FIP-DOM-000-11304-OS00001-INA-000000")</f>
        <v>FIP-DOM-000-11304-OS00001-INA-000000</v>
      </c>
      <c r="P5293" s="6" t="str">
        <f>IFERROR(__xludf.DUMMYFUNCTION("""COMPUTED_VALUE"""),"PO Open")</f>
        <v>PO Open</v>
      </c>
      <c r="Q5293" s="6" t="str">
        <f>IFERROR(__xludf.DUMMYFUNCTION("""COMPUTED_VALUE"""),"GL2607373")</f>
        <v>GL2607373</v>
      </c>
      <c r="R5293" s="57">
        <f>IFERROR(__xludf.DUMMYFUNCTION("""COMPUTED_VALUE"""),46205.0)</f>
        <v>46205</v>
      </c>
      <c r="S5293" s="57">
        <f>IFERROR(__xludf.DUMMYFUNCTION("""COMPUTED_VALUE"""),46205.0)</f>
        <v>46205</v>
      </c>
      <c r="T5293" s="57">
        <f>IFERROR(__xludf.DUMMYFUNCTION("""COMPUTED_VALUE"""),46325.0)</f>
        <v>46325</v>
      </c>
    </row>
    <row r="5294">
      <c r="A5294" s="6" t="str">
        <f>IFERROR(__xludf.DUMMYFUNCTION("""COMPUTED_VALUE"""),"121704393-2")</f>
        <v>121704393-2</v>
      </c>
      <c r="B5294" s="6" t="str">
        <f>IFERROR(__xludf.DUMMYFUNCTION("""COMPUTED_VALUE"""),"121704393 - APPROVED")</f>
        <v>121704393 - APPROVED</v>
      </c>
      <c r="C5294" s="6">
        <f>IFERROR(__xludf.DUMMYFUNCTION("""COMPUTED_VALUE"""),2.0)</f>
        <v>2</v>
      </c>
      <c r="D5294" s="6" t="str">
        <f>IFERROR(__xludf.DUMMYFUNCTION("""COMPUTED_VALUE"""),"O-21648-00")</f>
        <v>O-21648-00</v>
      </c>
      <c r="E5294" s="6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F5294" s="6">
        <f>IFERROR(__xludf.DUMMYFUNCTION("""COMPUTED_VALUE"""),5.0)</f>
        <v>5</v>
      </c>
      <c r="G5294" s="6" t="str">
        <f>IFERROR(__xludf.DUMMYFUNCTION("""COMPUTED_VALUE"""),"Pieces")</f>
        <v>Pieces</v>
      </c>
      <c r="H5294" s="6" t="str">
        <f>IFERROR(__xludf.DUMMYFUNCTION("""COMPUTED_VALUE"""),"IDR")</f>
        <v>IDR</v>
      </c>
      <c r="I5294" s="6">
        <f>IFERROR(__xludf.DUMMYFUNCTION("""COMPUTED_VALUE"""),1348560.0)</f>
        <v>1348560</v>
      </c>
      <c r="J5294" s="6">
        <f>IFERROR(__xludf.DUMMYFUNCTION("""COMPUTED_VALUE"""),6742800.0)</f>
        <v>6742800</v>
      </c>
      <c r="K5294" s="57">
        <f>IFERROR(__xludf.DUMMYFUNCTION("""COMPUTED_VALUE"""),46297.0)</f>
        <v>46297</v>
      </c>
      <c r="L5294" s="6" t="str">
        <f>IFERROR(__xludf.DUMMYFUNCTION("""COMPUTED_VALUE"""),"FIP Engineering")</f>
        <v>FIP Engineering</v>
      </c>
      <c r="M5294" s="6" t="str">
        <f>IFERROR(__xludf.DUMMYFUNCTION("""COMPUTED_VALUE"""),"Mochammad Fadhillah Hakim,")</f>
        <v>Mochammad Fadhillah Hakim,</v>
      </c>
      <c r="N5294" s="6" t="str">
        <f>IFERROR(__xludf.DUMMYFUNCTION("""COMPUTED_VALUE"""),"FIP Engineering")</f>
        <v>FIP Engineering</v>
      </c>
      <c r="O5294" s="6" t="str">
        <f>IFERROR(__xludf.DUMMYFUNCTION("""COMPUTED_VALUE"""),"FIP-DOM-000-11304-OS00001-INA-000000")</f>
        <v>FIP-DOM-000-11304-OS00001-INA-000000</v>
      </c>
      <c r="P5294" s="6" t="str">
        <f>IFERROR(__xludf.DUMMYFUNCTION("""COMPUTED_VALUE"""),"PO Open")</f>
        <v>PO Open</v>
      </c>
      <c r="Q5294" s="6" t="str">
        <f>IFERROR(__xludf.DUMMYFUNCTION("""COMPUTED_VALUE"""),"GL2607373")</f>
        <v>GL2607373</v>
      </c>
      <c r="R5294" s="57">
        <f>IFERROR(__xludf.DUMMYFUNCTION("""COMPUTED_VALUE"""),46205.0)</f>
        <v>46205</v>
      </c>
      <c r="S5294" s="57">
        <f>IFERROR(__xludf.DUMMYFUNCTION("""COMPUTED_VALUE"""),46205.0)</f>
        <v>46205</v>
      </c>
      <c r="T5294" s="57">
        <f>IFERROR(__xludf.DUMMYFUNCTION("""COMPUTED_VALUE"""),46325.0)</f>
        <v>46325</v>
      </c>
    </row>
    <row r="5295">
      <c r="A5295" s="6" t="str">
        <f>IFERROR(__xludf.DUMMYFUNCTION("""COMPUTED_VALUE"""),"121704393-3")</f>
        <v>121704393-3</v>
      </c>
      <c r="B5295" s="6" t="str">
        <f>IFERROR(__xludf.DUMMYFUNCTION("""COMPUTED_VALUE"""),"121704393 - APPROVED")</f>
        <v>121704393 - APPROVED</v>
      </c>
      <c r="C5295" s="6">
        <f>IFERROR(__xludf.DUMMYFUNCTION("""COMPUTED_VALUE"""),3.0)</f>
        <v>3</v>
      </c>
      <c r="D5295" s="6" t="str">
        <f>IFERROR(__xludf.DUMMYFUNCTION("""COMPUTED_VALUE"""),"O-21649-00")</f>
        <v>O-21649-00</v>
      </c>
      <c r="E5295" s="6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F5295" s="6">
        <f>IFERROR(__xludf.DUMMYFUNCTION("""COMPUTED_VALUE"""),10.0)</f>
        <v>10</v>
      </c>
      <c r="G5295" s="6" t="str">
        <f>IFERROR(__xludf.DUMMYFUNCTION("""COMPUTED_VALUE"""),"Pieces")</f>
        <v>Pieces</v>
      </c>
      <c r="H5295" s="6" t="str">
        <f>IFERROR(__xludf.DUMMYFUNCTION("""COMPUTED_VALUE"""),"IDR")</f>
        <v>IDR</v>
      </c>
      <c r="I5295" s="6">
        <f>IFERROR(__xludf.DUMMYFUNCTION("""COMPUTED_VALUE"""),61920.0)</f>
        <v>61920</v>
      </c>
      <c r="J5295" s="6">
        <f>IFERROR(__xludf.DUMMYFUNCTION("""COMPUTED_VALUE"""),619200.0)</f>
        <v>619200</v>
      </c>
      <c r="K5295" s="57">
        <f>IFERROR(__xludf.DUMMYFUNCTION("""COMPUTED_VALUE"""),46297.0)</f>
        <v>46297</v>
      </c>
      <c r="L5295" s="6" t="str">
        <f>IFERROR(__xludf.DUMMYFUNCTION("""COMPUTED_VALUE"""),"FIP Engineering")</f>
        <v>FIP Engineering</v>
      </c>
      <c r="M5295" s="6" t="str">
        <f>IFERROR(__xludf.DUMMYFUNCTION("""COMPUTED_VALUE"""),"Mochammad Fadhillah Hakim,")</f>
        <v>Mochammad Fadhillah Hakim,</v>
      </c>
      <c r="N5295" s="6" t="str">
        <f>IFERROR(__xludf.DUMMYFUNCTION("""COMPUTED_VALUE"""),"FIP Engineering")</f>
        <v>FIP Engineering</v>
      </c>
      <c r="O5295" s="6" t="str">
        <f>IFERROR(__xludf.DUMMYFUNCTION("""COMPUTED_VALUE"""),"FIP-DOM-000-11304-OS00001-INA-000000")</f>
        <v>FIP-DOM-000-11304-OS00001-INA-000000</v>
      </c>
      <c r="P5295" s="6" t="str">
        <f>IFERROR(__xludf.DUMMYFUNCTION("""COMPUTED_VALUE"""),"PO Open")</f>
        <v>PO Open</v>
      </c>
      <c r="Q5295" s="6" t="str">
        <f>IFERROR(__xludf.DUMMYFUNCTION("""COMPUTED_VALUE"""),"GL2607373")</f>
        <v>GL2607373</v>
      </c>
      <c r="R5295" s="57">
        <f>IFERROR(__xludf.DUMMYFUNCTION("""COMPUTED_VALUE"""),46205.0)</f>
        <v>46205</v>
      </c>
      <c r="S5295" s="57">
        <f>IFERROR(__xludf.DUMMYFUNCTION("""COMPUTED_VALUE"""),46205.0)</f>
        <v>46205</v>
      </c>
      <c r="T5295" s="57">
        <f>IFERROR(__xludf.DUMMYFUNCTION("""COMPUTED_VALUE"""),46325.0)</f>
        <v>46325</v>
      </c>
    </row>
    <row r="5296">
      <c r="A5296" s="6" t="str">
        <f>IFERROR(__xludf.DUMMYFUNCTION("""COMPUTED_VALUE"""),"121704394-1")</f>
        <v>121704394-1</v>
      </c>
      <c r="B5296" s="6" t="str">
        <f>IFERROR(__xludf.DUMMYFUNCTION("""COMPUTED_VALUE"""),"121704394 - APPROVED")</f>
        <v>121704394 - APPROVED</v>
      </c>
      <c r="C5296" s="6">
        <f>IFERROR(__xludf.DUMMYFUNCTION("""COMPUTED_VALUE"""),1.0)</f>
        <v>1</v>
      </c>
      <c r="D5296" s="6" t="str">
        <f>IFERROR(__xludf.DUMMYFUNCTION("""COMPUTED_VALUE"""),"P-54688-00")</f>
        <v>P-54688-00</v>
      </c>
      <c r="E5296" s="6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F5296" s="6">
        <f>IFERROR(__xludf.DUMMYFUNCTION("""COMPUTED_VALUE"""),2.0)</f>
        <v>2</v>
      </c>
      <c r="G5296" s="6" t="str">
        <f>IFERROR(__xludf.DUMMYFUNCTION("""COMPUTED_VALUE"""),"Unit")</f>
        <v>Unit</v>
      </c>
      <c r="H5296" s="6" t="str">
        <f>IFERROR(__xludf.DUMMYFUNCTION("""COMPUTED_VALUE"""),"IDR")</f>
        <v>IDR</v>
      </c>
      <c r="I5296" s="6">
        <f>IFERROR(__xludf.DUMMYFUNCTION("""COMPUTED_VALUE"""),5750000.0)</f>
        <v>5750000</v>
      </c>
      <c r="J5296" s="6">
        <f>IFERROR(__xludf.DUMMYFUNCTION("""COMPUTED_VALUE"""),1.15E7)</f>
        <v>11500000</v>
      </c>
      <c r="K5296" s="57">
        <f>IFERROR(__xludf.DUMMYFUNCTION("""COMPUTED_VALUE"""),46213.0)</f>
        <v>46213</v>
      </c>
      <c r="L5296" s="6" t="str">
        <f>IFERROR(__xludf.DUMMYFUNCTION("""COMPUTED_VALUE"""),"FIP Engineering")</f>
        <v>FIP Engineering</v>
      </c>
      <c r="M5296" s="6" t="str">
        <f>IFERROR(__xludf.DUMMYFUNCTION("""COMPUTED_VALUE"""),"Mochammad Fadhillah Hakim,")</f>
        <v>Mochammad Fadhillah Hakim,</v>
      </c>
      <c r="N5296" s="6" t="str">
        <f>IFERROR(__xludf.DUMMYFUNCTION("""COMPUTED_VALUE"""),"FIP Engineering")</f>
        <v>FIP Engineering</v>
      </c>
      <c r="O5296" s="6" t="str">
        <f>IFERROR(__xludf.DUMMYFUNCTION("""COMPUTED_VALUE"""),"FIP-DOM-000-11304-OS00001-INA-000000")</f>
        <v>FIP-DOM-000-11304-OS00001-INA-000000</v>
      </c>
      <c r="P5296" s="6" t="str">
        <f>IFERROR(__xludf.DUMMYFUNCTION("""COMPUTED_VALUE"""),"PO Closed")</f>
        <v>PO Closed</v>
      </c>
      <c r="Q5296" s="6" t="str">
        <f>IFERROR(__xludf.DUMMYFUNCTION("""COMPUTED_VALUE"""),"GL2607012")</f>
        <v>GL2607012</v>
      </c>
      <c r="R5296" s="57">
        <f>IFERROR(__xludf.DUMMYFUNCTION("""COMPUTED_VALUE"""),46205.0)</f>
        <v>46205</v>
      </c>
      <c r="S5296" s="57">
        <f>IFERROR(__xludf.DUMMYFUNCTION("""COMPUTED_VALUE"""),46205.0)</f>
        <v>46205</v>
      </c>
      <c r="T5296" s="57">
        <f>IFERROR(__xludf.DUMMYFUNCTION("""COMPUTED_VALUE"""),46264.0)</f>
        <v>46264</v>
      </c>
    </row>
    <row r="5297">
      <c r="A5297" s="6" t="str">
        <f>IFERROR(__xludf.DUMMYFUNCTION("""COMPUTED_VALUE"""),"121704395-1")</f>
        <v>121704395-1</v>
      </c>
      <c r="B5297" s="6" t="str">
        <f>IFERROR(__xludf.DUMMYFUNCTION("""COMPUTED_VALUE"""),"121704395 - APPROVED")</f>
        <v>121704395 - APPROVED</v>
      </c>
      <c r="C5297" s="6">
        <f>IFERROR(__xludf.DUMMYFUNCTION("""COMPUTED_VALUE"""),1.0)</f>
        <v>1</v>
      </c>
      <c r="D5297" s="6" t="str">
        <f>IFERROR(__xludf.DUMMYFUNCTION("""COMPUTED_VALUE"""),"O-53641-00")</f>
        <v>O-53641-00</v>
      </c>
      <c r="E5297" s="6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F5297" s="6">
        <f>IFERROR(__xludf.DUMMYFUNCTION("""COMPUTED_VALUE"""),2.0)</f>
        <v>2</v>
      </c>
      <c r="G5297" s="6" t="str">
        <f>IFERROR(__xludf.DUMMYFUNCTION("""COMPUTED_VALUE"""),"Pieces")</f>
        <v>Pieces</v>
      </c>
      <c r="H5297" s="6" t="str">
        <f>IFERROR(__xludf.DUMMYFUNCTION("""COMPUTED_VALUE"""),"IDR")</f>
        <v>IDR</v>
      </c>
      <c r="I5297" s="6">
        <f>IFERROR(__xludf.DUMMYFUNCTION("""COMPUTED_VALUE"""),150000.0)</f>
        <v>150000</v>
      </c>
      <c r="J5297" s="6">
        <f>IFERROR(__xludf.DUMMYFUNCTION("""COMPUTED_VALUE"""),300000.0)</f>
        <v>300000</v>
      </c>
      <c r="K5297" s="57">
        <f>IFERROR(__xludf.DUMMYFUNCTION("""COMPUTED_VALUE"""),46241.0)</f>
        <v>46241</v>
      </c>
      <c r="L5297" s="6" t="str">
        <f>IFERROR(__xludf.DUMMYFUNCTION("""COMPUTED_VALUE"""),"FIP Engineering")</f>
        <v>FIP Engineering</v>
      </c>
      <c r="M5297" s="6" t="str">
        <f>IFERROR(__xludf.DUMMYFUNCTION("""COMPUTED_VALUE"""),"Mochammad Fadhillah Hakim,")</f>
        <v>Mochammad Fadhillah Hakim,</v>
      </c>
      <c r="N5297" s="6" t="str">
        <f>IFERROR(__xludf.DUMMYFUNCTION("""COMPUTED_VALUE"""),"FIP Engineering")</f>
        <v>FIP Engineering</v>
      </c>
      <c r="O5297" s="6" t="str">
        <f>IFERROR(__xludf.DUMMYFUNCTION("""COMPUTED_VALUE"""),"FIP-DOM-000-11304-OS00001-INA-000000")</f>
        <v>FIP-DOM-000-11304-OS00001-INA-000000</v>
      </c>
      <c r="P5297" s="6" t="str">
        <f>IFERROR(__xludf.DUMMYFUNCTION("""COMPUTED_VALUE"""),"PO Closed")</f>
        <v>PO Closed</v>
      </c>
      <c r="Q5297" s="6" t="str">
        <f>IFERROR(__xludf.DUMMYFUNCTION("""COMPUTED_VALUE"""),"GL2607376")</f>
        <v>GL2607376</v>
      </c>
      <c r="R5297" s="57">
        <f>IFERROR(__xludf.DUMMYFUNCTION("""COMPUTED_VALUE"""),46205.0)</f>
        <v>46205</v>
      </c>
      <c r="S5297" s="57">
        <f>IFERROR(__xludf.DUMMYFUNCTION("""COMPUTED_VALUE"""),46205.0)</f>
        <v>46205</v>
      </c>
      <c r="T5297" s="57">
        <f>IFERROR(__xludf.DUMMYFUNCTION("""COMPUTED_VALUE"""),46249.0)</f>
        <v>46249</v>
      </c>
    </row>
    <row r="5298">
      <c r="A5298" s="6" t="str">
        <f>IFERROR(__xludf.DUMMYFUNCTION("""COMPUTED_VALUE"""),"121704397-1")</f>
        <v>121704397-1</v>
      </c>
      <c r="B5298" s="6" t="str">
        <f>IFERROR(__xludf.DUMMYFUNCTION("""COMPUTED_VALUE"""),"121704397 - APPROVED")</f>
        <v>121704397 - APPROVED</v>
      </c>
      <c r="C5298" s="6">
        <f>IFERROR(__xludf.DUMMYFUNCTION("""COMPUTED_VALUE"""),1.0)</f>
        <v>1</v>
      </c>
      <c r="D5298" s="6" t="str">
        <f>IFERROR(__xludf.DUMMYFUNCTION("""COMPUTED_VALUE"""),"R-71002-00")</f>
        <v>R-71002-00</v>
      </c>
      <c r="E5298" s="6" t="str">
        <f>IFERROR(__xludf.DUMMYFUNCTION("""COMPUTED_VALUE"""),"Renovation - Pipa ss304 2 1/2"" Schedule 10 Weld - Pipa ss304 2 1/2"" Schedule 10 Weld")</f>
        <v>Renovation - Pipa ss304 2 1/2" Schedule 10 Weld - Pipa ss304 2 1/2" Schedule 10 Weld</v>
      </c>
      <c r="F5298" s="6">
        <f>IFERROR(__xludf.DUMMYFUNCTION("""COMPUTED_VALUE"""),4.0)</f>
        <v>4</v>
      </c>
      <c r="G5298" s="6" t="str">
        <f>IFERROR(__xludf.DUMMYFUNCTION("""COMPUTED_VALUE"""),"Unit")</f>
        <v>Unit</v>
      </c>
      <c r="H5298" s="6" t="str">
        <f>IFERROR(__xludf.DUMMYFUNCTION("""COMPUTED_VALUE"""),"IDR")</f>
        <v>IDR</v>
      </c>
      <c r="I5298" s="6">
        <f>IFERROR(__xludf.DUMMYFUNCTION("""COMPUTED_VALUE"""),2650000.0)</f>
        <v>2650000</v>
      </c>
      <c r="J5298" s="6">
        <f>IFERROR(__xludf.DUMMYFUNCTION("""COMPUTED_VALUE"""),1.06E7)</f>
        <v>10600000</v>
      </c>
      <c r="K5298" s="57">
        <f>IFERROR(__xludf.DUMMYFUNCTION("""COMPUTED_VALUE"""),46241.0)</f>
        <v>46241</v>
      </c>
      <c r="L5298" s="6" t="str">
        <f>IFERROR(__xludf.DUMMYFUNCTION("""COMPUTED_VALUE"""),"FIP General")</f>
        <v>FIP General</v>
      </c>
      <c r="M5298" s="6" t="str">
        <f>IFERROR(__xludf.DUMMYFUNCTION("""COMPUTED_VALUE"""),"Mochammad Fadhillah Hakim,")</f>
        <v>Mochammad Fadhillah Hakim,</v>
      </c>
      <c r="N5298" s="6" t="str">
        <f>IFERROR(__xludf.DUMMYFUNCTION("""COMPUTED_VALUE"""),"FIP Engineering")</f>
        <v>FIP Engineering</v>
      </c>
      <c r="O5298" s="6" t="str">
        <f>IFERROR(__xludf.DUMMYFUNCTION("""COMPUTED_VALUE"""),"FIP-DOM-ENG-13402-BL26001-INA-000000")</f>
        <v>FIP-DOM-ENG-13402-BL26001-INA-000000</v>
      </c>
      <c r="P5298" s="6" t="str">
        <f>IFERROR(__xludf.DUMMYFUNCTION("""COMPUTED_VALUE"""),"PO Closed")</f>
        <v>PO Closed</v>
      </c>
      <c r="Q5298" s="6" t="str">
        <f>IFERROR(__xludf.DUMMYFUNCTION("""COMPUTED_VALUE"""),"GL2607011")</f>
        <v>GL2607011</v>
      </c>
      <c r="R5298" s="57">
        <f>IFERROR(__xludf.DUMMYFUNCTION("""COMPUTED_VALUE"""),46205.0)</f>
        <v>46205</v>
      </c>
      <c r="S5298" s="57">
        <f>IFERROR(__xludf.DUMMYFUNCTION("""COMPUTED_VALUE"""),46206.0)</f>
        <v>46206</v>
      </c>
      <c r="T5298" s="57">
        <f>IFERROR(__xludf.DUMMYFUNCTION("""COMPUTED_VALUE"""),46249.0)</f>
        <v>46249</v>
      </c>
    </row>
    <row r="5299">
      <c r="A5299" s="6" t="str">
        <f>IFERROR(__xludf.DUMMYFUNCTION("""COMPUTED_VALUE"""),"121704397-2")</f>
        <v>121704397-2</v>
      </c>
      <c r="B5299" s="6" t="str">
        <f>IFERROR(__xludf.DUMMYFUNCTION("""COMPUTED_VALUE"""),"121704397 - APPROVED")</f>
        <v>121704397 - APPROVED</v>
      </c>
      <c r="C5299" s="6">
        <f>IFERROR(__xludf.DUMMYFUNCTION("""COMPUTED_VALUE"""),2.0)</f>
        <v>2</v>
      </c>
      <c r="D5299" s="6" t="str">
        <f>IFERROR(__xludf.DUMMYFUNCTION("""COMPUTED_VALUE"""),"R-71002-00")</f>
        <v>R-71002-00</v>
      </c>
      <c r="E5299" s="6" t="str">
        <f>IFERROR(__xludf.DUMMYFUNCTION("""COMPUTED_VALUE"""),"Renovation - 2 Flange ss304 2 1/2"" DN 75 - 2 Flange ss304 2 1/2"" DN 75")</f>
        <v>Renovation - 2 Flange ss304 2 1/2" DN 75 - 2 Flange ss304 2 1/2" DN 75</v>
      </c>
      <c r="F5299" s="6">
        <f>IFERROR(__xludf.DUMMYFUNCTION("""COMPUTED_VALUE"""),8.0)</f>
        <v>8</v>
      </c>
      <c r="G5299" s="6" t="str">
        <f>IFERROR(__xludf.DUMMYFUNCTION("""COMPUTED_VALUE"""),"Unit")</f>
        <v>Unit</v>
      </c>
      <c r="H5299" s="6" t="str">
        <f>IFERROR(__xludf.DUMMYFUNCTION("""COMPUTED_VALUE"""),"IDR")</f>
        <v>IDR</v>
      </c>
      <c r="I5299" s="6">
        <f>IFERROR(__xludf.DUMMYFUNCTION("""COMPUTED_VALUE"""),375000.0)</f>
        <v>375000</v>
      </c>
      <c r="J5299" s="6">
        <f>IFERROR(__xludf.DUMMYFUNCTION("""COMPUTED_VALUE"""),3000000.0)</f>
        <v>3000000</v>
      </c>
      <c r="K5299" s="57">
        <f>IFERROR(__xludf.DUMMYFUNCTION("""COMPUTED_VALUE"""),46241.0)</f>
        <v>46241</v>
      </c>
      <c r="L5299" s="6" t="str">
        <f>IFERROR(__xludf.DUMMYFUNCTION("""COMPUTED_VALUE"""),"FIP General")</f>
        <v>FIP General</v>
      </c>
      <c r="M5299" s="6" t="str">
        <f>IFERROR(__xludf.DUMMYFUNCTION("""COMPUTED_VALUE"""),"Mochammad Fadhillah Hakim,")</f>
        <v>Mochammad Fadhillah Hakim,</v>
      </c>
      <c r="N5299" s="6" t="str">
        <f>IFERROR(__xludf.DUMMYFUNCTION("""COMPUTED_VALUE"""),"FIP Engineering")</f>
        <v>FIP Engineering</v>
      </c>
      <c r="O5299" s="6" t="str">
        <f>IFERROR(__xludf.DUMMYFUNCTION("""COMPUTED_VALUE"""),"FIP-DOM-ENG-13402-BL26001-INA-000000")</f>
        <v>FIP-DOM-ENG-13402-BL26001-INA-000000</v>
      </c>
      <c r="P5299" s="6" t="str">
        <f>IFERROR(__xludf.DUMMYFUNCTION("""COMPUTED_VALUE"""),"PO Closed")</f>
        <v>PO Closed</v>
      </c>
      <c r="Q5299" s="6" t="str">
        <f>IFERROR(__xludf.DUMMYFUNCTION("""COMPUTED_VALUE"""),"GL2607011")</f>
        <v>GL2607011</v>
      </c>
      <c r="R5299" s="57">
        <f>IFERROR(__xludf.DUMMYFUNCTION("""COMPUTED_VALUE"""),46205.0)</f>
        <v>46205</v>
      </c>
      <c r="S5299" s="57">
        <f>IFERROR(__xludf.DUMMYFUNCTION("""COMPUTED_VALUE"""),46206.0)</f>
        <v>46206</v>
      </c>
      <c r="T5299" s="57">
        <f>IFERROR(__xludf.DUMMYFUNCTION("""COMPUTED_VALUE"""),46249.0)</f>
        <v>46249</v>
      </c>
    </row>
    <row r="5300">
      <c r="A5300" s="6" t="str">
        <f>IFERROR(__xludf.DUMMYFUNCTION("""COMPUTED_VALUE"""),"121704397-3")</f>
        <v>121704397-3</v>
      </c>
      <c r="B5300" s="6" t="str">
        <f>IFERROR(__xludf.DUMMYFUNCTION("""COMPUTED_VALUE"""),"121704397 - APPROVED")</f>
        <v>121704397 - APPROVED</v>
      </c>
      <c r="C5300" s="6">
        <f>IFERROR(__xludf.DUMMYFUNCTION("""COMPUTED_VALUE"""),3.0)</f>
        <v>3</v>
      </c>
      <c r="D5300" s="6" t="str">
        <f>IFERROR(__xludf.DUMMYFUNCTION("""COMPUTED_VALUE"""),"R-71002-00")</f>
        <v>R-71002-00</v>
      </c>
      <c r="E5300" s="6" t="str">
        <f>IFERROR(__xludf.DUMMYFUNCTION("""COMPUTED_VALUE"""),"Renovation - Elbow SS304 2 1/2"" Sch10 Weld - Elbow SS304 2 1/2"" Sch10 Weld")</f>
        <v>Renovation - Elbow SS304 2 1/2" Sch10 Weld - Elbow SS304 2 1/2" Sch10 Weld</v>
      </c>
      <c r="F5300" s="6">
        <f>IFERROR(__xludf.DUMMYFUNCTION("""COMPUTED_VALUE"""),8.0)</f>
        <v>8</v>
      </c>
      <c r="G5300" s="6" t="str">
        <f>IFERROR(__xludf.DUMMYFUNCTION("""COMPUTED_VALUE"""),"Unit")</f>
        <v>Unit</v>
      </c>
      <c r="H5300" s="6" t="str">
        <f>IFERROR(__xludf.DUMMYFUNCTION("""COMPUTED_VALUE"""),"IDR")</f>
        <v>IDR</v>
      </c>
      <c r="I5300" s="6">
        <f>IFERROR(__xludf.DUMMYFUNCTION("""COMPUTED_VALUE"""),165000.0)</f>
        <v>165000</v>
      </c>
      <c r="J5300" s="6">
        <f>IFERROR(__xludf.DUMMYFUNCTION("""COMPUTED_VALUE"""),1320000.0)</f>
        <v>1320000</v>
      </c>
      <c r="K5300" s="57">
        <f>IFERROR(__xludf.DUMMYFUNCTION("""COMPUTED_VALUE"""),46241.0)</f>
        <v>46241</v>
      </c>
      <c r="L5300" s="6" t="str">
        <f>IFERROR(__xludf.DUMMYFUNCTION("""COMPUTED_VALUE"""),"FIP General")</f>
        <v>FIP General</v>
      </c>
      <c r="M5300" s="6" t="str">
        <f>IFERROR(__xludf.DUMMYFUNCTION("""COMPUTED_VALUE"""),"Mochammad Fadhillah Hakim,")</f>
        <v>Mochammad Fadhillah Hakim,</v>
      </c>
      <c r="N5300" s="6" t="str">
        <f>IFERROR(__xludf.DUMMYFUNCTION("""COMPUTED_VALUE"""),"FIP Engineering")</f>
        <v>FIP Engineering</v>
      </c>
      <c r="O5300" s="6" t="str">
        <f>IFERROR(__xludf.DUMMYFUNCTION("""COMPUTED_VALUE"""),"FIP-DOM-ENG-13402-BL26001-INA-000000")</f>
        <v>FIP-DOM-ENG-13402-BL26001-INA-000000</v>
      </c>
      <c r="P5300" s="6" t="str">
        <f>IFERROR(__xludf.DUMMYFUNCTION("""COMPUTED_VALUE"""),"PO Closed")</f>
        <v>PO Closed</v>
      </c>
      <c r="Q5300" s="6" t="str">
        <f>IFERROR(__xludf.DUMMYFUNCTION("""COMPUTED_VALUE"""),"GL2607011")</f>
        <v>GL2607011</v>
      </c>
      <c r="R5300" s="57">
        <f>IFERROR(__xludf.DUMMYFUNCTION("""COMPUTED_VALUE"""),46205.0)</f>
        <v>46205</v>
      </c>
      <c r="S5300" s="57">
        <f>IFERROR(__xludf.DUMMYFUNCTION("""COMPUTED_VALUE"""),46206.0)</f>
        <v>46206</v>
      </c>
      <c r="T5300" s="57">
        <f>IFERROR(__xludf.DUMMYFUNCTION("""COMPUTED_VALUE"""),46249.0)</f>
        <v>46249</v>
      </c>
    </row>
    <row r="5301">
      <c r="A5301" s="6" t="str">
        <f>IFERROR(__xludf.DUMMYFUNCTION("""COMPUTED_VALUE"""),"121704397-4")</f>
        <v>121704397-4</v>
      </c>
      <c r="B5301" s="6" t="str">
        <f>IFERROR(__xludf.DUMMYFUNCTION("""COMPUTED_VALUE"""),"121704397 - APPROVED")</f>
        <v>121704397 - APPROVED</v>
      </c>
      <c r="C5301" s="6">
        <f>IFERROR(__xludf.DUMMYFUNCTION("""COMPUTED_VALUE"""),4.0)</f>
        <v>4</v>
      </c>
      <c r="D5301" s="6" t="str">
        <f>IFERROR(__xludf.DUMMYFUNCTION("""COMPUTED_VALUE"""),"R-71002-00")</f>
        <v>R-71002-00</v>
      </c>
      <c r="E5301" s="6" t="str">
        <f>IFERROR(__xludf.DUMMYFUNCTION("""COMPUTED_VALUE"""),"Renovation - Pipa ss304 1 inch schedule 10 Weld - Pipa ss304 1 inch schedule 10 Weld")</f>
        <v>Renovation - Pipa ss304 1 inch schedule 10 Weld - Pipa ss304 1 inch schedule 10 Weld</v>
      </c>
      <c r="F5301" s="6">
        <f>IFERROR(__xludf.DUMMYFUNCTION("""COMPUTED_VALUE"""),3.0)</f>
        <v>3</v>
      </c>
      <c r="G5301" s="6" t="str">
        <f>IFERROR(__xludf.DUMMYFUNCTION("""COMPUTED_VALUE"""),"Unit")</f>
        <v>Unit</v>
      </c>
      <c r="H5301" s="6" t="str">
        <f>IFERROR(__xludf.DUMMYFUNCTION("""COMPUTED_VALUE"""),"IDR")</f>
        <v>IDR</v>
      </c>
      <c r="I5301" s="6">
        <f>IFERROR(__xludf.DUMMYFUNCTION("""COMPUTED_VALUE"""),1075000.0)</f>
        <v>1075000</v>
      </c>
      <c r="J5301" s="6">
        <f>IFERROR(__xludf.DUMMYFUNCTION("""COMPUTED_VALUE"""),3225000.0)</f>
        <v>3225000</v>
      </c>
      <c r="K5301" s="57">
        <f>IFERROR(__xludf.DUMMYFUNCTION("""COMPUTED_VALUE"""),46241.0)</f>
        <v>46241</v>
      </c>
      <c r="L5301" s="6" t="str">
        <f>IFERROR(__xludf.DUMMYFUNCTION("""COMPUTED_VALUE"""),"FIP General")</f>
        <v>FIP General</v>
      </c>
      <c r="M5301" s="6" t="str">
        <f>IFERROR(__xludf.DUMMYFUNCTION("""COMPUTED_VALUE"""),"Mochammad Fadhillah Hakim,")</f>
        <v>Mochammad Fadhillah Hakim,</v>
      </c>
      <c r="N5301" s="6" t="str">
        <f>IFERROR(__xludf.DUMMYFUNCTION("""COMPUTED_VALUE"""),"FIP Engineering")</f>
        <v>FIP Engineering</v>
      </c>
      <c r="O5301" s="6" t="str">
        <f>IFERROR(__xludf.DUMMYFUNCTION("""COMPUTED_VALUE"""),"FIP-DOM-ENG-13402-BL26001-INA-000000")</f>
        <v>FIP-DOM-ENG-13402-BL26001-INA-000000</v>
      </c>
      <c r="P5301" s="6" t="str">
        <f>IFERROR(__xludf.DUMMYFUNCTION("""COMPUTED_VALUE"""),"PO Closed")</f>
        <v>PO Closed</v>
      </c>
      <c r="Q5301" s="6" t="str">
        <f>IFERROR(__xludf.DUMMYFUNCTION("""COMPUTED_VALUE"""),"GL2607011")</f>
        <v>GL2607011</v>
      </c>
      <c r="R5301" s="57">
        <f>IFERROR(__xludf.DUMMYFUNCTION("""COMPUTED_VALUE"""),46205.0)</f>
        <v>46205</v>
      </c>
      <c r="S5301" s="57">
        <f>IFERROR(__xludf.DUMMYFUNCTION("""COMPUTED_VALUE"""),46206.0)</f>
        <v>46206</v>
      </c>
      <c r="T5301" s="57">
        <f>IFERROR(__xludf.DUMMYFUNCTION("""COMPUTED_VALUE"""),46249.0)</f>
        <v>46249</v>
      </c>
    </row>
    <row r="5302">
      <c r="A5302" s="6" t="str">
        <f>IFERROR(__xludf.DUMMYFUNCTION("""COMPUTED_VALUE"""),"121704397-5")</f>
        <v>121704397-5</v>
      </c>
      <c r="B5302" s="6" t="str">
        <f>IFERROR(__xludf.DUMMYFUNCTION("""COMPUTED_VALUE"""),"121704397 - APPROVED")</f>
        <v>121704397 - APPROVED</v>
      </c>
      <c r="C5302" s="6">
        <f>IFERROR(__xludf.DUMMYFUNCTION("""COMPUTED_VALUE"""),5.0)</f>
        <v>5</v>
      </c>
      <c r="D5302" s="6" t="str">
        <f>IFERROR(__xludf.DUMMYFUNCTION("""COMPUTED_VALUE"""),"R-71002-00")</f>
        <v>R-71002-00</v>
      </c>
      <c r="E5302" s="6" t="str">
        <f>IFERROR(__xludf.DUMMYFUNCTION("""COMPUTED_VALUE"""),"Renovation - Elbow ss 304 1 inch Sch 10 - Elbow ss 304 1 inch Sch 10")</f>
        <v>Renovation - Elbow ss 304 1 inch Sch 10 - Elbow ss 304 1 inch Sch 10</v>
      </c>
      <c r="F5302" s="6">
        <f>IFERROR(__xludf.DUMMYFUNCTION("""COMPUTED_VALUE"""),3.0)</f>
        <v>3</v>
      </c>
      <c r="G5302" s="6" t="str">
        <f>IFERROR(__xludf.DUMMYFUNCTION("""COMPUTED_VALUE"""),"Unit")</f>
        <v>Unit</v>
      </c>
      <c r="H5302" s="6" t="str">
        <f>IFERROR(__xludf.DUMMYFUNCTION("""COMPUTED_VALUE"""),"IDR")</f>
        <v>IDR</v>
      </c>
      <c r="I5302" s="6">
        <f>IFERROR(__xludf.DUMMYFUNCTION("""COMPUTED_VALUE"""),35000.0)</f>
        <v>35000</v>
      </c>
      <c r="J5302" s="6">
        <f>IFERROR(__xludf.DUMMYFUNCTION("""COMPUTED_VALUE"""),105000.0)</f>
        <v>105000</v>
      </c>
      <c r="K5302" s="57">
        <f>IFERROR(__xludf.DUMMYFUNCTION("""COMPUTED_VALUE"""),46241.0)</f>
        <v>46241</v>
      </c>
      <c r="L5302" s="6" t="str">
        <f>IFERROR(__xludf.DUMMYFUNCTION("""COMPUTED_VALUE"""),"FIP General")</f>
        <v>FIP General</v>
      </c>
      <c r="M5302" s="6" t="str">
        <f>IFERROR(__xludf.DUMMYFUNCTION("""COMPUTED_VALUE"""),"Mochammad Fadhillah Hakim,")</f>
        <v>Mochammad Fadhillah Hakim,</v>
      </c>
      <c r="N5302" s="6" t="str">
        <f>IFERROR(__xludf.DUMMYFUNCTION("""COMPUTED_VALUE"""),"FIP Engineering")</f>
        <v>FIP Engineering</v>
      </c>
      <c r="O5302" s="6" t="str">
        <f>IFERROR(__xludf.DUMMYFUNCTION("""COMPUTED_VALUE"""),"FIP-DOM-ENG-13402-BL26001-INA-000000")</f>
        <v>FIP-DOM-ENG-13402-BL26001-INA-000000</v>
      </c>
      <c r="P5302" s="6" t="str">
        <f>IFERROR(__xludf.DUMMYFUNCTION("""COMPUTED_VALUE"""),"PO Closed")</f>
        <v>PO Closed</v>
      </c>
      <c r="Q5302" s="6" t="str">
        <f>IFERROR(__xludf.DUMMYFUNCTION("""COMPUTED_VALUE"""),"GL2607011")</f>
        <v>GL2607011</v>
      </c>
      <c r="R5302" s="57">
        <f>IFERROR(__xludf.DUMMYFUNCTION("""COMPUTED_VALUE"""),46205.0)</f>
        <v>46205</v>
      </c>
      <c r="S5302" s="57">
        <f>IFERROR(__xludf.DUMMYFUNCTION("""COMPUTED_VALUE"""),46206.0)</f>
        <v>46206</v>
      </c>
      <c r="T5302" s="57">
        <f>IFERROR(__xludf.DUMMYFUNCTION("""COMPUTED_VALUE"""),46249.0)</f>
        <v>46249</v>
      </c>
    </row>
    <row r="5303">
      <c r="A5303" s="6" t="str">
        <f>IFERROR(__xludf.DUMMYFUNCTION("""COMPUTED_VALUE"""),"121704397-6")</f>
        <v>121704397-6</v>
      </c>
      <c r="B5303" s="6" t="str">
        <f>IFERROR(__xludf.DUMMYFUNCTION("""COMPUTED_VALUE"""),"121704397 - APPROVED")</f>
        <v>121704397 - APPROVED</v>
      </c>
      <c r="C5303" s="6">
        <f>IFERROR(__xludf.DUMMYFUNCTION("""COMPUTED_VALUE"""),6.0)</f>
        <v>6</v>
      </c>
      <c r="D5303" s="6" t="str">
        <f>IFERROR(__xludf.DUMMYFUNCTION("""COMPUTED_VALUE"""),"R-71002-00")</f>
        <v>R-71002-00</v>
      </c>
      <c r="E5303" s="6" t="str">
        <f>IFERROR(__xludf.DUMMYFUNCTION("""COMPUTED_VALUE"""),"Renovation - Ball Valve 1 inch Sankyo SS304 - Ball Valve 1 inch Sankyo SS304")</f>
        <v>Renovation - Ball Valve 1 inch Sankyo SS304 - Ball Valve 1 inch Sankyo SS304</v>
      </c>
      <c r="F5303" s="6">
        <f>IFERROR(__xludf.DUMMYFUNCTION("""COMPUTED_VALUE"""),2.0)</f>
        <v>2</v>
      </c>
      <c r="G5303" s="6" t="str">
        <f>IFERROR(__xludf.DUMMYFUNCTION("""COMPUTED_VALUE"""),"Unit")</f>
        <v>Unit</v>
      </c>
      <c r="H5303" s="6" t="str">
        <f>IFERROR(__xludf.DUMMYFUNCTION("""COMPUTED_VALUE"""),"IDR")</f>
        <v>IDR</v>
      </c>
      <c r="I5303" s="6">
        <f>IFERROR(__xludf.DUMMYFUNCTION("""COMPUTED_VALUE"""),110000.0)</f>
        <v>110000</v>
      </c>
      <c r="J5303" s="6">
        <f>IFERROR(__xludf.DUMMYFUNCTION("""COMPUTED_VALUE"""),220000.0)</f>
        <v>220000</v>
      </c>
      <c r="K5303" s="57">
        <f>IFERROR(__xludf.DUMMYFUNCTION("""COMPUTED_VALUE"""),46241.0)</f>
        <v>46241</v>
      </c>
      <c r="L5303" s="6" t="str">
        <f>IFERROR(__xludf.DUMMYFUNCTION("""COMPUTED_VALUE"""),"FIP General")</f>
        <v>FIP General</v>
      </c>
      <c r="M5303" s="6" t="str">
        <f>IFERROR(__xludf.DUMMYFUNCTION("""COMPUTED_VALUE"""),"Mochammad Fadhillah Hakim,")</f>
        <v>Mochammad Fadhillah Hakim,</v>
      </c>
      <c r="N5303" s="6" t="str">
        <f>IFERROR(__xludf.DUMMYFUNCTION("""COMPUTED_VALUE"""),"FIP Engineering")</f>
        <v>FIP Engineering</v>
      </c>
      <c r="O5303" s="6" t="str">
        <f>IFERROR(__xludf.DUMMYFUNCTION("""COMPUTED_VALUE"""),"FIP-DOM-ENG-13402-BL26001-INA-000000")</f>
        <v>FIP-DOM-ENG-13402-BL26001-INA-000000</v>
      </c>
      <c r="P5303" s="6" t="str">
        <f>IFERROR(__xludf.DUMMYFUNCTION("""COMPUTED_VALUE"""),"PO Closed")</f>
        <v>PO Closed</v>
      </c>
      <c r="Q5303" s="6" t="str">
        <f>IFERROR(__xludf.DUMMYFUNCTION("""COMPUTED_VALUE"""),"GL2607011")</f>
        <v>GL2607011</v>
      </c>
      <c r="R5303" s="57">
        <f>IFERROR(__xludf.DUMMYFUNCTION("""COMPUTED_VALUE"""),46205.0)</f>
        <v>46205</v>
      </c>
      <c r="S5303" s="57">
        <f>IFERROR(__xludf.DUMMYFUNCTION("""COMPUTED_VALUE"""),46206.0)</f>
        <v>46206</v>
      </c>
      <c r="T5303" s="57">
        <f>IFERROR(__xludf.DUMMYFUNCTION("""COMPUTED_VALUE"""),46249.0)</f>
        <v>46249</v>
      </c>
    </row>
    <row r="5304">
      <c r="A5304" s="6" t="str">
        <f>IFERROR(__xludf.DUMMYFUNCTION("""COMPUTED_VALUE"""),"121704397-7")</f>
        <v>121704397-7</v>
      </c>
      <c r="B5304" s="6" t="str">
        <f>IFERROR(__xludf.DUMMYFUNCTION("""COMPUTED_VALUE"""),"121704397 - APPROVED")</f>
        <v>121704397 - APPROVED</v>
      </c>
      <c r="C5304" s="6">
        <f>IFERROR(__xludf.DUMMYFUNCTION("""COMPUTED_VALUE"""),7.0)</f>
        <v>7</v>
      </c>
      <c r="D5304" s="6" t="str">
        <f>IFERROR(__xludf.DUMMYFUNCTION("""COMPUTED_VALUE"""),"R-71002-00")</f>
        <v>R-71002-00</v>
      </c>
      <c r="E5304" s="6" t="str">
        <f>IFERROR(__xludf.DUMMYFUNCTION("""COMPUTED_VALUE"""),"Renovation - Kawat Las Tig Argon Aluminium ER4043 2mm 1kg - Kawat Las Tig Argon Aluminium ER4043 2mm 1kg")</f>
        <v>Renovation - Kawat Las Tig Argon Aluminium ER4043 2mm 1kg - Kawat Las Tig Argon Aluminium ER4043 2mm 1kg</v>
      </c>
      <c r="F5304" s="6">
        <f>IFERROR(__xludf.DUMMYFUNCTION("""COMPUTED_VALUE"""),2.0)</f>
        <v>2</v>
      </c>
      <c r="G5304" s="6" t="str">
        <f>IFERROR(__xludf.DUMMYFUNCTION("""COMPUTED_VALUE"""),"Unit")</f>
        <v>Unit</v>
      </c>
      <c r="H5304" s="6" t="str">
        <f>IFERROR(__xludf.DUMMYFUNCTION("""COMPUTED_VALUE"""),"IDR")</f>
        <v>IDR</v>
      </c>
      <c r="I5304" s="6">
        <f>IFERROR(__xludf.DUMMYFUNCTION("""COMPUTED_VALUE"""),225000.0)</f>
        <v>225000</v>
      </c>
      <c r="J5304" s="6">
        <f>IFERROR(__xludf.DUMMYFUNCTION("""COMPUTED_VALUE"""),450000.0)</f>
        <v>450000</v>
      </c>
      <c r="K5304" s="57">
        <f>IFERROR(__xludf.DUMMYFUNCTION("""COMPUTED_VALUE"""),46241.0)</f>
        <v>46241</v>
      </c>
      <c r="L5304" s="6" t="str">
        <f>IFERROR(__xludf.DUMMYFUNCTION("""COMPUTED_VALUE"""),"FIP General")</f>
        <v>FIP General</v>
      </c>
      <c r="M5304" s="6" t="str">
        <f>IFERROR(__xludf.DUMMYFUNCTION("""COMPUTED_VALUE"""),"Mochammad Fadhillah Hakim,")</f>
        <v>Mochammad Fadhillah Hakim,</v>
      </c>
      <c r="N5304" s="6" t="str">
        <f>IFERROR(__xludf.DUMMYFUNCTION("""COMPUTED_VALUE"""),"FIP Engineering")</f>
        <v>FIP Engineering</v>
      </c>
      <c r="O5304" s="6" t="str">
        <f>IFERROR(__xludf.DUMMYFUNCTION("""COMPUTED_VALUE"""),"FIP-DOM-ENG-13402-BL26001-INA-000000")</f>
        <v>FIP-DOM-ENG-13402-BL26001-INA-000000</v>
      </c>
      <c r="P5304" s="6" t="str">
        <f>IFERROR(__xludf.DUMMYFUNCTION("""COMPUTED_VALUE"""),"PO Closed")</f>
        <v>PO Closed</v>
      </c>
      <c r="Q5304" s="6" t="str">
        <f>IFERROR(__xludf.DUMMYFUNCTION("""COMPUTED_VALUE"""),"GL2607011")</f>
        <v>GL2607011</v>
      </c>
      <c r="R5304" s="57">
        <f>IFERROR(__xludf.DUMMYFUNCTION("""COMPUTED_VALUE"""),46205.0)</f>
        <v>46205</v>
      </c>
      <c r="S5304" s="57">
        <f>IFERROR(__xludf.DUMMYFUNCTION("""COMPUTED_VALUE"""),46206.0)</f>
        <v>46206</v>
      </c>
      <c r="T5304" s="57">
        <f>IFERROR(__xludf.DUMMYFUNCTION("""COMPUTED_VALUE"""),46249.0)</f>
        <v>46249</v>
      </c>
    </row>
    <row r="5305">
      <c r="A5305" s="6" t="str">
        <f>IFERROR(__xludf.DUMMYFUNCTION("""COMPUTED_VALUE"""),"121704397-8")</f>
        <v>121704397-8</v>
      </c>
      <c r="B5305" s="6" t="str">
        <f>IFERROR(__xludf.DUMMYFUNCTION("""COMPUTED_VALUE"""),"121704397 - APPROVED")</f>
        <v>121704397 - APPROVED</v>
      </c>
      <c r="C5305" s="6">
        <f>IFERROR(__xludf.DUMMYFUNCTION("""COMPUTED_VALUE"""),8.0)</f>
        <v>8</v>
      </c>
      <c r="D5305" s="6" t="str">
        <f>IFERROR(__xludf.DUMMYFUNCTION("""COMPUTED_VALUE"""),"R-71002-00")</f>
        <v>R-71002-00</v>
      </c>
      <c r="E5305" s="6" t="str">
        <f>IFERROR(__xludf.DUMMYFUNCTION("""COMPUTED_VALUE"""),"Renovation - Kawat Las Tig Argon Aluminium ER4043 1.6mm 1kg - Kawat Las Tig Argon Aluminium ER4043 1.6mm 1kg")</f>
        <v>Renovation - Kawat Las Tig Argon Aluminium ER4043 1.6mm 1kg - Kawat Las Tig Argon Aluminium ER4043 1.6mm 1kg</v>
      </c>
      <c r="F5305" s="6">
        <f>IFERROR(__xludf.DUMMYFUNCTION("""COMPUTED_VALUE"""),2.0)</f>
        <v>2</v>
      </c>
      <c r="G5305" s="6" t="str">
        <f>IFERROR(__xludf.DUMMYFUNCTION("""COMPUTED_VALUE"""),"Unit")</f>
        <v>Unit</v>
      </c>
      <c r="H5305" s="6" t="str">
        <f>IFERROR(__xludf.DUMMYFUNCTION("""COMPUTED_VALUE"""),"IDR")</f>
        <v>IDR</v>
      </c>
      <c r="I5305" s="6">
        <f>IFERROR(__xludf.DUMMYFUNCTION("""COMPUTED_VALUE"""),225000.0)</f>
        <v>225000</v>
      </c>
      <c r="J5305" s="6">
        <f>IFERROR(__xludf.DUMMYFUNCTION("""COMPUTED_VALUE"""),450000.0)</f>
        <v>450000</v>
      </c>
      <c r="K5305" s="57">
        <f>IFERROR(__xludf.DUMMYFUNCTION("""COMPUTED_VALUE"""),46241.0)</f>
        <v>46241</v>
      </c>
      <c r="L5305" s="6" t="str">
        <f>IFERROR(__xludf.DUMMYFUNCTION("""COMPUTED_VALUE"""),"FIP General")</f>
        <v>FIP General</v>
      </c>
      <c r="M5305" s="6" t="str">
        <f>IFERROR(__xludf.DUMMYFUNCTION("""COMPUTED_VALUE"""),"Mochammad Fadhillah Hakim,")</f>
        <v>Mochammad Fadhillah Hakim,</v>
      </c>
      <c r="N5305" s="6" t="str">
        <f>IFERROR(__xludf.DUMMYFUNCTION("""COMPUTED_VALUE"""),"FIP Engineering")</f>
        <v>FIP Engineering</v>
      </c>
      <c r="O5305" s="6" t="str">
        <f>IFERROR(__xludf.DUMMYFUNCTION("""COMPUTED_VALUE"""),"FIP-DOM-ENG-13402-BL26001-INA-000000")</f>
        <v>FIP-DOM-ENG-13402-BL26001-INA-000000</v>
      </c>
      <c r="P5305" s="6" t="str">
        <f>IFERROR(__xludf.DUMMYFUNCTION("""COMPUTED_VALUE"""),"PO Closed")</f>
        <v>PO Closed</v>
      </c>
      <c r="Q5305" s="6" t="str">
        <f>IFERROR(__xludf.DUMMYFUNCTION("""COMPUTED_VALUE"""),"GL2607011")</f>
        <v>GL2607011</v>
      </c>
      <c r="R5305" s="57">
        <f>IFERROR(__xludf.DUMMYFUNCTION("""COMPUTED_VALUE"""),46205.0)</f>
        <v>46205</v>
      </c>
      <c r="S5305" s="57">
        <f>IFERROR(__xludf.DUMMYFUNCTION("""COMPUTED_VALUE"""),46206.0)</f>
        <v>46206</v>
      </c>
      <c r="T5305" s="57">
        <f>IFERROR(__xludf.DUMMYFUNCTION("""COMPUTED_VALUE"""),46249.0)</f>
        <v>46249</v>
      </c>
    </row>
    <row r="5306">
      <c r="A5306" s="6" t="str">
        <f>IFERROR(__xludf.DUMMYFUNCTION("""COMPUTED_VALUE"""),"121704397-9")</f>
        <v>121704397-9</v>
      </c>
      <c r="B5306" s="6" t="str">
        <f>IFERROR(__xludf.DUMMYFUNCTION("""COMPUTED_VALUE"""),"121704397 - APPROVED")</f>
        <v>121704397 - APPROVED</v>
      </c>
      <c r="C5306" s="6">
        <f>IFERROR(__xludf.DUMMYFUNCTION("""COMPUTED_VALUE"""),9.0)</f>
        <v>9</v>
      </c>
      <c r="D5306" s="6" t="str">
        <f>IFERROR(__xludf.DUMMYFUNCTION("""COMPUTED_VALUE"""),"R-71002-00")</f>
        <v>R-71002-00</v>
      </c>
      <c r="E5306" s="6" t="str">
        <f>IFERROR(__xludf.DUMMYFUNCTION("""COMPUTED_VALUE"""),"Renovation - Reducer Tee / Vlok Tee Las Stainless 304 Sch10 2 1/2 x 1"" inch - Reducer Tee / Vlok Tee Las Stainless 304 Sch10 2 1/2 x 1"" inch")</f>
        <v>Renovation - Reducer Tee / Vlok Tee Las Stainless 304 Sch10 2 1/2 x 1" inch - Reducer Tee / Vlok Tee Las Stainless 304 Sch10 2 1/2 x 1" inch</v>
      </c>
      <c r="F5306" s="6">
        <f>IFERROR(__xludf.DUMMYFUNCTION("""COMPUTED_VALUE"""),2.0)</f>
        <v>2</v>
      </c>
      <c r="G5306" s="6" t="str">
        <f>IFERROR(__xludf.DUMMYFUNCTION("""COMPUTED_VALUE"""),"Unit")</f>
        <v>Unit</v>
      </c>
      <c r="H5306" s="6" t="str">
        <f>IFERROR(__xludf.DUMMYFUNCTION("""COMPUTED_VALUE"""),"IDR")</f>
        <v>IDR</v>
      </c>
      <c r="I5306" s="6">
        <f>IFERROR(__xludf.DUMMYFUNCTION("""COMPUTED_VALUE"""),385000.0)</f>
        <v>385000</v>
      </c>
      <c r="J5306" s="6">
        <f>IFERROR(__xludf.DUMMYFUNCTION("""COMPUTED_VALUE"""),770000.0)</f>
        <v>770000</v>
      </c>
      <c r="K5306" s="57">
        <f>IFERROR(__xludf.DUMMYFUNCTION("""COMPUTED_VALUE"""),46241.0)</f>
        <v>46241</v>
      </c>
      <c r="L5306" s="6" t="str">
        <f>IFERROR(__xludf.DUMMYFUNCTION("""COMPUTED_VALUE"""),"FIP General")</f>
        <v>FIP General</v>
      </c>
      <c r="M5306" s="6" t="str">
        <f>IFERROR(__xludf.DUMMYFUNCTION("""COMPUTED_VALUE"""),"Mochammad Fadhillah Hakim,")</f>
        <v>Mochammad Fadhillah Hakim,</v>
      </c>
      <c r="N5306" s="6" t="str">
        <f>IFERROR(__xludf.DUMMYFUNCTION("""COMPUTED_VALUE"""),"FIP Engineering")</f>
        <v>FIP Engineering</v>
      </c>
      <c r="O5306" s="6" t="str">
        <f>IFERROR(__xludf.DUMMYFUNCTION("""COMPUTED_VALUE"""),"FIP-DOM-ENG-13402-BL26001-INA-000000")</f>
        <v>FIP-DOM-ENG-13402-BL26001-INA-000000</v>
      </c>
      <c r="P5306" s="6" t="str">
        <f>IFERROR(__xludf.DUMMYFUNCTION("""COMPUTED_VALUE"""),"PO Closed")</f>
        <v>PO Closed</v>
      </c>
      <c r="Q5306" s="6" t="str">
        <f>IFERROR(__xludf.DUMMYFUNCTION("""COMPUTED_VALUE"""),"GL2607011")</f>
        <v>GL2607011</v>
      </c>
      <c r="R5306" s="57">
        <f>IFERROR(__xludf.DUMMYFUNCTION("""COMPUTED_VALUE"""),46205.0)</f>
        <v>46205</v>
      </c>
      <c r="S5306" s="57">
        <f>IFERROR(__xludf.DUMMYFUNCTION("""COMPUTED_VALUE"""),46206.0)</f>
        <v>46206</v>
      </c>
      <c r="T5306" s="57">
        <f>IFERROR(__xludf.DUMMYFUNCTION("""COMPUTED_VALUE"""),46249.0)</f>
        <v>46249</v>
      </c>
    </row>
    <row r="5307">
      <c r="A5307" s="6" t="str">
        <f>IFERROR(__xludf.DUMMYFUNCTION("""COMPUTED_VALUE"""),"121704397-10")</f>
        <v>121704397-10</v>
      </c>
      <c r="B5307" s="6" t="str">
        <f>IFERROR(__xludf.DUMMYFUNCTION("""COMPUTED_VALUE"""),"121704397 - APPROVED")</f>
        <v>121704397 - APPROVED</v>
      </c>
      <c r="C5307" s="6">
        <f>IFERROR(__xludf.DUMMYFUNCTION("""COMPUTED_VALUE"""),10.0)</f>
        <v>10</v>
      </c>
      <c r="D5307" s="6" t="str">
        <f>IFERROR(__xludf.DUMMYFUNCTION("""COMPUTED_VALUE"""),"R-71002-00")</f>
        <v>R-71002-00</v>
      </c>
      <c r="E5307" s="6" t="str">
        <f>IFERROR(__xludf.DUMMYFUNCTION("""COMPUTED_VALUE"""),"Renovation - Gasket rubber tebal 3 mm 1 meter - Gasket rubber tebal 3 mm 1 meter")</f>
        <v>Renovation - Gasket rubber tebal 3 mm 1 meter - Gasket rubber tebal 3 mm 1 meter</v>
      </c>
      <c r="F5307" s="6">
        <f>IFERROR(__xludf.DUMMYFUNCTION("""COMPUTED_VALUE"""),1.0)</f>
        <v>1</v>
      </c>
      <c r="G5307" s="6" t="str">
        <f>IFERROR(__xludf.DUMMYFUNCTION("""COMPUTED_VALUE"""),"Unit")</f>
        <v>Unit</v>
      </c>
      <c r="H5307" s="6" t="str">
        <f>IFERROR(__xludf.DUMMYFUNCTION("""COMPUTED_VALUE"""),"IDR")</f>
        <v>IDR</v>
      </c>
      <c r="I5307" s="6">
        <f>IFERROR(__xludf.DUMMYFUNCTION("""COMPUTED_VALUE"""),150000.0)</f>
        <v>150000</v>
      </c>
      <c r="J5307" s="6">
        <f>IFERROR(__xludf.DUMMYFUNCTION("""COMPUTED_VALUE"""),150000.0)</f>
        <v>150000</v>
      </c>
      <c r="K5307" s="57">
        <f>IFERROR(__xludf.DUMMYFUNCTION("""COMPUTED_VALUE"""),46241.0)</f>
        <v>46241</v>
      </c>
      <c r="L5307" s="6" t="str">
        <f>IFERROR(__xludf.DUMMYFUNCTION("""COMPUTED_VALUE"""),"FIP General")</f>
        <v>FIP General</v>
      </c>
      <c r="M5307" s="6" t="str">
        <f>IFERROR(__xludf.DUMMYFUNCTION("""COMPUTED_VALUE"""),"Mochammad Fadhillah Hakim,")</f>
        <v>Mochammad Fadhillah Hakim,</v>
      </c>
      <c r="N5307" s="6" t="str">
        <f>IFERROR(__xludf.DUMMYFUNCTION("""COMPUTED_VALUE"""),"FIP Engineering")</f>
        <v>FIP Engineering</v>
      </c>
      <c r="O5307" s="6" t="str">
        <f>IFERROR(__xludf.DUMMYFUNCTION("""COMPUTED_VALUE"""),"FIP-DOM-ENG-13402-BL26001-INA-000000")</f>
        <v>FIP-DOM-ENG-13402-BL26001-INA-000000</v>
      </c>
      <c r="P5307" s="6" t="str">
        <f>IFERROR(__xludf.DUMMYFUNCTION("""COMPUTED_VALUE"""),"PO Closed")</f>
        <v>PO Closed</v>
      </c>
      <c r="Q5307" s="6" t="str">
        <f>IFERROR(__xludf.DUMMYFUNCTION("""COMPUTED_VALUE"""),"GL2607011")</f>
        <v>GL2607011</v>
      </c>
      <c r="R5307" s="57">
        <f>IFERROR(__xludf.DUMMYFUNCTION("""COMPUTED_VALUE"""),46205.0)</f>
        <v>46205</v>
      </c>
      <c r="S5307" s="57">
        <f>IFERROR(__xludf.DUMMYFUNCTION("""COMPUTED_VALUE"""),46206.0)</f>
        <v>46206</v>
      </c>
      <c r="T5307" s="57">
        <f>IFERROR(__xludf.DUMMYFUNCTION("""COMPUTED_VALUE"""),46249.0)</f>
        <v>46249</v>
      </c>
    </row>
    <row r="5308">
      <c r="A5308" s="6" t="str">
        <f>IFERROR(__xludf.DUMMYFUNCTION("""COMPUTED_VALUE"""),"121704397-11")</f>
        <v>121704397-11</v>
      </c>
      <c r="B5308" s="6" t="str">
        <f>IFERROR(__xludf.DUMMYFUNCTION("""COMPUTED_VALUE"""),"121704397 - APPROVED")</f>
        <v>121704397 - APPROVED</v>
      </c>
      <c r="C5308" s="6">
        <f>IFERROR(__xludf.DUMMYFUNCTION("""COMPUTED_VALUE"""),11.0)</f>
        <v>11</v>
      </c>
      <c r="D5308" s="6" t="str">
        <f>IFERROR(__xludf.DUMMYFUNCTION("""COMPUTED_VALUE"""),"R-71002-00")</f>
        <v>R-71002-00</v>
      </c>
      <c r="E5308" s="6" t="str">
        <f>IFERROR(__xludf.DUMMYFUNCTION("""COMPUTED_VALUE"""),"Renovation - Watermur ss 304 1 inch - Watermur ss 304 1 inch")</f>
        <v>Renovation - Watermur ss 304 1 inch - Watermur ss 304 1 inch</v>
      </c>
      <c r="F5308" s="6">
        <f>IFERROR(__xludf.DUMMYFUNCTION("""COMPUTED_VALUE"""),4.0)</f>
        <v>4</v>
      </c>
      <c r="G5308" s="6" t="str">
        <f>IFERROR(__xludf.DUMMYFUNCTION("""COMPUTED_VALUE"""),"Unit")</f>
        <v>Unit</v>
      </c>
      <c r="H5308" s="6" t="str">
        <f>IFERROR(__xludf.DUMMYFUNCTION("""COMPUTED_VALUE"""),"IDR")</f>
        <v>IDR</v>
      </c>
      <c r="I5308" s="6">
        <f>IFERROR(__xludf.DUMMYFUNCTION("""COMPUTED_VALUE"""),125000.0)</f>
        <v>125000</v>
      </c>
      <c r="J5308" s="6">
        <f>IFERROR(__xludf.DUMMYFUNCTION("""COMPUTED_VALUE"""),500000.0)</f>
        <v>500000</v>
      </c>
      <c r="K5308" s="57">
        <f>IFERROR(__xludf.DUMMYFUNCTION("""COMPUTED_VALUE"""),46241.0)</f>
        <v>46241</v>
      </c>
      <c r="L5308" s="6" t="str">
        <f>IFERROR(__xludf.DUMMYFUNCTION("""COMPUTED_VALUE"""),"FIP General")</f>
        <v>FIP General</v>
      </c>
      <c r="M5308" s="6" t="str">
        <f>IFERROR(__xludf.DUMMYFUNCTION("""COMPUTED_VALUE"""),"Mochammad Fadhillah Hakim,")</f>
        <v>Mochammad Fadhillah Hakim,</v>
      </c>
      <c r="N5308" s="6" t="str">
        <f>IFERROR(__xludf.DUMMYFUNCTION("""COMPUTED_VALUE"""),"FIP Engineering")</f>
        <v>FIP Engineering</v>
      </c>
      <c r="O5308" s="6" t="str">
        <f>IFERROR(__xludf.DUMMYFUNCTION("""COMPUTED_VALUE"""),"FIP-DOM-ENG-13402-BL26001-INA-000000")</f>
        <v>FIP-DOM-ENG-13402-BL26001-INA-000000</v>
      </c>
      <c r="P5308" s="6" t="str">
        <f>IFERROR(__xludf.DUMMYFUNCTION("""COMPUTED_VALUE"""),"PO Closed")</f>
        <v>PO Closed</v>
      </c>
      <c r="Q5308" s="6" t="str">
        <f>IFERROR(__xludf.DUMMYFUNCTION("""COMPUTED_VALUE"""),"GL2607011")</f>
        <v>GL2607011</v>
      </c>
      <c r="R5308" s="57">
        <f>IFERROR(__xludf.DUMMYFUNCTION("""COMPUTED_VALUE"""),46205.0)</f>
        <v>46205</v>
      </c>
      <c r="S5308" s="57">
        <f>IFERROR(__xludf.DUMMYFUNCTION("""COMPUTED_VALUE"""),46206.0)</f>
        <v>46206</v>
      </c>
      <c r="T5308" s="57">
        <f>IFERROR(__xludf.DUMMYFUNCTION("""COMPUTED_VALUE"""),46249.0)</f>
        <v>46249</v>
      </c>
    </row>
    <row r="5309">
      <c r="A5309" s="6" t="str">
        <f>IFERROR(__xludf.DUMMYFUNCTION("""COMPUTED_VALUE"""),"121704397-12")</f>
        <v>121704397-12</v>
      </c>
      <c r="B5309" s="6" t="str">
        <f>IFERROR(__xludf.DUMMYFUNCTION("""COMPUTED_VALUE"""),"121704397 - APPROVED")</f>
        <v>121704397 - APPROVED</v>
      </c>
      <c r="C5309" s="6">
        <f>IFERROR(__xludf.DUMMYFUNCTION("""COMPUTED_VALUE"""),12.0)</f>
        <v>12</v>
      </c>
      <c r="D5309" s="6" t="str">
        <f>IFERROR(__xludf.DUMMYFUNCTION("""COMPUTED_VALUE"""),"R-71002-00")</f>
        <v>R-71002-00</v>
      </c>
      <c r="E5309" s="6" t="str">
        <f>IFERROR(__xludf.DUMMYFUNCTION("""COMPUTED_VALUE"""),"Renovation - Shock drat luar ss 304 1 inch - Shock drat luar ss 304 1 inch")</f>
        <v>Renovation - Shock drat luar ss 304 1 inch - Shock drat luar ss 304 1 inch</v>
      </c>
      <c r="F5309" s="6">
        <f>IFERROR(__xludf.DUMMYFUNCTION("""COMPUTED_VALUE"""),4.0)</f>
        <v>4</v>
      </c>
      <c r="G5309" s="6" t="str">
        <f>IFERROR(__xludf.DUMMYFUNCTION("""COMPUTED_VALUE"""),"Unit")</f>
        <v>Unit</v>
      </c>
      <c r="H5309" s="6" t="str">
        <f>IFERROR(__xludf.DUMMYFUNCTION("""COMPUTED_VALUE"""),"IDR")</f>
        <v>IDR</v>
      </c>
      <c r="I5309" s="6">
        <f>IFERROR(__xludf.DUMMYFUNCTION("""COMPUTED_VALUE"""),35000.0)</f>
        <v>35000</v>
      </c>
      <c r="J5309" s="6">
        <f>IFERROR(__xludf.DUMMYFUNCTION("""COMPUTED_VALUE"""),140000.0)</f>
        <v>140000</v>
      </c>
      <c r="K5309" s="57">
        <f>IFERROR(__xludf.DUMMYFUNCTION("""COMPUTED_VALUE"""),46241.0)</f>
        <v>46241</v>
      </c>
      <c r="L5309" s="6" t="str">
        <f>IFERROR(__xludf.DUMMYFUNCTION("""COMPUTED_VALUE"""),"FIP General")</f>
        <v>FIP General</v>
      </c>
      <c r="M5309" s="6" t="str">
        <f>IFERROR(__xludf.DUMMYFUNCTION("""COMPUTED_VALUE"""),"Mochammad Fadhillah Hakim,")</f>
        <v>Mochammad Fadhillah Hakim,</v>
      </c>
      <c r="N5309" s="6" t="str">
        <f>IFERROR(__xludf.DUMMYFUNCTION("""COMPUTED_VALUE"""),"FIP Engineering")</f>
        <v>FIP Engineering</v>
      </c>
      <c r="O5309" s="6" t="str">
        <f>IFERROR(__xludf.DUMMYFUNCTION("""COMPUTED_VALUE"""),"FIP-DOM-ENG-13402-BL26001-INA-000000")</f>
        <v>FIP-DOM-ENG-13402-BL26001-INA-000000</v>
      </c>
      <c r="P5309" s="6" t="str">
        <f>IFERROR(__xludf.DUMMYFUNCTION("""COMPUTED_VALUE"""),"PO Closed")</f>
        <v>PO Closed</v>
      </c>
      <c r="Q5309" s="6" t="str">
        <f>IFERROR(__xludf.DUMMYFUNCTION("""COMPUTED_VALUE"""),"GL2607011")</f>
        <v>GL2607011</v>
      </c>
      <c r="R5309" s="57">
        <f>IFERROR(__xludf.DUMMYFUNCTION("""COMPUTED_VALUE"""),46205.0)</f>
        <v>46205</v>
      </c>
      <c r="S5309" s="57">
        <f>IFERROR(__xludf.DUMMYFUNCTION("""COMPUTED_VALUE"""),46206.0)</f>
        <v>46206</v>
      </c>
      <c r="T5309" s="57">
        <f>IFERROR(__xludf.DUMMYFUNCTION("""COMPUTED_VALUE"""),46249.0)</f>
        <v>46249</v>
      </c>
    </row>
    <row r="5310">
      <c r="A5310" s="6" t="str">
        <f>IFERROR(__xludf.DUMMYFUNCTION("""COMPUTED_VALUE"""),"121704397-13")</f>
        <v>121704397-13</v>
      </c>
      <c r="B5310" s="6" t="str">
        <f>IFERROR(__xludf.DUMMYFUNCTION("""COMPUTED_VALUE"""),"121704397 - APPROVED")</f>
        <v>121704397 - APPROVED</v>
      </c>
      <c r="C5310" s="6">
        <f>IFERROR(__xludf.DUMMYFUNCTION("""COMPUTED_VALUE"""),13.0)</f>
        <v>13</v>
      </c>
      <c r="D5310" s="6" t="str">
        <f>IFERROR(__xludf.DUMMYFUNCTION("""COMPUTED_VALUE"""),"R-71002-00")</f>
        <v>R-71002-00</v>
      </c>
      <c r="E5310" s="6" t="str">
        <f>IFERROR(__xludf.DUMMYFUNCTION("""COMPUTED_VALUE"""),"Renovation - Double nepple ss 304 1 inch - Double nepple ss 304 1 inch")</f>
        <v>Renovation - Double nepple ss 304 1 inch - Double nepple ss 304 1 inch</v>
      </c>
      <c r="F5310" s="6">
        <f>IFERROR(__xludf.DUMMYFUNCTION("""COMPUTED_VALUE"""),4.0)</f>
        <v>4</v>
      </c>
      <c r="G5310" s="6" t="str">
        <f>IFERROR(__xludf.DUMMYFUNCTION("""COMPUTED_VALUE"""),"Unit")</f>
        <v>Unit</v>
      </c>
      <c r="H5310" s="6" t="str">
        <f>IFERROR(__xludf.DUMMYFUNCTION("""COMPUTED_VALUE"""),"IDR")</f>
        <v>IDR</v>
      </c>
      <c r="I5310" s="6">
        <f>IFERROR(__xludf.DUMMYFUNCTION("""COMPUTED_VALUE"""),35000.0)</f>
        <v>35000</v>
      </c>
      <c r="J5310" s="6">
        <f>IFERROR(__xludf.DUMMYFUNCTION("""COMPUTED_VALUE"""),140000.0)</f>
        <v>140000</v>
      </c>
      <c r="K5310" s="57">
        <f>IFERROR(__xludf.DUMMYFUNCTION("""COMPUTED_VALUE"""),46241.0)</f>
        <v>46241</v>
      </c>
      <c r="L5310" s="6" t="str">
        <f>IFERROR(__xludf.DUMMYFUNCTION("""COMPUTED_VALUE"""),"FIP General")</f>
        <v>FIP General</v>
      </c>
      <c r="M5310" s="6" t="str">
        <f>IFERROR(__xludf.DUMMYFUNCTION("""COMPUTED_VALUE"""),"Mochammad Fadhillah Hakim,")</f>
        <v>Mochammad Fadhillah Hakim,</v>
      </c>
      <c r="N5310" s="6" t="str">
        <f>IFERROR(__xludf.DUMMYFUNCTION("""COMPUTED_VALUE"""),"FIP Engineering")</f>
        <v>FIP Engineering</v>
      </c>
      <c r="O5310" s="6" t="str">
        <f>IFERROR(__xludf.DUMMYFUNCTION("""COMPUTED_VALUE"""),"FIP-DOM-ENG-13402-BL26001-INA-000000")</f>
        <v>FIP-DOM-ENG-13402-BL26001-INA-000000</v>
      </c>
      <c r="P5310" s="6" t="str">
        <f>IFERROR(__xludf.DUMMYFUNCTION("""COMPUTED_VALUE"""),"PO Closed")</f>
        <v>PO Closed</v>
      </c>
      <c r="Q5310" s="6" t="str">
        <f>IFERROR(__xludf.DUMMYFUNCTION("""COMPUTED_VALUE"""),"GL2607011")</f>
        <v>GL2607011</v>
      </c>
      <c r="R5310" s="57">
        <f>IFERROR(__xludf.DUMMYFUNCTION("""COMPUTED_VALUE"""),46205.0)</f>
        <v>46205</v>
      </c>
      <c r="S5310" s="57">
        <f>IFERROR(__xludf.DUMMYFUNCTION("""COMPUTED_VALUE"""),46206.0)</f>
        <v>46206</v>
      </c>
      <c r="T5310" s="57">
        <f>IFERROR(__xludf.DUMMYFUNCTION("""COMPUTED_VALUE"""),46249.0)</f>
        <v>46249</v>
      </c>
    </row>
    <row r="5311">
      <c r="A5311" s="6" t="str">
        <f>IFERROR(__xludf.DUMMYFUNCTION("""COMPUTED_VALUE"""),"121704397-14")</f>
        <v>121704397-14</v>
      </c>
      <c r="B5311" s="6" t="str">
        <f>IFERROR(__xludf.DUMMYFUNCTION("""COMPUTED_VALUE"""),"121704397 - APPROVED")</f>
        <v>121704397 - APPROVED</v>
      </c>
      <c r="C5311" s="6">
        <f>IFERROR(__xludf.DUMMYFUNCTION("""COMPUTED_VALUE"""),14.0)</f>
        <v>14</v>
      </c>
      <c r="D5311" s="6" t="str">
        <f>IFERROR(__xludf.DUMMYFUNCTION("""COMPUTED_VALUE"""),"R-71002-00")</f>
        <v>R-71002-00</v>
      </c>
      <c r="E5311" s="6" t="str">
        <f>IFERROR(__xludf.DUMMYFUNCTION("""COMPUTED_VALUE"""),"Renovation - Shock drat dalem ss 304 1 inch - Shock drat dalem ss 304 1 inch")</f>
        <v>Renovation - Shock drat dalem ss 304 1 inch - Shock drat dalem ss 304 1 inch</v>
      </c>
      <c r="F5311" s="6">
        <f>IFERROR(__xludf.DUMMYFUNCTION("""COMPUTED_VALUE"""),4.0)</f>
        <v>4</v>
      </c>
      <c r="G5311" s="6" t="str">
        <f>IFERROR(__xludf.DUMMYFUNCTION("""COMPUTED_VALUE"""),"Unit")</f>
        <v>Unit</v>
      </c>
      <c r="H5311" s="6" t="str">
        <f>IFERROR(__xludf.DUMMYFUNCTION("""COMPUTED_VALUE"""),"IDR")</f>
        <v>IDR</v>
      </c>
      <c r="I5311" s="6">
        <f>IFERROR(__xludf.DUMMYFUNCTION("""COMPUTED_VALUE"""),35000.0)</f>
        <v>35000</v>
      </c>
      <c r="J5311" s="6">
        <f>IFERROR(__xludf.DUMMYFUNCTION("""COMPUTED_VALUE"""),140000.0)</f>
        <v>140000</v>
      </c>
      <c r="K5311" s="57">
        <f>IFERROR(__xludf.DUMMYFUNCTION("""COMPUTED_VALUE"""),46241.0)</f>
        <v>46241</v>
      </c>
      <c r="L5311" s="6" t="str">
        <f>IFERROR(__xludf.DUMMYFUNCTION("""COMPUTED_VALUE"""),"FIP General")</f>
        <v>FIP General</v>
      </c>
      <c r="M5311" s="6" t="str">
        <f>IFERROR(__xludf.DUMMYFUNCTION("""COMPUTED_VALUE"""),"Mochammad Fadhillah Hakim,")</f>
        <v>Mochammad Fadhillah Hakim,</v>
      </c>
      <c r="N5311" s="6" t="str">
        <f>IFERROR(__xludf.DUMMYFUNCTION("""COMPUTED_VALUE"""),"FIP Engineering")</f>
        <v>FIP Engineering</v>
      </c>
      <c r="O5311" s="6" t="str">
        <f>IFERROR(__xludf.DUMMYFUNCTION("""COMPUTED_VALUE"""),"FIP-DOM-ENG-13402-BL26001-INA-000000")</f>
        <v>FIP-DOM-ENG-13402-BL26001-INA-000000</v>
      </c>
      <c r="P5311" s="6" t="str">
        <f>IFERROR(__xludf.DUMMYFUNCTION("""COMPUTED_VALUE"""),"PO Closed")</f>
        <v>PO Closed</v>
      </c>
      <c r="Q5311" s="6" t="str">
        <f>IFERROR(__xludf.DUMMYFUNCTION("""COMPUTED_VALUE"""),"GL2607011")</f>
        <v>GL2607011</v>
      </c>
      <c r="R5311" s="57">
        <f>IFERROR(__xludf.DUMMYFUNCTION("""COMPUTED_VALUE"""),46205.0)</f>
        <v>46205</v>
      </c>
      <c r="S5311" s="57">
        <f>IFERROR(__xludf.DUMMYFUNCTION("""COMPUTED_VALUE"""),46206.0)</f>
        <v>46206</v>
      </c>
      <c r="T5311" s="57">
        <f>IFERROR(__xludf.DUMMYFUNCTION("""COMPUTED_VALUE"""),46249.0)</f>
        <v>46249</v>
      </c>
    </row>
    <row r="5312">
      <c r="A5312" s="6" t="str">
        <f>IFERROR(__xludf.DUMMYFUNCTION("""COMPUTED_VALUE"""),"121704397-15")</f>
        <v>121704397-15</v>
      </c>
      <c r="B5312" s="6" t="str">
        <f>IFERROR(__xludf.DUMMYFUNCTION("""COMPUTED_VALUE"""),"121704397 - APPROVED")</f>
        <v>121704397 - APPROVED</v>
      </c>
      <c r="C5312" s="6">
        <f>IFERROR(__xludf.DUMMYFUNCTION("""COMPUTED_VALUE"""),15.0)</f>
        <v>15</v>
      </c>
      <c r="D5312" s="6" t="str">
        <f>IFERROR(__xludf.DUMMYFUNCTION("""COMPUTED_VALUE"""),"R-71002-00")</f>
        <v>R-71002-00</v>
      </c>
      <c r="E5312" s="6" t="str">
        <f>IFERROR(__xludf.DUMMYFUNCTION("""COMPUTED_VALUE"""),"Renovation - Tungsten 2 mm - Tungsten 2 mm")</f>
        <v>Renovation - Tungsten 2 mm - Tungsten 2 mm</v>
      </c>
      <c r="F5312" s="6">
        <f>IFERROR(__xludf.DUMMYFUNCTION("""COMPUTED_VALUE"""),5.0)</f>
        <v>5</v>
      </c>
      <c r="G5312" s="6" t="str">
        <f>IFERROR(__xludf.DUMMYFUNCTION("""COMPUTED_VALUE"""),"Unit")</f>
        <v>Unit</v>
      </c>
      <c r="H5312" s="6" t="str">
        <f>IFERROR(__xludf.DUMMYFUNCTION("""COMPUTED_VALUE"""),"IDR")</f>
        <v>IDR</v>
      </c>
      <c r="I5312" s="6">
        <f>IFERROR(__xludf.DUMMYFUNCTION("""COMPUTED_VALUE"""),95000.0)</f>
        <v>95000</v>
      </c>
      <c r="J5312" s="6">
        <f>IFERROR(__xludf.DUMMYFUNCTION("""COMPUTED_VALUE"""),475000.0)</f>
        <v>475000</v>
      </c>
      <c r="K5312" s="57">
        <f>IFERROR(__xludf.DUMMYFUNCTION("""COMPUTED_VALUE"""),46241.0)</f>
        <v>46241</v>
      </c>
      <c r="L5312" s="6" t="str">
        <f>IFERROR(__xludf.DUMMYFUNCTION("""COMPUTED_VALUE"""),"FIP General")</f>
        <v>FIP General</v>
      </c>
      <c r="M5312" s="6" t="str">
        <f>IFERROR(__xludf.DUMMYFUNCTION("""COMPUTED_VALUE"""),"Mochammad Fadhillah Hakim,")</f>
        <v>Mochammad Fadhillah Hakim,</v>
      </c>
      <c r="N5312" s="6" t="str">
        <f>IFERROR(__xludf.DUMMYFUNCTION("""COMPUTED_VALUE"""),"FIP Engineering")</f>
        <v>FIP Engineering</v>
      </c>
      <c r="O5312" s="6" t="str">
        <f>IFERROR(__xludf.DUMMYFUNCTION("""COMPUTED_VALUE"""),"FIP-DOM-ENG-13402-BL26001-INA-000000")</f>
        <v>FIP-DOM-ENG-13402-BL26001-INA-000000</v>
      </c>
      <c r="P5312" s="6" t="str">
        <f>IFERROR(__xludf.DUMMYFUNCTION("""COMPUTED_VALUE"""),"PO Closed")</f>
        <v>PO Closed</v>
      </c>
      <c r="Q5312" s="6" t="str">
        <f>IFERROR(__xludf.DUMMYFUNCTION("""COMPUTED_VALUE"""),"GL2607011")</f>
        <v>GL2607011</v>
      </c>
      <c r="R5312" s="57">
        <f>IFERROR(__xludf.DUMMYFUNCTION("""COMPUTED_VALUE"""),46205.0)</f>
        <v>46205</v>
      </c>
      <c r="S5312" s="57">
        <f>IFERROR(__xludf.DUMMYFUNCTION("""COMPUTED_VALUE"""),46206.0)</f>
        <v>46206</v>
      </c>
      <c r="T5312" s="57">
        <f>IFERROR(__xludf.DUMMYFUNCTION("""COMPUTED_VALUE"""),46249.0)</f>
        <v>46249</v>
      </c>
    </row>
    <row r="5313">
      <c r="A5313" s="6" t="str">
        <f>IFERROR(__xludf.DUMMYFUNCTION("""COMPUTED_VALUE"""),"121704397-16")</f>
        <v>121704397-16</v>
      </c>
      <c r="B5313" s="6" t="str">
        <f>IFERROR(__xludf.DUMMYFUNCTION("""COMPUTED_VALUE"""),"121704397 - APPROVED")</f>
        <v>121704397 - APPROVED</v>
      </c>
      <c r="C5313" s="6">
        <f>IFERROR(__xludf.DUMMYFUNCTION("""COMPUTED_VALUE"""),16.0)</f>
        <v>16</v>
      </c>
      <c r="D5313" s="6" t="str">
        <f>IFERROR(__xludf.DUMMYFUNCTION("""COMPUTED_VALUE"""),"R-71002-00")</f>
        <v>R-71002-00</v>
      </c>
      <c r="E5313" s="6" t="str">
        <f>IFERROR(__xludf.DUMMYFUNCTION("""COMPUTED_VALUE"""),"Renovation - Body collet 2 mm - Body collet 2 mm")</f>
        <v>Renovation - Body collet 2 mm - Body collet 2 mm</v>
      </c>
      <c r="F5313" s="6">
        <f>IFERROR(__xludf.DUMMYFUNCTION("""COMPUTED_VALUE"""),5.0)</f>
        <v>5</v>
      </c>
      <c r="G5313" s="6" t="str">
        <f>IFERROR(__xludf.DUMMYFUNCTION("""COMPUTED_VALUE"""),"Unit")</f>
        <v>Unit</v>
      </c>
      <c r="H5313" s="6" t="str">
        <f>IFERROR(__xludf.DUMMYFUNCTION("""COMPUTED_VALUE"""),"IDR")</f>
        <v>IDR</v>
      </c>
      <c r="I5313" s="6">
        <f>IFERROR(__xludf.DUMMYFUNCTION("""COMPUTED_VALUE"""),7000.0)</f>
        <v>7000</v>
      </c>
      <c r="J5313" s="6">
        <f>IFERROR(__xludf.DUMMYFUNCTION("""COMPUTED_VALUE"""),35000.0)</f>
        <v>35000</v>
      </c>
      <c r="K5313" s="57">
        <f>IFERROR(__xludf.DUMMYFUNCTION("""COMPUTED_VALUE"""),46241.0)</f>
        <v>46241</v>
      </c>
      <c r="L5313" s="6" t="str">
        <f>IFERROR(__xludf.DUMMYFUNCTION("""COMPUTED_VALUE"""),"FIP General")</f>
        <v>FIP General</v>
      </c>
      <c r="M5313" s="6" t="str">
        <f>IFERROR(__xludf.DUMMYFUNCTION("""COMPUTED_VALUE"""),"Mochammad Fadhillah Hakim,")</f>
        <v>Mochammad Fadhillah Hakim,</v>
      </c>
      <c r="N5313" s="6" t="str">
        <f>IFERROR(__xludf.DUMMYFUNCTION("""COMPUTED_VALUE"""),"FIP Engineering")</f>
        <v>FIP Engineering</v>
      </c>
      <c r="O5313" s="6" t="str">
        <f>IFERROR(__xludf.DUMMYFUNCTION("""COMPUTED_VALUE"""),"FIP-DOM-ENG-13402-BL26001-INA-000000")</f>
        <v>FIP-DOM-ENG-13402-BL26001-INA-000000</v>
      </c>
      <c r="P5313" s="6" t="str">
        <f>IFERROR(__xludf.DUMMYFUNCTION("""COMPUTED_VALUE"""),"PO Closed")</f>
        <v>PO Closed</v>
      </c>
      <c r="Q5313" s="6" t="str">
        <f>IFERROR(__xludf.DUMMYFUNCTION("""COMPUTED_VALUE"""),"GL2607011")</f>
        <v>GL2607011</v>
      </c>
      <c r="R5313" s="57">
        <f>IFERROR(__xludf.DUMMYFUNCTION("""COMPUTED_VALUE"""),46205.0)</f>
        <v>46205</v>
      </c>
      <c r="S5313" s="57">
        <f>IFERROR(__xludf.DUMMYFUNCTION("""COMPUTED_VALUE"""),46206.0)</f>
        <v>46206</v>
      </c>
      <c r="T5313" s="57">
        <f>IFERROR(__xludf.DUMMYFUNCTION("""COMPUTED_VALUE"""),46249.0)</f>
        <v>46249</v>
      </c>
    </row>
    <row r="5314">
      <c r="A5314" s="6" t="str">
        <f>IFERROR(__xludf.DUMMYFUNCTION("""COMPUTED_VALUE"""),"121704397-17")</f>
        <v>121704397-17</v>
      </c>
      <c r="B5314" s="6" t="str">
        <f>IFERROR(__xludf.DUMMYFUNCTION("""COMPUTED_VALUE"""),"121704397 - APPROVED")</f>
        <v>121704397 - APPROVED</v>
      </c>
      <c r="C5314" s="6">
        <f>IFERROR(__xludf.DUMMYFUNCTION("""COMPUTED_VALUE"""),17.0)</f>
        <v>17</v>
      </c>
      <c r="D5314" s="6" t="str">
        <f>IFERROR(__xludf.DUMMYFUNCTION("""COMPUTED_VALUE"""),"R-71002-00")</f>
        <v>R-71002-00</v>
      </c>
      <c r="E5314" s="6" t="str">
        <f>IFERROR(__xludf.DUMMYFUNCTION("""COMPUTED_VALUE"""),"Renovation - Keramik las argon no 4,6,7,8,10,12. 1 set - Keramik las argon no 4,6,7,8,10,12. 1 set")</f>
        <v>Renovation - Keramik las argon no 4,6,7,8,10,12. 1 set - Keramik las argon no 4,6,7,8,10,12. 1 set</v>
      </c>
      <c r="F5314" s="6">
        <f>IFERROR(__xludf.DUMMYFUNCTION("""COMPUTED_VALUE"""),1.0)</f>
        <v>1</v>
      </c>
      <c r="G5314" s="6" t="str">
        <f>IFERROR(__xludf.DUMMYFUNCTION("""COMPUTED_VALUE"""),"Unit")</f>
        <v>Unit</v>
      </c>
      <c r="H5314" s="6" t="str">
        <f>IFERROR(__xludf.DUMMYFUNCTION("""COMPUTED_VALUE"""),"IDR")</f>
        <v>IDR</v>
      </c>
      <c r="I5314" s="6">
        <f>IFERROR(__xludf.DUMMYFUNCTION("""COMPUTED_VALUE"""),95000.0)</f>
        <v>95000</v>
      </c>
      <c r="J5314" s="6">
        <f>IFERROR(__xludf.DUMMYFUNCTION("""COMPUTED_VALUE"""),95000.0)</f>
        <v>95000</v>
      </c>
      <c r="K5314" s="57">
        <f>IFERROR(__xludf.DUMMYFUNCTION("""COMPUTED_VALUE"""),46241.0)</f>
        <v>46241</v>
      </c>
      <c r="L5314" s="6" t="str">
        <f>IFERROR(__xludf.DUMMYFUNCTION("""COMPUTED_VALUE"""),"FIP General")</f>
        <v>FIP General</v>
      </c>
      <c r="M5314" s="6" t="str">
        <f>IFERROR(__xludf.DUMMYFUNCTION("""COMPUTED_VALUE"""),"Mochammad Fadhillah Hakim,")</f>
        <v>Mochammad Fadhillah Hakim,</v>
      </c>
      <c r="N5314" s="6" t="str">
        <f>IFERROR(__xludf.DUMMYFUNCTION("""COMPUTED_VALUE"""),"FIP Engineering")</f>
        <v>FIP Engineering</v>
      </c>
      <c r="O5314" s="6" t="str">
        <f>IFERROR(__xludf.DUMMYFUNCTION("""COMPUTED_VALUE"""),"FIP-DOM-ENG-13402-BL26001-INA-000000")</f>
        <v>FIP-DOM-ENG-13402-BL26001-INA-000000</v>
      </c>
      <c r="P5314" s="6" t="str">
        <f>IFERROR(__xludf.DUMMYFUNCTION("""COMPUTED_VALUE"""),"PO Closed")</f>
        <v>PO Closed</v>
      </c>
      <c r="Q5314" s="6" t="str">
        <f>IFERROR(__xludf.DUMMYFUNCTION("""COMPUTED_VALUE"""),"GL2607011")</f>
        <v>GL2607011</v>
      </c>
      <c r="R5314" s="57">
        <f>IFERROR(__xludf.DUMMYFUNCTION("""COMPUTED_VALUE"""),46205.0)</f>
        <v>46205</v>
      </c>
      <c r="S5314" s="57">
        <f>IFERROR(__xludf.DUMMYFUNCTION("""COMPUTED_VALUE"""),46206.0)</f>
        <v>46206</v>
      </c>
      <c r="T5314" s="57">
        <f>IFERROR(__xludf.DUMMYFUNCTION("""COMPUTED_VALUE"""),46249.0)</f>
        <v>46249</v>
      </c>
    </row>
    <row r="5315">
      <c r="A5315" s="6" t="str">
        <f>IFERROR(__xludf.DUMMYFUNCTION("""COMPUTED_VALUE"""),"121704397-18")</f>
        <v>121704397-18</v>
      </c>
      <c r="B5315" s="6" t="str">
        <f>IFERROR(__xludf.DUMMYFUNCTION("""COMPUTED_VALUE"""),"121704397 - APPROVED")</f>
        <v>121704397 - APPROVED</v>
      </c>
      <c r="C5315" s="6">
        <f>IFERROR(__xludf.DUMMYFUNCTION("""COMPUTED_VALUE"""),18.0)</f>
        <v>18</v>
      </c>
      <c r="D5315" s="6" t="str">
        <f>IFERROR(__xludf.DUMMYFUNCTION("""COMPUTED_VALUE"""),"R-71002-00")</f>
        <v>R-71002-00</v>
      </c>
      <c r="E5315" s="6" t="str">
        <f>IFERROR(__xludf.DUMMYFUNCTION("""COMPUTED_VALUE"""),"Renovation - Collet las 2 mm - Collet las 2 mm")</f>
        <v>Renovation - Collet las 2 mm - Collet las 2 mm</v>
      </c>
      <c r="F5315" s="6">
        <f>IFERROR(__xludf.DUMMYFUNCTION("""COMPUTED_VALUE"""),5.0)</f>
        <v>5</v>
      </c>
      <c r="G5315" s="6" t="str">
        <f>IFERROR(__xludf.DUMMYFUNCTION("""COMPUTED_VALUE"""),"Unit")</f>
        <v>Unit</v>
      </c>
      <c r="H5315" s="6" t="str">
        <f>IFERROR(__xludf.DUMMYFUNCTION("""COMPUTED_VALUE"""),"IDR")</f>
        <v>IDR</v>
      </c>
      <c r="I5315" s="6">
        <f>IFERROR(__xludf.DUMMYFUNCTION("""COMPUTED_VALUE"""),8000.0)</f>
        <v>8000</v>
      </c>
      <c r="J5315" s="6">
        <f>IFERROR(__xludf.DUMMYFUNCTION("""COMPUTED_VALUE"""),40000.0)</f>
        <v>40000</v>
      </c>
      <c r="K5315" s="57">
        <f>IFERROR(__xludf.DUMMYFUNCTION("""COMPUTED_VALUE"""),46241.0)</f>
        <v>46241</v>
      </c>
      <c r="L5315" s="6" t="str">
        <f>IFERROR(__xludf.DUMMYFUNCTION("""COMPUTED_VALUE"""),"FIP General")</f>
        <v>FIP General</v>
      </c>
      <c r="M5315" s="6" t="str">
        <f>IFERROR(__xludf.DUMMYFUNCTION("""COMPUTED_VALUE"""),"Mochammad Fadhillah Hakim,")</f>
        <v>Mochammad Fadhillah Hakim,</v>
      </c>
      <c r="N5315" s="6" t="str">
        <f>IFERROR(__xludf.DUMMYFUNCTION("""COMPUTED_VALUE"""),"FIP Engineering")</f>
        <v>FIP Engineering</v>
      </c>
      <c r="O5315" s="6" t="str">
        <f>IFERROR(__xludf.DUMMYFUNCTION("""COMPUTED_VALUE"""),"FIP-DOM-ENG-13402-BL26001-INA-000000")</f>
        <v>FIP-DOM-ENG-13402-BL26001-INA-000000</v>
      </c>
      <c r="P5315" s="6" t="str">
        <f>IFERROR(__xludf.DUMMYFUNCTION("""COMPUTED_VALUE"""),"PO Closed")</f>
        <v>PO Closed</v>
      </c>
      <c r="Q5315" s="6" t="str">
        <f>IFERROR(__xludf.DUMMYFUNCTION("""COMPUTED_VALUE"""),"GL2607011")</f>
        <v>GL2607011</v>
      </c>
      <c r="R5315" s="57">
        <f>IFERROR(__xludf.DUMMYFUNCTION("""COMPUTED_VALUE"""),46205.0)</f>
        <v>46205</v>
      </c>
      <c r="S5315" s="57">
        <f>IFERROR(__xludf.DUMMYFUNCTION("""COMPUTED_VALUE"""),46206.0)</f>
        <v>46206</v>
      </c>
      <c r="T5315" s="57">
        <f>IFERROR(__xludf.DUMMYFUNCTION("""COMPUTED_VALUE"""),46249.0)</f>
        <v>46249</v>
      </c>
    </row>
    <row r="5316">
      <c r="A5316" s="6" t="str">
        <f>IFERROR(__xludf.DUMMYFUNCTION("""COMPUTED_VALUE"""),"121704397-19")</f>
        <v>121704397-19</v>
      </c>
      <c r="B5316" s="6" t="str">
        <f>IFERROR(__xludf.DUMMYFUNCTION("""COMPUTED_VALUE"""),"121704397 - APPROVED")</f>
        <v>121704397 - APPROVED</v>
      </c>
      <c r="C5316" s="6">
        <f>IFERROR(__xludf.DUMMYFUNCTION("""COMPUTED_VALUE"""),19.0)</f>
        <v>19</v>
      </c>
      <c r="D5316" s="6" t="str">
        <f>IFERROR(__xludf.DUMMYFUNCTION("""COMPUTED_VALUE"""),"R-71002-00")</f>
        <v>R-71002-00</v>
      </c>
      <c r="E5316" s="6" t="str">
        <f>IFERROR(__xludf.DUMMYFUNCTION("""COMPUTED_VALUE"""),"Renovation - Avian 370 Broken White / Cat Minyak Kayu &amp; Besi 0.93L - Avian 370 Broken White / Cat Minyak Kayu &amp; Besi 0.93L")</f>
        <v>Renovation - Avian 370 Broken White / Cat Minyak Kayu &amp; Besi 0.93L - Avian 370 Broken White / Cat Minyak Kayu &amp; Besi 0.93L</v>
      </c>
      <c r="F5316" s="6">
        <f>IFERROR(__xludf.DUMMYFUNCTION("""COMPUTED_VALUE"""),4.0)</f>
        <v>4</v>
      </c>
      <c r="G5316" s="6" t="str">
        <f>IFERROR(__xludf.DUMMYFUNCTION("""COMPUTED_VALUE"""),"Unit")</f>
        <v>Unit</v>
      </c>
      <c r="H5316" s="6" t="str">
        <f>IFERROR(__xludf.DUMMYFUNCTION("""COMPUTED_VALUE"""),"IDR")</f>
        <v>IDR</v>
      </c>
      <c r="I5316" s="6">
        <f>IFERROR(__xludf.DUMMYFUNCTION("""COMPUTED_VALUE"""),125000.0)</f>
        <v>125000</v>
      </c>
      <c r="J5316" s="6">
        <f>IFERROR(__xludf.DUMMYFUNCTION("""COMPUTED_VALUE"""),500000.0)</f>
        <v>500000</v>
      </c>
      <c r="K5316" s="57">
        <f>IFERROR(__xludf.DUMMYFUNCTION("""COMPUTED_VALUE"""),46241.0)</f>
        <v>46241</v>
      </c>
      <c r="L5316" s="6" t="str">
        <f>IFERROR(__xludf.DUMMYFUNCTION("""COMPUTED_VALUE"""),"FIP General")</f>
        <v>FIP General</v>
      </c>
      <c r="M5316" s="6" t="str">
        <f>IFERROR(__xludf.DUMMYFUNCTION("""COMPUTED_VALUE"""),"Mochammad Fadhillah Hakim,")</f>
        <v>Mochammad Fadhillah Hakim,</v>
      </c>
      <c r="N5316" s="6" t="str">
        <f>IFERROR(__xludf.DUMMYFUNCTION("""COMPUTED_VALUE"""),"FIP Engineering")</f>
        <v>FIP Engineering</v>
      </c>
      <c r="O5316" s="6" t="str">
        <f>IFERROR(__xludf.DUMMYFUNCTION("""COMPUTED_VALUE"""),"FIP-DOM-ENG-13402-BL26001-INA-000000")</f>
        <v>FIP-DOM-ENG-13402-BL26001-INA-000000</v>
      </c>
      <c r="P5316" s="6" t="str">
        <f>IFERROR(__xludf.DUMMYFUNCTION("""COMPUTED_VALUE"""),"PO Closed")</f>
        <v>PO Closed</v>
      </c>
      <c r="Q5316" s="6" t="str">
        <f>IFERROR(__xludf.DUMMYFUNCTION("""COMPUTED_VALUE"""),"GL2607011")</f>
        <v>GL2607011</v>
      </c>
      <c r="R5316" s="57">
        <f>IFERROR(__xludf.DUMMYFUNCTION("""COMPUTED_VALUE"""),46205.0)</f>
        <v>46205</v>
      </c>
      <c r="S5316" s="57">
        <f>IFERROR(__xludf.DUMMYFUNCTION("""COMPUTED_VALUE"""),46206.0)</f>
        <v>46206</v>
      </c>
      <c r="T5316" s="57">
        <f>IFERROR(__xludf.DUMMYFUNCTION("""COMPUTED_VALUE"""),46249.0)</f>
        <v>46249</v>
      </c>
    </row>
    <row r="5317">
      <c r="A5317" s="6" t="str">
        <f>IFERROR(__xludf.DUMMYFUNCTION("""COMPUTED_VALUE"""),"121704397-20")</f>
        <v>121704397-20</v>
      </c>
      <c r="B5317" s="6" t="str">
        <f>IFERROR(__xludf.DUMMYFUNCTION("""COMPUTED_VALUE"""),"121704397 - APPROVED")</f>
        <v>121704397 - APPROVED</v>
      </c>
      <c r="C5317" s="6">
        <f>IFERROR(__xludf.DUMMYFUNCTION("""COMPUTED_VALUE"""),20.0)</f>
        <v>20</v>
      </c>
      <c r="D5317" s="6" t="str">
        <f>IFERROR(__xludf.DUMMYFUNCTION("""COMPUTED_VALUE"""),"R-71002-00")</f>
        <v>R-71002-00</v>
      </c>
      <c r="E5317" s="6" t="str">
        <f>IFERROR(__xludf.DUMMYFUNCTION("""COMPUTED_VALUE"""),"Renovation - Thinner PU Nippon Paint 1l - Thinner PU Nippon Paint 1l")</f>
        <v>Renovation - Thinner PU Nippon Paint 1l - Thinner PU Nippon Paint 1l</v>
      </c>
      <c r="F5317" s="6">
        <f>IFERROR(__xludf.DUMMYFUNCTION("""COMPUTED_VALUE"""),4.0)</f>
        <v>4</v>
      </c>
      <c r="G5317" s="6" t="str">
        <f>IFERROR(__xludf.DUMMYFUNCTION("""COMPUTED_VALUE"""),"Unit")</f>
        <v>Unit</v>
      </c>
      <c r="H5317" s="6" t="str">
        <f>IFERROR(__xludf.DUMMYFUNCTION("""COMPUTED_VALUE"""),"IDR")</f>
        <v>IDR</v>
      </c>
      <c r="I5317" s="6">
        <f>IFERROR(__xludf.DUMMYFUNCTION("""COMPUTED_VALUE"""),100000.0)</f>
        <v>100000</v>
      </c>
      <c r="J5317" s="6">
        <f>IFERROR(__xludf.DUMMYFUNCTION("""COMPUTED_VALUE"""),400000.0)</f>
        <v>400000</v>
      </c>
      <c r="K5317" s="57">
        <f>IFERROR(__xludf.DUMMYFUNCTION("""COMPUTED_VALUE"""),46241.0)</f>
        <v>46241</v>
      </c>
      <c r="L5317" s="6" t="str">
        <f>IFERROR(__xludf.DUMMYFUNCTION("""COMPUTED_VALUE"""),"FIP General")</f>
        <v>FIP General</v>
      </c>
      <c r="M5317" s="6" t="str">
        <f>IFERROR(__xludf.DUMMYFUNCTION("""COMPUTED_VALUE"""),"Mochammad Fadhillah Hakim,")</f>
        <v>Mochammad Fadhillah Hakim,</v>
      </c>
      <c r="N5317" s="6" t="str">
        <f>IFERROR(__xludf.DUMMYFUNCTION("""COMPUTED_VALUE"""),"FIP Engineering")</f>
        <v>FIP Engineering</v>
      </c>
      <c r="O5317" s="6" t="str">
        <f>IFERROR(__xludf.DUMMYFUNCTION("""COMPUTED_VALUE"""),"FIP-DOM-ENG-13402-BL26001-INA-000000")</f>
        <v>FIP-DOM-ENG-13402-BL26001-INA-000000</v>
      </c>
      <c r="P5317" s="6" t="str">
        <f>IFERROR(__xludf.DUMMYFUNCTION("""COMPUTED_VALUE"""),"PO Closed")</f>
        <v>PO Closed</v>
      </c>
      <c r="Q5317" s="6" t="str">
        <f>IFERROR(__xludf.DUMMYFUNCTION("""COMPUTED_VALUE"""),"GL2607011")</f>
        <v>GL2607011</v>
      </c>
      <c r="R5317" s="57">
        <f>IFERROR(__xludf.DUMMYFUNCTION("""COMPUTED_VALUE"""),46205.0)</f>
        <v>46205</v>
      </c>
      <c r="S5317" s="57">
        <f>IFERROR(__xludf.DUMMYFUNCTION("""COMPUTED_VALUE"""),46206.0)</f>
        <v>46206</v>
      </c>
      <c r="T5317" s="57">
        <f>IFERROR(__xludf.DUMMYFUNCTION("""COMPUTED_VALUE"""),46249.0)</f>
        <v>46249</v>
      </c>
    </row>
    <row r="5318">
      <c r="A5318" s="6" t="str">
        <f>IFERROR(__xludf.DUMMYFUNCTION("""COMPUTED_VALUE"""),"121704397-21")</f>
        <v>121704397-21</v>
      </c>
      <c r="B5318" s="6" t="str">
        <f>IFERROR(__xludf.DUMMYFUNCTION("""COMPUTED_VALUE"""),"121704397 - APPROVED")</f>
        <v>121704397 - APPROVED</v>
      </c>
      <c r="C5318" s="6">
        <f>IFERROR(__xludf.DUMMYFUNCTION("""COMPUTED_VALUE"""),21.0)</f>
        <v>21</v>
      </c>
      <c r="D5318" s="6" t="str">
        <f>IFERROR(__xludf.DUMMYFUNCTION("""COMPUTED_VALUE"""),"R-71002-00")</f>
        <v>R-71002-00</v>
      </c>
      <c r="E5318" s="6" t="str">
        <f>IFERROR(__xludf.DUMMYFUNCTION("""COMPUTED_VALUE"""),"Renovation - Tabung Argon 1m3 + Isi - Tabung Argon 1m3 + Isi")</f>
        <v>Renovation - Tabung Argon 1m3 + Isi - Tabung Argon 1m3 + Isi</v>
      </c>
      <c r="F5318" s="6">
        <f>IFERROR(__xludf.DUMMYFUNCTION("""COMPUTED_VALUE"""),1.0)</f>
        <v>1</v>
      </c>
      <c r="G5318" s="6" t="str">
        <f>IFERROR(__xludf.DUMMYFUNCTION("""COMPUTED_VALUE"""),"Unit")</f>
        <v>Unit</v>
      </c>
      <c r="H5318" s="6" t="str">
        <f>IFERROR(__xludf.DUMMYFUNCTION("""COMPUTED_VALUE"""),"IDR")</f>
        <v>IDR</v>
      </c>
      <c r="I5318" s="6">
        <f>IFERROR(__xludf.DUMMYFUNCTION("""COMPUTED_VALUE"""),1000000.0)</f>
        <v>1000000</v>
      </c>
      <c r="J5318" s="6">
        <f>IFERROR(__xludf.DUMMYFUNCTION("""COMPUTED_VALUE"""),1000000.0)</f>
        <v>1000000</v>
      </c>
      <c r="K5318" s="57">
        <f>IFERROR(__xludf.DUMMYFUNCTION("""COMPUTED_VALUE"""),46241.0)</f>
        <v>46241</v>
      </c>
      <c r="L5318" s="6" t="str">
        <f>IFERROR(__xludf.DUMMYFUNCTION("""COMPUTED_VALUE"""),"FIP General")</f>
        <v>FIP General</v>
      </c>
      <c r="M5318" s="6" t="str">
        <f>IFERROR(__xludf.DUMMYFUNCTION("""COMPUTED_VALUE"""),"Mochammad Fadhillah Hakim,")</f>
        <v>Mochammad Fadhillah Hakim,</v>
      </c>
      <c r="N5318" s="6" t="str">
        <f>IFERROR(__xludf.DUMMYFUNCTION("""COMPUTED_VALUE"""),"FIP Engineering")</f>
        <v>FIP Engineering</v>
      </c>
      <c r="O5318" s="6" t="str">
        <f>IFERROR(__xludf.DUMMYFUNCTION("""COMPUTED_VALUE"""),"FIP-DOM-ENG-13402-BL26001-INA-000000")</f>
        <v>FIP-DOM-ENG-13402-BL26001-INA-000000</v>
      </c>
      <c r="P5318" s="6" t="str">
        <f>IFERROR(__xludf.DUMMYFUNCTION("""COMPUTED_VALUE"""),"PO Closed")</f>
        <v>PO Closed</v>
      </c>
      <c r="Q5318" s="6" t="str">
        <f>IFERROR(__xludf.DUMMYFUNCTION("""COMPUTED_VALUE"""),"GL2607011")</f>
        <v>GL2607011</v>
      </c>
      <c r="R5318" s="57">
        <f>IFERROR(__xludf.DUMMYFUNCTION("""COMPUTED_VALUE"""),46205.0)</f>
        <v>46205</v>
      </c>
      <c r="S5318" s="57">
        <f>IFERROR(__xludf.DUMMYFUNCTION("""COMPUTED_VALUE"""),46206.0)</f>
        <v>46206</v>
      </c>
      <c r="T5318" s="57">
        <f>IFERROR(__xludf.DUMMYFUNCTION("""COMPUTED_VALUE"""),46249.0)</f>
        <v>46249</v>
      </c>
    </row>
    <row r="5319">
      <c r="A5319" s="6" t="str">
        <f>IFERROR(__xludf.DUMMYFUNCTION("""COMPUTED_VALUE"""),"121704397-22")</f>
        <v>121704397-22</v>
      </c>
      <c r="B5319" s="6" t="str">
        <f>IFERROR(__xludf.DUMMYFUNCTION("""COMPUTED_VALUE"""),"121704397 - APPROVED")</f>
        <v>121704397 - APPROVED</v>
      </c>
      <c r="C5319" s="6">
        <f>IFERROR(__xludf.DUMMYFUNCTION("""COMPUTED_VALUE"""),22.0)</f>
        <v>22</v>
      </c>
      <c r="D5319" s="6" t="str">
        <f>IFERROR(__xludf.DUMMYFUNCTION("""COMPUTED_VALUE"""),"R-71002-00")</f>
        <v>R-71002-00</v>
      </c>
      <c r="E5319" s="6" t="str">
        <f>IFERROR(__xludf.DUMMYFUNCTION("""COMPUTED_VALUE"""),"Renovation - KITZ Ball Valve Kuningan 1/2"" - KITZ Ball Valve Kuningan 1/2""")</f>
        <v>Renovation - KITZ Ball Valve Kuningan 1/2" - KITZ Ball Valve Kuningan 1/2"</v>
      </c>
      <c r="F5319" s="6">
        <f>IFERROR(__xludf.DUMMYFUNCTION("""COMPUTED_VALUE"""),5.0)</f>
        <v>5</v>
      </c>
      <c r="G5319" s="6" t="str">
        <f>IFERROR(__xludf.DUMMYFUNCTION("""COMPUTED_VALUE"""),"Unit")</f>
        <v>Unit</v>
      </c>
      <c r="H5319" s="6" t="str">
        <f>IFERROR(__xludf.DUMMYFUNCTION("""COMPUTED_VALUE"""),"IDR")</f>
        <v>IDR</v>
      </c>
      <c r="I5319" s="6">
        <f>IFERROR(__xludf.DUMMYFUNCTION("""COMPUTED_VALUE"""),80000.0)</f>
        <v>80000</v>
      </c>
      <c r="J5319" s="6">
        <f>IFERROR(__xludf.DUMMYFUNCTION("""COMPUTED_VALUE"""),400000.0)</f>
        <v>400000</v>
      </c>
      <c r="K5319" s="57">
        <f>IFERROR(__xludf.DUMMYFUNCTION("""COMPUTED_VALUE"""),46241.0)</f>
        <v>46241</v>
      </c>
      <c r="L5319" s="6" t="str">
        <f>IFERROR(__xludf.DUMMYFUNCTION("""COMPUTED_VALUE"""),"FIP General")</f>
        <v>FIP General</v>
      </c>
      <c r="M5319" s="6" t="str">
        <f>IFERROR(__xludf.DUMMYFUNCTION("""COMPUTED_VALUE"""),"Mochammad Fadhillah Hakim,")</f>
        <v>Mochammad Fadhillah Hakim,</v>
      </c>
      <c r="N5319" s="6" t="str">
        <f>IFERROR(__xludf.DUMMYFUNCTION("""COMPUTED_VALUE"""),"FIP Engineering")</f>
        <v>FIP Engineering</v>
      </c>
      <c r="O5319" s="6" t="str">
        <f>IFERROR(__xludf.DUMMYFUNCTION("""COMPUTED_VALUE"""),"FIP-DOM-ENG-13402-BL26001-INA-000000")</f>
        <v>FIP-DOM-ENG-13402-BL26001-INA-000000</v>
      </c>
      <c r="P5319" s="6" t="str">
        <f>IFERROR(__xludf.DUMMYFUNCTION("""COMPUTED_VALUE"""),"PO Closed")</f>
        <v>PO Closed</v>
      </c>
      <c r="Q5319" s="6" t="str">
        <f>IFERROR(__xludf.DUMMYFUNCTION("""COMPUTED_VALUE"""),"GL2607011")</f>
        <v>GL2607011</v>
      </c>
      <c r="R5319" s="57">
        <f>IFERROR(__xludf.DUMMYFUNCTION("""COMPUTED_VALUE"""),46205.0)</f>
        <v>46205</v>
      </c>
      <c r="S5319" s="57">
        <f>IFERROR(__xludf.DUMMYFUNCTION("""COMPUTED_VALUE"""),46206.0)</f>
        <v>46206</v>
      </c>
      <c r="T5319" s="57">
        <f>IFERROR(__xludf.DUMMYFUNCTION("""COMPUTED_VALUE"""),46249.0)</f>
        <v>46249</v>
      </c>
    </row>
    <row r="5320">
      <c r="A5320" s="6" t="str">
        <f>IFERROR(__xludf.DUMMYFUNCTION("""COMPUTED_VALUE"""),"121704397-23")</f>
        <v>121704397-23</v>
      </c>
      <c r="B5320" s="6" t="str">
        <f>IFERROR(__xludf.DUMMYFUNCTION("""COMPUTED_VALUE"""),"121704397 - APPROVED")</f>
        <v>121704397 - APPROVED</v>
      </c>
      <c r="C5320" s="6">
        <f>IFERROR(__xludf.DUMMYFUNCTION("""COMPUTED_VALUE"""),23.0)</f>
        <v>23</v>
      </c>
      <c r="D5320" s="6" t="str">
        <f>IFERROR(__xludf.DUMMYFUNCTION("""COMPUTED_VALUE"""),"R-71002-00")</f>
        <v>R-71002-00</v>
      </c>
      <c r="E5320" s="6" t="str">
        <f>IFERROR(__xludf.DUMMYFUNCTION("""COMPUTED_VALUE"""),"Renovation - Ferrule set 1/2 "" inchi Sanitary SS 304 - Ferrule set 1/2 "" inchi Sanitary SS 304")</f>
        <v>Renovation - Ferrule set 1/2 " inchi Sanitary SS 304 - Ferrule set 1/2 " inchi Sanitary SS 304</v>
      </c>
      <c r="F5320" s="6">
        <f>IFERROR(__xludf.DUMMYFUNCTION("""COMPUTED_VALUE"""),3.0)</f>
        <v>3</v>
      </c>
      <c r="G5320" s="6" t="str">
        <f>IFERROR(__xludf.DUMMYFUNCTION("""COMPUTED_VALUE"""),"Unit")</f>
        <v>Unit</v>
      </c>
      <c r="H5320" s="6" t="str">
        <f>IFERROR(__xludf.DUMMYFUNCTION("""COMPUTED_VALUE"""),"IDR")</f>
        <v>IDR</v>
      </c>
      <c r="I5320" s="6">
        <f>IFERROR(__xludf.DUMMYFUNCTION("""COMPUTED_VALUE"""),150000.0)</f>
        <v>150000</v>
      </c>
      <c r="J5320" s="6">
        <f>IFERROR(__xludf.DUMMYFUNCTION("""COMPUTED_VALUE"""),450000.0)</f>
        <v>450000</v>
      </c>
      <c r="K5320" s="57">
        <f>IFERROR(__xludf.DUMMYFUNCTION("""COMPUTED_VALUE"""),46241.0)</f>
        <v>46241</v>
      </c>
      <c r="L5320" s="6" t="str">
        <f>IFERROR(__xludf.DUMMYFUNCTION("""COMPUTED_VALUE"""),"FIP General")</f>
        <v>FIP General</v>
      </c>
      <c r="M5320" s="6" t="str">
        <f>IFERROR(__xludf.DUMMYFUNCTION("""COMPUTED_VALUE"""),"Mochammad Fadhillah Hakim,")</f>
        <v>Mochammad Fadhillah Hakim,</v>
      </c>
      <c r="N5320" s="6" t="str">
        <f>IFERROR(__xludf.DUMMYFUNCTION("""COMPUTED_VALUE"""),"FIP Engineering")</f>
        <v>FIP Engineering</v>
      </c>
      <c r="O5320" s="6" t="str">
        <f>IFERROR(__xludf.DUMMYFUNCTION("""COMPUTED_VALUE"""),"FIP-DOM-ENG-13402-BL26001-INA-000000")</f>
        <v>FIP-DOM-ENG-13402-BL26001-INA-000000</v>
      </c>
      <c r="P5320" s="6" t="str">
        <f>IFERROR(__xludf.DUMMYFUNCTION("""COMPUTED_VALUE"""),"PO Closed")</f>
        <v>PO Closed</v>
      </c>
      <c r="Q5320" s="6" t="str">
        <f>IFERROR(__xludf.DUMMYFUNCTION("""COMPUTED_VALUE"""),"GL2607011")</f>
        <v>GL2607011</v>
      </c>
      <c r="R5320" s="57">
        <f>IFERROR(__xludf.DUMMYFUNCTION("""COMPUTED_VALUE"""),46205.0)</f>
        <v>46205</v>
      </c>
      <c r="S5320" s="57">
        <f>IFERROR(__xludf.DUMMYFUNCTION("""COMPUTED_VALUE"""),46206.0)</f>
        <v>46206</v>
      </c>
      <c r="T5320" s="57">
        <f>IFERROR(__xludf.DUMMYFUNCTION("""COMPUTED_VALUE"""),46249.0)</f>
        <v>46249</v>
      </c>
    </row>
    <row r="5321">
      <c r="A5321" s="6" t="str">
        <f>IFERROR(__xludf.DUMMYFUNCTION("""COMPUTED_VALUE"""),"121704397-24")</f>
        <v>121704397-24</v>
      </c>
      <c r="B5321" s="6" t="str">
        <f>IFERROR(__xludf.DUMMYFUNCTION("""COMPUTED_VALUE"""),"121704397 - APPROVED")</f>
        <v>121704397 - APPROVED</v>
      </c>
      <c r="C5321" s="6">
        <f>IFERROR(__xludf.DUMMYFUNCTION("""COMPUTED_VALUE"""),24.0)</f>
        <v>24</v>
      </c>
      <c r="D5321" s="6" t="str">
        <f>IFERROR(__xludf.DUMMYFUNCTION("""COMPUTED_VALUE"""),"R-71002-00")</f>
        <v>R-71002-00</v>
      </c>
      <c r="E5321" s="6" t="str">
        <f>IFERROR(__xludf.DUMMYFUNCTION("""COMPUTED_VALUE"""),"Renovation - Double Nepel Stainless SS 304 1/2 inchi - Double Nepel Stainless SS 304 1/2 inchi")</f>
        <v>Renovation - Double Nepel Stainless SS 304 1/2 inchi - Double Nepel Stainless SS 304 1/2 inchi</v>
      </c>
      <c r="F5321" s="6">
        <f>IFERROR(__xludf.DUMMYFUNCTION("""COMPUTED_VALUE"""),5.0)</f>
        <v>5</v>
      </c>
      <c r="G5321" s="6" t="str">
        <f>IFERROR(__xludf.DUMMYFUNCTION("""COMPUTED_VALUE"""),"Unit")</f>
        <v>Unit</v>
      </c>
      <c r="H5321" s="6" t="str">
        <f>IFERROR(__xludf.DUMMYFUNCTION("""COMPUTED_VALUE"""),"IDR")</f>
        <v>IDR</v>
      </c>
      <c r="I5321" s="6">
        <f>IFERROR(__xludf.DUMMYFUNCTION("""COMPUTED_VALUE"""),16500.0)</f>
        <v>16500</v>
      </c>
      <c r="J5321" s="6">
        <f>IFERROR(__xludf.DUMMYFUNCTION("""COMPUTED_VALUE"""),82500.0)</f>
        <v>82500</v>
      </c>
      <c r="K5321" s="57">
        <f>IFERROR(__xludf.DUMMYFUNCTION("""COMPUTED_VALUE"""),46241.0)</f>
        <v>46241</v>
      </c>
      <c r="L5321" s="6" t="str">
        <f>IFERROR(__xludf.DUMMYFUNCTION("""COMPUTED_VALUE"""),"FIP General")</f>
        <v>FIP General</v>
      </c>
      <c r="M5321" s="6" t="str">
        <f>IFERROR(__xludf.DUMMYFUNCTION("""COMPUTED_VALUE"""),"Mochammad Fadhillah Hakim,")</f>
        <v>Mochammad Fadhillah Hakim,</v>
      </c>
      <c r="N5321" s="6" t="str">
        <f>IFERROR(__xludf.DUMMYFUNCTION("""COMPUTED_VALUE"""),"FIP Engineering")</f>
        <v>FIP Engineering</v>
      </c>
      <c r="O5321" s="6" t="str">
        <f>IFERROR(__xludf.DUMMYFUNCTION("""COMPUTED_VALUE"""),"FIP-DOM-ENG-13402-BL26001-INA-000000")</f>
        <v>FIP-DOM-ENG-13402-BL26001-INA-000000</v>
      </c>
      <c r="P5321" s="6" t="str">
        <f>IFERROR(__xludf.DUMMYFUNCTION("""COMPUTED_VALUE"""),"PO Closed")</f>
        <v>PO Closed</v>
      </c>
      <c r="Q5321" s="6" t="str">
        <f>IFERROR(__xludf.DUMMYFUNCTION("""COMPUTED_VALUE"""),"GL2607011")</f>
        <v>GL2607011</v>
      </c>
      <c r="R5321" s="57">
        <f>IFERROR(__xludf.DUMMYFUNCTION("""COMPUTED_VALUE"""),46205.0)</f>
        <v>46205</v>
      </c>
      <c r="S5321" s="57">
        <f>IFERROR(__xludf.DUMMYFUNCTION("""COMPUTED_VALUE"""),46206.0)</f>
        <v>46206</v>
      </c>
      <c r="T5321" s="57">
        <f>IFERROR(__xludf.DUMMYFUNCTION("""COMPUTED_VALUE"""),46249.0)</f>
        <v>46249</v>
      </c>
    </row>
    <row r="5322">
      <c r="A5322" s="6" t="str">
        <f>IFERROR(__xludf.DUMMYFUNCTION("""COMPUTED_VALUE"""),"121704397-25")</f>
        <v>121704397-25</v>
      </c>
      <c r="B5322" s="6" t="str">
        <f>IFERROR(__xludf.DUMMYFUNCTION("""COMPUTED_VALUE"""),"121704397 - APPROVED")</f>
        <v>121704397 - APPROVED</v>
      </c>
      <c r="C5322" s="6">
        <f>IFERROR(__xludf.DUMMYFUNCTION("""COMPUTED_VALUE"""),25.0)</f>
        <v>25</v>
      </c>
      <c r="D5322" s="6" t="str">
        <f>IFERROR(__xludf.DUMMYFUNCTION("""COMPUTED_VALUE"""),"R-71002-00")</f>
        <v>R-71002-00</v>
      </c>
      <c r="E5322" s="6" t="str">
        <f>IFERROR(__xludf.DUMMYFUNCTION("""COMPUTED_VALUE"""),"Renovation - Reducer / Vlok Sock Stainless 1"" x 1/2"" inch ss304 - Reducer / Vlok Sock Stainless 1"" x 1/2"" inch ss304")</f>
        <v>Renovation - Reducer / Vlok Sock Stainless 1" x 1/2" inch ss304 - Reducer / Vlok Sock Stainless 1" x 1/2" inch ss304</v>
      </c>
      <c r="F5322" s="6">
        <f>IFERROR(__xludf.DUMMYFUNCTION("""COMPUTED_VALUE"""),2.0)</f>
        <v>2</v>
      </c>
      <c r="G5322" s="6" t="str">
        <f>IFERROR(__xludf.DUMMYFUNCTION("""COMPUTED_VALUE"""),"Unit")</f>
        <v>Unit</v>
      </c>
      <c r="H5322" s="6" t="str">
        <f>IFERROR(__xludf.DUMMYFUNCTION("""COMPUTED_VALUE"""),"IDR")</f>
        <v>IDR</v>
      </c>
      <c r="I5322" s="6">
        <f>IFERROR(__xludf.DUMMYFUNCTION("""COMPUTED_VALUE"""),45000.0)</f>
        <v>45000</v>
      </c>
      <c r="J5322" s="6">
        <f>IFERROR(__xludf.DUMMYFUNCTION("""COMPUTED_VALUE"""),90000.0)</f>
        <v>90000</v>
      </c>
      <c r="K5322" s="57">
        <f>IFERROR(__xludf.DUMMYFUNCTION("""COMPUTED_VALUE"""),46241.0)</f>
        <v>46241</v>
      </c>
      <c r="L5322" s="6" t="str">
        <f>IFERROR(__xludf.DUMMYFUNCTION("""COMPUTED_VALUE"""),"FIP General")</f>
        <v>FIP General</v>
      </c>
      <c r="M5322" s="6" t="str">
        <f>IFERROR(__xludf.DUMMYFUNCTION("""COMPUTED_VALUE"""),"Mochammad Fadhillah Hakim,")</f>
        <v>Mochammad Fadhillah Hakim,</v>
      </c>
      <c r="N5322" s="6" t="str">
        <f>IFERROR(__xludf.DUMMYFUNCTION("""COMPUTED_VALUE"""),"FIP Engineering")</f>
        <v>FIP Engineering</v>
      </c>
      <c r="O5322" s="6" t="str">
        <f>IFERROR(__xludf.DUMMYFUNCTION("""COMPUTED_VALUE"""),"FIP-DOM-ENG-13402-BL26001-INA-000000")</f>
        <v>FIP-DOM-ENG-13402-BL26001-INA-000000</v>
      </c>
      <c r="P5322" s="6" t="str">
        <f>IFERROR(__xludf.DUMMYFUNCTION("""COMPUTED_VALUE"""),"PO Closed")</f>
        <v>PO Closed</v>
      </c>
      <c r="Q5322" s="6" t="str">
        <f>IFERROR(__xludf.DUMMYFUNCTION("""COMPUTED_VALUE"""),"GL2607011")</f>
        <v>GL2607011</v>
      </c>
      <c r="R5322" s="57">
        <f>IFERROR(__xludf.DUMMYFUNCTION("""COMPUTED_VALUE"""),46205.0)</f>
        <v>46205</v>
      </c>
      <c r="S5322" s="57">
        <f>IFERROR(__xludf.DUMMYFUNCTION("""COMPUTED_VALUE"""),46206.0)</f>
        <v>46206</v>
      </c>
      <c r="T5322" s="57">
        <f>IFERROR(__xludf.DUMMYFUNCTION("""COMPUTED_VALUE"""),46249.0)</f>
        <v>46249</v>
      </c>
    </row>
    <row r="5323">
      <c r="A5323" s="6" t="str">
        <f>IFERROR(__xludf.DUMMYFUNCTION("""COMPUTED_VALUE"""),"121704399-1")</f>
        <v>121704399-1</v>
      </c>
      <c r="B5323" s="6" t="str">
        <f>IFERROR(__xludf.DUMMYFUNCTION("""COMPUTED_VALUE"""),"121704399 - APPROVED")</f>
        <v>121704399 - APPROVED</v>
      </c>
      <c r="C5323" s="6">
        <f>IFERROR(__xludf.DUMMYFUNCTION("""COMPUTED_VALUE"""),1.0)</f>
        <v>1</v>
      </c>
      <c r="D5323" s="6" t="str">
        <f>IFERROR(__xludf.DUMMYFUNCTION("""COMPUTED_VALUE"""),"R-20024-00")</f>
        <v>R-20024-00</v>
      </c>
      <c r="E5323" s="6" t="str">
        <f>IFERROR(__xludf.DUMMYFUNCTION("""COMPUTED_VALUE"""),"Machine Equipment; ; ; - RELOKASI PANEL MV60 DAN MV200 - RELOKASI PANEL MV60 DAN MV200")</f>
        <v>Machine Equipment; ; ; - RELOKASI PANEL MV60 DAN MV200 - RELOKASI PANEL MV60 DAN MV200</v>
      </c>
      <c r="F5323" s="6">
        <f>IFERROR(__xludf.DUMMYFUNCTION("""COMPUTED_VALUE"""),1.0)</f>
        <v>1</v>
      </c>
      <c r="G5323" s="6" t="str">
        <f>IFERROR(__xludf.DUMMYFUNCTION("""COMPUTED_VALUE"""),"Unit")</f>
        <v>Unit</v>
      </c>
      <c r="H5323" s="6" t="str">
        <f>IFERROR(__xludf.DUMMYFUNCTION("""COMPUTED_VALUE"""),"IDR")</f>
        <v>IDR</v>
      </c>
      <c r="I5323" s="6">
        <f>IFERROR(__xludf.DUMMYFUNCTION("""COMPUTED_VALUE"""),1.99383E8)</f>
        <v>199383000</v>
      </c>
      <c r="J5323" s="6">
        <f>IFERROR(__xludf.DUMMYFUNCTION("""COMPUTED_VALUE"""),1.99383E8)</f>
        <v>199383000</v>
      </c>
      <c r="K5323" s="57">
        <f>IFERROR(__xludf.DUMMYFUNCTION("""COMPUTED_VALUE"""),46241.0)</f>
        <v>46241</v>
      </c>
      <c r="L5323" s="6" t="str">
        <f>IFERROR(__xludf.DUMMYFUNCTION("""COMPUTED_VALUE"""),"FIP General")</f>
        <v>FIP General</v>
      </c>
      <c r="M5323" s="6" t="str">
        <f>IFERROR(__xludf.DUMMYFUNCTION("""COMPUTED_VALUE"""),"Mochammad Fadhillah Hakim,")</f>
        <v>Mochammad Fadhillah Hakim,</v>
      </c>
      <c r="N5323" s="6" t="str">
        <f>IFERROR(__xludf.DUMMYFUNCTION("""COMPUTED_VALUE"""),"FIP Engineering")</f>
        <v>FIP Engineering</v>
      </c>
      <c r="O5323" s="6" t="str">
        <f>IFERROR(__xludf.DUMMYFUNCTION("""COMPUTED_VALUE"""),"FIP-DOM-PRJ-13404-MC26023-INA-000000")</f>
        <v>FIP-DOM-PRJ-13404-MC26023-INA-000000</v>
      </c>
      <c r="P5323" s="6" t="str">
        <f>IFERROR(__xludf.DUMMYFUNCTION("""COMPUTED_VALUE"""),"PO Open")</f>
        <v>PO Open</v>
      </c>
      <c r="Q5323" s="6" t="str">
        <f>IFERROR(__xludf.DUMMYFUNCTION("""COMPUTED_VALUE"""),"GL2608004")</f>
        <v>GL2608004</v>
      </c>
      <c r="R5323" s="57">
        <f>IFERROR(__xludf.DUMMYFUNCTION("""COMPUTED_VALUE"""),46206.0)</f>
        <v>46206</v>
      </c>
      <c r="S5323" s="57">
        <f>IFERROR(__xludf.DUMMYFUNCTION("""COMPUTED_VALUE"""),46220.0)</f>
        <v>46220</v>
      </c>
      <c r="T5323" s="6"/>
    </row>
    <row r="5324">
      <c r="A5324" s="6" t="str">
        <f>IFERROR(__xludf.DUMMYFUNCTION("""COMPUTED_VALUE"""),"121704402-1")</f>
        <v>121704402-1</v>
      </c>
      <c r="B5324" s="6" t="str">
        <f>IFERROR(__xludf.DUMMYFUNCTION("""COMPUTED_VALUE"""),"121704402 - APPROVED")</f>
        <v>121704402 - APPROVED</v>
      </c>
      <c r="C5324" s="6">
        <f>IFERROR(__xludf.DUMMYFUNCTION("""COMPUTED_VALUE"""),1.0)</f>
        <v>1</v>
      </c>
      <c r="D5324" s="6" t="str">
        <f>IFERROR(__xludf.DUMMYFUNCTION("""COMPUTED_VALUE"""),"T-20002-00")</f>
        <v>T-20002-00</v>
      </c>
      <c r="E5324" s="6" t="str">
        <f>IFERROR(__xludf.DUMMYFUNCTION("""COMPUTED_VALUE"""),"Jasa Perbaikan Alat Lab - Perbaikan Timbangan Lab")</f>
        <v>Jasa Perbaikan Alat Lab - Perbaikan Timbangan Lab</v>
      </c>
      <c r="F5324" s="6">
        <f>IFERROR(__xludf.DUMMYFUNCTION("""COMPUTED_VALUE"""),1.0)</f>
        <v>1</v>
      </c>
      <c r="G5324" s="6" t="str">
        <f>IFERROR(__xludf.DUMMYFUNCTION("""COMPUTED_VALUE"""),"Pieces")</f>
        <v>Pieces</v>
      </c>
      <c r="H5324" s="6" t="str">
        <f>IFERROR(__xludf.DUMMYFUNCTION("""COMPUTED_VALUE"""),"IDR")</f>
        <v>IDR</v>
      </c>
      <c r="I5324" s="6">
        <f>IFERROR(__xludf.DUMMYFUNCTION("""COMPUTED_VALUE"""),8299320.0)</f>
        <v>8299320</v>
      </c>
      <c r="J5324" s="6">
        <f>IFERROR(__xludf.DUMMYFUNCTION("""COMPUTED_VALUE"""),8299320.0)</f>
        <v>8299320</v>
      </c>
      <c r="K5324" s="57">
        <f>IFERROR(__xludf.DUMMYFUNCTION("""COMPUTED_VALUE"""),46241.0)</f>
        <v>46241</v>
      </c>
      <c r="L5324" s="6" t="str">
        <f>IFERROR(__xludf.DUMMYFUNCTION("""COMPUTED_VALUE"""),"FIP General")</f>
        <v>FIP General</v>
      </c>
      <c r="M5324" s="6" t="str">
        <f>IFERROR(__xludf.DUMMYFUNCTION("""COMPUTED_VALUE"""),"Mochammad Fadhillah Hakim,")</f>
        <v>Mochammad Fadhillah Hakim,</v>
      </c>
      <c r="N5324" s="6" t="str">
        <f>IFERROR(__xludf.DUMMYFUNCTION("""COMPUTED_VALUE"""),"FIP Engineering")</f>
        <v>FIP Engineering</v>
      </c>
      <c r="O5324" s="6" t="str">
        <f>IFERROR(__xludf.DUMMYFUNCTION("""COMPUTED_VALUE"""),"FIP-DOM-ENG-51505-0000000-INA-000000")</f>
        <v>FIP-DOM-ENG-51505-0000000-INA-000000</v>
      </c>
      <c r="P5324" s="6" t="str">
        <f>IFERROR(__xludf.DUMMYFUNCTION("""COMPUTED_VALUE"""),"PO Open")</f>
        <v>PO Open</v>
      </c>
      <c r="Q5324" s="6" t="str">
        <f>IFERROR(__xludf.DUMMYFUNCTION("""COMPUTED_VALUE"""),"GL2608002")</f>
        <v>GL2608002</v>
      </c>
      <c r="R5324" s="57">
        <f>IFERROR(__xludf.DUMMYFUNCTION("""COMPUTED_VALUE"""),46209.0)</f>
        <v>46209</v>
      </c>
      <c r="S5324" s="57">
        <f>IFERROR(__xludf.DUMMYFUNCTION("""COMPUTED_VALUE"""),46216.0)</f>
        <v>46216</v>
      </c>
      <c r="T5324" s="57">
        <f>IFERROR(__xludf.DUMMYFUNCTION("""COMPUTED_VALUE"""),46276.0)</f>
        <v>46276</v>
      </c>
    </row>
    <row r="5325">
      <c r="A5325" s="6" t="str">
        <f>IFERROR(__xludf.DUMMYFUNCTION("""COMPUTED_VALUE"""),"121704418-1")</f>
        <v>121704418-1</v>
      </c>
      <c r="B5325" s="6" t="str">
        <f>IFERROR(__xludf.DUMMYFUNCTION("""COMPUTED_VALUE"""),"121704418 - APPROVED")</f>
        <v>121704418 - APPROVED</v>
      </c>
      <c r="C5325" s="6">
        <f>IFERROR(__xludf.DUMMYFUNCTION("""COMPUTED_VALUE"""),1.0)</f>
        <v>1</v>
      </c>
      <c r="D5325" s="6" t="str">
        <f>IFERROR(__xludf.DUMMYFUNCTION("""COMPUTED_VALUE"""),"S-60002-00")</f>
        <v>S-60002-00</v>
      </c>
      <c r="E5325" s="6" t="str">
        <f>IFERROR(__xludf.DUMMYFUNCTION("""COMPUTED_VALUE"""),"Jasa Perbaikan dan Pemeliharaan Mesin Utility - Pengecekan Forklift Baterai Gelembung")</f>
        <v>Jasa Perbaikan dan Pemeliharaan Mesin Utility - Pengecekan Forklift Baterai Gelembung</v>
      </c>
      <c r="F5325" s="6">
        <f>IFERROR(__xludf.DUMMYFUNCTION("""COMPUTED_VALUE"""),1.0)</f>
        <v>1</v>
      </c>
      <c r="G5325" s="6" t="str">
        <f>IFERROR(__xludf.DUMMYFUNCTION("""COMPUTED_VALUE"""),"Lot")</f>
        <v>Lot</v>
      </c>
      <c r="H5325" s="6" t="str">
        <f>IFERROR(__xludf.DUMMYFUNCTION("""COMPUTED_VALUE"""),"IDR")</f>
        <v>IDR</v>
      </c>
      <c r="I5325" s="6">
        <f>IFERROR(__xludf.DUMMYFUNCTION("""COMPUTED_VALUE"""),750000.0)</f>
        <v>750000</v>
      </c>
      <c r="J5325" s="6">
        <f>IFERROR(__xludf.DUMMYFUNCTION("""COMPUTED_VALUE"""),750000.0)</f>
        <v>750000</v>
      </c>
      <c r="K5325" s="57">
        <f>IFERROR(__xludf.DUMMYFUNCTION("""COMPUTED_VALUE"""),46248.0)</f>
        <v>46248</v>
      </c>
      <c r="L5325" s="6" t="str">
        <f>IFERROR(__xludf.DUMMYFUNCTION("""COMPUTED_VALUE"""),"FIP General")</f>
        <v>FIP General</v>
      </c>
      <c r="M5325" s="6" t="str">
        <f>IFERROR(__xludf.DUMMYFUNCTION("""COMPUTED_VALUE"""),"Mochammad Fadhillah Hakim,")</f>
        <v>Mochammad Fadhillah Hakim,</v>
      </c>
      <c r="N5325" s="6" t="str">
        <f>IFERROR(__xludf.DUMMYFUNCTION("""COMPUTED_VALUE"""),"FIP Engineering")</f>
        <v>FIP Engineering</v>
      </c>
      <c r="O5325" s="6" t="str">
        <f>IFERROR(__xludf.DUMMYFUNCTION("""COMPUTED_VALUE"""),"FIP-DOM-ENG-51508-0000000-INA-000000")</f>
        <v>FIP-DOM-ENG-51508-0000000-INA-000000</v>
      </c>
      <c r="P5325" s="6" t="str">
        <f>IFERROR(__xludf.DUMMYFUNCTION("""COMPUTED_VALUE"""),"PO Closed")</f>
        <v>PO Closed</v>
      </c>
      <c r="Q5325" s="6" t="str">
        <f>IFERROR(__xludf.DUMMYFUNCTION("""COMPUTED_VALUE"""),"GL2607040")</f>
        <v>GL2607040</v>
      </c>
      <c r="R5325" s="57">
        <f>IFERROR(__xludf.DUMMYFUNCTION("""COMPUTED_VALUE"""),46216.0)</f>
        <v>46216</v>
      </c>
      <c r="S5325" s="57">
        <f>IFERROR(__xludf.DUMMYFUNCTION("""COMPUTED_VALUE"""),46216.0)</f>
        <v>46216</v>
      </c>
      <c r="T5325" s="57">
        <f>IFERROR(__xludf.DUMMYFUNCTION("""COMPUTED_VALUE"""),46248.0)</f>
        <v>46248</v>
      </c>
    </row>
    <row r="5326">
      <c r="A5326" s="6" t="str">
        <f>IFERROR(__xludf.DUMMYFUNCTION("""COMPUTED_VALUE"""),"121704418-2")</f>
        <v>121704418-2</v>
      </c>
      <c r="B5326" s="6" t="str">
        <f>IFERROR(__xludf.DUMMYFUNCTION("""COMPUTED_VALUE"""),"121704418 - APPROVED")</f>
        <v>121704418 - APPROVED</v>
      </c>
      <c r="C5326" s="6">
        <f>IFERROR(__xludf.DUMMYFUNCTION("""COMPUTED_VALUE"""),2.0)</f>
        <v>2</v>
      </c>
      <c r="D5326" s="6" t="str">
        <f>IFERROR(__xludf.DUMMYFUNCTION("""COMPUTED_VALUE"""),"S-60002-00")</f>
        <v>S-60002-00</v>
      </c>
      <c r="E5326" s="6" t="str">
        <f>IFERROR(__xludf.DUMMYFUNCTION("""COMPUTED_VALUE"""),"Jasa Perbaikan dan Pemeliharaan Mesin Utility - Pengecekan Forklift Hydraulic Tidak Kuat")</f>
        <v>Jasa Perbaikan dan Pemeliharaan Mesin Utility - Pengecekan Forklift Hydraulic Tidak Kuat</v>
      </c>
      <c r="F5326" s="6">
        <f>IFERROR(__xludf.DUMMYFUNCTION("""COMPUTED_VALUE"""),1.0)</f>
        <v>1</v>
      </c>
      <c r="G5326" s="6" t="str">
        <f>IFERROR(__xludf.DUMMYFUNCTION("""COMPUTED_VALUE"""),"Lot")</f>
        <v>Lot</v>
      </c>
      <c r="H5326" s="6" t="str">
        <f>IFERROR(__xludf.DUMMYFUNCTION("""COMPUTED_VALUE"""),"IDR")</f>
        <v>IDR</v>
      </c>
      <c r="I5326" s="6">
        <f>IFERROR(__xludf.DUMMYFUNCTION("""COMPUTED_VALUE"""),1000000.0)</f>
        <v>1000000</v>
      </c>
      <c r="J5326" s="6">
        <f>IFERROR(__xludf.DUMMYFUNCTION("""COMPUTED_VALUE"""),1000000.0)</f>
        <v>1000000</v>
      </c>
      <c r="K5326" s="57">
        <f>IFERROR(__xludf.DUMMYFUNCTION("""COMPUTED_VALUE"""),46248.0)</f>
        <v>46248</v>
      </c>
      <c r="L5326" s="6" t="str">
        <f>IFERROR(__xludf.DUMMYFUNCTION("""COMPUTED_VALUE"""),"FIP General")</f>
        <v>FIP General</v>
      </c>
      <c r="M5326" s="6" t="str">
        <f>IFERROR(__xludf.DUMMYFUNCTION("""COMPUTED_VALUE"""),"Mochammad Fadhillah Hakim,")</f>
        <v>Mochammad Fadhillah Hakim,</v>
      </c>
      <c r="N5326" s="6" t="str">
        <f>IFERROR(__xludf.DUMMYFUNCTION("""COMPUTED_VALUE"""),"FIP Engineering")</f>
        <v>FIP Engineering</v>
      </c>
      <c r="O5326" s="6" t="str">
        <f>IFERROR(__xludf.DUMMYFUNCTION("""COMPUTED_VALUE"""),"FIP-DOM-ENG-51508-0000000-INA-000000")</f>
        <v>FIP-DOM-ENG-51508-0000000-INA-000000</v>
      </c>
      <c r="P5326" s="6" t="str">
        <f>IFERROR(__xludf.DUMMYFUNCTION("""COMPUTED_VALUE"""),"PO Closed")</f>
        <v>PO Closed</v>
      </c>
      <c r="Q5326" s="6" t="str">
        <f>IFERROR(__xludf.DUMMYFUNCTION("""COMPUTED_VALUE"""),"GL2607040")</f>
        <v>GL2607040</v>
      </c>
      <c r="R5326" s="57">
        <f>IFERROR(__xludf.DUMMYFUNCTION("""COMPUTED_VALUE"""),46216.0)</f>
        <v>46216</v>
      </c>
      <c r="S5326" s="57">
        <f>IFERROR(__xludf.DUMMYFUNCTION("""COMPUTED_VALUE"""),46216.0)</f>
        <v>46216</v>
      </c>
      <c r="T5326" s="57">
        <f>IFERROR(__xludf.DUMMYFUNCTION("""COMPUTED_VALUE"""),46248.0)</f>
        <v>46248</v>
      </c>
    </row>
    <row r="5327">
      <c r="A5327" s="6" t="str">
        <f>IFERROR(__xludf.DUMMYFUNCTION("""COMPUTED_VALUE"""),"121704419-1")</f>
        <v>121704419-1</v>
      </c>
      <c r="B5327" s="6" t="str">
        <f>IFERROR(__xludf.DUMMYFUNCTION("""COMPUTED_VALUE"""),"121704419 - APPROVED")</f>
        <v>121704419 - APPROVED</v>
      </c>
      <c r="C5327" s="6">
        <f>IFERROR(__xludf.DUMMYFUNCTION("""COMPUTED_VALUE"""),1.0)</f>
        <v>1</v>
      </c>
      <c r="D5327" s="6" t="str">
        <f>IFERROR(__xludf.DUMMYFUNCTION("""COMPUTED_VALUE"""),"S-60002-00")</f>
        <v>S-60002-00</v>
      </c>
      <c r="E5327" s="6" t="str">
        <f>IFERROR(__xludf.DUMMYFUNCTION("""COMPUTED_VALUE"""),"Jasa Perbaikan dan Pemeliharaan Mesin Utility - Reprogramming Equipmon Flowmeter")</f>
        <v>Jasa Perbaikan dan Pemeliharaan Mesin Utility - Reprogramming Equipmon Flowmeter</v>
      </c>
      <c r="F5327" s="6">
        <f>IFERROR(__xludf.DUMMYFUNCTION("""COMPUTED_VALUE"""),1.0)</f>
        <v>1</v>
      </c>
      <c r="G5327" s="6" t="str">
        <f>IFERROR(__xludf.DUMMYFUNCTION("""COMPUTED_VALUE"""),"Lot")</f>
        <v>Lot</v>
      </c>
      <c r="H5327" s="6" t="str">
        <f>IFERROR(__xludf.DUMMYFUNCTION("""COMPUTED_VALUE"""),"IDR")</f>
        <v>IDR</v>
      </c>
      <c r="I5327" s="6">
        <f>IFERROR(__xludf.DUMMYFUNCTION("""COMPUTED_VALUE"""),4745750.0)</f>
        <v>4745750</v>
      </c>
      <c r="J5327" s="6">
        <f>IFERROR(__xludf.DUMMYFUNCTION("""COMPUTED_VALUE"""),4745750.0)</f>
        <v>4745750</v>
      </c>
      <c r="K5327" s="57">
        <f>IFERROR(__xludf.DUMMYFUNCTION("""COMPUTED_VALUE"""),46248.0)</f>
        <v>46248</v>
      </c>
      <c r="L5327" s="6" t="str">
        <f>IFERROR(__xludf.DUMMYFUNCTION("""COMPUTED_VALUE"""),"FIP General")</f>
        <v>FIP General</v>
      </c>
      <c r="M5327" s="6" t="str">
        <f>IFERROR(__xludf.DUMMYFUNCTION("""COMPUTED_VALUE"""),"Mochammad Fadhillah Hakim,")</f>
        <v>Mochammad Fadhillah Hakim,</v>
      </c>
      <c r="N5327" s="6" t="str">
        <f>IFERROR(__xludf.DUMMYFUNCTION("""COMPUTED_VALUE"""),"FIP Engineering")</f>
        <v>FIP Engineering</v>
      </c>
      <c r="O5327" s="6" t="str">
        <f>IFERROR(__xludf.DUMMYFUNCTION("""COMPUTED_VALUE"""),"FIP-DOM-ENG-51508-0000000-INA-000000")</f>
        <v>FIP-DOM-ENG-51508-0000000-INA-000000</v>
      </c>
      <c r="P5327" s="6" t="str">
        <f>IFERROR(__xludf.DUMMYFUNCTION("""COMPUTED_VALUE"""),"PO Closed")</f>
        <v>PO Closed</v>
      </c>
      <c r="Q5327" s="6" t="str">
        <f>IFERROR(__xludf.DUMMYFUNCTION("""COMPUTED_VALUE"""),"GL2607043")</f>
        <v>GL2607043</v>
      </c>
      <c r="R5327" s="57">
        <f>IFERROR(__xludf.DUMMYFUNCTION("""COMPUTED_VALUE"""),46216.0)</f>
        <v>46216</v>
      </c>
      <c r="S5327" s="57">
        <f>IFERROR(__xludf.DUMMYFUNCTION("""COMPUTED_VALUE"""),46216.0)</f>
        <v>46216</v>
      </c>
      <c r="T5327" s="57">
        <f>IFERROR(__xludf.DUMMYFUNCTION("""COMPUTED_VALUE"""),46248.0)</f>
        <v>46248</v>
      </c>
    </row>
    <row r="5328">
      <c r="A5328" s="6" t="str">
        <f>IFERROR(__xludf.DUMMYFUNCTION("""COMPUTED_VALUE"""),"121704422-1")</f>
        <v>121704422-1</v>
      </c>
      <c r="B5328" s="6" t="str">
        <f>IFERROR(__xludf.DUMMYFUNCTION("""COMPUTED_VALUE"""),"121704422 - APPROVED")</f>
        <v>121704422 - APPROVED</v>
      </c>
      <c r="C5328" s="6">
        <f>IFERROR(__xludf.DUMMYFUNCTION("""COMPUTED_VALUE"""),1.0)</f>
        <v>1</v>
      </c>
      <c r="D5328" s="6" t="str">
        <f>IFERROR(__xludf.DUMMYFUNCTION("""COMPUTED_VALUE"""),"O-21592-00")</f>
        <v>O-21592-00</v>
      </c>
      <c r="E5328" s="6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F5328" s="6">
        <f>IFERROR(__xludf.DUMMYFUNCTION("""COMPUTED_VALUE"""),2.0)</f>
        <v>2</v>
      </c>
      <c r="G5328" s="6" t="str">
        <f>IFERROR(__xludf.DUMMYFUNCTION("""COMPUTED_VALUE"""),"Pieces")</f>
        <v>Pieces</v>
      </c>
      <c r="H5328" s="6" t="str">
        <f>IFERROR(__xludf.DUMMYFUNCTION("""COMPUTED_VALUE"""),"IDR")</f>
        <v>IDR</v>
      </c>
      <c r="I5328" s="6">
        <f>IFERROR(__xludf.DUMMYFUNCTION("""COMPUTED_VALUE"""),475000.0)</f>
        <v>475000</v>
      </c>
      <c r="J5328" s="6">
        <f>IFERROR(__xludf.DUMMYFUNCTION("""COMPUTED_VALUE"""),950000.0)</f>
        <v>950000</v>
      </c>
      <c r="K5328" s="57">
        <f>IFERROR(__xludf.DUMMYFUNCTION("""COMPUTED_VALUE"""),46248.0)</f>
        <v>46248</v>
      </c>
      <c r="L5328" s="6" t="str">
        <f>IFERROR(__xludf.DUMMYFUNCTION("""COMPUTED_VALUE"""),"FIP Engineering")</f>
        <v>FIP Engineering</v>
      </c>
      <c r="M5328" s="6" t="str">
        <f>IFERROR(__xludf.DUMMYFUNCTION("""COMPUTED_VALUE"""),"Mochammad Fadhillah Hakim,")</f>
        <v>Mochammad Fadhillah Hakim,</v>
      </c>
      <c r="N5328" s="6" t="str">
        <f>IFERROR(__xludf.DUMMYFUNCTION("""COMPUTED_VALUE"""),"FIP Engineering")</f>
        <v>FIP Engineering</v>
      </c>
      <c r="O5328" s="6" t="str">
        <f>IFERROR(__xludf.DUMMYFUNCTION("""COMPUTED_VALUE"""),"FIP-DOM-000-11304-OS00001-INA-000000")</f>
        <v>FIP-DOM-000-11304-OS00001-INA-000000</v>
      </c>
      <c r="P5328" s="6" t="str">
        <f>IFERROR(__xludf.DUMMYFUNCTION("""COMPUTED_VALUE"""),"PO Open")</f>
        <v>PO Open</v>
      </c>
      <c r="Q5328" s="6" t="str">
        <f>IFERROR(__xludf.DUMMYFUNCTION("""COMPUTED_VALUE"""),"GL2608405")</f>
        <v>GL2608405</v>
      </c>
      <c r="R5328" s="57">
        <f>IFERROR(__xludf.DUMMYFUNCTION("""COMPUTED_VALUE"""),46217.0)</f>
        <v>46217</v>
      </c>
      <c r="S5328" s="57">
        <f>IFERROR(__xludf.DUMMYFUNCTION("""COMPUTED_VALUE"""),46223.0)</f>
        <v>46223</v>
      </c>
      <c r="T5328" s="57">
        <f>IFERROR(__xludf.DUMMYFUNCTION("""COMPUTED_VALUE"""),46295.0)</f>
        <v>46295</v>
      </c>
    </row>
    <row r="5329">
      <c r="A5329" s="6" t="str">
        <f>IFERROR(__xludf.DUMMYFUNCTION("""COMPUTED_VALUE"""),"121704424-1")</f>
        <v>121704424-1</v>
      </c>
      <c r="B5329" s="6" t="str">
        <f>IFERROR(__xludf.DUMMYFUNCTION("""COMPUTED_VALUE"""),"121704424 - APPROVED")</f>
        <v>121704424 - APPROVED</v>
      </c>
      <c r="C5329" s="6">
        <f>IFERROR(__xludf.DUMMYFUNCTION("""COMPUTED_VALUE"""),1.0)</f>
        <v>1</v>
      </c>
      <c r="D5329" s="6" t="str">
        <f>IFERROR(__xludf.DUMMYFUNCTION("""COMPUTED_VALUE"""),"P-15052-00")</f>
        <v>P-15052-00</v>
      </c>
      <c r="E5329" s="6" t="str">
        <f>IFERROR(__xludf.DUMMYFUNCTION("""COMPUTED_VALUE"""),"General - Element Filter 1 micron; NXE-400-Z; -; 1 pc")</f>
        <v>General - Element Filter 1 micron; NXE-400-Z; -; 1 pc</v>
      </c>
      <c r="F5329" s="6">
        <f>IFERROR(__xludf.DUMMYFUNCTION("""COMPUTED_VALUE"""),1.0)</f>
        <v>1</v>
      </c>
      <c r="G5329" s="6" t="str">
        <f>IFERROR(__xludf.DUMMYFUNCTION("""COMPUTED_VALUE"""),"Pieces")</f>
        <v>Pieces</v>
      </c>
      <c r="H5329" s="6" t="str">
        <f>IFERROR(__xludf.DUMMYFUNCTION("""COMPUTED_VALUE"""),"IDR")</f>
        <v>IDR</v>
      </c>
      <c r="I5329" s="6">
        <f>IFERROR(__xludf.DUMMYFUNCTION("""COMPUTED_VALUE"""),2144000.0)</f>
        <v>2144000</v>
      </c>
      <c r="J5329" s="6">
        <f>IFERROR(__xludf.DUMMYFUNCTION("""COMPUTED_VALUE"""),2144000.0)</f>
        <v>2144000</v>
      </c>
      <c r="K5329" s="57">
        <f>IFERROR(__xludf.DUMMYFUNCTION("""COMPUTED_VALUE"""),46283.0)</f>
        <v>46283</v>
      </c>
      <c r="L5329" s="6" t="str">
        <f>IFERROR(__xludf.DUMMYFUNCTION("""COMPUTED_VALUE"""),"FIP Engineering")</f>
        <v>FIP Engineering</v>
      </c>
      <c r="M5329" s="6" t="str">
        <f>IFERROR(__xludf.DUMMYFUNCTION("""COMPUTED_VALUE"""),"Mochammad Fadhillah Hakim,")</f>
        <v>Mochammad Fadhillah Hakim,</v>
      </c>
      <c r="N5329" s="6" t="str">
        <f>IFERROR(__xludf.DUMMYFUNCTION("""COMPUTED_VALUE"""),"FIP Engineering")</f>
        <v>FIP Engineering</v>
      </c>
      <c r="O5329" s="6" t="str">
        <f>IFERROR(__xludf.DUMMYFUNCTION("""COMPUTED_VALUE"""),"FIP-DOM-000-11304-OS00001-INA-000000")</f>
        <v>FIP-DOM-000-11304-OS00001-INA-000000</v>
      </c>
      <c r="P5329" s="6" t="str">
        <f>IFERROR(__xludf.DUMMYFUNCTION("""COMPUTED_VALUE"""),"PO Closed")</f>
        <v>PO Closed</v>
      </c>
      <c r="Q5329" s="6" t="str">
        <f>IFERROR(__xludf.DUMMYFUNCTION("""COMPUTED_VALUE"""),"GL2608395")</f>
        <v>GL2608395</v>
      </c>
      <c r="R5329" s="57">
        <f>IFERROR(__xludf.DUMMYFUNCTION("""COMPUTED_VALUE"""),46217.0)</f>
        <v>46217</v>
      </c>
      <c r="S5329" s="57">
        <f>IFERROR(__xludf.DUMMYFUNCTION("""COMPUTED_VALUE"""),46223.0)</f>
        <v>46223</v>
      </c>
      <c r="T5329" s="57">
        <f>IFERROR(__xludf.DUMMYFUNCTION("""COMPUTED_VALUE"""),46283.0)</f>
        <v>46283</v>
      </c>
    </row>
    <row r="5330">
      <c r="A5330" s="6" t="str">
        <f>IFERROR(__xludf.DUMMYFUNCTION("""COMPUTED_VALUE"""),"121704424-2")</f>
        <v>121704424-2</v>
      </c>
      <c r="B5330" s="6" t="str">
        <f>IFERROR(__xludf.DUMMYFUNCTION("""COMPUTED_VALUE"""),"121704424 - APPROVED")</f>
        <v>121704424 - APPROVED</v>
      </c>
      <c r="C5330" s="6">
        <f>IFERROR(__xludf.DUMMYFUNCTION("""COMPUTED_VALUE"""),2.0)</f>
        <v>2</v>
      </c>
      <c r="D5330" s="6" t="str">
        <f>IFERROR(__xludf.DUMMYFUNCTION("""COMPUTED_VALUE"""),"P-15053-00")</f>
        <v>P-15053-00</v>
      </c>
      <c r="E5330" s="6" t="str">
        <f>IFERROR(__xludf.DUMMYFUNCTION("""COMPUTED_VALUE"""),"General - Element Filter 0.01 micron; NXE-400-X; -; 1 pc")</f>
        <v>General - Element Filter 0.01 micron; NXE-400-X; -; 1 pc</v>
      </c>
      <c r="F5330" s="6">
        <f>IFERROR(__xludf.DUMMYFUNCTION("""COMPUTED_VALUE"""),1.0)</f>
        <v>1</v>
      </c>
      <c r="G5330" s="6" t="str">
        <f>IFERROR(__xludf.DUMMYFUNCTION("""COMPUTED_VALUE"""),"Pieces")</f>
        <v>Pieces</v>
      </c>
      <c r="H5330" s="6" t="str">
        <f>IFERROR(__xludf.DUMMYFUNCTION("""COMPUTED_VALUE"""),"IDR")</f>
        <v>IDR</v>
      </c>
      <c r="I5330" s="6">
        <f>IFERROR(__xludf.DUMMYFUNCTION("""COMPUTED_VALUE"""),2144000.0)</f>
        <v>2144000</v>
      </c>
      <c r="J5330" s="6">
        <f>IFERROR(__xludf.DUMMYFUNCTION("""COMPUTED_VALUE"""),2144000.0)</f>
        <v>2144000</v>
      </c>
      <c r="K5330" s="57">
        <f>IFERROR(__xludf.DUMMYFUNCTION("""COMPUTED_VALUE"""),46283.0)</f>
        <v>46283</v>
      </c>
      <c r="L5330" s="6" t="str">
        <f>IFERROR(__xludf.DUMMYFUNCTION("""COMPUTED_VALUE"""),"FIP Engineering")</f>
        <v>FIP Engineering</v>
      </c>
      <c r="M5330" s="6" t="str">
        <f>IFERROR(__xludf.DUMMYFUNCTION("""COMPUTED_VALUE"""),"Mochammad Fadhillah Hakim,")</f>
        <v>Mochammad Fadhillah Hakim,</v>
      </c>
      <c r="N5330" s="6" t="str">
        <f>IFERROR(__xludf.DUMMYFUNCTION("""COMPUTED_VALUE"""),"FIP Engineering")</f>
        <v>FIP Engineering</v>
      </c>
      <c r="O5330" s="6" t="str">
        <f>IFERROR(__xludf.DUMMYFUNCTION("""COMPUTED_VALUE"""),"FIP-DOM-000-11304-OS00001-INA-000000")</f>
        <v>FIP-DOM-000-11304-OS00001-INA-000000</v>
      </c>
      <c r="P5330" s="6" t="str">
        <f>IFERROR(__xludf.DUMMYFUNCTION("""COMPUTED_VALUE"""),"PO Closed")</f>
        <v>PO Closed</v>
      </c>
      <c r="Q5330" s="6" t="str">
        <f>IFERROR(__xludf.DUMMYFUNCTION("""COMPUTED_VALUE"""),"GL2608395")</f>
        <v>GL2608395</v>
      </c>
      <c r="R5330" s="57">
        <f>IFERROR(__xludf.DUMMYFUNCTION("""COMPUTED_VALUE"""),46217.0)</f>
        <v>46217</v>
      </c>
      <c r="S5330" s="57">
        <f>IFERROR(__xludf.DUMMYFUNCTION("""COMPUTED_VALUE"""),46223.0)</f>
        <v>46223</v>
      </c>
      <c r="T5330" s="57">
        <f>IFERROR(__xludf.DUMMYFUNCTION("""COMPUTED_VALUE"""),46283.0)</f>
        <v>46283</v>
      </c>
    </row>
    <row r="5331">
      <c r="A5331" s="6" t="str">
        <f>IFERROR(__xludf.DUMMYFUNCTION("""COMPUTED_VALUE"""),"121704424-3")</f>
        <v>121704424-3</v>
      </c>
      <c r="B5331" s="6" t="str">
        <f>IFERROR(__xludf.DUMMYFUNCTION("""COMPUTED_VALUE"""),"121704424 - APPROVED")</f>
        <v>121704424 - APPROVED</v>
      </c>
      <c r="C5331" s="6">
        <f>IFERROR(__xludf.DUMMYFUNCTION("""COMPUTED_VALUE"""),3.0)</f>
        <v>3</v>
      </c>
      <c r="D5331" s="6" t="str">
        <f>IFERROR(__xludf.DUMMYFUNCTION("""COMPUTED_VALUE"""),"P-17062-00")</f>
        <v>P-17062-00</v>
      </c>
      <c r="E5331" s="6" t="str">
        <f>IFERROR(__xludf.DUMMYFUNCTION("""COMPUTED_VALUE"""),"General - Element Filter for N2; NEXUS; NXE-90-Z; 1 pc")</f>
        <v>General - Element Filter for N2; NEXUS; NXE-90-Z; 1 pc</v>
      </c>
      <c r="F5331" s="6">
        <f>IFERROR(__xludf.DUMMYFUNCTION("""COMPUTED_VALUE"""),1.0)</f>
        <v>1</v>
      </c>
      <c r="G5331" s="6" t="str">
        <f>IFERROR(__xludf.DUMMYFUNCTION("""COMPUTED_VALUE"""),"Unit")</f>
        <v>Unit</v>
      </c>
      <c r="H5331" s="6" t="str">
        <f>IFERROR(__xludf.DUMMYFUNCTION("""COMPUTED_VALUE"""),"IDR")</f>
        <v>IDR</v>
      </c>
      <c r="I5331" s="6">
        <f>IFERROR(__xludf.DUMMYFUNCTION("""COMPUTED_VALUE"""),1200000.0)</f>
        <v>1200000</v>
      </c>
      <c r="J5331" s="6">
        <f>IFERROR(__xludf.DUMMYFUNCTION("""COMPUTED_VALUE"""),1200000.0)</f>
        <v>1200000</v>
      </c>
      <c r="K5331" s="57">
        <f>IFERROR(__xludf.DUMMYFUNCTION("""COMPUTED_VALUE"""),46283.0)</f>
        <v>46283</v>
      </c>
      <c r="L5331" s="6" t="str">
        <f>IFERROR(__xludf.DUMMYFUNCTION("""COMPUTED_VALUE"""),"FIP Engineering")</f>
        <v>FIP Engineering</v>
      </c>
      <c r="M5331" s="6" t="str">
        <f>IFERROR(__xludf.DUMMYFUNCTION("""COMPUTED_VALUE"""),"Mochammad Fadhillah Hakim,")</f>
        <v>Mochammad Fadhillah Hakim,</v>
      </c>
      <c r="N5331" s="6" t="str">
        <f>IFERROR(__xludf.DUMMYFUNCTION("""COMPUTED_VALUE"""),"FIP Engineering")</f>
        <v>FIP Engineering</v>
      </c>
      <c r="O5331" s="6" t="str">
        <f>IFERROR(__xludf.DUMMYFUNCTION("""COMPUTED_VALUE"""),"FIP-DOM-000-11304-OS00001-INA-000000")</f>
        <v>FIP-DOM-000-11304-OS00001-INA-000000</v>
      </c>
      <c r="P5331" s="6" t="str">
        <f>IFERROR(__xludf.DUMMYFUNCTION("""COMPUTED_VALUE"""),"PO Closed")</f>
        <v>PO Closed</v>
      </c>
      <c r="Q5331" s="6" t="str">
        <f>IFERROR(__xludf.DUMMYFUNCTION("""COMPUTED_VALUE"""),"GL2608395")</f>
        <v>GL2608395</v>
      </c>
      <c r="R5331" s="57">
        <f>IFERROR(__xludf.DUMMYFUNCTION("""COMPUTED_VALUE"""),46217.0)</f>
        <v>46217</v>
      </c>
      <c r="S5331" s="57">
        <f>IFERROR(__xludf.DUMMYFUNCTION("""COMPUTED_VALUE"""),46223.0)</f>
        <v>46223</v>
      </c>
      <c r="T5331" s="57">
        <f>IFERROR(__xludf.DUMMYFUNCTION("""COMPUTED_VALUE"""),46283.0)</f>
        <v>46283</v>
      </c>
    </row>
    <row r="5332">
      <c r="A5332" s="6" t="str">
        <f>IFERROR(__xludf.DUMMYFUNCTION("""COMPUTED_VALUE"""),"121704425-1")</f>
        <v>121704425-1</v>
      </c>
      <c r="B5332" s="6" t="str">
        <f>IFERROR(__xludf.DUMMYFUNCTION("""COMPUTED_VALUE"""),"121704425 - APPROVED")</f>
        <v>121704425 - APPROVED</v>
      </c>
      <c r="C5332" s="6">
        <f>IFERROR(__xludf.DUMMYFUNCTION("""COMPUTED_VALUE"""),1.0)</f>
        <v>1</v>
      </c>
      <c r="D5332" s="6" t="str">
        <f>IFERROR(__xludf.DUMMYFUNCTION("""COMPUTED_VALUE"""),"P-17347-00")</f>
        <v>P-17347-00</v>
      </c>
      <c r="E5332" s="6" t="str">
        <f>IFERROR(__xludf.DUMMYFUNCTION("""COMPUTED_VALUE"""),"General - Pre Filter G4 2m x 20m x 2mm; No Brand; -; 1 Pc")</f>
        <v>General - Pre Filter G4 2m x 20m x 2mm; No Brand; -; 1 Pc</v>
      </c>
      <c r="F5332" s="6">
        <f>IFERROR(__xludf.DUMMYFUNCTION("""COMPUTED_VALUE"""),1.0)</f>
        <v>1</v>
      </c>
      <c r="G5332" s="6" t="str">
        <f>IFERROR(__xludf.DUMMYFUNCTION("""COMPUTED_VALUE"""),"Pieces")</f>
        <v>Pieces</v>
      </c>
      <c r="H5332" s="6" t="str">
        <f>IFERROR(__xludf.DUMMYFUNCTION("""COMPUTED_VALUE"""),"IDR")</f>
        <v>IDR</v>
      </c>
      <c r="I5332" s="6">
        <f>IFERROR(__xludf.DUMMYFUNCTION("""COMPUTED_VALUE"""),2145000.0)</f>
        <v>2145000</v>
      </c>
      <c r="J5332" s="6">
        <f>IFERROR(__xludf.DUMMYFUNCTION("""COMPUTED_VALUE"""),2145000.0)</f>
        <v>2145000</v>
      </c>
      <c r="K5332" s="57">
        <f>IFERROR(__xludf.DUMMYFUNCTION("""COMPUTED_VALUE"""),46248.0)</f>
        <v>46248</v>
      </c>
      <c r="L5332" s="6" t="str">
        <f>IFERROR(__xludf.DUMMYFUNCTION("""COMPUTED_VALUE"""),"FIP Engineering")</f>
        <v>FIP Engineering</v>
      </c>
      <c r="M5332" s="6" t="str">
        <f>IFERROR(__xludf.DUMMYFUNCTION("""COMPUTED_VALUE"""),"Mochammad Fadhillah Hakim,")</f>
        <v>Mochammad Fadhillah Hakim,</v>
      </c>
      <c r="N5332" s="6" t="str">
        <f>IFERROR(__xludf.DUMMYFUNCTION("""COMPUTED_VALUE"""),"FIP Engineering")</f>
        <v>FIP Engineering</v>
      </c>
      <c r="O5332" s="6" t="str">
        <f>IFERROR(__xludf.DUMMYFUNCTION("""COMPUTED_VALUE"""),"FIP-DOM-000-11304-OS00001-INA-000000")</f>
        <v>FIP-DOM-000-11304-OS00001-INA-000000</v>
      </c>
      <c r="P5332" s="6" t="str">
        <f>IFERROR(__xludf.DUMMYFUNCTION("""COMPUTED_VALUE"""),"PO Closed")</f>
        <v>PO Closed</v>
      </c>
      <c r="Q5332" s="6" t="str">
        <f>IFERROR(__xludf.DUMMYFUNCTION("""COMPUTED_VALUE"""),"GL2608389")</f>
        <v>GL2608389</v>
      </c>
      <c r="R5332" s="57">
        <f>IFERROR(__xludf.DUMMYFUNCTION("""COMPUTED_VALUE"""),46217.0)</f>
        <v>46217</v>
      </c>
      <c r="S5332" s="57">
        <f>IFERROR(__xludf.DUMMYFUNCTION("""COMPUTED_VALUE"""),46223.0)</f>
        <v>46223</v>
      </c>
      <c r="T5332" s="57">
        <f>IFERROR(__xludf.DUMMYFUNCTION("""COMPUTED_VALUE"""),46270.0)</f>
        <v>46270</v>
      </c>
    </row>
    <row r="5333">
      <c r="A5333" s="6" t="str">
        <f>IFERROR(__xludf.DUMMYFUNCTION("""COMPUTED_VALUE"""),"121704427-1")</f>
        <v>121704427-1</v>
      </c>
      <c r="B5333" s="6" t="str">
        <f>IFERROR(__xludf.DUMMYFUNCTION("""COMPUTED_VALUE"""),"121704427 - APPROVED")</f>
        <v>121704427 - APPROVED</v>
      </c>
      <c r="C5333" s="6">
        <f>IFERROR(__xludf.DUMMYFUNCTION("""COMPUTED_VALUE"""),1.0)</f>
        <v>1</v>
      </c>
      <c r="D5333" s="6" t="str">
        <f>IFERROR(__xludf.DUMMYFUNCTION("""COMPUTED_VALUE"""),"O-12736-00")</f>
        <v>O-12736-00</v>
      </c>
      <c r="E5333" s="6" t="str">
        <f>IFERROR(__xludf.DUMMYFUNCTION("""COMPUTED_VALUE"""),"Tubing Polyurethane TU0425 Clear; ; ;")</f>
        <v>Tubing Polyurethane TU0425 Clear; ; ;</v>
      </c>
      <c r="F5333" s="6">
        <f>IFERROR(__xludf.DUMMYFUNCTION("""COMPUTED_VALUE"""),200.0)</f>
        <v>200</v>
      </c>
      <c r="G5333" s="6" t="str">
        <f>IFERROR(__xludf.DUMMYFUNCTION("""COMPUTED_VALUE"""),"Roll")</f>
        <v>Roll</v>
      </c>
      <c r="H5333" s="6" t="str">
        <f>IFERROR(__xludf.DUMMYFUNCTION("""COMPUTED_VALUE"""),"IDR")</f>
        <v>IDR</v>
      </c>
      <c r="I5333" s="6">
        <f>IFERROR(__xludf.DUMMYFUNCTION("""COMPUTED_VALUE"""),4500.0)</f>
        <v>4500</v>
      </c>
      <c r="J5333" s="6">
        <f>IFERROR(__xludf.DUMMYFUNCTION("""COMPUTED_VALUE"""),900000.0)</f>
        <v>900000</v>
      </c>
      <c r="K5333" s="57">
        <f>IFERROR(__xludf.DUMMYFUNCTION("""COMPUTED_VALUE"""),46248.0)</f>
        <v>46248</v>
      </c>
      <c r="L5333" s="6" t="str">
        <f>IFERROR(__xludf.DUMMYFUNCTION("""COMPUTED_VALUE"""),"FIP General")</f>
        <v>FIP General</v>
      </c>
      <c r="M5333" s="6" t="str">
        <f>IFERROR(__xludf.DUMMYFUNCTION("""COMPUTED_VALUE"""),"Mochammad Fadhillah Hakim,")</f>
        <v>Mochammad Fadhillah Hakim,</v>
      </c>
      <c r="N5333" s="6" t="str">
        <f>IFERROR(__xludf.DUMMYFUNCTION("""COMPUTED_VALUE"""),"FIP Engineering")</f>
        <v>FIP Engineering</v>
      </c>
      <c r="O5333" s="6" t="str">
        <f>IFERROR(__xludf.DUMMYFUNCTION("""COMPUTED_VALUE"""),"FIP-DOM-ENG-51404-0000000-INA-000000")</f>
        <v>FIP-DOM-ENG-51404-0000000-INA-000000</v>
      </c>
      <c r="P5333" s="6" t="str">
        <f>IFERROR(__xludf.DUMMYFUNCTION("""COMPUTED_VALUE"""),"PO Closed")</f>
        <v>PO Closed</v>
      </c>
      <c r="Q5333" s="6" t="str">
        <f>IFERROR(__xludf.DUMMYFUNCTION("""COMPUTED_VALUE"""),"GL2608406")</f>
        <v>GL2608406</v>
      </c>
      <c r="R5333" s="57">
        <f>IFERROR(__xludf.DUMMYFUNCTION("""COMPUTED_VALUE"""),46217.0)</f>
        <v>46217</v>
      </c>
      <c r="S5333" s="57">
        <f>IFERROR(__xludf.DUMMYFUNCTION("""COMPUTED_VALUE"""),46223.0)</f>
        <v>46223</v>
      </c>
      <c r="T5333" s="57">
        <f>IFERROR(__xludf.DUMMYFUNCTION("""COMPUTED_VALUE"""),46279.0)</f>
        <v>46279</v>
      </c>
    </row>
    <row r="5334">
      <c r="A5334" s="6" t="str">
        <f>IFERROR(__xludf.DUMMYFUNCTION("""COMPUTED_VALUE"""),"121704428-1")</f>
        <v>121704428-1</v>
      </c>
      <c r="B5334" s="6" t="str">
        <f>IFERROR(__xludf.DUMMYFUNCTION("""COMPUTED_VALUE"""),"121704428 - APPROVED")</f>
        <v>121704428 - APPROVED</v>
      </c>
      <c r="C5334" s="6">
        <f>IFERROR(__xludf.DUMMYFUNCTION("""COMPUTED_VALUE"""),1.0)</f>
        <v>1</v>
      </c>
      <c r="D5334" s="6" t="str">
        <f>IFERROR(__xludf.DUMMYFUNCTION("""COMPUTED_VALUE"""),"P-10729-00")</f>
        <v>P-10729-00</v>
      </c>
      <c r="E5334" s="6" t="str">
        <f>IFERROR(__xludf.DUMMYFUNCTION("""COMPUTED_VALUE"""),"General - Contact cleaner WD 40; No Brand; -; 382gr/can")</f>
        <v>General - Contact cleaner WD 40; No Brand; -; 382gr/can</v>
      </c>
      <c r="F5334" s="6">
        <f>IFERROR(__xludf.DUMMYFUNCTION("""COMPUTED_VALUE"""),3.0)</f>
        <v>3</v>
      </c>
      <c r="G5334" s="6" t="str">
        <f>IFERROR(__xludf.DUMMYFUNCTION("""COMPUTED_VALUE"""),"Pieces")</f>
        <v>Pieces</v>
      </c>
      <c r="H5334" s="6" t="str">
        <f>IFERROR(__xludf.DUMMYFUNCTION("""COMPUTED_VALUE"""),"IDR")</f>
        <v>IDR</v>
      </c>
      <c r="I5334" s="6">
        <f>IFERROR(__xludf.DUMMYFUNCTION("""COMPUTED_VALUE"""),93500.0)</f>
        <v>93500</v>
      </c>
      <c r="J5334" s="6">
        <f>IFERROR(__xludf.DUMMYFUNCTION("""COMPUTED_VALUE"""),280500.0)</f>
        <v>280500</v>
      </c>
      <c r="K5334" s="57">
        <f>IFERROR(__xludf.DUMMYFUNCTION("""COMPUTED_VALUE"""),46248.0)</f>
        <v>46248</v>
      </c>
      <c r="L5334" s="6" t="str">
        <f>IFERROR(__xludf.DUMMYFUNCTION("""COMPUTED_VALUE"""),"FIP Engineering")</f>
        <v>FIP Engineering</v>
      </c>
      <c r="M5334" s="6" t="str">
        <f>IFERROR(__xludf.DUMMYFUNCTION("""COMPUTED_VALUE"""),"Mochammad Fadhillah Hakim,")</f>
        <v>Mochammad Fadhillah Hakim,</v>
      </c>
      <c r="N5334" s="6" t="str">
        <f>IFERROR(__xludf.DUMMYFUNCTION("""COMPUTED_VALUE"""),"FIP Engineering")</f>
        <v>FIP Engineering</v>
      </c>
      <c r="O5334" s="6" t="str">
        <f>IFERROR(__xludf.DUMMYFUNCTION("""COMPUTED_VALUE"""),"FIP-DOM-000-11304-OS00001-INA-000000")</f>
        <v>FIP-DOM-000-11304-OS00001-INA-000000</v>
      </c>
      <c r="P5334" s="6" t="str">
        <f>IFERROR(__xludf.DUMMYFUNCTION("""COMPUTED_VALUE"""),"PO Open")</f>
        <v>PO Open</v>
      </c>
      <c r="Q5334" s="6" t="str">
        <f>IFERROR(__xludf.DUMMYFUNCTION("""COMPUTED_VALUE"""),"GL2608396")</f>
        <v>GL2608396</v>
      </c>
      <c r="R5334" s="57">
        <f>IFERROR(__xludf.DUMMYFUNCTION("""COMPUTED_VALUE"""),46217.0)</f>
        <v>46217</v>
      </c>
      <c r="S5334" s="57">
        <f>IFERROR(__xludf.DUMMYFUNCTION("""COMPUTED_VALUE"""),46223.0)</f>
        <v>46223</v>
      </c>
      <c r="T5334" s="57">
        <f>IFERROR(__xludf.DUMMYFUNCTION("""COMPUTED_VALUE"""),46285.0)</f>
        <v>46285</v>
      </c>
    </row>
    <row r="5335">
      <c r="A5335" s="6" t="str">
        <f>IFERROR(__xludf.DUMMYFUNCTION("""COMPUTED_VALUE"""),"121704428-2")</f>
        <v>121704428-2</v>
      </c>
      <c r="B5335" s="6" t="str">
        <f>IFERROR(__xludf.DUMMYFUNCTION("""COMPUTED_VALUE"""),"121704428 - APPROVED")</f>
        <v>121704428 - APPROVED</v>
      </c>
      <c r="C5335" s="6">
        <f>IFERROR(__xludf.DUMMYFUNCTION("""COMPUTED_VALUE"""),2.0)</f>
        <v>2</v>
      </c>
      <c r="D5335" s="6" t="str">
        <f>IFERROR(__xludf.DUMMYFUNCTION("""COMPUTED_VALUE"""),"P-15437-00")</f>
        <v>P-15437-00</v>
      </c>
      <c r="E5335" s="6" t="str">
        <f>IFERROR(__xludf.DUMMYFUNCTION("""COMPUTED_VALUE"""),"CABLE SPIRAL WRAPPING, TYPE KS24, BRAND KSS; ; ;")</f>
        <v>CABLE SPIRAL WRAPPING, TYPE KS24, BRAND KSS; ; ;</v>
      </c>
      <c r="F5335" s="6">
        <f>IFERROR(__xludf.DUMMYFUNCTION("""COMPUTED_VALUE"""),3.0)</f>
        <v>3</v>
      </c>
      <c r="G5335" s="6" t="str">
        <f>IFERROR(__xludf.DUMMYFUNCTION("""COMPUTED_VALUE"""),"Pack")</f>
        <v>Pack</v>
      </c>
      <c r="H5335" s="6" t="str">
        <f>IFERROR(__xludf.DUMMYFUNCTION("""COMPUTED_VALUE"""),"IDR")</f>
        <v>IDR</v>
      </c>
      <c r="I5335" s="6">
        <f>IFERROR(__xludf.DUMMYFUNCTION("""COMPUTED_VALUE"""),165000.0)</f>
        <v>165000</v>
      </c>
      <c r="J5335" s="6">
        <f>IFERROR(__xludf.DUMMYFUNCTION("""COMPUTED_VALUE"""),495000.0)</f>
        <v>495000</v>
      </c>
      <c r="K5335" s="57">
        <f>IFERROR(__xludf.DUMMYFUNCTION("""COMPUTED_VALUE"""),46248.0)</f>
        <v>46248</v>
      </c>
      <c r="L5335" s="6" t="str">
        <f>IFERROR(__xludf.DUMMYFUNCTION("""COMPUTED_VALUE"""),"FIP Engineering")</f>
        <v>FIP Engineering</v>
      </c>
      <c r="M5335" s="6" t="str">
        <f>IFERROR(__xludf.DUMMYFUNCTION("""COMPUTED_VALUE"""),"Mochammad Fadhillah Hakim,")</f>
        <v>Mochammad Fadhillah Hakim,</v>
      </c>
      <c r="N5335" s="6" t="str">
        <f>IFERROR(__xludf.DUMMYFUNCTION("""COMPUTED_VALUE"""),"FIP Engineering")</f>
        <v>FIP Engineering</v>
      </c>
      <c r="O5335" s="6" t="str">
        <f>IFERROR(__xludf.DUMMYFUNCTION("""COMPUTED_VALUE"""),"FIP-DOM-000-11304-OS00001-INA-000000")</f>
        <v>FIP-DOM-000-11304-OS00001-INA-000000</v>
      </c>
      <c r="P5335" s="6" t="str">
        <f>IFERROR(__xludf.DUMMYFUNCTION("""COMPUTED_VALUE"""),"PO Open")</f>
        <v>PO Open</v>
      </c>
      <c r="Q5335" s="6" t="str">
        <f>IFERROR(__xludf.DUMMYFUNCTION("""COMPUTED_VALUE"""),"GL2608396")</f>
        <v>GL2608396</v>
      </c>
      <c r="R5335" s="57">
        <f>IFERROR(__xludf.DUMMYFUNCTION("""COMPUTED_VALUE"""),46217.0)</f>
        <v>46217</v>
      </c>
      <c r="S5335" s="57">
        <f>IFERROR(__xludf.DUMMYFUNCTION("""COMPUTED_VALUE"""),46223.0)</f>
        <v>46223</v>
      </c>
      <c r="T5335" s="57">
        <f>IFERROR(__xludf.DUMMYFUNCTION("""COMPUTED_VALUE"""),46285.0)</f>
        <v>46285</v>
      </c>
    </row>
    <row r="5336">
      <c r="A5336" s="6" t="str">
        <f>IFERROR(__xludf.DUMMYFUNCTION("""COMPUTED_VALUE"""),"121704428-3")</f>
        <v>121704428-3</v>
      </c>
      <c r="B5336" s="6" t="str">
        <f>IFERROR(__xludf.DUMMYFUNCTION("""COMPUTED_VALUE"""),"121704428 - APPROVED")</f>
        <v>121704428 - APPROVED</v>
      </c>
      <c r="C5336" s="6">
        <f>IFERROR(__xludf.DUMMYFUNCTION("""COMPUTED_VALUE"""),3.0)</f>
        <v>3</v>
      </c>
      <c r="D5336" s="6" t="str">
        <f>IFERROR(__xludf.DUMMYFUNCTION("""COMPUTED_VALUE"""),"P-10945-00")</f>
        <v>P-10945-00</v>
      </c>
      <c r="E5336" s="6" t="str">
        <f>IFERROR(__xludf.DUMMYFUNCTION("""COMPUTED_VALUE"""),"General - Seal Tape 1inch; ONDA; -; 1 Pcs")</f>
        <v>General - Seal Tape 1inch; ONDA; -; 1 Pcs</v>
      </c>
      <c r="F5336" s="6">
        <f>IFERROR(__xludf.DUMMYFUNCTION("""COMPUTED_VALUE"""),30.0)</f>
        <v>30</v>
      </c>
      <c r="G5336" s="6" t="str">
        <f>IFERROR(__xludf.DUMMYFUNCTION("""COMPUTED_VALUE"""),"Pieces")</f>
        <v>Pieces</v>
      </c>
      <c r="H5336" s="6" t="str">
        <f>IFERROR(__xludf.DUMMYFUNCTION("""COMPUTED_VALUE"""),"IDR")</f>
        <v>IDR</v>
      </c>
      <c r="I5336" s="6">
        <f>IFERROR(__xludf.DUMMYFUNCTION("""COMPUTED_VALUE"""),4000.0)</f>
        <v>4000</v>
      </c>
      <c r="J5336" s="6">
        <f>IFERROR(__xludf.DUMMYFUNCTION("""COMPUTED_VALUE"""),120000.0)</f>
        <v>120000</v>
      </c>
      <c r="K5336" s="57">
        <f>IFERROR(__xludf.DUMMYFUNCTION("""COMPUTED_VALUE"""),46248.0)</f>
        <v>46248</v>
      </c>
      <c r="L5336" s="6" t="str">
        <f>IFERROR(__xludf.DUMMYFUNCTION("""COMPUTED_VALUE"""),"FIP Engineering")</f>
        <v>FIP Engineering</v>
      </c>
      <c r="M5336" s="6" t="str">
        <f>IFERROR(__xludf.DUMMYFUNCTION("""COMPUTED_VALUE"""),"Mochammad Fadhillah Hakim,")</f>
        <v>Mochammad Fadhillah Hakim,</v>
      </c>
      <c r="N5336" s="6" t="str">
        <f>IFERROR(__xludf.DUMMYFUNCTION("""COMPUTED_VALUE"""),"FIP Engineering")</f>
        <v>FIP Engineering</v>
      </c>
      <c r="O5336" s="6" t="str">
        <f>IFERROR(__xludf.DUMMYFUNCTION("""COMPUTED_VALUE"""),"FIP-DOM-000-11304-OS00001-INA-000000")</f>
        <v>FIP-DOM-000-11304-OS00001-INA-000000</v>
      </c>
      <c r="P5336" s="6" t="str">
        <f>IFERROR(__xludf.DUMMYFUNCTION("""COMPUTED_VALUE"""),"PO Open")</f>
        <v>PO Open</v>
      </c>
      <c r="Q5336" s="6" t="str">
        <f>IFERROR(__xludf.DUMMYFUNCTION("""COMPUTED_VALUE"""),"GL2608396")</f>
        <v>GL2608396</v>
      </c>
      <c r="R5336" s="57">
        <f>IFERROR(__xludf.DUMMYFUNCTION("""COMPUTED_VALUE"""),46217.0)</f>
        <v>46217</v>
      </c>
      <c r="S5336" s="57">
        <f>IFERROR(__xludf.DUMMYFUNCTION("""COMPUTED_VALUE"""),46223.0)</f>
        <v>46223</v>
      </c>
      <c r="T5336" s="57">
        <f>IFERROR(__xludf.DUMMYFUNCTION("""COMPUTED_VALUE"""),46285.0)</f>
        <v>46285</v>
      </c>
    </row>
    <row r="5337">
      <c r="A5337" s="6" t="str">
        <f>IFERROR(__xludf.DUMMYFUNCTION("""COMPUTED_VALUE"""),"121704428-4")</f>
        <v>121704428-4</v>
      </c>
      <c r="B5337" s="6" t="str">
        <f>IFERROR(__xludf.DUMMYFUNCTION("""COMPUTED_VALUE"""),"121704428 - APPROVED")</f>
        <v>121704428 - APPROVED</v>
      </c>
      <c r="C5337" s="6">
        <f>IFERROR(__xludf.DUMMYFUNCTION("""COMPUTED_VALUE"""),4.0)</f>
        <v>4</v>
      </c>
      <c r="D5337" s="6" t="str">
        <f>IFERROR(__xludf.DUMMYFUNCTION("""COMPUTED_VALUE"""),"P-15852-00")</f>
        <v>P-15852-00</v>
      </c>
      <c r="E5337" s="6" t="str">
        <f>IFERROR(__xludf.DUMMYFUNCTION("""COMPUTED_VALUE"""),"General - Ampelas P500; EAGLE; -; 1 pcs")</f>
        <v>General - Ampelas P500; EAGLE; -; 1 pcs</v>
      </c>
      <c r="F5337" s="6">
        <f>IFERROR(__xludf.DUMMYFUNCTION("""COMPUTED_VALUE"""),40.0)</f>
        <v>40</v>
      </c>
      <c r="G5337" s="6" t="str">
        <f>IFERROR(__xludf.DUMMYFUNCTION("""COMPUTED_VALUE"""),"Pieces")</f>
        <v>Pieces</v>
      </c>
      <c r="H5337" s="6" t="str">
        <f>IFERROR(__xludf.DUMMYFUNCTION("""COMPUTED_VALUE"""),"IDR")</f>
        <v>IDR</v>
      </c>
      <c r="I5337" s="6">
        <f>IFERROR(__xludf.DUMMYFUNCTION("""COMPUTED_VALUE"""),5000.0)</f>
        <v>5000</v>
      </c>
      <c r="J5337" s="6">
        <f>IFERROR(__xludf.DUMMYFUNCTION("""COMPUTED_VALUE"""),200000.0)</f>
        <v>200000</v>
      </c>
      <c r="K5337" s="57">
        <f>IFERROR(__xludf.DUMMYFUNCTION("""COMPUTED_VALUE"""),46248.0)</f>
        <v>46248</v>
      </c>
      <c r="L5337" s="6" t="str">
        <f>IFERROR(__xludf.DUMMYFUNCTION("""COMPUTED_VALUE"""),"FIP Engineering")</f>
        <v>FIP Engineering</v>
      </c>
      <c r="M5337" s="6" t="str">
        <f>IFERROR(__xludf.DUMMYFUNCTION("""COMPUTED_VALUE"""),"Mochammad Fadhillah Hakim,")</f>
        <v>Mochammad Fadhillah Hakim,</v>
      </c>
      <c r="N5337" s="6" t="str">
        <f>IFERROR(__xludf.DUMMYFUNCTION("""COMPUTED_VALUE"""),"FIP Engineering")</f>
        <v>FIP Engineering</v>
      </c>
      <c r="O5337" s="6" t="str">
        <f>IFERROR(__xludf.DUMMYFUNCTION("""COMPUTED_VALUE"""),"FIP-DOM-000-11304-OS00001-INA-000000")</f>
        <v>FIP-DOM-000-11304-OS00001-INA-000000</v>
      </c>
      <c r="P5337" s="6" t="str">
        <f>IFERROR(__xludf.DUMMYFUNCTION("""COMPUTED_VALUE"""),"PO Open")</f>
        <v>PO Open</v>
      </c>
      <c r="Q5337" s="6" t="str">
        <f>IFERROR(__xludf.DUMMYFUNCTION("""COMPUTED_VALUE"""),"GL2608396")</f>
        <v>GL2608396</v>
      </c>
      <c r="R5337" s="57">
        <f>IFERROR(__xludf.DUMMYFUNCTION("""COMPUTED_VALUE"""),46217.0)</f>
        <v>46217</v>
      </c>
      <c r="S5337" s="57">
        <f>IFERROR(__xludf.DUMMYFUNCTION("""COMPUTED_VALUE"""),46223.0)</f>
        <v>46223</v>
      </c>
      <c r="T5337" s="57">
        <f>IFERROR(__xludf.DUMMYFUNCTION("""COMPUTED_VALUE"""),46285.0)</f>
        <v>46285</v>
      </c>
    </row>
    <row r="5338">
      <c r="A5338" s="6" t="str">
        <f>IFERROR(__xludf.DUMMYFUNCTION("""COMPUTED_VALUE"""),"121704429-1")</f>
        <v>121704429-1</v>
      </c>
      <c r="B5338" s="6" t="str">
        <f>IFERROR(__xludf.DUMMYFUNCTION("""COMPUTED_VALUE"""),"121704429 - APPROVED")</f>
        <v>121704429 - APPROVED</v>
      </c>
      <c r="C5338" s="6">
        <f>IFERROR(__xludf.DUMMYFUNCTION("""COMPUTED_VALUE"""),1.0)</f>
        <v>1</v>
      </c>
      <c r="D5338" s="6" t="str">
        <f>IFERROR(__xludf.DUMMYFUNCTION("""COMPUTED_VALUE"""),"P-14457-00")</f>
        <v>P-14457-00</v>
      </c>
      <c r="E5338" s="6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F5338" s="6">
        <f>IFERROR(__xludf.DUMMYFUNCTION("""COMPUTED_VALUE"""),10.0)</f>
        <v>10</v>
      </c>
      <c r="G5338" s="6" t="str">
        <f>IFERROR(__xludf.DUMMYFUNCTION("""COMPUTED_VALUE"""),"Pieces")</f>
        <v>Pieces</v>
      </c>
      <c r="H5338" s="6" t="str">
        <f>IFERROR(__xludf.DUMMYFUNCTION("""COMPUTED_VALUE"""),"IDR")</f>
        <v>IDR</v>
      </c>
      <c r="I5338" s="6">
        <f>IFERROR(__xludf.DUMMYFUNCTION("""COMPUTED_VALUE"""),1800000.0)</f>
        <v>1800000</v>
      </c>
      <c r="J5338" s="6">
        <f>IFERROR(__xludf.DUMMYFUNCTION("""COMPUTED_VALUE"""),1.8E7)</f>
        <v>18000000</v>
      </c>
      <c r="K5338" s="57">
        <f>IFERROR(__xludf.DUMMYFUNCTION("""COMPUTED_VALUE"""),46248.0)</f>
        <v>46248</v>
      </c>
      <c r="L5338" s="6" t="str">
        <f>IFERROR(__xludf.DUMMYFUNCTION("""COMPUTED_VALUE"""),"FIP Engineering")</f>
        <v>FIP Engineering</v>
      </c>
      <c r="M5338" s="6" t="str">
        <f>IFERROR(__xludf.DUMMYFUNCTION("""COMPUTED_VALUE"""),"Mochammad Fadhillah Hakim,")</f>
        <v>Mochammad Fadhillah Hakim,</v>
      </c>
      <c r="N5338" s="6" t="str">
        <f>IFERROR(__xludf.DUMMYFUNCTION("""COMPUTED_VALUE"""),"FIP Engineering")</f>
        <v>FIP Engineering</v>
      </c>
      <c r="O5338" s="6" t="str">
        <f>IFERROR(__xludf.DUMMYFUNCTION("""COMPUTED_VALUE"""),"FIP-DOM-000-11304-OS00001-INA-000000")</f>
        <v>FIP-DOM-000-11304-OS00001-INA-000000</v>
      </c>
      <c r="P5338" s="6" t="str">
        <f>IFERROR(__xludf.DUMMYFUNCTION("""COMPUTED_VALUE"""),"PO Closed")</f>
        <v>PO Closed</v>
      </c>
      <c r="Q5338" s="6" t="str">
        <f>IFERROR(__xludf.DUMMYFUNCTION("""COMPUTED_VALUE"""),"GL2608390")</f>
        <v>GL2608390</v>
      </c>
      <c r="R5338" s="57">
        <f>IFERROR(__xludf.DUMMYFUNCTION("""COMPUTED_VALUE"""),46217.0)</f>
        <v>46217</v>
      </c>
      <c r="S5338" s="57">
        <f>IFERROR(__xludf.DUMMYFUNCTION("""COMPUTED_VALUE"""),46223.0)</f>
        <v>46223</v>
      </c>
      <c r="T5338" s="57">
        <f>IFERROR(__xludf.DUMMYFUNCTION("""COMPUTED_VALUE"""),46295.0)</f>
        <v>46295</v>
      </c>
    </row>
    <row r="5339">
      <c r="A5339" s="6" t="str">
        <f>IFERROR(__xludf.DUMMYFUNCTION("""COMPUTED_VALUE"""),"121704429-2")</f>
        <v>121704429-2</v>
      </c>
      <c r="B5339" s="6" t="str">
        <f>IFERROR(__xludf.DUMMYFUNCTION("""COMPUTED_VALUE"""),"121704429 - APPROVED")</f>
        <v>121704429 - APPROVED</v>
      </c>
      <c r="C5339" s="6">
        <f>IFERROR(__xludf.DUMMYFUNCTION("""COMPUTED_VALUE"""),2.0)</f>
        <v>2</v>
      </c>
      <c r="D5339" s="6" t="str">
        <f>IFERROR(__xludf.DUMMYFUNCTION("""COMPUTED_VALUE"""),"P-14453-00")</f>
        <v>P-14453-00</v>
      </c>
      <c r="E5339" s="6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F5339" s="6">
        <f>IFERROR(__xludf.DUMMYFUNCTION("""COMPUTED_VALUE"""),10.0)</f>
        <v>10</v>
      </c>
      <c r="G5339" s="6" t="str">
        <f>IFERROR(__xludf.DUMMYFUNCTION("""COMPUTED_VALUE"""),"Pieces")</f>
        <v>Pieces</v>
      </c>
      <c r="H5339" s="6" t="str">
        <f>IFERROR(__xludf.DUMMYFUNCTION("""COMPUTED_VALUE"""),"IDR")</f>
        <v>IDR</v>
      </c>
      <c r="I5339" s="6">
        <f>IFERROR(__xludf.DUMMYFUNCTION("""COMPUTED_VALUE"""),950000.0)</f>
        <v>950000</v>
      </c>
      <c r="J5339" s="6">
        <f>IFERROR(__xludf.DUMMYFUNCTION("""COMPUTED_VALUE"""),9500000.0)</f>
        <v>9500000</v>
      </c>
      <c r="K5339" s="57">
        <f>IFERROR(__xludf.DUMMYFUNCTION("""COMPUTED_VALUE"""),46248.0)</f>
        <v>46248</v>
      </c>
      <c r="L5339" s="6" t="str">
        <f>IFERROR(__xludf.DUMMYFUNCTION("""COMPUTED_VALUE"""),"FIP Engineering")</f>
        <v>FIP Engineering</v>
      </c>
      <c r="M5339" s="6" t="str">
        <f>IFERROR(__xludf.DUMMYFUNCTION("""COMPUTED_VALUE"""),"Mochammad Fadhillah Hakim,")</f>
        <v>Mochammad Fadhillah Hakim,</v>
      </c>
      <c r="N5339" s="6" t="str">
        <f>IFERROR(__xludf.DUMMYFUNCTION("""COMPUTED_VALUE"""),"FIP Engineering")</f>
        <v>FIP Engineering</v>
      </c>
      <c r="O5339" s="6" t="str">
        <f>IFERROR(__xludf.DUMMYFUNCTION("""COMPUTED_VALUE"""),"FIP-DOM-000-11304-OS00001-INA-000000")</f>
        <v>FIP-DOM-000-11304-OS00001-INA-000000</v>
      </c>
      <c r="P5339" s="6" t="str">
        <f>IFERROR(__xludf.DUMMYFUNCTION("""COMPUTED_VALUE"""),"PO Closed")</f>
        <v>PO Closed</v>
      </c>
      <c r="Q5339" s="6" t="str">
        <f>IFERROR(__xludf.DUMMYFUNCTION("""COMPUTED_VALUE"""),"GL2608390")</f>
        <v>GL2608390</v>
      </c>
      <c r="R5339" s="57">
        <f>IFERROR(__xludf.DUMMYFUNCTION("""COMPUTED_VALUE"""),46217.0)</f>
        <v>46217</v>
      </c>
      <c r="S5339" s="57">
        <f>IFERROR(__xludf.DUMMYFUNCTION("""COMPUTED_VALUE"""),46223.0)</f>
        <v>46223</v>
      </c>
      <c r="T5339" s="57">
        <f>IFERROR(__xludf.DUMMYFUNCTION("""COMPUTED_VALUE"""),46295.0)</f>
        <v>46295</v>
      </c>
    </row>
    <row r="5340">
      <c r="A5340" s="6" t="str">
        <f>IFERROR(__xludf.DUMMYFUNCTION("""COMPUTED_VALUE"""),"121704430-1")</f>
        <v>121704430-1</v>
      </c>
      <c r="B5340" s="6" t="str">
        <f>IFERROR(__xludf.DUMMYFUNCTION("""COMPUTED_VALUE"""),"121704430 - APPROVED")</f>
        <v>121704430 - APPROVED</v>
      </c>
      <c r="C5340" s="6">
        <f>IFERROR(__xludf.DUMMYFUNCTION("""COMPUTED_VALUE"""),1.0)</f>
        <v>1</v>
      </c>
      <c r="D5340" s="6" t="str">
        <f>IFERROR(__xludf.DUMMYFUNCTION("""COMPUTED_VALUE"""),"P-54610-00")</f>
        <v>P-54610-00</v>
      </c>
      <c r="E5340" s="6" t="str">
        <f>IFERROR(__xludf.DUMMYFUNCTION("""COMPUTED_VALUE"""),"Liebherr - Programmed Electronic for LGPv 6520; Liebherr; 9290451; 1 pc")</f>
        <v>Liebherr - Programmed Electronic for LGPv 6520; Liebherr; 9290451; 1 pc</v>
      </c>
      <c r="F5340" s="6">
        <f>IFERROR(__xludf.DUMMYFUNCTION("""COMPUTED_VALUE"""),1.0)</f>
        <v>1</v>
      </c>
      <c r="G5340" s="6" t="str">
        <f>IFERROR(__xludf.DUMMYFUNCTION("""COMPUTED_VALUE"""),"Pieces")</f>
        <v>Pieces</v>
      </c>
      <c r="H5340" s="6" t="str">
        <f>IFERROR(__xludf.DUMMYFUNCTION("""COMPUTED_VALUE"""),"IDR")</f>
        <v>IDR</v>
      </c>
      <c r="I5340" s="6">
        <f>IFERROR(__xludf.DUMMYFUNCTION("""COMPUTED_VALUE"""),2.83E7)</f>
        <v>28300000</v>
      </c>
      <c r="J5340" s="6">
        <f>IFERROR(__xludf.DUMMYFUNCTION("""COMPUTED_VALUE"""),2.83E7)</f>
        <v>28300000</v>
      </c>
      <c r="K5340" s="57">
        <f>IFERROR(__xludf.DUMMYFUNCTION("""COMPUTED_VALUE"""),46283.0)</f>
        <v>46283</v>
      </c>
      <c r="L5340" s="6" t="str">
        <f>IFERROR(__xludf.DUMMYFUNCTION("""COMPUTED_VALUE"""),"FIP Engineering")</f>
        <v>FIP Engineering</v>
      </c>
      <c r="M5340" s="6" t="str">
        <f>IFERROR(__xludf.DUMMYFUNCTION("""COMPUTED_VALUE"""),"Mochammad Fadhillah Hakim,")</f>
        <v>Mochammad Fadhillah Hakim,</v>
      </c>
      <c r="N5340" s="6" t="str">
        <f>IFERROR(__xludf.DUMMYFUNCTION("""COMPUTED_VALUE"""),"FIP Engineering")</f>
        <v>FIP Engineering</v>
      </c>
      <c r="O5340" s="6" t="str">
        <f>IFERROR(__xludf.DUMMYFUNCTION("""COMPUTED_VALUE"""),"FIP-DOM-000-11304-OS00001-INA-000000")</f>
        <v>FIP-DOM-000-11304-OS00001-INA-000000</v>
      </c>
      <c r="P5340" s="6" t="str">
        <f>IFERROR(__xludf.DUMMYFUNCTION("""COMPUTED_VALUE"""),"PR Open")</f>
        <v>PR Open</v>
      </c>
      <c r="Q5340" s="6"/>
      <c r="R5340" s="57">
        <f>IFERROR(__xludf.DUMMYFUNCTION("""COMPUTED_VALUE"""),46217.0)</f>
        <v>46217</v>
      </c>
      <c r="S5340" s="57">
        <f>IFERROR(__xludf.DUMMYFUNCTION("""COMPUTED_VALUE"""),46234.0)</f>
        <v>46234</v>
      </c>
      <c r="T5340" s="6"/>
    </row>
    <row r="5341">
      <c r="A5341" s="6" t="str">
        <f>IFERROR(__xludf.DUMMYFUNCTION("""COMPUTED_VALUE"""),"121704431-1")</f>
        <v>121704431-1</v>
      </c>
      <c r="B5341" s="6" t="str">
        <f>IFERROR(__xludf.DUMMYFUNCTION("""COMPUTED_VALUE"""),"121704431 - APPROVED")</f>
        <v>121704431 - APPROVED</v>
      </c>
      <c r="C5341" s="6">
        <f>IFERROR(__xludf.DUMMYFUNCTION("""COMPUTED_VALUE"""),1.0)</f>
        <v>1</v>
      </c>
      <c r="D5341" s="6" t="str">
        <f>IFERROR(__xludf.DUMMYFUNCTION("""COMPUTED_VALUE"""),"O-15619-00")</f>
        <v>O-15619-00</v>
      </c>
      <c r="E5341" s="6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F5341" s="6">
        <f>IFERROR(__xludf.DUMMYFUNCTION("""COMPUTED_VALUE"""),1.0)</f>
        <v>1</v>
      </c>
      <c r="G5341" s="6" t="str">
        <f>IFERROR(__xludf.DUMMYFUNCTION("""COMPUTED_VALUE"""),"Unit")</f>
        <v>Unit</v>
      </c>
      <c r="H5341" s="6" t="str">
        <f>IFERROR(__xludf.DUMMYFUNCTION("""COMPUTED_VALUE"""),"IDR")</f>
        <v>IDR</v>
      </c>
      <c r="I5341" s="6">
        <f>IFERROR(__xludf.DUMMYFUNCTION("""COMPUTED_VALUE"""),2390000.0)</f>
        <v>2390000</v>
      </c>
      <c r="J5341" s="6">
        <f>IFERROR(__xludf.DUMMYFUNCTION("""COMPUTED_VALUE"""),2390000.0)</f>
        <v>2390000</v>
      </c>
      <c r="K5341" s="57">
        <f>IFERROR(__xludf.DUMMYFUNCTION("""COMPUTED_VALUE"""),46283.0)</f>
        <v>46283</v>
      </c>
      <c r="L5341" s="6" t="str">
        <f>IFERROR(__xludf.DUMMYFUNCTION("""COMPUTED_VALUE"""),"FIP Engineering")</f>
        <v>FIP Engineering</v>
      </c>
      <c r="M5341" s="6" t="str">
        <f>IFERROR(__xludf.DUMMYFUNCTION("""COMPUTED_VALUE"""),"Mochammad Fadhillah Hakim,")</f>
        <v>Mochammad Fadhillah Hakim,</v>
      </c>
      <c r="N5341" s="6" t="str">
        <f>IFERROR(__xludf.DUMMYFUNCTION("""COMPUTED_VALUE"""),"FIP Engineering")</f>
        <v>FIP Engineering</v>
      </c>
      <c r="O5341" s="6" t="str">
        <f>IFERROR(__xludf.DUMMYFUNCTION("""COMPUTED_VALUE"""),"FIP-DOM-000-11304-OS00001-INA-000000")</f>
        <v>FIP-DOM-000-11304-OS00001-INA-000000</v>
      </c>
      <c r="P5341" s="6" t="str">
        <f>IFERROR(__xludf.DUMMYFUNCTION("""COMPUTED_VALUE"""),"PO Closed")</f>
        <v>PO Closed</v>
      </c>
      <c r="Q5341" s="6" t="str">
        <f>IFERROR(__xludf.DUMMYFUNCTION("""COMPUTED_VALUE"""),"GL2608385")</f>
        <v>GL2608385</v>
      </c>
      <c r="R5341" s="57">
        <f>IFERROR(__xludf.DUMMYFUNCTION("""COMPUTED_VALUE"""),46217.0)</f>
        <v>46217</v>
      </c>
      <c r="S5341" s="57">
        <f>IFERROR(__xludf.DUMMYFUNCTION("""COMPUTED_VALUE"""),46218.0)</f>
        <v>46218</v>
      </c>
      <c r="T5341" s="57">
        <f>IFERROR(__xludf.DUMMYFUNCTION("""COMPUTED_VALUE"""),46275.0)</f>
        <v>46275</v>
      </c>
    </row>
    <row r="5342">
      <c r="A5342" s="6" t="str">
        <f>IFERROR(__xludf.DUMMYFUNCTION("""COMPUTED_VALUE"""),"121704432-1")</f>
        <v>121704432-1</v>
      </c>
      <c r="B5342" s="6" t="str">
        <f>IFERROR(__xludf.DUMMYFUNCTION("""COMPUTED_VALUE"""),"121704432 - APPROVED")</f>
        <v>121704432 - APPROVED</v>
      </c>
      <c r="C5342" s="6">
        <f>IFERROR(__xludf.DUMMYFUNCTION("""COMPUTED_VALUE"""),1.0)</f>
        <v>1</v>
      </c>
      <c r="D5342" s="6" t="str">
        <f>IFERROR(__xludf.DUMMYFUNCTION("""COMPUTED_VALUE"""),"O-14364-00")</f>
        <v>O-14364-00</v>
      </c>
      <c r="E5342" s="6" t="str">
        <f>IFERROR(__xludf.DUMMYFUNCTION("""COMPUTED_VALUE"""),"Membrane Diaphragm Valve EPDM PTFE DN 50 p/n: 600 50M5E-221 Gemu; ; ;")</f>
        <v>Membrane Diaphragm Valve EPDM PTFE DN 50 p/n: 600 50M5E-221 Gemu; ; ;</v>
      </c>
      <c r="F5342" s="6">
        <f>IFERROR(__xludf.DUMMYFUNCTION("""COMPUTED_VALUE"""),1.0)</f>
        <v>1</v>
      </c>
      <c r="G5342" s="6" t="str">
        <f>IFERROR(__xludf.DUMMYFUNCTION("""COMPUTED_VALUE"""),"Pieces")</f>
        <v>Pieces</v>
      </c>
      <c r="H5342" s="6" t="str">
        <f>IFERROR(__xludf.DUMMYFUNCTION("""COMPUTED_VALUE"""),"IDR")</f>
        <v>IDR</v>
      </c>
      <c r="I5342" s="6">
        <f>IFERROR(__xludf.DUMMYFUNCTION("""COMPUTED_VALUE"""),4200000.0)</f>
        <v>4200000</v>
      </c>
      <c r="J5342" s="6">
        <f>IFERROR(__xludf.DUMMYFUNCTION("""COMPUTED_VALUE"""),4200000.0)</f>
        <v>4200000</v>
      </c>
      <c r="K5342" s="57">
        <f>IFERROR(__xludf.DUMMYFUNCTION("""COMPUTED_VALUE"""),46248.0)</f>
        <v>46248</v>
      </c>
      <c r="L5342" s="6" t="str">
        <f>IFERROR(__xludf.DUMMYFUNCTION("""COMPUTED_VALUE"""),"FIP Engineering")</f>
        <v>FIP Engineering</v>
      </c>
      <c r="M5342" s="6" t="str">
        <f>IFERROR(__xludf.DUMMYFUNCTION("""COMPUTED_VALUE"""),"Mochammad Fadhillah Hakim,")</f>
        <v>Mochammad Fadhillah Hakim,</v>
      </c>
      <c r="N5342" s="6" t="str">
        <f>IFERROR(__xludf.DUMMYFUNCTION("""COMPUTED_VALUE"""),"FIP Engineering")</f>
        <v>FIP Engineering</v>
      </c>
      <c r="O5342" s="6" t="str">
        <f>IFERROR(__xludf.DUMMYFUNCTION("""COMPUTED_VALUE"""),"FIP-DOM-000-11304-OS00001-INA-000000")</f>
        <v>FIP-DOM-000-11304-OS00001-INA-000000</v>
      </c>
      <c r="P5342" s="6" t="str">
        <f>IFERROR(__xludf.DUMMYFUNCTION("""COMPUTED_VALUE"""),"PO Closed")</f>
        <v>PO Closed</v>
      </c>
      <c r="Q5342" s="6" t="str">
        <f>IFERROR(__xludf.DUMMYFUNCTION("""COMPUTED_VALUE"""),"GL2608386")</f>
        <v>GL2608386</v>
      </c>
      <c r="R5342" s="57">
        <f>IFERROR(__xludf.DUMMYFUNCTION("""COMPUTED_VALUE"""),46217.0)</f>
        <v>46217</v>
      </c>
      <c r="S5342" s="57">
        <f>IFERROR(__xludf.DUMMYFUNCTION("""COMPUTED_VALUE"""),46218.0)</f>
        <v>46218</v>
      </c>
      <c r="T5342" s="57">
        <f>IFERROR(__xludf.DUMMYFUNCTION("""COMPUTED_VALUE"""),46254.0)</f>
        <v>46254</v>
      </c>
    </row>
    <row r="5343">
      <c r="A5343" s="6" t="str">
        <f>IFERROR(__xludf.DUMMYFUNCTION("""COMPUTED_VALUE"""),"121704433-1")</f>
        <v>121704433-1</v>
      </c>
      <c r="B5343" s="6" t="str">
        <f>IFERROR(__xludf.DUMMYFUNCTION("""COMPUTED_VALUE"""),"121704433 - APPROVED")</f>
        <v>121704433 - APPROVED</v>
      </c>
      <c r="C5343" s="6">
        <f>IFERROR(__xludf.DUMMYFUNCTION("""COMPUTED_VALUE"""),1.0)</f>
        <v>1</v>
      </c>
      <c r="D5343" s="6" t="str">
        <f>IFERROR(__xludf.DUMMYFUNCTION("""COMPUTED_VALUE"""),"P-11968-00")</f>
        <v>P-11968-00</v>
      </c>
      <c r="E5343" s="6" t="str">
        <f>IFERROR(__xludf.DUMMYFUNCTION("""COMPUTED_VALUE"""),"Berusynt FGH Spray H1 - Bechem")</f>
        <v>Berusynt FGH Spray H1 - Bechem</v>
      </c>
      <c r="F5343" s="6">
        <f>IFERROR(__xludf.DUMMYFUNCTION("""COMPUTED_VALUE"""),5.0)</f>
        <v>5</v>
      </c>
      <c r="G5343" s="6" t="str">
        <f>IFERROR(__xludf.DUMMYFUNCTION("""COMPUTED_VALUE"""),"Pieces")</f>
        <v>Pieces</v>
      </c>
      <c r="H5343" s="6" t="str">
        <f>IFERROR(__xludf.DUMMYFUNCTION("""COMPUTED_VALUE"""),"IDR")</f>
        <v>IDR</v>
      </c>
      <c r="I5343" s="6">
        <f>IFERROR(__xludf.DUMMYFUNCTION("""COMPUTED_VALUE"""),380000.0)</f>
        <v>380000</v>
      </c>
      <c r="J5343" s="6">
        <f>IFERROR(__xludf.DUMMYFUNCTION("""COMPUTED_VALUE"""),1900000.0)</f>
        <v>1900000</v>
      </c>
      <c r="K5343" s="57">
        <f>IFERROR(__xludf.DUMMYFUNCTION("""COMPUTED_VALUE"""),46248.0)</f>
        <v>46248</v>
      </c>
      <c r="L5343" s="6" t="str">
        <f>IFERROR(__xludf.DUMMYFUNCTION("""COMPUTED_VALUE"""),"FIP Engineering")</f>
        <v>FIP Engineering</v>
      </c>
      <c r="M5343" s="6" t="str">
        <f>IFERROR(__xludf.DUMMYFUNCTION("""COMPUTED_VALUE"""),"Mochammad Fadhillah Hakim,")</f>
        <v>Mochammad Fadhillah Hakim,</v>
      </c>
      <c r="N5343" s="6" t="str">
        <f>IFERROR(__xludf.DUMMYFUNCTION("""COMPUTED_VALUE"""),"FIP Engineering")</f>
        <v>FIP Engineering</v>
      </c>
      <c r="O5343" s="6" t="str">
        <f>IFERROR(__xludf.DUMMYFUNCTION("""COMPUTED_VALUE"""),"FIP-DOM-000-11304-OS00001-INA-000000")</f>
        <v>FIP-DOM-000-11304-OS00001-INA-000000</v>
      </c>
      <c r="P5343" s="6" t="str">
        <f>IFERROR(__xludf.DUMMYFUNCTION("""COMPUTED_VALUE"""),"PO Closed")</f>
        <v>PO Closed</v>
      </c>
      <c r="Q5343" s="6" t="str">
        <f>IFERROR(__xludf.DUMMYFUNCTION("""COMPUTED_VALUE"""),"GL2607384")</f>
        <v>GL2607384</v>
      </c>
      <c r="R5343" s="57">
        <f>IFERROR(__xludf.DUMMYFUNCTION("""COMPUTED_VALUE"""),46217.0)</f>
        <v>46217</v>
      </c>
      <c r="S5343" s="57">
        <f>IFERROR(__xludf.DUMMYFUNCTION("""COMPUTED_VALUE"""),46218.0)</f>
        <v>46218</v>
      </c>
      <c r="T5343" s="57">
        <f>IFERROR(__xludf.DUMMYFUNCTION("""COMPUTED_VALUE"""),46264.0)</f>
        <v>46264</v>
      </c>
    </row>
    <row r="5344">
      <c r="A5344" s="6" t="str">
        <f>IFERROR(__xludf.DUMMYFUNCTION("""COMPUTED_VALUE"""),"121704434-1")</f>
        <v>121704434-1</v>
      </c>
      <c r="B5344" s="6" t="str">
        <f>IFERROR(__xludf.DUMMYFUNCTION("""COMPUTED_VALUE"""),"121704434 - APPROVED")</f>
        <v>121704434 - APPROVED</v>
      </c>
      <c r="C5344" s="6">
        <f>IFERROR(__xludf.DUMMYFUNCTION("""COMPUTED_VALUE"""),1.0)</f>
        <v>1</v>
      </c>
      <c r="D5344" s="6" t="str">
        <f>IFERROR(__xludf.DUMMYFUNCTION("""COMPUTED_VALUE"""),"O-53414-00")</f>
        <v>O-53414-00</v>
      </c>
      <c r="E5344" s="6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F5344" s="6">
        <f>IFERROR(__xludf.DUMMYFUNCTION("""COMPUTED_VALUE"""),3.0)</f>
        <v>3</v>
      </c>
      <c r="G5344" s="6" t="str">
        <f>IFERROR(__xludf.DUMMYFUNCTION("""COMPUTED_VALUE"""),"Pieces")</f>
        <v>Pieces</v>
      </c>
      <c r="H5344" s="6" t="str">
        <f>IFERROR(__xludf.DUMMYFUNCTION("""COMPUTED_VALUE"""),"IDR")</f>
        <v>IDR</v>
      </c>
      <c r="I5344" s="6">
        <f>IFERROR(__xludf.DUMMYFUNCTION("""COMPUTED_VALUE"""),3254499.0)</f>
        <v>3254499</v>
      </c>
      <c r="J5344" s="6">
        <f>IFERROR(__xludf.DUMMYFUNCTION("""COMPUTED_VALUE"""),9763497.0)</f>
        <v>9763497</v>
      </c>
      <c r="K5344" s="57">
        <f>IFERROR(__xludf.DUMMYFUNCTION("""COMPUTED_VALUE"""),46311.0)</f>
        <v>46311</v>
      </c>
      <c r="L5344" s="6" t="str">
        <f>IFERROR(__xludf.DUMMYFUNCTION("""COMPUTED_VALUE"""),"FIP Engineering")</f>
        <v>FIP Engineering</v>
      </c>
      <c r="M5344" s="6" t="str">
        <f>IFERROR(__xludf.DUMMYFUNCTION("""COMPUTED_VALUE"""),"Mochammad Fadhillah Hakim,")</f>
        <v>Mochammad Fadhillah Hakim,</v>
      </c>
      <c r="N5344" s="6" t="str">
        <f>IFERROR(__xludf.DUMMYFUNCTION("""COMPUTED_VALUE"""),"FIP Engineering")</f>
        <v>FIP Engineering</v>
      </c>
      <c r="O5344" s="6" t="str">
        <f>IFERROR(__xludf.DUMMYFUNCTION("""COMPUTED_VALUE"""),"FIP-DOM-000-11304-OS00001-INA-000000")</f>
        <v>FIP-DOM-000-11304-OS00001-INA-000000</v>
      </c>
      <c r="P5344" s="6" t="str">
        <f>IFERROR(__xludf.DUMMYFUNCTION("""COMPUTED_VALUE"""),"PO Open")</f>
        <v>PO Open</v>
      </c>
      <c r="Q5344" s="6" t="str">
        <f>IFERROR(__xludf.DUMMYFUNCTION("""COMPUTED_VALUE"""),"GL2608005")</f>
        <v>GL2608005</v>
      </c>
      <c r="R5344" s="57">
        <f>IFERROR(__xludf.DUMMYFUNCTION("""COMPUTED_VALUE"""),46217.0)</f>
        <v>46217</v>
      </c>
      <c r="S5344" s="57">
        <f>IFERROR(__xludf.DUMMYFUNCTION("""COMPUTED_VALUE"""),46218.0)</f>
        <v>46218</v>
      </c>
      <c r="T5344" s="57">
        <f>IFERROR(__xludf.DUMMYFUNCTION("""COMPUTED_VALUE"""),46311.0)</f>
        <v>46311</v>
      </c>
    </row>
    <row r="5345">
      <c r="A5345" s="6" t="str">
        <f>IFERROR(__xludf.DUMMYFUNCTION("""COMPUTED_VALUE"""),"121704435-1")</f>
        <v>121704435-1</v>
      </c>
      <c r="B5345" s="6" t="str">
        <f>IFERROR(__xludf.DUMMYFUNCTION("""COMPUTED_VALUE"""),"121704435 - APPROVED")</f>
        <v>121704435 - APPROVED</v>
      </c>
      <c r="C5345" s="6">
        <f>IFERROR(__xludf.DUMMYFUNCTION("""COMPUTED_VALUE"""),1.0)</f>
        <v>1</v>
      </c>
      <c r="D5345" s="6" t="str">
        <f>IFERROR(__xludf.DUMMYFUNCTION("""COMPUTED_VALUE"""),"P-54652-00")</f>
        <v>P-54652-00</v>
      </c>
      <c r="E5345" s="6" t="str">
        <f>IFERROR(__xludf.DUMMYFUNCTION("""COMPUTED_VALUE"""),"General - Power Supply Switching 24VDC; Autonics; SPA-075-24; 1 pc")</f>
        <v>General - Power Supply Switching 24VDC; Autonics; SPA-075-24; 1 pc</v>
      </c>
      <c r="F5345" s="6">
        <f>IFERROR(__xludf.DUMMYFUNCTION("""COMPUTED_VALUE"""),1.0)</f>
        <v>1</v>
      </c>
      <c r="G5345" s="6" t="str">
        <f>IFERROR(__xludf.DUMMYFUNCTION("""COMPUTED_VALUE"""),"Pieces")</f>
        <v>Pieces</v>
      </c>
      <c r="H5345" s="6" t="str">
        <f>IFERROR(__xludf.DUMMYFUNCTION("""COMPUTED_VALUE"""),"IDR")</f>
        <v>IDR</v>
      </c>
      <c r="I5345" s="6">
        <f>IFERROR(__xludf.DUMMYFUNCTION("""COMPUTED_VALUE"""),922300.0)</f>
        <v>922300</v>
      </c>
      <c r="J5345" s="6">
        <f>IFERROR(__xludf.DUMMYFUNCTION("""COMPUTED_VALUE"""),922300.0)</f>
        <v>922300</v>
      </c>
      <c r="K5345" s="57">
        <f>IFERROR(__xludf.DUMMYFUNCTION("""COMPUTED_VALUE"""),46248.0)</f>
        <v>46248</v>
      </c>
      <c r="L5345" s="6" t="str">
        <f>IFERROR(__xludf.DUMMYFUNCTION("""COMPUTED_VALUE"""),"FIP Engineering")</f>
        <v>FIP Engineering</v>
      </c>
      <c r="M5345" s="6" t="str">
        <f>IFERROR(__xludf.DUMMYFUNCTION("""COMPUTED_VALUE"""),"Mochammad Fadhillah Hakim,")</f>
        <v>Mochammad Fadhillah Hakim,</v>
      </c>
      <c r="N5345" s="6" t="str">
        <f>IFERROR(__xludf.DUMMYFUNCTION("""COMPUTED_VALUE"""),"FIP Engineering")</f>
        <v>FIP Engineering</v>
      </c>
      <c r="O5345" s="6" t="str">
        <f>IFERROR(__xludf.DUMMYFUNCTION("""COMPUTED_VALUE"""),"FIP-DOM-000-11304-OS00001-INA-000000")</f>
        <v>FIP-DOM-000-11304-OS00001-INA-000000</v>
      </c>
      <c r="P5345" s="6" t="str">
        <f>IFERROR(__xludf.DUMMYFUNCTION("""COMPUTED_VALUE"""),"PO Closed")</f>
        <v>PO Closed</v>
      </c>
      <c r="Q5345" s="6" t="str">
        <f>IFERROR(__xludf.DUMMYFUNCTION("""COMPUTED_VALUE"""),"GL2607052")</f>
        <v>GL2607052</v>
      </c>
      <c r="R5345" s="57">
        <f>IFERROR(__xludf.DUMMYFUNCTION("""COMPUTED_VALUE"""),46217.0)</f>
        <v>46217</v>
      </c>
      <c r="S5345" s="57">
        <f>IFERROR(__xludf.DUMMYFUNCTION("""COMPUTED_VALUE"""),46218.0)</f>
        <v>46218</v>
      </c>
      <c r="T5345" s="57">
        <f>IFERROR(__xludf.DUMMYFUNCTION("""COMPUTED_VALUE"""),46275.0)</f>
        <v>46275</v>
      </c>
    </row>
    <row r="5346">
      <c r="A5346" s="6" t="str">
        <f>IFERROR(__xludf.DUMMYFUNCTION("""COMPUTED_VALUE"""),"121704445-1")</f>
        <v>121704445-1</v>
      </c>
      <c r="B5346" s="6" t="str">
        <f>IFERROR(__xludf.DUMMYFUNCTION("""COMPUTED_VALUE"""),"121704445 - APPROVED")</f>
        <v>121704445 - APPROVED</v>
      </c>
      <c r="C5346" s="6">
        <f>IFERROR(__xludf.DUMMYFUNCTION("""COMPUTED_VALUE"""),1.0)</f>
        <v>1</v>
      </c>
      <c r="D5346" s="6" t="str">
        <f>IFERROR(__xludf.DUMMYFUNCTION("""COMPUTED_VALUE"""),"R-20024-00")</f>
        <v>R-20024-00</v>
      </c>
      <c r="E5346" s="6" t="str">
        <f>IFERROR(__xludf.DUMMYFUNCTION("""COMPUTED_VALUE"""),"Machine Equipment; ; ; - Kaca Tempered Ukuran 2530 x 580 x 10 mm - Kaca Tempered Ukuran 2530 x 580 x 10 mm")</f>
        <v>Machine Equipment; ; ; - Kaca Tempered Ukuran 2530 x 580 x 10 mm - Kaca Tempered Ukuran 2530 x 580 x 10 mm</v>
      </c>
      <c r="F5346" s="6">
        <f>IFERROR(__xludf.DUMMYFUNCTION("""COMPUTED_VALUE"""),4.0)</f>
        <v>4</v>
      </c>
      <c r="G5346" s="6" t="str">
        <f>IFERROR(__xludf.DUMMYFUNCTION("""COMPUTED_VALUE"""),"Unit")</f>
        <v>Unit</v>
      </c>
      <c r="H5346" s="6" t="str">
        <f>IFERROR(__xludf.DUMMYFUNCTION("""COMPUTED_VALUE"""),"IDR")</f>
        <v>IDR</v>
      </c>
      <c r="I5346" s="6">
        <f>IFERROR(__xludf.DUMMYFUNCTION("""COMPUTED_VALUE"""),2500000.0)</f>
        <v>2500000</v>
      </c>
      <c r="J5346" s="6">
        <f>IFERROR(__xludf.DUMMYFUNCTION("""COMPUTED_VALUE"""),1.0E7)</f>
        <v>10000000</v>
      </c>
      <c r="K5346" s="57">
        <f>IFERROR(__xludf.DUMMYFUNCTION("""COMPUTED_VALUE"""),46255.0)</f>
        <v>46255</v>
      </c>
      <c r="L5346" s="6" t="str">
        <f>IFERROR(__xludf.DUMMYFUNCTION("""COMPUTED_VALUE"""),"FIP General")</f>
        <v>FIP General</v>
      </c>
      <c r="M5346" s="6" t="str">
        <f>IFERROR(__xludf.DUMMYFUNCTION("""COMPUTED_VALUE"""),"Mochammad Fadhillah Hakim,")</f>
        <v>Mochammad Fadhillah Hakim,</v>
      </c>
      <c r="N5346" s="6" t="str">
        <f>IFERROR(__xludf.DUMMYFUNCTION("""COMPUTED_VALUE"""),"FIP Engineering")</f>
        <v>FIP Engineering</v>
      </c>
      <c r="O5346" s="6" t="str">
        <f>IFERROR(__xludf.DUMMYFUNCTION("""COMPUTED_VALUE"""),"FIP-DOM-PRJ-13404-MC26022-INA-000000")</f>
        <v>FIP-DOM-PRJ-13404-MC26022-INA-000000</v>
      </c>
      <c r="P5346" s="6" t="str">
        <f>IFERROR(__xludf.DUMMYFUNCTION("""COMPUTED_VALUE"""),"PO Open")</f>
        <v>PO Open</v>
      </c>
      <c r="Q5346" s="6" t="str">
        <f>IFERROR(__xludf.DUMMYFUNCTION("""COMPUTED_VALUE"""),"GL2608021")</f>
        <v>GL2608021</v>
      </c>
      <c r="R5346" s="57">
        <f>IFERROR(__xludf.DUMMYFUNCTION("""COMPUTED_VALUE"""),46220.0)</f>
        <v>46220</v>
      </c>
      <c r="S5346" s="57">
        <f>IFERROR(__xludf.DUMMYFUNCTION("""COMPUTED_VALUE"""),46220.0)</f>
        <v>46220</v>
      </c>
      <c r="T5346" s="57">
        <f>IFERROR(__xludf.DUMMYFUNCTION("""COMPUTED_VALUE"""),46295.0)</f>
        <v>46295</v>
      </c>
    </row>
    <row r="5347">
      <c r="A5347" s="6" t="str">
        <f>IFERROR(__xludf.DUMMYFUNCTION("""COMPUTED_VALUE"""),"121704445-2")</f>
        <v>121704445-2</v>
      </c>
      <c r="B5347" s="6" t="str">
        <f>IFERROR(__xludf.DUMMYFUNCTION("""COMPUTED_VALUE"""),"121704445 - APPROVED")</f>
        <v>121704445 - APPROVED</v>
      </c>
      <c r="C5347" s="6">
        <f>IFERROR(__xludf.DUMMYFUNCTION("""COMPUTED_VALUE"""),2.0)</f>
        <v>2</v>
      </c>
      <c r="D5347" s="6" t="str">
        <f>IFERROR(__xludf.DUMMYFUNCTION("""COMPUTED_VALUE"""),"R-20024-00")</f>
        <v>R-20024-00</v>
      </c>
      <c r="E5347" s="6" t="str">
        <f>IFERROR(__xludf.DUMMYFUNCTION("""COMPUTED_VALUE"""),"Machine Equipment; ; ; - NYA 10mm Supreme Warna Hijau Kuning - NYA 10mm Supreme Warna Hijau Kuning")</f>
        <v>Machine Equipment; ; ; - NYA 10mm Supreme Warna Hijau Kuning - NYA 10mm Supreme Warna Hijau Kuning</v>
      </c>
      <c r="F5347" s="6">
        <f>IFERROR(__xludf.DUMMYFUNCTION("""COMPUTED_VALUE"""),100.0)</f>
        <v>100</v>
      </c>
      <c r="G5347" s="6" t="str">
        <f>IFERROR(__xludf.DUMMYFUNCTION("""COMPUTED_VALUE"""),"Unit")</f>
        <v>Unit</v>
      </c>
      <c r="H5347" s="6" t="str">
        <f>IFERROR(__xludf.DUMMYFUNCTION("""COMPUTED_VALUE"""),"IDR")</f>
        <v>IDR</v>
      </c>
      <c r="I5347" s="6">
        <f>IFERROR(__xludf.DUMMYFUNCTION("""COMPUTED_VALUE"""),42000.0)</f>
        <v>42000</v>
      </c>
      <c r="J5347" s="6">
        <f>IFERROR(__xludf.DUMMYFUNCTION("""COMPUTED_VALUE"""),4200000.0)</f>
        <v>4200000</v>
      </c>
      <c r="K5347" s="57">
        <f>IFERROR(__xludf.DUMMYFUNCTION("""COMPUTED_VALUE"""),46255.0)</f>
        <v>46255</v>
      </c>
      <c r="L5347" s="6" t="str">
        <f>IFERROR(__xludf.DUMMYFUNCTION("""COMPUTED_VALUE"""),"FIP General")</f>
        <v>FIP General</v>
      </c>
      <c r="M5347" s="6" t="str">
        <f>IFERROR(__xludf.DUMMYFUNCTION("""COMPUTED_VALUE"""),"Mochammad Fadhillah Hakim,")</f>
        <v>Mochammad Fadhillah Hakim,</v>
      </c>
      <c r="N5347" s="6" t="str">
        <f>IFERROR(__xludf.DUMMYFUNCTION("""COMPUTED_VALUE"""),"FIP Engineering")</f>
        <v>FIP Engineering</v>
      </c>
      <c r="O5347" s="6" t="str">
        <f>IFERROR(__xludf.DUMMYFUNCTION("""COMPUTED_VALUE"""),"FIP-DOM-PRJ-13404-MC26022-INA-000000")</f>
        <v>FIP-DOM-PRJ-13404-MC26022-INA-000000</v>
      </c>
      <c r="P5347" s="6" t="str">
        <f>IFERROR(__xludf.DUMMYFUNCTION("""COMPUTED_VALUE"""),"PO Open")</f>
        <v>PO Open</v>
      </c>
      <c r="Q5347" s="6" t="str">
        <f>IFERROR(__xludf.DUMMYFUNCTION("""COMPUTED_VALUE"""),"GL2608021")</f>
        <v>GL2608021</v>
      </c>
      <c r="R5347" s="57">
        <f>IFERROR(__xludf.DUMMYFUNCTION("""COMPUTED_VALUE"""),46220.0)</f>
        <v>46220</v>
      </c>
      <c r="S5347" s="57">
        <f>IFERROR(__xludf.DUMMYFUNCTION("""COMPUTED_VALUE"""),46220.0)</f>
        <v>46220</v>
      </c>
      <c r="T5347" s="57">
        <f>IFERROR(__xludf.DUMMYFUNCTION("""COMPUTED_VALUE"""),46295.0)</f>
        <v>46295</v>
      </c>
    </row>
    <row r="5348">
      <c r="A5348" s="6" t="str">
        <f>IFERROR(__xludf.DUMMYFUNCTION("""COMPUTED_VALUE"""),"121704445-3")</f>
        <v>121704445-3</v>
      </c>
      <c r="B5348" s="6" t="str">
        <f>IFERROR(__xludf.DUMMYFUNCTION("""COMPUTED_VALUE"""),"121704445 - APPROVED")</f>
        <v>121704445 - APPROVED</v>
      </c>
      <c r="C5348" s="6">
        <f>IFERROR(__xludf.DUMMYFUNCTION("""COMPUTED_VALUE"""),3.0)</f>
        <v>3</v>
      </c>
      <c r="D5348" s="6" t="str">
        <f>IFERROR(__xludf.DUMMYFUNCTION("""COMPUTED_VALUE"""),"R-20024-00")</f>
        <v>R-20024-00</v>
      </c>
      <c r="E5348" s="6" t="str">
        <f>IFERROR(__xludf.DUMMYFUNCTION("""COMPUTED_VALUE"""),"Machine Equipment; ; ; - NYY 5x10mm Supreme - NYY 5x10mm Supreme")</f>
        <v>Machine Equipment; ; ; - NYY 5x10mm Supreme - NYY 5x10mm Supreme</v>
      </c>
      <c r="F5348" s="6">
        <f>IFERROR(__xludf.DUMMYFUNCTION("""COMPUTED_VALUE"""),50.0)</f>
        <v>50</v>
      </c>
      <c r="G5348" s="6" t="str">
        <f>IFERROR(__xludf.DUMMYFUNCTION("""COMPUTED_VALUE"""),"Unit")</f>
        <v>Unit</v>
      </c>
      <c r="H5348" s="6" t="str">
        <f>IFERROR(__xludf.DUMMYFUNCTION("""COMPUTED_VALUE"""),"IDR")</f>
        <v>IDR</v>
      </c>
      <c r="I5348" s="6">
        <f>IFERROR(__xludf.DUMMYFUNCTION("""COMPUTED_VALUE"""),265000.0)</f>
        <v>265000</v>
      </c>
      <c r="J5348" s="6">
        <f>IFERROR(__xludf.DUMMYFUNCTION("""COMPUTED_VALUE"""),1.325E7)</f>
        <v>13250000</v>
      </c>
      <c r="K5348" s="57">
        <f>IFERROR(__xludf.DUMMYFUNCTION("""COMPUTED_VALUE"""),46255.0)</f>
        <v>46255</v>
      </c>
      <c r="L5348" s="6" t="str">
        <f>IFERROR(__xludf.DUMMYFUNCTION("""COMPUTED_VALUE"""),"FIP General")</f>
        <v>FIP General</v>
      </c>
      <c r="M5348" s="6" t="str">
        <f>IFERROR(__xludf.DUMMYFUNCTION("""COMPUTED_VALUE"""),"Mochammad Fadhillah Hakim,")</f>
        <v>Mochammad Fadhillah Hakim,</v>
      </c>
      <c r="N5348" s="6" t="str">
        <f>IFERROR(__xludf.DUMMYFUNCTION("""COMPUTED_VALUE"""),"FIP Engineering")</f>
        <v>FIP Engineering</v>
      </c>
      <c r="O5348" s="6" t="str">
        <f>IFERROR(__xludf.DUMMYFUNCTION("""COMPUTED_VALUE"""),"FIP-DOM-PRJ-13404-MC26022-INA-000000")</f>
        <v>FIP-DOM-PRJ-13404-MC26022-INA-000000</v>
      </c>
      <c r="P5348" s="6" t="str">
        <f>IFERROR(__xludf.DUMMYFUNCTION("""COMPUTED_VALUE"""),"PO Closed")</f>
        <v>PO Closed</v>
      </c>
      <c r="Q5348" s="6" t="str">
        <f>IFERROR(__xludf.DUMMYFUNCTION("""COMPUTED_VALUE"""),"GL2608021")</f>
        <v>GL2608021</v>
      </c>
      <c r="R5348" s="57">
        <f>IFERROR(__xludf.DUMMYFUNCTION("""COMPUTED_VALUE"""),46220.0)</f>
        <v>46220</v>
      </c>
      <c r="S5348" s="57">
        <f>IFERROR(__xludf.DUMMYFUNCTION("""COMPUTED_VALUE"""),46220.0)</f>
        <v>46220</v>
      </c>
      <c r="T5348" s="57">
        <f>IFERROR(__xludf.DUMMYFUNCTION("""COMPUTED_VALUE"""),46264.0)</f>
        <v>46264</v>
      </c>
    </row>
    <row r="5349">
      <c r="A5349" s="6" t="str">
        <f>IFERROR(__xludf.DUMMYFUNCTION("""COMPUTED_VALUE"""),"121704445-4")</f>
        <v>121704445-4</v>
      </c>
      <c r="B5349" s="6" t="str">
        <f>IFERROR(__xludf.DUMMYFUNCTION("""COMPUTED_VALUE"""),"121704445 - APPROVED")</f>
        <v>121704445 - APPROVED</v>
      </c>
      <c r="C5349" s="6">
        <f>IFERROR(__xludf.DUMMYFUNCTION("""COMPUTED_VALUE"""),4.0)</f>
        <v>4</v>
      </c>
      <c r="D5349" s="6" t="str">
        <f>IFERROR(__xludf.DUMMYFUNCTION("""COMPUTED_VALUE"""),"R-20024-00")</f>
        <v>R-20024-00</v>
      </c>
      <c r="E5349" s="6" t="str">
        <f>IFERROR(__xludf.DUMMYFUNCTION("""COMPUTED_VALUE"""),"Machine Equipment; ; ; - Flexible Conduit 1 1/2 Inch Roll 25m - Flexible Conduit 1 1/2 Inch Roll 25m")</f>
        <v>Machine Equipment; ; ; - Flexible Conduit 1 1/2 Inch Roll 25m - Flexible Conduit 1 1/2 Inch Roll 25m</v>
      </c>
      <c r="F5349" s="6">
        <f>IFERROR(__xludf.DUMMYFUNCTION("""COMPUTED_VALUE"""),2.0)</f>
        <v>2</v>
      </c>
      <c r="G5349" s="6" t="str">
        <f>IFERROR(__xludf.DUMMYFUNCTION("""COMPUTED_VALUE"""),"Unit")</f>
        <v>Unit</v>
      </c>
      <c r="H5349" s="6" t="str">
        <f>IFERROR(__xludf.DUMMYFUNCTION("""COMPUTED_VALUE"""),"IDR")</f>
        <v>IDR</v>
      </c>
      <c r="I5349" s="6">
        <f>IFERROR(__xludf.DUMMYFUNCTION("""COMPUTED_VALUE"""),950000.0)</f>
        <v>950000</v>
      </c>
      <c r="J5349" s="6">
        <f>IFERROR(__xludf.DUMMYFUNCTION("""COMPUTED_VALUE"""),1900000.0)</f>
        <v>1900000</v>
      </c>
      <c r="K5349" s="57">
        <f>IFERROR(__xludf.DUMMYFUNCTION("""COMPUTED_VALUE"""),46255.0)</f>
        <v>46255</v>
      </c>
      <c r="L5349" s="6" t="str">
        <f>IFERROR(__xludf.DUMMYFUNCTION("""COMPUTED_VALUE"""),"FIP General")</f>
        <v>FIP General</v>
      </c>
      <c r="M5349" s="6" t="str">
        <f>IFERROR(__xludf.DUMMYFUNCTION("""COMPUTED_VALUE"""),"Mochammad Fadhillah Hakim,")</f>
        <v>Mochammad Fadhillah Hakim,</v>
      </c>
      <c r="N5349" s="6" t="str">
        <f>IFERROR(__xludf.DUMMYFUNCTION("""COMPUTED_VALUE"""),"FIP Engineering")</f>
        <v>FIP Engineering</v>
      </c>
      <c r="O5349" s="6" t="str">
        <f>IFERROR(__xludf.DUMMYFUNCTION("""COMPUTED_VALUE"""),"FIP-DOM-PRJ-13404-MC26022-INA-000000")</f>
        <v>FIP-DOM-PRJ-13404-MC26022-INA-000000</v>
      </c>
      <c r="P5349" s="6" t="str">
        <f>IFERROR(__xludf.DUMMYFUNCTION("""COMPUTED_VALUE"""),"PO Closed")</f>
        <v>PO Closed</v>
      </c>
      <c r="Q5349" s="6" t="str">
        <f>IFERROR(__xludf.DUMMYFUNCTION("""COMPUTED_VALUE"""),"GL2608021")</f>
        <v>GL2608021</v>
      </c>
      <c r="R5349" s="57">
        <f>IFERROR(__xludf.DUMMYFUNCTION("""COMPUTED_VALUE"""),46220.0)</f>
        <v>46220</v>
      </c>
      <c r="S5349" s="57">
        <f>IFERROR(__xludf.DUMMYFUNCTION("""COMPUTED_VALUE"""),46220.0)</f>
        <v>46220</v>
      </c>
      <c r="T5349" s="57">
        <f>IFERROR(__xludf.DUMMYFUNCTION("""COMPUTED_VALUE"""),46264.0)</f>
        <v>46264</v>
      </c>
    </row>
    <row r="5350">
      <c r="A5350" s="6" t="str">
        <f>IFERROR(__xludf.DUMMYFUNCTION("""COMPUTED_VALUE"""),"121704445-5")</f>
        <v>121704445-5</v>
      </c>
      <c r="B5350" s="6" t="str">
        <f>IFERROR(__xludf.DUMMYFUNCTION("""COMPUTED_VALUE"""),"121704445 - APPROVED")</f>
        <v>121704445 - APPROVED</v>
      </c>
      <c r="C5350" s="6">
        <f>IFERROR(__xludf.DUMMYFUNCTION("""COMPUTED_VALUE"""),5.0)</f>
        <v>5</v>
      </c>
      <c r="D5350" s="6" t="str">
        <f>IFERROR(__xludf.DUMMYFUNCTION("""COMPUTED_VALUE"""),"R-20024-00")</f>
        <v>R-20024-00</v>
      </c>
      <c r="E5350" s="6" t="str">
        <f>IFERROR(__xludf.DUMMYFUNCTION("""COMPUTED_VALUE"""),"Machine Equipment; ; ; - Skun Ferrule e10-12 100pcs merah - Skun Ferrule e10-12 100pcs merah")</f>
        <v>Machine Equipment; ; ; - Skun Ferrule e10-12 100pcs merah - Skun Ferrule e10-12 100pcs merah</v>
      </c>
      <c r="F5350" s="6">
        <f>IFERROR(__xludf.DUMMYFUNCTION("""COMPUTED_VALUE"""),1.0)</f>
        <v>1</v>
      </c>
      <c r="G5350" s="6" t="str">
        <f>IFERROR(__xludf.DUMMYFUNCTION("""COMPUTED_VALUE"""),"Unit")</f>
        <v>Unit</v>
      </c>
      <c r="H5350" s="6" t="str">
        <f>IFERROR(__xludf.DUMMYFUNCTION("""COMPUTED_VALUE"""),"IDR")</f>
        <v>IDR</v>
      </c>
      <c r="I5350" s="6">
        <f>IFERROR(__xludf.DUMMYFUNCTION("""COMPUTED_VALUE"""),40000.0)</f>
        <v>40000</v>
      </c>
      <c r="J5350" s="6">
        <f>IFERROR(__xludf.DUMMYFUNCTION("""COMPUTED_VALUE"""),40000.0)</f>
        <v>40000</v>
      </c>
      <c r="K5350" s="57">
        <f>IFERROR(__xludf.DUMMYFUNCTION("""COMPUTED_VALUE"""),46255.0)</f>
        <v>46255</v>
      </c>
      <c r="L5350" s="6" t="str">
        <f>IFERROR(__xludf.DUMMYFUNCTION("""COMPUTED_VALUE"""),"FIP General")</f>
        <v>FIP General</v>
      </c>
      <c r="M5350" s="6" t="str">
        <f>IFERROR(__xludf.DUMMYFUNCTION("""COMPUTED_VALUE"""),"Mochammad Fadhillah Hakim,")</f>
        <v>Mochammad Fadhillah Hakim,</v>
      </c>
      <c r="N5350" s="6" t="str">
        <f>IFERROR(__xludf.DUMMYFUNCTION("""COMPUTED_VALUE"""),"FIP Engineering")</f>
        <v>FIP Engineering</v>
      </c>
      <c r="O5350" s="6" t="str">
        <f>IFERROR(__xludf.DUMMYFUNCTION("""COMPUTED_VALUE"""),"FIP-DOM-PRJ-13404-MC26022-INA-000000")</f>
        <v>FIP-DOM-PRJ-13404-MC26022-INA-000000</v>
      </c>
      <c r="P5350" s="6" t="str">
        <f>IFERROR(__xludf.DUMMYFUNCTION("""COMPUTED_VALUE"""),"PO Closed")</f>
        <v>PO Closed</v>
      </c>
      <c r="Q5350" s="6" t="str">
        <f>IFERROR(__xludf.DUMMYFUNCTION("""COMPUTED_VALUE"""),"GL2608021")</f>
        <v>GL2608021</v>
      </c>
      <c r="R5350" s="57">
        <f>IFERROR(__xludf.DUMMYFUNCTION("""COMPUTED_VALUE"""),46220.0)</f>
        <v>46220</v>
      </c>
      <c r="S5350" s="57">
        <f>IFERROR(__xludf.DUMMYFUNCTION("""COMPUTED_VALUE"""),46220.0)</f>
        <v>46220</v>
      </c>
      <c r="T5350" s="57">
        <f>IFERROR(__xludf.DUMMYFUNCTION("""COMPUTED_VALUE"""),46264.0)</f>
        <v>46264</v>
      </c>
    </row>
    <row r="5351">
      <c r="A5351" s="6" t="str">
        <f>IFERROR(__xludf.DUMMYFUNCTION("""COMPUTED_VALUE"""),"121704445-6")</f>
        <v>121704445-6</v>
      </c>
      <c r="B5351" s="6" t="str">
        <f>IFERROR(__xludf.DUMMYFUNCTION("""COMPUTED_VALUE"""),"121704445 - APPROVED")</f>
        <v>121704445 - APPROVED</v>
      </c>
      <c r="C5351" s="6">
        <f>IFERROR(__xludf.DUMMYFUNCTION("""COMPUTED_VALUE"""),6.0)</f>
        <v>6</v>
      </c>
      <c r="D5351" s="6" t="str">
        <f>IFERROR(__xludf.DUMMYFUNCTION("""COMPUTED_VALUE"""),"R-20024-00")</f>
        <v>R-20024-00</v>
      </c>
      <c r="E5351" s="6" t="str">
        <f>IFERROR(__xludf.DUMMYFUNCTION("""COMPUTED_VALUE"""),"Machine Equipment; ; ; - Skun Ferrule e10-12 100pcs kuning - Skun Ferrule e10-12 100pcs kuning")</f>
        <v>Machine Equipment; ; ; - Skun Ferrule e10-12 100pcs kuning - Skun Ferrule e10-12 100pcs kuning</v>
      </c>
      <c r="F5351" s="6">
        <f>IFERROR(__xludf.DUMMYFUNCTION("""COMPUTED_VALUE"""),1.0)</f>
        <v>1</v>
      </c>
      <c r="G5351" s="6" t="str">
        <f>IFERROR(__xludf.DUMMYFUNCTION("""COMPUTED_VALUE"""),"Unit")</f>
        <v>Unit</v>
      </c>
      <c r="H5351" s="6" t="str">
        <f>IFERROR(__xludf.DUMMYFUNCTION("""COMPUTED_VALUE"""),"IDR")</f>
        <v>IDR</v>
      </c>
      <c r="I5351" s="6">
        <f>IFERROR(__xludf.DUMMYFUNCTION("""COMPUTED_VALUE"""),40000.0)</f>
        <v>40000</v>
      </c>
      <c r="J5351" s="6">
        <f>IFERROR(__xludf.DUMMYFUNCTION("""COMPUTED_VALUE"""),40000.0)</f>
        <v>40000</v>
      </c>
      <c r="K5351" s="57">
        <f>IFERROR(__xludf.DUMMYFUNCTION("""COMPUTED_VALUE"""),46255.0)</f>
        <v>46255</v>
      </c>
      <c r="L5351" s="6" t="str">
        <f>IFERROR(__xludf.DUMMYFUNCTION("""COMPUTED_VALUE"""),"FIP General")</f>
        <v>FIP General</v>
      </c>
      <c r="M5351" s="6" t="str">
        <f>IFERROR(__xludf.DUMMYFUNCTION("""COMPUTED_VALUE"""),"Mochammad Fadhillah Hakim,")</f>
        <v>Mochammad Fadhillah Hakim,</v>
      </c>
      <c r="N5351" s="6" t="str">
        <f>IFERROR(__xludf.DUMMYFUNCTION("""COMPUTED_VALUE"""),"FIP Engineering")</f>
        <v>FIP Engineering</v>
      </c>
      <c r="O5351" s="6" t="str">
        <f>IFERROR(__xludf.DUMMYFUNCTION("""COMPUTED_VALUE"""),"FIP-DOM-PRJ-13404-MC26022-INA-000000")</f>
        <v>FIP-DOM-PRJ-13404-MC26022-INA-000000</v>
      </c>
      <c r="P5351" s="6" t="str">
        <f>IFERROR(__xludf.DUMMYFUNCTION("""COMPUTED_VALUE"""),"PO Open")</f>
        <v>PO Open</v>
      </c>
      <c r="Q5351" s="6" t="str">
        <f>IFERROR(__xludf.DUMMYFUNCTION("""COMPUTED_VALUE"""),"GL2608021")</f>
        <v>GL2608021</v>
      </c>
      <c r="R5351" s="57">
        <f>IFERROR(__xludf.DUMMYFUNCTION("""COMPUTED_VALUE"""),46220.0)</f>
        <v>46220</v>
      </c>
      <c r="S5351" s="57">
        <f>IFERROR(__xludf.DUMMYFUNCTION("""COMPUTED_VALUE"""),46220.0)</f>
        <v>46220</v>
      </c>
      <c r="T5351" s="57">
        <f>IFERROR(__xludf.DUMMYFUNCTION("""COMPUTED_VALUE"""),46264.0)</f>
        <v>46264</v>
      </c>
    </row>
    <row r="5352">
      <c r="A5352" s="6" t="str">
        <f>IFERROR(__xludf.DUMMYFUNCTION("""COMPUTED_VALUE"""),"121704445-7")</f>
        <v>121704445-7</v>
      </c>
      <c r="B5352" s="6" t="str">
        <f>IFERROR(__xludf.DUMMYFUNCTION("""COMPUTED_VALUE"""),"121704445 - APPROVED")</f>
        <v>121704445 - APPROVED</v>
      </c>
      <c r="C5352" s="6">
        <f>IFERROR(__xludf.DUMMYFUNCTION("""COMPUTED_VALUE"""),7.0)</f>
        <v>7</v>
      </c>
      <c r="D5352" s="6" t="str">
        <f>IFERROR(__xludf.DUMMYFUNCTION("""COMPUTED_VALUE"""),"R-20024-00")</f>
        <v>R-20024-00</v>
      </c>
      <c r="E5352" s="6" t="str">
        <f>IFERROR(__xludf.DUMMYFUNCTION("""COMPUTED_VALUE"""),"Machine Equipment; ; ; - Skun Ferrule e10-12 100pcs hitam - Skun Ferrule e10-12 100pcs hitam")</f>
        <v>Machine Equipment; ; ; - Skun Ferrule e10-12 100pcs hitam - Skun Ferrule e10-12 100pcs hitam</v>
      </c>
      <c r="F5352" s="6">
        <f>IFERROR(__xludf.DUMMYFUNCTION("""COMPUTED_VALUE"""),1.0)</f>
        <v>1</v>
      </c>
      <c r="G5352" s="6" t="str">
        <f>IFERROR(__xludf.DUMMYFUNCTION("""COMPUTED_VALUE"""),"Unit")</f>
        <v>Unit</v>
      </c>
      <c r="H5352" s="6" t="str">
        <f>IFERROR(__xludf.DUMMYFUNCTION("""COMPUTED_VALUE"""),"IDR")</f>
        <v>IDR</v>
      </c>
      <c r="I5352" s="6">
        <f>IFERROR(__xludf.DUMMYFUNCTION("""COMPUTED_VALUE"""),40000.0)</f>
        <v>40000</v>
      </c>
      <c r="J5352" s="6">
        <f>IFERROR(__xludf.DUMMYFUNCTION("""COMPUTED_VALUE"""),40000.0)</f>
        <v>40000</v>
      </c>
      <c r="K5352" s="57">
        <f>IFERROR(__xludf.DUMMYFUNCTION("""COMPUTED_VALUE"""),46255.0)</f>
        <v>46255</v>
      </c>
      <c r="L5352" s="6" t="str">
        <f>IFERROR(__xludf.DUMMYFUNCTION("""COMPUTED_VALUE"""),"FIP General")</f>
        <v>FIP General</v>
      </c>
      <c r="M5352" s="6" t="str">
        <f>IFERROR(__xludf.DUMMYFUNCTION("""COMPUTED_VALUE"""),"Mochammad Fadhillah Hakim,")</f>
        <v>Mochammad Fadhillah Hakim,</v>
      </c>
      <c r="N5352" s="6" t="str">
        <f>IFERROR(__xludf.DUMMYFUNCTION("""COMPUTED_VALUE"""),"FIP Engineering")</f>
        <v>FIP Engineering</v>
      </c>
      <c r="O5352" s="6" t="str">
        <f>IFERROR(__xludf.DUMMYFUNCTION("""COMPUTED_VALUE"""),"FIP-DOM-PRJ-13404-MC26022-INA-000000")</f>
        <v>FIP-DOM-PRJ-13404-MC26022-INA-000000</v>
      </c>
      <c r="P5352" s="6" t="str">
        <f>IFERROR(__xludf.DUMMYFUNCTION("""COMPUTED_VALUE"""),"PO Open")</f>
        <v>PO Open</v>
      </c>
      <c r="Q5352" s="6" t="str">
        <f>IFERROR(__xludf.DUMMYFUNCTION("""COMPUTED_VALUE"""),"GL2608021")</f>
        <v>GL2608021</v>
      </c>
      <c r="R5352" s="57">
        <f>IFERROR(__xludf.DUMMYFUNCTION("""COMPUTED_VALUE"""),46220.0)</f>
        <v>46220</v>
      </c>
      <c r="S5352" s="57">
        <f>IFERROR(__xludf.DUMMYFUNCTION("""COMPUTED_VALUE"""),46220.0)</f>
        <v>46220</v>
      </c>
      <c r="T5352" s="57">
        <f>IFERROR(__xludf.DUMMYFUNCTION("""COMPUTED_VALUE"""),46264.0)</f>
        <v>46264</v>
      </c>
    </row>
    <row r="5353">
      <c r="A5353" s="6" t="str">
        <f>IFERROR(__xludf.DUMMYFUNCTION("""COMPUTED_VALUE"""),"121704445-8")</f>
        <v>121704445-8</v>
      </c>
      <c r="B5353" s="6" t="str">
        <f>IFERROR(__xludf.DUMMYFUNCTION("""COMPUTED_VALUE"""),"121704445 - APPROVED")</f>
        <v>121704445 - APPROVED</v>
      </c>
      <c r="C5353" s="6">
        <f>IFERROR(__xludf.DUMMYFUNCTION("""COMPUTED_VALUE"""),8.0)</f>
        <v>8</v>
      </c>
      <c r="D5353" s="6" t="str">
        <f>IFERROR(__xludf.DUMMYFUNCTION("""COMPUTED_VALUE"""),"R-20024-00")</f>
        <v>R-20024-00</v>
      </c>
      <c r="E5353" s="6" t="str">
        <f>IFERROR(__xludf.DUMMYFUNCTION("""COMPUTED_VALUE"""),"Machine Equipment; ; ; - Skun Kabel O sc10-8 pack 100pcs - Skun Kabel O sc10-8 pack 100pcs")</f>
        <v>Machine Equipment; ; ; - Skun Kabel O sc10-8 pack 100pcs - Skun Kabel O sc10-8 pack 100pcs</v>
      </c>
      <c r="F5353" s="6">
        <f>IFERROR(__xludf.DUMMYFUNCTION("""COMPUTED_VALUE"""),1.0)</f>
        <v>1</v>
      </c>
      <c r="G5353" s="6" t="str">
        <f>IFERROR(__xludf.DUMMYFUNCTION("""COMPUTED_VALUE"""),"Unit")</f>
        <v>Unit</v>
      </c>
      <c r="H5353" s="6" t="str">
        <f>IFERROR(__xludf.DUMMYFUNCTION("""COMPUTED_VALUE"""),"IDR")</f>
        <v>IDR</v>
      </c>
      <c r="I5353" s="6">
        <f>IFERROR(__xludf.DUMMYFUNCTION("""COMPUTED_VALUE"""),200000.0)</f>
        <v>200000</v>
      </c>
      <c r="J5353" s="6">
        <f>IFERROR(__xludf.DUMMYFUNCTION("""COMPUTED_VALUE"""),200000.0)</f>
        <v>200000</v>
      </c>
      <c r="K5353" s="57">
        <f>IFERROR(__xludf.DUMMYFUNCTION("""COMPUTED_VALUE"""),46255.0)</f>
        <v>46255</v>
      </c>
      <c r="L5353" s="6" t="str">
        <f>IFERROR(__xludf.DUMMYFUNCTION("""COMPUTED_VALUE"""),"FIP General")</f>
        <v>FIP General</v>
      </c>
      <c r="M5353" s="6" t="str">
        <f>IFERROR(__xludf.DUMMYFUNCTION("""COMPUTED_VALUE"""),"Mochammad Fadhillah Hakim,")</f>
        <v>Mochammad Fadhillah Hakim,</v>
      </c>
      <c r="N5353" s="6" t="str">
        <f>IFERROR(__xludf.DUMMYFUNCTION("""COMPUTED_VALUE"""),"FIP Engineering")</f>
        <v>FIP Engineering</v>
      </c>
      <c r="O5353" s="6" t="str">
        <f>IFERROR(__xludf.DUMMYFUNCTION("""COMPUTED_VALUE"""),"FIP-DOM-PRJ-13404-MC26022-INA-000000")</f>
        <v>FIP-DOM-PRJ-13404-MC26022-INA-000000</v>
      </c>
      <c r="P5353" s="6" t="str">
        <f>IFERROR(__xludf.DUMMYFUNCTION("""COMPUTED_VALUE"""),"PO Open")</f>
        <v>PO Open</v>
      </c>
      <c r="Q5353" s="6" t="str">
        <f>IFERROR(__xludf.DUMMYFUNCTION("""COMPUTED_VALUE"""),"GL2608021")</f>
        <v>GL2608021</v>
      </c>
      <c r="R5353" s="57">
        <f>IFERROR(__xludf.DUMMYFUNCTION("""COMPUTED_VALUE"""),46220.0)</f>
        <v>46220</v>
      </c>
      <c r="S5353" s="57">
        <f>IFERROR(__xludf.DUMMYFUNCTION("""COMPUTED_VALUE"""),46220.0)</f>
        <v>46220</v>
      </c>
      <c r="T5353" s="57">
        <f>IFERROR(__xludf.DUMMYFUNCTION("""COMPUTED_VALUE"""),46264.0)</f>
        <v>46264</v>
      </c>
    </row>
    <row r="5354">
      <c r="A5354" s="6" t="str">
        <f>IFERROR(__xludf.DUMMYFUNCTION("""COMPUTED_VALUE"""),"121704445-9")</f>
        <v>121704445-9</v>
      </c>
      <c r="B5354" s="6" t="str">
        <f>IFERROR(__xludf.DUMMYFUNCTION("""COMPUTED_VALUE"""),"121704445 - APPROVED")</f>
        <v>121704445 - APPROVED</v>
      </c>
      <c r="C5354" s="6">
        <f>IFERROR(__xludf.DUMMYFUNCTION("""COMPUTED_VALUE"""),9.0)</f>
        <v>9</v>
      </c>
      <c r="D5354" s="6" t="str">
        <f>IFERROR(__xludf.DUMMYFUNCTION("""COMPUTED_VALUE"""),"R-20024-00")</f>
        <v>R-20024-00</v>
      </c>
      <c r="E5354" s="6" t="str">
        <f>IFERROR(__xludf.DUMMYFUNCTION("""COMPUTED_VALUE"""),"Machine Equipment; ; ; - Solasi listrik biru nitto - Solasi listrik biru nitto")</f>
        <v>Machine Equipment; ; ; - Solasi listrik biru nitto - Solasi listrik biru nitto</v>
      </c>
      <c r="F5354" s="6">
        <f>IFERROR(__xludf.DUMMYFUNCTION("""COMPUTED_VALUE"""),1.0)</f>
        <v>1</v>
      </c>
      <c r="G5354" s="6" t="str">
        <f>IFERROR(__xludf.DUMMYFUNCTION("""COMPUTED_VALUE"""),"Unit")</f>
        <v>Unit</v>
      </c>
      <c r="H5354" s="6" t="str">
        <f>IFERROR(__xludf.DUMMYFUNCTION("""COMPUTED_VALUE"""),"IDR")</f>
        <v>IDR</v>
      </c>
      <c r="I5354" s="6">
        <f>IFERROR(__xludf.DUMMYFUNCTION("""COMPUTED_VALUE"""),20000.0)</f>
        <v>20000</v>
      </c>
      <c r="J5354" s="6">
        <f>IFERROR(__xludf.DUMMYFUNCTION("""COMPUTED_VALUE"""),20000.0)</f>
        <v>20000</v>
      </c>
      <c r="K5354" s="57">
        <f>IFERROR(__xludf.DUMMYFUNCTION("""COMPUTED_VALUE"""),46255.0)</f>
        <v>46255</v>
      </c>
      <c r="L5354" s="6" t="str">
        <f>IFERROR(__xludf.DUMMYFUNCTION("""COMPUTED_VALUE"""),"FIP General")</f>
        <v>FIP General</v>
      </c>
      <c r="M5354" s="6" t="str">
        <f>IFERROR(__xludf.DUMMYFUNCTION("""COMPUTED_VALUE"""),"Mochammad Fadhillah Hakim,")</f>
        <v>Mochammad Fadhillah Hakim,</v>
      </c>
      <c r="N5354" s="6" t="str">
        <f>IFERROR(__xludf.DUMMYFUNCTION("""COMPUTED_VALUE"""),"FIP Engineering")</f>
        <v>FIP Engineering</v>
      </c>
      <c r="O5354" s="6" t="str">
        <f>IFERROR(__xludf.DUMMYFUNCTION("""COMPUTED_VALUE"""),"FIP-DOM-PRJ-13404-MC26022-INA-000000")</f>
        <v>FIP-DOM-PRJ-13404-MC26022-INA-000000</v>
      </c>
      <c r="P5354" s="6" t="str">
        <f>IFERROR(__xludf.DUMMYFUNCTION("""COMPUTED_VALUE"""),"PO Closed")</f>
        <v>PO Closed</v>
      </c>
      <c r="Q5354" s="6" t="str">
        <f>IFERROR(__xludf.DUMMYFUNCTION("""COMPUTED_VALUE"""),"GL2608021")</f>
        <v>GL2608021</v>
      </c>
      <c r="R5354" s="57">
        <f>IFERROR(__xludf.DUMMYFUNCTION("""COMPUTED_VALUE"""),46220.0)</f>
        <v>46220</v>
      </c>
      <c r="S5354" s="57">
        <f>IFERROR(__xludf.DUMMYFUNCTION("""COMPUTED_VALUE"""),46220.0)</f>
        <v>46220</v>
      </c>
      <c r="T5354" s="57">
        <f>IFERROR(__xludf.DUMMYFUNCTION("""COMPUTED_VALUE"""),46264.0)</f>
        <v>46264</v>
      </c>
    </row>
    <row r="5355">
      <c r="A5355" s="6" t="str">
        <f>IFERROR(__xludf.DUMMYFUNCTION("""COMPUTED_VALUE"""),"121704445-10")</f>
        <v>121704445-10</v>
      </c>
      <c r="B5355" s="6" t="str">
        <f>IFERROR(__xludf.DUMMYFUNCTION("""COMPUTED_VALUE"""),"121704445 - APPROVED")</f>
        <v>121704445 - APPROVED</v>
      </c>
      <c r="C5355" s="6">
        <f>IFERROR(__xludf.DUMMYFUNCTION("""COMPUTED_VALUE"""),10.0)</f>
        <v>10</v>
      </c>
      <c r="D5355" s="6" t="str">
        <f>IFERROR(__xludf.DUMMYFUNCTION("""COMPUTED_VALUE"""),"R-20024-00")</f>
        <v>R-20024-00</v>
      </c>
      <c r="E5355" s="6" t="str">
        <f>IFERROR(__xludf.DUMMYFUNCTION("""COMPUTED_VALUE"""),"Machine Equipment; ; ; - Solasi listrik hijau nitto - Solasi listrik hijau nitto")</f>
        <v>Machine Equipment; ; ; - Solasi listrik hijau nitto - Solasi listrik hijau nitto</v>
      </c>
      <c r="F5355" s="6">
        <f>IFERROR(__xludf.DUMMYFUNCTION("""COMPUTED_VALUE"""),1.0)</f>
        <v>1</v>
      </c>
      <c r="G5355" s="6" t="str">
        <f>IFERROR(__xludf.DUMMYFUNCTION("""COMPUTED_VALUE"""),"Unit")</f>
        <v>Unit</v>
      </c>
      <c r="H5355" s="6" t="str">
        <f>IFERROR(__xludf.DUMMYFUNCTION("""COMPUTED_VALUE"""),"IDR")</f>
        <v>IDR</v>
      </c>
      <c r="I5355" s="6">
        <f>IFERROR(__xludf.DUMMYFUNCTION("""COMPUTED_VALUE"""),20000.0)</f>
        <v>20000</v>
      </c>
      <c r="J5355" s="6">
        <f>IFERROR(__xludf.DUMMYFUNCTION("""COMPUTED_VALUE"""),20000.0)</f>
        <v>20000</v>
      </c>
      <c r="K5355" s="57">
        <f>IFERROR(__xludf.DUMMYFUNCTION("""COMPUTED_VALUE"""),46255.0)</f>
        <v>46255</v>
      </c>
      <c r="L5355" s="6" t="str">
        <f>IFERROR(__xludf.DUMMYFUNCTION("""COMPUTED_VALUE"""),"FIP General")</f>
        <v>FIP General</v>
      </c>
      <c r="M5355" s="6" t="str">
        <f>IFERROR(__xludf.DUMMYFUNCTION("""COMPUTED_VALUE"""),"Mochammad Fadhillah Hakim,")</f>
        <v>Mochammad Fadhillah Hakim,</v>
      </c>
      <c r="N5355" s="6" t="str">
        <f>IFERROR(__xludf.DUMMYFUNCTION("""COMPUTED_VALUE"""),"FIP Engineering")</f>
        <v>FIP Engineering</v>
      </c>
      <c r="O5355" s="6" t="str">
        <f>IFERROR(__xludf.DUMMYFUNCTION("""COMPUTED_VALUE"""),"FIP-DOM-PRJ-13404-MC26022-INA-000000")</f>
        <v>FIP-DOM-PRJ-13404-MC26022-INA-000000</v>
      </c>
      <c r="P5355" s="6" t="str">
        <f>IFERROR(__xludf.DUMMYFUNCTION("""COMPUTED_VALUE"""),"PO Closed")</f>
        <v>PO Closed</v>
      </c>
      <c r="Q5355" s="6" t="str">
        <f>IFERROR(__xludf.DUMMYFUNCTION("""COMPUTED_VALUE"""),"GL2608021")</f>
        <v>GL2608021</v>
      </c>
      <c r="R5355" s="57">
        <f>IFERROR(__xludf.DUMMYFUNCTION("""COMPUTED_VALUE"""),46220.0)</f>
        <v>46220</v>
      </c>
      <c r="S5355" s="57">
        <f>IFERROR(__xludf.DUMMYFUNCTION("""COMPUTED_VALUE"""),46220.0)</f>
        <v>46220</v>
      </c>
      <c r="T5355" s="57">
        <f>IFERROR(__xludf.DUMMYFUNCTION("""COMPUTED_VALUE"""),46264.0)</f>
        <v>46264</v>
      </c>
    </row>
    <row r="5356">
      <c r="A5356" s="6" t="str">
        <f>IFERROR(__xludf.DUMMYFUNCTION("""COMPUTED_VALUE"""),"121704445-11")</f>
        <v>121704445-11</v>
      </c>
      <c r="B5356" s="6" t="str">
        <f>IFERROR(__xludf.DUMMYFUNCTION("""COMPUTED_VALUE"""),"121704445 - APPROVED")</f>
        <v>121704445 - APPROVED</v>
      </c>
      <c r="C5356" s="6">
        <f>IFERROR(__xludf.DUMMYFUNCTION("""COMPUTED_VALUE"""),11.0)</f>
        <v>11</v>
      </c>
      <c r="D5356" s="6" t="str">
        <f>IFERROR(__xludf.DUMMYFUNCTION("""COMPUTED_VALUE"""),"R-20024-00")</f>
        <v>R-20024-00</v>
      </c>
      <c r="E5356" s="6" t="str">
        <f>IFERROR(__xludf.DUMMYFUNCTION("""COMPUTED_VALUE"""),"Machine Equipment; ; ; - Kabel Tis Stainless 4.6 x 400 mm 40 cm - 100pcs - Kabel Tis Stainless 4.6 x 400 mm 40 cm - 100pcs")</f>
        <v>Machine Equipment; ; ; - Kabel Tis Stainless 4.6 x 400 mm 40 cm - 100pcs - Kabel Tis Stainless 4.6 x 400 mm 40 cm - 100pcs</v>
      </c>
      <c r="F5356" s="6">
        <f>IFERROR(__xludf.DUMMYFUNCTION("""COMPUTED_VALUE"""),1.0)</f>
        <v>1</v>
      </c>
      <c r="G5356" s="6" t="str">
        <f>IFERROR(__xludf.DUMMYFUNCTION("""COMPUTED_VALUE"""),"Unit")</f>
        <v>Unit</v>
      </c>
      <c r="H5356" s="6" t="str">
        <f>IFERROR(__xludf.DUMMYFUNCTION("""COMPUTED_VALUE"""),"IDR")</f>
        <v>IDR</v>
      </c>
      <c r="I5356" s="6">
        <f>IFERROR(__xludf.DUMMYFUNCTION("""COMPUTED_VALUE"""),200000.0)</f>
        <v>200000</v>
      </c>
      <c r="J5356" s="6">
        <f>IFERROR(__xludf.DUMMYFUNCTION("""COMPUTED_VALUE"""),200000.0)</f>
        <v>200000</v>
      </c>
      <c r="K5356" s="57">
        <f>IFERROR(__xludf.DUMMYFUNCTION("""COMPUTED_VALUE"""),46255.0)</f>
        <v>46255</v>
      </c>
      <c r="L5356" s="6" t="str">
        <f>IFERROR(__xludf.DUMMYFUNCTION("""COMPUTED_VALUE"""),"FIP General")</f>
        <v>FIP General</v>
      </c>
      <c r="M5356" s="6" t="str">
        <f>IFERROR(__xludf.DUMMYFUNCTION("""COMPUTED_VALUE"""),"Mochammad Fadhillah Hakim,")</f>
        <v>Mochammad Fadhillah Hakim,</v>
      </c>
      <c r="N5356" s="6" t="str">
        <f>IFERROR(__xludf.DUMMYFUNCTION("""COMPUTED_VALUE"""),"FIP Engineering")</f>
        <v>FIP Engineering</v>
      </c>
      <c r="O5356" s="6" t="str">
        <f>IFERROR(__xludf.DUMMYFUNCTION("""COMPUTED_VALUE"""),"FIP-DOM-PRJ-13404-MC26022-INA-000000")</f>
        <v>FIP-DOM-PRJ-13404-MC26022-INA-000000</v>
      </c>
      <c r="P5356" s="6" t="str">
        <f>IFERROR(__xludf.DUMMYFUNCTION("""COMPUTED_VALUE"""),"PO Closed")</f>
        <v>PO Closed</v>
      </c>
      <c r="Q5356" s="6" t="str">
        <f>IFERROR(__xludf.DUMMYFUNCTION("""COMPUTED_VALUE"""),"GL2608021")</f>
        <v>GL2608021</v>
      </c>
      <c r="R5356" s="57">
        <f>IFERROR(__xludf.DUMMYFUNCTION("""COMPUTED_VALUE"""),46220.0)</f>
        <v>46220</v>
      </c>
      <c r="S5356" s="57">
        <f>IFERROR(__xludf.DUMMYFUNCTION("""COMPUTED_VALUE"""),46220.0)</f>
        <v>46220</v>
      </c>
      <c r="T5356" s="57">
        <f>IFERROR(__xludf.DUMMYFUNCTION("""COMPUTED_VALUE"""),46264.0)</f>
        <v>46264</v>
      </c>
    </row>
    <row r="5357">
      <c r="A5357" s="6" t="str">
        <f>IFERROR(__xludf.DUMMYFUNCTION("""COMPUTED_VALUE"""),"121704445-12")</f>
        <v>121704445-12</v>
      </c>
      <c r="B5357" s="6" t="str">
        <f>IFERROR(__xludf.DUMMYFUNCTION("""COMPUTED_VALUE"""),"121704445 - APPROVED")</f>
        <v>121704445 - APPROVED</v>
      </c>
      <c r="C5357" s="6">
        <f>IFERROR(__xludf.DUMMYFUNCTION("""COMPUTED_VALUE"""),12.0)</f>
        <v>12</v>
      </c>
      <c r="D5357" s="6" t="str">
        <f>IFERROR(__xludf.DUMMYFUNCTION("""COMPUTED_VALUE"""),"R-20024-00")</f>
        <v>R-20024-00</v>
      </c>
      <c r="E5357" s="6" t="str">
        <f>IFERROR(__xludf.DUMMYFUNCTION("""COMPUTED_VALUE"""),"Machine Equipment; ; ; - TUBTAP Tang Crimping 0,08 -16mm Heksagonal Dengan Kit Ferrule Kawat Alat Untuk Ferrule Ujung Kawat Hingga - 16-6 - TUBTAP Tang Crimping 0,08 -16mm Heksagonal Dengan Kit Ferrule Kawat Alat Untuk Ferrule Ujung Kawat H")</f>
        <v>Machine Equipment; ; ; - TUBTAP Tang Crimping 0,08 -16mm Heksagonal Dengan Kit Ferrule Kawat Alat Untuk Ferrule Ujung Kawat Hingga - 16-6 - TUBTAP Tang Crimping 0,08 -16mm Heksagonal Dengan Kit Ferrule Kawat Alat Untuk Ferrule Ujung Kawat H</v>
      </c>
      <c r="F5357" s="6">
        <f>IFERROR(__xludf.DUMMYFUNCTION("""COMPUTED_VALUE"""),1.0)</f>
        <v>1</v>
      </c>
      <c r="G5357" s="6" t="str">
        <f>IFERROR(__xludf.DUMMYFUNCTION("""COMPUTED_VALUE"""),"Unit")</f>
        <v>Unit</v>
      </c>
      <c r="H5357" s="6" t="str">
        <f>IFERROR(__xludf.DUMMYFUNCTION("""COMPUTED_VALUE"""),"IDR")</f>
        <v>IDR</v>
      </c>
      <c r="I5357" s="6">
        <f>IFERROR(__xludf.DUMMYFUNCTION("""COMPUTED_VALUE"""),925000.0)</f>
        <v>925000</v>
      </c>
      <c r="J5357" s="6">
        <f>IFERROR(__xludf.DUMMYFUNCTION("""COMPUTED_VALUE"""),925000.0)</f>
        <v>925000</v>
      </c>
      <c r="K5357" s="57">
        <f>IFERROR(__xludf.DUMMYFUNCTION("""COMPUTED_VALUE"""),46255.0)</f>
        <v>46255</v>
      </c>
      <c r="L5357" s="6" t="str">
        <f>IFERROR(__xludf.DUMMYFUNCTION("""COMPUTED_VALUE"""),"FIP General")</f>
        <v>FIP General</v>
      </c>
      <c r="M5357" s="6" t="str">
        <f>IFERROR(__xludf.DUMMYFUNCTION("""COMPUTED_VALUE"""),"Mochammad Fadhillah Hakim,")</f>
        <v>Mochammad Fadhillah Hakim,</v>
      </c>
      <c r="N5357" s="6" t="str">
        <f>IFERROR(__xludf.DUMMYFUNCTION("""COMPUTED_VALUE"""),"FIP Engineering")</f>
        <v>FIP Engineering</v>
      </c>
      <c r="O5357" s="6" t="str">
        <f>IFERROR(__xludf.DUMMYFUNCTION("""COMPUTED_VALUE"""),"FIP-DOM-PRJ-13404-MC26022-INA-000000")</f>
        <v>FIP-DOM-PRJ-13404-MC26022-INA-000000</v>
      </c>
      <c r="P5357" s="6" t="str">
        <f>IFERROR(__xludf.DUMMYFUNCTION("""COMPUTED_VALUE"""),"PO Closed")</f>
        <v>PO Closed</v>
      </c>
      <c r="Q5357" s="6" t="str">
        <f>IFERROR(__xludf.DUMMYFUNCTION("""COMPUTED_VALUE"""),"GL2608021")</f>
        <v>GL2608021</v>
      </c>
      <c r="R5357" s="57">
        <f>IFERROR(__xludf.DUMMYFUNCTION("""COMPUTED_VALUE"""),46220.0)</f>
        <v>46220</v>
      </c>
      <c r="S5357" s="57">
        <f>IFERROR(__xludf.DUMMYFUNCTION("""COMPUTED_VALUE"""),46220.0)</f>
        <v>46220</v>
      </c>
      <c r="T5357" s="57">
        <f>IFERROR(__xludf.DUMMYFUNCTION("""COMPUTED_VALUE"""),46264.0)</f>
        <v>46264</v>
      </c>
    </row>
    <row r="5358">
      <c r="A5358" s="6" t="str">
        <f>IFERROR(__xludf.DUMMYFUNCTION("""COMPUTED_VALUE"""),"121704445-13")</f>
        <v>121704445-13</v>
      </c>
      <c r="B5358" s="6" t="str">
        <f>IFERROR(__xludf.DUMMYFUNCTION("""COMPUTED_VALUE"""),"121704445 - APPROVED")</f>
        <v>121704445 - APPROVED</v>
      </c>
      <c r="C5358" s="6">
        <f>IFERROR(__xludf.DUMMYFUNCTION("""COMPUTED_VALUE"""),13.0)</f>
        <v>13</v>
      </c>
      <c r="D5358" s="6" t="str">
        <f>IFERROR(__xludf.DUMMYFUNCTION("""COMPUTED_VALUE"""),"R-20024-00")</f>
        <v>R-20024-00</v>
      </c>
      <c r="E5358" s="6" t="str">
        <f>IFERROR(__xludf.DUMMYFUNCTION("""COMPUTED_VALUE"""),"Machine Equipment; ; ; - Kaca tempered ukuran 2530 x 558 x 10 mm - Kaca tempered ukuran 2530 x 558 x 10 mm")</f>
        <v>Machine Equipment; ; ; - Kaca tempered ukuran 2530 x 558 x 10 mm - Kaca tempered ukuran 2530 x 558 x 10 mm</v>
      </c>
      <c r="F5358" s="6">
        <f>IFERROR(__xludf.DUMMYFUNCTION("""COMPUTED_VALUE"""),1.0)</f>
        <v>1</v>
      </c>
      <c r="G5358" s="6" t="str">
        <f>IFERROR(__xludf.DUMMYFUNCTION("""COMPUTED_VALUE"""),"Unit")</f>
        <v>Unit</v>
      </c>
      <c r="H5358" s="6" t="str">
        <f>IFERROR(__xludf.DUMMYFUNCTION("""COMPUTED_VALUE"""),"IDR")</f>
        <v>IDR</v>
      </c>
      <c r="I5358" s="6">
        <f>IFERROR(__xludf.DUMMYFUNCTION("""COMPUTED_VALUE"""),2300000.0)</f>
        <v>2300000</v>
      </c>
      <c r="J5358" s="6">
        <f>IFERROR(__xludf.DUMMYFUNCTION("""COMPUTED_VALUE"""),2300000.0)</f>
        <v>2300000</v>
      </c>
      <c r="K5358" s="57">
        <f>IFERROR(__xludf.DUMMYFUNCTION("""COMPUTED_VALUE"""),46255.0)</f>
        <v>46255</v>
      </c>
      <c r="L5358" s="6" t="str">
        <f>IFERROR(__xludf.DUMMYFUNCTION("""COMPUTED_VALUE"""),"FIP General")</f>
        <v>FIP General</v>
      </c>
      <c r="M5358" s="6" t="str">
        <f>IFERROR(__xludf.DUMMYFUNCTION("""COMPUTED_VALUE"""),"Mochammad Fadhillah Hakim,")</f>
        <v>Mochammad Fadhillah Hakim,</v>
      </c>
      <c r="N5358" s="6" t="str">
        <f>IFERROR(__xludf.DUMMYFUNCTION("""COMPUTED_VALUE"""),"FIP Engineering")</f>
        <v>FIP Engineering</v>
      </c>
      <c r="O5358" s="6" t="str">
        <f>IFERROR(__xludf.DUMMYFUNCTION("""COMPUTED_VALUE"""),"FIP-DOM-PRJ-13404-MC26022-INA-000000")</f>
        <v>FIP-DOM-PRJ-13404-MC26022-INA-000000</v>
      </c>
      <c r="P5358" s="6" t="str">
        <f>IFERROR(__xludf.DUMMYFUNCTION("""COMPUTED_VALUE"""),"PO Closed")</f>
        <v>PO Closed</v>
      </c>
      <c r="Q5358" s="6" t="str">
        <f>IFERROR(__xludf.DUMMYFUNCTION("""COMPUTED_VALUE"""),"GL2608021")</f>
        <v>GL2608021</v>
      </c>
      <c r="R5358" s="57">
        <f>IFERROR(__xludf.DUMMYFUNCTION("""COMPUTED_VALUE"""),46220.0)</f>
        <v>46220</v>
      </c>
      <c r="S5358" s="57">
        <f>IFERROR(__xludf.DUMMYFUNCTION("""COMPUTED_VALUE"""),46220.0)</f>
        <v>46220</v>
      </c>
      <c r="T5358" s="57">
        <f>IFERROR(__xludf.DUMMYFUNCTION("""COMPUTED_VALUE"""),46264.0)</f>
        <v>46264</v>
      </c>
    </row>
    <row r="5359">
      <c r="A5359" s="6" t="str">
        <f>IFERROR(__xludf.DUMMYFUNCTION("""COMPUTED_VALUE"""),"121704447-1")</f>
        <v>121704447-1</v>
      </c>
      <c r="B5359" s="6" t="str">
        <f>IFERROR(__xludf.DUMMYFUNCTION("""COMPUTED_VALUE"""),"121704447 - APPROVED")</f>
        <v>121704447 - APPROVED</v>
      </c>
      <c r="C5359" s="6">
        <f>IFERROR(__xludf.DUMMYFUNCTION("""COMPUTED_VALUE"""),1.0)</f>
        <v>1</v>
      </c>
      <c r="D5359" s="6" t="str">
        <f>IFERROR(__xludf.DUMMYFUNCTION("""COMPUTED_VALUE"""),"P-54699-00")</f>
        <v>P-54699-00</v>
      </c>
      <c r="E5359" s="6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F5359" s="6">
        <f>IFERROR(__xludf.DUMMYFUNCTION("""COMPUTED_VALUE"""),1.0)</f>
        <v>1</v>
      </c>
      <c r="G5359" s="6" t="str">
        <f>IFERROR(__xludf.DUMMYFUNCTION("""COMPUTED_VALUE"""),"Set")</f>
        <v>Set</v>
      </c>
      <c r="H5359" s="6" t="str">
        <f>IFERROR(__xludf.DUMMYFUNCTION("""COMPUTED_VALUE"""),"IDR")</f>
        <v>IDR</v>
      </c>
      <c r="I5359" s="6">
        <f>IFERROR(__xludf.DUMMYFUNCTION("""COMPUTED_VALUE"""),6500000.0)</f>
        <v>6500000</v>
      </c>
      <c r="J5359" s="6">
        <f>IFERROR(__xludf.DUMMYFUNCTION("""COMPUTED_VALUE"""),6500000.0)</f>
        <v>6500000</v>
      </c>
      <c r="K5359" s="57">
        <f>IFERROR(__xludf.DUMMYFUNCTION("""COMPUTED_VALUE"""),46255.0)</f>
        <v>46255</v>
      </c>
      <c r="L5359" s="6" t="str">
        <f>IFERROR(__xludf.DUMMYFUNCTION("""COMPUTED_VALUE"""),"FIP Engineering")</f>
        <v>FIP Engineering</v>
      </c>
      <c r="M5359" s="6" t="str">
        <f>IFERROR(__xludf.DUMMYFUNCTION("""COMPUTED_VALUE"""),"Mochammad Fadhillah Hakim,")</f>
        <v>Mochammad Fadhillah Hakim,</v>
      </c>
      <c r="N5359" s="6" t="str">
        <f>IFERROR(__xludf.DUMMYFUNCTION("""COMPUTED_VALUE"""),"FIP Engineering")</f>
        <v>FIP Engineering</v>
      </c>
      <c r="O5359" s="6" t="str">
        <f>IFERROR(__xludf.DUMMYFUNCTION("""COMPUTED_VALUE"""),"FIP-DOM-000-11304-OS00001-INA-000000")</f>
        <v>FIP-DOM-000-11304-OS00001-INA-000000</v>
      </c>
      <c r="P5359" s="6" t="str">
        <f>IFERROR(__xludf.DUMMYFUNCTION("""COMPUTED_VALUE"""),"PO Closed")</f>
        <v>PO Closed</v>
      </c>
      <c r="Q5359" s="6" t="str">
        <f>IFERROR(__xludf.DUMMYFUNCTION("""COMPUTED_VALUE"""),"GL2608397")</f>
        <v>GL2608397</v>
      </c>
      <c r="R5359" s="57">
        <f>IFERROR(__xludf.DUMMYFUNCTION("""COMPUTED_VALUE"""),46220.0)</f>
        <v>46220</v>
      </c>
      <c r="S5359" s="57">
        <f>IFERROR(__xludf.DUMMYFUNCTION("""COMPUTED_VALUE"""),46223.0)</f>
        <v>46223</v>
      </c>
      <c r="T5359" s="57">
        <f>IFERROR(__xludf.DUMMYFUNCTION("""COMPUTED_VALUE"""),46270.0)</f>
        <v>46270</v>
      </c>
    </row>
    <row r="5360">
      <c r="A5360" s="6" t="str">
        <f>IFERROR(__xludf.DUMMYFUNCTION("""COMPUTED_VALUE"""),"121704447-2")</f>
        <v>121704447-2</v>
      </c>
      <c r="B5360" s="6" t="str">
        <f>IFERROR(__xludf.DUMMYFUNCTION("""COMPUTED_VALUE"""),"121704447 - APPROVED")</f>
        <v>121704447 - APPROVED</v>
      </c>
      <c r="C5360" s="6">
        <f>IFERROR(__xludf.DUMMYFUNCTION("""COMPUTED_VALUE"""),2.0)</f>
        <v>2</v>
      </c>
      <c r="D5360" s="6" t="str">
        <f>IFERROR(__xludf.DUMMYFUNCTION("""COMPUTED_VALUE"""),"P-12495-00")</f>
        <v>P-12495-00</v>
      </c>
      <c r="E5360" s="6" t="str">
        <f>IFERROR(__xludf.DUMMYFUNCTION("""COMPUTED_VALUE"""),"Mata Bor besi dia 7.5 mm ex NACHI")</f>
        <v>Mata Bor besi dia 7.5 mm ex NACHI</v>
      </c>
      <c r="F5360" s="6">
        <f>IFERROR(__xludf.DUMMYFUNCTION("""COMPUTED_VALUE"""),10.0)</f>
        <v>10</v>
      </c>
      <c r="G5360" s="6" t="str">
        <f>IFERROR(__xludf.DUMMYFUNCTION("""COMPUTED_VALUE"""),"Pieces")</f>
        <v>Pieces</v>
      </c>
      <c r="H5360" s="6" t="str">
        <f>IFERROR(__xludf.DUMMYFUNCTION("""COMPUTED_VALUE"""),"IDR")</f>
        <v>IDR</v>
      </c>
      <c r="I5360" s="6">
        <f>IFERROR(__xludf.DUMMYFUNCTION("""COMPUTED_VALUE"""),65000.0)</f>
        <v>65000</v>
      </c>
      <c r="J5360" s="6">
        <f>IFERROR(__xludf.DUMMYFUNCTION("""COMPUTED_VALUE"""),650000.0)</f>
        <v>650000</v>
      </c>
      <c r="K5360" s="57">
        <f>IFERROR(__xludf.DUMMYFUNCTION("""COMPUTED_VALUE"""),46255.0)</f>
        <v>46255</v>
      </c>
      <c r="L5360" s="6" t="str">
        <f>IFERROR(__xludf.DUMMYFUNCTION("""COMPUTED_VALUE"""),"FIP Engineering")</f>
        <v>FIP Engineering</v>
      </c>
      <c r="M5360" s="6" t="str">
        <f>IFERROR(__xludf.DUMMYFUNCTION("""COMPUTED_VALUE"""),"Mochammad Fadhillah Hakim,")</f>
        <v>Mochammad Fadhillah Hakim,</v>
      </c>
      <c r="N5360" s="6" t="str">
        <f>IFERROR(__xludf.DUMMYFUNCTION("""COMPUTED_VALUE"""),"FIP Engineering")</f>
        <v>FIP Engineering</v>
      </c>
      <c r="O5360" s="6" t="str">
        <f>IFERROR(__xludf.DUMMYFUNCTION("""COMPUTED_VALUE"""),"FIP-DOM-000-11304-OS00001-INA-000000")</f>
        <v>FIP-DOM-000-11304-OS00001-INA-000000</v>
      </c>
      <c r="P5360" s="6" t="str">
        <f>IFERROR(__xludf.DUMMYFUNCTION("""COMPUTED_VALUE"""),"PO Open")</f>
        <v>PO Open</v>
      </c>
      <c r="Q5360" s="6" t="str">
        <f>IFERROR(__xludf.DUMMYFUNCTION("""COMPUTED_VALUE"""),"GL2608396")</f>
        <v>GL2608396</v>
      </c>
      <c r="R5360" s="57">
        <f>IFERROR(__xludf.DUMMYFUNCTION("""COMPUTED_VALUE"""),46220.0)</f>
        <v>46220</v>
      </c>
      <c r="S5360" s="57">
        <f>IFERROR(__xludf.DUMMYFUNCTION("""COMPUTED_VALUE"""),46223.0)</f>
        <v>46223</v>
      </c>
      <c r="T5360" s="57">
        <f>IFERROR(__xludf.DUMMYFUNCTION("""COMPUTED_VALUE"""),46285.0)</f>
        <v>46285</v>
      </c>
    </row>
    <row r="5361">
      <c r="A5361" s="6" t="str">
        <f>IFERROR(__xludf.DUMMYFUNCTION("""COMPUTED_VALUE"""),"121704447-3")</f>
        <v>121704447-3</v>
      </c>
      <c r="B5361" s="6" t="str">
        <f>IFERROR(__xludf.DUMMYFUNCTION("""COMPUTED_VALUE"""),"121704447 - APPROVED")</f>
        <v>121704447 - APPROVED</v>
      </c>
      <c r="C5361" s="6">
        <f>IFERROR(__xludf.DUMMYFUNCTION("""COMPUTED_VALUE"""),3.0)</f>
        <v>3</v>
      </c>
      <c r="D5361" s="6" t="str">
        <f>IFERROR(__xludf.DUMMYFUNCTION("""COMPUTED_VALUE"""),"P-20883-00")</f>
        <v>P-20883-00</v>
      </c>
      <c r="E5361" s="6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F5361" s="6">
        <f>IFERROR(__xludf.DUMMYFUNCTION("""COMPUTED_VALUE"""),1.0)</f>
        <v>1</v>
      </c>
      <c r="G5361" s="6" t="str">
        <f>IFERROR(__xludf.DUMMYFUNCTION("""COMPUTED_VALUE"""),"Set")</f>
        <v>Set</v>
      </c>
      <c r="H5361" s="6" t="str">
        <f>IFERROR(__xludf.DUMMYFUNCTION("""COMPUTED_VALUE"""),"IDR")</f>
        <v>IDR</v>
      </c>
      <c r="I5361" s="6">
        <f>IFERROR(__xludf.DUMMYFUNCTION("""COMPUTED_VALUE"""),75000.0)</f>
        <v>75000</v>
      </c>
      <c r="J5361" s="6">
        <f>IFERROR(__xludf.DUMMYFUNCTION("""COMPUTED_VALUE"""),75000.0)</f>
        <v>75000</v>
      </c>
      <c r="K5361" s="57">
        <f>IFERROR(__xludf.DUMMYFUNCTION("""COMPUTED_VALUE"""),46255.0)</f>
        <v>46255</v>
      </c>
      <c r="L5361" s="6" t="str">
        <f>IFERROR(__xludf.DUMMYFUNCTION("""COMPUTED_VALUE"""),"FIP Engineering")</f>
        <v>FIP Engineering</v>
      </c>
      <c r="M5361" s="6" t="str">
        <f>IFERROR(__xludf.DUMMYFUNCTION("""COMPUTED_VALUE"""),"Mochammad Fadhillah Hakim,")</f>
        <v>Mochammad Fadhillah Hakim,</v>
      </c>
      <c r="N5361" s="6" t="str">
        <f>IFERROR(__xludf.DUMMYFUNCTION("""COMPUTED_VALUE"""),"FIP Engineering")</f>
        <v>FIP Engineering</v>
      </c>
      <c r="O5361" s="6" t="str">
        <f>IFERROR(__xludf.DUMMYFUNCTION("""COMPUTED_VALUE"""),"FIP-DOM-000-11304-OS00001-INA-000000")</f>
        <v>FIP-DOM-000-11304-OS00001-INA-000000</v>
      </c>
      <c r="P5361" s="6" t="str">
        <f>IFERROR(__xludf.DUMMYFUNCTION("""COMPUTED_VALUE"""),"PO Open")</f>
        <v>PO Open</v>
      </c>
      <c r="Q5361" s="6" t="str">
        <f>IFERROR(__xludf.DUMMYFUNCTION("""COMPUTED_VALUE"""),"GL2608396")</f>
        <v>GL2608396</v>
      </c>
      <c r="R5361" s="57">
        <f>IFERROR(__xludf.DUMMYFUNCTION("""COMPUTED_VALUE"""),46220.0)</f>
        <v>46220</v>
      </c>
      <c r="S5361" s="57">
        <f>IFERROR(__xludf.DUMMYFUNCTION("""COMPUTED_VALUE"""),46223.0)</f>
        <v>46223</v>
      </c>
      <c r="T5361" s="57">
        <f>IFERROR(__xludf.DUMMYFUNCTION("""COMPUTED_VALUE"""),46285.0)</f>
        <v>46285</v>
      </c>
    </row>
    <row r="5362">
      <c r="A5362" s="6" t="str">
        <f>IFERROR(__xludf.DUMMYFUNCTION("""COMPUTED_VALUE"""),"121704447-4")</f>
        <v>121704447-4</v>
      </c>
      <c r="B5362" s="6" t="str">
        <f>IFERROR(__xludf.DUMMYFUNCTION("""COMPUTED_VALUE"""),"121704447 - APPROVED")</f>
        <v>121704447 - APPROVED</v>
      </c>
      <c r="C5362" s="6">
        <f>IFERROR(__xludf.DUMMYFUNCTION("""COMPUTED_VALUE"""),4.0)</f>
        <v>4</v>
      </c>
      <c r="D5362" s="6" t="str">
        <f>IFERROR(__xludf.DUMMYFUNCTION("""COMPUTED_VALUE"""),"P-50274-00")</f>
        <v>P-50274-00</v>
      </c>
      <c r="E5362" s="6" t="str">
        <f>IFERROR(__xludf.DUMMYFUNCTION("""COMPUTED_VALUE"""),"General - Kabel NYAF Uk. 1 x 0.75mm, Warna Merah; Supreme; -; 100meter/roll")</f>
        <v>General - Kabel NYAF Uk. 1 x 0.75mm, Warna Merah; Supreme; -; 100meter/roll</v>
      </c>
      <c r="F5362" s="6">
        <f>IFERROR(__xludf.DUMMYFUNCTION("""COMPUTED_VALUE"""),1.0)</f>
        <v>1</v>
      </c>
      <c r="G5362" s="6" t="str">
        <f>IFERROR(__xludf.DUMMYFUNCTION("""COMPUTED_VALUE"""),"Pieces")</f>
        <v>Pieces</v>
      </c>
      <c r="H5362" s="6" t="str">
        <f>IFERROR(__xludf.DUMMYFUNCTION("""COMPUTED_VALUE"""),"IDR")</f>
        <v>IDR</v>
      </c>
      <c r="I5362" s="6">
        <f>IFERROR(__xludf.DUMMYFUNCTION("""COMPUTED_VALUE"""),2800000.0)</f>
        <v>2800000</v>
      </c>
      <c r="J5362" s="6">
        <f>IFERROR(__xludf.DUMMYFUNCTION("""COMPUTED_VALUE"""),2800000.0)</f>
        <v>2800000</v>
      </c>
      <c r="K5362" s="57">
        <f>IFERROR(__xludf.DUMMYFUNCTION("""COMPUTED_VALUE"""),46255.0)</f>
        <v>46255</v>
      </c>
      <c r="L5362" s="6" t="str">
        <f>IFERROR(__xludf.DUMMYFUNCTION("""COMPUTED_VALUE"""),"FIP Engineering")</f>
        <v>FIP Engineering</v>
      </c>
      <c r="M5362" s="6" t="str">
        <f>IFERROR(__xludf.DUMMYFUNCTION("""COMPUTED_VALUE"""),"Mochammad Fadhillah Hakim,")</f>
        <v>Mochammad Fadhillah Hakim,</v>
      </c>
      <c r="N5362" s="6" t="str">
        <f>IFERROR(__xludf.DUMMYFUNCTION("""COMPUTED_VALUE"""),"FIP Engineering")</f>
        <v>FIP Engineering</v>
      </c>
      <c r="O5362" s="6" t="str">
        <f>IFERROR(__xludf.DUMMYFUNCTION("""COMPUTED_VALUE"""),"FIP-DOM-000-11304-OS00001-INA-000000")</f>
        <v>FIP-DOM-000-11304-OS00001-INA-000000</v>
      </c>
      <c r="P5362" s="6" t="str">
        <f>IFERROR(__xludf.DUMMYFUNCTION("""COMPUTED_VALUE"""),"PO Open")</f>
        <v>PO Open</v>
      </c>
      <c r="Q5362" s="6" t="str">
        <f>IFERROR(__xludf.DUMMYFUNCTION("""COMPUTED_VALUE"""),"GL2608396")</f>
        <v>GL2608396</v>
      </c>
      <c r="R5362" s="57">
        <f>IFERROR(__xludf.DUMMYFUNCTION("""COMPUTED_VALUE"""),46220.0)</f>
        <v>46220</v>
      </c>
      <c r="S5362" s="57">
        <f>IFERROR(__xludf.DUMMYFUNCTION("""COMPUTED_VALUE"""),46223.0)</f>
        <v>46223</v>
      </c>
      <c r="T5362" s="57">
        <f>IFERROR(__xludf.DUMMYFUNCTION("""COMPUTED_VALUE"""),46285.0)</f>
        <v>46285</v>
      </c>
    </row>
    <row r="5363">
      <c r="A5363" s="6" t="str">
        <f>IFERROR(__xludf.DUMMYFUNCTION("""COMPUTED_VALUE"""),"121704447-5")</f>
        <v>121704447-5</v>
      </c>
      <c r="B5363" s="6" t="str">
        <f>IFERROR(__xludf.DUMMYFUNCTION("""COMPUTED_VALUE"""),"121704447 - APPROVED")</f>
        <v>121704447 - APPROVED</v>
      </c>
      <c r="C5363" s="6">
        <f>IFERROR(__xludf.DUMMYFUNCTION("""COMPUTED_VALUE"""),5.0)</f>
        <v>5</v>
      </c>
      <c r="D5363" s="6" t="str">
        <f>IFERROR(__xludf.DUMMYFUNCTION("""COMPUTED_VALUE"""),"P-52854-00")</f>
        <v>P-52854-00</v>
      </c>
      <c r="E5363" s="6" t="str">
        <f>IFERROR(__xludf.DUMMYFUNCTION("""COMPUTED_VALUE"""),"General - Socket RJ45 Cat 6; Belden; -; 50pcs/pack")</f>
        <v>General - Socket RJ45 Cat 6; Belden; -; 50pcs/pack</v>
      </c>
      <c r="F5363" s="6">
        <f>IFERROR(__xludf.DUMMYFUNCTION("""COMPUTED_VALUE"""),10.0)</f>
        <v>10</v>
      </c>
      <c r="G5363" s="6" t="str">
        <f>IFERROR(__xludf.DUMMYFUNCTION("""COMPUTED_VALUE"""),"Pieces")</f>
        <v>Pieces</v>
      </c>
      <c r="H5363" s="6" t="str">
        <f>IFERROR(__xludf.DUMMYFUNCTION("""COMPUTED_VALUE"""),"IDR")</f>
        <v>IDR</v>
      </c>
      <c r="I5363" s="6">
        <f>IFERROR(__xludf.DUMMYFUNCTION("""COMPUTED_VALUE"""),350000.0)</f>
        <v>350000</v>
      </c>
      <c r="J5363" s="6">
        <f>IFERROR(__xludf.DUMMYFUNCTION("""COMPUTED_VALUE"""),3500000.0)</f>
        <v>3500000</v>
      </c>
      <c r="K5363" s="57">
        <f>IFERROR(__xludf.DUMMYFUNCTION("""COMPUTED_VALUE"""),46255.0)</f>
        <v>46255</v>
      </c>
      <c r="L5363" s="6" t="str">
        <f>IFERROR(__xludf.DUMMYFUNCTION("""COMPUTED_VALUE"""),"FIP Engineering")</f>
        <v>FIP Engineering</v>
      </c>
      <c r="M5363" s="6" t="str">
        <f>IFERROR(__xludf.DUMMYFUNCTION("""COMPUTED_VALUE"""),"Mochammad Fadhillah Hakim,")</f>
        <v>Mochammad Fadhillah Hakim,</v>
      </c>
      <c r="N5363" s="6" t="str">
        <f>IFERROR(__xludf.DUMMYFUNCTION("""COMPUTED_VALUE"""),"FIP Engineering")</f>
        <v>FIP Engineering</v>
      </c>
      <c r="O5363" s="6" t="str">
        <f>IFERROR(__xludf.DUMMYFUNCTION("""COMPUTED_VALUE"""),"FIP-DOM-000-11304-OS00001-INA-000000")</f>
        <v>FIP-DOM-000-11304-OS00001-INA-000000</v>
      </c>
      <c r="P5363" s="6" t="str">
        <f>IFERROR(__xludf.DUMMYFUNCTION("""COMPUTED_VALUE"""),"PO Closed")</f>
        <v>PO Closed</v>
      </c>
      <c r="Q5363" s="6" t="str">
        <f>IFERROR(__xludf.DUMMYFUNCTION("""COMPUTED_VALUE"""),"GL2608397")</f>
        <v>GL2608397</v>
      </c>
      <c r="R5363" s="57">
        <f>IFERROR(__xludf.DUMMYFUNCTION("""COMPUTED_VALUE"""),46220.0)</f>
        <v>46220</v>
      </c>
      <c r="S5363" s="57">
        <f>IFERROR(__xludf.DUMMYFUNCTION("""COMPUTED_VALUE"""),46223.0)</f>
        <v>46223</v>
      </c>
      <c r="T5363" s="57">
        <f>IFERROR(__xludf.DUMMYFUNCTION("""COMPUTED_VALUE"""),46270.0)</f>
        <v>46270</v>
      </c>
    </row>
    <row r="5364">
      <c r="A5364" s="6" t="str">
        <f>IFERROR(__xludf.DUMMYFUNCTION("""COMPUTED_VALUE"""),"121704447-6")</f>
        <v>121704447-6</v>
      </c>
      <c r="B5364" s="6" t="str">
        <f>IFERROR(__xludf.DUMMYFUNCTION("""COMPUTED_VALUE"""),"121704447 - APPROVED")</f>
        <v>121704447 - APPROVED</v>
      </c>
      <c r="C5364" s="6">
        <f>IFERROR(__xludf.DUMMYFUNCTION("""COMPUTED_VALUE"""),6.0)</f>
        <v>6</v>
      </c>
      <c r="D5364" s="6" t="str">
        <f>IFERROR(__xludf.DUMMYFUNCTION("""COMPUTED_VALUE"""),"P-54685-00")</f>
        <v>P-54685-00</v>
      </c>
      <c r="E5364" s="6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F5364" s="6">
        <f>IFERROR(__xludf.DUMMYFUNCTION("""COMPUTED_VALUE"""),2.0)</f>
        <v>2</v>
      </c>
      <c r="G5364" s="6" t="str">
        <f>IFERROR(__xludf.DUMMYFUNCTION("""COMPUTED_VALUE"""),"Pieces")</f>
        <v>Pieces</v>
      </c>
      <c r="H5364" s="6" t="str">
        <f>IFERROR(__xludf.DUMMYFUNCTION("""COMPUTED_VALUE"""),"IDR")</f>
        <v>IDR</v>
      </c>
      <c r="I5364" s="6">
        <f>IFERROR(__xludf.DUMMYFUNCTION("""COMPUTED_VALUE"""),510000.0)</f>
        <v>510000</v>
      </c>
      <c r="J5364" s="6">
        <f>IFERROR(__xludf.DUMMYFUNCTION("""COMPUTED_VALUE"""),1020000.0)</f>
        <v>1020000</v>
      </c>
      <c r="K5364" s="57">
        <f>IFERROR(__xludf.DUMMYFUNCTION("""COMPUTED_VALUE"""),46255.0)</f>
        <v>46255</v>
      </c>
      <c r="L5364" s="6" t="str">
        <f>IFERROR(__xludf.DUMMYFUNCTION("""COMPUTED_VALUE"""),"FIP Engineering")</f>
        <v>FIP Engineering</v>
      </c>
      <c r="M5364" s="6" t="str">
        <f>IFERROR(__xludf.DUMMYFUNCTION("""COMPUTED_VALUE"""),"Mochammad Fadhillah Hakim,")</f>
        <v>Mochammad Fadhillah Hakim,</v>
      </c>
      <c r="N5364" s="6" t="str">
        <f>IFERROR(__xludf.DUMMYFUNCTION("""COMPUTED_VALUE"""),"FIP Engineering")</f>
        <v>FIP Engineering</v>
      </c>
      <c r="O5364" s="6" t="str">
        <f>IFERROR(__xludf.DUMMYFUNCTION("""COMPUTED_VALUE"""),"FIP-DOM-000-11304-OS00001-INA-000000")</f>
        <v>FIP-DOM-000-11304-OS00001-INA-000000</v>
      </c>
      <c r="P5364" s="6" t="str">
        <f>IFERROR(__xludf.DUMMYFUNCTION("""COMPUTED_VALUE"""),"PO Closed")</f>
        <v>PO Closed</v>
      </c>
      <c r="Q5364" s="6" t="str">
        <f>IFERROR(__xludf.DUMMYFUNCTION("""COMPUTED_VALUE"""),"GL2608397")</f>
        <v>GL2608397</v>
      </c>
      <c r="R5364" s="57">
        <f>IFERROR(__xludf.DUMMYFUNCTION("""COMPUTED_VALUE"""),46220.0)</f>
        <v>46220</v>
      </c>
      <c r="S5364" s="57">
        <f>IFERROR(__xludf.DUMMYFUNCTION("""COMPUTED_VALUE"""),46223.0)</f>
        <v>46223</v>
      </c>
      <c r="T5364" s="57">
        <f>IFERROR(__xludf.DUMMYFUNCTION("""COMPUTED_VALUE"""),46270.0)</f>
        <v>46270</v>
      </c>
    </row>
    <row r="5365">
      <c r="A5365" s="6" t="str">
        <f>IFERROR(__xludf.DUMMYFUNCTION("""COMPUTED_VALUE"""),"121704448-1")</f>
        <v>121704448-1</v>
      </c>
      <c r="B5365" s="6" t="str">
        <f>IFERROR(__xludf.DUMMYFUNCTION("""COMPUTED_VALUE"""),"121704448 - APPROVED")</f>
        <v>121704448 - APPROVED</v>
      </c>
      <c r="C5365" s="6">
        <f>IFERROR(__xludf.DUMMYFUNCTION("""COMPUTED_VALUE"""),1.0)</f>
        <v>1</v>
      </c>
      <c r="D5365" s="6" t="str">
        <f>IFERROR(__xludf.DUMMYFUNCTION("""COMPUTED_VALUE"""),"O-53642-00")</f>
        <v>O-53642-00</v>
      </c>
      <c r="E5365" s="6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F5365" s="6">
        <f>IFERROR(__xludf.DUMMYFUNCTION("""COMPUTED_VALUE"""),2.0)</f>
        <v>2</v>
      </c>
      <c r="G5365" s="6" t="str">
        <f>IFERROR(__xludf.DUMMYFUNCTION("""COMPUTED_VALUE"""),"Pieces")</f>
        <v>Pieces</v>
      </c>
      <c r="H5365" s="6" t="str">
        <f>IFERROR(__xludf.DUMMYFUNCTION("""COMPUTED_VALUE"""),"IDR")</f>
        <v>IDR</v>
      </c>
      <c r="I5365" s="6">
        <f>IFERROR(__xludf.DUMMYFUNCTION("""COMPUTED_VALUE"""),30000.0)</f>
        <v>30000</v>
      </c>
      <c r="J5365" s="6">
        <f>IFERROR(__xludf.DUMMYFUNCTION("""COMPUTED_VALUE"""),60000.0)</f>
        <v>60000</v>
      </c>
      <c r="K5365" s="57">
        <f>IFERROR(__xludf.DUMMYFUNCTION("""COMPUTED_VALUE"""),46255.0)</f>
        <v>46255</v>
      </c>
      <c r="L5365" s="6" t="str">
        <f>IFERROR(__xludf.DUMMYFUNCTION("""COMPUTED_VALUE"""),"FIP Engineering")</f>
        <v>FIP Engineering</v>
      </c>
      <c r="M5365" s="6" t="str">
        <f>IFERROR(__xludf.DUMMYFUNCTION("""COMPUTED_VALUE"""),"Mochammad Fadhillah Hakim,")</f>
        <v>Mochammad Fadhillah Hakim,</v>
      </c>
      <c r="N5365" s="6" t="str">
        <f>IFERROR(__xludf.DUMMYFUNCTION("""COMPUTED_VALUE"""),"FIP Engineering")</f>
        <v>FIP Engineering</v>
      </c>
      <c r="O5365" s="6" t="str">
        <f>IFERROR(__xludf.DUMMYFUNCTION("""COMPUTED_VALUE"""),"FIP-DOM-000-11304-OS00001-INA-000000")</f>
        <v>FIP-DOM-000-11304-OS00001-INA-000000</v>
      </c>
      <c r="P5365" s="6" t="str">
        <f>IFERROR(__xludf.DUMMYFUNCTION("""COMPUTED_VALUE"""),"PO Closed")</f>
        <v>PO Closed</v>
      </c>
      <c r="Q5365" s="6" t="str">
        <f>IFERROR(__xludf.DUMMYFUNCTION("""COMPUTED_VALUE"""),"GL2608399")</f>
        <v>GL2608399</v>
      </c>
      <c r="R5365" s="57">
        <f>IFERROR(__xludf.DUMMYFUNCTION("""COMPUTED_VALUE"""),46220.0)</f>
        <v>46220</v>
      </c>
      <c r="S5365" s="57">
        <f>IFERROR(__xludf.DUMMYFUNCTION("""COMPUTED_VALUE"""),46223.0)</f>
        <v>46223</v>
      </c>
      <c r="T5365" s="57">
        <f>IFERROR(__xludf.DUMMYFUNCTION("""COMPUTED_VALUE"""),46280.0)</f>
        <v>46280</v>
      </c>
    </row>
    <row r="5366">
      <c r="A5366" s="6" t="str">
        <f>IFERROR(__xludf.DUMMYFUNCTION("""COMPUTED_VALUE"""),"121704450-1")</f>
        <v>121704450-1</v>
      </c>
      <c r="B5366" s="6" t="str">
        <f>IFERROR(__xludf.DUMMYFUNCTION("""COMPUTED_VALUE"""),"121704450 - APPROVED")</f>
        <v>121704450 - APPROVED</v>
      </c>
      <c r="C5366" s="6">
        <f>IFERROR(__xludf.DUMMYFUNCTION("""COMPUTED_VALUE"""),1.0)</f>
        <v>1</v>
      </c>
      <c r="D5366" s="6" t="str">
        <f>IFERROR(__xludf.DUMMYFUNCTION("""COMPUTED_VALUE"""),"P-14951-00")</f>
        <v>P-14951-00</v>
      </c>
      <c r="E5366" s="6" t="str">
        <f>IFERROR(__xludf.DUMMYFUNCTION("""COMPUTED_VALUE"""),"General - Fitting Union Tee KQ2T06-00A; SMC; -; 1 pc")</f>
        <v>General - Fitting Union Tee KQ2T06-00A; SMC; -; 1 pc</v>
      </c>
      <c r="F5366" s="6">
        <f>IFERROR(__xludf.DUMMYFUNCTION("""COMPUTED_VALUE"""),10.0)</f>
        <v>10</v>
      </c>
      <c r="G5366" s="6" t="str">
        <f>IFERROR(__xludf.DUMMYFUNCTION("""COMPUTED_VALUE"""),"Pieces")</f>
        <v>Pieces</v>
      </c>
      <c r="H5366" s="6" t="str">
        <f>IFERROR(__xludf.DUMMYFUNCTION("""COMPUTED_VALUE"""),"IDR")</f>
        <v>IDR</v>
      </c>
      <c r="I5366" s="6">
        <f>IFERROR(__xludf.DUMMYFUNCTION("""COMPUTED_VALUE"""),41230.0)</f>
        <v>41230</v>
      </c>
      <c r="J5366" s="6">
        <f>IFERROR(__xludf.DUMMYFUNCTION("""COMPUTED_VALUE"""),412300.0)</f>
        <v>412300</v>
      </c>
      <c r="K5366" s="57">
        <f>IFERROR(__xludf.DUMMYFUNCTION("""COMPUTED_VALUE"""),46255.0)</f>
        <v>46255</v>
      </c>
      <c r="L5366" s="6" t="str">
        <f>IFERROR(__xludf.DUMMYFUNCTION("""COMPUTED_VALUE"""),"FIP Engineering")</f>
        <v>FIP Engineering</v>
      </c>
      <c r="M5366" s="6" t="str">
        <f>IFERROR(__xludf.DUMMYFUNCTION("""COMPUTED_VALUE"""),"Mochammad Fadhillah Hakim,")</f>
        <v>Mochammad Fadhillah Hakim,</v>
      </c>
      <c r="N5366" s="6" t="str">
        <f>IFERROR(__xludf.DUMMYFUNCTION("""COMPUTED_VALUE"""),"FIP Engineering")</f>
        <v>FIP Engineering</v>
      </c>
      <c r="O5366" s="6" t="str">
        <f>IFERROR(__xludf.DUMMYFUNCTION("""COMPUTED_VALUE"""),"FIP-DOM-000-11304-OS00001-INA-000000")</f>
        <v>FIP-DOM-000-11304-OS00001-INA-000000</v>
      </c>
      <c r="P5366" s="6" t="str">
        <f>IFERROR(__xludf.DUMMYFUNCTION("""COMPUTED_VALUE"""),"PO Closed")</f>
        <v>PO Closed</v>
      </c>
      <c r="Q5366" s="6" t="str">
        <f>IFERROR(__xludf.DUMMYFUNCTION("""COMPUTED_VALUE"""),"GL2608391")</f>
        <v>GL2608391</v>
      </c>
      <c r="R5366" s="57">
        <f>IFERROR(__xludf.DUMMYFUNCTION("""COMPUTED_VALUE"""),46220.0)</f>
        <v>46220</v>
      </c>
      <c r="S5366" s="57">
        <f>IFERROR(__xludf.DUMMYFUNCTION("""COMPUTED_VALUE"""),46223.0)</f>
        <v>46223</v>
      </c>
      <c r="T5366" s="57">
        <f>IFERROR(__xludf.DUMMYFUNCTION("""COMPUTED_VALUE"""),46270.0)</f>
        <v>46270</v>
      </c>
    </row>
    <row r="5367">
      <c r="A5367" s="6" t="str">
        <f>IFERROR(__xludf.DUMMYFUNCTION("""COMPUTED_VALUE"""),"121704451-1")</f>
        <v>121704451-1</v>
      </c>
      <c r="B5367" s="6" t="str">
        <f>IFERROR(__xludf.DUMMYFUNCTION("""COMPUTED_VALUE"""),"121704451 - APPROVED")</f>
        <v>121704451 - APPROVED</v>
      </c>
      <c r="C5367" s="6">
        <f>IFERROR(__xludf.DUMMYFUNCTION("""COMPUTED_VALUE"""),1.0)</f>
        <v>1</v>
      </c>
      <c r="D5367" s="6" t="str">
        <f>IFERROR(__xludf.DUMMYFUNCTION("""COMPUTED_VALUE"""),"P-51916-00")</f>
        <v>P-51916-00</v>
      </c>
      <c r="E5367" s="6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F5367" s="6">
        <f>IFERROR(__xludf.DUMMYFUNCTION("""COMPUTED_VALUE"""),5.0)</f>
        <v>5</v>
      </c>
      <c r="G5367" s="6" t="str">
        <f>IFERROR(__xludf.DUMMYFUNCTION("""COMPUTED_VALUE"""),"Pieces")</f>
        <v>Pieces</v>
      </c>
      <c r="H5367" s="6" t="str">
        <f>IFERROR(__xludf.DUMMYFUNCTION("""COMPUTED_VALUE"""),"IDR")</f>
        <v>IDR</v>
      </c>
      <c r="I5367" s="6">
        <f>IFERROR(__xludf.DUMMYFUNCTION("""COMPUTED_VALUE"""),6000000.0)</f>
        <v>6000000</v>
      </c>
      <c r="J5367" s="6">
        <f>IFERROR(__xludf.DUMMYFUNCTION("""COMPUTED_VALUE"""),3.0E7)</f>
        <v>30000000</v>
      </c>
      <c r="K5367" s="57">
        <f>IFERROR(__xludf.DUMMYFUNCTION("""COMPUTED_VALUE"""),46255.0)</f>
        <v>46255</v>
      </c>
      <c r="L5367" s="6" t="str">
        <f>IFERROR(__xludf.DUMMYFUNCTION("""COMPUTED_VALUE"""),"FIP Engineering")</f>
        <v>FIP Engineering</v>
      </c>
      <c r="M5367" s="6" t="str">
        <f>IFERROR(__xludf.DUMMYFUNCTION("""COMPUTED_VALUE"""),"Mochammad Fadhillah Hakim,")</f>
        <v>Mochammad Fadhillah Hakim,</v>
      </c>
      <c r="N5367" s="6" t="str">
        <f>IFERROR(__xludf.DUMMYFUNCTION("""COMPUTED_VALUE"""),"FIP Engineering")</f>
        <v>FIP Engineering</v>
      </c>
      <c r="O5367" s="6" t="str">
        <f>IFERROR(__xludf.DUMMYFUNCTION("""COMPUTED_VALUE"""),"FIP-DOM-000-11304-OS00001-INA-000000")</f>
        <v>FIP-DOM-000-11304-OS00001-INA-000000</v>
      </c>
      <c r="P5367" s="6" t="str">
        <f>IFERROR(__xludf.DUMMYFUNCTION("""COMPUTED_VALUE"""),"PO Open")</f>
        <v>PO Open</v>
      </c>
      <c r="Q5367" s="6" t="str">
        <f>IFERROR(__xludf.DUMMYFUNCTION("""COMPUTED_VALUE"""),"GL2608023")</f>
        <v>GL2608023</v>
      </c>
      <c r="R5367" s="57">
        <f>IFERROR(__xludf.DUMMYFUNCTION("""COMPUTED_VALUE"""),46220.0)</f>
        <v>46220</v>
      </c>
      <c r="S5367" s="57">
        <f>IFERROR(__xludf.DUMMYFUNCTION("""COMPUTED_VALUE"""),46226.0)</f>
        <v>46226</v>
      </c>
      <c r="T5367" s="57">
        <f>IFERROR(__xludf.DUMMYFUNCTION("""COMPUTED_VALUE"""),46264.0)</f>
        <v>46264</v>
      </c>
    </row>
    <row r="5368">
      <c r="A5368" s="6" t="str">
        <f>IFERROR(__xludf.DUMMYFUNCTION("""COMPUTED_VALUE"""),"121704452-1")</f>
        <v>121704452-1</v>
      </c>
      <c r="B5368" s="6" t="str">
        <f>IFERROR(__xludf.DUMMYFUNCTION("""COMPUTED_VALUE"""),"121704452 - APPROVED")</f>
        <v>121704452 - APPROVED</v>
      </c>
      <c r="C5368" s="6">
        <f>IFERROR(__xludf.DUMMYFUNCTION("""COMPUTED_VALUE"""),1.0)</f>
        <v>1</v>
      </c>
      <c r="D5368" s="6" t="str">
        <f>IFERROR(__xludf.DUMMYFUNCTION("""COMPUTED_VALUE"""),"Q-12140-00")</f>
        <v>Q-12140-00</v>
      </c>
      <c r="E5368" s="6" t="str">
        <f>IFERROR(__xludf.DUMMYFUNCTION("""COMPUTED_VALUE"""),"Cat Semprot Signal Red 23; Samurai Paint; Signal Red 23; 400 ml per can")</f>
        <v>Cat Semprot Signal Red 23; Samurai Paint; Signal Red 23; 400 ml per can</v>
      </c>
      <c r="F5368" s="6">
        <f>IFERROR(__xludf.DUMMYFUNCTION("""COMPUTED_VALUE"""),1.0)</f>
        <v>1</v>
      </c>
      <c r="G5368" s="6" t="str">
        <f>IFERROR(__xludf.DUMMYFUNCTION("""COMPUTED_VALUE"""),"Pieces")</f>
        <v>Pieces</v>
      </c>
      <c r="H5368" s="6" t="str">
        <f>IFERROR(__xludf.DUMMYFUNCTION("""COMPUTED_VALUE"""),"IDR")</f>
        <v>IDR</v>
      </c>
      <c r="I5368" s="6">
        <f>IFERROR(__xludf.DUMMYFUNCTION("""COMPUTED_VALUE"""),65000.0)</f>
        <v>65000</v>
      </c>
      <c r="J5368" s="6">
        <f>IFERROR(__xludf.DUMMYFUNCTION("""COMPUTED_VALUE"""),65000.0)</f>
        <v>65000</v>
      </c>
      <c r="K5368" s="57">
        <f>IFERROR(__xludf.DUMMYFUNCTION("""COMPUTED_VALUE"""),46255.0)</f>
        <v>46255</v>
      </c>
      <c r="L5368" s="6" t="str">
        <f>IFERROR(__xludf.DUMMYFUNCTION("""COMPUTED_VALUE"""),"FIP General")</f>
        <v>FIP General</v>
      </c>
      <c r="M5368" s="6" t="str">
        <f>IFERROR(__xludf.DUMMYFUNCTION("""COMPUTED_VALUE"""),"Mochammad Fadhillah Hakim,")</f>
        <v>Mochammad Fadhillah Hakim,</v>
      </c>
      <c r="N5368" s="6" t="str">
        <f>IFERROR(__xludf.DUMMYFUNCTION("""COMPUTED_VALUE"""),"FIP Engineering")</f>
        <v>FIP Engineering</v>
      </c>
      <c r="O5368" s="6" t="str">
        <f>IFERROR(__xludf.DUMMYFUNCTION("""COMPUTED_VALUE"""),"FIP-DOM-ENG-51502-0000000-INA-000000")</f>
        <v>FIP-DOM-ENG-51502-0000000-INA-000000</v>
      </c>
      <c r="P5368" s="6" t="str">
        <f>IFERROR(__xludf.DUMMYFUNCTION("""COMPUTED_VALUE"""),"PO Closed")</f>
        <v>PO Closed</v>
      </c>
      <c r="Q5368" s="6" t="str">
        <f>IFERROR(__xludf.DUMMYFUNCTION("""COMPUTED_VALUE"""),"GL2608399")</f>
        <v>GL2608399</v>
      </c>
      <c r="R5368" s="57">
        <f>IFERROR(__xludf.DUMMYFUNCTION("""COMPUTED_VALUE"""),46220.0)</f>
        <v>46220</v>
      </c>
      <c r="S5368" s="57">
        <f>IFERROR(__xludf.DUMMYFUNCTION("""COMPUTED_VALUE"""),46223.0)</f>
        <v>46223</v>
      </c>
      <c r="T5368" s="57">
        <f>IFERROR(__xludf.DUMMYFUNCTION("""COMPUTED_VALUE"""),46280.0)</f>
        <v>46280</v>
      </c>
    </row>
    <row r="5369">
      <c r="A5369" s="6" t="str">
        <f>IFERROR(__xludf.DUMMYFUNCTION("""COMPUTED_VALUE"""),"121704452-2")</f>
        <v>121704452-2</v>
      </c>
      <c r="B5369" s="6" t="str">
        <f>IFERROR(__xludf.DUMMYFUNCTION("""COMPUTED_VALUE"""),"121704452 - APPROVED")</f>
        <v>121704452 - APPROVED</v>
      </c>
      <c r="C5369" s="6">
        <f>IFERROR(__xludf.DUMMYFUNCTION("""COMPUTED_VALUE"""),2.0)</f>
        <v>2</v>
      </c>
      <c r="D5369" s="6" t="str">
        <f>IFERROR(__xludf.DUMMYFUNCTION("""COMPUTED_VALUE"""),"Q-12141-00")</f>
        <v>Q-12141-00</v>
      </c>
      <c r="E5369" s="6" t="str">
        <f>IFERROR(__xludf.DUMMYFUNCTION("""COMPUTED_VALUE"""),"Cat Semprot Blue 312; Samurai Paint; Blue 312; 400 ml per can")</f>
        <v>Cat Semprot Blue 312; Samurai Paint; Blue 312; 400 ml per can</v>
      </c>
      <c r="F5369" s="6">
        <f>IFERROR(__xludf.DUMMYFUNCTION("""COMPUTED_VALUE"""),1.0)</f>
        <v>1</v>
      </c>
      <c r="G5369" s="6" t="str">
        <f>IFERROR(__xludf.DUMMYFUNCTION("""COMPUTED_VALUE"""),"Pieces")</f>
        <v>Pieces</v>
      </c>
      <c r="H5369" s="6" t="str">
        <f>IFERROR(__xludf.DUMMYFUNCTION("""COMPUTED_VALUE"""),"IDR")</f>
        <v>IDR</v>
      </c>
      <c r="I5369" s="6">
        <f>IFERROR(__xludf.DUMMYFUNCTION("""COMPUTED_VALUE"""),65000.0)</f>
        <v>65000</v>
      </c>
      <c r="J5369" s="6">
        <f>IFERROR(__xludf.DUMMYFUNCTION("""COMPUTED_VALUE"""),65000.0)</f>
        <v>65000</v>
      </c>
      <c r="K5369" s="57">
        <f>IFERROR(__xludf.DUMMYFUNCTION("""COMPUTED_VALUE"""),46255.0)</f>
        <v>46255</v>
      </c>
      <c r="L5369" s="6" t="str">
        <f>IFERROR(__xludf.DUMMYFUNCTION("""COMPUTED_VALUE"""),"FIP General")</f>
        <v>FIP General</v>
      </c>
      <c r="M5369" s="6" t="str">
        <f>IFERROR(__xludf.DUMMYFUNCTION("""COMPUTED_VALUE"""),"Mochammad Fadhillah Hakim,")</f>
        <v>Mochammad Fadhillah Hakim,</v>
      </c>
      <c r="N5369" s="6" t="str">
        <f>IFERROR(__xludf.DUMMYFUNCTION("""COMPUTED_VALUE"""),"FIP Engineering")</f>
        <v>FIP Engineering</v>
      </c>
      <c r="O5369" s="6" t="str">
        <f>IFERROR(__xludf.DUMMYFUNCTION("""COMPUTED_VALUE"""),"FIP-DOM-ENG-51502-0000000-INA-000000")</f>
        <v>FIP-DOM-ENG-51502-0000000-INA-000000</v>
      </c>
      <c r="P5369" s="6" t="str">
        <f>IFERROR(__xludf.DUMMYFUNCTION("""COMPUTED_VALUE"""),"PO Closed")</f>
        <v>PO Closed</v>
      </c>
      <c r="Q5369" s="6" t="str">
        <f>IFERROR(__xludf.DUMMYFUNCTION("""COMPUTED_VALUE"""),"GL2608399")</f>
        <v>GL2608399</v>
      </c>
      <c r="R5369" s="57">
        <f>IFERROR(__xludf.DUMMYFUNCTION("""COMPUTED_VALUE"""),46220.0)</f>
        <v>46220</v>
      </c>
      <c r="S5369" s="57">
        <f>IFERROR(__xludf.DUMMYFUNCTION("""COMPUTED_VALUE"""),46223.0)</f>
        <v>46223</v>
      </c>
      <c r="T5369" s="57">
        <f>IFERROR(__xludf.DUMMYFUNCTION("""COMPUTED_VALUE"""),46280.0)</f>
        <v>46280</v>
      </c>
    </row>
    <row r="5370">
      <c r="A5370" s="6" t="str">
        <f>IFERROR(__xludf.DUMMYFUNCTION("""COMPUTED_VALUE"""),"121704452-3")</f>
        <v>121704452-3</v>
      </c>
      <c r="B5370" s="6" t="str">
        <f>IFERROR(__xludf.DUMMYFUNCTION("""COMPUTED_VALUE"""),"121704452 - APPROVED")</f>
        <v>121704452 - APPROVED</v>
      </c>
      <c r="C5370" s="6">
        <f>IFERROR(__xludf.DUMMYFUNCTION("""COMPUTED_VALUE"""),3.0)</f>
        <v>3</v>
      </c>
      <c r="D5370" s="6" t="str">
        <f>IFERROR(__xludf.DUMMYFUNCTION("""COMPUTED_VALUE"""),"Q-12142-00")</f>
        <v>Q-12142-00</v>
      </c>
      <c r="E5370" s="6" t="str">
        <f>IFERROR(__xludf.DUMMYFUNCTION("""COMPUTED_VALUE"""),"Cat Semprot Grey 104; Samurai Paint; Grey 104; 400 ml per can")</f>
        <v>Cat Semprot Grey 104; Samurai Paint; Grey 104; 400 ml per can</v>
      </c>
      <c r="F5370" s="6">
        <f>IFERROR(__xludf.DUMMYFUNCTION("""COMPUTED_VALUE"""),1.0)</f>
        <v>1</v>
      </c>
      <c r="G5370" s="6" t="str">
        <f>IFERROR(__xludf.DUMMYFUNCTION("""COMPUTED_VALUE"""),"Pieces")</f>
        <v>Pieces</v>
      </c>
      <c r="H5370" s="6" t="str">
        <f>IFERROR(__xludf.DUMMYFUNCTION("""COMPUTED_VALUE"""),"IDR")</f>
        <v>IDR</v>
      </c>
      <c r="I5370" s="6">
        <f>IFERROR(__xludf.DUMMYFUNCTION("""COMPUTED_VALUE"""),65000.0)</f>
        <v>65000</v>
      </c>
      <c r="J5370" s="6">
        <f>IFERROR(__xludf.DUMMYFUNCTION("""COMPUTED_VALUE"""),65000.0)</f>
        <v>65000</v>
      </c>
      <c r="K5370" s="57">
        <f>IFERROR(__xludf.DUMMYFUNCTION("""COMPUTED_VALUE"""),46255.0)</f>
        <v>46255</v>
      </c>
      <c r="L5370" s="6" t="str">
        <f>IFERROR(__xludf.DUMMYFUNCTION("""COMPUTED_VALUE"""),"FIP General")</f>
        <v>FIP General</v>
      </c>
      <c r="M5370" s="6" t="str">
        <f>IFERROR(__xludf.DUMMYFUNCTION("""COMPUTED_VALUE"""),"Mochammad Fadhillah Hakim,")</f>
        <v>Mochammad Fadhillah Hakim,</v>
      </c>
      <c r="N5370" s="6" t="str">
        <f>IFERROR(__xludf.DUMMYFUNCTION("""COMPUTED_VALUE"""),"FIP Engineering")</f>
        <v>FIP Engineering</v>
      </c>
      <c r="O5370" s="6" t="str">
        <f>IFERROR(__xludf.DUMMYFUNCTION("""COMPUTED_VALUE"""),"FIP-DOM-ENG-51502-0000000-INA-000000")</f>
        <v>FIP-DOM-ENG-51502-0000000-INA-000000</v>
      </c>
      <c r="P5370" s="6" t="str">
        <f>IFERROR(__xludf.DUMMYFUNCTION("""COMPUTED_VALUE"""),"PO Closed")</f>
        <v>PO Closed</v>
      </c>
      <c r="Q5370" s="6" t="str">
        <f>IFERROR(__xludf.DUMMYFUNCTION("""COMPUTED_VALUE"""),"GL2608399")</f>
        <v>GL2608399</v>
      </c>
      <c r="R5370" s="57">
        <f>IFERROR(__xludf.DUMMYFUNCTION("""COMPUTED_VALUE"""),46220.0)</f>
        <v>46220</v>
      </c>
      <c r="S5370" s="57">
        <f>IFERROR(__xludf.DUMMYFUNCTION("""COMPUTED_VALUE"""),46223.0)</f>
        <v>46223</v>
      </c>
      <c r="T5370" s="57">
        <f>IFERROR(__xludf.DUMMYFUNCTION("""COMPUTED_VALUE"""),46280.0)</f>
        <v>46280</v>
      </c>
    </row>
    <row r="5371">
      <c r="A5371" s="6" t="str">
        <f>IFERROR(__xludf.DUMMYFUNCTION("""COMPUTED_VALUE"""),"121704452-4")</f>
        <v>121704452-4</v>
      </c>
      <c r="B5371" s="6" t="str">
        <f>IFERROR(__xludf.DUMMYFUNCTION("""COMPUTED_VALUE"""),"121704452 - APPROVED")</f>
        <v>121704452 - APPROVED</v>
      </c>
      <c r="C5371" s="6">
        <f>IFERROR(__xludf.DUMMYFUNCTION("""COMPUTED_VALUE"""),4.0)</f>
        <v>4</v>
      </c>
      <c r="D5371" s="6" t="str">
        <f>IFERROR(__xludf.DUMMYFUNCTION("""COMPUTED_VALUE"""),"Q-12143-00")</f>
        <v>Q-12143-00</v>
      </c>
      <c r="E5371" s="6" t="str">
        <f>IFERROR(__xludf.DUMMYFUNCTION("""COMPUTED_VALUE"""),"Cat Semprot Chrome Yellow; Samurai Paint; Chrome Yellow; 400 ml per can")</f>
        <v>Cat Semprot Chrome Yellow; Samurai Paint; Chrome Yellow; 400 ml per can</v>
      </c>
      <c r="F5371" s="6">
        <f>IFERROR(__xludf.DUMMYFUNCTION("""COMPUTED_VALUE"""),1.0)</f>
        <v>1</v>
      </c>
      <c r="G5371" s="6" t="str">
        <f>IFERROR(__xludf.DUMMYFUNCTION("""COMPUTED_VALUE"""),"Pieces")</f>
        <v>Pieces</v>
      </c>
      <c r="H5371" s="6" t="str">
        <f>IFERROR(__xludf.DUMMYFUNCTION("""COMPUTED_VALUE"""),"IDR")</f>
        <v>IDR</v>
      </c>
      <c r="I5371" s="6">
        <f>IFERROR(__xludf.DUMMYFUNCTION("""COMPUTED_VALUE"""),65000.0)</f>
        <v>65000</v>
      </c>
      <c r="J5371" s="6">
        <f>IFERROR(__xludf.DUMMYFUNCTION("""COMPUTED_VALUE"""),65000.0)</f>
        <v>65000</v>
      </c>
      <c r="K5371" s="57">
        <f>IFERROR(__xludf.DUMMYFUNCTION("""COMPUTED_VALUE"""),46255.0)</f>
        <v>46255</v>
      </c>
      <c r="L5371" s="6" t="str">
        <f>IFERROR(__xludf.DUMMYFUNCTION("""COMPUTED_VALUE"""),"FIP General")</f>
        <v>FIP General</v>
      </c>
      <c r="M5371" s="6" t="str">
        <f>IFERROR(__xludf.DUMMYFUNCTION("""COMPUTED_VALUE"""),"Mochammad Fadhillah Hakim,")</f>
        <v>Mochammad Fadhillah Hakim,</v>
      </c>
      <c r="N5371" s="6" t="str">
        <f>IFERROR(__xludf.DUMMYFUNCTION("""COMPUTED_VALUE"""),"FIP Engineering")</f>
        <v>FIP Engineering</v>
      </c>
      <c r="O5371" s="6" t="str">
        <f>IFERROR(__xludf.DUMMYFUNCTION("""COMPUTED_VALUE"""),"FIP-DOM-ENG-51502-0000000-INA-000000")</f>
        <v>FIP-DOM-ENG-51502-0000000-INA-000000</v>
      </c>
      <c r="P5371" s="6" t="str">
        <f>IFERROR(__xludf.DUMMYFUNCTION("""COMPUTED_VALUE"""),"PO Closed")</f>
        <v>PO Closed</v>
      </c>
      <c r="Q5371" s="6" t="str">
        <f>IFERROR(__xludf.DUMMYFUNCTION("""COMPUTED_VALUE"""),"GL2608399")</f>
        <v>GL2608399</v>
      </c>
      <c r="R5371" s="57">
        <f>IFERROR(__xludf.DUMMYFUNCTION("""COMPUTED_VALUE"""),46220.0)</f>
        <v>46220</v>
      </c>
      <c r="S5371" s="57">
        <f>IFERROR(__xludf.DUMMYFUNCTION("""COMPUTED_VALUE"""),46223.0)</f>
        <v>46223</v>
      </c>
      <c r="T5371" s="57">
        <f>IFERROR(__xludf.DUMMYFUNCTION("""COMPUTED_VALUE"""),46280.0)</f>
        <v>46280</v>
      </c>
    </row>
    <row r="5372">
      <c r="A5372" s="6" t="str">
        <f>IFERROR(__xludf.DUMMYFUNCTION("""COMPUTED_VALUE"""),"121704452-5")</f>
        <v>121704452-5</v>
      </c>
      <c r="B5372" s="6" t="str">
        <f>IFERROR(__xludf.DUMMYFUNCTION("""COMPUTED_VALUE"""),"121704452 - APPROVED")</f>
        <v>121704452 - APPROVED</v>
      </c>
      <c r="C5372" s="6">
        <f>IFERROR(__xludf.DUMMYFUNCTION("""COMPUTED_VALUE"""),5.0)</f>
        <v>5</v>
      </c>
      <c r="D5372" s="6" t="str">
        <f>IFERROR(__xludf.DUMMYFUNCTION("""COMPUTED_VALUE"""),"Q-12145-00")</f>
        <v>Q-12145-00</v>
      </c>
      <c r="E5372" s="6" t="str">
        <f>IFERROR(__xludf.DUMMYFUNCTION("""COMPUTED_VALUE"""),"KKasa Gypsum Tanpa Lem Ukuran 1 inch; Lokal; ; 20 meter per roll")</f>
        <v>KKasa Gypsum Tanpa Lem Ukuran 1 inch; Lokal; ; 20 meter per roll</v>
      </c>
      <c r="F5372" s="6">
        <f>IFERROR(__xludf.DUMMYFUNCTION("""COMPUTED_VALUE"""),5.0)</f>
        <v>5</v>
      </c>
      <c r="G5372" s="6" t="str">
        <f>IFERROR(__xludf.DUMMYFUNCTION("""COMPUTED_VALUE"""),"Roll")</f>
        <v>Roll</v>
      </c>
      <c r="H5372" s="6" t="str">
        <f>IFERROR(__xludf.DUMMYFUNCTION("""COMPUTED_VALUE"""),"IDR")</f>
        <v>IDR</v>
      </c>
      <c r="I5372" s="6">
        <f>IFERROR(__xludf.DUMMYFUNCTION("""COMPUTED_VALUE"""),15000.0)</f>
        <v>15000</v>
      </c>
      <c r="J5372" s="6">
        <f>IFERROR(__xludf.DUMMYFUNCTION("""COMPUTED_VALUE"""),75000.0)</f>
        <v>75000</v>
      </c>
      <c r="K5372" s="57">
        <f>IFERROR(__xludf.DUMMYFUNCTION("""COMPUTED_VALUE"""),46255.0)</f>
        <v>46255</v>
      </c>
      <c r="L5372" s="6" t="str">
        <f>IFERROR(__xludf.DUMMYFUNCTION("""COMPUTED_VALUE"""),"FIP General")</f>
        <v>FIP General</v>
      </c>
      <c r="M5372" s="6" t="str">
        <f>IFERROR(__xludf.DUMMYFUNCTION("""COMPUTED_VALUE"""),"Mochammad Fadhillah Hakim,")</f>
        <v>Mochammad Fadhillah Hakim,</v>
      </c>
      <c r="N5372" s="6" t="str">
        <f>IFERROR(__xludf.DUMMYFUNCTION("""COMPUTED_VALUE"""),"FIP Engineering")</f>
        <v>FIP Engineering</v>
      </c>
      <c r="O5372" s="6" t="str">
        <f>IFERROR(__xludf.DUMMYFUNCTION("""COMPUTED_VALUE"""),"FIP-DOM-ENG-51502-0000000-INA-000000")</f>
        <v>FIP-DOM-ENG-51502-0000000-INA-000000</v>
      </c>
      <c r="P5372" s="6" t="str">
        <f>IFERROR(__xludf.DUMMYFUNCTION("""COMPUTED_VALUE"""),"PO Closed")</f>
        <v>PO Closed</v>
      </c>
      <c r="Q5372" s="6" t="str">
        <f>IFERROR(__xludf.DUMMYFUNCTION("""COMPUTED_VALUE"""),"GL2608399")</f>
        <v>GL2608399</v>
      </c>
      <c r="R5372" s="57">
        <f>IFERROR(__xludf.DUMMYFUNCTION("""COMPUTED_VALUE"""),46220.0)</f>
        <v>46220</v>
      </c>
      <c r="S5372" s="57">
        <f>IFERROR(__xludf.DUMMYFUNCTION("""COMPUTED_VALUE"""),46223.0)</f>
        <v>46223</v>
      </c>
      <c r="T5372" s="57">
        <f>IFERROR(__xludf.DUMMYFUNCTION("""COMPUTED_VALUE"""),46280.0)</f>
        <v>46280</v>
      </c>
    </row>
    <row r="5373">
      <c r="A5373" s="6" t="str">
        <f>IFERROR(__xludf.DUMMYFUNCTION("""COMPUTED_VALUE"""),"121704452-6")</f>
        <v>121704452-6</v>
      </c>
      <c r="B5373" s="6" t="str">
        <f>IFERROR(__xludf.DUMMYFUNCTION("""COMPUTED_VALUE"""),"121704452 - APPROVED")</f>
        <v>121704452 - APPROVED</v>
      </c>
      <c r="C5373" s="6">
        <f>IFERROR(__xludf.DUMMYFUNCTION("""COMPUTED_VALUE"""),6.0)</f>
        <v>6</v>
      </c>
      <c r="D5373" s="6" t="str">
        <f>IFERROR(__xludf.DUMMYFUNCTION("""COMPUTED_VALUE"""),"Q-70039-00")</f>
        <v>Q-70039-00</v>
      </c>
      <c r="E5373" s="6" t="str">
        <f>IFERROR(__xludf.DUMMYFUNCTION("""COMPUTED_VALUE"""),"Tang Lancip Uk. 6 inch (Long Plier Nose);Tekiro;CN: PL-LN0760;pack size per pcs")</f>
        <v>Tang Lancip Uk. 6 inch (Long Plier Nose);Tekiro;CN: PL-LN0760;pack size per pcs</v>
      </c>
      <c r="F5373" s="6">
        <f>IFERROR(__xludf.DUMMYFUNCTION("""COMPUTED_VALUE"""),2.0)</f>
        <v>2</v>
      </c>
      <c r="G5373" s="6" t="str">
        <f>IFERROR(__xludf.DUMMYFUNCTION("""COMPUTED_VALUE"""),"Pieces")</f>
        <v>Pieces</v>
      </c>
      <c r="H5373" s="6" t="str">
        <f>IFERROR(__xludf.DUMMYFUNCTION("""COMPUTED_VALUE"""),"IDR")</f>
        <v>IDR</v>
      </c>
      <c r="I5373" s="6">
        <f>IFERROR(__xludf.DUMMYFUNCTION("""COMPUTED_VALUE"""),65000.0)</f>
        <v>65000</v>
      </c>
      <c r="J5373" s="6">
        <f>IFERROR(__xludf.DUMMYFUNCTION("""COMPUTED_VALUE"""),130000.0)</f>
        <v>130000</v>
      </c>
      <c r="K5373" s="57">
        <f>IFERROR(__xludf.DUMMYFUNCTION("""COMPUTED_VALUE"""),46255.0)</f>
        <v>46255</v>
      </c>
      <c r="L5373" s="6" t="str">
        <f>IFERROR(__xludf.DUMMYFUNCTION("""COMPUTED_VALUE"""),"FIP General")</f>
        <v>FIP General</v>
      </c>
      <c r="M5373" s="6" t="str">
        <f>IFERROR(__xludf.DUMMYFUNCTION("""COMPUTED_VALUE"""),"Mochammad Fadhillah Hakim,")</f>
        <v>Mochammad Fadhillah Hakim,</v>
      </c>
      <c r="N5373" s="6" t="str">
        <f>IFERROR(__xludf.DUMMYFUNCTION("""COMPUTED_VALUE"""),"FIP Engineering")</f>
        <v>FIP Engineering</v>
      </c>
      <c r="O5373" s="6" t="str">
        <f>IFERROR(__xludf.DUMMYFUNCTION("""COMPUTED_VALUE"""),"FIP-DOM-ENG-51404-0000000-INA-000000")</f>
        <v>FIP-DOM-ENG-51404-0000000-INA-000000</v>
      </c>
      <c r="P5373" s="6" t="str">
        <f>IFERROR(__xludf.DUMMYFUNCTION("""COMPUTED_VALUE"""),"PO Closed")</f>
        <v>PO Closed</v>
      </c>
      <c r="Q5373" s="6" t="str">
        <f>IFERROR(__xludf.DUMMYFUNCTION("""COMPUTED_VALUE"""),"GL2608402")</f>
        <v>GL2608402</v>
      </c>
      <c r="R5373" s="57">
        <f>IFERROR(__xludf.DUMMYFUNCTION("""COMPUTED_VALUE"""),46220.0)</f>
        <v>46220</v>
      </c>
      <c r="S5373" s="57">
        <f>IFERROR(__xludf.DUMMYFUNCTION("""COMPUTED_VALUE"""),46223.0)</f>
        <v>46223</v>
      </c>
      <c r="T5373" s="57">
        <f>IFERROR(__xludf.DUMMYFUNCTION("""COMPUTED_VALUE"""),46275.0)</f>
        <v>46275</v>
      </c>
    </row>
    <row r="5374">
      <c r="A5374" s="6" t="str">
        <f>IFERROR(__xludf.DUMMYFUNCTION("""COMPUTED_VALUE"""),"121704452-7")</f>
        <v>121704452-7</v>
      </c>
      <c r="B5374" s="6" t="str">
        <f>IFERROR(__xludf.DUMMYFUNCTION("""COMPUTED_VALUE"""),"121704452 - APPROVED")</f>
        <v>121704452 - APPROVED</v>
      </c>
      <c r="C5374" s="6">
        <f>IFERROR(__xludf.DUMMYFUNCTION("""COMPUTED_VALUE"""),7.0)</f>
        <v>7</v>
      </c>
      <c r="D5374" s="6" t="str">
        <f>IFERROR(__xludf.DUMMYFUNCTION("""COMPUTED_VALUE"""),"Q-70253-00")</f>
        <v>Q-70253-00</v>
      </c>
      <c r="E5374" s="6" t="str">
        <f>IFERROR(__xludf.DUMMYFUNCTION("""COMPUTED_VALUE"""),"Screwdriver LRSST8 / Obeng Plus dan Minus Set; Krisbow; KW0102648; 8 pc per set")</f>
        <v>Screwdriver LRSST8 / Obeng Plus dan Minus Set; Krisbow; KW0102648; 8 pc per set</v>
      </c>
      <c r="F5374" s="6">
        <f>IFERROR(__xludf.DUMMYFUNCTION("""COMPUTED_VALUE"""),1.0)</f>
        <v>1</v>
      </c>
      <c r="G5374" s="6" t="str">
        <f>IFERROR(__xludf.DUMMYFUNCTION("""COMPUTED_VALUE"""),"Set")</f>
        <v>Set</v>
      </c>
      <c r="H5374" s="6" t="str">
        <f>IFERROR(__xludf.DUMMYFUNCTION("""COMPUTED_VALUE"""),"IDR")</f>
        <v>IDR</v>
      </c>
      <c r="I5374" s="6">
        <f>IFERROR(__xludf.DUMMYFUNCTION("""COMPUTED_VALUE"""),178900.0)</f>
        <v>178900</v>
      </c>
      <c r="J5374" s="6">
        <f>IFERROR(__xludf.DUMMYFUNCTION("""COMPUTED_VALUE"""),178900.0)</f>
        <v>178900</v>
      </c>
      <c r="K5374" s="57">
        <f>IFERROR(__xludf.DUMMYFUNCTION("""COMPUTED_VALUE"""),46255.0)</f>
        <v>46255</v>
      </c>
      <c r="L5374" s="6" t="str">
        <f>IFERROR(__xludf.DUMMYFUNCTION("""COMPUTED_VALUE"""),"FIP General")</f>
        <v>FIP General</v>
      </c>
      <c r="M5374" s="6" t="str">
        <f>IFERROR(__xludf.DUMMYFUNCTION("""COMPUTED_VALUE"""),"Mochammad Fadhillah Hakim,")</f>
        <v>Mochammad Fadhillah Hakim,</v>
      </c>
      <c r="N5374" s="6" t="str">
        <f>IFERROR(__xludf.DUMMYFUNCTION("""COMPUTED_VALUE"""),"FIP Engineering")</f>
        <v>FIP Engineering</v>
      </c>
      <c r="O5374" s="6" t="str">
        <f>IFERROR(__xludf.DUMMYFUNCTION("""COMPUTED_VALUE"""),"FIP-DOM-ENG-51404-0000000-INA-000000")</f>
        <v>FIP-DOM-ENG-51404-0000000-INA-000000</v>
      </c>
      <c r="P5374" s="6" t="str">
        <f>IFERROR(__xludf.DUMMYFUNCTION("""COMPUTED_VALUE"""),"PO Closed")</f>
        <v>PO Closed</v>
      </c>
      <c r="Q5374" s="6" t="str">
        <f>IFERROR(__xludf.DUMMYFUNCTION("""COMPUTED_VALUE"""),"GL2608401")</f>
        <v>GL2608401</v>
      </c>
      <c r="R5374" s="57">
        <f>IFERROR(__xludf.DUMMYFUNCTION("""COMPUTED_VALUE"""),46220.0)</f>
        <v>46220</v>
      </c>
      <c r="S5374" s="57">
        <f>IFERROR(__xludf.DUMMYFUNCTION("""COMPUTED_VALUE"""),46223.0)</f>
        <v>46223</v>
      </c>
      <c r="T5374" s="57">
        <f>IFERROR(__xludf.DUMMYFUNCTION("""COMPUTED_VALUE"""),46270.0)</f>
        <v>46270</v>
      </c>
    </row>
    <row r="5375">
      <c r="A5375" s="6" t="str">
        <f>IFERROR(__xludf.DUMMYFUNCTION("""COMPUTED_VALUE"""),"121704452-8")</f>
        <v>121704452-8</v>
      </c>
      <c r="B5375" s="6" t="str">
        <f>IFERROR(__xludf.DUMMYFUNCTION("""COMPUTED_VALUE"""),"121704452 - APPROVED")</f>
        <v>121704452 - APPROVED</v>
      </c>
      <c r="C5375" s="6">
        <f>IFERROR(__xludf.DUMMYFUNCTION("""COMPUTED_VALUE"""),8.0)</f>
        <v>8</v>
      </c>
      <c r="D5375" s="6" t="str">
        <f>IFERROR(__xludf.DUMMYFUNCTION("""COMPUTED_VALUE"""),"Q-70254-00")</f>
        <v>Q-70254-00</v>
      </c>
      <c r="E5375" s="6" t="str">
        <f>IFERROR(__xludf.DUMMYFUNCTION("""COMPUTED_VALUE"""),"Obeng Ketok/Impact Driver Set; Tekiro; SD-IM0921; 11 pc per set")</f>
        <v>Obeng Ketok/Impact Driver Set; Tekiro; SD-IM0921; 11 pc per set</v>
      </c>
      <c r="F5375" s="6">
        <f>IFERROR(__xludf.DUMMYFUNCTION("""COMPUTED_VALUE"""),1.0)</f>
        <v>1</v>
      </c>
      <c r="G5375" s="6" t="str">
        <f>IFERROR(__xludf.DUMMYFUNCTION("""COMPUTED_VALUE"""),"Set")</f>
        <v>Set</v>
      </c>
      <c r="H5375" s="6" t="str">
        <f>IFERROR(__xludf.DUMMYFUNCTION("""COMPUTED_VALUE"""),"IDR")</f>
        <v>IDR</v>
      </c>
      <c r="I5375" s="6">
        <f>IFERROR(__xludf.DUMMYFUNCTION("""COMPUTED_VALUE"""),350000.0)</f>
        <v>350000</v>
      </c>
      <c r="J5375" s="6">
        <f>IFERROR(__xludf.DUMMYFUNCTION("""COMPUTED_VALUE"""),350000.0)</f>
        <v>350000</v>
      </c>
      <c r="K5375" s="57">
        <f>IFERROR(__xludf.DUMMYFUNCTION("""COMPUTED_VALUE"""),46255.0)</f>
        <v>46255</v>
      </c>
      <c r="L5375" s="6" t="str">
        <f>IFERROR(__xludf.DUMMYFUNCTION("""COMPUTED_VALUE"""),"FIP General")</f>
        <v>FIP General</v>
      </c>
      <c r="M5375" s="6" t="str">
        <f>IFERROR(__xludf.DUMMYFUNCTION("""COMPUTED_VALUE"""),"Mochammad Fadhillah Hakim,")</f>
        <v>Mochammad Fadhillah Hakim,</v>
      </c>
      <c r="N5375" s="6" t="str">
        <f>IFERROR(__xludf.DUMMYFUNCTION("""COMPUTED_VALUE"""),"FIP Engineering")</f>
        <v>FIP Engineering</v>
      </c>
      <c r="O5375" s="6" t="str">
        <f>IFERROR(__xludf.DUMMYFUNCTION("""COMPUTED_VALUE"""),"FIP-DOM-ENG-51404-0000000-INA-000000")</f>
        <v>FIP-DOM-ENG-51404-0000000-INA-000000</v>
      </c>
      <c r="P5375" s="6" t="str">
        <f>IFERROR(__xludf.DUMMYFUNCTION("""COMPUTED_VALUE"""),"PO Closed")</f>
        <v>PO Closed</v>
      </c>
      <c r="Q5375" s="6" t="str">
        <f>IFERROR(__xludf.DUMMYFUNCTION("""COMPUTED_VALUE"""),"GL2608399")</f>
        <v>GL2608399</v>
      </c>
      <c r="R5375" s="57">
        <f>IFERROR(__xludf.DUMMYFUNCTION("""COMPUTED_VALUE"""),46220.0)</f>
        <v>46220</v>
      </c>
      <c r="S5375" s="57">
        <f>IFERROR(__xludf.DUMMYFUNCTION("""COMPUTED_VALUE"""),46223.0)</f>
        <v>46223</v>
      </c>
      <c r="T5375" s="57">
        <f>IFERROR(__xludf.DUMMYFUNCTION("""COMPUTED_VALUE"""),46280.0)</f>
        <v>46280</v>
      </c>
    </row>
    <row r="5376">
      <c r="A5376" s="6" t="str">
        <f>IFERROR(__xludf.DUMMYFUNCTION("""COMPUTED_VALUE"""),"121704453-1")</f>
        <v>121704453-1</v>
      </c>
      <c r="B5376" s="6" t="str">
        <f>IFERROR(__xludf.DUMMYFUNCTION("""COMPUTED_VALUE"""),"121704453 - APPROVED")</f>
        <v>121704453 - APPROVED</v>
      </c>
      <c r="C5376" s="6">
        <f>IFERROR(__xludf.DUMMYFUNCTION("""COMPUTED_VALUE"""),1.0)</f>
        <v>1</v>
      </c>
      <c r="D5376" s="6" t="str">
        <f>IFERROR(__xludf.DUMMYFUNCTION("""COMPUTED_VALUE"""),"P-12476-00")</f>
        <v>P-12476-00</v>
      </c>
      <c r="E5376" s="6" t="str">
        <f>IFERROR(__xludf.DUMMYFUNCTION("""COMPUTED_VALUE"""),"General - Mata Bor Besi, dia. 10 mm; NACHI; -; 1 pcs")</f>
        <v>General - Mata Bor Besi, dia. 10 mm; NACHI; -; 1 pcs</v>
      </c>
      <c r="F5376" s="6">
        <f>IFERROR(__xludf.DUMMYFUNCTION("""COMPUTED_VALUE"""),10.0)</f>
        <v>10</v>
      </c>
      <c r="G5376" s="6" t="str">
        <f>IFERROR(__xludf.DUMMYFUNCTION("""COMPUTED_VALUE"""),"Pieces")</f>
        <v>Pieces</v>
      </c>
      <c r="H5376" s="6" t="str">
        <f>IFERROR(__xludf.DUMMYFUNCTION("""COMPUTED_VALUE"""),"IDR")</f>
        <v>IDR</v>
      </c>
      <c r="I5376" s="6">
        <f>IFERROR(__xludf.DUMMYFUNCTION("""COMPUTED_VALUE"""),115000.0)</f>
        <v>115000</v>
      </c>
      <c r="J5376" s="6">
        <f>IFERROR(__xludf.DUMMYFUNCTION("""COMPUTED_VALUE"""),1150000.0)</f>
        <v>1150000</v>
      </c>
      <c r="K5376" s="57">
        <f>IFERROR(__xludf.DUMMYFUNCTION("""COMPUTED_VALUE"""),46255.0)</f>
        <v>46255</v>
      </c>
      <c r="L5376" s="6" t="str">
        <f>IFERROR(__xludf.DUMMYFUNCTION("""COMPUTED_VALUE"""),"FIP Engineering")</f>
        <v>FIP Engineering</v>
      </c>
      <c r="M5376" s="6" t="str">
        <f>IFERROR(__xludf.DUMMYFUNCTION("""COMPUTED_VALUE"""),"Mochammad Fadhillah Hakim,")</f>
        <v>Mochammad Fadhillah Hakim,</v>
      </c>
      <c r="N5376" s="6" t="str">
        <f>IFERROR(__xludf.DUMMYFUNCTION("""COMPUTED_VALUE"""),"FIP Engineering")</f>
        <v>FIP Engineering</v>
      </c>
      <c r="O5376" s="6" t="str">
        <f>IFERROR(__xludf.DUMMYFUNCTION("""COMPUTED_VALUE"""),"FIP-DOM-000-11304-OS00001-INA-000000")</f>
        <v>FIP-DOM-000-11304-OS00001-INA-000000</v>
      </c>
      <c r="P5376" s="6" t="str">
        <f>IFERROR(__xludf.DUMMYFUNCTION("""COMPUTED_VALUE"""),"PO Closed")</f>
        <v>PO Closed</v>
      </c>
      <c r="Q5376" s="6" t="str">
        <f>IFERROR(__xludf.DUMMYFUNCTION("""COMPUTED_VALUE"""),"GL2608397")</f>
        <v>GL2608397</v>
      </c>
      <c r="R5376" s="57">
        <f>IFERROR(__xludf.DUMMYFUNCTION("""COMPUTED_VALUE"""),46220.0)</f>
        <v>46220</v>
      </c>
      <c r="S5376" s="57">
        <f>IFERROR(__xludf.DUMMYFUNCTION("""COMPUTED_VALUE"""),46223.0)</f>
        <v>46223</v>
      </c>
      <c r="T5376" s="57">
        <f>IFERROR(__xludf.DUMMYFUNCTION("""COMPUTED_VALUE"""),46270.0)</f>
        <v>46270</v>
      </c>
    </row>
    <row r="5377">
      <c r="A5377" s="6" t="str">
        <f>IFERROR(__xludf.DUMMYFUNCTION("""COMPUTED_VALUE"""),"121704453-2")</f>
        <v>121704453-2</v>
      </c>
      <c r="B5377" s="6" t="str">
        <f>IFERROR(__xludf.DUMMYFUNCTION("""COMPUTED_VALUE"""),"121704453 - APPROVED")</f>
        <v>121704453 - APPROVED</v>
      </c>
      <c r="C5377" s="6">
        <f>IFERROR(__xludf.DUMMYFUNCTION("""COMPUTED_VALUE"""),2.0)</f>
        <v>2</v>
      </c>
      <c r="D5377" s="6" t="str">
        <f>IFERROR(__xludf.DUMMYFUNCTION("""COMPUTED_VALUE"""),"P-12488-00")</f>
        <v>P-12488-00</v>
      </c>
      <c r="E5377" s="6" t="str">
        <f>IFERROR(__xludf.DUMMYFUNCTION("""COMPUTED_VALUE"""),"General - Mata Bor Besi, dia. 4 mm; NACHI; -; 1 pcs")</f>
        <v>General - Mata Bor Besi, dia. 4 mm; NACHI; -; 1 pcs</v>
      </c>
      <c r="F5377" s="6">
        <f>IFERROR(__xludf.DUMMYFUNCTION("""COMPUTED_VALUE"""),10.0)</f>
        <v>10</v>
      </c>
      <c r="G5377" s="6" t="str">
        <f>IFERROR(__xludf.DUMMYFUNCTION("""COMPUTED_VALUE"""),"Pieces")</f>
        <v>Pieces</v>
      </c>
      <c r="H5377" s="6" t="str">
        <f>IFERROR(__xludf.DUMMYFUNCTION("""COMPUTED_VALUE"""),"IDR")</f>
        <v>IDR</v>
      </c>
      <c r="I5377" s="6">
        <f>IFERROR(__xludf.DUMMYFUNCTION("""COMPUTED_VALUE"""),23000.0)</f>
        <v>23000</v>
      </c>
      <c r="J5377" s="6">
        <f>IFERROR(__xludf.DUMMYFUNCTION("""COMPUTED_VALUE"""),230000.0)</f>
        <v>230000</v>
      </c>
      <c r="K5377" s="57">
        <f>IFERROR(__xludf.DUMMYFUNCTION("""COMPUTED_VALUE"""),46255.0)</f>
        <v>46255</v>
      </c>
      <c r="L5377" s="6" t="str">
        <f>IFERROR(__xludf.DUMMYFUNCTION("""COMPUTED_VALUE"""),"FIP Engineering")</f>
        <v>FIP Engineering</v>
      </c>
      <c r="M5377" s="6" t="str">
        <f>IFERROR(__xludf.DUMMYFUNCTION("""COMPUTED_VALUE"""),"Mochammad Fadhillah Hakim,")</f>
        <v>Mochammad Fadhillah Hakim,</v>
      </c>
      <c r="N5377" s="6" t="str">
        <f>IFERROR(__xludf.DUMMYFUNCTION("""COMPUTED_VALUE"""),"FIP Engineering")</f>
        <v>FIP Engineering</v>
      </c>
      <c r="O5377" s="6" t="str">
        <f>IFERROR(__xludf.DUMMYFUNCTION("""COMPUTED_VALUE"""),"FIP-DOM-000-11304-OS00001-INA-000000")</f>
        <v>FIP-DOM-000-11304-OS00001-INA-000000</v>
      </c>
      <c r="P5377" s="6" t="str">
        <f>IFERROR(__xludf.DUMMYFUNCTION("""COMPUTED_VALUE"""),"PO Closed")</f>
        <v>PO Closed</v>
      </c>
      <c r="Q5377" s="6" t="str">
        <f>IFERROR(__xludf.DUMMYFUNCTION("""COMPUTED_VALUE"""),"GL2608397")</f>
        <v>GL2608397</v>
      </c>
      <c r="R5377" s="57">
        <f>IFERROR(__xludf.DUMMYFUNCTION("""COMPUTED_VALUE"""),46220.0)</f>
        <v>46220</v>
      </c>
      <c r="S5377" s="57">
        <f>IFERROR(__xludf.DUMMYFUNCTION("""COMPUTED_VALUE"""),46223.0)</f>
        <v>46223</v>
      </c>
      <c r="T5377" s="57">
        <f>IFERROR(__xludf.DUMMYFUNCTION("""COMPUTED_VALUE"""),46270.0)</f>
        <v>46270</v>
      </c>
    </row>
    <row r="5378">
      <c r="A5378" s="6" t="str">
        <f>IFERROR(__xludf.DUMMYFUNCTION("""COMPUTED_VALUE"""),"121704453-3")</f>
        <v>121704453-3</v>
      </c>
      <c r="B5378" s="6" t="str">
        <f>IFERROR(__xludf.DUMMYFUNCTION("""COMPUTED_VALUE"""),"121704453 - APPROVED")</f>
        <v>121704453 - APPROVED</v>
      </c>
      <c r="C5378" s="6">
        <f>IFERROR(__xludf.DUMMYFUNCTION("""COMPUTED_VALUE"""),3.0)</f>
        <v>3</v>
      </c>
      <c r="D5378" s="6" t="str">
        <f>IFERROR(__xludf.DUMMYFUNCTION("""COMPUTED_VALUE"""),"P-12490-00")</f>
        <v>P-12490-00</v>
      </c>
      <c r="E5378" s="6" t="str">
        <f>IFERROR(__xludf.DUMMYFUNCTION("""COMPUTED_VALUE"""),"General - Mata Bor Besi, dia. 5 mm; NACHI; -; 1 pcs")</f>
        <v>General - Mata Bor Besi, dia. 5 mm; NACHI; -; 1 pcs</v>
      </c>
      <c r="F5378" s="6">
        <f>IFERROR(__xludf.DUMMYFUNCTION("""COMPUTED_VALUE"""),10.0)</f>
        <v>10</v>
      </c>
      <c r="G5378" s="6" t="str">
        <f>IFERROR(__xludf.DUMMYFUNCTION("""COMPUTED_VALUE"""),"Pieces")</f>
        <v>Pieces</v>
      </c>
      <c r="H5378" s="6" t="str">
        <f>IFERROR(__xludf.DUMMYFUNCTION("""COMPUTED_VALUE"""),"IDR")</f>
        <v>IDR</v>
      </c>
      <c r="I5378" s="6">
        <f>IFERROR(__xludf.DUMMYFUNCTION("""COMPUTED_VALUE"""),35000.0)</f>
        <v>35000</v>
      </c>
      <c r="J5378" s="6">
        <f>IFERROR(__xludf.DUMMYFUNCTION("""COMPUTED_VALUE"""),350000.0)</f>
        <v>350000</v>
      </c>
      <c r="K5378" s="57">
        <f>IFERROR(__xludf.DUMMYFUNCTION("""COMPUTED_VALUE"""),46255.0)</f>
        <v>46255</v>
      </c>
      <c r="L5378" s="6" t="str">
        <f>IFERROR(__xludf.DUMMYFUNCTION("""COMPUTED_VALUE"""),"FIP Engineering")</f>
        <v>FIP Engineering</v>
      </c>
      <c r="M5378" s="6" t="str">
        <f>IFERROR(__xludf.DUMMYFUNCTION("""COMPUTED_VALUE"""),"Mochammad Fadhillah Hakim,")</f>
        <v>Mochammad Fadhillah Hakim,</v>
      </c>
      <c r="N5378" s="6" t="str">
        <f>IFERROR(__xludf.DUMMYFUNCTION("""COMPUTED_VALUE"""),"FIP Engineering")</f>
        <v>FIP Engineering</v>
      </c>
      <c r="O5378" s="6" t="str">
        <f>IFERROR(__xludf.DUMMYFUNCTION("""COMPUTED_VALUE"""),"FIP-DOM-000-11304-OS00001-INA-000000")</f>
        <v>FIP-DOM-000-11304-OS00001-INA-000000</v>
      </c>
      <c r="P5378" s="6" t="str">
        <f>IFERROR(__xludf.DUMMYFUNCTION("""COMPUTED_VALUE"""),"PO Closed")</f>
        <v>PO Closed</v>
      </c>
      <c r="Q5378" s="6" t="str">
        <f>IFERROR(__xludf.DUMMYFUNCTION("""COMPUTED_VALUE"""),"GL2608397")</f>
        <v>GL2608397</v>
      </c>
      <c r="R5378" s="57">
        <f>IFERROR(__xludf.DUMMYFUNCTION("""COMPUTED_VALUE"""),46220.0)</f>
        <v>46220</v>
      </c>
      <c r="S5378" s="57">
        <f>IFERROR(__xludf.DUMMYFUNCTION("""COMPUTED_VALUE"""),46223.0)</f>
        <v>46223</v>
      </c>
      <c r="T5378" s="57">
        <f>IFERROR(__xludf.DUMMYFUNCTION("""COMPUTED_VALUE"""),46270.0)</f>
        <v>46270</v>
      </c>
    </row>
    <row r="5379">
      <c r="A5379" s="6" t="str">
        <f>IFERROR(__xludf.DUMMYFUNCTION("""COMPUTED_VALUE"""),"121704453-4")</f>
        <v>121704453-4</v>
      </c>
      <c r="B5379" s="6" t="str">
        <f>IFERROR(__xludf.DUMMYFUNCTION("""COMPUTED_VALUE"""),"121704453 - APPROVED")</f>
        <v>121704453 - APPROVED</v>
      </c>
      <c r="C5379" s="6">
        <f>IFERROR(__xludf.DUMMYFUNCTION("""COMPUTED_VALUE"""),4.0)</f>
        <v>4</v>
      </c>
      <c r="D5379" s="6" t="str">
        <f>IFERROR(__xludf.DUMMYFUNCTION("""COMPUTED_VALUE"""),"P-12492-00")</f>
        <v>P-12492-00</v>
      </c>
      <c r="E5379" s="6" t="str">
        <f>IFERROR(__xludf.DUMMYFUNCTION("""COMPUTED_VALUE"""),"General - Mata Bor Besi, dia. 6.5 mm; NACHI; -; 1 pcs")</f>
        <v>General - Mata Bor Besi, dia. 6.5 mm; NACHI; -; 1 pcs</v>
      </c>
      <c r="F5379" s="6">
        <f>IFERROR(__xludf.DUMMYFUNCTION("""COMPUTED_VALUE"""),10.0)</f>
        <v>10</v>
      </c>
      <c r="G5379" s="6" t="str">
        <f>IFERROR(__xludf.DUMMYFUNCTION("""COMPUTED_VALUE"""),"Pieces")</f>
        <v>Pieces</v>
      </c>
      <c r="H5379" s="6" t="str">
        <f>IFERROR(__xludf.DUMMYFUNCTION("""COMPUTED_VALUE"""),"IDR")</f>
        <v>IDR</v>
      </c>
      <c r="I5379" s="6">
        <f>IFERROR(__xludf.DUMMYFUNCTION("""COMPUTED_VALUE"""),55000.0)</f>
        <v>55000</v>
      </c>
      <c r="J5379" s="6">
        <f>IFERROR(__xludf.DUMMYFUNCTION("""COMPUTED_VALUE"""),550000.0)</f>
        <v>550000</v>
      </c>
      <c r="K5379" s="57">
        <f>IFERROR(__xludf.DUMMYFUNCTION("""COMPUTED_VALUE"""),46255.0)</f>
        <v>46255</v>
      </c>
      <c r="L5379" s="6" t="str">
        <f>IFERROR(__xludf.DUMMYFUNCTION("""COMPUTED_VALUE"""),"FIP Engineering")</f>
        <v>FIP Engineering</v>
      </c>
      <c r="M5379" s="6" t="str">
        <f>IFERROR(__xludf.DUMMYFUNCTION("""COMPUTED_VALUE"""),"Mochammad Fadhillah Hakim,")</f>
        <v>Mochammad Fadhillah Hakim,</v>
      </c>
      <c r="N5379" s="6" t="str">
        <f>IFERROR(__xludf.DUMMYFUNCTION("""COMPUTED_VALUE"""),"FIP Engineering")</f>
        <v>FIP Engineering</v>
      </c>
      <c r="O5379" s="6" t="str">
        <f>IFERROR(__xludf.DUMMYFUNCTION("""COMPUTED_VALUE"""),"FIP-DOM-000-11304-OS00001-INA-000000")</f>
        <v>FIP-DOM-000-11304-OS00001-INA-000000</v>
      </c>
      <c r="P5379" s="6" t="str">
        <f>IFERROR(__xludf.DUMMYFUNCTION("""COMPUTED_VALUE"""),"PO Closed")</f>
        <v>PO Closed</v>
      </c>
      <c r="Q5379" s="6" t="str">
        <f>IFERROR(__xludf.DUMMYFUNCTION("""COMPUTED_VALUE"""),"GL2608397")</f>
        <v>GL2608397</v>
      </c>
      <c r="R5379" s="57">
        <f>IFERROR(__xludf.DUMMYFUNCTION("""COMPUTED_VALUE"""),46220.0)</f>
        <v>46220</v>
      </c>
      <c r="S5379" s="57">
        <f>IFERROR(__xludf.DUMMYFUNCTION("""COMPUTED_VALUE"""),46223.0)</f>
        <v>46223</v>
      </c>
      <c r="T5379" s="57">
        <f>IFERROR(__xludf.DUMMYFUNCTION("""COMPUTED_VALUE"""),46270.0)</f>
        <v>46270</v>
      </c>
    </row>
    <row r="5380">
      <c r="A5380" s="6" t="str">
        <f>IFERROR(__xludf.DUMMYFUNCTION("""COMPUTED_VALUE"""),"121704453-5")</f>
        <v>121704453-5</v>
      </c>
      <c r="B5380" s="6" t="str">
        <f>IFERROR(__xludf.DUMMYFUNCTION("""COMPUTED_VALUE"""),"121704453 - APPROVED")</f>
        <v>121704453 - APPROVED</v>
      </c>
      <c r="C5380" s="6">
        <f>IFERROR(__xludf.DUMMYFUNCTION("""COMPUTED_VALUE"""),5.0)</f>
        <v>5</v>
      </c>
      <c r="D5380" s="6" t="str">
        <f>IFERROR(__xludf.DUMMYFUNCTION("""COMPUTED_VALUE"""),"P-12515-00")</f>
        <v>P-12515-00</v>
      </c>
      <c r="E5380" s="6" t="str">
        <f>IFERROR(__xludf.DUMMYFUNCTION("""COMPUTED_VALUE"""),"General - Mata Bor, HSS, 1 - 13 mm; NACHI; -; 25 pcs per set")</f>
        <v>General - Mata Bor, HSS, 1 - 13 mm; NACHI; -; 25 pcs per set</v>
      </c>
      <c r="F5380" s="6">
        <f>IFERROR(__xludf.DUMMYFUNCTION("""COMPUTED_VALUE"""),1.0)</f>
        <v>1</v>
      </c>
      <c r="G5380" s="6" t="str">
        <f>IFERROR(__xludf.DUMMYFUNCTION("""COMPUTED_VALUE"""),"Pieces")</f>
        <v>Pieces</v>
      </c>
      <c r="H5380" s="6" t="str">
        <f>IFERROR(__xludf.DUMMYFUNCTION("""COMPUTED_VALUE"""),"IDR")</f>
        <v>IDR</v>
      </c>
      <c r="I5380" s="6">
        <f>IFERROR(__xludf.DUMMYFUNCTION("""COMPUTED_VALUE"""),1900000.0)</f>
        <v>1900000</v>
      </c>
      <c r="J5380" s="6">
        <f>IFERROR(__xludf.DUMMYFUNCTION("""COMPUTED_VALUE"""),1900000.0)</f>
        <v>1900000</v>
      </c>
      <c r="K5380" s="57">
        <f>IFERROR(__xludf.DUMMYFUNCTION("""COMPUTED_VALUE"""),46255.0)</f>
        <v>46255</v>
      </c>
      <c r="L5380" s="6" t="str">
        <f>IFERROR(__xludf.DUMMYFUNCTION("""COMPUTED_VALUE"""),"FIP Engineering")</f>
        <v>FIP Engineering</v>
      </c>
      <c r="M5380" s="6" t="str">
        <f>IFERROR(__xludf.DUMMYFUNCTION("""COMPUTED_VALUE"""),"Mochammad Fadhillah Hakim,")</f>
        <v>Mochammad Fadhillah Hakim,</v>
      </c>
      <c r="N5380" s="6" t="str">
        <f>IFERROR(__xludf.DUMMYFUNCTION("""COMPUTED_VALUE"""),"FIP Engineering")</f>
        <v>FIP Engineering</v>
      </c>
      <c r="O5380" s="6" t="str">
        <f>IFERROR(__xludf.DUMMYFUNCTION("""COMPUTED_VALUE"""),"FIP-DOM-000-11304-OS00001-INA-000000")</f>
        <v>FIP-DOM-000-11304-OS00001-INA-000000</v>
      </c>
      <c r="P5380" s="6" t="str">
        <f>IFERROR(__xludf.DUMMYFUNCTION("""COMPUTED_VALUE"""),"PO Closed")</f>
        <v>PO Closed</v>
      </c>
      <c r="Q5380" s="6" t="str">
        <f>IFERROR(__xludf.DUMMYFUNCTION("""COMPUTED_VALUE"""),"GL2608397")</f>
        <v>GL2608397</v>
      </c>
      <c r="R5380" s="57">
        <f>IFERROR(__xludf.DUMMYFUNCTION("""COMPUTED_VALUE"""),46220.0)</f>
        <v>46220</v>
      </c>
      <c r="S5380" s="57">
        <f>IFERROR(__xludf.DUMMYFUNCTION("""COMPUTED_VALUE"""),46223.0)</f>
        <v>46223</v>
      </c>
      <c r="T5380" s="57">
        <f>IFERROR(__xludf.DUMMYFUNCTION("""COMPUTED_VALUE"""),46270.0)</f>
        <v>46270</v>
      </c>
    </row>
    <row r="5381">
      <c r="A5381" s="6" t="str">
        <f>IFERROR(__xludf.DUMMYFUNCTION("""COMPUTED_VALUE"""),"121704454-1")</f>
        <v>121704454-1</v>
      </c>
      <c r="B5381" s="6" t="str">
        <f>IFERROR(__xludf.DUMMYFUNCTION("""COMPUTED_VALUE"""),"121704454 - APPROVED")</f>
        <v>121704454 - APPROVED</v>
      </c>
      <c r="C5381" s="6">
        <f>IFERROR(__xludf.DUMMYFUNCTION("""COMPUTED_VALUE"""),1.0)</f>
        <v>1</v>
      </c>
      <c r="D5381" s="6" t="str">
        <f>IFERROR(__xludf.DUMMYFUNCTION("""COMPUTED_VALUE"""),"P-20884-00")</f>
        <v>P-20884-00</v>
      </c>
      <c r="E5381" s="6" t="str">
        <f>IFERROR(__xludf.DUMMYFUNCTION("""COMPUTED_VALUE"""),"General - Spray Ball Tanko-S20 360Deg, BSP Thread 1/8inch; AWH; 711136; 1 pc")</f>
        <v>General - Spray Ball Tanko-S20 360Deg, BSP Thread 1/8inch; AWH; 711136; 1 pc</v>
      </c>
      <c r="F5381" s="6">
        <f>IFERROR(__xludf.DUMMYFUNCTION("""COMPUTED_VALUE"""),2.0)</f>
        <v>2</v>
      </c>
      <c r="G5381" s="6" t="str">
        <f>IFERROR(__xludf.DUMMYFUNCTION("""COMPUTED_VALUE"""),"Pieces")</f>
        <v>Pieces</v>
      </c>
      <c r="H5381" s="6" t="str">
        <f>IFERROR(__xludf.DUMMYFUNCTION("""COMPUTED_VALUE"""),"IDR")</f>
        <v>IDR</v>
      </c>
      <c r="I5381" s="6">
        <f>IFERROR(__xludf.DUMMYFUNCTION("""COMPUTED_VALUE"""),1.0625E7)</f>
        <v>10625000</v>
      </c>
      <c r="J5381" s="6">
        <f>IFERROR(__xludf.DUMMYFUNCTION("""COMPUTED_VALUE"""),2.125E7)</f>
        <v>21250000</v>
      </c>
      <c r="K5381" s="57">
        <f>IFERROR(__xludf.DUMMYFUNCTION("""COMPUTED_VALUE"""),46255.0)</f>
        <v>46255</v>
      </c>
      <c r="L5381" s="6" t="str">
        <f>IFERROR(__xludf.DUMMYFUNCTION("""COMPUTED_VALUE"""),"FIP Engineering")</f>
        <v>FIP Engineering</v>
      </c>
      <c r="M5381" s="6" t="str">
        <f>IFERROR(__xludf.DUMMYFUNCTION("""COMPUTED_VALUE"""),"Mochammad Fadhillah Hakim,")</f>
        <v>Mochammad Fadhillah Hakim,</v>
      </c>
      <c r="N5381" s="6" t="str">
        <f>IFERROR(__xludf.DUMMYFUNCTION("""COMPUTED_VALUE"""),"FIP Engineering")</f>
        <v>FIP Engineering</v>
      </c>
      <c r="O5381" s="6" t="str">
        <f>IFERROR(__xludf.DUMMYFUNCTION("""COMPUTED_VALUE"""),"FIP-DOM-000-11304-OS00001-INA-000000")</f>
        <v>FIP-DOM-000-11304-OS00001-INA-000000</v>
      </c>
      <c r="P5381" s="6" t="str">
        <f>IFERROR(__xludf.DUMMYFUNCTION("""COMPUTED_VALUE"""),"PR Open")</f>
        <v>PR Open</v>
      </c>
      <c r="Q5381" s="6"/>
      <c r="R5381" s="57">
        <f>IFERROR(__xludf.DUMMYFUNCTION("""COMPUTED_VALUE"""),46220.0)</f>
        <v>46220</v>
      </c>
      <c r="S5381" s="57">
        <f>IFERROR(__xludf.DUMMYFUNCTION("""COMPUTED_VALUE"""),46234.0)</f>
        <v>46234</v>
      </c>
      <c r="T5381" s="6"/>
    </row>
    <row r="5382">
      <c r="A5382" s="6" t="str">
        <f>IFERROR(__xludf.DUMMYFUNCTION("""COMPUTED_VALUE"""),"121704454-2")</f>
        <v>121704454-2</v>
      </c>
      <c r="B5382" s="6" t="str">
        <f>IFERROR(__xludf.DUMMYFUNCTION("""COMPUTED_VALUE"""),"121704454 - APPROVED")</f>
        <v>121704454 - APPROVED</v>
      </c>
      <c r="C5382" s="6">
        <f>IFERROR(__xludf.DUMMYFUNCTION("""COMPUTED_VALUE"""),2.0)</f>
        <v>2</v>
      </c>
      <c r="D5382" s="6" t="str">
        <f>IFERROR(__xludf.DUMMYFUNCTION("""COMPUTED_VALUE"""),"P-52017-00")</f>
        <v>P-52017-00</v>
      </c>
      <c r="E5382" s="6" t="str">
        <f>IFERROR(__xludf.DUMMYFUNCTION("""COMPUTED_VALUE"""),"General - Rotary Air Damper Actuator GDB166.1E; Siemens; S55499-D377; 1 pcs")</f>
        <v>General - Rotary Air Damper Actuator GDB166.1E; Siemens; S55499-D377; 1 pcs</v>
      </c>
      <c r="F5382" s="6">
        <f>IFERROR(__xludf.DUMMYFUNCTION("""COMPUTED_VALUE"""),10.0)</f>
        <v>10</v>
      </c>
      <c r="G5382" s="6" t="str">
        <f>IFERROR(__xludf.DUMMYFUNCTION("""COMPUTED_VALUE"""),"Pieces")</f>
        <v>Pieces</v>
      </c>
      <c r="H5382" s="6" t="str">
        <f>IFERROR(__xludf.DUMMYFUNCTION("""COMPUTED_VALUE"""),"IDR")</f>
        <v>IDR</v>
      </c>
      <c r="I5382" s="6">
        <f>IFERROR(__xludf.DUMMYFUNCTION("""COMPUTED_VALUE"""),3987500.0)</f>
        <v>3987500</v>
      </c>
      <c r="J5382" s="6">
        <f>IFERROR(__xludf.DUMMYFUNCTION("""COMPUTED_VALUE"""),3.9875E7)</f>
        <v>39875000</v>
      </c>
      <c r="K5382" s="57">
        <f>IFERROR(__xludf.DUMMYFUNCTION("""COMPUTED_VALUE"""),46255.0)</f>
        <v>46255</v>
      </c>
      <c r="L5382" s="6" t="str">
        <f>IFERROR(__xludf.DUMMYFUNCTION("""COMPUTED_VALUE"""),"FIP Engineering")</f>
        <v>FIP Engineering</v>
      </c>
      <c r="M5382" s="6" t="str">
        <f>IFERROR(__xludf.DUMMYFUNCTION("""COMPUTED_VALUE"""),"Mochammad Fadhillah Hakim,")</f>
        <v>Mochammad Fadhillah Hakim,</v>
      </c>
      <c r="N5382" s="6" t="str">
        <f>IFERROR(__xludf.DUMMYFUNCTION("""COMPUTED_VALUE"""),"FIP Engineering")</f>
        <v>FIP Engineering</v>
      </c>
      <c r="O5382" s="6" t="str">
        <f>IFERROR(__xludf.DUMMYFUNCTION("""COMPUTED_VALUE"""),"FIP-DOM-000-11304-OS00001-INA-000000")</f>
        <v>FIP-DOM-000-11304-OS00001-INA-000000</v>
      </c>
      <c r="P5382" s="6" t="str">
        <f>IFERROR(__xludf.DUMMYFUNCTION("""COMPUTED_VALUE"""),"PO Open")</f>
        <v>PO Open</v>
      </c>
      <c r="Q5382" s="6" t="str">
        <f>IFERROR(__xludf.DUMMYFUNCTION("""COMPUTED_VALUE"""),"GL2608031")</f>
        <v>GL2608031</v>
      </c>
      <c r="R5382" s="57">
        <f>IFERROR(__xludf.DUMMYFUNCTION("""COMPUTED_VALUE"""),46220.0)</f>
        <v>46220</v>
      </c>
      <c r="S5382" s="57">
        <f>IFERROR(__xludf.DUMMYFUNCTION("""COMPUTED_VALUE"""),46234.0)</f>
        <v>46234</v>
      </c>
      <c r="T5382" s="57">
        <f>IFERROR(__xludf.DUMMYFUNCTION("""COMPUTED_VALUE"""),46397.0)</f>
        <v>46397</v>
      </c>
    </row>
    <row r="5383">
      <c r="A5383" s="6" t="str">
        <f>IFERROR(__xludf.DUMMYFUNCTION("""COMPUTED_VALUE"""),"121704455-1")</f>
        <v>121704455-1</v>
      </c>
      <c r="B5383" s="6" t="str">
        <f>IFERROR(__xludf.DUMMYFUNCTION("""COMPUTED_VALUE"""),"121704455 - APPROVED")</f>
        <v>121704455 - APPROVED</v>
      </c>
      <c r="C5383" s="6">
        <f>IFERROR(__xludf.DUMMYFUNCTION("""COMPUTED_VALUE"""),1.0)</f>
        <v>1</v>
      </c>
      <c r="D5383" s="6" t="str">
        <f>IFERROR(__xludf.DUMMYFUNCTION("""COMPUTED_VALUE"""),"O-15718-00")</f>
        <v>O-15718-00</v>
      </c>
      <c r="E5383" s="6" t="str">
        <f>IFERROR(__xludf.DUMMYFUNCTION("""COMPUTED_VALUE"""),"General - SYNTHETIC FOOD GRADE; CRC; NSF H1; 1 Pc")</f>
        <v>General - SYNTHETIC FOOD GRADE; CRC; NSF H1; 1 Pc</v>
      </c>
      <c r="F5383" s="6">
        <f>IFERROR(__xludf.DUMMYFUNCTION("""COMPUTED_VALUE"""),3.0)</f>
        <v>3</v>
      </c>
      <c r="G5383" s="6" t="str">
        <f>IFERROR(__xludf.DUMMYFUNCTION("""COMPUTED_VALUE"""),"Pieces")</f>
        <v>Pieces</v>
      </c>
      <c r="H5383" s="6" t="str">
        <f>IFERROR(__xludf.DUMMYFUNCTION("""COMPUTED_VALUE"""),"IDR")</f>
        <v>IDR</v>
      </c>
      <c r="I5383" s="6">
        <f>IFERROR(__xludf.DUMMYFUNCTION("""COMPUTED_VALUE"""),535000.0)</f>
        <v>535000</v>
      </c>
      <c r="J5383" s="6">
        <f>IFERROR(__xludf.DUMMYFUNCTION("""COMPUTED_VALUE"""),1605000.0)</f>
        <v>1605000</v>
      </c>
      <c r="K5383" s="57">
        <f>IFERROR(__xludf.DUMMYFUNCTION("""COMPUTED_VALUE"""),46255.0)</f>
        <v>46255</v>
      </c>
      <c r="L5383" s="6" t="str">
        <f>IFERROR(__xludf.DUMMYFUNCTION("""COMPUTED_VALUE"""),"FIP Engineering")</f>
        <v>FIP Engineering</v>
      </c>
      <c r="M5383" s="6" t="str">
        <f>IFERROR(__xludf.DUMMYFUNCTION("""COMPUTED_VALUE"""),"Mochammad Fadhillah Hakim,")</f>
        <v>Mochammad Fadhillah Hakim,</v>
      </c>
      <c r="N5383" s="6" t="str">
        <f>IFERROR(__xludf.DUMMYFUNCTION("""COMPUTED_VALUE"""),"FIP Engineering")</f>
        <v>FIP Engineering</v>
      </c>
      <c r="O5383" s="6" t="str">
        <f>IFERROR(__xludf.DUMMYFUNCTION("""COMPUTED_VALUE"""),"FIP-DOM-000-11304-OS00001-INA-000000")</f>
        <v>FIP-DOM-000-11304-OS00001-INA-000000</v>
      </c>
      <c r="P5383" s="6" t="str">
        <f>IFERROR(__xludf.DUMMYFUNCTION("""COMPUTED_VALUE"""),"PO Closed")</f>
        <v>PO Closed</v>
      </c>
      <c r="Q5383" s="6" t="str">
        <f>IFERROR(__xludf.DUMMYFUNCTION("""COMPUTED_VALUE"""),"GL2608407")</f>
        <v>GL2608407</v>
      </c>
      <c r="R5383" s="57">
        <f>IFERROR(__xludf.DUMMYFUNCTION("""COMPUTED_VALUE"""),46220.0)</f>
        <v>46220</v>
      </c>
      <c r="S5383" s="57">
        <f>IFERROR(__xludf.DUMMYFUNCTION("""COMPUTED_VALUE"""),46223.0)</f>
        <v>46223</v>
      </c>
      <c r="T5383" s="57">
        <f>IFERROR(__xludf.DUMMYFUNCTION("""COMPUTED_VALUE"""),46286.0)</f>
        <v>46286</v>
      </c>
    </row>
    <row r="5384">
      <c r="A5384" s="6" t="str">
        <f>IFERROR(__xludf.DUMMYFUNCTION("""COMPUTED_VALUE"""),"121704455-2")</f>
        <v>121704455-2</v>
      </c>
      <c r="B5384" s="6" t="str">
        <f>IFERROR(__xludf.DUMMYFUNCTION("""COMPUTED_VALUE"""),"121704455 - APPROVED")</f>
        <v>121704455 - APPROVED</v>
      </c>
      <c r="C5384" s="6">
        <f>IFERROR(__xludf.DUMMYFUNCTION("""COMPUTED_VALUE"""),2.0)</f>
        <v>2</v>
      </c>
      <c r="D5384" s="6" t="str">
        <f>IFERROR(__xludf.DUMMYFUNCTION("""COMPUTED_VALUE"""),"O-19427-00")</f>
        <v>O-19427-00</v>
      </c>
      <c r="E5384" s="6" t="str">
        <f>IFERROR(__xludf.DUMMYFUNCTION("""COMPUTED_VALUE"""),"General - Baut L, SS, M3 x 30 mm + Mur + Ring; No Brand; -; 1 pcs")</f>
        <v>General - Baut L, SS, M3 x 30 mm + Mur + Ring; No Brand; -; 1 pcs</v>
      </c>
      <c r="F5384" s="6">
        <f>IFERROR(__xludf.DUMMYFUNCTION("""COMPUTED_VALUE"""),100.0)</f>
        <v>100</v>
      </c>
      <c r="G5384" s="6" t="str">
        <f>IFERROR(__xludf.DUMMYFUNCTION("""COMPUTED_VALUE"""),"Pieces")</f>
        <v>Pieces</v>
      </c>
      <c r="H5384" s="6" t="str">
        <f>IFERROR(__xludf.DUMMYFUNCTION("""COMPUTED_VALUE"""),"IDR")</f>
        <v>IDR</v>
      </c>
      <c r="I5384" s="6">
        <f>IFERROR(__xludf.DUMMYFUNCTION("""COMPUTED_VALUE"""),2000.0)</f>
        <v>2000</v>
      </c>
      <c r="J5384" s="6">
        <f>IFERROR(__xludf.DUMMYFUNCTION("""COMPUTED_VALUE"""),200000.0)</f>
        <v>200000</v>
      </c>
      <c r="K5384" s="57">
        <f>IFERROR(__xludf.DUMMYFUNCTION("""COMPUTED_VALUE"""),46255.0)</f>
        <v>46255</v>
      </c>
      <c r="L5384" s="6" t="str">
        <f>IFERROR(__xludf.DUMMYFUNCTION("""COMPUTED_VALUE"""),"FIP Engineering")</f>
        <v>FIP Engineering</v>
      </c>
      <c r="M5384" s="6" t="str">
        <f>IFERROR(__xludf.DUMMYFUNCTION("""COMPUTED_VALUE"""),"Mochammad Fadhillah Hakim,")</f>
        <v>Mochammad Fadhillah Hakim,</v>
      </c>
      <c r="N5384" s="6" t="str">
        <f>IFERROR(__xludf.DUMMYFUNCTION("""COMPUTED_VALUE"""),"FIP Engineering")</f>
        <v>FIP Engineering</v>
      </c>
      <c r="O5384" s="6" t="str">
        <f>IFERROR(__xludf.DUMMYFUNCTION("""COMPUTED_VALUE"""),"FIP-DOM-000-11304-OS00001-INA-000000")</f>
        <v>FIP-DOM-000-11304-OS00001-INA-000000</v>
      </c>
      <c r="P5384" s="6" t="str">
        <f>IFERROR(__xludf.DUMMYFUNCTION("""COMPUTED_VALUE"""),"PO Closed")</f>
        <v>PO Closed</v>
      </c>
      <c r="Q5384" s="6" t="str">
        <f>IFERROR(__xludf.DUMMYFUNCTION("""COMPUTED_VALUE"""),"GL2608407")</f>
        <v>GL2608407</v>
      </c>
      <c r="R5384" s="57">
        <f>IFERROR(__xludf.DUMMYFUNCTION("""COMPUTED_VALUE"""),46220.0)</f>
        <v>46220</v>
      </c>
      <c r="S5384" s="57">
        <f>IFERROR(__xludf.DUMMYFUNCTION("""COMPUTED_VALUE"""),46223.0)</f>
        <v>46223</v>
      </c>
      <c r="T5384" s="57">
        <f>IFERROR(__xludf.DUMMYFUNCTION("""COMPUTED_VALUE"""),46286.0)</f>
        <v>46286</v>
      </c>
    </row>
    <row r="5385">
      <c r="A5385" s="6" t="str">
        <f>IFERROR(__xludf.DUMMYFUNCTION("""COMPUTED_VALUE"""),"121704456-1")</f>
        <v>121704456-1</v>
      </c>
      <c r="B5385" s="6" t="str">
        <f>IFERROR(__xludf.DUMMYFUNCTION("""COMPUTED_VALUE"""),"121704456 - APPROVED")</f>
        <v>121704456 - APPROVED</v>
      </c>
      <c r="C5385" s="6">
        <f>IFERROR(__xludf.DUMMYFUNCTION("""COMPUTED_VALUE"""),1.0)</f>
        <v>1</v>
      </c>
      <c r="D5385" s="6" t="str">
        <f>IFERROR(__xludf.DUMMYFUNCTION("""COMPUTED_VALUE"""),"P-51027-00")</f>
        <v>P-51027-00</v>
      </c>
      <c r="E5385" s="6" t="str">
        <f>IFERROR(__xludf.DUMMYFUNCTION("""COMPUTED_VALUE"""),"General - IsoLasi Kabel Hitam 33 (19mm x 20mm x 0.177mm); Scotch; -; 1 Pcs")</f>
        <v>General - IsoLasi Kabel Hitam 33 (19mm x 20mm x 0.177mm); Scotch; -; 1 Pcs</v>
      </c>
      <c r="F5385" s="6">
        <f>IFERROR(__xludf.DUMMYFUNCTION("""COMPUTED_VALUE"""),6.0)</f>
        <v>6</v>
      </c>
      <c r="G5385" s="6" t="str">
        <f>IFERROR(__xludf.DUMMYFUNCTION("""COMPUTED_VALUE"""),"Pieces")</f>
        <v>Pieces</v>
      </c>
      <c r="H5385" s="6" t="str">
        <f>IFERROR(__xludf.DUMMYFUNCTION("""COMPUTED_VALUE"""),"IDR")</f>
        <v>IDR</v>
      </c>
      <c r="I5385" s="6">
        <f>IFERROR(__xludf.DUMMYFUNCTION("""COMPUTED_VALUE"""),63050.0)</f>
        <v>63050</v>
      </c>
      <c r="J5385" s="6">
        <f>IFERROR(__xludf.DUMMYFUNCTION("""COMPUTED_VALUE"""),378300.0)</f>
        <v>378300</v>
      </c>
      <c r="K5385" s="57">
        <f>IFERROR(__xludf.DUMMYFUNCTION("""COMPUTED_VALUE"""),46255.0)</f>
        <v>46255</v>
      </c>
      <c r="L5385" s="6" t="str">
        <f>IFERROR(__xludf.DUMMYFUNCTION("""COMPUTED_VALUE"""),"FIP Engineering")</f>
        <v>FIP Engineering</v>
      </c>
      <c r="M5385" s="6" t="str">
        <f>IFERROR(__xludf.DUMMYFUNCTION("""COMPUTED_VALUE"""),"Mochammad Fadhillah Hakim,")</f>
        <v>Mochammad Fadhillah Hakim,</v>
      </c>
      <c r="N5385" s="6" t="str">
        <f>IFERROR(__xludf.DUMMYFUNCTION("""COMPUTED_VALUE"""),"FIP Engineering")</f>
        <v>FIP Engineering</v>
      </c>
      <c r="O5385" s="6" t="str">
        <f>IFERROR(__xludf.DUMMYFUNCTION("""COMPUTED_VALUE"""),"FIP-DOM-000-11304-OS00001-INA-000000")</f>
        <v>FIP-DOM-000-11304-OS00001-INA-000000</v>
      </c>
      <c r="P5385" s="6" t="str">
        <f>IFERROR(__xludf.DUMMYFUNCTION("""COMPUTED_VALUE"""),"PO Open")</f>
        <v>PO Open</v>
      </c>
      <c r="Q5385" s="6" t="str">
        <f>IFERROR(__xludf.DUMMYFUNCTION("""COMPUTED_VALUE"""),"GL2609428")</f>
        <v>GL2609428</v>
      </c>
      <c r="R5385" s="57">
        <f>IFERROR(__xludf.DUMMYFUNCTION("""COMPUTED_VALUE"""),46220.0)</f>
        <v>46220</v>
      </c>
      <c r="S5385" s="57">
        <f>IFERROR(__xludf.DUMMYFUNCTION("""COMPUTED_VALUE"""),46223.0)</f>
        <v>46223</v>
      </c>
      <c r="T5385" s="57">
        <f>IFERROR(__xludf.DUMMYFUNCTION("""COMPUTED_VALUE"""),46300.0)</f>
        <v>46300</v>
      </c>
    </row>
    <row r="5386">
      <c r="A5386" s="6" t="str">
        <f>IFERROR(__xludf.DUMMYFUNCTION("""COMPUTED_VALUE"""),"121704456-2")</f>
        <v>121704456-2</v>
      </c>
      <c r="B5386" s="6" t="str">
        <f>IFERROR(__xludf.DUMMYFUNCTION("""COMPUTED_VALUE"""),"121704456 - APPROVED")</f>
        <v>121704456 - APPROVED</v>
      </c>
      <c r="C5386" s="6">
        <f>IFERROR(__xludf.DUMMYFUNCTION("""COMPUTED_VALUE"""),2.0)</f>
        <v>2</v>
      </c>
      <c r="D5386" s="6" t="str">
        <f>IFERROR(__xludf.DUMMYFUNCTION("""COMPUTED_VALUE"""),"P-54210-00")</f>
        <v>P-54210-00</v>
      </c>
      <c r="E5386" s="6" t="str">
        <f>IFERROR(__xludf.DUMMYFUNCTION("""COMPUTED_VALUE"""),"General - Cover Stop Kontak; Schneider; IEC 60529 BS5733; 1 pcs")</f>
        <v>General - Cover Stop Kontak; Schneider; IEC 60529 BS5733; 1 pcs</v>
      </c>
      <c r="F5386" s="6">
        <f>IFERROR(__xludf.DUMMYFUNCTION("""COMPUTED_VALUE"""),2.0)</f>
        <v>2</v>
      </c>
      <c r="G5386" s="6" t="str">
        <f>IFERROR(__xludf.DUMMYFUNCTION("""COMPUTED_VALUE"""),"Pieces")</f>
        <v>Pieces</v>
      </c>
      <c r="H5386" s="6" t="str">
        <f>IFERROR(__xludf.DUMMYFUNCTION("""COMPUTED_VALUE"""),"IDR")</f>
        <v>IDR</v>
      </c>
      <c r="I5386" s="6">
        <f>IFERROR(__xludf.DUMMYFUNCTION("""COMPUTED_VALUE"""),86500.0)</f>
        <v>86500</v>
      </c>
      <c r="J5386" s="6">
        <f>IFERROR(__xludf.DUMMYFUNCTION("""COMPUTED_VALUE"""),173000.0)</f>
        <v>173000</v>
      </c>
      <c r="K5386" s="57">
        <f>IFERROR(__xludf.DUMMYFUNCTION("""COMPUTED_VALUE"""),46255.0)</f>
        <v>46255</v>
      </c>
      <c r="L5386" s="6" t="str">
        <f>IFERROR(__xludf.DUMMYFUNCTION("""COMPUTED_VALUE"""),"FIP Engineering")</f>
        <v>FIP Engineering</v>
      </c>
      <c r="M5386" s="6" t="str">
        <f>IFERROR(__xludf.DUMMYFUNCTION("""COMPUTED_VALUE"""),"Mochammad Fadhillah Hakim,")</f>
        <v>Mochammad Fadhillah Hakim,</v>
      </c>
      <c r="N5386" s="6" t="str">
        <f>IFERROR(__xludf.DUMMYFUNCTION("""COMPUTED_VALUE"""),"FIP Engineering")</f>
        <v>FIP Engineering</v>
      </c>
      <c r="O5386" s="6" t="str">
        <f>IFERROR(__xludf.DUMMYFUNCTION("""COMPUTED_VALUE"""),"FIP-DOM-000-11304-OS00001-INA-000000")</f>
        <v>FIP-DOM-000-11304-OS00001-INA-000000</v>
      </c>
      <c r="P5386" s="6" t="str">
        <f>IFERROR(__xludf.DUMMYFUNCTION("""COMPUTED_VALUE"""),"PO Closed")</f>
        <v>PO Closed</v>
      </c>
      <c r="Q5386" s="6" t="str">
        <f>IFERROR(__xludf.DUMMYFUNCTION("""COMPUTED_VALUE"""),"GL2608397")</f>
        <v>GL2608397</v>
      </c>
      <c r="R5386" s="57">
        <f>IFERROR(__xludf.DUMMYFUNCTION("""COMPUTED_VALUE"""),46220.0)</f>
        <v>46220</v>
      </c>
      <c r="S5386" s="57">
        <f>IFERROR(__xludf.DUMMYFUNCTION("""COMPUTED_VALUE"""),46223.0)</f>
        <v>46223</v>
      </c>
      <c r="T5386" s="57">
        <f>IFERROR(__xludf.DUMMYFUNCTION("""COMPUTED_VALUE"""),46270.0)</f>
        <v>46270</v>
      </c>
    </row>
    <row r="5387">
      <c r="A5387" s="6" t="str">
        <f>IFERROR(__xludf.DUMMYFUNCTION("""COMPUTED_VALUE"""),"121704459-1")</f>
        <v>121704459-1</v>
      </c>
      <c r="B5387" s="6" t="str">
        <f>IFERROR(__xludf.DUMMYFUNCTION("""COMPUTED_VALUE"""),"121704459 - APPROVED")</f>
        <v>121704459 - APPROVED</v>
      </c>
      <c r="C5387" s="6">
        <f>IFERROR(__xludf.DUMMYFUNCTION("""COMPUTED_VALUE"""),1.0)</f>
        <v>1</v>
      </c>
      <c r="D5387" s="6" t="str">
        <f>IFERROR(__xludf.DUMMYFUNCTION("""COMPUTED_VALUE"""),"O-20294-00")</f>
        <v>O-20294-00</v>
      </c>
      <c r="E5387" s="6" t="str">
        <f>IFERROR(__xludf.DUMMYFUNCTION("""COMPUTED_VALUE"""),"Autoclave - Oring 70 x 59 x 5.5 mm Viton Custom/Lokal  -")</f>
        <v>Autoclave - Oring 70 x 59 x 5.5 mm Viton Custom/Lokal  -</v>
      </c>
      <c r="F5387" s="6">
        <f>IFERROR(__xludf.DUMMYFUNCTION("""COMPUTED_VALUE"""),5.0)</f>
        <v>5</v>
      </c>
      <c r="G5387" s="6" t="str">
        <f>IFERROR(__xludf.DUMMYFUNCTION("""COMPUTED_VALUE"""),"Pieces")</f>
        <v>Pieces</v>
      </c>
      <c r="H5387" s="6" t="str">
        <f>IFERROR(__xludf.DUMMYFUNCTION("""COMPUTED_VALUE"""),"IDR")</f>
        <v>IDR</v>
      </c>
      <c r="I5387" s="6">
        <f>IFERROR(__xludf.DUMMYFUNCTION("""COMPUTED_VALUE"""),75000.0)</f>
        <v>75000</v>
      </c>
      <c r="J5387" s="6">
        <f>IFERROR(__xludf.DUMMYFUNCTION("""COMPUTED_VALUE"""),375000.0)</f>
        <v>375000</v>
      </c>
      <c r="K5387" s="57">
        <f>IFERROR(__xludf.DUMMYFUNCTION("""COMPUTED_VALUE"""),46255.0)</f>
        <v>46255</v>
      </c>
      <c r="L5387" s="6" t="str">
        <f>IFERROR(__xludf.DUMMYFUNCTION("""COMPUTED_VALUE"""),"FIP Engineering")</f>
        <v>FIP Engineering</v>
      </c>
      <c r="M5387" s="6" t="str">
        <f>IFERROR(__xludf.DUMMYFUNCTION("""COMPUTED_VALUE"""),"Mochammad Fadhillah Hakim,")</f>
        <v>Mochammad Fadhillah Hakim,</v>
      </c>
      <c r="N5387" s="6" t="str">
        <f>IFERROR(__xludf.DUMMYFUNCTION("""COMPUTED_VALUE"""),"FIP Engineering")</f>
        <v>FIP Engineering</v>
      </c>
      <c r="O5387" s="6" t="str">
        <f>IFERROR(__xludf.DUMMYFUNCTION("""COMPUTED_VALUE"""),"FIP-DOM-000-11304-OS00001-INA-000000")</f>
        <v>FIP-DOM-000-11304-OS00001-INA-000000</v>
      </c>
      <c r="P5387" s="6" t="str">
        <f>IFERROR(__xludf.DUMMYFUNCTION("""COMPUTED_VALUE"""),"PO Closed")</f>
        <v>PO Closed</v>
      </c>
      <c r="Q5387" s="6" t="str">
        <f>IFERROR(__xludf.DUMMYFUNCTION("""COMPUTED_VALUE"""),"GL2608408")</f>
        <v>GL2608408</v>
      </c>
      <c r="R5387" s="57">
        <f>IFERROR(__xludf.DUMMYFUNCTION("""COMPUTED_VALUE"""),46220.0)</f>
        <v>46220</v>
      </c>
      <c r="S5387" s="57">
        <f>IFERROR(__xludf.DUMMYFUNCTION("""COMPUTED_VALUE"""),46223.0)</f>
        <v>46223</v>
      </c>
      <c r="T5387" s="57">
        <f>IFERROR(__xludf.DUMMYFUNCTION("""COMPUTED_VALUE"""),46255.0)</f>
        <v>46255</v>
      </c>
    </row>
    <row r="5388">
      <c r="A5388" s="6" t="str">
        <f>IFERROR(__xludf.DUMMYFUNCTION("""COMPUTED_VALUE"""),"121704460-1")</f>
        <v>121704460-1</v>
      </c>
      <c r="B5388" s="6" t="str">
        <f>IFERROR(__xludf.DUMMYFUNCTION("""COMPUTED_VALUE"""),"121704460 - APPROVED")</f>
        <v>121704460 - APPROVED</v>
      </c>
      <c r="C5388" s="6">
        <f>IFERROR(__xludf.DUMMYFUNCTION("""COMPUTED_VALUE"""),1.0)</f>
        <v>1</v>
      </c>
      <c r="D5388" s="6" t="str">
        <f>IFERROR(__xludf.DUMMYFUNCTION("""COMPUTED_VALUE"""),"P-54634-00")</f>
        <v>P-54634-00</v>
      </c>
      <c r="E5388" s="6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F5388" s="6">
        <f>IFERROR(__xludf.DUMMYFUNCTION("""COMPUTED_VALUE"""),1.0)</f>
        <v>1</v>
      </c>
      <c r="G5388" s="6" t="str">
        <f>IFERROR(__xludf.DUMMYFUNCTION("""COMPUTED_VALUE"""),"Unit")</f>
        <v>Unit</v>
      </c>
      <c r="H5388" s="6" t="str">
        <f>IFERROR(__xludf.DUMMYFUNCTION("""COMPUTED_VALUE"""),"IDR")</f>
        <v>IDR</v>
      </c>
      <c r="I5388" s="6">
        <f>IFERROR(__xludf.DUMMYFUNCTION("""COMPUTED_VALUE"""),1.6E7)</f>
        <v>16000000</v>
      </c>
      <c r="J5388" s="6">
        <f>IFERROR(__xludf.DUMMYFUNCTION("""COMPUTED_VALUE"""),1.6E7)</f>
        <v>16000000</v>
      </c>
      <c r="K5388" s="57">
        <f>IFERROR(__xludf.DUMMYFUNCTION("""COMPUTED_VALUE"""),46255.0)</f>
        <v>46255</v>
      </c>
      <c r="L5388" s="6" t="str">
        <f>IFERROR(__xludf.DUMMYFUNCTION("""COMPUTED_VALUE"""),"FIP Engineering")</f>
        <v>FIP Engineering</v>
      </c>
      <c r="M5388" s="6" t="str">
        <f>IFERROR(__xludf.DUMMYFUNCTION("""COMPUTED_VALUE"""),"Mochammad Fadhillah Hakim,")</f>
        <v>Mochammad Fadhillah Hakim,</v>
      </c>
      <c r="N5388" s="6" t="str">
        <f>IFERROR(__xludf.DUMMYFUNCTION("""COMPUTED_VALUE"""),"FIP Engineering")</f>
        <v>FIP Engineering</v>
      </c>
      <c r="O5388" s="6" t="str">
        <f>IFERROR(__xludf.DUMMYFUNCTION("""COMPUTED_VALUE"""),"FIP-DOM-000-11304-OS00001-INA-000000")</f>
        <v>FIP-DOM-000-11304-OS00001-INA-000000</v>
      </c>
      <c r="P5388" s="6" t="str">
        <f>IFERROR(__xludf.DUMMYFUNCTION("""COMPUTED_VALUE"""),"PO Open")</f>
        <v>PO Open</v>
      </c>
      <c r="Q5388" s="6" t="str">
        <f>IFERROR(__xludf.DUMMYFUNCTION("""COMPUTED_VALUE"""),"GL2608006")</f>
        <v>GL2608006</v>
      </c>
      <c r="R5388" s="57">
        <f>IFERROR(__xludf.DUMMYFUNCTION("""COMPUTED_VALUE"""),46220.0)</f>
        <v>46220</v>
      </c>
      <c r="S5388" s="57">
        <f>IFERROR(__xludf.DUMMYFUNCTION("""COMPUTED_VALUE"""),46223.0)</f>
        <v>46223</v>
      </c>
      <c r="T5388" s="57">
        <f>IFERROR(__xludf.DUMMYFUNCTION("""COMPUTED_VALUE"""),46315.0)</f>
        <v>46315</v>
      </c>
    </row>
    <row r="5389">
      <c r="A5389" s="6" t="str">
        <f>IFERROR(__xludf.DUMMYFUNCTION("""COMPUTED_VALUE"""),"121704461-1")</f>
        <v>121704461-1</v>
      </c>
      <c r="B5389" s="6" t="str">
        <f>IFERROR(__xludf.DUMMYFUNCTION("""COMPUTED_VALUE"""),"121704461 - APPROVED")</f>
        <v>121704461 - APPROVED</v>
      </c>
      <c r="C5389" s="6">
        <f>IFERROR(__xludf.DUMMYFUNCTION("""COMPUTED_VALUE"""),1.0)</f>
        <v>1</v>
      </c>
      <c r="D5389" s="6" t="str">
        <f>IFERROR(__xludf.DUMMYFUNCTION("""COMPUTED_VALUE"""),"R-21013-00")</f>
        <v>R-21013-00</v>
      </c>
      <c r="E5389" s="6" t="str">
        <f>IFERROR(__xludf.DUMMYFUNCTION("""COMPUTED_VALUE"""),"Utility Equipment; ; ; - Recorder KRN1000-0401-0S Autonics - Recorder KRN1000-0401-0S Autonics - Recorder KRN1000-0401-0S Autonics - Recorder KRN1000-0401-0S Autonics")</f>
        <v>Utility Equipment; ; ; - Recorder KRN1000-0401-0S Autonics - Recorder KRN1000-0401-0S Autonics - Recorder KRN1000-0401-0S Autonics - Recorder KRN1000-0401-0S Autonics</v>
      </c>
      <c r="F5389" s="6">
        <f>IFERROR(__xludf.DUMMYFUNCTION("""COMPUTED_VALUE"""),3.0)</f>
        <v>3</v>
      </c>
      <c r="G5389" s="6" t="str">
        <f>IFERROR(__xludf.DUMMYFUNCTION("""COMPUTED_VALUE"""),"Unit")</f>
        <v>Unit</v>
      </c>
      <c r="H5389" s="6" t="str">
        <f>IFERROR(__xludf.DUMMYFUNCTION("""COMPUTED_VALUE"""),"IDR")</f>
        <v>IDR</v>
      </c>
      <c r="I5389" s="6">
        <f>IFERROR(__xludf.DUMMYFUNCTION("""COMPUTED_VALUE"""),1.52195E7)</f>
        <v>15219500</v>
      </c>
      <c r="J5389" s="6">
        <f>IFERROR(__xludf.DUMMYFUNCTION("""COMPUTED_VALUE"""),4.56585E7)</f>
        <v>45658500</v>
      </c>
      <c r="K5389" s="57">
        <f>IFERROR(__xludf.DUMMYFUNCTION("""COMPUTED_VALUE"""),46223.0)</f>
        <v>46223</v>
      </c>
      <c r="L5389" s="6" t="str">
        <f>IFERROR(__xludf.DUMMYFUNCTION("""COMPUTED_VALUE"""),"FIP General")</f>
        <v>FIP General</v>
      </c>
      <c r="M5389" s="6" t="str">
        <f>IFERROR(__xludf.DUMMYFUNCTION("""COMPUTED_VALUE"""),"Mochammad Fadhillah Hakim,")</f>
        <v>Mochammad Fadhillah Hakim,</v>
      </c>
      <c r="N5389" s="6" t="str">
        <f>IFERROR(__xludf.DUMMYFUNCTION("""COMPUTED_VALUE"""),"FIP Engineering")</f>
        <v>FIP Engineering</v>
      </c>
      <c r="O5389" s="6" t="str">
        <f>IFERROR(__xludf.DUMMYFUNCTION("""COMPUTED_VALUE"""),"FIP-DOM-ENG-13405-EQ26004-INA-000000")</f>
        <v>FIP-DOM-ENG-13405-EQ26004-INA-000000</v>
      </c>
      <c r="P5389" s="6" t="str">
        <f>IFERROR(__xludf.DUMMYFUNCTION("""COMPUTED_VALUE"""),"PO Closed")</f>
        <v>PO Closed</v>
      </c>
      <c r="Q5389" s="6" t="str">
        <f>IFERROR(__xludf.DUMMYFUNCTION("""COMPUTED_VALUE"""),"GL2608025")</f>
        <v>GL2608025</v>
      </c>
      <c r="R5389" s="57">
        <f>IFERROR(__xludf.DUMMYFUNCTION("""COMPUTED_VALUE"""),46221.0)</f>
        <v>46221</v>
      </c>
      <c r="S5389" s="57">
        <f>IFERROR(__xludf.DUMMYFUNCTION("""COMPUTED_VALUE"""),46223.0)</f>
        <v>46223</v>
      </c>
      <c r="T5389" s="57">
        <f>IFERROR(__xludf.DUMMYFUNCTION("""COMPUTED_VALUE"""),46295.0)</f>
        <v>46295</v>
      </c>
    </row>
    <row r="5390">
      <c r="A5390" s="6" t="str">
        <f>IFERROR(__xludf.DUMMYFUNCTION("""COMPUTED_VALUE"""),"121704465-1")</f>
        <v>121704465-1</v>
      </c>
      <c r="B5390" s="6" t="str">
        <f>IFERROR(__xludf.DUMMYFUNCTION("""COMPUTED_VALUE"""),"121704465 - APPROVED")</f>
        <v>121704465 - APPROVED</v>
      </c>
      <c r="C5390" s="6">
        <f>IFERROR(__xludf.DUMMYFUNCTION("""COMPUTED_VALUE"""),1.0)</f>
        <v>1</v>
      </c>
      <c r="D5390" s="6" t="str">
        <f>IFERROR(__xludf.DUMMYFUNCTION("""COMPUTED_VALUE"""),"T-22348-00")</f>
        <v>T-22348-00</v>
      </c>
      <c r="E5390" s="6" t="str">
        <f>IFERROR(__xludf.DUMMYFUNCTION("""COMPUTED_VALUE"""),"Replacement Ultra Violet Lamp for Sievers Model 900/M9; HART; A-2100-UVL; pack")</f>
        <v>Replacement Ultra Violet Lamp for Sievers Model 900/M9; HART; A-2100-UVL; pack</v>
      </c>
      <c r="F5390" s="6">
        <f>IFERROR(__xludf.DUMMYFUNCTION("""COMPUTED_VALUE"""),1.0)</f>
        <v>1</v>
      </c>
      <c r="G5390" s="6" t="str">
        <f>IFERROR(__xludf.DUMMYFUNCTION("""COMPUTED_VALUE"""),"Pack")</f>
        <v>Pack</v>
      </c>
      <c r="H5390" s="6" t="str">
        <f>IFERROR(__xludf.DUMMYFUNCTION("""COMPUTED_VALUE"""),"IDR")</f>
        <v>IDR</v>
      </c>
      <c r="I5390" s="6">
        <f>IFERROR(__xludf.DUMMYFUNCTION("""COMPUTED_VALUE"""),1.1E7)</f>
        <v>11000000</v>
      </c>
      <c r="J5390" s="6">
        <f>IFERROR(__xludf.DUMMYFUNCTION("""COMPUTED_VALUE"""),1.1E7)</f>
        <v>11000000</v>
      </c>
      <c r="K5390" s="57">
        <f>IFERROR(__xludf.DUMMYFUNCTION("""COMPUTED_VALUE"""),46318.0)</f>
        <v>46318</v>
      </c>
      <c r="L5390" s="6" t="str">
        <f>IFERROR(__xludf.DUMMYFUNCTION("""COMPUTED_VALUE"""),"FIP General")</f>
        <v>FIP General</v>
      </c>
      <c r="M5390" s="6" t="str">
        <f>IFERROR(__xludf.DUMMYFUNCTION("""COMPUTED_VALUE"""),"Mochammad Fadhillah Hakim,")</f>
        <v>Mochammad Fadhillah Hakim,</v>
      </c>
      <c r="N5390" s="6" t="str">
        <f>IFERROR(__xludf.DUMMYFUNCTION("""COMPUTED_VALUE"""),"FIP Engineering")</f>
        <v>FIP Engineering</v>
      </c>
      <c r="O5390" s="6" t="str">
        <f>IFERROR(__xludf.DUMMYFUNCTION("""COMPUTED_VALUE"""),"FIP-DOM-ENG-51505-0000000-INA-000000")</f>
        <v>FIP-DOM-ENG-51505-0000000-INA-000000</v>
      </c>
      <c r="P5390" s="6" t="str">
        <f>IFERROR(__xludf.DUMMYFUNCTION("""COMPUTED_VALUE"""),"PO Open")</f>
        <v>PO Open</v>
      </c>
      <c r="Q5390" s="6" t="str">
        <f>IFERROR(__xludf.DUMMYFUNCTION("""COMPUTED_VALUE"""),"GL2608024")</f>
        <v>GL2608024</v>
      </c>
      <c r="R5390" s="57">
        <f>IFERROR(__xludf.DUMMYFUNCTION("""COMPUTED_VALUE"""),46224.0)</f>
        <v>46224</v>
      </c>
      <c r="S5390" s="57">
        <f>IFERROR(__xludf.DUMMYFUNCTION("""COMPUTED_VALUE"""),46224.0)</f>
        <v>46224</v>
      </c>
      <c r="T5390" s="57">
        <f>IFERROR(__xludf.DUMMYFUNCTION("""COMPUTED_VALUE"""),46318.0)</f>
        <v>46318</v>
      </c>
    </row>
    <row r="5391">
      <c r="A5391" s="6" t="str">
        <f>IFERROR(__xludf.DUMMYFUNCTION("""COMPUTED_VALUE"""),"121704465-2")</f>
        <v>121704465-2</v>
      </c>
      <c r="B5391" s="6" t="str">
        <f>IFERROR(__xludf.DUMMYFUNCTION("""COMPUTED_VALUE"""),"121704465 - APPROVED")</f>
        <v>121704465 - APPROVED</v>
      </c>
      <c r="C5391" s="6">
        <f>IFERROR(__xludf.DUMMYFUNCTION("""COMPUTED_VALUE"""),2.0)</f>
        <v>2</v>
      </c>
      <c r="D5391" s="6" t="str">
        <f>IFERROR(__xludf.DUMMYFUNCTION("""COMPUTED_VALUE"""),"T-22349-00")</f>
        <v>T-22349-00</v>
      </c>
      <c r="E5391" s="6" t="str">
        <f>IFERROR(__xludf.DUMMYFUNCTION("""COMPUTED_VALUE"""),"Replacement Pump Tubing for Sievers Model 900; HART; A-2101-TUB; pack")</f>
        <v>Replacement Pump Tubing for Sievers Model 900; HART; A-2101-TUB; pack</v>
      </c>
      <c r="F5391" s="6">
        <f>IFERROR(__xludf.DUMMYFUNCTION("""COMPUTED_VALUE"""),1.0)</f>
        <v>1</v>
      </c>
      <c r="G5391" s="6" t="str">
        <f>IFERROR(__xludf.DUMMYFUNCTION("""COMPUTED_VALUE"""),"Pack")</f>
        <v>Pack</v>
      </c>
      <c r="H5391" s="6" t="str">
        <f>IFERROR(__xludf.DUMMYFUNCTION("""COMPUTED_VALUE"""),"IDR")</f>
        <v>IDR</v>
      </c>
      <c r="I5391" s="6">
        <f>IFERROR(__xludf.DUMMYFUNCTION("""COMPUTED_VALUE"""),2250000.0)</f>
        <v>2250000</v>
      </c>
      <c r="J5391" s="6">
        <f>IFERROR(__xludf.DUMMYFUNCTION("""COMPUTED_VALUE"""),2250000.0)</f>
        <v>2250000</v>
      </c>
      <c r="K5391" s="57">
        <f>IFERROR(__xludf.DUMMYFUNCTION("""COMPUTED_VALUE"""),46318.0)</f>
        <v>46318</v>
      </c>
      <c r="L5391" s="6" t="str">
        <f>IFERROR(__xludf.DUMMYFUNCTION("""COMPUTED_VALUE"""),"FIP General")</f>
        <v>FIP General</v>
      </c>
      <c r="M5391" s="6" t="str">
        <f>IFERROR(__xludf.DUMMYFUNCTION("""COMPUTED_VALUE"""),"Mochammad Fadhillah Hakim,")</f>
        <v>Mochammad Fadhillah Hakim,</v>
      </c>
      <c r="N5391" s="6" t="str">
        <f>IFERROR(__xludf.DUMMYFUNCTION("""COMPUTED_VALUE"""),"FIP Engineering")</f>
        <v>FIP Engineering</v>
      </c>
      <c r="O5391" s="6" t="str">
        <f>IFERROR(__xludf.DUMMYFUNCTION("""COMPUTED_VALUE"""),"FIP-DOM-ENG-51505-0000000-INA-000000")</f>
        <v>FIP-DOM-ENG-51505-0000000-INA-000000</v>
      </c>
      <c r="P5391" s="6" t="str">
        <f>IFERROR(__xludf.DUMMYFUNCTION("""COMPUTED_VALUE"""),"PO Open")</f>
        <v>PO Open</v>
      </c>
      <c r="Q5391" s="6" t="str">
        <f>IFERROR(__xludf.DUMMYFUNCTION("""COMPUTED_VALUE"""),"GL2608024")</f>
        <v>GL2608024</v>
      </c>
      <c r="R5391" s="57">
        <f>IFERROR(__xludf.DUMMYFUNCTION("""COMPUTED_VALUE"""),46224.0)</f>
        <v>46224</v>
      </c>
      <c r="S5391" s="57">
        <f>IFERROR(__xludf.DUMMYFUNCTION("""COMPUTED_VALUE"""),46224.0)</f>
        <v>46224</v>
      </c>
      <c r="T5391" s="57">
        <f>IFERROR(__xludf.DUMMYFUNCTION("""COMPUTED_VALUE"""),46318.0)</f>
        <v>46318</v>
      </c>
    </row>
    <row r="5392">
      <c r="A5392" s="6" t="str">
        <f>IFERROR(__xludf.DUMMYFUNCTION("""COMPUTED_VALUE"""),"121704465-3")</f>
        <v>121704465-3</v>
      </c>
      <c r="B5392" s="6" t="str">
        <f>IFERROR(__xludf.DUMMYFUNCTION("""COMPUTED_VALUE"""),"121704465 - APPROVED")</f>
        <v>121704465 - APPROVED</v>
      </c>
      <c r="C5392" s="6">
        <f>IFERROR(__xludf.DUMMYFUNCTION("""COMPUTED_VALUE"""),3.0)</f>
        <v>3</v>
      </c>
      <c r="D5392" s="6" t="str">
        <f>IFERROR(__xludf.DUMMYFUNCTION("""COMPUTED_VALUE"""),"T-22350-00")</f>
        <v>T-22350-00</v>
      </c>
      <c r="E5392" s="6" t="str">
        <f>IFERROR(__xludf.DUMMYFUNCTION("""COMPUTED_VALUE"""),"Replacement Resin Bed for Sievers Model 900; HART; A-2890-RES; pack")</f>
        <v>Replacement Resin Bed for Sievers Model 900; HART; A-2890-RES; pack</v>
      </c>
      <c r="F5392" s="6">
        <f>IFERROR(__xludf.DUMMYFUNCTION("""COMPUTED_VALUE"""),1.0)</f>
        <v>1</v>
      </c>
      <c r="G5392" s="6" t="str">
        <f>IFERROR(__xludf.DUMMYFUNCTION("""COMPUTED_VALUE"""),"Pack")</f>
        <v>Pack</v>
      </c>
      <c r="H5392" s="6" t="str">
        <f>IFERROR(__xludf.DUMMYFUNCTION("""COMPUTED_VALUE"""),"IDR")</f>
        <v>IDR</v>
      </c>
      <c r="I5392" s="6">
        <f>IFERROR(__xludf.DUMMYFUNCTION("""COMPUTED_VALUE"""),1.265E7)</f>
        <v>12650000</v>
      </c>
      <c r="J5392" s="6">
        <f>IFERROR(__xludf.DUMMYFUNCTION("""COMPUTED_VALUE"""),1.265E7)</f>
        <v>12650000</v>
      </c>
      <c r="K5392" s="57">
        <f>IFERROR(__xludf.DUMMYFUNCTION("""COMPUTED_VALUE"""),46318.0)</f>
        <v>46318</v>
      </c>
      <c r="L5392" s="6" t="str">
        <f>IFERROR(__xludf.DUMMYFUNCTION("""COMPUTED_VALUE"""),"FIP General")</f>
        <v>FIP General</v>
      </c>
      <c r="M5392" s="6" t="str">
        <f>IFERROR(__xludf.DUMMYFUNCTION("""COMPUTED_VALUE"""),"Mochammad Fadhillah Hakim,")</f>
        <v>Mochammad Fadhillah Hakim,</v>
      </c>
      <c r="N5392" s="6" t="str">
        <f>IFERROR(__xludf.DUMMYFUNCTION("""COMPUTED_VALUE"""),"FIP Engineering")</f>
        <v>FIP Engineering</v>
      </c>
      <c r="O5392" s="6" t="str">
        <f>IFERROR(__xludf.DUMMYFUNCTION("""COMPUTED_VALUE"""),"FIP-DOM-ENG-51505-0000000-INA-000000")</f>
        <v>FIP-DOM-ENG-51505-0000000-INA-000000</v>
      </c>
      <c r="P5392" s="6" t="str">
        <f>IFERROR(__xludf.DUMMYFUNCTION("""COMPUTED_VALUE"""),"PO Open")</f>
        <v>PO Open</v>
      </c>
      <c r="Q5392" s="6" t="str">
        <f>IFERROR(__xludf.DUMMYFUNCTION("""COMPUTED_VALUE"""),"GL2608024")</f>
        <v>GL2608024</v>
      </c>
      <c r="R5392" s="57">
        <f>IFERROR(__xludf.DUMMYFUNCTION("""COMPUTED_VALUE"""),46224.0)</f>
        <v>46224</v>
      </c>
      <c r="S5392" s="57">
        <f>IFERROR(__xludf.DUMMYFUNCTION("""COMPUTED_VALUE"""),46224.0)</f>
        <v>46224</v>
      </c>
      <c r="T5392" s="57">
        <f>IFERROR(__xludf.DUMMYFUNCTION("""COMPUTED_VALUE"""),46318.0)</f>
        <v>46318</v>
      </c>
    </row>
    <row r="5393">
      <c r="A5393" s="6" t="str">
        <f>IFERROR(__xludf.DUMMYFUNCTION("""COMPUTED_VALUE"""),"121704466-1")</f>
        <v>121704466-1</v>
      </c>
      <c r="B5393" s="6" t="str">
        <f>IFERROR(__xludf.DUMMYFUNCTION("""COMPUTED_VALUE"""),"121704466 - APPROVED")</f>
        <v>121704466 - APPROVED</v>
      </c>
      <c r="C5393" s="6">
        <f>IFERROR(__xludf.DUMMYFUNCTION("""COMPUTED_VALUE"""),1.0)</f>
        <v>1</v>
      </c>
      <c r="D5393" s="6" t="str">
        <f>IFERROR(__xludf.DUMMYFUNCTION("""COMPUTED_VALUE"""),"P-54703-00")</f>
        <v>P-54703-00</v>
      </c>
      <c r="E5393" s="6" t="str">
        <f>IFERROR(__xludf.DUMMYFUNCTION("""COMPUTED_VALUE"""),"General - Pompa Submersible V750; York; -; 1 pc")</f>
        <v>General - Pompa Submersible V750; York; -; 1 pc</v>
      </c>
      <c r="F5393" s="6">
        <f>IFERROR(__xludf.DUMMYFUNCTION("""COMPUTED_VALUE"""),2.0)</f>
        <v>2</v>
      </c>
      <c r="G5393" s="6" t="str">
        <f>IFERROR(__xludf.DUMMYFUNCTION("""COMPUTED_VALUE"""),"Pieces")</f>
        <v>Pieces</v>
      </c>
      <c r="H5393" s="6" t="str">
        <f>IFERROR(__xludf.DUMMYFUNCTION("""COMPUTED_VALUE"""),"IDR")</f>
        <v>IDR</v>
      </c>
      <c r="I5393" s="6">
        <f>IFERROR(__xludf.DUMMYFUNCTION("""COMPUTED_VALUE"""),3750000.0)</f>
        <v>3750000</v>
      </c>
      <c r="J5393" s="6">
        <f>IFERROR(__xludf.DUMMYFUNCTION("""COMPUTED_VALUE"""),7500000.0)</f>
        <v>7500000</v>
      </c>
      <c r="K5393" s="57">
        <f>IFERROR(__xludf.DUMMYFUNCTION("""COMPUTED_VALUE"""),46241.0)</f>
        <v>46241</v>
      </c>
      <c r="L5393" s="6" t="str">
        <f>IFERROR(__xludf.DUMMYFUNCTION("""COMPUTED_VALUE"""),"FIP Engineering")</f>
        <v>FIP Engineering</v>
      </c>
      <c r="M5393" s="6" t="str">
        <f>IFERROR(__xludf.DUMMYFUNCTION("""COMPUTED_VALUE"""),"Mochammad Fadhillah Hakim,")</f>
        <v>Mochammad Fadhillah Hakim,</v>
      </c>
      <c r="N5393" s="6" t="str">
        <f>IFERROR(__xludf.DUMMYFUNCTION("""COMPUTED_VALUE"""),"FIP Engineering")</f>
        <v>FIP Engineering</v>
      </c>
      <c r="O5393" s="6" t="str">
        <f>IFERROR(__xludf.DUMMYFUNCTION("""COMPUTED_VALUE"""),"FIP-DOM-000-11304-OS00001-INA-000000")</f>
        <v>FIP-DOM-000-11304-OS00001-INA-000000</v>
      </c>
      <c r="P5393" s="6" t="str">
        <f>IFERROR(__xludf.DUMMYFUNCTION("""COMPUTED_VALUE"""),"PO Open")</f>
        <v>PO Open</v>
      </c>
      <c r="Q5393" s="6" t="str">
        <f>IFERROR(__xludf.DUMMYFUNCTION("""COMPUTED_VALUE"""),"GL2608396")</f>
        <v>GL2608396</v>
      </c>
      <c r="R5393" s="57">
        <f>IFERROR(__xludf.DUMMYFUNCTION("""COMPUTED_VALUE"""),46224.0)</f>
        <v>46224</v>
      </c>
      <c r="S5393" s="57">
        <f>IFERROR(__xludf.DUMMYFUNCTION("""COMPUTED_VALUE"""),46224.0)</f>
        <v>46224</v>
      </c>
      <c r="T5393" s="57">
        <f>IFERROR(__xludf.DUMMYFUNCTION("""COMPUTED_VALUE"""),46285.0)</f>
        <v>46285</v>
      </c>
    </row>
    <row r="5394">
      <c r="A5394" s="6" t="str">
        <f>IFERROR(__xludf.DUMMYFUNCTION("""COMPUTED_VALUE"""),"121704471-1")</f>
        <v>121704471-1</v>
      </c>
      <c r="B5394" s="6" t="str">
        <f>IFERROR(__xludf.DUMMYFUNCTION("""COMPUTED_VALUE"""),"121704471 - APPROVED")</f>
        <v>121704471 - APPROVED</v>
      </c>
      <c r="C5394" s="6">
        <f>IFERROR(__xludf.DUMMYFUNCTION("""COMPUTED_VALUE"""),1.0)</f>
        <v>1</v>
      </c>
      <c r="D5394" s="6" t="str">
        <f>IFERROR(__xludf.DUMMYFUNCTION("""COMPUTED_VALUE"""),"T-81150-00")</f>
        <v>T-81150-00</v>
      </c>
      <c r="E5394" s="6" t="str">
        <f>IFERROR(__xludf.DUMMYFUNCTION("""COMPUTED_VALUE"""),"Joyko Permanent Marker dual TIP PM 32 Warna Biru - Merah")</f>
        <v>Joyko Permanent Marker dual TIP PM 32 Warna Biru - Merah</v>
      </c>
      <c r="F5394" s="6">
        <f>IFERROR(__xludf.DUMMYFUNCTION("""COMPUTED_VALUE"""),5.0)</f>
        <v>5</v>
      </c>
      <c r="G5394" s="6" t="str">
        <f>IFERROR(__xludf.DUMMYFUNCTION("""COMPUTED_VALUE"""),"Pieces")</f>
        <v>Pieces</v>
      </c>
      <c r="H5394" s="6" t="str">
        <f>IFERROR(__xludf.DUMMYFUNCTION("""COMPUTED_VALUE"""),"IDR")</f>
        <v>IDR</v>
      </c>
      <c r="I5394" s="6">
        <f>IFERROR(__xludf.DUMMYFUNCTION("""COMPUTED_VALUE"""),10000.0)</f>
        <v>10000</v>
      </c>
      <c r="J5394" s="6">
        <f>IFERROR(__xludf.DUMMYFUNCTION("""COMPUTED_VALUE"""),50000.0)</f>
        <v>50000</v>
      </c>
      <c r="K5394" s="57">
        <f>IFERROR(__xludf.DUMMYFUNCTION("""COMPUTED_VALUE"""),46241.0)</f>
        <v>46241</v>
      </c>
      <c r="L5394" s="6" t="str">
        <f>IFERROR(__xludf.DUMMYFUNCTION("""COMPUTED_VALUE"""),"FIP General")</f>
        <v>FIP General</v>
      </c>
      <c r="M5394" s="6" t="str">
        <f>IFERROR(__xludf.DUMMYFUNCTION("""COMPUTED_VALUE"""),"Mochammad Fadhillah Hakim,")</f>
        <v>Mochammad Fadhillah Hakim,</v>
      </c>
      <c r="N5394" s="6" t="str">
        <f>IFERROR(__xludf.DUMMYFUNCTION("""COMPUTED_VALUE"""),"FIP Engineering")</f>
        <v>FIP Engineering</v>
      </c>
      <c r="O5394" s="6" t="str">
        <f>IFERROR(__xludf.DUMMYFUNCTION("""COMPUTED_VALUE"""),"FIP-DOM-ENG-51411-0000000-INA-000000")</f>
        <v>FIP-DOM-ENG-51411-0000000-INA-000000</v>
      </c>
      <c r="P5394" s="6" t="str">
        <f>IFERROR(__xludf.DUMMYFUNCTION("""COMPUTED_VALUE"""),"PO Closed")</f>
        <v>PO Closed</v>
      </c>
      <c r="Q5394" s="6" t="str">
        <f>IFERROR(__xludf.DUMMYFUNCTION("""COMPUTED_VALUE"""),"GL2608393")</f>
        <v>GL2608393</v>
      </c>
      <c r="R5394" s="57">
        <f>IFERROR(__xludf.DUMMYFUNCTION("""COMPUTED_VALUE"""),46225.0)</f>
        <v>46225</v>
      </c>
      <c r="S5394" s="57">
        <f>IFERROR(__xludf.DUMMYFUNCTION("""COMPUTED_VALUE"""),46225.0)</f>
        <v>46225</v>
      </c>
      <c r="T5394" s="57">
        <f>IFERROR(__xludf.DUMMYFUNCTION("""COMPUTED_VALUE"""),46254.0)</f>
        <v>46254</v>
      </c>
    </row>
    <row r="5395">
      <c r="A5395" s="6" t="str">
        <f>IFERROR(__xludf.DUMMYFUNCTION("""COMPUTED_VALUE"""),"121704471-2")</f>
        <v>121704471-2</v>
      </c>
      <c r="B5395" s="6" t="str">
        <f>IFERROR(__xludf.DUMMYFUNCTION("""COMPUTED_VALUE"""),"121704471 - APPROVED")</f>
        <v>121704471 - APPROVED</v>
      </c>
      <c r="C5395" s="6">
        <f>IFERROR(__xludf.DUMMYFUNCTION("""COMPUTED_VALUE"""),2.0)</f>
        <v>2</v>
      </c>
      <c r="D5395" s="6" t="str">
        <f>IFERROR(__xludf.DUMMYFUNCTION("""COMPUTED_VALUE"""),"T-81150-00")</f>
        <v>T-81150-00</v>
      </c>
      <c r="E5395" s="6" t="str">
        <f>IFERROR(__xludf.DUMMYFUNCTION("""COMPUTED_VALUE"""),"Joyko Permanent Marker dual TIP PM 32 Warna Biru - Hitam")</f>
        <v>Joyko Permanent Marker dual TIP PM 32 Warna Biru - Hitam</v>
      </c>
      <c r="F5395" s="6">
        <f>IFERROR(__xludf.DUMMYFUNCTION("""COMPUTED_VALUE"""),5.0)</f>
        <v>5</v>
      </c>
      <c r="G5395" s="6" t="str">
        <f>IFERROR(__xludf.DUMMYFUNCTION("""COMPUTED_VALUE"""),"Pieces")</f>
        <v>Pieces</v>
      </c>
      <c r="H5395" s="6" t="str">
        <f>IFERROR(__xludf.DUMMYFUNCTION("""COMPUTED_VALUE"""),"IDR")</f>
        <v>IDR</v>
      </c>
      <c r="I5395" s="6">
        <f>IFERROR(__xludf.DUMMYFUNCTION("""COMPUTED_VALUE"""),10000.0)</f>
        <v>10000</v>
      </c>
      <c r="J5395" s="6">
        <f>IFERROR(__xludf.DUMMYFUNCTION("""COMPUTED_VALUE"""),50000.0)</f>
        <v>50000</v>
      </c>
      <c r="K5395" s="57">
        <f>IFERROR(__xludf.DUMMYFUNCTION("""COMPUTED_VALUE"""),46241.0)</f>
        <v>46241</v>
      </c>
      <c r="L5395" s="6" t="str">
        <f>IFERROR(__xludf.DUMMYFUNCTION("""COMPUTED_VALUE"""),"FIP General")</f>
        <v>FIP General</v>
      </c>
      <c r="M5395" s="6" t="str">
        <f>IFERROR(__xludf.DUMMYFUNCTION("""COMPUTED_VALUE"""),"Mochammad Fadhillah Hakim,")</f>
        <v>Mochammad Fadhillah Hakim,</v>
      </c>
      <c r="N5395" s="6" t="str">
        <f>IFERROR(__xludf.DUMMYFUNCTION("""COMPUTED_VALUE"""),"FIP Engineering")</f>
        <v>FIP Engineering</v>
      </c>
      <c r="O5395" s="6" t="str">
        <f>IFERROR(__xludf.DUMMYFUNCTION("""COMPUTED_VALUE"""),"FIP-DOM-ENG-51411-0000000-INA-000000")</f>
        <v>FIP-DOM-ENG-51411-0000000-INA-000000</v>
      </c>
      <c r="P5395" s="6" t="str">
        <f>IFERROR(__xludf.DUMMYFUNCTION("""COMPUTED_VALUE"""),"PO Closed")</f>
        <v>PO Closed</v>
      </c>
      <c r="Q5395" s="6" t="str">
        <f>IFERROR(__xludf.DUMMYFUNCTION("""COMPUTED_VALUE"""),"GL2608393")</f>
        <v>GL2608393</v>
      </c>
      <c r="R5395" s="57">
        <f>IFERROR(__xludf.DUMMYFUNCTION("""COMPUTED_VALUE"""),46225.0)</f>
        <v>46225</v>
      </c>
      <c r="S5395" s="57">
        <f>IFERROR(__xludf.DUMMYFUNCTION("""COMPUTED_VALUE"""),46225.0)</f>
        <v>46225</v>
      </c>
      <c r="T5395" s="57">
        <f>IFERROR(__xludf.DUMMYFUNCTION("""COMPUTED_VALUE"""),46254.0)</f>
        <v>46254</v>
      </c>
    </row>
    <row r="5396">
      <c r="A5396" s="6" t="str">
        <f>IFERROR(__xludf.DUMMYFUNCTION("""COMPUTED_VALUE"""),"121704471-3")</f>
        <v>121704471-3</v>
      </c>
      <c r="B5396" s="6" t="str">
        <f>IFERROR(__xludf.DUMMYFUNCTION("""COMPUTED_VALUE"""),"121704471 - APPROVED")</f>
        <v>121704471 - APPROVED</v>
      </c>
      <c r="C5396" s="6">
        <f>IFERROR(__xludf.DUMMYFUNCTION("""COMPUTED_VALUE"""),3.0)</f>
        <v>3</v>
      </c>
      <c r="D5396" s="6" t="str">
        <f>IFERROR(__xludf.DUMMYFUNCTION("""COMPUTED_VALUE"""),"T-81150-00")</f>
        <v>T-81150-00</v>
      </c>
      <c r="E5396" s="6" t="str">
        <f>IFERROR(__xludf.DUMMYFUNCTION("""COMPUTED_VALUE"""),"Joyko Permanent Marker dual TIP PM 32 Warna Biru - Biru")</f>
        <v>Joyko Permanent Marker dual TIP PM 32 Warna Biru - Biru</v>
      </c>
      <c r="F5396" s="6">
        <f>IFERROR(__xludf.DUMMYFUNCTION("""COMPUTED_VALUE"""),5.0)</f>
        <v>5</v>
      </c>
      <c r="G5396" s="6" t="str">
        <f>IFERROR(__xludf.DUMMYFUNCTION("""COMPUTED_VALUE"""),"Pieces")</f>
        <v>Pieces</v>
      </c>
      <c r="H5396" s="6" t="str">
        <f>IFERROR(__xludf.DUMMYFUNCTION("""COMPUTED_VALUE"""),"IDR")</f>
        <v>IDR</v>
      </c>
      <c r="I5396" s="6">
        <f>IFERROR(__xludf.DUMMYFUNCTION("""COMPUTED_VALUE"""),10000.0)</f>
        <v>10000</v>
      </c>
      <c r="J5396" s="6">
        <f>IFERROR(__xludf.DUMMYFUNCTION("""COMPUTED_VALUE"""),50000.0)</f>
        <v>50000</v>
      </c>
      <c r="K5396" s="57">
        <f>IFERROR(__xludf.DUMMYFUNCTION("""COMPUTED_VALUE"""),46241.0)</f>
        <v>46241</v>
      </c>
      <c r="L5396" s="6" t="str">
        <f>IFERROR(__xludf.DUMMYFUNCTION("""COMPUTED_VALUE"""),"FIP General")</f>
        <v>FIP General</v>
      </c>
      <c r="M5396" s="6" t="str">
        <f>IFERROR(__xludf.DUMMYFUNCTION("""COMPUTED_VALUE"""),"Mochammad Fadhillah Hakim,")</f>
        <v>Mochammad Fadhillah Hakim,</v>
      </c>
      <c r="N5396" s="6" t="str">
        <f>IFERROR(__xludf.DUMMYFUNCTION("""COMPUTED_VALUE"""),"FIP Engineering")</f>
        <v>FIP Engineering</v>
      </c>
      <c r="O5396" s="6" t="str">
        <f>IFERROR(__xludf.DUMMYFUNCTION("""COMPUTED_VALUE"""),"FIP-DOM-ENG-51411-0000000-INA-000000")</f>
        <v>FIP-DOM-ENG-51411-0000000-INA-000000</v>
      </c>
      <c r="P5396" s="6" t="str">
        <f>IFERROR(__xludf.DUMMYFUNCTION("""COMPUTED_VALUE"""),"PO Closed")</f>
        <v>PO Closed</v>
      </c>
      <c r="Q5396" s="6" t="str">
        <f>IFERROR(__xludf.DUMMYFUNCTION("""COMPUTED_VALUE"""),"GL2608393")</f>
        <v>GL2608393</v>
      </c>
      <c r="R5396" s="57">
        <f>IFERROR(__xludf.DUMMYFUNCTION("""COMPUTED_VALUE"""),46225.0)</f>
        <v>46225</v>
      </c>
      <c r="S5396" s="57">
        <f>IFERROR(__xludf.DUMMYFUNCTION("""COMPUTED_VALUE"""),46225.0)</f>
        <v>46225</v>
      </c>
      <c r="T5396" s="57">
        <f>IFERROR(__xludf.DUMMYFUNCTION("""COMPUTED_VALUE"""),46254.0)</f>
        <v>46254</v>
      </c>
    </row>
    <row r="5397">
      <c r="A5397" s="6" t="str">
        <f>IFERROR(__xludf.DUMMYFUNCTION("""COMPUTED_VALUE"""),"121704471-4")</f>
        <v>121704471-4</v>
      </c>
      <c r="B5397" s="6" t="str">
        <f>IFERROR(__xludf.DUMMYFUNCTION("""COMPUTED_VALUE"""),"121704471 - APPROVED")</f>
        <v>121704471 - APPROVED</v>
      </c>
      <c r="C5397" s="6">
        <f>IFERROR(__xludf.DUMMYFUNCTION("""COMPUTED_VALUE"""),4.0)</f>
        <v>4</v>
      </c>
      <c r="D5397" s="6" t="str">
        <f>IFERROR(__xludf.DUMMYFUNCTION("""COMPUTED_VALUE"""),"T-80794-00")</f>
        <v>T-80794-00</v>
      </c>
      <c r="E5397" s="6" t="str">
        <f>IFERROR(__xludf.DUMMYFUNCTION("""COMPUTED_VALUE"""),"Snowman Permanent Paint Marker CP-12 Warna Hitam - Merah")</f>
        <v>Snowman Permanent Paint Marker CP-12 Warna Hitam - Merah</v>
      </c>
      <c r="F5397" s="6">
        <f>IFERROR(__xludf.DUMMYFUNCTION("""COMPUTED_VALUE"""),5.0)</f>
        <v>5</v>
      </c>
      <c r="G5397" s="6" t="str">
        <f>IFERROR(__xludf.DUMMYFUNCTION("""COMPUTED_VALUE"""),"Pieces")</f>
        <v>Pieces</v>
      </c>
      <c r="H5397" s="6" t="str">
        <f>IFERROR(__xludf.DUMMYFUNCTION("""COMPUTED_VALUE"""),"IDR")</f>
        <v>IDR</v>
      </c>
      <c r="I5397" s="6">
        <f>IFERROR(__xludf.DUMMYFUNCTION("""COMPUTED_VALUE"""),20000.0)</f>
        <v>20000</v>
      </c>
      <c r="J5397" s="6">
        <f>IFERROR(__xludf.DUMMYFUNCTION("""COMPUTED_VALUE"""),100000.0)</f>
        <v>100000</v>
      </c>
      <c r="K5397" s="57">
        <f>IFERROR(__xludf.DUMMYFUNCTION("""COMPUTED_VALUE"""),46241.0)</f>
        <v>46241</v>
      </c>
      <c r="L5397" s="6" t="str">
        <f>IFERROR(__xludf.DUMMYFUNCTION("""COMPUTED_VALUE"""),"FIP General")</f>
        <v>FIP General</v>
      </c>
      <c r="M5397" s="6" t="str">
        <f>IFERROR(__xludf.DUMMYFUNCTION("""COMPUTED_VALUE"""),"Mochammad Fadhillah Hakim,")</f>
        <v>Mochammad Fadhillah Hakim,</v>
      </c>
      <c r="N5397" s="6" t="str">
        <f>IFERROR(__xludf.DUMMYFUNCTION("""COMPUTED_VALUE"""),"FIP Engineering")</f>
        <v>FIP Engineering</v>
      </c>
      <c r="O5397" s="6" t="str">
        <f>IFERROR(__xludf.DUMMYFUNCTION("""COMPUTED_VALUE"""),"FIP-DOM-ENG-51411-0000000-INA-000000")</f>
        <v>FIP-DOM-ENG-51411-0000000-INA-000000</v>
      </c>
      <c r="P5397" s="6" t="str">
        <f>IFERROR(__xludf.DUMMYFUNCTION("""COMPUTED_VALUE"""),"PO Closed")</f>
        <v>PO Closed</v>
      </c>
      <c r="Q5397" s="6" t="str">
        <f>IFERROR(__xludf.DUMMYFUNCTION("""COMPUTED_VALUE"""),"GL2608394")</f>
        <v>GL2608394</v>
      </c>
      <c r="R5397" s="57">
        <f>IFERROR(__xludf.DUMMYFUNCTION("""COMPUTED_VALUE"""),46225.0)</f>
        <v>46225</v>
      </c>
      <c r="S5397" s="57">
        <f>IFERROR(__xludf.DUMMYFUNCTION("""COMPUTED_VALUE"""),46225.0)</f>
        <v>46225</v>
      </c>
      <c r="T5397" s="57">
        <f>IFERROR(__xludf.DUMMYFUNCTION("""COMPUTED_VALUE"""),46254.0)</f>
        <v>46254</v>
      </c>
    </row>
    <row r="5398">
      <c r="A5398" s="6" t="str">
        <f>IFERROR(__xludf.DUMMYFUNCTION("""COMPUTED_VALUE"""),"121704471-5")</f>
        <v>121704471-5</v>
      </c>
      <c r="B5398" s="6" t="str">
        <f>IFERROR(__xludf.DUMMYFUNCTION("""COMPUTED_VALUE"""),"121704471 - APPROVED")</f>
        <v>121704471 - APPROVED</v>
      </c>
      <c r="C5398" s="6">
        <f>IFERROR(__xludf.DUMMYFUNCTION("""COMPUTED_VALUE"""),5.0)</f>
        <v>5</v>
      </c>
      <c r="D5398" s="6" t="str">
        <f>IFERROR(__xludf.DUMMYFUNCTION("""COMPUTED_VALUE"""),"T-80794-00")</f>
        <v>T-80794-00</v>
      </c>
      <c r="E5398" s="6" t="str">
        <f>IFERROR(__xludf.DUMMYFUNCTION("""COMPUTED_VALUE"""),"Snowman Permanent Paint Marker CP-12 Warna Hitam - Hitam")</f>
        <v>Snowman Permanent Paint Marker CP-12 Warna Hitam - Hitam</v>
      </c>
      <c r="F5398" s="6">
        <f>IFERROR(__xludf.DUMMYFUNCTION("""COMPUTED_VALUE"""),5.0)</f>
        <v>5</v>
      </c>
      <c r="G5398" s="6" t="str">
        <f>IFERROR(__xludf.DUMMYFUNCTION("""COMPUTED_VALUE"""),"Pieces")</f>
        <v>Pieces</v>
      </c>
      <c r="H5398" s="6" t="str">
        <f>IFERROR(__xludf.DUMMYFUNCTION("""COMPUTED_VALUE"""),"IDR")</f>
        <v>IDR</v>
      </c>
      <c r="I5398" s="6">
        <f>IFERROR(__xludf.DUMMYFUNCTION("""COMPUTED_VALUE"""),20000.0)</f>
        <v>20000</v>
      </c>
      <c r="J5398" s="6">
        <f>IFERROR(__xludf.DUMMYFUNCTION("""COMPUTED_VALUE"""),100000.0)</f>
        <v>100000</v>
      </c>
      <c r="K5398" s="57">
        <f>IFERROR(__xludf.DUMMYFUNCTION("""COMPUTED_VALUE"""),46241.0)</f>
        <v>46241</v>
      </c>
      <c r="L5398" s="6" t="str">
        <f>IFERROR(__xludf.DUMMYFUNCTION("""COMPUTED_VALUE"""),"FIP General")</f>
        <v>FIP General</v>
      </c>
      <c r="M5398" s="6" t="str">
        <f>IFERROR(__xludf.DUMMYFUNCTION("""COMPUTED_VALUE"""),"Mochammad Fadhillah Hakim,")</f>
        <v>Mochammad Fadhillah Hakim,</v>
      </c>
      <c r="N5398" s="6" t="str">
        <f>IFERROR(__xludf.DUMMYFUNCTION("""COMPUTED_VALUE"""),"FIP Engineering")</f>
        <v>FIP Engineering</v>
      </c>
      <c r="O5398" s="6" t="str">
        <f>IFERROR(__xludf.DUMMYFUNCTION("""COMPUTED_VALUE"""),"FIP-DOM-ENG-51411-0000000-INA-000000")</f>
        <v>FIP-DOM-ENG-51411-0000000-INA-000000</v>
      </c>
      <c r="P5398" s="6" t="str">
        <f>IFERROR(__xludf.DUMMYFUNCTION("""COMPUTED_VALUE"""),"PO Closed")</f>
        <v>PO Closed</v>
      </c>
      <c r="Q5398" s="6" t="str">
        <f>IFERROR(__xludf.DUMMYFUNCTION("""COMPUTED_VALUE"""),"GL2608394")</f>
        <v>GL2608394</v>
      </c>
      <c r="R5398" s="57">
        <f>IFERROR(__xludf.DUMMYFUNCTION("""COMPUTED_VALUE"""),46225.0)</f>
        <v>46225</v>
      </c>
      <c r="S5398" s="57">
        <f>IFERROR(__xludf.DUMMYFUNCTION("""COMPUTED_VALUE"""),46225.0)</f>
        <v>46225</v>
      </c>
      <c r="T5398" s="57">
        <f>IFERROR(__xludf.DUMMYFUNCTION("""COMPUTED_VALUE"""),46254.0)</f>
        <v>46254</v>
      </c>
    </row>
    <row r="5399">
      <c r="A5399" s="6" t="str">
        <f>IFERROR(__xludf.DUMMYFUNCTION("""COMPUTED_VALUE"""),"121704471-6")</f>
        <v>121704471-6</v>
      </c>
      <c r="B5399" s="6" t="str">
        <f>IFERROR(__xludf.DUMMYFUNCTION("""COMPUTED_VALUE"""),"121704471 - APPROVED")</f>
        <v>121704471 - APPROVED</v>
      </c>
      <c r="C5399" s="6">
        <f>IFERROR(__xludf.DUMMYFUNCTION("""COMPUTED_VALUE"""),6.0)</f>
        <v>6</v>
      </c>
      <c r="D5399" s="6" t="str">
        <f>IFERROR(__xludf.DUMMYFUNCTION("""COMPUTED_VALUE"""),"T-80794-00")</f>
        <v>T-80794-00</v>
      </c>
      <c r="E5399" s="6" t="str">
        <f>IFERROR(__xludf.DUMMYFUNCTION("""COMPUTED_VALUE"""),"Snowman Permanent Paint Marker CP-12 Warna Hitam - Biru")</f>
        <v>Snowman Permanent Paint Marker CP-12 Warna Hitam - Biru</v>
      </c>
      <c r="F5399" s="6">
        <f>IFERROR(__xludf.DUMMYFUNCTION("""COMPUTED_VALUE"""),5.0)</f>
        <v>5</v>
      </c>
      <c r="G5399" s="6" t="str">
        <f>IFERROR(__xludf.DUMMYFUNCTION("""COMPUTED_VALUE"""),"Pieces")</f>
        <v>Pieces</v>
      </c>
      <c r="H5399" s="6" t="str">
        <f>IFERROR(__xludf.DUMMYFUNCTION("""COMPUTED_VALUE"""),"IDR")</f>
        <v>IDR</v>
      </c>
      <c r="I5399" s="6">
        <f>IFERROR(__xludf.DUMMYFUNCTION("""COMPUTED_VALUE"""),20000.0)</f>
        <v>20000</v>
      </c>
      <c r="J5399" s="6">
        <f>IFERROR(__xludf.DUMMYFUNCTION("""COMPUTED_VALUE"""),100000.0)</f>
        <v>100000</v>
      </c>
      <c r="K5399" s="57">
        <f>IFERROR(__xludf.DUMMYFUNCTION("""COMPUTED_VALUE"""),46241.0)</f>
        <v>46241</v>
      </c>
      <c r="L5399" s="6" t="str">
        <f>IFERROR(__xludf.DUMMYFUNCTION("""COMPUTED_VALUE"""),"FIP General")</f>
        <v>FIP General</v>
      </c>
      <c r="M5399" s="6" t="str">
        <f>IFERROR(__xludf.DUMMYFUNCTION("""COMPUTED_VALUE"""),"Mochammad Fadhillah Hakim,")</f>
        <v>Mochammad Fadhillah Hakim,</v>
      </c>
      <c r="N5399" s="6" t="str">
        <f>IFERROR(__xludf.DUMMYFUNCTION("""COMPUTED_VALUE"""),"FIP Engineering")</f>
        <v>FIP Engineering</v>
      </c>
      <c r="O5399" s="6" t="str">
        <f>IFERROR(__xludf.DUMMYFUNCTION("""COMPUTED_VALUE"""),"FIP-DOM-ENG-51411-0000000-INA-000000")</f>
        <v>FIP-DOM-ENG-51411-0000000-INA-000000</v>
      </c>
      <c r="P5399" s="6" t="str">
        <f>IFERROR(__xludf.DUMMYFUNCTION("""COMPUTED_VALUE"""),"PO Closed")</f>
        <v>PO Closed</v>
      </c>
      <c r="Q5399" s="6" t="str">
        <f>IFERROR(__xludf.DUMMYFUNCTION("""COMPUTED_VALUE"""),"GL2608394")</f>
        <v>GL2608394</v>
      </c>
      <c r="R5399" s="57">
        <f>IFERROR(__xludf.DUMMYFUNCTION("""COMPUTED_VALUE"""),46225.0)</f>
        <v>46225</v>
      </c>
      <c r="S5399" s="57">
        <f>IFERROR(__xludf.DUMMYFUNCTION("""COMPUTED_VALUE"""),46225.0)</f>
        <v>46225</v>
      </c>
      <c r="T5399" s="57">
        <f>IFERROR(__xludf.DUMMYFUNCTION("""COMPUTED_VALUE"""),46254.0)</f>
        <v>46254</v>
      </c>
    </row>
    <row r="5400">
      <c r="A5400" s="6" t="str">
        <f>IFERROR(__xludf.DUMMYFUNCTION("""COMPUTED_VALUE"""),"121704472-1")</f>
        <v>121704472-1</v>
      </c>
      <c r="B5400" s="6" t="str">
        <f>IFERROR(__xludf.DUMMYFUNCTION("""COMPUTED_VALUE"""),"121704472 - APPROVED")</f>
        <v>121704472 - APPROVED</v>
      </c>
      <c r="C5400" s="6">
        <f>IFERROR(__xludf.DUMMYFUNCTION("""COMPUTED_VALUE"""),1.0)</f>
        <v>1</v>
      </c>
      <c r="D5400" s="6" t="str">
        <f>IFERROR(__xludf.DUMMYFUNCTION("""COMPUTED_VALUE"""),"S-60002-00")</f>
        <v>S-60002-00</v>
      </c>
      <c r="E5400" s="6" t="str">
        <f>IFERROR(__xludf.DUMMYFUNCTION("""COMPUTED_VALUE"""),"Jasa Perbaikan dan Pemeliharaan Mesin Utility - Perbaikan Board Tapping Absen")</f>
        <v>Jasa Perbaikan dan Pemeliharaan Mesin Utility - Perbaikan Board Tapping Absen</v>
      </c>
      <c r="F5400" s="6">
        <f>IFERROR(__xludf.DUMMYFUNCTION("""COMPUTED_VALUE"""),1.0)</f>
        <v>1</v>
      </c>
      <c r="G5400" s="6" t="str">
        <f>IFERROR(__xludf.DUMMYFUNCTION("""COMPUTED_VALUE"""),"Lot")</f>
        <v>Lot</v>
      </c>
      <c r="H5400" s="6" t="str">
        <f>IFERROR(__xludf.DUMMYFUNCTION("""COMPUTED_VALUE"""),"IDR")</f>
        <v>IDR</v>
      </c>
      <c r="I5400" s="6">
        <f>IFERROR(__xludf.DUMMYFUNCTION("""COMPUTED_VALUE"""),1581575.0)</f>
        <v>1581575</v>
      </c>
      <c r="J5400" s="6">
        <f>IFERROR(__xludf.DUMMYFUNCTION("""COMPUTED_VALUE"""),1581575.0)</f>
        <v>1581575</v>
      </c>
      <c r="K5400" s="57">
        <f>IFERROR(__xludf.DUMMYFUNCTION("""COMPUTED_VALUE"""),46241.0)</f>
        <v>46241</v>
      </c>
      <c r="L5400" s="6" t="str">
        <f>IFERROR(__xludf.DUMMYFUNCTION("""COMPUTED_VALUE"""),"FIP General")</f>
        <v>FIP General</v>
      </c>
      <c r="M5400" s="6" t="str">
        <f>IFERROR(__xludf.DUMMYFUNCTION("""COMPUTED_VALUE"""),"Mochammad Fadhillah Hakim,")</f>
        <v>Mochammad Fadhillah Hakim,</v>
      </c>
      <c r="N5400" s="6" t="str">
        <f>IFERROR(__xludf.DUMMYFUNCTION("""COMPUTED_VALUE"""),"FIP Engineering")</f>
        <v>FIP Engineering</v>
      </c>
      <c r="O5400" s="6" t="str">
        <f>IFERROR(__xludf.DUMMYFUNCTION("""COMPUTED_VALUE"""),"FIP-DOM-ENG-51508-0000000-INA-000000")</f>
        <v>FIP-DOM-ENG-51508-0000000-INA-000000</v>
      </c>
      <c r="P5400" s="6" t="str">
        <f>IFERROR(__xludf.DUMMYFUNCTION("""COMPUTED_VALUE"""),"PO Open")</f>
        <v>PO Open</v>
      </c>
      <c r="Q5400" s="6" t="str">
        <f>IFERROR(__xludf.DUMMYFUNCTION("""COMPUTED_VALUE"""),"GL2608022")</f>
        <v>GL2608022</v>
      </c>
      <c r="R5400" s="57">
        <f>IFERROR(__xludf.DUMMYFUNCTION("""COMPUTED_VALUE"""),46225.0)</f>
        <v>46225</v>
      </c>
      <c r="S5400" s="57">
        <f>IFERROR(__xludf.DUMMYFUNCTION("""COMPUTED_VALUE"""),46226.0)</f>
        <v>46226</v>
      </c>
      <c r="T5400" s="57">
        <f>IFERROR(__xludf.DUMMYFUNCTION("""COMPUTED_VALUE"""),46264.0)</f>
        <v>46264</v>
      </c>
    </row>
    <row r="5401">
      <c r="A5401" s="6" t="str">
        <f>IFERROR(__xludf.DUMMYFUNCTION("""COMPUTED_VALUE"""),"121704474-1")</f>
        <v>121704474-1</v>
      </c>
      <c r="B5401" s="6" t="str">
        <f>IFERROR(__xludf.DUMMYFUNCTION("""COMPUTED_VALUE"""),"121704474 - APPROVED")</f>
        <v>121704474 - APPROVED</v>
      </c>
      <c r="C5401" s="6">
        <f>IFERROR(__xludf.DUMMYFUNCTION("""COMPUTED_VALUE"""),1.0)</f>
        <v>1</v>
      </c>
      <c r="D5401" s="6" t="str">
        <f>IFERROR(__xludf.DUMMYFUNCTION("""COMPUTED_VALUE"""),"T-12185-00")</f>
        <v>T-12185-00</v>
      </c>
      <c r="E5401" s="6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F5401" s="6">
        <f>IFERROR(__xludf.DUMMYFUNCTION("""COMPUTED_VALUE"""),1.0)</f>
        <v>1</v>
      </c>
      <c r="G5401" s="6" t="str">
        <f>IFERROR(__xludf.DUMMYFUNCTION("""COMPUTED_VALUE"""),"Pieces")</f>
        <v>Pieces</v>
      </c>
      <c r="H5401" s="6" t="str">
        <f>IFERROR(__xludf.DUMMYFUNCTION("""COMPUTED_VALUE"""),"IDR")</f>
        <v>IDR</v>
      </c>
      <c r="I5401" s="6">
        <f>IFERROR(__xludf.DUMMYFUNCTION("""COMPUTED_VALUE"""),220000.0)</f>
        <v>220000</v>
      </c>
      <c r="J5401" s="6">
        <f>IFERROR(__xludf.DUMMYFUNCTION("""COMPUTED_VALUE"""),220000.0)</f>
        <v>220000</v>
      </c>
      <c r="K5401" s="57">
        <f>IFERROR(__xludf.DUMMYFUNCTION("""COMPUTED_VALUE"""),46233.0)</f>
        <v>46233</v>
      </c>
      <c r="L5401" s="6" t="str">
        <f>IFERROR(__xludf.DUMMYFUNCTION("""COMPUTED_VALUE"""),"FIP General")</f>
        <v>FIP General</v>
      </c>
      <c r="M5401" s="6" t="str">
        <f>IFERROR(__xludf.DUMMYFUNCTION("""COMPUTED_VALUE"""),"Mochammad Fadhillah Hakim,")</f>
        <v>Mochammad Fadhillah Hakim,</v>
      </c>
      <c r="N5401" s="6" t="str">
        <f>IFERROR(__xludf.DUMMYFUNCTION("""COMPUTED_VALUE"""),"FIP Engineering")</f>
        <v>FIP Engineering</v>
      </c>
      <c r="O5401" s="6" t="str">
        <f>IFERROR(__xludf.DUMMYFUNCTION("""COMPUTED_VALUE"""),"FIP-DOM-ENG-51505-0000000-INA-000000")</f>
        <v>FIP-DOM-ENG-51505-0000000-INA-000000</v>
      </c>
      <c r="P5401" s="6" t="str">
        <f>IFERROR(__xludf.DUMMYFUNCTION("""COMPUTED_VALUE"""),"PO Closed")</f>
        <v>PO Closed</v>
      </c>
      <c r="Q5401" s="6" t="str">
        <f>IFERROR(__xludf.DUMMYFUNCTION("""COMPUTED_VALUE"""),"GL2603031")</f>
        <v>GL2603031</v>
      </c>
      <c r="R5401" s="57">
        <f>IFERROR(__xludf.DUMMYFUNCTION("""COMPUTED_VALUE"""),46226.0)</f>
        <v>46226</v>
      </c>
      <c r="S5401" s="57">
        <f>IFERROR(__xludf.DUMMYFUNCTION("""COMPUTED_VALUE"""),46226.0)</f>
        <v>46226</v>
      </c>
      <c r="T5401" s="57">
        <f>IFERROR(__xludf.DUMMYFUNCTION("""COMPUTED_VALUE"""),46239.0)</f>
        <v>46239</v>
      </c>
    </row>
    <row r="5402">
      <c r="A5402" s="6" t="str">
        <f>IFERROR(__xludf.DUMMYFUNCTION("""COMPUTED_VALUE"""),"121704479-1")</f>
        <v>121704479-1</v>
      </c>
      <c r="B5402" s="6" t="str">
        <f>IFERROR(__xludf.DUMMYFUNCTION("""COMPUTED_VALUE"""),"121704479 - APPROVED")</f>
        <v>121704479 - APPROVED</v>
      </c>
      <c r="C5402" s="6">
        <f>IFERROR(__xludf.DUMMYFUNCTION("""COMPUTED_VALUE"""),1.0)</f>
        <v>1</v>
      </c>
      <c r="D5402" s="6" t="str">
        <f>IFERROR(__xludf.DUMMYFUNCTION("""COMPUTED_VALUE"""),"T-25289-00")</f>
        <v>T-25289-00</v>
      </c>
      <c r="E5402" s="6" t="str">
        <f>IFERROR(__xludf.DUMMYFUNCTION("""COMPUTED_VALUE"""),"IGNITER GLOW PLUG ASSEMBLY; AGILENT; 19231-60680; 1 PC PER PACK")</f>
        <v>IGNITER GLOW PLUG ASSEMBLY; AGILENT; 19231-60680; 1 PC PER PACK</v>
      </c>
      <c r="F5402" s="6">
        <f>IFERROR(__xludf.DUMMYFUNCTION("""COMPUTED_VALUE"""),2.0)</f>
        <v>2</v>
      </c>
      <c r="G5402" s="6" t="str">
        <f>IFERROR(__xludf.DUMMYFUNCTION("""COMPUTED_VALUE"""),"Pack")</f>
        <v>Pack</v>
      </c>
      <c r="H5402" s="6" t="str">
        <f>IFERROR(__xludf.DUMMYFUNCTION("""COMPUTED_VALUE"""),"IDR")</f>
        <v>IDR</v>
      </c>
      <c r="I5402" s="6">
        <f>IFERROR(__xludf.DUMMYFUNCTION("""COMPUTED_VALUE"""),2429000.0)</f>
        <v>2429000</v>
      </c>
      <c r="J5402" s="6">
        <f>IFERROR(__xludf.DUMMYFUNCTION("""COMPUTED_VALUE"""),4858000.0)</f>
        <v>4858000</v>
      </c>
      <c r="K5402" s="57">
        <f>IFERROR(__xludf.DUMMYFUNCTION("""COMPUTED_VALUE"""),46241.0)</f>
        <v>46241</v>
      </c>
      <c r="L5402" s="6" t="str">
        <f>IFERROR(__xludf.DUMMYFUNCTION("""COMPUTED_VALUE"""),"FIP General")</f>
        <v>FIP General</v>
      </c>
      <c r="M5402" s="6" t="str">
        <f>IFERROR(__xludf.DUMMYFUNCTION("""COMPUTED_VALUE"""),"Mochammad Fadhillah Hakim,")</f>
        <v>Mochammad Fadhillah Hakim,</v>
      </c>
      <c r="N5402" s="6" t="str">
        <f>IFERROR(__xludf.DUMMYFUNCTION("""COMPUTED_VALUE"""),"FIP Engineering")</f>
        <v>FIP Engineering</v>
      </c>
      <c r="O5402" s="6" t="str">
        <f>IFERROR(__xludf.DUMMYFUNCTION("""COMPUTED_VALUE"""),"FIP-DOM-ENG-51404-0000000-INA-000000")</f>
        <v>FIP-DOM-ENG-51404-0000000-INA-000000</v>
      </c>
      <c r="P5402" s="6" t="str">
        <f>IFERROR(__xludf.DUMMYFUNCTION("""COMPUTED_VALUE"""),"PO Open")</f>
        <v>PO Open</v>
      </c>
      <c r="Q5402" s="6" t="str">
        <f>IFERROR(__xludf.DUMMYFUNCTION("""COMPUTED_VALUE"""),"GL2607050")</f>
        <v>GL2607050</v>
      </c>
      <c r="R5402" s="57">
        <f>IFERROR(__xludf.DUMMYFUNCTION("""COMPUTED_VALUE"""),46230.0)</f>
        <v>46230</v>
      </c>
      <c r="S5402" s="57">
        <f>IFERROR(__xludf.DUMMYFUNCTION("""COMPUTED_VALUE"""),46231.0)</f>
        <v>46231</v>
      </c>
      <c r="T5402" s="57">
        <f>IFERROR(__xludf.DUMMYFUNCTION("""COMPUTED_VALUE"""),46286.0)</f>
        <v>46286</v>
      </c>
    </row>
    <row r="5403">
      <c r="A5403" s="6" t="str">
        <f>IFERROR(__xludf.DUMMYFUNCTION("""COMPUTED_VALUE"""),"121704480-1")</f>
        <v>121704480-1</v>
      </c>
      <c r="B5403" s="6" t="str">
        <f>IFERROR(__xludf.DUMMYFUNCTION("""COMPUTED_VALUE"""),"121704480 - APPROVED")</f>
        <v>121704480 - APPROVED</v>
      </c>
      <c r="C5403" s="6">
        <f>IFERROR(__xludf.DUMMYFUNCTION("""COMPUTED_VALUE"""),1.0)</f>
        <v>1</v>
      </c>
      <c r="D5403" s="6" t="str">
        <f>IFERROR(__xludf.DUMMYFUNCTION("""COMPUTED_VALUE"""),"P-18599-00")</f>
        <v>P-18599-00</v>
      </c>
      <c r="E5403" s="6" t="str">
        <f>IFERROR(__xludf.DUMMYFUNCTION("""COMPUTED_VALUE"""),"General - Cast Iron Pipe Clamp, 4""; No Brand; -; 1 pcs")</f>
        <v>General - Cast Iron Pipe Clamp, 4"; No Brand; -; 1 pcs</v>
      </c>
      <c r="F5403" s="6">
        <f>IFERROR(__xludf.DUMMYFUNCTION("""COMPUTED_VALUE"""),128.0)</f>
        <v>128</v>
      </c>
      <c r="G5403" s="6" t="str">
        <f>IFERROR(__xludf.DUMMYFUNCTION("""COMPUTED_VALUE"""),"Pieces")</f>
        <v>Pieces</v>
      </c>
      <c r="H5403" s="6" t="str">
        <f>IFERROR(__xludf.DUMMYFUNCTION("""COMPUTED_VALUE"""),"IDR")</f>
        <v>IDR</v>
      </c>
      <c r="I5403" s="6">
        <f>IFERROR(__xludf.DUMMYFUNCTION("""COMPUTED_VALUE"""),216000.0)</f>
        <v>216000</v>
      </c>
      <c r="J5403" s="6">
        <f>IFERROR(__xludf.DUMMYFUNCTION("""COMPUTED_VALUE"""),2.7648E7)</f>
        <v>27648000</v>
      </c>
      <c r="K5403" s="57">
        <f>IFERROR(__xludf.DUMMYFUNCTION("""COMPUTED_VALUE"""),46262.0)</f>
        <v>46262</v>
      </c>
      <c r="L5403" s="6" t="str">
        <f>IFERROR(__xludf.DUMMYFUNCTION("""COMPUTED_VALUE"""),"FIP Engineering")</f>
        <v>FIP Engineering</v>
      </c>
      <c r="M5403" s="6" t="str">
        <f>IFERROR(__xludf.DUMMYFUNCTION("""COMPUTED_VALUE"""),"Mochammad Fadhillah Hakim,")</f>
        <v>Mochammad Fadhillah Hakim,</v>
      </c>
      <c r="N5403" s="6" t="str">
        <f>IFERROR(__xludf.DUMMYFUNCTION("""COMPUTED_VALUE"""),"FIP Engineering")</f>
        <v>FIP Engineering</v>
      </c>
      <c r="O5403" s="6" t="str">
        <f>IFERROR(__xludf.DUMMYFUNCTION("""COMPUTED_VALUE"""),"FIP-DOM-000-11304-OS00001-INA-000000")</f>
        <v>FIP-DOM-000-11304-OS00001-INA-000000</v>
      </c>
      <c r="P5403" s="6" t="str">
        <f>IFERROR(__xludf.DUMMYFUNCTION("""COMPUTED_VALUE"""),"PO Closed")</f>
        <v>PO Closed</v>
      </c>
      <c r="Q5403" s="6" t="str">
        <f>IFERROR(__xludf.DUMMYFUNCTION("""COMPUTED_VALUE"""),"GL2608397")</f>
        <v>GL2608397</v>
      </c>
      <c r="R5403" s="57">
        <f>IFERROR(__xludf.DUMMYFUNCTION("""COMPUTED_VALUE"""),46231.0)</f>
        <v>46231</v>
      </c>
      <c r="S5403" s="57">
        <f>IFERROR(__xludf.DUMMYFUNCTION("""COMPUTED_VALUE"""),46232.0)</f>
        <v>46232</v>
      </c>
      <c r="T5403" s="57">
        <f>IFERROR(__xludf.DUMMYFUNCTION("""COMPUTED_VALUE"""),46270.0)</f>
        <v>46270</v>
      </c>
    </row>
    <row r="5404">
      <c r="A5404" s="6" t="str">
        <f>IFERROR(__xludf.DUMMYFUNCTION("""COMPUTED_VALUE"""),"121704480-2")</f>
        <v>121704480-2</v>
      </c>
      <c r="B5404" s="6" t="str">
        <f>IFERROR(__xludf.DUMMYFUNCTION("""COMPUTED_VALUE"""),"121704480 - APPROVED")</f>
        <v>121704480 - APPROVED</v>
      </c>
      <c r="C5404" s="6">
        <f>IFERROR(__xludf.DUMMYFUNCTION("""COMPUTED_VALUE"""),2.0)</f>
        <v>2</v>
      </c>
      <c r="D5404" s="6" t="str">
        <f>IFERROR(__xludf.DUMMYFUNCTION("""COMPUTED_VALUE"""),"P-18598-00")</f>
        <v>P-18598-00</v>
      </c>
      <c r="E5404" s="6" t="str">
        <f>IFERROR(__xludf.DUMMYFUNCTION("""COMPUTED_VALUE"""),"General - Cast Iron Pipe Clamp, 2""; No Brand; -; 1 pcs")</f>
        <v>General - Cast Iron Pipe Clamp, 2"; No Brand; -; 1 pcs</v>
      </c>
      <c r="F5404" s="6">
        <f>IFERROR(__xludf.DUMMYFUNCTION("""COMPUTED_VALUE"""),90.0)</f>
        <v>90</v>
      </c>
      <c r="G5404" s="6" t="str">
        <f>IFERROR(__xludf.DUMMYFUNCTION("""COMPUTED_VALUE"""),"Pieces")</f>
        <v>Pieces</v>
      </c>
      <c r="H5404" s="6" t="str">
        <f>IFERROR(__xludf.DUMMYFUNCTION("""COMPUTED_VALUE"""),"IDR")</f>
        <v>IDR</v>
      </c>
      <c r="I5404" s="6">
        <f>IFERROR(__xludf.DUMMYFUNCTION("""COMPUTED_VALUE"""),140000.0)</f>
        <v>140000</v>
      </c>
      <c r="J5404" s="6">
        <f>IFERROR(__xludf.DUMMYFUNCTION("""COMPUTED_VALUE"""),1.26E7)</f>
        <v>12600000</v>
      </c>
      <c r="K5404" s="57">
        <f>IFERROR(__xludf.DUMMYFUNCTION("""COMPUTED_VALUE"""),46262.0)</f>
        <v>46262</v>
      </c>
      <c r="L5404" s="6" t="str">
        <f>IFERROR(__xludf.DUMMYFUNCTION("""COMPUTED_VALUE"""),"FIP Engineering")</f>
        <v>FIP Engineering</v>
      </c>
      <c r="M5404" s="6" t="str">
        <f>IFERROR(__xludf.DUMMYFUNCTION("""COMPUTED_VALUE"""),"Mochammad Fadhillah Hakim,")</f>
        <v>Mochammad Fadhillah Hakim,</v>
      </c>
      <c r="N5404" s="6" t="str">
        <f>IFERROR(__xludf.DUMMYFUNCTION("""COMPUTED_VALUE"""),"FIP Engineering")</f>
        <v>FIP Engineering</v>
      </c>
      <c r="O5404" s="6" t="str">
        <f>IFERROR(__xludf.DUMMYFUNCTION("""COMPUTED_VALUE"""),"FIP-DOM-000-11304-OS00001-INA-000000")</f>
        <v>FIP-DOM-000-11304-OS00001-INA-000000</v>
      </c>
      <c r="P5404" s="6" t="str">
        <f>IFERROR(__xludf.DUMMYFUNCTION("""COMPUTED_VALUE"""),"PO Closed")</f>
        <v>PO Closed</v>
      </c>
      <c r="Q5404" s="6" t="str">
        <f>IFERROR(__xludf.DUMMYFUNCTION("""COMPUTED_VALUE"""),"GL2608397")</f>
        <v>GL2608397</v>
      </c>
      <c r="R5404" s="57">
        <f>IFERROR(__xludf.DUMMYFUNCTION("""COMPUTED_VALUE"""),46231.0)</f>
        <v>46231</v>
      </c>
      <c r="S5404" s="57">
        <f>IFERROR(__xludf.DUMMYFUNCTION("""COMPUTED_VALUE"""),46232.0)</f>
        <v>46232</v>
      </c>
      <c r="T5404" s="57">
        <f>IFERROR(__xludf.DUMMYFUNCTION("""COMPUTED_VALUE"""),46270.0)</f>
        <v>46270</v>
      </c>
    </row>
    <row r="5405">
      <c r="A5405" s="6" t="str">
        <f>IFERROR(__xludf.DUMMYFUNCTION("""COMPUTED_VALUE"""),"121704482-1")</f>
        <v>121704482-1</v>
      </c>
      <c r="B5405" s="6" t="str">
        <f>IFERROR(__xludf.DUMMYFUNCTION("""COMPUTED_VALUE"""),"121704482 - APPROVED")</f>
        <v>121704482 - APPROVED</v>
      </c>
      <c r="C5405" s="6">
        <f>IFERROR(__xludf.DUMMYFUNCTION("""COMPUTED_VALUE"""),1.0)</f>
        <v>1</v>
      </c>
      <c r="D5405" s="6" t="str">
        <f>IFERROR(__xludf.DUMMYFUNCTION("""COMPUTED_VALUE"""),"O-21720-00")</f>
        <v>O-21720-00</v>
      </c>
      <c r="E5405" s="6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F5405" s="6">
        <f>IFERROR(__xludf.DUMMYFUNCTION("""COMPUTED_VALUE"""),48.0)</f>
        <v>48</v>
      </c>
      <c r="G5405" s="6" t="str">
        <f>IFERROR(__xludf.DUMMYFUNCTION("""COMPUTED_VALUE"""),"Pieces")</f>
        <v>Pieces</v>
      </c>
      <c r="H5405" s="6" t="str">
        <f>IFERROR(__xludf.DUMMYFUNCTION("""COMPUTED_VALUE"""),"IDR")</f>
        <v>IDR</v>
      </c>
      <c r="I5405" s="6">
        <f>IFERROR(__xludf.DUMMYFUNCTION("""COMPUTED_VALUE"""),7950000.0)</f>
        <v>7950000</v>
      </c>
      <c r="J5405" s="6">
        <f>IFERROR(__xludf.DUMMYFUNCTION("""COMPUTED_VALUE"""),3.816E8)</f>
        <v>381600000</v>
      </c>
      <c r="K5405" s="57">
        <f>IFERROR(__xludf.DUMMYFUNCTION("""COMPUTED_VALUE"""),46233.0)</f>
        <v>46233</v>
      </c>
      <c r="L5405" s="6" t="str">
        <f>IFERROR(__xludf.DUMMYFUNCTION("""COMPUTED_VALUE"""),"FIP Engineering")</f>
        <v>FIP Engineering</v>
      </c>
      <c r="M5405" s="6" t="str">
        <f>IFERROR(__xludf.DUMMYFUNCTION("""COMPUTED_VALUE"""),"Mochammad Fadhillah Hakim,")</f>
        <v>Mochammad Fadhillah Hakim,</v>
      </c>
      <c r="N5405" s="6" t="str">
        <f>IFERROR(__xludf.DUMMYFUNCTION("""COMPUTED_VALUE"""),"FIP Engineering")</f>
        <v>FIP Engineering</v>
      </c>
      <c r="O5405" s="6" t="str">
        <f>IFERROR(__xludf.DUMMYFUNCTION("""COMPUTED_VALUE"""),"FIP-DOM-000-11304-OS00001-INA-000000")</f>
        <v>FIP-DOM-000-11304-OS00001-INA-000000</v>
      </c>
      <c r="P5405" s="6" t="str">
        <f>IFERROR(__xludf.DUMMYFUNCTION("""COMPUTED_VALUE"""),"PO Open")</f>
        <v>PO Open</v>
      </c>
      <c r="Q5405" s="6" t="str">
        <f>IFERROR(__xludf.DUMMYFUNCTION("""COMPUTED_VALUE"""),"GL2608409")</f>
        <v>GL2608409</v>
      </c>
      <c r="R5405" s="57">
        <f>IFERROR(__xludf.DUMMYFUNCTION("""COMPUTED_VALUE"""),46231.0)</f>
        <v>46231</v>
      </c>
      <c r="S5405" s="57">
        <f>IFERROR(__xludf.DUMMYFUNCTION("""COMPUTED_VALUE"""),46233.0)</f>
        <v>46233</v>
      </c>
      <c r="T5405" s="57">
        <f>IFERROR(__xludf.DUMMYFUNCTION("""COMPUTED_VALUE"""),46356.0)</f>
        <v>46356</v>
      </c>
    </row>
    <row r="5406">
      <c r="A5406" s="6" t="str">
        <f>IFERROR(__xludf.DUMMYFUNCTION("""COMPUTED_VALUE"""),"121704486-1")</f>
        <v>121704486-1</v>
      </c>
      <c r="B5406" s="6" t="str">
        <f>IFERROR(__xludf.DUMMYFUNCTION("""COMPUTED_VALUE"""),"121704486 - APPROVED")</f>
        <v>121704486 - APPROVED</v>
      </c>
      <c r="C5406" s="6">
        <f>IFERROR(__xludf.DUMMYFUNCTION("""COMPUTED_VALUE"""),1.0)</f>
        <v>1</v>
      </c>
      <c r="D5406" s="6" t="str">
        <f>IFERROR(__xludf.DUMMYFUNCTION("""COMPUTED_VALUE"""),"T-22513-00")</f>
        <v>T-22513-00</v>
      </c>
      <c r="E5406" s="6" t="str">
        <f>IFERROR(__xludf.DUMMYFUNCTION("""COMPUTED_VALUE"""),"Oven Heater Shround; Agilent; G1530-61630; piece")</f>
        <v>Oven Heater Shround; Agilent; G1530-61630; piece</v>
      </c>
      <c r="F5406" s="6">
        <f>IFERROR(__xludf.DUMMYFUNCTION("""COMPUTED_VALUE"""),1.0)</f>
        <v>1</v>
      </c>
      <c r="G5406" s="6" t="str">
        <f>IFERROR(__xludf.DUMMYFUNCTION("""COMPUTED_VALUE"""),"Pieces")</f>
        <v>Pieces</v>
      </c>
      <c r="H5406" s="6" t="str">
        <f>IFERROR(__xludf.DUMMYFUNCTION("""COMPUTED_VALUE"""),"IDR")</f>
        <v>IDR</v>
      </c>
      <c r="I5406" s="6">
        <f>IFERROR(__xludf.DUMMYFUNCTION("""COMPUTED_VALUE"""),6.4102E7)</f>
        <v>64102000</v>
      </c>
      <c r="J5406" s="6">
        <f>IFERROR(__xludf.DUMMYFUNCTION("""COMPUTED_VALUE"""),6.4102E7)</f>
        <v>64102000</v>
      </c>
      <c r="K5406" s="57">
        <f>IFERROR(__xludf.DUMMYFUNCTION("""COMPUTED_VALUE"""),46241.0)</f>
        <v>46241</v>
      </c>
      <c r="L5406" s="6" t="str">
        <f>IFERROR(__xludf.DUMMYFUNCTION("""COMPUTED_VALUE"""),"FIP General")</f>
        <v>FIP General</v>
      </c>
      <c r="M5406" s="6" t="str">
        <f>IFERROR(__xludf.DUMMYFUNCTION("""COMPUTED_VALUE"""),"Mochammad Fadhillah Hakim,")</f>
        <v>Mochammad Fadhillah Hakim,</v>
      </c>
      <c r="N5406" s="6" t="str">
        <f>IFERROR(__xludf.DUMMYFUNCTION("""COMPUTED_VALUE"""),"FIP Engineering")</f>
        <v>FIP Engineering</v>
      </c>
      <c r="O5406" s="6" t="str">
        <f>IFERROR(__xludf.DUMMYFUNCTION("""COMPUTED_VALUE"""),"FIP-DOM-ENG-51505-0000000-INA-000000")</f>
        <v>FIP-DOM-ENG-51505-0000000-INA-000000</v>
      </c>
      <c r="P5406" s="6" t="str">
        <f>IFERROR(__xludf.DUMMYFUNCTION("""COMPUTED_VALUE"""),"PO Open")</f>
        <v>PO Open</v>
      </c>
      <c r="Q5406" s="6" t="str">
        <f>IFERROR(__xludf.DUMMYFUNCTION("""COMPUTED_VALUE"""),"GL2607050")</f>
        <v>GL2607050</v>
      </c>
      <c r="R5406" s="57">
        <f>IFERROR(__xludf.DUMMYFUNCTION("""COMPUTED_VALUE"""),46233.0)</f>
        <v>46233</v>
      </c>
      <c r="S5406" s="57">
        <f>IFERROR(__xludf.DUMMYFUNCTION("""COMPUTED_VALUE"""),46238.0)</f>
        <v>46238</v>
      </c>
      <c r="T5406" s="57">
        <f>IFERROR(__xludf.DUMMYFUNCTION("""COMPUTED_VALUE"""),46286.0)</f>
        <v>46286</v>
      </c>
    </row>
    <row r="5407">
      <c r="A5407" s="6" t="str">
        <f>IFERROR(__xludf.DUMMYFUNCTION("""COMPUTED_VALUE"""),"121704487-1")</f>
        <v>121704487-1</v>
      </c>
      <c r="B5407" s="6" t="str">
        <f>IFERROR(__xludf.DUMMYFUNCTION("""COMPUTED_VALUE"""),"121704487 - APPROVED")</f>
        <v>121704487 - APPROVED</v>
      </c>
      <c r="C5407" s="6">
        <f>IFERROR(__xludf.DUMMYFUNCTION("""COMPUTED_VALUE"""),1.0)</f>
        <v>1</v>
      </c>
      <c r="D5407" s="6" t="str">
        <f>IFERROR(__xludf.DUMMYFUNCTION("""COMPUTED_VALUE"""),"T-22505-00")</f>
        <v>T-22505-00</v>
      </c>
      <c r="E5407" s="6" t="str">
        <f>IFERROR(__xludf.DUMMYFUNCTION("""COMPUTED_VALUE"""),"Calibration drive PCB XS; Mettler Toledo; 11106836; piece")</f>
        <v>Calibration drive PCB XS; Mettler Toledo; 11106836; piece</v>
      </c>
      <c r="F5407" s="6">
        <f>IFERROR(__xludf.DUMMYFUNCTION("""COMPUTED_VALUE"""),1.0)</f>
        <v>1</v>
      </c>
      <c r="G5407" s="6" t="str">
        <f>IFERROR(__xludf.DUMMYFUNCTION("""COMPUTED_VALUE"""),"Pieces")</f>
        <v>Pieces</v>
      </c>
      <c r="H5407" s="6" t="str">
        <f>IFERROR(__xludf.DUMMYFUNCTION("""COMPUTED_VALUE"""),"IDR")</f>
        <v>IDR</v>
      </c>
      <c r="I5407" s="6">
        <f>IFERROR(__xludf.DUMMYFUNCTION("""COMPUTED_VALUE"""),6260320.0)</f>
        <v>6260320</v>
      </c>
      <c r="J5407" s="6">
        <f>IFERROR(__xludf.DUMMYFUNCTION("""COMPUTED_VALUE"""),6260320.0)</f>
        <v>6260320</v>
      </c>
      <c r="K5407" s="57">
        <f>IFERROR(__xludf.DUMMYFUNCTION("""COMPUTED_VALUE"""),46241.0)</f>
        <v>46241</v>
      </c>
      <c r="L5407" s="6" t="str">
        <f>IFERROR(__xludf.DUMMYFUNCTION("""COMPUTED_VALUE"""),"FIP General")</f>
        <v>FIP General</v>
      </c>
      <c r="M5407" s="6" t="str">
        <f>IFERROR(__xludf.DUMMYFUNCTION("""COMPUTED_VALUE"""),"Mochammad Fadhillah Hakim,")</f>
        <v>Mochammad Fadhillah Hakim,</v>
      </c>
      <c r="N5407" s="6" t="str">
        <f>IFERROR(__xludf.DUMMYFUNCTION("""COMPUTED_VALUE"""),"FIP Engineering")</f>
        <v>FIP Engineering</v>
      </c>
      <c r="O5407" s="6" t="str">
        <f>IFERROR(__xludf.DUMMYFUNCTION("""COMPUTED_VALUE"""),"FIP-DOM-ENG-51505-0000000-INA-000000")</f>
        <v>FIP-DOM-ENG-51505-0000000-INA-000000</v>
      </c>
      <c r="P5407" s="6" t="str">
        <f>IFERROR(__xludf.DUMMYFUNCTION("""COMPUTED_VALUE"""),"PO Open")</f>
        <v>PO Open</v>
      </c>
      <c r="Q5407" s="6" t="str">
        <f>IFERROR(__xludf.DUMMYFUNCTION("""COMPUTED_VALUE"""),"GL2608002")</f>
        <v>GL2608002</v>
      </c>
      <c r="R5407" s="57">
        <f>IFERROR(__xludf.DUMMYFUNCTION("""COMPUTED_VALUE"""),46233.0)</f>
        <v>46233</v>
      </c>
      <c r="S5407" s="57">
        <f>IFERROR(__xludf.DUMMYFUNCTION("""COMPUTED_VALUE"""),46238.0)</f>
        <v>46238</v>
      </c>
      <c r="T5407" s="57">
        <f>IFERROR(__xludf.DUMMYFUNCTION("""COMPUTED_VALUE"""),46276.0)</f>
        <v>46276</v>
      </c>
    </row>
    <row r="5408">
      <c r="A5408" s="6" t="str">
        <f>IFERROR(__xludf.DUMMYFUNCTION("""COMPUTED_VALUE"""),"121704488-1")</f>
        <v>121704488-1</v>
      </c>
      <c r="B5408" s="6" t="str">
        <f>IFERROR(__xludf.DUMMYFUNCTION("""COMPUTED_VALUE"""),"121704488 - APPROVED")</f>
        <v>121704488 - APPROVED</v>
      </c>
      <c r="C5408" s="6">
        <f>IFERROR(__xludf.DUMMYFUNCTION("""COMPUTED_VALUE"""),1.0)</f>
        <v>1</v>
      </c>
      <c r="D5408" s="6" t="str">
        <f>IFERROR(__xludf.DUMMYFUNCTION("""COMPUTED_VALUE"""),"Q-12166-00")</f>
        <v>Q-12166-00</v>
      </c>
      <c r="E5408" s="6" t="str">
        <f>IFERROR(__xludf.DUMMYFUNCTION("""COMPUTED_VALUE"""),"Sandblast JT215 Buram 122cmx50m; Ruisitu; -; 1 Roll")</f>
        <v>Sandblast JT215 Buram 122cmx50m; Ruisitu; -; 1 Roll</v>
      </c>
      <c r="F5408" s="6">
        <f>IFERROR(__xludf.DUMMYFUNCTION("""COMPUTED_VALUE"""),1.0)</f>
        <v>1</v>
      </c>
      <c r="G5408" s="6" t="str">
        <f>IFERROR(__xludf.DUMMYFUNCTION("""COMPUTED_VALUE"""),"Roll")</f>
        <v>Roll</v>
      </c>
      <c r="H5408" s="6" t="str">
        <f>IFERROR(__xludf.DUMMYFUNCTION("""COMPUTED_VALUE"""),"IDR")</f>
        <v>IDR</v>
      </c>
      <c r="I5408" s="6">
        <f>IFERROR(__xludf.DUMMYFUNCTION("""COMPUTED_VALUE"""),1650000.0)</f>
        <v>1650000</v>
      </c>
      <c r="J5408" s="6">
        <f>IFERROR(__xludf.DUMMYFUNCTION("""COMPUTED_VALUE"""),1650000.0)</f>
        <v>1650000</v>
      </c>
      <c r="K5408" s="57">
        <f>IFERROR(__xludf.DUMMYFUNCTION("""COMPUTED_VALUE"""),46241.0)</f>
        <v>46241</v>
      </c>
      <c r="L5408" s="6" t="str">
        <f>IFERROR(__xludf.DUMMYFUNCTION("""COMPUTED_VALUE"""),"FIP General")</f>
        <v>FIP General</v>
      </c>
      <c r="M5408" s="6" t="str">
        <f>IFERROR(__xludf.DUMMYFUNCTION("""COMPUTED_VALUE"""),"Mochammad Fadhillah Hakim,")</f>
        <v>Mochammad Fadhillah Hakim,</v>
      </c>
      <c r="N5408" s="6" t="str">
        <f>IFERROR(__xludf.DUMMYFUNCTION("""COMPUTED_VALUE"""),"FIP Engineering")</f>
        <v>FIP Engineering</v>
      </c>
      <c r="O5408" s="6" t="str">
        <f>IFERROR(__xludf.DUMMYFUNCTION("""COMPUTED_VALUE"""),"FIP-DOM-ENG-51502-0000000-INA-000000")</f>
        <v>FIP-DOM-ENG-51502-0000000-INA-000000</v>
      </c>
      <c r="P5408" s="6" t="str">
        <f>IFERROR(__xludf.DUMMYFUNCTION("""COMPUTED_VALUE"""),"PO Closed")</f>
        <v>PO Closed</v>
      </c>
      <c r="Q5408" s="6" t="str">
        <f>IFERROR(__xludf.DUMMYFUNCTION("""COMPUTED_VALUE"""),"GL2608399")</f>
        <v>GL2608399</v>
      </c>
      <c r="R5408" s="57">
        <f>IFERROR(__xludf.DUMMYFUNCTION("""COMPUTED_VALUE"""),46234.0)</f>
        <v>46234</v>
      </c>
      <c r="S5408" s="57">
        <f>IFERROR(__xludf.DUMMYFUNCTION("""COMPUTED_VALUE"""),46238.0)</f>
        <v>46238</v>
      </c>
      <c r="T5408" s="57">
        <f>IFERROR(__xludf.DUMMYFUNCTION("""COMPUTED_VALUE"""),46280.0)</f>
        <v>46280</v>
      </c>
    </row>
    <row r="5409">
      <c r="A5409" s="6" t="str">
        <f>IFERROR(__xludf.DUMMYFUNCTION("""COMPUTED_VALUE"""),"121704500-1")</f>
        <v>121704500-1</v>
      </c>
      <c r="B5409" s="6" t="str">
        <f>IFERROR(__xludf.DUMMYFUNCTION("""COMPUTED_VALUE"""),"121704500 - APPROVED")</f>
        <v>121704500 - APPROVED</v>
      </c>
      <c r="C5409" s="6">
        <f>IFERROR(__xludf.DUMMYFUNCTION("""COMPUTED_VALUE"""),1.0)</f>
        <v>1</v>
      </c>
      <c r="D5409" s="6" t="str">
        <f>IFERROR(__xludf.DUMMYFUNCTION("""COMPUTED_VALUE"""),"T-80109-00")</f>
        <v>T-80109-00</v>
      </c>
      <c r="E5409" s="6" t="str">
        <f>IFERROR(__xludf.DUMMYFUNCTION("""COMPUTED_VALUE"""),"Cellotape / Lakban Kertas 1 inch warna Putih ; No Brand ; pack size per pcs")</f>
        <v>Cellotape / Lakban Kertas 1 inch warna Putih ; No Brand ; pack size per pcs</v>
      </c>
      <c r="F5409" s="6">
        <f>IFERROR(__xludf.DUMMYFUNCTION("""COMPUTED_VALUE"""),80.0)</f>
        <v>80</v>
      </c>
      <c r="G5409" s="6" t="str">
        <f>IFERROR(__xludf.DUMMYFUNCTION("""COMPUTED_VALUE"""),"Roll")</f>
        <v>Roll</v>
      </c>
      <c r="H5409" s="6" t="str">
        <f>IFERROR(__xludf.DUMMYFUNCTION("""COMPUTED_VALUE"""),"IDR")</f>
        <v>IDR</v>
      </c>
      <c r="I5409" s="6">
        <f>IFERROR(__xludf.DUMMYFUNCTION("""COMPUTED_VALUE"""),7000.0)</f>
        <v>7000</v>
      </c>
      <c r="J5409" s="6">
        <f>IFERROR(__xludf.DUMMYFUNCTION("""COMPUTED_VALUE"""),560000.0)</f>
        <v>560000</v>
      </c>
      <c r="K5409" s="57">
        <f>IFERROR(__xludf.DUMMYFUNCTION("""COMPUTED_VALUE"""),46247.0)</f>
        <v>46247</v>
      </c>
      <c r="L5409" s="6" t="str">
        <f>IFERROR(__xludf.DUMMYFUNCTION("""COMPUTED_VALUE"""),"FIP General")</f>
        <v>FIP General</v>
      </c>
      <c r="M5409" s="6" t="str">
        <f>IFERROR(__xludf.DUMMYFUNCTION("""COMPUTED_VALUE"""),"Mochammad Fadhillah Hakim,")</f>
        <v>Mochammad Fadhillah Hakim,</v>
      </c>
      <c r="N5409" s="6" t="str">
        <f>IFERROR(__xludf.DUMMYFUNCTION("""COMPUTED_VALUE"""),"FIP Engineering")</f>
        <v>FIP Engineering</v>
      </c>
      <c r="O5409" s="6" t="str">
        <f>IFERROR(__xludf.DUMMYFUNCTION("""COMPUTED_VALUE"""),"FIP-DOM-ENG-51411-0000000-INA-000000")</f>
        <v>FIP-DOM-ENG-51411-0000000-INA-000000</v>
      </c>
      <c r="P5409" s="6" t="str">
        <f>IFERROR(__xludf.DUMMYFUNCTION("""COMPUTED_VALUE"""),"PO Closed")</f>
        <v>PO Closed</v>
      </c>
      <c r="Q5409" s="6" t="str">
        <f>IFERROR(__xludf.DUMMYFUNCTION("""COMPUTED_VALUE"""),"GL2608393")</f>
        <v>GL2608393</v>
      </c>
      <c r="R5409" s="57">
        <f>IFERROR(__xludf.DUMMYFUNCTION("""COMPUTED_VALUE"""),46239.0)</f>
        <v>46239</v>
      </c>
      <c r="S5409" s="57">
        <f>IFERROR(__xludf.DUMMYFUNCTION("""COMPUTED_VALUE"""),46239.0)</f>
        <v>46239</v>
      </c>
      <c r="T5409" s="57">
        <f>IFERROR(__xludf.DUMMYFUNCTION("""COMPUTED_VALUE"""),46254.0)</f>
        <v>46254</v>
      </c>
    </row>
    <row r="5410">
      <c r="A5410" s="6" t="str">
        <f>IFERROR(__xludf.DUMMYFUNCTION("""COMPUTED_VALUE"""),"121704501-1")</f>
        <v>121704501-1</v>
      </c>
      <c r="B5410" s="6" t="str">
        <f>IFERROR(__xludf.DUMMYFUNCTION("""COMPUTED_VALUE"""),"121704501 - APPROVED")</f>
        <v>121704501 - APPROVED</v>
      </c>
      <c r="C5410" s="6">
        <f>IFERROR(__xludf.DUMMYFUNCTION("""COMPUTED_VALUE"""),1.0)</f>
        <v>1</v>
      </c>
      <c r="D5410" s="6" t="str">
        <f>IFERROR(__xludf.DUMMYFUNCTION("""COMPUTED_VALUE"""),"P-15852-00")</f>
        <v>P-15852-00</v>
      </c>
      <c r="E5410" s="6" t="str">
        <f>IFERROR(__xludf.DUMMYFUNCTION("""COMPUTED_VALUE"""),"General - Ampelas P500; EAGLE; -; 1 pcs")</f>
        <v>General - Ampelas P500; EAGLE; -; 1 pcs</v>
      </c>
      <c r="F5410" s="6">
        <f>IFERROR(__xludf.DUMMYFUNCTION("""COMPUTED_VALUE"""),50.0)</f>
        <v>50</v>
      </c>
      <c r="G5410" s="6" t="str">
        <f>IFERROR(__xludf.DUMMYFUNCTION("""COMPUTED_VALUE"""),"Pieces")</f>
        <v>Pieces</v>
      </c>
      <c r="H5410" s="6" t="str">
        <f>IFERROR(__xludf.DUMMYFUNCTION("""COMPUTED_VALUE"""),"IDR")</f>
        <v>IDR</v>
      </c>
      <c r="I5410" s="6">
        <f>IFERROR(__xludf.DUMMYFUNCTION("""COMPUTED_VALUE"""),5000.0)</f>
        <v>5000</v>
      </c>
      <c r="J5410" s="6">
        <f>IFERROR(__xludf.DUMMYFUNCTION("""COMPUTED_VALUE"""),250000.0)</f>
        <v>250000</v>
      </c>
      <c r="K5410" s="57">
        <f>IFERROR(__xludf.DUMMYFUNCTION("""COMPUTED_VALUE"""),46244.0)</f>
        <v>46244</v>
      </c>
      <c r="L5410" s="6" t="str">
        <f>IFERROR(__xludf.DUMMYFUNCTION("""COMPUTED_VALUE"""),"FIP Engineering")</f>
        <v>FIP Engineering</v>
      </c>
      <c r="M5410" s="6" t="str">
        <f>IFERROR(__xludf.DUMMYFUNCTION("""COMPUTED_VALUE"""),"Mochammad Fadhillah Hakim,")</f>
        <v>Mochammad Fadhillah Hakim,</v>
      </c>
      <c r="N5410" s="6" t="str">
        <f>IFERROR(__xludf.DUMMYFUNCTION("""COMPUTED_VALUE"""),"FIP Engineering")</f>
        <v>FIP Engineering</v>
      </c>
      <c r="O5410" s="6" t="str">
        <f>IFERROR(__xludf.DUMMYFUNCTION("""COMPUTED_VALUE"""),"FIP-DOM-000-11304-OS00001-INA-000000")</f>
        <v>FIP-DOM-000-11304-OS00001-INA-000000</v>
      </c>
      <c r="P5410" s="6" t="str">
        <f>IFERROR(__xludf.DUMMYFUNCTION("""COMPUTED_VALUE"""),"PO Closed")</f>
        <v>PO Closed</v>
      </c>
      <c r="Q5410" s="6" t="str">
        <f>IFERROR(__xludf.DUMMYFUNCTION("""COMPUTED_VALUE"""),"GL2608398")</f>
        <v>GL2608398</v>
      </c>
      <c r="R5410" s="57">
        <f>IFERROR(__xludf.DUMMYFUNCTION("""COMPUTED_VALUE"""),46239.0)</f>
        <v>46239</v>
      </c>
      <c r="S5410" s="57">
        <f>IFERROR(__xludf.DUMMYFUNCTION("""COMPUTED_VALUE"""),46240.0)</f>
        <v>46240</v>
      </c>
      <c r="T5410" s="57">
        <f>IFERROR(__xludf.DUMMYFUNCTION("""COMPUTED_VALUE"""),46266.0)</f>
        <v>46266</v>
      </c>
    </row>
    <row r="5411">
      <c r="A5411" s="6" t="str">
        <f>IFERROR(__xludf.DUMMYFUNCTION("""COMPUTED_VALUE"""),"121704501-2")</f>
        <v>121704501-2</v>
      </c>
      <c r="B5411" s="6" t="str">
        <f>IFERROR(__xludf.DUMMYFUNCTION("""COMPUTED_VALUE"""),"121704501 - APPROVED")</f>
        <v>121704501 - APPROVED</v>
      </c>
      <c r="C5411" s="6">
        <f>IFERROR(__xludf.DUMMYFUNCTION("""COMPUTED_VALUE"""),2.0)</f>
        <v>2</v>
      </c>
      <c r="D5411" s="6" t="str">
        <f>IFERROR(__xludf.DUMMYFUNCTION("""COMPUTED_VALUE"""),"P-51559-00")</f>
        <v>P-51559-00</v>
      </c>
      <c r="E5411" s="6" t="str">
        <f>IFERROR(__xludf.DUMMYFUNCTION("""COMPUTED_VALUE"""),"General - Lampu TL T5 14 W White; Philips; -; 1 unt")</f>
        <v>General - Lampu TL T5 14 W White; Philips; -; 1 unt</v>
      </c>
      <c r="F5411" s="6">
        <f>IFERROR(__xludf.DUMMYFUNCTION("""COMPUTED_VALUE"""),40.0)</f>
        <v>40</v>
      </c>
      <c r="G5411" s="6" t="str">
        <f>IFERROR(__xludf.DUMMYFUNCTION("""COMPUTED_VALUE"""),"Pack")</f>
        <v>Pack</v>
      </c>
      <c r="H5411" s="6" t="str">
        <f>IFERROR(__xludf.DUMMYFUNCTION("""COMPUTED_VALUE"""),"IDR")</f>
        <v>IDR</v>
      </c>
      <c r="I5411" s="6">
        <f>IFERROR(__xludf.DUMMYFUNCTION("""COMPUTED_VALUE"""),38000.0)</f>
        <v>38000</v>
      </c>
      <c r="J5411" s="6">
        <f>IFERROR(__xludf.DUMMYFUNCTION("""COMPUTED_VALUE"""),1520000.0)</f>
        <v>1520000</v>
      </c>
      <c r="K5411" s="57">
        <f>IFERROR(__xludf.DUMMYFUNCTION("""COMPUTED_VALUE"""),46244.0)</f>
        <v>46244</v>
      </c>
      <c r="L5411" s="6" t="str">
        <f>IFERROR(__xludf.DUMMYFUNCTION("""COMPUTED_VALUE"""),"FIP Engineering")</f>
        <v>FIP Engineering</v>
      </c>
      <c r="M5411" s="6" t="str">
        <f>IFERROR(__xludf.DUMMYFUNCTION("""COMPUTED_VALUE"""),"Mochammad Fadhillah Hakim,")</f>
        <v>Mochammad Fadhillah Hakim,</v>
      </c>
      <c r="N5411" s="6" t="str">
        <f>IFERROR(__xludf.DUMMYFUNCTION("""COMPUTED_VALUE"""),"FIP Engineering")</f>
        <v>FIP Engineering</v>
      </c>
      <c r="O5411" s="6" t="str">
        <f>IFERROR(__xludf.DUMMYFUNCTION("""COMPUTED_VALUE"""),"FIP-DOM-000-11304-OS00001-INA-000000")</f>
        <v>FIP-DOM-000-11304-OS00001-INA-000000</v>
      </c>
      <c r="P5411" s="6" t="str">
        <f>IFERROR(__xludf.DUMMYFUNCTION("""COMPUTED_VALUE"""),"PO Closed")</f>
        <v>PO Closed</v>
      </c>
      <c r="Q5411" s="6" t="str">
        <f>IFERROR(__xludf.DUMMYFUNCTION("""COMPUTED_VALUE"""),"GL2608398")</f>
        <v>GL2608398</v>
      </c>
      <c r="R5411" s="57">
        <f>IFERROR(__xludf.DUMMYFUNCTION("""COMPUTED_VALUE"""),46239.0)</f>
        <v>46239</v>
      </c>
      <c r="S5411" s="57">
        <f>IFERROR(__xludf.DUMMYFUNCTION("""COMPUTED_VALUE"""),46240.0)</f>
        <v>46240</v>
      </c>
      <c r="T5411" s="57">
        <f>IFERROR(__xludf.DUMMYFUNCTION("""COMPUTED_VALUE"""),46266.0)</f>
        <v>46266</v>
      </c>
    </row>
    <row r="5412">
      <c r="A5412" s="6" t="str">
        <f>IFERROR(__xludf.DUMMYFUNCTION("""COMPUTED_VALUE"""),"121704501-3")</f>
        <v>121704501-3</v>
      </c>
      <c r="B5412" s="6" t="str">
        <f>IFERROR(__xludf.DUMMYFUNCTION("""COMPUTED_VALUE"""),"121704501 - APPROVED")</f>
        <v>121704501 - APPROVED</v>
      </c>
      <c r="C5412" s="6">
        <f>IFERROR(__xludf.DUMMYFUNCTION("""COMPUTED_VALUE"""),3.0)</f>
        <v>3</v>
      </c>
      <c r="D5412" s="6" t="str">
        <f>IFERROR(__xludf.DUMMYFUNCTION("""COMPUTED_VALUE"""),"P-51560-00")</f>
        <v>P-51560-00</v>
      </c>
      <c r="E5412" s="6" t="str">
        <f>IFERROR(__xludf.DUMMYFUNCTION("""COMPUTED_VALUE"""),"General - Lampu TL T5 28W White; Philips; -; 1 unt")</f>
        <v>General - Lampu TL T5 28W White; Philips; -; 1 unt</v>
      </c>
      <c r="F5412" s="6">
        <f>IFERROR(__xludf.DUMMYFUNCTION("""COMPUTED_VALUE"""),40.0)</f>
        <v>40</v>
      </c>
      <c r="G5412" s="6" t="str">
        <f>IFERROR(__xludf.DUMMYFUNCTION("""COMPUTED_VALUE"""),"Pieces")</f>
        <v>Pieces</v>
      </c>
      <c r="H5412" s="6" t="str">
        <f>IFERROR(__xludf.DUMMYFUNCTION("""COMPUTED_VALUE"""),"IDR")</f>
        <v>IDR</v>
      </c>
      <c r="I5412" s="6">
        <f>IFERROR(__xludf.DUMMYFUNCTION("""COMPUTED_VALUE"""),46500.0)</f>
        <v>46500</v>
      </c>
      <c r="J5412" s="6">
        <f>IFERROR(__xludf.DUMMYFUNCTION("""COMPUTED_VALUE"""),1860000.0)</f>
        <v>1860000</v>
      </c>
      <c r="K5412" s="57">
        <f>IFERROR(__xludf.DUMMYFUNCTION("""COMPUTED_VALUE"""),46244.0)</f>
        <v>46244</v>
      </c>
      <c r="L5412" s="6" t="str">
        <f>IFERROR(__xludf.DUMMYFUNCTION("""COMPUTED_VALUE"""),"FIP Engineering")</f>
        <v>FIP Engineering</v>
      </c>
      <c r="M5412" s="6" t="str">
        <f>IFERROR(__xludf.DUMMYFUNCTION("""COMPUTED_VALUE"""),"Mochammad Fadhillah Hakim,")</f>
        <v>Mochammad Fadhillah Hakim,</v>
      </c>
      <c r="N5412" s="6" t="str">
        <f>IFERROR(__xludf.DUMMYFUNCTION("""COMPUTED_VALUE"""),"FIP Engineering")</f>
        <v>FIP Engineering</v>
      </c>
      <c r="O5412" s="6" t="str">
        <f>IFERROR(__xludf.DUMMYFUNCTION("""COMPUTED_VALUE"""),"FIP-DOM-000-11304-OS00001-INA-000000")</f>
        <v>FIP-DOM-000-11304-OS00001-INA-000000</v>
      </c>
      <c r="P5412" s="6" t="str">
        <f>IFERROR(__xludf.DUMMYFUNCTION("""COMPUTED_VALUE"""),"PO Closed")</f>
        <v>PO Closed</v>
      </c>
      <c r="Q5412" s="6" t="str">
        <f>IFERROR(__xludf.DUMMYFUNCTION("""COMPUTED_VALUE"""),"GL2608398")</f>
        <v>GL2608398</v>
      </c>
      <c r="R5412" s="57">
        <f>IFERROR(__xludf.DUMMYFUNCTION("""COMPUTED_VALUE"""),46239.0)</f>
        <v>46239</v>
      </c>
      <c r="S5412" s="57">
        <f>IFERROR(__xludf.DUMMYFUNCTION("""COMPUTED_VALUE"""),46240.0)</f>
        <v>46240</v>
      </c>
      <c r="T5412" s="57">
        <f>IFERROR(__xludf.DUMMYFUNCTION("""COMPUTED_VALUE"""),46266.0)</f>
        <v>46266</v>
      </c>
    </row>
    <row r="5413">
      <c r="A5413" s="6" t="str">
        <f>IFERROR(__xludf.DUMMYFUNCTION("""COMPUTED_VALUE"""),"121704501-4")</f>
        <v>121704501-4</v>
      </c>
      <c r="B5413" s="6" t="str">
        <f>IFERROR(__xludf.DUMMYFUNCTION("""COMPUTED_VALUE"""),"121704501 - APPROVED")</f>
        <v>121704501 - APPROVED</v>
      </c>
      <c r="C5413" s="6">
        <f>IFERROR(__xludf.DUMMYFUNCTION("""COMPUTED_VALUE"""),4.0)</f>
        <v>4</v>
      </c>
      <c r="D5413" s="6" t="str">
        <f>IFERROR(__xludf.DUMMYFUNCTION("""COMPUTED_VALUE"""),"P-54707-00")</f>
        <v>P-54707-00</v>
      </c>
      <c r="E5413" s="6" t="str">
        <f>IFERROR(__xludf.DUMMYFUNCTION("""COMPUTED_VALUE"""),"General - Lampu Panel LED 30 x 120cm; Philips; RC081VLED30S/865; 1 pc")</f>
        <v>General - Lampu Panel LED 30 x 120cm; Philips; RC081VLED30S/865; 1 pc</v>
      </c>
      <c r="F5413" s="6">
        <f>IFERROR(__xludf.DUMMYFUNCTION("""COMPUTED_VALUE"""),20.0)</f>
        <v>20</v>
      </c>
      <c r="G5413" s="6" t="str">
        <f>IFERROR(__xludf.DUMMYFUNCTION("""COMPUTED_VALUE"""),"Pieces")</f>
        <v>Pieces</v>
      </c>
      <c r="H5413" s="6" t="str">
        <f>IFERROR(__xludf.DUMMYFUNCTION("""COMPUTED_VALUE"""),"IDR")</f>
        <v>IDR</v>
      </c>
      <c r="I5413" s="6">
        <f>IFERROR(__xludf.DUMMYFUNCTION("""COMPUTED_VALUE"""),750000.0)</f>
        <v>750000</v>
      </c>
      <c r="J5413" s="6">
        <f>IFERROR(__xludf.DUMMYFUNCTION("""COMPUTED_VALUE"""),1.5E7)</f>
        <v>15000000</v>
      </c>
      <c r="K5413" s="57">
        <f>IFERROR(__xludf.DUMMYFUNCTION("""COMPUTED_VALUE"""),46244.0)</f>
        <v>46244</v>
      </c>
      <c r="L5413" s="6" t="str">
        <f>IFERROR(__xludf.DUMMYFUNCTION("""COMPUTED_VALUE"""),"FIP Engineering")</f>
        <v>FIP Engineering</v>
      </c>
      <c r="M5413" s="6" t="str">
        <f>IFERROR(__xludf.DUMMYFUNCTION("""COMPUTED_VALUE"""),"Mochammad Fadhillah Hakim,")</f>
        <v>Mochammad Fadhillah Hakim,</v>
      </c>
      <c r="N5413" s="6" t="str">
        <f>IFERROR(__xludf.DUMMYFUNCTION("""COMPUTED_VALUE"""),"FIP Engineering")</f>
        <v>FIP Engineering</v>
      </c>
      <c r="O5413" s="6" t="str">
        <f>IFERROR(__xludf.DUMMYFUNCTION("""COMPUTED_VALUE"""),"FIP-DOM-000-11304-OS00001-INA-000000")</f>
        <v>FIP-DOM-000-11304-OS00001-INA-000000</v>
      </c>
      <c r="P5413" s="6" t="str">
        <f>IFERROR(__xludf.DUMMYFUNCTION("""COMPUTED_VALUE"""),"PO Closed")</f>
        <v>PO Closed</v>
      </c>
      <c r="Q5413" s="6" t="str">
        <f>IFERROR(__xludf.DUMMYFUNCTION("""COMPUTED_VALUE"""),"GL2608398")</f>
        <v>GL2608398</v>
      </c>
      <c r="R5413" s="57">
        <f>IFERROR(__xludf.DUMMYFUNCTION("""COMPUTED_VALUE"""),46239.0)</f>
        <v>46239</v>
      </c>
      <c r="S5413" s="57">
        <f>IFERROR(__xludf.DUMMYFUNCTION("""COMPUTED_VALUE"""),46240.0)</f>
        <v>46240</v>
      </c>
      <c r="T5413" s="57">
        <f>IFERROR(__xludf.DUMMYFUNCTION("""COMPUTED_VALUE"""),46266.0)</f>
        <v>46266</v>
      </c>
    </row>
    <row r="5414">
      <c r="A5414" s="6" t="str">
        <f>IFERROR(__xludf.DUMMYFUNCTION("""COMPUTED_VALUE"""),"121704501-5")</f>
        <v>121704501-5</v>
      </c>
      <c r="B5414" s="6" t="str">
        <f>IFERROR(__xludf.DUMMYFUNCTION("""COMPUTED_VALUE"""),"121704501 - APPROVED")</f>
        <v>121704501 - APPROVED</v>
      </c>
      <c r="C5414" s="6">
        <f>IFERROR(__xludf.DUMMYFUNCTION("""COMPUTED_VALUE"""),5.0)</f>
        <v>5</v>
      </c>
      <c r="D5414" s="6" t="str">
        <f>IFERROR(__xludf.DUMMYFUNCTION("""COMPUTED_VALUE"""),"P-10857-00")</f>
        <v>P-10857-00</v>
      </c>
      <c r="E5414" s="6" t="str">
        <f>IFERROR(__xludf.DUMMYFUNCTION("""COMPUTED_VALUE"""),"General - Elbow PVC 90 AW 1 1/2inch; Rucika; -; 1 Pc")</f>
        <v>General - Elbow PVC 90 AW 1 1/2inch; Rucika; -; 1 Pc</v>
      </c>
      <c r="F5414" s="6">
        <f>IFERROR(__xludf.DUMMYFUNCTION("""COMPUTED_VALUE"""),6.0)</f>
        <v>6</v>
      </c>
      <c r="G5414" s="6" t="str">
        <f>IFERROR(__xludf.DUMMYFUNCTION("""COMPUTED_VALUE"""),"Pieces")</f>
        <v>Pieces</v>
      </c>
      <c r="H5414" s="6" t="str">
        <f>IFERROR(__xludf.DUMMYFUNCTION("""COMPUTED_VALUE"""),"IDR")</f>
        <v>IDR</v>
      </c>
      <c r="I5414" s="6">
        <f>IFERROR(__xludf.DUMMYFUNCTION("""COMPUTED_VALUE"""),10620.0)</f>
        <v>10620</v>
      </c>
      <c r="J5414" s="6">
        <f>IFERROR(__xludf.DUMMYFUNCTION("""COMPUTED_VALUE"""),63720.0)</f>
        <v>63720</v>
      </c>
      <c r="K5414" s="57">
        <f>IFERROR(__xludf.DUMMYFUNCTION("""COMPUTED_VALUE"""),46244.0)</f>
        <v>46244</v>
      </c>
      <c r="L5414" s="6" t="str">
        <f>IFERROR(__xludf.DUMMYFUNCTION("""COMPUTED_VALUE"""),"FIP Engineering")</f>
        <v>FIP Engineering</v>
      </c>
      <c r="M5414" s="6" t="str">
        <f>IFERROR(__xludf.DUMMYFUNCTION("""COMPUTED_VALUE"""),"Mochammad Fadhillah Hakim,")</f>
        <v>Mochammad Fadhillah Hakim,</v>
      </c>
      <c r="N5414" s="6" t="str">
        <f>IFERROR(__xludf.DUMMYFUNCTION("""COMPUTED_VALUE"""),"FIP Engineering")</f>
        <v>FIP Engineering</v>
      </c>
      <c r="O5414" s="6" t="str">
        <f>IFERROR(__xludf.DUMMYFUNCTION("""COMPUTED_VALUE"""),"FIP-DOM-000-11304-OS00001-INA-000000")</f>
        <v>FIP-DOM-000-11304-OS00001-INA-000000</v>
      </c>
      <c r="P5414" s="6" t="str">
        <f>IFERROR(__xludf.DUMMYFUNCTION("""COMPUTED_VALUE"""),"PR Open")</f>
        <v>PR Open</v>
      </c>
      <c r="Q5414" s="6"/>
      <c r="R5414" s="57">
        <f>IFERROR(__xludf.DUMMYFUNCTION("""COMPUTED_VALUE"""),46239.0)</f>
        <v>46239</v>
      </c>
      <c r="S5414" s="57">
        <f>IFERROR(__xludf.DUMMYFUNCTION("""COMPUTED_VALUE"""),46240.0)</f>
        <v>46240</v>
      </c>
      <c r="T5414" s="6"/>
    </row>
    <row r="5415">
      <c r="A5415" s="6" t="str">
        <f>IFERROR(__xludf.DUMMYFUNCTION("""COMPUTED_VALUE"""),"121704502-1")</f>
        <v>121704502-1</v>
      </c>
      <c r="B5415" s="6" t="str">
        <f>IFERROR(__xludf.DUMMYFUNCTION("""COMPUTED_VALUE"""),"121704502 - APPROVED")</f>
        <v>121704502 - APPROVED</v>
      </c>
      <c r="C5415" s="6">
        <f>IFERROR(__xludf.DUMMYFUNCTION("""COMPUTED_VALUE"""),1.0)</f>
        <v>1</v>
      </c>
      <c r="D5415" s="6" t="str">
        <f>IFERROR(__xludf.DUMMYFUNCTION("""COMPUTED_VALUE"""),"Q-70055-00")</f>
        <v>Q-70055-00</v>
      </c>
      <c r="E5415" s="6" t="str">
        <f>IFERROR(__xludf.DUMMYFUNCTION("""COMPUTED_VALUE"""),"Isi Kuas Cat Epoxy Roll; Rollset; Ukuran 9 Inch; pack size per pcs")</f>
        <v>Isi Kuas Cat Epoxy Roll; Rollset; Ukuran 9 Inch; pack size per pcs</v>
      </c>
      <c r="F5415" s="6">
        <f>IFERROR(__xludf.DUMMYFUNCTION("""COMPUTED_VALUE"""),30.0)</f>
        <v>30</v>
      </c>
      <c r="G5415" s="6" t="str">
        <f>IFERROR(__xludf.DUMMYFUNCTION("""COMPUTED_VALUE"""),"Pieces")</f>
        <v>Pieces</v>
      </c>
      <c r="H5415" s="6" t="str">
        <f>IFERROR(__xludf.DUMMYFUNCTION("""COMPUTED_VALUE"""),"IDR")</f>
        <v>IDR</v>
      </c>
      <c r="I5415" s="6">
        <f>IFERROR(__xludf.DUMMYFUNCTION("""COMPUTED_VALUE"""),38000.0)</f>
        <v>38000</v>
      </c>
      <c r="J5415" s="6">
        <f>IFERROR(__xludf.DUMMYFUNCTION("""COMPUTED_VALUE"""),1140000.0)</f>
        <v>1140000</v>
      </c>
      <c r="K5415" s="57">
        <f>IFERROR(__xludf.DUMMYFUNCTION("""COMPUTED_VALUE"""),46244.0)</f>
        <v>46244</v>
      </c>
      <c r="L5415" s="6" t="str">
        <f>IFERROR(__xludf.DUMMYFUNCTION("""COMPUTED_VALUE"""),"FIP Engineering")</f>
        <v>FIP Engineering</v>
      </c>
      <c r="M5415" s="6" t="str">
        <f>IFERROR(__xludf.DUMMYFUNCTION("""COMPUTED_VALUE"""),"Mochammad Fadhillah Hakim,")</f>
        <v>Mochammad Fadhillah Hakim,</v>
      </c>
      <c r="N5415" s="6" t="str">
        <f>IFERROR(__xludf.DUMMYFUNCTION("""COMPUTED_VALUE"""),"FIP Engineering")</f>
        <v>FIP Engineering</v>
      </c>
      <c r="O5415" s="6" t="str">
        <f>IFERROR(__xludf.DUMMYFUNCTION("""COMPUTED_VALUE"""),"FIP-DOM-000-11304-OS00001-INA-000000")</f>
        <v>FIP-DOM-000-11304-OS00001-INA-000000</v>
      </c>
      <c r="P5415" s="6" t="str">
        <f>IFERROR(__xludf.DUMMYFUNCTION("""COMPUTED_VALUE"""),"PO Closed")</f>
        <v>PO Closed</v>
      </c>
      <c r="Q5415" s="6" t="str">
        <f>IFERROR(__xludf.DUMMYFUNCTION("""COMPUTED_VALUE"""),"GL2608035")</f>
        <v>GL2608035</v>
      </c>
      <c r="R5415" s="57">
        <f>IFERROR(__xludf.DUMMYFUNCTION("""COMPUTED_VALUE"""),46239.0)</f>
        <v>46239</v>
      </c>
      <c r="S5415" s="57">
        <f>IFERROR(__xludf.DUMMYFUNCTION("""COMPUTED_VALUE"""),46240.0)</f>
        <v>46240</v>
      </c>
      <c r="T5415" s="57">
        <f>IFERROR(__xludf.DUMMYFUNCTION("""COMPUTED_VALUE"""),46280.0)</f>
        <v>46280</v>
      </c>
    </row>
    <row r="5416">
      <c r="A5416" s="6" t="str">
        <f>IFERROR(__xludf.DUMMYFUNCTION("""COMPUTED_VALUE"""),"121704502-2")</f>
        <v>121704502-2</v>
      </c>
      <c r="B5416" s="6" t="str">
        <f>IFERROR(__xludf.DUMMYFUNCTION("""COMPUTED_VALUE"""),"121704502 - APPROVED")</f>
        <v>121704502 - APPROVED</v>
      </c>
      <c r="C5416" s="6">
        <f>IFERROR(__xludf.DUMMYFUNCTION("""COMPUTED_VALUE"""),2.0)</f>
        <v>2</v>
      </c>
      <c r="D5416" s="6" t="str">
        <f>IFERROR(__xludf.DUMMYFUNCTION("""COMPUTED_VALUE"""),"Q-70054-00")</f>
        <v>Q-70054-00</v>
      </c>
      <c r="E5416" s="6" t="str">
        <f>IFERROR(__xludf.DUMMYFUNCTION("""COMPUTED_VALUE"""),"Isi Kuas Cat Epoxy Roll; Rollset; Ukuran 4 Inch; pack size per pcs")</f>
        <v>Isi Kuas Cat Epoxy Roll; Rollset; Ukuran 4 Inch; pack size per pcs</v>
      </c>
      <c r="F5416" s="6">
        <f>IFERROR(__xludf.DUMMYFUNCTION("""COMPUTED_VALUE"""),50.0)</f>
        <v>50</v>
      </c>
      <c r="G5416" s="6" t="str">
        <f>IFERROR(__xludf.DUMMYFUNCTION("""COMPUTED_VALUE"""),"Pieces")</f>
        <v>Pieces</v>
      </c>
      <c r="H5416" s="6" t="str">
        <f>IFERROR(__xludf.DUMMYFUNCTION("""COMPUTED_VALUE"""),"IDR")</f>
        <v>IDR</v>
      </c>
      <c r="I5416" s="6">
        <f>IFERROR(__xludf.DUMMYFUNCTION("""COMPUTED_VALUE"""),27000.0)</f>
        <v>27000</v>
      </c>
      <c r="J5416" s="6">
        <f>IFERROR(__xludf.DUMMYFUNCTION("""COMPUTED_VALUE"""),1350000.0)</f>
        <v>1350000</v>
      </c>
      <c r="K5416" s="57">
        <f>IFERROR(__xludf.DUMMYFUNCTION("""COMPUTED_VALUE"""),46244.0)</f>
        <v>46244</v>
      </c>
      <c r="L5416" s="6" t="str">
        <f>IFERROR(__xludf.DUMMYFUNCTION("""COMPUTED_VALUE"""),"FIP Engineering")</f>
        <v>FIP Engineering</v>
      </c>
      <c r="M5416" s="6" t="str">
        <f>IFERROR(__xludf.DUMMYFUNCTION("""COMPUTED_VALUE"""),"Mochammad Fadhillah Hakim,")</f>
        <v>Mochammad Fadhillah Hakim,</v>
      </c>
      <c r="N5416" s="6" t="str">
        <f>IFERROR(__xludf.DUMMYFUNCTION("""COMPUTED_VALUE"""),"FIP Engineering")</f>
        <v>FIP Engineering</v>
      </c>
      <c r="O5416" s="6" t="str">
        <f>IFERROR(__xludf.DUMMYFUNCTION("""COMPUTED_VALUE"""),"FIP-DOM-000-11304-OS00001-INA-000000")</f>
        <v>FIP-DOM-000-11304-OS00001-INA-000000</v>
      </c>
      <c r="P5416" s="6" t="str">
        <f>IFERROR(__xludf.DUMMYFUNCTION("""COMPUTED_VALUE"""),"PO Closed")</f>
        <v>PO Closed</v>
      </c>
      <c r="Q5416" s="6" t="str">
        <f>IFERROR(__xludf.DUMMYFUNCTION("""COMPUTED_VALUE"""),"GL2608035")</f>
        <v>GL2608035</v>
      </c>
      <c r="R5416" s="57">
        <f>IFERROR(__xludf.DUMMYFUNCTION("""COMPUTED_VALUE"""),46239.0)</f>
        <v>46239</v>
      </c>
      <c r="S5416" s="57">
        <f>IFERROR(__xludf.DUMMYFUNCTION("""COMPUTED_VALUE"""),46240.0)</f>
        <v>46240</v>
      </c>
      <c r="T5416" s="57">
        <f>IFERROR(__xludf.DUMMYFUNCTION("""COMPUTED_VALUE"""),46280.0)</f>
        <v>46280</v>
      </c>
    </row>
    <row r="5417">
      <c r="A5417" s="6" t="str">
        <f>IFERROR(__xludf.DUMMYFUNCTION("""COMPUTED_VALUE"""),"121704502-3")</f>
        <v>121704502-3</v>
      </c>
      <c r="B5417" s="6" t="str">
        <f>IFERROR(__xludf.DUMMYFUNCTION("""COMPUTED_VALUE"""),"121704502 - APPROVED")</f>
        <v>121704502 - APPROVED</v>
      </c>
      <c r="C5417" s="6">
        <f>IFERROR(__xludf.DUMMYFUNCTION("""COMPUTED_VALUE"""),3.0)</f>
        <v>3</v>
      </c>
      <c r="D5417" s="6" t="str">
        <f>IFERROR(__xludf.DUMMYFUNCTION("""COMPUTED_VALUE"""),"Q-12152-00")</f>
        <v>Q-12152-00</v>
      </c>
      <c r="E5417" s="6" t="str">
        <f>IFERROR(__xludf.DUMMYFUNCTION("""COMPUTED_VALUE"""),"Lem Kayu Putih 350 gram; Fox; ; 350 gram per pack")</f>
        <v>Lem Kayu Putih 350 gram; Fox; ; 350 gram per pack</v>
      </c>
      <c r="F5417" s="6">
        <f>IFERROR(__xludf.DUMMYFUNCTION("""COMPUTED_VALUE"""),10.0)</f>
        <v>10</v>
      </c>
      <c r="G5417" s="6" t="str">
        <f>IFERROR(__xludf.DUMMYFUNCTION("""COMPUTED_VALUE"""),"Pack")</f>
        <v>Pack</v>
      </c>
      <c r="H5417" s="6" t="str">
        <f>IFERROR(__xludf.DUMMYFUNCTION("""COMPUTED_VALUE"""),"IDR")</f>
        <v>IDR</v>
      </c>
      <c r="I5417" s="6">
        <f>IFERROR(__xludf.DUMMYFUNCTION("""COMPUTED_VALUE"""),15000.0)</f>
        <v>15000</v>
      </c>
      <c r="J5417" s="6">
        <f>IFERROR(__xludf.DUMMYFUNCTION("""COMPUTED_VALUE"""),150000.0)</f>
        <v>150000</v>
      </c>
      <c r="K5417" s="57">
        <f>IFERROR(__xludf.DUMMYFUNCTION("""COMPUTED_VALUE"""),46244.0)</f>
        <v>46244</v>
      </c>
      <c r="L5417" s="6" t="str">
        <f>IFERROR(__xludf.DUMMYFUNCTION("""COMPUTED_VALUE"""),"FIP General")</f>
        <v>FIP General</v>
      </c>
      <c r="M5417" s="6" t="str">
        <f>IFERROR(__xludf.DUMMYFUNCTION("""COMPUTED_VALUE"""),"Mochammad Fadhillah Hakim,")</f>
        <v>Mochammad Fadhillah Hakim,</v>
      </c>
      <c r="N5417" s="6" t="str">
        <f>IFERROR(__xludf.DUMMYFUNCTION("""COMPUTED_VALUE"""),"FIP Engineering")</f>
        <v>FIP Engineering</v>
      </c>
      <c r="O5417" s="6" t="str">
        <f>IFERROR(__xludf.DUMMYFUNCTION("""COMPUTED_VALUE"""),"FIP-DOM-ENG-51502-0000000-INA-000000")</f>
        <v>FIP-DOM-ENG-51502-0000000-INA-000000</v>
      </c>
      <c r="P5417" s="6" t="str">
        <f>IFERROR(__xludf.DUMMYFUNCTION("""COMPUTED_VALUE"""),"PO Closed")</f>
        <v>PO Closed</v>
      </c>
      <c r="Q5417" s="6" t="str">
        <f>IFERROR(__xludf.DUMMYFUNCTION("""COMPUTED_VALUE"""),"GL2608035")</f>
        <v>GL2608035</v>
      </c>
      <c r="R5417" s="57">
        <f>IFERROR(__xludf.DUMMYFUNCTION("""COMPUTED_VALUE"""),46239.0)</f>
        <v>46239</v>
      </c>
      <c r="S5417" s="57">
        <f>IFERROR(__xludf.DUMMYFUNCTION("""COMPUTED_VALUE"""),46240.0)</f>
        <v>46240</v>
      </c>
      <c r="T5417" s="57">
        <f>IFERROR(__xludf.DUMMYFUNCTION("""COMPUTED_VALUE"""),46280.0)</f>
        <v>46280</v>
      </c>
    </row>
    <row r="5418">
      <c r="A5418" s="6" t="str">
        <f>IFERROR(__xludf.DUMMYFUNCTION("""COMPUTED_VALUE"""),"121704502-5")</f>
        <v>121704502-5</v>
      </c>
      <c r="B5418" s="6" t="str">
        <f>IFERROR(__xludf.DUMMYFUNCTION("""COMPUTED_VALUE"""),"121704502 - APPROVED")</f>
        <v>121704502 - APPROVED</v>
      </c>
      <c r="C5418" s="6">
        <f>IFERROR(__xludf.DUMMYFUNCTION("""COMPUTED_VALUE"""),5.0)</f>
        <v>5</v>
      </c>
      <c r="D5418" s="6" t="str">
        <f>IFERROR(__xludf.DUMMYFUNCTION("""COMPUTED_VALUE"""),"Q-60502-00")</f>
        <v>Q-60502-00</v>
      </c>
      <c r="E5418" s="6" t="str">
        <f>IFERROR(__xludf.DUMMYFUNCTION("""COMPUTED_VALUE"""),"Silicone Sealant;Silglaze;Type N10 White;pack size per pcs")</f>
        <v>Silicone Sealant;Silglaze;Type N10 White;pack size per pcs</v>
      </c>
      <c r="F5418" s="6">
        <f>IFERROR(__xludf.DUMMYFUNCTION("""COMPUTED_VALUE"""),50.0)</f>
        <v>50</v>
      </c>
      <c r="G5418" s="6" t="str">
        <f>IFERROR(__xludf.DUMMYFUNCTION("""COMPUTED_VALUE"""),"Pieces")</f>
        <v>Pieces</v>
      </c>
      <c r="H5418" s="6" t="str">
        <f>IFERROR(__xludf.DUMMYFUNCTION("""COMPUTED_VALUE"""),"IDR")</f>
        <v>IDR</v>
      </c>
      <c r="I5418" s="6">
        <f>IFERROR(__xludf.DUMMYFUNCTION("""COMPUTED_VALUE"""),41000.0)</f>
        <v>41000</v>
      </c>
      <c r="J5418" s="6">
        <f>IFERROR(__xludf.DUMMYFUNCTION("""COMPUTED_VALUE"""),2050000.0)</f>
        <v>2050000</v>
      </c>
      <c r="K5418" s="57">
        <f>IFERROR(__xludf.DUMMYFUNCTION("""COMPUTED_VALUE"""),46244.0)</f>
        <v>46244</v>
      </c>
      <c r="L5418" s="6" t="str">
        <f>IFERROR(__xludf.DUMMYFUNCTION("""COMPUTED_VALUE"""),"FIP Engineering")</f>
        <v>FIP Engineering</v>
      </c>
      <c r="M5418" s="6" t="str">
        <f>IFERROR(__xludf.DUMMYFUNCTION("""COMPUTED_VALUE"""),"Mochammad Fadhillah Hakim,")</f>
        <v>Mochammad Fadhillah Hakim,</v>
      </c>
      <c r="N5418" s="6" t="str">
        <f>IFERROR(__xludf.DUMMYFUNCTION("""COMPUTED_VALUE"""),"FIP Engineering")</f>
        <v>FIP Engineering</v>
      </c>
      <c r="O5418" s="6" t="str">
        <f>IFERROR(__xludf.DUMMYFUNCTION("""COMPUTED_VALUE"""),"FIP-DOM-000-11304-OS00001-INA-000000")</f>
        <v>FIP-DOM-000-11304-OS00001-INA-000000</v>
      </c>
      <c r="P5418" s="6" t="str">
        <f>IFERROR(__xludf.DUMMYFUNCTION("""COMPUTED_VALUE"""),"PO Closed")</f>
        <v>PO Closed</v>
      </c>
      <c r="Q5418" s="6" t="str">
        <f>IFERROR(__xludf.DUMMYFUNCTION("""COMPUTED_VALUE"""),"GL2608036")</f>
        <v>GL2608036</v>
      </c>
      <c r="R5418" s="57">
        <f>IFERROR(__xludf.DUMMYFUNCTION("""COMPUTED_VALUE"""),46239.0)</f>
        <v>46239</v>
      </c>
      <c r="S5418" s="57">
        <f>IFERROR(__xludf.DUMMYFUNCTION("""COMPUTED_VALUE"""),46240.0)</f>
        <v>46240</v>
      </c>
      <c r="T5418" s="57">
        <f>IFERROR(__xludf.DUMMYFUNCTION("""COMPUTED_VALUE"""),46275.0)</f>
        <v>46275</v>
      </c>
    </row>
    <row r="5419">
      <c r="A5419" s="6" t="str">
        <f>IFERROR(__xludf.DUMMYFUNCTION("""COMPUTED_VALUE"""),"121704502-6")</f>
        <v>121704502-6</v>
      </c>
      <c r="B5419" s="6" t="str">
        <f>IFERROR(__xludf.DUMMYFUNCTION("""COMPUTED_VALUE"""),"121704502 - APPROVED")</f>
        <v>121704502 - APPROVED</v>
      </c>
      <c r="C5419" s="6">
        <f>IFERROR(__xludf.DUMMYFUNCTION("""COMPUTED_VALUE"""),6.0)</f>
        <v>6</v>
      </c>
      <c r="D5419" s="6" t="str">
        <f>IFERROR(__xludf.DUMMYFUNCTION("""COMPUTED_VALUE"""),"Q-10302-00")</f>
        <v>Q-10302-00</v>
      </c>
      <c r="E5419" s="6" t="str">
        <f>IFERROR(__xludf.DUMMYFUNCTION("""COMPUTED_VALUE"""),"Compound / Kompon Gypsum;No Brand;;pack size 20 kg per pck")</f>
        <v>Compound / Kompon Gypsum;No Brand;;pack size 20 kg per pck</v>
      </c>
      <c r="F5419" s="6">
        <f>IFERROR(__xludf.DUMMYFUNCTION("""COMPUTED_VALUE"""),3.0)</f>
        <v>3</v>
      </c>
      <c r="G5419" s="6" t="str">
        <f>IFERROR(__xludf.DUMMYFUNCTION("""COMPUTED_VALUE"""),"Pack")</f>
        <v>Pack</v>
      </c>
      <c r="H5419" s="6" t="str">
        <f>IFERROR(__xludf.DUMMYFUNCTION("""COMPUTED_VALUE"""),"IDR")</f>
        <v>IDR</v>
      </c>
      <c r="I5419" s="6">
        <f>IFERROR(__xludf.DUMMYFUNCTION("""COMPUTED_VALUE"""),58000.0)</f>
        <v>58000</v>
      </c>
      <c r="J5419" s="6">
        <f>IFERROR(__xludf.DUMMYFUNCTION("""COMPUTED_VALUE"""),174000.0)</f>
        <v>174000</v>
      </c>
      <c r="K5419" s="57">
        <f>IFERROR(__xludf.DUMMYFUNCTION("""COMPUTED_VALUE"""),46244.0)</f>
        <v>46244</v>
      </c>
      <c r="L5419" s="6" t="str">
        <f>IFERROR(__xludf.DUMMYFUNCTION("""COMPUTED_VALUE"""),"FIP General")</f>
        <v>FIP General</v>
      </c>
      <c r="M5419" s="6" t="str">
        <f>IFERROR(__xludf.DUMMYFUNCTION("""COMPUTED_VALUE"""),"Mochammad Fadhillah Hakim,")</f>
        <v>Mochammad Fadhillah Hakim,</v>
      </c>
      <c r="N5419" s="6" t="str">
        <f>IFERROR(__xludf.DUMMYFUNCTION("""COMPUTED_VALUE"""),"FIP Engineering")</f>
        <v>FIP Engineering</v>
      </c>
      <c r="O5419" s="6" t="str">
        <f>IFERROR(__xludf.DUMMYFUNCTION("""COMPUTED_VALUE"""),"FIP-DOM-ENG-51502-0000000-INA-000000")</f>
        <v>FIP-DOM-ENG-51502-0000000-INA-000000</v>
      </c>
      <c r="P5419" s="6" t="str">
        <f>IFERROR(__xludf.DUMMYFUNCTION("""COMPUTED_VALUE"""),"PO Closed")</f>
        <v>PO Closed</v>
      </c>
      <c r="Q5419" s="6" t="str">
        <f>IFERROR(__xludf.DUMMYFUNCTION("""COMPUTED_VALUE"""),"GL2608035")</f>
        <v>GL2608035</v>
      </c>
      <c r="R5419" s="57">
        <f>IFERROR(__xludf.DUMMYFUNCTION("""COMPUTED_VALUE"""),46239.0)</f>
        <v>46239</v>
      </c>
      <c r="S5419" s="57">
        <f>IFERROR(__xludf.DUMMYFUNCTION("""COMPUTED_VALUE"""),46240.0)</f>
        <v>46240</v>
      </c>
      <c r="T5419" s="57">
        <f>IFERROR(__xludf.DUMMYFUNCTION("""COMPUTED_VALUE"""),46280.0)</f>
        <v>46280</v>
      </c>
    </row>
    <row r="5420">
      <c r="A5420" s="6" t="str">
        <f>IFERROR(__xludf.DUMMYFUNCTION("""COMPUTED_VALUE"""),"121704511-1")</f>
        <v>121704511-1</v>
      </c>
      <c r="B5420" s="6" t="str">
        <f>IFERROR(__xludf.DUMMYFUNCTION("""COMPUTED_VALUE"""),"121704511 - APPROVED")</f>
        <v>121704511 - APPROVED</v>
      </c>
      <c r="C5420" s="6">
        <f>IFERROR(__xludf.DUMMYFUNCTION("""COMPUTED_VALUE"""),1.0)</f>
        <v>1</v>
      </c>
      <c r="D5420" s="6" t="str">
        <f>IFERROR(__xludf.DUMMYFUNCTION("""COMPUTED_VALUE"""),"R-62027-00")</f>
        <v>R-62027-00</v>
      </c>
      <c r="E5420" s="6" t="str">
        <f>IFERROR(__xludf.DUMMYFUNCTION("""COMPUTED_VALUE"""),"Access Door; ; ; - Virdi AC-2100 Plus SC")</f>
        <v>Access Door; ; ; - Virdi AC-2100 Plus SC</v>
      </c>
      <c r="F5420" s="6">
        <f>IFERROR(__xludf.DUMMYFUNCTION("""COMPUTED_VALUE"""),1.0)</f>
        <v>1</v>
      </c>
      <c r="G5420" s="6" t="str">
        <f>IFERROR(__xludf.DUMMYFUNCTION("""COMPUTED_VALUE"""),"Unit")</f>
        <v>Unit</v>
      </c>
      <c r="H5420" s="6" t="str">
        <f>IFERROR(__xludf.DUMMYFUNCTION("""COMPUTED_VALUE"""),"IDR")</f>
        <v>IDR</v>
      </c>
      <c r="I5420" s="6">
        <f>IFERROR(__xludf.DUMMYFUNCTION("""COMPUTED_VALUE"""),9324000.0)</f>
        <v>9324000</v>
      </c>
      <c r="J5420" s="6">
        <f>IFERROR(__xludf.DUMMYFUNCTION("""COMPUTED_VALUE"""),9324000.0)</f>
        <v>9324000</v>
      </c>
      <c r="K5420" s="57">
        <f>IFERROR(__xludf.DUMMYFUNCTION("""COMPUTED_VALUE"""),46255.0)</f>
        <v>46255</v>
      </c>
      <c r="L5420" s="6" t="str">
        <f>IFERROR(__xludf.DUMMYFUNCTION("""COMPUTED_VALUE"""),"FIP General")</f>
        <v>FIP General</v>
      </c>
      <c r="M5420" s="6" t="str">
        <f>IFERROR(__xludf.DUMMYFUNCTION("""COMPUTED_VALUE"""),"Mochammad Fadhillah Hakim,")</f>
        <v>Mochammad Fadhillah Hakim,</v>
      </c>
      <c r="N5420" s="6" t="str">
        <f>IFERROR(__xludf.DUMMYFUNCTION("""COMPUTED_VALUE"""),"FIP Engineering")</f>
        <v>FIP Engineering</v>
      </c>
      <c r="O5420" s="6" t="str">
        <f>IFERROR(__xludf.DUMMYFUNCTION("""COMPUTED_VALUE"""),"FIP-DOM-ENG-13408-ITNB214-INA-000000")</f>
        <v>FIP-DOM-ENG-13408-ITNB214-INA-000000</v>
      </c>
      <c r="P5420" s="6" t="str">
        <f>IFERROR(__xludf.DUMMYFUNCTION("""COMPUTED_VALUE"""),"PO Closed")</f>
        <v>PO Closed</v>
      </c>
      <c r="Q5420" s="6" t="str">
        <f>IFERROR(__xludf.DUMMYFUNCTION("""COMPUTED_VALUE"""),"GL2608042")</f>
        <v>GL2608042</v>
      </c>
      <c r="R5420" s="57">
        <f>IFERROR(__xludf.DUMMYFUNCTION("""COMPUTED_VALUE"""),46243.0)</f>
        <v>46243</v>
      </c>
      <c r="S5420" s="57">
        <f>IFERROR(__xludf.DUMMYFUNCTION("""COMPUTED_VALUE"""),46261.0)</f>
        <v>46261</v>
      </c>
      <c r="T5420" s="57">
        <f>IFERROR(__xludf.DUMMYFUNCTION("""COMPUTED_VALUE"""),46269.0)</f>
        <v>46269</v>
      </c>
    </row>
    <row r="5421">
      <c r="A5421" s="6" t="str">
        <f>IFERROR(__xludf.DUMMYFUNCTION("""COMPUTED_VALUE"""),"121704512-1")</f>
        <v>121704512-1</v>
      </c>
      <c r="B5421" s="6" t="str">
        <f>IFERROR(__xludf.DUMMYFUNCTION("""COMPUTED_VALUE"""),"121704512 - APPROVED")</f>
        <v>121704512 - APPROVED</v>
      </c>
      <c r="C5421" s="6">
        <f>IFERROR(__xludf.DUMMYFUNCTION("""COMPUTED_VALUE"""),1.0)</f>
        <v>1</v>
      </c>
      <c r="D5421" s="6" t="str">
        <f>IFERROR(__xludf.DUMMYFUNCTION("""COMPUTED_VALUE"""),"R-20024-00")</f>
        <v>R-20024-00</v>
      </c>
      <c r="E5421" s="6" t="str">
        <f>IFERROR(__xludf.DUMMYFUNCTION("""COMPUTED_VALUE"""),"Machine Equipment; ; ; - SUPREME CABLE - Kabel Listrik Inti Ganda Tembaga Murni - NYM 3 x 1.5 mm 50m - SUPREME CABLE - Kabel Listrik Inti Ganda Tembaga Murni - NYM 3 x 1.5 mm 50m")</f>
        <v>Machine Equipment; ; ; - SUPREME CABLE - Kabel Listrik Inti Ganda Tembaga Murni - NYM 3 x 1.5 mm 50m - SUPREME CABLE - Kabel Listrik Inti Ganda Tembaga Murni - NYM 3 x 1.5 mm 50m</v>
      </c>
      <c r="F5421" s="6">
        <f>IFERROR(__xludf.DUMMYFUNCTION("""COMPUTED_VALUE"""),1.0)</f>
        <v>1</v>
      </c>
      <c r="G5421" s="6" t="str">
        <f>IFERROR(__xludf.DUMMYFUNCTION("""COMPUTED_VALUE"""),"Unit")</f>
        <v>Unit</v>
      </c>
      <c r="H5421" s="6" t="str">
        <f>IFERROR(__xludf.DUMMYFUNCTION("""COMPUTED_VALUE"""),"IDR")</f>
        <v>IDR</v>
      </c>
      <c r="I5421" s="6">
        <f>IFERROR(__xludf.DUMMYFUNCTION("""COMPUTED_VALUE"""),1350000.0)</f>
        <v>1350000</v>
      </c>
      <c r="J5421" s="6">
        <f>IFERROR(__xludf.DUMMYFUNCTION("""COMPUTED_VALUE"""),1350000.0)</f>
        <v>1350000</v>
      </c>
      <c r="K5421" s="57">
        <f>IFERROR(__xludf.DUMMYFUNCTION("""COMPUTED_VALUE"""),46255.0)</f>
        <v>46255</v>
      </c>
      <c r="L5421" s="6" t="str">
        <f>IFERROR(__xludf.DUMMYFUNCTION("""COMPUTED_VALUE"""),"FIP General")</f>
        <v>FIP General</v>
      </c>
      <c r="M5421" s="6" t="str">
        <f>IFERROR(__xludf.DUMMYFUNCTION("""COMPUTED_VALUE"""),"Mochammad Fadhillah Hakim,")</f>
        <v>Mochammad Fadhillah Hakim,</v>
      </c>
      <c r="N5421" s="6" t="str">
        <f>IFERROR(__xludf.DUMMYFUNCTION("""COMPUTED_VALUE"""),"FIP Engineering")</f>
        <v>FIP Engineering</v>
      </c>
      <c r="O5421" s="6" t="str">
        <f>IFERROR(__xludf.DUMMYFUNCTION("""COMPUTED_VALUE"""),"FIP-DOM-PRJ-13404-MC26022-INA-000000")</f>
        <v>FIP-DOM-PRJ-13404-MC26022-INA-000000</v>
      </c>
      <c r="P5421" s="6" t="str">
        <f>IFERROR(__xludf.DUMMYFUNCTION("""COMPUTED_VALUE"""),"PO Open")</f>
        <v>PO Open</v>
      </c>
      <c r="Q5421" s="6" t="str">
        <f>IFERROR(__xludf.DUMMYFUNCTION("""COMPUTED_VALUE"""),"GL2608037")</f>
        <v>GL2608037</v>
      </c>
      <c r="R5421" s="57">
        <f>IFERROR(__xludf.DUMMYFUNCTION("""COMPUTED_VALUE"""),46243.0)</f>
        <v>46243</v>
      </c>
      <c r="S5421" s="57">
        <f>IFERROR(__xludf.DUMMYFUNCTION("""COMPUTED_VALUE"""),46244.0)</f>
        <v>46244</v>
      </c>
      <c r="T5421" s="57">
        <f>IFERROR(__xludf.DUMMYFUNCTION("""COMPUTED_VALUE"""),46286.0)</f>
        <v>46286</v>
      </c>
    </row>
    <row r="5422">
      <c r="A5422" s="6" t="str">
        <f>IFERROR(__xludf.DUMMYFUNCTION("""COMPUTED_VALUE"""),"121704512-2")</f>
        <v>121704512-2</v>
      </c>
      <c r="B5422" s="6" t="str">
        <f>IFERROR(__xludf.DUMMYFUNCTION("""COMPUTED_VALUE"""),"121704512 - APPROVED")</f>
        <v>121704512 - APPROVED</v>
      </c>
      <c r="C5422" s="6">
        <f>IFERROR(__xludf.DUMMYFUNCTION("""COMPUTED_VALUE"""),2.0)</f>
        <v>2</v>
      </c>
      <c r="D5422" s="6" t="str">
        <f>IFERROR(__xludf.DUMMYFUNCTION("""COMPUTED_VALUE"""),"R-20024-00")</f>
        <v>R-20024-00</v>
      </c>
      <c r="E5422" s="6" t="str">
        <f>IFERROR(__xludf.DUMMYFUNCTION("""COMPUTED_VALUE"""),"Machine Equipment; ; ; - Pipa Conduit 20mm 2,9m Putih - Pipa Conduit 20mm 2,9m Putih")</f>
        <v>Machine Equipment; ; ; - Pipa Conduit 20mm 2,9m Putih - Pipa Conduit 20mm 2,9m Putih</v>
      </c>
      <c r="F5422" s="6">
        <f>IFERROR(__xludf.DUMMYFUNCTION("""COMPUTED_VALUE"""),15.0)</f>
        <v>15</v>
      </c>
      <c r="G5422" s="6" t="str">
        <f>IFERROR(__xludf.DUMMYFUNCTION("""COMPUTED_VALUE"""),"Unit")</f>
        <v>Unit</v>
      </c>
      <c r="H5422" s="6" t="str">
        <f>IFERROR(__xludf.DUMMYFUNCTION("""COMPUTED_VALUE"""),"IDR")</f>
        <v>IDR</v>
      </c>
      <c r="I5422" s="6">
        <f>IFERROR(__xludf.DUMMYFUNCTION("""COMPUTED_VALUE"""),20000.0)</f>
        <v>20000</v>
      </c>
      <c r="J5422" s="6">
        <f>IFERROR(__xludf.DUMMYFUNCTION("""COMPUTED_VALUE"""),300000.0)</f>
        <v>300000</v>
      </c>
      <c r="K5422" s="57">
        <f>IFERROR(__xludf.DUMMYFUNCTION("""COMPUTED_VALUE"""),46255.0)</f>
        <v>46255</v>
      </c>
      <c r="L5422" s="6" t="str">
        <f>IFERROR(__xludf.DUMMYFUNCTION("""COMPUTED_VALUE"""),"FIP General")</f>
        <v>FIP General</v>
      </c>
      <c r="M5422" s="6" t="str">
        <f>IFERROR(__xludf.DUMMYFUNCTION("""COMPUTED_VALUE"""),"Mochammad Fadhillah Hakim,")</f>
        <v>Mochammad Fadhillah Hakim,</v>
      </c>
      <c r="N5422" s="6" t="str">
        <f>IFERROR(__xludf.DUMMYFUNCTION("""COMPUTED_VALUE"""),"FIP Engineering")</f>
        <v>FIP Engineering</v>
      </c>
      <c r="O5422" s="6" t="str">
        <f>IFERROR(__xludf.DUMMYFUNCTION("""COMPUTED_VALUE"""),"FIP-DOM-PRJ-13404-MC26022-INA-000000")</f>
        <v>FIP-DOM-PRJ-13404-MC26022-INA-000000</v>
      </c>
      <c r="P5422" s="6" t="str">
        <f>IFERROR(__xludf.DUMMYFUNCTION("""COMPUTED_VALUE"""),"PO Open")</f>
        <v>PO Open</v>
      </c>
      <c r="Q5422" s="6" t="str">
        <f>IFERROR(__xludf.DUMMYFUNCTION("""COMPUTED_VALUE"""),"GL2608037")</f>
        <v>GL2608037</v>
      </c>
      <c r="R5422" s="57">
        <f>IFERROR(__xludf.DUMMYFUNCTION("""COMPUTED_VALUE"""),46243.0)</f>
        <v>46243</v>
      </c>
      <c r="S5422" s="57">
        <f>IFERROR(__xludf.DUMMYFUNCTION("""COMPUTED_VALUE"""),46244.0)</f>
        <v>46244</v>
      </c>
      <c r="T5422" s="57">
        <f>IFERROR(__xludf.DUMMYFUNCTION("""COMPUTED_VALUE"""),46286.0)</f>
        <v>46286</v>
      </c>
    </row>
    <row r="5423">
      <c r="A5423" s="6" t="str">
        <f>IFERROR(__xludf.DUMMYFUNCTION("""COMPUTED_VALUE"""),"121704512-3")</f>
        <v>121704512-3</v>
      </c>
      <c r="B5423" s="6" t="str">
        <f>IFERROR(__xludf.DUMMYFUNCTION("""COMPUTED_VALUE"""),"121704512 - APPROVED")</f>
        <v>121704512 - APPROVED</v>
      </c>
      <c r="C5423" s="6">
        <f>IFERROR(__xludf.DUMMYFUNCTION("""COMPUTED_VALUE"""),3.0)</f>
        <v>3</v>
      </c>
      <c r="D5423" s="6" t="str">
        <f>IFERROR(__xludf.DUMMYFUNCTION("""COMPUTED_VALUE"""),"R-20024-00")</f>
        <v>R-20024-00</v>
      </c>
      <c r="E5423" s="6" t="str">
        <f>IFERROR(__xludf.DUMMYFUNCTION("""COMPUTED_VALUE"""),"Machine Equipment; ; ; - T-dus Cabang 3 Conduit Boss - T-dus Cabang 3 Conduit Boss")</f>
        <v>Machine Equipment; ; ; - T-dus Cabang 3 Conduit Boss - T-dus Cabang 3 Conduit Boss</v>
      </c>
      <c r="F5423" s="6">
        <f>IFERROR(__xludf.DUMMYFUNCTION("""COMPUTED_VALUE"""),10.0)</f>
        <v>10</v>
      </c>
      <c r="G5423" s="6" t="str">
        <f>IFERROR(__xludf.DUMMYFUNCTION("""COMPUTED_VALUE"""),"Unit")</f>
        <v>Unit</v>
      </c>
      <c r="H5423" s="6" t="str">
        <f>IFERROR(__xludf.DUMMYFUNCTION("""COMPUTED_VALUE"""),"IDR")</f>
        <v>IDR</v>
      </c>
      <c r="I5423" s="6">
        <f>IFERROR(__xludf.DUMMYFUNCTION("""COMPUTED_VALUE"""),12000.0)</f>
        <v>12000</v>
      </c>
      <c r="J5423" s="6">
        <f>IFERROR(__xludf.DUMMYFUNCTION("""COMPUTED_VALUE"""),120000.0)</f>
        <v>120000</v>
      </c>
      <c r="K5423" s="57">
        <f>IFERROR(__xludf.DUMMYFUNCTION("""COMPUTED_VALUE"""),46255.0)</f>
        <v>46255</v>
      </c>
      <c r="L5423" s="6" t="str">
        <f>IFERROR(__xludf.DUMMYFUNCTION("""COMPUTED_VALUE"""),"FIP General")</f>
        <v>FIP General</v>
      </c>
      <c r="M5423" s="6" t="str">
        <f>IFERROR(__xludf.DUMMYFUNCTION("""COMPUTED_VALUE"""),"Mochammad Fadhillah Hakim,")</f>
        <v>Mochammad Fadhillah Hakim,</v>
      </c>
      <c r="N5423" s="6" t="str">
        <f>IFERROR(__xludf.DUMMYFUNCTION("""COMPUTED_VALUE"""),"FIP Engineering")</f>
        <v>FIP Engineering</v>
      </c>
      <c r="O5423" s="6" t="str">
        <f>IFERROR(__xludf.DUMMYFUNCTION("""COMPUTED_VALUE"""),"FIP-DOM-PRJ-13404-MC26022-INA-000000")</f>
        <v>FIP-DOM-PRJ-13404-MC26022-INA-000000</v>
      </c>
      <c r="P5423" s="6" t="str">
        <f>IFERROR(__xludf.DUMMYFUNCTION("""COMPUTED_VALUE"""),"PO Open")</f>
        <v>PO Open</v>
      </c>
      <c r="Q5423" s="6" t="str">
        <f>IFERROR(__xludf.DUMMYFUNCTION("""COMPUTED_VALUE"""),"GL2608037")</f>
        <v>GL2608037</v>
      </c>
      <c r="R5423" s="57">
        <f>IFERROR(__xludf.DUMMYFUNCTION("""COMPUTED_VALUE"""),46243.0)</f>
        <v>46243</v>
      </c>
      <c r="S5423" s="57">
        <f>IFERROR(__xludf.DUMMYFUNCTION("""COMPUTED_VALUE"""),46244.0)</f>
        <v>46244</v>
      </c>
      <c r="T5423" s="57">
        <f>IFERROR(__xludf.DUMMYFUNCTION("""COMPUTED_VALUE"""),46286.0)</f>
        <v>46286</v>
      </c>
    </row>
    <row r="5424">
      <c r="A5424" s="6" t="str">
        <f>IFERROR(__xludf.DUMMYFUNCTION("""COMPUTED_VALUE"""),"121704512-4")</f>
        <v>121704512-4</v>
      </c>
      <c r="B5424" s="6" t="str">
        <f>IFERROR(__xludf.DUMMYFUNCTION("""COMPUTED_VALUE"""),"121704512 - APPROVED")</f>
        <v>121704512 - APPROVED</v>
      </c>
      <c r="C5424" s="6">
        <f>IFERROR(__xludf.DUMMYFUNCTION("""COMPUTED_VALUE"""),4.0)</f>
        <v>4</v>
      </c>
      <c r="D5424" s="6" t="str">
        <f>IFERROR(__xludf.DUMMYFUNCTION("""COMPUTED_VALUE"""),"R-20024-00")</f>
        <v>R-20024-00</v>
      </c>
      <c r="E5424" s="6" t="str">
        <f>IFERROR(__xludf.DUMMYFUNCTION("""COMPUTED_VALUE"""),"Machine Equipment; ; ; - Flexibel 20mm Merk Boss per 1 meter - Flexibel 20mm Merk Boss per 1 meter")</f>
        <v>Machine Equipment; ; ; - Flexibel 20mm Merk Boss per 1 meter - Flexibel 20mm Merk Boss per 1 meter</v>
      </c>
      <c r="F5424" s="6">
        <f>IFERROR(__xludf.DUMMYFUNCTION("""COMPUTED_VALUE"""),50.0)</f>
        <v>50</v>
      </c>
      <c r="G5424" s="6" t="str">
        <f>IFERROR(__xludf.DUMMYFUNCTION("""COMPUTED_VALUE"""),"Unit")</f>
        <v>Unit</v>
      </c>
      <c r="H5424" s="6" t="str">
        <f>IFERROR(__xludf.DUMMYFUNCTION("""COMPUTED_VALUE"""),"IDR")</f>
        <v>IDR</v>
      </c>
      <c r="I5424" s="6">
        <f>IFERROR(__xludf.DUMMYFUNCTION("""COMPUTED_VALUE"""),10000.0)</f>
        <v>10000</v>
      </c>
      <c r="J5424" s="6">
        <f>IFERROR(__xludf.DUMMYFUNCTION("""COMPUTED_VALUE"""),500000.0)</f>
        <v>500000</v>
      </c>
      <c r="K5424" s="57">
        <f>IFERROR(__xludf.DUMMYFUNCTION("""COMPUTED_VALUE"""),46255.0)</f>
        <v>46255</v>
      </c>
      <c r="L5424" s="6" t="str">
        <f>IFERROR(__xludf.DUMMYFUNCTION("""COMPUTED_VALUE"""),"FIP General")</f>
        <v>FIP General</v>
      </c>
      <c r="M5424" s="6" t="str">
        <f>IFERROR(__xludf.DUMMYFUNCTION("""COMPUTED_VALUE"""),"Mochammad Fadhillah Hakim,")</f>
        <v>Mochammad Fadhillah Hakim,</v>
      </c>
      <c r="N5424" s="6" t="str">
        <f>IFERROR(__xludf.DUMMYFUNCTION("""COMPUTED_VALUE"""),"FIP Engineering")</f>
        <v>FIP Engineering</v>
      </c>
      <c r="O5424" s="6" t="str">
        <f>IFERROR(__xludf.DUMMYFUNCTION("""COMPUTED_VALUE"""),"FIP-DOM-PRJ-13404-MC26022-INA-000000")</f>
        <v>FIP-DOM-PRJ-13404-MC26022-INA-000000</v>
      </c>
      <c r="P5424" s="6" t="str">
        <f>IFERROR(__xludf.DUMMYFUNCTION("""COMPUTED_VALUE"""),"PO Open")</f>
        <v>PO Open</v>
      </c>
      <c r="Q5424" s="6" t="str">
        <f>IFERROR(__xludf.DUMMYFUNCTION("""COMPUTED_VALUE"""),"GL2608037")</f>
        <v>GL2608037</v>
      </c>
      <c r="R5424" s="57">
        <f>IFERROR(__xludf.DUMMYFUNCTION("""COMPUTED_VALUE"""),46243.0)</f>
        <v>46243</v>
      </c>
      <c r="S5424" s="57">
        <f>IFERROR(__xludf.DUMMYFUNCTION("""COMPUTED_VALUE"""),46244.0)</f>
        <v>46244</v>
      </c>
      <c r="T5424" s="57">
        <f>IFERROR(__xludf.DUMMYFUNCTION("""COMPUTED_VALUE"""),46286.0)</f>
        <v>46286</v>
      </c>
    </row>
    <row r="5425">
      <c r="A5425" s="6" t="str">
        <f>IFERROR(__xludf.DUMMYFUNCTION("""COMPUTED_VALUE"""),"121704512-5")</f>
        <v>121704512-5</v>
      </c>
      <c r="B5425" s="6" t="str">
        <f>IFERROR(__xludf.DUMMYFUNCTION("""COMPUTED_VALUE"""),"121704512 - APPROVED")</f>
        <v>121704512 - APPROVED</v>
      </c>
      <c r="C5425" s="6">
        <f>IFERROR(__xludf.DUMMYFUNCTION("""COMPUTED_VALUE"""),5.0)</f>
        <v>5</v>
      </c>
      <c r="D5425" s="6" t="str">
        <f>IFERROR(__xludf.DUMMYFUNCTION("""COMPUTED_VALUE"""),"R-20024-00")</f>
        <v>R-20024-00</v>
      </c>
      <c r="E5425" s="6" t="str">
        <f>IFERROR(__xludf.DUMMYFUNCTION("""COMPUTED_VALUE"""),"Machine Equipment; ; ; - BROCO Stop Kontak Allegra (C151) - BROCO Stop Kontak Allegra (C151)")</f>
        <v>Machine Equipment; ; ; - BROCO Stop Kontak Allegra (C151) - BROCO Stop Kontak Allegra (C151)</v>
      </c>
      <c r="F5425" s="6">
        <f>IFERROR(__xludf.DUMMYFUNCTION("""COMPUTED_VALUE"""),5.0)</f>
        <v>5</v>
      </c>
      <c r="G5425" s="6" t="str">
        <f>IFERROR(__xludf.DUMMYFUNCTION("""COMPUTED_VALUE"""),"Unit")</f>
        <v>Unit</v>
      </c>
      <c r="H5425" s="6" t="str">
        <f>IFERROR(__xludf.DUMMYFUNCTION("""COMPUTED_VALUE"""),"IDR")</f>
        <v>IDR</v>
      </c>
      <c r="I5425" s="6">
        <f>IFERROR(__xludf.DUMMYFUNCTION("""COMPUTED_VALUE"""),20000.0)</f>
        <v>20000</v>
      </c>
      <c r="J5425" s="6">
        <f>IFERROR(__xludf.DUMMYFUNCTION("""COMPUTED_VALUE"""),100000.0)</f>
        <v>100000</v>
      </c>
      <c r="K5425" s="57">
        <f>IFERROR(__xludf.DUMMYFUNCTION("""COMPUTED_VALUE"""),46255.0)</f>
        <v>46255</v>
      </c>
      <c r="L5425" s="6" t="str">
        <f>IFERROR(__xludf.DUMMYFUNCTION("""COMPUTED_VALUE"""),"FIP General")</f>
        <v>FIP General</v>
      </c>
      <c r="M5425" s="6" t="str">
        <f>IFERROR(__xludf.DUMMYFUNCTION("""COMPUTED_VALUE"""),"Mochammad Fadhillah Hakim,")</f>
        <v>Mochammad Fadhillah Hakim,</v>
      </c>
      <c r="N5425" s="6" t="str">
        <f>IFERROR(__xludf.DUMMYFUNCTION("""COMPUTED_VALUE"""),"FIP Engineering")</f>
        <v>FIP Engineering</v>
      </c>
      <c r="O5425" s="6" t="str">
        <f>IFERROR(__xludf.DUMMYFUNCTION("""COMPUTED_VALUE"""),"FIP-DOM-PRJ-13404-MC26022-INA-000000")</f>
        <v>FIP-DOM-PRJ-13404-MC26022-INA-000000</v>
      </c>
      <c r="P5425" s="6" t="str">
        <f>IFERROR(__xludf.DUMMYFUNCTION("""COMPUTED_VALUE"""),"PO Open")</f>
        <v>PO Open</v>
      </c>
      <c r="Q5425" s="6" t="str">
        <f>IFERROR(__xludf.DUMMYFUNCTION("""COMPUTED_VALUE"""),"GL2608037")</f>
        <v>GL2608037</v>
      </c>
      <c r="R5425" s="57">
        <f>IFERROR(__xludf.DUMMYFUNCTION("""COMPUTED_VALUE"""),46243.0)</f>
        <v>46243</v>
      </c>
      <c r="S5425" s="57">
        <f>IFERROR(__xludf.DUMMYFUNCTION("""COMPUTED_VALUE"""),46244.0)</f>
        <v>46244</v>
      </c>
      <c r="T5425" s="57">
        <f>IFERROR(__xludf.DUMMYFUNCTION("""COMPUTED_VALUE"""),46286.0)</f>
        <v>46286</v>
      </c>
    </row>
    <row r="5426">
      <c r="A5426" s="6" t="str">
        <f>IFERROR(__xludf.DUMMYFUNCTION("""COMPUTED_VALUE"""),"121704512-6")</f>
        <v>121704512-6</v>
      </c>
      <c r="B5426" s="6" t="str">
        <f>IFERROR(__xludf.DUMMYFUNCTION("""COMPUTED_VALUE"""),"121704512 - APPROVED")</f>
        <v>121704512 - APPROVED</v>
      </c>
      <c r="C5426" s="6">
        <f>IFERROR(__xludf.DUMMYFUNCTION("""COMPUTED_VALUE"""),6.0)</f>
        <v>6</v>
      </c>
      <c r="D5426" s="6" t="str">
        <f>IFERROR(__xludf.DUMMYFUNCTION("""COMPUTED_VALUE"""),"R-20024-00")</f>
        <v>R-20024-00</v>
      </c>
      <c r="E5426" s="6" t="str">
        <f>IFERROR(__xludf.DUMMYFUNCTION("""COMPUTED_VALUE"""),"Machine Equipment; ; ; - Saklar 4 Gang Classic Set Outbow  Schneider - Saklar 4 Gang Classic Set Outbow  Schneider")</f>
        <v>Machine Equipment; ; ; - Saklar 4 Gang Classic Set Outbow  Schneider - Saklar 4 Gang Classic Set Outbow  Schneider</v>
      </c>
      <c r="F5426" s="6">
        <f>IFERROR(__xludf.DUMMYFUNCTION("""COMPUTED_VALUE"""),2.0)</f>
        <v>2</v>
      </c>
      <c r="G5426" s="6" t="str">
        <f>IFERROR(__xludf.DUMMYFUNCTION("""COMPUTED_VALUE"""),"Unit")</f>
        <v>Unit</v>
      </c>
      <c r="H5426" s="6" t="str">
        <f>IFERROR(__xludf.DUMMYFUNCTION("""COMPUTED_VALUE"""),"IDR")</f>
        <v>IDR</v>
      </c>
      <c r="I5426" s="6">
        <f>IFERROR(__xludf.DUMMYFUNCTION("""COMPUTED_VALUE"""),80000.0)</f>
        <v>80000</v>
      </c>
      <c r="J5426" s="6">
        <f>IFERROR(__xludf.DUMMYFUNCTION("""COMPUTED_VALUE"""),160000.0)</f>
        <v>160000</v>
      </c>
      <c r="K5426" s="57">
        <f>IFERROR(__xludf.DUMMYFUNCTION("""COMPUTED_VALUE"""),46255.0)</f>
        <v>46255</v>
      </c>
      <c r="L5426" s="6" t="str">
        <f>IFERROR(__xludf.DUMMYFUNCTION("""COMPUTED_VALUE"""),"FIP General")</f>
        <v>FIP General</v>
      </c>
      <c r="M5426" s="6" t="str">
        <f>IFERROR(__xludf.DUMMYFUNCTION("""COMPUTED_VALUE"""),"Mochammad Fadhillah Hakim,")</f>
        <v>Mochammad Fadhillah Hakim,</v>
      </c>
      <c r="N5426" s="6" t="str">
        <f>IFERROR(__xludf.DUMMYFUNCTION("""COMPUTED_VALUE"""),"FIP Engineering")</f>
        <v>FIP Engineering</v>
      </c>
      <c r="O5426" s="6" t="str">
        <f>IFERROR(__xludf.DUMMYFUNCTION("""COMPUTED_VALUE"""),"FIP-DOM-PRJ-13404-MC26022-INA-000000")</f>
        <v>FIP-DOM-PRJ-13404-MC26022-INA-000000</v>
      </c>
      <c r="P5426" s="6" t="str">
        <f>IFERROR(__xludf.DUMMYFUNCTION("""COMPUTED_VALUE"""),"PO Open")</f>
        <v>PO Open</v>
      </c>
      <c r="Q5426" s="6" t="str">
        <f>IFERROR(__xludf.DUMMYFUNCTION("""COMPUTED_VALUE"""),"GL2608037")</f>
        <v>GL2608037</v>
      </c>
      <c r="R5426" s="57">
        <f>IFERROR(__xludf.DUMMYFUNCTION("""COMPUTED_VALUE"""),46243.0)</f>
        <v>46243</v>
      </c>
      <c r="S5426" s="57">
        <f>IFERROR(__xludf.DUMMYFUNCTION("""COMPUTED_VALUE"""),46244.0)</f>
        <v>46244</v>
      </c>
      <c r="T5426" s="57">
        <f>IFERROR(__xludf.DUMMYFUNCTION("""COMPUTED_VALUE"""),46286.0)</f>
        <v>46286</v>
      </c>
    </row>
    <row r="5427">
      <c r="A5427" s="6" t="str">
        <f>IFERROR(__xludf.DUMMYFUNCTION("""COMPUTED_VALUE"""),"121704512-7")</f>
        <v>121704512-7</v>
      </c>
      <c r="B5427" s="6" t="str">
        <f>IFERROR(__xludf.DUMMYFUNCTION("""COMPUTED_VALUE"""),"121704512 - APPROVED")</f>
        <v>121704512 - APPROVED</v>
      </c>
      <c r="C5427" s="6">
        <f>IFERROR(__xludf.DUMMYFUNCTION("""COMPUTED_VALUE"""),7.0)</f>
        <v>7</v>
      </c>
      <c r="D5427" s="6" t="str">
        <f>IFERROR(__xludf.DUMMYFUNCTION("""COMPUTED_VALUE"""),"R-20024-00")</f>
        <v>R-20024-00</v>
      </c>
      <c r="E5427" s="6" t="str">
        <f>IFERROR(__xludf.DUMMYFUNCTION("""COMPUTED_VALUE"""),"Machine Equipment; ; ; - Elbow Pipa Listrik 20mm Knee Pipa Conduit 20mm BOSS - Elbow Pipa Listrik 20mm Knee Pipa Conduit 20mm BOSS")</f>
        <v>Machine Equipment; ; ; - Elbow Pipa Listrik 20mm Knee Pipa Conduit 20mm BOSS - Elbow Pipa Listrik 20mm Knee Pipa Conduit 20mm BOSS</v>
      </c>
      <c r="F5427" s="6">
        <f>IFERROR(__xludf.DUMMYFUNCTION("""COMPUTED_VALUE"""),20.0)</f>
        <v>20</v>
      </c>
      <c r="G5427" s="6" t="str">
        <f>IFERROR(__xludf.DUMMYFUNCTION("""COMPUTED_VALUE"""),"Unit")</f>
        <v>Unit</v>
      </c>
      <c r="H5427" s="6" t="str">
        <f>IFERROR(__xludf.DUMMYFUNCTION("""COMPUTED_VALUE"""),"IDR")</f>
        <v>IDR</v>
      </c>
      <c r="I5427" s="6">
        <f>IFERROR(__xludf.DUMMYFUNCTION("""COMPUTED_VALUE"""),12000.0)</f>
        <v>12000</v>
      </c>
      <c r="J5427" s="6">
        <f>IFERROR(__xludf.DUMMYFUNCTION("""COMPUTED_VALUE"""),240000.0)</f>
        <v>240000</v>
      </c>
      <c r="K5427" s="57">
        <f>IFERROR(__xludf.DUMMYFUNCTION("""COMPUTED_VALUE"""),46255.0)</f>
        <v>46255</v>
      </c>
      <c r="L5427" s="6" t="str">
        <f>IFERROR(__xludf.DUMMYFUNCTION("""COMPUTED_VALUE"""),"FIP General")</f>
        <v>FIP General</v>
      </c>
      <c r="M5427" s="6" t="str">
        <f>IFERROR(__xludf.DUMMYFUNCTION("""COMPUTED_VALUE"""),"Mochammad Fadhillah Hakim,")</f>
        <v>Mochammad Fadhillah Hakim,</v>
      </c>
      <c r="N5427" s="6" t="str">
        <f>IFERROR(__xludf.DUMMYFUNCTION("""COMPUTED_VALUE"""),"FIP Engineering")</f>
        <v>FIP Engineering</v>
      </c>
      <c r="O5427" s="6" t="str">
        <f>IFERROR(__xludf.DUMMYFUNCTION("""COMPUTED_VALUE"""),"FIP-DOM-PRJ-13404-MC26022-INA-000000")</f>
        <v>FIP-DOM-PRJ-13404-MC26022-INA-000000</v>
      </c>
      <c r="P5427" s="6" t="str">
        <f>IFERROR(__xludf.DUMMYFUNCTION("""COMPUTED_VALUE"""),"PO Open")</f>
        <v>PO Open</v>
      </c>
      <c r="Q5427" s="6" t="str">
        <f>IFERROR(__xludf.DUMMYFUNCTION("""COMPUTED_VALUE"""),"GL2608037")</f>
        <v>GL2608037</v>
      </c>
      <c r="R5427" s="57">
        <f>IFERROR(__xludf.DUMMYFUNCTION("""COMPUTED_VALUE"""),46243.0)</f>
        <v>46243</v>
      </c>
      <c r="S5427" s="57">
        <f>IFERROR(__xludf.DUMMYFUNCTION("""COMPUTED_VALUE"""),46244.0)</f>
        <v>46244</v>
      </c>
      <c r="T5427" s="57">
        <f>IFERROR(__xludf.DUMMYFUNCTION("""COMPUTED_VALUE"""),46286.0)</f>
        <v>46286</v>
      </c>
    </row>
    <row r="5428">
      <c r="A5428" s="6" t="str">
        <f>IFERROR(__xludf.DUMMYFUNCTION("""COMPUTED_VALUE"""),"121704512-8")</f>
        <v>121704512-8</v>
      </c>
      <c r="B5428" s="6" t="str">
        <f>IFERROR(__xludf.DUMMYFUNCTION("""COMPUTED_VALUE"""),"121704512 - APPROVED")</f>
        <v>121704512 - APPROVED</v>
      </c>
      <c r="C5428" s="6">
        <f>IFERROR(__xludf.DUMMYFUNCTION("""COMPUTED_VALUE"""),8.0)</f>
        <v>8</v>
      </c>
      <c r="D5428" s="6" t="str">
        <f>IFERROR(__xludf.DUMMYFUNCTION("""COMPUTED_VALUE"""),"R-20024-00")</f>
        <v>R-20024-00</v>
      </c>
      <c r="E5428" s="6" t="str">
        <f>IFERROR(__xludf.DUMMYFUNCTION("""COMPUTED_VALUE"""),"Machine Equipment; ; ; - Schneider Electric S-Classic Saklar Lampu 3 Gang 1W - E33 1 2AR_WE_G3 - Schneider Electric S-Classic Saklar Lampu 3 Gang 1W - E33 1 2AR_WE_G3")</f>
        <v>Machine Equipment; ; ; - Schneider Electric S-Classic Saklar Lampu 3 Gang 1W - E33 1 2AR_WE_G3 - Schneider Electric S-Classic Saklar Lampu 3 Gang 1W - E33 1 2AR_WE_G3</v>
      </c>
      <c r="F5428" s="6">
        <f>IFERROR(__xludf.DUMMYFUNCTION("""COMPUTED_VALUE"""),1.0)</f>
        <v>1</v>
      </c>
      <c r="G5428" s="6" t="str">
        <f>IFERROR(__xludf.DUMMYFUNCTION("""COMPUTED_VALUE"""),"Unit")</f>
        <v>Unit</v>
      </c>
      <c r="H5428" s="6" t="str">
        <f>IFERROR(__xludf.DUMMYFUNCTION("""COMPUTED_VALUE"""),"IDR")</f>
        <v>IDR</v>
      </c>
      <c r="I5428" s="6">
        <f>IFERROR(__xludf.DUMMYFUNCTION("""COMPUTED_VALUE"""),25000.0)</f>
        <v>25000</v>
      </c>
      <c r="J5428" s="6">
        <f>IFERROR(__xludf.DUMMYFUNCTION("""COMPUTED_VALUE"""),25000.0)</f>
        <v>25000</v>
      </c>
      <c r="K5428" s="57">
        <f>IFERROR(__xludf.DUMMYFUNCTION("""COMPUTED_VALUE"""),46255.0)</f>
        <v>46255</v>
      </c>
      <c r="L5428" s="6" t="str">
        <f>IFERROR(__xludf.DUMMYFUNCTION("""COMPUTED_VALUE"""),"FIP General")</f>
        <v>FIP General</v>
      </c>
      <c r="M5428" s="6" t="str">
        <f>IFERROR(__xludf.DUMMYFUNCTION("""COMPUTED_VALUE"""),"Mochammad Fadhillah Hakim,")</f>
        <v>Mochammad Fadhillah Hakim,</v>
      </c>
      <c r="N5428" s="6" t="str">
        <f>IFERROR(__xludf.DUMMYFUNCTION("""COMPUTED_VALUE"""),"FIP Engineering")</f>
        <v>FIP Engineering</v>
      </c>
      <c r="O5428" s="6" t="str">
        <f>IFERROR(__xludf.DUMMYFUNCTION("""COMPUTED_VALUE"""),"FIP-DOM-PRJ-13404-MC26022-INA-000000")</f>
        <v>FIP-DOM-PRJ-13404-MC26022-INA-000000</v>
      </c>
      <c r="P5428" s="6" t="str">
        <f>IFERROR(__xludf.DUMMYFUNCTION("""COMPUTED_VALUE"""),"PO Open")</f>
        <v>PO Open</v>
      </c>
      <c r="Q5428" s="6" t="str">
        <f>IFERROR(__xludf.DUMMYFUNCTION("""COMPUTED_VALUE"""),"GL2608037")</f>
        <v>GL2608037</v>
      </c>
      <c r="R5428" s="57">
        <f>IFERROR(__xludf.DUMMYFUNCTION("""COMPUTED_VALUE"""),46243.0)</f>
        <v>46243</v>
      </c>
      <c r="S5428" s="57">
        <f>IFERROR(__xludf.DUMMYFUNCTION("""COMPUTED_VALUE"""),46244.0)</f>
        <v>46244</v>
      </c>
      <c r="T5428" s="57">
        <f>IFERROR(__xludf.DUMMYFUNCTION("""COMPUTED_VALUE"""),46286.0)</f>
        <v>46286</v>
      </c>
    </row>
    <row r="5429">
      <c r="A5429" s="6" t="str">
        <f>IFERROR(__xludf.DUMMYFUNCTION("""COMPUTED_VALUE"""),"121704513-1")</f>
        <v>121704513-1</v>
      </c>
      <c r="B5429" s="6" t="str">
        <f>IFERROR(__xludf.DUMMYFUNCTION("""COMPUTED_VALUE"""),"121704513 - APPROVED")</f>
        <v>121704513 - APPROVED</v>
      </c>
      <c r="C5429" s="6">
        <f>IFERROR(__xludf.DUMMYFUNCTION("""COMPUTED_VALUE"""),1.0)</f>
        <v>1</v>
      </c>
      <c r="D5429" s="6" t="str">
        <f>IFERROR(__xludf.DUMMYFUNCTION("""COMPUTED_VALUE"""),"S-60002-00")</f>
        <v>S-60002-00</v>
      </c>
      <c r="E5429" s="6" t="str">
        <f>IFERROR(__xludf.DUMMYFUNCTION("""COMPUTED_VALUE"""),"Jasa Perbaikan dan Pemeliharaan Mesin Utility - SOFTWARE-FUJI SCS-1.3 LITE-LICENSE ASSY-- (308/08/13-14 &amp; 309/08/13-14)")</f>
        <v>Jasa Perbaikan dan Pemeliharaan Mesin Utility - SOFTWARE-FUJI SCS-1.3 LITE-LICENSE ASSY-- (308/08/13-14 &amp; 309/08/13-14)</v>
      </c>
      <c r="F5429" s="6">
        <f>IFERROR(__xludf.DUMMYFUNCTION("""COMPUTED_VALUE"""),1.0)</f>
        <v>1</v>
      </c>
      <c r="G5429" s="6" t="str">
        <f>IFERROR(__xludf.DUMMYFUNCTION("""COMPUTED_VALUE"""),"Lot")</f>
        <v>Lot</v>
      </c>
      <c r="H5429" s="6" t="str">
        <f>IFERROR(__xludf.DUMMYFUNCTION("""COMPUTED_VALUE"""),"USD")</f>
        <v>USD</v>
      </c>
      <c r="I5429" s="6">
        <f>IFERROR(__xludf.DUMMYFUNCTION("""COMPUTED_VALUE"""),3.6124E7)</f>
        <v>36124000</v>
      </c>
      <c r="J5429" s="6">
        <f>IFERROR(__xludf.DUMMYFUNCTION("""COMPUTED_VALUE"""),3.6124E7)</f>
        <v>36124000</v>
      </c>
      <c r="K5429" s="57">
        <f>IFERROR(__xludf.DUMMYFUNCTION("""COMPUTED_VALUE"""),46276.0)</f>
        <v>46276</v>
      </c>
      <c r="L5429" s="6" t="str">
        <f>IFERROR(__xludf.DUMMYFUNCTION("""COMPUTED_VALUE"""),"FIP General")</f>
        <v>FIP General</v>
      </c>
      <c r="M5429" s="6" t="str">
        <f>IFERROR(__xludf.DUMMYFUNCTION("""COMPUTED_VALUE"""),"Mochammad Fadhillah Hakim,")</f>
        <v>Mochammad Fadhillah Hakim,</v>
      </c>
      <c r="N5429" s="6" t="str">
        <f>IFERROR(__xludf.DUMMYFUNCTION("""COMPUTED_VALUE"""),"FIP Engineering")</f>
        <v>FIP Engineering</v>
      </c>
      <c r="O5429" s="6" t="str">
        <f>IFERROR(__xludf.DUMMYFUNCTION("""COMPUTED_VALUE"""),"FIP-DOM-ENG-51508-0000000-INA-000000")</f>
        <v>FIP-DOM-ENG-51508-0000000-INA-000000</v>
      </c>
      <c r="P5429" s="6" t="str">
        <f>IFERROR(__xludf.DUMMYFUNCTION("""COMPUTED_VALUE"""),"PO Open")</f>
        <v>PO Open</v>
      </c>
      <c r="Q5429" s="6" t="str">
        <f>IFERROR(__xludf.DUMMYFUNCTION("""COMPUTED_VALUE"""),"GL2609007")</f>
        <v>GL2609007</v>
      </c>
      <c r="R5429" s="57">
        <f>IFERROR(__xludf.DUMMYFUNCTION("""COMPUTED_VALUE"""),46243.0)</f>
        <v>46243</v>
      </c>
      <c r="S5429" s="57">
        <f>IFERROR(__xludf.DUMMYFUNCTION("""COMPUTED_VALUE"""),46244.0)</f>
        <v>46244</v>
      </c>
      <c r="T5429" s="57">
        <f>IFERROR(__xludf.DUMMYFUNCTION("""COMPUTED_VALUE"""),46295.0)</f>
        <v>46295</v>
      </c>
    </row>
    <row r="5430">
      <c r="A5430" s="6" t="str">
        <f>IFERROR(__xludf.DUMMYFUNCTION("""COMPUTED_VALUE"""),"121704521-1")</f>
        <v>121704521-1</v>
      </c>
      <c r="B5430" s="6" t="str">
        <f>IFERROR(__xludf.DUMMYFUNCTION("""COMPUTED_VALUE"""),"121704521 - APPROVED")</f>
        <v>121704521 - APPROVED</v>
      </c>
      <c r="C5430" s="6">
        <f>IFERROR(__xludf.DUMMYFUNCTION("""COMPUTED_VALUE"""),1.0)</f>
        <v>1</v>
      </c>
      <c r="D5430" s="6" t="str">
        <f>IFERROR(__xludf.DUMMYFUNCTION("""COMPUTED_VALUE"""),"O-20292-00")</f>
        <v>O-20292-00</v>
      </c>
      <c r="E5430" s="6" t="str">
        <f>IFERROR(__xludf.DUMMYFUNCTION("""COMPUTED_VALUE"""),"Strainer Machine - Strainer Crabs CR4 Capping 18X20 mm Custom/Lokal")</f>
        <v>Strainer Machine - Strainer Crabs CR4 Capping 18X20 mm Custom/Lokal</v>
      </c>
      <c r="F5430" s="6">
        <f>IFERROR(__xludf.DUMMYFUNCTION("""COMPUTED_VALUE"""),1.0)</f>
        <v>1</v>
      </c>
      <c r="G5430" s="6" t="str">
        <f>IFERROR(__xludf.DUMMYFUNCTION("""COMPUTED_VALUE"""),"Pieces")</f>
        <v>Pieces</v>
      </c>
      <c r="H5430" s="6" t="str">
        <f>IFERROR(__xludf.DUMMYFUNCTION("""COMPUTED_VALUE"""),"IDR")</f>
        <v>IDR</v>
      </c>
      <c r="I5430" s="6">
        <f>IFERROR(__xludf.DUMMYFUNCTION("""COMPUTED_VALUE"""),1734000.0)</f>
        <v>1734000</v>
      </c>
      <c r="J5430" s="6">
        <f>IFERROR(__xludf.DUMMYFUNCTION("""COMPUTED_VALUE"""),1734000.0)</f>
        <v>1734000</v>
      </c>
      <c r="K5430" s="57">
        <f>IFERROR(__xludf.DUMMYFUNCTION("""COMPUTED_VALUE"""),46283.0)</f>
        <v>46283</v>
      </c>
      <c r="L5430" s="6" t="str">
        <f>IFERROR(__xludf.DUMMYFUNCTION("""COMPUTED_VALUE"""),"FIP Engineering")</f>
        <v>FIP Engineering</v>
      </c>
      <c r="M5430" s="6" t="str">
        <f>IFERROR(__xludf.DUMMYFUNCTION("""COMPUTED_VALUE"""),"Mochammad Fadhillah Hakim,")</f>
        <v>Mochammad Fadhillah Hakim,</v>
      </c>
      <c r="N5430" s="6" t="str">
        <f>IFERROR(__xludf.DUMMYFUNCTION("""COMPUTED_VALUE"""),"FIP Engineering")</f>
        <v>FIP Engineering</v>
      </c>
      <c r="O5430" s="6" t="str">
        <f>IFERROR(__xludf.DUMMYFUNCTION("""COMPUTED_VALUE"""),"FIP-DOM-000-11304-OS00001-INA-000000")</f>
        <v>FIP-DOM-000-11304-OS00001-INA-000000</v>
      </c>
      <c r="P5430" s="6" t="str">
        <f>IFERROR(__xludf.DUMMYFUNCTION("""COMPUTED_VALUE"""),"PR Open")</f>
        <v>PR Open</v>
      </c>
      <c r="Q5430" s="6"/>
      <c r="R5430" s="57">
        <f>IFERROR(__xludf.DUMMYFUNCTION("""COMPUTED_VALUE"""),46247.0)</f>
        <v>46247</v>
      </c>
      <c r="S5430" s="57">
        <f>IFERROR(__xludf.DUMMYFUNCTION("""COMPUTED_VALUE"""),46254.0)</f>
        <v>46254</v>
      </c>
      <c r="T5430" s="6"/>
    </row>
    <row r="5431">
      <c r="A5431" s="6" t="str">
        <f>IFERROR(__xludf.DUMMYFUNCTION("""COMPUTED_VALUE"""),"121704522-1")</f>
        <v>121704522-1</v>
      </c>
      <c r="B5431" s="6" t="str">
        <f>IFERROR(__xludf.DUMMYFUNCTION("""COMPUTED_VALUE"""),"121704522 - APPROVED")</f>
        <v>121704522 - APPROVED</v>
      </c>
      <c r="C5431" s="6">
        <f>IFERROR(__xludf.DUMMYFUNCTION("""COMPUTED_VALUE"""),1.0)</f>
        <v>1</v>
      </c>
      <c r="D5431" s="6" t="str">
        <f>IFERROR(__xludf.DUMMYFUNCTION("""COMPUTED_VALUE"""),"Q-10136-00")</f>
        <v>Q-10136-00</v>
      </c>
      <c r="E5431" s="6" t="str">
        <f>IFERROR(__xludf.DUMMYFUNCTION("""COMPUTED_VALUE"""),"TOTO - Kran T23BQ13N")</f>
        <v>TOTO - Kran T23BQ13N</v>
      </c>
      <c r="F5431" s="6">
        <f>IFERROR(__xludf.DUMMYFUNCTION("""COMPUTED_VALUE"""),2.0)</f>
        <v>2</v>
      </c>
      <c r="G5431" s="6" t="str">
        <f>IFERROR(__xludf.DUMMYFUNCTION("""COMPUTED_VALUE"""),"Pieces")</f>
        <v>Pieces</v>
      </c>
      <c r="H5431" s="6" t="str">
        <f>IFERROR(__xludf.DUMMYFUNCTION("""COMPUTED_VALUE"""),"IDR")</f>
        <v>IDR</v>
      </c>
      <c r="I5431" s="6">
        <f>IFERROR(__xludf.DUMMYFUNCTION("""COMPUTED_VALUE"""),475000.0)</f>
        <v>475000</v>
      </c>
      <c r="J5431" s="6">
        <f>IFERROR(__xludf.DUMMYFUNCTION("""COMPUTED_VALUE"""),950000.0)</f>
        <v>950000</v>
      </c>
      <c r="K5431" s="57">
        <f>IFERROR(__xludf.DUMMYFUNCTION("""COMPUTED_VALUE"""),46283.0)</f>
        <v>46283</v>
      </c>
      <c r="L5431" s="6" t="str">
        <f>IFERROR(__xludf.DUMMYFUNCTION("""COMPUTED_VALUE"""),"FIP General")</f>
        <v>FIP General</v>
      </c>
      <c r="M5431" s="6" t="str">
        <f>IFERROR(__xludf.DUMMYFUNCTION("""COMPUTED_VALUE"""),"Mochammad Fadhillah Hakim,")</f>
        <v>Mochammad Fadhillah Hakim,</v>
      </c>
      <c r="N5431" s="6" t="str">
        <f>IFERROR(__xludf.DUMMYFUNCTION("""COMPUTED_VALUE"""),"FIP Engineering")</f>
        <v>FIP Engineering</v>
      </c>
      <c r="O5431" s="6" t="str">
        <f>IFERROR(__xludf.DUMMYFUNCTION("""COMPUTED_VALUE"""),"FIP-DOM-ENG-51502-0000000-INA-000000")</f>
        <v>FIP-DOM-ENG-51502-0000000-INA-000000</v>
      </c>
      <c r="P5431" s="6" t="str">
        <f>IFERROR(__xludf.DUMMYFUNCTION("""COMPUTED_VALUE"""),"PO Open")</f>
        <v>PO Open</v>
      </c>
      <c r="Q5431" s="6" t="str">
        <f>IFERROR(__xludf.DUMMYFUNCTION("""COMPUTED_VALUE"""),"GL2609436")</f>
        <v>GL2609436</v>
      </c>
      <c r="R5431" s="57">
        <f>IFERROR(__xludf.DUMMYFUNCTION("""COMPUTED_VALUE"""),46247.0)</f>
        <v>46247</v>
      </c>
      <c r="S5431" s="57">
        <f>IFERROR(__xludf.DUMMYFUNCTION("""COMPUTED_VALUE"""),46254.0)</f>
        <v>46254</v>
      </c>
      <c r="T5431" s="57">
        <f>IFERROR(__xludf.DUMMYFUNCTION("""COMPUTED_VALUE"""),46305.0)</f>
        <v>46305</v>
      </c>
    </row>
    <row r="5432">
      <c r="A5432" s="6" t="str">
        <f>IFERROR(__xludf.DUMMYFUNCTION("""COMPUTED_VALUE"""),"121704523-1")</f>
        <v>121704523-1</v>
      </c>
      <c r="B5432" s="6" t="str">
        <f>IFERROR(__xludf.DUMMYFUNCTION("""COMPUTED_VALUE"""),"121704523 - APPROVED")</f>
        <v>121704523 - APPROVED</v>
      </c>
      <c r="C5432" s="6">
        <f>IFERROR(__xludf.DUMMYFUNCTION("""COMPUTED_VALUE"""),1.0)</f>
        <v>1</v>
      </c>
      <c r="D5432" s="6" t="str">
        <f>IFERROR(__xludf.DUMMYFUNCTION("""COMPUTED_VALUE"""),"P-13370-00")</f>
        <v>P-13370-00</v>
      </c>
      <c r="E5432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F5432" s="6">
        <f>IFERROR(__xludf.DUMMYFUNCTION("""COMPUTED_VALUE"""),3.0)</f>
        <v>3</v>
      </c>
      <c r="G5432" s="6" t="str">
        <f>IFERROR(__xludf.DUMMYFUNCTION("""COMPUTED_VALUE"""),"Unit")</f>
        <v>Unit</v>
      </c>
      <c r="H5432" s="6" t="str">
        <f>IFERROR(__xludf.DUMMYFUNCTION("""COMPUTED_VALUE"""),"IDR")</f>
        <v>IDR</v>
      </c>
      <c r="I5432" s="6">
        <f>IFERROR(__xludf.DUMMYFUNCTION("""COMPUTED_VALUE"""),4176900.0)</f>
        <v>4176900</v>
      </c>
      <c r="J5432" s="6">
        <f>IFERROR(__xludf.DUMMYFUNCTION("""COMPUTED_VALUE"""),1.25307E7)</f>
        <v>12530700</v>
      </c>
      <c r="K5432" s="57">
        <f>IFERROR(__xludf.DUMMYFUNCTION("""COMPUTED_VALUE"""),46283.0)</f>
        <v>46283</v>
      </c>
      <c r="L5432" s="6" t="str">
        <f>IFERROR(__xludf.DUMMYFUNCTION("""COMPUTED_VALUE"""),"FIP Engineering")</f>
        <v>FIP Engineering</v>
      </c>
      <c r="M5432" s="6" t="str">
        <f>IFERROR(__xludf.DUMMYFUNCTION("""COMPUTED_VALUE"""),"Mochammad Fadhillah Hakim,")</f>
        <v>Mochammad Fadhillah Hakim,</v>
      </c>
      <c r="N5432" s="6" t="str">
        <f>IFERROR(__xludf.DUMMYFUNCTION("""COMPUTED_VALUE"""),"FIP Engineering")</f>
        <v>FIP Engineering</v>
      </c>
      <c r="O5432" s="6" t="str">
        <f>IFERROR(__xludf.DUMMYFUNCTION("""COMPUTED_VALUE"""),"FIP-DOM-000-11304-OS00001-INA-000000")</f>
        <v>FIP-DOM-000-11304-OS00001-INA-000000</v>
      </c>
      <c r="P5432" s="6" t="str">
        <f>IFERROR(__xludf.DUMMYFUNCTION("""COMPUTED_VALUE"""),"PO Open")</f>
        <v>PO Open</v>
      </c>
      <c r="Q5432" s="6" t="str">
        <f>IFERROR(__xludf.DUMMYFUNCTION("""COMPUTED_VALUE"""),"GL2609427")</f>
        <v>GL2609427</v>
      </c>
      <c r="R5432" s="57">
        <f>IFERROR(__xludf.DUMMYFUNCTION("""COMPUTED_VALUE"""),46247.0)</f>
        <v>46247</v>
      </c>
      <c r="S5432" s="57">
        <f>IFERROR(__xludf.DUMMYFUNCTION("""COMPUTED_VALUE"""),46254.0)</f>
        <v>46254</v>
      </c>
      <c r="T5432" s="57">
        <f>IFERROR(__xludf.DUMMYFUNCTION("""COMPUTED_VALUE"""),46315.0)</f>
        <v>46315</v>
      </c>
    </row>
    <row r="5433">
      <c r="A5433" s="6" t="str">
        <f>IFERROR(__xludf.DUMMYFUNCTION("""COMPUTED_VALUE"""),"121704526-1")</f>
        <v>121704526-1</v>
      </c>
      <c r="B5433" s="6" t="str">
        <f>IFERROR(__xludf.DUMMYFUNCTION("""COMPUTED_VALUE"""),"121704526 - APPROVED")</f>
        <v>121704526 - APPROVED</v>
      </c>
      <c r="C5433" s="6">
        <f>IFERROR(__xludf.DUMMYFUNCTION("""COMPUTED_VALUE"""),1.0)</f>
        <v>1</v>
      </c>
      <c r="D5433" s="6" t="str">
        <f>IFERROR(__xludf.DUMMYFUNCTION("""COMPUTED_VALUE"""),"O-19911-00")</f>
        <v>O-19911-00</v>
      </c>
      <c r="E5433" s="6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F5433" s="6">
        <f>IFERROR(__xludf.DUMMYFUNCTION("""COMPUTED_VALUE"""),1.0)</f>
        <v>1</v>
      </c>
      <c r="G5433" s="6" t="str">
        <f>IFERROR(__xludf.DUMMYFUNCTION("""COMPUTED_VALUE"""),"Unit")</f>
        <v>Unit</v>
      </c>
      <c r="H5433" s="6" t="str">
        <f>IFERROR(__xludf.DUMMYFUNCTION("""COMPUTED_VALUE"""),"IDR")</f>
        <v>IDR</v>
      </c>
      <c r="I5433" s="6">
        <f>IFERROR(__xludf.DUMMYFUNCTION("""COMPUTED_VALUE"""),7500000.0)</f>
        <v>7500000</v>
      </c>
      <c r="J5433" s="6">
        <f>IFERROR(__xludf.DUMMYFUNCTION("""COMPUTED_VALUE"""),7500000.0)</f>
        <v>7500000</v>
      </c>
      <c r="K5433" s="57">
        <f>IFERROR(__xludf.DUMMYFUNCTION("""COMPUTED_VALUE"""),46283.0)</f>
        <v>46283</v>
      </c>
      <c r="L5433" s="6" t="str">
        <f>IFERROR(__xludf.DUMMYFUNCTION("""COMPUTED_VALUE"""),"FIP Engineering")</f>
        <v>FIP Engineering</v>
      </c>
      <c r="M5433" s="6" t="str">
        <f>IFERROR(__xludf.DUMMYFUNCTION("""COMPUTED_VALUE"""),"Mochammad Fadhillah Hakim,")</f>
        <v>Mochammad Fadhillah Hakim,</v>
      </c>
      <c r="N5433" s="6" t="str">
        <f>IFERROR(__xludf.DUMMYFUNCTION("""COMPUTED_VALUE"""),"FIP Engineering")</f>
        <v>FIP Engineering</v>
      </c>
      <c r="O5433" s="6" t="str">
        <f>IFERROR(__xludf.DUMMYFUNCTION("""COMPUTED_VALUE"""),"FIP-DOM-000-11304-OS00001-INA-000000")</f>
        <v>FIP-DOM-000-11304-OS00001-INA-000000</v>
      </c>
      <c r="P5433" s="6" t="str">
        <f>IFERROR(__xludf.DUMMYFUNCTION("""COMPUTED_VALUE"""),"PO Open")</f>
        <v>PO Open</v>
      </c>
      <c r="Q5433" s="6" t="str">
        <f>IFERROR(__xludf.DUMMYFUNCTION("""COMPUTED_VALUE"""),"GL2609018")</f>
        <v>GL2609018</v>
      </c>
      <c r="R5433" s="57">
        <f>IFERROR(__xludf.DUMMYFUNCTION("""COMPUTED_VALUE"""),46247.0)</f>
        <v>46247</v>
      </c>
      <c r="S5433" s="57">
        <f>IFERROR(__xludf.DUMMYFUNCTION("""COMPUTED_VALUE"""),46254.0)</f>
        <v>46254</v>
      </c>
      <c r="T5433" s="57">
        <f>IFERROR(__xludf.DUMMYFUNCTION("""COMPUTED_VALUE"""),46305.0)</f>
        <v>46305</v>
      </c>
    </row>
    <row r="5434">
      <c r="A5434" s="6" t="str">
        <f>IFERROR(__xludf.DUMMYFUNCTION("""COMPUTED_VALUE"""),"121704527-1")</f>
        <v>121704527-1</v>
      </c>
      <c r="B5434" s="6" t="str">
        <f>IFERROR(__xludf.DUMMYFUNCTION("""COMPUTED_VALUE"""),"121704527 - APPROVED")</f>
        <v>121704527 - APPROVED</v>
      </c>
      <c r="C5434" s="6">
        <f>IFERROR(__xludf.DUMMYFUNCTION("""COMPUTED_VALUE"""),1.0)</f>
        <v>1</v>
      </c>
      <c r="D5434" s="6" t="str">
        <f>IFERROR(__xludf.DUMMYFUNCTION("""COMPUTED_VALUE"""),"P-51894-00")</f>
        <v>P-51894-00</v>
      </c>
      <c r="E5434" s="6" t="str">
        <f>IFERROR(__xludf.DUMMYFUNCTION("""COMPUTED_VALUE"""),"General - Lampu TL LED Bright Boost 18 W; Philips; -; 1 unt")</f>
        <v>General - Lampu TL LED Bright Boost 18 W; Philips; -; 1 unt</v>
      </c>
      <c r="F5434" s="6">
        <f>IFERROR(__xludf.DUMMYFUNCTION("""COMPUTED_VALUE"""),5.0)</f>
        <v>5</v>
      </c>
      <c r="G5434" s="6" t="str">
        <f>IFERROR(__xludf.DUMMYFUNCTION("""COMPUTED_VALUE"""),"Pieces")</f>
        <v>Pieces</v>
      </c>
      <c r="H5434" s="6" t="str">
        <f>IFERROR(__xludf.DUMMYFUNCTION("""COMPUTED_VALUE"""),"IDR")</f>
        <v>IDR</v>
      </c>
      <c r="I5434" s="6">
        <f>IFERROR(__xludf.DUMMYFUNCTION("""COMPUTED_VALUE"""),35000.0)</f>
        <v>35000</v>
      </c>
      <c r="J5434" s="6">
        <f>IFERROR(__xludf.DUMMYFUNCTION("""COMPUTED_VALUE"""),175000.0)</f>
        <v>175000</v>
      </c>
      <c r="K5434" s="57">
        <f>IFERROR(__xludf.DUMMYFUNCTION("""COMPUTED_VALUE"""),46283.0)</f>
        <v>46283</v>
      </c>
      <c r="L5434" s="6" t="str">
        <f>IFERROR(__xludf.DUMMYFUNCTION("""COMPUTED_VALUE"""),"FIP Engineering")</f>
        <v>FIP Engineering</v>
      </c>
      <c r="M5434" s="6" t="str">
        <f>IFERROR(__xludf.DUMMYFUNCTION("""COMPUTED_VALUE"""),"Mochammad Fadhillah Hakim,")</f>
        <v>Mochammad Fadhillah Hakim,</v>
      </c>
      <c r="N5434" s="6" t="str">
        <f>IFERROR(__xludf.DUMMYFUNCTION("""COMPUTED_VALUE"""),"FIP Engineering")</f>
        <v>FIP Engineering</v>
      </c>
      <c r="O5434" s="6" t="str">
        <f>IFERROR(__xludf.DUMMYFUNCTION("""COMPUTED_VALUE"""),"FIP-DOM-000-11304-OS00001-INA-000000")</f>
        <v>FIP-DOM-000-11304-OS00001-INA-000000</v>
      </c>
      <c r="P5434" s="6" t="str">
        <f>IFERROR(__xludf.DUMMYFUNCTION("""COMPUTED_VALUE"""),"PR Open")</f>
        <v>PR Open</v>
      </c>
      <c r="Q5434" s="6"/>
      <c r="R5434" s="57">
        <f>IFERROR(__xludf.DUMMYFUNCTION("""COMPUTED_VALUE"""),46247.0)</f>
        <v>46247</v>
      </c>
      <c r="S5434" s="57">
        <f>IFERROR(__xludf.DUMMYFUNCTION("""COMPUTED_VALUE"""),46274.0)</f>
        <v>46274</v>
      </c>
      <c r="T5434" s="6"/>
    </row>
    <row r="5435">
      <c r="A5435" s="6" t="str">
        <f>IFERROR(__xludf.DUMMYFUNCTION("""COMPUTED_VALUE"""),"121704528-1")</f>
        <v>121704528-1</v>
      </c>
      <c r="B5435" s="6" t="str">
        <f>IFERROR(__xludf.DUMMYFUNCTION("""COMPUTED_VALUE"""),"121704528 - APPROVED")</f>
        <v>121704528 - APPROVED</v>
      </c>
      <c r="C5435" s="6">
        <f>IFERROR(__xludf.DUMMYFUNCTION("""COMPUTED_VALUE"""),1.0)</f>
        <v>1</v>
      </c>
      <c r="D5435" s="6" t="str">
        <f>IFERROR(__xludf.DUMMYFUNCTION("""COMPUTED_VALUE"""),"O-20918-00")</f>
        <v>O-20918-00</v>
      </c>
      <c r="E5435" s="6" t="str">
        <f>IFERROR(__xludf.DUMMYFUNCTION("""COMPUTED_VALUE"""),"cRABS Z064CR - Glove Port Pom White Uk: 227x310x15.25mm; Custom/Lokal; -; 1 Pc")</f>
        <v>cRABS Z064CR - Glove Port Pom White Uk: 227x310x15.25mm; Custom/Lokal; -; 1 Pc</v>
      </c>
      <c r="F5435" s="6">
        <f>IFERROR(__xludf.DUMMYFUNCTION("""COMPUTED_VALUE"""),2.0)</f>
        <v>2</v>
      </c>
      <c r="G5435" s="6" t="str">
        <f>IFERROR(__xludf.DUMMYFUNCTION("""COMPUTED_VALUE"""),"Pieces")</f>
        <v>Pieces</v>
      </c>
      <c r="H5435" s="6" t="str">
        <f>IFERROR(__xludf.DUMMYFUNCTION("""COMPUTED_VALUE"""),"IDR")</f>
        <v>IDR</v>
      </c>
      <c r="I5435" s="6">
        <f>IFERROR(__xludf.DUMMYFUNCTION("""COMPUTED_VALUE"""),4000000.0)</f>
        <v>4000000</v>
      </c>
      <c r="J5435" s="6">
        <f>IFERROR(__xludf.DUMMYFUNCTION("""COMPUTED_VALUE"""),8000000.0)</f>
        <v>8000000</v>
      </c>
      <c r="K5435" s="57">
        <f>IFERROR(__xludf.DUMMYFUNCTION("""COMPUTED_VALUE"""),46283.0)</f>
        <v>46283</v>
      </c>
      <c r="L5435" s="6" t="str">
        <f>IFERROR(__xludf.DUMMYFUNCTION("""COMPUTED_VALUE"""),"FIP Engineering")</f>
        <v>FIP Engineering</v>
      </c>
      <c r="M5435" s="6" t="str">
        <f>IFERROR(__xludf.DUMMYFUNCTION("""COMPUTED_VALUE"""),"Mochammad Fadhillah Hakim,")</f>
        <v>Mochammad Fadhillah Hakim,</v>
      </c>
      <c r="N5435" s="6" t="str">
        <f>IFERROR(__xludf.DUMMYFUNCTION("""COMPUTED_VALUE"""),"FIP Engineering")</f>
        <v>FIP Engineering</v>
      </c>
      <c r="O5435" s="6" t="str">
        <f>IFERROR(__xludf.DUMMYFUNCTION("""COMPUTED_VALUE"""),"FIP-DOM-000-11304-OS00001-INA-000000")</f>
        <v>FIP-DOM-000-11304-OS00001-INA-000000</v>
      </c>
      <c r="P5435" s="6" t="str">
        <f>IFERROR(__xludf.DUMMYFUNCTION("""COMPUTED_VALUE"""),"PR Open")</f>
        <v>PR Open</v>
      </c>
      <c r="Q5435" s="6"/>
      <c r="R5435" s="57">
        <f>IFERROR(__xludf.DUMMYFUNCTION("""COMPUTED_VALUE"""),46247.0)</f>
        <v>46247</v>
      </c>
      <c r="S5435" s="57">
        <f>IFERROR(__xludf.DUMMYFUNCTION("""COMPUTED_VALUE"""),46254.0)</f>
        <v>46254</v>
      </c>
      <c r="T5435" s="6"/>
    </row>
    <row r="5436">
      <c r="A5436" s="6" t="str">
        <f>IFERROR(__xludf.DUMMYFUNCTION("""COMPUTED_VALUE"""),"121704529-1")</f>
        <v>121704529-1</v>
      </c>
      <c r="B5436" s="6" t="str">
        <f>IFERROR(__xludf.DUMMYFUNCTION("""COMPUTED_VALUE"""),"121704529 - APPROVED")</f>
        <v>121704529 - APPROVED</v>
      </c>
      <c r="C5436" s="6">
        <f>IFERROR(__xludf.DUMMYFUNCTION("""COMPUTED_VALUE"""),1.0)</f>
        <v>1</v>
      </c>
      <c r="D5436" s="6" t="str">
        <f>IFERROR(__xludf.DUMMYFUNCTION("""COMPUTED_VALUE"""),"O-15619-00")</f>
        <v>O-15619-00</v>
      </c>
      <c r="E5436" s="6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F5436" s="6">
        <f>IFERROR(__xludf.DUMMYFUNCTION("""COMPUTED_VALUE"""),1.0)</f>
        <v>1</v>
      </c>
      <c r="G5436" s="6" t="str">
        <f>IFERROR(__xludf.DUMMYFUNCTION("""COMPUTED_VALUE"""),"Unit")</f>
        <v>Unit</v>
      </c>
      <c r="H5436" s="6" t="str">
        <f>IFERROR(__xludf.DUMMYFUNCTION("""COMPUTED_VALUE"""),"IDR")</f>
        <v>IDR</v>
      </c>
      <c r="I5436" s="6">
        <f>IFERROR(__xludf.DUMMYFUNCTION("""COMPUTED_VALUE"""),2390000.0)</f>
        <v>2390000</v>
      </c>
      <c r="J5436" s="6">
        <f>IFERROR(__xludf.DUMMYFUNCTION("""COMPUTED_VALUE"""),2390000.0)</f>
        <v>2390000</v>
      </c>
      <c r="K5436" s="57">
        <f>IFERROR(__xludf.DUMMYFUNCTION("""COMPUTED_VALUE"""),46283.0)</f>
        <v>46283</v>
      </c>
      <c r="L5436" s="6" t="str">
        <f>IFERROR(__xludf.DUMMYFUNCTION("""COMPUTED_VALUE"""),"FIP Engineering")</f>
        <v>FIP Engineering</v>
      </c>
      <c r="M5436" s="6" t="str">
        <f>IFERROR(__xludf.DUMMYFUNCTION("""COMPUTED_VALUE"""),"Mochammad Fadhillah Hakim,")</f>
        <v>Mochammad Fadhillah Hakim,</v>
      </c>
      <c r="N5436" s="6" t="str">
        <f>IFERROR(__xludf.DUMMYFUNCTION("""COMPUTED_VALUE"""),"FIP Engineering")</f>
        <v>FIP Engineering</v>
      </c>
      <c r="O5436" s="6" t="str">
        <f>IFERROR(__xludf.DUMMYFUNCTION("""COMPUTED_VALUE"""),"FIP-DOM-000-11304-OS00001-INA-000000")</f>
        <v>FIP-DOM-000-11304-OS00001-INA-000000</v>
      </c>
      <c r="P5436" s="6" t="str">
        <f>IFERROR(__xludf.DUMMYFUNCTION("""COMPUTED_VALUE"""),"PR Open")</f>
        <v>PR Open</v>
      </c>
      <c r="Q5436" s="6"/>
      <c r="R5436" s="57">
        <f>IFERROR(__xludf.DUMMYFUNCTION("""COMPUTED_VALUE"""),46247.0)</f>
        <v>46247</v>
      </c>
      <c r="S5436" s="57">
        <f>IFERROR(__xludf.DUMMYFUNCTION("""COMPUTED_VALUE"""),46254.0)</f>
        <v>46254</v>
      </c>
      <c r="T5436" s="6"/>
    </row>
    <row r="5437">
      <c r="A5437" s="6" t="str">
        <f>IFERROR(__xludf.DUMMYFUNCTION("""COMPUTED_VALUE"""),"121704531-1")</f>
        <v>121704531-1</v>
      </c>
      <c r="B5437" s="6" t="str">
        <f>IFERROR(__xludf.DUMMYFUNCTION("""COMPUTED_VALUE"""),"121704531 - APPROVED")</f>
        <v>121704531 - APPROVED</v>
      </c>
      <c r="C5437" s="6">
        <f>IFERROR(__xludf.DUMMYFUNCTION("""COMPUTED_VALUE"""),1.0)</f>
        <v>1</v>
      </c>
      <c r="D5437" s="6" t="str">
        <f>IFERROR(__xludf.DUMMYFUNCTION("""COMPUTED_VALUE"""),"P-13429-00")</f>
        <v>P-13429-00</v>
      </c>
      <c r="E5437" s="6" t="str">
        <f>IFERROR(__xludf.DUMMYFUNCTION("""COMPUTED_VALUE"""),"General - Cable Ducting 25mm x 40mm; Lokal; -; 1 pcs")</f>
        <v>General - Cable Ducting 25mm x 40mm; Lokal; -; 1 pcs</v>
      </c>
      <c r="F5437" s="6">
        <f>IFERROR(__xludf.DUMMYFUNCTION("""COMPUTED_VALUE"""),6.0)</f>
        <v>6</v>
      </c>
      <c r="G5437" s="6" t="str">
        <f>IFERROR(__xludf.DUMMYFUNCTION("""COMPUTED_VALUE"""),"Pieces")</f>
        <v>Pieces</v>
      </c>
      <c r="H5437" s="6" t="str">
        <f>IFERROR(__xludf.DUMMYFUNCTION("""COMPUTED_VALUE"""),"IDR")</f>
        <v>IDR</v>
      </c>
      <c r="I5437" s="6">
        <f>IFERROR(__xludf.DUMMYFUNCTION("""COMPUTED_VALUE"""),40000.0)</f>
        <v>40000</v>
      </c>
      <c r="J5437" s="6">
        <f>IFERROR(__xludf.DUMMYFUNCTION("""COMPUTED_VALUE"""),240000.0)</f>
        <v>240000</v>
      </c>
      <c r="K5437" s="57">
        <f>IFERROR(__xludf.DUMMYFUNCTION("""COMPUTED_VALUE"""),46283.0)</f>
        <v>46283</v>
      </c>
      <c r="L5437" s="6" t="str">
        <f>IFERROR(__xludf.DUMMYFUNCTION("""COMPUTED_VALUE"""),"FIP General")</f>
        <v>FIP General</v>
      </c>
      <c r="M5437" s="6" t="str">
        <f>IFERROR(__xludf.DUMMYFUNCTION("""COMPUTED_VALUE"""),"Mochammad Fadhillah Hakim,")</f>
        <v>Mochammad Fadhillah Hakim,</v>
      </c>
      <c r="N5437" s="6" t="str">
        <f>IFERROR(__xludf.DUMMYFUNCTION("""COMPUTED_VALUE"""),"FIP Engineering")</f>
        <v>FIP Engineering</v>
      </c>
      <c r="O5437" s="6" t="str">
        <f>IFERROR(__xludf.DUMMYFUNCTION("""COMPUTED_VALUE"""),"FIP-DOM-ENG-51502-0000000-INA-000000")</f>
        <v>FIP-DOM-ENG-51502-0000000-INA-000000</v>
      </c>
      <c r="P5437" s="6" t="str">
        <f>IFERROR(__xludf.DUMMYFUNCTION("""COMPUTED_VALUE"""),"PO Open")</f>
        <v>PO Open</v>
      </c>
      <c r="Q5437" s="6" t="str">
        <f>IFERROR(__xludf.DUMMYFUNCTION("""COMPUTED_VALUE"""),"GL2609428")</f>
        <v>GL2609428</v>
      </c>
      <c r="R5437" s="57">
        <f>IFERROR(__xludf.DUMMYFUNCTION("""COMPUTED_VALUE"""),46247.0)</f>
        <v>46247</v>
      </c>
      <c r="S5437" s="57">
        <f>IFERROR(__xludf.DUMMYFUNCTION("""COMPUTED_VALUE"""),46254.0)</f>
        <v>46254</v>
      </c>
      <c r="T5437" s="57">
        <f>IFERROR(__xludf.DUMMYFUNCTION("""COMPUTED_VALUE"""),46300.0)</f>
        <v>46300</v>
      </c>
    </row>
    <row r="5438">
      <c r="A5438" s="6" t="str">
        <f>IFERROR(__xludf.DUMMYFUNCTION("""COMPUTED_VALUE"""),"121704531-2")</f>
        <v>121704531-2</v>
      </c>
      <c r="B5438" s="6" t="str">
        <f>IFERROR(__xludf.DUMMYFUNCTION("""COMPUTED_VALUE"""),"121704531 - APPROVED")</f>
        <v>121704531 - APPROVED</v>
      </c>
      <c r="C5438" s="6">
        <f>IFERROR(__xludf.DUMMYFUNCTION("""COMPUTED_VALUE"""),2.0)</f>
        <v>2</v>
      </c>
      <c r="D5438" s="6" t="str">
        <f>IFERROR(__xludf.DUMMYFUNCTION("""COMPUTED_VALUE"""),"P-15437-00")</f>
        <v>P-15437-00</v>
      </c>
      <c r="E5438" s="6" t="str">
        <f>IFERROR(__xludf.DUMMYFUNCTION("""COMPUTED_VALUE"""),"CABLE SPIRAL WRAPPING, TYPE KS24, BRAND KSS; ; ;")</f>
        <v>CABLE SPIRAL WRAPPING, TYPE KS24, BRAND KSS; ; ;</v>
      </c>
      <c r="F5438" s="6">
        <f>IFERROR(__xludf.DUMMYFUNCTION("""COMPUTED_VALUE"""),3.0)</f>
        <v>3</v>
      </c>
      <c r="G5438" s="6" t="str">
        <f>IFERROR(__xludf.DUMMYFUNCTION("""COMPUTED_VALUE"""),"Pack")</f>
        <v>Pack</v>
      </c>
      <c r="H5438" s="6" t="str">
        <f>IFERROR(__xludf.DUMMYFUNCTION("""COMPUTED_VALUE"""),"IDR")</f>
        <v>IDR</v>
      </c>
      <c r="I5438" s="6">
        <f>IFERROR(__xludf.DUMMYFUNCTION("""COMPUTED_VALUE"""),165000.0)</f>
        <v>165000</v>
      </c>
      <c r="J5438" s="6">
        <f>IFERROR(__xludf.DUMMYFUNCTION("""COMPUTED_VALUE"""),495000.0)</f>
        <v>495000</v>
      </c>
      <c r="K5438" s="57">
        <f>IFERROR(__xludf.DUMMYFUNCTION("""COMPUTED_VALUE"""),46283.0)</f>
        <v>46283</v>
      </c>
      <c r="L5438" s="6" t="str">
        <f>IFERROR(__xludf.DUMMYFUNCTION("""COMPUTED_VALUE"""),"FIP Engineering")</f>
        <v>FIP Engineering</v>
      </c>
      <c r="M5438" s="6" t="str">
        <f>IFERROR(__xludf.DUMMYFUNCTION("""COMPUTED_VALUE"""),"Mochammad Fadhillah Hakim,")</f>
        <v>Mochammad Fadhillah Hakim,</v>
      </c>
      <c r="N5438" s="6" t="str">
        <f>IFERROR(__xludf.DUMMYFUNCTION("""COMPUTED_VALUE"""),"FIP Engineering")</f>
        <v>FIP Engineering</v>
      </c>
      <c r="O5438" s="6" t="str">
        <f>IFERROR(__xludf.DUMMYFUNCTION("""COMPUTED_VALUE"""),"FIP-DOM-000-11304-OS00001-INA-000000")</f>
        <v>FIP-DOM-000-11304-OS00001-INA-000000</v>
      </c>
      <c r="P5438" s="6" t="str">
        <f>IFERROR(__xludf.DUMMYFUNCTION("""COMPUTED_VALUE"""),"PO Open")</f>
        <v>PO Open</v>
      </c>
      <c r="Q5438" s="6" t="str">
        <f>IFERROR(__xludf.DUMMYFUNCTION("""COMPUTED_VALUE"""),"GL2609428")</f>
        <v>GL2609428</v>
      </c>
      <c r="R5438" s="57">
        <f>IFERROR(__xludf.DUMMYFUNCTION("""COMPUTED_VALUE"""),46247.0)</f>
        <v>46247</v>
      </c>
      <c r="S5438" s="57">
        <f>IFERROR(__xludf.DUMMYFUNCTION("""COMPUTED_VALUE"""),46254.0)</f>
        <v>46254</v>
      </c>
      <c r="T5438" s="57">
        <f>IFERROR(__xludf.DUMMYFUNCTION("""COMPUTED_VALUE"""),46300.0)</f>
        <v>46300</v>
      </c>
    </row>
    <row r="5439">
      <c r="A5439" s="6" t="str">
        <f>IFERROR(__xludf.DUMMYFUNCTION("""COMPUTED_VALUE"""),"121704532-1")</f>
        <v>121704532-1</v>
      </c>
      <c r="B5439" s="6" t="str">
        <f>IFERROR(__xludf.DUMMYFUNCTION("""COMPUTED_VALUE"""),"121704532 - APPROVED")</f>
        <v>121704532 - APPROVED</v>
      </c>
      <c r="C5439" s="6">
        <f>IFERROR(__xludf.DUMMYFUNCTION("""COMPUTED_VALUE"""),1.0)</f>
        <v>1</v>
      </c>
      <c r="D5439" s="6" t="str">
        <f>IFERROR(__xludf.DUMMYFUNCTION("""COMPUTED_VALUE"""),"P-18066-00")</f>
        <v>P-18066-00</v>
      </c>
      <c r="E5439" s="6" t="str">
        <f>IFERROR(__xludf.DUMMYFUNCTION("""COMPUTED_VALUE"""),"General - Hepa Filter H13 (99,95%) Size: 610 x 610 x 90; Camfil; -; 1 Pc")</f>
        <v>General - Hepa Filter H13 (99,95%) Size: 610 x 610 x 90; Camfil; -; 1 Pc</v>
      </c>
      <c r="F5439" s="6">
        <f>IFERROR(__xludf.DUMMYFUNCTION("""COMPUTED_VALUE"""),2.0)</f>
        <v>2</v>
      </c>
      <c r="G5439" s="6" t="str">
        <f>IFERROR(__xludf.DUMMYFUNCTION("""COMPUTED_VALUE"""),"Pieces")</f>
        <v>Pieces</v>
      </c>
      <c r="H5439" s="6" t="str">
        <f>IFERROR(__xludf.DUMMYFUNCTION("""COMPUTED_VALUE"""),"IDR")</f>
        <v>IDR</v>
      </c>
      <c r="I5439" s="6">
        <f>IFERROR(__xludf.DUMMYFUNCTION("""COMPUTED_VALUE"""),2200000.0)</f>
        <v>2200000</v>
      </c>
      <c r="J5439" s="6">
        <f>IFERROR(__xludf.DUMMYFUNCTION("""COMPUTED_VALUE"""),4400000.0)</f>
        <v>4400000</v>
      </c>
      <c r="K5439" s="57">
        <f>IFERROR(__xludf.DUMMYFUNCTION("""COMPUTED_VALUE"""),46283.0)</f>
        <v>46283</v>
      </c>
      <c r="L5439" s="6" t="str">
        <f>IFERROR(__xludf.DUMMYFUNCTION("""COMPUTED_VALUE"""),"FIP Engineering")</f>
        <v>FIP Engineering</v>
      </c>
      <c r="M5439" s="6" t="str">
        <f>IFERROR(__xludf.DUMMYFUNCTION("""COMPUTED_VALUE"""),"Mochammad Fadhillah Hakim,")</f>
        <v>Mochammad Fadhillah Hakim,</v>
      </c>
      <c r="N5439" s="6" t="str">
        <f>IFERROR(__xludf.DUMMYFUNCTION("""COMPUTED_VALUE"""),"FIP Engineering")</f>
        <v>FIP Engineering</v>
      </c>
      <c r="O5439" s="6" t="str">
        <f>IFERROR(__xludf.DUMMYFUNCTION("""COMPUTED_VALUE"""),"FIP-DOM-000-11304-OS00001-INA-000000")</f>
        <v>FIP-DOM-000-11304-OS00001-INA-000000</v>
      </c>
      <c r="P5439" s="6" t="str">
        <f>IFERROR(__xludf.DUMMYFUNCTION("""COMPUTED_VALUE"""),"PR Open")</f>
        <v>PR Open</v>
      </c>
      <c r="Q5439" s="6"/>
      <c r="R5439" s="57">
        <f>IFERROR(__xludf.DUMMYFUNCTION("""COMPUTED_VALUE"""),46247.0)</f>
        <v>46247</v>
      </c>
      <c r="S5439" s="57">
        <f>IFERROR(__xludf.DUMMYFUNCTION("""COMPUTED_VALUE"""),46254.0)</f>
        <v>46254</v>
      </c>
      <c r="T5439" s="6"/>
    </row>
    <row r="5440">
      <c r="A5440" s="6" t="str">
        <f>IFERROR(__xludf.DUMMYFUNCTION("""COMPUTED_VALUE"""),"121704533-1")</f>
        <v>121704533-1</v>
      </c>
      <c r="B5440" s="6" t="str">
        <f>IFERROR(__xludf.DUMMYFUNCTION("""COMPUTED_VALUE"""),"121704533 - APPROVED")</f>
        <v>121704533 - APPROVED</v>
      </c>
      <c r="C5440" s="6">
        <f>IFERROR(__xludf.DUMMYFUNCTION("""COMPUTED_VALUE"""),1.0)</f>
        <v>1</v>
      </c>
      <c r="D5440" s="6" t="str">
        <f>IFERROR(__xludf.DUMMYFUNCTION("""COMPUTED_VALUE"""),"O-16571-00")</f>
        <v>O-16571-00</v>
      </c>
      <c r="E5440" s="6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F5440" s="6">
        <f>IFERROR(__xludf.DUMMYFUNCTION("""COMPUTED_VALUE"""),2.0)</f>
        <v>2</v>
      </c>
      <c r="G5440" s="6" t="str">
        <f>IFERROR(__xludf.DUMMYFUNCTION("""COMPUTED_VALUE"""),"Pieces")</f>
        <v>Pieces</v>
      </c>
      <c r="H5440" s="6" t="str">
        <f>IFERROR(__xludf.DUMMYFUNCTION("""COMPUTED_VALUE"""),"IDR")</f>
        <v>IDR</v>
      </c>
      <c r="I5440" s="6">
        <f>IFERROR(__xludf.DUMMYFUNCTION("""COMPUTED_VALUE"""),1789208.0)</f>
        <v>1789208</v>
      </c>
      <c r="J5440" s="6">
        <f>IFERROR(__xludf.DUMMYFUNCTION("""COMPUTED_VALUE"""),3578417.0)</f>
        <v>3578417</v>
      </c>
      <c r="K5440" s="57">
        <f>IFERROR(__xludf.DUMMYFUNCTION("""COMPUTED_VALUE"""),46283.0)</f>
        <v>46283</v>
      </c>
      <c r="L5440" s="6" t="str">
        <f>IFERROR(__xludf.DUMMYFUNCTION("""COMPUTED_VALUE"""),"FIP Engineering")</f>
        <v>FIP Engineering</v>
      </c>
      <c r="M5440" s="6" t="str">
        <f>IFERROR(__xludf.DUMMYFUNCTION("""COMPUTED_VALUE"""),"Mochammad Fadhillah Hakim,")</f>
        <v>Mochammad Fadhillah Hakim,</v>
      </c>
      <c r="N5440" s="6" t="str">
        <f>IFERROR(__xludf.DUMMYFUNCTION("""COMPUTED_VALUE"""),"FIP Engineering")</f>
        <v>FIP Engineering</v>
      </c>
      <c r="O5440" s="6" t="str">
        <f>IFERROR(__xludf.DUMMYFUNCTION("""COMPUTED_VALUE"""),"FIP-DOM-000-11304-OS00001-INA-000000")</f>
        <v>FIP-DOM-000-11304-OS00001-INA-000000</v>
      </c>
      <c r="P5440" s="6" t="str">
        <f>IFERROR(__xludf.DUMMYFUNCTION("""COMPUTED_VALUE"""),"PR Open")</f>
        <v>PR Open</v>
      </c>
      <c r="Q5440" s="6"/>
      <c r="R5440" s="57">
        <f>IFERROR(__xludf.DUMMYFUNCTION("""COMPUTED_VALUE"""),46247.0)</f>
        <v>46247</v>
      </c>
      <c r="S5440" s="57">
        <f>IFERROR(__xludf.DUMMYFUNCTION("""COMPUTED_VALUE"""),46254.0)</f>
        <v>46254</v>
      </c>
      <c r="T5440" s="6"/>
    </row>
    <row r="5441">
      <c r="A5441" s="6" t="str">
        <f>IFERROR(__xludf.DUMMYFUNCTION("""COMPUTED_VALUE"""),"121704534-1")</f>
        <v>121704534-1</v>
      </c>
      <c r="B5441" s="6" t="str">
        <f>IFERROR(__xludf.DUMMYFUNCTION("""COMPUTED_VALUE"""),"121704534 - APPROVED")</f>
        <v>121704534 - APPROVED</v>
      </c>
      <c r="C5441" s="6">
        <f>IFERROR(__xludf.DUMMYFUNCTION("""COMPUTED_VALUE"""),1.0)</f>
        <v>1</v>
      </c>
      <c r="D5441" s="6" t="str">
        <f>IFERROR(__xludf.DUMMYFUNCTION("""COMPUTED_VALUE"""),"P-52709-00")</f>
        <v>P-52709-00</v>
      </c>
      <c r="E5441" s="6" t="str">
        <f>IFERROR(__xludf.DUMMYFUNCTION("""COMPUTED_VALUE"""),"General - Pressure Transmitter TPS30-G27AR2-00; Autonics; -; 1 pc")</f>
        <v>General - Pressure Transmitter TPS30-G27AR2-00; Autonics; -; 1 pc</v>
      </c>
      <c r="F5441" s="6">
        <f>IFERROR(__xludf.DUMMYFUNCTION("""COMPUTED_VALUE"""),1.0)</f>
        <v>1</v>
      </c>
      <c r="G5441" s="6" t="str">
        <f>IFERROR(__xludf.DUMMYFUNCTION("""COMPUTED_VALUE"""),"Pieces")</f>
        <v>Pieces</v>
      </c>
      <c r="H5441" s="6" t="str">
        <f>IFERROR(__xludf.DUMMYFUNCTION("""COMPUTED_VALUE"""),"IDR")</f>
        <v>IDR</v>
      </c>
      <c r="I5441" s="6">
        <f>IFERROR(__xludf.DUMMYFUNCTION("""COMPUTED_VALUE"""),1609300.0)</f>
        <v>1609300</v>
      </c>
      <c r="J5441" s="6">
        <f>IFERROR(__xludf.DUMMYFUNCTION("""COMPUTED_VALUE"""),1609300.0)</f>
        <v>1609300</v>
      </c>
      <c r="K5441" s="57">
        <f>IFERROR(__xludf.DUMMYFUNCTION("""COMPUTED_VALUE"""),46283.0)</f>
        <v>46283</v>
      </c>
      <c r="L5441" s="6" t="str">
        <f>IFERROR(__xludf.DUMMYFUNCTION("""COMPUTED_VALUE"""),"FIP Engineering")</f>
        <v>FIP Engineering</v>
      </c>
      <c r="M5441" s="6" t="str">
        <f>IFERROR(__xludf.DUMMYFUNCTION("""COMPUTED_VALUE"""),"Mochammad Fadhillah Hakim,")</f>
        <v>Mochammad Fadhillah Hakim,</v>
      </c>
      <c r="N5441" s="6" t="str">
        <f>IFERROR(__xludf.DUMMYFUNCTION("""COMPUTED_VALUE"""),"FIP Engineering")</f>
        <v>FIP Engineering</v>
      </c>
      <c r="O5441" s="6" t="str">
        <f>IFERROR(__xludf.DUMMYFUNCTION("""COMPUTED_VALUE"""),"FIP-DOM-000-11304-OS00001-INA-000000")</f>
        <v>FIP-DOM-000-11304-OS00001-INA-000000</v>
      </c>
      <c r="P5441" s="6" t="str">
        <f>IFERROR(__xludf.DUMMYFUNCTION("""COMPUTED_VALUE"""),"PR Open")</f>
        <v>PR Open</v>
      </c>
      <c r="Q5441" s="6"/>
      <c r="R5441" s="57">
        <f>IFERROR(__xludf.DUMMYFUNCTION("""COMPUTED_VALUE"""),46247.0)</f>
        <v>46247</v>
      </c>
      <c r="S5441" s="57">
        <f>IFERROR(__xludf.DUMMYFUNCTION("""COMPUTED_VALUE"""),46254.0)</f>
        <v>46254</v>
      </c>
      <c r="T5441" s="6"/>
    </row>
    <row r="5442">
      <c r="A5442" s="6" t="str">
        <f>IFERROR(__xludf.DUMMYFUNCTION("""COMPUTED_VALUE"""),"121704535-1")</f>
        <v>121704535-1</v>
      </c>
      <c r="B5442" s="6" t="str">
        <f>IFERROR(__xludf.DUMMYFUNCTION("""COMPUTED_VALUE"""),"121704535 - APPROVED")</f>
        <v>121704535 - APPROVED</v>
      </c>
      <c r="C5442" s="6">
        <f>IFERROR(__xludf.DUMMYFUNCTION("""COMPUTED_VALUE"""),1.0)</f>
        <v>1</v>
      </c>
      <c r="D5442" s="6" t="str">
        <f>IFERROR(__xludf.DUMMYFUNCTION("""COMPUTED_VALUE"""),"P-53259-00")</f>
        <v>P-53259-00</v>
      </c>
      <c r="E5442" s="6" t="str">
        <f>IFERROR(__xludf.DUMMYFUNCTION("""COMPUTED_VALUE"""),"UV Sensor PIN : 270264040; Hanovia; ;")</f>
        <v>UV Sensor PIN : 270264040; Hanovia; ;</v>
      </c>
      <c r="F5442" s="6">
        <f>IFERROR(__xludf.DUMMYFUNCTION("""COMPUTED_VALUE"""),1.0)</f>
        <v>1</v>
      </c>
      <c r="G5442" s="6" t="str">
        <f>IFERROR(__xludf.DUMMYFUNCTION("""COMPUTED_VALUE"""),"Unit")</f>
        <v>Unit</v>
      </c>
      <c r="H5442" s="6" t="str">
        <f>IFERROR(__xludf.DUMMYFUNCTION("""COMPUTED_VALUE"""),"IDR")</f>
        <v>IDR</v>
      </c>
      <c r="I5442" s="6">
        <f>IFERROR(__xludf.DUMMYFUNCTION("""COMPUTED_VALUE"""),1.836E7)</f>
        <v>18360000</v>
      </c>
      <c r="J5442" s="6">
        <f>IFERROR(__xludf.DUMMYFUNCTION("""COMPUTED_VALUE"""),1.836E7)</f>
        <v>18360000</v>
      </c>
      <c r="K5442" s="57">
        <f>IFERROR(__xludf.DUMMYFUNCTION("""COMPUTED_VALUE"""),46283.0)</f>
        <v>46283</v>
      </c>
      <c r="L5442" s="6" t="str">
        <f>IFERROR(__xludf.DUMMYFUNCTION("""COMPUTED_VALUE"""),"FIP Engineering")</f>
        <v>FIP Engineering</v>
      </c>
      <c r="M5442" s="6" t="str">
        <f>IFERROR(__xludf.DUMMYFUNCTION("""COMPUTED_VALUE"""),"Mochammad Fadhillah Hakim,")</f>
        <v>Mochammad Fadhillah Hakim,</v>
      </c>
      <c r="N5442" s="6" t="str">
        <f>IFERROR(__xludf.DUMMYFUNCTION("""COMPUTED_VALUE"""),"FIP Engineering")</f>
        <v>FIP Engineering</v>
      </c>
      <c r="O5442" s="6" t="str">
        <f>IFERROR(__xludf.DUMMYFUNCTION("""COMPUTED_VALUE"""),"FIP-DOM-000-11304-OS00001-INA-000000")</f>
        <v>FIP-DOM-000-11304-OS00001-INA-000000</v>
      </c>
      <c r="P5442" s="6" t="str">
        <f>IFERROR(__xludf.DUMMYFUNCTION("""COMPUTED_VALUE"""),"PR Open")</f>
        <v>PR Open</v>
      </c>
      <c r="Q5442" s="6"/>
      <c r="R5442" s="57">
        <f>IFERROR(__xludf.DUMMYFUNCTION("""COMPUTED_VALUE"""),46247.0)</f>
        <v>46247</v>
      </c>
      <c r="S5442" s="57">
        <f>IFERROR(__xludf.DUMMYFUNCTION("""COMPUTED_VALUE"""),46274.0)</f>
        <v>46274</v>
      </c>
      <c r="T5442" s="6"/>
    </row>
    <row r="5443">
      <c r="A5443" s="6" t="str">
        <f>IFERROR(__xludf.DUMMYFUNCTION("""COMPUTED_VALUE"""),"121704536-1")</f>
        <v>121704536-1</v>
      </c>
      <c r="B5443" s="6" t="str">
        <f>IFERROR(__xludf.DUMMYFUNCTION("""COMPUTED_VALUE"""),"121704536 - APPROVED")</f>
        <v>121704536 - APPROVED</v>
      </c>
      <c r="C5443" s="6">
        <f>IFERROR(__xludf.DUMMYFUNCTION("""COMPUTED_VALUE"""),1.0)</f>
        <v>1</v>
      </c>
      <c r="D5443" s="6" t="str">
        <f>IFERROR(__xludf.DUMMYFUNCTION("""COMPUTED_VALUE"""),"Q-10805-00")</f>
        <v>Q-10805-00</v>
      </c>
      <c r="E5443" s="6" t="str">
        <f>IFERROR(__xludf.DUMMYFUNCTION("""COMPUTED_VALUE"""),"Multipox MX-98-2K SB White;Propan;Type White;pack size per 20 kg pail")</f>
        <v>Multipox MX-98-2K SB White;Propan;Type White;pack size per 20 kg pail</v>
      </c>
      <c r="F5443" s="6">
        <f>IFERROR(__xludf.DUMMYFUNCTION("""COMPUTED_VALUE"""),1.0)</f>
        <v>1</v>
      </c>
      <c r="G5443" s="6" t="str">
        <f>IFERROR(__xludf.DUMMYFUNCTION("""COMPUTED_VALUE"""),"Pail")</f>
        <v>Pail</v>
      </c>
      <c r="H5443" s="6" t="str">
        <f>IFERROR(__xludf.DUMMYFUNCTION("""COMPUTED_VALUE"""),"IDR")</f>
        <v>IDR</v>
      </c>
      <c r="I5443" s="6">
        <f>IFERROR(__xludf.DUMMYFUNCTION("""COMPUTED_VALUE"""),1369369.0)</f>
        <v>1369369</v>
      </c>
      <c r="J5443" s="6">
        <f>IFERROR(__xludf.DUMMYFUNCTION("""COMPUTED_VALUE"""),1369369.0)</f>
        <v>1369369</v>
      </c>
      <c r="K5443" s="57">
        <f>IFERROR(__xludf.DUMMYFUNCTION("""COMPUTED_VALUE"""),46283.0)</f>
        <v>46283</v>
      </c>
      <c r="L5443" s="6" t="str">
        <f>IFERROR(__xludf.DUMMYFUNCTION("""COMPUTED_VALUE"""),"FIP Engineering")</f>
        <v>FIP Engineering</v>
      </c>
      <c r="M5443" s="6" t="str">
        <f>IFERROR(__xludf.DUMMYFUNCTION("""COMPUTED_VALUE"""),"Mochammad Fadhillah Hakim,")</f>
        <v>Mochammad Fadhillah Hakim,</v>
      </c>
      <c r="N5443" s="6" t="str">
        <f>IFERROR(__xludf.DUMMYFUNCTION("""COMPUTED_VALUE"""),"FIP Engineering")</f>
        <v>FIP Engineering</v>
      </c>
      <c r="O5443" s="6" t="str">
        <f>IFERROR(__xludf.DUMMYFUNCTION("""COMPUTED_VALUE"""),"FIP-DOM-000-11304-OS00001-INA-000000")</f>
        <v>FIP-DOM-000-11304-OS00001-INA-000000</v>
      </c>
      <c r="P5443" s="6" t="str">
        <f>IFERROR(__xludf.DUMMYFUNCTION("""COMPUTED_VALUE"""),"PO Open")</f>
        <v>PO Open</v>
      </c>
      <c r="Q5443" s="6" t="str">
        <f>IFERROR(__xludf.DUMMYFUNCTION("""COMPUTED_VALUE"""),"GL2609431")</f>
        <v>GL2609431</v>
      </c>
      <c r="R5443" s="57">
        <f>IFERROR(__xludf.DUMMYFUNCTION("""COMPUTED_VALUE"""),46247.0)</f>
        <v>46247</v>
      </c>
      <c r="S5443" s="57">
        <f>IFERROR(__xludf.DUMMYFUNCTION("""COMPUTED_VALUE"""),46254.0)</f>
        <v>46254</v>
      </c>
      <c r="T5443" s="57">
        <f>IFERROR(__xludf.DUMMYFUNCTION("""COMPUTED_VALUE"""),46305.0)</f>
        <v>46305</v>
      </c>
    </row>
    <row r="5444">
      <c r="A5444" s="6" t="str">
        <f>IFERROR(__xludf.DUMMYFUNCTION("""COMPUTED_VALUE"""),"121704536-2")</f>
        <v>121704536-2</v>
      </c>
      <c r="B5444" s="6" t="str">
        <f>IFERROR(__xludf.DUMMYFUNCTION("""COMPUTED_VALUE"""),"121704536 - APPROVED")</f>
        <v>121704536 - APPROVED</v>
      </c>
      <c r="C5444" s="6">
        <f>IFERROR(__xludf.DUMMYFUNCTION("""COMPUTED_VALUE"""),2.0)</f>
        <v>2</v>
      </c>
      <c r="D5444" s="6" t="str">
        <f>IFERROR(__xludf.DUMMYFUNCTION("""COMPUTED_VALUE"""),"Q-60328-00")</f>
        <v>Q-60328-00</v>
      </c>
      <c r="E5444" s="6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F5444" s="6">
        <f>IFERROR(__xludf.DUMMYFUNCTION("""COMPUTED_VALUE"""),4.0)</f>
        <v>4</v>
      </c>
      <c r="G5444" s="6" t="str">
        <f>IFERROR(__xludf.DUMMYFUNCTION("""COMPUTED_VALUE"""),"Pail")</f>
        <v>Pail</v>
      </c>
      <c r="H5444" s="6" t="str">
        <f>IFERROR(__xludf.DUMMYFUNCTION("""COMPUTED_VALUE"""),"IDR")</f>
        <v>IDR</v>
      </c>
      <c r="I5444" s="6">
        <f>IFERROR(__xludf.DUMMYFUNCTION("""COMPUTED_VALUE"""),1810000.0)</f>
        <v>1810000</v>
      </c>
      <c r="J5444" s="6">
        <f>IFERROR(__xludf.DUMMYFUNCTION("""COMPUTED_VALUE"""),7240000.0)</f>
        <v>7240000</v>
      </c>
      <c r="K5444" s="57">
        <f>IFERROR(__xludf.DUMMYFUNCTION("""COMPUTED_VALUE"""),46283.0)</f>
        <v>46283</v>
      </c>
      <c r="L5444" s="6" t="str">
        <f>IFERROR(__xludf.DUMMYFUNCTION("""COMPUTED_VALUE"""),"FIP General")</f>
        <v>FIP General</v>
      </c>
      <c r="M5444" s="6" t="str">
        <f>IFERROR(__xludf.DUMMYFUNCTION("""COMPUTED_VALUE"""),"Mochammad Fadhillah Hakim,")</f>
        <v>Mochammad Fadhillah Hakim,</v>
      </c>
      <c r="N5444" s="6" t="str">
        <f>IFERROR(__xludf.DUMMYFUNCTION("""COMPUTED_VALUE"""),"FIP Engineering")</f>
        <v>FIP Engineering</v>
      </c>
      <c r="O5444" s="6" t="str">
        <f>IFERROR(__xludf.DUMMYFUNCTION("""COMPUTED_VALUE"""),"FIP-DOM-ENG-51502-0000000-INA-000000")</f>
        <v>FIP-DOM-ENG-51502-0000000-INA-000000</v>
      </c>
      <c r="P5444" s="6" t="str">
        <f>IFERROR(__xludf.DUMMYFUNCTION("""COMPUTED_VALUE"""),"PO Open")</f>
        <v>PO Open</v>
      </c>
      <c r="Q5444" s="6" t="str">
        <f>IFERROR(__xludf.DUMMYFUNCTION("""COMPUTED_VALUE"""),"GL2609431")</f>
        <v>GL2609431</v>
      </c>
      <c r="R5444" s="57">
        <f>IFERROR(__xludf.DUMMYFUNCTION("""COMPUTED_VALUE"""),46247.0)</f>
        <v>46247</v>
      </c>
      <c r="S5444" s="57">
        <f>IFERROR(__xludf.DUMMYFUNCTION("""COMPUTED_VALUE"""),46254.0)</f>
        <v>46254</v>
      </c>
      <c r="T5444" s="57">
        <f>IFERROR(__xludf.DUMMYFUNCTION("""COMPUTED_VALUE"""),46305.0)</f>
        <v>46305</v>
      </c>
    </row>
    <row r="5445">
      <c r="A5445" s="6" t="str">
        <f>IFERROR(__xludf.DUMMYFUNCTION("""COMPUTED_VALUE"""),"121704537-1")</f>
        <v>121704537-1</v>
      </c>
      <c r="B5445" s="6" t="str">
        <f>IFERROR(__xludf.DUMMYFUNCTION("""COMPUTED_VALUE"""),"121704537 - APPROVED")</f>
        <v>121704537 - APPROVED</v>
      </c>
      <c r="C5445" s="6">
        <f>IFERROR(__xludf.DUMMYFUNCTION("""COMPUTED_VALUE"""),1.0)</f>
        <v>1</v>
      </c>
      <c r="D5445" s="6" t="str">
        <f>IFERROR(__xludf.DUMMYFUNCTION("""COMPUTED_VALUE"""),"P-12764-00")</f>
        <v>P-12764-00</v>
      </c>
      <c r="E5445" s="6" t="str">
        <f>IFERROR(__xludf.DUMMYFUNCTION("""COMPUTED_VALUE"""),"General - Silicone Gasket for Ferrule dia. 1/2inch; Custom; -; 1 pcs")</f>
        <v>General - Silicone Gasket for Ferrule dia. 1/2inch; Custom; -; 1 pcs</v>
      </c>
      <c r="F5445" s="6">
        <f>IFERROR(__xludf.DUMMYFUNCTION("""COMPUTED_VALUE"""),30.0)</f>
        <v>30</v>
      </c>
      <c r="G5445" s="6" t="str">
        <f>IFERROR(__xludf.DUMMYFUNCTION("""COMPUTED_VALUE"""),"Pieces")</f>
        <v>Pieces</v>
      </c>
      <c r="H5445" s="6" t="str">
        <f>IFERROR(__xludf.DUMMYFUNCTION("""COMPUTED_VALUE"""),"IDR")</f>
        <v>IDR</v>
      </c>
      <c r="I5445" s="6">
        <f>IFERROR(__xludf.DUMMYFUNCTION("""COMPUTED_VALUE"""),15000.0)</f>
        <v>15000</v>
      </c>
      <c r="J5445" s="6">
        <f>IFERROR(__xludf.DUMMYFUNCTION("""COMPUTED_VALUE"""),450000.0)</f>
        <v>450000</v>
      </c>
      <c r="K5445" s="57">
        <f>IFERROR(__xludf.DUMMYFUNCTION("""COMPUTED_VALUE"""),46283.0)</f>
        <v>46283</v>
      </c>
      <c r="L5445" s="6" t="str">
        <f>IFERROR(__xludf.DUMMYFUNCTION("""COMPUTED_VALUE"""),"FIP Engineering")</f>
        <v>FIP Engineering</v>
      </c>
      <c r="M5445" s="6" t="str">
        <f>IFERROR(__xludf.DUMMYFUNCTION("""COMPUTED_VALUE"""),"Mochammad Fadhillah Hakim,")</f>
        <v>Mochammad Fadhillah Hakim,</v>
      </c>
      <c r="N5445" s="6" t="str">
        <f>IFERROR(__xludf.DUMMYFUNCTION("""COMPUTED_VALUE"""),"FIP Engineering")</f>
        <v>FIP Engineering</v>
      </c>
      <c r="O5445" s="6" t="str">
        <f>IFERROR(__xludf.DUMMYFUNCTION("""COMPUTED_VALUE"""),"FIP-DOM-000-11304-OS00001-INA-000000")</f>
        <v>FIP-DOM-000-11304-OS00001-INA-000000</v>
      </c>
      <c r="P5445" s="6" t="str">
        <f>IFERROR(__xludf.DUMMYFUNCTION("""COMPUTED_VALUE"""),"PR Open")</f>
        <v>PR Open</v>
      </c>
      <c r="Q5445" s="6"/>
      <c r="R5445" s="57">
        <f>IFERROR(__xludf.DUMMYFUNCTION("""COMPUTED_VALUE"""),46247.0)</f>
        <v>46247</v>
      </c>
      <c r="S5445" s="57">
        <f>IFERROR(__xludf.DUMMYFUNCTION("""COMPUTED_VALUE"""),46254.0)</f>
        <v>46254</v>
      </c>
      <c r="T5445" s="57">
        <f>IFERROR(__xludf.DUMMYFUNCTION("""COMPUTED_VALUE"""),46283.0)</f>
        <v>46283</v>
      </c>
    </row>
    <row r="5446">
      <c r="A5446" s="6" t="str">
        <f>IFERROR(__xludf.DUMMYFUNCTION("""COMPUTED_VALUE"""),"121704537-2")</f>
        <v>121704537-2</v>
      </c>
      <c r="B5446" s="6" t="str">
        <f>IFERROR(__xludf.DUMMYFUNCTION("""COMPUTED_VALUE"""),"121704537 - APPROVED")</f>
        <v>121704537 - APPROVED</v>
      </c>
      <c r="C5446" s="6">
        <f>IFERROR(__xludf.DUMMYFUNCTION("""COMPUTED_VALUE"""),2.0)</f>
        <v>2</v>
      </c>
      <c r="D5446" s="6" t="str">
        <f>IFERROR(__xludf.DUMMYFUNCTION("""COMPUTED_VALUE"""),"P-50717-00")</f>
        <v>P-50717-00</v>
      </c>
      <c r="E5446" s="6" t="str">
        <f>IFERROR(__xludf.DUMMYFUNCTION("""COMPUTED_VALUE"""),"General - Kabel UTP 4 Pairs Cat 6; Belden; -; 305m/roll")</f>
        <v>General - Kabel UTP 4 Pairs Cat 6; Belden; -; 305m/roll</v>
      </c>
      <c r="F5446" s="6">
        <f>IFERROR(__xludf.DUMMYFUNCTION("""COMPUTED_VALUE"""),1220.0)</f>
        <v>1220</v>
      </c>
      <c r="G5446" s="6" t="str">
        <f>IFERROR(__xludf.DUMMYFUNCTION("""COMPUTED_VALUE"""),"Meter")</f>
        <v>Meter</v>
      </c>
      <c r="H5446" s="6" t="str">
        <f>IFERROR(__xludf.DUMMYFUNCTION("""COMPUTED_VALUE"""),"IDR")</f>
        <v>IDR</v>
      </c>
      <c r="I5446" s="6">
        <f>IFERROR(__xludf.DUMMYFUNCTION("""COMPUTED_VALUE"""),7704.0)</f>
        <v>7704</v>
      </c>
      <c r="J5446" s="6">
        <f>IFERROR(__xludf.DUMMYFUNCTION("""COMPUTED_VALUE"""),9398880.0)</f>
        <v>9398880</v>
      </c>
      <c r="K5446" s="57">
        <f>IFERROR(__xludf.DUMMYFUNCTION("""COMPUTED_VALUE"""),46283.0)</f>
        <v>46283</v>
      </c>
      <c r="L5446" s="6" t="str">
        <f>IFERROR(__xludf.DUMMYFUNCTION("""COMPUTED_VALUE"""),"FIP Engineering")</f>
        <v>FIP Engineering</v>
      </c>
      <c r="M5446" s="6" t="str">
        <f>IFERROR(__xludf.DUMMYFUNCTION("""COMPUTED_VALUE"""),"Mochammad Fadhillah Hakim,")</f>
        <v>Mochammad Fadhillah Hakim,</v>
      </c>
      <c r="N5446" s="6" t="str">
        <f>IFERROR(__xludf.DUMMYFUNCTION("""COMPUTED_VALUE"""),"FIP Engineering")</f>
        <v>FIP Engineering</v>
      </c>
      <c r="O5446" s="6" t="str">
        <f>IFERROR(__xludf.DUMMYFUNCTION("""COMPUTED_VALUE"""),"FIP-DOM-000-11304-OS00001-INA-000000")</f>
        <v>FIP-DOM-000-11304-OS00001-INA-000000</v>
      </c>
      <c r="P5446" s="6" t="str">
        <f>IFERROR(__xludf.DUMMYFUNCTION("""COMPUTED_VALUE"""),"PO Open")</f>
        <v>PO Open</v>
      </c>
      <c r="Q5446" s="6" t="str">
        <f>IFERROR(__xludf.DUMMYFUNCTION("""COMPUTED_VALUE"""),"GL2609428")</f>
        <v>GL2609428</v>
      </c>
      <c r="R5446" s="57">
        <f>IFERROR(__xludf.DUMMYFUNCTION("""COMPUTED_VALUE"""),46247.0)</f>
        <v>46247</v>
      </c>
      <c r="S5446" s="57">
        <f>IFERROR(__xludf.DUMMYFUNCTION("""COMPUTED_VALUE"""),46254.0)</f>
        <v>46254</v>
      </c>
      <c r="T5446" s="57">
        <f>IFERROR(__xludf.DUMMYFUNCTION("""COMPUTED_VALUE"""),46300.0)</f>
        <v>46300</v>
      </c>
    </row>
    <row r="5447">
      <c r="A5447" s="6" t="str">
        <f>IFERROR(__xludf.DUMMYFUNCTION("""COMPUTED_VALUE"""),"121704537-3")</f>
        <v>121704537-3</v>
      </c>
      <c r="B5447" s="6" t="str">
        <f>IFERROR(__xludf.DUMMYFUNCTION("""COMPUTED_VALUE"""),"121704537 - APPROVED")</f>
        <v>121704537 - APPROVED</v>
      </c>
      <c r="C5447" s="6">
        <f>IFERROR(__xludf.DUMMYFUNCTION("""COMPUTED_VALUE"""),3.0)</f>
        <v>3</v>
      </c>
      <c r="D5447" s="6" t="str">
        <f>IFERROR(__xludf.DUMMYFUNCTION("""COMPUTED_VALUE"""),"P-52420-00")</f>
        <v>P-52420-00</v>
      </c>
      <c r="E5447" s="6" t="str">
        <f>IFERROR(__xludf.DUMMYFUNCTION("""COMPUTED_VALUE"""),"General - Ceiling Exhaust Fan; KDK; FV-25TGU5; 1 Pc")</f>
        <v>General - Ceiling Exhaust Fan; KDK; FV-25TGU5; 1 Pc</v>
      </c>
      <c r="F5447" s="6">
        <f>IFERROR(__xludf.DUMMYFUNCTION("""COMPUTED_VALUE"""),1.0)</f>
        <v>1</v>
      </c>
      <c r="G5447" s="6" t="str">
        <f>IFERROR(__xludf.DUMMYFUNCTION("""COMPUTED_VALUE"""),"Unit")</f>
        <v>Unit</v>
      </c>
      <c r="H5447" s="6" t="str">
        <f>IFERROR(__xludf.DUMMYFUNCTION("""COMPUTED_VALUE"""),"IDR")</f>
        <v>IDR</v>
      </c>
      <c r="I5447" s="6">
        <f>IFERROR(__xludf.DUMMYFUNCTION("""COMPUTED_VALUE"""),410000.0)</f>
        <v>410000</v>
      </c>
      <c r="J5447" s="6">
        <f>IFERROR(__xludf.DUMMYFUNCTION("""COMPUTED_VALUE"""),410000.0)</f>
        <v>410000</v>
      </c>
      <c r="K5447" s="57">
        <f>IFERROR(__xludf.DUMMYFUNCTION("""COMPUTED_VALUE"""),46283.0)</f>
        <v>46283</v>
      </c>
      <c r="L5447" s="6" t="str">
        <f>IFERROR(__xludf.DUMMYFUNCTION("""COMPUTED_VALUE"""),"FIP Engineering")</f>
        <v>FIP Engineering</v>
      </c>
      <c r="M5447" s="6" t="str">
        <f>IFERROR(__xludf.DUMMYFUNCTION("""COMPUTED_VALUE"""),"Mochammad Fadhillah Hakim,")</f>
        <v>Mochammad Fadhillah Hakim,</v>
      </c>
      <c r="N5447" s="6" t="str">
        <f>IFERROR(__xludf.DUMMYFUNCTION("""COMPUTED_VALUE"""),"FIP Engineering")</f>
        <v>FIP Engineering</v>
      </c>
      <c r="O5447" s="6" t="str">
        <f>IFERROR(__xludf.DUMMYFUNCTION("""COMPUTED_VALUE"""),"FIP-DOM-000-11304-OS00001-INA-000000")</f>
        <v>FIP-DOM-000-11304-OS00001-INA-000000</v>
      </c>
      <c r="P5447" s="6" t="str">
        <f>IFERROR(__xludf.DUMMYFUNCTION("""COMPUTED_VALUE"""),"PR Open")</f>
        <v>PR Open</v>
      </c>
      <c r="Q5447" s="6"/>
      <c r="R5447" s="57">
        <f>IFERROR(__xludf.DUMMYFUNCTION("""COMPUTED_VALUE"""),46247.0)</f>
        <v>46247</v>
      </c>
      <c r="S5447" s="57">
        <f>IFERROR(__xludf.DUMMYFUNCTION("""COMPUTED_VALUE"""),46254.0)</f>
        <v>46254</v>
      </c>
      <c r="T5447" s="6"/>
    </row>
    <row r="5448">
      <c r="A5448" s="6" t="str">
        <f>IFERROR(__xludf.DUMMYFUNCTION("""COMPUTED_VALUE"""),"121704538-1")</f>
        <v>121704538-1</v>
      </c>
      <c r="B5448" s="6" t="str">
        <f>IFERROR(__xludf.DUMMYFUNCTION("""COMPUTED_VALUE"""),"121704538 - APPROVED")</f>
        <v>121704538 - APPROVED</v>
      </c>
      <c r="C5448" s="6">
        <f>IFERROR(__xludf.DUMMYFUNCTION("""COMPUTED_VALUE"""),1.0)</f>
        <v>1</v>
      </c>
      <c r="D5448" s="6" t="str">
        <f>IFERROR(__xludf.DUMMYFUNCTION("""COMPUTED_VALUE"""),"Q-60105-00")</f>
        <v>Q-60105-00</v>
      </c>
      <c r="E5448" s="6" t="str">
        <f>IFERROR(__xludf.DUMMYFUNCTION("""COMPUTED_VALUE"""),"Cat Dulux Ambiance Brilliant White; Dulux; 2290; pack size per 20L")</f>
        <v>Cat Dulux Ambiance Brilliant White; Dulux; 2290; pack size per 20L</v>
      </c>
      <c r="F5448" s="6">
        <f>IFERROR(__xludf.DUMMYFUNCTION("""COMPUTED_VALUE"""),2.0)</f>
        <v>2</v>
      </c>
      <c r="G5448" s="6" t="str">
        <f>IFERROR(__xludf.DUMMYFUNCTION("""COMPUTED_VALUE"""),"Pail")</f>
        <v>Pail</v>
      </c>
      <c r="H5448" s="6" t="str">
        <f>IFERROR(__xludf.DUMMYFUNCTION("""COMPUTED_VALUE"""),"IDR")</f>
        <v>IDR</v>
      </c>
      <c r="I5448" s="6">
        <f>IFERROR(__xludf.DUMMYFUNCTION("""COMPUTED_VALUE"""),2568500.0)</f>
        <v>2568500</v>
      </c>
      <c r="J5448" s="6">
        <f>IFERROR(__xludf.DUMMYFUNCTION("""COMPUTED_VALUE"""),5137000.0)</f>
        <v>5137000</v>
      </c>
      <c r="K5448" s="57">
        <f>IFERROR(__xludf.DUMMYFUNCTION("""COMPUTED_VALUE"""),46283.0)</f>
        <v>46283</v>
      </c>
      <c r="L5448" s="6" t="str">
        <f>IFERROR(__xludf.DUMMYFUNCTION("""COMPUTED_VALUE"""),"FIP Engineering")</f>
        <v>FIP Engineering</v>
      </c>
      <c r="M5448" s="6" t="str">
        <f>IFERROR(__xludf.DUMMYFUNCTION("""COMPUTED_VALUE"""),"Mochammad Fadhillah Hakim,")</f>
        <v>Mochammad Fadhillah Hakim,</v>
      </c>
      <c r="N5448" s="6" t="str">
        <f>IFERROR(__xludf.DUMMYFUNCTION("""COMPUTED_VALUE"""),"FIP Engineering")</f>
        <v>FIP Engineering</v>
      </c>
      <c r="O5448" s="6" t="str">
        <f>IFERROR(__xludf.DUMMYFUNCTION("""COMPUTED_VALUE"""),"FIP-DOM-000-11304-OS00001-INA-000000")</f>
        <v>FIP-DOM-000-11304-OS00001-INA-000000</v>
      </c>
      <c r="P5448" s="6" t="str">
        <f>IFERROR(__xludf.DUMMYFUNCTION("""COMPUTED_VALUE"""),"PO Open")</f>
        <v>PO Open</v>
      </c>
      <c r="Q5448" s="6" t="str">
        <f>IFERROR(__xludf.DUMMYFUNCTION("""COMPUTED_VALUE"""),"GL2609436")</f>
        <v>GL2609436</v>
      </c>
      <c r="R5448" s="57">
        <f>IFERROR(__xludf.DUMMYFUNCTION("""COMPUTED_VALUE"""),46247.0)</f>
        <v>46247</v>
      </c>
      <c r="S5448" s="57">
        <f>IFERROR(__xludf.DUMMYFUNCTION("""COMPUTED_VALUE"""),46254.0)</f>
        <v>46254</v>
      </c>
      <c r="T5448" s="57">
        <f>IFERROR(__xludf.DUMMYFUNCTION("""COMPUTED_VALUE"""),46305.0)</f>
        <v>46305</v>
      </c>
    </row>
    <row r="5449">
      <c r="A5449" s="6" t="str">
        <f>IFERROR(__xludf.DUMMYFUNCTION("""COMPUTED_VALUE"""),"121704539-1")</f>
        <v>121704539-1</v>
      </c>
      <c r="B5449" s="6" t="str">
        <f>IFERROR(__xludf.DUMMYFUNCTION("""COMPUTED_VALUE"""),"121704539 - APPROVED")</f>
        <v>121704539 - APPROVED</v>
      </c>
      <c r="C5449" s="6">
        <f>IFERROR(__xludf.DUMMYFUNCTION("""COMPUTED_VALUE"""),1.0)</f>
        <v>1</v>
      </c>
      <c r="D5449" s="6" t="str">
        <f>IFERROR(__xludf.DUMMYFUNCTION("""COMPUTED_VALUE"""),"O-14641-00")</f>
        <v>O-14641-00</v>
      </c>
      <c r="E5449" s="6" t="str">
        <f>IFERROR(__xludf.DUMMYFUNCTION("""COMPUTED_VALUE"""),"General - Silicone Gasket for Ferrule dia. 1""; -; -; 1 Pc")</f>
        <v>General - Silicone Gasket for Ferrule dia. 1"; -; -; 1 Pc</v>
      </c>
      <c r="F5449" s="6">
        <f>IFERROR(__xludf.DUMMYFUNCTION("""COMPUTED_VALUE"""),30.0)</f>
        <v>30</v>
      </c>
      <c r="G5449" s="6" t="str">
        <f>IFERROR(__xludf.DUMMYFUNCTION("""COMPUTED_VALUE"""),"Pieces")</f>
        <v>Pieces</v>
      </c>
      <c r="H5449" s="6" t="str">
        <f>IFERROR(__xludf.DUMMYFUNCTION("""COMPUTED_VALUE"""),"IDR")</f>
        <v>IDR</v>
      </c>
      <c r="I5449" s="6">
        <f>IFERROR(__xludf.DUMMYFUNCTION("""COMPUTED_VALUE"""),13200.0)</f>
        <v>13200</v>
      </c>
      <c r="J5449" s="6">
        <f>IFERROR(__xludf.DUMMYFUNCTION("""COMPUTED_VALUE"""),396000.0)</f>
        <v>396000</v>
      </c>
      <c r="K5449" s="57">
        <f>IFERROR(__xludf.DUMMYFUNCTION("""COMPUTED_VALUE"""),46283.0)</f>
        <v>46283</v>
      </c>
      <c r="L5449" s="6" t="str">
        <f>IFERROR(__xludf.DUMMYFUNCTION("""COMPUTED_VALUE"""),"FIP Engineering")</f>
        <v>FIP Engineering</v>
      </c>
      <c r="M5449" s="6" t="str">
        <f>IFERROR(__xludf.DUMMYFUNCTION("""COMPUTED_VALUE"""),"Mochammad Fadhillah Hakim,")</f>
        <v>Mochammad Fadhillah Hakim,</v>
      </c>
      <c r="N5449" s="6" t="str">
        <f>IFERROR(__xludf.DUMMYFUNCTION("""COMPUTED_VALUE"""),"FIP Engineering")</f>
        <v>FIP Engineering</v>
      </c>
      <c r="O5449" s="6" t="str">
        <f>IFERROR(__xludf.DUMMYFUNCTION("""COMPUTED_VALUE"""),"FIP-DOM-000-11304-OS00001-INA-000000")</f>
        <v>FIP-DOM-000-11304-OS00001-INA-000000</v>
      </c>
      <c r="P5449" s="6" t="str">
        <f>IFERROR(__xludf.DUMMYFUNCTION("""COMPUTED_VALUE"""),"PR Open")</f>
        <v>PR Open</v>
      </c>
      <c r="Q5449" s="6"/>
      <c r="R5449" s="57">
        <f>IFERROR(__xludf.DUMMYFUNCTION("""COMPUTED_VALUE"""),46247.0)</f>
        <v>46247</v>
      </c>
      <c r="S5449" s="57">
        <f>IFERROR(__xludf.DUMMYFUNCTION("""COMPUTED_VALUE"""),46254.0)</f>
        <v>46254</v>
      </c>
      <c r="T5449" s="6"/>
    </row>
    <row r="5450">
      <c r="A5450" s="6" t="str">
        <f>IFERROR(__xludf.DUMMYFUNCTION("""COMPUTED_VALUE"""),"121704539-2")</f>
        <v>121704539-2</v>
      </c>
      <c r="B5450" s="6" t="str">
        <f>IFERROR(__xludf.DUMMYFUNCTION("""COMPUTED_VALUE"""),"121704539 - APPROVED")</f>
        <v>121704539 - APPROVED</v>
      </c>
      <c r="C5450" s="6">
        <f>IFERROR(__xludf.DUMMYFUNCTION("""COMPUTED_VALUE"""),2.0)</f>
        <v>2</v>
      </c>
      <c r="D5450" s="6" t="str">
        <f>IFERROR(__xludf.DUMMYFUNCTION("""COMPUTED_VALUE"""),"O-14642-00")</f>
        <v>O-14642-00</v>
      </c>
      <c r="E5450" s="6" t="str">
        <f>IFERROR(__xludf.DUMMYFUNCTION("""COMPUTED_VALUE"""),"General - Silicone Gasket for Ferrule dia. 2,5""; -; -; 1 Pc")</f>
        <v>General - Silicone Gasket for Ferrule dia. 2,5"; -; -; 1 Pc</v>
      </c>
      <c r="F5450" s="6">
        <f>IFERROR(__xludf.DUMMYFUNCTION("""COMPUTED_VALUE"""),30.0)</f>
        <v>30</v>
      </c>
      <c r="G5450" s="6" t="str">
        <f>IFERROR(__xludf.DUMMYFUNCTION("""COMPUTED_VALUE"""),"Pieces")</f>
        <v>Pieces</v>
      </c>
      <c r="H5450" s="6" t="str">
        <f>IFERROR(__xludf.DUMMYFUNCTION("""COMPUTED_VALUE"""),"IDR")</f>
        <v>IDR</v>
      </c>
      <c r="I5450" s="6">
        <f>IFERROR(__xludf.DUMMYFUNCTION("""COMPUTED_VALUE"""),19800.0)</f>
        <v>19800</v>
      </c>
      <c r="J5450" s="6">
        <f>IFERROR(__xludf.DUMMYFUNCTION("""COMPUTED_VALUE"""),594000.0)</f>
        <v>594000</v>
      </c>
      <c r="K5450" s="57">
        <f>IFERROR(__xludf.DUMMYFUNCTION("""COMPUTED_VALUE"""),46283.0)</f>
        <v>46283</v>
      </c>
      <c r="L5450" s="6" t="str">
        <f>IFERROR(__xludf.DUMMYFUNCTION("""COMPUTED_VALUE"""),"FIP Engineering")</f>
        <v>FIP Engineering</v>
      </c>
      <c r="M5450" s="6" t="str">
        <f>IFERROR(__xludf.DUMMYFUNCTION("""COMPUTED_VALUE"""),"Mochammad Fadhillah Hakim,")</f>
        <v>Mochammad Fadhillah Hakim,</v>
      </c>
      <c r="N5450" s="6" t="str">
        <f>IFERROR(__xludf.DUMMYFUNCTION("""COMPUTED_VALUE"""),"FIP Engineering")</f>
        <v>FIP Engineering</v>
      </c>
      <c r="O5450" s="6" t="str">
        <f>IFERROR(__xludf.DUMMYFUNCTION("""COMPUTED_VALUE"""),"FIP-DOM-000-11304-OS00001-INA-000000")</f>
        <v>FIP-DOM-000-11304-OS00001-INA-000000</v>
      </c>
      <c r="P5450" s="6" t="str">
        <f>IFERROR(__xludf.DUMMYFUNCTION("""COMPUTED_VALUE"""),"PR Open")</f>
        <v>PR Open</v>
      </c>
      <c r="Q5450" s="6"/>
      <c r="R5450" s="57">
        <f>IFERROR(__xludf.DUMMYFUNCTION("""COMPUTED_VALUE"""),46247.0)</f>
        <v>46247</v>
      </c>
      <c r="S5450" s="57">
        <f>IFERROR(__xludf.DUMMYFUNCTION("""COMPUTED_VALUE"""),46254.0)</f>
        <v>46254</v>
      </c>
      <c r="T5450" s="6"/>
    </row>
    <row r="5451">
      <c r="A5451" s="6" t="str">
        <f>IFERROR(__xludf.DUMMYFUNCTION("""COMPUTED_VALUE"""),"121704539-3")</f>
        <v>121704539-3</v>
      </c>
      <c r="B5451" s="6" t="str">
        <f>IFERROR(__xludf.DUMMYFUNCTION("""COMPUTED_VALUE"""),"121704539 - APPROVED")</f>
        <v>121704539 - APPROVED</v>
      </c>
      <c r="C5451" s="6">
        <f>IFERROR(__xludf.DUMMYFUNCTION("""COMPUTED_VALUE"""),3.0)</f>
        <v>3</v>
      </c>
      <c r="D5451" s="6" t="str">
        <f>IFERROR(__xludf.DUMMYFUNCTION("""COMPUTED_VALUE"""),"O-14644-00")</f>
        <v>O-14644-00</v>
      </c>
      <c r="E5451" s="6" t="str">
        <f>IFERROR(__xludf.DUMMYFUNCTION("""COMPUTED_VALUE"""),"General - Silicone Gasket for Ferrule dia. 4""; -; -; 1 Pc")</f>
        <v>General - Silicone Gasket for Ferrule dia. 4"; -; -; 1 Pc</v>
      </c>
      <c r="F5451" s="6">
        <f>IFERROR(__xludf.DUMMYFUNCTION("""COMPUTED_VALUE"""),20.0)</f>
        <v>20</v>
      </c>
      <c r="G5451" s="6" t="str">
        <f>IFERROR(__xludf.DUMMYFUNCTION("""COMPUTED_VALUE"""),"Pieces")</f>
        <v>Pieces</v>
      </c>
      <c r="H5451" s="6" t="str">
        <f>IFERROR(__xludf.DUMMYFUNCTION("""COMPUTED_VALUE"""),"IDR")</f>
        <v>IDR</v>
      </c>
      <c r="I5451" s="6">
        <f>IFERROR(__xludf.DUMMYFUNCTION("""COMPUTED_VALUE"""),33600.0)</f>
        <v>33600</v>
      </c>
      <c r="J5451" s="6">
        <f>IFERROR(__xludf.DUMMYFUNCTION("""COMPUTED_VALUE"""),672000.0)</f>
        <v>672000</v>
      </c>
      <c r="K5451" s="57">
        <f>IFERROR(__xludf.DUMMYFUNCTION("""COMPUTED_VALUE"""),46283.0)</f>
        <v>46283</v>
      </c>
      <c r="L5451" s="6" t="str">
        <f>IFERROR(__xludf.DUMMYFUNCTION("""COMPUTED_VALUE"""),"FIP Engineering")</f>
        <v>FIP Engineering</v>
      </c>
      <c r="M5451" s="6" t="str">
        <f>IFERROR(__xludf.DUMMYFUNCTION("""COMPUTED_VALUE"""),"Mochammad Fadhillah Hakim,")</f>
        <v>Mochammad Fadhillah Hakim,</v>
      </c>
      <c r="N5451" s="6" t="str">
        <f>IFERROR(__xludf.DUMMYFUNCTION("""COMPUTED_VALUE"""),"FIP Engineering")</f>
        <v>FIP Engineering</v>
      </c>
      <c r="O5451" s="6" t="str">
        <f>IFERROR(__xludf.DUMMYFUNCTION("""COMPUTED_VALUE"""),"FIP-DOM-000-11304-OS00001-INA-000000")</f>
        <v>FIP-DOM-000-11304-OS00001-INA-000000</v>
      </c>
      <c r="P5451" s="6" t="str">
        <f>IFERROR(__xludf.DUMMYFUNCTION("""COMPUTED_VALUE"""),"PR Open")</f>
        <v>PR Open</v>
      </c>
      <c r="Q5451" s="6"/>
      <c r="R5451" s="57">
        <f>IFERROR(__xludf.DUMMYFUNCTION("""COMPUTED_VALUE"""),46247.0)</f>
        <v>46247</v>
      </c>
      <c r="S5451" s="57">
        <f>IFERROR(__xludf.DUMMYFUNCTION("""COMPUTED_VALUE"""),46254.0)</f>
        <v>46254</v>
      </c>
      <c r="T5451" s="6"/>
    </row>
    <row r="5452">
      <c r="A5452" s="6" t="str">
        <f>IFERROR(__xludf.DUMMYFUNCTION("""COMPUTED_VALUE"""),"121704540-1")</f>
        <v>121704540-1</v>
      </c>
      <c r="B5452" s="6" t="str">
        <f>IFERROR(__xludf.DUMMYFUNCTION("""COMPUTED_VALUE"""),"121704540 - APPROVED")</f>
        <v>121704540 - APPROVED</v>
      </c>
      <c r="C5452" s="6">
        <f>IFERROR(__xludf.DUMMYFUNCTION("""COMPUTED_VALUE"""),1.0)</f>
        <v>1</v>
      </c>
      <c r="D5452" s="6" t="str">
        <f>IFERROR(__xludf.DUMMYFUNCTION("""COMPUTED_VALUE"""),"Q-60503-00")</f>
        <v>Q-60503-00</v>
      </c>
      <c r="E5452" s="6" t="str">
        <f>IFERROR(__xludf.DUMMYFUNCTION("""COMPUTED_VALUE"""),"Silicone Sealant;Silglaze;Type N10 Grey;pack size per pcs")</f>
        <v>Silicone Sealant;Silglaze;Type N10 Grey;pack size per pcs</v>
      </c>
      <c r="F5452" s="6">
        <f>IFERROR(__xludf.DUMMYFUNCTION("""COMPUTED_VALUE"""),50.0)</f>
        <v>50</v>
      </c>
      <c r="G5452" s="6" t="str">
        <f>IFERROR(__xludf.DUMMYFUNCTION("""COMPUTED_VALUE"""),"Pieces")</f>
        <v>Pieces</v>
      </c>
      <c r="H5452" s="6" t="str">
        <f>IFERROR(__xludf.DUMMYFUNCTION("""COMPUTED_VALUE"""),"IDR")</f>
        <v>IDR</v>
      </c>
      <c r="I5452" s="6">
        <f>IFERROR(__xludf.DUMMYFUNCTION("""COMPUTED_VALUE"""),41000.0)</f>
        <v>41000</v>
      </c>
      <c r="J5452" s="6">
        <f>IFERROR(__xludf.DUMMYFUNCTION("""COMPUTED_VALUE"""),2050000.0)</f>
        <v>2050000</v>
      </c>
      <c r="K5452" s="57">
        <f>IFERROR(__xludf.DUMMYFUNCTION("""COMPUTED_VALUE"""),46283.0)</f>
        <v>46283</v>
      </c>
      <c r="L5452" s="6" t="str">
        <f>IFERROR(__xludf.DUMMYFUNCTION("""COMPUTED_VALUE"""),"FIP Engineering")</f>
        <v>FIP Engineering</v>
      </c>
      <c r="M5452" s="6" t="str">
        <f>IFERROR(__xludf.DUMMYFUNCTION("""COMPUTED_VALUE"""),"Mochammad Fadhillah Hakim,")</f>
        <v>Mochammad Fadhillah Hakim,</v>
      </c>
      <c r="N5452" s="6" t="str">
        <f>IFERROR(__xludf.DUMMYFUNCTION("""COMPUTED_VALUE"""),"FIP Engineering")</f>
        <v>FIP Engineering</v>
      </c>
      <c r="O5452" s="6" t="str">
        <f>IFERROR(__xludf.DUMMYFUNCTION("""COMPUTED_VALUE"""),"FIP-DOM-000-11304-OS00001-INA-000000")</f>
        <v>FIP-DOM-000-11304-OS00001-INA-000000</v>
      </c>
      <c r="P5452" s="6" t="str">
        <f>IFERROR(__xludf.DUMMYFUNCTION("""COMPUTED_VALUE"""),"PO Open")</f>
        <v>PO Open</v>
      </c>
      <c r="Q5452" s="6" t="str">
        <f>IFERROR(__xludf.DUMMYFUNCTION("""COMPUTED_VALUE"""),"GL2609430")</f>
        <v>GL2609430</v>
      </c>
      <c r="R5452" s="57">
        <f>IFERROR(__xludf.DUMMYFUNCTION("""COMPUTED_VALUE"""),46247.0)</f>
        <v>46247</v>
      </c>
      <c r="S5452" s="57">
        <f>IFERROR(__xludf.DUMMYFUNCTION("""COMPUTED_VALUE"""),46254.0)</f>
        <v>46254</v>
      </c>
      <c r="T5452" s="57">
        <f>IFERROR(__xludf.DUMMYFUNCTION("""COMPUTED_VALUE"""),46297.0)</f>
        <v>46297</v>
      </c>
    </row>
    <row r="5453">
      <c r="A5453" s="6" t="str">
        <f>IFERROR(__xludf.DUMMYFUNCTION("""COMPUTED_VALUE"""),"121704541-1")</f>
        <v>121704541-1</v>
      </c>
      <c r="B5453" s="6" t="str">
        <f>IFERROR(__xludf.DUMMYFUNCTION("""COMPUTED_VALUE"""),"121704541 - APPROVED")</f>
        <v>121704541 - APPROVED</v>
      </c>
      <c r="C5453" s="6">
        <f>IFERROR(__xludf.DUMMYFUNCTION("""COMPUTED_VALUE"""),1.0)</f>
        <v>1</v>
      </c>
      <c r="D5453" s="6" t="str">
        <f>IFERROR(__xludf.DUMMYFUNCTION("""COMPUTED_VALUE"""),"Q-10128-00")</f>
        <v>Q-10128-00</v>
      </c>
      <c r="E5453" s="6" t="str">
        <f>IFERROR(__xludf.DUMMYFUNCTION("""COMPUTED_VALUE"""),"Thinner Super End/Impala @ 1 Liter")</f>
        <v>Thinner Super End/Impala @ 1 Liter</v>
      </c>
      <c r="F5453" s="6">
        <f>IFERROR(__xludf.DUMMYFUNCTION("""COMPUTED_VALUE"""),20.0)</f>
        <v>20</v>
      </c>
      <c r="G5453" s="6" t="str">
        <f>IFERROR(__xludf.DUMMYFUNCTION("""COMPUTED_VALUE"""),"Pieces")</f>
        <v>Pieces</v>
      </c>
      <c r="H5453" s="6" t="str">
        <f>IFERROR(__xludf.DUMMYFUNCTION("""COMPUTED_VALUE"""),"IDR")</f>
        <v>IDR</v>
      </c>
      <c r="I5453" s="6">
        <f>IFERROR(__xludf.DUMMYFUNCTION("""COMPUTED_VALUE"""),60000.0)</f>
        <v>60000</v>
      </c>
      <c r="J5453" s="6">
        <f>IFERROR(__xludf.DUMMYFUNCTION("""COMPUTED_VALUE"""),1200000.0)</f>
        <v>1200000</v>
      </c>
      <c r="K5453" s="57">
        <f>IFERROR(__xludf.DUMMYFUNCTION("""COMPUTED_VALUE"""),46283.0)</f>
        <v>46283</v>
      </c>
      <c r="L5453" s="6" t="str">
        <f>IFERROR(__xludf.DUMMYFUNCTION("""COMPUTED_VALUE"""),"FIP Engineering")</f>
        <v>FIP Engineering</v>
      </c>
      <c r="M5453" s="6" t="str">
        <f>IFERROR(__xludf.DUMMYFUNCTION("""COMPUTED_VALUE"""),"Mochammad Fadhillah Hakim,")</f>
        <v>Mochammad Fadhillah Hakim,</v>
      </c>
      <c r="N5453" s="6" t="str">
        <f>IFERROR(__xludf.DUMMYFUNCTION("""COMPUTED_VALUE"""),"FIP Engineering")</f>
        <v>FIP Engineering</v>
      </c>
      <c r="O5453" s="6" t="str">
        <f>IFERROR(__xludf.DUMMYFUNCTION("""COMPUTED_VALUE"""),"FIP-DOM-000-11304-OS00001-INA-000000")</f>
        <v>FIP-DOM-000-11304-OS00001-INA-000000</v>
      </c>
      <c r="P5453" s="6" t="str">
        <f>IFERROR(__xludf.DUMMYFUNCTION("""COMPUTED_VALUE"""),"PO Closed")</f>
        <v>PO Closed</v>
      </c>
      <c r="Q5453" s="6" t="str">
        <f>IFERROR(__xludf.DUMMYFUNCTION("""COMPUTED_VALUE"""),"GL2608045")</f>
        <v>GL2608045</v>
      </c>
      <c r="R5453" s="57">
        <f>IFERROR(__xludf.DUMMYFUNCTION("""COMPUTED_VALUE"""),46247.0)</f>
        <v>46247</v>
      </c>
      <c r="S5453" s="57">
        <f>IFERROR(__xludf.DUMMYFUNCTION("""COMPUTED_VALUE"""),46254.0)</f>
        <v>46254</v>
      </c>
      <c r="T5453" s="57">
        <f>IFERROR(__xludf.DUMMYFUNCTION("""COMPUTED_VALUE"""),46283.0)</f>
        <v>46283</v>
      </c>
    </row>
    <row r="5454">
      <c r="A5454" s="6" t="str">
        <f>IFERROR(__xludf.DUMMYFUNCTION("""COMPUTED_VALUE"""),"121704541-2")</f>
        <v>121704541-2</v>
      </c>
      <c r="B5454" s="6" t="str">
        <f>IFERROR(__xludf.DUMMYFUNCTION("""COMPUTED_VALUE"""),"121704541 - APPROVED")</f>
        <v>121704541 - APPROVED</v>
      </c>
      <c r="C5454" s="6">
        <f>IFERROR(__xludf.DUMMYFUNCTION("""COMPUTED_VALUE"""),2.0)</f>
        <v>2</v>
      </c>
      <c r="D5454" s="6" t="str">
        <f>IFERROR(__xludf.DUMMYFUNCTION("""COMPUTED_VALUE"""),"Q-10517-00")</f>
        <v>Q-10517-00</v>
      </c>
      <c r="E5454" s="6" t="str">
        <f>IFERROR(__xludf.DUMMYFUNCTION("""COMPUTED_VALUE"""),"Kape Besi / Scraper / Skrap Besi;No Brand;;pack size per pcs")</f>
        <v>Kape Besi / Scraper / Skrap Besi;No Brand;;pack size per pcs</v>
      </c>
      <c r="F5454" s="6">
        <f>IFERROR(__xludf.DUMMYFUNCTION("""COMPUTED_VALUE"""),5.0)</f>
        <v>5</v>
      </c>
      <c r="G5454" s="6" t="str">
        <f>IFERROR(__xludf.DUMMYFUNCTION("""COMPUTED_VALUE"""),"Pieces")</f>
        <v>Pieces</v>
      </c>
      <c r="H5454" s="6" t="str">
        <f>IFERROR(__xludf.DUMMYFUNCTION("""COMPUTED_VALUE"""),"IDR")</f>
        <v>IDR</v>
      </c>
      <c r="I5454" s="6">
        <f>IFERROR(__xludf.DUMMYFUNCTION("""COMPUTED_VALUE"""),9000.0)</f>
        <v>9000</v>
      </c>
      <c r="J5454" s="6">
        <f>IFERROR(__xludf.DUMMYFUNCTION("""COMPUTED_VALUE"""),45000.0)</f>
        <v>45000</v>
      </c>
      <c r="K5454" s="57">
        <f>IFERROR(__xludf.DUMMYFUNCTION("""COMPUTED_VALUE"""),46283.0)</f>
        <v>46283</v>
      </c>
      <c r="L5454" s="6" t="str">
        <f>IFERROR(__xludf.DUMMYFUNCTION("""COMPUTED_VALUE"""),"FIP General")</f>
        <v>FIP General</v>
      </c>
      <c r="M5454" s="6" t="str">
        <f>IFERROR(__xludf.DUMMYFUNCTION("""COMPUTED_VALUE"""),"Mochammad Fadhillah Hakim,")</f>
        <v>Mochammad Fadhillah Hakim,</v>
      </c>
      <c r="N5454" s="6" t="str">
        <f>IFERROR(__xludf.DUMMYFUNCTION("""COMPUTED_VALUE"""),"FIP Engineering")</f>
        <v>FIP Engineering</v>
      </c>
      <c r="O5454" s="6" t="str">
        <f>IFERROR(__xludf.DUMMYFUNCTION("""COMPUTED_VALUE"""),"FIP-DOM-ENG-51502-0000000-INA-000000")</f>
        <v>FIP-DOM-ENG-51502-0000000-INA-000000</v>
      </c>
      <c r="P5454" s="6" t="str">
        <f>IFERROR(__xludf.DUMMYFUNCTION("""COMPUTED_VALUE"""),"PO Closed")</f>
        <v>PO Closed</v>
      </c>
      <c r="Q5454" s="6" t="str">
        <f>IFERROR(__xludf.DUMMYFUNCTION("""COMPUTED_VALUE"""),"GL2608045")</f>
        <v>GL2608045</v>
      </c>
      <c r="R5454" s="57">
        <f>IFERROR(__xludf.DUMMYFUNCTION("""COMPUTED_VALUE"""),46247.0)</f>
        <v>46247</v>
      </c>
      <c r="S5454" s="57">
        <f>IFERROR(__xludf.DUMMYFUNCTION("""COMPUTED_VALUE"""),46254.0)</f>
        <v>46254</v>
      </c>
      <c r="T5454" s="57">
        <f>IFERROR(__xludf.DUMMYFUNCTION("""COMPUTED_VALUE"""),46283.0)</f>
        <v>46283</v>
      </c>
    </row>
    <row r="5455">
      <c r="A5455" s="6" t="str">
        <f>IFERROR(__xludf.DUMMYFUNCTION("""COMPUTED_VALUE"""),"121704541-3")</f>
        <v>121704541-3</v>
      </c>
      <c r="B5455" s="6" t="str">
        <f>IFERROR(__xludf.DUMMYFUNCTION("""COMPUTED_VALUE"""),"121704541 - APPROVED")</f>
        <v>121704541 - APPROVED</v>
      </c>
      <c r="C5455" s="6">
        <f>IFERROR(__xludf.DUMMYFUNCTION("""COMPUTED_VALUE"""),3.0)</f>
        <v>3</v>
      </c>
      <c r="D5455" s="6" t="str">
        <f>IFERROR(__xludf.DUMMYFUNCTION("""COMPUTED_VALUE"""),"Q-60025-00")</f>
        <v>Q-60025-00</v>
      </c>
      <c r="E5455" s="6" t="str">
        <f>IFERROR(__xludf.DUMMYFUNCTION("""COMPUTED_VALUE"""),"Kuas Cat Uk. 1 inch;Eterna;Tipe 611;pack size per pcs")</f>
        <v>Kuas Cat Uk. 1 inch;Eterna;Tipe 611;pack size per pcs</v>
      </c>
      <c r="F5455" s="6">
        <f>IFERROR(__xludf.DUMMYFUNCTION("""COMPUTED_VALUE"""),35.0)</f>
        <v>35</v>
      </c>
      <c r="G5455" s="6" t="str">
        <f>IFERROR(__xludf.DUMMYFUNCTION("""COMPUTED_VALUE"""),"Pieces")</f>
        <v>Pieces</v>
      </c>
      <c r="H5455" s="6" t="str">
        <f>IFERROR(__xludf.DUMMYFUNCTION("""COMPUTED_VALUE"""),"IDR")</f>
        <v>IDR</v>
      </c>
      <c r="I5455" s="6">
        <f>IFERROR(__xludf.DUMMYFUNCTION("""COMPUTED_VALUE"""),3000.0)</f>
        <v>3000</v>
      </c>
      <c r="J5455" s="6">
        <f>IFERROR(__xludf.DUMMYFUNCTION("""COMPUTED_VALUE"""),105000.0)</f>
        <v>105000</v>
      </c>
      <c r="K5455" s="57">
        <f>IFERROR(__xludf.DUMMYFUNCTION("""COMPUTED_VALUE"""),46283.0)</f>
        <v>46283</v>
      </c>
      <c r="L5455" s="6" t="str">
        <f>IFERROR(__xludf.DUMMYFUNCTION("""COMPUTED_VALUE"""),"FIP General")</f>
        <v>FIP General</v>
      </c>
      <c r="M5455" s="6" t="str">
        <f>IFERROR(__xludf.DUMMYFUNCTION("""COMPUTED_VALUE"""),"Mochammad Fadhillah Hakim,")</f>
        <v>Mochammad Fadhillah Hakim,</v>
      </c>
      <c r="N5455" s="6" t="str">
        <f>IFERROR(__xludf.DUMMYFUNCTION("""COMPUTED_VALUE"""),"FIP Engineering")</f>
        <v>FIP Engineering</v>
      </c>
      <c r="O5455" s="6" t="str">
        <f>IFERROR(__xludf.DUMMYFUNCTION("""COMPUTED_VALUE"""),"FIP-DOM-ENG-51404-0000000-INA-000000")</f>
        <v>FIP-DOM-ENG-51404-0000000-INA-000000</v>
      </c>
      <c r="P5455" s="6" t="str">
        <f>IFERROR(__xludf.DUMMYFUNCTION("""COMPUTED_VALUE"""),"PO Closed")</f>
        <v>PO Closed</v>
      </c>
      <c r="Q5455" s="6" t="str">
        <f>IFERROR(__xludf.DUMMYFUNCTION("""COMPUTED_VALUE"""),"GL2608045")</f>
        <v>GL2608045</v>
      </c>
      <c r="R5455" s="57">
        <f>IFERROR(__xludf.DUMMYFUNCTION("""COMPUTED_VALUE"""),46247.0)</f>
        <v>46247</v>
      </c>
      <c r="S5455" s="57">
        <f>IFERROR(__xludf.DUMMYFUNCTION("""COMPUTED_VALUE"""),46254.0)</f>
        <v>46254</v>
      </c>
      <c r="T5455" s="57">
        <f>IFERROR(__xludf.DUMMYFUNCTION("""COMPUTED_VALUE"""),46283.0)</f>
        <v>46283</v>
      </c>
    </row>
    <row r="5456">
      <c r="A5456" s="6" t="str">
        <f>IFERROR(__xludf.DUMMYFUNCTION("""COMPUTED_VALUE"""),"121704541-4")</f>
        <v>121704541-4</v>
      </c>
      <c r="B5456" s="6" t="str">
        <f>IFERROR(__xludf.DUMMYFUNCTION("""COMPUTED_VALUE"""),"121704541 - APPROVED")</f>
        <v>121704541 - APPROVED</v>
      </c>
      <c r="C5456" s="6">
        <f>IFERROR(__xludf.DUMMYFUNCTION("""COMPUTED_VALUE"""),4.0)</f>
        <v>4</v>
      </c>
      <c r="D5456" s="6" t="str">
        <f>IFERROR(__xludf.DUMMYFUNCTION("""COMPUTED_VALUE"""),"Q-60026-00")</f>
        <v>Q-60026-00</v>
      </c>
      <c r="E5456" s="6" t="str">
        <f>IFERROR(__xludf.DUMMYFUNCTION("""COMPUTED_VALUE"""),"Kuas Cat Uk. 2 inch;Eterna;Tipe 611;pack size per pcs")</f>
        <v>Kuas Cat Uk. 2 inch;Eterna;Tipe 611;pack size per pcs</v>
      </c>
      <c r="F5456" s="6">
        <f>IFERROR(__xludf.DUMMYFUNCTION("""COMPUTED_VALUE"""),10.0)</f>
        <v>10</v>
      </c>
      <c r="G5456" s="6" t="str">
        <f>IFERROR(__xludf.DUMMYFUNCTION("""COMPUTED_VALUE"""),"Pieces")</f>
        <v>Pieces</v>
      </c>
      <c r="H5456" s="6" t="str">
        <f>IFERROR(__xludf.DUMMYFUNCTION("""COMPUTED_VALUE"""),"IDR")</f>
        <v>IDR</v>
      </c>
      <c r="I5456" s="6">
        <f>IFERROR(__xludf.DUMMYFUNCTION("""COMPUTED_VALUE"""),5000.0)</f>
        <v>5000</v>
      </c>
      <c r="J5456" s="6">
        <f>IFERROR(__xludf.DUMMYFUNCTION("""COMPUTED_VALUE"""),50000.0)</f>
        <v>50000</v>
      </c>
      <c r="K5456" s="57">
        <f>IFERROR(__xludf.DUMMYFUNCTION("""COMPUTED_VALUE"""),46283.0)</f>
        <v>46283</v>
      </c>
      <c r="L5456" s="6" t="str">
        <f>IFERROR(__xludf.DUMMYFUNCTION("""COMPUTED_VALUE"""),"FIP General")</f>
        <v>FIP General</v>
      </c>
      <c r="M5456" s="6" t="str">
        <f>IFERROR(__xludf.DUMMYFUNCTION("""COMPUTED_VALUE"""),"Mochammad Fadhillah Hakim,")</f>
        <v>Mochammad Fadhillah Hakim,</v>
      </c>
      <c r="N5456" s="6" t="str">
        <f>IFERROR(__xludf.DUMMYFUNCTION("""COMPUTED_VALUE"""),"FIP Engineering")</f>
        <v>FIP Engineering</v>
      </c>
      <c r="O5456" s="6" t="str">
        <f>IFERROR(__xludf.DUMMYFUNCTION("""COMPUTED_VALUE"""),"FIP-DOM-ENG-51404-0000000-INA-000000")</f>
        <v>FIP-DOM-ENG-51404-0000000-INA-000000</v>
      </c>
      <c r="P5456" s="6" t="str">
        <f>IFERROR(__xludf.DUMMYFUNCTION("""COMPUTED_VALUE"""),"PO Closed")</f>
        <v>PO Closed</v>
      </c>
      <c r="Q5456" s="6" t="str">
        <f>IFERROR(__xludf.DUMMYFUNCTION("""COMPUTED_VALUE"""),"GL2608045")</f>
        <v>GL2608045</v>
      </c>
      <c r="R5456" s="57">
        <f>IFERROR(__xludf.DUMMYFUNCTION("""COMPUTED_VALUE"""),46247.0)</f>
        <v>46247</v>
      </c>
      <c r="S5456" s="57">
        <f>IFERROR(__xludf.DUMMYFUNCTION("""COMPUTED_VALUE"""),46254.0)</f>
        <v>46254</v>
      </c>
      <c r="T5456" s="57">
        <f>IFERROR(__xludf.DUMMYFUNCTION("""COMPUTED_VALUE"""),46283.0)</f>
        <v>46283</v>
      </c>
    </row>
    <row r="5457">
      <c r="A5457" s="6" t="str">
        <f>IFERROR(__xludf.DUMMYFUNCTION("""COMPUTED_VALUE"""),"121704546-1")</f>
        <v>121704546-1</v>
      </c>
      <c r="B5457" s="6" t="str">
        <f>IFERROR(__xludf.DUMMYFUNCTION("""COMPUTED_VALUE"""),"121704546 - APPROVED")</f>
        <v>121704546 - APPROVED</v>
      </c>
      <c r="C5457" s="6">
        <f>IFERROR(__xludf.DUMMYFUNCTION("""COMPUTED_VALUE"""),1.0)</f>
        <v>1</v>
      </c>
      <c r="D5457" s="6" t="str">
        <f>IFERROR(__xludf.DUMMYFUNCTION("""COMPUTED_VALUE"""),"O-21592-00")</f>
        <v>O-21592-00</v>
      </c>
      <c r="E5457" s="6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F5457" s="6">
        <f>IFERROR(__xludf.DUMMYFUNCTION("""COMPUTED_VALUE"""),2.0)</f>
        <v>2</v>
      </c>
      <c r="G5457" s="6" t="str">
        <f>IFERROR(__xludf.DUMMYFUNCTION("""COMPUTED_VALUE"""),"Pieces")</f>
        <v>Pieces</v>
      </c>
      <c r="H5457" s="6" t="str">
        <f>IFERROR(__xludf.DUMMYFUNCTION("""COMPUTED_VALUE"""),"IDR")</f>
        <v>IDR</v>
      </c>
      <c r="I5457" s="6">
        <f>IFERROR(__xludf.DUMMYFUNCTION("""COMPUTED_VALUE"""),475000.0)</f>
        <v>475000</v>
      </c>
      <c r="J5457" s="6">
        <f>IFERROR(__xludf.DUMMYFUNCTION("""COMPUTED_VALUE"""),950000.0)</f>
        <v>950000</v>
      </c>
      <c r="K5457" s="57">
        <f>IFERROR(__xludf.DUMMYFUNCTION("""COMPUTED_VALUE"""),46283.0)</f>
        <v>46283</v>
      </c>
      <c r="L5457" s="6" t="str">
        <f>IFERROR(__xludf.DUMMYFUNCTION("""COMPUTED_VALUE"""),"FIP Engineering")</f>
        <v>FIP Engineering</v>
      </c>
      <c r="M5457" s="6" t="str">
        <f>IFERROR(__xludf.DUMMYFUNCTION("""COMPUTED_VALUE"""),"Mochammad Fadhillah Hakim,")</f>
        <v>Mochammad Fadhillah Hakim,</v>
      </c>
      <c r="N5457" s="6" t="str">
        <f>IFERROR(__xludf.DUMMYFUNCTION("""COMPUTED_VALUE"""),"FIP Engineering")</f>
        <v>FIP Engineering</v>
      </c>
      <c r="O5457" s="6" t="str">
        <f>IFERROR(__xludf.DUMMYFUNCTION("""COMPUTED_VALUE"""),"FIP-DOM-000-11304-OS00001-INA-000000")</f>
        <v>FIP-DOM-000-11304-OS00001-INA-000000</v>
      </c>
      <c r="P5457" s="6" t="str">
        <f>IFERROR(__xludf.DUMMYFUNCTION("""COMPUTED_VALUE"""),"PR Open")</f>
        <v>PR Open</v>
      </c>
      <c r="Q5457" s="6"/>
      <c r="R5457" s="57">
        <f>IFERROR(__xludf.DUMMYFUNCTION("""COMPUTED_VALUE"""),46252.0)</f>
        <v>46252</v>
      </c>
      <c r="S5457" s="57">
        <f>IFERROR(__xludf.DUMMYFUNCTION("""COMPUTED_VALUE"""),46254.0)</f>
        <v>46254</v>
      </c>
      <c r="T5457" s="6"/>
    </row>
    <row r="5458">
      <c r="A5458" s="6" t="str">
        <f>IFERROR(__xludf.DUMMYFUNCTION("""COMPUTED_VALUE"""),"121704547-1")</f>
        <v>121704547-1</v>
      </c>
      <c r="B5458" s="6" t="str">
        <f>IFERROR(__xludf.DUMMYFUNCTION("""COMPUTED_VALUE"""),"121704547 - APPROVED")</f>
        <v>121704547 - APPROVED</v>
      </c>
      <c r="C5458" s="6">
        <f>IFERROR(__xludf.DUMMYFUNCTION("""COMPUTED_VALUE"""),1.0)</f>
        <v>1</v>
      </c>
      <c r="D5458" s="6" t="str">
        <f>IFERROR(__xludf.DUMMYFUNCTION("""COMPUTED_VALUE"""),"P-12266-00")</f>
        <v>P-12266-00</v>
      </c>
      <c r="E5458" s="6" t="str">
        <f>IFERROR(__xludf.DUMMYFUNCTION("""COMPUTED_VALUE"""),"FESTO - Push In Fitting QS-1/2-10 part number 190646")</f>
        <v>FESTO - Push In Fitting QS-1/2-10 part number 190646</v>
      </c>
      <c r="F5458" s="6">
        <f>IFERROR(__xludf.DUMMYFUNCTION("""COMPUTED_VALUE"""),10.0)</f>
        <v>10</v>
      </c>
      <c r="G5458" s="6" t="str">
        <f>IFERROR(__xludf.DUMMYFUNCTION("""COMPUTED_VALUE"""),"Pieces")</f>
        <v>Pieces</v>
      </c>
      <c r="H5458" s="6" t="str">
        <f>IFERROR(__xludf.DUMMYFUNCTION("""COMPUTED_VALUE"""),"IDR")</f>
        <v>IDR</v>
      </c>
      <c r="I5458" s="6">
        <f>IFERROR(__xludf.DUMMYFUNCTION("""COMPUTED_VALUE"""),60000.0)</f>
        <v>60000</v>
      </c>
      <c r="J5458" s="6">
        <f>IFERROR(__xludf.DUMMYFUNCTION("""COMPUTED_VALUE"""),600000.0)</f>
        <v>600000</v>
      </c>
      <c r="K5458" s="57">
        <f>IFERROR(__xludf.DUMMYFUNCTION("""COMPUTED_VALUE"""),46283.0)</f>
        <v>46283</v>
      </c>
      <c r="L5458" s="6" t="str">
        <f>IFERROR(__xludf.DUMMYFUNCTION("""COMPUTED_VALUE"""),"FIP Engineering")</f>
        <v>FIP Engineering</v>
      </c>
      <c r="M5458" s="6" t="str">
        <f>IFERROR(__xludf.DUMMYFUNCTION("""COMPUTED_VALUE"""),"Mochammad Fadhillah Hakim,")</f>
        <v>Mochammad Fadhillah Hakim,</v>
      </c>
      <c r="N5458" s="6" t="str">
        <f>IFERROR(__xludf.DUMMYFUNCTION("""COMPUTED_VALUE"""),"FIP Engineering")</f>
        <v>FIP Engineering</v>
      </c>
      <c r="O5458" s="6" t="str">
        <f>IFERROR(__xludf.DUMMYFUNCTION("""COMPUTED_VALUE"""),"FIP-DOM-000-11304-OS00001-INA-000000")</f>
        <v>FIP-DOM-000-11304-OS00001-INA-000000</v>
      </c>
      <c r="P5458" s="6" t="str">
        <f>IFERROR(__xludf.DUMMYFUNCTION("""COMPUTED_VALUE"""),"PO Open")</f>
        <v>PO Open</v>
      </c>
      <c r="Q5458" s="6" t="str">
        <f>IFERROR(__xludf.DUMMYFUNCTION("""COMPUTED_VALUE"""),"GL2609426")</f>
        <v>GL2609426</v>
      </c>
      <c r="R5458" s="57">
        <f>IFERROR(__xludf.DUMMYFUNCTION("""COMPUTED_VALUE"""),46252.0)</f>
        <v>46252</v>
      </c>
      <c r="S5458" s="57">
        <f>IFERROR(__xludf.DUMMYFUNCTION("""COMPUTED_VALUE"""),46254.0)</f>
        <v>46254</v>
      </c>
      <c r="T5458" s="57">
        <f>IFERROR(__xludf.DUMMYFUNCTION("""COMPUTED_VALUE"""),46305.0)</f>
        <v>46305</v>
      </c>
    </row>
    <row r="5459">
      <c r="A5459" s="6" t="str">
        <f>IFERROR(__xludf.DUMMYFUNCTION("""COMPUTED_VALUE"""),"121704547-2")</f>
        <v>121704547-2</v>
      </c>
      <c r="B5459" s="6" t="str">
        <f>IFERROR(__xludf.DUMMYFUNCTION("""COMPUTED_VALUE"""),"121704547 - APPROVED")</f>
        <v>121704547 - APPROVED</v>
      </c>
      <c r="C5459" s="6">
        <f>IFERROR(__xludf.DUMMYFUNCTION("""COMPUTED_VALUE"""),2.0)</f>
        <v>2</v>
      </c>
      <c r="D5459" s="6" t="str">
        <f>IFERROR(__xludf.DUMMYFUNCTION("""COMPUTED_VALUE"""),"P-12267-00")</f>
        <v>P-12267-00</v>
      </c>
      <c r="E5459" s="6" t="str">
        <f>IFERROR(__xludf.DUMMYFUNCTION("""COMPUTED_VALUE"""),"FESTO - Push In Fitting QS-1/2-8 (NPQE-D-R12-Q8-P5);  P/N : 8112930")</f>
        <v>FESTO - Push In Fitting QS-1/2-8 (NPQE-D-R12-Q8-P5);  P/N : 8112930</v>
      </c>
      <c r="F5459" s="6">
        <f>IFERROR(__xludf.DUMMYFUNCTION("""COMPUTED_VALUE"""),5.0)</f>
        <v>5</v>
      </c>
      <c r="G5459" s="6" t="str">
        <f>IFERROR(__xludf.DUMMYFUNCTION("""COMPUTED_VALUE"""),"Pieces")</f>
        <v>Pieces</v>
      </c>
      <c r="H5459" s="6" t="str">
        <f>IFERROR(__xludf.DUMMYFUNCTION("""COMPUTED_VALUE"""),"IDR")</f>
        <v>IDR</v>
      </c>
      <c r="I5459" s="6">
        <f>IFERROR(__xludf.DUMMYFUNCTION("""COMPUTED_VALUE"""),59707.0)</f>
        <v>59707</v>
      </c>
      <c r="J5459" s="6">
        <f>IFERROR(__xludf.DUMMYFUNCTION("""COMPUTED_VALUE"""),298535.0)</f>
        <v>298535</v>
      </c>
      <c r="K5459" s="57">
        <f>IFERROR(__xludf.DUMMYFUNCTION("""COMPUTED_VALUE"""),46283.0)</f>
        <v>46283</v>
      </c>
      <c r="L5459" s="6" t="str">
        <f>IFERROR(__xludf.DUMMYFUNCTION("""COMPUTED_VALUE"""),"FIP Engineering")</f>
        <v>FIP Engineering</v>
      </c>
      <c r="M5459" s="6" t="str">
        <f>IFERROR(__xludf.DUMMYFUNCTION("""COMPUTED_VALUE"""),"Mochammad Fadhillah Hakim,")</f>
        <v>Mochammad Fadhillah Hakim,</v>
      </c>
      <c r="N5459" s="6" t="str">
        <f>IFERROR(__xludf.DUMMYFUNCTION("""COMPUTED_VALUE"""),"FIP Engineering")</f>
        <v>FIP Engineering</v>
      </c>
      <c r="O5459" s="6" t="str">
        <f>IFERROR(__xludf.DUMMYFUNCTION("""COMPUTED_VALUE"""),"FIP-DOM-000-11304-OS00001-INA-000000")</f>
        <v>FIP-DOM-000-11304-OS00001-INA-000000</v>
      </c>
      <c r="P5459" s="6" t="str">
        <f>IFERROR(__xludf.DUMMYFUNCTION("""COMPUTED_VALUE"""),"PO Open")</f>
        <v>PO Open</v>
      </c>
      <c r="Q5459" s="6" t="str">
        <f>IFERROR(__xludf.DUMMYFUNCTION("""COMPUTED_VALUE"""),"GL2609426")</f>
        <v>GL2609426</v>
      </c>
      <c r="R5459" s="57">
        <f>IFERROR(__xludf.DUMMYFUNCTION("""COMPUTED_VALUE"""),46252.0)</f>
        <v>46252</v>
      </c>
      <c r="S5459" s="57">
        <f>IFERROR(__xludf.DUMMYFUNCTION("""COMPUTED_VALUE"""),46254.0)</f>
        <v>46254</v>
      </c>
      <c r="T5459" s="57">
        <f>IFERROR(__xludf.DUMMYFUNCTION("""COMPUTED_VALUE"""),46305.0)</f>
        <v>46305</v>
      </c>
    </row>
    <row r="5460">
      <c r="A5460" s="6" t="str">
        <f>IFERROR(__xludf.DUMMYFUNCTION("""COMPUTED_VALUE"""),"121704548-1")</f>
        <v>121704548-1</v>
      </c>
      <c r="B5460" s="6" t="str">
        <f>IFERROR(__xludf.DUMMYFUNCTION("""COMPUTED_VALUE"""),"121704548 - APPROVED")</f>
        <v>121704548 - APPROVED</v>
      </c>
      <c r="C5460" s="6">
        <f>IFERROR(__xludf.DUMMYFUNCTION("""COMPUTED_VALUE"""),1.0)</f>
        <v>1</v>
      </c>
      <c r="D5460" s="6" t="str">
        <f>IFERROR(__xludf.DUMMYFUNCTION("""COMPUTED_VALUE"""),"O-53642-00")</f>
        <v>O-53642-00</v>
      </c>
      <c r="E5460" s="6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F5460" s="6">
        <f>IFERROR(__xludf.DUMMYFUNCTION("""COMPUTED_VALUE"""),1.0)</f>
        <v>1</v>
      </c>
      <c r="G5460" s="6" t="str">
        <f>IFERROR(__xludf.DUMMYFUNCTION("""COMPUTED_VALUE"""),"Pieces")</f>
        <v>Pieces</v>
      </c>
      <c r="H5460" s="6" t="str">
        <f>IFERROR(__xludf.DUMMYFUNCTION("""COMPUTED_VALUE"""),"IDR")</f>
        <v>IDR</v>
      </c>
      <c r="I5460" s="6">
        <f>IFERROR(__xludf.DUMMYFUNCTION("""COMPUTED_VALUE"""),30000.0)</f>
        <v>30000</v>
      </c>
      <c r="J5460" s="6">
        <f>IFERROR(__xludf.DUMMYFUNCTION("""COMPUTED_VALUE"""),30000.0)</f>
        <v>30000</v>
      </c>
      <c r="K5460" s="57">
        <f>IFERROR(__xludf.DUMMYFUNCTION("""COMPUTED_VALUE"""),46283.0)</f>
        <v>46283</v>
      </c>
      <c r="L5460" s="6" t="str">
        <f>IFERROR(__xludf.DUMMYFUNCTION("""COMPUTED_VALUE"""),"FIP Engineering")</f>
        <v>FIP Engineering</v>
      </c>
      <c r="M5460" s="6" t="str">
        <f>IFERROR(__xludf.DUMMYFUNCTION("""COMPUTED_VALUE"""),"Mochammad Fadhillah Hakim,")</f>
        <v>Mochammad Fadhillah Hakim,</v>
      </c>
      <c r="N5460" s="6" t="str">
        <f>IFERROR(__xludf.DUMMYFUNCTION("""COMPUTED_VALUE"""),"FIP Engineering")</f>
        <v>FIP Engineering</v>
      </c>
      <c r="O5460" s="6" t="str">
        <f>IFERROR(__xludf.DUMMYFUNCTION("""COMPUTED_VALUE"""),"FIP-DOM-000-11304-OS00001-INA-000000")</f>
        <v>FIP-DOM-000-11304-OS00001-INA-000000</v>
      </c>
      <c r="P5460" s="6" t="str">
        <f>IFERROR(__xludf.DUMMYFUNCTION("""COMPUTED_VALUE"""),"PO Open")</f>
        <v>PO Open</v>
      </c>
      <c r="Q5460" s="6" t="str">
        <f>IFERROR(__xludf.DUMMYFUNCTION("""COMPUTED_VALUE"""),"GL2609434")</f>
        <v>GL2609434</v>
      </c>
      <c r="R5460" s="57">
        <f>IFERROR(__xludf.DUMMYFUNCTION("""COMPUTED_VALUE"""),46252.0)</f>
        <v>46252</v>
      </c>
      <c r="S5460" s="57">
        <f>IFERROR(__xludf.DUMMYFUNCTION("""COMPUTED_VALUE"""),46254.0)</f>
        <v>46254</v>
      </c>
      <c r="T5460" s="57">
        <f>IFERROR(__xludf.DUMMYFUNCTION("""COMPUTED_VALUE"""),46305.0)</f>
        <v>46305</v>
      </c>
    </row>
    <row r="5461">
      <c r="A5461" s="6" t="str">
        <f>IFERROR(__xludf.DUMMYFUNCTION("""COMPUTED_VALUE"""),"121704548-2")</f>
        <v>121704548-2</v>
      </c>
      <c r="B5461" s="6" t="str">
        <f>IFERROR(__xludf.DUMMYFUNCTION("""COMPUTED_VALUE"""),"121704548 - APPROVED")</f>
        <v>121704548 - APPROVED</v>
      </c>
      <c r="C5461" s="6">
        <f>IFERROR(__xludf.DUMMYFUNCTION("""COMPUTED_VALUE"""),2.0)</f>
        <v>2</v>
      </c>
      <c r="D5461" s="6" t="str">
        <f>IFERROR(__xludf.DUMMYFUNCTION("""COMPUTED_VALUE"""),"O-53643-00")</f>
        <v>O-53643-00</v>
      </c>
      <c r="E5461" s="6" t="str">
        <f>IFERROR(__xludf.DUMMYFUNCTION("""COMPUTED_VALUE"""),"Freeze Dryer MBE1207 - Solenoid 180-4E1-PLL 24VDC; Koganei; -; 1 Pc")</f>
        <v>Freeze Dryer MBE1207 - Solenoid 180-4E1-PLL 24VDC; Koganei; -; 1 Pc</v>
      </c>
      <c r="F5461" s="6">
        <f>IFERROR(__xludf.DUMMYFUNCTION("""COMPUTED_VALUE"""),1.0)</f>
        <v>1</v>
      </c>
      <c r="G5461" s="6" t="str">
        <f>IFERROR(__xludf.DUMMYFUNCTION("""COMPUTED_VALUE"""),"Pieces")</f>
        <v>Pieces</v>
      </c>
      <c r="H5461" s="6" t="str">
        <f>IFERROR(__xludf.DUMMYFUNCTION("""COMPUTED_VALUE"""),"IDR")</f>
        <v>IDR</v>
      </c>
      <c r="I5461" s="6">
        <f>IFERROR(__xludf.DUMMYFUNCTION("""COMPUTED_VALUE"""),850000.0)</f>
        <v>850000</v>
      </c>
      <c r="J5461" s="6">
        <f>IFERROR(__xludf.DUMMYFUNCTION("""COMPUTED_VALUE"""),850000.0)</f>
        <v>850000</v>
      </c>
      <c r="K5461" s="57">
        <f>IFERROR(__xludf.DUMMYFUNCTION("""COMPUTED_VALUE"""),46283.0)</f>
        <v>46283</v>
      </c>
      <c r="L5461" s="6" t="str">
        <f>IFERROR(__xludf.DUMMYFUNCTION("""COMPUTED_VALUE"""),"FIP Engineering")</f>
        <v>FIP Engineering</v>
      </c>
      <c r="M5461" s="6" t="str">
        <f>IFERROR(__xludf.DUMMYFUNCTION("""COMPUTED_VALUE"""),"Mochammad Fadhillah Hakim,")</f>
        <v>Mochammad Fadhillah Hakim,</v>
      </c>
      <c r="N5461" s="6" t="str">
        <f>IFERROR(__xludf.DUMMYFUNCTION("""COMPUTED_VALUE"""),"FIP Engineering")</f>
        <v>FIP Engineering</v>
      </c>
      <c r="O5461" s="6" t="str">
        <f>IFERROR(__xludf.DUMMYFUNCTION("""COMPUTED_VALUE"""),"FIP-DOM-000-11304-OS00001-INA-000000")</f>
        <v>FIP-DOM-000-11304-OS00001-INA-000000</v>
      </c>
      <c r="P5461" s="6" t="str">
        <f>IFERROR(__xludf.DUMMYFUNCTION("""COMPUTED_VALUE"""),"PO Open")</f>
        <v>PO Open</v>
      </c>
      <c r="Q5461" s="6" t="str">
        <f>IFERROR(__xludf.DUMMYFUNCTION("""COMPUTED_VALUE"""),"GL2609434")</f>
        <v>GL2609434</v>
      </c>
      <c r="R5461" s="57">
        <f>IFERROR(__xludf.DUMMYFUNCTION("""COMPUTED_VALUE"""),46252.0)</f>
        <v>46252</v>
      </c>
      <c r="S5461" s="57">
        <f>IFERROR(__xludf.DUMMYFUNCTION("""COMPUTED_VALUE"""),46254.0)</f>
        <v>46254</v>
      </c>
      <c r="T5461" s="57">
        <f>IFERROR(__xludf.DUMMYFUNCTION("""COMPUTED_VALUE"""),46305.0)</f>
        <v>46305</v>
      </c>
    </row>
    <row r="5462">
      <c r="A5462" s="6" t="str">
        <f>IFERROR(__xludf.DUMMYFUNCTION("""COMPUTED_VALUE"""),"121704549-1")</f>
        <v>121704549-1</v>
      </c>
      <c r="B5462" s="6" t="str">
        <f>IFERROR(__xludf.DUMMYFUNCTION("""COMPUTED_VALUE"""),"121704549 - APPROVED")</f>
        <v>121704549 - APPROVED</v>
      </c>
      <c r="C5462" s="6">
        <f>IFERROR(__xludf.DUMMYFUNCTION("""COMPUTED_VALUE"""),1.0)</f>
        <v>1</v>
      </c>
      <c r="D5462" s="6" t="str">
        <f>IFERROR(__xludf.DUMMYFUNCTION("""COMPUTED_VALUE"""),"P-12482-00")</f>
        <v>P-12482-00</v>
      </c>
      <c r="E5462" s="6" t="str">
        <f>IFERROR(__xludf.DUMMYFUNCTION("""COMPUTED_VALUE"""),"General - Mata Bor Besi, dia. 2 mm; NACHI; -; 1 pcs")</f>
        <v>General - Mata Bor Besi, dia. 2 mm; NACHI; -; 1 pcs</v>
      </c>
      <c r="F5462" s="6">
        <f>IFERROR(__xludf.DUMMYFUNCTION("""COMPUTED_VALUE"""),2.0)</f>
        <v>2</v>
      </c>
      <c r="G5462" s="6" t="str">
        <f>IFERROR(__xludf.DUMMYFUNCTION("""COMPUTED_VALUE"""),"Pieces")</f>
        <v>Pieces</v>
      </c>
      <c r="H5462" s="6" t="str">
        <f>IFERROR(__xludf.DUMMYFUNCTION("""COMPUTED_VALUE"""),"IDR")</f>
        <v>IDR</v>
      </c>
      <c r="I5462" s="6">
        <f>IFERROR(__xludf.DUMMYFUNCTION("""COMPUTED_VALUE"""),20000.0)</f>
        <v>20000</v>
      </c>
      <c r="J5462" s="6">
        <f>IFERROR(__xludf.DUMMYFUNCTION("""COMPUTED_VALUE"""),40000.0)</f>
        <v>40000</v>
      </c>
      <c r="K5462" s="57">
        <f>IFERROR(__xludf.DUMMYFUNCTION("""COMPUTED_VALUE"""),46283.0)</f>
        <v>46283</v>
      </c>
      <c r="L5462" s="6" t="str">
        <f>IFERROR(__xludf.DUMMYFUNCTION("""COMPUTED_VALUE"""),"FIP Engineering")</f>
        <v>FIP Engineering</v>
      </c>
      <c r="M5462" s="6" t="str">
        <f>IFERROR(__xludf.DUMMYFUNCTION("""COMPUTED_VALUE"""),"Mochammad Fadhillah Hakim,")</f>
        <v>Mochammad Fadhillah Hakim,</v>
      </c>
      <c r="N5462" s="6" t="str">
        <f>IFERROR(__xludf.DUMMYFUNCTION("""COMPUTED_VALUE"""),"FIP Engineering")</f>
        <v>FIP Engineering</v>
      </c>
      <c r="O5462" s="6" t="str">
        <f>IFERROR(__xludf.DUMMYFUNCTION("""COMPUTED_VALUE"""),"FIP-DOM-000-11304-OS00001-INA-000000")</f>
        <v>FIP-DOM-000-11304-OS00001-INA-000000</v>
      </c>
      <c r="P5462" s="6" t="str">
        <f>IFERROR(__xludf.DUMMYFUNCTION("""COMPUTED_VALUE"""),"PR Open")</f>
        <v>PR Open</v>
      </c>
      <c r="Q5462" s="6"/>
      <c r="R5462" s="57">
        <f>IFERROR(__xludf.DUMMYFUNCTION("""COMPUTED_VALUE"""),46252.0)</f>
        <v>46252</v>
      </c>
      <c r="S5462" s="57">
        <f>IFERROR(__xludf.DUMMYFUNCTION("""COMPUTED_VALUE"""),46254.0)</f>
        <v>46254</v>
      </c>
      <c r="T5462" s="6"/>
    </row>
    <row r="5463">
      <c r="A5463" s="6" t="str">
        <f>IFERROR(__xludf.DUMMYFUNCTION("""COMPUTED_VALUE"""),"121704549-2")</f>
        <v>121704549-2</v>
      </c>
      <c r="B5463" s="6" t="str">
        <f>IFERROR(__xludf.DUMMYFUNCTION("""COMPUTED_VALUE"""),"121704549 - APPROVED")</f>
        <v>121704549 - APPROVED</v>
      </c>
      <c r="C5463" s="6">
        <f>IFERROR(__xludf.DUMMYFUNCTION("""COMPUTED_VALUE"""),2.0)</f>
        <v>2</v>
      </c>
      <c r="D5463" s="6" t="str">
        <f>IFERROR(__xludf.DUMMYFUNCTION("""COMPUTED_VALUE"""),"P-12483-00")</f>
        <v>P-12483-00</v>
      </c>
      <c r="E5463" s="6" t="str">
        <f>IFERROR(__xludf.DUMMYFUNCTION("""COMPUTED_VALUE"""),"General - Mata Bor Besi, dia. 2.5 mm; NACHI; -; 1 pcs")</f>
        <v>General - Mata Bor Besi, dia. 2.5 mm; NACHI; -; 1 pcs</v>
      </c>
      <c r="F5463" s="6">
        <f>IFERROR(__xludf.DUMMYFUNCTION("""COMPUTED_VALUE"""),2.0)</f>
        <v>2</v>
      </c>
      <c r="G5463" s="6" t="str">
        <f>IFERROR(__xludf.DUMMYFUNCTION("""COMPUTED_VALUE"""),"Pieces")</f>
        <v>Pieces</v>
      </c>
      <c r="H5463" s="6" t="str">
        <f>IFERROR(__xludf.DUMMYFUNCTION("""COMPUTED_VALUE"""),"IDR")</f>
        <v>IDR</v>
      </c>
      <c r="I5463" s="6">
        <f>IFERROR(__xludf.DUMMYFUNCTION("""COMPUTED_VALUE"""),23000.0)</f>
        <v>23000</v>
      </c>
      <c r="J5463" s="6">
        <f>IFERROR(__xludf.DUMMYFUNCTION("""COMPUTED_VALUE"""),46000.0)</f>
        <v>46000</v>
      </c>
      <c r="K5463" s="57">
        <f>IFERROR(__xludf.DUMMYFUNCTION("""COMPUTED_VALUE"""),46283.0)</f>
        <v>46283</v>
      </c>
      <c r="L5463" s="6" t="str">
        <f>IFERROR(__xludf.DUMMYFUNCTION("""COMPUTED_VALUE"""),"FIP Engineering")</f>
        <v>FIP Engineering</v>
      </c>
      <c r="M5463" s="6" t="str">
        <f>IFERROR(__xludf.DUMMYFUNCTION("""COMPUTED_VALUE"""),"Mochammad Fadhillah Hakim,")</f>
        <v>Mochammad Fadhillah Hakim,</v>
      </c>
      <c r="N5463" s="6" t="str">
        <f>IFERROR(__xludf.DUMMYFUNCTION("""COMPUTED_VALUE"""),"FIP Engineering")</f>
        <v>FIP Engineering</v>
      </c>
      <c r="O5463" s="6" t="str">
        <f>IFERROR(__xludf.DUMMYFUNCTION("""COMPUTED_VALUE"""),"FIP-DOM-000-11304-OS00001-INA-000000")</f>
        <v>FIP-DOM-000-11304-OS00001-INA-000000</v>
      </c>
      <c r="P5463" s="6" t="str">
        <f>IFERROR(__xludf.DUMMYFUNCTION("""COMPUTED_VALUE"""),"PR Open")</f>
        <v>PR Open</v>
      </c>
      <c r="Q5463" s="6"/>
      <c r="R5463" s="57">
        <f>IFERROR(__xludf.DUMMYFUNCTION("""COMPUTED_VALUE"""),46252.0)</f>
        <v>46252</v>
      </c>
      <c r="S5463" s="57">
        <f>IFERROR(__xludf.DUMMYFUNCTION("""COMPUTED_VALUE"""),46254.0)</f>
        <v>46254</v>
      </c>
      <c r="T5463" s="6"/>
    </row>
    <row r="5464">
      <c r="A5464" s="6" t="str">
        <f>IFERROR(__xludf.DUMMYFUNCTION("""COMPUTED_VALUE"""),"121704549-3")</f>
        <v>121704549-3</v>
      </c>
      <c r="B5464" s="6" t="str">
        <f>IFERROR(__xludf.DUMMYFUNCTION("""COMPUTED_VALUE"""),"121704549 - APPROVED")</f>
        <v>121704549 - APPROVED</v>
      </c>
      <c r="C5464" s="6">
        <f>IFERROR(__xludf.DUMMYFUNCTION("""COMPUTED_VALUE"""),3.0)</f>
        <v>3</v>
      </c>
      <c r="D5464" s="6" t="str">
        <f>IFERROR(__xludf.DUMMYFUNCTION("""COMPUTED_VALUE"""),"P-12485-00")</f>
        <v>P-12485-00</v>
      </c>
      <c r="E5464" s="6" t="str">
        <f>IFERROR(__xludf.DUMMYFUNCTION("""COMPUTED_VALUE"""),"General - Mata Bor Besi, dia. 3 mm; NACHI; -; 1 pcs")</f>
        <v>General - Mata Bor Besi, dia. 3 mm; NACHI; -; 1 pcs</v>
      </c>
      <c r="F5464" s="6">
        <f>IFERROR(__xludf.DUMMYFUNCTION("""COMPUTED_VALUE"""),2.0)</f>
        <v>2</v>
      </c>
      <c r="G5464" s="6" t="str">
        <f>IFERROR(__xludf.DUMMYFUNCTION("""COMPUTED_VALUE"""),"Pieces")</f>
        <v>Pieces</v>
      </c>
      <c r="H5464" s="6" t="str">
        <f>IFERROR(__xludf.DUMMYFUNCTION("""COMPUTED_VALUE"""),"IDR")</f>
        <v>IDR</v>
      </c>
      <c r="I5464" s="6">
        <f>IFERROR(__xludf.DUMMYFUNCTION("""COMPUTED_VALUE"""),25000.0)</f>
        <v>25000</v>
      </c>
      <c r="J5464" s="6">
        <f>IFERROR(__xludf.DUMMYFUNCTION("""COMPUTED_VALUE"""),50000.0)</f>
        <v>50000</v>
      </c>
      <c r="K5464" s="57">
        <f>IFERROR(__xludf.DUMMYFUNCTION("""COMPUTED_VALUE"""),46283.0)</f>
        <v>46283</v>
      </c>
      <c r="L5464" s="6" t="str">
        <f>IFERROR(__xludf.DUMMYFUNCTION("""COMPUTED_VALUE"""),"FIP Engineering")</f>
        <v>FIP Engineering</v>
      </c>
      <c r="M5464" s="6" t="str">
        <f>IFERROR(__xludf.DUMMYFUNCTION("""COMPUTED_VALUE"""),"Mochammad Fadhillah Hakim,")</f>
        <v>Mochammad Fadhillah Hakim,</v>
      </c>
      <c r="N5464" s="6" t="str">
        <f>IFERROR(__xludf.DUMMYFUNCTION("""COMPUTED_VALUE"""),"FIP Engineering")</f>
        <v>FIP Engineering</v>
      </c>
      <c r="O5464" s="6" t="str">
        <f>IFERROR(__xludf.DUMMYFUNCTION("""COMPUTED_VALUE"""),"FIP-DOM-000-11304-OS00001-INA-000000")</f>
        <v>FIP-DOM-000-11304-OS00001-INA-000000</v>
      </c>
      <c r="P5464" s="6" t="str">
        <f>IFERROR(__xludf.DUMMYFUNCTION("""COMPUTED_VALUE"""),"PR Open")</f>
        <v>PR Open</v>
      </c>
      <c r="Q5464" s="6"/>
      <c r="R5464" s="57">
        <f>IFERROR(__xludf.DUMMYFUNCTION("""COMPUTED_VALUE"""),46252.0)</f>
        <v>46252</v>
      </c>
      <c r="S5464" s="57">
        <f>IFERROR(__xludf.DUMMYFUNCTION("""COMPUTED_VALUE"""),46254.0)</f>
        <v>46254</v>
      </c>
      <c r="T5464" s="6"/>
    </row>
    <row r="5465">
      <c r="A5465" s="6" t="str">
        <f>IFERROR(__xludf.DUMMYFUNCTION("""COMPUTED_VALUE"""),"121704549-4")</f>
        <v>121704549-4</v>
      </c>
      <c r="B5465" s="6" t="str">
        <f>IFERROR(__xludf.DUMMYFUNCTION("""COMPUTED_VALUE"""),"121704549 - APPROVED")</f>
        <v>121704549 - APPROVED</v>
      </c>
      <c r="C5465" s="6">
        <f>IFERROR(__xludf.DUMMYFUNCTION("""COMPUTED_VALUE"""),4.0)</f>
        <v>4</v>
      </c>
      <c r="D5465" s="6" t="str">
        <f>IFERROR(__xludf.DUMMYFUNCTION("""COMPUTED_VALUE"""),"P-12487-00")</f>
        <v>P-12487-00</v>
      </c>
      <c r="E5465" s="6" t="str">
        <f>IFERROR(__xludf.DUMMYFUNCTION("""COMPUTED_VALUE"""),"General - Mata Bor Besi, dia. 3.5 mm; NACHI; -; 1 pcs")</f>
        <v>General - Mata Bor Besi, dia. 3.5 mm; NACHI; -; 1 pcs</v>
      </c>
      <c r="F5465" s="6">
        <f>IFERROR(__xludf.DUMMYFUNCTION("""COMPUTED_VALUE"""),2.0)</f>
        <v>2</v>
      </c>
      <c r="G5465" s="6" t="str">
        <f>IFERROR(__xludf.DUMMYFUNCTION("""COMPUTED_VALUE"""),"Pieces")</f>
        <v>Pieces</v>
      </c>
      <c r="H5465" s="6" t="str">
        <f>IFERROR(__xludf.DUMMYFUNCTION("""COMPUTED_VALUE"""),"IDR")</f>
        <v>IDR</v>
      </c>
      <c r="I5465" s="6">
        <f>IFERROR(__xludf.DUMMYFUNCTION("""COMPUTED_VALUE"""),27000.0)</f>
        <v>27000</v>
      </c>
      <c r="J5465" s="6">
        <f>IFERROR(__xludf.DUMMYFUNCTION("""COMPUTED_VALUE"""),54000.0)</f>
        <v>54000</v>
      </c>
      <c r="K5465" s="57">
        <f>IFERROR(__xludf.DUMMYFUNCTION("""COMPUTED_VALUE"""),46283.0)</f>
        <v>46283</v>
      </c>
      <c r="L5465" s="6" t="str">
        <f>IFERROR(__xludf.DUMMYFUNCTION("""COMPUTED_VALUE"""),"FIP Engineering")</f>
        <v>FIP Engineering</v>
      </c>
      <c r="M5465" s="6" t="str">
        <f>IFERROR(__xludf.DUMMYFUNCTION("""COMPUTED_VALUE"""),"Mochammad Fadhillah Hakim,")</f>
        <v>Mochammad Fadhillah Hakim,</v>
      </c>
      <c r="N5465" s="6" t="str">
        <f>IFERROR(__xludf.DUMMYFUNCTION("""COMPUTED_VALUE"""),"FIP Engineering")</f>
        <v>FIP Engineering</v>
      </c>
      <c r="O5465" s="6" t="str">
        <f>IFERROR(__xludf.DUMMYFUNCTION("""COMPUTED_VALUE"""),"FIP-DOM-000-11304-OS00001-INA-000000")</f>
        <v>FIP-DOM-000-11304-OS00001-INA-000000</v>
      </c>
      <c r="P5465" s="6" t="str">
        <f>IFERROR(__xludf.DUMMYFUNCTION("""COMPUTED_VALUE"""),"PR Open")</f>
        <v>PR Open</v>
      </c>
      <c r="Q5465" s="6"/>
      <c r="R5465" s="57">
        <f>IFERROR(__xludf.DUMMYFUNCTION("""COMPUTED_VALUE"""),46252.0)</f>
        <v>46252</v>
      </c>
      <c r="S5465" s="57">
        <f>IFERROR(__xludf.DUMMYFUNCTION("""COMPUTED_VALUE"""),46254.0)</f>
        <v>46254</v>
      </c>
      <c r="T5465" s="6"/>
    </row>
    <row r="5466">
      <c r="A5466" s="6" t="str">
        <f>IFERROR(__xludf.DUMMYFUNCTION("""COMPUTED_VALUE"""),"121704549-5")</f>
        <v>121704549-5</v>
      </c>
      <c r="B5466" s="6" t="str">
        <f>IFERROR(__xludf.DUMMYFUNCTION("""COMPUTED_VALUE"""),"121704549 - APPROVED")</f>
        <v>121704549 - APPROVED</v>
      </c>
      <c r="C5466" s="6">
        <f>IFERROR(__xludf.DUMMYFUNCTION("""COMPUTED_VALUE"""),5.0)</f>
        <v>5</v>
      </c>
      <c r="D5466" s="6" t="str">
        <f>IFERROR(__xludf.DUMMYFUNCTION("""COMPUTED_VALUE"""),"P-12488-00")</f>
        <v>P-12488-00</v>
      </c>
      <c r="E5466" s="6" t="str">
        <f>IFERROR(__xludf.DUMMYFUNCTION("""COMPUTED_VALUE"""),"General - Mata Bor Besi, dia. 4 mm; NACHI; -; 1 pcs")</f>
        <v>General - Mata Bor Besi, dia. 4 mm; NACHI; -; 1 pcs</v>
      </c>
      <c r="F5466" s="6">
        <f>IFERROR(__xludf.DUMMYFUNCTION("""COMPUTED_VALUE"""),2.0)</f>
        <v>2</v>
      </c>
      <c r="G5466" s="6" t="str">
        <f>IFERROR(__xludf.DUMMYFUNCTION("""COMPUTED_VALUE"""),"Pieces")</f>
        <v>Pieces</v>
      </c>
      <c r="H5466" s="6" t="str">
        <f>IFERROR(__xludf.DUMMYFUNCTION("""COMPUTED_VALUE"""),"IDR")</f>
        <v>IDR</v>
      </c>
      <c r="I5466" s="6">
        <f>IFERROR(__xludf.DUMMYFUNCTION("""COMPUTED_VALUE"""),30000.0)</f>
        <v>30000</v>
      </c>
      <c r="J5466" s="6">
        <f>IFERROR(__xludf.DUMMYFUNCTION("""COMPUTED_VALUE"""),60000.0)</f>
        <v>60000</v>
      </c>
      <c r="K5466" s="57">
        <f>IFERROR(__xludf.DUMMYFUNCTION("""COMPUTED_VALUE"""),46283.0)</f>
        <v>46283</v>
      </c>
      <c r="L5466" s="6" t="str">
        <f>IFERROR(__xludf.DUMMYFUNCTION("""COMPUTED_VALUE"""),"FIP Engineering")</f>
        <v>FIP Engineering</v>
      </c>
      <c r="M5466" s="6" t="str">
        <f>IFERROR(__xludf.DUMMYFUNCTION("""COMPUTED_VALUE"""),"Mochammad Fadhillah Hakim,")</f>
        <v>Mochammad Fadhillah Hakim,</v>
      </c>
      <c r="N5466" s="6" t="str">
        <f>IFERROR(__xludf.DUMMYFUNCTION("""COMPUTED_VALUE"""),"FIP Engineering")</f>
        <v>FIP Engineering</v>
      </c>
      <c r="O5466" s="6" t="str">
        <f>IFERROR(__xludf.DUMMYFUNCTION("""COMPUTED_VALUE"""),"FIP-DOM-000-11304-OS00001-INA-000000")</f>
        <v>FIP-DOM-000-11304-OS00001-INA-000000</v>
      </c>
      <c r="P5466" s="6" t="str">
        <f>IFERROR(__xludf.DUMMYFUNCTION("""COMPUTED_VALUE"""),"PR Open")</f>
        <v>PR Open</v>
      </c>
      <c r="Q5466" s="6"/>
      <c r="R5466" s="57">
        <f>IFERROR(__xludf.DUMMYFUNCTION("""COMPUTED_VALUE"""),46252.0)</f>
        <v>46252</v>
      </c>
      <c r="S5466" s="57">
        <f>IFERROR(__xludf.DUMMYFUNCTION("""COMPUTED_VALUE"""),46254.0)</f>
        <v>46254</v>
      </c>
      <c r="T5466" s="6"/>
    </row>
    <row r="5467">
      <c r="A5467" s="6" t="str">
        <f>IFERROR(__xludf.DUMMYFUNCTION("""COMPUTED_VALUE"""),"121704549-6")</f>
        <v>121704549-6</v>
      </c>
      <c r="B5467" s="6" t="str">
        <f>IFERROR(__xludf.DUMMYFUNCTION("""COMPUTED_VALUE"""),"121704549 - APPROVED")</f>
        <v>121704549 - APPROVED</v>
      </c>
      <c r="C5467" s="6">
        <f>IFERROR(__xludf.DUMMYFUNCTION("""COMPUTED_VALUE"""),6.0)</f>
        <v>6</v>
      </c>
      <c r="D5467" s="6" t="str">
        <f>IFERROR(__xludf.DUMMYFUNCTION("""COMPUTED_VALUE"""),"P-15774-00")</f>
        <v>P-15774-00</v>
      </c>
      <c r="E5467" s="6" t="str">
        <f>IFERROR(__xludf.DUMMYFUNCTION("""COMPUTED_VALUE"""),"General - Tee, SS 304, Sch 10, Butt Welded, 1 x 1inch; No Brand; -; 1 pcs")</f>
        <v>General - Tee, SS 304, Sch 10, Butt Welded, 1 x 1inch; No Brand; -; 1 pcs</v>
      </c>
      <c r="F5467" s="6">
        <f>IFERROR(__xludf.DUMMYFUNCTION("""COMPUTED_VALUE"""),4.0)</f>
        <v>4</v>
      </c>
      <c r="G5467" s="6" t="str">
        <f>IFERROR(__xludf.DUMMYFUNCTION("""COMPUTED_VALUE"""),"Pieces")</f>
        <v>Pieces</v>
      </c>
      <c r="H5467" s="6" t="str">
        <f>IFERROR(__xludf.DUMMYFUNCTION("""COMPUTED_VALUE"""),"IDR")</f>
        <v>IDR</v>
      </c>
      <c r="I5467" s="6">
        <f>IFERROR(__xludf.DUMMYFUNCTION("""COMPUTED_VALUE"""),135000.0)</f>
        <v>135000</v>
      </c>
      <c r="J5467" s="6">
        <f>IFERROR(__xludf.DUMMYFUNCTION("""COMPUTED_VALUE"""),540000.0)</f>
        <v>540000</v>
      </c>
      <c r="K5467" s="57">
        <f>IFERROR(__xludf.DUMMYFUNCTION("""COMPUTED_VALUE"""),46283.0)</f>
        <v>46283</v>
      </c>
      <c r="L5467" s="6" t="str">
        <f>IFERROR(__xludf.DUMMYFUNCTION("""COMPUTED_VALUE"""),"FIP General")</f>
        <v>FIP General</v>
      </c>
      <c r="M5467" s="6" t="str">
        <f>IFERROR(__xludf.DUMMYFUNCTION("""COMPUTED_VALUE"""),"Mochammad Fadhillah Hakim,")</f>
        <v>Mochammad Fadhillah Hakim,</v>
      </c>
      <c r="N5467" s="6" t="str">
        <f>IFERROR(__xludf.DUMMYFUNCTION("""COMPUTED_VALUE"""),"FIP Engineering")</f>
        <v>FIP Engineering</v>
      </c>
      <c r="O5467" s="6" t="str">
        <f>IFERROR(__xludf.DUMMYFUNCTION("""COMPUTED_VALUE"""),"FIP-DOM-ENG-51404-0000000-INA-000000")</f>
        <v>FIP-DOM-ENG-51404-0000000-INA-000000</v>
      </c>
      <c r="P5467" s="6" t="str">
        <f>IFERROR(__xludf.DUMMYFUNCTION("""COMPUTED_VALUE"""),"PO Open")</f>
        <v>PO Open</v>
      </c>
      <c r="Q5467" s="6" t="str">
        <f>IFERROR(__xludf.DUMMYFUNCTION("""COMPUTED_VALUE"""),"GL2609021")</f>
        <v>GL2609021</v>
      </c>
      <c r="R5467" s="57">
        <f>IFERROR(__xludf.DUMMYFUNCTION("""COMPUTED_VALUE"""),46252.0)</f>
        <v>46252</v>
      </c>
      <c r="S5467" s="57">
        <f>IFERROR(__xludf.DUMMYFUNCTION("""COMPUTED_VALUE"""),46254.0)</f>
        <v>46254</v>
      </c>
      <c r="T5467" s="57">
        <f>IFERROR(__xludf.DUMMYFUNCTION("""COMPUTED_VALUE"""),46315.0)</f>
        <v>46315</v>
      </c>
    </row>
    <row r="5468">
      <c r="A5468" s="6" t="str">
        <f>IFERROR(__xludf.DUMMYFUNCTION("""COMPUTED_VALUE"""),"121704549-7")</f>
        <v>121704549-7</v>
      </c>
      <c r="B5468" s="6" t="str">
        <f>IFERROR(__xludf.DUMMYFUNCTION("""COMPUTED_VALUE"""),"121704549 - APPROVED")</f>
        <v>121704549 - APPROVED</v>
      </c>
      <c r="C5468" s="6">
        <f>IFERROR(__xludf.DUMMYFUNCTION("""COMPUTED_VALUE"""),7.0)</f>
        <v>7</v>
      </c>
      <c r="D5468" s="6" t="str">
        <f>IFERROR(__xludf.DUMMYFUNCTION("""COMPUTED_VALUE"""),"P-20883-00")</f>
        <v>P-20883-00</v>
      </c>
      <c r="E5468" s="6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F5468" s="6">
        <f>IFERROR(__xludf.DUMMYFUNCTION("""COMPUTED_VALUE"""),1.0)</f>
        <v>1</v>
      </c>
      <c r="G5468" s="6" t="str">
        <f>IFERROR(__xludf.DUMMYFUNCTION("""COMPUTED_VALUE"""),"Set")</f>
        <v>Set</v>
      </c>
      <c r="H5468" s="6" t="str">
        <f>IFERROR(__xludf.DUMMYFUNCTION("""COMPUTED_VALUE"""),"IDR")</f>
        <v>IDR</v>
      </c>
      <c r="I5468" s="6">
        <f>IFERROR(__xludf.DUMMYFUNCTION("""COMPUTED_VALUE"""),75000.0)</f>
        <v>75000</v>
      </c>
      <c r="J5468" s="6">
        <f>IFERROR(__xludf.DUMMYFUNCTION("""COMPUTED_VALUE"""),75000.0)</f>
        <v>75000</v>
      </c>
      <c r="K5468" s="57">
        <f>IFERROR(__xludf.DUMMYFUNCTION("""COMPUTED_VALUE"""),46283.0)</f>
        <v>46283</v>
      </c>
      <c r="L5468" s="6" t="str">
        <f>IFERROR(__xludf.DUMMYFUNCTION("""COMPUTED_VALUE"""),"FIP Engineering")</f>
        <v>FIP Engineering</v>
      </c>
      <c r="M5468" s="6" t="str">
        <f>IFERROR(__xludf.DUMMYFUNCTION("""COMPUTED_VALUE"""),"Mochammad Fadhillah Hakim,")</f>
        <v>Mochammad Fadhillah Hakim,</v>
      </c>
      <c r="N5468" s="6" t="str">
        <f>IFERROR(__xludf.DUMMYFUNCTION("""COMPUTED_VALUE"""),"FIP Engineering")</f>
        <v>FIP Engineering</v>
      </c>
      <c r="O5468" s="6" t="str">
        <f>IFERROR(__xludf.DUMMYFUNCTION("""COMPUTED_VALUE"""),"FIP-DOM-000-11304-OS00001-INA-000000")</f>
        <v>FIP-DOM-000-11304-OS00001-INA-000000</v>
      </c>
      <c r="P5468" s="6" t="str">
        <f>IFERROR(__xludf.DUMMYFUNCTION("""COMPUTED_VALUE"""),"PO Open")</f>
        <v>PO Open</v>
      </c>
      <c r="Q5468" s="6" t="str">
        <f>IFERROR(__xludf.DUMMYFUNCTION("""COMPUTED_VALUE"""),"GL2609428")</f>
        <v>GL2609428</v>
      </c>
      <c r="R5468" s="57">
        <f>IFERROR(__xludf.DUMMYFUNCTION("""COMPUTED_VALUE"""),46252.0)</f>
        <v>46252</v>
      </c>
      <c r="S5468" s="57">
        <f>IFERROR(__xludf.DUMMYFUNCTION("""COMPUTED_VALUE"""),46254.0)</f>
        <v>46254</v>
      </c>
      <c r="T5468" s="57">
        <f>IFERROR(__xludf.DUMMYFUNCTION("""COMPUTED_VALUE"""),46300.0)</f>
        <v>46300</v>
      </c>
    </row>
    <row r="5469">
      <c r="A5469" s="6" t="str">
        <f>IFERROR(__xludf.DUMMYFUNCTION("""COMPUTED_VALUE"""),"121704549-8")</f>
        <v>121704549-8</v>
      </c>
      <c r="B5469" s="6" t="str">
        <f>IFERROR(__xludf.DUMMYFUNCTION("""COMPUTED_VALUE"""),"121704549 - APPROVED")</f>
        <v>121704549 - APPROVED</v>
      </c>
      <c r="C5469" s="6">
        <f>IFERROR(__xludf.DUMMYFUNCTION("""COMPUTED_VALUE"""),8.0)</f>
        <v>8</v>
      </c>
      <c r="D5469" s="6" t="str">
        <f>IFERROR(__xludf.DUMMYFUNCTION("""COMPUTED_VALUE"""),"P-20913-00")</f>
        <v>P-20913-00</v>
      </c>
      <c r="E5469" s="6" t="str">
        <f>IFERROR(__xludf.DUMMYFUNCTION("""COMPUTED_VALUE"""),"Chemical - Spotcheck Red Penetrant; Magnaflux; SKL-SP2; 400ml/can")</f>
        <v>Chemical - Spotcheck Red Penetrant; Magnaflux; SKL-SP2; 400ml/can</v>
      </c>
      <c r="F5469" s="6">
        <f>IFERROR(__xludf.DUMMYFUNCTION("""COMPUTED_VALUE"""),5.0)</f>
        <v>5</v>
      </c>
      <c r="G5469" s="6" t="str">
        <f>IFERROR(__xludf.DUMMYFUNCTION("""COMPUTED_VALUE"""),"Can")</f>
        <v>Can</v>
      </c>
      <c r="H5469" s="6" t="str">
        <f>IFERROR(__xludf.DUMMYFUNCTION("""COMPUTED_VALUE"""),"IDR")</f>
        <v>IDR</v>
      </c>
      <c r="I5469" s="6">
        <f>IFERROR(__xludf.DUMMYFUNCTION("""COMPUTED_VALUE"""),95000.0)</f>
        <v>95000</v>
      </c>
      <c r="J5469" s="6">
        <f>IFERROR(__xludf.DUMMYFUNCTION("""COMPUTED_VALUE"""),475000.0)</f>
        <v>475000</v>
      </c>
      <c r="K5469" s="57">
        <f>IFERROR(__xludf.DUMMYFUNCTION("""COMPUTED_VALUE"""),46283.0)</f>
        <v>46283</v>
      </c>
      <c r="L5469" s="6" t="str">
        <f>IFERROR(__xludf.DUMMYFUNCTION("""COMPUTED_VALUE"""),"FIP Engineering")</f>
        <v>FIP Engineering</v>
      </c>
      <c r="M5469" s="6" t="str">
        <f>IFERROR(__xludf.DUMMYFUNCTION("""COMPUTED_VALUE"""),"Mochammad Fadhillah Hakim,")</f>
        <v>Mochammad Fadhillah Hakim,</v>
      </c>
      <c r="N5469" s="6" t="str">
        <f>IFERROR(__xludf.DUMMYFUNCTION("""COMPUTED_VALUE"""),"FIP Engineering")</f>
        <v>FIP Engineering</v>
      </c>
      <c r="O5469" s="6" t="str">
        <f>IFERROR(__xludf.DUMMYFUNCTION("""COMPUTED_VALUE"""),"FIP-DOM-000-11304-OS00001-INA-000000")</f>
        <v>FIP-DOM-000-11304-OS00001-INA-000000</v>
      </c>
      <c r="P5469" s="6" t="str">
        <f>IFERROR(__xludf.DUMMYFUNCTION("""COMPUTED_VALUE"""),"PR Open")</f>
        <v>PR Open</v>
      </c>
      <c r="Q5469" s="6"/>
      <c r="R5469" s="57">
        <f>IFERROR(__xludf.DUMMYFUNCTION("""COMPUTED_VALUE"""),46252.0)</f>
        <v>46252</v>
      </c>
      <c r="S5469" s="57">
        <f>IFERROR(__xludf.DUMMYFUNCTION("""COMPUTED_VALUE"""),46254.0)</f>
        <v>46254</v>
      </c>
      <c r="T5469" s="57">
        <f>IFERROR(__xludf.DUMMYFUNCTION("""COMPUTED_VALUE"""),46283.0)</f>
        <v>46283</v>
      </c>
    </row>
    <row r="5470">
      <c r="A5470" s="6" t="str">
        <f>IFERROR(__xludf.DUMMYFUNCTION("""COMPUTED_VALUE"""),"121704549-9")</f>
        <v>121704549-9</v>
      </c>
      <c r="B5470" s="6" t="str">
        <f>IFERROR(__xludf.DUMMYFUNCTION("""COMPUTED_VALUE"""),"121704549 - APPROVED")</f>
        <v>121704549 - APPROVED</v>
      </c>
      <c r="C5470" s="6">
        <f>IFERROR(__xludf.DUMMYFUNCTION("""COMPUTED_VALUE"""),9.0)</f>
        <v>9</v>
      </c>
      <c r="D5470" s="6" t="str">
        <f>IFERROR(__xludf.DUMMYFUNCTION("""COMPUTED_VALUE"""),"P-20914-00")</f>
        <v>P-20914-00</v>
      </c>
      <c r="E5470" s="6" t="str">
        <f>IFERROR(__xludf.DUMMYFUNCTION("""COMPUTED_VALUE"""),"Chemical - Spotcheck Cleaner; Magnaflux; SKC-S; 400ml/can")</f>
        <v>Chemical - Spotcheck Cleaner; Magnaflux; SKC-S; 400ml/can</v>
      </c>
      <c r="F5470" s="6">
        <f>IFERROR(__xludf.DUMMYFUNCTION("""COMPUTED_VALUE"""),5.0)</f>
        <v>5</v>
      </c>
      <c r="G5470" s="6" t="str">
        <f>IFERROR(__xludf.DUMMYFUNCTION("""COMPUTED_VALUE"""),"Can")</f>
        <v>Can</v>
      </c>
      <c r="H5470" s="6" t="str">
        <f>IFERROR(__xludf.DUMMYFUNCTION("""COMPUTED_VALUE"""),"IDR")</f>
        <v>IDR</v>
      </c>
      <c r="I5470" s="6">
        <f>IFERROR(__xludf.DUMMYFUNCTION("""COMPUTED_VALUE"""),95000.0)</f>
        <v>95000</v>
      </c>
      <c r="J5470" s="6">
        <f>IFERROR(__xludf.DUMMYFUNCTION("""COMPUTED_VALUE"""),475000.0)</f>
        <v>475000</v>
      </c>
      <c r="K5470" s="57">
        <f>IFERROR(__xludf.DUMMYFUNCTION("""COMPUTED_VALUE"""),46283.0)</f>
        <v>46283</v>
      </c>
      <c r="L5470" s="6" t="str">
        <f>IFERROR(__xludf.DUMMYFUNCTION("""COMPUTED_VALUE"""),"FIP Engineering")</f>
        <v>FIP Engineering</v>
      </c>
      <c r="M5470" s="6" t="str">
        <f>IFERROR(__xludf.DUMMYFUNCTION("""COMPUTED_VALUE"""),"Mochammad Fadhillah Hakim,")</f>
        <v>Mochammad Fadhillah Hakim,</v>
      </c>
      <c r="N5470" s="6" t="str">
        <f>IFERROR(__xludf.DUMMYFUNCTION("""COMPUTED_VALUE"""),"FIP Engineering")</f>
        <v>FIP Engineering</v>
      </c>
      <c r="O5470" s="6" t="str">
        <f>IFERROR(__xludf.DUMMYFUNCTION("""COMPUTED_VALUE"""),"FIP-DOM-000-11304-OS00001-INA-000000")</f>
        <v>FIP-DOM-000-11304-OS00001-INA-000000</v>
      </c>
      <c r="P5470" s="6" t="str">
        <f>IFERROR(__xludf.DUMMYFUNCTION("""COMPUTED_VALUE"""),"PR Open")</f>
        <v>PR Open</v>
      </c>
      <c r="Q5470" s="6"/>
      <c r="R5470" s="57">
        <f>IFERROR(__xludf.DUMMYFUNCTION("""COMPUTED_VALUE"""),46252.0)</f>
        <v>46252</v>
      </c>
      <c r="S5470" s="57">
        <f>IFERROR(__xludf.DUMMYFUNCTION("""COMPUTED_VALUE"""),46254.0)</f>
        <v>46254</v>
      </c>
      <c r="T5470" s="6"/>
    </row>
    <row r="5471">
      <c r="A5471" s="6" t="str">
        <f>IFERROR(__xludf.DUMMYFUNCTION("""COMPUTED_VALUE"""),"121704549-10")</f>
        <v>121704549-10</v>
      </c>
      <c r="B5471" s="6" t="str">
        <f>IFERROR(__xludf.DUMMYFUNCTION("""COMPUTED_VALUE"""),"121704549 - APPROVED")</f>
        <v>121704549 - APPROVED</v>
      </c>
      <c r="C5471" s="6">
        <f>IFERROR(__xludf.DUMMYFUNCTION("""COMPUTED_VALUE"""),10.0)</f>
        <v>10</v>
      </c>
      <c r="D5471" s="6" t="str">
        <f>IFERROR(__xludf.DUMMYFUNCTION("""COMPUTED_VALUE"""),"P-20929-00")</f>
        <v>P-20929-00</v>
      </c>
      <c r="E5471" s="6" t="str">
        <f>IFERROR(__xludf.DUMMYFUNCTION("""COMPUTED_VALUE"""),"General - Spotcheck Developer; Magnaflux; SKD-S2; 400 ml/can")</f>
        <v>General - Spotcheck Developer; Magnaflux; SKD-S2; 400 ml/can</v>
      </c>
      <c r="F5471" s="6">
        <f>IFERROR(__xludf.DUMMYFUNCTION("""COMPUTED_VALUE"""),5.0)</f>
        <v>5</v>
      </c>
      <c r="G5471" s="6" t="str">
        <f>IFERROR(__xludf.DUMMYFUNCTION("""COMPUTED_VALUE"""),"Can")</f>
        <v>Can</v>
      </c>
      <c r="H5471" s="6" t="str">
        <f>IFERROR(__xludf.DUMMYFUNCTION("""COMPUTED_VALUE"""),"IDR")</f>
        <v>IDR</v>
      </c>
      <c r="I5471" s="6">
        <f>IFERROR(__xludf.DUMMYFUNCTION("""COMPUTED_VALUE"""),97500.0)</f>
        <v>97500</v>
      </c>
      <c r="J5471" s="6">
        <f>IFERROR(__xludf.DUMMYFUNCTION("""COMPUTED_VALUE"""),487500.0)</f>
        <v>487500</v>
      </c>
      <c r="K5471" s="57">
        <f>IFERROR(__xludf.DUMMYFUNCTION("""COMPUTED_VALUE"""),46283.0)</f>
        <v>46283</v>
      </c>
      <c r="L5471" s="6" t="str">
        <f>IFERROR(__xludf.DUMMYFUNCTION("""COMPUTED_VALUE"""),"FIP Engineering")</f>
        <v>FIP Engineering</v>
      </c>
      <c r="M5471" s="6" t="str">
        <f>IFERROR(__xludf.DUMMYFUNCTION("""COMPUTED_VALUE"""),"Mochammad Fadhillah Hakim,")</f>
        <v>Mochammad Fadhillah Hakim,</v>
      </c>
      <c r="N5471" s="6" t="str">
        <f>IFERROR(__xludf.DUMMYFUNCTION("""COMPUTED_VALUE"""),"FIP Engineering")</f>
        <v>FIP Engineering</v>
      </c>
      <c r="O5471" s="6" t="str">
        <f>IFERROR(__xludf.DUMMYFUNCTION("""COMPUTED_VALUE"""),"FIP-DOM-000-11304-OS00001-INA-000000")</f>
        <v>FIP-DOM-000-11304-OS00001-INA-000000</v>
      </c>
      <c r="P5471" s="6" t="str">
        <f>IFERROR(__xludf.DUMMYFUNCTION("""COMPUTED_VALUE"""),"PR Open")</f>
        <v>PR Open</v>
      </c>
      <c r="Q5471" s="6"/>
      <c r="R5471" s="57">
        <f>IFERROR(__xludf.DUMMYFUNCTION("""COMPUTED_VALUE"""),46252.0)</f>
        <v>46252</v>
      </c>
      <c r="S5471" s="57">
        <f>IFERROR(__xludf.DUMMYFUNCTION("""COMPUTED_VALUE"""),46254.0)</f>
        <v>46254</v>
      </c>
      <c r="T5471" s="6"/>
    </row>
    <row r="5472">
      <c r="A5472" s="6" t="str">
        <f>IFERROR(__xludf.DUMMYFUNCTION("""COMPUTED_VALUE"""),"121704549-11")</f>
        <v>121704549-11</v>
      </c>
      <c r="B5472" s="6" t="str">
        <f>IFERROR(__xludf.DUMMYFUNCTION("""COMPUTED_VALUE"""),"121704549 - APPROVED")</f>
        <v>121704549 - APPROVED</v>
      </c>
      <c r="C5472" s="6">
        <f>IFERROR(__xludf.DUMMYFUNCTION("""COMPUTED_VALUE"""),11.0)</f>
        <v>11</v>
      </c>
      <c r="D5472" s="6" t="str">
        <f>IFERROR(__xludf.DUMMYFUNCTION("""COMPUTED_VALUE"""),"P-54712-00")</f>
        <v>P-54712-00</v>
      </c>
      <c r="E5472" s="6" t="str">
        <f>IFERROR(__xludf.DUMMYFUNCTION("""COMPUTED_VALUE"""),"General - Mesin Drain Cleaner 30 Meter; STG; GQ75; 1 unit")</f>
        <v>General - Mesin Drain Cleaner 30 Meter; STG; GQ75; 1 unit</v>
      </c>
      <c r="F5472" s="6">
        <f>IFERROR(__xludf.DUMMYFUNCTION("""COMPUTED_VALUE"""),1.0)</f>
        <v>1</v>
      </c>
      <c r="G5472" s="6" t="str">
        <f>IFERROR(__xludf.DUMMYFUNCTION("""COMPUTED_VALUE"""),"Unit")</f>
        <v>Unit</v>
      </c>
      <c r="H5472" s="6" t="str">
        <f>IFERROR(__xludf.DUMMYFUNCTION("""COMPUTED_VALUE"""),"IDR")</f>
        <v>IDR</v>
      </c>
      <c r="I5472" s="6">
        <f>IFERROR(__xludf.DUMMYFUNCTION("""COMPUTED_VALUE"""),4650000.0)</f>
        <v>4650000</v>
      </c>
      <c r="J5472" s="6">
        <f>IFERROR(__xludf.DUMMYFUNCTION("""COMPUTED_VALUE"""),4650000.0)</f>
        <v>4650000</v>
      </c>
      <c r="K5472" s="57">
        <f>IFERROR(__xludf.DUMMYFUNCTION("""COMPUTED_VALUE"""),46283.0)</f>
        <v>46283</v>
      </c>
      <c r="L5472" s="6" t="str">
        <f>IFERROR(__xludf.DUMMYFUNCTION("""COMPUTED_VALUE"""),"FIP Engineering")</f>
        <v>FIP Engineering</v>
      </c>
      <c r="M5472" s="6" t="str">
        <f>IFERROR(__xludf.DUMMYFUNCTION("""COMPUTED_VALUE"""),"Mochammad Fadhillah Hakim,")</f>
        <v>Mochammad Fadhillah Hakim,</v>
      </c>
      <c r="N5472" s="6" t="str">
        <f>IFERROR(__xludf.DUMMYFUNCTION("""COMPUTED_VALUE"""),"FIP Engineering")</f>
        <v>FIP Engineering</v>
      </c>
      <c r="O5472" s="6" t="str">
        <f>IFERROR(__xludf.DUMMYFUNCTION("""COMPUTED_VALUE"""),"FIP-DOM-000-11304-OS00001-INA-000000")</f>
        <v>FIP-DOM-000-11304-OS00001-INA-000000</v>
      </c>
      <c r="P5472" s="6" t="str">
        <f>IFERROR(__xludf.DUMMYFUNCTION("""COMPUTED_VALUE"""),"PR Open")</f>
        <v>PR Open</v>
      </c>
      <c r="Q5472" s="6"/>
      <c r="R5472" s="57">
        <f>IFERROR(__xludf.DUMMYFUNCTION("""COMPUTED_VALUE"""),46252.0)</f>
        <v>46252</v>
      </c>
      <c r="S5472" s="57">
        <f>IFERROR(__xludf.DUMMYFUNCTION("""COMPUTED_VALUE"""),46254.0)</f>
        <v>46254</v>
      </c>
      <c r="T5472" s="6"/>
    </row>
    <row r="5473">
      <c r="A5473" s="6" t="str">
        <f>IFERROR(__xludf.DUMMYFUNCTION("""COMPUTED_VALUE"""),"121704549-12")</f>
        <v>121704549-12</v>
      </c>
      <c r="B5473" s="6" t="str">
        <f>IFERROR(__xludf.DUMMYFUNCTION("""COMPUTED_VALUE"""),"121704549 - APPROVED")</f>
        <v>121704549 - APPROVED</v>
      </c>
      <c r="C5473" s="6">
        <f>IFERROR(__xludf.DUMMYFUNCTION("""COMPUTED_VALUE"""),12.0)</f>
        <v>12</v>
      </c>
      <c r="D5473" s="6" t="str">
        <f>IFERROR(__xludf.DUMMYFUNCTION("""COMPUTED_VALUE"""),"P-54713-00")</f>
        <v>P-54713-00</v>
      </c>
      <c r="E5473" s="6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F5473" s="6">
        <f>IFERROR(__xludf.DUMMYFUNCTION("""COMPUTED_VALUE"""),3.0)</f>
        <v>3</v>
      </c>
      <c r="G5473" s="6" t="str">
        <f>IFERROR(__xludf.DUMMYFUNCTION("""COMPUTED_VALUE"""),"Pieces")</f>
        <v>Pieces</v>
      </c>
      <c r="H5473" s="6" t="str">
        <f>IFERROR(__xludf.DUMMYFUNCTION("""COMPUTED_VALUE"""),"IDR")</f>
        <v>IDR</v>
      </c>
      <c r="I5473" s="6">
        <f>IFERROR(__xludf.DUMMYFUNCTION("""COMPUTED_VALUE"""),90000.0)</f>
        <v>90000</v>
      </c>
      <c r="J5473" s="6">
        <f>IFERROR(__xludf.DUMMYFUNCTION("""COMPUTED_VALUE"""),270000.0)</f>
        <v>270000</v>
      </c>
      <c r="K5473" s="57">
        <f>IFERROR(__xludf.DUMMYFUNCTION("""COMPUTED_VALUE"""),46283.0)</f>
        <v>46283</v>
      </c>
      <c r="L5473" s="6" t="str">
        <f>IFERROR(__xludf.DUMMYFUNCTION("""COMPUTED_VALUE"""),"FIP Engineering")</f>
        <v>FIP Engineering</v>
      </c>
      <c r="M5473" s="6" t="str">
        <f>IFERROR(__xludf.DUMMYFUNCTION("""COMPUTED_VALUE"""),"Mochammad Fadhillah Hakim,")</f>
        <v>Mochammad Fadhillah Hakim,</v>
      </c>
      <c r="N5473" s="6" t="str">
        <f>IFERROR(__xludf.DUMMYFUNCTION("""COMPUTED_VALUE"""),"FIP Engineering")</f>
        <v>FIP Engineering</v>
      </c>
      <c r="O5473" s="6" t="str">
        <f>IFERROR(__xludf.DUMMYFUNCTION("""COMPUTED_VALUE"""),"FIP-DOM-000-11304-OS00001-INA-000000")</f>
        <v>FIP-DOM-000-11304-OS00001-INA-000000</v>
      </c>
      <c r="P5473" s="6" t="str">
        <f>IFERROR(__xludf.DUMMYFUNCTION("""COMPUTED_VALUE"""),"PR Open")</f>
        <v>PR Open</v>
      </c>
      <c r="Q5473" s="6"/>
      <c r="R5473" s="57">
        <f>IFERROR(__xludf.DUMMYFUNCTION("""COMPUTED_VALUE"""),46252.0)</f>
        <v>46252</v>
      </c>
      <c r="S5473" s="57">
        <f>IFERROR(__xludf.DUMMYFUNCTION("""COMPUTED_VALUE"""),46254.0)</f>
        <v>46254</v>
      </c>
      <c r="T5473" s="6"/>
    </row>
    <row r="5474">
      <c r="A5474" s="6" t="str">
        <f>IFERROR(__xludf.DUMMYFUNCTION("""COMPUTED_VALUE"""),"121704549-13")</f>
        <v>121704549-13</v>
      </c>
      <c r="B5474" s="6" t="str">
        <f>IFERROR(__xludf.DUMMYFUNCTION("""COMPUTED_VALUE"""),"121704549 - APPROVED")</f>
        <v>121704549 - APPROVED</v>
      </c>
      <c r="C5474" s="6">
        <f>IFERROR(__xludf.DUMMYFUNCTION("""COMPUTED_VALUE"""),13.0)</f>
        <v>13</v>
      </c>
      <c r="D5474" s="6" t="str">
        <f>IFERROR(__xludf.DUMMYFUNCTION("""COMPUTED_VALUE"""),"P-54704-00")</f>
        <v>P-54704-00</v>
      </c>
      <c r="E5474" s="6" t="str">
        <f>IFERROR(__xludf.DUMMYFUNCTION("""COMPUTED_VALUE"""),"General - Saklar Emergency Stop Panel Box 1NC + 1NO; Fort; -; 1 set")</f>
        <v>General - Saklar Emergency Stop Panel Box 1NC + 1NO; Fort; -; 1 set</v>
      </c>
      <c r="F5474" s="6">
        <f>IFERROR(__xludf.DUMMYFUNCTION("""COMPUTED_VALUE"""),1.0)</f>
        <v>1</v>
      </c>
      <c r="G5474" s="6" t="str">
        <f>IFERROR(__xludf.DUMMYFUNCTION("""COMPUTED_VALUE"""),"Set")</f>
        <v>Set</v>
      </c>
      <c r="H5474" s="6" t="str">
        <f>IFERROR(__xludf.DUMMYFUNCTION("""COMPUTED_VALUE"""),"IDR")</f>
        <v>IDR</v>
      </c>
      <c r="I5474" s="6">
        <f>IFERROR(__xludf.DUMMYFUNCTION("""COMPUTED_VALUE"""),80000.0)</f>
        <v>80000</v>
      </c>
      <c r="J5474" s="6">
        <f>IFERROR(__xludf.DUMMYFUNCTION("""COMPUTED_VALUE"""),80000.0)</f>
        <v>80000</v>
      </c>
      <c r="K5474" s="57">
        <f>IFERROR(__xludf.DUMMYFUNCTION("""COMPUTED_VALUE"""),46254.0)</f>
        <v>46254</v>
      </c>
      <c r="L5474" s="6" t="str">
        <f>IFERROR(__xludf.DUMMYFUNCTION("""COMPUTED_VALUE"""),"FIP Engineering")</f>
        <v>FIP Engineering</v>
      </c>
      <c r="M5474" s="6" t="str">
        <f>IFERROR(__xludf.DUMMYFUNCTION("""COMPUTED_VALUE"""),"Mochammad Fadhillah Hakim,")</f>
        <v>Mochammad Fadhillah Hakim,</v>
      </c>
      <c r="N5474" s="6" t="str">
        <f>IFERROR(__xludf.DUMMYFUNCTION("""COMPUTED_VALUE"""),"FIP Engineering")</f>
        <v>FIP Engineering</v>
      </c>
      <c r="O5474" s="6" t="str">
        <f>IFERROR(__xludf.DUMMYFUNCTION("""COMPUTED_VALUE"""),"FIP-DOM-000-11304-OS00001-INA-000000")</f>
        <v>FIP-DOM-000-11304-OS00001-INA-000000</v>
      </c>
      <c r="P5474" s="6" t="str">
        <f>IFERROR(__xludf.DUMMYFUNCTION("""COMPUTED_VALUE"""),"PR Open")</f>
        <v>PR Open</v>
      </c>
      <c r="Q5474" s="6"/>
      <c r="R5474" s="57">
        <f>IFERROR(__xludf.DUMMYFUNCTION("""COMPUTED_VALUE"""),46252.0)</f>
        <v>46252</v>
      </c>
      <c r="S5474" s="57">
        <f>IFERROR(__xludf.DUMMYFUNCTION("""COMPUTED_VALUE"""),46254.0)</f>
        <v>46254</v>
      </c>
      <c r="T5474" s="6"/>
    </row>
    <row r="5475">
      <c r="A5475" s="6" t="str">
        <f>IFERROR(__xludf.DUMMYFUNCTION("""COMPUTED_VALUE"""),"121704550-1")</f>
        <v>121704550-1</v>
      </c>
      <c r="B5475" s="6" t="str">
        <f>IFERROR(__xludf.DUMMYFUNCTION("""COMPUTED_VALUE"""),"121704550 - APPROVED")</f>
        <v>121704550 - APPROVED</v>
      </c>
      <c r="C5475" s="6">
        <f>IFERROR(__xludf.DUMMYFUNCTION("""COMPUTED_VALUE"""),1.0)</f>
        <v>1</v>
      </c>
      <c r="D5475" s="6" t="str">
        <f>IFERROR(__xludf.DUMMYFUNCTION("""COMPUTED_VALUE"""),"Q-11002-00")</f>
        <v>Q-11002-00</v>
      </c>
      <c r="E5475" s="6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F5475" s="6">
        <f>IFERROR(__xludf.DUMMYFUNCTION("""COMPUTED_VALUE"""),3.0)</f>
        <v>3</v>
      </c>
      <c r="G5475" s="6" t="str">
        <f>IFERROR(__xludf.DUMMYFUNCTION("""COMPUTED_VALUE"""),"Pieces")</f>
        <v>Pieces</v>
      </c>
      <c r="H5475" s="6" t="str">
        <f>IFERROR(__xludf.DUMMYFUNCTION("""COMPUTED_VALUE"""),"IDR")</f>
        <v>IDR</v>
      </c>
      <c r="I5475" s="6">
        <f>IFERROR(__xludf.DUMMYFUNCTION("""COMPUTED_VALUE"""),130000.0)</f>
        <v>130000</v>
      </c>
      <c r="J5475" s="6">
        <f>IFERROR(__xludf.DUMMYFUNCTION("""COMPUTED_VALUE"""),390000.0)</f>
        <v>390000</v>
      </c>
      <c r="K5475" s="57">
        <f>IFERROR(__xludf.DUMMYFUNCTION("""COMPUTED_VALUE"""),46283.0)</f>
        <v>46283</v>
      </c>
      <c r="L5475" s="6" t="str">
        <f>IFERROR(__xludf.DUMMYFUNCTION("""COMPUTED_VALUE"""),"FIP Engineering")</f>
        <v>FIP Engineering</v>
      </c>
      <c r="M5475" s="6" t="str">
        <f>IFERROR(__xludf.DUMMYFUNCTION("""COMPUTED_VALUE"""),"Mochammad Fadhillah Hakim,")</f>
        <v>Mochammad Fadhillah Hakim,</v>
      </c>
      <c r="N5475" s="6" t="str">
        <f>IFERROR(__xludf.DUMMYFUNCTION("""COMPUTED_VALUE"""),"FIP Engineering")</f>
        <v>FIP Engineering</v>
      </c>
      <c r="O5475" s="6" t="str">
        <f>IFERROR(__xludf.DUMMYFUNCTION("""COMPUTED_VALUE"""),"FIP-DOM-000-11304-OS00001-INA-000000")</f>
        <v>FIP-DOM-000-11304-OS00001-INA-000000</v>
      </c>
      <c r="P5475" s="6" t="str">
        <f>IFERROR(__xludf.DUMMYFUNCTION("""COMPUTED_VALUE"""),"PO Open")</f>
        <v>PO Open</v>
      </c>
      <c r="Q5475" s="6" t="str">
        <f>IFERROR(__xludf.DUMMYFUNCTION("""COMPUTED_VALUE"""),"GL2609434")</f>
        <v>GL2609434</v>
      </c>
      <c r="R5475" s="57">
        <f>IFERROR(__xludf.DUMMYFUNCTION("""COMPUTED_VALUE"""),46252.0)</f>
        <v>46252</v>
      </c>
      <c r="S5475" s="57">
        <f>IFERROR(__xludf.DUMMYFUNCTION("""COMPUTED_VALUE"""),46254.0)</f>
        <v>46254</v>
      </c>
      <c r="T5475" s="57">
        <f>IFERROR(__xludf.DUMMYFUNCTION("""COMPUTED_VALUE"""),46305.0)</f>
        <v>46305</v>
      </c>
    </row>
    <row r="5476">
      <c r="A5476" s="6" t="str">
        <f>IFERROR(__xludf.DUMMYFUNCTION("""COMPUTED_VALUE"""),"121704550-2")</f>
        <v>121704550-2</v>
      </c>
      <c r="B5476" s="6" t="str">
        <f>IFERROR(__xludf.DUMMYFUNCTION("""COMPUTED_VALUE"""),"121704550 - APPROVED")</f>
        <v>121704550 - APPROVED</v>
      </c>
      <c r="C5476" s="6">
        <f>IFERROR(__xludf.DUMMYFUNCTION("""COMPUTED_VALUE"""),2.0)</f>
        <v>2</v>
      </c>
      <c r="D5476" s="6" t="str">
        <f>IFERROR(__xludf.DUMMYFUNCTION("""COMPUTED_VALUE"""),"Q-12145-00")</f>
        <v>Q-12145-00</v>
      </c>
      <c r="E5476" s="6" t="str">
        <f>IFERROR(__xludf.DUMMYFUNCTION("""COMPUTED_VALUE"""),"Kasa Gypsum Tanpa Lem Ukuran 1 inch; Lokal; ; 20 meter per roll")</f>
        <v>Kasa Gypsum Tanpa Lem Ukuran 1 inch; Lokal; ; 20 meter per roll</v>
      </c>
      <c r="F5476" s="6">
        <f>IFERROR(__xludf.DUMMYFUNCTION("""COMPUTED_VALUE"""),5.0)</f>
        <v>5</v>
      </c>
      <c r="G5476" s="6" t="str">
        <f>IFERROR(__xludf.DUMMYFUNCTION("""COMPUTED_VALUE"""),"Roll")</f>
        <v>Roll</v>
      </c>
      <c r="H5476" s="6" t="str">
        <f>IFERROR(__xludf.DUMMYFUNCTION("""COMPUTED_VALUE"""),"IDR")</f>
        <v>IDR</v>
      </c>
      <c r="I5476" s="6">
        <f>IFERROR(__xludf.DUMMYFUNCTION("""COMPUTED_VALUE"""),15000.0)</f>
        <v>15000</v>
      </c>
      <c r="J5476" s="6">
        <f>IFERROR(__xludf.DUMMYFUNCTION("""COMPUTED_VALUE"""),75000.0)</f>
        <v>75000</v>
      </c>
      <c r="K5476" s="57">
        <f>IFERROR(__xludf.DUMMYFUNCTION("""COMPUTED_VALUE"""),46283.0)</f>
        <v>46283</v>
      </c>
      <c r="L5476" s="6" t="str">
        <f>IFERROR(__xludf.DUMMYFUNCTION("""COMPUTED_VALUE"""),"FIP General")</f>
        <v>FIP General</v>
      </c>
      <c r="M5476" s="6" t="str">
        <f>IFERROR(__xludf.DUMMYFUNCTION("""COMPUTED_VALUE"""),"Mochammad Fadhillah Hakim,")</f>
        <v>Mochammad Fadhillah Hakim,</v>
      </c>
      <c r="N5476" s="6" t="str">
        <f>IFERROR(__xludf.DUMMYFUNCTION("""COMPUTED_VALUE"""),"FIP Engineering")</f>
        <v>FIP Engineering</v>
      </c>
      <c r="O5476" s="6" t="str">
        <f>IFERROR(__xludf.DUMMYFUNCTION("""COMPUTED_VALUE"""),"FIP-DOM-ENG-51502-0000000-INA-000000")</f>
        <v>FIP-DOM-ENG-51502-0000000-INA-000000</v>
      </c>
      <c r="P5476" s="6" t="str">
        <f>IFERROR(__xludf.DUMMYFUNCTION("""COMPUTED_VALUE"""),"PO Open")</f>
        <v>PO Open</v>
      </c>
      <c r="Q5476" s="6" t="str">
        <f>IFERROR(__xludf.DUMMYFUNCTION("""COMPUTED_VALUE"""),"GL2609434")</f>
        <v>GL2609434</v>
      </c>
      <c r="R5476" s="57">
        <f>IFERROR(__xludf.DUMMYFUNCTION("""COMPUTED_VALUE"""),46252.0)</f>
        <v>46252</v>
      </c>
      <c r="S5476" s="57">
        <f>IFERROR(__xludf.DUMMYFUNCTION("""COMPUTED_VALUE"""),46254.0)</f>
        <v>46254</v>
      </c>
      <c r="T5476" s="57">
        <f>IFERROR(__xludf.DUMMYFUNCTION("""COMPUTED_VALUE"""),46305.0)</f>
        <v>46305</v>
      </c>
    </row>
    <row r="5477">
      <c r="A5477" s="6" t="str">
        <f>IFERROR(__xludf.DUMMYFUNCTION("""COMPUTED_VALUE"""),"121704550-3")</f>
        <v>121704550-3</v>
      </c>
      <c r="B5477" s="6" t="str">
        <f>IFERROR(__xludf.DUMMYFUNCTION("""COMPUTED_VALUE"""),"121704550 - APPROVED")</f>
        <v>121704550 - APPROVED</v>
      </c>
      <c r="C5477" s="6">
        <f>IFERROR(__xludf.DUMMYFUNCTION("""COMPUTED_VALUE"""),3.0)</f>
        <v>3</v>
      </c>
      <c r="D5477" s="6" t="str">
        <f>IFERROR(__xludf.DUMMYFUNCTION("""COMPUTED_VALUE"""),"Q-12150-00")</f>
        <v>Q-12150-00</v>
      </c>
      <c r="E5477" s="6" t="str">
        <f>IFERROR(__xludf.DUMMYFUNCTION("""COMPUTED_VALUE"""),"Cat Semprot Scoopy Brown H391; Samurai Paint; Scoopy Brown H391; 400 ml per can")</f>
        <v>Cat Semprot Scoopy Brown H391; Samurai Paint; Scoopy Brown H391; 400 ml per can</v>
      </c>
      <c r="F5477" s="6">
        <f>IFERROR(__xludf.DUMMYFUNCTION("""COMPUTED_VALUE"""),1.0)</f>
        <v>1</v>
      </c>
      <c r="G5477" s="6" t="str">
        <f>IFERROR(__xludf.DUMMYFUNCTION("""COMPUTED_VALUE"""),"Can")</f>
        <v>Can</v>
      </c>
      <c r="H5477" s="6" t="str">
        <f>IFERROR(__xludf.DUMMYFUNCTION("""COMPUTED_VALUE"""),"IDR")</f>
        <v>IDR</v>
      </c>
      <c r="I5477" s="6">
        <f>IFERROR(__xludf.DUMMYFUNCTION("""COMPUTED_VALUE"""),70000.0)</f>
        <v>70000</v>
      </c>
      <c r="J5477" s="6">
        <f>IFERROR(__xludf.DUMMYFUNCTION("""COMPUTED_VALUE"""),70000.0)</f>
        <v>70000</v>
      </c>
      <c r="K5477" s="57">
        <f>IFERROR(__xludf.DUMMYFUNCTION("""COMPUTED_VALUE"""),46283.0)</f>
        <v>46283</v>
      </c>
      <c r="L5477" s="6" t="str">
        <f>IFERROR(__xludf.DUMMYFUNCTION("""COMPUTED_VALUE"""),"FIP General")</f>
        <v>FIP General</v>
      </c>
      <c r="M5477" s="6" t="str">
        <f>IFERROR(__xludf.DUMMYFUNCTION("""COMPUTED_VALUE"""),"Mochammad Fadhillah Hakim,")</f>
        <v>Mochammad Fadhillah Hakim,</v>
      </c>
      <c r="N5477" s="6" t="str">
        <f>IFERROR(__xludf.DUMMYFUNCTION("""COMPUTED_VALUE"""),"FIP Engineering")</f>
        <v>FIP Engineering</v>
      </c>
      <c r="O5477" s="6" t="str">
        <f>IFERROR(__xludf.DUMMYFUNCTION("""COMPUTED_VALUE"""),"FIP-DOM-ENG-51502-0000000-INA-000000")</f>
        <v>FIP-DOM-ENG-51502-0000000-INA-000000</v>
      </c>
      <c r="P5477" s="6" t="str">
        <f>IFERROR(__xludf.DUMMYFUNCTION("""COMPUTED_VALUE"""),"PO Open")</f>
        <v>PO Open</v>
      </c>
      <c r="Q5477" s="6" t="str">
        <f>IFERROR(__xludf.DUMMYFUNCTION("""COMPUTED_VALUE"""),"GL2609434")</f>
        <v>GL2609434</v>
      </c>
      <c r="R5477" s="57">
        <f>IFERROR(__xludf.DUMMYFUNCTION("""COMPUTED_VALUE"""),46252.0)</f>
        <v>46252</v>
      </c>
      <c r="S5477" s="57">
        <f>IFERROR(__xludf.DUMMYFUNCTION("""COMPUTED_VALUE"""),46254.0)</f>
        <v>46254</v>
      </c>
      <c r="T5477" s="57">
        <f>IFERROR(__xludf.DUMMYFUNCTION("""COMPUTED_VALUE"""),46305.0)</f>
        <v>46305</v>
      </c>
    </row>
    <row r="5478">
      <c r="A5478" s="6" t="str">
        <f>IFERROR(__xludf.DUMMYFUNCTION("""COMPUTED_VALUE"""),"121704550-4")</f>
        <v>121704550-4</v>
      </c>
      <c r="B5478" s="6" t="str">
        <f>IFERROR(__xludf.DUMMYFUNCTION("""COMPUTED_VALUE"""),"121704550 - APPROVED")</f>
        <v>121704550 - APPROVED</v>
      </c>
      <c r="C5478" s="6">
        <f>IFERROR(__xludf.DUMMYFUNCTION("""COMPUTED_VALUE"""),4.0)</f>
        <v>4</v>
      </c>
      <c r="D5478" s="6" t="str">
        <f>IFERROR(__xludf.DUMMYFUNCTION("""COMPUTED_VALUE"""),"Q-12151-00")</f>
        <v>Q-12151-00</v>
      </c>
      <c r="E5478" s="6" t="str">
        <f>IFERROR(__xludf.DUMMYFUNCTION("""COMPUTED_VALUE"""),"Keramik Dlucido Cream Uk. 20x25; Roman; Type W25107; pack size per 20 pcs box")</f>
        <v>Keramik Dlucido Cream Uk. 20x25; Roman; Type W25107; pack size per 20 pcs box</v>
      </c>
      <c r="F5478" s="6">
        <f>IFERROR(__xludf.DUMMYFUNCTION("""COMPUTED_VALUE"""),4.0)</f>
        <v>4</v>
      </c>
      <c r="G5478" s="6" t="str">
        <f>IFERROR(__xludf.DUMMYFUNCTION("""COMPUTED_VALUE"""),"Box")</f>
        <v>Box</v>
      </c>
      <c r="H5478" s="6" t="str">
        <f>IFERROR(__xludf.DUMMYFUNCTION("""COMPUTED_VALUE"""),"IDR")</f>
        <v>IDR</v>
      </c>
      <c r="I5478" s="6">
        <f>IFERROR(__xludf.DUMMYFUNCTION("""COMPUTED_VALUE"""),175000.0)</f>
        <v>175000</v>
      </c>
      <c r="J5478" s="6">
        <f>IFERROR(__xludf.DUMMYFUNCTION("""COMPUTED_VALUE"""),700000.0)</f>
        <v>700000</v>
      </c>
      <c r="K5478" s="57">
        <f>IFERROR(__xludf.DUMMYFUNCTION("""COMPUTED_VALUE"""),46283.0)</f>
        <v>46283</v>
      </c>
      <c r="L5478" s="6" t="str">
        <f>IFERROR(__xludf.DUMMYFUNCTION("""COMPUTED_VALUE"""),"FIP General")</f>
        <v>FIP General</v>
      </c>
      <c r="M5478" s="6" t="str">
        <f>IFERROR(__xludf.DUMMYFUNCTION("""COMPUTED_VALUE"""),"Mochammad Fadhillah Hakim,")</f>
        <v>Mochammad Fadhillah Hakim,</v>
      </c>
      <c r="N5478" s="6" t="str">
        <f>IFERROR(__xludf.DUMMYFUNCTION("""COMPUTED_VALUE"""),"FIP Engineering")</f>
        <v>FIP Engineering</v>
      </c>
      <c r="O5478" s="6" t="str">
        <f>IFERROR(__xludf.DUMMYFUNCTION("""COMPUTED_VALUE"""),"FIP-DOM-ENG-51502-0000000-INA-000000")</f>
        <v>FIP-DOM-ENG-51502-0000000-INA-000000</v>
      </c>
      <c r="P5478" s="6" t="str">
        <f>IFERROR(__xludf.DUMMYFUNCTION("""COMPUTED_VALUE"""),"PO Open")</f>
        <v>PO Open</v>
      </c>
      <c r="Q5478" s="6" t="str">
        <f>IFERROR(__xludf.DUMMYFUNCTION("""COMPUTED_VALUE"""),"GL2609434")</f>
        <v>GL2609434</v>
      </c>
      <c r="R5478" s="57">
        <f>IFERROR(__xludf.DUMMYFUNCTION("""COMPUTED_VALUE"""),46252.0)</f>
        <v>46252</v>
      </c>
      <c r="S5478" s="57">
        <f>IFERROR(__xludf.DUMMYFUNCTION("""COMPUTED_VALUE"""),46254.0)</f>
        <v>46254</v>
      </c>
      <c r="T5478" s="57">
        <f>IFERROR(__xludf.DUMMYFUNCTION("""COMPUTED_VALUE"""),46305.0)</f>
        <v>46305</v>
      </c>
    </row>
    <row r="5479">
      <c r="A5479" s="6" t="str">
        <f>IFERROR(__xludf.DUMMYFUNCTION("""COMPUTED_VALUE"""),"121704550-5")</f>
        <v>121704550-5</v>
      </c>
      <c r="B5479" s="6" t="str">
        <f>IFERROR(__xludf.DUMMYFUNCTION("""COMPUTED_VALUE"""),"121704550 - APPROVED")</f>
        <v>121704550 - APPROVED</v>
      </c>
      <c r="C5479" s="6">
        <f>IFERROR(__xludf.DUMMYFUNCTION("""COMPUTED_VALUE"""),5.0)</f>
        <v>5</v>
      </c>
      <c r="D5479" s="6" t="str">
        <f>IFERROR(__xludf.DUMMYFUNCTION("""COMPUTED_VALUE"""),"Q-12153-00")</f>
        <v>Q-12153-00</v>
      </c>
      <c r="E5479" s="6" t="str">
        <f>IFERROR(__xludf.DUMMYFUNCTION("""COMPUTED_VALUE"""),"Door Seal Karet Penutup Bawah Pintu Hitam uk. 5 cm x 1 M; Lokal; ; pc")</f>
        <v>Door Seal Karet Penutup Bawah Pintu Hitam uk. 5 cm x 1 M; Lokal; ; pc</v>
      </c>
      <c r="F5479" s="6">
        <f>IFERROR(__xludf.DUMMYFUNCTION("""COMPUTED_VALUE"""),3.0)</f>
        <v>3</v>
      </c>
      <c r="G5479" s="6" t="str">
        <f>IFERROR(__xludf.DUMMYFUNCTION("""COMPUTED_VALUE"""),"Pieces")</f>
        <v>Pieces</v>
      </c>
      <c r="H5479" s="6" t="str">
        <f>IFERROR(__xludf.DUMMYFUNCTION("""COMPUTED_VALUE"""),"IDR")</f>
        <v>IDR</v>
      </c>
      <c r="I5479" s="6">
        <f>IFERROR(__xludf.DUMMYFUNCTION("""COMPUTED_VALUE"""),50000.0)</f>
        <v>50000</v>
      </c>
      <c r="J5479" s="6">
        <f>IFERROR(__xludf.DUMMYFUNCTION("""COMPUTED_VALUE"""),150000.0)</f>
        <v>150000</v>
      </c>
      <c r="K5479" s="57">
        <f>IFERROR(__xludf.DUMMYFUNCTION("""COMPUTED_VALUE"""),46283.0)</f>
        <v>46283</v>
      </c>
      <c r="L5479" s="6" t="str">
        <f>IFERROR(__xludf.DUMMYFUNCTION("""COMPUTED_VALUE"""),"FIP General")</f>
        <v>FIP General</v>
      </c>
      <c r="M5479" s="6" t="str">
        <f>IFERROR(__xludf.DUMMYFUNCTION("""COMPUTED_VALUE"""),"Mochammad Fadhillah Hakim,")</f>
        <v>Mochammad Fadhillah Hakim,</v>
      </c>
      <c r="N5479" s="6" t="str">
        <f>IFERROR(__xludf.DUMMYFUNCTION("""COMPUTED_VALUE"""),"FIP Engineering")</f>
        <v>FIP Engineering</v>
      </c>
      <c r="O5479" s="6" t="str">
        <f>IFERROR(__xludf.DUMMYFUNCTION("""COMPUTED_VALUE"""),"FIP-DOM-ENG-51502-0000000-INA-000000")</f>
        <v>FIP-DOM-ENG-51502-0000000-INA-000000</v>
      </c>
      <c r="P5479" s="6" t="str">
        <f>IFERROR(__xludf.DUMMYFUNCTION("""COMPUTED_VALUE"""),"PO Open")</f>
        <v>PO Open</v>
      </c>
      <c r="Q5479" s="6" t="str">
        <f>IFERROR(__xludf.DUMMYFUNCTION("""COMPUTED_VALUE"""),"GL2609434")</f>
        <v>GL2609434</v>
      </c>
      <c r="R5479" s="57">
        <f>IFERROR(__xludf.DUMMYFUNCTION("""COMPUTED_VALUE"""),46252.0)</f>
        <v>46252</v>
      </c>
      <c r="S5479" s="57">
        <f>IFERROR(__xludf.DUMMYFUNCTION("""COMPUTED_VALUE"""),46254.0)</f>
        <v>46254</v>
      </c>
      <c r="T5479" s="57">
        <f>IFERROR(__xludf.DUMMYFUNCTION("""COMPUTED_VALUE"""),46305.0)</f>
        <v>46305</v>
      </c>
    </row>
    <row r="5480">
      <c r="A5480" s="6" t="str">
        <f>IFERROR(__xludf.DUMMYFUNCTION("""COMPUTED_VALUE"""),"121704550-6")</f>
        <v>121704550-6</v>
      </c>
      <c r="B5480" s="6" t="str">
        <f>IFERROR(__xludf.DUMMYFUNCTION("""COMPUTED_VALUE"""),"121704550 - APPROVED")</f>
        <v>121704550 - APPROVED</v>
      </c>
      <c r="C5480" s="6">
        <f>IFERROR(__xludf.DUMMYFUNCTION("""COMPUTED_VALUE"""),6.0)</f>
        <v>6</v>
      </c>
      <c r="D5480" s="6" t="str">
        <f>IFERROR(__xludf.DUMMYFUNCTION("""COMPUTED_VALUE"""),"Q-70039-00")</f>
        <v>Q-70039-00</v>
      </c>
      <c r="E5480" s="6" t="str">
        <f>IFERROR(__xludf.DUMMYFUNCTION("""COMPUTED_VALUE"""),"Tang Lancip Uk. 6 inch (Long Plier Nose);Tekiro;CN: PL-LN0760;pack size per pcs")</f>
        <v>Tang Lancip Uk. 6 inch (Long Plier Nose);Tekiro;CN: PL-LN0760;pack size per pcs</v>
      </c>
      <c r="F5480" s="6">
        <f>IFERROR(__xludf.DUMMYFUNCTION("""COMPUTED_VALUE"""),2.0)</f>
        <v>2</v>
      </c>
      <c r="G5480" s="6" t="str">
        <f>IFERROR(__xludf.DUMMYFUNCTION("""COMPUTED_VALUE"""),"Pieces")</f>
        <v>Pieces</v>
      </c>
      <c r="H5480" s="6" t="str">
        <f>IFERROR(__xludf.DUMMYFUNCTION("""COMPUTED_VALUE"""),"IDR")</f>
        <v>IDR</v>
      </c>
      <c r="I5480" s="6">
        <f>IFERROR(__xludf.DUMMYFUNCTION("""COMPUTED_VALUE"""),65000.0)</f>
        <v>65000</v>
      </c>
      <c r="J5480" s="6">
        <f>IFERROR(__xludf.DUMMYFUNCTION("""COMPUTED_VALUE"""),130000.0)</f>
        <v>130000</v>
      </c>
      <c r="K5480" s="57">
        <f>IFERROR(__xludf.DUMMYFUNCTION("""COMPUTED_VALUE"""),46283.0)</f>
        <v>46283</v>
      </c>
      <c r="L5480" s="6" t="str">
        <f>IFERROR(__xludf.DUMMYFUNCTION("""COMPUTED_VALUE"""),"FIP General")</f>
        <v>FIP General</v>
      </c>
      <c r="M5480" s="6" t="str">
        <f>IFERROR(__xludf.DUMMYFUNCTION("""COMPUTED_VALUE"""),"Mochammad Fadhillah Hakim,")</f>
        <v>Mochammad Fadhillah Hakim,</v>
      </c>
      <c r="N5480" s="6" t="str">
        <f>IFERROR(__xludf.DUMMYFUNCTION("""COMPUTED_VALUE"""),"FIP Engineering")</f>
        <v>FIP Engineering</v>
      </c>
      <c r="O5480" s="6" t="str">
        <f>IFERROR(__xludf.DUMMYFUNCTION("""COMPUTED_VALUE"""),"FIP-DOM-ENG-51404-0000000-INA-000000")</f>
        <v>FIP-DOM-ENG-51404-0000000-INA-000000</v>
      </c>
      <c r="P5480" s="6" t="str">
        <f>IFERROR(__xludf.DUMMYFUNCTION("""COMPUTED_VALUE"""),"PO Open")</f>
        <v>PO Open</v>
      </c>
      <c r="Q5480" s="6" t="str">
        <f>IFERROR(__xludf.DUMMYFUNCTION("""COMPUTED_VALUE"""),"GL2609433")</f>
        <v>GL2609433</v>
      </c>
      <c r="R5480" s="57">
        <f>IFERROR(__xludf.DUMMYFUNCTION("""COMPUTED_VALUE"""),46252.0)</f>
        <v>46252</v>
      </c>
      <c r="S5480" s="57">
        <f>IFERROR(__xludf.DUMMYFUNCTION("""COMPUTED_VALUE"""),46254.0)</f>
        <v>46254</v>
      </c>
      <c r="T5480" s="57">
        <f>IFERROR(__xludf.DUMMYFUNCTION("""COMPUTED_VALUE"""),46300.0)</f>
        <v>46300</v>
      </c>
    </row>
    <row r="5481">
      <c r="A5481" s="6" t="str">
        <f>IFERROR(__xludf.DUMMYFUNCTION("""COMPUTED_VALUE"""),"121704550-7")</f>
        <v>121704550-7</v>
      </c>
      <c r="B5481" s="6" t="str">
        <f>IFERROR(__xludf.DUMMYFUNCTION("""COMPUTED_VALUE"""),"121704550 - APPROVED")</f>
        <v>121704550 - APPROVED</v>
      </c>
      <c r="C5481" s="6">
        <f>IFERROR(__xludf.DUMMYFUNCTION("""COMPUTED_VALUE"""),7.0)</f>
        <v>7</v>
      </c>
      <c r="D5481" s="6" t="str">
        <f>IFERROR(__xludf.DUMMYFUNCTION("""COMPUTED_VALUE"""),"Q-70201-00")</f>
        <v>Q-70201-00</v>
      </c>
      <c r="E5481" s="6" t="str">
        <f>IFERROR(__xludf.DUMMYFUNCTION("""COMPUTED_VALUE"""),"Tang Kombinasi / Linesman Pliers Uk 7 inch; Tekiro; PL-LM0758; pc")</f>
        <v>Tang Kombinasi / Linesman Pliers Uk 7 inch; Tekiro; PL-LM0758; pc</v>
      </c>
      <c r="F5481" s="6">
        <f>IFERROR(__xludf.DUMMYFUNCTION("""COMPUTED_VALUE"""),2.0)</f>
        <v>2</v>
      </c>
      <c r="G5481" s="6" t="str">
        <f>IFERROR(__xludf.DUMMYFUNCTION("""COMPUTED_VALUE"""),"Pieces")</f>
        <v>Pieces</v>
      </c>
      <c r="H5481" s="6" t="str">
        <f>IFERROR(__xludf.DUMMYFUNCTION("""COMPUTED_VALUE"""),"IDR")</f>
        <v>IDR</v>
      </c>
      <c r="I5481" s="6">
        <f>IFERROR(__xludf.DUMMYFUNCTION("""COMPUTED_VALUE"""),80000.0)</f>
        <v>80000</v>
      </c>
      <c r="J5481" s="6">
        <f>IFERROR(__xludf.DUMMYFUNCTION("""COMPUTED_VALUE"""),160000.0)</f>
        <v>160000</v>
      </c>
      <c r="K5481" s="57">
        <f>IFERROR(__xludf.DUMMYFUNCTION("""COMPUTED_VALUE"""),46283.0)</f>
        <v>46283</v>
      </c>
      <c r="L5481" s="6" t="str">
        <f>IFERROR(__xludf.DUMMYFUNCTION("""COMPUTED_VALUE"""),"FIP General")</f>
        <v>FIP General</v>
      </c>
      <c r="M5481" s="6" t="str">
        <f>IFERROR(__xludf.DUMMYFUNCTION("""COMPUTED_VALUE"""),"Mochammad Fadhillah Hakim,")</f>
        <v>Mochammad Fadhillah Hakim,</v>
      </c>
      <c r="N5481" s="6" t="str">
        <f>IFERROR(__xludf.DUMMYFUNCTION("""COMPUTED_VALUE"""),"FIP Engineering")</f>
        <v>FIP Engineering</v>
      </c>
      <c r="O5481" s="6" t="str">
        <f>IFERROR(__xludf.DUMMYFUNCTION("""COMPUTED_VALUE"""),"FIP-DOM-ENG-51404-0000000-INA-000000")</f>
        <v>FIP-DOM-ENG-51404-0000000-INA-000000</v>
      </c>
      <c r="P5481" s="6" t="str">
        <f>IFERROR(__xludf.DUMMYFUNCTION("""COMPUTED_VALUE"""),"PR Open")</f>
        <v>PR Open</v>
      </c>
      <c r="Q5481" s="6"/>
      <c r="R5481" s="57">
        <f>IFERROR(__xludf.DUMMYFUNCTION("""COMPUTED_VALUE"""),46252.0)</f>
        <v>46252</v>
      </c>
      <c r="S5481" s="57">
        <f>IFERROR(__xludf.DUMMYFUNCTION("""COMPUTED_VALUE"""),46254.0)</f>
        <v>46254</v>
      </c>
      <c r="T5481" s="6"/>
    </row>
    <row r="5482">
      <c r="A5482" s="6" t="str">
        <f>IFERROR(__xludf.DUMMYFUNCTION("""COMPUTED_VALUE"""),"121704550-8")</f>
        <v>121704550-8</v>
      </c>
      <c r="B5482" s="6" t="str">
        <f>IFERROR(__xludf.DUMMYFUNCTION("""COMPUTED_VALUE"""),"121704550 - APPROVED")</f>
        <v>121704550 - APPROVED</v>
      </c>
      <c r="C5482" s="6">
        <f>IFERROR(__xludf.DUMMYFUNCTION("""COMPUTED_VALUE"""),8.0)</f>
        <v>8</v>
      </c>
      <c r="D5482" s="6" t="str">
        <f>IFERROR(__xludf.DUMMYFUNCTION("""COMPUTED_VALUE"""),"Q-70253-00")</f>
        <v>Q-70253-00</v>
      </c>
      <c r="E5482" s="6" t="str">
        <f>IFERROR(__xludf.DUMMYFUNCTION("""COMPUTED_VALUE"""),"Screwdriver LRSST8 / Obeng Plus dan Minus Set; Krisbow; KW0102648; 8 pc per set")</f>
        <v>Screwdriver LRSST8 / Obeng Plus dan Minus Set; Krisbow; KW0102648; 8 pc per set</v>
      </c>
      <c r="F5482" s="6">
        <f>IFERROR(__xludf.DUMMYFUNCTION("""COMPUTED_VALUE"""),1.0)</f>
        <v>1</v>
      </c>
      <c r="G5482" s="6" t="str">
        <f>IFERROR(__xludf.DUMMYFUNCTION("""COMPUTED_VALUE"""),"Set")</f>
        <v>Set</v>
      </c>
      <c r="H5482" s="6" t="str">
        <f>IFERROR(__xludf.DUMMYFUNCTION("""COMPUTED_VALUE"""),"IDR")</f>
        <v>IDR</v>
      </c>
      <c r="I5482" s="6">
        <f>IFERROR(__xludf.DUMMYFUNCTION("""COMPUTED_VALUE"""),178900.0)</f>
        <v>178900</v>
      </c>
      <c r="J5482" s="6">
        <f>IFERROR(__xludf.DUMMYFUNCTION("""COMPUTED_VALUE"""),178900.0)</f>
        <v>178900</v>
      </c>
      <c r="K5482" s="57">
        <f>IFERROR(__xludf.DUMMYFUNCTION("""COMPUTED_VALUE"""),46283.0)</f>
        <v>46283</v>
      </c>
      <c r="L5482" s="6" t="str">
        <f>IFERROR(__xludf.DUMMYFUNCTION("""COMPUTED_VALUE"""),"FIP General")</f>
        <v>FIP General</v>
      </c>
      <c r="M5482" s="6" t="str">
        <f>IFERROR(__xludf.DUMMYFUNCTION("""COMPUTED_VALUE"""),"Mochammad Fadhillah Hakim,")</f>
        <v>Mochammad Fadhillah Hakim,</v>
      </c>
      <c r="N5482" s="6" t="str">
        <f>IFERROR(__xludf.DUMMYFUNCTION("""COMPUTED_VALUE"""),"FIP Engineering")</f>
        <v>FIP Engineering</v>
      </c>
      <c r="O5482" s="6" t="str">
        <f>IFERROR(__xludf.DUMMYFUNCTION("""COMPUTED_VALUE"""),"FIP-DOM-ENG-51404-0000000-INA-000000")</f>
        <v>FIP-DOM-ENG-51404-0000000-INA-000000</v>
      </c>
      <c r="P5482" s="6" t="str">
        <f>IFERROR(__xludf.DUMMYFUNCTION("""COMPUTED_VALUE"""),"PR Open")</f>
        <v>PR Open</v>
      </c>
      <c r="Q5482" s="6"/>
      <c r="R5482" s="57">
        <f>IFERROR(__xludf.DUMMYFUNCTION("""COMPUTED_VALUE"""),46252.0)</f>
        <v>46252</v>
      </c>
      <c r="S5482" s="57">
        <f>IFERROR(__xludf.DUMMYFUNCTION("""COMPUTED_VALUE"""),46254.0)</f>
        <v>46254</v>
      </c>
      <c r="T5482" s="6"/>
    </row>
    <row r="5483">
      <c r="A5483" s="6" t="str">
        <f>IFERROR(__xludf.DUMMYFUNCTION("""COMPUTED_VALUE"""),"121704550-9")</f>
        <v>121704550-9</v>
      </c>
      <c r="B5483" s="6" t="str">
        <f>IFERROR(__xludf.DUMMYFUNCTION("""COMPUTED_VALUE"""),"121704550 - APPROVED")</f>
        <v>121704550 - APPROVED</v>
      </c>
      <c r="C5483" s="6">
        <f>IFERROR(__xludf.DUMMYFUNCTION("""COMPUTED_VALUE"""),9.0)</f>
        <v>9</v>
      </c>
      <c r="D5483" s="6" t="str">
        <f>IFERROR(__xludf.DUMMYFUNCTION("""COMPUTED_VALUE"""),"Q-70254-00")</f>
        <v>Q-70254-00</v>
      </c>
      <c r="E5483" s="6" t="str">
        <f>IFERROR(__xludf.DUMMYFUNCTION("""COMPUTED_VALUE"""),"Obeng Ketok/Impact Driver Set; Tekiro; SD-IM0921; 11 pc per set")</f>
        <v>Obeng Ketok/Impact Driver Set; Tekiro; SD-IM0921; 11 pc per set</v>
      </c>
      <c r="F5483" s="6">
        <f>IFERROR(__xludf.DUMMYFUNCTION("""COMPUTED_VALUE"""),1.0)</f>
        <v>1</v>
      </c>
      <c r="G5483" s="6" t="str">
        <f>IFERROR(__xludf.DUMMYFUNCTION("""COMPUTED_VALUE"""),"Set")</f>
        <v>Set</v>
      </c>
      <c r="H5483" s="6" t="str">
        <f>IFERROR(__xludf.DUMMYFUNCTION("""COMPUTED_VALUE"""),"IDR")</f>
        <v>IDR</v>
      </c>
      <c r="I5483" s="6">
        <f>IFERROR(__xludf.DUMMYFUNCTION("""COMPUTED_VALUE"""),350000.0)</f>
        <v>350000</v>
      </c>
      <c r="J5483" s="6">
        <f>IFERROR(__xludf.DUMMYFUNCTION("""COMPUTED_VALUE"""),350000.0)</f>
        <v>350000</v>
      </c>
      <c r="K5483" s="57">
        <f>IFERROR(__xludf.DUMMYFUNCTION("""COMPUTED_VALUE"""),46283.0)</f>
        <v>46283</v>
      </c>
      <c r="L5483" s="6" t="str">
        <f>IFERROR(__xludf.DUMMYFUNCTION("""COMPUTED_VALUE"""),"FIP General")</f>
        <v>FIP General</v>
      </c>
      <c r="M5483" s="6" t="str">
        <f>IFERROR(__xludf.DUMMYFUNCTION("""COMPUTED_VALUE"""),"Mochammad Fadhillah Hakim,")</f>
        <v>Mochammad Fadhillah Hakim,</v>
      </c>
      <c r="N5483" s="6" t="str">
        <f>IFERROR(__xludf.DUMMYFUNCTION("""COMPUTED_VALUE"""),"FIP Engineering")</f>
        <v>FIP Engineering</v>
      </c>
      <c r="O5483" s="6" t="str">
        <f>IFERROR(__xludf.DUMMYFUNCTION("""COMPUTED_VALUE"""),"FIP-DOM-ENG-51404-0000000-INA-000000")</f>
        <v>FIP-DOM-ENG-51404-0000000-INA-000000</v>
      </c>
      <c r="P5483" s="6" t="str">
        <f>IFERROR(__xludf.DUMMYFUNCTION("""COMPUTED_VALUE"""),"PO Open")</f>
        <v>PO Open</v>
      </c>
      <c r="Q5483" s="6" t="str">
        <f>IFERROR(__xludf.DUMMYFUNCTION("""COMPUTED_VALUE"""),"GL2609434")</f>
        <v>GL2609434</v>
      </c>
      <c r="R5483" s="57">
        <f>IFERROR(__xludf.DUMMYFUNCTION("""COMPUTED_VALUE"""),46252.0)</f>
        <v>46252</v>
      </c>
      <c r="S5483" s="57">
        <f>IFERROR(__xludf.DUMMYFUNCTION("""COMPUTED_VALUE"""),46254.0)</f>
        <v>46254</v>
      </c>
      <c r="T5483" s="57">
        <f>IFERROR(__xludf.DUMMYFUNCTION("""COMPUTED_VALUE"""),46305.0)</f>
        <v>46305</v>
      </c>
    </row>
    <row r="5484">
      <c r="A5484" s="6" t="str">
        <f>IFERROR(__xludf.DUMMYFUNCTION("""COMPUTED_VALUE"""),"121704550-10")</f>
        <v>121704550-10</v>
      </c>
      <c r="B5484" s="6" t="str">
        <f>IFERROR(__xludf.DUMMYFUNCTION("""COMPUTED_VALUE"""),"121704550 - APPROVED")</f>
        <v>121704550 - APPROVED</v>
      </c>
      <c r="C5484" s="6">
        <f>IFERROR(__xludf.DUMMYFUNCTION("""COMPUTED_VALUE"""),10.0)</f>
        <v>10</v>
      </c>
      <c r="D5484" s="6" t="str">
        <f>IFERROR(__xludf.DUMMYFUNCTION("""COMPUTED_VALUE"""),"Q-70255-00")</f>
        <v>Q-70255-00</v>
      </c>
      <c r="E5484" s="6" t="str">
        <f>IFERROR(__xludf.DUMMYFUNCTION("""COMPUTED_VALUE"""),"Kunci Sock T 13 mm; Tekiro; WR-TT0237; pc")</f>
        <v>Kunci Sock T 13 mm; Tekiro; WR-TT0237; pc</v>
      </c>
      <c r="F5484" s="6">
        <f>IFERROR(__xludf.DUMMYFUNCTION("""COMPUTED_VALUE"""),2.0)</f>
        <v>2</v>
      </c>
      <c r="G5484" s="6" t="str">
        <f>IFERROR(__xludf.DUMMYFUNCTION("""COMPUTED_VALUE"""),"Pieces")</f>
        <v>Pieces</v>
      </c>
      <c r="H5484" s="6" t="str">
        <f>IFERROR(__xludf.DUMMYFUNCTION("""COMPUTED_VALUE"""),"IDR")</f>
        <v>IDR</v>
      </c>
      <c r="I5484" s="6">
        <f>IFERROR(__xludf.DUMMYFUNCTION("""COMPUTED_VALUE"""),45000.0)</f>
        <v>45000</v>
      </c>
      <c r="J5484" s="6">
        <f>IFERROR(__xludf.DUMMYFUNCTION("""COMPUTED_VALUE"""),90000.0)</f>
        <v>90000</v>
      </c>
      <c r="K5484" s="57">
        <f>IFERROR(__xludf.DUMMYFUNCTION("""COMPUTED_VALUE"""),46283.0)</f>
        <v>46283</v>
      </c>
      <c r="L5484" s="6" t="str">
        <f>IFERROR(__xludf.DUMMYFUNCTION("""COMPUTED_VALUE"""),"FIP General")</f>
        <v>FIP General</v>
      </c>
      <c r="M5484" s="6" t="str">
        <f>IFERROR(__xludf.DUMMYFUNCTION("""COMPUTED_VALUE"""),"Mochammad Fadhillah Hakim,")</f>
        <v>Mochammad Fadhillah Hakim,</v>
      </c>
      <c r="N5484" s="6" t="str">
        <f>IFERROR(__xludf.DUMMYFUNCTION("""COMPUTED_VALUE"""),"FIP Engineering")</f>
        <v>FIP Engineering</v>
      </c>
      <c r="O5484" s="6" t="str">
        <f>IFERROR(__xludf.DUMMYFUNCTION("""COMPUTED_VALUE"""),"FIP-DOM-ENG-51404-0000000-INA-000000")</f>
        <v>FIP-DOM-ENG-51404-0000000-INA-000000</v>
      </c>
      <c r="P5484" s="6" t="str">
        <f>IFERROR(__xludf.DUMMYFUNCTION("""COMPUTED_VALUE"""),"PO Open")</f>
        <v>PO Open</v>
      </c>
      <c r="Q5484" s="6" t="str">
        <f>IFERROR(__xludf.DUMMYFUNCTION("""COMPUTED_VALUE"""),"GL2609434")</f>
        <v>GL2609434</v>
      </c>
      <c r="R5484" s="57">
        <f>IFERROR(__xludf.DUMMYFUNCTION("""COMPUTED_VALUE"""),46252.0)</f>
        <v>46252</v>
      </c>
      <c r="S5484" s="57">
        <f>IFERROR(__xludf.DUMMYFUNCTION("""COMPUTED_VALUE"""),46254.0)</f>
        <v>46254</v>
      </c>
      <c r="T5484" s="57">
        <f>IFERROR(__xludf.DUMMYFUNCTION("""COMPUTED_VALUE"""),46305.0)</f>
        <v>46305</v>
      </c>
    </row>
    <row r="5485">
      <c r="A5485" s="6" t="str">
        <f>IFERROR(__xludf.DUMMYFUNCTION("""COMPUTED_VALUE"""),"121704552-1")</f>
        <v>121704552-1</v>
      </c>
      <c r="B5485" s="6" t="str">
        <f>IFERROR(__xludf.DUMMYFUNCTION("""COMPUTED_VALUE"""),"121704552 - APPROVED")</f>
        <v>121704552 - APPROVED</v>
      </c>
      <c r="C5485" s="6">
        <f>IFERROR(__xludf.DUMMYFUNCTION("""COMPUTED_VALUE"""),1.0)</f>
        <v>1</v>
      </c>
      <c r="D5485" s="6" t="str">
        <f>IFERROR(__xludf.DUMMYFUNCTION("""COMPUTED_VALUE"""),"S-20570-00")</f>
        <v>S-20570-00</v>
      </c>
      <c r="E5485" s="6" t="str">
        <f>IFERROR(__xludf.DUMMYFUNCTION("""COMPUTED_VALUE"""),"Kedok Las Otomatis (Automatic Welding Helmet / Auto Darkening); DAIDEN; EIJI 10X;")</f>
        <v>Kedok Las Otomatis (Automatic Welding Helmet / Auto Darkening); DAIDEN; EIJI 10X;</v>
      </c>
      <c r="F5485" s="6">
        <f>IFERROR(__xludf.DUMMYFUNCTION("""COMPUTED_VALUE"""),1.0)</f>
        <v>1</v>
      </c>
      <c r="G5485" s="6" t="str">
        <f>IFERROR(__xludf.DUMMYFUNCTION("""COMPUTED_VALUE"""),"Pieces")</f>
        <v>Pieces</v>
      </c>
      <c r="H5485" s="6" t="str">
        <f>IFERROR(__xludf.DUMMYFUNCTION("""COMPUTED_VALUE"""),"IDR")</f>
        <v>IDR</v>
      </c>
      <c r="I5485" s="6">
        <f>IFERROR(__xludf.DUMMYFUNCTION("""COMPUTED_VALUE"""),925000.0)</f>
        <v>925000</v>
      </c>
      <c r="J5485" s="6">
        <f>IFERROR(__xludf.DUMMYFUNCTION("""COMPUTED_VALUE"""),925000.0)</f>
        <v>925000</v>
      </c>
      <c r="K5485" s="57">
        <f>IFERROR(__xludf.DUMMYFUNCTION("""COMPUTED_VALUE"""),46283.0)</f>
        <v>46283</v>
      </c>
      <c r="L5485" s="6" t="str">
        <f>IFERROR(__xludf.DUMMYFUNCTION("""COMPUTED_VALUE"""),"FIP General")</f>
        <v>FIP General</v>
      </c>
      <c r="M5485" s="6" t="str">
        <f>IFERROR(__xludf.DUMMYFUNCTION("""COMPUTED_VALUE"""),"Mochammad Fadhillah Hakim,")</f>
        <v>Mochammad Fadhillah Hakim,</v>
      </c>
      <c r="N5485" s="6" t="str">
        <f>IFERROR(__xludf.DUMMYFUNCTION("""COMPUTED_VALUE"""),"FIP Engineering")</f>
        <v>FIP Engineering</v>
      </c>
      <c r="O5485" s="6" t="str">
        <f>IFERROR(__xludf.DUMMYFUNCTION("""COMPUTED_VALUE"""),"FIP-DOM-ENG-51202-0000000-INA-000000")</f>
        <v>FIP-DOM-ENG-51202-0000000-INA-000000</v>
      </c>
      <c r="P5485" s="6" t="str">
        <f>IFERROR(__xludf.DUMMYFUNCTION("""COMPUTED_VALUE"""),"PO Open")</f>
        <v>PO Open</v>
      </c>
      <c r="Q5485" s="6" t="str">
        <f>IFERROR(__xludf.DUMMYFUNCTION("""COMPUTED_VALUE"""),"GL2609015")</f>
        <v>GL2609015</v>
      </c>
      <c r="R5485" s="57">
        <f>IFERROR(__xludf.DUMMYFUNCTION("""COMPUTED_VALUE"""),46252.0)</f>
        <v>46252</v>
      </c>
      <c r="S5485" s="57">
        <f>IFERROR(__xludf.DUMMYFUNCTION("""COMPUTED_VALUE"""),46254.0)</f>
        <v>46254</v>
      </c>
      <c r="T5485" s="57">
        <f>IFERROR(__xludf.DUMMYFUNCTION("""COMPUTED_VALUE"""),46288.0)</f>
        <v>46288</v>
      </c>
    </row>
    <row r="5486">
      <c r="A5486" s="6" t="str">
        <f>IFERROR(__xludf.DUMMYFUNCTION("""COMPUTED_VALUE"""),"121704555-1")</f>
        <v>121704555-1</v>
      </c>
      <c r="B5486" s="6" t="str">
        <f>IFERROR(__xludf.DUMMYFUNCTION("""COMPUTED_VALUE"""),"121704555 - APPROVED")</f>
        <v>121704555 - APPROVED</v>
      </c>
      <c r="C5486" s="6">
        <f>IFERROR(__xludf.DUMMYFUNCTION("""COMPUTED_VALUE"""),1.0)</f>
        <v>1</v>
      </c>
      <c r="D5486" s="6" t="str">
        <f>IFERROR(__xludf.DUMMYFUNCTION("""COMPUTED_VALUE"""),"O-20294-00")</f>
        <v>O-20294-00</v>
      </c>
      <c r="E5486" s="6" t="str">
        <f>IFERROR(__xludf.DUMMYFUNCTION("""COMPUTED_VALUE"""),"Autoclave - Oring 70 x 59 x 5.5 mm Viton Custom/Lokal  -")</f>
        <v>Autoclave - Oring 70 x 59 x 5.5 mm Viton Custom/Lokal  -</v>
      </c>
      <c r="F5486" s="6">
        <f>IFERROR(__xludf.DUMMYFUNCTION("""COMPUTED_VALUE"""),5.0)</f>
        <v>5</v>
      </c>
      <c r="G5486" s="6" t="str">
        <f>IFERROR(__xludf.DUMMYFUNCTION("""COMPUTED_VALUE"""),"Pieces")</f>
        <v>Pieces</v>
      </c>
      <c r="H5486" s="6" t="str">
        <f>IFERROR(__xludf.DUMMYFUNCTION("""COMPUTED_VALUE"""),"IDR")</f>
        <v>IDR</v>
      </c>
      <c r="I5486" s="6">
        <f>IFERROR(__xludf.DUMMYFUNCTION("""COMPUTED_VALUE"""),75000.0)</f>
        <v>75000</v>
      </c>
      <c r="J5486" s="6">
        <f>IFERROR(__xludf.DUMMYFUNCTION("""COMPUTED_VALUE"""),375000.0)</f>
        <v>375000</v>
      </c>
      <c r="K5486" s="57">
        <f>IFERROR(__xludf.DUMMYFUNCTION("""COMPUTED_VALUE"""),46290.0)</f>
        <v>46290</v>
      </c>
      <c r="L5486" s="6" t="str">
        <f>IFERROR(__xludf.DUMMYFUNCTION("""COMPUTED_VALUE"""),"FIP Engineering")</f>
        <v>FIP Engineering</v>
      </c>
      <c r="M5486" s="6" t="str">
        <f>IFERROR(__xludf.DUMMYFUNCTION("""COMPUTED_VALUE"""),"Mochammad Fadhillah Hakim,")</f>
        <v>Mochammad Fadhillah Hakim,</v>
      </c>
      <c r="N5486" s="6" t="str">
        <f>IFERROR(__xludf.DUMMYFUNCTION("""COMPUTED_VALUE"""),"FIP Engineering")</f>
        <v>FIP Engineering</v>
      </c>
      <c r="O5486" s="6" t="str">
        <f>IFERROR(__xludf.DUMMYFUNCTION("""COMPUTED_VALUE"""),"FIP-DOM-000-11304-OS00001-INA-000000")</f>
        <v>FIP-DOM-000-11304-OS00001-INA-000000</v>
      </c>
      <c r="P5486" s="6" t="str">
        <f>IFERROR(__xludf.DUMMYFUNCTION("""COMPUTED_VALUE"""),"PR Open")</f>
        <v>PR Open</v>
      </c>
      <c r="Q5486" s="6"/>
      <c r="R5486" s="57">
        <f>IFERROR(__xludf.DUMMYFUNCTION("""COMPUTED_VALUE"""),46252.0)</f>
        <v>46252</v>
      </c>
      <c r="S5486" s="57">
        <f>IFERROR(__xludf.DUMMYFUNCTION("""COMPUTED_VALUE"""),46254.0)</f>
        <v>46254</v>
      </c>
      <c r="T5486" s="6"/>
    </row>
    <row r="5487">
      <c r="A5487" s="6" t="str">
        <f>IFERROR(__xludf.DUMMYFUNCTION("""COMPUTED_VALUE"""),"121704555-2")</f>
        <v>121704555-2</v>
      </c>
      <c r="B5487" s="6" t="str">
        <f>IFERROR(__xludf.DUMMYFUNCTION("""COMPUTED_VALUE"""),"121704555 - APPROVED")</f>
        <v>121704555 - APPROVED</v>
      </c>
      <c r="C5487" s="6">
        <f>IFERROR(__xludf.DUMMYFUNCTION("""COMPUTED_VALUE"""),2.0)</f>
        <v>2</v>
      </c>
      <c r="D5487" s="6" t="str">
        <f>IFERROR(__xludf.DUMMYFUNCTION("""COMPUTED_VALUE"""),"O-21650-00")</f>
        <v>O-21650-00</v>
      </c>
      <c r="E5487" s="6" t="str">
        <f>IFERROR(__xludf.DUMMYFUNCTION("""COMPUTED_VALUE"""),"Mixing Tank Adam - Oring EPDM OD 25,4mm Tebal 3mm; Custom/Lokal; -; 1 Pc")</f>
        <v>Mixing Tank Adam - Oring EPDM OD 25,4mm Tebal 3mm; Custom/Lokal; -; 1 Pc</v>
      </c>
      <c r="F5487" s="6">
        <f>IFERROR(__xludf.DUMMYFUNCTION("""COMPUTED_VALUE"""),10.0)</f>
        <v>10</v>
      </c>
      <c r="G5487" s="6" t="str">
        <f>IFERROR(__xludf.DUMMYFUNCTION("""COMPUTED_VALUE"""),"Pieces")</f>
        <v>Pieces</v>
      </c>
      <c r="H5487" s="6" t="str">
        <f>IFERROR(__xludf.DUMMYFUNCTION("""COMPUTED_VALUE"""),"IDR")</f>
        <v>IDR</v>
      </c>
      <c r="I5487" s="6">
        <f>IFERROR(__xludf.DUMMYFUNCTION("""COMPUTED_VALUE"""),25000.0)</f>
        <v>25000</v>
      </c>
      <c r="J5487" s="6">
        <f>IFERROR(__xludf.DUMMYFUNCTION("""COMPUTED_VALUE"""),250000.0)</f>
        <v>250000</v>
      </c>
      <c r="K5487" s="57">
        <f>IFERROR(__xludf.DUMMYFUNCTION("""COMPUTED_VALUE"""),46290.0)</f>
        <v>46290</v>
      </c>
      <c r="L5487" s="6" t="str">
        <f>IFERROR(__xludf.DUMMYFUNCTION("""COMPUTED_VALUE"""),"FIP Engineering")</f>
        <v>FIP Engineering</v>
      </c>
      <c r="M5487" s="6" t="str">
        <f>IFERROR(__xludf.DUMMYFUNCTION("""COMPUTED_VALUE"""),"Mochammad Fadhillah Hakim,")</f>
        <v>Mochammad Fadhillah Hakim,</v>
      </c>
      <c r="N5487" s="6" t="str">
        <f>IFERROR(__xludf.DUMMYFUNCTION("""COMPUTED_VALUE"""),"FIP Engineering")</f>
        <v>FIP Engineering</v>
      </c>
      <c r="O5487" s="6" t="str">
        <f>IFERROR(__xludf.DUMMYFUNCTION("""COMPUTED_VALUE"""),"FIP-DOM-000-11304-OS00001-INA-000000")</f>
        <v>FIP-DOM-000-11304-OS00001-INA-000000</v>
      </c>
      <c r="P5487" s="6" t="str">
        <f>IFERROR(__xludf.DUMMYFUNCTION("""COMPUTED_VALUE"""),"PR Open")</f>
        <v>PR Open</v>
      </c>
      <c r="Q5487" s="6"/>
      <c r="R5487" s="57">
        <f>IFERROR(__xludf.DUMMYFUNCTION("""COMPUTED_VALUE"""),46252.0)</f>
        <v>46252</v>
      </c>
      <c r="S5487" s="57">
        <f>IFERROR(__xludf.DUMMYFUNCTION("""COMPUTED_VALUE"""),46254.0)</f>
        <v>46254</v>
      </c>
      <c r="T5487" s="6"/>
    </row>
    <row r="5488">
      <c r="A5488" s="6" t="str">
        <f>IFERROR(__xludf.DUMMYFUNCTION("""COMPUTED_VALUE"""),"121704555-3")</f>
        <v>121704555-3</v>
      </c>
      <c r="B5488" s="6" t="str">
        <f>IFERROR(__xludf.DUMMYFUNCTION("""COMPUTED_VALUE"""),"121704555 - APPROVED")</f>
        <v>121704555 - APPROVED</v>
      </c>
      <c r="C5488" s="6">
        <f>IFERROR(__xludf.DUMMYFUNCTION("""COMPUTED_VALUE"""),3.0)</f>
        <v>3</v>
      </c>
      <c r="D5488" s="6" t="str">
        <f>IFERROR(__xludf.DUMMYFUNCTION("""COMPUTED_VALUE"""),"O-21703-00")</f>
        <v>O-21703-00</v>
      </c>
      <c r="E5488" s="6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F5488" s="6">
        <f>IFERROR(__xludf.DUMMYFUNCTION("""COMPUTED_VALUE"""),20.0)</f>
        <v>20</v>
      </c>
      <c r="G5488" s="6" t="str">
        <f>IFERROR(__xludf.DUMMYFUNCTION("""COMPUTED_VALUE"""),"Pieces")</f>
        <v>Pieces</v>
      </c>
      <c r="H5488" s="6" t="str">
        <f>IFERROR(__xludf.DUMMYFUNCTION("""COMPUTED_VALUE"""),"IDR")</f>
        <v>IDR</v>
      </c>
      <c r="I5488" s="6">
        <f>IFERROR(__xludf.DUMMYFUNCTION("""COMPUTED_VALUE"""),20000.0)</f>
        <v>20000</v>
      </c>
      <c r="J5488" s="6">
        <f>IFERROR(__xludf.DUMMYFUNCTION("""COMPUTED_VALUE"""),400000.0)</f>
        <v>400000</v>
      </c>
      <c r="K5488" s="57">
        <f>IFERROR(__xludf.DUMMYFUNCTION("""COMPUTED_VALUE"""),46290.0)</f>
        <v>46290</v>
      </c>
      <c r="L5488" s="6" t="str">
        <f>IFERROR(__xludf.DUMMYFUNCTION("""COMPUTED_VALUE"""),"FIP Engineering")</f>
        <v>FIP Engineering</v>
      </c>
      <c r="M5488" s="6" t="str">
        <f>IFERROR(__xludf.DUMMYFUNCTION("""COMPUTED_VALUE"""),"Mochammad Fadhillah Hakim,")</f>
        <v>Mochammad Fadhillah Hakim,</v>
      </c>
      <c r="N5488" s="6" t="str">
        <f>IFERROR(__xludf.DUMMYFUNCTION("""COMPUTED_VALUE"""),"FIP Engineering")</f>
        <v>FIP Engineering</v>
      </c>
      <c r="O5488" s="6" t="str">
        <f>IFERROR(__xludf.DUMMYFUNCTION("""COMPUTED_VALUE"""),"FIP-DOM-000-11304-OS00001-INA-000000")</f>
        <v>FIP-DOM-000-11304-OS00001-INA-000000</v>
      </c>
      <c r="P5488" s="6" t="str">
        <f>IFERROR(__xludf.DUMMYFUNCTION("""COMPUTED_VALUE"""),"PR Open")</f>
        <v>PR Open</v>
      </c>
      <c r="Q5488" s="6"/>
      <c r="R5488" s="57">
        <f>IFERROR(__xludf.DUMMYFUNCTION("""COMPUTED_VALUE"""),46252.0)</f>
        <v>46252</v>
      </c>
      <c r="S5488" s="57">
        <f>IFERROR(__xludf.DUMMYFUNCTION("""COMPUTED_VALUE"""),46254.0)</f>
        <v>46254</v>
      </c>
      <c r="T5488" s="6"/>
    </row>
    <row r="5489">
      <c r="A5489" s="6" t="str">
        <f>IFERROR(__xludf.DUMMYFUNCTION("""COMPUTED_VALUE"""),"121704557-1")</f>
        <v>121704557-1</v>
      </c>
      <c r="B5489" s="6" t="str">
        <f>IFERROR(__xludf.DUMMYFUNCTION("""COMPUTED_VALUE"""),"121704557 - APPROVED")</f>
        <v>121704557 - APPROVED</v>
      </c>
      <c r="C5489" s="6">
        <f>IFERROR(__xludf.DUMMYFUNCTION("""COMPUTED_VALUE"""),1.0)</f>
        <v>1</v>
      </c>
      <c r="D5489" s="6" t="str">
        <f>IFERROR(__xludf.DUMMYFUNCTION("""COMPUTED_VALUE"""),"S-60002-00")</f>
        <v>S-60002-00</v>
      </c>
      <c r="E5489" s="6" t="str">
        <f>IFERROR(__xludf.DUMMYFUNCTION("""COMPUTED_VALUE"""),"Jasa Perbaikan dan Pemeliharaan Mesin Utility - Perbaikan Pipa Steam")</f>
        <v>Jasa Perbaikan dan Pemeliharaan Mesin Utility - Perbaikan Pipa Steam</v>
      </c>
      <c r="F5489" s="6">
        <f>IFERROR(__xludf.DUMMYFUNCTION("""COMPUTED_VALUE"""),1.0)</f>
        <v>1</v>
      </c>
      <c r="G5489" s="6" t="str">
        <f>IFERROR(__xludf.DUMMYFUNCTION("""COMPUTED_VALUE"""),"Lot")</f>
        <v>Lot</v>
      </c>
      <c r="H5489" s="6" t="str">
        <f>IFERROR(__xludf.DUMMYFUNCTION("""COMPUTED_VALUE"""),"IDR")</f>
        <v>IDR</v>
      </c>
      <c r="I5489" s="6">
        <f>IFERROR(__xludf.DUMMYFUNCTION("""COMPUTED_VALUE"""),1.15205E7)</f>
        <v>11520500</v>
      </c>
      <c r="J5489" s="6">
        <f>IFERROR(__xludf.DUMMYFUNCTION("""COMPUTED_VALUE"""),1.15205E7)</f>
        <v>11520500</v>
      </c>
      <c r="K5489" s="57">
        <f>IFERROR(__xludf.DUMMYFUNCTION("""COMPUTED_VALUE"""),46283.0)</f>
        <v>46283</v>
      </c>
      <c r="L5489" s="6" t="str">
        <f>IFERROR(__xludf.DUMMYFUNCTION("""COMPUTED_VALUE"""),"FIP General")</f>
        <v>FIP General</v>
      </c>
      <c r="M5489" s="6" t="str">
        <f>IFERROR(__xludf.DUMMYFUNCTION("""COMPUTED_VALUE"""),"Mochammad Fadhillah Hakim,")</f>
        <v>Mochammad Fadhillah Hakim,</v>
      </c>
      <c r="N5489" s="6" t="str">
        <f>IFERROR(__xludf.DUMMYFUNCTION("""COMPUTED_VALUE"""),"FIP Engineering")</f>
        <v>FIP Engineering</v>
      </c>
      <c r="O5489" s="6" t="str">
        <f>IFERROR(__xludf.DUMMYFUNCTION("""COMPUTED_VALUE"""),"FIP-DOM-ENG-51508-0000000-INA-000000")</f>
        <v>FIP-DOM-ENG-51508-0000000-INA-000000</v>
      </c>
      <c r="P5489" s="6" t="str">
        <f>IFERROR(__xludf.DUMMYFUNCTION("""COMPUTED_VALUE"""),"PR Open")</f>
        <v>PR Open</v>
      </c>
      <c r="Q5489" s="6"/>
      <c r="R5489" s="57">
        <f>IFERROR(__xludf.DUMMYFUNCTION("""COMPUTED_VALUE"""),46252.0)</f>
        <v>46252</v>
      </c>
      <c r="S5489" s="57">
        <f>IFERROR(__xludf.DUMMYFUNCTION("""COMPUTED_VALUE"""),46254.0)</f>
        <v>46254</v>
      </c>
      <c r="T5489" s="6"/>
    </row>
    <row r="5490">
      <c r="A5490" s="6" t="str">
        <f>IFERROR(__xludf.DUMMYFUNCTION("""COMPUTED_VALUE"""),"121704562-1")</f>
        <v>121704562-1</v>
      </c>
      <c r="B5490" s="6" t="str">
        <f>IFERROR(__xludf.DUMMYFUNCTION("""COMPUTED_VALUE"""),"121704562 - APPROVED")</f>
        <v>121704562 - APPROVED</v>
      </c>
      <c r="C5490" s="6">
        <f>IFERROR(__xludf.DUMMYFUNCTION("""COMPUTED_VALUE"""),1.0)</f>
        <v>1</v>
      </c>
      <c r="D5490" s="6" t="str">
        <f>IFERROR(__xludf.DUMMYFUNCTION("""COMPUTED_VALUE"""),"Q-12181-00")</f>
        <v>Q-12181-00</v>
      </c>
      <c r="E5490" s="6" t="str">
        <f>IFERROR(__xludf.DUMMYFUNCTION("""COMPUTED_VALUE"""),"Flush Bolt 1625 + Stang; Griff; -; 1 Pc")</f>
        <v>Flush Bolt 1625 + Stang; Griff; -; 1 Pc</v>
      </c>
      <c r="F5490" s="6">
        <f>IFERROR(__xludf.DUMMYFUNCTION("""COMPUTED_VALUE"""),3.0)</f>
        <v>3</v>
      </c>
      <c r="G5490" s="6" t="str">
        <f>IFERROR(__xludf.DUMMYFUNCTION("""COMPUTED_VALUE"""),"Pieces")</f>
        <v>Pieces</v>
      </c>
      <c r="H5490" s="6" t="str">
        <f>IFERROR(__xludf.DUMMYFUNCTION("""COMPUTED_VALUE"""),"IDR")</f>
        <v>IDR</v>
      </c>
      <c r="I5490" s="6">
        <f>IFERROR(__xludf.DUMMYFUNCTION("""COMPUTED_VALUE"""),995000.0)</f>
        <v>995000</v>
      </c>
      <c r="J5490" s="6">
        <f>IFERROR(__xludf.DUMMYFUNCTION("""COMPUTED_VALUE"""),2985000.0)</f>
        <v>2985000</v>
      </c>
      <c r="K5490" s="57">
        <f>IFERROR(__xludf.DUMMYFUNCTION("""COMPUTED_VALUE"""),46290.0)</f>
        <v>46290</v>
      </c>
      <c r="L5490" s="6" t="str">
        <f>IFERROR(__xludf.DUMMYFUNCTION("""COMPUTED_VALUE"""),"FIP Engineering")</f>
        <v>FIP Engineering</v>
      </c>
      <c r="M5490" s="6" t="str">
        <f>IFERROR(__xludf.DUMMYFUNCTION("""COMPUTED_VALUE"""),"Mochammad Fadhillah Hakim,")</f>
        <v>Mochammad Fadhillah Hakim,</v>
      </c>
      <c r="N5490" s="6" t="str">
        <f>IFERROR(__xludf.DUMMYFUNCTION("""COMPUTED_VALUE"""),"FIP Engineering")</f>
        <v>FIP Engineering</v>
      </c>
      <c r="O5490" s="6" t="str">
        <f>IFERROR(__xludf.DUMMYFUNCTION("""COMPUTED_VALUE"""),"FIP-DOM-000-11304-OS00001-INA-000000")</f>
        <v>FIP-DOM-000-11304-OS00001-INA-000000</v>
      </c>
      <c r="P5490" s="6" t="str">
        <f>IFERROR(__xludf.DUMMYFUNCTION("""COMPUTED_VALUE"""),"PO Open")</f>
        <v>PO Open</v>
      </c>
      <c r="Q5490" s="6" t="str">
        <f>IFERROR(__xludf.DUMMYFUNCTION("""COMPUTED_VALUE"""),"GL2608044")</f>
        <v>GL2608044</v>
      </c>
      <c r="R5490" s="57">
        <f>IFERROR(__xludf.DUMMYFUNCTION("""COMPUTED_VALUE"""),46253.0)</f>
        <v>46253</v>
      </c>
      <c r="S5490" s="57">
        <f>IFERROR(__xludf.DUMMYFUNCTION("""COMPUTED_VALUE"""),46254.0)</f>
        <v>46254</v>
      </c>
      <c r="T5490" s="57">
        <f>IFERROR(__xludf.DUMMYFUNCTION("""COMPUTED_VALUE"""),46290.0)</f>
        <v>46290</v>
      </c>
    </row>
    <row r="5491">
      <c r="A5491" s="6" t="str">
        <f>IFERROR(__xludf.DUMMYFUNCTION("""COMPUTED_VALUE"""),"121704563-1")</f>
        <v>121704563-1</v>
      </c>
      <c r="B5491" s="6" t="str">
        <f>IFERROR(__xludf.DUMMYFUNCTION("""COMPUTED_VALUE"""),"121704563 - APPROVED")</f>
        <v>121704563 - APPROVED</v>
      </c>
      <c r="C5491" s="6">
        <f>IFERROR(__xludf.DUMMYFUNCTION("""COMPUTED_VALUE"""),1.0)</f>
        <v>1</v>
      </c>
      <c r="D5491" s="6" t="str">
        <f>IFERROR(__xludf.DUMMYFUNCTION("""COMPUTED_VALUE"""),"P-20927-00")</f>
        <v>P-20927-00</v>
      </c>
      <c r="E5491" s="6" t="str">
        <f>IFERROR(__xludf.DUMMYFUNCTION("""COMPUTED_VALUE"""),"General - Besi Siku L 4 x 4cm; No Brand; -; 4 meter/pc")</f>
        <v>General - Besi Siku L 4 x 4cm; No Brand; -; 4 meter/pc</v>
      </c>
      <c r="F5491" s="6">
        <f>IFERROR(__xludf.DUMMYFUNCTION("""COMPUTED_VALUE"""),4.0)</f>
        <v>4</v>
      </c>
      <c r="G5491" s="6" t="str">
        <f>IFERROR(__xludf.DUMMYFUNCTION("""COMPUTED_VALUE"""),"Pieces")</f>
        <v>Pieces</v>
      </c>
      <c r="H5491" s="6" t="str">
        <f>IFERROR(__xludf.DUMMYFUNCTION("""COMPUTED_VALUE"""),"IDR")</f>
        <v>IDR</v>
      </c>
      <c r="I5491" s="6">
        <f>IFERROR(__xludf.DUMMYFUNCTION("""COMPUTED_VALUE"""),185000.0)</f>
        <v>185000</v>
      </c>
      <c r="J5491" s="6">
        <f>IFERROR(__xludf.DUMMYFUNCTION("""COMPUTED_VALUE"""),740000.0)</f>
        <v>740000</v>
      </c>
      <c r="K5491" s="57">
        <f>IFERROR(__xludf.DUMMYFUNCTION("""COMPUTED_VALUE"""),46290.0)</f>
        <v>46290</v>
      </c>
      <c r="L5491" s="6" t="str">
        <f>IFERROR(__xludf.DUMMYFUNCTION("""COMPUTED_VALUE"""),"FIP Engineering")</f>
        <v>FIP Engineering</v>
      </c>
      <c r="M5491" s="6" t="str">
        <f>IFERROR(__xludf.DUMMYFUNCTION("""COMPUTED_VALUE"""),"Mochammad Fadhillah Hakim,")</f>
        <v>Mochammad Fadhillah Hakim,</v>
      </c>
      <c r="N5491" s="6" t="str">
        <f>IFERROR(__xludf.DUMMYFUNCTION("""COMPUTED_VALUE"""),"FIP Engineering")</f>
        <v>FIP Engineering</v>
      </c>
      <c r="O5491" s="6" t="str">
        <f>IFERROR(__xludf.DUMMYFUNCTION("""COMPUTED_VALUE"""),"FIP-DOM-000-11304-OS00001-INA-000000")</f>
        <v>FIP-DOM-000-11304-OS00001-INA-000000</v>
      </c>
      <c r="P5491" s="6" t="str">
        <f>IFERROR(__xludf.DUMMYFUNCTION("""COMPUTED_VALUE"""),"PR Open")</f>
        <v>PR Open</v>
      </c>
      <c r="Q5491" s="6"/>
      <c r="R5491" s="57">
        <f>IFERROR(__xludf.DUMMYFUNCTION("""COMPUTED_VALUE"""),46253.0)</f>
        <v>46253</v>
      </c>
      <c r="S5491" s="57">
        <f>IFERROR(__xludf.DUMMYFUNCTION("""COMPUTED_VALUE"""),46254.0)</f>
        <v>46254</v>
      </c>
      <c r="T5491" s="6"/>
    </row>
    <row r="5492">
      <c r="A5492" s="6" t="str">
        <f>IFERROR(__xludf.DUMMYFUNCTION("""COMPUTED_VALUE"""),"121704563-2")</f>
        <v>121704563-2</v>
      </c>
      <c r="B5492" s="6" t="str">
        <f>IFERROR(__xludf.DUMMYFUNCTION("""COMPUTED_VALUE"""),"121704563 - APPROVED")</f>
        <v>121704563 - APPROVED</v>
      </c>
      <c r="C5492" s="6">
        <f>IFERROR(__xludf.DUMMYFUNCTION("""COMPUTED_VALUE"""),2.0)</f>
        <v>2</v>
      </c>
      <c r="D5492" s="6" t="str">
        <f>IFERROR(__xludf.DUMMYFUNCTION("""COMPUTED_VALUE"""),"P-20928-00")</f>
        <v>P-20928-00</v>
      </c>
      <c r="E5492" s="6" t="str">
        <f>IFERROR(__xludf.DUMMYFUNCTION("""COMPUTED_VALUE"""),"General - Plat Galvanis 1mm x 1.2m x 4.2m; No Brand; -; 1 pc")</f>
        <v>General - Plat Galvanis 1mm x 1.2m x 4.2m; No Brand; -; 1 pc</v>
      </c>
      <c r="F5492" s="6">
        <f>IFERROR(__xludf.DUMMYFUNCTION("""COMPUTED_VALUE"""),4.0)</f>
        <v>4</v>
      </c>
      <c r="G5492" s="6" t="str">
        <f>IFERROR(__xludf.DUMMYFUNCTION("""COMPUTED_VALUE"""),"Pieces")</f>
        <v>Pieces</v>
      </c>
      <c r="H5492" s="6" t="str">
        <f>IFERROR(__xludf.DUMMYFUNCTION("""COMPUTED_VALUE"""),"IDR")</f>
        <v>IDR</v>
      </c>
      <c r="I5492" s="6">
        <f>IFERROR(__xludf.DUMMYFUNCTION("""COMPUTED_VALUE"""),1500000.0)</f>
        <v>1500000</v>
      </c>
      <c r="J5492" s="6">
        <f>IFERROR(__xludf.DUMMYFUNCTION("""COMPUTED_VALUE"""),6000000.0)</f>
        <v>6000000</v>
      </c>
      <c r="K5492" s="57">
        <f>IFERROR(__xludf.DUMMYFUNCTION("""COMPUTED_VALUE"""),46290.0)</f>
        <v>46290</v>
      </c>
      <c r="L5492" s="6" t="str">
        <f>IFERROR(__xludf.DUMMYFUNCTION("""COMPUTED_VALUE"""),"FIP Engineering")</f>
        <v>FIP Engineering</v>
      </c>
      <c r="M5492" s="6" t="str">
        <f>IFERROR(__xludf.DUMMYFUNCTION("""COMPUTED_VALUE"""),"Mochammad Fadhillah Hakim,")</f>
        <v>Mochammad Fadhillah Hakim,</v>
      </c>
      <c r="N5492" s="6" t="str">
        <f>IFERROR(__xludf.DUMMYFUNCTION("""COMPUTED_VALUE"""),"FIP Engineering")</f>
        <v>FIP Engineering</v>
      </c>
      <c r="O5492" s="6" t="str">
        <f>IFERROR(__xludf.DUMMYFUNCTION("""COMPUTED_VALUE"""),"FIP-DOM-000-11303-RM00001-INA-000000")</f>
        <v>FIP-DOM-000-11303-RM00001-INA-000000</v>
      </c>
      <c r="P5492" s="6" t="str">
        <f>IFERROR(__xludf.DUMMYFUNCTION("""COMPUTED_VALUE"""),"PO Open")</f>
        <v>PO Open</v>
      </c>
      <c r="Q5492" s="6" t="str">
        <f>IFERROR(__xludf.DUMMYFUNCTION("""COMPUTED_VALUE"""),"GL2609021")</f>
        <v>GL2609021</v>
      </c>
      <c r="R5492" s="57">
        <f>IFERROR(__xludf.DUMMYFUNCTION("""COMPUTED_VALUE"""),46253.0)</f>
        <v>46253</v>
      </c>
      <c r="S5492" s="57">
        <f>IFERROR(__xludf.DUMMYFUNCTION("""COMPUTED_VALUE"""),46254.0)</f>
        <v>46254</v>
      </c>
      <c r="T5492" s="57">
        <f>IFERROR(__xludf.DUMMYFUNCTION("""COMPUTED_VALUE"""),46315.0)</f>
        <v>46315</v>
      </c>
    </row>
    <row r="5493">
      <c r="A5493" s="6" t="str">
        <f>IFERROR(__xludf.DUMMYFUNCTION("""COMPUTED_VALUE"""),"121704564-1")</f>
        <v>121704564-1</v>
      </c>
      <c r="B5493" s="6" t="str">
        <f>IFERROR(__xludf.DUMMYFUNCTION("""COMPUTED_VALUE"""),"121704564 - APPROVED")</f>
        <v>121704564 - APPROVED</v>
      </c>
      <c r="C5493" s="6">
        <f>IFERROR(__xludf.DUMMYFUNCTION("""COMPUTED_VALUE"""),1.0)</f>
        <v>1</v>
      </c>
      <c r="D5493" s="6" t="str">
        <f>IFERROR(__xludf.DUMMYFUNCTION("""COMPUTED_VALUE"""),"Q-10005-00")</f>
        <v>Q-10005-00</v>
      </c>
      <c r="E5493" s="6" t="str">
        <f>IFERROR(__xludf.DUMMYFUNCTION("""COMPUTED_VALUE"""),"Polyfloor PFT-213 Ivory @ 20 KG")</f>
        <v>Polyfloor PFT-213 Ivory @ 20 KG</v>
      </c>
      <c r="F5493" s="6">
        <f>IFERROR(__xludf.DUMMYFUNCTION("""COMPUTED_VALUE"""),3.0)</f>
        <v>3</v>
      </c>
      <c r="G5493" s="6" t="str">
        <f>IFERROR(__xludf.DUMMYFUNCTION("""COMPUTED_VALUE"""),"Kilogram")</f>
        <v>Kilogram</v>
      </c>
      <c r="H5493" s="6" t="str">
        <f>IFERROR(__xludf.DUMMYFUNCTION("""COMPUTED_VALUE"""),"IDR")</f>
        <v>IDR</v>
      </c>
      <c r="I5493" s="6">
        <f>IFERROR(__xludf.DUMMYFUNCTION("""COMPUTED_VALUE"""),4000000.0)</f>
        <v>4000000</v>
      </c>
      <c r="J5493" s="6">
        <f>IFERROR(__xludf.DUMMYFUNCTION("""COMPUTED_VALUE"""),1.2E7)</f>
        <v>12000000</v>
      </c>
      <c r="K5493" s="57">
        <f>IFERROR(__xludf.DUMMYFUNCTION("""COMPUTED_VALUE"""),46255.0)</f>
        <v>46255</v>
      </c>
      <c r="L5493" s="6" t="str">
        <f>IFERROR(__xludf.DUMMYFUNCTION("""COMPUTED_VALUE"""),"FIP Engineering")</f>
        <v>FIP Engineering</v>
      </c>
      <c r="M5493" s="6" t="str">
        <f>IFERROR(__xludf.DUMMYFUNCTION("""COMPUTED_VALUE"""),"Mochammad Fadhillah Hakim,")</f>
        <v>Mochammad Fadhillah Hakim,</v>
      </c>
      <c r="N5493" s="6" t="str">
        <f>IFERROR(__xludf.DUMMYFUNCTION("""COMPUTED_VALUE"""),"FIP Engineering")</f>
        <v>FIP Engineering</v>
      </c>
      <c r="O5493" s="6" t="str">
        <f>IFERROR(__xludf.DUMMYFUNCTION("""COMPUTED_VALUE"""),"FIP-DOM-000-11303-RM00001-INA-000000")</f>
        <v>FIP-DOM-000-11303-RM00001-INA-000000</v>
      </c>
      <c r="P5493" s="6" t="str">
        <f>IFERROR(__xludf.DUMMYFUNCTION("""COMPUTED_VALUE"""),"PO Open")</f>
        <v>PO Open</v>
      </c>
      <c r="Q5493" s="6" t="str">
        <f>IFERROR(__xludf.DUMMYFUNCTION("""COMPUTED_VALUE"""),"GL2609431")</f>
        <v>GL2609431</v>
      </c>
      <c r="R5493" s="57">
        <f>IFERROR(__xludf.DUMMYFUNCTION("""COMPUTED_VALUE"""),46253.0)</f>
        <v>46253</v>
      </c>
      <c r="S5493" s="57">
        <f>IFERROR(__xludf.DUMMYFUNCTION("""COMPUTED_VALUE"""),46254.0)</f>
        <v>46254</v>
      </c>
      <c r="T5493" s="57">
        <f>IFERROR(__xludf.DUMMYFUNCTION("""COMPUTED_VALUE"""),46316.0)</f>
        <v>46316</v>
      </c>
    </row>
    <row r="5494">
      <c r="A5494" s="6" t="str">
        <f>IFERROR(__xludf.DUMMYFUNCTION("""COMPUTED_VALUE"""),"121704566-1")</f>
        <v>121704566-1</v>
      </c>
      <c r="B5494" s="6" t="str">
        <f>IFERROR(__xludf.DUMMYFUNCTION("""COMPUTED_VALUE"""),"121704566 - APPROVED")</f>
        <v>121704566 - APPROVED</v>
      </c>
      <c r="C5494" s="6">
        <f>IFERROR(__xludf.DUMMYFUNCTION("""COMPUTED_VALUE"""),1.0)</f>
        <v>1</v>
      </c>
      <c r="D5494" s="6" t="str">
        <f>IFERROR(__xludf.DUMMYFUNCTION("""COMPUTED_VALUE"""),"O-20487-00")</f>
        <v>O-20487-00</v>
      </c>
      <c r="E5494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F5494" s="6">
        <f>IFERROR(__xludf.DUMMYFUNCTION("""COMPUTED_VALUE"""),60.0)</f>
        <v>60</v>
      </c>
      <c r="G5494" s="6" t="str">
        <f>IFERROR(__xludf.DUMMYFUNCTION("""COMPUTED_VALUE"""),"Pieces")</f>
        <v>Pieces</v>
      </c>
      <c r="H5494" s="6" t="str">
        <f>IFERROR(__xludf.DUMMYFUNCTION("""COMPUTED_VALUE"""),"IDR")</f>
        <v>IDR</v>
      </c>
      <c r="I5494" s="6">
        <f>IFERROR(__xludf.DUMMYFUNCTION("""COMPUTED_VALUE"""),1874000.0)</f>
        <v>1874000</v>
      </c>
      <c r="J5494" s="6">
        <f>IFERROR(__xludf.DUMMYFUNCTION("""COMPUTED_VALUE"""),1.1244E8)</f>
        <v>112440000</v>
      </c>
      <c r="K5494" s="57">
        <f>IFERROR(__xludf.DUMMYFUNCTION("""COMPUTED_VALUE"""),46257.0)</f>
        <v>46257</v>
      </c>
      <c r="L5494" s="6" t="str">
        <f>IFERROR(__xludf.DUMMYFUNCTION("""COMPUTED_VALUE"""),"FIP Engineering")</f>
        <v>FIP Engineering</v>
      </c>
      <c r="M5494" s="6" t="str">
        <f>IFERROR(__xludf.DUMMYFUNCTION("""COMPUTED_VALUE"""),"Mochammad Fadhillah Hakim,")</f>
        <v>Mochammad Fadhillah Hakim,</v>
      </c>
      <c r="N5494" s="6" t="str">
        <f>IFERROR(__xludf.DUMMYFUNCTION("""COMPUTED_VALUE"""),"FIP Engineering")</f>
        <v>FIP Engineering</v>
      </c>
      <c r="O5494" s="6" t="str">
        <f>IFERROR(__xludf.DUMMYFUNCTION("""COMPUTED_VALUE"""),"FIP-DOM-000-11304-OS00001-INA-000000")</f>
        <v>FIP-DOM-000-11304-OS00001-INA-000000</v>
      </c>
      <c r="P5494" s="6" t="str">
        <f>IFERROR(__xludf.DUMMYFUNCTION("""COMPUTED_VALUE"""),"PO Open")</f>
        <v>PO Open</v>
      </c>
      <c r="Q5494" s="6" t="str">
        <f>IFERROR(__xludf.DUMMYFUNCTION("""COMPUTED_VALUE"""),"GL2608039")</f>
        <v>GL2608039</v>
      </c>
      <c r="R5494" s="57">
        <f>IFERROR(__xludf.DUMMYFUNCTION("""COMPUTED_VALUE"""),46255.0)</f>
        <v>46255</v>
      </c>
      <c r="S5494" s="57">
        <f>IFERROR(__xludf.DUMMYFUNCTION("""COMPUTED_VALUE"""),46255.0)</f>
        <v>46255</v>
      </c>
      <c r="T5494" s="57">
        <f>IFERROR(__xludf.DUMMYFUNCTION("""COMPUTED_VALUE"""),46349.0)</f>
        <v>46349</v>
      </c>
    </row>
    <row r="5495">
      <c r="A5495" s="6" t="str">
        <f>IFERROR(__xludf.DUMMYFUNCTION("""COMPUTED_VALUE"""),"121704567-1")</f>
        <v>121704567-1</v>
      </c>
      <c r="B5495" s="6" t="str">
        <f>IFERROR(__xludf.DUMMYFUNCTION("""COMPUTED_VALUE"""),"121704567 - APPROVED")</f>
        <v>121704567 - APPROVED</v>
      </c>
      <c r="C5495" s="6">
        <f>IFERROR(__xludf.DUMMYFUNCTION("""COMPUTED_VALUE"""),1.0)</f>
        <v>1</v>
      </c>
      <c r="D5495" s="6" t="str">
        <f>IFERROR(__xludf.DUMMYFUNCTION("""COMPUTED_VALUE"""),"P-54284-00")</f>
        <v>P-54284-00</v>
      </c>
      <c r="E5495" s="6" t="str">
        <f>IFERROR(__xludf.DUMMYFUNCTION("""COMPUTED_VALUE"""),"SCHINDLER ELEVATOR - Interphone; Schindler; -; 1 pc")</f>
        <v>SCHINDLER ELEVATOR - Interphone; Schindler; -; 1 pc</v>
      </c>
      <c r="F5495" s="6">
        <f>IFERROR(__xludf.DUMMYFUNCTION("""COMPUTED_VALUE"""),1.0)</f>
        <v>1</v>
      </c>
      <c r="G5495" s="6" t="str">
        <f>IFERROR(__xludf.DUMMYFUNCTION("""COMPUTED_VALUE"""),"Pieces")</f>
        <v>Pieces</v>
      </c>
      <c r="H5495" s="6" t="str">
        <f>IFERROR(__xludf.DUMMYFUNCTION("""COMPUTED_VALUE"""),"IDR")</f>
        <v>IDR</v>
      </c>
      <c r="I5495" s="6">
        <f>IFERROR(__xludf.DUMMYFUNCTION("""COMPUTED_VALUE"""),5263000.0)</f>
        <v>5263000</v>
      </c>
      <c r="J5495" s="6">
        <f>IFERROR(__xludf.DUMMYFUNCTION("""COMPUTED_VALUE"""),5263000.0)</f>
        <v>5263000</v>
      </c>
      <c r="K5495" s="57">
        <f>IFERROR(__xludf.DUMMYFUNCTION("""COMPUTED_VALUE"""),46318.0)</f>
        <v>46318</v>
      </c>
      <c r="L5495" s="6" t="str">
        <f>IFERROR(__xludf.DUMMYFUNCTION("""COMPUTED_VALUE"""),"FIP General")</f>
        <v>FIP General</v>
      </c>
      <c r="M5495" s="6" t="str">
        <f>IFERROR(__xludf.DUMMYFUNCTION("""COMPUTED_VALUE"""),"Mochammad Fadhillah Hakim,")</f>
        <v>Mochammad Fadhillah Hakim,</v>
      </c>
      <c r="N5495" s="6" t="str">
        <f>IFERROR(__xludf.DUMMYFUNCTION("""COMPUTED_VALUE"""),"FIP Engineering")</f>
        <v>FIP Engineering</v>
      </c>
      <c r="O5495" s="6" t="str">
        <f>IFERROR(__xludf.DUMMYFUNCTION("""COMPUTED_VALUE"""),"FIP-DOM-ENG-51504-0000000-INA-000000")</f>
        <v>FIP-DOM-ENG-51504-0000000-INA-000000</v>
      </c>
      <c r="P5495" s="6" t="str">
        <f>IFERROR(__xludf.DUMMYFUNCTION("""COMPUTED_VALUE"""),"PR Open")</f>
        <v>PR Open</v>
      </c>
      <c r="Q5495" s="6"/>
      <c r="R5495" s="57">
        <f>IFERROR(__xludf.DUMMYFUNCTION("""COMPUTED_VALUE"""),46255.0)</f>
        <v>46255</v>
      </c>
      <c r="S5495" s="57">
        <f>IFERROR(__xludf.DUMMYFUNCTION("""COMPUTED_VALUE"""),46255.0)</f>
        <v>46255</v>
      </c>
      <c r="T5495" s="6"/>
    </row>
    <row r="5496">
      <c r="A5496" s="6" t="str">
        <f>IFERROR(__xludf.DUMMYFUNCTION("""COMPUTED_VALUE"""),"121704568-1")</f>
        <v>121704568-1</v>
      </c>
      <c r="B5496" s="6" t="str">
        <f>IFERROR(__xludf.DUMMYFUNCTION("""COMPUTED_VALUE"""),"121704568 - APPROVED")</f>
        <v>121704568 - APPROVED</v>
      </c>
      <c r="C5496" s="6">
        <f>IFERROR(__xludf.DUMMYFUNCTION("""COMPUTED_VALUE"""),1.0)</f>
        <v>1</v>
      </c>
      <c r="D5496" s="6" t="str">
        <f>IFERROR(__xludf.DUMMYFUNCTION("""COMPUTED_VALUE"""),"P-53094-00")</f>
        <v>P-53094-00</v>
      </c>
      <c r="E5496" s="6" t="str">
        <f>IFERROR(__xludf.DUMMYFUNCTION("""COMPUTED_VALUE"""),"General - Actuator; Belimo; GMX120-3; 1 pcs")</f>
        <v>General - Actuator; Belimo; GMX120-3; 1 pcs</v>
      </c>
      <c r="F5496" s="6">
        <f>IFERROR(__xludf.DUMMYFUNCTION("""COMPUTED_VALUE"""),2.0)</f>
        <v>2</v>
      </c>
      <c r="G5496" s="6" t="str">
        <f>IFERROR(__xludf.DUMMYFUNCTION("""COMPUTED_VALUE"""),"Pieces")</f>
        <v>Pieces</v>
      </c>
      <c r="H5496" s="6" t="str">
        <f>IFERROR(__xludf.DUMMYFUNCTION("""COMPUTED_VALUE"""),"IDR")</f>
        <v>IDR</v>
      </c>
      <c r="I5496" s="6">
        <f>IFERROR(__xludf.DUMMYFUNCTION("""COMPUTED_VALUE"""),1.14E7)</f>
        <v>11400000</v>
      </c>
      <c r="J5496" s="6">
        <f>IFERROR(__xludf.DUMMYFUNCTION("""COMPUTED_VALUE"""),2.28E7)</f>
        <v>22800000</v>
      </c>
      <c r="K5496" s="57">
        <f>IFERROR(__xludf.DUMMYFUNCTION("""COMPUTED_VALUE"""),46290.0)</f>
        <v>46290</v>
      </c>
      <c r="L5496" s="6" t="str">
        <f>IFERROR(__xludf.DUMMYFUNCTION("""COMPUTED_VALUE"""),"FIP Engineering")</f>
        <v>FIP Engineering</v>
      </c>
      <c r="M5496" s="6" t="str">
        <f>IFERROR(__xludf.DUMMYFUNCTION("""COMPUTED_VALUE"""),"Mochammad Fadhillah Hakim,")</f>
        <v>Mochammad Fadhillah Hakim,</v>
      </c>
      <c r="N5496" s="6" t="str">
        <f>IFERROR(__xludf.DUMMYFUNCTION("""COMPUTED_VALUE"""),"FIP Engineering")</f>
        <v>FIP Engineering</v>
      </c>
      <c r="O5496" s="6" t="str">
        <f>IFERROR(__xludf.DUMMYFUNCTION("""COMPUTED_VALUE"""),"FIP-DOM-000-11304-OS00001-INA-000000")</f>
        <v>FIP-DOM-000-11304-OS00001-INA-000000</v>
      </c>
      <c r="P5496" s="6" t="str">
        <f>IFERROR(__xludf.DUMMYFUNCTION("""COMPUTED_VALUE"""),"PR Open")</f>
        <v>PR Open</v>
      </c>
      <c r="Q5496" s="6"/>
      <c r="R5496" s="57">
        <f>IFERROR(__xludf.DUMMYFUNCTION("""COMPUTED_VALUE"""),46255.0)</f>
        <v>46255</v>
      </c>
      <c r="S5496" s="57">
        <f>IFERROR(__xludf.DUMMYFUNCTION("""COMPUTED_VALUE"""),46255.0)</f>
        <v>46255</v>
      </c>
      <c r="T5496" s="6"/>
    </row>
    <row r="5497">
      <c r="A5497" s="6" t="str">
        <f>IFERROR(__xludf.DUMMYFUNCTION("""COMPUTED_VALUE"""),"121704568-2")</f>
        <v>121704568-2</v>
      </c>
      <c r="B5497" s="6" t="str">
        <f>IFERROR(__xludf.DUMMYFUNCTION("""COMPUTED_VALUE"""),"121704568 - APPROVED")</f>
        <v>121704568 - APPROVED</v>
      </c>
      <c r="C5497" s="6">
        <f>IFERROR(__xludf.DUMMYFUNCTION("""COMPUTED_VALUE"""),2.0)</f>
        <v>2</v>
      </c>
      <c r="D5497" s="6" t="str">
        <f>IFERROR(__xludf.DUMMYFUNCTION("""COMPUTED_VALUE"""),"P-20637-00")</f>
        <v>P-20637-00</v>
      </c>
      <c r="E5497" s="6" t="str">
        <f>IFERROR(__xludf.DUMMYFUNCTION("""COMPUTED_VALUE"""),"General - Motorize Valve; Belimo; NMX 120-3; 1 pc")</f>
        <v>General - Motorize Valve; Belimo; NMX 120-3; 1 pc</v>
      </c>
      <c r="F5497" s="6">
        <f>IFERROR(__xludf.DUMMYFUNCTION("""COMPUTED_VALUE"""),4.0)</f>
        <v>4</v>
      </c>
      <c r="G5497" s="6" t="str">
        <f>IFERROR(__xludf.DUMMYFUNCTION("""COMPUTED_VALUE"""),"Pieces")</f>
        <v>Pieces</v>
      </c>
      <c r="H5497" s="6" t="str">
        <f>IFERROR(__xludf.DUMMYFUNCTION("""COMPUTED_VALUE"""),"IDR")</f>
        <v>IDR</v>
      </c>
      <c r="I5497" s="6">
        <f>IFERROR(__xludf.DUMMYFUNCTION("""COMPUTED_VALUE"""),7500000.0)</f>
        <v>7500000</v>
      </c>
      <c r="J5497" s="6">
        <f>IFERROR(__xludf.DUMMYFUNCTION("""COMPUTED_VALUE"""),3.0E7)</f>
        <v>30000000</v>
      </c>
      <c r="K5497" s="57">
        <f>IFERROR(__xludf.DUMMYFUNCTION("""COMPUTED_VALUE"""),46290.0)</f>
        <v>46290</v>
      </c>
      <c r="L5497" s="6" t="str">
        <f>IFERROR(__xludf.DUMMYFUNCTION("""COMPUTED_VALUE"""),"FIP Engineering")</f>
        <v>FIP Engineering</v>
      </c>
      <c r="M5497" s="6" t="str">
        <f>IFERROR(__xludf.DUMMYFUNCTION("""COMPUTED_VALUE"""),"Mochammad Fadhillah Hakim,")</f>
        <v>Mochammad Fadhillah Hakim,</v>
      </c>
      <c r="N5497" s="6" t="str">
        <f>IFERROR(__xludf.DUMMYFUNCTION("""COMPUTED_VALUE"""),"FIP Engineering")</f>
        <v>FIP Engineering</v>
      </c>
      <c r="O5497" s="6" t="str">
        <f>IFERROR(__xludf.DUMMYFUNCTION("""COMPUTED_VALUE"""),"FIP-DOM-000-11304-OS00001-INA-000000")</f>
        <v>FIP-DOM-000-11304-OS00001-INA-000000</v>
      </c>
      <c r="P5497" s="6" t="str">
        <f>IFERROR(__xludf.DUMMYFUNCTION("""COMPUTED_VALUE"""),"PR Open")</f>
        <v>PR Open</v>
      </c>
      <c r="Q5497" s="6"/>
      <c r="R5497" s="57">
        <f>IFERROR(__xludf.DUMMYFUNCTION("""COMPUTED_VALUE"""),46255.0)</f>
        <v>46255</v>
      </c>
      <c r="S5497" s="57">
        <f>IFERROR(__xludf.DUMMYFUNCTION("""COMPUTED_VALUE"""),46255.0)</f>
        <v>46255</v>
      </c>
      <c r="T5497" s="6"/>
    </row>
    <row r="5498">
      <c r="A5498" s="6" t="str">
        <f>IFERROR(__xludf.DUMMYFUNCTION("""COMPUTED_VALUE"""),"121704569-1")</f>
        <v>121704569-1</v>
      </c>
      <c r="B5498" s="6" t="str">
        <f>IFERROR(__xludf.DUMMYFUNCTION("""COMPUTED_VALUE"""),"121704569 - APPROVED")</f>
        <v>121704569 - APPROVED</v>
      </c>
      <c r="C5498" s="6">
        <f>IFERROR(__xludf.DUMMYFUNCTION("""COMPUTED_VALUE"""),1.0)</f>
        <v>1</v>
      </c>
      <c r="D5498" s="6" t="str">
        <f>IFERROR(__xludf.DUMMYFUNCTION("""COMPUTED_VALUE"""),"P-51894-00")</f>
        <v>P-51894-00</v>
      </c>
      <c r="E5498" s="6" t="str">
        <f>IFERROR(__xludf.DUMMYFUNCTION("""COMPUTED_VALUE"""),"General - Lampu TL LED Bright Boost 18 W; Philips; -; 1 unt")</f>
        <v>General - Lampu TL LED Bright Boost 18 W; Philips; -; 1 unt</v>
      </c>
      <c r="F5498" s="6">
        <f>IFERROR(__xludf.DUMMYFUNCTION("""COMPUTED_VALUE"""),5.0)</f>
        <v>5</v>
      </c>
      <c r="G5498" s="6" t="str">
        <f>IFERROR(__xludf.DUMMYFUNCTION("""COMPUTED_VALUE"""),"Pieces")</f>
        <v>Pieces</v>
      </c>
      <c r="H5498" s="6" t="str">
        <f>IFERROR(__xludf.DUMMYFUNCTION("""COMPUTED_VALUE"""),"IDR")</f>
        <v>IDR</v>
      </c>
      <c r="I5498" s="6">
        <f>IFERROR(__xludf.DUMMYFUNCTION("""COMPUTED_VALUE"""),35000.0)</f>
        <v>35000</v>
      </c>
      <c r="J5498" s="6">
        <f>IFERROR(__xludf.DUMMYFUNCTION("""COMPUTED_VALUE"""),175000.0)</f>
        <v>175000</v>
      </c>
      <c r="K5498" s="57">
        <f>IFERROR(__xludf.DUMMYFUNCTION("""COMPUTED_VALUE"""),46290.0)</f>
        <v>46290</v>
      </c>
      <c r="L5498" s="6" t="str">
        <f>IFERROR(__xludf.DUMMYFUNCTION("""COMPUTED_VALUE"""),"FIP Engineering")</f>
        <v>FIP Engineering</v>
      </c>
      <c r="M5498" s="6" t="str">
        <f>IFERROR(__xludf.DUMMYFUNCTION("""COMPUTED_VALUE"""),"Mochammad Fadhillah Hakim,")</f>
        <v>Mochammad Fadhillah Hakim,</v>
      </c>
      <c r="N5498" s="6" t="str">
        <f>IFERROR(__xludf.DUMMYFUNCTION("""COMPUTED_VALUE"""),"FIP Engineering")</f>
        <v>FIP Engineering</v>
      </c>
      <c r="O5498" s="6" t="str">
        <f>IFERROR(__xludf.DUMMYFUNCTION("""COMPUTED_VALUE"""),"FIP-DOM-000-11304-OS00001-INA-000000")</f>
        <v>FIP-DOM-000-11304-OS00001-INA-000000</v>
      </c>
      <c r="P5498" s="6" t="str">
        <f>IFERROR(__xludf.DUMMYFUNCTION("""COMPUTED_VALUE"""),"PO Open")</f>
        <v>PO Open</v>
      </c>
      <c r="Q5498" s="6" t="str">
        <f>IFERROR(__xludf.DUMMYFUNCTION("""COMPUTED_VALUE"""),"GL2609428")</f>
        <v>GL2609428</v>
      </c>
      <c r="R5498" s="57">
        <f>IFERROR(__xludf.DUMMYFUNCTION("""COMPUTED_VALUE"""),46255.0)</f>
        <v>46255</v>
      </c>
      <c r="S5498" s="57">
        <f>IFERROR(__xludf.DUMMYFUNCTION("""COMPUTED_VALUE"""),46255.0)</f>
        <v>46255</v>
      </c>
      <c r="T5498" s="57">
        <f>IFERROR(__xludf.DUMMYFUNCTION("""COMPUTED_VALUE"""),46300.0)</f>
        <v>46300</v>
      </c>
    </row>
    <row r="5499">
      <c r="A5499" s="6" t="str">
        <f>IFERROR(__xludf.DUMMYFUNCTION("""COMPUTED_VALUE"""),"121704569-2")</f>
        <v>121704569-2</v>
      </c>
      <c r="B5499" s="6" t="str">
        <f>IFERROR(__xludf.DUMMYFUNCTION("""COMPUTED_VALUE"""),"121704569 - APPROVED")</f>
        <v>121704569 - APPROVED</v>
      </c>
      <c r="C5499" s="6">
        <f>IFERROR(__xludf.DUMMYFUNCTION("""COMPUTED_VALUE"""),2.0)</f>
        <v>2</v>
      </c>
      <c r="D5499" s="6" t="str">
        <f>IFERROR(__xludf.DUMMYFUNCTION("""COMPUTED_VALUE"""),"P-51929-00")</f>
        <v>P-51929-00</v>
      </c>
      <c r="E5499" s="6" t="str">
        <f>IFERROR(__xludf.DUMMYFUNCTION("""COMPUTED_VALUE"""),"General - Lampu TL5 14 W G5; Philips; -; 1 unt")</f>
        <v>General - Lampu TL5 14 W G5; Philips; -; 1 unt</v>
      </c>
      <c r="F5499" s="6">
        <f>IFERROR(__xludf.DUMMYFUNCTION("""COMPUTED_VALUE"""),5.0)</f>
        <v>5</v>
      </c>
      <c r="G5499" s="6" t="str">
        <f>IFERROR(__xludf.DUMMYFUNCTION("""COMPUTED_VALUE"""),"Pieces")</f>
        <v>Pieces</v>
      </c>
      <c r="H5499" s="6" t="str">
        <f>IFERROR(__xludf.DUMMYFUNCTION("""COMPUTED_VALUE"""),"IDR")</f>
        <v>IDR</v>
      </c>
      <c r="I5499" s="6">
        <f>IFERROR(__xludf.DUMMYFUNCTION("""COMPUTED_VALUE"""),115000.0)</f>
        <v>115000</v>
      </c>
      <c r="J5499" s="6">
        <f>IFERROR(__xludf.DUMMYFUNCTION("""COMPUTED_VALUE"""),575000.0)</f>
        <v>575000</v>
      </c>
      <c r="K5499" s="57">
        <f>IFERROR(__xludf.DUMMYFUNCTION("""COMPUTED_VALUE"""),46290.0)</f>
        <v>46290</v>
      </c>
      <c r="L5499" s="6" t="str">
        <f>IFERROR(__xludf.DUMMYFUNCTION("""COMPUTED_VALUE"""),"FIP Engineering")</f>
        <v>FIP Engineering</v>
      </c>
      <c r="M5499" s="6" t="str">
        <f>IFERROR(__xludf.DUMMYFUNCTION("""COMPUTED_VALUE"""),"Mochammad Fadhillah Hakim,")</f>
        <v>Mochammad Fadhillah Hakim,</v>
      </c>
      <c r="N5499" s="6" t="str">
        <f>IFERROR(__xludf.DUMMYFUNCTION("""COMPUTED_VALUE"""),"FIP Engineering")</f>
        <v>FIP Engineering</v>
      </c>
      <c r="O5499" s="6" t="str">
        <f>IFERROR(__xludf.DUMMYFUNCTION("""COMPUTED_VALUE"""),"FIP-DOM-000-11304-OS00001-INA-000000")</f>
        <v>FIP-DOM-000-11304-OS00001-INA-000000</v>
      </c>
      <c r="P5499" s="6" t="str">
        <f>IFERROR(__xludf.DUMMYFUNCTION("""COMPUTED_VALUE"""),"PO Open")</f>
        <v>PO Open</v>
      </c>
      <c r="Q5499" s="6" t="str">
        <f>IFERROR(__xludf.DUMMYFUNCTION("""COMPUTED_VALUE"""),"GL2609428")</f>
        <v>GL2609428</v>
      </c>
      <c r="R5499" s="57">
        <f>IFERROR(__xludf.DUMMYFUNCTION("""COMPUTED_VALUE"""),46255.0)</f>
        <v>46255</v>
      </c>
      <c r="S5499" s="57">
        <f>IFERROR(__xludf.DUMMYFUNCTION("""COMPUTED_VALUE"""),46255.0)</f>
        <v>46255</v>
      </c>
      <c r="T5499" s="57">
        <f>IFERROR(__xludf.DUMMYFUNCTION("""COMPUTED_VALUE"""),46300.0)</f>
        <v>46300</v>
      </c>
    </row>
    <row r="5500">
      <c r="A5500" s="6" t="str">
        <f>IFERROR(__xludf.DUMMYFUNCTION("""COMPUTED_VALUE"""),"121704572-1")</f>
        <v>121704572-1</v>
      </c>
      <c r="B5500" s="6" t="str">
        <f>IFERROR(__xludf.DUMMYFUNCTION("""COMPUTED_VALUE"""),"121704572 - APPROVED")</f>
        <v>121704572 - APPROVED</v>
      </c>
      <c r="C5500" s="6">
        <f>IFERROR(__xludf.DUMMYFUNCTION("""COMPUTED_VALUE"""),1.0)</f>
        <v>1</v>
      </c>
      <c r="D5500" s="6" t="str">
        <f>IFERROR(__xludf.DUMMYFUNCTION("""COMPUTED_VALUE"""),"S-40021-00")</f>
        <v>S-40021-00</v>
      </c>
      <c r="E5500" s="6" t="str">
        <f>IFERROR(__xludf.DUMMYFUNCTION("""COMPUTED_VALUE"""),"Botol semprot 500 cc")</f>
        <v>Botol semprot 500 cc</v>
      </c>
      <c r="F5500" s="6">
        <f>IFERROR(__xludf.DUMMYFUNCTION("""COMPUTED_VALUE"""),5.0)</f>
        <v>5</v>
      </c>
      <c r="G5500" s="6" t="str">
        <f>IFERROR(__xludf.DUMMYFUNCTION("""COMPUTED_VALUE"""),"Pieces")</f>
        <v>Pieces</v>
      </c>
      <c r="H5500" s="6" t="str">
        <f>IFERROR(__xludf.DUMMYFUNCTION("""COMPUTED_VALUE"""),"IDR")</f>
        <v>IDR</v>
      </c>
      <c r="I5500" s="6">
        <f>IFERROR(__xludf.DUMMYFUNCTION("""COMPUTED_VALUE"""),25000.0)</f>
        <v>25000</v>
      </c>
      <c r="J5500" s="6">
        <f>IFERROR(__xludf.DUMMYFUNCTION("""COMPUTED_VALUE"""),125000.0)</f>
        <v>125000</v>
      </c>
      <c r="K5500" s="57">
        <f>IFERROR(__xludf.DUMMYFUNCTION("""COMPUTED_VALUE"""),46290.0)</f>
        <v>46290</v>
      </c>
      <c r="L5500" s="6" t="str">
        <f>IFERROR(__xludf.DUMMYFUNCTION("""COMPUTED_VALUE"""),"FIP General")</f>
        <v>FIP General</v>
      </c>
      <c r="M5500" s="6" t="str">
        <f>IFERROR(__xludf.DUMMYFUNCTION("""COMPUTED_VALUE"""),"Mochammad Fadhillah Hakim,")</f>
        <v>Mochammad Fadhillah Hakim,</v>
      </c>
      <c r="N5500" s="6" t="str">
        <f>IFERROR(__xludf.DUMMYFUNCTION("""COMPUTED_VALUE"""),"FIP Engineering")</f>
        <v>FIP Engineering</v>
      </c>
      <c r="O5500" s="6" t="str">
        <f>IFERROR(__xludf.DUMMYFUNCTION("""COMPUTED_VALUE"""),"FIP-DOM-ENG-51302-0000000-INA-000000")</f>
        <v>FIP-DOM-ENG-51302-0000000-INA-000000</v>
      </c>
      <c r="P5500" s="6" t="str">
        <f>IFERROR(__xludf.DUMMYFUNCTION("""COMPUTED_VALUE"""),"PO Open")</f>
        <v>PO Open</v>
      </c>
      <c r="Q5500" s="6" t="str">
        <f>IFERROR(__xludf.DUMMYFUNCTION("""COMPUTED_VALUE"""),"GL2609423")</f>
        <v>GL2609423</v>
      </c>
      <c r="R5500" s="57">
        <f>IFERROR(__xludf.DUMMYFUNCTION("""COMPUTED_VALUE"""),46257.0)</f>
        <v>46257</v>
      </c>
      <c r="S5500" s="57">
        <f>IFERROR(__xludf.DUMMYFUNCTION("""COMPUTED_VALUE"""),46267.0)</f>
        <v>46267</v>
      </c>
      <c r="T5500" s="57">
        <f>IFERROR(__xludf.DUMMYFUNCTION("""COMPUTED_VALUE"""),46286.0)</f>
        <v>46286</v>
      </c>
    </row>
    <row r="5501">
      <c r="A5501" s="6" t="str">
        <f>IFERROR(__xludf.DUMMYFUNCTION("""COMPUTED_VALUE"""),"121704574-1")</f>
        <v>121704574-1</v>
      </c>
      <c r="B5501" s="6" t="str">
        <f>IFERROR(__xludf.DUMMYFUNCTION("""COMPUTED_VALUE"""),"121704574 - APPROVED")</f>
        <v>121704574 - APPROVED</v>
      </c>
      <c r="C5501" s="6">
        <f>IFERROR(__xludf.DUMMYFUNCTION("""COMPUTED_VALUE"""),1.0)</f>
        <v>1</v>
      </c>
      <c r="D5501" s="6" t="str">
        <f>IFERROR(__xludf.DUMMYFUNCTION("""COMPUTED_VALUE"""),"Q-12188-00")</f>
        <v>Q-12188-00</v>
      </c>
      <c r="E5501" s="6" t="str">
        <f>IFERROR(__xludf.DUMMYFUNCTION("""COMPUTED_VALUE"""),"General - Kap Lampu CPOB Bukaan Bawah Ukuran 120x30 cm tebal 7cm; Custom/Lokal; -; 1 Pc")</f>
        <v>General - Kap Lampu CPOB Bukaan Bawah Ukuran 120x30 cm tebal 7cm; Custom/Lokal; -; 1 Pc</v>
      </c>
      <c r="F5501" s="6">
        <f>IFERROR(__xludf.DUMMYFUNCTION("""COMPUTED_VALUE"""),5.0)</f>
        <v>5</v>
      </c>
      <c r="G5501" s="6" t="str">
        <f>IFERROR(__xludf.DUMMYFUNCTION("""COMPUTED_VALUE"""),"Pieces")</f>
        <v>Pieces</v>
      </c>
      <c r="H5501" s="6" t="str">
        <f>IFERROR(__xludf.DUMMYFUNCTION("""COMPUTED_VALUE"""),"IDR")</f>
        <v>IDR</v>
      </c>
      <c r="I5501" s="6">
        <f>IFERROR(__xludf.DUMMYFUNCTION("""COMPUTED_VALUE"""),1595000.0)</f>
        <v>1595000</v>
      </c>
      <c r="J5501" s="6">
        <f>IFERROR(__xludf.DUMMYFUNCTION("""COMPUTED_VALUE"""),7975000.0)</f>
        <v>7975000</v>
      </c>
      <c r="K5501" s="57">
        <f>IFERROR(__xludf.DUMMYFUNCTION("""COMPUTED_VALUE"""),46290.0)</f>
        <v>46290</v>
      </c>
      <c r="L5501" s="6" t="str">
        <f>IFERROR(__xludf.DUMMYFUNCTION("""COMPUTED_VALUE"""),"FIP Engineering")</f>
        <v>FIP Engineering</v>
      </c>
      <c r="M5501" s="6" t="str">
        <f>IFERROR(__xludf.DUMMYFUNCTION("""COMPUTED_VALUE"""),"Mochammad Fadhillah Hakim,")</f>
        <v>Mochammad Fadhillah Hakim,</v>
      </c>
      <c r="N5501" s="6" t="str">
        <f>IFERROR(__xludf.DUMMYFUNCTION("""COMPUTED_VALUE"""),"FIP Engineering")</f>
        <v>FIP Engineering</v>
      </c>
      <c r="O5501" s="6" t="str">
        <f>IFERROR(__xludf.DUMMYFUNCTION("""COMPUTED_VALUE"""),"FIP-DOM-000-11304-OS00001-INA-000000")</f>
        <v>FIP-DOM-000-11304-OS00001-INA-000000</v>
      </c>
      <c r="P5501" s="6" t="str">
        <f>IFERROR(__xludf.DUMMYFUNCTION("""COMPUTED_VALUE"""),"PO Open")</f>
        <v>PO Open</v>
      </c>
      <c r="Q5501" s="6" t="str">
        <f>IFERROR(__xludf.DUMMYFUNCTION("""COMPUTED_VALUE"""),"GL2608041")</f>
        <v>GL2608041</v>
      </c>
      <c r="R5501" s="57">
        <f>IFERROR(__xludf.DUMMYFUNCTION("""COMPUTED_VALUE"""),46258.0)</f>
        <v>46258</v>
      </c>
      <c r="S5501" s="57">
        <f>IFERROR(__xludf.DUMMYFUNCTION("""COMPUTED_VALUE"""),46258.0)</f>
        <v>46258</v>
      </c>
      <c r="T5501" s="57">
        <f>IFERROR(__xludf.DUMMYFUNCTION("""COMPUTED_VALUE"""),46320.0)</f>
        <v>46320</v>
      </c>
    </row>
    <row r="5502">
      <c r="A5502" s="6" t="str">
        <f>IFERROR(__xludf.DUMMYFUNCTION("""COMPUTED_VALUE"""),"121704574-2")</f>
        <v>121704574-2</v>
      </c>
      <c r="B5502" s="6" t="str">
        <f>IFERROR(__xludf.DUMMYFUNCTION("""COMPUTED_VALUE"""),"121704574 - APPROVED")</f>
        <v>121704574 - APPROVED</v>
      </c>
      <c r="C5502" s="6">
        <f>IFERROR(__xludf.DUMMYFUNCTION("""COMPUTED_VALUE"""),2.0)</f>
        <v>2</v>
      </c>
      <c r="D5502" s="6" t="str">
        <f>IFERROR(__xludf.DUMMYFUNCTION("""COMPUTED_VALUE"""),"Q-12189-00")</f>
        <v>Q-12189-00</v>
      </c>
      <c r="E5502" s="6" t="str">
        <f>IFERROR(__xludf.DUMMYFUNCTION("""COMPUTED_VALUE"""),"General - Kap Lampu CPOB Bukaan Bawah Ukuran 60x30 cm tebal 7cm; Custom/Lokal; -; 1 Pc")</f>
        <v>General - Kap Lampu CPOB Bukaan Bawah Ukuran 60x30 cm tebal 7cm; Custom/Lokal; -; 1 Pc</v>
      </c>
      <c r="F5502" s="6">
        <f>IFERROR(__xludf.DUMMYFUNCTION("""COMPUTED_VALUE"""),5.0)</f>
        <v>5</v>
      </c>
      <c r="G5502" s="6" t="str">
        <f>IFERROR(__xludf.DUMMYFUNCTION("""COMPUTED_VALUE"""),"Pieces")</f>
        <v>Pieces</v>
      </c>
      <c r="H5502" s="6" t="str">
        <f>IFERROR(__xludf.DUMMYFUNCTION("""COMPUTED_VALUE"""),"IDR")</f>
        <v>IDR</v>
      </c>
      <c r="I5502" s="6">
        <f>IFERROR(__xludf.DUMMYFUNCTION("""COMPUTED_VALUE"""),1243000.0)</f>
        <v>1243000</v>
      </c>
      <c r="J5502" s="6">
        <f>IFERROR(__xludf.DUMMYFUNCTION("""COMPUTED_VALUE"""),6215000.0)</f>
        <v>6215000</v>
      </c>
      <c r="K5502" s="57">
        <f>IFERROR(__xludf.DUMMYFUNCTION("""COMPUTED_VALUE"""),46290.0)</f>
        <v>46290</v>
      </c>
      <c r="L5502" s="6" t="str">
        <f>IFERROR(__xludf.DUMMYFUNCTION("""COMPUTED_VALUE"""),"FIP Engineering")</f>
        <v>FIP Engineering</v>
      </c>
      <c r="M5502" s="6" t="str">
        <f>IFERROR(__xludf.DUMMYFUNCTION("""COMPUTED_VALUE"""),"Mochammad Fadhillah Hakim,")</f>
        <v>Mochammad Fadhillah Hakim,</v>
      </c>
      <c r="N5502" s="6" t="str">
        <f>IFERROR(__xludf.DUMMYFUNCTION("""COMPUTED_VALUE"""),"FIP Engineering")</f>
        <v>FIP Engineering</v>
      </c>
      <c r="O5502" s="6" t="str">
        <f>IFERROR(__xludf.DUMMYFUNCTION("""COMPUTED_VALUE"""),"FIP-DOM-000-11304-OS00001-INA-000000")</f>
        <v>FIP-DOM-000-11304-OS00001-INA-000000</v>
      </c>
      <c r="P5502" s="6" t="str">
        <f>IFERROR(__xludf.DUMMYFUNCTION("""COMPUTED_VALUE"""),"PO Open")</f>
        <v>PO Open</v>
      </c>
      <c r="Q5502" s="6" t="str">
        <f>IFERROR(__xludf.DUMMYFUNCTION("""COMPUTED_VALUE"""),"GL2608041")</f>
        <v>GL2608041</v>
      </c>
      <c r="R5502" s="57">
        <f>IFERROR(__xludf.DUMMYFUNCTION("""COMPUTED_VALUE"""),46258.0)</f>
        <v>46258</v>
      </c>
      <c r="S5502" s="57">
        <f>IFERROR(__xludf.DUMMYFUNCTION("""COMPUTED_VALUE"""),46258.0)</f>
        <v>46258</v>
      </c>
      <c r="T5502" s="57">
        <f>IFERROR(__xludf.DUMMYFUNCTION("""COMPUTED_VALUE"""),46320.0)</f>
        <v>46320</v>
      </c>
    </row>
    <row r="5503">
      <c r="A5503" s="6" t="str">
        <f>IFERROR(__xludf.DUMMYFUNCTION("""COMPUTED_VALUE"""),"121704590-1")</f>
        <v>121704590-1</v>
      </c>
      <c r="B5503" s="6" t="str">
        <f>IFERROR(__xludf.DUMMYFUNCTION("""COMPUTED_VALUE"""),"121704590 - APPROVED")</f>
        <v>121704590 - APPROVED</v>
      </c>
      <c r="C5503" s="6">
        <f>IFERROR(__xludf.DUMMYFUNCTION("""COMPUTED_VALUE"""),1.0)</f>
        <v>1</v>
      </c>
      <c r="D5503" s="6" t="str">
        <f>IFERROR(__xludf.DUMMYFUNCTION("""COMPUTED_VALUE"""),"S-24650-00")</f>
        <v>S-24650-00</v>
      </c>
      <c r="E5503" s="6" t="str">
        <f>IFERROR(__xludf.DUMMYFUNCTION("""COMPUTED_VALUE"""),"Sandal Jepit Swallow No. 41; Swallow; ;")</f>
        <v>Sandal Jepit Swallow No. 41; Swallow; ;</v>
      </c>
      <c r="F5503" s="6">
        <f>IFERROR(__xludf.DUMMYFUNCTION("""COMPUTED_VALUE"""),15.0)</f>
        <v>15</v>
      </c>
      <c r="G5503" s="6" t="str">
        <f>IFERROR(__xludf.DUMMYFUNCTION("""COMPUTED_VALUE"""),"Pieces")</f>
        <v>Pieces</v>
      </c>
      <c r="H5503" s="6" t="str">
        <f>IFERROR(__xludf.DUMMYFUNCTION("""COMPUTED_VALUE"""),"IDR")</f>
        <v>IDR</v>
      </c>
      <c r="I5503" s="6">
        <f>IFERROR(__xludf.DUMMYFUNCTION("""COMPUTED_VALUE"""),15000.0)</f>
        <v>15000</v>
      </c>
      <c r="J5503" s="6">
        <f>IFERROR(__xludf.DUMMYFUNCTION("""COMPUTED_VALUE"""),225000.0)</f>
        <v>225000</v>
      </c>
      <c r="K5503" s="57">
        <f>IFERROR(__xludf.DUMMYFUNCTION("""COMPUTED_VALUE"""),46297.0)</f>
        <v>46297</v>
      </c>
      <c r="L5503" s="6" t="str">
        <f>IFERROR(__xludf.DUMMYFUNCTION("""COMPUTED_VALUE"""),"FIP General")</f>
        <v>FIP General</v>
      </c>
      <c r="M5503" s="6" t="str">
        <f>IFERROR(__xludf.DUMMYFUNCTION("""COMPUTED_VALUE"""),"Mochammad Fadhillah Hakim,")</f>
        <v>Mochammad Fadhillah Hakim,</v>
      </c>
      <c r="N5503" s="6" t="str">
        <f>IFERROR(__xludf.DUMMYFUNCTION("""COMPUTED_VALUE"""),"FIP Engineering")</f>
        <v>FIP Engineering</v>
      </c>
      <c r="O5503" s="6" t="str">
        <f>IFERROR(__xludf.DUMMYFUNCTION("""COMPUTED_VALUE"""),"FIP-DOM-ENG-51202-0000000-INA-000000")</f>
        <v>FIP-DOM-ENG-51202-0000000-INA-000000</v>
      </c>
      <c r="P5503" s="6" t="str">
        <f>IFERROR(__xludf.DUMMYFUNCTION("""COMPUTED_VALUE"""),"PO Open")</f>
        <v>PO Open</v>
      </c>
      <c r="Q5503" s="6" t="str">
        <f>IFERROR(__xludf.DUMMYFUNCTION("""COMPUTED_VALUE"""),"GL2609017")</f>
        <v>GL2609017</v>
      </c>
      <c r="R5503" s="57">
        <f>IFERROR(__xludf.DUMMYFUNCTION("""COMPUTED_VALUE"""),46266.0)</f>
        <v>46266</v>
      </c>
      <c r="S5503" s="57">
        <f>IFERROR(__xludf.DUMMYFUNCTION("""COMPUTED_VALUE"""),46267.0)</f>
        <v>46267</v>
      </c>
      <c r="T5503" s="57">
        <f>IFERROR(__xludf.DUMMYFUNCTION("""COMPUTED_VALUE"""),46297.0)</f>
        <v>46297</v>
      </c>
    </row>
    <row r="5504">
      <c r="A5504" s="6" t="str">
        <f>IFERROR(__xludf.DUMMYFUNCTION("""COMPUTED_VALUE"""),"121704590-2")</f>
        <v>121704590-2</v>
      </c>
      <c r="B5504" s="6" t="str">
        <f>IFERROR(__xludf.DUMMYFUNCTION("""COMPUTED_VALUE"""),"121704590 - APPROVED")</f>
        <v>121704590 - APPROVED</v>
      </c>
      <c r="C5504" s="6">
        <f>IFERROR(__xludf.DUMMYFUNCTION("""COMPUTED_VALUE"""),2.0)</f>
        <v>2</v>
      </c>
      <c r="D5504" s="6" t="str">
        <f>IFERROR(__xludf.DUMMYFUNCTION("""COMPUTED_VALUE"""),"S-24651-00")</f>
        <v>S-24651-00</v>
      </c>
      <c r="E5504" s="6" t="str">
        <f>IFERROR(__xludf.DUMMYFUNCTION("""COMPUTED_VALUE"""),"Sandal Jepit Swallow No 42; Swallow; ;")</f>
        <v>Sandal Jepit Swallow No 42; Swallow; ;</v>
      </c>
      <c r="F5504" s="6">
        <f>IFERROR(__xludf.DUMMYFUNCTION("""COMPUTED_VALUE"""),15.0)</f>
        <v>15</v>
      </c>
      <c r="G5504" s="6" t="str">
        <f>IFERROR(__xludf.DUMMYFUNCTION("""COMPUTED_VALUE"""),"Pieces")</f>
        <v>Pieces</v>
      </c>
      <c r="H5504" s="6" t="str">
        <f>IFERROR(__xludf.DUMMYFUNCTION("""COMPUTED_VALUE"""),"IDR")</f>
        <v>IDR</v>
      </c>
      <c r="I5504" s="6">
        <f>IFERROR(__xludf.DUMMYFUNCTION("""COMPUTED_VALUE"""),15000.0)</f>
        <v>15000</v>
      </c>
      <c r="J5504" s="6">
        <f>IFERROR(__xludf.DUMMYFUNCTION("""COMPUTED_VALUE"""),225000.0)</f>
        <v>225000</v>
      </c>
      <c r="K5504" s="57">
        <f>IFERROR(__xludf.DUMMYFUNCTION("""COMPUTED_VALUE"""),46297.0)</f>
        <v>46297</v>
      </c>
      <c r="L5504" s="6" t="str">
        <f>IFERROR(__xludf.DUMMYFUNCTION("""COMPUTED_VALUE"""),"FIP General")</f>
        <v>FIP General</v>
      </c>
      <c r="M5504" s="6" t="str">
        <f>IFERROR(__xludf.DUMMYFUNCTION("""COMPUTED_VALUE"""),"Mochammad Fadhillah Hakim,")</f>
        <v>Mochammad Fadhillah Hakim,</v>
      </c>
      <c r="N5504" s="6" t="str">
        <f>IFERROR(__xludf.DUMMYFUNCTION("""COMPUTED_VALUE"""),"FIP Engineering")</f>
        <v>FIP Engineering</v>
      </c>
      <c r="O5504" s="6" t="str">
        <f>IFERROR(__xludf.DUMMYFUNCTION("""COMPUTED_VALUE"""),"FIP-DOM-ENG-51202-0000000-INA-000000")</f>
        <v>FIP-DOM-ENG-51202-0000000-INA-000000</v>
      </c>
      <c r="P5504" s="6" t="str">
        <f>IFERROR(__xludf.DUMMYFUNCTION("""COMPUTED_VALUE"""),"PO Open")</f>
        <v>PO Open</v>
      </c>
      <c r="Q5504" s="6" t="str">
        <f>IFERROR(__xludf.DUMMYFUNCTION("""COMPUTED_VALUE"""),"GL2609017")</f>
        <v>GL2609017</v>
      </c>
      <c r="R5504" s="57">
        <f>IFERROR(__xludf.DUMMYFUNCTION("""COMPUTED_VALUE"""),46266.0)</f>
        <v>46266</v>
      </c>
      <c r="S5504" s="57">
        <f>IFERROR(__xludf.DUMMYFUNCTION("""COMPUTED_VALUE"""),46267.0)</f>
        <v>46267</v>
      </c>
      <c r="T5504" s="57">
        <f>IFERROR(__xludf.DUMMYFUNCTION("""COMPUTED_VALUE"""),46297.0)</f>
        <v>46297</v>
      </c>
    </row>
    <row r="5505">
      <c r="A5505" s="6" t="str">
        <f>IFERROR(__xludf.DUMMYFUNCTION("""COMPUTED_VALUE"""),"121704590-3")</f>
        <v>121704590-3</v>
      </c>
      <c r="B5505" s="6" t="str">
        <f>IFERROR(__xludf.DUMMYFUNCTION("""COMPUTED_VALUE"""),"121704590 - APPROVED")</f>
        <v>121704590 - APPROVED</v>
      </c>
      <c r="C5505" s="6">
        <f>IFERROR(__xludf.DUMMYFUNCTION("""COMPUTED_VALUE"""),3.0)</f>
        <v>3</v>
      </c>
      <c r="D5505" s="6" t="str">
        <f>IFERROR(__xludf.DUMMYFUNCTION("""COMPUTED_VALUE"""),"S-24652-00")</f>
        <v>S-24652-00</v>
      </c>
      <c r="E5505" s="6" t="str">
        <f>IFERROR(__xludf.DUMMYFUNCTION("""COMPUTED_VALUE"""),"Sandal Jepit Swallow No 44; Swallow; ;")</f>
        <v>Sandal Jepit Swallow No 44; Swallow; ;</v>
      </c>
      <c r="F5505" s="6">
        <f>IFERROR(__xludf.DUMMYFUNCTION("""COMPUTED_VALUE"""),5.0)</f>
        <v>5</v>
      </c>
      <c r="G5505" s="6" t="str">
        <f>IFERROR(__xludf.DUMMYFUNCTION("""COMPUTED_VALUE"""),"Pieces")</f>
        <v>Pieces</v>
      </c>
      <c r="H5505" s="6" t="str">
        <f>IFERROR(__xludf.DUMMYFUNCTION("""COMPUTED_VALUE"""),"IDR")</f>
        <v>IDR</v>
      </c>
      <c r="I5505" s="6">
        <f>IFERROR(__xludf.DUMMYFUNCTION("""COMPUTED_VALUE"""),16000.0)</f>
        <v>16000</v>
      </c>
      <c r="J5505" s="6">
        <f>IFERROR(__xludf.DUMMYFUNCTION("""COMPUTED_VALUE"""),80000.0)</f>
        <v>80000</v>
      </c>
      <c r="K5505" s="57">
        <f>IFERROR(__xludf.DUMMYFUNCTION("""COMPUTED_VALUE"""),46297.0)</f>
        <v>46297</v>
      </c>
      <c r="L5505" s="6" t="str">
        <f>IFERROR(__xludf.DUMMYFUNCTION("""COMPUTED_VALUE"""),"FIP General")</f>
        <v>FIP General</v>
      </c>
      <c r="M5505" s="6" t="str">
        <f>IFERROR(__xludf.DUMMYFUNCTION("""COMPUTED_VALUE"""),"Mochammad Fadhillah Hakim,")</f>
        <v>Mochammad Fadhillah Hakim,</v>
      </c>
      <c r="N5505" s="6" t="str">
        <f>IFERROR(__xludf.DUMMYFUNCTION("""COMPUTED_VALUE"""),"FIP Engineering")</f>
        <v>FIP Engineering</v>
      </c>
      <c r="O5505" s="6" t="str">
        <f>IFERROR(__xludf.DUMMYFUNCTION("""COMPUTED_VALUE"""),"FIP-DOM-ENG-51202-0000000-INA-000000")</f>
        <v>FIP-DOM-ENG-51202-0000000-INA-000000</v>
      </c>
      <c r="P5505" s="6" t="str">
        <f>IFERROR(__xludf.DUMMYFUNCTION("""COMPUTED_VALUE"""),"PO Open")</f>
        <v>PO Open</v>
      </c>
      <c r="Q5505" s="6" t="str">
        <f>IFERROR(__xludf.DUMMYFUNCTION("""COMPUTED_VALUE"""),"GL2609017")</f>
        <v>GL2609017</v>
      </c>
      <c r="R5505" s="57">
        <f>IFERROR(__xludf.DUMMYFUNCTION("""COMPUTED_VALUE"""),46266.0)</f>
        <v>46266</v>
      </c>
      <c r="S5505" s="57">
        <f>IFERROR(__xludf.DUMMYFUNCTION("""COMPUTED_VALUE"""),46267.0)</f>
        <v>46267</v>
      </c>
      <c r="T5505" s="57">
        <f>IFERROR(__xludf.DUMMYFUNCTION("""COMPUTED_VALUE"""),46297.0)</f>
        <v>46297</v>
      </c>
    </row>
    <row r="5506">
      <c r="A5506" s="6" t="str">
        <f>IFERROR(__xludf.DUMMYFUNCTION("""COMPUTED_VALUE"""),"121704592-1")</f>
        <v>121704592-1</v>
      </c>
      <c r="B5506" s="6" t="str">
        <f>IFERROR(__xludf.DUMMYFUNCTION("""COMPUTED_VALUE"""),"121704592 - APPROVED")</f>
        <v>121704592 - APPROVED</v>
      </c>
      <c r="C5506" s="6">
        <f>IFERROR(__xludf.DUMMYFUNCTION("""COMPUTED_VALUE"""),1.0)</f>
        <v>1</v>
      </c>
      <c r="D5506" s="6" t="str">
        <f>IFERROR(__xludf.DUMMYFUNCTION("""COMPUTED_VALUE"""),"P-51313-00")</f>
        <v>P-51313-00</v>
      </c>
      <c r="E5506" s="6" t="str">
        <f>IFERROR(__xludf.DUMMYFUNCTION("""COMPUTED_VALUE"""),"General - Stop kontak 4 Lubang 16-25V; Uticon; -; 1 Pc")</f>
        <v>General - Stop kontak 4 Lubang 16-25V; Uticon; -; 1 Pc</v>
      </c>
      <c r="F5506" s="6">
        <f>IFERROR(__xludf.DUMMYFUNCTION("""COMPUTED_VALUE"""),30.0)</f>
        <v>30</v>
      </c>
      <c r="G5506" s="6" t="str">
        <f>IFERROR(__xludf.DUMMYFUNCTION("""COMPUTED_VALUE"""),"Pieces")</f>
        <v>Pieces</v>
      </c>
      <c r="H5506" s="6" t="str">
        <f>IFERROR(__xludf.DUMMYFUNCTION("""COMPUTED_VALUE"""),"IDR")</f>
        <v>IDR</v>
      </c>
      <c r="I5506" s="6">
        <f>IFERROR(__xludf.DUMMYFUNCTION("""COMPUTED_VALUE"""),50000.0)</f>
        <v>50000</v>
      </c>
      <c r="J5506" s="6">
        <f>IFERROR(__xludf.DUMMYFUNCTION("""COMPUTED_VALUE"""),1500000.0)</f>
        <v>1500000</v>
      </c>
      <c r="K5506" s="57">
        <f>IFERROR(__xludf.DUMMYFUNCTION("""COMPUTED_VALUE"""),46276.0)</f>
        <v>46276</v>
      </c>
      <c r="L5506" s="6" t="str">
        <f>IFERROR(__xludf.DUMMYFUNCTION("""COMPUTED_VALUE"""),"FIP Engineering")</f>
        <v>FIP Engineering</v>
      </c>
      <c r="M5506" s="6" t="str">
        <f>IFERROR(__xludf.DUMMYFUNCTION("""COMPUTED_VALUE"""),"Mochammad Fadhillah Hakim,")</f>
        <v>Mochammad Fadhillah Hakim,</v>
      </c>
      <c r="N5506" s="6" t="str">
        <f>IFERROR(__xludf.DUMMYFUNCTION("""COMPUTED_VALUE"""),"FIP Engineering")</f>
        <v>FIP Engineering</v>
      </c>
      <c r="O5506" s="6" t="str">
        <f>IFERROR(__xludf.DUMMYFUNCTION("""COMPUTED_VALUE"""),"FIP-DOM-000-11304-OS00001-INA-000000")</f>
        <v>FIP-DOM-000-11304-OS00001-INA-000000</v>
      </c>
      <c r="P5506" s="6" t="str">
        <f>IFERROR(__xludf.DUMMYFUNCTION("""COMPUTED_VALUE"""),"PO Open")</f>
        <v>PO Open</v>
      </c>
      <c r="Q5506" s="6" t="str">
        <f>IFERROR(__xludf.DUMMYFUNCTION("""COMPUTED_VALUE"""),"GL2609428")</f>
        <v>GL2609428</v>
      </c>
      <c r="R5506" s="57">
        <f>IFERROR(__xludf.DUMMYFUNCTION("""COMPUTED_VALUE"""),46267.0)</f>
        <v>46267</v>
      </c>
      <c r="S5506" s="57">
        <f>IFERROR(__xludf.DUMMYFUNCTION("""COMPUTED_VALUE"""),46267.0)</f>
        <v>46267</v>
      </c>
      <c r="T5506" s="57">
        <f>IFERROR(__xludf.DUMMYFUNCTION("""COMPUTED_VALUE"""),46300.0)</f>
        <v>46300</v>
      </c>
    </row>
    <row r="5507">
      <c r="A5507" s="6" t="str">
        <f>IFERROR(__xludf.DUMMYFUNCTION("""COMPUTED_VALUE"""),"121704596-1")</f>
        <v>121704596-1</v>
      </c>
      <c r="B5507" s="6" t="str">
        <f>IFERROR(__xludf.DUMMYFUNCTION("""COMPUTED_VALUE"""),"121704596 - APPROVED")</f>
        <v>121704596 - APPROVED</v>
      </c>
      <c r="C5507" s="6">
        <f>IFERROR(__xludf.DUMMYFUNCTION("""COMPUTED_VALUE"""),1.0)</f>
        <v>1</v>
      </c>
      <c r="D5507" s="6" t="str">
        <f>IFERROR(__xludf.DUMMYFUNCTION("""COMPUTED_VALUE"""),"R-20024-00")</f>
        <v>R-20024-00</v>
      </c>
      <c r="E5507" s="6" t="str">
        <f>IFERROR(__xludf.DUMMYFUNCTION("""COMPUTED_VALUE"""),"Machine Equipment; ; ; - MCB IC60N 40 A 3Pole scheider - MCB IC60N 40 A 3Pole scheider - MCB IC60N 40 A 3Pole scheider - MCB IC60N 40 A 3Pole scheider - MCB IC60N 40 A 3Pole scheider - MCB IC60N 40 A 3Pole scheider")</f>
        <v>Machine Equipment; ; ; - MCB IC60N 40 A 3Pole scheider - MCB IC60N 40 A 3Pole scheider - MCB IC60N 40 A 3Pole scheider - MCB IC60N 40 A 3Pole scheider - MCB IC60N 40 A 3Pole scheider - MCB IC60N 40 A 3Pole scheider</v>
      </c>
      <c r="F5507" s="6">
        <f>IFERROR(__xludf.DUMMYFUNCTION("""COMPUTED_VALUE"""),2.0)</f>
        <v>2</v>
      </c>
      <c r="G5507" s="6" t="str">
        <f>IFERROR(__xludf.DUMMYFUNCTION("""COMPUTED_VALUE"""),"Unit")</f>
        <v>Unit</v>
      </c>
      <c r="H5507" s="6" t="str">
        <f>IFERROR(__xludf.DUMMYFUNCTION("""COMPUTED_VALUE"""),"IDR")</f>
        <v>IDR</v>
      </c>
      <c r="I5507" s="6">
        <f>IFERROR(__xludf.DUMMYFUNCTION("""COMPUTED_VALUE"""),450000.0)</f>
        <v>450000</v>
      </c>
      <c r="J5507" s="6">
        <f>IFERROR(__xludf.DUMMYFUNCTION("""COMPUTED_VALUE"""),900000.0)</f>
        <v>900000</v>
      </c>
      <c r="K5507" s="57">
        <f>IFERROR(__xludf.DUMMYFUNCTION("""COMPUTED_VALUE"""),46304.0)</f>
        <v>46304</v>
      </c>
      <c r="L5507" s="6" t="str">
        <f>IFERROR(__xludf.DUMMYFUNCTION("""COMPUTED_VALUE"""),"FIP General")</f>
        <v>FIP General</v>
      </c>
      <c r="M5507" s="6" t="str">
        <f>IFERROR(__xludf.DUMMYFUNCTION("""COMPUTED_VALUE"""),"Mochammad Fadhillah Hakim,")</f>
        <v>Mochammad Fadhillah Hakim,</v>
      </c>
      <c r="N5507" s="6" t="str">
        <f>IFERROR(__xludf.DUMMYFUNCTION("""COMPUTED_VALUE"""),"FIP Engineering")</f>
        <v>FIP Engineering</v>
      </c>
      <c r="O5507" s="6" t="str">
        <f>IFERROR(__xludf.DUMMYFUNCTION("""COMPUTED_VALUE"""),"FIP-DOM-PRJ-13404-MC26022-INA-000000")</f>
        <v>FIP-DOM-PRJ-13404-MC26022-INA-000000</v>
      </c>
      <c r="P5507" s="6" t="str">
        <f>IFERROR(__xludf.DUMMYFUNCTION("""COMPUTED_VALUE"""),"PO Open")</f>
        <v>PO Open</v>
      </c>
      <c r="Q5507" s="6" t="str">
        <f>IFERROR(__xludf.DUMMYFUNCTION("""COMPUTED_VALUE"""),"GL2609016")</f>
        <v>GL2609016</v>
      </c>
      <c r="R5507" s="57">
        <f>IFERROR(__xludf.DUMMYFUNCTION("""COMPUTED_VALUE"""),46268.0)</f>
        <v>46268</v>
      </c>
      <c r="S5507" s="57">
        <f>IFERROR(__xludf.DUMMYFUNCTION("""COMPUTED_VALUE"""),46268.0)</f>
        <v>46268</v>
      </c>
      <c r="T5507" s="57">
        <f>IFERROR(__xludf.DUMMYFUNCTION("""COMPUTED_VALUE"""),46283.0)</f>
        <v>46283</v>
      </c>
    </row>
    <row r="5508">
      <c r="A5508" s="6" t="str">
        <f>IFERROR(__xludf.DUMMYFUNCTION("""COMPUTED_VALUE"""),"121704596-2")</f>
        <v>121704596-2</v>
      </c>
      <c r="B5508" s="6" t="str">
        <f>IFERROR(__xludf.DUMMYFUNCTION("""COMPUTED_VALUE"""),"121704596 - APPROVED")</f>
        <v>121704596 - APPROVED</v>
      </c>
      <c r="C5508" s="6">
        <f>IFERROR(__xludf.DUMMYFUNCTION("""COMPUTED_VALUE"""),2.0)</f>
        <v>2</v>
      </c>
      <c r="D5508" s="6" t="str">
        <f>IFERROR(__xludf.DUMMYFUNCTION("""COMPUTED_VALUE"""),"R-20024-00")</f>
        <v>R-20024-00</v>
      </c>
      <c r="E5508" s="6" t="str">
        <f>IFERROR(__xludf.DUMMYFUNCTION("""COMPUTED_VALUE"""),"Machine Equipment; ; ; - Kabel Grounding NYAF 1x10 mm 100 Meter Supreme - Kabel Grounding NYAF 1x10 mm 100 Meter Supreme - Kabel Grounding NYAF 1x10 mm 100 Meter Supreme - Kabel Grounding NYAF 1x10 mm 100 Meter Supreme - Kabel Grounding NYA")</f>
        <v>Machine Equipment; ; ; - Kabel Grounding NYAF 1x10 mm 100 Meter Supreme - Kabel Grounding NYAF 1x10 mm 100 Meter Supreme - Kabel Grounding NYAF 1x10 mm 100 Meter Supreme - Kabel Grounding NYAF 1x10 mm 100 Meter Supreme - Kabel Grounding NYA</v>
      </c>
      <c r="F5508" s="6">
        <f>IFERROR(__xludf.DUMMYFUNCTION("""COMPUTED_VALUE"""),1.0)</f>
        <v>1</v>
      </c>
      <c r="G5508" s="6" t="str">
        <f>IFERROR(__xludf.DUMMYFUNCTION("""COMPUTED_VALUE"""),"Unit")</f>
        <v>Unit</v>
      </c>
      <c r="H5508" s="6" t="str">
        <f>IFERROR(__xludf.DUMMYFUNCTION("""COMPUTED_VALUE"""),"IDR")</f>
        <v>IDR</v>
      </c>
      <c r="I5508" s="6">
        <f>IFERROR(__xludf.DUMMYFUNCTION("""COMPUTED_VALUE"""),4950000.0)</f>
        <v>4950000</v>
      </c>
      <c r="J5508" s="6">
        <f>IFERROR(__xludf.DUMMYFUNCTION("""COMPUTED_VALUE"""),4950000.0)</f>
        <v>4950000</v>
      </c>
      <c r="K5508" s="57">
        <f>IFERROR(__xludf.DUMMYFUNCTION("""COMPUTED_VALUE"""),46304.0)</f>
        <v>46304</v>
      </c>
      <c r="L5508" s="6" t="str">
        <f>IFERROR(__xludf.DUMMYFUNCTION("""COMPUTED_VALUE"""),"FIP General")</f>
        <v>FIP General</v>
      </c>
      <c r="M5508" s="6" t="str">
        <f>IFERROR(__xludf.DUMMYFUNCTION("""COMPUTED_VALUE"""),"Mochammad Fadhillah Hakim,")</f>
        <v>Mochammad Fadhillah Hakim,</v>
      </c>
      <c r="N5508" s="6" t="str">
        <f>IFERROR(__xludf.DUMMYFUNCTION("""COMPUTED_VALUE"""),"FIP Engineering")</f>
        <v>FIP Engineering</v>
      </c>
      <c r="O5508" s="6" t="str">
        <f>IFERROR(__xludf.DUMMYFUNCTION("""COMPUTED_VALUE"""),"FIP-DOM-PRJ-13404-MC26022-INA-000000")</f>
        <v>FIP-DOM-PRJ-13404-MC26022-INA-000000</v>
      </c>
      <c r="P5508" s="6" t="str">
        <f>IFERROR(__xludf.DUMMYFUNCTION("""COMPUTED_VALUE"""),"PO Open")</f>
        <v>PO Open</v>
      </c>
      <c r="Q5508" s="6" t="str">
        <f>IFERROR(__xludf.DUMMYFUNCTION("""COMPUTED_VALUE"""),"GL2609016")</f>
        <v>GL2609016</v>
      </c>
      <c r="R5508" s="57">
        <f>IFERROR(__xludf.DUMMYFUNCTION("""COMPUTED_VALUE"""),46268.0)</f>
        <v>46268</v>
      </c>
      <c r="S5508" s="57">
        <f>IFERROR(__xludf.DUMMYFUNCTION("""COMPUTED_VALUE"""),46268.0)</f>
        <v>46268</v>
      </c>
      <c r="T5508" s="57">
        <f>IFERROR(__xludf.DUMMYFUNCTION("""COMPUTED_VALUE"""),46283.0)</f>
        <v>46283</v>
      </c>
    </row>
    <row r="5509">
      <c r="A5509" s="6" t="str">
        <f>IFERROR(__xludf.DUMMYFUNCTION("""COMPUTED_VALUE"""),"121704596-3")</f>
        <v>121704596-3</v>
      </c>
      <c r="B5509" s="6" t="str">
        <f>IFERROR(__xludf.DUMMYFUNCTION("""COMPUTED_VALUE"""),"121704596 - APPROVED")</f>
        <v>121704596 - APPROVED</v>
      </c>
      <c r="C5509" s="6">
        <f>IFERROR(__xludf.DUMMYFUNCTION("""COMPUTED_VALUE"""),3.0)</f>
        <v>3</v>
      </c>
      <c r="D5509" s="6" t="str">
        <f>IFERROR(__xludf.DUMMYFUNCTION("""COMPUTED_VALUE"""),"R-20024-00")</f>
        <v>R-20024-00</v>
      </c>
      <c r="E5509" s="6" t="str">
        <f>IFERROR(__xludf.DUMMYFUNCTION("""COMPUTED_VALUE"""),"Machine Equipment; ; ; - Kabel NYYHY 5x10 mm 50 Meter Kabelindo - Kabel NYYHY 5x10 mm 50 Meter Kabelindo - Kabel NYYHY 5x10 mm 50 Meter Kabelindo - Kabel NYYHY 5x10 mm 50 Meter Kabelindo - Kabel NYYHY 5x10 mm 50 Meter Kabelindo - Kabel NYYH")</f>
        <v>Machine Equipment; ; ; - Kabel NYYHY 5x10 mm 50 Meter Kabelindo - Kabel NYYHY 5x10 mm 50 Meter Kabelindo - Kabel NYYHY 5x10 mm 50 Meter Kabelindo - Kabel NYYHY 5x10 mm 50 Meter Kabelindo - Kabel NYYHY 5x10 mm 50 Meter Kabelindo - Kabel NYYH</v>
      </c>
      <c r="F5509" s="6">
        <f>IFERROR(__xludf.DUMMYFUNCTION("""COMPUTED_VALUE"""),1.0)</f>
        <v>1</v>
      </c>
      <c r="G5509" s="6" t="str">
        <f>IFERROR(__xludf.DUMMYFUNCTION("""COMPUTED_VALUE"""),"Unit")</f>
        <v>Unit</v>
      </c>
      <c r="H5509" s="6" t="str">
        <f>IFERROR(__xludf.DUMMYFUNCTION("""COMPUTED_VALUE"""),"IDR")</f>
        <v>IDR</v>
      </c>
      <c r="I5509" s="6">
        <f>IFERROR(__xludf.DUMMYFUNCTION("""COMPUTED_VALUE"""),1450000.0)</f>
        <v>1450000</v>
      </c>
      <c r="J5509" s="6">
        <f>IFERROR(__xludf.DUMMYFUNCTION("""COMPUTED_VALUE"""),1450000.0)</f>
        <v>1450000</v>
      </c>
      <c r="K5509" s="57">
        <f>IFERROR(__xludf.DUMMYFUNCTION("""COMPUTED_VALUE"""),46304.0)</f>
        <v>46304</v>
      </c>
      <c r="L5509" s="6" t="str">
        <f>IFERROR(__xludf.DUMMYFUNCTION("""COMPUTED_VALUE"""),"FIP General")</f>
        <v>FIP General</v>
      </c>
      <c r="M5509" s="6" t="str">
        <f>IFERROR(__xludf.DUMMYFUNCTION("""COMPUTED_VALUE"""),"Mochammad Fadhillah Hakim,")</f>
        <v>Mochammad Fadhillah Hakim,</v>
      </c>
      <c r="N5509" s="6" t="str">
        <f>IFERROR(__xludf.DUMMYFUNCTION("""COMPUTED_VALUE"""),"FIP Engineering")</f>
        <v>FIP Engineering</v>
      </c>
      <c r="O5509" s="6" t="str">
        <f>IFERROR(__xludf.DUMMYFUNCTION("""COMPUTED_VALUE"""),"FIP-DOM-PRJ-13404-MC26022-INA-000000")</f>
        <v>FIP-DOM-PRJ-13404-MC26022-INA-000000</v>
      </c>
      <c r="P5509" s="6" t="str">
        <f>IFERROR(__xludf.DUMMYFUNCTION("""COMPUTED_VALUE"""),"PO Open")</f>
        <v>PO Open</v>
      </c>
      <c r="Q5509" s="6" t="str">
        <f>IFERROR(__xludf.DUMMYFUNCTION("""COMPUTED_VALUE"""),"GL2609016")</f>
        <v>GL2609016</v>
      </c>
      <c r="R5509" s="57">
        <f>IFERROR(__xludf.DUMMYFUNCTION("""COMPUTED_VALUE"""),46268.0)</f>
        <v>46268</v>
      </c>
      <c r="S5509" s="57">
        <f>IFERROR(__xludf.DUMMYFUNCTION("""COMPUTED_VALUE"""),46268.0)</f>
        <v>46268</v>
      </c>
      <c r="T5509" s="57">
        <f>IFERROR(__xludf.DUMMYFUNCTION("""COMPUTED_VALUE"""),46283.0)</f>
        <v>46283</v>
      </c>
    </row>
    <row r="5510">
      <c r="A5510" s="6" t="str">
        <f>IFERROR(__xludf.DUMMYFUNCTION("""COMPUTED_VALUE"""),"121704596-4")</f>
        <v>121704596-4</v>
      </c>
      <c r="B5510" s="6" t="str">
        <f>IFERROR(__xludf.DUMMYFUNCTION("""COMPUTED_VALUE"""),"121704596 - APPROVED")</f>
        <v>121704596 - APPROVED</v>
      </c>
      <c r="C5510" s="6">
        <f>IFERROR(__xludf.DUMMYFUNCTION("""COMPUTED_VALUE"""),4.0)</f>
        <v>4</v>
      </c>
      <c r="D5510" s="6" t="str">
        <f>IFERROR(__xludf.DUMMYFUNCTION("""COMPUTED_VALUE"""),"R-20024-00")</f>
        <v>R-20024-00</v>
      </c>
      <c r="E5510" s="6" t="str">
        <f>IFERROR(__xludf.DUMMYFUNCTION("""COMPUTED_VALUE"""),"Machine Equipment; ; ; - Kabel Grounding NYAF 1x4 mm 100 Meter supreme - Kabel Grounding NYAF 1x4 mm 100 Meter supreme - Kabel Grounding NYAF 1x4 mm 100 Meter supreme - Kabel Grounding NYAF 1x4 mm 100 Meter supreme - Kabel Grounding NYAF 1x")</f>
        <v>Machine Equipment; ; ; - Kabel Grounding NYAF 1x4 mm 100 Meter supreme - Kabel Grounding NYAF 1x4 mm 100 Meter supreme - Kabel Grounding NYAF 1x4 mm 100 Meter supreme - Kabel Grounding NYAF 1x4 mm 100 Meter supreme - Kabel Grounding NYAF 1x</v>
      </c>
      <c r="F5510" s="6">
        <f>IFERROR(__xludf.DUMMYFUNCTION("""COMPUTED_VALUE"""),1.0)</f>
        <v>1</v>
      </c>
      <c r="G5510" s="6" t="str">
        <f>IFERROR(__xludf.DUMMYFUNCTION("""COMPUTED_VALUE"""),"Unit")</f>
        <v>Unit</v>
      </c>
      <c r="H5510" s="6" t="str">
        <f>IFERROR(__xludf.DUMMYFUNCTION("""COMPUTED_VALUE"""),"IDR")</f>
        <v>IDR</v>
      </c>
      <c r="I5510" s="6">
        <f>IFERROR(__xludf.DUMMYFUNCTION("""COMPUTED_VALUE"""),1875000.0)</f>
        <v>1875000</v>
      </c>
      <c r="J5510" s="6">
        <f>IFERROR(__xludf.DUMMYFUNCTION("""COMPUTED_VALUE"""),1875000.0)</f>
        <v>1875000</v>
      </c>
      <c r="K5510" s="57">
        <f>IFERROR(__xludf.DUMMYFUNCTION("""COMPUTED_VALUE"""),46304.0)</f>
        <v>46304</v>
      </c>
      <c r="L5510" s="6" t="str">
        <f>IFERROR(__xludf.DUMMYFUNCTION("""COMPUTED_VALUE"""),"FIP General")</f>
        <v>FIP General</v>
      </c>
      <c r="M5510" s="6" t="str">
        <f>IFERROR(__xludf.DUMMYFUNCTION("""COMPUTED_VALUE"""),"Mochammad Fadhillah Hakim,")</f>
        <v>Mochammad Fadhillah Hakim,</v>
      </c>
      <c r="N5510" s="6" t="str">
        <f>IFERROR(__xludf.DUMMYFUNCTION("""COMPUTED_VALUE"""),"FIP Engineering")</f>
        <v>FIP Engineering</v>
      </c>
      <c r="O5510" s="6" t="str">
        <f>IFERROR(__xludf.DUMMYFUNCTION("""COMPUTED_VALUE"""),"FIP-DOM-PRJ-13404-MC26022-INA-000000")</f>
        <v>FIP-DOM-PRJ-13404-MC26022-INA-000000</v>
      </c>
      <c r="P5510" s="6" t="str">
        <f>IFERROR(__xludf.DUMMYFUNCTION("""COMPUTED_VALUE"""),"PO Open")</f>
        <v>PO Open</v>
      </c>
      <c r="Q5510" s="6" t="str">
        <f>IFERROR(__xludf.DUMMYFUNCTION("""COMPUTED_VALUE"""),"GL2609016")</f>
        <v>GL2609016</v>
      </c>
      <c r="R5510" s="57">
        <f>IFERROR(__xludf.DUMMYFUNCTION("""COMPUTED_VALUE"""),46268.0)</f>
        <v>46268</v>
      </c>
      <c r="S5510" s="57">
        <f>IFERROR(__xludf.DUMMYFUNCTION("""COMPUTED_VALUE"""),46268.0)</f>
        <v>46268</v>
      </c>
      <c r="T5510" s="57">
        <f>IFERROR(__xludf.DUMMYFUNCTION("""COMPUTED_VALUE"""),46283.0)</f>
        <v>46283</v>
      </c>
    </row>
    <row r="5511">
      <c r="A5511" s="6" t="str">
        <f>IFERROR(__xludf.DUMMYFUNCTION("""COMPUTED_VALUE"""),"121704596-5")</f>
        <v>121704596-5</v>
      </c>
      <c r="B5511" s="6" t="str">
        <f>IFERROR(__xludf.DUMMYFUNCTION("""COMPUTED_VALUE"""),"121704596 - APPROVED")</f>
        <v>121704596 - APPROVED</v>
      </c>
      <c r="C5511" s="6">
        <f>IFERROR(__xludf.DUMMYFUNCTION("""COMPUTED_VALUE"""),5.0)</f>
        <v>5</v>
      </c>
      <c r="D5511" s="6" t="str">
        <f>IFERROR(__xludf.DUMMYFUNCTION("""COMPUTED_VALUE"""),"R-20024-00")</f>
        <v>R-20024-00</v>
      </c>
      <c r="E5511" s="6" t="str">
        <f>IFERROR(__xludf.DUMMYFUNCTION("""COMPUTED_VALUE"""),"Machine Equipment; ; ; - Kabel NYYHY 3x6 mm 100 Meter supreme - Kabel NYYHY 3x6 mm 100 Meter supreme - Kabel NYYHY 3x6 mm 100 Meter supreme - Kabel NYYHY 3x6 mm 100 Meter supreme - Kabel NYYHY 3x6 mm 100 Meter supreme - Kabel NYYHY 3x6 mm 1")</f>
        <v>Machine Equipment; ; ; - Kabel NYYHY 3x6 mm 100 Meter supreme - Kabel NYYHY 3x6 mm 100 Meter supreme - Kabel NYYHY 3x6 mm 100 Meter supreme - Kabel NYYHY 3x6 mm 100 Meter supreme - Kabel NYYHY 3x6 mm 100 Meter supreme - Kabel NYYHY 3x6 mm 1</v>
      </c>
      <c r="F5511" s="6">
        <f>IFERROR(__xludf.DUMMYFUNCTION("""COMPUTED_VALUE"""),1.0)</f>
        <v>1</v>
      </c>
      <c r="G5511" s="6" t="str">
        <f>IFERROR(__xludf.DUMMYFUNCTION("""COMPUTED_VALUE"""),"Unit")</f>
        <v>Unit</v>
      </c>
      <c r="H5511" s="6" t="str">
        <f>IFERROR(__xludf.DUMMYFUNCTION("""COMPUTED_VALUE"""),"IDR")</f>
        <v>IDR</v>
      </c>
      <c r="I5511" s="6">
        <f>IFERROR(__xludf.DUMMYFUNCTION("""COMPUTED_VALUE"""),9500000.0)</f>
        <v>9500000</v>
      </c>
      <c r="J5511" s="6">
        <f>IFERROR(__xludf.DUMMYFUNCTION("""COMPUTED_VALUE"""),9500000.0)</f>
        <v>9500000</v>
      </c>
      <c r="K5511" s="57">
        <f>IFERROR(__xludf.DUMMYFUNCTION("""COMPUTED_VALUE"""),46304.0)</f>
        <v>46304</v>
      </c>
      <c r="L5511" s="6" t="str">
        <f>IFERROR(__xludf.DUMMYFUNCTION("""COMPUTED_VALUE"""),"FIP General")</f>
        <v>FIP General</v>
      </c>
      <c r="M5511" s="6" t="str">
        <f>IFERROR(__xludf.DUMMYFUNCTION("""COMPUTED_VALUE"""),"Mochammad Fadhillah Hakim,")</f>
        <v>Mochammad Fadhillah Hakim,</v>
      </c>
      <c r="N5511" s="6" t="str">
        <f>IFERROR(__xludf.DUMMYFUNCTION("""COMPUTED_VALUE"""),"FIP Engineering")</f>
        <v>FIP Engineering</v>
      </c>
      <c r="O5511" s="6" t="str">
        <f>IFERROR(__xludf.DUMMYFUNCTION("""COMPUTED_VALUE"""),"FIP-DOM-PRJ-13404-MC26022-INA-000000")</f>
        <v>FIP-DOM-PRJ-13404-MC26022-INA-000000</v>
      </c>
      <c r="P5511" s="6" t="str">
        <f>IFERROR(__xludf.DUMMYFUNCTION("""COMPUTED_VALUE"""),"PO Open")</f>
        <v>PO Open</v>
      </c>
      <c r="Q5511" s="6" t="str">
        <f>IFERROR(__xludf.DUMMYFUNCTION("""COMPUTED_VALUE"""),"GL2609016")</f>
        <v>GL2609016</v>
      </c>
      <c r="R5511" s="57">
        <f>IFERROR(__xludf.DUMMYFUNCTION("""COMPUTED_VALUE"""),46268.0)</f>
        <v>46268</v>
      </c>
      <c r="S5511" s="57">
        <f>IFERROR(__xludf.DUMMYFUNCTION("""COMPUTED_VALUE"""),46268.0)</f>
        <v>46268</v>
      </c>
      <c r="T5511" s="57">
        <f>IFERROR(__xludf.DUMMYFUNCTION("""COMPUTED_VALUE"""),46283.0)</f>
        <v>46283</v>
      </c>
    </row>
    <row r="5512">
      <c r="A5512" s="6" t="str">
        <f>IFERROR(__xludf.DUMMYFUNCTION("""COMPUTED_VALUE"""),"121704596-6")</f>
        <v>121704596-6</v>
      </c>
      <c r="B5512" s="6" t="str">
        <f>IFERROR(__xludf.DUMMYFUNCTION("""COMPUTED_VALUE"""),"121704596 - APPROVED")</f>
        <v>121704596 - APPROVED</v>
      </c>
      <c r="C5512" s="6">
        <f>IFERROR(__xludf.DUMMYFUNCTION("""COMPUTED_VALUE"""),6.0)</f>
        <v>6</v>
      </c>
      <c r="D5512" s="6" t="str">
        <f>IFERROR(__xludf.DUMMYFUNCTION("""COMPUTED_VALUE"""),"R-20024-00")</f>
        <v>R-20024-00</v>
      </c>
      <c r="E5512" s="6" t="str">
        <f>IFERROR(__xludf.DUMMYFUNCTION("""COMPUTED_VALUE"""),"Machine Equipment; ; ; - MCB 16A 1pole scheider - MCB 16A 1pole scheider - MCB 16A 1pole scheider - MCB 16A 1pole scheider - MCB 16A 1pole scheider - MCB 16A 1pole scheider")</f>
        <v>Machine Equipment; ; ; - MCB 16A 1pole scheider - MCB 16A 1pole scheider - MCB 16A 1pole scheider - MCB 16A 1pole scheider - MCB 16A 1pole scheider - MCB 16A 1pole scheider</v>
      </c>
      <c r="F5512" s="6">
        <f>IFERROR(__xludf.DUMMYFUNCTION("""COMPUTED_VALUE"""),1.0)</f>
        <v>1</v>
      </c>
      <c r="G5512" s="6" t="str">
        <f>IFERROR(__xludf.DUMMYFUNCTION("""COMPUTED_VALUE"""),"Unit")</f>
        <v>Unit</v>
      </c>
      <c r="H5512" s="6" t="str">
        <f>IFERROR(__xludf.DUMMYFUNCTION("""COMPUTED_VALUE"""),"IDR")</f>
        <v>IDR</v>
      </c>
      <c r="I5512" s="6">
        <f>IFERROR(__xludf.DUMMYFUNCTION("""COMPUTED_VALUE"""),115000.0)</f>
        <v>115000</v>
      </c>
      <c r="J5512" s="6">
        <f>IFERROR(__xludf.DUMMYFUNCTION("""COMPUTED_VALUE"""),115000.0)</f>
        <v>115000</v>
      </c>
      <c r="K5512" s="57">
        <f>IFERROR(__xludf.DUMMYFUNCTION("""COMPUTED_VALUE"""),46304.0)</f>
        <v>46304</v>
      </c>
      <c r="L5512" s="6" t="str">
        <f>IFERROR(__xludf.DUMMYFUNCTION("""COMPUTED_VALUE"""),"FIP General")</f>
        <v>FIP General</v>
      </c>
      <c r="M5512" s="6" t="str">
        <f>IFERROR(__xludf.DUMMYFUNCTION("""COMPUTED_VALUE"""),"Mochammad Fadhillah Hakim,")</f>
        <v>Mochammad Fadhillah Hakim,</v>
      </c>
      <c r="N5512" s="6" t="str">
        <f>IFERROR(__xludf.DUMMYFUNCTION("""COMPUTED_VALUE"""),"FIP Engineering")</f>
        <v>FIP Engineering</v>
      </c>
      <c r="O5512" s="6" t="str">
        <f>IFERROR(__xludf.DUMMYFUNCTION("""COMPUTED_VALUE"""),"FIP-DOM-PRJ-13404-MC26022-INA-000000")</f>
        <v>FIP-DOM-PRJ-13404-MC26022-INA-000000</v>
      </c>
      <c r="P5512" s="6" t="str">
        <f>IFERROR(__xludf.DUMMYFUNCTION("""COMPUTED_VALUE"""),"PO Open")</f>
        <v>PO Open</v>
      </c>
      <c r="Q5512" s="6" t="str">
        <f>IFERROR(__xludf.DUMMYFUNCTION("""COMPUTED_VALUE"""),"GL2609016")</f>
        <v>GL2609016</v>
      </c>
      <c r="R5512" s="57">
        <f>IFERROR(__xludf.DUMMYFUNCTION("""COMPUTED_VALUE"""),46268.0)</f>
        <v>46268</v>
      </c>
      <c r="S5512" s="57">
        <f>IFERROR(__xludf.DUMMYFUNCTION("""COMPUTED_VALUE"""),46268.0)</f>
        <v>46268</v>
      </c>
      <c r="T5512" s="57">
        <f>IFERROR(__xludf.DUMMYFUNCTION("""COMPUTED_VALUE"""),46283.0)</f>
        <v>46283</v>
      </c>
    </row>
    <row r="5513">
      <c r="A5513" s="6" t="str">
        <f>IFERROR(__xludf.DUMMYFUNCTION("""COMPUTED_VALUE"""),"121704596-7")</f>
        <v>121704596-7</v>
      </c>
      <c r="B5513" s="6" t="str">
        <f>IFERROR(__xludf.DUMMYFUNCTION("""COMPUTED_VALUE"""),"121704596 - APPROVED")</f>
        <v>121704596 - APPROVED</v>
      </c>
      <c r="C5513" s="6">
        <f>IFERROR(__xludf.DUMMYFUNCTION("""COMPUTED_VALUE"""),7.0)</f>
        <v>7</v>
      </c>
      <c r="D5513" s="6" t="str">
        <f>IFERROR(__xludf.DUMMYFUNCTION("""COMPUTED_VALUE"""),"R-20024-00")</f>
        <v>R-20024-00</v>
      </c>
      <c r="E5513" s="6" t="str">
        <f>IFERROR(__xludf.DUMMYFUNCTION("""COMPUTED_VALUE"""),"Machine Equipment; ; ; - Pipa PVC AW 1 Inch Abu-abu Rucika - Pipa PVC AW 1 Inch Abu-abu Rucika - Pipa PVC AW 1 Inch Abu-abu Rucika - Pipa PVC AW 1 Inch Abu-abu Rucika - Pipa PVC AW 1 Inch Abu-abu Rucika - Pipa PVC AW 1 Inch Abu-abu Rucika")</f>
        <v>Machine Equipment; ; ; - Pipa PVC AW 1 Inch Abu-abu Rucika - Pipa PVC AW 1 Inch Abu-abu Rucika - Pipa PVC AW 1 Inch Abu-abu Rucika - Pipa PVC AW 1 Inch Abu-abu Rucika - Pipa PVC AW 1 Inch Abu-abu Rucika - Pipa PVC AW 1 Inch Abu-abu Rucika</v>
      </c>
      <c r="F5513" s="6">
        <f>IFERROR(__xludf.DUMMYFUNCTION("""COMPUTED_VALUE"""),4.0)</f>
        <v>4</v>
      </c>
      <c r="G5513" s="6" t="str">
        <f>IFERROR(__xludf.DUMMYFUNCTION("""COMPUTED_VALUE"""),"Unit")</f>
        <v>Unit</v>
      </c>
      <c r="H5513" s="6" t="str">
        <f>IFERROR(__xludf.DUMMYFUNCTION("""COMPUTED_VALUE"""),"IDR")</f>
        <v>IDR</v>
      </c>
      <c r="I5513" s="6">
        <f>IFERROR(__xludf.DUMMYFUNCTION("""COMPUTED_VALUE"""),135000.0)</f>
        <v>135000</v>
      </c>
      <c r="J5513" s="6">
        <f>IFERROR(__xludf.DUMMYFUNCTION("""COMPUTED_VALUE"""),540000.0)</f>
        <v>540000</v>
      </c>
      <c r="K5513" s="57">
        <f>IFERROR(__xludf.DUMMYFUNCTION("""COMPUTED_VALUE"""),46304.0)</f>
        <v>46304</v>
      </c>
      <c r="L5513" s="6" t="str">
        <f>IFERROR(__xludf.DUMMYFUNCTION("""COMPUTED_VALUE"""),"FIP General")</f>
        <v>FIP General</v>
      </c>
      <c r="M5513" s="6" t="str">
        <f>IFERROR(__xludf.DUMMYFUNCTION("""COMPUTED_VALUE"""),"Mochammad Fadhillah Hakim,")</f>
        <v>Mochammad Fadhillah Hakim,</v>
      </c>
      <c r="N5513" s="6" t="str">
        <f>IFERROR(__xludf.DUMMYFUNCTION("""COMPUTED_VALUE"""),"FIP Engineering")</f>
        <v>FIP Engineering</v>
      </c>
      <c r="O5513" s="6" t="str">
        <f>IFERROR(__xludf.DUMMYFUNCTION("""COMPUTED_VALUE"""),"FIP-DOM-PRJ-13404-MC26022-INA-000000")</f>
        <v>FIP-DOM-PRJ-13404-MC26022-INA-000000</v>
      </c>
      <c r="P5513" s="6" t="str">
        <f>IFERROR(__xludf.DUMMYFUNCTION("""COMPUTED_VALUE"""),"PO Open")</f>
        <v>PO Open</v>
      </c>
      <c r="Q5513" s="6" t="str">
        <f>IFERROR(__xludf.DUMMYFUNCTION("""COMPUTED_VALUE"""),"GL2609016")</f>
        <v>GL2609016</v>
      </c>
      <c r="R5513" s="57">
        <f>IFERROR(__xludf.DUMMYFUNCTION("""COMPUTED_VALUE"""),46268.0)</f>
        <v>46268</v>
      </c>
      <c r="S5513" s="57">
        <f>IFERROR(__xludf.DUMMYFUNCTION("""COMPUTED_VALUE"""),46268.0)</f>
        <v>46268</v>
      </c>
      <c r="T5513" s="57">
        <f>IFERROR(__xludf.DUMMYFUNCTION("""COMPUTED_VALUE"""),46283.0)</f>
        <v>46283</v>
      </c>
    </row>
    <row r="5514">
      <c r="A5514" s="6" t="str">
        <f>IFERROR(__xludf.DUMMYFUNCTION("""COMPUTED_VALUE"""),"121704596-8")</f>
        <v>121704596-8</v>
      </c>
      <c r="B5514" s="6" t="str">
        <f>IFERROR(__xludf.DUMMYFUNCTION("""COMPUTED_VALUE"""),"121704596 - APPROVED")</f>
        <v>121704596 - APPROVED</v>
      </c>
      <c r="C5514" s="6">
        <f>IFERROR(__xludf.DUMMYFUNCTION("""COMPUTED_VALUE"""),8.0)</f>
        <v>8</v>
      </c>
      <c r="D5514" s="6" t="str">
        <f>IFERROR(__xludf.DUMMYFUNCTION("""COMPUTED_VALUE"""),"R-20024-00")</f>
        <v>R-20024-00</v>
      </c>
      <c r="E5514" s="6" t="str">
        <f>IFERROR(__xludf.DUMMYFUNCTION("""COMPUTED_VALUE"""),"Machine Equipment; ; ; - Sok Drat Dalam AW 1 Inch Rucika - Sok Drat Dalam AW 1 Inch Rucika - Sok Drat Dalam AW 1 Inch Rucika - Sok Drat Dalam AW 1 Inch Rucika - Sok Drat Dalam AW 1 Inch Rucika - Sok Drat Dalam AW 1 Inch Rucika")</f>
        <v>Machine Equipment; ; ; - Sok Drat Dalam AW 1 Inch Rucika - Sok Drat Dalam AW 1 Inch Rucika - Sok Drat Dalam AW 1 Inch Rucika - Sok Drat Dalam AW 1 Inch Rucika - Sok Drat Dalam AW 1 Inch Rucika - Sok Drat Dalam AW 1 Inch Rucika</v>
      </c>
      <c r="F5514" s="6">
        <f>IFERROR(__xludf.DUMMYFUNCTION("""COMPUTED_VALUE"""),6.0)</f>
        <v>6</v>
      </c>
      <c r="G5514" s="6" t="str">
        <f>IFERROR(__xludf.DUMMYFUNCTION("""COMPUTED_VALUE"""),"Unit")</f>
        <v>Unit</v>
      </c>
      <c r="H5514" s="6" t="str">
        <f>IFERROR(__xludf.DUMMYFUNCTION("""COMPUTED_VALUE"""),"IDR")</f>
        <v>IDR</v>
      </c>
      <c r="I5514" s="6">
        <f>IFERROR(__xludf.DUMMYFUNCTION("""COMPUTED_VALUE"""),9000.0)</f>
        <v>9000</v>
      </c>
      <c r="J5514" s="6">
        <f>IFERROR(__xludf.DUMMYFUNCTION("""COMPUTED_VALUE"""),54000.0)</f>
        <v>54000</v>
      </c>
      <c r="K5514" s="57">
        <f>IFERROR(__xludf.DUMMYFUNCTION("""COMPUTED_VALUE"""),46304.0)</f>
        <v>46304</v>
      </c>
      <c r="L5514" s="6" t="str">
        <f>IFERROR(__xludf.DUMMYFUNCTION("""COMPUTED_VALUE"""),"FIP General")</f>
        <v>FIP General</v>
      </c>
      <c r="M5514" s="6" t="str">
        <f>IFERROR(__xludf.DUMMYFUNCTION("""COMPUTED_VALUE"""),"Mochammad Fadhillah Hakim,")</f>
        <v>Mochammad Fadhillah Hakim,</v>
      </c>
      <c r="N5514" s="6" t="str">
        <f>IFERROR(__xludf.DUMMYFUNCTION("""COMPUTED_VALUE"""),"FIP Engineering")</f>
        <v>FIP Engineering</v>
      </c>
      <c r="O5514" s="6" t="str">
        <f>IFERROR(__xludf.DUMMYFUNCTION("""COMPUTED_VALUE"""),"FIP-DOM-PRJ-13404-MC26022-INA-000000")</f>
        <v>FIP-DOM-PRJ-13404-MC26022-INA-000000</v>
      </c>
      <c r="P5514" s="6" t="str">
        <f>IFERROR(__xludf.DUMMYFUNCTION("""COMPUTED_VALUE"""),"PO Open")</f>
        <v>PO Open</v>
      </c>
      <c r="Q5514" s="6" t="str">
        <f>IFERROR(__xludf.DUMMYFUNCTION("""COMPUTED_VALUE"""),"GL2609016")</f>
        <v>GL2609016</v>
      </c>
      <c r="R5514" s="57">
        <f>IFERROR(__xludf.DUMMYFUNCTION("""COMPUTED_VALUE"""),46268.0)</f>
        <v>46268</v>
      </c>
      <c r="S5514" s="57">
        <f>IFERROR(__xludf.DUMMYFUNCTION("""COMPUTED_VALUE"""),46268.0)</f>
        <v>46268</v>
      </c>
      <c r="T5514" s="57">
        <f>IFERROR(__xludf.DUMMYFUNCTION("""COMPUTED_VALUE"""),46283.0)</f>
        <v>46283</v>
      </c>
    </row>
    <row r="5515">
      <c r="A5515" s="6" t="str">
        <f>IFERROR(__xludf.DUMMYFUNCTION("""COMPUTED_VALUE"""),"121704596-9")</f>
        <v>121704596-9</v>
      </c>
      <c r="B5515" s="6" t="str">
        <f>IFERROR(__xludf.DUMMYFUNCTION("""COMPUTED_VALUE"""),"121704596 - APPROVED")</f>
        <v>121704596 - APPROVED</v>
      </c>
      <c r="C5515" s="6">
        <f>IFERROR(__xludf.DUMMYFUNCTION("""COMPUTED_VALUE"""),9.0)</f>
        <v>9</v>
      </c>
      <c r="D5515" s="6" t="str">
        <f>IFERROR(__xludf.DUMMYFUNCTION("""COMPUTED_VALUE"""),"R-20024-00")</f>
        <v>R-20024-00</v>
      </c>
      <c r="E5515" s="6" t="str">
        <f>IFERROR(__xludf.DUMMYFUNCTION("""COMPUTED_VALUE"""),"Machine Equipment; ; ; - Sock AW 1"" Socket AW 1 Inch Rucika - Sock AW 1"" Socket AW 1 Inch Rucika - Sock AW 1"" Socket AW 1 Inch Rucika - Sock AW 1"" Socket AW 1 Inch Rucika - Sock AW 1"" Socket AW 1 Inch Rucika - Sock AW 1"" Socket AW 1 Inch Ru")</f>
        <v>Machine Equipment; ; ; - Sock AW 1" Socket AW 1 Inch Rucika - Sock AW 1" Socket AW 1 Inch Rucika - Sock AW 1" Socket AW 1 Inch Rucika - Sock AW 1" Socket AW 1 Inch Rucika - Sock AW 1" Socket AW 1 Inch Rucika - Sock AW 1" Socket AW 1 Inch Ru</v>
      </c>
      <c r="F5515" s="6">
        <f>IFERROR(__xludf.DUMMYFUNCTION("""COMPUTED_VALUE"""),10.0)</f>
        <v>10</v>
      </c>
      <c r="G5515" s="6" t="str">
        <f>IFERROR(__xludf.DUMMYFUNCTION("""COMPUTED_VALUE"""),"Unit")</f>
        <v>Unit</v>
      </c>
      <c r="H5515" s="6" t="str">
        <f>IFERROR(__xludf.DUMMYFUNCTION("""COMPUTED_VALUE"""),"IDR")</f>
        <v>IDR</v>
      </c>
      <c r="I5515" s="6">
        <f>IFERROR(__xludf.DUMMYFUNCTION("""COMPUTED_VALUE"""),7500.0)</f>
        <v>7500</v>
      </c>
      <c r="J5515" s="6">
        <f>IFERROR(__xludf.DUMMYFUNCTION("""COMPUTED_VALUE"""),75000.0)</f>
        <v>75000</v>
      </c>
      <c r="K5515" s="57">
        <f>IFERROR(__xludf.DUMMYFUNCTION("""COMPUTED_VALUE"""),46304.0)</f>
        <v>46304</v>
      </c>
      <c r="L5515" s="6" t="str">
        <f>IFERROR(__xludf.DUMMYFUNCTION("""COMPUTED_VALUE"""),"FIP General")</f>
        <v>FIP General</v>
      </c>
      <c r="M5515" s="6" t="str">
        <f>IFERROR(__xludf.DUMMYFUNCTION("""COMPUTED_VALUE"""),"Mochammad Fadhillah Hakim,")</f>
        <v>Mochammad Fadhillah Hakim,</v>
      </c>
      <c r="N5515" s="6" t="str">
        <f>IFERROR(__xludf.DUMMYFUNCTION("""COMPUTED_VALUE"""),"FIP Engineering")</f>
        <v>FIP Engineering</v>
      </c>
      <c r="O5515" s="6" t="str">
        <f>IFERROR(__xludf.DUMMYFUNCTION("""COMPUTED_VALUE"""),"FIP-DOM-PRJ-13404-MC26022-INA-000000")</f>
        <v>FIP-DOM-PRJ-13404-MC26022-INA-000000</v>
      </c>
      <c r="P5515" s="6" t="str">
        <f>IFERROR(__xludf.DUMMYFUNCTION("""COMPUTED_VALUE"""),"PO Open")</f>
        <v>PO Open</v>
      </c>
      <c r="Q5515" s="6" t="str">
        <f>IFERROR(__xludf.DUMMYFUNCTION("""COMPUTED_VALUE"""),"GL2609016")</f>
        <v>GL2609016</v>
      </c>
      <c r="R5515" s="57">
        <f>IFERROR(__xludf.DUMMYFUNCTION("""COMPUTED_VALUE"""),46268.0)</f>
        <v>46268</v>
      </c>
      <c r="S5515" s="57">
        <f>IFERROR(__xludf.DUMMYFUNCTION("""COMPUTED_VALUE"""),46268.0)</f>
        <v>46268</v>
      </c>
      <c r="T5515" s="57">
        <f>IFERROR(__xludf.DUMMYFUNCTION("""COMPUTED_VALUE"""),46283.0)</f>
        <v>46283</v>
      </c>
    </row>
    <row r="5516">
      <c r="A5516" s="6" t="str">
        <f>IFERROR(__xludf.DUMMYFUNCTION("""COMPUTED_VALUE"""),"121704596-10")</f>
        <v>121704596-10</v>
      </c>
      <c r="B5516" s="6" t="str">
        <f>IFERROR(__xludf.DUMMYFUNCTION("""COMPUTED_VALUE"""),"121704596 - APPROVED")</f>
        <v>121704596 - APPROVED</v>
      </c>
      <c r="C5516" s="6">
        <f>IFERROR(__xludf.DUMMYFUNCTION("""COMPUTED_VALUE"""),10.0)</f>
        <v>10</v>
      </c>
      <c r="D5516" s="6" t="str">
        <f>IFERROR(__xludf.DUMMYFUNCTION("""COMPUTED_VALUE"""),"R-20024-00")</f>
        <v>R-20024-00</v>
      </c>
      <c r="E5516" s="6" t="str">
        <f>IFERROR(__xludf.DUMMYFUNCTION("""COMPUTED_VALUE"""),"Machine Equipment; ; ; - Elbow AW 1 Inch Rucika - Elbow AW 1 Inch Rucika - Elbow AW 1 Inch Rucika - Elbow AW 1 Inch Rucika - Elbow AW 1 Inch Rucika - Elbow AW 1 Inch Rucika")</f>
        <v>Machine Equipment; ; ; - Elbow AW 1 Inch Rucika - Elbow AW 1 Inch Rucika - Elbow AW 1 Inch Rucika - Elbow AW 1 Inch Rucika - Elbow AW 1 Inch Rucika - Elbow AW 1 Inch Rucika</v>
      </c>
      <c r="F5516" s="6">
        <f>IFERROR(__xludf.DUMMYFUNCTION("""COMPUTED_VALUE"""),15.0)</f>
        <v>15</v>
      </c>
      <c r="G5516" s="6" t="str">
        <f>IFERROR(__xludf.DUMMYFUNCTION("""COMPUTED_VALUE"""),"Unit")</f>
        <v>Unit</v>
      </c>
      <c r="H5516" s="6" t="str">
        <f>IFERROR(__xludf.DUMMYFUNCTION("""COMPUTED_VALUE"""),"IDR")</f>
        <v>IDR</v>
      </c>
      <c r="I5516" s="6">
        <f>IFERROR(__xludf.DUMMYFUNCTION("""COMPUTED_VALUE"""),8500.0)</f>
        <v>8500</v>
      </c>
      <c r="J5516" s="6">
        <f>IFERROR(__xludf.DUMMYFUNCTION("""COMPUTED_VALUE"""),127500.0)</f>
        <v>127500</v>
      </c>
      <c r="K5516" s="57">
        <f>IFERROR(__xludf.DUMMYFUNCTION("""COMPUTED_VALUE"""),46304.0)</f>
        <v>46304</v>
      </c>
      <c r="L5516" s="6" t="str">
        <f>IFERROR(__xludf.DUMMYFUNCTION("""COMPUTED_VALUE"""),"FIP General")</f>
        <v>FIP General</v>
      </c>
      <c r="M5516" s="6" t="str">
        <f>IFERROR(__xludf.DUMMYFUNCTION("""COMPUTED_VALUE"""),"Mochammad Fadhillah Hakim,")</f>
        <v>Mochammad Fadhillah Hakim,</v>
      </c>
      <c r="N5516" s="6" t="str">
        <f>IFERROR(__xludf.DUMMYFUNCTION("""COMPUTED_VALUE"""),"FIP Engineering")</f>
        <v>FIP Engineering</v>
      </c>
      <c r="O5516" s="6" t="str">
        <f>IFERROR(__xludf.DUMMYFUNCTION("""COMPUTED_VALUE"""),"FIP-DOM-PRJ-13404-MC26022-INA-000000")</f>
        <v>FIP-DOM-PRJ-13404-MC26022-INA-000000</v>
      </c>
      <c r="P5516" s="6" t="str">
        <f>IFERROR(__xludf.DUMMYFUNCTION("""COMPUTED_VALUE"""),"PO Open")</f>
        <v>PO Open</v>
      </c>
      <c r="Q5516" s="6" t="str">
        <f>IFERROR(__xludf.DUMMYFUNCTION("""COMPUTED_VALUE"""),"GL2609016")</f>
        <v>GL2609016</v>
      </c>
      <c r="R5516" s="57">
        <f>IFERROR(__xludf.DUMMYFUNCTION("""COMPUTED_VALUE"""),46268.0)</f>
        <v>46268</v>
      </c>
      <c r="S5516" s="57">
        <f>IFERROR(__xludf.DUMMYFUNCTION("""COMPUTED_VALUE"""),46268.0)</f>
        <v>46268</v>
      </c>
      <c r="T5516" s="57">
        <f>IFERROR(__xludf.DUMMYFUNCTION("""COMPUTED_VALUE"""),46283.0)</f>
        <v>46283</v>
      </c>
    </row>
    <row r="5517">
      <c r="A5517" s="6" t="str">
        <f>IFERROR(__xludf.DUMMYFUNCTION("""COMPUTED_VALUE"""),"121704596-11")</f>
        <v>121704596-11</v>
      </c>
      <c r="B5517" s="6" t="str">
        <f>IFERROR(__xludf.DUMMYFUNCTION("""COMPUTED_VALUE"""),"121704596 - APPROVED")</f>
        <v>121704596 - APPROVED</v>
      </c>
      <c r="C5517" s="6">
        <f>IFERROR(__xludf.DUMMYFUNCTION("""COMPUTED_VALUE"""),11.0)</f>
        <v>11</v>
      </c>
      <c r="D5517" s="6" t="str">
        <f>IFERROR(__xludf.DUMMYFUNCTION("""COMPUTED_VALUE"""),"R-20024-00")</f>
        <v>R-20024-00</v>
      </c>
      <c r="E5517" s="6" t="str">
        <f>IFERROR(__xludf.DUMMYFUNCTION("""COMPUTED_VALUE"""),"Machine Equipment; ; ; - Plug AW 1 "" Pluk PVC Plu Dop Drat Luar 1 Inch RUCIKA - Plug AW 1 "" Pluk PVC Plu Dop Drat Luar 1 Inch RUCIKA - Plug AW 1 "" Pluk PVC Plu Dop Drat Luar 1 Inch RUCIKA - Plug AW 1 "" Pluk PVC Plu Dop Drat Luar 1 Inch RUCI")</f>
        <v>Machine Equipment; ; ; - Plug AW 1 " Pluk PVC Plu Dop Drat Luar 1 Inch RUCIKA - Plug AW 1 " Pluk PVC Plu Dop Drat Luar 1 Inch RUCIKA - Plug AW 1 " Pluk PVC Plu Dop Drat Luar 1 Inch RUCIKA - Plug AW 1 " Pluk PVC Plu Dop Drat Luar 1 Inch RUCI</v>
      </c>
      <c r="F5517" s="6">
        <f>IFERROR(__xludf.DUMMYFUNCTION("""COMPUTED_VALUE"""),2.0)</f>
        <v>2</v>
      </c>
      <c r="G5517" s="6" t="str">
        <f>IFERROR(__xludf.DUMMYFUNCTION("""COMPUTED_VALUE"""),"Unit")</f>
        <v>Unit</v>
      </c>
      <c r="H5517" s="6" t="str">
        <f>IFERROR(__xludf.DUMMYFUNCTION("""COMPUTED_VALUE"""),"IDR")</f>
        <v>IDR</v>
      </c>
      <c r="I5517" s="6">
        <f>IFERROR(__xludf.DUMMYFUNCTION("""COMPUTED_VALUE"""),4000.0)</f>
        <v>4000</v>
      </c>
      <c r="J5517" s="6">
        <f>IFERROR(__xludf.DUMMYFUNCTION("""COMPUTED_VALUE"""),8000.0)</f>
        <v>8000</v>
      </c>
      <c r="K5517" s="57">
        <f>IFERROR(__xludf.DUMMYFUNCTION("""COMPUTED_VALUE"""),46304.0)</f>
        <v>46304</v>
      </c>
      <c r="L5517" s="6" t="str">
        <f>IFERROR(__xludf.DUMMYFUNCTION("""COMPUTED_VALUE"""),"FIP General")</f>
        <v>FIP General</v>
      </c>
      <c r="M5517" s="6" t="str">
        <f>IFERROR(__xludf.DUMMYFUNCTION("""COMPUTED_VALUE"""),"Mochammad Fadhillah Hakim,")</f>
        <v>Mochammad Fadhillah Hakim,</v>
      </c>
      <c r="N5517" s="6" t="str">
        <f>IFERROR(__xludf.DUMMYFUNCTION("""COMPUTED_VALUE"""),"FIP Engineering")</f>
        <v>FIP Engineering</v>
      </c>
      <c r="O5517" s="6" t="str">
        <f>IFERROR(__xludf.DUMMYFUNCTION("""COMPUTED_VALUE"""),"FIP-DOM-PRJ-13404-MC26022-INA-000000")</f>
        <v>FIP-DOM-PRJ-13404-MC26022-INA-000000</v>
      </c>
      <c r="P5517" s="6" t="str">
        <f>IFERROR(__xludf.DUMMYFUNCTION("""COMPUTED_VALUE"""),"PO Open")</f>
        <v>PO Open</v>
      </c>
      <c r="Q5517" s="6" t="str">
        <f>IFERROR(__xludf.DUMMYFUNCTION("""COMPUTED_VALUE"""),"GL2609016")</f>
        <v>GL2609016</v>
      </c>
      <c r="R5517" s="57">
        <f>IFERROR(__xludf.DUMMYFUNCTION("""COMPUTED_VALUE"""),46268.0)</f>
        <v>46268</v>
      </c>
      <c r="S5517" s="57">
        <f>IFERROR(__xludf.DUMMYFUNCTION("""COMPUTED_VALUE"""),46268.0)</f>
        <v>46268</v>
      </c>
      <c r="T5517" s="57">
        <f>IFERROR(__xludf.DUMMYFUNCTION("""COMPUTED_VALUE"""),46283.0)</f>
        <v>46283</v>
      </c>
    </row>
    <row r="5518">
      <c r="A5518" s="6" t="str">
        <f>IFERROR(__xludf.DUMMYFUNCTION("""COMPUTED_VALUE"""),"121704596-12")</f>
        <v>121704596-12</v>
      </c>
      <c r="B5518" s="6" t="str">
        <f>IFERROR(__xludf.DUMMYFUNCTION("""COMPUTED_VALUE"""),"121704596 - APPROVED")</f>
        <v>121704596 - APPROVED</v>
      </c>
      <c r="C5518" s="6">
        <f>IFERROR(__xludf.DUMMYFUNCTION("""COMPUTED_VALUE"""),12.0)</f>
        <v>12</v>
      </c>
      <c r="D5518" s="6" t="str">
        <f>IFERROR(__xludf.DUMMYFUNCTION("""COMPUTED_VALUE"""),"R-20024-00")</f>
        <v>R-20024-00</v>
      </c>
      <c r="E5518" s="6" t="str">
        <f>IFERROR(__xludf.DUMMYFUNCTION("""COMPUTED_VALUE"""),"Machine Equipment; ; ; - Tee AW 1 Inch Rucika - Tee AW 1 Inch Rucika - Tee AW 1 Inch Rucika - Tee AW 1 Inch Rucika - Tee AW 1 Inch Rucika - Tee AW 1 Inch Rucika")</f>
        <v>Machine Equipment; ; ; - Tee AW 1 Inch Rucika - Tee AW 1 Inch Rucika - Tee AW 1 Inch Rucika - Tee AW 1 Inch Rucika - Tee AW 1 Inch Rucika - Tee AW 1 Inch Rucika</v>
      </c>
      <c r="F5518" s="6">
        <f>IFERROR(__xludf.DUMMYFUNCTION("""COMPUTED_VALUE"""),8.0)</f>
        <v>8</v>
      </c>
      <c r="G5518" s="6" t="str">
        <f>IFERROR(__xludf.DUMMYFUNCTION("""COMPUTED_VALUE"""),"Unit")</f>
        <v>Unit</v>
      </c>
      <c r="H5518" s="6" t="str">
        <f>IFERROR(__xludf.DUMMYFUNCTION("""COMPUTED_VALUE"""),"IDR")</f>
        <v>IDR</v>
      </c>
      <c r="I5518" s="6">
        <f>IFERROR(__xludf.DUMMYFUNCTION("""COMPUTED_VALUE"""),12000.0)</f>
        <v>12000</v>
      </c>
      <c r="J5518" s="6">
        <f>IFERROR(__xludf.DUMMYFUNCTION("""COMPUTED_VALUE"""),96000.0)</f>
        <v>96000</v>
      </c>
      <c r="K5518" s="57">
        <f>IFERROR(__xludf.DUMMYFUNCTION("""COMPUTED_VALUE"""),46304.0)</f>
        <v>46304</v>
      </c>
      <c r="L5518" s="6" t="str">
        <f>IFERROR(__xludf.DUMMYFUNCTION("""COMPUTED_VALUE"""),"FIP General")</f>
        <v>FIP General</v>
      </c>
      <c r="M5518" s="6" t="str">
        <f>IFERROR(__xludf.DUMMYFUNCTION("""COMPUTED_VALUE"""),"Mochammad Fadhillah Hakim,")</f>
        <v>Mochammad Fadhillah Hakim,</v>
      </c>
      <c r="N5518" s="6" t="str">
        <f>IFERROR(__xludf.DUMMYFUNCTION("""COMPUTED_VALUE"""),"FIP Engineering")</f>
        <v>FIP Engineering</v>
      </c>
      <c r="O5518" s="6" t="str">
        <f>IFERROR(__xludf.DUMMYFUNCTION("""COMPUTED_VALUE"""),"FIP-DOM-PRJ-13404-MC26022-INA-000000")</f>
        <v>FIP-DOM-PRJ-13404-MC26022-INA-000000</v>
      </c>
      <c r="P5518" s="6" t="str">
        <f>IFERROR(__xludf.DUMMYFUNCTION("""COMPUTED_VALUE"""),"PO Open")</f>
        <v>PO Open</v>
      </c>
      <c r="Q5518" s="6" t="str">
        <f>IFERROR(__xludf.DUMMYFUNCTION("""COMPUTED_VALUE"""),"GL2609016")</f>
        <v>GL2609016</v>
      </c>
      <c r="R5518" s="57">
        <f>IFERROR(__xludf.DUMMYFUNCTION("""COMPUTED_VALUE"""),46268.0)</f>
        <v>46268</v>
      </c>
      <c r="S5518" s="57">
        <f>IFERROR(__xludf.DUMMYFUNCTION("""COMPUTED_VALUE"""),46268.0)</f>
        <v>46268</v>
      </c>
      <c r="T5518" s="57">
        <f>IFERROR(__xludf.DUMMYFUNCTION("""COMPUTED_VALUE"""),46283.0)</f>
        <v>46283</v>
      </c>
    </row>
    <row r="5519">
      <c r="A5519" s="6" t="str">
        <f>IFERROR(__xludf.DUMMYFUNCTION("""COMPUTED_VALUE"""),"121704596-13")</f>
        <v>121704596-13</v>
      </c>
      <c r="B5519" s="6" t="str">
        <f>IFERROR(__xludf.DUMMYFUNCTION("""COMPUTED_VALUE"""),"121704596 - APPROVED")</f>
        <v>121704596 - APPROVED</v>
      </c>
      <c r="C5519" s="6">
        <f>IFERROR(__xludf.DUMMYFUNCTION("""COMPUTED_VALUE"""),13.0)</f>
        <v>13</v>
      </c>
      <c r="D5519" s="6" t="str">
        <f>IFERROR(__xludf.DUMMYFUNCTION("""COMPUTED_VALUE"""),"R-20024-00")</f>
        <v>R-20024-00</v>
      </c>
      <c r="E5519" s="6" t="str">
        <f>IFERROR(__xludf.DUMMYFUNCTION("""COMPUTED_VALUE"""),"Machine Equipment; ; ; - Sok Drat Luar Rucika PVC 1/2 - Sok Drat Luar Rucika PVC 1/2 - Sok Drat Luar Rucika PVC 1/2 - Sok Drat Luar Rucika PVC 1/2 - Sok Drat Luar Rucika PVC 1/2 - Sok Drat Luar Rucika PVC 1/2")</f>
        <v>Machine Equipment; ; ; - Sok Drat Luar Rucika PVC 1/2 - Sok Drat Luar Rucika PVC 1/2 - Sok Drat Luar Rucika PVC 1/2 - Sok Drat Luar Rucika PVC 1/2 - Sok Drat Luar Rucika PVC 1/2 - Sok Drat Luar Rucika PVC 1/2</v>
      </c>
      <c r="F5519" s="6">
        <f>IFERROR(__xludf.DUMMYFUNCTION("""COMPUTED_VALUE"""),4.0)</f>
        <v>4</v>
      </c>
      <c r="G5519" s="6" t="str">
        <f>IFERROR(__xludf.DUMMYFUNCTION("""COMPUTED_VALUE"""),"Unit")</f>
        <v>Unit</v>
      </c>
      <c r="H5519" s="6" t="str">
        <f>IFERROR(__xludf.DUMMYFUNCTION("""COMPUTED_VALUE"""),"IDR")</f>
        <v>IDR</v>
      </c>
      <c r="I5519" s="6">
        <f>IFERROR(__xludf.DUMMYFUNCTION("""COMPUTED_VALUE"""),12000.0)</f>
        <v>12000</v>
      </c>
      <c r="J5519" s="6">
        <f>IFERROR(__xludf.DUMMYFUNCTION("""COMPUTED_VALUE"""),48000.0)</f>
        <v>48000</v>
      </c>
      <c r="K5519" s="57">
        <f>IFERROR(__xludf.DUMMYFUNCTION("""COMPUTED_VALUE"""),46304.0)</f>
        <v>46304</v>
      </c>
      <c r="L5519" s="6" t="str">
        <f>IFERROR(__xludf.DUMMYFUNCTION("""COMPUTED_VALUE"""),"FIP General")</f>
        <v>FIP General</v>
      </c>
      <c r="M5519" s="6" t="str">
        <f>IFERROR(__xludf.DUMMYFUNCTION("""COMPUTED_VALUE"""),"Mochammad Fadhillah Hakim,")</f>
        <v>Mochammad Fadhillah Hakim,</v>
      </c>
      <c r="N5519" s="6" t="str">
        <f>IFERROR(__xludf.DUMMYFUNCTION("""COMPUTED_VALUE"""),"FIP Engineering")</f>
        <v>FIP Engineering</v>
      </c>
      <c r="O5519" s="6" t="str">
        <f>IFERROR(__xludf.DUMMYFUNCTION("""COMPUTED_VALUE"""),"FIP-DOM-PRJ-13404-MC26022-INA-000000")</f>
        <v>FIP-DOM-PRJ-13404-MC26022-INA-000000</v>
      </c>
      <c r="P5519" s="6" t="str">
        <f>IFERROR(__xludf.DUMMYFUNCTION("""COMPUTED_VALUE"""),"PO Open")</f>
        <v>PO Open</v>
      </c>
      <c r="Q5519" s="6" t="str">
        <f>IFERROR(__xludf.DUMMYFUNCTION("""COMPUTED_VALUE"""),"GL2609016")</f>
        <v>GL2609016</v>
      </c>
      <c r="R5519" s="57">
        <f>IFERROR(__xludf.DUMMYFUNCTION("""COMPUTED_VALUE"""),46268.0)</f>
        <v>46268</v>
      </c>
      <c r="S5519" s="57">
        <f>IFERROR(__xludf.DUMMYFUNCTION("""COMPUTED_VALUE"""),46268.0)</f>
        <v>46268</v>
      </c>
      <c r="T5519" s="57">
        <f>IFERROR(__xludf.DUMMYFUNCTION("""COMPUTED_VALUE"""),46283.0)</f>
        <v>46283</v>
      </c>
    </row>
    <row r="5520">
      <c r="A5520" s="6" t="str">
        <f>IFERROR(__xludf.DUMMYFUNCTION("""COMPUTED_VALUE"""),"121704596-14")</f>
        <v>121704596-14</v>
      </c>
      <c r="B5520" s="6" t="str">
        <f>IFERROR(__xludf.DUMMYFUNCTION("""COMPUTED_VALUE"""),"121704596 - APPROVED")</f>
        <v>121704596 - APPROVED</v>
      </c>
      <c r="C5520" s="6">
        <f>IFERROR(__xludf.DUMMYFUNCTION("""COMPUTED_VALUE"""),14.0)</f>
        <v>14</v>
      </c>
      <c r="D5520" s="6" t="str">
        <f>IFERROR(__xludf.DUMMYFUNCTION("""COMPUTED_VALUE"""),"R-20024-00")</f>
        <v>R-20024-00</v>
      </c>
      <c r="E5520" s="6" t="str">
        <f>IFERROR(__xludf.DUMMYFUNCTION("""COMPUTED_VALUE"""),"Machine Equipment; ; ; - Elbow PVC AW 1/2"" Rucika - Elbow PVC AW 1/2"" Rucika - Elbow PVC AW 1/2"" Rucika - Elbow PVC AW 1/2"" Rucika - Elbow PVC AW 1/2"" Rucika - Elbow PVC AW 1/2"" Rucika")</f>
        <v>Machine Equipment; ; ; - Elbow PVC AW 1/2" Rucika - Elbow PVC AW 1/2" Rucika - Elbow PVC AW 1/2" Rucika - Elbow PVC AW 1/2" Rucika - Elbow PVC AW 1/2" Rucika - Elbow PVC AW 1/2" Rucika</v>
      </c>
      <c r="F5520" s="6">
        <f>IFERROR(__xludf.DUMMYFUNCTION("""COMPUTED_VALUE"""),5.0)</f>
        <v>5</v>
      </c>
      <c r="G5520" s="6" t="str">
        <f>IFERROR(__xludf.DUMMYFUNCTION("""COMPUTED_VALUE"""),"Unit")</f>
        <v>Unit</v>
      </c>
      <c r="H5520" s="6" t="str">
        <f>IFERROR(__xludf.DUMMYFUNCTION("""COMPUTED_VALUE"""),"IDR")</f>
        <v>IDR</v>
      </c>
      <c r="I5520" s="6">
        <f>IFERROR(__xludf.DUMMYFUNCTION("""COMPUTED_VALUE"""),5000.0)</f>
        <v>5000</v>
      </c>
      <c r="J5520" s="6">
        <f>IFERROR(__xludf.DUMMYFUNCTION("""COMPUTED_VALUE"""),25000.0)</f>
        <v>25000</v>
      </c>
      <c r="K5520" s="57">
        <f>IFERROR(__xludf.DUMMYFUNCTION("""COMPUTED_VALUE"""),46304.0)</f>
        <v>46304</v>
      </c>
      <c r="L5520" s="6" t="str">
        <f>IFERROR(__xludf.DUMMYFUNCTION("""COMPUTED_VALUE"""),"FIP General")</f>
        <v>FIP General</v>
      </c>
      <c r="M5520" s="6" t="str">
        <f>IFERROR(__xludf.DUMMYFUNCTION("""COMPUTED_VALUE"""),"Mochammad Fadhillah Hakim,")</f>
        <v>Mochammad Fadhillah Hakim,</v>
      </c>
      <c r="N5520" s="6" t="str">
        <f>IFERROR(__xludf.DUMMYFUNCTION("""COMPUTED_VALUE"""),"FIP Engineering")</f>
        <v>FIP Engineering</v>
      </c>
      <c r="O5520" s="6" t="str">
        <f>IFERROR(__xludf.DUMMYFUNCTION("""COMPUTED_VALUE"""),"FIP-DOM-PRJ-13404-MC26022-INA-000000")</f>
        <v>FIP-DOM-PRJ-13404-MC26022-INA-000000</v>
      </c>
      <c r="P5520" s="6" t="str">
        <f>IFERROR(__xludf.DUMMYFUNCTION("""COMPUTED_VALUE"""),"PO Open")</f>
        <v>PO Open</v>
      </c>
      <c r="Q5520" s="6" t="str">
        <f>IFERROR(__xludf.DUMMYFUNCTION("""COMPUTED_VALUE"""),"GL2609016")</f>
        <v>GL2609016</v>
      </c>
      <c r="R5520" s="57">
        <f>IFERROR(__xludf.DUMMYFUNCTION("""COMPUTED_VALUE"""),46268.0)</f>
        <v>46268</v>
      </c>
      <c r="S5520" s="57">
        <f>IFERROR(__xludf.DUMMYFUNCTION("""COMPUTED_VALUE"""),46268.0)</f>
        <v>46268</v>
      </c>
      <c r="T5520" s="57">
        <f>IFERROR(__xludf.DUMMYFUNCTION("""COMPUTED_VALUE"""),46283.0)</f>
        <v>46283</v>
      </c>
    </row>
    <row r="5521">
      <c r="A5521" s="6" t="str">
        <f>IFERROR(__xludf.DUMMYFUNCTION("""COMPUTED_VALUE"""),"121704596-15")</f>
        <v>121704596-15</v>
      </c>
      <c r="B5521" s="6" t="str">
        <f>IFERROR(__xludf.DUMMYFUNCTION("""COMPUTED_VALUE"""),"121704596 - APPROVED")</f>
        <v>121704596 - APPROVED</v>
      </c>
      <c r="C5521" s="6">
        <f>IFERROR(__xludf.DUMMYFUNCTION("""COMPUTED_VALUE"""),15.0)</f>
        <v>15</v>
      </c>
      <c r="D5521" s="6" t="str">
        <f>IFERROR(__xludf.DUMMYFUNCTION("""COMPUTED_VALUE"""),"R-20024-00")</f>
        <v>R-20024-00</v>
      </c>
      <c r="E5521" s="6" t="str">
        <f>IFERROR(__xludf.DUMMYFUNCTION("""COMPUTED_VALUE"""),"Machine Equipment; ; ; - Tee AW 1 x 1/2 Inch Tee 1 x 1/2"" Reduser Tee PVC Rucika - Tee AW 1 x 1/2 Inch Tee 1 x 1/2"" Reduser Tee PVC Rucika - Tee AW 1 x 1/2 Inch Tee 1 x 1/2"" Reduser Tee PVC Rucika - Tee AW 1 x 1/2 Inch Tee 1 x 1/2"" Reduser")</f>
        <v>Machine Equipment; ; ; - Tee AW 1 x 1/2 Inch Tee 1 x 1/2" Reduser Tee PVC Rucika - Tee AW 1 x 1/2 Inch Tee 1 x 1/2" Reduser Tee PVC Rucika - Tee AW 1 x 1/2 Inch Tee 1 x 1/2" Reduser Tee PVC Rucika - Tee AW 1 x 1/2 Inch Tee 1 x 1/2" Reduser</v>
      </c>
      <c r="F5521" s="6">
        <f>IFERROR(__xludf.DUMMYFUNCTION("""COMPUTED_VALUE"""),2.0)</f>
        <v>2</v>
      </c>
      <c r="G5521" s="6" t="str">
        <f>IFERROR(__xludf.DUMMYFUNCTION("""COMPUTED_VALUE"""),"Unit")</f>
        <v>Unit</v>
      </c>
      <c r="H5521" s="6" t="str">
        <f>IFERROR(__xludf.DUMMYFUNCTION("""COMPUTED_VALUE"""),"IDR")</f>
        <v>IDR</v>
      </c>
      <c r="I5521" s="6">
        <f>IFERROR(__xludf.DUMMYFUNCTION("""COMPUTED_VALUE"""),12000.0)</f>
        <v>12000</v>
      </c>
      <c r="J5521" s="6">
        <f>IFERROR(__xludf.DUMMYFUNCTION("""COMPUTED_VALUE"""),24000.0)</f>
        <v>24000</v>
      </c>
      <c r="K5521" s="57">
        <f>IFERROR(__xludf.DUMMYFUNCTION("""COMPUTED_VALUE"""),46304.0)</f>
        <v>46304</v>
      </c>
      <c r="L5521" s="6" t="str">
        <f>IFERROR(__xludf.DUMMYFUNCTION("""COMPUTED_VALUE"""),"FIP General")</f>
        <v>FIP General</v>
      </c>
      <c r="M5521" s="6" t="str">
        <f>IFERROR(__xludf.DUMMYFUNCTION("""COMPUTED_VALUE"""),"Mochammad Fadhillah Hakim,")</f>
        <v>Mochammad Fadhillah Hakim,</v>
      </c>
      <c r="N5521" s="6" t="str">
        <f>IFERROR(__xludf.DUMMYFUNCTION("""COMPUTED_VALUE"""),"FIP Engineering")</f>
        <v>FIP Engineering</v>
      </c>
      <c r="O5521" s="6" t="str">
        <f>IFERROR(__xludf.DUMMYFUNCTION("""COMPUTED_VALUE"""),"FIP-DOM-PRJ-13404-MC26022-INA-000000")</f>
        <v>FIP-DOM-PRJ-13404-MC26022-INA-000000</v>
      </c>
      <c r="P5521" s="6" t="str">
        <f>IFERROR(__xludf.DUMMYFUNCTION("""COMPUTED_VALUE"""),"PO Open")</f>
        <v>PO Open</v>
      </c>
      <c r="Q5521" s="6" t="str">
        <f>IFERROR(__xludf.DUMMYFUNCTION("""COMPUTED_VALUE"""),"GL2609016")</f>
        <v>GL2609016</v>
      </c>
      <c r="R5521" s="57">
        <f>IFERROR(__xludf.DUMMYFUNCTION("""COMPUTED_VALUE"""),46268.0)</f>
        <v>46268</v>
      </c>
      <c r="S5521" s="57">
        <f>IFERROR(__xludf.DUMMYFUNCTION("""COMPUTED_VALUE"""),46268.0)</f>
        <v>46268</v>
      </c>
      <c r="T5521" s="57">
        <f>IFERROR(__xludf.DUMMYFUNCTION("""COMPUTED_VALUE"""),46283.0)</f>
        <v>46283</v>
      </c>
    </row>
    <row r="5522">
      <c r="A5522" s="6" t="str">
        <f>IFERROR(__xludf.DUMMYFUNCTION("""COMPUTED_VALUE"""),"121704596-16")</f>
        <v>121704596-16</v>
      </c>
      <c r="B5522" s="6" t="str">
        <f>IFERROR(__xludf.DUMMYFUNCTION("""COMPUTED_VALUE"""),"121704596 - APPROVED")</f>
        <v>121704596 - APPROVED</v>
      </c>
      <c r="C5522" s="6">
        <f>IFERROR(__xludf.DUMMYFUNCTION("""COMPUTED_VALUE"""),16.0)</f>
        <v>16</v>
      </c>
      <c r="D5522" s="6" t="str">
        <f>IFERROR(__xludf.DUMMYFUNCTION("""COMPUTED_VALUE"""),"R-20024-00")</f>
        <v>R-20024-00</v>
      </c>
      <c r="E5522" s="6" t="str">
        <f>IFERROR(__xludf.DUMMYFUNCTION("""COMPUTED_VALUE"""),"Machine Equipment; ; ; - Pipa PVC AW 1/2 Inch Abu-abu Rucika - Pipa PVC AW 1/2 Inch Abu-abu Rucika - Pipa PVC AW 1/2 Inch Abu-abu Rucika - Pipa PVC AW 1/2 Inch Abu-abu Rucika - Pipa PVC AW 1/2 Inch Abu-abu Rucika - Pipa PVC AW 1/2 Inch Abu-")</f>
        <v>Machine Equipment; ; ; - Pipa PVC AW 1/2 Inch Abu-abu Rucika - Pipa PVC AW 1/2 Inch Abu-abu Rucika - Pipa PVC AW 1/2 Inch Abu-abu Rucika - Pipa PVC AW 1/2 Inch Abu-abu Rucika - Pipa PVC AW 1/2 Inch Abu-abu Rucika - Pipa PVC AW 1/2 Inch Abu-</v>
      </c>
      <c r="F5522" s="6">
        <f>IFERROR(__xludf.DUMMYFUNCTION("""COMPUTED_VALUE"""),1.0)</f>
        <v>1</v>
      </c>
      <c r="G5522" s="6" t="str">
        <f>IFERROR(__xludf.DUMMYFUNCTION("""COMPUTED_VALUE"""),"Unit")</f>
        <v>Unit</v>
      </c>
      <c r="H5522" s="6" t="str">
        <f>IFERROR(__xludf.DUMMYFUNCTION("""COMPUTED_VALUE"""),"IDR")</f>
        <v>IDR</v>
      </c>
      <c r="I5522" s="6">
        <f>IFERROR(__xludf.DUMMYFUNCTION("""COMPUTED_VALUE"""),90000.0)</f>
        <v>90000</v>
      </c>
      <c r="J5522" s="6">
        <f>IFERROR(__xludf.DUMMYFUNCTION("""COMPUTED_VALUE"""),90000.0)</f>
        <v>90000</v>
      </c>
      <c r="K5522" s="57">
        <f>IFERROR(__xludf.DUMMYFUNCTION("""COMPUTED_VALUE"""),46304.0)</f>
        <v>46304</v>
      </c>
      <c r="L5522" s="6" t="str">
        <f>IFERROR(__xludf.DUMMYFUNCTION("""COMPUTED_VALUE"""),"FIP General")</f>
        <v>FIP General</v>
      </c>
      <c r="M5522" s="6" t="str">
        <f>IFERROR(__xludf.DUMMYFUNCTION("""COMPUTED_VALUE"""),"Mochammad Fadhillah Hakim,")</f>
        <v>Mochammad Fadhillah Hakim,</v>
      </c>
      <c r="N5522" s="6" t="str">
        <f>IFERROR(__xludf.DUMMYFUNCTION("""COMPUTED_VALUE"""),"FIP Engineering")</f>
        <v>FIP Engineering</v>
      </c>
      <c r="O5522" s="6" t="str">
        <f>IFERROR(__xludf.DUMMYFUNCTION("""COMPUTED_VALUE"""),"FIP-DOM-PRJ-13404-MC26022-INA-000000")</f>
        <v>FIP-DOM-PRJ-13404-MC26022-INA-000000</v>
      </c>
      <c r="P5522" s="6" t="str">
        <f>IFERROR(__xludf.DUMMYFUNCTION("""COMPUTED_VALUE"""),"PO Open")</f>
        <v>PO Open</v>
      </c>
      <c r="Q5522" s="6" t="str">
        <f>IFERROR(__xludf.DUMMYFUNCTION("""COMPUTED_VALUE"""),"GL2609016")</f>
        <v>GL2609016</v>
      </c>
      <c r="R5522" s="57">
        <f>IFERROR(__xludf.DUMMYFUNCTION("""COMPUTED_VALUE"""),46268.0)</f>
        <v>46268</v>
      </c>
      <c r="S5522" s="57">
        <f>IFERROR(__xludf.DUMMYFUNCTION("""COMPUTED_VALUE"""),46268.0)</f>
        <v>46268</v>
      </c>
      <c r="T5522" s="57">
        <f>IFERROR(__xludf.DUMMYFUNCTION("""COMPUTED_VALUE"""),46283.0)</f>
        <v>46283</v>
      </c>
    </row>
    <row r="5523">
      <c r="A5523" s="6" t="str">
        <f>IFERROR(__xludf.DUMMYFUNCTION("""COMPUTED_VALUE"""),"121704596-17")</f>
        <v>121704596-17</v>
      </c>
      <c r="B5523" s="6" t="str">
        <f>IFERROR(__xludf.DUMMYFUNCTION("""COMPUTED_VALUE"""),"121704596 - APPROVED")</f>
        <v>121704596 - APPROVED</v>
      </c>
      <c r="C5523" s="6">
        <f>IFERROR(__xludf.DUMMYFUNCTION("""COMPUTED_VALUE"""),17.0)</f>
        <v>17</v>
      </c>
      <c r="D5523" s="6" t="str">
        <f>IFERROR(__xludf.DUMMYFUNCTION("""COMPUTED_VALUE"""),"R-20024-00")</f>
        <v>R-20024-00</v>
      </c>
      <c r="E5523" s="6" t="str">
        <f>IFERROR(__xludf.DUMMYFUNCTION("""COMPUTED_VALUE"""),"Machine Equipment; ; ; - PVC Ball Valve RUCIKA 1 Inch DN 25 Polos Stop Kran PVC 1"" - PVC Ball Valve RUCIKA 1 Inch DN 25 Polos Stop Kran PVC 1"" - PVC Ball Valve RUCIKA 1 Inch DN 25 Polos Stop Kran PVC 1"" - PVC Ball Valve RUCIKA 1 Inch DN 25")</f>
        <v>Machine Equipment; ; ; - PVC Ball Valve RUCIKA 1 Inch DN 25 Polos Stop Kran PVC 1" - PVC Ball Valve RUCIKA 1 Inch DN 25 Polos Stop Kran PVC 1" - PVC Ball Valve RUCIKA 1 Inch DN 25 Polos Stop Kran PVC 1" - PVC Ball Valve RUCIKA 1 Inch DN 25</v>
      </c>
      <c r="F5523" s="6">
        <f>IFERROR(__xludf.DUMMYFUNCTION("""COMPUTED_VALUE"""),2.0)</f>
        <v>2</v>
      </c>
      <c r="G5523" s="6" t="str">
        <f>IFERROR(__xludf.DUMMYFUNCTION("""COMPUTED_VALUE"""),"Unit")</f>
        <v>Unit</v>
      </c>
      <c r="H5523" s="6" t="str">
        <f>IFERROR(__xludf.DUMMYFUNCTION("""COMPUTED_VALUE"""),"IDR")</f>
        <v>IDR</v>
      </c>
      <c r="I5523" s="6">
        <f>IFERROR(__xludf.DUMMYFUNCTION("""COMPUTED_VALUE"""),65000.0)</f>
        <v>65000</v>
      </c>
      <c r="J5523" s="6">
        <f>IFERROR(__xludf.DUMMYFUNCTION("""COMPUTED_VALUE"""),130000.0)</f>
        <v>130000</v>
      </c>
      <c r="K5523" s="57">
        <f>IFERROR(__xludf.DUMMYFUNCTION("""COMPUTED_VALUE"""),46304.0)</f>
        <v>46304</v>
      </c>
      <c r="L5523" s="6" t="str">
        <f>IFERROR(__xludf.DUMMYFUNCTION("""COMPUTED_VALUE"""),"FIP General")</f>
        <v>FIP General</v>
      </c>
      <c r="M5523" s="6" t="str">
        <f>IFERROR(__xludf.DUMMYFUNCTION("""COMPUTED_VALUE"""),"Mochammad Fadhillah Hakim,")</f>
        <v>Mochammad Fadhillah Hakim,</v>
      </c>
      <c r="N5523" s="6" t="str">
        <f>IFERROR(__xludf.DUMMYFUNCTION("""COMPUTED_VALUE"""),"FIP Engineering")</f>
        <v>FIP Engineering</v>
      </c>
      <c r="O5523" s="6" t="str">
        <f>IFERROR(__xludf.DUMMYFUNCTION("""COMPUTED_VALUE"""),"FIP-DOM-PRJ-13404-MC26022-INA-000000")</f>
        <v>FIP-DOM-PRJ-13404-MC26022-INA-000000</v>
      </c>
      <c r="P5523" s="6" t="str">
        <f>IFERROR(__xludf.DUMMYFUNCTION("""COMPUTED_VALUE"""),"PO Open")</f>
        <v>PO Open</v>
      </c>
      <c r="Q5523" s="6" t="str">
        <f>IFERROR(__xludf.DUMMYFUNCTION("""COMPUTED_VALUE"""),"GL2609016")</f>
        <v>GL2609016</v>
      </c>
      <c r="R5523" s="57">
        <f>IFERROR(__xludf.DUMMYFUNCTION("""COMPUTED_VALUE"""),46268.0)</f>
        <v>46268</v>
      </c>
      <c r="S5523" s="57">
        <f>IFERROR(__xludf.DUMMYFUNCTION("""COMPUTED_VALUE"""),46268.0)</f>
        <v>46268</v>
      </c>
      <c r="T5523" s="57">
        <f>IFERROR(__xludf.DUMMYFUNCTION("""COMPUTED_VALUE"""),46283.0)</f>
        <v>46283</v>
      </c>
    </row>
    <row r="5524">
      <c r="A5524" s="6" t="str">
        <f>IFERROR(__xludf.DUMMYFUNCTION("""COMPUTED_VALUE"""),"121704596-18")</f>
        <v>121704596-18</v>
      </c>
      <c r="B5524" s="6" t="str">
        <f>IFERROR(__xludf.DUMMYFUNCTION("""COMPUTED_VALUE"""),"121704596 - APPROVED")</f>
        <v>121704596 - APPROVED</v>
      </c>
      <c r="C5524" s="6">
        <f>IFERROR(__xludf.DUMMYFUNCTION("""COMPUTED_VALUE"""),18.0)</f>
        <v>18</v>
      </c>
      <c r="D5524" s="6" t="str">
        <f>IFERROR(__xludf.DUMMYFUNCTION("""COMPUTED_VALUE"""),"R-20024-00")</f>
        <v>R-20024-00</v>
      </c>
      <c r="E5524" s="6" t="str">
        <f>IFERROR(__xludf.DUMMYFUNCTION("""COMPUTED_VALUE"""),"Machine Equipment; ; ; - Lem PVC Isarplas Kaleng Isi 400 gram - Lem PVC Isarplas Kaleng Isi 400 gram - Lem PVC Isarplas Kaleng Isi 400 gram - Lem PVC Isarplas Kaleng Isi 400 gram - Lem PVC Isarplas Kaleng Isi 400 gram - Lem PVC Isarplas Kal")</f>
        <v>Machine Equipment; ; ; - Lem PVC Isarplas Kaleng Isi 400 gram - Lem PVC Isarplas Kaleng Isi 400 gram - Lem PVC Isarplas Kaleng Isi 400 gram - Lem PVC Isarplas Kaleng Isi 400 gram - Lem PVC Isarplas Kaleng Isi 400 gram - Lem PVC Isarplas Kal</v>
      </c>
      <c r="F5524" s="6">
        <f>IFERROR(__xludf.DUMMYFUNCTION("""COMPUTED_VALUE"""),2.0)</f>
        <v>2</v>
      </c>
      <c r="G5524" s="6" t="str">
        <f>IFERROR(__xludf.DUMMYFUNCTION("""COMPUTED_VALUE"""),"Unit")</f>
        <v>Unit</v>
      </c>
      <c r="H5524" s="6" t="str">
        <f>IFERROR(__xludf.DUMMYFUNCTION("""COMPUTED_VALUE"""),"IDR")</f>
        <v>IDR</v>
      </c>
      <c r="I5524" s="6">
        <f>IFERROR(__xludf.DUMMYFUNCTION("""COMPUTED_VALUE"""),95000.0)</f>
        <v>95000</v>
      </c>
      <c r="J5524" s="6">
        <f>IFERROR(__xludf.DUMMYFUNCTION("""COMPUTED_VALUE"""),190000.0)</f>
        <v>190000</v>
      </c>
      <c r="K5524" s="57">
        <f>IFERROR(__xludf.DUMMYFUNCTION("""COMPUTED_VALUE"""),46304.0)</f>
        <v>46304</v>
      </c>
      <c r="L5524" s="6" t="str">
        <f>IFERROR(__xludf.DUMMYFUNCTION("""COMPUTED_VALUE"""),"FIP General")</f>
        <v>FIP General</v>
      </c>
      <c r="M5524" s="6" t="str">
        <f>IFERROR(__xludf.DUMMYFUNCTION("""COMPUTED_VALUE"""),"Mochammad Fadhillah Hakim,")</f>
        <v>Mochammad Fadhillah Hakim,</v>
      </c>
      <c r="N5524" s="6" t="str">
        <f>IFERROR(__xludf.DUMMYFUNCTION("""COMPUTED_VALUE"""),"FIP Engineering")</f>
        <v>FIP Engineering</v>
      </c>
      <c r="O5524" s="6" t="str">
        <f>IFERROR(__xludf.DUMMYFUNCTION("""COMPUTED_VALUE"""),"FIP-DOM-PRJ-13404-MC26022-INA-000000")</f>
        <v>FIP-DOM-PRJ-13404-MC26022-INA-000000</v>
      </c>
      <c r="P5524" s="6" t="str">
        <f>IFERROR(__xludf.DUMMYFUNCTION("""COMPUTED_VALUE"""),"PO Open")</f>
        <v>PO Open</v>
      </c>
      <c r="Q5524" s="6" t="str">
        <f>IFERROR(__xludf.DUMMYFUNCTION("""COMPUTED_VALUE"""),"GL2609016")</f>
        <v>GL2609016</v>
      </c>
      <c r="R5524" s="57">
        <f>IFERROR(__xludf.DUMMYFUNCTION("""COMPUTED_VALUE"""),46268.0)</f>
        <v>46268</v>
      </c>
      <c r="S5524" s="57">
        <f>IFERROR(__xludf.DUMMYFUNCTION("""COMPUTED_VALUE"""),46268.0)</f>
        <v>46268</v>
      </c>
      <c r="T5524" s="57">
        <f>IFERROR(__xludf.DUMMYFUNCTION("""COMPUTED_VALUE"""),46283.0)</f>
        <v>46283</v>
      </c>
    </row>
    <row r="5525">
      <c r="A5525" s="6" t="str">
        <f>IFERROR(__xludf.DUMMYFUNCTION("""COMPUTED_VALUE"""),"121704596-19")</f>
        <v>121704596-19</v>
      </c>
      <c r="B5525" s="6" t="str">
        <f>IFERROR(__xludf.DUMMYFUNCTION("""COMPUTED_VALUE"""),"121704596 - APPROVED")</f>
        <v>121704596 - APPROVED</v>
      </c>
      <c r="C5525" s="6">
        <f>IFERROR(__xludf.DUMMYFUNCTION("""COMPUTED_VALUE"""),19.0)</f>
        <v>19</v>
      </c>
      <c r="D5525" s="6" t="str">
        <f>IFERROR(__xludf.DUMMYFUNCTION("""COMPUTED_VALUE"""),"R-20024-00")</f>
        <v>R-20024-00</v>
      </c>
      <c r="E5525" s="6" t="str">
        <f>IFERROR(__xludf.DUMMYFUNCTION("""COMPUTED_VALUE"""),"Machine Equipment; ; ; - Seal Tape Rucika 12mm 10 Mtr Seal Tape Pipa - Seal Tape Rucika 12mm 10 Mtr Seal Tape Pipa - Seal Tape Rucika 12mm 10 Mtr Seal Tape Pipa - Seal Tape Rucika 12mm 10 Mtr Seal Tape Pipa - Seal Tape Rucika 12mm 10 Mtr Se")</f>
        <v>Machine Equipment; ; ; - Seal Tape Rucika 12mm 10 Mtr Seal Tape Pipa - Seal Tape Rucika 12mm 10 Mtr Seal Tape Pipa - Seal Tape Rucika 12mm 10 Mtr Seal Tape Pipa - Seal Tape Rucika 12mm 10 Mtr Seal Tape Pipa - Seal Tape Rucika 12mm 10 Mtr Se</v>
      </c>
      <c r="F5525" s="6">
        <f>IFERROR(__xludf.DUMMYFUNCTION("""COMPUTED_VALUE"""),10.0)</f>
        <v>10</v>
      </c>
      <c r="G5525" s="6" t="str">
        <f>IFERROR(__xludf.DUMMYFUNCTION("""COMPUTED_VALUE"""),"Unit")</f>
        <v>Unit</v>
      </c>
      <c r="H5525" s="6" t="str">
        <f>IFERROR(__xludf.DUMMYFUNCTION("""COMPUTED_VALUE"""),"IDR")</f>
        <v>IDR</v>
      </c>
      <c r="I5525" s="6">
        <f>IFERROR(__xludf.DUMMYFUNCTION("""COMPUTED_VALUE"""),7500.0)</f>
        <v>7500</v>
      </c>
      <c r="J5525" s="6">
        <f>IFERROR(__xludf.DUMMYFUNCTION("""COMPUTED_VALUE"""),75000.0)</f>
        <v>75000</v>
      </c>
      <c r="K5525" s="57">
        <f>IFERROR(__xludf.DUMMYFUNCTION("""COMPUTED_VALUE"""),46304.0)</f>
        <v>46304</v>
      </c>
      <c r="L5525" s="6" t="str">
        <f>IFERROR(__xludf.DUMMYFUNCTION("""COMPUTED_VALUE"""),"FIP General")</f>
        <v>FIP General</v>
      </c>
      <c r="M5525" s="6" t="str">
        <f>IFERROR(__xludf.DUMMYFUNCTION("""COMPUTED_VALUE"""),"Mochammad Fadhillah Hakim,")</f>
        <v>Mochammad Fadhillah Hakim,</v>
      </c>
      <c r="N5525" s="6" t="str">
        <f>IFERROR(__xludf.DUMMYFUNCTION("""COMPUTED_VALUE"""),"FIP Engineering")</f>
        <v>FIP Engineering</v>
      </c>
      <c r="O5525" s="6" t="str">
        <f>IFERROR(__xludf.DUMMYFUNCTION("""COMPUTED_VALUE"""),"FIP-DOM-PRJ-13404-MC26022-INA-000000")</f>
        <v>FIP-DOM-PRJ-13404-MC26022-INA-000000</v>
      </c>
      <c r="P5525" s="6" t="str">
        <f>IFERROR(__xludf.DUMMYFUNCTION("""COMPUTED_VALUE"""),"PO Open")</f>
        <v>PO Open</v>
      </c>
      <c r="Q5525" s="6" t="str">
        <f>IFERROR(__xludf.DUMMYFUNCTION("""COMPUTED_VALUE"""),"GL2609016")</f>
        <v>GL2609016</v>
      </c>
      <c r="R5525" s="57">
        <f>IFERROR(__xludf.DUMMYFUNCTION("""COMPUTED_VALUE"""),46268.0)</f>
        <v>46268</v>
      </c>
      <c r="S5525" s="57">
        <f>IFERROR(__xludf.DUMMYFUNCTION("""COMPUTED_VALUE"""),46268.0)</f>
        <v>46268</v>
      </c>
      <c r="T5525" s="57">
        <f>IFERROR(__xludf.DUMMYFUNCTION("""COMPUTED_VALUE"""),46283.0)</f>
        <v>46283</v>
      </c>
    </row>
    <row r="5526">
      <c r="A5526" s="6" t="str">
        <f>IFERROR(__xludf.DUMMYFUNCTION("""COMPUTED_VALUE"""),"121704596-20")</f>
        <v>121704596-20</v>
      </c>
      <c r="B5526" s="6" t="str">
        <f>IFERROR(__xludf.DUMMYFUNCTION("""COMPUTED_VALUE"""),"121704596 - APPROVED")</f>
        <v>121704596 - APPROVED</v>
      </c>
      <c r="C5526" s="6">
        <f>IFERROR(__xludf.DUMMYFUNCTION("""COMPUTED_VALUE"""),20.0)</f>
        <v>20</v>
      </c>
      <c r="D5526" s="6" t="str">
        <f>IFERROR(__xludf.DUMMYFUNCTION("""COMPUTED_VALUE"""),"R-20024-00")</f>
        <v>R-20024-00</v>
      </c>
      <c r="E5526" s="6" t="str">
        <f>IFERROR(__xludf.DUMMYFUNCTION("""COMPUTED_VALUE"""),"Machine Equipment; ; ; - Thermaflex Lem Adhesive Insulasi Pipa AC 1 Liter - Thermaflex Lem Adhesive Insulasi Pipa AC 1 Liter - Thermaflex Lem Adhesive Insulasi Pipa AC 1 Liter - Thermaflex Lem Adhesive Insulasi Pipa AC 1 Liter - Thermaflex")</f>
        <v>Machine Equipment; ; ; - Thermaflex Lem Adhesive Insulasi Pipa AC 1 Liter - Thermaflex Lem Adhesive Insulasi Pipa AC 1 Liter - Thermaflex Lem Adhesive Insulasi Pipa AC 1 Liter - Thermaflex Lem Adhesive Insulasi Pipa AC 1 Liter - Thermaflex</v>
      </c>
      <c r="F5526" s="6">
        <f>IFERROR(__xludf.DUMMYFUNCTION("""COMPUTED_VALUE"""),1.0)</f>
        <v>1</v>
      </c>
      <c r="G5526" s="6" t="str">
        <f>IFERROR(__xludf.DUMMYFUNCTION("""COMPUTED_VALUE"""),"Unit")</f>
        <v>Unit</v>
      </c>
      <c r="H5526" s="6" t="str">
        <f>IFERROR(__xludf.DUMMYFUNCTION("""COMPUTED_VALUE"""),"IDR")</f>
        <v>IDR</v>
      </c>
      <c r="I5526" s="6">
        <f>IFERROR(__xludf.DUMMYFUNCTION("""COMPUTED_VALUE"""),225000.0)</f>
        <v>225000</v>
      </c>
      <c r="J5526" s="6">
        <f>IFERROR(__xludf.DUMMYFUNCTION("""COMPUTED_VALUE"""),225000.0)</f>
        <v>225000</v>
      </c>
      <c r="K5526" s="57">
        <f>IFERROR(__xludf.DUMMYFUNCTION("""COMPUTED_VALUE"""),46304.0)</f>
        <v>46304</v>
      </c>
      <c r="L5526" s="6" t="str">
        <f>IFERROR(__xludf.DUMMYFUNCTION("""COMPUTED_VALUE"""),"FIP General")</f>
        <v>FIP General</v>
      </c>
      <c r="M5526" s="6" t="str">
        <f>IFERROR(__xludf.DUMMYFUNCTION("""COMPUTED_VALUE"""),"Mochammad Fadhillah Hakim,")</f>
        <v>Mochammad Fadhillah Hakim,</v>
      </c>
      <c r="N5526" s="6" t="str">
        <f>IFERROR(__xludf.DUMMYFUNCTION("""COMPUTED_VALUE"""),"FIP Engineering")</f>
        <v>FIP Engineering</v>
      </c>
      <c r="O5526" s="6" t="str">
        <f>IFERROR(__xludf.DUMMYFUNCTION("""COMPUTED_VALUE"""),"FIP-DOM-PRJ-13404-MC26022-INA-000000")</f>
        <v>FIP-DOM-PRJ-13404-MC26022-INA-000000</v>
      </c>
      <c r="P5526" s="6" t="str">
        <f>IFERROR(__xludf.DUMMYFUNCTION("""COMPUTED_VALUE"""),"PO Open")</f>
        <v>PO Open</v>
      </c>
      <c r="Q5526" s="6" t="str">
        <f>IFERROR(__xludf.DUMMYFUNCTION("""COMPUTED_VALUE"""),"GL2609016")</f>
        <v>GL2609016</v>
      </c>
      <c r="R5526" s="57">
        <f>IFERROR(__xludf.DUMMYFUNCTION("""COMPUTED_VALUE"""),46268.0)</f>
        <v>46268</v>
      </c>
      <c r="S5526" s="57">
        <f>IFERROR(__xludf.DUMMYFUNCTION("""COMPUTED_VALUE"""),46268.0)</f>
        <v>46268</v>
      </c>
      <c r="T5526" s="57">
        <f>IFERROR(__xludf.DUMMYFUNCTION("""COMPUTED_VALUE"""),46283.0)</f>
        <v>46283</v>
      </c>
    </row>
    <row r="5527">
      <c r="A5527" s="6" t="str">
        <f>IFERROR(__xludf.DUMMYFUNCTION("""COMPUTED_VALUE"""),"121704596-21")</f>
        <v>121704596-21</v>
      </c>
      <c r="B5527" s="6" t="str">
        <f>IFERROR(__xludf.DUMMYFUNCTION("""COMPUTED_VALUE"""),"121704596 - APPROVED")</f>
        <v>121704596 - APPROVED</v>
      </c>
      <c r="C5527" s="6">
        <f>IFERROR(__xludf.DUMMYFUNCTION("""COMPUTED_VALUE"""),21.0)</f>
        <v>21</v>
      </c>
      <c r="D5527" s="6" t="str">
        <f>IFERROR(__xludf.DUMMYFUNCTION("""COMPUTED_VALUE"""),"R-20024-00")</f>
        <v>R-20024-00</v>
      </c>
      <c r="E5527" s="6" t="str">
        <f>IFERROR(__xludf.DUMMYFUNCTION("""COMPUTED_VALUE"""),"Machine Equipment; ; ; - Tekiro Mata Gergaji besi 12"" - Tekiro Mata Gergaji besi 12"" - Tekiro Mata Gergaji besi 12"" - Tekiro Mata Gergaji besi 12"" - Tekiro Mata Gergaji besi 12"" - Tekiro Mata Gergaji besi 12""")</f>
        <v>Machine Equipment; ; ; - Tekiro Mata Gergaji besi 12" - Tekiro Mata Gergaji besi 12" - Tekiro Mata Gergaji besi 12" - Tekiro Mata Gergaji besi 12" - Tekiro Mata Gergaji besi 12" - Tekiro Mata Gergaji besi 12"</v>
      </c>
      <c r="F5527" s="6">
        <f>IFERROR(__xludf.DUMMYFUNCTION("""COMPUTED_VALUE"""),5.0)</f>
        <v>5</v>
      </c>
      <c r="G5527" s="6" t="str">
        <f>IFERROR(__xludf.DUMMYFUNCTION("""COMPUTED_VALUE"""),"Unit")</f>
        <v>Unit</v>
      </c>
      <c r="H5527" s="6" t="str">
        <f>IFERROR(__xludf.DUMMYFUNCTION("""COMPUTED_VALUE"""),"IDR")</f>
        <v>IDR</v>
      </c>
      <c r="I5527" s="6">
        <f>IFERROR(__xludf.DUMMYFUNCTION("""COMPUTED_VALUE"""),17500.0)</f>
        <v>17500</v>
      </c>
      <c r="J5527" s="6">
        <f>IFERROR(__xludf.DUMMYFUNCTION("""COMPUTED_VALUE"""),87500.0)</f>
        <v>87500</v>
      </c>
      <c r="K5527" s="57">
        <f>IFERROR(__xludf.DUMMYFUNCTION("""COMPUTED_VALUE"""),46304.0)</f>
        <v>46304</v>
      </c>
      <c r="L5527" s="6" t="str">
        <f>IFERROR(__xludf.DUMMYFUNCTION("""COMPUTED_VALUE"""),"FIP General")</f>
        <v>FIP General</v>
      </c>
      <c r="M5527" s="6" t="str">
        <f>IFERROR(__xludf.DUMMYFUNCTION("""COMPUTED_VALUE"""),"Mochammad Fadhillah Hakim,")</f>
        <v>Mochammad Fadhillah Hakim,</v>
      </c>
      <c r="N5527" s="6" t="str">
        <f>IFERROR(__xludf.DUMMYFUNCTION("""COMPUTED_VALUE"""),"FIP Engineering")</f>
        <v>FIP Engineering</v>
      </c>
      <c r="O5527" s="6" t="str">
        <f>IFERROR(__xludf.DUMMYFUNCTION("""COMPUTED_VALUE"""),"FIP-DOM-PRJ-13404-MC26022-INA-000000")</f>
        <v>FIP-DOM-PRJ-13404-MC26022-INA-000000</v>
      </c>
      <c r="P5527" s="6" t="str">
        <f>IFERROR(__xludf.DUMMYFUNCTION("""COMPUTED_VALUE"""),"PO Open")</f>
        <v>PO Open</v>
      </c>
      <c r="Q5527" s="6" t="str">
        <f>IFERROR(__xludf.DUMMYFUNCTION("""COMPUTED_VALUE"""),"GL2609016")</f>
        <v>GL2609016</v>
      </c>
      <c r="R5527" s="57">
        <f>IFERROR(__xludf.DUMMYFUNCTION("""COMPUTED_VALUE"""),46268.0)</f>
        <v>46268</v>
      </c>
      <c r="S5527" s="57">
        <f>IFERROR(__xludf.DUMMYFUNCTION("""COMPUTED_VALUE"""),46268.0)</f>
        <v>46268</v>
      </c>
      <c r="T5527" s="57">
        <f>IFERROR(__xludf.DUMMYFUNCTION("""COMPUTED_VALUE"""),46283.0)</f>
        <v>46283</v>
      </c>
    </row>
    <row r="5528">
      <c r="A5528" s="6" t="str">
        <f>IFERROR(__xludf.DUMMYFUNCTION("""COMPUTED_VALUE"""),"121704596-22")</f>
        <v>121704596-22</v>
      </c>
      <c r="B5528" s="6" t="str">
        <f>IFERROR(__xludf.DUMMYFUNCTION("""COMPUTED_VALUE"""),"121704596 - APPROVED")</f>
        <v>121704596 - APPROVED</v>
      </c>
      <c r="C5528" s="6">
        <f>IFERROR(__xludf.DUMMYFUNCTION("""COMPUTED_VALUE"""),22.0)</f>
        <v>22</v>
      </c>
      <c r="D5528" s="6" t="str">
        <f>IFERROR(__xludf.DUMMYFUNCTION("""COMPUTED_VALUE"""),"R-20024-00")</f>
        <v>R-20024-00</v>
      </c>
      <c r="E5528" s="6" t="str">
        <f>IFERROR(__xludf.DUMMYFUNCTION("""COMPUTED_VALUE"""),"Machine Equipment; ; ; - Kabel UTP 4 Pairs Cat 6 Belden - Kabel UTP 4 Pairs Cat 6 Belden - Kabel UTP 4 Pairs Cat 6 Belden - Kabel UTP 4 Pairs Cat 6 Belden - Kabel UTP 4 Pairs Cat 6 Belden - Kabel UTP 4 Pairs Cat 6 Belden")</f>
        <v>Machine Equipment; ; ; - Kabel UTP 4 Pairs Cat 6 Belden - Kabel UTP 4 Pairs Cat 6 Belden - Kabel UTP 4 Pairs Cat 6 Belden - Kabel UTP 4 Pairs Cat 6 Belden - Kabel UTP 4 Pairs Cat 6 Belden - Kabel UTP 4 Pairs Cat 6 Belden</v>
      </c>
      <c r="F5528" s="6">
        <f>IFERROR(__xludf.DUMMYFUNCTION("""COMPUTED_VALUE"""),610.0)</f>
        <v>610</v>
      </c>
      <c r="G5528" s="6" t="str">
        <f>IFERROR(__xludf.DUMMYFUNCTION("""COMPUTED_VALUE"""),"Unit")</f>
        <v>Unit</v>
      </c>
      <c r="H5528" s="6" t="str">
        <f>IFERROR(__xludf.DUMMYFUNCTION("""COMPUTED_VALUE"""),"IDR")</f>
        <v>IDR</v>
      </c>
      <c r="I5528" s="6">
        <f>IFERROR(__xludf.DUMMYFUNCTION("""COMPUTED_VALUE"""),7704.0)</f>
        <v>7704</v>
      </c>
      <c r="J5528" s="6">
        <f>IFERROR(__xludf.DUMMYFUNCTION("""COMPUTED_VALUE"""),4699440.0)</f>
        <v>4699440</v>
      </c>
      <c r="K5528" s="57">
        <f>IFERROR(__xludf.DUMMYFUNCTION("""COMPUTED_VALUE"""),46304.0)</f>
        <v>46304</v>
      </c>
      <c r="L5528" s="6" t="str">
        <f>IFERROR(__xludf.DUMMYFUNCTION("""COMPUTED_VALUE"""),"FIP General")</f>
        <v>FIP General</v>
      </c>
      <c r="M5528" s="6" t="str">
        <f>IFERROR(__xludf.DUMMYFUNCTION("""COMPUTED_VALUE"""),"Mochammad Fadhillah Hakim,")</f>
        <v>Mochammad Fadhillah Hakim,</v>
      </c>
      <c r="N5528" s="6" t="str">
        <f>IFERROR(__xludf.DUMMYFUNCTION("""COMPUTED_VALUE"""),"FIP Engineering")</f>
        <v>FIP Engineering</v>
      </c>
      <c r="O5528" s="6" t="str">
        <f>IFERROR(__xludf.DUMMYFUNCTION("""COMPUTED_VALUE"""),"FIP-DOM-PRJ-13404-MC26022-INA-000000")</f>
        <v>FIP-DOM-PRJ-13404-MC26022-INA-000000</v>
      </c>
      <c r="P5528" s="6" t="str">
        <f>IFERROR(__xludf.DUMMYFUNCTION("""COMPUTED_VALUE"""),"PO Open")</f>
        <v>PO Open</v>
      </c>
      <c r="Q5528" s="6" t="str">
        <f>IFERROR(__xludf.DUMMYFUNCTION("""COMPUTED_VALUE"""),"GL2609016")</f>
        <v>GL2609016</v>
      </c>
      <c r="R5528" s="57">
        <f>IFERROR(__xludf.DUMMYFUNCTION("""COMPUTED_VALUE"""),46268.0)</f>
        <v>46268</v>
      </c>
      <c r="S5528" s="57">
        <f>IFERROR(__xludf.DUMMYFUNCTION("""COMPUTED_VALUE"""),46268.0)</f>
        <v>46268</v>
      </c>
      <c r="T5528" s="57">
        <f>IFERROR(__xludf.DUMMYFUNCTION("""COMPUTED_VALUE"""),46283.0)</f>
        <v>46283</v>
      </c>
    </row>
    <row r="5529">
      <c r="A5529" s="6" t="str">
        <f>IFERROR(__xludf.DUMMYFUNCTION("""COMPUTED_VALUE"""),"121704599-1")</f>
        <v>121704599-1</v>
      </c>
      <c r="B5529" s="6" t="str">
        <f>IFERROR(__xludf.DUMMYFUNCTION("""COMPUTED_VALUE"""),"121704599 - APPROVED")</f>
        <v>121704599 - APPROVED</v>
      </c>
      <c r="C5529" s="6">
        <f>IFERROR(__xludf.DUMMYFUNCTION("""COMPUTED_VALUE"""),1.0)</f>
        <v>1</v>
      </c>
      <c r="D5529" s="6" t="str">
        <f>IFERROR(__xludf.DUMMYFUNCTION("""COMPUTED_VALUE"""),"O-21750-00")</f>
        <v>O-21750-00</v>
      </c>
      <c r="E5529" s="6" t="str">
        <f>IFERROR(__xludf.DUMMYFUNCTION("""COMPUTED_VALUE"""),"Freeze Dryer MBE1207 - Guide Shelf FD Ukuran 8x11x1174 mm; Custom/Lokal; -; 1 Pc")</f>
        <v>Freeze Dryer MBE1207 - Guide Shelf FD Ukuran 8x11x1174 mm; Custom/Lokal; -; 1 Pc</v>
      </c>
      <c r="F5529" s="6">
        <f>IFERROR(__xludf.DUMMYFUNCTION("""COMPUTED_VALUE"""),1.0)</f>
        <v>1</v>
      </c>
      <c r="G5529" s="6" t="str">
        <f>IFERROR(__xludf.DUMMYFUNCTION("""COMPUTED_VALUE"""),"Pieces")</f>
        <v>Pieces</v>
      </c>
      <c r="H5529" s="6" t="str">
        <f>IFERROR(__xludf.DUMMYFUNCTION("""COMPUTED_VALUE"""),"IDR")</f>
        <v>IDR</v>
      </c>
      <c r="I5529" s="6">
        <f>IFERROR(__xludf.DUMMYFUNCTION("""COMPUTED_VALUE"""),7750000.0)</f>
        <v>7750000</v>
      </c>
      <c r="J5529" s="6">
        <f>IFERROR(__xludf.DUMMYFUNCTION("""COMPUTED_VALUE"""),7750000.0)</f>
        <v>7750000</v>
      </c>
      <c r="K5529" s="57">
        <f>IFERROR(__xludf.DUMMYFUNCTION("""COMPUTED_VALUE"""),46304.0)</f>
        <v>46304</v>
      </c>
      <c r="L5529" s="6" t="str">
        <f>IFERROR(__xludf.DUMMYFUNCTION("""COMPUTED_VALUE"""),"FIP Engineering")</f>
        <v>FIP Engineering</v>
      </c>
      <c r="M5529" s="6" t="str">
        <f>IFERROR(__xludf.DUMMYFUNCTION("""COMPUTED_VALUE"""),"Mochammad Fadhillah Hakim,")</f>
        <v>Mochammad Fadhillah Hakim,</v>
      </c>
      <c r="N5529" s="6" t="str">
        <f>IFERROR(__xludf.DUMMYFUNCTION("""COMPUTED_VALUE"""),"FIP Engineering")</f>
        <v>FIP Engineering</v>
      </c>
      <c r="O5529" s="6" t="str">
        <f>IFERROR(__xludf.DUMMYFUNCTION("""COMPUTED_VALUE"""),"FIP-DOM-000-11304-OS00001-INA-000000")</f>
        <v>FIP-DOM-000-11304-OS00001-INA-000000</v>
      </c>
      <c r="P5529" s="6" t="str">
        <f>IFERROR(__xludf.DUMMYFUNCTION("""COMPUTED_VALUE"""),"PR Open")</f>
        <v>PR Open</v>
      </c>
      <c r="Q5529" s="6"/>
      <c r="R5529" s="57">
        <f>IFERROR(__xludf.DUMMYFUNCTION("""COMPUTED_VALUE"""),46271.0)</f>
        <v>46271</v>
      </c>
      <c r="S5529" s="57">
        <f>IFERROR(__xludf.DUMMYFUNCTION("""COMPUTED_VALUE"""),46274.0)</f>
        <v>46274</v>
      </c>
      <c r="T5529" s="6"/>
    </row>
    <row r="5530">
      <c r="A5530" s="6" t="str">
        <f>IFERROR(__xludf.DUMMYFUNCTION("""COMPUTED_VALUE"""),"121704602-1")</f>
        <v>121704602-1</v>
      </c>
      <c r="B5530" s="6" t="str">
        <f>IFERROR(__xludf.DUMMYFUNCTION("""COMPUTED_VALUE"""),"121704602 - APPROVED")</f>
        <v>121704602 - APPROVED</v>
      </c>
      <c r="C5530" s="6">
        <f>IFERROR(__xludf.DUMMYFUNCTION("""COMPUTED_VALUE"""),1.0)</f>
        <v>1</v>
      </c>
      <c r="D5530" s="6" t="str">
        <f>IFERROR(__xludf.DUMMYFUNCTION("""COMPUTED_VALUE"""),"O-16707-00")</f>
        <v>O-16707-00</v>
      </c>
      <c r="E5530" s="6" t="str">
        <f>IFERROR(__xludf.DUMMYFUNCTION("""COMPUTED_VALUE"""),"General - Timing Belt 16 mm; Optibelt; AT5-340-16mm; 1 Pc")</f>
        <v>General - Timing Belt 16 mm; Optibelt; AT5-340-16mm; 1 Pc</v>
      </c>
      <c r="F5530" s="6">
        <f>IFERROR(__xludf.DUMMYFUNCTION("""COMPUTED_VALUE"""),1.0)</f>
        <v>1</v>
      </c>
      <c r="G5530" s="6" t="str">
        <f>IFERROR(__xludf.DUMMYFUNCTION("""COMPUTED_VALUE"""),"Unit")</f>
        <v>Unit</v>
      </c>
      <c r="H5530" s="6" t="str">
        <f>IFERROR(__xludf.DUMMYFUNCTION("""COMPUTED_VALUE"""),"IDR")</f>
        <v>IDR</v>
      </c>
      <c r="I5530" s="6">
        <f>IFERROR(__xludf.DUMMYFUNCTION("""COMPUTED_VALUE"""),152500.0)</f>
        <v>152500</v>
      </c>
      <c r="J5530" s="6">
        <f>IFERROR(__xludf.DUMMYFUNCTION("""COMPUTED_VALUE"""),152500.0)</f>
        <v>152500</v>
      </c>
      <c r="K5530" s="57">
        <f>IFERROR(__xludf.DUMMYFUNCTION("""COMPUTED_VALUE"""),46304.0)</f>
        <v>46304</v>
      </c>
      <c r="L5530" s="6" t="str">
        <f>IFERROR(__xludf.DUMMYFUNCTION("""COMPUTED_VALUE"""),"FIP Engineering")</f>
        <v>FIP Engineering</v>
      </c>
      <c r="M5530" s="6" t="str">
        <f>IFERROR(__xludf.DUMMYFUNCTION("""COMPUTED_VALUE"""),"Mochammad Fadhillah Hakim,")</f>
        <v>Mochammad Fadhillah Hakim,</v>
      </c>
      <c r="N5530" s="6" t="str">
        <f>IFERROR(__xludf.DUMMYFUNCTION("""COMPUTED_VALUE"""),"FIP Engineering")</f>
        <v>FIP Engineering</v>
      </c>
      <c r="O5530" s="6" t="str">
        <f>IFERROR(__xludf.DUMMYFUNCTION("""COMPUTED_VALUE"""),"FIP-DOM-000-11304-OS00001-INA-000000")</f>
        <v>FIP-DOM-000-11304-OS00001-INA-000000</v>
      </c>
      <c r="P5530" s="6" t="str">
        <f>IFERROR(__xludf.DUMMYFUNCTION("""COMPUTED_VALUE"""),"PR Open")</f>
        <v>PR Open</v>
      </c>
      <c r="Q5530" s="6"/>
      <c r="R5530" s="57">
        <f>IFERROR(__xludf.DUMMYFUNCTION("""COMPUTED_VALUE"""),46271.0)</f>
        <v>46271</v>
      </c>
      <c r="S5530" s="57">
        <f>IFERROR(__xludf.DUMMYFUNCTION("""COMPUTED_VALUE"""),46274.0)</f>
        <v>46274</v>
      </c>
      <c r="T5530" s="6"/>
    </row>
    <row r="5531">
      <c r="A5531" s="6" t="str">
        <f>IFERROR(__xludf.DUMMYFUNCTION("""COMPUTED_VALUE"""),"121704603-1")</f>
        <v>121704603-1</v>
      </c>
      <c r="B5531" s="6" t="str">
        <f>IFERROR(__xludf.DUMMYFUNCTION("""COMPUTED_VALUE"""),"121704603 - APPROVED")</f>
        <v>121704603 - APPROVED</v>
      </c>
      <c r="C5531" s="6">
        <f>IFERROR(__xludf.DUMMYFUNCTION("""COMPUTED_VALUE"""),1.0)</f>
        <v>1</v>
      </c>
      <c r="D5531" s="6" t="str">
        <f>IFERROR(__xludf.DUMMYFUNCTION("""COMPUTED_VALUE"""),"P-54733-00")</f>
        <v>P-54733-00</v>
      </c>
      <c r="E5531" s="6" t="str">
        <f>IFERROR(__xludf.DUMMYFUNCTION("""COMPUTED_VALUE"""),"General - Solenoid Valve 24VDC 120PSI 4W; MAC; 34C-L00-GDF0-1DJ; 1 pc")</f>
        <v>General - Solenoid Valve 24VDC 120PSI 4W; MAC; 34C-L00-GDF0-1DJ; 1 pc</v>
      </c>
      <c r="F5531" s="6">
        <f>IFERROR(__xludf.DUMMYFUNCTION("""COMPUTED_VALUE"""),5.0)</f>
        <v>5</v>
      </c>
      <c r="G5531" s="6" t="str">
        <f>IFERROR(__xludf.DUMMYFUNCTION("""COMPUTED_VALUE"""),"Pieces")</f>
        <v>Pieces</v>
      </c>
      <c r="H5531" s="6" t="str">
        <f>IFERROR(__xludf.DUMMYFUNCTION("""COMPUTED_VALUE"""),"IDR")</f>
        <v>IDR</v>
      </c>
      <c r="I5531" s="6">
        <f>IFERROR(__xludf.DUMMYFUNCTION("""COMPUTED_VALUE"""),5660000.0)</f>
        <v>5660000</v>
      </c>
      <c r="J5531" s="6">
        <f>IFERROR(__xludf.DUMMYFUNCTION("""COMPUTED_VALUE"""),2.83E7)</f>
        <v>28300000</v>
      </c>
      <c r="K5531" s="57">
        <f>IFERROR(__xludf.DUMMYFUNCTION("""COMPUTED_VALUE"""),46304.0)</f>
        <v>46304</v>
      </c>
      <c r="L5531" s="6" t="str">
        <f>IFERROR(__xludf.DUMMYFUNCTION("""COMPUTED_VALUE"""),"FIP Engineering")</f>
        <v>FIP Engineering</v>
      </c>
      <c r="M5531" s="6" t="str">
        <f>IFERROR(__xludf.DUMMYFUNCTION("""COMPUTED_VALUE"""),"Mochammad Fadhillah Hakim,")</f>
        <v>Mochammad Fadhillah Hakim,</v>
      </c>
      <c r="N5531" s="6" t="str">
        <f>IFERROR(__xludf.DUMMYFUNCTION("""COMPUTED_VALUE"""),"FIP Engineering")</f>
        <v>FIP Engineering</v>
      </c>
      <c r="O5531" s="6" t="str">
        <f>IFERROR(__xludf.DUMMYFUNCTION("""COMPUTED_VALUE"""),"FIP-DOM-000-11304-OS00001-INA-000000")</f>
        <v>FIP-DOM-000-11304-OS00001-INA-000000</v>
      </c>
      <c r="P5531" s="6" t="str">
        <f>IFERROR(__xludf.DUMMYFUNCTION("""COMPUTED_VALUE"""),"PR Open")</f>
        <v>PR Open</v>
      </c>
      <c r="Q5531" s="6"/>
      <c r="R5531" s="57">
        <f>IFERROR(__xludf.DUMMYFUNCTION("""COMPUTED_VALUE"""),46271.0)</f>
        <v>46271</v>
      </c>
      <c r="S5531" s="57">
        <f>IFERROR(__xludf.DUMMYFUNCTION("""COMPUTED_VALUE"""),46274.0)</f>
        <v>46274</v>
      </c>
      <c r="T5531" s="6"/>
    </row>
    <row r="5532">
      <c r="A5532" s="6" t="str">
        <f>IFERROR(__xludf.DUMMYFUNCTION("""COMPUTED_VALUE"""),"121704606-1")</f>
        <v>121704606-1</v>
      </c>
      <c r="B5532" s="6" t="str">
        <f>IFERROR(__xludf.DUMMYFUNCTION("""COMPUTED_VALUE"""),"121704606 - APPROVED")</f>
        <v>121704606 - APPROVED</v>
      </c>
      <c r="C5532" s="6">
        <f>IFERROR(__xludf.DUMMYFUNCTION("""COMPUTED_VALUE"""),1.0)</f>
        <v>1</v>
      </c>
      <c r="D5532" s="6" t="str">
        <f>IFERROR(__xludf.DUMMYFUNCTION("""COMPUTED_VALUE"""),"P-11430-00")</f>
        <v>P-11430-00</v>
      </c>
      <c r="E5532" s="6" t="str">
        <f>IFERROR(__xludf.DUMMYFUNCTION("""COMPUTED_VALUE"""),"Selang Festo Pun-H-8x1.25 mm Bening")</f>
        <v>Selang Festo Pun-H-8x1.25 mm Bening</v>
      </c>
      <c r="F5532" s="6">
        <f>IFERROR(__xludf.DUMMYFUNCTION("""COMPUTED_VALUE"""),100.0)</f>
        <v>100</v>
      </c>
      <c r="G5532" s="6" t="str">
        <f>IFERROR(__xludf.DUMMYFUNCTION("""COMPUTED_VALUE"""),"Meter")</f>
        <v>Meter</v>
      </c>
      <c r="H5532" s="6" t="str">
        <f>IFERROR(__xludf.DUMMYFUNCTION("""COMPUTED_VALUE"""),"IDR")</f>
        <v>IDR</v>
      </c>
      <c r="I5532" s="6">
        <f>IFERROR(__xludf.DUMMYFUNCTION("""COMPUTED_VALUE"""),24000.0)</f>
        <v>24000</v>
      </c>
      <c r="J5532" s="6">
        <f>IFERROR(__xludf.DUMMYFUNCTION("""COMPUTED_VALUE"""),2400000.0)</f>
        <v>2400000</v>
      </c>
      <c r="K5532" s="57">
        <f>IFERROR(__xludf.DUMMYFUNCTION("""COMPUTED_VALUE"""),46304.0)</f>
        <v>46304</v>
      </c>
      <c r="L5532" s="6" t="str">
        <f>IFERROR(__xludf.DUMMYFUNCTION("""COMPUTED_VALUE"""),"FIP Engineering")</f>
        <v>FIP Engineering</v>
      </c>
      <c r="M5532" s="6" t="str">
        <f>IFERROR(__xludf.DUMMYFUNCTION("""COMPUTED_VALUE"""),"Mochammad Fadhillah Hakim,")</f>
        <v>Mochammad Fadhillah Hakim,</v>
      </c>
      <c r="N5532" s="6" t="str">
        <f>IFERROR(__xludf.DUMMYFUNCTION("""COMPUTED_VALUE"""),"FIP Engineering")</f>
        <v>FIP Engineering</v>
      </c>
      <c r="O5532" s="6" t="str">
        <f>IFERROR(__xludf.DUMMYFUNCTION("""COMPUTED_VALUE"""),"FIP-DOM-000-11304-OS00001-INA-000000")</f>
        <v>FIP-DOM-000-11304-OS00001-INA-000000</v>
      </c>
      <c r="P5532" s="6" t="str">
        <f>IFERROR(__xludf.DUMMYFUNCTION("""COMPUTED_VALUE"""),"PR Open")</f>
        <v>PR Open</v>
      </c>
      <c r="Q5532" s="6"/>
      <c r="R5532" s="57">
        <f>IFERROR(__xludf.DUMMYFUNCTION("""COMPUTED_VALUE"""),46271.0)</f>
        <v>46271</v>
      </c>
      <c r="S5532" s="57">
        <f>IFERROR(__xludf.DUMMYFUNCTION("""COMPUTED_VALUE"""),46274.0)</f>
        <v>46274</v>
      </c>
      <c r="T5532" s="6"/>
    </row>
    <row r="5533">
      <c r="A5533" s="6" t="str">
        <f>IFERROR(__xludf.DUMMYFUNCTION("""COMPUTED_VALUE"""),"121704607-1")</f>
        <v>121704607-1</v>
      </c>
      <c r="B5533" s="6" t="str">
        <f>IFERROR(__xludf.DUMMYFUNCTION("""COMPUTED_VALUE"""),"121704607 - APPROVED")</f>
        <v>121704607 - APPROVED</v>
      </c>
      <c r="C5533" s="6">
        <f>IFERROR(__xludf.DUMMYFUNCTION("""COMPUTED_VALUE"""),1.0)</f>
        <v>1</v>
      </c>
      <c r="D5533" s="6" t="str">
        <f>IFERROR(__xludf.DUMMYFUNCTION("""COMPUTED_VALUE"""),"P-52711-00")</f>
        <v>P-52711-00</v>
      </c>
      <c r="E5533" s="6" t="str">
        <f>IFERROR(__xludf.DUMMYFUNCTION("""COMPUTED_VALUE"""),"General - Accu NS70, Baterai Kering, 12 V, 65 Ah; GS Astra; -; 1 pcs")</f>
        <v>General - Accu NS70, Baterai Kering, 12 V, 65 Ah; GS Astra; -; 1 pcs</v>
      </c>
      <c r="F5533" s="6">
        <f>IFERROR(__xludf.DUMMYFUNCTION("""COMPUTED_VALUE"""),3.0)</f>
        <v>3</v>
      </c>
      <c r="G5533" s="6" t="str">
        <f>IFERROR(__xludf.DUMMYFUNCTION("""COMPUTED_VALUE"""),"Pieces")</f>
        <v>Pieces</v>
      </c>
      <c r="H5533" s="6" t="str">
        <f>IFERROR(__xludf.DUMMYFUNCTION("""COMPUTED_VALUE"""),"IDR")</f>
        <v>IDR</v>
      </c>
      <c r="I5533" s="6">
        <f>IFERROR(__xludf.DUMMYFUNCTION("""COMPUTED_VALUE"""),1550000.0)</f>
        <v>1550000</v>
      </c>
      <c r="J5533" s="6">
        <f>IFERROR(__xludf.DUMMYFUNCTION("""COMPUTED_VALUE"""),4650000.0)</f>
        <v>4650000</v>
      </c>
      <c r="K5533" s="57">
        <f>IFERROR(__xludf.DUMMYFUNCTION("""COMPUTED_VALUE"""),46304.0)</f>
        <v>46304</v>
      </c>
      <c r="L5533" s="6" t="str">
        <f>IFERROR(__xludf.DUMMYFUNCTION("""COMPUTED_VALUE"""),"FIP Engineering")</f>
        <v>FIP Engineering</v>
      </c>
      <c r="M5533" s="6" t="str">
        <f>IFERROR(__xludf.DUMMYFUNCTION("""COMPUTED_VALUE"""),"Mochammad Fadhillah Hakim,")</f>
        <v>Mochammad Fadhillah Hakim,</v>
      </c>
      <c r="N5533" s="6" t="str">
        <f>IFERROR(__xludf.DUMMYFUNCTION("""COMPUTED_VALUE"""),"FIP Engineering")</f>
        <v>FIP Engineering</v>
      </c>
      <c r="O5533" s="6" t="str">
        <f>IFERROR(__xludf.DUMMYFUNCTION("""COMPUTED_VALUE"""),"FIP-DOM-000-11304-OS00001-INA-000000")</f>
        <v>FIP-DOM-000-11304-OS00001-INA-000000</v>
      </c>
      <c r="P5533" s="6" t="str">
        <f>IFERROR(__xludf.DUMMYFUNCTION("""COMPUTED_VALUE"""),"PR Open")</f>
        <v>PR Open</v>
      </c>
      <c r="Q5533" s="6"/>
      <c r="R5533" s="57">
        <f>IFERROR(__xludf.DUMMYFUNCTION("""COMPUTED_VALUE"""),46271.0)</f>
        <v>46271</v>
      </c>
      <c r="S5533" s="57">
        <f>IFERROR(__xludf.DUMMYFUNCTION("""COMPUTED_VALUE"""),46274.0)</f>
        <v>46274</v>
      </c>
      <c r="T5533" s="6"/>
    </row>
    <row r="5534">
      <c r="A5534" s="6" t="str">
        <f>IFERROR(__xludf.DUMMYFUNCTION("""COMPUTED_VALUE"""),"121704607-2")</f>
        <v>121704607-2</v>
      </c>
      <c r="B5534" s="6" t="str">
        <f>IFERROR(__xludf.DUMMYFUNCTION("""COMPUTED_VALUE"""),"121704607 - APPROVED")</f>
        <v>121704607 - APPROVED</v>
      </c>
      <c r="C5534" s="6">
        <f>IFERROR(__xludf.DUMMYFUNCTION("""COMPUTED_VALUE"""),2.0)</f>
        <v>2</v>
      </c>
      <c r="D5534" s="6" t="str">
        <f>IFERROR(__xludf.DUMMYFUNCTION("""COMPUTED_VALUE"""),"P-53216-00")</f>
        <v>P-53216-00</v>
      </c>
      <c r="E5534" s="6" t="str">
        <f>IFERROR(__xludf.DUMMYFUNCTION("""COMPUTED_VALUE"""),"Silicon Lembaran, tebal 3 mm, size: 1 meter X 1 meter; ; ;")</f>
        <v>Silicon Lembaran, tebal 3 mm, size: 1 meter X 1 meter; ; ;</v>
      </c>
      <c r="F5534" s="6">
        <f>IFERROR(__xludf.DUMMYFUNCTION("""COMPUTED_VALUE"""),1.0)</f>
        <v>1</v>
      </c>
      <c r="G5534" s="6" t="str">
        <f>IFERROR(__xludf.DUMMYFUNCTION("""COMPUTED_VALUE"""),"Pieces")</f>
        <v>Pieces</v>
      </c>
      <c r="H5534" s="6" t="str">
        <f>IFERROR(__xludf.DUMMYFUNCTION("""COMPUTED_VALUE"""),"IDR")</f>
        <v>IDR</v>
      </c>
      <c r="I5534" s="6">
        <f>IFERROR(__xludf.DUMMYFUNCTION("""COMPUTED_VALUE"""),550000.0)</f>
        <v>550000</v>
      </c>
      <c r="J5534" s="6">
        <f>IFERROR(__xludf.DUMMYFUNCTION("""COMPUTED_VALUE"""),550000.0)</f>
        <v>550000</v>
      </c>
      <c r="K5534" s="57">
        <f>IFERROR(__xludf.DUMMYFUNCTION("""COMPUTED_VALUE"""),46304.0)</f>
        <v>46304</v>
      </c>
      <c r="L5534" s="6" t="str">
        <f>IFERROR(__xludf.DUMMYFUNCTION("""COMPUTED_VALUE"""),"FIP Engineering")</f>
        <v>FIP Engineering</v>
      </c>
      <c r="M5534" s="6" t="str">
        <f>IFERROR(__xludf.DUMMYFUNCTION("""COMPUTED_VALUE"""),"Mochammad Fadhillah Hakim,")</f>
        <v>Mochammad Fadhillah Hakim,</v>
      </c>
      <c r="N5534" s="6" t="str">
        <f>IFERROR(__xludf.DUMMYFUNCTION("""COMPUTED_VALUE"""),"FIP Engineering")</f>
        <v>FIP Engineering</v>
      </c>
      <c r="O5534" s="6" t="str">
        <f>IFERROR(__xludf.DUMMYFUNCTION("""COMPUTED_VALUE"""),"FIP-DOM-000-11304-OS00001-INA-000000")</f>
        <v>FIP-DOM-000-11304-OS00001-INA-000000</v>
      </c>
      <c r="P5534" s="6" t="str">
        <f>IFERROR(__xludf.DUMMYFUNCTION("""COMPUTED_VALUE"""),"PR Open")</f>
        <v>PR Open</v>
      </c>
      <c r="Q5534" s="6"/>
      <c r="R5534" s="57">
        <f>IFERROR(__xludf.DUMMYFUNCTION("""COMPUTED_VALUE"""),46271.0)</f>
        <v>46271</v>
      </c>
      <c r="S5534" s="57">
        <f>IFERROR(__xludf.DUMMYFUNCTION("""COMPUTED_VALUE"""),46274.0)</f>
        <v>46274</v>
      </c>
      <c r="T5534" s="6"/>
    </row>
    <row r="5535">
      <c r="A5535" s="6" t="str">
        <f>IFERROR(__xludf.DUMMYFUNCTION("""COMPUTED_VALUE"""),"121704608-1")</f>
        <v>121704608-1</v>
      </c>
      <c r="B5535" s="6" t="str">
        <f>IFERROR(__xludf.DUMMYFUNCTION("""COMPUTED_VALUE"""),"121704608 - APPROVED")</f>
        <v>121704608 - APPROVED</v>
      </c>
      <c r="C5535" s="6">
        <f>IFERROR(__xludf.DUMMYFUNCTION("""COMPUTED_VALUE"""),1.0)</f>
        <v>1</v>
      </c>
      <c r="D5535" s="6" t="str">
        <f>IFERROR(__xludf.DUMMYFUNCTION("""COMPUTED_VALUE"""),"O-20557-00")</f>
        <v>O-20557-00</v>
      </c>
      <c r="E5535" s="6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F5535" s="6">
        <f>IFERROR(__xludf.DUMMYFUNCTION("""COMPUTED_VALUE"""),5.0)</f>
        <v>5</v>
      </c>
      <c r="G5535" s="6" t="str">
        <f>IFERROR(__xludf.DUMMYFUNCTION("""COMPUTED_VALUE"""),"Pieces")</f>
        <v>Pieces</v>
      </c>
      <c r="H5535" s="6" t="str">
        <f>IFERROR(__xludf.DUMMYFUNCTION("""COMPUTED_VALUE"""),"IDR")</f>
        <v>IDR</v>
      </c>
      <c r="I5535" s="6">
        <f>IFERROR(__xludf.DUMMYFUNCTION("""COMPUTED_VALUE"""),6572732.0)</f>
        <v>6572732</v>
      </c>
      <c r="J5535" s="6">
        <f>IFERROR(__xludf.DUMMYFUNCTION("""COMPUTED_VALUE"""),3.286366E7)</f>
        <v>32863660</v>
      </c>
      <c r="K5535" s="57">
        <f>IFERROR(__xludf.DUMMYFUNCTION("""COMPUTED_VALUE"""),46304.0)</f>
        <v>46304</v>
      </c>
      <c r="L5535" s="6" t="str">
        <f>IFERROR(__xludf.DUMMYFUNCTION("""COMPUTED_VALUE"""),"FIP Engineering")</f>
        <v>FIP Engineering</v>
      </c>
      <c r="M5535" s="6" t="str">
        <f>IFERROR(__xludf.DUMMYFUNCTION("""COMPUTED_VALUE"""),"Mochammad Fadhillah Hakim,")</f>
        <v>Mochammad Fadhillah Hakim,</v>
      </c>
      <c r="N5535" s="6" t="str">
        <f>IFERROR(__xludf.DUMMYFUNCTION("""COMPUTED_VALUE"""),"FIP Engineering")</f>
        <v>FIP Engineering</v>
      </c>
      <c r="O5535" s="6" t="str">
        <f>IFERROR(__xludf.DUMMYFUNCTION("""COMPUTED_VALUE"""),"FIP-DOM-000-11304-OS00001-INA-000000")</f>
        <v>FIP-DOM-000-11304-OS00001-INA-000000</v>
      </c>
      <c r="P5535" s="6" t="str">
        <f>IFERROR(__xludf.DUMMYFUNCTION("""COMPUTED_VALUE"""),"PR Open")</f>
        <v>PR Open</v>
      </c>
      <c r="Q5535" s="6"/>
      <c r="R5535" s="57">
        <f>IFERROR(__xludf.DUMMYFUNCTION("""COMPUTED_VALUE"""),46271.0)</f>
        <v>46271</v>
      </c>
      <c r="S5535" s="57">
        <f>IFERROR(__xludf.DUMMYFUNCTION("""COMPUTED_VALUE"""),46274.0)</f>
        <v>46274</v>
      </c>
      <c r="T5535" s="6"/>
    </row>
    <row r="5536">
      <c r="A5536" s="6" t="str">
        <f>IFERROR(__xludf.DUMMYFUNCTION("""COMPUTED_VALUE"""),"121704608-2")</f>
        <v>121704608-2</v>
      </c>
      <c r="B5536" s="6" t="str">
        <f>IFERROR(__xludf.DUMMYFUNCTION("""COMPUTED_VALUE"""),"121704608 - APPROVED")</f>
        <v>121704608 - APPROVED</v>
      </c>
      <c r="C5536" s="6">
        <f>IFERROR(__xludf.DUMMYFUNCTION("""COMPUTED_VALUE"""),2.0)</f>
        <v>2</v>
      </c>
      <c r="D5536" s="6" t="str">
        <f>IFERROR(__xludf.DUMMYFUNCTION("""COMPUTED_VALUE"""),"P-12695-00")</f>
        <v>P-12695-00</v>
      </c>
      <c r="E5536" s="6" t="str">
        <f>IFERROR(__xludf.DUMMYFUNCTION("""COMPUTED_VALUE"""),"PC 4200/IMA C90 - Draw in-roller Cpl; GUK; 21401-0007; 1 pcs")</f>
        <v>PC 4200/IMA C90 - Draw in-roller Cpl; GUK; 21401-0007; 1 pcs</v>
      </c>
      <c r="F5536" s="6">
        <f>IFERROR(__xludf.DUMMYFUNCTION("""COMPUTED_VALUE"""),3.0)</f>
        <v>3</v>
      </c>
      <c r="G5536" s="6" t="str">
        <f>IFERROR(__xludf.DUMMYFUNCTION("""COMPUTED_VALUE"""),"Pieces")</f>
        <v>Pieces</v>
      </c>
      <c r="H5536" s="6" t="str">
        <f>IFERROR(__xludf.DUMMYFUNCTION("""COMPUTED_VALUE"""),"IDR")</f>
        <v>IDR</v>
      </c>
      <c r="I5536" s="6">
        <f>IFERROR(__xludf.DUMMYFUNCTION("""COMPUTED_VALUE"""),6347498.0)</f>
        <v>6347498</v>
      </c>
      <c r="J5536" s="6">
        <f>IFERROR(__xludf.DUMMYFUNCTION("""COMPUTED_VALUE"""),1.9042494E7)</f>
        <v>19042494</v>
      </c>
      <c r="K5536" s="57">
        <f>IFERROR(__xludf.DUMMYFUNCTION("""COMPUTED_VALUE"""),46304.0)</f>
        <v>46304</v>
      </c>
      <c r="L5536" s="6" t="str">
        <f>IFERROR(__xludf.DUMMYFUNCTION("""COMPUTED_VALUE"""),"FIP Engineering")</f>
        <v>FIP Engineering</v>
      </c>
      <c r="M5536" s="6" t="str">
        <f>IFERROR(__xludf.DUMMYFUNCTION("""COMPUTED_VALUE"""),"Mochammad Fadhillah Hakim,")</f>
        <v>Mochammad Fadhillah Hakim,</v>
      </c>
      <c r="N5536" s="6" t="str">
        <f>IFERROR(__xludf.DUMMYFUNCTION("""COMPUTED_VALUE"""),"FIP Engineering")</f>
        <v>FIP Engineering</v>
      </c>
      <c r="O5536" s="6" t="str">
        <f>IFERROR(__xludf.DUMMYFUNCTION("""COMPUTED_VALUE"""),"FIP-DOM-000-11304-OS00001-INA-000000")</f>
        <v>FIP-DOM-000-11304-OS00001-INA-000000</v>
      </c>
      <c r="P5536" s="6" t="str">
        <f>IFERROR(__xludf.DUMMYFUNCTION("""COMPUTED_VALUE"""),"PR Open")</f>
        <v>PR Open</v>
      </c>
      <c r="Q5536" s="6"/>
      <c r="R5536" s="57">
        <f>IFERROR(__xludf.DUMMYFUNCTION("""COMPUTED_VALUE"""),46271.0)</f>
        <v>46271</v>
      </c>
      <c r="S5536" s="57">
        <f>IFERROR(__xludf.DUMMYFUNCTION("""COMPUTED_VALUE"""),46274.0)</f>
        <v>46274</v>
      </c>
      <c r="T5536" s="6"/>
    </row>
    <row r="5537">
      <c r="A5537" s="6" t="str">
        <f>IFERROR(__xludf.DUMMYFUNCTION("""COMPUTED_VALUE"""),"121704609-1")</f>
        <v>121704609-1</v>
      </c>
      <c r="B5537" s="6" t="str">
        <f>IFERROR(__xludf.DUMMYFUNCTION("""COMPUTED_VALUE"""),"121704609 - APPROVED")</f>
        <v>121704609 - APPROVED</v>
      </c>
      <c r="C5537" s="6">
        <f>IFERROR(__xludf.DUMMYFUNCTION("""COMPUTED_VALUE"""),1.0)</f>
        <v>1</v>
      </c>
      <c r="D5537" s="6" t="str">
        <f>IFERROR(__xludf.DUMMYFUNCTION("""COMPUTED_VALUE"""),"O-53670-00")</f>
        <v>O-53670-00</v>
      </c>
      <c r="E5537" s="6" t="str">
        <f>IFERROR(__xludf.DUMMYFUNCTION("""COMPUTED_VALUE"""),"Washing RAR4 - Sensor Proximity BNS260-11Z-ST-R; Schmersal; 101184363; 1 Pc")</f>
        <v>Washing RAR4 - Sensor Proximity BNS260-11Z-ST-R; Schmersal; 101184363; 1 Pc</v>
      </c>
      <c r="F5537" s="6">
        <f>IFERROR(__xludf.DUMMYFUNCTION("""COMPUTED_VALUE"""),2.0)</f>
        <v>2</v>
      </c>
      <c r="G5537" s="6" t="str">
        <f>IFERROR(__xludf.DUMMYFUNCTION("""COMPUTED_VALUE"""),"Pieces")</f>
        <v>Pieces</v>
      </c>
      <c r="H5537" s="6" t="str">
        <f>IFERROR(__xludf.DUMMYFUNCTION("""COMPUTED_VALUE"""),"IDR")</f>
        <v>IDR</v>
      </c>
      <c r="I5537" s="6">
        <f>IFERROR(__xludf.DUMMYFUNCTION("""COMPUTED_VALUE"""),1459890.0)</f>
        <v>1459890</v>
      </c>
      <c r="J5537" s="6">
        <f>IFERROR(__xludf.DUMMYFUNCTION("""COMPUTED_VALUE"""),2919780.0)</f>
        <v>2919780</v>
      </c>
      <c r="K5537" s="57">
        <f>IFERROR(__xludf.DUMMYFUNCTION("""COMPUTED_VALUE"""),46332.0)</f>
        <v>46332</v>
      </c>
      <c r="L5537" s="6" t="str">
        <f>IFERROR(__xludf.DUMMYFUNCTION("""COMPUTED_VALUE"""),"FIP Engineering")</f>
        <v>FIP Engineering</v>
      </c>
      <c r="M5537" s="6" t="str">
        <f>IFERROR(__xludf.DUMMYFUNCTION("""COMPUTED_VALUE"""),"Mochammad Fadhillah Hakim,")</f>
        <v>Mochammad Fadhillah Hakim,</v>
      </c>
      <c r="N5537" s="6" t="str">
        <f>IFERROR(__xludf.DUMMYFUNCTION("""COMPUTED_VALUE"""),"FIP Engineering")</f>
        <v>FIP Engineering</v>
      </c>
      <c r="O5537" s="6" t="str">
        <f>IFERROR(__xludf.DUMMYFUNCTION("""COMPUTED_VALUE"""),"FIP-DOM-000-11304-OS00001-INA-000000")</f>
        <v>FIP-DOM-000-11304-OS00001-INA-000000</v>
      </c>
      <c r="P5537" s="6" t="str">
        <f>IFERROR(__xludf.DUMMYFUNCTION("""COMPUTED_VALUE"""),"PR Open")</f>
        <v>PR Open</v>
      </c>
      <c r="Q5537" s="6"/>
      <c r="R5537" s="57">
        <f>IFERROR(__xludf.DUMMYFUNCTION("""COMPUTED_VALUE"""),46271.0)</f>
        <v>46271</v>
      </c>
      <c r="S5537" s="57">
        <f>IFERROR(__xludf.DUMMYFUNCTION("""COMPUTED_VALUE"""),46276.0)</f>
        <v>46276</v>
      </c>
      <c r="T5537" s="6"/>
    </row>
    <row r="5538">
      <c r="A5538" s="6" t="str">
        <f>IFERROR(__xludf.DUMMYFUNCTION("""COMPUTED_VALUE"""),"121704609-2")</f>
        <v>121704609-2</v>
      </c>
      <c r="B5538" s="6" t="str">
        <f>IFERROR(__xludf.DUMMYFUNCTION("""COMPUTED_VALUE"""),"121704609 - APPROVED")</f>
        <v>121704609 - APPROVED</v>
      </c>
      <c r="C5538" s="6">
        <f>IFERROR(__xludf.DUMMYFUNCTION("""COMPUTED_VALUE"""),2.0)</f>
        <v>2</v>
      </c>
      <c r="D5538" s="6" t="str">
        <f>IFERROR(__xludf.DUMMYFUNCTION("""COMPUTED_VALUE"""),"O-53671-00")</f>
        <v>O-53671-00</v>
      </c>
      <c r="E5538" s="6" t="str">
        <f>IFERROR(__xludf.DUMMYFUNCTION("""COMPUTED_VALUE"""),"Washing RAR4 - Sensor Proximity BNS260-11Z-ST-L; Schmersal; 101184379; 1 Pc")</f>
        <v>Washing RAR4 - Sensor Proximity BNS260-11Z-ST-L; Schmersal; 101184379; 1 Pc</v>
      </c>
      <c r="F5538" s="6">
        <f>IFERROR(__xludf.DUMMYFUNCTION("""COMPUTED_VALUE"""),2.0)</f>
        <v>2</v>
      </c>
      <c r="G5538" s="6" t="str">
        <f>IFERROR(__xludf.DUMMYFUNCTION("""COMPUTED_VALUE"""),"Pieces")</f>
        <v>Pieces</v>
      </c>
      <c r="H5538" s="6" t="str">
        <f>IFERROR(__xludf.DUMMYFUNCTION("""COMPUTED_VALUE"""),"IDR")</f>
        <v>IDR</v>
      </c>
      <c r="I5538" s="6">
        <f>IFERROR(__xludf.DUMMYFUNCTION("""COMPUTED_VALUE"""),1426710.0)</f>
        <v>1426710</v>
      </c>
      <c r="J5538" s="6">
        <f>IFERROR(__xludf.DUMMYFUNCTION("""COMPUTED_VALUE"""),2853420.0)</f>
        <v>2853420</v>
      </c>
      <c r="K5538" s="57">
        <f>IFERROR(__xludf.DUMMYFUNCTION("""COMPUTED_VALUE"""),46332.0)</f>
        <v>46332</v>
      </c>
      <c r="L5538" s="6" t="str">
        <f>IFERROR(__xludf.DUMMYFUNCTION("""COMPUTED_VALUE"""),"FIP Engineering")</f>
        <v>FIP Engineering</v>
      </c>
      <c r="M5538" s="6" t="str">
        <f>IFERROR(__xludf.DUMMYFUNCTION("""COMPUTED_VALUE"""),"Mochammad Fadhillah Hakim,")</f>
        <v>Mochammad Fadhillah Hakim,</v>
      </c>
      <c r="N5538" s="6" t="str">
        <f>IFERROR(__xludf.DUMMYFUNCTION("""COMPUTED_VALUE"""),"FIP Engineering")</f>
        <v>FIP Engineering</v>
      </c>
      <c r="O5538" s="6" t="str">
        <f>IFERROR(__xludf.DUMMYFUNCTION("""COMPUTED_VALUE"""),"FIP-DOM-000-11304-OS00001-INA-000000")</f>
        <v>FIP-DOM-000-11304-OS00001-INA-000000</v>
      </c>
      <c r="P5538" s="6" t="str">
        <f>IFERROR(__xludf.DUMMYFUNCTION("""COMPUTED_VALUE"""),"PR Open")</f>
        <v>PR Open</v>
      </c>
      <c r="Q5538" s="6"/>
      <c r="R5538" s="57">
        <f>IFERROR(__xludf.DUMMYFUNCTION("""COMPUTED_VALUE"""),46271.0)</f>
        <v>46271</v>
      </c>
      <c r="S5538" s="57">
        <f>IFERROR(__xludf.DUMMYFUNCTION("""COMPUTED_VALUE"""),46276.0)</f>
        <v>46276</v>
      </c>
      <c r="T5538" s="6"/>
    </row>
    <row r="5539">
      <c r="A5539" s="6" t="str">
        <f>IFERROR(__xludf.DUMMYFUNCTION("""COMPUTED_VALUE"""),"121704612-1")</f>
        <v>121704612-1</v>
      </c>
      <c r="B5539" s="6" t="str">
        <f>IFERROR(__xludf.DUMMYFUNCTION("""COMPUTED_VALUE"""),"121704612 - APPROVED")</f>
        <v>121704612 - APPROVED</v>
      </c>
      <c r="C5539" s="6">
        <f>IFERROR(__xludf.DUMMYFUNCTION("""COMPUTED_VALUE"""),1.0)</f>
        <v>1</v>
      </c>
      <c r="D5539" s="6" t="str">
        <f>IFERROR(__xludf.DUMMYFUNCTION("""COMPUTED_VALUE"""),"O-53650-00")</f>
        <v>O-53650-00</v>
      </c>
      <c r="E5539" s="6" t="str">
        <f>IFERROR(__xludf.DUMMYFUNCTION("""COMPUTED_VALUE"""),"Danube 45587 - Electrovalvf 230 V AC 50/60Hz; Danube; 12024781; 1 Pc")</f>
        <v>Danube 45587 - Electrovalvf 230 V AC 50/60Hz; Danube; 12024781; 1 Pc</v>
      </c>
      <c r="F5539" s="6">
        <f>IFERROR(__xludf.DUMMYFUNCTION("""COMPUTED_VALUE"""),1.0)</f>
        <v>1</v>
      </c>
      <c r="G5539" s="6" t="str">
        <f>IFERROR(__xludf.DUMMYFUNCTION("""COMPUTED_VALUE"""),"Pieces")</f>
        <v>Pieces</v>
      </c>
      <c r="H5539" s="6" t="str">
        <f>IFERROR(__xludf.DUMMYFUNCTION("""COMPUTED_VALUE"""),"IDR")</f>
        <v>IDR</v>
      </c>
      <c r="I5539" s="6">
        <f>IFERROR(__xludf.DUMMYFUNCTION("""COMPUTED_VALUE"""),9036400.0)</f>
        <v>9036400</v>
      </c>
      <c r="J5539" s="6">
        <f>IFERROR(__xludf.DUMMYFUNCTION("""COMPUTED_VALUE"""),9036400.0)</f>
        <v>9036400</v>
      </c>
      <c r="K5539" s="57">
        <f>IFERROR(__xludf.DUMMYFUNCTION("""COMPUTED_VALUE"""),46304.0)</f>
        <v>46304</v>
      </c>
      <c r="L5539" s="6" t="str">
        <f>IFERROR(__xludf.DUMMYFUNCTION("""COMPUTED_VALUE"""),"FIP Engineering")</f>
        <v>FIP Engineering</v>
      </c>
      <c r="M5539" s="6" t="str">
        <f>IFERROR(__xludf.DUMMYFUNCTION("""COMPUTED_VALUE"""),"Mochammad Fadhillah Hakim,")</f>
        <v>Mochammad Fadhillah Hakim,</v>
      </c>
      <c r="N5539" s="6" t="str">
        <f>IFERROR(__xludf.DUMMYFUNCTION("""COMPUTED_VALUE"""),"FIP Engineering")</f>
        <v>FIP Engineering</v>
      </c>
      <c r="O5539" s="6" t="str">
        <f>IFERROR(__xludf.DUMMYFUNCTION("""COMPUTED_VALUE"""),"FIP-DOM-000-11304-OS00001-INA-000000")</f>
        <v>FIP-DOM-000-11304-OS00001-INA-000000</v>
      </c>
      <c r="P5539" s="6" t="str">
        <f>IFERROR(__xludf.DUMMYFUNCTION("""COMPUTED_VALUE"""),"PR Open")</f>
        <v>PR Open</v>
      </c>
      <c r="Q5539" s="6"/>
      <c r="R5539" s="57">
        <f>IFERROR(__xludf.DUMMYFUNCTION("""COMPUTED_VALUE"""),46271.0)</f>
        <v>46271</v>
      </c>
      <c r="S5539" s="57">
        <f>IFERROR(__xludf.DUMMYFUNCTION("""COMPUTED_VALUE"""),46274.0)</f>
        <v>46274</v>
      </c>
      <c r="T5539" s="6"/>
    </row>
    <row r="5540">
      <c r="A5540" s="6" t="str">
        <f>IFERROR(__xludf.DUMMYFUNCTION("""COMPUTED_VALUE"""),"121704612-2")</f>
        <v>121704612-2</v>
      </c>
      <c r="B5540" s="6" t="str">
        <f>IFERROR(__xludf.DUMMYFUNCTION("""COMPUTED_VALUE"""),"121704612 - APPROVED")</f>
        <v>121704612 - APPROVED</v>
      </c>
      <c r="C5540" s="6">
        <f>IFERROR(__xludf.DUMMYFUNCTION("""COMPUTED_VALUE"""),2.0)</f>
        <v>2</v>
      </c>
      <c r="D5540" s="6" t="str">
        <f>IFERROR(__xludf.DUMMYFUNCTION("""COMPUTED_VALUE"""),"O-53651-00")</f>
        <v>O-53651-00</v>
      </c>
      <c r="E5540" s="6" t="str">
        <f>IFERROR(__xludf.DUMMYFUNCTION("""COMPUTED_VALUE"""),"Danube 45587 - Electrovalvula 230.00 AC 50/60Hz 2via W; Danube; 12023794; 1 Pc")</f>
        <v>Danube 45587 - Electrovalvula 230.00 AC 50/60Hz 2via W; Danube; 12023794; 1 Pc</v>
      </c>
      <c r="F5540" s="6">
        <f>IFERROR(__xludf.DUMMYFUNCTION("""COMPUTED_VALUE"""),1.0)</f>
        <v>1</v>
      </c>
      <c r="G5540" s="6" t="str">
        <f>IFERROR(__xludf.DUMMYFUNCTION("""COMPUTED_VALUE"""),"Pieces")</f>
        <v>Pieces</v>
      </c>
      <c r="H5540" s="6" t="str">
        <f>IFERROR(__xludf.DUMMYFUNCTION("""COMPUTED_VALUE"""),"IDR")</f>
        <v>IDR</v>
      </c>
      <c r="I5540" s="6">
        <f>IFERROR(__xludf.DUMMYFUNCTION("""COMPUTED_VALUE"""),2464300.0)</f>
        <v>2464300</v>
      </c>
      <c r="J5540" s="6">
        <f>IFERROR(__xludf.DUMMYFUNCTION("""COMPUTED_VALUE"""),2464300.0)</f>
        <v>2464300</v>
      </c>
      <c r="K5540" s="57">
        <f>IFERROR(__xludf.DUMMYFUNCTION("""COMPUTED_VALUE"""),46304.0)</f>
        <v>46304</v>
      </c>
      <c r="L5540" s="6" t="str">
        <f>IFERROR(__xludf.DUMMYFUNCTION("""COMPUTED_VALUE"""),"FIP Engineering")</f>
        <v>FIP Engineering</v>
      </c>
      <c r="M5540" s="6" t="str">
        <f>IFERROR(__xludf.DUMMYFUNCTION("""COMPUTED_VALUE"""),"Mochammad Fadhillah Hakim,")</f>
        <v>Mochammad Fadhillah Hakim,</v>
      </c>
      <c r="N5540" s="6" t="str">
        <f>IFERROR(__xludf.DUMMYFUNCTION("""COMPUTED_VALUE"""),"FIP Engineering")</f>
        <v>FIP Engineering</v>
      </c>
      <c r="O5540" s="6" t="str">
        <f>IFERROR(__xludf.DUMMYFUNCTION("""COMPUTED_VALUE"""),"FIP-DOM-000-11304-OS00001-INA-000000")</f>
        <v>FIP-DOM-000-11304-OS00001-INA-000000</v>
      </c>
      <c r="P5540" s="6" t="str">
        <f>IFERROR(__xludf.DUMMYFUNCTION("""COMPUTED_VALUE"""),"PR Open")</f>
        <v>PR Open</v>
      </c>
      <c r="Q5540" s="6"/>
      <c r="R5540" s="57">
        <f>IFERROR(__xludf.DUMMYFUNCTION("""COMPUTED_VALUE"""),46271.0)</f>
        <v>46271</v>
      </c>
      <c r="S5540" s="57">
        <f>IFERROR(__xludf.DUMMYFUNCTION("""COMPUTED_VALUE"""),46274.0)</f>
        <v>46274</v>
      </c>
      <c r="T5540" s="6"/>
    </row>
    <row r="5541">
      <c r="A5541" s="6" t="str">
        <f>IFERROR(__xludf.DUMMYFUNCTION("""COMPUTED_VALUE"""),"121704612-3")</f>
        <v>121704612-3</v>
      </c>
      <c r="B5541" s="6" t="str">
        <f>IFERROR(__xludf.DUMMYFUNCTION("""COMPUTED_VALUE"""),"121704612 - APPROVED")</f>
        <v>121704612 - APPROVED</v>
      </c>
      <c r="C5541" s="6">
        <f>IFERROR(__xludf.DUMMYFUNCTION("""COMPUTED_VALUE"""),3.0)</f>
        <v>3</v>
      </c>
      <c r="D5541" s="6" t="str">
        <f>IFERROR(__xludf.DUMMYFUNCTION("""COMPUTED_VALUE"""),"O-53652-00")</f>
        <v>O-53652-00</v>
      </c>
      <c r="E5541" s="6" t="str">
        <f>IFERROR(__xludf.DUMMYFUNCTION("""COMPUTED_VALUE"""),"Danube 45587 - Electrovalvula 230V AC 50/60Hz 3 via Wate; Danube; 12023921; 1 Pc")</f>
        <v>Danube 45587 - Electrovalvula 230V AC 50/60Hz 3 via Wate; Danube; 12023921; 1 Pc</v>
      </c>
      <c r="F5541" s="6">
        <f>IFERROR(__xludf.DUMMYFUNCTION("""COMPUTED_VALUE"""),1.0)</f>
        <v>1</v>
      </c>
      <c r="G5541" s="6" t="str">
        <f>IFERROR(__xludf.DUMMYFUNCTION("""COMPUTED_VALUE"""),"Pieces")</f>
        <v>Pieces</v>
      </c>
      <c r="H5541" s="6" t="str">
        <f>IFERROR(__xludf.DUMMYFUNCTION("""COMPUTED_VALUE"""),"IDR")</f>
        <v>IDR</v>
      </c>
      <c r="I5541" s="6">
        <f>IFERROR(__xludf.DUMMYFUNCTION("""COMPUTED_VALUE"""),2977300.0)</f>
        <v>2977300</v>
      </c>
      <c r="J5541" s="6">
        <f>IFERROR(__xludf.DUMMYFUNCTION("""COMPUTED_VALUE"""),2977300.0)</f>
        <v>2977300</v>
      </c>
      <c r="K5541" s="57">
        <f>IFERROR(__xludf.DUMMYFUNCTION("""COMPUTED_VALUE"""),46304.0)</f>
        <v>46304</v>
      </c>
      <c r="L5541" s="6" t="str">
        <f>IFERROR(__xludf.DUMMYFUNCTION("""COMPUTED_VALUE"""),"FIP Engineering")</f>
        <v>FIP Engineering</v>
      </c>
      <c r="M5541" s="6" t="str">
        <f>IFERROR(__xludf.DUMMYFUNCTION("""COMPUTED_VALUE"""),"Mochammad Fadhillah Hakim,")</f>
        <v>Mochammad Fadhillah Hakim,</v>
      </c>
      <c r="N5541" s="6" t="str">
        <f>IFERROR(__xludf.DUMMYFUNCTION("""COMPUTED_VALUE"""),"FIP Engineering")</f>
        <v>FIP Engineering</v>
      </c>
      <c r="O5541" s="6" t="str">
        <f>IFERROR(__xludf.DUMMYFUNCTION("""COMPUTED_VALUE"""),"FIP-DOM-000-11304-OS00001-INA-000000")</f>
        <v>FIP-DOM-000-11304-OS00001-INA-000000</v>
      </c>
      <c r="P5541" s="6" t="str">
        <f>IFERROR(__xludf.DUMMYFUNCTION("""COMPUTED_VALUE"""),"PR Open")</f>
        <v>PR Open</v>
      </c>
      <c r="Q5541" s="6"/>
      <c r="R5541" s="57">
        <f>IFERROR(__xludf.DUMMYFUNCTION("""COMPUTED_VALUE"""),46271.0)</f>
        <v>46271</v>
      </c>
      <c r="S5541" s="57">
        <f>IFERROR(__xludf.DUMMYFUNCTION("""COMPUTED_VALUE"""),46274.0)</f>
        <v>46274</v>
      </c>
      <c r="T5541" s="6"/>
    </row>
    <row r="5542">
      <c r="A5542" s="6" t="str">
        <f>IFERROR(__xludf.DUMMYFUNCTION("""COMPUTED_VALUE"""),"121704616-1")</f>
        <v>121704616-1</v>
      </c>
      <c r="B5542" s="6" t="str">
        <f>IFERROR(__xludf.DUMMYFUNCTION("""COMPUTED_VALUE"""),"121704616 - APPROVED")</f>
        <v>121704616 - APPROVED</v>
      </c>
      <c r="C5542" s="6">
        <f>IFERROR(__xludf.DUMMYFUNCTION("""COMPUTED_VALUE"""),1.0)</f>
        <v>1</v>
      </c>
      <c r="D5542" s="6" t="str">
        <f>IFERROR(__xludf.DUMMYFUNCTION("""COMPUTED_VALUE"""),"P-18468-00")</f>
        <v>P-18468-00</v>
      </c>
      <c r="E5542" s="6" t="str">
        <f>IFERROR(__xludf.DUMMYFUNCTION("""COMPUTED_VALUE"""),"General - Pass Box Stickers ZC-A; No Brand; -; 1 Pc")</f>
        <v>General - Pass Box Stickers ZC-A; No Brand; -; 1 Pc</v>
      </c>
      <c r="F5542" s="6">
        <f>IFERROR(__xludf.DUMMYFUNCTION("""COMPUTED_VALUE"""),25.0)</f>
        <v>25</v>
      </c>
      <c r="G5542" s="6" t="str">
        <f>IFERROR(__xludf.DUMMYFUNCTION("""COMPUTED_VALUE"""),"Pieces")</f>
        <v>Pieces</v>
      </c>
      <c r="H5542" s="6" t="str">
        <f>IFERROR(__xludf.DUMMYFUNCTION("""COMPUTED_VALUE"""),"IDR")</f>
        <v>IDR</v>
      </c>
      <c r="I5542" s="6">
        <f>IFERROR(__xludf.DUMMYFUNCTION("""COMPUTED_VALUE"""),150000.0)</f>
        <v>150000</v>
      </c>
      <c r="J5542" s="6">
        <f>IFERROR(__xludf.DUMMYFUNCTION("""COMPUTED_VALUE"""),3750000.0)</f>
        <v>3750000</v>
      </c>
      <c r="K5542" s="57">
        <f>IFERROR(__xludf.DUMMYFUNCTION("""COMPUTED_VALUE"""),46339.0)</f>
        <v>46339</v>
      </c>
      <c r="L5542" s="6" t="str">
        <f>IFERROR(__xludf.DUMMYFUNCTION("""COMPUTED_VALUE"""),"FIP Engineering")</f>
        <v>FIP Engineering</v>
      </c>
      <c r="M5542" s="6" t="str">
        <f>IFERROR(__xludf.DUMMYFUNCTION("""COMPUTED_VALUE"""),"Mochammad Fadhillah Hakim,")</f>
        <v>Mochammad Fadhillah Hakim,</v>
      </c>
      <c r="N5542" s="6" t="str">
        <f>IFERROR(__xludf.DUMMYFUNCTION("""COMPUTED_VALUE"""),"FIP Engineering")</f>
        <v>FIP Engineering</v>
      </c>
      <c r="O5542" s="6" t="str">
        <f>IFERROR(__xludf.DUMMYFUNCTION("""COMPUTED_VALUE"""),"FIP-DOM-000-11304-OS00001-INA-000000")</f>
        <v>FIP-DOM-000-11304-OS00001-INA-000000</v>
      </c>
      <c r="P5542" s="6" t="str">
        <f>IFERROR(__xludf.DUMMYFUNCTION("""COMPUTED_VALUE"""),"PR Open")</f>
        <v>PR Open</v>
      </c>
      <c r="Q5542" s="6"/>
      <c r="R5542" s="57">
        <f>IFERROR(__xludf.DUMMYFUNCTION("""COMPUTED_VALUE"""),46272.0)</f>
        <v>46272</v>
      </c>
      <c r="S5542" s="57">
        <f>IFERROR(__xludf.DUMMYFUNCTION("""COMPUTED_VALUE"""),46274.0)</f>
        <v>46274</v>
      </c>
      <c r="T5542" s="6"/>
    </row>
    <row r="5543">
      <c r="A5543" s="6" t="str">
        <f>IFERROR(__xludf.DUMMYFUNCTION("""COMPUTED_VALUE"""),"121704617-1")</f>
        <v>121704617-1</v>
      </c>
      <c r="B5543" s="6" t="str">
        <f>IFERROR(__xludf.DUMMYFUNCTION("""COMPUTED_VALUE"""),"121704617 - APPROVED")</f>
        <v>121704617 - APPROVED</v>
      </c>
      <c r="C5543" s="6">
        <f>IFERROR(__xludf.DUMMYFUNCTION("""COMPUTED_VALUE"""),1.0)</f>
        <v>1</v>
      </c>
      <c r="D5543" s="6" t="str">
        <f>IFERROR(__xludf.DUMMYFUNCTION("""COMPUTED_VALUE"""),"P-54731-00")</f>
        <v>P-54731-00</v>
      </c>
      <c r="E5543" s="6" t="str">
        <f>IFERROR(__xludf.DUMMYFUNCTION("""COMPUTED_VALUE"""),"UPS Riello - Fuse 125 FF 240V LET 19 x 56; Riello; 0602010053; 1 pc")</f>
        <v>UPS Riello - Fuse 125 FF 240V LET 19 x 56; Riello; 0602010053; 1 pc</v>
      </c>
      <c r="F5543" s="6">
        <f>IFERROR(__xludf.DUMMYFUNCTION("""COMPUTED_VALUE"""),3.0)</f>
        <v>3</v>
      </c>
      <c r="G5543" s="6" t="str">
        <f>IFERROR(__xludf.DUMMYFUNCTION("""COMPUTED_VALUE"""),"Pieces")</f>
        <v>Pieces</v>
      </c>
      <c r="H5543" s="6" t="str">
        <f>IFERROR(__xludf.DUMMYFUNCTION("""COMPUTED_VALUE"""),"IDR")</f>
        <v>IDR</v>
      </c>
      <c r="I5543" s="6">
        <f>IFERROR(__xludf.DUMMYFUNCTION("""COMPUTED_VALUE"""),1400000.0)</f>
        <v>1400000</v>
      </c>
      <c r="J5543" s="6">
        <f>IFERROR(__xludf.DUMMYFUNCTION("""COMPUTED_VALUE"""),4200000.0)</f>
        <v>4200000</v>
      </c>
      <c r="K5543" s="57">
        <f>IFERROR(__xludf.DUMMYFUNCTION("""COMPUTED_VALUE"""),46290.0)</f>
        <v>46290</v>
      </c>
      <c r="L5543" s="6" t="str">
        <f>IFERROR(__xludf.DUMMYFUNCTION("""COMPUTED_VALUE"""),"FIP Engineering")</f>
        <v>FIP Engineering</v>
      </c>
      <c r="M5543" s="6" t="str">
        <f>IFERROR(__xludf.DUMMYFUNCTION("""COMPUTED_VALUE"""),"Mochammad Fadhillah Hakim,")</f>
        <v>Mochammad Fadhillah Hakim,</v>
      </c>
      <c r="N5543" s="6" t="str">
        <f>IFERROR(__xludf.DUMMYFUNCTION("""COMPUTED_VALUE"""),"FIP Engineering")</f>
        <v>FIP Engineering</v>
      </c>
      <c r="O5543" s="6" t="str">
        <f>IFERROR(__xludf.DUMMYFUNCTION("""COMPUTED_VALUE"""),"FIP-DOM-000-11304-OS00001-INA-000000")</f>
        <v>FIP-DOM-000-11304-OS00001-INA-000000</v>
      </c>
      <c r="P5543" s="6" t="str">
        <f>IFERROR(__xludf.DUMMYFUNCTION("""COMPUTED_VALUE"""),"PR Open")</f>
        <v>PR Open</v>
      </c>
      <c r="Q5543" s="6"/>
      <c r="R5543" s="57">
        <f>IFERROR(__xludf.DUMMYFUNCTION("""COMPUTED_VALUE"""),46272.0)</f>
        <v>46272</v>
      </c>
      <c r="S5543" s="57">
        <f>IFERROR(__xludf.DUMMYFUNCTION("""COMPUTED_VALUE"""),46274.0)</f>
        <v>46274</v>
      </c>
      <c r="T5543" s="6"/>
    </row>
    <row r="5544">
      <c r="A5544" s="6" t="str">
        <f>IFERROR(__xludf.DUMMYFUNCTION("""COMPUTED_VALUE"""),"121704619-1")</f>
        <v>121704619-1</v>
      </c>
      <c r="B5544" s="6" t="str">
        <f>IFERROR(__xludf.DUMMYFUNCTION("""COMPUTED_VALUE"""),"121704619 - APPROVED")</f>
        <v>121704619 - APPROVED</v>
      </c>
      <c r="C5544" s="6">
        <f>IFERROR(__xludf.DUMMYFUNCTION("""COMPUTED_VALUE"""),1.0)</f>
        <v>1</v>
      </c>
      <c r="D5544" s="6" t="str">
        <f>IFERROR(__xludf.DUMMYFUNCTION("""COMPUTED_VALUE"""),"P-20182-00")</f>
        <v>P-20182-00</v>
      </c>
      <c r="E5544" s="6" t="str">
        <f>IFERROR(__xludf.DUMMYFUNCTION("""COMPUTED_VALUE"""),"General - Kawat Las SS E-308 2.0mm; No Brand; -; 1 kg/pack")</f>
        <v>General - Kawat Las SS E-308 2.0mm; No Brand; -; 1 kg/pack</v>
      </c>
      <c r="F5544" s="6">
        <f>IFERROR(__xludf.DUMMYFUNCTION("""COMPUTED_VALUE"""),2.0)</f>
        <v>2</v>
      </c>
      <c r="G5544" s="6" t="str">
        <f>IFERROR(__xludf.DUMMYFUNCTION("""COMPUTED_VALUE"""),"Pack")</f>
        <v>Pack</v>
      </c>
      <c r="H5544" s="6" t="str">
        <f>IFERROR(__xludf.DUMMYFUNCTION("""COMPUTED_VALUE"""),"IDR")</f>
        <v>IDR</v>
      </c>
      <c r="I5544" s="6">
        <f>IFERROR(__xludf.DUMMYFUNCTION("""COMPUTED_VALUE"""),208000.0)</f>
        <v>208000</v>
      </c>
      <c r="J5544" s="6">
        <f>IFERROR(__xludf.DUMMYFUNCTION("""COMPUTED_VALUE"""),416000.0)</f>
        <v>416000</v>
      </c>
      <c r="K5544" s="57">
        <f>IFERROR(__xludf.DUMMYFUNCTION("""COMPUTED_VALUE"""),46304.0)</f>
        <v>46304</v>
      </c>
      <c r="L5544" s="6" t="str">
        <f>IFERROR(__xludf.DUMMYFUNCTION("""COMPUTED_VALUE"""),"FIP Engineering")</f>
        <v>FIP Engineering</v>
      </c>
      <c r="M5544" s="6" t="str">
        <f>IFERROR(__xludf.DUMMYFUNCTION("""COMPUTED_VALUE"""),"Mochammad Fadhillah Hakim,")</f>
        <v>Mochammad Fadhillah Hakim,</v>
      </c>
      <c r="N5544" s="6" t="str">
        <f>IFERROR(__xludf.DUMMYFUNCTION("""COMPUTED_VALUE"""),"FIP Engineering")</f>
        <v>FIP Engineering</v>
      </c>
      <c r="O5544" s="6" t="str">
        <f>IFERROR(__xludf.DUMMYFUNCTION("""COMPUTED_VALUE"""),"FIP-DOM-000-11304-OS00001-INA-000000")</f>
        <v>FIP-DOM-000-11304-OS00001-INA-000000</v>
      </c>
      <c r="P5544" s="6" t="str">
        <f>IFERROR(__xludf.DUMMYFUNCTION("""COMPUTED_VALUE"""),"PR Open")</f>
        <v>PR Open</v>
      </c>
      <c r="Q5544" s="6"/>
      <c r="R5544" s="57">
        <f>IFERROR(__xludf.DUMMYFUNCTION("""COMPUTED_VALUE"""),46272.0)</f>
        <v>46272</v>
      </c>
      <c r="S5544" s="57">
        <f>IFERROR(__xludf.DUMMYFUNCTION("""COMPUTED_VALUE"""),46273.0)</f>
        <v>46273</v>
      </c>
      <c r="T5544" s="6"/>
    </row>
    <row r="5545">
      <c r="A5545" s="6" t="str">
        <f>IFERROR(__xludf.DUMMYFUNCTION("""COMPUTED_VALUE"""),"121704620-1")</f>
        <v>121704620-1</v>
      </c>
      <c r="B5545" s="6" t="str">
        <f>IFERROR(__xludf.DUMMYFUNCTION("""COMPUTED_VALUE"""),"121704620 - APPROVED")</f>
        <v>121704620 - APPROVED</v>
      </c>
      <c r="C5545" s="6">
        <f>IFERROR(__xludf.DUMMYFUNCTION("""COMPUTED_VALUE"""),1.0)</f>
        <v>1</v>
      </c>
      <c r="D5545" s="6" t="str">
        <f>IFERROR(__xludf.DUMMYFUNCTION("""COMPUTED_VALUE"""),"O-53659-00")</f>
        <v>O-53659-00</v>
      </c>
      <c r="E5545" s="6" t="str">
        <f>IFERROR(__xludf.DUMMYFUNCTION("""COMPUTED_VALUE"""),"Marchesini MA155 - Reed Switch; SMC; D-C73C; 1 Pc")</f>
        <v>Marchesini MA155 - Reed Switch; SMC; D-C73C; 1 Pc</v>
      </c>
      <c r="F5545" s="6">
        <f>IFERROR(__xludf.DUMMYFUNCTION("""COMPUTED_VALUE"""),4.0)</f>
        <v>4</v>
      </c>
      <c r="G5545" s="6" t="str">
        <f>IFERROR(__xludf.DUMMYFUNCTION("""COMPUTED_VALUE"""),"Pieces")</f>
        <v>Pieces</v>
      </c>
      <c r="H5545" s="6" t="str">
        <f>IFERROR(__xludf.DUMMYFUNCTION("""COMPUTED_VALUE"""),"IDR")</f>
        <v>IDR</v>
      </c>
      <c r="I5545" s="6">
        <f>IFERROR(__xludf.DUMMYFUNCTION("""COMPUTED_VALUE"""),325400.0)</f>
        <v>325400</v>
      </c>
      <c r="J5545" s="6">
        <f>IFERROR(__xludf.DUMMYFUNCTION("""COMPUTED_VALUE"""),1301600.0)</f>
        <v>1301600</v>
      </c>
      <c r="K5545" s="57">
        <f>IFERROR(__xludf.DUMMYFUNCTION("""COMPUTED_VALUE"""),46304.0)</f>
        <v>46304</v>
      </c>
      <c r="L5545" s="6" t="str">
        <f>IFERROR(__xludf.DUMMYFUNCTION("""COMPUTED_VALUE"""),"FIP Engineering")</f>
        <v>FIP Engineering</v>
      </c>
      <c r="M5545" s="6" t="str">
        <f>IFERROR(__xludf.DUMMYFUNCTION("""COMPUTED_VALUE"""),"Mochammad Fadhillah Hakim,")</f>
        <v>Mochammad Fadhillah Hakim,</v>
      </c>
      <c r="N5545" s="6" t="str">
        <f>IFERROR(__xludf.DUMMYFUNCTION("""COMPUTED_VALUE"""),"FIP Engineering")</f>
        <v>FIP Engineering</v>
      </c>
      <c r="O5545" s="6" t="str">
        <f>IFERROR(__xludf.DUMMYFUNCTION("""COMPUTED_VALUE"""),"FIP-DOM-000-11304-OS00001-INA-000000")</f>
        <v>FIP-DOM-000-11304-OS00001-INA-000000</v>
      </c>
      <c r="P5545" s="6" t="str">
        <f>IFERROR(__xludf.DUMMYFUNCTION("""COMPUTED_VALUE"""),"PR Open")</f>
        <v>PR Open</v>
      </c>
      <c r="Q5545" s="6"/>
      <c r="R5545" s="57">
        <f>IFERROR(__xludf.DUMMYFUNCTION("""COMPUTED_VALUE"""),46272.0)</f>
        <v>46272</v>
      </c>
      <c r="S5545" s="57">
        <f>IFERROR(__xludf.DUMMYFUNCTION("""COMPUTED_VALUE"""),46274.0)</f>
        <v>46274</v>
      </c>
      <c r="T5545" s="6"/>
    </row>
    <row r="5546">
      <c r="A5546" s="6" t="str">
        <f>IFERROR(__xludf.DUMMYFUNCTION("""COMPUTED_VALUE"""),"121704621-1")</f>
        <v>121704621-1</v>
      </c>
      <c r="B5546" s="6" t="str">
        <f>IFERROR(__xludf.DUMMYFUNCTION("""COMPUTED_VALUE"""),"121704621 - APPROVED")</f>
        <v>121704621 - APPROVED</v>
      </c>
      <c r="C5546" s="6">
        <f>IFERROR(__xludf.DUMMYFUNCTION("""COMPUTED_VALUE"""),1.0)</f>
        <v>1</v>
      </c>
      <c r="D5546" s="6" t="str">
        <f>IFERROR(__xludf.DUMMYFUNCTION("""COMPUTED_VALUE"""),"P-54711-00")</f>
        <v>P-54711-00</v>
      </c>
      <c r="E5546" s="6" t="str">
        <f>IFERROR(__xludf.DUMMYFUNCTION("""COMPUTED_VALUE"""),"General - Junction Box 300 x 220 x 120mm; Boss; -; pc")</f>
        <v>General - Junction Box 300 x 220 x 120mm; Boss; -; pc</v>
      </c>
      <c r="F5546" s="6">
        <f>IFERROR(__xludf.DUMMYFUNCTION("""COMPUTED_VALUE"""),1.0)</f>
        <v>1</v>
      </c>
      <c r="G5546" s="6" t="str">
        <f>IFERROR(__xludf.DUMMYFUNCTION("""COMPUTED_VALUE"""),"Pieces")</f>
        <v>Pieces</v>
      </c>
      <c r="H5546" s="6" t="str">
        <f>IFERROR(__xludf.DUMMYFUNCTION("""COMPUTED_VALUE"""),"IDR")</f>
        <v>IDR</v>
      </c>
      <c r="I5546" s="6">
        <f>IFERROR(__xludf.DUMMYFUNCTION("""COMPUTED_VALUE"""),450000.0)</f>
        <v>450000</v>
      </c>
      <c r="J5546" s="6">
        <f>IFERROR(__xludf.DUMMYFUNCTION("""COMPUTED_VALUE"""),450000.0)</f>
        <v>450000</v>
      </c>
      <c r="K5546" s="57">
        <f>IFERROR(__xludf.DUMMYFUNCTION("""COMPUTED_VALUE"""),46274.0)</f>
        <v>46274</v>
      </c>
      <c r="L5546" s="6" t="str">
        <f>IFERROR(__xludf.DUMMYFUNCTION("""COMPUTED_VALUE"""),"FIP Engineering")</f>
        <v>FIP Engineering</v>
      </c>
      <c r="M5546" s="6" t="str">
        <f>IFERROR(__xludf.DUMMYFUNCTION("""COMPUTED_VALUE"""),"Mochammad Fadhillah Hakim,")</f>
        <v>Mochammad Fadhillah Hakim,</v>
      </c>
      <c r="N5546" s="6" t="str">
        <f>IFERROR(__xludf.DUMMYFUNCTION("""COMPUTED_VALUE"""),"FIP Engineering")</f>
        <v>FIP Engineering</v>
      </c>
      <c r="O5546" s="6" t="str">
        <f>IFERROR(__xludf.DUMMYFUNCTION("""COMPUTED_VALUE"""),"FIP-DOM-000-11304-OS00001-INA-000000")</f>
        <v>FIP-DOM-000-11304-OS00001-INA-000000</v>
      </c>
      <c r="P5546" s="6" t="str">
        <f>IFERROR(__xludf.DUMMYFUNCTION("""COMPUTED_VALUE"""),"PR Open")</f>
        <v>PR Open</v>
      </c>
      <c r="Q5546" s="6"/>
      <c r="R5546" s="57">
        <f>IFERROR(__xludf.DUMMYFUNCTION("""COMPUTED_VALUE"""),46272.0)</f>
        <v>46272</v>
      </c>
      <c r="S5546" s="57">
        <f>IFERROR(__xludf.DUMMYFUNCTION("""COMPUTED_VALUE"""),46274.0)</f>
        <v>46274</v>
      </c>
      <c r="T5546" s="6"/>
    </row>
    <row r="5547">
      <c r="A5547" s="6" t="str">
        <f>IFERROR(__xludf.DUMMYFUNCTION("""COMPUTED_VALUE"""),"121704621-2")</f>
        <v>121704621-2</v>
      </c>
      <c r="B5547" s="6" t="str">
        <f>IFERROR(__xludf.DUMMYFUNCTION("""COMPUTED_VALUE"""),"121704621 - APPROVED")</f>
        <v>121704621 - APPROVED</v>
      </c>
      <c r="C5547" s="6">
        <f>IFERROR(__xludf.DUMMYFUNCTION("""COMPUTED_VALUE"""),2.0)</f>
        <v>2</v>
      </c>
      <c r="D5547" s="6" t="str">
        <f>IFERROR(__xludf.DUMMYFUNCTION("""COMPUTED_VALUE"""),"P-51928-00")</f>
        <v>P-51928-00</v>
      </c>
      <c r="E5547" s="6" t="str">
        <f>IFERROR(__xludf.DUMMYFUNCTION("""COMPUTED_VALUE"""),"Battery Lithium 3V CR2477N; ; ;")</f>
        <v>Battery Lithium 3V CR2477N; ; ;</v>
      </c>
      <c r="F5547" s="6">
        <f>IFERROR(__xludf.DUMMYFUNCTION("""COMPUTED_VALUE"""),10.0)</f>
        <v>10</v>
      </c>
      <c r="G5547" s="6" t="str">
        <f>IFERROR(__xludf.DUMMYFUNCTION("""COMPUTED_VALUE"""),"Pieces")</f>
        <v>Pieces</v>
      </c>
      <c r="H5547" s="6" t="str">
        <f>IFERROR(__xludf.DUMMYFUNCTION("""COMPUTED_VALUE"""),"IDR")</f>
        <v>IDR</v>
      </c>
      <c r="I5547" s="6">
        <f>IFERROR(__xludf.DUMMYFUNCTION("""COMPUTED_VALUE"""),72750.0)</f>
        <v>72750</v>
      </c>
      <c r="J5547" s="6">
        <f>IFERROR(__xludf.DUMMYFUNCTION("""COMPUTED_VALUE"""),727500.0)</f>
        <v>727500</v>
      </c>
      <c r="K5547" s="57">
        <f>IFERROR(__xludf.DUMMYFUNCTION("""COMPUTED_VALUE"""),46274.0)</f>
        <v>46274</v>
      </c>
      <c r="L5547" s="6" t="str">
        <f>IFERROR(__xludf.DUMMYFUNCTION("""COMPUTED_VALUE"""),"FIP Engineering")</f>
        <v>FIP Engineering</v>
      </c>
      <c r="M5547" s="6" t="str">
        <f>IFERROR(__xludf.DUMMYFUNCTION("""COMPUTED_VALUE"""),"Mochammad Fadhillah Hakim,")</f>
        <v>Mochammad Fadhillah Hakim,</v>
      </c>
      <c r="N5547" s="6" t="str">
        <f>IFERROR(__xludf.DUMMYFUNCTION("""COMPUTED_VALUE"""),"FIP Engineering")</f>
        <v>FIP Engineering</v>
      </c>
      <c r="O5547" s="6" t="str">
        <f>IFERROR(__xludf.DUMMYFUNCTION("""COMPUTED_VALUE"""),"FIP-DOM-000-11304-OS00001-INA-000000")</f>
        <v>FIP-DOM-000-11304-OS00001-INA-000000</v>
      </c>
      <c r="P5547" s="6" t="str">
        <f>IFERROR(__xludf.DUMMYFUNCTION("""COMPUTED_VALUE"""),"PR Open")</f>
        <v>PR Open</v>
      </c>
      <c r="Q5547" s="6"/>
      <c r="R5547" s="57">
        <f>IFERROR(__xludf.DUMMYFUNCTION("""COMPUTED_VALUE"""),46272.0)</f>
        <v>46272</v>
      </c>
      <c r="S5547" s="57">
        <f>IFERROR(__xludf.DUMMYFUNCTION("""COMPUTED_VALUE"""),46274.0)</f>
        <v>46274</v>
      </c>
      <c r="T5547" s="6"/>
    </row>
    <row r="5548">
      <c r="A5548" s="6" t="str">
        <f>IFERROR(__xludf.DUMMYFUNCTION("""COMPUTED_VALUE"""),"121704624-1")</f>
        <v>121704624-1</v>
      </c>
      <c r="B5548" s="6" t="str">
        <f>IFERROR(__xludf.DUMMYFUNCTION("""COMPUTED_VALUE"""),"121704624 - APPROVED")</f>
        <v>121704624 - APPROVED</v>
      </c>
      <c r="C5548" s="6">
        <f>IFERROR(__xludf.DUMMYFUNCTION("""COMPUTED_VALUE"""),1.0)</f>
        <v>1</v>
      </c>
      <c r="D5548" s="6" t="str">
        <f>IFERROR(__xludf.DUMMYFUNCTION("""COMPUTED_VALUE"""),"Q-60404-00")</f>
        <v>Q-60404-00</v>
      </c>
      <c r="E5548" s="6" t="str">
        <f>IFERROR(__xludf.DUMMYFUNCTION("""COMPUTED_VALUE"""),"Cat Interior Catylac; Dulux; Type Putih 1501N; 25 kg/pail")</f>
        <v>Cat Interior Catylac; Dulux; Type Putih 1501N; 25 kg/pail</v>
      </c>
      <c r="F5548" s="6">
        <f>IFERROR(__xludf.DUMMYFUNCTION("""COMPUTED_VALUE"""),5.0)</f>
        <v>5</v>
      </c>
      <c r="G5548" s="6" t="str">
        <f>IFERROR(__xludf.DUMMYFUNCTION("""COMPUTED_VALUE"""),"Pail")</f>
        <v>Pail</v>
      </c>
      <c r="H5548" s="6" t="str">
        <f>IFERROR(__xludf.DUMMYFUNCTION("""COMPUTED_VALUE"""),"IDR")</f>
        <v>IDR</v>
      </c>
      <c r="I5548" s="6">
        <f>IFERROR(__xludf.DUMMYFUNCTION("""COMPUTED_VALUE"""),825000.0)</f>
        <v>825000</v>
      </c>
      <c r="J5548" s="6">
        <f>IFERROR(__xludf.DUMMYFUNCTION("""COMPUTED_VALUE"""),4125000.0)</f>
        <v>4125000</v>
      </c>
      <c r="K5548" s="57">
        <f>IFERROR(__xludf.DUMMYFUNCTION("""COMPUTED_VALUE"""),46304.0)</f>
        <v>46304</v>
      </c>
      <c r="L5548" s="6" t="str">
        <f>IFERROR(__xludf.DUMMYFUNCTION("""COMPUTED_VALUE"""),"FIP General")</f>
        <v>FIP General</v>
      </c>
      <c r="M5548" s="6" t="str">
        <f>IFERROR(__xludf.DUMMYFUNCTION("""COMPUTED_VALUE"""),"Mochammad Fadhillah Hakim,")</f>
        <v>Mochammad Fadhillah Hakim,</v>
      </c>
      <c r="N5548" s="6" t="str">
        <f>IFERROR(__xludf.DUMMYFUNCTION("""COMPUTED_VALUE"""),"FIP Engineering")</f>
        <v>FIP Engineering</v>
      </c>
      <c r="O5548" s="6" t="str">
        <f>IFERROR(__xludf.DUMMYFUNCTION("""COMPUTED_VALUE"""),"FIP-DOM-ENG-51402-0000000-INA-000000")</f>
        <v>FIP-DOM-ENG-51402-0000000-INA-000000</v>
      </c>
      <c r="P5548" s="6" t="str">
        <f>IFERROR(__xludf.DUMMYFUNCTION("""COMPUTED_VALUE"""),"PR Open")</f>
        <v>PR Open</v>
      </c>
      <c r="Q5548" s="6"/>
      <c r="R5548" s="57">
        <f>IFERROR(__xludf.DUMMYFUNCTION("""COMPUTED_VALUE"""),46273.0)</f>
        <v>46273</v>
      </c>
      <c r="S5548" s="57">
        <f>IFERROR(__xludf.DUMMYFUNCTION("""COMPUTED_VALUE"""),46274.0)</f>
        <v>46274</v>
      </c>
      <c r="T5548" s="6"/>
    </row>
    <row r="5549">
      <c r="A5549" s="6" t="str">
        <f>IFERROR(__xludf.DUMMYFUNCTION("""COMPUTED_VALUE"""),"121704625-1")</f>
        <v>121704625-1</v>
      </c>
      <c r="B5549" s="6" t="str">
        <f>IFERROR(__xludf.DUMMYFUNCTION("""COMPUTED_VALUE"""),"121704625 - APPROVED")</f>
        <v>121704625 - APPROVED</v>
      </c>
      <c r="C5549" s="6">
        <f>IFERROR(__xludf.DUMMYFUNCTION("""COMPUTED_VALUE"""),1.0)</f>
        <v>1</v>
      </c>
      <c r="D5549" s="6" t="str">
        <f>IFERROR(__xludf.DUMMYFUNCTION("""COMPUTED_VALUE"""),"Q-10946-00")</f>
        <v>Q-10946-00</v>
      </c>
      <c r="E5549" s="6" t="str">
        <f>IFERROR(__xludf.DUMMYFUNCTION("""COMPUTED_VALUE"""),"Silicone Sealant;Silglaze;Type N10 Light Grey;pack size per pcs")</f>
        <v>Silicone Sealant;Silglaze;Type N10 Light Grey;pack size per pcs</v>
      </c>
      <c r="F5549" s="6">
        <f>IFERROR(__xludf.DUMMYFUNCTION("""COMPUTED_VALUE"""),10.0)</f>
        <v>10</v>
      </c>
      <c r="G5549" s="6" t="str">
        <f>IFERROR(__xludf.DUMMYFUNCTION("""COMPUTED_VALUE"""),"Pieces")</f>
        <v>Pieces</v>
      </c>
      <c r="H5549" s="6" t="str">
        <f>IFERROR(__xludf.DUMMYFUNCTION("""COMPUTED_VALUE"""),"IDR")</f>
        <v>IDR</v>
      </c>
      <c r="I5549" s="6">
        <f>IFERROR(__xludf.DUMMYFUNCTION("""COMPUTED_VALUE"""),41000.0)</f>
        <v>41000</v>
      </c>
      <c r="J5549" s="6">
        <f>IFERROR(__xludf.DUMMYFUNCTION("""COMPUTED_VALUE"""),410000.0)</f>
        <v>410000</v>
      </c>
      <c r="K5549" s="57">
        <f>IFERROR(__xludf.DUMMYFUNCTION("""COMPUTED_VALUE"""),46304.0)</f>
        <v>46304</v>
      </c>
      <c r="L5549" s="6" t="str">
        <f>IFERROR(__xludf.DUMMYFUNCTION("""COMPUTED_VALUE"""),"FIP Engineering")</f>
        <v>FIP Engineering</v>
      </c>
      <c r="M5549" s="6" t="str">
        <f>IFERROR(__xludf.DUMMYFUNCTION("""COMPUTED_VALUE"""),"Mochammad Fadhillah Hakim,")</f>
        <v>Mochammad Fadhillah Hakim,</v>
      </c>
      <c r="N5549" s="6" t="str">
        <f>IFERROR(__xludf.DUMMYFUNCTION("""COMPUTED_VALUE"""),"FIP Engineering")</f>
        <v>FIP Engineering</v>
      </c>
      <c r="O5549" s="6" t="str">
        <f>IFERROR(__xludf.DUMMYFUNCTION("""COMPUTED_VALUE"""),"FIP-DOM-000-11304-OS00001-INA-000000")</f>
        <v>FIP-DOM-000-11304-OS00001-INA-000000</v>
      </c>
      <c r="P5549" s="6" t="str">
        <f>IFERROR(__xludf.DUMMYFUNCTION("""COMPUTED_VALUE"""),"PR Open")</f>
        <v>PR Open</v>
      </c>
      <c r="Q5549" s="6"/>
      <c r="R5549" s="57">
        <f>IFERROR(__xludf.DUMMYFUNCTION("""COMPUTED_VALUE"""),46273.0)</f>
        <v>46273</v>
      </c>
      <c r="S5549" s="57">
        <f>IFERROR(__xludf.DUMMYFUNCTION("""COMPUTED_VALUE"""),46274.0)</f>
        <v>46274</v>
      </c>
      <c r="T5549" s="6"/>
    </row>
    <row r="5550">
      <c r="A5550" s="6" t="str">
        <f>IFERROR(__xludf.DUMMYFUNCTION("""COMPUTED_VALUE"""),"121704626-1")</f>
        <v>121704626-1</v>
      </c>
      <c r="B5550" s="6" t="str">
        <f>IFERROR(__xludf.DUMMYFUNCTION("""COMPUTED_VALUE"""),"121704626 - APPROVED")</f>
        <v>121704626 - APPROVED</v>
      </c>
      <c r="C5550" s="6">
        <f>IFERROR(__xludf.DUMMYFUNCTION("""COMPUTED_VALUE"""),1.0)</f>
        <v>1</v>
      </c>
      <c r="D5550" s="6" t="str">
        <f>IFERROR(__xludf.DUMMYFUNCTION("""COMPUTED_VALUE"""),"P-10389-00")</f>
        <v>P-10389-00</v>
      </c>
      <c r="E5550" s="6" t="str">
        <f>IFERROR(__xludf.DUMMYFUNCTION("""COMPUTED_VALUE"""),"General - Ball Valve PVC 1 1/2inch; No Brand; -; 1 pcs")</f>
        <v>General - Ball Valve PVC 1 1/2inch; No Brand; -; 1 pcs</v>
      </c>
      <c r="F5550" s="6">
        <f>IFERROR(__xludf.DUMMYFUNCTION("""COMPUTED_VALUE"""),5.0)</f>
        <v>5</v>
      </c>
      <c r="G5550" s="6" t="str">
        <f>IFERROR(__xludf.DUMMYFUNCTION("""COMPUTED_VALUE"""),"Pieces")</f>
        <v>Pieces</v>
      </c>
      <c r="H5550" s="6" t="str">
        <f>IFERROR(__xludf.DUMMYFUNCTION("""COMPUTED_VALUE"""),"IDR")</f>
        <v>IDR</v>
      </c>
      <c r="I5550" s="6">
        <f>IFERROR(__xludf.DUMMYFUNCTION("""COMPUTED_VALUE"""),59500.0)</f>
        <v>59500</v>
      </c>
      <c r="J5550" s="6">
        <f>IFERROR(__xludf.DUMMYFUNCTION("""COMPUTED_VALUE"""),297500.0)</f>
        <v>297500</v>
      </c>
      <c r="K5550" s="57">
        <f>IFERROR(__xludf.DUMMYFUNCTION("""COMPUTED_VALUE"""),46304.0)</f>
        <v>46304</v>
      </c>
      <c r="L5550" s="6" t="str">
        <f>IFERROR(__xludf.DUMMYFUNCTION("""COMPUTED_VALUE"""),"FIP Engineering")</f>
        <v>FIP Engineering</v>
      </c>
      <c r="M5550" s="6" t="str">
        <f>IFERROR(__xludf.DUMMYFUNCTION("""COMPUTED_VALUE"""),"Mochammad Fadhillah Hakim,")</f>
        <v>Mochammad Fadhillah Hakim,</v>
      </c>
      <c r="N5550" s="6" t="str">
        <f>IFERROR(__xludf.DUMMYFUNCTION("""COMPUTED_VALUE"""),"FIP Engineering")</f>
        <v>FIP Engineering</v>
      </c>
      <c r="O5550" s="6" t="str">
        <f>IFERROR(__xludf.DUMMYFUNCTION("""COMPUTED_VALUE"""),"FIP-DOM-000-11304-OS00001-INA-000000")</f>
        <v>FIP-DOM-000-11304-OS00001-INA-000000</v>
      </c>
      <c r="P5550" s="6" t="str">
        <f>IFERROR(__xludf.DUMMYFUNCTION("""COMPUTED_VALUE"""),"PR Open")</f>
        <v>PR Open</v>
      </c>
      <c r="Q5550" s="6"/>
      <c r="R5550" s="57">
        <f>IFERROR(__xludf.DUMMYFUNCTION("""COMPUTED_VALUE"""),46273.0)</f>
        <v>46273</v>
      </c>
      <c r="S5550" s="57">
        <f>IFERROR(__xludf.DUMMYFUNCTION("""COMPUTED_VALUE"""),46274.0)</f>
        <v>46274</v>
      </c>
      <c r="T5550" s="6"/>
    </row>
    <row r="5551">
      <c r="A5551" s="6" t="str">
        <f>IFERROR(__xludf.DUMMYFUNCTION("""COMPUTED_VALUE"""),"121704627-1")</f>
        <v>121704627-1</v>
      </c>
      <c r="B5551" s="6" t="str">
        <f>IFERROR(__xludf.DUMMYFUNCTION("""COMPUTED_VALUE"""),"121704627 - APPROVED")</f>
        <v>121704627 - APPROVED</v>
      </c>
      <c r="C5551" s="6">
        <f>IFERROR(__xludf.DUMMYFUNCTION("""COMPUTED_VALUE"""),1.0)</f>
        <v>1</v>
      </c>
      <c r="D5551" s="6" t="str">
        <f>IFERROR(__xludf.DUMMYFUNCTION("""COMPUTED_VALUE"""),"P-10897-00")</f>
        <v>P-10897-00</v>
      </c>
      <c r="E5551" s="6" t="str">
        <f>IFERROR(__xludf.DUMMYFUNCTION("""COMPUTED_VALUE"""),"General - Socket, PVC, 1""""; Rucika; -; 1 pcs")</f>
        <v>General - Socket, PVC, 1""; Rucika; -; 1 pcs</v>
      </c>
      <c r="F5551" s="6">
        <f>IFERROR(__xludf.DUMMYFUNCTION("""COMPUTED_VALUE"""),3.0)</f>
        <v>3</v>
      </c>
      <c r="G5551" s="6" t="str">
        <f>IFERROR(__xludf.DUMMYFUNCTION("""COMPUTED_VALUE"""),"Pieces")</f>
        <v>Pieces</v>
      </c>
      <c r="H5551" s="6" t="str">
        <f>IFERROR(__xludf.DUMMYFUNCTION("""COMPUTED_VALUE"""),"IDR")</f>
        <v>IDR</v>
      </c>
      <c r="I5551" s="6">
        <f>IFERROR(__xludf.DUMMYFUNCTION("""COMPUTED_VALUE"""),3600.0)</f>
        <v>3600</v>
      </c>
      <c r="J5551" s="6">
        <f>IFERROR(__xludf.DUMMYFUNCTION("""COMPUTED_VALUE"""),10800.0)</f>
        <v>10800</v>
      </c>
      <c r="K5551" s="57">
        <f>IFERROR(__xludf.DUMMYFUNCTION("""COMPUTED_VALUE"""),46304.0)</f>
        <v>46304</v>
      </c>
      <c r="L5551" s="6" t="str">
        <f>IFERROR(__xludf.DUMMYFUNCTION("""COMPUTED_VALUE"""),"FIP Engineering")</f>
        <v>FIP Engineering</v>
      </c>
      <c r="M5551" s="6" t="str">
        <f>IFERROR(__xludf.DUMMYFUNCTION("""COMPUTED_VALUE"""),"Mochammad Fadhillah Hakim,")</f>
        <v>Mochammad Fadhillah Hakim,</v>
      </c>
      <c r="N5551" s="6" t="str">
        <f>IFERROR(__xludf.DUMMYFUNCTION("""COMPUTED_VALUE"""),"FIP Engineering")</f>
        <v>FIP Engineering</v>
      </c>
      <c r="O5551" s="6" t="str">
        <f>IFERROR(__xludf.DUMMYFUNCTION("""COMPUTED_VALUE"""),"FIP-DOM-000-11304-OS00001-INA-000000")</f>
        <v>FIP-DOM-000-11304-OS00001-INA-000000</v>
      </c>
      <c r="P5551" s="6" t="str">
        <f>IFERROR(__xludf.DUMMYFUNCTION("""COMPUTED_VALUE"""),"PR Open")</f>
        <v>PR Open</v>
      </c>
      <c r="Q5551" s="6"/>
      <c r="R5551" s="57">
        <f>IFERROR(__xludf.DUMMYFUNCTION("""COMPUTED_VALUE"""),46273.0)</f>
        <v>46273</v>
      </c>
      <c r="S5551" s="57">
        <f>IFERROR(__xludf.DUMMYFUNCTION("""COMPUTED_VALUE"""),46274.0)</f>
        <v>46274</v>
      </c>
      <c r="T5551" s="6"/>
    </row>
    <row r="5552">
      <c r="A5552" s="6" t="str">
        <f>IFERROR(__xludf.DUMMYFUNCTION("""COMPUTED_VALUE"""),"121704628-1")</f>
        <v>121704628-1</v>
      </c>
      <c r="B5552" s="6" t="str">
        <f>IFERROR(__xludf.DUMMYFUNCTION("""COMPUTED_VALUE"""),"121704628 - APPROVED")</f>
        <v>121704628 - APPROVED</v>
      </c>
      <c r="C5552" s="6">
        <f>IFERROR(__xludf.DUMMYFUNCTION("""COMPUTED_VALUE"""),1.0)</f>
        <v>1</v>
      </c>
      <c r="D5552" s="6" t="str">
        <f>IFERROR(__xludf.DUMMYFUNCTION("""COMPUTED_VALUE"""),"Q-10064-00")</f>
        <v>Q-10064-00</v>
      </c>
      <c r="E5552" s="6" t="str">
        <f>IFERROR(__xludf.DUMMYFUNCTION("""COMPUTED_VALUE"""),"Cat Ftalit 113 Primrose @1kg")</f>
        <v>Cat Ftalit 113 Primrose @1kg</v>
      </c>
      <c r="F5552" s="6">
        <f>IFERROR(__xludf.DUMMYFUNCTION("""COMPUTED_VALUE"""),3.0)</f>
        <v>3</v>
      </c>
      <c r="G5552" s="6" t="str">
        <f>IFERROR(__xludf.DUMMYFUNCTION("""COMPUTED_VALUE"""),"Pieces")</f>
        <v>Pieces</v>
      </c>
      <c r="H5552" s="6" t="str">
        <f>IFERROR(__xludf.DUMMYFUNCTION("""COMPUTED_VALUE"""),"IDR")</f>
        <v>IDR</v>
      </c>
      <c r="I5552" s="6">
        <f>IFERROR(__xludf.DUMMYFUNCTION("""COMPUTED_VALUE"""),63500.0)</f>
        <v>63500</v>
      </c>
      <c r="J5552" s="6">
        <f>IFERROR(__xludf.DUMMYFUNCTION("""COMPUTED_VALUE"""),190500.0)</f>
        <v>190500</v>
      </c>
      <c r="K5552" s="57">
        <f>IFERROR(__xludf.DUMMYFUNCTION("""COMPUTED_VALUE"""),46304.0)</f>
        <v>46304</v>
      </c>
      <c r="L5552" s="6" t="str">
        <f>IFERROR(__xludf.DUMMYFUNCTION("""COMPUTED_VALUE"""),"FIP Engineering")</f>
        <v>FIP Engineering</v>
      </c>
      <c r="M5552" s="6" t="str">
        <f>IFERROR(__xludf.DUMMYFUNCTION("""COMPUTED_VALUE"""),"Mochammad Fadhillah Hakim,")</f>
        <v>Mochammad Fadhillah Hakim,</v>
      </c>
      <c r="N5552" s="6" t="str">
        <f>IFERROR(__xludf.DUMMYFUNCTION("""COMPUTED_VALUE"""),"FIP Engineering")</f>
        <v>FIP Engineering</v>
      </c>
      <c r="O5552" s="6" t="str">
        <f>IFERROR(__xludf.DUMMYFUNCTION("""COMPUTED_VALUE"""),"FIP-DOM-000-11304-OS00001-INA-000000")</f>
        <v>FIP-DOM-000-11304-OS00001-INA-000000</v>
      </c>
      <c r="P5552" s="6" t="str">
        <f>IFERROR(__xludf.DUMMYFUNCTION("""COMPUTED_VALUE"""),"PR Open")</f>
        <v>PR Open</v>
      </c>
      <c r="Q5552" s="6"/>
      <c r="R5552" s="57">
        <f>IFERROR(__xludf.DUMMYFUNCTION("""COMPUTED_VALUE"""),46273.0)</f>
        <v>46273</v>
      </c>
      <c r="S5552" s="57">
        <f>IFERROR(__xludf.DUMMYFUNCTION("""COMPUTED_VALUE"""),46274.0)</f>
        <v>46274</v>
      </c>
      <c r="T5552" s="6"/>
    </row>
    <row r="5553">
      <c r="A5553" s="6" t="str">
        <f>IFERROR(__xludf.DUMMYFUNCTION("""COMPUTED_VALUE"""),"121704629-1")</f>
        <v>121704629-1</v>
      </c>
      <c r="B5553" s="6" t="str">
        <f>IFERROR(__xludf.DUMMYFUNCTION("""COMPUTED_VALUE"""),"121704629 - APPROVED")</f>
        <v>121704629 - APPROVED</v>
      </c>
      <c r="C5553" s="6">
        <f>IFERROR(__xludf.DUMMYFUNCTION("""COMPUTED_VALUE"""),1.0)</f>
        <v>1</v>
      </c>
      <c r="D5553" s="6" t="str">
        <f>IFERROR(__xludf.DUMMYFUNCTION("""COMPUTED_VALUE"""),"O-19875-00")</f>
        <v>O-19875-00</v>
      </c>
      <c r="E5553" s="6" t="str">
        <f>IFERROR(__xludf.DUMMYFUNCTION("""COMPUTED_VALUE"""),"General - Oil Seal TC Viton 20x28x5 mm; -; -; 1 Pc")</f>
        <v>General - Oil Seal TC Viton 20x28x5 mm; -; -; 1 Pc</v>
      </c>
      <c r="F5553" s="6">
        <f>IFERROR(__xludf.DUMMYFUNCTION("""COMPUTED_VALUE"""),20.0)</f>
        <v>20</v>
      </c>
      <c r="G5553" s="6" t="str">
        <f>IFERROR(__xludf.DUMMYFUNCTION("""COMPUTED_VALUE"""),"Pieces")</f>
        <v>Pieces</v>
      </c>
      <c r="H5553" s="6" t="str">
        <f>IFERROR(__xludf.DUMMYFUNCTION("""COMPUTED_VALUE"""),"IDR")</f>
        <v>IDR</v>
      </c>
      <c r="I5553" s="6">
        <f>IFERROR(__xludf.DUMMYFUNCTION("""COMPUTED_VALUE"""),105000.0)</f>
        <v>105000</v>
      </c>
      <c r="J5553" s="6">
        <f>IFERROR(__xludf.DUMMYFUNCTION("""COMPUTED_VALUE"""),2100000.0)</f>
        <v>2100000</v>
      </c>
      <c r="K5553" s="57">
        <f>IFERROR(__xludf.DUMMYFUNCTION("""COMPUTED_VALUE"""),46304.0)</f>
        <v>46304</v>
      </c>
      <c r="L5553" s="6" t="str">
        <f>IFERROR(__xludf.DUMMYFUNCTION("""COMPUTED_VALUE"""),"FIP Engineering")</f>
        <v>FIP Engineering</v>
      </c>
      <c r="M5553" s="6" t="str">
        <f>IFERROR(__xludf.DUMMYFUNCTION("""COMPUTED_VALUE"""),"Mochammad Fadhillah Hakim,")</f>
        <v>Mochammad Fadhillah Hakim,</v>
      </c>
      <c r="N5553" s="6" t="str">
        <f>IFERROR(__xludf.DUMMYFUNCTION("""COMPUTED_VALUE"""),"FIP Engineering")</f>
        <v>FIP Engineering</v>
      </c>
      <c r="O5553" s="6" t="str">
        <f>IFERROR(__xludf.DUMMYFUNCTION("""COMPUTED_VALUE"""),"FIP-DOM-000-11303-RM00001-INA-000000")</f>
        <v>FIP-DOM-000-11303-RM00001-INA-000000</v>
      </c>
      <c r="P5553" s="6" t="str">
        <f>IFERROR(__xludf.DUMMYFUNCTION("""COMPUTED_VALUE"""),"PR Open")</f>
        <v>PR Open</v>
      </c>
      <c r="Q5553" s="6"/>
      <c r="R5553" s="57">
        <f>IFERROR(__xludf.DUMMYFUNCTION("""COMPUTED_VALUE"""),46273.0)</f>
        <v>46273</v>
      </c>
      <c r="S5553" s="57">
        <f>IFERROR(__xludf.DUMMYFUNCTION("""COMPUTED_VALUE"""),46274.0)</f>
        <v>46274</v>
      </c>
      <c r="T5553" s="6"/>
    </row>
    <row r="5554">
      <c r="A5554" s="6" t="str">
        <f>IFERROR(__xludf.DUMMYFUNCTION("""COMPUTED_VALUE"""),"121704629-2")</f>
        <v>121704629-2</v>
      </c>
      <c r="B5554" s="6" t="str">
        <f>IFERROR(__xludf.DUMMYFUNCTION("""COMPUTED_VALUE"""),"121704629 - APPROVED")</f>
        <v>121704629 - APPROVED</v>
      </c>
      <c r="C5554" s="6">
        <f>IFERROR(__xludf.DUMMYFUNCTION("""COMPUTED_VALUE"""),2.0)</f>
        <v>2</v>
      </c>
      <c r="D5554" s="6" t="str">
        <f>IFERROR(__xludf.DUMMYFUNCTION("""COMPUTED_VALUE"""),"O-21704-00")</f>
        <v>O-21704-00</v>
      </c>
      <c r="E5554" s="6" t="str">
        <f>IFERROR(__xludf.DUMMYFUNCTION("""COMPUTED_VALUE"""),"Capping VCM200 - Oring Silicone ID 31,71mm Tebal 2,5mm; Custom/Lokal; -; 1 Pc")</f>
        <v>Capping VCM200 - Oring Silicone ID 31,71mm Tebal 2,5mm; Custom/Lokal; -; 1 Pc</v>
      </c>
      <c r="F5554" s="6">
        <f>IFERROR(__xludf.DUMMYFUNCTION("""COMPUTED_VALUE"""),25.0)</f>
        <v>25</v>
      </c>
      <c r="G5554" s="6" t="str">
        <f>IFERROR(__xludf.DUMMYFUNCTION("""COMPUTED_VALUE"""),"Pieces")</f>
        <v>Pieces</v>
      </c>
      <c r="H5554" s="6" t="str">
        <f>IFERROR(__xludf.DUMMYFUNCTION("""COMPUTED_VALUE"""),"IDR")</f>
        <v>IDR</v>
      </c>
      <c r="I5554" s="6">
        <f>IFERROR(__xludf.DUMMYFUNCTION("""COMPUTED_VALUE"""),25000.0)</f>
        <v>25000</v>
      </c>
      <c r="J5554" s="6">
        <f>IFERROR(__xludf.DUMMYFUNCTION("""COMPUTED_VALUE"""),625000.0)</f>
        <v>625000</v>
      </c>
      <c r="K5554" s="57">
        <f>IFERROR(__xludf.DUMMYFUNCTION("""COMPUTED_VALUE"""),46304.0)</f>
        <v>46304</v>
      </c>
      <c r="L5554" s="6" t="str">
        <f>IFERROR(__xludf.DUMMYFUNCTION("""COMPUTED_VALUE"""),"FIP Engineering")</f>
        <v>FIP Engineering</v>
      </c>
      <c r="M5554" s="6" t="str">
        <f>IFERROR(__xludf.DUMMYFUNCTION("""COMPUTED_VALUE"""),"Mochammad Fadhillah Hakim,")</f>
        <v>Mochammad Fadhillah Hakim,</v>
      </c>
      <c r="N5554" s="6" t="str">
        <f>IFERROR(__xludf.DUMMYFUNCTION("""COMPUTED_VALUE"""),"FIP Engineering")</f>
        <v>FIP Engineering</v>
      </c>
      <c r="O5554" s="6" t="str">
        <f>IFERROR(__xludf.DUMMYFUNCTION("""COMPUTED_VALUE"""),"FIP-DOM-000-11304-OS00001-INA-000000")</f>
        <v>FIP-DOM-000-11304-OS00001-INA-000000</v>
      </c>
      <c r="P5554" s="6" t="str">
        <f>IFERROR(__xludf.DUMMYFUNCTION("""COMPUTED_VALUE"""),"PR Open")</f>
        <v>PR Open</v>
      </c>
      <c r="Q5554" s="6"/>
      <c r="R5554" s="57">
        <f>IFERROR(__xludf.DUMMYFUNCTION("""COMPUTED_VALUE"""),46273.0)</f>
        <v>46273</v>
      </c>
      <c r="S5554" s="57">
        <f>IFERROR(__xludf.DUMMYFUNCTION("""COMPUTED_VALUE"""),46274.0)</f>
        <v>46274</v>
      </c>
      <c r="T5554" s="6"/>
    </row>
    <row r="5555">
      <c r="A5555" s="6" t="str">
        <f>IFERROR(__xludf.DUMMYFUNCTION("""COMPUTED_VALUE"""),"121704630-1")</f>
        <v>121704630-1</v>
      </c>
      <c r="B5555" s="6" t="str">
        <f>IFERROR(__xludf.DUMMYFUNCTION("""COMPUTED_VALUE"""),"121704630 - APPROVED")</f>
        <v>121704630 - APPROVED</v>
      </c>
      <c r="C5555" s="6">
        <f>IFERROR(__xludf.DUMMYFUNCTION("""COMPUTED_VALUE"""),1.0)</f>
        <v>1</v>
      </c>
      <c r="D5555" s="6" t="str">
        <f>IFERROR(__xludf.DUMMYFUNCTION("""COMPUTED_VALUE"""),"O-53510-00")</f>
        <v>O-53510-00</v>
      </c>
      <c r="E5555" s="6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F5555" s="6">
        <f>IFERROR(__xludf.DUMMYFUNCTION("""COMPUTED_VALUE"""),8.0)</f>
        <v>8</v>
      </c>
      <c r="G5555" s="6" t="str">
        <f>IFERROR(__xludf.DUMMYFUNCTION("""COMPUTED_VALUE"""),"Pieces")</f>
        <v>Pieces</v>
      </c>
      <c r="H5555" s="6" t="str">
        <f>IFERROR(__xludf.DUMMYFUNCTION("""COMPUTED_VALUE"""),"IDR")</f>
        <v>IDR</v>
      </c>
      <c r="I5555" s="6">
        <f>IFERROR(__xludf.DUMMYFUNCTION("""COMPUTED_VALUE"""),955000.0)</f>
        <v>955000</v>
      </c>
      <c r="J5555" s="6">
        <f>IFERROR(__xludf.DUMMYFUNCTION("""COMPUTED_VALUE"""),7640000.0)</f>
        <v>7640000</v>
      </c>
      <c r="K5555" s="57">
        <f>IFERROR(__xludf.DUMMYFUNCTION("""COMPUTED_VALUE"""),46318.0)</f>
        <v>46318</v>
      </c>
      <c r="L5555" s="6" t="str">
        <f>IFERROR(__xludf.DUMMYFUNCTION("""COMPUTED_VALUE"""),"FIP Engineering")</f>
        <v>FIP Engineering</v>
      </c>
      <c r="M5555" s="6" t="str">
        <f>IFERROR(__xludf.DUMMYFUNCTION("""COMPUTED_VALUE"""),"Mochammad Fadhillah Hakim,")</f>
        <v>Mochammad Fadhillah Hakim,</v>
      </c>
      <c r="N5555" s="6" t="str">
        <f>IFERROR(__xludf.DUMMYFUNCTION("""COMPUTED_VALUE"""),"FIP Engineering")</f>
        <v>FIP Engineering</v>
      </c>
      <c r="O5555" s="6" t="str">
        <f>IFERROR(__xludf.DUMMYFUNCTION("""COMPUTED_VALUE"""),"FIP-DOM-000-11304-OS00001-INA-000000")</f>
        <v>FIP-DOM-000-11304-OS00001-INA-000000</v>
      </c>
      <c r="P5555" s="6" t="str">
        <f>IFERROR(__xludf.DUMMYFUNCTION("""COMPUTED_VALUE"""),"PR Open")</f>
        <v>PR Open</v>
      </c>
      <c r="Q5555" s="6"/>
      <c r="R5555" s="57">
        <f>IFERROR(__xludf.DUMMYFUNCTION("""COMPUTED_VALUE"""),46273.0)</f>
        <v>46273</v>
      </c>
      <c r="S5555" s="57">
        <f>IFERROR(__xludf.DUMMYFUNCTION("""COMPUTED_VALUE"""),46274.0)</f>
        <v>46274</v>
      </c>
      <c r="T5555" s="6"/>
    </row>
    <row r="5556">
      <c r="A5556" s="6" t="str">
        <f>IFERROR(__xludf.DUMMYFUNCTION("""COMPUTED_VALUE"""),"121704631-1")</f>
        <v>121704631-1</v>
      </c>
      <c r="B5556" s="6" t="str">
        <f>IFERROR(__xludf.DUMMYFUNCTION("""COMPUTED_VALUE"""),"121704631 - APPROVED")</f>
        <v>121704631 - APPROVED</v>
      </c>
      <c r="C5556" s="6">
        <f>IFERROR(__xludf.DUMMYFUNCTION("""COMPUTED_VALUE"""),1.0)</f>
        <v>1</v>
      </c>
      <c r="D5556" s="6" t="str">
        <f>IFERROR(__xludf.DUMMYFUNCTION("""COMPUTED_VALUE"""),"P-12487-00")</f>
        <v>P-12487-00</v>
      </c>
      <c r="E5556" s="6" t="str">
        <f>IFERROR(__xludf.DUMMYFUNCTION("""COMPUTED_VALUE"""),"General - Mata Bor Besi, dia. 3.5 mm; NACHI; -; 1 pcs")</f>
        <v>General - Mata Bor Besi, dia. 3.5 mm; NACHI; -; 1 pcs</v>
      </c>
      <c r="F5556" s="6">
        <f>IFERROR(__xludf.DUMMYFUNCTION("""COMPUTED_VALUE"""),10.0)</f>
        <v>10</v>
      </c>
      <c r="G5556" s="6" t="str">
        <f>IFERROR(__xludf.DUMMYFUNCTION("""COMPUTED_VALUE"""),"Pieces")</f>
        <v>Pieces</v>
      </c>
      <c r="H5556" s="6" t="str">
        <f>IFERROR(__xludf.DUMMYFUNCTION("""COMPUTED_VALUE"""),"IDR")</f>
        <v>IDR</v>
      </c>
      <c r="I5556" s="6">
        <f>IFERROR(__xludf.DUMMYFUNCTION("""COMPUTED_VALUE"""),30000.0)</f>
        <v>30000</v>
      </c>
      <c r="J5556" s="6">
        <f>IFERROR(__xludf.DUMMYFUNCTION("""COMPUTED_VALUE"""),300000.0)</f>
        <v>300000</v>
      </c>
      <c r="K5556" s="57">
        <f>IFERROR(__xludf.DUMMYFUNCTION("""COMPUTED_VALUE"""),46304.0)</f>
        <v>46304</v>
      </c>
      <c r="L5556" s="6" t="str">
        <f>IFERROR(__xludf.DUMMYFUNCTION("""COMPUTED_VALUE"""),"FIP Engineering")</f>
        <v>FIP Engineering</v>
      </c>
      <c r="M5556" s="6" t="str">
        <f>IFERROR(__xludf.DUMMYFUNCTION("""COMPUTED_VALUE"""),"Mochammad Fadhillah Hakim,")</f>
        <v>Mochammad Fadhillah Hakim,</v>
      </c>
      <c r="N5556" s="6" t="str">
        <f>IFERROR(__xludf.DUMMYFUNCTION("""COMPUTED_VALUE"""),"FIP Engineering")</f>
        <v>FIP Engineering</v>
      </c>
      <c r="O5556" s="6" t="str">
        <f>IFERROR(__xludf.DUMMYFUNCTION("""COMPUTED_VALUE"""),"FIP-DOM-000-11304-OS00001-INA-000000")</f>
        <v>FIP-DOM-000-11304-OS00001-INA-000000</v>
      </c>
      <c r="P5556" s="6" t="str">
        <f>IFERROR(__xludf.DUMMYFUNCTION("""COMPUTED_VALUE"""),"PR Open")</f>
        <v>PR Open</v>
      </c>
      <c r="Q5556" s="6"/>
      <c r="R5556" s="57">
        <f>IFERROR(__xludf.DUMMYFUNCTION("""COMPUTED_VALUE"""),46273.0)</f>
        <v>46273</v>
      </c>
      <c r="S5556" s="57">
        <f>IFERROR(__xludf.DUMMYFUNCTION("""COMPUTED_VALUE"""),46274.0)</f>
        <v>46274</v>
      </c>
      <c r="T5556" s="6"/>
    </row>
    <row r="5557">
      <c r="A5557" s="6" t="str">
        <f>IFERROR(__xludf.DUMMYFUNCTION("""COMPUTED_VALUE"""),"121704631-2")</f>
        <v>121704631-2</v>
      </c>
      <c r="B5557" s="6" t="str">
        <f>IFERROR(__xludf.DUMMYFUNCTION("""COMPUTED_VALUE"""),"121704631 - APPROVED")</f>
        <v>121704631 - APPROVED</v>
      </c>
      <c r="C5557" s="6">
        <f>IFERROR(__xludf.DUMMYFUNCTION("""COMPUTED_VALUE"""),2.0)</f>
        <v>2</v>
      </c>
      <c r="D5557" s="6" t="str">
        <f>IFERROR(__xludf.DUMMYFUNCTION("""COMPUTED_VALUE"""),"P-12488-00")</f>
        <v>P-12488-00</v>
      </c>
      <c r="E5557" s="6" t="str">
        <f>IFERROR(__xludf.DUMMYFUNCTION("""COMPUTED_VALUE"""),"General - Mata Bor Besi, dia. 4 mm; NACHI; -; 1 pcs")</f>
        <v>General - Mata Bor Besi, dia. 4 mm; NACHI; -; 1 pcs</v>
      </c>
      <c r="F5557" s="6">
        <f>IFERROR(__xludf.DUMMYFUNCTION("""COMPUTED_VALUE"""),10.0)</f>
        <v>10</v>
      </c>
      <c r="G5557" s="6" t="str">
        <f>IFERROR(__xludf.DUMMYFUNCTION("""COMPUTED_VALUE"""),"Pieces")</f>
        <v>Pieces</v>
      </c>
      <c r="H5557" s="6" t="str">
        <f>IFERROR(__xludf.DUMMYFUNCTION("""COMPUTED_VALUE"""),"IDR")</f>
        <v>IDR</v>
      </c>
      <c r="I5557" s="6">
        <f>IFERROR(__xludf.DUMMYFUNCTION("""COMPUTED_VALUE"""),30000.0)</f>
        <v>30000</v>
      </c>
      <c r="J5557" s="6">
        <f>IFERROR(__xludf.DUMMYFUNCTION("""COMPUTED_VALUE"""),300000.0)</f>
        <v>300000</v>
      </c>
      <c r="K5557" s="57">
        <f>IFERROR(__xludf.DUMMYFUNCTION("""COMPUTED_VALUE"""),46304.0)</f>
        <v>46304</v>
      </c>
      <c r="L5557" s="6" t="str">
        <f>IFERROR(__xludf.DUMMYFUNCTION("""COMPUTED_VALUE"""),"FIP Engineering")</f>
        <v>FIP Engineering</v>
      </c>
      <c r="M5557" s="6" t="str">
        <f>IFERROR(__xludf.DUMMYFUNCTION("""COMPUTED_VALUE"""),"Mochammad Fadhillah Hakim,")</f>
        <v>Mochammad Fadhillah Hakim,</v>
      </c>
      <c r="N5557" s="6" t="str">
        <f>IFERROR(__xludf.DUMMYFUNCTION("""COMPUTED_VALUE"""),"FIP Engineering")</f>
        <v>FIP Engineering</v>
      </c>
      <c r="O5557" s="6" t="str">
        <f>IFERROR(__xludf.DUMMYFUNCTION("""COMPUTED_VALUE"""),"FIP-DOM-000-11304-OS00001-INA-000000")</f>
        <v>FIP-DOM-000-11304-OS00001-INA-000000</v>
      </c>
      <c r="P5557" s="6" t="str">
        <f>IFERROR(__xludf.DUMMYFUNCTION("""COMPUTED_VALUE"""),"PR Open")</f>
        <v>PR Open</v>
      </c>
      <c r="Q5557" s="6"/>
      <c r="R5557" s="57">
        <f>IFERROR(__xludf.DUMMYFUNCTION("""COMPUTED_VALUE"""),46273.0)</f>
        <v>46273</v>
      </c>
      <c r="S5557" s="57">
        <f>IFERROR(__xludf.DUMMYFUNCTION("""COMPUTED_VALUE"""),46274.0)</f>
        <v>46274</v>
      </c>
      <c r="T5557" s="6"/>
    </row>
    <row r="5558">
      <c r="A5558" s="6" t="str">
        <f>IFERROR(__xludf.DUMMYFUNCTION("""COMPUTED_VALUE"""),"121704631-3")</f>
        <v>121704631-3</v>
      </c>
      <c r="B5558" s="6" t="str">
        <f>IFERROR(__xludf.DUMMYFUNCTION("""COMPUTED_VALUE"""),"121704631 - APPROVED")</f>
        <v>121704631 - APPROVED</v>
      </c>
      <c r="C5558" s="6">
        <f>IFERROR(__xludf.DUMMYFUNCTION("""COMPUTED_VALUE"""),3.0)</f>
        <v>3</v>
      </c>
      <c r="D5558" s="6" t="str">
        <f>IFERROR(__xludf.DUMMYFUNCTION("""COMPUTED_VALUE"""),"P-17857-00")</f>
        <v>P-17857-00</v>
      </c>
      <c r="E5558" s="6" t="str">
        <f>IFERROR(__xludf.DUMMYFUNCTION("""COMPUTED_VALUE"""),"General - Mata Bor Besi, dia. 4.5 mm; NACHI; -; 1 pcs")</f>
        <v>General - Mata Bor Besi, dia. 4.5 mm; NACHI; -; 1 pcs</v>
      </c>
      <c r="F5558" s="6">
        <f>IFERROR(__xludf.DUMMYFUNCTION("""COMPUTED_VALUE"""),15.0)</f>
        <v>15</v>
      </c>
      <c r="G5558" s="6" t="str">
        <f>IFERROR(__xludf.DUMMYFUNCTION("""COMPUTED_VALUE"""),"Pieces")</f>
        <v>Pieces</v>
      </c>
      <c r="H5558" s="6" t="str">
        <f>IFERROR(__xludf.DUMMYFUNCTION("""COMPUTED_VALUE"""),"IDR")</f>
        <v>IDR</v>
      </c>
      <c r="I5558" s="6">
        <f>IFERROR(__xludf.DUMMYFUNCTION("""COMPUTED_VALUE"""),35000.0)</f>
        <v>35000</v>
      </c>
      <c r="J5558" s="6">
        <f>IFERROR(__xludf.DUMMYFUNCTION("""COMPUTED_VALUE"""),525000.0)</f>
        <v>525000</v>
      </c>
      <c r="K5558" s="57">
        <f>IFERROR(__xludf.DUMMYFUNCTION("""COMPUTED_VALUE"""),46304.0)</f>
        <v>46304</v>
      </c>
      <c r="L5558" s="6" t="str">
        <f>IFERROR(__xludf.DUMMYFUNCTION("""COMPUTED_VALUE"""),"FIP Engineering")</f>
        <v>FIP Engineering</v>
      </c>
      <c r="M5558" s="6" t="str">
        <f>IFERROR(__xludf.DUMMYFUNCTION("""COMPUTED_VALUE"""),"Mochammad Fadhillah Hakim,")</f>
        <v>Mochammad Fadhillah Hakim,</v>
      </c>
      <c r="N5558" s="6" t="str">
        <f>IFERROR(__xludf.DUMMYFUNCTION("""COMPUTED_VALUE"""),"FIP Engineering")</f>
        <v>FIP Engineering</v>
      </c>
      <c r="O5558" s="6" t="str">
        <f>IFERROR(__xludf.DUMMYFUNCTION("""COMPUTED_VALUE"""),"FIP-DOM-000-11304-OS00001-INA-000000")</f>
        <v>FIP-DOM-000-11304-OS00001-INA-000000</v>
      </c>
      <c r="P5558" s="6" t="str">
        <f>IFERROR(__xludf.DUMMYFUNCTION("""COMPUTED_VALUE"""),"PR Open")</f>
        <v>PR Open</v>
      </c>
      <c r="Q5558" s="6"/>
      <c r="R5558" s="57">
        <f>IFERROR(__xludf.DUMMYFUNCTION("""COMPUTED_VALUE"""),46273.0)</f>
        <v>46273</v>
      </c>
      <c r="S5558" s="57">
        <f>IFERROR(__xludf.DUMMYFUNCTION("""COMPUTED_VALUE"""),46274.0)</f>
        <v>46274</v>
      </c>
      <c r="T5558" s="6"/>
    </row>
    <row r="5559">
      <c r="A5559" s="6" t="str">
        <f>IFERROR(__xludf.DUMMYFUNCTION("""COMPUTED_VALUE"""),"121704631-4")</f>
        <v>121704631-4</v>
      </c>
      <c r="B5559" s="6" t="str">
        <f>IFERROR(__xludf.DUMMYFUNCTION("""COMPUTED_VALUE"""),"121704631 - APPROVED")</f>
        <v>121704631 - APPROVED</v>
      </c>
      <c r="C5559" s="6">
        <f>IFERROR(__xludf.DUMMYFUNCTION("""COMPUTED_VALUE"""),4.0)</f>
        <v>4</v>
      </c>
      <c r="D5559" s="6" t="str">
        <f>IFERROR(__xludf.DUMMYFUNCTION("""COMPUTED_VALUE"""),"P-18428-00")</f>
        <v>P-18428-00</v>
      </c>
      <c r="E5559" s="6" t="str">
        <f>IFERROR(__xludf.DUMMYFUNCTION("""COMPUTED_VALUE"""),"General - Paku Rivet 4.8 x 11; SIP; SP-640; 500pcs/box")</f>
        <v>General - Paku Rivet 4.8 x 11; SIP; SP-640; 500pcs/box</v>
      </c>
      <c r="F5559" s="6">
        <f>IFERROR(__xludf.DUMMYFUNCTION("""COMPUTED_VALUE"""),1.0)</f>
        <v>1</v>
      </c>
      <c r="G5559" s="6" t="str">
        <f>IFERROR(__xludf.DUMMYFUNCTION("""COMPUTED_VALUE"""),"Box")</f>
        <v>Box</v>
      </c>
      <c r="H5559" s="6" t="str">
        <f>IFERROR(__xludf.DUMMYFUNCTION("""COMPUTED_VALUE"""),"IDR")</f>
        <v>IDR</v>
      </c>
      <c r="I5559" s="6">
        <f>IFERROR(__xludf.DUMMYFUNCTION("""COMPUTED_VALUE"""),15000.0)</f>
        <v>15000</v>
      </c>
      <c r="J5559" s="6">
        <f>IFERROR(__xludf.DUMMYFUNCTION("""COMPUTED_VALUE"""),15000.0)</f>
        <v>15000</v>
      </c>
      <c r="K5559" s="57">
        <f>IFERROR(__xludf.DUMMYFUNCTION("""COMPUTED_VALUE"""),46304.0)</f>
        <v>46304</v>
      </c>
      <c r="L5559" s="6" t="str">
        <f>IFERROR(__xludf.DUMMYFUNCTION("""COMPUTED_VALUE"""),"FIP Engineering")</f>
        <v>FIP Engineering</v>
      </c>
      <c r="M5559" s="6" t="str">
        <f>IFERROR(__xludf.DUMMYFUNCTION("""COMPUTED_VALUE"""),"Mochammad Fadhillah Hakim,")</f>
        <v>Mochammad Fadhillah Hakim,</v>
      </c>
      <c r="N5559" s="6" t="str">
        <f>IFERROR(__xludf.DUMMYFUNCTION("""COMPUTED_VALUE"""),"FIP Engineering")</f>
        <v>FIP Engineering</v>
      </c>
      <c r="O5559" s="6" t="str">
        <f>IFERROR(__xludf.DUMMYFUNCTION("""COMPUTED_VALUE"""),"FIP-DOM-000-11304-OS00001-INA-000000")</f>
        <v>FIP-DOM-000-11304-OS00001-INA-000000</v>
      </c>
      <c r="P5559" s="6" t="str">
        <f>IFERROR(__xludf.DUMMYFUNCTION("""COMPUTED_VALUE"""),"PR Open")</f>
        <v>PR Open</v>
      </c>
      <c r="Q5559" s="6"/>
      <c r="R5559" s="57">
        <f>IFERROR(__xludf.DUMMYFUNCTION("""COMPUTED_VALUE"""),46273.0)</f>
        <v>46273</v>
      </c>
      <c r="S5559" s="57">
        <f>IFERROR(__xludf.DUMMYFUNCTION("""COMPUTED_VALUE"""),46274.0)</f>
        <v>46274</v>
      </c>
      <c r="T5559" s="6"/>
    </row>
    <row r="5560">
      <c r="A5560" s="6" t="str">
        <f>IFERROR(__xludf.DUMMYFUNCTION("""COMPUTED_VALUE"""),"121704631-5")</f>
        <v>121704631-5</v>
      </c>
      <c r="B5560" s="6" t="str">
        <f>IFERROR(__xludf.DUMMYFUNCTION("""COMPUTED_VALUE"""),"121704631 - APPROVED")</f>
        <v>121704631 - APPROVED</v>
      </c>
      <c r="C5560" s="6">
        <f>IFERROR(__xludf.DUMMYFUNCTION("""COMPUTED_VALUE"""),5.0)</f>
        <v>5</v>
      </c>
      <c r="D5560" s="6" t="str">
        <f>IFERROR(__xludf.DUMMYFUNCTION("""COMPUTED_VALUE"""),"P-20778-00")</f>
        <v>P-20778-00</v>
      </c>
      <c r="E5560" s="6" t="str">
        <f>IFERROR(__xludf.DUMMYFUNCTION("""COMPUTED_VALUE"""),"General - Mata Bor Besi dia. 5,5mm; Nachi; -; 1 pc")</f>
        <v>General - Mata Bor Besi dia. 5,5mm; Nachi; -; 1 pc</v>
      </c>
      <c r="F5560" s="6">
        <f>IFERROR(__xludf.DUMMYFUNCTION("""COMPUTED_VALUE"""),10.0)</f>
        <v>10</v>
      </c>
      <c r="G5560" s="6" t="str">
        <f>IFERROR(__xludf.DUMMYFUNCTION("""COMPUTED_VALUE"""),"Pieces")</f>
        <v>Pieces</v>
      </c>
      <c r="H5560" s="6" t="str">
        <f>IFERROR(__xludf.DUMMYFUNCTION("""COMPUTED_VALUE"""),"IDR")</f>
        <v>IDR</v>
      </c>
      <c r="I5560" s="6">
        <f>IFERROR(__xludf.DUMMYFUNCTION("""COMPUTED_VALUE"""),40000.0)</f>
        <v>40000</v>
      </c>
      <c r="J5560" s="6">
        <f>IFERROR(__xludf.DUMMYFUNCTION("""COMPUTED_VALUE"""),400000.0)</f>
        <v>400000</v>
      </c>
      <c r="K5560" s="57">
        <f>IFERROR(__xludf.DUMMYFUNCTION("""COMPUTED_VALUE"""),46304.0)</f>
        <v>46304</v>
      </c>
      <c r="L5560" s="6" t="str">
        <f>IFERROR(__xludf.DUMMYFUNCTION("""COMPUTED_VALUE"""),"FIP Engineering")</f>
        <v>FIP Engineering</v>
      </c>
      <c r="M5560" s="6" t="str">
        <f>IFERROR(__xludf.DUMMYFUNCTION("""COMPUTED_VALUE"""),"Mochammad Fadhillah Hakim,")</f>
        <v>Mochammad Fadhillah Hakim,</v>
      </c>
      <c r="N5560" s="6" t="str">
        <f>IFERROR(__xludf.DUMMYFUNCTION("""COMPUTED_VALUE"""),"FIP Engineering")</f>
        <v>FIP Engineering</v>
      </c>
      <c r="O5560" s="6" t="str">
        <f>IFERROR(__xludf.DUMMYFUNCTION("""COMPUTED_VALUE"""),"FIP-DOM-000-11304-OS00001-INA-000000")</f>
        <v>FIP-DOM-000-11304-OS00001-INA-000000</v>
      </c>
      <c r="P5560" s="6" t="str">
        <f>IFERROR(__xludf.DUMMYFUNCTION("""COMPUTED_VALUE"""),"PR Open")</f>
        <v>PR Open</v>
      </c>
      <c r="Q5560" s="6"/>
      <c r="R5560" s="57">
        <f>IFERROR(__xludf.DUMMYFUNCTION("""COMPUTED_VALUE"""),46273.0)</f>
        <v>46273</v>
      </c>
      <c r="S5560" s="57">
        <f>IFERROR(__xludf.DUMMYFUNCTION("""COMPUTED_VALUE"""),46274.0)</f>
        <v>46274</v>
      </c>
      <c r="T5560" s="6"/>
    </row>
    <row r="5561">
      <c r="A5561" s="6" t="str">
        <f>IFERROR(__xludf.DUMMYFUNCTION("""COMPUTED_VALUE"""),"121704631-6")</f>
        <v>121704631-6</v>
      </c>
      <c r="B5561" s="6" t="str">
        <f>IFERROR(__xludf.DUMMYFUNCTION("""COMPUTED_VALUE"""),"121704631 - APPROVED")</f>
        <v>121704631 - APPROVED</v>
      </c>
      <c r="C5561" s="6">
        <f>IFERROR(__xludf.DUMMYFUNCTION("""COMPUTED_VALUE"""),6.0)</f>
        <v>6</v>
      </c>
      <c r="D5561" s="6" t="str">
        <f>IFERROR(__xludf.DUMMYFUNCTION("""COMPUTED_VALUE"""),"P-20882-00")</f>
        <v>P-20882-00</v>
      </c>
      <c r="E5561" s="6" t="str">
        <f>IFERROR(__xludf.DUMMYFUNCTION("""COMPUTED_VALUE"""),"General - Ferrule Sanitary SS304 1/2 Inch; No Brand; -; 1 set")</f>
        <v>General - Ferrule Sanitary SS304 1/2 Inch; No Brand; -; 1 set</v>
      </c>
      <c r="F5561" s="6">
        <f>IFERROR(__xludf.DUMMYFUNCTION("""COMPUTED_VALUE"""),3.0)</f>
        <v>3</v>
      </c>
      <c r="G5561" s="6" t="str">
        <f>IFERROR(__xludf.DUMMYFUNCTION("""COMPUTED_VALUE"""),"Set")</f>
        <v>Set</v>
      </c>
      <c r="H5561" s="6" t="str">
        <f>IFERROR(__xludf.DUMMYFUNCTION("""COMPUTED_VALUE"""),"IDR")</f>
        <v>IDR</v>
      </c>
      <c r="I5561" s="6">
        <f>IFERROR(__xludf.DUMMYFUNCTION("""COMPUTED_VALUE"""),150000.0)</f>
        <v>150000</v>
      </c>
      <c r="J5561" s="6">
        <f>IFERROR(__xludf.DUMMYFUNCTION("""COMPUTED_VALUE"""),450000.0)</f>
        <v>450000</v>
      </c>
      <c r="K5561" s="57">
        <f>IFERROR(__xludf.DUMMYFUNCTION("""COMPUTED_VALUE"""),46304.0)</f>
        <v>46304</v>
      </c>
      <c r="L5561" s="6" t="str">
        <f>IFERROR(__xludf.DUMMYFUNCTION("""COMPUTED_VALUE"""),"FIP Engineering")</f>
        <v>FIP Engineering</v>
      </c>
      <c r="M5561" s="6" t="str">
        <f>IFERROR(__xludf.DUMMYFUNCTION("""COMPUTED_VALUE"""),"Mochammad Fadhillah Hakim,")</f>
        <v>Mochammad Fadhillah Hakim,</v>
      </c>
      <c r="N5561" s="6" t="str">
        <f>IFERROR(__xludf.DUMMYFUNCTION("""COMPUTED_VALUE"""),"FIP Engineering")</f>
        <v>FIP Engineering</v>
      </c>
      <c r="O5561" s="6" t="str">
        <f>IFERROR(__xludf.DUMMYFUNCTION("""COMPUTED_VALUE"""),"FIP-DOM-000-11304-OS00001-INA-000000")</f>
        <v>FIP-DOM-000-11304-OS00001-INA-000000</v>
      </c>
      <c r="P5561" s="6" t="str">
        <f>IFERROR(__xludf.DUMMYFUNCTION("""COMPUTED_VALUE"""),"PR Open")</f>
        <v>PR Open</v>
      </c>
      <c r="Q5561" s="6"/>
      <c r="R5561" s="57">
        <f>IFERROR(__xludf.DUMMYFUNCTION("""COMPUTED_VALUE"""),46273.0)</f>
        <v>46273</v>
      </c>
      <c r="S5561" s="57">
        <f>IFERROR(__xludf.DUMMYFUNCTION("""COMPUTED_VALUE"""),46274.0)</f>
        <v>46274</v>
      </c>
      <c r="T5561" s="6"/>
    </row>
    <row r="5562">
      <c r="A5562" s="6" t="str">
        <f>IFERROR(__xludf.DUMMYFUNCTION("""COMPUTED_VALUE"""),"121704631-7")</f>
        <v>121704631-7</v>
      </c>
      <c r="B5562" s="6" t="str">
        <f>IFERROR(__xludf.DUMMYFUNCTION("""COMPUTED_VALUE"""),"121704631 - APPROVED")</f>
        <v>121704631 - APPROVED</v>
      </c>
      <c r="C5562" s="6">
        <f>IFERROR(__xludf.DUMMYFUNCTION("""COMPUTED_VALUE"""),7.0)</f>
        <v>7</v>
      </c>
      <c r="D5562" s="6" t="str">
        <f>IFERROR(__xludf.DUMMYFUNCTION("""COMPUTED_VALUE"""),"P-20926-00")</f>
        <v>P-20926-00</v>
      </c>
      <c r="E5562" s="6" t="str">
        <f>IFERROR(__xludf.DUMMYFUNCTION("""COMPUTED_VALUE"""),"General - Glacier Tanks Butterfly Valve SS304 Tri Clamp 1.5 Inch Pull Handle F8215; No Brand; -; 1 pc")</f>
        <v>General - Glacier Tanks Butterfly Valve SS304 Tri Clamp 1.5 Inch Pull Handle F8215; No Brand; -; 1 pc</v>
      </c>
      <c r="F5562" s="6">
        <f>IFERROR(__xludf.DUMMYFUNCTION("""COMPUTED_VALUE"""),1.0)</f>
        <v>1</v>
      </c>
      <c r="G5562" s="6" t="str">
        <f>IFERROR(__xludf.DUMMYFUNCTION("""COMPUTED_VALUE"""),"Pieces")</f>
        <v>Pieces</v>
      </c>
      <c r="H5562" s="6" t="str">
        <f>IFERROR(__xludf.DUMMYFUNCTION("""COMPUTED_VALUE"""),"IDR")</f>
        <v>IDR</v>
      </c>
      <c r="I5562" s="6">
        <f>IFERROR(__xludf.DUMMYFUNCTION("""COMPUTED_VALUE"""),2250000.0)</f>
        <v>2250000</v>
      </c>
      <c r="J5562" s="6">
        <f>IFERROR(__xludf.DUMMYFUNCTION("""COMPUTED_VALUE"""),2250000.0)</f>
        <v>2250000</v>
      </c>
      <c r="K5562" s="57">
        <f>IFERROR(__xludf.DUMMYFUNCTION("""COMPUTED_VALUE"""),46304.0)</f>
        <v>46304</v>
      </c>
      <c r="L5562" s="6" t="str">
        <f>IFERROR(__xludf.DUMMYFUNCTION("""COMPUTED_VALUE"""),"FIP Engineering")</f>
        <v>FIP Engineering</v>
      </c>
      <c r="M5562" s="6" t="str">
        <f>IFERROR(__xludf.DUMMYFUNCTION("""COMPUTED_VALUE"""),"Mochammad Fadhillah Hakim,")</f>
        <v>Mochammad Fadhillah Hakim,</v>
      </c>
      <c r="N5562" s="6" t="str">
        <f>IFERROR(__xludf.DUMMYFUNCTION("""COMPUTED_VALUE"""),"FIP Engineering")</f>
        <v>FIP Engineering</v>
      </c>
      <c r="O5562" s="6" t="str">
        <f>IFERROR(__xludf.DUMMYFUNCTION("""COMPUTED_VALUE"""),"FIP-DOM-000-11304-OS00001-INA-000000")</f>
        <v>FIP-DOM-000-11304-OS00001-INA-000000</v>
      </c>
      <c r="P5562" s="6" t="str">
        <f>IFERROR(__xludf.DUMMYFUNCTION("""COMPUTED_VALUE"""),"PR Open")</f>
        <v>PR Open</v>
      </c>
      <c r="Q5562" s="6"/>
      <c r="R5562" s="57">
        <f>IFERROR(__xludf.DUMMYFUNCTION("""COMPUTED_VALUE"""),46273.0)</f>
        <v>46273</v>
      </c>
      <c r="S5562" s="57">
        <f>IFERROR(__xludf.DUMMYFUNCTION("""COMPUTED_VALUE"""),46274.0)</f>
        <v>46274</v>
      </c>
      <c r="T5562" s="6"/>
    </row>
    <row r="5563">
      <c r="A5563" s="6" t="str">
        <f>IFERROR(__xludf.DUMMYFUNCTION("""COMPUTED_VALUE"""),"121704631-8")</f>
        <v>121704631-8</v>
      </c>
      <c r="B5563" s="6" t="str">
        <f>IFERROR(__xludf.DUMMYFUNCTION("""COMPUTED_VALUE"""),"121704631 - APPROVED")</f>
        <v>121704631 - APPROVED</v>
      </c>
      <c r="C5563" s="6">
        <f>IFERROR(__xludf.DUMMYFUNCTION("""COMPUTED_VALUE"""),8.0)</f>
        <v>8</v>
      </c>
      <c r="D5563" s="6" t="str">
        <f>IFERROR(__xludf.DUMMYFUNCTION("""COMPUTED_VALUE"""),"P-20939-00")</f>
        <v>P-20939-00</v>
      </c>
      <c r="E5563" s="6" t="str">
        <f>IFERROR(__xludf.DUMMYFUNCTION("""COMPUTED_VALUE"""),"General - Dop Pipa SS201 Uk. 1 1/4 Inch; No Brand; -; 1 pc")</f>
        <v>General - Dop Pipa SS201 Uk. 1 1/4 Inch; No Brand; -; 1 pc</v>
      </c>
      <c r="F5563" s="6">
        <f>IFERROR(__xludf.DUMMYFUNCTION("""COMPUTED_VALUE"""),30.0)</f>
        <v>30</v>
      </c>
      <c r="G5563" s="6" t="str">
        <f>IFERROR(__xludf.DUMMYFUNCTION("""COMPUTED_VALUE"""),"Pieces")</f>
        <v>Pieces</v>
      </c>
      <c r="H5563" s="6" t="str">
        <f>IFERROR(__xludf.DUMMYFUNCTION("""COMPUTED_VALUE"""),"IDR")</f>
        <v>IDR</v>
      </c>
      <c r="I5563" s="6">
        <f>IFERROR(__xludf.DUMMYFUNCTION("""COMPUTED_VALUE"""),3500.0)</f>
        <v>3500</v>
      </c>
      <c r="J5563" s="6">
        <f>IFERROR(__xludf.DUMMYFUNCTION("""COMPUTED_VALUE"""),105000.0)</f>
        <v>105000</v>
      </c>
      <c r="K5563" s="57">
        <f>IFERROR(__xludf.DUMMYFUNCTION("""COMPUTED_VALUE"""),46304.0)</f>
        <v>46304</v>
      </c>
      <c r="L5563" s="6" t="str">
        <f>IFERROR(__xludf.DUMMYFUNCTION("""COMPUTED_VALUE"""),"FIP Engineering")</f>
        <v>FIP Engineering</v>
      </c>
      <c r="M5563" s="6" t="str">
        <f>IFERROR(__xludf.DUMMYFUNCTION("""COMPUTED_VALUE"""),"Mochammad Fadhillah Hakim,")</f>
        <v>Mochammad Fadhillah Hakim,</v>
      </c>
      <c r="N5563" s="6" t="str">
        <f>IFERROR(__xludf.DUMMYFUNCTION("""COMPUTED_VALUE"""),"FIP Engineering")</f>
        <v>FIP Engineering</v>
      </c>
      <c r="O5563" s="6" t="str">
        <f>IFERROR(__xludf.DUMMYFUNCTION("""COMPUTED_VALUE"""),"FIP-DOM-000-11304-OS00001-INA-000000")</f>
        <v>FIP-DOM-000-11304-OS00001-INA-000000</v>
      </c>
      <c r="P5563" s="6" t="str">
        <f>IFERROR(__xludf.DUMMYFUNCTION("""COMPUTED_VALUE"""),"PR Open")</f>
        <v>PR Open</v>
      </c>
      <c r="Q5563" s="6"/>
      <c r="R5563" s="57">
        <f>IFERROR(__xludf.DUMMYFUNCTION("""COMPUTED_VALUE"""),46273.0)</f>
        <v>46273</v>
      </c>
      <c r="S5563" s="57">
        <f>IFERROR(__xludf.DUMMYFUNCTION("""COMPUTED_VALUE"""),46274.0)</f>
        <v>46274</v>
      </c>
      <c r="T5563" s="6"/>
    </row>
    <row r="5564">
      <c r="A5564" s="6" t="str">
        <f>IFERROR(__xludf.DUMMYFUNCTION("""COMPUTED_VALUE"""),"121704631-9")</f>
        <v>121704631-9</v>
      </c>
      <c r="B5564" s="6" t="str">
        <f>IFERROR(__xludf.DUMMYFUNCTION("""COMPUTED_VALUE"""),"121704631 - APPROVED")</f>
        <v>121704631 - APPROVED</v>
      </c>
      <c r="C5564" s="6">
        <f>IFERROR(__xludf.DUMMYFUNCTION("""COMPUTED_VALUE"""),9.0)</f>
        <v>9</v>
      </c>
      <c r="D5564" s="6" t="str">
        <f>IFERROR(__xludf.DUMMYFUNCTION("""COMPUTED_VALUE"""),"P-20941-00")</f>
        <v>P-20941-00</v>
      </c>
      <c r="E5564" s="6" t="str">
        <f>IFERROR(__xludf.DUMMYFUNCTION("""COMPUTED_VALUE"""),"General - Flexible Ducting 6 inch + 2 pcs Clamp; No Brand; -; 10 m/pc")</f>
        <v>General - Flexible Ducting 6 inch + 2 pcs Clamp; No Brand; -; 10 m/pc</v>
      </c>
      <c r="F5564" s="6">
        <f>IFERROR(__xludf.DUMMYFUNCTION("""COMPUTED_VALUE"""),2.0)</f>
        <v>2</v>
      </c>
      <c r="G5564" s="6" t="str">
        <f>IFERROR(__xludf.DUMMYFUNCTION("""COMPUTED_VALUE"""),"Pieces")</f>
        <v>Pieces</v>
      </c>
      <c r="H5564" s="6" t="str">
        <f>IFERROR(__xludf.DUMMYFUNCTION("""COMPUTED_VALUE"""),"IDR")</f>
        <v>IDR</v>
      </c>
      <c r="I5564" s="6">
        <f>IFERROR(__xludf.DUMMYFUNCTION("""COMPUTED_VALUE"""),275000.0)</f>
        <v>275000</v>
      </c>
      <c r="J5564" s="6">
        <f>IFERROR(__xludf.DUMMYFUNCTION("""COMPUTED_VALUE"""),550000.0)</f>
        <v>550000</v>
      </c>
      <c r="K5564" s="57">
        <f>IFERROR(__xludf.DUMMYFUNCTION("""COMPUTED_VALUE"""),46304.0)</f>
        <v>46304</v>
      </c>
      <c r="L5564" s="6" t="str">
        <f>IFERROR(__xludf.DUMMYFUNCTION("""COMPUTED_VALUE"""),"FIP Engineering")</f>
        <v>FIP Engineering</v>
      </c>
      <c r="M5564" s="6" t="str">
        <f>IFERROR(__xludf.DUMMYFUNCTION("""COMPUTED_VALUE"""),"Mochammad Fadhillah Hakim,")</f>
        <v>Mochammad Fadhillah Hakim,</v>
      </c>
      <c r="N5564" s="6" t="str">
        <f>IFERROR(__xludf.DUMMYFUNCTION("""COMPUTED_VALUE"""),"FIP Engineering")</f>
        <v>FIP Engineering</v>
      </c>
      <c r="O5564" s="6" t="str">
        <f>IFERROR(__xludf.DUMMYFUNCTION("""COMPUTED_VALUE"""),"FIP-DOM-000-11304-OS00001-INA-000000")</f>
        <v>FIP-DOM-000-11304-OS00001-INA-000000</v>
      </c>
      <c r="P5564" s="6" t="str">
        <f>IFERROR(__xludf.DUMMYFUNCTION("""COMPUTED_VALUE"""),"PR Open")</f>
        <v>PR Open</v>
      </c>
      <c r="Q5564" s="6"/>
      <c r="R5564" s="57">
        <f>IFERROR(__xludf.DUMMYFUNCTION("""COMPUTED_VALUE"""),46273.0)</f>
        <v>46273</v>
      </c>
      <c r="S5564" s="57">
        <f>IFERROR(__xludf.DUMMYFUNCTION("""COMPUTED_VALUE"""),46274.0)</f>
        <v>46274</v>
      </c>
      <c r="T5564" s="6"/>
    </row>
    <row r="5565">
      <c r="A5565" s="6" t="str">
        <f>IFERROR(__xludf.DUMMYFUNCTION("""COMPUTED_VALUE"""),"121704631-10")</f>
        <v>121704631-10</v>
      </c>
      <c r="B5565" s="6" t="str">
        <f>IFERROR(__xludf.DUMMYFUNCTION("""COMPUTED_VALUE"""),"121704631 - APPROVED")</f>
        <v>121704631 - APPROVED</v>
      </c>
      <c r="C5565" s="6">
        <f>IFERROR(__xludf.DUMMYFUNCTION("""COMPUTED_VALUE"""),10.0)</f>
        <v>10</v>
      </c>
      <c r="D5565" s="6" t="str">
        <f>IFERROR(__xludf.DUMMYFUNCTION("""COMPUTED_VALUE"""),"P-20942-00")</f>
        <v>P-20942-00</v>
      </c>
      <c r="E5565" s="6" t="str">
        <f>IFERROR(__xludf.DUMMYFUNCTION("""COMPUTED_VALUE"""),"General - Blind Ferrule SS316L Sanitary Foodgrade 3/4 inch Solid End Cap Dop; No Brand; -; 1 pc")</f>
        <v>General - Blind Ferrule SS316L Sanitary Foodgrade 3/4 inch Solid End Cap Dop; No Brand; -; 1 pc</v>
      </c>
      <c r="F5565" s="6">
        <f>IFERROR(__xludf.DUMMYFUNCTION("""COMPUTED_VALUE"""),10.0)</f>
        <v>10</v>
      </c>
      <c r="G5565" s="6" t="str">
        <f>IFERROR(__xludf.DUMMYFUNCTION("""COMPUTED_VALUE"""),"Pieces")</f>
        <v>Pieces</v>
      </c>
      <c r="H5565" s="6" t="str">
        <f>IFERROR(__xludf.DUMMYFUNCTION("""COMPUTED_VALUE"""),"IDR")</f>
        <v>IDR</v>
      </c>
      <c r="I5565" s="6">
        <f>IFERROR(__xludf.DUMMYFUNCTION("""COMPUTED_VALUE"""),65000.0)</f>
        <v>65000</v>
      </c>
      <c r="J5565" s="6">
        <f>IFERROR(__xludf.DUMMYFUNCTION("""COMPUTED_VALUE"""),650000.0)</f>
        <v>650000</v>
      </c>
      <c r="K5565" s="57">
        <f>IFERROR(__xludf.DUMMYFUNCTION("""COMPUTED_VALUE"""),46304.0)</f>
        <v>46304</v>
      </c>
      <c r="L5565" s="6" t="str">
        <f>IFERROR(__xludf.DUMMYFUNCTION("""COMPUTED_VALUE"""),"FIP Engineering")</f>
        <v>FIP Engineering</v>
      </c>
      <c r="M5565" s="6" t="str">
        <f>IFERROR(__xludf.DUMMYFUNCTION("""COMPUTED_VALUE"""),"Mochammad Fadhillah Hakim,")</f>
        <v>Mochammad Fadhillah Hakim,</v>
      </c>
      <c r="N5565" s="6" t="str">
        <f>IFERROR(__xludf.DUMMYFUNCTION("""COMPUTED_VALUE"""),"FIP Engineering")</f>
        <v>FIP Engineering</v>
      </c>
      <c r="O5565" s="6" t="str">
        <f>IFERROR(__xludf.DUMMYFUNCTION("""COMPUTED_VALUE"""),"FIP-DOM-000-11304-OS00001-INA-000000")</f>
        <v>FIP-DOM-000-11304-OS00001-INA-000000</v>
      </c>
      <c r="P5565" s="6" t="str">
        <f>IFERROR(__xludf.DUMMYFUNCTION("""COMPUTED_VALUE"""),"PR Open")</f>
        <v>PR Open</v>
      </c>
      <c r="Q5565" s="6"/>
      <c r="R5565" s="57">
        <f>IFERROR(__xludf.DUMMYFUNCTION("""COMPUTED_VALUE"""),46273.0)</f>
        <v>46273</v>
      </c>
      <c r="S5565" s="57">
        <f>IFERROR(__xludf.DUMMYFUNCTION("""COMPUTED_VALUE"""),46274.0)</f>
        <v>46274</v>
      </c>
      <c r="T5565" s="6"/>
    </row>
    <row r="5566">
      <c r="A5566" s="6" t="str">
        <f>IFERROR(__xludf.DUMMYFUNCTION("""COMPUTED_VALUE"""),"121704633-1")</f>
        <v>121704633-1</v>
      </c>
      <c r="B5566" s="6" t="str">
        <f>IFERROR(__xludf.DUMMYFUNCTION("""COMPUTED_VALUE"""),"121704633 - APPROVED")</f>
        <v>121704633 - APPROVED</v>
      </c>
      <c r="C5566" s="6">
        <f>IFERROR(__xludf.DUMMYFUNCTION("""COMPUTED_VALUE"""),1.0)</f>
        <v>1</v>
      </c>
      <c r="D5566" s="6" t="str">
        <f>IFERROR(__xludf.DUMMYFUNCTION("""COMPUTED_VALUE"""),"P-20943-00")</f>
        <v>P-20943-00</v>
      </c>
      <c r="E5566" s="6" t="str">
        <f>IFERROR(__xludf.DUMMYFUNCTION("""COMPUTED_VALUE"""),"General - Paku Rivet 4,8 x 12,7mm; SIP; -; 100 g/box")</f>
        <v>General - Paku Rivet 4,8 x 12,7mm; SIP; -; 100 g/box</v>
      </c>
      <c r="F5566" s="6">
        <f>IFERROR(__xludf.DUMMYFUNCTION("""COMPUTED_VALUE"""),1.0)</f>
        <v>1</v>
      </c>
      <c r="G5566" s="6" t="str">
        <f>IFERROR(__xludf.DUMMYFUNCTION("""COMPUTED_VALUE"""),"Box")</f>
        <v>Box</v>
      </c>
      <c r="H5566" s="6" t="str">
        <f>IFERROR(__xludf.DUMMYFUNCTION("""COMPUTED_VALUE"""),"IDR")</f>
        <v>IDR</v>
      </c>
      <c r="I5566" s="6">
        <f>IFERROR(__xludf.DUMMYFUNCTION("""COMPUTED_VALUE"""),27500.0)</f>
        <v>27500</v>
      </c>
      <c r="J5566" s="6">
        <f>IFERROR(__xludf.DUMMYFUNCTION("""COMPUTED_VALUE"""),27500.0)</f>
        <v>27500</v>
      </c>
      <c r="K5566" s="57">
        <f>IFERROR(__xludf.DUMMYFUNCTION("""COMPUTED_VALUE"""),46275.0)</f>
        <v>46275</v>
      </c>
      <c r="L5566" s="6" t="str">
        <f>IFERROR(__xludf.DUMMYFUNCTION("""COMPUTED_VALUE"""),"FIP Engineering")</f>
        <v>FIP Engineering</v>
      </c>
      <c r="M5566" s="6" t="str">
        <f>IFERROR(__xludf.DUMMYFUNCTION("""COMPUTED_VALUE"""),"Mochammad Fadhillah Hakim,")</f>
        <v>Mochammad Fadhillah Hakim,</v>
      </c>
      <c r="N5566" s="6" t="str">
        <f>IFERROR(__xludf.DUMMYFUNCTION("""COMPUTED_VALUE"""),"FIP Engineering")</f>
        <v>FIP Engineering</v>
      </c>
      <c r="O5566" s="6" t="str">
        <f>IFERROR(__xludf.DUMMYFUNCTION("""COMPUTED_VALUE"""),"FIP-DOM-000-11304-OS00001-INA-000000")</f>
        <v>FIP-DOM-000-11304-OS00001-INA-000000</v>
      </c>
      <c r="P5566" s="6" t="str">
        <f>IFERROR(__xludf.DUMMYFUNCTION("""COMPUTED_VALUE"""),"PR Open")</f>
        <v>PR Open</v>
      </c>
      <c r="Q5566" s="6"/>
      <c r="R5566" s="57">
        <f>IFERROR(__xludf.DUMMYFUNCTION("""COMPUTED_VALUE"""),46273.0)</f>
        <v>46273</v>
      </c>
      <c r="S5566" s="57">
        <f>IFERROR(__xludf.DUMMYFUNCTION("""COMPUTED_VALUE"""),46274.0)</f>
        <v>46274</v>
      </c>
      <c r="T5566" s="6"/>
    </row>
    <row r="5567">
      <c r="A5567" s="6" t="str">
        <f>IFERROR(__xludf.DUMMYFUNCTION("""COMPUTED_VALUE"""),"121704633-2")</f>
        <v>121704633-2</v>
      </c>
      <c r="B5567" s="6" t="str">
        <f>IFERROR(__xludf.DUMMYFUNCTION("""COMPUTED_VALUE"""),"121704633 - APPROVED")</f>
        <v>121704633 - APPROVED</v>
      </c>
      <c r="C5567" s="6">
        <f>IFERROR(__xludf.DUMMYFUNCTION("""COMPUTED_VALUE"""),2.0)</f>
        <v>2</v>
      </c>
      <c r="D5567" s="6" t="str">
        <f>IFERROR(__xludf.DUMMYFUNCTION("""COMPUTED_VALUE"""),"P-20957-00")</f>
        <v>P-20957-00</v>
      </c>
      <c r="E5567" s="6" t="str">
        <f>IFERROR(__xludf.DUMMYFUNCTION("""COMPUTED_VALUE"""),"General - Box Control / Earth Rod / Inspection Pit Inc. Busbar; Furse; PT205; 1 pc")</f>
        <v>General - Box Control / Earth Rod / Inspection Pit Inc. Busbar; Furse; PT205; 1 pc</v>
      </c>
      <c r="F5567" s="6">
        <f>IFERROR(__xludf.DUMMYFUNCTION("""COMPUTED_VALUE"""),2.0)</f>
        <v>2</v>
      </c>
      <c r="G5567" s="6" t="str">
        <f>IFERROR(__xludf.DUMMYFUNCTION("""COMPUTED_VALUE"""),"Pieces")</f>
        <v>Pieces</v>
      </c>
      <c r="H5567" s="6" t="str">
        <f>IFERROR(__xludf.DUMMYFUNCTION("""COMPUTED_VALUE"""),"IDR")</f>
        <v>IDR</v>
      </c>
      <c r="I5567" s="6">
        <f>IFERROR(__xludf.DUMMYFUNCTION("""COMPUTED_VALUE"""),1250000.0)</f>
        <v>1250000</v>
      </c>
      <c r="J5567" s="6">
        <f>IFERROR(__xludf.DUMMYFUNCTION("""COMPUTED_VALUE"""),2500000.0)</f>
        <v>2500000</v>
      </c>
      <c r="K5567" s="57">
        <f>IFERROR(__xludf.DUMMYFUNCTION("""COMPUTED_VALUE"""),46275.0)</f>
        <v>46275</v>
      </c>
      <c r="L5567" s="6" t="str">
        <f>IFERROR(__xludf.DUMMYFUNCTION("""COMPUTED_VALUE"""),"FIP Engineering")</f>
        <v>FIP Engineering</v>
      </c>
      <c r="M5567" s="6" t="str">
        <f>IFERROR(__xludf.DUMMYFUNCTION("""COMPUTED_VALUE"""),"Mochammad Fadhillah Hakim,")</f>
        <v>Mochammad Fadhillah Hakim,</v>
      </c>
      <c r="N5567" s="6" t="str">
        <f>IFERROR(__xludf.DUMMYFUNCTION("""COMPUTED_VALUE"""),"FIP Engineering")</f>
        <v>FIP Engineering</v>
      </c>
      <c r="O5567" s="6" t="str">
        <f>IFERROR(__xludf.DUMMYFUNCTION("""COMPUTED_VALUE"""),"FIP-DOM-000-11304-OS00001-INA-000000")</f>
        <v>FIP-DOM-000-11304-OS00001-INA-000000</v>
      </c>
      <c r="P5567" s="6" t="str">
        <f>IFERROR(__xludf.DUMMYFUNCTION("""COMPUTED_VALUE"""),"PR Open")</f>
        <v>PR Open</v>
      </c>
      <c r="Q5567" s="6"/>
      <c r="R5567" s="57">
        <f>IFERROR(__xludf.DUMMYFUNCTION("""COMPUTED_VALUE"""),46273.0)</f>
        <v>46273</v>
      </c>
      <c r="S5567" s="57">
        <f>IFERROR(__xludf.DUMMYFUNCTION("""COMPUTED_VALUE"""),46274.0)</f>
        <v>46274</v>
      </c>
      <c r="T5567" s="6"/>
    </row>
    <row r="5568">
      <c r="A5568" s="6" t="str">
        <f>IFERROR(__xludf.DUMMYFUNCTION("""COMPUTED_VALUE"""),"121704633-3")</f>
        <v>121704633-3</v>
      </c>
      <c r="B5568" s="6" t="str">
        <f>IFERROR(__xludf.DUMMYFUNCTION("""COMPUTED_VALUE"""),"121704633 - APPROVED")</f>
        <v>121704633 - APPROVED</v>
      </c>
      <c r="C5568" s="6">
        <f>IFERROR(__xludf.DUMMYFUNCTION("""COMPUTED_VALUE"""),3.0)</f>
        <v>3</v>
      </c>
      <c r="D5568" s="6" t="str">
        <f>IFERROR(__xludf.DUMMYFUNCTION("""COMPUTED_VALUE"""),"P-20958-00")</f>
        <v>P-20958-00</v>
      </c>
      <c r="E5568" s="6" t="str">
        <f>IFERROR(__xludf.DUMMYFUNCTION("""COMPUTED_VALUE"""),"General - Push Lock Persegi / Kunci Box Panel Listrik Nylon; No Brand; -; 1 pc")</f>
        <v>General - Push Lock Persegi / Kunci Box Panel Listrik Nylon; No Brand; -; 1 pc</v>
      </c>
      <c r="F5568" s="6">
        <f>IFERROR(__xludf.DUMMYFUNCTION("""COMPUTED_VALUE"""),5.0)</f>
        <v>5</v>
      </c>
      <c r="G5568" s="6" t="str">
        <f>IFERROR(__xludf.DUMMYFUNCTION("""COMPUTED_VALUE"""),"Pieces")</f>
        <v>Pieces</v>
      </c>
      <c r="H5568" s="6" t="str">
        <f>IFERROR(__xludf.DUMMYFUNCTION("""COMPUTED_VALUE"""),"IDR")</f>
        <v>IDR</v>
      </c>
      <c r="I5568" s="6">
        <f>IFERROR(__xludf.DUMMYFUNCTION("""COMPUTED_VALUE"""),50000.0)</f>
        <v>50000</v>
      </c>
      <c r="J5568" s="6">
        <f>IFERROR(__xludf.DUMMYFUNCTION("""COMPUTED_VALUE"""),250000.0)</f>
        <v>250000</v>
      </c>
      <c r="K5568" s="57">
        <f>IFERROR(__xludf.DUMMYFUNCTION("""COMPUTED_VALUE"""),46275.0)</f>
        <v>46275</v>
      </c>
      <c r="L5568" s="6" t="str">
        <f>IFERROR(__xludf.DUMMYFUNCTION("""COMPUTED_VALUE"""),"FIP Engineering")</f>
        <v>FIP Engineering</v>
      </c>
      <c r="M5568" s="6" t="str">
        <f>IFERROR(__xludf.DUMMYFUNCTION("""COMPUTED_VALUE"""),"Mochammad Fadhillah Hakim,")</f>
        <v>Mochammad Fadhillah Hakim,</v>
      </c>
      <c r="N5568" s="6" t="str">
        <f>IFERROR(__xludf.DUMMYFUNCTION("""COMPUTED_VALUE"""),"FIP Engineering")</f>
        <v>FIP Engineering</v>
      </c>
      <c r="O5568" s="6" t="str">
        <f>IFERROR(__xludf.DUMMYFUNCTION("""COMPUTED_VALUE"""),"FIP-DOM-000-11304-OS00001-INA-000000")</f>
        <v>FIP-DOM-000-11304-OS00001-INA-000000</v>
      </c>
      <c r="P5568" s="6" t="str">
        <f>IFERROR(__xludf.DUMMYFUNCTION("""COMPUTED_VALUE"""),"PR Open")</f>
        <v>PR Open</v>
      </c>
      <c r="Q5568" s="6"/>
      <c r="R5568" s="57">
        <f>IFERROR(__xludf.DUMMYFUNCTION("""COMPUTED_VALUE"""),46273.0)</f>
        <v>46273</v>
      </c>
      <c r="S5568" s="57">
        <f>IFERROR(__xludf.DUMMYFUNCTION("""COMPUTED_VALUE"""),46274.0)</f>
        <v>46274</v>
      </c>
      <c r="T5568" s="6"/>
    </row>
    <row r="5569">
      <c r="A5569" s="6" t="str">
        <f>IFERROR(__xludf.DUMMYFUNCTION("""COMPUTED_VALUE"""),"121704633-4")</f>
        <v>121704633-4</v>
      </c>
      <c r="B5569" s="6" t="str">
        <f>IFERROR(__xludf.DUMMYFUNCTION("""COMPUTED_VALUE"""),"121704633 - APPROVED")</f>
        <v>121704633 - APPROVED</v>
      </c>
      <c r="C5569" s="6">
        <f>IFERROR(__xludf.DUMMYFUNCTION("""COMPUTED_VALUE"""),4.0)</f>
        <v>4</v>
      </c>
      <c r="D5569" s="6" t="str">
        <f>IFERROR(__xludf.DUMMYFUNCTION("""COMPUTED_VALUE"""),"P-20960-00")</f>
        <v>P-20960-00</v>
      </c>
      <c r="E5569" s="6" t="str">
        <f>IFERROR(__xludf.DUMMYFUNCTION("""COMPUTED_VALUE"""),"General - Exhaust Fan Round Plastic Air Grill Diffuser HG-01 100mm; No Brand; -; 1 pc")</f>
        <v>General - Exhaust Fan Round Plastic Air Grill Diffuser HG-01 100mm; No Brand; -; 1 pc</v>
      </c>
      <c r="F5569" s="6">
        <f>IFERROR(__xludf.DUMMYFUNCTION("""COMPUTED_VALUE"""),1.0)</f>
        <v>1</v>
      </c>
      <c r="G5569" s="6" t="str">
        <f>IFERROR(__xludf.DUMMYFUNCTION("""COMPUTED_VALUE"""),"Pieces")</f>
        <v>Pieces</v>
      </c>
      <c r="H5569" s="6" t="str">
        <f>IFERROR(__xludf.DUMMYFUNCTION("""COMPUTED_VALUE"""),"IDR")</f>
        <v>IDR</v>
      </c>
      <c r="I5569" s="6">
        <f>IFERROR(__xludf.DUMMYFUNCTION("""COMPUTED_VALUE"""),225000.0)</f>
        <v>225000</v>
      </c>
      <c r="J5569" s="6">
        <f>IFERROR(__xludf.DUMMYFUNCTION("""COMPUTED_VALUE"""),225000.0)</f>
        <v>225000</v>
      </c>
      <c r="K5569" s="57">
        <f>IFERROR(__xludf.DUMMYFUNCTION("""COMPUTED_VALUE"""),46275.0)</f>
        <v>46275</v>
      </c>
      <c r="L5569" s="6" t="str">
        <f>IFERROR(__xludf.DUMMYFUNCTION("""COMPUTED_VALUE"""),"FIP Engineering")</f>
        <v>FIP Engineering</v>
      </c>
      <c r="M5569" s="6" t="str">
        <f>IFERROR(__xludf.DUMMYFUNCTION("""COMPUTED_VALUE"""),"Mochammad Fadhillah Hakim,")</f>
        <v>Mochammad Fadhillah Hakim,</v>
      </c>
      <c r="N5569" s="6" t="str">
        <f>IFERROR(__xludf.DUMMYFUNCTION("""COMPUTED_VALUE"""),"FIP Engineering")</f>
        <v>FIP Engineering</v>
      </c>
      <c r="O5569" s="6" t="str">
        <f>IFERROR(__xludf.DUMMYFUNCTION("""COMPUTED_VALUE"""),"FIP-DOM-000-11304-OS00001-INA-000000")</f>
        <v>FIP-DOM-000-11304-OS00001-INA-000000</v>
      </c>
      <c r="P5569" s="6" t="str">
        <f>IFERROR(__xludf.DUMMYFUNCTION("""COMPUTED_VALUE"""),"PR Open")</f>
        <v>PR Open</v>
      </c>
      <c r="Q5569" s="6"/>
      <c r="R5569" s="57">
        <f>IFERROR(__xludf.DUMMYFUNCTION("""COMPUTED_VALUE"""),46273.0)</f>
        <v>46273</v>
      </c>
      <c r="S5569" s="57">
        <f>IFERROR(__xludf.DUMMYFUNCTION("""COMPUTED_VALUE"""),46274.0)</f>
        <v>46274</v>
      </c>
      <c r="T5569" s="6"/>
    </row>
    <row r="5570">
      <c r="A5570" s="6" t="str">
        <f>IFERROR(__xludf.DUMMYFUNCTION("""COMPUTED_VALUE"""),"121704633-5")</f>
        <v>121704633-5</v>
      </c>
      <c r="B5570" s="6" t="str">
        <f>IFERROR(__xludf.DUMMYFUNCTION("""COMPUTED_VALUE"""),"121704633 - APPROVED")</f>
        <v>121704633 - APPROVED</v>
      </c>
      <c r="C5570" s="6">
        <f>IFERROR(__xludf.DUMMYFUNCTION("""COMPUTED_VALUE"""),5.0)</f>
        <v>5</v>
      </c>
      <c r="D5570" s="6" t="str">
        <f>IFERROR(__xludf.DUMMYFUNCTION("""COMPUTED_VALUE"""),"P-54721-00")</f>
        <v>P-54721-00</v>
      </c>
      <c r="E5570" s="6" t="str">
        <f>IFERROR(__xludf.DUMMYFUNCTION("""COMPUTED_VALUE"""),"General - Battery 3V; Panasonic; BR2032; 1 pc")</f>
        <v>General - Battery 3V; Panasonic; BR2032; 1 pc</v>
      </c>
      <c r="F5570" s="6">
        <f>IFERROR(__xludf.DUMMYFUNCTION("""COMPUTED_VALUE"""),5.0)</f>
        <v>5</v>
      </c>
      <c r="G5570" s="6" t="str">
        <f>IFERROR(__xludf.DUMMYFUNCTION("""COMPUTED_VALUE"""),"Pieces")</f>
        <v>Pieces</v>
      </c>
      <c r="H5570" s="6" t="str">
        <f>IFERROR(__xludf.DUMMYFUNCTION("""COMPUTED_VALUE"""),"IDR")</f>
        <v>IDR</v>
      </c>
      <c r="I5570" s="6">
        <f>IFERROR(__xludf.DUMMYFUNCTION("""COMPUTED_VALUE"""),30000.0)</f>
        <v>30000</v>
      </c>
      <c r="J5570" s="6">
        <f>IFERROR(__xludf.DUMMYFUNCTION("""COMPUTED_VALUE"""),150000.0)</f>
        <v>150000</v>
      </c>
      <c r="K5570" s="57">
        <f>IFERROR(__xludf.DUMMYFUNCTION("""COMPUTED_VALUE"""),46275.0)</f>
        <v>46275</v>
      </c>
      <c r="L5570" s="6" t="str">
        <f>IFERROR(__xludf.DUMMYFUNCTION("""COMPUTED_VALUE"""),"FIP Engineering")</f>
        <v>FIP Engineering</v>
      </c>
      <c r="M5570" s="6" t="str">
        <f>IFERROR(__xludf.DUMMYFUNCTION("""COMPUTED_VALUE"""),"Mochammad Fadhillah Hakim,")</f>
        <v>Mochammad Fadhillah Hakim,</v>
      </c>
      <c r="N5570" s="6" t="str">
        <f>IFERROR(__xludf.DUMMYFUNCTION("""COMPUTED_VALUE"""),"FIP Engineering")</f>
        <v>FIP Engineering</v>
      </c>
      <c r="O5570" s="6" t="str">
        <f>IFERROR(__xludf.DUMMYFUNCTION("""COMPUTED_VALUE"""),"FIP-DOM-000-11304-OS00001-INA-000000")</f>
        <v>FIP-DOM-000-11304-OS00001-INA-000000</v>
      </c>
      <c r="P5570" s="6" t="str">
        <f>IFERROR(__xludf.DUMMYFUNCTION("""COMPUTED_VALUE"""),"PR Open")</f>
        <v>PR Open</v>
      </c>
      <c r="Q5570" s="6"/>
      <c r="R5570" s="57">
        <f>IFERROR(__xludf.DUMMYFUNCTION("""COMPUTED_VALUE"""),46273.0)</f>
        <v>46273</v>
      </c>
      <c r="S5570" s="57">
        <f>IFERROR(__xludf.DUMMYFUNCTION("""COMPUTED_VALUE"""),46274.0)</f>
        <v>46274</v>
      </c>
      <c r="T5570" s="6"/>
    </row>
    <row r="5571">
      <c r="A5571" s="6" t="str">
        <f>IFERROR(__xludf.DUMMYFUNCTION("""COMPUTED_VALUE"""),"121704633-6")</f>
        <v>121704633-6</v>
      </c>
      <c r="B5571" s="6" t="str">
        <f>IFERROR(__xludf.DUMMYFUNCTION("""COMPUTED_VALUE"""),"121704633 - APPROVED")</f>
        <v>121704633 - APPROVED</v>
      </c>
      <c r="C5571" s="6">
        <f>IFERROR(__xludf.DUMMYFUNCTION("""COMPUTED_VALUE"""),6.0)</f>
        <v>6</v>
      </c>
      <c r="D5571" s="6" t="str">
        <f>IFERROR(__xludf.DUMMYFUNCTION("""COMPUTED_VALUE"""),"P-54722-00")</f>
        <v>P-54722-00</v>
      </c>
      <c r="E5571" s="6" t="str">
        <f>IFERROR(__xludf.DUMMYFUNCTION("""COMPUTED_VALUE"""),"General - Fuse Kubur 1Pole 10A; Fort; FS-101; 1 pc")</f>
        <v>General - Fuse Kubur 1Pole 10A; Fort; FS-101; 1 pc</v>
      </c>
      <c r="F5571" s="6">
        <f>IFERROR(__xludf.DUMMYFUNCTION("""COMPUTED_VALUE"""),20.0)</f>
        <v>20</v>
      </c>
      <c r="G5571" s="6" t="str">
        <f>IFERROR(__xludf.DUMMYFUNCTION("""COMPUTED_VALUE"""),"Pieces")</f>
        <v>Pieces</v>
      </c>
      <c r="H5571" s="6" t="str">
        <f>IFERROR(__xludf.DUMMYFUNCTION("""COMPUTED_VALUE"""),"IDR")</f>
        <v>IDR</v>
      </c>
      <c r="I5571" s="6">
        <f>IFERROR(__xludf.DUMMYFUNCTION("""COMPUTED_VALUE"""),8000.0)</f>
        <v>8000</v>
      </c>
      <c r="J5571" s="6">
        <f>IFERROR(__xludf.DUMMYFUNCTION("""COMPUTED_VALUE"""),160000.0)</f>
        <v>160000</v>
      </c>
      <c r="K5571" s="57">
        <f>IFERROR(__xludf.DUMMYFUNCTION("""COMPUTED_VALUE"""),46275.0)</f>
        <v>46275</v>
      </c>
      <c r="L5571" s="6" t="str">
        <f>IFERROR(__xludf.DUMMYFUNCTION("""COMPUTED_VALUE"""),"FIP Engineering")</f>
        <v>FIP Engineering</v>
      </c>
      <c r="M5571" s="6" t="str">
        <f>IFERROR(__xludf.DUMMYFUNCTION("""COMPUTED_VALUE"""),"Mochammad Fadhillah Hakim,")</f>
        <v>Mochammad Fadhillah Hakim,</v>
      </c>
      <c r="N5571" s="6" t="str">
        <f>IFERROR(__xludf.DUMMYFUNCTION("""COMPUTED_VALUE"""),"FIP Engineering")</f>
        <v>FIP Engineering</v>
      </c>
      <c r="O5571" s="6" t="str">
        <f>IFERROR(__xludf.DUMMYFUNCTION("""COMPUTED_VALUE"""),"FIP-DOM-000-11304-OS00001-INA-000000")</f>
        <v>FIP-DOM-000-11304-OS00001-INA-000000</v>
      </c>
      <c r="P5571" s="6" t="str">
        <f>IFERROR(__xludf.DUMMYFUNCTION("""COMPUTED_VALUE"""),"PR Open")</f>
        <v>PR Open</v>
      </c>
      <c r="Q5571" s="6"/>
      <c r="R5571" s="57">
        <f>IFERROR(__xludf.DUMMYFUNCTION("""COMPUTED_VALUE"""),46273.0)</f>
        <v>46273</v>
      </c>
      <c r="S5571" s="57">
        <f>IFERROR(__xludf.DUMMYFUNCTION("""COMPUTED_VALUE"""),46274.0)</f>
        <v>46274</v>
      </c>
      <c r="T5571" s="6"/>
    </row>
    <row r="5572">
      <c r="A5572" s="6" t="str">
        <f>IFERROR(__xludf.DUMMYFUNCTION("""COMPUTED_VALUE"""),"121704633-7")</f>
        <v>121704633-7</v>
      </c>
      <c r="B5572" s="6" t="str">
        <f>IFERROR(__xludf.DUMMYFUNCTION("""COMPUTED_VALUE"""),"121704633 - APPROVED")</f>
        <v>121704633 - APPROVED</v>
      </c>
      <c r="C5572" s="6">
        <f>IFERROR(__xludf.DUMMYFUNCTION("""COMPUTED_VALUE"""),7.0)</f>
        <v>7</v>
      </c>
      <c r="D5572" s="6" t="str">
        <f>IFERROR(__xludf.DUMMYFUNCTION("""COMPUTED_VALUE"""),"P-54732-00")</f>
        <v>P-54732-00</v>
      </c>
      <c r="E5572" s="6" t="str">
        <f>IFERROR(__xludf.DUMMYFUNCTION("""COMPUTED_VALUE"""),"General - Solenoid Valve Kuningan 2/2 Way Normally Open 220VAC; Airodk; 2K250-25; 1 pc")</f>
        <v>General - Solenoid Valve Kuningan 2/2 Way Normally Open 220VAC; Airodk; 2K250-25; 1 pc</v>
      </c>
      <c r="F5572" s="6">
        <f>IFERROR(__xludf.DUMMYFUNCTION("""COMPUTED_VALUE"""),1.0)</f>
        <v>1</v>
      </c>
      <c r="G5572" s="6" t="str">
        <f>IFERROR(__xludf.DUMMYFUNCTION("""COMPUTED_VALUE"""),"Pieces")</f>
        <v>Pieces</v>
      </c>
      <c r="H5572" s="6" t="str">
        <f>IFERROR(__xludf.DUMMYFUNCTION("""COMPUTED_VALUE"""),"IDR")</f>
        <v>IDR</v>
      </c>
      <c r="I5572" s="6">
        <f>IFERROR(__xludf.DUMMYFUNCTION("""COMPUTED_VALUE"""),1000000.0)</f>
        <v>1000000</v>
      </c>
      <c r="J5572" s="6">
        <f>IFERROR(__xludf.DUMMYFUNCTION("""COMPUTED_VALUE"""),1000000.0)</f>
        <v>1000000</v>
      </c>
      <c r="K5572" s="57">
        <f>IFERROR(__xludf.DUMMYFUNCTION("""COMPUTED_VALUE"""),46275.0)</f>
        <v>46275</v>
      </c>
      <c r="L5572" s="6" t="str">
        <f>IFERROR(__xludf.DUMMYFUNCTION("""COMPUTED_VALUE"""),"FIP Engineering")</f>
        <v>FIP Engineering</v>
      </c>
      <c r="M5572" s="6" t="str">
        <f>IFERROR(__xludf.DUMMYFUNCTION("""COMPUTED_VALUE"""),"Mochammad Fadhillah Hakim,")</f>
        <v>Mochammad Fadhillah Hakim,</v>
      </c>
      <c r="N5572" s="6" t="str">
        <f>IFERROR(__xludf.DUMMYFUNCTION("""COMPUTED_VALUE"""),"FIP Engineering")</f>
        <v>FIP Engineering</v>
      </c>
      <c r="O5572" s="6" t="str">
        <f>IFERROR(__xludf.DUMMYFUNCTION("""COMPUTED_VALUE"""),"FIP-DOM-000-11304-OS00001-INA-000000")</f>
        <v>FIP-DOM-000-11304-OS00001-INA-000000</v>
      </c>
      <c r="P5572" s="6" t="str">
        <f>IFERROR(__xludf.DUMMYFUNCTION("""COMPUTED_VALUE"""),"PR Open")</f>
        <v>PR Open</v>
      </c>
      <c r="Q5572" s="6"/>
      <c r="R5572" s="57">
        <f>IFERROR(__xludf.DUMMYFUNCTION("""COMPUTED_VALUE"""),46273.0)</f>
        <v>46273</v>
      </c>
      <c r="S5572" s="57">
        <f>IFERROR(__xludf.DUMMYFUNCTION("""COMPUTED_VALUE"""),46274.0)</f>
        <v>46274</v>
      </c>
      <c r="T5572" s="6"/>
    </row>
    <row r="5573">
      <c r="A5573" s="6" t="str">
        <f>IFERROR(__xludf.DUMMYFUNCTION("""COMPUTED_VALUE"""),"121704634-1")</f>
        <v>121704634-1</v>
      </c>
      <c r="B5573" s="6" t="str">
        <f>IFERROR(__xludf.DUMMYFUNCTION("""COMPUTED_VALUE"""),"121704634 - APPROVED")</f>
        <v>121704634 - APPROVED</v>
      </c>
      <c r="C5573" s="6">
        <f>IFERROR(__xludf.DUMMYFUNCTION("""COMPUTED_VALUE"""),1.0)</f>
        <v>1</v>
      </c>
      <c r="D5573" s="6" t="str">
        <f>IFERROR(__xludf.DUMMYFUNCTION("""COMPUTED_VALUE"""),"S-60002-00")</f>
        <v>S-60002-00</v>
      </c>
      <c r="E5573" s="6" t="str">
        <f>IFERROR(__xludf.DUMMYFUNCTION("""COMPUTED_VALUE"""),"Jasa Perbaikan dan Pemeliharaan Mesin Utility - Cover Insulation Pipa AHU")</f>
        <v>Jasa Perbaikan dan Pemeliharaan Mesin Utility - Cover Insulation Pipa AHU</v>
      </c>
      <c r="F5573" s="6">
        <f>IFERROR(__xludf.DUMMYFUNCTION("""COMPUTED_VALUE"""),1.0)</f>
        <v>1</v>
      </c>
      <c r="G5573" s="6" t="str">
        <f>IFERROR(__xludf.DUMMYFUNCTION("""COMPUTED_VALUE"""),"Lot")</f>
        <v>Lot</v>
      </c>
      <c r="H5573" s="6" t="str">
        <f>IFERROR(__xludf.DUMMYFUNCTION("""COMPUTED_VALUE"""),"IDR")</f>
        <v>IDR</v>
      </c>
      <c r="I5573" s="6">
        <f>IFERROR(__xludf.DUMMYFUNCTION("""COMPUTED_VALUE"""),3.00993E7)</f>
        <v>30099300</v>
      </c>
      <c r="J5573" s="6">
        <f>IFERROR(__xludf.DUMMYFUNCTION("""COMPUTED_VALUE"""),3.00993E7)</f>
        <v>30099300</v>
      </c>
      <c r="K5573" s="57">
        <f>IFERROR(__xludf.DUMMYFUNCTION("""COMPUTED_VALUE"""),46275.0)</f>
        <v>46275</v>
      </c>
      <c r="L5573" s="6" t="str">
        <f>IFERROR(__xludf.DUMMYFUNCTION("""COMPUTED_VALUE"""),"FIP General")</f>
        <v>FIP General</v>
      </c>
      <c r="M5573" s="6" t="str">
        <f>IFERROR(__xludf.DUMMYFUNCTION("""COMPUTED_VALUE"""),"Mochammad Fadhillah Hakim,")</f>
        <v>Mochammad Fadhillah Hakim,</v>
      </c>
      <c r="N5573" s="6" t="str">
        <f>IFERROR(__xludf.DUMMYFUNCTION("""COMPUTED_VALUE"""),"FIP Engineering")</f>
        <v>FIP Engineering</v>
      </c>
      <c r="O5573" s="6" t="str">
        <f>IFERROR(__xludf.DUMMYFUNCTION("""COMPUTED_VALUE"""),"FIP-DOM-ENG-51508-0000000-INA-000000")</f>
        <v>FIP-DOM-ENG-51508-0000000-INA-000000</v>
      </c>
      <c r="P5573" s="6" t="str">
        <f>IFERROR(__xludf.DUMMYFUNCTION("""COMPUTED_VALUE"""),"PR Open")</f>
        <v>PR Open</v>
      </c>
      <c r="Q5573" s="6"/>
      <c r="R5573" s="57">
        <f>IFERROR(__xludf.DUMMYFUNCTION("""COMPUTED_VALUE"""),46273.0)</f>
        <v>46273</v>
      </c>
      <c r="S5573" s="57">
        <f>IFERROR(__xludf.DUMMYFUNCTION("""COMPUTED_VALUE"""),46274.0)</f>
        <v>46274</v>
      </c>
      <c r="T5573" s="6"/>
    </row>
    <row r="5574">
      <c r="A5574" s="6" t="str">
        <f>IFERROR(__xludf.DUMMYFUNCTION("""COMPUTED_VALUE"""),"121704636-1")</f>
        <v>121704636-1</v>
      </c>
      <c r="B5574" s="6" t="str">
        <f>IFERROR(__xludf.DUMMYFUNCTION("""COMPUTED_VALUE"""),"121704636 - APPROVED")</f>
        <v>121704636 - APPROVED</v>
      </c>
      <c r="C5574" s="6">
        <f>IFERROR(__xludf.DUMMYFUNCTION("""COMPUTED_VALUE"""),1.0)</f>
        <v>1</v>
      </c>
      <c r="D5574" s="6" t="str">
        <f>IFERROR(__xludf.DUMMYFUNCTION("""COMPUTED_VALUE"""),"Q-12153-00")</f>
        <v>Q-12153-00</v>
      </c>
      <c r="E5574" s="6" t="str">
        <f>IFERROR(__xludf.DUMMYFUNCTION("""COMPUTED_VALUE"""),"Door Seal Karet Penutup Bawah Pintu Hitam uk. 5 cm x 1 M; Lokal; ; pc")</f>
        <v>Door Seal Karet Penutup Bawah Pintu Hitam uk. 5 cm x 1 M; Lokal; ; pc</v>
      </c>
      <c r="F5574" s="6">
        <f>IFERROR(__xludf.DUMMYFUNCTION("""COMPUTED_VALUE"""),3.0)</f>
        <v>3</v>
      </c>
      <c r="G5574" s="6" t="str">
        <f>IFERROR(__xludf.DUMMYFUNCTION("""COMPUTED_VALUE"""),"Pieces")</f>
        <v>Pieces</v>
      </c>
      <c r="H5574" s="6" t="str">
        <f>IFERROR(__xludf.DUMMYFUNCTION("""COMPUTED_VALUE"""),"IDR")</f>
        <v>IDR</v>
      </c>
      <c r="I5574" s="6">
        <f>IFERROR(__xludf.DUMMYFUNCTION("""COMPUTED_VALUE"""),50000.0)</f>
        <v>50000</v>
      </c>
      <c r="J5574" s="6">
        <f>IFERROR(__xludf.DUMMYFUNCTION("""COMPUTED_VALUE"""),150000.0)</f>
        <v>150000</v>
      </c>
      <c r="K5574" s="57">
        <f>IFERROR(__xludf.DUMMYFUNCTION("""COMPUTED_VALUE"""),46304.0)</f>
        <v>46304</v>
      </c>
      <c r="L5574" s="6" t="str">
        <f>IFERROR(__xludf.DUMMYFUNCTION("""COMPUTED_VALUE"""),"FIP General")</f>
        <v>FIP General</v>
      </c>
      <c r="M5574" s="6" t="str">
        <f>IFERROR(__xludf.DUMMYFUNCTION("""COMPUTED_VALUE"""),"Mochammad Fadhillah Hakim,")</f>
        <v>Mochammad Fadhillah Hakim,</v>
      </c>
      <c r="N5574" s="6" t="str">
        <f>IFERROR(__xludf.DUMMYFUNCTION("""COMPUTED_VALUE"""),"FIP Engineering")</f>
        <v>FIP Engineering</v>
      </c>
      <c r="O5574" s="6" t="str">
        <f>IFERROR(__xludf.DUMMYFUNCTION("""COMPUTED_VALUE"""),"FIP-DOM-ENG-51502-0000000-INA-000000")</f>
        <v>FIP-DOM-ENG-51502-0000000-INA-000000</v>
      </c>
      <c r="P5574" s="6" t="str">
        <f>IFERROR(__xludf.DUMMYFUNCTION("""COMPUTED_VALUE"""),"PR Open")</f>
        <v>PR Open</v>
      </c>
      <c r="Q5574" s="6"/>
      <c r="R5574" s="57">
        <f>IFERROR(__xludf.DUMMYFUNCTION("""COMPUTED_VALUE"""),46273.0)</f>
        <v>46273</v>
      </c>
      <c r="S5574" s="57">
        <f>IFERROR(__xludf.DUMMYFUNCTION("""COMPUTED_VALUE"""),46274.0)</f>
        <v>46274</v>
      </c>
      <c r="T5574" s="57">
        <f>IFERROR(__xludf.DUMMYFUNCTION("""COMPUTED_VALUE"""),46304.0)</f>
        <v>46304</v>
      </c>
    </row>
    <row r="5575">
      <c r="A5575" s="6" t="str">
        <f>IFERROR(__xludf.DUMMYFUNCTION("""COMPUTED_VALUE"""),"121704636-2")</f>
        <v>121704636-2</v>
      </c>
      <c r="B5575" s="6" t="str">
        <f>IFERROR(__xludf.DUMMYFUNCTION("""COMPUTED_VALUE"""),"121704636 - APPROVED")</f>
        <v>121704636 - APPROVED</v>
      </c>
      <c r="C5575" s="6">
        <f>IFERROR(__xludf.DUMMYFUNCTION("""COMPUTED_VALUE"""),2.0)</f>
        <v>2</v>
      </c>
      <c r="D5575" s="6" t="str">
        <f>IFERROR(__xludf.DUMMYFUNCTION("""COMPUTED_VALUE"""),"Q-12172-00")</f>
        <v>Q-12172-00</v>
      </c>
      <c r="E5575" s="6" t="str">
        <f>IFERROR(__xludf.DUMMYFUNCTION("""COMPUTED_VALUE"""),"General - Amplas Eagle 1000; -; -; 1 Pc")</f>
        <v>General - Amplas Eagle 1000; -; -; 1 Pc</v>
      </c>
      <c r="F5575" s="6">
        <f>IFERROR(__xludf.DUMMYFUNCTION("""COMPUTED_VALUE"""),30.0)</f>
        <v>30</v>
      </c>
      <c r="G5575" s="6" t="str">
        <f>IFERROR(__xludf.DUMMYFUNCTION("""COMPUTED_VALUE"""),"Pieces")</f>
        <v>Pieces</v>
      </c>
      <c r="H5575" s="6" t="str">
        <f>IFERROR(__xludf.DUMMYFUNCTION("""COMPUTED_VALUE"""),"IDR")</f>
        <v>IDR</v>
      </c>
      <c r="I5575" s="6">
        <f>IFERROR(__xludf.DUMMYFUNCTION("""COMPUTED_VALUE"""),7500.0)</f>
        <v>7500</v>
      </c>
      <c r="J5575" s="6">
        <f>IFERROR(__xludf.DUMMYFUNCTION("""COMPUTED_VALUE"""),225000.0)</f>
        <v>225000</v>
      </c>
      <c r="K5575" s="57">
        <f>IFERROR(__xludf.DUMMYFUNCTION("""COMPUTED_VALUE"""),46304.0)</f>
        <v>46304</v>
      </c>
      <c r="L5575" s="6" t="str">
        <f>IFERROR(__xludf.DUMMYFUNCTION("""COMPUTED_VALUE"""),"FIP Engineering")</f>
        <v>FIP Engineering</v>
      </c>
      <c r="M5575" s="6" t="str">
        <f>IFERROR(__xludf.DUMMYFUNCTION("""COMPUTED_VALUE"""),"Mochammad Fadhillah Hakim,")</f>
        <v>Mochammad Fadhillah Hakim,</v>
      </c>
      <c r="N5575" s="6" t="str">
        <f>IFERROR(__xludf.DUMMYFUNCTION("""COMPUTED_VALUE"""),"FIP Engineering")</f>
        <v>FIP Engineering</v>
      </c>
      <c r="O5575" s="6" t="str">
        <f>IFERROR(__xludf.DUMMYFUNCTION("""COMPUTED_VALUE"""),"FIP-DOM-000-11304-OS00001-INA-000000")</f>
        <v>FIP-DOM-000-11304-OS00001-INA-000000</v>
      </c>
      <c r="P5575" s="6" t="str">
        <f>IFERROR(__xludf.DUMMYFUNCTION("""COMPUTED_VALUE"""),"PR Open")</f>
        <v>PR Open</v>
      </c>
      <c r="Q5575" s="6"/>
      <c r="R5575" s="57">
        <f>IFERROR(__xludf.DUMMYFUNCTION("""COMPUTED_VALUE"""),46273.0)</f>
        <v>46273</v>
      </c>
      <c r="S5575" s="57">
        <f>IFERROR(__xludf.DUMMYFUNCTION("""COMPUTED_VALUE"""),46274.0)</f>
        <v>46274</v>
      </c>
      <c r="T5575" s="6"/>
    </row>
    <row r="5576">
      <c r="A5576" s="6" t="str">
        <f>IFERROR(__xludf.DUMMYFUNCTION("""COMPUTED_VALUE"""),"121704636-3")</f>
        <v>121704636-3</v>
      </c>
      <c r="B5576" s="6" t="str">
        <f>IFERROR(__xludf.DUMMYFUNCTION("""COMPUTED_VALUE"""),"121704636 - APPROVED")</f>
        <v>121704636 - APPROVED</v>
      </c>
      <c r="C5576" s="6">
        <f>IFERROR(__xludf.DUMMYFUNCTION("""COMPUTED_VALUE"""),3.0)</f>
        <v>3</v>
      </c>
      <c r="D5576" s="6" t="str">
        <f>IFERROR(__xludf.DUMMYFUNCTION("""COMPUTED_VALUE"""),"Q-12173-00")</f>
        <v>Q-12173-00</v>
      </c>
      <c r="E5576" s="6" t="str">
        <f>IFERROR(__xludf.DUMMYFUNCTION("""COMPUTED_VALUE"""),"General - Amplas Eagle 200; -; -; 1 Pc")</f>
        <v>General - Amplas Eagle 200; -; -; 1 Pc</v>
      </c>
      <c r="F5576" s="6">
        <f>IFERROR(__xludf.DUMMYFUNCTION("""COMPUTED_VALUE"""),30.0)</f>
        <v>30</v>
      </c>
      <c r="G5576" s="6" t="str">
        <f>IFERROR(__xludf.DUMMYFUNCTION("""COMPUTED_VALUE"""),"Pieces")</f>
        <v>Pieces</v>
      </c>
      <c r="H5576" s="6" t="str">
        <f>IFERROR(__xludf.DUMMYFUNCTION("""COMPUTED_VALUE"""),"IDR")</f>
        <v>IDR</v>
      </c>
      <c r="I5576" s="6">
        <f>IFERROR(__xludf.DUMMYFUNCTION("""COMPUTED_VALUE"""),7500.0)</f>
        <v>7500</v>
      </c>
      <c r="J5576" s="6">
        <f>IFERROR(__xludf.DUMMYFUNCTION("""COMPUTED_VALUE"""),225000.0)</f>
        <v>225000</v>
      </c>
      <c r="K5576" s="57">
        <f>IFERROR(__xludf.DUMMYFUNCTION("""COMPUTED_VALUE"""),46304.0)</f>
        <v>46304</v>
      </c>
      <c r="L5576" s="6" t="str">
        <f>IFERROR(__xludf.DUMMYFUNCTION("""COMPUTED_VALUE"""),"FIP Engineering")</f>
        <v>FIP Engineering</v>
      </c>
      <c r="M5576" s="6" t="str">
        <f>IFERROR(__xludf.DUMMYFUNCTION("""COMPUTED_VALUE"""),"Mochammad Fadhillah Hakim,")</f>
        <v>Mochammad Fadhillah Hakim,</v>
      </c>
      <c r="N5576" s="6" t="str">
        <f>IFERROR(__xludf.DUMMYFUNCTION("""COMPUTED_VALUE"""),"FIP Engineering")</f>
        <v>FIP Engineering</v>
      </c>
      <c r="O5576" s="6" t="str">
        <f>IFERROR(__xludf.DUMMYFUNCTION("""COMPUTED_VALUE"""),"FIP-DOM-000-11304-OS00001-INA-000000")</f>
        <v>FIP-DOM-000-11304-OS00001-INA-000000</v>
      </c>
      <c r="P5576" s="6" t="str">
        <f>IFERROR(__xludf.DUMMYFUNCTION("""COMPUTED_VALUE"""),"PR Open")</f>
        <v>PR Open</v>
      </c>
      <c r="Q5576" s="6"/>
      <c r="R5576" s="57">
        <f>IFERROR(__xludf.DUMMYFUNCTION("""COMPUTED_VALUE"""),46273.0)</f>
        <v>46273</v>
      </c>
      <c r="S5576" s="57">
        <f>IFERROR(__xludf.DUMMYFUNCTION("""COMPUTED_VALUE"""),46274.0)</f>
        <v>46274</v>
      </c>
      <c r="T5576" s="6"/>
    </row>
    <row r="5577">
      <c r="A5577" s="6" t="str">
        <f>IFERROR(__xludf.DUMMYFUNCTION("""COMPUTED_VALUE"""),"121704636-4")</f>
        <v>121704636-4</v>
      </c>
      <c r="B5577" s="6" t="str">
        <f>IFERROR(__xludf.DUMMYFUNCTION("""COMPUTED_VALUE"""),"121704636 - APPROVED")</f>
        <v>121704636 - APPROVED</v>
      </c>
      <c r="C5577" s="6">
        <f>IFERROR(__xludf.DUMMYFUNCTION("""COMPUTED_VALUE"""),4.0)</f>
        <v>4</v>
      </c>
      <c r="D5577" s="6" t="str">
        <f>IFERROR(__xludf.DUMMYFUNCTION("""COMPUTED_VALUE"""),"Q-70256-00")</f>
        <v>Q-70256-00</v>
      </c>
      <c r="E5577" s="6" t="str">
        <f>IFERROR(__xludf.DUMMYFUNCTION("""COMPUTED_VALUE"""),"Mata Obeng Magnet PH1 X 65 mm; Tekiro; SD-DE0958; 10 pc per set")</f>
        <v>Mata Obeng Magnet PH1 X 65 mm; Tekiro; SD-DE0958; 10 pc per set</v>
      </c>
      <c r="F5577" s="6">
        <f>IFERROR(__xludf.DUMMYFUNCTION("""COMPUTED_VALUE"""),1.0)</f>
        <v>1</v>
      </c>
      <c r="G5577" s="6" t="str">
        <f>IFERROR(__xludf.DUMMYFUNCTION("""COMPUTED_VALUE"""),"Set")</f>
        <v>Set</v>
      </c>
      <c r="H5577" s="6" t="str">
        <f>IFERROR(__xludf.DUMMYFUNCTION("""COMPUTED_VALUE"""),"IDR")</f>
        <v>IDR</v>
      </c>
      <c r="I5577" s="6">
        <f>IFERROR(__xludf.DUMMYFUNCTION("""COMPUTED_VALUE"""),125000.0)</f>
        <v>125000</v>
      </c>
      <c r="J5577" s="6">
        <f>IFERROR(__xludf.DUMMYFUNCTION("""COMPUTED_VALUE"""),125000.0)</f>
        <v>125000</v>
      </c>
      <c r="K5577" s="57">
        <f>IFERROR(__xludf.DUMMYFUNCTION("""COMPUTED_VALUE"""),46304.0)</f>
        <v>46304</v>
      </c>
      <c r="L5577" s="6" t="str">
        <f>IFERROR(__xludf.DUMMYFUNCTION("""COMPUTED_VALUE"""),"FIP General")</f>
        <v>FIP General</v>
      </c>
      <c r="M5577" s="6" t="str">
        <f>IFERROR(__xludf.DUMMYFUNCTION("""COMPUTED_VALUE"""),"Mochammad Fadhillah Hakim,")</f>
        <v>Mochammad Fadhillah Hakim,</v>
      </c>
      <c r="N5577" s="6" t="str">
        <f>IFERROR(__xludf.DUMMYFUNCTION("""COMPUTED_VALUE"""),"FIP Engineering")</f>
        <v>FIP Engineering</v>
      </c>
      <c r="O5577" s="6" t="str">
        <f>IFERROR(__xludf.DUMMYFUNCTION("""COMPUTED_VALUE"""),"FIP-DOM-ENG-51404-0000000-INA-000000")</f>
        <v>FIP-DOM-ENG-51404-0000000-INA-000000</v>
      </c>
      <c r="P5577" s="6" t="str">
        <f>IFERROR(__xludf.DUMMYFUNCTION("""COMPUTED_VALUE"""),"PR Open")</f>
        <v>PR Open</v>
      </c>
      <c r="Q5577" s="6"/>
      <c r="R5577" s="57">
        <f>IFERROR(__xludf.DUMMYFUNCTION("""COMPUTED_VALUE"""),46273.0)</f>
        <v>46273</v>
      </c>
      <c r="S5577" s="57">
        <f>IFERROR(__xludf.DUMMYFUNCTION("""COMPUTED_VALUE"""),46274.0)</f>
        <v>46274</v>
      </c>
      <c r="T5577" s="6"/>
    </row>
    <row r="5578">
      <c r="A5578" s="6" t="str">
        <f>IFERROR(__xludf.DUMMYFUNCTION("""COMPUTED_VALUE"""),"121704636-5")</f>
        <v>121704636-5</v>
      </c>
      <c r="B5578" s="6" t="str">
        <f>IFERROR(__xludf.DUMMYFUNCTION("""COMPUTED_VALUE"""),"121704636 - APPROVED")</f>
        <v>121704636 - APPROVED</v>
      </c>
      <c r="C5578" s="6">
        <f>IFERROR(__xludf.DUMMYFUNCTION("""COMPUTED_VALUE"""),5.0)</f>
        <v>5</v>
      </c>
      <c r="D5578" s="6" t="str">
        <f>IFERROR(__xludf.DUMMYFUNCTION("""COMPUTED_VALUE"""),"Q-70257-00")</f>
        <v>Q-70257-00</v>
      </c>
      <c r="E5578" s="6" t="str">
        <f>IFERROR(__xludf.DUMMYFUNCTION("""COMPUTED_VALUE"""),"Penggaris Siku Ukuran 12 inch atau 305 mm; Stanley; STHT46536; pc")</f>
        <v>Penggaris Siku Ukuran 12 inch atau 305 mm; Stanley; STHT46536; pc</v>
      </c>
      <c r="F5578" s="6">
        <f>IFERROR(__xludf.DUMMYFUNCTION("""COMPUTED_VALUE"""),1.0)</f>
        <v>1</v>
      </c>
      <c r="G5578" s="6" t="str">
        <f>IFERROR(__xludf.DUMMYFUNCTION("""COMPUTED_VALUE"""),"Pieces")</f>
        <v>Pieces</v>
      </c>
      <c r="H5578" s="6" t="str">
        <f>IFERROR(__xludf.DUMMYFUNCTION("""COMPUTED_VALUE"""),"IDR")</f>
        <v>IDR</v>
      </c>
      <c r="I5578" s="6">
        <f>IFERROR(__xludf.DUMMYFUNCTION("""COMPUTED_VALUE"""),350000.0)</f>
        <v>350000</v>
      </c>
      <c r="J5578" s="6">
        <f>IFERROR(__xludf.DUMMYFUNCTION("""COMPUTED_VALUE"""),350000.0)</f>
        <v>350000</v>
      </c>
      <c r="K5578" s="57">
        <f>IFERROR(__xludf.DUMMYFUNCTION("""COMPUTED_VALUE"""),46304.0)</f>
        <v>46304</v>
      </c>
      <c r="L5578" s="6" t="str">
        <f>IFERROR(__xludf.DUMMYFUNCTION("""COMPUTED_VALUE"""),"FIP General")</f>
        <v>FIP General</v>
      </c>
      <c r="M5578" s="6" t="str">
        <f>IFERROR(__xludf.DUMMYFUNCTION("""COMPUTED_VALUE"""),"Mochammad Fadhillah Hakim,")</f>
        <v>Mochammad Fadhillah Hakim,</v>
      </c>
      <c r="N5578" s="6" t="str">
        <f>IFERROR(__xludf.DUMMYFUNCTION("""COMPUTED_VALUE"""),"FIP Engineering")</f>
        <v>FIP Engineering</v>
      </c>
      <c r="O5578" s="6" t="str">
        <f>IFERROR(__xludf.DUMMYFUNCTION("""COMPUTED_VALUE"""),"FIP-DOM-ENG-51404-0000000-INA-000000")</f>
        <v>FIP-DOM-ENG-51404-0000000-INA-000000</v>
      </c>
      <c r="P5578" s="6" t="str">
        <f>IFERROR(__xludf.DUMMYFUNCTION("""COMPUTED_VALUE"""),"PR Open")</f>
        <v>PR Open</v>
      </c>
      <c r="Q5578" s="6"/>
      <c r="R5578" s="57">
        <f>IFERROR(__xludf.DUMMYFUNCTION("""COMPUTED_VALUE"""),46273.0)</f>
        <v>46273</v>
      </c>
      <c r="S5578" s="57">
        <f>IFERROR(__xludf.DUMMYFUNCTION("""COMPUTED_VALUE"""),46274.0)</f>
        <v>46274</v>
      </c>
      <c r="T5578" s="6"/>
    </row>
    <row r="5579">
      <c r="A5579" s="6" t="str">
        <f>IFERROR(__xludf.DUMMYFUNCTION("""COMPUTED_VALUE"""),"121704636-6")</f>
        <v>121704636-6</v>
      </c>
      <c r="B5579" s="6" t="str">
        <f>IFERROR(__xludf.DUMMYFUNCTION("""COMPUTED_VALUE"""),"121704636 - APPROVED")</f>
        <v>121704636 - APPROVED</v>
      </c>
      <c r="C5579" s="6">
        <f>IFERROR(__xludf.DUMMYFUNCTION("""COMPUTED_VALUE"""),6.0)</f>
        <v>6</v>
      </c>
      <c r="D5579" s="6" t="str">
        <f>IFERROR(__xludf.DUMMYFUNCTION("""COMPUTED_VALUE"""),"Q-10845-00")</f>
        <v>Q-10845-00</v>
      </c>
      <c r="E5579" s="6" t="str">
        <f>IFERROR(__xludf.DUMMYFUNCTION("""COMPUTED_VALUE"""),"Fitting Lampu Bholam E27; ; ; pcs")</f>
        <v>Fitting Lampu Bholam E27; ; ; pcs</v>
      </c>
      <c r="F5579" s="6">
        <f>IFERROR(__xludf.DUMMYFUNCTION("""COMPUTED_VALUE"""),20.0)</f>
        <v>20</v>
      </c>
      <c r="G5579" s="6" t="str">
        <f>IFERROR(__xludf.DUMMYFUNCTION("""COMPUTED_VALUE"""),"Pieces")</f>
        <v>Pieces</v>
      </c>
      <c r="H5579" s="6" t="str">
        <f>IFERROR(__xludf.DUMMYFUNCTION("""COMPUTED_VALUE"""),"IDR")</f>
        <v>IDR</v>
      </c>
      <c r="I5579" s="6">
        <f>IFERROR(__xludf.DUMMYFUNCTION("""COMPUTED_VALUE"""),10000.0)</f>
        <v>10000</v>
      </c>
      <c r="J5579" s="6">
        <f>IFERROR(__xludf.DUMMYFUNCTION("""COMPUTED_VALUE"""),200000.0)</f>
        <v>200000</v>
      </c>
      <c r="K5579" s="57">
        <f>IFERROR(__xludf.DUMMYFUNCTION("""COMPUTED_VALUE"""),46304.0)</f>
        <v>46304</v>
      </c>
      <c r="L5579" s="6" t="str">
        <f>IFERROR(__xludf.DUMMYFUNCTION("""COMPUTED_VALUE"""),"FIP Engineering")</f>
        <v>FIP Engineering</v>
      </c>
      <c r="M5579" s="6" t="str">
        <f>IFERROR(__xludf.DUMMYFUNCTION("""COMPUTED_VALUE"""),"Mochammad Fadhillah Hakim,")</f>
        <v>Mochammad Fadhillah Hakim,</v>
      </c>
      <c r="N5579" s="6" t="str">
        <f>IFERROR(__xludf.DUMMYFUNCTION("""COMPUTED_VALUE"""),"FIP Engineering")</f>
        <v>FIP Engineering</v>
      </c>
      <c r="O5579" s="6" t="str">
        <f>IFERROR(__xludf.DUMMYFUNCTION("""COMPUTED_VALUE"""),"FIP-DOM-000-11304-OS00001-INA-000000")</f>
        <v>FIP-DOM-000-11304-OS00001-INA-000000</v>
      </c>
      <c r="P5579" s="6" t="str">
        <f>IFERROR(__xludf.DUMMYFUNCTION("""COMPUTED_VALUE"""),"PR Open")</f>
        <v>PR Open</v>
      </c>
      <c r="Q5579" s="6"/>
      <c r="R5579" s="57">
        <f>IFERROR(__xludf.DUMMYFUNCTION("""COMPUTED_VALUE"""),46273.0)</f>
        <v>46273</v>
      </c>
      <c r="S5579" s="57">
        <f>IFERROR(__xludf.DUMMYFUNCTION("""COMPUTED_VALUE"""),46274.0)</f>
        <v>46274</v>
      </c>
      <c r="T5579" s="6"/>
    </row>
    <row r="5580">
      <c r="A5580" s="6" t="str">
        <f>IFERROR(__xludf.DUMMYFUNCTION("""COMPUTED_VALUE"""),"121704637-1")</f>
        <v>121704637-1</v>
      </c>
      <c r="B5580" s="6" t="str">
        <f>IFERROR(__xludf.DUMMYFUNCTION("""COMPUTED_VALUE"""),"121704637 - APPROVED")</f>
        <v>121704637 - APPROVED</v>
      </c>
      <c r="C5580" s="6">
        <f>IFERROR(__xludf.DUMMYFUNCTION("""COMPUTED_VALUE"""),1.0)</f>
        <v>1</v>
      </c>
      <c r="D5580" s="6" t="str">
        <f>IFERROR(__xludf.DUMMYFUNCTION("""COMPUTED_VALUE"""),"S-40640-00")</f>
        <v>S-40640-00</v>
      </c>
      <c r="E5580" s="6" t="str">
        <f>IFERROR(__xludf.DUMMYFUNCTION("""COMPUTED_VALUE"""),"Cable Ties, 150 x 3.6 mm; SIGMA; CS 150T; Putih;100 pcs/pack")</f>
        <v>Cable Ties, 150 x 3.6 mm; SIGMA; CS 150T; Putih;100 pcs/pack</v>
      </c>
      <c r="F5580" s="6">
        <f>IFERROR(__xludf.DUMMYFUNCTION("""COMPUTED_VALUE"""),10.0)</f>
        <v>10</v>
      </c>
      <c r="G5580" s="6" t="str">
        <f>IFERROR(__xludf.DUMMYFUNCTION("""COMPUTED_VALUE"""),"Pack")</f>
        <v>Pack</v>
      </c>
      <c r="H5580" s="6" t="str">
        <f>IFERROR(__xludf.DUMMYFUNCTION("""COMPUTED_VALUE"""),"IDR")</f>
        <v>IDR</v>
      </c>
      <c r="I5580" s="6">
        <f>IFERROR(__xludf.DUMMYFUNCTION("""COMPUTED_VALUE"""),19000.0)</f>
        <v>19000</v>
      </c>
      <c r="J5580" s="6">
        <f>IFERROR(__xludf.DUMMYFUNCTION("""COMPUTED_VALUE"""),190000.0)</f>
        <v>190000</v>
      </c>
      <c r="K5580" s="57">
        <f>IFERROR(__xludf.DUMMYFUNCTION("""COMPUTED_VALUE"""),46304.0)</f>
        <v>46304</v>
      </c>
      <c r="L5580" s="6" t="str">
        <f>IFERROR(__xludf.DUMMYFUNCTION("""COMPUTED_VALUE"""),"FIP General")</f>
        <v>FIP General</v>
      </c>
      <c r="M5580" s="6" t="str">
        <f>IFERROR(__xludf.DUMMYFUNCTION("""COMPUTED_VALUE"""),"Mochammad Fadhillah Hakim,")</f>
        <v>Mochammad Fadhillah Hakim,</v>
      </c>
      <c r="N5580" s="6" t="str">
        <f>IFERROR(__xludf.DUMMYFUNCTION("""COMPUTED_VALUE"""),"FIP Engineering")</f>
        <v>FIP Engineering</v>
      </c>
      <c r="O5580" s="6" t="str">
        <f>IFERROR(__xludf.DUMMYFUNCTION("""COMPUTED_VALUE"""),"FIP-DOM-ENG-51404-0000000-INA-000000")</f>
        <v>FIP-DOM-ENG-51404-0000000-INA-000000</v>
      </c>
      <c r="P5580" s="6" t="str">
        <f>IFERROR(__xludf.DUMMYFUNCTION("""COMPUTED_VALUE"""),"PR Open")</f>
        <v>PR Open</v>
      </c>
      <c r="Q5580" s="6"/>
      <c r="R5580" s="57">
        <f>IFERROR(__xludf.DUMMYFUNCTION("""COMPUTED_VALUE"""),46273.0)</f>
        <v>46273</v>
      </c>
      <c r="S5580" s="57">
        <f>IFERROR(__xludf.DUMMYFUNCTION("""COMPUTED_VALUE"""),46274.0)</f>
        <v>46274</v>
      </c>
      <c r="T5580" s="6"/>
    </row>
    <row r="5581">
      <c r="A5581" s="6" t="str">
        <f>IFERROR(__xludf.DUMMYFUNCTION("""COMPUTED_VALUE"""),"121704637-2")</f>
        <v>121704637-2</v>
      </c>
      <c r="B5581" s="6" t="str">
        <f>IFERROR(__xludf.DUMMYFUNCTION("""COMPUTED_VALUE"""),"121704637 - APPROVED")</f>
        <v>121704637 - APPROVED</v>
      </c>
      <c r="C5581" s="6">
        <f>IFERROR(__xludf.DUMMYFUNCTION("""COMPUTED_VALUE"""),2.0)</f>
        <v>2</v>
      </c>
      <c r="D5581" s="6" t="str">
        <f>IFERROR(__xludf.DUMMYFUNCTION("""COMPUTED_VALUE"""),"S-40645-00")</f>
        <v>S-40645-00</v>
      </c>
      <c r="E5581" s="6" t="str">
        <f>IFERROR(__xludf.DUMMYFUNCTION("""COMPUTED_VALUE"""),"Cable Ties, 200 x 4.8 mm; SIGMA; CS 200L; Putih;100 pcs/pack")</f>
        <v>Cable Ties, 200 x 4.8 mm; SIGMA; CS 200L; Putih;100 pcs/pack</v>
      </c>
      <c r="F5581" s="6">
        <f>IFERROR(__xludf.DUMMYFUNCTION("""COMPUTED_VALUE"""),20.0)</f>
        <v>20</v>
      </c>
      <c r="G5581" s="6" t="str">
        <f>IFERROR(__xludf.DUMMYFUNCTION("""COMPUTED_VALUE"""),"Pack")</f>
        <v>Pack</v>
      </c>
      <c r="H5581" s="6" t="str">
        <f>IFERROR(__xludf.DUMMYFUNCTION("""COMPUTED_VALUE"""),"IDR")</f>
        <v>IDR</v>
      </c>
      <c r="I5581" s="6">
        <f>IFERROR(__xludf.DUMMYFUNCTION("""COMPUTED_VALUE"""),32000.0)</f>
        <v>32000</v>
      </c>
      <c r="J5581" s="6">
        <f>IFERROR(__xludf.DUMMYFUNCTION("""COMPUTED_VALUE"""),640000.0)</f>
        <v>640000</v>
      </c>
      <c r="K5581" s="57">
        <f>IFERROR(__xludf.DUMMYFUNCTION("""COMPUTED_VALUE"""),46304.0)</f>
        <v>46304</v>
      </c>
      <c r="L5581" s="6" t="str">
        <f>IFERROR(__xludf.DUMMYFUNCTION("""COMPUTED_VALUE"""),"FIP General")</f>
        <v>FIP General</v>
      </c>
      <c r="M5581" s="6" t="str">
        <f>IFERROR(__xludf.DUMMYFUNCTION("""COMPUTED_VALUE"""),"Mochammad Fadhillah Hakim,")</f>
        <v>Mochammad Fadhillah Hakim,</v>
      </c>
      <c r="N5581" s="6" t="str">
        <f>IFERROR(__xludf.DUMMYFUNCTION("""COMPUTED_VALUE"""),"FIP Engineering")</f>
        <v>FIP Engineering</v>
      </c>
      <c r="O5581" s="6" t="str">
        <f>IFERROR(__xludf.DUMMYFUNCTION("""COMPUTED_VALUE"""),"FIP-DOM-ENG-51404-0000000-INA-000000")</f>
        <v>FIP-DOM-ENG-51404-0000000-INA-000000</v>
      </c>
      <c r="P5581" s="6" t="str">
        <f>IFERROR(__xludf.DUMMYFUNCTION("""COMPUTED_VALUE"""),"PR Open")</f>
        <v>PR Open</v>
      </c>
      <c r="Q5581" s="6"/>
      <c r="R5581" s="57">
        <f>IFERROR(__xludf.DUMMYFUNCTION("""COMPUTED_VALUE"""),46273.0)</f>
        <v>46273</v>
      </c>
      <c r="S5581" s="57">
        <f>IFERROR(__xludf.DUMMYFUNCTION("""COMPUTED_VALUE"""),46274.0)</f>
        <v>46274</v>
      </c>
      <c r="T5581" s="6"/>
    </row>
    <row r="5582">
      <c r="A5582" s="6" t="str">
        <f>IFERROR(__xludf.DUMMYFUNCTION("""COMPUTED_VALUE"""),"121704637-3")</f>
        <v>121704637-3</v>
      </c>
      <c r="B5582" s="6" t="str">
        <f>IFERROR(__xludf.DUMMYFUNCTION("""COMPUTED_VALUE"""),"121704637 - APPROVED")</f>
        <v>121704637 - APPROVED</v>
      </c>
      <c r="C5582" s="6">
        <f>IFERROR(__xludf.DUMMYFUNCTION("""COMPUTED_VALUE"""),3.0)</f>
        <v>3</v>
      </c>
      <c r="D5582" s="6" t="str">
        <f>IFERROR(__xludf.DUMMYFUNCTION("""COMPUTED_VALUE"""),"S-40770-00")</f>
        <v>S-40770-00</v>
      </c>
      <c r="E5582" s="6" t="str">
        <f>IFERROR(__xludf.DUMMYFUNCTION("""COMPUTED_VALUE"""),"Rell Cable Ties, 200 x 7.2 mm; SIGMA; CS 200; Hitam;100 pcs/pack; ; ;")</f>
        <v>Rell Cable Ties, 200 x 7.2 mm; SIGMA; CS 200; Hitam;100 pcs/pack; ; ;</v>
      </c>
      <c r="F5582" s="6">
        <f>IFERROR(__xludf.DUMMYFUNCTION("""COMPUTED_VALUE"""),10.0)</f>
        <v>10</v>
      </c>
      <c r="G5582" s="6" t="str">
        <f>IFERROR(__xludf.DUMMYFUNCTION("""COMPUTED_VALUE"""),"Pack")</f>
        <v>Pack</v>
      </c>
      <c r="H5582" s="6" t="str">
        <f>IFERROR(__xludf.DUMMYFUNCTION("""COMPUTED_VALUE"""),"IDR")</f>
        <v>IDR</v>
      </c>
      <c r="I5582" s="6">
        <f>IFERROR(__xludf.DUMMYFUNCTION("""COMPUTED_VALUE"""),155000.0)</f>
        <v>155000</v>
      </c>
      <c r="J5582" s="6">
        <f>IFERROR(__xludf.DUMMYFUNCTION("""COMPUTED_VALUE"""),1550000.0)</f>
        <v>1550000</v>
      </c>
      <c r="K5582" s="57">
        <f>IFERROR(__xludf.DUMMYFUNCTION("""COMPUTED_VALUE"""),46304.0)</f>
        <v>46304</v>
      </c>
      <c r="L5582" s="6" t="str">
        <f>IFERROR(__xludf.DUMMYFUNCTION("""COMPUTED_VALUE"""),"FIP General")</f>
        <v>FIP General</v>
      </c>
      <c r="M5582" s="6" t="str">
        <f>IFERROR(__xludf.DUMMYFUNCTION("""COMPUTED_VALUE"""),"Mochammad Fadhillah Hakim,")</f>
        <v>Mochammad Fadhillah Hakim,</v>
      </c>
      <c r="N5582" s="6" t="str">
        <f>IFERROR(__xludf.DUMMYFUNCTION("""COMPUTED_VALUE"""),"FIP Engineering")</f>
        <v>FIP Engineering</v>
      </c>
      <c r="O5582" s="6" t="str">
        <f>IFERROR(__xludf.DUMMYFUNCTION("""COMPUTED_VALUE"""),"FIP-DOM-ENG-51404-0000000-INA-000000")</f>
        <v>FIP-DOM-ENG-51404-0000000-INA-000000</v>
      </c>
      <c r="P5582" s="6" t="str">
        <f>IFERROR(__xludf.DUMMYFUNCTION("""COMPUTED_VALUE"""),"PR Open")</f>
        <v>PR Open</v>
      </c>
      <c r="Q5582" s="6"/>
      <c r="R5582" s="57">
        <f>IFERROR(__xludf.DUMMYFUNCTION("""COMPUTED_VALUE"""),46273.0)</f>
        <v>46273</v>
      </c>
      <c r="S5582" s="57">
        <f>IFERROR(__xludf.DUMMYFUNCTION("""COMPUTED_VALUE"""),46274.0)</f>
        <v>46274</v>
      </c>
      <c r="T5582" s="6"/>
    </row>
    <row r="5583">
      <c r="A5583" s="6" t="str">
        <f>IFERROR(__xludf.DUMMYFUNCTION("""COMPUTED_VALUE"""),"121704644-1")</f>
        <v>121704644-1</v>
      </c>
      <c r="B5583" s="6" t="str">
        <f>IFERROR(__xludf.DUMMYFUNCTION("""COMPUTED_VALUE"""),"121704644 - APPROVED")</f>
        <v>121704644 - APPROVED</v>
      </c>
      <c r="C5583" s="6">
        <f>IFERROR(__xludf.DUMMYFUNCTION("""COMPUTED_VALUE"""),1.0)</f>
        <v>1</v>
      </c>
      <c r="D5583" s="6" t="str">
        <f>IFERROR(__xludf.DUMMYFUNCTION("""COMPUTED_VALUE"""),"Q-90000-00")</f>
        <v>Q-90000-00</v>
      </c>
      <c r="E5583" s="6" t="str">
        <f>IFERROR(__xludf.DUMMYFUNCTION("""COMPUTED_VALUE"""),"Building Maintenance Pure Expense - Kaca Tempered Ukuran 1054 x 444 x 6mm double + Frame Aluminium")</f>
        <v>Building Maintenance Pure Expense - Kaca Tempered Ukuran 1054 x 444 x 6mm double + Frame Aluminium</v>
      </c>
      <c r="F5583" s="6">
        <f>IFERROR(__xludf.DUMMYFUNCTION("""COMPUTED_VALUE"""),1.0)</f>
        <v>1</v>
      </c>
      <c r="G5583" s="6" t="str">
        <f>IFERROR(__xludf.DUMMYFUNCTION("""COMPUTED_VALUE"""),"Unit")</f>
        <v>Unit</v>
      </c>
      <c r="H5583" s="6" t="str">
        <f>IFERROR(__xludf.DUMMYFUNCTION("""COMPUTED_VALUE"""),"IDR")</f>
        <v>IDR</v>
      </c>
      <c r="I5583" s="6">
        <f>IFERROR(__xludf.DUMMYFUNCTION("""COMPUTED_VALUE"""),1.25E7)</f>
        <v>12500000</v>
      </c>
      <c r="J5583" s="6">
        <f>IFERROR(__xludf.DUMMYFUNCTION("""COMPUTED_VALUE"""),1.25E7)</f>
        <v>12500000</v>
      </c>
      <c r="K5583" s="57">
        <f>IFERROR(__xludf.DUMMYFUNCTION("""COMPUTED_VALUE"""),46277.0)</f>
        <v>46277</v>
      </c>
      <c r="L5583" s="6" t="str">
        <f>IFERROR(__xludf.DUMMYFUNCTION("""COMPUTED_VALUE"""),"FIP General")</f>
        <v>FIP General</v>
      </c>
      <c r="M5583" s="6" t="str">
        <f>IFERROR(__xludf.DUMMYFUNCTION("""COMPUTED_VALUE"""),"Mochammad Fadhillah Hakim,")</f>
        <v>Mochammad Fadhillah Hakim,</v>
      </c>
      <c r="N5583" s="6" t="str">
        <f>IFERROR(__xludf.DUMMYFUNCTION("""COMPUTED_VALUE"""),"FIP Engineering")</f>
        <v>FIP Engineering</v>
      </c>
      <c r="O5583" s="6" t="str">
        <f>IFERROR(__xludf.DUMMYFUNCTION("""COMPUTED_VALUE"""),"FIP-DOM-ENG-51502-0000000-INA-000000")</f>
        <v>FIP-DOM-ENG-51502-0000000-INA-000000</v>
      </c>
      <c r="P5583" s="6" t="str">
        <f>IFERROR(__xludf.DUMMYFUNCTION("""COMPUTED_VALUE"""),"PO Open")</f>
        <v>PO Open</v>
      </c>
      <c r="Q5583" s="6" t="str">
        <f>IFERROR(__xludf.DUMMYFUNCTION("""COMPUTED_VALUE"""),"GL2609020")</f>
        <v>GL2609020</v>
      </c>
      <c r="R5583" s="57">
        <f>IFERROR(__xludf.DUMMYFUNCTION("""COMPUTED_VALUE"""),46274.0)</f>
        <v>46274</v>
      </c>
      <c r="S5583" s="57">
        <f>IFERROR(__xludf.DUMMYFUNCTION("""COMPUTED_VALUE"""),46276.0)</f>
        <v>46276</v>
      </c>
      <c r="T5583" s="57">
        <f>IFERROR(__xludf.DUMMYFUNCTION("""COMPUTED_VALUE"""),46295.0)</f>
        <v>46295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IFERROR(__xludf.DUMMYFUNCTION("importrange(""https://docs.google.com/spreadsheets/d/1vcfLlWr6Jdalb4Le9n-Q80xN4B4w4mVorGTYfXpByR4/edit?gid=1486317834#gid=1486317834"",""Sheet1!A:L"")"),"Requestor")</f>
        <v>Requestor</v>
      </c>
      <c r="B1" s="6" t="str">
        <f>IFERROR(__xludf.DUMMYFUNCTION("""COMPUTED_VALUE"""),"Dep.")</f>
        <v>Dep.</v>
      </c>
      <c r="C1" s="6" t="str">
        <f>IFERROR(__xludf.DUMMYFUNCTION("""COMPUTED_VALUE"""),"Item No.")</f>
        <v>Item No.</v>
      </c>
      <c r="D1" s="6" t="str">
        <f>IFERROR(__xludf.DUMMYFUNCTION("""COMPUTED_VALUE"""),"Part Name")</f>
        <v>Part Name</v>
      </c>
      <c r="E1" s="6" t="str">
        <f>IFERROR(__xludf.DUMMYFUNCTION("""COMPUTED_VALUE"""),"Req.")</f>
        <v>Req.</v>
      </c>
      <c r="F1" s="6" t="str">
        <f>IFERROR(__xludf.DUMMYFUNCTION("""COMPUTED_VALUE"""),"Used")</f>
        <v>Used</v>
      </c>
      <c r="G1" s="6" t="str">
        <f>IFERROR(__xludf.DUMMYFUNCTION("""COMPUTED_VALUE"""),"Ret.")</f>
        <v>Ret.</v>
      </c>
      <c r="H1" s="6" t="str">
        <f>IFERROR(__xludf.DUMMYFUNCTION("""COMPUTED_VALUE"""),"Unit")</f>
        <v>Unit</v>
      </c>
      <c r="I1" s="6" t="str">
        <f>IFERROR(__xludf.DUMMYFUNCTION("""COMPUTED_VALUE"""),"Entry By")</f>
        <v>Entry By</v>
      </c>
      <c r="J1" s="6" t="str">
        <f>IFERROR(__xludf.DUMMYFUNCTION("""COMPUTED_VALUE"""),"Remark")</f>
        <v>Remark</v>
      </c>
      <c r="K1" s="6" t="str">
        <f>IFERROR(__xludf.DUMMYFUNCTION("""COMPUTED_VALUE"""),"Nomor SPR")</f>
        <v>Nomor SPR</v>
      </c>
      <c r="L1" s="6" t="str">
        <f>IFERROR(__xludf.DUMMYFUNCTION("""COMPUTED_VALUE"""),"Date")</f>
        <v>Date</v>
      </c>
    </row>
    <row r="2">
      <c r="A2" s="6" t="str">
        <f>IFERROR(__xludf.DUMMYFUNCTION("""COMPUTED_VALUE"""),"ROS")</f>
        <v>ROS</v>
      </c>
      <c r="B2" s="6" t="str">
        <f>IFERROR(__xludf.DUMMYFUNCTION("""COMPUTED_VALUE"""),"ENG")</f>
        <v>ENG</v>
      </c>
      <c r="C2" s="6" t="str">
        <f>IFERROR(__xludf.DUMMYFUNCTION("""COMPUTED_VALUE"""),"P-15437-00")</f>
        <v>P-15437-00</v>
      </c>
      <c r="D2" s="6" t="str">
        <f>IFERROR(__xludf.DUMMYFUNCTION("""COMPUTED_VALUE"""),"CABLE SPIRAL WRAPPING, TYPE KS24, BRAND KSS; ; ;")</f>
        <v>CABLE SPIRAL WRAPPING, TYPE KS24, BRAND KSS; ; ;</v>
      </c>
      <c r="E2" s="6">
        <f>IFERROR(__xludf.DUMMYFUNCTION("""COMPUTED_VALUE"""),1.0)</f>
        <v>1</v>
      </c>
      <c r="F2" s="6">
        <f>IFERROR(__xludf.DUMMYFUNCTION("""COMPUTED_VALUE"""),1.0)</f>
        <v>1</v>
      </c>
      <c r="G2" s="6">
        <f>IFERROR(__xludf.DUMMYFUNCTION("""COMPUTED_VALUE"""),0.0)</f>
        <v>0</v>
      </c>
      <c r="H2" s="6" t="str">
        <f>IFERROR(__xludf.DUMMYFUNCTION("""COMPUTED_VALUE"""),"pcs")</f>
        <v>pcs</v>
      </c>
      <c r="I2" s="6" t="str">
        <f>IFERROR(__xludf.DUMMYFUNCTION("""COMPUTED_VALUE"""),"MFH")</f>
        <v>MFH</v>
      </c>
      <c r="J2" s="6" t="str">
        <f>IFERROR(__xludf.DUMMYFUNCTION("""COMPUTED_VALUE"""),"WIHC")</f>
        <v>WIHC</v>
      </c>
      <c r="K2" s="6" t="str">
        <f>IFERROR(__xludf.DUMMYFUNCTION("""COMPUTED_VALUE"""),"SPR/07/23/001")</f>
        <v>SPR/07/23/001</v>
      </c>
      <c r="L2" s="13">
        <f>IFERROR(__xludf.DUMMYFUNCTION("""COMPUTED_VALUE"""),45108.0)</f>
        <v>45108</v>
      </c>
    </row>
    <row r="3">
      <c r="A3" s="6" t="str">
        <f>IFERROR(__xludf.DUMMYFUNCTION("""COMPUTED_VALUE"""),"ROS")</f>
        <v>ROS</v>
      </c>
      <c r="B3" s="6" t="str">
        <f>IFERROR(__xludf.DUMMYFUNCTION("""COMPUTED_VALUE"""),"ENG")</f>
        <v>ENG</v>
      </c>
      <c r="C3" s="6" t="str">
        <f>IFERROR(__xludf.DUMMYFUNCTION("""COMPUTED_VALUE"""),"Q-60003-00")</f>
        <v>Q-60003-00</v>
      </c>
      <c r="D3" s="6" t="str">
        <f>IFERROR(__xludf.DUMMYFUNCTION("""COMPUTED_VALUE"""),"Plakband Kertas")</f>
        <v>Plakband Kertas</v>
      </c>
      <c r="E3" s="6">
        <f>IFERROR(__xludf.DUMMYFUNCTION("""COMPUTED_VALUE"""),1.0)</f>
        <v>1</v>
      </c>
      <c r="F3" s="6">
        <f>IFERROR(__xludf.DUMMYFUNCTION("""COMPUTED_VALUE"""),1.0)</f>
        <v>1</v>
      </c>
      <c r="G3" s="6">
        <f>IFERROR(__xludf.DUMMYFUNCTION("""COMPUTED_VALUE"""),0.0)</f>
        <v>0</v>
      </c>
      <c r="H3" s="6" t="str">
        <f>IFERROR(__xludf.DUMMYFUNCTION("""COMPUTED_VALUE"""),"rl")</f>
        <v>rl</v>
      </c>
      <c r="I3" s="6" t="str">
        <f>IFERROR(__xludf.DUMMYFUNCTION("""COMPUTED_VALUE"""),"MFH")</f>
        <v>MFH</v>
      </c>
      <c r="J3" s="6" t="str">
        <f>IFERROR(__xludf.DUMMYFUNCTION("""COMPUTED_VALUE"""),"WIHC")</f>
        <v>WIHC</v>
      </c>
      <c r="K3" s="6" t="str">
        <f>IFERROR(__xludf.DUMMYFUNCTION("""COMPUTED_VALUE"""),"SPR/07/23/001")</f>
        <v>SPR/07/23/001</v>
      </c>
      <c r="L3" s="13">
        <f>IFERROR(__xludf.DUMMYFUNCTION("""COMPUTED_VALUE"""),45108.0)</f>
        <v>45108</v>
      </c>
    </row>
    <row r="4">
      <c r="A4" s="6" t="str">
        <f>IFERROR(__xludf.DUMMYFUNCTION("""COMPUTED_VALUE"""),"ROS")</f>
        <v>ROS</v>
      </c>
      <c r="B4" s="6" t="str">
        <f>IFERROR(__xludf.DUMMYFUNCTION("""COMPUTED_VALUE"""),"ENG")</f>
        <v>ENG</v>
      </c>
      <c r="C4" s="6" t="str">
        <f>IFERROR(__xludf.DUMMYFUNCTION("""COMPUTED_VALUE"""),"P-11991-00")</f>
        <v>P-11991-00</v>
      </c>
      <c r="D4" s="6" t="str">
        <f>IFERROR(__xludf.DUMMYFUNCTION("""COMPUTED_VALUE"""),"Cabble Ties 200L")</f>
        <v>Cabble Ties 200L</v>
      </c>
      <c r="E4" s="6">
        <f>IFERROR(__xludf.DUMMYFUNCTION("""COMPUTED_VALUE"""),20.0)</f>
        <v>20</v>
      </c>
      <c r="F4" s="6">
        <f>IFERROR(__xludf.DUMMYFUNCTION("""COMPUTED_VALUE"""),20.0)</f>
        <v>20</v>
      </c>
      <c r="G4" s="6">
        <f>IFERROR(__xludf.DUMMYFUNCTION("""COMPUTED_VALUE"""),0.0)</f>
        <v>0</v>
      </c>
      <c r="H4" s="6" t="str">
        <f>IFERROR(__xludf.DUMMYFUNCTION("""COMPUTED_VALUE"""),"pcs")</f>
        <v>pcs</v>
      </c>
      <c r="I4" s="6" t="str">
        <f>IFERROR(__xludf.DUMMYFUNCTION("""COMPUTED_VALUE"""),"MFH")</f>
        <v>MFH</v>
      </c>
      <c r="J4" s="6" t="str">
        <f>IFERROR(__xludf.DUMMYFUNCTION("""COMPUTED_VALUE"""),"Filling")</f>
        <v>Filling</v>
      </c>
      <c r="K4" s="6" t="str">
        <f>IFERROR(__xludf.DUMMYFUNCTION("""COMPUTED_VALUE"""),"SPR/07/23/001")</f>
        <v>SPR/07/23/001</v>
      </c>
      <c r="L4" s="13">
        <f>IFERROR(__xludf.DUMMYFUNCTION("""COMPUTED_VALUE"""),45108.0)</f>
        <v>45108</v>
      </c>
    </row>
    <row r="5">
      <c r="A5" s="6" t="str">
        <f>IFERROR(__xludf.DUMMYFUNCTION("""COMPUTED_VALUE"""),"MRN")</f>
        <v>MRN</v>
      </c>
      <c r="B5" s="6" t="str">
        <f>IFERROR(__xludf.DUMMYFUNCTION("""COMPUTED_VALUE"""),"ENG")</f>
        <v>ENG</v>
      </c>
      <c r="C5" s="6" t="str">
        <f>IFERROR(__xludf.DUMMYFUNCTION("""COMPUTED_VALUE"""),"P-53102-00")</f>
        <v>P-53102-00</v>
      </c>
      <c r="D5" s="6" t="str">
        <f>IFERROR(__xludf.DUMMYFUNCTION("""COMPUTED_VALUE"""),"Lampu PLC 13watt/E27 Putih; Phillips; ;")</f>
        <v>Lampu PLC 13watt/E27 Putih; Phillips; ;</v>
      </c>
      <c r="E5" s="6">
        <f>IFERROR(__xludf.DUMMYFUNCTION("""COMPUTED_VALUE"""),2.0)</f>
        <v>2</v>
      </c>
      <c r="F5" s="6">
        <f>IFERROR(__xludf.DUMMYFUNCTION("""COMPUTED_VALUE"""),2.0)</f>
        <v>2</v>
      </c>
      <c r="G5" s="6">
        <f>IFERROR(__xludf.DUMMYFUNCTION("""COMPUTED_VALUE"""),0.0)</f>
        <v>0</v>
      </c>
      <c r="H5" s="6" t="str">
        <f>IFERROR(__xludf.DUMMYFUNCTION("""COMPUTED_VALUE"""),"pcs")</f>
        <v>pcs</v>
      </c>
      <c r="I5" s="6" t="str">
        <f>IFERROR(__xludf.DUMMYFUNCTION("""COMPUTED_VALUE"""),"MFH")</f>
        <v>MFH</v>
      </c>
      <c r="J5" s="6" t="str">
        <f>IFERROR(__xludf.DUMMYFUNCTION("""COMPUTED_VALUE"""),"Building")</f>
        <v>Building</v>
      </c>
      <c r="K5" s="6" t="str">
        <f>IFERROR(__xludf.DUMMYFUNCTION("""COMPUTED_VALUE"""),"SPR/07/23/002")</f>
        <v>SPR/07/23/002</v>
      </c>
      <c r="L5" s="13">
        <f>IFERROR(__xludf.DUMMYFUNCTION("""COMPUTED_VALUE"""),45108.0)</f>
        <v>45108</v>
      </c>
    </row>
    <row r="6">
      <c r="A6" s="6" t="str">
        <f>IFERROR(__xludf.DUMMYFUNCTION("""COMPUTED_VALUE"""),"INN")</f>
        <v>INN</v>
      </c>
      <c r="B6" s="6" t="str">
        <f>IFERROR(__xludf.DUMMYFUNCTION("""COMPUTED_VALUE"""),"ENG")</f>
        <v>ENG</v>
      </c>
      <c r="C6" s="6" t="str">
        <f>IFERROR(__xludf.DUMMYFUNCTION("""COMPUTED_VALUE"""),"O-15902-00")</f>
        <v>O-15902-00</v>
      </c>
      <c r="D6" s="6" t="str">
        <f>IFERROR(__xludf.DUMMYFUNCTION("""COMPUTED_VALUE"""),"Suction Cup capping size 6R; P/N : 011010; ; ;")</f>
        <v>Suction Cup capping size 6R; P/N : 011010; ; ;</v>
      </c>
      <c r="E6" s="6">
        <f>IFERROR(__xludf.DUMMYFUNCTION("""COMPUTED_VALUE"""),8.0)</f>
        <v>8</v>
      </c>
      <c r="F6" s="6">
        <f>IFERROR(__xludf.DUMMYFUNCTION("""COMPUTED_VALUE"""),8.0)</f>
        <v>8</v>
      </c>
      <c r="G6" s="6">
        <f>IFERROR(__xludf.DUMMYFUNCTION("""COMPUTED_VALUE"""),0.0)</f>
        <v>0</v>
      </c>
      <c r="H6" s="6" t="str">
        <f>IFERROR(__xludf.DUMMYFUNCTION("""COMPUTED_VALUE"""),"pcs")</f>
        <v>pcs</v>
      </c>
      <c r="I6" s="6" t="str">
        <f>IFERROR(__xludf.DUMMYFUNCTION("""COMPUTED_VALUE"""),"MFH")</f>
        <v>MFH</v>
      </c>
      <c r="J6" s="6" t="str">
        <f>IFERROR(__xludf.DUMMYFUNCTION("""COMPUTED_VALUE"""),"Capping")</f>
        <v>Capping</v>
      </c>
      <c r="K6" s="6" t="str">
        <f>IFERROR(__xludf.DUMMYFUNCTION("""COMPUTED_VALUE"""),"SPR/07/23/003")</f>
        <v>SPR/07/23/003</v>
      </c>
      <c r="L6" s="13">
        <f>IFERROR(__xludf.DUMMYFUNCTION("""COMPUTED_VALUE"""),45108.0)</f>
        <v>45108</v>
      </c>
    </row>
    <row r="7">
      <c r="A7" s="6" t="str">
        <f>IFERROR(__xludf.DUMMYFUNCTION("""COMPUTED_VALUE"""),"RPA")</f>
        <v>RPA</v>
      </c>
      <c r="B7" s="6" t="str">
        <f>IFERROR(__xludf.DUMMYFUNCTION("""COMPUTED_VALUE"""),"PRO")</f>
        <v>PRO</v>
      </c>
      <c r="C7" s="6" t="str">
        <f>IFERROR(__xludf.DUMMYFUNCTION("""COMPUTED_VALUE"""),"O-18055-00")</f>
        <v>O-18055-00</v>
      </c>
      <c r="D7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7" s="6">
        <f>IFERROR(__xludf.DUMMYFUNCTION("""COMPUTED_VALUE"""),2.0)</f>
        <v>2</v>
      </c>
      <c r="F7" s="6">
        <f>IFERROR(__xludf.DUMMYFUNCTION("""COMPUTED_VALUE"""),2.0)</f>
        <v>2</v>
      </c>
      <c r="G7" s="6">
        <f>IFERROR(__xludf.DUMMYFUNCTION("""COMPUTED_VALUE"""),0.0)</f>
        <v>0</v>
      </c>
      <c r="H7" s="6" t="str">
        <f>IFERROR(__xludf.DUMMYFUNCTION("""COMPUTED_VALUE"""),"pcs")</f>
        <v>pcs</v>
      </c>
      <c r="I7" s="6" t="str">
        <f>IFERROR(__xludf.DUMMYFUNCTION("""COMPUTED_VALUE"""),"MFH")</f>
        <v>MFH</v>
      </c>
      <c r="J7" s="6" t="str">
        <f>IFERROR(__xludf.DUMMYFUNCTION("""COMPUTED_VALUE"""),"SKAN")</f>
        <v>SKAN</v>
      </c>
      <c r="K7" s="6" t="str">
        <f>IFERROR(__xludf.DUMMYFUNCTION("""COMPUTED_VALUE"""),"SPR/07/23/004")</f>
        <v>SPR/07/23/004</v>
      </c>
      <c r="L7" s="13">
        <f>IFERROR(__xludf.DUMMYFUNCTION("""COMPUTED_VALUE"""),45108.0)</f>
        <v>45108</v>
      </c>
    </row>
    <row r="8">
      <c r="A8" s="6" t="str">
        <f>IFERROR(__xludf.DUMMYFUNCTION("""COMPUTED_VALUE"""),"RIA")</f>
        <v>RIA</v>
      </c>
      <c r="B8" s="6" t="str">
        <f>IFERROR(__xludf.DUMMYFUNCTION("""COMPUTED_VALUE"""),"ENG")</f>
        <v>ENG</v>
      </c>
      <c r="C8" s="6" t="str">
        <f>IFERROR(__xludf.DUMMYFUNCTION("""COMPUTED_VALUE"""),"P-14455-00")</f>
        <v>P-14455-00</v>
      </c>
      <c r="D8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8" s="6">
        <f>IFERROR(__xludf.DUMMYFUNCTION("""COMPUTED_VALUE"""),1.0)</f>
        <v>1</v>
      </c>
      <c r="F8" s="6">
        <f>IFERROR(__xludf.DUMMYFUNCTION("""COMPUTED_VALUE"""),1.0)</f>
        <v>1</v>
      </c>
      <c r="G8" s="6">
        <f>IFERROR(__xludf.DUMMYFUNCTION("""COMPUTED_VALUE"""),0.0)</f>
        <v>0</v>
      </c>
      <c r="H8" s="6" t="str">
        <f>IFERROR(__xludf.DUMMYFUNCTION("""COMPUTED_VALUE"""),"pcs")</f>
        <v>pcs</v>
      </c>
      <c r="I8" s="6" t="str">
        <f>IFERROR(__xludf.DUMMYFUNCTION("""COMPUTED_VALUE"""),"MFH")</f>
        <v>MFH</v>
      </c>
      <c r="J8" s="6" t="str">
        <f>IFERROR(__xludf.DUMMYFUNCTION("""COMPUTED_VALUE"""),"AHU ")</f>
        <v>AHU </v>
      </c>
      <c r="K8" s="6" t="str">
        <f>IFERROR(__xludf.DUMMYFUNCTION("""COMPUTED_VALUE"""),"SPR/07/23/005")</f>
        <v>SPR/07/23/005</v>
      </c>
      <c r="L8" s="13">
        <f>IFERROR(__xludf.DUMMYFUNCTION("""COMPUTED_VALUE"""),45108.0)</f>
        <v>45108</v>
      </c>
    </row>
    <row r="9">
      <c r="A9" s="6" t="str">
        <f>IFERROR(__xludf.DUMMYFUNCTION("""COMPUTED_VALUE"""),"RIA")</f>
        <v>RIA</v>
      </c>
      <c r="B9" s="6" t="str">
        <f>IFERROR(__xludf.DUMMYFUNCTION("""COMPUTED_VALUE"""),"ENG")</f>
        <v>ENG</v>
      </c>
      <c r="C9" s="6" t="str">
        <f>IFERROR(__xludf.DUMMYFUNCTION("""COMPUTED_VALUE"""),"P-14456-00")</f>
        <v>P-14456-00</v>
      </c>
      <c r="D9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9" s="6">
        <f>IFERROR(__xludf.DUMMYFUNCTION("""COMPUTED_VALUE"""),1.0)</f>
        <v>1</v>
      </c>
      <c r="F9" s="6">
        <f>IFERROR(__xludf.DUMMYFUNCTION("""COMPUTED_VALUE"""),1.0)</f>
        <v>1</v>
      </c>
      <c r="G9" s="6">
        <f>IFERROR(__xludf.DUMMYFUNCTION("""COMPUTED_VALUE"""),0.0)</f>
        <v>0</v>
      </c>
      <c r="H9" s="6" t="str">
        <f>IFERROR(__xludf.DUMMYFUNCTION("""COMPUTED_VALUE"""),"pcs")</f>
        <v>pcs</v>
      </c>
      <c r="I9" s="6" t="str">
        <f>IFERROR(__xludf.DUMMYFUNCTION("""COMPUTED_VALUE"""),"MFH")</f>
        <v>MFH</v>
      </c>
      <c r="J9" s="6" t="str">
        <f>IFERROR(__xludf.DUMMYFUNCTION("""COMPUTED_VALUE"""),"AHU")</f>
        <v>AHU</v>
      </c>
      <c r="K9" s="6" t="str">
        <f>IFERROR(__xludf.DUMMYFUNCTION("""COMPUTED_VALUE"""),"SPR/07/23/005")</f>
        <v>SPR/07/23/005</v>
      </c>
      <c r="L9" s="13">
        <f>IFERROR(__xludf.DUMMYFUNCTION("""COMPUTED_VALUE"""),45108.0)</f>
        <v>45108</v>
      </c>
    </row>
    <row r="10">
      <c r="A10" s="6" t="str">
        <f>IFERROR(__xludf.DUMMYFUNCTION("""COMPUTED_VALUE"""),"RIA")</f>
        <v>RIA</v>
      </c>
      <c r="B10" s="6" t="str">
        <f>IFERROR(__xludf.DUMMYFUNCTION("""COMPUTED_VALUE"""),"ENG")</f>
        <v>ENG</v>
      </c>
      <c r="C10" s="6" t="str">
        <f>IFERROR(__xludf.DUMMYFUNCTION("""COMPUTED_VALUE"""),"P-53173-00")</f>
        <v>P-53173-00</v>
      </c>
      <c r="D10" s="6" t="str">
        <f>IFERROR(__xludf.DUMMYFUNCTION("""COMPUTED_VALUE"""),"Ballast Electronic EB-C 214 TL5, 2x14W; Phillips; ;")</f>
        <v>Ballast Electronic EB-C 214 TL5, 2x14W; Phillips; ;</v>
      </c>
      <c r="E10" s="6">
        <f>IFERROR(__xludf.DUMMYFUNCTION("""COMPUTED_VALUE"""),1.0)</f>
        <v>1</v>
      </c>
      <c r="F10" s="6">
        <f>IFERROR(__xludf.DUMMYFUNCTION("""COMPUTED_VALUE"""),1.0)</f>
        <v>1</v>
      </c>
      <c r="G10" s="6">
        <f>IFERROR(__xludf.DUMMYFUNCTION("""COMPUTED_VALUE"""),0.0)</f>
        <v>0</v>
      </c>
      <c r="H10" s="6" t="str">
        <f>IFERROR(__xludf.DUMMYFUNCTION("""COMPUTED_VALUE"""),"pcs")</f>
        <v>pcs</v>
      </c>
      <c r="I10" s="6" t="str">
        <f>IFERROR(__xludf.DUMMYFUNCTION("""COMPUTED_VALUE"""),"MFH")</f>
        <v>MFH</v>
      </c>
      <c r="J10" s="6" t="str">
        <f>IFERROR(__xludf.DUMMYFUNCTION("""COMPUTED_VALUE"""),"Building")</f>
        <v>Building</v>
      </c>
      <c r="K10" s="6" t="str">
        <f>IFERROR(__xludf.DUMMYFUNCTION("""COMPUTED_VALUE"""),"SPR/07/23/006")</f>
        <v>SPR/07/23/006</v>
      </c>
      <c r="L10" s="13">
        <f>IFERROR(__xludf.DUMMYFUNCTION("""COMPUTED_VALUE"""),45108.0)</f>
        <v>45108</v>
      </c>
    </row>
    <row r="11">
      <c r="A11" s="6" t="str">
        <f>IFERROR(__xludf.DUMMYFUNCTION("""COMPUTED_VALUE"""),"RIA")</f>
        <v>RIA</v>
      </c>
      <c r="B11" s="6" t="str">
        <f>IFERROR(__xludf.DUMMYFUNCTION("""COMPUTED_VALUE"""),"ENG")</f>
        <v>ENG</v>
      </c>
      <c r="C11" s="6" t="str">
        <f>IFERROR(__xludf.DUMMYFUNCTION("""COMPUTED_VALUE"""),"P-51529-00")</f>
        <v>P-51529-00</v>
      </c>
      <c r="D11" s="6" t="str">
        <f>IFERROR(__xludf.DUMMYFUNCTION("""COMPUTED_VALUE"""),"5um Filter, 30"" 5um PP for PWG 3000L")</f>
        <v>5um Filter, 30" 5um PP for PWG 3000L</v>
      </c>
      <c r="E11" s="6">
        <f>IFERROR(__xludf.DUMMYFUNCTION("""COMPUTED_VALUE"""),5.0)</f>
        <v>5</v>
      </c>
      <c r="F11" s="6">
        <f>IFERROR(__xludf.DUMMYFUNCTION("""COMPUTED_VALUE"""),5.0)</f>
        <v>5</v>
      </c>
      <c r="G11" s="6">
        <f>IFERROR(__xludf.DUMMYFUNCTION("""COMPUTED_VALUE"""),0.0)</f>
        <v>0</v>
      </c>
      <c r="H11" s="6" t="str">
        <f>IFERROR(__xludf.DUMMYFUNCTION("""COMPUTED_VALUE"""),"pcs")</f>
        <v>pcs</v>
      </c>
      <c r="I11" s="6" t="str">
        <f>IFERROR(__xludf.DUMMYFUNCTION("""COMPUTED_VALUE"""),"MFH")</f>
        <v>MFH</v>
      </c>
      <c r="J11" s="6" t="str">
        <f>IFERROR(__xludf.DUMMYFUNCTION("""COMPUTED_VALUE"""),"PWG")</f>
        <v>PWG</v>
      </c>
      <c r="K11" s="6" t="str">
        <f>IFERROR(__xludf.DUMMYFUNCTION("""COMPUTED_VALUE"""),"SPR/07/23/006")</f>
        <v>SPR/07/23/006</v>
      </c>
      <c r="L11" s="13">
        <f>IFERROR(__xludf.DUMMYFUNCTION("""COMPUTED_VALUE"""),45108.0)</f>
        <v>45108</v>
      </c>
    </row>
    <row r="12">
      <c r="A12" s="6" t="str">
        <f>IFERROR(__xludf.DUMMYFUNCTION("""COMPUTED_VALUE"""),"RIA")</f>
        <v>RIA</v>
      </c>
      <c r="B12" s="6" t="str">
        <f>IFERROR(__xludf.DUMMYFUNCTION("""COMPUTED_VALUE"""),"ENG")</f>
        <v>ENG</v>
      </c>
      <c r="C12" s="6" t="str">
        <f>IFERROR(__xludf.DUMMYFUNCTION("""COMPUTED_VALUE"""),"P-15862-00")</f>
        <v>P-15862-00</v>
      </c>
      <c r="D12" s="6" t="str">
        <f>IFERROR(__xludf.DUMMYFUNCTION("""COMPUTED_VALUE"""),"PAPER RECORD YOKOGAWA; FOLDING CHART B9565AW")</f>
        <v>PAPER RECORD YOKOGAWA; FOLDING CHART B9565AW</v>
      </c>
      <c r="E12" s="6">
        <f>IFERROR(__xludf.DUMMYFUNCTION("""COMPUTED_VALUE"""),1.0)</f>
        <v>1</v>
      </c>
      <c r="F12" s="6">
        <f>IFERROR(__xludf.DUMMYFUNCTION("""COMPUTED_VALUE"""),1.0)</f>
        <v>1</v>
      </c>
      <c r="G12" s="6">
        <f>IFERROR(__xludf.DUMMYFUNCTION("""COMPUTED_VALUE"""),0.0)</f>
        <v>0</v>
      </c>
      <c r="H12" s="6" t="str">
        <f>IFERROR(__xludf.DUMMYFUNCTION("""COMPUTED_VALUE"""),"pcs")</f>
        <v>pcs</v>
      </c>
      <c r="I12" s="6" t="str">
        <f>IFERROR(__xludf.DUMMYFUNCTION("""COMPUTED_VALUE"""),"MFH")</f>
        <v>MFH</v>
      </c>
      <c r="J12" s="6" t="str">
        <f>IFERROR(__xludf.DUMMYFUNCTION("""COMPUTED_VALUE"""),"WFI SKID")</f>
        <v>WFI SKID</v>
      </c>
      <c r="K12" s="6" t="str">
        <f>IFERROR(__xludf.DUMMYFUNCTION("""COMPUTED_VALUE"""),"SPR/07/23/007")</f>
        <v>SPR/07/23/007</v>
      </c>
      <c r="L12" s="13">
        <f>IFERROR(__xludf.DUMMYFUNCTION("""COMPUTED_VALUE"""),45108.0)</f>
        <v>45108</v>
      </c>
    </row>
    <row r="13">
      <c r="A13" s="6" t="str">
        <f>IFERROR(__xludf.DUMMYFUNCTION("""COMPUTED_VALUE"""),"RIA")</f>
        <v>RIA</v>
      </c>
      <c r="B13" s="6" t="str">
        <f>IFERROR(__xludf.DUMMYFUNCTION("""COMPUTED_VALUE"""),"ENG")</f>
        <v>ENG</v>
      </c>
      <c r="C13" s="6" t="str">
        <f>IFERROR(__xludf.DUMMYFUNCTION("""COMPUTED_VALUE"""),"O-51308-00")</f>
        <v>O-51308-00</v>
      </c>
      <c r="D13" s="6" t="str">
        <f>IFERROR(__xludf.DUMMYFUNCTION("""COMPUTED_VALUE"""),"Push Button 22mm Green ABW111EP Fort")</f>
        <v>Push Button 22mm Green ABW111EP Fort</v>
      </c>
      <c r="E13" s="6">
        <f>IFERROR(__xludf.DUMMYFUNCTION("""COMPUTED_VALUE"""),1.0)</f>
        <v>1</v>
      </c>
      <c r="F13" s="6">
        <f>IFERROR(__xludf.DUMMYFUNCTION("""COMPUTED_VALUE"""),1.0)</f>
        <v>1</v>
      </c>
      <c r="G13" s="6">
        <f>IFERROR(__xludf.DUMMYFUNCTION("""COMPUTED_VALUE"""),0.0)</f>
        <v>0</v>
      </c>
      <c r="H13" s="6" t="str">
        <f>IFERROR(__xludf.DUMMYFUNCTION("""COMPUTED_VALUE"""),"pcs")</f>
        <v>pcs</v>
      </c>
      <c r="I13" s="6" t="str">
        <f>IFERROR(__xludf.DUMMYFUNCTION("""COMPUTED_VALUE"""),"MFH")</f>
        <v>MFH</v>
      </c>
      <c r="J13" s="6" t="str">
        <f>IFERROR(__xludf.DUMMYFUNCTION("""COMPUTED_VALUE"""),"Building")</f>
        <v>Building</v>
      </c>
      <c r="K13" s="6" t="str">
        <f>IFERROR(__xludf.DUMMYFUNCTION("""COMPUTED_VALUE"""),"SPR/07/23/008")</f>
        <v>SPR/07/23/008</v>
      </c>
      <c r="L13" s="13">
        <f>IFERROR(__xludf.DUMMYFUNCTION("""COMPUTED_VALUE"""),45108.0)</f>
        <v>45108</v>
      </c>
    </row>
    <row r="14">
      <c r="A14" s="6" t="str">
        <f>IFERROR(__xludf.DUMMYFUNCTION("""COMPUTED_VALUE"""),"AAA")</f>
        <v>AAA</v>
      </c>
      <c r="B14" s="6" t="str">
        <f>IFERROR(__xludf.DUMMYFUNCTION("""COMPUTED_VALUE"""),"ENG")</f>
        <v>ENG</v>
      </c>
      <c r="C14" s="6" t="str">
        <f>IFERROR(__xludf.DUMMYFUNCTION("""COMPUTED_VALUE"""),"P-50140-00")</f>
        <v>P-50140-00</v>
      </c>
      <c r="D14" s="6" t="str">
        <f>IFERROR(__xludf.DUMMYFUNCTION("""COMPUTED_VALUE"""),"Battery UPS - Battery kering Merk YUASA 12V 9AH")</f>
        <v>Battery UPS - Battery kering Merk YUASA 12V 9AH</v>
      </c>
      <c r="E14" s="6">
        <f>IFERROR(__xludf.DUMMYFUNCTION("""COMPUTED_VALUE"""),1.0)</f>
        <v>1</v>
      </c>
      <c r="F14" s="6">
        <f>IFERROR(__xludf.DUMMYFUNCTION("""COMPUTED_VALUE"""),1.0)</f>
        <v>1</v>
      </c>
      <c r="G14" s="6">
        <f>IFERROR(__xludf.DUMMYFUNCTION("""COMPUTED_VALUE"""),0.0)</f>
        <v>0</v>
      </c>
      <c r="H14" s="6" t="str">
        <f>IFERROR(__xludf.DUMMYFUNCTION("""COMPUTED_VALUE"""),"pcs")</f>
        <v>pcs</v>
      </c>
      <c r="I14" s="6" t="str">
        <f>IFERROR(__xludf.DUMMYFUNCTION("""COMPUTED_VALUE"""),"MFH")</f>
        <v>MFH</v>
      </c>
      <c r="J14" s="6" t="str">
        <f>IFERROR(__xludf.DUMMYFUNCTION("""COMPUTED_VALUE"""),"UPS 20KVA")</f>
        <v>UPS 20KVA</v>
      </c>
      <c r="K14" s="6" t="str">
        <f>IFERROR(__xludf.DUMMYFUNCTION("""COMPUTED_VALUE"""),"SPR/07/23/008")</f>
        <v>SPR/07/23/008</v>
      </c>
      <c r="L14" s="13">
        <f>IFERROR(__xludf.DUMMYFUNCTION("""COMPUTED_VALUE"""),45108.0)</f>
        <v>45108</v>
      </c>
    </row>
    <row r="15">
      <c r="A15" s="6" t="str">
        <f>IFERROR(__xludf.DUMMYFUNCTION("""COMPUTED_VALUE"""),"EIL")</f>
        <v>EIL</v>
      </c>
      <c r="B15" s="6" t="str">
        <f>IFERROR(__xludf.DUMMYFUNCTION("""COMPUTED_VALUE"""),"ENG")</f>
        <v>ENG</v>
      </c>
      <c r="C15" s="6" t="str">
        <f>IFERROR(__xludf.DUMMYFUNCTION("""COMPUTED_VALUE"""),"P-53102-00")</f>
        <v>P-53102-00</v>
      </c>
      <c r="D15" s="6" t="str">
        <f>IFERROR(__xludf.DUMMYFUNCTION("""COMPUTED_VALUE"""),"Lampu PLC 13watt/E27 Putih; Phillips; ;")</f>
        <v>Lampu PLC 13watt/E27 Putih; Phillips; ;</v>
      </c>
      <c r="E15" s="6">
        <f>IFERROR(__xludf.DUMMYFUNCTION("""COMPUTED_VALUE"""),1.0)</f>
        <v>1</v>
      </c>
      <c r="F15" s="6">
        <f>IFERROR(__xludf.DUMMYFUNCTION("""COMPUTED_VALUE"""),1.0)</f>
        <v>1</v>
      </c>
      <c r="G15" s="6">
        <f>IFERROR(__xludf.DUMMYFUNCTION("""COMPUTED_VALUE"""),0.0)</f>
        <v>0</v>
      </c>
      <c r="H15" s="6" t="str">
        <f>IFERROR(__xludf.DUMMYFUNCTION("""COMPUTED_VALUE"""),"pcs")</f>
        <v>pcs</v>
      </c>
      <c r="I15" s="6" t="str">
        <f>IFERROR(__xludf.DUMMYFUNCTION("""COMPUTED_VALUE"""),"MFH")</f>
        <v>MFH</v>
      </c>
      <c r="J15" s="6" t="str">
        <f>IFERROR(__xludf.DUMMYFUNCTION("""COMPUTED_VALUE"""),"Building")</f>
        <v>Building</v>
      </c>
      <c r="K15" s="6" t="str">
        <f>IFERROR(__xludf.DUMMYFUNCTION("""COMPUTED_VALUE"""),"SPR/07/23/009")</f>
        <v>SPR/07/23/009</v>
      </c>
      <c r="L15" s="13">
        <f>IFERROR(__xludf.DUMMYFUNCTION("""COMPUTED_VALUE"""),45108.0)</f>
        <v>45108</v>
      </c>
    </row>
    <row r="16">
      <c r="A16" s="6" t="str">
        <f>IFERROR(__xludf.DUMMYFUNCTION("""COMPUTED_VALUE"""),"MRN")</f>
        <v>MRN</v>
      </c>
      <c r="B16" s="6" t="str">
        <f>IFERROR(__xludf.DUMMYFUNCTION("""COMPUTED_VALUE"""),"ENG")</f>
        <v>ENG</v>
      </c>
      <c r="C16" s="6" t="str">
        <f>IFERROR(__xludf.DUMMYFUNCTION("""COMPUTED_VALUE"""),"P-53170-00")</f>
        <v>P-53170-00</v>
      </c>
      <c r="D16" s="6" t="str">
        <f>IFERROR(__xludf.DUMMYFUNCTION("""COMPUTED_VALUE"""),"Ballast Electronic EB-C 128 TL5, 1x28W; Phillips; ;")</f>
        <v>Ballast Electronic EB-C 128 TL5, 1x28W; Phillips; ;</v>
      </c>
      <c r="E16" s="6">
        <f>IFERROR(__xludf.DUMMYFUNCTION("""COMPUTED_VALUE"""),1.0)</f>
        <v>1</v>
      </c>
      <c r="F16" s="6">
        <f>IFERROR(__xludf.DUMMYFUNCTION("""COMPUTED_VALUE"""),1.0)</f>
        <v>1</v>
      </c>
      <c r="G16" s="6">
        <f>IFERROR(__xludf.DUMMYFUNCTION("""COMPUTED_VALUE"""),0.0)</f>
        <v>0</v>
      </c>
      <c r="H16" s="6" t="str">
        <f>IFERROR(__xludf.DUMMYFUNCTION("""COMPUTED_VALUE"""),"pcs")</f>
        <v>pcs</v>
      </c>
      <c r="I16" s="6" t="str">
        <f>IFERROR(__xludf.DUMMYFUNCTION("""COMPUTED_VALUE"""),"MFH")</f>
        <v>MFH</v>
      </c>
      <c r="J16" s="6" t="str">
        <f>IFERROR(__xludf.DUMMYFUNCTION("""COMPUTED_VALUE"""),"Building")</f>
        <v>Building</v>
      </c>
      <c r="K16" s="6" t="str">
        <f>IFERROR(__xludf.DUMMYFUNCTION("""COMPUTED_VALUE"""),"SPR/07/23/010")</f>
        <v>SPR/07/23/010</v>
      </c>
      <c r="L16" s="13">
        <f>IFERROR(__xludf.DUMMYFUNCTION("""COMPUTED_VALUE"""),45108.0)</f>
        <v>45108</v>
      </c>
    </row>
    <row r="17">
      <c r="A17" s="6" t="str">
        <f>IFERROR(__xludf.DUMMYFUNCTION("""COMPUTED_VALUE"""),"ROS")</f>
        <v>ROS</v>
      </c>
      <c r="B17" s="6" t="str">
        <f>IFERROR(__xludf.DUMMYFUNCTION("""COMPUTED_VALUE"""),"ENG")</f>
        <v>ENG</v>
      </c>
      <c r="C17" s="6" t="str">
        <f>IFERROR(__xludf.DUMMYFUNCTION("""COMPUTED_VALUE"""),"O-13508-00")</f>
        <v>O-13508-00</v>
      </c>
      <c r="D17" s="6" t="str">
        <f>IFERROR(__xludf.DUMMYFUNCTION("""COMPUTED_VALUE"""),"Pneumatic Fitting - QS 8-6 FESTO P/N : - pc")</f>
        <v>Pneumatic Fitting - QS 8-6 FESTO P/N : - pc</v>
      </c>
      <c r="E17" s="6">
        <f>IFERROR(__xludf.DUMMYFUNCTION("""COMPUTED_VALUE"""),1.0)</f>
        <v>1</v>
      </c>
      <c r="F17" s="6">
        <f>IFERROR(__xludf.DUMMYFUNCTION("""COMPUTED_VALUE"""),1.0)</f>
        <v>1</v>
      </c>
      <c r="G17" s="6">
        <f>IFERROR(__xludf.DUMMYFUNCTION("""COMPUTED_VALUE"""),0.0)</f>
        <v>0</v>
      </c>
      <c r="H17" s="6" t="str">
        <f>IFERROR(__xludf.DUMMYFUNCTION("""COMPUTED_VALUE"""),"pcs")</f>
        <v>pcs</v>
      </c>
      <c r="I17" s="6" t="str">
        <f>IFERROR(__xludf.DUMMYFUNCTION("""COMPUTED_VALUE"""),"MFH")</f>
        <v>MFH</v>
      </c>
      <c r="J17" s="6" t="str">
        <f>IFERROR(__xludf.DUMMYFUNCTION("""COMPUTED_VALUE"""),"Autoclave")</f>
        <v>Autoclave</v>
      </c>
      <c r="K17" s="6" t="str">
        <f>IFERROR(__xludf.DUMMYFUNCTION("""COMPUTED_VALUE"""),"SPR/07/23/011")</f>
        <v>SPR/07/23/011</v>
      </c>
      <c r="L17" s="13">
        <f>IFERROR(__xludf.DUMMYFUNCTION("""COMPUTED_VALUE"""),45108.0)</f>
        <v>45108</v>
      </c>
    </row>
    <row r="18">
      <c r="A18" s="6" t="str">
        <f>IFERROR(__xludf.DUMMYFUNCTION("""COMPUTED_VALUE"""),"ROS")</f>
        <v>ROS</v>
      </c>
      <c r="B18" s="6" t="str">
        <f>IFERROR(__xludf.DUMMYFUNCTION("""COMPUTED_VALUE"""),"ENG")</f>
        <v>ENG</v>
      </c>
      <c r="C18" s="6" t="str">
        <f>IFERROR(__xludf.DUMMYFUNCTION("""COMPUTED_VALUE"""),"-")</f>
        <v>-</v>
      </c>
      <c r="D18" s="6" t="str">
        <f>IFERROR(__xludf.DUMMYFUNCTION("""COMPUTED_VALUE"""),"Pneumatic Fitting - QSL 3/8-1")</f>
        <v>Pneumatic Fitting - QSL 3/8-1</v>
      </c>
      <c r="E18" s="6">
        <f>IFERROR(__xludf.DUMMYFUNCTION("""COMPUTED_VALUE"""),1.0)</f>
        <v>1</v>
      </c>
      <c r="F18" s="6">
        <f>IFERROR(__xludf.DUMMYFUNCTION("""COMPUTED_VALUE"""),1.0)</f>
        <v>1</v>
      </c>
      <c r="G18" s="6">
        <f>IFERROR(__xludf.DUMMYFUNCTION("""COMPUTED_VALUE"""),0.0)</f>
        <v>0</v>
      </c>
      <c r="H18" s="6" t="str">
        <f>IFERROR(__xludf.DUMMYFUNCTION("""COMPUTED_VALUE"""),"pcs")</f>
        <v>pcs</v>
      </c>
      <c r="I18" s="6" t="str">
        <f>IFERROR(__xludf.DUMMYFUNCTION("""COMPUTED_VALUE"""),"MFH")</f>
        <v>MFH</v>
      </c>
      <c r="J18" s="6" t="str">
        <f>IFERROR(__xludf.DUMMYFUNCTION("""COMPUTED_VALUE"""),"Autoclave")</f>
        <v>Autoclave</v>
      </c>
      <c r="K18" s="6" t="str">
        <f>IFERROR(__xludf.DUMMYFUNCTION("""COMPUTED_VALUE"""),"SPR/07/23/011")</f>
        <v>SPR/07/23/011</v>
      </c>
      <c r="L18" s="13">
        <f>IFERROR(__xludf.DUMMYFUNCTION("""COMPUTED_VALUE"""),45108.0)</f>
        <v>45108</v>
      </c>
    </row>
    <row r="19">
      <c r="A19" s="6" t="str">
        <f>IFERROR(__xludf.DUMMYFUNCTION("""COMPUTED_VALUE"""),"ROS")</f>
        <v>ROS</v>
      </c>
      <c r="B19" s="6" t="str">
        <f>IFERROR(__xludf.DUMMYFUNCTION("""COMPUTED_VALUE"""),"ENG")</f>
        <v>ENG</v>
      </c>
      <c r="C19" s="6" t="str">
        <f>IFERROR(__xludf.DUMMYFUNCTION("""COMPUTED_VALUE"""),"P-12280-00")</f>
        <v>P-12280-00</v>
      </c>
      <c r="D19" s="6" t="str">
        <f>IFERROR(__xludf.DUMMYFUNCTION("""COMPUTED_VALUE"""),"FESTO - QS-1/8-8 Push-In fitting p/n 153004")</f>
        <v>FESTO - QS-1/8-8 Push-In fitting p/n 153004</v>
      </c>
      <c r="E19" s="6">
        <f>IFERROR(__xludf.DUMMYFUNCTION("""COMPUTED_VALUE"""),1.0)</f>
        <v>1</v>
      </c>
      <c r="F19" s="6">
        <f>IFERROR(__xludf.DUMMYFUNCTION("""COMPUTED_VALUE"""),1.0)</f>
        <v>1</v>
      </c>
      <c r="G19" s="6">
        <f>IFERROR(__xludf.DUMMYFUNCTION("""COMPUTED_VALUE"""),0.0)</f>
        <v>0</v>
      </c>
      <c r="H19" s="6" t="str">
        <f>IFERROR(__xludf.DUMMYFUNCTION("""COMPUTED_VALUE"""),"pcs")</f>
        <v>pcs</v>
      </c>
      <c r="I19" s="6" t="str">
        <f>IFERROR(__xludf.DUMMYFUNCTION("""COMPUTED_VALUE"""),"MFH")</f>
        <v>MFH</v>
      </c>
      <c r="J19" s="6" t="str">
        <f>IFERROR(__xludf.DUMMYFUNCTION("""COMPUTED_VALUE"""),"WASHING")</f>
        <v>WASHING</v>
      </c>
      <c r="K19" s="6" t="str">
        <f>IFERROR(__xludf.DUMMYFUNCTION("""COMPUTED_VALUE"""),"SPR/07/23/012")</f>
        <v>SPR/07/23/012</v>
      </c>
      <c r="L19" s="13">
        <f>IFERROR(__xludf.DUMMYFUNCTION("""COMPUTED_VALUE"""),45108.0)</f>
        <v>45108</v>
      </c>
    </row>
    <row r="20">
      <c r="A20" s="6" t="str">
        <f>IFERROR(__xludf.DUMMYFUNCTION("""COMPUTED_VALUE"""),"ROS")</f>
        <v>ROS</v>
      </c>
      <c r="B20" s="6" t="str">
        <f>IFERROR(__xludf.DUMMYFUNCTION("""COMPUTED_VALUE"""),"ENG")</f>
        <v>ENG</v>
      </c>
      <c r="C20" s="6" t="str">
        <f>IFERROR(__xludf.DUMMYFUNCTION("""COMPUTED_VALUE"""),"-")</f>
        <v>-</v>
      </c>
      <c r="D20" s="6" t="str">
        <f>IFERROR(__xludf.DUMMYFUNCTION("""COMPUTED_VALUE"""),"Festo Plastic Tubing PAN-MF-8X1-SW")</f>
        <v>Festo Plastic Tubing PAN-MF-8X1-SW</v>
      </c>
      <c r="E20" s="6">
        <f>IFERROR(__xludf.DUMMYFUNCTION("""COMPUTED_VALUE"""),1.0)</f>
        <v>1</v>
      </c>
      <c r="F20" s="6">
        <f>IFERROR(__xludf.DUMMYFUNCTION("""COMPUTED_VALUE"""),1.0)</f>
        <v>1</v>
      </c>
      <c r="G20" s="6">
        <f>IFERROR(__xludf.DUMMYFUNCTION("""COMPUTED_VALUE"""),0.0)</f>
        <v>0</v>
      </c>
      <c r="H20" s="6" t="str">
        <f>IFERROR(__xludf.DUMMYFUNCTION("""COMPUTED_VALUE"""),"pcs")</f>
        <v>pcs</v>
      </c>
      <c r="I20" s="6" t="str">
        <f>IFERROR(__xludf.DUMMYFUNCTION("""COMPUTED_VALUE"""),"MFH")</f>
        <v>MFH</v>
      </c>
      <c r="J20" s="6" t="str">
        <f>IFERROR(__xludf.DUMMYFUNCTION("""COMPUTED_VALUE"""),"WASHING")</f>
        <v>WASHING</v>
      </c>
      <c r="K20" s="6" t="str">
        <f>IFERROR(__xludf.DUMMYFUNCTION("""COMPUTED_VALUE"""),"SPR/07/23/012")</f>
        <v>SPR/07/23/012</v>
      </c>
      <c r="L20" s="13">
        <f>IFERROR(__xludf.DUMMYFUNCTION("""COMPUTED_VALUE"""),45108.0)</f>
        <v>45108</v>
      </c>
    </row>
    <row r="21">
      <c r="A21" s="6" t="str">
        <f>IFERROR(__xludf.DUMMYFUNCTION("""COMPUTED_VALUE"""),"ROS")</f>
        <v>ROS</v>
      </c>
      <c r="B21" s="6" t="str">
        <f>IFERROR(__xludf.DUMMYFUNCTION("""COMPUTED_VALUE"""),"ENG")</f>
        <v>ENG</v>
      </c>
      <c r="C21" s="6" t="str">
        <f>IFERROR(__xludf.DUMMYFUNCTION("""COMPUTED_VALUE"""),"T-80037-00")</f>
        <v>T-80037-00</v>
      </c>
      <c r="D21" s="6" t="str">
        <f>IFERROR(__xludf.DUMMYFUNCTION("""COMPUTED_VALUE"""),"Batterai Size AA")</f>
        <v>Batterai Size AA</v>
      </c>
      <c r="E21" s="6">
        <f>IFERROR(__xludf.DUMMYFUNCTION("""COMPUTED_VALUE"""),2.0)</f>
        <v>2</v>
      </c>
      <c r="F21" s="6">
        <f>IFERROR(__xludf.DUMMYFUNCTION("""COMPUTED_VALUE"""),2.0)</f>
        <v>2</v>
      </c>
      <c r="G21" s="6">
        <f>IFERROR(__xludf.DUMMYFUNCTION("""COMPUTED_VALUE"""),0.0)</f>
        <v>0</v>
      </c>
      <c r="H21" s="6" t="str">
        <f>IFERROR(__xludf.DUMMYFUNCTION("""COMPUTED_VALUE"""),"pcs")</f>
        <v>pcs</v>
      </c>
      <c r="I21" s="6" t="str">
        <f>IFERROR(__xludf.DUMMYFUNCTION("""COMPUTED_VALUE"""),"MFH")</f>
        <v>MFH</v>
      </c>
      <c r="J21" s="6" t="str">
        <f>IFERROR(__xludf.DUMMYFUNCTION("""COMPUTED_VALUE"""),"Building")</f>
        <v>Building</v>
      </c>
      <c r="K21" s="6" t="str">
        <f>IFERROR(__xludf.DUMMYFUNCTION("""COMPUTED_VALUE"""),"SPR/07/23/012")</f>
        <v>SPR/07/23/012</v>
      </c>
      <c r="L21" s="13">
        <f>IFERROR(__xludf.DUMMYFUNCTION("""COMPUTED_VALUE"""),45108.0)</f>
        <v>45108</v>
      </c>
    </row>
    <row r="22">
      <c r="A22" s="6" t="str">
        <f>IFERROR(__xludf.DUMMYFUNCTION("""COMPUTED_VALUE"""),"AAA")</f>
        <v>AAA</v>
      </c>
      <c r="B22" s="6" t="str">
        <f>IFERROR(__xludf.DUMMYFUNCTION("""COMPUTED_VALUE"""),"ENG")</f>
        <v>ENG</v>
      </c>
      <c r="C22" s="6" t="str">
        <f>IFERROR(__xludf.DUMMYFUNCTION("""COMPUTED_VALUE"""),"P-52380-00")</f>
        <v>P-52380-00</v>
      </c>
      <c r="D22" s="6" t="str">
        <f>IFERROR(__xludf.DUMMYFUNCTION("""COMPUTED_VALUE"""),"Adaptor AC Universal Power Supply 12VDC s/d 24VDC")</f>
        <v>Adaptor AC Universal Power Supply 12VDC s/d 24VDC</v>
      </c>
      <c r="E22" s="6">
        <f>IFERROR(__xludf.DUMMYFUNCTION("""COMPUTED_VALUE"""),1.0)</f>
        <v>1</v>
      </c>
      <c r="F22" s="6">
        <f>IFERROR(__xludf.DUMMYFUNCTION("""COMPUTED_VALUE"""),1.0)</f>
        <v>1</v>
      </c>
      <c r="G22" s="6">
        <f>IFERROR(__xludf.DUMMYFUNCTION("""COMPUTED_VALUE"""),0.0)</f>
        <v>0</v>
      </c>
      <c r="H22" s="6" t="str">
        <f>IFERROR(__xludf.DUMMYFUNCTION("""COMPUTED_VALUE"""),"Unit")</f>
        <v>Unit</v>
      </c>
      <c r="I22" s="6" t="str">
        <f>IFERROR(__xludf.DUMMYFUNCTION("""COMPUTED_VALUE"""),"MFH")</f>
        <v>MFH</v>
      </c>
      <c r="J22" s="6" t="str">
        <f>IFERROR(__xludf.DUMMYFUNCTION("""COMPUTED_VALUE"""),"Minicapt")</f>
        <v>Minicapt</v>
      </c>
      <c r="K22" s="6" t="str">
        <f>IFERROR(__xludf.DUMMYFUNCTION("""COMPUTED_VALUE"""),"SPR/07/23/013")</f>
        <v>SPR/07/23/013</v>
      </c>
      <c r="L22" s="13">
        <f>IFERROR(__xludf.DUMMYFUNCTION("""COMPUTED_VALUE"""),45108.0)</f>
        <v>45108</v>
      </c>
    </row>
    <row r="23">
      <c r="A23" s="6" t="str">
        <f>IFERROR(__xludf.DUMMYFUNCTION("""COMPUTED_VALUE"""),"AAA")</f>
        <v>AAA</v>
      </c>
      <c r="B23" s="6" t="str">
        <f>IFERROR(__xludf.DUMMYFUNCTION("""COMPUTED_VALUE"""),"ENG")</f>
        <v>ENG</v>
      </c>
      <c r="C23" s="6" t="str">
        <f>IFERROR(__xludf.DUMMYFUNCTION("""COMPUTED_VALUE"""),"Q-10249-00")</f>
        <v>Q-10249-00</v>
      </c>
      <c r="D23" s="6" t="str">
        <f>IFERROR(__xludf.DUMMYFUNCTION("""COMPUTED_VALUE"""),"Lem Power Glue")</f>
        <v>Lem Power Glue</v>
      </c>
      <c r="E23" s="6">
        <f>IFERROR(__xludf.DUMMYFUNCTION("""COMPUTED_VALUE"""),1.0)</f>
        <v>1</v>
      </c>
      <c r="F23" s="6">
        <f>IFERROR(__xludf.DUMMYFUNCTION("""COMPUTED_VALUE"""),1.0)</f>
        <v>1</v>
      </c>
      <c r="G23" s="6">
        <f>IFERROR(__xludf.DUMMYFUNCTION("""COMPUTED_VALUE"""),0.0)</f>
        <v>0</v>
      </c>
      <c r="H23" s="6" t="str">
        <f>IFERROR(__xludf.DUMMYFUNCTION("""COMPUTED_VALUE"""),"pcs")</f>
        <v>pcs</v>
      </c>
      <c r="I23" s="6" t="str">
        <f>IFERROR(__xludf.DUMMYFUNCTION("""COMPUTED_VALUE"""),"MFH")</f>
        <v>MFH</v>
      </c>
      <c r="J23" s="6" t="str">
        <f>IFERROR(__xludf.DUMMYFUNCTION("""COMPUTED_VALUE"""),"Minicapt")</f>
        <v>Minicapt</v>
      </c>
      <c r="K23" s="6" t="str">
        <f>IFERROR(__xludf.DUMMYFUNCTION("""COMPUTED_VALUE"""),"SPR/07/23/013")</f>
        <v>SPR/07/23/013</v>
      </c>
      <c r="L23" s="13">
        <f>IFERROR(__xludf.DUMMYFUNCTION("""COMPUTED_VALUE"""),45108.0)</f>
        <v>45108</v>
      </c>
    </row>
    <row r="24">
      <c r="A24" s="6" t="str">
        <f>IFERROR(__xludf.DUMMYFUNCTION("""COMPUTED_VALUE"""),"AAA")</f>
        <v>AAA</v>
      </c>
      <c r="B24" s="6" t="str">
        <f>IFERROR(__xludf.DUMMYFUNCTION("""COMPUTED_VALUE"""),"ENG")</f>
        <v>ENG</v>
      </c>
      <c r="C24" s="6" t="str">
        <f>IFERROR(__xludf.DUMMYFUNCTION("""COMPUTED_VALUE"""),"O-50994-00")</f>
        <v>O-50994-00</v>
      </c>
      <c r="D24" s="6" t="str">
        <f>IFERROR(__xludf.DUMMYFUNCTION("""COMPUTED_VALUE"""),"Battery kering 12V 7,2AH")</f>
        <v>Battery kering 12V 7,2AH</v>
      </c>
      <c r="E24" s="6">
        <f>IFERROR(__xludf.DUMMYFUNCTION("""COMPUTED_VALUE"""),1.0)</f>
        <v>1</v>
      </c>
      <c r="F24" s="6">
        <f>IFERROR(__xludf.DUMMYFUNCTION("""COMPUTED_VALUE"""),1.0)</f>
        <v>1</v>
      </c>
      <c r="G24" s="6">
        <f>IFERROR(__xludf.DUMMYFUNCTION("""COMPUTED_VALUE"""),0.0)</f>
        <v>0</v>
      </c>
      <c r="H24" s="6" t="str">
        <f>IFERROR(__xludf.DUMMYFUNCTION("""COMPUTED_VALUE"""),"pcs")</f>
        <v>pcs</v>
      </c>
      <c r="I24" s="6" t="str">
        <f>IFERROR(__xludf.DUMMYFUNCTION("""COMPUTED_VALUE"""),"MFH")</f>
        <v>MFH</v>
      </c>
      <c r="J24" s="6" t="str">
        <f>IFERROR(__xludf.DUMMYFUNCTION("""COMPUTED_VALUE"""),"CLU")</f>
        <v>CLU</v>
      </c>
      <c r="K24" s="6" t="str">
        <f>IFERROR(__xludf.DUMMYFUNCTION("""COMPUTED_VALUE"""),"SPR/07/23/013")</f>
        <v>SPR/07/23/013</v>
      </c>
      <c r="L24" s="13">
        <f>IFERROR(__xludf.DUMMYFUNCTION("""COMPUTED_VALUE"""),45108.0)</f>
        <v>45108</v>
      </c>
    </row>
    <row r="25">
      <c r="A25" s="6" t="str">
        <f>IFERROR(__xludf.DUMMYFUNCTION("""COMPUTED_VALUE"""),"AAA")</f>
        <v>AAA</v>
      </c>
      <c r="B25" s="6" t="str">
        <f>IFERROR(__xludf.DUMMYFUNCTION("""COMPUTED_VALUE"""),"ENG")</f>
        <v>ENG</v>
      </c>
      <c r="C25" s="6" t="str">
        <f>IFERROR(__xludf.DUMMYFUNCTION("""COMPUTED_VALUE"""),"P-53214-00")</f>
        <v>P-53214-00</v>
      </c>
      <c r="D25" s="6" t="str">
        <f>IFERROR(__xludf.DUMMYFUNCTION("""COMPUTED_VALUE"""),"Epoxy Adhesive DEXTONE")</f>
        <v>Epoxy Adhesive DEXTONE</v>
      </c>
      <c r="E25" s="6">
        <f>IFERROR(__xludf.DUMMYFUNCTION("""COMPUTED_VALUE"""),1.0)</f>
        <v>1</v>
      </c>
      <c r="F25" s="6">
        <f>IFERROR(__xludf.DUMMYFUNCTION("""COMPUTED_VALUE"""),1.0)</f>
        <v>1</v>
      </c>
      <c r="G25" s="6">
        <f>IFERROR(__xludf.DUMMYFUNCTION("""COMPUTED_VALUE"""),0.0)</f>
        <v>0</v>
      </c>
      <c r="H25" s="6" t="str">
        <f>IFERROR(__xludf.DUMMYFUNCTION("""COMPUTED_VALUE"""),"pcs")</f>
        <v>pcs</v>
      </c>
      <c r="I25" s="6" t="str">
        <f>IFERROR(__xludf.DUMMYFUNCTION("""COMPUTED_VALUE"""),"MFH")</f>
        <v>MFH</v>
      </c>
      <c r="J25" s="6" t="str">
        <f>IFERROR(__xludf.DUMMYFUNCTION("""COMPUTED_VALUE"""),"WASHING")</f>
        <v>WASHING</v>
      </c>
      <c r="K25" s="6" t="str">
        <f>IFERROR(__xludf.DUMMYFUNCTION("""COMPUTED_VALUE"""),"SPR/07/23/014")</f>
        <v>SPR/07/23/014</v>
      </c>
      <c r="L25" s="13">
        <f>IFERROR(__xludf.DUMMYFUNCTION("""COMPUTED_VALUE"""),45108.0)</f>
        <v>45108</v>
      </c>
    </row>
    <row r="26">
      <c r="A26" s="6" t="str">
        <f>IFERROR(__xludf.DUMMYFUNCTION("""COMPUTED_VALUE"""),"AAA")</f>
        <v>AAA</v>
      </c>
      <c r="B26" s="6" t="str">
        <f>IFERROR(__xludf.DUMMYFUNCTION("""COMPUTED_VALUE"""),"ENG")</f>
        <v>ENG</v>
      </c>
      <c r="C26" s="6" t="str">
        <f>IFERROR(__xludf.DUMMYFUNCTION("""COMPUTED_VALUE"""),"P-12764-00")</f>
        <v>P-12764-00</v>
      </c>
      <c r="D26" s="6" t="str">
        <f>IFERROR(__xludf.DUMMYFUNCTION("""COMPUTED_VALUE"""),"Silicone gasket for ferrule dia 1/2inch Taiwan")</f>
        <v>Silicone gasket for ferrule dia 1/2inch Taiwan</v>
      </c>
      <c r="E26" s="6">
        <f>IFERROR(__xludf.DUMMYFUNCTION("""COMPUTED_VALUE"""),1.0)</f>
        <v>1</v>
      </c>
      <c r="F26" s="6">
        <f>IFERROR(__xludf.DUMMYFUNCTION("""COMPUTED_VALUE"""),1.0)</f>
        <v>1</v>
      </c>
      <c r="G26" s="6">
        <f>IFERROR(__xludf.DUMMYFUNCTION("""COMPUTED_VALUE"""),0.0)</f>
        <v>0</v>
      </c>
      <c r="H26" s="6" t="str">
        <f>IFERROR(__xludf.DUMMYFUNCTION("""COMPUTED_VALUE"""),"pcs")</f>
        <v>pcs</v>
      </c>
      <c r="I26" s="6" t="str">
        <f>IFERROR(__xludf.DUMMYFUNCTION("""COMPUTED_VALUE"""),"MFH")</f>
        <v>MFH</v>
      </c>
      <c r="J26" s="6" t="str">
        <f>IFERROR(__xludf.DUMMYFUNCTION("""COMPUTED_VALUE"""),"WASHING")</f>
        <v>WASHING</v>
      </c>
      <c r="K26" s="6" t="str">
        <f>IFERROR(__xludf.DUMMYFUNCTION("""COMPUTED_VALUE"""),"SPR/07/23/014")</f>
        <v>SPR/07/23/014</v>
      </c>
      <c r="L26" s="13">
        <f>IFERROR(__xludf.DUMMYFUNCTION("""COMPUTED_VALUE"""),45108.0)</f>
        <v>45108</v>
      </c>
    </row>
    <row r="27">
      <c r="A27" s="6" t="str">
        <f>IFERROR(__xludf.DUMMYFUNCTION("""COMPUTED_VALUE"""),"AAA")</f>
        <v>AAA</v>
      </c>
      <c r="B27" s="6" t="str">
        <f>IFERROR(__xludf.DUMMYFUNCTION("""COMPUTED_VALUE"""),"ENG")</f>
        <v>ENG</v>
      </c>
      <c r="C27" s="6" t="str">
        <f>IFERROR(__xludf.DUMMYFUNCTION("""COMPUTED_VALUE"""),"-")</f>
        <v>-</v>
      </c>
      <c r="D27" s="6" t="str">
        <f>IFERROR(__xludf.DUMMYFUNCTION("""COMPUTED_VALUE"""),"FESTO - QSML-M6-4")</f>
        <v>FESTO - QSML-M6-4</v>
      </c>
      <c r="E27" s="6">
        <f>IFERROR(__xludf.DUMMYFUNCTION("""COMPUTED_VALUE"""),5.0)</f>
        <v>5</v>
      </c>
      <c r="F27" s="6">
        <f>IFERROR(__xludf.DUMMYFUNCTION("""COMPUTED_VALUE"""),5.0)</f>
        <v>5</v>
      </c>
      <c r="G27" s="6">
        <f>IFERROR(__xludf.DUMMYFUNCTION("""COMPUTED_VALUE"""),0.0)</f>
        <v>0</v>
      </c>
      <c r="H27" s="6" t="str">
        <f>IFERROR(__xludf.DUMMYFUNCTION("""COMPUTED_VALUE"""),"pcs")</f>
        <v>pcs</v>
      </c>
      <c r="I27" s="6" t="str">
        <f>IFERROR(__xludf.DUMMYFUNCTION("""COMPUTED_VALUE"""),"MFH")</f>
        <v>MFH</v>
      </c>
      <c r="J27" s="6" t="str">
        <f>IFERROR(__xludf.DUMMYFUNCTION("""COMPUTED_VALUE"""),"Mixing")</f>
        <v>Mixing</v>
      </c>
      <c r="K27" s="6" t="str">
        <f>IFERROR(__xludf.DUMMYFUNCTION("""COMPUTED_VALUE"""),"SPR/07/23/014")</f>
        <v>SPR/07/23/014</v>
      </c>
      <c r="L27" s="13">
        <f>IFERROR(__xludf.DUMMYFUNCTION("""COMPUTED_VALUE"""),45108.0)</f>
        <v>45108</v>
      </c>
    </row>
    <row r="28">
      <c r="A28" s="6" t="str">
        <f>IFERROR(__xludf.DUMMYFUNCTION("""COMPUTED_VALUE"""),"AAA")</f>
        <v>AAA</v>
      </c>
      <c r="B28" s="6" t="str">
        <f>IFERROR(__xludf.DUMMYFUNCTION("""COMPUTED_VALUE"""),"ENG")</f>
        <v>ENG</v>
      </c>
      <c r="C28" s="6" t="str">
        <f>IFERROR(__xludf.DUMMYFUNCTION("""COMPUTED_VALUE"""),"-")</f>
        <v>-</v>
      </c>
      <c r="D28" s="6" t="str">
        <f>IFERROR(__xludf.DUMMYFUNCTION("""COMPUTED_VALUE"""),"INLET CHECK VALVE (CERAMIC) 2690, Waters, Part No WAT270941")</f>
        <v>INLET CHECK VALVE (CERAMIC) 2690, Waters, Part No WAT270941</v>
      </c>
      <c r="E28" s="6">
        <f>IFERROR(__xludf.DUMMYFUNCTION("""COMPUTED_VALUE"""),2.0)</f>
        <v>2</v>
      </c>
      <c r="F28" s="6">
        <f>IFERROR(__xludf.DUMMYFUNCTION("""COMPUTED_VALUE"""),2.0)</f>
        <v>2</v>
      </c>
      <c r="G28" s="6">
        <f>IFERROR(__xludf.DUMMYFUNCTION("""COMPUTED_VALUE"""),0.0)</f>
        <v>0</v>
      </c>
      <c r="H28" s="6" t="str">
        <f>IFERROR(__xludf.DUMMYFUNCTION("""COMPUTED_VALUE"""),"pcs")</f>
        <v>pcs</v>
      </c>
      <c r="I28" s="6" t="str">
        <f>IFERROR(__xludf.DUMMYFUNCTION("""COMPUTED_VALUE"""),"MFH")</f>
        <v>MFH</v>
      </c>
      <c r="J28" s="6" t="str">
        <f>IFERROR(__xludf.DUMMYFUNCTION("""COMPUTED_VALUE"""),"HPLC")</f>
        <v>HPLC</v>
      </c>
      <c r="K28" s="6" t="str">
        <f>IFERROR(__xludf.DUMMYFUNCTION("""COMPUTED_VALUE"""),"SPR/07/23/015")</f>
        <v>SPR/07/23/015</v>
      </c>
      <c r="L28" s="13">
        <f>IFERROR(__xludf.DUMMYFUNCTION("""COMPUTED_VALUE"""),45108.0)</f>
        <v>45108</v>
      </c>
    </row>
    <row r="29">
      <c r="A29" s="6" t="str">
        <f>IFERROR(__xludf.DUMMYFUNCTION("""COMPUTED_VALUE"""),"AAA")</f>
        <v>AAA</v>
      </c>
      <c r="B29" s="6" t="str">
        <f>IFERROR(__xludf.DUMMYFUNCTION("""COMPUTED_VALUE"""),"ENG")</f>
        <v>ENG</v>
      </c>
      <c r="C29" s="6" t="str">
        <f>IFERROR(__xludf.DUMMYFUNCTION("""COMPUTED_VALUE"""),"O-14641-00")</f>
        <v>O-14641-00</v>
      </c>
      <c r="D29" s="6" t="str">
        <f>IFERROR(__xludf.DUMMYFUNCTION("""COMPUTED_VALUE"""),"Silicone Gasket for Ferrule dia. 1""; ; ;")</f>
        <v>Silicone Gasket for Ferrule dia. 1"; ; ;</v>
      </c>
      <c r="E29" s="6">
        <f>IFERROR(__xludf.DUMMYFUNCTION("""COMPUTED_VALUE"""),2.0)</f>
        <v>2</v>
      </c>
      <c r="F29" s="6">
        <f>IFERROR(__xludf.DUMMYFUNCTION("""COMPUTED_VALUE"""),2.0)</f>
        <v>2</v>
      </c>
      <c r="G29" s="6">
        <f>IFERROR(__xludf.DUMMYFUNCTION("""COMPUTED_VALUE"""),0.0)</f>
        <v>0</v>
      </c>
      <c r="H29" s="6" t="str">
        <f>IFERROR(__xludf.DUMMYFUNCTION("""COMPUTED_VALUE"""),"pcs")</f>
        <v>pcs</v>
      </c>
      <c r="I29" s="6" t="str">
        <f>IFERROR(__xludf.DUMMYFUNCTION("""COMPUTED_VALUE"""),"MFH")</f>
        <v>MFH</v>
      </c>
      <c r="J29" s="6" t="str">
        <f>IFERROR(__xludf.DUMMYFUNCTION("""COMPUTED_VALUE"""),"FD IMA")</f>
        <v>FD IMA</v>
      </c>
      <c r="K29" s="6" t="str">
        <f>IFERROR(__xludf.DUMMYFUNCTION("""COMPUTED_VALUE"""),"SPR/07/23/015")</f>
        <v>SPR/07/23/015</v>
      </c>
      <c r="L29" s="13">
        <f>IFERROR(__xludf.DUMMYFUNCTION("""COMPUTED_VALUE"""),45108.0)</f>
        <v>45108</v>
      </c>
    </row>
    <row r="30">
      <c r="A30" s="6" t="str">
        <f>IFERROR(__xludf.DUMMYFUNCTION("""COMPUTED_VALUE"""),"INN")</f>
        <v>INN</v>
      </c>
      <c r="B30" s="6" t="str">
        <f>IFERROR(__xludf.DUMMYFUNCTION("""COMPUTED_VALUE"""),"ENG")</f>
        <v>ENG</v>
      </c>
      <c r="C30" s="6" t="str">
        <f>IFERROR(__xludf.DUMMYFUNCTION("""COMPUTED_VALUE"""),"-")</f>
        <v>-</v>
      </c>
      <c r="D30" s="6" t="str">
        <f>IFERROR(__xludf.DUMMYFUNCTION("""COMPUTED_VALUE"""),"Olsa - Clean Steam Trap; TLV LV6CR 3/4 inch;")</f>
        <v>Olsa - Clean Steam Trap; TLV LV6CR 3/4 inch;</v>
      </c>
      <c r="E30" s="6">
        <f>IFERROR(__xludf.DUMMYFUNCTION("""COMPUTED_VALUE"""),2.0)</f>
        <v>2</v>
      </c>
      <c r="F30" s="6">
        <f>IFERROR(__xludf.DUMMYFUNCTION("""COMPUTED_VALUE"""),2.0)</f>
        <v>2</v>
      </c>
      <c r="G30" s="6">
        <f>IFERROR(__xludf.DUMMYFUNCTION("""COMPUTED_VALUE"""),0.0)</f>
        <v>0</v>
      </c>
      <c r="H30" s="6" t="str">
        <f>IFERROR(__xludf.DUMMYFUNCTION("""COMPUTED_VALUE"""),"pcs")</f>
        <v>pcs</v>
      </c>
      <c r="I30" s="6" t="str">
        <f>IFERROR(__xludf.DUMMYFUNCTION("""COMPUTED_VALUE"""),"MFH")</f>
        <v>MFH</v>
      </c>
      <c r="J30" s="6" t="str">
        <f>IFERROR(__xludf.DUMMYFUNCTION("""COMPUTED_VALUE"""),"Autoclave")</f>
        <v>Autoclave</v>
      </c>
      <c r="K30" s="6" t="str">
        <f>IFERROR(__xludf.DUMMYFUNCTION("""COMPUTED_VALUE"""),"SPR/07/23/016")</f>
        <v>SPR/07/23/016</v>
      </c>
      <c r="L30" s="13">
        <f>IFERROR(__xludf.DUMMYFUNCTION("""COMPUTED_VALUE"""),45108.0)</f>
        <v>45108</v>
      </c>
    </row>
    <row r="31">
      <c r="A31" s="6" t="str">
        <f>IFERROR(__xludf.DUMMYFUNCTION("""COMPUTED_VALUE"""),"ROS")</f>
        <v>ROS</v>
      </c>
      <c r="B31" s="6" t="str">
        <f>IFERROR(__xludf.DUMMYFUNCTION("""COMPUTED_VALUE"""),"ENG")</f>
        <v>ENG</v>
      </c>
      <c r="C31" s="6" t="str">
        <f>IFERROR(__xludf.DUMMYFUNCTION("""COMPUTED_VALUE"""),"O-16033-00")</f>
        <v>O-16033-00</v>
      </c>
      <c r="D3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1" s="6">
        <f>IFERROR(__xludf.DUMMYFUNCTION("""COMPUTED_VALUE"""),1.0)</f>
        <v>1</v>
      </c>
      <c r="F31" s="6">
        <f>IFERROR(__xludf.DUMMYFUNCTION("""COMPUTED_VALUE"""),1.0)</f>
        <v>1</v>
      </c>
      <c r="G31" s="6">
        <f>IFERROR(__xludf.DUMMYFUNCTION("""COMPUTED_VALUE"""),0.0)</f>
        <v>0</v>
      </c>
      <c r="H31" s="6" t="str">
        <f>IFERROR(__xludf.DUMMYFUNCTION("""COMPUTED_VALUE"""),"pcs")</f>
        <v>pcs</v>
      </c>
      <c r="I31" s="6" t="str">
        <f>IFERROR(__xludf.DUMMYFUNCTION("""COMPUTED_VALUE"""),"MFH")</f>
        <v>MFH</v>
      </c>
      <c r="J31" s="6" t="str">
        <f>IFERROR(__xludf.DUMMYFUNCTION("""COMPUTED_VALUE"""),"Dispensing")</f>
        <v>Dispensing</v>
      </c>
      <c r="K31" s="6" t="str">
        <f>IFERROR(__xludf.DUMMYFUNCTION("""COMPUTED_VALUE"""),"SPR/07/23/017")</f>
        <v>SPR/07/23/017</v>
      </c>
      <c r="L31" s="13">
        <f>IFERROR(__xludf.DUMMYFUNCTION("""COMPUTED_VALUE"""),45108.0)</f>
        <v>45108</v>
      </c>
    </row>
    <row r="32">
      <c r="A32" s="6" t="str">
        <f>IFERROR(__xludf.DUMMYFUNCTION("""COMPUTED_VALUE"""),"ROS")</f>
        <v>ROS</v>
      </c>
      <c r="B32" s="6" t="str">
        <f>IFERROR(__xludf.DUMMYFUNCTION("""COMPUTED_VALUE"""),"ENG")</f>
        <v>ENG</v>
      </c>
      <c r="C32" s="6" t="str">
        <f>IFERROR(__xludf.DUMMYFUNCTION("""COMPUTED_VALUE"""),"O-16033-00")</f>
        <v>O-16033-00</v>
      </c>
      <c r="D3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2" s="6">
        <f>IFERROR(__xludf.DUMMYFUNCTION("""COMPUTED_VALUE"""),2.0)</f>
        <v>2</v>
      </c>
      <c r="F32" s="6">
        <f>IFERROR(__xludf.DUMMYFUNCTION("""COMPUTED_VALUE"""),2.0)</f>
        <v>2</v>
      </c>
      <c r="G32" s="6">
        <f>IFERROR(__xludf.DUMMYFUNCTION("""COMPUTED_VALUE"""),0.0)</f>
        <v>0</v>
      </c>
      <c r="H32" s="6" t="str">
        <f>IFERROR(__xludf.DUMMYFUNCTION("""COMPUTED_VALUE"""),"pcs")</f>
        <v>pcs</v>
      </c>
      <c r="I32" s="6" t="str">
        <f>IFERROR(__xludf.DUMMYFUNCTION("""COMPUTED_VALUE"""),"MFH")</f>
        <v>MFH</v>
      </c>
      <c r="J32" s="6" t="str">
        <f>IFERROR(__xludf.DUMMYFUNCTION("""COMPUTED_VALUE"""),"API")</f>
        <v>API</v>
      </c>
      <c r="K32" s="6" t="str">
        <f>IFERROR(__xludf.DUMMYFUNCTION("""COMPUTED_VALUE"""),"SPR/07/23/018")</f>
        <v>SPR/07/23/018</v>
      </c>
      <c r="L32" s="13">
        <f>IFERROR(__xludf.DUMMYFUNCTION("""COMPUTED_VALUE"""),45108.0)</f>
        <v>45108</v>
      </c>
    </row>
    <row r="33">
      <c r="A33" s="6" t="str">
        <f>IFERROR(__xludf.DUMMYFUNCTION("""COMPUTED_VALUE"""),"ROS")</f>
        <v>ROS</v>
      </c>
      <c r="B33" s="6" t="str">
        <f>IFERROR(__xludf.DUMMYFUNCTION("""COMPUTED_VALUE"""),"ENG")</f>
        <v>ENG</v>
      </c>
      <c r="C33" s="6" t="str">
        <f>IFERROR(__xludf.DUMMYFUNCTION("""COMPUTED_VALUE"""),"Q-60003-00")</f>
        <v>Q-60003-00</v>
      </c>
      <c r="D33" s="6" t="str">
        <f>IFERROR(__xludf.DUMMYFUNCTION("""COMPUTED_VALUE"""),"Plakband Kertas")</f>
        <v>Plakband Kertas</v>
      </c>
      <c r="E33" s="6">
        <f>IFERROR(__xludf.DUMMYFUNCTION("""COMPUTED_VALUE"""),1.0)</f>
        <v>1</v>
      </c>
      <c r="F33" s="6">
        <f>IFERROR(__xludf.DUMMYFUNCTION("""COMPUTED_VALUE"""),1.0)</f>
        <v>1</v>
      </c>
      <c r="G33" s="6">
        <f>IFERROR(__xludf.DUMMYFUNCTION("""COMPUTED_VALUE"""),0.0)</f>
        <v>0</v>
      </c>
      <c r="H33" s="6" t="str">
        <f>IFERROR(__xludf.DUMMYFUNCTION("""COMPUTED_VALUE"""),"pcs")</f>
        <v>pcs</v>
      </c>
      <c r="I33" s="6" t="str">
        <f>IFERROR(__xludf.DUMMYFUNCTION("""COMPUTED_VALUE"""),"MFH")</f>
        <v>MFH</v>
      </c>
      <c r="J33" s="6" t="str">
        <f>IFERROR(__xludf.DUMMYFUNCTION("""COMPUTED_VALUE"""),"GMP Washer")</f>
        <v>GMP Washer</v>
      </c>
      <c r="K33" s="6" t="str">
        <f>IFERROR(__xludf.DUMMYFUNCTION("""COMPUTED_VALUE"""),"SPR/07/23/018")</f>
        <v>SPR/07/23/018</v>
      </c>
      <c r="L33" s="13">
        <f>IFERROR(__xludf.DUMMYFUNCTION("""COMPUTED_VALUE"""),45108.0)</f>
        <v>45108</v>
      </c>
    </row>
    <row r="34">
      <c r="A34" s="6" t="str">
        <f>IFERROR(__xludf.DUMMYFUNCTION("""COMPUTED_VALUE"""),"ROS")</f>
        <v>ROS</v>
      </c>
      <c r="B34" s="6" t="str">
        <f>IFERROR(__xludf.DUMMYFUNCTION("""COMPUTED_VALUE"""),"ENG")</f>
        <v>ENG</v>
      </c>
      <c r="C34" s="6" t="str">
        <f>IFERROR(__xludf.DUMMYFUNCTION("""COMPUTED_VALUE"""),"Q-60503-00")</f>
        <v>Q-60503-00</v>
      </c>
      <c r="D34" s="6" t="str">
        <f>IFERROR(__xludf.DUMMYFUNCTION("""COMPUTED_VALUE"""),"Silicone Sealant, Silglaze, Type N10 Grey, pack size per pcs")</f>
        <v>Silicone Sealant, Silglaze, Type N10 Grey, pack size per pcs</v>
      </c>
      <c r="E34" s="6">
        <f>IFERROR(__xludf.DUMMYFUNCTION("""COMPUTED_VALUE"""),1.0)</f>
        <v>1</v>
      </c>
      <c r="F34" s="6">
        <f>IFERROR(__xludf.DUMMYFUNCTION("""COMPUTED_VALUE"""),1.0)</f>
        <v>1</v>
      </c>
      <c r="G34" s="6">
        <f>IFERROR(__xludf.DUMMYFUNCTION("""COMPUTED_VALUE"""),0.0)</f>
        <v>0</v>
      </c>
      <c r="H34" s="6" t="str">
        <f>IFERROR(__xludf.DUMMYFUNCTION("""COMPUTED_VALUE"""),"pcs")</f>
        <v>pcs</v>
      </c>
      <c r="I34" s="6" t="str">
        <f>IFERROR(__xludf.DUMMYFUNCTION("""COMPUTED_VALUE"""),"MFH")</f>
        <v>MFH</v>
      </c>
      <c r="J34" s="6" t="str">
        <f>IFERROR(__xludf.DUMMYFUNCTION("""COMPUTED_VALUE"""),"GMP Washer")</f>
        <v>GMP Washer</v>
      </c>
      <c r="K34" s="6" t="str">
        <f>IFERROR(__xludf.DUMMYFUNCTION("""COMPUTED_VALUE"""),"SPR/07/23/018")</f>
        <v>SPR/07/23/018</v>
      </c>
      <c r="L34" s="13">
        <f>IFERROR(__xludf.DUMMYFUNCTION("""COMPUTED_VALUE"""),45108.0)</f>
        <v>45108</v>
      </c>
    </row>
    <row r="35">
      <c r="A35" s="6" t="str">
        <f>IFERROR(__xludf.DUMMYFUNCTION("""COMPUTED_VALUE"""),"MRN")</f>
        <v>MRN</v>
      </c>
      <c r="B35" s="6" t="str">
        <f>IFERROR(__xludf.DUMMYFUNCTION("""COMPUTED_VALUE"""),"ENG")</f>
        <v>ENG</v>
      </c>
      <c r="C35" s="6" t="str">
        <f>IFERROR(__xludf.DUMMYFUNCTION("""COMPUTED_VALUE"""),"P-15852-00")</f>
        <v>P-15852-00</v>
      </c>
      <c r="D35" s="6" t="str">
        <f>IFERROR(__xludf.DUMMYFUNCTION("""COMPUTED_VALUE"""),"AMPLAS EAGLE 500")</f>
        <v>AMPLAS EAGLE 500</v>
      </c>
      <c r="E35" s="6">
        <f>IFERROR(__xludf.DUMMYFUNCTION("""COMPUTED_VALUE"""),1.0)</f>
        <v>1</v>
      </c>
      <c r="F35" s="6">
        <f>IFERROR(__xludf.DUMMYFUNCTION("""COMPUTED_VALUE"""),1.0)</f>
        <v>1</v>
      </c>
      <c r="G35" s="6">
        <f>IFERROR(__xludf.DUMMYFUNCTION("""COMPUTED_VALUE"""),0.0)</f>
        <v>0</v>
      </c>
      <c r="H35" s="6" t="str">
        <f>IFERROR(__xludf.DUMMYFUNCTION("""COMPUTED_VALUE"""),"pcs")</f>
        <v>pcs</v>
      </c>
      <c r="I35" s="6" t="str">
        <f>IFERROR(__xludf.DUMMYFUNCTION("""COMPUTED_VALUE"""),"MFH")</f>
        <v>MFH</v>
      </c>
      <c r="J35" s="6" t="str">
        <f>IFERROR(__xludf.DUMMYFUNCTION("""COMPUTED_VALUE"""),"Building")</f>
        <v>Building</v>
      </c>
      <c r="K35" s="6" t="str">
        <f>IFERROR(__xludf.DUMMYFUNCTION("""COMPUTED_VALUE"""),"SPR/07/23/019")</f>
        <v>SPR/07/23/019</v>
      </c>
      <c r="L35" s="13">
        <f>IFERROR(__xludf.DUMMYFUNCTION("""COMPUTED_VALUE"""),45108.0)</f>
        <v>45108</v>
      </c>
    </row>
    <row r="36">
      <c r="A36" s="6" t="str">
        <f>IFERROR(__xludf.DUMMYFUNCTION("""COMPUTED_VALUE"""),"AAA")</f>
        <v>AAA</v>
      </c>
      <c r="B36" s="6" t="str">
        <f>IFERROR(__xludf.DUMMYFUNCTION("""COMPUTED_VALUE"""),"ENG")</f>
        <v>ENG</v>
      </c>
      <c r="C36" s="6" t="str">
        <f>IFERROR(__xludf.DUMMYFUNCTION("""COMPUTED_VALUE"""),"P-14521-00")</f>
        <v>P-14521-00</v>
      </c>
      <c r="D36" s="6" t="str">
        <f>IFERROR(__xludf.DUMMYFUNCTION("""COMPUTED_VALUE"""),"Freon R410A")</f>
        <v>Freon R410A</v>
      </c>
      <c r="E36" s="6">
        <f>IFERROR(__xludf.DUMMYFUNCTION("""COMPUTED_VALUE"""),1.0)</f>
        <v>1</v>
      </c>
      <c r="F36" s="6">
        <f>IFERROR(__xludf.DUMMYFUNCTION("""COMPUTED_VALUE"""),1.0)</f>
        <v>1</v>
      </c>
      <c r="G36" s="6">
        <f>IFERROR(__xludf.DUMMYFUNCTION("""COMPUTED_VALUE"""),0.0)</f>
        <v>0</v>
      </c>
      <c r="H36" s="6" t="str">
        <f>IFERROR(__xludf.DUMMYFUNCTION("""COMPUTED_VALUE"""),"can")</f>
        <v>can</v>
      </c>
      <c r="I36" s="6" t="str">
        <f>IFERROR(__xludf.DUMMYFUNCTION("""COMPUTED_VALUE"""),"MFH")</f>
        <v>MFH</v>
      </c>
      <c r="J36" s="6" t="str">
        <f>IFERROR(__xludf.DUMMYFUNCTION("""COMPUTED_VALUE"""),"WIHC")</f>
        <v>WIHC</v>
      </c>
      <c r="K36" s="6" t="str">
        <f>IFERROR(__xludf.DUMMYFUNCTION("""COMPUTED_VALUE"""),"SPR/07/23/020")</f>
        <v>SPR/07/23/020</v>
      </c>
      <c r="L36" s="13">
        <f>IFERROR(__xludf.DUMMYFUNCTION("""COMPUTED_VALUE"""),45108.0)</f>
        <v>45108</v>
      </c>
    </row>
    <row r="37">
      <c r="A37" s="6" t="str">
        <f>IFERROR(__xludf.DUMMYFUNCTION("""COMPUTED_VALUE"""),"MRN")</f>
        <v>MRN</v>
      </c>
      <c r="B37" s="6" t="str">
        <f>IFERROR(__xludf.DUMMYFUNCTION("""COMPUTED_VALUE"""),"ENG")</f>
        <v>ENG</v>
      </c>
      <c r="C37" s="6" t="str">
        <f>IFERROR(__xludf.DUMMYFUNCTION("""COMPUTED_VALUE"""),"P-14424-00")</f>
        <v>P-14424-00</v>
      </c>
      <c r="D37" s="6" t="str">
        <f>IFERROR(__xludf.DUMMYFUNCTION("""COMPUTED_VALUE"""),"Garam Kutreat RGN-9800F; ; ; 25Kg/zak")</f>
        <v>Garam Kutreat RGN-9800F; ; ; 25Kg/zak</v>
      </c>
      <c r="E37" s="6">
        <f>IFERROR(__xludf.DUMMYFUNCTION("""COMPUTED_VALUE"""),1.0)</f>
        <v>1</v>
      </c>
      <c r="F37" s="6">
        <f>IFERROR(__xludf.DUMMYFUNCTION("""COMPUTED_VALUE"""),1.0)</f>
        <v>1</v>
      </c>
      <c r="G37" s="6">
        <f>IFERROR(__xludf.DUMMYFUNCTION("""COMPUTED_VALUE"""),0.0)</f>
        <v>0</v>
      </c>
      <c r="H37" s="6" t="str">
        <f>IFERROR(__xludf.DUMMYFUNCTION("""COMPUTED_VALUE"""),"Kg")</f>
        <v>Kg</v>
      </c>
      <c r="I37" s="6" t="str">
        <f>IFERROR(__xludf.DUMMYFUNCTION("""COMPUTED_VALUE"""),"MFH")</f>
        <v>MFH</v>
      </c>
      <c r="J37" s="6" t="str">
        <f>IFERROR(__xludf.DUMMYFUNCTION("""COMPUTED_VALUE"""),"PWG")</f>
        <v>PWG</v>
      </c>
      <c r="K37" s="6" t="str">
        <f>IFERROR(__xludf.DUMMYFUNCTION("""COMPUTED_VALUE"""),"SPR/07/23/021")</f>
        <v>SPR/07/23/021</v>
      </c>
      <c r="L37" s="13">
        <f>IFERROR(__xludf.DUMMYFUNCTION("""COMPUTED_VALUE"""),45108.0)</f>
        <v>45108</v>
      </c>
    </row>
    <row r="38">
      <c r="A38" s="6" t="str">
        <f>IFERROR(__xludf.DUMMYFUNCTION("""COMPUTED_VALUE"""),"MRN")</f>
        <v>MRN</v>
      </c>
      <c r="B38" s="6" t="str">
        <f>IFERROR(__xludf.DUMMYFUNCTION("""COMPUTED_VALUE"""),"ENG")</f>
        <v>ENG</v>
      </c>
      <c r="C38" s="6" t="str">
        <f>IFERROR(__xludf.DUMMYFUNCTION("""COMPUTED_VALUE"""),"P-53102-00")</f>
        <v>P-53102-00</v>
      </c>
      <c r="D38" s="6" t="str">
        <f>IFERROR(__xludf.DUMMYFUNCTION("""COMPUTED_VALUE"""),"Lampu PLC 13watt/E27 Putih; Phillips; ;")</f>
        <v>Lampu PLC 13watt/E27 Putih; Phillips; ;</v>
      </c>
      <c r="E38" s="6">
        <f>IFERROR(__xludf.DUMMYFUNCTION("""COMPUTED_VALUE"""),2.0)</f>
        <v>2</v>
      </c>
      <c r="F38" s="6">
        <f>IFERROR(__xludf.DUMMYFUNCTION("""COMPUTED_VALUE"""),2.0)</f>
        <v>2</v>
      </c>
      <c r="G38" s="6">
        <f>IFERROR(__xludf.DUMMYFUNCTION("""COMPUTED_VALUE"""),0.0)</f>
        <v>0</v>
      </c>
      <c r="H38" s="6" t="str">
        <f>IFERROR(__xludf.DUMMYFUNCTION("""COMPUTED_VALUE"""),"pcs")</f>
        <v>pcs</v>
      </c>
      <c r="I38" s="6" t="str">
        <f>IFERROR(__xludf.DUMMYFUNCTION("""COMPUTED_VALUE"""),"MFH")</f>
        <v>MFH</v>
      </c>
      <c r="J38" s="6" t="str">
        <f>IFERROR(__xludf.DUMMYFUNCTION("""COMPUTED_VALUE"""),"Building")</f>
        <v>Building</v>
      </c>
      <c r="K38" s="6" t="str">
        <f>IFERROR(__xludf.DUMMYFUNCTION("""COMPUTED_VALUE"""),"SPR/07/23/021")</f>
        <v>SPR/07/23/021</v>
      </c>
      <c r="L38" s="13">
        <f>IFERROR(__xludf.DUMMYFUNCTION("""COMPUTED_VALUE"""),45108.0)</f>
        <v>45108</v>
      </c>
    </row>
    <row r="39">
      <c r="A39" s="6" t="str">
        <f>IFERROR(__xludf.DUMMYFUNCTION("""COMPUTED_VALUE"""),"MOB")</f>
        <v>MOB</v>
      </c>
      <c r="B39" s="6" t="str">
        <f>IFERROR(__xludf.DUMMYFUNCTION("""COMPUTED_VALUE"""),"ENG")</f>
        <v>ENG</v>
      </c>
      <c r="C39" s="6" t="str">
        <f>IFERROR(__xludf.DUMMYFUNCTION("""COMPUTED_VALUE"""),"Q-10249-00")</f>
        <v>Q-10249-00</v>
      </c>
      <c r="D39" s="6" t="str">
        <f>IFERROR(__xludf.DUMMYFUNCTION("""COMPUTED_VALUE"""),"Lem Power Glue; ; ;")</f>
        <v>Lem Power Glue; ; ;</v>
      </c>
      <c r="E39" s="6">
        <f>IFERROR(__xludf.DUMMYFUNCTION("""COMPUTED_VALUE"""),1.0)</f>
        <v>1</v>
      </c>
      <c r="F39" s="6">
        <f>IFERROR(__xludf.DUMMYFUNCTION("""COMPUTED_VALUE"""),1.0)</f>
        <v>1</v>
      </c>
      <c r="G39" s="6">
        <f>IFERROR(__xludf.DUMMYFUNCTION("""COMPUTED_VALUE"""),0.0)</f>
        <v>0</v>
      </c>
      <c r="H39" s="6" t="str">
        <f>IFERROR(__xludf.DUMMYFUNCTION("""COMPUTED_VALUE"""),"pcs")</f>
        <v>pcs</v>
      </c>
      <c r="I39" s="6" t="str">
        <f>IFERROR(__xludf.DUMMYFUNCTION("""COMPUTED_VALUE"""),"MFH")</f>
        <v>MFH</v>
      </c>
      <c r="J39" s="6" t="str">
        <f>IFERROR(__xludf.DUMMYFUNCTION("""COMPUTED_VALUE"""),"Building")</f>
        <v>Building</v>
      </c>
      <c r="K39" s="6" t="str">
        <f>IFERROR(__xludf.DUMMYFUNCTION("""COMPUTED_VALUE"""),"SPR/07/23/022")</f>
        <v>SPR/07/23/022</v>
      </c>
      <c r="L39" s="13">
        <f>IFERROR(__xludf.DUMMYFUNCTION("""COMPUTED_VALUE"""),45108.0)</f>
        <v>45108</v>
      </c>
    </row>
    <row r="40">
      <c r="A40" s="6" t="str">
        <f>IFERROR(__xludf.DUMMYFUNCTION("""COMPUTED_VALUE"""),"MRN")</f>
        <v>MRN</v>
      </c>
      <c r="B40" s="6" t="str">
        <f>IFERROR(__xludf.DUMMYFUNCTION("""COMPUTED_VALUE"""),"ENG")</f>
        <v>ENG</v>
      </c>
      <c r="C40" s="6" t="str">
        <f>IFERROR(__xludf.DUMMYFUNCTION("""COMPUTED_VALUE"""),"P-15938-00")</f>
        <v>P-15938-00</v>
      </c>
      <c r="D40" s="6" t="str">
        <f>IFERROR(__xludf.DUMMYFUNCTION("""COMPUTED_VALUE"""),"Water Hardness Test Kit")</f>
        <v>Water Hardness Test Kit</v>
      </c>
      <c r="E40" s="6">
        <f>IFERROR(__xludf.DUMMYFUNCTION("""COMPUTED_VALUE"""),1.0)</f>
        <v>1</v>
      </c>
      <c r="F40" s="6">
        <f>IFERROR(__xludf.DUMMYFUNCTION("""COMPUTED_VALUE"""),1.0)</f>
        <v>1</v>
      </c>
      <c r="G40" s="6">
        <f>IFERROR(__xludf.DUMMYFUNCTION("""COMPUTED_VALUE"""),0.0)</f>
        <v>0</v>
      </c>
      <c r="H40" s="6" t="str">
        <f>IFERROR(__xludf.DUMMYFUNCTION("""COMPUTED_VALUE"""),"pcs")</f>
        <v>pcs</v>
      </c>
      <c r="I40" s="6" t="str">
        <f>IFERROR(__xludf.DUMMYFUNCTION("""COMPUTED_VALUE"""),"MFH")</f>
        <v>MFH</v>
      </c>
      <c r="J40" s="6" t="str">
        <f>IFERROR(__xludf.DUMMYFUNCTION("""COMPUTED_VALUE"""),"PWG")</f>
        <v>PWG</v>
      </c>
      <c r="K40" s="6" t="str">
        <f>IFERROR(__xludf.DUMMYFUNCTION("""COMPUTED_VALUE"""),"SPR/07/23/023")</f>
        <v>SPR/07/23/023</v>
      </c>
      <c r="L40" s="13">
        <f>IFERROR(__xludf.DUMMYFUNCTION("""COMPUTED_VALUE"""),45108.0)</f>
        <v>45108</v>
      </c>
    </row>
    <row r="41">
      <c r="A41" s="6" t="str">
        <f>IFERROR(__xludf.DUMMYFUNCTION("""COMPUTED_VALUE"""),"MOB")</f>
        <v>MOB</v>
      </c>
      <c r="B41" s="6" t="str">
        <f>IFERROR(__xludf.DUMMYFUNCTION("""COMPUTED_VALUE"""),"ENG")</f>
        <v>ENG</v>
      </c>
      <c r="C41" s="6" t="str">
        <f>IFERROR(__xludf.DUMMYFUNCTION("""COMPUTED_VALUE"""),"Q-10249-00")</f>
        <v>Q-10249-00</v>
      </c>
      <c r="D41" s="6" t="str">
        <f>IFERROR(__xludf.DUMMYFUNCTION("""COMPUTED_VALUE"""),"Lem Power Glue; ; ;")</f>
        <v>Lem Power Glue; ; ;</v>
      </c>
      <c r="E41" s="6">
        <f>IFERROR(__xludf.DUMMYFUNCTION("""COMPUTED_VALUE"""),1.0)</f>
        <v>1</v>
      </c>
      <c r="F41" s="6">
        <f>IFERROR(__xludf.DUMMYFUNCTION("""COMPUTED_VALUE"""),1.0)</f>
        <v>1</v>
      </c>
      <c r="G41" s="6">
        <f>IFERROR(__xludf.DUMMYFUNCTION("""COMPUTED_VALUE"""),0.0)</f>
        <v>0</v>
      </c>
      <c r="H41" s="6" t="str">
        <f>IFERROR(__xludf.DUMMYFUNCTION("""COMPUTED_VALUE"""),"pcs")</f>
        <v>pcs</v>
      </c>
      <c r="I41" s="6" t="str">
        <f>IFERROR(__xludf.DUMMYFUNCTION("""COMPUTED_VALUE"""),"MFH")</f>
        <v>MFH</v>
      </c>
      <c r="J41" s="6" t="str">
        <f>IFERROR(__xludf.DUMMYFUNCTION("""COMPUTED_VALUE"""),"Building")</f>
        <v>Building</v>
      </c>
      <c r="K41" s="6" t="str">
        <f>IFERROR(__xludf.DUMMYFUNCTION("""COMPUTED_VALUE"""),"SPR/07/23/024")</f>
        <v>SPR/07/23/024</v>
      </c>
      <c r="L41" s="13">
        <f>IFERROR(__xludf.DUMMYFUNCTION("""COMPUTED_VALUE"""),45108.0)</f>
        <v>45108</v>
      </c>
    </row>
    <row r="42">
      <c r="A42" s="6" t="str">
        <f>IFERROR(__xludf.DUMMYFUNCTION("""COMPUTED_VALUE"""),"EIL")</f>
        <v>EIL</v>
      </c>
      <c r="B42" s="6" t="str">
        <f>IFERROR(__xludf.DUMMYFUNCTION("""COMPUTED_VALUE"""),"ENG")</f>
        <v>ENG</v>
      </c>
      <c r="C42" s="6" t="str">
        <f>IFERROR(__xludf.DUMMYFUNCTION("""COMPUTED_VALUE"""),"Q-60003-00")</f>
        <v>Q-60003-00</v>
      </c>
      <c r="D42" s="6" t="str">
        <f>IFERROR(__xludf.DUMMYFUNCTION("""COMPUTED_VALUE"""),"Plakband Kertas")</f>
        <v>Plakband Kertas</v>
      </c>
      <c r="E42" s="6">
        <f>IFERROR(__xludf.DUMMYFUNCTION("""COMPUTED_VALUE"""),2.0)</f>
        <v>2</v>
      </c>
      <c r="F42" s="6">
        <f>IFERROR(__xludf.DUMMYFUNCTION("""COMPUTED_VALUE"""),2.0)</f>
        <v>2</v>
      </c>
      <c r="G42" s="6">
        <f>IFERROR(__xludf.DUMMYFUNCTION("""COMPUTED_VALUE"""),0.0)</f>
        <v>0</v>
      </c>
      <c r="H42" s="6" t="str">
        <f>IFERROR(__xludf.DUMMYFUNCTION("""COMPUTED_VALUE"""),"rl")</f>
        <v>rl</v>
      </c>
      <c r="I42" s="6" t="str">
        <f>IFERROR(__xludf.DUMMYFUNCTION("""COMPUTED_VALUE"""),"MFH")</f>
        <v>MFH</v>
      </c>
      <c r="J42" s="6" t="str">
        <f>IFERROR(__xludf.DUMMYFUNCTION("""COMPUTED_VALUE"""),"Building")</f>
        <v>Building</v>
      </c>
      <c r="K42" s="6" t="str">
        <f>IFERROR(__xludf.DUMMYFUNCTION("""COMPUTED_VALUE"""),"SPR/07/23/025")</f>
        <v>SPR/07/23/025</v>
      </c>
      <c r="L42" s="13">
        <f>IFERROR(__xludf.DUMMYFUNCTION("""COMPUTED_VALUE"""),45108.0)</f>
        <v>45108</v>
      </c>
    </row>
    <row r="43">
      <c r="A43" s="6" t="str">
        <f>IFERROR(__xludf.DUMMYFUNCTION("""COMPUTED_VALUE"""),"EIL")</f>
        <v>EIL</v>
      </c>
      <c r="B43" s="6" t="str">
        <f>IFERROR(__xludf.DUMMYFUNCTION("""COMPUTED_VALUE"""),"ENG")</f>
        <v>ENG</v>
      </c>
      <c r="C43" s="6" t="str">
        <f>IFERROR(__xludf.DUMMYFUNCTION("""COMPUTED_VALUE"""),"P-51560-00")</f>
        <v>P-51560-00</v>
      </c>
      <c r="D43" s="6" t="str">
        <f>IFERROR(__xludf.DUMMYFUNCTION("""COMPUTED_VALUE"""),"Lampu T5 28watt Putih; Phillips; ;")</f>
        <v>Lampu T5 28watt Putih; Phillips; ;</v>
      </c>
      <c r="E43" s="6">
        <f>IFERROR(__xludf.DUMMYFUNCTION("""COMPUTED_VALUE"""),2.0)</f>
        <v>2</v>
      </c>
      <c r="F43" s="6">
        <f>IFERROR(__xludf.DUMMYFUNCTION("""COMPUTED_VALUE"""),2.0)</f>
        <v>2</v>
      </c>
      <c r="G43" s="6">
        <f>IFERROR(__xludf.DUMMYFUNCTION("""COMPUTED_VALUE"""),0.0)</f>
        <v>0</v>
      </c>
      <c r="H43" s="6" t="str">
        <f>IFERROR(__xludf.DUMMYFUNCTION("""COMPUTED_VALUE"""),"pcs")</f>
        <v>pcs</v>
      </c>
      <c r="I43" s="6" t="str">
        <f>IFERROR(__xludf.DUMMYFUNCTION("""COMPUTED_VALUE"""),"MFH")</f>
        <v>MFH</v>
      </c>
      <c r="J43" s="6" t="str">
        <f>IFERROR(__xludf.DUMMYFUNCTION("""COMPUTED_VALUE"""),"Building")</f>
        <v>Building</v>
      </c>
      <c r="K43" s="6" t="str">
        <f>IFERROR(__xludf.DUMMYFUNCTION("""COMPUTED_VALUE"""),"SPR/07/23/025")</f>
        <v>SPR/07/23/025</v>
      </c>
      <c r="L43" s="13">
        <f>IFERROR(__xludf.DUMMYFUNCTION("""COMPUTED_VALUE"""),45108.0)</f>
        <v>45108</v>
      </c>
    </row>
    <row r="44">
      <c r="A44" s="6" t="str">
        <f>IFERROR(__xludf.DUMMYFUNCTION("""COMPUTED_VALUE"""),"EIL")</f>
        <v>EIL</v>
      </c>
      <c r="B44" s="6" t="str">
        <f>IFERROR(__xludf.DUMMYFUNCTION("""COMPUTED_VALUE"""),"ENG")</f>
        <v>ENG</v>
      </c>
      <c r="C44" s="6" t="str">
        <f>IFERROR(__xludf.DUMMYFUNCTION("""COMPUTED_VALUE"""),"Q-60026-00")</f>
        <v>Q-60026-00</v>
      </c>
      <c r="D44" s="6" t="str">
        <f>IFERROR(__xludf.DUMMYFUNCTION("""COMPUTED_VALUE"""),"Kuas 2"" Eterna")</f>
        <v>Kuas 2" Eterna</v>
      </c>
      <c r="E44" s="6">
        <f>IFERROR(__xludf.DUMMYFUNCTION("""COMPUTED_VALUE"""),1.0)</f>
        <v>1</v>
      </c>
      <c r="F44" s="6">
        <f>IFERROR(__xludf.DUMMYFUNCTION("""COMPUTED_VALUE"""),1.0)</f>
        <v>1</v>
      </c>
      <c r="G44" s="6">
        <f>IFERROR(__xludf.DUMMYFUNCTION("""COMPUTED_VALUE"""),0.0)</f>
        <v>0</v>
      </c>
      <c r="H44" s="6" t="str">
        <f>IFERROR(__xludf.DUMMYFUNCTION("""COMPUTED_VALUE"""),"pcs")</f>
        <v>pcs</v>
      </c>
      <c r="I44" s="6" t="str">
        <f>IFERROR(__xludf.DUMMYFUNCTION("""COMPUTED_VALUE"""),"MFH")</f>
        <v>MFH</v>
      </c>
      <c r="J44" s="6" t="str">
        <f>IFERROR(__xludf.DUMMYFUNCTION("""COMPUTED_VALUE"""),"Building")</f>
        <v>Building</v>
      </c>
      <c r="K44" s="6" t="str">
        <f>IFERROR(__xludf.DUMMYFUNCTION("""COMPUTED_VALUE"""),"SPR/07/23/026")</f>
        <v>SPR/07/23/026</v>
      </c>
      <c r="L44" s="13">
        <f>IFERROR(__xludf.DUMMYFUNCTION("""COMPUTED_VALUE"""),45108.0)</f>
        <v>45108</v>
      </c>
    </row>
    <row r="45">
      <c r="A45" s="6" t="str">
        <f>IFERROR(__xludf.DUMMYFUNCTION("""COMPUTED_VALUE"""),"EIL")</f>
        <v>EIL</v>
      </c>
      <c r="B45" s="6" t="str">
        <f>IFERROR(__xludf.DUMMYFUNCTION("""COMPUTED_VALUE"""),"ENG")</f>
        <v>ENG</v>
      </c>
      <c r="C45" s="6" t="str">
        <f>IFERROR(__xludf.DUMMYFUNCTION("""COMPUTED_VALUE"""),"-")</f>
        <v>-</v>
      </c>
      <c r="D45" s="6" t="str">
        <f>IFERROR(__xludf.DUMMYFUNCTION("""COMPUTED_VALUE"""),"Cat Silver")</f>
        <v>Cat Silver</v>
      </c>
      <c r="E45" s="6">
        <f>IFERROR(__xludf.DUMMYFUNCTION("""COMPUTED_VALUE"""),1.0)</f>
        <v>1</v>
      </c>
      <c r="F45" s="6">
        <f>IFERROR(__xludf.DUMMYFUNCTION("""COMPUTED_VALUE"""),1.0)</f>
        <v>1</v>
      </c>
      <c r="G45" s="6">
        <f>IFERROR(__xludf.DUMMYFUNCTION("""COMPUTED_VALUE"""),1.0)</f>
        <v>1</v>
      </c>
      <c r="H45" s="6" t="str">
        <f>IFERROR(__xludf.DUMMYFUNCTION("""COMPUTED_VALUE"""),"Can")</f>
        <v>Can</v>
      </c>
      <c r="I45" s="6" t="str">
        <f>IFERROR(__xludf.DUMMYFUNCTION("""COMPUTED_VALUE"""),"MFH")</f>
        <v>MFH</v>
      </c>
      <c r="J45" s="6" t="str">
        <f>IFERROR(__xludf.DUMMYFUNCTION("""COMPUTED_VALUE"""),"Building")</f>
        <v>Building</v>
      </c>
      <c r="K45" s="6" t="str">
        <f>IFERROR(__xludf.DUMMYFUNCTION("""COMPUTED_VALUE"""),"SPR/07/23/026")</f>
        <v>SPR/07/23/026</v>
      </c>
      <c r="L45" s="13">
        <f>IFERROR(__xludf.DUMMYFUNCTION("""COMPUTED_VALUE"""),45108.0)</f>
        <v>45108</v>
      </c>
    </row>
    <row r="46">
      <c r="A46" s="6" t="str">
        <f>IFERROR(__xludf.DUMMYFUNCTION("""COMPUTED_VALUE"""),"EIL")</f>
        <v>EIL</v>
      </c>
      <c r="B46" s="6" t="str">
        <f>IFERROR(__xludf.DUMMYFUNCTION("""COMPUTED_VALUE"""),"ENG")</f>
        <v>ENG</v>
      </c>
      <c r="C46" s="6" t="str">
        <f>IFERROR(__xludf.DUMMYFUNCTION("""COMPUTED_VALUE"""),"P-51560-00")</f>
        <v>P-51560-00</v>
      </c>
      <c r="D46" s="6" t="str">
        <f>IFERROR(__xludf.DUMMYFUNCTION("""COMPUTED_VALUE"""),"Lampu T5 28watt Putih; Phillips; ;")</f>
        <v>Lampu T5 28watt Putih; Phillips; ;</v>
      </c>
      <c r="E46" s="6">
        <f>IFERROR(__xludf.DUMMYFUNCTION("""COMPUTED_VALUE"""),3.0)</f>
        <v>3</v>
      </c>
      <c r="F46" s="6">
        <f>IFERROR(__xludf.DUMMYFUNCTION("""COMPUTED_VALUE"""),3.0)</f>
        <v>3</v>
      </c>
      <c r="G46" s="6">
        <f>IFERROR(__xludf.DUMMYFUNCTION("""COMPUTED_VALUE"""),0.0)</f>
        <v>0</v>
      </c>
      <c r="H46" s="6" t="str">
        <f>IFERROR(__xludf.DUMMYFUNCTION("""COMPUTED_VALUE"""),"pcs")</f>
        <v>pcs</v>
      </c>
      <c r="I46" s="6" t="str">
        <f>IFERROR(__xludf.DUMMYFUNCTION("""COMPUTED_VALUE"""),"MFH")</f>
        <v>MFH</v>
      </c>
      <c r="J46" s="6" t="str">
        <f>IFERROR(__xludf.DUMMYFUNCTION("""COMPUTED_VALUE"""),"Building")</f>
        <v>Building</v>
      </c>
      <c r="K46" s="6" t="str">
        <f>IFERROR(__xludf.DUMMYFUNCTION("""COMPUTED_VALUE"""),"SPR/07/23/027")</f>
        <v>SPR/07/23/027</v>
      </c>
      <c r="L46" s="13">
        <f>IFERROR(__xludf.DUMMYFUNCTION("""COMPUTED_VALUE"""),45108.0)</f>
        <v>45108</v>
      </c>
    </row>
    <row r="47">
      <c r="A47" s="6" t="str">
        <f>IFERROR(__xludf.DUMMYFUNCTION("""COMPUTED_VALUE"""),"EIL")</f>
        <v>EIL</v>
      </c>
      <c r="B47" s="6" t="str">
        <f>IFERROR(__xludf.DUMMYFUNCTION("""COMPUTED_VALUE"""),"ENG")</f>
        <v>ENG</v>
      </c>
      <c r="C47" s="6" t="str">
        <f>IFERROR(__xludf.DUMMYFUNCTION("""COMPUTED_VALUE"""),"P-53173-00")</f>
        <v>P-53173-00</v>
      </c>
      <c r="D47" s="6" t="str">
        <f>IFERROR(__xludf.DUMMYFUNCTION("""COMPUTED_VALUE"""),"Ballast Electronic EB-C 214 TL5, 2x14W; Phillips; ;")</f>
        <v>Ballast Electronic EB-C 214 TL5, 2x14W; Phillips; ;</v>
      </c>
      <c r="E47" s="6">
        <f>IFERROR(__xludf.DUMMYFUNCTION("""COMPUTED_VALUE"""),5.0)</f>
        <v>5</v>
      </c>
      <c r="F47" s="6">
        <f>IFERROR(__xludf.DUMMYFUNCTION("""COMPUTED_VALUE"""),5.0)</f>
        <v>5</v>
      </c>
      <c r="G47" s="6">
        <f>IFERROR(__xludf.DUMMYFUNCTION("""COMPUTED_VALUE"""),0.0)</f>
        <v>0</v>
      </c>
      <c r="H47" s="6" t="str">
        <f>IFERROR(__xludf.DUMMYFUNCTION("""COMPUTED_VALUE"""),"pcs")</f>
        <v>pcs</v>
      </c>
      <c r="I47" s="6" t="str">
        <f>IFERROR(__xludf.DUMMYFUNCTION("""COMPUTED_VALUE"""),"MFH")</f>
        <v>MFH</v>
      </c>
      <c r="J47" s="6" t="str">
        <f>IFERROR(__xludf.DUMMYFUNCTION("""COMPUTED_VALUE"""),"Building")</f>
        <v>Building</v>
      </c>
      <c r="K47" s="6" t="str">
        <f>IFERROR(__xludf.DUMMYFUNCTION("""COMPUTED_VALUE"""),"SPR/07/23/027")</f>
        <v>SPR/07/23/027</v>
      </c>
      <c r="L47" s="13">
        <f>IFERROR(__xludf.DUMMYFUNCTION("""COMPUTED_VALUE"""),45108.0)</f>
        <v>45108</v>
      </c>
    </row>
    <row r="48">
      <c r="A48" s="6" t="str">
        <f>IFERROR(__xludf.DUMMYFUNCTION("""COMPUTED_VALUE"""),"EIL")</f>
        <v>EIL</v>
      </c>
      <c r="B48" s="6" t="str">
        <f>IFERROR(__xludf.DUMMYFUNCTION("""COMPUTED_VALUE"""),"ENG")</f>
        <v>ENG</v>
      </c>
      <c r="C48" s="6" t="str">
        <f>IFERROR(__xludf.DUMMYFUNCTION("""COMPUTED_VALUE"""),"O-16033-00")</f>
        <v>O-16033-00</v>
      </c>
      <c r="D4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48" s="6">
        <f>IFERROR(__xludf.DUMMYFUNCTION("""COMPUTED_VALUE"""),1.0)</f>
        <v>1</v>
      </c>
      <c r="F48" s="6">
        <f>IFERROR(__xludf.DUMMYFUNCTION("""COMPUTED_VALUE"""),1.0)</f>
        <v>1</v>
      </c>
      <c r="G48" s="6">
        <f>IFERROR(__xludf.DUMMYFUNCTION("""COMPUTED_VALUE"""),0.0)</f>
        <v>0</v>
      </c>
      <c r="H48" s="6" t="str">
        <f>IFERROR(__xludf.DUMMYFUNCTION("""COMPUTED_VALUE"""),"pcs")</f>
        <v>pcs</v>
      </c>
      <c r="I48" s="6" t="str">
        <f>IFERROR(__xludf.DUMMYFUNCTION("""COMPUTED_VALUE"""),"MFH")</f>
        <v>MFH</v>
      </c>
      <c r="J48" s="6" t="str">
        <f>IFERROR(__xludf.DUMMYFUNCTION("""COMPUTED_VALUE"""),"cRABS")</f>
        <v>cRABS</v>
      </c>
      <c r="K48" s="6" t="str">
        <f>IFERROR(__xludf.DUMMYFUNCTION("""COMPUTED_VALUE"""),"SPR/07/23/027")</f>
        <v>SPR/07/23/027</v>
      </c>
      <c r="L48" s="13">
        <f>IFERROR(__xludf.DUMMYFUNCTION("""COMPUTED_VALUE"""),45108.0)</f>
        <v>45108</v>
      </c>
    </row>
    <row r="49">
      <c r="A49" s="6" t="str">
        <f>IFERROR(__xludf.DUMMYFUNCTION("""COMPUTED_VALUE"""),"EIL")</f>
        <v>EIL</v>
      </c>
      <c r="B49" s="6" t="str">
        <f>IFERROR(__xludf.DUMMYFUNCTION("""COMPUTED_VALUE"""),"ENG")</f>
        <v>ENG</v>
      </c>
      <c r="C49" s="6" t="str">
        <f>IFERROR(__xludf.DUMMYFUNCTION("""COMPUTED_VALUE"""),"P-51560-00")</f>
        <v>P-51560-00</v>
      </c>
      <c r="D49" s="6" t="str">
        <f>IFERROR(__xludf.DUMMYFUNCTION("""COMPUTED_VALUE"""),"Lampu T5 28watt Putih; Phillips; ;")</f>
        <v>Lampu T5 28watt Putih; Phillips; ;</v>
      </c>
      <c r="E49" s="6">
        <f>IFERROR(__xludf.DUMMYFUNCTION("""COMPUTED_VALUE"""),1.0)</f>
        <v>1</v>
      </c>
      <c r="F49" s="6">
        <f>IFERROR(__xludf.DUMMYFUNCTION("""COMPUTED_VALUE"""),1.0)</f>
        <v>1</v>
      </c>
      <c r="G49" s="6">
        <f>IFERROR(__xludf.DUMMYFUNCTION("""COMPUTED_VALUE"""),0.0)</f>
        <v>0</v>
      </c>
      <c r="H49" s="6" t="str">
        <f>IFERROR(__xludf.DUMMYFUNCTION("""COMPUTED_VALUE"""),"pcs")</f>
        <v>pcs</v>
      </c>
      <c r="I49" s="6" t="str">
        <f>IFERROR(__xludf.DUMMYFUNCTION("""COMPUTED_VALUE"""),"MFH")</f>
        <v>MFH</v>
      </c>
      <c r="J49" s="6" t="str">
        <f>IFERROR(__xludf.DUMMYFUNCTION("""COMPUTED_VALUE"""),"Building")</f>
        <v>Building</v>
      </c>
      <c r="K49" s="6" t="str">
        <f>IFERROR(__xludf.DUMMYFUNCTION("""COMPUTED_VALUE"""),"SPR/07/23/028")</f>
        <v>SPR/07/23/028</v>
      </c>
      <c r="L49" s="13">
        <f>IFERROR(__xludf.DUMMYFUNCTION("""COMPUTED_VALUE"""),45108.0)</f>
        <v>45108</v>
      </c>
    </row>
    <row r="50">
      <c r="A50" s="6" t="str">
        <f>IFERROR(__xludf.DUMMYFUNCTION("""COMPUTED_VALUE"""),"EIL")</f>
        <v>EIL</v>
      </c>
      <c r="B50" s="6" t="str">
        <f>IFERROR(__xludf.DUMMYFUNCTION("""COMPUTED_VALUE"""),"ENG")</f>
        <v>ENG</v>
      </c>
      <c r="C50" s="6" t="str">
        <f>IFERROR(__xludf.DUMMYFUNCTION("""COMPUTED_VALUE"""),"P-51560-00")</f>
        <v>P-51560-00</v>
      </c>
      <c r="D50" s="6" t="str">
        <f>IFERROR(__xludf.DUMMYFUNCTION("""COMPUTED_VALUE"""),"Lampu T5 28watt Putih; Phillips; ;")</f>
        <v>Lampu T5 28watt Putih; Phillips; ;</v>
      </c>
      <c r="E50" s="6">
        <f>IFERROR(__xludf.DUMMYFUNCTION("""COMPUTED_VALUE"""),2.0)</f>
        <v>2</v>
      </c>
      <c r="F50" s="6">
        <f>IFERROR(__xludf.DUMMYFUNCTION("""COMPUTED_VALUE"""),2.0)</f>
        <v>2</v>
      </c>
      <c r="G50" s="6">
        <f>IFERROR(__xludf.DUMMYFUNCTION("""COMPUTED_VALUE"""),0.0)</f>
        <v>0</v>
      </c>
      <c r="H50" s="6" t="str">
        <f>IFERROR(__xludf.DUMMYFUNCTION("""COMPUTED_VALUE"""),"pcs")</f>
        <v>pcs</v>
      </c>
      <c r="I50" s="6" t="str">
        <f>IFERROR(__xludf.DUMMYFUNCTION("""COMPUTED_VALUE"""),"MFH")</f>
        <v>MFH</v>
      </c>
      <c r="J50" s="6" t="str">
        <f>IFERROR(__xludf.DUMMYFUNCTION("""COMPUTED_VALUE"""),"Building")</f>
        <v>Building</v>
      </c>
      <c r="K50" s="6" t="str">
        <f>IFERROR(__xludf.DUMMYFUNCTION("""COMPUTED_VALUE"""),"SPR/07/23/029")</f>
        <v>SPR/07/23/029</v>
      </c>
      <c r="L50" s="13">
        <f>IFERROR(__xludf.DUMMYFUNCTION("""COMPUTED_VALUE"""),45108.0)</f>
        <v>45108</v>
      </c>
    </row>
    <row r="51">
      <c r="A51" s="6" t="str">
        <f>IFERROR(__xludf.DUMMYFUNCTION("""COMPUTED_VALUE"""),"EIL")</f>
        <v>EIL</v>
      </c>
      <c r="B51" s="6" t="str">
        <f>IFERROR(__xludf.DUMMYFUNCTION("""COMPUTED_VALUE"""),"ENG")</f>
        <v>ENG</v>
      </c>
      <c r="C51" s="6" t="str">
        <f>IFERROR(__xludf.DUMMYFUNCTION("""COMPUTED_VALUE"""),"Q-54128-00")</f>
        <v>Q-54128-00</v>
      </c>
      <c r="D51" s="6" t="str">
        <f>IFERROR(__xludf.DUMMYFUNCTION("""COMPUTED_VALUE"""),"Kuas uk. 2.5 inch; No Brand; ; pack size per pc")</f>
        <v>Kuas uk. 2.5 inch; No Brand; ; pack size per pc</v>
      </c>
      <c r="E51" s="6">
        <f>IFERROR(__xludf.DUMMYFUNCTION("""COMPUTED_VALUE"""),1.0)</f>
        <v>1</v>
      </c>
      <c r="F51" s="6">
        <f>IFERROR(__xludf.DUMMYFUNCTION("""COMPUTED_VALUE"""),1.0)</f>
        <v>1</v>
      </c>
      <c r="G51" s="6">
        <f>IFERROR(__xludf.DUMMYFUNCTION("""COMPUTED_VALUE"""),0.0)</f>
        <v>0</v>
      </c>
      <c r="H51" s="6" t="str">
        <f>IFERROR(__xludf.DUMMYFUNCTION("""COMPUTED_VALUE"""),"pcs")</f>
        <v>pcs</v>
      </c>
      <c r="I51" s="6" t="str">
        <f>IFERROR(__xludf.DUMMYFUNCTION("""COMPUTED_VALUE"""),"MFH")</f>
        <v>MFH</v>
      </c>
      <c r="J51" s="6" t="str">
        <f>IFERROR(__xludf.DUMMYFUNCTION("""COMPUTED_VALUE"""),"Building")</f>
        <v>Building</v>
      </c>
      <c r="K51" s="6" t="str">
        <f>IFERROR(__xludf.DUMMYFUNCTION("""COMPUTED_VALUE"""),"SPR/07/23/030")</f>
        <v>SPR/07/23/030</v>
      </c>
      <c r="L51" s="13">
        <f>IFERROR(__xludf.DUMMYFUNCTION("""COMPUTED_VALUE"""),45108.0)</f>
        <v>45108</v>
      </c>
    </row>
    <row r="52">
      <c r="A52" s="6" t="str">
        <f>IFERROR(__xludf.DUMMYFUNCTION("""COMPUTED_VALUE"""),"EIL")</f>
        <v>EIL</v>
      </c>
      <c r="B52" s="6" t="str">
        <f>IFERROR(__xludf.DUMMYFUNCTION("""COMPUTED_VALUE"""),"ENG")</f>
        <v>ENG</v>
      </c>
      <c r="C52" s="6" t="str">
        <f>IFERROR(__xludf.DUMMYFUNCTION("""COMPUTED_VALUE"""),"Q-60003-00")</f>
        <v>Q-60003-00</v>
      </c>
      <c r="D52" s="6" t="str">
        <f>IFERROR(__xludf.DUMMYFUNCTION("""COMPUTED_VALUE"""),"Plakband Kertas")</f>
        <v>Plakband Kertas</v>
      </c>
      <c r="E52" s="6">
        <f>IFERROR(__xludf.DUMMYFUNCTION("""COMPUTED_VALUE"""),1.0)</f>
        <v>1</v>
      </c>
      <c r="F52" s="6">
        <f>IFERROR(__xludf.DUMMYFUNCTION("""COMPUTED_VALUE"""),1.0)</f>
        <v>1</v>
      </c>
      <c r="G52" s="6">
        <f>IFERROR(__xludf.DUMMYFUNCTION("""COMPUTED_VALUE"""),0.0)</f>
        <v>0</v>
      </c>
      <c r="H52" s="6" t="str">
        <f>IFERROR(__xludf.DUMMYFUNCTION("""COMPUTED_VALUE"""),"pcs")</f>
        <v>pcs</v>
      </c>
      <c r="I52" s="6" t="str">
        <f>IFERROR(__xludf.DUMMYFUNCTION("""COMPUTED_VALUE"""),"MFH")</f>
        <v>MFH</v>
      </c>
      <c r="J52" s="6" t="str">
        <f>IFERROR(__xludf.DUMMYFUNCTION("""COMPUTED_VALUE"""),"Building")</f>
        <v>Building</v>
      </c>
      <c r="K52" s="6" t="str">
        <f>IFERROR(__xludf.DUMMYFUNCTION("""COMPUTED_VALUE"""),"SPR/07/23/030")</f>
        <v>SPR/07/23/030</v>
      </c>
      <c r="L52" s="13">
        <f>IFERROR(__xludf.DUMMYFUNCTION("""COMPUTED_VALUE"""),45108.0)</f>
        <v>45108</v>
      </c>
    </row>
    <row r="53">
      <c r="A53" s="6" t="str">
        <f>IFERROR(__xludf.DUMMYFUNCTION("""COMPUTED_VALUE"""),"EIL")</f>
        <v>EIL</v>
      </c>
      <c r="B53" s="6" t="str">
        <f>IFERROR(__xludf.DUMMYFUNCTION("""COMPUTED_VALUE"""),"ENG")</f>
        <v>ENG</v>
      </c>
      <c r="C53" s="6" t="str">
        <f>IFERROR(__xludf.DUMMYFUNCTION("""COMPUTED_VALUE"""),"Q-10460-00")</f>
        <v>Q-10460-00</v>
      </c>
      <c r="D53" s="6" t="str">
        <f>IFERROR(__xludf.DUMMYFUNCTION("""COMPUTED_VALUE"""),"Magnetic door stopper")</f>
        <v>Magnetic door stopper</v>
      </c>
      <c r="E53" s="6">
        <f>IFERROR(__xludf.DUMMYFUNCTION("""COMPUTED_VALUE"""),1.0)</f>
        <v>1</v>
      </c>
      <c r="F53" s="6">
        <f>IFERROR(__xludf.DUMMYFUNCTION("""COMPUTED_VALUE"""),1.0)</f>
        <v>1</v>
      </c>
      <c r="G53" s="6">
        <f>IFERROR(__xludf.DUMMYFUNCTION("""COMPUTED_VALUE"""),0.0)</f>
        <v>0</v>
      </c>
      <c r="H53" s="6" t="str">
        <f>IFERROR(__xludf.DUMMYFUNCTION("""COMPUTED_VALUE"""),"Unit")</f>
        <v>Unit</v>
      </c>
      <c r="I53" s="6" t="str">
        <f>IFERROR(__xludf.DUMMYFUNCTION("""COMPUTED_VALUE"""),"MFH")</f>
        <v>MFH</v>
      </c>
      <c r="J53" s="6" t="str">
        <f>IFERROR(__xludf.DUMMYFUNCTION("""COMPUTED_VALUE"""),"Building")</f>
        <v>Building</v>
      </c>
      <c r="K53" s="6" t="str">
        <f>IFERROR(__xludf.DUMMYFUNCTION("""COMPUTED_VALUE"""),"SPR/07/23/030")</f>
        <v>SPR/07/23/030</v>
      </c>
      <c r="L53" s="13">
        <f>IFERROR(__xludf.DUMMYFUNCTION("""COMPUTED_VALUE"""),45108.0)</f>
        <v>45108</v>
      </c>
    </row>
    <row r="54">
      <c r="A54" s="6" t="str">
        <f>IFERROR(__xludf.DUMMYFUNCTION("""COMPUTED_VALUE"""),"EIL")</f>
        <v>EIL</v>
      </c>
      <c r="B54" s="6" t="str">
        <f>IFERROR(__xludf.DUMMYFUNCTION("""COMPUTED_VALUE"""),"ENG")</f>
        <v>ENG</v>
      </c>
      <c r="C54" s="6" t="str">
        <f>IFERROR(__xludf.DUMMYFUNCTION("""COMPUTED_VALUE"""),"Q-10585-00")</f>
        <v>Q-10585-00</v>
      </c>
      <c r="D54" s="6" t="str">
        <f>IFERROR(__xludf.DUMMYFUNCTION("""COMPUTED_VALUE"""),"Lampu LED T5-18W-1200mm")</f>
        <v>Lampu LED T5-18W-1200mm</v>
      </c>
      <c r="E54" s="6">
        <f>IFERROR(__xludf.DUMMYFUNCTION("""COMPUTED_VALUE"""),3.0)</f>
        <v>3</v>
      </c>
      <c r="F54" s="6">
        <f>IFERROR(__xludf.DUMMYFUNCTION("""COMPUTED_VALUE"""),3.0)</f>
        <v>3</v>
      </c>
      <c r="G54" s="6">
        <f>IFERROR(__xludf.DUMMYFUNCTION("""COMPUTED_VALUE"""),0.0)</f>
        <v>0</v>
      </c>
      <c r="H54" s="6" t="str">
        <f>IFERROR(__xludf.DUMMYFUNCTION("""COMPUTED_VALUE"""),"pcs")</f>
        <v>pcs</v>
      </c>
      <c r="I54" s="6" t="str">
        <f>IFERROR(__xludf.DUMMYFUNCTION("""COMPUTED_VALUE"""),"MFH")</f>
        <v>MFH</v>
      </c>
      <c r="J54" s="6" t="str">
        <f>IFERROR(__xludf.DUMMYFUNCTION("""COMPUTED_VALUE"""),"Building")</f>
        <v>Building</v>
      </c>
      <c r="K54" s="6" t="str">
        <f>IFERROR(__xludf.DUMMYFUNCTION("""COMPUTED_VALUE"""),"SPR/07/23/031")</f>
        <v>SPR/07/23/031</v>
      </c>
      <c r="L54" s="13">
        <f>IFERROR(__xludf.DUMMYFUNCTION("""COMPUTED_VALUE"""),45108.0)</f>
        <v>45108</v>
      </c>
    </row>
    <row r="55">
      <c r="A55" s="6" t="str">
        <f>IFERROR(__xludf.DUMMYFUNCTION("""COMPUTED_VALUE"""),"EIL")</f>
        <v>EIL</v>
      </c>
      <c r="B55" s="6" t="str">
        <f>IFERROR(__xludf.DUMMYFUNCTION("""COMPUTED_VALUE"""),"ENG")</f>
        <v>ENG</v>
      </c>
      <c r="C55" s="6" t="str">
        <f>IFERROR(__xludf.DUMMYFUNCTION("""COMPUTED_VALUE"""),"P-51560-00")</f>
        <v>P-51560-00</v>
      </c>
      <c r="D55" s="6" t="str">
        <f>IFERROR(__xludf.DUMMYFUNCTION("""COMPUTED_VALUE"""),"Lampu T5 28watt Putih; Phillips; ;")</f>
        <v>Lampu T5 28watt Putih; Phillips; ;</v>
      </c>
      <c r="E55" s="6">
        <f>IFERROR(__xludf.DUMMYFUNCTION("""COMPUTED_VALUE"""),2.0)</f>
        <v>2</v>
      </c>
      <c r="F55" s="6">
        <f>IFERROR(__xludf.DUMMYFUNCTION("""COMPUTED_VALUE"""),2.0)</f>
        <v>2</v>
      </c>
      <c r="G55" s="6">
        <f>IFERROR(__xludf.DUMMYFUNCTION("""COMPUTED_VALUE"""),2.0)</f>
        <v>2</v>
      </c>
      <c r="H55" s="6" t="str">
        <f>IFERROR(__xludf.DUMMYFUNCTION("""COMPUTED_VALUE"""),"pcs")</f>
        <v>pcs</v>
      </c>
      <c r="I55" s="6" t="str">
        <f>IFERROR(__xludf.DUMMYFUNCTION("""COMPUTED_VALUE"""),"MFH")</f>
        <v>MFH</v>
      </c>
      <c r="J55" s="6" t="str">
        <f>IFERROR(__xludf.DUMMYFUNCTION("""COMPUTED_VALUE"""),"Building")</f>
        <v>Building</v>
      </c>
      <c r="K55" s="6" t="str">
        <f>IFERROR(__xludf.DUMMYFUNCTION("""COMPUTED_VALUE"""),"SPR/07/23/032")</f>
        <v>SPR/07/23/032</v>
      </c>
      <c r="L55" s="13">
        <f>IFERROR(__xludf.DUMMYFUNCTION("""COMPUTED_VALUE"""),45108.0)</f>
        <v>45108</v>
      </c>
    </row>
    <row r="56">
      <c r="A56" s="6" t="str">
        <f>IFERROR(__xludf.DUMMYFUNCTION("""COMPUTED_VALUE"""),"EIL")</f>
        <v>EIL</v>
      </c>
      <c r="B56" s="6" t="str">
        <f>IFERROR(__xludf.DUMMYFUNCTION("""COMPUTED_VALUE"""),"ENG")</f>
        <v>ENG</v>
      </c>
      <c r="C56" s="6" t="str">
        <f>IFERROR(__xludf.DUMMYFUNCTION("""COMPUTED_VALUE"""),"P-53102-00")</f>
        <v>P-53102-00</v>
      </c>
      <c r="D56" s="6" t="str">
        <f>IFERROR(__xludf.DUMMYFUNCTION("""COMPUTED_VALUE"""),"Lampu PLC 13watt/E27 Putih; Phillips; ;")</f>
        <v>Lampu PLC 13watt/E27 Putih; Phillips; ;</v>
      </c>
      <c r="E56" s="6">
        <f>IFERROR(__xludf.DUMMYFUNCTION("""COMPUTED_VALUE"""),2.0)</f>
        <v>2</v>
      </c>
      <c r="F56" s="6">
        <f>IFERROR(__xludf.DUMMYFUNCTION("""COMPUTED_VALUE"""),2.0)</f>
        <v>2</v>
      </c>
      <c r="G56" s="6">
        <f>IFERROR(__xludf.DUMMYFUNCTION("""COMPUTED_VALUE"""),0.0)</f>
        <v>0</v>
      </c>
      <c r="H56" s="6" t="str">
        <f>IFERROR(__xludf.DUMMYFUNCTION("""COMPUTED_VALUE"""),"pcs")</f>
        <v>pcs</v>
      </c>
      <c r="I56" s="6" t="str">
        <f>IFERROR(__xludf.DUMMYFUNCTION("""COMPUTED_VALUE"""),"MFH")</f>
        <v>MFH</v>
      </c>
      <c r="J56" s="6" t="str">
        <f>IFERROR(__xludf.DUMMYFUNCTION("""COMPUTED_VALUE"""),"Building")</f>
        <v>Building</v>
      </c>
      <c r="K56" s="6" t="str">
        <f>IFERROR(__xludf.DUMMYFUNCTION("""COMPUTED_VALUE"""),"SPR/07/23/033")</f>
        <v>SPR/07/23/033</v>
      </c>
      <c r="L56" s="13">
        <f>IFERROR(__xludf.DUMMYFUNCTION("""COMPUTED_VALUE"""),45108.0)</f>
        <v>45108</v>
      </c>
    </row>
    <row r="57">
      <c r="A57" s="6" t="str">
        <f>IFERROR(__xludf.DUMMYFUNCTION("""COMPUTED_VALUE"""),"EIL")</f>
        <v>EIL</v>
      </c>
      <c r="B57" s="6" t="str">
        <f>IFERROR(__xludf.DUMMYFUNCTION("""COMPUTED_VALUE"""),"ENG")</f>
        <v>ENG</v>
      </c>
      <c r="C57" s="6" t="str">
        <f>IFERROR(__xludf.DUMMYFUNCTION("""COMPUTED_VALUE"""),"Q-10128-00")</f>
        <v>Q-10128-00</v>
      </c>
      <c r="D57" s="6" t="str">
        <f>IFERROR(__xludf.DUMMYFUNCTION("""COMPUTED_VALUE"""),"Thinner Super End/Impala")</f>
        <v>Thinner Super End/Impala</v>
      </c>
      <c r="E57" s="6">
        <f>IFERROR(__xludf.DUMMYFUNCTION("""COMPUTED_VALUE"""),1.0)</f>
        <v>1</v>
      </c>
      <c r="F57" s="6">
        <f>IFERROR(__xludf.DUMMYFUNCTION("""COMPUTED_VALUE"""),1.0)</f>
        <v>1</v>
      </c>
      <c r="G57" s="6">
        <f>IFERROR(__xludf.DUMMYFUNCTION("""COMPUTED_VALUE"""),0.0)</f>
        <v>0</v>
      </c>
      <c r="H57" s="6" t="str">
        <f>IFERROR(__xludf.DUMMYFUNCTION("""COMPUTED_VALUE"""),"Can")</f>
        <v>Can</v>
      </c>
      <c r="I57" s="6" t="str">
        <f>IFERROR(__xludf.DUMMYFUNCTION("""COMPUTED_VALUE"""),"MFH")</f>
        <v>MFH</v>
      </c>
      <c r="J57" s="6" t="str">
        <f>IFERROR(__xludf.DUMMYFUNCTION("""COMPUTED_VALUE"""),"Building")</f>
        <v>Building</v>
      </c>
      <c r="K57" s="6" t="str">
        <f>IFERROR(__xludf.DUMMYFUNCTION("""COMPUTED_VALUE"""),"SPR/07/23/034")</f>
        <v>SPR/07/23/034</v>
      </c>
      <c r="L57" s="13">
        <f>IFERROR(__xludf.DUMMYFUNCTION("""COMPUTED_VALUE"""),45108.0)</f>
        <v>45108</v>
      </c>
    </row>
    <row r="58">
      <c r="A58" s="6" t="str">
        <f>IFERROR(__xludf.DUMMYFUNCTION("""COMPUTED_VALUE"""),"EIL")</f>
        <v>EIL</v>
      </c>
      <c r="B58" s="6" t="str">
        <f>IFERROR(__xludf.DUMMYFUNCTION("""COMPUTED_VALUE"""),"ENG")</f>
        <v>ENG</v>
      </c>
      <c r="C58" s="6" t="str">
        <f>IFERROR(__xludf.DUMMYFUNCTION("""COMPUTED_VALUE"""),"P-53102-00")</f>
        <v>P-53102-00</v>
      </c>
      <c r="D58" s="6" t="str">
        <f>IFERROR(__xludf.DUMMYFUNCTION("""COMPUTED_VALUE"""),"Lampu PLC 13watt/E27 Putih; Phillips; ;")</f>
        <v>Lampu PLC 13watt/E27 Putih; Phillips; ;</v>
      </c>
      <c r="E58" s="6">
        <f>IFERROR(__xludf.DUMMYFUNCTION("""COMPUTED_VALUE"""),1.0)</f>
        <v>1</v>
      </c>
      <c r="F58" s="6">
        <f>IFERROR(__xludf.DUMMYFUNCTION("""COMPUTED_VALUE"""),1.0)</f>
        <v>1</v>
      </c>
      <c r="G58" s="6">
        <f>IFERROR(__xludf.DUMMYFUNCTION("""COMPUTED_VALUE"""),0.0)</f>
        <v>0</v>
      </c>
      <c r="H58" s="6" t="str">
        <f>IFERROR(__xludf.DUMMYFUNCTION("""COMPUTED_VALUE"""),"pcs")</f>
        <v>pcs</v>
      </c>
      <c r="I58" s="6" t="str">
        <f>IFERROR(__xludf.DUMMYFUNCTION("""COMPUTED_VALUE"""),"MFH")</f>
        <v>MFH</v>
      </c>
      <c r="J58" s="6" t="str">
        <f>IFERROR(__xludf.DUMMYFUNCTION("""COMPUTED_VALUE"""),"Building")</f>
        <v>Building</v>
      </c>
      <c r="K58" s="6" t="str">
        <f>IFERROR(__xludf.DUMMYFUNCTION("""COMPUTED_VALUE"""),"SPR/07/23/035")</f>
        <v>SPR/07/23/035</v>
      </c>
      <c r="L58" s="13">
        <f>IFERROR(__xludf.DUMMYFUNCTION("""COMPUTED_VALUE"""),45108.0)</f>
        <v>45108</v>
      </c>
    </row>
    <row r="59">
      <c r="A59" s="6" t="str">
        <f>IFERROR(__xludf.DUMMYFUNCTION("""COMPUTED_VALUE"""),"EIL")</f>
        <v>EIL</v>
      </c>
      <c r="B59" s="6" t="str">
        <f>IFERROR(__xludf.DUMMYFUNCTION("""COMPUTED_VALUE"""),"ENG")</f>
        <v>ENG</v>
      </c>
      <c r="C59" s="6" t="str">
        <f>IFERROR(__xludf.DUMMYFUNCTION("""COMPUTED_VALUE"""),"Q-54128-00")</f>
        <v>Q-54128-00</v>
      </c>
      <c r="D59" s="6" t="str">
        <f>IFERROR(__xludf.DUMMYFUNCTION("""COMPUTED_VALUE"""),"Kuas uk. 2.5 inch; No Brand; ; pack size per pc")</f>
        <v>Kuas uk. 2.5 inch; No Brand; ; pack size per pc</v>
      </c>
      <c r="E59" s="6">
        <f>IFERROR(__xludf.DUMMYFUNCTION("""COMPUTED_VALUE"""),1.0)</f>
        <v>1</v>
      </c>
      <c r="F59" s="6">
        <f>IFERROR(__xludf.DUMMYFUNCTION("""COMPUTED_VALUE"""),1.0)</f>
        <v>1</v>
      </c>
      <c r="G59" s="6">
        <f>IFERROR(__xludf.DUMMYFUNCTION("""COMPUTED_VALUE"""),0.0)</f>
        <v>0</v>
      </c>
      <c r="H59" s="6" t="str">
        <f>IFERROR(__xludf.DUMMYFUNCTION("""COMPUTED_VALUE"""),"pcs")</f>
        <v>pcs</v>
      </c>
      <c r="I59" s="6" t="str">
        <f>IFERROR(__xludf.DUMMYFUNCTION("""COMPUTED_VALUE"""),"MFH")</f>
        <v>MFH</v>
      </c>
      <c r="J59" s="6" t="str">
        <f>IFERROR(__xludf.DUMMYFUNCTION("""COMPUTED_VALUE"""),"Building")</f>
        <v>Building</v>
      </c>
      <c r="K59" s="6" t="str">
        <f>IFERROR(__xludf.DUMMYFUNCTION("""COMPUTED_VALUE"""),"SPR/07/23/035")</f>
        <v>SPR/07/23/035</v>
      </c>
      <c r="L59" s="13">
        <f>IFERROR(__xludf.DUMMYFUNCTION("""COMPUTED_VALUE"""),45108.0)</f>
        <v>45108</v>
      </c>
    </row>
    <row r="60">
      <c r="A60" s="6" t="str">
        <f>IFERROR(__xludf.DUMMYFUNCTION("""COMPUTED_VALUE"""),"AAA")</f>
        <v>AAA</v>
      </c>
      <c r="B60" s="6" t="str">
        <f>IFERROR(__xludf.DUMMYFUNCTION("""COMPUTED_VALUE"""),"ENG")</f>
        <v>ENG</v>
      </c>
      <c r="C60" s="6" t="str">
        <f>IFERROR(__xludf.DUMMYFUNCTION("""COMPUTED_VALUE"""),"O-54005-00")</f>
        <v>O-54005-00</v>
      </c>
      <c r="D60" s="6" t="str">
        <f>IFERROR(__xludf.DUMMYFUNCTION("""COMPUTED_VALUE"""),"LAMPU UV 15 WATT, OSRAM")</f>
        <v>LAMPU UV 15 WATT, OSRAM</v>
      </c>
      <c r="E60" s="6">
        <f>IFERROR(__xludf.DUMMYFUNCTION("""COMPUTED_VALUE"""),1.0)</f>
        <v>1</v>
      </c>
      <c r="F60" s="6">
        <f>IFERROR(__xludf.DUMMYFUNCTION("""COMPUTED_VALUE"""),1.0)</f>
        <v>1</v>
      </c>
      <c r="G60" s="6">
        <f>IFERROR(__xludf.DUMMYFUNCTION("""COMPUTED_VALUE"""),0.0)</f>
        <v>0</v>
      </c>
      <c r="H60" s="6" t="str">
        <f>IFERROR(__xludf.DUMMYFUNCTION("""COMPUTED_VALUE"""),"pcs")</f>
        <v>pcs</v>
      </c>
      <c r="I60" s="6" t="str">
        <f>IFERROR(__xludf.DUMMYFUNCTION("""COMPUTED_VALUE"""),"MFH")</f>
        <v>MFH</v>
      </c>
      <c r="J60" s="6" t="str">
        <f>IFERROR(__xludf.DUMMYFUNCTION("""COMPUTED_VALUE"""),"Micro")</f>
        <v>Micro</v>
      </c>
      <c r="K60" s="6" t="str">
        <f>IFERROR(__xludf.DUMMYFUNCTION("""COMPUTED_VALUE"""),"SPR/08/23/001")</f>
        <v>SPR/08/23/001</v>
      </c>
      <c r="L60" s="13">
        <f>IFERROR(__xludf.DUMMYFUNCTION("""COMPUTED_VALUE"""),45139.0)</f>
        <v>45139</v>
      </c>
    </row>
    <row r="61">
      <c r="A61" s="6" t="str">
        <f>IFERROR(__xludf.DUMMYFUNCTION("""COMPUTED_VALUE"""),"AAA")</f>
        <v>AAA</v>
      </c>
      <c r="B61" s="6" t="str">
        <f>IFERROR(__xludf.DUMMYFUNCTION("""COMPUTED_VALUE"""),"ENG")</f>
        <v>ENG</v>
      </c>
      <c r="C61" s="6" t="str">
        <f>IFERROR(__xludf.DUMMYFUNCTION("""COMPUTED_VALUE"""),"P-50288-00")</f>
        <v>P-50288-00</v>
      </c>
      <c r="D61" s="6" t="str">
        <f>IFERROR(__xludf.DUMMYFUNCTION("""COMPUTED_VALUE"""),"Bola Lampu - Halogen 20 W Osram")</f>
        <v>Bola Lampu - Halogen 20 W Osram</v>
      </c>
      <c r="E61" s="6">
        <f>IFERROR(__xludf.DUMMYFUNCTION("""COMPUTED_VALUE"""),1.0)</f>
        <v>1</v>
      </c>
      <c r="F61" s="6">
        <f>IFERROR(__xludf.DUMMYFUNCTION("""COMPUTED_VALUE"""),1.0)</f>
        <v>1</v>
      </c>
      <c r="G61" s="6">
        <f>IFERROR(__xludf.DUMMYFUNCTION("""COMPUTED_VALUE"""),0.0)</f>
        <v>0</v>
      </c>
      <c r="H61" s="6" t="str">
        <f>IFERROR(__xludf.DUMMYFUNCTION("""COMPUTED_VALUE"""),"pcs")</f>
        <v>pcs</v>
      </c>
      <c r="I61" s="6" t="str">
        <f>IFERROR(__xludf.DUMMYFUNCTION("""COMPUTED_VALUE"""),"MFH")</f>
        <v>MFH</v>
      </c>
      <c r="J61" s="6" t="str">
        <f>IFERROR(__xludf.DUMMYFUNCTION("""COMPUTED_VALUE"""),"Mixing")</f>
        <v>Mixing</v>
      </c>
      <c r="K61" s="6" t="str">
        <f>IFERROR(__xludf.DUMMYFUNCTION("""COMPUTED_VALUE"""),"SPR/08/23/002")</f>
        <v>SPR/08/23/002</v>
      </c>
      <c r="L61" s="13">
        <f>IFERROR(__xludf.DUMMYFUNCTION("""COMPUTED_VALUE"""),45139.0)</f>
        <v>45139</v>
      </c>
    </row>
    <row r="62">
      <c r="A62" s="6" t="str">
        <f>IFERROR(__xludf.DUMMYFUNCTION("""COMPUTED_VALUE"""),"RIA")</f>
        <v>RIA</v>
      </c>
      <c r="B62" s="6" t="str">
        <f>IFERROR(__xludf.DUMMYFUNCTION("""COMPUTED_VALUE"""),"ENG")</f>
        <v>ENG</v>
      </c>
      <c r="C62" s="6" t="str">
        <f>IFERROR(__xludf.DUMMYFUNCTION("""COMPUTED_VALUE"""),"P-15862-00")</f>
        <v>P-15862-00</v>
      </c>
      <c r="D62" s="6" t="str">
        <f>IFERROR(__xludf.DUMMYFUNCTION("""COMPUTED_VALUE"""),"PAPER RECORD YOKOGAWA; FOLDING CHART B9565AW")</f>
        <v>PAPER RECORD YOKOGAWA; FOLDING CHART B9565AW</v>
      </c>
      <c r="E62" s="6">
        <f>IFERROR(__xludf.DUMMYFUNCTION("""COMPUTED_VALUE"""),1.0)</f>
        <v>1</v>
      </c>
      <c r="F62" s="6">
        <f>IFERROR(__xludf.DUMMYFUNCTION("""COMPUTED_VALUE"""),1.0)</f>
        <v>1</v>
      </c>
      <c r="G62" s="6">
        <f>IFERROR(__xludf.DUMMYFUNCTION("""COMPUTED_VALUE"""),0.0)</f>
        <v>0</v>
      </c>
      <c r="H62" s="6" t="str">
        <f>IFERROR(__xludf.DUMMYFUNCTION("""COMPUTED_VALUE"""),"pcs")</f>
        <v>pcs</v>
      </c>
      <c r="I62" s="6" t="str">
        <f>IFERROR(__xludf.DUMMYFUNCTION("""COMPUTED_VALUE"""),"MFH")</f>
        <v>MFH</v>
      </c>
      <c r="J62" s="6" t="str">
        <f>IFERROR(__xludf.DUMMYFUNCTION("""COMPUTED_VALUE"""),"PW Skid")</f>
        <v>PW Skid</v>
      </c>
      <c r="K62" s="6" t="str">
        <f>IFERROR(__xludf.DUMMYFUNCTION("""COMPUTED_VALUE"""),"SPR/08/23/003")</f>
        <v>SPR/08/23/003</v>
      </c>
      <c r="L62" s="13">
        <f>IFERROR(__xludf.DUMMYFUNCTION("""COMPUTED_VALUE"""),45139.0)</f>
        <v>45139</v>
      </c>
    </row>
    <row r="63">
      <c r="A63" s="6" t="str">
        <f>IFERROR(__xludf.DUMMYFUNCTION("""COMPUTED_VALUE"""),"RIA")</f>
        <v>RIA</v>
      </c>
      <c r="B63" s="6" t="str">
        <f>IFERROR(__xludf.DUMMYFUNCTION("""COMPUTED_VALUE"""),"ENG")</f>
        <v>ENG</v>
      </c>
      <c r="C63" s="6" t="str">
        <f>IFERROR(__xludf.DUMMYFUNCTION("""COMPUTED_VALUE"""),"T-12078-00")</f>
        <v>T-12078-00</v>
      </c>
      <c r="D63" s="6" t="str">
        <f>IFERROR(__xludf.DUMMYFUNCTION("""COMPUTED_VALUE"""),"Belden RJ45 Connector CAT6/Kon")</f>
        <v>Belden RJ45 Connector CAT6/Kon</v>
      </c>
      <c r="E63" s="6">
        <f>IFERROR(__xludf.DUMMYFUNCTION("""COMPUTED_VALUE"""),2.0)</f>
        <v>2</v>
      </c>
      <c r="F63" s="6">
        <f>IFERROR(__xludf.DUMMYFUNCTION("""COMPUTED_VALUE"""),2.0)</f>
        <v>2</v>
      </c>
      <c r="G63" s="6">
        <f>IFERROR(__xludf.DUMMYFUNCTION("""COMPUTED_VALUE"""),0.0)</f>
        <v>0</v>
      </c>
      <c r="H63" s="6" t="str">
        <f>IFERROR(__xludf.DUMMYFUNCTION("""COMPUTED_VALUE"""),"pcs")</f>
        <v>pcs</v>
      </c>
      <c r="I63" s="6" t="str">
        <f>IFERROR(__xludf.DUMMYFUNCTION("""COMPUTED_VALUE"""),"MFH")</f>
        <v>MFH</v>
      </c>
      <c r="J63" s="6" t="str">
        <f>IFERROR(__xludf.DUMMYFUNCTION("""COMPUTED_VALUE"""),"Building")</f>
        <v>Building</v>
      </c>
      <c r="K63" s="6" t="str">
        <f>IFERROR(__xludf.DUMMYFUNCTION("""COMPUTED_VALUE"""),"SPR/08/23/003")</f>
        <v>SPR/08/23/003</v>
      </c>
      <c r="L63" s="13">
        <f>IFERROR(__xludf.DUMMYFUNCTION("""COMPUTED_VALUE"""),45139.0)</f>
        <v>45139</v>
      </c>
    </row>
    <row r="64">
      <c r="A64" s="6" t="str">
        <f>IFERROR(__xludf.DUMMYFUNCTION("""COMPUTED_VALUE"""),"MAP")</f>
        <v>MAP</v>
      </c>
      <c r="B64" s="6" t="str">
        <f>IFERROR(__xludf.DUMMYFUNCTION("""COMPUTED_VALUE"""),"ENG")</f>
        <v>ENG</v>
      </c>
      <c r="C64" s="6" t="str">
        <f>IFERROR(__xludf.DUMMYFUNCTION("""COMPUTED_VALUE"""),"P-15851-00")</f>
        <v>P-15851-00</v>
      </c>
      <c r="D64" s="6" t="str">
        <f>IFERROR(__xludf.DUMMYFUNCTION("""COMPUTED_VALUE"""),"AMPLAS EAGLE 100")</f>
        <v>AMPLAS EAGLE 100</v>
      </c>
      <c r="E64" s="6">
        <f>IFERROR(__xludf.DUMMYFUNCTION("""COMPUTED_VALUE"""),1.0)</f>
        <v>1</v>
      </c>
      <c r="F64" s="6">
        <f>IFERROR(__xludf.DUMMYFUNCTION("""COMPUTED_VALUE"""),1.0)</f>
        <v>1</v>
      </c>
      <c r="G64" s="6">
        <f>IFERROR(__xludf.DUMMYFUNCTION("""COMPUTED_VALUE"""),0.0)</f>
        <v>0</v>
      </c>
      <c r="H64" s="6" t="str">
        <f>IFERROR(__xludf.DUMMYFUNCTION("""COMPUTED_VALUE"""),"pcs")</f>
        <v>pcs</v>
      </c>
      <c r="I64" s="6" t="str">
        <f>IFERROR(__xludf.DUMMYFUNCTION("""COMPUTED_VALUE"""),"MFH")</f>
        <v>MFH</v>
      </c>
      <c r="J64" s="6" t="str">
        <f>IFERROR(__xludf.DUMMYFUNCTION("""COMPUTED_VALUE"""),"Building")</f>
        <v>Building</v>
      </c>
      <c r="K64" s="6" t="str">
        <f>IFERROR(__xludf.DUMMYFUNCTION("""COMPUTED_VALUE"""),"SPR/08/23/004")</f>
        <v>SPR/08/23/004</v>
      </c>
      <c r="L64" s="13">
        <f>IFERROR(__xludf.DUMMYFUNCTION("""COMPUTED_VALUE"""),45139.0)</f>
        <v>45139</v>
      </c>
    </row>
    <row r="65">
      <c r="A65" s="6" t="str">
        <f>IFERROR(__xludf.DUMMYFUNCTION("""COMPUTED_VALUE"""),"AAA")</f>
        <v>AAA</v>
      </c>
      <c r="B65" s="6" t="str">
        <f>IFERROR(__xludf.DUMMYFUNCTION("""COMPUTED_VALUE"""),"ENG")</f>
        <v>ENG</v>
      </c>
      <c r="C65" s="6" t="str">
        <f>IFERROR(__xludf.DUMMYFUNCTION("""COMPUTED_VALUE"""),"O-16032-00")</f>
        <v>O-16032-00</v>
      </c>
      <c r="D65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65" s="6">
        <f>IFERROR(__xludf.DUMMYFUNCTION("""COMPUTED_VALUE"""),2.0)</f>
        <v>2</v>
      </c>
      <c r="F65" s="6">
        <f>IFERROR(__xludf.DUMMYFUNCTION("""COMPUTED_VALUE"""),2.0)</f>
        <v>2</v>
      </c>
      <c r="G65" s="6">
        <f>IFERROR(__xludf.DUMMYFUNCTION("""COMPUTED_VALUE"""),0.0)</f>
        <v>0</v>
      </c>
      <c r="H65" s="6" t="str">
        <f>IFERROR(__xludf.DUMMYFUNCTION("""COMPUTED_VALUE"""),"pcs")</f>
        <v>pcs</v>
      </c>
      <c r="I65" s="6" t="str">
        <f>IFERROR(__xludf.DUMMYFUNCTION("""COMPUTED_VALUE"""),"MFH")</f>
        <v>MFH</v>
      </c>
      <c r="J65" s="6" t="str">
        <f>IFERROR(__xludf.DUMMYFUNCTION("""COMPUTED_VALUE"""),"cRABS")</f>
        <v>cRABS</v>
      </c>
      <c r="K65" s="6" t="str">
        <f>IFERROR(__xludf.DUMMYFUNCTION("""COMPUTED_VALUE"""),"SPR/08/23/005")</f>
        <v>SPR/08/23/005</v>
      </c>
      <c r="L65" s="13">
        <f>IFERROR(__xludf.DUMMYFUNCTION("""COMPUTED_VALUE"""),45139.0)</f>
        <v>45139</v>
      </c>
    </row>
    <row r="66">
      <c r="A66" s="6" t="str">
        <f>IFERROR(__xludf.DUMMYFUNCTION("""COMPUTED_VALUE"""),"AAA")</f>
        <v>AAA</v>
      </c>
      <c r="B66" s="6" t="str">
        <f>IFERROR(__xludf.DUMMYFUNCTION("""COMPUTED_VALUE"""),"ENG")</f>
        <v>ENG</v>
      </c>
      <c r="C66" s="6" t="str">
        <f>IFERROR(__xludf.DUMMYFUNCTION("""COMPUTED_VALUE"""),"O-16033-00")</f>
        <v>O-16033-00</v>
      </c>
      <c r="D6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66" s="6">
        <f>IFERROR(__xludf.DUMMYFUNCTION("""COMPUTED_VALUE"""),2.0)</f>
        <v>2</v>
      </c>
      <c r="F66" s="6">
        <f>IFERROR(__xludf.DUMMYFUNCTION("""COMPUTED_VALUE"""),2.0)</f>
        <v>2</v>
      </c>
      <c r="G66" s="6">
        <f>IFERROR(__xludf.DUMMYFUNCTION("""COMPUTED_VALUE"""),0.0)</f>
        <v>0</v>
      </c>
      <c r="H66" s="6" t="str">
        <f>IFERROR(__xludf.DUMMYFUNCTION("""COMPUTED_VALUE"""),"pcs")</f>
        <v>pcs</v>
      </c>
      <c r="I66" s="6" t="str">
        <f>IFERROR(__xludf.DUMMYFUNCTION("""COMPUTED_VALUE"""),"MFH")</f>
        <v>MFH</v>
      </c>
      <c r="J66" s="6" t="str">
        <f>IFERROR(__xludf.DUMMYFUNCTION("""COMPUTED_VALUE"""),"cRABS")</f>
        <v>cRABS</v>
      </c>
      <c r="K66" s="6" t="str">
        <f>IFERROR(__xludf.DUMMYFUNCTION("""COMPUTED_VALUE"""),"SPR/08/23/005")</f>
        <v>SPR/08/23/005</v>
      </c>
      <c r="L66" s="13">
        <f>IFERROR(__xludf.DUMMYFUNCTION("""COMPUTED_VALUE"""),45139.0)</f>
        <v>45139</v>
      </c>
    </row>
    <row r="67">
      <c r="A67" s="6" t="str">
        <f>IFERROR(__xludf.DUMMYFUNCTION("""COMPUTED_VALUE"""),"MFH")</f>
        <v>MFH</v>
      </c>
      <c r="B67" s="6" t="str">
        <f>IFERROR(__xludf.DUMMYFUNCTION("""COMPUTED_VALUE"""),"ENG")</f>
        <v>ENG</v>
      </c>
      <c r="C67" s="6" t="str">
        <f>IFERROR(__xludf.DUMMYFUNCTION("""COMPUTED_VALUE"""),"P-13641-00")</f>
        <v>P-13641-00</v>
      </c>
      <c r="D67" s="6" t="str">
        <f>IFERROR(__xludf.DUMMYFUNCTION("""COMPUTED_VALUE"""),"Filter SO 5 micron 30 inch O-r")</f>
        <v>Filter SO 5 micron 30 inch O-r</v>
      </c>
      <c r="E67" s="6">
        <f>IFERROR(__xludf.DUMMYFUNCTION("""COMPUTED_VALUE"""),1.0)</f>
        <v>1</v>
      </c>
      <c r="F67" s="6">
        <f>IFERROR(__xludf.DUMMYFUNCTION("""COMPUTED_VALUE"""),1.0)</f>
        <v>1</v>
      </c>
      <c r="G67" s="6">
        <f>IFERROR(__xludf.DUMMYFUNCTION("""COMPUTED_VALUE"""),0.0)</f>
        <v>0</v>
      </c>
      <c r="H67" s="6" t="str">
        <f>IFERROR(__xludf.DUMMYFUNCTION("""COMPUTED_VALUE"""),"pcs")</f>
        <v>pcs</v>
      </c>
      <c r="I67" s="6" t="str">
        <f>IFERROR(__xludf.DUMMYFUNCTION("""COMPUTED_VALUE"""),"MFH")</f>
        <v>MFH</v>
      </c>
      <c r="J67" s="6" t="str">
        <f>IFERROR(__xludf.DUMMYFUNCTION("""COMPUTED_VALUE"""),"PWG")</f>
        <v>PWG</v>
      </c>
      <c r="K67" s="6" t="str">
        <f>IFERROR(__xludf.DUMMYFUNCTION("""COMPUTED_VALUE"""),"SPR/08/23/006")</f>
        <v>SPR/08/23/006</v>
      </c>
      <c r="L67" s="13">
        <f>IFERROR(__xludf.DUMMYFUNCTION("""COMPUTED_VALUE"""),45139.0)</f>
        <v>45139</v>
      </c>
    </row>
    <row r="68">
      <c r="A68" s="6" t="str">
        <f>IFERROR(__xludf.DUMMYFUNCTION("""COMPUTED_VALUE"""),"EIL")</f>
        <v>EIL</v>
      </c>
      <c r="B68" s="6" t="str">
        <f>IFERROR(__xludf.DUMMYFUNCTION("""COMPUTED_VALUE"""),"ENG")</f>
        <v>ENG</v>
      </c>
      <c r="C68" s="6" t="str">
        <f>IFERROR(__xludf.DUMMYFUNCTION("""COMPUTED_VALUE"""),"P-51560-00")</f>
        <v>P-51560-00</v>
      </c>
      <c r="D68" s="6" t="str">
        <f>IFERROR(__xludf.DUMMYFUNCTION("""COMPUTED_VALUE"""),"Lampu T5 28watt Putih; Phillips; ;")</f>
        <v>Lampu T5 28watt Putih; Phillips; ;</v>
      </c>
      <c r="E68" s="6">
        <f>IFERROR(__xludf.DUMMYFUNCTION("""COMPUTED_VALUE"""),1.0)</f>
        <v>1</v>
      </c>
      <c r="F68" s="6">
        <f>IFERROR(__xludf.DUMMYFUNCTION("""COMPUTED_VALUE"""),1.0)</f>
        <v>1</v>
      </c>
      <c r="G68" s="6">
        <f>IFERROR(__xludf.DUMMYFUNCTION("""COMPUTED_VALUE"""),0.0)</f>
        <v>0</v>
      </c>
      <c r="H68" s="6" t="str">
        <f>IFERROR(__xludf.DUMMYFUNCTION("""COMPUTED_VALUE"""),"pcs")</f>
        <v>pcs</v>
      </c>
      <c r="I68" s="6" t="str">
        <f>IFERROR(__xludf.DUMMYFUNCTION("""COMPUTED_VALUE"""),"MFH")</f>
        <v>MFH</v>
      </c>
      <c r="J68" s="6" t="str">
        <f>IFERROR(__xludf.DUMMYFUNCTION("""COMPUTED_VALUE"""),"Building")</f>
        <v>Building</v>
      </c>
      <c r="K68" s="6" t="str">
        <f>IFERROR(__xludf.DUMMYFUNCTION("""COMPUTED_VALUE"""),"SPR/08/23/007")</f>
        <v>SPR/08/23/007</v>
      </c>
      <c r="L68" s="13">
        <f>IFERROR(__xludf.DUMMYFUNCTION("""COMPUTED_VALUE"""),45139.0)</f>
        <v>45139</v>
      </c>
    </row>
    <row r="69">
      <c r="A69" s="6" t="str">
        <f>IFERROR(__xludf.DUMMYFUNCTION("""COMPUTED_VALUE"""),"EIL")</f>
        <v>EIL</v>
      </c>
      <c r="B69" s="6" t="str">
        <f>IFERROR(__xludf.DUMMYFUNCTION("""COMPUTED_VALUE"""),"ENG")</f>
        <v>ENG</v>
      </c>
      <c r="C69" s="6" t="str">
        <f>IFERROR(__xludf.DUMMYFUNCTION("""COMPUTED_VALUE"""),"P-53102-00")</f>
        <v>P-53102-00</v>
      </c>
      <c r="D69" s="6" t="str">
        <f>IFERROR(__xludf.DUMMYFUNCTION("""COMPUTED_VALUE"""),"Lampu PLC 13watt/E27 Putih; Phillips; ;")</f>
        <v>Lampu PLC 13watt/E27 Putih; Phillips; ;</v>
      </c>
      <c r="E69" s="6">
        <f>IFERROR(__xludf.DUMMYFUNCTION("""COMPUTED_VALUE"""),1.0)</f>
        <v>1</v>
      </c>
      <c r="F69" s="6">
        <f>IFERROR(__xludf.DUMMYFUNCTION("""COMPUTED_VALUE"""),1.0)</f>
        <v>1</v>
      </c>
      <c r="G69" s="6">
        <f>IFERROR(__xludf.DUMMYFUNCTION("""COMPUTED_VALUE"""),0.0)</f>
        <v>0</v>
      </c>
      <c r="H69" s="6" t="str">
        <f>IFERROR(__xludf.DUMMYFUNCTION("""COMPUTED_VALUE"""),"pcs")</f>
        <v>pcs</v>
      </c>
      <c r="I69" s="6" t="str">
        <f>IFERROR(__xludf.DUMMYFUNCTION("""COMPUTED_VALUE"""),"MFH")</f>
        <v>MFH</v>
      </c>
      <c r="J69" s="6" t="str">
        <f>IFERROR(__xludf.DUMMYFUNCTION("""COMPUTED_VALUE"""),"Building")</f>
        <v>Building</v>
      </c>
      <c r="K69" s="6" t="str">
        <f>IFERROR(__xludf.DUMMYFUNCTION("""COMPUTED_VALUE"""),"SPR/08/23/007")</f>
        <v>SPR/08/23/007</v>
      </c>
      <c r="L69" s="13">
        <f>IFERROR(__xludf.DUMMYFUNCTION("""COMPUTED_VALUE"""),45139.0)</f>
        <v>45139</v>
      </c>
    </row>
    <row r="70">
      <c r="A70" s="6" t="str">
        <f>IFERROR(__xludf.DUMMYFUNCTION("""COMPUTED_VALUE"""),"RIA")</f>
        <v>RIA</v>
      </c>
      <c r="B70" s="6" t="str">
        <f>IFERROR(__xludf.DUMMYFUNCTION("""COMPUTED_VALUE"""),"ENG")</f>
        <v>ENG</v>
      </c>
      <c r="C70" s="6" t="str">
        <f>IFERROR(__xludf.DUMMYFUNCTION("""COMPUTED_VALUE"""),"P-52711-00")</f>
        <v>P-52711-00</v>
      </c>
      <c r="D70" s="6" t="str">
        <f>IFERROR(__xludf.DUMMYFUNCTION("""COMPUTED_VALUE"""),"Accu NS70 (Battery kering) 12V")</f>
        <v>Accu NS70 (Battery kering) 12V</v>
      </c>
      <c r="E70" s="6">
        <f>IFERROR(__xludf.DUMMYFUNCTION("""COMPUTED_VALUE"""),1.0)</f>
        <v>1</v>
      </c>
      <c r="F70" s="6">
        <f>IFERROR(__xludf.DUMMYFUNCTION("""COMPUTED_VALUE"""),1.0)</f>
        <v>1</v>
      </c>
      <c r="G70" s="6">
        <f>IFERROR(__xludf.DUMMYFUNCTION("""COMPUTED_VALUE"""),0.0)</f>
        <v>0</v>
      </c>
      <c r="H70" s="6" t="str">
        <f>IFERROR(__xludf.DUMMYFUNCTION("""COMPUTED_VALUE"""),"pcs")</f>
        <v>pcs</v>
      </c>
      <c r="I70" s="6" t="str">
        <f>IFERROR(__xludf.DUMMYFUNCTION("""COMPUTED_VALUE"""),"MFH")</f>
        <v>MFH</v>
      </c>
      <c r="J70" s="6" t="str">
        <f>IFERROR(__xludf.DUMMYFUNCTION("""COMPUTED_VALUE"""),"Power Stacker")</f>
        <v>Power Stacker</v>
      </c>
      <c r="K70" s="6" t="str">
        <f>IFERROR(__xludf.DUMMYFUNCTION("""COMPUTED_VALUE"""),"SPR/08/23/008")</f>
        <v>SPR/08/23/008</v>
      </c>
      <c r="L70" s="13">
        <f>IFERROR(__xludf.DUMMYFUNCTION("""COMPUTED_VALUE"""),45139.0)</f>
        <v>45139</v>
      </c>
    </row>
    <row r="71">
      <c r="A71" s="6" t="str">
        <f>IFERROR(__xludf.DUMMYFUNCTION("""COMPUTED_VALUE"""),"RIA")</f>
        <v>RIA</v>
      </c>
      <c r="B71" s="6" t="str">
        <f>IFERROR(__xludf.DUMMYFUNCTION("""COMPUTED_VALUE"""),"ENG")</f>
        <v>ENG</v>
      </c>
      <c r="C71" s="6" t="str">
        <f>IFERROR(__xludf.DUMMYFUNCTION("""COMPUTED_VALUE"""),"P-13429-00")</f>
        <v>P-13429-00</v>
      </c>
      <c r="D71" s="6" t="str">
        <f>IFERROR(__xludf.DUMMYFUNCTION("""COMPUTED_VALUE"""),"Cable Ducting 25x40mm")</f>
        <v>Cable Ducting 25x40mm</v>
      </c>
      <c r="E71" s="6">
        <f>IFERROR(__xludf.DUMMYFUNCTION("""COMPUTED_VALUE"""),2.0)</f>
        <v>2</v>
      </c>
      <c r="F71" s="6">
        <f>IFERROR(__xludf.DUMMYFUNCTION("""COMPUTED_VALUE"""),2.0)</f>
        <v>2</v>
      </c>
      <c r="G71" s="6">
        <f>IFERROR(__xludf.DUMMYFUNCTION("""COMPUTED_VALUE"""),0.0)</f>
        <v>0</v>
      </c>
      <c r="H71" s="6" t="str">
        <f>IFERROR(__xludf.DUMMYFUNCTION("""COMPUTED_VALUE"""),"pcs")</f>
        <v>pcs</v>
      </c>
      <c r="I71" s="6" t="str">
        <f>IFERROR(__xludf.DUMMYFUNCTION("""COMPUTED_VALUE"""),"MFH")</f>
        <v>MFH</v>
      </c>
      <c r="J71" s="6" t="str">
        <f>IFERROR(__xludf.DUMMYFUNCTION("""COMPUTED_VALUE"""),"Building")</f>
        <v>Building</v>
      </c>
      <c r="K71" s="6" t="str">
        <f>IFERROR(__xludf.DUMMYFUNCTION("""COMPUTED_VALUE"""),"SPR/08/23/008")</f>
        <v>SPR/08/23/008</v>
      </c>
      <c r="L71" s="13">
        <f>IFERROR(__xludf.DUMMYFUNCTION("""COMPUTED_VALUE"""),45139.0)</f>
        <v>45139</v>
      </c>
    </row>
    <row r="72">
      <c r="A72" s="6" t="str">
        <f>IFERROR(__xludf.DUMMYFUNCTION("""COMPUTED_VALUE"""),"RIA")</f>
        <v>RIA</v>
      </c>
      <c r="B72" s="6" t="str">
        <f>IFERROR(__xludf.DUMMYFUNCTION("""COMPUTED_VALUE"""),"ENG")</f>
        <v>ENG</v>
      </c>
      <c r="C72" s="6" t="str">
        <f>IFERROR(__xludf.DUMMYFUNCTION("""COMPUTED_VALUE"""),"P-15862-00")</f>
        <v>P-15862-00</v>
      </c>
      <c r="D72" s="6" t="str">
        <f>IFERROR(__xludf.DUMMYFUNCTION("""COMPUTED_VALUE"""),"PAPER RECORD YOKOGAWA; FOLDING CHART B9565AW")</f>
        <v>PAPER RECORD YOKOGAWA; FOLDING CHART B9565AW</v>
      </c>
      <c r="E72" s="6">
        <f>IFERROR(__xludf.DUMMYFUNCTION("""COMPUTED_VALUE"""),1.0)</f>
        <v>1</v>
      </c>
      <c r="F72" s="6">
        <f>IFERROR(__xludf.DUMMYFUNCTION("""COMPUTED_VALUE"""),1.0)</f>
        <v>1</v>
      </c>
      <c r="G72" s="6">
        <f>IFERROR(__xludf.DUMMYFUNCTION("""COMPUTED_VALUE"""),0.0)</f>
        <v>0</v>
      </c>
      <c r="H72" s="6" t="str">
        <f>IFERROR(__xludf.DUMMYFUNCTION("""COMPUTED_VALUE"""),"pcs")</f>
        <v>pcs</v>
      </c>
      <c r="I72" s="6" t="str">
        <f>IFERROR(__xludf.DUMMYFUNCTION("""COMPUTED_VALUE"""),"MFH")</f>
        <v>MFH</v>
      </c>
      <c r="J72" s="6" t="str">
        <f>IFERROR(__xludf.DUMMYFUNCTION("""COMPUTED_VALUE"""),"PW Skid")</f>
        <v>PW Skid</v>
      </c>
      <c r="K72" s="6" t="str">
        <f>IFERROR(__xludf.DUMMYFUNCTION("""COMPUTED_VALUE"""),"SPR/08/23/008")</f>
        <v>SPR/08/23/008</v>
      </c>
      <c r="L72" s="13">
        <f>IFERROR(__xludf.DUMMYFUNCTION("""COMPUTED_VALUE"""),45139.0)</f>
        <v>45139</v>
      </c>
    </row>
    <row r="73">
      <c r="A73" s="6" t="str">
        <f>IFERROR(__xludf.DUMMYFUNCTION("""COMPUTED_VALUE"""),"EIL")</f>
        <v>EIL</v>
      </c>
      <c r="B73" s="6" t="str">
        <f>IFERROR(__xludf.DUMMYFUNCTION("""COMPUTED_VALUE"""),"ENG")</f>
        <v>ENG</v>
      </c>
      <c r="C73" s="6" t="str">
        <f>IFERROR(__xludf.DUMMYFUNCTION("""COMPUTED_VALUE"""),"P-51560-00")</f>
        <v>P-51560-00</v>
      </c>
      <c r="D73" s="6" t="str">
        <f>IFERROR(__xludf.DUMMYFUNCTION("""COMPUTED_VALUE"""),"Lampu T5 28watt Putih; Phillips; ;")</f>
        <v>Lampu T5 28watt Putih; Phillips; ;</v>
      </c>
      <c r="E73" s="6">
        <f>IFERROR(__xludf.DUMMYFUNCTION("""COMPUTED_VALUE"""),2.0)</f>
        <v>2</v>
      </c>
      <c r="F73" s="6">
        <f>IFERROR(__xludf.DUMMYFUNCTION("""COMPUTED_VALUE"""),2.0)</f>
        <v>2</v>
      </c>
      <c r="G73" s="6">
        <f>IFERROR(__xludf.DUMMYFUNCTION("""COMPUTED_VALUE"""),0.0)</f>
        <v>0</v>
      </c>
      <c r="H73" s="6" t="str">
        <f>IFERROR(__xludf.DUMMYFUNCTION("""COMPUTED_VALUE"""),"pcs")</f>
        <v>pcs</v>
      </c>
      <c r="I73" s="6" t="str">
        <f>IFERROR(__xludf.DUMMYFUNCTION("""COMPUTED_VALUE"""),"MFH")</f>
        <v>MFH</v>
      </c>
      <c r="J73" s="6" t="str">
        <f>IFERROR(__xludf.DUMMYFUNCTION("""COMPUTED_VALUE"""),"Building")</f>
        <v>Building</v>
      </c>
      <c r="K73" s="6" t="str">
        <f>IFERROR(__xludf.DUMMYFUNCTION("""COMPUTED_VALUE"""),"SPR/08/23/009")</f>
        <v>SPR/08/23/009</v>
      </c>
      <c r="L73" s="13">
        <f>IFERROR(__xludf.DUMMYFUNCTION("""COMPUTED_VALUE"""),45139.0)</f>
        <v>45139</v>
      </c>
    </row>
    <row r="74">
      <c r="A74" s="6" t="str">
        <f>IFERROR(__xludf.DUMMYFUNCTION("""COMPUTED_VALUE"""),"EIL")</f>
        <v>EIL</v>
      </c>
      <c r="B74" s="6" t="str">
        <f>IFERROR(__xludf.DUMMYFUNCTION("""COMPUTED_VALUE"""),"ENG")</f>
        <v>ENG</v>
      </c>
      <c r="C74" s="6" t="str">
        <f>IFERROR(__xludf.DUMMYFUNCTION("""COMPUTED_VALUE"""),"P-53173-00")</f>
        <v>P-53173-00</v>
      </c>
      <c r="D74" s="6" t="str">
        <f>IFERROR(__xludf.DUMMYFUNCTION("""COMPUTED_VALUE"""),"Ballast Electronic EB-C 214 TL5, 2x14W; Phillips; ;")</f>
        <v>Ballast Electronic EB-C 214 TL5, 2x14W; Phillips; ;</v>
      </c>
      <c r="E74" s="6">
        <f>IFERROR(__xludf.DUMMYFUNCTION("""COMPUTED_VALUE"""),1.0)</f>
        <v>1</v>
      </c>
      <c r="F74" s="6">
        <f>IFERROR(__xludf.DUMMYFUNCTION("""COMPUTED_VALUE"""),1.0)</f>
        <v>1</v>
      </c>
      <c r="G74" s="6">
        <f>IFERROR(__xludf.DUMMYFUNCTION("""COMPUTED_VALUE"""),0.0)</f>
        <v>0</v>
      </c>
      <c r="H74" s="6" t="str">
        <f>IFERROR(__xludf.DUMMYFUNCTION("""COMPUTED_VALUE"""),"pcs")</f>
        <v>pcs</v>
      </c>
      <c r="I74" s="6" t="str">
        <f>IFERROR(__xludf.DUMMYFUNCTION("""COMPUTED_VALUE"""),"MFH")</f>
        <v>MFH</v>
      </c>
      <c r="J74" s="6" t="str">
        <f>IFERROR(__xludf.DUMMYFUNCTION("""COMPUTED_VALUE"""),"Building")</f>
        <v>Building</v>
      </c>
      <c r="K74" s="6" t="str">
        <f>IFERROR(__xludf.DUMMYFUNCTION("""COMPUTED_VALUE"""),"SPR/08/23/009")</f>
        <v>SPR/08/23/009</v>
      </c>
      <c r="L74" s="13">
        <f>IFERROR(__xludf.DUMMYFUNCTION("""COMPUTED_VALUE"""),45139.0)</f>
        <v>45139</v>
      </c>
    </row>
    <row r="75">
      <c r="A75" s="6" t="str">
        <f>IFERROR(__xludf.DUMMYFUNCTION("""COMPUTED_VALUE"""),"MFH")</f>
        <v>MFH</v>
      </c>
      <c r="B75" s="6" t="str">
        <f>IFERROR(__xludf.DUMMYFUNCTION("""COMPUTED_VALUE"""),"ENG")</f>
        <v>ENG</v>
      </c>
      <c r="C75" s="6" t="str">
        <f>IFERROR(__xludf.DUMMYFUNCTION("""COMPUTED_VALUE"""),"O-16033-00")</f>
        <v>O-16033-00</v>
      </c>
      <c r="D7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75" s="6">
        <f>IFERROR(__xludf.DUMMYFUNCTION("""COMPUTED_VALUE"""),1.0)</f>
        <v>1</v>
      </c>
      <c r="F75" s="6">
        <f>IFERROR(__xludf.DUMMYFUNCTION("""COMPUTED_VALUE"""),1.0)</f>
        <v>1</v>
      </c>
      <c r="G75" s="6">
        <f>IFERROR(__xludf.DUMMYFUNCTION("""COMPUTED_VALUE"""),0.0)</f>
        <v>0</v>
      </c>
      <c r="H75" s="6" t="str">
        <f>IFERROR(__xludf.DUMMYFUNCTION("""COMPUTED_VALUE"""),"pcs")</f>
        <v>pcs</v>
      </c>
      <c r="I75" s="6" t="str">
        <f>IFERROR(__xludf.DUMMYFUNCTION("""COMPUTED_VALUE"""),"MFH")</f>
        <v>MFH</v>
      </c>
      <c r="J75" s="6" t="str">
        <f>IFERROR(__xludf.DUMMYFUNCTION("""COMPUTED_VALUE"""),"Autoclave")</f>
        <v>Autoclave</v>
      </c>
      <c r="K75" s="6" t="str">
        <f>IFERROR(__xludf.DUMMYFUNCTION("""COMPUTED_VALUE"""),"SPR/08/23/010")</f>
        <v>SPR/08/23/010</v>
      </c>
      <c r="L75" s="13">
        <f>IFERROR(__xludf.DUMMYFUNCTION("""COMPUTED_VALUE"""),45139.0)</f>
        <v>45139</v>
      </c>
    </row>
    <row r="76">
      <c r="A76" s="6" t="str">
        <f>IFERROR(__xludf.DUMMYFUNCTION("""COMPUTED_VALUE"""),"RIA")</f>
        <v>RIA</v>
      </c>
      <c r="B76" s="6" t="str">
        <f>IFERROR(__xludf.DUMMYFUNCTION("""COMPUTED_VALUE"""),"ENG")</f>
        <v>ENG</v>
      </c>
      <c r="C76" s="6" t="str">
        <f>IFERROR(__xludf.DUMMYFUNCTION("""COMPUTED_VALUE"""),"P-14457-00")</f>
        <v>P-14457-00</v>
      </c>
      <c r="D76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76" s="6">
        <f>IFERROR(__xludf.DUMMYFUNCTION("""COMPUTED_VALUE"""),2.0)</f>
        <v>2</v>
      </c>
      <c r="F76" s="6">
        <f>IFERROR(__xludf.DUMMYFUNCTION("""COMPUTED_VALUE"""),2.0)</f>
        <v>2</v>
      </c>
      <c r="G76" s="6">
        <f>IFERROR(__xludf.DUMMYFUNCTION("""COMPUTED_VALUE"""),0.0)</f>
        <v>0</v>
      </c>
      <c r="H76" s="6" t="str">
        <f>IFERROR(__xludf.DUMMYFUNCTION("""COMPUTED_VALUE"""),"pcs")</f>
        <v>pcs</v>
      </c>
      <c r="I76" s="6" t="str">
        <f>IFERROR(__xludf.DUMMYFUNCTION("""COMPUTED_VALUE"""),"MFH")</f>
        <v>MFH</v>
      </c>
      <c r="J76" s="6" t="str">
        <f>IFERROR(__xludf.DUMMYFUNCTION("""COMPUTED_VALUE"""),"AHU")</f>
        <v>AHU</v>
      </c>
      <c r="K76" s="6" t="str">
        <f>IFERROR(__xludf.DUMMYFUNCTION("""COMPUTED_VALUE"""),"SPR/08/23/011")</f>
        <v>SPR/08/23/011</v>
      </c>
      <c r="L76" s="13">
        <f>IFERROR(__xludf.DUMMYFUNCTION("""COMPUTED_VALUE"""),45139.0)</f>
        <v>45139</v>
      </c>
    </row>
    <row r="77">
      <c r="A77" s="6" t="str">
        <f>IFERROR(__xludf.DUMMYFUNCTION("""COMPUTED_VALUE"""),"RIA")</f>
        <v>RIA</v>
      </c>
      <c r="B77" s="6" t="str">
        <f>IFERROR(__xludf.DUMMYFUNCTION("""COMPUTED_VALUE"""),"ENG")</f>
        <v>ENG</v>
      </c>
      <c r="C77" s="6" t="str">
        <f>IFERROR(__xludf.DUMMYFUNCTION("""COMPUTED_VALUE"""),"P-14458-00")</f>
        <v>P-14458-00</v>
      </c>
      <c r="D77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77" s="6">
        <f>IFERROR(__xludf.DUMMYFUNCTION("""COMPUTED_VALUE"""),2.0)</f>
        <v>2</v>
      </c>
      <c r="F77" s="6">
        <f>IFERROR(__xludf.DUMMYFUNCTION("""COMPUTED_VALUE"""),2.0)</f>
        <v>2</v>
      </c>
      <c r="G77" s="6">
        <f>IFERROR(__xludf.DUMMYFUNCTION("""COMPUTED_VALUE"""),0.0)</f>
        <v>0</v>
      </c>
      <c r="H77" s="6" t="str">
        <f>IFERROR(__xludf.DUMMYFUNCTION("""COMPUTED_VALUE"""),"pcs")</f>
        <v>pcs</v>
      </c>
      <c r="I77" s="6" t="str">
        <f>IFERROR(__xludf.DUMMYFUNCTION("""COMPUTED_VALUE"""),"MFH")</f>
        <v>MFH</v>
      </c>
      <c r="J77" s="6" t="str">
        <f>IFERROR(__xludf.DUMMYFUNCTION("""COMPUTED_VALUE"""),"AHU")</f>
        <v>AHU</v>
      </c>
      <c r="K77" s="6" t="str">
        <f>IFERROR(__xludf.DUMMYFUNCTION("""COMPUTED_VALUE"""),"SPR/08/23/011")</f>
        <v>SPR/08/23/011</v>
      </c>
      <c r="L77" s="13">
        <f>IFERROR(__xludf.DUMMYFUNCTION("""COMPUTED_VALUE"""),45139.0)</f>
        <v>45139</v>
      </c>
    </row>
    <row r="78">
      <c r="A78" s="6" t="str">
        <f>IFERROR(__xludf.DUMMYFUNCTION("""COMPUTED_VALUE"""),"RIA")</f>
        <v>RIA</v>
      </c>
      <c r="B78" s="6" t="str">
        <f>IFERROR(__xludf.DUMMYFUNCTION("""COMPUTED_VALUE"""),"ENG")</f>
        <v>ENG</v>
      </c>
      <c r="C78" s="6" t="str">
        <f>IFERROR(__xludf.DUMMYFUNCTION("""COMPUTED_VALUE"""),"-")</f>
        <v>-</v>
      </c>
      <c r="D78" s="6" t="str">
        <f>IFERROR(__xludf.DUMMYFUNCTION("""COMPUTED_VALUE"""),"Lampu Phillips 9w")</f>
        <v>Lampu Phillips 9w</v>
      </c>
      <c r="E78" s="6">
        <f>IFERROR(__xludf.DUMMYFUNCTION("""COMPUTED_VALUE"""),1.0)</f>
        <v>1</v>
      </c>
      <c r="F78" s="6">
        <f>IFERROR(__xludf.DUMMYFUNCTION("""COMPUTED_VALUE"""),1.0)</f>
        <v>1</v>
      </c>
      <c r="G78" s="6">
        <f>IFERROR(__xludf.DUMMYFUNCTION("""COMPUTED_VALUE"""),0.0)</f>
        <v>0</v>
      </c>
      <c r="H78" s="6" t="str">
        <f>IFERROR(__xludf.DUMMYFUNCTION("""COMPUTED_VALUE"""),"pcs")</f>
        <v>pcs</v>
      </c>
      <c r="I78" s="6" t="str">
        <f>IFERROR(__xludf.DUMMYFUNCTION("""COMPUTED_VALUE"""),"MFH")</f>
        <v>MFH</v>
      </c>
      <c r="J78" s="6" t="str">
        <f>IFERROR(__xludf.DUMMYFUNCTION("""COMPUTED_VALUE"""),"AHU")</f>
        <v>AHU</v>
      </c>
      <c r="K78" s="6" t="str">
        <f>IFERROR(__xludf.DUMMYFUNCTION("""COMPUTED_VALUE"""),"SPR/08/23/011")</f>
        <v>SPR/08/23/011</v>
      </c>
      <c r="L78" s="13">
        <f>IFERROR(__xludf.DUMMYFUNCTION("""COMPUTED_VALUE"""),45139.0)</f>
        <v>45139</v>
      </c>
    </row>
    <row r="79">
      <c r="A79" s="6" t="str">
        <f>IFERROR(__xludf.DUMMYFUNCTION("""COMPUTED_VALUE"""),"MRN")</f>
        <v>MRN</v>
      </c>
      <c r="B79" s="6" t="str">
        <f>IFERROR(__xludf.DUMMYFUNCTION("""COMPUTED_VALUE"""),"ENG")</f>
        <v>ENG</v>
      </c>
      <c r="C79" s="6" t="str">
        <f>IFERROR(__xludf.DUMMYFUNCTION("""COMPUTED_VALUE"""),"P-12306-00")</f>
        <v>P-12306-00</v>
      </c>
      <c r="D79" s="6" t="str">
        <f>IFERROR(__xludf.DUMMYFUNCTION("""COMPUTED_VALUE"""),"FESTO - QST-8 push in t- connection p/n 153130")</f>
        <v>FESTO - QST-8 push in t- connection p/n 153130</v>
      </c>
      <c r="E79" s="6">
        <f>IFERROR(__xludf.DUMMYFUNCTION("""COMPUTED_VALUE"""),20.0)</f>
        <v>20</v>
      </c>
      <c r="F79" s="6">
        <f>IFERROR(__xludf.DUMMYFUNCTION("""COMPUTED_VALUE"""),20.0)</f>
        <v>20</v>
      </c>
      <c r="G79" s="6">
        <f>IFERROR(__xludf.DUMMYFUNCTION("""COMPUTED_VALUE"""),0.0)</f>
        <v>0</v>
      </c>
      <c r="H79" s="6" t="str">
        <f>IFERROR(__xludf.DUMMYFUNCTION("""COMPUTED_VALUE"""),"pcs")</f>
        <v>pcs</v>
      </c>
      <c r="I79" s="6" t="str">
        <f>IFERROR(__xludf.DUMMYFUNCTION("""COMPUTED_VALUE"""),"MFH")</f>
        <v>MFH</v>
      </c>
      <c r="J79" s="6" t="str">
        <f>IFERROR(__xludf.DUMMYFUNCTION("""COMPUTED_VALUE"""),"Projek")</f>
        <v>Projek</v>
      </c>
      <c r="K79" s="6" t="str">
        <f>IFERROR(__xludf.DUMMYFUNCTION("""COMPUTED_VALUE"""),"SPR/08/23/012")</f>
        <v>SPR/08/23/012</v>
      </c>
      <c r="L79" s="13">
        <f>IFERROR(__xludf.DUMMYFUNCTION("""COMPUTED_VALUE"""),45139.0)</f>
        <v>45139</v>
      </c>
    </row>
    <row r="80">
      <c r="A80" s="6" t="str">
        <f>IFERROR(__xludf.DUMMYFUNCTION("""COMPUTED_VALUE"""),"MRN")</f>
        <v>MRN</v>
      </c>
      <c r="B80" s="6" t="str">
        <f>IFERROR(__xludf.DUMMYFUNCTION("""COMPUTED_VALUE"""),"ENG")</f>
        <v>ENG</v>
      </c>
      <c r="C80" s="6" t="str">
        <f>IFERROR(__xludf.DUMMYFUNCTION("""COMPUTED_VALUE"""),"O-12734-00")</f>
        <v>O-12734-00</v>
      </c>
      <c r="D80" s="6" t="str">
        <f>IFERROR(__xludf.DUMMYFUNCTION("""COMPUTED_VALUE"""),"Tubing Polyurethane TU0805 Cle")</f>
        <v>Tubing Polyurethane TU0805 Cle</v>
      </c>
      <c r="E80" s="6">
        <f>IFERROR(__xludf.DUMMYFUNCTION("""COMPUTED_VALUE"""),1.0)</f>
        <v>1</v>
      </c>
      <c r="F80" s="6">
        <f>IFERROR(__xludf.DUMMYFUNCTION("""COMPUTED_VALUE"""),1.0)</f>
        <v>1</v>
      </c>
      <c r="G80" s="6">
        <f>IFERROR(__xludf.DUMMYFUNCTION("""COMPUTED_VALUE"""),0.0)</f>
        <v>0</v>
      </c>
      <c r="H80" s="6" t="str">
        <f>IFERROR(__xludf.DUMMYFUNCTION("""COMPUTED_VALUE"""),"pcs")</f>
        <v>pcs</v>
      </c>
      <c r="I80" s="6" t="str">
        <f>IFERROR(__xludf.DUMMYFUNCTION("""COMPUTED_VALUE"""),"MFH")</f>
        <v>MFH</v>
      </c>
      <c r="J80" s="6" t="str">
        <f>IFERROR(__xludf.DUMMYFUNCTION("""COMPUTED_VALUE"""),"Projek")</f>
        <v>Projek</v>
      </c>
      <c r="K80" s="6" t="str">
        <f>IFERROR(__xludf.DUMMYFUNCTION("""COMPUTED_VALUE"""),"SPR/08/23/012")</f>
        <v>SPR/08/23/012</v>
      </c>
      <c r="L80" s="13">
        <f>IFERROR(__xludf.DUMMYFUNCTION("""COMPUTED_VALUE"""),45139.0)</f>
        <v>45139</v>
      </c>
    </row>
    <row r="81">
      <c r="A81" s="6" t="str">
        <f>IFERROR(__xludf.DUMMYFUNCTION("""COMPUTED_VALUE"""),"MRN")</f>
        <v>MRN</v>
      </c>
      <c r="B81" s="6" t="str">
        <f>IFERROR(__xludf.DUMMYFUNCTION("""COMPUTED_VALUE"""),"ENG")</f>
        <v>ENG</v>
      </c>
      <c r="C81" s="6" t="str">
        <f>IFERROR(__xludf.DUMMYFUNCTION("""COMPUTED_VALUE"""),"P-51559-00")</f>
        <v>P-51559-00</v>
      </c>
      <c r="D81" s="6" t="str">
        <f>IFERROR(__xludf.DUMMYFUNCTION("""COMPUTED_VALUE"""),"Lampu T5 14watt Putih; Phillips; ;")</f>
        <v>Lampu T5 14watt Putih; Phillips; ;</v>
      </c>
      <c r="E81" s="6">
        <f>IFERROR(__xludf.DUMMYFUNCTION("""COMPUTED_VALUE"""),5.0)</f>
        <v>5</v>
      </c>
      <c r="F81" s="6">
        <f>IFERROR(__xludf.DUMMYFUNCTION("""COMPUTED_VALUE"""),5.0)</f>
        <v>5</v>
      </c>
      <c r="G81" s="6">
        <f>IFERROR(__xludf.DUMMYFUNCTION("""COMPUTED_VALUE"""),0.0)</f>
        <v>0</v>
      </c>
      <c r="H81" s="6" t="str">
        <f>IFERROR(__xludf.DUMMYFUNCTION("""COMPUTED_VALUE"""),"pcs")</f>
        <v>pcs</v>
      </c>
      <c r="I81" s="6" t="str">
        <f>IFERROR(__xludf.DUMMYFUNCTION("""COMPUTED_VALUE"""),"MFH")</f>
        <v>MFH</v>
      </c>
      <c r="J81" s="6" t="str">
        <f>IFERROR(__xludf.DUMMYFUNCTION("""COMPUTED_VALUE"""),"Building")</f>
        <v>Building</v>
      </c>
      <c r="K81" s="6" t="str">
        <f>IFERROR(__xludf.DUMMYFUNCTION("""COMPUTED_VALUE"""),"SPR/08/23/012")</f>
        <v>SPR/08/23/012</v>
      </c>
      <c r="L81" s="13">
        <f>IFERROR(__xludf.DUMMYFUNCTION("""COMPUTED_VALUE"""),45139.0)</f>
        <v>45139</v>
      </c>
    </row>
    <row r="82">
      <c r="A82" s="6" t="str">
        <f>IFERROR(__xludf.DUMMYFUNCTION("""COMPUTED_VALUE"""),"RIA")</f>
        <v>RIA</v>
      </c>
      <c r="B82" s="6" t="str">
        <f>IFERROR(__xludf.DUMMYFUNCTION("""COMPUTED_VALUE"""),"ENG")</f>
        <v>ENG</v>
      </c>
      <c r="C82" s="6" t="str">
        <f>IFERROR(__xludf.DUMMYFUNCTION("""COMPUTED_VALUE"""),"T-12078-00")</f>
        <v>T-12078-00</v>
      </c>
      <c r="D82" s="6" t="str">
        <f>IFERROR(__xludf.DUMMYFUNCTION("""COMPUTED_VALUE"""),"Belden RJ45 Connector CAT6/Kon")</f>
        <v>Belden RJ45 Connector CAT6/Kon</v>
      </c>
      <c r="E82" s="6">
        <f>IFERROR(__xludf.DUMMYFUNCTION("""COMPUTED_VALUE"""),10.0)</f>
        <v>10</v>
      </c>
      <c r="F82" s="6">
        <f>IFERROR(__xludf.DUMMYFUNCTION("""COMPUTED_VALUE"""),10.0)</f>
        <v>10</v>
      </c>
      <c r="G82" s="6">
        <f>IFERROR(__xludf.DUMMYFUNCTION("""COMPUTED_VALUE"""),0.0)</f>
        <v>0</v>
      </c>
      <c r="H82" s="6" t="str">
        <f>IFERROR(__xludf.DUMMYFUNCTION("""COMPUTED_VALUE"""),"pcs")</f>
        <v>pcs</v>
      </c>
      <c r="I82" s="6" t="str">
        <f>IFERROR(__xludf.DUMMYFUNCTION("""COMPUTED_VALUE"""),"MFH")</f>
        <v>MFH</v>
      </c>
      <c r="J82" s="6" t="str">
        <f>IFERROR(__xludf.DUMMYFUNCTION("""COMPUTED_VALUE"""),"Building")</f>
        <v>Building</v>
      </c>
      <c r="K82" s="6" t="str">
        <f>IFERROR(__xludf.DUMMYFUNCTION("""COMPUTED_VALUE"""),"SPR/08/23/013")</f>
        <v>SPR/08/23/013</v>
      </c>
      <c r="L82" s="13">
        <f>IFERROR(__xludf.DUMMYFUNCTION("""COMPUTED_VALUE"""),45139.0)</f>
        <v>45139</v>
      </c>
    </row>
    <row r="83">
      <c r="A83" s="6" t="str">
        <f>IFERROR(__xludf.DUMMYFUNCTION("""COMPUTED_VALUE"""),"RIA")</f>
        <v>RIA</v>
      </c>
      <c r="B83" s="6" t="str">
        <f>IFERROR(__xludf.DUMMYFUNCTION("""COMPUTED_VALUE"""),"ENG")</f>
        <v>ENG</v>
      </c>
      <c r="C83" s="6" t="str">
        <f>IFERROR(__xludf.DUMMYFUNCTION("""COMPUTED_VALUE"""),"P-51027-00")</f>
        <v>P-51027-00</v>
      </c>
      <c r="D8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83" s="6">
        <f>IFERROR(__xludf.DUMMYFUNCTION("""COMPUTED_VALUE"""),1.0)</f>
        <v>1</v>
      </c>
      <c r="F83" s="6">
        <f>IFERROR(__xludf.DUMMYFUNCTION("""COMPUTED_VALUE"""),1.0)</f>
        <v>1</v>
      </c>
      <c r="G83" s="6">
        <f>IFERROR(__xludf.DUMMYFUNCTION("""COMPUTED_VALUE"""),0.0)</f>
        <v>0</v>
      </c>
      <c r="H83" s="6" t="str">
        <f>IFERROR(__xludf.DUMMYFUNCTION("""COMPUTED_VALUE"""),"pcs")</f>
        <v>pcs</v>
      </c>
      <c r="I83" s="6" t="str">
        <f>IFERROR(__xludf.DUMMYFUNCTION("""COMPUTED_VALUE"""),"MFH")</f>
        <v>MFH</v>
      </c>
      <c r="J83" s="6" t="str">
        <f>IFERROR(__xludf.DUMMYFUNCTION("""COMPUTED_VALUE"""),"Building")</f>
        <v>Building</v>
      </c>
      <c r="K83" s="6" t="str">
        <f>IFERROR(__xludf.DUMMYFUNCTION("""COMPUTED_VALUE"""),"SPR/08/23/013")</f>
        <v>SPR/08/23/013</v>
      </c>
      <c r="L83" s="13">
        <f>IFERROR(__xludf.DUMMYFUNCTION("""COMPUTED_VALUE"""),45139.0)</f>
        <v>45139</v>
      </c>
    </row>
    <row r="84">
      <c r="A84" s="6" t="str">
        <f>IFERROR(__xludf.DUMMYFUNCTION("""COMPUTED_VALUE"""),"RIA")</f>
        <v>RIA</v>
      </c>
      <c r="B84" s="6" t="str">
        <f>IFERROR(__xludf.DUMMYFUNCTION("""COMPUTED_VALUE"""),"ENG")</f>
        <v>ENG</v>
      </c>
      <c r="C84" s="6" t="str">
        <f>IFERROR(__xludf.DUMMYFUNCTION("""COMPUTED_VALUE"""),"O-54014-00")</f>
        <v>O-54014-00</v>
      </c>
      <c r="D84" s="6" t="str">
        <f>IFERROR(__xludf.DUMMYFUNCTION("""COMPUTED_VALUE"""),"STEKER 1 PHASE, BROCO")</f>
        <v>STEKER 1 PHASE, BROCO</v>
      </c>
      <c r="E84" s="6">
        <f>IFERROR(__xludf.DUMMYFUNCTION("""COMPUTED_VALUE"""),1.0)</f>
        <v>1</v>
      </c>
      <c r="F84" s="6">
        <f>IFERROR(__xludf.DUMMYFUNCTION("""COMPUTED_VALUE"""),1.0)</f>
        <v>1</v>
      </c>
      <c r="G84" s="6">
        <f>IFERROR(__xludf.DUMMYFUNCTION("""COMPUTED_VALUE"""),0.0)</f>
        <v>0</v>
      </c>
      <c r="H84" s="6" t="str">
        <f>IFERROR(__xludf.DUMMYFUNCTION("""COMPUTED_VALUE"""),"pcs")</f>
        <v>pcs</v>
      </c>
      <c r="I84" s="6" t="str">
        <f>IFERROR(__xludf.DUMMYFUNCTION("""COMPUTED_VALUE"""),"MFH")</f>
        <v>MFH</v>
      </c>
      <c r="J84" s="6" t="str">
        <f>IFERROR(__xludf.DUMMYFUNCTION("""COMPUTED_VALUE"""),"Building")</f>
        <v>Building</v>
      </c>
      <c r="K84" s="6" t="str">
        <f>IFERROR(__xludf.DUMMYFUNCTION("""COMPUTED_VALUE"""),"SPR/08/23/014")</f>
        <v>SPR/08/23/014</v>
      </c>
      <c r="L84" s="13">
        <f>IFERROR(__xludf.DUMMYFUNCTION("""COMPUTED_VALUE"""),45139.0)</f>
        <v>45139</v>
      </c>
    </row>
    <row r="85">
      <c r="A85" s="6" t="str">
        <f>IFERROR(__xludf.DUMMYFUNCTION("""COMPUTED_VALUE"""),"RIA")</f>
        <v>RIA</v>
      </c>
      <c r="B85" s="6" t="str">
        <f>IFERROR(__xludf.DUMMYFUNCTION("""COMPUTED_VALUE"""),"ENG")</f>
        <v>ENG</v>
      </c>
      <c r="C85" s="6" t="str">
        <f>IFERROR(__xludf.DUMMYFUNCTION("""COMPUTED_VALUE"""),"O-54015-00")</f>
        <v>O-54015-00</v>
      </c>
      <c r="D85" s="6" t="str">
        <f>IFERROR(__xludf.DUMMYFUNCTION("""COMPUTED_VALUE"""),"STOP KONTAK LUBANG 4, BROCO")</f>
        <v>STOP KONTAK LUBANG 4, BROCO</v>
      </c>
      <c r="E85" s="6">
        <f>IFERROR(__xludf.DUMMYFUNCTION("""COMPUTED_VALUE"""),1.0)</f>
        <v>1</v>
      </c>
      <c r="F85" s="6">
        <f>IFERROR(__xludf.DUMMYFUNCTION("""COMPUTED_VALUE"""),1.0)</f>
        <v>1</v>
      </c>
      <c r="G85" s="6">
        <f>IFERROR(__xludf.DUMMYFUNCTION("""COMPUTED_VALUE"""),0.0)</f>
        <v>0</v>
      </c>
      <c r="H85" s="6" t="str">
        <f>IFERROR(__xludf.DUMMYFUNCTION("""COMPUTED_VALUE"""),"pcs")</f>
        <v>pcs</v>
      </c>
      <c r="I85" s="6" t="str">
        <f>IFERROR(__xludf.DUMMYFUNCTION("""COMPUTED_VALUE"""),"MFH")</f>
        <v>MFH</v>
      </c>
      <c r="J85" s="6" t="str">
        <f>IFERROR(__xludf.DUMMYFUNCTION("""COMPUTED_VALUE"""),"Building")</f>
        <v>Building</v>
      </c>
      <c r="K85" s="6" t="str">
        <f>IFERROR(__xludf.DUMMYFUNCTION("""COMPUTED_VALUE"""),"SPR/08/23/014")</f>
        <v>SPR/08/23/014</v>
      </c>
      <c r="L85" s="13">
        <f>IFERROR(__xludf.DUMMYFUNCTION("""COMPUTED_VALUE"""),45139.0)</f>
        <v>45139</v>
      </c>
    </row>
    <row r="86">
      <c r="A86" s="6" t="str">
        <f>IFERROR(__xludf.DUMMYFUNCTION("""COMPUTED_VALUE"""),"INN")</f>
        <v>INN</v>
      </c>
      <c r="B86" s="6" t="str">
        <f>IFERROR(__xludf.DUMMYFUNCTION("""COMPUTED_VALUE"""),"ENG")</f>
        <v>ENG</v>
      </c>
      <c r="C86" s="6" t="str">
        <f>IFERROR(__xludf.DUMMYFUNCTION("""COMPUTED_VALUE"""),"O-16030-00")</f>
        <v>O-16030-00</v>
      </c>
      <c r="D86" s="6" t="str">
        <f>IFERROR(__xludf.DUMMYFUNCTION("""COMPUTED_VALUE"""),"001292; Item Type : Dry box; 9")</f>
        <v>001292; Item Type : Dry box; 9</v>
      </c>
      <c r="E86" s="6">
        <f>IFERROR(__xludf.DUMMYFUNCTION("""COMPUTED_VALUE"""),2.0)</f>
        <v>2</v>
      </c>
      <c r="F86" s="6">
        <f>IFERROR(__xludf.DUMMYFUNCTION("""COMPUTED_VALUE"""),2.0)</f>
        <v>2</v>
      </c>
      <c r="G86" s="6">
        <f>IFERROR(__xludf.DUMMYFUNCTION("""COMPUTED_VALUE"""),0.0)</f>
        <v>0</v>
      </c>
      <c r="H86" s="6" t="str">
        <f>IFERROR(__xludf.DUMMYFUNCTION("""COMPUTED_VALUE"""),"pcs")</f>
        <v>pcs</v>
      </c>
      <c r="I86" s="6" t="str">
        <f>IFERROR(__xludf.DUMMYFUNCTION("""COMPUTED_VALUE"""),"MFH")</f>
        <v>MFH</v>
      </c>
      <c r="J86" s="6" t="str">
        <f>IFERROR(__xludf.DUMMYFUNCTION("""COMPUTED_VALUE"""),"Mixing")</f>
        <v>Mixing</v>
      </c>
      <c r="K86" s="6" t="str">
        <f>IFERROR(__xludf.DUMMYFUNCTION("""COMPUTED_VALUE"""),"SPR/08/23/015")</f>
        <v>SPR/08/23/015</v>
      </c>
      <c r="L86" s="13">
        <f>IFERROR(__xludf.DUMMYFUNCTION("""COMPUTED_VALUE"""),45139.0)</f>
        <v>45139</v>
      </c>
    </row>
    <row r="87">
      <c r="A87" s="6" t="str">
        <f>IFERROR(__xludf.DUMMYFUNCTION("""COMPUTED_VALUE"""),"INN")</f>
        <v>INN</v>
      </c>
      <c r="B87" s="6" t="str">
        <f>IFERROR(__xludf.DUMMYFUNCTION("""COMPUTED_VALUE"""),"ENG")</f>
        <v>ENG</v>
      </c>
      <c r="C87" s="6" t="str">
        <f>IFERROR(__xludf.DUMMYFUNCTION("""COMPUTED_VALUE"""),"Q-10249-00")</f>
        <v>Q-10249-00</v>
      </c>
      <c r="D87" s="6" t="str">
        <f>IFERROR(__xludf.DUMMYFUNCTION("""COMPUTED_VALUE"""),"Lem Power Glue; ; ;")</f>
        <v>Lem Power Glue; ; ;</v>
      </c>
      <c r="E87" s="6">
        <f>IFERROR(__xludf.DUMMYFUNCTION("""COMPUTED_VALUE"""),2.0)</f>
        <v>2</v>
      </c>
      <c r="F87" s="6">
        <f>IFERROR(__xludf.DUMMYFUNCTION("""COMPUTED_VALUE"""),2.0)</f>
        <v>2</v>
      </c>
      <c r="G87" s="6">
        <f>IFERROR(__xludf.DUMMYFUNCTION("""COMPUTED_VALUE"""),0.0)</f>
        <v>0</v>
      </c>
      <c r="H87" s="6" t="str">
        <f>IFERROR(__xludf.DUMMYFUNCTION("""COMPUTED_VALUE"""),"pcs")</f>
        <v>pcs</v>
      </c>
      <c r="I87" s="6" t="str">
        <f>IFERROR(__xludf.DUMMYFUNCTION("""COMPUTED_VALUE"""),"MFH")</f>
        <v>MFH</v>
      </c>
      <c r="J87" s="6" t="str">
        <f>IFERROR(__xludf.DUMMYFUNCTION("""COMPUTED_VALUE"""),"Dispensing")</f>
        <v>Dispensing</v>
      </c>
      <c r="K87" s="6" t="str">
        <f>IFERROR(__xludf.DUMMYFUNCTION("""COMPUTED_VALUE"""),"SPR/08/23/015")</f>
        <v>SPR/08/23/015</v>
      </c>
      <c r="L87" s="13">
        <f>IFERROR(__xludf.DUMMYFUNCTION("""COMPUTED_VALUE"""),45139.0)</f>
        <v>45139</v>
      </c>
    </row>
    <row r="88">
      <c r="A88" s="6" t="str">
        <f>IFERROR(__xludf.DUMMYFUNCTION("""COMPUTED_VALUE"""),"INN")</f>
        <v>INN</v>
      </c>
      <c r="B88" s="6" t="str">
        <f>IFERROR(__xludf.DUMMYFUNCTION("""COMPUTED_VALUE"""),"ENG")</f>
        <v>ENG</v>
      </c>
      <c r="C88" s="6" t="str">
        <f>IFERROR(__xludf.DUMMYFUNCTION("""COMPUTED_VALUE"""),"Q-10153-00")</f>
        <v>Q-10153-00</v>
      </c>
      <c r="D88" s="6" t="str">
        <f>IFERROR(__xludf.DUMMYFUNCTION("""COMPUTED_VALUE"""),"Roller cat 110mm")</f>
        <v>Roller cat 110mm</v>
      </c>
      <c r="E88" s="6">
        <f>IFERROR(__xludf.DUMMYFUNCTION("""COMPUTED_VALUE"""),1.0)</f>
        <v>1</v>
      </c>
      <c r="F88" s="6">
        <f>IFERROR(__xludf.DUMMYFUNCTION("""COMPUTED_VALUE"""),1.0)</f>
        <v>1</v>
      </c>
      <c r="G88" s="6">
        <f>IFERROR(__xludf.DUMMYFUNCTION("""COMPUTED_VALUE"""),0.0)</f>
        <v>0</v>
      </c>
      <c r="H88" s="6" t="str">
        <f>IFERROR(__xludf.DUMMYFUNCTION("""COMPUTED_VALUE"""),"pcs")</f>
        <v>pcs</v>
      </c>
      <c r="I88" s="6" t="str">
        <f>IFERROR(__xludf.DUMMYFUNCTION("""COMPUTED_VALUE"""),"MFH")</f>
        <v>MFH</v>
      </c>
      <c r="J88" s="6" t="str">
        <f>IFERROR(__xludf.DUMMYFUNCTION("""COMPUTED_VALUE"""),"Building")</f>
        <v>Building</v>
      </c>
      <c r="K88" s="6" t="str">
        <f>IFERROR(__xludf.DUMMYFUNCTION("""COMPUTED_VALUE"""),"SPR/08/23/015")</f>
        <v>SPR/08/23/015</v>
      </c>
      <c r="L88" s="13">
        <f>IFERROR(__xludf.DUMMYFUNCTION("""COMPUTED_VALUE"""),45139.0)</f>
        <v>45139</v>
      </c>
    </row>
    <row r="89">
      <c r="A89" s="6" t="str">
        <f>IFERROR(__xludf.DUMMYFUNCTION("""COMPUTED_VALUE"""),"EIL")</f>
        <v>EIL</v>
      </c>
      <c r="B89" s="6" t="str">
        <f>IFERROR(__xludf.DUMMYFUNCTION("""COMPUTED_VALUE"""),"ENG")</f>
        <v>ENG</v>
      </c>
      <c r="C89" s="6" t="str">
        <f>IFERROR(__xludf.DUMMYFUNCTION("""COMPUTED_VALUE"""),"O-12735-00")</f>
        <v>O-12735-00</v>
      </c>
      <c r="D89" s="6" t="str">
        <f>IFERROR(__xludf.DUMMYFUNCTION("""COMPUTED_VALUE"""),"Tubing Polyurethane TU0604 Cle")</f>
        <v>Tubing Polyurethane TU0604 Cle</v>
      </c>
      <c r="E89" s="6">
        <f>IFERROR(__xludf.DUMMYFUNCTION("""COMPUTED_VALUE"""),2.0)</f>
        <v>2</v>
      </c>
      <c r="F89" s="6">
        <f>IFERROR(__xludf.DUMMYFUNCTION("""COMPUTED_VALUE"""),2.0)</f>
        <v>2</v>
      </c>
      <c r="G89" s="6">
        <f>IFERROR(__xludf.DUMMYFUNCTION("""COMPUTED_VALUE"""),0.0)</f>
        <v>0</v>
      </c>
      <c r="H89" s="6" t="str">
        <f>IFERROR(__xludf.DUMMYFUNCTION("""COMPUTED_VALUE"""),"Meter")</f>
        <v>Meter</v>
      </c>
      <c r="I89" s="6" t="str">
        <f>IFERROR(__xludf.DUMMYFUNCTION("""COMPUTED_VALUE"""),"MFH")</f>
        <v>MFH</v>
      </c>
      <c r="J89" s="6" t="str">
        <f>IFERROR(__xludf.DUMMYFUNCTION("""COMPUTED_VALUE"""),"WWTP")</f>
        <v>WWTP</v>
      </c>
      <c r="K89" s="6" t="str">
        <f>IFERROR(__xludf.DUMMYFUNCTION("""COMPUTED_VALUE"""),"SPR/08/23/016")</f>
        <v>SPR/08/23/016</v>
      </c>
      <c r="L89" s="13">
        <f>IFERROR(__xludf.DUMMYFUNCTION("""COMPUTED_VALUE"""),45139.0)</f>
        <v>45139</v>
      </c>
    </row>
    <row r="90">
      <c r="A90" s="6" t="str">
        <f>IFERROR(__xludf.DUMMYFUNCTION("""COMPUTED_VALUE"""),"EIL")</f>
        <v>EIL</v>
      </c>
      <c r="B90" s="6" t="str">
        <f>IFERROR(__xludf.DUMMYFUNCTION("""COMPUTED_VALUE"""),"ENG")</f>
        <v>ENG</v>
      </c>
      <c r="C90" s="6" t="str">
        <f>IFERROR(__xludf.DUMMYFUNCTION("""COMPUTED_VALUE"""),"Q-10153-00")</f>
        <v>Q-10153-00</v>
      </c>
      <c r="D90" s="6" t="str">
        <f>IFERROR(__xludf.DUMMYFUNCTION("""COMPUTED_VALUE"""),"Roller cat 110mm")</f>
        <v>Roller cat 110mm</v>
      </c>
      <c r="E90" s="6">
        <f>IFERROR(__xludf.DUMMYFUNCTION("""COMPUTED_VALUE"""),1.0)</f>
        <v>1</v>
      </c>
      <c r="F90" s="6">
        <f>IFERROR(__xludf.DUMMYFUNCTION("""COMPUTED_VALUE"""),1.0)</f>
        <v>1</v>
      </c>
      <c r="G90" s="6">
        <f>IFERROR(__xludf.DUMMYFUNCTION("""COMPUTED_VALUE"""),0.0)</f>
        <v>0</v>
      </c>
      <c r="H90" s="6" t="str">
        <f>IFERROR(__xludf.DUMMYFUNCTION("""COMPUTED_VALUE"""),"pcs")</f>
        <v>pcs</v>
      </c>
      <c r="I90" s="6" t="str">
        <f>IFERROR(__xludf.DUMMYFUNCTION("""COMPUTED_VALUE"""),"MFH")</f>
        <v>MFH</v>
      </c>
      <c r="J90" s="6" t="str">
        <f>IFERROR(__xludf.DUMMYFUNCTION("""COMPUTED_VALUE"""),"Building")</f>
        <v>Building</v>
      </c>
      <c r="K90" s="6" t="str">
        <f>IFERROR(__xludf.DUMMYFUNCTION("""COMPUTED_VALUE"""),"SPR/08/23/016")</f>
        <v>SPR/08/23/016</v>
      </c>
      <c r="L90" s="13">
        <f>IFERROR(__xludf.DUMMYFUNCTION("""COMPUTED_VALUE"""),45139.0)</f>
        <v>45139</v>
      </c>
    </row>
    <row r="91">
      <c r="A91" s="6" t="str">
        <f>IFERROR(__xludf.DUMMYFUNCTION("""COMPUTED_VALUE"""),"EIL")</f>
        <v>EIL</v>
      </c>
      <c r="B91" s="6" t="str">
        <f>IFERROR(__xludf.DUMMYFUNCTION("""COMPUTED_VALUE"""),"ENG")</f>
        <v>ENG</v>
      </c>
      <c r="C91" s="6" t="str">
        <f>IFERROR(__xludf.DUMMYFUNCTION("""COMPUTED_VALUE"""),"Q-10153-00")</f>
        <v>Q-10153-00</v>
      </c>
      <c r="D91" s="6" t="str">
        <f>IFERROR(__xludf.DUMMYFUNCTION("""COMPUTED_VALUE"""),"Roller cat 110mm")</f>
        <v>Roller cat 110mm</v>
      </c>
      <c r="E91" s="6">
        <f>IFERROR(__xludf.DUMMYFUNCTION("""COMPUTED_VALUE"""),1.0)</f>
        <v>1</v>
      </c>
      <c r="F91" s="6">
        <f>IFERROR(__xludf.DUMMYFUNCTION("""COMPUTED_VALUE"""),1.0)</f>
        <v>1</v>
      </c>
      <c r="G91" s="6">
        <f>IFERROR(__xludf.DUMMYFUNCTION("""COMPUTED_VALUE"""),0.0)</f>
        <v>0</v>
      </c>
      <c r="H91" s="6" t="str">
        <f>IFERROR(__xludf.DUMMYFUNCTION("""COMPUTED_VALUE"""),"pcs")</f>
        <v>pcs</v>
      </c>
      <c r="I91" s="6" t="str">
        <f>IFERROR(__xludf.DUMMYFUNCTION("""COMPUTED_VALUE"""),"MFH")</f>
        <v>MFH</v>
      </c>
      <c r="J91" s="6" t="str">
        <f>IFERROR(__xludf.DUMMYFUNCTION("""COMPUTED_VALUE"""),"Building")</f>
        <v>Building</v>
      </c>
      <c r="K91" s="6" t="str">
        <f>IFERROR(__xludf.DUMMYFUNCTION("""COMPUTED_VALUE"""),"SPR/08/23/017")</f>
        <v>SPR/08/23/017</v>
      </c>
      <c r="L91" s="13">
        <f>IFERROR(__xludf.DUMMYFUNCTION("""COMPUTED_VALUE"""),45139.0)</f>
        <v>45139</v>
      </c>
    </row>
    <row r="92">
      <c r="A92" s="6" t="str">
        <f>IFERROR(__xludf.DUMMYFUNCTION("""COMPUTED_VALUE"""),"MRN")</f>
        <v>MRN</v>
      </c>
      <c r="B92" s="6" t="str">
        <f>IFERROR(__xludf.DUMMYFUNCTION("""COMPUTED_VALUE"""),"ENG")</f>
        <v>ENG</v>
      </c>
      <c r="C92" s="6" t="str">
        <f>IFERROR(__xludf.DUMMYFUNCTION("""COMPUTED_VALUE"""),"P-53102-00")</f>
        <v>P-53102-00</v>
      </c>
      <c r="D92" s="6" t="str">
        <f>IFERROR(__xludf.DUMMYFUNCTION("""COMPUTED_VALUE"""),"Lampu PLC 13watt/E27 Putih; Phillips; ;")</f>
        <v>Lampu PLC 13watt/E27 Putih; Phillips; ;</v>
      </c>
      <c r="E92" s="6">
        <f>IFERROR(__xludf.DUMMYFUNCTION("""COMPUTED_VALUE"""),3.0)</f>
        <v>3</v>
      </c>
      <c r="F92" s="6">
        <f>IFERROR(__xludf.DUMMYFUNCTION("""COMPUTED_VALUE"""),3.0)</f>
        <v>3</v>
      </c>
      <c r="G92" s="6">
        <f>IFERROR(__xludf.DUMMYFUNCTION("""COMPUTED_VALUE"""),0.0)</f>
        <v>0</v>
      </c>
      <c r="H92" s="6" t="str">
        <f>IFERROR(__xludf.DUMMYFUNCTION("""COMPUTED_VALUE"""),"pcs")</f>
        <v>pcs</v>
      </c>
      <c r="I92" s="6" t="str">
        <f>IFERROR(__xludf.DUMMYFUNCTION("""COMPUTED_VALUE"""),"MFH")</f>
        <v>MFH</v>
      </c>
      <c r="J92" s="6" t="str">
        <f>IFERROR(__xludf.DUMMYFUNCTION("""COMPUTED_VALUE"""),"Building")</f>
        <v>Building</v>
      </c>
      <c r="K92" s="6" t="str">
        <f>IFERROR(__xludf.DUMMYFUNCTION("""COMPUTED_VALUE"""),"SPR/08/23/018")</f>
        <v>SPR/08/23/018</v>
      </c>
      <c r="L92" s="13">
        <f>IFERROR(__xludf.DUMMYFUNCTION("""COMPUTED_VALUE"""),45139.0)</f>
        <v>45139</v>
      </c>
    </row>
    <row r="93">
      <c r="A93" s="6" t="str">
        <f>IFERROR(__xludf.DUMMYFUNCTION("""COMPUTED_VALUE"""),"MRN")</f>
        <v>MRN</v>
      </c>
      <c r="B93" s="6" t="str">
        <f>IFERROR(__xludf.DUMMYFUNCTION("""COMPUTED_VALUE"""),"ENG")</f>
        <v>ENG</v>
      </c>
      <c r="C93" s="6" t="str">
        <f>IFERROR(__xludf.DUMMYFUNCTION("""COMPUTED_VALUE"""),"-")</f>
        <v>-</v>
      </c>
      <c r="D93" s="6" t="str">
        <f>IFERROR(__xludf.DUMMYFUNCTION("""COMPUTED_VALUE"""),"Lampu LED 5w")</f>
        <v>Lampu LED 5w</v>
      </c>
      <c r="E93" s="6">
        <f>IFERROR(__xludf.DUMMYFUNCTION("""COMPUTED_VALUE"""),1.0)</f>
        <v>1</v>
      </c>
      <c r="F93" s="6">
        <f>IFERROR(__xludf.DUMMYFUNCTION("""COMPUTED_VALUE"""),1.0)</f>
        <v>1</v>
      </c>
      <c r="G93" s="6">
        <f>IFERROR(__xludf.DUMMYFUNCTION("""COMPUTED_VALUE"""),0.0)</f>
        <v>0</v>
      </c>
      <c r="H93" s="6" t="str">
        <f>IFERROR(__xludf.DUMMYFUNCTION("""COMPUTED_VALUE"""),"pcs")</f>
        <v>pcs</v>
      </c>
      <c r="I93" s="6" t="str">
        <f>IFERROR(__xludf.DUMMYFUNCTION("""COMPUTED_VALUE"""),"MFH")</f>
        <v>MFH</v>
      </c>
      <c r="J93" s="6" t="str">
        <f>IFERROR(__xludf.DUMMYFUNCTION("""COMPUTED_VALUE"""),"Building")</f>
        <v>Building</v>
      </c>
      <c r="K93" s="6" t="str">
        <f>IFERROR(__xludf.DUMMYFUNCTION("""COMPUTED_VALUE"""),"SPR/08/23/018")</f>
        <v>SPR/08/23/018</v>
      </c>
      <c r="L93" s="13">
        <f>IFERROR(__xludf.DUMMYFUNCTION("""COMPUTED_VALUE"""),45139.0)</f>
        <v>45139</v>
      </c>
    </row>
    <row r="94">
      <c r="A94" s="6" t="str">
        <f>IFERROR(__xludf.DUMMYFUNCTION("""COMPUTED_VALUE"""),"MRN")</f>
        <v>MRN</v>
      </c>
      <c r="B94" s="6" t="str">
        <f>IFERROR(__xludf.DUMMYFUNCTION("""COMPUTED_VALUE"""),"ENG")</f>
        <v>ENG</v>
      </c>
      <c r="C94" s="6" t="str">
        <f>IFERROR(__xludf.DUMMYFUNCTION("""COMPUTED_VALUE"""),"Q-60025-00")</f>
        <v>Q-60025-00</v>
      </c>
      <c r="D94" s="6" t="str">
        <f>IFERROR(__xludf.DUMMYFUNCTION("""COMPUTED_VALUE"""),"Kuas Eterna 1")</f>
        <v>Kuas Eterna 1</v>
      </c>
      <c r="E94" s="6">
        <f>IFERROR(__xludf.DUMMYFUNCTION("""COMPUTED_VALUE"""),1.0)</f>
        <v>1</v>
      </c>
      <c r="F94" s="6">
        <f>IFERROR(__xludf.DUMMYFUNCTION("""COMPUTED_VALUE"""),1.0)</f>
        <v>1</v>
      </c>
      <c r="G94" s="6">
        <f>IFERROR(__xludf.DUMMYFUNCTION("""COMPUTED_VALUE"""),0.0)</f>
        <v>0</v>
      </c>
      <c r="H94" s="6" t="str">
        <f>IFERROR(__xludf.DUMMYFUNCTION("""COMPUTED_VALUE"""),"pcs")</f>
        <v>pcs</v>
      </c>
      <c r="I94" s="6" t="str">
        <f>IFERROR(__xludf.DUMMYFUNCTION("""COMPUTED_VALUE"""),"MFH")</f>
        <v>MFH</v>
      </c>
      <c r="J94" s="6" t="str">
        <f>IFERROR(__xludf.DUMMYFUNCTION("""COMPUTED_VALUE"""),"Building")</f>
        <v>Building</v>
      </c>
      <c r="K94" s="6" t="str">
        <f>IFERROR(__xludf.DUMMYFUNCTION("""COMPUTED_VALUE"""),"SPR/08/23/018")</f>
        <v>SPR/08/23/018</v>
      </c>
      <c r="L94" s="13">
        <f>IFERROR(__xludf.DUMMYFUNCTION("""COMPUTED_VALUE"""),45139.0)</f>
        <v>45139</v>
      </c>
    </row>
    <row r="95">
      <c r="A95" s="6" t="str">
        <f>IFERROR(__xludf.DUMMYFUNCTION("""COMPUTED_VALUE"""),"EIL")</f>
        <v>EIL</v>
      </c>
      <c r="B95" s="6" t="str">
        <f>IFERROR(__xludf.DUMMYFUNCTION("""COMPUTED_VALUE"""),"ENG")</f>
        <v>ENG</v>
      </c>
      <c r="C95" s="6" t="str">
        <f>IFERROR(__xludf.DUMMYFUNCTION("""COMPUTED_VALUE"""),"P-51756-00")</f>
        <v>P-51756-00</v>
      </c>
      <c r="D95" s="6" t="str">
        <f>IFERROR(__xludf.DUMMYFUNCTION("""COMPUTED_VALUE"""),"Kabel NYYHY 3x0.75mm")</f>
        <v>Kabel NYYHY 3x0.75mm</v>
      </c>
      <c r="E95" s="6">
        <f>IFERROR(__xludf.DUMMYFUNCTION("""COMPUTED_VALUE"""),5.0)</f>
        <v>5</v>
      </c>
      <c r="F95" s="6">
        <f>IFERROR(__xludf.DUMMYFUNCTION("""COMPUTED_VALUE"""),5.0)</f>
        <v>5</v>
      </c>
      <c r="G95" s="6">
        <f>IFERROR(__xludf.DUMMYFUNCTION("""COMPUTED_VALUE"""),0.0)</f>
        <v>0</v>
      </c>
      <c r="H95" s="6" t="str">
        <f>IFERROR(__xludf.DUMMYFUNCTION("""COMPUTED_VALUE"""),"Meter")</f>
        <v>Meter</v>
      </c>
      <c r="I95" s="6" t="str">
        <f>IFERROR(__xludf.DUMMYFUNCTION("""COMPUTED_VALUE"""),"MFH")</f>
        <v>MFH</v>
      </c>
      <c r="J95" s="6" t="str">
        <f>IFERROR(__xludf.DUMMYFUNCTION("""COMPUTED_VALUE"""),"Building")</f>
        <v>Building</v>
      </c>
      <c r="K95" s="6" t="str">
        <f>IFERROR(__xludf.DUMMYFUNCTION("""COMPUTED_VALUE"""),"SPR/08/23/019")</f>
        <v>SPR/08/23/019</v>
      </c>
      <c r="L95" s="13">
        <f>IFERROR(__xludf.DUMMYFUNCTION("""COMPUTED_VALUE"""),45139.0)</f>
        <v>45139</v>
      </c>
    </row>
    <row r="96">
      <c r="A96" s="6" t="str">
        <f>IFERROR(__xludf.DUMMYFUNCTION("""COMPUTED_VALUE"""),"ROS")</f>
        <v>ROS</v>
      </c>
      <c r="B96" s="6" t="str">
        <f>IFERROR(__xludf.DUMMYFUNCTION("""COMPUTED_VALUE"""),"ENG")</f>
        <v>ENG</v>
      </c>
      <c r="C96" s="6" t="str">
        <f>IFERROR(__xludf.DUMMYFUNCTION("""COMPUTED_VALUE"""),"P-52640-00")</f>
        <v>P-52640-00</v>
      </c>
      <c r="D96" s="6" t="str">
        <f>IFERROR(__xludf.DUMMYFUNCTION("""COMPUTED_VALUE"""),"Bola lampu 220 V 5 Watt for Cartoning Machine; ; ;")</f>
        <v>Bola lampu 220 V 5 Watt for Cartoning Machine; ; ;</v>
      </c>
      <c r="E96" s="6">
        <f>IFERROR(__xludf.DUMMYFUNCTION("""COMPUTED_VALUE"""),1.0)</f>
        <v>1</v>
      </c>
      <c r="F96" s="6">
        <f>IFERROR(__xludf.DUMMYFUNCTION("""COMPUTED_VALUE"""),1.0)</f>
        <v>1</v>
      </c>
      <c r="G96" s="6">
        <f>IFERROR(__xludf.DUMMYFUNCTION("""COMPUTED_VALUE"""),0.0)</f>
        <v>0</v>
      </c>
      <c r="H96" s="6" t="str">
        <f>IFERROR(__xludf.DUMMYFUNCTION("""COMPUTED_VALUE"""),"pcs")</f>
        <v>pcs</v>
      </c>
      <c r="I96" s="6" t="str">
        <f>IFERROR(__xludf.DUMMYFUNCTION("""COMPUTED_VALUE"""),"MFH")</f>
        <v>MFH</v>
      </c>
      <c r="J96" s="6" t="str">
        <f>IFERROR(__xludf.DUMMYFUNCTION("""COMPUTED_VALUE"""),"Cartoning")</f>
        <v>Cartoning</v>
      </c>
      <c r="K96" s="6" t="str">
        <f>IFERROR(__xludf.DUMMYFUNCTION("""COMPUTED_VALUE"""),"SPR/08/23/020")</f>
        <v>SPR/08/23/020</v>
      </c>
      <c r="L96" s="13">
        <f>IFERROR(__xludf.DUMMYFUNCTION("""COMPUTED_VALUE"""),45139.0)</f>
        <v>45139</v>
      </c>
    </row>
    <row r="97">
      <c r="A97" s="6" t="str">
        <f>IFERROR(__xludf.DUMMYFUNCTION("""COMPUTED_VALUE"""),"MRN")</f>
        <v>MRN</v>
      </c>
      <c r="B97" s="6" t="str">
        <f>IFERROR(__xludf.DUMMYFUNCTION("""COMPUTED_VALUE"""),"ENG")</f>
        <v>ENG</v>
      </c>
      <c r="C97" s="6" t="str">
        <f>IFERROR(__xludf.DUMMYFUNCTION("""COMPUTED_VALUE"""),"O-15931-00")</f>
        <v>O-15931-00</v>
      </c>
      <c r="D97" s="6" t="str">
        <f>IFERROR(__xludf.DUMMYFUNCTION("""COMPUTED_VALUE"""),"Double Tape 3M 1"" Merah - P/N : - pc")</f>
        <v>Double Tape 3M 1" Merah - P/N : - pc</v>
      </c>
      <c r="E97" s="6">
        <f>IFERROR(__xludf.DUMMYFUNCTION("""COMPUTED_VALUE"""),1.0)</f>
        <v>1</v>
      </c>
      <c r="F97" s="6">
        <f>IFERROR(__xludf.DUMMYFUNCTION("""COMPUTED_VALUE"""),1.0)</f>
        <v>1</v>
      </c>
      <c r="G97" s="6">
        <f>IFERROR(__xludf.DUMMYFUNCTION("""COMPUTED_VALUE"""),0.0)</f>
        <v>0</v>
      </c>
      <c r="H97" s="6" t="str">
        <f>IFERROR(__xludf.DUMMYFUNCTION("""COMPUTED_VALUE"""),"pcs")</f>
        <v>pcs</v>
      </c>
      <c r="I97" s="6" t="str">
        <f>IFERROR(__xludf.DUMMYFUNCTION("""COMPUTED_VALUE"""),"MFH")</f>
        <v>MFH</v>
      </c>
      <c r="J97" s="6" t="str">
        <f>IFERROR(__xludf.DUMMYFUNCTION("""COMPUTED_VALUE"""),"WWTP")</f>
        <v>WWTP</v>
      </c>
      <c r="K97" s="6" t="str">
        <f>IFERROR(__xludf.DUMMYFUNCTION("""COMPUTED_VALUE"""),"SPR/08/23/021")</f>
        <v>SPR/08/23/021</v>
      </c>
      <c r="L97" s="13">
        <f>IFERROR(__xludf.DUMMYFUNCTION("""COMPUTED_VALUE"""),45139.0)</f>
        <v>45139</v>
      </c>
    </row>
    <row r="98">
      <c r="A98" s="6" t="str">
        <f>IFERROR(__xludf.DUMMYFUNCTION("""COMPUTED_VALUE"""),"EIL")</f>
        <v>EIL</v>
      </c>
      <c r="B98" s="6" t="str">
        <f>IFERROR(__xludf.DUMMYFUNCTION("""COMPUTED_VALUE"""),"ENG")</f>
        <v>ENG</v>
      </c>
      <c r="C98" s="6" t="str">
        <f>IFERROR(__xludf.DUMMYFUNCTION("""COMPUTED_VALUE"""),"Q-10493-00")</f>
        <v>Q-10493-00</v>
      </c>
      <c r="D98" s="6" t="str">
        <f>IFERROR(__xludf.DUMMYFUNCTION("""COMPUTED_VALUE"""),"Tile Grout AM 53")</f>
        <v>Tile Grout AM 53</v>
      </c>
      <c r="E98" s="6">
        <f>IFERROR(__xludf.DUMMYFUNCTION("""COMPUTED_VALUE"""),1.0)</f>
        <v>1</v>
      </c>
      <c r="F98" s="6">
        <f>IFERROR(__xludf.DUMMYFUNCTION("""COMPUTED_VALUE"""),1.0)</f>
        <v>1</v>
      </c>
      <c r="G98" s="6">
        <f>IFERROR(__xludf.DUMMYFUNCTION("""COMPUTED_VALUE"""),0.0)</f>
        <v>0</v>
      </c>
      <c r="H98" s="6" t="str">
        <f>IFERROR(__xludf.DUMMYFUNCTION("""COMPUTED_VALUE"""),"Kg")</f>
        <v>Kg</v>
      </c>
      <c r="I98" s="6" t="str">
        <f>IFERROR(__xludf.DUMMYFUNCTION("""COMPUTED_VALUE"""),"MFH")</f>
        <v>MFH</v>
      </c>
      <c r="J98" s="6" t="str">
        <f>IFERROR(__xludf.DUMMYFUNCTION("""COMPUTED_VALUE"""),"Building")</f>
        <v>Building</v>
      </c>
      <c r="K98" s="6" t="str">
        <f>IFERROR(__xludf.DUMMYFUNCTION("""COMPUTED_VALUE"""),"SPR/08/23/022")</f>
        <v>SPR/08/23/022</v>
      </c>
      <c r="L98" s="13">
        <f>IFERROR(__xludf.DUMMYFUNCTION("""COMPUTED_VALUE"""),45139.0)</f>
        <v>45139</v>
      </c>
    </row>
    <row r="99">
      <c r="A99" s="6" t="str">
        <f>IFERROR(__xludf.DUMMYFUNCTION("""COMPUTED_VALUE"""),"ROS")</f>
        <v>ROS</v>
      </c>
      <c r="B99" s="6" t="str">
        <f>IFERROR(__xludf.DUMMYFUNCTION("""COMPUTED_VALUE"""),"ENG")</f>
        <v>ENG</v>
      </c>
      <c r="C99" s="6" t="str">
        <f>IFERROR(__xludf.DUMMYFUNCTION("""COMPUTED_VALUE"""),"P-51704-00")</f>
        <v>P-51704-00</v>
      </c>
      <c r="D99" s="6" t="str">
        <f>IFERROR(__xludf.DUMMYFUNCTION("""COMPUTED_VALUE"""),"Terminal Krustin 6 Terminal")</f>
        <v>Terminal Krustin 6 Terminal</v>
      </c>
      <c r="E99" s="6">
        <f>IFERROR(__xludf.DUMMYFUNCTION("""COMPUTED_VALUE"""),1.0)</f>
        <v>1</v>
      </c>
      <c r="F99" s="6">
        <f>IFERROR(__xludf.DUMMYFUNCTION("""COMPUTED_VALUE"""),1.0)</f>
        <v>1</v>
      </c>
      <c r="G99" s="6">
        <f>IFERROR(__xludf.DUMMYFUNCTION("""COMPUTED_VALUE"""),0.0)</f>
        <v>0</v>
      </c>
      <c r="H99" s="6" t="str">
        <f>IFERROR(__xludf.DUMMYFUNCTION("""COMPUTED_VALUE"""),"pcs")</f>
        <v>pcs</v>
      </c>
      <c r="I99" s="6" t="str">
        <f>IFERROR(__xludf.DUMMYFUNCTION("""COMPUTED_VALUE"""),"MFH")</f>
        <v>MFH</v>
      </c>
      <c r="J99" s="6" t="str">
        <f>IFERROR(__xludf.DUMMYFUNCTION("""COMPUTED_VALUE"""),"WIHC")</f>
        <v>WIHC</v>
      </c>
      <c r="K99" s="6" t="str">
        <f>IFERROR(__xludf.DUMMYFUNCTION("""COMPUTED_VALUE"""),"SPR/08/23/023")</f>
        <v>SPR/08/23/023</v>
      </c>
      <c r="L99" s="13">
        <f>IFERROR(__xludf.DUMMYFUNCTION("""COMPUTED_VALUE"""),45139.0)</f>
        <v>45139</v>
      </c>
    </row>
    <row r="100">
      <c r="A100" s="6" t="str">
        <f>IFERROR(__xludf.DUMMYFUNCTION("""COMPUTED_VALUE"""),"INN")</f>
        <v>INN</v>
      </c>
      <c r="B100" s="6" t="str">
        <f>IFERROR(__xludf.DUMMYFUNCTION("""COMPUTED_VALUE"""),"ENG")</f>
        <v>ENG</v>
      </c>
      <c r="C100" s="6" t="str">
        <f>IFERROR(__xludf.DUMMYFUNCTION("""COMPUTED_VALUE"""),"O-14616-00")</f>
        <v>O-14616-00</v>
      </c>
      <c r="D100" s="6" t="str">
        <f>IFERROR(__xludf.DUMMYFUNCTION("""COMPUTED_VALUE"""),"Black arm system for Rotating")</f>
        <v>Black arm system for Rotating</v>
      </c>
      <c r="E100" s="6">
        <f>IFERROR(__xludf.DUMMYFUNCTION("""COMPUTED_VALUE"""),1.0)</f>
        <v>1</v>
      </c>
      <c r="F100" s="6">
        <f>IFERROR(__xludf.DUMMYFUNCTION("""COMPUTED_VALUE"""),1.0)</f>
        <v>1</v>
      </c>
      <c r="G100" s="6">
        <f>IFERROR(__xludf.DUMMYFUNCTION("""COMPUTED_VALUE"""),0.0)</f>
        <v>0</v>
      </c>
      <c r="H100" s="6" t="str">
        <f>IFERROR(__xludf.DUMMYFUNCTION("""COMPUTED_VALUE"""),"pcs")</f>
        <v>pcs</v>
      </c>
      <c r="I100" s="6" t="str">
        <f>IFERROR(__xludf.DUMMYFUNCTION("""COMPUTED_VALUE"""),"MFH")</f>
        <v>MFH</v>
      </c>
      <c r="J100" s="6" t="str">
        <f>IFERROR(__xludf.DUMMYFUNCTION("""COMPUTED_VALUE"""),"WASHING")</f>
        <v>WASHING</v>
      </c>
      <c r="K100" s="6" t="str">
        <f>IFERROR(__xludf.DUMMYFUNCTION("""COMPUTED_VALUE"""),"SPR/08/23/024")</f>
        <v>SPR/08/23/024</v>
      </c>
      <c r="L100" s="13">
        <f>IFERROR(__xludf.DUMMYFUNCTION("""COMPUTED_VALUE"""),45139.0)</f>
        <v>45139</v>
      </c>
    </row>
    <row r="101">
      <c r="A101" s="6" t="str">
        <f>IFERROR(__xludf.DUMMYFUNCTION("""COMPUTED_VALUE"""),"INN")</f>
        <v>INN</v>
      </c>
      <c r="B101" s="6" t="str">
        <f>IFERROR(__xludf.DUMMYFUNCTION("""COMPUTED_VALUE"""),"ENG")</f>
        <v>ENG</v>
      </c>
      <c r="C101" s="6" t="str">
        <f>IFERROR(__xludf.DUMMYFUNCTION("""COMPUTED_VALUE"""),"T-20215-00")</f>
        <v>T-20215-00</v>
      </c>
      <c r="D101" s="6" t="str">
        <f>IFERROR(__xludf.DUMMYFUNCTION("""COMPUTED_VALUE"""),"ASSY PCB DEGASSER QSPI MULTI-P")</f>
        <v>ASSY PCB DEGASSER QSPI MULTI-P</v>
      </c>
      <c r="E101" s="6">
        <f>IFERROR(__xludf.DUMMYFUNCTION("""COMPUTED_VALUE"""),1.0)</f>
        <v>1</v>
      </c>
      <c r="F101" s="6">
        <f>IFERROR(__xludf.DUMMYFUNCTION("""COMPUTED_VALUE"""),1.0)</f>
        <v>1</v>
      </c>
      <c r="G101" s="6">
        <f>IFERROR(__xludf.DUMMYFUNCTION("""COMPUTED_VALUE"""),0.0)</f>
        <v>0</v>
      </c>
      <c r="H101" s="6" t="str">
        <f>IFERROR(__xludf.DUMMYFUNCTION("""COMPUTED_VALUE"""),"pcs")</f>
        <v>pcs</v>
      </c>
      <c r="I101" s="6" t="str">
        <f>IFERROR(__xludf.DUMMYFUNCTION("""COMPUTED_VALUE"""),"MFH")</f>
        <v>MFH</v>
      </c>
      <c r="J101" s="6" t="str">
        <f>IFERROR(__xludf.DUMMYFUNCTION("""COMPUTED_VALUE"""),"HPLC")</f>
        <v>HPLC</v>
      </c>
      <c r="K101" s="6" t="str">
        <f>IFERROR(__xludf.DUMMYFUNCTION("""COMPUTED_VALUE"""),"SPR/08/23/024")</f>
        <v>SPR/08/23/024</v>
      </c>
      <c r="L101" s="13">
        <f>IFERROR(__xludf.DUMMYFUNCTION("""COMPUTED_VALUE"""),45139.0)</f>
        <v>45139</v>
      </c>
    </row>
    <row r="102">
      <c r="A102" s="6" t="str">
        <f>IFERROR(__xludf.DUMMYFUNCTION("""COMPUTED_VALUE"""),"INN")</f>
        <v>INN</v>
      </c>
      <c r="B102" s="6" t="str">
        <f>IFERROR(__xludf.DUMMYFUNCTION("""COMPUTED_VALUE"""),"ENG")</f>
        <v>ENG</v>
      </c>
      <c r="C102" s="6" t="str">
        <f>IFERROR(__xludf.DUMMYFUNCTION("""COMPUTED_VALUE"""),"P-53210-00")</f>
        <v>P-53210-00</v>
      </c>
      <c r="D102" s="6" t="str">
        <f>IFERROR(__xludf.DUMMYFUNCTION("""COMPUTED_VALUE"""),"CAPACITOR 5 uF, 220 V, 2 kutub")</f>
        <v>CAPACITOR 5 uF, 220 V, 2 kutub</v>
      </c>
      <c r="E102" s="6">
        <f>IFERROR(__xludf.DUMMYFUNCTION("""COMPUTED_VALUE"""),1.0)</f>
        <v>1</v>
      </c>
      <c r="F102" s="6">
        <f>IFERROR(__xludf.DUMMYFUNCTION("""COMPUTED_VALUE"""),1.0)</f>
        <v>1</v>
      </c>
      <c r="G102" s="6">
        <f>IFERROR(__xludf.DUMMYFUNCTION("""COMPUTED_VALUE"""),0.0)</f>
        <v>0</v>
      </c>
      <c r="H102" s="6" t="str">
        <f>IFERROR(__xludf.DUMMYFUNCTION("""COMPUTED_VALUE"""),"pcs")</f>
        <v>pcs</v>
      </c>
      <c r="I102" s="6" t="str">
        <f>IFERROR(__xludf.DUMMYFUNCTION("""COMPUTED_VALUE"""),"MFH")</f>
        <v>MFH</v>
      </c>
      <c r="J102" s="6" t="str">
        <f>IFERROR(__xludf.DUMMYFUNCTION("""COMPUTED_VALUE"""),"WIHC")</f>
        <v>WIHC</v>
      </c>
      <c r="K102" s="6" t="str">
        <f>IFERROR(__xludf.DUMMYFUNCTION("""COMPUTED_VALUE"""),"SPR/08/23/024")</f>
        <v>SPR/08/23/024</v>
      </c>
      <c r="L102" s="13">
        <f>IFERROR(__xludf.DUMMYFUNCTION("""COMPUTED_VALUE"""),45139.0)</f>
        <v>45139</v>
      </c>
    </row>
    <row r="103">
      <c r="A103" s="6" t="str">
        <f>IFERROR(__xludf.DUMMYFUNCTION("""COMPUTED_VALUE"""),"MFH")</f>
        <v>MFH</v>
      </c>
      <c r="B103" s="6" t="str">
        <f>IFERROR(__xludf.DUMMYFUNCTION("""COMPUTED_VALUE"""),"ENG")</f>
        <v>ENG</v>
      </c>
      <c r="C103" s="6" t="str">
        <f>IFERROR(__xludf.DUMMYFUNCTION("""COMPUTED_VALUE"""),"O-18055-00")</f>
        <v>O-18055-00</v>
      </c>
      <c r="D103" s="6" t="str">
        <f>IFERROR(__xludf.DUMMYFUNCTION("""COMPUTED_VALUE"""),"Suction Cup capping size 6R; P/N : 011010; ; ;")</f>
        <v>Suction Cup capping size 6R; P/N : 011010; ; ;</v>
      </c>
      <c r="E103" s="6">
        <f>IFERROR(__xludf.DUMMYFUNCTION("""COMPUTED_VALUE"""),2.0)</f>
        <v>2</v>
      </c>
      <c r="F103" s="6">
        <f>IFERROR(__xludf.DUMMYFUNCTION("""COMPUTED_VALUE"""),2.0)</f>
        <v>2</v>
      </c>
      <c r="G103" s="6">
        <f>IFERROR(__xludf.DUMMYFUNCTION("""COMPUTED_VALUE"""),0.0)</f>
        <v>0</v>
      </c>
      <c r="H103" s="6" t="str">
        <f>IFERROR(__xludf.DUMMYFUNCTION("""COMPUTED_VALUE"""),"pcs")</f>
        <v>pcs</v>
      </c>
      <c r="I103" s="6" t="str">
        <f>IFERROR(__xludf.DUMMYFUNCTION("""COMPUTED_VALUE"""),"MFH")</f>
        <v>MFH</v>
      </c>
      <c r="J103" s="6" t="str">
        <f>IFERROR(__xludf.DUMMYFUNCTION("""COMPUTED_VALUE"""),"Cartoning")</f>
        <v>Cartoning</v>
      </c>
      <c r="K103" s="6" t="str">
        <f>IFERROR(__xludf.DUMMYFUNCTION("""COMPUTED_VALUE"""),"SPR/08/23/026")</f>
        <v>SPR/08/23/026</v>
      </c>
      <c r="L103" s="13">
        <f>IFERROR(__xludf.DUMMYFUNCTION("""COMPUTED_VALUE"""),45139.0)</f>
        <v>45139</v>
      </c>
    </row>
    <row r="104">
      <c r="A104" s="6" t="str">
        <f>IFERROR(__xludf.DUMMYFUNCTION("""COMPUTED_VALUE"""),"EIL")</f>
        <v>EIL</v>
      </c>
      <c r="B104" s="6" t="str">
        <f>IFERROR(__xludf.DUMMYFUNCTION("""COMPUTED_VALUE"""),"ENG")</f>
        <v>ENG</v>
      </c>
      <c r="C104" s="6" t="str">
        <f>IFERROR(__xludf.DUMMYFUNCTION("""COMPUTED_VALUE"""),"Q-60503-00")</f>
        <v>Q-60503-00</v>
      </c>
      <c r="D104" s="6" t="str">
        <f>IFERROR(__xludf.DUMMYFUNCTION("""COMPUTED_VALUE"""),"Silicone Sealant, Silglaze, Type N10 Grey, pack size per pcs")</f>
        <v>Silicone Sealant, Silglaze, Type N10 Grey, pack size per pcs</v>
      </c>
      <c r="E104" s="6">
        <f>IFERROR(__xludf.DUMMYFUNCTION("""COMPUTED_VALUE"""),1.0)</f>
        <v>1</v>
      </c>
      <c r="F104" s="6">
        <f>IFERROR(__xludf.DUMMYFUNCTION("""COMPUTED_VALUE"""),1.0)</f>
        <v>1</v>
      </c>
      <c r="G104" s="6">
        <f>IFERROR(__xludf.DUMMYFUNCTION("""COMPUTED_VALUE"""),0.0)</f>
        <v>0</v>
      </c>
      <c r="H104" s="6" t="str">
        <f>IFERROR(__xludf.DUMMYFUNCTION("""COMPUTED_VALUE"""),"pcs")</f>
        <v>pcs</v>
      </c>
      <c r="I104" s="6" t="str">
        <f>IFERROR(__xludf.DUMMYFUNCTION("""COMPUTED_VALUE"""),"MFH")</f>
        <v>MFH</v>
      </c>
      <c r="J104" s="6" t="str">
        <f>IFERROR(__xludf.DUMMYFUNCTION("""COMPUTED_VALUE"""),"Building")</f>
        <v>Building</v>
      </c>
      <c r="K104" s="6" t="str">
        <f>IFERROR(__xludf.DUMMYFUNCTION("""COMPUTED_VALUE"""),"SPR/08/23/027")</f>
        <v>SPR/08/23/027</v>
      </c>
      <c r="L104" s="13">
        <f>IFERROR(__xludf.DUMMYFUNCTION("""COMPUTED_VALUE"""),45139.0)</f>
        <v>45139</v>
      </c>
    </row>
    <row r="105">
      <c r="A105" s="6" t="str">
        <f>IFERROR(__xludf.DUMMYFUNCTION("""COMPUTED_VALUE"""),"EIL")</f>
        <v>EIL</v>
      </c>
      <c r="B105" s="6" t="str">
        <f>IFERROR(__xludf.DUMMYFUNCTION("""COMPUTED_VALUE"""),"ENG")</f>
        <v>ENG</v>
      </c>
      <c r="C105" s="6" t="str">
        <f>IFERROR(__xludf.DUMMYFUNCTION("""COMPUTED_VALUE"""),"Q-10249-00")</f>
        <v>Q-10249-00</v>
      </c>
      <c r="D105" s="6" t="str">
        <f>IFERROR(__xludf.DUMMYFUNCTION("""COMPUTED_VALUE"""),"Lem Power Glue; ; ;")</f>
        <v>Lem Power Glue; ; ;</v>
      </c>
      <c r="E105" s="6">
        <f>IFERROR(__xludf.DUMMYFUNCTION("""COMPUTED_VALUE"""),1.0)</f>
        <v>1</v>
      </c>
      <c r="F105" s="6">
        <f>IFERROR(__xludf.DUMMYFUNCTION("""COMPUTED_VALUE"""),1.0)</f>
        <v>1</v>
      </c>
      <c r="G105" s="6">
        <f>IFERROR(__xludf.DUMMYFUNCTION("""COMPUTED_VALUE"""),0.0)</f>
        <v>0</v>
      </c>
      <c r="H105" s="6" t="str">
        <f>IFERROR(__xludf.DUMMYFUNCTION("""COMPUTED_VALUE"""),"pcs")</f>
        <v>pcs</v>
      </c>
      <c r="I105" s="6" t="str">
        <f>IFERROR(__xludf.DUMMYFUNCTION("""COMPUTED_VALUE"""),"MFH")</f>
        <v>MFH</v>
      </c>
      <c r="J105" s="6" t="str">
        <f>IFERROR(__xludf.DUMMYFUNCTION("""COMPUTED_VALUE"""),"Building")</f>
        <v>Building</v>
      </c>
      <c r="K105" s="6" t="str">
        <f>IFERROR(__xludf.DUMMYFUNCTION("""COMPUTED_VALUE"""),"SPR/08/23/027")</f>
        <v>SPR/08/23/027</v>
      </c>
      <c r="L105" s="13">
        <f>IFERROR(__xludf.DUMMYFUNCTION("""COMPUTED_VALUE"""),45139.0)</f>
        <v>45139</v>
      </c>
    </row>
    <row r="106">
      <c r="A106" s="6" t="str">
        <f>IFERROR(__xludf.DUMMYFUNCTION("""COMPUTED_VALUE"""),"ROS")</f>
        <v>ROS</v>
      </c>
      <c r="B106" s="6" t="str">
        <f>IFERROR(__xludf.DUMMYFUNCTION("""COMPUTED_VALUE"""),"ENG")</f>
        <v>ENG</v>
      </c>
      <c r="C106" s="6" t="str">
        <f>IFERROR(__xludf.DUMMYFUNCTION("""COMPUTED_VALUE"""),"Q-60003-00")</f>
        <v>Q-60003-00</v>
      </c>
      <c r="D106" s="6" t="str">
        <f>IFERROR(__xludf.DUMMYFUNCTION("""COMPUTED_VALUE"""),"Plakband Kertas")</f>
        <v>Plakband Kertas</v>
      </c>
      <c r="E106" s="6">
        <f>IFERROR(__xludf.DUMMYFUNCTION("""COMPUTED_VALUE"""),1.0)</f>
        <v>1</v>
      </c>
      <c r="F106" s="6">
        <f>IFERROR(__xludf.DUMMYFUNCTION("""COMPUTED_VALUE"""),1.0)</f>
        <v>1</v>
      </c>
      <c r="G106" s="6">
        <f>IFERROR(__xludf.DUMMYFUNCTION("""COMPUTED_VALUE"""),0.0)</f>
        <v>0</v>
      </c>
      <c r="H106" s="6" t="str">
        <f>IFERROR(__xludf.DUMMYFUNCTION("""COMPUTED_VALUE"""),"pcs")</f>
        <v>pcs</v>
      </c>
      <c r="I106" s="6" t="str">
        <f>IFERROR(__xludf.DUMMYFUNCTION("""COMPUTED_VALUE"""),"MFH")</f>
        <v>MFH</v>
      </c>
      <c r="J106" s="6" t="str">
        <f>IFERROR(__xludf.DUMMYFUNCTION("""COMPUTED_VALUE"""),"Building")</f>
        <v>Building</v>
      </c>
      <c r="K106" s="6" t="str">
        <f>IFERROR(__xludf.DUMMYFUNCTION("""COMPUTED_VALUE"""),"SPR/08/23/028")</f>
        <v>SPR/08/23/028</v>
      </c>
      <c r="L106" s="13">
        <f>IFERROR(__xludf.DUMMYFUNCTION("""COMPUTED_VALUE"""),45139.0)</f>
        <v>45139</v>
      </c>
    </row>
    <row r="107">
      <c r="A107" s="6" t="str">
        <f>IFERROR(__xludf.DUMMYFUNCTION("""COMPUTED_VALUE"""),"EIL")</f>
        <v>EIL</v>
      </c>
      <c r="B107" s="6" t="str">
        <f>IFERROR(__xludf.DUMMYFUNCTION("""COMPUTED_VALUE"""),"ENG")</f>
        <v>ENG</v>
      </c>
      <c r="C107" s="6" t="str">
        <f>IFERROR(__xludf.DUMMYFUNCTION("""COMPUTED_VALUE"""),"P-53102-00")</f>
        <v>P-53102-00</v>
      </c>
      <c r="D107" s="6" t="str">
        <f>IFERROR(__xludf.DUMMYFUNCTION("""COMPUTED_VALUE"""),"Lampu PLC 13watt/E27 Putih; Phillips; ;")</f>
        <v>Lampu PLC 13watt/E27 Putih; Phillips; ;</v>
      </c>
      <c r="E107" s="6">
        <f>IFERROR(__xludf.DUMMYFUNCTION("""COMPUTED_VALUE"""),3.0)</f>
        <v>3</v>
      </c>
      <c r="F107" s="6">
        <f>IFERROR(__xludf.DUMMYFUNCTION("""COMPUTED_VALUE"""),3.0)</f>
        <v>3</v>
      </c>
      <c r="G107" s="6">
        <f>IFERROR(__xludf.DUMMYFUNCTION("""COMPUTED_VALUE"""),0.0)</f>
        <v>0</v>
      </c>
      <c r="H107" s="6" t="str">
        <f>IFERROR(__xludf.DUMMYFUNCTION("""COMPUTED_VALUE"""),"pcs")</f>
        <v>pcs</v>
      </c>
      <c r="I107" s="6" t="str">
        <f>IFERROR(__xludf.DUMMYFUNCTION("""COMPUTED_VALUE"""),"MFH")</f>
        <v>MFH</v>
      </c>
      <c r="J107" s="6" t="str">
        <f>IFERROR(__xludf.DUMMYFUNCTION("""COMPUTED_VALUE"""),"Building")</f>
        <v>Building</v>
      </c>
      <c r="K107" s="6" t="str">
        <f>IFERROR(__xludf.DUMMYFUNCTION("""COMPUTED_VALUE"""),"SPR/08/23/029")</f>
        <v>SPR/08/23/029</v>
      </c>
      <c r="L107" s="13">
        <f>IFERROR(__xludf.DUMMYFUNCTION("""COMPUTED_VALUE"""),45139.0)</f>
        <v>45139</v>
      </c>
    </row>
    <row r="108">
      <c r="A108" s="6" t="str">
        <f>IFERROR(__xludf.DUMMYFUNCTION("""COMPUTED_VALUE"""),"MFH")</f>
        <v>MFH</v>
      </c>
      <c r="B108" s="6" t="str">
        <f>IFERROR(__xludf.DUMMYFUNCTION("""COMPUTED_VALUE"""),"ENG")</f>
        <v>ENG</v>
      </c>
      <c r="C108" s="6" t="str">
        <f>IFERROR(__xludf.DUMMYFUNCTION("""COMPUTED_VALUE"""),"P-12077-00")</f>
        <v>P-12077-00</v>
      </c>
      <c r="D108" s="6" t="str">
        <f>IFERROR(__xludf.DUMMYFUNCTION("""COMPUTED_VALUE"""),"Clamp selang ss dia 1 1/4 inch ex TRIDON")</f>
        <v>Clamp selang ss dia 1 1/4 inch ex TRIDON</v>
      </c>
      <c r="E108" s="6">
        <f>IFERROR(__xludf.DUMMYFUNCTION("""COMPUTED_VALUE"""),1.0)</f>
        <v>1</v>
      </c>
      <c r="F108" s="6">
        <f>IFERROR(__xludf.DUMMYFUNCTION("""COMPUTED_VALUE"""),1.0)</f>
        <v>1</v>
      </c>
      <c r="G108" s="6">
        <f>IFERROR(__xludf.DUMMYFUNCTION("""COMPUTED_VALUE"""),0.0)</f>
        <v>0</v>
      </c>
      <c r="H108" s="6" t="str">
        <f>IFERROR(__xludf.DUMMYFUNCTION("""COMPUTED_VALUE"""),"pcs")</f>
        <v>pcs</v>
      </c>
      <c r="I108" s="6" t="str">
        <f>IFERROR(__xludf.DUMMYFUNCTION("""COMPUTED_VALUE"""),"MFH")</f>
        <v>MFH</v>
      </c>
      <c r="J108" s="6" t="str">
        <f>IFERROR(__xludf.DUMMYFUNCTION("""COMPUTED_VALUE"""),"PW Skid")</f>
        <v>PW Skid</v>
      </c>
      <c r="K108" s="6" t="str">
        <f>IFERROR(__xludf.DUMMYFUNCTION("""COMPUTED_VALUE"""),"SPR/08/23/030")</f>
        <v>SPR/08/23/030</v>
      </c>
      <c r="L108" s="13">
        <f>IFERROR(__xludf.DUMMYFUNCTION("""COMPUTED_VALUE"""),45139.0)</f>
        <v>45139</v>
      </c>
    </row>
    <row r="109">
      <c r="A109" s="6" t="str">
        <f>IFERROR(__xludf.DUMMYFUNCTION("""COMPUTED_VALUE"""),"EIL")</f>
        <v>EIL</v>
      </c>
      <c r="B109" s="6" t="str">
        <f>IFERROR(__xludf.DUMMYFUNCTION("""COMPUTED_VALUE"""),"ENG")</f>
        <v>ENG</v>
      </c>
      <c r="C109" s="6" t="str">
        <f>IFERROR(__xludf.DUMMYFUNCTION("""COMPUTED_VALUE"""),"P-53171-00")</f>
        <v>P-53171-00</v>
      </c>
      <c r="D109" s="6" t="str">
        <f>IFERROR(__xludf.DUMMYFUNCTION("""COMPUTED_VALUE"""),"Ballast Electronic EB-C 218 TL5, 2x18W")</f>
        <v>Ballast Electronic EB-C 218 TL5, 2x18W</v>
      </c>
      <c r="E109" s="6">
        <f>IFERROR(__xludf.DUMMYFUNCTION("""COMPUTED_VALUE"""),1.0)</f>
        <v>1</v>
      </c>
      <c r="F109" s="6">
        <f>IFERROR(__xludf.DUMMYFUNCTION("""COMPUTED_VALUE"""),1.0)</f>
        <v>1</v>
      </c>
      <c r="G109" s="6">
        <f>IFERROR(__xludf.DUMMYFUNCTION("""COMPUTED_VALUE"""),0.0)</f>
        <v>0</v>
      </c>
      <c r="H109" s="6" t="str">
        <f>IFERROR(__xludf.DUMMYFUNCTION("""COMPUTED_VALUE"""),"pcs")</f>
        <v>pcs</v>
      </c>
      <c r="I109" s="6" t="str">
        <f>IFERROR(__xludf.DUMMYFUNCTION("""COMPUTED_VALUE"""),"MFH")</f>
        <v>MFH</v>
      </c>
      <c r="J109" s="6" t="str">
        <f>IFERROR(__xludf.DUMMYFUNCTION("""COMPUTED_VALUE"""),"Building")</f>
        <v>Building</v>
      </c>
      <c r="K109" s="6" t="str">
        <f>IFERROR(__xludf.DUMMYFUNCTION("""COMPUTED_VALUE"""),"SPR/08/23/031")</f>
        <v>SPR/08/23/031</v>
      </c>
      <c r="L109" s="13">
        <f>IFERROR(__xludf.DUMMYFUNCTION("""COMPUTED_VALUE"""),45139.0)</f>
        <v>45139</v>
      </c>
    </row>
    <row r="110">
      <c r="A110" s="6" t="str">
        <f>IFERROR(__xludf.DUMMYFUNCTION("""COMPUTED_VALUE"""),"EIL")</f>
        <v>EIL</v>
      </c>
      <c r="B110" s="6" t="str">
        <f>IFERROR(__xludf.DUMMYFUNCTION("""COMPUTED_VALUE"""),"ENG")</f>
        <v>ENG</v>
      </c>
      <c r="C110" s="6" t="str">
        <f>IFERROR(__xludf.DUMMYFUNCTION("""COMPUTED_VALUE"""),"P-51560-00")</f>
        <v>P-51560-00</v>
      </c>
      <c r="D110" s="6" t="str">
        <f>IFERROR(__xludf.DUMMYFUNCTION("""COMPUTED_VALUE"""),"Lampu T5 28watt Putih; Phillips; ;")</f>
        <v>Lampu T5 28watt Putih; Phillips; ;</v>
      </c>
      <c r="E110" s="6">
        <f>IFERROR(__xludf.DUMMYFUNCTION("""COMPUTED_VALUE"""),1.0)</f>
        <v>1</v>
      </c>
      <c r="F110" s="6">
        <f>IFERROR(__xludf.DUMMYFUNCTION("""COMPUTED_VALUE"""),1.0)</f>
        <v>1</v>
      </c>
      <c r="G110" s="6">
        <f>IFERROR(__xludf.DUMMYFUNCTION("""COMPUTED_VALUE"""),0.0)</f>
        <v>0</v>
      </c>
      <c r="H110" s="6" t="str">
        <f>IFERROR(__xludf.DUMMYFUNCTION("""COMPUTED_VALUE"""),"pcs")</f>
        <v>pcs</v>
      </c>
      <c r="I110" s="6" t="str">
        <f>IFERROR(__xludf.DUMMYFUNCTION("""COMPUTED_VALUE"""),"MFH")</f>
        <v>MFH</v>
      </c>
      <c r="J110" s="6" t="str">
        <f>IFERROR(__xludf.DUMMYFUNCTION("""COMPUTED_VALUE"""),"Building")</f>
        <v>Building</v>
      </c>
      <c r="K110" s="6" t="str">
        <f>IFERROR(__xludf.DUMMYFUNCTION("""COMPUTED_VALUE"""),"SPR/08/23/031")</f>
        <v>SPR/08/23/031</v>
      </c>
      <c r="L110" s="13">
        <f>IFERROR(__xludf.DUMMYFUNCTION("""COMPUTED_VALUE"""),45139.0)</f>
        <v>45139</v>
      </c>
    </row>
    <row r="111">
      <c r="A111" s="6" t="str">
        <f>IFERROR(__xludf.DUMMYFUNCTION("""COMPUTED_VALUE"""),"MRN")</f>
        <v>MRN</v>
      </c>
      <c r="B111" s="6" t="str">
        <f>IFERROR(__xludf.DUMMYFUNCTION("""COMPUTED_VALUE"""),"ENG")</f>
        <v>ENG</v>
      </c>
      <c r="C111" s="6" t="str">
        <f>IFERROR(__xludf.DUMMYFUNCTION("""COMPUTED_VALUE"""),"Q-10493-00")</f>
        <v>Q-10493-00</v>
      </c>
      <c r="D111" s="6" t="str">
        <f>IFERROR(__xludf.DUMMYFUNCTION("""COMPUTED_VALUE"""),"Tile Grout AM 53")</f>
        <v>Tile Grout AM 53</v>
      </c>
      <c r="E111" s="6">
        <f>IFERROR(__xludf.DUMMYFUNCTION("""COMPUTED_VALUE"""),1.0)</f>
        <v>1</v>
      </c>
      <c r="F111" s="6">
        <f>IFERROR(__xludf.DUMMYFUNCTION("""COMPUTED_VALUE"""),1.0)</f>
        <v>1</v>
      </c>
      <c r="G111" s="6">
        <f>IFERROR(__xludf.DUMMYFUNCTION("""COMPUTED_VALUE"""),0.0)</f>
        <v>0</v>
      </c>
      <c r="H111" s="6" t="str">
        <f>IFERROR(__xludf.DUMMYFUNCTION("""COMPUTED_VALUE"""),"pcs")</f>
        <v>pcs</v>
      </c>
      <c r="I111" s="6" t="str">
        <f>IFERROR(__xludf.DUMMYFUNCTION("""COMPUTED_VALUE"""),"MFH")</f>
        <v>MFH</v>
      </c>
      <c r="J111" s="6" t="str">
        <f>IFERROR(__xludf.DUMMYFUNCTION("""COMPUTED_VALUE"""),"Building")</f>
        <v>Building</v>
      </c>
      <c r="K111" s="6" t="str">
        <f>IFERROR(__xludf.DUMMYFUNCTION("""COMPUTED_VALUE"""),"SPR/08/23/032")</f>
        <v>SPR/08/23/032</v>
      </c>
      <c r="L111" s="13">
        <f>IFERROR(__xludf.DUMMYFUNCTION("""COMPUTED_VALUE"""),45139.0)</f>
        <v>45139</v>
      </c>
    </row>
    <row r="112">
      <c r="A112" s="6" t="str">
        <f>IFERROR(__xludf.DUMMYFUNCTION("""COMPUTED_VALUE"""),"MRN")</f>
        <v>MRN</v>
      </c>
      <c r="B112" s="6" t="str">
        <f>IFERROR(__xludf.DUMMYFUNCTION("""COMPUTED_VALUE"""),"ENG")</f>
        <v>ENG</v>
      </c>
      <c r="C112" s="6" t="str">
        <f>IFERROR(__xludf.DUMMYFUNCTION("""COMPUTED_VALUE"""),"-")</f>
        <v>-</v>
      </c>
      <c r="D112" s="6" t="str">
        <f>IFERROR(__xludf.DUMMYFUNCTION("""COMPUTED_VALUE"""),"Tile Grout liquid Grout Additive")</f>
        <v>Tile Grout liquid Grout Additive</v>
      </c>
      <c r="E112" s="6">
        <f>IFERROR(__xludf.DUMMYFUNCTION("""COMPUTED_VALUE"""),1.0)</f>
        <v>1</v>
      </c>
      <c r="F112" s="6">
        <f>IFERROR(__xludf.DUMMYFUNCTION("""COMPUTED_VALUE"""),1.0)</f>
        <v>1</v>
      </c>
      <c r="G112" s="6">
        <f>IFERROR(__xludf.DUMMYFUNCTION("""COMPUTED_VALUE"""),0.0)</f>
        <v>0</v>
      </c>
      <c r="H112" s="6" t="str">
        <f>IFERROR(__xludf.DUMMYFUNCTION("""COMPUTED_VALUE"""),"pcs")</f>
        <v>pcs</v>
      </c>
      <c r="I112" s="6" t="str">
        <f>IFERROR(__xludf.DUMMYFUNCTION("""COMPUTED_VALUE"""),"MFH")</f>
        <v>MFH</v>
      </c>
      <c r="J112" s="6" t="str">
        <f>IFERROR(__xludf.DUMMYFUNCTION("""COMPUTED_VALUE"""),"Building")</f>
        <v>Building</v>
      </c>
      <c r="K112" s="6" t="str">
        <f>IFERROR(__xludf.DUMMYFUNCTION("""COMPUTED_VALUE"""),"SPR/08/23/032")</f>
        <v>SPR/08/23/032</v>
      </c>
      <c r="L112" s="13">
        <f>IFERROR(__xludf.DUMMYFUNCTION("""COMPUTED_VALUE"""),45139.0)</f>
        <v>45139</v>
      </c>
    </row>
    <row r="113">
      <c r="A113" s="6" t="str">
        <f>IFERROR(__xludf.DUMMYFUNCTION("""COMPUTED_VALUE"""),"EIL")</f>
        <v>EIL</v>
      </c>
      <c r="B113" s="6" t="str">
        <f>IFERROR(__xludf.DUMMYFUNCTION("""COMPUTED_VALUE"""),"ENG")</f>
        <v>ENG</v>
      </c>
      <c r="C113" s="6" t="str">
        <f>IFERROR(__xludf.DUMMYFUNCTION("""COMPUTED_VALUE"""),"Q-10493-00")</f>
        <v>Q-10493-00</v>
      </c>
      <c r="D113" s="6" t="str">
        <f>IFERROR(__xludf.DUMMYFUNCTION("""COMPUTED_VALUE"""),"Tile Grout AM 53")</f>
        <v>Tile Grout AM 53</v>
      </c>
      <c r="E113" s="6">
        <f>IFERROR(__xludf.DUMMYFUNCTION("""COMPUTED_VALUE"""),1.0)</f>
        <v>1</v>
      </c>
      <c r="F113" s="6">
        <f>IFERROR(__xludf.DUMMYFUNCTION("""COMPUTED_VALUE"""),1.0)</f>
        <v>1</v>
      </c>
      <c r="G113" s="6">
        <f>IFERROR(__xludf.DUMMYFUNCTION("""COMPUTED_VALUE"""),0.0)</f>
        <v>0</v>
      </c>
      <c r="H113" s="6" t="str">
        <f>IFERROR(__xludf.DUMMYFUNCTION("""COMPUTED_VALUE"""),"pcs")</f>
        <v>pcs</v>
      </c>
      <c r="I113" s="6" t="str">
        <f>IFERROR(__xludf.DUMMYFUNCTION("""COMPUTED_VALUE"""),"MFH")</f>
        <v>MFH</v>
      </c>
      <c r="J113" s="6" t="str">
        <f>IFERROR(__xludf.DUMMYFUNCTION("""COMPUTED_VALUE"""),"Building")</f>
        <v>Building</v>
      </c>
      <c r="K113" s="6" t="str">
        <f>IFERROR(__xludf.DUMMYFUNCTION("""COMPUTED_VALUE"""),"SPR/08/23/033")</f>
        <v>SPR/08/23/033</v>
      </c>
      <c r="L113" s="13">
        <f>IFERROR(__xludf.DUMMYFUNCTION("""COMPUTED_VALUE"""),45139.0)</f>
        <v>45139</v>
      </c>
    </row>
    <row r="114">
      <c r="A114" s="6" t="str">
        <f>IFERROR(__xludf.DUMMYFUNCTION("""COMPUTED_VALUE"""),"MOB")</f>
        <v>MOB</v>
      </c>
      <c r="B114" s="6" t="str">
        <f>IFERROR(__xludf.DUMMYFUNCTION("""COMPUTED_VALUE"""),"ENG")</f>
        <v>ENG</v>
      </c>
      <c r="C114" s="6" t="str">
        <f>IFERROR(__xludf.DUMMYFUNCTION("""COMPUTED_VALUE"""),"P-17451-00")</f>
        <v>P-17451-00</v>
      </c>
      <c r="D114" s="6" t="str">
        <f>IFERROR(__xludf.DUMMYFUNCTION("""COMPUTED_VALUE"""),"Belt SPA 1132 LW")</f>
        <v>Belt SPA 1132 LW</v>
      </c>
      <c r="E114" s="6">
        <f>IFERROR(__xludf.DUMMYFUNCTION("""COMPUTED_VALUE"""),1.0)</f>
        <v>1</v>
      </c>
      <c r="F114" s="6">
        <f>IFERROR(__xludf.DUMMYFUNCTION("""COMPUTED_VALUE"""),1.0)</f>
        <v>1</v>
      </c>
      <c r="G114" s="6">
        <f>IFERROR(__xludf.DUMMYFUNCTION("""COMPUTED_VALUE"""),0.0)</f>
        <v>0</v>
      </c>
      <c r="H114" s="6" t="str">
        <f>IFERROR(__xludf.DUMMYFUNCTION("""COMPUTED_VALUE"""),"pcs")</f>
        <v>pcs</v>
      </c>
      <c r="I114" s="6" t="str">
        <f>IFERROR(__xludf.DUMMYFUNCTION("""COMPUTED_VALUE"""),"MFH")</f>
        <v>MFH</v>
      </c>
      <c r="J114" s="6" t="str">
        <f>IFERROR(__xludf.DUMMYFUNCTION("""COMPUTED_VALUE"""),"EF")</f>
        <v>EF</v>
      </c>
      <c r="K114" s="6" t="str">
        <f>IFERROR(__xludf.DUMMYFUNCTION("""COMPUTED_VALUE"""),"SPR/08/23/034")</f>
        <v>SPR/08/23/034</v>
      </c>
      <c r="L114" s="13">
        <f>IFERROR(__xludf.DUMMYFUNCTION("""COMPUTED_VALUE"""),45139.0)</f>
        <v>45139</v>
      </c>
    </row>
    <row r="115">
      <c r="A115" s="6" t="str">
        <f>IFERROR(__xludf.DUMMYFUNCTION("""COMPUTED_VALUE"""),"RIA")</f>
        <v>RIA</v>
      </c>
      <c r="B115" s="6" t="str">
        <f>IFERROR(__xludf.DUMMYFUNCTION("""COMPUTED_VALUE"""),"ENG")</f>
        <v>ENG</v>
      </c>
      <c r="C115" s="6" t="str">
        <f>IFERROR(__xludf.DUMMYFUNCTION("""COMPUTED_VALUE"""),"P-52278-00")</f>
        <v>P-52278-00</v>
      </c>
      <c r="D115" s="6" t="str">
        <f>IFERROR(__xludf.DUMMYFUNCTION("""COMPUTED_VALUE"""),"Capacitor 50F 250VAC 25A 5% Screw (KMT) P/N : 6R 01502010")</f>
        <v>Capacitor 50F 250VAC 25A 5% Screw (KMT) P/N : 6R 01502010</v>
      </c>
      <c r="E115" s="6">
        <f>IFERROR(__xludf.DUMMYFUNCTION("""COMPUTED_VALUE"""),1.0)</f>
        <v>1</v>
      </c>
      <c r="F115" s="6">
        <f>IFERROR(__xludf.DUMMYFUNCTION("""COMPUTED_VALUE"""),1.0)</f>
        <v>1</v>
      </c>
      <c r="G115" s="6">
        <f>IFERROR(__xludf.DUMMYFUNCTION("""COMPUTED_VALUE"""),0.0)</f>
        <v>0</v>
      </c>
      <c r="H115" s="6" t="str">
        <f>IFERROR(__xludf.DUMMYFUNCTION("""COMPUTED_VALUE"""),"pcs")</f>
        <v>pcs</v>
      </c>
      <c r="I115" s="6" t="str">
        <f>IFERROR(__xludf.DUMMYFUNCTION("""COMPUTED_VALUE"""),"MFH")</f>
        <v>MFH</v>
      </c>
      <c r="J115" s="6" t="str">
        <f>IFERROR(__xludf.DUMMYFUNCTION("""COMPUTED_VALUE"""),"UPS 20KVA")</f>
        <v>UPS 20KVA</v>
      </c>
      <c r="K115" s="6" t="str">
        <f>IFERROR(__xludf.DUMMYFUNCTION("""COMPUTED_VALUE"""),"SPR/08/23/035")</f>
        <v>SPR/08/23/035</v>
      </c>
      <c r="L115" s="13">
        <f>IFERROR(__xludf.DUMMYFUNCTION("""COMPUTED_VALUE"""),45139.0)</f>
        <v>45139</v>
      </c>
    </row>
    <row r="116">
      <c r="A116" s="6" t="str">
        <f>IFERROR(__xludf.DUMMYFUNCTION("""COMPUTED_VALUE"""),"ROS")</f>
        <v>ROS</v>
      </c>
      <c r="B116" s="6" t="str">
        <f>IFERROR(__xludf.DUMMYFUNCTION("""COMPUTED_VALUE"""),"ENG")</f>
        <v>ENG</v>
      </c>
      <c r="C116" s="6" t="str">
        <f>IFERROR(__xludf.DUMMYFUNCTION("""COMPUTED_VALUE"""),"Q-10249-00")</f>
        <v>Q-10249-00</v>
      </c>
      <c r="D116" s="6" t="str">
        <f>IFERROR(__xludf.DUMMYFUNCTION("""COMPUTED_VALUE"""),"Lem Power Glue; ; ;")</f>
        <v>Lem Power Glue; ; ;</v>
      </c>
      <c r="E116" s="6">
        <f>IFERROR(__xludf.DUMMYFUNCTION("""COMPUTED_VALUE"""),2.0)</f>
        <v>2</v>
      </c>
      <c r="F116" s="6">
        <f>IFERROR(__xludf.DUMMYFUNCTION("""COMPUTED_VALUE"""),2.0)</f>
        <v>2</v>
      </c>
      <c r="G116" s="6">
        <f>IFERROR(__xludf.DUMMYFUNCTION("""COMPUTED_VALUE"""),0.0)</f>
        <v>0</v>
      </c>
      <c r="H116" s="6" t="str">
        <f>IFERROR(__xludf.DUMMYFUNCTION("""COMPUTED_VALUE"""),"pcs")</f>
        <v>pcs</v>
      </c>
      <c r="I116" s="6" t="str">
        <f>IFERROR(__xludf.DUMMYFUNCTION("""COMPUTED_VALUE"""),"MFH")</f>
        <v>MFH</v>
      </c>
      <c r="J116" s="6" t="str">
        <f>IFERROR(__xludf.DUMMYFUNCTION("""COMPUTED_VALUE"""),"Filling")</f>
        <v>Filling</v>
      </c>
      <c r="K116" s="6" t="str">
        <f>IFERROR(__xludf.DUMMYFUNCTION("""COMPUTED_VALUE"""),"SPR/08/23/036")</f>
        <v>SPR/08/23/036</v>
      </c>
      <c r="L116" s="13">
        <f>IFERROR(__xludf.DUMMYFUNCTION("""COMPUTED_VALUE"""),45139.0)</f>
        <v>45139</v>
      </c>
    </row>
    <row r="117">
      <c r="A117" s="6" t="str">
        <f>IFERROR(__xludf.DUMMYFUNCTION("""COMPUTED_VALUE"""),"RIA")</f>
        <v>RIA</v>
      </c>
      <c r="B117" s="6" t="str">
        <f>IFERROR(__xludf.DUMMYFUNCTION("""COMPUTED_VALUE"""),"ENG")</f>
        <v>ENG</v>
      </c>
      <c r="C117" s="6" t="str">
        <f>IFERROR(__xludf.DUMMYFUNCTION("""COMPUTED_VALUE"""),"P-15862-00")</f>
        <v>P-15862-00</v>
      </c>
      <c r="D117" s="6" t="str">
        <f>IFERROR(__xludf.DUMMYFUNCTION("""COMPUTED_VALUE"""),"PAPER RECORD YOKOGAWA; FOLDING CHART B9565AW")</f>
        <v>PAPER RECORD YOKOGAWA; FOLDING CHART B9565AW</v>
      </c>
      <c r="E117" s="6">
        <f>IFERROR(__xludf.DUMMYFUNCTION("""COMPUTED_VALUE"""),1.0)</f>
        <v>1</v>
      </c>
      <c r="F117" s="6">
        <f>IFERROR(__xludf.DUMMYFUNCTION("""COMPUTED_VALUE"""),1.0)</f>
        <v>1</v>
      </c>
      <c r="G117" s="6">
        <f>IFERROR(__xludf.DUMMYFUNCTION("""COMPUTED_VALUE"""),0.0)</f>
        <v>0</v>
      </c>
      <c r="H117" s="6" t="str">
        <f>IFERROR(__xludf.DUMMYFUNCTION("""COMPUTED_VALUE"""),"pcs")</f>
        <v>pcs</v>
      </c>
      <c r="I117" s="6" t="str">
        <f>IFERROR(__xludf.DUMMYFUNCTION("""COMPUTED_VALUE"""),"MFH")</f>
        <v>MFH</v>
      </c>
      <c r="J117" s="6" t="str">
        <f>IFERROR(__xludf.DUMMYFUNCTION("""COMPUTED_VALUE"""),"PW Skid")</f>
        <v>PW Skid</v>
      </c>
      <c r="K117" s="6" t="str">
        <f>IFERROR(__xludf.DUMMYFUNCTION("""COMPUTED_VALUE"""),"SPR/09/23/001")</f>
        <v>SPR/09/23/001</v>
      </c>
      <c r="L117" s="13">
        <f>IFERROR(__xludf.DUMMYFUNCTION("""COMPUTED_VALUE"""),45170.0)</f>
        <v>45170</v>
      </c>
    </row>
    <row r="118">
      <c r="A118" s="6" t="str">
        <f>IFERROR(__xludf.DUMMYFUNCTION("""COMPUTED_VALUE"""),"RIA")</f>
        <v>RIA</v>
      </c>
      <c r="B118" s="6" t="str">
        <f>IFERROR(__xludf.DUMMYFUNCTION("""COMPUTED_VALUE"""),"ENG")</f>
        <v>ENG</v>
      </c>
      <c r="C118" s="6" t="str">
        <f>IFERROR(__xludf.DUMMYFUNCTION("""COMPUTED_VALUE"""),"P-53261-00")</f>
        <v>P-53261-00</v>
      </c>
      <c r="D118" s="6" t="str">
        <f>IFERROR(__xludf.DUMMYFUNCTION("""COMPUTED_VALUE"""),"Junction Box uk 30x40x20cm")</f>
        <v>Junction Box uk 30x40x20cm</v>
      </c>
      <c r="E118" s="6">
        <f>IFERROR(__xludf.DUMMYFUNCTION("""COMPUTED_VALUE"""),1.0)</f>
        <v>1</v>
      </c>
      <c r="F118" s="6">
        <f>IFERROR(__xludf.DUMMYFUNCTION("""COMPUTED_VALUE"""),1.0)</f>
        <v>1</v>
      </c>
      <c r="G118" s="6">
        <f>IFERROR(__xludf.DUMMYFUNCTION("""COMPUTED_VALUE"""),0.0)</f>
        <v>0</v>
      </c>
      <c r="H118" s="6" t="str">
        <f>IFERROR(__xludf.DUMMYFUNCTION("""COMPUTED_VALUE"""),"pcs")</f>
        <v>pcs</v>
      </c>
      <c r="I118" s="6" t="str">
        <f>IFERROR(__xludf.DUMMYFUNCTION("""COMPUTED_VALUE"""),"MFH")</f>
        <v>MFH</v>
      </c>
      <c r="J118" s="6" t="str">
        <f>IFERROR(__xludf.DUMMYFUNCTION("""COMPUTED_VALUE"""),"Warehouse")</f>
        <v>Warehouse</v>
      </c>
      <c r="K118" s="6" t="str">
        <f>IFERROR(__xludf.DUMMYFUNCTION("""COMPUTED_VALUE"""),"SPR/09//23/001")</f>
        <v>SPR/09//23/001</v>
      </c>
      <c r="L118" s="13">
        <f>IFERROR(__xludf.DUMMYFUNCTION("""COMPUTED_VALUE"""),45170.0)</f>
        <v>45170</v>
      </c>
    </row>
    <row r="119">
      <c r="A119" s="6" t="str">
        <f>IFERROR(__xludf.DUMMYFUNCTION("""COMPUTED_VALUE"""),"RIA")</f>
        <v>RIA</v>
      </c>
      <c r="B119" s="6" t="str">
        <f>IFERROR(__xludf.DUMMYFUNCTION("""COMPUTED_VALUE"""),"ENG")</f>
        <v>ENG</v>
      </c>
      <c r="C119" s="6" t="str">
        <f>IFERROR(__xludf.DUMMYFUNCTION("""COMPUTED_VALUE"""),"O-51307-00")</f>
        <v>O-51307-00</v>
      </c>
      <c r="D119" s="6" t="str">
        <f>IFERROR(__xludf.DUMMYFUNCTION("""COMPUTED_VALUE"""),"Selector Switch 22mm On-Off XP")</f>
        <v>Selector Switch 22mm On-Off XP</v>
      </c>
      <c r="E119" s="6">
        <f>IFERROR(__xludf.DUMMYFUNCTION("""COMPUTED_VALUE"""),1.0)</f>
        <v>1</v>
      </c>
      <c r="F119" s="6">
        <f>IFERROR(__xludf.DUMMYFUNCTION("""COMPUTED_VALUE"""),1.0)</f>
        <v>1</v>
      </c>
      <c r="G119" s="6">
        <f>IFERROR(__xludf.DUMMYFUNCTION("""COMPUTED_VALUE"""),0.0)</f>
        <v>0</v>
      </c>
      <c r="H119" s="6" t="str">
        <f>IFERROR(__xludf.DUMMYFUNCTION("""COMPUTED_VALUE"""),"pcs")</f>
        <v>pcs</v>
      </c>
      <c r="I119" s="6" t="str">
        <f>IFERROR(__xludf.DUMMYFUNCTION("""COMPUTED_VALUE"""),"MFH")</f>
        <v>MFH</v>
      </c>
      <c r="J119" s="6" t="str">
        <f>IFERROR(__xludf.DUMMYFUNCTION("""COMPUTED_VALUE"""),"Warehouse")</f>
        <v>Warehouse</v>
      </c>
      <c r="K119" s="6" t="str">
        <f>IFERROR(__xludf.DUMMYFUNCTION("""COMPUTED_VALUE"""),"SPR/09/23/001")</f>
        <v>SPR/09/23/001</v>
      </c>
      <c r="L119" s="13">
        <f>IFERROR(__xludf.DUMMYFUNCTION("""COMPUTED_VALUE"""),45170.0)</f>
        <v>45170</v>
      </c>
    </row>
    <row r="120">
      <c r="A120" s="6" t="str">
        <f>IFERROR(__xludf.DUMMYFUNCTION("""COMPUTED_VALUE"""),"RIA")</f>
        <v>RIA</v>
      </c>
      <c r="B120" s="6" t="str">
        <f>IFERROR(__xludf.DUMMYFUNCTION("""COMPUTED_VALUE"""),"ENG")</f>
        <v>ENG</v>
      </c>
      <c r="C120" s="6" t="str">
        <f>IFERROR(__xludf.DUMMYFUNCTION("""COMPUTED_VALUE"""),"O-51307-00")</f>
        <v>O-51307-00</v>
      </c>
      <c r="D120" s="6" t="str">
        <f>IFERROR(__xludf.DUMMYFUNCTION("""COMPUTED_VALUE"""),"Selector Switch 22mm On-Off XP")</f>
        <v>Selector Switch 22mm On-Off XP</v>
      </c>
      <c r="E120" s="6">
        <f>IFERROR(__xludf.DUMMYFUNCTION("""COMPUTED_VALUE"""),1.0)</f>
        <v>1</v>
      </c>
      <c r="F120" s="6">
        <f>IFERROR(__xludf.DUMMYFUNCTION("""COMPUTED_VALUE"""),1.0)</f>
        <v>1</v>
      </c>
      <c r="G120" s="6">
        <f>IFERROR(__xludf.DUMMYFUNCTION("""COMPUTED_VALUE"""),0.0)</f>
        <v>0</v>
      </c>
      <c r="H120" s="6" t="str">
        <f>IFERROR(__xludf.DUMMYFUNCTION("""COMPUTED_VALUE"""),"pcs")</f>
        <v>pcs</v>
      </c>
      <c r="I120" s="6" t="str">
        <f>IFERROR(__xludf.DUMMYFUNCTION("""COMPUTED_VALUE"""),"MFH")</f>
        <v>MFH</v>
      </c>
      <c r="J120" s="6" t="str">
        <f>IFERROR(__xludf.DUMMYFUNCTION("""COMPUTED_VALUE"""),"WICC FG")</f>
        <v>WICC FG</v>
      </c>
      <c r="K120" s="6" t="str">
        <f>IFERROR(__xludf.DUMMYFUNCTION("""COMPUTED_VALUE"""),"SPR/09/23/002")</f>
        <v>SPR/09/23/002</v>
      </c>
      <c r="L120" s="13">
        <f>IFERROR(__xludf.DUMMYFUNCTION("""COMPUTED_VALUE"""),45170.0)</f>
        <v>45170</v>
      </c>
    </row>
    <row r="121">
      <c r="A121" s="6" t="str">
        <f>IFERROR(__xludf.DUMMYFUNCTION("""COMPUTED_VALUE"""),"RIA")</f>
        <v>RIA</v>
      </c>
      <c r="B121" s="6" t="str">
        <f>IFERROR(__xludf.DUMMYFUNCTION("""COMPUTED_VALUE"""),"ENG")</f>
        <v>ENG</v>
      </c>
      <c r="C121" s="6" t="str">
        <f>IFERROR(__xludf.DUMMYFUNCTION("""COMPUTED_VALUE"""),"P-53261-00")</f>
        <v>P-53261-00</v>
      </c>
      <c r="D121" s="6" t="str">
        <f>IFERROR(__xludf.DUMMYFUNCTION("""COMPUTED_VALUE"""),"Junction Box uk 30x40x20cm")</f>
        <v>Junction Box uk 30x40x20cm</v>
      </c>
      <c r="E121" s="6">
        <f>IFERROR(__xludf.DUMMYFUNCTION("""COMPUTED_VALUE"""),1.0)</f>
        <v>1</v>
      </c>
      <c r="F121" s="6">
        <f>IFERROR(__xludf.DUMMYFUNCTION("""COMPUTED_VALUE"""),1.0)</f>
        <v>1</v>
      </c>
      <c r="G121" s="6">
        <f>IFERROR(__xludf.DUMMYFUNCTION("""COMPUTED_VALUE"""),0.0)</f>
        <v>0</v>
      </c>
      <c r="H121" s="6" t="str">
        <f>IFERROR(__xludf.DUMMYFUNCTION("""COMPUTED_VALUE"""),"pcs")</f>
        <v>pcs</v>
      </c>
      <c r="I121" s="6" t="str">
        <f>IFERROR(__xludf.DUMMYFUNCTION("""COMPUTED_VALUE"""),"MFH")</f>
        <v>MFH</v>
      </c>
      <c r="J121" s="6" t="str">
        <f>IFERROR(__xludf.DUMMYFUNCTION("""COMPUTED_VALUE"""),"WICC FG")</f>
        <v>WICC FG</v>
      </c>
      <c r="K121" s="6" t="str">
        <f>IFERROR(__xludf.DUMMYFUNCTION("""COMPUTED_VALUE"""),"SPR/09/23/003")</f>
        <v>SPR/09/23/003</v>
      </c>
      <c r="L121" s="13">
        <f>IFERROR(__xludf.DUMMYFUNCTION("""COMPUTED_VALUE"""),45170.0)</f>
        <v>45170</v>
      </c>
    </row>
    <row r="122">
      <c r="A122" s="6" t="str">
        <f>IFERROR(__xludf.DUMMYFUNCTION("""COMPUTED_VALUE"""),"RIA")</f>
        <v>RIA</v>
      </c>
      <c r="B122" s="6" t="str">
        <f>IFERROR(__xludf.DUMMYFUNCTION("""COMPUTED_VALUE"""),"ENG")</f>
        <v>ENG</v>
      </c>
      <c r="C122" s="6" t="str">
        <f>IFERROR(__xludf.DUMMYFUNCTION("""COMPUTED_VALUE"""),"P-51793-00")</f>
        <v>P-51793-00</v>
      </c>
      <c r="D122" s="6" t="str">
        <f>IFERROR(__xludf.DUMMYFUNCTION("""COMPUTED_VALUE"""),"Junction Box 20x30x15 cm")</f>
        <v>Junction Box 20x30x15 cm</v>
      </c>
      <c r="E122" s="6">
        <f>IFERROR(__xludf.DUMMYFUNCTION("""COMPUTED_VALUE"""),1.0)</f>
        <v>1</v>
      </c>
      <c r="F122" s="6">
        <f>IFERROR(__xludf.DUMMYFUNCTION("""COMPUTED_VALUE"""),1.0)</f>
        <v>1</v>
      </c>
      <c r="G122" s="6">
        <f>IFERROR(__xludf.DUMMYFUNCTION("""COMPUTED_VALUE"""),0.0)</f>
        <v>0</v>
      </c>
      <c r="H122" s="6" t="str">
        <f>IFERROR(__xludf.DUMMYFUNCTION("""COMPUTED_VALUE"""),"pcs")</f>
        <v>pcs</v>
      </c>
      <c r="I122" s="6" t="str">
        <f>IFERROR(__xludf.DUMMYFUNCTION("""COMPUTED_VALUE"""),"MFH")</f>
        <v>MFH</v>
      </c>
      <c r="J122" s="6" t="str">
        <f>IFERROR(__xludf.DUMMYFUNCTION("""COMPUTED_VALUE"""),"WICC FG")</f>
        <v>WICC FG</v>
      </c>
      <c r="K122" s="6" t="str">
        <f>IFERROR(__xludf.DUMMYFUNCTION("""COMPUTED_VALUE"""),"SPR/09/23/003")</f>
        <v>SPR/09/23/003</v>
      </c>
      <c r="L122" s="13">
        <f>IFERROR(__xludf.DUMMYFUNCTION("""COMPUTED_VALUE"""),45170.0)</f>
        <v>45170</v>
      </c>
    </row>
    <row r="123">
      <c r="A123" s="6" t="str">
        <f>IFERROR(__xludf.DUMMYFUNCTION("""COMPUTED_VALUE"""),"RIA")</f>
        <v>RIA</v>
      </c>
      <c r="B123" s="6" t="str">
        <f>IFERROR(__xludf.DUMMYFUNCTION("""COMPUTED_VALUE"""),"ENG")</f>
        <v>ENG</v>
      </c>
      <c r="C123" s="6" t="str">
        <f>IFERROR(__xludf.DUMMYFUNCTION("""COMPUTED_VALUE"""),"P-50229-00")</f>
        <v>P-50229-00</v>
      </c>
      <c r="D123" s="6" t="str">
        <f>IFERROR(__xludf.DUMMYFUNCTION("""COMPUTED_VALUE"""),"Emergency Switch")</f>
        <v>Emergency Switch</v>
      </c>
      <c r="E123" s="6">
        <f>IFERROR(__xludf.DUMMYFUNCTION("""COMPUTED_VALUE"""),1.0)</f>
        <v>1</v>
      </c>
      <c r="F123" s="6">
        <f>IFERROR(__xludf.DUMMYFUNCTION("""COMPUTED_VALUE"""),1.0)</f>
        <v>1</v>
      </c>
      <c r="G123" s="6">
        <f>IFERROR(__xludf.DUMMYFUNCTION("""COMPUTED_VALUE"""),0.0)</f>
        <v>0</v>
      </c>
      <c r="H123" s="6" t="str">
        <f>IFERROR(__xludf.DUMMYFUNCTION("""COMPUTED_VALUE"""),"pcs")</f>
        <v>pcs</v>
      </c>
      <c r="I123" s="6" t="str">
        <f>IFERROR(__xludf.DUMMYFUNCTION("""COMPUTED_VALUE"""),"MFH")</f>
        <v>MFH</v>
      </c>
      <c r="J123" s="6" t="str">
        <f>IFERROR(__xludf.DUMMYFUNCTION("""COMPUTED_VALUE"""),"WICC FG")</f>
        <v>WICC FG</v>
      </c>
      <c r="K123" s="6" t="str">
        <f>IFERROR(__xludf.DUMMYFUNCTION("""COMPUTED_VALUE"""),"SPR/09/23/003")</f>
        <v>SPR/09/23/003</v>
      </c>
      <c r="L123" s="13">
        <f>IFERROR(__xludf.DUMMYFUNCTION("""COMPUTED_VALUE"""),45170.0)</f>
        <v>45170</v>
      </c>
    </row>
    <row r="124">
      <c r="A124" s="6" t="str">
        <f>IFERROR(__xludf.DUMMYFUNCTION("""COMPUTED_VALUE"""),"RIA")</f>
        <v>RIA</v>
      </c>
      <c r="B124" s="6" t="str">
        <f>IFERROR(__xludf.DUMMYFUNCTION("""COMPUTED_VALUE"""),"ENG")</f>
        <v>ENG</v>
      </c>
      <c r="C124" s="6" t="str">
        <f>IFERROR(__xludf.DUMMYFUNCTION("""COMPUTED_VALUE"""),"P-12433-00")</f>
        <v>P-12433-00</v>
      </c>
      <c r="D124" s="6" t="str">
        <f>IFERROR(__xludf.DUMMYFUNCTION("""COMPUTED_VALUE"""),"Isolasi AC- Sansui")</f>
        <v>Isolasi AC- Sansui</v>
      </c>
      <c r="E124" s="6">
        <f>IFERROR(__xludf.DUMMYFUNCTION("""COMPUTED_VALUE"""),1.0)</f>
        <v>1</v>
      </c>
      <c r="F124" s="6">
        <f>IFERROR(__xludf.DUMMYFUNCTION("""COMPUTED_VALUE"""),1.0)</f>
        <v>1</v>
      </c>
      <c r="G124" s="6">
        <f>IFERROR(__xludf.DUMMYFUNCTION("""COMPUTED_VALUE"""),0.0)</f>
        <v>0</v>
      </c>
      <c r="H124" s="6" t="str">
        <f>IFERROR(__xludf.DUMMYFUNCTION("""COMPUTED_VALUE"""),"pcs")</f>
        <v>pcs</v>
      </c>
      <c r="I124" s="6" t="str">
        <f>IFERROR(__xludf.DUMMYFUNCTION("""COMPUTED_VALUE"""),"MFH")</f>
        <v>MFH</v>
      </c>
      <c r="J124" s="6" t="str">
        <f>IFERROR(__xludf.DUMMYFUNCTION("""COMPUTED_VALUE"""),"Building")</f>
        <v>Building</v>
      </c>
      <c r="K124" s="6" t="str">
        <f>IFERROR(__xludf.DUMMYFUNCTION("""COMPUTED_VALUE"""),"SPR/09/23/004")</f>
        <v>SPR/09/23/004</v>
      </c>
      <c r="L124" s="13">
        <f>IFERROR(__xludf.DUMMYFUNCTION("""COMPUTED_VALUE"""),45170.0)</f>
        <v>45170</v>
      </c>
    </row>
    <row r="125">
      <c r="A125" s="6" t="str">
        <f>IFERROR(__xludf.DUMMYFUNCTION("""COMPUTED_VALUE"""),"AAA")</f>
        <v>AAA</v>
      </c>
      <c r="B125" s="6" t="str">
        <f>IFERROR(__xludf.DUMMYFUNCTION("""COMPUTED_VALUE"""),"ENG")</f>
        <v>ENG</v>
      </c>
      <c r="C125" s="6" t="str">
        <f>IFERROR(__xludf.DUMMYFUNCTION("""COMPUTED_VALUE"""),"T-20212-00")</f>
        <v>T-20212-00</v>
      </c>
      <c r="D125" s="6" t="str">
        <f>IFERROR(__xludf.DUMMYFUNCTION("""COMPUTED_VALUE"""),"SEAL PLUNGER 2690, Waters, Par")</f>
        <v>SEAL PLUNGER 2690, Waters, Par</v>
      </c>
      <c r="E125" s="6">
        <f>IFERROR(__xludf.DUMMYFUNCTION("""COMPUTED_VALUE"""),2.0)</f>
        <v>2</v>
      </c>
      <c r="F125" s="6">
        <f>IFERROR(__xludf.DUMMYFUNCTION("""COMPUTED_VALUE"""),2.0)</f>
        <v>2</v>
      </c>
      <c r="G125" s="6">
        <f>IFERROR(__xludf.DUMMYFUNCTION("""COMPUTED_VALUE"""),0.0)</f>
        <v>0</v>
      </c>
      <c r="H125" s="6" t="str">
        <f>IFERROR(__xludf.DUMMYFUNCTION("""COMPUTED_VALUE"""),"pcs")</f>
        <v>pcs</v>
      </c>
      <c r="I125" s="6" t="str">
        <f>IFERROR(__xludf.DUMMYFUNCTION("""COMPUTED_VALUE"""),"MFH")</f>
        <v>MFH</v>
      </c>
      <c r="J125" s="6" t="str">
        <f>IFERROR(__xludf.DUMMYFUNCTION("""COMPUTED_VALUE"""),"HPLC")</f>
        <v>HPLC</v>
      </c>
      <c r="K125" s="6" t="str">
        <f>IFERROR(__xludf.DUMMYFUNCTION("""COMPUTED_VALUE"""),"SPR/09/23/005")</f>
        <v>SPR/09/23/005</v>
      </c>
      <c r="L125" s="13">
        <f>IFERROR(__xludf.DUMMYFUNCTION("""COMPUTED_VALUE"""),45170.0)</f>
        <v>45170</v>
      </c>
    </row>
    <row r="126">
      <c r="A126" s="6" t="str">
        <f>IFERROR(__xludf.DUMMYFUNCTION("""COMPUTED_VALUE"""),"AAA")</f>
        <v>AAA</v>
      </c>
      <c r="B126" s="6" t="str">
        <f>IFERROR(__xludf.DUMMYFUNCTION("""COMPUTED_VALUE"""),"ENG")</f>
        <v>ENG</v>
      </c>
      <c r="C126" s="6" t="str">
        <f>IFERROR(__xludf.DUMMYFUNCTION("""COMPUTED_VALUE"""),"-")</f>
        <v>-</v>
      </c>
      <c r="D126" s="6" t="str">
        <f>IFERROR(__xludf.DUMMYFUNCTION("""COMPUTED_VALUE"""),"SVIMSeidenader")</f>
        <v>SVIMSeidenader</v>
      </c>
      <c r="E126" s="6">
        <f>IFERROR(__xludf.DUMMYFUNCTION("""COMPUTED_VALUE"""),1.0)</f>
        <v>1</v>
      </c>
      <c r="F126" s="6">
        <f>IFERROR(__xludf.DUMMYFUNCTION("""COMPUTED_VALUE"""),1.0)</f>
        <v>1</v>
      </c>
      <c r="G126" s="6">
        <f>IFERROR(__xludf.DUMMYFUNCTION("""COMPUTED_VALUE"""),0.0)</f>
        <v>0</v>
      </c>
      <c r="H126" s="6" t="str">
        <f>IFERROR(__xludf.DUMMYFUNCTION("""COMPUTED_VALUE"""),"Unit")</f>
        <v>Unit</v>
      </c>
      <c r="I126" s="6" t="str">
        <f>IFERROR(__xludf.DUMMYFUNCTION("""COMPUTED_VALUE"""),"MFH")</f>
        <v>MFH</v>
      </c>
      <c r="J126" s="6" t="str">
        <f>IFERROR(__xludf.DUMMYFUNCTION("""COMPUTED_VALUE"""),"MS30")</f>
        <v>MS30</v>
      </c>
      <c r="K126" s="6" t="str">
        <f>IFERROR(__xludf.DUMMYFUNCTION("""COMPUTED_VALUE"""),"SPR/09/23/005")</f>
        <v>SPR/09/23/005</v>
      </c>
      <c r="L126" s="13">
        <f>IFERROR(__xludf.DUMMYFUNCTION("""COMPUTED_VALUE"""),45170.0)</f>
        <v>45170</v>
      </c>
    </row>
    <row r="127">
      <c r="A127" s="6" t="str">
        <f>IFERROR(__xludf.DUMMYFUNCTION("""COMPUTED_VALUE"""),"AAA")</f>
        <v>AAA</v>
      </c>
      <c r="B127" s="6" t="str">
        <f>IFERROR(__xludf.DUMMYFUNCTION("""COMPUTED_VALUE"""),"ENG")</f>
        <v>ENG</v>
      </c>
      <c r="C127" s="6" t="str">
        <f>IFERROR(__xludf.DUMMYFUNCTION("""COMPUTED_VALUE"""),"T-80681-00")</f>
        <v>T-80681-00</v>
      </c>
      <c r="D127" s="6" t="str">
        <f>IFERROR(__xludf.DUMMYFUNCTION("""COMPUTED_VALUE"""),"Battery Kancing Energizer CR20")</f>
        <v>Battery Kancing Energizer CR20</v>
      </c>
      <c r="E127" s="6">
        <f>IFERROR(__xludf.DUMMYFUNCTION("""COMPUTED_VALUE"""),1.0)</f>
        <v>1</v>
      </c>
      <c r="F127" s="6">
        <f>IFERROR(__xludf.DUMMYFUNCTION("""COMPUTED_VALUE"""),1.0)</f>
        <v>1</v>
      </c>
      <c r="G127" s="6">
        <f>IFERROR(__xludf.DUMMYFUNCTION("""COMPUTED_VALUE"""),0.0)</f>
        <v>0</v>
      </c>
      <c r="H127" s="6" t="str">
        <f>IFERROR(__xludf.DUMMYFUNCTION("""COMPUTED_VALUE"""),"pcs")</f>
        <v>pcs</v>
      </c>
      <c r="I127" s="6" t="str">
        <f>IFERROR(__xludf.DUMMYFUNCTION("""COMPUTED_VALUE"""),"MFH")</f>
        <v>MFH</v>
      </c>
      <c r="J127" s="6" t="str">
        <f>IFERROR(__xludf.DUMMYFUNCTION("""COMPUTED_VALUE"""),"HPLC")</f>
        <v>HPLC</v>
      </c>
      <c r="K127" s="6" t="str">
        <f>IFERROR(__xludf.DUMMYFUNCTION("""COMPUTED_VALUE"""),"SPR/09/23/005")</f>
        <v>SPR/09/23/005</v>
      </c>
      <c r="L127" s="13">
        <f>IFERROR(__xludf.DUMMYFUNCTION("""COMPUTED_VALUE"""),45170.0)</f>
        <v>45170</v>
      </c>
    </row>
    <row r="128">
      <c r="A128" s="6" t="str">
        <f>IFERROR(__xludf.DUMMYFUNCTION("""COMPUTED_VALUE"""),"RIA")</f>
        <v>RIA</v>
      </c>
      <c r="B128" s="6" t="str">
        <f>IFERROR(__xludf.DUMMYFUNCTION("""COMPUTED_VALUE"""),"ENG")</f>
        <v>ENG</v>
      </c>
      <c r="C128" s="6" t="str">
        <f>IFERROR(__xludf.DUMMYFUNCTION("""COMPUTED_VALUE"""),"P-51027-00")</f>
        <v>P-51027-00</v>
      </c>
      <c r="D128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28" s="6">
        <f>IFERROR(__xludf.DUMMYFUNCTION("""COMPUTED_VALUE"""),1.0)</f>
        <v>1</v>
      </c>
      <c r="F128" s="6">
        <f>IFERROR(__xludf.DUMMYFUNCTION("""COMPUTED_VALUE"""),1.0)</f>
        <v>1</v>
      </c>
      <c r="G128" s="6">
        <f>IFERROR(__xludf.DUMMYFUNCTION("""COMPUTED_VALUE"""),0.0)</f>
        <v>0</v>
      </c>
      <c r="H128" s="6" t="str">
        <f>IFERROR(__xludf.DUMMYFUNCTION("""COMPUTED_VALUE"""),"pcs")</f>
        <v>pcs</v>
      </c>
      <c r="I128" s="6" t="str">
        <f>IFERROR(__xludf.DUMMYFUNCTION("""COMPUTED_VALUE"""),"MFH")</f>
        <v>MFH</v>
      </c>
      <c r="J128" s="6" t="str">
        <f>IFERROR(__xludf.DUMMYFUNCTION("""COMPUTED_VALUE"""),"API")</f>
        <v>API</v>
      </c>
      <c r="K128" s="6" t="str">
        <f>IFERROR(__xludf.DUMMYFUNCTION("""COMPUTED_VALUE"""),"SPR/09/23/006")</f>
        <v>SPR/09/23/006</v>
      </c>
      <c r="L128" s="13">
        <f>IFERROR(__xludf.DUMMYFUNCTION("""COMPUTED_VALUE"""),45170.0)</f>
        <v>45170</v>
      </c>
    </row>
    <row r="129">
      <c r="A129" s="6" t="str">
        <f>IFERROR(__xludf.DUMMYFUNCTION("""COMPUTED_VALUE"""),"RIA")</f>
        <v>RIA</v>
      </c>
      <c r="B129" s="6" t="str">
        <f>IFERROR(__xludf.DUMMYFUNCTION("""COMPUTED_VALUE"""),"ENG")</f>
        <v>ENG</v>
      </c>
      <c r="C129" s="6" t="str">
        <f>IFERROR(__xludf.DUMMYFUNCTION("""COMPUTED_VALUE"""),"O-51687-00")</f>
        <v>O-51687-00</v>
      </c>
      <c r="D129" s="6" t="str">
        <f>IFERROR(__xludf.DUMMYFUNCTION("""COMPUTED_VALUE"""),"Relay OMRON G2A-432A-N DC + so")</f>
        <v>Relay OMRON G2A-432A-N DC + so</v>
      </c>
      <c r="E129" s="6">
        <f>IFERROR(__xludf.DUMMYFUNCTION("""COMPUTED_VALUE"""),1.0)</f>
        <v>1</v>
      </c>
      <c r="F129" s="6">
        <f>IFERROR(__xludf.DUMMYFUNCTION("""COMPUTED_VALUE"""),1.0)</f>
        <v>1</v>
      </c>
      <c r="G129" s="6">
        <f>IFERROR(__xludf.DUMMYFUNCTION("""COMPUTED_VALUE"""),0.0)</f>
        <v>0</v>
      </c>
      <c r="H129" s="6" t="str">
        <f>IFERROR(__xludf.DUMMYFUNCTION("""COMPUTED_VALUE"""),"pcs")</f>
        <v>pcs</v>
      </c>
      <c r="I129" s="6" t="str">
        <f>IFERROR(__xludf.DUMMYFUNCTION("""COMPUTED_VALUE"""),"MFH")</f>
        <v>MFH</v>
      </c>
      <c r="J129" s="6" t="str">
        <f>IFERROR(__xludf.DUMMYFUNCTION("""COMPUTED_VALUE"""),"API")</f>
        <v>API</v>
      </c>
      <c r="K129" s="6" t="str">
        <f>IFERROR(__xludf.DUMMYFUNCTION("""COMPUTED_VALUE"""),"SPR/09/23/006")</f>
        <v>SPR/09/23/006</v>
      </c>
      <c r="L129" s="13">
        <f>IFERROR(__xludf.DUMMYFUNCTION("""COMPUTED_VALUE"""),45170.0)</f>
        <v>45170</v>
      </c>
    </row>
    <row r="130">
      <c r="A130" s="6" t="str">
        <f>IFERROR(__xludf.DUMMYFUNCTION("""COMPUTED_VALUE"""),"RIA")</f>
        <v>RIA</v>
      </c>
      <c r="B130" s="6" t="str">
        <f>IFERROR(__xludf.DUMMYFUNCTION("""COMPUTED_VALUE"""),"ENG")</f>
        <v>ENG</v>
      </c>
      <c r="C130" s="6" t="str">
        <f>IFERROR(__xludf.DUMMYFUNCTION("""COMPUTED_VALUE"""),"P-50810-00")</f>
        <v>P-50810-00</v>
      </c>
      <c r="D130" s="6" t="str">
        <f>IFERROR(__xludf.DUMMYFUNCTION("""COMPUTED_VALUE"""),"Buzzer type AD22-22MSD warna m")</f>
        <v>Buzzer type AD22-22MSD warna m</v>
      </c>
      <c r="E130" s="6">
        <f>IFERROR(__xludf.DUMMYFUNCTION("""COMPUTED_VALUE"""),1.0)</f>
        <v>1</v>
      </c>
      <c r="F130" s="6">
        <f>IFERROR(__xludf.DUMMYFUNCTION("""COMPUTED_VALUE"""),1.0)</f>
        <v>1</v>
      </c>
      <c r="G130" s="6">
        <f>IFERROR(__xludf.DUMMYFUNCTION("""COMPUTED_VALUE"""),0.0)</f>
        <v>0</v>
      </c>
      <c r="H130" s="6" t="str">
        <f>IFERROR(__xludf.DUMMYFUNCTION("""COMPUTED_VALUE"""),"pcs")</f>
        <v>pcs</v>
      </c>
      <c r="I130" s="6" t="str">
        <f>IFERROR(__xludf.DUMMYFUNCTION("""COMPUTED_VALUE"""),"MFH")</f>
        <v>MFH</v>
      </c>
      <c r="J130" s="6" t="str">
        <f>IFERROR(__xludf.DUMMYFUNCTION("""COMPUTED_VALUE"""),"API")</f>
        <v>API</v>
      </c>
      <c r="K130" s="6" t="str">
        <f>IFERROR(__xludf.DUMMYFUNCTION("""COMPUTED_VALUE"""),"SPR/09/23/006")</f>
        <v>SPR/09/23/006</v>
      </c>
      <c r="L130" s="13">
        <f>IFERROR(__xludf.DUMMYFUNCTION("""COMPUTED_VALUE"""),45170.0)</f>
        <v>45170</v>
      </c>
    </row>
    <row r="131">
      <c r="A131" s="6" t="str">
        <f>IFERROR(__xludf.DUMMYFUNCTION("""COMPUTED_VALUE"""),"YSO")</f>
        <v>YSO</v>
      </c>
      <c r="B131" s="6" t="str">
        <f>IFERROR(__xludf.DUMMYFUNCTION("""COMPUTED_VALUE"""),"PRO")</f>
        <v>PRO</v>
      </c>
      <c r="C131" s="6" t="str">
        <f>IFERROR(__xludf.DUMMYFUNCTION("""COMPUTED_VALUE"""),"O-16033-00")</f>
        <v>O-16033-00</v>
      </c>
      <c r="D13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31" s="6">
        <f>IFERROR(__xludf.DUMMYFUNCTION("""COMPUTED_VALUE"""),1.0)</f>
        <v>1</v>
      </c>
      <c r="F131" s="6">
        <f>IFERROR(__xludf.DUMMYFUNCTION("""COMPUTED_VALUE"""),1.0)</f>
        <v>1</v>
      </c>
      <c r="G131" s="6">
        <f>IFERROR(__xludf.DUMMYFUNCTION("""COMPUTED_VALUE"""),0.0)</f>
        <v>0</v>
      </c>
      <c r="H131" s="6" t="str">
        <f>IFERROR(__xludf.DUMMYFUNCTION("""COMPUTED_VALUE"""),"pcs")</f>
        <v>pcs</v>
      </c>
      <c r="I131" s="6" t="str">
        <f>IFERROR(__xludf.DUMMYFUNCTION("""COMPUTED_VALUE"""),"MFH")</f>
        <v>MFH</v>
      </c>
      <c r="J131" s="6" t="str">
        <f>IFERROR(__xludf.DUMMYFUNCTION("""COMPUTED_VALUE"""),"cRABS")</f>
        <v>cRABS</v>
      </c>
      <c r="K131" s="6" t="str">
        <f>IFERROR(__xludf.DUMMYFUNCTION("""COMPUTED_VALUE"""),"SPR/09/23/007")</f>
        <v>SPR/09/23/007</v>
      </c>
      <c r="L131" s="13">
        <f>IFERROR(__xludf.DUMMYFUNCTION("""COMPUTED_VALUE"""),45170.0)</f>
        <v>45170</v>
      </c>
    </row>
    <row r="132">
      <c r="A132" s="6" t="str">
        <f>IFERROR(__xludf.DUMMYFUNCTION("""COMPUTED_VALUE"""),"AAA")</f>
        <v>AAA</v>
      </c>
      <c r="B132" s="6" t="str">
        <f>IFERROR(__xludf.DUMMYFUNCTION("""COMPUTED_VALUE"""),"ENG")</f>
        <v>ENG</v>
      </c>
      <c r="C132" s="6" t="str">
        <f>IFERROR(__xludf.DUMMYFUNCTION("""COMPUTED_VALUE"""),"O-52200-00")</f>
        <v>O-52200-00</v>
      </c>
      <c r="D132" s="6" t="str">
        <f>IFERROR(__xludf.DUMMYFUNCTION("""COMPUTED_VALUE"""),"FESTO - Proximity Sensor SME-")</f>
        <v>FESTO - Proximity Sensor SME-</v>
      </c>
      <c r="E132" s="6">
        <f>IFERROR(__xludf.DUMMYFUNCTION("""COMPUTED_VALUE"""),1.0)</f>
        <v>1</v>
      </c>
      <c r="F132" s="6">
        <f>IFERROR(__xludf.DUMMYFUNCTION("""COMPUTED_VALUE"""),1.0)</f>
        <v>1</v>
      </c>
      <c r="G132" s="6">
        <f>IFERROR(__xludf.DUMMYFUNCTION("""COMPUTED_VALUE"""),0.0)</f>
        <v>0</v>
      </c>
      <c r="H132" s="6" t="str">
        <f>IFERROR(__xludf.DUMMYFUNCTION("""COMPUTED_VALUE"""),"pcs")</f>
        <v>pcs</v>
      </c>
      <c r="I132" s="6" t="str">
        <f>IFERROR(__xludf.DUMMYFUNCTION("""COMPUTED_VALUE"""),"MFH")</f>
        <v>MFH</v>
      </c>
      <c r="J132" s="6" t="str">
        <f>IFERROR(__xludf.DUMMYFUNCTION("""COMPUTED_VALUE"""),"WASHING")</f>
        <v>WASHING</v>
      </c>
      <c r="K132" s="6" t="str">
        <f>IFERROR(__xludf.DUMMYFUNCTION("""COMPUTED_VALUE"""),"SPR/08/23/008")</f>
        <v>SPR/08/23/008</v>
      </c>
      <c r="L132" s="13">
        <f>IFERROR(__xludf.DUMMYFUNCTION("""COMPUTED_VALUE"""),45170.0)</f>
        <v>45170</v>
      </c>
    </row>
    <row r="133">
      <c r="A133" s="6" t="str">
        <f>IFERROR(__xludf.DUMMYFUNCTION("""COMPUTED_VALUE"""),"TWS")</f>
        <v>TWS</v>
      </c>
      <c r="B133" s="6" t="str">
        <f>IFERROR(__xludf.DUMMYFUNCTION("""COMPUTED_VALUE"""),"PRO")</f>
        <v>PRO</v>
      </c>
      <c r="C133" s="6" t="str">
        <f>IFERROR(__xludf.DUMMYFUNCTION("""COMPUTED_VALUE"""),"T-20123-00")</f>
        <v>T-20123-00</v>
      </c>
      <c r="D133" s="6" t="str">
        <f>IFERROR(__xludf.DUMMYFUNCTION("""COMPUTED_VALUE"""),"Acquity PDA/TUV 2489/2998 Perf")</f>
        <v>Acquity PDA/TUV 2489/2998 Perf</v>
      </c>
      <c r="E133" s="6">
        <f>IFERROR(__xludf.DUMMYFUNCTION("""COMPUTED_VALUE"""),2.0)</f>
        <v>2</v>
      </c>
      <c r="F133" s="6">
        <f>IFERROR(__xludf.DUMMYFUNCTION("""COMPUTED_VALUE"""),2.0)</f>
        <v>2</v>
      </c>
      <c r="G133" s="6">
        <f>IFERROR(__xludf.DUMMYFUNCTION("""COMPUTED_VALUE"""),0.0)</f>
        <v>0</v>
      </c>
      <c r="H133" s="6" t="str">
        <f>IFERROR(__xludf.DUMMYFUNCTION("""COMPUTED_VALUE"""),"pcs")</f>
        <v>pcs</v>
      </c>
      <c r="I133" s="6" t="str">
        <f>IFERROR(__xludf.DUMMYFUNCTION("""COMPUTED_VALUE"""),"MFH")</f>
        <v>MFH</v>
      </c>
      <c r="J133" s="6" t="str">
        <f>IFERROR(__xludf.DUMMYFUNCTION("""COMPUTED_VALUE"""),"HPLC")</f>
        <v>HPLC</v>
      </c>
      <c r="K133" s="6" t="str">
        <f>IFERROR(__xludf.DUMMYFUNCTION("""COMPUTED_VALUE"""),"SPR/09/23/009")</f>
        <v>SPR/09/23/009</v>
      </c>
      <c r="L133" s="13">
        <f>IFERROR(__xludf.DUMMYFUNCTION("""COMPUTED_VALUE"""),45170.0)</f>
        <v>45170</v>
      </c>
    </row>
    <row r="134">
      <c r="A134" s="6" t="str">
        <f>IFERROR(__xludf.DUMMYFUNCTION("""COMPUTED_VALUE"""),"ROS")</f>
        <v>ROS</v>
      </c>
      <c r="B134" s="6" t="str">
        <f>IFERROR(__xludf.DUMMYFUNCTION("""COMPUTED_VALUE"""),"ENG")</f>
        <v>ENG</v>
      </c>
      <c r="C134" s="6" t="str">
        <f>IFERROR(__xludf.DUMMYFUNCTION("""COMPUTED_VALUE"""),"P-53209-00")</f>
        <v>P-53209-00</v>
      </c>
      <c r="D134" s="6" t="str">
        <f>IFERROR(__xludf.DUMMYFUNCTION("""COMPUTED_VALUE"""),"CAPACITOR 3 uF, 220 V, 2 kutub")</f>
        <v>CAPACITOR 3 uF, 220 V, 2 kutub</v>
      </c>
      <c r="E134" s="6">
        <f>IFERROR(__xludf.DUMMYFUNCTION("""COMPUTED_VALUE"""),1.0)</f>
        <v>1</v>
      </c>
      <c r="F134" s="6">
        <f>IFERROR(__xludf.DUMMYFUNCTION("""COMPUTED_VALUE"""),1.0)</f>
        <v>1</v>
      </c>
      <c r="G134" s="6">
        <f>IFERROR(__xludf.DUMMYFUNCTION("""COMPUTED_VALUE"""),0.0)</f>
        <v>0</v>
      </c>
      <c r="H134" s="6" t="str">
        <f>IFERROR(__xludf.DUMMYFUNCTION("""COMPUTED_VALUE"""),"pcs")</f>
        <v>pcs</v>
      </c>
      <c r="I134" s="6" t="str">
        <f>IFERROR(__xludf.DUMMYFUNCTION("""COMPUTED_VALUE"""),"MFH")</f>
        <v>MFH</v>
      </c>
      <c r="J134" s="6" t="str">
        <f>IFERROR(__xludf.DUMMYFUNCTION("""COMPUTED_VALUE"""),"QCWetlab")</f>
        <v>QCWetlab</v>
      </c>
      <c r="K134" s="6" t="str">
        <f>IFERROR(__xludf.DUMMYFUNCTION("""COMPUTED_VALUE"""),"SPR/09/23/010")</f>
        <v>SPR/09/23/010</v>
      </c>
      <c r="L134" s="13">
        <f>IFERROR(__xludf.DUMMYFUNCTION("""COMPUTED_VALUE"""),45170.0)</f>
        <v>45170</v>
      </c>
    </row>
    <row r="135">
      <c r="A135" s="6" t="str">
        <f>IFERROR(__xludf.DUMMYFUNCTION("""COMPUTED_VALUE"""),"RIA")</f>
        <v>RIA</v>
      </c>
      <c r="B135" s="6" t="str">
        <f>IFERROR(__xludf.DUMMYFUNCTION("""COMPUTED_VALUE"""),"ENG")</f>
        <v>ENG</v>
      </c>
      <c r="C135" s="6" t="str">
        <f>IFERROR(__xludf.DUMMYFUNCTION("""COMPUTED_VALUE"""),"P-53173-00")</f>
        <v>P-53173-00</v>
      </c>
      <c r="D135" s="6" t="str">
        <f>IFERROR(__xludf.DUMMYFUNCTION("""COMPUTED_VALUE"""),"Ballast Electronic EB-C 214 TL5, 2x14W; Phillips; ;")</f>
        <v>Ballast Electronic EB-C 214 TL5, 2x14W; Phillips; ;</v>
      </c>
      <c r="E135" s="6">
        <f>IFERROR(__xludf.DUMMYFUNCTION("""COMPUTED_VALUE"""),4.0)</f>
        <v>4</v>
      </c>
      <c r="F135" s="6">
        <f>IFERROR(__xludf.DUMMYFUNCTION("""COMPUTED_VALUE"""),4.0)</f>
        <v>4</v>
      </c>
      <c r="G135" s="6">
        <f>IFERROR(__xludf.DUMMYFUNCTION("""COMPUTED_VALUE"""),0.0)</f>
        <v>0</v>
      </c>
      <c r="H135" s="6" t="str">
        <f>IFERROR(__xludf.DUMMYFUNCTION("""COMPUTED_VALUE"""),"pcs")</f>
        <v>pcs</v>
      </c>
      <c r="I135" s="6" t="str">
        <f>IFERROR(__xludf.DUMMYFUNCTION("""COMPUTED_VALUE"""),"MFH")</f>
        <v>MFH</v>
      </c>
      <c r="J135" s="6" t="str">
        <f>IFERROR(__xludf.DUMMYFUNCTION("""COMPUTED_VALUE"""),"Building")</f>
        <v>Building</v>
      </c>
      <c r="K135" s="6" t="str">
        <f>IFERROR(__xludf.DUMMYFUNCTION("""COMPUTED_VALUE"""),"SPR/09/23/011")</f>
        <v>SPR/09/23/011</v>
      </c>
      <c r="L135" s="13">
        <f>IFERROR(__xludf.DUMMYFUNCTION("""COMPUTED_VALUE"""),45170.0)</f>
        <v>45170</v>
      </c>
    </row>
    <row r="136">
      <c r="A136" s="6" t="str">
        <f>IFERROR(__xludf.DUMMYFUNCTION("""COMPUTED_VALUE"""),"EIL")</f>
        <v>EIL</v>
      </c>
      <c r="B136" s="6" t="str">
        <f>IFERROR(__xludf.DUMMYFUNCTION("""COMPUTED_VALUE"""),"ENG")</f>
        <v>ENG</v>
      </c>
      <c r="C136" s="6" t="str">
        <f>IFERROR(__xludf.DUMMYFUNCTION("""COMPUTED_VALUE"""),"Q-10154-00")</f>
        <v>Q-10154-00</v>
      </c>
      <c r="D136" s="6" t="str">
        <f>IFERROR(__xludf.DUMMYFUNCTION("""COMPUTED_VALUE"""),"Roller cat 230mm")</f>
        <v>Roller cat 230mm</v>
      </c>
      <c r="E136" s="6">
        <f>IFERROR(__xludf.DUMMYFUNCTION("""COMPUTED_VALUE"""),1.0)</f>
        <v>1</v>
      </c>
      <c r="F136" s="6">
        <f>IFERROR(__xludf.DUMMYFUNCTION("""COMPUTED_VALUE"""),1.0)</f>
        <v>1</v>
      </c>
      <c r="G136" s="6">
        <f>IFERROR(__xludf.DUMMYFUNCTION("""COMPUTED_VALUE"""),0.0)</f>
        <v>0</v>
      </c>
      <c r="H136" s="6" t="str">
        <f>IFERROR(__xludf.DUMMYFUNCTION("""COMPUTED_VALUE"""),"pcs")</f>
        <v>pcs</v>
      </c>
      <c r="I136" s="6" t="str">
        <f>IFERROR(__xludf.DUMMYFUNCTION("""COMPUTED_VALUE"""),"MFH")</f>
        <v>MFH</v>
      </c>
      <c r="J136" s="6" t="str">
        <f>IFERROR(__xludf.DUMMYFUNCTION("""COMPUTED_VALUE"""),"Building")</f>
        <v>Building</v>
      </c>
      <c r="K136" s="6" t="str">
        <f>IFERROR(__xludf.DUMMYFUNCTION("""COMPUTED_VALUE"""),"SPR/09/23/012")</f>
        <v>SPR/09/23/012</v>
      </c>
      <c r="L136" s="13">
        <f>IFERROR(__xludf.DUMMYFUNCTION("""COMPUTED_VALUE"""),45170.0)</f>
        <v>45170</v>
      </c>
    </row>
    <row r="137">
      <c r="A137" s="6" t="str">
        <f>IFERROR(__xludf.DUMMYFUNCTION("""COMPUTED_VALUE"""),"EIL")</f>
        <v>EIL</v>
      </c>
      <c r="B137" s="6" t="str">
        <f>IFERROR(__xludf.DUMMYFUNCTION("""COMPUTED_VALUE"""),"ENG")</f>
        <v>ENG</v>
      </c>
      <c r="C137" s="6" t="str">
        <f>IFERROR(__xludf.DUMMYFUNCTION("""COMPUTED_VALUE"""),"P-51559-00")</f>
        <v>P-51559-00</v>
      </c>
      <c r="D137" s="6" t="str">
        <f>IFERROR(__xludf.DUMMYFUNCTION("""COMPUTED_VALUE"""),"Lampu T5 14watt Putih; Phillips; ;")</f>
        <v>Lampu T5 14watt Putih; Phillips; ;</v>
      </c>
      <c r="E137" s="6">
        <f>IFERROR(__xludf.DUMMYFUNCTION("""COMPUTED_VALUE"""),20.0)</f>
        <v>20</v>
      </c>
      <c r="F137" s="6">
        <f>IFERROR(__xludf.DUMMYFUNCTION("""COMPUTED_VALUE"""),20.0)</f>
        <v>20</v>
      </c>
      <c r="G137" s="6">
        <f>IFERROR(__xludf.DUMMYFUNCTION("""COMPUTED_VALUE"""),0.0)</f>
        <v>0</v>
      </c>
      <c r="H137" s="6" t="str">
        <f>IFERROR(__xludf.DUMMYFUNCTION("""COMPUTED_VALUE"""),"pcs")</f>
        <v>pcs</v>
      </c>
      <c r="I137" s="6" t="str">
        <f>IFERROR(__xludf.DUMMYFUNCTION("""COMPUTED_VALUE"""),"MFH")</f>
        <v>MFH</v>
      </c>
      <c r="J137" s="6" t="str">
        <f>IFERROR(__xludf.DUMMYFUNCTION("""COMPUTED_VALUE"""),"Building")</f>
        <v>Building</v>
      </c>
      <c r="K137" s="6" t="str">
        <f>IFERROR(__xludf.DUMMYFUNCTION("""COMPUTED_VALUE"""),"SPR/09/23/013")</f>
        <v>SPR/09/23/013</v>
      </c>
      <c r="L137" s="13">
        <f>IFERROR(__xludf.DUMMYFUNCTION("""COMPUTED_VALUE"""),45170.0)</f>
        <v>45170</v>
      </c>
    </row>
    <row r="138">
      <c r="A138" s="6" t="str">
        <f>IFERROR(__xludf.DUMMYFUNCTION("""COMPUTED_VALUE"""),"EIL")</f>
        <v>EIL</v>
      </c>
      <c r="B138" s="6" t="str">
        <f>IFERROR(__xludf.DUMMYFUNCTION("""COMPUTED_VALUE"""),"ENG")</f>
        <v>ENG</v>
      </c>
      <c r="C138" s="6" t="str">
        <f>IFERROR(__xludf.DUMMYFUNCTION("""COMPUTED_VALUE"""),"P-51560-00")</f>
        <v>P-51560-00</v>
      </c>
      <c r="D138" s="6" t="str">
        <f>IFERROR(__xludf.DUMMYFUNCTION("""COMPUTED_VALUE"""),"Lampu T5 28watt Putih; Phillips; ;")</f>
        <v>Lampu T5 28watt Putih; Phillips; ;</v>
      </c>
      <c r="E138" s="6">
        <f>IFERROR(__xludf.DUMMYFUNCTION("""COMPUTED_VALUE"""),2.0)</f>
        <v>2</v>
      </c>
      <c r="F138" s="6">
        <f>IFERROR(__xludf.DUMMYFUNCTION("""COMPUTED_VALUE"""),2.0)</f>
        <v>2</v>
      </c>
      <c r="G138" s="6">
        <f>IFERROR(__xludf.DUMMYFUNCTION("""COMPUTED_VALUE"""),0.0)</f>
        <v>0</v>
      </c>
      <c r="H138" s="6" t="str">
        <f>IFERROR(__xludf.DUMMYFUNCTION("""COMPUTED_VALUE"""),"pcs")</f>
        <v>pcs</v>
      </c>
      <c r="I138" s="6" t="str">
        <f>IFERROR(__xludf.DUMMYFUNCTION("""COMPUTED_VALUE"""),"MFH")</f>
        <v>MFH</v>
      </c>
      <c r="J138" s="6" t="str">
        <f>IFERROR(__xludf.DUMMYFUNCTION("""COMPUTED_VALUE"""),"Building")</f>
        <v>Building</v>
      </c>
      <c r="K138" s="6" t="str">
        <f>IFERROR(__xludf.DUMMYFUNCTION("""COMPUTED_VALUE"""),"SPR/09/23/013")</f>
        <v>SPR/09/23/013</v>
      </c>
      <c r="L138" s="13">
        <f>IFERROR(__xludf.DUMMYFUNCTION("""COMPUTED_VALUE"""),45170.0)</f>
        <v>45170</v>
      </c>
    </row>
    <row r="139">
      <c r="A139" s="6" t="str">
        <f>IFERROR(__xludf.DUMMYFUNCTION("""COMPUTED_VALUE"""),"RIA")</f>
        <v>RIA</v>
      </c>
      <c r="B139" s="6" t="str">
        <f>IFERROR(__xludf.DUMMYFUNCTION("""COMPUTED_VALUE"""),"ENG")</f>
        <v>ENG</v>
      </c>
      <c r="C139" s="6" t="str">
        <f>IFERROR(__xludf.DUMMYFUNCTION("""COMPUTED_VALUE"""),"P-51559-00")</f>
        <v>P-51559-00</v>
      </c>
      <c r="D139" s="6" t="str">
        <f>IFERROR(__xludf.DUMMYFUNCTION("""COMPUTED_VALUE"""),"Lampu T5 14watt Putih; Phillips; ;")</f>
        <v>Lampu T5 14watt Putih; Phillips; ;</v>
      </c>
      <c r="E139" s="6">
        <f>IFERROR(__xludf.DUMMYFUNCTION("""COMPUTED_VALUE"""),10.0)</f>
        <v>10</v>
      </c>
      <c r="F139" s="6">
        <f>IFERROR(__xludf.DUMMYFUNCTION("""COMPUTED_VALUE"""),10.0)</f>
        <v>10</v>
      </c>
      <c r="G139" s="6">
        <f>IFERROR(__xludf.DUMMYFUNCTION("""COMPUTED_VALUE"""),0.0)</f>
        <v>0</v>
      </c>
      <c r="H139" s="6" t="str">
        <f>IFERROR(__xludf.DUMMYFUNCTION("""COMPUTED_VALUE"""),"pcs")</f>
        <v>pcs</v>
      </c>
      <c r="I139" s="6" t="str">
        <f>IFERROR(__xludf.DUMMYFUNCTION("""COMPUTED_VALUE"""),"MFH")</f>
        <v>MFH</v>
      </c>
      <c r="J139" s="6" t="str">
        <f>IFERROR(__xludf.DUMMYFUNCTION("""COMPUTED_VALUE"""),"Building")</f>
        <v>Building</v>
      </c>
      <c r="K139" s="6" t="str">
        <f>IFERROR(__xludf.DUMMYFUNCTION("""COMPUTED_VALUE"""),"SPR/09/23/014")</f>
        <v>SPR/09/23/014</v>
      </c>
      <c r="L139" s="13">
        <f>IFERROR(__xludf.DUMMYFUNCTION("""COMPUTED_VALUE"""),45170.0)</f>
        <v>45170</v>
      </c>
    </row>
    <row r="140">
      <c r="A140" s="6" t="str">
        <f>IFERROR(__xludf.DUMMYFUNCTION("""COMPUTED_VALUE"""),"RIA")</f>
        <v>RIA</v>
      </c>
      <c r="B140" s="6" t="str">
        <f>IFERROR(__xludf.DUMMYFUNCTION("""COMPUTED_VALUE"""),"ENG")</f>
        <v>ENG</v>
      </c>
      <c r="C140" s="6" t="str">
        <f>IFERROR(__xludf.DUMMYFUNCTION("""COMPUTED_VALUE"""),"P-51560-00")</f>
        <v>P-51560-00</v>
      </c>
      <c r="D140" s="6" t="str">
        <f>IFERROR(__xludf.DUMMYFUNCTION("""COMPUTED_VALUE"""),"Lampu T5 28watt Putih; Phillips; ;")</f>
        <v>Lampu T5 28watt Putih; Phillips; ;</v>
      </c>
      <c r="E140" s="6">
        <f>IFERROR(__xludf.DUMMYFUNCTION("""COMPUTED_VALUE"""),6.0)</f>
        <v>6</v>
      </c>
      <c r="F140" s="6">
        <f>IFERROR(__xludf.DUMMYFUNCTION("""COMPUTED_VALUE"""),6.0)</f>
        <v>6</v>
      </c>
      <c r="G140" s="6">
        <f>IFERROR(__xludf.DUMMYFUNCTION("""COMPUTED_VALUE"""),0.0)</f>
        <v>0</v>
      </c>
      <c r="H140" s="6" t="str">
        <f>IFERROR(__xludf.DUMMYFUNCTION("""COMPUTED_VALUE"""),"pcs")</f>
        <v>pcs</v>
      </c>
      <c r="I140" s="6" t="str">
        <f>IFERROR(__xludf.DUMMYFUNCTION("""COMPUTED_VALUE"""),"MFH")</f>
        <v>MFH</v>
      </c>
      <c r="J140" s="6" t="str">
        <f>IFERROR(__xludf.DUMMYFUNCTION("""COMPUTED_VALUE"""),"Building")</f>
        <v>Building</v>
      </c>
      <c r="K140" s="6" t="str">
        <f>IFERROR(__xludf.DUMMYFUNCTION("""COMPUTED_VALUE"""),"SPR/09/23/014")</f>
        <v>SPR/09/23/014</v>
      </c>
      <c r="L140" s="13">
        <f>IFERROR(__xludf.DUMMYFUNCTION("""COMPUTED_VALUE"""),45170.0)</f>
        <v>45170</v>
      </c>
    </row>
    <row r="141">
      <c r="A141" s="6" t="str">
        <f>IFERROR(__xludf.DUMMYFUNCTION("""COMPUTED_VALUE"""),"RIA")</f>
        <v>RIA</v>
      </c>
      <c r="B141" s="6" t="str">
        <f>IFERROR(__xludf.DUMMYFUNCTION("""COMPUTED_VALUE"""),"ENG")</f>
        <v>ENG</v>
      </c>
      <c r="C141" s="6" t="str">
        <f>IFERROR(__xludf.DUMMYFUNCTION("""COMPUTED_VALUE"""),"P-53173-00")</f>
        <v>P-53173-00</v>
      </c>
      <c r="D141" s="6" t="str">
        <f>IFERROR(__xludf.DUMMYFUNCTION("""COMPUTED_VALUE"""),"Ballast Electronic EB-C 214 TL5, 2x14W; Phillips; ;")</f>
        <v>Ballast Electronic EB-C 214 TL5, 2x14W; Phillips; ;</v>
      </c>
      <c r="E141" s="6">
        <f>IFERROR(__xludf.DUMMYFUNCTION("""COMPUTED_VALUE"""),2.0)</f>
        <v>2</v>
      </c>
      <c r="F141" s="6">
        <f>IFERROR(__xludf.DUMMYFUNCTION("""COMPUTED_VALUE"""),2.0)</f>
        <v>2</v>
      </c>
      <c r="G141" s="6">
        <f>IFERROR(__xludf.DUMMYFUNCTION("""COMPUTED_VALUE"""),0.0)</f>
        <v>0</v>
      </c>
      <c r="H141" s="6" t="str">
        <f>IFERROR(__xludf.DUMMYFUNCTION("""COMPUTED_VALUE"""),"pcs")</f>
        <v>pcs</v>
      </c>
      <c r="I141" s="6" t="str">
        <f>IFERROR(__xludf.DUMMYFUNCTION("""COMPUTED_VALUE"""),"MFH")</f>
        <v>MFH</v>
      </c>
      <c r="J141" s="6" t="str">
        <f>IFERROR(__xludf.DUMMYFUNCTION("""COMPUTED_VALUE"""),"Building")</f>
        <v>Building</v>
      </c>
      <c r="K141" s="6" t="str">
        <f>IFERROR(__xludf.DUMMYFUNCTION("""COMPUTED_VALUE"""),"SPR/09/23/014")</f>
        <v>SPR/09/23/014</v>
      </c>
      <c r="L141" s="13">
        <f>IFERROR(__xludf.DUMMYFUNCTION("""COMPUTED_VALUE"""),45170.0)</f>
        <v>45170</v>
      </c>
    </row>
    <row r="142">
      <c r="A142" s="6" t="str">
        <f>IFERROR(__xludf.DUMMYFUNCTION("""COMPUTED_VALUE"""),"AAA")</f>
        <v>AAA</v>
      </c>
      <c r="B142" s="6" t="str">
        <f>IFERROR(__xludf.DUMMYFUNCTION("""COMPUTED_VALUE"""),"ENG")</f>
        <v>ENG</v>
      </c>
      <c r="C142" s="6" t="str">
        <f>IFERROR(__xludf.DUMMYFUNCTION("""COMPUTED_VALUE"""),"O-15619-00")</f>
        <v>O-15619-00</v>
      </c>
      <c r="D142" s="6" t="str">
        <f>IFERROR(__xludf.DUMMYFUNCTION("""COMPUTED_VALUE"""),"HIGH PRECISION OPTICAL FIBER 1")</f>
        <v>HIGH PRECISION OPTICAL FIBER 1</v>
      </c>
      <c r="E142" s="6">
        <f>IFERROR(__xludf.DUMMYFUNCTION("""COMPUTED_VALUE"""),1.0)</f>
        <v>1</v>
      </c>
      <c r="F142" s="6">
        <f>IFERROR(__xludf.DUMMYFUNCTION("""COMPUTED_VALUE"""),1.0)</f>
        <v>1</v>
      </c>
      <c r="G142" s="6">
        <f>IFERROR(__xludf.DUMMYFUNCTION("""COMPUTED_VALUE"""),0.0)</f>
        <v>0</v>
      </c>
      <c r="H142" s="6" t="str">
        <f>IFERROR(__xludf.DUMMYFUNCTION("""COMPUTED_VALUE"""),"pcs")</f>
        <v>pcs</v>
      </c>
      <c r="I142" s="6" t="str">
        <f>IFERROR(__xludf.DUMMYFUNCTION("""COMPUTED_VALUE"""),"MFH")</f>
        <v>MFH</v>
      </c>
      <c r="J142" s="6" t="str">
        <f>IFERROR(__xludf.DUMMYFUNCTION("""COMPUTED_VALUE"""),"Capping")</f>
        <v>Capping</v>
      </c>
      <c r="K142" s="6" t="str">
        <f>IFERROR(__xludf.DUMMYFUNCTION("""COMPUTED_VALUE"""),"SPR/09/23/015")</f>
        <v>SPR/09/23/015</v>
      </c>
      <c r="L142" s="13">
        <f>IFERROR(__xludf.DUMMYFUNCTION("""COMPUTED_VALUE"""),45170.0)</f>
        <v>45170</v>
      </c>
    </row>
    <row r="143">
      <c r="A143" s="6" t="str">
        <f>IFERROR(__xludf.DUMMYFUNCTION("""COMPUTED_VALUE"""),"RIA")</f>
        <v>RIA</v>
      </c>
      <c r="B143" s="6" t="str">
        <f>IFERROR(__xludf.DUMMYFUNCTION("""COMPUTED_VALUE"""),"ENG")</f>
        <v>ENG</v>
      </c>
      <c r="C143" s="6" t="str">
        <f>IFERROR(__xludf.DUMMYFUNCTION("""COMPUTED_VALUE"""),"P-53173-00")</f>
        <v>P-53173-00</v>
      </c>
      <c r="D143" s="6" t="str">
        <f>IFERROR(__xludf.DUMMYFUNCTION("""COMPUTED_VALUE"""),"Ballast Electronic EB-C 214 TL5, 2x14W; Phillips; ;")</f>
        <v>Ballast Electronic EB-C 214 TL5, 2x14W; Phillips; ;</v>
      </c>
      <c r="E143" s="6">
        <f>IFERROR(__xludf.DUMMYFUNCTION("""COMPUTED_VALUE"""),2.0)</f>
        <v>2</v>
      </c>
      <c r="F143" s="6">
        <f>IFERROR(__xludf.DUMMYFUNCTION("""COMPUTED_VALUE"""),2.0)</f>
        <v>2</v>
      </c>
      <c r="G143" s="6">
        <f>IFERROR(__xludf.DUMMYFUNCTION("""COMPUTED_VALUE"""),0.0)</f>
        <v>0</v>
      </c>
      <c r="H143" s="6" t="str">
        <f>IFERROR(__xludf.DUMMYFUNCTION("""COMPUTED_VALUE"""),"pcs")</f>
        <v>pcs</v>
      </c>
      <c r="I143" s="6" t="str">
        <f>IFERROR(__xludf.DUMMYFUNCTION("""COMPUTED_VALUE"""),"MFH")</f>
        <v>MFH</v>
      </c>
      <c r="J143" s="6" t="str">
        <f>IFERROR(__xludf.DUMMYFUNCTION("""COMPUTED_VALUE"""),"Building")</f>
        <v>Building</v>
      </c>
      <c r="K143" s="6" t="str">
        <f>IFERROR(__xludf.DUMMYFUNCTION("""COMPUTED_VALUE"""),"SPR/09/23/016")</f>
        <v>SPR/09/23/016</v>
      </c>
      <c r="L143" s="13">
        <f>IFERROR(__xludf.DUMMYFUNCTION("""COMPUTED_VALUE"""),45170.0)</f>
        <v>45170</v>
      </c>
    </row>
    <row r="144">
      <c r="A144" s="6" t="str">
        <f>IFERROR(__xludf.DUMMYFUNCTION("""COMPUTED_VALUE"""),"RIA")</f>
        <v>RIA</v>
      </c>
      <c r="B144" s="6" t="str">
        <f>IFERROR(__xludf.DUMMYFUNCTION("""COMPUTED_VALUE"""),"ENG")</f>
        <v>ENG</v>
      </c>
      <c r="C144" s="6" t="str">
        <f>IFERROR(__xludf.DUMMYFUNCTION("""COMPUTED_VALUE"""),"O-15931-00")</f>
        <v>O-15931-00</v>
      </c>
      <c r="D144" s="6" t="str">
        <f>IFERROR(__xludf.DUMMYFUNCTION("""COMPUTED_VALUE"""),"Double Tape 3M 1"" Merah - P/N : - pc")</f>
        <v>Double Tape 3M 1" Merah - P/N : - pc</v>
      </c>
      <c r="E144" s="6">
        <f>IFERROR(__xludf.DUMMYFUNCTION("""COMPUTED_VALUE"""),1.0)</f>
        <v>1</v>
      </c>
      <c r="F144" s="6">
        <f>IFERROR(__xludf.DUMMYFUNCTION("""COMPUTED_VALUE"""),1.0)</f>
        <v>1</v>
      </c>
      <c r="G144" s="6">
        <f>IFERROR(__xludf.DUMMYFUNCTION("""COMPUTED_VALUE"""),0.0)</f>
        <v>0</v>
      </c>
      <c r="H144" s="6" t="str">
        <f>IFERROR(__xludf.DUMMYFUNCTION("""COMPUTED_VALUE"""),"pcs")</f>
        <v>pcs</v>
      </c>
      <c r="I144" s="6" t="str">
        <f>IFERROR(__xludf.DUMMYFUNCTION("""COMPUTED_VALUE"""),"MFH")</f>
        <v>MFH</v>
      </c>
      <c r="J144" s="6" t="str">
        <f>IFERROR(__xludf.DUMMYFUNCTION("""COMPUTED_VALUE"""),"Building")</f>
        <v>Building</v>
      </c>
      <c r="K144" s="6" t="str">
        <f>IFERROR(__xludf.DUMMYFUNCTION("""COMPUTED_VALUE"""),"SPR/09/23/016")</f>
        <v>SPR/09/23/016</v>
      </c>
      <c r="L144" s="13">
        <f>IFERROR(__xludf.DUMMYFUNCTION("""COMPUTED_VALUE"""),45170.0)</f>
        <v>45170</v>
      </c>
    </row>
    <row r="145">
      <c r="A145" s="6" t="str">
        <f>IFERROR(__xludf.DUMMYFUNCTION("""COMPUTED_VALUE"""),"EIL")</f>
        <v>EIL</v>
      </c>
      <c r="B145" s="6" t="str">
        <f>IFERROR(__xludf.DUMMYFUNCTION("""COMPUTED_VALUE"""),"ENG")</f>
        <v>ENG</v>
      </c>
      <c r="C145" s="6" t="str">
        <f>IFERROR(__xludf.DUMMYFUNCTION("""COMPUTED_VALUE"""),"P-53173-00")</f>
        <v>P-53173-00</v>
      </c>
      <c r="D145" s="6" t="str">
        <f>IFERROR(__xludf.DUMMYFUNCTION("""COMPUTED_VALUE"""),"Lampu T5 28watt Putih; Phillips; ;")</f>
        <v>Lampu T5 28watt Putih; Phillips; ;</v>
      </c>
      <c r="E145" s="6">
        <f>IFERROR(__xludf.DUMMYFUNCTION("""COMPUTED_VALUE"""),2.0)</f>
        <v>2</v>
      </c>
      <c r="F145" s="6">
        <f>IFERROR(__xludf.DUMMYFUNCTION("""COMPUTED_VALUE"""),2.0)</f>
        <v>2</v>
      </c>
      <c r="G145" s="6">
        <f>IFERROR(__xludf.DUMMYFUNCTION("""COMPUTED_VALUE"""),0.0)</f>
        <v>0</v>
      </c>
      <c r="H145" s="6" t="str">
        <f>IFERROR(__xludf.DUMMYFUNCTION("""COMPUTED_VALUE"""),"pcs")</f>
        <v>pcs</v>
      </c>
      <c r="I145" s="6" t="str">
        <f>IFERROR(__xludf.DUMMYFUNCTION("""COMPUTED_VALUE"""),"MFH")</f>
        <v>MFH</v>
      </c>
      <c r="J145" s="6" t="str">
        <f>IFERROR(__xludf.DUMMYFUNCTION("""COMPUTED_VALUE"""),"Building")</f>
        <v>Building</v>
      </c>
      <c r="K145" s="6" t="str">
        <f>IFERROR(__xludf.DUMMYFUNCTION("""COMPUTED_VALUE"""),"SPR/09/23/017")</f>
        <v>SPR/09/23/017</v>
      </c>
      <c r="L145" s="13">
        <f>IFERROR(__xludf.DUMMYFUNCTION("""COMPUTED_VALUE"""),45170.0)</f>
        <v>45170</v>
      </c>
    </row>
    <row r="146">
      <c r="A146" s="6" t="str">
        <f>IFERROR(__xludf.DUMMYFUNCTION("""COMPUTED_VALUE"""),"EIL")</f>
        <v>EIL</v>
      </c>
      <c r="B146" s="6" t="str">
        <f>IFERROR(__xludf.DUMMYFUNCTION("""COMPUTED_VALUE"""),"ENG")</f>
        <v>ENG</v>
      </c>
      <c r="C146" s="6" t="str">
        <f>IFERROR(__xludf.DUMMYFUNCTION("""COMPUTED_VALUE"""),"P-51559-00")</f>
        <v>P-51559-00</v>
      </c>
      <c r="D146" s="6" t="str">
        <f>IFERROR(__xludf.DUMMYFUNCTION("""COMPUTED_VALUE"""),"Lampu T5 14watt Putih; Phillips; ;")</f>
        <v>Lampu T5 14watt Putih; Phillips; ;</v>
      </c>
      <c r="E146" s="6">
        <f>IFERROR(__xludf.DUMMYFUNCTION("""COMPUTED_VALUE"""),2.0)</f>
        <v>2</v>
      </c>
      <c r="F146" s="6">
        <f>IFERROR(__xludf.DUMMYFUNCTION("""COMPUTED_VALUE"""),2.0)</f>
        <v>2</v>
      </c>
      <c r="G146" s="6">
        <f>IFERROR(__xludf.DUMMYFUNCTION("""COMPUTED_VALUE"""),0.0)</f>
        <v>0</v>
      </c>
      <c r="H146" s="6" t="str">
        <f>IFERROR(__xludf.DUMMYFUNCTION("""COMPUTED_VALUE"""),"pcs")</f>
        <v>pcs</v>
      </c>
      <c r="I146" s="6" t="str">
        <f>IFERROR(__xludf.DUMMYFUNCTION("""COMPUTED_VALUE"""),"MFH")</f>
        <v>MFH</v>
      </c>
      <c r="J146" s="6" t="str">
        <f>IFERROR(__xludf.DUMMYFUNCTION("""COMPUTED_VALUE"""),"Building")</f>
        <v>Building</v>
      </c>
      <c r="K146" s="6" t="str">
        <f>IFERROR(__xludf.DUMMYFUNCTION("""COMPUTED_VALUE"""),"SPR/09/23/017")</f>
        <v>SPR/09/23/017</v>
      </c>
      <c r="L146" s="13">
        <f>IFERROR(__xludf.DUMMYFUNCTION("""COMPUTED_VALUE"""),45170.0)</f>
        <v>45170</v>
      </c>
    </row>
    <row r="147">
      <c r="A147" s="6" t="str">
        <f>IFERROR(__xludf.DUMMYFUNCTION("""COMPUTED_VALUE"""),"EIL")</f>
        <v>EIL</v>
      </c>
      <c r="B147" s="6" t="str">
        <f>IFERROR(__xludf.DUMMYFUNCTION("""COMPUTED_VALUE"""),"ENG")</f>
        <v>ENG</v>
      </c>
      <c r="C147" s="6" t="str">
        <f>IFERROR(__xludf.DUMMYFUNCTION("""COMPUTED_VALUE"""),"P-13429-00")</f>
        <v>P-13429-00</v>
      </c>
      <c r="D147" s="6" t="str">
        <f>IFERROR(__xludf.DUMMYFUNCTION("""COMPUTED_VALUE"""),"Cable Ducting 25x40mm")</f>
        <v>Cable Ducting 25x40mm</v>
      </c>
      <c r="E147" s="6">
        <f>IFERROR(__xludf.DUMMYFUNCTION("""COMPUTED_VALUE"""),2.0)</f>
        <v>2</v>
      </c>
      <c r="F147" s="6">
        <f>IFERROR(__xludf.DUMMYFUNCTION("""COMPUTED_VALUE"""),2.0)</f>
        <v>2</v>
      </c>
      <c r="G147" s="6">
        <f>IFERROR(__xludf.DUMMYFUNCTION("""COMPUTED_VALUE"""),0.0)</f>
        <v>0</v>
      </c>
      <c r="H147" s="6" t="str">
        <f>IFERROR(__xludf.DUMMYFUNCTION("""COMPUTED_VALUE"""),"pcs")</f>
        <v>pcs</v>
      </c>
      <c r="I147" s="6" t="str">
        <f>IFERROR(__xludf.DUMMYFUNCTION("""COMPUTED_VALUE"""),"MFH")</f>
        <v>MFH</v>
      </c>
      <c r="J147" s="6" t="str">
        <f>IFERROR(__xludf.DUMMYFUNCTION("""COMPUTED_VALUE"""),"Building")</f>
        <v>Building</v>
      </c>
      <c r="K147" s="6" t="str">
        <f>IFERROR(__xludf.DUMMYFUNCTION("""COMPUTED_VALUE"""),"SPR/09/23/018")</f>
        <v>SPR/09/23/018</v>
      </c>
      <c r="L147" s="13">
        <f>IFERROR(__xludf.DUMMYFUNCTION("""COMPUTED_VALUE"""),45170.0)</f>
        <v>45170</v>
      </c>
    </row>
    <row r="148">
      <c r="A148" s="6" t="str">
        <f>IFERROR(__xludf.DUMMYFUNCTION("""COMPUTED_VALUE"""),"EIL")</f>
        <v>EIL</v>
      </c>
      <c r="B148" s="6" t="str">
        <f>IFERROR(__xludf.DUMMYFUNCTION("""COMPUTED_VALUE"""),"ENG")</f>
        <v>ENG</v>
      </c>
      <c r="C148" s="6" t="str">
        <f>IFERROR(__xludf.DUMMYFUNCTION("""COMPUTED_VALUE"""),"P-13429-00")</f>
        <v>P-13429-00</v>
      </c>
      <c r="D148" s="6" t="str">
        <f>IFERROR(__xludf.DUMMYFUNCTION("""COMPUTED_VALUE"""),"Cable Ducting 25x40mm")</f>
        <v>Cable Ducting 25x40mm</v>
      </c>
      <c r="E148" s="6">
        <f>IFERROR(__xludf.DUMMYFUNCTION("""COMPUTED_VALUE"""),4.0)</f>
        <v>4</v>
      </c>
      <c r="F148" s="6">
        <f>IFERROR(__xludf.DUMMYFUNCTION("""COMPUTED_VALUE"""),4.0)</f>
        <v>4</v>
      </c>
      <c r="G148" s="6">
        <f>IFERROR(__xludf.DUMMYFUNCTION("""COMPUTED_VALUE"""),0.0)</f>
        <v>0</v>
      </c>
      <c r="H148" s="6" t="str">
        <f>IFERROR(__xludf.DUMMYFUNCTION("""COMPUTED_VALUE"""),"pcs")</f>
        <v>pcs</v>
      </c>
      <c r="I148" s="6" t="str">
        <f>IFERROR(__xludf.DUMMYFUNCTION("""COMPUTED_VALUE"""),"MFH")</f>
        <v>MFH</v>
      </c>
      <c r="J148" s="6" t="str">
        <f>IFERROR(__xludf.DUMMYFUNCTION("""COMPUTED_VALUE"""),"Building")</f>
        <v>Building</v>
      </c>
      <c r="K148" s="6" t="str">
        <f>IFERROR(__xludf.DUMMYFUNCTION("""COMPUTED_VALUE"""),"SPR/09/23/019")</f>
        <v>SPR/09/23/019</v>
      </c>
      <c r="L148" s="13">
        <f>IFERROR(__xludf.DUMMYFUNCTION("""COMPUTED_VALUE"""),45170.0)</f>
        <v>45170</v>
      </c>
    </row>
    <row r="149">
      <c r="A149" s="6" t="str">
        <f>IFERROR(__xludf.DUMMYFUNCTION("""COMPUTED_VALUE"""),"MOB")</f>
        <v>MOB</v>
      </c>
      <c r="B149" s="6" t="str">
        <f>IFERROR(__xludf.DUMMYFUNCTION("""COMPUTED_VALUE"""),"ENG")</f>
        <v>ENG</v>
      </c>
      <c r="C149" s="6" t="str">
        <f>IFERROR(__xludf.DUMMYFUNCTION("""COMPUTED_VALUE"""),"Q-10249-00")</f>
        <v>Q-10249-00</v>
      </c>
      <c r="D149" s="6" t="str">
        <f>IFERROR(__xludf.DUMMYFUNCTION("""COMPUTED_VALUE"""),"Lem Power Glue; ; ;")</f>
        <v>Lem Power Glue; ; ;</v>
      </c>
      <c r="E149" s="6">
        <f>IFERROR(__xludf.DUMMYFUNCTION("""COMPUTED_VALUE"""),1.0)</f>
        <v>1</v>
      </c>
      <c r="F149" s="6">
        <f>IFERROR(__xludf.DUMMYFUNCTION("""COMPUTED_VALUE"""),1.0)</f>
        <v>1</v>
      </c>
      <c r="G149" s="6">
        <f>IFERROR(__xludf.DUMMYFUNCTION("""COMPUTED_VALUE"""),0.0)</f>
        <v>0</v>
      </c>
      <c r="H149" s="6" t="str">
        <f>IFERROR(__xludf.DUMMYFUNCTION("""COMPUTED_VALUE"""),"pcs")</f>
        <v>pcs</v>
      </c>
      <c r="I149" s="6" t="str">
        <f>IFERROR(__xludf.DUMMYFUNCTION("""COMPUTED_VALUE"""),"MFH")</f>
        <v>MFH</v>
      </c>
      <c r="J149" s="6" t="str">
        <f>IFERROR(__xludf.DUMMYFUNCTION("""COMPUTED_VALUE"""),"Building")</f>
        <v>Building</v>
      </c>
      <c r="K149" s="6" t="str">
        <f>IFERROR(__xludf.DUMMYFUNCTION("""COMPUTED_VALUE"""),"SPR/09/23/020")</f>
        <v>SPR/09/23/020</v>
      </c>
      <c r="L149" s="13">
        <f>IFERROR(__xludf.DUMMYFUNCTION("""COMPUTED_VALUE"""),45170.0)</f>
        <v>45170</v>
      </c>
    </row>
    <row r="150">
      <c r="A150" s="6" t="str">
        <f>IFERROR(__xludf.DUMMYFUNCTION("""COMPUTED_VALUE"""),"ROS")</f>
        <v>ROS</v>
      </c>
      <c r="B150" s="6" t="str">
        <f>IFERROR(__xludf.DUMMYFUNCTION("""COMPUTED_VALUE"""),"ENG")</f>
        <v>ENG</v>
      </c>
      <c r="C150" s="6" t="str">
        <f>IFERROR(__xludf.DUMMYFUNCTION("""COMPUTED_VALUE"""),"P-13429-00")</f>
        <v>P-13429-00</v>
      </c>
      <c r="D150" s="6" t="str">
        <f>IFERROR(__xludf.DUMMYFUNCTION("""COMPUTED_VALUE"""),"Cable Ducting 25x40mm")</f>
        <v>Cable Ducting 25x40mm</v>
      </c>
      <c r="E150" s="6">
        <f>IFERROR(__xludf.DUMMYFUNCTION("""COMPUTED_VALUE"""),1.0)</f>
        <v>1</v>
      </c>
      <c r="F150" s="6">
        <f>IFERROR(__xludf.DUMMYFUNCTION("""COMPUTED_VALUE"""),1.0)</f>
        <v>1</v>
      </c>
      <c r="G150" s="6">
        <f>IFERROR(__xludf.DUMMYFUNCTION("""COMPUTED_VALUE"""),0.0)</f>
        <v>0</v>
      </c>
      <c r="H150" s="6" t="str">
        <f>IFERROR(__xludf.DUMMYFUNCTION("""COMPUTED_VALUE"""),"pcs")</f>
        <v>pcs</v>
      </c>
      <c r="I150" s="6" t="str">
        <f>IFERROR(__xludf.DUMMYFUNCTION("""COMPUTED_VALUE"""),"MFH")</f>
        <v>MFH</v>
      </c>
      <c r="J150" s="6" t="str">
        <f>IFERROR(__xludf.DUMMYFUNCTION("""COMPUTED_VALUE"""),"Building")</f>
        <v>Building</v>
      </c>
      <c r="K150" s="6" t="str">
        <f>IFERROR(__xludf.DUMMYFUNCTION("""COMPUTED_VALUE"""),"SPR/09/23/021")</f>
        <v>SPR/09/23/021</v>
      </c>
      <c r="L150" s="13">
        <f>IFERROR(__xludf.DUMMYFUNCTION("""COMPUTED_VALUE"""),45170.0)</f>
        <v>45170</v>
      </c>
    </row>
    <row r="151">
      <c r="A151" s="6" t="str">
        <f>IFERROR(__xludf.DUMMYFUNCTION("""COMPUTED_VALUE"""),"ROS")</f>
        <v>ROS</v>
      </c>
      <c r="B151" s="6" t="str">
        <f>IFERROR(__xludf.DUMMYFUNCTION("""COMPUTED_VALUE"""),"ENG")</f>
        <v>ENG</v>
      </c>
      <c r="C151" s="6" t="str">
        <f>IFERROR(__xludf.DUMMYFUNCTION("""COMPUTED_VALUE"""),"P-52110-00")</f>
        <v>P-52110-00</v>
      </c>
      <c r="D151" s="6" t="str">
        <f>IFERROR(__xludf.DUMMYFUNCTION("""COMPUTED_VALUE"""),"CAPACITOR 5 uF, 500 V, 50/60 Hz; ; ;")</f>
        <v>CAPACITOR 5 uF, 500 V, 50/60 Hz; ; ;</v>
      </c>
      <c r="E151" s="6">
        <f>IFERROR(__xludf.DUMMYFUNCTION("""COMPUTED_VALUE"""),1.0)</f>
        <v>1</v>
      </c>
      <c r="F151" s="6">
        <f>IFERROR(__xludf.DUMMYFUNCTION("""COMPUTED_VALUE"""),1.0)</f>
        <v>1</v>
      </c>
      <c r="G151" s="6">
        <f>IFERROR(__xludf.DUMMYFUNCTION("""COMPUTED_VALUE"""),0.0)</f>
        <v>0</v>
      </c>
      <c r="H151" s="6" t="str">
        <f>IFERROR(__xludf.DUMMYFUNCTION("""COMPUTED_VALUE"""),"pcs")</f>
        <v>pcs</v>
      </c>
      <c r="I151" s="6" t="str">
        <f>IFERROR(__xludf.DUMMYFUNCTION("""COMPUTED_VALUE"""),"MFH")</f>
        <v>MFH</v>
      </c>
      <c r="J151" s="6" t="str">
        <f>IFERROR(__xludf.DUMMYFUNCTION("""COMPUTED_VALUE"""),"WIHC")</f>
        <v>WIHC</v>
      </c>
      <c r="K151" s="6" t="str">
        <f>IFERROR(__xludf.DUMMYFUNCTION("""COMPUTED_VALUE"""),"SPR/09/23/021")</f>
        <v>SPR/09/23/021</v>
      </c>
      <c r="L151" s="13">
        <f>IFERROR(__xludf.DUMMYFUNCTION("""COMPUTED_VALUE"""),45170.0)</f>
        <v>45170</v>
      </c>
    </row>
    <row r="152">
      <c r="A152" s="6" t="str">
        <f>IFERROR(__xludf.DUMMYFUNCTION("""COMPUTED_VALUE"""),"ROS")</f>
        <v>ROS</v>
      </c>
      <c r="B152" s="6" t="str">
        <f>IFERROR(__xludf.DUMMYFUNCTION("""COMPUTED_VALUE"""),"ENG")</f>
        <v>ENG</v>
      </c>
      <c r="C152" s="6" t="str">
        <f>IFERROR(__xludf.DUMMYFUNCTION("""COMPUTED_VALUE"""),"O-16032-00")</f>
        <v>O-16032-00</v>
      </c>
      <c r="D15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52" s="6">
        <f>IFERROR(__xludf.DUMMYFUNCTION("""COMPUTED_VALUE"""),2.0)</f>
        <v>2</v>
      </c>
      <c r="F152" s="6">
        <f>IFERROR(__xludf.DUMMYFUNCTION("""COMPUTED_VALUE"""),2.0)</f>
        <v>2</v>
      </c>
      <c r="G152" s="6">
        <f>IFERROR(__xludf.DUMMYFUNCTION("""COMPUTED_VALUE"""),0.0)</f>
        <v>0</v>
      </c>
      <c r="H152" s="6" t="str">
        <f>IFERROR(__xludf.DUMMYFUNCTION("""COMPUTED_VALUE"""),"pcs")</f>
        <v>pcs</v>
      </c>
      <c r="I152" s="6" t="str">
        <f>IFERROR(__xludf.DUMMYFUNCTION("""COMPUTED_VALUE"""),"MFH")</f>
        <v>MFH</v>
      </c>
      <c r="J152" s="6" t="str">
        <f>IFERROR(__xludf.DUMMYFUNCTION("""COMPUTED_VALUE"""),"cRABS")</f>
        <v>cRABS</v>
      </c>
      <c r="K152" s="6" t="str">
        <f>IFERROR(__xludf.DUMMYFUNCTION("""COMPUTED_VALUE"""),"SPR/09/23/021")</f>
        <v>SPR/09/23/021</v>
      </c>
      <c r="L152" s="13">
        <f>IFERROR(__xludf.DUMMYFUNCTION("""COMPUTED_VALUE"""),45170.0)</f>
        <v>45170</v>
      </c>
    </row>
    <row r="153">
      <c r="A153" s="6" t="str">
        <f>IFERROR(__xludf.DUMMYFUNCTION("""COMPUTED_VALUE"""),"RIA")</f>
        <v>RIA</v>
      </c>
      <c r="B153" s="6" t="str">
        <f>IFERROR(__xludf.DUMMYFUNCTION("""COMPUTED_VALUE"""),"ENG")</f>
        <v>ENG</v>
      </c>
      <c r="C153" s="6" t="str">
        <f>IFERROR(__xludf.DUMMYFUNCTION("""COMPUTED_VALUE"""),"P-51891-00")</f>
        <v>P-51891-00</v>
      </c>
      <c r="D153" s="6" t="str">
        <f>IFERROR(__xludf.DUMMYFUNCTION("""COMPUTED_VALUE"""),"Exhaust Fan Panel 240VAC")</f>
        <v>Exhaust Fan Panel 240VAC</v>
      </c>
      <c r="E153" s="6">
        <f>IFERROR(__xludf.DUMMYFUNCTION("""COMPUTED_VALUE"""),2.0)</f>
        <v>2</v>
      </c>
      <c r="F153" s="6">
        <f>IFERROR(__xludf.DUMMYFUNCTION("""COMPUTED_VALUE"""),2.0)</f>
        <v>2</v>
      </c>
      <c r="G153" s="6">
        <f>IFERROR(__xludf.DUMMYFUNCTION("""COMPUTED_VALUE"""),0.0)</f>
        <v>0</v>
      </c>
      <c r="H153" s="6" t="str">
        <f>IFERROR(__xludf.DUMMYFUNCTION("""COMPUTED_VALUE"""),"pcs")</f>
        <v>pcs</v>
      </c>
      <c r="I153" s="6" t="str">
        <f>IFERROR(__xludf.DUMMYFUNCTION("""COMPUTED_VALUE"""),"MFH")</f>
        <v>MFH</v>
      </c>
      <c r="J153" s="6" t="str">
        <f>IFERROR(__xludf.DUMMYFUNCTION("""COMPUTED_VALUE"""),"WIHC")</f>
        <v>WIHC</v>
      </c>
      <c r="K153" s="6" t="str">
        <f>IFERROR(__xludf.DUMMYFUNCTION("""COMPUTED_VALUE"""),"SPR/09/23/022")</f>
        <v>SPR/09/23/022</v>
      </c>
      <c r="L153" s="13">
        <f>IFERROR(__xludf.DUMMYFUNCTION("""COMPUTED_VALUE"""),45170.0)</f>
        <v>45170</v>
      </c>
    </row>
    <row r="154">
      <c r="A154" s="6" t="str">
        <f>IFERROR(__xludf.DUMMYFUNCTION("""COMPUTED_VALUE"""),"MOB")</f>
        <v>MOB</v>
      </c>
      <c r="B154" s="6" t="str">
        <f>IFERROR(__xludf.DUMMYFUNCTION("""COMPUTED_VALUE"""),"ENG")</f>
        <v>ENG</v>
      </c>
      <c r="C154" s="6" t="str">
        <f>IFERROR(__xludf.DUMMYFUNCTION("""COMPUTED_VALUE"""),"O-14640-00")</f>
        <v>O-14640-00</v>
      </c>
      <c r="D154" s="6" t="str">
        <f>IFERROR(__xludf.DUMMYFUNCTION("""COMPUTED_VALUE"""),"Silicone Gasket for Ferrule dia. 3/4""")</f>
        <v>Silicone Gasket for Ferrule dia. 3/4"</v>
      </c>
      <c r="E154" s="6">
        <f>IFERROR(__xludf.DUMMYFUNCTION("""COMPUTED_VALUE"""),4.0)</f>
        <v>4</v>
      </c>
      <c r="F154" s="6">
        <f>IFERROR(__xludf.DUMMYFUNCTION("""COMPUTED_VALUE"""),4.0)</f>
        <v>4</v>
      </c>
      <c r="G154" s="6">
        <f>IFERROR(__xludf.DUMMYFUNCTION("""COMPUTED_VALUE"""),0.0)</f>
        <v>0</v>
      </c>
      <c r="H154" s="6" t="str">
        <f>IFERROR(__xludf.DUMMYFUNCTION("""COMPUTED_VALUE"""),"pcs")</f>
        <v>pcs</v>
      </c>
      <c r="I154" s="6" t="str">
        <f>IFERROR(__xludf.DUMMYFUNCTION("""COMPUTED_VALUE"""),"MFH")</f>
        <v>MFH</v>
      </c>
      <c r="J154" s="6" t="str">
        <f>IFERROR(__xludf.DUMMYFUNCTION("""COMPUTED_VALUE"""),"PSG")</f>
        <v>PSG</v>
      </c>
      <c r="K154" s="6" t="str">
        <f>IFERROR(__xludf.DUMMYFUNCTION("""COMPUTED_VALUE"""),"SPR/09/23/023")</f>
        <v>SPR/09/23/023</v>
      </c>
      <c r="L154" s="13">
        <f>IFERROR(__xludf.DUMMYFUNCTION("""COMPUTED_VALUE"""),45170.0)</f>
        <v>45170</v>
      </c>
    </row>
    <row r="155">
      <c r="A155" s="6" t="str">
        <f>IFERROR(__xludf.DUMMYFUNCTION("""COMPUTED_VALUE"""),"MOB")</f>
        <v>MOB</v>
      </c>
      <c r="B155" s="6" t="str">
        <f>IFERROR(__xludf.DUMMYFUNCTION("""COMPUTED_VALUE"""),"ENG")</f>
        <v>ENG</v>
      </c>
      <c r="C155" s="6" t="str">
        <f>IFERROR(__xludf.DUMMYFUNCTION("""COMPUTED_VALUE"""),"O-14641-00")</f>
        <v>O-14641-00</v>
      </c>
      <c r="D155" s="6" t="str">
        <f>IFERROR(__xludf.DUMMYFUNCTION("""COMPUTED_VALUE"""),"Silicone Gasket for Ferrule dia. 1""; ; ;")</f>
        <v>Silicone Gasket for Ferrule dia. 1"; ; ;</v>
      </c>
      <c r="E155" s="6">
        <f>IFERROR(__xludf.DUMMYFUNCTION("""COMPUTED_VALUE"""),1.0)</f>
        <v>1</v>
      </c>
      <c r="F155" s="6">
        <f>IFERROR(__xludf.DUMMYFUNCTION("""COMPUTED_VALUE"""),1.0)</f>
        <v>1</v>
      </c>
      <c r="G155" s="6">
        <f>IFERROR(__xludf.DUMMYFUNCTION("""COMPUTED_VALUE"""),0.0)</f>
        <v>0</v>
      </c>
      <c r="H155" s="6" t="str">
        <f>IFERROR(__xludf.DUMMYFUNCTION("""COMPUTED_VALUE"""),"pcs")</f>
        <v>pcs</v>
      </c>
      <c r="I155" s="6" t="str">
        <f>IFERROR(__xludf.DUMMYFUNCTION("""COMPUTED_VALUE"""),"MFH")</f>
        <v>MFH</v>
      </c>
      <c r="J155" s="6" t="str">
        <f>IFERROR(__xludf.DUMMYFUNCTION("""COMPUTED_VALUE"""),"PSG")</f>
        <v>PSG</v>
      </c>
      <c r="K155" s="6" t="str">
        <f>IFERROR(__xludf.DUMMYFUNCTION("""COMPUTED_VALUE"""),"SPR/09/23/023")</f>
        <v>SPR/09/23/023</v>
      </c>
      <c r="L155" s="13">
        <f>IFERROR(__xludf.DUMMYFUNCTION("""COMPUTED_VALUE"""),45170.0)</f>
        <v>45170</v>
      </c>
    </row>
    <row r="156">
      <c r="A156" s="6" t="str">
        <f>IFERROR(__xludf.DUMMYFUNCTION("""COMPUTED_VALUE"""),"MOB")</f>
        <v>MOB</v>
      </c>
      <c r="B156" s="6" t="str">
        <f>IFERROR(__xludf.DUMMYFUNCTION("""COMPUTED_VALUE"""),"ENG")</f>
        <v>ENG</v>
      </c>
      <c r="C156" s="6" t="str">
        <f>IFERROR(__xludf.DUMMYFUNCTION("""COMPUTED_VALUE"""),"P-14379-00")</f>
        <v>P-14379-00</v>
      </c>
      <c r="D156" s="6" t="str">
        <f>IFERROR(__xludf.DUMMYFUNCTION("""COMPUTED_VALUE"""),"Gasket 3/4"" /EPDM; ; ;")</f>
        <v>Gasket 3/4" /EPDM; ; ;</v>
      </c>
      <c r="E156" s="6">
        <f>IFERROR(__xludf.DUMMYFUNCTION("""COMPUTED_VALUE"""),1.0)</f>
        <v>1</v>
      </c>
      <c r="F156" s="6">
        <f>IFERROR(__xludf.DUMMYFUNCTION("""COMPUTED_VALUE"""),1.0)</f>
        <v>1</v>
      </c>
      <c r="G156" s="6">
        <f>IFERROR(__xludf.DUMMYFUNCTION("""COMPUTED_VALUE"""),0.0)</f>
        <v>0</v>
      </c>
      <c r="H156" s="6" t="str">
        <f>IFERROR(__xludf.DUMMYFUNCTION("""COMPUTED_VALUE"""),"pcs")</f>
        <v>pcs</v>
      </c>
      <c r="I156" s="6" t="str">
        <f>IFERROR(__xludf.DUMMYFUNCTION("""COMPUTED_VALUE"""),"MFH")</f>
        <v>MFH</v>
      </c>
      <c r="J156" s="6" t="str">
        <f>IFERROR(__xludf.DUMMYFUNCTION("""COMPUTED_VALUE"""),"PSG")</f>
        <v>PSG</v>
      </c>
      <c r="K156" s="6" t="str">
        <f>IFERROR(__xludf.DUMMYFUNCTION("""COMPUTED_VALUE"""),"SPR/09/23/023")</f>
        <v>SPR/09/23/023</v>
      </c>
      <c r="L156" s="13">
        <f>IFERROR(__xludf.DUMMYFUNCTION("""COMPUTED_VALUE"""),45170.0)</f>
        <v>45170</v>
      </c>
    </row>
    <row r="157">
      <c r="A157" s="6" t="str">
        <f>IFERROR(__xludf.DUMMYFUNCTION("""COMPUTED_VALUE"""),"NDS")</f>
        <v>NDS</v>
      </c>
      <c r="B157" s="6" t="str">
        <f>IFERROR(__xludf.DUMMYFUNCTION("""COMPUTED_VALUE"""),"ENG")</f>
        <v>ENG</v>
      </c>
      <c r="C157" s="6" t="str">
        <f>IFERROR(__xludf.DUMMYFUNCTION("""COMPUTED_VALUE"""),"Q-10249-00")</f>
        <v>Q-10249-00</v>
      </c>
      <c r="D157" s="6" t="str">
        <f>IFERROR(__xludf.DUMMYFUNCTION("""COMPUTED_VALUE"""),"Lem Power Glue; ; ;")</f>
        <v>Lem Power Glue; ; ;</v>
      </c>
      <c r="E157" s="6">
        <f>IFERROR(__xludf.DUMMYFUNCTION("""COMPUTED_VALUE"""),1.0)</f>
        <v>1</v>
      </c>
      <c r="F157" s="6">
        <f>IFERROR(__xludf.DUMMYFUNCTION("""COMPUTED_VALUE"""),1.0)</f>
        <v>1</v>
      </c>
      <c r="G157" s="6">
        <f>IFERROR(__xludf.DUMMYFUNCTION("""COMPUTED_VALUE"""),0.0)</f>
        <v>0</v>
      </c>
      <c r="H157" s="6" t="str">
        <f>IFERROR(__xludf.DUMMYFUNCTION("""COMPUTED_VALUE"""),"pcs")</f>
        <v>pcs</v>
      </c>
      <c r="I157" s="6" t="str">
        <f>IFERROR(__xludf.DUMMYFUNCTION("""COMPUTED_VALUE"""),"MFH")</f>
        <v>MFH</v>
      </c>
      <c r="J157" s="6" t="str">
        <f>IFERROR(__xludf.DUMMYFUNCTION("""COMPUTED_VALUE"""),"MS30")</f>
        <v>MS30</v>
      </c>
      <c r="K157" s="6" t="str">
        <f>IFERROR(__xludf.DUMMYFUNCTION("""COMPUTED_VALUE"""),"SPR/09/23/024")</f>
        <v>SPR/09/23/024</v>
      </c>
      <c r="L157" s="13">
        <f>IFERROR(__xludf.DUMMYFUNCTION("""COMPUTED_VALUE"""),45170.0)</f>
        <v>45170</v>
      </c>
    </row>
    <row r="158">
      <c r="A158" s="6" t="str">
        <f>IFERROR(__xludf.DUMMYFUNCTION("""COMPUTED_VALUE"""),"RIA")</f>
        <v>RIA</v>
      </c>
      <c r="B158" s="6" t="str">
        <f>IFERROR(__xludf.DUMMYFUNCTION("""COMPUTED_VALUE"""),"ENG")</f>
        <v>ENG</v>
      </c>
      <c r="C158" s="6" t="str">
        <f>IFERROR(__xludf.DUMMYFUNCTION("""COMPUTED_VALUE"""),"T-80037-00")</f>
        <v>T-80037-00</v>
      </c>
      <c r="D158" s="6" t="str">
        <f>IFERROR(__xludf.DUMMYFUNCTION("""COMPUTED_VALUE"""),"Batterai Size AA")</f>
        <v>Batterai Size AA</v>
      </c>
      <c r="E158" s="6">
        <f>IFERROR(__xludf.DUMMYFUNCTION("""COMPUTED_VALUE"""),3.0)</f>
        <v>3</v>
      </c>
      <c r="F158" s="6">
        <f>IFERROR(__xludf.DUMMYFUNCTION("""COMPUTED_VALUE"""),3.0)</f>
        <v>3</v>
      </c>
      <c r="G158" s="6">
        <f>IFERROR(__xludf.DUMMYFUNCTION("""COMPUTED_VALUE"""),0.0)</f>
        <v>0</v>
      </c>
      <c r="H158" s="6" t="str">
        <f>IFERROR(__xludf.DUMMYFUNCTION("""COMPUTED_VALUE"""),"pcs")</f>
        <v>pcs</v>
      </c>
      <c r="I158" s="6" t="str">
        <f>IFERROR(__xludf.DUMMYFUNCTION("""COMPUTED_VALUE"""),"MFH")</f>
        <v>MFH</v>
      </c>
      <c r="J158" s="6" t="str">
        <f>IFERROR(__xludf.DUMMYFUNCTION("""COMPUTED_VALUE"""),"EMS")</f>
        <v>EMS</v>
      </c>
      <c r="K158" s="6" t="str">
        <f>IFERROR(__xludf.DUMMYFUNCTION("""COMPUTED_VALUE"""),"SPR/09/23/025")</f>
        <v>SPR/09/23/025</v>
      </c>
      <c r="L158" s="13">
        <f>IFERROR(__xludf.DUMMYFUNCTION("""COMPUTED_VALUE"""),45170.0)</f>
        <v>45170</v>
      </c>
    </row>
    <row r="159">
      <c r="A159" s="6" t="str">
        <f>IFERROR(__xludf.DUMMYFUNCTION("""COMPUTED_VALUE"""),"RIA")</f>
        <v>RIA</v>
      </c>
      <c r="B159" s="6" t="str">
        <f>IFERROR(__xludf.DUMMYFUNCTION("""COMPUTED_VALUE"""),"ENG")</f>
        <v>ENG</v>
      </c>
      <c r="C159" s="6" t="str">
        <f>IFERROR(__xludf.DUMMYFUNCTION("""COMPUTED_VALUE"""),"S-40009-00")</f>
        <v>S-40009-00</v>
      </c>
      <c r="D159" s="6" t="str">
        <f>IFERROR(__xludf.DUMMYFUNCTION("""COMPUTED_VALUE"""),"Battery CR 2032 Maxell")</f>
        <v>Battery CR 2032 Maxell</v>
      </c>
      <c r="E159" s="6">
        <f>IFERROR(__xludf.DUMMYFUNCTION("""COMPUTED_VALUE"""),3.0)</f>
        <v>3</v>
      </c>
      <c r="F159" s="6">
        <f>IFERROR(__xludf.DUMMYFUNCTION("""COMPUTED_VALUE"""),3.0)</f>
        <v>3</v>
      </c>
      <c r="G159" s="6">
        <f>IFERROR(__xludf.DUMMYFUNCTION("""COMPUTED_VALUE"""),0.0)</f>
        <v>0</v>
      </c>
      <c r="H159" s="6" t="str">
        <f>IFERROR(__xludf.DUMMYFUNCTION("""COMPUTED_VALUE"""),"pcs")</f>
        <v>pcs</v>
      </c>
      <c r="I159" s="6" t="str">
        <f>IFERROR(__xludf.DUMMYFUNCTION("""COMPUTED_VALUE"""),"MFH")</f>
        <v>MFH</v>
      </c>
      <c r="J159" s="6" t="str">
        <f>IFERROR(__xludf.DUMMYFUNCTION("""COMPUTED_VALUE"""),"EMS")</f>
        <v>EMS</v>
      </c>
      <c r="K159" s="6" t="str">
        <f>IFERROR(__xludf.DUMMYFUNCTION("""COMPUTED_VALUE"""),"SPR/09/23/025")</f>
        <v>SPR/09/23/025</v>
      </c>
      <c r="L159" s="13">
        <f>IFERROR(__xludf.DUMMYFUNCTION("""COMPUTED_VALUE"""),45170.0)</f>
        <v>45170</v>
      </c>
    </row>
    <row r="160">
      <c r="A160" s="6" t="str">
        <f>IFERROR(__xludf.DUMMYFUNCTION("""COMPUTED_VALUE"""),"ROS")</f>
        <v>ROS</v>
      </c>
      <c r="B160" s="6" t="str">
        <f>IFERROR(__xludf.DUMMYFUNCTION("""COMPUTED_VALUE"""),"ENG")</f>
        <v>ENG</v>
      </c>
      <c r="C160" s="6" t="str">
        <f>IFERROR(__xludf.DUMMYFUNCTION("""COMPUTED_VALUE"""),"P-12764-00")</f>
        <v>P-12764-00</v>
      </c>
      <c r="D160" s="6" t="str">
        <f>IFERROR(__xludf.DUMMYFUNCTION("""COMPUTED_VALUE"""),"Silicone gasket for ferrule dia 1/2inch Taiwan")</f>
        <v>Silicone gasket for ferrule dia 1/2inch Taiwan</v>
      </c>
      <c r="E160" s="6">
        <f>IFERROR(__xludf.DUMMYFUNCTION("""COMPUTED_VALUE"""),10.0)</f>
        <v>10</v>
      </c>
      <c r="F160" s="6">
        <f>IFERROR(__xludf.DUMMYFUNCTION("""COMPUTED_VALUE"""),10.0)</f>
        <v>10</v>
      </c>
      <c r="G160" s="6">
        <f>IFERROR(__xludf.DUMMYFUNCTION("""COMPUTED_VALUE"""),0.0)</f>
        <v>0</v>
      </c>
      <c r="H160" s="6" t="str">
        <f>IFERROR(__xludf.DUMMYFUNCTION("""COMPUTED_VALUE"""),"pcs")</f>
        <v>pcs</v>
      </c>
      <c r="I160" s="6" t="str">
        <f>IFERROR(__xludf.DUMMYFUNCTION("""COMPUTED_VALUE"""),"MFH")</f>
        <v>MFH</v>
      </c>
      <c r="J160" s="6" t="str">
        <f>IFERROR(__xludf.DUMMYFUNCTION("""COMPUTED_VALUE"""),"Filling")</f>
        <v>Filling</v>
      </c>
      <c r="K160" s="6" t="str">
        <f>IFERROR(__xludf.DUMMYFUNCTION("""COMPUTED_VALUE"""),"SPR/09/23/026")</f>
        <v>SPR/09/23/026</v>
      </c>
      <c r="L160" s="13">
        <f>IFERROR(__xludf.DUMMYFUNCTION("""COMPUTED_VALUE"""),45170.0)</f>
        <v>45170</v>
      </c>
    </row>
    <row r="161">
      <c r="A161" s="6" t="str">
        <f>IFERROR(__xludf.DUMMYFUNCTION("""COMPUTED_VALUE"""),"MOB")</f>
        <v>MOB</v>
      </c>
      <c r="B161" s="6" t="str">
        <f>IFERROR(__xludf.DUMMYFUNCTION("""COMPUTED_VALUE"""),"ENG")</f>
        <v>ENG</v>
      </c>
      <c r="C161" s="6" t="str">
        <f>IFERROR(__xludf.DUMMYFUNCTION("""COMPUTED_VALUE"""),"Q-60501-00")</f>
        <v>Q-60501-00</v>
      </c>
      <c r="D161" s="6" t="str">
        <f>IFERROR(__xludf.DUMMYFUNCTION("""COMPUTED_VALUE"""),"Silicone Sealant, Silglaze, Type N10 Clear, pack size per pcs")</f>
        <v>Silicone Sealant, Silglaze, Type N10 Clear, pack size per pcs</v>
      </c>
      <c r="E161" s="6">
        <f>IFERROR(__xludf.DUMMYFUNCTION("""COMPUTED_VALUE"""),1.0)</f>
        <v>1</v>
      </c>
      <c r="F161" s="6">
        <f>IFERROR(__xludf.DUMMYFUNCTION("""COMPUTED_VALUE"""),1.0)</f>
        <v>1</v>
      </c>
      <c r="G161" s="6">
        <f>IFERROR(__xludf.DUMMYFUNCTION("""COMPUTED_VALUE"""),0.0)</f>
        <v>0</v>
      </c>
      <c r="H161" s="6" t="str">
        <f>IFERROR(__xludf.DUMMYFUNCTION("""COMPUTED_VALUE"""),"pcs")</f>
        <v>pcs</v>
      </c>
      <c r="I161" s="6" t="str">
        <f>IFERROR(__xludf.DUMMYFUNCTION("""COMPUTED_VALUE"""),"MFH")</f>
        <v>MFH</v>
      </c>
      <c r="J161" s="6" t="str">
        <f>IFERROR(__xludf.DUMMYFUNCTION("""COMPUTED_VALUE"""),"Building")</f>
        <v>Building</v>
      </c>
      <c r="K161" s="6" t="str">
        <f>IFERROR(__xludf.DUMMYFUNCTION("""COMPUTED_VALUE"""),"SPR/09/23/027")</f>
        <v>SPR/09/23/027</v>
      </c>
      <c r="L161" s="13">
        <f>IFERROR(__xludf.DUMMYFUNCTION("""COMPUTED_VALUE"""),45170.0)</f>
        <v>45170</v>
      </c>
    </row>
    <row r="162">
      <c r="A162" s="6" t="str">
        <f>IFERROR(__xludf.DUMMYFUNCTION("""COMPUTED_VALUE"""),"AAA")</f>
        <v>AAA</v>
      </c>
      <c r="B162" s="6" t="str">
        <f>IFERROR(__xludf.DUMMYFUNCTION("""COMPUTED_VALUE"""),"ENG")</f>
        <v>ENG</v>
      </c>
      <c r="C162" s="6" t="str">
        <f>IFERROR(__xludf.DUMMYFUNCTION("""COMPUTED_VALUE"""),"T-20055-00")</f>
        <v>T-20055-00</v>
      </c>
      <c r="D162" s="6" t="str">
        <f>IFERROR(__xludf.DUMMYFUNCTION("""COMPUTED_VALUE"""),"PerformancePlus Check Valve Cartridge")</f>
        <v>PerformancePlus Check Valve Cartridge</v>
      </c>
      <c r="E162" s="6">
        <f>IFERROR(__xludf.DUMMYFUNCTION("""COMPUTED_VALUE"""),2.0)</f>
        <v>2</v>
      </c>
      <c r="F162" s="6">
        <f>IFERROR(__xludf.DUMMYFUNCTION("""COMPUTED_VALUE"""),2.0)</f>
        <v>2</v>
      </c>
      <c r="G162" s="6">
        <f>IFERROR(__xludf.DUMMYFUNCTION("""COMPUTED_VALUE"""),0.0)</f>
        <v>0</v>
      </c>
      <c r="H162" s="6" t="str">
        <f>IFERROR(__xludf.DUMMYFUNCTION("""COMPUTED_VALUE"""),"pcs")</f>
        <v>pcs</v>
      </c>
      <c r="I162" s="6" t="str">
        <f>IFERROR(__xludf.DUMMYFUNCTION("""COMPUTED_VALUE"""),"MFH")</f>
        <v>MFH</v>
      </c>
      <c r="J162" s="6" t="str">
        <f>IFERROR(__xludf.DUMMYFUNCTION("""COMPUTED_VALUE"""),"Building")</f>
        <v>Building</v>
      </c>
      <c r="K162" s="6" t="str">
        <f>IFERROR(__xludf.DUMMYFUNCTION("""COMPUTED_VALUE"""),"SPR/09/23/028")</f>
        <v>SPR/09/23/028</v>
      </c>
      <c r="L162" s="13">
        <f>IFERROR(__xludf.DUMMYFUNCTION("""COMPUTED_VALUE"""),45170.0)</f>
        <v>45170</v>
      </c>
    </row>
    <row r="163">
      <c r="A163" s="6" t="str">
        <f>IFERROR(__xludf.DUMMYFUNCTION("""COMPUTED_VALUE"""),"AAA")</f>
        <v>AAA</v>
      </c>
      <c r="B163" s="6" t="str">
        <f>IFERROR(__xludf.DUMMYFUNCTION("""COMPUTED_VALUE"""),"ENG")</f>
        <v>ENG</v>
      </c>
      <c r="C163" s="6" t="str">
        <f>IFERROR(__xludf.DUMMYFUNCTION("""COMPUTED_VALUE"""),"O-16033-00")</f>
        <v>O-16033-00</v>
      </c>
      <c r="D163" s="6" t="str">
        <f>IFERROR(__xludf.DUMMYFUNCTION("""COMPUTED_VALUE"""),"Isolator Gloves E10330 Y 7 E4 4; 000156; Material : CSM; Shape : E10; Size : 7; Thickness (mm) : 4/1")</f>
        <v>Isolator Gloves E10330 Y 7 E4 4; 000156; Material : CSM; Shape : E10; Size : 7; Thickness (mm) : 4/1</v>
      </c>
      <c r="E163" s="6">
        <f>IFERROR(__xludf.DUMMYFUNCTION("""COMPUTED_VALUE"""),1.0)</f>
        <v>1</v>
      </c>
      <c r="F163" s="6">
        <f>IFERROR(__xludf.DUMMYFUNCTION("""COMPUTED_VALUE"""),1.0)</f>
        <v>1</v>
      </c>
      <c r="G163" s="6">
        <f>IFERROR(__xludf.DUMMYFUNCTION("""COMPUTED_VALUE"""),0.0)</f>
        <v>0</v>
      </c>
      <c r="H163" s="6" t="str">
        <f>IFERROR(__xludf.DUMMYFUNCTION("""COMPUTED_VALUE"""),"pcs")</f>
        <v>pcs</v>
      </c>
      <c r="I163" s="6" t="str">
        <f>IFERROR(__xludf.DUMMYFUNCTION("""COMPUTED_VALUE"""),"MFH")</f>
        <v>MFH</v>
      </c>
      <c r="J163" s="6" t="str">
        <f>IFERROR(__xludf.DUMMYFUNCTION("""COMPUTED_VALUE"""),"Building")</f>
        <v>Building</v>
      </c>
      <c r="K163" s="6" t="str">
        <f>IFERROR(__xludf.DUMMYFUNCTION("""COMPUTED_VALUE"""),"SPR/09/23/028")</f>
        <v>SPR/09/23/028</v>
      </c>
      <c r="L163" s="13">
        <f>IFERROR(__xludf.DUMMYFUNCTION("""COMPUTED_VALUE"""),45170.0)</f>
        <v>45170</v>
      </c>
    </row>
    <row r="164">
      <c r="A164" s="6" t="str">
        <f>IFERROR(__xludf.DUMMYFUNCTION("""COMPUTED_VALUE"""),"MOB")</f>
        <v>MOB</v>
      </c>
      <c r="B164" s="6" t="str">
        <f>IFERROR(__xludf.DUMMYFUNCTION("""COMPUTED_VALUE"""),"ENG")</f>
        <v>ENG</v>
      </c>
      <c r="C164" s="6" t="str">
        <f>IFERROR(__xludf.DUMMYFUNCTION("""COMPUTED_VALUE"""),"P-51559-00")</f>
        <v>P-51559-00</v>
      </c>
      <c r="D164" s="6" t="str">
        <f>IFERROR(__xludf.DUMMYFUNCTION("""COMPUTED_VALUE"""),"Lampu T5 14watt Putih; Phillips; ;")</f>
        <v>Lampu T5 14watt Putih; Phillips; ;</v>
      </c>
      <c r="E164" s="6">
        <f>IFERROR(__xludf.DUMMYFUNCTION("""COMPUTED_VALUE"""),60.0)</f>
        <v>60</v>
      </c>
      <c r="F164" s="6">
        <f>IFERROR(__xludf.DUMMYFUNCTION("""COMPUTED_VALUE"""),60.0)</f>
        <v>60</v>
      </c>
      <c r="G164" s="6">
        <f>IFERROR(__xludf.DUMMYFUNCTION("""COMPUTED_VALUE"""),0.0)</f>
        <v>0</v>
      </c>
      <c r="H164" s="6" t="str">
        <f>IFERROR(__xludf.DUMMYFUNCTION("""COMPUTED_VALUE"""),"pcs")</f>
        <v>pcs</v>
      </c>
      <c r="I164" s="6" t="str">
        <f>IFERROR(__xludf.DUMMYFUNCTION("""COMPUTED_VALUE"""),"MFH")</f>
        <v>MFH</v>
      </c>
      <c r="J164" s="6" t="str">
        <f>IFERROR(__xludf.DUMMYFUNCTION("""COMPUTED_VALUE"""),"Building")</f>
        <v>Building</v>
      </c>
      <c r="K164" s="6" t="str">
        <f>IFERROR(__xludf.DUMMYFUNCTION("""COMPUTED_VALUE"""),"SPR/09/23/029")</f>
        <v>SPR/09/23/029</v>
      </c>
      <c r="L164" s="13">
        <f>IFERROR(__xludf.DUMMYFUNCTION("""COMPUTED_VALUE"""),45170.0)</f>
        <v>45170</v>
      </c>
    </row>
    <row r="165">
      <c r="A165" s="6" t="str">
        <f>IFERROR(__xludf.DUMMYFUNCTION("""COMPUTED_VALUE"""),"MOB")</f>
        <v>MOB</v>
      </c>
      <c r="B165" s="6" t="str">
        <f>IFERROR(__xludf.DUMMYFUNCTION("""COMPUTED_VALUE"""),"ENG")</f>
        <v>ENG</v>
      </c>
      <c r="C165" s="6" t="str">
        <f>IFERROR(__xludf.DUMMYFUNCTION("""COMPUTED_VALUE"""),"P-53102-00")</f>
        <v>P-53102-00</v>
      </c>
      <c r="D165" s="6" t="str">
        <f>IFERROR(__xludf.DUMMYFUNCTION("""COMPUTED_VALUE"""),"Lampu PLC 13watt/E27 Putih; Phillips; ;")</f>
        <v>Lampu PLC 13watt/E27 Putih; Phillips; ;</v>
      </c>
      <c r="E165" s="6">
        <f>IFERROR(__xludf.DUMMYFUNCTION("""COMPUTED_VALUE"""),4.0)</f>
        <v>4</v>
      </c>
      <c r="F165" s="6">
        <f>IFERROR(__xludf.DUMMYFUNCTION("""COMPUTED_VALUE"""),4.0)</f>
        <v>4</v>
      </c>
      <c r="G165" s="6">
        <f>IFERROR(__xludf.DUMMYFUNCTION("""COMPUTED_VALUE"""),0.0)</f>
        <v>0</v>
      </c>
      <c r="H165" s="6" t="str">
        <f>IFERROR(__xludf.DUMMYFUNCTION("""COMPUTED_VALUE"""),"pcs")</f>
        <v>pcs</v>
      </c>
      <c r="I165" s="6" t="str">
        <f>IFERROR(__xludf.DUMMYFUNCTION("""COMPUTED_VALUE"""),"MFH")</f>
        <v>MFH</v>
      </c>
      <c r="J165" s="6" t="str">
        <f>IFERROR(__xludf.DUMMYFUNCTION("""COMPUTED_VALUE"""),"Building")</f>
        <v>Building</v>
      </c>
      <c r="K165" s="6" t="str">
        <f>IFERROR(__xludf.DUMMYFUNCTION("""COMPUTED_VALUE"""),"SPR/09/23/029")</f>
        <v>SPR/09/23/029</v>
      </c>
      <c r="L165" s="13">
        <f>IFERROR(__xludf.DUMMYFUNCTION("""COMPUTED_VALUE"""),45170.0)</f>
        <v>45170</v>
      </c>
    </row>
    <row r="166">
      <c r="A166" s="6" t="str">
        <f>IFERROR(__xludf.DUMMYFUNCTION("""COMPUTED_VALUE"""),"INN")</f>
        <v>INN</v>
      </c>
      <c r="B166" s="6" t="str">
        <f>IFERROR(__xludf.DUMMYFUNCTION("""COMPUTED_VALUE"""),"ENG")</f>
        <v>ENG</v>
      </c>
      <c r="C166" s="6" t="str">
        <f>IFERROR(__xludf.DUMMYFUNCTION("""COMPUTED_VALUE"""),"O-18987-00")</f>
        <v>O-18987-00</v>
      </c>
      <c r="D166" s="6" t="str">
        <f>IFERROR(__xludf.DUMMYFUNCTION("""COMPUTED_VALUE"""),"Freeze Dryer MBE1207 - Oil Compressor RL 46H @5 Liter")</f>
        <v>Freeze Dryer MBE1207 - Oil Compressor RL 46H @5 Liter</v>
      </c>
      <c r="E166" s="6">
        <f>IFERROR(__xludf.DUMMYFUNCTION("""COMPUTED_VALUE"""),8.0)</f>
        <v>8</v>
      </c>
      <c r="F166" s="6">
        <f>IFERROR(__xludf.DUMMYFUNCTION("""COMPUTED_VALUE"""),8.0)</f>
        <v>8</v>
      </c>
      <c r="G166" s="6">
        <f>IFERROR(__xludf.DUMMYFUNCTION("""COMPUTED_VALUE"""),0.0)</f>
        <v>0</v>
      </c>
      <c r="H166" s="6" t="str">
        <f>IFERROR(__xludf.DUMMYFUNCTION("""COMPUTED_VALUE"""),"pcs")</f>
        <v>pcs</v>
      </c>
      <c r="I166" s="6" t="str">
        <f>IFERROR(__xludf.DUMMYFUNCTION("""COMPUTED_VALUE"""),"MFH")</f>
        <v>MFH</v>
      </c>
      <c r="J166" s="6" t="str">
        <f>IFERROR(__xludf.DUMMYFUNCTION("""COMPUTED_VALUE"""),"FD IMA")</f>
        <v>FD IMA</v>
      </c>
      <c r="K166" s="6" t="str">
        <f>IFERROR(__xludf.DUMMYFUNCTION("""COMPUTED_VALUE"""),"SPR/09/23/030")</f>
        <v>SPR/09/23/030</v>
      </c>
      <c r="L166" s="13">
        <f>IFERROR(__xludf.DUMMYFUNCTION("""COMPUTED_VALUE"""),45170.0)</f>
        <v>45170</v>
      </c>
    </row>
    <row r="167">
      <c r="A167" s="6" t="str">
        <f>IFERROR(__xludf.DUMMYFUNCTION("""COMPUTED_VALUE"""),"INN")</f>
        <v>INN</v>
      </c>
      <c r="B167" s="6" t="str">
        <f>IFERROR(__xludf.DUMMYFUNCTION("""COMPUTED_VALUE"""),"ENG")</f>
        <v>ENG</v>
      </c>
      <c r="C167" s="6" t="str">
        <f>IFERROR(__xludf.DUMMYFUNCTION("""COMPUTED_VALUE"""),"O-52920-00")</f>
        <v>O-52920-00</v>
      </c>
      <c r="D167" s="6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E167" s="6">
        <f>IFERROR(__xludf.DUMMYFUNCTION("""COMPUTED_VALUE"""),1.0)</f>
        <v>1</v>
      </c>
      <c r="F167" s="6">
        <f>IFERROR(__xludf.DUMMYFUNCTION("""COMPUTED_VALUE"""),1.0)</f>
        <v>1</v>
      </c>
      <c r="G167" s="6">
        <f>IFERROR(__xludf.DUMMYFUNCTION("""COMPUTED_VALUE"""),0.0)</f>
        <v>0</v>
      </c>
      <c r="H167" s="6" t="str">
        <f>IFERROR(__xludf.DUMMYFUNCTION("""COMPUTED_VALUE"""),"pcs")</f>
        <v>pcs</v>
      </c>
      <c r="I167" s="6" t="str">
        <f>IFERROR(__xludf.DUMMYFUNCTION("""COMPUTED_VALUE"""),"MFH")</f>
        <v>MFH</v>
      </c>
      <c r="J167" s="6" t="str">
        <f>IFERROR(__xludf.DUMMYFUNCTION("""COMPUTED_VALUE"""),"FD IMA")</f>
        <v>FD IMA</v>
      </c>
      <c r="K167" s="6" t="str">
        <f>IFERROR(__xludf.DUMMYFUNCTION("""COMPUTED_VALUE"""),"SPR/09/23/030")</f>
        <v>SPR/09/23/030</v>
      </c>
      <c r="L167" s="13">
        <f>IFERROR(__xludf.DUMMYFUNCTION("""COMPUTED_VALUE"""),45170.0)</f>
        <v>45170</v>
      </c>
    </row>
    <row r="168">
      <c r="A168" s="6" t="str">
        <f>IFERROR(__xludf.DUMMYFUNCTION("""COMPUTED_VALUE"""),"INN")</f>
        <v>INN</v>
      </c>
      <c r="B168" s="6" t="str">
        <f>IFERROR(__xludf.DUMMYFUNCTION("""COMPUTED_VALUE"""),"ENG")</f>
        <v>ENG</v>
      </c>
      <c r="C168" s="6" t="str">
        <f>IFERROR(__xludf.DUMMYFUNCTION("""COMPUTED_VALUE"""),"O-11181-00")</f>
        <v>O-11181-00</v>
      </c>
      <c r="D168" s="6" t="str">
        <f>IFERROR(__xludf.DUMMYFUNCTION("""COMPUTED_VALUE"""),"Bearing 626-2Z")</f>
        <v>Bearing 626-2Z</v>
      </c>
      <c r="E168" s="6">
        <f>IFERROR(__xludf.DUMMYFUNCTION("""COMPUTED_VALUE"""),40.0)</f>
        <v>40</v>
      </c>
      <c r="F168" s="6">
        <f>IFERROR(__xludf.DUMMYFUNCTION("""COMPUTED_VALUE"""),40.0)</f>
        <v>40</v>
      </c>
      <c r="G168" s="6">
        <f>IFERROR(__xludf.DUMMYFUNCTION("""COMPUTED_VALUE"""),0.0)</f>
        <v>0</v>
      </c>
      <c r="H168" s="6" t="str">
        <f>IFERROR(__xludf.DUMMYFUNCTION("""COMPUTED_VALUE"""),"pcs")</f>
        <v>pcs</v>
      </c>
      <c r="I168" s="6" t="str">
        <f>IFERROR(__xludf.DUMMYFUNCTION("""COMPUTED_VALUE"""),"MFH")</f>
        <v>MFH</v>
      </c>
      <c r="J168" s="6" t="str">
        <f>IFERROR(__xludf.DUMMYFUNCTION("""COMPUTED_VALUE"""),"Capping")</f>
        <v>Capping</v>
      </c>
      <c r="K168" s="6" t="str">
        <f>IFERROR(__xludf.DUMMYFUNCTION("""COMPUTED_VALUE"""),"SPR/09/23/030")</f>
        <v>SPR/09/23/030</v>
      </c>
      <c r="L168" s="13">
        <f>IFERROR(__xludf.DUMMYFUNCTION("""COMPUTED_VALUE"""),45170.0)</f>
        <v>45170</v>
      </c>
    </row>
    <row r="169">
      <c r="A169" s="6" t="str">
        <f>IFERROR(__xludf.DUMMYFUNCTION("""COMPUTED_VALUE"""),"INN")</f>
        <v>INN</v>
      </c>
      <c r="B169" s="6" t="str">
        <f>IFERROR(__xludf.DUMMYFUNCTION("""COMPUTED_VALUE"""),"ENG")</f>
        <v>ENG</v>
      </c>
      <c r="C169" s="6" t="str">
        <f>IFERROR(__xludf.DUMMYFUNCTION("""COMPUTED_VALUE"""),"O-19164-00")</f>
        <v>O-19164-00</v>
      </c>
      <c r="D169" s="6" t="str">
        <f>IFERROR(__xludf.DUMMYFUNCTION("""COMPUTED_VALUE"""),"LINEAR SHAFT PSSFG12-306")</f>
        <v>LINEAR SHAFT PSSFG12-306</v>
      </c>
      <c r="E169" s="6">
        <f>IFERROR(__xludf.DUMMYFUNCTION("""COMPUTED_VALUE"""),1.0)</f>
        <v>1</v>
      </c>
      <c r="F169" s="6">
        <f>IFERROR(__xludf.DUMMYFUNCTION("""COMPUTED_VALUE"""),1.0)</f>
        <v>1</v>
      </c>
      <c r="G169" s="6">
        <f>IFERROR(__xludf.DUMMYFUNCTION("""COMPUTED_VALUE"""),0.0)</f>
        <v>0</v>
      </c>
      <c r="H169" s="6" t="str">
        <f>IFERROR(__xludf.DUMMYFUNCTION("""COMPUTED_VALUE"""),"pcs")</f>
        <v>pcs</v>
      </c>
      <c r="I169" s="6" t="str">
        <f>IFERROR(__xludf.DUMMYFUNCTION("""COMPUTED_VALUE"""),"MFH")</f>
        <v>MFH</v>
      </c>
      <c r="J169" s="6" t="str">
        <f>IFERROR(__xludf.DUMMYFUNCTION("""COMPUTED_VALUE"""),"Cartoning")</f>
        <v>Cartoning</v>
      </c>
      <c r="K169" s="6" t="str">
        <f>IFERROR(__xludf.DUMMYFUNCTION("""COMPUTED_VALUE"""),"SPR/09/23/031")</f>
        <v>SPR/09/23/031</v>
      </c>
      <c r="L169" s="13">
        <f>IFERROR(__xludf.DUMMYFUNCTION("""COMPUTED_VALUE"""),45170.0)</f>
        <v>45170</v>
      </c>
    </row>
    <row r="170">
      <c r="A170" s="6" t="str">
        <f>IFERROR(__xludf.DUMMYFUNCTION("""COMPUTED_VALUE"""),"INN")</f>
        <v>INN</v>
      </c>
      <c r="B170" s="6" t="str">
        <f>IFERROR(__xludf.DUMMYFUNCTION("""COMPUTED_VALUE"""),"ENG")</f>
        <v>ENG</v>
      </c>
      <c r="C170" s="6" t="str">
        <f>IFERROR(__xludf.DUMMYFUNCTION("""COMPUTED_VALUE"""),"P-18725-00")</f>
        <v>P-18725-00</v>
      </c>
      <c r="D170" s="6" t="str">
        <f>IFERROR(__xludf.DUMMYFUNCTION("""COMPUTED_VALUE"""),"Freon Refrigerant Chemours Suv")</f>
        <v>Freon Refrigerant Chemours Suv</v>
      </c>
      <c r="E170" s="6">
        <f>IFERROR(__xludf.DUMMYFUNCTION("""COMPUTED_VALUE"""),9.0)</f>
        <v>9</v>
      </c>
      <c r="F170" s="6">
        <f>IFERROR(__xludf.DUMMYFUNCTION("""COMPUTED_VALUE"""),9.0)</f>
        <v>9</v>
      </c>
      <c r="G170" s="6">
        <f>IFERROR(__xludf.DUMMYFUNCTION("""COMPUTED_VALUE"""),0.0)</f>
        <v>0</v>
      </c>
      <c r="H170" s="6" t="str">
        <f>IFERROR(__xludf.DUMMYFUNCTION("""COMPUTED_VALUE"""),"pcs")</f>
        <v>pcs</v>
      </c>
      <c r="I170" s="6" t="str">
        <f>IFERROR(__xludf.DUMMYFUNCTION("""COMPUTED_VALUE"""),"MFH")</f>
        <v>MFH</v>
      </c>
      <c r="J170" s="6" t="str">
        <f>IFERROR(__xludf.DUMMYFUNCTION("""COMPUTED_VALUE"""),"FD IMA")</f>
        <v>FD IMA</v>
      </c>
      <c r="K170" s="6" t="str">
        <f>IFERROR(__xludf.DUMMYFUNCTION("""COMPUTED_VALUE"""),"SPR/09/23/031")</f>
        <v>SPR/09/23/031</v>
      </c>
      <c r="L170" s="13">
        <f>IFERROR(__xludf.DUMMYFUNCTION("""COMPUTED_VALUE"""),45170.0)</f>
        <v>45170</v>
      </c>
    </row>
    <row r="171">
      <c r="A171" s="6" t="str">
        <f>IFERROR(__xludf.DUMMYFUNCTION("""COMPUTED_VALUE"""),"INN")</f>
        <v>INN</v>
      </c>
      <c r="B171" s="6" t="str">
        <f>IFERROR(__xludf.DUMMYFUNCTION("""COMPUTED_VALUE"""),"ENG")</f>
        <v>ENG</v>
      </c>
      <c r="C171" s="6" t="str">
        <f>IFERROR(__xludf.DUMMYFUNCTION("""COMPUTED_VALUE"""),"P-18725-00")</f>
        <v>P-18725-00</v>
      </c>
      <c r="D171" s="6" t="str">
        <f>IFERROR(__xludf.DUMMYFUNCTION("""COMPUTED_VALUE"""),"Freon Refrigerant Chemours Suv")</f>
        <v>Freon Refrigerant Chemours Suv</v>
      </c>
      <c r="E171" s="6">
        <f>IFERROR(__xludf.DUMMYFUNCTION("""COMPUTED_VALUE"""),3.0)</f>
        <v>3</v>
      </c>
      <c r="F171" s="6">
        <f>IFERROR(__xludf.DUMMYFUNCTION("""COMPUTED_VALUE"""),3.0)</f>
        <v>3</v>
      </c>
      <c r="G171" s="6">
        <f>IFERROR(__xludf.DUMMYFUNCTION("""COMPUTED_VALUE"""),0.0)</f>
        <v>0</v>
      </c>
      <c r="H171" s="6" t="str">
        <f>IFERROR(__xludf.DUMMYFUNCTION("""COMPUTED_VALUE"""),"pcs")</f>
        <v>pcs</v>
      </c>
      <c r="I171" s="6" t="str">
        <f>IFERROR(__xludf.DUMMYFUNCTION("""COMPUTED_VALUE"""),"MFH")</f>
        <v>MFH</v>
      </c>
      <c r="J171" s="6" t="str">
        <f>IFERROR(__xludf.DUMMYFUNCTION("""COMPUTED_VALUE"""),"FD IMA")</f>
        <v>FD IMA</v>
      </c>
      <c r="K171" s="6" t="str">
        <f>IFERROR(__xludf.DUMMYFUNCTION("""COMPUTED_VALUE"""),"SPR/09/23/031")</f>
        <v>SPR/09/23/031</v>
      </c>
      <c r="L171" s="13">
        <f>IFERROR(__xludf.DUMMYFUNCTION("""COMPUTED_VALUE"""),45170.0)</f>
        <v>45170</v>
      </c>
    </row>
    <row r="172">
      <c r="A172" s="6" t="str">
        <f>IFERROR(__xludf.DUMMYFUNCTION("""COMPUTED_VALUE"""),"INN")</f>
        <v>INN</v>
      </c>
      <c r="B172" s="6" t="str">
        <f>IFERROR(__xludf.DUMMYFUNCTION("""COMPUTED_VALUE"""),"ENG")</f>
        <v>ENG</v>
      </c>
      <c r="C172" s="6" t="str">
        <f>IFERROR(__xludf.DUMMYFUNCTION("""COMPUTED_VALUE"""),"O-18108-00")</f>
        <v>O-18108-00</v>
      </c>
      <c r="D172" s="6" t="str">
        <f>IFERROR(__xludf.DUMMYFUNCTION("""COMPUTED_VALUE"""),"Freeze Dryer MBE1207 - Therm.Exp.Valve TE2 R404A/R507A 068Z3403")</f>
        <v>Freeze Dryer MBE1207 - Therm.Exp.Valve TE2 R404A/R507A 068Z3403</v>
      </c>
      <c r="E172" s="6">
        <f>IFERROR(__xludf.DUMMYFUNCTION("""COMPUTED_VALUE"""),2.0)</f>
        <v>2</v>
      </c>
      <c r="F172" s="6">
        <f>IFERROR(__xludf.DUMMYFUNCTION("""COMPUTED_VALUE"""),2.0)</f>
        <v>2</v>
      </c>
      <c r="G172" s="6">
        <f>IFERROR(__xludf.DUMMYFUNCTION("""COMPUTED_VALUE"""),0.0)</f>
        <v>0</v>
      </c>
      <c r="H172" s="6" t="str">
        <f>IFERROR(__xludf.DUMMYFUNCTION("""COMPUTED_VALUE"""),"pcs")</f>
        <v>pcs</v>
      </c>
      <c r="I172" s="6" t="str">
        <f>IFERROR(__xludf.DUMMYFUNCTION("""COMPUTED_VALUE"""),"MFH")</f>
        <v>MFH</v>
      </c>
      <c r="J172" s="6" t="str">
        <f>IFERROR(__xludf.DUMMYFUNCTION("""COMPUTED_VALUE"""),"FD IMA")</f>
        <v>FD IMA</v>
      </c>
      <c r="K172" s="6" t="str">
        <f>IFERROR(__xludf.DUMMYFUNCTION("""COMPUTED_VALUE"""),"SPR/09/23/032")</f>
        <v>SPR/09/23/032</v>
      </c>
      <c r="L172" s="13">
        <f>IFERROR(__xludf.DUMMYFUNCTION("""COMPUTED_VALUE"""),45170.0)</f>
        <v>45170</v>
      </c>
    </row>
    <row r="173">
      <c r="A173" s="6" t="str">
        <f>IFERROR(__xludf.DUMMYFUNCTION("""COMPUTED_VALUE"""),"INN")</f>
        <v>INN</v>
      </c>
      <c r="B173" s="6" t="str">
        <f>IFERROR(__xludf.DUMMYFUNCTION("""COMPUTED_VALUE"""),"ENG")</f>
        <v>ENG</v>
      </c>
      <c r="C173" s="6" t="str">
        <f>IFERROR(__xludf.DUMMYFUNCTION("""COMPUTED_VALUE"""),"P-52767-00")</f>
        <v>P-52767-00</v>
      </c>
      <c r="D173" s="6" t="str">
        <f>IFERROR(__xludf.DUMMYFUNCTION("""COMPUTED_VALUE"""),"Freeze Dryer MBE1207 - Solenoi")</f>
        <v>Freeze Dryer MBE1207 - Solenoi</v>
      </c>
      <c r="E173" s="6">
        <f>IFERROR(__xludf.DUMMYFUNCTION("""COMPUTED_VALUE"""),1.0)</f>
        <v>1</v>
      </c>
      <c r="F173" s="6">
        <f>IFERROR(__xludf.DUMMYFUNCTION("""COMPUTED_VALUE"""),1.0)</f>
        <v>1</v>
      </c>
      <c r="G173" s="6">
        <f>IFERROR(__xludf.DUMMYFUNCTION("""COMPUTED_VALUE"""),0.0)</f>
        <v>0</v>
      </c>
      <c r="H173" s="6" t="str">
        <f>IFERROR(__xludf.DUMMYFUNCTION("""COMPUTED_VALUE"""),"pcs")</f>
        <v>pcs</v>
      </c>
      <c r="I173" s="6" t="str">
        <f>IFERROR(__xludf.DUMMYFUNCTION("""COMPUTED_VALUE"""),"MFH")</f>
        <v>MFH</v>
      </c>
      <c r="J173" s="6" t="str">
        <f>IFERROR(__xludf.DUMMYFUNCTION("""COMPUTED_VALUE"""),"FD IMA")</f>
        <v>FD IMA</v>
      </c>
      <c r="K173" s="6" t="str">
        <f>IFERROR(__xludf.DUMMYFUNCTION("""COMPUTED_VALUE"""),"SPR/09/23/032")</f>
        <v>SPR/09/23/032</v>
      </c>
      <c r="L173" s="13">
        <f>IFERROR(__xludf.DUMMYFUNCTION("""COMPUTED_VALUE"""),45170.0)</f>
        <v>45170</v>
      </c>
    </row>
    <row r="174">
      <c r="A174" s="6" t="str">
        <f>IFERROR(__xludf.DUMMYFUNCTION("""COMPUTED_VALUE"""),"INN")</f>
        <v>INN</v>
      </c>
      <c r="B174" s="6" t="str">
        <f>IFERROR(__xludf.DUMMYFUNCTION("""COMPUTED_VALUE"""),"ENG")</f>
        <v>ENG</v>
      </c>
      <c r="C174" s="6" t="str">
        <f>IFERROR(__xludf.DUMMYFUNCTION("""COMPUTED_VALUE"""),"O-16731-00")</f>
        <v>O-16731-00</v>
      </c>
      <c r="D174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174" s="6">
        <f>IFERROR(__xludf.DUMMYFUNCTION("""COMPUTED_VALUE"""),2.0)</f>
        <v>2</v>
      </c>
      <c r="F174" s="6">
        <f>IFERROR(__xludf.DUMMYFUNCTION("""COMPUTED_VALUE"""),2.0)</f>
        <v>2</v>
      </c>
      <c r="G174" s="6">
        <f>IFERROR(__xludf.DUMMYFUNCTION("""COMPUTED_VALUE"""),0.0)</f>
        <v>0</v>
      </c>
      <c r="H174" s="6" t="str">
        <f>IFERROR(__xludf.DUMMYFUNCTION("""COMPUTED_VALUE"""),"pcs")</f>
        <v>pcs</v>
      </c>
      <c r="I174" s="6" t="str">
        <f>IFERROR(__xludf.DUMMYFUNCTION("""COMPUTED_VALUE"""),"MFH")</f>
        <v>MFH</v>
      </c>
      <c r="J174" s="6" t="str">
        <f>IFERROR(__xludf.DUMMYFUNCTION("""COMPUTED_VALUE"""),"Autoclave")</f>
        <v>Autoclave</v>
      </c>
      <c r="K174" s="6" t="str">
        <f>IFERROR(__xludf.DUMMYFUNCTION("""COMPUTED_VALUE"""),"SPR/09/23/032")</f>
        <v>SPR/09/23/032</v>
      </c>
      <c r="L174" s="13">
        <f>IFERROR(__xludf.DUMMYFUNCTION("""COMPUTED_VALUE"""),45170.0)</f>
        <v>45170</v>
      </c>
    </row>
    <row r="175">
      <c r="A175" s="6" t="str">
        <f>IFERROR(__xludf.DUMMYFUNCTION("""COMPUTED_VALUE"""),"INN")</f>
        <v>INN</v>
      </c>
      <c r="B175" s="6" t="str">
        <f>IFERROR(__xludf.DUMMYFUNCTION("""COMPUTED_VALUE"""),"ENG")</f>
        <v>ENG</v>
      </c>
      <c r="C175" s="6" t="str">
        <f>IFERROR(__xludf.DUMMYFUNCTION("""COMPUTED_VALUE"""),"P-52488-00")</f>
        <v>P-52488-00</v>
      </c>
      <c r="D175" s="6" t="str">
        <f>IFERROR(__xludf.DUMMYFUNCTION("""COMPUTED_VALUE"""),"Clean Phone Room")</f>
        <v>Clean Phone Room</v>
      </c>
      <c r="E175" s="6">
        <f>IFERROR(__xludf.DUMMYFUNCTION("""COMPUTED_VALUE"""),1.0)</f>
        <v>1</v>
      </c>
      <c r="F175" s="6">
        <f>IFERROR(__xludf.DUMMYFUNCTION("""COMPUTED_VALUE"""),1.0)</f>
        <v>1</v>
      </c>
      <c r="G175" s="6">
        <f>IFERROR(__xludf.DUMMYFUNCTION("""COMPUTED_VALUE"""),0.0)</f>
        <v>0</v>
      </c>
      <c r="H175" s="6" t="str">
        <f>IFERROR(__xludf.DUMMYFUNCTION("""COMPUTED_VALUE"""),"pcs")</f>
        <v>pcs</v>
      </c>
      <c r="I175" s="6" t="str">
        <f>IFERROR(__xludf.DUMMYFUNCTION("""COMPUTED_VALUE"""),"MFH")</f>
        <v>MFH</v>
      </c>
      <c r="J175" s="6" t="str">
        <f>IFERROR(__xludf.DUMMYFUNCTION("""COMPUTED_VALUE"""),"Autoclave")</f>
        <v>Autoclave</v>
      </c>
      <c r="K175" s="6" t="str">
        <f>IFERROR(__xludf.DUMMYFUNCTION("""COMPUTED_VALUE"""),"SPR/09/23/033")</f>
        <v>SPR/09/23/033</v>
      </c>
      <c r="L175" s="13">
        <f>IFERROR(__xludf.DUMMYFUNCTION("""COMPUTED_VALUE"""),45170.0)</f>
        <v>45170</v>
      </c>
    </row>
    <row r="176">
      <c r="A176" s="6" t="str">
        <f>IFERROR(__xludf.DUMMYFUNCTION("""COMPUTED_VALUE"""),"BFN")</f>
        <v>BFN</v>
      </c>
      <c r="B176" s="6" t="str">
        <f>IFERROR(__xludf.DUMMYFUNCTION("""COMPUTED_VALUE"""),"PRO")</f>
        <v>PRO</v>
      </c>
      <c r="C176" s="6" t="str">
        <f>IFERROR(__xludf.DUMMYFUNCTION("""COMPUTED_VALUE"""),"O-18055-00")</f>
        <v>O-18055-00</v>
      </c>
      <c r="D176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76" s="6">
        <f>IFERROR(__xludf.DUMMYFUNCTION("""COMPUTED_VALUE"""),2.0)</f>
        <v>2</v>
      </c>
      <c r="F176" s="6">
        <f>IFERROR(__xludf.DUMMYFUNCTION("""COMPUTED_VALUE"""),2.0)</f>
        <v>2</v>
      </c>
      <c r="G176" s="6">
        <f>IFERROR(__xludf.DUMMYFUNCTION("""COMPUTED_VALUE"""),0.0)</f>
        <v>0</v>
      </c>
      <c r="H176" s="6" t="str">
        <f>IFERROR(__xludf.DUMMYFUNCTION("""COMPUTED_VALUE"""),"pcs")</f>
        <v>pcs</v>
      </c>
      <c r="I176" s="6" t="str">
        <f>IFERROR(__xludf.DUMMYFUNCTION("""COMPUTED_VALUE"""),"MFH")</f>
        <v>MFH</v>
      </c>
      <c r="J176" s="6" t="str">
        <f>IFERROR(__xludf.DUMMYFUNCTION("""COMPUTED_VALUE"""),"Cartoning")</f>
        <v>Cartoning</v>
      </c>
      <c r="K176" s="6" t="str">
        <f>IFERROR(__xludf.DUMMYFUNCTION("""COMPUTED_VALUE"""),"SPR/09/23/034")</f>
        <v>SPR/09/23/034</v>
      </c>
      <c r="L176" s="13">
        <f>IFERROR(__xludf.DUMMYFUNCTION("""COMPUTED_VALUE"""),45170.0)</f>
        <v>45170</v>
      </c>
    </row>
    <row r="177">
      <c r="A177" s="6" t="str">
        <f>IFERROR(__xludf.DUMMYFUNCTION("""COMPUTED_VALUE"""),"MOB")</f>
        <v>MOB</v>
      </c>
      <c r="B177" s="6" t="str">
        <f>IFERROR(__xludf.DUMMYFUNCTION("""COMPUTED_VALUE"""),"ENG")</f>
        <v>ENG</v>
      </c>
      <c r="C177" s="6" t="str">
        <f>IFERROR(__xludf.DUMMYFUNCTION("""COMPUTED_VALUE"""),"P-51560-00")</f>
        <v>P-51560-00</v>
      </c>
      <c r="D177" s="6" t="str">
        <f>IFERROR(__xludf.DUMMYFUNCTION("""COMPUTED_VALUE"""),"Lampu T5 28watt Putih; Phillips; ;")</f>
        <v>Lampu T5 28watt Putih; Phillips; ;</v>
      </c>
      <c r="E177" s="6">
        <f>IFERROR(__xludf.DUMMYFUNCTION("""COMPUTED_VALUE"""),1.0)</f>
        <v>1</v>
      </c>
      <c r="F177" s="6">
        <f>IFERROR(__xludf.DUMMYFUNCTION("""COMPUTED_VALUE"""),1.0)</f>
        <v>1</v>
      </c>
      <c r="G177" s="6">
        <f>IFERROR(__xludf.DUMMYFUNCTION("""COMPUTED_VALUE"""),0.0)</f>
        <v>0</v>
      </c>
      <c r="H177" s="6" t="str">
        <f>IFERROR(__xludf.DUMMYFUNCTION("""COMPUTED_VALUE"""),"pcs")</f>
        <v>pcs</v>
      </c>
      <c r="I177" s="6" t="str">
        <f>IFERROR(__xludf.DUMMYFUNCTION("""COMPUTED_VALUE"""),"MFH")</f>
        <v>MFH</v>
      </c>
      <c r="J177" s="6" t="str">
        <f>IFERROR(__xludf.DUMMYFUNCTION("""COMPUTED_VALUE"""),"Building")</f>
        <v>Building</v>
      </c>
      <c r="K177" s="6" t="str">
        <f>IFERROR(__xludf.DUMMYFUNCTION("""COMPUTED_VALUE"""),"SPR/09/23/035")</f>
        <v>SPR/09/23/035</v>
      </c>
      <c r="L177" s="13">
        <f>IFERROR(__xludf.DUMMYFUNCTION("""COMPUTED_VALUE"""),45170.0)</f>
        <v>45170</v>
      </c>
    </row>
    <row r="178">
      <c r="A178" s="6" t="str">
        <f>IFERROR(__xludf.DUMMYFUNCTION("""COMPUTED_VALUE"""),"AAA")</f>
        <v>AAA</v>
      </c>
      <c r="B178" s="6" t="str">
        <f>IFERROR(__xludf.DUMMYFUNCTION("""COMPUTED_VALUE"""),"ENG")</f>
        <v>ENG</v>
      </c>
      <c r="C178" s="6" t="str">
        <f>IFERROR(__xludf.DUMMYFUNCTION("""COMPUTED_VALUE"""),"P-13429-00")</f>
        <v>P-13429-00</v>
      </c>
      <c r="D178" s="6" t="str">
        <f>IFERROR(__xludf.DUMMYFUNCTION("""COMPUTED_VALUE"""),"Cable Ducting 25x40mm")</f>
        <v>Cable Ducting 25x40mm</v>
      </c>
      <c r="E178" s="6">
        <f>IFERROR(__xludf.DUMMYFUNCTION("""COMPUTED_VALUE"""),1.0)</f>
        <v>1</v>
      </c>
      <c r="F178" s="6">
        <f>IFERROR(__xludf.DUMMYFUNCTION("""COMPUTED_VALUE"""),1.0)</f>
        <v>1</v>
      </c>
      <c r="G178" s="6">
        <f>IFERROR(__xludf.DUMMYFUNCTION("""COMPUTED_VALUE"""),0.0)</f>
        <v>0</v>
      </c>
      <c r="H178" s="6" t="str">
        <f>IFERROR(__xludf.DUMMYFUNCTION("""COMPUTED_VALUE"""),"pcs")</f>
        <v>pcs</v>
      </c>
      <c r="I178" s="6" t="str">
        <f>IFERROR(__xludf.DUMMYFUNCTION("""COMPUTED_VALUE"""),"MFH")</f>
        <v>MFH</v>
      </c>
      <c r="J178" s="6" t="str">
        <f>IFERROR(__xludf.DUMMYFUNCTION("""COMPUTED_VALUE"""),"Building")</f>
        <v>Building</v>
      </c>
      <c r="K178" s="6" t="str">
        <f>IFERROR(__xludf.DUMMYFUNCTION("""COMPUTED_VALUE"""),"SPR/09/23/036")</f>
        <v>SPR/09/23/036</v>
      </c>
      <c r="L178" s="13">
        <f>IFERROR(__xludf.DUMMYFUNCTION("""COMPUTED_VALUE"""),45170.0)</f>
        <v>45170</v>
      </c>
    </row>
    <row r="179">
      <c r="A179" s="6" t="str">
        <f>IFERROR(__xludf.DUMMYFUNCTION("""COMPUTED_VALUE"""),"RIA")</f>
        <v>RIA</v>
      </c>
      <c r="B179" s="6" t="str">
        <f>IFERROR(__xludf.DUMMYFUNCTION("""COMPUTED_VALUE"""),"ENG")</f>
        <v>ENG</v>
      </c>
      <c r="C179" s="6" t="str">
        <f>IFERROR(__xludf.DUMMYFUNCTION("""COMPUTED_VALUE"""),"P-53102-00")</f>
        <v>P-53102-00</v>
      </c>
      <c r="D179" s="6" t="str">
        <f>IFERROR(__xludf.DUMMYFUNCTION("""COMPUTED_VALUE"""),"Lampu PLC 13watt/E27 Putih; Phillips; ;")</f>
        <v>Lampu PLC 13watt/E27 Putih; Phillips; ;</v>
      </c>
      <c r="E179" s="6">
        <f>IFERROR(__xludf.DUMMYFUNCTION("""COMPUTED_VALUE"""),1.0)</f>
        <v>1</v>
      </c>
      <c r="F179" s="6">
        <f>IFERROR(__xludf.DUMMYFUNCTION("""COMPUTED_VALUE"""),1.0)</f>
        <v>1</v>
      </c>
      <c r="G179" s="6">
        <f>IFERROR(__xludf.DUMMYFUNCTION("""COMPUTED_VALUE"""),0.0)</f>
        <v>0</v>
      </c>
      <c r="H179" s="6" t="str">
        <f>IFERROR(__xludf.DUMMYFUNCTION("""COMPUTED_VALUE"""),"pcs")</f>
        <v>pcs</v>
      </c>
      <c r="I179" s="6" t="str">
        <f>IFERROR(__xludf.DUMMYFUNCTION("""COMPUTED_VALUE"""),"MFH")</f>
        <v>MFH</v>
      </c>
      <c r="J179" s="6" t="str">
        <f>IFERROR(__xludf.DUMMYFUNCTION("""COMPUTED_VALUE"""),"Building")</f>
        <v>Building</v>
      </c>
      <c r="K179" s="6" t="str">
        <f>IFERROR(__xludf.DUMMYFUNCTION("""COMPUTED_VALUE"""),"SPR/09/23/037")</f>
        <v>SPR/09/23/037</v>
      </c>
      <c r="L179" s="13">
        <f>IFERROR(__xludf.DUMMYFUNCTION("""COMPUTED_VALUE"""),45170.0)</f>
        <v>45170</v>
      </c>
    </row>
    <row r="180">
      <c r="A180" s="6" t="str">
        <f>IFERROR(__xludf.DUMMYFUNCTION("""COMPUTED_VALUE"""),"BFN")</f>
        <v>BFN</v>
      </c>
      <c r="B180" s="6" t="str">
        <f>IFERROR(__xludf.DUMMYFUNCTION("""COMPUTED_VALUE"""),"ENG")</f>
        <v>ENG</v>
      </c>
      <c r="C180" s="6" t="str">
        <f>IFERROR(__xludf.DUMMYFUNCTION("""COMPUTED_VALUE"""),"O-18055-00")</f>
        <v>O-18055-00</v>
      </c>
      <c r="D180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80" s="6">
        <f>IFERROR(__xludf.DUMMYFUNCTION("""COMPUTED_VALUE"""),2.0)</f>
        <v>2</v>
      </c>
      <c r="F180" s="6">
        <f>IFERROR(__xludf.DUMMYFUNCTION("""COMPUTED_VALUE"""),2.0)</f>
        <v>2</v>
      </c>
      <c r="G180" s="6">
        <f>IFERROR(__xludf.DUMMYFUNCTION("""COMPUTED_VALUE"""),0.0)</f>
        <v>0</v>
      </c>
      <c r="H180" s="6" t="str">
        <f>IFERROR(__xludf.DUMMYFUNCTION("""COMPUTED_VALUE"""),"pcs")</f>
        <v>pcs</v>
      </c>
      <c r="I180" s="6" t="str">
        <f>IFERROR(__xludf.DUMMYFUNCTION("""COMPUTED_VALUE"""),"MFH")</f>
        <v>MFH</v>
      </c>
      <c r="J180" s="6" t="str">
        <f>IFERROR(__xludf.DUMMYFUNCTION("""COMPUTED_VALUE"""),"Cartoning")</f>
        <v>Cartoning</v>
      </c>
      <c r="K180" s="6" t="str">
        <f>IFERROR(__xludf.DUMMYFUNCTION("""COMPUTED_VALUE"""),"SPR/09/23/038")</f>
        <v>SPR/09/23/038</v>
      </c>
      <c r="L180" s="13">
        <f>IFERROR(__xludf.DUMMYFUNCTION("""COMPUTED_VALUE"""),45170.0)</f>
        <v>45170</v>
      </c>
    </row>
    <row r="181">
      <c r="A181" s="6" t="str">
        <f>IFERROR(__xludf.DUMMYFUNCTION("""COMPUTED_VALUE"""),"AAA")</f>
        <v>AAA</v>
      </c>
      <c r="B181" s="6" t="str">
        <f>IFERROR(__xludf.DUMMYFUNCTION("""COMPUTED_VALUE"""),"ENG")</f>
        <v>ENG</v>
      </c>
      <c r="C181" s="6" t="str">
        <f>IFERROR(__xludf.DUMMYFUNCTION("""COMPUTED_VALUE"""),"O-51850-00")</f>
        <v>O-51850-00</v>
      </c>
      <c r="D181" s="6" t="str">
        <f>IFERROR(__xludf.DUMMYFUNCTION("""COMPUTED_VALUE"""),"Power Supply 220 VAC 12 VDC, 3 Ampere; ; ;")</f>
        <v>Power Supply 220 VAC 12 VDC, 3 Ampere; ; ;</v>
      </c>
      <c r="E181" s="6">
        <f>IFERROR(__xludf.DUMMYFUNCTION("""COMPUTED_VALUE"""),1.0)</f>
        <v>1</v>
      </c>
      <c r="F181" s="6">
        <f>IFERROR(__xludf.DUMMYFUNCTION("""COMPUTED_VALUE"""),1.0)</f>
        <v>1</v>
      </c>
      <c r="G181" s="6">
        <f>IFERROR(__xludf.DUMMYFUNCTION("""COMPUTED_VALUE"""),0.0)</f>
        <v>0</v>
      </c>
      <c r="H181" s="6" t="str">
        <f>IFERROR(__xludf.DUMMYFUNCTION("""COMPUTED_VALUE"""),"pcs")</f>
        <v>pcs</v>
      </c>
      <c r="I181" s="6" t="str">
        <f>IFERROR(__xludf.DUMMYFUNCTION("""COMPUTED_VALUE"""),"MFH")</f>
        <v>MFH</v>
      </c>
      <c r="J181" s="6" t="str">
        <f>IFERROR(__xludf.DUMMYFUNCTION("""COMPUTED_VALUE"""),"Hubber")</f>
        <v>Hubber</v>
      </c>
      <c r="K181" s="6" t="str">
        <f>IFERROR(__xludf.DUMMYFUNCTION("""COMPUTED_VALUE"""),"SPR/09/23/039")</f>
        <v>SPR/09/23/039</v>
      </c>
      <c r="L181" s="13">
        <f>IFERROR(__xludf.DUMMYFUNCTION("""COMPUTED_VALUE"""),45170.0)</f>
        <v>45170</v>
      </c>
    </row>
    <row r="182">
      <c r="A182" s="6" t="str">
        <f>IFERROR(__xludf.DUMMYFUNCTION("""COMPUTED_VALUE"""),"INN")</f>
        <v>INN</v>
      </c>
      <c r="B182" s="6" t="str">
        <f>IFERROR(__xludf.DUMMYFUNCTION("""COMPUTED_VALUE"""),"ENG")</f>
        <v>ENG</v>
      </c>
      <c r="C182" s="6" t="str">
        <f>IFERROR(__xludf.DUMMYFUNCTION("""COMPUTED_VALUE"""),"P-18472-00")</f>
        <v>P-18472-00</v>
      </c>
      <c r="D182" s="6" t="str">
        <f>IFERROR(__xludf.DUMMYFUNCTION("""COMPUTED_VALUE"""),"Thermostatic Steam Trap LV6-CE")</f>
        <v>Thermostatic Steam Trap LV6-CE</v>
      </c>
      <c r="E182" s="6">
        <f>IFERROR(__xludf.DUMMYFUNCTION("""COMPUTED_VALUE"""),2.0)</f>
        <v>2</v>
      </c>
      <c r="F182" s="6">
        <f>IFERROR(__xludf.DUMMYFUNCTION("""COMPUTED_VALUE"""),2.0)</f>
        <v>2</v>
      </c>
      <c r="G182" s="6">
        <f>IFERROR(__xludf.DUMMYFUNCTION("""COMPUTED_VALUE"""),0.0)</f>
        <v>0</v>
      </c>
      <c r="H182" s="6" t="str">
        <f>IFERROR(__xludf.DUMMYFUNCTION("""COMPUTED_VALUE"""),"pcs")</f>
        <v>pcs</v>
      </c>
      <c r="I182" s="6" t="str">
        <f>IFERROR(__xludf.DUMMYFUNCTION("""COMPUTED_VALUE"""),"MFH")</f>
        <v>MFH</v>
      </c>
      <c r="J182" s="6" t="str">
        <f>IFERROR(__xludf.DUMMYFUNCTION("""COMPUTED_VALUE"""),"Autoclave")</f>
        <v>Autoclave</v>
      </c>
      <c r="K182" s="6" t="str">
        <f>IFERROR(__xludf.DUMMYFUNCTION("""COMPUTED_VALUE"""),"SPR/09/23/040")</f>
        <v>SPR/09/23/040</v>
      </c>
      <c r="L182" s="13">
        <f>IFERROR(__xludf.DUMMYFUNCTION("""COMPUTED_VALUE"""),45170.0)</f>
        <v>45170</v>
      </c>
    </row>
    <row r="183">
      <c r="A183" s="6" t="str">
        <f>IFERROR(__xludf.DUMMYFUNCTION("""COMPUTED_VALUE"""),"MOB")</f>
        <v>MOB</v>
      </c>
      <c r="B183" s="6" t="str">
        <f>IFERROR(__xludf.DUMMYFUNCTION("""COMPUTED_VALUE"""),"ENG")</f>
        <v>ENG</v>
      </c>
      <c r="C183" s="6" t="str">
        <f>IFERROR(__xludf.DUMMYFUNCTION("""COMPUTED_VALUE"""),"P-14454-00")</f>
        <v>P-14454-00</v>
      </c>
      <c r="D183" s="6" t="str">
        <f>IFERROR(__xludf.DUMMYFUNCTION("""COMPUTED_VALUE"""),"Filter IAF MB Series (Medium Filter), efficiency : 60-65 %, Size: 12 x 24 x 12 inch")</f>
        <v>Filter IAF MB Series (Medium Filter), efficiency : 60-65 %, Size: 12 x 24 x 12 inch</v>
      </c>
      <c r="E183" s="6">
        <f>IFERROR(__xludf.DUMMYFUNCTION("""COMPUTED_VALUE"""),1.0)</f>
        <v>1</v>
      </c>
      <c r="F183" s="6">
        <f>IFERROR(__xludf.DUMMYFUNCTION("""COMPUTED_VALUE"""),1.0)</f>
        <v>1</v>
      </c>
      <c r="G183" s="6">
        <f>IFERROR(__xludf.DUMMYFUNCTION("""COMPUTED_VALUE"""),0.0)</f>
        <v>0</v>
      </c>
      <c r="H183" s="6" t="str">
        <f>IFERROR(__xludf.DUMMYFUNCTION("""COMPUTED_VALUE"""),"pcs")</f>
        <v>pcs</v>
      </c>
      <c r="I183" s="6" t="str">
        <f>IFERROR(__xludf.DUMMYFUNCTION("""COMPUTED_VALUE"""),"MFH")</f>
        <v>MFH</v>
      </c>
      <c r="J183" s="6" t="str">
        <f>IFERROR(__xludf.DUMMYFUNCTION("""COMPUTED_VALUE"""),"AHU")</f>
        <v>AHU</v>
      </c>
      <c r="K183" s="6" t="str">
        <f>IFERROR(__xludf.DUMMYFUNCTION("""COMPUTED_VALUE"""),"SPR/10/23/001")</f>
        <v>SPR/10/23/001</v>
      </c>
      <c r="L183" s="13">
        <f>IFERROR(__xludf.DUMMYFUNCTION("""COMPUTED_VALUE"""),45200.0)</f>
        <v>45200</v>
      </c>
    </row>
    <row r="184">
      <c r="A184" s="6" t="str">
        <f>IFERROR(__xludf.DUMMYFUNCTION("""COMPUTED_VALUE"""),"MOB")</f>
        <v>MOB</v>
      </c>
      <c r="B184" s="6" t="str">
        <f>IFERROR(__xludf.DUMMYFUNCTION("""COMPUTED_VALUE"""),"ENG")</f>
        <v>ENG</v>
      </c>
      <c r="C184" s="6" t="str">
        <f>IFERROR(__xludf.DUMMYFUNCTION("""COMPUTED_VALUE"""),"P-14453-00")</f>
        <v>P-14453-00</v>
      </c>
      <c r="D184" s="6" t="str">
        <f>IFERROR(__xludf.DUMMYFUNCTION("""COMPUTED_VALUE"""),"Filter IAF MB Series (Medium Filter), efficiency : 60-65 %, Size: 24 x 24 x 12 inch")</f>
        <v>Filter IAF MB Series (Medium Filter), efficiency : 60-65 %, Size: 24 x 24 x 12 inch</v>
      </c>
      <c r="E184" s="6">
        <f>IFERROR(__xludf.DUMMYFUNCTION("""COMPUTED_VALUE"""),1.0)</f>
        <v>1</v>
      </c>
      <c r="F184" s="6">
        <f>IFERROR(__xludf.DUMMYFUNCTION("""COMPUTED_VALUE"""),1.0)</f>
        <v>1</v>
      </c>
      <c r="G184" s="6">
        <f>IFERROR(__xludf.DUMMYFUNCTION("""COMPUTED_VALUE"""),0.0)</f>
        <v>0</v>
      </c>
      <c r="H184" s="6" t="str">
        <f>IFERROR(__xludf.DUMMYFUNCTION("""COMPUTED_VALUE"""),"pcs")</f>
        <v>pcs</v>
      </c>
      <c r="I184" s="6" t="str">
        <f>IFERROR(__xludf.DUMMYFUNCTION("""COMPUTED_VALUE"""),"MFH")</f>
        <v>MFH</v>
      </c>
      <c r="J184" s="6" t="str">
        <f>IFERROR(__xludf.DUMMYFUNCTION("""COMPUTED_VALUE"""),"AHU")</f>
        <v>AHU</v>
      </c>
      <c r="K184" s="6" t="str">
        <f>IFERROR(__xludf.DUMMYFUNCTION("""COMPUTED_VALUE"""),"SPR/10/23/001")</f>
        <v>SPR/10/23/001</v>
      </c>
      <c r="L184" s="13">
        <f>IFERROR(__xludf.DUMMYFUNCTION("""COMPUTED_VALUE"""),45200.0)</f>
        <v>45200</v>
      </c>
    </row>
    <row r="185">
      <c r="A185" s="6" t="str">
        <f>IFERROR(__xludf.DUMMYFUNCTION("""COMPUTED_VALUE"""),"MFH")</f>
        <v>MFH</v>
      </c>
      <c r="B185" s="6" t="str">
        <f>IFERROR(__xludf.DUMMYFUNCTION("""COMPUTED_VALUE"""),"ENG")</f>
        <v>ENG</v>
      </c>
      <c r="C185" s="6" t="str">
        <f>IFERROR(__xludf.DUMMYFUNCTION("""COMPUTED_VALUE"""),"P-12994-00")</f>
        <v>P-12994-00</v>
      </c>
      <c r="D185" s="6" t="str">
        <f>IFERROR(__xludf.DUMMYFUNCTION("""COMPUTED_VALUE"""),"Nippon Tape - ASF-110FR")</f>
        <v>Nippon Tape - ASF-110FR</v>
      </c>
      <c r="E185" s="6">
        <f>IFERROR(__xludf.DUMMYFUNCTION("""COMPUTED_VALUE"""),1.0)</f>
        <v>1</v>
      </c>
      <c r="F185" s="6">
        <f>IFERROR(__xludf.DUMMYFUNCTION("""COMPUTED_VALUE"""),1.0)</f>
        <v>1</v>
      </c>
      <c r="G185" s="6">
        <f>IFERROR(__xludf.DUMMYFUNCTION("""COMPUTED_VALUE"""),0.0)</f>
        <v>0</v>
      </c>
      <c r="H185" s="6" t="str">
        <f>IFERROR(__xludf.DUMMYFUNCTION("""COMPUTED_VALUE"""),"pcs")</f>
        <v>pcs</v>
      </c>
      <c r="I185" s="6" t="str">
        <f>IFERROR(__xludf.DUMMYFUNCTION("""COMPUTED_VALUE"""),"MFH")</f>
        <v>MFH</v>
      </c>
      <c r="J185" s="6" t="str">
        <f>IFERROR(__xludf.DUMMYFUNCTION("""COMPUTED_VALUE"""),"Filling")</f>
        <v>Filling</v>
      </c>
      <c r="K185" s="6" t="str">
        <f>IFERROR(__xludf.DUMMYFUNCTION("""COMPUTED_VALUE"""),"SPR/10/23/002")</f>
        <v>SPR/10/23/002</v>
      </c>
      <c r="L185" s="13">
        <f>IFERROR(__xludf.DUMMYFUNCTION("""COMPUTED_VALUE"""),45200.0)</f>
        <v>45200</v>
      </c>
    </row>
    <row r="186">
      <c r="A186" s="6" t="str">
        <f>IFERROR(__xludf.DUMMYFUNCTION("""COMPUTED_VALUE"""),"RIA")</f>
        <v>RIA</v>
      </c>
      <c r="B186" s="6" t="str">
        <f>IFERROR(__xludf.DUMMYFUNCTION("""COMPUTED_VALUE"""),"ENG")</f>
        <v>ENG</v>
      </c>
      <c r="C186" s="6" t="str">
        <f>IFERROR(__xludf.DUMMYFUNCTION("""COMPUTED_VALUE"""),"P-14453-00")</f>
        <v>P-14453-00</v>
      </c>
      <c r="D186" s="6" t="str">
        <f>IFERROR(__xludf.DUMMYFUNCTION("""COMPUTED_VALUE"""),"Filter IAF MB Series (Medium Filter), efficiency : 60-65 %, Size: 24 x 24 x 12 inch")</f>
        <v>Filter IAF MB Series (Medium Filter), efficiency : 60-65 %, Size: 24 x 24 x 12 inch</v>
      </c>
      <c r="E186" s="6">
        <f>IFERROR(__xludf.DUMMYFUNCTION("""COMPUTED_VALUE"""),1.0)</f>
        <v>1</v>
      </c>
      <c r="F186" s="6">
        <f>IFERROR(__xludf.DUMMYFUNCTION("""COMPUTED_VALUE"""),1.0)</f>
        <v>1</v>
      </c>
      <c r="G186" s="6">
        <f>IFERROR(__xludf.DUMMYFUNCTION("""COMPUTED_VALUE"""),0.0)</f>
        <v>0</v>
      </c>
      <c r="H186" s="6" t="str">
        <f>IFERROR(__xludf.DUMMYFUNCTION("""COMPUTED_VALUE"""),"pcs")</f>
        <v>pcs</v>
      </c>
      <c r="I186" s="6" t="str">
        <f>IFERROR(__xludf.DUMMYFUNCTION("""COMPUTED_VALUE"""),"MFH")</f>
        <v>MFH</v>
      </c>
      <c r="J186" s="6" t="str">
        <f>IFERROR(__xludf.DUMMYFUNCTION("""COMPUTED_VALUE"""),"AHU")</f>
        <v>AHU</v>
      </c>
      <c r="K186" s="6" t="str">
        <f>IFERROR(__xludf.DUMMYFUNCTION("""COMPUTED_VALUE"""),"SPR/10/23/003")</f>
        <v>SPR/10/23/003</v>
      </c>
      <c r="L186" s="13">
        <f>IFERROR(__xludf.DUMMYFUNCTION("""COMPUTED_VALUE"""),45200.0)</f>
        <v>45200</v>
      </c>
    </row>
    <row r="187">
      <c r="A187" s="6" t="str">
        <f>IFERROR(__xludf.DUMMYFUNCTION("""COMPUTED_VALUE"""),"RIA")</f>
        <v>RIA</v>
      </c>
      <c r="B187" s="6" t="str">
        <f>IFERROR(__xludf.DUMMYFUNCTION("""COMPUTED_VALUE"""),"ENG")</f>
        <v>ENG</v>
      </c>
      <c r="C187" s="6" t="str">
        <f>IFERROR(__xludf.DUMMYFUNCTION("""COMPUTED_VALUE"""),"P-14454-00")</f>
        <v>P-14454-00</v>
      </c>
      <c r="D187" s="6" t="str">
        <f>IFERROR(__xludf.DUMMYFUNCTION("""COMPUTED_VALUE"""),"Filter IAF MB Series (Medium Filter), efficiency : 60-65 %, Size: 12 x 24 x 12 inch")</f>
        <v>Filter IAF MB Series (Medium Filter), efficiency : 60-65 %, Size: 12 x 24 x 12 inch</v>
      </c>
      <c r="E187" s="6">
        <f>IFERROR(__xludf.DUMMYFUNCTION("""COMPUTED_VALUE"""),2.0)</f>
        <v>2</v>
      </c>
      <c r="F187" s="6">
        <f>IFERROR(__xludf.DUMMYFUNCTION("""COMPUTED_VALUE"""),2.0)</f>
        <v>2</v>
      </c>
      <c r="G187" s="6">
        <f>IFERROR(__xludf.DUMMYFUNCTION("""COMPUTED_VALUE"""),0.0)</f>
        <v>0</v>
      </c>
      <c r="H187" s="6" t="str">
        <f>IFERROR(__xludf.DUMMYFUNCTION("""COMPUTED_VALUE"""),"pcs")</f>
        <v>pcs</v>
      </c>
      <c r="I187" s="6" t="str">
        <f>IFERROR(__xludf.DUMMYFUNCTION("""COMPUTED_VALUE"""),"MFH")</f>
        <v>MFH</v>
      </c>
      <c r="J187" s="6" t="str">
        <f>IFERROR(__xludf.DUMMYFUNCTION("""COMPUTED_VALUE"""),"AHU")</f>
        <v>AHU</v>
      </c>
      <c r="K187" s="6" t="str">
        <f>IFERROR(__xludf.DUMMYFUNCTION("""COMPUTED_VALUE"""),"SPR/10/23/003")</f>
        <v>SPR/10/23/003</v>
      </c>
      <c r="L187" s="13">
        <f>IFERROR(__xludf.DUMMYFUNCTION("""COMPUTED_VALUE"""),45200.0)</f>
        <v>45200</v>
      </c>
    </row>
    <row r="188">
      <c r="A188" s="6" t="str">
        <f>IFERROR(__xludf.DUMMYFUNCTION("""COMPUTED_VALUE"""),"RIA")</f>
        <v>RIA</v>
      </c>
      <c r="B188" s="6" t="str">
        <f>IFERROR(__xludf.DUMMYFUNCTION("""COMPUTED_VALUE"""),"ENG")</f>
        <v>ENG</v>
      </c>
      <c r="C188" s="6" t="str">
        <f>IFERROR(__xludf.DUMMYFUNCTION("""COMPUTED_VALUE"""),"P-51785-00")</f>
        <v>P-51785-00</v>
      </c>
      <c r="D188" s="6" t="str">
        <f>IFERROR(__xludf.DUMMYFUNCTION("""COMPUTED_VALUE"""),"Lampu Phillips PHP LED; 710 7w E27 White 220-240v")</f>
        <v>Lampu Phillips PHP LED; 710 7w E27 White 220-240v</v>
      </c>
      <c r="E188" s="6">
        <f>IFERROR(__xludf.DUMMYFUNCTION("""COMPUTED_VALUE"""),1.0)</f>
        <v>1</v>
      </c>
      <c r="F188" s="6">
        <f>IFERROR(__xludf.DUMMYFUNCTION("""COMPUTED_VALUE"""),1.0)</f>
        <v>1</v>
      </c>
      <c r="G188" s="6">
        <f>IFERROR(__xludf.DUMMYFUNCTION("""COMPUTED_VALUE"""),0.0)</f>
        <v>0</v>
      </c>
      <c r="H188" s="6" t="str">
        <f>IFERROR(__xludf.DUMMYFUNCTION("""COMPUTED_VALUE"""),"pcs")</f>
        <v>pcs</v>
      </c>
      <c r="I188" s="6" t="str">
        <f>IFERROR(__xludf.DUMMYFUNCTION("""COMPUTED_VALUE"""),"MFH")</f>
        <v>MFH</v>
      </c>
      <c r="J188" s="6" t="str">
        <f>IFERROR(__xludf.DUMMYFUNCTION("""COMPUTED_VALUE"""),"AHU")</f>
        <v>AHU</v>
      </c>
      <c r="K188" s="6" t="str">
        <f>IFERROR(__xludf.DUMMYFUNCTION("""COMPUTED_VALUE"""),"SPR/10/23/003")</f>
        <v>SPR/10/23/003</v>
      </c>
      <c r="L188" s="13">
        <f>IFERROR(__xludf.DUMMYFUNCTION("""COMPUTED_VALUE"""),45200.0)</f>
        <v>45200</v>
      </c>
    </row>
    <row r="189">
      <c r="A189" s="6" t="str">
        <f>IFERROR(__xludf.DUMMYFUNCTION("""COMPUTED_VALUE"""),"NDS")</f>
        <v>NDS</v>
      </c>
      <c r="B189" s="6" t="str">
        <f>IFERROR(__xludf.DUMMYFUNCTION("""COMPUTED_VALUE"""),"ENG")</f>
        <v>ENG</v>
      </c>
      <c r="C189" s="6" t="str">
        <f>IFERROR(__xludf.DUMMYFUNCTION("""COMPUTED_VALUE"""),"P-52710-00")</f>
        <v>P-52710-00</v>
      </c>
      <c r="D189" s="6" t="str">
        <f>IFERROR(__xludf.DUMMYFUNCTION("""COMPUTED_VALUE"""),"USB Extension Cable Waterproof")</f>
        <v>USB Extension Cable Waterproof</v>
      </c>
      <c r="E189" s="6">
        <f>IFERROR(__xludf.DUMMYFUNCTION("""COMPUTED_VALUE"""),1.0)</f>
        <v>1</v>
      </c>
      <c r="F189" s="6">
        <f>IFERROR(__xludf.DUMMYFUNCTION("""COMPUTED_VALUE"""),1.0)</f>
        <v>1</v>
      </c>
      <c r="G189" s="6">
        <f>IFERROR(__xludf.DUMMYFUNCTION("""COMPUTED_VALUE"""),0.0)</f>
        <v>0</v>
      </c>
      <c r="H189" s="6" t="str">
        <f>IFERROR(__xludf.DUMMYFUNCTION("""COMPUTED_VALUE"""),"pcs")</f>
        <v>pcs</v>
      </c>
      <c r="I189" s="6" t="str">
        <f>IFERROR(__xludf.DUMMYFUNCTION("""COMPUTED_VALUE"""),"MFH")</f>
        <v>MFH</v>
      </c>
      <c r="J189" s="6" t="str">
        <f>IFERROR(__xludf.DUMMYFUNCTION("""COMPUTED_VALUE"""),"GMP Washer")</f>
        <v>GMP Washer</v>
      </c>
      <c r="K189" s="6" t="str">
        <f>IFERROR(__xludf.DUMMYFUNCTION("""COMPUTED_VALUE"""),"SPR/10/23/004")</f>
        <v>SPR/10/23/004</v>
      </c>
      <c r="L189" s="13">
        <f>IFERROR(__xludf.DUMMYFUNCTION("""COMPUTED_VALUE"""),45200.0)</f>
        <v>45200</v>
      </c>
    </row>
    <row r="190">
      <c r="A190" s="6" t="str">
        <f>IFERROR(__xludf.DUMMYFUNCTION("""COMPUTED_VALUE"""),"RIA")</f>
        <v>RIA</v>
      </c>
      <c r="B190" s="6" t="str">
        <f>IFERROR(__xludf.DUMMYFUNCTION("""COMPUTED_VALUE"""),"ENG")</f>
        <v>ENG</v>
      </c>
      <c r="C190" s="6" t="str">
        <f>IFERROR(__xludf.DUMMYFUNCTION("""COMPUTED_VALUE"""),"P-53102-00")</f>
        <v>P-53102-00</v>
      </c>
      <c r="D190" s="6" t="str">
        <f>IFERROR(__xludf.DUMMYFUNCTION("""COMPUTED_VALUE"""),"Lampu PLC 13watt/E27 Putih")</f>
        <v>Lampu PLC 13watt/E27 Putih</v>
      </c>
      <c r="E190" s="6">
        <f>IFERROR(__xludf.DUMMYFUNCTION("""COMPUTED_VALUE"""),3.0)</f>
        <v>3</v>
      </c>
      <c r="F190" s="6">
        <f>IFERROR(__xludf.DUMMYFUNCTION("""COMPUTED_VALUE"""),3.0)</f>
        <v>3</v>
      </c>
      <c r="G190" s="6">
        <f>IFERROR(__xludf.DUMMYFUNCTION("""COMPUTED_VALUE"""),0.0)</f>
        <v>0</v>
      </c>
      <c r="H190" s="6" t="str">
        <f>IFERROR(__xludf.DUMMYFUNCTION("""COMPUTED_VALUE"""),"pcs")</f>
        <v>pcs</v>
      </c>
      <c r="I190" s="6" t="str">
        <f>IFERROR(__xludf.DUMMYFUNCTION("""COMPUTED_VALUE"""),"MFH")</f>
        <v>MFH</v>
      </c>
      <c r="J190" s="6" t="str">
        <f>IFERROR(__xludf.DUMMYFUNCTION("""COMPUTED_VALUE"""),"Building")</f>
        <v>Building</v>
      </c>
      <c r="K190" s="6" t="str">
        <f>IFERROR(__xludf.DUMMYFUNCTION("""COMPUTED_VALUE"""),"SPR/10/23/005")</f>
        <v>SPR/10/23/005</v>
      </c>
      <c r="L190" s="13">
        <f>IFERROR(__xludf.DUMMYFUNCTION("""COMPUTED_VALUE"""),45200.0)</f>
        <v>45200</v>
      </c>
    </row>
    <row r="191">
      <c r="A191" s="6" t="str">
        <f>IFERROR(__xludf.DUMMYFUNCTION("""COMPUTED_VALUE"""),"RIA")</f>
        <v>RIA</v>
      </c>
      <c r="B191" s="6" t="str">
        <f>IFERROR(__xludf.DUMMYFUNCTION("""COMPUTED_VALUE"""),"ENG")</f>
        <v>ENG</v>
      </c>
      <c r="C191" s="6" t="str">
        <f>IFERROR(__xludf.DUMMYFUNCTION("""COMPUTED_VALUE"""),"Q-60003-00")</f>
        <v>Q-60003-00</v>
      </c>
      <c r="D191" s="6" t="str">
        <f>IFERROR(__xludf.DUMMYFUNCTION("""COMPUTED_VALUE"""),"Plakband Kertas")</f>
        <v>Plakband Kertas</v>
      </c>
      <c r="E191" s="6">
        <f>IFERROR(__xludf.DUMMYFUNCTION("""COMPUTED_VALUE"""),3.0)</f>
        <v>3</v>
      </c>
      <c r="F191" s="6">
        <f>IFERROR(__xludf.DUMMYFUNCTION("""COMPUTED_VALUE"""),3.0)</f>
        <v>3</v>
      </c>
      <c r="G191" s="6">
        <f>IFERROR(__xludf.DUMMYFUNCTION("""COMPUTED_VALUE"""),0.0)</f>
        <v>0</v>
      </c>
      <c r="H191" s="6" t="str">
        <f>IFERROR(__xludf.DUMMYFUNCTION("""COMPUTED_VALUE"""),"pcs")</f>
        <v>pcs</v>
      </c>
      <c r="I191" s="6" t="str">
        <f>IFERROR(__xludf.DUMMYFUNCTION("""COMPUTED_VALUE"""),"MFH")</f>
        <v>MFH</v>
      </c>
      <c r="J191" s="6" t="str">
        <f>IFERROR(__xludf.DUMMYFUNCTION("""COMPUTED_VALUE"""),"Building")</f>
        <v>Building</v>
      </c>
      <c r="K191" s="6" t="str">
        <f>IFERROR(__xludf.DUMMYFUNCTION("""COMPUTED_VALUE"""),"SPR/10/23/005")</f>
        <v>SPR/10/23/005</v>
      </c>
      <c r="L191" s="13">
        <f>IFERROR(__xludf.DUMMYFUNCTION("""COMPUTED_VALUE"""),45200.0)</f>
        <v>45200</v>
      </c>
    </row>
    <row r="192">
      <c r="A192" s="6" t="str">
        <f>IFERROR(__xludf.DUMMYFUNCTION("""COMPUTED_VALUE"""),"RIA")</f>
        <v>RIA</v>
      </c>
      <c r="B192" s="6" t="str">
        <f>IFERROR(__xludf.DUMMYFUNCTION("""COMPUTED_VALUE"""),"ENG")</f>
        <v>ENG</v>
      </c>
      <c r="C192" s="6" t="str">
        <f>IFERROR(__xludf.DUMMYFUNCTION("""COMPUTED_VALUE"""),"Q-10829-00")</f>
        <v>Q-10829-00</v>
      </c>
      <c r="D192" s="6" t="str">
        <f>IFERROR(__xludf.DUMMYFUNCTION("""COMPUTED_VALUE"""),"Cat Ambiance Lakestone 44537M")</f>
        <v>Cat Ambiance Lakestone 44537M</v>
      </c>
      <c r="E192" s="6">
        <f>IFERROR(__xludf.DUMMYFUNCTION("""COMPUTED_VALUE"""),1.0)</f>
        <v>1</v>
      </c>
      <c r="F192" s="6">
        <f>IFERROR(__xludf.DUMMYFUNCTION("""COMPUTED_VALUE"""),1.0)</f>
        <v>1</v>
      </c>
      <c r="G192" s="6">
        <f>IFERROR(__xludf.DUMMYFUNCTION("""COMPUTED_VALUE"""),0.0)</f>
        <v>0</v>
      </c>
      <c r="H192" s="6" t="str">
        <f>IFERROR(__xludf.DUMMYFUNCTION("""COMPUTED_VALUE"""),"Can")</f>
        <v>Can</v>
      </c>
      <c r="I192" s="6" t="str">
        <f>IFERROR(__xludf.DUMMYFUNCTION("""COMPUTED_VALUE"""),"MFH")</f>
        <v>MFH</v>
      </c>
      <c r="J192" s="6" t="str">
        <f>IFERROR(__xludf.DUMMYFUNCTION("""COMPUTED_VALUE"""),"Building")</f>
        <v>Building</v>
      </c>
      <c r="K192" s="6" t="str">
        <f>IFERROR(__xludf.DUMMYFUNCTION("""COMPUTED_VALUE"""),"SPR/10/23/005")</f>
        <v>SPR/10/23/005</v>
      </c>
      <c r="L192" s="13">
        <f>IFERROR(__xludf.DUMMYFUNCTION("""COMPUTED_VALUE"""),45200.0)</f>
        <v>45200</v>
      </c>
    </row>
    <row r="193">
      <c r="A193" s="6" t="str">
        <f>IFERROR(__xludf.DUMMYFUNCTION("""COMPUTED_VALUE"""),"RIA")</f>
        <v>RIA</v>
      </c>
      <c r="B193" s="6" t="str">
        <f>IFERROR(__xludf.DUMMYFUNCTION("""COMPUTED_VALUE"""),"ENG")</f>
        <v>ENG</v>
      </c>
      <c r="C193" s="6" t="str">
        <f>IFERROR(__xludf.DUMMYFUNCTION("""COMPUTED_VALUE"""),"P-14456-00")</f>
        <v>P-14456-00</v>
      </c>
      <c r="D193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193" s="6">
        <f>IFERROR(__xludf.DUMMYFUNCTION("""COMPUTED_VALUE"""),2.0)</f>
        <v>2</v>
      </c>
      <c r="F193" s="6">
        <f>IFERROR(__xludf.DUMMYFUNCTION("""COMPUTED_VALUE"""),2.0)</f>
        <v>2</v>
      </c>
      <c r="G193" s="6">
        <f>IFERROR(__xludf.DUMMYFUNCTION("""COMPUTED_VALUE"""),0.0)</f>
        <v>0</v>
      </c>
      <c r="H193" s="6" t="str">
        <f>IFERROR(__xludf.DUMMYFUNCTION("""COMPUTED_VALUE"""),"pcs")</f>
        <v>pcs</v>
      </c>
      <c r="I193" s="6" t="str">
        <f>IFERROR(__xludf.DUMMYFUNCTION("""COMPUTED_VALUE"""),"MFH")</f>
        <v>MFH</v>
      </c>
      <c r="J193" s="6" t="str">
        <f>IFERROR(__xludf.DUMMYFUNCTION("""COMPUTED_VALUE"""),"AHU")</f>
        <v>AHU</v>
      </c>
      <c r="K193" s="6" t="str">
        <f>IFERROR(__xludf.DUMMYFUNCTION("""COMPUTED_VALUE"""),"SPR/10/23/006")</f>
        <v>SPR/10/23/006</v>
      </c>
      <c r="L193" s="13">
        <f>IFERROR(__xludf.DUMMYFUNCTION("""COMPUTED_VALUE"""),45200.0)</f>
        <v>45200</v>
      </c>
    </row>
    <row r="194">
      <c r="A194" s="6" t="str">
        <f>IFERROR(__xludf.DUMMYFUNCTION("""COMPUTED_VALUE"""),"RIA")</f>
        <v>RIA</v>
      </c>
      <c r="B194" s="6" t="str">
        <f>IFERROR(__xludf.DUMMYFUNCTION("""COMPUTED_VALUE"""),"ENG")</f>
        <v>ENG</v>
      </c>
      <c r="C194" s="6" t="str">
        <f>IFERROR(__xludf.DUMMYFUNCTION("""COMPUTED_VALUE"""),"Q-10154-00")</f>
        <v>Q-10154-00</v>
      </c>
      <c r="D194" s="6" t="str">
        <f>IFERROR(__xludf.DUMMYFUNCTION("""COMPUTED_VALUE"""),"Roller cat 230mm")</f>
        <v>Roller cat 230mm</v>
      </c>
      <c r="E194" s="6">
        <f>IFERROR(__xludf.DUMMYFUNCTION("""COMPUTED_VALUE"""),1.0)</f>
        <v>1</v>
      </c>
      <c r="F194" s="6">
        <f>IFERROR(__xludf.DUMMYFUNCTION("""COMPUTED_VALUE"""),1.0)</f>
        <v>1</v>
      </c>
      <c r="G194" s="6">
        <f>IFERROR(__xludf.DUMMYFUNCTION("""COMPUTED_VALUE"""),0.0)</f>
        <v>0</v>
      </c>
      <c r="H194" s="6" t="str">
        <f>IFERROR(__xludf.DUMMYFUNCTION("""COMPUTED_VALUE"""),"pcs")</f>
        <v>pcs</v>
      </c>
      <c r="I194" s="6" t="str">
        <f>IFERROR(__xludf.DUMMYFUNCTION("""COMPUTED_VALUE"""),"MFH")</f>
        <v>MFH</v>
      </c>
      <c r="J194" s="6" t="str">
        <f>IFERROR(__xludf.DUMMYFUNCTION("""COMPUTED_VALUE"""),"Building")</f>
        <v>Building</v>
      </c>
      <c r="K194" s="6" t="str">
        <f>IFERROR(__xludf.DUMMYFUNCTION("""COMPUTED_VALUE"""),"SPR/10/23/006")</f>
        <v>SPR/10/23/006</v>
      </c>
      <c r="L194" s="13">
        <f>IFERROR(__xludf.DUMMYFUNCTION("""COMPUTED_VALUE"""),45200.0)</f>
        <v>45200</v>
      </c>
    </row>
    <row r="195">
      <c r="A195" s="6" t="str">
        <f>IFERROR(__xludf.DUMMYFUNCTION("""COMPUTED_VALUE"""),"ROS")</f>
        <v>ROS</v>
      </c>
      <c r="B195" s="6" t="str">
        <f>IFERROR(__xludf.DUMMYFUNCTION("""COMPUTED_VALUE"""),"ENG")</f>
        <v>ENG</v>
      </c>
      <c r="C195" s="6" t="str">
        <f>IFERROR(__xludf.DUMMYFUNCTION("""COMPUTED_VALUE"""),"Q-60026-00")</f>
        <v>Q-60026-00</v>
      </c>
      <c r="D195" s="6" t="str">
        <f>IFERROR(__xludf.DUMMYFUNCTION("""COMPUTED_VALUE"""),"Kuas 2"" Eterna")</f>
        <v>Kuas 2" Eterna</v>
      </c>
      <c r="E195" s="6">
        <f>IFERROR(__xludf.DUMMYFUNCTION("""COMPUTED_VALUE"""),1.0)</f>
        <v>1</v>
      </c>
      <c r="F195" s="6">
        <f>IFERROR(__xludf.DUMMYFUNCTION("""COMPUTED_VALUE"""),1.0)</f>
        <v>1</v>
      </c>
      <c r="G195" s="6">
        <f>IFERROR(__xludf.DUMMYFUNCTION("""COMPUTED_VALUE"""),0.0)</f>
        <v>0</v>
      </c>
      <c r="H195" s="6" t="str">
        <f>IFERROR(__xludf.DUMMYFUNCTION("""COMPUTED_VALUE"""),"pcs")</f>
        <v>pcs</v>
      </c>
      <c r="I195" s="6" t="str">
        <f>IFERROR(__xludf.DUMMYFUNCTION("""COMPUTED_VALUE"""),"MFH")</f>
        <v>MFH</v>
      </c>
      <c r="J195" s="6" t="str">
        <f>IFERROR(__xludf.DUMMYFUNCTION("""COMPUTED_VALUE"""),"Building")</f>
        <v>Building</v>
      </c>
      <c r="K195" s="6" t="str">
        <f>IFERROR(__xludf.DUMMYFUNCTION("""COMPUTED_VALUE"""),"SPR/10/23/007")</f>
        <v>SPR/10/23/007</v>
      </c>
      <c r="L195" s="13">
        <f>IFERROR(__xludf.DUMMYFUNCTION("""COMPUTED_VALUE"""),45200.0)</f>
        <v>45200</v>
      </c>
    </row>
    <row r="196">
      <c r="A196" s="6" t="str">
        <f>IFERROR(__xludf.DUMMYFUNCTION("""COMPUTED_VALUE"""),"AAA")</f>
        <v>AAA</v>
      </c>
      <c r="B196" s="6" t="str">
        <f>IFERROR(__xludf.DUMMYFUNCTION("""COMPUTED_VALUE"""),"ENG")</f>
        <v>ENG</v>
      </c>
      <c r="C196" s="6" t="str">
        <f>IFERROR(__xludf.DUMMYFUNCTION("""COMPUTED_VALUE"""),"P-50781-00")</f>
        <v>P-50781-00</v>
      </c>
      <c r="D196" s="6" t="str">
        <f>IFERROR(__xludf.DUMMYFUNCTION("""COMPUTED_VALUE"""),"Battery 12V 18AH merk LONG")</f>
        <v>Battery 12V 18AH merk LONG</v>
      </c>
      <c r="E196" s="6">
        <f>IFERROR(__xludf.DUMMYFUNCTION("""COMPUTED_VALUE"""),1.0)</f>
        <v>1</v>
      </c>
      <c r="F196" s="6">
        <f>IFERROR(__xludf.DUMMYFUNCTION("""COMPUTED_VALUE"""),1.0)</f>
        <v>1</v>
      </c>
      <c r="G196" s="6">
        <f>IFERROR(__xludf.DUMMYFUNCTION("""COMPUTED_VALUE"""),0.0)</f>
        <v>0</v>
      </c>
      <c r="H196" s="6" t="str">
        <f>IFERROR(__xludf.DUMMYFUNCTION("""COMPUTED_VALUE"""),"pcs")</f>
        <v>pcs</v>
      </c>
      <c r="I196" s="6" t="str">
        <f>IFERROR(__xludf.DUMMYFUNCTION("""COMPUTED_VALUE"""),"MFH")</f>
        <v>MFH</v>
      </c>
      <c r="J196" s="6" t="str">
        <f>IFERROR(__xludf.DUMMYFUNCTION("""COMPUTED_VALUE"""),"Cartoning")</f>
        <v>Cartoning</v>
      </c>
      <c r="K196" s="6" t="str">
        <f>IFERROR(__xludf.DUMMYFUNCTION("""COMPUTED_VALUE"""),"SPR/10/23/008")</f>
        <v>SPR/10/23/008</v>
      </c>
      <c r="L196" s="13">
        <f>IFERROR(__xludf.DUMMYFUNCTION("""COMPUTED_VALUE"""),45200.0)</f>
        <v>45200</v>
      </c>
    </row>
    <row r="197">
      <c r="A197" s="6" t="str">
        <f>IFERROR(__xludf.DUMMYFUNCTION("""COMPUTED_VALUE"""),"RIA")</f>
        <v>RIA</v>
      </c>
      <c r="B197" s="6" t="str">
        <f>IFERROR(__xludf.DUMMYFUNCTION("""COMPUTED_VALUE"""),"ENG")</f>
        <v>ENG</v>
      </c>
      <c r="C197" s="6" t="str">
        <f>IFERROR(__xludf.DUMMYFUNCTION("""COMPUTED_VALUE"""),"P-15862-00")</f>
        <v>P-15862-00</v>
      </c>
      <c r="D197" s="6" t="str">
        <f>IFERROR(__xludf.DUMMYFUNCTION("""COMPUTED_VALUE"""),"PAPER RECORD YOKOGAWA; FOLDING CHART B9565AW")</f>
        <v>PAPER RECORD YOKOGAWA; FOLDING CHART B9565AW</v>
      </c>
      <c r="E197" s="6">
        <f>IFERROR(__xludf.DUMMYFUNCTION("""COMPUTED_VALUE"""),1.0)</f>
        <v>1</v>
      </c>
      <c r="F197" s="6">
        <f>IFERROR(__xludf.DUMMYFUNCTION("""COMPUTED_VALUE"""),1.0)</f>
        <v>1</v>
      </c>
      <c r="G197" s="6">
        <f>IFERROR(__xludf.DUMMYFUNCTION("""COMPUTED_VALUE"""),0.0)</f>
        <v>0</v>
      </c>
      <c r="H197" s="6" t="str">
        <f>IFERROR(__xludf.DUMMYFUNCTION("""COMPUTED_VALUE"""),"pcs")</f>
        <v>pcs</v>
      </c>
      <c r="I197" s="6" t="str">
        <f>IFERROR(__xludf.DUMMYFUNCTION("""COMPUTED_VALUE"""),"MFH")</f>
        <v>MFH</v>
      </c>
      <c r="J197" s="6" t="str">
        <f>IFERROR(__xludf.DUMMYFUNCTION("""COMPUTED_VALUE"""),"PSG")</f>
        <v>PSG</v>
      </c>
      <c r="K197" s="6" t="str">
        <f>IFERROR(__xludf.DUMMYFUNCTION("""COMPUTED_VALUE"""),"SPR/10/23/009")</f>
        <v>SPR/10/23/009</v>
      </c>
      <c r="L197" s="13">
        <f>IFERROR(__xludf.DUMMYFUNCTION("""COMPUTED_VALUE"""),45200.0)</f>
        <v>45200</v>
      </c>
    </row>
    <row r="198">
      <c r="A198" s="6" t="str">
        <f>IFERROR(__xludf.DUMMYFUNCTION("""COMPUTED_VALUE"""),"RIA")</f>
        <v>RIA</v>
      </c>
      <c r="B198" s="6" t="str">
        <f>IFERROR(__xludf.DUMMYFUNCTION("""COMPUTED_VALUE"""),"ENG")</f>
        <v>ENG</v>
      </c>
      <c r="C198" s="6" t="str">
        <f>IFERROR(__xludf.DUMMYFUNCTION("""COMPUTED_VALUE"""),"Q-10136-00")</f>
        <v>Q-10136-00</v>
      </c>
      <c r="D198" s="6" t="str">
        <f>IFERROR(__xludf.DUMMYFUNCTION("""COMPUTED_VALUE"""),"TOTO - Kran T23BQ13N")</f>
        <v>TOTO - Kran T23BQ13N</v>
      </c>
      <c r="E198" s="6">
        <f>IFERROR(__xludf.DUMMYFUNCTION("""COMPUTED_VALUE"""),1.0)</f>
        <v>1</v>
      </c>
      <c r="F198" s="6">
        <f>IFERROR(__xludf.DUMMYFUNCTION("""COMPUTED_VALUE"""),1.0)</f>
        <v>1</v>
      </c>
      <c r="G198" s="6">
        <f>IFERROR(__xludf.DUMMYFUNCTION("""COMPUTED_VALUE"""),0.0)</f>
        <v>0</v>
      </c>
      <c r="H198" s="6" t="str">
        <f>IFERROR(__xludf.DUMMYFUNCTION("""COMPUTED_VALUE"""),"pcs")</f>
        <v>pcs</v>
      </c>
      <c r="I198" s="6" t="str">
        <f>IFERROR(__xludf.DUMMYFUNCTION("""COMPUTED_VALUE"""),"MFH")</f>
        <v>MFH</v>
      </c>
      <c r="J198" s="6" t="str">
        <f>IFERROR(__xludf.DUMMYFUNCTION("""COMPUTED_VALUE"""),"Building")</f>
        <v>Building</v>
      </c>
      <c r="K198" s="6" t="str">
        <f>IFERROR(__xludf.DUMMYFUNCTION("""COMPUTED_VALUE"""),"SPR/10/23/009")</f>
        <v>SPR/10/23/009</v>
      </c>
      <c r="L198" s="13">
        <f>IFERROR(__xludf.DUMMYFUNCTION("""COMPUTED_VALUE"""),45200.0)</f>
        <v>45200</v>
      </c>
    </row>
    <row r="199">
      <c r="A199" s="6" t="str">
        <f>IFERROR(__xludf.DUMMYFUNCTION("""COMPUTED_VALUE"""),"RIA")</f>
        <v>RIA</v>
      </c>
      <c r="B199" s="6" t="str">
        <f>IFERROR(__xludf.DUMMYFUNCTION("""COMPUTED_VALUE"""),"ENG")</f>
        <v>ENG</v>
      </c>
      <c r="C199" s="6" t="str">
        <f>IFERROR(__xludf.DUMMYFUNCTION("""COMPUTED_VALUE"""),"Q-10585-00")</f>
        <v>Q-10585-00</v>
      </c>
      <c r="D199" s="6" t="str">
        <f>IFERROR(__xludf.DUMMYFUNCTION("""COMPUTED_VALUE"""),"Lampu LED T5-18W-1200mm")</f>
        <v>Lampu LED T5-18W-1200mm</v>
      </c>
      <c r="E199" s="6">
        <f>IFERROR(__xludf.DUMMYFUNCTION("""COMPUTED_VALUE"""),2.0)</f>
        <v>2</v>
      </c>
      <c r="F199" s="6">
        <f>IFERROR(__xludf.DUMMYFUNCTION("""COMPUTED_VALUE"""),2.0)</f>
        <v>2</v>
      </c>
      <c r="G199" s="6">
        <f>IFERROR(__xludf.DUMMYFUNCTION("""COMPUTED_VALUE"""),0.0)</f>
        <v>0</v>
      </c>
      <c r="H199" s="6" t="str">
        <f>IFERROR(__xludf.DUMMYFUNCTION("""COMPUTED_VALUE"""),"pcs")</f>
        <v>pcs</v>
      </c>
      <c r="I199" s="6" t="str">
        <f>IFERROR(__xludf.DUMMYFUNCTION("""COMPUTED_VALUE"""),"MFH")</f>
        <v>MFH</v>
      </c>
      <c r="J199" s="6" t="str">
        <f>IFERROR(__xludf.DUMMYFUNCTION("""COMPUTED_VALUE"""),"Building")</f>
        <v>Building</v>
      </c>
      <c r="K199" s="6" t="str">
        <f>IFERROR(__xludf.DUMMYFUNCTION("""COMPUTED_VALUE"""),"SPR/10/23/009")</f>
        <v>SPR/10/23/009</v>
      </c>
      <c r="L199" s="13">
        <f>IFERROR(__xludf.DUMMYFUNCTION("""COMPUTED_VALUE"""),45200.0)</f>
        <v>45200</v>
      </c>
    </row>
    <row r="200">
      <c r="A200" s="6" t="str">
        <f>IFERROR(__xludf.DUMMYFUNCTION("""COMPUTED_VALUE"""),"NDS")</f>
        <v>NDS</v>
      </c>
      <c r="B200" s="6" t="str">
        <f>IFERROR(__xludf.DUMMYFUNCTION("""COMPUTED_VALUE"""),"ENG")</f>
        <v>ENG</v>
      </c>
      <c r="C200" s="6" t="str">
        <f>IFERROR(__xludf.DUMMYFUNCTION("""COMPUTED_VALUE"""),"O-16033-00")</f>
        <v>O-16033-00</v>
      </c>
      <c r="D20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00" s="6">
        <f>IFERROR(__xludf.DUMMYFUNCTION("""COMPUTED_VALUE"""),1.0)</f>
        <v>1</v>
      </c>
      <c r="F200" s="6">
        <f>IFERROR(__xludf.DUMMYFUNCTION("""COMPUTED_VALUE"""),1.0)</f>
        <v>1</v>
      </c>
      <c r="G200" s="6">
        <f>IFERROR(__xludf.DUMMYFUNCTION("""COMPUTED_VALUE"""),0.0)</f>
        <v>0</v>
      </c>
      <c r="H200" s="6" t="str">
        <f>IFERROR(__xludf.DUMMYFUNCTION("""COMPUTED_VALUE"""),"pcs")</f>
        <v>pcs</v>
      </c>
      <c r="I200" s="6" t="str">
        <f>IFERROR(__xludf.DUMMYFUNCTION("""COMPUTED_VALUE"""),"MFH")</f>
        <v>MFH</v>
      </c>
      <c r="J200" s="6" t="str">
        <f>IFERROR(__xludf.DUMMYFUNCTION("""COMPUTED_VALUE"""),"cRABS")</f>
        <v>cRABS</v>
      </c>
      <c r="K200" s="6" t="str">
        <f>IFERROR(__xludf.DUMMYFUNCTION("""COMPUTED_VALUE"""),"SPR/10/23/010")</f>
        <v>SPR/10/23/010</v>
      </c>
      <c r="L200" s="13">
        <f>IFERROR(__xludf.DUMMYFUNCTION("""COMPUTED_VALUE"""),45200.0)</f>
        <v>45200</v>
      </c>
    </row>
    <row r="201">
      <c r="A201" s="6" t="str">
        <f>IFERROR(__xludf.DUMMYFUNCTION("""COMPUTED_VALUE"""),"MFH")</f>
        <v>MFH</v>
      </c>
      <c r="B201" s="6" t="str">
        <f>IFERROR(__xludf.DUMMYFUNCTION("""COMPUTED_VALUE"""),"ENG")</f>
        <v>ENG</v>
      </c>
      <c r="C201" s="6" t="str">
        <f>IFERROR(__xludf.DUMMYFUNCTION("""COMPUTED_VALUE"""),"T-20123-00")</f>
        <v>T-20123-00</v>
      </c>
      <c r="D201" s="6" t="str">
        <f>IFERROR(__xludf.DUMMYFUNCTION("""COMPUTED_VALUE"""),"Acquity PDA/TUV 2489/2998 Perf")</f>
        <v>Acquity PDA/TUV 2489/2998 Perf</v>
      </c>
      <c r="E201" s="6">
        <f>IFERROR(__xludf.DUMMYFUNCTION("""COMPUTED_VALUE"""),1.0)</f>
        <v>1</v>
      </c>
      <c r="F201" s="6">
        <f>IFERROR(__xludf.DUMMYFUNCTION("""COMPUTED_VALUE"""),1.0)</f>
        <v>1</v>
      </c>
      <c r="G201" s="6">
        <f>IFERROR(__xludf.DUMMYFUNCTION("""COMPUTED_VALUE"""),0.0)</f>
        <v>0</v>
      </c>
      <c r="H201" s="6" t="str">
        <f>IFERROR(__xludf.DUMMYFUNCTION("""COMPUTED_VALUE"""),"pcs")</f>
        <v>pcs</v>
      </c>
      <c r="I201" s="6" t="str">
        <f>IFERROR(__xludf.DUMMYFUNCTION("""COMPUTED_VALUE"""),"MFH")</f>
        <v>MFH</v>
      </c>
      <c r="J201" s="6" t="str">
        <f>IFERROR(__xludf.DUMMYFUNCTION("""COMPUTED_VALUE"""),"HPLC")</f>
        <v>HPLC</v>
      </c>
      <c r="K201" s="6" t="str">
        <f>IFERROR(__xludf.DUMMYFUNCTION("""COMPUTED_VALUE"""),"SPR/10/23/011")</f>
        <v>SPR/10/23/011</v>
      </c>
      <c r="L201" s="13">
        <f>IFERROR(__xludf.DUMMYFUNCTION("""COMPUTED_VALUE"""),45200.0)</f>
        <v>45200</v>
      </c>
    </row>
    <row r="202">
      <c r="A202" s="6" t="str">
        <f>IFERROR(__xludf.DUMMYFUNCTION("""COMPUTED_VALUE"""),"ROS")</f>
        <v>ROS</v>
      </c>
      <c r="B202" s="6" t="str">
        <f>IFERROR(__xludf.DUMMYFUNCTION("""COMPUTED_VALUE"""),"ENG")</f>
        <v>ENG</v>
      </c>
      <c r="C202" s="6" t="str">
        <f>IFERROR(__xludf.DUMMYFUNCTION("""COMPUTED_VALUE"""),"P-13389-00")</f>
        <v>P-13389-00</v>
      </c>
      <c r="D202" s="6" t="str">
        <f>IFERROR(__xludf.DUMMYFUNCTION("""COMPUTED_VALUE"""),"Scotch Brite 3M; ; ;")</f>
        <v>Scotch Brite 3M; ; ;</v>
      </c>
      <c r="E202" s="6">
        <f>IFERROR(__xludf.DUMMYFUNCTION("""COMPUTED_VALUE"""),1.0)</f>
        <v>1</v>
      </c>
      <c r="F202" s="6">
        <f>IFERROR(__xludf.DUMMYFUNCTION("""COMPUTED_VALUE"""),1.0)</f>
        <v>1</v>
      </c>
      <c r="G202" s="6">
        <f>IFERROR(__xludf.DUMMYFUNCTION("""COMPUTED_VALUE"""),0.0)</f>
        <v>0</v>
      </c>
      <c r="H202" s="6" t="str">
        <f>IFERROR(__xludf.DUMMYFUNCTION("""COMPUTED_VALUE"""),"pcs")</f>
        <v>pcs</v>
      </c>
      <c r="I202" s="6" t="str">
        <f>IFERROR(__xludf.DUMMYFUNCTION("""COMPUTED_VALUE"""),"MFH")</f>
        <v>MFH</v>
      </c>
      <c r="J202" s="6" t="str">
        <f>IFERROR(__xludf.DUMMYFUNCTION("""COMPUTED_VALUE"""),"Capping")</f>
        <v>Capping</v>
      </c>
      <c r="K202" s="6" t="str">
        <f>IFERROR(__xludf.DUMMYFUNCTION("""COMPUTED_VALUE"""),"SPR/10/23/012")</f>
        <v>SPR/10/23/012</v>
      </c>
      <c r="L202" s="13">
        <f>IFERROR(__xludf.DUMMYFUNCTION("""COMPUTED_VALUE"""),45200.0)</f>
        <v>45200</v>
      </c>
    </row>
    <row r="203">
      <c r="A203" s="6" t="str">
        <f>IFERROR(__xludf.DUMMYFUNCTION("""COMPUTED_VALUE"""),"ROS")</f>
        <v>ROS</v>
      </c>
      <c r="B203" s="6" t="str">
        <f>IFERROR(__xludf.DUMMYFUNCTION("""COMPUTED_VALUE"""),"ENG")</f>
        <v>ENG</v>
      </c>
      <c r="C203" s="6" t="str">
        <f>IFERROR(__xludf.DUMMYFUNCTION("""COMPUTED_VALUE"""),"T-20123-00")</f>
        <v>T-20123-00</v>
      </c>
      <c r="D203" s="6" t="str">
        <f>IFERROR(__xludf.DUMMYFUNCTION("""COMPUTED_VALUE"""),"Acquity PDA/TUV 2489/2998 Perf")</f>
        <v>Acquity PDA/TUV 2489/2998 Perf</v>
      </c>
      <c r="E203" s="6">
        <f>IFERROR(__xludf.DUMMYFUNCTION("""COMPUTED_VALUE"""),1.0)</f>
        <v>1</v>
      </c>
      <c r="F203" s="6">
        <f>IFERROR(__xludf.DUMMYFUNCTION("""COMPUTED_VALUE"""),1.0)</f>
        <v>1</v>
      </c>
      <c r="G203" s="6">
        <f>IFERROR(__xludf.DUMMYFUNCTION("""COMPUTED_VALUE"""),0.0)</f>
        <v>0</v>
      </c>
      <c r="H203" s="6" t="str">
        <f>IFERROR(__xludf.DUMMYFUNCTION("""COMPUTED_VALUE"""),"pcs")</f>
        <v>pcs</v>
      </c>
      <c r="I203" s="6" t="str">
        <f>IFERROR(__xludf.DUMMYFUNCTION("""COMPUTED_VALUE"""),"MFH")</f>
        <v>MFH</v>
      </c>
      <c r="J203" s="6" t="str">
        <f>IFERROR(__xludf.DUMMYFUNCTION("""COMPUTED_VALUE"""),"HPLC")</f>
        <v>HPLC</v>
      </c>
      <c r="K203" s="6" t="str">
        <f>IFERROR(__xludf.DUMMYFUNCTION("""COMPUTED_VALUE"""),"SPR/10/23/012")</f>
        <v>SPR/10/23/012</v>
      </c>
      <c r="L203" s="13">
        <f>IFERROR(__xludf.DUMMYFUNCTION("""COMPUTED_VALUE"""),45200.0)</f>
        <v>45200</v>
      </c>
    </row>
    <row r="204">
      <c r="A204" s="6" t="str">
        <f>IFERROR(__xludf.DUMMYFUNCTION("""COMPUTED_VALUE"""),"NDS")</f>
        <v>NDS</v>
      </c>
      <c r="B204" s="6" t="str">
        <f>IFERROR(__xludf.DUMMYFUNCTION("""COMPUTED_VALUE"""),"ENG")</f>
        <v>ENG</v>
      </c>
      <c r="C204" s="6" t="str">
        <f>IFERROR(__xludf.DUMMYFUNCTION("""COMPUTED_VALUE"""),"Q-60003-00")</f>
        <v>Q-60003-00</v>
      </c>
      <c r="D204" s="6" t="str">
        <f>IFERROR(__xludf.DUMMYFUNCTION("""COMPUTED_VALUE"""),"Plakband Kertas")</f>
        <v>Plakband Kertas</v>
      </c>
      <c r="E204" s="6">
        <f>IFERROR(__xludf.DUMMYFUNCTION("""COMPUTED_VALUE"""),1.0)</f>
        <v>1</v>
      </c>
      <c r="F204" s="6">
        <f>IFERROR(__xludf.DUMMYFUNCTION("""COMPUTED_VALUE"""),1.0)</f>
        <v>1</v>
      </c>
      <c r="G204" s="6">
        <f>IFERROR(__xludf.DUMMYFUNCTION("""COMPUTED_VALUE"""),0.0)</f>
        <v>0</v>
      </c>
      <c r="H204" s="6" t="str">
        <f>IFERROR(__xludf.DUMMYFUNCTION("""COMPUTED_VALUE"""),"pcs")</f>
        <v>pcs</v>
      </c>
      <c r="I204" s="6" t="str">
        <f>IFERROR(__xludf.DUMMYFUNCTION("""COMPUTED_VALUE"""),"MFH")</f>
        <v>MFH</v>
      </c>
      <c r="J204" s="6" t="str">
        <f>IFERROR(__xludf.DUMMYFUNCTION("""COMPUTED_VALUE"""),"PMS")</f>
        <v>PMS</v>
      </c>
      <c r="K204" s="6" t="str">
        <f>IFERROR(__xludf.DUMMYFUNCTION("""COMPUTED_VALUE"""),"SPR/10/23/013")</f>
        <v>SPR/10/23/013</v>
      </c>
      <c r="L204" s="13">
        <f>IFERROR(__xludf.DUMMYFUNCTION("""COMPUTED_VALUE"""),45200.0)</f>
        <v>45200</v>
      </c>
    </row>
    <row r="205">
      <c r="A205" s="6" t="str">
        <f>IFERROR(__xludf.DUMMYFUNCTION("""COMPUTED_VALUE"""),"ROS")</f>
        <v>ROS</v>
      </c>
      <c r="B205" s="6" t="str">
        <f>IFERROR(__xludf.DUMMYFUNCTION("""COMPUTED_VALUE"""),"ENG")</f>
        <v>ENG</v>
      </c>
      <c r="C205" s="6" t="str">
        <f>IFERROR(__xludf.DUMMYFUNCTION("""COMPUTED_VALUE"""),"O-16033-00")</f>
        <v>O-16033-00</v>
      </c>
      <c r="D20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05" s="6">
        <f>IFERROR(__xludf.DUMMYFUNCTION("""COMPUTED_VALUE"""),2.0)</f>
        <v>2</v>
      </c>
      <c r="F205" s="6">
        <f>IFERROR(__xludf.DUMMYFUNCTION("""COMPUTED_VALUE"""),2.0)</f>
        <v>2</v>
      </c>
      <c r="G205" s="6">
        <f>IFERROR(__xludf.DUMMYFUNCTION("""COMPUTED_VALUE"""),0.0)</f>
        <v>0</v>
      </c>
      <c r="H205" s="6" t="str">
        <f>IFERROR(__xludf.DUMMYFUNCTION("""COMPUTED_VALUE"""),"pcs")</f>
        <v>pcs</v>
      </c>
      <c r="I205" s="6" t="str">
        <f>IFERROR(__xludf.DUMMYFUNCTION("""COMPUTED_VALUE"""),"MFH")</f>
        <v>MFH</v>
      </c>
      <c r="J205" s="6" t="str">
        <f>IFERROR(__xludf.DUMMYFUNCTION("""COMPUTED_VALUE"""),"SKAN")</f>
        <v>SKAN</v>
      </c>
      <c r="K205" s="6" t="str">
        <f>IFERROR(__xludf.DUMMYFUNCTION("""COMPUTED_VALUE"""),"SPR/10/23/014")</f>
        <v>SPR/10/23/014</v>
      </c>
      <c r="L205" s="13">
        <f>IFERROR(__xludf.DUMMYFUNCTION("""COMPUTED_VALUE"""),45200.0)</f>
        <v>45200</v>
      </c>
    </row>
    <row r="206">
      <c r="A206" s="6" t="str">
        <f>IFERROR(__xludf.DUMMYFUNCTION("""COMPUTED_VALUE"""),"INN")</f>
        <v>INN</v>
      </c>
      <c r="B206" s="6" t="str">
        <f>IFERROR(__xludf.DUMMYFUNCTION("""COMPUTED_VALUE"""),"ENG")</f>
        <v>ENG</v>
      </c>
      <c r="C206" s="6" t="str">
        <f>IFERROR(__xludf.DUMMYFUNCTION("""COMPUTED_VALUE"""),"P-18214-00")</f>
        <v>P-18214-00</v>
      </c>
      <c r="D206" s="6" t="str">
        <f>IFERROR(__xludf.DUMMYFUNCTION("""COMPUTED_VALUE"""),"Part for Isolator - RTP 190 mm; Alpha port 190 mm dia")</f>
        <v>Part for Isolator - RTP 190 mm; Alpha port 190 mm dia</v>
      </c>
      <c r="E206" s="6">
        <f>IFERROR(__xludf.DUMMYFUNCTION("""COMPUTED_VALUE"""),1.0)</f>
        <v>1</v>
      </c>
      <c r="F206" s="6">
        <f>IFERROR(__xludf.DUMMYFUNCTION("""COMPUTED_VALUE"""),1.0)</f>
        <v>1</v>
      </c>
      <c r="G206" s="6">
        <f>IFERROR(__xludf.DUMMYFUNCTION("""COMPUTED_VALUE"""),0.0)</f>
        <v>0</v>
      </c>
      <c r="H206" s="6" t="str">
        <f>IFERROR(__xludf.DUMMYFUNCTION("""COMPUTED_VALUE"""),"pcs")</f>
        <v>pcs</v>
      </c>
      <c r="I206" s="6" t="str">
        <f>IFERROR(__xludf.DUMMYFUNCTION("""COMPUTED_VALUE"""),"MFH")</f>
        <v>MFH</v>
      </c>
      <c r="J206" s="6" t="str">
        <f>IFERROR(__xludf.DUMMYFUNCTION("""COMPUTED_VALUE"""),"SND")</f>
        <v>SND</v>
      </c>
      <c r="K206" s="6" t="str">
        <f>IFERROR(__xludf.DUMMYFUNCTION("""COMPUTED_VALUE"""),"SPR/10/23/015")</f>
        <v>SPR/10/23/015</v>
      </c>
      <c r="L206" s="13">
        <f>IFERROR(__xludf.DUMMYFUNCTION("""COMPUTED_VALUE"""),45200.0)</f>
        <v>45200</v>
      </c>
    </row>
    <row r="207">
      <c r="A207" s="6" t="str">
        <f>IFERROR(__xludf.DUMMYFUNCTION("""COMPUTED_VALUE"""),"AAA")</f>
        <v>AAA</v>
      </c>
      <c r="B207" s="6" t="str">
        <f>IFERROR(__xludf.DUMMYFUNCTION("""COMPUTED_VALUE"""),"ENG")</f>
        <v>ENG</v>
      </c>
      <c r="C207" s="6" t="str">
        <f>IFERROR(__xludf.DUMMYFUNCTION("""COMPUTED_VALUE"""),"P-13429-00")</f>
        <v>P-13429-00</v>
      </c>
      <c r="D207" s="6" t="str">
        <f>IFERROR(__xludf.DUMMYFUNCTION("""COMPUTED_VALUE"""),"Cable Ducting 25x40mm")</f>
        <v>Cable Ducting 25x40mm</v>
      </c>
      <c r="E207" s="6">
        <f>IFERROR(__xludf.DUMMYFUNCTION("""COMPUTED_VALUE"""),4.0)</f>
        <v>4</v>
      </c>
      <c r="F207" s="6">
        <f>IFERROR(__xludf.DUMMYFUNCTION("""COMPUTED_VALUE"""),4.0)</f>
        <v>4</v>
      </c>
      <c r="G207" s="6">
        <f>IFERROR(__xludf.DUMMYFUNCTION("""COMPUTED_VALUE"""),0.0)</f>
        <v>0</v>
      </c>
      <c r="H207" s="6" t="str">
        <f>IFERROR(__xludf.DUMMYFUNCTION("""COMPUTED_VALUE"""),"pcs")</f>
        <v>pcs</v>
      </c>
      <c r="I207" s="6" t="str">
        <f>IFERROR(__xludf.DUMMYFUNCTION("""COMPUTED_VALUE"""),"MFH")</f>
        <v>MFH</v>
      </c>
      <c r="J207" s="6" t="str">
        <f>IFERROR(__xludf.DUMMYFUNCTION("""COMPUTED_VALUE"""),"-")</f>
        <v>-</v>
      </c>
      <c r="K207" s="6" t="str">
        <f>IFERROR(__xludf.DUMMYFUNCTION("""COMPUTED_VALUE"""),"SPR/10/23/016")</f>
        <v>SPR/10/23/016</v>
      </c>
      <c r="L207" s="13">
        <f>IFERROR(__xludf.DUMMYFUNCTION("""COMPUTED_VALUE"""),45200.0)</f>
        <v>45200</v>
      </c>
    </row>
    <row r="208">
      <c r="A208" s="6" t="str">
        <f>IFERROR(__xludf.DUMMYFUNCTION("""COMPUTED_VALUE"""),"AAA")</f>
        <v>AAA</v>
      </c>
      <c r="B208" s="6" t="str">
        <f>IFERROR(__xludf.DUMMYFUNCTION("""COMPUTED_VALUE"""),"ENG")</f>
        <v>ENG</v>
      </c>
      <c r="C208" s="6" t="str">
        <f>IFERROR(__xludf.DUMMYFUNCTION("""COMPUTED_VALUE"""),"Q-60003-00")</f>
        <v>Q-60003-00</v>
      </c>
      <c r="D208" s="6" t="str">
        <f>IFERROR(__xludf.DUMMYFUNCTION("""COMPUTED_VALUE"""),"Plakband Kertas")</f>
        <v>Plakband Kertas</v>
      </c>
      <c r="E208" s="6">
        <f>IFERROR(__xludf.DUMMYFUNCTION("""COMPUTED_VALUE"""),1.0)</f>
        <v>1</v>
      </c>
      <c r="F208" s="6">
        <f>IFERROR(__xludf.DUMMYFUNCTION("""COMPUTED_VALUE"""),1.0)</f>
        <v>1</v>
      </c>
      <c r="G208" s="6">
        <f>IFERROR(__xludf.DUMMYFUNCTION("""COMPUTED_VALUE"""),0.0)</f>
        <v>0</v>
      </c>
      <c r="H208" s="6" t="str">
        <f>IFERROR(__xludf.DUMMYFUNCTION("""COMPUTED_VALUE"""),"pcs")</f>
        <v>pcs</v>
      </c>
      <c r="I208" s="6" t="str">
        <f>IFERROR(__xludf.DUMMYFUNCTION("""COMPUTED_VALUE"""),"MFH")</f>
        <v>MFH</v>
      </c>
      <c r="J208" s="6" t="str">
        <f>IFERROR(__xludf.DUMMYFUNCTION("""COMPUTED_VALUE"""),"-")</f>
        <v>-</v>
      </c>
      <c r="K208" s="6" t="str">
        <f>IFERROR(__xludf.DUMMYFUNCTION("""COMPUTED_VALUE"""),"SPR/10/23/016")</f>
        <v>SPR/10/23/016</v>
      </c>
      <c r="L208" s="13">
        <f>IFERROR(__xludf.DUMMYFUNCTION("""COMPUTED_VALUE"""),45200.0)</f>
        <v>45200</v>
      </c>
    </row>
    <row r="209">
      <c r="A209" s="6" t="str">
        <f>IFERROR(__xludf.DUMMYFUNCTION("""COMPUTED_VALUE"""),"NDS")</f>
        <v>NDS</v>
      </c>
      <c r="B209" s="6" t="str">
        <f>IFERROR(__xludf.DUMMYFUNCTION("""COMPUTED_VALUE"""),"ENG")</f>
        <v>ENG</v>
      </c>
      <c r="C209" s="6" t="str">
        <f>IFERROR(__xludf.DUMMYFUNCTION("""COMPUTED_VALUE"""),"P-12433-00")</f>
        <v>P-12433-00</v>
      </c>
      <c r="D209" s="6" t="str">
        <f>IFERROR(__xludf.DUMMYFUNCTION("""COMPUTED_VALUE"""),"Roller cat 230mm")</f>
        <v>Roller cat 230mm</v>
      </c>
      <c r="E209" s="6">
        <f>IFERROR(__xludf.DUMMYFUNCTION("""COMPUTED_VALUE"""),4.0)</f>
        <v>4</v>
      </c>
      <c r="F209" s="6">
        <f>IFERROR(__xludf.DUMMYFUNCTION("""COMPUTED_VALUE"""),4.0)</f>
        <v>4</v>
      </c>
      <c r="G209" s="6">
        <f>IFERROR(__xludf.DUMMYFUNCTION("""COMPUTED_VALUE"""),0.0)</f>
        <v>0</v>
      </c>
      <c r="H209" s="6" t="str">
        <f>IFERROR(__xludf.DUMMYFUNCTION("""COMPUTED_VALUE"""),"pcs")</f>
        <v>pcs</v>
      </c>
      <c r="I209" s="6" t="str">
        <f>IFERROR(__xludf.DUMMYFUNCTION("""COMPUTED_VALUE"""),"MFH")</f>
        <v>MFH</v>
      </c>
      <c r="J209" s="6" t="str">
        <f>IFERROR(__xludf.DUMMYFUNCTION("""COMPUTED_VALUE"""),"AHU")</f>
        <v>AHU</v>
      </c>
      <c r="K209" s="6" t="str">
        <f>IFERROR(__xludf.DUMMYFUNCTION("""COMPUTED_VALUE"""),"SPR/10/23/017")</f>
        <v>SPR/10/23/017</v>
      </c>
      <c r="L209" s="13">
        <f>IFERROR(__xludf.DUMMYFUNCTION("""COMPUTED_VALUE"""),45200.0)</f>
        <v>45200</v>
      </c>
    </row>
    <row r="210">
      <c r="A210" s="6" t="str">
        <f>IFERROR(__xludf.DUMMYFUNCTION("""COMPUTED_VALUE"""),"NDS")</f>
        <v>NDS</v>
      </c>
      <c r="B210" s="6" t="str">
        <f>IFERROR(__xludf.DUMMYFUNCTION("""COMPUTED_VALUE"""),"ENG")</f>
        <v>ENG</v>
      </c>
      <c r="C210" s="6" t="str">
        <f>IFERROR(__xludf.DUMMYFUNCTION("""COMPUTED_VALUE"""),"Q-10154-00")</f>
        <v>Q-10154-00</v>
      </c>
      <c r="D210" s="6" t="str">
        <f>IFERROR(__xludf.DUMMYFUNCTION("""COMPUTED_VALUE"""),"-")</f>
        <v>-</v>
      </c>
      <c r="E210" s="6">
        <f>IFERROR(__xludf.DUMMYFUNCTION("""COMPUTED_VALUE"""),1.0)</f>
        <v>1</v>
      </c>
      <c r="F210" s="6">
        <f>IFERROR(__xludf.DUMMYFUNCTION("""COMPUTED_VALUE"""),1.0)</f>
        <v>1</v>
      </c>
      <c r="G210" s="6">
        <f>IFERROR(__xludf.DUMMYFUNCTION("""COMPUTED_VALUE"""),0.0)</f>
        <v>0</v>
      </c>
      <c r="H210" s="6" t="str">
        <f>IFERROR(__xludf.DUMMYFUNCTION("""COMPUTED_VALUE"""),"pcs")</f>
        <v>pcs</v>
      </c>
      <c r="I210" s="6" t="str">
        <f>IFERROR(__xludf.DUMMYFUNCTION("""COMPUTED_VALUE"""),"MFH")</f>
        <v>MFH</v>
      </c>
      <c r="J210" s="6" t="str">
        <f>IFERROR(__xludf.DUMMYFUNCTION("""COMPUTED_VALUE"""),"Building")</f>
        <v>Building</v>
      </c>
      <c r="K210" s="6" t="str">
        <f>IFERROR(__xludf.DUMMYFUNCTION("""COMPUTED_VALUE"""),"SPR/10/23/017")</f>
        <v>SPR/10/23/017</v>
      </c>
      <c r="L210" s="13">
        <f>IFERROR(__xludf.DUMMYFUNCTION("""COMPUTED_VALUE"""),45200.0)</f>
        <v>45200</v>
      </c>
    </row>
    <row r="211">
      <c r="A211" s="6" t="str">
        <f>IFERROR(__xludf.DUMMYFUNCTION("""COMPUTED_VALUE"""),"NDS")</f>
        <v>NDS</v>
      </c>
      <c r="B211" s="6" t="str">
        <f>IFERROR(__xludf.DUMMYFUNCTION("""COMPUTED_VALUE"""),"ENG")</f>
        <v>ENG</v>
      </c>
      <c r="C211" s="6" t="str">
        <f>IFERROR(__xludf.DUMMYFUNCTION("""COMPUTED_VALUE"""),"Q-60026-00")</f>
        <v>Q-60026-00</v>
      </c>
      <c r="D211" s="6" t="str">
        <f>IFERROR(__xludf.DUMMYFUNCTION("""COMPUTED_VALUE"""),"Kuas 2"" Eterna")</f>
        <v>Kuas 2" Eterna</v>
      </c>
      <c r="E211" s="6">
        <f>IFERROR(__xludf.DUMMYFUNCTION("""COMPUTED_VALUE"""),1.0)</f>
        <v>1</v>
      </c>
      <c r="F211" s="6">
        <f>IFERROR(__xludf.DUMMYFUNCTION("""COMPUTED_VALUE"""),1.0)</f>
        <v>1</v>
      </c>
      <c r="G211" s="6">
        <f>IFERROR(__xludf.DUMMYFUNCTION("""COMPUTED_VALUE"""),0.0)</f>
        <v>0</v>
      </c>
      <c r="H211" s="6" t="str">
        <f>IFERROR(__xludf.DUMMYFUNCTION("""COMPUTED_VALUE"""),"pcs")</f>
        <v>pcs</v>
      </c>
      <c r="I211" s="6" t="str">
        <f>IFERROR(__xludf.DUMMYFUNCTION("""COMPUTED_VALUE"""),"MFH")</f>
        <v>MFH</v>
      </c>
      <c r="J211" s="6" t="str">
        <f>IFERROR(__xludf.DUMMYFUNCTION("""COMPUTED_VALUE"""),"Building")</f>
        <v>Building</v>
      </c>
      <c r="K211" s="6" t="str">
        <f>IFERROR(__xludf.DUMMYFUNCTION("""COMPUTED_VALUE"""),"SPR/10/23/017")</f>
        <v>SPR/10/23/017</v>
      </c>
      <c r="L211" s="13">
        <f>IFERROR(__xludf.DUMMYFUNCTION("""COMPUTED_VALUE"""),45200.0)</f>
        <v>45200</v>
      </c>
    </row>
    <row r="212">
      <c r="A212" s="6" t="str">
        <f>IFERROR(__xludf.DUMMYFUNCTION("""COMPUTED_VALUE"""),"NDS")</f>
        <v>NDS</v>
      </c>
      <c r="B212" s="6" t="str">
        <f>IFERROR(__xludf.DUMMYFUNCTION("""COMPUTED_VALUE"""),"ENG")</f>
        <v>ENG</v>
      </c>
      <c r="C212" s="6" t="str">
        <f>IFERROR(__xludf.DUMMYFUNCTION("""COMPUTED_VALUE"""),"Q-10128-00")</f>
        <v>Q-10128-00</v>
      </c>
      <c r="D212" s="6" t="str">
        <f>IFERROR(__xludf.DUMMYFUNCTION("""COMPUTED_VALUE"""),"Thinner Super End/Impala")</f>
        <v>Thinner Super End/Impala</v>
      </c>
      <c r="E212" s="6">
        <f>IFERROR(__xludf.DUMMYFUNCTION("""COMPUTED_VALUE"""),1.0)</f>
        <v>1</v>
      </c>
      <c r="F212" s="6">
        <f>IFERROR(__xludf.DUMMYFUNCTION("""COMPUTED_VALUE"""),1.0)</f>
        <v>1</v>
      </c>
      <c r="G212" s="6">
        <f>IFERROR(__xludf.DUMMYFUNCTION("""COMPUTED_VALUE"""),0.0)</f>
        <v>0</v>
      </c>
      <c r="H212" s="6" t="str">
        <f>IFERROR(__xludf.DUMMYFUNCTION("""COMPUTED_VALUE"""),"pcs")</f>
        <v>pcs</v>
      </c>
      <c r="I212" s="6" t="str">
        <f>IFERROR(__xludf.DUMMYFUNCTION("""COMPUTED_VALUE"""),"MFH")</f>
        <v>MFH</v>
      </c>
      <c r="J212" s="6" t="str">
        <f>IFERROR(__xludf.DUMMYFUNCTION("""COMPUTED_VALUE"""),"Building")</f>
        <v>Building</v>
      </c>
      <c r="K212" s="6" t="str">
        <f>IFERROR(__xludf.DUMMYFUNCTION("""COMPUTED_VALUE"""),"SPR/10/23/018")</f>
        <v>SPR/10/23/018</v>
      </c>
      <c r="L212" s="13">
        <f>IFERROR(__xludf.DUMMYFUNCTION("""COMPUTED_VALUE"""),45200.0)</f>
        <v>45200</v>
      </c>
    </row>
    <row r="213">
      <c r="A213" s="6" t="str">
        <f>IFERROR(__xludf.DUMMYFUNCTION("""COMPUTED_VALUE"""),"INN")</f>
        <v>INN</v>
      </c>
      <c r="B213" s="6" t="str">
        <f>IFERROR(__xludf.DUMMYFUNCTION("""COMPUTED_VALUE"""),"ENG")</f>
        <v>ENG</v>
      </c>
      <c r="C213" s="6" t="str">
        <f>IFERROR(__xludf.DUMMYFUNCTION("""COMPUTED_VALUE"""),"O-52701-00")</f>
        <v>O-52701-00</v>
      </c>
      <c r="D213" s="6" t="str">
        <f>IFERROR(__xludf.DUMMYFUNCTION("""COMPUTED_VALUE"""),"IMA CLU EK2046 - Router VPN Secomea P/n: 84229090")</f>
        <v>IMA CLU EK2046 - Router VPN Secomea P/n: 84229090</v>
      </c>
      <c r="E213" s="6">
        <f>IFERROR(__xludf.DUMMYFUNCTION("""COMPUTED_VALUE"""),1.0)</f>
        <v>1</v>
      </c>
      <c r="F213" s="6">
        <f>IFERROR(__xludf.DUMMYFUNCTION("""COMPUTED_VALUE"""),1.0)</f>
        <v>1</v>
      </c>
      <c r="G213" s="6">
        <f>IFERROR(__xludf.DUMMYFUNCTION("""COMPUTED_VALUE"""),0.0)</f>
        <v>0</v>
      </c>
      <c r="H213" s="6" t="str">
        <f>IFERROR(__xludf.DUMMYFUNCTION("""COMPUTED_VALUE"""),"pcs")</f>
        <v>pcs</v>
      </c>
      <c r="I213" s="6" t="str">
        <f>IFERROR(__xludf.DUMMYFUNCTION("""COMPUTED_VALUE"""),"MFH")</f>
        <v>MFH</v>
      </c>
      <c r="J213" s="6" t="str">
        <f>IFERROR(__xludf.DUMMYFUNCTION("""COMPUTED_VALUE"""),"CLU")</f>
        <v>CLU</v>
      </c>
      <c r="K213" s="6" t="str">
        <f>IFERROR(__xludf.DUMMYFUNCTION("""COMPUTED_VALUE"""),"SPR/10/23/019")</f>
        <v>SPR/10/23/019</v>
      </c>
      <c r="L213" s="13">
        <f>IFERROR(__xludf.DUMMYFUNCTION("""COMPUTED_VALUE"""),45200.0)</f>
        <v>45200</v>
      </c>
    </row>
    <row r="214">
      <c r="A214" s="6" t="str">
        <f>IFERROR(__xludf.DUMMYFUNCTION("""COMPUTED_VALUE"""),"INN")</f>
        <v>INN</v>
      </c>
      <c r="B214" s="6" t="str">
        <f>IFERROR(__xludf.DUMMYFUNCTION("""COMPUTED_VALUE"""),"ENG")</f>
        <v>ENG</v>
      </c>
      <c r="C214" s="6" t="str">
        <f>IFERROR(__xludf.DUMMYFUNCTION("""COMPUTED_VALUE"""),"O-52530-00")</f>
        <v>O-52530-00</v>
      </c>
      <c r="D214" s="6" t="str">
        <f>IFERROR(__xludf.DUMMYFUNCTION("""COMPUTED_VALUE"""),"Sensor PH Meter Type : InPro3250/120/PT1000 PN. 52002548")</f>
        <v>Sensor PH Meter Type : InPro3250/120/PT1000 PN. 52002548</v>
      </c>
      <c r="E214" s="6">
        <f>IFERROR(__xludf.DUMMYFUNCTION("""COMPUTED_VALUE"""),1.0)</f>
        <v>1</v>
      </c>
      <c r="F214" s="6">
        <f>IFERROR(__xludf.DUMMYFUNCTION("""COMPUTED_VALUE"""),1.0)</f>
        <v>1</v>
      </c>
      <c r="G214" s="6">
        <f>IFERROR(__xludf.DUMMYFUNCTION("""COMPUTED_VALUE"""),0.0)</f>
        <v>0</v>
      </c>
      <c r="H214" s="6" t="str">
        <f>IFERROR(__xludf.DUMMYFUNCTION("""COMPUTED_VALUE"""),"pcs")</f>
        <v>pcs</v>
      </c>
      <c r="I214" s="6" t="str">
        <f>IFERROR(__xludf.DUMMYFUNCTION("""COMPUTED_VALUE"""),"MFH")</f>
        <v>MFH</v>
      </c>
      <c r="J214" s="6" t="str">
        <f>IFERROR(__xludf.DUMMYFUNCTION("""COMPUTED_VALUE"""),"Mixing")</f>
        <v>Mixing</v>
      </c>
      <c r="K214" s="6" t="str">
        <f>IFERROR(__xludf.DUMMYFUNCTION("""COMPUTED_VALUE"""),"SPR/10/23/019")</f>
        <v>SPR/10/23/019</v>
      </c>
      <c r="L214" s="13">
        <f>IFERROR(__xludf.DUMMYFUNCTION("""COMPUTED_VALUE"""),45200.0)</f>
        <v>45200</v>
      </c>
    </row>
    <row r="215">
      <c r="A215" s="6" t="str">
        <f>IFERROR(__xludf.DUMMYFUNCTION("""COMPUTED_VALUE"""),"INN")</f>
        <v>INN</v>
      </c>
      <c r="B215" s="6" t="str">
        <f>IFERROR(__xludf.DUMMYFUNCTION("""COMPUTED_VALUE"""),"ENG")</f>
        <v>ENG</v>
      </c>
      <c r="C215" s="6" t="str">
        <f>IFERROR(__xludf.DUMMYFUNCTION("""COMPUTED_VALUE"""),"P-18619-00")</f>
        <v>P-18619-00</v>
      </c>
      <c r="D215" s="6" t="str">
        <f>IFERROR(__xludf.DUMMYFUNCTION("""COMPUTED_VALUE"""),"Filling VFM100 - Guide Vial Material SUS 304")</f>
        <v>Filling VFM100 - Guide Vial Material SUS 304</v>
      </c>
      <c r="E215" s="6">
        <f>IFERROR(__xludf.DUMMYFUNCTION("""COMPUTED_VALUE"""),1.0)</f>
        <v>1</v>
      </c>
      <c r="F215" s="6">
        <f>IFERROR(__xludf.DUMMYFUNCTION("""COMPUTED_VALUE"""),1.0)</f>
        <v>1</v>
      </c>
      <c r="G215" s="6">
        <f>IFERROR(__xludf.DUMMYFUNCTION("""COMPUTED_VALUE"""),0.0)</f>
        <v>0</v>
      </c>
      <c r="H215" s="6" t="str">
        <f>IFERROR(__xludf.DUMMYFUNCTION("""COMPUTED_VALUE"""),"pcs")</f>
        <v>pcs</v>
      </c>
      <c r="I215" s="6" t="str">
        <f>IFERROR(__xludf.DUMMYFUNCTION("""COMPUTED_VALUE"""),"MFH")</f>
        <v>MFH</v>
      </c>
      <c r="J215" s="6" t="str">
        <f>IFERROR(__xludf.DUMMYFUNCTION("""COMPUTED_VALUE"""),"Filling")</f>
        <v>Filling</v>
      </c>
      <c r="K215" s="6" t="str">
        <f>IFERROR(__xludf.DUMMYFUNCTION("""COMPUTED_VALUE"""),"SPR/10/23/019")</f>
        <v>SPR/10/23/019</v>
      </c>
      <c r="L215" s="13">
        <f>IFERROR(__xludf.DUMMYFUNCTION("""COMPUTED_VALUE"""),45200.0)</f>
        <v>45200</v>
      </c>
    </row>
    <row r="216">
      <c r="A216" s="6" t="str">
        <f>IFERROR(__xludf.DUMMYFUNCTION("""COMPUTED_VALUE"""),"MRN")</f>
        <v>MRN</v>
      </c>
      <c r="B216" s="6" t="str">
        <f>IFERROR(__xludf.DUMMYFUNCTION("""COMPUTED_VALUE"""),"ENG")</f>
        <v>ENG</v>
      </c>
      <c r="C216" s="6" t="str">
        <f>IFERROR(__xludf.DUMMYFUNCTION("""COMPUTED_VALUE"""),"Q-10585-00")</f>
        <v>Q-10585-00</v>
      </c>
      <c r="D216" s="6" t="str">
        <f>IFERROR(__xludf.DUMMYFUNCTION("""COMPUTED_VALUE"""),"Lampu LED T5-18W-1200mm")</f>
        <v>Lampu LED T5-18W-1200mm</v>
      </c>
      <c r="E216" s="6">
        <f>IFERROR(__xludf.DUMMYFUNCTION("""COMPUTED_VALUE"""),4.0)</f>
        <v>4</v>
      </c>
      <c r="F216" s="6">
        <f>IFERROR(__xludf.DUMMYFUNCTION("""COMPUTED_VALUE"""),4.0)</f>
        <v>4</v>
      </c>
      <c r="G216" s="6">
        <f>IFERROR(__xludf.DUMMYFUNCTION("""COMPUTED_VALUE"""),0.0)</f>
        <v>0</v>
      </c>
      <c r="H216" s="6" t="str">
        <f>IFERROR(__xludf.DUMMYFUNCTION("""COMPUTED_VALUE"""),"pcs")</f>
        <v>pcs</v>
      </c>
      <c r="I216" s="6" t="str">
        <f>IFERROR(__xludf.DUMMYFUNCTION("""COMPUTED_VALUE"""),"MFH")</f>
        <v>MFH</v>
      </c>
      <c r="J216" s="6" t="str">
        <f>IFERROR(__xludf.DUMMYFUNCTION("""COMPUTED_VALUE"""),"Building")</f>
        <v>Building</v>
      </c>
      <c r="K216" s="6" t="str">
        <f>IFERROR(__xludf.DUMMYFUNCTION("""COMPUTED_VALUE"""),"SPR/10/23/020")</f>
        <v>SPR/10/23/020</v>
      </c>
      <c r="L216" s="13">
        <f>IFERROR(__xludf.DUMMYFUNCTION("""COMPUTED_VALUE"""),45200.0)</f>
        <v>45200</v>
      </c>
    </row>
    <row r="217">
      <c r="A217" s="6" t="str">
        <f>IFERROR(__xludf.DUMMYFUNCTION("""COMPUTED_VALUE"""),"MRN")</f>
        <v>MRN</v>
      </c>
      <c r="B217" s="6" t="str">
        <f>IFERROR(__xludf.DUMMYFUNCTION("""COMPUTED_VALUE"""),"ENG")</f>
        <v>ENG</v>
      </c>
      <c r="C217" s="6" t="str">
        <f>IFERROR(__xludf.DUMMYFUNCTION("""COMPUTED_VALUE"""),"P-13641-00")</f>
        <v>P-13641-00</v>
      </c>
      <c r="D217" s="6" t="str">
        <f>IFERROR(__xludf.DUMMYFUNCTION("""COMPUTED_VALUE"""),"Filter SO 5 micron 30 inch O-r")</f>
        <v>Filter SO 5 micron 30 inch O-r</v>
      </c>
      <c r="E217" s="6">
        <f>IFERROR(__xludf.DUMMYFUNCTION("""COMPUTED_VALUE"""),4.0)</f>
        <v>4</v>
      </c>
      <c r="F217" s="6">
        <f>IFERROR(__xludf.DUMMYFUNCTION("""COMPUTED_VALUE"""),4.0)</f>
        <v>4</v>
      </c>
      <c r="G217" s="6">
        <f>IFERROR(__xludf.DUMMYFUNCTION("""COMPUTED_VALUE"""),0.0)</f>
        <v>0</v>
      </c>
      <c r="H217" s="6" t="str">
        <f>IFERROR(__xludf.DUMMYFUNCTION("""COMPUTED_VALUE"""),"pcs")</f>
        <v>pcs</v>
      </c>
      <c r="I217" s="6" t="str">
        <f>IFERROR(__xludf.DUMMYFUNCTION("""COMPUTED_VALUE"""),"MFH")</f>
        <v>MFH</v>
      </c>
      <c r="J217" s="6" t="str">
        <f>IFERROR(__xludf.DUMMYFUNCTION("""COMPUTED_VALUE"""),"PWG")</f>
        <v>PWG</v>
      </c>
      <c r="K217" s="6" t="str">
        <f>IFERROR(__xludf.DUMMYFUNCTION("""COMPUTED_VALUE"""),"SPR/10/23/020")</f>
        <v>SPR/10/23/020</v>
      </c>
      <c r="L217" s="13">
        <f>IFERROR(__xludf.DUMMYFUNCTION("""COMPUTED_VALUE"""),45200.0)</f>
        <v>45200</v>
      </c>
    </row>
    <row r="218">
      <c r="A218" s="6" t="str">
        <f>IFERROR(__xludf.DUMMYFUNCTION("""COMPUTED_VALUE"""),"RPA")</f>
        <v>RPA</v>
      </c>
      <c r="B218" s="6" t="str">
        <f>IFERROR(__xludf.DUMMYFUNCTION("""COMPUTED_VALUE"""),"PRO")</f>
        <v>PRO</v>
      </c>
      <c r="C218" s="6" t="str">
        <f>IFERROR(__xludf.DUMMYFUNCTION("""COMPUTED_VALUE"""),"T-80038-00")</f>
        <v>T-80038-00</v>
      </c>
      <c r="D218" s="6" t="str">
        <f>IFERROR(__xludf.DUMMYFUNCTION("""COMPUTED_VALUE"""),"Batterai Size AAA")</f>
        <v>Batterai Size AAA</v>
      </c>
      <c r="E218" s="6">
        <f>IFERROR(__xludf.DUMMYFUNCTION("""COMPUTED_VALUE"""),3.0)</f>
        <v>3</v>
      </c>
      <c r="F218" s="6">
        <f>IFERROR(__xludf.DUMMYFUNCTION("""COMPUTED_VALUE"""),3.0)</f>
        <v>3</v>
      </c>
      <c r="G218" s="6">
        <f>IFERROR(__xludf.DUMMYFUNCTION("""COMPUTED_VALUE"""),0.0)</f>
        <v>0</v>
      </c>
      <c r="H218" s="6" t="str">
        <f>IFERROR(__xludf.DUMMYFUNCTION("""COMPUTED_VALUE"""),"pcs")</f>
        <v>pcs</v>
      </c>
      <c r="I218" s="6" t="str">
        <f>IFERROR(__xludf.DUMMYFUNCTION("""COMPUTED_VALUE"""),"MFH")</f>
        <v>MFH</v>
      </c>
      <c r="J218" s="6" t="str">
        <f>IFERROR(__xludf.DUMMYFUNCTION("""COMPUTED_VALUE"""),"FD IMA")</f>
        <v>FD IMA</v>
      </c>
      <c r="K218" s="6" t="str">
        <f>IFERROR(__xludf.DUMMYFUNCTION("""COMPUTED_VALUE"""),"SPR/10/23/021")</f>
        <v>SPR/10/23/021</v>
      </c>
      <c r="L218" s="13">
        <f>IFERROR(__xludf.DUMMYFUNCTION("""COMPUTED_VALUE"""),45200.0)</f>
        <v>45200</v>
      </c>
    </row>
    <row r="219">
      <c r="A219" s="6" t="str">
        <f>IFERROR(__xludf.DUMMYFUNCTION("""COMPUTED_VALUE"""),"MRN")</f>
        <v>MRN</v>
      </c>
      <c r="B219" s="6" t="str">
        <f>IFERROR(__xludf.DUMMYFUNCTION("""COMPUTED_VALUE"""),"ENG")</f>
        <v>ENG</v>
      </c>
      <c r="C219" s="6" t="str">
        <f>IFERROR(__xludf.DUMMYFUNCTION("""COMPUTED_VALUE"""),"O-14594-00")</f>
        <v>O-14594-00</v>
      </c>
      <c r="D219" s="6" t="str">
        <f>IFERROR(__xludf.DUMMYFUNCTION("""COMPUTED_VALUE"""),"Kit, membrane ozone 6510")</f>
        <v>Kit, membrane ozone 6510</v>
      </c>
      <c r="E219" s="6">
        <f>IFERROR(__xludf.DUMMYFUNCTION("""COMPUTED_VALUE"""),1.0)</f>
        <v>1</v>
      </c>
      <c r="F219" s="6">
        <f>IFERROR(__xludf.DUMMYFUNCTION("""COMPUTED_VALUE"""),1.0)</f>
        <v>1</v>
      </c>
      <c r="G219" s="6">
        <f>IFERROR(__xludf.DUMMYFUNCTION("""COMPUTED_VALUE"""),0.0)</f>
        <v>0</v>
      </c>
      <c r="H219" s="6" t="str">
        <f>IFERROR(__xludf.DUMMYFUNCTION("""COMPUTED_VALUE"""),"pcs")</f>
        <v>pcs</v>
      </c>
      <c r="I219" s="6" t="str">
        <f>IFERROR(__xludf.DUMMYFUNCTION("""COMPUTED_VALUE"""),"MFH")</f>
        <v>MFH</v>
      </c>
      <c r="J219" s="6" t="str">
        <f>IFERROR(__xludf.DUMMYFUNCTION("""COMPUTED_VALUE"""),"PW SND")</f>
        <v>PW SND</v>
      </c>
      <c r="K219" s="6" t="str">
        <f>IFERROR(__xludf.DUMMYFUNCTION("""COMPUTED_VALUE"""),"SPR/10/23/022")</f>
        <v>SPR/10/23/022</v>
      </c>
      <c r="L219" s="13">
        <f>IFERROR(__xludf.DUMMYFUNCTION("""COMPUTED_VALUE"""),45200.0)</f>
        <v>45200</v>
      </c>
    </row>
    <row r="220">
      <c r="A220" s="6" t="str">
        <f>IFERROR(__xludf.DUMMYFUNCTION("""COMPUTED_VALUE"""),"MRN")</f>
        <v>MRN</v>
      </c>
      <c r="B220" s="6" t="str">
        <f>IFERROR(__xludf.DUMMYFUNCTION("""COMPUTED_VALUE"""),"ENG")</f>
        <v>ENG</v>
      </c>
      <c r="C220" s="6" t="str">
        <f>IFERROR(__xludf.DUMMYFUNCTION("""COMPUTED_VALUE"""),"P-18546-00")</f>
        <v>P-18546-00</v>
      </c>
      <c r="D220" s="6" t="str">
        <f>IFERROR(__xludf.DUMMYFUNCTION("""COMPUTED_VALUE"""),"Constan Air Volume EN 200x100 with Flow Scale 0-600 CMH")</f>
        <v>Constan Air Volume EN 200x100 with Flow Scale 0-600 CMH</v>
      </c>
      <c r="E220" s="6">
        <f>IFERROR(__xludf.DUMMYFUNCTION("""COMPUTED_VALUE"""),1.0)</f>
        <v>1</v>
      </c>
      <c r="F220" s="6">
        <f>IFERROR(__xludf.DUMMYFUNCTION("""COMPUTED_VALUE"""),1.0)</f>
        <v>1</v>
      </c>
      <c r="G220" s="6">
        <f>IFERROR(__xludf.DUMMYFUNCTION("""COMPUTED_VALUE"""),0.0)</f>
        <v>0</v>
      </c>
      <c r="H220" s="6" t="str">
        <f>IFERROR(__xludf.DUMMYFUNCTION("""COMPUTED_VALUE"""),"pcs")</f>
        <v>pcs</v>
      </c>
      <c r="I220" s="6" t="str">
        <f>IFERROR(__xludf.DUMMYFUNCTION("""COMPUTED_VALUE"""),"MFH")</f>
        <v>MFH</v>
      </c>
      <c r="J220" s="6" t="str">
        <f>IFERROR(__xludf.DUMMYFUNCTION("""COMPUTED_VALUE"""),"AHU")</f>
        <v>AHU</v>
      </c>
      <c r="K220" s="6" t="str">
        <f>IFERROR(__xludf.DUMMYFUNCTION("""COMPUTED_VALUE"""),"SPR/10/23/022")</f>
        <v>SPR/10/23/022</v>
      </c>
      <c r="L220" s="13">
        <f>IFERROR(__xludf.DUMMYFUNCTION("""COMPUTED_VALUE"""),45200.0)</f>
        <v>45200</v>
      </c>
    </row>
    <row r="221">
      <c r="A221" s="6" t="str">
        <f>IFERROR(__xludf.DUMMYFUNCTION("""COMPUTED_VALUE"""),"MRN")</f>
        <v>MRN</v>
      </c>
      <c r="B221" s="6" t="str">
        <f>IFERROR(__xludf.DUMMYFUNCTION("""COMPUTED_VALUE"""),"ENG")</f>
        <v>ENG</v>
      </c>
      <c r="C221" s="6" t="str">
        <f>IFERROR(__xludf.DUMMYFUNCTION("""COMPUTED_VALUE"""),"P-18504-00")</f>
        <v>P-18504-00</v>
      </c>
      <c r="D221" s="6" t="str">
        <f>IFERROR(__xludf.DUMMYFUNCTION("""COMPUTED_VALUE"""),"Chemours - Freon 404A;")</f>
        <v>Chemours - Freon 404A;</v>
      </c>
      <c r="E221" s="6">
        <f>IFERROR(__xludf.DUMMYFUNCTION("""COMPUTED_VALUE"""),1.0)</f>
        <v>1</v>
      </c>
      <c r="F221" s="6">
        <f>IFERROR(__xludf.DUMMYFUNCTION("""COMPUTED_VALUE"""),1.0)</f>
        <v>1</v>
      </c>
      <c r="G221" s="6">
        <f>IFERROR(__xludf.DUMMYFUNCTION("""COMPUTED_VALUE"""),0.0)</f>
        <v>0</v>
      </c>
      <c r="H221" s="6" t="str">
        <f>IFERROR(__xludf.DUMMYFUNCTION("""COMPUTED_VALUE"""),"pcs")</f>
        <v>pcs</v>
      </c>
      <c r="I221" s="6" t="str">
        <f>IFERROR(__xludf.DUMMYFUNCTION("""COMPUTED_VALUE"""),"MFH")</f>
        <v>MFH</v>
      </c>
      <c r="J221" s="6" t="str">
        <f>IFERROR(__xludf.DUMMYFUNCTION("""COMPUTED_VALUE"""),"Chamber")</f>
        <v>Chamber</v>
      </c>
      <c r="K221" s="6" t="str">
        <f>IFERROR(__xludf.DUMMYFUNCTION("""COMPUTED_VALUE"""),"SPR/10/23/022")</f>
        <v>SPR/10/23/022</v>
      </c>
      <c r="L221" s="13">
        <f>IFERROR(__xludf.DUMMYFUNCTION("""COMPUTED_VALUE"""),45200.0)</f>
        <v>45200</v>
      </c>
    </row>
    <row r="222">
      <c r="A222" s="6" t="str">
        <f>IFERROR(__xludf.DUMMYFUNCTION("""COMPUTED_VALUE"""),"MRN")</f>
        <v>MRN</v>
      </c>
      <c r="B222" s="6" t="str">
        <f>IFERROR(__xludf.DUMMYFUNCTION("""COMPUTED_VALUE"""),"ENG")</f>
        <v>ENG</v>
      </c>
      <c r="C222" s="6" t="str">
        <f>IFERROR(__xludf.DUMMYFUNCTION("""COMPUTED_VALUE"""),"O-54014-00")</f>
        <v>O-54014-00</v>
      </c>
      <c r="D222" s="6" t="str">
        <f>IFERROR(__xludf.DUMMYFUNCTION("""COMPUTED_VALUE"""),"STEKER 1 PHASE, BROCO")</f>
        <v>STEKER 1 PHASE, BROCO</v>
      </c>
      <c r="E222" s="6">
        <f>IFERROR(__xludf.DUMMYFUNCTION("""COMPUTED_VALUE"""),4.0)</f>
        <v>4</v>
      </c>
      <c r="F222" s="6">
        <f>IFERROR(__xludf.DUMMYFUNCTION("""COMPUTED_VALUE"""),4.0)</f>
        <v>4</v>
      </c>
      <c r="G222" s="6">
        <f>IFERROR(__xludf.DUMMYFUNCTION("""COMPUTED_VALUE"""),0.0)</f>
        <v>0</v>
      </c>
      <c r="H222" s="6" t="str">
        <f>IFERROR(__xludf.DUMMYFUNCTION("""COMPUTED_VALUE"""),"pcs")</f>
        <v>pcs</v>
      </c>
      <c r="I222" s="6" t="str">
        <f>IFERROR(__xludf.DUMMYFUNCTION("""COMPUTED_VALUE"""),"MFH")</f>
        <v>MFH</v>
      </c>
      <c r="J222" s="6" t="str">
        <f>IFERROR(__xludf.DUMMYFUNCTION("""COMPUTED_VALUE"""),"Building")</f>
        <v>Building</v>
      </c>
      <c r="K222" s="6" t="str">
        <f>IFERROR(__xludf.DUMMYFUNCTION("""COMPUTED_VALUE"""),"SPR/10/23/023")</f>
        <v>SPR/10/23/023</v>
      </c>
      <c r="L222" s="13">
        <f>IFERROR(__xludf.DUMMYFUNCTION("""COMPUTED_VALUE"""),45200.0)</f>
        <v>45200</v>
      </c>
    </row>
    <row r="223">
      <c r="A223" s="6" t="str">
        <f>IFERROR(__xludf.DUMMYFUNCTION("""COMPUTED_VALUE"""),"MRN")</f>
        <v>MRN</v>
      </c>
      <c r="B223" s="6" t="str">
        <f>IFERROR(__xludf.DUMMYFUNCTION("""COMPUTED_VALUE"""),"ENG")</f>
        <v>ENG</v>
      </c>
      <c r="C223" s="6" t="str">
        <f>IFERROR(__xludf.DUMMYFUNCTION("""COMPUTED_VALUE"""),"O-14641-00")</f>
        <v>O-14641-00</v>
      </c>
      <c r="D223" s="6" t="str">
        <f>IFERROR(__xludf.DUMMYFUNCTION("""COMPUTED_VALUE"""),"Silicone Gasket for Ferrule dia. 1""; ; ;")</f>
        <v>Silicone Gasket for Ferrule dia. 1"; ; ;</v>
      </c>
      <c r="E223" s="6">
        <f>IFERROR(__xludf.DUMMYFUNCTION("""COMPUTED_VALUE"""),10.0)</f>
        <v>10</v>
      </c>
      <c r="F223" s="6">
        <f>IFERROR(__xludf.DUMMYFUNCTION("""COMPUTED_VALUE"""),10.0)</f>
        <v>10</v>
      </c>
      <c r="G223" s="6">
        <f>IFERROR(__xludf.DUMMYFUNCTION("""COMPUTED_VALUE"""),0.0)</f>
        <v>0</v>
      </c>
      <c r="H223" s="6" t="str">
        <f>IFERROR(__xludf.DUMMYFUNCTION("""COMPUTED_VALUE"""),"pcs")</f>
        <v>pcs</v>
      </c>
      <c r="I223" s="6" t="str">
        <f>IFERROR(__xludf.DUMMYFUNCTION("""COMPUTED_VALUE"""),"MFH")</f>
        <v>MFH</v>
      </c>
      <c r="J223" s="6" t="str">
        <f>IFERROR(__xludf.DUMMYFUNCTION("""COMPUTED_VALUE"""),"PSG")</f>
        <v>PSG</v>
      </c>
      <c r="K223" s="6" t="str">
        <f>IFERROR(__xludf.DUMMYFUNCTION("""COMPUTED_VALUE"""),"SPR/10/23/023")</f>
        <v>SPR/10/23/023</v>
      </c>
      <c r="L223" s="13">
        <f>IFERROR(__xludf.DUMMYFUNCTION("""COMPUTED_VALUE"""),45200.0)</f>
        <v>45200</v>
      </c>
    </row>
    <row r="224">
      <c r="A224" s="6" t="str">
        <f>IFERROR(__xludf.DUMMYFUNCTION("""COMPUTED_VALUE"""),"MRN")</f>
        <v>MRN</v>
      </c>
      <c r="B224" s="6" t="str">
        <f>IFERROR(__xludf.DUMMYFUNCTION("""COMPUTED_VALUE"""),"ENG")</f>
        <v>ENG</v>
      </c>
      <c r="C224" s="6" t="str">
        <f>IFERROR(__xludf.DUMMYFUNCTION("""COMPUTED_VALUE"""),"Q-60026-00")</f>
        <v>Q-60026-00</v>
      </c>
      <c r="D224" s="6" t="str">
        <f>IFERROR(__xludf.DUMMYFUNCTION("""COMPUTED_VALUE"""),"Kuas 2"" Eterna")</f>
        <v>Kuas 2" Eterna</v>
      </c>
      <c r="E224" s="6">
        <f>IFERROR(__xludf.DUMMYFUNCTION("""COMPUTED_VALUE"""),3.0)</f>
        <v>3</v>
      </c>
      <c r="F224" s="6">
        <f>IFERROR(__xludf.DUMMYFUNCTION("""COMPUTED_VALUE"""),3.0)</f>
        <v>3</v>
      </c>
      <c r="G224" s="6">
        <f>IFERROR(__xludf.DUMMYFUNCTION("""COMPUTED_VALUE"""),0.0)</f>
        <v>0</v>
      </c>
      <c r="H224" s="6" t="str">
        <f>IFERROR(__xludf.DUMMYFUNCTION("""COMPUTED_VALUE"""),"pcs")</f>
        <v>pcs</v>
      </c>
      <c r="I224" s="6" t="str">
        <f>IFERROR(__xludf.DUMMYFUNCTION("""COMPUTED_VALUE"""),"MFH")</f>
        <v>MFH</v>
      </c>
      <c r="J224" s="6" t="str">
        <f>IFERROR(__xludf.DUMMYFUNCTION("""COMPUTED_VALUE"""),"Building")</f>
        <v>Building</v>
      </c>
      <c r="K224" s="6" t="str">
        <f>IFERROR(__xludf.DUMMYFUNCTION("""COMPUTED_VALUE"""),"SPR/10/23/023")</f>
        <v>SPR/10/23/023</v>
      </c>
      <c r="L224" s="13">
        <f>IFERROR(__xludf.DUMMYFUNCTION("""COMPUTED_VALUE"""),45200.0)</f>
        <v>45200</v>
      </c>
    </row>
    <row r="225">
      <c r="A225" s="6" t="str">
        <f>IFERROR(__xludf.DUMMYFUNCTION("""COMPUTED_VALUE"""),"NDS")</f>
        <v>NDS</v>
      </c>
      <c r="B225" s="6" t="str">
        <f>IFERROR(__xludf.DUMMYFUNCTION("""COMPUTED_VALUE"""),"ENG")</f>
        <v>ENG</v>
      </c>
      <c r="C225" s="6" t="str">
        <f>IFERROR(__xludf.DUMMYFUNCTION("""COMPUTED_VALUE"""),"P-11694-00")</f>
        <v>P-11694-00</v>
      </c>
      <c r="D225" s="6" t="str">
        <f>IFERROR(__xludf.DUMMYFUNCTION("""COMPUTED_VALUE"""),"Mata Gerinda 4""")</f>
        <v>Mata Gerinda 4"</v>
      </c>
      <c r="E225" s="6">
        <f>IFERROR(__xludf.DUMMYFUNCTION("""COMPUTED_VALUE"""),1.0)</f>
        <v>1</v>
      </c>
      <c r="F225" s="6">
        <f>IFERROR(__xludf.DUMMYFUNCTION("""COMPUTED_VALUE"""),1.0)</f>
        <v>1</v>
      </c>
      <c r="G225" s="6">
        <f>IFERROR(__xludf.DUMMYFUNCTION("""COMPUTED_VALUE"""),0.0)</f>
        <v>0</v>
      </c>
      <c r="H225" s="6" t="str">
        <f>IFERROR(__xludf.DUMMYFUNCTION("""COMPUTED_VALUE"""),"pcs")</f>
        <v>pcs</v>
      </c>
      <c r="I225" s="6" t="str">
        <f>IFERROR(__xludf.DUMMYFUNCTION("""COMPUTED_VALUE"""),"MFH")</f>
        <v>MFH</v>
      </c>
      <c r="J225" s="6" t="str">
        <f>IFERROR(__xludf.DUMMYFUNCTION("""COMPUTED_VALUE"""),"Workshop")</f>
        <v>Workshop</v>
      </c>
      <c r="K225" s="6" t="str">
        <f>IFERROR(__xludf.DUMMYFUNCTION("""COMPUTED_VALUE"""),"SPR/10/23/024")</f>
        <v>SPR/10/23/024</v>
      </c>
      <c r="L225" s="13">
        <f>IFERROR(__xludf.DUMMYFUNCTION("""COMPUTED_VALUE"""),45200.0)</f>
        <v>45200</v>
      </c>
    </row>
    <row r="226">
      <c r="A226" s="6" t="str">
        <f>IFERROR(__xludf.DUMMYFUNCTION("""COMPUTED_VALUE"""),"MRN")</f>
        <v>MRN</v>
      </c>
      <c r="B226" s="6" t="str">
        <f>IFERROR(__xludf.DUMMYFUNCTION("""COMPUTED_VALUE"""),"ENG")</f>
        <v>ENG</v>
      </c>
      <c r="C226" s="6" t="str">
        <f>IFERROR(__xludf.DUMMYFUNCTION("""COMPUTED_VALUE"""),"Q-60501-00")</f>
        <v>Q-60501-00</v>
      </c>
      <c r="D226" s="6" t="str">
        <f>IFERROR(__xludf.DUMMYFUNCTION("""COMPUTED_VALUE"""),"Silicone Sealant, Silglaze, Type N10 Clear, pack size per pcs")</f>
        <v>Silicone Sealant, Silglaze, Type N10 Clear, pack size per pcs</v>
      </c>
      <c r="E226" s="6">
        <f>IFERROR(__xludf.DUMMYFUNCTION("""COMPUTED_VALUE"""),2.0)</f>
        <v>2</v>
      </c>
      <c r="F226" s="6">
        <f>IFERROR(__xludf.DUMMYFUNCTION("""COMPUTED_VALUE"""),2.0)</f>
        <v>2</v>
      </c>
      <c r="G226" s="6">
        <f>IFERROR(__xludf.DUMMYFUNCTION("""COMPUTED_VALUE"""),0.0)</f>
        <v>0</v>
      </c>
      <c r="H226" s="6" t="str">
        <f>IFERROR(__xludf.DUMMYFUNCTION("""COMPUTED_VALUE"""),"pcs")</f>
        <v>pcs</v>
      </c>
      <c r="I226" s="6" t="str">
        <f>IFERROR(__xludf.DUMMYFUNCTION("""COMPUTED_VALUE"""),"MFH")</f>
        <v>MFH</v>
      </c>
      <c r="J226" s="6" t="str">
        <f>IFERROR(__xludf.DUMMYFUNCTION("""COMPUTED_VALUE"""),"Building")</f>
        <v>Building</v>
      </c>
      <c r="K226" s="6" t="str">
        <f>IFERROR(__xludf.DUMMYFUNCTION("""COMPUTED_VALUE"""),"SPR/10/23/025")</f>
        <v>SPR/10/23/025</v>
      </c>
      <c r="L226" s="13">
        <f>IFERROR(__xludf.DUMMYFUNCTION("""COMPUTED_VALUE"""),45200.0)</f>
        <v>45200</v>
      </c>
    </row>
    <row r="227">
      <c r="A227" s="6" t="str">
        <f>IFERROR(__xludf.DUMMYFUNCTION("""COMPUTED_VALUE"""),"MRN")</f>
        <v>MRN</v>
      </c>
      <c r="B227" s="6" t="str">
        <f>IFERROR(__xludf.DUMMYFUNCTION("""COMPUTED_VALUE"""),"ENG")</f>
        <v>ENG</v>
      </c>
      <c r="C227" s="6" t="str">
        <f>IFERROR(__xludf.DUMMYFUNCTION("""COMPUTED_VALUE"""),"P-52711-00")</f>
        <v>P-52711-00</v>
      </c>
      <c r="D227" s="6" t="str">
        <f>IFERROR(__xludf.DUMMYFUNCTION("""COMPUTED_VALUE"""),"Accu NS70 (Battery kering) 12V")</f>
        <v>Accu NS70 (Battery kering) 12V</v>
      </c>
      <c r="E227" s="6">
        <f>IFERROR(__xludf.DUMMYFUNCTION("""COMPUTED_VALUE"""),2.0)</f>
        <v>2</v>
      </c>
      <c r="F227" s="6">
        <f>IFERROR(__xludf.DUMMYFUNCTION("""COMPUTED_VALUE"""),2.0)</f>
        <v>2</v>
      </c>
      <c r="G227" s="6">
        <f>IFERROR(__xludf.DUMMYFUNCTION("""COMPUTED_VALUE"""),0.0)</f>
        <v>0</v>
      </c>
      <c r="H227" s="6" t="str">
        <f>IFERROR(__xludf.DUMMYFUNCTION("""COMPUTED_VALUE"""),"pcs")</f>
        <v>pcs</v>
      </c>
      <c r="I227" s="6" t="str">
        <f>IFERROR(__xludf.DUMMYFUNCTION("""COMPUTED_VALUE"""),"MFH")</f>
        <v>MFH</v>
      </c>
      <c r="J227" s="6" t="str">
        <f>IFERROR(__xludf.DUMMYFUNCTION("""COMPUTED_VALUE"""),"WWTP")</f>
        <v>WWTP</v>
      </c>
      <c r="K227" s="6" t="str">
        <f>IFERROR(__xludf.DUMMYFUNCTION("""COMPUTED_VALUE"""),"SPR/10/23/026")</f>
        <v>SPR/10/23/026</v>
      </c>
      <c r="L227" s="13">
        <f>IFERROR(__xludf.DUMMYFUNCTION("""COMPUTED_VALUE"""),45200.0)</f>
        <v>45200</v>
      </c>
    </row>
    <row r="228">
      <c r="A228" s="6" t="str">
        <f>IFERROR(__xludf.DUMMYFUNCTION("""COMPUTED_VALUE"""),"RIA")</f>
        <v>RIA</v>
      </c>
      <c r="B228" s="6" t="str">
        <f>IFERROR(__xludf.DUMMYFUNCTION("""COMPUTED_VALUE"""),"ENG")</f>
        <v>ENG</v>
      </c>
      <c r="C228" s="6" t="str">
        <f>IFERROR(__xludf.DUMMYFUNCTION("""COMPUTED_VALUE"""),"P-15862-00")</f>
        <v>P-15862-00</v>
      </c>
      <c r="D228" s="6" t="str">
        <f>IFERROR(__xludf.DUMMYFUNCTION("""COMPUTED_VALUE"""),"PAPER RECORD YOKOGAWA; FOLDING CHART B9565AW")</f>
        <v>PAPER RECORD YOKOGAWA; FOLDING CHART B9565AW</v>
      </c>
      <c r="E228" s="6">
        <f>IFERROR(__xludf.DUMMYFUNCTION("""COMPUTED_VALUE"""),2.0)</f>
        <v>2</v>
      </c>
      <c r="F228" s="6">
        <f>IFERROR(__xludf.DUMMYFUNCTION("""COMPUTED_VALUE"""),2.0)</f>
        <v>2</v>
      </c>
      <c r="G228" s="6">
        <f>IFERROR(__xludf.DUMMYFUNCTION("""COMPUTED_VALUE"""),0.0)</f>
        <v>0</v>
      </c>
      <c r="H228" s="6" t="str">
        <f>IFERROR(__xludf.DUMMYFUNCTION("""COMPUTED_VALUE"""),"pcs")</f>
        <v>pcs</v>
      </c>
      <c r="I228" s="6" t="str">
        <f>IFERROR(__xludf.DUMMYFUNCTION("""COMPUTED_VALUE"""),"MFH")</f>
        <v>MFH</v>
      </c>
      <c r="J228" s="6" t="str">
        <f>IFERROR(__xludf.DUMMYFUNCTION("""COMPUTED_VALUE"""),"PW Skid")</f>
        <v>PW Skid</v>
      </c>
      <c r="K228" s="6" t="str">
        <f>IFERROR(__xludf.DUMMYFUNCTION("""COMPUTED_VALUE"""),"SPR/10/23/027")</f>
        <v>SPR/10/23/027</v>
      </c>
      <c r="L228" s="13">
        <f>IFERROR(__xludf.DUMMYFUNCTION("""COMPUTED_VALUE"""),45200.0)</f>
        <v>45200</v>
      </c>
    </row>
    <row r="229">
      <c r="A229" s="6" t="str">
        <f>IFERROR(__xludf.DUMMYFUNCTION("""COMPUTED_VALUE"""),"MRN")</f>
        <v>MRN</v>
      </c>
      <c r="B229" s="6" t="str">
        <f>IFERROR(__xludf.DUMMYFUNCTION("""COMPUTED_VALUE"""),"ENG")</f>
        <v>ENG</v>
      </c>
      <c r="C229" s="6" t="str">
        <f>IFERROR(__xludf.DUMMYFUNCTION("""COMPUTED_VALUE"""),"Q-60026-00")</f>
        <v>Q-60026-00</v>
      </c>
      <c r="D229" s="6" t="str">
        <f>IFERROR(__xludf.DUMMYFUNCTION("""COMPUTED_VALUE"""),"Kuas 2"" Eterna")</f>
        <v>Kuas 2" Eterna</v>
      </c>
      <c r="E229" s="6">
        <f>IFERROR(__xludf.DUMMYFUNCTION("""COMPUTED_VALUE"""),2.0)</f>
        <v>2</v>
      </c>
      <c r="F229" s="6">
        <f>IFERROR(__xludf.DUMMYFUNCTION("""COMPUTED_VALUE"""),2.0)</f>
        <v>2</v>
      </c>
      <c r="G229" s="6">
        <f>IFERROR(__xludf.DUMMYFUNCTION("""COMPUTED_VALUE"""),0.0)</f>
        <v>0</v>
      </c>
      <c r="H229" s="6" t="str">
        <f>IFERROR(__xludf.DUMMYFUNCTION("""COMPUTED_VALUE"""),"pcs")</f>
        <v>pcs</v>
      </c>
      <c r="I229" s="6" t="str">
        <f>IFERROR(__xludf.DUMMYFUNCTION("""COMPUTED_VALUE"""),"MFH")</f>
        <v>MFH</v>
      </c>
      <c r="J229" s="6" t="str">
        <f>IFERROR(__xludf.DUMMYFUNCTION("""COMPUTED_VALUE"""),"Building")</f>
        <v>Building</v>
      </c>
      <c r="K229" s="6" t="str">
        <f>IFERROR(__xludf.DUMMYFUNCTION("""COMPUTED_VALUE"""),"SPR/10/23/028")</f>
        <v>SPR/10/23/028</v>
      </c>
      <c r="L229" s="13">
        <f>IFERROR(__xludf.DUMMYFUNCTION("""COMPUTED_VALUE"""),45200.0)</f>
        <v>45200</v>
      </c>
    </row>
    <row r="230">
      <c r="A230" s="6" t="str">
        <f>IFERROR(__xludf.DUMMYFUNCTION("""COMPUTED_VALUE"""),"MRN")</f>
        <v>MRN</v>
      </c>
      <c r="B230" s="6" t="str">
        <f>IFERROR(__xludf.DUMMYFUNCTION("""COMPUTED_VALUE"""),"ENG")</f>
        <v>ENG</v>
      </c>
      <c r="C230" s="6" t="str">
        <f>IFERROR(__xludf.DUMMYFUNCTION("""COMPUTED_VALUE"""),"Q-10153-00")</f>
        <v>Q-10153-00</v>
      </c>
      <c r="D230" s="6" t="str">
        <f>IFERROR(__xludf.DUMMYFUNCTION("""COMPUTED_VALUE"""),"Roller cat 110mm")</f>
        <v>Roller cat 110mm</v>
      </c>
      <c r="E230" s="6">
        <f>IFERROR(__xludf.DUMMYFUNCTION("""COMPUTED_VALUE"""),2.0)</f>
        <v>2</v>
      </c>
      <c r="F230" s="6">
        <f>IFERROR(__xludf.DUMMYFUNCTION("""COMPUTED_VALUE"""),2.0)</f>
        <v>2</v>
      </c>
      <c r="G230" s="6">
        <f>IFERROR(__xludf.DUMMYFUNCTION("""COMPUTED_VALUE"""),0.0)</f>
        <v>0</v>
      </c>
      <c r="H230" s="6" t="str">
        <f>IFERROR(__xludf.DUMMYFUNCTION("""COMPUTED_VALUE"""),"pcs")</f>
        <v>pcs</v>
      </c>
      <c r="I230" s="6" t="str">
        <f>IFERROR(__xludf.DUMMYFUNCTION("""COMPUTED_VALUE"""),"MFH")</f>
        <v>MFH</v>
      </c>
      <c r="J230" s="6" t="str">
        <f>IFERROR(__xludf.DUMMYFUNCTION("""COMPUTED_VALUE"""),"Building")</f>
        <v>Building</v>
      </c>
      <c r="K230" s="6" t="str">
        <f>IFERROR(__xludf.DUMMYFUNCTION("""COMPUTED_VALUE"""),"SPR/10/23/029")</f>
        <v>SPR/10/23/029</v>
      </c>
      <c r="L230" s="13">
        <f>IFERROR(__xludf.DUMMYFUNCTION("""COMPUTED_VALUE"""),45200.0)</f>
        <v>45200</v>
      </c>
    </row>
    <row r="231">
      <c r="A231" s="6" t="str">
        <f>IFERROR(__xludf.DUMMYFUNCTION("""COMPUTED_VALUE"""),"MRN")</f>
        <v>MRN</v>
      </c>
      <c r="B231" s="6" t="str">
        <f>IFERROR(__xludf.DUMMYFUNCTION("""COMPUTED_VALUE"""),"ENG")</f>
        <v>ENG</v>
      </c>
      <c r="C231" s="6" t="str">
        <f>IFERROR(__xludf.DUMMYFUNCTION("""COMPUTED_VALUE"""),"P-53102-00")</f>
        <v>P-53102-00</v>
      </c>
      <c r="D231" s="6" t="str">
        <f>IFERROR(__xludf.DUMMYFUNCTION("""COMPUTED_VALUE"""),"Lampu PLC 13watt/E27 Putih; Phillips; ;")</f>
        <v>Lampu PLC 13watt/E27 Putih; Phillips; ;</v>
      </c>
      <c r="E231" s="6">
        <f>IFERROR(__xludf.DUMMYFUNCTION("""COMPUTED_VALUE"""),2.0)</f>
        <v>2</v>
      </c>
      <c r="F231" s="6">
        <f>IFERROR(__xludf.DUMMYFUNCTION("""COMPUTED_VALUE"""),2.0)</f>
        <v>2</v>
      </c>
      <c r="G231" s="6">
        <f>IFERROR(__xludf.DUMMYFUNCTION("""COMPUTED_VALUE"""),0.0)</f>
        <v>0</v>
      </c>
      <c r="H231" s="6" t="str">
        <f>IFERROR(__xludf.DUMMYFUNCTION("""COMPUTED_VALUE"""),"pcs")</f>
        <v>pcs</v>
      </c>
      <c r="I231" s="6" t="str">
        <f>IFERROR(__xludf.DUMMYFUNCTION("""COMPUTED_VALUE"""),"MFH")</f>
        <v>MFH</v>
      </c>
      <c r="J231" s="6" t="str">
        <f>IFERROR(__xludf.DUMMYFUNCTION("""COMPUTED_VALUE"""),"Building")</f>
        <v>Building</v>
      </c>
      <c r="K231" s="6" t="str">
        <f>IFERROR(__xludf.DUMMYFUNCTION("""COMPUTED_VALUE"""),"SPR/10/23/030")</f>
        <v>SPR/10/23/030</v>
      </c>
      <c r="L231" s="13">
        <f>IFERROR(__xludf.DUMMYFUNCTION("""COMPUTED_VALUE"""),45200.0)</f>
        <v>45200</v>
      </c>
    </row>
    <row r="232">
      <c r="A232" s="6" t="str">
        <f>IFERROR(__xludf.DUMMYFUNCTION("""COMPUTED_VALUE"""),"ROS")</f>
        <v>ROS</v>
      </c>
      <c r="B232" s="6" t="str">
        <f>IFERROR(__xludf.DUMMYFUNCTION("""COMPUTED_VALUE"""),"ENG")</f>
        <v>ENG</v>
      </c>
      <c r="C232" s="6" t="str">
        <f>IFERROR(__xludf.DUMMYFUNCTION("""COMPUTED_VALUE"""),"P-13389-00")</f>
        <v>P-13389-00</v>
      </c>
      <c r="D232" s="6" t="str">
        <f>IFERROR(__xludf.DUMMYFUNCTION("""COMPUTED_VALUE"""),"Scotch Brite 3M; ; ;")</f>
        <v>Scotch Brite 3M; ; ;</v>
      </c>
      <c r="E232" s="6">
        <f>IFERROR(__xludf.DUMMYFUNCTION("""COMPUTED_VALUE"""),1.0)</f>
        <v>1</v>
      </c>
      <c r="F232" s="6">
        <f>IFERROR(__xludf.DUMMYFUNCTION("""COMPUTED_VALUE"""),1.0)</f>
        <v>1</v>
      </c>
      <c r="G232" s="6">
        <f>IFERROR(__xludf.DUMMYFUNCTION("""COMPUTED_VALUE"""),0.0)</f>
        <v>0</v>
      </c>
      <c r="H232" s="6" t="str">
        <f>IFERROR(__xludf.DUMMYFUNCTION("""COMPUTED_VALUE"""),"pcs")</f>
        <v>pcs</v>
      </c>
      <c r="I232" s="6" t="str">
        <f>IFERROR(__xludf.DUMMYFUNCTION("""COMPUTED_VALUE"""),"MFH")</f>
        <v>MFH</v>
      </c>
      <c r="J232" s="6" t="str">
        <f>IFERROR(__xludf.DUMMYFUNCTION("""COMPUTED_VALUE"""),"HPLC")</f>
        <v>HPLC</v>
      </c>
      <c r="K232" s="6" t="str">
        <f>IFERROR(__xludf.DUMMYFUNCTION("""COMPUTED_VALUE"""),"SPR/10/23/031")</f>
        <v>SPR/10/23/031</v>
      </c>
      <c r="L232" s="13">
        <f>IFERROR(__xludf.DUMMYFUNCTION("""COMPUTED_VALUE"""),45200.0)</f>
        <v>45200</v>
      </c>
    </row>
    <row r="233">
      <c r="A233" s="6" t="str">
        <f>IFERROR(__xludf.DUMMYFUNCTION("""COMPUTED_VALUE"""),"NDS")</f>
        <v>NDS</v>
      </c>
      <c r="B233" s="6" t="str">
        <f>IFERROR(__xludf.DUMMYFUNCTION("""COMPUTED_VALUE"""),"ENG")</f>
        <v>ENG</v>
      </c>
      <c r="C233" s="6" t="str">
        <f>IFERROR(__xludf.DUMMYFUNCTION("""COMPUTED_VALUE"""),"O-54005-00")</f>
        <v>O-54005-00</v>
      </c>
      <c r="D233" s="6" t="str">
        <f>IFERROR(__xludf.DUMMYFUNCTION("""COMPUTED_VALUE"""),"LAMPU UV 15 WATT, OSRAM")</f>
        <v>LAMPU UV 15 WATT, OSRAM</v>
      </c>
      <c r="E233" s="6">
        <f>IFERROR(__xludf.DUMMYFUNCTION("""COMPUTED_VALUE"""),1.0)</f>
        <v>1</v>
      </c>
      <c r="F233" s="6">
        <f>IFERROR(__xludf.DUMMYFUNCTION("""COMPUTED_VALUE"""),1.0)</f>
        <v>1</v>
      </c>
      <c r="G233" s="6">
        <f>IFERROR(__xludf.DUMMYFUNCTION("""COMPUTED_VALUE"""),0.0)</f>
        <v>0</v>
      </c>
      <c r="H233" s="6" t="str">
        <f>IFERROR(__xludf.DUMMYFUNCTION("""COMPUTED_VALUE"""),"pcs")</f>
        <v>pcs</v>
      </c>
      <c r="I233" s="6" t="str">
        <f>IFERROR(__xludf.DUMMYFUNCTION("""COMPUTED_VALUE"""),"MFH")</f>
        <v>MFH</v>
      </c>
      <c r="J233" s="6" t="str">
        <f>IFERROR(__xludf.DUMMYFUNCTION("""COMPUTED_VALUE"""),"Autoclave")</f>
        <v>Autoclave</v>
      </c>
      <c r="K233" s="6" t="str">
        <f>IFERROR(__xludf.DUMMYFUNCTION("""COMPUTED_VALUE"""),"SPR/10/23/032")</f>
        <v>SPR/10/23/032</v>
      </c>
      <c r="L233" s="13">
        <f>IFERROR(__xludf.DUMMYFUNCTION("""COMPUTED_VALUE"""),45200.0)</f>
        <v>45200</v>
      </c>
    </row>
    <row r="234">
      <c r="A234" s="6" t="str">
        <f>IFERROR(__xludf.DUMMYFUNCTION("""COMPUTED_VALUE"""),"MRN")</f>
        <v>MRN</v>
      </c>
      <c r="B234" s="6" t="str">
        <f>IFERROR(__xludf.DUMMYFUNCTION("""COMPUTED_VALUE"""),"ENG")</f>
        <v>ENG</v>
      </c>
      <c r="C234" s="6" t="str">
        <f>IFERROR(__xludf.DUMMYFUNCTION("""COMPUTED_VALUE"""),"P-51559-00")</f>
        <v>P-51559-00</v>
      </c>
      <c r="D234" s="6" t="str">
        <f>IFERROR(__xludf.DUMMYFUNCTION("""COMPUTED_VALUE"""),"Lampu T5 14watt Putih; Phillips; ;")</f>
        <v>Lampu T5 14watt Putih; Phillips; ;</v>
      </c>
      <c r="E234" s="6">
        <f>IFERROR(__xludf.DUMMYFUNCTION("""COMPUTED_VALUE"""),10.0)</f>
        <v>10</v>
      </c>
      <c r="F234" s="6">
        <f>IFERROR(__xludf.DUMMYFUNCTION("""COMPUTED_VALUE"""),10.0)</f>
        <v>10</v>
      </c>
      <c r="G234" s="6">
        <f>IFERROR(__xludf.DUMMYFUNCTION("""COMPUTED_VALUE"""),0.0)</f>
        <v>0</v>
      </c>
      <c r="H234" s="6" t="str">
        <f>IFERROR(__xludf.DUMMYFUNCTION("""COMPUTED_VALUE"""),"pcs")</f>
        <v>pcs</v>
      </c>
      <c r="I234" s="6" t="str">
        <f>IFERROR(__xludf.DUMMYFUNCTION("""COMPUTED_VALUE"""),"MFH")</f>
        <v>MFH</v>
      </c>
      <c r="J234" s="6" t="str">
        <f>IFERROR(__xludf.DUMMYFUNCTION("""COMPUTED_VALUE"""),"Building")</f>
        <v>Building</v>
      </c>
      <c r="K234" s="6" t="str">
        <f>IFERROR(__xludf.DUMMYFUNCTION("""COMPUTED_VALUE"""),"SPR/10/23/033")</f>
        <v>SPR/10/23/033</v>
      </c>
      <c r="L234" s="13">
        <f>IFERROR(__xludf.DUMMYFUNCTION("""COMPUTED_VALUE"""),45200.0)</f>
        <v>45200</v>
      </c>
    </row>
    <row r="235">
      <c r="A235" s="6" t="str">
        <f>IFERROR(__xludf.DUMMYFUNCTION("""COMPUTED_VALUE"""),"ROS")</f>
        <v>ROS</v>
      </c>
      <c r="B235" s="6" t="str">
        <f>IFERROR(__xludf.DUMMYFUNCTION("""COMPUTED_VALUE"""),"ENG")</f>
        <v>ENG</v>
      </c>
      <c r="C235" s="6" t="str">
        <f>IFERROR(__xludf.DUMMYFUNCTION("""COMPUTED_VALUE"""),"P-15852-00")</f>
        <v>P-15852-00</v>
      </c>
      <c r="D235" s="6" t="str">
        <f>IFERROR(__xludf.DUMMYFUNCTION("""COMPUTED_VALUE"""),"AMPLAS EAGLE 500")</f>
        <v>AMPLAS EAGLE 500</v>
      </c>
      <c r="E235" s="6">
        <f>IFERROR(__xludf.DUMMYFUNCTION("""COMPUTED_VALUE"""),1.0)</f>
        <v>1</v>
      </c>
      <c r="F235" s="6">
        <f>IFERROR(__xludf.DUMMYFUNCTION("""COMPUTED_VALUE"""),1.0)</f>
        <v>1</v>
      </c>
      <c r="G235" s="6">
        <f>IFERROR(__xludf.DUMMYFUNCTION("""COMPUTED_VALUE"""),0.0)</f>
        <v>0</v>
      </c>
      <c r="H235" s="6" t="str">
        <f>IFERROR(__xludf.DUMMYFUNCTION("""COMPUTED_VALUE"""),"pcs")</f>
        <v>pcs</v>
      </c>
      <c r="I235" s="6" t="str">
        <f>IFERROR(__xludf.DUMMYFUNCTION("""COMPUTED_VALUE"""),"MFH")</f>
        <v>MFH</v>
      </c>
      <c r="J235" s="6" t="str">
        <f>IFERROR(__xludf.DUMMYFUNCTION("""COMPUTED_VALUE"""),"HPLC")</f>
        <v>HPLC</v>
      </c>
      <c r="K235" s="6" t="str">
        <f>IFERROR(__xludf.DUMMYFUNCTION("""COMPUTED_VALUE"""),"SPR/10/23/034")</f>
        <v>SPR/10/23/034</v>
      </c>
      <c r="L235" s="13">
        <f>IFERROR(__xludf.DUMMYFUNCTION("""COMPUTED_VALUE"""),45200.0)</f>
        <v>45200</v>
      </c>
    </row>
    <row r="236">
      <c r="A236" s="6" t="str">
        <f>IFERROR(__xludf.DUMMYFUNCTION("""COMPUTED_VALUE"""),"MRN")</f>
        <v>MRN</v>
      </c>
      <c r="B236" s="6" t="str">
        <f>IFERROR(__xludf.DUMMYFUNCTION("""COMPUTED_VALUE"""),"ENG")</f>
        <v>ENG</v>
      </c>
      <c r="C236" s="6" t="str">
        <f>IFERROR(__xludf.DUMMYFUNCTION("""COMPUTED_VALUE"""),"P-13389-00")</f>
        <v>P-13389-00</v>
      </c>
      <c r="D236" s="6" t="str">
        <f>IFERROR(__xludf.DUMMYFUNCTION("""COMPUTED_VALUE"""),"Scotch Brite 3M; ; ;")</f>
        <v>Scotch Brite 3M; ; ;</v>
      </c>
      <c r="E236" s="6">
        <f>IFERROR(__xludf.DUMMYFUNCTION("""COMPUTED_VALUE"""),1.0)</f>
        <v>1</v>
      </c>
      <c r="F236" s="6">
        <f>IFERROR(__xludf.DUMMYFUNCTION("""COMPUTED_VALUE"""),1.0)</f>
        <v>1</v>
      </c>
      <c r="G236" s="6">
        <f>IFERROR(__xludf.DUMMYFUNCTION("""COMPUTED_VALUE"""),0.0)</f>
        <v>0</v>
      </c>
      <c r="H236" s="6" t="str">
        <f>IFERROR(__xludf.DUMMYFUNCTION("""COMPUTED_VALUE"""),"pcs")</f>
        <v>pcs</v>
      </c>
      <c r="I236" s="6" t="str">
        <f>IFERROR(__xludf.DUMMYFUNCTION("""COMPUTED_VALUE"""),"MFH")</f>
        <v>MFH</v>
      </c>
      <c r="J236" s="6" t="str">
        <f>IFERROR(__xludf.DUMMYFUNCTION("""COMPUTED_VALUE"""),"Bulk Transit")</f>
        <v>Bulk Transit</v>
      </c>
      <c r="K236" s="6" t="str">
        <f>IFERROR(__xludf.DUMMYFUNCTION("""COMPUTED_VALUE"""),"SPR/10/23/035")</f>
        <v>SPR/10/23/035</v>
      </c>
      <c r="L236" s="13">
        <f>IFERROR(__xludf.DUMMYFUNCTION("""COMPUTED_VALUE"""),45200.0)</f>
        <v>45200</v>
      </c>
    </row>
    <row r="237">
      <c r="A237" s="6" t="str">
        <f>IFERROR(__xludf.DUMMYFUNCTION("""COMPUTED_VALUE"""),"ROS")</f>
        <v>ROS</v>
      </c>
      <c r="B237" s="6" t="str">
        <f>IFERROR(__xludf.DUMMYFUNCTION("""COMPUTED_VALUE"""),"ENG")</f>
        <v>ENG</v>
      </c>
      <c r="C237" s="6" t="str">
        <f>IFERROR(__xludf.DUMMYFUNCTION("""COMPUTED_VALUE"""),"P-51559-00")</f>
        <v>P-51559-00</v>
      </c>
      <c r="D237" s="6" t="str">
        <f>IFERROR(__xludf.DUMMYFUNCTION("""COMPUTED_VALUE"""),"Lampu T5 14watt Putih; Phillips; ;")</f>
        <v>Lampu T5 14watt Putih; Phillips; ;</v>
      </c>
      <c r="E237" s="6">
        <f>IFERROR(__xludf.DUMMYFUNCTION("""COMPUTED_VALUE"""),6.0)</f>
        <v>6</v>
      </c>
      <c r="F237" s="6">
        <f>IFERROR(__xludf.DUMMYFUNCTION("""COMPUTED_VALUE"""),6.0)</f>
        <v>6</v>
      </c>
      <c r="G237" s="6">
        <f>IFERROR(__xludf.DUMMYFUNCTION("""COMPUTED_VALUE"""),0.0)</f>
        <v>0</v>
      </c>
      <c r="H237" s="6" t="str">
        <f>IFERROR(__xludf.DUMMYFUNCTION("""COMPUTED_VALUE"""),"pcs")</f>
        <v>pcs</v>
      </c>
      <c r="I237" s="6" t="str">
        <f>IFERROR(__xludf.DUMMYFUNCTION("""COMPUTED_VALUE"""),"MFH")</f>
        <v>MFH</v>
      </c>
      <c r="J237" s="6" t="str">
        <f>IFERROR(__xludf.DUMMYFUNCTION("""COMPUTED_VALUE"""),"lab")</f>
        <v>lab</v>
      </c>
      <c r="K237" s="6" t="str">
        <f>IFERROR(__xludf.DUMMYFUNCTION("""COMPUTED_VALUE"""),"SPR/10/23/036")</f>
        <v>SPR/10/23/036</v>
      </c>
      <c r="L237" s="13">
        <f>IFERROR(__xludf.DUMMYFUNCTION("""COMPUTED_VALUE"""),45200.0)</f>
        <v>45200</v>
      </c>
    </row>
    <row r="238">
      <c r="A238" s="6" t="str">
        <f>IFERROR(__xludf.DUMMYFUNCTION("""COMPUTED_VALUE"""),"ROS")</f>
        <v>ROS</v>
      </c>
      <c r="B238" s="6" t="str">
        <f>IFERROR(__xludf.DUMMYFUNCTION("""COMPUTED_VALUE"""),"ENG")</f>
        <v>ENG</v>
      </c>
      <c r="C238" s="6" t="str">
        <f>IFERROR(__xludf.DUMMYFUNCTION("""COMPUTED_VALUE"""),"P-51560-00")</f>
        <v>P-51560-00</v>
      </c>
      <c r="D238" s="6" t="str">
        <f>IFERROR(__xludf.DUMMYFUNCTION("""COMPUTED_VALUE"""),"Lampu T5 28watt Putih; Phillips; ;")</f>
        <v>Lampu T5 28watt Putih; Phillips; ;</v>
      </c>
      <c r="E238" s="6">
        <f>IFERROR(__xludf.DUMMYFUNCTION("""COMPUTED_VALUE"""),2.0)</f>
        <v>2</v>
      </c>
      <c r="F238" s="6">
        <f>IFERROR(__xludf.DUMMYFUNCTION("""COMPUTED_VALUE"""),2.0)</f>
        <v>2</v>
      </c>
      <c r="G238" s="6">
        <f>IFERROR(__xludf.DUMMYFUNCTION("""COMPUTED_VALUE"""),0.0)</f>
        <v>0</v>
      </c>
      <c r="H238" s="6" t="str">
        <f>IFERROR(__xludf.DUMMYFUNCTION("""COMPUTED_VALUE"""),"pcs")</f>
        <v>pcs</v>
      </c>
      <c r="I238" s="6" t="str">
        <f>IFERROR(__xludf.DUMMYFUNCTION("""COMPUTED_VALUE"""),"MFH")</f>
        <v>MFH</v>
      </c>
      <c r="J238" s="6" t="str">
        <f>IFERROR(__xludf.DUMMYFUNCTION("""COMPUTED_VALUE"""),"lab")</f>
        <v>lab</v>
      </c>
      <c r="K238" s="6" t="str">
        <f>IFERROR(__xludf.DUMMYFUNCTION("""COMPUTED_VALUE"""),"SPR/10/23/037")</f>
        <v>SPR/10/23/037</v>
      </c>
      <c r="L238" s="13">
        <f>IFERROR(__xludf.DUMMYFUNCTION("""COMPUTED_VALUE"""),45200.0)</f>
        <v>45200</v>
      </c>
    </row>
    <row r="239">
      <c r="A239" s="6" t="str">
        <f>IFERROR(__xludf.DUMMYFUNCTION("""COMPUTED_VALUE"""),"MRN")</f>
        <v>MRN</v>
      </c>
      <c r="B239" s="6" t="str">
        <f>IFERROR(__xludf.DUMMYFUNCTION("""COMPUTED_VALUE"""),"ENG")</f>
        <v>ENG</v>
      </c>
      <c r="C239" s="6" t="str">
        <f>IFERROR(__xludf.DUMMYFUNCTION("""COMPUTED_VALUE"""),"Q-60026-00")</f>
        <v>Q-60026-00</v>
      </c>
      <c r="D239" s="6" t="str">
        <f>IFERROR(__xludf.DUMMYFUNCTION("""COMPUTED_VALUE"""),"Kuas 2"" Eterna")</f>
        <v>Kuas 2" Eterna</v>
      </c>
      <c r="E239" s="6">
        <f>IFERROR(__xludf.DUMMYFUNCTION("""COMPUTED_VALUE"""),2.0)</f>
        <v>2</v>
      </c>
      <c r="F239" s="6">
        <f>IFERROR(__xludf.DUMMYFUNCTION("""COMPUTED_VALUE"""),2.0)</f>
        <v>2</v>
      </c>
      <c r="G239" s="6">
        <f>IFERROR(__xludf.DUMMYFUNCTION("""COMPUTED_VALUE"""),0.0)</f>
        <v>0</v>
      </c>
      <c r="H239" s="6" t="str">
        <f>IFERROR(__xludf.DUMMYFUNCTION("""COMPUTED_VALUE"""),"pcs")</f>
        <v>pcs</v>
      </c>
      <c r="I239" s="6" t="str">
        <f>IFERROR(__xludf.DUMMYFUNCTION("""COMPUTED_VALUE"""),"MFH")</f>
        <v>MFH</v>
      </c>
      <c r="J239" s="6" t="str">
        <f>IFERROR(__xludf.DUMMYFUNCTION("""COMPUTED_VALUE"""),"Building")</f>
        <v>Building</v>
      </c>
      <c r="K239" s="6" t="str">
        <f>IFERROR(__xludf.DUMMYFUNCTION("""COMPUTED_VALUE"""),"SPR/10/23/038")</f>
        <v>SPR/10/23/038</v>
      </c>
      <c r="L239" s="13">
        <f>IFERROR(__xludf.DUMMYFUNCTION("""COMPUTED_VALUE"""),45200.0)</f>
        <v>45200</v>
      </c>
    </row>
    <row r="240">
      <c r="A240" s="6" t="str">
        <f>IFERROR(__xludf.DUMMYFUNCTION("""COMPUTED_VALUE"""),"INN")</f>
        <v>INN</v>
      </c>
      <c r="B240" s="6" t="str">
        <f>IFERROR(__xludf.DUMMYFUNCTION("""COMPUTED_VALUE"""),"ENG")</f>
        <v>ENG</v>
      </c>
      <c r="C240" s="6" t="str">
        <f>IFERROR(__xludf.DUMMYFUNCTION("""COMPUTED_VALUE"""),"O-16030-00")</f>
        <v>O-16030-00</v>
      </c>
      <c r="D240" s="6" t="str">
        <f>IFERROR(__xludf.DUMMYFUNCTION("""COMPUTED_VALUE"""),"001292; Item Type : Dry box; 9")</f>
        <v>001292; Item Type : Dry box; 9</v>
      </c>
      <c r="E240" s="6">
        <f>IFERROR(__xludf.DUMMYFUNCTION("""COMPUTED_VALUE"""),1.0)</f>
        <v>1</v>
      </c>
      <c r="F240" s="6">
        <f>IFERROR(__xludf.DUMMYFUNCTION("""COMPUTED_VALUE"""),1.0)</f>
        <v>1</v>
      </c>
      <c r="G240" s="6">
        <f>IFERROR(__xludf.DUMMYFUNCTION("""COMPUTED_VALUE"""),0.0)</f>
        <v>0</v>
      </c>
      <c r="H240" s="6" t="str">
        <f>IFERROR(__xludf.DUMMYFUNCTION("""COMPUTED_VALUE"""),"pcs")</f>
        <v>pcs</v>
      </c>
      <c r="I240" s="6" t="str">
        <f>IFERROR(__xludf.DUMMYFUNCTION("""COMPUTED_VALUE"""),"MFH")</f>
        <v>MFH</v>
      </c>
      <c r="J240" s="6" t="str">
        <f>IFERROR(__xludf.DUMMYFUNCTION("""COMPUTED_VALUE"""),"Mixing")</f>
        <v>Mixing</v>
      </c>
      <c r="K240" s="6" t="str">
        <f>IFERROR(__xludf.DUMMYFUNCTION("""COMPUTED_VALUE"""),"SPR/10/23/039")</f>
        <v>SPR/10/23/039</v>
      </c>
      <c r="L240" s="13">
        <f>IFERROR(__xludf.DUMMYFUNCTION("""COMPUTED_VALUE"""),45200.0)</f>
        <v>45200</v>
      </c>
    </row>
    <row r="241">
      <c r="A241" s="6" t="str">
        <f>IFERROR(__xludf.DUMMYFUNCTION("""COMPUTED_VALUE"""),"ROS")</f>
        <v>ROS</v>
      </c>
      <c r="B241" s="6" t="str">
        <f>IFERROR(__xludf.DUMMYFUNCTION("""COMPUTED_VALUE"""),"ENG")</f>
        <v>ENG</v>
      </c>
      <c r="C241" s="6" t="str">
        <f>IFERROR(__xludf.DUMMYFUNCTION("""COMPUTED_VALUE"""),"O-54005-00")</f>
        <v>O-54005-00</v>
      </c>
      <c r="D241" s="6" t="str">
        <f>IFERROR(__xludf.DUMMYFUNCTION("""COMPUTED_VALUE"""),"LAMPU UV 15 WATT, OSRAM")</f>
        <v>LAMPU UV 15 WATT, OSRAM</v>
      </c>
      <c r="E241" s="6">
        <f>IFERROR(__xludf.DUMMYFUNCTION("""COMPUTED_VALUE"""),1.0)</f>
        <v>1</v>
      </c>
      <c r="F241" s="6">
        <f>IFERROR(__xludf.DUMMYFUNCTION("""COMPUTED_VALUE"""),1.0)</f>
        <v>1</v>
      </c>
      <c r="G241" s="6">
        <f>IFERROR(__xludf.DUMMYFUNCTION("""COMPUTED_VALUE"""),0.0)</f>
        <v>0</v>
      </c>
      <c r="H241" s="6" t="str">
        <f>IFERROR(__xludf.DUMMYFUNCTION("""COMPUTED_VALUE"""),"pcs")</f>
        <v>pcs</v>
      </c>
      <c r="I241" s="6" t="str">
        <f>IFERROR(__xludf.DUMMYFUNCTION("""COMPUTED_VALUE"""),"MFH")</f>
        <v>MFH</v>
      </c>
      <c r="J241" s="6" t="str">
        <f>IFERROR(__xludf.DUMMYFUNCTION("""COMPUTED_VALUE"""),"Passbox Micro")</f>
        <v>Passbox Micro</v>
      </c>
      <c r="K241" s="6" t="str">
        <f>IFERROR(__xludf.DUMMYFUNCTION("""COMPUTED_VALUE"""),"SPR/10/23/040")</f>
        <v>SPR/10/23/040</v>
      </c>
      <c r="L241" s="13">
        <f>IFERROR(__xludf.DUMMYFUNCTION("""COMPUTED_VALUE"""),45200.0)</f>
        <v>45200</v>
      </c>
    </row>
    <row r="242">
      <c r="A242" s="6" t="str">
        <f>IFERROR(__xludf.DUMMYFUNCTION("""COMPUTED_VALUE"""),"ROS")</f>
        <v>ROS</v>
      </c>
      <c r="B242" s="6" t="str">
        <f>IFERROR(__xludf.DUMMYFUNCTION("""COMPUTED_VALUE"""),"ENG")</f>
        <v>ENG</v>
      </c>
      <c r="C242" s="6" t="str">
        <f>IFERROR(__xludf.DUMMYFUNCTION("""COMPUTED_VALUE"""),"P-51559-00")</f>
        <v>P-51559-00</v>
      </c>
      <c r="D242" s="6" t="str">
        <f>IFERROR(__xludf.DUMMYFUNCTION("""COMPUTED_VALUE"""),"Lampu T5 14watt Putih; Phillips; ;")</f>
        <v>Lampu T5 14watt Putih; Phillips; ;</v>
      </c>
      <c r="E242" s="6">
        <f>IFERROR(__xludf.DUMMYFUNCTION("""COMPUTED_VALUE"""),2.0)</f>
        <v>2</v>
      </c>
      <c r="F242" s="6">
        <f>IFERROR(__xludf.DUMMYFUNCTION("""COMPUTED_VALUE"""),2.0)</f>
        <v>2</v>
      </c>
      <c r="G242" s="6">
        <f>IFERROR(__xludf.DUMMYFUNCTION("""COMPUTED_VALUE"""),0.0)</f>
        <v>0</v>
      </c>
      <c r="H242" s="6" t="str">
        <f>IFERROR(__xludf.DUMMYFUNCTION("""COMPUTED_VALUE"""),"pcs")</f>
        <v>pcs</v>
      </c>
      <c r="I242" s="6" t="str">
        <f>IFERROR(__xludf.DUMMYFUNCTION("""COMPUTED_VALUE"""),"MFH")</f>
        <v>MFH</v>
      </c>
      <c r="J242" s="6" t="str">
        <f>IFERROR(__xludf.DUMMYFUNCTION("""COMPUTED_VALUE"""),"Passbox Micro")</f>
        <v>Passbox Micro</v>
      </c>
      <c r="K242" s="6" t="str">
        <f>IFERROR(__xludf.DUMMYFUNCTION("""COMPUTED_VALUE"""),"SPR/10/23/041")</f>
        <v>SPR/10/23/041</v>
      </c>
      <c r="L242" s="13">
        <f>IFERROR(__xludf.DUMMYFUNCTION("""COMPUTED_VALUE"""),45200.0)</f>
        <v>45200</v>
      </c>
    </row>
    <row r="243">
      <c r="A243" s="6" t="str">
        <f>IFERROR(__xludf.DUMMYFUNCTION("""COMPUTED_VALUE"""),"ROS")</f>
        <v>ROS</v>
      </c>
      <c r="B243" s="6" t="str">
        <f>IFERROR(__xludf.DUMMYFUNCTION("""COMPUTED_VALUE"""),"ENG")</f>
        <v>ENG</v>
      </c>
      <c r="C243" s="6" t="str">
        <f>IFERROR(__xludf.DUMMYFUNCTION("""COMPUTED_VALUE"""),"P-52110-00")</f>
        <v>P-52110-00</v>
      </c>
      <c r="D243" s="6" t="str">
        <f>IFERROR(__xludf.DUMMYFUNCTION("""COMPUTED_VALUE"""),"CAPACITOR 5 uF, 500 V, 50/60 Hz; ; ;")</f>
        <v>CAPACITOR 5 uF, 500 V, 50/60 Hz; ; ;</v>
      </c>
      <c r="E243" s="6">
        <f>IFERROR(__xludf.DUMMYFUNCTION("""COMPUTED_VALUE"""),1.0)</f>
        <v>1</v>
      </c>
      <c r="F243" s="6">
        <f>IFERROR(__xludf.DUMMYFUNCTION("""COMPUTED_VALUE"""),1.0)</f>
        <v>1</v>
      </c>
      <c r="G243" s="6">
        <f>IFERROR(__xludf.DUMMYFUNCTION("""COMPUTED_VALUE"""),0.0)</f>
        <v>0</v>
      </c>
      <c r="H243" s="6" t="str">
        <f>IFERROR(__xludf.DUMMYFUNCTION("""COMPUTED_VALUE"""),"pcs")</f>
        <v>pcs</v>
      </c>
      <c r="I243" s="6" t="str">
        <f>IFERROR(__xludf.DUMMYFUNCTION("""COMPUTED_VALUE"""),"MFH")</f>
        <v>MFH</v>
      </c>
      <c r="J243" s="6" t="str">
        <f>IFERROR(__xludf.DUMMYFUNCTION("""COMPUTED_VALUE"""),"Walk in Incubator")</f>
        <v>Walk in Incubator</v>
      </c>
      <c r="K243" s="6" t="str">
        <f>IFERROR(__xludf.DUMMYFUNCTION("""COMPUTED_VALUE"""),"SPR/10/23/042")</f>
        <v>SPR/10/23/042</v>
      </c>
      <c r="L243" s="13">
        <f>IFERROR(__xludf.DUMMYFUNCTION("""COMPUTED_VALUE"""),45200.0)</f>
        <v>45200</v>
      </c>
    </row>
    <row r="244">
      <c r="A244" s="6" t="str">
        <f>IFERROR(__xludf.DUMMYFUNCTION("""COMPUTED_VALUE"""),"ROS")</f>
        <v>ROS</v>
      </c>
      <c r="B244" s="6" t="str">
        <f>IFERROR(__xludf.DUMMYFUNCTION("""COMPUTED_VALUE"""),"ENG")</f>
        <v>ENG</v>
      </c>
      <c r="C244" s="6" t="str">
        <f>IFERROR(__xludf.DUMMYFUNCTION("""COMPUTED_VALUE"""),"P-51560-00")</f>
        <v>P-51560-00</v>
      </c>
      <c r="D244" s="6" t="str">
        <f>IFERROR(__xludf.DUMMYFUNCTION("""COMPUTED_VALUE"""),"Lampu T5 28watt Putih; Phillips; ;")</f>
        <v>Lampu T5 28watt Putih; Phillips; ;</v>
      </c>
      <c r="E244" s="6">
        <f>IFERROR(__xludf.DUMMYFUNCTION("""COMPUTED_VALUE"""),3.0)</f>
        <v>3</v>
      </c>
      <c r="F244" s="6">
        <f>IFERROR(__xludf.DUMMYFUNCTION("""COMPUTED_VALUE"""),3.0)</f>
        <v>3</v>
      </c>
      <c r="G244" s="6">
        <f>IFERROR(__xludf.DUMMYFUNCTION("""COMPUTED_VALUE"""),0.0)</f>
        <v>0</v>
      </c>
      <c r="H244" s="6" t="str">
        <f>IFERROR(__xludf.DUMMYFUNCTION("""COMPUTED_VALUE"""),"pcs")</f>
        <v>pcs</v>
      </c>
      <c r="I244" s="6" t="str">
        <f>IFERROR(__xludf.DUMMYFUNCTION("""COMPUTED_VALUE"""),"MFH")</f>
        <v>MFH</v>
      </c>
      <c r="J244" s="6" t="str">
        <f>IFERROR(__xludf.DUMMYFUNCTION("""COMPUTED_VALUE"""),"Passbox Micro")</f>
        <v>Passbox Micro</v>
      </c>
      <c r="K244" s="6" t="str">
        <f>IFERROR(__xludf.DUMMYFUNCTION("""COMPUTED_VALUE"""),"SPR/10/23/043")</f>
        <v>SPR/10/23/043</v>
      </c>
      <c r="L244" s="13">
        <f>IFERROR(__xludf.DUMMYFUNCTION("""COMPUTED_VALUE"""),45200.0)</f>
        <v>45200</v>
      </c>
    </row>
    <row r="245">
      <c r="A245" s="6" t="str">
        <f>IFERROR(__xludf.DUMMYFUNCTION("""COMPUTED_VALUE"""),"MOB")</f>
        <v>MOB</v>
      </c>
      <c r="B245" s="6" t="str">
        <f>IFERROR(__xludf.DUMMYFUNCTION("""COMPUTED_VALUE"""),"ENG")</f>
        <v>ENG</v>
      </c>
      <c r="C245" s="6" t="str">
        <f>IFERROR(__xludf.DUMMYFUNCTION("""COMPUTED_VALUE"""),"P-11694-00")</f>
        <v>P-11694-00</v>
      </c>
      <c r="D245" s="6" t="str">
        <f>IFERROR(__xludf.DUMMYFUNCTION("""COMPUTED_VALUE"""),"Mata Gerinda 4""")</f>
        <v>Mata Gerinda 4"</v>
      </c>
      <c r="E245" s="6">
        <f>IFERROR(__xludf.DUMMYFUNCTION("""COMPUTED_VALUE"""),2.0)</f>
        <v>2</v>
      </c>
      <c r="F245" s="6">
        <f>IFERROR(__xludf.DUMMYFUNCTION("""COMPUTED_VALUE"""),2.0)</f>
        <v>2</v>
      </c>
      <c r="G245" s="6">
        <f>IFERROR(__xludf.DUMMYFUNCTION("""COMPUTED_VALUE"""),0.0)</f>
        <v>0</v>
      </c>
      <c r="H245" s="6" t="str">
        <f>IFERROR(__xludf.DUMMYFUNCTION("""COMPUTED_VALUE"""),"pcs")</f>
        <v>pcs</v>
      </c>
      <c r="I245" s="6" t="str">
        <f>IFERROR(__xludf.DUMMYFUNCTION("""COMPUTED_VALUE"""),"MFH")</f>
        <v>MFH</v>
      </c>
      <c r="J245" s="6" t="str">
        <f>IFERROR(__xludf.DUMMYFUNCTION("""COMPUTED_VALUE"""),"Workshop")</f>
        <v>Workshop</v>
      </c>
      <c r="K245" s="6" t="str">
        <f>IFERROR(__xludf.DUMMYFUNCTION("""COMPUTED_VALUE"""),"SPR/10/23/044")</f>
        <v>SPR/10/23/044</v>
      </c>
      <c r="L245" s="13">
        <f>IFERROR(__xludf.DUMMYFUNCTION("""COMPUTED_VALUE"""),45200.0)</f>
        <v>45200</v>
      </c>
    </row>
    <row r="246">
      <c r="A246" s="6" t="str">
        <f>IFERROR(__xludf.DUMMYFUNCTION("""COMPUTED_VALUE"""),"AMD")</f>
        <v>AMD</v>
      </c>
      <c r="B246" s="6" t="str">
        <f>IFERROR(__xludf.DUMMYFUNCTION("""COMPUTED_VALUE"""),"PRO")</f>
        <v>PRO</v>
      </c>
      <c r="C246" s="6" t="str">
        <f>IFERROR(__xludf.DUMMYFUNCTION("""COMPUTED_VALUE"""),"P-11968-00")</f>
        <v>P-11968-00</v>
      </c>
      <c r="D246" s="6" t="str">
        <f>IFERROR(__xludf.DUMMYFUNCTION("""COMPUTED_VALUE"""),"Berusynt FGH Spray H1 - Bechem")</f>
        <v>Berusynt FGH Spray H1 - Bechem</v>
      </c>
      <c r="E246" s="6">
        <f>IFERROR(__xludf.DUMMYFUNCTION("""COMPUTED_VALUE"""),1.0)</f>
        <v>1</v>
      </c>
      <c r="F246" s="6">
        <f>IFERROR(__xludf.DUMMYFUNCTION("""COMPUTED_VALUE"""),1.0)</f>
        <v>1</v>
      </c>
      <c r="G246" s="6">
        <f>IFERROR(__xludf.DUMMYFUNCTION("""COMPUTED_VALUE"""),0.0)</f>
        <v>0</v>
      </c>
      <c r="H246" s="6" t="str">
        <f>IFERROR(__xludf.DUMMYFUNCTION("""COMPUTED_VALUE"""),"pcs")</f>
        <v>pcs</v>
      </c>
      <c r="I246" s="6" t="str">
        <f>IFERROR(__xludf.DUMMYFUNCTION("""COMPUTED_VALUE"""),"MFH")</f>
        <v>MFH</v>
      </c>
      <c r="J246" s="6" t="str">
        <f>IFERROR(__xludf.DUMMYFUNCTION("""COMPUTED_VALUE"""),"Cartoning")</f>
        <v>Cartoning</v>
      </c>
      <c r="K246" s="6" t="str">
        <f>IFERROR(__xludf.DUMMYFUNCTION("""COMPUTED_VALUE"""),"SPR/10/23/045")</f>
        <v>SPR/10/23/045</v>
      </c>
      <c r="L246" s="13">
        <f>IFERROR(__xludf.DUMMYFUNCTION("""COMPUTED_VALUE"""),45200.0)</f>
        <v>45200</v>
      </c>
    </row>
    <row r="247">
      <c r="A247" s="6" t="str">
        <f>IFERROR(__xludf.DUMMYFUNCTION("""COMPUTED_VALUE"""),"MRN")</f>
        <v>MRN</v>
      </c>
      <c r="B247" s="6" t="str">
        <f>IFERROR(__xludf.DUMMYFUNCTION("""COMPUTED_VALUE"""),"ENG")</f>
        <v>ENG</v>
      </c>
      <c r="C247" s="6" t="str">
        <f>IFERROR(__xludf.DUMMYFUNCTION("""COMPUTED_VALUE"""),"Q-60501-00")</f>
        <v>Q-60501-00</v>
      </c>
      <c r="D247" s="6" t="str">
        <f>IFERROR(__xludf.DUMMYFUNCTION("""COMPUTED_VALUE"""),"Silicone Sealant, Silglaze, Type N10 Clear, pack size per pcs")</f>
        <v>Silicone Sealant, Silglaze, Type N10 Clear, pack size per pcs</v>
      </c>
      <c r="E247" s="6">
        <f>IFERROR(__xludf.DUMMYFUNCTION("""COMPUTED_VALUE"""),2.0)</f>
        <v>2</v>
      </c>
      <c r="F247" s="6">
        <f>IFERROR(__xludf.DUMMYFUNCTION("""COMPUTED_VALUE"""),2.0)</f>
        <v>2</v>
      </c>
      <c r="G247" s="6">
        <f>IFERROR(__xludf.DUMMYFUNCTION("""COMPUTED_VALUE"""),0.0)</f>
        <v>0</v>
      </c>
      <c r="H247" s="6" t="str">
        <f>IFERROR(__xludf.DUMMYFUNCTION("""COMPUTED_VALUE"""),"pcs")</f>
        <v>pcs</v>
      </c>
      <c r="I247" s="6" t="str">
        <f>IFERROR(__xludf.DUMMYFUNCTION("""COMPUTED_VALUE"""),"MFH")</f>
        <v>MFH</v>
      </c>
      <c r="J247" s="6" t="str">
        <f>IFERROR(__xludf.DUMMYFUNCTION("""COMPUTED_VALUE"""),"Building")</f>
        <v>Building</v>
      </c>
      <c r="K247" s="6" t="str">
        <f>IFERROR(__xludf.DUMMYFUNCTION("""COMPUTED_VALUE"""),"SPR/10/23/046")</f>
        <v>SPR/10/23/046</v>
      </c>
      <c r="L247" s="13">
        <f>IFERROR(__xludf.DUMMYFUNCTION("""COMPUTED_VALUE"""),45200.0)</f>
        <v>45200</v>
      </c>
    </row>
    <row r="248">
      <c r="A248" s="6" t="str">
        <f>IFERROR(__xludf.DUMMYFUNCTION("""COMPUTED_VALUE"""),"MRN")</f>
        <v>MRN</v>
      </c>
      <c r="B248" s="6" t="str">
        <f>IFERROR(__xludf.DUMMYFUNCTION("""COMPUTED_VALUE"""),"ENG")</f>
        <v>ENG</v>
      </c>
      <c r="C248" s="6" t="str">
        <f>IFERROR(__xludf.DUMMYFUNCTION("""COMPUTED_VALUE"""),"O-54015-00")</f>
        <v>O-54015-00</v>
      </c>
      <c r="D248" s="6" t="str">
        <f>IFERROR(__xludf.DUMMYFUNCTION("""COMPUTED_VALUE"""),"STOP KONTAK LUBANG 4, BROCO")</f>
        <v>STOP KONTAK LUBANG 4, BROCO</v>
      </c>
      <c r="E248" s="6">
        <f>IFERROR(__xludf.DUMMYFUNCTION("""COMPUTED_VALUE"""),1.0)</f>
        <v>1</v>
      </c>
      <c r="F248" s="6">
        <f>IFERROR(__xludf.DUMMYFUNCTION("""COMPUTED_VALUE"""),1.0)</f>
        <v>1</v>
      </c>
      <c r="G248" s="6">
        <f>IFERROR(__xludf.DUMMYFUNCTION("""COMPUTED_VALUE"""),0.0)</f>
        <v>0</v>
      </c>
      <c r="H248" s="6" t="str">
        <f>IFERROR(__xludf.DUMMYFUNCTION("""COMPUTED_VALUE"""),"pcs")</f>
        <v>pcs</v>
      </c>
      <c r="I248" s="6" t="str">
        <f>IFERROR(__xludf.DUMMYFUNCTION("""COMPUTED_VALUE"""),"MFH")</f>
        <v>MFH</v>
      </c>
      <c r="J248" s="6" t="str">
        <f>IFERROR(__xludf.DUMMYFUNCTION("""COMPUTED_VALUE"""),"Building")</f>
        <v>Building</v>
      </c>
      <c r="K248" s="6" t="str">
        <f>IFERROR(__xludf.DUMMYFUNCTION("""COMPUTED_VALUE"""),"SPR/10/23/047")</f>
        <v>SPR/10/23/047</v>
      </c>
      <c r="L248" s="13">
        <f>IFERROR(__xludf.DUMMYFUNCTION("""COMPUTED_VALUE"""),45200.0)</f>
        <v>45200</v>
      </c>
    </row>
    <row r="249">
      <c r="A249" s="6" t="str">
        <f>IFERROR(__xludf.DUMMYFUNCTION("""COMPUTED_VALUE"""),"NDS")</f>
        <v>NDS</v>
      </c>
      <c r="B249" s="6" t="str">
        <f>IFERROR(__xludf.DUMMYFUNCTION("""COMPUTED_VALUE"""),"ENG")</f>
        <v>ENG</v>
      </c>
      <c r="C249" s="6" t="str">
        <f>IFERROR(__xludf.DUMMYFUNCTION("""COMPUTED_VALUE"""),"P-18467-00")</f>
        <v>P-18467-00</v>
      </c>
      <c r="D249" s="6" t="str">
        <f>IFERROR(__xludf.DUMMYFUNCTION("""COMPUTED_VALUE"""),"Pass Box Stickers JZC-A Kecil")</f>
        <v>Pass Box Stickers JZC-A Kecil</v>
      </c>
      <c r="E249" s="6">
        <f>IFERROR(__xludf.DUMMYFUNCTION("""COMPUTED_VALUE"""),2.0)</f>
        <v>2</v>
      </c>
      <c r="F249" s="6">
        <f>IFERROR(__xludf.DUMMYFUNCTION("""COMPUTED_VALUE"""),2.0)</f>
        <v>2</v>
      </c>
      <c r="G249" s="6">
        <f>IFERROR(__xludf.DUMMYFUNCTION("""COMPUTED_VALUE"""),0.0)</f>
        <v>0</v>
      </c>
      <c r="H249" s="6" t="str">
        <f>IFERROR(__xludf.DUMMYFUNCTION("""COMPUTED_VALUE"""),"pcs")</f>
        <v>pcs</v>
      </c>
      <c r="I249" s="6" t="str">
        <f>IFERROR(__xludf.DUMMYFUNCTION("""COMPUTED_VALUE"""),"MFH")</f>
        <v>MFH</v>
      </c>
      <c r="J249" s="6" t="str">
        <f>IFERROR(__xludf.DUMMYFUNCTION("""COMPUTED_VALUE"""),"QCWetlab")</f>
        <v>QCWetlab</v>
      </c>
      <c r="K249" s="6" t="str">
        <f>IFERROR(__xludf.DUMMYFUNCTION("""COMPUTED_VALUE"""),"SPR/10/23/048")</f>
        <v>SPR/10/23/048</v>
      </c>
      <c r="L249" s="13">
        <f>IFERROR(__xludf.DUMMYFUNCTION("""COMPUTED_VALUE"""),45200.0)</f>
        <v>45200</v>
      </c>
    </row>
    <row r="250">
      <c r="A250" s="6" t="str">
        <f>IFERROR(__xludf.DUMMYFUNCTION("""COMPUTED_VALUE"""),"NDS")</f>
        <v>NDS</v>
      </c>
      <c r="B250" s="6" t="str">
        <f>IFERROR(__xludf.DUMMYFUNCTION("""COMPUTED_VALUE"""),"ENG")</f>
        <v>ENG</v>
      </c>
      <c r="C250" s="6" t="str">
        <f>IFERROR(__xludf.DUMMYFUNCTION("""COMPUTED_VALUE"""),"P-51559-00")</f>
        <v>P-51559-00</v>
      </c>
      <c r="D250" s="6" t="str">
        <f>IFERROR(__xludf.DUMMYFUNCTION("""COMPUTED_VALUE"""),"Lampu T5 14watt Putih; Phillips; ;")</f>
        <v>Lampu T5 14watt Putih; Phillips; ;</v>
      </c>
      <c r="E250" s="6">
        <f>IFERROR(__xludf.DUMMYFUNCTION("""COMPUTED_VALUE"""),6.0)</f>
        <v>6</v>
      </c>
      <c r="F250" s="6">
        <f>IFERROR(__xludf.DUMMYFUNCTION("""COMPUTED_VALUE"""),6.0)</f>
        <v>6</v>
      </c>
      <c r="G250" s="6">
        <f>IFERROR(__xludf.DUMMYFUNCTION("""COMPUTED_VALUE"""),0.0)</f>
        <v>0</v>
      </c>
      <c r="H250" s="6" t="str">
        <f>IFERROR(__xludf.DUMMYFUNCTION("""COMPUTED_VALUE"""),"pcs")</f>
        <v>pcs</v>
      </c>
      <c r="I250" s="6" t="str">
        <f>IFERROR(__xludf.DUMMYFUNCTION("""COMPUTED_VALUE"""),"MFH")</f>
        <v>MFH</v>
      </c>
      <c r="J250" s="6" t="str">
        <f>IFERROR(__xludf.DUMMYFUNCTION("""COMPUTED_VALUE"""),"Building")</f>
        <v>Building</v>
      </c>
      <c r="K250" s="6" t="str">
        <f>IFERROR(__xludf.DUMMYFUNCTION("""COMPUTED_VALUE"""),"SPR/10/23/048")</f>
        <v>SPR/10/23/048</v>
      </c>
      <c r="L250" s="13">
        <f>IFERROR(__xludf.DUMMYFUNCTION("""COMPUTED_VALUE"""),45200.0)</f>
        <v>45200</v>
      </c>
    </row>
    <row r="251">
      <c r="A251" s="6" t="str">
        <f>IFERROR(__xludf.DUMMYFUNCTION("""COMPUTED_VALUE"""),"RIA")</f>
        <v>RIA</v>
      </c>
      <c r="B251" s="6" t="str">
        <f>IFERROR(__xludf.DUMMYFUNCTION("""COMPUTED_VALUE"""),"ENG")</f>
        <v>ENG</v>
      </c>
      <c r="C251" s="6" t="str">
        <f>IFERROR(__xludf.DUMMYFUNCTION("""COMPUTED_VALUE"""),"P-53362-00")</f>
        <v>P-53362-00</v>
      </c>
      <c r="D251" s="6" t="str">
        <f>IFERROR(__xludf.DUMMYFUNCTION("""COMPUTED_VALUE"""),"Contactor Schneider LC1D09M7 Coil 220 VAC; ; ;")</f>
        <v>Contactor Schneider LC1D09M7 Coil 220 VAC; ; ;</v>
      </c>
      <c r="E251" s="6">
        <f>IFERROR(__xludf.DUMMYFUNCTION("""COMPUTED_VALUE"""),1.0)</f>
        <v>1</v>
      </c>
      <c r="F251" s="6">
        <f>IFERROR(__xludf.DUMMYFUNCTION("""COMPUTED_VALUE"""),1.0)</f>
        <v>1</v>
      </c>
      <c r="G251" s="6">
        <f>IFERROR(__xludf.DUMMYFUNCTION("""COMPUTED_VALUE"""),0.0)</f>
        <v>0</v>
      </c>
      <c r="H251" s="6" t="str">
        <f>IFERROR(__xludf.DUMMYFUNCTION("""COMPUTED_VALUE"""),"pcs")</f>
        <v>pcs</v>
      </c>
      <c r="I251" s="6" t="str">
        <f>IFERROR(__xludf.DUMMYFUNCTION("""COMPUTED_VALUE"""),"MFH")</f>
        <v>MFH</v>
      </c>
      <c r="J251" s="6" t="str">
        <f>IFERROR(__xludf.DUMMYFUNCTION("""COMPUTED_VALUE"""),"WWTP")</f>
        <v>WWTP</v>
      </c>
      <c r="K251" s="6" t="str">
        <f>IFERROR(__xludf.DUMMYFUNCTION("""COMPUTED_VALUE"""),"SPR/10/23/049")</f>
        <v>SPR/10/23/049</v>
      </c>
      <c r="L251" s="13">
        <f>IFERROR(__xludf.DUMMYFUNCTION("""COMPUTED_VALUE"""),45200.0)</f>
        <v>45200</v>
      </c>
    </row>
    <row r="252">
      <c r="A252" s="6" t="str">
        <f>IFERROR(__xludf.DUMMYFUNCTION("""COMPUTED_VALUE"""),"RIA")</f>
        <v>RIA</v>
      </c>
      <c r="B252" s="6" t="str">
        <f>IFERROR(__xludf.DUMMYFUNCTION("""COMPUTED_VALUE"""),"ENG")</f>
        <v>ENG</v>
      </c>
      <c r="C252" s="6" t="str">
        <f>IFERROR(__xludf.DUMMYFUNCTION("""COMPUTED_VALUE"""),"O-54015-00")</f>
        <v>O-54015-00</v>
      </c>
      <c r="D252" s="6" t="str">
        <f>IFERROR(__xludf.DUMMYFUNCTION("""COMPUTED_VALUE"""),"STOP KONTAK LUBANG 4, BROCO")</f>
        <v>STOP KONTAK LUBANG 4, BROCO</v>
      </c>
      <c r="E252" s="6">
        <f>IFERROR(__xludf.DUMMYFUNCTION("""COMPUTED_VALUE"""),1.0)</f>
        <v>1</v>
      </c>
      <c r="F252" s="6">
        <f>IFERROR(__xludf.DUMMYFUNCTION("""COMPUTED_VALUE"""),1.0)</f>
        <v>1</v>
      </c>
      <c r="G252" s="6">
        <f>IFERROR(__xludf.DUMMYFUNCTION("""COMPUTED_VALUE"""),0.0)</f>
        <v>0</v>
      </c>
      <c r="H252" s="6" t="str">
        <f>IFERROR(__xludf.DUMMYFUNCTION("""COMPUTED_VALUE"""),"pcs")</f>
        <v>pcs</v>
      </c>
      <c r="I252" s="6" t="str">
        <f>IFERROR(__xludf.DUMMYFUNCTION("""COMPUTED_VALUE"""),"MFH")</f>
        <v>MFH</v>
      </c>
      <c r="J252" s="6" t="str">
        <f>IFERROR(__xludf.DUMMYFUNCTION("""COMPUTED_VALUE"""),"Building")</f>
        <v>Building</v>
      </c>
      <c r="K252" s="6" t="str">
        <f>IFERROR(__xludf.DUMMYFUNCTION("""COMPUTED_VALUE"""),"SPR/10/23/049")</f>
        <v>SPR/10/23/049</v>
      </c>
      <c r="L252" s="13">
        <f>IFERROR(__xludf.DUMMYFUNCTION("""COMPUTED_VALUE"""),45200.0)</f>
        <v>45200</v>
      </c>
    </row>
    <row r="253">
      <c r="A253" s="6" t="str">
        <f>IFERROR(__xludf.DUMMYFUNCTION("""COMPUTED_VALUE"""),"RIA")</f>
        <v>RIA</v>
      </c>
      <c r="B253" s="6" t="str">
        <f>IFERROR(__xludf.DUMMYFUNCTION("""COMPUTED_VALUE"""),"ENG")</f>
        <v>ENG</v>
      </c>
      <c r="C253" s="6" t="str">
        <f>IFERROR(__xludf.DUMMYFUNCTION("""COMPUTED_VALUE"""),"O-54014-00")</f>
        <v>O-54014-00</v>
      </c>
      <c r="D253" s="6" t="str">
        <f>IFERROR(__xludf.DUMMYFUNCTION("""COMPUTED_VALUE"""),"STEKER 1 PHASE, BROCO")</f>
        <v>STEKER 1 PHASE, BROCO</v>
      </c>
      <c r="E253" s="6">
        <f>IFERROR(__xludf.DUMMYFUNCTION("""COMPUTED_VALUE"""),1.0)</f>
        <v>1</v>
      </c>
      <c r="F253" s="6">
        <f>IFERROR(__xludf.DUMMYFUNCTION("""COMPUTED_VALUE"""),1.0)</f>
        <v>1</v>
      </c>
      <c r="G253" s="6">
        <f>IFERROR(__xludf.DUMMYFUNCTION("""COMPUTED_VALUE"""),0.0)</f>
        <v>0</v>
      </c>
      <c r="H253" s="6" t="str">
        <f>IFERROR(__xludf.DUMMYFUNCTION("""COMPUTED_VALUE"""),"pcs")</f>
        <v>pcs</v>
      </c>
      <c r="I253" s="6" t="str">
        <f>IFERROR(__xludf.DUMMYFUNCTION("""COMPUTED_VALUE"""),"MFH")</f>
        <v>MFH</v>
      </c>
      <c r="J253" s="6" t="str">
        <f>IFERROR(__xludf.DUMMYFUNCTION("""COMPUTED_VALUE"""),"Building")</f>
        <v>Building</v>
      </c>
      <c r="K253" s="6" t="str">
        <f>IFERROR(__xludf.DUMMYFUNCTION("""COMPUTED_VALUE"""),"SPR/10/23/049")</f>
        <v>SPR/10/23/049</v>
      </c>
      <c r="L253" s="13">
        <f>IFERROR(__xludf.DUMMYFUNCTION("""COMPUTED_VALUE"""),45200.0)</f>
        <v>45200</v>
      </c>
    </row>
    <row r="254">
      <c r="A254" s="6" t="str">
        <f>IFERROR(__xludf.DUMMYFUNCTION("""COMPUTED_VALUE"""),"RIA")</f>
        <v>RIA</v>
      </c>
      <c r="B254" s="6" t="str">
        <f>IFERROR(__xludf.DUMMYFUNCTION("""COMPUTED_VALUE"""),"ENG")</f>
        <v>ENG</v>
      </c>
      <c r="C254" s="6" t="str">
        <f>IFERROR(__xludf.DUMMYFUNCTION("""COMPUTED_VALUE"""),"P-54158-00")</f>
        <v>P-54158-00</v>
      </c>
      <c r="D254" s="6" t="str">
        <f>IFERROR(__xludf.DUMMYFUNCTION("""COMPUTED_VALUE"""),"Float Level Switch VSS-2FJ-S3-L900-FS40S-0 Flange 2 inch")</f>
        <v>Float Level Switch VSS-2FJ-S3-L900-FS40S-0 Flange 2 inch</v>
      </c>
      <c r="E254" s="6">
        <f>IFERROR(__xludf.DUMMYFUNCTION("""COMPUTED_VALUE"""),1.0)</f>
        <v>1</v>
      </c>
      <c r="F254" s="6">
        <f>IFERROR(__xludf.DUMMYFUNCTION("""COMPUTED_VALUE"""),1.0)</f>
        <v>1</v>
      </c>
      <c r="G254" s="6">
        <f>IFERROR(__xludf.DUMMYFUNCTION("""COMPUTED_VALUE"""),0.0)</f>
        <v>0</v>
      </c>
      <c r="H254" s="6" t="str">
        <f>IFERROR(__xludf.DUMMYFUNCTION("""COMPUTED_VALUE"""),"pcs")</f>
        <v>pcs</v>
      </c>
      <c r="I254" s="6" t="str">
        <f>IFERROR(__xludf.DUMMYFUNCTION("""COMPUTED_VALUE"""),"MFH")</f>
        <v>MFH</v>
      </c>
      <c r="J254" s="6" t="str">
        <f>IFERROR(__xludf.DUMMYFUNCTION("""COMPUTED_VALUE"""),"WWTP")</f>
        <v>WWTP</v>
      </c>
      <c r="K254" s="6" t="str">
        <f>IFERROR(__xludf.DUMMYFUNCTION("""COMPUTED_VALUE"""),"SPR/10/23/050")</f>
        <v>SPR/10/23/050</v>
      </c>
      <c r="L254" s="13">
        <f>IFERROR(__xludf.DUMMYFUNCTION("""COMPUTED_VALUE"""),45200.0)</f>
        <v>45200</v>
      </c>
    </row>
    <row r="255">
      <c r="A255" s="6" t="str">
        <f>IFERROR(__xludf.DUMMYFUNCTION("""COMPUTED_VALUE"""),"RIA")</f>
        <v>RIA</v>
      </c>
      <c r="B255" s="6" t="str">
        <f>IFERROR(__xludf.DUMMYFUNCTION("""COMPUTED_VALUE"""),"ENG")</f>
        <v>ENG</v>
      </c>
      <c r="C255" s="6" t="str">
        <f>IFERROR(__xludf.DUMMYFUNCTION("""COMPUTED_VALUE"""),"P-50810-00")</f>
        <v>P-50810-00</v>
      </c>
      <c r="D255" s="6" t="str">
        <f>IFERROR(__xludf.DUMMYFUNCTION("""COMPUTED_VALUE"""),"Buzzer type AD22-22MSD warna m")</f>
        <v>Buzzer type AD22-22MSD warna m</v>
      </c>
      <c r="E255" s="6">
        <f>IFERROR(__xludf.DUMMYFUNCTION("""COMPUTED_VALUE"""),1.0)</f>
        <v>1</v>
      </c>
      <c r="F255" s="6">
        <f>IFERROR(__xludf.DUMMYFUNCTION("""COMPUTED_VALUE"""),1.0)</f>
        <v>1</v>
      </c>
      <c r="G255" s="6">
        <f>IFERROR(__xludf.DUMMYFUNCTION("""COMPUTED_VALUE"""),0.0)</f>
        <v>0</v>
      </c>
      <c r="H255" s="6" t="str">
        <f>IFERROR(__xludf.DUMMYFUNCTION("""COMPUTED_VALUE"""),"pcs")</f>
        <v>pcs</v>
      </c>
      <c r="I255" s="6" t="str">
        <f>IFERROR(__xludf.DUMMYFUNCTION("""COMPUTED_VALUE"""),"MFH")</f>
        <v>MFH</v>
      </c>
      <c r="J255" s="6" t="str">
        <f>IFERROR(__xludf.DUMMYFUNCTION("""COMPUTED_VALUE"""),"WWTP")</f>
        <v>WWTP</v>
      </c>
      <c r="K255" s="6" t="str">
        <f>IFERROR(__xludf.DUMMYFUNCTION("""COMPUTED_VALUE"""),"SPR/10/23/050")</f>
        <v>SPR/10/23/050</v>
      </c>
      <c r="L255" s="13">
        <f>IFERROR(__xludf.DUMMYFUNCTION("""COMPUTED_VALUE"""),45200.0)</f>
        <v>45200</v>
      </c>
    </row>
    <row r="256">
      <c r="A256" s="6" t="str">
        <f>IFERROR(__xludf.DUMMYFUNCTION("""COMPUTED_VALUE"""),"RIA")</f>
        <v>RIA</v>
      </c>
      <c r="B256" s="6" t="str">
        <f>IFERROR(__xludf.DUMMYFUNCTION("""COMPUTED_VALUE"""),"ENG")</f>
        <v>ENG</v>
      </c>
      <c r="C256" s="6" t="str">
        <f>IFERROR(__xludf.DUMMYFUNCTION("""COMPUTED_VALUE"""),"P-50274-00")</f>
        <v>P-50274-00</v>
      </c>
      <c r="D256" s="6" t="str">
        <f>IFERROR(__xludf.DUMMYFUNCTION("""COMPUTED_VALUE"""),"Kabel NYAF 0.75 Merah")</f>
        <v>Kabel NYAF 0.75 Merah</v>
      </c>
      <c r="E256" s="6">
        <f>IFERROR(__xludf.DUMMYFUNCTION("""COMPUTED_VALUE"""),1.0)</f>
        <v>1</v>
      </c>
      <c r="F256" s="6">
        <f>IFERROR(__xludf.DUMMYFUNCTION("""COMPUTED_VALUE"""),1.0)</f>
        <v>1</v>
      </c>
      <c r="G256" s="6">
        <f>IFERROR(__xludf.DUMMYFUNCTION("""COMPUTED_VALUE"""),0.0)</f>
        <v>0</v>
      </c>
      <c r="H256" s="6" t="str">
        <f>IFERROR(__xludf.DUMMYFUNCTION("""COMPUTED_VALUE"""),"pcs")</f>
        <v>pcs</v>
      </c>
      <c r="I256" s="6" t="str">
        <f>IFERROR(__xludf.DUMMYFUNCTION("""COMPUTED_VALUE"""),"MFH")</f>
        <v>MFH</v>
      </c>
      <c r="J256" s="6" t="str">
        <f>IFERROR(__xludf.DUMMYFUNCTION("""COMPUTED_VALUE"""),"WWTP")</f>
        <v>WWTP</v>
      </c>
      <c r="K256" s="6" t="str">
        <f>IFERROR(__xludf.DUMMYFUNCTION("""COMPUTED_VALUE"""),"SPR/10/23/050")</f>
        <v>SPR/10/23/050</v>
      </c>
      <c r="L256" s="13">
        <f>IFERROR(__xludf.DUMMYFUNCTION("""COMPUTED_VALUE"""),45200.0)</f>
        <v>45200</v>
      </c>
    </row>
    <row r="257">
      <c r="A257" s="6" t="str">
        <f>IFERROR(__xludf.DUMMYFUNCTION("""COMPUTED_VALUE"""),"RIA")</f>
        <v>RIA</v>
      </c>
      <c r="B257" s="6" t="str">
        <f>IFERROR(__xludf.DUMMYFUNCTION("""COMPUTED_VALUE"""),"ENG")</f>
        <v>ENG</v>
      </c>
      <c r="C257" s="6" t="str">
        <f>IFERROR(__xludf.DUMMYFUNCTION("""COMPUTED_VALUE"""),"-")</f>
        <v>-</v>
      </c>
      <c r="D257" s="6" t="str">
        <f>IFERROR(__xludf.DUMMYFUNCTION("""COMPUTED_VALUE"""),"Clamp Pipa Clipsal 1/2 Inch")</f>
        <v>Clamp Pipa Clipsal 1/2 Inch</v>
      </c>
      <c r="E257" s="6">
        <f>IFERROR(__xludf.DUMMYFUNCTION("""COMPUTED_VALUE"""),2.0)</f>
        <v>2</v>
      </c>
      <c r="F257" s="6">
        <f>IFERROR(__xludf.DUMMYFUNCTION("""COMPUTED_VALUE"""),2.0)</f>
        <v>2</v>
      </c>
      <c r="G257" s="6">
        <f>IFERROR(__xludf.DUMMYFUNCTION("""COMPUTED_VALUE"""),0.0)</f>
        <v>0</v>
      </c>
      <c r="H257" s="6" t="str">
        <f>IFERROR(__xludf.DUMMYFUNCTION("""COMPUTED_VALUE"""),"pcs")</f>
        <v>pcs</v>
      </c>
      <c r="I257" s="6" t="str">
        <f>IFERROR(__xludf.DUMMYFUNCTION("""COMPUTED_VALUE"""),"MFH")</f>
        <v>MFH</v>
      </c>
      <c r="J257" s="6" t="str">
        <f>IFERROR(__xludf.DUMMYFUNCTION("""COMPUTED_VALUE"""),"Building")</f>
        <v>Building</v>
      </c>
      <c r="K257" s="6" t="str">
        <f>IFERROR(__xludf.DUMMYFUNCTION("""COMPUTED_VALUE"""),"SPR/11/23/001")</f>
        <v>SPR/11/23/001</v>
      </c>
      <c r="L257" s="13">
        <f>IFERROR(__xludf.DUMMYFUNCTION("""COMPUTED_VALUE"""),45231.0)</f>
        <v>45231</v>
      </c>
    </row>
    <row r="258">
      <c r="A258" s="6" t="str">
        <f>IFERROR(__xludf.DUMMYFUNCTION("""COMPUTED_VALUE"""),"RIA")</f>
        <v>RIA</v>
      </c>
      <c r="B258" s="6" t="str">
        <f>IFERROR(__xludf.DUMMYFUNCTION("""COMPUTED_VALUE"""),"ENG")</f>
        <v>ENG</v>
      </c>
      <c r="C258" s="6" t="str">
        <f>IFERROR(__xludf.DUMMYFUNCTION("""COMPUTED_VALUE"""),"P-10859-00")</f>
        <v>P-10859-00</v>
      </c>
      <c r="D258" s="6" t="str">
        <f>IFERROR(__xludf.DUMMYFUNCTION("""COMPUTED_VALUE"""),"Fitting PVC - Elbow PVC 1/2"" AW")</f>
        <v>Fitting PVC - Elbow PVC 1/2" AW</v>
      </c>
      <c r="E258" s="6">
        <f>IFERROR(__xludf.DUMMYFUNCTION("""COMPUTED_VALUE"""),1.0)</f>
        <v>1</v>
      </c>
      <c r="F258" s="6">
        <f>IFERROR(__xludf.DUMMYFUNCTION("""COMPUTED_VALUE"""),1.0)</f>
        <v>1</v>
      </c>
      <c r="G258" s="6">
        <f>IFERROR(__xludf.DUMMYFUNCTION("""COMPUTED_VALUE"""),0.0)</f>
        <v>0</v>
      </c>
      <c r="H258" s="6" t="str">
        <f>IFERROR(__xludf.DUMMYFUNCTION("""COMPUTED_VALUE"""),"pcs")</f>
        <v>pcs</v>
      </c>
      <c r="I258" s="6" t="str">
        <f>IFERROR(__xludf.DUMMYFUNCTION("""COMPUTED_VALUE"""),"MFH")</f>
        <v>MFH</v>
      </c>
      <c r="J258" s="6" t="str">
        <f>IFERROR(__xludf.DUMMYFUNCTION("""COMPUTED_VALUE"""),"Building")</f>
        <v>Building</v>
      </c>
      <c r="K258" s="6" t="str">
        <f>IFERROR(__xludf.DUMMYFUNCTION("""COMPUTED_VALUE"""),"SPR/11/23/001")</f>
        <v>SPR/11/23/001</v>
      </c>
      <c r="L258" s="13">
        <f>IFERROR(__xludf.DUMMYFUNCTION("""COMPUTED_VALUE"""),45231.0)</f>
        <v>45231</v>
      </c>
    </row>
    <row r="259">
      <c r="A259" s="6" t="str">
        <f>IFERROR(__xludf.DUMMYFUNCTION("""COMPUTED_VALUE"""),"ROS")</f>
        <v>ROS</v>
      </c>
      <c r="B259" s="6" t="str">
        <f>IFERROR(__xludf.DUMMYFUNCTION("""COMPUTED_VALUE"""),"ENG")</f>
        <v>ENG</v>
      </c>
      <c r="C259" s="6" t="str">
        <f>IFERROR(__xludf.DUMMYFUNCTION("""COMPUTED_VALUE"""),"O-16032-00")</f>
        <v>O-16032-00</v>
      </c>
      <c r="D259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59" s="6">
        <f>IFERROR(__xludf.DUMMYFUNCTION("""COMPUTED_VALUE"""),2.0)</f>
        <v>2</v>
      </c>
      <c r="F259" s="6">
        <f>IFERROR(__xludf.DUMMYFUNCTION("""COMPUTED_VALUE"""),2.0)</f>
        <v>2</v>
      </c>
      <c r="G259" s="6">
        <f>IFERROR(__xludf.DUMMYFUNCTION("""COMPUTED_VALUE"""),0.0)</f>
        <v>0</v>
      </c>
      <c r="H259" s="6" t="str">
        <f>IFERROR(__xludf.DUMMYFUNCTION("""COMPUTED_VALUE"""),"pcs")</f>
        <v>pcs</v>
      </c>
      <c r="I259" s="6" t="str">
        <f>IFERROR(__xludf.DUMMYFUNCTION("""COMPUTED_VALUE"""),"MFH")</f>
        <v>MFH</v>
      </c>
      <c r="J259" s="6" t="str">
        <f>IFERROR(__xludf.DUMMYFUNCTION("""COMPUTED_VALUE"""),"cRABS")</f>
        <v>cRABS</v>
      </c>
      <c r="K259" s="6" t="str">
        <f>IFERROR(__xludf.DUMMYFUNCTION("""COMPUTED_VALUE"""),"SPR/11/23/002")</f>
        <v>SPR/11/23/002</v>
      </c>
      <c r="L259" s="13">
        <f>IFERROR(__xludf.DUMMYFUNCTION("""COMPUTED_VALUE"""),45231.0)</f>
        <v>45231</v>
      </c>
    </row>
    <row r="260">
      <c r="A260" s="6" t="str">
        <f>IFERROR(__xludf.DUMMYFUNCTION("""COMPUTED_VALUE"""),"ROS")</f>
        <v>ROS</v>
      </c>
      <c r="B260" s="6" t="str">
        <f>IFERROR(__xludf.DUMMYFUNCTION("""COMPUTED_VALUE"""),"ENG")</f>
        <v>ENG</v>
      </c>
      <c r="C260" s="6" t="str">
        <f>IFERROR(__xludf.DUMMYFUNCTION("""COMPUTED_VALUE"""),"-")</f>
        <v>-</v>
      </c>
      <c r="D260" s="6" t="str">
        <f>IFERROR(__xludf.DUMMYFUNCTION("""COMPUTED_VALUE"""),"Battery Energizer")</f>
        <v>Battery Energizer</v>
      </c>
      <c r="E260" s="6">
        <f>IFERROR(__xludf.DUMMYFUNCTION("""COMPUTED_VALUE"""),2.0)</f>
        <v>2</v>
      </c>
      <c r="F260" s="6">
        <f>IFERROR(__xludf.DUMMYFUNCTION("""COMPUTED_VALUE"""),2.0)</f>
        <v>2</v>
      </c>
      <c r="G260" s="6">
        <f>IFERROR(__xludf.DUMMYFUNCTION("""COMPUTED_VALUE"""),0.0)</f>
        <v>0</v>
      </c>
      <c r="H260" s="6" t="str">
        <f>IFERROR(__xludf.DUMMYFUNCTION("""COMPUTED_VALUE"""),"pcs")</f>
        <v>pcs</v>
      </c>
      <c r="I260" s="6" t="str">
        <f>IFERROR(__xludf.DUMMYFUNCTION("""COMPUTED_VALUE"""),"MFH")</f>
        <v>MFH</v>
      </c>
      <c r="J260" s="6" t="str">
        <f>IFERROR(__xludf.DUMMYFUNCTION("""COMPUTED_VALUE"""),"-")</f>
        <v>-</v>
      </c>
      <c r="K260" s="6" t="str">
        <f>IFERROR(__xludf.DUMMYFUNCTION("""COMPUTED_VALUE"""),"SPR/11/23/002")</f>
        <v>SPR/11/23/002</v>
      </c>
      <c r="L260" s="13">
        <f>IFERROR(__xludf.DUMMYFUNCTION("""COMPUTED_VALUE"""),45231.0)</f>
        <v>45231</v>
      </c>
    </row>
    <row r="261">
      <c r="A261" s="6" t="str">
        <f>IFERROR(__xludf.DUMMYFUNCTION("""COMPUTED_VALUE"""),"ROS")</f>
        <v>ROS</v>
      </c>
      <c r="B261" s="6" t="str">
        <f>IFERROR(__xludf.DUMMYFUNCTION("""COMPUTED_VALUE"""),"ENG")</f>
        <v>ENG</v>
      </c>
      <c r="C261" s="6" t="str">
        <f>IFERROR(__xludf.DUMMYFUNCTION("""COMPUTED_VALUE"""),"-")</f>
        <v>-</v>
      </c>
      <c r="D261" s="6" t="str">
        <f>IFERROR(__xludf.DUMMYFUNCTION("""COMPUTED_VALUE"""),"Capacitor WIHC")</f>
        <v>Capacitor WIHC</v>
      </c>
      <c r="E261" s="6">
        <f>IFERROR(__xludf.DUMMYFUNCTION("""COMPUTED_VALUE"""),1.0)</f>
        <v>1</v>
      </c>
      <c r="F261" s="6">
        <f>IFERROR(__xludf.DUMMYFUNCTION("""COMPUTED_VALUE"""),1.0)</f>
        <v>1</v>
      </c>
      <c r="G261" s="6">
        <f>IFERROR(__xludf.DUMMYFUNCTION("""COMPUTED_VALUE"""),0.0)</f>
        <v>0</v>
      </c>
      <c r="H261" s="6" t="str">
        <f>IFERROR(__xludf.DUMMYFUNCTION("""COMPUTED_VALUE"""),"pcs")</f>
        <v>pcs</v>
      </c>
      <c r="I261" s="6" t="str">
        <f>IFERROR(__xludf.DUMMYFUNCTION("""COMPUTED_VALUE"""),"MFH")</f>
        <v>MFH</v>
      </c>
      <c r="J261" s="6" t="str">
        <f>IFERROR(__xludf.DUMMYFUNCTION("""COMPUTED_VALUE"""),"WIHC")</f>
        <v>WIHC</v>
      </c>
      <c r="K261" s="6" t="str">
        <f>IFERROR(__xludf.DUMMYFUNCTION("""COMPUTED_VALUE"""),"SPR/11/23/002")</f>
        <v>SPR/11/23/002</v>
      </c>
      <c r="L261" s="13">
        <f>IFERROR(__xludf.DUMMYFUNCTION("""COMPUTED_VALUE"""),45231.0)</f>
        <v>45231</v>
      </c>
    </row>
    <row r="262">
      <c r="A262" s="6" t="str">
        <f>IFERROR(__xludf.DUMMYFUNCTION("""COMPUTED_VALUE"""),"MRN")</f>
        <v>MRN</v>
      </c>
      <c r="B262" s="6" t="str">
        <f>IFERROR(__xludf.DUMMYFUNCTION("""COMPUTED_VALUE"""),"ENG")</f>
        <v>ENG</v>
      </c>
      <c r="C262" s="6" t="str">
        <f>IFERROR(__xludf.DUMMYFUNCTION("""COMPUTED_VALUE"""),"Q-10153-00")</f>
        <v>Q-10153-00</v>
      </c>
      <c r="D262" s="6" t="str">
        <f>IFERROR(__xludf.DUMMYFUNCTION("""COMPUTED_VALUE"""),"Roller cat 110mm")</f>
        <v>Roller cat 110mm</v>
      </c>
      <c r="E262" s="6">
        <f>IFERROR(__xludf.DUMMYFUNCTION("""COMPUTED_VALUE"""),1.0)</f>
        <v>1</v>
      </c>
      <c r="F262" s="6">
        <f>IFERROR(__xludf.DUMMYFUNCTION("""COMPUTED_VALUE"""),1.0)</f>
        <v>1</v>
      </c>
      <c r="G262" s="6">
        <f>IFERROR(__xludf.DUMMYFUNCTION("""COMPUTED_VALUE"""),0.0)</f>
        <v>0</v>
      </c>
      <c r="H262" s="6" t="str">
        <f>IFERROR(__xludf.DUMMYFUNCTION("""COMPUTED_VALUE"""),"pcs")</f>
        <v>pcs</v>
      </c>
      <c r="I262" s="6" t="str">
        <f>IFERROR(__xludf.DUMMYFUNCTION("""COMPUTED_VALUE"""),"MFH")</f>
        <v>MFH</v>
      </c>
      <c r="J262" s="6" t="str">
        <f>IFERROR(__xludf.DUMMYFUNCTION("""COMPUTED_VALUE"""),"Building")</f>
        <v>Building</v>
      </c>
      <c r="K262" s="6" t="str">
        <f>IFERROR(__xludf.DUMMYFUNCTION("""COMPUTED_VALUE"""),"SPR/11/23/003")</f>
        <v>SPR/11/23/003</v>
      </c>
      <c r="L262" s="13">
        <f>IFERROR(__xludf.DUMMYFUNCTION("""COMPUTED_VALUE"""),45231.0)</f>
        <v>45231</v>
      </c>
    </row>
    <row r="263">
      <c r="A263" s="6" t="str">
        <f>IFERROR(__xludf.DUMMYFUNCTION("""COMPUTED_VALUE"""),"MRN")</f>
        <v>MRN</v>
      </c>
      <c r="B263" s="6" t="str">
        <f>IFERROR(__xludf.DUMMYFUNCTION("""COMPUTED_VALUE"""),"ENG")</f>
        <v>ENG</v>
      </c>
      <c r="C263" s="6" t="str">
        <f>IFERROR(__xludf.DUMMYFUNCTION("""COMPUTED_VALUE"""),"P-53102-00")</f>
        <v>P-53102-00</v>
      </c>
      <c r="D263" s="6" t="str">
        <f>IFERROR(__xludf.DUMMYFUNCTION("""COMPUTED_VALUE"""),"Lampu PLC 13watt/E27 Putih; Phillips; ;")</f>
        <v>Lampu PLC 13watt/E27 Putih; Phillips; ;</v>
      </c>
      <c r="E263" s="6">
        <f>IFERROR(__xludf.DUMMYFUNCTION("""COMPUTED_VALUE"""),2.0)</f>
        <v>2</v>
      </c>
      <c r="F263" s="6">
        <f>IFERROR(__xludf.DUMMYFUNCTION("""COMPUTED_VALUE"""),2.0)</f>
        <v>2</v>
      </c>
      <c r="G263" s="6">
        <f>IFERROR(__xludf.DUMMYFUNCTION("""COMPUTED_VALUE"""),0.0)</f>
        <v>0</v>
      </c>
      <c r="H263" s="6" t="str">
        <f>IFERROR(__xludf.DUMMYFUNCTION("""COMPUTED_VALUE"""),"pcs")</f>
        <v>pcs</v>
      </c>
      <c r="I263" s="6" t="str">
        <f>IFERROR(__xludf.DUMMYFUNCTION("""COMPUTED_VALUE"""),"MFH")</f>
        <v>MFH</v>
      </c>
      <c r="J263" s="6" t="str">
        <f>IFERROR(__xludf.DUMMYFUNCTION("""COMPUTED_VALUE"""),"Building")</f>
        <v>Building</v>
      </c>
      <c r="K263" s="6" t="str">
        <f>IFERROR(__xludf.DUMMYFUNCTION("""COMPUTED_VALUE"""),"SPR/11/23/003")</f>
        <v>SPR/11/23/003</v>
      </c>
      <c r="L263" s="13">
        <f>IFERROR(__xludf.DUMMYFUNCTION("""COMPUTED_VALUE"""),45231.0)</f>
        <v>45231</v>
      </c>
    </row>
    <row r="264">
      <c r="A264" s="6" t="str">
        <f>IFERROR(__xludf.DUMMYFUNCTION("""COMPUTED_VALUE"""),"MRN")</f>
        <v>MRN</v>
      </c>
      <c r="B264" s="6" t="str">
        <f>IFERROR(__xludf.DUMMYFUNCTION("""COMPUTED_VALUE"""),"ENG")</f>
        <v>ENG</v>
      </c>
      <c r="C264" s="6" t="str">
        <f>IFERROR(__xludf.DUMMYFUNCTION("""COMPUTED_VALUE"""),"P-51560-00")</f>
        <v>P-51560-00</v>
      </c>
      <c r="D264" s="6" t="str">
        <f>IFERROR(__xludf.DUMMYFUNCTION("""COMPUTED_VALUE"""),"Lampu T5 28watt Putih; Phillips; ;")</f>
        <v>Lampu T5 28watt Putih; Phillips; ;</v>
      </c>
      <c r="E264" s="6">
        <f>IFERROR(__xludf.DUMMYFUNCTION("""COMPUTED_VALUE"""),1.0)</f>
        <v>1</v>
      </c>
      <c r="F264" s="6">
        <f>IFERROR(__xludf.DUMMYFUNCTION("""COMPUTED_VALUE"""),1.0)</f>
        <v>1</v>
      </c>
      <c r="G264" s="6">
        <f>IFERROR(__xludf.DUMMYFUNCTION("""COMPUTED_VALUE"""),0.0)</f>
        <v>0</v>
      </c>
      <c r="H264" s="6" t="str">
        <f>IFERROR(__xludf.DUMMYFUNCTION("""COMPUTED_VALUE"""),"pcs")</f>
        <v>pcs</v>
      </c>
      <c r="I264" s="6" t="str">
        <f>IFERROR(__xludf.DUMMYFUNCTION("""COMPUTED_VALUE"""),"MFH")</f>
        <v>MFH</v>
      </c>
      <c r="J264" s="6" t="str">
        <f>IFERROR(__xludf.DUMMYFUNCTION("""COMPUTED_VALUE"""),"Building")</f>
        <v>Building</v>
      </c>
      <c r="K264" s="6" t="str">
        <f>IFERROR(__xludf.DUMMYFUNCTION("""COMPUTED_VALUE"""),"SPR/11/23/003")</f>
        <v>SPR/11/23/003</v>
      </c>
      <c r="L264" s="13">
        <f>IFERROR(__xludf.DUMMYFUNCTION("""COMPUTED_VALUE"""),45231.0)</f>
        <v>45231</v>
      </c>
    </row>
    <row r="265">
      <c r="A265" s="6" t="str">
        <f>IFERROR(__xludf.DUMMYFUNCTION("""COMPUTED_VALUE"""),"MOB")</f>
        <v>MOB</v>
      </c>
      <c r="B265" s="6" t="str">
        <f>IFERROR(__xludf.DUMMYFUNCTION("""COMPUTED_VALUE"""),"ENG")</f>
        <v>ENG</v>
      </c>
      <c r="C265" s="6" t="str">
        <f>IFERROR(__xludf.DUMMYFUNCTION("""COMPUTED_VALUE"""),"P-12470-00")</f>
        <v>P-12470-00</v>
      </c>
      <c r="D265" s="6" t="str">
        <f>IFERROR(__xludf.DUMMYFUNCTION("""COMPUTED_VALUE"""),"Lem PVC Isarplas 300 gr/kaleng")</f>
        <v>Lem PVC Isarplas 300 gr/kaleng</v>
      </c>
      <c r="E265" s="6">
        <f>IFERROR(__xludf.DUMMYFUNCTION("""COMPUTED_VALUE"""),1.0)</f>
        <v>1</v>
      </c>
      <c r="F265" s="6">
        <f>IFERROR(__xludf.DUMMYFUNCTION("""COMPUTED_VALUE"""),1.0)</f>
        <v>1</v>
      </c>
      <c r="G265" s="6">
        <f>IFERROR(__xludf.DUMMYFUNCTION("""COMPUTED_VALUE"""),0.0)</f>
        <v>0</v>
      </c>
      <c r="H265" s="6" t="str">
        <f>IFERROR(__xludf.DUMMYFUNCTION("""COMPUTED_VALUE"""),"pcs")</f>
        <v>pcs</v>
      </c>
      <c r="I265" s="6" t="str">
        <f>IFERROR(__xludf.DUMMYFUNCTION("""COMPUTED_VALUE"""),"MFH")</f>
        <v>MFH</v>
      </c>
      <c r="J265" s="6" t="str">
        <f>IFERROR(__xludf.DUMMYFUNCTION("""COMPUTED_VALUE"""),"-")</f>
        <v>-</v>
      </c>
      <c r="K265" s="6" t="str">
        <f>IFERROR(__xludf.DUMMYFUNCTION("""COMPUTED_VALUE"""),"SPR/11/23/004")</f>
        <v>SPR/11/23/004</v>
      </c>
      <c r="L265" s="13">
        <f>IFERROR(__xludf.DUMMYFUNCTION("""COMPUTED_VALUE"""),45231.0)</f>
        <v>45231</v>
      </c>
    </row>
    <row r="266">
      <c r="A266" s="6" t="str">
        <f>IFERROR(__xludf.DUMMYFUNCTION("""COMPUTED_VALUE"""),"NDS")</f>
        <v>NDS</v>
      </c>
      <c r="B266" s="6" t="str">
        <f>IFERROR(__xludf.DUMMYFUNCTION("""COMPUTED_VALUE"""),"ENG")</f>
        <v>ENG</v>
      </c>
      <c r="C266" s="6" t="str">
        <f>IFERROR(__xludf.DUMMYFUNCTION("""COMPUTED_VALUE"""),"-")</f>
        <v>-</v>
      </c>
      <c r="D266" s="6" t="str">
        <f>IFERROR(__xludf.DUMMYFUNCTION("""COMPUTED_VALUE"""),"Amplas 1000")</f>
        <v>Amplas 1000</v>
      </c>
      <c r="E266" s="6">
        <f>IFERROR(__xludf.DUMMYFUNCTION("""COMPUTED_VALUE"""),1.0)</f>
        <v>1</v>
      </c>
      <c r="F266" s="6">
        <f>IFERROR(__xludf.DUMMYFUNCTION("""COMPUTED_VALUE"""),1.0)</f>
        <v>1</v>
      </c>
      <c r="G266" s="6">
        <f>IFERROR(__xludf.DUMMYFUNCTION("""COMPUTED_VALUE"""),0.0)</f>
        <v>0</v>
      </c>
      <c r="H266" s="6" t="str">
        <f>IFERROR(__xludf.DUMMYFUNCTION("""COMPUTED_VALUE"""),"pcs")</f>
        <v>pcs</v>
      </c>
      <c r="I266" s="6" t="str">
        <f>IFERROR(__xludf.DUMMYFUNCTION("""COMPUTED_VALUE"""),"MFH")</f>
        <v>MFH</v>
      </c>
      <c r="J266" s="6" t="str">
        <f>IFERROR(__xludf.DUMMYFUNCTION("""COMPUTED_VALUE"""),"HPLC")</f>
        <v>HPLC</v>
      </c>
      <c r="K266" s="6" t="str">
        <f>IFERROR(__xludf.DUMMYFUNCTION("""COMPUTED_VALUE"""),"SPR/11/23/005")</f>
        <v>SPR/11/23/005</v>
      </c>
      <c r="L266" s="13">
        <f>IFERROR(__xludf.DUMMYFUNCTION("""COMPUTED_VALUE"""),45231.0)</f>
        <v>45231</v>
      </c>
    </row>
    <row r="267">
      <c r="A267" s="6" t="str">
        <f>IFERROR(__xludf.DUMMYFUNCTION("""COMPUTED_VALUE"""),"NDS")</f>
        <v>NDS</v>
      </c>
      <c r="B267" s="6" t="str">
        <f>IFERROR(__xludf.DUMMYFUNCTION("""COMPUTED_VALUE"""),"ENG")</f>
        <v>ENG</v>
      </c>
      <c r="C267" s="6" t="str">
        <f>IFERROR(__xludf.DUMMYFUNCTION("""COMPUTED_VALUE"""),"P-15852-00")</f>
        <v>P-15852-00</v>
      </c>
      <c r="D267" s="6" t="str">
        <f>IFERROR(__xludf.DUMMYFUNCTION("""COMPUTED_VALUE"""),"AMPLAS EAGLE 500")</f>
        <v>AMPLAS EAGLE 500</v>
      </c>
      <c r="E267" s="6">
        <f>IFERROR(__xludf.DUMMYFUNCTION("""COMPUTED_VALUE"""),1.0)</f>
        <v>1</v>
      </c>
      <c r="F267" s="6">
        <f>IFERROR(__xludf.DUMMYFUNCTION("""COMPUTED_VALUE"""),1.0)</f>
        <v>1</v>
      </c>
      <c r="G267" s="6">
        <f>IFERROR(__xludf.DUMMYFUNCTION("""COMPUTED_VALUE"""),0.0)</f>
        <v>0</v>
      </c>
      <c r="H267" s="6" t="str">
        <f>IFERROR(__xludf.DUMMYFUNCTION("""COMPUTED_VALUE"""),"pcs")</f>
        <v>pcs</v>
      </c>
      <c r="I267" s="6" t="str">
        <f>IFERROR(__xludf.DUMMYFUNCTION("""COMPUTED_VALUE"""),"MFH")</f>
        <v>MFH</v>
      </c>
      <c r="J267" s="6" t="str">
        <f>IFERROR(__xludf.DUMMYFUNCTION("""COMPUTED_VALUE"""),"HPLC")</f>
        <v>HPLC</v>
      </c>
      <c r="K267" s="6" t="str">
        <f>IFERROR(__xludf.DUMMYFUNCTION("""COMPUTED_VALUE"""),"SPR/11/23/005")</f>
        <v>SPR/11/23/005</v>
      </c>
      <c r="L267" s="13">
        <f>IFERROR(__xludf.DUMMYFUNCTION("""COMPUTED_VALUE"""),45231.0)</f>
        <v>45231</v>
      </c>
    </row>
    <row r="268">
      <c r="A268" s="6" t="str">
        <f>IFERROR(__xludf.DUMMYFUNCTION("""COMPUTED_VALUE"""),"NDS")</f>
        <v>NDS</v>
      </c>
      <c r="B268" s="6" t="str">
        <f>IFERROR(__xludf.DUMMYFUNCTION("""COMPUTED_VALUE"""),"ENG")</f>
        <v>ENG</v>
      </c>
      <c r="C268" s="6" t="str">
        <f>IFERROR(__xludf.DUMMYFUNCTION("""COMPUTED_VALUE"""),"Q-60025-00")</f>
        <v>Q-60025-00</v>
      </c>
      <c r="D268" s="6" t="str">
        <f>IFERROR(__xludf.DUMMYFUNCTION("""COMPUTED_VALUE"""),"Kuas Eterna 1")</f>
        <v>Kuas Eterna 1</v>
      </c>
      <c r="E268" s="6">
        <f>IFERROR(__xludf.DUMMYFUNCTION("""COMPUTED_VALUE"""),1.0)</f>
        <v>1</v>
      </c>
      <c r="F268" s="6">
        <f>IFERROR(__xludf.DUMMYFUNCTION("""COMPUTED_VALUE"""),1.0)</f>
        <v>1</v>
      </c>
      <c r="G268" s="6">
        <f>IFERROR(__xludf.DUMMYFUNCTION("""COMPUTED_VALUE"""),0.0)</f>
        <v>0</v>
      </c>
      <c r="H268" s="6" t="str">
        <f>IFERROR(__xludf.DUMMYFUNCTION("""COMPUTED_VALUE"""),"pcs")</f>
        <v>pcs</v>
      </c>
      <c r="I268" s="6" t="str">
        <f>IFERROR(__xludf.DUMMYFUNCTION("""COMPUTED_VALUE"""),"MFH")</f>
        <v>MFH</v>
      </c>
      <c r="J268" s="6" t="str">
        <f>IFERROR(__xludf.DUMMYFUNCTION("""COMPUTED_VALUE"""),"HPLC")</f>
        <v>HPLC</v>
      </c>
      <c r="K268" s="6" t="str">
        <f>IFERROR(__xludf.DUMMYFUNCTION("""COMPUTED_VALUE"""),"SPR/11/23/005")</f>
        <v>SPR/11/23/005</v>
      </c>
      <c r="L268" s="13">
        <f>IFERROR(__xludf.DUMMYFUNCTION("""COMPUTED_VALUE"""),45231.0)</f>
        <v>45231</v>
      </c>
    </row>
    <row r="269">
      <c r="A269" s="6" t="str">
        <f>IFERROR(__xludf.DUMMYFUNCTION("""COMPUTED_VALUE"""),"NDS")</f>
        <v>NDS</v>
      </c>
      <c r="B269" s="6" t="str">
        <f>IFERROR(__xludf.DUMMYFUNCTION("""COMPUTED_VALUE"""),"ENG")</f>
        <v>ENG</v>
      </c>
      <c r="C269" s="6" t="str">
        <f>IFERROR(__xludf.DUMMYFUNCTION("""COMPUTED_VALUE"""),"O-16030-00")</f>
        <v>O-16030-00</v>
      </c>
      <c r="D269" s="6" t="str">
        <f>IFERROR(__xludf.DUMMYFUNCTION("""COMPUTED_VALUE"""),"001292; Item Type : Dry box; 9")</f>
        <v>001292; Item Type : Dry box; 9</v>
      </c>
      <c r="E269" s="6">
        <f>IFERROR(__xludf.DUMMYFUNCTION("""COMPUTED_VALUE"""),1.0)</f>
        <v>1</v>
      </c>
      <c r="F269" s="6">
        <f>IFERROR(__xludf.DUMMYFUNCTION("""COMPUTED_VALUE"""),1.0)</f>
        <v>1</v>
      </c>
      <c r="G269" s="6">
        <f>IFERROR(__xludf.DUMMYFUNCTION("""COMPUTED_VALUE"""),0.0)</f>
        <v>0</v>
      </c>
      <c r="H269" s="6" t="str">
        <f>IFERROR(__xludf.DUMMYFUNCTION("""COMPUTED_VALUE"""),"pcs")</f>
        <v>pcs</v>
      </c>
      <c r="I269" s="6" t="str">
        <f>IFERROR(__xludf.DUMMYFUNCTION("""COMPUTED_VALUE"""),"MFH")</f>
        <v>MFH</v>
      </c>
      <c r="J269" s="6" t="str">
        <f>IFERROR(__xludf.DUMMYFUNCTION("""COMPUTED_VALUE"""),"-")</f>
        <v>-</v>
      </c>
      <c r="K269" s="6" t="str">
        <f>IFERROR(__xludf.DUMMYFUNCTION("""COMPUTED_VALUE"""),"SPR/11/23/006")</f>
        <v>SPR/11/23/006</v>
      </c>
      <c r="L269" s="13">
        <f>IFERROR(__xludf.DUMMYFUNCTION("""COMPUTED_VALUE"""),45231.0)</f>
        <v>45231</v>
      </c>
    </row>
    <row r="270">
      <c r="A270" s="6" t="str">
        <f>IFERROR(__xludf.DUMMYFUNCTION("""COMPUTED_VALUE"""),"NDS")</f>
        <v>NDS</v>
      </c>
      <c r="B270" s="6" t="str">
        <f>IFERROR(__xludf.DUMMYFUNCTION("""COMPUTED_VALUE"""),"ENG")</f>
        <v>ENG</v>
      </c>
      <c r="C270" s="6" t="str">
        <f>IFERROR(__xludf.DUMMYFUNCTION("""COMPUTED_VALUE"""),"S-11976-00")</f>
        <v>S-11976-00</v>
      </c>
      <c r="D270" s="6" t="str">
        <f>IFERROR(__xludf.DUMMYFUNCTION("""COMPUTED_VALUE"""),"Selang Hydrant")</f>
        <v>Selang Hydrant</v>
      </c>
      <c r="E270" s="6">
        <f>IFERROR(__xludf.DUMMYFUNCTION("""COMPUTED_VALUE"""),2.0)</f>
        <v>2</v>
      </c>
      <c r="F270" s="6">
        <f>IFERROR(__xludf.DUMMYFUNCTION("""COMPUTED_VALUE"""),2.0)</f>
        <v>2</v>
      </c>
      <c r="G270" s="6">
        <f>IFERROR(__xludf.DUMMYFUNCTION("""COMPUTED_VALUE"""),0.0)</f>
        <v>0</v>
      </c>
      <c r="H270" s="6" t="str">
        <f>IFERROR(__xludf.DUMMYFUNCTION("""COMPUTED_VALUE"""),"pcs")</f>
        <v>pcs</v>
      </c>
      <c r="I270" s="6" t="str">
        <f>IFERROR(__xludf.DUMMYFUNCTION("""COMPUTED_VALUE"""),"MFH")</f>
        <v>MFH</v>
      </c>
      <c r="J270" s="6" t="str">
        <f>IFERROR(__xludf.DUMMYFUNCTION("""COMPUTED_VALUE"""),"-")</f>
        <v>-</v>
      </c>
      <c r="K270" s="6" t="str">
        <f>IFERROR(__xludf.DUMMYFUNCTION("""COMPUTED_VALUE"""),"SPR/11/23/006")</f>
        <v>SPR/11/23/006</v>
      </c>
      <c r="L270" s="13">
        <f>IFERROR(__xludf.DUMMYFUNCTION("""COMPUTED_VALUE"""),45231.0)</f>
        <v>45231</v>
      </c>
    </row>
    <row r="271">
      <c r="A271" s="6" t="str">
        <f>IFERROR(__xludf.DUMMYFUNCTION("""COMPUTED_VALUE"""),"RIA")</f>
        <v>RIA</v>
      </c>
      <c r="B271" s="6" t="str">
        <f>IFERROR(__xludf.DUMMYFUNCTION("""COMPUTED_VALUE"""),"ENG")</f>
        <v>ENG</v>
      </c>
      <c r="C271" s="6" t="str">
        <f>IFERROR(__xludf.DUMMYFUNCTION("""COMPUTED_VALUE"""),"Q-10570-00")</f>
        <v>Q-10570-00</v>
      </c>
      <c r="D271" s="6" t="str">
        <f>IFERROR(__xludf.DUMMYFUNCTION("""COMPUTED_VALUE"""),"Kap Lampu TL RM 2X18 Watt")</f>
        <v>Kap Lampu TL RM 2X18 Watt</v>
      </c>
      <c r="E271" s="6">
        <f>IFERROR(__xludf.DUMMYFUNCTION("""COMPUTED_VALUE"""),1.0)</f>
        <v>1</v>
      </c>
      <c r="F271" s="6">
        <f>IFERROR(__xludf.DUMMYFUNCTION("""COMPUTED_VALUE"""),1.0)</f>
        <v>1</v>
      </c>
      <c r="G271" s="6">
        <f>IFERROR(__xludf.DUMMYFUNCTION("""COMPUTED_VALUE"""),0.0)</f>
        <v>0</v>
      </c>
      <c r="H271" s="6" t="str">
        <f>IFERROR(__xludf.DUMMYFUNCTION("""COMPUTED_VALUE"""),"pcs")</f>
        <v>pcs</v>
      </c>
      <c r="I271" s="6" t="str">
        <f>IFERROR(__xludf.DUMMYFUNCTION("""COMPUTED_VALUE"""),"MFH")</f>
        <v>MFH</v>
      </c>
      <c r="J271" s="6" t="str">
        <f>IFERROR(__xludf.DUMMYFUNCTION("""COMPUTED_VALUE"""),"Building")</f>
        <v>Building</v>
      </c>
      <c r="K271" s="6" t="str">
        <f>IFERROR(__xludf.DUMMYFUNCTION("""COMPUTED_VALUE"""),"SPR/11/23/007")</f>
        <v>SPR/11/23/007</v>
      </c>
      <c r="L271" s="13">
        <f>IFERROR(__xludf.DUMMYFUNCTION("""COMPUTED_VALUE"""),45231.0)</f>
        <v>45231</v>
      </c>
    </row>
    <row r="272">
      <c r="A272" s="6" t="str">
        <f>IFERROR(__xludf.DUMMYFUNCTION("""COMPUTED_VALUE"""),"RIA")</f>
        <v>RIA</v>
      </c>
      <c r="B272" s="6" t="str">
        <f>IFERROR(__xludf.DUMMYFUNCTION("""COMPUTED_VALUE"""),"ENG")</f>
        <v>ENG</v>
      </c>
      <c r="C272" s="6" t="str">
        <f>IFERROR(__xludf.DUMMYFUNCTION("""COMPUTED_VALUE"""),"P-10945-00")</f>
        <v>P-10945-00</v>
      </c>
      <c r="D272" s="6" t="str">
        <f>IFERROR(__xludf.DUMMYFUNCTION("""COMPUTED_VALUE"""),"Insulation - Seal Tape onda")</f>
        <v>Insulation - Seal Tape onda</v>
      </c>
      <c r="E272" s="6">
        <f>IFERROR(__xludf.DUMMYFUNCTION("""COMPUTED_VALUE"""),3.0)</f>
        <v>3</v>
      </c>
      <c r="F272" s="6">
        <f>IFERROR(__xludf.DUMMYFUNCTION("""COMPUTED_VALUE"""),3.0)</f>
        <v>3</v>
      </c>
      <c r="G272" s="6">
        <f>IFERROR(__xludf.DUMMYFUNCTION("""COMPUTED_VALUE"""),0.0)</f>
        <v>0</v>
      </c>
      <c r="H272" s="6" t="str">
        <f>IFERROR(__xludf.DUMMYFUNCTION("""COMPUTED_VALUE"""),"pcs")</f>
        <v>pcs</v>
      </c>
      <c r="I272" s="6" t="str">
        <f>IFERROR(__xludf.DUMMYFUNCTION("""COMPUTED_VALUE"""),"MFH")</f>
        <v>MFH</v>
      </c>
      <c r="J272" s="6" t="str">
        <f>IFERROR(__xludf.DUMMYFUNCTION("""COMPUTED_VALUE"""),"WWTP")</f>
        <v>WWTP</v>
      </c>
      <c r="K272" s="6" t="str">
        <f>IFERROR(__xludf.DUMMYFUNCTION("""COMPUTED_VALUE"""),"SPR/11/23/008")</f>
        <v>SPR/11/23/008</v>
      </c>
      <c r="L272" s="13">
        <f>IFERROR(__xludf.DUMMYFUNCTION("""COMPUTED_VALUE"""),45231.0)</f>
        <v>45231</v>
      </c>
    </row>
    <row r="273">
      <c r="A273" s="6" t="str">
        <f>IFERROR(__xludf.DUMMYFUNCTION("""COMPUTED_VALUE"""),"RIA")</f>
        <v>RIA</v>
      </c>
      <c r="B273" s="6" t="str">
        <f>IFERROR(__xludf.DUMMYFUNCTION("""COMPUTED_VALUE"""),"ENG")</f>
        <v>ENG</v>
      </c>
      <c r="C273" s="6" t="str">
        <f>IFERROR(__xludf.DUMMYFUNCTION("""COMPUTED_VALUE"""),"P-51027-00")</f>
        <v>P-51027-00</v>
      </c>
      <c r="D27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73" s="6">
        <f>IFERROR(__xludf.DUMMYFUNCTION("""COMPUTED_VALUE"""),1.0)</f>
        <v>1</v>
      </c>
      <c r="F273" s="6">
        <f>IFERROR(__xludf.DUMMYFUNCTION("""COMPUTED_VALUE"""),1.0)</f>
        <v>1</v>
      </c>
      <c r="G273" s="6">
        <f>IFERROR(__xludf.DUMMYFUNCTION("""COMPUTED_VALUE"""),0.0)</f>
        <v>0</v>
      </c>
      <c r="H273" s="6" t="str">
        <f>IFERROR(__xludf.DUMMYFUNCTION("""COMPUTED_VALUE"""),"pcs")</f>
        <v>pcs</v>
      </c>
      <c r="I273" s="6" t="str">
        <f>IFERROR(__xludf.DUMMYFUNCTION("""COMPUTED_VALUE"""),"MFH")</f>
        <v>MFH</v>
      </c>
      <c r="J273" s="6" t="str">
        <f>IFERROR(__xludf.DUMMYFUNCTION("""COMPUTED_VALUE"""),"WWTP")</f>
        <v>WWTP</v>
      </c>
      <c r="K273" s="6" t="str">
        <f>IFERROR(__xludf.DUMMYFUNCTION("""COMPUTED_VALUE"""),"SPR/11/23/008")</f>
        <v>SPR/11/23/008</v>
      </c>
      <c r="L273" s="13">
        <f>IFERROR(__xludf.DUMMYFUNCTION("""COMPUTED_VALUE"""),45231.0)</f>
        <v>45231</v>
      </c>
    </row>
    <row r="274">
      <c r="A274" s="6" t="str">
        <f>IFERROR(__xludf.DUMMYFUNCTION("""COMPUTED_VALUE"""),"RIA")</f>
        <v>RIA</v>
      </c>
      <c r="B274" s="6" t="str">
        <f>IFERROR(__xludf.DUMMYFUNCTION("""COMPUTED_VALUE"""),"ENG")</f>
        <v>ENG</v>
      </c>
      <c r="C274" s="6" t="str">
        <f>IFERROR(__xludf.DUMMYFUNCTION("""COMPUTED_VALUE"""),"P-52642-00")</f>
        <v>P-52642-00</v>
      </c>
      <c r="D274" s="6" t="str">
        <f>IFERROR(__xludf.DUMMYFUNCTION("""COMPUTED_VALUE"""),"Kabel NYYHY 2 x 0.75 mm")</f>
        <v>Kabel NYYHY 2 x 0.75 mm</v>
      </c>
      <c r="E274" s="6">
        <f>IFERROR(__xludf.DUMMYFUNCTION("""COMPUTED_VALUE"""),20.0)</f>
        <v>20</v>
      </c>
      <c r="F274" s="6">
        <f>IFERROR(__xludf.DUMMYFUNCTION("""COMPUTED_VALUE"""),20.0)</f>
        <v>20</v>
      </c>
      <c r="G274" s="6">
        <f>IFERROR(__xludf.DUMMYFUNCTION("""COMPUTED_VALUE"""),0.0)</f>
        <v>0</v>
      </c>
      <c r="H274" s="6" t="str">
        <f>IFERROR(__xludf.DUMMYFUNCTION("""COMPUTED_VALUE"""),"pcs")</f>
        <v>pcs</v>
      </c>
      <c r="I274" s="6" t="str">
        <f>IFERROR(__xludf.DUMMYFUNCTION("""COMPUTED_VALUE"""),"MFH")</f>
        <v>MFH</v>
      </c>
      <c r="J274" s="6" t="str">
        <f>IFERROR(__xludf.DUMMYFUNCTION("""COMPUTED_VALUE"""),"WWTP")</f>
        <v>WWTP</v>
      </c>
      <c r="K274" s="6" t="str">
        <f>IFERROR(__xludf.DUMMYFUNCTION("""COMPUTED_VALUE"""),"SPR/11/23/008")</f>
        <v>SPR/11/23/008</v>
      </c>
      <c r="L274" s="13">
        <f>IFERROR(__xludf.DUMMYFUNCTION("""COMPUTED_VALUE"""),45231.0)</f>
        <v>45231</v>
      </c>
    </row>
    <row r="275">
      <c r="A275" s="6" t="str">
        <f>IFERROR(__xludf.DUMMYFUNCTION("""COMPUTED_VALUE"""),"RIA")</f>
        <v>RIA</v>
      </c>
      <c r="B275" s="6" t="str">
        <f>IFERROR(__xludf.DUMMYFUNCTION("""COMPUTED_VALUE"""),"ENG")</f>
        <v>ENG</v>
      </c>
      <c r="C275" s="6" t="str">
        <f>IFERROR(__xludf.DUMMYFUNCTION("""COMPUTED_VALUE"""),"P-51560-00")</f>
        <v>P-51560-00</v>
      </c>
      <c r="D275" s="6" t="str">
        <f>IFERROR(__xludf.DUMMYFUNCTION("""COMPUTED_VALUE"""),"Lampu T5 28watt Putih; Phillips; ;")</f>
        <v>Lampu T5 28watt Putih; Phillips; ;</v>
      </c>
      <c r="E275" s="6">
        <f>IFERROR(__xludf.DUMMYFUNCTION("""COMPUTED_VALUE"""),4.0)</f>
        <v>4</v>
      </c>
      <c r="F275" s="6">
        <f>IFERROR(__xludf.DUMMYFUNCTION("""COMPUTED_VALUE"""),4.0)</f>
        <v>4</v>
      </c>
      <c r="G275" s="6">
        <f>IFERROR(__xludf.DUMMYFUNCTION("""COMPUTED_VALUE"""),0.0)</f>
        <v>0</v>
      </c>
      <c r="H275" s="6" t="str">
        <f>IFERROR(__xludf.DUMMYFUNCTION("""COMPUTED_VALUE"""),"pcs")</f>
        <v>pcs</v>
      </c>
      <c r="I275" s="6" t="str">
        <f>IFERROR(__xludf.DUMMYFUNCTION("""COMPUTED_VALUE"""),"MFH")</f>
        <v>MFH</v>
      </c>
      <c r="J275" s="6" t="str">
        <f>IFERROR(__xludf.DUMMYFUNCTION("""COMPUTED_VALUE"""),"WASHING")</f>
        <v>WASHING</v>
      </c>
      <c r="K275" s="6" t="str">
        <f>IFERROR(__xludf.DUMMYFUNCTION("""COMPUTED_VALUE"""),"SPR/11/23/009")</f>
        <v>SPR/11/23/009</v>
      </c>
      <c r="L275" s="13">
        <f>IFERROR(__xludf.DUMMYFUNCTION("""COMPUTED_VALUE"""),45231.0)</f>
        <v>45231</v>
      </c>
    </row>
    <row r="276">
      <c r="A276" s="6" t="str">
        <f>IFERROR(__xludf.DUMMYFUNCTION("""COMPUTED_VALUE"""),"RIA")</f>
        <v>RIA</v>
      </c>
      <c r="B276" s="6" t="str">
        <f>IFERROR(__xludf.DUMMYFUNCTION("""COMPUTED_VALUE"""),"ENG")</f>
        <v>ENG</v>
      </c>
      <c r="C276" s="6" t="str">
        <f>IFERROR(__xludf.DUMMYFUNCTION("""COMPUTED_VALUE"""),"P-51559-00")</f>
        <v>P-51559-00</v>
      </c>
      <c r="D276" s="6" t="str">
        <f>IFERROR(__xludf.DUMMYFUNCTION("""COMPUTED_VALUE"""),"Lampu T5 14watt Putih; Phillips; ;")</f>
        <v>Lampu T5 14watt Putih; Phillips; ;</v>
      </c>
      <c r="E276" s="6">
        <f>IFERROR(__xludf.DUMMYFUNCTION("""COMPUTED_VALUE"""),2.0)</f>
        <v>2</v>
      </c>
      <c r="F276" s="6">
        <f>IFERROR(__xludf.DUMMYFUNCTION("""COMPUTED_VALUE"""),2.0)</f>
        <v>2</v>
      </c>
      <c r="G276" s="6">
        <f>IFERROR(__xludf.DUMMYFUNCTION("""COMPUTED_VALUE"""),0.0)</f>
        <v>0</v>
      </c>
      <c r="H276" s="6" t="str">
        <f>IFERROR(__xludf.DUMMYFUNCTION("""COMPUTED_VALUE"""),"pcs")</f>
        <v>pcs</v>
      </c>
      <c r="I276" s="6" t="str">
        <f>IFERROR(__xludf.DUMMYFUNCTION("""COMPUTED_VALUE"""),"MFH")</f>
        <v>MFH</v>
      </c>
      <c r="J276" s="6" t="str">
        <f>IFERROR(__xludf.DUMMYFUNCTION("""COMPUTED_VALUE"""),"Building")</f>
        <v>Building</v>
      </c>
      <c r="K276" s="6" t="str">
        <f>IFERROR(__xludf.DUMMYFUNCTION("""COMPUTED_VALUE"""),"SPR/11/23/009")</f>
        <v>SPR/11/23/009</v>
      </c>
      <c r="L276" s="13">
        <f>IFERROR(__xludf.DUMMYFUNCTION("""COMPUTED_VALUE"""),45231.0)</f>
        <v>45231</v>
      </c>
    </row>
    <row r="277">
      <c r="A277" s="6" t="str">
        <f>IFERROR(__xludf.DUMMYFUNCTION("""COMPUTED_VALUE"""),"RIA")</f>
        <v>RIA</v>
      </c>
      <c r="B277" s="6" t="str">
        <f>IFERROR(__xludf.DUMMYFUNCTION("""COMPUTED_VALUE"""),"ENG")</f>
        <v>ENG</v>
      </c>
      <c r="C277" s="6" t="str">
        <f>IFERROR(__xludf.DUMMYFUNCTION("""COMPUTED_VALUE"""),"P-53169-00")</f>
        <v>P-53169-00</v>
      </c>
      <c r="D277" s="6" t="str">
        <f>IFERROR(__xludf.DUMMYFUNCTION("""COMPUTED_VALUE"""),"Ballast Electronic EB-C 228 TL5, 2x28W; Phillips; ;")</f>
        <v>Ballast Electronic EB-C 228 TL5, 2x28W; Phillips; ;</v>
      </c>
      <c r="E277" s="6">
        <f>IFERROR(__xludf.DUMMYFUNCTION("""COMPUTED_VALUE"""),3.0)</f>
        <v>3</v>
      </c>
      <c r="F277" s="6">
        <f>IFERROR(__xludf.DUMMYFUNCTION("""COMPUTED_VALUE"""),3.0)</f>
        <v>3</v>
      </c>
      <c r="G277" s="6">
        <f>IFERROR(__xludf.DUMMYFUNCTION("""COMPUTED_VALUE"""),0.0)</f>
        <v>0</v>
      </c>
      <c r="H277" s="6" t="str">
        <f>IFERROR(__xludf.DUMMYFUNCTION("""COMPUTED_VALUE"""),"pcs")</f>
        <v>pcs</v>
      </c>
      <c r="I277" s="6" t="str">
        <f>IFERROR(__xludf.DUMMYFUNCTION("""COMPUTED_VALUE"""),"MFH")</f>
        <v>MFH</v>
      </c>
      <c r="J277" s="6" t="str">
        <f>IFERROR(__xludf.DUMMYFUNCTION("""COMPUTED_VALUE"""),"WASHING")</f>
        <v>WASHING</v>
      </c>
      <c r="K277" s="6" t="str">
        <f>IFERROR(__xludf.DUMMYFUNCTION("""COMPUTED_VALUE"""),"SPR/11/23/009")</f>
        <v>SPR/11/23/009</v>
      </c>
      <c r="L277" s="13">
        <f>IFERROR(__xludf.DUMMYFUNCTION("""COMPUTED_VALUE"""),45231.0)</f>
        <v>45231</v>
      </c>
    </row>
    <row r="278">
      <c r="A278" s="6" t="str">
        <f>IFERROR(__xludf.DUMMYFUNCTION("""COMPUTED_VALUE"""),"ROS")</f>
        <v>ROS</v>
      </c>
      <c r="B278" s="6" t="str">
        <f>IFERROR(__xludf.DUMMYFUNCTION("""COMPUTED_VALUE"""),"ENG")</f>
        <v>ENG</v>
      </c>
      <c r="C278" s="6" t="str">
        <f>IFERROR(__xludf.DUMMYFUNCTION("""COMPUTED_VALUE"""),"P-15852-00")</f>
        <v>P-15852-00</v>
      </c>
      <c r="D278" s="6" t="str">
        <f>IFERROR(__xludf.DUMMYFUNCTION("""COMPUTED_VALUE"""),"AMPLAS EAGLE 500")</f>
        <v>AMPLAS EAGLE 500</v>
      </c>
      <c r="E278" s="6">
        <f>IFERROR(__xludf.DUMMYFUNCTION("""COMPUTED_VALUE"""),1.0)</f>
        <v>1</v>
      </c>
      <c r="F278" s="6">
        <f>IFERROR(__xludf.DUMMYFUNCTION("""COMPUTED_VALUE"""),1.0)</f>
        <v>1</v>
      </c>
      <c r="G278" s="6">
        <f>IFERROR(__xludf.DUMMYFUNCTION("""COMPUTED_VALUE"""),0.0)</f>
        <v>0</v>
      </c>
      <c r="H278" s="6" t="str">
        <f>IFERROR(__xludf.DUMMYFUNCTION("""COMPUTED_VALUE"""),"pcs")</f>
        <v>pcs</v>
      </c>
      <c r="I278" s="6" t="str">
        <f>IFERROR(__xludf.DUMMYFUNCTION("""COMPUTED_VALUE"""),"MFH")</f>
        <v>MFH</v>
      </c>
      <c r="J278" s="6" t="str">
        <f>IFERROR(__xludf.DUMMYFUNCTION("""COMPUTED_VALUE"""),"-")</f>
        <v>-</v>
      </c>
      <c r="K278" s="6" t="str">
        <f>IFERROR(__xludf.DUMMYFUNCTION("""COMPUTED_VALUE"""),"SPR/11/23/010")</f>
        <v>SPR/11/23/010</v>
      </c>
      <c r="L278" s="13">
        <f>IFERROR(__xludf.DUMMYFUNCTION("""COMPUTED_VALUE"""),45231.0)</f>
        <v>45231</v>
      </c>
    </row>
    <row r="279">
      <c r="A279" s="6" t="str">
        <f>IFERROR(__xludf.DUMMYFUNCTION("""COMPUTED_VALUE"""),"ROS")</f>
        <v>ROS</v>
      </c>
      <c r="B279" s="6" t="str">
        <f>IFERROR(__xludf.DUMMYFUNCTION("""COMPUTED_VALUE"""),"ENG")</f>
        <v>ENG</v>
      </c>
      <c r="C279" s="6" t="str">
        <f>IFERROR(__xludf.DUMMYFUNCTION("""COMPUTED_VALUE"""),"P-18467-00")</f>
        <v>P-18467-00</v>
      </c>
      <c r="D279" s="6" t="str">
        <f>IFERROR(__xludf.DUMMYFUNCTION("""COMPUTED_VALUE"""),"Pass Box Stickers JZC-A Kecil")</f>
        <v>Pass Box Stickers JZC-A Kecil</v>
      </c>
      <c r="E279" s="6">
        <f>IFERROR(__xludf.DUMMYFUNCTION("""COMPUTED_VALUE"""),3.0)</f>
        <v>3</v>
      </c>
      <c r="F279" s="6">
        <f>IFERROR(__xludf.DUMMYFUNCTION("""COMPUTED_VALUE"""),3.0)</f>
        <v>3</v>
      </c>
      <c r="G279" s="6">
        <f>IFERROR(__xludf.DUMMYFUNCTION("""COMPUTED_VALUE"""),0.0)</f>
        <v>0</v>
      </c>
      <c r="H279" s="6" t="str">
        <f>IFERROR(__xludf.DUMMYFUNCTION("""COMPUTED_VALUE"""),"pcs")</f>
        <v>pcs</v>
      </c>
      <c r="I279" s="6" t="str">
        <f>IFERROR(__xludf.DUMMYFUNCTION("""COMPUTED_VALUE"""),"MFH")</f>
        <v>MFH</v>
      </c>
      <c r="J279" s="6" t="str">
        <f>IFERROR(__xludf.DUMMYFUNCTION("""COMPUTED_VALUE"""),"Building")</f>
        <v>Building</v>
      </c>
      <c r="K279" s="6" t="str">
        <f>IFERROR(__xludf.DUMMYFUNCTION("""COMPUTED_VALUE"""),"SPR/11/23/011")</f>
        <v>SPR/11/23/011</v>
      </c>
      <c r="L279" s="13">
        <f>IFERROR(__xludf.DUMMYFUNCTION("""COMPUTED_VALUE"""),45231.0)</f>
        <v>45231</v>
      </c>
    </row>
    <row r="280">
      <c r="A280" s="6" t="str">
        <f>IFERROR(__xludf.DUMMYFUNCTION("""COMPUTED_VALUE"""),"RIA")</f>
        <v>RIA</v>
      </c>
      <c r="B280" s="6" t="str">
        <f>IFERROR(__xludf.DUMMYFUNCTION("""COMPUTED_VALUE"""),"ENG")</f>
        <v>ENG</v>
      </c>
      <c r="C280" s="6" t="str">
        <f>IFERROR(__xludf.DUMMYFUNCTION("""COMPUTED_VALUE"""),"P-50506-00")</f>
        <v>P-50506-00</v>
      </c>
      <c r="D280" s="6" t="str">
        <f>IFERROR(__xludf.DUMMYFUNCTION("""COMPUTED_VALUE"""),"Saklar Tunggal / 250 V / Clipsal")</f>
        <v>Saklar Tunggal / 250 V / Clipsal</v>
      </c>
      <c r="E280" s="6">
        <f>IFERROR(__xludf.DUMMYFUNCTION("""COMPUTED_VALUE"""),1.0)</f>
        <v>1</v>
      </c>
      <c r="F280" s="6">
        <f>IFERROR(__xludf.DUMMYFUNCTION("""COMPUTED_VALUE"""),1.0)</f>
        <v>1</v>
      </c>
      <c r="G280" s="6">
        <f>IFERROR(__xludf.DUMMYFUNCTION("""COMPUTED_VALUE"""),0.0)</f>
        <v>0</v>
      </c>
      <c r="H280" s="6" t="str">
        <f>IFERROR(__xludf.DUMMYFUNCTION("""COMPUTED_VALUE"""),"pcs")</f>
        <v>pcs</v>
      </c>
      <c r="I280" s="6" t="str">
        <f>IFERROR(__xludf.DUMMYFUNCTION("""COMPUTED_VALUE"""),"MFH")</f>
        <v>MFH</v>
      </c>
      <c r="J280" s="6" t="str">
        <f>IFERROR(__xludf.DUMMYFUNCTION("""COMPUTED_VALUE"""),"Filling")</f>
        <v>Filling</v>
      </c>
      <c r="K280" s="6" t="str">
        <f>IFERROR(__xludf.DUMMYFUNCTION("""COMPUTED_VALUE"""),"SPR/11/23/012")</f>
        <v>SPR/11/23/012</v>
      </c>
      <c r="L280" s="13">
        <f>IFERROR(__xludf.DUMMYFUNCTION("""COMPUTED_VALUE"""),45231.0)</f>
        <v>45231</v>
      </c>
    </row>
    <row r="281">
      <c r="A281" s="6" t="str">
        <f>IFERROR(__xludf.DUMMYFUNCTION("""COMPUTED_VALUE"""),"RIA")</f>
        <v>RIA</v>
      </c>
      <c r="B281" s="6" t="str">
        <f>IFERROR(__xludf.DUMMYFUNCTION("""COMPUTED_VALUE"""),"ENG")</f>
        <v>ENG</v>
      </c>
      <c r="C281" s="6" t="str">
        <f>IFERROR(__xludf.DUMMYFUNCTION("""COMPUTED_VALUE"""),"Q-10249-00")</f>
        <v>Q-10249-00</v>
      </c>
      <c r="D281" s="6" t="str">
        <f>IFERROR(__xludf.DUMMYFUNCTION("""COMPUTED_VALUE"""),"Lem Power Glue; ; ;")</f>
        <v>Lem Power Glue; ; ;</v>
      </c>
      <c r="E281" s="6">
        <f>IFERROR(__xludf.DUMMYFUNCTION("""COMPUTED_VALUE"""),2.0)</f>
        <v>2</v>
      </c>
      <c r="F281" s="6">
        <f>IFERROR(__xludf.DUMMYFUNCTION("""COMPUTED_VALUE"""),2.0)</f>
        <v>2</v>
      </c>
      <c r="G281" s="6">
        <f>IFERROR(__xludf.DUMMYFUNCTION("""COMPUTED_VALUE"""),0.0)</f>
        <v>0</v>
      </c>
      <c r="H281" s="6" t="str">
        <f>IFERROR(__xludf.DUMMYFUNCTION("""COMPUTED_VALUE"""),"pcs")</f>
        <v>pcs</v>
      </c>
      <c r="I281" s="6" t="str">
        <f>IFERROR(__xludf.DUMMYFUNCTION("""COMPUTED_VALUE"""),"MFH")</f>
        <v>MFH</v>
      </c>
      <c r="J281" s="6" t="str">
        <f>IFERROR(__xludf.DUMMYFUNCTION("""COMPUTED_VALUE"""),"Capping")</f>
        <v>Capping</v>
      </c>
      <c r="K281" s="6" t="str">
        <f>IFERROR(__xludf.DUMMYFUNCTION("""COMPUTED_VALUE"""),"SPR/11/23/012")</f>
        <v>SPR/11/23/012</v>
      </c>
      <c r="L281" s="13">
        <f>IFERROR(__xludf.DUMMYFUNCTION("""COMPUTED_VALUE"""),45231.0)</f>
        <v>45231</v>
      </c>
    </row>
    <row r="282">
      <c r="A282" s="6" t="str">
        <f>IFERROR(__xludf.DUMMYFUNCTION("""COMPUTED_VALUE"""),"RIA")</f>
        <v>RIA</v>
      </c>
      <c r="B282" s="6" t="str">
        <f>IFERROR(__xludf.DUMMYFUNCTION("""COMPUTED_VALUE"""),"ENG")</f>
        <v>ENG</v>
      </c>
      <c r="C282" s="6" t="str">
        <f>IFERROR(__xludf.DUMMYFUNCTION("""COMPUTED_VALUE"""),"Q-60003-00")</f>
        <v>Q-60003-00</v>
      </c>
      <c r="D282" s="6" t="str">
        <f>IFERROR(__xludf.DUMMYFUNCTION("""COMPUTED_VALUE"""),"Plakband Kertas")</f>
        <v>Plakband Kertas</v>
      </c>
      <c r="E282" s="6">
        <f>IFERROR(__xludf.DUMMYFUNCTION("""COMPUTED_VALUE"""),1.0)</f>
        <v>1</v>
      </c>
      <c r="F282" s="6">
        <f>IFERROR(__xludf.DUMMYFUNCTION("""COMPUTED_VALUE"""),1.0)</f>
        <v>1</v>
      </c>
      <c r="G282" s="6">
        <f>IFERROR(__xludf.DUMMYFUNCTION("""COMPUTED_VALUE"""),0.0)</f>
        <v>0</v>
      </c>
      <c r="H282" s="6" t="str">
        <f>IFERROR(__xludf.DUMMYFUNCTION("""COMPUTED_VALUE"""),"pcs")</f>
        <v>pcs</v>
      </c>
      <c r="I282" s="6" t="str">
        <f>IFERROR(__xludf.DUMMYFUNCTION("""COMPUTED_VALUE"""),"MFH")</f>
        <v>MFH</v>
      </c>
      <c r="J282" s="6" t="str">
        <f>IFERROR(__xludf.DUMMYFUNCTION("""COMPUTED_VALUE"""),"Capping")</f>
        <v>Capping</v>
      </c>
      <c r="K282" s="6" t="str">
        <f>IFERROR(__xludf.DUMMYFUNCTION("""COMPUTED_VALUE"""),"SPR/11/23/012")</f>
        <v>SPR/11/23/012</v>
      </c>
      <c r="L282" s="13">
        <f>IFERROR(__xludf.DUMMYFUNCTION("""COMPUTED_VALUE"""),45231.0)</f>
        <v>45231</v>
      </c>
    </row>
    <row r="283">
      <c r="A283" s="6" t="str">
        <f>IFERROR(__xludf.DUMMYFUNCTION("""COMPUTED_VALUE"""),"NDS")</f>
        <v>NDS</v>
      </c>
      <c r="B283" s="6" t="str">
        <f>IFERROR(__xludf.DUMMYFUNCTION("""COMPUTED_VALUE"""),"ENG")</f>
        <v>ENG</v>
      </c>
      <c r="C283" s="6" t="str">
        <f>IFERROR(__xludf.DUMMYFUNCTION("""COMPUTED_VALUE"""),"P-50957-00")</f>
        <v>P-50957-00</v>
      </c>
      <c r="D283" s="6" t="str">
        <f>IFERROR(__xludf.DUMMYFUNCTION("""COMPUTED_VALUE"""),"Fuse kaca 3 A 5x 20")</f>
        <v>Fuse kaca 3 A 5x 20</v>
      </c>
      <c r="E283" s="6">
        <f>IFERROR(__xludf.DUMMYFUNCTION("""COMPUTED_VALUE"""),2.0)</f>
        <v>2</v>
      </c>
      <c r="F283" s="6">
        <f>IFERROR(__xludf.DUMMYFUNCTION("""COMPUTED_VALUE"""),2.0)</f>
        <v>2</v>
      </c>
      <c r="G283" s="6">
        <f>IFERROR(__xludf.DUMMYFUNCTION("""COMPUTED_VALUE"""),0.0)</f>
        <v>0</v>
      </c>
      <c r="H283" s="6" t="str">
        <f>IFERROR(__xludf.DUMMYFUNCTION("""COMPUTED_VALUE"""),"pcs")</f>
        <v>pcs</v>
      </c>
      <c r="I283" s="6" t="str">
        <f>IFERROR(__xludf.DUMMYFUNCTION("""COMPUTED_VALUE"""),"MFH")</f>
        <v>MFH</v>
      </c>
      <c r="J283" s="6" t="str">
        <f>IFERROR(__xludf.DUMMYFUNCTION("""COMPUTED_VALUE"""),"Cytocab")</f>
        <v>Cytocab</v>
      </c>
      <c r="K283" s="6" t="str">
        <f>IFERROR(__xludf.DUMMYFUNCTION("""COMPUTED_VALUE"""),"SPR/11/23/013")</f>
        <v>SPR/11/23/013</v>
      </c>
      <c r="L283" s="13">
        <f>IFERROR(__xludf.DUMMYFUNCTION("""COMPUTED_VALUE"""),45231.0)</f>
        <v>45231</v>
      </c>
    </row>
    <row r="284">
      <c r="A284" s="6" t="str">
        <f>IFERROR(__xludf.DUMMYFUNCTION("""COMPUTED_VALUE"""),"NDS")</f>
        <v>NDS</v>
      </c>
      <c r="B284" s="6" t="str">
        <f>IFERROR(__xludf.DUMMYFUNCTION("""COMPUTED_VALUE"""),"ENG")</f>
        <v>ENG</v>
      </c>
      <c r="C284" s="6" t="str">
        <f>IFERROR(__xludf.DUMMYFUNCTION("""COMPUTED_VALUE"""),"P-51027-00")</f>
        <v>P-51027-00</v>
      </c>
      <c r="D28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84" s="6">
        <f>IFERROR(__xludf.DUMMYFUNCTION("""COMPUTED_VALUE"""),1.0)</f>
        <v>1</v>
      </c>
      <c r="F284" s="6">
        <f>IFERROR(__xludf.DUMMYFUNCTION("""COMPUTED_VALUE"""),1.0)</f>
        <v>1</v>
      </c>
      <c r="G284" s="6">
        <f>IFERROR(__xludf.DUMMYFUNCTION("""COMPUTED_VALUE"""),0.0)</f>
        <v>0</v>
      </c>
      <c r="H284" s="6" t="str">
        <f>IFERROR(__xludf.DUMMYFUNCTION("""COMPUTED_VALUE"""),"pcs")</f>
        <v>pcs</v>
      </c>
      <c r="I284" s="6" t="str">
        <f>IFERROR(__xludf.DUMMYFUNCTION("""COMPUTED_VALUE"""),"MFH")</f>
        <v>MFH</v>
      </c>
      <c r="J284" s="6" t="str">
        <f>IFERROR(__xludf.DUMMYFUNCTION("""COMPUTED_VALUE"""),"Cytocab")</f>
        <v>Cytocab</v>
      </c>
      <c r="K284" s="6" t="str">
        <f>IFERROR(__xludf.DUMMYFUNCTION("""COMPUTED_VALUE"""),"SPR/11/23/013")</f>
        <v>SPR/11/23/013</v>
      </c>
      <c r="L284" s="13">
        <f>IFERROR(__xludf.DUMMYFUNCTION("""COMPUTED_VALUE"""),45231.0)</f>
        <v>45231</v>
      </c>
    </row>
    <row r="285">
      <c r="A285" s="6" t="str">
        <f>IFERROR(__xludf.DUMMYFUNCTION("""COMPUTED_VALUE"""),"MRN")</f>
        <v>MRN</v>
      </c>
      <c r="B285" s="6" t="str">
        <f>IFERROR(__xludf.DUMMYFUNCTION("""COMPUTED_VALUE"""),"ENG")</f>
        <v>ENG</v>
      </c>
      <c r="C285" s="6" t="str">
        <f>IFERROR(__xludf.DUMMYFUNCTION("""COMPUTED_VALUE"""),"P-51560-00")</f>
        <v>P-51560-00</v>
      </c>
      <c r="D285" s="6" t="str">
        <f>IFERROR(__xludf.DUMMYFUNCTION("""COMPUTED_VALUE"""),"Lampu T5 28watt Putih; Phillips; ;")</f>
        <v>Lampu T5 28watt Putih; Phillips; ;</v>
      </c>
      <c r="E285" s="6">
        <f>IFERROR(__xludf.DUMMYFUNCTION("""COMPUTED_VALUE"""),2.0)</f>
        <v>2</v>
      </c>
      <c r="F285" s="6">
        <f>IFERROR(__xludf.DUMMYFUNCTION("""COMPUTED_VALUE"""),2.0)</f>
        <v>2</v>
      </c>
      <c r="G285" s="6">
        <f>IFERROR(__xludf.DUMMYFUNCTION("""COMPUTED_VALUE"""),0.0)</f>
        <v>0</v>
      </c>
      <c r="H285" s="6" t="str">
        <f>IFERROR(__xludf.DUMMYFUNCTION("""COMPUTED_VALUE"""),"pcs")</f>
        <v>pcs</v>
      </c>
      <c r="I285" s="6" t="str">
        <f>IFERROR(__xludf.DUMMYFUNCTION("""COMPUTED_VALUE"""),"MFH")</f>
        <v>MFH</v>
      </c>
      <c r="J285" s="6" t="str">
        <f>IFERROR(__xludf.DUMMYFUNCTION("""COMPUTED_VALUE"""),"Building")</f>
        <v>Building</v>
      </c>
      <c r="K285" s="6" t="str">
        <f>IFERROR(__xludf.DUMMYFUNCTION("""COMPUTED_VALUE"""),"SPR/11/23/014")</f>
        <v>SPR/11/23/014</v>
      </c>
      <c r="L285" s="13">
        <f>IFERROR(__xludf.DUMMYFUNCTION("""COMPUTED_VALUE"""),45231.0)</f>
        <v>45231</v>
      </c>
    </row>
    <row r="286">
      <c r="A286" s="6" t="str">
        <f>IFERROR(__xludf.DUMMYFUNCTION("""COMPUTED_VALUE"""),"NDS")</f>
        <v>NDS</v>
      </c>
      <c r="B286" s="6" t="str">
        <f>IFERROR(__xludf.DUMMYFUNCTION("""COMPUTED_VALUE"""),"ENG")</f>
        <v>ENG</v>
      </c>
      <c r="C286" s="6" t="str">
        <f>IFERROR(__xludf.DUMMYFUNCTION("""COMPUTED_VALUE"""),"O-15566-00")</f>
        <v>O-15566-00</v>
      </c>
      <c r="D286" s="6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E286" s="6">
        <f>IFERROR(__xludf.DUMMYFUNCTION("""COMPUTED_VALUE"""),1.0)</f>
        <v>1</v>
      </c>
      <c r="F286" s="6">
        <f>IFERROR(__xludf.DUMMYFUNCTION("""COMPUTED_VALUE"""),1.0)</f>
        <v>1</v>
      </c>
      <c r="G286" s="6">
        <f>IFERROR(__xludf.DUMMYFUNCTION("""COMPUTED_VALUE"""),0.0)</f>
        <v>0</v>
      </c>
      <c r="H286" s="6" t="str">
        <f>IFERROR(__xludf.DUMMYFUNCTION("""COMPUTED_VALUE"""),"pcs")</f>
        <v>pcs</v>
      </c>
      <c r="I286" s="6" t="str">
        <f>IFERROR(__xludf.DUMMYFUNCTION("""COMPUTED_VALUE"""),"MFH")</f>
        <v>MFH</v>
      </c>
      <c r="J286" s="6" t="str">
        <f>IFERROR(__xludf.DUMMYFUNCTION("""COMPUTED_VALUE"""),"Filling")</f>
        <v>Filling</v>
      </c>
      <c r="K286" s="6" t="str">
        <f>IFERROR(__xludf.DUMMYFUNCTION("""COMPUTED_VALUE"""),"SPR/11/23/015")</f>
        <v>SPR/11/23/015</v>
      </c>
      <c r="L286" s="13">
        <f>IFERROR(__xludf.DUMMYFUNCTION("""COMPUTED_VALUE"""),45231.0)</f>
        <v>45231</v>
      </c>
    </row>
    <row r="287">
      <c r="A287" s="6" t="str">
        <f>IFERROR(__xludf.DUMMYFUNCTION("""COMPUTED_VALUE"""),"NDS")</f>
        <v>NDS</v>
      </c>
      <c r="B287" s="6" t="str">
        <f>IFERROR(__xludf.DUMMYFUNCTION("""COMPUTED_VALUE"""),"ENG")</f>
        <v>ENG</v>
      </c>
      <c r="C287" s="6" t="str">
        <f>IFERROR(__xludf.DUMMYFUNCTION("""COMPUTED_VALUE"""),"T-80373-00")</f>
        <v>T-80373-00</v>
      </c>
      <c r="D287" s="6" t="str">
        <f>IFERROR(__xludf.DUMMYFUNCTION("""COMPUTED_VALUE"""),"Plakband Bening 2 inch")</f>
        <v>Plakband Bening 2 inch</v>
      </c>
      <c r="E287" s="6">
        <f>IFERROR(__xludf.DUMMYFUNCTION("""COMPUTED_VALUE"""),1.0)</f>
        <v>1</v>
      </c>
      <c r="F287" s="6">
        <f>IFERROR(__xludf.DUMMYFUNCTION("""COMPUTED_VALUE"""),1.0)</f>
        <v>1</v>
      </c>
      <c r="G287" s="6">
        <f>IFERROR(__xludf.DUMMYFUNCTION("""COMPUTED_VALUE"""),0.0)</f>
        <v>0</v>
      </c>
      <c r="H287" s="6" t="str">
        <f>IFERROR(__xludf.DUMMYFUNCTION("""COMPUTED_VALUE"""),"pcs")</f>
        <v>pcs</v>
      </c>
      <c r="I287" s="6" t="str">
        <f>IFERROR(__xludf.DUMMYFUNCTION("""COMPUTED_VALUE"""),"MFH")</f>
        <v>MFH</v>
      </c>
      <c r="J287" s="6" t="str">
        <f>IFERROR(__xludf.DUMMYFUNCTION("""COMPUTED_VALUE"""),"SKAN")</f>
        <v>SKAN</v>
      </c>
      <c r="K287" s="6" t="str">
        <f>IFERROR(__xludf.DUMMYFUNCTION("""COMPUTED_VALUE"""),"SPR/11/23/016")</f>
        <v>SPR/11/23/016</v>
      </c>
      <c r="L287" s="13">
        <f>IFERROR(__xludf.DUMMYFUNCTION("""COMPUTED_VALUE"""),45231.0)</f>
        <v>45231</v>
      </c>
    </row>
    <row r="288">
      <c r="A288" s="6" t="str">
        <f>IFERROR(__xludf.DUMMYFUNCTION("""COMPUTED_VALUE"""),"MOB")</f>
        <v>MOB</v>
      </c>
      <c r="B288" s="6" t="str">
        <f>IFERROR(__xludf.DUMMYFUNCTION("""COMPUTED_VALUE"""),"ENG")</f>
        <v>ENG</v>
      </c>
      <c r="C288" s="6" t="str">
        <f>IFERROR(__xludf.DUMMYFUNCTION("""COMPUTED_VALUE"""),"P-14453-00")</f>
        <v>P-14453-00</v>
      </c>
      <c r="D288" s="6" t="str">
        <f>IFERROR(__xludf.DUMMYFUNCTION("""COMPUTED_VALUE"""),"Filter IAF MB Series (Medium Filter), efficiency : 60-65 %, Size: 24 x 24 x 12 inch")</f>
        <v>Filter IAF MB Series (Medium Filter), efficiency : 60-65 %, Size: 24 x 24 x 12 inch</v>
      </c>
      <c r="E288" s="6">
        <f>IFERROR(__xludf.DUMMYFUNCTION("""COMPUTED_VALUE"""),1.0)</f>
        <v>1</v>
      </c>
      <c r="F288" s="6">
        <f>IFERROR(__xludf.DUMMYFUNCTION("""COMPUTED_VALUE"""),1.0)</f>
        <v>1</v>
      </c>
      <c r="G288" s="6">
        <f>IFERROR(__xludf.DUMMYFUNCTION("""COMPUTED_VALUE"""),0.0)</f>
        <v>0</v>
      </c>
      <c r="H288" s="6" t="str">
        <f>IFERROR(__xludf.DUMMYFUNCTION("""COMPUTED_VALUE"""),"pcs")</f>
        <v>pcs</v>
      </c>
      <c r="I288" s="6" t="str">
        <f>IFERROR(__xludf.DUMMYFUNCTION("""COMPUTED_VALUE"""),"MFH")</f>
        <v>MFH</v>
      </c>
      <c r="J288" s="6" t="str">
        <f>IFERROR(__xludf.DUMMYFUNCTION("""COMPUTED_VALUE"""),"AHU")</f>
        <v>AHU</v>
      </c>
      <c r="K288" s="6" t="str">
        <f>IFERROR(__xludf.DUMMYFUNCTION("""COMPUTED_VALUE"""),"SPR/11/23/017")</f>
        <v>SPR/11/23/017</v>
      </c>
      <c r="L288" s="13">
        <f>IFERROR(__xludf.DUMMYFUNCTION("""COMPUTED_VALUE"""),45231.0)</f>
        <v>45231</v>
      </c>
    </row>
    <row r="289">
      <c r="A289" s="6" t="str">
        <f>IFERROR(__xludf.DUMMYFUNCTION("""COMPUTED_VALUE"""),"MOB")</f>
        <v>MOB</v>
      </c>
      <c r="B289" s="6" t="str">
        <f>IFERROR(__xludf.DUMMYFUNCTION("""COMPUTED_VALUE"""),"ENG")</f>
        <v>ENG</v>
      </c>
      <c r="C289" s="6" t="str">
        <f>IFERROR(__xludf.DUMMYFUNCTION("""COMPUTED_VALUE"""),"P-14454-00")</f>
        <v>P-14454-00</v>
      </c>
      <c r="D289" s="6" t="str">
        <f>IFERROR(__xludf.DUMMYFUNCTION("""COMPUTED_VALUE"""),"Filter IAF MB Series (Medium Filter), efficiency : 60-65 %, Size: 12 x 24 x 12 inch")</f>
        <v>Filter IAF MB Series (Medium Filter), efficiency : 60-65 %, Size: 12 x 24 x 12 inch</v>
      </c>
      <c r="E289" s="6">
        <f>IFERROR(__xludf.DUMMYFUNCTION("""COMPUTED_VALUE"""),1.0)</f>
        <v>1</v>
      </c>
      <c r="F289" s="6">
        <f>IFERROR(__xludf.DUMMYFUNCTION("""COMPUTED_VALUE"""),1.0)</f>
        <v>1</v>
      </c>
      <c r="G289" s="6">
        <f>IFERROR(__xludf.DUMMYFUNCTION("""COMPUTED_VALUE"""),0.0)</f>
        <v>0</v>
      </c>
      <c r="H289" s="6" t="str">
        <f>IFERROR(__xludf.DUMMYFUNCTION("""COMPUTED_VALUE"""),"pcs")</f>
        <v>pcs</v>
      </c>
      <c r="I289" s="6" t="str">
        <f>IFERROR(__xludf.DUMMYFUNCTION("""COMPUTED_VALUE"""),"MFH")</f>
        <v>MFH</v>
      </c>
      <c r="J289" s="6" t="str">
        <f>IFERROR(__xludf.DUMMYFUNCTION("""COMPUTED_VALUE"""),"AHU")</f>
        <v>AHU</v>
      </c>
      <c r="K289" s="6" t="str">
        <f>IFERROR(__xludf.DUMMYFUNCTION("""COMPUTED_VALUE"""),"SPR/11/23/017")</f>
        <v>SPR/11/23/017</v>
      </c>
      <c r="L289" s="13">
        <f>IFERROR(__xludf.DUMMYFUNCTION("""COMPUTED_VALUE"""),45231.0)</f>
        <v>45231</v>
      </c>
    </row>
    <row r="290">
      <c r="A290" s="6" t="str">
        <f>IFERROR(__xludf.DUMMYFUNCTION("""COMPUTED_VALUE"""),"MOB")</f>
        <v>MOB</v>
      </c>
      <c r="B290" s="6" t="str">
        <f>IFERROR(__xludf.DUMMYFUNCTION("""COMPUTED_VALUE"""),"ENG")</f>
        <v>ENG</v>
      </c>
      <c r="C290" s="6" t="str">
        <f>IFERROR(__xludf.DUMMYFUNCTION("""COMPUTED_VALUE"""),"P-51560-00")</f>
        <v>P-51560-00</v>
      </c>
      <c r="D290" s="6" t="str">
        <f>IFERROR(__xludf.DUMMYFUNCTION("""COMPUTED_VALUE"""),"Lampu T5 28watt Putih; Phillips; ;")</f>
        <v>Lampu T5 28watt Putih; Phillips; ;</v>
      </c>
      <c r="E290" s="6">
        <f>IFERROR(__xludf.DUMMYFUNCTION("""COMPUTED_VALUE"""),4.0)</f>
        <v>4</v>
      </c>
      <c r="F290" s="6">
        <f>IFERROR(__xludf.DUMMYFUNCTION("""COMPUTED_VALUE"""),4.0)</f>
        <v>4</v>
      </c>
      <c r="G290" s="6">
        <f>IFERROR(__xludf.DUMMYFUNCTION("""COMPUTED_VALUE"""),0.0)</f>
        <v>0</v>
      </c>
      <c r="H290" s="6" t="str">
        <f>IFERROR(__xludf.DUMMYFUNCTION("""COMPUTED_VALUE"""),"pcs")</f>
        <v>pcs</v>
      </c>
      <c r="I290" s="6" t="str">
        <f>IFERROR(__xludf.DUMMYFUNCTION("""COMPUTED_VALUE"""),"MFH")</f>
        <v>MFH</v>
      </c>
      <c r="J290" s="6" t="str">
        <f>IFERROR(__xludf.DUMMYFUNCTION("""COMPUTED_VALUE"""),"Building")</f>
        <v>Building</v>
      </c>
      <c r="K290" s="6" t="str">
        <f>IFERROR(__xludf.DUMMYFUNCTION("""COMPUTED_VALUE"""),"SPR/11/23/018")</f>
        <v>SPR/11/23/018</v>
      </c>
      <c r="L290" s="13">
        <f>IFERROR(__xludf.DUMMYFUNCTION("""COMPUTED_VALUE"""),45231.0)</f>
        <v>45231</v>
      </c>
    </row>
    <row r="291">
      <c r="A291" s="6" t="str">
        <f>IFERROR(__xludf.DUMMYFUNCTION("""COMPUTED_VALUE"""),"MOB")</f>
        <v>MOB</v>
      </c>
      <c r="B291" s="6" t="str">
        <f>IFERROR(__xludf.DUMMYFUNCTION("""COMPUTED_VALUE"""),"ENG")</f>
        <v>ENG</v>
      </c>
      <c r="C291" s="6" t="str">
        <f>IFERROR(__xludf.DUMMYFUNCTION("""COMPUTED_VALUE"""),"P-12764-00")</f>
        <v>P-12764-00</v>
      </c>
      <c r="D291" s="6" t="str">
        <f>IFERROR(__xludf.DUMMYFUNCTION("""COMPUTED_VALUE"""),"Silicone gasket for ferrule dia 1/2inch Taiwan")</f>
        <v>Silicone gasket for ferrule dia 1/2inch Taiwan</v>
      </c>
      <c r="E291" s="6">
        <f>IFERROR(__xludf.DUMMYFUNCTION("""COMPUTED_VALUE"""),2.0)</f>
        <v>2</v>
      </c>
      <c r="F291" s="6">
        <f>IFERROR(__xludf.DUMMYFUNCTION("""COMPUTED_VALUE"""),2.0)</f>
        <v>2</v>
      </c>
      <c r="G291" s="6">
        <f>IFERROR(__xludf.DUMMYFUNCTION("""COMPUTED_VALUE"""),0.0)</f>
        <v>0</v>
      </c>
      <c r="H291" s="6" t="str">
        <f>IFERROR(__xludf.DUMMYFUNCTION("""COMPUTED_VALUE"""),"pcs")</f>
        <v>pcs</v>
      </c>
      <c r="I291" s="6" t="str">
        <f>IFERROR(__xludf.DUMMYFUNCTION("""COMPUTED_VALUE"""),"MFH")</f>
        <v>MFH</v>
      </c>
      <c r="J291" s="6" t="str">
        <f>IFERROR(__xludf.DUMMYFUNCTION("""COMPUTED_VALUE"""),"PSG")</f>
        <v>PSG</v>
      </c>
      <c r="K291" s="6" t="str">
        <f>IFERROR(__xludf.DUMMYFUNCTION("""COMPUTED_VALUE"""),"SPR/11/23/019")</f>
        <v>SPR/11/23/019</v>
      </c>
      <c r="L291" s="13">
        <f>IFERROR(__xludf.DUMMYFUNCTION("""COMPUTED_VALUE"""),45231.0)</f>
        <v>45231</v>
      </c>
    </row>
    <row r="292">
      <c r="A292" s="6" t="str">
        <f>IFERROR(__xludf.DUMMYFUNCTION("""COMPUTED_VALUE"""),"AAA")</f>
        <v>AAA</v>
      </c>
      <c r="B292" s="6" t="str">
        <f>IFERROR(__xludf.DUMMYFUNCTION("""COMPUTED_VALUE"""),"ENG")</f>
        <v>ENG</v>
      </c>
      <c r="C292" s="6" t="str">
        <f>IFERROR(__xludf.DUMMYFUNCTION("""COMPUTED_VALUE"""),"O-16033-00")</f>
        <v>O-16033-00</v>
      </c>
      <c r="D29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92" s="6">
        <f>IFERROR(__xludf.DUMMYFUNCTION("""COMPUTED_VALUE"""),2.0)</f>
        <v>2</v>
      </c>
      <c r="F292" s="6">
        <f>IFERROR(__xludf.DUMMYFUNCTION("""COMPUTED_VALUE"""),2.0)</f>
        <v>2</v>
      </c>
      <c r="G292" s="6">
        <f>IFERROR(__xludf.DUMMYFUNCTION("""COMPUTED_VALUE"""),0.0)</f>
        <v>0</v>
      </c>
      <c r="H292" s="6" t="str">
        <f>IFERROR(__xludf.DUMMYFUNCTION("""COMPUTED_VALUE"""),"pcs")</f>
        <v>pcs</v>
      </c>
      <c r="I292" s="6" t="str">
        <f>IFERROR(__xludf.DUMMYFUNCTION("""COMPUTED_VALUE"""),"MFH")</f>
        <v>MFH</v>
      </c>
      <c r="J292" s="6" t="str">
        <f>IFERROR(__xludf.DUMMYFUNCTION("""COMPUTED_VALUE"""),"cRABS")</f>
        <v>cRABS</v>
      </c>
      <c r="K292" s="6" t="str">
        <f>IFERROR(__xludf.DUMMYFUNCTION("""COMPUTED_VALUE"""),"SPR/11/23/020")</f>
        <v>SPR/11/23/020</v>
      </c>
      <c r="L292" s="13">
        <f>IFERROR(__xludf.DUMMYFUNCTION("""COMPUTED_VALUE"""),45231.0)</f>
        <v>45231</v>
      </c>
    </row>
    <row r="293">
      <c r="A293" s="6" t="str">
        <f>IFERROR(__xludf.DUMMYFUNCTION("""COMPUTED_VALUE"""),"AAA")</f>
        <v>AAA</v>
      </c>
      <c r="B293" s="6" t="str">
        <f>IFERROR(__xludf.DUMMYFUNCTION("""COMPUTED_VALUE"""),"ENG")</f>
        <v>ENG</v>
      </c>
      <c r="C293" s="6" t="str">
        <f>IFERROR(__xludf.DUMMYFUNCTION("""COMPUTED_VALUE"""),"O-16032-00")</f>
        <v>O-16032-00</v>
      </c>
      <c r="D293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93" s="6">
        <f>IFERROR(__xludf.DUMMYFUNCTION("""COMPUTED_VALUE"""),1.0)</f>
        <v>1</v>
      </c>
      <c r="F293" s="6">
        <f>IFERROR(__xludf.DUMMYFUNCTION("""COMPUTED_VALUE"""),1.0)</f>
        <v>1</v>
      </c>
      <c r="G293" s="6">
        <f>IFERROR(__xludf.DUMMYFUNCTION("""COMPUTED_VALUE"""),0.0)</f>
        <v>0</v>
      </c>
      <c r="H293" s="6" t="str">
        <f>IFERROR(__xludf.DUMMYFUNCTION("""COMPUTED_VALUE"""),"pcs")</f>
        <v>pcs</v>
      </c>
      <c r="I293" s="6" t="str">
        <f>IFERROR(__xludf.DUMMYFUNCTION("""COMPUTED_VALUE"""),"MFH")</f>
        <v>MFH</v>
      </c>
      <c r="J293" s="6" t="str">
        <f>IFERROR(__xludf.DUMMYFUNCTION("""COMPUTED_VALUE"""),"SKAN")</f>
        <v>SKAN</v>
      </c>
      <c r="K293" s="6" t="str">
        <f>IFERROR(__xludf.DUMMYFUNCTION("""COMPUTED_VALUE"""),"SPR/11/23/020")</f>
        <v>SPR/11/23/020</v>
      </c>
      <c r="L293" s="13">
        <f>IFERROR(__xludf.DUMMYFUNCTION("""COMPUTED_VALUE"""),45231.0)</f>
        <v>45231</v>
      </c>
    </row>
    <row r="294">
      <c r="A294" s="6" t="str">
        <f>IFERROR(__xludf.DUMMYFUNCTION("""COMPUTED_VALUE"""),"NDS")</f>
        <v>NDS</v>
      </c>
      <c r="B294" s="6" t="str">
        <f>IFERROR(__xludf.DUMMYFUNCTION("""COMPUTED_VALUE"""),"ENG")</f>
        <v>ENG</v>
      </c>
      <c r="C294" s="6" t="str">
        <f>IFERROR(__xludf.DUMMYFUNCTION("""COMPUTED_VALUE"""),"O-52278-00")</f>
        <v>O-52278-00</v>
      </c>
      <c r="D294" s="6" t="str">
        <f>IFERROR(__xludf.DUMMYFUNCTION("""COMPUTED_VALUE"""),"Temperature Sensor PT100, 4 wire, class AA, Simplex, c/w 10m silicon cable RAC241-S-10-PN Radix")</f>
        <v>Temperature Sensor PT100, 4 wire, class AA, Simplex, c/w 10m silicon cable RAC241-S-10-PN Radix</v>
      </c>
      <c r="E294" s="6">
        <f>IFERROR(__xludf.DUMMYFUNCTION("""COMPUTED_VALUE"""),1.0)</f>
        <v>1</v>
      </c>
      <c r="F294" s="6">
        <f>IFERROR(__xludf.DUMMYFUNCTION("""COMPUTED_VALUE"""),1.0)</f>
        <v>1</v>
      </c>
      <c r="G294" s="6">
        <f>IFERROR(__xludf.DUMMYFUNCTION("""COMPUTED_VALUE"""),0.0)</f>
        <v>0</v>
      </c>
      <c r="H294" s="6" t="str">
        <f>IFERROR(__xludf.DUMMYFUNCTION("""COMPUTED_VALUE"""),"pcs")</f>
        <v>pcs</v>
      </c>
      <c r="I294" s="6" t="str">
        <f>IFERROR(__xludf.DUMMYFUNCTION("""COMPUTED_VALUE"""),"MFH")</f>
        <v>MFH</v>
      </c>
      <c r="J294" s="6" t="str">
        <f>IFERROR(__xludf.DUMMYFUNCTION("""COMPUTED_VALUE"""),"-")</f>
        <v>-</v>
      </c>
      <c r="K294" s="6" t="str">
        <f>IFERROR(__xludf.DUMMYFUNCTION("""COMPUTED_VALUE"""),"SPR/11/23/021")</f>
        <v>SPR/11/23/021</v>
      </c>
      <c r="L294" s="13">
        <f>IFERROR(__xludf.DUMMYFUNCTION("""COMPUTED_VALUE"""),45231.0)</f>
        <v>45231</v>
      </c>
    </row>
    <row r="295">
      <c r="A295" s="6" t="str">
        <f>IFERROR(__xludf.DUMMYFUNCTION("""COMPUTED_VALUE"""),"INN")</f>
        <v>INN</v>
      </c>
      <c r="B295" s="6" t="str">
        <f>IFERROR(__xludf.DUMMYFUNCTION("""COMPUTED_VALUE"""),"ENG")</f>
        <v>ENG</v>
      </c>
      <c r="C295" s="6" t="str">
        <f>IFERROR(__xludf.DUMMYFUNCTION("""COMPUTED_VALUE"""),"O-18917-00")</f>
        <v>O-18917-00</v>
      </c>
      <c r="D295" s="6" t="str">
        <f>IFERROR(__xludf.DUMMYFUNCTION("""COMPUTED_VALUE"""),"Freeze Dryer MBE1207 - OIL COOLING WATER REGULATOR 003N0107 AVTA15 G 1/2 Inch Kv=1.9m3/h Temperature")</f>
        <v>Freeze Dryer MBE1207 - OIL COOLING WATER REGULATOR 003N0107 AVTA15 G 1/2 Inch Kv=1.9m3/h Temperature</v>
      </c>
      <c r="E295" s="6">
        <f>IFERROR(__xludf.DUMMYFUNCTION("""COMPUTED_VALUE"""),1.0)</f>
        <v>1</v>
      </c>
      <c r="F295" s="6">
        <f>IFERROR(__xludf.DUMMYFUNCTION("""COMPUTED_VALUE"""),1.0)</f>
        <v>1</v>
      </c>
      <c r="G295" s="6">
        <f>IFERROR(__xludf.DUMMYFUNCTION("""COMPUTED_VALUE"""),0.0)</f>
        <v>0</v>
      </c>
      <c r="H295" s="6" t="str">
        <f>IFERROR(__xludf.DUMMYFUNCTION("""COMPUTED_VALUE"""),"pcs")</f>
        <v>pcs</v>
      </c>
      <c r="I295" s="6" t="str">
        <f>IFERROR(__xludf.DUMMYFUNCTION("""COMPUTED_VALUE"""),"MFH")</f>
        <v>MFH</v>
      </c>
      <c r="J295" s="6" t="str">
        <f>IFERROR(__xludf.DUMMYFUNCTION("""COMPUTED_VALUE"""),"-")</f>
        <v>-</v>
      </c>
      <c r="K295" s="6" t="str">
        <f>IFERROR(__xludf.DUMMYFUNCTION("""COMPUTED_VALUE"""),"SPR/11/23/022")</f>
        <v>SPR/11/23/022</v>
      </c>
      <c r="L295" s="13">
        <f>IFERROR(__xludf.DUMMYFUNCTION("""COMPUTED_VALUE"""),45231.0)</f>
        <v>45231</v>
      </c>
    </row>
    <row r="296">
      <c r="A296" s="6" t="str">
        <f>IFERROR(__xludf.DUMMYFUNCTION("""COMPUTED_VALUE"""),"RIA")</f>
        <v>RIA</v>
      </c>
      <c r="B296" s="6" t="str">
        <f>IFERROR(__xludf.DUMMYFUNCTION("""COMPUTED_VALUE"""),"ENG")</f>
        <v>ENG</v>
      </c>
      <c r="C296" s="6" t="str">
        <f>IFERROR(__xludf.DUMMYFUNCTION("""COMPUTED_VALUE"""),"P-50140-00")</f>
        <v>P-50140-00</v>
      </c>
      <c r="D296" s="6" t="str">
        <f>IFERROR(__xludf.DUMMYFUNCTION("""COMPUTED_VALUE"""),"Battery UPS - Battery kering Merk YUASA 12V 9AH")</f>
        <v>Battery UPS - Battery kering Merk YUASA 12V 9AH</v>
      </c>
      <c r="E296" s="6">
        <f>IFERROR(__xludf.DUMMYFUNCTION("""COMPUTED_VALUE"""),20.0)</f>
        <v>20</v>
      </c>
      <c r="F296" s="6">
        <f>IFERROR(__xludf.DUMMYFUNCTION("""COMPUTED_VALUE"""),20.0)</f>
        <v>20</v>
      </c>
      <c r="G296" s="6">
        <f>IFERROR(__xludf.DUMMYFUNCTION("""COMPUTED_VALUE"""),0.0)</f>
        <v>0</v>
      </c>
      <c r="H296" s="6" t="str">
        <f>IFERROR(__xludf.DUMMYFUNCTION("""COMPUTED_VALUE"""),"pcs")</f>
        <v>pcs</v>
      </c>
      <c r="I296" s="6" t="str">
        <f>IFERROR(__xludf.DUMMYFUNCTION("""COMPUTED_VALUE"""),"MFH")</f>
        <v>MFH</v>
      </c>
      <c r="J296" s="6" t="str">
        <f>IFERROR(__xludf.DUMMYFUNCTION("""COMPUTED_VALUE"""),"UPS 20KVA")</f>
        <v>UPS 20KVA</v>
      </c>
      <c r="K296" s="6" t="str">
        <f>IFERROR(__xludf.DUMMYFUNCTION("""COMPUTED_VALUE"""),"SPR/11/23/023")</f>
        <v>SPR/11/23/023</v>
      </c>
      <c r="L296" s="13">
        <f>IFERROR(__xludf.DUMMYFUNCTION("""COMPUTED_VALUE"""),45231.0)</f>
        <v>45231</v>
      </c>
    </row>
    <row r="297">
      <c r="A297" s="6" t="str">
        <f>IFERROR(__xludf.DUMMYFUNCTION("""COMPUTED_VALUE"""),"RIA")</f>
        <v>RIA</v>
      </c>
      <c r="B297" s="6" t="str">
        <f>IFERROR(__xludf.DUMMYFUNCTION("""COMPUTED_VALUE"""),"ENG")</f>
        <v>ENG</v>
      </c>
      <c r="C297" s="6" t="str">
        <f>IFERROR(__xludf.DUMMYFUNCTION("""COMPUTED_VALUE"""),"P-10945-00")</f>
        <v>P-10945-00</v>
      </c>
      <c r="D297" s="6" t="str">
        <f>IFERROR(__xludf.DUMMYFUNCTION("""COMPUTED_VALUE"""),"Insulation - Seal Tape onda")</f>
        <v>Insulation - Seal Tape onda</v>
      </c>
      <c r="E297" s="6">
        <f>IFERROR(__xludf.DUMMYFUNCTION("""COMPUTED_VALUE"""),1.0)</f>
        <v>1</v>
      </c>
      <c r="F297" s="6">
        <f>IFERROR(__xludf.DUMMYFUNCTION("""COMPUTED_VALUE"""),1.0)</f>
        <v>1</v>
      </c>
      <c r="G297" s="6">
        <f>IFERROR(__xludf.DUMMYFUNCTION("""COMPUTED_VALUE"""),0.0)</f>
        <v>0</v>
      </c>
      <c r="H297" s="6" t="str">
        <f>IFERROR(__xludf.DUMMYFUNCTION("""COMPUTED_VALUE"""),"pcs")</f>
        <v>pcs</v>
      </c>
      <c r="I297" s="6" t="str">
        <f>IFERROR(__xludf.DUMMYFUNCTION("""COMPUTED_VALUE"""),"MFH")</f>
        <v>MFH</v>
      </c>
      <c r="J297" s="6" t="str">
        <f>IFERROR(__xludf.DUMMYFUNCTION("""COMPUTED_VALUE"""),"QC")</f>
        <v>QC</v>
      </c>
      <c r="K297" s="6" t="str">
        <f>IFERROR(__xludf.DUMMYFUNCTION("""COMPUTED_VALUE"""),"SPR/11/23/024")</f>
        <v>SPR/11/23/024</v>
      </c>
      <c r="L297" s="13">
        <f>IFERROR(__xludf.DUMMYFUNCTION("""COMPUTED_VALUE"""),45231.0)</f>
        <v>45231</v>
      </c>
    </row>
    <row r="298">
      <c r="A298" s="6" t="str">
        <f>IFERROR(__xludf.DUMMYFUNCTION("""COMPUTED_VALUE"""),"RIA")</f>
        <v>RIA</v>
      </c>
      <c r="B298" s="6" t="str">
        <f>IFERROR(__xludf.DUMMYFUNCTION("""COMPUTED_VALUE"""),"ENG")</f>
        <v>ENG</v>
      </c>
      <c r="C298" s="6" t="str">
        <f>IFERROR(__xludf.DUMMYFUNCTION("""COMPUTED_VALUE"""),"P-15862-00")</f>
        <v>P-15862-00</v>
      </c>
      <c r="D298" s="6" t="str">
        <f>IFERROR(__xludf.DUMMYFUNCTION("""COMPUTED_VALUE"""),"PAPER RECORD YOKOGAWA; FOLDING CHART B9565AW")</f>
        <v>PAPER RECORD YOKOGAWA; FOLDING CHART B9565AW</v>
      </c>
      <c r="E298" s="6">
        <f>IFERROR(__xludf.DUMMYFUNCTION("""COMPUTED_VALUE"""),1.0)</f>
        <v>1</v>
      </c>
      <c r="F298" s="6">
        <f>IFERROR(__xludf.DUMMYFUNCTION("""COMPUTED_VALUE"""),1.0)</f>
        <v>1</v>
      </c>
      <c r="G298" s="6">
        <f>IFERROR(__xludf.DUMMYFUNCTION("""COMPUTED_VALUE"""),0.0)</f>
        <v>0</v>
      </c>
      <c r="H298" s="6" t="str">
        <f>IFERROR(__xludf.DUMMYFUNCTION("""COMPUTED_VALUE"""),"pcs")</f>
        <v>pcs</v>
      </c>
      <c r="I298" s="6" t="str">
        <f>IFERROR(__xludf.DUMMYFUNCTION("""COMPUTED_VALUE"""),"MFH")</f>
        <v>MFH</v>
      </c>
      <c r="J298" s="6" t="str">
        <f>IFERROR(__xludf.DUMMYFUNCTION("""COMPUTED_VALUE"""),"WFI SKID")</f>
        <v>WFI SKID</v>
      </c>
      <c r="K298" s="6" t="str">
        <f>IFERROR(__xludf.DUMMYFUNCTION("""COMPUTED_VALUE"""),"SPR/11/23/024")</f>
        <v>SPR/11/23/024</v>
      </c>
      <c r="L298" s="13">
        <f>IFERROR(__xludf.DUMMYFUNCTION("""COMPUTED_VALUE"""),45231.0)</f>
        <v>45231</v>
      </c>
    </row>
    <row r="299">
      <c r="A299" s="6" t="str">
        <f>IFERROR(__xludf.DUMMYFUNCTION("""COMPUTED_VALUE"""),"RIA")</f>
        <v>RIA</v>
      </c>
      <c r="B299" s="6" t="str">
        <f>IFERROR(__xludf.DUMMYFUNCTION("""COMPUTED_VALUE"""),"ENG")</f>
        <v>ENG</v>
      </c>
      <c r="C299" s="6" t="str">
        <f>IFERROR(__xludf.DUMMYFUNCTION("""COMPUTED_VALUE"""),"P-14424-00")</f>
        <v>P-14424-00</v>
      </c>
      <c r="D299" s="6" t="str">
        <f>IFERROR(__xludf.DUMMYFUNCTION("""COMPUTED_VALUE"""),"Garam Kutreat RGN-9800F; ; ; 25Kg/zak")</f>
        <v>Garam Kutreat RGN-9800F; ; ; 25Kg/zak</v>
      </c>
      <c r="E299" s="6">
        <f>IFERROR(__xludf.DUMMYFUNCTION("""COMPUTED_VALUE"""),25.0)</f>
        <v>25</v>
      </c>
      <c r="F299" s="6">
        <f>IFERROR(__xludf.DUMMYFUNCTION("""COMPUTED_VALUE"""),25.0)</f>
        <v>25</v>
      </c>
      <c r="G299" s="6">
        <f>IFERROR(__xludf.DUMMYFUNCTION("""COMPUTED_VALUE"""),0.0)</f>
        <v>0</v>
      </c>
      <c r="H299" s="6" t="str">
        <f>IFERROR(__xludf.DUMMYFUNCTION("""COMPUTED_VALUE"""),"Kg")</f>
        <v>Kg</v>
      </c>
      <c r="I299" s="6" t="str">
        <f>IFERROR(__xludf.DUMMYFUNCTION("""COMPUTED_VALUE"""),"MFH")</f>
        <v>MFH</v>
      </c>
      <c r="J299" s="6" t="str">
        <f>IFERROR(__xludf.DUMMYFUNCTION("""COMPUTED_VALUE"""),"PWG")</f>
        <v>PWG</v>
      </c>
      <c r="K299" s="6" t="str">
        <f>IFERROR(__xludf.DUMMYFUNCTION("""COMPUTED_VALUE"""),"SPR/11/23/024")</f>
        <v>SPR/11/23/024</v>
      </c>
      <c r="L299" s="13">
        <f>IFERROR(__xludf.DUMMYFUNCTION("""COMPUTED_VALUE"""),45231.0)</f>
        <v>45231</v>
      </c>
    </row>
    <row r="300">
      <c r="A300" s="6" t="str">
        <f>IFERROR(__xludf.DUMMYFUNCTION("""COMPUTED_VALUE"""),"CAS")</f>
        <v>CAS</v>
      </c>
      <c r="B300" s="6" t="str">
        <f>IFERROR(__xludf.DUMMYFUNCTION("""COMPUTED_VALUE"""),"QAS")</f>
        <v>QAS</v>
      </c>
      <c r="C300" s="6" t="str">
        <f>IFERROR(__xludf.DUMMYFUNCTION("""COMPUTED_VALUE"""),"P-10945-00")</f>
        <v>P-10945-00</v>
      </c>
      <c r="D300" s="6" t="str">
        <f>IFERROR(__xludf.DUMMYFUNCTION("""COMPUTED_VALUE"""),"Insulation - Seal Tape onda")</f>
        <v>Insulation - Seal Tape onda</v>
      </c>
      <c r="E300" s="6">
        <f>IFERROR(__xludf.DUMMYFUNCTION("""COMPUTED_VALUE"""),2.0)</f>
        <v>2</v>
      </c>
      <c r="F300" s="6">
        <f>IFERROR(__xludf.DUMMYFUNCTION("""COMPUTED_VALUE"""),2.0)</f>
        <v>2</v>
      </c>
      <c r="G300" s="6">
        <f>IFERROR(__xludf.DUMMYFUNCTION("""COMPUTED_VALUE"""),0.0)</f>
        <v>0</v>
      </c>
      <c r="H300" s="6" t="str">
        <f>IFERROR(__xludf.DUMMYFUNCTION("""COMPUTED_VALUE"""),"pcs")</f>
        <v>pcs</v>
      </c>
      <c r="I300" s="6" t="str">
        <f>IFERROR(__xludf.DUMMYFUNCTION("""COMPUTED_VALUE"""),"MFH")</f>
        <v>MFH</v>
      </c>
      <c r="J300" s="6" t="str">
        <f>IFERROR(__xludf.DUMMYFUNCTION("""COMPUTED_VALUE"""),"-")</f>
        <v>-</v>
      </c>
      <c r="K300" s="6" t="str">
        <f>IFERROR(__xludf.DUMMYFUNCTION("""COMPUTED_VALUE"""),"SPR/11/23/025")</f>
        <v>SPR/11/23/025</v>
      </c>
      <c r="L300" s="13">
        <f>IFERROR(__xludf.DUMMYFUNCTION("""COMPUTED_VALUE"""),45231.0)</f>
        <v>45231</v>
      </c>
    </row>
    <row r="301">
      <c r="A301" s="6" t="str">
        <f>IFERROR(__xludf.DUMMYFUNCTION("""COMPUTED_VALUE"""),"INN")</f>
        <v>INN</v>
      </c>
      <c r="B301" s="6" t="str">
        <f>IFERROR(__xludf.DUMMYFUNCTION("""COMPUTED_VALUE"""),"ENG")</f>
        <v>ENG</v>
      </c>
      <c r="C301" s="6" t="str">
        <f>IFERROR(__xludf.DUMMYFUNCTION("""COMPUTED_VALUE"""),"O-16647-00")</f>
        <v>O-16647-00</v>
      </c>
      <c r="D301" s="6" t="str">
        <f>IFERROR(__xludf.DUMMYFUNCTION("""COMPUTED_VALUE"""),"Washing RAR4 - Oring Silicone Merah 23x18x2.5 mm; ; ;")</f>
        <v>Washing RAR4 - Oring Silicone Merah 23x18x2.5 mm; ; ;</v>
      </c>
      <c r="E301" s="6">
        <f>IFERROR(__xludf.DUMMYFUNCTION("""COMPUTED_VALUE"""),10.0)</f>
        <v>10</v>
      </c>
      <c r="F301" s="6">
        <f>IFERROR(__xludf.DUMMYFUNCTION("""COMPUTED_VALUE"""),10.0)</f>
        <v>10</v>
      </c>
      <c r="G301" s="6">
        <f>IFERROR(__xludf.DUMMYFUNCTION("""COMPUTED_VALUE"""),0.0)</f>
        <v>0</v>
      </c>
      <c r="H301" s="6" t="str">
        <f>IFERROR(__xludf.DUMMYFUNCTION("""COMPUTED_VALUE"""),"pcs")</f>
        <v>pcs</v>
      </c>
      <c r="I301" s="6" t="str">
        <f>IFERROR(__xludf.DUMMYFUNCTION("""COMPUTED_VALUE"""),"MFH")</f>
        <v>MFH</v>
      </c>
      <c r="J301" s="6" t="str">
        <f>IFERROR(__xludf.DUMMYFUNCTION("""COMPUTED_VALUE"""),"-")</f>
        <v>-</v>
      </c>
      <c r="K301" s="6" t="str">
        <f>IFERROR(__xludf.DUMMYFUNCTION("""COMPUTED_VALUE"""),"SPR/11/23/026")</f>
        <v>SPR/11/23/026</v>
      </c>
      <c r="L301" s="13">
        <f>IFERROR(__xludf.DUMMYFUNCTION("""COMPUTED_VALUE"""),45231.0)</f>
        <v>45231</v>
      </c>
    </row>
    <row r="302">
      <c r="A302" s="6" t="str">
        <f>IFERROR(__xludf.DUMMYFUNCTION("""COMPUTED_VALUE"""),"INN")</f>
        <v>INN</v>
      </c>
      <c r="B302" s="6" t="str">
        <f>IFERROR(__xludf.DUMMYFUNCTION("""COMPUTED_VALUE"""),"ENG")</f>
        <v>ENG</v>
      </c>
      <c r="C302" s="6" t="str">
        <f>IFERROR(__xludf.DUMMYFUNCTION("""COMPUTED_VALUE"""),"O-16032-00")</f>
        <v>O-16032-00</v>
      </c>
      <c r="D30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02" s="6">
        <f>IFERROR(__xludf.DUMMYFUNCTION("""COMPUTED_VALUE"""),1.0)</f>
        <v>1</v>
      </c>
      <c r="F302" s="6">
        <f>IFERROR(__xludf.DUMMYFUNCTION("""COMPUTED_VALUE"""),1.0)</f>
        <v>1</v>
      </c>
      <c r="G302" s="6">
        <f>IFERROR(__xludf.DUMMYFUNCTION("""COMPUTED_VALUE"""),0.0)</f>
        <v>0</v>
      </c>
      <c r="H302" s="6" t="str">
        <f>IFERROR(__xludf.DUMMYFUNCTION("""COMPUTED_VALUE"""),"pcs")</f>
        <v>pcs</v>
      </c>
      <c r="I302" s="6" t="str">
        <f>IFERROR(__xludf.DUMMYFUNCTION("""COMPUTED_VALUE"""),"MFH")</f>
        <v>MFH</v>
      </c>
      <c r="J302" s="6" t="str">
        <f>IFERROR(__xludf.DUMMYFUNCTION("""COMPUTED_VALUE"""),"cRABS")</f>
        <v>cRABS</v>
      </c>
      <c r="K302" s="6" t="str">
        <f>IFERROR(__xludf.DUMMYFUNCTION("""COMPUTED_VALUE"""),"SPR/11/23/027")</f>
        <v>SPR/11/23/027</v>
      </c>
      <c r="L302" s="13">
        <f>IFERROR(__xludf.DUMMYFUNCTION("""COMPUTED_VALUE"""),45231.0)</f>
        <v>45231</v>
      </c>
    </row>
    <row r="303">
      <c r="A303" s="6" t="str">
        <f>IFERROR(__xludf.DUMMYFUNCTION("""COMPUTED_VALUE"""),"MRN")</f>
        <v>MRN</v>
      </c>
      <c r="B303" s="6" t="str">
        <f>IFERROR(__xludf.DUMMYFUNCTION("""COMPUTED_VALUE"""),"ENG")</f>
        <v>ENG</v>
      </c>
      <c r="C303" s="6" t="str">
        <f>IFERROR(__xludf.DUMMYFUNCTION("""COMPUTED_VALUE"""),"P-53169-00")</f>
        <v>P-53169-00</v>
      </c>
      <c r="D303" s="6" t="str">
        <f>IFERROR(__xludf.DUMMYFUNCTION("""COMPUTED_VALUE"""),"Ballast Electronic EB-C 228 TL5, 2x28W; Phillips; ;")</f>
        <v>Ballast Electronic EB-C 228 TL5, 2x28W; Phillips; ;</v>
      </c>
      <c r="E303" s="6">
        <f>IFERROR(__xludf.DUMMYFUNCTION("""COMPUTED_VALUE"""),4.0)</f>
        <v>4</v>
      </c>
      <c r="F303" s="6">
        <f>IFERROR(__xludf.DUMMYFUNCTION("""COMPUTED_VALUE"""),4.0)</f>
        <v>4</v>
      </c>
      <c r="G303" s="6">
        <f>IFERROR(__xludf.DUMMYFUNCTION("""COMPUTED_VALUE"""),0.0)</f>
        <v>0</v>
      </c>
      <c r="H303" s="6" t="str">
        <f>IFERROR(__xludf.DUMMYFUNCTION("""COMPUTED_VALUE"""),"pcs")</f>
        <v>pcs</v>
      </c>
      <c r="I303" s="6" t="str">
        <f>IFERROR(__xludf.DUMMYFUNCTION("""COMPUTED_VALUE"""),"MFH")</f>
        <v>MFH</v>
      </c>
      <c r="J303" s="6" t="str">
        <f>IFERROR(__xludf.DUMMYFUNCTION("""COMPUTED_VALUE"""),"Building")</f>
        <v>Building</v>
      </c>
      <c r="K303" s="6" t="str">
        <f>IFERROR(__xludf.DUMMYFUNCTION("""COMPUTED_VALUE"""),"SPR/11/23/028")</f>
        <v>SPR/11/23/028</v>
      </c>
      <c r="L303" s="13">
        <f>IFERROR(__xludf.DUMMYFUNCTION("""COMPUTED_VALUE"""),45231.0)</f>
        <v>45231</v>
      </c>
    </row>
    <row r="304">
      <c r="A304" s="6" t="str">
        <f>IFERROR(__xludf.DUMMYFUNCTION("""COMPUTED_VALUE"""),"MRN")</f>
        <v>MRN</v>
      </c>
      <c r="B304" s="6" t="str">
        <f>IFERROR(__xludf.DUMMYFUNCTION("""COMPUTED_VALUE"""),"ENG")</f>
        <v>ENG</v>
      </c>
      <c r="C304" s="6" t="str">
        <f>IFERROR(__xludf.DUMMYFUNCTION("""COMPUTED_VALUE"""),"O-54015-00")</f>
        <v>O-54015-00</v>
      </c>
      <c r="D304" s="6" t="str">
        <f>IFERROR(__xludf.DUMMYFUNCTION("""COMPUTED_VALUE"""),"STOP KONTAK LUBANG 4, BROCO")</f>
        <v>STOP KONTAK LUBANG 4, BROCO</v>
      </c>
      <c r="E304" s="6">
        <f>IFERROR(__xludf.DUMMYFUNCTION("""COMPUTED_VALUE"""),3.0)</f>
        <v>3</v>
      </c>
      <c r="F304" s="6">
        <f>IFERROR(__xludf.DUMMYFUNCTION("""COMPUTED_VALUE"""),3.0)</f>
        <v>3</v>
      </c>
      <c r="G304" s="6">
        <f>IFERROR(__xludf.DUMMYFUNCTION("""COMPUTED_VALUE"""),0.0)</f>
        <v>0</v>
      </c>
      <c r="H304" s="6" t="str">
        <f>IFERROR(__xludf.DUMMYFUNCTION("""COMPUTED_VALUE"""),"pcs")</f>
        <v>pcs</v>
      </c>
      <c r="I304" s="6" t="str">
        <f>IFERROR(__xludf.DUMMYFUNCTION("""COMPUTED_VALUE"""),"MFH")</f>
        <v>MFH</v>
      </c>
      <c r="J304" s="6" t="str">
        <f>IFERROR(__xludf.DUMMYFUNCTION("""COMPUTED_VALUE"""),"Office")</f>
        <v>Office</v>
      </c>
      <c r="K304" s="6" t="str">
        <f>IFERROR(__xludf.DUMMYFUNCTION("""COMPUTED_VALUE"""),"SPR/11/23/029")</f>
        <v>SPR/11/23/029</v>
      </c>
      <c r="L304" s="13">
        <f>IFERROR(__xludf.DUMMYFUNCTION("""COMPUTED_VALUE"""),45231.0)</f>
        <v>45231</v>
      </c>
    </row>
    <row r="305">
      <c r="A305" s="6" t="str">
        <f>IFERROR(__xludf.DUMMYFUNCTION("""COMPUTED_VALUE"""),"MRN")</f>
        <v>MRN</v>
      </c>
      <c r="B305" s="6" t="str">
        <f>IFERROR(__xludf.DUMMYFUNCTION("""COMPUTED_VALUE"""),"ENG")</f>
        <v>ENG</v>
      </c>
      <c r="C305" s="6" t="str">
        <f>IFERROR(__xludf.DUMMYFUNCTION("""COMPUTED_VALUE"""),"O-54014-00")</f>
        <v>O-54014-00</v>
      </c>
      <c r="D305" s="6" t="str">
        <f>IFERROR(__xludf.DUMMYFUNCTION("""COMPUTED_VALUE"""),"STEKER 1 PHASE, BROCO")</f>
        <v>STEKER 1 PHASE, BROCO</v>
      </c>
      <c r="E305" s="6">
        <f>IFERROR(__xludf.DUMMYFUNCTION("""COMPUTED_VALUE"""),5.0)</f>
        <v>5</v>
      </c>
      <c r="F305" s="6">
        <f>IFERROR(__xludf.DUMMYFUNCTION("""COMPUTED_VALUE"""),2.0)</f>
        <v>2</v>
      </c>
      <c r="G305" s="6">
        <f>IFERROR(__xludf.DUMMYFUNCTION("""COMPUTED_VALUE"""),0.0)</f>
        <v>0</v>
      </c>
      <c r="H305" s="6" t="str">
        <f>IFERROR(__xludf.DUMMYFUNCTION("""COMPUTED_VALUE"""),"pcs")</f>
        <v>pcs</v>
      </c>
      <c r="I305" s="6" t="str">
        <f>IFERROR(__xludf.DUMMYFUNCTION("""COMPUTED_VALUE"""),"MFH")</f>
        <v>MFH</v>
      </c>
      <c r="J305" s="6" t="str">
        <f>IFERROR(__xludf.DUMMYFUNCTION("""COMPUTED_VALUE"""),"Office")</f>
        <v>Office</v>
      </c>
      <c r="K305" s="6" t="str">
        <f>IFERROR(__xludf.DUMMYFUNCTION("""COMPUTED_VALUE"""),"SPR/11/23/030")</f>
        <v>SPR/11/23/030</v>
      </c>
      <c r="L305" s="13">
        <f>IFERROR(__xludf.DUMMYFUNCTION("""COMPUTED_VALUE"""),45231.0)</f>
        <v>45231</v>
      </c>
    </row>
    <row r="306">
      <c r="A306" s="6" t="str">
        <f>IFERROR(__xludf.DUMMYFUNCTION("""COMPUTED_VALUE"""),"MRN")</f>
        <v>MRN</v>
      </c>
      <c r="B306" s="6" t="str">
        <f>IFERROR(__xludf.DUMMYFUNCTION("""COMPUTED_VALUE"""),"ENG")</f>
        <v>ENG</v>
      </c>
      <c r="C306" s="6" t="str">
        <f>IFERROR(__xludf.DUMMYFUNCTION("""COMPUTED_VALUE"""),"P-50962-00")</f>
        <v>P-50962-00</v>
      </c>
      <c r="D306" s="6" t="str">
        <f>IFERROR(__xludf.DUMMYFUNCTION("""COMPUTED_VALUE"""),"Fuse kaca 5A 6x30")</f>
        <v>Fuse kaca 5A 6x30</v>
      </c>
      <c r="E306" s="6">
        <f>IFERROR(__xludf.DUMMYFUNCTION("""COMPUTED_VALUE"""),1.0)</f>
        <v>1</v>
      </c>
      <c r="F306" s="6">
        <f>IFERROR(__xludf.DUMMYFUNCTION("""COMPUTED_VALUE"""),1.0)</f>
        <v>1</v>
      </c>
      <c r="G306" s="6">
        <f>IFERROR(__xludf.DUMMYFUNCTION("""COMPUTED_VALUE"""),0.0)</f>
        <v>0</v>
      </c>
      <c r="H306" s="6" t="str">
        <f>IFERROR(__xludf.DUMMYFUNCTION("""COMPUTED_VALUE"""),"pcs")</f>
        <v>pcs</v>
      </c>
      <c r="I306" s="6" t="str">
        <f>IFERROR(__xludf.DUMMYFUNCTION("""COMPUTED_VALUE"""),"MFH")</f>
        <v>MFH</v>
      </c>
      <c r="J306" s="6" t="str">
        <f>IFERROR(__xludf.DUMMYFUNCTION("""COMPUTED_VALUE"""),"Building")</f>
        <v>Building</v>
      </c>
      <c r="K306" s="6" t="str">
        <f>IFERROR(__xludf.DUMMYFUNCTION("""COMPUTED_VALUE"""),"SPR/11/23/031")</f>
        <v>SPR/11/23/031</v>
      </c>
      <c r="L306" s="13">
        <f>IFERROR(__xludf.DUMMYFUNCTION("""COMPUTED_VALUE"""),45231.0)</f>
        <v>45231</v>
      </c>
    </row>
    <row r="307">
      <c r="A307" s="6" t="str">
        <f>IFERROR(__xludf.DUMMYFUNCTION("""COMPUTED_VALUE"""),"AAA")</f>
        <v>AAA</v>
      </c>
      <c r="B307" s="6" t="str">
        <f>IFERROR(__xludf.DUMMYFUNCTION("""COMPUTED_VALUE"""),"ENG")</f>
        <v>ENG</v>
      </c>
      <c r="C307" s="6" t="str">
        <f>IFERROR(__xludf.DUMMYFUNCTION("""COMPUTED_VALUE"""),"O-16033-00")</f>
        <v>O-16033-00</v>
      </c>
      <c r="D30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07" s="6">
        <f>IFERROR(__xludf.DUMMYFUNCTION("""COMPUTED_VALUE"""),1.0)</f>
        <v>1</v>
      </c>
      <c r="F307" s="6">
        <f>IFERROR(__xludf.DUMMYFUNCTION("""COMPUTED_VALUE"""),1.0)</f>
        <v>1</v>
      </c>
      <c r="G307" s="6">
        <f>IFERROR(__xludf.DUMMYFUNCTION("""COMPUTED_VALUE"""),0.0)</f>
        <v>0</v>
      </c>
      <c r="H307" s="6" t="str">
        <f>IFERROR(__xludf.DUMMYFUNCTION("""COMPUTED_VALUE"""),"pcs")</f>
        <v>pcs</v>
      </c>
      <c r="I307" s="6" t="str">
        <f>IFERROR(__xludf.DUMMYFUNCTION("""COMPUTED_VALUE"""),"MFH")</f>
        <v>MFH</v>
      </c>
      <c r="J307" s="6" t="str">
        <f>IFERROR(__xludf.DUMMYFUNCTION("""COMPUTED_VALUE"""),"cRABS")</f>
        <v>cRABS</v>
      </c>
      <c r="K307" s="6" t="str">
        <f>IFERROR(__xludf.DUMMYFUNCTION("""COMPUTED_VALUE"""),"SPR/11/23/032")</f>
        <v>SPR/11/23/032</v>
      </c>
      <c r="L307" s="13">
        <f>IFERROR(__xludf.DUMMYFUNCTION("""COMPUTED_VALUE"""),45231.0)</f>
        <v>45231</v>
      </c>
    </row>
    <row r="308">
      <c r="A308" s="6" t="str">
        <f>IFERROR(__xludf.DUMMYFUNCTION("""COMPUTED_VALUE"""),"RPA")</f>
        <v>RPA</v>
      </c>
      <c r="B308" s="6" t="str">
        <f>IFERROR(__xludf.DUMMYFUNCTION("""COMPUTED_VALUE"""),"PRO")</f>
        <v>PRO</v>
      </c>
      <c r="C308" s="6" t="str">
        <f>IFERROR(__xludf.DUMMYFUNCTION("""COMPUTED_VALUE"""),"O-17242-00")</f>
        <v>O-17242-00</v>
      </c>
      <c r="D308" s="6" t="str">
        <f>IFERROR(__xludf.DUMMYFUNCTION("""COMPUTED_VALUE"""),"Belt HTD 720-5M-95mm + Lapisan Blue Sponge 6mm")</f>
        <v>Belt HTD 720-5M-95mm + Lapisan Blue Sponge 6mm</v>
      </c>
      <c r="E308" s="6">
        <f>IFERROR(__xludf.DUMMYFUNCTION("""COMPUTED_VALUE"""),1.0)</f>
        <v>1</v>
      </c>
      <c r="F308" s="6">
        <f>IFERROR(__xludf.DUMMYFUNCTION("""COMPUTED_VALUE"""),1.0)</f>
        <v>1</v>
      </c>
      <c r="G308" s="6">
        <f>IFERROR(__xludf.DUMMYFUNCTION("""COMPUTED_VALUE"""),0.0)</f>
        <v>0</v>
      </c>
      <c r="H308" s="6" t="str">
        <f>IFERROR(__xludf.DUMMYFUNCTION("""COMPUTED_VALUE"""),"pcs")</f>
        <v>pcs</v>
      </c>
      <c r="I308" s="6" t="str">
        <f>IFERROR(__xludf.DUMMYFUNCTION("""COMPUTED_VALUE"""),"MFH")</f>
        <v>MFH</v>
      </c>
      <c r="J308" s="6" t="str">
        <f>IFERROR(__xludf.DUMMYFUNCTION("""COMPUTED_VALUE"""),"Cartoning")</f>
        <v>Cartoning</v>
      </c>
      <c r="K308" s="6" t="str">
        <f>IFERROR(__xludf.DUMMYFUNCTION("""COMPUTED_VALUE"""),"SPR/11/23/033")</f>
        <v>SPR/11/23/033</v>
      </c>
      <c r="L308" s="13">
        <f>IFERROR(__xludf.DUMMYFUNCTION("""COMPUTED_VALUE"""),45231.0)</f>
        <v>45231</v>
      </c>
    </row>
    <row r="309">
      <c r="A309" s="6" t="str">
        <f>IFERROR(__xludf.DUMMYFUNCTION("""COMPUTED_VALUE"""),"APN")</f>
        <v>APN</v>
      </c>
      <c r="B309" s="6" t="str">
        <f>IFERROR(__xludf.DUMMYFUNCTION("""COMPUTED_VALUE"""),"PRO")</f>
        <v>PRO</v>
      </c>
      <c r="C309" s="6" t="str">
        <f>IFERROR(__xludf.DUMMYFUNCTION("""COMPUTED_VALUE"""),"O-16033-00")</f>
        <v>O-16033-00</v>
      </c>
      <c r="D30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09" s="6">
        <f>IFERROR(__xludf.DUMMYFUNCTION("""COMPUTED_VALUE"""),3.0)</f>
        <v>3</v>
      </c>
      <c r="F309" s="6">
        <f>IFERROR(__xludf.DUMMYFUNCTION("""COMPUTED_VALUE"""),3.0)</f>
        <v>3</v>
      </c>
      <c r="G309" s="6">
        <f>IFERROR(__xludf.DUMMYFUNCTION("""COMPUTED_VALUE"""),0.0)</f>
        <v>0</v>
      </c>
      <c r="H309" s="6" t="str">
        <f>IFERROR(__xludf.DUMMYFUNCTION("""COMPUTED_VALUE"""),"pcs")</f>
        <v>pcs</v>
      </c>
      <c r="I309" s="6" t="str">
        <f>IFERROR(__xludf.DUMMYFUNCTION("""COMPUTED_VALUE"""),"MFH")</f>
        <v>MFH</v>
      </c>
      <c r="J309" s="6" t="str">
        <f>IFERROR(__xludf.DUMMYFUNCTION("""COMPUTED_VALUE"""),"cRABS")</f>
        <v>cRABS</v>
      </c>
      <c r="K309" s="6" t="str">
        <f>IFERROR(__xludf.DUMMYFUNCTION("""COMPUTED_VALUE"""),"SPR/11/23/034")</f>
        <v>SPR/11/23/034</v>
      </c>
      <c r="L309" s="13">
        <f>IFERROR(__xludf.DUMMYFUNCTION("""COMPUTED_VALUE"""),45231.0)</f>
        <v>45231</v>
      </c>
    </row>
    <row r="310">
      <c r="A310" s="6" t="str">
        <f>IFERROR(__xludf.DUMMYFUNCTION("""COMPUTED_VALUE"""),"MOB")</f>
        <v>MOB</v>
      </c>
      <c r="B310" s="6" t="str">
        <f>IFERROR(__xludf.DUMMYFUNCTION("""COMPUTED_VALUE"""),"ENG")</f>
        <v>ENG</v>
      </c>
      <c r="C310" s="6" t="str">
        <f>IFERROR(__xludf.DUMMYFUNCTION("""COMPUTED_VALUE"""),"P-53102-00")</f>
        <v>P-53102-00</v>
      </c>
      <c r="D310" s="6" t="str">
        <f>IFERROR(__xludf.DUMMYFUNCTION("""COMPUTED_VALUE"""),"Lampu PLC 13watt/E27 Putih; Phillips; ;")</f>
        <v>Lampu PLC 13watt/E27 Putih; Phillips; ;</v>
      </c>
      <c r="E310" s="6">
        <f>IFERROR(__xludf.DUMMYFUNCTION("""COMPUTED_VALUE"""),1.0)</f>
        <v>1</v>
      </c>
      <c r="F310" s="6">
        <f>IFERROR(__xludf.DUMMYFUNCTION("""COMPUTED_VALUE"""),1.0)</f>
        <v>1</v>
      </c>
      <c r="G310" s="6">
        <f>IFERROR(__xludf.DUMMYFUNCTION("""COMPUTED_VALUE"""),0.0)</f>
        <v>0</v>
      </c>
      <c r="H310" s="6" t="str">
        <f>IFERROR(__xludf.DUMMYFUNCTION("""COMPUTED_VALUE"""),"pcs")</f>
        <v>pcs</v>
      </c>
      <c r="I310" s="6" t="str">
        <f>IFERROR(__xludf.DUMMYFUNCTION("""COMPUTED_VALUE"""),"MFH")</f>
        <v>MFH</v>
      </c>
      <c r="J310" s="6" t="str">
        <f>IFERROR(__xludf.DUMMYFUNCTION("""COMPUTED_VALUE"""),"Building")</f>
        <v>Building</v>
      </c>
      <c r="K310" s="6" t="str">
        <f>IFERROR(__xludf.DUMMYFUNCTION("""COMPUTED_VALUE"""),"SPR/11/23/035")</f>
        <v>SPR/11/23/035</v>
      </c>
      <c r="L310" s="13">
        <f>IFERROR(__xludf.DUMMYFUNCTION("""COMPUTED_VALUE"""),45231.0)</f>
        <v>45231</v>
      </c>
    </row>
    <row r="311">
      <c r="A311" s="6" t="str">
        <f>IFERROR(__xludf.DUMMYFUNCTION("""COMPUTED_VALUE"""),"MOB")</f>
        <v>MOB</v>
      </c>
      <c r="B311" s="6" t="str">
        <f>IFERROR(__xludf.DUMMYFUNCTION("""COMPUTED_VALUE"""),"ENG")</f>
        <v>ENG</v>
      </c>
      <c r="C311" s="6" t="str">
        <f>IFERROR(__xludf.DUMMYFUNCTION("""COMPUTED_VALUE"""),"Q-10154-00")</f>
        <v>Q-10154-00</v>
      </c>
      <c r="D311" s="6" t="str">
        <f>IFERROR(__xludf.DUMMYFUNCTION("""COMPUTED_VALUE"""),"Roller cat 230mm")</f>
        <v>Roller cat 230mm</v>
      </c>
      <c r="E311" s="6">
        <f>IFERROR(__xludf.DUMMYFUNCTION("""COMPUTED_VALUE"""),1.0)</f>
        <v>1</v>
      </c>
      <c r="F311" s="6">
        <f>IFERROR(__xludf.DUMMYFUNCTION("""COMPUTED_VALUE"""),1.0)</f>
        <v>1</v>
      </c>
      <c r="G311" s="6">
        <f>IFERROR(__xludf.DUMMYFUNCTION("""COMPUTED_VALUE"""),0.0)</f>
        <v>0</v>
      </c>
      <c r="H311" s="6" t="str">
        <f>IFERROR(__xludf.DUMMYFUNCTION("""COMPUTED_VALUE"""),"pcs")</f>
        <v>pcs</v>
      </c>
      <c r="I311" s="6" t="str">
        <f>IFERROR(__xludf.DUMMYFUNCTION("""COMPUTED_VALUE"""),"MFH")</f>
        <v>MFH</v>
      </c>
      <c r="J311" s="6" t="str">
        <f>IFERROR(__xludf.DUMMYFUNCTION("""COMPUTED_VALUE"""),"Building")</f>
        <v>Building</v>
      </c>
      <c r="K311" s="6" t="str">
        <f>IFERROR(__xludf.DUMMYFUNCTION("""COMPUTED_VALUE"""),"SPR/11/23/035")</f>
        <v>SPR/11/23/035</v>
      </c>
      <c r="L311" s="13">
        <f>IFERROR(__xludf.DUMMYFUNCTION("""COMPUTED_VALUE"""),45231.0)</f>
        <v>45231</v>
      </c>
    </row>
    <row r="312">
      <c r="A312" s="6" t="str">
        <f>IFERROR(__xludf.DUMMYFUNCTION("""COMPUTED_VALUE"""),"NDS")</f>
        <v>NDS</v>
      </c>
      <c r="B312" s="6" t="str">
        <f>IFERROR(__xludf.DUMMYFUNCTION("""COMPUTED_VALUE"""),"ENG")</f>
        <v>ENG</v>
      </c>
      <c r="C312" s="6" t="str">
        <f>IFERROR(__xludf.DUMMYFUNCTION("""COMPUTED_VALUE"""),"P-14379-00")</f>
        <v>P-14379-00</v>
      </c>
      <c r="D312" s="6" t="str">
        <f>IFERROR(__xludf.DUMMYFUNCTION("""COMPUTED_VALUE"""),"Gasket 3/4"" /EPDM; ; ;")</f>
        <v>Gasket 3/4" /EPDM; ; ;</v>
      </c>
      <c r="E312" s="6">
        <f>IFERROR(__xludf.DUMMYFUNCTION("""COMPUTED_VALUE"""),3.0)</f>
        <v>3</v>
      </c>
      <c r="F312" s="6">
        <f>IFERROR(__xludf.DUMMYFUNCTION("""COMPUTED_VALUE"""),3.0)</f>
        <v>3</v>
      </c>
      <c r="G312" s="6">
        <f>IFERROR(__xludf.DUMMYFUNCTION("""COMPUTED_VALUE"""),0.0)</f>
        <v>0</v>
      </c>
      <c r="H312" s="6" t="str">
        <f>IFERROR(__xludf.DUMMYFUNCTION("""COMPUTED_VALUE"""),"pcs")</f>
        <v>pcs</v>
      </c>
      <c r="I312" s="6" t="str">
        <f>IFERROR(__xludf.DUMMYFUNCTION("""COMPUTED_VALUE"""),"MFH")</f>
        <v>MFH</v>
      </c>
      <c r="J312" s="6" t="str">
        <f>IFERROR(__xludf.DUMMYFUNCTION("""COMPUTED_VALUE"""),"FD IMA")</f>
        <v>FD IMA</v>
      </c>
      <c r="K312" s="6" t="str">
        <f>IFERROR(__xludf.DUMMYFUNCTION("""COMPUTED_VALUE"""),"SPR/11/23/036")</f>
        <v>SPR/11/23/036</v>
      </c>
      <c r="L312" s="13">
        <f>IFERROR(__xludf.DUMMYFUNCTION("""COMPUTED_VALUE"""),45231.0)</f>
        <v>45231</v>
      </c>
    </row>
    <row r="313">
      <c r="A313" s="6" t="str">
        <f>IFERROR(__xludf.DUMMYFUNCTION("""COMPUTED_VALUE"""),"TGT")</f>
        <v>TGT</v>
      </c>
      <c r="B313" s="6" t="str">
        <f>IFERROR(__xludf.DUMMYFUNCTION("""COMPUTED_VALUE"""),"ENG")</f>
        <v>ENG</v>
      </c>
      <c r="C313" s="6" t="str">
        <f>IFERROR(__xludf.DUMMYFUNCTION("""COMPUTED_VALUE"""),"T-20123-00")</f>
        <v>T-20123-00</v>
      </c>
      <c r="D313" s="6" t="str">
        <f>IFERROR(__xludf.DUMMYFUNCTION("""COMPUTED_VALUE"""),"Acquity PDA/TUV 2489/2998 Perf")</f>
        <v>Acquity PDA/TUV 2489/2998 Perf</v>
      </c>
      <c r="E313" s="6">
        <f>IFERROR(__xludf.DUMMYFUNCTION("""COMPUTED_VALUE"""),1.0)</f>
        <v>1</v>
      </c>
      <c r="F313" s="6">
        <f>IFERROR(__xludf.DUMMYFUNCTION("""COMPUTED_VALUE"""),1.0)</f>
        <v>1</v>
      </c>
      <c r="G313" s="6">
        <f>IFERROR(__xludf.DUMMYFUNCTION("""COMPUTED_VALUE"""),0.0)</f>
        <v>0</v>
      </c>
      <c r="H313" s="6" t="str">
        <f>IFERROR(__xludf.DUMMYFUNCTION("""COMPUTED_VALUE"""),"pcs")</f>
        <v>pcs</v>
      </c>
      <c r="I313" s="6" t="str">
        <f>IFERROR(__xludf.DUMMYFUNCTION("""COMPUTED_VALUE"""),"MFH")</f>
        <v>MFH</v>
      </c>
      <c r="J313" s="6" t="str">
        <f>IFERROR(__xludf.DUMMYFUNCTION("""COMPUTED_VALUE"""),"HPLC")</f>
        <v>HPLC</v>
      </c>
      <c r="K313" s="6" t="str">
        <f>IFERROR(__xludf.DUMMYFUNCTION("""COMPUTED_VALUE"""),"SPR/11/23/037")</f>
        <v>SPR/11/23/037</v>
      </c>
      <c r="L313" s="13">
        <f>IFERROR(__xludf.DUMMYFUNCTION("""COMPUTED_VALUE"""),45231.0)</f>
        <v>45231</v>
      </c>
    </row>
    <row r="314">
      <c r="A314" s="6" t="str">
        <f>IFERROR(__xludf.DUMMYFUNCTION("""COMPUTED_VALUE"""),"RIA")</f>
        <v>RIA</v>
      </c>
      <c r="B314" s="6" t="str">
        <f>IFERROR(__xludf.DUMMYFUNCTION("""COMPUTED_VALUE"""),"ENG")</f>
        <v>ENG</v>
      </c>
      <c r="C314" s="6" t="str">
        <f>IFERROR(__xludf.DUMMYFUNCTION("""COMPUTED_VALUE"""),"P-51559-00")</f>
        <v>P-51559-00</v>
      </c>
      <c r="D314" s="6" t="str">
        <f>IFERROR(__xludf.DUMMYFUNCTION("""COMPUTED_VALUE"""),"Lampu T5 14watt Putih; Phillips; ;")</f>
        <v>Lampu T5 14watt Putih; Phillips; ;</v>
      </c>
      <c r="E314" s="6">
        <f>IFERROR(__xludf.DUMMYFUNCTION("""COMPUTED_VALUE"""),2.0)</f>
        <v>2</v>
      </c>
      <c r="F314" s="6">
        <f>IFERROR(__xludf.DUMMYFUNCTION("""COMPUTED_VALUE"""),2.0)</f>
        <v>2</v>
      </c>
      <c r="G314" s="6">
        <f>IFERROR(__xludf.DUMMYFUNCTION("""COMPUTED_VALUE"""),0.0)</f>
        <v>0</v>
      </c>
      <c r="H314" s="6" t="str">
        <f>IFERROR(__xludf.DUMMYFUNCTION("""COMPUTED_VALUE"""),"pcs")</f>
        <v>pcs</v>
      </c>
      <c r="I314" s="6" t="str">
        <f>IFERROR(__xludf.DUMMYFUNCTION("""COMPUTED_VALUE"""),"MFH")</f>
        <v>MFH</v>
      </c>
      <c r="J314" s="6" t="str">
        <f>IFERROR(__xludf.DUMMYFUNCTION("""COMPUTED_VALUE"""),"Building")</f>
        <v>Building</v>
      </c>
      <c r="K314" s="6" t="str">
        <f>IFERROR(__xludf.DUMMYFUNCTION("""COMPUTED_VALUE"""),"SPR/11/23/038")</f>
        <v>SPR/11/23/038</v>
      </c>
      <c r="L314" s="13">
        <f>IFERROR(__xludf.DUMMYFUNCTION("""COMPUTED_VALUE"""),45231.0)</f>
        <v>45231</v>
      </c>
    </row>
    <row r="315">
      <c r="A315" s="6" t="str">
        <f>IFERROR(__xludf.DUMMYFUNCTION("""COMPUTED_VALUE"""),"RIA")</f>
        <v>RIA</v>
      </c>
      <c r="B315" s="6" t="str">
        <f>IFERROR(__xludf.DUMMYFUNCTION("""COMPUTED_VALUE"""),"ENG")</f>
        <v>ENG</v>
      </c>
      <c r="C315" s="6" t="str">
        <f>IFERROR(__xludf.DUMMYFUNCTION("""COMPUTED_VALUE"""),"P-51560-00")</f>
        <v>P-51560-00</v>
      </c>
      <c r="D315" s="6" t="str">
        <f>IFERROR(__xludf.DUMMYFUNCTION("""COMPUTED_VALUE"""),"Lampu T5 28watt Putih; Phillips; ;")</f>
        <v>Lampu T5 28watt Putih; Phillips; ;</v>
      </c>
      <c r="E315" s="6">
        <f>IFERROR(__xludf.DUMMYFUNCTION("""COMPUTED_VALUE"""),1.0)</f>
        <v>1</v>
      </c>
      <c r="F315" s="6">
        <f>IFERROR(__xludf.DUMMYFUNCTION("""COMPUTED_VALUE"""),1.0)</f>
        <v>1</v>
      </c>
      <c r="G315" s="6">
        <f>IFERROR(__xludf.DUMMYFUNCTION("""COMPUTED_VALUE"""),0.0)</f>
        <v>0</v>
      </c>
      <c r="H315" s="6" t="str">
        <f>IFERROR(__xludf.DUMMYFUNCTION("""COMPUTED_VALUE"""),"pcs")</f>
        <v>pcs</v>
      </c>
      <c r="I315" s="6" t="str">
        <f>IFERROR(__xludf.DUMMYFUNCTION("""COMPUTED_VALUE"""),"MFH")</f>
        <v>MFH</v>
      </c>
      <c r="J315" s="6" t="str">
        <f>IFERROR(__xludf.DUMMYFUNCTION("""COMPUTED_VALUE"""),"Building")</f>
        <v>Building</v>
      </c>
      <c r="K315" s="6" t="str">
        <f>IFERROR(__xludf.DUMMYFUNCTION("""COMPUTED_VALUE"""),"SPR/11/23/038")</f>
        <v>SPR/11/23/038</v>
      </c>
      <c r="L315" s="13">
        <f>IFERROR(__xludf.DUMMYFUNCTION("""COMPUTED_VALUE"""),45231.0)</f>
        <v>45231</v>
      </c>
    </row>
    <row r="316">
      <c r="A316" s="6" t="str">
        <f>IFERROR(__xludf.DUMMYFUNCTION("""COMPUTED_VALUE"""),"BFN")</f>
        <v>BFN</v>
      </c>
      <c r="B316" s="6" t="str">
        <f>IFERROR(__xludf.DUMMYFUNCTION("""COMPUTED_VALUE"""),"ENG")</f>
        <v>ENG</v>
      </c>
      <c r="C316" s="6" t="str">
        <f>IFERROR(__xludf.DUMMYFUNCTION("""COMPUTED_VALUE"""),"O-18055-00")</f>
        <v>O-18055-00</v>
      </c>
      <c r="D316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16" s="6">
        <f>IFERROR(__xludf.DUMMYFUNCTION("""COMPUTED_VALUE"""),6.0)</f>
        <v>6</v>
      </c>
      <c r="F316" s="6">
        <f>IFERROR(__xludf.DUMMYFUNCTION("""COMPUTED_VALUE"""),6.0)</f>
        <v>6</v>
      </c>
      <c r="G316" s="6">
        <f>IFERROR(__xludf.DUMMYFUNCTION("""COMPUTED_VALUE"""),0.0)</f>
        <v>0</v>
      </c>
      <c r="H316" s="6" t="str">
        <f>IFERROR(__xludf.DUMMYFUNCTION("""COMPUTED_VALUE"""),"pcs")</f>
        <v>pcs</v>
      </c>
      <c r="I316" s="6" t="str">
        <f>IFERROR(__xludf.DUMMYFUNCTION("""COMPUTED_VALUE"""),"MFH")</f>
        <v>MFH</v>
      </c>
      <c r="J316" s="6" t="str">
        <f>IFERROR(__xludf.DUMMYFUNCTION("""COMPUTED_VALUE"""),"Cartoning")</f>
        <v>Cartoning</v>
      </c>
      <c r="K316" s="6" t="str">
        <f>IFERROR(__xludf.DUMMYFUNCTION("""COMPUTED_VALUE"""),"SPR/11/23/039")</f>
        <v>SPR/11/23/039</v>
      </c>
      <c r="L316" s="13">
        <f>IFERROR(__xludf.DUMMYFUNCTION("""COMPUTED_VALUE"""),45231.0)</f>
        <v>45231</v>
      </c>
    </row>
    <row r="317">
      <c r="A317" s="6" t="str">
        <f>IFERROR(__xludf.DUMMYFUNCTION("""COMPUTED_VALUE"""),"ROS")</f>
        <v>ROS</v>
      </c>
      <c r="B317" s="6" t="str">
        <f>IFERROR(__xludf.DUMMYFUNCTION("""COMPUTED_VALUE"""),"ENG")</f>
        <v>ENG</v>
      </c>
      <c r="C317" s="6" t="str">
        <f>IFERROR(__xludf.DUMMYFUNCTION("""COMPUTED_VALUE"""),"P-51560-00")</f>
        <v>P-51560-00</v>
      </c>
      <c r="D317" s="6" t="str">
        <f>IFERROR(__xludf.DUMMYFUNCTION("""COMPUTED_VALUE"""),"Lampu T5 28watt Putih; Phillips; ;")</f>
        <v>Lampu T5 28watt Putih; Phillips; ;</v>
      </c>
      <c r="E317" s="6">
        <f>IFERROR(__xludf.DUMMYFUNCTION("""COMPUTED_VALUE"""),1.0)</f>
        <v>1</v>
      </c>
      <c r="F317" s="6">
        <f>IFERROR(__xludf.DUMMYFUNCTION("""COMPUTED_VALUE"""),1.0)</f>
        <v>1</v>
      </c>
      <c r="G317" s="6">
        <f>IFERROR(__xludf.DUMMYFUNCTION("""COMPUTED_VALUE"""),0.0)</f>
        <v>0</v>
      </c>
      <c r="H317" s="6" t="str">
        <f>IFERROR(__xludf.DUMMYFUNCTION("""COMPUTED_VALUE"""),"pcs")</f>
        <v>pcs</v>
      </c>
      <c r="I317" s="6" t="str">
        <f>IFERROR(__xludf.DUMMYFUNCTION("""COMPUTED_VALUE"""),"MFH")</f>
        <v>MFH</v>
      </c>
      <c r="J317" s="6" t="str">
        <f>IFERROR(__xludf.DUMMYFUNCTION("""COMPUTED_VALUE"""),"Capping")</f>
        <v>Capping</v>
      </c>
      <c r="K317" s="6" t="str">
        <f>IFERROR(__xludf.DUMMYFUNCTION("""COMPUTED_VALUE"""),"SPR/11/23/040")</f>
        <v>SPR/11/23/040</v>
      </c>
      <c r="L317" s="13">
        <f>IFERROR(__xludf.DUMMYFUNCTION("""COMPUTED_VALUE"""),45231.0)</f>
        <v>45231</v>
      </c>
    </row>
    <row r="318">
      <c r="A318" s="6" t="str">
        <f>IFERROR(__xludf.DUMMYFUNCTION("""COMPUTED_VALUE"""),"ROS")</f>
        <v>ROS</v>
      </c>
      <c r="B318" s="6" t="str">
        <f>IFERROR(__xludf.DUMMYFUNCTION("""COMPUTED_VALUE"""),"ENG")</f>
        <v>ENG</v>
      </c>
      <c r="C318" s="6" t="str">
        <f>IFERROR(__xludf.DUMMYFUNCTION("""COMPUTED_VALUE"""),"O-54005-00")</f>
        <v>O-54005-00</v>
      </c>
      <c r="D318" s="6" t="str">
        <f>IFERROR(__xludf.DUMMYFUNCTION("""COMPUTED_VALUE"""),"LAMPU UV 15 WATT, OSRAM")</f>
        <v>LAMPU UV 15 WATT, OSRAM</v>
      </c>
      <c r="E318" s="6">
        <f>IFERROR(__xludf.DUMMYFUNCTION("""COMPUTED_VALUE"""),1.0)</f>
        <v>1</v>
      </c>
      <c r="F318" s="6">
        <f>IFERROR(__xludf.DUMMYFUNCTION("""COMPUTED_VALUE"""),1.0)</f>
        <v>1</v>
      </c>
      <c r="G318" s="6">
        <f>IFERROR(__xludf.DUMMYFUNCTION("""COMPUTED_VALUE"""),0.0)</f>
        <v>0</v>
      </c>
      <c r="H318" s="6" t="str">
        <f>IFERROR(__xludf.DUMMYFUNCTION("""COMPUTED_VALUE"""),"pcs")</f>
        <v>pcs</v>
      </c>
      <c r="I318" s="6" t="str">
        <f>IFERROR(__xludf.DUMMYFUNCTION("""COMPUTED_VALUE"""),"MFH")</f>
        <v>MFH</v>
      </c>
      <c r="J318" s="6" t="str">
        <f>IFERROR(__xludf.DUMMYFUNCTION("""COMPUTED_VALUE"""),"Mixing")</f>
        <v>Mixing</v>
      </c>
      <c r="K318" s="6" t="str">
        <f>IFERROR(__xludf.DUMMYFUNCTION("""COMPUTED_VALUE"""),"SPR/11/23/041")</f>
        <v>SPR/11/23/041</v>
      </c>
      <c r="L318" s="13">
        <f>IFERROR(__xludf.DUMMYFUNCTION("""COMPUTED_VALUE"""),45231.0)</f>
        <v>45231</v>
      </c>
    </row>
    <row r="319">
      <c r="A319" s="6" t="str">
        <f>IFERROR(__xludf.DUMMYFUNCTION("""COMPUTED_VALUE"""),"MOB")</f>
        <v>MOB</v>
      </c>
      <c r="B319" s="6" t="str">
        <f>IFERROR(__xludf.DUMMYFUNCTION("""COMPUTED_VALUE"""),"ENG")</f>
        <v>ENG</v>
      </c>
      <c r="C319" s="6" t="str">
        <f>IFERROR(__xludf.DUMMYFUNCTION("""COMPUTED_VALUE"""),"O-15931-00")</f>
        <v>O-15931-00</v>
      </c>
      <c r="D319" s="6" t="str">
        <f>IFERROR(__xludf.DUMMYFUNCTION("""COMPUTED_VALUE"""),"Double Tape 3M 1"" Merah - P/N : - pc")</f>
        <v>Double Tape 3M 1" Merah - P/N : - pc</v>
      </c>
      <c r="E319" s="6">
        <f>IFERROR(__xludf.DUMMYFUNCTION("""COMPUTED_VALUE"""),1.0)</f>
        <v>1</v>
      </c>
      <c r="F319" s="6">
        <f>IFERROR(__xludf.DUMMYFUNCTION("""COMPUTED_VALUE"""),1.0)</f>
        <v>1</v>
      </c>
      <c r="G319" s="6">
        <f>IFERROR(__xludf.DUMMYFUNCTION("""COMPUTED_VALUE"""),0.0)</f>
        <v>0</v>
      </c>
      <c r="H319" s="6" t="str">
        <f>IFERROR(__xludf.DUMMYFUNCTION("""COMPUTED_VALUE"""),"pcs")</f>
        <v>pcs</v>
      </c>
      <c r="I319" s="6" t="str">
        <f>IFERROR(__xludf.DUMMYFUNCTION("""COMPUTED_VALUE"""),"MFH")</f>
        <v>MFH</v>
      </c>
      <c r="J319" s="6" t="str">
        <f>IFERROR(__xludf.DUMMYFUNCTION("""COMPUTED_VALUE"""),"Building")</f>
        <v>Building</v>
      </c>
      <c r="K319" s="6" t="str">
        <f>IFERROR(__xludf.DUMMYFUNCTION("""COMPUTED_VALUE"""),"SPR/11/23/042")</f>
        <v>SPR/11/23/042</v>
      </c>
      <c r="L319" s="13">
        <f>IFERROR(__xludf.DUMMYFUNCTION("""COMPUTED_VALUE"""),45231.0)</f>
        <v>45231</v>
      </c>
    </row>
    <row r="320">
      <c r="A320" s="6" t="str">
        <f>IFERROR(__xludf.DUMMYFUNCTION("""COMPUTED_VALUE"""),"NDS")</f>
        <v>NDS</v>
      </c>
      <c r="B320" s="6" t="str">
        <f>IFERROR(__xludf.DUMMYFUNCTION("""COMPUTED_VALUE"""),"ENG")</f>
        <v>ENG</v>
      </c>
      <c r="C320" s="6" t="str">
        <f>IFERROR(__xludf.DUMMYFUNCTION("""COMPUTED_VALUE"""),"P-15852-00")</f>
        <v>P-15852-00</v>
      </c>
      <c r="D320" s="6" t="str">
        <f>IFERROR(__xludf.DUMMYFUNCTION("""COMPUTED_VALUE"""),"AMPLAS EAGLE 500")</f>
        <v>AMPLAS EAGLE 500</v>
      </c>
      <c r="E320" s="6">
        <f>IFERROR(__xludf.DUMMYFUNCTION("""COMPUTED_VALUE"""),1.0)</f>
        <v>1</v>
      </c>
      <c r="F320" s="6">
        <f>IFERROR(__xludf.DUMMYFUNCTION("""COMPUTED_VALUE"""),1.0)</f>
        <v>1</v>
      </c>
      <c r="G320" s="6">
        <f>IFERROR(__xludf.DUMMYFUNCTION("""COMPUTED_VALUE"""),0.0)</f>
        <v>0</v>
      </c>
      <c r="H320" s="6" t="str">
        <f>IFERROR(__xludf.DUMMYFUNCTION("""COMPUTED_VALUE"""),"pcs")</f>
        <v>pcs</v>
      </c>
      <c r="I320" s="6" t="str">
        <f>IFERROR(__xludf.DUMMYFUNCTION("""COMPUTED_VALUE"""),"MFH")</f>
        <v>MFH</v>
      </c>
      <c r="J320" s="6" t="str">
        <f>IFERROR(__xludf.DUMMYFUNCTION("""COMPUTED_VALUE"""),"WASHING")</f>
        <v>WASHING</v>
      </c>
      <c r="K320" s="6" t="str">
        <f>IFERROR(__xludf.DUMMYFUNCTION("""COMPUTED_VALUE"""),"SPR/11/23/043")</f>
        <v>SPR/11/23/043</v>
      </c>
      <c r="L320" s="13">
        <f>IFERROR(__xludf.DUMMYFUNCTION("""COMPUTED_VALUE"""),45231.0)</f>
        <v>45231</v>
      </c>
    </row>
    <row r="321">
      <c r="A321" s="6" t="str">
        <f>IFERROR(__xludf.DUMMYFUNCTION("""COMPUTED_VALUE"""),"NDS")</f>
        <v>NDS</v>
      </c>
      <c r="B321" s="6" t="str">
        <f>IFERROR(__xludf.DUMMYFUNCTION("""COMPUTED_VALUE"""),"ENG")</f>
        <v>ENG</v>
      </c>
      <c r="C321" s="6" t="str">
        <f>IFERROR(__xludf.DUMMYFUNCTION("""COMPUTED_VALUE"""),"P-13389-00")</f>
        <v>P-13389-00</v>
      </c>
      <c r="D321" s="6" t="str">
        <f>IFERROR(__xludf.DUMMYFUNCTION("""COMPUTED_VALUE"""),"Scotch Brite 3M; ; ;")</f>
        <v>Scotch Brite 3M; ; ;</v>
      </c>
      <c r="E321" s="6">
        <f>IFERROR(__xludf.DUMMYFUNCTION("""COMPUTED_VALUE"""),1.0)</f>
        <v>1</v>
      </c>
      <c r="F321" s="6">
        <f>IFERROR(__xludf.DUMMYFUNCTION("""COMPUTED_VALUE"""),1.0)</f>
        <v>1</v>
      </c>
      <c r="G321" s="6">
        <f>IFERROR(__xludf.DUMMYFUNCTION("""COMPUTED_VALUE"""),0.0)</f>
        <v>0</v>
      </c>
      <c r="H321" s="6" t="str">
        <f>IFERROR(__xludf.DUMMYFUNCTION("""COMPUTED_VALUE"""),"pcs")</f>
        <v>pcs</v>
      </c>
      <c r="I321" s="6" t="str">
        <f>IFERROR(__xludf.DUMMYFUNCTION("""COMPUTED_VALUE"""),"MFH")</f>
        <v>MFH</v>
      </c>
      <c r="J321" s="6" t="str">
        <f>IFERROR(__xludf.DUMMYFUNCTION("""COMPUTED_VALUE"""),"WASHING")</f>
        <v>WASHING</v>
      </c>
      <c r="K321" s="6" t="str">
        <f>IFERROR(__xludf.DUMMYFUNCTION("""COMPUTED_VALUE"""),"SPR/11/23/043")</f>
        <v>SPR/11/23/043</v>
      </c>
      <c r="L321" s="13">
        <f>IFERROR(__xludf.DUMMYFUNCTION("""COMPUTED_VALUE"""),45231.0)</f>
        <v>45231</v>
      </c>
    </row>
    <row r="322">
      <c r="A322" s="6" t="str">
        <f>IFERROR(__xludf.DUMMYFUNCTION("""COMPUTED_VALUE"""),"NDS")</f>
        <v>NDS</v>
      </c>
      <c r="B322" s="6" t="str">
        <f>IFERROR(__xludf.DUMMYFUNCTION("""COMPUTED_VALUE"""),"ENG")</f>
        <v>ENG</v>
      </c>
      <c r="C322" s="6" t="str">
        <f>IFERROR(__xludf.DUMMYFUNCTION("""COMPUTED_VALUE"""),"O-15619-00")</f>
        <v>O-15619-00</v>
      </c>
      <c r="D322" s="6" t="str">
        <f>IFERROR(__xludf.DUMMYFUNCTION("""COMPUTED_VALUE"""),"HIGH PRECISION OPTICAL FIBER 1")</f>
        <v>HIGH PRECISION OPTICAL FIBER 1</v>
      </c>
      <c r="E322" s="6">
        <f>IFERROR(__xludf.DUMMYFUNCTION("""COMPUTED_VALUE"""),1.0)</f>
        <v>1</v>
      </c>
      <c r="F322" s="6">
        <f>IFERROR(__xludf.DUMMYFUNCTION("""COMPUTED_VALUE"""),1.0)</f>
        <v>1</v>
      </c>
      <c r="G322" s="6">
        <f>IFERROR(__xludf.DUMMYFUNCTION("""COMPUTED_VALUE"""),0.0)</f>
        <v>0</v>
      </c>
      <c r="H322" s="6" t="str">
        <f>IFERROR(__xludf.DUMMYFUNCTION("""COMPUTED_VALUE"""),"pcs")</f>
        <v>pcs</v>
      </c>
      <c r="I322" s="6" t="str">
        <f>IFERROR(__xludf.DUMMYFUNCTION("""COMPUTED_VALUE"""),"MFH")</f>
        <v>MFH</v>
      </c>
      <c r="J322" s="6" t="str">
        <f>IFERROR(__xludf.DUMMYFUNCTION("""COMPUTED_VALUE"""),"Capping")</f>
        <v>Capping</v>
      </c>
      <c r="K322" s="6" t="str">
        <f>IFERROR(__xludf.DUMMYFUNCTION("""COMPUTED_VALUE"""),"SPR/11/23/043")</f>
        <v>SPR/11/23/043</v>
      </c>
      <c r="L322" s="13">
        <f>IFERROR(__xludf.DUMMYFUNCTION("""COMPUTED_VALUE"""),45231.0)</f>
        <v>45231</v>
      </c>
    </row>
    <row r="323">
      <c r="A323" s="6" t="str">
        <f>IFERROR(__xludf.DUMMYFUNCTION("""COMPUTED_VALUE"""),"RIA")</f>
        <v>RIA</v>
      </c>
      <c r="B323" s="6" t="str">
        <f>IFERROR(__xludf.DUMMYFUNCTION("""COMPUTED_VALUE"""),"ENG")</f>
        <v>ENG</v>
      </c>
      <c r="C323" s="6" t="str">
        <f>IFERROR(__xludf.DUMMYFUNCTION("""COMPUTED_VALUE"""),"P-53170-00")</f>
        <v>P-53170-00</v>
      </c>
      <c r="D323" s="6" t="str">
        <f>IFERROR(__xludf.DUMMYFUNCTION("""COMPUTED_VALUE"""),"Ballast Electronic EB-C 128 TL5, 1x28W; Phillips; ;")</f>
        <v>Ballast Electronic EB-C 128 TL5, 1x28W; Phillips; ;</v>
      </c>
      <c r="E323" s="6">
        <f>IFERROR(__xludf.DUMMYFUNCTION("""COMPUTED_VALUE"""),1.0)</f>
        <v>1</v>
      </c>
      <c r="F323" s="6">
        <f>IFERROR(__xludf.DUMMYFUNCTION("""COMPUTED_VALUE"""),1.0)</f>
        <v>1</v>
      </c>
      <c r="G323" s="6">
        <f>IFERROR(__xludf.DUMMYFUNCTION("""COMPUTED_VALUE"""),0.0)</f>
        <v>0</v>
      </c>
      <c r="H323" s="6" t="str">
        <f>IFERROR(__xludf.DUMMYFUNCTION("""COMPUTED_VALUE"""),"pcs")</f>
        <v>pcs</v>
      </c>
      <c r="I323" s="6" t="str">
        <f>IFERROR(__xludf.DUMMYFUNCTION("""COMPUTED_VALUE"""),"MFH")</f>
        <v>MFH</v>
      </c>
      <c r="J323" s="6" t="str">
        <f>IFERROR(__xludf.DUMMYFUNCTION("""COMPUTED_VALUE"""),"API")</f>
        <v>API</v>
      </c>
      <c r="K323" s="6" t="str">
        <f>IFERROR(__xludf.DUMMYFUNCTION("""COMPUTED_VALUE"""),"SPR/11/23/044")</f>
        <v>SPR/11/23/044</v>
      </c>
      <c r="L323" s="13">
        <f>IFERROR(__xludf.DUMMYFUNCTION("""COMPUTED_VALUE"""),45231.0)</f>
        <v>45231</v>
      </c>
    </row>
    <row r="324">
      <c r="A324" s="6" t="str">
        <f>IFERROR(__xludf.DUMMYFUNCTION("""COMPUTED_VALUE"""),"AAA")</f>
        <v>AAA</v>
      </c>
      <c r="B324" s="6" t="str">
        <f>IFERROR(__xludf.DUMMYFUNCTION("""COMPUTED_VALUE"""),"ENG")</f>
        <v>ENG</v>
      </c>
      <c r="C324" s="6" t="str">
        <f>IFERROR(__xludf.DUMMYFUNCTION("""COMPUTED_VALUE"""),"T-20215-00")</f>
        <v>T-20215-00</v>
      </c>
      <c r="D324" s="6" t="str">
        <f>IFERROR(__xludf.DUMMYFUNCTION("""COMPUTED_VALUE"""),"ASSY PCB DEGASSER QSPI MULTI-P")</f>
        <v>ASSY PCB DEGASSER QSPI MULTI-P</v>
      </c>
      <c r="E324" s="6">
        <f>IFERROR(__xludf.DUMMYFUNCTION("""COMPUTED_VALUE"""),1.0)</f>
        <v>1</v>
      </c>
      <c r="F324" s="6">
        <f>IFERROR(__xludf.DUMMYFUNCTION("""COMPUTED_VALUE"""),1.0)</f>
        <v>1</v>
      </c>
      <c r="G324" s="6">
        <f>IFERROR(__xludf.DUMMYFUNCTION("""COMPUTED_VALUE"""),0.0)</f>
        <v>0</v>
      </c>
      <c r="H324" s="6" t="str">
        <f>IFERROR(__xludf.DUMMYFUNCTION("""COMPUTED_VALUE"""),"pcs")</f>
        <v>pcs</v>
      </c>
      <c r="I324" s="6" t="str">
        <f>IFERROR(__xludf.DUMMYFUNCTION("""COMPUTED_VALUE"""),"MFH")</f>
        <v>MFH</v>
      </c>
      <c r="J324" s="6" t="str">
        <f>IFERROR(__xludf.DUMMYFUNCTION("""COMPUTED_VALUE"""),"HPLC")</f>
        <v>HPLC</v>
      </c>
      <c r="K324" s="6" t="str">
        <f>IFERROR(__xludf.DUMMYFUNCTION("""COMPUTED_VALUE"""),"SPR/11/23/045")</f>
        <v>SPR/11/23/045</v>
      </c>
      <c r="L324" s="13">
        <f>IFERROR(__xludf.DUMMYFUNCTION("""COMPUTED_VALUE"""),45231.0)</f>
        <v>45231</v>
      </c>
    </row>
    <row r="325">
      <c r="A325" s="6" t="str">
        <f>IFERROR(__xludf.DUMMYFUNCTION("""COMPUTED_VALUE"""),"SHF")</f>
        <v>SHF</v>
      </c>
      <c r="B325" s="6" t="str">
        <f>IFERROR(__xludf.DUMMYFUNCTION("""COMPUTED_VALUE"""),"ENG")</f>
        <v>ENG</v>
      </c>
      <c r="C325" s="6" t="str">
        <f>IFERROR(__xludf.DUMMYFUNCTION("""COMPUTED_VALUE"""),"P-11991-00")</f>
        <v>P-11991-00</v>
      </c>
      <c r="D325" s="6" t="str">
        <f>IFERROR(__xludf.DUMMYFUNCTION("""COMPUTED_VALUE"""),"Cabble Ties 200L")</f>
        <v>Cabble Ties 200L</v>
      </c>
      <c r="E325" s="6">
        <f>IFERROR(__xludf.DUMMYFUNCTION("""COMPUTED_VALUE"""),1.0)</f>
        <v>1</v>
      </c>
      <c r="F325" s="6">
        <f>IFERROR(__xludf.DUMMYFUNCTION("""COMPUTED_VALUE"""),1.0)</f>
        <v>1</v>
      </c>
      <c r="G325" s="6">
        <f>IFERROR(__xludf.DUMMYFUNCTION("""COMPUTED_VALUE"""),0.0)</f>
        <v>0</v>
      </c>
      <c r="H325" s="6" t="str">
        <f>IFERROR(__xludf.DUMMYFUNCTION("""COMPUTED_VALUE"""),"pcs")</f>
        <v>pcs</v>
      </c>
      <c r="I325" s="6" t="str">
        <f>IFERROR(__xludf.DUMMYFUNCTION("""COMPUTED_VALUE"""),"MFH")</f>
        <v>MFH</v>
      </c>
      <c r="J325" s="6" t="str">
        <f>IFERROR(__xludf.DUMMYFUNCTION("""COMPUTED_VALUE"""),"Building")</f>
        <v>Building</v>
      </c>
      <c r="K325" s="6" t="str">
        <f>IFERROR(__xludf.DUMMYFUNCTION("""COMPUTED_VALUE"""),"SPR/11/23/046")</f>
        <v>SPR/11/23/046</v>
      </c>
      <c r="L325" s="13">
        <f>IFERROR(__xludf.DUMMYFUNCTION("""COMPUTED_VALUE"""),45231.0)</f>
        <v>45231</v>
      </c>
    </row>
    <row r="326">
      <c r="A326" s="6" t="str">
        <f>IFERROR(__xludf.DUMMYFUNCTION("""COMPUTED_VALUE"""),"TIW")</f>
        <v>TIW</v>
      </c>
      <c r="B326" s="6" t="str">
        <f>IFERROR(__xludf.DUMMYFUNCTION("""COMPUTED_VALUE"""),"QAS")</f>
        <v>QAS</v>
      </c>
      <c r="C326" s="6" t="str">
        <f>IFERROR(__xludf.DUMMYFUNCTION("""COMPUTED_VALUE"""),"P-11195-00")</f>
        <v>P-11195-00</v>
      </c>
      <c r="D326" s="6" t="str">
        <f>IFERROR(__xludf.DUMMYFUNCTION("""COMPUTED_VALUE"""),"Pneumatic Fitting - QSF-G 1/8 - 6 mm / Festo")</f>
        <v>Pneumatic Fitting - QSF-G 1/8 - 6 mm / Festo</v>
      </c>
      <c r="E326" s="6">
        <f>IFERROR(__xludf.DUMMYFUNCTION("""COMPUTED_VALUE"""),2.0)</f>
        <v>2</v>
      </c>
      <c r="F326" s="6">
        <f>IFERROR(__xludf.DUMMYFUNCTION("""COMPUTED_VALUE"""),2.0)</f>
        <v>2</v>
      </c>
      <c r="G326" s="6">
        <f>IFERROR(__xludf.DUMMYFUNCTION("""COMPUTED_VALUE"""),0.0)</f>
        <v>0</v>
      </c>
      <c r="H326" s="6" t="str">
        <f>IFERROR(__xludf.DUMMYFUNCTION("""COMPUTED_VALUE"""),"pcs")</f>
        <v>pcs</v>
      </c>
      <c r="I326" s="6" t="str">
        <f>IFERROR(__xludf.DUMMYFUNCTION("""COMPUTED_VALUE"""),"MFH")</f>
        <v>MFH</v>
      </c>
      <c r="J326" s="6" t="str">
        <f>IFERROR(__xludf.DUMMYFUNCTION("""COMPUTED_VALUE"""),"FD IMA")</f>
        <v>FD IMA</v>
      </c>
      <c r="K326" s="6" t="str">
        <f>IFERROR(__xludf.DUMMYFUNCTION("""COMPUTED_VALUE"""),"SPR/12/23/001")</f>
        <v>SPR/12/23/001</v>
      </c>
      <c r="L326" s="13">
        <f>IFERROR(__xludf.DUMMYFUNCTION("""COMPUTED_VALUE"""),45261.0)</f>
        <v>45261</v>
      </c>
    </row>
    <row r="327">
      <c r="A327" s="6" t="str">
        <f>IFERROR(__xludf.DUMMYFUNCTION("""COMPUTED_VALUE"""),"TIW")</f>
        <v>TIW</v>
      </c>
      <c r="B327" s="6" t="str">
        <f>IFERROR(__xludf.DUMMYFUNCTION("""COMPUTED_VALUE"""),"QAS")</f>
        <v>QAS</v>
      </c>
      <c r="C327" s="6" t="str">
        <f>IFERROR(__xludf.DUMMYFUNCTION("""COMPUTED_VALUE"""),"O-19141-00")</f>
        <v>O-19141-00</v>
      </c>
      <c r="D327" s="6" t="str">
        <f>IFERROR(__xludf.DUMMYFUNCTION("""COMPUTED_VALUE"""),"Fitting Pneumatic QS 6mm x 1/8 inch Female; ; ;")</f>
        <v>Fitting Pneumatic QS 6mm x 1/8 inch Female; ; ;</v>
      </c>
      <c r="E327" s="6">
        <f>IFERROR(__xludf.DUMMYFUNCTION("""COMPUTED_VALUE"""),1.0)</f>
        <v>1</v>
      </c>
      <c r="F327" s="6">
        <f>IFERROR(__xludf.DUMMYFUNCTION("""COMPUTED_VALUE"""),1.0)</f>
        <v>1</v>
      </c>
      <c r="G327" s="6">
        <f>IFERROR(__xludf.DUMMYFUNCTION("""COMPUTED_VALUE"""),0.0)</f>
        <v>0</v>
      </c>
      <c r="H327" s="6" t="str">
        <f>IFERROR(__xludf.DUMMYFUNCTION("""COMPUTED_VALUE"""),"pcs")</f>
        <v>pcs</v>
      </c>
      <c r="I327" s="6" t="str">
        <f>IFERROR(__xludf.DUMMYFUNCTION("""COMPUTED_VALUE"""),"MFH")</f>
        <v>MFH</v>
      </c>
      <c r="J327" s="6" t="str">
        <f>IFERROR(__xludf.DUMMYFUNCTION("""COMPUTED_VALUE"""),"FD IMA")</f>
        <v>FD IMA</v>
      </c>
      <c r="K327" s="6" t="str">
        <f>IFERROR(__xludf.DUMMYFUNCTION("""COMPUTED_VALUE"""),"SPR/12/23/001")</f>
        <v>SPR/12/23/001</v>
      </c>
      <c r="L327" s="13">
        <f>IFERROR(__xludf.DUMMYFUNCTION("""COMPUTED_VALUE"""),45261.0)</f>
        <v>45261</v>
      </c>
    </row>
    <row r="328">
      <c r="A328" s="6" t="str">
        <f>IFERROR(__xludf.DUMMYFUNCTION("""COMPUTED_VALUE"""),"TIW")</f>
        <v>TIW</v>
      </c>
      <c r="B328" s="6" t="str">
        <f>IFERROR(__xludf.DUMMYFUNCTION("""COMPUTED_VALUE"""),"QAS")</f>
        <v>QAS</v>
      </c>
      <c r="C328" s="6" t="str">
        <f>IFERROR(__xludf.DUMMYFUNCTION("""COMPUTED_VALUE"""),"P-12261-00")</f>
        <v>P-12261-00</v>
      </c>
      <c r="D328" s="6" t="str">
        <f>IFERROR(__xludf.DUMMYFUNCTION("""COMPUTED_VALUE"""),"FESTO - Push In Connector QS-6 p/n 153032")</f>
        <v>FESTO - Push In Connector QS-6 p/n 153032</v>
      </c>
      <c r="E328" s="6">
        <f>IFERROR(__xludf.DUMMYFUNCTION("""COMPUTED_VALUE"""),8.0)</f>
        <v>8</v>
      </c>
      <c r="F328" s="6">
        <f>IFERROR(__xludf.DUMMYFUNCTION("""COMPUTED_VALUE"""),8.0)</f>
        <v>8</v>
      </c>
      <c r="G328" s="6">
        <f>IFERROR(__xludf.DUMMYFUNCTION("""COMPUTED_VALUE"""),0.0)</f>
        <v>0</v>
      </c>
      <c r="H328" s="6" t="str">
        <f>IFERROR(__xludf.DUMMYFUNCTION("""COMPUTED_VALUE"""),"pcs")</f>
        <v>pcs</v>
      </c>
      <c r="I328" s="6" t="str">
        <f>IFERROR(__xludf.DUMMYFUNCTION("""COMPUTED_VALUE"""),"MFH")</f>
        <v>MFH</v>
      </c>
      <c r="J328" s="6" t="str">
        <f>IFERROR(__xludf.DUMMYFUNCTION("""COMPUTED_VALUE"""),"FD IMA")</f>
        <v>FD IMA</v>
      </c>
      <c r="K328" s="6" t="str">
        <f>IFERROR(__xludf.DUMMYFUNCTION("""COMPUTED_VALUE"""),"SPR/12/23/001")</f>
        <v>SPR/12/23/001</v>
      </c>
      <c r="L328" s="13">
        <f>IFERROR(__xludf.DUMMYFUNCTION("""COMPUTED_VALUE"""),45261.0)</f>
        <v>45261</v>
      </c>
    </row>
    <row r="329">
      <c r="A329" s="6" t="str">
        <f>IFERROR(__xludf.DUMMYFUNCTION("""COMPUTED_VALUE"""),"MOB")</f>
        <v>MOB</v>
      </c>
      <c r="B329" s="6" t="str">
        <f>IFERROR(__xludf.DUMMYFUNCTION("""COMPUTED_VALUE"""),"ENG")</f>
        <v>ENG</v>
      </c>
      <c r="C329" s="6" t="str">
        <f>IFERROR(__xludf.DUMMYFUNCTION("""COMPUTED_VALUE"""),"Q-60025-00")</f>
        <v>Q-60025-00</v>
      </c>
      <c r="D329" s="6" t="str">
        <f>IFERROR(__xludf.DUMMYFUNCTION("""COMPUTED_VALUE"""),"Kuas Eterna 1")</f>
        <v>Kuas Eterna 1</v>
      </c>
      <c r="E329" s="6">
        <f>IFERROR(__xludf.DUMMYFUNCTION("""COMPUTED_VALUE"""),1.0)</f>
        <v>1</v>
      </c>
      <c r="F329" s="6">
        <f>IFERROR(__xludf.DUMMYFUNCTION("""COMPUTED_VALUE"""),1.0)</f>
        <v>1</v>
      </c>
      <c r="G329" s="6">
        <f>IFERROR(__xludf.DUMMYFUNCTION("""COMPUTED_VALUE"""),0.0)</f>
        <v>0</v>
      </c>
      <c r="H329" s="6" t="str">
        <f>IFERROR(__xludf.DUMMYFUNCTION("""COMPUTED_VALUE"""),"pcs")</f>
        <v>pcs</v>
      </c>
      <c r="I329" s="6" t="str">
        <f>IFERROR(__xludf.DUMMYFUNCTION("""COMPUTED_VALUE"""),"MFH")</f>
        <v>MFH</v>
      </c>
      <c r="J329" s="6" t="str">
        <f>IFERROR(__xludf.DUMMYFUNCTION("""COMPUTED_VALUE"""),"Building")</f>
        <v>Building</v>
      </c>
      <c r="K329" s="6" t="str">
        <f>IFERROR(__xludf.DUMMYFUNCTION("""COMPUTED_VALUE"""),"SPR/12/23/002")</f>
        <v>SPR/12/23/002</v>
      </c>
      <c r="L329" s="13">
        <f>IFERROR(__xludf.DUMMYFUNCTION("""COMPUTED_VALUE"""),45261.0)</f>
        <v>45261</v>
      </c>
    </row>
    <row r="330">
      <c r="A330" s="6" t="str">
        <f>IFERROR(__xludf.DUMMYFUNCTION("""COMPUTED_VALUE"""),"MOB")</f>
        <v>MOB</v>
      </c>
      <c r="B330" s="6" t="str">
        <f>IFERROR(__xludf.DUMMYFUNCTION("""COMPUTED_VALUE"""),"ENG")</f>
        <v>ENG</v>
      </c>
      <c r="C330" s="6" t="str">
        <f>IFERROR(__xludf.DUMMYFUNCTION("""COMPUTED_VALUE"""),"P-18067-00")</f>
        <v>P-18067-00</v>
      </c>
      <c r="D330" s="6" t="str">
        <f>IFERROR(__xludf.DUMMYFUNCTION("""COMPUTED_VALUE"""),"Lampu LED T5 120 CM 16 Watt 6000K; ; ;")</f>
        <v>Lampu LED T5 120 CM 16 Watt 6000K; ; ;</v>
      </c>
      <c r="E330" s="6">
        <f>IFERROR(__xludf.DUMMYFUNCTION("""COMPUTED_VALUE"""),10.0)</f>
        <v>10</v>
      </c>
      <c r="F330" s="6">
        <f>IFERROR(__xludf.DUMMYFUNCTION("""COMPUTED_VALUE"""),10.0)</f>
        <v>10</v>
      </c>
      <c r="G330" s="6">
        <f>IFERROR(__xludf.DUMMYFUNCTION("""COMPUTED_VALUE"""),0.0)</f>
        <v>0</v>
      </c>
      <c r="H330" s="6" t="str">
        <f>IFERROR(__xludf.DUMMYFUNCTION("""COMPUTED_VALUE"""),"pcs")</f>
        <v>pcs</v>
      </c>
      <c r="I330" s="6" t="str">
        <f>IFERROR(__xludf.DUMMYFUNCTION("""COMPUTED_VALUE"""),"MFH")</f>
        <v>MFH</v>
      </c>
      <c r="J330" s="6" t="str">
        <f>IFERROR(__xludf.DUMMYFUNCTION("""COMPUTED_VALUE"""),"Building")</f>
        <v>Building</v>
      </c>
      <c r="K330" s="6" t="str">
        <f>IFERROR(__xludf.DUMMYFUNCTION("""COMPUTED_VALUE"""),"SPR/12/23/002")</f>
        <v>SPR/12/23/002</v>
      </c>
      <c r="L330" s="13">
        <f>IFERROR(__xludf.DUMMYFUNCTION("""COMPUTED_VALUE"""),45261.0)</f>
        <v>45261</v>
      </c>
    </row>
    <row r="331">
      <c r="A331" s="6" t="str">
        <f>IFERROR(__xludf.DUMMYFUNCTION("""COMPUTED_VALUE"""),"MOB")</f>
        <v>MOB</v>
      </c>
      <c r="B331" s="6" t="str">
        <f>IFERROR(__xludf.DUMMYFUNCTION("""COMPUTED_VALUE"""),"ENG")</f>
        <v>ENG</v>
      </c>
      <c r="C331" s="6" t="str">
        <f>IFERROR(__xludf.DUMMYFUNCTION("""COMPUTED_VALUE"""),"Q-60502-00")</f>
        <v>Q-60502-00</v>
      </c>
      <c r="D331" s="6" t="str">
        <f>IFERROR(__xludf.DUMMYFUNCTION("""COMPUTED_VALUE"""),"Silicone Sealant, Silglaze, Type N10 White, pack size per pcs")</f>
        <v>Silicone Sealant, Silglaze, Type N10 White, pack size per pcs</v>
      </c>
      <c r="E331" s="6">
        <f>IFERROR(__xludf.DUMMYFUNCTION("""COMPUTED_VALUE"""),4.0)</f>
        <v>4</v>
      </c>
      <c r="F331" s="6">
        <f>IFERROR(__xludf.DUMMYFUNCTION("""COMPUTED_VALUE"""),4.0)</f>
        <v>4</v>
      </c>
      <c r="G331" s="6">
        <f>IFERROR(__xludf.DUMMYFUNCTION("""COMPUTED_VALUE"""),0.0)</f>
        <v>0</v>
      </c>
      <c r="H331" s="6" t="str">
        <f>IFERROR(__xludf.DUMMYFUNCTION("""COMPUTED_VALUE"""),"pcs")</f>
        <v>pcs</v>
      </c>
      <c r="I331" s="6" t="str">
        <f>IFERROR(__xludf.DUMMYFUNCTION("""COMPUTED_VALUE"""),"MFH")</f>
        <v>MFH</v>
      </c>
      <c r="J331" s="6" t="str">
        <f>IFERROR(__xludf.DUMMYFUNCTION("""COMPUTED_VALUE"""),"Building")</f>
        <v>Building</v>
      </c>
      <c r="K331" s="6" t="str">
        <f>IFERROR(__xludf.DUMMYFUNCTION("""COMPUTED_VALUE"""),"SPR/12/23/002")</f>
        <v>SPR/12/23/002</v>
      </c>
      <c r="L331" s="13">
        <f>IFERROR(__xludf.DUMMYFUNCTION("""COMPUTED_VALUE"""),45261.0)</f>
        <v>45261</v>
      </c>
    </row>
    <row r="332">
      <c r="A332" s="6" t="str">
        <f>IFERROR(__xludf.DUMMYFUNCTION("""COMPUTED_VALUE"""),"NDS")</f>
        <v>NDS</v>
      </c>
      <c r="B332" s="6" t="str">
        <f>IFERROR(__xludf.DUMMYFUNCTION("""COMPUTED_VALUE"""),"ENG")</f>
        <v>ENG</v>
      </c>
      <c r="C332" s="6" t="str">
        <f>IFERROR(__xludf.DUMMYFUNCTION("""COMPUTED_VALUE"""),"P-12305-00")</f>
        <v>P-12305-00</v>
      </c>
      <c r="D332" s="6" t="str">
        <f>IFERROR(__xludf.DUMMYFUNCTION("""COMPUTED_VALUE"""),"FESTO - QST-6 Push in t-connection p/n 153129")</f>
        <v>FESTO - QST-6 Push in t-connection p/n 153129</v>
      </c>
      <c r="E332" s="6">
        <f>IFERROR(__xludf.DUMMYFUNCTION("""COMPUTED_VALUE"""),1.0)</f>
        <v>1</v>
      </c>
      <c r="F332" s="6">
        <f>IFERROR(__xludf.DUMMYFUNCTION("""COMPUTED_VALUE"""),1.0)</f>
        <v>1</v>
      </c>
      <c r="G332" s="6">
        <f>IFERROR(__xludf.DUMMYFUNCTION("""COMPUTED_VALUE"""),0.0)</f>
        <v>0</v>
      </c>
      <c r="H332" s="6" t="str">
        <f>IFERROR(__xludf.DUMMYFUNCTION("""COMPUTED_VALUE"""),"pcs")</f>
        <v>pcs</v>
      </c>
      <c r="I332" s="6" t="str">
        <f>IFERROR(__xludf.DUMMYFUNCTION("""COMPUTED_VALUE"""),"MFH")</f>
        <v>MFH</v>
      </c>
      <c r="J332" s="6" t="str">
        <f>IFERROR(__xludf.DUMMYFUNCTION("""COMPUTED_VALUE"""),"FD IMA")</f>
        <v>FD IMA</v>
      </c>
      <c r="K332" s="6" t="str">
        <f>IFERROR(__xludf.DUMMYFUNCTION("""COMPUTED_VALUE"""),"SPR/12/23/003")</f>
        <v>SPR/12/23/003</v>
      </c>
      <c r="L332" s="13">
        <f>IFERROR(__xludf.DUMMYFUNCTION("""COMPUTED_VALUE"""),45261.0)</f>
        <v>45261</v>
      </c>
    </row>
    <row r="333">
      <c r="A333" s="6" t="str">
        <f>IFERROR(__xludf.DUMMYFUNCTION("""COMPUTED_VALUE"""),"NDS")</f>
        <v>NDS</v>
      </c>
      <c r="B333" s="6" t="str">
        <f>IFERROR(__xludf.DUMMYFUNCTION("""COMPUTED_VALUE"""),"ENG")</f>
        <v>ENG</v>
      </c>
      <c r="C333" s="6" t="str">
        <f>IFERROR(__xludf.DUMMYFUNCTION("""COMPUTED_VALUE"""),"O-16033-00")</f>
        <v>O-16033-00</v>
      </c>
      <c r="D333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33" s="6">
        <f>IFERROR(__xludf.DUMMYFUNCTION("""COMPUTED_VALUE"""),20.0)</f>
        <v>20</v>
      </c>
      <c r="F333" s="6">
        <f>IFERROR(__xludf.DUMMYFUNCTION("""COMPUTED_VALUE"""),20.0)</f>
        <v>20</v>
      </c>
      <c r="G333" s="6">
        <f>IFERROR(__xludf.DUMMYFUNCTION("""COMPUTED_VALUE"""),0.0)</f>
        <v>0</v>
      </c>
      <c r="H333" s="6" t="str">
        <f>IFERROR(__xludf.DUMMYFUNCTION("""COMPUTED_VALUE"""),"pcs")</f>
        <v>pcs</v>
      </c>
      <c r="I333" s="6" t="str">
        <f>IFERROR(__xludf.DUMMYFUNCTION("""COMPUTED_VALUE"""),"MFH")</f>
        <v>MFH</v>
      </c>
      <c r="J333" s="6" t="str">
        <f>IFERROR(__xludf.DUMMYFUNCTION("""COMPUTED_VALUE"""),"-")</f>
        <v>-</v>
      </c>
      <c r="K333" s="6" t="str">
        <f>IFERROR(__xludf.DUMMYFUNCTION("""COMPUTED_VALUE"""),"SPR/12/23/003")</f>
        <v>SPR/12/23/003</v>
      </c>
      <c r="L333" s="13">
        <f>IFERROR(__xludf.DUMMYFUNCTION("""COMPUTED_VALUE"""),45261.0)</f>
        <v>45261</v>
      </c>
    </row>
    <row r="334">
      <c r="A334" s="6" t="str">
        <f>IFERROR(__xludf.DUMMYFUNCTION("""COMPUTED_VALUE"""),"NDS")</f>
        <v>NDS</v>
      </c>
      <c r="B334" s="6" t="str">
        <f>IFERROR(__xludf.DUMMYFUNCTION("""COMPUTED_VALUE"""),"ENG")</f>
        <v>ENG</v>
      </c>
      <c r="C334" s="6" t="str">
        <f>IFERROR(__xludf.DUMMYFUNCTION("""COMPUTED_VALUE"""),"O-16032-00")</f>
        <v>O-16032-00</v>
      </c>
      <c r="D334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34" s="6">
        <f>IFERROR(__xludf.DUMMYFUNCTION("""COMPUTED_VALUE"""),30.0)</f>
        <v>30</v>
      </c>
      <c r="F334" s="6">
        <f>IFERROR(__xludf.DUMMYFUNCTION("""COMPUTED_VALUE"""),30.0)</f>
        <v>30</v>
      </c>
      <c r="G334" s="6">
        <f>IFERROR(__xludf.DUMMYFUNCTION("""COMPUTED_VALUE"""),0.0)</f>
        <v>0</v>
      </c>
      <c r="H334" s="6" t="str">
        <f>IFERROR(__xludf.DUMMYFUNCTION("""COMPUTED_VALUE"""),"pcs")</f>
        <v>pcs</v>
      </c>
      <c r="I334" s="6" t="str">
        <f>IFERROR(__xludf.DUMMYFUNCTION("""COMPUTED_VALUE"""),"MFH")</f>
        <v>MFH</v>
      </c>
      <c r="J334" s="6" t="str">
        <f>IFERROR(__xludf.DUMMYFUNCTION("""COMPUTED_VALUE"""),"-")</f>
        <v>-</v>
      </c>
      <c r="K334" s="6" t="str">
        <f>IFERROR(__xludf.DUMMYFUNCTION("""COMPUTED_VALUE"""),"SPR/12/23/003")</f>
        <v>SPR/12/23/003</v>
      </c>
      <c r="L334" s="13">
        <f>IFERROR(__xludf.DUMMYFUNCTION("""COMPUTED_VALUE"""),45261.0)</f>
        <v>45261</v>
      </c>
    </row>
    <row r="335">
      <c r="A335" s="6" t="str">
        <f>IFERROR(__xludf.DUMMYFUNCTION("""COMPUTED_VALUE"""),"MOB")</f>
        <v>MOB</v>
      </c>
      <c r="B335" s="6" t="str">
        <f>IFERROR(__xludf.DUMMYFUNCTION("""COMPUTED_VALUE"""),"ENG")</f>
        <v>ENG</v>
      </c>
      <c r="C335" s="6" t="str">
        <f>IFERROR(__xludf.DUMMYFUNCTION("""COMPUTED_VALUE"""),"Q-10134-00")</f>
        <v>Q-10134-00</v>
      </c>
      <c r="D335" s="6" t="str">
        <f>IFERROR(__xludf.DUMMYFUNCTION("""COMPUTED_VALUE"""),"TOTO - Jet Shower spray TX 403S")</f>
        <v>TOTO - Jet Shower spray TX 403S</v>
      </c>
      <c r="E335" s="6">
        <f>IFERROR(__xludf.DUMMYFUNCTION("""COMPUTED_VALUE"""),10.0)</f>
        <v>10</v>
      </c>
      <c r="F335" s="6">
        <f>IFERROR(__xludf.DUMMYFUNCTION("""COMPUTED_VALUE"""),10.0)</f>
        <v>10</v>
      </c>
      <c r="G335" s="6">
        <f>IFERROR(__xludf.DUMMYFUNCTION("""COMPUTED_VALUE"""),0.0)</f>
        <v>0</v>
      </c>
      <c r="H335" s="6" t="str">
        <f>IFERROR(__xludf.DUMMYFUNCTION("""COMPUTED_VALUE"""),"pcs")</f>
        <v>pcs</v>
      </c>
      <c r="I335" s="6" t="str">
        <f>IFERROR(__xludf.DUMMYFUNCTION("""COMPUTED_VALUE"""),"MFH")</f>
        <v>MFH</v>
      </c>
      <c r="J335" s="6" t="str">
        <f>IFERROR(__xludf.DUMMYFUNCTION("""COMPUTED_VALUE"""),"Building")</f>
        <v>Building</v>
      </c>
      <c r="K335" s="6" t="str">
        <f>IFERROR(__xludf.DUMMYFUNCTION("""COMPUTED_VALUE"""),"SPR/12/23/004")</f>
        <v>SPR/12/23/004</v>
      </c>
      <c r="L335" s="13">
        <f>IFERROR(__xludf.DUMMYFUNCTION("""COMPUTED_VALUE"""),45261.0)</f>
        <v>45261</v>
      </c>
    </row>
    <row r="336">
      <c r="A336" s="6" t="str">
        <f>IFERROR(__xludf.DUMMYFUNCTION("""COMPUTED_VALUE"""),"MOB")</f>
        <v>MOB</v>
      </c>
      <c r="B336" s="6" t="str">
        <f>IFERROR(__xludf.DUMMYFUNCTION("""COMPUTED_VALUE"""),"ENG")</f>
        <v>ENG</v>
      </c>
      <c r="C336" s="6" t="str">
        <f>IFERROR(__xludf.DUMMYFUNCTION("""COMPUTED_VALUE"""),"P-14424-00")</f>
        <v>P-14424-00</v>
      </c>
      <c r="D336" s="6" t="str">
        <f>IFERROR(__xludf.DUMMYFUNCTION("""COMPUTED_VALUE"""),"Garam Kutreat RGN-9800F; ; ; 25Kg/zak")</f>
        <v>Garam Kutreat RGN-9800F; ; ; 25Kg/zak</v>
      </c>
      <c r="E336" s="6">
        <f>IFERROR(__xludf.DUMMYFUNCTION("""COMPUTED_VALUE"""),5.0)</f>
        <v>5</v>
      </c>
      <c r="F336" s="6">
        <f>IFERROR(__xludf.DUMMYFUNCTION("""COMPUTED_VALUE"""),5.0)</f>
        <v>5</v>
      </c>
      <c r="G336" s="6">
        <f>IFERROR(__xludf.DUMMYFUNCTION("""COMPUTED_VALUE"""),0.0)</f>
        <v>0</v>
      </c>
      <c r="H336" s="6" t="str">
        <f>IFERROR(__xludf.DUMMYFUNCTION("""COMPUTED_VALUE"""),"pcs")</f>
        <v>pcs</v>
      </c>
      <c r="I336" s="6" t="str">
        <f>IFERROR(__xludf.DUMMYFUNCTION("""COMPUTED_VALUE"""),"MFH")</f>
        <v>MFH</v>
      </c>
      <c r="J336" s="6" t="str">
        <f>IFERROR(__xludf.DUMMYFUNCTION("""COMPUTED_VALUE"""),"Water System")</f>
        <v>Water System</v>
      </c>
      <c r="K336" s="6" t="str">
        <f>IFERROR(__xludf.DUMMYFUNCTION("""COMPUTED_VALUE"""),"SPR/12/23/004")</f>
        <v>SPR/12/23/004</v>
      </c>
      <c r="L336" s="13">
        <f>IFERROR(__xludf.DUMMYFUNCTION("""COMPUTED_VALUE"""),45261.0)</f>
        <v>45261</v>
      </c>
    </row>
    <row r="337">
      <c r="A337" s="6" t="str">
        <f>IFERROR(__xludf.DUMMYFUNCTION("""COMPUTED_VALUE"""),"MOB")</f>
        <v>MOB</v>
      </c>
      <c r="B337" s="6" t="str">
        <f>IFERROR(__xludf.DUMMYFUNCTION("""COMPUTED_VALUE"""),"ENG")</f>
        <v>ENG</v>
      </c>
      <c r="C337" s="6" t="str">
        <f>IFERROR(__xludf.DUMMYFUNCTION("""COMPUTED_VALUE"""),"Q-60502-00")</f>
        <v>Q-60502-00</v>
      </c>
      <c r="D337" s="6" t="str">
        <f>IFERROR(__xludf.DUMMYFUNCTION("""COMPUTED_VALUE"""),"Silicone Sealant, Silglaze, Type N10 White, pack size per pcs")</f>
        <v>Silicone Sealant, Silglaze, Type N10 White, pack size per pcs</v>
      </c>
      <c r="E337" s="6">
        <f>IFERROR(__xludf.DUMMYFUNCTION("""COMPUTED_VALUE"""),4.0)</f>
        <v>4</v>
      </c>
      <c r="F337" s="6">
        <f>IFERROR(__xludf.DUMMYFUNCTION("""COMPUTED_VALUE"""),4.0)</f>
        <v>4</v>
      </c>
      <c r="G337" s="6">
        <f>IFERROR(__xludf.DUMMYFUNCTION("""COMPUTED_VALUE"""),0.0)</f>
        <v>0</v>
      </c>
      <c r="H337" s="6" t="str">
        <f>IFERROR(__xludf.DUMMYFUNCTION("""COMPUTED_VALUE"""),"pcs")</f>
        <v>pcs</v>
      </c>
      <c r="I337" s="6" t="str">
        <f>IFERROR(__xludf.DUMMYFUNCTION("""COMPUTED_VALUE"""),"MFH")</f>
        <v>MFH</v>
      </c>
      <c r="J337" s="6" t="str">
        <f>IFERROR(__xludf.DUMMYFUNCTION("""COMPUTED_VALUE"""),"Building")</f>
        <v>Building</v>
      </c>
      <c r="K337" s="6" t="str">
        <f>IFERROR(__xludf.DUMMYFUNCTION("""COMPUTED_VALUE"""),"SPR/12/23/004")</f>
        <v>SPR/12/23/004</v>
      </c>
      <c r="L337" s="13">
        <f>IFERROR(__xludf.DUMMYFUNCTION("""COMPUTED_VALUE"""),45261.0)</f>
        <v>45261</v>
      </c>
    </row>
    <row r="338">
      <c r="A338" s="6" t="str">
        <f>IFERROR(__xludf.DUMMYFUNCTION("""COMPUTED_VALUE"""),"MOB")</f>
        <v>MOB</v>
      </c>
      <c r="B338" s="6" t="str">
        <f>IFERROR(__xludf.DUMMYFUNCTION("""COMPUTED_VALUE"""),"ENG")</f>
        <v>ENG</v>
      </c>
      <c r="C338" s="6" t="str">
        <f>IFERROR(__xludf.DUMMYFUNCTION("""COMPUTED_VALUE"""),"P-51559-00")</f>
        <v>P-51559-00</v>
      </c>
      <c r="D338" s="6" t="str">
        <f>IFERROR(__xludf.DUMMYFUNCTION("""COMPUTED_VALUE"""),"Lampu T5 14watt Putih; Phillips; ;")</f>
        <v>Lampu T5 14watt Putih; Phillips; ;</v>
      </c>
      <c r="E338" s="6">
        <f>IFERROR(__xludf.DUMMYFUNCTION("""COMPUTED_VALUE"""),3.0)</f>
        <v>3</v>
      </c>
      <c r="F338" s="6">
        <f>IFERROR(__xludf.DUMMYFUNCTION("""COMPUTED_VALUE"""),3.0)</f>
        <v>3</v>
      </c>
      <c r="G338" s="6">
        <f>IFERROR(__xludf.DUMMYFUNCTION("""COMPUTED_VALUE"""),0.0)</f>
        <v>0</v>
      </c>
      <c r="H338" s="6" t="str">
        <f>IFERROR(__xludf.DUMMYFUNCTION("""COMPUTED_VALUE"""),"pcs")</f>
        <v>pcs</v>
      </c>
      <c r="I338" s="6" t="str">
        <f>IFERROR(__xludf.DUMMYFUNCTION("""COMPUTED_VALUE"""),"MFH")</f>
        <v>MFH</v>
      </c>
      <c r="J338" s="6" t="str">
        <f>IFERROR(__xludf.DUMMYFUNCTION("""COMPUTED_VALUE"""),"Building")</f>
        <v>Building</v>
      </c>
      <c r="K338" s="6" t="str">
        <f>IFERROR(__xludf.DUMMYFUNCTION("""COMPUTED_VALUE"""),"SPR/12/23/005")</f>
        <v>SPR/12/23/005</v>
      </c>
      <c r="L338" s="13">
        <f>IFERROR(__xludf.DUMMYFUNCTION("""COMPUTED_VALUE"""),45261.0)</f>
        <v>45261</v>
      </c>
    </row>
    <row r="339">
      <c r="A339" s="6" t="str">
        <f>IFERROR(__xludf.DUMMYFUNCTION("""COMPUTED_VALUE"""),"MOB")</f>
        <v>MOB</v>
      </c>
      <c r="B339" s="6" t="str">
        <f>IFERROR(__xludf.DUMMYFUNCTION("""COMPUTED_VALUE"""),"ENG")</f>
        <v>ENG</v>
      </c>
      <c r="C339" s="6" t="str">
        <f>IFERROR(__xludf.DUMMYFUNCTION("""COMPUTED_VALUE"""),"P-51741-00")</f>
        <v>P-51741-00</v>
      </c>
      <c r="D339" s="6" t="str">
        <f>IFERROR(__xludf.DUMMYFUNCTION("""COMPUTED_VALUE"""),"Lampu Phillips PHP LED; 710 7w E27 White 220-240v; ; ;")</f>
        <v>Lampu Phillips PHP LED; 710 7w E27 White 220-240v; ; ;</v>
      </c>
      <c r="E339" s="6">
        <f>IFERROR(__xludf.DUMMYFUNCTION("""COMPUTED_VALUE"""),3.0)</f>
        <v>3</v>
      </c>
      <c r="F339" s="6">
        <f>IFERROR(__xludf.DUMMYFUNCTION("""COMPUTED_VALUE"""),3.0)</f>
        <v>3</v>
      </c>
      <c r="G339" s="6">
        <f>IFERROR(__xludf.DUMMYFUNCTION("""COMPUTED_VALUE"""),0.0)</f>
        <v>0</v>
      </c>
      <c r="H339" s="6" t="str">
        <f>IFERROR(__xludf.DUMMYFUNCTION("""COMPUTED_VALUE"""),"pcs")</f>
        <v>pcs</v>
      </c>
      <c r="I339" s="6" t="str">
        <f>IFERROR(__xludf.DUMMYFUNCTION("""COMPUTED_VALUE"""),"MFH")</f>
        <v>MFH</v>
      </c>
      <c r="J339" s="6" t="str">
        <f>IFERROR(__xludf.DUMMYFUNCTION("""COMPUTED_VALUE"""),"Building")</f>
        <v>Building</v>
      </c>
      <c r="K339" s="6" t="str">
        <f>IFERROR(__xludf.DUMMYFUNCTION("""COMPUTED_VALUE"""),"SPR/12/23/005")</f>
        <v>SPR/12/23/005</v>
      </c>
      <c r="L339" s="13">
        <f>IFERROR(__xludf.DUMMYFUNCTION("""COMPUTED_VALUE"""),45261.0)</f>
        <v>45261</v>
      </c>
    </row>
    <row r="340">
      <c r="A340" s="6" t="str">
        <f>IFERROR(__xludf.DUMMYFUNCTION("""COMPUTED_VALUE"""),"MOB")</f>
        <v>MOB</v>
      </c>
      <c r="B340" s="6" t="str">
        <f>IFERROR(__xludf.DUMMYFUNCTION("""COMPUTED_VALUE"""),"ENG")</f>
        <v>ENG</v>
      </c>
      <c r="C340" s="6" t="str">
        <f>IFERROR(__xludf.DUMMYFUNCTION("""COMPUTED_VALUE"""),"P-53102-00")</f>
        <v>P-53102-00</v>
      </c>
      <c r="D340" s="6" t="str">
        <f>IFERROR(__xludf.DUMMYFUNCTION("""COMPUTED_VALUE"""),"Lampu PLC 13watt/E27 Putih; Phillips; ;")</f>
        <v>Lampu PLC 13watt/E27 Putih; Phillips; ;</v>
      </c>
      <c r="E340" s="6">
        <f>IFERROR(__xludf.DUMMYFUNCTION("""COMPUTED_VALUE"""),7.0)</f>
        <v>7</v>
      </c>
      <c r="F340" s="6">
        <f>IFERROR(__xludf.DUMMYFUNCTION("""COMPUTED_VALUE"""),7.0)</f>
        <v>7</v>
      </c>
      <c r="G340" s="6">
        <f>IFERROR(__xludf.DUMMYFUNCTION("""COMPUTED_VALUE"""),0.0)</f>
        <v>0</v>
      </c>
      <c r="H340" s="6" t="str">
        <f>IFERROR(__xludf.DUMMYFUNCTION("""COMPUTED_VALUE"""),"pcs")</f>
        <v>pcs</v>
      </c>
      <c r="I340" s="6" t="str">
        <f>IFERROR(__xludf.DUMMYFUNCTION("""COMPUTED_VALUE"""),"MFH")</f>
        <v>MFH</v>
      </c>
      <c r="J340" s="6" t="str">
        <f>IFERROR(__xludf.DUMMYFUNCTION("""COMPUTED_VALUE"""),"Building")</f>
        <v>Building</v>
      </c>
      <c r="K340" s="6" t="str">
        <f>IFERROR(__xludf.DUMMYFUNCTION("""COMPUTED_VALUE"""),"SPR/12/23/005")</f>
        <v>SPR/12/23/005</v>
      </c>
      <c r="L340" s="13">
        <f>IFERROR(__xludf.DUMMYFUNCTION("""COMPUTED_VALUE"""),45261.0)</f>
        <v>45261</v>
      </c>
    </row>
    <row r="341">
      <c r="A341" s="6" t="str">
        <f>IFERROR(__xludf.DUMMYFUNCTION("""COMPUTED_VALUE"""),"NDS")</f>
        <v>NDS</v>
      </c>
      <c r="B341" s="6" t="str">
        <f>IFERROR(__xludf.DUMMYFUNCTION("""COMPUTED_VALUE"""),"ENG")</f>
        <v>ENG</v>
      </c>
      <c r="C341" s="6" t="str">
        <f>IFERROR(__xludf.DUMMYFUNCTION("""COMPUTED_VALUE"""),"Q-60025-00")</f>
        <v>Q-60025-00</v>
      </c>
      <c r="D341" s="6" t="str">
        <f>IFERROR(__xludf.DUMMYFUNCTION("""COMPUTED_VALUE"""),"Kuas Eterna 1")</f>
        <v>Kuas Eterna 1</v>
      </c>
      <c r="E341" s="6">
        <f>IFERROR(__xludf.DUMMYFUNCTION("""COMPUTED_VALUE"""),1.0)</f>
        <v>1</v>
      </c>
      <c r="F341" s="6">
        <f>IFERROR(__xludf.DUMMYFUNCTION("""COMPUTED_VALUE"""),1.0)</f>
        <v>1</v>
      </c>
      <c r="G341" s="6">
        <f>IFERROR(__xludf.DUMMYFUNCTION("""COMPUTED_VALUE"""),0.0)</f>
        <v>0</v>
      </c>
      <c r="H341" s="6" t="str">
        <f>IFERROR(__xludf.DUMMYFUNCTION("""COMPUTED_VALUE"""),"pcs")</f>
        <v>pcs</v>
      </c>
      <c r="I341" s="6" t="str">
        <f>IFERROR(__xludf.DUMMYFUNCTION("""COMPUTED_VALUE"""),"MFH")</f>
        <v>MFH</v>
      </c>
      <c r="J341" s="6" t="str">
        <f>IFERROR(__xludf.DUMMYFUNCTION("""COMPUTED_VALUE"""),"Capping")</f>
        <v>Capping</v>
      </c>
      <c r="K341" s="6" t="str">
        <f>IFERROR(__xludf.DUMMYFUNCTION("""COMPUTED_VALUE"""),"SPR/12/23/006")</f>
        <v>SPR/12/23/006</v>
      </c>
      <c r="L341" s="13">
        <f>IFERROR(__xludf.DUMMYFUNCTION("""COMPUTED_VALUE"""),45261.0)</f>
        <v>45261</v>
      </c>
    </row>
    <row r="342">
      <c r="A342" s="6" t="str">
        <f>IFERROR(__xludf.DUMMYFUNCTION("""COMPUTED_VALUE"""),"NDS")</f>
        <v>NDS</v>
      </c>
      <c r="B342" s="6" t="str">
        <f>IFERROR(__xludf.DUMMYFUNCTION("""COMPUTED_VALUE"""),"ENG")</f>
        <v>ENG</v>
      </c>
      <c r="C342" s="6" t="str">
        <f>IFERROR(__xludf.DUMMYFUNCTION("""COMPUTED_VALUE"""),"T-80038-00")</f>
        <v>T-80038-00</v>
      </c>
      <c r="D342" s="6" t="str">
        <f>IFERROR(__xludf.DUMMYFUNCTION("""COMPUTED_VALUE"""),"Batterai Size AAA")</f>
        <v>Batterai Size AAA</v>
      </c>
      <c r="E342" s="6">
        <f>IFERROR(__xludf.DUMMYFUNCTION("""COMPUTED_VALUE"""),1.0)</f>
        <v>1</v>
      </c>
      <c r="F342" s="6">
        <f>IFERROR(__xludf.DUMMYFUNCTION("""COMPUTED_VALUE"""),1.0)</f>
        <v>1</v>
      </c>
      <c r="G342" s="6">
        <f>IFERROR(__xludf.DUMMYFUNCTION("""COMPUTED_VALUE"""),0.0)</f>
        <v>0</v>
      </c>
      <c r="H342" s="6" t="str">
        <f>IFERROR(__xludf.DUMMYFUNCTION("""COMPUTED_VALUE"""),"pcs")</f>
        <v>pcs</v>
      </c>
      <c r="I342" s="6" t="str">
        <f>IFERROR(__xludf.DUMMYFUNCTION("""COMPUTED_VALUE"""),"MFH")</f>
        <v>MFH</v>
      </c>
      <c r="J342" s="6" t="str">
        <f>IFERROR(__xludf.DUMMYFUNCTION("""COMPUTED_VALUE"""),"Waterpass")</f>
        <v>Waterpass</v>
      </c>
      <c r="K342" s="6" t="str">
        <f>IFERROR(__xludf.DUMMYFUNCTION("""COMPUTED_VALUE"""),"SPR/12/23/006")</f>
        <v>SPR/12/23/006</v>
      </c>
      <c r="L342" s="13">
        <f>IFERROR(__xludf.DUMMYFUNCTION("""COMPUTED_VALUE"""),45261.0)</f>
        <v>45261</v>
      </c>
    </row>
    <row r="343">
      <c r="A343" s="6" t="str">
        <f>IFERROR(__xludf.DUMMYFUNCTION("""COMPUTED_VALUE"""),"NDS")</f>
        <v>NDS</v>
      </c>
      <c r="B343" s="6" t="str">
        <f>IFERROR(__xludf.DUMMYFUNCTION("""COMPUTED_VALUE"""),"ENG")</f>
        <v>ENG</v>
      </c>
      <c r="C343" s="6" t="str">
        <f>IFERROR(__xludf.DUMMYFUNCTION("""COMPUTED_VALUE"""),"O-16647-00")</f>
        <v>O-16647-00</v>
      </c>
      <c r="D343" s="6" t="str">
        <f>IFERROR(__xludf.DUMMYFUNCTION("""COMPUTED_VALUE"""),"Washing RAR4 - Oring Silicone Merah 23x18x2.5 mm; ; ;")</f>
        <v>Washing RAR4 - Oring Silicone Merah 23x18x2.5 mm; ; ;</v>
      </c>
      <c r="E343" s="6">
        <f>IFERROR(__xludf.DUMMYFUNCTION("""COMPUTED_VALUE"""),30.0)</f>
        <v>30</v>
      </c>
      <c r="F343" s="6">
        <f>IFERROR(__xludf.DUMMYFUNCTION("""COMPUTED_VALUE"""),30.0)</f>
        <v>30</v>
      </c>
      <c r="G343" s="6">
        <f>IFERROR(__xludf.DUMMYFUNCTION("""COMPUTED_VALUE"""),0.0)</f>
        <v>0</v>
      </c>
      <c r="H343" s="6" t="str">
        <f>IFERROR(__xludf.DUMMYFUNCTION("""COMPUTED_VALUE"""),"pcs")</f>
        <v>pcs</v>
      </c>
      <c r="I343" s="6" t="str">
        <f>IFERROR(__xludf.DUMMYFUNCTION("""COMPUTED_VALUE"""),"MFH")</f>
        <v>MFH</v>
      </c>
      <c r="J343" s="6" t="str">
        <f>IFERROR(__xludf.DUMMYFUNCTION("""COMPUTED_VALUE"""),"Capping")</f>
        <v>Capping</v>
      </c>
      <c r="K343" s="6" t="str">
        <f>IFERROR(__xludf.DUMMYFUNCTION("""COMPUTED_VALUE"""),"SPR/12/23/006")</f>
        <v>SPR/12/23/006</v>
      </c>
      <c r="L343" s="13">
        <f>IFERROR(__xludf.DUMMYFUNCTION("""COMPUTED_VALUE"""),45261.0)</f>
        <v>45261</v>
      </c>
    </row>
    <row r="344">
      <c r="A344" s="6" t="str">
        <f>IFERROR(__xludf.DUMMYFUNCTION("""COMPUTED_VALUE"""),"MOB")</f>
        <v>MOB</v>
      </c>
      <c r="B344" s="6" t="str">
        <f>IFERROR(__xludf.DUMMYFUNCTION("""COMPUTED_VALUE"""),"ENG")</f>
        <v>ENG</v>
      </c>
      <c r="C344" s="6" t="str">
        <f>IFERROR(__xludf.DUMMYFUNCTION("""COMPUTED_VALUE"""),"Q-10153-00")</f>
        <v>Q-10153-00</v>
      </c>
      <c r="D344" s="6" t="str">
        <f>IFERROR(__xludf.DUMMYFUNCTION("""COMPUTED_VALUE"""),"Roller cat 110mm")</f>
        <v>Roller cat 110mm</v>
      </c>
      <c r="E344" s="6">
        <f>IFERROR(__xludf.DUMMYFUNCTION("""COMPUTED_VALUE"""),1.0)</f>
        <v>1</v>
      </c>
      <c r="F344" s="6">
        <f>IFERROR(__xludf.DUMMYFUNCTION("""COMPUTED_VALUE"""),1.0)</f>
        <v>1</v>
      </c>
      <c r="G344" s="6">
        <f>IFERROR(__xludf.DUMMYFUNCTION("""COMPUTED_VALUE"""),0.0)</f>
        <v>0</v>
      </c>
      <c r="H344" s="6" t="str">
        <f>IFERROR(__xludf.DUMMYFUNCTION("""COMPUTED_VALUE"""),"pcs")</f>
        <v>pcs</v>
      </c>
      <c r="I344" s="6" t="str">
        <f>IFERROR(__xludf.DUMMYFUNCTION("""COMPUTED_VALUE"""),"MFH")</f>
        <v>MFH</v>
      </c>
      <c r="J344" s="6" t="str">
        <f>IFERROR(__xludf.DUMMYFUNCTION("""COMPUTED_VALUE"""),"Building")</f>
        <v>Building</v>
      </c>
      <c r="K344" s="6" t="str">
        <f>IFERROR(__xludf.DUMMYFUNCTION("""COMPUTED_VALUE"""),"SPR/12/23/007")</f>
        <v>SPR/12/23/007</v>
      </c>
      <c r="L344" s="13">
        <f>IFERROR(__xludf.DUMMYFUNCTION("""COMPUTED_VALUE"""),45261.0)</f>
        <v>45261</v>
      </c>
    </row>
    <row r="345">
      <c r="A345" s="6" t="str">
        <f>IFERROR(__xludf.DUMMYFUNCTION("""COMPUTED_VALUE"""),"MOB")</f>
        <v>MOB</v>
      </c>
      <c r="B345" s="6" t="str">
        <f>IFERROR(__xludf.DUMMYFUNCTION("""COMPUTED_VALUE"""),"ENG")</f>
        <v>ENG</v>
      </c>
      <c r="C345" s="6" t="str">
        <f>IFERROR(__xludf.DUMMYFUNCTION("""COMPUTED_VALUE"""),"P-53102-00")</f>
        <v>P-53102-00</v>
      </c>
      <c r="D345" s="6" t="str">
        <f>IFERROR(__xludf.DUMMYFUNCTION("""COMPUTED_VALUE"""),"Lampu PLC 13watt/E27 Putih; Phillips; ;")</f>
        <v>Lampu PLC 13watt/E27 Putih; Phillips; ;</v>
      </c>
      <c r="E345" s="6">
        <f>IFERROR(__xludf.DUMMYFUNCTION("""COMPUTED_VALUE"""),1.0)</f>
        <v>1</v>
      </c>
      <c r="F345" s="6">
        <f>IFERROR(__xludf.DUMMYFUNCTION("""COMPUTED_VALUE"""),1.0)</f>
        <v>1</v>
      </c>
      <c r="G345" s="6">
        <f>IFERROR(__xludf.DUMMYFUNCTION("""COMPUTED_VALUE"""),0.0)</f>
        <v>0</v>
      </c>
      <c r="H345" s="6" t="str">
        <f>IFERROR(__xludf.DUMMYFUNCTION("""COMPUTED_VALUE"""),"pcs")</f>
        <v>pcs</v>
      </c>
      <c r="I345" s="6" t="str">
        <f>IFERROR(__xludf.DUMMYFUNCTION("""COMPUTED_VALUE"""),"MFH")</f>
        <v>MFH</v>
      </c>
      <c r="J345" s="6" t="str">
        <f>IFERROR(__xludf.DUMMYFUNCTION("""COMPUTED_VALUE"""),"Building")</f>
        <v>Building</v>
      </c>
      <c r="K345" s="6" t="str">
        <f>IFERROR(__xludf.DUMMYFUNCTION("""COMPUTED_VALUE"""),"SPR/12/23/007")</f>
        <v>SPR/12/23/007</v>
      </c>
      <c r="L345" s="13">
        <f>IFERROR(__xludf.DUMMYFUNCTION("""COMPUTED_VALUE"""),45261.0)</f>
        <v>45261</v>
      </c>
    </row>
    <row r="346">
      <c r="A346" s="6" t="str">
        <f>IFERROR(__xludf.DUMMYFUNCTION("""COMPUTED_VALUE"""),"MOB")</f>
        <v>MOB</v>
      </c>
      <c r="B346" s="6" t="str">
        <f>IFERROR(__xludf.DUMMYFUNCTION("""COMPUTED_VALUE"""),"ENG")</f>
        <v>ENG</v>
      </c>
      <c r="C346" s="6" t="str">
        <f>IFERROR(__xludf.DUMMYFUNCTION("""COMPUTED_VALUE"""),"P-12433-00")</f>
        <v>P-12433-00</v>
      </c>
      <c r="D346" s="6" t="str">
        <f>IFERROR(__xludf.DUMMYFUNCTION("""COMPUTED_VALUE"""),"Isolasi AC- Sansui")</f>
        <v>Isolasi AC- Sansui</v>
      </c>
      <c r="E346" s="6">
        <f>IFERROR(__xludf.DUMMYFUNCTION("""COMPUTED_VALUE"""),6.0)</f>
        <v>6</v>
      </c>
      <c r="F346" s="6">
        <f>IFERROR(__xludf.DUMMYFUNCTION("""COMPUTED_VALUE"""),6.0)</f>
        <v>6</v>
      </c>
      <c r="G346" s="6">
        <f>IFERROR(__xludf.DUMMYFUNCTION("""COMPUTED_VALUE"""),0.0)</f>
        <v>0</v>
      </c>
      <c r="H346" s="6" t="str">
        <f>IFERROR(__xludf.DUMMYFUNCTION("""COMPUTED_VALUE"""),"pcs")</f>
        <v>pcs</v>
      </c>
      <c r="I346" s="6" t="str">
        <f>IFERROR(__xludf.DUMMYFUNCTION("""COMPUTED_VALUE"""),"MFH")</f>
        <v>MFH</v>
      </c>
      <c r="J346" s="6" t="str">
        <f>IFERROR(__xludf.DUMMYFUNCTION("""COMPUTED_VALUE"""),"Building")</f>
        <v>Building</v>
      </c>
      <c r="K346" s="6" t="str">
        <f>IFERROR(__xludf.DUMMYFUNCTION("""COMPUTED_VALUE"""),"SPR/12/23/007")</f>
        <v>SPR/12/23/007</v>
      </c>
      <c r="L346" s="13">
        <f>IFERROR(__xludf.DUMMYFUNCTION("""COMPUTED_VALUE"""),45261.0)</f>
        <v>45261</v>
      </c>
    </row>
    <row r="347">
      <c r="A347" s="6" t="str">
        <f>IFERROR(__xludf.DUMMYFUNCTION("""COMPUTED_VALUE"""),"MOB")</f>
        <v>MOB</v>
      </c>
      <c r="B347" s="6" t="str">
        <f>IFERROR(__xludf.DUMMYFUNCTION("""COMPUTED_VALUE"""),"ENG")</f>
        <v>ENG</v>
      </c>
      <c r="C347" s="6" t="str">
        <f>IFERROR(__xludf.DUMMYFUNCTION("""COMPUTED_VALUE"""),"P-12433-00")</f>
        <v>P-12433-00</v>
      </c>
      <c r="D347" s="6" t="str">
        <f>IFERROR(__xludf.DUMMYFUNCTION("""COMPUTED_VALUE"""),"Isolasi AC- Sansui")</f>
        <v>Isolasi AC- Sansui</v>
      </c>
      <c r="E347" s="6">
        <f>IFERROR(__xludf.DUMMYFUNCTION("""COMPUTED_VALUE"""),3.0)</f>
        <v>3</v>
      </c>
      <c r="F347" s="6">
        <f>IFERROR(__xludf.DUMMYFUNCTION("""COMPUTED_VALUE"""),3.0)</f>
        <v>3</v>
      </c>
      <c r="G347" s="6">
        <f>IFERROR(__xludf.DUMMYFUNCTION("""COMPUTED_VALUE"""),0.0)</f>
        <v>0</v>
      </c>
      <c r="H347" s="6" t="str">
        <f>IFERROR(__xludf.DUMMYFUNCTION("""COMPUTED_VALUE"""),"pcs")</f>
        <v>pcs</v>
      </c>
      <c r="I347" s="6" t="str">
        <f>IFERROR(__xludf.DUMMYFUNCTION("""COMPUTED_VALUE"""),"MFH")</f>
        <v>MFH</v>
      </c>
      <c r="J347" s="6" t="str">
        <f>IFERROR(__xludf.DUMMYFUNCTION("""COMPUTED_VALUE"""),"Building")</f>
        <v>Building</v>
      </c>
      <c r="K347" s="6" t="str">
        <f>IFERROR(__xludf.DUMMYFUNCTION("""COMPUTED_VALUE"""),"SPR/12/23/008")</f>
        <v>SPR/12/23/008</v>
      </c>
      <c r="L347" s="13">
        <f>IFERROR(__xludf.DUMMYFUNCTION("""COMPUTED_VALUE"""),45261.0)</f>
        <v>45261</v>
      </c>
    </row>
    <row r="348">
      <c r="A348" s="6" t="str">
        <f>IFERROR(__xludf.DUMMYFUNCTION("""COMPUTED_VALUE"""),"MOB")</f>
        <v>MOB</v>
      </c>
      <c r="B348" s="6" t="str">
        <f>IFERROR(__xludf.DUMMYFUNCTION("""COMPUTED_VALUE"""),"ENG")</f>
        <v>ENG</v>
      </c>
      <c r="C348" s="6" t="str">
        <f>IFERROR(__xludf.DUMMYFUNCTION("""COMPUTED_VALUE"""),"Q-60502-00")</f>
        <v>Q-60502-00</v>
      </c>
      <c r="D348" s="6" t="str">
        <f>IFERROR(__xludf.DUMMYFUNCTION("""COMPUTED_VALUE"""),"Silicone Sealant, Silglaze, Type N10 White, pack size per pcs")</f>
        <v>Silicone Sealant, Silglaze, Type N10 White, pack size per pcs</v>
      </c>
      <c r="E348" s="6">
        <f>IFERROR(__xludf.DUMMYFUNCTION("""COMPUTED_VALUE"""),1.0)</f>
        <v>1</v>
      </c>
      <c r="F348" s="6">
        <f>IFERROR(__xludf.DUMMYFUNCTION("""COMPUTED_VALUE"""),1.0)</f>
        <v>1</v>
      </c>
      <c r="G348" s="6">
        <f>IFERROR(__xludf.DUMMYFUNCTION("""COMPUTED_VALUE"""),0.0)</f>
        <v>0</v>
      </c>
      <c r="H348" s="6" t="str">
        <f>IFERROR(__xludf.DUMMYFUNCTION("""COMPUTED_VALUE"""),"pcs")</f>
        <v>pcs</v>
      </c>
      <c r="I348" s="6" t="str">
        <f>IFERROR(__xludf.DUMMYFUNCTION("""COMPUTED_VALUE"""),"MFH")</f>
        <v>MFH</v>
      </c>
      <c r="J348" s="6" t="str">
        <f>IFERROR(__xludf.DUMMYFUNCTION("""COMPUTED_VALUE"""),"Building")</f>
        <v>Building</v>
      </c>
      <c r="K348" s="6" t="str">
        <f>IFERROR(__xludf.DUMMYFUNCTION("""COMPUTED_VALUE"""),"SPR/12/23/008")</f>
        <v>SPR/12/23/008</v>
      </c>
      <c r="L348" s="13">
        <f>IFERROR(__xludf.DUMMYFUNCTION("""COMPUTED_VALUE"""),45261.0)</f>
        <v>45261</v>
      </c>
    </row>
    <row r="349">
      <c r="A349" s="6" t="str">
        <f>IFERROR(__xludf.DUMMYFUNCTION("""COMPUTED_VALUE"""),"RIA")</f>
        <v>RIA</v>
      </c>
      <c r="B349" s="6" t="str">
        <f>IFERROR(__xludf.DUMMYFUNCTION("""COMPUTED_VALUE"""),"ENG")</f>
        <v>ENG</v>
      </c>
      <c r="C349" s="6" t="str">
        <f>IFERROR(__xludf.DUMMYFUNCTION("""COMPUTED_VALUE"""),"P-14454-00")</f>
        <v>P-14454-00</v>
      </c>
      <c r="D349" s="6" t="str">
        <f>IFERROR(__xludf.DUMMYFUNCTION("""COMPUTED_VALUE"""),"Filter IAF MB Series (Medium Filter), efficiency : 60-65 %, Size: 12 x 24 x 12 inch")</f>
        <v>Filter IAF MB Series (Medium Filter), efficiency : 60-65 %, Size: 12 x 24 x 12 inch</v>
      </c>
      <c r="E349" s="6">
        <f>IFERROR(__xludf.DUMMYFUNCTION("""COMPUTED_VALUE"""),1.0)</f>
        <v>1</v>
      </c>
      <c r="F349" s="6">
        <f>IFERROR(__xludf.DUMMYFUNCTION("""COMPUTED_VALUE"""),1.0)</f>
        <v>1</v>
      </c>
      <c r="G349" s="6">
        <f>IFERROR(__xludf.DUMMYFUNCTION("""COMPUTED_VALUE"""),0.0)</f>
        <v>0</v>
      </c>
      <c r="H349" s="6" t="str">
        <f>IFERROR(__xludf.DUMMYFUNCTION("""COMPUTED_VALUE"""),"pcs")</f>
        <v>pcs</v>
      </c>
      <c r="I349" s="6" t="str">
        <f>IFERROR(__xludf.DUMMYFUNCTION("""COMPUTED_VALUE"""),"MFH")</f>
        <v>MFH</v>
      </c>
      <c r="J349" s="6" t="str">
        <f>IFERROR(__xludf.DUMMYFUNCTION("""COMPUTED_VALUE"""),"AHU")</f>
        <v>AHU</v>
      </c>
      <c r="K349" s="6" t="str">
        <f>IFERROR(__xludf.DUMMYFUNCTION("""COMPUTED_VALUE"""),"SPR/12/23/009")</f>
        <v>SPR/12/23/009</v>
      </c>
      <c r="L349" s="13">
        <f>IFERROR(__xludf.DUMMYFUNCTION("""COMPUTED_VALUE"""),45261.0)</f>
        <v>45261</v>
      </c>
    </row>
    <row r="350">
      <c r="A350" s="6" t="str">
        <f>IFERROR(__xludf.DUMMYFUNCTION("""COMPUTED_VALUE"""),"RIA")</f>
        <v>RIA</v>
      </c>
      <c r="B350" s="6" t="str">
        <f>IFERROR(__xludf.DUMMYFUNCTION("""COMPUTED_VALUE"""),"ENG")</f>
        <v>ENG</v>
      </c>
      <c r="C350" s="6" t="str">
        <f>IFERROR(__xludf.DUMMYFUNCTION("""COMPUTED_VALUE"""),"P-14453-00")</f>
        <v>P-14453-00</v>
      </c>
      <c r="D350" s="6" t="str">
        <f>IFERROR(__xludf.DUMMYFUNCTION("""COMPUTED_VALUE"""),"Filter IAF MB Series (Medium Filter), efficiency : 60-65 %, Size: 24 x 24 x 12 inch")</f>
        <v>Filter IAF MB Series (Medium Filter), efficiency : 60-65 %, Size: 24 x 24 x 12 inch</v>
      </c>
      <c r="E350" s="6">
        <f>IFERROR(__xludf.DUMMYFUNCTION("""COMPUTED_VALUE"""),1.0)</f>
        <v>1</v>
      </c>
      <c r="F350" s="6">
        <f>IFERROR(__xludf.DUMMYFUNCTION("""COMPUTED_VALUE"""),1.0)</f>
        <v>1</v>
      </c>
      <c r="G350" s="6">
        <f>IFERROR(__xludf.DUMMYFUNCTION("""COMPUTED_VALUE"""),0.0)</f>
        <v>0</v>
      </c>
      <c r="H350" s="6" t="str">
        <f>IFERROR(__xludf.DUMMYFUNCTION("""COMPUTED_VALUE"""),"pcs")</f>
        <v>pcs</v>
      </c>
      <c r="I350" s="6" t="str">
        <f>IFERROR(__xludf.DUMMYFUNCTION("""COMPUTED_VALUE"""),"MFH")</f>
        <v>MFH</v>
      </c>
      <c r="J350" s="6" t="str">
        <f>IFERROR(__xludf.DUMMYFUNCTION("""COMPUTED_VALUE"""),"AHU")</f>
        <v>AHU</v>
      </c>
      <c r="K350" s="6" t="str">
        <f>IFERROR(__xludf.DUMMYFUNCTION("""COMPUTED_VALUE"""),"SPR/12/23/009")</f>
        <v>SPR/12/23/009</v>
      </c>
      <c r="L350" s="13">
        <f>IFERROR(__xludf.DUMMYFUNCTION("""COMPUTED_VALUE"""),45261.0)</f>
        <v>45261</v>
      </c>
    </row>
    <row r="351">
      <c r="A351" s="6" t="str">
        <f>IFERROR(__xludf.DUMMYFUNCTION("""COMPUTED_VALUE"""),"RIA")</f>
        <v>RIA</v>
      </c>
      <c r="B351" s="6" t="str">
        <f>IFERROR(__xludf.DUMMYFUNCTION("""COMPUTED_VALUE"""),"ENG")</f>
        <v>ENG</v>
      </c>
      <c r="C351" s="6" t="str">
        <f>IFERROR(__xludf.DUMMYFUNCTION("""COMPUTED_VALUE"""),"P-14457-00")</f>
        <v>P-14457-00</v>
      </c>
      <c r="D351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351" s="6">
        <f>IFERROR(__xludf.DUMMYFUNCTION("""COMPUTED_VALUE"""),7.0)</f>
        <v>7</v>
      </c>
      <c r="F351" s="6">
        <f>IFERROR(__xludf.DUMMYFUNCTION("""COMPUTED_VALUE"""),7.0)</f>
        <v>7</v>
      </c>
      <c r="G351" s="6">
        <f>IFERROR(__xludf.DUMMYFUNCTION("""COMPUTED_VALUE"""),0.0)</f>
        <v>0</v>
      </c>
      <c r="H351" s="6" t="str">
        <f>IFERROR(__xludf.DUMMYFUNCTION("""COMPUTED_VALUE"""),"pcs")</f>
        <v>pcs</v>
      </c>
      <c r="I351" s="6" t="str">
        <f>IFERROR(__xludf.DUMMYFUNCTION("""COMPUTED_VALUE"""),"MFH")</f>
        <v>MFH</v>
      </c>
      <c r="J351" s="6" t="str">
        <f>IFERROR(__xludf.DUMMYFUNCTION("""COMPUTED_VALUE"""),"AHU")</f>
        <v>AHU</v>
      </c>
      <c r="K351" s="6" t="str">
        <f>IFERROR(__xludf.DUMMYFUNCTION("""COMPUTED_VALUE"""),"SPR/12/23/009")</f>
        <v>SPR/12/23/009</v>
      </c>
      <c r="L351" s="13">
        <f>IFERROR(__xludf.DUMMYFUNCTION("""COMPUTED_VALUE"""),45261.0)</f>
        <v>45261</v>
      </c>
    </row>
    <row r="352">
      <c r="A352" s="6" t="str">
        <f>IFERROR(__xludf.DUMMYFUNCTION("""COMPUTED_VALUE"""),"RIA")</f>
        <v>RIA</v>
      </c>
      <c r="B352" s="6" t="str">
        <f>IFERROR(__xludf.DUMMYFUNCTION("""COMPUTED_VALUE"""),"ENG")</f>
        <v>ENG</v>
      </c>
      <c r="C352" s="6" t="str">
        <f>IFERROR(__xludf.DUMMYFUNCTION("""COMPUTED_VALUE"""),"P-53102-00")</f>
        <v>P-53102-00</v>
      </c>
      <c r="D352" s="6" t="str">
        <f>IFERROR(__xludf.DUMMYFUNCTION("""COMPUTED_VALUE"""),"Lampu PLC 13watt/E27 Putih; Phillips; ;")</f>
        <v>Lampu PLC 13watt/E27 Putih; Phillips; ;</v>
      </c>
      <c r="E352" s="6">
        <f>IFERROR(__xludf.DUMMYFUNCTION("""COMPUTED_VALUE"""),2.0)</f>
        <v>2</v>
      </c>
      <c r="F352" s="6">
        <f>IFERROR(__xludf.DUMMYFUNCTION("""COMPUTED_VALUE"""),2.0)</f>
        <v>2</v>
      </c>
      <c r="G352" s="6">
        <f>IFERROR(__xludf.DUMMYFUNCTION("""COMPUTED_VALUE"""),0.0)</f>
        <v>0</v>
      </c>
      <c r="H352" s="6" t="str">
        <f>IFERROR(__xludf.DUMMYFUNCTION("""COMPUTED_VALUE"""),"pcs")</f>
        <v>pcs</v>
      </c>
      <c r="I352" s="6" t="str">
        <f>IFERROR(__xludf.DUMMYFUNCTION("""COMPUTED_VALUE"""),"MFH")</f>
        <v>MFH</v>
      </c>
      <c r="J352" s="6" t="str">
        <f>IFERROR(__xludf.DUMMYFUNCTION("""COMPUTED_VALUE"""),"Building")</f>
        <v>Building</v>
      </c>
      <c r="K352" s="6" t="str">
        <f>IFERROR(__xludf.DUMMYFUNCTION("""COMPUTED_VALUE"""),"SPR/12/23/010")</f>
        <v>SPR/12/23/010</v>
      </c>
      <c r="L352" s="13">
        <f>IFERROR(__xludf.DUMMYFUNCTION("""COMPUTED_VALUE"""),45261.0)</f>
        <v>45261</v>
      </c>
    </row>
    <row r="353">
      <c r="A353" s="6" t="str">
        <f>IFERROR(__xludf.DUMMYFUNCTION("""COMPUTED_VALUE"""),"RIA")</f>
        <v>RIA</v>
      </c>
      <c r="B353" s="6" t="str">
        <f>IFERROR(__xludf.DUMMYFUNCTION("""COMPUTED_VALUE"""),"ENG")</f>
        <v>ENG</v>
      </c>
      <c r="C353" s="6" t="str">
        <f>IFERROR(__xludf.DUMMYFUNCTION("""COMPUTED_VALUE"""),"P-51559-00")</f>
        <v>P-51559-00</v>
      </c>
      <c r="D353" s="6" t="str">
        <f>IFERROR(__xludf.DUMMYFUNCTION("""COMPUTED_VALUE"""),"Lampu T5 14watt Putih; Phillips; ;")</f>
        <v>Lampu T5 14watt Putih; Phillips; ;</v>
      </c>
      <c r="E353" s="6">
        <f>IFERROR(__xludf.DUMMYFUNCTION("""COMPUTED_VALUE"""),2.0)</f>
        <v>2</v>
      </c>
      <c r="F353" s="6">
        <f>IFERROR(__xludf.DUMMYFUNCTION("""COMPUTED_VALUE"""),2.0)</f>
        <v>2</v>
      </c>
      <c r="G353" s="6">
        <f>IFERROR(__xludf.DUMMYFUNCTION("""COMPUTED_VALUE"""),0.0)</f>
        <v>0</v>
      </c>
      <c r="H353" s="6" t="str">
        <f>IFERROR(__xludf.DUMMYFUNCTION("""COMPUTED_VALUE"""),"pcs")</f>
        <v>pcs</v>
      </c>
      <c r="I353" s="6" t="str">
        <f>IFERROR(__xludf.DUMMYFUNCTION("""COMPUTED_VALUE"""),"MFH")</f>
        <v>MFH</v>
      </c>
      <c r="J353" s="6" t="str">
        <f>IFERROR(__xludf.DUMMYFUNCTION("""COMPUTED_VALUE"""),"Building")</f>
        <v>Building</v>
      </c>
      <c r="K353" s="6" t="str">
        <f>IFERROR(__xludf.DUMMYFUNCTION("""COMPUTED_VALUE"""),"SPR/12/23/010")</f>
        <v>SPR/12/23/010</v>
      </c>
      <c r="L353" s="13">
        <f>IFERROR(__xludf.DUMMYFUNCTION("""COMPUTED_VALUE"""),45261.0)</f>
        <v>45261</v>
      </c>
    </row>
    <row r="354">
      <c r="A354" s="6" t="str">
        <f>IFERROR(__xludf.DUMMYFUNCTION("""COMPUTED_VALUE"""),"INN")</f>
        <v>INN</v>
      </c>
      <c r="B354" s="6" t="str">
        <f>IFERROR(__xludf.DUMMYFUNCTION("""COMPUTED_VALUE"""),"ENG")</f>
        <v>ENG</v>
      </c>
      <c r="C354" s="6" t="str">
        <f>IFERROR(__xludf.DUMMYFUNCTION("""COMPUTED_VALUE"""),"P-18470-00")</f>
        <v>P-18470-00</v>
      </c>
      <c r="D354" s="6" t="str">
        <f>IFERROR(__xludf.DUMMYFUNCTION("""COMPUTED_VALUE"""),"Misumi - HXNHFFLT-SUS-M5-10; ; ;")</f>
        <v>Misumi - HXNHFFLT-SUS-M5-10; ; ;</v>
      </c>
      <c r="E354" s="6">
        <f>IFERROR(__xludf.DUMMYFUNCTION("""COMPUTED_VALUE"""),40.0)</f>
        <v>40</v>
      </c>
      <c r="F354" s="6">
        <f>IFERROR(__xludf.DUMMYFUNCTION("""COMPUTED_VALUE"""),40.0)</f>
        <v>40</v>
      </c>
      <c r="G354" s="6">
        <f>IFERROR(__xludf.DUMMYFUNCTION("""COMPUTED_VALUE"""),0.0)</f>
        <v>0</v>
      </c>
      <c r="H354" s="6" t="str">
        <f>IFERROR(__xludf.DUMMYFUNCTION("""COMPUTED_VALUE"""),"pcs")</f>
        <v>pcs</v>
      </c>
      <c r="I354" s="6" t="str">
        <f>IFERROR(__xludf.DUMMYFUNCTION("""COMPUTED_VALUE"""),"MFH")</f>
        <v>MFH</v>
      </c>
      <c r="J354" s="6" t="str">
        <f>IFERROR(__xludf.DUMMYFUNCTION("""COMPUTED_VALUE"""),"WASHING")</f>
        <v>WASHING</v>
      </c>
      <c r="K354" s="6" t="str">
        <f>IFERROR(__xludf.DUMMYFUNCTION("""COMPUTED_VALUE"""),"SPR/12/23/011")</f>
        <v>SPR/12/23/011</v>
      </c>
      <c r="L354" s="13">
        <f>IFERROR(__xludf.DUMMYFUNCTION("""COMPUTED_VALUE"""),45261.0)</f>
        <v>45261</v>
      </c>
    </row>
    <row r="355">
      <c r="A355" s="6" t="str">
        <f>IFERROR(__xludf.DUMMYFUNCTION("""COMPUTED_VALUE"""),"INN")</f>
        <v>INN</v>
      </c>
      <c r="B355" s="6" t="str">
        <f>IFERROR(__xludf.DUMMYFUNCTION("""COMPUTED_VALUE"""),"ENG")</f>
        <v>ENG</v>
      </c>
      <c r="C355" s="6" t="str">
        <f>IFERROR(__xludf.DUMMYFUNCTION("""COMPUTED_VALUE"""),"O-14640-00")</f>
        <v>O-14640-00</v>
      </c>
      <c r="D355" s="6" t="str">
        <f>IFERROR(__xludf.DUMMYFUNCTION("""COMPUTED_VALUE"""),"Silicone Gasket for Ferrule dia. 3/4""")</f>
        <v>Silicone Gasket for Ferrule dia. 3/4"</v>
      </c>
      <c r="E355" s="6">
        <f>IFERROR(__xludf.DUMMYFUNCTION("""COMPUTED_VALUE"""),8.0)</f>
        <v>8</v>
      </c>
      <c r="F355" s="6">
        <f>IFERROR(__xludf.DUMMYFUNCTION("""COMPUTED_VALUE"""),8.0)</f>
        <v>8</v>
      </c>
      <c r="G355" s="6">
        <f>IFERROR(__xludf.DUMMYFUNCTION("""COMPUTED_VALUE"""),0.0)</f>
        <v>0</v>
      </c>
      <c r="H355" s="6" t="str">
        <f>IFERROR(__xludf.DUMMYFUNCTION("""COMPUTED_VALUE"""),"pcs")</f>
        <v>pcs</v>
      </c>
      <c r="I355" s="6" t="str">
        <f>IFERROR(__xludf.DUMMYFUNCTION("""COMPUTED_VALUE"""),"MFH")</f>
        <v>MFH</v>
      </c>
      <c r="J355" s="6" t="str">
        <f>IFERROR(__xludf.DUMMYFUNCTION("""COMPUTED_VALUE"""),"Mixing")</f>
        <v>Mixing</v>
      </c>
      <c r="K355" s="6" t="str">
        <f>IFERROR(__xludf.DUMMYFUNCTION("""COMPUTED_VALUE"""),"SPR/12/23/011")</f>
        <v>SPR/12/23/011</v>
      </c>
      <c r="L355" s="13">
        <f>IFERROR(__xludf.DUMMYFUNCTION("""COMPUTED_VALUE"""),45261.0)</f>
        <v>45261</v>
      </c>
    </row>
    <row r="356">
      <c r="A356" s="6" t="str">
        <f>IFERROR(__xludf.DUMMYFUNCTION("""COMPUTED_VALUE"""),"INN")</f>
        <v>INN</v>
      </c>
      <c r="B356" s="6" t="str">
        <f>IFERROR(__xludf.DUMMYFUNCTION("""COMPUTED_VALUE"""),"ENG")</f>
        <v>ENG</v>
      </c>
      <c r="C356" s="6" t="str">
        <f>IFERROR(__xludf.DUMMYFUNCTION("""COMPUTED_VALUE"""),"P-18557-00")</f>
        <v>P-18557-00</v>
      </c>
      <c r="D356" s="6" t="str">
        <f>IFERROR(__xludf.DUMMYFUNCTION("""COMPUTED_VALUE"""),"Snap Ring Dalam SS 304 Uk. 19 mm; ; ;")</f>
        <v>Snap Ring Dalam SS 304 Uk. 19 mm; ; ;</v>
      </c>
      <c r="E356" s="6">
        <f>IFERROR(__xludf.DUMMYFUNCTION("""COMPUTED_VALUE"""),12.0)</f>
        <v>12</v>
      </c>
      <c r="F356" s="6">
        <f>IFERROR(__xludf.DUMMYFUNCTION("""COMPUTED_VALUE"""),12.0)</f>
        <v>12</v>
      </c>
      <c r="G356" s="6">
        <f>IFERROR(__xludf.DUMMYFUNCTION("""COMPUTED_VALUE"""),0.0)</f>
        <v>0</v>
      </c>
      <c r="H356" s="6" t="str">
        <f>IFERROR(__xludf.DUMMYFUNCTION("""COMPUTED_VALUE"""),"pcs")</f>
        <v>pcs</v>
      </c>
      <c r="I356" s="6" t="str">
        <f>IFERROR(__xludf.DUMMYFUNCTION("""COMPUTED_VALUE"""),"MFH")</f>
        <v>MFH</v>
      </c>
      <c r="J356" s="6" t="str">
        <f>IFERROR(__xludf.DUMMYFUNCTION("""COMPUTED_VALUE"""),"Mixing")</f>
        <v>Mixing</v>
      </c>
      <c r="K356" s="6" t="str">
        <f>IFERROR(__xludf.DUMMYFUNCTION("""COMPUTED_VALUE"""),"SPR/12/23/011")</f>
        <v>SPR/12/23/011</v>
      </c>
      <c r="L356" s="13">
        <f>IFERROR(__xludf.DUMMYFUNCTION("""COMPUTED_VALUE"""),45261.0)</f>
        <v>45261</v>
      </c>
    </row>
    <row r="357">
      <c r="A357" s="6" t="str">
        <f>IFERROR(__xludf.DUMMYFUNCTION("""COMPUTED_VALUE"""),"INN")</f>
        <v>INN</v>
      </c>
      <c r="B357" s="6" t="str">
        <f>IFERROR(__xludf.DUMMYFUNCTION("""COMPUTED_VALUE"""),"ENG")</f>
        <v>ENG</v>
      </c>
      <c r="C357" s="6" t="str">
        <f>IFERROR(__xludf.DUMMYFUNCTION("""COMPUTED_VALUE"""),"P-14980-00")</f>
        <v>P-14980-00</v>
      </c>
      <c r="D357" s="6" t="str">
        <f>IFERROR(__xludf.DUMMYFUNCTION("""COMPUTED_VALUE"""),"Seal Ferrule Teflon 3/4 inch; ; ;")</f>
        <v>Seal Ferrule Teflon 3/4 inch; ; ;</v>
      </c>
      <c r="E357" s="6">
        <f>IFERROR(__xludf.DUMMYFUNCTION("""COMPUTED_VALUE"""),5.0)</f>
        <v>5</v>
      </c>
      <c r="F357" s="6">
        <f>IFERROR(__xludf.DUMMYFUNCTION("""COMPUTED_VALUE"""),5.0)</f>
        <v>5</v>
      </c>
      <c r="G357" s="6">
        <f>IFERROR(__xludf.DUMMYFUNCTION("""COMPUTED_VALUE"""),0.0)</f>
        <v>0</v>
      </c>
      <c r="H357" s="6" t="str">
        <f>IFERROR(__xludf.DUMMYFUNCTION("""COMPUTED_VALUE"""),"pcs")</f>
        <v>pcs</v>
      </c>
      <c r="I357" s="6" t="str">
        <f>IFERROR(__xludf.DUMMYFUNCTION("""COMPUTED_VALUE"""),"MFH")</f>
        <v>MFH</v>
      </c>
      <c r="J357" s="6" t="str">
        <f>IFERROR(__xludf.DUMMYFUNCTION("""COMPUTED_VALUE"""),"Mixing")</f>
        <v>Mixing</v>
      </c>
      <c r="K357" s="6" t="str">
        <f>IFERROR(__xludf.DUMMYFUNCTION("""COMPUTED_VALUE"""),"SPR/12/23/012")</f>
        <v>SPR/12/23/012</v>
      </c>
      <c r="L357" s="13">
        <f>IFERROR(__xludf.DUMMYFUNCTION("""COMPUTED_VALUE"""),45261.0)</f>
        <v>45261</v>
      </c>
    </row>
    <row r="358">
      <c r="A358" s="6" t="str">
        <f>IFERROR(__xludf.DUMMYFUNCTION("""COMPUTED_VALUE"""),"INN")</f>
        <v>INN</v>
      </c>
      <c r="B358" s="6" t="str">
        <f>IFERROR(__xludf.DUMMYFUNCTION("""COMPUTED_VALUE"""),"ENG")</f>
        <v>ENG</v>
      </c>
      <c r="C358" s="6" t="str">
        <f>IFERROR(__xludf.DUMMYFUNCTION("""COMPUTED_VALUE"""),"P-18618-00")</f>
        <v>P-18618-00</v>
      </c>
      <c r="D358" s="6" t="str">
        <f>IFERROR(__xludf.DUMMYFUNCTION("""COMPUTED_VALUE"""),"Chemicals Kuclean HL-351 @20 liter; ; ;")</f>
        <v>Chemicals Kuclean HL-351 @20 liter; ; ;</v>
      </c>
      <c r="E358" s="6">
        <f>IFERROR(__xludf.DUMMYFUNCTION("""COMPUTED_VALUE"""),22.0)</f>
        <v>22</v>
      </c>
      <c r="F358" s="6">
        <f>IFERROR(__xludf.DUMMYFUNCTION("""COMPUTED_VALUE"""),22.0)</f>
        <v>22</v>
      </c>
      <c r="G358" s="6">
        <f>IFERROR(__xludf.DUMMYFUNCTION("""COMPUTED_VALUE"""),0.0)</f>
        <v>0</v>
      </c>
      <c r="H358" s="6" t="str">
        <f>IFERROR(__xludf.DUMMYFUNCTION("""COMPUTED_VALUE"""),"pcs")</f>
        <v>pcs</v>
      </c>
      <c r="I358" s="6" t="str">
        <f>IFERROR(__xludf.DUMMYFUNCTION("""COMPUTED_VALUE"""),"MFH")</f>
        <v>MFH</v>
      </c>
      <c r="J358" s="6" t="str">
        <f>IFERROR(__xludf.DUMMYFUNCTION("""COMPUTED_VALUE"""),"FD IMA")</f>
        <v>FD IMA</v>
      </c>
      <c r="K358" s="6" t="str">
        <f>IFERROR(__xludf.DUMMYFUNCTION("""COMPUTED_VALUE"""),"SPR/12/23/012")</f>
        <v>SPR/12/23/012</v>
      </c>
      <c r="L358" s="13">
        <f>IFERROR(__xludf.DUMMYFUNCTION("""COMPUTED_VALUE"""),45261.0)</f>
        <v>45261</v>
      </c>
    </row>
    <row r="359">
      <c r="A359" s="6" t="str">
        <f>IFERROR(__xludf.DUMMYFUNCTION("""COMPUTED_VALUE"""),"INN")</f>
        <v>INN</v>
      </c>
      <c r="B359" s="6" t="str">
        <f>IFERROR(__xludf.DUMMYFUNCTION("""COMPUTED_VALUE"""),"ENG")</f>
        <v>ENG</v>
      </c>
      <c r="C359" s="6" t="str">
        <f>IFERROR(__xludf.DUMMYFUNCTION("""COMPUTED_VALUE"""),"O-15718-00")</f>
        <v>O-15718-00</v>
      </c>
      <c r="D359" s="6" t="str">
        <f>IFERROR(__xludf.DUMMYFUNCTION("""COMPUTED_VALUE"""),"SYNTHETIC FOOD GRADE, CRC - P/N : NSF H1 pc")</f>
        <v>SYNTHETIC FOOD GRADE, CRC - P/N : NSF H1 pc</v>
      </c>
      <c r="E359" s="6">
        <f>IFERROR(__xludf.DUMMYFUNCTION("""COMPUTED_VALUE"""),3.0)</f>
        <v>3</v>
      </c>
      <c r="F359" s="6">
        <f>IFERROR(__xludf.DUMMYFUNCTION("""COMPUTED_VALUE"""),3.0)</f>
        <v>3</v>
      </c>
      <c r="G359" s="6">
        <f>IFERROR(__xludf.DUMMYFUNCTION("""COMPUTED_VALUE"""),0.0)</f>
        <v>0</v>
      </c>
      <c r="H359" s="6" t="str">
        <f>IFERROR(__xludf.DUMMYFUNCTION("""COMPUTED_VALUE"""),"pcs")</f>
        <v>pcs</v>
      </c>
      <c r="I359" s="6" t="str">
        <f>IFERROR(__xludf.DUMMYFUNCTION("""COMPUTED_VALUE"""),"MFH")</f>
        <v>MFH</v>
      </c>
      <c r="J359" s="6" t="str">
        <f>IFERROR(__xludf.DUMMYFUNCTION("""COMPUTED_VALUE"""),"FD IMA")</f>
        <v>FD IMA</v>
      </c>
      <c r="K359" s="6" t="str">
        <f>IFERROR(__xludf.DUMMYFUNCTION("""COMPUTED_VALUE"""),"SPR/12/23/012")</f>
        <v>SPR/12/23/012</v>
      </c>
      <c r="L359" s="13">
        <f>IFERROR(__xludf.DUMMYFUNCTION("""COMPUTED_VALUE"""),45261.0)</f>
        <v>45261</v>
      </c>
    </row>
    <row r="360">
      <c r="A360" s="6" t="str">
        <f>IFERROR(__xludf.DUMMYFUNCTION("""COMPUTED_VALUE"""),"INN")</f>
        <v>INN</v>
      </c>
      <c r="B360" s="6" t="str">
        <f>IFERROR(__xludf.DUMMYFUNCTION("""COMPUTED_VALUE"""),"ENG")</f>
        <v>ENG</v>
      </c>
      <c r="C360" s="6" t="str">
        <f>IFERROR(__xludf.DUMMYFUNCTION("""COMPUTED_VALUE"""),"O-18917-00")</f>
        <v>O-18917-00</v>
      </c>
      <c r="D360" s="6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E360" s="6">
        <f>IFERROR(__xludf.DUMMYFUNCTION("""COMPUTED_VALUE"""),1.0)</f>
        <v>1</v>
      </c>
      <c r="F360" s="6">
        <f>IFERROR(__xludf.DUMMYFUNCTION("""COMPUTED_VALUE"""),1.0)</f>
        <v>1</v>
      </c>
      <c r="G360" s="6">
        <f>IFERROR(__xludf.DUMMYFUNCTION("""COMPUTED_VALUE"""),0.0)</f>
        <v>0</v>
      </c>
      <c r="H360" s="6" t="str">
        <f>IFERROR(__xludf.DUMMYFUNCTION("""COMPUTED_VALUE"""),"pcs")</f>
        <v>pcs</v>
      </c>
      <c r="I360" s="6" t="str">
        <f>IFERROR(__xludf.DUMMYFUNCTION("""COMPUTED_VALUE"""),"MFH")</f>
        <v>MFH</v>
      </c>
      <c r="J360" s="6" t="str">
        <f>IFERROR(__xludf.DUMMYFUNCTION("""COMPUTED_VALUE"""),"FD IMA")</f>
        <v>FD IMA</v>
      </c>
      <c r="K360" s="6" t="str">
        <f>IFERROR(__xludf.DUMMYFUNCTION("""COMPUTED_VALUE"""),"SPR/12/23/013")</f>
        <v>SPR/12/23/013</v>
      </c>
      <c r="L360" s="13">
        <f>IFERROR(__xludf.DUMMYFUNCTION("""COMPUTED_VALUE"""),45261.0)</f>
        <v>45261</v>
      </c>
    </row>
    <row r="361">
      <c r="A361" s="6" t="str">
        <f>IFERROR(__xludf.DUMMYFUNCTION("""COMPUTED_VALUE"""),"INN")</f>
        <v>INN</v>
      </c>
      <c r="B361" s="6" t="str">
        <f>IFERROR(__xludf.DUMMYFUNCTION("""COMPUTED_VALUE"""),"ENG")</f>
        <v>ENG</v>
      </c>
      <c r="C361" s="6" t="str">
        <f>IFERROR(__xludf.DUMMYFUNCTION("""COMPUTED_VALUE"""),"O-18929-00")</f>
        <v>O-18929-00</v>
      </c>
      <c r="D361" s="6" t="str">
        <f>IFERROR(__xludf.DUMMYFUNCTION("""COMPUTED_VALUE"""),"Freeze Dryer MBE1207 - FILTER Cartridge SANRONG FILTER ELEMENT for SFR487T Housing P/N : EDF16-01060; ; ;")</f>
        <v>Freeze Dryer MBE1207 - FILTER Cartridge SANRONG FILTER ELEMENT for SFR487T Housing P/N : EDF16-01060; ; ;</v>
      </c>
      <c r="E361" s="6">
        <f>IFERROR(__xludf.DUMMYFUNCTION("""COMPUTED_VALUE"""),1.0)</f>
        <v>1</v>
      </c>
      <c r="F361" s="6">
        <f>IFERROR(__xludf.DUMMYFUNCTION("""COMPUTED_VALUE"""),1.0)</f>
        <v>1</v>
      </c>
      <c r="G361" s="6">
        <f>IFERROR(__xludf.DUMMYFUNCTION("""COMPUTED_VALUE"""),0.0)</f>
        <v>0</v>
      </c>
      <c r="H361" s="6" t="str">
        <f>IFERROR(__xludf.DUMMYFUNCTION("""COMPUTED_VALUE"""),"pcs")</f>
        <v>pcs</v>
      </c>
      <c r="I361" s="6" t="str">
        <f>IFERROR(__xludf.DUMMYFUNCTION("""COMPUTED_VALUE"""),"MFH")</f>
        <v>MFH</v>
      </c>
      <c r="J361" s="6" t="str">
        <f>IFERROR(__xludf.DUMMYFUNCTION("""COMPUTED_VALUE"""),"FD IMA")</f>
        <v>FD IMA</v>
      </c>
      <c r="K361" s="6" t="str">
        <f>IFERROR(__xludf.DUMMYFUNCTION("""COMPUTED_VALUE"""),"SPR/12/23/013")</f>
        <v>SPR/12/23/013</v>
      </c>
      <c r="L361" s="13">
        <f>IFERROR(__xludf.DUMMYFUNCTION("""COMPUTED_VALUE"""),45261.0)</f>
        <v>45261</v>
      </c>
    </row>
    <row r="362">
      <c r="A362" s="6" t="str">
        <f>IFERROR(__xludf.DUMMYFUNCTION("""COMPUTED_VALUE"""),"INN")</f>
        <v>INN</v>
      </c>
      <c r="B362" s="6" t="str">
        <f>IFERROR(__xludf.DUMMYFUNCTION("""COMPUTED_VALUE"""),"ENG")</f>
        <v>ENG</v>
      </c>
      <c r="C362" s="6" t="str">
        <f>IFERROR(__xludf.DUMMYFUNCTION("""COMPUTED_VALUE"""),"O-18893-00")</f>
        <v>O-18893-00</v>
      </c>
      <c r="D362" s="6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E362" s="6">
        <f>IFERROR(__xludf.DUMMYFUNCTION("""COMPUTED_VALUE"""),1.0)</f>
        <v>1</v>
      </c>
      <c r="F362" s="6">
        <f>IFERROR(__xludf.DUMMYFUNCTION("""COMPUTED_VALUE"""),1.0)</f>
        <v>1</v>
      </c>
      <c r="G362" s="6">
        <f>IFERROR(__xludf.DUMMYFUNCTION("""COMPUTED_VALUE"""),0.0)</f>
        <v>0</v>
      </c>
      <c r="H362" s="6" t="str">
        <f>IFERROR(__xludf.DUMMYFUNCTION("""COMPUTED_VALUE"""),"pcs")</f>
        <v>pcs</v>
      </c>
      <c r="I362" s="6" t="str">
        <f>IFERROR(__xludf.DUMMYFUNCTION("""COMPUTED_VALUE"""),"MFH")</f>
        <v>MFH</v>
      </c>
      <c r="J362" s="6" t="str">
        <f>IFERROR(__xludf.DUMMYFUNCTION("""COMPUTED_VALUE"""),"FD IMA")</f>
        <v>FD IMA</v>
      </c>
      <c r="K362" s="6" t="str">
        <f>IFERROR(__xludf.DUMMYFUNCTION("""COMPUTED_VALUE"""),"SPR/12/23/013")</f>
        <v>SPR/12/23/013</v>
      </c>
      <c r="L362" s="13">
        <f>IFERROR(__xludf.DUMMYFUNCTION("""COMPUTED_VALUE"""),45261.0)</f>
        <v>45261</v>
      </c>
    </row>
    <row r="363">
      <c r="A363" s="6" t="str">
        <f>IFERROR(__xludf.DUMMYFUNCTION("""COMPUTED_VALUE"""),"INN")</f>
        <v>INN</v>
      </c>
      <c r="B363" s="6" t="str">
        <f>IFERROR(__xludf.DUMMYFUNCTION("""COMPUTED_VALUE"""),"ENG")</f>
        <v>ENG</v>
      </c>
      <c r="C363" s="6" t="str">
        <f>IFERROR(__xludf.DUMMYFUNCTION("""COMPUTED_VALUE"""),"O-18892-00")</f>
        <v>O-18892-00</v>
      </c>
      <c r="D363" s="6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E363" s="6">
        <f>IFERROR(__xludf.DUMMYFUNCTION("""COMPUTED_VALUE"""),1.0)</f>
        <v>1</v>
      </c>
      <c r="F363" s="6">
        <f>IFERROR(__xludf.DUMMYFUNCTION("""COMPUTED_VALUE"""),1.0)</f>
        <v>1</v>
      </c>
      <c r="G363" s="6">
        <f>IFERROR(__xludf.DUMMYFUNCTION("""COMPUTED_VALUE"""),0.0)</f>
        <v>0</v>
      </c>
      <c r="H363" s="6" t="str">
        <f>IFERROR(__xludf.DUMMYFUNCTION("""COMPUTED_VALUE"""),"pcs")</f>
        <v>pcs</v>
      </c>
      <c r="I363" s="6" t="str">
        <f>IFERROR(__xludf.DUMMYFUNCTION("""COMPUTED_VALUE"""),"MFH")</f>
        <v>MFH</v>
      </c>
      <c r="J363" s="6" t="str">
        <f>IFERROR(__xludf.DUMMYFUNCTION("""COMPUTED_VALUE"""),"FD IMA")</f>
        <v>FD IMA</v>
      </c>
      <c r="K363" s="6" t="str">
        <f>IFERROR(__xludf.DUMMYFUNCTION("""COMPUTED_VALUE"""),"SPR/12/23/014")</f>
        <v>SPR/12/23/014</v>
      </c>
      <c r="L363" s="13">
        <f>IFERROR(__xludf.DUMMYFUNCTION("""COMPUTED_VALUE"""),45261.0)</f>
        <v>45261</v>
      </c>
    </row>
    <row r="364">
      <c r="A364" s="6" t="str">
        <f>IFERROR(__xludf.DUMMYFUNCTION("""COMPUTED_VALUE"""),"INN")</f>
        <v>INN</v>
      </c>
      <c r="B364" s="6" t="str">
        <f>IFERROR(__xludf.DUMMYFUNCTION("""COMPUTED_VALUE"""),"ENG")</f>
        <v>ENG</v>
      </c>
      <c r="C364" s="6" t="str">
        <f>IFERROR(__xludf.DUMMYFUNCTION("""COMPUTED_VALUE"""),"P-18504-00")</f>
        <v>P-18504-00</v>
      </c>
      <c r="D364" s="6" t="str">
        <f>IFERROR(__xludf.DUMMYFUNCTION("""COMPUTED_VALUE"""),"Chemours - Freon 404A;; ; ;")</f>
        <v>Chemours - Freon 404A;; ; ;</v>
      </c>
      <c r="E364" s="6">
        <f>IFERROR(__xludf.DUMMYFUNCTION("""COMPUTED_VALUE"""),1.0)</f>
        <v>1</v>
      </c>
      <c r="F364" s="6">
        <f>IFERROR(__xludf.DUMMYFUNCTION("""COMPUTED_VALUE"""),1.0)</f>
        <v>1</v>
      </c>
      <c r="G364" s="6">
        <f>IFERROR(__xludf.DUMMYFUNCTION("""COMPUTED_VALUE"""),0.0)</f>
        <v>0</v>
      </c>
      <c r="H364" s="6" t="str">
        <f>IFERROR(__xludf.DUMMYFUNCTION("""COMPUTED_VALUE"""),"pcs")</f>
        <v>pcs</v>
      </c>
      <c r="I364" s="6" t="str">
        <f>IFERROR(__xludf.DUMMYFUNCTION("""COMPUTED_VALUE"""),"MFH")</f>
        <v>MFH</v>
      </c>
      <c r="J364" s="6" t="str">
        <f>IFERROR(__xludf.DUMMYFUNCTION("""COMPUTED_VALUE"""),"Chamber")</f>
        <v>Chamber</v>
      </c>
      <c r="K364" s="6" t="str">
        <f>IFERROR(__xludf.DUMMYFUNCTION("""COMPUTED_VALUE"""),"SPR/12/23/014")</f>
        <v>SPR/12/23/014</v>
      </c>
      <c r="L364" s="13">
        <f>IFERROR(__xludf.DUMMYFUNCTION("""COMPUTED_VALUE"""),45261.0)</f>
        <v>45261</v>
      </c>
    </row>
    <row r="365">
      <c r="A365" s="6" t="str">
        <f>IFERROR(__xludf.DUMMYFUNCTION("""COMPUTED_VALUE"""),"INN")</f>
        <v>INN</v>
      </c>
      <c r="B365" s="6" t="str">
        <f>IFERROR(__xludf.DUMMYFUNCTION("""COMPUTED_VALUE"""),"ENG")</f>
        <v>ENG</v>
      </c>
      <c r="C365" s="6" t="str">
        <f>IFERROR(__xludf.DUMMYFUNCTION("""COMPUTED_VALUE"""),"P-13389-00")</f>
        <v>P-13389-00</v>
      </c>
      <c r="D365" s="6" t="str">
        <f>IFERROR(__xludf.DUMMYFUNCTION("""COMPUTED_VALUE"""),"Scotch Brite 3M; ; ;")</f>
        <v>Scotch Brite 3M; ; ;</v>
      </c>
      <c r="E365" s="6">
        <f>IFERROR(__xludf.DUMMYFUNCTION("""COMPUTED_VALUE"""),14.0)</f>
        <v>14</v>
      </c>
      <c r="F365" s="6">
        <f>IFERROR(__xludf.DUMMYFUNCTION("""COMPUTED_VALUE"""),14.0)</f>
        <v>14</v>
      </c>
      <c r="G365" s="6">
        <f>IFERROR(__xludf.DUMMYFUNCTION("""COMPUTED_VALUE"""),0.0)</f>
        <v>0</v>
      </c>
      <c r="H365" s="6" t="str">
        <f>IFERROR(__xludf.DUMMYFUNCTION("""COMPUTED_VALUE"""),"pcs")</f>
        <v>pcs</v>
      </c>
      <c r="I365" s="6" t="str">
        <f>IFERROR(__xludf.DUMMYFUNCTION("""COMPUTED_VALUE"""),"MFH")</f>
        <v>MFH</v>
      </c>
      <c r="J365" s="6" t="str">
        <f>IFERROR(__xludf.DUMMYFUNCTION("""COMPUTED_VALUE"""),"Capping")</f>
        <v>Capping</v>
      </c>
      <c r="K365" s="6" t="str">
        <f>IFERROR(__xludf.DUMMYFUNCTION("""COMPUTED_VALUE"""),"SPR/12/23/014")</f>
        <v>SPR/12/23/014</v>
      </c>
      <c r="L365" s="13">
        <f>IFERROR(__xludf.DUMMYFUNCTION("""COMPUTED_VALUE"""),45261.0)</f>
        <v>45261</v>
      </c>
    </row>
    <row r="366">
      <c r="A366" s="6" t="str">
        <f>IFERROR(__xludf.DUMMYFUNCTION("""COMPUTED_VALUE"""),"INN")</f>
        <v>INN</v>
      </c>
      <c r="B366" s="6" t="str">
        <f>IFERROR(__xludf.DUMMYFUNCTION("""COMPUTED_VALUE"""),"ENG")</f>
        <v>ENG</v>
      </c>
      <c r="C366" s="6" t="str">
        <f>IFERROR(__xludf.DUMMYFUNCTION("""COMPUTED_VALUE"""),"O-16647-00")</f>
        <v>O-16647-00</v>
      </c>
      <c r="D366" s="6" t="str">
        <f>IFERROR(__xludf.DUMMYFUNCTION("""COMPUTED_VALUE"""),"Washing RAR4 - Oring Silicone Merah 23x18x2.5 mm; ; ;")</f>
        <v>Washing RAR4 - Oring Silicone Merah 23x18x2.5 mm; ; ;</v>
      </c>
      <c r="E366" s="6">
        <f>IFERROR(__xludf.DUMMYFUNCTION("""COMPUTED_VALUE"""),41.0)</f>
        <v>41</v>
      </c>
      <c r="F366" s="6">
        <f>IFERROR(__xludf.DUMMYFUNCTION("""COMPUTED_VALUE"""),41.0)</f>
        <v>41</v>
      </c>
      <c r="G366" s="6">
        <f>IFERROR(__xludf.DUMMYFUNCTION("""COMPUTED_VALUE"""),0.0)</f>
        <v>0</v>
      </c>
      <c r="H366" s="6" t="str">
        <f>IFERROR(__xludf.DUMMYFUNCTION("""COMPUTED_VALUE"""),"pcs")</f>
        <v>pcs</v>
      </c>
      <c r="I366" s="6" t="str">
        <f>IFERROR(__xludf.DUMMYFUNCTION("""COMPUTED_VALUE"""),"MFH")</f>
        <v>MFH</v>
      </c>
      <c r="J366" s="6" t="str">
        <f>IFERROR(__xludf.DUMMYFUNCTION("""COMPUTED_VALUE"""),"Capping")</f>
        <v>Capping</v>
      </c>
      <c r="K366" s="6" t="str">
        <f>IFERROR(__xludf.DUMMYFUNCTION("""COMPUTED_VALUE"""),"SPR/12/23/015")</f>
        <v>SPR/12/23/015</v>
      </c>
      <c r="L366" s="13">
        <f>IFERROR(__xludf.DUMMYFUNCTION("""COMPUTED_VALUE"""),45261.0)</f>
        <v>45261</v>
      </c>
    </row>
    <row r="367">
      <c r="A367" s="6" t="str">
        <f>IFERROR(__xludf.DUMMYFUNCTION("""COMPUTED_VALUE"""),"INN")</f>
        <v>INN</v>
      </c>
      <c r="B367" s="6" t="str">
        <f>IFERROR(__xludf.DUMMYFUNCTION("""COMPUTED_VALUE"""),"ENG")</f>
        <v>ENG</v>
      </c>
      <c r="C367" s="6" t="str">
        <f>IFERROR(__xludf.DUMMYFUNCTION("""COMPUTED_VALUE"""),"Q-10249-00")</f>
        <v>Q-10249-00</v>
      </c>
      <c r="D367" s="6" t="str">
        <f>IFERROR(__xludf.DUMMYFUNCTION("""COMPUTED_VALUE"""),"Lem Power Glue")</f>
        <v>Lem Power Glue</v>
      </c>
      <c r="E367" s="6">
        <f>IFERROR(__xludf.DUMMYFUNCTION("""COMPUTED_VALUE"""),14.0)</f>
        <v>14</v>
      </c>
      <c r="F367" s="6">
        <f>IFERROR(__xludf.DUMMYFUNCTION("""COMPUTED_VALUE"""),14.0)</f>
        <v>14</v>
      </c>
      <c r="G367" s="6">
        <f>IFERROR(__xludf.DUMMYFUNCTION("""COMPUTED_VALUE"""),0.0)</f>
        <v>0</v>
      </c>
      <c r="H367" s="6" t="str">
        <f>IFERROR(__xludf.DUMMYFUNCTION("""COMPUTED_VALUE"""),"pcs")</f>
        <v>pcs</v>
      </c>
      <c r="I367" s="6" t="str">
        <f>IFERROR(__xludf.DUMMYFUNCTION("""COMPUTED_VALUE"""),"MFH")</f>
        <v>MFH</v>
      </c>
      <c r="J367" s="6" t="str">
        <f>IFERROR(__xludf.DUMMYFUNCTION("""COMPUTED_VALUE"""),"Capping")</f>
        <v>Capping</v>
      </c>
      <c r="K367" s="6" t="str">
        <f>IFERROR(__xludf.DUMMYFUNCTION("""COMPUTED_VALUE"""),"SPR/12/23/015")</f>
        <v>SPR/12/23/015</v>
      </c>
      <c r="L367" s="13">
        <f>IFERROR(__xludf.DUMMYFUNCTION("""COMPUTED_VALUE"""),45261.0)</f>
        <v>45261</v>
      </c>
    </row>
    <row r="368">
      <c r="A368" s="6" t="str">
        <f>IFERROR(__xludf.DUMMYFUNCTION("""COMPUTED_VALUE"""),"INN")</f>
        <v>INN</v>
      </c>
      <c r="B368" s="6" t="str">
        <f>IFERROR(__xludf.DUMMYFUNCTION("""COMPUTED_VALUE"""),"ENG")</f>
        <v>ENG</v>
      </c>
      <c r="C368" s="6" t="str">
        <f>IFERROR(__xludf.DUMMYFUNCTION("""COMPUTED_VALUE"""),"O-18055-00")</f>
        <v>O-18055-00</v>
      </c>
      <c r="D368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68" s="6">
        <f>IFERROR(__xludf.DUMMYFUNCTION("""COMPUTED_VALUE"""),7.0)</f>
        <v>7</v>
      </c>
      <c r="F368" s="6">
        <f>IFERROR(__xludf.DUMMYFUNCTION("""COMPUTED_VALUE"""),7.0)</f>
        <v>7</v>
      </c>
      <c r="G368" s="6">
        <f>IFERROR(__xludf.DUMMYFUNCTION("""COMPUTED_VALUE"""),0.0)</f>
        <v>0</v>
      </c>
      <c r="H368" s="6" t="str">
        <f>IFERROR(__xludf.DUMMYFUNCTION("""COMPUTED_VALUE"""),"pcs")</f>
        <v>pcs</v>
      </c>
      <c r="I368" s="6" t="str">
        <f>IFERROR(__xludf.DUMMYFUNCTION("""COMPUTED_VALUE"""),"MFH")</f>
        <v>MFH</v>
      </c>
      <c r="J368" s="6" t="str">
        <f>IFERROR(__xludf.DUMMYFUNCTION("""COMPUTED_VALUE"""),"Cartoning")</f>
        <v>Cartoning</v>
      </c>
      <c r="K368" s="6" t="str">
        <f>IFERROR(__xludf.DUMMYFUNCTION("""COMPUTED_VALUE"""),"SPR/12/23/016")</f>
        <v>SPR/12/23/016</v>
      </c>
      <c r="L368" s="13">
        <f>IFERROR(__xludf.DUMMYFUNCTION("""COMPUTED_VALUE"""),45261.0)</f>
        <v>45261</v>
      </c>
    </row>
    <row r="369">
      <c r="A369" s="6" t="str">
        <f>IFERROR(__xludf.DUMMYFUNCTION("""COMPUTED_VALUE"""),"INN")</f>
        <v>INN</v>
      </c>
      <c r="B369" s="6" t="str">
        <f>IFERROR(__xludf.DUMMYFUNCTION("""COMPUTED_VALUE"""),"ENG")</f>
        <v>ENG</v>
      </c>
      <c r="C369" s="6" t="str">
        <f>IFERROR(__xludf.DUMMYFUNCTION("""COMPUTED_VALUE"""),"P-14379-00")</f>
        <v>P-14379-00</v>
      </c>
      <c r="D369" s="6" t="str">
        <f>IFERROR(__xludf.DUMMYFUNCTION("""COMPUTED_VALUE"""),"Gasket 3/4"" /EPDM; ; ;")</f>
        <v>Gasket 3/4" /EPDM; ; ;</v>
      </c>
      <c r="E369" s="6">
        <f>IFERROR(__xludf.DUMMYFUNCTION("""COMPUTED_VALUE"""),1.0)</f>
        <v>1</v>
      </c>
      <c r="F369" s="6">
        <f>IFERROR(__xludf.DUMMYFUNCTION("""COMPUTED_VALUE"""),1.0)</f>
        <v>1</v>
      </c>
      <c r="G369" s="6">
        <f>IFERROR(__xludf.DUMMYFUNCTION("""COMPUTED_VALUE"""),0.0)</f>
        <v>0</v>
      </c>
      <c r="H369" s="6" t="str">
        <f>IFERROR(__xludf.DUMMYFUNCTION("""COMPUTED_VALUE"""),"pcs")</f>
        <v>pcs</v>
      </c>
      <c r="I369" s="6" t="str">
        <f>IFERROR(__xludf.DUMMYFUNCTION("""COMPUTED_VALUE"""),"MFH")</f>
        <v>MFH</v>
      </c>
      <c r="J369" s="6" t="str">
        <f>IFERROR(__xludf.DUMMYFUNCTION("""COMPUTED_VALUE"""),"Mixing")</f>
        <v>Mixing</v>
      </c>
      <c r="K369" s="6" t="str">
        <f>IFERROR(__xludf.DUMMYFUNCTION("""COMPUTED_VALUE"""),"SPR/12/23/016")</f>
        <v>SPR/12/23/016</v>
      </c>
      <c r="L369" s="13">
        <f>IFERROR(__xludf.DUMMYFUNCTION("""COMPUTED_VALUE"""),45261.0)</f>
        <v>45261</v>
      </c>
    </row>
    <row r="370">
      <c r="A370" s="6" t="str">
        <f>IFERROR(__xludf.DUMMYFUNCTION("""COMPUTED_VALUE"""),"INN")</f>
        <v>INN</v>
      </c>
      <c r="B370" s="6" t="str">
        <f>IFERROR(__xludf.DUMMYFUNCTION("""COMPUTED_VALUE"""),"ENG")</f>
        <v>ENG</v>
      </c>
      <c r="C370" s="6" t="str">
        <f>IFERROR(__xludf.DUMMYFUNCTION("""COMPUTED_VALUE"""),"O-18041-00")</f>
        <v>O-18041-00</v>
      </c>
      <c r="D370" s="6" t="str">
        <f>IFERROR(__xludf.DUMMYFUNCTION("""COMPUTED_VALUE"""),"Bearing 624 ZZ; SKF; ;")</f>
        <v>Bearing 624 ZZ; SKF; ;</v>
      </c>
      <c r="E370" s="6">
        <f>IFERROR(__xludf.DUMMYFUNCTION("""COMPUTED_VALUE"""),1.0)</f>
        <v>1</v>
      </c>
      <c r="F370" s="6">
        <f>IFERROR(__xludf.DUMMYFUNCTION("""COMPUTED_VALUE"""),1.0)</f>
        <v>1</v>
      </c>
      <c r="G370" s="6">
        <f>IFERROR(__xludf.DUMMYFUNCTION("""COMPUTED_VALUE"""),0.0)</f>
        <v>0</v>
      </c>
      <c r="H370" s="6" t="str">
        <f>IFERROR(__xludf.DUMMYFUNCTION("""COMPUTED_VALUE"""),"pcs")</f>
        <v>pcs</v>
      </c>
      <c r="I370" s="6" t="str">
        <f>IFERROR(__xludf.DUMMYFUNCTION("""COMPUTED_VALUE"""),"MFH")</f>
        <v>MFH</v>
      </c>
      <c r="J370" s="6" t="str">
        <f>IFERROR(__xludf.DUMMYFUNCTION("""COMPUTED_VALUE"""),"Capping")</f>
        <v>Capping</v>
      </c>
      <c r="K370" s="6" t="str">
        <f>IFERROR(__xludf.DUMMYFUNCTION("""COMPUTED_VALUE"""),"SPR/12/23/016")</f>
        <v>SPR/12/23/016</v>
      </c>
      <c r="L370" s="13">
        <f>IFERROR(__xludf.DUMMYFUNCTION("""COMPUTED_VALUE"""),45261.0)</f>
        <v>45261</v>
      </c>
    </row>
    <row r="371">
      <c r="A371" s="6" t="str">
        <f>IFERROR(__xludf.DUMMYFUNCTION("""COMPUTED_VALUE"""),"MOB")</f>
        <v>MOB</v>
      </c>
      <c r="B371" s="6" t="str">
        <f>IFERROR(__xludf.DUMMYFUNCTION("""COMPUTED_VALUE"""),"ENG")</f>
        <v>ENG</v>
      </c>
      <c r="C371" s="6" t="str">
        <f>IFERROR(__xludf.DUMMYFUNCTION("""COMPUTED_VALUE"""),"P-54181-00")</f>
        <v>P-54181-00</v>
      </c>
      <c r="D371" s="6" t="str">
        <f>IFERROR(__xludf.DUMMYFUNCTION("""COMPUTED_VALUE"""),"UV lamp for TOC Sievers M500; TOC Sievers; ; pack size per pc")</f>
        <v>UV lamp for TOC Sievers M500; TOC Sievers; ; pack size per pc</v>
      </c>
      <c r="E371" s="6">
        <f>IFERROR(__xludf.DUMMYFUNCTION("""COMPUTED_VALUE"""),1.0)</f>
        <v>1</v>
      </c>
      <c r="F371" s="6">
        <f>IFERROR(__xludf.DUMMYFUNCTION("""COMPUTED_VALUE"""),1.0)</f>
        <v>1</v>
      </c>
      <c r="G371" s="6">
        <f>IFERROR(__xludf.DUMMYFUNCTION("""COMPUTED_VALUE"""),0.0)</f>
        <v>0</v>
      </c>
      <c r="H371" s="6" t="str">
        <f>IFERROR(__xludf.DUMMYFUNCTION("""COMPUTED_VALUE"""),"pcs")</f>
        <v>pcs</v>
      </c>
      <c r="I371" s="6" t="str">
        <f>IFERROR(__xludf.DUMMYFUNCTION("""COMPUTED_VALUE"""),"MFH")</f>
        <v>MFH</v>
      </c>
      <c r="J371" s="6" t="str">
        <f>IFERROR(__xludf.DUMMYFUNCTION("""COMPUTED_VALUE"""),"WFI SKID")</f>
        <v>WFI SKID</v>
      </c>
      <c r="K371" s="6" t="str">
        <f>IFERROR(__xludf.DUMMYFUNCTION("""COMPUTED_VALUE"""),"SPR/12/23/017")</f>
        <v>SPR/12/23/017</v>
      </c>
      <c r="L371" s="13">
        <f>IFERROR(__xludf.DUMMYFUNCTION("""COMPUTED_VALUE"""),45261.0)</f>
        <v>45261</v>
      </c>
    </row>
    <row r="372">
      <c r="A372" s="6" t="str">
        <f>IFERROR(__xludf.DUMMYFUNCTION("""COMPUTED_VALUE"""),"NDS")</f>
        <v>NDS</v>
      </c>
      <c r="B372" s="6" t="str">
        <f>IFERROR(__xludf.DUMMYFUNCTION("""COMPUTED_VALUE"""),"ENG")</f>
        <v>ENG</v>
      </c>
      <c r="C372" s="6" t="str">
        <f>IFERROR(__xludf.DUMMYFUNCTION("""COMPUTED_VALUE"""),"O-15931-00")</f>
        <v>O-15931-00</v>
      </c>
      <c r="D372" s="6" t="str">
        <f>IFERROR(__xludf.DUMMYFUNCTION("""COMPUTED_VALUE"""),"Double Tape 3M 1"" Merah - P/N : - pc")</f>
        <v>Double Tape 3M 1" Merah - P/N : - pc</v>
      </c>
      <c r="E372" s="6">
        <f>IFERROR(__xludf.DUMMYFUNCTION("""COMPUTED_VALUE"""),1.0)</f>
        <v>1</v>
      </c>
      <c r="F372" s="6">
        <f>IFERROR(__xludf.DUMMYFUNCTION("""COMPUTED_VALUE"""),1.0)</f>
        <v>1</v>
      </c>
      <c r="G372" s="6">
        <f>IFERROR(__xludf.DUMMYFUNCTION("""COMPUTED_VALUE"""),0.0)</f>
        <v>0</v>
      </c>
      <c r="H372" s="6" t="str">
        <f>IFERROR(__xludf.DUMMYFUNCTION("""COMPUTED_VALUE"""),"pcs")</f>
        <v>pcs</v>
      </c>
      <c r="I372" s="6" t="str">
        <f>IFERROR(__xludf.DUMMYFUNCTION("""COMPUTED_VALUE"""),"MFH")</f>
        <v>MFH</v>
      </c>
      <c r="J372" s="6" t="str">
        <f>IFERROR(__xludf.DUMMYFUNCTION("""COMPUTED_VALUE"""),"Building")</f>
        <v>Building</v>
      </c>
      <c r="K372" s="6" t="str">
        <f>IFERROR(__xludf.DUMMYFUNCTION("""COMPUTED_VALUE"""),"SPR/12/23/018")</f>
        <v>SPR/12/23/018</v>
      </c>
      <c r="L372" s="13">
        <f>IFERROR(__xludf.DUMMYFUNCTION("""COMPUTED_VALUE"""),45261.0)</f>
        <v>45261</v>
      </c>
    </row>
    <row r="373">
      <c r="A373" s="6" t="str">
        <f>IFERROR(__xludf.DUMMYFUNCTION("""COMPUTED_VALUE"""),"NDS")</f>
        <v>NDS</v>
      </c>
      <c r="B373" s="6" t="str">
        <f>IFERROR(__xludf.DUMMYFUNCTION("""COMPUTED_VALUE"""),"ENG")</f>
        <v>ENG</v>
      </c>
      <c r="C373" s="6" t="str">
        <f>IFERROR(__xludf.DUMMYFUNCTION("""COMPUTED_VALUE"""),"P-10945-00")</f>
        <v>P-10945-00</v>
      </c>
      <c r="D373" s="6" t="str">
        <f>IFERROR(__xludf.DUMMYFUNCTION("""COMPUTED_VALUE"""),"Insulation - Seal Tape onda")</f>
        <v>Insulation - Seal Tape onda</v>
      </c>
      <c r="E373" s="6">
        <f>IFERROR(__xludf.DUMMYFUNCTION("""COMPUTED_VALUE"""),1.0)</f>
        <v>1</v>
      </c>
      <c r="F373" s="6">
        <f>IFERROR(__xludf.DUMMYFUNCTION("""COMPUTED_VALUE"""),1.0)</f>
        <v>1</v>
      </c>
      <c r="G373" s="6">
        <f>IFERROR(__xludf.DUMMYFUNCTION("""COMPUTED_VALUE"""),0.0)</f>
        <v>0</v>
      </c>
      <c r="H373" s="6" t="str">
        <f>IFERROR(__xludf.DUMMYFUNCTION("""COMPUTED_VALUE"""),"pcs")</f>
        <v>pcs</v>
      </c>
      <c r="I373" s="6" t="str">
        <f>IFERROR(__xludf.DUMMYFUNCTION("""COMPUTED_VALUE"""),"MFH")</f>
        <v>MFH</v>
      </c>
      <c r="J373" s="6" t="str">
        <f>IFERROR(__xludf.DUMMYFUNCTION("""COMPUTED_VALUE"""),"Cartoning")</f>
        <v>Cartoning</v>
      </c>
      <c r="K373" s="6" t="str">
        <f>IFERROR(__xludf.DUMMYFUNCTION("""COMPUTED_VALUE"""),"SPR/12/23/019")</f>
        <v>SPR/12/23/019</v>
      </c>
      <c r="L373" s="13">
        <f>IFERROR(__xludf.DUMMYFUNCTION("""COMPUTED_VALUE"""),45261.0)</f>
        <v>45261</v>
      </c>
    </row>
    <row r="374">
      <c r="A374" s="6" t="str">
        <f>IFERROR(__xludf.DUMMYFUNCTION("""COMPUTED_VALUE"""),"NDS")</f>
        <v>NDS</v>
      </c>
      <c r="B374" s="6" t="str">
        <f>IFERROR(__xludf.DUMMYFUNCTION("""COMPUTED_VALUE"""),"ENG")</f>
        <v>ENG</v>
      </c>
      <c r="C374" s="6" t="str">
        <f>IFERROR(__xludf.DUMMYFUNCTION("""COMPUTED_VALUE"""),"O-18876-00")</f>
        <v>O-18876-00</v>
      </c>
      <c r="D374" s="6" t="str">
        <f>IFERROR(__xludf.DUMMYFUNCTION("""COMPUTED_VALUE"""),"Oring Silicone Merah 40.6x37x1")</f>
        <v>Oring Silicone Merah 40.6x37x1</v>
      </c>
      <c r="E374" s="6">
        <f>IFERROR(__xludf.DUMMYFUNCTION("""COMPUTED_VALUE"""),5.0)</f>
        <v>5</v>
      </c>
      <c r="F374" s="6">
        <f>IFERROR(__xludf.DUMMYFUNCTION("""COMPUTED_VALUE"""),5.0)</f>
        <v>5</v>
      </c>
      <c r="G374" s="6">
        <f>IFERROR(__xludf.DUMMYFUNCTION("""COMPUTED_VALUE"""),0.0)</f>
        <v>0</v>
      </c>
      <c r="H374" s="6" t="str">
        <f>IFERROR(__xludf.DUMMYFUNCTION("""COMPUTED_VALUE"""),"pcs")</f>
        <v>pcs</v>
      </c>
      <c r="I374" s="6" t="str">
        <f>IFERROR(__xludf.DUMMYFUNCTION("""COMPUTED_VALUE"""),"MFH")</f>
        <v>MFH</v>
      </c>
      <c r="J374" s="6" t="str">
        <f>IFERROR(__xludf.DUMMYFUNCTION("""COMPUTED_VALUE"""),"Capping")</f>
        <v>Capping</v>
      </c>
      <c r="K374" s="6" t="str">
        <f>IFERROR(__xludf.DUMMYFUNCTION("""COMPUTED_VALUE"""),"SPR/12/23/020")</f>
        <v>SPR/12/23/020</v>
      </c>
      <c r="L374" s="13">
        <f>IFERROR(__xludf.DUMMYFUNCTION("""COMPUTED_VALUE"""),45261.0)</f>
        <v>45261</v>
      </c>
    </row>
    <row r="375">
      <c r="A375" s="6" t="str">
        <f>IFERROR(__xludf.DUMMYFUNCTION("""COMPUTED_VALUE"""),"NDS")</f>
        <v>NDS</v>
      </c>
      <c r="B375" s="6" t="str">
        <f>IFERROR(__xludf.DUMMYFUNCTION("""COMPUTED_VALUE"""),"ENG")</f>
        <v>ENG</v>
      </c>
      <c r="C375" s="6" t="str">
        <f>IFERROR(__xludf.DUMMYFUNCTION("""COMPUTED_VALUE"""),"P-13389-00")</f>
        <v>P-13389-00</v>
      </c>
      <c r="D375" s="6" t="str">
        <f>IFERROR(__xludf.DUMMYFUNCTION("""COMPUTED_VALUE"""),"Scotch Brite 3M; ; ;")</f>
        <v>Scotch Brite 3M; ; ;</v>
      </c>
      <c r="E375" s="6">
        <f>IFERROR(__xludf.DUMMYFUNCTION("""COMPUTED_VALUE"""),1.0)</f>
        <v>1</v>
      </c>
      <c r="F375" s="6">
        <f>IFERROR(__xludf.DUMMYFUNCTION("""COMPUTED_VALUE"""),1.0)</f>
        <v>1</v>
      </c>
      <c r="G375" s="6">
        <f>IFERROR(__xludf.DUMMYFUNCTION("""COMPUTED_VALUE"""),0.0)</f>
        <v>0</v>
      </c>
      <c r="H375" s="6" t="str">
        <f>IFERROR(__xludf.DUMMYFUNCTION("""COMPUTED_VALUE"""),"pcs")</f>
        <v>pcs</v>
      </c>
      <c r="I375" s="6" t="str">
        <f>IFERROR(__xludf.DUMMYFUNCTION("""COMPUTED_VALUE"""),"MFH")</f>
        <v>MFH</v>
      </c>
      <c r="J375" s="6" t="str">
        <f>IFERROR(__xludf.DUMMYFUNCTION("""COMPUTED_VALUE"""),"Capping")</f>
        <v>Capping</v>
      </c>
      <c r="K375" s="6" t="str">
        <f>IFERROR(__xludf.DUMMYFUNCTION("""COMPUTED_VALUE"""),"SPR/12/23/021")</f>
        <v>SPR/12/23/021</v>
      </c>
      <c r="L375" s="13">
        <f>IFERROR(__xludf.DUMMYFUNCTION("""COMPUTED_VALUE"""),45261.0)</f>
        <v>45261</v>
      </c>
    </row>
    <row r="376">
      <c r="A376" s="6" t="str">
        <f>IFERROR(__xludf.DUMMYFUNCTION("""COMPUTED_VALUE"""),"MRN")</f>
        <v>MRN</v>
      </c>
      <c r="B376" s="6" t="str">
        <f>IFERROR(__xludf.DUMMYFUNCTION("""COMPUTED_VALUE"""),"ENG")</f>
        <v>ENG</v>
      </c>
      <c r="C376" s="6" t="str">
        <f>IFERROR(__xludf.DUMMYFUNCTION("""COMPUTED_VALUE"""),"P-51559-00")</f>
        <v>P-51559-00</v>
      </c>
      <c r="D376" s="6" t="str">
        <f>IFERROR(__xludf.DUMMYFUNCTION("""COMPUTED_VALUE"""),"Lampu T5 14watt Putih; Phillips; ;")</f>
        <v>Lampu T5 14watt Putih; Phillips; ;</v>
      </c>
      <c r="E376" s="6">
        <f>IFERROR(__xludf.DUMMYFUNCTION("""COMPUTED_VALUE"""),5.0)</f>
        <v>5</v>
      </c>
      <c r="F376" s="6">
        <f>IFERROR(__xludf.DUMMYFUNCTION("""COMPUTED_VALUE"""),5.0)</f>
        <v>5</v>
      </c>
      <c r="G376" s="6">
        <f>IFERROR(__xludf.DUMMYFUNCTION("""COMPUTED_VALUE"""),0.0)</f>
        <v>0</v>
      </c>
      <c r="H376" s="6" t="str">
        <f>IFERROR(__xludf.DUMMYFUNCTION("""COMPUTED_VALUE"""),"pcs")</f>
        <v>pcs</v>
      </c>
      <c r="I376" s="6" t="str">
        <f>IFERROR(__xludf.DUMMYFUNCTION("""COMPUTED_VALUE"""),"MFH")</f>
        <v>MFH</v>
      </c>
      <c r="J376" s="6" t="str">
        <f>IFERROR(__xludf.DUMMYFUNCTION("""COMPUTED_VALUE"""),"Building")</f>
        <v>Building</v>
      </c>
      <c r="K376" s="6" t="str">
        <f>IFERROR(__xludf.DUMMYFUNCTION("""COMPUTED_VALUE"""),"SPR/12/23/022")</f>
        <v>SPR/12/23/022</v>
      </c>
      <c r="L376" s="13">
        <f>IFERROR(__xludf.DUMMYFUNCTION("""COMPUTED_VALUE"""),45261.0)</f>
        <v>45261</v>
      </c>
    </row>
    <row r="377">
      <c r="A377" s="6" t="str">
        <f>IFERROR(__xludf.DUMMYFUNCTION("""COMPUTED_VALUE"""),"NDS")</f>
        <v>NDS</v>
      </c>
      <c r="B377" s="6" t="str">
        <f>IFERROR(__xludf.DUMMYFUNCTION("""COMPUTED_VALUE"""),"ENG")</f>
        <v>ENG</v>
      </c>
      <c r="C377" s="6" t="str">
        <f>IFERROR(__xludf.DUMMYFUNCTION("""COMPUTED_VALUE"""),"O-16033-00")</f>
        <v>O-16033-00</v>
      </c>
      <c r="D37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77" s="6">
        <f>IFERROR(__xludf.DUMMYFUNCTION("""COMPUTED_VALUE"""),1.0)</f>
        <v>1</v>
      </c>
      <c r="F377" s="6">
        <f>IFERROR(__xludf.DUMMYFUNCTION("""COMPUTED_VALUE"""),1.0)</f>
        <v>1</v>
      </c>
      <c r="G377" s="6">
        <f>IFERROR(__xludf.DUMMYFUNCTION("""COMPUTED_VALUE"""),0.0)</f>
        <v>0</v>
      </c>
      <c r="H377" s="6" t="str">
        <f>IFERROR(__xludf.DUMMYFUNCTION("""COMPUTED_VALUE"""),"pcs")</f>
        <v>pcs</v>
      </c>
      <c r="I377" s="6" t="str">
        <f>IFERROR(__xludf.DUMMYFUNCTION("""COMPUTED_VALUE"""),"MFH")</f>
        <v>MFH</v>
      </c>
      <c r="J377" s="6" t="str">
        <f>IFERROR(__xludf.DUMMYFUNCTION("""COMPUTED_VALUE"""),"cRABS")</f>
        <v>cRABS</v>
      </c>
      <c r="K377" s="6" t="str">
        <f>IFERROR(__xludf.DUMMYFUNCTION("""COMPUTED_VALUE"""),"SPR/12/23/023")</f>
        <v>SPR/12/23/023</v>
      </c>
      <c r="L377" s="13">
        <f>IFERROR(__xludf.DUMMYFUNCTION("""COMPUTED_VALUE"""),45261.0)</f>
        <v>45261</v>
      </c>
    </row>
    <row r="378">
      <c r="A378" s="6" t="str">
        <f>IFERROR(__xludf.DUMMYFUNCTION("""COMPUTED_VALUE"""),"INN")</f>
        <v>INN</v>
      </c>
      <c r="B378" s="6" t="str">
        <f>IFERROR(__xludf.DUMMYFUNCTION("""COMPUTED_VALUE"""),"ENG")</f>
        <v>ENG</v>
      </c>
      <c r="C378" s="6" t="str">
        <f>IFERROR(__xludf.DUMMYFUNCTION("""COMPUTED_VALUE"""),"P-11356-00")</f>
        <v>P-11356-00</v>
      </c>
      <c r="D378" s="6" t="str">
        <f>IFERROR(__xludf.DUMMYFUNCTION("""COMPUTED_VALUE"""),"Roda Trolly ABUS 4"" ( 100 x 27 ) Without Breake")</f>
        <v>Roda Trolly ABUS 4" ( 100 x 27 ) Without Breake</v>
      </c>
      <c r="E378" s="6">
        <f>IFERROR(__xludf.DUMMYFUNCTION("""COMPUTED_VALUE"""),4.0)</f>
        <v>4</v>
      </c>
      <c r="F378" s="6">
        <f>IFERROR(__xludf.DUMMYFUNCTION("""COMPUTED_VALUE"""),4.0)</f>
        <v>4</v>
      </c>
      <c r="G378" s="6">
        <f>IFERROR(__xludf.DUMMYFUNCTION("""COMPUTED_VALUE"""),0.0)</f>
        <v>0</v>
      </c>
      <c r="H378" s="6" t="str">
        <f>IFERROR(__xludf.DUMMYFUNCTION("""COMPUTED_VALUE"""),"pcs")</f>
        <v>pcs</v>
      </c>
      <c r="I378" s="6" t="str">
        <f>IFERROR(__xludf.DUMMYFUNCTION("""COMPUTED_VALUE"""),"MFH")</f>
        <v>MFH</v>
      </c>
      <c r="J378" s="6" t="str">
        <f>IFERROR(__xludf.DUMMYFUNCTION("""COMPUTED_VALUE"""),"Roda Trolly")</f>
        <v>Roda Trolly</v>
      </c>
      <c r="K378" s="6" t="str">
        <f>IFERROR(__xludf.DUMMYFUNCTION("""COMPUTED_VALUE"""),"SPR/12/23/024")</f>
        <v>SPR/12/23/024</v>
      </c>
      <c r="L378" s="13">
        <f>IFERROR(__xludf.DUMMYFUNCTION("""COMPUTED_VALUE"""),45261.0)</f>
        <v>45261</v>
      </c>
    </row>
    <row r="379">
      <c r="A379" s="6" t="str">
        <f>IFERROR(__xludf.DUMMYFUNCTION("""COMPUTED_VALUE"""),"INN")</f>
        <v>INN</v>
      </c>
      <c r="B379" s="6" t="str">
        <f>IFERROR(__xludf.DUMMYFUNCTION("""COMPUTED_VALUE"""),"ENG")</f>
        <v>ENG</v>
      </c>
      <c r="C379" s="6" t="str">
        <f>IFERROR(__xludf.DUMMYFUNCTION("""COMPUTED_VALUE"""),"O-11181-00")</f>
        <v>O-11181-00</v>
      </c>
      <c r="D379" s="6" t="str">
        <f>IFERROR(__xludf.DUMMYFUNCTION("""COMPUTED_VALUE"""),"Bearing 626-2Z")</f>
        <v>Bearing 626-2Z</v>
      </c>
      <c r="E379" s="6">
        <f>IFERROR(__xludf.DUMMYFUNCTION("""COMPUTED_VALUE"""),20.0)</f>
        <v>20</v>
      </c>
      <c r="F379" s="6">
        <f>IFERROR(__xludf.DUMMYFUNCTION("""COMPUTED_VALUE"""),20.0)</f>
        <v>20</v>
      </c>
      <c r="G379" s="6">
        <f>IFERROR(__xludf.DUMMYFUNCTION("""COMPUTED_VALUE"""),0.0)</f>
        <v>0</v>
      </c>
      <c r="H379" s="6" t="str">
        <f>IFERROR(__xludf.DUMMYFUNCTION("""COMPUTED_VALUE"""),"pcs")</f>
        <v>pcs</v>
      </c>
      <c r="I379" s="6" t="str">
        <f>IFERROR(__xludf.DUMMYFUNCTION("""COMPUTED_VALUE"""),"MFH")</f>
        <v>MFH</v>
      </c>
      <c r="J379" s="6" t="str">
        <f>IFERROR(__xludf.DUMMYFUNCTION("""COMPUTED_VALUE"""),"Capping")</f>
        <v>Capping</v>
      </c>
      <c r="K379" s="6" t="str">
        <f>IFERROR(__xludf.DUMMYFUNCTION("""COMPUTED_VALUE"""),"SPR/12/23/024")</f>
        <v>SPR/12/23/024</v>
      </c>
      <c r="L379" s="13">
        <f>IFERROR(__xludf.DUMMYFUNCTION("""COMPUTED_VALUE"""),45261.0)</f>
        <v>45261</v>
      </c>
    </row>
    <row r="380">
      <c r="A380" s="6" t="str">
        <f>IFERROR(__xludf.DUMMYFUNCTION("""COMPUTED_VALUE"""),"MFH")</f>
        <v>MFH</v>
      </c>
      <c r="B380" s="6" t="str">
        <f>IFERROR(__xludf.DUMMYFUNCTION("""COMPUTED_VALUE"""),"ENG")</f>
        <v>ENG</v>
      </c>
      <c r="C380" s="6" t="str">
        <f>IFERROR(__xludf.DUMMYFUNCTION("""COMPUTED_VALUE"""),"O-14619-00")</f>
        <v>O-14619-00</v>
      </c>
      <c r="D380" s="6" t="str">
        <f>IFERROR(__xludf.DUMMYFUNCTION("""COMPUTED_VALUE"""),"Pressure reducer 1/2"" Gas connection, with manometer 0-12 bar")</f>
        <v>Pressure reducer 1/2" Gas connection, with manometer 0-12 bar</v>
      </c>
      <c r="E380" s="6">
        <f>IFERROR(__xludf.DUMMYFUNCTION("""COMPUTED_VALUE"""),1.0)</f>
        <v>1</v>
      </c>
      <c r="F380" s="6">
        <f>IFERROR(__xludf.DUMMYFUNCTION("""COMPUTED_VALUE"""),1.0)</f>
        <v>1</v>
      </c>
      <c r="G380" s="6">
        <f>IFERROR(__xludf.DUMMYFUNCTION("""COMPUTED_VALUE"""),0.0)</f>
        <v>0</v>
      </c>
      <c r="H380" s="6" t="str">
        <f>IFERROR(__xludf.DUMMYFUNCTION("""COMPUTED_VALUE"""),"pcs")</f>
        <v>pcs</v>
      </c>
      <c r="I380" s="6" t="str">
        <f>IFERROR(__xludf.DUMMYFUNCTION("""COMPUTED_VALUE"""),"MFH")</f>
        <v>MFH</v>
      </c>
      <c r="J380" s="6" t="str">
        <f>IFERROR(__xludf.DUMMYFUNCTION("""COMPUTED_VALUE"""),"WASHING")</f>
        <v>WASHING</v>
      </c>
      <c r="K380" s="6" t="str">
        <f>IFERROR(__xludf.DUMMYFUNCTION("""COMPUTED_VALUE"""),"SPR/12/23/025")</f>
        <v>SPR/12/23/025</v>
      </c>
      <c r="L380" s="13">
        <f>IFERROR(__xludf.DUMMYFUNCTION("""COMPUTED_VALUE"""),45261.0)</f>
        <v>45261</v>
      </c>
    </row>
    <row r="381">
      <c r="A381" s="6" t="str">
        <f>IFERROR(__xludf.DUMMYFUNCTION("""COMPUTED_VALUE"""),"MFH")</f>
        <v>MFH</v>
      </c>
      <c r="B381" s="6" t="str">
        <f>IFERROR(__xludf.DUMMYFUNCTION("""COMPUTED_VALUE"""),"ENG")</f>
        <v>ENG</v>
      </c>
      <c r="C381" s="6" t="str">
        <f>IFERROR(__xludf.DUMMYFUNCTION("""COMPUTED_VALUE"""),"O-14639-00")</f>
        <v>O-14639-00</v>
      </c>
      <c r="D381" s="6" t="str">
        <f>IFERROR(__xludf.DUMMYFUNCTION("""COMPUTED_VALUE"""),"EPDM Gasket for Ferrule dia. 1/2""")</f>
        <v>EPDM Gasket for Ferrule dia. 1/2"</v>
      </c>
      <c r="E381" s="6">
        <f>IFERROR(__xludf.DUMMYFUNCTION("""COMPUTED_VALUE"""),15.0)</f>
        <v>15</v>
      </c>
      <c r="F381" s="6">
        <f>IFERROR(__xludf.DUMMYFUNCTION("""COMPUTED_VALUE"""),15.0)</f>
        <v>15</v>
      </c>
      <c r="G381" s="6">
        <f>IFERROR(__xludf.DUMMYFUNCTION("""COMPUTED_VALUE"""),0.0)</f>
        <v>0</v>
      </c>
      <c r="H381" s="6" t="str">
        <f>IFERROR(__xludf.DUMMYFUNCTION("""COMPUTED_VALUE"""),"pcs")</f>
        <v>pcs</v>
      </c>
      <c r="I381" s="6" t="str">
        <f>IFERROR(__xludf.DUMMYFUNCTION("""COMPUTED_VALUE"""),"MFH")</f>
        <v>MFH</v>
      </c>
      <c r="J381" s="6" t="str">
        <f>IFERROR(__xludf.DUMMYFUNCTION("""COMPUTED_VALUE"""),"Water System")</f>
        <v>Water System</v>
      </c>
      <c r="K381" s="6" t="str">
        <f>IFERROR(__xludf.DUMMYFUNCTION("""COMPUTED_VALUE"""),"SPR/12/23/026")</f>
        <v>SPR/12/23/026</v>
      </c>
      <c r="L381" s="13">
        <f>IFERROR(__xludf.DUMMYFUNCTION("""COMPUTED_VALUE"""),45261.0)</f>
        <v>45261</v>
      </c>
    </row>
    <row r="382">
      <c r="A382" s="6" t="str">
        <f>IFERROR(__xludf.DUMMYFUNCTION("""COMPUTED_VALUE"""),"MFH")</f>
        <v>MFH</v>
      </c>
      <c r="B382" s="6" t="str">
        <f>IFERROR(__xludf.DUMMYFUNCTION("""COMPUTED_VALUE"""),"ENG")</f>
        <v>ENG</v>
      </c>
      <c r="C382" s="6" t="str">
        <f>IFERROR(__xludf.DUMMYFUNCTION("""COMPUTED_VALUE"""),"P-14424-00")</f>
        <v>P-14424-00</v>
      </c>
      <c r="D382" s="6" t="str">
        <f>IFERROR(__xludf.DUMMYFUNCTION("""COMPUTED_VALUE"""),"Garam Kutreat RGN-9800F; ; ; 25Kg/zak")</f>
        <v>Garam Kutreat RGN-9800F; ; ; 25Kg/zak</v>
      </c>
      <c r="E382" s="6">
        <f>IFERROR(__xludf.DUMMYFUNCTION("""COMPUTED_VALUE"""),120.0)</f>
        <v>120</v>
      </c>
      <c r="F382" s="6">
        <f>IFERROR(__xludf.DUMMYFUNCTION("""COMPUTED_VALUE"""),120.0)</f>
        <v>120</v>
      </c>
      <c r="G382" s="6">
        <f>IFERROR(__xludf.DUMMYFUNCTION("""COMPUTED_VALUE"""),0.0)</f>
        <v>0</v>
      </c>
      <c r="H382" s="6" t="str">
        <f>IFERROR(__xludf.DUMMYFUNCTION("""COMPUTED_VALUE"""),"pcs")</f>
        <v>pcs</v>
      </c>
      <c r="I382" s="6" t="str">
        <f>IFERROR(__xludf.DUMMYFUNCTION("""COMPUTED_VALUE"""),"MFH")</f>
        <v>MFH</v>
      </c>
      <c r="J382" s="6" t="str">
        <f>IFERROR(__xludf.DUMMYFUNCTION("""COMPUTED_VALUE"""),"Water System")</f>
        <v>Water System</v>
      </c>
      <c r="K382" s="6" t="str">
        <f>IFERROR(__xludf.DUMMYFUNCTION("""COMPUTED_VALUE"""),"SPR/12/23/026")</f>
        <v>SPR/12/23/026</v>
      </c>
      <c r="L382" s="13">
        <f>IFERROR(__xludf.DUMMYFUNCTION("""COMPUTED_VALUE"""),45261.0)</f>
        <v>45261</v>
      </c>
    </row>
    <row r="383">
      <c r="A383" s="6" t="str">
        <f>IFERROR(__xludf.DUMMYFUNCTION("""COMPUTED_VALUE"""),"MFH")</f>
        <v>MFH</v>
      </c>
      <c r="B383" s="6" t="str">
        <f>IFERROR(__xludf.DUMMYFUNCTION("""COMPUTED_VALUE"""),"ENG")</f>
        <v>ENG</v>
      </c>
      <c r="C383" s="6" t="str">
        <f>IFERROR(__xludf.DUMMYFUNCTION("""COMPUTED_VALUE"""),"P-17290-00")</f>
        <v>P-17290-00</v>
      </c>
      <c r="D383" s="6" t="str">
        <f>IFERROR(__xludf.DUMMYFUNCTION("""COMPUTED_VALUE"""),"Filter Regulator; type AW20-02BG-C-A")</f>
        <v>Filter Regulator; type AW20-02BG-C-A</v>
      </c>
      <c r="E383" s="6">
        <f>IFERROR(__xludf.DUMMYFUNCTION("""COMPUTED_VALUE"""),2.0)</f>
        <v>2</v>
      </c>
      <c r="F383" s="6">
        <f>IFERROR(__xludf.DUMMYFUNCTION("""COMPUTED_VALUE"""),2.0)</f>
        <v>2</v>
      </c>
      <c r="G383" s="6">
        <f>IFERROR(__xludf.DUMMYFUNCTION("""COMPUTED_VALUE"""),0.0)</f>
        <v>0</v>
      </c>
      <c r="H383" s="6" t="str">
        <f>IFERROR(__xludf.DUMMYFUNCTION("""COMPUTED_VALUE"""),"pcs")</f>
        <v>pcs</v>
      </c>
      <c r="I383" s="6" t="str">
        <f>IFERROR(__xludf.DUMMYFUNCTION("""COMPUTED_VALUE"""),"MFH")</f>
        <v>MFH</v>
      </c>
      <c r="J383" s="6" t="str">
        <f>IFERROR(__xludf.DUMMYFUNCTION("""COMPUTED_VALUE"""),"AHU")</f>
        <v>AHU</v>
      </c>
      <c r="K383" s="6" t="str">
        <f>IFERROR(__xludf.DUMMYFUNCTION("""COMPUTED_VALUE"""),"SPR/12/23/027")</f>
        <v>SPR/12/23/027</v>
      </c>
      <c r="L383" s="13">
        <f>IFERROR(__xludf.DUMMYFUNCTION("""COMPUTED_VALUE"""),45261.0)</f>
        <v>45261</v>
      </c>
    </row>
    <row r="384">
      <c r="A384" s="6" t="str">
        <f>IFERROR(__xludf.DUMMYFUNCTION("""COMPUTED_VALUE"""),"MFH")</f>
        <v>MFH</v>
      </c>
      <c r="B384" s="6" t="str">
        <f>IFERROR(__xludf.DUMMYFUNCTION("""COMPUTED_VALUE"""),"ENG")</f>
        <v>ENG</v>
      </c>
      <c r="C384" s="6" t="str">
        <f>IFERROR(__xludf.DUMMYFUNCTION("""COMPUTED_VALUE"""),"P-52709-00")</f>
        <v>P-52709-00</v>
      </c>
      <c r="D384" s="6" t="str">
        <f>IFERROR(__xludf.DUMMYFUNCTION("""COMPUTED_VALUE"""),"Pressure Transmitter TPS30-G27AR2-00 AUTONICS")</f>
        <v>Pressure Transmitter TPS30-G27AR2-00 AUTONICS</v>
      </c>
      <c r="E384" s="6">
        <f>IFERROR(__xludf.DUMMYFUNCTION("""COMPUTED_VALUE"""),1.0)</f>
        <v>1</v>
      </c>
      <c r="F384" s="6">
        <f>IFERROR(__xludf.DUMMYFUNCTION("""COMPUTED_VALUE"""),1.0)</f>
        <v>1</v>
      </c>
      <c r="G384" s="6">
        <f>IFERROR(__xludf.DUMMYFUNCTION("""COMPUTED_VALUE"""),0.0)</f>
        <v>0</v>
      </c>
      <c r="H384" s="6" t="str">
        <f>IFERROR(__xludf.DUMMYFUNCTION("""COMPUTED_VALUE"""),"pcs")</f>
        <v>pcs</v>
      </c>
      <c r="I384" s="6" t="str">
        <f>IFERROR(__xludf.DUMMYFUNCTION("""COMPUTED_VALUE"""),"MFH")</f>
        <v>MFH</v>
      </c>
      <c r="J384" s="6" t="str">
        <f>IFERROR(__xludf.DUMMYFUNCTION("""COMPUTED_VALUE"""),"AHU")</f>
        <v>AHU</v>
      </c>
      <c r="K384" s="6" t="str">
        <f>IFERROR(__xludf.DUMMYFUNCTION("""COMPUTED_VALUE"""),"SPR/12/23/027")</f>
        <v>SPR/12/23/027</v>
      </c>
      <c r="L384" s="13">
        <f>IFERROR(__xludf.DUMMYFUNCTION("""COMPUTED_VALUE"""),45261.0)</f>
        <v>45261</v>
      </c>
    </row>
    <row r="385">
      <c r="A385" s="6" t="str">
        <f>IFERROR(__xludf.DUMMYFUNCTION("""COMPUTED_VALUE"""),"MFH")</f>
        <v>MFH</v>
      </c>
      <c r="B385" s="6" t="str">
        <f>IFERROR(__xludf.DUMMYFUNCTION("""COMPUTED_VALUE"""),"ENG")</f>
        <v>ENG</v>
      </c>
      <c r="C385" s="6" t="str">
        <f>IFERROR(__xludf.DUMMYFUNCTION("""COMPUTED_VALUE"""),"O-15492-00")</f>
        <v>O-15492-00</v>
      </c>
      <c r="D385" s="6" t="str">
        <f>IFERROR(__xludf.DUMMYFUNCTION("""COMPUTED_VALUE"""),"SPA 1132 Brand : Optibelt / Bando Merah - P/N : - pc")</f>
        <v>SPA 1132 Brand : Optibelt / Bando Merah - P/N : - pc</v>
      </c>
      <c r="E385" s="6">
        <f>IFERROR(__xludf.DUMMYFUNCTION("""COMPUTED_VALUE"""),3.0)</f>
        <v>3</v>
      </c>
      <c r="F385" s="6">
        <f>IFERROR(__xludf.DUMMYFUNCTION("""COMPUTED_VALUE"""),3.0)</f>
        <v>3</v>
      </c>
      <c r="G385" s="6">
        <f>IFERROR(__xludf.DUMMYFUNCTION("""COMPUTED_VALUE"""),0.0)</f>
        <v>0</v>
      </c>
      <c r="H385" s="6" t="str">
        <f>IFERROR(__xludf.DUMMYFUNCTION("""COMPUTED_VALUE"""),"pcs")</f>
        <v>pcs</v>
      </c>
      <c r="I385" s="6" t="str">
        <f>IFERROR(__xludf.DUMMYFUNCTION("""COMPUTED_VALUE"""),"MFH")</f>
        <v>MFH</v>
      </c>
      <c r="J385" s="6" t="str">
        <f>IFERROR(__xludf.DUMMYFUNCTION("""COMPUTED_VALUE"""),"-")</f>
        <v>-</v>
      </c>
      <c r="K385" s="6" t="str">
        <f>IFERROR(__xludf.DUMMYFUNCTION("""COMPUTED_VALUE"""),"SPR/12/23/028")</f>
        <v>SPR/12/23/028</v>
      </c>
      <c r="L385" s="13">
        <f>IFERROR(__xludf.DUMMYFUNCTION("""COMPUTED_VALUE"""),45261.0)</f>
        <v>45261</v>
      </c>
    </row>
    <row r="386">
      <c r="A386" s="6" t="str">
        <f>IFERROR(__xludf.DUMMYFUNCTION("""COMPUTED_VALUE"""),"MFH")</f>
        <v>MFH</v>
      </c>
      <c r="B386" s="6" t="str">
        <f>IFERROR(__xludf.DUMMYFUNCTION("""COMPUTED_VALUE"""),"ENG")</f>
        <v>ENG</v>
      </c>
      <c r="C386" s="6" t="str">
        <f>IFERROR(__xludf.DUMMYFUNCTION("""COMPUTED_VALUE"""),"O-15669-00")</f>
        <v>O-15669-00</v>
      </c>
      <c r="D386" s="6" t="str">
        <f>IFERROR(__xludf.DUMMYFUNCTION("""COMPUTED_VALUE"""),"STERILIZING CHAMBER HEATERS ;NO. 03 RIBBED HEATERS RCU - 1000W - 230VAC -50/60HZ MATERIAL AISI316/304, MECHANICAL DIMENSION:; LENGTH: 397 MM -CENTER DISTANCE: 50 MM HEATING BODY DIAMETER: 10 MM RIBBED")</f>
        <v>STERILIZING CHAMBER HEATERS ;NO. 03 RIBBED HEATERS RCU - 1000W - 230VAC -50/60HZ MATERIAL AISI316/304, MECHANICAL DIMENSION:; LENGTH: 397 MM -CENTER DISTANCE: 50 MM HEATING BODY DIAMETER: 10 MM RIBBED</v>
      </c>
      <c r="E386" s="6">
        <f>IFERROR(__xludf.DUMMYFUNCTION("""COMPUTED_VALUE"""),1.0)</f>
        <v>1</v>
      </c>
      <c r="F386" s="6">
        <f>IFERROR(__xludf.DUMMYFUNCTION("""COMPUTED_VALUE"""),1.0)</f>
        <v>1</v>
      </c>
      <c r="G386" s="6">
        <f>IFERROR(__xludf.DUMMYFUNCTION("""COMPUTED_VALUE"""),0.0)</f>
        <v>0</v>
      </c>
      <c r="H386" s="6" t="str">
        <f>IFERROR(__xludf.DUMMYFUNCTION("""COMPUTED_VALUE"""),"pcs")</f>
        <v>pcs</v>
      </c>
      <c r="I386" s="6" t="str">
        <f>IFERROR(__xludf.DUMMYFUNCTION("""COMPUTED_VALUE"""),"MFH")</f>
        <v>MFH</v>
      </c>
      <c r="J386" s="6" t="str">
        <f>IFERROR(__xludf.DUMMYFUNCTION("""COMPUTED_VALUE"""),"Capping")</f>
        <v>Capping</v>
      </c>
      <c r="K386" s="6" t="str">
        <f>IFERROR(__xludf.DUMMYFUNCTION("""COMPUTED_VALUE"""),"SPR/12/23/028")</f>
        <v>SPR/12/23/028</v>
      </c>
      <c r="L386" s="13">
        <f>IFERROR(__xludf.DUMMYFUNCTION("""COMPUTED_VALUE"""),45261.0)</f>
        <v>45261</v>
      </c>
    </row>
    <row r="387">
      <c r="A387" s="6" t="str">
        <f>IFERROR(__xludf.DUMMYFUNCTION("""COMPUTED_VALUE"""),"MFH")</f>
        <v>MFH</v>
      </c>
      <c r="B387" s="6" t="str">
        <f>IFERROR(__xludf.DUMMYFUNCTION("""COMPUTED_VALUE"""),"ENG")</f>
        <v>ENG</v>
      </c>
      <c r="C387" s="6" t="str">
        <f>IFERROR(__xludf.DUMMYFUNCTION("""COMPUTED_VALUE"""),"O-17313-00")</f>
        <v>O-17313-00</v>
      </c>
      <c r="D387" s="6" t="str">
        <f>IFERROR(__xludf.DUMMYFUNCTION("""COMPUTED_VALUE"""),"Breathing Circuit Filter BB50T")</f>
        <v>Breathing Circuit Filter BB50T</v>
      </c>
      <c r="E387" s="6">
        <f>IFERROR(__xludf.DUMMYFUNCTION("""COMPUTED_VALUE"""),1.0)</f>
        <v>1</v>
      </c>
      <c r="F387" s="6">
        <f>IFERROR(__xludf.DUMMYFUNCTION("""COMPUTED_VALUE"""),1.0)</f>
        <v>1</v>
      </c>
      <c r="G387" s="6">
        <f>IFERROR(__xludf.DUMMYFUNCTION("""COMPUTED_VALUE"""),0.0)</f>
        <v>0</v>
      </c>
      <c r="H387" s="6" t="str">
        <f>IFERROR(__xludf.DUMMYFUNCTION("""COMPUTED_VALUE"""),"pcs")</f>
        <v>pcs</v>
      </c>
      <c r="I387" s="6" t="str">
        <f>IFERROR(__xludf.DUMMYFUNCTION("""COMPUTED_VALUE"""),"MFH")</f>
        <v>MFH</v>
      </c>
      <c r="J387" s="6" t="str">
        <f>IFERROR(__xludf.DUMMYFUNCTION("""COMPUTED_VALUE"""),"lab")</f>
        <v>lab</v>
      </c>
      <c r="K387" s="6" t="str">
        <f>IFERROR(__xludf.DUMMYFUNCTION("""COMPUTED_VALUE"""),"SPR/12/23/028")</f>
        <v>SPR/12/23/028</v>
      </c>
      <c r="L387" s="13">
        <f>IFERROR(__xludf.DUMMYFUNCTION("""COMPUTED_VALUE"""),45261.0)</f>
        <v>45261</v>
      </c>
    </row>
    <row r="388">
      <c r="A388" s="6" t="str">
        <f>IFERROR(__xludf.DUMMYFUNCTION("""COMPUTED_VALUE"""),"MFH")</f>
        <v>MFH</v>
      </c>
      <c r="B388" s="6" t="str">
        <f>IFERROR(__xludf.DUMMYFUNCTION("""COMPUTED_VALUE"""),"ENG")</f>
        <v>ENG</v>
      </c>
      <c r="C388" s="6" t="str">
        <f>IFERROR(__xludf.DUMMYFUNCTION("""COMPUTED_VALUE"""),"O-15572-00")</f>
        <v>O-15572-00</v>
      </c>
      <c r="D388" s="6" t="str">
        <f>IFERROR(__xludf.DUMMYFUNCTION("""COMPUTED_VALUE"""),"CORDA TONDA IN NBR D=3MM; STERILINE ; PART NO :6829")</f>
        <v>CORDA TONDA IN NBR D=3MM; STERILINE ; PART NO :6829</v>
      </c>
      <c r="E388" s="6">
        <f>IFERROR(__xludf.DUMMYFUNCTION("""COMPUTED_VALUE"""),3.0)</f>
        <v>3</v>
      </c>
      <c r="F388" s="6">
        <f>IFERROR(__xludf.DUMMYFUNCTION("""COMPUTED_VALUE"""),3.0)</f>
        <v>3</v>
      </c>
      <c r="G388" s="6">
        <f>IFERROR(__xludf.DUMMYFUNCTION("""COMPUTED_VALUE"""),0.0)</f>
        <v>0</v>
      </c>
      <c r="H388" s="6" t="str">
        <f>IFERROR(__xludf.DUMMYFUNCTION("""COMPUTED_VALUE"""),"pcs")</f>
        <v>pcs</v>
      </c>
      <c r="I388" s="6" t="str">
        <f>IFERROR(__xludf.DUMMYFUNCTION("""COMPUTED_VALUE"""),"MFH")</f>
        <v>MFH</v>
      </c>
      <c r="J388" s="6" t="str">
        <f>IFERROR(__xludf.DUMMYFUNCTION("""COMPUTED_VALUE"""),"WASHING")</f>
        <v>WASHING</v>
      </c>
      <c r="K388" s="6" t="str">
        <f>IFERROR(__xludf.DUMMYFUNCTION("""COMPUTED_VALUE"""),"SPR/12/23/029")</f>
        <v>SPR/12/23/029</v>
      </c>
      <c r="L388" s="13">
        <f>IFERROR(__xludf.DUMMYFUNCTION("""COMPUTED_VALUE"""),45261.0)</f>
        <v>45261</v>
      </c>
    </row>
    <row r="389">
      <c r="A389" s="6" t="str">
        <f>IFERROR(__xludf.DUMMYFUNCTION("""COMPUTED_VALUE"""),"MFH")</f>
        <v>MFH</v>
      </c>
      <c r="B389" s="6" t="str">
        <f>IFERROR(__xludf.DUMMYFUNCTION("""COMPUTED_VALUE"""),"ENG")</f>
        <v>ENG</v>
      </c>
      <c r="C389" s="6" t="str">
        <f>IFERROR(__xludf.DUMMYFUNCTION("""COMPUTED_VALUE"""),"O-54115-00")</f>
        <v>O-54115-00</v>
      </c>
      <c r="D389" s="6" t="str">
        <f>IFERROR(__xludf.DUMMYFUNCTION("""COMPUTED_VALUE"""),"Fiber Amplifier -")</f>
        <v>Fiber Amplifier -</v>
      </c>
      <c r="E389" s="6">
        <f>IFERROR(__xludf.DUMMYFUNCTION("""COMPUTED_VALUE"""),2.0)</f>
        <v>2</v>
      </c>
      <c r="F389" s="6">
        <f>IFERROR(__xludf.DUMMYFUNCTION("""COMPUTED_VALUE"""),2.0)</f>
        <v>2</v>
      </c>
      <c r="G389" s="6">
        <f>IFERROR(__xludf.DUMMYFUNCTION("""COMPUTED_VALUE"""),0.0)</f>
        <v>0</v>
      </c>
      <c r="H389" s="6" t="str">
        <f>IFERROR(__xludf.DUMMYFUNCTION("""COMPUTED_VALUE"""),"pcs")</f>
        <v>pcs</v>
      </c>
      <c r="I389" s="6" t="str">
        <f>IFERROR(__xludf.DUMMYFUNCTION("""COMPUTED_VALUE"""),"MFH")</f>
        <v>MFH</v>
      </c>
      <c r="J389" s="6" t="str">
        <f>IFERROR(__xludf.DUMMYFUNCTION("""COMPUTED_VALUE"""),"Tunnel")</f>
        <v>Tunnel</v>
      </c>
      <c r="K389" s="6" t="str">
        <f>IFERROR(__xludf.DUMMYFUNCTION("""COMPUTED_VALUE"""),"SPR/12/23/029")</f>
        <v>SPR/12/23/029</v>
      </c>
      <c r="L389" s="13">
        <f>IFERROR(__xludf.DUMMYFUNCTION("""COMPUTED_VALUE"""),45261.0)</f>
        <v>45261</v>
      </c>
    </row>
    <row r="390">
      <c r="A390" s="6" t="str">
        <f>IFERROR(__xludf.DUMMYFUNCTION("""COMPUTED_VALUE"""),"MFH")</f>
        <v>MFH</v>
      </c>
      <c r="B390" s="6" t="str">
        <f>IFERROR(__xludf.DUMMYFUNCTION("""COMPUTED_VALUE"""),"ENG")</f>
        <v>ENG</v>
      </c>
      <c r="C390" s="6" t="str">
        <f>IFERROR(__xludf.DUMMYFUNCTION("""COMPUTED_VALUE"""),"O-16030-00")</f>
        <v>O-16030-00</v>
      </c>
      <c r="D390" s="6" t="str">
        <f>IFERROR(__xludf.DUMMYFUNCTION("""COMPUTED_VALUE"""),"001292; Item Type : Dry box; 9")</f>
        <v>001292; Item Type : Dry box; 9</v>
      </c>
      <c r="E390" s="6">
        <f>IFERROR(__xludf.DUMMYFUNCTION("""COMPUTED_VALUE"""),12.0)</f>
        <v>12</v>
      </c>
      <c r="F390" s="6">
        <f>IFERROR(__xludf.DUMMYFUNCTION("""COMPUTED_VALUE"""),12.0)</f>
        <v>12</v>
      </c>
      <c r="G390" s="6">
        <f>IFERROR(__xludf.DUMMYFUNCTION("""COMPUTED_VALUE"""),0.0)</f>
        <v>0</v>
      </c>
      <c r="H390" s="6" t="str">
        <f>IFERROR(__xludf.DUMMYFUNCTION("""COMPUTED_VALUE"""),"pcs")</f>
        <v>pcs</v>
      </c>
      <c r="I390" s="6" t="str">
        <f>IFERROR(__xludf.DUMMYFUNCTION("""COMPUTED_VALUE"""),"MFH")</f>
        <v>MFH</v>
      </c>
      <c r="J390" s="6" t="str">
        <f>IFERROR(__xludf.DUMMYFUNCTION("""COMPUTED_VALUE"""),"dispensing")</f>
        <v>dispensing</v>
      </c>
      <c r="K390" s="6" t="str">
        <f>IFERROR(__xludf.DUMMYFUNCTION("""COMPUTED_VALUE"""),"SPR/12/23/029")</f>
        <v>SPR/12/23/029</v>
      </c>
      <c r="L390" s="13">
        <f>IFERROR(__xludf.DUMMYFUNCTION("""COMPUTED_VALUE"""),45261.0)</f>
        <v>45261</v>
      </c>
    </row>
    <row r="391">
      <c r="A391" s="6" t="str">
        <f>IFERROR(__xludf.DUMMYFUNCTION("""COMPUTED_VALUE"""),"MFH")</f>
        <v>MFH</v>
      </c>
      <c r="B391" s="6" t="str">
        <f>IFERROR(__xludf.DUMMYFUNCTION("""COMPUTED_VALUE"""),"ENG")</f>
        <v>ENG</v>
      </c>
      <c r="C391" s="6" t="str">
        <f>IFERROR(__xludf.DUMMYFUNCTION("""COMPUTED_VALUE"""),"P-52791-00")</f>
        <v>P-52791-00</v>
      </c>
      <c r="D391" s="6" t="str">
        <f>IFERROR(__xludf.DUMMYFUNCTION("""COMPUTED_VALUE"""),"IC Components LTC2411IMS")</f>
        <v>IC Components LTC2411IMS</v>
      </c>
      <c r="E391" s="6">
        <f>IFERROR(__xludf.DUMMYFUNCTION("""COMPUTED_VALUE"""),1.0)</f>
        <v>1</v>
      </c>
      <c r="F391" s="6">
        <f>IFERROR(__xludf.DUMMYFUNCTION("""COMPUTED_VALUE"""),1.0)</f>
        <v>1</v>
      </c>
      <c r="G391" s="6">
        <f>IFERROR(__xludf.DUMMYFUNCTION("""COMPUTED_VALUE"""),0.0)</f>
        <v>0</v>
      </c>
      <c r="H391" s="6" t="str">
        <f>IFERROR(__xludf.DUMMYFUNCTION("""COMPUTED_VALUE"""),"pcs")</f>
        <v>pcs</v>
      </c>
      <c r="I391" s="6" t="str">
        <f>IFERROR(__xludf.DUMMYFUNCTION("""COMPUTED_VALUE"""),"MFH")</f>
        <v>MFH</v>
      </c>
      <c r="J391" s="6" t="str">
        <f>IFERROR(__xludf.DUMMYFUNCTION("""COMPUTED_VALUE"""),"FRIGo")</f>
        <v>FRIGo</v>
      </c>
      <c r="K391" s="6" t="str">
        <f>IFERROR(__xludf.DUMMYFUNCTION("""COMPUTED_VALUE"""),"SPR/12/23/030")</f>
        <v>SPR/12/23/030</v>
      </c>
      <c r="L391" s="13">
        <f>IFERROR(__xludf.DUMMYFUNCTION("""COMPUTED_VALUE"""),45261.0)</f>
        <v>45261</v>
      </c>
    </row>
    <row r="392">
      <c r="A392" s="6" t="str">
        <f>IFERROR(__xludf.DUMMYFUNCTION("""COMPUTED_VALUE"""),"MFH")</f>
        <v>MFH</v>
      </c>
      <c r="B392" s="6" t="str">
        <f>IFERROR(__xludf.DUMMYFUNCTION("""COMPUTED_VALUE"""),"ENG")</f>
        <v>ENG</v>
      </c>
      <c r="C392" s="6" t="str">
        <f>IFERROR(__xludf.DUMMYFUNCTION("""COMPUTED_VALUE"""),"O-18890-00")</f>
        <v>O-18890-00</v>
      </c>
      <c r="D392" s="6" t="str">
        <f>IFERROR(__xludf.DUMMYFUNCTION("""COMPUTED_VALUE"""),"Freeze Dryer MBE1207 - SV102 Valve body 032L1212(Replace the old model 032F1212) EVR6 3/8 Inch p/n:")</f>
        <v>Freeze Dryer MBE1207 - SV102 Valve body 032L1212(Replace the old model 032F1212) EVR6 3/8 Inch p/n:</v>
      </c>
      <c r="E392" s="6">
        <f>IFERROR(__xludf.DUMMYFUNCTION("""COMPUTED_VALUE"""),2.0)</f>
        <v>2</v>
      </c>
      <c r="F392" s="6">
        <f>IFERROR(__xludf.DUMMYFUNCTION("""COMPUTED_VALUE"""),2.0)</f>
        <v>2</v>
      </c>
      <c r="G392" s="6">
        <f>IFERROR(__xludf.DUMMYFUNCTION("""COMPUTED_VALUE"""),0.0)</f>
        <v>0</v>
      </c>
      <c r="H392" s="6" t="str">
        <f>IFERROR(__xludf.DUMMYFUNCTION("""COMPUTED_VALUE"""),"pcs")</f>
        <v>pcs</v>
      </c>
      <c r="I392" s="6" t="str">
        <f>IFERROR(__xludf.DUMMYFUNCTION("""COMPUTED_VALUE"""),"MFH")</f>
        <v>MFH</v>
      </c>
      <c r="J392" s="6" t="str">
        <f>IFERROR(__xludf.DUMMYFUNCTION("""COMPUTED_VALUE"""),"FD IMA")</f>
        <v>FD IMA</v>
      </c>
      <c r="K392" s="6" t="str">
        <f>IFERROR(__xludf.DUMMYFUNCTION("""COMPUTED_VALUE"""),"SPR/12/23/030")</f>
        <v>SPR/12/23/030</v>
      </c>
      <c r="L392" s="13">
        <f>IFERROR(__xludf.DUMMYFUNCTION("""COMPUTED_VALUE"""),45261.0)</f>
        <v>45261</v>
      </c>
    </row>
    <row r="393">
      <c r="A393" s="6" t="str">
        <f>IFERROR(__xludf.DUMMYFUNCTION("""COMPUTED_VALUE"""),"MFH")</f>
        <v>MFH</v>
      </c>
      <c r="B393" s="6" t="str">
        <f>IFERROR(__xludf.DUMMYFUNCTION("""COMPUTED_VALUE"""),"ENG")</f>
        <v>ENG</v>
      </c>
      <c r="C393" s="6" t="str">
        <f>IFERROR(__xludf.DUMMYFUNCTION("""COMPUTED_VALUE"""),"O-52269-00")</f>
        <v>O-52269-00</v>
      </c>
      <c r="D393" s="6" t="str">
        <f>IFERROR(__xludf.DUMMYFUNCTION("""COMPUTED_VALUE"""),"Selenoid Valve 2 Way Brass, 24VDC, 1/2 inch")</f>
        <v>Selenoid Valve 2 Way Brass, 24VDC, 1/2 inch</v>
      </c>
      <c r="E393" s="6">
        <f>IFERROR(__xludf.DUMMYFUNCTION("""COMPUTED_VALUE"""),1.0)</f>
        <v>1</v>
      </c>
      <c r="F393" s="6">
        <f>IFERROR(__xludf.DUMMYFUNCTION("""COMPUTED_VALUE"""),1.0)</f>
        <v>1</v>
      </c>
      <c r="G393" s="6">
        <f>IFERROR(__xludf.DUMMYFUNCTION("""COMPUTED_VALUE"""),0.0)</f>
        <v>0</v>
      </c>
      <c r="H393" s="6" t="str">
        <f>IFERROR(__xludf.DUMMYFUNCTION("""COMPUTED_VALUE"""),"pcs")</f>
        <v>pcs</v>
      </c>
      <c r="I393" s="6" t="str">
        <f>IFERROR(__xludf.DUMMYFUNCTION("""COMPUTED_VALUE"""),"MFH")</f>
        <v>MFH</v>
      </c>
      <c r="J393" s="6" t="str">
        <f>IFERROR(__xludf.DUMMYFUNCTION("""COMPUTED_VALUE"""),"FD IMA")</f>
        <v>FD IMA</v>
      </c>
      <c r="K393" s="6" t="str">
        <f>IFERROR(__xludf.DUMMYFUNCTION("""COMPUTED_VALUE"""),"SPR/12/23/030")</f>
        <v>SPR/12/23/030</v>
      </c>
      <c r="L393" s="13">
        <f>IFERROR(__xludf.DUMMYFUNCTION("""COMPUTED_VALUE"""),45261.0)</f>
        <v>45261</v>
      </c>
    </row>
    <row r="394">
      <c r="A394" s="6" t="str">
        <f>IFERROR(__xludf.DUMMYFUNCTION("""COMPUTED_VALUE"""),"MFH")</f>
        <v>MFH</v>
      </c>
      <c r="B394" s="6" t="str">
        <f>IFERROR(__xludf.DUMMYFUNCTION("""COMPUTED_VALUE"""),"ENG")</f>
        <v>ENG</v>
      </c>
      <c r="C394" s="6" t="str">
        <f>IFERROR(__xludf.DUMMYFUNCTION("""COMPUTED_VALUE"""),"O-18967-00")</f>
        <v>O-18967-00</v>
      </c>
      <c r="D394" s="6" t="str">
        <f>IFERROR(__xludf.DUMMYFUNCTION("""COMPUTED_VALUE"""),"Capping VCM200 - Washer A")</f>
        <v>Capping VCM200 - Washer A</v>
      </c>
      <c r="E394" s="6">
        <f>IFERROR(__xludf.DUMMYFUNCTION("""COMPUTED_VALUE"""),10.0)</f>
        <v>10</v>
      </c>
      <c r="F394" s="6">
        <f>IFERROR(__xludf.DUMMYFUNCTION("""COMPUTED_VALUE"""),10.0)</f>
        <v>10</v>
      </c>
      <c r="G394" s="6">
        <f>IFERROR(__xludf.DUMMYFUNCTION("""COMPUTED_VALUE"""),0.0)</f>
        <v>0</v>
      </c>
      <c r="H394" s="6" t="str">
        <f>IFERROR(__xludf.DUMMYFUNCTION("""COMPUTED_VALUE"""),"pcs")</f>
        <v>pcs</v>
      </c>
      <c r="I394" s="6" t="str">
        <f>IFERROR(__xludf.DUMMYFUNCTION("""COMPUTED_VALUE"""),"MFH")</f>
        <v>MFH</v>
      </c>
      <c r="J394" s="6" t="str">
        <f>IFERROR(__xludf.DUMMYFUNCTION("""COMPUTED_VALUE"""),"Capping")</f>
        <v>Capping</v>
      </c>
      <c r="K394" s="6" t="str">
        <f>IFERROR(__xludf.DUMMYFUNCTION("""COMPUTED_VALUE"""),"SPR/12/23/031")</f>
        <v>SPR/12/23/031</v>
      </c>
      <c r="L394" s="13">
        <f>IFERROR(__xludf.DUMMYFUNCTION("""COMPUTED_VALUE"""),45261.0)</f>
        <v>45261</v>
      </c>
    </row>
    <row r="395">
      <c r="A395" s="6" t="str">
        <f>IFERROR(__xludf.DUMMYFUNCTION("""COMPUTED_VALUE"""),"MFH")</f>
        <v>MFH</v>
      </c>
      <c r="B395" s="6" t="str">
        <f>IFERROR(__xludf.DUMMYFUNCTION("""COMPUTED_VALUE"""),"ENG")</f>
        <v>ENG</v>
      </c>
      <c r="C395" s="6" t="str">
        <f>IFERROR(__xludf.DUMMYFUNCTION("""COMPUTED_VALUE"""),"O-18120-00")</f>
        <v>O-18120-00</v>
      </c>
      <c r="D395" s="6" t="str">
        <f>IFERROR(__xludf.DUMMYFUNCTION("""COMPUTED_VALUE"""),"Capping VCM200 - Lock Nut Cramping")</f>
        <v>Capping VCM200 - Lock Nut Cramping</v>
      </c>
      <c r="E395" s="6">
        <f>IFERROR(__xludf.DUMMYFUNCTION("""COMPUTED_VALUE"""),10.0)</f>
        <v>10</v>
      </c>
      <c r="F395" s="6">
        <f>IFERROR(__xludf.DUMMYFUNCTION("""COMPUTED_VALUE"""),10.0)</f>
        <v>10</v>
      </c>
      <c r="G395" s="6">
        <f>IFERROR(__xludf.DUMMYFUNCTION("""COMPUTED_VALUE"""),0.0)</f>
        <v>0</v>
      </c>
      <c r="H395" s="6" t="str">
        <f>IFERROR(__xludf.DUMMYFUNCTION("""COMPUTED_VALUE"""),"pcs")</f>
        <v>pcs</v>
      </c>
      <c r="I395" s="6" t="str">
        <f>IFERROR(__xludf.DUMMYFUNCTION("""COMPUTED_VALUE"""),"MFH")</f>
        <v>MFH</v>
      </c>
      <c r="J395" s="6" t="str">
        <f>IFERROR(__xludf.DUMMYFUNCTION("""COMPUTED_VALUE"""),"Capping")</f>
        <v>Capping</v>
      </c>
      <c r="K395" s="6" t="str">
        <f>IFERROR(__xludf.DUMMYFUNCTION("""COMPUTED_VALUE"""),"SPR/12/23/031")</f>
        <v>SPR/12/23/031</v>
      </c>
      <c r="L395" s="13">
        <f>IFERROR(__xludf.DUMMYFUNCTION("""COMPUTED_VALUE"""),45261.0)</f>
        <v>45261</v>
      </c>
    </row>
    <row r="396">
      <c r="A396" s="6" t="str">
        <f>IFERROR(__xludf.DUMMYFUNCTION("""COMPUTED_VALUE"""),"MFH")</f>
        <v>MFH</v>
      </c>
      <c r="B396" s="6" t="str">
        <f>IFERROR(__xludf.DUMMYFUNCTION("""COMPUTED_VALUE"""),"ENG")</f>
        <v>ENG</v>
      </c>
      <c r="C396" s="6" t="str">
        <f>IFERROR(__xludf.DUMMYFUNCTION("""COMPUTED_VALUE"""),"O-18964-00")</f>
        <v>O-18964-00</v>
      </c>
      <c r="D396" s="6" t="str">
        <f>IFERROR(__xludf.DUMMYFUNCTION("""COMPUTED_VALUE"""),"Capping VCM200 - Holder")</f>
        <v>Capping VCM200 - Holder</v>
      </c>
      <c r="E396" s="6">
        <f>IFERROR(__xludf.DUMMYFUNCTION("""COMPUTED_VALUE"""),10.0)</f>
        <v>10</v>
      </c>
      <c r="F396" s="6">
        <f>IFERROR(__xludf.DUMMYFUNCTION("""COMPUTED_VALUE"""),10.0)</f>
        <v>10</v>
      </c>
      <c r="G396" s="6">
        <f>IFERROR(__xludf.DUMMYFUNCTION("""COMPUTED_VALUE"""),0.0)</f>
        <v>0</v>
      </c>
      <c r="H396" s="6" t="str">
        <f>IFERROR(__xludf.DUMMYFUNCTION("""COMPUTED_VALUE"""),"pcs")</f>
        <v>pcs</v>
      </c>
      <c r="I396" s="6" t="str">
        <f>IFERROR(__xludf.DUMMYFUNCTION("""COMPUTED_VALUE"""),"MFH")</f>
        <v>MFH</v>
      </c>
      <c r="J396" s="6" t="str">
        <f>IFERROR(__xludf.DUMMYFUNCTION("""COMPUTED_VALUE"""),"Capping")</f>
        <v>Capping</v>
      </c>
      <c r="K396" s="6" t="str">
        <f>IFERROR(__xludf.DUMMYFUNCTION("""COMPUTED_VALUE"""),"SPR/12/23/031")</f>
        <v>SPR/12/23/031</v>
      </c>
      <c r="L396" s="13">
        <f>IFERROR(__xludf.DUMMYFUNCTION("""COMPUTED_VALUE"""),45261.0)</f>
        <v>45261</v>
      </c>
    </row>
    <row r="397">
      <c r="A397" s="6" t="str">
        <f>IFERROR(__xludf.DUMMYFUNCTION("""COMPUTED_VALUE"""),"MFH")</f>
        <v>MFH</v>
      </c>
      <c r="B397" s="6" t="str">
        <f>IFERROR(__xludf.DUMMYFUNCTION("""COMPUTED_VALUE"""),"ENG")</f>
        <v>ENG</v>
      </c>
      <c r="C397" s="6" t="str">
        <f>IFERROR(__xludf.DUMMYFUNCTION("""COMPUTED_VALUE"""),"P-18620-00")</f>
        <v>P-18620-00</v>
      </c>
      <c r="D397" s="6" t="str">
        <f>IFERROR(__xludf.DUMMYFUNCTION("""COMPUTED_VALUE"""),"Filling VFM100 - Piringan Loadcell Material SUS304")</f>
        <v>Filling VFM100 - Piringan Loadcell Material SUS304</v>
      </c>
      <c r="E397" s="6">
        <f>IFERROR(__xludf.DUMMYFUNCTION("""COMPUTED_VALUE"""),4.0)</f>
        <v>4</v>
      </c>
      <c r="F397" s="6">
        <f>IFERROR(__xludf.DUMMYFUNCTION("""COMPUTED_VALUE"""),4.0)</f>
        <v>4</v>
      </c>
      <c r="G397" s="6">
        <f>IFERROR(__xludf.DUMMYFUNCTION("""COMPUTED_VALUE"""),0.0)</f>
        <v>0</v>
      </c>
      <c r="H397" s="6" t="str">
        <f>IFERROR(__xludf.DUMMYFUNCTION("""COMPUTED_VALUE"""),"pcs")</f>
        <v>pcs</v>
      </c>
      <c r="I397" s="6" t="str">
        <f>IFERROR(__xludf.DUMMYFUNCTION("""COMPUTED_VALUE"""),"MFH")</f>
        <v>MFH</v>
      </c>
      <c r="J397" s="6" t="str">
        <f>IFERROR(__xludf.DUMMYFUNCTION("""COMPUTED_VALUE"""),"Filling")</f>
        <v>Filling</v>
      </c>
      <c r="K397" s="6" t="str">
        <f>IFERROR(__xludf.DUMMYFUNCTION("""COMPUTED_VALUE"""),"SPR/12/23/032")</f>
        <v>SPR/12/23/032</v>
      </c>
      <c r="L397" s="13">
        <f>IFERROR(__xludf.DUMMYFUNCTION("""COMPUTED_VALUE"""),45261.0)</f>
        <v>45261</v>
      </c>
    </row>
    <row r="398">
      <c r="A398" s="6" t="str">
        <f>IFERROR(__xludf.DUMMYFUNCTION("""COMPUTED_VALUE"""),"MFH")</f>
        <v>MFH</v>
      </c>
      <c r="B398" s="6" t="str">
        <f>IFERROR(__xludf.DUMMYFUNCTION("""COMPUTED_VALUE"""),"ENG")</f>
        <v>ENG</v>
      </c>
      <c r="C398" s="6" t="str">
        <f>IFERROR(__xludf.DUMMYFUNCTION("""COMPUTED_VALUE"""),"O-50994-00")</f>
        <v>O-50994-00</v>
      </c>
      <c r="D398" s="6" t="str">
        <f>IFERROR(__xludf.DUMMYFUNCTION("""COMPUTED_VALUE"""),"Battery kering 12V 7,2AH")</f>
        <v>Battery kering 12V 7,2AH</v>
      </c>
      <c r="E398" s="6">
        <f>IFERROR(__xludf.DUMMYFUNCTION("""COMPUTED_VALUE"""),4.0)</f>
        <v>4</v>
      </c>
      <c r="F398" s="6">
        <f>IFERROR(__xludf.DUMMYFUNCTION("""COMPUTED_VALUE"""),4.0)</f>
        <v>4</v>
      </c>
      <c r="G398" s="6">
        <f>IFERROR(__xludf.DUMMYFUNCTION("""COMPUTED_VALUE"""),0.0)</f>
        <v>0</v>
      </c>
      <c r="H398" s="6" t="str">
        <f>IFERROR(__xludf.DUMMYFUNCTION("""COMPUTED_VALUE"""),"pcs")</f>
        <v>pcs</v>
      </c>
      <c r="I398" s="6" t="str">
        <f>IFERROR(__xludf.DUMMYFUNCTION("""COMPUTED_VALUE"""),"MFH")</f>
        <v>MFH</v>
      </c>
      <c r="J398" s="6" t="str">
        <f>IFERROR(__xludf.DUMMYFUNCTION("""COMPUTED_VALUE"""),"Filling")</f>
        <v>Filling</v>
      </c>
      <c r="K398" s="6" t="str">
        <f>IFERROR(__xludf.DUMMYFUNCTION("""COMPUTED_VALUE"""),"SPR/12/23/032")</f>
        <v>SPR/12/23/032</v>
      </c>
      <c r="L398" s="13">
        <f>IFERROR(__xludf.DUMMYFUNCTION("""COMPUTED_VALUE"""),45261.0)</f>
        <v>45261</v>
      </c>
    </row>
    <row r="399">
      <c r="A399" s="6" t="str">
        <f>IFERROR(__xludf.DUMMYFUNCTION("""COMPUTED_VALUE"""),"MFH")</f>
        <v>MFH</v>
      </c>
      <c r="B399" s="6" t="str">
        <f>IFERROR(__xludf.DUMMYFUNCTION("""COMPUTED_VALUE"""),"ENG")</f>
        <v>ENG</v>
      </c>
      <c r="C399" s="6" t="str">
        <f>IFERROR(__xludf.DUMMYFUNCTION("""COMPUTED_VALUE"""),"O-18962-00")</f>
        <v>O-18962-00</v>
      </c>
      <c r="D399" s="6" t="str">
        <f>IFERROR(__xludf.DUMMYFUNCTION("""COMPUTED_VALUE"""),"Capping VCM200 - Adjuster Screw Blade")</f>
        <v>Capping VCM200 - Adjuster Screw Blade</v>
      </c>
      <c r="E399" s="6">
        <f>IFERROR(__xludf.DUMMYFUNCTION("""COMPUTED_VALUE"""),10.0)</f>
        <v>10</v>
      </c>
      <c r="F399" s="6">
        <f>IFERROR(__xludf.DUMMYFUNCTION("""COMPUTED_VALUE"""),10.0)</f>
        <v>10</v>
      </c>
      <c r="G399" s="6">
        <f>IFERROR(__xludf.DUMMYFUNCTION("""COMPUTED_VALUE"""),0.0)</f>
        <v>0</v>
      </c>
      <c r="H399" s="6" t="str">
        <f>IFERROR(__xludf.DUMMYFUNCTION("""COMPUTED_VALUE"""),"pcs")</f>
        <v>pcs</v>
      </c>
      <c r="I399" s="6" t="str">
        <f>IFERROR(__xludf.DUMMYFUNCTION("""COMPUTED_VALUE"""),"MFH")</f>
        <v>MFH</v>
      </c>
      <c r="J399" s="6" t="str">
        <f>IFERROR(__xludf.DUMMYFUNCTION("""COMPUTED_VALUE"""),"Capping")</f>
        <v>Capping</v>
      </c>
      <c r="K399" s="6" t="str">
        <f>IFERROR(__xludf.DUMMYFUNCTION("""COMPUTED_VALUE"""),"SPR/12/23/033")</f>
        <v>SPR/12/23/033</v>
      </c>
      <c r="L399" s="13">
        <f>IFERROR(__xludf.DUMMYFUNCTION("""COMPUTED_VALUE"""),45261.0)</f>
        <v>45261</v>
      </c>
    </row>
    <row r="400">
      <c r="A400" s="6" t="str">
        <f>IFERROR(__xludf.DUMMYFUNCTION("""COMPUTED_VALUE"""),"MFH")</f>
        <v>MFH</v>
      </c>
      <c r="B400" s="6" t="str">
        <f>IFERROR(__xludf.DUMMYFUNCTION("""COMPUTED_VALUE"""),"ENG")</f>
        <v>ENG</v>
      </c>
      <c r="C400" s="6" t="str">
        <f>IFERROR(__xludf.DUMMYFUNCTION("""COMPUTED_VALUE"""),"O-18963-00")</f>
        <v>O-18963-00</v>
      </c>
      <c r="D400" s="6" t="str">
        <f>IFERROR(__xludf.DUMMYFUNCTION("""COMPUTED_VALUE"""),"Capping VCM200 - Clamp Holder")</f>
        <v>Capping VCM200 - Clamp Holder</v>
      </c>
      <c r="E400" s="6">
        <f>IFERROR(__xludf.DUMMYFUNCTION("""COMPUTED_VALUE"""),10.0)</f>
        <v>10</v>
      </c>
      <c r="F400" s="6">
        <f>IFERROR(__xludf.DUMMYFUNCTION("""COMPUTED_VALUE"""),10.0)</f>
        <v>10</v>
      </c>
      <c r="G400" s="6">
        <f>IFERROR(__xludf.DUMMYFUNCTION("""COMPUTED_VALUE"""),0.0)</f>
        <v>0</v>
      </c>
      <c r="H400" s="6" t="str">
        <f>IFERROR(__xludf.DUMMYFUNCTION("""COMPUTED_VALUE"""),"pcs")</f>
        <v>pcs</v>
      </c>
      <c r="I400" s="6" t="str">
        <f>IFERROR(__xludf.DUMMYFUNCTION("""COMPUTED_VALUE"""),"MFH")</f>
        <v>MFH</v>
      </c>
      <c r="J400" s="6" t="str">
        <f>IFERROR(__xludf.DUMMYFUNCTION("""COMPUTED_VALUE"""),"Capping")</f>
        <v>Capping</v>
      </c>
      <c r="K400" s="6" t="str">
        <f>IFERROR(__xludf.DUMMYFUNCTION("""COMPUTED_VALUE"""),"SPR/12/23/033")</f>
        <v>SPR/12/23/033</v>
      </c>
      <c r="L400" s="13">
        <f>IFERROR(__xludf.DUMMYFUNCTION("""COMPUTED_VALUE"""),45261.0)</f>
        <v>45261</v>
      </c>
    </row>
    <row r="401">
      <c r="A401" s="6" t="str">
        <f>IFERROR(__xludf.DUMMYFUNCTION("""COMPUTED_VALUE"""),"MFH")</f>
        <v>MFH</v>
      </c>
      <c r="B401" s="6" t="str">
        <f>IFERROR(__xludf.DUMMYFUNCTION("""COMPUTED_VALUE"""),"ENG")</f>
        <v>ENG</v>
      </c>
      <c r="C401" s="6" t="str">
        <f>IFERROR(__xludf.DUMMYFUNCTION("""COMPUTED_VALUE"""),"O-18965-00")</f>
        <v>O-18965-00</v>
      </c>
      <c r="D401" s="6" t="str">
        <f>IFERROR(__xludf.DUMMYFUNCTION("""COMPUTED_VALUE"""),"Capping VCM200 - Spring Head")</f>
        <v>Capping VCM200 - Spring Head</v>
      </c>
      <c r="E401" s="6">
        <f>IFERROR(__xludf.DUMMYFUNCTION("""COMPUTED_VALUE"""),10.0)</f>
        <v>10</v>
      </c>
      <c r="F401" s="6">
        <f>IFERROR(__xludf.DUMMYFUNCTION("""COMPUTED_VALUE"""),10.0)</f>
        <v>10</v>
      </c>
      <c r="G401" s="6">
        <f>IFERROR(__xludf.DUMMYFUNCTION("""COMPUTED_VALUE"""),0.0)</f>
        <v>0</v>
      </c>
      <c r="H401" s="6" t="str">
        <f>IFERROR(__xludf.DUMMYFUNCTION("""COMPUTED_VALUE"""),"pcs")</f>
        <v>pcs</v>
      </c>
      <c r="I401" s="6" t="str">
        <f>IFERROR(__xludf.DUMMYFUNCTION("""COMPUTED_VALUE"""),"MFH")</f>
        <v>MFH</v>
      </c>
      <c r="J401" s="6" t="str">
        <f>IFERROR(__xludf.DUMMYFUNCTION("""COMPUTED_VALUE"""),"Capping")</f>
        <v>Capping</v>
      </c>
      <c r="K401" s="6" t="str">
        <f>IFERROR(__xludf.DUMMYFUNCTION("""COMPUTED_VALUE"""),"SPR/12/23/033")</f>
        <v>SPR/12/23/033</v>
      </c>
      <c r="L401" s="13">
        <f>IFERROR(__xludf.DUMMYFUNCTION("""COMPUTED_VALUE"""),45261.0)</f>
        <v>45261</v>
      </c>
    </row>
    <row r="402">
      <c r="A402" s="6" t="str">
        <f>IFERROR(__xludf.DUMMYFUNCTION("""COMPUTED_VALUE"""),"MFH")</f>
        <v>MFH</v>
      </c>
      <c r="B402" s="6" t="str">
        <f>IFERROR(__xludf.DUMMYFUNCTION("""COMPUTED_VALUE"""),"ENG")</f>
        <v>ENG</v>
      </c>
      <c r="C402" s="6" t="str">
        <f>IFERROR(__xludf.DUMMYFUNCTION("""COMPUTED_VALUE"""),"O-18966-00")</f>
        <v>O-18966-00</v>
      </c>
      <c r="D402" s="6" t="str">
        <f>IFERROR(__xludf.DUMMYFUNCTION("""COMPUTED_VALUE"""),"Capping VCM200 - Ring Washer")</f>
        <v>Capping VCM200 - Ring Washer</v>
      </c>
      <c r="E402" s="6">
        <f>IFERROR(__xludf.DUMMYFUNCTION("""COMPUTED_VALUE"""),10.0)</f>
        <v>10</v>
      </c>
      <c r="F402" s="6">
        <f>IFERROR(__xludf.DUMMYFUNCTION("""COMPUTED_VALUE"""),10.0)</f>
        <v>10</v>
      </c>
      <c r="G402" s="6">
        <f>IFERROR(__xludf.DUMMYFUNCTION("""COMPUTED_VALUE"""),0.0)</f>
        <v>0</v>
      </c>
      <c r="H402" s="6" t="str">
        <f>IFERROR(__xludf.DUMMYFUNCTION("""COMPUTED_VALUE"""),"pcs")</f>
        <v>pcs</v>
      </c>
      <c r="I402" s="6" t="str">
        <f>IFERROR(__xludf.DUMMYFUNCTION("""COMPUTED_VALUE"""),"MFH")</f>
        <v>MFH</v>
      </c>
      <c r="J402" s="6" t="str">
        <f>IFERROR(__xludf.DUMMYFUNCTION("""COMPUTED_VALUE"""),"Capping")</f>
        <v>Capping</v>
      </c>
      <c r="K402" s="6" t="str">
        <f>IFERROR(__xludf.DUMMYFUNCTION("""COMPUTED_VALUE"""),"SPR/12/23/034")</f>
        <v>SPR/12/23/034</v>
      </c>
      <c r="L402" s="13">
        <f>IFERROR(__xludf.DUMMYFUNCTION("""COMPUTED_VALUE"""),45261.0)</f>
        <v>45261</v>
      </c>
    </row>
    <row r="403">
      <c r="A403" s="6" t="str">
        <f>IFERROR(__xludf.DUMMYFUNCTION("""COMPUTED_VALUE"""),"MFH")</f>
        <v>MFH</v>
      </c>
      <c r="B403" s="6" t="str">
        <f>IFERROR(__xludf.DUMMYFUNCTION("""COMPUTED_VALUE"""),"ENG")</f>
        <v>ENG</v>
      </c>
      <c r="C403" s="6" t="str">
        <f>IFERROR(__xludf.DUMMYFUNCTION("""COMPUTED_VALUE"""),"O-18968-00")</f>
        <v>O-18968-00</v>
      </c>
      <c r="D403" s="6" t="str">
        <f>IFERROR(__xludf.DUMMYFUNCTION("""COMPUTED_VALUE"""),"Capping VCM200 - Washer B")</f>
        <v>Capping VCM200 - Washer B</v>
      </c>
      <c r="E403" s="6">
        <f>IFERROR(__xludf.DUMMYFUNCTION("""COMPUTED_VALUE"""),10.0)</f>
        <v>10</v>
      </c>
      <c r="F403" s="6">
        <f>IFERROR(__xludf.DUMMYFUNCTION("""COMPUTED_VALUE"""),10.0)</f>
        <v>10</v>
      </c>
      <c r="G403" s="6">
        <f>IFERROR(__xludf.DUMMYFUNCTION("""COMPUTED_VALUE"""),0.0)</f>
        <v>0</v>
      </c>
      <c r="H403" s="6" t="str">
        <f>IFERROR(__xludf.DUMMYFUNCTION("""COMPUTED_VALUE"""),"pcs")</f>
        <v>pcs</v>
      </c>
      <c r="I403" s="6" t="str">
        <f>IFERROR(__xludf.DUMMYFUNCTION("""COMPUTED_VALUE"""),"MFH")</f>
        <v>MFH</v>
      </c>
      <c r="J403" s="6" t="str">
        <f>IFERROR(__xludf.DUMMYFUNCTION("""COMPUTED_VALUE"""),"Capping")</f>
        <v>Capping</v>
      </c>
      <c r="K403" s="6" t="str">
        <f>IFERROR(__xludf.DUMMYFUNCTION("""COMPUTED_VALUE"""),"SPR/12/23/034")</f>
        <v>SPR/12/23/034</v>
      </c>
      <c r="L403" s="13">
        <f>IFERROR(__xludf.DUMMYFUNCTION("""COMPUTED_VALUE"""),45261.0)</f>
        <v>45261</v>
      </c>
    </row>
    <row r="404">
      <c r="A404" s="6" t="str">
        <f>IFERROR(__xludf.DUMMYFUNCTION("""COMPUTED_VALUE"""),"MFH")</f>
        <v>MFH</v>
      </c>
      <c r="B404" s="6" t="str">
        <f>IFERROR(__xludf.DUMMYFUNCTION("""COMPUTED_VALUE"""),"ENG")</f>
        <v>ENG</v>
      </c>
      <c r="C404" s="6" t="str">
        <f>IFERROR(__xludf.DUMMYFUNCTION("""COMPUTED_VALUE"""),"P-51756-00")</f>
        <v>P-51756-00</v>
      </c>
      <c r="D404" s="6" t="str">
        <f>IFERROR(__xludf.DUMMYFUNCTION("""COMPUTED_VALUE"""),"Kabel NYYHY 3x0.75mm")</f>
        <v>Kabel NYYHY 3x0.75mm</v>
      </c>
      <c r="E404" s="6">
        <f>IFERROR(__xludf.DUMMYFUNCTION("""COMPUTED_VALUE"""),35.0)</f>
        <v>35</v>
      </c>
      <c r="F404" s="6">
        <f>IFERROR(__xludf.DUMMYFUNCTION("""COMPUTED_VALUE"""),35.0)</f>
        <v>35</v>
      </c>
      <c r="G404" s="6">
        <f>IFERROR(__xludf.DUMMYFUNCTION("""COMPUTED_VALUE"""),0.0)</f>
        <v>0</v>
      </c>
      <c r="H404" s="6" t="str">
        <f>IFERROR(__xludf.DUMMYFUNCTION("""COMPUTED_VALUE"""),"pcs")</f>
        <v>pcs</v>
      </c>
      <c r="I404" s="6" t="str">
        <f>IFERROR(__xludf.DUMMYFUNCTION("""COMPUTED_VALUE"""),"MFH")</f>
        <v>MFH</v>
      </c>
      <c r="J404" s="6" t="str">
        <f>IFERROR(__xludf.DUMMYFUNCTION("""COMPUTED_VALUE"""),"Capping")</f>
        <v>Capping</v>
      </c>
      <c r="K404" s="6" t="str">
        <f>IFERROR(__xludf.DUMMYFUNCTION("""COMPUTED_VALUE"""),"SPR/12/23/034")</f>
        <v>SPR/12/23/034</v>
      </c>
      <c r="L404" s="13">
        <f>IFERROR(__xludf.DUMMYFUNCTION("""COMPUTED_VALUE"""),45261.0)</f>
        <v>45261</v>
      </c>
    </row>
    <row r="405">
      <c r="A405" s="6" t="str">
        <f>IFERROR(__xludf.DUMMYFUNCTION("""COMPUTED_VALUE"""),"MFH")</f>
        <v>MFH</v>
      </c>
      <c r="B405" s="6" t="str">
        <f>IFERROR(__xludf.DUMMYFUNCTION("""COMPUTED_VALUE"""),"ENG")</f>
        <v>ENG</v>
      </c>
      <c r="C405" s="6" t="str">
        <f>IFERROR(__xludf.DUMMYFUNCTION("""COMPUTED_VALUE"""),"O-19003-00")</f>
        <v>O-19003-00</v>
      </c>
      <c r="D405" s="6" t="str">
        <f>IFERROR(__xludf.DUMMYFUNCTION("""COMPUTED_VALUE"""),"Misumi - Oil Free Bush JZF8-6")</f>
        <v>Misumi - Oil Free Bush JZF8-6</v>
      </c>
      <c r="E405" s="6">
        <f>IFERROR(__xludf.DUMMYFUNCTION("""COMPUTED_VALUE"""),20.0)</f>
        <v>20</v>
      </c>
      <c r="F405" s="6">
        <f>IFERROR(__xludf.DUMMYFUNCTION("""COMPUTED_VALUE"""),20.0)</f>
        <v>20</v>
      </c>
      <c r="G405" s="6">
        <f>IFERROR(__xludf.DUMMYFUNCTION("""COMPUTED_VALUE"""),0.0)</f>
        <v>0</v>
      </c>
      <c r="H405" s="6" t="str">
        <f>IFERROR(__xludf.DUMMYFUNCTION("""COMPUTED_VALUE"""),"pcs")</f>
        <v>pcs</v>
      </c>
      <c r="I405" s="6" t="str">
        <f>IFERROR(__xludf.DUMMYFUNCTION("""COMPUTED_VALUE"""),"MFH")</f>
        <v>MFH</v>
      </c>
      <c r="J405" s="6" t="str">
        <f>IFERROR(__xludf.DUMMYFUNCTION("""COMPUTED_VALUE"""),"-")</f>
        <v>-</v>
      </c>
      <c r="K405" s="6" t="str">
        <f>IFERROR(__xludf.DUMMYFUNCTION("""COMPUTED_VALUE"""),"SPR/12/23/035")</f>
        <v>SPR/12/23/035</v>
      </c>
      <c r="L405" s="13">
        <f>IFERROR(__xludf.DUMMYFUNCTION("""COMPUTED_VALUE"""),45261.0)</f>
        <v>45261</v>
      </c>
    </row>
    <row r="406">
      <c r="A406" s="6" t="str">
        <f>IFERROR(__xludf.DUMMYFUNCTION("""COMPUTED_VALUE"""),"MFH")</f>
        <v>MFH</v>
      </c>
      <c r="B406" s="6" t="str">
        <f>IFERROR(__xludf.DUMMYFUNCTION("""COMPUTED_VALUE"""),"ENG")</f>
        <v>ENG</v>
      </c>
      <c r="C406" s="6" t="str">
        <f>IFERROR(__xludf.DUMMYFUNCTION("""COMPUTED_VALUE"""),"O-19005-00")</f>
        <v>O-19005-00</v>
      </c>
      <c r="D406" s="6" t="str">
        <f>IFERROR(__xludf.DUMMYFUNCTION("""COMPUTED_VALUE"""),"Misumi - Linear Shaft PSFAA8-46-F11-P6-M3-N3")</f>
        <v>Misumi - Linear Shaft PSFAA8-46-F11-P6-M3-N3</v>
      </c>
      <c r="E406" s="6">
        <f>IFERROR(__xludf.DUMMYFUNCTION("""COMPUTED_VALUE"""),10.0)</f>
        <v>10</v>
      </c>
      <c r="F406" s="6">
        <f>IFERROR(__xludf.DUMMYFUNCTION("""COMPUTED_VALUE"""),10.0)</f>
        <v>10</v>
      </c>
      <c r="G406" s="6">
        <f>IFERROR(__xludf.DUMMYFUNCTION("""COMPUTED_VALUE"""),0.0)</f>
        <v>0</v>
      </c>
      <c r="H406" s="6" t="str">
        <f>IFERROR(__xludf.DUMMYFUNCTION("""COMPUTED_VALUE"""),"pcs")</f>
        <v>pcs</v>
      </c>
      <c r="I406" s="6" t="str">
        <f>IFERROR(__xludf.DUMMYFUNCTION("""COMPUTED_VALUE"""),"MFH")</f>
        <v>MFH</v>
      </c>
      <c r="J406" s="6" t="str">
        <f>IFERROR(__xludf.DUMMYFUNCTION("""COMPUTED_VALUE"""),"Capping")</f>
        <v>Capping</v>
      </c>
      <c r="K406" s="6" t="str">
        <f>IFERROR(__xludf.DUMMYFUNCTION("""COMPUTED_VALUE"""),"SPR/12/23/035")</f>
        <v>SPR/12/23/035</v>
      </c>
      <c r="L406" s="13">
        <f>IFERROR(__xludf.DUMMYFUNCTION("""COMPUTED_VALUE"""),45261.0)</f>
        <v>45261</v>
      </c>
    </row>
    <row r="407">
      <c r="A407" s="6" t="str">
        <f>IFERROR(__xludf.DUMMYFUNCTION("""COMPUTED_VALUE"""),"MFH")</f>
        <v>MFH</v>
      </c>
      <c r="B407" s="6" t="str">
        <f>IFERROR(__xludf.DUMMYFUNCTION("""COMPUTED_VALUE"""),"ENG")</f>
        <v>ENG</v>
      </c>
      <c r="C407" s="6" t="str">
        <f>IFERROR(__xludf.DUMMYFUNCTION("""COMPUTED_VALUE"""),"P-18788-00")</f>
        <v>P-18788-00</v>
      </c>
      <c r="D407" s="6" t="str">
        <f>IFERROR(__xludf.DUMMYFUNCTION("""COMPUTED_VALUE"""),"Baut SS Hexagon SS M6x55mm + Mur")</f>
        <v>Baut SS Hexagon SS M6x55mm + Mur</v>
      </c>
      <c r="E407" s="6">
        <f>IFERROR(__xludf.DUMMYFUNCTION("""COMPUTED_VALUE"""),9.0)</f>
        <v>9</v>
      </c>
      <c r="F407" s="6">
        <f>IFERROR(__xludf.DUMMYFUNCTION("""COMPUTED_VALUE"""),9.0)</f>
        <v>9</v>
      </c>
      <c r="G407" s="6">
        <f>IFERROR(__xludf.DUMMYFUNCTION("""COMPUTED_VALUE"""),0.0)</f>
        <v>0</v>
      </c>
      <c r="H407" s="6" t="str">
        <f>IFERROR(__xludf.DUMMYFUNCTION("""COMPUTED_VALUE"""),"pcs")</f>
        <v>pcs</v>
      </c>
      <c r="I407" s="6" t="str">
        <f>IFERROR(__xludf.DUMMYFUNCTION("""COMPUTED_VALUE"""),"MFH")</f>
        <v>MFH</v>
      </c>
      <c r="J407" s="6" t="str">
        <f>IFERROR(__xludf.DUMMYFUNCTION("""COMPUTED_VALUE"""),"Capping")</f>
        <v>Capping</v>
      </c>
      <c r="K407" s="6" t="str">
        <f>IFERROR(__xludf.DUMMYFUNCTION("""COMPUTED_VALUE"""),"SPR/12/23/035")</f>
        <v>SPR/12/23/035</v>
      </c>
      <c r="L407" s="13">
        <f>IFERROR(__xludf.DUMMYFUNCTION("""COMPUTED_VALUE"""),45261.0)</f>
        <v>45261</v>
      </c>
    </row>
    <row r="408">
      <c r="A408" s="6" t="str">
        <f>IFERROR(__xludf.DUMMYFUNCTION("""COMPUTED_VALUE"""),"MFH")</f>
        <v>MFH</v>
      </c>
      <c r="B408" s="6" t="str">
        <f>IFERROR(__xludf.DUMMYFUNCTION("""COMPUTED_VALUE"""),"ENG")</f>
        <v>ENG</v>
      </c>
      <c r="C408" s="6" t="str">
        <f>IFERROR(__xludf.DUMMYFUNCTION("""COMPUTED_VALUE"""),"O-19212-00")</f>
        <v>O-19212-00</v>
      </c>
      <c r="D408" s="6" t="str">
        <f>IFERROR(__xludf.DUMMYFUNCTION("""COMPUTED_VALUE"""),"Freeze Dryer MBE1207 - Orifice No. 03 068-2006")</f>
        <v>Freeze Dryer MBE1207 - Orifice No. 03 068-2006</v>
      </c>
      <c r="E408" s="6">
        <f>IFERROR(__xludf.DUMMYFUNCTION("""COMPUTED_VALUE"""),6.0)</f>
        <v>6</v>
      </c>
      <c r="F408" s="6">
        <f>IFERROR(__xludf.DUMMYFUNCTION("""COMPUTED_VALUE"""),6.0)</f>
        <v>6</v>
      </c>
      <c r="G408" s="6">
        <f>IFERROR(__xludf.DUMMYFUNCTION("""COMPUTED_VALUE"""),0.0)</f>
        <v>0</v>
      </c>
      <c r="H408" s="6" t="str">
        <f>IFERROR(__xludf.DUMMYFUNCTION("""COMPUTED_VALUE"""),"pcs")</f>
        <v>pcs</v>
      </c>
      <c r="I408" s="6" t="str">
        <f>IFERROR(__xludf.DUMMYFUNCTION("""COMPUTED_VALUE"""),"MFH")</f>
        <v>MFH</v>
      </c>
      <c r="J408" s="6" t="str">
        <f>IFERROR(__xludf.DUMMYFUNCTION("""COMPUTED_VALUE"""),"FD IMA")</f>
        <v>FD IMA</v>
      </c>
      <c r="K408" s="6" t="str">
        <f>IFERROR(__xludf.DUMMYFUNCTION("""COMPUTED_VALUE"""),"SPR/12/23/036")</f>
        <v>SPR/12/23/036</v>
      </c>
      <c r="L408" s="13">
        <f>IFERROR(__xludf.DUMMYFUNCTION("""COMPUTED_VALUE"""),45261.0)</f>
        <v>45261</v>
      </c>
    </row>
    <row r="409">
      <c r="A409" s="6" t="str">
        <f>IFERROR(__xludf.DUMMYFUNCTION("""COMPUTED_VALUE"""),"MFH")</f>
        <v>MFH</v>
      </c>
      <c r="B409" s="6" t="str">
        <f>IFERROR(__xludf.DUMMYFUNCTION("""COMPUTED_VALUE"""),"ENG")</f>
        <v>ENG</v>
      </c>
      <c r="C409" s="6" t="str">
        <f>IFERROR(__xludf.DUMMYFUNCTION("""COMPUTED_VALUE"""),"O-52831-00")</f>
        <v>O-52831-00</v>
      </c>
      <c r="D409" s="6" t="str">
        <f>IFERROR(__xludf.DUMMYFUNCTION("""COMPUTED_VALUE"""),"Freeze Dryer MBE1207 - SV169 MYCOM COMPLETE SOLENOLD VALVE, XOF-240V1 include valve body and coil P/")</f>
        <v>Freeze Dryer MBE1207 - SV169 MYCOM COMPLETE SOLENOLD VALVE, XOF-240V1 include valve body and coil P/</v>
      </c>
      <c r="E409" s="6">
        <f>IFERROR(__xludf.DUMMYFUNCTION("""COMPUTED_VALUE"""),1.0)</f>
        <v>1</v>
      </c>
      <c r="F409" s="6">
        <f>IFERROR(__xludf.DUMMYFUNCTION("""COMPUTED_VALUE"""),1.0)</f>
        <v>1</v>
      </c>
      <c r="G409" s="6">
        <f>IFERROR(__xludf.DUMMYFUNCTION("""COMPUTED_VALUE"""),0.0)</f>
        <v>0</v>
      </c>
      <c r="H409" s="6" t="str">
        <f>IFERROR(__xludf.DUMMYFUNCTION("""COMPUTED_VALUE"""),"pcs")</f>
        <v>pcs</v>
      </c>
      <c r="I409" s="6" t="str">
        <f>IFERROR(__xludf.DUMMYFUNCTION("""COMPUTED_VALUE"""),"MFH")</f>
        <v>MFH</v>
      </c>
      <c r="J409" s="6" t="str">
        <f>IFERROR(__xludf.DUMMYFUNCTION("""COMPUTED_VALUE"""),"FD IMA")</f>
        <v>FD IMA</v>
      </c>
      <c r="K409" s="6" t="str">
        <f>IFERROR(__xludf.DUMMYFUNCTION("""COMPUTED_VALUE"""),"SPR/12/23/036")</f>
        <v>SPR/12/23/036</v>
      </c>
      <c r="L409" s="13">
        <f>IFERROR(__xludf.DUMMYFUNCTION("""COMPUTED_VALUE"""),45261.0)</f>
        <v>45261</v>
      </c>
    </row>
    <row r="410">
      <c r="A410" s="6" t="str">
        <f>IFERROR(__xludf.DUMMYFUNCTION("""COMPUTED_VALUE"""),"MFH")</f>
        <v>MFH</v>
      </c>
      <c r="B410" s="6" t="str">
        <f>IFERROR(__xludf.DUMMYFUNCTION("""COMPUTED_VALUE"""),"ENG")</f>
        <v>ENG</v>
      </c>
      <c r="C410" s="6" t="str">
        <f>IFERROR(__xludf.DUMMYFUNCTION("""COMPUTED_VALUE"""),"O-19162-00")</f>
        <v>O-19162-00</v>
      </c>
      <c r="D410" s="6" t="str">
        <f>IFERROR(__xludf.DUMMYFUNCTION("""COMPUTED_VALUE"""),"Shaft Pengunci AlphaPort")</f>
        <v>Shaft Pengunci AlphaPort</v>
      </c>
      <c r="E410" s="6">
        <f>IFERROR(__xludf.DUMMYFUNCTION("""COMPUTED_VALUE"""),2.0)</f>
        <v>2</v>
      </c>
      <c r="F410" s="6">
        <f>IFERROR(__xludf.DUMMYFUNCTION("""COMPUTED_VALUE"""),2.0)</f>
        <v>2</v>
      </c>
      <c r="G410" s="6">
        <f>IFERROR(__xludf.DUMMYFUNCTION("""COMPUTED_VALUE"""),0.0)</f>
        <v>0</v>
      </c>
      <c r="H410" s="6" t="str">
        <f>IFERROR(__xludf.DUMMYFUNCTION("""COMPUTED_VALUE"""),"pcs")</f>
        <v>pcs</v>
      </c>
      <c r="I410" s="6" t="str">
        <f>IFERROR(__xludf.DUMMYFUNCTION("""COMPUTED_VALUE"""),"MFH")</f>
        <v>MFH</v>
      </c>
      <c r="J410" s="6" t="str">
        <f>IFERROR(__xludf.DUMMYFUNCTION("""COMPUTED_VALUE"""),"Mixing")</f>
        <v>Mixing</v>
      </c>
      <c r="K410" s="6" t="str">
        <f>IFERROR(__xludf.DUMMYFUNCTION("""COMPUTED_VALUE"""),"SPR/12/23/036")</f>
        <v>SPR/12/23/036</v>
      </c>
      <c r="L410" s="13">
        <f>IFERROR(__xludf.DUMMYFUNCTION("""COMPUTED_VALUE"""),45261.0)</f>
        <v>45261</v>
      </c>
    </row>
    <row r="411">
      <c r="A411" s="6" t="str">
        <f>IFERROR(__xludf.DUMMYFUNCTION("""COMPUTED_VALUE"""),"MFH")</f>
        <v>MFH</v>
      </c>
      <c r="B411" s="6" t="str">
        <f>IFERROR(__xludf.DUMMYFUNCTION("""COMPUTED_VALUE"""),"ENG")</f>
        <v>ENG</v>
      </c>
      <c r="C411" s="6" t="str">
        <f>IFERROR(__xludf.DUMMYFUNCTION("""COMPUTED_VALUE"""),"O-52941-00")</f>
        <v>O-52941-00</v>
      </c>
      <c r="D411" s="6" t="str">
        <f>IFERROR(__xludf.DUMMYFUNCTION("""COMPUTED_VALUE"""),"PRINTER/PC INTERFACE-TEMPERATURE-G01A01-NEW (298/08/13-14) 0202PPCT02")</f>
        <v>PRINTER/PC INTERFACE-TEMPERATURE-G01A01-NEW (298/08/13-14) 0202PPCT02</v>
      </c>
      <c r="E411" s="6">
        <f>IFERROR(__xludf.DUMMYFUNCTION("""COMPUTED_VALUE"""),1.0)</f>
        <v>1</v>
      </c>
      <c r="F411" s="6">
        <f>IFERROR(__xludf.DUMMYFUNCTION("""COMPUTED_VALUE"""),1.0)</f>
        <v>1</v>
      </c>
      <c r="G411" s="6">
        <f>IFERROR(__xludf.DUMMYFUNCTION("""COMPUTED_VALUE"""),0.0)</f>
        <v>0</v>
      </c>
      <c r="H411" s="6" t="str">
        <f>IFERROR(__xludf.DUMMYFUNCTION("""COMPUTED_VALUE"""),"pcs")</f>
        <v>pcs</v>
      </c>
      <c r="I411" s="6" t="str">
        <f>IFERROR(__xludf.DUMMYFUNCTION("""COMPUTED_VALUE"""),"MFH")</f>
        <v>MFH</v>
      </c>
      <c r="J411" s="6" t="str">
        <f>IFERROR(__xludf.DUMMYFUNCTION("""COMPUTED_VALUE"""),"lab")</f>
        <v>lab</v>
      </c>
      <c r="K411" s="6" t="str">
        <f>IFERROR(__xludf.DUMMYFUNCTION("""COMPUTED_VALUE"""),"SPR/12/23/037")</f>
        <v>SPR/12/23/037</v>
      </c>
      <c r="L411" s="13">
        <f>IFERROR(__xludf.DUMMYFUNCTION("""COMPUTED_VALUE"""),45261.0)</f>
        <v>45261</v>
      </c>
    </row>
    <row r="412">
      <c r="A412" s="6" t="str">
        <f>IFERROR(__xludf.DUMMYFUNCTION("""COMPUTED_VALUE"""),"MFH")</f>
        <v>MFH</v>
      </c>
      <c r="B412" s="6" t="str">
        <f>IFERROR(__xludf.DUMMYFUNCTION("""COMPUTED_VALUE"""),"ENG")</f>
        <v>ENG</v>
      </c>
      <c r="C412" s="6" t="str">
        <f>IFERROR(__xludf.DUMMYFUNCTION("""COMPUTED_VALUE"""),"O-54015-00")</f>
        <v>O-54015-00</v>
      </c>
      <c r="D412" s="6" t="str">
        <f>IFERROR(__xludf.DUMMYFUNCTION("""COMPUTED_VALUE"""),"STOP KONTAK LUBANG 4, BROCO")</f>
        <v>STOP KONTAK LUBANG 4, BROCO</v>
      </c>
      <c r="E412" s="6">
        <f>IFERROR(__xludf.DUMMYFUNCTION("""COMPUTED_VALUE"""),1.0)</f>
        <v>1</v>
      </c>
      <c r="F412" s="6">
        <f>IFERROR(__xludf.DUMMYFUNCTION("""COMPUTED_VALUE"""),1.0)</f>
        <v>1</v>
      </c>
      <c r="G412" s="6">
        <f>IFERROR(__xludf.DUMMYFUNCTION("""COMPUTED_VALUE"""),0.0)</f>
        <v>0</v>
      </c>
      <c r="H412" s="6" t="str">
        <f>IFERROR(__xludf.DUMMYFUNCTION("""COMPUTED_VALUE"""),"pcs")</f>
        <v>pcs</v>
      </c>
      <c r="I412" s="6" t="str">
        <f>IFERROR(__xludf.DUMMYFUNCTION("""COMPUTED_VALUE"""),"MFH")</f>
        <v>MFH</v>
      </c>
      <c r="J412" s="6" t="str">
        <f>IFERROR(__xludf.DUMMYFUNCTION("""COMPUTED_VALUE"""),"FD IMA")</f>
        <v>FD IMA</v>
      </c>
      <c r="K412" s="6" t="str">
        <f>IFERROR(__xludf.DUMMYFUNCTION("""COMPUTED_VALUE"""),"SPR/12/23/037")</f>
        <v>SPR/12/23/037</v>
      </c>
      <c r="L412" s="13">
        <f>IFERROR(__xludf.DUMMYFUNCTION("""COMPUTED_VALUE"""),45261.0)</f>
        <v>45261</v>
      </c>
    </row>
    <row r="413">
      <c r="A413" s="6" t="str">
        <f>IFERROR(__xludf.DUMMYFUNCTION("""COMPUTED_VALUE"""),"MFH")</f>
        <v>MFH</v>
      </c>
      <c r="B413" s="6" t="str">
        <f>IFERROR(__xludf.DUMMYFUNCTION("""COMPUTED_VALUE"""),"ENG")</f>
        <v>ENG</v>
      </c>
      <c r="C413" s="6" t="str">
        <f>IFERROR(__xludf.DUMMYFUNCTION("""COMPUTED_VALUE"""),"P-10017-00")</f>
        <v>P-10017-00</v>
      </c>
      <c r="D413" s="6" t="str">
        <f>IFERROR(__xludf.DUMMYFUNCTION("""COMPUTED_VALUE"""),"Pre Filter G4 size : 24X24X2")</f>
        <v>Pre Filter G4 size : 24X24X2</v>
      </c>
      <c r="E413" s="6">
        <f>IFERROR(__xludf.DUMMYFUNCTION("""COMPUTED_VALUE"""),1.0)</f>
        <v>1</v>
      </c>
      <c r="F413" s="6">
        <f>IFERROR(__xludf.DUMMYFUNCTION("""COMPUTED_VALUE"""),1.0)</f>
        <v>1</v>
      </c>
      <c r="G413" s="6">
        <f>IFERROR(__xludf.DUMMYFUNCTION("""COMPUTED_VALUE"""),0.0)</f>
        <v>0</v>
      </c>
      <c r="H413" s="6" t="str">
        <f>IFERROR(__xludf.DUMMYFUNCTION("""COMPUTED_VALUE"""),"pcs")</f>
        <v>pcs</v>
      </c>
      <c r="I413" s="6" t="str">
        <f>IFERROR(__xludf.DUMMYFUNCTION("""COMPUTED_VALUE"""),"MFH")</f>
        <v>MFH</v>
      </c>
      <c r="J413" s="6" t="str">
        <f>IFERROR(__xludf.DUMMYFUNCTION("""COMPUTED_VALUE"""),"Weighing Booth")</f>
        <v>Weighing Booth</v>
      </c>
      <c r="K413" s="6" t="str">
        <f>IFERROR(__xludf.DUMMYFUNCTION("""COMPUTED_VALUE"""),"SPR/12/23/037")</f>
        <v>SPR/12/23/037</v>
      </c>
      <c r="L413" s="13">
        <f>IFERROR(__xludf.DUMMYFUNCTION("""COMPUTED_VALUE"""),45261.0)</f>
        <v>45261</v>
      </c>
    </row>
    <row r="414">
      <c r="A414" s="6" t="str">
        <f>IFERROR(__xludf.DUMMYFUNCTION("""COMPUTED_VALUE"""),"MFH")</f>
        <v>MFH</v>
      </c>
      <c r="B414" s="6" t="str">
        <f>IFERROR(__xludf.DUMMYFUNCTION("""COMPUTED_VALUE"""),"ENG")</f>
        <v>ENG</v>
      </c>
      <c r="C414" s="6" t="str">
        <f>IFERROR(__xludf.DUMMYFUNCTION("""COMPUTED_VALUE"""),"O-52878-00")</f>
        <v>O-52878-00</v>
      </c>
      <c r="D414" s="6" t="str">
        <f>IFERROR(__xludf.DUMMYFUNCTION("""COMPUTED_VALUE"""),"Heat Sink untuk SSR")</f>
        <v>Heat Sink untuk SSR</v>
      </c>
      <c r="E414" s="6">
        <f>IFERROR(__xludf.DUMMYFUNCTION("""COMPUTED_VALUE"""),1.0)</f>
        <v>1</v>
      </c>
      <c r="F414" s="6">
        <f>IFERROR(__xludf.DUMMYFUNCTION("""COMPUTED_VALUE"""),1.0)</f>
        <v>1</v>
      </c>
      <c r="G414" s="6">
        <f>IFERROR(__xludf.DUMMYFUNCTION("""COMPUTED_VALUE"""),0.0)</f>
        <v>0</v>
      </c>
      <c r="H414" s="6" t="str">
        <f>IFERROR(__xludf.DUMMYFUNCTION("""COMPUTED_VALUE"""),"pcs")</f>
        <v>pcs</v>
      </c>
      <c r="I414" s="6" t="str">
        <f>IFERROR(__xludf.DUMMYFUNCTION("""COMPUTED_VALUE"""),"MFH")</f>
        <v>MFH</v>
      </c>
      <c r="J414" s="6" t="str">
        <f>IFERROR(__xludf.DUMMYFUNCTION("""COMPUTED_VALUE"""),"-")</f>
        <v>-</v>
      </c>
      <c r="K414" s="6" t="str">
        <f>IFERROR(__xludf.DUMMYFUNCTION("""COMPUTED_VALUE"""),"SPR/12/23/038")</f>
        <v>SPR/12/23/038</v>
      </c>
      <c r="L414" s="13">
        <f>IFERROR(__xludf.DUMMYFUNCTION("""COMPUTED_VALUE"""),45261.0)</f>
        <v>45261</v>
      </c>
    </row>
    <row r="415">
      <c r="A415" s="6" t="str">
        <f>IFERROR(__xludf.DUMMYFUNCTION("""COMPUTED_VALUE"""),"MFH")</f>
        <v>MFH</v>
      </c>
      <c r="B415" s="6" t="str">
        <f>IFERROR(__xludf.DUMMYFUNCTION("""COMPUTED_VALUE"""),"ENG")</f>
        <v>ENG</v>
      </c>
      <c r="C415" s="6" t="str">
        <f>IFERROR(__xludf.DUMMYFUNCTION("""COMPUTED_VALUE"""),"P-52514-00")</f>
        <v>P-52514-00</v>
      </c>
      <c r="D415" s="6" t="str">
        <f>IFERROR(__xludf.DUMMYFUNCTION("""COMPUTED_VALUE"""),"Flow Transmitter Type 8025 (Remote/Panel Version)")</f>
        <v>Flow Transmitter Type 8025 (Remote/Panel Version)</v>
      </c>
      <c r="E415" s="6">
        <f>IFERROR(__xludf.DUMMYFUNCTION("""COMPUTED_VALUE"""),1.0)</f>
        <v>1</v>
      </c>
      <c r="F415" s="6">
        <f>IFERROR(__xludf.DUMMYFUNCTION("""COMPUTED_VALUE"""),1.0)</f>
        <v>1</v>
      </c>
      <c r="G415" s="6">
        <f>IFERROR(__xludf.DUMMYFUNCTION("""COMPUTED_VALUE"""),0.0)</f>
        <v>0</v>
      </c>
      <c r="H415" s="6" t="str">
        <f>IFERROR(__xludf.DUMMYFUNCTION("""COMPUTED_VALUE"""),"pcs")</f>
        <v>pcs</v>
      </c>
      <c r="I415" s="6" t="str">
        <f>IFERROR(__xludf.DUMMYFUNCTION("""COMPUTED_VALUE"""),"MFH")</f>
        <v>MFH</v>
      </c>
      <c r="J415" s="6" t="str">
        <f>IFERROR(__xludf.DUMMYFUNCTION("""COMPUTED_VALUE"""),"PSG")</f>
        <v>PSG</v>
      </c>
      <c r="K415" s="6" t="str">
        <f>IFERROR(__xludf.DUMMYFUNCTION("""COMPUTED_VALUE"""),"SPR/12/23/038")</f>
        <v>SPR/12/23/038</v>
      </c>
      <c r="L415" s="13">
        <f>IFERROR(__xludf.DUMMYFUNCTION("""COMPUTED_VALUE"""),45261.0)</f>
        <v>45261</v>
      </c>
    </row>
    <row r="416">
      <c r="A416" s="6" t="str">
        <f>IFERROR(__xludf.DUMMYFUNCTION("""COMPUTED_VALUE"""),"MFH")</f>
        <v>MFH</v>
      </c>
      <c r="B416" s="6" t="str">
        <f>IFERROR(__xludf.DUMMYFUNCTION("""COMPUTED_VALUE"""),"ENG")</f>
        <v>ENG</v>
      </c>
      <c r="C416" s="6" t="str">
        <f>IFERROR(__xludf.DUMMYFUNCTION("""COMPUTED_VALUE"""),"P-52515-00")</f>
        <v>P-52515-00</v>
      </c>
      <c r="D416" s="6" t="str">
        <f>IFERROR(__xludf.DUMMYFUNCTION("""COMPUTED_VALUE"""),"Flow Sensor Type SE30-HT (High Temperature Version)")</f>
        <v>Flow Sensor Type SE30-HT (High Temperature Version)</v>
      </c>
      <c r="E416" s="6">
        <f>IFERROR(__xludf.DUMMYFUNCTION("""COMPUTED_VALUE"""),1.0)</f>
        <v>1</v>
      </c>
      <c r="F416" s="6">
        <f>IFERROR(__xludf.DUMMYFUNCTION("""COMPUTED_VALUE"""),1.0)</f>
        <v>1</v>
      </c>
      <c r="G416" s="6">
        <f>IFERROR(__xludf.DUMMYFUNCTION("""COMPUTED_VALUE"""),0.0)</f>
        <v>0</v>
      </c>
      <c r="H416" s="6" t="str">
        <f>IFERROR(__xludf.DUMMYFUNCTION("""COMPUTED_VALUE"""),"pcs")</f>
        <v>pcs</v>
      </c>
      <c r="I416" s="6" t="str">
        <f>IFERROR(__xludf.DUMMYFUNCTION("""COMPUTED_VALUE"""),"MFH")</f>
        <v>MFH</v>
      </c>
      <c r="J416" s="6" t="str">
        <f>IFERROR(__xludf.DUMMYFUNCTION("""COMPUTED_VALUE"""),"PSG")</f>
        <v>PSG</v>
      </c>
      <c r="K416" s="6" t="str">
        <f>IFERROR(__xludf.DUMMYFUNCTION("""COMPUTED_VALUE"""),"SPR/12/23/038")</f>
        <v>SPR/12/23/038</v>
      </c>
      <c r="L416" s="13">
        <f>IFERROR(__xludf.DUMMYFUNCTION("""COMPUTED_VALUE"""),45261.0)</f>
        <v>45261</v>
      </c>
    </row>
    <row r="417">
      <c r="A417" s="6" t="str">
        <f>IFERROR(__xludf.DUMMYFUNCTION("""COMPUTED_VALUE"""),"MFH")</f>
        <v>MFH</v>
      </c>
      <c r="B417" s="6" t="str">
        <f>IFERROR(__xludf.DUMMYFUNCTION("""COMPUTED_VALUE"""),"ENG")</f>
        <v>ENG</v>
      </c>
      <c r="C417" s="6" t="str">
        <f>IFERROR(__xludf.DUMMYFUNCTION("""COMPUTED_VALUE"""),"O-54116-00")</f>
        <v>O-54116-00</v>
      </c>
      <c r="D417" s="6" t="str">
        <f>IFERROR(__xludf.DUMMYFUNCTION("""COMPUTED_VALUE"""),"Fiber Reflective -")</f>
        <v>Fiber Reflective -</v>
      </c>
      <c r="E417" s="6">
        <f>IFERROR(__xludf.DUMMYFUNCTION("""COMPUTED_VALUE"""),1.0)</f>
        <v>1</v>
      </c>
      <c r="F417" s="6">
        <f>IFERROR(__xludf.DUMMYFUNCTION("""COMPUTED_VALUE"""),1.0)</f>
        <v>1</v>
      </c>
      <c r="G417" s="6">
        <f>IFERROR(__xludf.DUMMYFUNCTION("""COMPUTED_VALUE"""),0.0)</f>
        <v>0</v>
      </c>
      <c r="H417" s="6" t="str">
        <f>IFERROR(__xludf.DUMMYFUNCTION("""COMPUTED_VALUE"""),"pcs")</f>
        <v>pcs</v>
      </c>
      <c r="I417" s="6" t="str">
        <f>IFERROR(__xludf.DUMMYFUNCTION("""COMPUTED_VALUE"""),"MFH")</f>
        <v>MFH</v>
      </c>
      <c r="J417" s="6" t="str">
        <f>IFERROR(__xludf.DUMMYFUNCTION("""COMPUTED_VALUE"""),"Capping")</f>
        <v>Capping</v>
      </c>
      <c r="K417" s="6" t="str">
        <f>IFERROR(__xludf.DUMMYFUNCTION("""COMPUTED_VALUE"""),"SPR/12/23/039")</f>
        <v>SPR/12/23/039</v>
      </c>
      <c r="L417" s="13">
        <f>IFERROR(__xludf.DUMMYFUNCTION("""COMPUTED_VALUE"""),45261.0)</f>
        <v>45261</v>
      </c>
    </row>
    <row r="418">
      <c r="A418" s="6" t="str">
        <f>IFERROR(__xludf.DUMMYFUNCTION("""COMPUTED_VALUE"""),"MFH")</f>
        <v>MFH</v>
      </c>
      <c r="B418" s="6" t="str">
        <f>IFERROR(__xludf.DUMMYFUNCTION("""COMPUTED_VALUE"""),"ENG")</f>
        <v>ENG</v>
      </c>
      <c r="C418" s="6" t="str">
        <f>IFERROR(__xludf.DUMMYFUNCTION("""COMPUTED_VALUE"""),"P-18554-00")</f>
        <v>P-18554-00</v>
      </c>
      <c r="D418" s="6" t="str">
        <f>IFERROR(__xludf.DUMMYFUNCTION("""COMPUTED_VALUE"""),"Baut Hexagonal SS 304 Uk. M4 x 8")</f>
        <v>Baut Hexagonal SS 304 Uk. M4 x 8</v>
      </c>
      <c r="E418" s="6">
        <f>IFERROR(__xludf.DUMMYFUNCTION("""COMPUTED_VALUE"""),20.0)</f>
        <v>20</v>
      </c>
      <c r="F418" s="6">
        <f>IFERROR(__xludf.DUMMYFUNCTION("""COMPUTED_VALUE"""),20.0)</f>
        <v>20</v>
      </c>
      <c r="G418" s="6">
        <f>IFERROR(__xludf.DUMMYFUNCTION("""COMPUTED_VALUE"""),0.0)</f>
        <v>0</v>
      </c>
      <c r="H418" s="6" t="str">
        <f>IFERROR(__xludf.DUMMYFUNCTION("""COMPUTED_VALUE"""),"pcs")</f>
        <v>pcs</v>
      </c>
      <c r="I418" s="6" t="str">
        <f>IFERROR(__xludf.DUMMYFUNCTION("""COMPUTED_VALUE"""),"MFH")</f>
        <v>MFH</v>
      </c>
      <c r="J418" s="6" t="str">
        <f>IFERROR(__xludf.DUMMYFUNCTION("""COMPUTED_VALUE"""),"Capping")</f>
        <v>Capping</v>
      </c>
      <c r="K418" s="6" t="str">
        <f>IFERROR(__xludf.DUMMYFUNCTION("""COMPUTED_VALUE"""),"SPR/12/23/039")</f>
        <v>SPR/12/23/039</v>
      </c>
      <c r="L418" s="13">
        <f>IFERROR(__xludf.DUMMYFUNCTION("""COMPUTED_VALUE"""),45261.0)</f>
        <v>45261</v>
      </c>
    </row>
    <row r="419">
      <c r="A419" s="6" t="str">
        <f>IFERROR(__xludf.DUMMYFUNCTION("""COMPUTED_VALUE"""),"MFH")</f>
        <v>MFH</v>
      </c>
      <c r="B419" s="6" t="str">
        <f>IFERROR(__xludf.DUMMYFUNCTION("""COMPUTED_VALUE"""),"ENG")</f>
        <v>ENG</v>
      </c>
      <c r="C419" s="6" t="str">
        <f>IFERROR(__xludf.DUMMYFUNCTION("""COMPUTED_VALUE"""),"P-10729-00")</f>
        <v>P-10729-00</v>
      </c>
      <c r="D419" s="6" t="str">
        <f>IFERROR(__xludf.DUMMYFUNCTION("""COMPUTED_VALUE"""),"Contact cleaner WD 40, 382 gr ; Brand : - ; P/N : - ; Pack Size : pcs")</f>
        <v>Contact cleaner WD 40, 382 gr ; Brand : - ; P/N : - ; Pack Size : pcs</v>
      </c>
      <c r="E419" s="6">
        <f>IFERROR(__xludf.DUMMYFUNCTION("""COMPUTED_VALUE"""),9.0)</f>
        <v>9</v>
      </c>
      <c r="F419" s="6">
        <f>IFERROR(__xludf.DUMMYFUNCTION("""COMPUTED_VALUE"""),9.0)</f>
        <v>9</v>
      </c>
      <c r="G419" s="6">
        <f>IFERROR(__xludf.DUMMYFUNCTION("""COMPUTED_VALUE"""),0.0)</f>
        <v>0</v>
      </c>
      <c r="H419" s="6" t="str">
        <f>IFERROR(__xludf.DUMMYFUNCTION("""COMPUTED_VALUE"""),"pcs")</f>
        <v>pcs</v>
      </c>
      <c r="I419" s="6" t="str">
        <f>IFERROR(__xludf.DUMMYFUNCTION("""COMPUTED_VALUE"""),"MFH")</f>
        <v>MFH</v>
      </c>
      <c r="J419" s="6" t="str">
        <f>IFERROR(__xludf.DUMMYFUNCTION("""COMPUTED_VALUE"""),"-")</f>
        <v>-</v>
      </c>
      <c r="K419" s="6" t="str">
        <f>IFERROR(__xludf.DUMMYFUNCTION("""COMPUTED_VALUE"""),"SPR/12/23/040")</f>
        <v>SPR/12/23/040</v>
      </c>
      <c r="L419" s="13">
        <f>IFERROR(__xludf.DUMMYFUNCTION("""COMPUTED_VALUE"""),45261.0)</f>
        <v>45261</v>
      </c>
    </row>
    <row r="420">
      <c r="A420" s="6" t="str">
        <f>IFERROR(__xludf.DUMMYFUNCTION("""COMPUTED_VALUE"""),"MFH")</f>
        <v>MFH</v>
      </c>
      <c r="B420" s="6" t="str">
        <f>IFERROR(__xludf.DUMMYFUNCTION("""COMPUTED_VALUE"""),"ENG")</f>
        <v>ENG</v>
      </c>
      <c r="C420" s="6" t="str">
        <f>IFERROR(__xludf.DUMMYFUNCTION("""COMPUTED_VALUE"""),"P-10726-00")</f>
        <v>P-10726-00</v>
      </c>
      <c r="D420" s="6" t="str">
        <f>IFERROR(__xludf.DUMMYFUNCTION("""COMPUTED_VALUE"""),"Cleaner - Contact Cleaner CRC CO 2016 500 ml")</f>
        <v>Cleaner - Contact Cleaner CRC CO 2016 500 ml</v>
      </c>
      <c r="E420" s="6">
        <f>IFERROR(__xludf.DUMMYFUNCTION("""COMPUTED_VALUE"""),1.0)</f>
        <v>1</v>
      </c>
      <c r="F420" s="6">
        <f>IFERROR(__xludf.DUMMYFUNCTION("""COMPUTED_VALUE"""),1.0)</f>
        <v>1</v>
      </c>
      <c r="G420" s="6">
        <f>IFERROR(__xludf.DUMMYFUNCTION("""COMPUTED_VALUE"""),0.0)</f>
        <v>0</v>
      </c>
      <c r="H420" s="6" t="str">
        <f>IFERROR(__xludf.DUMMYFUNCTION("""COMPUTED_VALUE"""),"pcs")</f>
        <v>pcs</v>
      </c>
      <c r="I420" s="6" t="str">
        <f>IFERROR(__xludf.DUMMYFUNCTION("""COMPUTED_VALUE"""),"MFH")</f>
        <v>MFH</v>
      </c>
      <c r="J420" s="6" t="str">
        <f>IFERROR(__xludf.DUMMYFUNCTION("""COMPUTED_VALUE"""),"-")</f>
        <v>-</v>
      </c>
      <c r="K420" s="6" t="str">
        <f>IFERROR(__xludf.DUMMYFUNCTION("""COMPUTED_VALUE"""),"SPR/12/23/040")</f>
        <v>SPR/12/23/040</v>
      </c>
      <c r="L420" s="13">
        <f>IFERROR(__xludf.DUMMYFUNCTION("""COMPUTED_VALUE"""),45261.0)</f>
        <v>45261</v>
      </c>
    </row>
    <row r="421">
      <c r="A421" s="6" t="str">
        <f>IFERROR(__xludf.DUMMYFUNCTION("""COMPUTED_VALUE"""),"MFH")</f>
        <v>MFH</v>
      </c>
      <c r="B421" s="6" t="str">
        <f>IFERROR(__xludf.DUMMYFUNCTION("""COMPUTED_VALUE"""),"ENG")</f>
        <v>ENG</v>
      </c>
      <c r="C421" s="6" t="str">
        <f>IFERROR(__xludf.DUMMYFUNCTION("""COMPUTED_VALUE"""),"Q-60503-00")</f>
        <v>Q-60503-00</v>
      </c>
      <c r="D421" s="6" t="str">
        <f>IFERROR(__xludf.DUMMYFUNCTION("""COMPUTED_VALUE"""),"Silicone Sealant, Silglaze, Type N10 Grey, pack size per pcs")</f>
        <v>Silicone Sealant, Silglaze, Type N10 Grey, pack size per pcs</v>
      </c>
      <c r="E421" s="6">
        <f>IFERROR(__xludf.DUMMYFUNCTION("""COMPUTED_VALUE"""),1.0)</f>
        <v>1</v>
      </c>
      <c r="F421" s="6">
        <f>IFERROR(__xludf.DUMMYFUNCTION("""COMPUTED_VALUE"""),1.0)</f>
        <v>1</v>
      </c>
      <c r="G421" s="6">
        <f>IFERROR(__xludf.DUMMYFUNCTION("""COMPUTED_VALUE"""),0.0)</f>
        <v>0</v>
      </c>
      <c r="H421" s="6" t="str">
        <f>IFERROR(__xludf.DUMMYFUNCTION("""COMPUTED_VALUE"""),"pcs")</f>
        <v>pcs</v>
      </c>
      <c r="I421" s="6" t="str">
        <f>IFERROR(__xludf.DUMMYFUNCTION("""COMPUTED_VALUE"""),"MFH")</f>
        <v>MFH</v>
      </c>
      <c r="J421" s="6" t="str">
        <f>IFERROR(__xludf.DUMMYFUNCTION("""COMPUTED_VALUE"""),"-")</f>
        <v>-</v>
      </c>
      <c r="K421" s="6" t="str">
        <f>IFERROR(__xludf.DUMMYFUNCTION("""COMPUTED_VALUE"""),"SPR/12/23/040")</f>
        <v>SPR/12/23/040</v>
      </c>
      <c r="L421" s="13">
        <f>IFERROR(__xludf.DUMMYFUNCTION("""COMPUTED_VALUE"""),45261.0)</f>
        <v>45261</v>
      </c>
    </row>
    <row r="422">
      <c r="A422" s="6" t="str">
        <f>IFERROR(__xludf.DUMMYFUNCTION("""COMPUTED_VALUE"""),"MFH")</f>
        <v>MFH</v>
      </c>
      <c r="B422" s="6" t="str">
        <f>IFERROR(__xludf.DUMMYFUNCTION("""COMPUTED_VALUE"""),"ENG")</f>
        <v>ENG</v>
      </c>
      <c r="C422" s="6" t="str">
        <f>IFERROR(__xludf.DUMMYFUNCTION("""COMPUTED_VALUE"""),"P-10868-00")</f>
        <v>P-10868-00</v>
      </c>
      <c r="D422" s="6" t="str">
        <f>IFERROR(__xludf.DUMMYFUNCTION("""COMPUTED_VALUE"""),"Fitting PVC - Elbow PVC 4 Rucika AW")</f>
        <v>Fitting PVC - Elbow PVC 4 Rucika AW</v>
      </c>
      <c r="E422" s="6">
        <f>IFERROR(__xludf.DUMMYFUNCTION("""COMPUTED_VALUE"""),1.0)</f>
        <v>1</v>
      </c>
      <c r="F422" s="6">
        <f>IFERROR(__xludf.DUMMYFUNCTION("""COMPUTED_VALUE"""),1.0)</f>
        <v>1</v>
      </c>
      <c r="G422" s="6">
        <f>IFERROR(__xludf.DUMMYFUNCTION("""COMPUTED_VALUE"""),0.0)</f>
        <v>0</v>
      </c>
      <c r="H422" s="6" t="str">
        <f>IFERROR(__xludf.DUMMYFUNCTION("""COMPUTED_VALUE"""),"pcs")</f>
        <v>pcs</v>
      </c>
      <c r="I422" s="6" t="str">
        <f>IFERROR(__xludf.DUMMYFUNCTION("""COMPUTED_VALUE"""),"MFH")</f>
        <v>MFH</v>
      </c>
      <c r="J422" s="6" t="str">
        <f>IFERROR(__xludf.DUMMYFUNCTION("""COMPUTED_VALUE"""),"AHU")</f>
        <v>AHU</v>
      </c>
      <c r="K422" s="6" t="str">
        <f>IFERROR(__xludf.DUMMYFUNCTION("""COMPUTED_VALUE"""),"SPR/12/23/041")</f>
        <v>SPR/12/23/041</v>
      </c>
      <c r="L422" s="13">
        <f>IFERROR(__xludf.DUMMYFUNCTION("""COMPUTED_VALUE"""),45261.0)</f>
        <v>45261</v>
      </c>
    </row>
    <row r="423">
      <c r="A423" s="6" t="str">
        <f>IFERROR(__xludf.DUMMYFUNCTION("""COMPUTED_VALUE"""),"MFH")</f>
        <v>MFH</v>
      </c>
      <c r="B423" s="6" t="str">
        <f>IFERROR(__xludf.DUMMYFUNCTION("""COMPUTED_VALUE"""),"ENG")</f>
        <v>ENG</v>
      </c>
      <c r="C423" s="6" t="str">
        <f>IFERROR(__xludf.DUMMYFUNCTION("""COMPUTED_VALUE"""),"P-13384-00")</f>
        <v>P-13384-00</v>
      </c>
      <c r="D423" s="6" t="str">
        <f>IFERROR(__xludf.DUMMYFUNCTION("""COMPUTED_VALUE"""),"Sok Drat Luar 2"" Pvc Rucika")</f>
        <v>Sok Drat Luar 2" Pvc Rucika</v>
      </c>
      <c r="E423" s="6">
        <f>IFERROR(__xludf.DUMMYFUNCTION("""COMPUTED_VALUE"""),1.0)</f>
        <v>1</v>
      </c>
      <c r="F423" s="6">
        <f>IFERROR(__xludf.DUMMYFUNCTION("""COMPUTED_VALUE"""),1.0)</f>
        <v>1</v>
      </c>
      <c r="G423" s="6">
        <f>IFERROR(__xludf.DUMMYFUNCTION("""COMPUTED_VALUE"""),0.0)</f>
        <v>0</v>
      </c>
      <c r="H423" s="6" t="str">
        <f>IFERROR(__xludf.DUMMYFUNCTION("""COMPUTED_VALUE"""),"pcs")</f>
        <v>pcs</v>
      </c>
      <c r="I423" s="6" t="str">
        <f>IFERROR(__xludf.DUMMYFUNCTION("""COMPUTED_VALUE"""),"MFH")</f>
        <v>MFH</v>
      </c>
      <c r="J423" s="6" t="str">
        <f>IFERROR(__xludf.DUMMYFUNCTION("""COMPUTED_VALUE"""),"AHU")</f>
        <v>AHU</v>
      </c>
      <c r="K423" s="6" t="str">
        <f>IFERROR(__xludf.DUMMYFUNCTION("""COMPUTED_VALUE"""),"SPR/12/23/041")</f>
        <v>SPR/12/23/041</v>
      </c>
      <c r="L423" s="13">
        <f>IFERROR(__xludf.DUMMYFUNCTION("""COMPUTED_VALUE"""),45261.0)</f>
        <v>45261</v>
      </c>
    </row>
    <row r="424">
      <c r="A424" s="6" t="str">
        <f>IFERROR(__xludf.DUMMYFUNCTION("""COMPUTED_VALUE"""),"MFH")</f>
        <v>MFH</v>
      </c>
      <c r="B424" s="6" t="str">
        <f>IFERROR(__xludf.DUMMYFUNCTION("""COMPUTED_VALUE"""),"ENG")</f>
        <v>ENG</v>
      </c>
      <c r="C424" s="6" t="str">
        <f>IFERROR(__xludf.DUMMYFUNCTION("""COMPUTED_VALUE"""),"P-12942-00")</f>
        <v>P-12942-00</v>
      </c>
      <c r="D424" s="6" t="str">
        <f>IFERROR(__xludf.DUMMYFUNCTION("""COMPUTED_VALUE"""),"Water Mur PVC dia 1inch")</f>
        <v>Water Mur PVC dia 1inch</v>
      </c>
      <c r="E424" s="6">
        <f>IFERROR(__xludf.DUMMYFUNCTION("""COMPUTED_VALUE"""),2.0)</f>
        <v>2</v>
      </c>
      <c r="F424" s="6">
        <f>IFERROR(__xludf.DUMMYFUNCTION("""COMPUTED_VALUE"""),2.0)</f>
        <v>2</v>
      </c>
      <c r="G424" s="6">
        <f>IFERROR(__xludf.DUMMYFUNCTION("""COMPUTED_VALUE"""),0.0)</f>
        <v>0</v>
      </c>
      <c r="H424" s="6" t="str">
        <f>IFERROR(__xludf.DUMMYFUNCTION("""COMPUTED_VALUE"""),"pcs")</f>
        <v>pcs</v>
      </c>
      <c r="I424" s="6" t="str">
        <f>IFERROR(__xludf.DUMMYFUNCTION("""COMPUTED_VALUE"""),"MFH")</f>
        <v>MFH</v>
      </c>
      <c r="J424" s="6" t="str">
        <f>IFERROR(__xludf.DUMMYFUNCTION("""COMPUTED_VALUE"""),"AHU")</f>
        <v>AHU</v>
      </c>
      <c r="K424" s="6" t="str">
        <f>IFERROR(__xludf.DUMMYFUNCTION("""COMPUTED_VALUE"""),"SPR/12/23/041")</f>
        <v>SPR/12/23/041</v>
      </c>
      <c r="L424" s="13">
        <f>IFERROR(__xludf.DUMMYFUNCTION("""COMPUTED_VALUE"""),45261.0)</f>
        <v>45261</v>
      </c>
    </row>
    <row r="425">
      <c r="A425" s="6" t="str">
        <f>IFERROR(__xludf.DUMMYFUNCTION("""COMPUTED_VALUE"""),"MFH")</f>
        <v>MFH</v>
      </c>
      <c r="B425" s="6" t="str">
        <f>IFERROR(__xludf.DUMMYFUNCTION("""COMPUTED_VALUE"""),"ENG")</f>
        <v>ENG</v>
      </c>
      <c r="C425" s="6" t="str">
        <f>IFERROR(__xludf.DUMMYFUNCTION("""COMPUTED_VALUE"""),"P-11819-00")</f>
        <v>P-11819-00</v>
      </c>
      <c r="D425" s="6" t="str">
        <f>IFERROR(__xludf.DUMMYFUNCTION("""COMPUTED_VALUE"""),"Alumunium duct tape 2 inch")</f>
        <v>Alumunium duct tape 2 inch</v>
      </c>
      <c r="E425" s="6">
        <f>IFERROR(__xludf.DUMMYFUNCTION("""COMPUTED_VALUE"""),2.0)</f>
        <v>2</v>
      </c>
      <c r="F425" s="6">
        <f>IFERROR(__xludf.DUMMYFUNCTION("""COMPUTED_VALUE"""),2.0)</f>
        <v>2</v>
      </c>
      <c r="G425" s="6">
        <f>IFERROR(__xludf.DUMMYFUNCTION("""COMPUTED_VALUE"""),0.0)</f>
        <v>0</v>
      </c>
      <c r="H425" s="6" t="str">
        <f>IFERROR(__xludf.DUMMYFUNCTION("""COMPUTED_VALUE"""),"pcs")</f>
        <v>pcs</v>
      </c>
      <c r="I425" s="6" t="str">
        <f>IFERROR(__xludf.DUMMYFUNCTION("""COMPUTED_VALUE"""),"MFH")</f>
        <v>MFH</v>
      </c>
      <c r="J425" s="6" t="str">
        <f>IFERROR(__xludf.DUMMYFUNCTION("""COMPUTED_VALUE"""),"-")</f>
        <v>-</v>
      </c>
      <c r="K425" s="6" t="str">
        <f>IFERROR(__xludf.DUMMYFUNCTION("""COMPUTED_VALUE"""),"SPR/12/23/042")</f>
        <v>SPR/12/23/042</v>
      </c>
      <c r="L425" s="13">
        <f>IFERROR(__xludf.DUMMYFUNCTION("""COMPUTED_VALUE"""),45261.0)</f>
        <v>45261</v>
      </c>
    </row>
    <row r="426">
      <c r="A426" s="6" t="str">
        <f>IFERROR(__xludf.DUMMYFUNCTION("""COMPUTED_VALUE"""),"MFH")</f>
        <v>MFH</v>
      </c>
      <c r="B426" s="6" t="str">
        <f>IFERROR(__xludf.DUMMYFUNCTION("""COMPUTED_VALUE"""),"ENG")</f>
        <v>ENG</v>
      </c>
      <c r="C426" s="6" t="str">
        <f>IFERROR(__xludf.DUMMYFUNCTION("""COMPUTED_VALUE"""),"P-12470-00")</f>
        <v>P-12470-00</v>
      </c>
      <c r="D426" s="6" t="str">
        <f>IFERROR(__xludf.DUMMYFUNCTION("""COMPUTED_VALUE"""),"Lem PVC Isarplas 300 gr/kaleng")</f>
        <v>Lem PVC Isarplas 300 gr/kaleng</v>
      </c>
      <c r="E426" s="6">
        <f>IFERROR(__xludf.DUMMYFUNCTION("""COMPUTED_VALUE"""),1.0)</f>
        <v>1</v>
      </c>
      <c r="F426" s="6">
        <f>IFERROR(__xludf.DUMMYFUNCTION("""COMPUTED_VALUE"""),1.0)</f>
        <v>1</v>
      </c>
      <c r="G426" s="6">
        <f>IFERROR(__xludf.DUMMYFUNCTION("""COMPUTED_VALUE"""),0.0)</f>
        <v>0</v>
      </c>
      <c r="H426" s="6" t="str">
        <f>IFERROR(__xludf.DUMMYFUNCTION("""COMPUTED_VALUE"""),"pcs")</f>
        <v>pcs</v>
      </c>
      <c r="I426" s="6" t="str">
        <f>IFERROR(__xludf.DUMMYFUNCTION("""COMPUTED_VALUE"""),"MFH")</f>
        <v>MFH</v>
      </c>
      <c r="J426" s="6" t="str">
        <f>IFERROR(__xludf.DUMMYFUNCTION("""COMPUTED_VALUE"""),"-")</f>
        <v>-</v>
      </c>
      <c r="K426" s="6" t="str">
        <f>IFERROR(__xludf.DUMMYFUNCTION("""COMPUTED_VALUE"""),"SPR/12/23/042")</f>
        <v>SPR/12/23/042</v>
      </c>
      <c r="L426" s="13">
        <f>IFERROR(__xludf.DUMMYFUNCTION("""COMPUTED_VALUE"""),45261.0)</f>
        <v>45261</v>
      </c>
    </row>
    <row r="427">
      <c r="A427" s="6" t="str">
        <f>IFERROR(__xludf.DUMMYFUNCTION("""COMPUTED_VALUE"""),"MFH")</f>
        <v>MFH</v>
      </c>
      <c r="B427" s="6" t="str">
        <f>IFERROR(__xludf.DUMMYFUNCTION("""COMPUTED_VALUE"""),"ENG")</f>
        <v>ENG</v>
      </c>
      <c r="C427" s="6" t="str">
        <f>IFERROR(__xludf.DUMMYFUNCTION("""COMPUTED_VALUE"""),"P-12920-00")</f>
        <v>P-12920-00</v>
      </c>
      <c r="D427" s="6" t="str">
        <f>IFERROR(__xludf.DUMMYFUNCTION("""COMPUTED_VALUE"""),"Tungsten Electrodes dia 1.6 mm")</f>
        <v>Tungsten Electrodes dia 1.6 mm</v>
      </c>
      <c r="E427" s="6">
        <f>IFERROR(__xludf.DUMMYFUNCTION("""COMPUTED_VALUE"""),1.0)</f>
        <v>1</v>
      </c>
      <c r="F427" s="6">
        <f>IFERROR(__xludf.DUMMYFUNCTION("""COMPUTED_VALUE"""),1.0)</f>
        <v>1</v>
      </c>
      <c r="G427" s="6">
        <f>IFERROR(__xludf.DUMMYFUNCTION("""COMPUTED_VALUE"""),0.0)</f>
        <v>0</v>
      </c>
      <c r="H427" s="6" t="str">
        <f>IFERROR(__xludf.DUMMYFUNCTION("""COMPUTED_VALUE"""),"pcs")</f>
        <v>pcs</v>
      </c>
      <c r="I427" s="6" t="str">
        <f>IFERROR(__xludf.DUMMYFUNCTION("""COMPUTED_VALUE"""),"MFH")</f>
        <v>MFH</v>
      </c>
      <c r="J427" s="6" t="str">
        <f>IFERROR(__xludf.DUMMYFUNCTION("""COMPUTED_VALUE"""),"-")</f>
        <v>-</v>
      </c>
      <c r="K427" s="6" t="str">
        <f>IFERROR(__xludf.DUMMYFUNCTION("""COMPUTED_VALUE"""),"SPR/12/23/042")</f>
        <v>SPR/12/23/042</v>
      </c>
      <c r="L427" s="13">
        <f>IFERROR(__xludf.DUMMYFUNCTION("""COMPUTED_VALUE"""),45261.0)</f>
        <v>45261</v>
      </c>
    </row>
    <row r="428">
      <c r="A428" s="6" t="str">
        <f>IFERROR(__xludf.DUMMYFUNCTION("""COMPUTED_VALUE"""),"MFH")</f>
        <v>MFH</v>
      </c>
      <c r="B428" s="6" t="str">
        <f>IFERROR(__xludf.DUMMYFUNCTION("""COMPUTED_VALUE"""),"ENG")</f>
        <v>ENG</v>
      </c>
      <c r="C428" s="6" t="str">
        <f>IFERROR(__xludf.DUMMYFUNCTION("""COMPUTED_VALUE"""),"P-14950-00")</f>
        <v>P-14950-00</v>
      </c>
      <c r="D428" s="6" t="str">
        <f>IFERROR(__xludf.DUMMYFUNCTION("""COMPUTED_VALUE"""),"Fitting Union Tee KQ2T04-00A")</f>
        <v>Fitting Union Tee KQ2T04-00A</v>
      </c>
      <c r="E428" s="6">
        <f>IFERROR(__xludf.DUMMYFUNCTION("""COMPUTED_VALUE"""),2.0)</f>
        <v>2</v>
      </c>
      <c r="F428" s="6">
        <f>IFERROR(__xludf.DUMMYFUNCTION("""COMPUTED_VALUE"""),2.0)</f>
        <v>2</v>
      </c>
      <c r="G428" s="6">
        <f>IFERROR(__xludf.DUMMYFUNCTION("""COMPUTED_VALUE"""),0.0)</f>
        <v>0</v>
      </c>
      <c r="H428" s="6" t="str">
        <f>IFERROR(__xludf.DUMMYFUNCTION("""COMPUTED_VALUE"""),"pcs")</f>
        <v>pcs</v>
      </c>
      <c r="I428" s="6" t="str">
        <f>IFERROR(__xludf.DUMMYFUNCTION("""COMPUTED_VALUE"""),"MFH")</f>
        <v>MFH</v>
      </c>
      <c r="J428" s="6" t="str">
        <f>IFERROR(__xludf.DUMMYFUNCTION("""COMPUTED_VALUE"""),"Water System")</f>
        <v>Water System</v>
      </c>
      <c r="K428" s="6" t="str">
        <f>IFERROR(__xludf.DUMMYFUNCTION("""COMPUTED_VALUE"""),"SPR/12/23/043")</f>
        <v>SPR/12/23/043</v>
      </c>
      <c r="L428" s="13">
        <f>IFERROR(__xludf.DUMMYFUNCTION("""COMPUTED_VALUE"""),45261.0)</f>
        <v>45261</v>
      </c>
    </row>
    <row r="429">
      <c r="A429" s="6" t="str">
        <f>IFERROR(__xludf.DUMMYFUNCTION("""COMPUTED_VALUE"""),"MFH")</f>
        <v>MFH</v>
      </c>
      <c r="B429" s="6" t="str">
        <f>IFERROR(__xludf.DUMMYFUNCTION("""COMPUTED_VALUE"""),"ENG")</f>
        <v>ENG</v>
      </c>
      <c r="C429" s="6" t="str">
        <f>IFERROR(__xludf.DUMMYFUNCTION("""COMPUTED_VALUE"""),"P-14955-00")</f>
        <v>P-14955-00</v>
      </c>
      <c r="D429" s="6" t="str">
        <f>IFERROR(__xludf.DUMMYFUNCTION("""COMPUTED_VALUE"""),"Straight Union KQ2H04-00A")</f>
        <v>Straight Union KQ2H04-00A</v>
      </c>
      <c r="E429" s="6">
        <f>IFERROR(__xludf.DUMMYFUNCTION("""COMPUTED_VALUE"""),2.0)</f>
        <v>2</v>
      </c>
      <c r="F429" s="6">
        <f>IFERROR(__xludf.DUMMYFUNCTION("""COMPUTED_VALUE"""),2.0)</f>
        <v>2</v>
      </c>
      <c r="G429" s="6">
        <f>IFERROR(__xludf.DUMMYFUNCTION("""COMPUTED_VALUE"""),0.0)</f>
        <v>0</v>
      </c>
      <c r="H429" s="6" t="str">
        <f>IFERROR(__xludf.DUMMYFUNCTION("""COMPUTED_VALUE"""),"pcs")</f>
        <v>pcs</v>
      </c>
      <c r="I429" s="6" t="str">
        <f>IFERROR(__xludf.DUMMYFUNCTION("""COMPUTED_VALUE"""),"MFH")</f>
        <v>MFH</v>
      </c>
      <c r="J429" s="6" t="str">
        <f>IFERROR(__xludf.DUMMYFUNCTION("""COMPUTED_VALUE"""),"Water System")</f>
        <v>Water System</v>
      </c>
      <c r="K429" s="6" t="str">
        <f>IFERROR(__xludf.DUMMYFUNCTION("""COMPUTED_VALUE"""),"SPR/12/23/043")</f>
        <v>SPR/12/23/043</v>
      </c>
      <c r="L429" s="13">
        <f>IFERROR(__xludf.DUMMYFUNCTION("""COMPUTED_VALUE"""),45261.0)</f>
        <v>45261</v>
      </c>
    </row>
    <row r="430">
      <c r="A430" s="6" t="str">
        <f>IFERROR(__xludf.DUMMYFUNCTION("""COMPUTED_VALUE"""),"MFH")</f>
        <v>MFH</v>
      </c>
      <c r="B430" s="6" t="str">
        <f>IFERROR(__xludf.DUMMYFUNCTION("""COMPUTED_VALUE"""),"ENG")</f>
        <v>ENG</v>
      </c>
      <c r="C430" s="6" t="str">
        <f>IFERROR(__xludf.DUMMYFUNCTION("""COMPUTED_VALUE"""),"P-15077-00")</f>
        <v>P-15077-00</v>
      </c>
      <c r="D430" s="6" t="str">
        <f>IFERROR(__xludf.DUMMYFUNCTION("""COMPUTED_VALUE"""),"Fitting KQ2H06-03AS")</f>
        <v>Fitting KQ2H06-03AS</v>
      </c>
      <c r="E430" s="6">
        <f>IFERROR(__xludf.DUMMYFUNCTION("""COMPUTED_VALUE"""),1.0)</f>
        <v>1</v>
      </c>
      <c r="F430" s="6">
        <f>IFERROR(__xludf.DUMMYFUNCTION("""COMPUTED_VALUE"""),1.0)</f>
        <v>1</v>
      </c>
      <c r="G430" s="6">
        <f>IFERROR(__xludf.DUMMYFUNCTION("""COMPUTED_VALUE"""),0.0)</f>
        <v>0</v>
      </c>
      <c r="H430" s="6" t="str">
        <f>IFERROR(__xludf.DUMMYFUNCTION("""COMPUTED_VALUE"""),"pcs")</f>
        <v>pcs</v>
      </c>
      <c r="I430" s="6" t="str">
        <f>IFERROR(__xludf.DUMMYFUNCTION("""COMPUTED_VALUE"""),"MFH")</f>
        <v>MFH</v>
      </c>
      <c r="J430" s="6" t="str">
        <f>IFERROR(__xludf.DUMMYFUNCTION("""COMPUTED_VALUE"""),"Water System")</f>
        <v>Water System</v>
      </c>
      <c r="K430" s="6" t="str">
        <f>IFERROR(__xludf.DUMMYFUNCTION("""COMPUTED_VALUE"""),"SPR/12/23/043")</f>
        <v>SPR/12/23/043</v>
      </c>
      <c r="L430" s="13">
        <f>IFERROR(__xludf.DUMMYFUNCTION("""COMPUTED_VALUE"""),45261.0)</f>
        <v>45261</v>
      </c>
    </row>
    <row r="431">
      <c r="A431" s="6" t="str">
        <f>IFERROR(__xludf.DUMMYFUNCTION("""COMPUTED_VALUE"""),"INN")</f>
        <v>INN</v>
      </c>
      <c r="B431" s="6" t="str">
        <f>IFERROR(__xludf.DUMMYFUNCTION("""COMPUTED_VALUE"""),"ENG")</f>
        <v>ENG</v>
      </c>
      <c r="C431" s="6" t="str">
        <f>IFERROR(__xludf.DUMMYFUNCTION("""COMPUTED_VALUE"""),"P-14458-00")</f>
        <v>P-14458-00</v>
      </c>
      <c r="D431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431" s="6">
        <f>IFERROR(__xludf.DUMMYFUNCTION("""COMPUTED_VALUE"""),2.0)</f>
        <v>2</v>
      </c>
      <c r="F431" s="6">
        <f>IFERROR(__xludf.DUMMYFUNCTION("""COMPUTED_VALUE"""),2.0)</f>
        <v>2</v>
      </c>
      <c r="G431" s="6">
        <f>IFERROR(__xludf.DUMMYFUNCTION("""COMPUTED_VALUE"""),0.0)</f>
        <v>0</v>
      </c>
      <c r="H431" s="6" t="str">
        <f>IFERROR(__xludf.DUMMYFUNCTION("""COMPUTED_VALUE"""),"pcs")</f>
        <v>pcs</v>
      </c>
      <c r="I431" s="6" t="str">
        <f>IFERROR(__xludf.DUMMYFUNCTION("""COMPUTED_VALUE"""),"MFH")</f>
        <v>MFH</v>
      </c>
      <c r="J431" s="6" t="str">
        <f>IFERROR(__xludf.DUMMYFUNCTION("""COMPUTED_VALUE"""),"AHU")</f>
        <v>AHU</v>
      </c>
      <c r="K431" s="6" t="str">
        <f>IFERROR(__xludf.DUMMYFUNCTION("""COMPUTED_VALUE"""),"SPR/12/23/044")</f>
        <v>SPR/12/23/044</v>
      </c>
      <c r="L431" s="13">
        <f>IFERROR(__xludf.DUMMYFUNCTION("""COMPUTED_VALUE"""),45261.0)</f>
        <v>45261</v>
      </c>
    </row>
    <row r="432">
      <c r="A432" s="6" t="str">
        <f>IFERROR(__xludf.DUMMYFUNCTION("""COMPUTED_VALUE"""),"INN")</f>
        <v>INN</v>
      </c>
      <c r="B432" s="6" t="str">
        <f>IFERROR(__xludf.DUMMYFUNCTION("""COMPUTED_VALUE"""),"ENG")</f>
        <v>ENG</v>
      </c>
      <c r="C432" s="6" t="str">
        <f>IFERROR(__xludf.DUMMYFUNCTION("""COMPUTED_VALUE"""),"P-14455-00")</f>
        <v>P-14455-00</v>
      </c>
      <c r="D432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432" s="6">
        <f>IFERROR(__xludf.DUMMYFUNCTION("""COMPUTED_VALUE"""),7.0)</f>
        <v>7</v>
      </c>
      <c r="F432" s="6">
        <f>IFERROR(__xludf.DUMMYFUNCTION("""COMPUTED_VALUE"""),7.0)</f>
        <v>7</v>
      </c>
      <c r="G432" s="6">
        <f>IFERROR(__xludf.DUMMYFUNCTION("""COMPUTED_VALUE"""),0.0)</f>
        <v>0</v>
      </c>
      <c r="H432" s="6" t="str">
        <f>IFERROR(__xludf.DUMMYFUNCTION("""COMPUTED_VALUE"""),"pcs")</f>
        <v>pcs</v>
      </c>
      <c r="I432" s="6" t="str">
        <f>IFERROR(__xludf.DUMMYFUNCTION("""COMPUTED_VALUE"""),"MFH")</f>
        <v>MFH</v>
      </c>
      <c r="J432" s="6" t="str">
        <f>IFERROR(__xludf.DUMMYFUNCTION("""COMPUTED_VALUE"""),"AHU")</f>
        <v>AHU</v>
      </c>
      <c r="K432" s="6" t="str">
        <f>IFERROR(__xludf.DUMMYFUNCTION("""COMPUTED_VALUE"""),"SPR/12/23/044")</f>
        <v>SPR/12/23/044</v>
      </c>
      <c r="L432" s="13">
        <f>IFERROR(__xludf.DUMMYFUNCTION("""COMPUTED_VALUE"""),45261.0)</f>
        <v>45261</v>
      </c>
    </row>
    <row r="433">
      <c r="A433" s="6" t="str">
        <f>IFERROR(__xludf.DUMMYFUNCTION("""COMPUTED_VALUE"""),"INN")</f>
        <v>INN</v>
      </c>
      <c r="B433" s="6" t="str">
        <f>IFERROR(__xludf.DUMMYFUNCTION("""COMPUTED_VALUE"""),"ENG")</f>
        <v>ENG</v>
      </c>
      <c r="C433" s="6" t="str">
        <f>IFERROR(__xludf.DUMMYFUNCTION("""COMPUTED_VALUE"""),"P-18066-00")</f>
        <v>P-18066-00</v>
      </c>
      <c r="D433" s="6" t="str">
        <f>IFERROR(__xludf.DUMMYFUNCTION("""COMPUTED_VALUE"""),"Hepa Filter - H13 ( 99,95% ) Size: 610x610x90")</f>
        <v>Hepa Filter - H13 ( 99,95% ) Size: 610x610x90</v>
      </c>
      <c r="E433" s="6">
        <f>IFERROR(__xludf.DUMMYFUNCTION("""COMPUTED_VALUE"""),1.0)</f>
        <v>1</v>
      </c>
      <c r="F433" s="6">
        <f>IFERROR(__xludf.DUMMYFUNCTION("""COMPUTED_VALUE"""),1.0)</f>
        <v>1</v>
      </c>
      <c r="G433" s="6">
        <f>IFERROR(__xludf.DUMMYFUNCTION("""COMPUTED_VALUE"""),0.0)</f>
        <v>0</v>
      </c>
      <c r="H433" s="6" t="str">
        <f>IFERROR(__xludf.DUMMYFUNCTION("""COMPUTED_VALUE"""),"pcs")</f>
        <v>pcs</v>
      </c>
      <c r="I433" s="6" t="str">
        <f>IFERROR(__xludf.DUMMYFUNCTION("""COMPUTED_VALUE"""),"MFH")</f>
        <v>MFH</v>
      </c>
      <c r="J433" s="6" t="str">
        <f>IFERROR(__xludf.DUMMYFUNCTION("""COMPUTED_VALUE"""),"AHU")</f>
        <v>AHU</v>
      </c>
      <c r="K433" s="6" t="str">
        <f>IFERROR(__xludf.DUMMYFUNCTION("""COMPUTED_VALUE"""),"SPR/12/23/044")</f>
        <v>SPR/12/23/044</v>
      </c>
      <c r="L433" s="13">
        <f>IFERROR(__xludf.DUMMYFUNCTION("""COMPUTED_VALUE"""),45261.0)</f>
        <v>45261</v>
      </c>
    </row>
    <row r="434">
      <c r="A434" s="6" t="str">
        <f>IFERROR(__xludf.DUMMYFUNCTION("""COMPUTED_VALUE"""),"MFH")</f>
        <v>MFH</v>
      </c>
      <c r="B434" s="6" t="str">
        <f>IFERROR(__xludf.DUMMYFUNCTION("""COMPUTED_VALUE"""),"ENG")</f>
        <v>ENG</v>
      </c>
      <c r="C434" s="6" t="str">
        <f>IFERROR(__xludf.DUMMYFUNCTION("""COMPUTED_VALUE"""),"P-51880-00")</f>
        <v>P-51880-00</v>
      </c>
      <c r="D434" s="6" t="str">
        <f>IFERROR(__xludf.DUMMYFUNCTION("""COMPUTED_VALUE"""),"Battery 2500mAH 1.2V")</f>
        <v>Battery 2500mAH 1.2V</v>
      </c>
      <c r="E434" s="6">
        <f>IFERROR(__xludf.DUMMYFUNCTION("""COMPUTED_VALUE"""),10.0)</f>
        <v>10</v>
      </c>
      <c r="F434" s="6">
        <f>IFERROR(__xludf.DUMMYFUNCTION("""COMPUTED_VALUE"""),10.0)</f>
        <v>10</v>
      </c>
      <c r="G434" s="6">
        <f>IFERROR(__xludf.DUMMYFUNCTION("""COMPUTED_VALUE"""),0.0)</f>
        <v>0</v>
      </c>
      <c r="H434" s="6" t="str">
        <f>IFERROR(__xludf.DUMMYFUNCTION("""COMPUTED_VALUE"""),"pcs")</f>
        <v>pcs</v>
      </c>
      <c r="I434" s="6" t="str">
        <f>IFERROR(__xludf.DUMMYFUNCTION("""COMPUTED_VALUE"""),"MFH")</f>
        <v>MFH</v>
      </c>
      <c r="J434" s="6" t="str">
        <f>IFERROR(__xludf.DUMMYFUNCTION("""COMPUTED_VALUE"""),"Cartoning")</f>
        <v>Cartoning</v>
      </c>
      <c r="K434" s="6" t="str">
        <f>IFERROR(__xludf.DUMMYFUNCTION("""COMPUTED_VALUE"""),"SPR/12/23/045")</f>
        <v>SPR/12/23/045</v>
      </c>
      <c r="L434" s="13">
        <f>IFERROR(__xludf.DUMMYFUNCTION("""COMPUTED_VALUE"""),45261.0)</f>
        <v>45261</v>
      </c>
    </row>
    <row r="435">
      <c r="A435" s="6" t="str">
        <f>IFERROR(__xludf.DUMMYFUNCTION("""COMPUTED_VALUE"""),"MFH")</f>
        <v>MFH</v>
      </c>
      <c r="B435" s="6" t="str">
        <f>IFERROR(__xludf.DUMMYFUNCTION("""COMPUTED_VALUE"""),"ENG")</f>
        <v>ENG</v>
      </c>
      <c r="C435" s="6" t="str">
        <f>IFERROR(__xludf.DUMMYFUNCTION("""COMPUTED_VALUE"""),"P-18555-00")</f>
        <v>P-18555-00</v>
      </c>
      <c r="D435" s="6" t="str">
        <f>IFERROR(__xludf.DUMMYFUNCTION("""COMPUTED_VALUE"""),"Baut L SS 304 Uk. M3 x 6 mm")</f>
        <v>Baut L SS 304 Uk. M3 x 6 mm</v>
      </c>
      <c r="E435" s="6">
        <f>IFERROR(__xludf.DUMMYFUNCTION("""COMPUTED_VALUE"""),12.0)</f>
        <v>12</v>
      </c>
      <c r="F435" s="6">
        <f>IFERROR(__xludf.DUMMYFUNCTION("""COMPUTED_VALUE"""),12.0)</f>
        <v>12</v>
      </c>
      <c r="G435" s="6">
        <f>IFERROR(__xludf.DUMMYFUNCTION("""COMPUTED_VALUE"""),0.0)</f>
        <v>0</v>
      </c>
      <c r="H435" s="6" t="str">
        <f>IFERROR(__xludf.DUMMYFUNCTION("""COMPUTED_VALUE"""),"pcs")</f>
        <v>pcs</v>
      </c>
      <c r="I435" s="6" t="str">
        <f>IFERROR(__xludf.DUMMYFUNCTION("""COMPUTED_VALUE"""),"MFH")</f>
        <v>MFH</v>
      </c>
      <c r="J435" s="6" t="str">
        <f>IFERROR(__xludf.DUMMYFUNCTION("""COMPUTED_VALUE"""),"Capping")</f>
        <v>Capping</v>
      </c>
      <c r="K435" s="6" t="str">
        <f>IFERROR(__xludf.DUMMYFUNCTION("""COMPUTED_VALUE"""),"SPR/12/23/045")</f>
        <v>SPR/12/23/045</v>
      </c>
      <c r="L435" s="13">
        <f>IFERROR(__xludf.DUMMYFUNCTION("""COMPUTED_VALUE"""),45261.0)</f>
        <v>45261</v>
      </c>
    </row>
    <row r="436">
      <c r="A436" s="6" t="str">
        <f>IFERROR(__xludf.DUMMYFUNCTION("""COMPUTED_VALUE"""),"MFH")</f>
        <v>MFH</v>
      </c>
      <c r="B436" s="6" t="str">
        <f>IFERROR(__xludf.DUMMYFUNCTION("""COMPUTED_VALUE"""),"ENG")</f>
        <v>ENG</v>
      </c>
      <c r="C436" s="6" t="str">
        <f>IFERROR(__xludf.DUMMYFUNCTION("""COMPUTED_VALUE"""),"P-18556-00")</f>
        <v>P-18556-00</v>
      </c>
      <c r="D436" s="6" t="str">
        <f>IFERROR(__xludf.DUMMYFUNCTION("""COMPUTED_VALUE"""),"Baut L SS 304 Uk. M3 x 10 mm")</f>
        <v>Baut L SS 304 Uk. M3 x 10 mm</v>
      </c>
      <c r="E436" s="6">
        <f>IFERROR(__xludf.DUMMYFUNCTION("""COMPUTED_VALUE"""),18.0)</f>
        <v>18</v>
      </c>
      <c r="F436" s="6">
        <f>IFERROR(__xludf.DUMMYFUNCTION("""COMPUTED_VALUE"""),18.0)</f>
        <v>18</v>
      </c>
      <c r="G436" s="6">
        <f>IFERROR(__xludf.DUMMYFUNCTION("""COMPUTED_VALUE"""),0.0)</f>
        <v>0</v>
      </c>
      <c r="H436" s="6" t="str">
        <f>IFERROR(__xludf.DUMMYFUNCTION("""COMPUTED_VALUE"""),"pcs")</f>
        <v>pcs</v>
      </c>
      <c r="I436" s="6" t="str">
        <f>IFERROR(__xludf.DUMMYFUNCTION("""COMPUTED_VALUE"""),"MFH")</f>
        <v>MFH</v>
      </c>
      <c r="J436" s="6" t="str">
        <f>IFERROR(__xludf.DUMMYFUNCTION("""COMPUTED_VALUE"""),"Capping")</f>
        <v>Capping</v>
      </c>
      <c r="K436" s="6" t="str">
        <f>IFERROR(__xludf.DUMMYFUNCTION("""COMPUTED_VALUE"""),"SPR/12/23/045")</f>
        <v>SPR/12/23/045</v>
      </c>
      <c r="L436" s="13">
        <f>IFERROR(__xludf.DUMMYFUNCTION("""COMPUTED_VALUE"""),45261.0)</f>
        <v>45261</v>
      </c>
    </row>
    <row r="437">
      <c r="A437" s="6" t="str">
        <f>IFERROR(__xludf.DUMMYFUNCTION("""COMPUTED_VALUE"""),"MFH")</f>
        <v>MFH</v>
      </c>
      <c r="B437" s="6" t="str">
        <f>IFERROR(__xludf.DUMMYFUNCTION("""COMPUTED_VALUE"""),"ENG")</f>
        <v>ENG</v>
      </c>
      <c r="C437" s="6" t="str">
        <f>IFERROR(__xludf.DUMMYFUNCTION("""COMPUTED_VALUE"""),"P-53210-00")</f>
        <v>P-53210-00</v>
      </c>
      <c r="D437" s="6" t="str">
        <f>IFERROR(__xludf.DUMMYFUNCTION("""COMPUTED_VALUE"""),"CAPACITOR 5 uF, 220 V, 2 kutub; ; ;")</f>
        <v>CAPACITOR 5 uF, 220 V, 2 kutub; ; ;</v>
      </c>
      <c r="E437" s="6">
        <f>IFERROR(__xludf.DUMMYFUNCTION("""COMPUTED_VALUE"""),1.0)</f>
        <v>1</v>
      </c>
      <c r="F437" s="6">
        <f>IFERROR(__xludf.DUMMYFUNCTION("""COMPUTED_VALUE"""),1.0)</f>
        <v>1</v>
      </c>
      <c r="G437" s="6">
        <f>IFERROR(__xludf.DUMMYFUNCTION("""COMPUTED_VALUE"""),0.0)</f>
        <v>0</v>
      </c>
      <c r="H437" s="6" t="str">
        <f>IFERROR(__xludf.DUMMYFUNCTION("""COMPUTED_VALUE"""),"pcs")</f>
        <v>pcs</v>
      </c>
      <c r="I437" s="6" t="str">
        <f>IFERROR(__xludf.DUMMYFUNCTION("""COMPUTED_VALUE"""),"MFH")</f>
        <v>MFH</v>
      </c>
      <c r="J437" s="6" t="str">
        <f>IFERROR(__xludf.DUMMYFUNCTION("""COMPUTED_VALUE"""),"-")</f>
        <v>-</v>
      </c>
      <c r="K437" s="6" t="str">
        <f>IFERROR(__xludf.DUMMYFUNCTION("""COMPUTED_VALUE"""),"SPR/12/23/046")</f>
        <v>SPR/12/23/046</v>
      </c>
      <c r="L437" s="13">
        <f>IFERROR(__xludf.DUMMYFUNCTION("""COMPUTED_VALUE"""),45261.0)</f>
        <v>45261</v>
      </c>
    </row>
    <row r="438">
      <c r="A438" s="6" t="str">
        <f>IFERROR(__xludf.DUMMYFUNCTION("""COMPUTED_VALUE"""),"MFH")</f>
        <v>MFH</v>
      </c>
      <c r="B438" s="6" t="str">
        <f>IFERROR(__xludf.DUMMYFUNCTION("""COMPUTED_VALUE"""),"ENG")</f>
        <v>ENG</v>
      </c>
      <c r="C438" s="6" t="str">
        <f>IFERROR(__xludf.DUMMYFUNCTION("""COMPUTED_VALUE"""),"P-52009-00")</f>
        <v>P-52009-00</v>
      </c>
      <c r="D438" s="6" t="str">
        <f>IFERROR(__xludf.DUMMYFUNCTION("""COMPUTED_VALUE"""),"Limit Switch;")</f>
        <v>Limit Switch;</v>
      </c>
      <c r="E438" s="6">
        <f>IFERROR(__xludf.DUMMYFUNCTION("""COMPUTED_VALUE"""),1.0)</f>
        <v>1</v>
      </c>
      <c r="F438" s="6">
        <f>IFERROR(__xludf.DUMMYFUNCTION("""COMPUTED_VALUE"""),1.0)</f>
        <v>1</v>
      </c>
      <c r="G438" s="6">
        <f>IFERROR(__xludf.DUMMYFUNCTION("""COMPUTED_VALUE"""),0.0)</f>
        <v>0</v>
      </c>
      <c r="H438" s="6" t="str">
        <f>IFERROR(__xludf.DUMMYFUNCTION("""COMPUTED_VALUE"""),"pcs")</f>
        <v>pcs</v>
      </c>
      <c r="I438" s="6" t="str">
        <f>IFERROR(__xludf.DUMMYFUNCTION("""COMPUTED_VALUE"""),"MFH")</f>
        <v>MFH</v>
      </c>
      <c r="J438" s="6" t="str">
        <f>IFERROR(__xludf.DUMMYFUNCTION("""COMPUTED_VALUE"""),"-")</f>
        <v>-</v>
      </c>
      <c r="K438" s="6" t="str">
        <f>IFERROR(__xludf.DUMMYFUNCTION("""COMPUTED_VALUE"""),"SPR/12/23/046")</f>
        <v>SPR/12/23/046</v>
      </c>
      <c r="L438" s="13">
        <f>IFERROR(__xludf.DUMMYFUNCTION("""COMPUTED_VALUE"""),45261.0)</f>
        <v>45261</v>
      </c>
    </row>
    <row r="439">
      <c r="A439" s="6" t="str">
        <f>IFERROR(__xludf.DUMMYFUNCTION("""COMPUTED_VALUE"""),"MFH")</f>
        <v>MFH</v>
      </c>
      <c r="B439" s="6" t="str">
        <f>IFERROR(__xludf.DUMMYFUNCTION("""COMPUTED_VALUE"""),"ENG")</f>
        <v>ENG</v>
      </c>
      <c r="C439" s="6" t="str">
        <f>IFERROR(__xludf.DUMMYFUNCTION("""COMPUTED_VALUE"""),"P-51298-00")</f>
        <v>P-51298-00</v>
      </c>
      <c r="D439" s="6" t="str">
        <f>IFERROR(__xludf.DUMMYFUNCTION("""COMPUTED_VALUE"""),"Terminal plastik dia 4 mm")</f>
        <v>Terminal plastik dia 4 mm</v>
      </c>
      <c r="E439" s="6">
        <f>IFERROR(__xludf.DUMMYFUNCTION("""COMPUTED_VALUE"""),2.0)</f>
        <v>2</v>
      </c>
      <c r="F439" s="6">
        <f>IFERROR(__xludf.DUMMYFUNCTION("""COMPUTED_VALUE"""),2.0)</f>
        <v>2</v>
      </c>
      <c r="G439" s="6">
        <f>IFERROR(__xludf.DUMMYFUNCTION("""COMPUTED_VALUE"""),0.0)</f>
        <v>0</v>
      </c>
      <c r="H439" s="6" t="str">
        <f>IFERROR(__xludf.DUMMYFUNCTION("""COMPUTED_VALUE"""),"pcs")</f>
        <v>pcs</v>
      </c>
      <c r="I439" s="6" t="str">
        <f>IFERROR(__xludf.DUMMYFUNCTION("""COMPUTED_VALUE"""),"MFH")</f>
        <v>MFH</v>
      </c>
      <c r="J439" s="6" t="str">
        <f>IFERROR(__xludf.DUMMYFUNCTION("""COMPUTED_VALUE"""),"-")</f>
        <v>-</v>
      </c>
      <c r="K439" s="6" t="str">
        <f>IFERROR(__xludf.DUMMYFUNCTION("""COMPUTED_VALUE"""),"SPR/12/23/046")</f>
        <v>SPR/12/23/046</v>
      </c>
      <c r="L439" s="13">
        <f>IFERROR(__xludf.DUMMYFUNCTION("""COMPUTED_VALUE"""),45261.0)</f>
        <v>45261</v>
      </c>
    </row>
    <row r="440">
      <c r="A440" s="6" t="str">
        <f>IFERROR(__xludf.DUMMYFUNCTION("""COMPUTED_VALUE"""),"MFH")</f>
        <v>MFH</v>
      </c>
      <c r="B440" s="6" t="str">
        <f>IFERROR(__xludf.DUMMYFUNCTION("""COMPUTED_VALUE"""),"ENG")</f>
        <v>ENG</v>
      </c>
      <c r="C440" s="6" t="str">
        <f>IFERROR(__xludf.DUMMYFUNCTION("""COMPUTED_VALUE"""),"Q-10549-00")</f>
        <v>Q-10549-00</v>
      </c>
      <c r="D440" s="6" t="str">
        <f>IFERROR(__xludf.DUMMYFUNCTION("""COMPUTED_VALUE"""),"TOTO - Piston Flush Valve Closet Type T150NL / TV150NSJ")</f>
        <v>TOTO - Piston Flush Valve Closet Type T150NL / TV150NSJ</v>
      </c>
      <c r="E440" s="6">
        <f>IFERROR(__xludf.DUMMYFUNCTION("""COMPUTED_VALUE"""),1.0)</f>
        <v>1</v>
      </c>
      <c r="F440" s="6">
        <f>IFERROR(__xludf.DUMMYFUNCTION("""COMPUTED_VALUE"""),1.0)</f>
        <v>1</v>
      </c>
      <c r="G440" s="6">
        <f>IFERROR(__xludf.DUMMYFUNCTION("""COMPUTED_VALUE"""),0.0)</f>
        <v>0</v>
      </c>
      <c r="H440" s="6" t="str">
        <f>IFERROR(__xludf.DUMMYFUNCTION("""COMPUTED_VALUE"""),"pcs")</f>
        <v>pcs</v>
      </c>
      <c r="I440" s="6" t="str">
        <f>IFERROR(__xludf.DUMMYFUNCTION("""COMPUTED_VALUE"""),"MFH")</f>
        <v>MFH</v>
      </c>
      <c r="J440" s="6" t="str">
        <f>IFERROR(__xludf.DUMMYFUNCTION("""COMPUTED_VALUE"""),"Building")</f>
        <v>Building</v>
      </c>
      <c r="K440" s="6" t="str">
        <f>IFERROR(__xludf.DUMMYFUNCTION("""COMPUTED_VALUE"""),"SPR/12/23/047")</f>
        <v>SPR/12/23/047</v>
      </c>
      <c r="L440" s="13">
        <f>IFERROR(__xludf.DUMMYFUNCTION("""COMPUTED_VALUE"""),45261.0)</f>
        <v>45261</v>
      </c>
    </row>
    <row r="441">
      <c r="A441" s="6" t="str">
        <f>IFERROR(__xludf.DUMMYFUNCTION("""COMPUTED_VALUE"""),"MFH")</f>
        <v>MFH</v>
      </c>
      <c r="B441" s="6" t="str">
        <f>IFERROR(__xludf.DUMMYFUNCTION("""COMPUTED_VALUE"""),"ENG")</f>
        <v>ENG</v>
      </c>
      <c r="C441" s="6" t="str">
        <f>IFERROR(__xludf.DUMMYFUNCTION("""COMPUTED_VALUE"""),"Q-10817-00")</f>
        <v>Q-10817-00</v>
      </c>
      <c r="D441" s="6" t="str">
        <f>IFERROR(__xludf.DUMMYFUNCTION("""COMPUTED_VALUE"""),"Door Closer Type: TS77 Hold Open; DORMA; ;")</f>
        <v>Door Closer Type: TS77 Hold Open; DORMA; ;</v>
      </c>
      <c r="E441" s="6">
        <f>IFERROR(__xludf.DUMMYFUNCTION("""COMPUTED_VALUE"""),2.0)</f>
        <v>2</v>
      </c>
      <c r="F441" s="6">
        <f>IFERROR(__xludf.DUMMYFUNCTION("""COMPUTED_VALUE"""),2.0)</f>
        <v>2</v>
      </c>
      <c r="G441" s="6">
        <f>IFERROR(__xludf.DUMMYFUNCTION("""COMPUTED_VALUE"""),0.0)</f>
        <v>0</v>
      </c>
      <c r="H441" s="6" t="str">
        <f>IFERROR(__xludf.DUMMYFUNCTION("""COMPUTED_VALUE"""),"pcs")</f>
        <v>pcs</v>
      </c>
      <c r="I441" s="6" t="str">
        <f>IFERROR(__xludf.DUMMYFUNCTION("""COMPUTED_VALUE"""),"MFH")</f>
        <v>MFH</v>
      </c>
      <c r="J441" s="6" t="str">
        <f>IFERROR(__xludf.DUMMYFUNCTION("""COMPUTED_VALUE"""),"Building")</f>
        <v>Building</v>
      </c>
      <c r="K441" s="6" t="str">
        <f>IFERROR(__xludf.DUMMYFUNCTION("""COMPUTED_VALUE"""),"SPR/12/23/047")</f>
        <v>SPR/12/23/047</v>
      </c>
      <c r="L441" s="13">
        <f>IFERROR(__xludf.DUMMYFUNCTION("""COMPUTED_VALUE"""),45261.0)</f>
        <v>45261</v>
      </c>
    </row>
    <row r="442">
      <c r="A442" s="6" t="str">
        <f>IFERROR(__xludf.DUMMYFUNCTION("""COMPUTED_VALUE"""),"MFH")</f>
        <v>MFH</v>
      </c>
      <c r="B442" s="6" t="str">
        <f>IFERROR(__xludf.DUMMYFUNCTION("""COMPUTED_VALUE"""),"ENG")</f>
        <v>ENG</v>
      </c>
      <c r="C442" s="6" t="str">
        <f>IFERROR(__xludf.DUMMYFUNCTION("""COMPUTED_VALUE"""),"Q-60067-00")</f>
        <v>Q-60067-00</v>
      </c>
      <c r="D442" s="6" t="str">
        <f>IFERROR(__xludf.DUMMYFUNCTION("""COMPUTED_VALUE"""),"Cat Pilox 124 - Silver")</f>
        <v>Cat Pilox 124 - Silver</v>
      </c>
      <c r="E442" s="6">
        <f>IFERROR(__xludf.DUMMYFUNCTION("""COMPUTED_VALUE"""),3.0)</f>
        <v>3</v>
      </c>
      <c r="F442" s="6">
        <f>IFERROR(__xludf.DUMMYFUNCTION("""COMPUTED_VALUE"""),3.0)</f>
        <v>3</v>
      </c>
      <c r="G442" s="6">
        <f>IFERROR(__xludf.DUMMYFUNCTION("""COMPUTED_VALUE"""),0.0)</f>
        <v>0</v>
      </c>
      <c r="H442" s="6" t="str">
        <f>IFERROR(__xludf.DUMMYFUNCTION("""COMPUTED_VALUE"""),"pcs")</f>
        <v>pcs</v>
      </c>
      <c r="I442" s="6" t="str">
        <f>IFERROR(__xludf.DUMMYFUNCTION("""COMPUTED_VALUE"""),"MFH")</f>
        <v>MFH</v>
      </c>
      <c r="J442" s="6" t="str">
        <f>IFERROR(__xludf.DUMMYFUNCTION("""COMPUTED_VALUE"""),"Building")</f>
        <v>Building</v>
      </c>
      <c r="K442" s="6" t="str">
        <f>IFERROR(__xludf.DUMMYFUNCTION("""COMPUTED_VALUE"""),"SPR/12/23/047")</f>
        <v>SPR/12/23/047</v>
      </c>
      <c r="L442" s="13">
        <f>IFERROR(__xludf.DUMMYFUNCTION("""COMPUTED_VALUE"""),45261.0)</f>
        <v>45261</v>
      </c>
    </row>
    <row r="443">
      <c r="A443" s="6" t="str">
        <f>IFERROR(__xludf.DUMMYFUNCTION("""COMPUTED_VALUE"""),"MFH")</f>
        <v>MFH</v>
      </c>
      <c r="B443" s="6" t="str">
        <f>IFERROR(__xludf.DUMMYFUNCTION("""COMPUTED_VALUE"""),"ENG")</f>
        <v>ENG</v>
      </c>
      <c r="C443" s="6" t="str">
        <f>IFERROR(__xludf.DUMMYFUNCTION("""COMPUTED_VALUE"""),"P-53214-00")</f>
        <v>P-53214-00</v>
      </c>
      <c r="D443" s="6" t="str">
        <f>IFERROR(__xludf.DUMMYFUNCTION("""COMPUTED_VALUE"""),"Epoxy Adhesive DEXTONE")</f>
        <v>Epoxy Adhesive DEXTONE</v>
      </c>
      <c r="E443" s="6">
        <f>IFERROR(__xludf.DUMMYFUNCTION("""COMPUTED_VALUE"""),2.0)</f>
        <v>2</v>
      </c>
      <c r="F443" s="6">
        <f>IFERROR(__xludf.DUMMYFUNCTION("""COMPUTED_VALUE"""),2.0)</f>
        <v>2</v>
      </c>
      <c r="G443" s="6">
        <f>IFERROR(__xludf.DUMMYFUNCTION("""COMPUTED_VALUE"""),0.0)</f>
        <v>0</v>
      </c>
      <c r="H443" s="6" t="str">
        <f>IFERROR(__xludf.DUMMYFUNCTION("""COMPUTED_VALUE"""),"pcs")</f>
        <v>pcs</v>
      </c>
      <c r="I443" s="6" t="str">
        <f>IFERROR(__xludf.DUMMYFUNCTION("""COMPUTED_VALUE"""),"MFH")</f>
        <v>MFH</v>
      </c>
      <c r="J443" s="6" t="str">
        <f>IFERROR(__xludf.DUMMYFUNCTION("""COMPUTED_VALUE"""),"Building")</f>
        <v>Building</v>
      </c>
      <c r="K443" s="6" t="str">
        <f>IFERROR(__xludf.DUMMYFUNCTION("""COMPUTED_VALUE"""),"SPR/12/23/048")</f>
        <v>SPR/12/23/048</v>
      </c>
      <c r="L443" s="13">
        <f>IFERROR(__xludf.DUMMYFUNCTION("""COMPUTED_VALUE"""),45261.0)</f>
        <v>45261</v>
      </c>
    </row>
    <row r="444">
      <c r="A444" s="6" t="str">
        <f>IFERROR(__xludf.DUMMYFUNCTION("""COMPUTED_VALUE"""),"MFH")</f>
        <v>MFH</v>
      </c>
      <c r="B444" s="6" t="str">
        <f>IFERROR(__xludf.DUMMYFUNCTION("""COMPUTED_VALUE"""),"ENG")</f>
        <v>ENG</v>
      </c>
      <c r="C444" s="6" t="str">
        <f>IFERROR(__xludf.DUMMYFUNCTION("""COMPUTED_VALUE"""),"P-13389-00")</f>
        <v>P-13389-00</v>
      </c>
      <c r="D444" s="6" t="str">
        <f>IFERROR(__xludf.DUMMYFUNCTION("""COMPUTED_VALUE"""),"Scotch Brite 3M; ; ;")</f>
        <v>Scotch Brite 3M; ; ;</v>
      </c>
      <c r="E444" s="6">
        <f>IFERROR(__xludf.DUMMYFUNCTION("""COMPUTED_VALUE"""),1.0)</f>
        <v>1</v>
      </c>
      <c r="F444" s="6">
        <f>IFERROR(__xludf.DUMMYFUNCTION("""COMPUTED_VALUE"""),1.0)</f>
        <v>1</v>
      </c>
      <c r="G444" s="6">
        <f>IFERROR(__xludf.DUMMYFUNCTION("""COMPUTED_VALUE"""),0.0)</f>
        <v>0</v>
      </c>
      <c r="H444" s="6" t="str">
        <f>IFERROR(__xludf.DUMMYFUNCTION("""COMPUTED_VALUE"""),"pcs")</f>
        <v>pcs</v>
      </c>
      <c r="I444" s="6" t="str">
        <f>IFERROR(__xludf.DUMMYFUNCTION("""COMPUTED_VALUE"""),"MFH")</f>
        <v>MFH</v>
      </c>
      <c r="J444" s="6" t="str">
        <f>IFERROR(__xludf.DUMMYFUNCTION("""COMPUTED_VALUE"""),"Building")</f>
        <v>Building</v>
      </c>
      <c r="K444" s="6" t="str">
        <f>IFERROR(__xludf.DUMMYFUNCTION("""COMPUTED_VALUE"""),"SPR/12/23/048")</f>
        <v>SPR/12/23/048</v>
      </c>
      <c r="L444" s="13">
        <f>IFERROR(__xludf.DUMMYFUNCTION("""COMPUTED_VALUE"""),45261.0)</f>
        <v>45261</v>
      </c>
    </row>
    <row r="445">
      <c r="A445" s="6" t="str">
        <f>IFERROR(__xludf.DUMMYFUNCTION("""COMPUTED_VALUE"""),"MFH")</f>
        <v>MFH</v>
      </c>
      <c r="B445" s="6" t="str">
        <f>IFERROR(__xludf.DUMMYFUNCTION("""COMPUTED_VALUE"""),"ENG")</f>
        <v>ENG</v>
      </c>
      <c r="C445" s="6" t="str">
        <f>IFERROR(__xludf.DUMMYFUNCTION("""COMPUTED_VALUE"""),"P-12433-00")</f>
        <v>P-12433-00</v>
      </c>
      <c r="D445" s="6" t="str">
        <f>IFERROR(__xludf.DUMMYFUNCTION("""COMPUTED_VALUE"""),"Isolasi AC- Sansui")</f>
        <v>Isolasi AC- Sansui</v>
      </c>
      <c r="E445" s="6">
        <f>IFERROR(__xludf.DUMMYFUNCTION("""COMPUTED_VALUE"""),1.0)</f>
        <v>1</v>
      </c>
      <c r="F445" s="6">
        <f>IFERROR(__xludf.DUMMYFUNCTION("""COMPUTED_VALUE"""),1.0)</f>
        <v>1</v>
      </c>
      <c r="G445" s="6">
        <f>IFERROR(__xludf.DUMMYFUNCTION("""COMPUTED_VALUE"""),0.0)</f>
        <v>0</v>
      </c>
      <c r="H445" s="6" t="str">
        <f>IFERROR(__xludf.DUMMYFUNCTION("""COMPUTED_VALUE"""),"pcs")</f>
        <v>pcs</v>
      </c>
      <c r="I445" s="6" t="str">
        <f>IFERROR(__xludf.DUMMYFUNCTION("""COMPUTED_VALUE"""),"MFH")</f>
        <v>MFH</v>
      </c>
      <c r="J445" s="6" t="str">
        <f>IFERROR(__xludf.DUMMYFUNCTION("""COMPUTED_VALUE"""),"Building")</f>
        <v>Building</v>
      </c>
      <c r="K445" s="6" t="str">
        <f>IFERROR(__xludf.DUMMYFUNCTION("""COMPUTED_VALUE"""),"SPR/12/23/048")</f>
        <v>SPR/12/23/048</v>
      </c>
      <c r="L445" s="13">
        <f>IFERROR(__xludf.DUMMYFUNCTION("""COMPUTED_VALUE"""),45261.0)</f>
        <v>45261</v>
      </c>
    </row>
    <row r="446">
      <c r="A446" s="6" t="str">
        <f>IFERROR(__xludf.DUMMYFUNCTION("""COMPUTED_VALUE"""),"INN")</f>
        <v>INN</v>
      </c>
      <c r="B446" s="6" t="str">
        <f>IFERROR(__xludf.DUMMYFUNCTION("""COMPUTED_VALUE"""),"ENG")</f>
        <v>ENG</v>
      </c>
      <c r="C446" s="6" t="str">
        <f>IFERROR(__xludf.DUMMYFUNCTION("""COMPUTED_VALUE"""),"P-18666-00")</f>
        <v>P-18666-00</v>
      </c>
      <c r="D446" s="6" t="str">
        <f>IFERROR(__xludf.DUMMYFUNCTION("""COMPUTED_VALUE"""),"Vlok Ring Kuningan 1 inch x 1/2 inch")</f>
        <v>Vlok Ring Kuningan 1 inch x 1/2 inch</v>
      </c>
      <c r="E446" s="6">
        <f>IFERROR(__xludf.DUMMYFUNCTION("""COMPUTED_VALUE"""),2.0)</f>
        <v>2</v>
      </c>
      <c r="F446" s="6">
        <f>IFERROR(__xludf.DUMMYFUNCTION("""COMPUTED_VALUE"""),2.0)</f>
        <v>2</v>
      </c>
      <c r="G446" s="6">
        <f>IFERROR(__xludf.DUMMYFUNCTION("""COMPUTED_VALUE"""),0.0)</f>
        <v>0</v>
      </c>
      <c r="H446" s="6" t="str">
        <f>IFERROR(__xludf.DUMMYFUNCTION("""COMPUTED_VALUE"""),"pcs")</f>
        <v>pcs</v>
      </c>
      <c r="I446" s="6" t="str">
        <f>IFERROR(__xludf.DUMMYFUNCTION("""COMPUTED_VALUE"""),"MFH")</f>
        <v>MFH</v>
      </c>
      <c r="J446" s="6" t="str">
        <f>IFERROR(__xludf.DUMMYFUNCTION("""COMPUTED_VALUE"""),"FD IMA")</f>
        <v>FD IMA</v>
      </c>
      <c r="K446" s="6" t="str">
        <f>IFERROR(__xludf.DUMMYFUNCTION("""COMPUTED_VALUE"""),"SPR/12/23/049")</f>
        <v>SPR/12/23/049</v>
      </c>
      <c r="L446" s="13">
        <f>IFERROR(__xludf.DUMMYFUNCTION("""COMPUTED_VALUE"""),45261.0)</f>
        <v>45261</v>
      </c>
    </row>
    <row r="447">
      <c r="A447" s="6" t="str">
        <f>IFERROR(__xludf.DUMMYFUNCTION("""COMPUTED_VALUE"""),"INN")</f>
        <v>INN</v>
      </c>
      <c r="B447" s="6" t="str">
        <f>IFERROR(__xludf.DUMMYFUNCTION("""COMPUTED_VALUE"""),"ENG")</f>
        <v>ENG</v>
      </c>
      <c r="C447" s="6" t="str">
        <f>IFERROR(__xludf.DUMMYFUNCTION("""COMPUTED_VALUE"""),"P-13714-00")</f>
        <v>P-13714-00</v>
      </c>
      <c r="D447" s="6" t="str">
        <f>IFERROR(__xludf.DUMMYFUNCTION("""COMPUTED_VALUE"""),"Autoclave Fedegari FVA2/A1 NB2963AT - Oring Viton 29 x 22 x 3.5 mm")</f>
        <v>Autoclave Fedegari FVA2/A1 NB2963AT - Oring Viton 29 x 22 x 3.5 mm</v>
      </c>
      <c r="E447" s="6">
        <f>IFERROR(__xludf.DUMMYFUNCTION("""COMPUTED_VALUE"""),5.0)</f>
        <v>5</v>
      </c>
      <c r="F447" s="6">
        <f>IFERROR(__xludf.DUMMYFUNCTION("""COMPUTED_VALUE"""),5.0)</f>
        <v>5</v>
      </c>
      <c r="G447" s="6">
        <f>IFERROR(__xludf.DUMMYFUNCTION("""COMPUTED_VALUE"""),0.0)</f>
        <v>0</v>
      </c>
      <c r="H447" s="6" t="str">
        <f>IFERROR(__xludf.DUMMYFUNCTION("""COMPUTED_VALUE"""),"pcs")</f>
        <v>pcs</v>
      </c>
      <c r="I447" s="6" t="str">
        <f>IFERROR(__xludf.DUMMYFUNCTION("""COMPUTED_VALUE"""),"MFH")</f>
        <v>MFH</v>
      </c>
      <c r="J447" s="6" t="str">
        <f>IFERROR(__xludf.DUMMYFUNCTION("""COMPUTED_VALUE"""),"Autoclave")</f>
        <v>Autoclave</v>
      </c>
      <c r="K447" s="6" t="str">
        <f>IFERROR(__xludf.DUMMYFUNCTION("""COMPUTED_VALUE"""),"SPR/12/23/049")</f>
        <v>SPR/12/23/049</v>
      </c>
      <c r="L447" s="13">
        <f>IFERROR(__xludf.DUMMYFUNCTION("""COMPUTED_VALUE"""),45261.0)</f>
        <v>45261</v>
      </c>
    </row>
    <row r="448">
      <c r="A448" s="6" t="str">
        <f>IFERROR(__xludf.DUMMYFUNCTION("""COMPUTED_VALUE"""),"INN")</f>
        <v>INN</v>
      </c>
      <c r="B448" s="6" t="str">
        <f>IFERROR(__xludf.DUMMYFUNCTION("""COMPUTED_VALUE"""),"ENG")</f>
        <v>ENG</v>
      </c>
      <c r="C448" s="6" t="str">
        <f>IFERROR(__xludf.DUMMYFUNCTION("""COMPUTED_VALUE"""),"P-15429-00")</f>
        <v>P-15429-00</v>
      </c>
      <c r="D448" s="6" t="str">
        <f>IFERROR(__xludf.DUMMYFUNCTION("""COMPUTED_VALUE"""),"Fedegari FVA2/A1 S/N : NB2964AT - Cover Seal FVM-A/2 FOB2 (Code: PP600265)")</f>
        <v>Fedegari FVA2/A1 S/N : NB2964AT - Cover Seal FVM-A/2 FOB2 (Code: PP600265)</v>
      </c>
      <c r="E448" s="6">
        <f>IFERROR(__xludf.DUMMYFUNCTION("""COMPUTED_VALUE"""),1.0)</f>
        <v>1</v>
      </c>
      <c r="F448" s="6">
        <f>IFERROR(__xludf.DUMMYFUNCTION("""COMPUTED_VALUE"""),1.0)</f>
        <v>1</v>
      </c>
      <c r="G448" s="6">
        <f>IFERROR(__xludf.DUMMYFUNCTION("""COMPUTED_VALUE"""),0.0)</f>
        <v>0</v>
      </c>
      <c r="H448" s="6" t="str">
        <f>IFERROR(__xludf.DUMMYFUNCTION("""COMPUTED_VALUE"""),"pcs")</f>
        <v>pcs</v>
      </c>
      <c r="I448" s="6" t="str">
        <f>IFERROR(__xludf.DUMMYFUNCTION("""COMPUTED_VALUE"""),"MFH")</f>
        <v>MFH</v>
      </c>
      <c r="J448" s="6" t="str">
        <f>IFERROR(__xludf.DUMMYFUNCTION("""COMPUTED_VALUE"""),"Autoclave")</f>
        <v>Autoclave</v>
      </c>
      <c r="K448" s="6" t="str">
        <f>IFERROR(__xludf.DUMMYFUNCTION("""COMPUTED_VALUE"""),"SPR/12/23/049")</f>
        <v>SPR/12/23/049</v>
      </c>
      <c r="L448" s="13">
        <f>IFERROR(__xludf.DUMMYFUNCTION("""COMPUTED_VALUE"""),45261.0)</f>
        <v>45261</v>
      </c>
    </row>
    <row r="449">
      <c r="A449" s="6" t="str">
        <f>IFERROR(__xludf.DUMMYFUNCTION("""COMPUTED_VALUE"""),"MFH")</f>
        <v>MFH</v>
      </c>
      <c r="B449" s="6" t="str">
        <f>IFERROR(__xludf.DUMMYFUNCTION("""COMPUTED_VALUE"""),"ENG")</f>
        <v>ENG</v>
      </c>
      <c r="C449" s="6" t="str">
        <f>IFERROR(__xludf.DUMMYFUNCTION("""COMPUTED_VALUE"""),"P-12523-00")</f>
        <v>P-12523-00</v>
      </c>
      <c r="D449" s="6" t="str">
        <f>IFERROR(__xludf.DUMMYFUNCTION("""COMPUTED_VALUE"""),"Neeple bushing kuningan 3/4x1/2inch")</f>
        <v>Neeple bushing kuningan 3/4x1/2inch</v>
      </c>
      <c r="E449" s="6">
        <f>IFERROR(__xludf.DUMMYFUNCTION("""COMPUTED_VALUE"""),2.0)</f>
        <v>2</v>
      </c>
      <c r="F449" s="6">
        <f>IFERROR(__xludf.DUMMYFUNCTION("""COMPUTED_VALUE"""),2.0)</f>
        <v>2</v>
      </c>
      <c r="G449" s="6">
        <f>IFERROR(__xludf.DUMMYFUNCTION("""COMPUTED_VALUE"""),0.0)</f>
        <v>0</v>
      </c>
      <c r="H449" s="6" t="str">
        <f>IFERROR(__xludf.DUMMYFUNCTION("""COMPUTED_VALUE"""),"pcs")</f>
        <v>pcs</v>
      </c>
      <c r="I449" s="6" t="str">
        <f>IFERROR(__xludf.DUMMYFUNCTION("""COMPUTED_VALUE"""),"MFH")</f>
        <v>MFH</v>
      </c>
      <c r="J449" s="6" t="str">
        <f>IFERROR(__xludf.DUMMYFUNCTION("""COMPUTED_VALUE"""),"-")</f>
        <v>-</v>
      </c>
      <c r="K449" s="6" t="str">
        <f>IFERROR(__xludf.DUMMYFUNCTION("""COMPUTED_VALUE"""),"SPR/12/23/050")</f>
        <v>SPR/12/23/050</v>
      </c>
      <c r="L449" s="13">
        <f>IFERROR(__xludf.DUMMYFUNCTION("""COMPUTED_VALUE"""),45261.0)</f>
        <v>45261</v>
      </c>
    </row>
    <row r="450">
      <c r="A450" s="6" t="str">
        <f>IFERROR(__xludf.DUMMYFUNCTION("""COMPUTED_VALUE"""),"MFH")</f>
        <v>MFH</v>
      </c>
      <c r="B450" s="6" t="str">
        <f>IFERROR(__xludf.DUMMYFUNCTION("""COMPUTED_VALUE"""),"ENG")</f>
        <v>ENG</v>
      </c>
      <c r="C450" s="6" t="str">
        <f>IFERROR(__xludf.DUMMYFUNCTION("""COMPUTED_VALUE"""),"P-15905-00")</f>
        <v>P-15905-00</v>
      </c>
      <c r="D450" s="6" t="str">
        <f>IFERROR(__xludf.DUMMYFUNCTION("""COMPUTED_VALUE"""),"Filter Catridge; Type: TefTEC Series; P/N : TefTEC 0.2 - 10 P7S; Lenght : 10 Inch; O-Ring : 226 Fin")</f>
        <v>Filter Catridge; Type: TefTEC Series; P/N : TefTEC 0.2 - 10 P7S; Lenght : 10 Inch; O-Ring : 226 Fin</v>
      </c>
      <c r="E450" s="6">
        <f>IFERROR(__xludf.DUMMYFUNCTION("""COMPUTED_VALUE"""),1.0)</f>
        <v>1</v>
      </c>
      <c r="F450" s="6">
        <f>IFERROR(__xludf.DUMMYFUNCTION("""COMPUTED_VALUE"""),1.0)</f>
        <v>1</v>
      </c>
      <c r="G450" s="6">
        <f>IFERROR(__xludf.DUMMYFUNCTION("""COMPUTED_VALUE"""),0.0)</f>
        <v>0</v>
      </c>
      <c r="H450" s="6" t="str">
        <f>IFERROR(__xludf.DUMMYFUNCTION("""COMPUTED_VALUE"""),"pcs")</f>
        <v>pcs</v>
      </c>
      <c r="I450" s="6" t="str">
        <f>IFERROR(__xludf.DUMMYFUNCTION("""COMPUTED_VALUE"""),"MFH")</f>
        <v>MFH</v>
      </c>
      <c r="J450" s="6" t="str">
        <f>IFERROR(__xludf.DUMMYFUNCTION("""COMPUTED_VALUE"""),"-")</f>
        <v>-</v>
      </c>
      <c r="K450" s="6" t="str">
        <f>IFERROR(__xludf.DUMMYFUNCTION("""COMPUTED_VALUE"""),"SPR/12/23/050")</f>
        <v>SPR/12/23/050</v>
      </c>
      <c r="L450" s="13">
        <f>IFERROR(__xludf.DUMMYFUNCTION("""COMPUTED_VALUE"""),45261.0)</f>
        <v>45261</v>
      </c>
    </row>
    <row r="451">
      <c r="A451" s="6" t="str">
        <f>IFERROR(__xludf.DUMMYFUNCTION("""COMPUTED_VALUE"""),"MFH")</f>
        <v>MFH</v>
      </c>
      <c r="B451" s="6" t="str">
        <f>IFERROR(__xludf.DUMMYFUNCTION("""COMPUTED_VALUE"""),"ENG")</f>
        <v>ENG</v>
      </c>
      <c r="C451" s="6" t="str">
        <f>IFERROR(__xludf.DUMMYFUNCTION("""COMPUTED_VALUE"""),"P-18546-00")</f>
        <v>P-18546-00</v>
      </c>
      <c r="D451" s="6" t="str">
        <f>IFERROR(__xludf.DUMMYFUNCTION("""COMPUTED_VALUE"""),"Constan Air Volume EN 200x100 with Flow Scale 0-600 CMH")</f>
        <v>Constan Air Volume EN 200x100 with Flow Scale 0-600 CMH</v>
      </c>
      <c r="E451" s="6">
        <f>IFERROR(__xludf.DUMMYFUNCTION("""COMPUTED_VALUE"""),1.0)</f>
        <v>1</v>
      </c>
      <c r="F451" s="6">
        <f>IFERROR(__xludf.DUMMYFUNCTION("""COMPUTED_VALUE"""),1.0)</f>
        <v>1</v>
      </c>
      <c r="G451" s="6">
        <f>IFERROR(__xludf.DUMMYFUNCTION("""COMPUTED_VALUE"""),0.0)</f>
        <v>0</v>
      </c>
      <c r="H451" s="6" t="str">
        <f>IFERROR(__xludf.DUMMYFUNCTION("""COMPUTED_VALUE"""),"pcs")</f>
        <v>pcs</v>
      </c>
      <c r="I451" s="6" t="str">
        <f>IFERROR(__xludf.DUMMYFUNCTION("""COMPUTED_VALUE"""),"MFH")</f>
        <v>MFH</v>
      </c>
      <c r="J451" s="6" t="str">
        <f>IFERROR(__xludf.DUMMYFUNCTION("""COMPUTED_VALUE"""),"-")</f>
        <v>-</v>
      </c>
      <c r="K451" s="6" t="str">
        <f>IFERROR(__xludf.DUMMYFUNCTION("""COMPUTED_VALUE"""),"SPR/12/23/050")</f>
        <v>SPR/12/23/050</v>
      </c>
      <c r="L451" s="13">
        <f>IFERROR(__xludf.DUMMYFUNCTION("""COMPUTED_VALUE"""),45261.0)</f>
        <v>45261</v>
      </c>
    </row>
    <row r="452">
      <c r="A452" s="6" t="str">
        <f>IFERROR(__xludf.DUMMYFUNCTION("""COMPUTED_VALUE"""),"MFH")</f>
        <v>MFH</v>
      </c>
      <c r="B452" s="6" t="str">
        <f>IFERROR(__xludf.DUMMYFUNCTION("""COMPUTED_VALUE"""),"ENG")</f>
        <v>ENG</v>
      </c>
      <c r="C452" s="6" t="str">
        <f>IFERROR(__xludf.DUMMYFUNCTION("""COMPUTED_VALUE"""),"P-53104-00")</f>
        <v>P-53104-00</v>
      </c>
      <c r="D452" s="6" t="str">
        <f>IFERROR(__xludf.DUMMYFUNCTION("""COMPUTED_VALUE"""),"Fitting Keramik Lampu Mercury SON-T 70W PHILIPS")</f>
        <v>Fitting Keramik Lampu Mercury SON-T 70W PHILIPS</v>
      </c>
      <c r="E452" s="6">
        <f>IFERROR(__xludf.DUMMYFUNCTION("""COMPUTED_VALUE"""),1.0)</f>
        <v>1</v>
      </c>
      <c r="F452" s="6">
        <f>IFERROR(__xludf.DUMMYFUNCTION("""COMPUTED_VALUE"""),1.0)</f>
        <v>1</v>
      </c>
      <c r="G452" s="6">
        <f>IFERROR(__xludf.DUMMYFUNCTION("""COMPUTED_VALUE"""),0.0)</f>
        <v>0</v>
      </c>
      <c r="H452" s="6" t="str">
        <f>IFERROR(__xludf.DUMMYFUNCTION("""COMPUTED_VALUE"""),"pcs")</f>
        <v>pcs</v>
      </c>
      <c r="I452" s="6" t="str">
        <f>IFERROR(__xludf.DUMMYFUNCTION("""COMPUTED_VALUE"""),"MFH")</f>
        <v>MFH</v>
      </c>
      <c r="J452" s="6" t="str">
        <f>IFERROR(__xludf.DUMMYFUNCTION("""COMPUTED_VALUE"""),"-")</f>
        <v>-</v>
      </c>
      <c r="K452" s="6" t="str">
        <f>IFERROR(__xludf.DUMMYFUNCTION("""COMPUTED_VALUE"""),"SPR/12/23/051")</f>
        <v>SPR/12/23/051</v>
      </c>
      <c r="L452" s="13">
        <f>IFERROR(__xludf.DUMMYFUNCTION("""COMPUTED_VALUE"""),45261.0)</f>
        <v>45261</v>
      </c>
    </row>
    <row r="453">
      <c r="A453" s="6" t="str">
        <f>IFERROR(__xludf.DUMMYFUNCTION("""COMPUTED_VALUE"""),"MFH")</f>
        <v>MFH</v>
      </c>
      <c r="B453" s="6" t="str">
        <f>IFERROR(__xludf.DUMMYFUNCTION("""COMPUTED_VALUE"""),"ENG")</f>
        <v>ENG</v>
      </c>
      <c r="C453" s="6" t="str">
        <f>IFERROR(__xludf.DUMMYFUNCTION("""COMPUTED_VALUE"""),"P-51840-00")</f>
        <v>P-51840-00</v>
      </c>
      <c r="D453" s="6" t="str">
        <f>IFERROR(__xludf.DUMMYFUNCTION("""COMPUTED_VALUE"""),"Button Box 3 hole dia 22 mm")</f>
        <v>Button Box 3 hole dia 22 mm</v>
      </c>
      <c r="E453" s="6">
        <f>IFERROR(__xludf.DUMMYFUNCTION("""COMPUTED_VALUE"""),1.0)</f>
        <v>1</v>
      </c>
      <c r="F453" s="6">
        <f>IFERROR(__xludf.DUMMYFUNCTION("""COMPUTED_VALUE"""),1.0)</f>
        <v>1</v>
      </c>
      <c r="G453" s="6">
        <f>IFERROR(__xludf.DUMMYFUNCTION("""COMPUTED_VALUE"""),0.0)</f>
        <v>0</v>
      </c>
      <c r="H453" s="6" t="str">
        <f>IFERROR(__xludf.DUMMYFUNCTION("""COMPUTED_VALUE"""),"pcs")</f>
        <v>pcs</v>
      </c>
      <c r="I453" s="6" t="str">
        <f>IFERROR(__xludf.DUMMYFUNCTION("""COMPUTED_VALUE"""),"MFH")</f>
        <v>MFH</v>
      </c>
      <c r="J453" s="6" t="str">
        <f>IFERROR(__xludf.DUMMYFUNCTION("""COMPUTED_VALUE"""),"-")</f>
        <v>-</v>
      </c>
      <c r="K453" s="6" t="str">
        <f>IFERROR(__xludf.DUMMYFUNCTION("""COMPUTED_VALUE"""),"SPR/12/23/051")</f>
        <v>SPR/12/23/051</v>
      </c>
      <c r="L453" s="13">
        <f>IFERROR(__xludf.DUMMYFUNCTION("""COMPUTED_VALUE"""),45261.0)</f>
        <v>45261</v>
      </c>
    </row>
    <row r="454">
      <c r="A454" s="6" t="str">
        <f>IFERROR(__xludf.DUMMYFUNCTION("""COMPUTED_VALUE"""),"MFH")</f>
        <v>MFH</v>
      </c>
      <c r="B454" s="6" t="str">
        <f>IFERROR(__xludf.DUMMYFUNCTION("""COMPUTED_VALUE"""),"ENG")</f>
        <v>ENG</v>
      </c>
      <c r="C454" s="6" t="str">
        <f>IFERROR(__xludf.DUMMYFUNCTION("""COMPUTED_VALUE"""),"P-17897-00")</f>
        <v>P-17897-00</v>
      </c>
      <c r="D454" s="6" t="str">
        <f>IFERROR(__xludf.DUMMYFUNCTION("""COMPUTED_VALUE"""),"Foam Tape Perekat 1 Sisi 3mm x 25mm x 10M")</f>
        <v>Foam Tape Perekat 1 Sisi 3mm x 25mm x 10M</v>
      </c>
      <c r="E454" s="6">
        <f>IFERROR(__xludf.DUMMYFUNCTION("""COMPUTED_VALUE"""),3.0)</f>
        <v>3</v>
      </c>
      <c r="F454" s="6">
        <f>IFERROR(__xludf.DUMMYFUNCTION("""COMPUTED_VALUE"""),3.0)</f>
        <v>3</v>
      </c>
      <c r="G454" s="6">
        <f>IFERROR(__xludf.DUMMYFUNCTION("""COMPUTED_VALUE"""),0.0)</f>
        <v>0</v>
      </c>
      <c r="H454" s="6" t="str">
        <f>IFERROR(__xludf.DUMMYFUNCTION("""COMPUTED_VALUE"""),"pcs")</f>
        <v>pcs</v>
      </c>
      <c r="I454" s="6" t="str">
        <f>IFERROR(__xludf.DUMMYFUNCTION("""COMPUTED_VALUE"""),"MFH")</f>
        <v>MFH</v>
      </c>
      <c r="J454" s="6" t="str">
        <f>IFERROR(__xludf.DUMMYFUNCTION("""COMPUTED_VALUE"""),"-")</f>
        <v>-</v>
      </c>
      <c r="K454" s="6" t="str">
        <f>IFERROR(__xludf.DUMMYFUNCTION("""COMPUTED_VALUE"""),"SPR/12/23/051")</f>
        <v>SPR/12/23/051</v>
      </c>
      <c r="L454" s="13">
        <f>IFERROR(__xludf.DUMMYFUNCTION("""COMPUTED_VALUE"""),45261.0)</f>
        <v>45261</v>
      </c>
    </row>
    <row r="455">
      <c r="A455" s="6" t="str">
        <f>IFERROR(__xludf.DUMMYFUNCTION("""COMPUTED_VALUE"""),"MFH")</f>
        <v>MFH</v>
      </c>
      <c r="B455" s="6" t="str">
        <f>IFERROR(__xludf.DUMMYFUNCTION("""COMPUTED_VALUE"""),"ENG")</f>
        <v>ENG</v>
      </c>
      <c r="C455" s="6" t="str">
        <f>IFERROR(__xludf.DUMMYFUNCTION("""COMPUTED_VALUE"""),"P-52193-00")</f>
        <v>P-52193-00</v>
      </c>
      <c r="D455" s="6" t="str">
        <f>IFERROR(__xludf.DUMMYFUNCTION("""COMPUTED_VALUE"""),"Lampu UV 8 Watt")</f>
        <v>Lampu UV 8 Watt</v>
      </c>
      <c r="E455" s="6">
        <f>IFERROR(__xludf.DUMMYFUNCTION("""COMPUTED_VALUE"""),1.0)</f>
        <v>1</v>
      </c>
      <c r="F455" s="6">
        <f>IFERROR(__xludf.DUMMYFUNCTION("""COMPUTED_VALUE"""),1.0)</f>
        <v>1</v>
      </c>
      <c r="G455" s="6">
        <f>IFERROR(__xludf.DUMMYFUNCTION("""COMPUTED_VALUE"""),0.0)</f>
        <v>0</v>
      </c>
      <c r="H455" s="6" t="str">
        <f>IFERROR(__xludf.DUMMYFUNCTION("""COMPUTED_VALUE"""),"pcs")</f>
        <v>pcs</v>
      </c>
      <c r="I455" s="6" t="str">
        <f>IFERROR(__xludf.DUMMYFUNCTION("""COMPUTED_VALUE"""),"MFH")</f>
        <v>MFH</v>
      </c>
      <c r="J455" s="6" t="str">
        <f>IFERROR(__xludf.DUMMYFUNCTION("""COMPUTED_VALUE"""),"lab")</f>
        <v>lab</v>
      </c>
      <c r="K455" s="6" t="str">
        <f>IFERROR(__xludf.DUMMYFUNCTION("""COMPUTED_VALUE"""),"SPR/12/23/052")</f>
        <v>SPR/12/23/052</v>
      </c>
      <c r="L455" s="13">
        <f>IFERROR(__xludf.DUMMYFUNCTION("""COMPUTED_VALUE"""),45261.0)</f>
        <v>45261</v>
      </c>
    </row>
    <row r="456">
      <c r="A456" s="6" t="str">
        <f>IFERROR(__xludf.DUMMYFUNCTION("""COMPUTED_VALUE"""),"MFH")</f>
        <v>MFH</v>
      </c>
      <c r="B456" s="6" t="str">
        <f>IFERROR(__xludf.DUMMYFUNCTION("""COMPUTED_VALUE"""),"ENG")</f>
        <v>ENG</v>
      </c>
      <c r="C456" s="6" t="str">
        <f>IFERROR(__xludf.DUMMYFUNCTION("""COMPUTED_VALUE"""),"P-17668-00")</f>
        <v>P-17668-00</v>
      </c>
      <c r="D456" s="6" t="str">
        <f>IFERROR(__xludf.DUMMYFUNCTION("""COMPUTED_VALUE"""),"Speed Control AS2002F-04")</f>
        <v>Speed Control AS2002F-04</v>
      </c>
      <c r="E456" s="6">
        <f>IFERROR(__xludf.DUMMYFUNCTION("""COMPUTED_VALUE"""),2.0)</f>
        <v>2</v>
      </c>
      <c r="F456" s="6">
        <f>IFERROR(__xludf.DUMMYFUNCTION("""COMPUTED_VALUE"""),2.0)</f>
        <v>2</v>
      </c>
      <c r="G456" s="6">
        <f>IFERROR(__xludf.DUMMYFUNCTION("""COMPUTED_VALUE"""),0.0)</f>
        <v>0</v>
      </c>
      <c r="H456" s="6" t="str">
        <f>IFERROR(__xludf.DUMMYFUNCTION("""COMPUTED_VALUE"""),"pcs")</f>
        <v>pcs</v>
      </c>
      <c r="I456" s="6" t="str">
        <f>IFERROR(__xludf.DUMMYFUNCTION("""COMPUTED_VALUE"""),"MFH")</f>
        <v>MFH</v>
      </c>
      <c r="J456" s="6" t="str">
        <f>IFERROR(__xludf.DUMMYFUNCTION("""COMPUTED_VALUE"""),"WASHING")</f>
        <v>WASHING</v>
      </c>
      <c r="K456" s="6" t="str">
        <f>IFERROR(__xludf.DUMMYFUNCTION("""COMPUTED_VALUE"""),"SPR/12/23/052")</f>
        <v>SPR/12/23/052</v>
      </c>
      <c r="L456" s="13">
        <f>IFERROR(__xludf.DUMMYFUNCTION("""COMPUTED_VALUE"""),45261.0)</f>
        <v>45261</v>
      </c>
    </row>
    <row r="457">
      <c r="A457" s="6" t="str">
        <f>IFERROR(__xludf.DUMMYFUNCTION("""COMPUTED_VALUE"""),"MFH")</f>
        <v>MFH</v>
      </c>
      <c r="B457" s="6" t="str">
        <f>IFERROR(__xludf.DUMMYFUNCTION("""COMPUTED_VALUE"""),"ENG")</f>
        <v>ENG</v>
      </c>
      <c r="C457" s="6" t="str">
        <f>IFERROR(__xludf.DUMMYFUNCTION("""COMPUTED_VALUE"""),"P-14952-00")</f>
        <v>P-14952-00</v>
      </c>
      <c r="D457" s="6" t="str">
        <f>IFERROR(__xludf.DUMMYFUNCTION("""COMPUTED_VALUE"""),"Fitting Union Tee KQ2T08-00A")</f>
        <v>Fitting Union Tee KQ2T08-00A</v>
      </c>
      <c r="E457" s="6">
        <f>IFERROR(__xludf.DUMMYFUNCTION("""COMPUTED_VALUE"""),31.0)</f>
        <v>31</v>
      </c>
      <c r="F457" s="6">
        <f>IFERROR(__xludf.DUMMYFUNCTION("""COMPUTED_VALUE"""),31.0)</f>
        <v>31</v>
      </c>
      <c r="G457" s="6">
        <f>IFERROR(__xludf.DUMMYFUNCTION("""COMPUTED_VALUE"""),0.0)</f>
        <v>0</v>
      </c>
      <c r="H457" s="6" t="str">
        <f>IFERROR(__xludf.DUMMYFUNCTION("""COMPUTED_VALUE"""),"pcs")</f>
        <v>pcs</v>
      </c>
      <c r="I457" s="6" t="str">
        <f>IFERROR(__xludf.DUMMYFUNCTION("""COMPUTED_VALUE"""),"MFH")</f>
        <v>MFH</v>
      </c>
      <c r="J457" s="6" t="str">
        <f>IFERROR(__xludf.DUMMYFUNCTION("""COMPUTED_VALUE"""),"-")</f>
        <v>-</v>
      </c>
      <c r="K457" s="6" t="str">
        <f>IFERROR(__xludf.DUMMYFUNCTION("""COMPUTED_VALUE"""),"SPR/12/23/052")</f>
        <v>SPR/12/23/052</v>
      </c>
      <c r="L457" s="13">
        <f>IFERROR(__xludf.DUMMYFUNCTION("""COMPUTED_VALUE"""),45261.0)</f>
        <v>45261</v>
      </c>
    </row>
    <row r="458">
      <c r="A458" s="6" t="str">
        <f>IFERROR(__xludf.DUMMYFUNCTION("""COMPUTED_VALUE"""),"MFH")</f>
        <v>MFH</v>
      </c>
      <c r="B458" s="6" t="str">
        <f>IFERROR(__xludf.DUMMYFUNCTION("""COMPUTED_VALUE"""),"ENG")</f>
        <v>ENG</v>
      </c>
      <c r="C458" s="6" t="str">
        <f>IFERROR(__xludf.DUMMYFUNCTION("""COMPUTED_VALUE"""),"P-12082-00")</f>
        <v>P-12082-00</v>
      </c>
      <c r="D458" s="6" t="str">
        <f>IFERROR(__xludf.DUMMYFUNCTION("""COMPUTED_VALUE"""),"Clamp selang ss dia 3/4inch ex TRIDON")</f>
        <v>Clamp selang ss dia 3/4inch ex TRIDON</v>
      </c>
      <c r="E458" s="6">
        <f>IFERROR(__xludf.DUMMYFUNCTION("""COMPUTED_VALUE"""),1.0)</f>
        <v>1</v>
      </c>
      <c r="F458" s="6">
        <f>IFERROR(__xludf.DUMMYFUNCTION("""COMPUTED_VALUE"""),1.0)</f>
        <v>1</v>
      </c>
      <c r="G458" s="6">
        <f>IFERROR(__xludf.DUMMYFUNCTION("""COMPUTED_VALUE"""),0.0)</f>
        <v>0</v>
      </c>
      <c r="H458" s="6" t="str">
        <f>IFERROR(__xludf.DUMMYFUNCTION("""COMPUTED_VALUE"""),"pcs")</f>
        <v>pcs</v>
      </c>
      <c r="I458" s="6" t="str">
        <f>IFERROR(__xludf.DUMMYFUNCTION("""COMPUTED_VALUE"""),"MFH")</f>
        <v>MFH</v>
      </c>
      <c r="J458" s="6" t="str">
        <f>IFERROR(__xludf.DUMMYFUNCTION("""COMPUTED_VALUE"""),"-")</f>
        <v>-</v>
      </c>
      <c r="K458" s="6" t="str">
        <f>IFERROR(__xludf.DUMMYFUNCTION("""COMPUTED_VALUE"""),"SPR/12/23/053")</f>
        <v>SPR/12/23/053</v>
      </c>
      <c r="L458" s="13">
        <f>IFERROR(__xludf.DUMMYFUNCTION("""COMPUTED_VALUE"""),45261.0)</f>
        <v>45261</v>
      </c>
    </row>
    <row r="459">
      <c r="A459" s="6" t="str">
        <f>IFERROR(__xludf.DUMMYFUNCTION("""COMPUTED_VALUE"""),"MFH")</f>
        <v>MFH</v>
      </c>
      <c r="B459" s="6" t="str">
        <f>IFERROR(__xludf.DUMMYFUNCTION("""COMPUTED_VALUE"""),"ENG")</f>
        <v>ENG</v>
      </c>
      <c r="C459" s="6" t="str">
        <f>IFERROR(__xludf.DUMMYFUNCTION("""COMPUTED_VALUE"""),"P-13259-00")</f>
        <v>P-13259-00</v>
      </c>
      <c r="D459" s="6" t="str">
        <f>IFERROR(__xludf.DUMMYFUNCTION("""COMPUTED_VALUE"""),"Sock Drat dalam SS 304 dia 1 inch")</f>
        <v>Sock Drat dalam SS 304 dia 1 inch</v>
      </c>
      <c r="E459" s="6">
        <f>IFERROR(__xludf.DUMMYFUNCTION("""COMPUTED_VALUE"""),2.0)</f>
        <v>2</v>
      </c>
      <c r="F459" s="6">
        <f>IFERROR(__xludf.DUMMYFUNCTION("""COMPUTED_VALUE"""),2.0)</f>
        <v>2</v>
      </c>
      <c r="G459" s="6">
        <f>IFERROR(__xludf.DUMMYFUNCTION("""COMPUTED_VALUE"""),0.0)</f>
        <v>0</v>
      </c>
      <c r="H459" s="6" t="str">
        <f>IFERROR(__xludf.DUMMYFUNCTION("""COMPUTED_VALUE"""),"pcs")</f>
        <v>pcs</v>
      </c>
      <c r="I459" s="6" t="str">
        <f>IFERROR(__xludf.DUMMYFUNCTION("""COMPUTED_VALUE"""),"MFH")</f>
        <v>MFH</v>
      </c>
      <c r="J459" s="6" t="str">
        <f>IFERROR(__xludf.DUMMYFUNCTION("""COMPUTED_VALUE"""),"-")</f>
        <v>-</v>
      </c>
      <c r="K459" s="6" t="str">
        <f>IFERROR(__xludf.DUMMYFUNCTION("""COMPUTED_VALUE"""),"SPR/12/23/053")</f>
        <v>SPR/12/23/053</v>
      </c>
      <c r="L459" s="13">
        <f>IFERROR(__xludf.DUMMYFUNCTION("""COMPUTED_VALUE"""),45261.0)</f>
        <v>45261</v>
      </c>
    </row>
    <row r="460">
      <c r="A460" s="6" t="str">
        <f>IFERROR(__xludf.DUMMYFUNCTION("""COMPUTED_VALUE"""),"MFH")</f>
        <v>MFH</v>
      </c>
      <c r="B460" s="6" t="str">
        <f>IFERROR(__xludf.DUMMYFUNCTION("""COMPUTED_VALUE"""),"ENG")</f>
        <v>ENG</v>
      </c>
      <c r="C460" s="6" t="str">
        <f>IFERROR(__xludf.DUMMYFUNCTION("""COMPUTED_VALUE"""),"P-17027-00")</f>
        <v>P-17027-00</v>
      </c>
      <c r="D460" s="6" t="str">
        <f>IFERROR(__xludf.DUMMYFUNCTION("""COMPUTED_VALUE"""),"Complete Gasket set for 1 1/2"" FT43-10TV")</f>
        <v>Complete Gasket set for 1 1/2" FT43-10TV</v>
      </c>
      <c r="E460" s="6">
        <f>IFERROR(__xludf.DUMMYFUNCTION("""COMPUTED_VALUE"""),1.0)</f>
        <v>1</v>
      </c>
      <c r="F460" s="6">
        <f>IFERROR(__xludf.DUMMYFUNCTION("""COMPUTED_VALUE"""),1.0)</f>
        <v>1</v>
      </c>
      <c r="G460" s="6">
        <f>IFERROR(__xludf.DUMMYFUNCTION("""COMPUTED_VALUE"""),0.0)</f>
        <v>0</v>
      </c>
      <c r="H460" s="6" t="str">
        <f>IFERROR(__xludf.DUMMYFUNCTION("""COMPUTED_VALUE"""),"pcs")</f>
        <v>pcs</v>
      </c>
      <c r="I460" s="6" t="str">
        <f>IFERROR(__xludf.DUMMYFUNCTION("""COMPUTED_VALUE"""),"MFH")</f>
        <v>MFH</v>
      </c>
      <c r="J460" s="6" t="str">
        <f>IFERROR(__xludf.DUMMYFUNCTION("""COMPUTED_VALUE"""),"-")</f>
        <v>-</v>
      </c>
      <c r="K460" s="6" t="str">
        <f>IFERROR(__xludf.DUMMYFUNCTION("""COMPUTED_VALUE"""),"SPR/12/23/053")</f>
        <v>SPR/12/23/053</v>
      </c>
      <c r="L460" s="13">
        <f>IFERROR(__xludf.DUMMYFUNCTION("""COMPUTED_VALUE"""),45261.0)</f>
        <v>45261</v>
      </c>
    </row>
    <row r="461">
      <c r="A461" s="6" t="str">
        <f>IFERROR(__xludf.DUMMYFUNCTION("""COMPUTED_VALUE"""),"MFH")</f>
        <v>MFH</v>
      </c>
      <c r="B461" s="6" t="str">
        <f>IFERROR(__xludf.DUMMYFUNCTION("""COMPUTED_VALUE"""),"ENG")</f>
        <v>ENG</v>
      </c>
      <c r="C461" s="6" t="str">
        <f>IFERROR(__xludf.DUMMYFUNCTION("""COMPUTED_VALUE"""),"P-12983-00")</f>
        <v>P-12983-00</v>
      </c>
      <c r="D461" s="6" t="str">
        <f>IFERROR(__xludf.DUMMYFUNCTION("""COMPUTED_VALUE"""),"Helicoil dia. M6x6mm")</f>
        <v>Helicoil dia. M6x6mm</v>
      </c>
      <c r="E461" s="6">
        <f>IFERROR(__xludf.DUMMYFUNCTION("""COMPUTED_VALUE"""),6.0)</f>
        <v>6</v>
      </c>
      <c r="F461" s="6">
        <f>IFERROR(__xludf.DUMMYFUNCTION("""COMPUTED_VALUE"""),6.0)</f>
        <v>6</v>
      </c>
      <c r="G461" s="6">
        <f>IFERROR(__xludf.DUMMYFUNCTION("""COMPUTED_VALUE"""),0.0)</f>
        <v>0</v>
      </c>
      <c r="H461" s="6" t="str">
        <f>IFERROR(__xludf.DUMMYFUNCTION("""COMPUTED_VALUE"""),"pcs")</f>
        <v>pcs</v>
      </c>
      <c r="I461" s="6" t="str">
        <f>IFERROR(__xludf.DUMMYFUNCTION("""COMPUTED_VALUE"""),"MFH")</f>
        <v>MFH</v>
      </c>
      <c r="J461" s="6" t="str">
        <f>IFERROR(__xludf.DUMMYFUNCTION("""COMPUTED_VALUE"""),"-")</f>
        <v>-</v>
      </c>
      <c r="K461" s="6" t="str">
        <f>IFERROR(__xludf.DUMMYFUNCTION("""COMPUTED_VALUE"""),"SPR/12/23/054")</f>
        <v>SPR/12/23/054</v>
      </c>
      <c r="L461" s="13">
        <f>IFERROR(__xludf.DUMMYFUNCTION("""COMPUTED_VALUE"""),45261.0)</f>
        <v>45261</v>
      </c>
    </row>
    <row r="462">
      <c r="A462" s="6" t="str">
        <f>IFERROR(__xludf.DUMMYFUNCTION("""COMPUTED_VALUE"""),"MFH")</f>
        <v>MFH</v>
      </c>
      <c r="B462" s="6" t="str">
        <f>IFERROR(__xludf.DUMMYFUNCTION("""COMPUTED_VALUE"""),"ENG")</f>
        <v>ENG</v>
      </c>
      <c r="C462" s="6" t="str">
        <f>IFERROR(__xludf.DUMMYFUNCTION("""COMPUTED_VALUE"""),"P-15437-00")</f>
        <v>P-15437-00</v>
      </c>
      <c r="D462" s="6" t="str">
        <f>IFERROR(__xludf.DUMMYFUNCTION("""COMPUTED_VALUE"""),"CABLE SPIRAL WRAPPING, TYPE KS24, BRAND KSS; ; ;")</f>
        <v>CABLE SPIRAL WRAPPING, TYPE KS24, BRAND KSS; ; ;</v>
      </c>
      <c r="E462" s="6">
        <f>IFERROR(__xludf.DUMMYFUNCTION("""COMPUTED_VALUE"""),3.0)</f>
        <v>3</v>
      </c>
      <c r="F462" s="6">
        <f>IFERROR(__xludf.DUMMYFUNCTION("""COMPUTED_VALUE"""),3.0)</f>
        <v>3</v>
      </c>
      <c r="G462" s="6">
        <f>IFERROR(__xludf.DUMMYFUNCTION("""COMPUTED_VALUE"""),0.0)</f>
        <v>0</v>
      </c>
      <c r="H462" s="6" t="str">
        <f>IFERROR(__xludf.DUMMYFUNCTION("""COMPUTED_VALUE"""),"pcs")</f>
        <v>pcs</v>
      </c>
      <c r="I462" s="6" t="str">
        <f>IFERROR(__xludf.DUMMYFUNCTION("""COMPUTED_VALUE"""),"MFH")</f>
        <v>MFH</v>
      </c>
      <c r="J462" s="6" t="str">
        <f>IFERROR(__xludf.DUMMYFUNCTION("""COMPUTED_VALUE"""),"-")</f>
        <v>-</v>
      </c>
      <c r="K462" s="6" t="str">
        <f>IFERROR(__xludf.DUMMYFUNCTION("""COMPUTED_VALUE"""),"SPR/12/23/054")</f>
        <v>SPR/12/23/054</v>
      </c>
      <c r="L462" s="13">
        <f>IFERROR(__xludf.DUMMYFUNCTION("""COMPUTED_VALUE"""),45261.0)</f>
        <v>45261</v>
      </c>
    </row>
    <row r="463">
      <c r="A463" s="6" t="str">
        <f>IFERROR(__xludf.DUMMYFUNCTION("""COMPUTED_VALUE"""),"MFH")</f>
        <v>MFH</v>
      </c>
      <c r="B463" s="6" t="str">
        <f>IFERROR(__xludf.DUMMYFUNCTION("""COMPUTED_VALUE"""),"ENG")</f>
        <v>ENG</v>
      </c>
      <c r="C463" s="6" t="str">
        <f>IFERROR(__xludf.DUMMYFUNCTION("""COMPUTED_VALUE"""),"P-18666-00")</f>
        <v>P-18666-00</v>
      </c>
      <c r="D463" s="6" t="str">
        <f>IFERROR(__xludf.DUMMYFUNCTION("""COMPUTED_VALUE"""),"Vlok Ring Kuningan 1 inch x 1/2 inch")</f>
        <v>Vlok Ring Kuningan 1 inch x 1/2 inch</v>
      </c>
      <c r="E463" s="6">
        <f>IFERROR(__xludf.DUMMYFUNCTION("""COMPUTED_VALUE"""),9.0)</f>
        <v>9</v>
      </c>
      <c r="F463" s="6">
        <f>IFERROR(__xludf.DUMMYFUNCTION("""COMPUTED_VALUE"""),9.0)</f>
        <v>9</v>
      </c>
      <c r="G463" s="6">
        <f>IFERROR(__xludf.DUMMYFUNCTION("""COMPUTED_VALUE"""),0.0)</f>
        <v>0</v>
      </c>
      <c r="H463" s="6" t="str">
        <f>IFERROR(__xludf.DUMMYFUNCTION("""COMPUTED_VALUE"""),"pcs")</f>
        <v>pcs</v>
      </c>
      <c r="I463" s="6" t="str">
        <f>IFERROR(__xludf.DUMMYFUNCTION("""COMPUTED_VALUE"""),"MFH")</f>
        <v>MFH</v>
      </c>
      <c r="J463" s="6" t="str">
        <f>IFERROR(__xludf.DUMMYFUNCTION("""COMPUTED_VALUE"""),"-")</f>
        <v>-</v>
      </c>
      <c r="K463" s="6" t="str">
        <f>IFERROR(__xludf.DUMMYFUNCTION("""COMPUTED_VALUE"""),"SPR/12/23/054")</f>
        <v>SPR/12/23/054</v>
      </c>
      <c r="L463" s="13">
        <f>IFERROR(__xludf.DUMMYFUNCTION("""COMPUTED_VALUE"""),45261.0)</f>
        <v>45261</v>
      </c>
    </row>
    <row r="464">
      <c r="A464" s="6" t="str">
        <f>IFERROR(__xludf.DUMMYFUNCTION("""COMPUTED_VALUE"""),"MFH")</f>
        <v>MFH</v>
      </c>
      <c r="B464" s="6" t="str">
        <f>IFERROR(__xludf.DUMMYFUNCTION("""COMPUTED_VALUE"""),"ENG")</f>
        <v>ENG</v>
      </c>
      <c r="C464" s="6" t="str">
        <f>IFERROR(__xludf.DUMMYFUNCTION("""COMPUTED_VALUE"""),"P-12746-00")</f>
        <v>P-12746-00</v>
      </c>
      <c r="D464" s="6" t="str">
        <f>IFERROR(__xludf.DUMMYFUNCTION("""COMPUTED_VALUE"""),"RUCIKA - Pipa PVC AW dia 1 1/2inch")</f>
        <v>RUCIKA - Pipa PVC AW dia 1 1/2inch</v>
      </c>
      <c r="E464" s="6">
        <f>IFERROR(__xludf.DUMMYFUNCTION("""COMPUTED_VALUE"""),3.0)</f>
        <v>3</v>
      </c>
      <c r="F464" s="6">
        <f>IFERROR(__xludf.DUMMYFUNCTION("""COMPUTED_VALUE"""),3.0)</f>
        <v>3</v>
      </c>
      <c r="G464" s="6">
        <f>IFERROR(__xludf.DUMMYFUNCTION("""COMPUTED_VALUE"""),0.0)</f>
        <v>0</v>
      </c>
      <c r="H464" s="6" t="str">
        <f>IFERROR(__xludf.DUMMYFUNCTION("""COMPUTED_VALUE"""),"pcs")</f>
        <v>pcs</v>
      </c>
      <c r="I464" s="6" t="str">
        <f>IFERROR(__xludf.DUMMYFUNCTION("""COMPUTED_VALUE"""),"MFH")</f>
        <v>MFH</v>
      </c>
      <c r="J464" s="6" t="str">
        <f>IFERROR(__xludf.DUMMYFUNCTION("""COMPUTED_VALUE"""),"-")</f>
        <v>-</v>
      </c>
      <c r="K464" s="6" t="str">
        <f>IFERROR(__xludf.DUMMYFUNCTION("""COMPUTED_VALUE"""),"SPR/12/23/055")</f>
        <v>SPR/12/23/055</v>
      </c>
      <c r="L464" s="13">
        <f>IFERROR(__xludf.DUMMYFUNCTION("""COMPUTED_VALUE"""),45261.0)</f>
        <v>45261</v>
      </c>
    </row>
    <row r="465">
      <c r="A465" s="6" t="str">
        <f>IFERROR(__xludf.DUMMYFUNCTION("""COMPUTED_VALUE"""),"MFH")</f>
        <v>MFH</v>
      </c>
      <c r="B465" s="6" t="str">
        <f>IFERROR(__xludf.DUMMYFUNCTION("""COMPUTED_VALUE"""),"ENG")</f>
        <v>ENG</v>
      </c>
      <c r="C465" s="6" t="str">
        <f>IFERROR(__xludf.DUMMYFUNCTION("""COMPUTED_VALUE"""),"P-12749-00")</f>
        <v>P-12749-00</v>
      </c>
      <c r="D465" s="6" t="str">
        <f>IFERROR(__xludf.DUMMYFUNCTION("""COMPUTED_VALUE"""),"RUCIKA - Pipa PVC AW dia 1inch")</f>
        <v>RUCIKA - Pipa PVC AW dia 1inch</v>
      </c>
      <c r="E465" s="6">
        <f>IFERROR(__xludf.DUMMYFUNCTION("""COMPUTED_VALUE"""),6.0)</f>
        <v>6</v>
      </c>
      <c r="F465" s="6">
        <f>IFERROR(__xludf.DUMMYFUNCTION("""COMPUTED_VALUE"""),6.0)</f>
        <v>6</v>
      </c>
      <c r="G465" s="6">
        <f>IFERROR(__xludf.DUMMYFUNCTION("""COMPUTED_VALUE"""),0.0)</f>
        <v>0</v>
      </c>
      <c r="H465" s="6" t="str">
        <f>IFERROR(__xludf.DUMMYFUNCTION("""COMPUTED_VALUE"""),"pcs")</f>
        <v>pcs</v>
      </c>
      <c r="I465" s="6" t="str">
        <f>IFERROR(__xludf.DUMMYFUNCTION("""COMPUTED_VALUE"""),"MFH")</f>
        <v>MFH</v>
      </c>
      <c r="J465" s="6" t="str">
        <f>IFERROR(__xludf.DUMMYFUNCTION("""COMPUTED_VALUE"""),"-")</f>
        <v>-</v>
      </c>
      <c r="K465" s="6" t="str">
        <f>IFERROR(__xludf.DUMMYFUNCTION("""COMPUTED_VALUE"""),"SPR/12/23/055")</f>
        <v>SPR/12/23/055</v>
      </c>
      <c r="L465" s="13">
        <f>IFERROR(__xludf.DUMMYFUNCTION("""COMPUTED_VALUE"""),45261.0)</f>
        <v>45261</v>
      </c>
    </row>
    <row r="466">
      <c r="A466" s="6" t="str">
        <f>IFERROR(__xludf.DUMMYFUNCTION("""COMPUTED_VALUE"""),"MFH")</f>
        <v>MFH</v>
      </c>
      <c r="B466" s="6" t="str">
        <f>IFERROR(__xludf.DUMMYFUNCTION("""COMPUTED_VALUE"""),"ENG")</f>
        <v>ENG</v>
      </c>
      <c r="C466" s="6" t="str">
        <f>IFERROR(__xludf.DUMMYFUNCTION("""COMPUTED_VALUE"""),"P-12803-00")</f>
        <v>P-12803-00</v>
      </c>
      <c r="D466" s="6" t="str">
        <f>IFERROR(__xludf.DUMMYFUNCTION("""COMPUTED_VALUE"""),"Sock Drat dalam PVC AW dia 1inch")</f>
        <v>Sock Drat dalam PVC AW dia 1inch</v>
      </c>
      <c r="E466" s="6">
        <f>IFERROR(__xludf.DUMMYFUNCTION("""COMPUTED_VALUE"""),5.0)</f>
        <v>5</v>
      </c>
      <c r="F466" s="6">
        <f>IFERROR(__xludf.DUMMYFUNCTION("""COMPUTED_VALUE"""),5.0)</f>
        <v>5</v>
      </c>
      <c r="G466" s="6">
        <f>IFERROR(__xludf.DUMMYFUNCTION("""COMPUTED_VALUE"""),0.0)</f>
        <v>0</v>
      </c>
      <c r="H466" s="6" t="str">
        <f>IFERROR(__xludf.DUMMYFUNCTION("""COMPUTED_VALUE"""),"pcs")</f>
        <v>pcs</v>
      </c>
      <c r="I466" s="6" t="str">
        <f>IFERROR(__xludf.DUMMYFUNCTION("""COMPUTED_VALUE"""),"MFH")</f>
        <v>MFH</v>
      </c>
      <c r="J466" s="6" t="str">
        <f>IFERROR(__xludf.DUMMYFUNCTION("""COMPUTED_VALUE"""),"-")</f>
        <v>-</v>
      </c>
      <c r="K466" s="6" t="str">
        <f>IFERROR(__xludf.DUMMYFUNCTION("""COMPUTED_VALUE"""),"SPR/12/23/055")</f>
        <v>SPR/12/23/055</v>
      </c>
      <c r="L466" s="13">
        <f>IFERROR(__xludf.DUMMYFUNCTION("""COMPUTED_VALUE"""),45261.0)</f>
        <v>45261</v>
      </c>
    </row>
    <row r="467">
      <c r="A467" s="6" t="str">
        <f>IFERROR(__xludf.DUMMYFUNCTION("""COMPUTED_VALUE"""),"RIA")</f>
        <v>RIA</v>
      </c>
      <c r="B467" s="6" t="str">
        <f>IFERROR(__xludf.DUMMYFUNCTION("""COMPUTED_VALUE"""),"ENG")</f>
        <v>ENG</v>
      </c>
      <c r="C467" s="6" t="str">
        <f>IFERROR(__xludf.DUMMYFUNCTION("""COMPUTED_VALUE"""),"P-51781-00")</f>
        <v>P-51781-00</v>
      </c>
      <c r="D467" s="6" t="str">
        <f>IFERROR(__xludf.DUMMYFUNCTION("""COMPUTED_VALUE"""),"Digital Temperature Switch Type : TS2-021; Voltage : 230 VAC")</f>
        <v>Digital Temperature Switch Type : TS2-021; Voltage : 230 VAC</v>
      </c>
      <c r="E467" s="6">
        <f>IFERROR(__xludf.DUMMYFUNCTION("""COMPUTED_VALUE"""),1.0)</f>
        <v>1</v>
      </c>
      <c r="F467" s="6">
        <f>IFERROR(__xludf.DUMMYFUNCTION("""COMPUTED_VALUE"""),1.0)</f>
        <v>1</v>
      </c>
      <c r="G467" s="6">
        <f>IFERROR(__xludf.DUMMYFUNCTION("""COMPUTED_VALUE"""),0.0)</f>
        <v>0</v>
      </c>
      <c r="H467" s="6" t="str">
        <f>IFERROR(__xludf.DUMMYFUNCTION("""COMPUTED_VALUE"""),"pcs")</f>
        <v>pcs</v>
      </c>
      <c r="I467" s="6" t="str">
        <f>IFERROR(__xludf.DUMMYFUNCTION("""COMPUTED_VALUE"""),"MFH")</f>
        <v>MFH</v>
      </c>
      <c r="J467" s="6" t="str">
        <f>IFERROR(__xludf.DUMMYFUNCTION("""COMPUTED_VALUE"""),"-")</f>
        <v>-</v>
      </c>
      <c r="K467" s="6" t="str">
        <f>IFERROR(__xludf.DUMMYFUNCTION("""COMPUTED_VALUE"""),"SPR/12/23/056")</f>
        <v>SPR/12/23/056</v>
      </c>
      <c r="L467" s="13">
        <f>IFERROR(__xludf.DUMMYFUNCTION("""COMPUTED_VALUE"""),45261.0)</f>
        <v>45261</v>
      </c>
    </row>
    <row r="468">
      <c r="A468" s="6" t="str">
        <f>IFERROR(__xludf.DUMMYFUNCTION("""COMPUTED_VALUE"""),"RIA")</f>
        <v>RIA</v>
      </c>
      <c r="B468" s="6" t="str">
        <f>IFERROR(__xludf.DUMMYFUNCTION("""COMPUTED_VALUE"""),"ENG")</f>
        <v>ENG</v>
      </c>
      <c r="C468" s="6" t="str">
        <f>IFERROR(__xludf.DUMMYFUNCTION("""COMPUTED_VALUE"""),"P-52709-00")</f>
        <v>P-52709-00</v>
      </c>
      <c r="D468" s="6" t="str">
        <f>IFERROR(__xludf.DUMMYFUNCTION("""COMPUTED_VALUE"""),"Pressure Transmitter TPS30-G27AR2-00 AUTONICS")</f>
        <v>Pressure Transmitter TPS30-G27AR2-00 AUTONICS</v>
      </c>
      <c r="E468" s="6">
        <f>IFERROR(__xludf.DUMMYFUNCTION("""COMPUTED_VALUE"""),1.0)</f>
        <v>1</v>
      </c>
      <c r="F468" s="6">
        <f>IFERROR(__xludf.DUMMYFUNCTION("""COMPUTED_VALUE"""),1.0)</f>
        <v>1</v>
      </c>
      <c r="G468" s="6">
        <f>IFERROR(__xludf.DUMMYFUNCTION("""COMPUTED_VALUE"""),0.0)</f>
        <v>0</v>
      </c>
      <c r="H468" s="6" t="str">
        <f>IFERROR(__xludf.DUMMYFUNCTION("""COMPUTED_VALUE"""),"pcs")</f>
        <v>pcs</v>
      </c>
      <c r="I468" s="6" t="str">
        <f>IFERROR(__xludf.DUMMYFUNCTION("""COMPUTED_VALUE"""),"MFH")</f>
        <v>MFH</v>
      </c>
      <c r="J468" s="6" t="str">
        <f>IFERROR(__xludf.DUMMYFUNCTION("""COMPUTED_VALUE"""),"-")</f>
        <v>-</v>
      </c>
      <c r="K468" s="6" t="str">
        <f>IFERROR(__xludf.DUMMYFUNCTION("""COMPUTED_VALUE"""),"SPR/12/23/056")</f>
        <v>SPR/12/23/056</v>
      </c>
      <c r="L468" s="13">
        <f>IFERROR(__xludf.DUMMYFUNCTION("""COMPUTED_VALUE"""),45261.0)</f>
        <v>45261</v>
      </c>
    </row>
    <row r="469">
      <c r="A469" s="6" t="str">
        <f>IFERROR(__xludf.DUMMYFUNCTION("""COMPUTED_VALUE"""),"RIA")</f>
        <v>RIA</v>
      </c>
      <c r="B469" s="6" t="str">
        <f>IFERROR(__xludf.DUMMYFUNCTION("""COMPUTED_VALUE"""),"ENG")</f>
        <v>ENG</v>
      </c>
      <c r="C469" s="6" t="str">
        <f>IFERROR(__xludf.DUMMYFUNCTION("""COMPUTED_VALUE"""),"P-50810-00")</f>
        <v>P-50810-00</v>
      </c>
      <c r="D469" s="6" t="str">
        <f>IFERROR(__xludf.DUMMYFUNCTION("""COMPUTED_VALUE"""),"Buzzer type AD22-22MSD warna m")</f>
        <v>Buzzer type AD22-22MSD warna m</v>
      </c>
      <c r="E469" s="6">
        <f>IFERROR(__xludf.DUMMYFUNCTION("""COMPUTED_VALUE"""),1.0)</f>
        <v>1</v>
      </c>
      <c r="F469" s="6">
        <f>IFERROR(__xludf.DUMMYFUNCTION("""COMPUTED_VALUE"""),1.0)</f>
        <v>1</v>
      </c>
      <c r="G469" s="6">
        <f>IFERROR(__xludf.DUMMYFUNCTION("""COMPUTED_VALUE"""),0.0)</f>
        <v>0</v>
      </c>
      <c r="H469" s="6" t="str">
        <f>IFERROR(__xludf.DUMMYFUNCTION("""COMPUTED_VALUE"""),"pcs")</f>
        <v>pcs</v>
      </c>
      <c r="I469" s="6" t="str">
        <f>IFERROR(__xludf.DUMMYFUNCTION("""COMPUTED_VALUE"""),"MFH")</f>
        <v>MFH</v>
      </c>
      <c r="J469" s="6" t="str">
        <f>IFERROR(__xludf.DUMMYFUNCTION("""COMPUTED_VALUE"""),"-")</f>
        <v>-</v>
      </c>
      <c r="K469" s="6" t="str">
        <f>IFERROR(__xludf.DUMMYFUNCTION("""COMPUTED_VALUE"""),"SPR/12/23/056")</f>
        <v>SPR/12/23/056</v>
      </c>
      <c r="L469" s="13">
        <f>IFERROR(__xludf.DUMMYFUNCTION("""COMPUTED_VALUE"""),45261.0)</f>
        <v>45261</v>
      </c>
    </row>
    <row r="470">
      <c r="A470" s="6" t="str">
        <f>IFERROR(__xludf.DUMMYFUNCTION("""COMPUTED_VALUE"""),"MFH")</f>
        <v>MFH</v>
      </c>
      <c r="B470" s="6" t="str">
        <f>IFERROR(__xludf.DUMMYFUNCTION("""COMPUTED_VALUE"""),"ENG")</f>
        <v>ENG</v>
      </c>
      <c r="C470" s="6" t="str">
        <f>IFERROR(__xludf.DUMMYFUNCTION("""COMPUTED_VALUE"""),"P-51299-00")</f>
        <v>P-51299-00</v>
      </c>
      <c r="D470" s="6" t="str">
        <f>IFERROR(__xludf.DUMMYFUNCTION("""COMPUTED_VALUE"""),"Terminal plastik dia 6 mm")</f>
        <v>Terminal plastik dia 6 mm</v>
      </c>
      <c r="E470" s="6">
        <f>IFERROR(__xludf.DUMMYFUNCTION("""COMPUTED_VALUE"""),5.0)</f>
        <v>5</v>
      </c>
      <c r="F470" s="6">
        <f>IFERROR(__xludf.DUMMYFUNCTION("""COMPUTED_VALUE"""),5.0)</f>
        <v>5</v>
      </c>
      <c r="G470" s="6">
        <f>IFERROR(__xludf.DUMMYFUNCTION("""COMPUTED_VALUE"""),0.0)</f>
        <v>0</v>
      </c>
      <c r="H470" s="6" t="str">
        <f>IFERROR(__xludf.DUMMYFUNCTION("""COMPUTED_VALUE"""),"pcs")</f>
        <v>pcs</v>
      </c>
      <c r="I470" s="6" t="str">
        <f>IFERROR(__xludf.DUMMYFUNCTION("""COMPUTED_VALUE"""),"MFH")</f>
        <v>MFH</v>
      </c>
      <c r="J470" s="6" t="str">
        <f>IFERROR(__xludf.DUMMYFUNCTION("""COMPUTED_VALUE"""),"-")</f>
        <v>-</v>
      </c>
      <c r="K470" s="6" t="str">
        <f>IFERROR(__xludf.DUMMYFUNCTION("""COMPUTED_VALUE"""),"SPR/12/23/057")</f>
        <v>SPR/12/23/057</v>
      </c>
      <c r="L470" s="13">
        <f>IFERROR(__xludf.DUMMYFUNCTION("""COMPUTED_VALUE"""),45261.0)</f>
        <v>45261</v>
      </c>
    </row>
    <row r="471">
      <c r="A471" s="6" t="str">
        <f>IFERROR(__xludf.DUMMYFUNCTION("""COMPUTED_VALUE"""),"MFH")</f>
        <v>MFH</v>
      </c>
      <c r="B471" s="6" t="str">
        <f>IFERROR(__xludf.DUMMYFUNCTION("""COMPUTED_VALUE"""),"ENG")</f>
        <v>ENG</v>
      </c>
      <c r="C471" s="6" t="str">
        <f>IFERROR(__xludf.DUMMYFUNCTION("""COMPUTED_VALUE"""),"P-51027-00")</f>
        <v>P-51027-00</v>
      </c>
      <c r="D471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471" s="6">
        <f>IFERROR(__xludf.DUMMYFUNCTION("""COMPUTED_VALUE"""),3.0)</f>
        <v>3</v>
      </c>
      <c r="F471" s="6">
        <f>IFERROR(__xludf.DUMMYFUNCTION("""COMPUTED_VALUE"""),3.0)</f>
        <v>3</v>
      </c>
      <c r="G471" s="6">
        <f>IFERROR(__xludf.DUMMYFUNCTION("""COMPUTED_VALUE"""),0.0)</f>
        <v>0</v>
      </c>
      <c r="H471" s="6" t="str">
        <f>IFERROR(__xludf.DUMMYFUNCTION("""COMPUTED_VALUE"""),"pcs")</f>
        <v>pcs</v>
      </c>
      <c r="I471" s="6" t="str">
        <f>IFERROR(__xludf.DUMMYFUNCTION("""COMPUTED_VALUE"""),"MFH")</f>
        <v>MFH</v>
      </c>
      <c r="J471" s="6" t="str">
        <f>IFERROR(__xludf.DUMMYFUNCTION("""COMPUTED_VALUE"""),"-")</f>
        <v>-</v>
      </c>
      <c r="K471" s="6" t="str">
        <f>IFERROR(__xludf.DUMMYFUNCTION("""COMPUTED_VALUE"""),"SPR/12/23/057")</f>
        <v>SPR/12/23/057</v>
      </c>
      <c r="L471" s="13">
        <f>IFERROR(__xludf.DUMMYFUNCTION("""COMPUTED_VALUE"""),45261.0)</f>
        <v>45261</v>
      </c>
    </row>
    <row r="472">
      <c r="A472" s="6" t="str">
        <f>IFERROR(__xludf.DUMMYFUNCTION("""COMPUTED_VALUE"""),"MFH")</f>
        <v>MFH</v>
      </c>
      <c r="B472" s="6" t="str">
        <f>IFERROR(__xludf.DUMMYFUNCTION("""COMPUTED_VALUE"""),"ENG")</f>
        <v>ENG</v>
      </c>
      <c r="C472" s="6" t="str">
        <f>IFERROR(__xludf.DUMMYFUNCTION("""COMPUTED_VALUE"""),"P-50495-00")</f>
        <v>P-50495-00</v>
      </c>
      <c r="D472" s="6" t="str">
        <f>IFERROR(__xludf.DUMMYFUNCTION("""COMPUTED_VALUE"""),"Relay / RXM 2AB2P7 / 230 V / 50-60 Hz / 12 A / 250 VAC")</f>
        <v>Relay / RXM 2AB2P7 / 230 V / 50-60 Hz / 12 A / 250 VAC</v>
      </c>
      <c r="E472" s="6">
        <f>IFERROR(__xludf.DUMMYFUNCTION("""COMPUTED_VALUE"""),4.0)</f>
        <v>4</v>
      </c>
      <c r="F472" s="6">
        <f>IFERROR(__xludf.DUMMYFUNCTION("""COMPUTED_VALUE"""),4.0)</f>
        <v>4</v>
      </c>
      <c r="G472" s="6">
        <f>IFERROR(__xludf.DUMMYFUNCTION("""COMPUTED_VALUE"""),0.0)</f>
        <v>0</v>
      </c>
      <c r="H472" s="6" t="str">
        <f>IFERROR(__xludf.DUMMYFUNCTION("""COMPUTED_VALUE"""),"pcs")</f>
        <v>pcs</v>
      </c>
      <c r="I472" s="6" t="str">
        <f>IFERROR(__xludf.DUMMYFUNCTION("""COMPUTED_VALUE"""),"MFH")</f>
        <v>MFH</v>
      </c>
      <c r="J472" s="6" t="str">
        <f>IFERROR(__xludf.DUMMYFUNCTION("""COMPUTED_VALUE"""),"-")</f>
        <v>-</v>
      </c>
      <c r="K472" s="6" t="str">
        <f>IFERROR(__xludf.DUMMYFUNCTION("""COMPUTED_VALUE"""),"SPR/12/23/057")</f>
        <v>SPR/12/23/057</v>
      </c>
      <c r="L472" s="13">
        <f>IFERROR(__xludf.DUMMYFUNCTION("""COMPUTED_VALUE"""),45261.0)</f>
        <v>45261</v>
      </c>
    </row>
    <row r="473">
      <c r="A473" s="6" t="str">
        <f>IFERROR(__xludf.DUMMYFUNCTION("""COMPUTED_VALUE"""),"MFH")</f>
        <v>MFH</v>
      </c>
      <c r="B473" s="6" t="str">
        <f>IFERROR(__xludf.DUMMYFUNCTION("""COMPUTED_VALUE"""),"ENG")</f>
        <v>ENG</v>
      </c>
      <c r="C473" s="6" t="str">
        <f>IFERROR(__xludf.DUMMYFUNCTION("""COMPUTED_VALUE"""),"P-53174-00")</f>
        <v>P-53174-00</v>
      </c>
      <c r="D473" s="6" t="str">
        <f>IFERROR(__xludf.DUMMYFUNCTION("""COMPUTED_VALUE"""),"Ballast Electronic EB-C 114 TL5, 1x14W")</f>
        <v>Ballast Electronic EB-C 114 TL5, 1x14W</v>
      </c>
      <c r="E473" s="6">
        <f>IFERROR(__xludf.DUMMYFUNCTION("""COMPUTED_VALUE"""),4.0)</f>
        <v>4</v>
      </c>
      <c r="F473" s="6">
        <f>IFERROR(__xludf.DUMMYFUNCTION("""COMPUTED_VALUE"""),4.0)</f>
        <v>4</v>
      </c>
      <c r="G473" s="6">
        <f>IFERROR(__xludf.DUMMYFUNCTION("""COMPUTED_VALUE"""),0.0)</f>
        <v>0</v>
      </c>
      <c r="H473" s="6" t="str">
        <f>IFERROR(__xludf.DUMMYFUNCTION("""COMPUTED_VALUE"""),"pcs")</f>
        <v>pcs</v>
      </c>
      <c r="I473" s="6" t="str">
        <f>IFERROR(__xludf.DUMMYFUNCTION("""COMPUTED_VALUE"""),"MFH")</f>
        <v>MFH</v>
      </c>
      <c r="J473" s="6" t="str">
        <f>IFERROR(__xludf.DUMMYFUNCTION("""COMPUTED_VALUE"""),"-")</f>
        <v>-</v>
      </c>
      <c r="K473" s="6" t="str">
        <f>IFERROR(__xludf.DUMMYFUNCTION("""COMPUTED_VALUE"""),"SPR/12/23/058")</f>
        <v>SPR/12/23/058</v>
      </c>
      <c r="L473" s="13">
        <f>IFERROR(__xludf.DUMMYFUNCTION("""COMPUTED_VALUE"""),45261.0)</f>
        <v>45261</v>
      </c>
    </row>
    <row r="474">
      <c r="A474" s="6" t="str">
        <f>IFERROR(__xludf.DUMMYFUNCTION("""COMPUTED_VALUE"""),"MFH")</f>
        <v>MFH</v>
      </c>
      <c r="B474" s="6" t="str">
        <f>IFERROR(__xludf.DUMMYFUNCTION("""COMPUTED_VALUE"""),"ENG")</f>
        <v>ENG</v>
      </c>
      <c r="C474" s="6" t="str">
        <f>IFERROR(__xludf.DUMMYFUNCTION("""COMPUTED_VALUE"""),"P-52202-00")</f>
        <v>P-52202-00</v>
      </c>
      <c r="D474" s="6" t="str">
        <f>IFERROR(__xludf.DUMMYFUNCTION("""COMPUTED_VALUE"""),"Lampu TL5 21W/865")</f>
        <v>Lampu TL5 21W/865</v>
      </c>
      <c r="E474" s="6">
        <f>IFERROR(__xludf.DUMMYFUNCTION("""COMPUTED_VALUE"""),2.0)</f>
        <v>2</v>
      </c>
      <c r="F474" s="6">
        <f>IFERROR(__xludf.DUMMYFUNCTION("""COMPUTED_VALUE"""),2.0)</f>
        <v>2</v>
      </c>
      <c r="G474" s="6">
        <f>IFERROR(__xludf.DUMMYFUNCTION("""COMPUTED_VALUE"""),0.0)</f>
        <v>0</v>
      </c>
      <c r="H474" s="6" t="str">
        <f>IFERROR(__xludf.DUMMYFUNCTION("""COMPUTED_VALUE"""),"pcs")</f>
        <v>pcs</v>
      </c>
      <c r="I474" s="6" t="str">
        <f>IFERROR(__xludf.DUMMYFUNCTION("""COMPUTED_VALUE"""),"MFH")</f>
        <v>MFH</v>
      </c>
      <c r="J474" s="6" t="str">
        <f>IFERROR(__xludf.DUMMYFUNCTION("""COMPUTED_VALUE"""),"-")</f>
        <v>-</v>
      </c>
      <c r="K474" s="6" t="str">
        <f>IFERROR(__xludf.DUMMYFUNCTION("""COMPUTED_VALUE"""),"SPR/12/23/058")</f>
        <v>SPR/12/23/058</v>
      </c>
      <c r="L474" s="13">
        <f>IFERROR(__xludf.DUMMYFUNCTION("""COMPUTED_VALUE"""),45261.0)</f>
        <v>45261</v>
      </c>
    </row>
    <row r="475">
      <c r="A475" s="6" t="str">
        <f>IFERROR(__xludf.DUMMYFUNCTION("""COMPUTED_VALUE"""),"MFH")</f>
        <v>MFH</v>
      </c>
      <c r="B475" s="6" t="str">
        <f>IFERROR(__xludf.DUMMYFUNCTION("""COMPUTED_VALUE"""),"ENG")</f>
        <v>ENG</v>
      </c>
      <c r="C475" s="6" t="str">
        <f>IFERROR(__xludf.DUMMYFUNCTION("""COMPUTED_VALUE"""),"P-51560-00")</f>
        <v>P-51560-00</v>
      </c>
      <c r="D475" s="6" t="str">
        <f>IFERROR(__xludf.DUMMYFUNCTION("""COMPUTED_VALUE"""),"Lampu T5 28watt Putih; Phillips; ;")</f>
        <v>Lampu T5 28watt Putih; Phillips; ;</v>
      </c>
      <c r="E475" s="6">
        <f>IFERROR(__xludf.DUMMYFUNCTION("""COMPUTED_VALUE"""),17.0)</f>
        <v>17</v>
      </c>
      <c r="F475" s="6">
        <f>IFERROR(__xludf.DUMMYFUNCTION("""COMPUTED_VALUE"""),17.0)</f>
        <v>17</v>
      </c>
      <c r="G475" s="6">
        <f>IFERROR(__xludf.DUMMYFUNCTION("""COMPUTED_VALUE"""),0.0)</f>
        <v>0</v>
      </c>
      <c r="H475" s="6" t="str">
        <f>IFERROR(__xludf.DUMMYFUNCTION("""COMPUTED_VALUE"""),"pcs")</f>
        <v>pcs</v>
      </c>
      <c r="I475" s="6" t="str">
        <f>IFERROR(__xludf.DUMMYFUNCTION("""COMPUTED_VALUE"""),"MFH")</f>
        <v>MFH</v>
      </c>
      <c r="J475" s="6" t="str">
        <f>IFERROR(__xludf.DUMMYFUNCTION("""COMPUTED_VALUE"""),"-")</f>
        <v>-</v>
      </c>
      <c r="K475" s="6" t="str">
        <f>IFERROR(__xludf.DUMMYFUNCTION("""COMPUTED_VALUE"""),"SPR/12/23/058")</f>
        <v>SPR/12/23/058</v>
      </c>
      <c r="L475" s="13">
        <f>IFERROR(__xludf.DUMMYFUNCTION("""COMPUTED_VALUE"""),45261.0)</f>
        <v>45261</v>
      </c>
    </row>
    <row r="476">
      <c r="A476" s="6" t="str">
        <f>IFERROR(__xludf.DUMMYFUNCTION("""COMPUTED_VALUE"""),"SHF")</f>
        <v>SHF</v>
      </c>
      <c r="B476" s="6" t="str">
        <f>IFERROR(__xludf.DUMMYFUNCTION("""COMPUTED_VALUE"""),"ENG")</f>
        <v>ENG</v>
      </c>
      <c r="C476" s="6" t="str">
        <f>IFERROR(__xludf.DUMMYFUNCTION("""COMPUTED_VALUE"""),"P-13389-00")</f>
        <v>P-13389-00</v>
      </c>
      <c r="D476" s="6" t="str">
        <f>IFERROR(__xludf.DUMMYFUNCTION("""COMPUTED_VALUE"""),"Scotch Brite 3M; ; ;")</f>
        <v>Scotch Brite 3M; ; ;</v>
      </c>
      <c r="E476" s="6">
        <f>IFERROR(__xludf.DUMMYFUNCTION("""COMPUTED_VALUE"""),2.0)</f>
        <v>2</v>
      </c>
      <c r="F476" s="6">
        <f>IFERROR(__xludf.DUMMYFUNCTION("""COMPUTED_VALUE"""),1.0)</f>
        <v>1</v>
      </c>
      <c r="G476" s="6">
        <f>IFERROR(__xludf.DUMMYFUNCTION("""COMPUTED_VALUE"""),1.0)</f>
        <v>1</v>
      </c>
      <c r="H476" s="6" t="str">
        <f>IFERROR(__xludf.DUMMYFUNCTION("""COMPUTED_VALUE"""),"pcs")</f>
        <v>pcs</v>
      </c>
      <c r="I476" s="6" t="str">
        <f>IFERROR(__xludf.DUMMYFUNCTION("""COMPUTED_VALUE"""),"MFH")</f>
        <v>MFH</v>
      </c>
      <c r="J476" s="6" t="str">
        <f>IFERROR(__xludf.DUMMYFUNCTION("""COMPUTED_VALUE"""),"WWTP")</f>
        <v>WWTP</v>
      </c>
      <c r="K476" s="6" t="str">
        <f>IFERROR(__xludf.DUMMYFUNCTION("""COMPUTED_VALUE"""),"SPR/01/24/001")</f>
        <v>SPR/01/24/001</v>
      </c>
      <c r="L476" s="13">
        <f>IFERROR(__xludf.DUMMYFUNCTION("""COMPUTED_VALUE"""),45308.0)</f>
        <v>45308</v>
      </c>
    </row>
    <row r="477">
      <c r="A477" s="6" t="str">
        <f>IFERROR(__xludf.DUMMYFUNCTION("""COMPUTED_VALUE"""),"SHF")</f>
        <v>SHF</v>
      </c>
      <c r="B477" s="6" t="str">
        <f>IFERROR(__xludf.DUMMYFUNCTION("""COMPUTED_VALUE"""),"ENG")</f>
        <v>ENG</v>
      </c>
      <c r="C477" s="6" t="str">
        <f>IFERROR(__xludf.DUMMYFUNCTION("""COMPUTED_VALUE"""),"P-11991-00")</f>
        <v>P-11991-00</v>
      </c>
      <c r="D477" s="6" t="str">
        <f>IFERROR(__xludf.DUMMYFUNCTION("""COMPUTED_VALUE"""),"Cabble Ties 200L")</f>
        <v>Cabble Ties 200L</v>
      </c>
      <c r="E477" s="6">
        <f>IFERROR(__xludf.DUMMYFUNCTION("""COMPUTED_VALUE"""),4.0)</f>
        <v>4</v>
      </c>
      <c r="F477" s="6">
        <f>IFERROR(__xludf.DUMMYFUNCTION("""COMPUTED_VALUE"""),1.0)</f>
        <v>1</v>
      </c>
      <c r="G477" s="6">
        <f>IFERROR(__xludf.DUMMYFUNCTION("""COMPUTED_VALUE"""),0.0)</f>
        <v>0</v>
      </c>
      <c r="H477" s="6" t="str">
        <f>IFERROR(__xludf.DUMMYFUNCTION("""COMPUTED_VALUE"""),"pck")</f>
        <v>pck</v>
      </c>
      <c r="I477" s="6" t="str">
        <f>IFERROR(__xludf.DUMMYFUNCTION("""COMPUTED_VALUE"""),"MFH")</f>
        <v>MFH</v>
      </c>
      <c r="J477" s="6" t="str">
        <f>IFERROR(__xludf.DUMMYFUNCTION("""COMPUTED_VALUE"""),"WWTP")</f>
        <v>WWTP</v>
      </c>
      <c r="K477" s="6" t="str">
        <f>IFERROR(__xludf.DUMMYFUNCTION("""COMPUTED_VALUE"""),"SPR/01/24/001")</f>
        <v>SPR/01/24/001</v>
      </c>
      <c r="L477" s="13">
        <f>IFERROR(__xludf.DUMMYFUNCTION("""COMPUTED_VALUE"""),45308.0)</f>
        <v>45308</v>
      </c>
    </row>
    <row r="478">
      <c r="A478" s="6" t="str">
        <f>IFERROR(__xludf.DUMMYFUNCTION("""COMPUTED_VALUE"""),"INN")</f>
        <v>INN</v>
      </c>
      <c r="B478" s="6" t="str">
        <f>IFERROR(__xludf.DUMMYFUNCTION("""COMPUTED_VALUE"""),"ENG")</f>
        <v>ENG</v>
      </c>
      <c r="C478" s="6" t="str">
        <f>IFERROR(__xludf.DUMMYFUNCTION("""COMPUTED_VALUE"""),"O-54014-00")</f>
        <v>O-54014-00</v>
      </c>
      <c r="D478" s="6" t="str">
        <f>IFERROR(__xludf.DUMMYFUNCTION("""COMPUTED_VALUE"""),"STEKER 1 PHASE, BROCO")</f>
        <v>STEKER 1 PHASE, BROCO</v>
      </c>
      <c r="E478" s="6">
        <f>IFERROR(__xludf.DUMMYFUNCTION("""COMPUTED_VALUE"""),1.0)</f>
        <v>1</v>
      </c>
      <c r="F478" s="6">
        <f>IFERROR(__xludf.DUMMYFUNCTION("""COMPUTED_VALUE"""),1.0)</f>
        <v>1</v>
      </c>
      <c r="G478" s="6">
        <f>IFERROR(__xludf.DUMMYFUNCTION("""COMPUTED_VALUE"""),0.0)</f>
        <v>0</v>
      </c>
      <c r="H478" s="6" t="str">
        <f>IFERROR(__xludf.DUMMYFUNCTION("""COMPUTED_VALUE"""),"pcs")</f>
        <v>pcs</v>
      </c>
      <c r="I478" s="6" t="str">
        <f>IFERROR(__xludf.DUMMYFUNCTION("""COMPUTED_VALUE"""),"MFH")</f>
        <v>MFH</v>
      </c>
      <c r="J478" s="6" t="str">
        <f>IFERROR(__xludf.DUMMYFUNCTION("""COMPUTED_VALUE"""),"capping")</f>
        <v>capping</v>
      </c>
      <c r="K478" s="6" t="str">
        <f>IFERROR(__xludf.DUMMYFUNCTION("""COMPUTED_VALUE"""),"SPR/01/24/002")</f>
        <v>SPR/01/24/002</v>
      </c>
      <c r="L478" s="13">
        <f>IFERROR(__xludf.DUMMYFUNCTION("""COMPUTED_VALUE"""),45308.0)</f>
        <v>45308</v>
      </c>
    </row>
    <row r="479">
      <c r="A479" s="6" t="str">
        <f>IFERROR(__xludf.DUMMYFUNCTION("""COMPUTED_VALUE"""),"INN")</f>
        <v>INN</v>
      </c>
      <c r="B479" s="6" t="str">
        <f>IFERROR(__xludf.DUMMYFUNCTION("""COMPUTED_VALUE"""),"ENG")</f>
        <v>ENG</v>
      </c>
      <c r="C479" s="6" t="str">
        <f>IFERROR(__xludf.DUMMYFUNCTION("""COMPUTED_VALUE"""),"O-54015-00")</f>
        <v>O-54015-00</v>
      </c>
      <c r="D479" s="6" t="str">
        <f>IFERROR(__xludf.DUMMYFUNCTION("""COMPUTED_VALUE"""),"STOP KONTAK LUBANG 4, BROCO")</f>
        <v>STOP KONTAK LUBANG 4, BROCO</v>
      </c>
      <c r="E479" s="6">
        <f>IFERROR(__xludf.DUMMYFUNCTION("""COMPUTED_VALUE"""),2.0)</f>
        <v>2</v>
      </c>
      <c r="F479" s="6">
        <f>IFERROR(__xludf.DUMMYFUNCTION("""COMPUTED_VALUE"""),1.0)</f>
        <v>1</v>
      </c>
      <c r="G479" s="6">
        <f>IFERROR(__xludf.DUMMYFUNCTION("""COMPUTED_VALUE"""),0.0)</f>
        <v>0</v>
      </c>
      <c r="H479" s="6" t="str">
        <f>IFERROR(__xludf.DUMMYFUNCTION("""COMPUTED_VALUE"""),"pcs")</f>
        <v>pcs</v>
      </c>
      <c r="I479" s="6" t="str">
        <f>IFERROR(__xludf.DUMMYFUNCTION("""COMPUTED_VALUE"""),"MFH")</f>
        <v>MFH</v>
      </c>
      <c r="J479" s="6" t="str">
        <f>IFERROR(__xludf.DUMMYFUNCTION("""COMPUTED_VALUE"""),"capping")</f>
        <v>capping</v>
      </c>
      <c r="K479" s="6" t="str">
        <f>IFERROR(__xludf.DUMMYFUNCTION("""COMPUTED_VALUE"""),"SPR/01/24/002")</f>
        <v>SPR/01/24/002</v>
      </c>
      <c r="L479" s="13">
        <f>IFERROR(__xludf.DUMMYFUNCTION("""COMPUTED_VALUE"""),45308.0)</f>
        <v>45308</v>
      </c>
    </row>
    <row r="480">
      <c r="A480" s="6" t="str">
        <f>IFERROR(__xludf.DUMMYFUNCTION("""COMPUTED_VALUE"""),"NDS")</f>
        <v>NDS</v>
      </c>
      <c r="B480" s="6" t="str">
        <f>IFERROR(__xludf.DUMMYFUNCTION("""COMPUTED_VALUE"""),"ENG")</f>
        <v>ENG</v>
      </c>
      <c r="C480" s="6" t="str">
        <f>IFERROR(__xludf.DUMMYFUNCTION("""COMPUTED_VALUE"""),"P-15852-00")</f>
        <v>P-15852-00</v>
      </c>
      <c r="D480" s="6" t="str">
        <f>IFERROR(__xludf.DUMMYFUNCTION("""COMPUTED_VALUE"""),"AMPLAS EAGLE 500")</f>
        <v>AMPLAS EAGLE 500</v>
      </c>
      <c r="E480" s="6">
        <f>IFERROR(__xludf.DUMMYFUNCTION("""COMPUTED_VALUE"""),1.0)</f>
        <v>1</v>
      </c>
      <c r="F480" s="6">
        <f>IFERROR(__xludf.DUMMYFUNCTION("""COMPUTED_VALUE"""),1.0)</f>
        <v>1</v>
      </c>
      <c r="G480" s="6">
        <f>IFERROR(__xludf.DUMMYFUNCTION("""COMPUTED_VALUE"""),0.0)</f>
        <v>0</v>
      </c>
      <c r="H480" s="6" t="str">
        <f>IFERROR(__xludf.DUMMYFUNCTION("""COMPUTED_VALUE"""),"pcs")</f>
        <v>pcs</v>
      </c>
      <c r="I480" s="6" t="str">
        <f>IFERROR(__xludf.DUMMYFUNCTION("""COMPUTED_VALUE"""),"MFH")</f>
        <v>MFH</v>
      </c>
      <c r="J480" s="6" t="str">
        <f>IFERROR(__xludf.DUMMYFUNCTION("""COMPUTED_VALUE"""),"capping")</f>
        <v>capping</v>
      </c>
      <c r="K480" s="6" t="str">
        <f>IFERROR(__xludf.DUMMYFUNCTION("""COMPUTED_VALUE"""),"SPR/01/24/003")</f>
        <v>SPR/01/24/003</v>
      </c>
      <c r="L480" s="13">
        <f>IFERROR(__xludf.DUMMYFUNCTION("""COMPUTED_VALUE"""),45308.0)</f>
        <v>45308</v>
      </c>
    </row>
    <row r="481">
      <c r="A481" s="6" t="str">
        <f>IFERROR(__xludf.DUMMYFUNCTION("""COMPUTED_VALUE"""),"NDS")</f>
        <v>NDS</v>
      </c>
      <c r="B481" s="6" t="str">
        <f>IFERROR(__xludf.DUMMYFUNCTION("""COMPUTED_VALUE"""),"ENG")</f>
        <v>ENG</v>
      </c>
      <c r="C481" s="6" t="str">
        <f>IFERROR(__xludf.DUMMYFUNCTION("""COMPUTED_VALUE"""),"O-15902-00")</f>
        <v>O-15902-00</v>
      </c>
      <c r="D481" s="6" t="str">
        <f>IFERROR(__xludf.DUMMYFUNCTION("""COMPUTED_VALUE"""),"Suction Cup capping size 6R; P/N : 011010; ; ;")</f>
        <v>Suction Cup capping size 6R; P/N : 011010; ; ;</v>
      </c>
      <c r="E481" s="6">
        <f>IFERROR(__xludf.DUMMYFUNCTION("""COMPUTED_VALUE"""),17.0)</f>
        <v>17</v>
      </c>
      <c r="F481" s="6">
        <f>IFERROR(__xludf.DUMMYFUNCTION("""COMPUTED_VALUE"""),10.0)</f>
        <v>10</v>
      </c>
      <c r="G481" s="6">
        <f>IFERROR(__xludf.DUMMYFUNCTION("""COMPUTED_VALUE"""),0.0)</f>
        <v>0</v>
      </c>
      <c r="H481" s="6" t="str">
        <f>IFERROR(__xludf.DUMMYFUNCTION("""COMPUTED_VALUE"""),"pcs")</f>
        <v>pcs</v>
      </c>
      <c r="I481" s="6" t="str">
        <f>IFERROR(__xludf.DUMMYFUNCTION("""COMPUTED_VALUE"""),"MFH")</f>
        <v>MFH</v>
      </c>
      <c r="J481" s="6" t="str">
        <f>IFERROR(__xludf.DUMMYFUNCTION("""COMPUTED_VALUE"""),"capping")</f>
        <v>capping</v>
      </c>
      <c r="K481" s="6" t="str">
        <f>IFERROR(__xludf.DUMMYFUNCTION("""COMPUTED_VALUE"""),"SPR/01/24/003")</f>
        <v>SPR/01/24/003</v>
      </c>
      <c r="L481" s="13">
        <f>IFERROR(__xludf.DUMMYFUNCTION("""COMPUTED_VALUE"""),45308.0)</f>
        <v>45308</v>
      </c>
    </row>
    <row r="482">
      <c r="A482" s="6" t="str">
        <f>IFERROR(__xludf.DUMMYFUNCTION("""COMPUTED_VALUE"""),"NDS")</f>
        <v>NDS</v>
      </c>
      <c r="B482" s="6" t="str">
        <f>IFERROR(__xludf.DUMMYFUNCTION("""COMPUTED_VALUE"""),"ENG")</f>
        <v>ENG</v>
      </c>
      <c r="C482" s="6" t="str">
        <f>IFERROR(__xludf.DUMMYFUNCTION("""COMPUTED_VALUE"""),"P-15852-00")</f>
        <v>P-15852-00</v>
      </c>
      <c r="D482" s="6" t="str">
        <f>IFERROR(__xludf.DUMMYFUNCTION("""COMPUTED_VALUE"""),"AMPLAS EAGLE 500")</f>
        <v>AMPLAS EAGLE 500</v>
      </c>
      <c r="E482" s="6">
        <f>IFERROR(__xludf.DUMMYFUNCTION("""COMPUTED_VALUE"""),1.0)</f>
        <v>1</v>
      </c>
      <c r="F482" s="6">
        <f>IFERROR(__xludf.DUMMYFUNCTION("""COMPUTED_VALUE"""),1.0)</f>
        <v>1</v>
      </c>
      <c r="G482" s="6">
        <f>IFERROR(__xludf.DUMMYFUNCTION("""COMPUTED_VALUE"""),0.0)</f>
        <v>0</v>
      </c>
      <c r="H482" s="6" t="str">
        <f>IFERROR(__xludf.DUMMYFUNCTION("""COMPUTED_VALUE"""),"pcs")</f>
        <v>pcs</v>
      </c>
      <c r="I482" s="6" t="str">
        <f>IFERROR(__xludf.DUMMYFUNCTION("""COMPUTED_VALUE"""),"MFH")</f>
        <v>MFH</v>
      </c>
      <c r="J482" s="6" t="str">
        <f>IFERROR(__xludf.DUMMYFUNCTION("""COMPUTED_VALUE"""),"betaport 3")</f>
        <v>betaport 3</v>
      </c>
      <c r="K482" s="6" t="str">
        <f>IFERROR(__xludf.DUMMYFUNCTION("""COMPUTED_VALUE"""),"SPR/01/24/003")</f>
        <v>SPR/01/24/003</v>
      </c>
      <c r="L482" s="13">
        <f>IFERROR(__xludf.DUMMYFUNCTION("""COMPUTED_VALUE"""),45308.0)</f>
        <v>45308</v>
      </c>
    </row>
    <row r="483">
      <c r="A483" s="6" t="str">
        <f>IFERROR(__xludf.DUMMYFUNCTION("""COMPUTED_VALUE"""),"NDS")</f>
        <v>NDS</v>
      </c>
      <c r="B483" s="6" t="str">
        <f>IFERROR(__xludf.DUMMYFUNCTION("""COMPUTED_VALUE"""),"ENG")</f>
        <v>ENG</v>
      </c>
      <c r="C483" s="6" t="str">
        <f>IFERROR(__xludf.DUMMYFUNCTION("""COMPUTED_VALUE"""),"O-16647-00")</f>
        <v>O-16647-00</v>
      </c>
      <c r="D483" s="6" t="str">
        <f>IFERROR(__xludf.DUMMYFUNCTION("""COMPUTED_VALUE"""),"Washing RAR4 - Oring Silicone Merah 23x18x2.5 mm; ; ;")</f>
        <v>Washing RAR4 - Oring Silicone Merah 23x18x2.5 mm; ; ;</v>
      </c>
      <c r="E483" s="6">
        <f>IFERROR(__xludf.DUMMYFUNCTION("""COMPUTED_VALUE"""),10.0)</f>
        <v>10</v>
      </c>
      <c r="F483" s="6">
        <f>IFERROR(__xludf.DUMMYFUNCTION("""COMPUTED_VALUE"""),10.0)</f>
        <v>10</v>
      </c>
      <c r="G483" s="6">
        <f>IFERROR(__xludf.DUMMYFUNCTION("""COMPUTED_VALUE"""),0.0)</f>
        <v>0</v>
      </c>
      <c r="H483" s="6" t="str">
        <f>IFERROR(__xludf.DUMMYFUNCTION("""COMPUTED_VALUE"""),"pcs")</f>
        <v>pcs</v>
      </c>
      <c r="I483" s="6" t="str">
        <f>IFERROR(__xludf.DUMMYFUNCTION("""COMPUTED_VALUE"""),"MFH")</f>
        <v>MFH</v>
      </c>
      <c r="J483" s="6" t="str">
        <f>IFERROR(__xludf.DUMMYFUNCTION("""COMPUTED_VALUE"""),"capping")</f>
        <v>capping</v>
      </c>
      <c r="K483" s="6" t="str">
        <f>IFERROR(__xludf.DUMMYFUNCTION("""COMPUTED_VALUE"""),"SPR/01/24/004")</f>
        <v>SPR/01/24/004</v>
      </c>
      <c r="L483" s="13">
        <f>IFERROR(__xludf.DUMMYFUNCTION("""COMPUTED_VALUE"""),45308.0)</f>
        <v>45308</v>
      </c>
    </row>
    <row r="484">
      <c r="A484" s="6" t="str">
        <f>IFERROR(__xludf.DUMMYFUNCTION("""COMPUTED_VALUE"""),"NDS")</f>
        <v>NDS</v>
      </c>
      <c r="B484" s="6" t="str">
        <f>IFERROR(__xludf.DUMMYFUNCTION("""COMPUTED_VALUE"""),"ENG")</f>
        <v>ENG</v>
      </c>
      <c r="C484" s="6" t="str">
        <f>IFERROR(__xludf.DUMMYFUNCTION("""COMPUTED_VALUE"""),"O-16731-00")</f>
        <v>O-16731-00</v>
      </c>
      <c r="D484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484" s="6">
        <f>IFERROR(__xludf.DUMMYFUNCTION("""COMPUTED_VALUE"""),1.0)</f>
        <v>1</v>
      </c>
      <c r="F484" s="6">
        <f>IFERROR(__xludf.DUMMYFUNCTION("""COMPUTED_VALUE"""),1.0)</f>
        <v>1</v>
      </c>
      <c r="G484" s="6">
        <f>IFERROR(__xludf.DUMMYFUNCTION("""COMPUTED_VALUE"""),0.0)</f>
        <v>0</v>
      </c>
      <c r="H484" s="6" t="str">
        <f>IFERROR(__xludf.DUMMYFUNCTION("""COMPUTED_VALUE"""),"pcs")</f>
        <v>pcs</v>
      </c>
      <c r="I484" s="6" t="str">
        <f>IFERROR(__xludf.DUMMYFUNCTION("""COMPUTED_VALUE"""),"MFH")</f>
        <v>MFH</v>
      </c>
      <c r="J484" s="6" t="str">
        <f>IFERROR(__xludf.DUMMYFUNCTION("""COMPUTED_VALUE"""),"-")</f>
        <v>-</v>
      </c>
      <c r="K484" s="6" t="str">
        <f>IFERROR(__xludf.DUMMYFUNCTION("""COMPUTED_VALUE"""),"SPR/01/24/005")</f>
        <v>SPR/01/24/005</v>
      </c>
      <c r="L484" s="13">
        <f>IFERROR(__xludf.DUMMYFUNCTION("""COMPUTED_VALUE"""),45308.0)</f>
        <v>45308</v>
      </c>
    </row>
    <row r="485">
      <c r="A485" s="6" t="str">
        <f>IFERROR(__xludf.DUMMYFUNCTION("""COMPUTED_VALUE"""),"NDS")</f>
        <v>NDS</v>
      </c>
      <c r="B485" s="6" t="str">
        <f>IFERROR(__xludf.DUMMYFUNCTION("""COMPUTED_VALUE"""),"ENG")</f>
        <v>ENG</v>
      </c>
      <c r="C485" s="6" t="str">
        <f>IFERROR(__xludf.DUMMYFUNCTION("""COMPUTED_VALUE"""),"O-16647-00")</f>
        <v>O-16647-00</v>
      </c>
      <c r="D485" s="6" t="str">
        <f>IFERROR(__xludf.DUMMYFUNCTION("""COMPUTED_VALUE"""),"Washing RAR4 - Oring Silicone Merah 23x18x2.5 mm; ; ;")</f>
        <v>Washing RAR4 - Oring Silicone Merah 23x18x2.5 mm; ; ;</v>
      </c>
      <c r="E485" s="6">
        <f>IFERROR(__xludf.DUMMYFUNCTION("""COMPUTED_VALUE"""),5.0)</f>
        <v>5</v>
      </c>
      <c r="F485" s="6">
        <f>IFERROR(__xludf.DUMMYFUNCTION("""COMPUTED_VALUE"""),5.0)</f>
        <v>5</v>
      </c>
      <c r="G485" s="6">
        <f>IFERROR(__xludf.DUMMYFUNCTION("""COMPUTED_VALUE"""),0.0)</f>
        <v>0</v>
      </c>
      <c r="H485" s="6" t="str">
        <f>IFERROR(__xludf.DUMMYFUNCTION("""COMPUTED_VALUE"""),"pcs")</f>
        <v>pcs</v>
      </c>
      <c r="I485" s="6" t="str">
        <f>IFERROR(__xludf.DUMMYFUNCTION("""COMPUTED_VALUE"""),"MFH")</f>
        <v>MFH</v>
      </c>
      <c r="J485" s="6" t="str">
        <f>IFERROR(__xludf.DUMMYFUNCTION("""COMPUTED_VALUE"""),"capping")</f>
        <v>capping</v>
      </c>
      <c r="K485" s="6" t="str">
        <f>IFERROR(__xludf.DUMMYFUNCTION("""COMPUTED_VALUE"""),"SPR/01/24/005")</f>
        <v>SPR/01/24/005</v>
      </c>
      <c r="L485" s="13">
        <f>IFERROR(__xludf.DUMMYFUNCTION("""COMPUTED_VALUE"""),45308.0)</f>
        <v>45308</v>
      </c>
    </row>
    <row r="486">
      <c r="A486" s="6" t="str">
        <f>IFERROR(__xludf.DUMMYFUNCTION("""COMPUTED_VALUE"""),"MOB")</f>
        <v>MOB</v>
      </c>
      <c r="B486" s="6" t="str">
        <f>IFERROR(__xludf.DUMMYFUNCTION("""COMPUTED_VALUE"""),"ENG")</f>
        <v>ENG</v>
      </c>
      <c r="C486" s="6" t="str">
        <f>IFERROR(__xludf.DUMMYFUNCTION("""COMPUTED_VALUE"""),"-")</f>
        <v>-</v>
      </c>
      <c r="D486" s="6" t="str">
        <f>IFERROR(__xludf.DUMMYFUNCTION("""COMPUTED_VALUE"""),"Manual valve PoV diafragma 1""")</f>
        <v>Manual valve PoV diafragma 1"</v>
      </c>
      <c r="E486" s="6">
        <f>IFERROR(__xludf.DUMMYFUNCTION("""COMPUTED_VALUE"""),1.0)</f>
        <v>1</v>
      </c>
      <c r="F486" s="6">
        <f>IFERROR(__xludf.DUMMYFUNCTION("""COMPUTED_VALUE"""),1.0)</f>
        <v>1</v>
      </c>
      <c r="G486" s="6">
        <f>IFERROR(__xludf.DUMMYFUNCTION("""COMPUTED_VALUE"""),0.0)</f>
        <v>0</v>
      </c>
      <c r="H486" s="6" t="str">
        <f>IFERROR(__xludf.DUMMYFUNCTION("""COMPUTED_VALUE"""),"pcs")</f>
        <v>pcs</v>
      </c>
      <c r="I486" s="6" t="str">
        <f>IFERROR(__xludf.DUMMYFUNCTION("""COMPUTED_VALUE"""),"MFH")</f>
        <v>MFH</v>
      </c>
      <c r="J486" s="6" t="str">
        <f>IFERROR(__xludf.DUMMYFUNCTION("""COMPUTED_VALUE"""),"WFI skid")</f>
        <v>WFI skid</v>
      </c>
      <c r="K486" s="6" t="str">
        <f>IFERROR(__xludf.DUMMYFUNCTION("""COMPUTED_VALUE"""),"SPR/01/24/006")</f>
        <v>SPR/01/24/006</v>
      </c>
      <c r="L486" s="13">
        <f>IFERROR(__xludf.DUMMYFUNCTION("""COMPUTED_VALUE"""),45308.0)</f>
        <v>45308</v>
      </c>
    </row>
    <row r="487">
      <c r="A487" s="6" t="str">
        <f>IFERROR(__xludf.DUMMYFUNCTION("""COMPUTED_VALUE"""),"MOB")</f>
        <v>MOB</v>
      </c>
      <c r="B487" s="6" t="str">
        <f>IFERROR(__xludf.DUMMYFUNCTION("""COMPUTED_VALUE"""),"ENG")</f>
        <v>ENG</v>
      </c>
      <c r="C487" s="6" t="str">
        <f>IFERROR(__xludf.DUMMYFUNCTION("""COMPUTED_VALUE"""),"P-51560-00")</f>
        <v>P-51560-00</v>
      </c>
      <c r="D487" s="6" t="str">
        <f>IFERROR(__xludf.DUMMYFUNCTION("""COMPUTED_VALUE"""),"Lampu T5 28watt Putih; Phillips; ;")</f>
        <v>Lampu T5 28watt Putih; Phillips; ;</v>
      </c>
      <c r="E487" s="6">
        <f>IFERROR(__xludf.DUMMYFUNCTION("""COMPUTED_VALUE"""),4.0)</f>
        <v>4</v>
      </c>
      <c r="F487" s="6">
        <f>IFERROR(__xludf.DUMMYFUNCTION("""COMPUTED_VALUE"""),4.0)</f>
        <v>4</v>
      </c>
      <c r="G487" s="6">
        <f>IFERROR(__xludf.DUMMYFUNCTION("""COMPUTED_VALUE"""),0.0)</f>
        <v>0</v>
      </c>
      <c r="H487" s="6" t="str">
        <f>IFERROR(__xludf.DUMMYFUNCTION("""COMPUTED_VALUE"""),"pcs")</f>
        <v>pcs</v>
      </c>
      <c r="I487" s="6" t="str">
        <f>IFERROR(__xludf.DUMMYFUNCTION("""COMPUTED_VALUE"""),"MFH")</f>
        <v>MFH</v>
      </c>
      <c r="J487" s="6" t="str">
        <f>IFERROR(__xludf.DUMMYFUNCTION("""COMPUTED_VALUE"""),"Building")</f>
        <v>Building</v>
      </c>
      <c r="K487" s="6" t="str">
        <f>IFERROR(__xludf.DUMMYFUNCTION("""COMPUTED_VALUE"""),"SPR/01/24/006")</f>
        <v>SPR/01/24/006</v>
      </c>
      <c r="L487" s="13">
        <f>IFERROR(__xludf.DUMMYFUNCTION("""COMPUTED_VALUE"""),45308.0)</f>
        <v>45308</v>
      </c>
    </row>
    <row r="488">
      <c r="A488" s="6" t="str">
        <f>IFERROR(__xludf.DUMMYFUNCTION("""COMPUTED_VALUE"""),"MOB")</f>
        <v>MOB</v>
      </c>
      <c r="B488" s="6" t="str">
        <f>IFERROR(__xludf.DUMMYFUNCTION("""COMPUTED_VALUE"""),"ENG")</f>
        <v>ENG</v>
      </c>
      <c r="C488" s="6" t="str">
        <f>IFERROR(__xludf.DUMMYFUNCTION("""COMPUTED_VALUE"""),"P-51560-00")</f>
        <v>P-51560-00</v>
      </c>
      <c r="D488" s="6" t="str">
        <f>IFERROR(__xludf.DUMMYFUNCTION("""COMPUTED_VALUE"""),"Lampu T5 28watt Putih; Phillips; ;")</f>
        <v>Lampu T5 28watt Putih; Phillips; ;</v>
      </c>
      <c r="E488" s="6">
        <f>IFERROR(__xludf.DUMMYFUNCTION("""COMPUTED_VALUE"""),2.0)</f>
        <v>2</v>
      </c>
      <c r="F488" s="6">
        <f>IFERROR(__xludf.DUMMYFUNCTION("""COMPUTED_VALUE"""),2.0)</f>
        <v>2</v>
      </c>
      <c r="G488" s="6">
        <f>IFERROR(__xludf.DUMMYFUNCTION("""COMPUTED_VALUE"""),0.0)</f>
        <v>0</v>
      </c>
      <c r="H488" s="6" t="str">
        <f>IFERROR(__xludf.DUMMYFUNCTION("""COMPUTED_VALUE"""),"pcs")</f>
        <v>pcs</v>
      </c>
      <c r="I488" s="6" t="str">
        <f>IFERROR(__xludf.DUMMYFUNCTION("""COMPUTED_VALUE"""),"MFH")</f>
        <v>MFH</v>
      </c>
      <c r="J488" s="6" t="str">
        <f>IFERROR(__xludf.DUMMYFUNCTION("""COMPUTED_VALUE"""),"Building")</f>
        <v>Building</v>
      </c>
      <c r="K488" s="6" t="str">
        <f>IFERROR(__xludf.DUMMYFUNCTION("""COMPUTED_VALUE"""),"SPR/01/24/006")</f>
        <v>SPR/01/24/006</v>
      </c>
      <c r="L488" s="13">
        <f>IFERROR(__xludf.DUMMYFUNCTION("""COMPUTED_VALUE"""),45308.0)</f>
        <v>45308</v>
      </c>
    </row>
    <row r="489">
      <c r="A489" s="6" t="str">
        <f>IFERROR(__xludf.DUMMYFUNCTION("""COMPUTED_VALUE"""),"CAS")</f>
        <v>CAS</v>
      </c>
      <c r="B489" s="6" t="str">
        <f>IFERROR(__xludf.DUMMYFUNCTION("""COMPUTED_VALUE"""),"QAS")</f>
        <v>QAS</v>
      </c>
      <c r="C489" s="6" t="str">
        <f>IFERROR(__xludf.DUMMYFUNCTION("""COMPUTED_VALUE"""),"P-11393-00")</f>
        <v>P-11393-00</v>
      </c>
      <c r="D489" s="6" t="str">
        <f>IFERROR(__xludf.DUMMYFUNCTION("""COMPUTED_VALUE"""),"Seal Ferrule EPDM 3""")</f>
        <v>Seal Ferrule EPDM 3"</v>
      </c>
      <c r="E489" s="6">
        <f>IFERROR(__xludf.DUMMYFUNCTION("""COMPUTED_VALUE"""),1.0)</f>
        <v>1</v>
      </c>
      <c r="F489" s="6">
        <f>IFERROR(__xludf.DUMMYFUNCTION("""COMPUTED_VALUE"""),1.0)</f>
        <v>1</v>
      </c>
      <c r="G489" s="6">
        <f>IFERROR(__xludf.DUMMYFUNCTION("""COMPUTED_VALUE"""),0.0)</f>
        <v>0</v>
      </c>
      <c r="H489" s="6" t="str">
        <f>IFERROR(__xludf.DUMMYFUNCTION("""COMPUTED_VALUE"""),"pcs")</f>
        <v>pcs</v>
      </c>
      <c r="I489" s="6" t="str">
        <f>IFERROR(__xludf.DUMMYFUNCTION("""COMPUTED_VALUE"""),"MFH")</f>
        <v>MFH</v>
      </c>
      <c r="J489" s="6" t="str">
        <f>IFERROR(__xludf.DUMMYFUNCTION("""COMPUTED_VALUE"""),"-")</f>
        <v>-</v>
      </c>
      <c r="K489" s="6" t="str">
        <f>IFERROR(__xludf.DUMMYFUNCTION("""COMPUTED_VALUE"""),"SPR/01/24/007")</f>
        <v>SPR/01/24/007</v>
      </c>
      <c r="L489" s="13">
        <f>IFERROR(__xludf.DUMMYFUNCTION("""COMPUTED_VALUE"""),45308.0)</f>
        <v>45308</v>
      </c>
    </row>
    <row r="490">
      <c r="A490" s="6" t="str">
        <f>IFERROR(__xludf.DUMMYFUNCTION("""COMPUTED_VALUE"""),"MOB")</f>
        <v>MOB</v>
      </c>
      <c r="B490" s="6" t="str">
        <f>IFERROR(__xludf.DUMMYFUNCTION("""COMPUTED_VALUE"""),"ENG")</f>
        <v>ENG</v>
      </c>
      <c r="C490" s="6" t="str">
        <f>IFERROR(__xludf.DUMMYFUNCTION("""COMPUTED_VALUE"""),"O-54014-00")</f>
        <v>O-54014-00</v>
      </c>
      <c r="D490" s="6" t="str">
        <f>IFERROR(__xludf.DUMMYFUNCTION("""COMPUTED_VALUE"""),"STEKER 1 PHASE, BROCO")</f>
        <v>STEKER 1 PHASE, BROCO</v>
      </c>
      <c r="E490" s="6">
        <f>IFERROR(__xludf.DUMMYFUNCTION("""COMPUTED_VALUE"""),1.0)</f>
        <v>1</v>
      </c>
      <c r="F490" s="6">
        <f>IFERROR(__xludf.DUMMYFUNCTION("""COMPUTED_VALUE"""),1.0)</f>
        <v>1</v>
      </c>
      <c r="G490" s="6">
        <f>IFERROR(__xludf.DUMMYFUNCTION("""COMPUTED_VALUE"""),0.0)</f>
        <v>0</v>
      </c>
      <c r="H490" s="6" t="str">
        <f>IFERROR(__xludf.DUMMYFUNCTION("""COMPUTED_VALUE"""),"pcs")</f>
        <v>pcs</v>
      </c>
      <c r="I490" s="6" t="str">
        <f>IFERROR(__xludf.DUMMYFUNCTION("""COMPUTED_VALUE"""),"MFH")</f>
        <v>MFH</v>
      </c>
      <c r="J490" s="6" t="str">
        <f>IFERROR(__xludf.DUMMYFUNCTION("""COMPUTED_VALUE"""),"EF-flammable QC")</f>
        <v>EF-flammable QC</v>
      </c>
      <c r="K490" s="6" t="str">
        <f>IFERROR(__xludf.DUMMYFUNCTION("""COMPUTED_VALUE"""),"SPR/01/24/008")</f>
        <v>SPR/01/24/008</v>
      </c>
      <c r="L490" s="13">
        <f>IFERROR(__xludf.DUMMYFUNCTION("""COMPUTED_VALUE"""),45308.0)</f>
        <v>45308</v>
      </c>
    </row>
    <row r="491">
      <c r="A491" s="6" t="str">
        <f>IFERROR(__xludf.DUMMYFUNCTION("""COMPUTED_VALUE"""),"MOB")</f>
        <v>MOB</v>
      </c>
      <c r="B491" s="6" t="str">
        <f>IFERROR(__xludf.DUMMYFUNCTION("""COMPUTED_VALUE"""),"ENG")</f>
        <v>ENG</v>
      </c>
      <c r="C491" s="6" t="str">
        <f>IFERROR(__xludf.DUMMYFUNCTION("""COMPUTED_VALUE"""),"O-54015-00")</f>
        <v>O-54015-00</v>
      </c>
      <c r="D491" s="6" t="str">
        <f>IFERROR(__xludf.DUMMYFUNCTION("""COMPUTED_VALUE"""),"STOP KONTAK LUBANG 4, BROCO")</f>
        <v>STOP KONTAK LUBANG 4, BROCO</v>
      </c>
      <c r="E491" s="6">
        <f>IFERROR(__xludf.DUMMYFUNCTION("""COMPUTED_VALUE"""),2.0)</f>
        <v>2</v>
      </c>
      <c r="F491" s="6">
        <f>IFERROR(__xludf.DUMMYFUNCTION("""COMPUTED_VALUE"""),1.0)</f>
        <v>1</v>
      </c>
      <c r="G491" s="6">
        <f>IFERROR(__xludf.DUMMYFUNCTION("""COMPUTED_VALUE"""),0.0)</f>
        <v>0</v>
      </c>
      <c r="H491" s="6" t="str">
        <f>IFERROR(__xludf.DUMMYFUNCTION("""COMPUTED_VALUE"""),"pcs")</f>
        <v>pcs</v>
      </c>
      <c r="I491" s="6" t="str">
        <f>IFERROR(__xludf.DUMMYFUNCTION("""COMPUTED_VALUE"""),"MFH")</f>
        <v>MFH</v>
      </c>
      <c r="J491" s="6" t="str">
        <f>IFERROR(__xludf.DUMMYFUNCTION("""COMPUTED_VALUE"""),"EF-flammable QC")</f>
        <v>EF-flammable QC</v>
      </c>
      <c r="K491" s="6" t="str">
        <f>IFERROR(__xludf.DUMMYFUNCTION("""COMPUTED_VALUE"""),"SPR/01/24/008")</f>
        <v>SPR/01/24/008</v>
      </c>
      <c r="L491" s="13">
        <f>IFERROR(__xludf.DUMMYFUNCTION("""COMPUTED_VALUE"""),45308.0)</f>
        <v>45308</v>
      </c>
    </row>
    <row r="492">
      <c r="A492" s="6" t="str">
        <f>IFERROR(__xludf.DUMMYFUNCTION("""COMPUTED_VALUE"""),"MOB")</f>
        <v>MOB</v>
      </c>
      <c r="B492" s="6" t="str">
        <f>IFERROR(__xludf.DUMMYFUNCTION("""COMPUTED_VALUE"""),"ENG")</f>
        <v>ENG</v>
      </c>
      <c r="C492" s="6" t="str">
        <f>IFERROR(__xludf.DUMMYFUNCTION("""COMPUTED_VALUE"""),"P-51756-00")</f>
        <v>P-51756-00</v>
      </c>
      <c r="D492" s="6" t="str">
        <f>IFERROR(__xludf.DUMMYFUNCTION("""COMPUTED_VALUE"""),"Kabel NYYHY 3x0.75mm")</f>
        <v>Kabel NYYHY 3x0.75mm</v>
      </c>
      <c r="E492" s="6">
        <f>IFERROR(__xludf.DUMMYFUNCTION("""COMPUTED_VALUE"""),30.0)</f>
        <v>30</v>
      </c>
      <c r="F492" s="6">
        <f>IFERROR(__xludf.DUMMYFUNCTION("""COMPUTED_VALUE"""),10.0)</f>
        <v>10</v>
      </c>
      <c r="G492" s="6">
        <f>IFERROR(__xludf.DUMMYFUNCTION("""COMPUTED_VALUE"""),0.0)</f>
        <v>0</v>
      </c>
      <c r="H492" s="6" t="str">
        <f>IFERROR(__xludf.DUMMYFUNCTION("""COMPUTED_VALUE"""),"m")</f>
        <v>m</v>
      </c>
      <c r="I492" s="6" t="str">
        <f>IFERROR(__xludf.DUMMYFUNCTION("""COMPUTED_VALUE"""),"MFH")</f>
        <v>MFH</v>
      </c>
      <c r="J492" s="6" t="str">
        <f>IFERROR(__xludf.DUMMYFUNCTION("""COMPUTED_VALUE"""),"EF-flammable QA")</f>
        <v>EF-flammable QA</v>
      </c>
      <c r="K492" s="6" t="str">
        <f>IFERROR(__xludf.DUMMYFUNCTION("""COMPUTED_VALUE"""),"SPR/01/24/008")</f>
        <v>SPR/01/24/008</v>
      </c>
      <c r="L492" s="13">
        <f>IFERROR(__xludf.DUMMYFUNCTION("""COMPUTED_VALUE"""),45308.0)</f>
        <v>45308</v>
      </c>
    </row>
    <row r="493">
      <c r="A493" s="6" t="str">
        <f>IFERROR(__xludf.DUMMYFUNCTION("""COMPUTED_VALUE"""),"NDS")</f>
        <v>NDS</v>
      </c>
      <c r="B493" s="6" t="str">
        <f>IFERROR(__xludf.DUMMYFUNCTION("""COMPUTED_VALUE"""),"ENG")</f>
        <v>ENG</v>
      </c>
      <c r="C493" s="6" t="str">
        <f>IFERROR(__xludf.DUMMYFUNCTION("""COMPUTED_VALUE"""),"P-11694-00")</f>
        <v>P-11694-00</v>
      </c>
      <c r="D493" s="6" t="str">
        <f>IFERROR(__xludf.DUMMYFUNCTION("""COMPUTED_VALUE"""),"Mata Gerinda 4")</f>
        <v>Mata Gerinda 4</v>
      </c>
      <c r="E493" s="6">
        <f>IFERROR(__xludf.DUMMYFUNCTION("""COMPUTED_VALUE"""),1.0)</f>
        <v>1</v>
      </c>
      <c r="F493" s="6">
        <f>IFERROR(__xludf.DUMMYFUNCTION("""COMPUTED_VALUE"""),1.0)</f>
        <v>1</v>
      </c>
      <c r="G493" s="6">
        <f>IFERROR(__xludf.DUMMYFUNCTION("""COMPUTED_VALUE"""),0.0)</f>
        <v>0</v>
      </c>
      <c r="H493" s="6" t="str">
        <f>IFERROR(__xludf.DUMMYFUNCTION("""COMPUTED_VALUE"""),"pcs")</f>
        <v>pcs</v>
      </c>
      <c r="I493" s="6" t="str">
        <f>IFERROR(__xludf.DUMMYFUNCTION("""COMPUTED_VALUE"""),"MFH")</f>
        <v>MFH</v>
      </c>
      <c r="J493" s="6" t="str">
        <f>IFERROR(__xludf.DUMMYFUNCTION("""COMPUTED_VALUE"""),"Building")</f>
        <v>Building</v>
      </c>
      <c r="K493" s="6" t="str">
        <f>IFERROR(__xludf.DUMMYFUNCTION("""COMPUTED_VALUE"""),"SPR/01/24/009")</f>
        <v>SPR/01/24/009</v>
      </c>
      <c r="L493" s="13">
        <f>IFERROR(__xludf.DUMMYFUNCTION("""COMPUTED_VALUE"""),45308.0)</f>
        <v>45308</v>
      </c>
    </row>
    <row r="494">
      <c r="A494" s="6" t="str">
        <f>IFERROR(__xludf.DUMMYFUNCTION("""COMPUTED_VALUE"""),"AAA")</f>
        <v>AAA</v>
      </c>
      <c r="B494" s="6" t="str">
        <f>IFERROR(__xludf.DUMMYFUNCTION("""COMPUTED_VALUE"""),"ENG")</f>
        <v>ENG</v>
      </c>
      <c r="C494" s="6" t="str">
        <f>IFERROR(__xludf.DUMMYFUNCTION("""COMPUTED_VALUE"""),"O-52656-00")</f>
        <v>O-52656-00</v>
      </c>
      <c r="D494" s="6" t="str">
        <f>IFERROR(__xludf.DUMMYFUNCTION("""COMPUTED_VALUE"""),"FD Lyofast 10 - Vacuum Regulating Valve Controller EDF23-00544 Disused:1249A Replaced by:1249B INP:4")</f>
        <v>FD Lyofast 10 - Vacuum Regulating Valve Controller EDF23-00544 Disused:1249A Replaced by:1249B INP:4</v>
      </c>
      <c r="E494" s="6">
        <f>IFERROR(__xludf.DUMMYFUNCTION("""COMPUTED_VALUE"""),1.0)</f>
        <v>1</v>
      </c>
      <c r="F494" s="6">
        <f>IFERROR(__xludf.DUMMYFUNCTION("""COMPUTED_VALUE"""),1.0)</f>
        <v>1</v>
      </c>
      <c r="G494" s="6">
        <f>IFERROR(__xludf.DUMMYFUNCTION("""COMPUTED_VALUE"""),0.0)</f>
        <v>0</v>
      </c>
      <c r="H494" s="6" t="str">
        <f>IFERROR(__xludf.DUMMYFUNCTION("""COMPUTED_VALUE"""),"pcs")</f>
        <v>pcs</v>
      </c>
      <c r="I494" s="6" t="str">
        <f>IFERROR(__xludf.DUMMYFUNCTION("""COMPUTED_VALUE"""),"MFH")</f>
        <v>MFH</v>
      </c>
      <c r="J494" s="6" t="str">
        <f>IFERROR(__xludf.DUMMYFUNCTION("""COMPUTED_VALUE"""),"FD")</f>
        <v>FD</v>
      </c>
      <c r="K494" s="6" t="str">
        <f>IFERROR(__xludf.DUMMYFUNCTION("""COMPUTED_VALUE"""),"SPR/01/24/010")</f>
        <v>SPR/01/24/010</v>
      </c>
      <c r="L494" s="13">
        <f>IFERROR(__xludf.DUMMYFUNCTION("""COMPUTED_VALUE"""),45308.0)</f>
        <v>45308</v>
      </c>
    </row>
    <row r="495">
      <c r="A495" s="6" t="str">
        <f>IFERROR(__xludf.DUMMYFUNCTION("""COMPUTED_VALUE"""),"AAA")</f>
        <v>AAA</v>
      </c>
      <c r="B495" s="6" t="str">
        <f>IFERROR(__xludf.DUMMYFUNCTION("""COMPUTED_VALUE"""),"ENG")</f>
        <v>ENG</v>
      </c>
      <c r="C495" s="6" t="str">
        <f>IFERROR(__xludf.DUMMYFUNCTION("""COMPUTED_VALUE"""),"O-18559-00")</f>
        <v>O-18559-00</v>
      </c>
      <c r="D495" s="6" t="str">
        <f>IFERROR(__xludf.DUMMYFUNCTION("""COMPUTED_VALUE"""),"FD Lyofast 10 - Vacuum Regulating Valve EB22-00710 Disused:0248A-5000SV+1249A Replaced by:MKS_0248D,")</f>
        <v>FD Lyofast 10 - Vacuum Regulating Valve EB22-00710 Disused:0248A-5000SV+1249A Replaced by:MKS_0248D,</v>
      </c>
      <c r="E495" s="6">
        <f>IFERROR(__xludf.DUMMYFUNCTION("""COMPUTED_VALUE"""),1.0)</f>
        <v>1</v>
      </c>
      <c r="F495" s="6">
        <f>IFERROR(__xludf.DUMMYFUNCTION("""COMPUTED_VALUE"""),1.0)</f>
        <v>1</v>
      </c>
      <c r="G495" s="6">
        <f>IFERROR(__xludf.DUMMYFUNCTION("""COMPUTED_VALUE"""),0.0)</f>
        <v>0</v>
      </c>
      <c r="H495" s="6" t="str">
        <f>IFERROR(__xludf.DUMMYFUNCTION("""COMPUTED_VALUE"""),"pcs")</f>
        <v>pcs</v>
      </c>
      <c r="I495" s="6" t="str">
        <f>IFERROR(__xludf.DUMMYFUNCTION("""COMPUTED_VALUE"""),"MFH")</f>
        <v>MFH</v>
      </c>
      <c r="J495" s="6" t="str">
        <f>IFERROR(__xludf.DUMMYFUNCTION("""COMPUTED_VALUE"""),"FD")</f>
        <v>FD</v>
      </c>
      <c r="K495" s="6" t="str">
        <f>IFERROR(__xludf.DUMMYFUNCTION("""COMPUTED_VALUE"""),"SPR/01/24/010")</f>
        <v>SPR/01/24/010</v>
      </c>
      <c r="L495" s="13">
        <f>IFERROR(__xludf.DUMMYFUNCTION("""COMPUTED_VALUE"""),45308.0)</f>
        <v>45308</v>
      </c>
    </row>
    <row r="496">
      <c r="A496" s="6" t="str">
        <f>IFERROR(__xludf.DUMMYFUNCTION("""COMPUTED_VALUE"""),"NDS")</f>
        <v>NDS</v>
      </c>
      <c r="B496" s="6" t="str">
        <f>IFERROR(__xludf.DUMMYFUNCTION("""COMPUTED_VALUE"""),"ENG")</f>
        <v>ENG</v>
      </c>
      <c r="C496" s="6" t="str">
        <f>IFERROR(__xludf.DUMMYFUNCTION("""COMPUTED_VALUE"""),"O-16032-00")</f>
        <v>O-16032-00</v>
      </c>
      <c r="D496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96" s="6">
        <f>IFERROR(__xludf.DUMMYFUNCTION("""COMPUTED_VALUE"""),3.0)</f>
        <v>3</v>
      </c>
      <c r="F496" s="6">
        <f>IFERROR(__xludf.DUMMYFUNCTION("""COMPUTED_VALUE"""),3.0)</f>
        <v>3</v>
      </c>
      <c r="G496" s="6">
        <f>IFERROR(__xludf.DUMMYFUNCTION("""COMPUTED_VALUE"""),0.0)</f>
        <v>0</v>
      </c>
      <c r="H496" s="6" t="str">
        <f>IFERROR(__xludf.DUMMYFUNCTION("""COMPUTED_VALUE"""),"pcs")</f>
        <v>pcs</v>
      </c>
      <c r="I496" s="6" t="str">
        <f>IFERROR(__xludf.DUMMYFUNCTION("""COMPUTED_VALUE"""),"MFH")</f>
        <v>MFH</v>
      </c>
      <c r="J496" s="6" t="str">
        <f>IFERROR(__xludf.DUMMYFUNCTION("""COMPUTED_VALUE"""),"cRABS")</f>
        <v>cRABS</v>
      </c>
      <c r="K496" s="6" t="str">
        <f>IFERROR(__xludf.DUMMYFUNCTION("""COMPUTED_VALUE"""),"SPR/01/24/011")</f>
        <v>SPR/01/24/011</v>
      </c>
      <c r="L496" s="13">
        <f>IFERROR(__xludf.DUMMYFUNCTION("""COMPUTED_VALUE"""),45308.0)</f>
        <v>45308</v>
      </c>
    </row>
    <row r="497">
      <c r="A497" s="6" t="str">
        <f>IFERROR(__xludf.DUMMYFUNCTION("""COMPUTED_VALUE"""),"NDS")</f>
        <v>NDS</v>
      </c>
      <c r="B497" s="6" t="str">
        <f>IFERROR(__xludf.DUMMYFUNCTION("""COMPUTED_VALUE"""),"ENG")</f>
        <v>ENG</v>
      </c>
      <c r="C497" s="6" t="str">
        <f>IFERROR(__xludf.DUMMYFUNCTION("""COMPUTED_VALUE"""),"O-16033-00")</f>
        <v>O-16033-00</v>
      </c>
      <c r="D49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497" s="6">
        <f>IFERROR(__xludf.DUMMYFUNCTION("""COMPUTED_VALUE"""),2.0)</f>
        <v>2</v>
      </c>
      <c r="F497" s="6">
        <f>IFERROR(__xludf.DUMMYFUNCTION("""COMPUTED_VALUE"""),1.0)</f>
        <v>1</v>
      </c>
      <c r="G497" s="6">
        <f>IFERROR(__xludf.DUMMYFUNCTION("""COMPUTED_VALUE"""),0.0)</f>
        <v>0</v>
      </c>
      <c r="H497" s="6" t="str">
        <f>IFERROR(__xludf.DUMMYFUNCTION("""COMPUTED_VALUE"""),"pcs")</f>
        <v>pcs</v>
      </c>
      <c r="I497" s="6" t="str">
        <f>IFERROR(__xludf.DUMMYFUNCTION("""COMPUTED_VALUE"""),"MFH")</f>
        <v>MFH</v>
      </c>
      <c r="J497" s="6" t="str">
        <f>IFERROR(__xludf.DUMMYFUNCTION("""COMPUTED_VALUE"""),"cRABS")</f>
        <v>cRABS</v>
      </c>
      <c r="K497" s="6" t="str">
        <f>IFERROR(__xludf.DUMMYFUNCTION("""COMPUTED_VALUE"""),"SPR/01/24/011")</f>
        <v>SPR/01/24/011</v>
      </c>
      <c r="L497" s="13">
        <f>IFERROR(__xludf.DUMMYFUNCTION("""COMPUTED_VALUE"""),45308.0)</f>
        <v>45308</v>
      </c>
    </row>
    <row r="498">
      <c r="A498" s="6" t="str">
        <f>IFERROR(__xludf.DUMMYFUNCTION("""COMPUTED_VALUE"""),"NDS")</f>
        <v>NDS</v>
      </c>
      <c r="B498" s="6" t="str">
        <f>IFERROR(__xludf.DUMMYFUNCTION("""COMPUTED_VALUE"""),"ENG")</f>
        <v>ENG</v>
      </c>
      <c r="C498" s="6" t="str">
        <f>IFERROR(__xludf.DUMMYFUNCTION("""COMPUTED_VALUE"""),"O-54005-00")</f>
        <v>O-54005-00</v>
      </c>
      <c r="D498" s="6" t="str">
        <f>IFERROR(__xludf.DUMMYFUNCTION("""COMPUTED_VALUE"""),"LAMPU UV 15 WATT, OSRAM")</f>
        <v>LAMPU UV 15 WATT, OSRAM</v>
      </c>
      <c r="E498" s="6">
        <f>IFERROR(__xludf.DUMMYFUNCTION("""COMPUTED_VALUE"""),1.0)</f>
        <v>1</v>
      </c>
      <c r="F498" s="6">
        <f>IFERROR(__xludf.DUMMYFUNCTION("""COMPUTED_VALUE"""),1.0)</f>
        <v>1</v>
      </c>
      <c r="G498" s="6">
        <f>IFERROR(__xludf.DUMMYFUNCTION("""COMPUTED_VALUE"""),0.0)</f>
        <v>0</v>
      </c>
      <c r="H498" s="6" t="str">
        <f>IFERROR(__xludf.DUMMYFUNCTION("""COMPUTED_VALUE"""),"pcs")</f>
        <v>pcs</v>
      </c>
      <c r="I498" s="6" t="str">
        <f>IFERROR(__xludf.DUMMYFUNCTION("""COMPUTED_VALUE"""),"MFH")</f>
        <v>MFH</v>
      </c>
      <c r="J498" s="6" t="str">
        <f>IFERROR(__xludf.DUMMYFUNCTION("""COMPUTED_VALUE"""),"PB Microbiology")</f>
        <v>PB Microbiology</v>
      </c>
      <c r="K498" s="6" t="str">
        <f>IFERROR(__xludf.DUMMYFUNCTION("""COMPUTED_VALUE"""),"SPR/01/24/011")</f>
        <v>SPR/01/24/011</v>
      </c>
      <c r="L498" s="13">
        <f>IFERROR(__xludf.DUMMYFUNCTION("""COMPUTED_VALUE"""),45308.0)</f>
        <v>45308</v>
      </c>
    </row>
    <row r="499">
      <c r="A499" s="6" t="str">
        <f>IFERROR(__xludf.DUMMYFUNCTION("""COMPUTED_VALUE"""),"SHF")</f>
        <v>SHF</v>
      </c>
      <c r="B499" s="6" t="str">
        <f>IFERROR(__xludf.DUMMYFUNCTION("""COMPUTED_VALUE"""),"ENG")</f>
        <v>ENG</v>
      </c>
      <c r="C499" s="6" t="str">
        <f>IFERROR(__xludf.DUMMYFUNCTION("""COMPUTED_VALUE"""),"P-15938-00")</f>
        <v>P-15938-00</v>
      </c>
      <c r="D499" s="6" t="str">
        <f>IFERROR(__xludf.DUMMYFUNCTION("""COMPUTED_VALUE"""),"Water Hardness Test Kit")</f>
        <v>Water Hardness Test Kit</v>
      </c>
      <c r="E499" s="6">
        <f>IFERROR(__xludf.DUMMYFUNCTION("""COMPUTED_VALUE"""),1.0)</f>
        <v>1</v>
      </c>
      <c r="F499" s="6">
        <f>IFERROR(__xludf.DUMMYFUNCTION("""COMPUTED_VALUE"""),1.0)</f>
        <v>1</v>
      </c>
      <c r="G499" s="6">
        <f>IFERROR(__xludf.DUMMYFUNCTION("""COMPUTED_VALUE"""),0.0)</f>
        <v>0</v>
      </c>
      <c r="H499" s="6" t="str">
        <f>IFERROR(__xludf.DUMMYFUNCTION("""COMPUTED_VALUE"""),"pcs")</f>
        <v>pcs</v>
      </c>
      <c r="I499" s="6" t="str">
        <f>IFERROR(__xludf.DUMMYFUNCTION("""COMPUTED_VALUE"""),"MFH")</f>
        <v>MFH</v>
      </c>
      <c r="J499" s="6" t="str">
        <f>IFERROR(__xludf.DUMMYFUNCTION("""COMPUTED_VALUE"""),"machine")</f>
        <v>machine</v>
      </c>
      <c r="K499" s="6" t="str">
        <f>IFERROR(__xludf.DUMMYFUNCTION("""COMPUTED_VALUE"""),"SPR/01/24/012")</f>
        <v>SPR/01/24/012</v>
      </c>
      <c r="L499" s="13">
        <f>IFERROR(__xludf.DUMMYFUNCTION("""COMPUTED_VALUE"""),45308.0)</f>
        <v>45308</v>
      </c>
    </row>
    <row r="500">
      <c r="A500" s="6" t="str">
        <f>IFERROR(__xludf.DUMMYFUNCTION("""COMPUTED_VALUE"""),"MAP")</f>
        <v>MAP</v>
      </c>
      <c r="B500" s="6" t="str">
        <f>IFERROR(__xludf.DUMMYFUNCTION("""COMPUTED_VALUE"""),"ENG")</f>
        <v>ENG</v>
      </c>
      <c r="C500" s="6" t="str">
        <f>IFERROR(__xludf.DUMMYFUNCTION("""COMPUTED_VALUE"""),"T-80376-00")</f>
        <v>T-80376-00</v>
      </c>
      <c r="D500" s="6" t="str">
        <f>IFERROR(__xludf.DUMMYFUNCTION("""COMPUTED_VALUE"""),"Plakban Hitam 2 inch")</f>
        <v>Plakban Hitam 2 inch</v>
      </c>
      <c r="E500" s="6">
        <f>IFERROR(__xludf.DUMMYFUNCTION("""COMPUTED_VALUE"""),4.0)</f>
        <v>4</v>
      </c>
      <c r="F500" s="6">
        <f>IFERROR(__xludf.DUMMYFUNCTION("""COMPUTED_VALUE"""),4.0)</f>
        <v>4</v>
      </c>
      <c r="G500" s="6">
        <f>IFERROR(__xludf.DUMMYFUNCTION("""COMPUTED_VALUE"""),0.0)</f>
        <v>0</v>
      </c>
      <c r="H500" s="6" t="str">
        <f>IFERROR(__xludf.DUMMYFUNCTION("""COMPUTED_VALUE"""),"pcs")</f>
        <v>pcs</v>
      </c>
      <c r="I500" s="6" t="str">
        <f>IFERROR(__xludf.DUMMYFUNCTION("""COMPUTED_VALUE"""),"MFH")</f>
        <v>MFH</v>
      </c>
      <c r="J500" s="6" t="str">
        <f>IFERROR(__xludf.DUMMYFUNCTION("""COMPUTED_VALUE"""),"-")</f>
        <v>-</v>
      </c>
      <c r="K500" s="6" t="str">
        <f>IFERROR(__xludf.DUMMYFUNCTION("""COMPUTED_VALUE"""),"SPR/01/24/013")</f>
        <v>SPR/01/24/013</v>
      </c>
      <c r="L500" s="13">
        <f>IFERROR(__xludf.DUMMYFUNCTION("""COMPUTED_VALUE"""),45308.0)</f>
        <v>45308</v>
      </c>
    </row>
    <row r="501">
      <c r="A501" s="6" t="str">
        <f>IFERROR(__xludf.DUMMYFUNCTION("""COMPUTED_VALUE"""),"SHF")</f>
        <v>SHF</v>
      </c>
      <c r="B501" s="6" t="str">
        <f>IFERROR(__xludf.DUMMYFUNCTION("""COMPUTED_VALUE"""),"ENG")</f>
        <v>ENG</v>
      </c>
      <c r="C501" s="6" t="str">
        <f>IFERROR(__xludf.DUMMYFUNCTION("""COMPUTED_VALUE"""),"P-51560-00")</f>
        <v>P-51560-00</v>
      </c>
      <c r="D501" s="6" t="str">
        <f>IFERROR(__xludf.DUMMYFUNCTION("""COMPUTED_VALUE"""),"Lampu T5 28watt Putih; Phillips; ;")</f>
        <v>Lampu T5 28watt Putih; Phillips; ;</v>
      </c>
      <c r="E501" s="6">
        <f>IFERROR(__xludf.DUMMYFUNCTION("""COMPUTED_VALUE"""),13.0)</f>
        <v>13</v>
      </c>
      <c r="F501" s="6">
        <f>IFERROR(__xludf.DUMMYFUNCTION("""COMPUTED_VALUE"""),13.0)</f>
        <v>13</v>
      </c>
      <c r="G501" s="6">
        <f>IFERROR(__xludf.DUMMYFUNCTION("""COMPUTED_VALUE"""),0.0)</f>
        <v>0</v>
      </c>
      <c r="H501" s="6" t="str">
        <f>IFERROR(__xludf.DUMMYFUNCTION("""COMPUTED_VALUE"""),"pcs")</f>
        <v>pcs</v>
      </c>
      <c r="I501" s="6" t="str">
        <f>IFERROR(__xludf.DUMMYFUNCTION("""COMPUTED_VALUE"""),"MFH")</f>
        <v>MFH</v>
      </c>
      <c r="J501" s="6" t="str">
        <f>IFERROR(__xludf.DUMMYFUNCTION("""COMPUTED_VALUE"""),"Building")</f>
        <v>Building</v>
      </c>
      <c r="K501" s="6" t="str">
        <f>IFERROR(__xludf.DUMMYFUNCTION("""COMPUTED_VALUE"""),"SPR/01/24/014")</f>
        <v>SPR/01/24/014</v>
      </c>
      <c r="L501" s="13">
        <f>IFERROR(__xludf.DUMMYFUNCTION("""COMPUTED_VALUE"""),45308.0)</f>
        <v>45308</v>
      </c>
    </row>
    <row r="502">
      <c r="A502" s="6" t="str">
        <f>IFERROR(__xludf.DUMMYFUNCTION("""COMPUTED_VALUE"""),"SHF")</f>
        <v>SHF</v>
      </c>
      <c r="B502" s="6" t="str">
        <f>IFERROR(__xludf.DUMMYFUNCTION("""COMPUTED_VALUE"""),"ENG")</f>
        <v>ENG</v>
      </c>
      <c r="C502" s="6" t="str">
        <f>IFERROR(__xludf.DUMMYFUNCTION("""COMPUTED_VALUE"""),"P-12470-00")</f>
        <v>P-12470-00</v>
      </c>
      <c r="D502" s="6" t="str">
        <f>IFERROR(__xludf.DUMMYFUNCTION("""COMPUTED_VALUE"""),"Lem PVC Isarplas 300 gr/kaleng")</f>
        <v>Lem PVC Isarplas 300 gr/kaleng</v>
      </c>
      <c r="E502" s="6">
        <f>IFERROR(__xludf.DUMMYFUNCTION("""COMPUTED_VALUE"""),1.0)</f>
        <v>1</v>
      </c>
      <c r="F502" s="6">
        <f>IFERROR(__xludf.DUMMYFUNCTION("""COMPUTED_VALUE"""),1.0)</f>
        <v>1</v>
      </c>
      <c r="G502" s="6">
        <f>IFERROR(__xludf.DUMMYFUNCTION("""COMPUTED_VALUE"""),0.0)</f>
        <v>0</v>
      </c>
      <c r="H502" s="6" t="str">
        <f>IFERROR(__xludf.DUMMYFUNCTION("""COMPUTED_VALUE"""),"pcs")</f>
        <v>pcs</v>
      </c>
      <c r="I502" s="6" t="str">
        <f>IFERROR(__xludf.DUMMYFUNCTION("""COMPUTED_VALUE"""),"MFH")</f>
        <v>MFH</v>
      </c>
      <c r="J502" s="6" t="str">
        <f>IFERROR(__xludf.DUMMYFUNCTION("""COMPUTED_VALUE"""),"Building")</f>
        <v>Building</v>
      </c>
      <c r="K502" s="6" t="str">
        <f>IFERROR(__xludf.DUMMYFUNCTION("""COMPUTED_VALUE"""),"SPR/01/24/014")</f>
        <v>SPR/01/24/014</v>
      </c>
      <c r="L502" s="13">
        <f>IFERROR(__xludf.DUMMYFUNCTION("""COMPUTED_VALUE"""),45308.0)</f>
        <v>45308</v>
      </c>
    </row>
    <row r="503">
      <c r="A503" s="6" t="str">
        <f>IFERROR(__xludf.DUMMYFUNCTION("""COMPUTED_VALUE"""),"SHF")</f>
        <v>SHF</v>
      </c>
      <c r="B503" s="6" t="str">
        <f>IFERROR(__xludf.DUMMYFUNCTION("""COMPUTED_VALUE"""),"ENG")</f>
        <v>ENG</v>
      </c>
      <c r="C503" s="6" t="str">
        <f>IFERROR(__xludf.DUMMYFUNCTION("""COMPUTED_VALUE"""),"P-12920-00")</f>
        <v>P-12920-00</v>
      </c>
      <c r="D503" s="6" t="str">
        <f>IFERROR(__xludf.DUMMYFUNCTION("""COMPUTED_VALUE"""),"Tungsten Electrodes dia 1.6 mm")</f>
        <v>Tungsten Electrodes dia 1.6 mm</v>
      </c>
      <c r="E503" s="6">
        <f>IFERROR(__xludf.DUMMYFUNCTION("""COMPUTED_VALUE"""),1.0)</f>
        <v>1</v>
      </c>
      <c r="F503" s="6">
        <f>IFERROR(__xludf.DUMMYFUNCTION("""COMPUTED_VALUE"""),1.0)</f>
        <v>1</v>
      </c>
      <c r="G503" s="6">
        <f>IFERROR(__xludf.DUMMYFUNCTION("""COMPUTED_VALUE"""),0.0)</f>
        <v>0</v>
      </c>
      <c r="H503" s="6" t="str">
        <f>IFERROR(__xludf.DUMMYFUNCTION("""COMPUTED_VALUE"""),"pcs")</f>
        <v>pcs</v>
      </c>
      <c r="I503" s="6" t="str">
        <f>IFERROR(__xludf.DUMMYFUNCTION("""COMPUTED_VALUE"""),"MFH")</f>
        <v>MFH</v>
      </c>
      <c r="J503" s="6" t="str">
        <f>IFERROR(__xludf.DUMMYFUNCTION("""COMPUTED_VALUE"""),"Building")</f>
        <v>Building</v>
      </c>
      <c r="K503" s="6" t="str">
        <f>IFERROR(__xludf.DUMMYFUNCTION("""COMPUTED_VALUE"""),"SPR/01/24/014")</f>
        <v>SPR/01/24/014</v>
      </c>
      <c r="L503" s="13">
        <f>IFERROR(__xludf.DUMMYFUNCTION("""COMPUTED_VALUE"""),45308.0)</f>
        <v>45308</v>
      </c>
    </row>
    <row r="504">
      <c r="A504" s="6" t="str">
        <f>IFERROR(__xludf.DUMMYFUNCTION("""COMPUTED_VALUE"""),"INN")</f>
        <v>INN</v>
      </c>
      <c r="B504" s="6" t="str">
        <f>IFERROR(__xludf.DUMMYFUNCTION("""COMPUTED_VALUE"""),"ENG")</f>
        <v>ENG</v>
      </c>
      <c r="C504" s="6" t="str">
        <f>IFERROR(__xludf.DUMMYFUNCTION("""COMPUTED_VALUE"""),"P-52515-00")</f>
        <v>P-52515-00</v>
      </c>
      <c r="D504" s="6" t="str">
        <f>IFERROR(__xludf.DUMMYFUNCTION("""COMPUTED_VALUE"""),"Flow Sensor Type SE30-HT (High Temperature Version)")</f>
        <v>Flow Sensor Type SE30-HT (High Temperature Version)</v>
      </c>
      <c r="E504" s="6">
        <f>IFERROR(__xludf.DUMMYFUNCTION("""COMPUTED_VALUE"""),1.0)</f>
        <v>1</v>
      </c>
      <c r="F504" s="6">
        <f>IFERROR(__xludf.DUMMYFUNCTION("""COMPUTED_VALUE"""),1.0)</f>
        <v>1</v>
      </c>
      <c r="G504" s="6">
        <f>IFERROR(__xludf.DUMMYFUNCTION("""COMPUTED_VALUE"""),0.0)</f>
        <v>0</v>
      </c>
      <c r="H504" s="6" t="str">
        <f>IFERROR(__xludf.DUMMYFUNCTION("""COMPUTED_VALUE"""),"pcs")</f>
        <v>pcs</v>
      </c>
      <c r="I504" s="6" t="str">
        <f>IFERROR(__xludf.DUMMYFUNCTION("""COMPUTED_VALUE"""),"MFH")</f>
        <v>MFH</v>
      </c>
      <c r="J504" s="6" t="str">
        <f>IFERROR(__xludf.DUMMYFUNCTION("""COMPUTED_VALUE"""),"PSG")</f>
        <v>PSG</v>
      </c>
      <c r="K504" s="6" t="str">
        <f>IFERROR(__xludf.DUMMYFUNCTION("""COMPUTED_VALUE"""),"SPR/01/24/015")</f>
        <v>SPR/01/24/015</v>
      </c>
      <c r="L504" s="13">
        <f>IFERROR(__xludf.DUMMYFUNCTION("""COMPUTED_VALUE"""),45308.0)</f>
        <v>45308</v>
      </c>
    </row>
    <row r="505">
      <c r="A505" s="6" t="str">
        <f>IFERROR(__xludf.DUMMYFUNCTION("""COMPUTED_VALUE"""),"INN")</f>
        <v>INN</v>
      </c>
      <c r="B505" s="6" t="str">
        <f>IFERROR(__xludf.DUMMYFUNCTION("""COMPUTED_VALUE"""),"ENG")</f>
        <v>ENG</v>
      </c>
      <c r="C505" s="6" t="str">
        <f>IFERROR(__xludf.DUMMYFUNCTION("""COMPUTED_VALUE"""),"P-52514-00")</f>
        <v>P-52514-00</v>
      </c>
      <c r="D505" s="6" t="str">
        <f>IFERROR(__xludf.DUMMYFUNCTION("""COMPUTED_VALUE"""),"Flow Transmitter Type 8025 (Remote/Panel Version)")</f>
        <v>Flow Transmitter Type 8025 (Remote/Panel Version)</v>
      </c>
      <c r="E505" s="6">
        <f>IFERROR(__xludf.DUMMYFUNCTION("""COMPUTED_VALUE"""),1.0)</f>
        <v>1</v>
      </c>
      <c r="F505" s="6">
        <f>IFERROR(__xludf.DUMMYFUNCTION("""COMPUTED_VALUE"""),1.0)</f>
        <v>1</v>
      </c>
      <c r="G505" s="6">
        <f>IFERROR(__xludf.DUMMYFUNCTION("""COMPUTED_VALUE"""),0.0)</f>
        <v>0</v>
      </c>
      <c r="H505" s="6" t="str">
        <f>IFERROR(__xludf.DUMMYFUNCTION("""COMPUTED_VALUE"""),"pcs")</f>
        <v>pcs</v>
      </c>
      <c r="I505" s="6" t="str">
        <f>IFERROR(__xludf.DUMMYFUNCTION("""COMPUTED_VALUE"""),"MFH")</f>
        <v>MFH</v>
      </c>
      <c r="J505" s="6" t="str">
        <f>IFERROR(__xludf.DUMMYFUNCTION("""COMPUTED_VALUE"""),"PSG")</f>
        <v>PSG</v>
      </c>
      <c r="K505" s="6" t="str">
        <f>IFERROR(__xludf.DUMMYFUNCTION("""COMPUTED_VALUE"""),"SPR/01/24/015")</f>
        <v>SPR/01/24/015</v>
      </c>
      <c r="L505" s="13">
        <f>IFERROR(__xludf.DUMMYFUNCTION("""COMPUTED_VALUE"""),45308.0)</f>
        <v>45308</v>
      </c>
    </row>
    <row r="506">
      <c r="A506" s="6" t="str">
        <f>IFERROR(__xludf.DUMMYFUNCTION("""COMPUTED_VALUE"""),"ROS")</f>
        <v>ROS</v>
      </c>
      <c r="B506" s="6" t="str">
        <f>IFERROR(__xludf.DUMMYFUNCTION("""COMPUTED_VALUE"""),"ENG")</f>
        <v>ENG</v>
      </c>
      <c r="C506" s="6" t="str">
        <f>IFERROR(__xludf.DUMMYFUNCTION("""COMPUTED_VALUE"""),"O-13522-00")</f>
        <v>O-13522-00</v>
      </c>
      <c r="D506" s="6" t="str">
        <f>IFERROR(__xludf.DUMMYFUNCTION("""COMPUTED_VALUE"""),"gasket 2"" / EPDM; ; ;")</f>
        <v>gasket 2" / EPDM; ; ;</v>
      </c>
      <c r="E506" s="6">
        <f>IFERROR(__xludf.DUMMYFUNCTION("""COMPUTED_VALUE"""),4.0)</f>
        <v>4</v>
      </c>
      <c r="F506" s="6">
        <f>IFERROR(__xludf.DUMMYFUNCTION("""COMPUTED_VALUE"""),4.0)</f>
        <v>4</v>
      </c>
      <c r="G506" s="6">
        <f>IFERROR(__xludf.DUMMYFUNCTION("""COMPUTED_VALUE"""),0.0)</f>
        <v>0</v>
      </c>
      <c r="H506" s="6" t="str">
        <f>IFERROR(__xludf.DUMMYFUNCTION("""COMPUTED_VALUE"""),"pcs")</f>
        <v>pcs</v>
      </c>
      <c r="I506" s="6" t="str">
        <f>IFERROR(__xludf.DUMMYFUNCTION("""COMPUTED_VALUE"""),"MFH")</f>
        <v>MFH</v>
      </c>
      <c r="J506" s="6" t="str">
        <f>IFERROR(__xludf.DUMMYFUNCTION("""COMPUTED_VALUE"""),"Mixing")</f>
        <v>Mixing</v>
      </c>
      <c r="K506" s="6" t="str">
        <f>IFERROR(__xludf.DUMMYFUNCTION("""COMPUTED_VALUE"""),"SPR/01/24/016")</f>
        <v>SPR/01/24/016</v>
      </c>
      <c r="L506" s="13">
        <f>IFERROR(__xludf.DUMMYFUNCTION("""COMPUTED_VALUE"""),45308.0)</f>
        <v>45308</v>
      </c>
    </row>
    <row r="507">
      <c r="A507" s="6" t="str">
        <f>IFERROR(__xludf.DUMMYFUNCTION("""COMPUTED_VALUE"""),"ROS")</f>
        <v>ROS</v>
      </c>
      <c r="B507" s="6" t="str">
        <f>IFERROR(__xludf.DUMMYFUNCTION("""COMPUTED_VALUE"""),"ENG")</f>
        <v>ENG</v>
      </c>
      <c r="C507" s="6" t="str">
        <f>IFERROR(__xludf.DUMMYFUNCTION("""COMPUTED_VALUE"""),"O-14640-00")</f>
        <v>O-14640-00</v>
      </c>
      <c r="D507" s="6" t="str">
        <f>IFERROR(__xludf.DUMMYFUNCTION("""COMPUTED_VALUE"""),"Silicone Gasket for Ferrule dia. 3/4""")</f>
        <v>Silicone Gasket for Ferrule dia. 3/4"</v>
      </c>
      <c r="E507" s="6">
        <f>IFERROR(__xludf.DUMMYFUNCTION("""COMPUTED_VALUE"""),8.0)</f>
        <v>8</v>
      </c>
      <c r="F507" s="6">
        <f>IFERROR(__xludf.DUMMYFUNCTION("""COMPUTED_VALUE"""),3.0)</f>
        <v>3</v>
      </c>
      <c r="G507" s="6">
        <f>IFERROR(__xludf.DUMMYFUNCTION("""COMPUTED_VALUE"""),0.0)</f>
        <v>0</v>
      </c>
      <c r="H507" s="6" t="str">
        <f>IFERROR(__xludf.DUMMYFUNCTION("""COMPUTED_VALUE"""),"pcs")</f>
        <v>pcs</v>
      </c>
      <c r="I507" s="6" t="str">
        <f>IFERROR(__xludf.DUMMYFUNCTION("""COMPUTED_VALUE"""),"MFH")</f>
        <v>MFH</v>
      </c>
      <c r="J507" s="6" t="str">
        <f>IFERROR(__xludf.DUMMYFUNCTION("""COMPUTED_VALUE"""),"Mixing")</f>
        <v>Mixing</v>
      </c>
      <c r="K507" s="6" t="str">
        <f>IFERROR(__xludf.DUMMYFUNCTION("""COMPUTED_VALUE"""),"SPR/01/24/016")</f>
        <v>SPR/01/24/016</v>
      </c>
      <c r="L507" s="13">
        <f>IFERROR(__xludf.DUMMYFUNCTION("""COMPUTED_VALUE"""),45308.0)</f>
        <v>45308</v>
      </c>
    </row>
    <row r="508">
      <c r="A508" s="6" t="str">
        <f>IFERROR(__xludf.DUMMYFUNCTION("""COMPUTED_VALUE"""),"NDS")</f>
        <v>NDS</v>
      </c>
      <c r="B508" s="6" t="str">
        <f>IFERROR(__xludf.DUMMYFUNCTION("""COMPUTED_VALUE"""),"ENG")</f>
        <v>ENG</v>
      </c>
      <c r="C508" s="6" t="str">
        <f>IFERROR(__xludf.DUMMYFUNCTION("""COMPUTED_VALUE"""),"T-20135-00")</f>
        <v>T-20135-00</v>
      </c>
      <c r="D508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508" s="6">
        <f>IFERROR(__xludf.DUMMYFUNCTION("""COMPUTED_VALUE"""),3.0)</f>
        <v>3</v>
      </c>
      <c r="F508" s="6">
        <f>IFERROR(__xludf.DUMMYFUNCTION("""COMPUTED_VALUE"""),2.0)</f>
        <v>2</v>
      </c>
      <c r="G508" s="6">
        <f>IFERROR(__xludf.DUMMYFUNCTION("""COMPUTED_VALUE"""),0.0)</f>
        <v>0</v>
      </c>
      <c r="H508" s="6" t="str">
        <f>IFERROR(__xludf.DUMMYFUNCTION("""COMPUTED_VALUE"""),"pcs")</f>
        <v>pcs</v>
      </c>
      <c r="I508" s="6" t="str">
        <f>IFERROR(__xludf.DUMMYFUNCTION("""COMPUTED_VALUE"""),"MFH")</f>
        <v>MFH</v>
      </c>
      <c r="J508" s="6" t="str">
        <f>IFERROR(__xludf.DUMMYFUNCTION("""COMPUTED_VALUE"""),"Isolator SKAN")</f>
        <v>Isolator SKAN</v>
      </c>
      <c r="K508" s="6" t="str">
        <f>IFERROR(__xludf.DUMMYFUNCTION("""COMPUTED_VALUE"""),"SPR/01/24/017")</f>
        <v>SPR/01/24/017</v>
      </c>
      <c r="L508" s="13">
        <f>IFERROR(__xludf.DUMMYFUNCTION("""COMPUTED_VALUE"""),45308.0)</f>
        <v>45308</v>
      </c>
    </row>
    <row r="509">
      <c r="A509" s="6" t="str">
        <f>IFERROR(__xludf.DUMMYFUNCTION("""COMPUTED_VALUE"""),"NDS")</f>
        <v>NDS</v>
      </c>
      <c r="B509" s="6" t="str">
        <f>IFERROR(__xludf.DUMMYFUNCTION("""COMPUTED_VALUE"""),"ENG")</f>
        <v>ENG</v>
      </c>
      <c r="C509" s="6" t="str">
        <f>IFERROR(__xludf.DUMMYFUNCTION("""COMPUTED_VALUE"""),"O-16033-00")</f>
        <v>O-16033-00</v>
      </c>
      <c r="D50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509" s="6">
        <f>IFERROR(__xludf.DUMMYFUNCTION("""COMPUTED_VALUE"""),2.0)</f>
        <v>2</v>
      </c>
      <c r="F509" s="6">
        <f>IFERROR(__xludf.DUMMYFUNCTION("""COMPUTED_VALUE"""),1.0)</f>
        <v>1</v>
      </c>
      <c r="G509" s="6">
        <f>IFERROR(__xludf.DUMMYFUNCTION("""COMPUTED_VALUE"""),0.0)</f>
        <v>0</v>
      </c>
      <c r="H509" s="6" t="str">
        <f>IFERROR(__xludf.DUMMYFUNCTION("""COMPUTED_VALUE"""),"pcs")</f>
        <v>pcs</v>
      </c>
      <c r="I509" s="6" t="str">
        <f>IFERROR(__xludf.DUMMYFUNCTION("""COMPUTED_VALUE"""),"MFH")</f>
        <v>MFH</v>
      </c>
      <c r="J509" s="6" t="str">
        <f>IFERROR(__xludf.DUMMYFUNCTION("""COMPUTED_VALUE"""),"Isolator SKAN")</f>
        <v>Isolator SKAN</v>
      </c>
      <c r="K509" s="6" t="str">
        <f>IFERROR(__xludf.DUMMYFUNCTION("""COMPUTED_VALUE"""),"SPR/01/24/017")</f>
        <v>SPR/01/24/017</v>
      </c>
      <c r="L509" s="13">
        <f>IFERROR(__xludf.DUMMYFUNCTION("""COMPUTED_VALUE"""),45308.0)</f>
        <v>45308</v>
      </c>
    </row>
    <row r="510">
      <c r="A510" s="6" t="str">
        <f>IFERROR(__xludf.DUMMYFUNCTION("""COMPUTED_VALUE"""),"NDS")</f>
        <v>NDS</v>
      </c>
      <c r="B510" s="6" t="str">
        <f>IFERROR(__xludf.DUMMYFUNCTION("""COMPUTED_VALUE"""),"ENG")</f>
        <v>ENG</v>
      </c>
      <c r="C510" s="6" t="str">
        <f>IFERROR(__xludf.DUMMYFUNCTION("""COMPUTED_VALUE"""),"P-10945-00")</f>
        <v>P-10945-00</v>
      </c>
      <c r="D510" s="6" t="str">
        <f>IFERROR(__xludf.DUMMYFUNCTION("""COMPUTED_VALUE"""),"Insulation - Seal Tape onda")</f>
        <v>Insulation - Seal Tape onda</v>
      </c>
      <c r="E510" s="6">
        <f>IFERROR(__xludf.DUMMYFUNCTION("""COMPUTED_VALUE"""),2.0)</f>
        <v>2</v>
      </c>
      <c r="F510" s="6">
        <f>IFERROR(__xludf.DUMMYFUNCTION("""COMPUTED_VALUE"""),2.0)</f>
        <v>2</v>
      </c>
      <c r="G510" s="6">
        <f>IFERROR(__xludf.DUMMYFUNCTION("""COMPUTED_VALUE"""),0.0)</f>
        <v>0</v>
      </c>
      <c r="H510" s="6" t="str">
        <f>IFERROR(__xludf.DUMMYFUNCTION("""COMPUTED_VALUE"""),"pcs")</f>
        <v>pcs</v>
      </c>
      <c r="I510" s="6" t="str">
        <f>IFERROR(__xludf.DUMMYFUNCTION("""COMPUTED_VALUE"""),"MFH")</f>
        <v>MFH</v>
      </c>
      <c r="J510" s="6" t="str">
        <f>IFERROR(__xludf.DUMMYFUNCTION("""COMPUTED_VALUE"""),"FD")</f>
        <v>FD</v>
      </c>
      <c r="K510" s="6" t="str">
        <f>IFERROR(__xludf.DUMMYFUNCTION("""COMPUTED_VALUE"""),"SPR/01/24/017")</f>
        <v>SPR/01/24/017</v>
      </c>
      <c r="L510" s="13">
        <f>IFERROR(__xludf.DUMMYFUNCTION("""COMPUTED_VALUE"""),45308.0)</f>
        <v>45308</v>
      </c>
    </row>
    <row r="511">
      <c r="A511" s="6" t="str">
        <f>IFERROR(__xludf.DUMMYFUNCTION("""COMPUTED_VALUE"""),"NDS")</f>
        <v>NDS</v>
      </c>
      <c r="B511" s="6" t="str">
        <f>IFERROR(__xludf.DUMMYFUNCTION("""COMPUTED_VALUE"""),"ENG")</f>
        <v>ENG</v>
      </c>
      <c r="C511" s="6" t="str">
        <f>IFERROR(__xludf.DUMMYFUNCTION("""COMPUTED_VALUE"""),"P-10945-00")</f>
        <v>P-10945-00</v>
      </c>
      <c r="D511" s="6" t="str">
        <f>IFERROR(__xludf.DUMMYFUNCTION("""COMPUTED_VALUE"""),"Insulation - Seal Tape onda")</f>
        <v>Insulation - Seal Tape onda</v>
      </c>
      <c r="E511" s="6">
        <f>IFERROR(__xludf.DUMMYFUNCTION("""COMPUTED_VALUE"""),2.0)</f>
        <v>2</v>
      </c>
      <c r="F511" s="6">
        <f>IFERROR(__xludf.DUMMYFUNCTION("""COMPUTED_VALUE"""),2.0)</f>
        <v>2</v>
      </c>
      <c r="G511" s="6">
        <f>IFERROR(__xludf.DUMMYFUNCTION("""COMPUTED_VALUE"""),0.0)</f>
        <v>0</v>
      </c>
      <c r="H511" s="6" t="str">
        <f>IFERROR(__xludf.DUMMYFUNCTION("""COMPUTED_VALUE"""),"pcs")</f>
        <v>pcs</v>
      </c>
      <c r="I511" s="6" t="str">
        <f>IFERROR(__xludf.DUMMYFUNCTION("""COMPUTED_VALUE"""),"MFH")</f>
        <v>MFH</v>
      </c>
      <c r="J511" s="6" t="str">
        <f>IFERROR(__xludf.DUMMYFUNCTION("""COMPUTED_VALUE"""),"FD")</f>
        <v>FD</v>
      </c>
      <c r="K511" s="6" t="str">
        <f>IFERROR(__xludf.DUMMYFUNCTION("""COMPUTED_VALUE"""),"SPR/01/24/018")</f>
        <v>SPR/01/24/018</v>
      </c>
      <c r="L511" s="13">
        <f>IFERROR(__xludf.DUMMYFUNCTION("""COMPUTED_VALUE"""),45308.0)</f>
        <v>45308</v>
      </c>
    </row>
    <row r="512">
      <c r="A512" s="6" t="str">
        <f>IFERROR(__xludf.DUMMYFUNCTION("""COMPUTED_VALUE"""),"NDS")</f>
        <v>NDS</v>
      </c>
      <c r="B512" s="6" t="str">
        <f>IFERROR(__xludf.DUMMYFUNCTION("""COMPUTED_VALUE"""),"ENG")</f>
        <v>ENG</v>
      </c>
      <c r="C512" s="6" t="str">
        <f>IFERROR(__xludf.DUMMYFUNCTION("""COMPUTED_VALUE"""),"P-11968-00")</f>
        <v>P-11968-00</v>
      </c>
      <c r="D512" s="6" t="str">
        <f>IFERROR(__xludf.DUMMYFUNCTION("""COMPUTED_VALUE"""),"Berusynt FGH Spray H1 - Bechem")</f>
        <v>Berusynt FGH Spray H1 - Bechem</v>
      </c>
      <c r="E512" s="6">
        <f>IFERROR(__xludf.DUMMYFUNCTION("""COMPUTED_VALUE"""),1.0)</f>
        <v>1</v>
      </c>
      <c r="F512" s="6">
        <f>IFERROR(__xludf.DUMMYFUNCTION("""COMPUTED_VALUE"""),1.0)</f>
        <v>1</v>
      </c>
      <c r="G512" s="6">
        <f>IFERROR(__xludf.DUMMYFUNCTION("""COMPUTED_VALUE"""),0.0)</f>
        <v>0</v>
      </c>
      <c r="H512" s="6" t="str">
        <f>IFERROR(__xludf.DUMMYFUNCTION("""COMPUTED_VALUE"""),"pcs")</f>
        <v>pcs</v>
      </c>
      <c r="I512" s="6" t="str">
        <f>IFERROR(__xludf.DUMMYFUNCTION("""COMPUTED_VALUE"""),"MFH")</f>
        <v>MFH</v>
      </c>
      <c r="J512" s="6" t="str">
        <f>IFERROR(__xludf.DUMMYFUNCTION("""COMPUTED_VALUE"""),"CMFD")</f>
        <v>CMFD</v>
      </c>
      <c r="K512" s="6" t="str">
        <f>IFERROR(__xludf.DUMMYFUNCTION("""COMPUTED_VALUE"""),"SPR/01/24/018")</f>
        <v>SPR/01/24/018</v>
      </c>
      <c r="L512" s="13">
        <f>IFERROR(__xludf.DUMMYFUNCTION("""COMPUTED_VALUE"""),45308.0)</f>
        <v>45308</v>
      </c>
    </row>
    <row r="513">
      <c r="A513" s="6" t="str">
        <f>IFERROR(__xludf.DUMMYFUNCTION("""COMPUTED_VALUE"""),"NDS")</f>
        <v>NDS</v>
      </c>
      <c r="B513" s="6" t="str">
        <f>IFERROR(__xludf.DUMMYFUNCTION("""COMPUTED_VALUE"""),"ENG")</f>
        <v>ENG</v>
      </c>
      <c r="C513" s="6" t="str">
        <f>IFERROR(__xludf.DUMMYFUNCTION("""COMPUTED_VALUE"""),"O-18559-00")</f>
        <v>O-18559-00</v>
      </c>
      <c r="D513" s="6" t="str">
        <f>IFERROR(__xludf.DUMMYFUNCTION("""COMPUTED_VALUE"""),"FD Lyofast 10 - Vacuum Regulating Valve EB22-00710 Disused:0248A-5000SV+1249A Replaced by:MKS_0248D,")</f>
        <v>FD Lyofast 10 - Vacuum Regulating Valve EB22-00710 Disused:0248A-5000SV+1249A Replaced by:MKS_0248D,</v>
      </c>
      <c r="E513" s="6">
        <f>IFERROR(__xludf.DUMMYFUNCTION("""COMPUTED_VALUE"""),1.0)</f>
        <v>1</v>
      </c>
      <c r="F513" s="6">
        <f>IFERROR(__xludf.DUMMYFUNCTION("""COMPUTED_VALUE"""),1.0)</f>
        <v>1</v>
      </c>
      <c r="G513" s="6">
        <f>IFERROR(__xludf.DUMMYFUNCTION("""COMPUTED_VALUE"""),0.0)</f>
        <v>0</v>
      </c>
      <c r="H513" s="6" t="str">
        <f>IFERROR(__xludf.DUMMYFUNCTION("""COMPUTED_VALUE"""),"pcs")</f>
        <v>pcs</v>
      </c>
      <c r="I513" s="6" t="str">
        <f>IFERROR(__xludf.DUMMYFUNCTION("""COMPUTED_VALUE"""),"MFH")</f>
        <v>MFH</v>
      </c>
      <c r="J513" s="6" t="str">
        <f>IFERROR(__xludf.DUMMYFUNCTION("""COMPUTED_VALUE"""),"FD")</f>
        <v>FD</v>
      </c>
      <c r="K513" s="6" t="str">
        <f>IFERROR(__xludf.DUMMYFUNCTION("""COMPUTED_VALUE"""),"SPR/01/24/018")</f>
        <v>SPR/01/24/018</v>
      </c>
      <c r="L513" s="13">
        <f>IFERROR(__xludf.DUMMYFUNCTION("""COMPUTED_VALUE"""),45308.0)</f>
        <v>45308</v>
      </c>
    </row>
    <row r="514">
      <c r="A514" s="6" t="str">
        <f>IFERROR(__xludf.DUMMYFUNCTION("""COMPUTED_VALUE"""),"AAA")</f>
        <v>AAA</v>
      </c>
      <c r="B514" s="6" t="str">
        <f>IFERROR(__xludf.DUMMYFUNCTION("""COMPUTED_VALUE"""),"ENG")</f>
        <v>ENG</v>
      </c>
      <c r="C514" s="6" t="str">
        <f>IFERROR(__xludf.DUMMYFUNCTION("""COMPUTED_VALUE"""),"O-16979-00")</f>
        <v>O-16979-00</v>
      </c>
      <c r="D514" s="6" t="str">
        <f>IFERROR(__xludf.DUMMYFUNCTION("""COMPUTED_VALUE"""),"Freeze Dryer MBE1207 - Thermostatic Cooling Water AVTA15 Danfoss")</f>
        <v>Freeze Dryer MBE1207 - Thermostatic Cooling Water AVTA15 Danfoss</v>
      </c>
      <c r="E514" s="6">
        <f>IFERROR(__xludf.DUMMYFUNCTION("""COMPUTED_VALUE"""),1.0)</f>
        <v>1</v>
      </c>
      <c r="F514" s="6">
        <f>IFERROR(__xludf.DUMMYFUNCTION("""COMPUTED_VALUE"""),1.0)</f>
        <v>1</v>
      </c>
      <c r="G514" s="6">
        <f>IFERROR(__xludf.DUMMYFUNCTION("""COMPUTED_VALUE"""),0.0)</f>
        <v>0</v>
      </c>
      <c r="H514" s="6" t="str">
        <f>IFERROR(__xludf.DUMMYFUNCTION("""COMPUTED_VALUE"""),"pcs")</f>
        <v>pcs</v>
      </c>
      <c r="I514" s="6" t="str">
        <f>IFERROR(__xludf.DUMMYFUNCTION("""COMPUTED_VALUE"""),"MFH")</f>
        <v>MFH</v>
      </c>
      <c r="J514" s="6" t="str">
        <f>IFERROR(__xludf.DUMMYFUNCTION("""COMPUTED_VALUE"""),"FD")</f>
        <v>FD</v>
      </c>
      <c r="K514" s="6" t="str">
        <f>IFERROR(__xludf.DUMMYFUNCTION("""COMPUTED_VALUE"""),"SPR/01/24/019")</f>
        <v>SPR/01/24/019</v>
      </c>
      <c r="L514" s="13">
        <f>IFERROR(__xludf.DUMMYFUNCTION("""COMPUTED_VALUE"""),45308.0)</f>
        <v>45308</v>
      </c>
    </row>
    <row r="515">
      <c r="A515" s="6" t="str">
        <f>IFERROR(__xludf.DUMMYFUNCTION("""COMPUTED_VALUE"""),"AAA")</f>
        <v>AAA</v>
      </c>
      <c r="B515" s="6" t="str">
        <f>IFERROR(__xludf.DUMMYFUNCTION("""COMPUTED_VALUE"""),"ENG")</f>
        <v>ENG</v>
      </c>
      <c r="C515" s="6" t="str">
        <f>IFERROR(__xludf.DUMMYFUNCTION("""COMPUTED_VALUE"""),"-")</f>
        <v>-</v>
      </c>
      <c r="D515" s="6" t="str">
        <f>IFERROR(__xludf.DUMMYFUNCTION("""COMPUTED_VALUE"""),"Rotalock condensor")</f>
        <v>Rotalock condensor</v>
      </c>
      <c r="E515" s="6">
        <f>IFERROR(__xludf.DUMMYFUNCTION("""COMPUTED_VALUE"""),1.0)</f>
        <v>1</v>
      </c>
      <c r="F515" s="6">
        <f>IFERROR(__xludf.DUMMYFUNCTION("""COMPUTED_VALUE"""),1.0)</f>
        <v>1</v>
      </c>
      <c r="G515" s="6">
        <f>IFERROR(__xludf.DUMMYFUNCTION("""COMPUTED_VALUE"""),0.0)</f>
        <v>0</v>
      </c>
      <c r="H515" s="6" t="str">
        <f>IFERROR(__xludf.DUMMYFUNCTION("""COMPUTED_VALUE"""),"pcs")</f>
        <v>pcs</v>
      </c>
      <c r="I515" s="6" t="str">
        <f>IFERROR(__xludf.DUMMYFUNCTION("""COMPUTED_VALUE"""),"MFH")</f>
        <v>MFH</v>
      </c>
      <c r="J515" s="6" t="str">
        <f>IFERROR(__xludf.DUMMYFUNCTION("""COMPUTED_VALUE"""),"FD")</f>
        <v>FD</v>
      </c>
      <c r="K515" s="6" t="str">
        <f>IFERROR(__xludf.DUMMYFUNCTION("""COMPUTED_VALUE"""),"SPR/01/24/019")</f>
        <v>SPR/01/24/019</v>
      </c>
      <c r="L515" s="13">
        <f>IFERROR(__xludf.DUMMYFUNCTION("""COMPUTED_VALUE"""),45308.0)</f>
        <v>45308</v>
      </c>
    </row>
    <row r="516">
      <c r="A516" s="6" t="str">
        <f>IFERROR(__xludf.DUMMYFUNCTION("""COMPUTED_VALUE"""),"AAA")</f>
        <v>AAA</v>
      </c>
      <c r="B516" s="6" t="str">
        <f>IFERROR(__xludf.DUMMYFUNCTION("""COMPUTED_VALUE"""),"ENG")</f>
        <v>ENG</v>
      </c>
      <c r="C516" s="6" t="str">
        <f>IFERROR(__xludf.DUMMYFUNCTION("""COMPUTED_VALUE"""),"O-52831-00")</f>
        <v>O-52831-00</v>
      </c>
      <c r="D516" s="6" t="str">
        <f>IFERROR(__xludf.DUMMYFUNCTION("""COMPUTED_VALUE"""),"Freeze Dryer MBE1207 - SV169 MYCOM COMPLETE SOLENOLD VALVE, XOF-240V1 include valve body and coil P/")</f>
        <v>Freeze Dryer MBE1207 - SV169 MYCOM COMPLETE SOLENOLD VALVE, XOF-240V1 include valve body and coil P/</v>
      </c>
      <c r="E516" s="6">
        <f>IFERROR(__xludf.DUMMYFUNCTION("""COMPUTED_VALUE"""),1.0)</f>
        <v>1</v>
      </c>
      <c r="F516" s="6">
        <f>IFERROR(__xludf.DUMMYFUNCTION("""COMPUTED_VALUE"""),1.0)</f>
        <v>1</v>
      </c>
      <c r="G516" s="6">
        <f>IFERROR(__xludf.DUMMYFUNCTION("""COMPUTED_VALUE"""),0.0)</f>
        <v>0</v>
      </c>
      <c r="H516" s="6" t="str">
        <f>IFERROR(__xludf.DUMMYFUNCTION("""COMPUTED_VALUE"""),"pcs")</f>
        <v>pcs</v>
      </c>
      <c r="I516" s="6" t="str">
        <f>IFERROR(__xludf.DUMMYFUNCTION("""COMPUTED_VALUE"""),"MFH")</f>
        <v>MFH</v>
      </c>
      <c r="J516" s="6" t="str">
        <f>IFERROR(__xludf.DUMMYFUNCTION("""COMPUTED_VALUE"""),"FD")</f>
        <v>FD</v>
      </c>
      <c r="K516" s="6" t="str">
        <f>IFERROR(__xludf.DUMMYFUNCTION("""COMPUTED_VALUE"""),"SPR/01/24/019")</f>
        <v>SPR/01/24/019</v>
      </c>
      <c r="L516" s="13">
        <f>IFERROR(__xludf.DUMMYFUNCTION("""COMPUTED_VALUE"""),45308.0)</f>
        <v>45308</v>
      </c>
    </row>
    <row r="517">
      <c r="A517" s="6" t="str">
        <f>IFERROR(__xludf.DUMMYFUNCTION("""COMPUTED_VALUE"""),"AAA")</f>
        <v>AAA</v>
      </c>
      <c r="B517" s="6" t="str">
        <f>IFERROR(__xludf.DUMMYFUNCTION("""COMPUTED_VALUE"""),"ENG")</f>
        <v>ENG</v>
      </c>
      <c r="C517" s="6" t="str">
        <f>IFERROR(__xludf.DUMMYFUNCTION("""COMPUTED_VALUE"""),"O-52845-00")</f>
        <v>O-52845-00</v>
      </c>
      <c r="D517" s="6" t="str">
        <f>IFERROR(__xludf.DUMMYFUNCTION("""COMPUTED_VALUE"""),"Freeze Dryer MBE1207 - SV169 Coil MKC-1 AC220V P/n: EB15-00507")</f>
        <v>Freeze Dryer MBE1207 - SV169 Coil MKC-1 AC220V P/n: EB15-00507</v>
      </c>
      <c r="E517" s="6">
        <f>IFERROR(__xludf.DUMMYFUNCTION("""COMPUTED_VALUE"""),1.0)</f>
        <v>1</v>
      </c>
      <c r="F517" s="6">
        <f>IFERROR(__xludf.DUMMYFUNCTION("""COMPUTED_VALUE"""),1.0)</f>
        <v>1</v>
      </c>
      <c r="G517" s="6">
        <f>IFERROR(__xludf.DUMMYFUNCTION("""COMPUTED_VALUE"""),0.0)</f>
        <v>0</v>
      </c>
      <c r="H517" s="6" t="str">
        <f>IFERROR(__xludf.DUMMYFUNCTION("""COMPUTED_VALUE"""),"pcs")</f>
        <v>pcs</v>
      </c>
      <c r="I517" s="6" t="str">
        <f>IFERROR(__xludf.DUMMYFUNCTION("""COMPUTED_VALUE"""),"MFH")</f>
        <v>MFH</v>
      </c>
      <c r="J517" s="6" t="str">
        <f>IFERROR(__xludf.DUMMYFUNCTION("""COMPUTED_VALUE"""),"FD")</f>
        <v>FD</v>
      </c>
      <c r="K517" s="6" t="str">
        <f>IFERROR(__xludf.DUMMYFUNCTION("""COMPUTED_VALUE"""),"SPR/01/24/020")</f>
        <v>SPR/01/24/020</v>
      </c>
      <c r="L517" s="13">
        <f>IFERROR(__xludf.DUMMYFUNCTION("""COMPUTED_VALUE"""),45308.0)</f>
        <v>45308</v>
      </c>
    </row>
    <row r="518">
      <c r="A518" s="6" t="str">
        <f>IFERROR(__xludf.DUMMYFUNCTION("""COMPUTED_VALUE"""),"AAA")</f>
        <v>AAA</v>
      </c>
      <c r="B518" s="6" t="str">
        <f>IFERROR(__xludf.DUMMYFUNCTION("""COMPUTED_VALUE"""),"ENG")</f>
        <v>ENG</v>
      </c>
      <c r="C518" s="6" t="str">
        <f>IFERROR(__xludf.DUMMYFUNCTION("""COMPUTED_VALUE"""),"O-18892-00")</f>
        <v>O-18892-00</v>
      </c>
      <c r="D518" s="6" t="str">
        <f>IFERROR(__xludf.DUMMYFUNCTION("""COMPUTED_VALUE"""),"Freeze Dryer MBE1207 - MV1161 Receiver Valve, 1/4 Inch SAE Flare 1/4 Inch NPT Direct p/n: EB15-00321")</f>
        <v>Freeze Dryer MBE1207 - MV1161 Receiver Valve, 1/4 Inch SAE Flare 1/4 Inch NPT Direct p/n: EB15-00321</v>
      </c>
      <c r="E518" s="6">
        <f>IFERROR(__xludf.DUMMYFUNCTION("""COMPUTED_VALUE"""),1.0)</f>
        <v>1</v>
      </c>
      <c r="F518" s="6">
        <f>IFERROR(__xludf.DUMMYFUNCTION("""COMPUTED_VALUE"""),1.0)</f>
        <v>1</v>
      </c>
      <c r="G518" s="6">
        <f>IFERROR(__xludf.DUMMYFUNCTION("""COMPUTED_VALUE"""),0.0)</f>
        <v>0</v>
      </c>
      <c r="H518" s="6" t="str">
        <f>IFERROR(__xludf.DUMMYFUNCTION("""COMPUTED_VALUE"""),"pcs")</f>
        <v>pcs</v>
      </c>
      <c r="I518" s="6" t="str">
        <f>IFERROR(__xludf.DUMMYFUNCTION("""COMPUTED_VALUE"""),"MFH")</f>
        <v>MFH</v>
      </c>
      <c r="J518" s="6" t="str">
        <f>IFERROR(__xludf.DUMMYFUNCTION("""COMPUTED_VALUE"""),"FD")</f>
        <v>FD</v>
      </c>
      <c r="K518" s="6" t="str">
        <f>IFERROR(__xludf.DUMMYFUNCTION("""COMPUTED_VALUE"""),"SPR/01/24/020")</f>
        <v>SPR/01/24/020</v>
      </c>
      <c r="L518" s="13">
        <f>IFERROR(__xludf.DUMMYFUNCTION("""COMPUTED_VALUE"""),45308.0)</f>
        <v>45308</v>
      </c>
    </row>
    <row r="519">
      <c r="A519" s="6" t="str">
        <f>IFERROR(__xludf.DUMMYFUNCTION("""COMPUTED_VALUE"""),"AAA")</f>
        <v>AAA</v>
      </c>
      <c r="B519" s="6" t="str">
        <f>IFERROR(__xludf.DUMMYFUNCTION("""COMPUTED_VALUE"""),"ENG")</f>
        <v>ENG</v>
      </c>
      <c r="C519" s="6" t="str">
        <f>IFERROR(__xludf.DUMMYFUNCTION("""COMPUTED_VALUE"""),"O-19379-00")</f>
        <v>O-19379-00</v>
      </c>
      <c r="D519" s="6" t="str">
        <f>IFERROR(__xludf.DUMMYFUNCTION("""COMPUTED_VALUE"""),"Oli Refrigeration; Xaerus; XR 534-46;")</f>
        <v>Oli Refrigeration; Xaerus; XR 534-46;</v>
      </c>
      <c r="E519" s="6">
        <f>IFERROR(__xludf.DUMMYFUNCTION("""COMPUTED_VALUE"""),6.0)</f>
        <v>6</v>
      </c>
      <c r="F519" s="6">
        <f>IFERROR(__xludf.DUMMYFUNCTION("""COMPUTED_VALUE"""),4.0)</f>
        <v>4</v>
      </c>
      <c r="G519" s="6">
        <f>IFERROR(__xludf.DUMMYFUNCTION("""COMPUTED_VALUE"""),0.0)</f>
        <v>0</v>
      </c>
      <c r="H519" s="6" t="str">
        <f>IFERROR(__xludf.DUMMYFUNCTION("""COMPUTED_VALUE"""),"can")</f>
        <v>can</v>
      </c>
      <c r="I519" s="6" t="str">
        <f>IFERROR(__xludf.DUMMYFUNCTION("""COMPUTED_VALUE"""),"MFH")</f>
        <v>MFH</v>
      </c>
      <c r="J519" s="6" t="str">
        <f>IFERROR(__xludf.DUMMYFUNCTION("""COMPUTED_VALUE"""),"FD")</f>
        <v>FD</v>
      </c>
      <c r="K519" s="6" t="str">
        <f>IFERROR(__xludf.DUMMYFUNCTION("""COMPUTED_VALUE"""),"SPR/01/24/020")</f>
        <v>SPR/01/24/020</v>
      </c>
      <c r="L519" s="13">
        <f>IFERROR(__xludf.DUMMYFUNCTION("""COMPUTED_VALUE"""),45308.0)</f>
        <v>45308</v>
      </c>
    </row>
    <row r="520">
      <c r="A520" s="6" t="str">
        <f>IFERROR(__xludf.DUMMYFUNCTION("""COMPUTED_VALUE"""),"AAA")</f>
        <v>AAA</v>
      </c>
      <c r="B520" s="6" t="str">
        <f>IFERROR(__xludf.DUMMYFUNCTION("""COMPUTED_VALUE"""),"ENG")</f>
        <v>ENG</v>
      </c>
      <c r="C520" s="6" t="str">
        <f>IFERROR(__xludf.DUMMYFUNCTION("""COMPUTED_VALUE"""),"P-18725-00")</f>
        <v>P-18725-00</v>
      </c>
      <c r="D520" s="6" t="str">
        <f>IFERROR(__xludf.DUMMYFUNCTION("""COMPUTED_VALUE"""),"Freon Refrigerant Chemours Suva R507; ; ;")</f>
        <v>Freon Refrigerant Chemours Suva R507; ; ;</v>
      </c>
      <c r="E520" s="6">
        <f>IFERROR(__xludf.DUMMYFUNCTION("""COMPUTED_VALUE"""),4.0)</f>
        <v>4</v>
      </c>
      <c r="F520" s="6">
        <f>IFERROR(__xludf.DUMMYFUNCTION("""COMPUTED_VALUE"""),3.0)</f>
        <v>3</v>
      </c>
      <c r="G520" s="6">
        <f>IFERROR(__xludf.DUMMYFUNCTION("""COMPUTED_VALUE"""),0.0)</f>
        <v>0</v>
      </c>
      <c r="H520" s="6" t="str">
        <f>IFERROR(__xludf.DUMMYFUNCTION("""COMPUTED_VALUE"""),"can")</f>
        <v>can</v>
      </c>
      <c r="I520" s="6" t="str">
        <f>IFERROR(__xludf.DUMMYFUNCTION("""COMPUTED_VALUE"""),"MFH")</f>
        <v>MFH</v>
      </c>
      <c r="J520" s="6" t="str">
        <f>IFERROR(__xludf.DUMMYFUNCTION("""COMPUTED_VALUE"""),"FD")</f>
        <v>FD</v>
      </c>
      <c r="K520" s="6" t="str">
        <f>IFERROR(__xludf.DUMMYFUNCTION("""COMPUTED_VALUE"""),"SPR/01/24/021")</f>
        <v>SPR/01/24/021</v>
      </c>
      <c r="L520" s="13">
        <f>IFERROR(__xludf.DUMMYFUNCTION("""COMPUTED_VALUE"""),45308.0)</f>
        <v>45308</v>
      </c>
    </row>
    <row r="521">
      <c r="A521" s="6" t="str">
        <f>IFERROR(__xludf.DUMMYFUNCTION("""COMPUTED_VALUE"""),"AAA")</f>
        <v>AAA</v>
      </c>
      <c r="B521" s="6" t="str">
        <f>IFERROR(__xludf.DUMMYFUNCTION("""COMPUTED_VALUE"""),"ENG")</f>
        <v>ENG</v>
      </c>
      <c r="C521" s="6" t="str">
        <f>IFERROR(__xludf.DUMMYFUNCTION("""COMPUTED_VALUE"""),"O-18929-00")</f>
        <v>O-18929-00</v>
      </c>
      <c r="D521" s="6" t="str">
        <f>IFERROR(__xludf.DUMMYFUNCTION("""COMPUTED_VALUE"""),"Filter oli compressor SANRONG LX-48")</f>
        <v>Filter oli compressor SANRONG LX-48</v>
      </c>
      <c r="E521" s="6">
        <f>IFERROR(__xludf.DUMMYFUNCTION("""COMPUTED_VALUE"""),1.0)</f>
        <v>1</v>
      </c>
      <c r="F521" s="6">
        <f>IFERROR(__xludf.DUMMYFUNCTION("""COMPUTED_VALUE"""),1.0)</f>
        <v>1</v>
      </c>
      <c r="G521" s="6">
        <f>IFERROR(__xludf.DUMMYFUNCTION("""COMPUTED_VALUE"""),0.0)</f>
        <v>0</v>
      </c>
      <c r="H521" s="6" t="str">
        <f>IFERROR(__xludf.DUMMYFUNCTION("""COMPUTED_VALUE"""),"can")</f>
        <v>can</v>
      </c>
      <c r="I521" s="6" t="str">
        <f>IFERROR(__xludf.DUMMYFUNCTION("""COMPUTED_VALUE"""),"MFH")</f>
        <v>MFH</v>
      </c>
      <c r="J521" s="6" t="str">
        <f>IFERROR(__xludf.DUMMYFUNCTION("""COMPUTED_VALUE"""),"FD")</f>
        <v>FD</v>
      </c>
      <c r="K521" s="6" t="str">
        <f>IFERROR(__xludf.DUMMYFUNCTION("""COMPUTED_VALUE"""),"SPR/01/24/021")</f>
        <v>SPR/01/24/021</v>
      </c>
      <c r="L521" s="13">
        <f>IFERROR(__xludf.DUMMYFUNCTION("""COMPUTED_VALUE"""),45308.0)</f>
        <v>45308</v>
      </c>
    </row>
    <row r="522">
      <c r="A522" s="6" t="str">
        <f>IFERROR(__xludf.DUMMYFUNCTION("""COMPUTED_VALUE"""),"AAA")</f>
        <v>AAA</v>
      </c>
      <c r="B522" s="6" t="str">
        <f>IFERROR(__xludf.DUMMYFUNCTION("""COMPUTED_VALUE"""),"ENG")</f>
        <v>ENG</v>
      </c>
      <c r="C522" s="6" t="str">
        <f>IFERROR(__xludf.DUMMYFUNCTION("""COMPUTED_VALUE"""),"P-13745-00")</f>
        <v>P-13745-00</v>
      </c>
      <c r="D522" s="6" t="str">
        <f>IFERROR(__xludf.DUMMYFUNCTION("""COMPUTED_VALUE"""),"Filter Core Drier - D48")</f>
        <v>Filter Core Drier - D48</v>
      </c>
      <c r="E522" s="6">
        <f>IFERROR(__xludf.DUMMYFUNCTION("""COMPUTED_VALUE"""),1.0)</f>
        <v>1</v>
      </c>
      <c r="F522" s="6">
        <f>IFERROR(__xludf.DUMMYFUNCTION("""COMPUTED_VALUE"""),1.0)</f>
        <v>1</v>
      </c>
      <c r="G522" s="6">
        <f>IFERROR(__xludf.DUMMYFUNCTION("""COMPUTED_VALUE"""),0.0)</f>
        <v>0</v>
      </c>
      <c r="H522" s="6" t="str">
        <f>IFERROR(__xludf.DUMMYFUNCTION("""COMPUTED_VALUE"""),"pcs")</f>
        <v>pcs</v>
      </c>
      <c r="I522" s="6" t="str">
        <f>IFERROR(__xludf.DUMMYFUNCTION("""COMPUTED_VALUE"""),"MFH")</f>
        <v>MFH</v>
      </c>
      <c r="J522" s="6" t="str">
        <f>IFERROR(__xludf.DUMMYFUNCTION("""COMPUTED_VALUE"""),"FD")</f>
        <v>FD</v>
      </c>
      <c r="K522" s="6" t="str">
        <f>IFERROR(__xludf.DUMMYFUNCTION("""COMPUTED_VALUE"""),"SPR/01/24/021")</f>
        <v>SPR/01/24/021</v>
      </c>
      <c r="L522" s="13">
        <f>IFERROR(__xludf.DUMMYFUNCTION("""COMPUTED_VALUE"""),45308.0)</f>
        <v>45308</v>
      </c>
    </row>
    <row r="523">
      <c r="A523" s="6" t="str">
        <f>IFERROR(__xludf.DUMMYFUNCTION("""COMPUTED_VALUE"""),"MOB")</f>
        <v>MOB</v>
      </c>
      <c r="B523" s="6" t="str">
        <f>IFERROR(__xludf.DUMMYFUNCTION("""COMPUTED_VALUE"""),"ENG")</f>
        <v>ENG</v>
      </c>
      <c r="C523" s="6" t="str">
        <f>IFERROR(__xludf.DUMMYFUNCTION("""COMPUTED_VALUE"""),"O-19424-00")</f>
        <v>O-19424-00</v>
      </c>
      <c r="D523" s="6" t="str">
        <f>IFERROR(__xludf.DUMMYFUNCTION("""COMPUTED_VALUE"""),"Mur Baut A2-70 THE")</f>
        <v>Mur Baut A2-70 THE</v>
      </c>
      <c r="E523" s="6">
        <f>IFERROR(__xludf.DUMMYFUNCTION("""COMPUTED_VALUE"""),20.0)</f>
        <v>20</v>
      </c>
      <c r="F523" s="6">
        <f>IFERROR(__xludf.DUMMYFUNCTION("""COMPUTED_VALUE"""),5.0)</f>
        <v>5</v>
      </c>
      <c r="G523" s="6">
        <f>IFERROR(__xludf.DUMMYFUNCTION("""COMPUTED_VALUE"""),0.0)</f>
        <v>0</v>
      </c>
      <c r="H523" s="6" t="str">
        <f>IFERROR(__xludf.DUMMYFUNCTION("""COMPUTED_VALUE"""),"pcs")</f>
        <v>pcs</v>
      </c>
      <c r="I523" s="6" t="str">
        <f>IFERROR(__xludf.DUMMYFUNCTION("""COMPUTED_VALUE"""),"MFH")</f>
        <v>MFH</v>
      </c>
      <c r="J523" s="6" t="str">
        <f>IFERROR(__xludf.DUMMYFUNCTION("""COMPUTED_VALUE"""),"Machine ")</f>
        <v>Machine </v>
      </c>
      <c r="K523" s="6" t="str">
        <f>IFERROR(__xludf.DUMMYFUNCTION("""COMPUTED_VALUE"""),"SPR/01/24/022")</f>
        <v>SPR/01/24/022</v>
      </c>
      <c r="L523" s="13">
        <f>IFERROR(__xludf.DUMMYFUNCTION("""COMPUTED_VALUE"""),45310.0)</f>
        <v>45310</v>
      </c>
    </row>
    <row r="524">
      <c r="A524" s="6" t="str">
        <f>IFERROR(__xludf.DUMMYFUNCTION("""COMPUTED_VALUE"""),"MOB")</f>
        <v>MOB</v>
      </c>
      <c r="B524" s="6" t="str">
        <f>IFERROR(__xludf.DUMMYFUNCTION("""COMPUTED_VALUE"""),"ENG")</f>
        <v>ENG</v>
      </c>
      <c r="C524" s="6" t="str">
        <f>IFERROR(__xludf.DUMMYFUNCTION("""COMPUTED_VALUE"""),"P-12476-00")</f>
        <v>P-12476-00</v>
      </c>
      <c r="D524" s="6" t="str">
        <f>IFERROR(__xludf.DUMMYFUNCTION("""COMPUTED_VALUE"""),"Mata Bor besi dia 10 mm ex NACHI")</f>
        <v>Mata Bor besi dia 10 mm ex NACHI</v>
      </c>
      <c r="E524" s="6">
        <f>IFERROR(__xludf.DUMMYFUNCTION("""COMPUTED_VALUE"""),1.0)</f>
        <v>1</v>
      </c>
      <c r="F524" s="6">
        <f>IFERROR(__xludf.DUMMYFUNCTION("""COMPUTED_VALUE"""),1.0)</f>
        <v>1</v>
      </c>
      <c r="G524" s="6">
        <f>IFERROR(__xludf.DUMMYFUNCTION("""COMPUTED_VALUE"""),0.0)</f>
        <v>0</v>
      </c>
      <c r="H524" s="6" t="str">
        <f>IFERROR(__xludf.DUMMYFUNCTION("""COMPUTED_VALUE"""),"pcs")</f>
        <v>pcs</v>
      </c>
      <c r="I524" s="6" t="str">
        <f>IFERROR(__xludf.DUMMYFUNCTION("""COMPUTED_VALUE"""),"MFH")</f>
        <v>MFH</v>
      </c>
      <c r="J524" s="6" t="str">
        <f>IFERROR(__xludf.DUMMYFUNCTION("""COMPUTED_VALUE"""),"Mata bor")</f>
        <v>Mata bor</v>
      </c>
      <c r="K524" s="6" t="str">
        <f>IFERROR(__xludf.DUMMYFUNCTION("""COMPUTED_VALUE"""),"SPR/01/24/023")</f>
        <v>SPR/01/24/023</v>
      </c>
      <c r="L524" s="13">
        <f>IFERROR(__xludf.DUMMYFUNCTION("""COMPUTED_VALUE"""),45310.0)</f>
        <v>45310</v>
      </c>
    </row>
    <row r="525">
      <c r="A525" s="6" t="str">
        <f>IFERROR(__xludf.DUMMYFUNCTION("""COMPUTED_VALUE"""),"MOB")</f>
        <v>MOB</v>
      </c>
      <c r="B525" s="6" t="str">
        <f>IFERROR(__xludf.DUMMYFUNCTION("""COMPUTED_VALUE"""),"ENG")</f>
        <v>ENG</v>
      </c>
      <c r="C525" s="6" t="str">
        <f>IFERROR(__xludf.DUMMYFUNCTION("""COMPUTED_VALUE"""),"P-52807-00")</f>
        <v>P-52807-00</v>
      </c>
      <c r="D525" s="6" t="str">
        <f>IFERROR(__xludf.DUMMYFUNCTION("""COMPUTED_VALUE"""),"4"" Inline Hydrophonic Fan 0,04kw 220V")</f>
        <v>4" Inline Hydrophonic Fan 0,04kw 220V</v>
      </c>
      <c r="E525" s="6">
        <f>IFERROR(__xludf.DUMMYFUNCTION("""COMPUTED_VALUE"""),1.0)</f>
        <v>1</v>
      </c>
      <c r="F525" s="6">
        <f>IFERROR(__xludf.DUMMYFUNCTION("""COMPUTED_VALUE"""),1.0)</f>
        <v>1</v>
      </c>
      <c r="G525" s="6">
        <f>IFERROR(__xludf.DUMMYFUNCTION("""COMPUTED_VALUE"""),0.0)</f>
        <v>0</v>
      </c>
      <c r="H525" s="6" t="str">
        <f>IFERROR(__xludf.DUMMYFUNCTION("""COMPUTED_VALUE"""),"pcs")</f>
        <v>pcs</v>
      </c>
      <c r="I525" s="6" t="str">
        <f>IFERROR(__xludf.DUMMYFUNCTION("""COMPUTED_VALUE"""),"MFH")</f>
        <v>MFH</v>
      </c>
      <c r="J525" s="6" t="str">
        <f>IFERROR(__xludf.DUMMYFUNCTION("""COMPUTED_VALUE"""),"Flammable")</f>
        <v>Flammable</v>
      </c>
      <c r="K525" s="6" t="str">
        <f>IFERROR(__xludf.DUMMYFUNCTION("""COMPUTED_VALUE"""),"SPR/01/24/023")</f>
        <v>SPR/01/24/023</v>
      </c>
      <c r="L525" s="13">
        <f>IFERROR(__xludf.DUMMYFUNCTION("""COMPUTED_VALUE"""),45310.0)</f>
        <v>45310</v>
      </c>
    </row>
    <row r="526">
      <c r="A526" s="6" t="str">
        <f>IFERROR(__xludf.DUMMYFUNCTION("""COMPUTED_VALUE"""),"SHF")</f>
        <v>SHF</v>
      </c>
      <c r="B526" s="6" t="str">
        <f>IFERROR(__xludf.DUMMYFUNCTION("""COMPUTED_VALUE"""),"ENG")</f>
        <v>ENG</v>
      </c>
      <c r="C526" s="6" t="str">
        <f>IFERROR(__xludf.DUMMYFUNCTION("""COMPUTED_VALUE"""),"P-15938-00")</f>
        <v>P-15938-00</v>
      </c>
      <c r="D526" s="6" t="str">
        <f>IFERROR(__xludf.DUMMYFUNCTION("""COMPUTED_VALUE"""),"Water Hardness Test Kit")</f>
        <v>Water Hardness Test Kit</v>
      </c>
      <c r="E526" s="6">
        <f>IFERROR(__xludf.DUMMYFUNCTION("""COMPUTED_VALUE"""),1.0)</f>
        <v>1</v>
      </c>
      <c r="F526" s="6">
        <f>IFERROR(__xludf.DUMMYFUNCTION("""COMPUTED_VALUE"""),1.0)</f>
        <v>1</v>
      </c>
      <c r="G526" s="6">
        <f>IFERROR(__xludf.DUMMYFUNCTION("""COMPUTED_VALUE"""),0.0)</f>
        <v>0</v>
      </c>
      <c r="H526" s="6" t="str">
        <f>IFERROR(__xludf.DUMMYFUNCTION("""COMPUTED_VALUE"""),"pcs")</f>
        <v>pcs</v>
      </c>
      <c r="I526" s="6" t="str">
        <f>IFERROR(__xludf.DUMMYFUNCTION("""COMPUTED_VALUE"""),"MFH")</f>
        <v>MFH</v>
      </c>
      <c r="J526" s="6" t="str">
        <f>IFERROR(__xludf.DUMMYFUNCTION("""COMPUTED_VALUE"""),"PW SKID ")</f>
        <v>PW SKID </v>
      </c>
      <c r="K526" s="6" t="str">
        <f>IFERROR(__xludf.DUMMYFUNCTION("""COMPUTED_VALUE"""),"SPR/01/24/024")</f>
        <v>SPR/01/24/024</v>
      </c>
      <c r="L526" s="13">
        <f>IFERROR(__xludf.DUMMYFUNCTION("""COMPUTED_VALUE"""),45310.0)</f>
        <v>45310</v>
      </c>
    </row>
    <row r="527">
      <c r="A527" s="6" t="str">
        <f>IFERROR(__xludf.DUMMYFUNCTION("""COMPUTED_VALUE"""),"SHF")</f>
        <v>SHF</v>
      </c>
      <c r="B527" s="6" t="str">
        <f>IFERROR(__xludf.DUMMYFUNCTION("""COMPUTED_VALUE"""),"ENG")</f>
        <v>ENG</v>
      </c>
      <c r="C527" s="6" t="str">
        <f>IFERROR(__xludf.DUMMYFUNCTION("""COMPUTED_VALUE"""),"P-10945-00")</f>
        <v>P-10945-00</v>
      </c>
      <c r="D527" s="6" t="str">
        <f>IFERROR(__xludf.DUMMYFUNCTION("""COMPUTED_VALUE"""),"Insulation - Seal Tape onda")</f>
        <v>Insulation - Seal Tape onda</v>
      </c>
      <c r="E527" s="6">
        <f>IFERROR(__xludf.DUMMYFUNCTION("""COMPUTED_VALUE"""),4.0)</f>
        <v>4</v>
      </c>
      <c r="F527" s="6">
        <f>IFERROR(__xludf.DUMMYFUNCTION("""COMPUTED_VALUE"""),4.0)</f>
        <v>4</v>
      </c>
      <c r="G527" s="6">
        <f>IFERROR(__xludf.DUMMYFUNCTION("""COMPUTED_VALUE"""),0.0)</f>
        <v>0</v>
      </c>
      <c r="H527" s="6" t="str">
        <f>IFERROR(__xludf.DUMMYFUNCTION("""COMPUTED_VALUE"""),"pcs")</f>
        <v>pcs</v>
      </c>
      <c r="I527" s="6" t="str">
        <f>IFERROR(__xludf.DUMMYFUNCTION("""COMPUTED_VALUE"""),"MFH")</f>
        <v>MFH</v>
      </c>
      <c r="J527" s="6" t="str">
        <f>IFERROR(__xludf.DUMMYFUNCTION("""COMPUTED_VALUE"""),"Building")</f>
        <v>Building</v>
      </c>
      <c r="K527" s="6" t="str">
        <f>IFERROR(__xludf.DUMMYFUNCTION("""COMPUTED_VALUE"""),"SPR/01/24/024")</f>
        <v>SPR/01/24/024</v>
      </c>
      <c r="L527" s="13">
        <f>IFERROR(__xludf.DUMMYFUNCTION("""COMPUTED_VALUE"""),45310.0)</f>
        <v>45310</v>
      </c>
    </row>
    <row r="528">
      <c r="A528" s="6" t="str">
        <f>IFERROR(__xludf.DUMMYFUNCTION("""COMPUTED_VALUE"""),"SHF")</f>
        <v>SHF</v>
      </c>
      <c r="B528" s="6" t="str">
        <f>IFERROR(__xludf.DUMMYFUNCTION("""COMPUTED_VALUE"""),"ENG")</f>
        <v>ENG</v>
      </c>
      <c r="C528" s="6" t="str">
        <f>IFERROR(__xludf.DUMMYFUNCTION("""COMPUTED_VALUE"""),"P-12433-00")</f>
        <v>P-12433-00</v>
      </c>
      <c r="D528" s="6" t="str">
        <f>IFERROR(__xludf.DUMMYFUNCTION("""COMPUTED_VALUE"""),"Isolasi AC- Sansui")</f>
        <v>Isolasi AC- Sansui</v>
      </c>
      <c r="E528" s="6">
        <f>IFERROR(__xludf.DUMMYFUNCTION("""COMPUTED_VALUE"""),4.0)</f>
        <v>4</v>
      </c>
      <c r="F528" s="6">
        <f>IFERROR(__xludf.DUMMYFUNCTION("""COMPUTED_VALUE"""),2.0)</f>
        <v>2</v>
      </c>
      <c r="G528" s="6">
        <f>IFERROR(__xludf.DUMMYFUNCTION("""COMPUTED_VALUE"""),0.0)</f>
        <v>0</v>
      </c>
      <c r="H528" s="6" t="str">
        <f>IFERROR(__xludf.DUMMYFUNCTION("""COMPUTED_VALUE"""),"pcs")</f>
        <v>pcs</v>
      </c>
      <c r="I528" s="6" t="str">
        <f>IFERROR(__xludf.DUMMYFUNCTION("""COMPUTED_VALUE"""),"MFH")</f>
        <v>MFH</v>
      </c>
      <c r="J528" s="6" t="str">
        <f>IFERROR(__xludf.DUMMYFUNCTION("""COMPUTED_VALUE"""),"Building")</f>
        <v>Building</v>
      </c>
      <c r="K528" s="6" t="str">
        <f>IFERROR(__xludf.DUMMYFUNCTION("""COMPUTED_VALUE"""),"SPR/01/24/024")</f>
        <v>SPR/01/24/024</v>
      </c>
      <c r="L528" s="13">
        <f>IFERROR(__xludf.DUMMYFUNCTION("""COMPUTED_VALUE"""),45310.0)</f>
        <v>45310</v>
      </c>
    </row>
    <row r="529">
      <c r="A529" s="6" t="str">
        <f>IFERROR(__xludf.DUMMYFUNCTION("""COMPUTED_VALUE"""),"ROS")</f>
        <v>ROS</v>
      </c>
      <c r="B529" s="6" t="str">
        <f>IFERROR(__xludf.DUMMYFUNCTION("""COMPUTED_VALUE"""),"ENG")</f>
        <v>ENG</v>
      </c>
      <c r="C529" s="6" t="str">
        <f>IFERROR(__xludf.DUMMYFUNCTION("""COMPUTED_VALUE"""),"P-17562-00")</f>
        <v>P-17562-00</v>
      </c>
      <c r="D529" s="6" t="str">
        <f>IFERROR(__xludf.DUMMYFUNCTION("""COMPUTED_VALUE"""),"SIGMA - Mounting Base 20x20mm")</f>
        <v>SIGMA - Mounting Base 20x20mm</v>
      </c>
      <c r="E529" s="6">
        <f>IFERROR(__xludf.DUMMYFUNCTION("""COMPUTED_VALUE"""),1.0)</f>
        <v>1</v>
      </c>
      <c r="F529" s="6">
        <f>IFERROR(__xludf.DUMMYFUNCTION("""COMPUTED_VALUE"""),1.0)</f>
        <v>1</v>
      </c>
      <c r="G529" s="6">
        <f>IFERROR(__xludf.DUMMYFUNCTION("""COMPUTED_VALUE"""),0.0)</f>
        <v>0</v>
      </c>
      <c r="H529" s="6" t="str">
        <f>IFERROR(__xludf.DUMMYFUNCTION("""COMPUTED_VALUE"""),"pcs")</f>
        <v>pcs</v>
      </c>
      <c r="I529" s="6" t="str">
        <f>IFERROR(__xludf.DUMMYFUNCTION("""COMPUTED_VALUE"""),"MFH")</f>
        <v>MFH</v>
      </c>
      <c r="J529" s="6" t="str">
        <f>IFERROR(__xludf.DUMMYFUNCTION("""COMPUTED_VALUE"""),"Cartoning ")</f>
        <v>Cartoning </v>
      </c>
      <c r="K529" s="6" t="str">
        <f>IFERROR(__xludf.DUMMYFUNCTION("""COMPUTED_VALUE"""),"SPR/01/24/025")</f>
        <v>SPR/01/24/025</v>
      </c>
      <c r="L529" s="13">
        <f>IFERROR(__xludf.DUMMYFUNCTION("""COMPUTED_VALUE"""),45310.0)</f>
        <v>45310</v>
      </c>
    </row>
    <row r="530">
      <c r="A530" s="6" t="str">
        <f>IFERROR(__xludf.DUMMYFUNCTION("""COMPUTED_VALUE"""),"ROS")</f>
        <v>ROS</v>
      </c>
      <c r="B530" s="6" t="str">
        <f>IFERROR(__xludf.DUMMYFUNCTION("""COMPUTED_VALUE"""),"ENG")</f>
        <v>ENG</v>
      </c>
      <c r="C530" s="6" t="str">
        <f>IFERROR(__xludf.DUMMYFUNCTION("""COMPUTED_VALUE"""),"P-51027-00")</f>
        <v>P-51027-00</v>
      </c>
      <c r="D530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530" s="6">
        <f>IFERROR(__xludf.DUMMYFUNCTION("""COMPUTED_VALUE"""),5.0)</f>
        <v>5</v>
      </c>
      <c r="F530" s="6">
        <f>IFERROR(__xludf.DUMMYFUNCTION("""COMPUTED_VALUE"""),1.0)</f>
        <v>1</v>
      </c>
      <c r="G530" s="6">
        <f>IFERROR(__xludf.DUMMYFUNCTION("""COMPUTED_VALUE"""),0.0)</f>
        <v>0</v>
      </c>
      <c r="H530" s="6" t="str">
        <f>IFERROR(__xludf.DUMMYFUNCTION("""COMPUTED_VALUE"""),"pcs")</f>
        <v>pcs</v>
      </c>
      <c r="I530" s="6" t="str">
        <f>IFERROR(__xludf.DUMMYFUNCTION("""COMPUTED_VALUE"""),"MFH ")</f>
        <v>MFH </v>
      </c>
      <c r="J530" s="6" t="str">
        <f>IFERROR(__xludf.DUMMYFUNCTION("""COMPUTED_VALUE"""),"Cartoning ")</f>
        <v>Cartoning </v>
      </c>
      <c r="K530" s="6" t="str">
        <f>IFERROR(__xludf.DUMMYFUNCTION("""COMPUTED_VALUE"""),"SPR/01/24/025")</f>
        <v>SPR/01/24/025</v>
      </c>
      <c r="L530" s="13">
        <f>IFERROR(__xludf.DUMMYFUNCTION("""COMPUTED_VALUE"""),45310.0)</f>
        <v>45310</v>
      </c>
    </row>
    <row r="531">
      <c r="A531" s="6" t="str">
        <f>IFERROR(__xludf.DUMMYFUNCTION("""COMPUTED_VALUE"""),"ROS")</f>
        <v>ROS</v>
      </c>
      <c r="B531" s="6" t="str">
        <f>IFERROR(__xludf.DUMMYFUNCTION("""COMPUTED_VALUE"""),"ENG")</f>
        <v>ENG</v>
      </c>
      <c r="C531" s="6" t="str">
        <f>IFERROR(__xludf.DUMMYFUNCTION("""COMPUTED_VALUE"""),"O-15931-00")</f>
        <v>O-15931-00</v>
      </c>
      <c r="D531" s="6" t="str">
        <f>IFERROR(__xludf.DUMMYFUNCTION("""COMPUTED_VALUE"""),"Double Tape 3M 1"" Merah")</f>
        <v>Double Tape 3M 1" Merah</v>
      </c>
      <c r="E531" s="6">
        <f>IFERROR(__xludf.DUMMYFUNCTION("""COMPUTED_VALUE"""),4.0)</f>
        <v>4</v>
      </c>
      <c r="F531" s="6">
        <f>IFERROR(__xludf.DUMMYFUNCTION("""COMPUTED_VALUE"""),1.0)</f>
        <v>1</v>
      </c>
      <c r="G531" s="6">
        <f>IFERROR(__xludf.DUMMYFUNCTION("""COMPUTED_VALUE"""),0.0)</f>
        <v>0</v>
      </c>
      <c r="H531" s="6" t="str">
        <f>IFERROR(__xludf.DUMMYFUNCTION("""COMPUTED_VALUE"""),"pcs")</f>
        <v>pcs</v>
      </c>
      <c r="I531" s="6" t="str">
        <f>IFERROR(__xludf.DUMMYFUNCTION("""COMPUTED_VALUE"""),"MFH")</f>
        <v>MFH</v>
      </c>
      <c r="J531" s="6" t="str">
        <f>IFERROR(__xludf.DUMMYFUNCTION("""COMPUTED_VALUE"""),"Cartoning ")</f>
        <v>Cartoning </v>
      </c>
      <c r="K531" s="6" t="str">
        <f>IFERROR(__xludf.DUMMYFUNCTION("""COMPUTED_VALUE"""),"SPR/01/24/025")</f>
        <v>SPR/01/24/025</v>
      </c>
      <c r="L531" s="13">
        <f>IFERROR(__xludf.DUMMYFUNCTION("""COMPUTED_VALUE"""),45310.0)</f>
        <v>45310</v>
      </c>
    </row>
    <row r="532">
      <c r="A532" s="6" t="str">
        <f>IFERROR(__xludf.DUMMYFUNCTION("""COMPUTED_VALUE"""),"NDS")</f>
        <v>NDS</v>
      </c>
      <c r="B532" s="6" t="str">
        <f>IFERROR(__xludf.DUMMYFUNCTION("""COMPUTED_VALUE"""),"ENG")</f>
        <v>ENG</v>
      </c>
      <c r="C532" s="6" t="str">
        <f>IFERROR(__xludf.DUMMYFUNCTION("""COMPUTED_VALUE"""),"O-54015-00")</f>
        <v>O-54015-00</v>
      </c>
      <c r="D532" s="6" t="str">
        <f>IFERROR(__xludf.DUMMYFUNCTION("""COMPUTED_VALUE"""),"STOP KONTAK LUBANG 4, BROCO")</f>
        <v>STOP KONTAK LUBANG 4, BROCO</v>
      </c>
      <c r="E532" s="6">
        <f>IFERROR(__xludf.DUMMYFUNCTION("""COMPUTED_VALUE"""),2.0)</f>
        <v>2</v>
      </c>
      <c r="F532" s="6">
        <f>IFERROR(__xludf.DUMMYFUNCTION("""COMPUTED_VALUE"""),2.0)</f>
        <v>2</v>
      </c>
      <c r="G532" s="6">
        <f>IFERROR(__xludf.DUMMYFUNCTION("""COMPUTED_VALUE"""),0.0)</f>
        <v>0</v>
      </c>
      <c r="H532" s="6" t="str">
        <f>IFERROR(__xludf.DUMMYFUNCTION("""COMPUTED_VALUE"""),"pcs")</f>
        <v>pcs</v>
      </c>
      <c r="I532" s="6" t="str">
        <f>IFERROR(__xludf.DUMMYFUNCTION("""COMPUTED_VALUE"""),"MFH")</f>
        <v>MFH</v>
      </c>
      <c r="J532" s="6" t="str">
        <f>IFERROR(__xludf.DUMMYFUNCTION("""COMPUTED_VALUE"""),"Wet lab ")</f>
        <v>Wet lab </v>
      </c>
      <c r="K532" s="6" t="str">
        <f>IFERROR(__xludf.DUMMYFUNCTION("""COMPUTED_VALUE"""),"SPR/01/24/026")</f>
        <v>SPR/01/24/026</v>
      </c>
      <c r="L532" s="13">
        <f>IFERROR(__xludf.DUMMYFUNCTION("""COMPUTED_VALUE"""),45310.0)</f>
        <v>45310</v>
      </c>
    </row>
    <row r="533">
      <c r="A533" s="6" t="str">
        <f>IFERROR(__xludf.DUMMYFUNCTION("""COMPUTED_VALUE"""),"NDS")</f>
        <v>NDS</v>
      </c>
      <c r="B533" s="6" t="str">
        <f>IFERROR(__xludf.DUMMYFUNCTION("""COMPUTED_VALUE"""),"ENG")</f>
        <v>ENG</v>
      </c>
      <c r="C533" s="6" t="str">
        <f>IFERROR(__xludf.DUMMYFUNCTION("""COMPUTED_VALUE"""),"O-54014-00")</f>
        <v>O-54014-00</v>
      </c>
      <c r="D533" s="6" t="str">
        <f>IFERROR(__xludf.DUMMYFUNCTION("""COMPUTED_VALUE"""),"STEKER 1 PHASE, BROCO")</f>
        <v>STEKER 1 PHASE, BROCO</v>
      </c>
      <c r="E533" s="6">
        <f>IFERROR(__xludf.DUMMYFUNCTION("""COMPUTED_VALUE"""),2.0)</f>
        <v>2</v>
      </c>
      <c r="F533" s="6">
        <f>IFERROR(__xludf.DUMMYFUNCTION("""COMPUTED_VALUE"""),2.0)</f>
        <v>2</v>
      </c>
      <c r="G533" s="6">
        <f>IFERROR(__xludf.DUMMYFUNCTION("""COMPUTED_VALUE"""),1.0)</f>
        <v>1</v>
      </c>
      <c r="H533" s="6" t="str">
        <f>IFERROR(__xludf.DUMMYFUNCTION("""COMPUTED_VALUE"""),"pcs")</f>
        <v>pcs</v>
      </c>
      <c r="I533" s="6" t="str">
        <f>IFERROR(__xludf.DUMMYFUNCTION("""COMPUTED_VALUE"""),"MFH")</f>
        <v>MFH</v>
      </c>
      <c r="J533" s="6" t="str">
        <f>IFERROR(__xludf.DUMMYFUNCTION("""COMPUTED_VALUE"""),"Wet lab ")</f>
        <v>Wet lab </v>
      </c>
      <c r="K533" s="6" t="str">
        <f>IFERROR(__xludf.DUMMYFUNCTION("""COMPUTED_VALUE"""),"SPR/01/24/026")</f>
        <v>SPR/01/24/026</v>
      </c>
      <c r="L533" s="13">
        <f>IFERROR(__xludf.DUMMYFUNCTION("""COMPUTED_VALUE"""),45310.0)</f>
        <v>45310</v>
      </c>
    </row>
    <row r="534">
      <c r="A534" s="6" t="str">
        <f>IFERROR(__xludf.DUMMYFUNCTION("""COMPUTED_VALUE"""),"NDS")</f>
        <v>NDS</v>
      </c>
      <c r="B534" s="6" t="str">
        <f>IFERROR(__xludf.DUMMYFUNCTION("""COMPUTED_VALUE"""),"ENG")</f>
        <v>ENG</v>
      </c>
      <c r="C534" s="6" t="str">
        <f>IFERROR(__xludf.DUMMYFUNCTION("""COMPUTED_VALUE"""),"-")</f>
        <v>-</v>
      </c>
      <c r="D534" s="6" t="str">
        <f>IFERROR(__xludf.DUMMYFUNCTION("""COMPUTED_VALUE"""),"Socket RJ 45")</f>
        <v>Socket RJ 45</v>
      </c>
      <c r="E534" s="6">
        <f>IFERROR(__xludf.DUMMYFUNCTION("""COMPUTED_VALUE"""),2.0)</f>
        <v>2</v>
      </c>
      <c r="F534" s="6">
        <f>IFERROR(__xludf.DUMMYFUNCTION("""COMPUTED_VALUE"""),2.0)</f>
        <v>2</v>
      </c>
      <c r="G534" s="6">
        <f>IFERROR(__xludf.DUMMYFUNCTION("""COMPUTED_VALUE"""),0.0)</f>
        <v>0</v>
      </c>
      <c r="H534" s="6" t="str">
        <f>IFERROR(__xludf.DUMMYFUNCTION("""COMPUTED_VALUE"""),"pcs")</f>
        <v>pcs</v>
      </c>
      <c r="I534" s="6" t="str">
        <f>IFERROR(__xludf.DUMMYFUNCTION("""COMPUTED_VALUE"""),"MFH")</f>
        <v>MFH</v>
      </c>
      <c r="J534" s="6" t="str">
        <f>IFERROR(__xludf.DUMMYFUNCTION("""COMPUTED_VALUE"""),"Wet lab ")</f>
        <v>Wet lab </v>
      </c>
      <c r="K534" s="6" t="str">
        <f>IFERROR(__xludf.DUMMYFUNCTION("""COMPUTED_VALUE"""),"SPR/01/24/027")</f>
        <v>SPR/01/24/027</v>
      </c>
      <c r="L534" s="13">
        <f>IFERROR(__xludf.DUMMYFUNCTION("""COMPUTED_VALUE"""),45310.0)</f>
        <v>45310</v>
      </c>
    </row>
    <row r="535">
      <c r="A535" s="6" t="str">
        <f>IFERROR(__xludf.DUMMYFUNCTION("""COMPUTED_VALUE"""),"MOB")</f>
        <v>MOB</v>
      </c>
      <c r="B535" s="6" t="str">
        <f>IFERROR(__xludf.DUMMYFUNCTION("""COMPUTED_VALUE"""),"ENG")</f>
        <v>ENG</v>
      </c>
      <c r="C535" s="6" t="str">
        <f>IFERROR(__xludf.DUMMYFUNCTION("""COMPUTED_VALUE"""),"P-51741-00")</f>
        <v>P-51741-00</v>
      </c>
      <c r="D535" s="6" t="str">
        <f>IFERROR(__xludf.DUMMYFUNCTION("""COMPUTED_VALUE"""),"Lampu Phillips PHP LED; 710 7w E27 White 220-240v")</f>
        <v>Lampu Phillips PHP LED; 710 7w E27 White 220-240v</v>
      </c>
      <c r="E535" s="6">
        <f>IFERROR(__xludf.DUMMYFUNCTION("""COMPUTED_VALUE"""),3.0)</f>
        <v>3</v>
      </c>
      <c r="F535" s="6">
        <f>IFERROR(__xludf.DUMMYFUNCTION("""COMPUTED_VALUE"""),2.0)</f>
        <v>2</v>
      </c>
      <c r="G535" s="6">
        <f>IFERROR(__xludf.DUMMYFUNCTION("""COMPUTED_VALUE"""),0.0)</f>
        <v>0</v>
      </c>
      <c r="H535" s="6" t="str">
        <f>IFERROR(__xludf.DUMMYFUNCTION("""COMPUTED_VALUE"""),"pcs")</f>
        <v>pcs</v>
      </c>
      <c r="I535" s="6" t="str">
        <f>IFERROR(__xludf.DUMMYFUNCTION("""COMPUTED_VALUE"""),"MFH")</f>
        <v>MFH</v>
      </c>
      <c r="J535" s="6" t="str">
        <f>IFERROR(__xludf.DUMMYFUNCTION("""COMPUTED_VALUE"""),"AHU")</f>
        <v>AHU</v>
      </c>
      <c r="K535" s="6" t="str">
        <f>IFERROR(__xludf.DUMMYFUNCTION("""COMPUTED_VALUE"""),"SPR/01/24/028")</f>
        <v>SPR/01/24/028</v>
      </c>
      <c r="L535" s="13">
        <f>IFERROR(__xludf.DUMMYFUNCTION("""COMPUTED_VALUE"""),45310.0)</f>
        <v>45310</v>
      </c>
    </row>
    <row r="536">
      <c r="A536" s="6" t="str">
        <f>IFERROR(__xludf.DUMMYFUNCTION("""COMPUTED_VALUE"""),"SFH")</f>
        <v>SFH</v>
      </c>
      <c r="B536" s="6" t="str">
        <f>IFERROR(__xludf.DUMMYFUNCTION("""COMPUTED_VALUE"""),"ENG")</f>
        <v>ENG</v>
      </c>
      <c r="C536" s="6" t="str">
        <f>IFERROR(__xludf.DUMMYFUNCTION("""COMPUTED_VALUE"""),"P-53102-00")</f>
        <v>P-53102-00</v>
      </c>
      <c r="D536" s="6" t="str">
        <f>IFERROR(__xludf.DUMMYFUNCTION("""COMPUTED_VALUE"""),"Lampu PLC 13watt/E27 Putih; Phillips; ;")</f>
        <v>Lampu PLC 13watt/E27 Putih; Phillips; ;</v>
      </c>
      <c r="E536" s="6">
        <f>IFERROR(__xludf.DUMMYFUNCTION("""COMPUTED_VALUE"""),3.0)</f>
        <v>3</v>
      </c>
      <c r="F536" s="6">
        <f>IFERROR(__xludf.DUMMYFUNCTION("""COMPUTED_VALUE"""),2.0)</f>
        <v>2</v>
      </c>
      <c r="G536" s="6">
        <f>IFERROR(__xludf.DUMMYFUNCTION("""COMPUTED_VALUE"""),0.0)</f>
        <v>0</v>
      </c>
      <c r="H536" s="6" t="str">
        <f>IFERROR(__xludf.DUMMYFUNCTION("""COMPUTED_VALUE"""),"pcs")</f>
        <v>pcs</v>
      </c>
      <c r="I536" s="6" t="str">
        <f>IFERROR(__xludf.DUMMYFUNCTION("""COMPUTED_VALUE"""),"MFH")</f>
        <v>MFH</v>
      </c>
      <c r="J536" s="6" t="str">
        <f>IFERROR(__xludf.DUMMYFUNCTION("""COMPUTED_VALUE"""),"-")</f>
        <v>-</v>
      </c>
      <c r="K536" s="6" t="str">
        <f>IFERROR(__xludf.DUMMYFUNCTION("""COMPUTED_VALUE"""),"SPR/01/24/029")</f>
        <v>SPR/01/24/029</v>
      </c>
      <c r="L536" s="13">
        <f>IFERROR(__xludf.DUMMYFUNCTION("""COMPUTED_VALUE"""),45310.0)</f>
        <v>45310</v>
      </c>
    </row>
    <row r="537">
      <c r="A537" s="6" t="str">
        <f>IFERROR(__xludf.DUMMYFUNCTION("""COMPUTED_VALUE"""),"NDS")</f>
        <v>NDS</v>
      </c>
      <c r="B537" s="6" t="str">
        <f>IFERROR(__xludf.DUMMYFUNCTION("""COMPUTED_VALUE"""),"ENG")</f>
        <v>ENG</v>
      </c>
      <c r="C537" s="6" t="str">
        <f>IFERROR(__xludf.DUMMYFUNCTION("""COMPUTED_VALUE"""),"Q-60025-00")</f>
        <v>Q-60025-00</v>
      </c>
      <c r="D537" s="6" t="str">
        <f>IFERROR(__xludf.DUMMYFUNCTION("""COMPUTED_VALUE"""),"Kuas Eterna 1""")</f>
        <v>Kuas Eterna 1"</v>
      </c>
      <c r="E537" s="6">
        <f>IFERROR(__xludf.DUMMYFUNCTION("""COMPUTED_VALUE"""),1.0)</f>
        <v>1</v>
      </c>
      <c r="F537" s="6">
        <f>IFERROR(__xludf.DUMMYFUNCTION("""COMPUTED_VALUE"""),1.0)</f>
        <v>1</v>
      </c>
      <c r="G537" s="6">
        <f>IFERROR(__xludf.DUMMYFUNCTION("""COMPUTED_VALUE"""),0.0)</f>
        <v>0</v>
      </c>
      <c r="H537" s="6" t="str">
        <f>IFERROR(__xludf.DUMMYFUNCTION("""COMPUTED_VALUE"""),"pcs")</f>
        <v>pcs</v>
      </c>
      <c r="I537" s="6" t="str">
        <f>IFERROR(__xludf.DUMMYFUNCTION("""COMPUTED_VALUE"""),"MFH")</f>
        <v>MFH</v>
      </c>
      <c r="J537" s="6" t="str">
        <f>IFERROR(__xludf.DUMMYFUNCTION("""COMPUTED_VALUE"""),"Building")</f>
        <v>Building</v>
      </c>
      <c r="K537" s="6" t="str">
        <f>IFERROR(__xludf.DUMMYFUNCTION("""COMPUTED_VALUE"""),"SPR/01/24/030")</f>
        <v>SPR/01/24/030</v>
      </c>
      <c r="L537" s="13">
        <f>IFERROR(__xludf.DUMMYFUNCTION("""COMPUTED_VALUE"""),45310.0)</f>
        <v>45310</v>
      </c>
    </row>
    <row r="538">
      <c r="A538" s="6" t="str">
        <f>IFERROR(__xludf.DUMMYFUNCTION("""COMPUTED_VALUE"""),"INN")</f>
        <v>INN</v>
      </c>
      <c r="B538" s="6" t="str">
        <f>IFERROR(__xludf.DUMMYFUNCTION("""COMPUTED_VALUE"""),"ENG")</f>
        <v>ENG</v>
      </c>
      <c r="C538" s="6" t="str">
        <f>IFERROR(__xludf.DUMMYFUNCTION("""COMPUTED_VALUE"""),"T-20055-00")</f>
        <v>T-20055-00</v>
      </c>
      <c r="D538" s="6" t="str">
        <f>IFERROR(__xludf.DUMMYFUNCTION("""COMPUTED_VALUE"""),"PerformancePlus Check Valve Cartridge")</f>
        <v>PerformancePlus Check Valve Cartridge</v>
      </c>
      <c r="E538" s="6">
        <f>IFERROR(__xludf.DUMMYFUNCTION("""COMPUTED_VALUE"""),1.0)</f>
        <v>1</v>
      </c>
      <c r="F538" s="6">
        <f>IFERROR(__xludf.DUMMYFUNCTION("""COMPUTED_VALUE"""),1.0)</f>
        <v>1</v>
      </c>
      <c r="G538" s="6">
        <f>IFERROR(__xludf.DUMMYFUNCTION("""COMPUTED_VALUE"""),0.0)</f>
        <v>0</v>
      </c>
      <c r="H538" s="6" t="str">
        <f>IFERROR(__xludf.DUMMYFUNCTION("""COMPUTED_VALUE"""),"pack")</f>
        <v>pack</v>
      </c>
      <c r="I538" s="6" t="str">
        <f>IFERROR(__xludf.DUMMYFUNCTION("""COMPUTED_VALUE"""),"MFH")</f>
        <v>MFH</v>
      </c>
      <c r="J538" s="6" t="str">
        <f>IFERROR(__xludf.DUMMYFUNCTION("""COMPUTED_VALUE"""),"HPLC 2")</f>
        <v>HPLC 2</v>
      </c>
      <c r="K538" s="6" t="str">
        <f>IFERROR(__xludf.DUMMYFUNCTION("""COMPUTED_VALUE"""),"SPR/01/24/031")</f>
        <v>SPR/01/24/031</v>
      </c>
      <c r="L538" s="13">
        <f>IFERROR(__xludf.DUMMYFUNCTION("""COMPUTED_VALUE"""),45310.0)</f>
        <v>45310</v>
      </c>
    </row>
    <row r="539">
      <c r="A539" s="6" t="str">
        <f>IFERROR(__xludf.DUMMYFUNCTION("""COMPUTED_VALUE"""),"AAA")</f>
        <v>AAA</v>
      </c>
      <c r="B539" s="6" t="str">
        <f>IFERROR(__xludf.DUMMYFUNCTION("""COMPUTED_VALUE"""),"ENG")</f>
        <v>ENG</v>
      </c>
      <c r="C539" s="6" t="str">
        <f>IFERROR(__xludf.DUMMYFUNCTION("""COMPUTED_VALUE"""),"P-50140-00")</f>
        <v>P-50140-00</v>
      </c>
      <c r="D539" s="6" t="str">
        <f>IFERROR(__xludf.DUMMYFUNCTION("""COMPUTED_VALUE"""),"Battery UPS - Battery kering Merk YUASA 12V 9AH")</f>
        <v>Battery UPS - Battery kering Merk YUASA 12V 9AH</v>
      </c>
      <c r="E539" s="6">
        <f>IFERROR(__xludf.DUMMYFUNCTION("""COMPUTED_VALUE"""),2.0)</f>
        <v>2</v>
      </c>
      <c r="F539" s="6">
        <f>IFERROR(__xludf.DUMMYFUNCTION("""COMPUTED_VALUE"""),2.0)</f>
        <v>2</v>
      </c>
      <c r="G539" s="6">
        <f>IFERROR(__xludf.DUMMYFUNCTION("""COMPUTED_VALUE"""),0.0)</f>
        <v>0</v>
      </c>
      <c r="H539" s="6" t="str">
        <f>IFERROR(__xludf.DUMMYFUNCTION("""COMPUTED_VALUE"""),"pcs")</f>
        <v>pcs</v>
      </c>
      <c r="I539" s="6" t="str">
        <f>IFERROR(__xludf.DUMMYFUNCTION("""COMPUTED_VALUE"""),"MFH")</f>
        <v>MFH</v>
      </c>
      <c r="J539" s="6" t="str">
        <f>IFERROR(__xludf.DUMMYFUNCTION("""COMPUTED_VALUE"""),"Autoclave")</f>
        <v>Autoclave</v>
      </c>
      <c r="K539" s="6" t="str">
        <f>IFERROR(__xludf.DUMMYFUNCTION("""COMPUTED_VALUE"""),"SPR/01/24/032")</f>
        <v>SPR/01/24/032</v>
      </c>
      <c r="L539" s="13">
        <f>IFERROR(__xludf.DUMMYFUNCTION("""COMPUTED_VALUE"""),45310.0)</f>
        <v>45310</v>
      </c>
    </row>
    <row r="540">
      <c r="A540" s="6" t="str">
        <f>IFERROR(__xludf.DUMMYFUNCTION("""COMPUTED_VALUE"""),"AAA")</f>
        <v>AAA</v>
      </c>
      <c r="B540" s="6" t="str">
        <f>IFERROR(__xludf.DUMMYFUNCTION("""COMPUTED_VALUE"""),"ENG")</f>
        <v>ENG</v>
      </c>
      <c r="C540" s="6" t="str">
        <f>IFERROR(__xludf.DUMMYFUNCTION("""COMPUTED_VALUE"""),"T-20055-00")</f>
        <v>T-20055-00</v>
      </c>
      <c r="D540" s="6" t="str">
        <f>IFERROR(__xludf.DUMMYFUNCTION("""COMPUTED_VALUE"""),"PerformancePlus Check Valve Cartridge")</f>
        <v>PerformancePlus Check Valve Cartridge</v>
      </c>
      <c r="E540" s="6">
        <f>IFERROR(__xludf.DUMMYFUNCTION("""COMPUTED_VALUE"""),2.0)</f>
        <v>2</v>
      </c>
      <c r="F540" s="6">
        <f>IFERROR(__xludf.DUMMYFUNCTION("""COMPUTED_VALUE"""),2.0)</f>
        <v>2</v>
      </c>
      <c r="G540" s="6">
        <f>IFERROR(__xludf.DUMMYFUNCTION("""COMPUTED_VALUE"""),0.0)</f>
        <v>0</v>
      </c>
      <c r="H540" s="6" t="str">
        <f>IFERROR(__xludf.DUMMYFUNCTION("""COMPUTED_VALUE"""),"pcs")</f>
        <v>pcs</v>
      </c>
      <c r="I540" s="6" t="str">
        <f>IFERROR(__xludf.DUMMYFUNCTION("""COMPUTED_VALUE"""),"MFH")</f>
        <v>MFH</v>
      </c>
      <c r="J540" s="6" t="str">
        <f>IFERROR(__xludf.DUMMYFUNCTION("""COMPUTED_VALUE"""),"HPLC 4")</f>
        <v>HPLC 4</v>
      </c>
      <c r="K540" s="6" t="str">
        <f>IFERROR(__xludf.DUMMYFUNCTION("""COMPUTED_VALUE"""),"SPR/01/24/033")</f>
        <v>SPR/01/24/033</v>
      </c>
      <c r="L540" s="13">
        <f>IFERROR(__xludf.DUMMYFUNCTION("""COMPUTED_VALUE"""),45310.0)</f>
        <v>45310</v>
      </c>
    </row>
    <row r="541">
      <c r="A541" s="6" t="str">
        <f>IFERROR(__xludf.DUMMYFUNCTION("""COMPUTED_VALUE"""),"NDS")</f>
        <v>NDS</v>
      </c>
      <c r="B541" s="6" t="str">
        <f>IFERROR(__xludf.DUMMYFUNCTION("""COMPUTED_VALUE"""),"ENG")</f>
        <v>ENG</v>
      </c>
      <c r="C541" s="6" t="str">
        <f>IFERROR(__xludf.DUMMYFUNCTION("""COMPUTED_VALUE"""),"O-52241-00")</f>
        <v>O-52241-00</v>
      </c>
      <c r="D541" s="6" t="str">
        <f>IFERROR(__xludf.DUMMYFUNCTION("""COMPUTED_VALUE"""),"Tunnel ST1L - Potensio 10K")</f>
        <v>Tunnel ST1L - Potensio 10K</v>
      </c>
      <c r="E541" s="6">
        <f>IFERROR(__xludf.DUMMYFUNCTION("""COMPUTED_VALUE"""),1.0)</f>
        <v>1</v>
      </c>
      <c r="F541" s="6">
        <f>IFERROR(__xludf.DUMMYFUNCTION("""COMPUTED_VALUE"""),1.0)</f>
        <v>1</v>
      </c>
      <c r="G541" s="6">
        <f>IFERROR(__xludf.DUMMYFUNCTION("""COMPUTED_VALUE"""),0.0)</f>
        <v>0</v>
      </c>
      <c r="H541" s="6" t="str">
        <f>IFERROR(__xludf.DUMMYFUNCTION("""COMPUTED_VALUE"""),"pcs")</f>
        <v>pcs</v>
      </c>
      <c r="I541" s="6" t="str">
        <f>IFERROR(__xludf.DUMMYFUNCTION("""COMPUTED_VALUE"""),"MFH")</f>
        <v>MFH</v>
      </c>
      <c r="J541" s="6" t="str">
        <f>IFERROR(__xludf.DUMMYFUNCTION("""COMPUTED_VALUE"""),"Tunnel")</f>
        <v>Tunnel</v>
      </c>
      <c r="K541" s="6" t="str">
        <f>IFERROR(__xludf.DUMMYFUNCTION("""COMPUTED_VALUE"""),"SPR/01/24/034")</f>
        <v>SPR/01/24/034</v>
      </c>
      <c r="L541" s="13">
        <f>IFERROR(__xludf.DUMMYFUNCTION("""COMPUTED_VALUE"""),45310.0)</f>
        <v>45310</v>
      </c>
    </row>
    <row r="542">
      <c r="A542" s="6" t="str">
        <f>IFERROR(__xludf.DUMMYFUNCTION("""COMPUTED_VALUE"""),"NDS")</f>
        <v>NDS</v>
      </c>
      <c r="B542" s="6" t="str">
        <f>IFERROR(__xludf.DUMMYFUNCTION("""COMPUTED_VALUE"""),"ENG")</f>
        <v>ENG</v>
      </c>
      <c r="C542" s="6" t="str">
        <f>IFERROR(__xludf.DUMMYFUNCTION("""COMPUTED_VALUE"""),"P-13389-00")</f>
        <v>P-13389-00</v>
      </c>
      <c r="D542" s="6" t="str">
        <f>IFERROR(__xludf.DUMMYFUNCTION("""COMPUTED_VALUE"""),"Scotch Brite 3M; ; ;")</f>
        <v>Scotch Brite 3M; ; ;</v>
      </c>
      <c r="E542" s="6">
        <f>IFERROR(__xludf.DUMMYFUNCTION("""COMPUTED_VALUE"""),1.0)</f>
        <v>1</v>
      </c>
      <c r="F542" s="6">
        <f>IFERROR(__xludf.DUMMYFUNCTION("""COMPUTED_VALUE"""),1.0)</f>
        <v>1</v>
      </c>
      <c r="G542" s="6">
        <f>IFERROR(__xludf.DUMMYFUNCTION("""COMPUTED_VALUE"""),0.0)</f>
        <v>0</v>
      </c>
      <c r="H542" s="6" t="str">
        <f>IFERROR(__xludf.DUMMYFUNCTION("""COMPUTED_VALUE"""),"pcs")</f>
        <v>pcs</v>
      </c>
      <c r="I542" s="6" t="str">
        <f>IFERROR(__xludf.DUMMYFUNCTION("""COMPUTED_VALUE"""),"MFH")</f>
        <v>MFH</v>
      </c>
      <c r="J542" s="6" t="str">
        <f>IFERROR(__xludf.DUMMYFUNCTION("""COMPUTED_VALUE"""),"Tangki")</f>
        <v>Tangki</v>
      </c>
      <c r="K542" s="6" t="str">
        <f>IFERROR(__xludf.DUMMYFUNCTION("""COMPUTED_VALUE"""),"SPR/01/24/035")</f>
        <v>SPR/01/24/035</v>
      </c>
      <c r="L542" s="13">
        <f>IFERROR(__xludf.DUMMYFUNCTION("""COMPUTED_VALUE"""),45310.0)</f>
        <v>45310</v>
      </c>
    </row>
    <row r="543">
      <c r="A543" s="6" t="str">
        <f>IFERROR(__xludf.DUMMYFUNCTION("""COMPUTED_VALUE"""),"NDS")</f>
        <v>NDS</v>
      </c>
      <c r="B543" s="6" t="str">
        <f>IFERROR(__xludf.DUMMYFUNCTION("""COMPUTED_VALUE"""),"ENG")</f>
        <v>ENG</v>
      </c>
      <c r="C543" s="6" t="str">
        <f>IFERROR(__xludf.DUMMYFUNCTION("""COMPUTED_VALUE"""),"P-15852-00")</f>
        <v>P-15852-00</v>
      </c>
      <c r="D543" s="6" t="str">
        <f>IFERROR(__xludf.DUMMYFUNCTION("""COMPUTED_VALUE"""),"AMPLAS EAGLE 500")</f>
        <v>AMPLAS EAGLE 500</v>
      </c>
      <c r="E543" s="6">
        <f>IFERROR(__xludf.DUMMYFUNCTION("""COMPUTED_VALUE"""),1.0)</f>
        <v>1</v>
      </c>
      <c r="F543" s="6">
        <f>IFERROR(__xludf.DUMMYFUNCTION("""COMPUTED_VALUE"""),1.0)</f>
        <v>1</v>
      </c>
      <c r="G543" s="6">
        <f>IFERROR(__xludf.DUMMYFUNCTION("""COMPUTED_VALUE"""),0.0)</f>
        <v>0</v>
      </c>
      <c r="H543" s="6" t="str">
        <f>IFERROR(__xludf.DUMMYFUNCTION("""COMPUTED_VALUE"""),"pcs")</f>
        <v>pcs</v>
      </c>
      <c r="I543" s="6" t="str">
        <f>IFERROR(__xludf.DUMMYFUNCTION("""COMPUTED_VALUE"""),"MFH")</f>
        <v>MFH</v>
      </c>
      <c r="J543" s="6" t="str">
        <f>IFERROR(__xludf.DUMMYFUNCTION("""COMPUTED_VALUE"""),"Tangki")</f>
        <v>Tangki</v>
      </c>
      <c r="K543" s="6" t="str">
        <f>IFERROR(__xludf.DUMMYFUNCTION("""COMPUTED_VALUE"""),"SPR/01/24/035")</f>
        <v>SPR/01/24/035</v>
      </c>
      <c r="L543" s="13">
        <f>IFERROR(__xludf.DUMMYFUNCTION("""COMPUTED_VALUE"""),45310.0)</f>
        <v>45310</v>
      </c>
    </row>
    <row r="544">
      <c r="A544" s="6" t="str">
        <f>IFERROR(__xludf.DUMMYFUNCTION("""COMPUTED_VALUE"""),"MOB")</f>
        <v>MOB</v>
      </c>
      <c r="B544" s="6" t="str">
        <f>IFERROR(__xludf.DUMMYFUNCTION("""COMPUTED_VALUE"""),"ENG")</f>
        <v>ENG</v>
      </c>
      <c r="C544" s="6" t="str">
        <f>IFERROR(__xludf.DUMMYFUNCTION("""COMPUTED_VALUE"""),"P-51560-00")</f>
        <v>P-51560-00</v>
      </c>
      <c r="D544" s="6" t="str">
        <f>IFERROR(__xludf.DUMMYFUNCTION("""COMPUTED_VALUE"""),"Lampu T5 28watt Putih; Phillips; ;")</f>
        <v>Lampu T5 28watt Putih; Phillips; ;</v>
      </c>
      <c r="E544" s="6">
        <f>IFERROR(__xludf.DUMMYFUNCTION("""COMPUTED_VALUE"""),5.0)</f>
        <v>5</v>
      </c>
      <c r="F544" s="6">
        <f>IFERROR(__xludf.DUMMYFUNCTION("""COMPUTED_VALUE"""),5.0)</f>
        <v>5</v>
      </c>
      <c r="G544" s="6">
        <f>IFERROR(__xludf.DUMMYFUNCTION("""COMPUTED_VALUE"""),0.0)</f>
        <v>0</v>
      </c>
      <c r="H544" s="6" t="str">
        <f>IFERROR(__xludf.DUMMYFUNCTION("""COMPUTED_VALUE"""),"pcs")</f>
        <v>pcs</v>
      </c>
      <c r="I544" s="6" t="str">
        <f>IFERROR(__xludf.DUMMYFUNCTION("""COMPUTED_VALUE"""),"MFH")</f>
        <v>MFH</v>
      </c>
      <c r="J544" s="6" t="str">
        <f>IFERROR(__xludf.DUMMYFUNCTION("""COMPUTED_VALUE"""),"Building")</f>
        <v>Building</v>
      </c>
      <c r="K544" s="6" t="str">
        <f>IFERROR(__xludf.DUMMYFUNCTION("""COMPUTED_VALUE"""),"SPR/01/24/036")</f>
        <v>SPR/01/24/036</v>
      </c>
      <c r="L544" s="13">
        <f>IFERROR(__xludf.DUMMYFUNCTION("""COMPUTED_VALUE"""),45310.0)</f>
        <v>45310</v>
      </c>
    </row>
    <row r="545">
      <c r="A545" s="6" t="str">
        <f>IFERROR(__xludf.DUMMYFUNCTION("""COMPUTED_VALUE"""),"MOB")</f>
        <v>MOB</v>
      </c>
      <c r="B545" s="6" t="str">
        <f>IFERROR(__xludf.DUMMYFUNCTION("""COMPUTED_VALUE"""),"ENG")</f>
        <v>ENG</v>
      </c>
      <c r="C545" s="6" t="str">
        <f>IFERROR(__xludf.DUMMYFUNCTION("""COMPUTED_VALUE"""),"P-53102-00")</f>
        <v>P-53102-00</v>
      </c>
      <c r="D545" s="6" t="str">
        <f>IFERROR(__xludf.DUMMYFUNCTION("""COMPUTED_VALUE"""),"Lampu PLC 13watt/E27 Putih; Phillips; ;")</f>
        <v>Lampu PLC 13watt/E27 Putih; Phillips; ;</v>
      </c>
      <c r="E545" s="6">
        <f>IFERROR(__xludf.DUMMYFUNCTION("""COMPUTED_VALUE"""),7.0)</f>
        <v>7</v>
      </c>
      <c r="F545" s="6">
        <f>IFERROR(__xludf.DUMMYFUNCTION("""COMPUTED_VALUE"""),6.0)</f>
        <v>6</v>
      </c>
      <c r="G545" s="6">
        <f>IFERROR(__xludf.DUMMYFUNCTION("""COMPUTED_VALUE"""),0.0)</f>
        <v>0</v>
      </c>
      <c r="H545" s="6" t="str">
        <f>IFERROR(__xludf.DUMMYFUNCTION("""COMPUTED_VALUE"""),"pcs")</f>
        <v>pcs</v>
      </c>
      <c r="I545" s="6" t="str">
        <f>IFERROR(__xludf.DUMMYFUNCTION("""COMPUTED_VALUE"""),"MFH")</f>
        <v>MFH</v>
      </c>
      <c r="J545" s="6" t="str">
        <f>IFERROR(__xludf.DUMMYFUNCTION("""COMPUTED_VALUE"""),"Building")</f>
        <v>Building</v>
      </c>
      <c r="K545" s="6" t="str">
        <f>IFERROR(__xludf.DUMMYFUNCTION("""COMPUTED_VALUE"""),"SPR/01/24/036")</f>
        <v>SPR/01/24/036</v>
      </c>
      <c r="L545" s="13">
        <f>IFERROR(__xludf.DUMMYFUNCTION("""COMPUTED_VALUE"""),45310.0)</f>
        <v>45310</v>
      </c>
    </row>
    <row r="546">
      <c r="A546" s="6" t="str">
        <f>IFERROR(__xludf.DUMMYFUNCTION("""COMPUTED_VALUE"""),"MOB")</f>
        <v>MOB</v>
      </c>
      <c r="B546" s="6" t="str">
        <f>IFERROR(__xludf.DUMMYFUNCTION("""COMPUTED_VALUE"""),"ENG")</f>
        <v>ENG</v>
      </c>
      <c r="C546" s="6" t="str">
        <f>IFERROR(__xludf.DUMMYFUNCTION("""COMPUTED_VALUE"""),"P-51741-00")</f>
        <v>P-51741-00</v>
      </c>
      <c r="D546" s="6" t="str">
        <f>IFERROR(__xludf.DUMMYFUNCTION("""COMPUTED_VALUE"""),"Lampu Phillips PHP LED; 710 7w E27 White 220-240v")</f>
        <v>Lampu Phillips PHP LED; 710 7w E27 White 220-240v</v>
      </c>
      <c r="E546" s="6">
        <f>IFERROR(__xludf.DUMMYFUNCTION("""COMPUTED_VALUE"""),3.0)</f>
        <v>3</v>
      </c>
      <c r="F546" s="6">
        <f>IFERROR(__xludf.DUMMYFUNCTION("""COMPUTED_VALUE"""),1.0)</f>
        <v>1</v>
      </c>
      <c r="G546" s="6">
        <f>IFERROR(__xludf.DUMMYFUNCTION("""COMPUTED_VALUE"""),0.0)</f>
        <v>0</v>
      </c>
      <c r="H546" s="6" t="str">
        <f>IFERROR(__xludf.DUMMYFUNCTION("""COMPUTED_VALUE"""),"pcs")</f>
        <v>pcs</v>
      </c>
      <c r="I546" s="6" t="str">
        <f>IFERROR(__xludf.DUMMYFUNCTION("""COMPUTED_VALUE"""),"MFH")</f>
        <v>MFH</v>
      </c>
      <c r="J546" s="6" t="str">
        <f>IFERROR(__xludf.DUMMYFUNCTION("""COMPUTED_VALUE"""),"AHU")</f>
        <v>AHU</v>
      </c>
      <c r="K546" s="6" t="str">
        <f>IFERROR(__xludf.DUMMYFUNCTION("""COMPUTED_VALUE"""),"SPR/01/24/037")</f>
        <v>SPR/01/24/037</v>
      </c>
      <c r="L546" s="13">
        <f>IFERROR(__xludf.DUMMYFUNCTION("""COMPUTED_VALUE"""),45310.0)</f>
        <v>45310</v>
      </c>
    </row>
    <row r="547">
      <c r="A547" s="6" t="str">
        <f>IFERROR(__xludf.DUMMYFUNCTION("""COMPUTED_VALUE"""),"AAA")</f>
        <v>AAA</v>
      </c>
      <c r="B547" s="6" t="str">
        <f>IFERROR(__xludf.DUMMYFUNCTION("""COMPUTED_VALUE"""),"ENG")</f>
        <v>ENG</v>
      </c>
      <c r="C547" s="6" t="str">
        <f>IFERROR(__xludf.DUMMYFUNCTION("""COMPUTED_VALUE"""),"O-19039-00")</f>
        <v>O-19039-00</v>
      </c>
      <c r="D547" s="6" t="str">
        <f>IFERROR(__xludf.DUMMYFUNCTION("""COMPUTED_VALUE"""),"Vent Filter Feed Water Tank; KA1V002PV3; KP 1 Emflon II Capsule 0.2 m; KLEENPAK")</f>
        <v>Vent Filter Feed Water Tank; KA1V002PV3; KP 1 Emflon II Capsule 0.2 m; KLEENPAK</v>
      </c>
      <c r="E547" s="6">
        <f>IFERROR(__xludf.DUMMYFUNCTION("""COMPUTED_VALUE"""),1.0)</f>
        <v>1</v>
      </c>
      <c r="F547" s="6">
        <f>IFERROR(__xludf.DUMMYFUNCTION("""COMPUTED_VALUE"""),1.0)</f>
        <v>1</v>
      </c>
      <c r="G547" s="6">
        <f>IFERROR(__xludf.DUMMYFUNCTION("""COMPUTED_VALUE"""),0.0)</f>
        <v>0</v>
      </c>
      <c r="H547" s="6" t="str">
        <f>IFERROR(__xludf.DUMMYFUNCTION("""COMPUTED_VALUE"""),"pcs")</f>
        <v>pcs</v>
      </c>
      <c r="I547" s="6" t="str">
        <f>IFERROR(__xludf.DUMMYFUNCTION("""COMPUTED_VALUE"""),"MFH")</f>
        <v>MFH</v>
      </c>
      <c r="J547" s="6" t="str">
        <f>IFERROR(__xludf.DUMMYFUNCTION("""COMPUTED_VALUE"""),"Autoclave")</f>
        <v>Autoclave</v>
      </c>
      <c r="K547" s="6" t="str">
        <f>IFERROR(__xludf.DUMMYFUNCTION("""COMPUTED_VALUE"""),"SPR/01/24/038")</f>
        <v>SPR/01/24/038</v>
      </c>
      <c r="L547" s="13">
        <f>IFERROR(__xludf.DUMMYFUNCTION("""COMPUTED_VALUE"""),45310.0)</f>
        <v>45310</v>
      </c>
    </row>
    <row r="548">
      <c r="A548" s="6" t="str">
        <f>IFERROR(__xludf.DUMMYFUNCTION("""COMPUTED_VALUE"""),"AAA")</f>
        <v>AAA</v>
      </c>
      <c r="B548" s="6" t="str">
        <f>IFERROR(__xludf.DUMMYFUNCTION("""COMPUTED_VALUE"""),"ENG")</f>
        <v>ENG</v>
      </c>
      <c r="C548" s="6" t="str">
        <f>IFERROR(__xludf.DUMMYFUNCTION("""COMPUTED_VALUE"""),"P-11694-00")</f>
        <v>P-11694-00</v>
      </c>
      <c r="D548" s="6" t="str">
        <f>IFERROR(__xludf.DUMMYFUNCTION("""COMPUTED_VALUE"""),"Mata Gerinda 4""")</f>
        <v>Mata Gerinda 4"</v>
      </c>
      <c r="E548" s="6">
        <f>IFERROR(__xludf.DUMMYFUNCTION("""COMPUTED_VALUE"""),1.0)</f>
        <v>1</v>
      </c>
      <c r="F548" s="6">
        <f>IFERROR(__xludf.DUMMYFUNCTION("""COMPUTED_VALUE"""),1.0)</f>
        <v>1</v>
      </c>
      <c r="G548" s="6">
        <f>IFERROR(__xludf.DUMMYFUNCTION("""COMPUTED_VALUE"""),0.0)</f>
        <v>0</v>
      </c>
      <c r="H548" s="6" t="str">
        <f>IFERROR(__xludf.DUMMYFUNCTION("""COMPUTED_VALUE"""),"pcs")</f>
        <v>pcs</v>
      </c>
      <c r="I548" s="6" t="str">
        <f>IFERROR(__xludf.DUMMYFUNCTION("""COMPUTED_VALUE"""),"MFH")</f>
        <v>MFH</v>
      </c>
      <c r="J548" s="6" t="str">
        <f>IFERROR(__xludf.DUMMYFUNCTION("""COMPUTED_VALUE"""),"Autoclave")</f>
        <v>Autoclave</v>
      </c>
      <c r="K548" s="6" t="str">
        <f>IFERROR(__xludf.DUMMYFUNCTION("""COMPUTED_VALUE"""),"SPR/01/24/038")</f>
        <v>SPR/01/24/038</v>
      </c>
      <c r="L548" s="13">
        <f>IFERROR(__xludf.DUMMYFUNCTION("""COMPUTED_VALUE"""),45310.0)</f>
        <v>45310</v>
      </c>
    </row>
    <row r="549">
      <c r="A549" s="6" t="str">
        <f>IFERROR(__xludf.DUMMYFUNCTION("""COMPUTED_VALUE"""),"SFH")</f>
        <v>SFH</v>
      </c>
      <c r="B549" s="6" t="str">
        <f>IFERROR(__xludf.DUMMYFUNCTION("""COMPUTED_VALUE"""),"ENG")</f>
        <v>ENG</v>
      </c>
      <c r="C549" s="6" t="str">
        <f>IFERROR(__xludf.DUMMYFUNCTION("""COMPUTED_VALUE"""),"P-14424-00")</f>
        <v>P-14424-00</v>
      </c>
      <c r="D549" s="6" t="str">
        <f>IFERROR(__xludf.DUMMYFUNCTION("""COMPUTED_VALUE"""),"Garam Kutreat RGN-9800F; ; ; 25Kg/zak")</f>
        <v>Garam Kutreat RGN-9800F; ; ; 25Kg/zak</v>
      </c>
      <c r="E549" s="6">
        <f>IFERROR(__xludf.DUMMYFUNCTION("""COMPUTED_VALUE"""),50.0)</f>
        <v>50</v>
      </c>
      <c r="F549" s="6">
        <f>IFERROR(__xludf.DUMMYFUNCTION("""COMPUTED_VALUE"""),25.0)</f>
        <v>25</v>
      </c>
      <c r="G549" s="6">
        <f>IFERROR(__xludf.DUMMYFUNCTION("""COMPUTED_VALUE"""),0.0)</f>
        <v>0</v>
      </c>
      <c r="H549" s="6" t="str">
        <f>IFERROR(__xludf.DUMMYFUNCTION("""COMPUTED_VALUE"""),"pcs")</f>
        <v>pcs</v>
      </c>
      <c r="I549" s="6" t="str">
        <f>IFERROR(__xludf.DUMMYFUNCTION("""COMPUTED_VALUE"""),"MFH")</f>
        <v>MFH</v>
      </c>
      <c r="J549" s="6" t="str">
        <f>IFERROR(__xludf.DUMMYFUNCTION("""COMPUTED_VALUE"""),"Water System")</f>
        <v>Water System</v>
      </c>
      <c r="K549" s="6" t="str">
        <f>IFERROR(__xludf.DUMMYFUNCTION("""COMPUTED_VALUE"""),"SPR/01/24/039")</f>
        <v>SPR/01/24/039</v>
      </c>
      <c r="L549" s="13">
        <f>IFERROR(__xludf.DUMMYFUNCTION("""COMPUTED_VALUE"""),45310.0)</f>
        <v>45310</v>
      </c>
    </row>
    <row r="550">
      <c r="A550" s="6" t="str">
        <f>IFERROR(__xludf.DUMMYFUNCTION("""COMPUTED_VALUE"""),"BNF")</f>
        <v>BNF</v>
      </c>
      <c r="B550" s="6" t="str">
        <f>IFERROR(__xludf.DUMMYFUNCTION("""COMPUTED_VALUE"""),"PRO")</f>
        <v>PRO</v>
      </c>
      <c r="C550" s="6" t="str">
        <f>IFERROR(__xludf.DUMMYFUNCTION("""COMPUTED_VALUE"""),"P-17830-00")</f>
        <v>P-17830-00</v>
      </c>
      <c r="D550" s="6" t="str">
        <f>IFERROR(__xludf.DUMMYFUNCTION("""COMPUTED_VALUE"""),"Cleaner Stainless Stell &amp; Polish")</f>
        <v>Cleaner Stainless Stell &amp; Polish</v>
      </c>
      <c r="E550" s="6">
        <f>IFERROR(__xludf.DUMMYFUNCTION("""COMPUTED_VALUE"""),1.0)</f>
        <v>1</v>
      </c>
      <c r="F550" s="6">
        <f>IFERROR(__xludf.DUMMYFUNCTION("""COMPUTED_VALUE"""),1.0)</f>
        <v>1</v>
      </c>
      <c r="G550" s="6">
        <f>IFERROR(__xludf.DUMMYFUNCTION("""COMPUTED_VALUE"""),0.0)</f>
        <v>0</v>
      </c>
      <c r="H550" s="6" t="str">
        <f>IFERROR(__xludf.DUMMYFUNCTION("""COMPUTED_VALUE"""),"pcs")</f>
        <v>pcs</v>
      </c>
      <c r="I550" s="6" t="str">
        <f>IFERROR(__xludf.DUMMYFUNCTION("""COMPUTED_VALUE"""),"MFH")</f>
        <v>MFH</v>
      </c>
      <c r="J550" s="6" t="str">
        <f>IFERROR(__xludf.DUMMYFUNCTION("""COMPUTED_VALUE"""),"Lab")</f>
        <v>Lab</v>
      </c>
      <c r="K550" s="6" t="str">
        <f>IFERROR(__xludf.DUMMYFUNCTION("""COMPUTED_VALUE"""),"SPR/01/24/040")</f>
        <v>SPR/01/24/040</v>
      </c>
      <c r="L550" s="13">
        <f>IFERROR(__xludf.DUMMYFUNCTION("""COMPUTED_VALUE"""),45313.0)</f>
        <v>45313</v>
      </c>
    </row>
    <row r="551">
      <c r="A551" s="6" t="str">
        <f>IFERROR(__xludf.DUMMYFUNCTION("""COMPUTED_VALUE"""),"SFH")</f>
        <v>SFH</v>
      </c>
      <c r="B551" s="6" t="str">
        <f>IFERROR(__xludf.DUMMYFUNCTION("""COMPUTED_VALUE"""),"ENG")</f>
        <v>ENG</v>
      </c>
      <c r="C551" s="6" t="str">
        <f>IFERROR(__xludf.DUMMYFUNCTION("""COMPUTED_VALUE"""),"P-53102-00")</f>
        <v>P-53102-00</v>
      </c>
      <c r="D551" s="6" t="str">
        <f>IFERROR(__xludf.DUMMYFUNCTION("""COMPUTED_VALUE"""),"Lampu PLC 13watt/E27 Putih; Phillips; ;")</f>
        <v>Lampu PLC 13watt/E27 Putih; Phillips; ;</v>
      </c>
      <c r="E551" s="6">
        <f>IFERROR(__xludf.DUMMYFUNCTION("""COMPUTED_VALUE"""),2.0)</f>
        <v>2</v>
      </c>
      <c r="F551" s="6">
        <f>IFERROR(__xludf.DUMMYFUNCTION("""COMPUTED_VALUE"""),1.0)</f>
        <v>1</v>
      </c>
      <c r="G551" s="6">
        <f>IFERROR(__xludf.DUMMYFUNCTION("""COMPUTED_VALUE"""),0.0)</f>
        <v>0</v>
      </c>
      <c r="H551" s="6" t="str">
        <f>IFERROR(__xludf.DUMMYFUNCTION("""COMPUTED_VALUE"""),"pcs")</f>
        <v>pcs</v>
      </c>
      <c r="I551" s="6" t="str">
        <f>IFERROR(__xludf.DUMMYFUNCTION("""COMPUTED_VALUE"""),"MFH")</f>
        <v>MFH</v>
      </c>
      <c r="J551" s="6" t="str">
        <f>IFERROR(__xludf.DUMMYFUNCTION("""COMPUTED_VALUE"""),"Building")</f>
        <v>Building</v>
      </c>
      <c r="K551" s="6" t="str">
        <f>IFERROR(__xludf.DUMMYFUNCTION("""COMPUTED_VALUE"""),"SPR/01/24/041")</f>
        <v>SPR/01/24/041</v>
      </c>
      <c r="L551" s="13">
        <f>IFERROR(__xludf.DUMMYFUNCTION("""COMPUTED_VALUE"""),45313.0)</f>
        <v>45313</v>
      </c>
    </row>
    <row r="552">
      <c r="A552" s="6" t="str">
        <f>IFERROR(__xludf.DUMMYFUNCTION("""COMPUTED_VALUE"""),"INN")</f>
        <v>INN</v>
      </c>
      <c r="B552" s="6" t="str">
        <f>IFERROR(__xludf.DUMMYFUNCTION("""COMPUTED_VALUE"""),"ENG")</f>
        <v>ENG</v>
      </c>
      <c r="C552" s="6" t="str">
        <f>IFERROR(__xludf.DUMMYFUNCTION("""COMPUTED_VALUE"""),"O-52826-00")</f>
        <v>O-52826-00</v>
      </c>
      <c r="D552" s="6" t="str">
        <f>IFERROR(__xludf.DUMMYFUNCTION("""COMPUTED_VALUE"""),"Freeze Dryer MBE1207 - SV55 252072 6213 S.S+FKM I/O: NPT1/4 Inch Orifice:10mm Kv=2m3/h NC DC24V p/n")</f>
        <v>Freeze Dryer MBE1207 - SV55 252072 6213 S.S+FKM I/O: NPT1/4 Inch Orifice:10mm Kv=2m3/h NC DC24V p/n</v>
      </c>
      <c r="E552" s="6">
        <f>IFERROR(__xludf.DUMMYFUNCTION("""COMPUTED_VALUE"""),3.0)</f>
        <v>3</v>
      </c>
      <c r="F552" s="6">
        <f>IFERROR(__xludf.DUMMYFUNCTION("""COMPUTED_VALUE"""),3.0)</f>
        <v>3</v>
      </c>
      <c r="G552" s="6">
        <f>IFERROR(__xludf.DUMMYFUNCTION("""COMPUTED_VALUE"""),0.0)</f>
        <v>0</v>
      </c>
      <c r="H552" s="6" t="str">
        <f>IFERROR(__xludf.DUMMYFUNCTION("""COMPUTED_VALUE"""),"pcs")</f>
        <v>pcs</v>
      </c>
      <c r="I552" s="6" t="str">
        <f>IFERROR(__xludf.DUMMYFUNCTION("""COMPUTED_VALUE"""),"MFH")</f>
        <v>MFH</v>
      </c>
      <c r="J552" s="6" t="str">
        <f>IFERROR(__xludf.DUMMYFUNCTION("""COMPUTED_VALUE"""),"FD")</f>
        <v>FD</v>
      </c>
      <c r="K552" s="6" t="str">
        <f>IFERROR(__xludf.DUMMYFUNCTION("""COMPUTED_VALUE"""),"SPR/01/24/042")</f>
        <v>SPR/01/24/042</v>
      </c>
      <c r="L552" s="13">
        <f>IFERROR(__xludf.DUMMYFUNCTION("""COMPUTED_VALUE"""),45313.0)</f>
        <v>45313</v>
      </c>
    </row>
    <row r="553">
      <c r="A553" s="6" t="str">
        <f>IFERROR(__xludf.DUMMYFUNCTION("""COMPUTED_VALUE"""),"MOB")</f>
        <v>MOB</v>
      </c>
      <c r="B553" s="6" t="str">
        <f>IFERROR(__xludf.DUMMYFUNCTION("""COMPUTED_VALUE"""),"ENG")</f>
        <v>ENG</v>
      </c>
      <c r="C553" s="6" t="str">
        <f>IFERROR(__xludf.DUMMYFUNCTION("""COMPUTED_VALUE"""),"P-12764-00")</f>
        <v>P-12764-00</v>
      </c>
      <c r="D553" s="6" t="str">
        <f>IFERROR(__xludf.DUMMYFUNCTION("""COMPUTED_VALUE"""),"Silicone gasket for ferrule dia 1/2inch Taiwan")</f>
        <v>Silicone gasket for ferrule dia 1/2inch Taiwan</v>
      </c>
      <c r="E553" s="6">
        <f>IFERROR(__xludf.DUMMYFUNCTION("""COMPUTED_VALUE"""),8.0)</f>
        <v>8</v>
      </c>
      <c r="F553" s="6">
        <f>IFERROR(__xludf.DUMMYFUNCTION("""COMPUTED_VALUE"""),2.0)</f>
        <v>2</v>
      </c>
      <c r="G553" s="6">
        <f>IFERROR(__xludf.DUMMYFUNCTION("""COMPUTED_VALUE"""),0.0)</f>
        <v>0</v>
      </c>
      <c r="H553" s="6" t="str">
        <f>IFERROR(__xludf.DUMMYFUNCTION("""COMPUTED_VALUE"""),"pcs")</f>
        <v>pcs</v>
      </c>
      <c r="I553" s="6" t="str">
        <f>IFERROR(__xludf.DUMMYFUNCTION("""COMPUTED_VALUE"""),"MFH")</f>
        <v>MFH</v>
      </c>
      <c r="J553" s="6" t="str">
        <f>IFERROR(__xludf.DUMMYFUNCTION("""COMPUTED_VALUE"""),"PSG")</f>
        <v>PSG</v>
      </c>
      <c r="K553" s="6" t="str">
        <f>IFERROR(__xludf.DUMMYFUNCTION("""COMPUTED_VALUE"""),"SPR/01/24/043")</f>
        <v>SPR/01/24/043</v>
      </c>
      <c r="L553" s="13">
        <f>IFERROR(__xludf.DUMMYFUNCTION("""COMPUTED_VALUE"""),45313.0)</f>
        <v>45313</v>
      </c>
    </row>
    <row r="554">
      <c r="A554" s="6" t="str">
        <f>IFERROR(__xludf.DUMMYFUNCTION("""COMPUTED_VALUE"""),"MOB")</f>
        <v>MOB</v>
      </c>
      <c r="B554" s="6" t="str">
        <f>IFERROR(__xludf.DUMMYFUNCTION("""COMPUTED_VALUE"""),"ENG")</f>
        <v>ENG</v>
      </c>
      <c r="C554" s="6" t="str">
        <f>IFERROR(__xludf.DUMMYFUNCTION("""COMPUTED_VALUE"""),"O-14641-00")</f>
        <v>O-14641-00</v>
      </c>
      <c r="D554" s="6" t="str">
        <f>IFERROR(__xludf.DUMMYFUNCTION("""COMPUTED_VALUE"""),"Silicone Gasket for Ferrule dia. 1""; ; ;")</f>
        <v>Silicone Gasket for Ferrule dia. 1"; ; ;</v>
      </c>
      <c r="E554" s="6">
        <f>IFERROR(__xludf.DUMMYFUNCTION("""COMPUTED_VALUE"""),2.0)</f>
        <v>2</v>
      </c>
      <c r="F554" s="6">
        <f>IFERROR(__xludf.DUMMYFUNCTION("""COMPUTED_VALUE"""),2.0)</f>
        <v>2</v>
      </c>
      <c r="G554" s="6">
        <f>IFERROR(__xludf.DUMMYFUNCTION("""COMPUTED_VALUE"""),0.0)</f>
        <v>0</v>
      </c>
      <c r="H554" s="6" t="str">
        <f>IFERROR(__xludf.DUMMYFUNCTION("""COMPUTED_VALUE"""),"pcs")</f>
        <v>pcs</v>
      </c>
      <c r="I554" s="6" t="str">
        <f>IFERROR(__xludf.DUMMYFUNCTION("""COMPUTED_VALUE"""),"MFH")</f>
        <v>MFH</v>
      </c>
      <c r="J554" s="6" t="str">
        <f>IFERROR(__xludf.DUMMYFUNCTION("""COMPUTED_VALUE"""),"PSG")</f>
        <v>PSG</v>
      </c>
      <c r="K554" s="6" t="str">
        <f>IFERROR(__xludf.DUMMYFUNCTION("""COMPUTED_VALUE"""),"SPR/01/24/043")</f>
        <v>SPR/01/24/043</v>
      </c>
      <c r="L554" s="13">
        <f>IFERROR(__xludf.DUMMYFUNCTION("""COMPUTED_VALUE"""),45313.0)</f>
        <v>45313</v>
      </c>
    </row>
    <row r="555">
      <c r="A555" s="6" t="str">
        <f>IFERROR(__xludf.DUMMYFUNCTION("""COMPUTED_VALUE"""),"MOB")</f>
        <v>MOB</v>
      </c>
      <c r="B555" s="6" t="str">
        <f>IFERROR(__xludf.DUMMYFUNCTION("""COMPUTED_VALUE"""),"ENG")</f>
        <v>ENG</v>
      </c>
      <c r="C555" s="6" t="str">
        <f>IFERROR(__xludf.DUMMYFUNCTION("""COMPUTED_VALUE"""),"P-51560-00")</f>
        <v>P-51560-00</v>
      </c>
      <c r="D555" s="6" t="str">
        <f>IFERROR(__xludf.DUMMYFUNCTION("""COMPUTED_VALUE"""),"Lampu T5 28watt Putih; Phillips; ;")</f>
        <v>Lampu T5 28watt Putih; Phillips; ;</v>
      </c>
      <c r="E555" s="6">
        <f>IFERROR(__xludf.DUMMYFUNCTION("""COMPUTED_VALUE"""),8.0)</f>
        <v>8</v>
      </c>
      <c r="F555" s="6">
        <f>IFERROR(__xludf.DUMMYFUNCTION("""COMPUTED_VALUE"""),8.0)</f>
        <v>8</v>
      </c>
      <c r="G555" s="6">
        <f>IFERROR(__xludf.DUMMYFUNCTION("""COMPUTED_VALUE"""),0.0)</f>
        <v>0</v>
      </c>
      <c r="H555" s="6" t="str">
        <f>IFERROR(__xludf.DUMMYFUNCTION("""COMPUTED_VALUE"""),"pcs")</f>
        <v>pcs</v>
      </c>
      <c r="I555" s="6" t="str">
        <f>IFERROR(__xludf.DUMMYFUNCTION("""COMPUTED_VALUE"""),"MFH")</f>
        <v>MFH</v>
      </c>
      <c r="J555" s="6" t="str">
        <f>IFERROR(__xludf.DUMMYFUNCTION("""COMPUTED_VALUE"""),"Building")</f>
        <v>Building</v>
      </c>
      <c r="K555" s="6" t="str">
        <f>IFERROR(__xludf.DUMMYFUNCTION("""COMPUTED_VALUE"""),"SPR/01/24/044")</f>
        <v>SPR/01/24/044</v>
      </c>
      <c r="L555" s="13">
        <f>IFERROR(__xludf.DUMMYFUNCTION("""COMPUTED_VALUE"""),45313.0)</f>
        <v>45313</v>
      </c>
    </row>
    <row r="556">
      <c r="A556" s="6" t="str">
        <f>IFERROR(__xludf.DUMMYFUNCTION("""COMPUTED_VALUE"""),"MOB")</f>
        <v>MOB</v>
      </c>
      <c r="B556" s="6" t="str">
        <f>IFERROR(__xludf.DUMMYFUNCTION("""COMPUTED_VALUE"""),"ENG")</f>
        <v>ENG</v>
      </c>
      <c r="C556" s="6" t="str">
        <f>IFERROR(__xludf.DUMMYFUNCTION("""COMPUTED_VALUE"""),"P-51559-00")</f>
        <v>P-51559-00</v>
      </c>
      <c r="D556" s="6" t="str">
        <f>IFERROR(__xludf.DUMMYFUNCTION("""COMPUTED_VALUE"""),"Lampu T5 14watt Putih; Phillips; ;")</f>
        <v>Lampu T5 14watt Putih; Phillips; ;</v>
      </c>
      <c r="E556" s="6">
        <f>IFERROR(__xludf.DUMMYFUNCTION("""COMPUTED_VALUE"""),7.0)</f>
        <v>7</v>
      </c>
      <c r="F556" s="6">
        <f>IFERROR(__xludf.DUMMYFUNCTION("""COMPUTED_VALUE"""),3.0)</f>
        <v>3</v>
      </c>
      <c r="G556" s="6">
        <f>IFERROR(__xludf.DUMMYFUNCTION("""COMPUTED_VALUE"""),0.0)</f>
        <v>0</v>
      </c>
      <c r="H556" s="6" t="str">
        <f>IFERROR(__xludf.DUMMYFUNCTION("""COMPUTED_VALUE"""),"pcs")</f>
        <v>pcs</v>
      </c>
      <c r="I556" s="6" t="str">
        <f>IFERROR(__xludf.DUMMYFUNCTION("""COMPUTED_VALUE"""),"MFH")</f>
        <v>MFH</v>
      </c>
      <c r="J556" s="6" t="str">
        <f>IFERROR(__xludf.DUMMYFUNCTION("""COMPUTED_VALUE"""),"Building")</f>
        <v>Building</v>
      </c>
      <c r="K556" s="6" t="str">
        <f>IFERROR(__xludf.DUMMYFUNCTION("""COMPUTED_VALUE"""),"SPR/01/24/044")</f>
        <v>SPR/01/24/044</v>
      </c>
      <c r="L556" s="13">
        <f>IFERROR(__xludf.DUMMYFUNCTION("""COMPUTED_VALUE"""),45313.0)</f>
        <v>45313</v>
      </c>
    </row>
    <row r="557">
      <c r="A557" s="6" t="str">
        <f>IFERROR(__xludf.DUMMYFUNCTION("""COMPUTED_VALUE"""),"NDS")</f>
        <v>NDS</v>
      </c>
      <c r="B557" s="6" t="str">
        <f>IFERROR(__xludf.DUMMYFUNCTION("""COMPUTED_VALUE"""),"ENG")</f>
        <v>ENG</v>
      </c>
      <c r="C557" s="6" t="str">
        <f>IFERROR(__xludf.DUMMYFUNCTION("""COMPUTED_VALUE"""),"P-12490-00")</f>
        <v>P-12490-00</v>
      </c>
      <c r="D557" s="6" t="str">
        <f>IFERROR(__xludf.DUMMYFUNCTION("""COMPUTED_VALUE"""),"Mata bor besi dia 5 mm ex NACHI")</f>
        <v>Mata bor besi dia 5 mm ex NACHI</v>
      </c>
      <c r="E557" s="6">
        <f>IFERROR(__xludf.DUMMYFUNCTION("""COMPUTED_VALUE"""),2.0)</f>
        <v>2</v>
      </c>
      <c r="F557" s="6">
        <f>IFERROR(__xludf.DUMMYFUNCTION("""COMPUTED_VALUE"""),1.0)</f>
        <v>1</v>
      </c>
      <c r="G557" s="6">
        <f>IFERROR(__xludf.DUMMYFUNCTION("""COMPUTED_VALUE"""),0.0)</f>
        <v>0</v>
      </c>
      <c r="H557" s="6" t="str">
        <f>IFERROR(__xludf.DUMMYFUNCTION("""COMPUTED_VALUE"""),"pcs")</f>
        <v>pcs</v>
      </c>
      <c r="I557" s="6" t="str">
        <f>IFERROR(__xludf.DUMMYFUNCTION("""COMPUTED_VALUE"""),"MFH")</f>
        <v>MFH</v>
      </c>
      <c r="J557" s="6" t="str">
        <f>IFERROR(__xludf.DUMMYFUNCTION("""COMPUTED_VALUE"""),"Building")</f>
        <v>Building</v>
      </c>
      <c r="K557" s="6" t="str">
        <f>IFERROR(__xludf.DUMMYFUNCTION("""COMPUTED_VALUE"""),"SPR/01/24/045")</f>
        <v>SPR/01/24/045</v>
      </c>
      <c r="L557" s="13">
        <f>IFERROR(__xludf.DUMMYFUNCTION("""COMPUTED_VALUE"""),45313.0)</f>
        <v>45313</v>
      </c>
    </row>
    <row r="558">
      <c r="A558" s="6" t="str">
        <f>IFERROR(__xludf.DUMMYFUNCTION("""COMPUTED_VALUE"""),"NDS")</f>
        <v>NDS</v>
      </c>
      <c r="B558" s="6" t="str">
        <f>IFERROR(__xludf.DUMMYFUNCTION("""COMPUTED_VALUE"""),"ENG")</f>
        <v>ENG</v>
      </c>
      <c r="C558" s="6" t="str">
        <f>IFERROR(__xludf.DUMMYFUNCTION("""COMPUTED_VALUE"""),"T-20135-00")</f>
        <v>T-20135-00</v>
      </c>
      <c r="D558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558" s="6">
        <f>IFERROR(__xludf.DUMMYFUNCTION("""COMPUTED_VALUE"""),3.0)</f>
        <v>3</v>
      </c>
      <c r="F558" s="6">
        <f>IFERROR(__xludf.DUMMYFUNCTION("""COMPUTED_VALUE"""),1.0)</f>
        <v>1</v>
      </c>
      <c r="G558" s="6">
        <f>IFERROR(__xludf.DUMMYFUNCTION("""COMPUTED_VALUE"""),0.0)</f>
        <v>0</v>
      </c>
      <c r="H558" s="6" t="str">
        <f>IFERROR(__xludf.DUMMYFUNCTION("""COMPUTED_VALUE"""),"pcs")</f>
        <v>pcs</v>
      </c>
      <c r="I558" s="6" t="str">
        <f>IFERROR(__xludf.DUMMYFUNCTION("""COMPUTED_VALUE"""),"MFH")</f>
        <v>MFH</v>
      </c>
      <c r="J558" s="6" t="str">
        <f>IFERROR(__xludf.DUMMYFUNCTION("""COMPUTED_VALUE"""),"SKAN")</f>
        <v>SKAN</v>
      </c>
      <c r="K558" s="6" t="str">
        <f>IFERROR(__xludf.DUMMYFUNCTION("""COMPUTED_VALUE"""),"SPR/01/24/045")</f>
        <v>SPR/01/24/045</v>
      </c>
      <c r="L558" s="13">
        <f>IFERROR(__xludf.DUMMYFUNCTION("""COMPUTED_VALUE"""),45313.0)</f>
        <v>45313</v>
      </c>
    </row>
    <row r="559">
      <c r="A559" s="6" t="str">
        <f>IFERROR(__xludf.DUMMYFUNCTION("""COMPUTED_VALUE"""),"SFH")</f>
        <v>SFH</v>
      </c>
      <c r="B559" s="6" t="str">
        <f>IFERROR(__xludf.DUMMYFUNCTION("""COMPUTED_VALUE"""),"ENG")</f>
        <v>ENG</v>
      </c>
      <c r="C559" s="6" t="str">
        <f>IFERROR(__xludf.DUMMYFUNCTION("""COMPUTED_VALUE"""),"P-51560-00")</f>
        <v>P-51560-00</v>
      </c>
      <c r="D559" s="6" t="str">
        <f>IFERROR(__xludf.DUMMYFUNCTION("""COMPUTED_VALUE"""),"Lampu T5 28watt Putih; Phillips; ;")</f>
        <v>Lampu T5 28watt Putih; Phillips; ;</v>
      </c>
      <c r="E559" s="6">
        <f>IFERROR(__xludf.DUMMYFUNCTION("""COMPUTED_VALUE"""),5.0)</f>
        <v>5</v>
      </c>
      <c r="F559" s="6">
        <f>IFERROR(__xludf.DUMMYFUNCTION("""COMPUTED_VALUE"""),5.0)</f>
        <v>5</v>
      </c>
      <c r="G559" s="6">
        <f>IFERROR(__xludf.DUMMYFUNCTION("""COMPUTED_VALUE"""),0.0)</f>
        <v>0</v>
      </c>
      <c r="H559" s="6" t="str">
        <f>IFERROR(__xludf.DUMMYFUNCTION("""COMPUTED_VALUE"""),"pcs")</f>
        <v>pcs</v>
      </c>
      <c r="I559" s="6" t="str">
        <f>IFERROR(__xludf.DUMMYFUNCTION("""COMPUTED_VALUE"""),"MFH")</f>
        <v>MFH</v>
      </c>
      <c r="J559" s="6" t="str">
        <f>IFERROR(__xludf.DUMMYFUNCTION("""COMPUTED_VALUE"""),"Building")</f>
        <v>Building</v>
      </c>
      <c r="K559" s="6" t="str">
        <f>IFERROR(__xludf.DUMMYFUNCTION("""COMPUTED_VALUE"""),"SPR/01/24/046")</f>
        <v>SPR/01/24/046</v>
      </c>
      <c r="L559" s="13">
        <f>IFERROR(__xludf.DUMMYFUNCTION("""COMPUTED_VALUE"""),45313.0)</f>
        <v>45313</v>
      </c>
    </row>
    <row r="560">
      <c r="A560" s="6" t="str">
        <f>IFERROR(__xludf.DUMMYFUNCTION("""COMPUTED_VALUE"""),"SFH")</f>
        <v>SFH</v>
      </c>
      <c r="B560" s="6" t="str">
        <f>IFERROR(__xludf.DUMMYFUNCTION("""COMPUTED_VALUE"""),"ENG")</f>
        <v>ENG</v>
      </c>
      <c r="C560" s="6" t="str">
        <f>IFERROR(__xludf.DUMMYFUNCTION("""COMPUTED_VALUE"""),"P-51559-00")</f>
        <v>P-51559-00</v>
      </c>
      <c r="D560" s="6" t="str">
        <f>IFERROR(__xludf.DUMMYFUNCTION("""COMPUTED_VALUE"""),"Lampu T5 14watt Putih; Phillips; ;")</f>
        <v>Lampu T5 14watt Putih; Phillips; ;</v>
      </c>
      <c r="E560" s="6">
        <f>IFERROR(__xludf.DUMMYFUNCTION("""COMPUTED_VALUE"""),7.0)</f>
        <v>7</v>
      </c>
      <c r="F560" s="6">
        <f>IFERROR(__xludf.DUMMYFUNCTION("""COMPUTED_VALUE"""),3.0)</f>
        <v>3</v>
      </c>
      <c r="G560" s="6">
        <f>IFERROR(__xludf.DUMMYFUNCTION("""COMPUTED_VALUE"""),0.0)</f>
        <v>0</v>
      </c>
      <c r="H560" s="6" t="str">
        <f>IFERROR(__xludf.DUMMYFUNCTION("""COMPUTED_VALUE"""),"pcs")</f>
        <v>pcs</v>
      </c>
      <c r="I560" s="6" t="str">
        <f>IFERROR(__xludf.DUMMYFUNCTION("""COMPUTED_VALUE"""),"MFH")</f>
        <v>MFH</v>
      </c>
      <c r="J560" s="6" t="str">
        <f>IFERROR(__xludf.DUMMYFUNCTION("""COMPUTED_VALUE"""),"Building")</f>
        <v>Building</v>
      </c>
      <c r="K560" s="6" t="str">
        <f>IFERROR(__xludf.DUMMYFUNCTION("""COMPUTED_VALUE"""),"SPR/01/24/046")</f>
        <v>SPR/01/24/046</v>
      </c>
      <c r="L560" s="13">
        <f>IFERROR(__xludf.DUMMYFUNCTION("""COMPUTED_VALUE"""),45313.0)</f>
        <v>45313</v>
      </c>
    </row>
    <row r="561">
      <c r="A561" s="6" t="str">
        <f>IFERROR(__xludf.DUMMYFUNCTION("""COMPUTED_VALUE"""),"NDS")</f>
        <v>NDS</v>
      </c>
      <c r="B561" s="6" t="str">
        <f>IFERROR(__xludf.DUMMYFUNCTION("""COMPUTED_VALUE"""),"ENG")</f>
        <v>ENG</v>
      </c>
      <c r="C561" s="6" t="str">
        <f>IFERROR(__xludf.DUMMYFUNCTION("""COMPUTED_VALUE"""),"P-12265-00")</f>
        <v>P-12265-00</v>
      </c>
      <c r="D561" s="6" t="str">
        <f>IFERROR(__xludf.DUMMYFUNCTION("""COMPUTED_VALUE"""),"FESTO - Push In Connector QS-8-6 p/n 153038")</f>
        <v>FESTO - Push In Connector QS-8-6 p/n 153038</v>
      </c>
      <c r="E561" s="6">
        <f>IFERROR(__xludf.DUMMYFUNCTION("""COMPUTED_VALUE"""),5.0)</f>
        <v>5</v>
      </c>
      <c r="F561" s="6">
        <f>IFERROR(__xludf.DUMMYFUNCTION("""COMPUTED_VALUE"""),3.0)</f>
        <v>3</v>
      </c>
      <c r="G561" s="6">
        <f>IFERROR(__xludf.DUMMYFUNCTION("""COMPUTED_VALUE"""),0.0)</f>
        <v>0</v>
      </c>
      <c r="H561" s="6" t="str">
        <f>IFERROR(__xludf.DUMMYFUNCTION("""COMPUTED_VALUE"""),"pcs")</f>
        <v>pcs</v>
      </c>
      <c r="I561" s="6" t="str">
        <f>IFERROR(__xludf.DUMMYFUNCTION("""COMPUTED_VALUE"""),"MFH")</f>
        <v>MFH</v>
      </c>
      <c r="J561" s="6" t="str">
        <f>IFERROR(__xludf.DUMMYFUNCTION("""COMPUTED_VALUE"""),"Glove Leak Tester")</f>
        <v>Glove Leak Tester</v>
      </c>
      <c r="K561" s="6" t="str">
        <f>IFERROR(__xludf.DUMMYFUNCTION("""COMPUTED_VALUE"""),"SPR/01/24/047")</f>
        <v>SPR/01/24/047</v>
      </c>
      <c r="L561" s="13">
        <f>IFERROR(__xludf.DUMMYFUNCTION("""COMPUTED_VALUE"""),45313.0)</f>
        <v>45313</v>
      </c>
    </row>
    <row r="562">
      <c r="A562" s="6" t="str">
        <f>IFERROR(__xludf.DUMMYFUNCTION("""COMPUTED_VALUE"""),"NDS")</f>
        <v>NDS</v>
      </c>
      <c r="B562" s="6" t="str">
        <f>IFERROR(__xludf.DUMMYFUNCTION("""COMPUTED_VALUE"""),"ENG")</f>
        <v>ENG</v>
      </c>
      <c r="C562" s="6" t="str">
        <f>IFERROR(__xludf.DUMMYFUNCTION("""COMPUTED_VALUE"""),"O-19287-00")</f>
        <v>O-19287-00</v>
      </c>
      <c r="D562" s="6" t="str">
        <f>IFERROR(__xludf.DUMMYFUNCTION("""COMPUTED_VALUE"""),"Minihelic Differensial Pressure Gauge Model 2-5000-2KPA")</f>
        <v>Minihelic Differensial Pressure Gauge Model 2-5000-2KPA</v>
      </c>
      <c r="E562" s="6">
        <f>IFERROR(__xludf.DUMMYFUNCTION("""COMPUTED_VALUE"""),2.0)</f>
        <v>2</v>
      </c>
      <c r="F562" s="6">
        <f>IFERROR(__xludf.DUMMYFUNCTION("""COMPUTED_VALUE"""),2.0)</f>
        <v>2</v>
      </c>
      <c r="G562" s="6">
        <f>IFERROR(__xludf.DUMMYFUNCTION("""COMPUTED_VALUE"""),0.0)</f>
        <v>0</v>
      </c>
      <c r="H562" s="6" t="str">
        <f>IFERROR(__xludf.DUMMYFUNCTION("""COMPUTED_VALUE"""),"pcs")</f>
        <v>pcs</v>
      </c>
      <c r="I562" s="6" t="str">
        <f>IFERROR(__xludf.DUMMYFUNCTION("""COMPUTED_VALUE"""),"MFH")</f>
        <v>MFH</v>
      </c>
      <c r="J562" s="6" t="str">
        <f>IFERROR(__xludf.DUMMYFUNCTION("""COMPUTED_VALUE"""),"Glove Leak Tester")</f>
        <v>Glove Leak Tester</v>
      </c>
      <c r="K562" s="6" t="str">
        <f>IFERROR(__xludf.DUMMYFUNCTION("""COMPUTED_VALUE"""),"SPR/01/24/048")</f>
        <v>SPR/01/24/048</v>
      </c>
      <c r="L562" s="13">
        <f>IFERROR(__xludf.DUMMYFUNCTION("""COMPUTED_VALUE"""),45313.0)</f>
        <v>45313</v>
      </c>
    </row>
    <row r="563">
      <c r="A563" s="6" t="str">
        <f>IFERROR(__xludf.DUMMYFUNCTION("""COMPUTED_VALUE"""),"NDS")</f>
        <v>NDS</v>
      </c>
      <c r="B563" s="6" t="str">
        <f>IFERROR(__xludf.DUMMYFUNCTION("""COMPUTED_VALUE"""),"ENG")</f>
        <v>ENG</v>
      </c>
      <c r="C563" s="6" t="str">
        <f>IFERROR(__xludf.DUMMYFUNCTION("""COMPUTED_VALUE"""),"O-54115-00")</f>
        <v>O-54115-00</v>
      </c>
      <c r="D563" s="6" t="str">
        <f>IFERROR(__xludf.DUMMYFUNCTION("""COMPUTED_VALUE"""),"Fiber Amplifier -")</f>
        <v>Fiber Amplifier -</v>
      </c>
      <c r="E563" s="6">
        <f>IFERROR(__xludf.DUMMYFUNCTION("""COMPUTED_VALUE"""),1.0)</f>
        <v>1</v>
      </c>
      <c r="F563" s="6">
        <f>IFERROR(__xludf.DUMMYFUNCTION("""COMPUTED_VALUE"""),1.0)</f>
        <v>1</v>
      </c>
      <c r="G563" s="6">
        <f>IFERROR(__xludf.DUMMYFUNCTION("""COMPUTED_VALUE"""),0.0)</f>
        <v>0</v>
      </c>
      <c r="H563" s="6" t="str">
        <f>IFERROR(__xludf.DUMMYFUNCTION("""COMPUTED_VALUE"""),"pcs")</f>
        <v>pcs</v>
      </c>
      <c r="I563" s="6" t="str">
        <f>IFERROR(__xludf.DUMMYFUNCTION("""COMPUTED_VALUE"""),"MFH")</f>
        <v>MFH</v>
      </c>
      <c r="J563" s="6" t="str">
        <f>IFERROR(__xludf.DUMMYFUNCTION("""COMPUTED_VALUE"""),"Capping")</f>
        <v>Capping</v>
      </c>
      <c r="K563" s="6" t="str">
        <f>IFERROR(__xludf.DUMMYFUNCTION("""COMPUTED_VALUE"""),"SPR/01/24/049")</f>
        <v>SPR/01/24/049</v>
      </c>
      <c r="L563" s="13">
        <f>IFERROR(__xludf.DUMMYFUNCTION("""COMPUTED_VALUE"""),45313.0)</f>
        <v>45313</v>
      </c>
    </row>
    <row r="564">
      <c r="A564" s="6" t="str">
        <f>IFERROR(__xludf.DUMMYFUNCTION("""COMPUTED_VALUE"""),"SHF")</f>
        <v>SHF</v>
      </c>
      <c r="B564" s="6" t="str">
        <f>IFERROR(__xludf.DUMMYFUNCTION("""COMPUTED_VALUE"""),"ENG")</f>
        <v>ENG</v>
      </c>
      <c r="C564" s="6" t="str">
        <f>IFERROR(__xludf.DUMMYFUNCTION("""COMPUTED_VALUE"""),"P-51559-00")</f>
        <v>P-51559-00</v>
      </c>
      <c r="D564" s="6" t="str">
        <f>IFERROR(__xludf.DUMMYFUNCTION("""COMPUTED_VALUE"""),"Lampu T5 14watt Putih; Phillips; ;")</f>
        <v>Lampu T5 14watt Putih; Phillips; ;</v>
      </c>
      <c r="E564" s="6">
        <f>IFERROR(__xludf.DUMMYFUNCTION("""COMPUTED_VALUE"""),16.0)</f>
        <v>16</v>
      </c>
      <c r="F564" s="6">
        <f>IFERROR(__xludf.DUMMYFUNCTION("""COMPUTED_VALUE"""),12.0)</f>
        <v>12</v>
      </c>
      <c r="G564" s="6">
        <f>IFERROR(__xludf.DUMMYFUNCTION("""COMPUTED_VALUE"""),0.0)</f>
        <v>0</v>
      </c>
      <c r="H564" s="6" t="str">
        <f>IFERROR(__xludf.DUMMYFUNCTION("""COMPUTED_VALUE"""),"pcs")</f>
        <v>pcs</v>
      </c>
      <c r="I564" s="6" t="str">
        <f>IFERROR(__xludf.DUMMYFUNCTION("""COMPUTED_VALUE"""),"MFH")</f>
        <v>MFH</v>
      </c>
      <c r="J564" s="6" t="str">
        <f>IFERROR(__xludf.DUMMYFUNCTION("""COMPUTED_VALUE"""),"Building")</f>
        <v>Building</v>
      </c>
      <c r="K564" s="6" t="str">
        <f>IFERROR(__xludf.DUMMYFUNCTION("""COMPUTED_VALUE"""),"SPR/01/24/050")</f>
        <v>SPR/01/24/050</v>
      </c>
      <c r="L564" s="13">
        <f>IFERROR(__xludf.DUMMYFUNCTION("""COMPUTED_VALUE"""),45313.0)</f>
        <v>45313</v>
      </c>
    </row>
    <row r="565">
      <c r="A565" s="6" t="str">
        <f>IFERROR(__xludf.DUMMYFUNCTION("""COMPUTED_VALUE"""),"SFH")</f>
        <v>SFH</v>
      </c>
      <c r="B565" s="6" t="str">
        <f>IFERROR(__xludf.DUMMYFUNCTION("""COMPUTED_VALUE"""),"ENG")</f>
        <v>ENG</v>
      </c>
      <c r="C565" s="6" t="str">
        <f>IFERROR(__xludf.DUMMYFUNCTION("""COMPUTED_VALUE"""),"P-51560-00")</f>
        <v>P-51560-00</v>
      </c>
      <c r="D565" s="6" t="str">
        <f>IFERROR(__xludf.DUMMYFUNCTION("""COMPUTED_VALUE"""),"Lampu T5 28watt Putih; Phillips; ;")</f>
        <v>Lampu T5 28watt Putih; Phillips; ;</v>
      </c>
      <c r="E565" s="6">
        <f>IFERROR(__xludf.DUMMYFUNCTION("""COMPUTED_VALUE"""),2.0)</f>
        <v>2</v>
      </c>
      <c r="F565" s="6">
        <f>IFERROR(__xludf.DUMMYFUNCTION("""COMPUTED_VALUE"""),2.0)</f>
        <v>2</v>
      </c>
      <c r="G565" s="6">
        <f>IFERROR(__xludf.DUMMYFUNCTION("""COMPUTED_VALUE"""),0.0)</f>
        <v>0</v>
      </c>
      <c r="H565" s="6" t="str">
        <f>IFERROR(__xludf.DUMMYFUNCTION("""COMPUTED_VALUE"""),"pcs")</f>
        <v>pcs</v>
      </c>
      <c r="I565" s="6" t="str">
        <f>IFERROR(__xludf.DUMMYFUNCTION("""COMPUTED_VALUE"""),"MFH")</f>
        <v>MFH</v>
      </c>
      <c r="J565" s="6" t="str">
        <f>IFERROR(__xludf.DUMMYFUNCTION("""COMPUTED_VALUE"""),"Building")</f>
        <v>Building</v>
      </c>
      <c r="K565" s="6" t="str">
        <f>IFERROR(__xludf.DUMMYFUNCTION("""COMPUTED_VALUE"""),"SPR/01/24/051")</f>
        <v>SPR/01/24/051</v>
      </c>
      <c r="L565" s="13">
        <f>IFERROR(__xludf.DUMMYFUNCTION("""COMPUTED_VALUE"""),45313.0)</f>
        <v>45313</v>
      </c>
    </row>
    <row r="566">
      <c r="A566" s="6" t="str">
        <f>IFERROR(__xludf.DUMMYFUNCTION("""COMPUTED_VALUE"""),"SHF")</f>
        <v>SHF</v>
      </c>
      <c r="B566" s="6" t="str">
        <f>IFERROR(__xludf.DUMMYFUNCTION("""COMPUTED_VALUE"""),"ENG")</f>
        <v>ENG</v>
      </c>
      <c r="C566" s="6" t="str">
        <f>IFERROR(__xludf.DUMMYFUNCTION("""COMPUTED_VALUE"""),"P-51559-00")</f>
        <v>P-51559-00</v>
      </c>
      <c r="D566" s="6" t="str">
        <f>IFERROR(__xludf.DUMMYFUNCTION("""COMPUTED_VALUE"""),"Lampu T5 14watt Putih; Phillips; ;")</f>
        <v>Lampu T5 14watt Putih; Phillips; ;</v>
      </c>
      <c r="E566" s="6">
        <f>IFERROR(__xludf.DUMMYFUNCTION("""COMPUTED_VALUE"""),8.0)</f>
        <v>8</v>
      </c>
      <c r="F566" s="6">
        <f>IFERROR(__xludf.DUMMYFUNCTION("""COMPUTED_VALUE"""),4.0)</f>
        <v>4</v>
      </c>
      <c r="G566" s="6">
        <f>IFERROR(__xludf.DUMMYFUNCTION("""COMPUTED_VALUE"""),0.0)</f>
        <v>0</v>
      </c>
      <c r="H566" s="6" t="str">
        <f>IFERROR(__xludf.DUMMYFUNCTION("""COMPUTED_VALUE"""),"pcs")</f>
        <v>pcs</v>
      </c>
      <c r="I566" s="6" t="str">
        <f>IFERROR(__xludf.DUMMYFUNCTION("""COMPUTED_VALUE"""),"MFH")</f>
        <v>MFH</v>
      </c>
      <c r="J566" s="6" t="str">
        <f>IFERROR(__xludf.DUMMYFUNCTION("""COMPUTED_VALUE"""),"Building")</f>
        <v>Building</v>
      </c>
      <c r="K566" s="6" t="str">
        <f>IFERROR(__xludf.DUMMYFUNCTION("""COMPUTED_VALUE"""),"SPR/01/24/051")</f>
        <v>SPR/01/24/051</v>
      </c>
      <c r="L566" s="13">
        <f>IFERROR(__xludf.DUMMYFUNCTION("""COMPUTED_VALUE"""),45313.0)</f>
        <v>45313</v>
      </c>
    </row>
    <row r="567">
      <c r="A567" s="6" t="str">
        <f>IFERROR(__xludf.DUMMYFUNCTION("""COMPUTED_VALUE"""),"SHF")</f>
        <v>SHF</v>
      </c>
      <c r="B567" s="6" t="str">
        <f>IFERROR(__xludf.DUMMYFUNCTION("""COMPUTED_VALUE"""),"ENG")</f>
        <v>ENG</v>
      </c>
      <c r="C567" s="6" t="str">
        <f>IFERROR(__xludf.DUMMYFUNCTION("""COMPUTED_VALUE"""),"Q-10249-00")</f>
        <v>Q-10249-00</v>
      </c>
      <c r="D567" s="6" t="str">
        <f>IFERROR(__xludf.DUMMYFUNCTION("""COMPUTED_VALUE"""),"Lem Power Glue; ; ;")</f>
        <v>Lem Power Glue; ; ;</v>
      </c>
      <c r="E567" s="6">
        <f>IFERROR(__xludf.DUMMYFUNCTION("""COMPUTED_VALUE"""),3.0)</f>
        <v>3</v>
      </c>
      <c r="F567" s="6">
        <f>IFERROR(__xludf.DUMMYFUNCTION("""COMPUTED_VALUE"""),2.0)</f>
        <v>2</v>
      </c>
      <c r="G567" s="6">
        <f>IFERROR(__xludf.DUMMYFUNCTION("""COMPUTED_VALUE"""),0.0)</f>
        <v>0</v>
      </c>
      <c r="H567" s="6" t="str">
        <f>IFERROR(__xludf.DUMMYFUNCTION("""COMPUTED_VALUE"""),"pcs")</f>
        <v>pcs</v>
      </c>
      <c r="I567" s="6" t="str">
        <f>IFERROR(__xludf.DUMMYFUNCTION("""COMPUTED_VALUE"""),"MFH")</f>
        <v>MFH</v>
      </c>
      <c r="J567" s="6" t="str">
        <f>IFERROR(__xludf.DUMMYFUNCTION("""COMPUTED_VALUE"""),"Building")</f>
        <v>Building</v>
      </c>
      <c r="K567" s="6" t="str">
        <f>IFERROR(__xludf.DUMMYFUNCTION("""COMPUTED_VALUE"""),"SPR/01/24/052")</f>
        <v>SPR/01/24/052</v>
      </c>
      <c r="L567" s="13">
        <f>IFERROR(__xludf.DUMMYFUNCTION("""COMPUTED_VALUE"""),45313.0)</f>
        <v>45313</v>
      </c>
    </row>
    <row r="568">
      <c r="A568" s="6" t="str">
        <f>IFERROR(__xludf.DUMMYFUNCTION("""COMPUTED_VALUE"""),"MOB")</f>
        <v>MOB</v>
      </c>
      <c r="B568" s="6" t="str">
        <f>IFERROR(__xludf.DUMMYFUNCTION("""COMPUTED_VALUE"""),"ENG")</f>
        <v>ENG</v>
      </c>
      <c r="C568" s="6" t="str">
        <f>IFERROR(__xludf.DUMMYFUNCTION("""COMPUTED_VALUE"""),"P-12492-00")</f>
        <v>P-12492-00</v>
      </c>
      <c r="D568" s="6" t="str">
        <f>IFERROR(__xludf.DUMMYFUNCTION("""COMPUTED_VALUE"""),"Mata Bor besi dia 6.5 mm ex NACHI")</f>
        <v>Mata Bor besi dia 6.5 mm ex NACHI</v>
      </c>
      <c r="E568" s="6">
        <f>IFERROR(__xludf.DUMMYFUNCTION("""COMPUTED_VALUE"""),1.0)</f>
        <v>1</v>
      </c>
      <c r="F568" s="6">
        <f>IFERROR(__xludf.DUMMYFUNCTION("""COMPUTED_VALUE"""),1.0)</f>
        <v>1</v>
      </c>
      <c r="G568" s="6">
        <f>IFERROR(__xludf.DUMMYFUNCTION("""COMPUTED_VALUE"""),0.0)</f>
        <v>0</v>
      </c>
      <c r="H568" s="6" t="str">
        <f>IFERROR(__xludf.DUMMYFUNCTION("""COMPUTED_VALUE"""),"pcs")</f>
        <v>pcs</v>
      </c>
      <c r="I568" s="6" t="str">
        <f>IFERROR(__xludf.DUMMYFUNCTION("""COMPUTED_VALUE"""),"MFH")</f>
        <v>MFH</v>
      </c>
      <c r="J568" s="6" t="str">
        <f>IFERROR(__xludf.DUMMYFUNCTION("""COMPUTED_VALUE"""),"-")</f>
        <v>-</v>
      </c>
      <c r="K568" s="6" t="str">
        <f>IFERROR(__xludf.DUMMYFUNCTION("""COMPUTED_VALUE"""),"SPR/01/24/053")</f>
        <v>SPR/01/24/053</v>
      </c>
      <c r="L568" s="13">
        <f>IFERROR(__xludf.DUMMYFUNCTION("""COMPUTED_VALUE"""),45313.0)</f>
        <v>45313</v>
      </c>
    </row>
    <row r="569">
      <c r="A569" s="6" t="str">
        <f>IFERROR(__xludf.DUMMYFUNCTION("""COMPUTED_VALUE"""),"MOB")</f>
        <v>MOB</v>
      </c>
      <c r="B569" s="6" t="str">
        <f>IFERROR(__xludf.DUMMYFUNCTION("""COMPUTED_VALUE"""),"ENG")</f>
        <v>ENG</v>
      </c>
      <c r="C569" s="6" t="str">
        <f>IFERROR(__xludf.DUMMYFUNCTION("""COMPUTED_VALUE"""),"P-12488-00")</f>
        <v>P-12488-00</v>
      </c>
      <c r="D569" s="6" t="str">
        <f>IFERROR(__xludf.DUMMYFUNCTION("""COMPUTED_VALUE"""),"Mata bor besi dia 4 mm ex NACHI")</f>
        <v>Mata bor besi dia 4 mm ex NACHI</v>
      </c>
      <c r="E569" s="6">
        <f>IFERROR(__xludf.DUMMYFUNCTION("""COMPUTED_VALUE"""),2.0)</f>
        <v>2</v>
      </c>
      <c r="F569" s="6">
        <f>IFERROR(__xludf.DUMMYFUNCTION("""COMPUTED_VALUE"""),1.0)</f>
        <v>1</v>
      </c>
      <c r="G569" s="6">
        <f>IFERROR(__xludf.DUMMYFUNCTION("""COMPUTED_VALUE"""),0.0)</f>
        <v>0</v>
      </c>
      <c r="H569" s="6" t="str">
        <f>IFERROR(__xludf.DUMMYFUNCTION("""COMPUTED_VALUE"""),"pcs")</f>
        <v>pcs</v>
      </c>
      <c r="I569" s="6" t="str">
        <f>IFERROR(__xludf.DUMMYFUNCTION("""COMPUTED_VALUE"""),"MFH")</f>
        <v>MFH</v>
      </c>
      <c r="J569" s="6" t="str">
        <f>IFERROR(__xludf.DUMMYFUNCTION("""COMPUTED_VALUE"""),"-")</f>
        <v>-</v>
      </c>
      <c r="K569" s="6" t="str">
        <f>IFERROR(__xludf.DUMMYFUNCTION("""COMPUTED_VALUE"""),"SPR/01/24/053")</f>
        <v>SPR/01/24/053</v>
      </c>
      <c r="L569" s="13">
        <f>IFERROR(__xludf.DUMMYFUNCTION("""COMPUTED_VALUE"""),45313.0)</f>
        <v>45313</v>
      </c>
    </row>
    <row r="570">
      <c r="A570" s="6" t="str">
        <f>IFERROR(__xludf.DUMMYFUNCTION("""COMPUTED_VALUE"""),"SFH")</f>
        <v>SFH</v>
      </c>
      <c r="B570" s="6" t="str">
        <f>IFERROR(__xludf.DUMMYFUNCTION("""COMPUTED_VALUE"""),"ENG")</f>
        <v>ENG</v>
      </c>
      <c r="C570" s="6" t="str">
        <f>IFERROR(__xludf.DUMMYFUNCTION("""COMPUTED_VALUE"""),"P-53102-00")</f>
        <v>P-53102-00</v>
      </c>
      <c r="D570" s="6" t="str">
        <f>IFERROR(__xludf.DUMMYFUNCTION("""COMPUTED_VALUE"""),"Lampu PLC 13watt/E27 Putih; Phillips; ;")</f>
        <v>Lampu PLC 13watt/E27 Putih; Phillips; ;</v>
      </c>
      <c r="E570" s="6">
        <f>IFERROR(__xludf.DUMMYFUNCTION("""COMPUTED_VALUE"""),2.0)</f>
        <v>2</v>
      </c>
      <c r="F570" s="6">
        <f>IFERROR(__xludf.DUMMYFUNCTION("""COMPUTED_VALUE"""),1.0)</f>
        <v>1</v>
      </c>
      <c r="G570" s="6">
        <f>IFERROR(__xludf.DUMMYFUNCTION("""COMPUTED_VALUE"""),0.0)</f>
        <v>0</v>
      </c>
      <c r="H570" s="6" t="str">
        <f>IFERROR(__xludf.DUMMYFUNCTION("""COMPUTED_VALUE"""),"pcs")</f>
        <v>pcs</v>
      </c>
      <c r="I570" s="6" t="str">
        <f>IFERROR(__xludf.DUMMYFUNCTION("""COMPUTED_VALUE"""),"MFH")</f>
        <v>MFH</v>
      </c>
      <c r="J570" s="6" t="str">
        <f>IFERROR(__xludf.DUMMYFUNCTION("""COMPUTED_VALUE"""),"Building")</f>
        <v>Building</v>
      </c>
      <c r="K570" s="6" t="str">
        <f>IFERROR(__xludf.DUMMYFUNCTION("""COMPUTED_VALUE"""),"SPR/01/24/054")</f>
        <v>SPR/01/24/054</v>
      </c>
      <c r="L570" s="13">
        <f>IFERROR(__xludf.DUMMYFUNCTION("""COMPUTED_VALUE"""),45313.0)</f>
        <v>45313</v>
      </c>
    </row>
    <row r="571">
      <c r="A571" s="6" t="str">
        <f>IFERROR(__xludf.DUMMYFUNCTION("""COMPUTED_VALUE"""),"SFH")</f>
        <v>SFH</v>
      </c>
      <c r="B571" s="6" t="str">
        <f>IFERROR(__xludf.DUMMYFUNCTION("""COMPUTED_VALUE"""),"ENG")</f>
        <v>ENG</v>
      </c>
      <c r="C571" s="6" t="str">
        <f>IFERROR(__xludf.DUMMYFUNCTION("""COMPUTED_VALUE"""),"P-51559-00")</f>
        <v>P-51559-00</v>
      </c>
      <c r="D571" s="6" t="str">
        <f>IFERROR(__xludf.DUMMYFUNCTION("""COMPUTED_VALUE"""),"Lampu T5 14watt Putih; Phillips; ;")</f>
        <v>Lampu T5 14watt Putih; Phillips; ;</v>
      </c>
      <c r="E571" s="6">
        <f>IFERROR(__xludf.DUMMYFUNCTION("""COMPUTED_VALUE"""),4.0)</f>
        <v>4</v>
      </c>
      <c r="F571" s="6">
        <f>IFERROR(__xludf.DUMMYFUNCTION("""COMPUTED_VALUE"""),1.0)</f>
        <v>1</v>
      </c>
      <c r="G571" s="6">
        <f>IFERROR(__xludf.DUMMYFUNCTION("""COMPUTED_VALUE"""),0.0)</f>
        <v>0</v>
      </c>
      <c r="H571" s="6" t="str">
        <f>IFERROR(__xludf.DUMMYFUNCTION("""COMPUTED_VALUE"""),"pcs")</f>
        <v>pcs</v>
      </c>
      <c r="I571" s="6" t="str">
        <f>IFERROR(__xludf.DUMMYFUNCTION("""COMPUTED_VALUE"""),"MFH")</f>
        <v>MFH</v>
      </c>
      <c r="J571" s="6" t="str">
        <f>IFERROR(__xludf.DUMMYFUNCTION("""COMPUTED_VALUE"""),"Building")</f>
        <v>Building</v>
      </c>
      <c r="K571" s="6" t="str">
        <f>IFERROR(__xludf.DUMMYFUNCTION("""COMPUTED_VALUE"""),"SPR/01/24/054")</f>
        <v>SPR/01/24/054</v>
      </c>
      <c r="L571" s="13">
        <f>IFERROR(__xludf.DUMMYFUNCTION("""COMPUTED_VALUE"""),45313.0)</f>
        <v>45313</v>
      </c>
    </row>
    <row r="572">
      <c r="A572" s="6" t="str">
        <f>IFERROR(__xludf.DUMMYFUNCTION("""COMPUTED_VALUE"""),"SFH")</f>
        <v>SFH</v>
      </c>
      <c r="B572" s="6" t="str">
        <f>IFERROR(__xludf.DUMMYFUNCTION("""COMPUTED_VALUE"""),"ENG")</f>
        <v>ENG</v>
      </c>
      <c r="C572" s="6" t="str">
        <f>IFERROR(__xludf.DUMMYFUNCTION("""COMPUTED_VALUE"""),"Q-10154-00")</f>
        <v>Q-10154-00</v>
      </c>
      <c r="D572" s="6" t="str">
        <f>IFERROR(__xludf.DUMMYFUNCTION("""COMPUTED_VALUE"""),"Roller cat 230mm")</f>
        <v>Roller cat 230mm</v>
      </c>
      <c r="E572" s="6">
        <f>IFERROR(__xludf.DUMMYFUNCTION("""COMPUTED_VALUE"""),1.0)</f>
        <v>1</v>
      </c>
      <c r="F572" s="6">
        <f>IFERROR(__xludf.DUMMYFUNCTION("""COMPUTED_VALUE"""),1.0)</f>
        <v>1</v>
      </c>
      <c r="G572" s="6">
        <f>IFERROR(__xludf.DUMMYFUNCTION("""COMPUTED_VALUE"""),0.0)</f>
        <v>0</v>
      </c>
      <c r="H572" s="6" t="str">
        <f>IFERROR(__xludf.DUMMYFUNCTION("""COMPUTED_VALUE"""),"pcs")</f>
        <v>pcs</v>
      </c>
      <c r="I572" s="6" t="str">
        <f>IFERROR(__xludf.DUMMYFUNCTION("""COMPUTED_VALUE"""),"MFH")</f>
        <v>MFH</v>
      </c>
      <c r="J572" s="6" t="str">
        <f>IFERROR(__xludf.DUMMYFUNCTION("""COMPUTED_VALUE"""),"-")</f>
        <v>-</v>
      </c>
      <c r="K572" s="6" t="str">
        <f>IFERROR(__xludf.DUMMYFUNCTION("""COMPUTED_VALUE"""),"SPR/01/24/055")</f>
        <v>SPR/01/24/055</v>
      </c>
      <c r="L572" s="13">
        <f>IFERROR(__xludf.DUMMYFUNCTION("""COMPUTED_VALUE"""),45313.0)</f>
        <v>45313</v>
      </c>
    </row>
    <row r="573">
      <c r="A573" s="6" t="str">
        <f>IFERROR(__xludf.DUMMYFUNCTION("""COMPUTED_VALUE"""),"SFH")</f>
        <v>SFH</v>
      </c>
      <c r="B573" s="6" t="str">
        <f>IFERROR(__xludf.DUMMYFUNCTION("""COMPUTED_VALUE"""),"ENG")</f>
        <v>ENG</v>
      </c>
      <c r="C573" s="6" t="str">
        <f>IFERROR(__xludf.DUMMYFUNCTION("""COMPUTED_VALUE"""),"P-15852-00")</f>
        <v>P-15852-00</v>
      </c>
      <c r="D573" s="6" t="str">
        <f>IFERROR(__xludf.DUMMYFUNCTION("""COMPUTED_VALUE"""),"AMPLAS EAGLE 500")</f>
        <v>AMPLAS EAGLE 500</v>
      </c>
      <c r="E573" s="6">
        <f>IFERROR(__xludf.DUMMYFUNCTION("""COMPUTED_VALUE"""),1.0)</f>
        <v>1</v>
      </c>
      <c r="F573" s="6">
        <f>IFERROR(__xludf.DUMMYFUNCTION("""COMPUTED_VALUE"""),1.0)</f>
        <v>1</v>
      </c>
      <c r="G573" s="6">
        <f>IFERROR(__xludf.DUMMYFUNCTION("""COMPUTED_VALUE"""),0.0)</f>
        <v>0</v>
      </c>
      <c r="H573" s="6" t="str">
        <f>IFERROR(__xludf.DUMMYFUNCTION("""COMPUTED_VALUE"""),"pcs")</f>
        <v>pcs</v>
      </c>
      <c r="I573" s="6" t="str">
        <f>IFERROR(__xludf.DUMMYFUNCTION("""COMPUTED_VALUE"""),"MFH")</f>
        <v>MFH</v>
      </c>
      <c r="J573" s="6" t="str">
        <f>IFERROR(__xludf.DUMMYFUNCTION("""COMPUTED_VALUE"""),"-")</f>
        <v>-</v>
      </c>
      <c r="K573" s="6" t="str">
        <f>IFERROR(__xludf.DUMMYFUNCTION("""COMPUTED_VALUE"""),"SPR/01/24/055")</f>
        <v>SPR/01/24/055</v>
      </c>
      <c r="L573" s="13">
        <f>IFERROR(__xludf.DUMMYFUNCTION("""COMPUTED_VALUE"""),45313.0)</f>
        <v>45313</v>
      </c>
    </row>
    <row r="574">
      <c r="A574" s="6" t="str">
        <f>IFERROR(__xludf.DUMMYFUNCTION("""COMPUTED_VALUE"""),"SFH")</f>
        <v>SFH</v>
      </c>
      <c r="B574" s="6" t="str">
        <f>IFERROR(__xludf.DUMMYFUNCTION("""COMPUTED_VALUE"""),"ENG")</f>
        <v>ENG</v>
      </c>
      <c r="C574" s="6" t="str">
        <f>IFERROR(__xludf.DUMMYFUNCTION("""COMPUTED_VALUE"""),"P-51560-00")</f>
        <v>P-51560-00</v>
      </c>
      <c r="D574" s="6" t="str">
        <f>IFERROR(__xludf.DUMMYFUNCTION("""COMPUTED_VALUE"""),"Lampu T5 28watt Putih; Phillips; ;")</f>
        <v>Lampu T5 28watt Putih; Phillips; ;</v>
      </c>
      <c r="E574" s="6">
        <f>IFERROR(__xludf.DUMMYFUNCTION("""COMPUTED_VALUE"""),2.0)</f>
        <v>2</v>
      </c>
      <c r="F574" s="6">
        <f>IFERROR(__xludf.DUMMYFUNCTION("""COMPUTED_VALUE"""),2.0)</f>
        <v>2</v>
      </c>
      <c r="G574" s="6">
        <f>IFERROR(__xludf.DUMMYFUNCTION("""COMPUTED_VALUE"""),0.0)</f>
        <v>0</v>
      </c>
      <c r="H574" s="6" t="str">
        <f>IFERROR(__xludf.DUMMYFUNCTION("""COMPUTED_VALUE"""),"pcs")</f>
        <v>pcs</v>
      </c>
      <c r="I574" s="6" t="str">
        <f>IFERROR(__xludf.DUMMYFUNCTION("""COMPUTED_VALUE"""),"MFH")</f>
        <v>MFH</v>
      </c>
      <c r="J574" s="6" t="str">
        <f>IFERROR(__xludf.DUMMYFUNCTION("""COMPUTED_VALUE"""),"Building")</f>
        <v>Building</v>
      </c>
      <c r="K574" s="6" t="str">
        <f>IFERROR(__xludf.DUMMYFUNCTION("""COMPUTED_VALUE"""),"SPR/01/24/056")</f>
        <v>SPR/01/24/056</v>
      </c>
      <c r="L574" s="13">
        <f>IFERROR(__xludf.DUMMYFUNCTION("""COMPUTED_VALUE"""),45313.0)</f>
        <v>45313</v>
      </c>
    </row>
    <row r="575">
      <c r="A575" s="6" t="str">
        <f>IFERROR(__xludf.DUMMYFUNCTION("""COMPUTED_VALUE"""),"SFH")</f>
        <v>SFH</v>
      </c>
      <c r="B575" s="6" t="str">
        <f>IFERROR(__xludf.DUMMYFUNCTION("""COMPUTED_VALUE"""),"ENG")</f>
        <v>ENG</v>
      </c>
      <c r="C575" s="6" t="str">
        <f>IFERROR(__xludf.DUMMYFUNCTION("""COMPUTED_VALUE"""),"P-51559-00")</f>
        <v>P-51559-00</v>
      </c>
      <c r="D575" s="6" t="str">
        <f>IFERROR(__xludf.DUMMYFUNCTION("""COMPUTED_VALUE"""),"Lampu T5 14watt Putih; Phillips; ;")</f>
        <v>Lampu T5 14watt Putih; Phillips; ;</v>
      </c>
      <c r="E575" s="6">
        <f>IFERROR(__xludf.DUMMYFUNCTION("""COMPUTED_VALUE"""),7.0)</f>
        <v>7</v>
      </c>
      <c r="F575" s="6">
        <f>IFERROR(__xludf.DUMMYFUNCTION("""COMPUTED_VALUE"""),3.0)</f>
        <v>3</v>
      </c>
      <c r="G575" s="6">
        <f>IFERROR(__xludf.DUMMYFUNCTION("""COMPUTED_VALUE"""),0.0)</f>
        <v>0</v>
      </c>
      <c r="H575" s="6" t="str">
        <f>IFERROR(__xludf.DUMMYFUNCTION("""COMPUTED_VALUE"""),"pcs")</f>
        <v>pcs</v>
      </c>
      <c r="I575" s="6" t="str">
        <f>IFERROR(__xludf.DUMMYFUNCTION("""COMPUTED_VALUE"""),"MFH")</f>
        <v>MFH</v>
      </c>
      <c r="J575" s="6" t="str">
        <f>IFERROR(__xludf.DUMMYFUNCTION("""COMPUTED_VALUE"""),"Building")</f>
        <v>Building</v>
      </c>
      <c r="K575" s="6" t="str">
        <f>IFERROR(__xludf.DUMMYFUNCTION("""COMPUTED_VALUE"""),"SPR/01/24/056")</f>
        <v>SPR/01/24/056</v>
      </c>
      <c r="L575" s="13">
        <f>IFERROR(__xludf.DUMMYFUNCTION("""COMPUTED_VALUE"""),45313.0)</f>
        <v>45313</v>
      </c>
    </row>
    <row r="576">
      <c r="A576" s="6" t="str">
        <f>IFERROR(__xludf.DUMMYFUNCTION("""COMPUTED_VALUE"""),"NDS")</f>
        <v>NDS</v>
      </c>
      <c r="B576" s="6" t="str">
        <f>IFERROR(__xludf.DUMMYFUNCTION("""COMPUTED_VALUE"""),"ENG")</f>
        <v>ENG</v>
      </c>
      <c r="C576" s="6" t="str">
        <f>IFERROR(__xludf.DUMMYFUNCTION("""COMPUTED_VALUE"""),"O-51157-00")</f>
        <v>O-51157-00</v>
      </c>
      <c r="D576" s="6" t="str">
        <f>IFERROR(__xludf.DUMMYFUNCTION("""COMPUTED_VALUE"""),"Fuse Keramik 6A 10x38")</f>
        <v>Fuse Keramik 6A 10x38</v>
      </c>
      <c r="E576" s="6">
        <f>IFERROR(__xludf.DUMMYFUNCTION("""COMPUTED_VALUE"""),1.0)</f>
        <v>1</v>
      </c>
      <c r="F576" s="6">
        <f>IFERROR(__xludf.DUMMYFUNCTION("""COMPUTED_VALUE"""),1.0)</f>
        <v>1</v>
      </c>
      <c r="G576" s="6">
        <f>IFERROR(__xludf.DUMMYFUNCTION("""COMPUTED_VALUE"""),0.0)</f>
        <v>0</v>
      </c>
      <c r="H576" s="6" t="str">
        <f>IFERROR(__xludf.DUMMYFUNCTION("""COMPUTED_VALUE"""),"pcs")</f>
        <v>pcs</v>
      </c>
      <c r="I576" s="6" t="str">
        <f>IFERROR(__xludf.DUMMYFUNCTION("""COMPUTED_VALUE"""),"MFH")</f>
        <v>MFH</v>
      </c>
      <c r="J576" s="6" t="str">
        <f>IFERROR(__xludf.DUMMYFUNCTION("""COMPUTED_VALUE"""),"Air Shower")</f>
        <v>Air Shower</v>
      </c>
      <c r="K576" s="6" t="str">
        <f>IFERROR(__xludf.DUMMYFUNCTION("""COMPUTED_VALUE"""),"SPR/01/24/057")</f>
        <v>SPR/01/24/057</v>
      </c>
      <c r="L576" s="13">
        <f>IFERROR(__xludf.DUMMYFUNCTION("""COMPUTED_VALUE"""),45313.0)</f>
        <v>45313</v>
      </c>
    </row>
    <row r="577">
      <c r="A577" s="6" t="str">
        <f>IFERROR(__xludf.DUMMYFUNCTION("""COMPUTED_VALUE"""),"ABA")</f>
        <v>ABA</v>
      </c>
      <c r="B577" s="6" t="str">
        <f>IFERROR(__xludf.DUMMYFUNCTION("""COMPUTED_VALUE"""),"QAS")</f>
        <v>QAS</v>
      </c>
      <c r="C577" s="6" t="str">
        <f>IFERROR(__xludf.DUMMYFUNCTION("""COMPUTED_VALUE"""),"Q-10249-00")</f>
        <v>Q-10249-00</v>
      </c>
      <c r="D577" s="6" t="str">
        <f>IFERROR(__xludf.DUMMYFUNCTION("""COMPUTED_VALUE"""),"Lem Power Glue; ; ;")</f>
        <v>Lem Power Glue; ; ;</v>
      </c>
      <c r="E577" s="6">
        <f>IFERROR(__xludf.DUMMYFUNCTION("""COMPUTED_VALUE"""),2.0)</f>
        <v>2</v>
      </c>
      <c r="F577" s="6">
        <f>IFERROR(__xludf.DUMMYFUNCTION("""COMPUTED_VALUE"""),1.0)</f>
        <v>1</v>
      </c>
      <c r="G577" s="6">
        <f>IFERROR(__xludf.DUMMYFUNCTION("""COMPUTED_VALUE"""),0.0)</f>
        <v>0</v>
      </c>
      <c r="H577" s="6" t="str">
        <f>IFERROR(__xludf.DUMMYFUNCTION("""COMPUTED_VALUE"""),"pcs")</f>
        <v>pcs</v>
      </c>
      <c r="I577" s="6" t="str">
        <f>IFERROR(__xludf.DUMMYFUNCTION("""COMPUTED_VALUE"""),"MFH")</f>
        <v>MFH</v>
      </c>
      <c r="J577" s="6" t="str">
        <f>IFERROR(__xludf.DUMMYFUNCTION("""COMPUTED_VALUE"""),"-")</f>
        <v>-</v>
      </c>
      <c r="K577" s="6" t="str">
        <f>IFERROR(__xludf.DUMMYFUNCTION("""COMPUTED_VALUE"""),"SPR/01/24/058")</f>
        <v>SPR/01/24/058</v>
      </c>
      <c r="L577" s="13">
        <f>IFERROR(__xludf.DUMMYFUNCTION("""COMPUTED_VALUE"""),45313.0)</f>
        <v>45313</v>
      </c>
    </row>
    <row r="578">
      <c r="A578" s="6" t="str">
        <f>IFERROR(__xludf.DUMMYFUNCTION("""COMPUTED_VALUE"""),"RIA")</f>
        <v>RIA</v>
      </c>
      <c r="B578" s="6" t="str">
        <f>IFERROR(__xludf.DUMMYFUNCTION("""COMPUTED_VALUE"""),"ENG")</f>
        <v>ENG</v>
      </c>
      <c r="C578" s="6" t="str">
        <f>IFERROR(__xludf.DUMMYFUNCTION("""COMPUTED_VALUE"""),"P-50140-00")</f>
        <v>P-50140-00</v>
      </c>
      <c r="D578" s="6" t="str">
        <f>IFERROR(__xludf.DUMMYFUNCTION("""COMPUTED_VALUE"""),"Battery UPS - Battery kering Merk YUASA 12V 9AH")</f>
        <v>Battery UPS - Battery kering Merk YUASA 12V 9AH</v>
      </c>
      <c r="E578" s="6">
        <f>IFERROR(__xludf.DUMMYFUNCTION("""COMPUTED_VALUE"""),20.0)</f>
        <v>20</v>
      </c>
      <c r="F578" s="6">
        <f>IFERROR(__xludf.DUMMYFUNCTION("""COMPUTED_VALUE"""),20.0)</f>
        <v>20</v>
      </c>
      <c r="G578" s="6">
        <f>IFERROR(__xludf.DUMMYFUNCTION("""COMPUTED_VALUE"""),0.0)</f>
        <v>0</v>
      </c>
      <c r="H578" s="6" t="str">
        <f>IFERROR(__xludf.DUMMYFUNCTION("""COMPUTED_VALUE"""),"pcs")</f>
        <v>pcs</v>
      </c>
      <c r="I578" s="6" t="str">
        <f>IFERROR(__xludf.DUMMYFUNCTION("""COMPUTED_VALUE"""),"MFH")</f>
        <v>MFH</v>
      </c>
      <c r="J578" s="6" t="str">
        <f>IFERROR(__xludf.DUMMYFUNCTION("""COMPUTED_VALUE"""),"UPS 40KVA")</f>
        <v>UPS 40KVA</v>
      </c>
      <c r="K578" s="6" t="str">
        <f>IFERROR(__xludf.DUMMYFUNCTION("""COMPUTED_VALUE"""),"SPR/01/24/059")</f>
        <v>SPR/01/24/059</v>
      </c>
      <c r="L578" s="13">
        <f>IFERROR(__xludf.DUMMYFUNCTION("""COMPUTED_VALUE"""),45314.0)</f>
        <v>45314</v>
      </c>
    </row>
    <row r="579">
      <c r="A579" s="6" t="str">
        <f>IFERROR(__xludf.DUMMYFUNCTION("""COMPUTED_VALUE"""),"MFH")</f>
        <v>MFH</v>
      </c>
      <c r="B579" s="6" t="str">
        <f>IFERROR(__xludf.DUMMYFUNCTION("""COMPUTED_VALUE"""),"ENG")</f>
        <v>ENG</v>
      </c>
      <c r="C579" s="6" t="str">
        <f>IFERROR(__xludf.DUMMYFUNCTION("""COMPUTED_VALUE"""),"O-11149-00")</f>
        <v>O-11149-00</v>
      </c>
      <c r="D579" s="6" t="str">
        <f>IFERROR(__xludf.DUMMYFUNCTION("""COMPUTED_VALUE"""),"Bearing 6202 ZZ")</f>
        <v>Bearing 6202 ZZ</v>
      </c>
      <c r="E579" s="6">
        <f>IFERROR(__xludf.DUMMYFUNCTION("""COMPUTED_VALUE"""),1.0)</f>
        <v>1</v>
      </c>
      <c r="F579" s="6">
        <f>IFERROR(__xludf.DUMMYFUNCTION("""COMPUTED_VALUE"""),1.0)</f>
        <v>1</v>
      </c>
      <c r="G579" s="6">
        <f>IFERROR(__xludf.DUMMYFUNCTION("""COMPUTED_VALUE"""),0.0)</f>
        <v>0</v>
      </c>
      <c r="H579" s="6" t="str">
        <f>IFERROR(__xludf.DUMMYFUNCTION("""COMPUTED_VALUE"""),"pcs")</f>
        <v>pcs</v>
      </c>
      <c r="I579" s="6" t="str">
        <f>IFERROR(__xludf.DUMMYFUNCTION("""COMPUTED_VALUE"""),"MFH")</f>
        <v>MFH</v>
      </c>
      <c r="J579" s="6" t="str">
        <f>IFERROR(__xludf.DUMMYFUNCTION("""COMPUTED_VALUE"""),"-")</f>
        <v>-</v>
      </c>
      <c r="K579" s="6" t="str">
        <f>IFERROR(__xludf.DUMMYFUNCTION("""COMPUTED_VALUE"""),"SPR/02/24/001")</f>
        <v>SPR/02/24/001</v>
      </c>
      <c r="L579" s="13">
        <f>IFERROR(__xludf.DUMMYFUNCTION("""COMPUTED_VALUE"""),45348.0)</f>
        <v>45348</v>
      </c>
    </row>
    <row r="580">
      <c r="A580" s="6" t="str">
        <f>IFERROR(__xludf.DUMMYFUNCTION("""COMPUTED_VALUE"""),"MFH")</f>
        <v>MFH</v>
      </c>
      <c r="B580" s="6" t="str">
        <f>IFERROR(__xludf.DUMMYFUNCTION("""COMPUTED_VALUE"""),"ENG")</f>
        <v>ENG</v>
      </c>
      <c r="C580" s="6" t="str">
        <f>IFERROR(__xludf.DUMMYFUNCTION("""COMPUTED_VALUE"""),"O-11181-00")</f>
        <v>O-11181-00</v>
      </c>
      <c r="D580" s="6" t="str">
        <f>IFERROR(__xludf.DUMMYFUNCTION("""COMPUTED_VALUE"""),"Bearing 626-2Z")</f>
        <v>Bearing 626-2Z</v>
      </c>
      <c r="E580" s="6">
        <f>IFERROR(__xludf.DUMMYFUNCTION("""COMPUTED_VALUE"""),20.0)</f>
        <v>20</v>
      </c>
      <c r="F580" s="6">
        <f>IFERROR(__xludf.DUMMYFUNCTION("""COMPUTED_VALUE"""),20.0)</f>
        <v>20</v>
      </c>
      <c r="G580" s="6">
        <f>IFERROR(__xludf.DUMMYFUNCTION("""COMPUTED_VALUE"""),0.0)</f>
        <v>0</v>
      </c>
      <c r="H580" s="6" t="str">
        <f>IFERROR(__xludf.DUMMYFUNCTION("""COMPUTED_VALUE"""),"pcs")</f>
        <v>pcs</v>
      </c>
      <c r="I580" s="6" t="str">
        <f>IFERROR(__xludf.DUMMYFUNCTION("""COMPUTED_VALUE"""),"MFH")</f>
        <v>MFH</v>
      </c>
      <c r="J580" s="6" t="str">
        <f>IFERROR(__xludf.DUMMYFUNCTION("""COMPUTED_VALUE"""),"-")</f>
        <v>-</v>
      </c>
      <c r="K580" s="6" t="str">
        <f>IFERROR(__xludf.DUMMYFUNCTION("""COMPUTED_VALUE"""),"SPR/02/24/001")</f>
        <v>SPR/02/24/001</v>
      </c>
      <c r="L580" s="13">
        <f>IFERROR(__xludf.DUMMYFUNCTION("""COMPUTED_VALUE"""),45348.0)</f>
        <v>45348</v>
      </c>
    </row>
    <row r="581">
      <c r="A581" s="6" t="str">
        <f>IFERROR(__xludf.DUMMYFUNCTION("""COMPUTED_VALUE"""),"MFH")</f>
        <v>MFH</v>
      </c>
      <c r="B581" s="6" t="str">
        <f>IFERROR(__xludf.DUMMYFUNCTION("""COMPUTED_VALUE"""),"ENG")</f>
        <v>ENG</v>
      </c>
      <c r="C581" s="6" t="str">
        <f>IFERROR(__xludf.DUMMYFUNCTION("""COMPUTED_VALUE"""),"O-14619-00")</f>
        <v>O-14619-00</v>
      </c>
      <c r="D581" s="6" t="str">
        <f>IFERROR(__xludf.DUMMYFUNCTION("""COMPUTED_VALUE"""),"Pressure reducer 1/2"" Gas connection, with manometer 0-12 bar")</f>
        <v>Pressure reducer 1/2" Gas connection, with manometer 0-12 bar</v>
      </c>
      <c r="E581" s="6">
        <f>IFERROR(__xludf.DUMMYFUNCTION("""COMPUTED_VALUE"""),1.0)</f>
        <v>1</v>
      </c>
      <c r="F581" s="6">
        <f>IFERROR(__xludf.DUMMYFUNCTION("""COMPUTED_VALUE"""),1.0)</f>
        <v>1</v>
      </c>
      <c r="G581" s="6">
        <f>IFERROR(__xludf.DUMMYFUNCTION("""COMPUTED_VALUE"""),0.0)</f>
        <v>0</v>
      </c>
      <c r="H581" s="6" t="str">
        <f>IFERROR(__xludf.DUMMYFUNCTION("""COMPUTED_VALUE"""),"pcs")</f>
        <v>pcs</v>
      </c>
      <c r="I581" s="6" t="str">
        <f>IFERROR(__xludf.DUMMYFUNCTION("""COMPUTED_VALUE"""),"MFH")</f>
        <v>MFH</v>
      </c>
      <c r="J581" s="6" t="str">
        <f>IFERROR(__xludf.DUMMYFUNCTION("""COMPUTED_VALUE"""),"-")</f>
        <v>-</v>
      </c>
      <c r="K581" s="6" t="str">
        <f>IFERROR(__xludf.DUMMYFUNCTION("""COMPUTED_VALUE"""),"SPR/02/24/001")</f>
        <v>SPR/02/24/001</v>
      </c>
      <c r="L581" s="13">
        <f>IFERROR(__xludf.DUMMYFUNCTION("""COMPUTED_VALUE"""),45348.0)</f>
        <v>45348</v>
      </c>
    </row>
    <row r="582">
      <c r="A582" s="6" t="str">
        <f>IFERROR(__xludf.DUMMYFUNCTION("""COMPUTED_VALUE"""),"MFH")</f>
        <v>MFH</v>
      </c>
      <c r="B582" s="6" t="str">
        <f>IFERROR(__xludf.DUMMYFUNCTION("""COMPUTED_VALUE"""),"ENG")</f>
        <v>ENG</v>
      </c>
      <c r="C582" s="6" t="str">
        <f>IFERROR(__xludf.DUMMYFUNCTION("""COMPUTED_VALUE"""),"O-18120-00")</f>
        <v>O-18120-00</v>
      </c>
      <c r="D582" s="6" t="str">
        <f>IFERROR(__xludf.DUMMYFUNCTION("""COMPUTED_VALUE"""),"Capping VCM200 - Lock Nut Cramping")</f>
        <v>Capping VCM200 - Lock Nut Cramping</v>
      </c>
      <c r="E582" s="6">
        <f>IFERROR(__xludf.DUMMYFUNCTION("""COMPUTED_VALUE"""),5.0)</f>
        <v>5</v>
      </c>
      <c r="F582" s="6">
        <f>IFERROR(__xludf.DUMMYFUNCTION("""COMPUTED_VALUE"""),5.0)</f>
        <v>5</v>
      </c>
      <c r="G582" s="6">
        <f>IFERROR(__xludf.DUMMYFUNCTION("""COMPUTED_VALUE"""),0.0)</f>
        <v>0</v>
      </c>
      <c r="H582" s="6" t="str">
        <f>IFERROR(__xludf.DUMMYFUNCTION("""COMPUTED_VALUE"""),"pcs")</f>
        <v>pcs</v>
      </c>
      <c r="I582" s="6" t="str">
        <f>IFERROR(__xludf.DUMMYFUNCTION("""COMPUTED_VALUE"""),"MFH")</f>
        <v>MFH</v>
      </c>
      <c r="J582" s="6" t="str">
        <f>IFERROR(__xludf.DUMMYFUNCTION("""COMPUTED_VALUE"""),"-")</f>
        <v>-</v>
      </c>
      <c r="K582" s="6" t="str">
        <f>IFERROR(__xludf.DUMMYFUNCTION("""COMPUTED_VALUE"""),"SPR/02/24/002")</f>
        <v>SPR/02/24/002</v>
      </c>
      <c r="L582" s="13">
        <f>IFERROR(__xludf.DUMMYFUNCTION("""COMPUTED_VALUE"""),45348.0)</f>
        <v>45348</v>
      </c>
    </row>
    <row r="583">
      <c r="A583" s="6" t="str">
        <f>IFERROR(__xludf.DUMMYFUNCTION("""COMPUTED_VALUE"""),"MFH")</f>
        <v>MFH</v>
      </c>
      <c r="B583" s="6" t="str">
        <f>IFERROR(__xludf.DUMMYFUNCTION("""COMPUTED_VALUE"""),"ENG")</f>
        <v>ENG</v>
      </c>
      <c r="C583" s="6" t="str">
        <f>IFERROR(__xludf.DUMMYFUNCTION("""COMPUTED_VALUE"""),"O-54015-00")</f>
        <v>O-54015-00</v>
      </c>
      <c r="D583" s="6" t="str">
        <f>IFERROR(__xludf.DUMMYFUNCTION("""COMPUTED_VALUE"""),"STOP KONTAK LUBANG 4, BROCO")</f>
        <v>STOP KONTAK LUBANG 4, BROCO</v>
      </c>
      <c r="E583" s="6">
        <f>IFERROR(__xludf.DUMMYFUNCTION("""COMPUTED_VALUE"""),2.0)</f>
        <v>2</v>
      </c>
      <c r="F583" s="6">
        <f>IFERROR(__xludf.DUMMYFUNCTION("""COMPUTED_VALUE"""),2.0)</f>
        <v>2</v>
      </c>
      <c r="G583" s="6">
        <f>IFERROR(__xludf.DUMMYFUNCTION("""COMPUTED_VALUE"""),0.0)</f>
        <v>0</v>
      </c>
      <c r="H583" s="6" t="str">
        <f>IFERROR(__xludf.DUMMYFUNCTION("""COMPUTED_VALUE"""),"pcs")</f>
        <v>pcs</v>
      </c>
      <c r="I583" s="6" t="str">
        <f>IFERROR(__xludf.DUMMYFUNCTION("""COMPUTED_VALUE"""),"MFH")</f>
        <v>MFH</v>
      </c>
      <c r="J583" s="6" t="str">
        <f>IFERROR(__xludf.DUMMYFUNCTION("""COMPUTED_VALUE"""),"-")</f>
        <v>-</v>
      </c>
      <c r="K583" s="6" t="str">
        <f>IFERROR(__xludf.DUMMYFUNCTION("""COMPUTED_VALUE"""),"SPR/02/24/002")</f>
        <v>SPR/02/24/002</v>
      </c>
      <c r="L583" s="13">
        <f>IFERROR(__xludf.DUMMYFUNCTION("""COMPUTED_VALUE"""),45348.0)</f>
        <v>45348</v>
      </c>
    </row>
    <row r="584">
      <c r="A584" s="6" t="str">
        <f>IFERROR(__xludf.DUMMYFUNCTION("""COMPUTED_VALUE"""),"MFH")</f>
        <v>MFH</v>
      </c>
      <c r="B584" s="6" t="str">
        <f>IFERROR(__xludf.DUMMYFUNCTION("""COMPUTED_VALUE"""),"ENG")</f>
        <v>ENG</v>
      </c>
      <c r="C584" s="6" t="str">
        <f>IFERROR(__xludf.DUMMYFUNCTION("""COMPUTED_VALUE"""),"P-10726-00")</f>
        <v>P-10726-00</v>
      </c>
      <c r="D584" s="6" t="str">
        <f>IFERROR(__xludf.DUMMYFUNCTION("""COMPUTED_VALUE"""),"Cleaner - Contact Cleaner CRC CO 2016 500 ml")</f>
        <v>Cleaner - Contact Cleaner CRC CO 2016 500 ml</v>
      </c>
      <c r="E584" s="6">
        <f>IFERROR(__xludf.DUMMYFUNCTION("""COMPUTED_VALUE"""),1.0)</f>
        <v>1</v>
      </c>
      <c r="F584" s="6">
        <f>IFERROR(__xludf.DUMMYFUNCTION("""COMPUTED_VALUE"""),1.0)</f>
        <v>1</v>
      </c>
      <c r="G584" s="6">
        <f>IFERROR(__xludf.DUMMYFUNCTION("""COMPUTED_VALUE"""),0.0)</f>
        <v>0</v>
      </c>
      <c r="H584" s="6" t="str">
        <f>IFERROR(__xludf.DUMMYFUNCTION("""COMPUTED_VALUE"""),"pcs")</f>
        <v>pcs</v>
      </c>
      <c r="I584" s="6" t="str">
        <f>IFERROR(__xludf.DUMMYFUNCTION("""COMPUTED_VALUE"""),"MFH")</f>
        <v>MFH</v>
      </c>
      <c r="J584" s="6" t="str">
        <f>IFERROR(__xludf.DUMMYFUNCTION("""COMPUTED_VALUE"""),"-")</f>
        <v>-</v>
      </c>
      <c r="K584" s="6" t="str">
        <f>IFERROR(__xludf.DUMMYFUNCTION("""COMPUTED_VALUE"""),"SPR/02/24/002")</f>
        <v>SPR/02/24/002</v>
      </c>
      <c r="L584" s="13">
        <f>IFERROR(__xludf.DUMMYFUNCTION("""COMPUTED_VALUE"""),45348.0)</f>
        <v>45348</v>
      </c>
    </row>
    <row r="585">
      <c r="A585" s="6" t="str">
        <f>IFERROR(__xludf.DUMMYFUNCTION("""COMPUTED_VALUE"""),"MFH")</f>
        <v>MFH</v>
      </c>
      <c r="B585" s="6" t="str">
        <f>IFERROR(__xludf.DUMMYFUNCTION("""COMPUTED_VALUE"""),"ENG")</f>
        <v>ENG</v>
      </c>
      <c r="C585" s="6" t="str">
        <f>IFERROR(__xludf.DUMMYFUNCTION("""COMPUTED_VALUE"""),"P-51811-00")</f>
        <v>P-51811-00</v>
      </c>
      <c r="D585" s="6" t="str">
        <f>IFERROR(__xludf.DUMMYFUNCTION("""COMPUTED_VALUE"""),"Modul emergency exit")</f>
        <v>Modul emergency exit</v>
      </c>
      <c r="E585" s="6">
        <f>IFERROR(__xludf.DUMMYFUNCTION("""COMPUTED_VALUE"""),1.0)</f>
        <v>1</v>
      </c>
      <c r="F585" s="6">
        <f>IFERROR(__xludf.DUMMYFUNCTION("""COMPUTED_VALUE"""),1.0)</f>
        <v>1</v>
      </c>
      <c r="G585" s="6">
        <f>IFERROR(__xludf.DUMMYFUNCTION("""COMPUTED_VALUE"""),0.0)</f>
        <v>0</v>
      </c>
      <c r="H585" s="6" t="str">
        <f>IFERROR(__xludf.DUMMYFUNCTION("""COMPUTED_VALUE"""),"pcs")</f>
        <v>pcs</v>
      </c>
      <c r="I585" s="6" t="str">
        <f>IFERROR(__xludf.DUMMYFUNCTION("""COMPUTED_VALUE"""),"MFH")</f>
        <v>MFH</v>
      </c>
      <c r="J585" s="6" t="str">
        <f>IFERROR(__xludf.DUMMYFUNCTION("""COMPUTED_VALUE"""),"-")</f>
        <v>-</v>
      </c>
      <c r="K585" s="6" t="str">
        <f>IFERROR(__xludf.DUMMYFUNCTION("""COMPUTED_VALUE"""),"SPR/02/24/003")</f>
        <v>SPR/02/24/003</v>
      </c>
      <c r="L585" s="13">
        <f>IFERROR(__xludf.DUMMYFUNCTION("""COMPUTED_VALUE"""),45348.0)</f>
        <v>45348</v>
      </c>
    </row>
    <row r="586">
      <c r="A586" s="6" t="str">
        <f>IFERROR(__xludf.DUMMYFUNCTION("""COMPUTED_VALUE"""),"MFH")</f>
        <v>MFH</v>
      </c>
      <c r="B586" s="6" t="str">
        <f>IFERROR(__xludf.DUMMYFUNCTION("""COMPUTED_VALUE"""),"ENG")</f>
        <v>ENG</v>
      </c>
      <c r="C586" s="6" t="str">
        <f>IFERROR(__xludf.DUMMYFUNCTION("""COMPUTED_VALUE"""),"P-18618-00")</f>
        <v>P-18618-00</v>
      </c>
      <c r="D586" s="6" t="str">
        <f>IFERROR(__xludf.DUMMYFUNCTION("""COMPUTED_VALUE"""),"Chemicals Kuclean HL-351 @20 liter; ; ;")</f>
        <v>Chemicals Kuclean HL-351 @20 liter; ; ;</v>
      </c>
      <c r="E586" s="6">
        <f>IFERROR(__xludf.DUMMYFUNCTION("""COMPUTED_VALUE"""),9.0)</f>
        <v>9</v>
      </c>
      <c r="F586" s="6">
        <f>IFERROR(__xludf.DUMMYFUNCTION("""COMPUTED_VALUE"""),9.0)</f>
        <v>9</v>
      </c>
      <c r="G586" s="6">
        <f>IFERROR(__xludf.DUMMYFUNCTION("""COMPUTED_VALUE"""),0.0)</f>
        <v>0</v>
      </c>
      <c r="H586" s="6" t="str">
        <f>IFERROR(__xludf.DUMMYFUNCTION("""COMPUTED_VALUE"""),"pcs")</f>
        <v>pcs</v>
      </c>
      <c r="I586" s="6" t="str">
        <f>IFERROR(__xludf.DUMMYFUNCTION("""COMPUTED_VALUE"""),"MFH")</f>
        <v>MFH</v>
      </c>
      <c r="J586" s="6" t="str">
        <f>IFERROR(__xludf.DUMMYFUNCTION("""COMPUTED_VALUE"""),"-")</f>
        <v>-</v>
      </c>
      <c r="K586" s="6" t="str">
        <f>IFERROR(__xludf.DUMMYFUNCTION("""COMPUTED_VALUE"""),"SPR/02/24/003")</f>
        <v>SPR/02/24/003</v>
      </c>
      <c r="L586" s="13">
        <f>IFERROR(__xludf.DUMMYFUNCTION("""COMPUTED_VALUE"""),45348.0)</f>
        <v>45348</v>
      </c>
    </row>
    <row r="587">
      <c r="A587" s="6" t="str">
        <f>IFERROR(__xludf.DUMMYFUNCTION("""COMPUTED_VALUE"""),"MFH")</f>
        <v>MFH</v>
      </c>
      <c r="B587" s="6" t="str">
        <f>IFERROR(__xludf.DUMMYFUNCTION("""COMPUTED_VALUE"""),"ENG")</f>
        <v>ENG</v>
      </c>
      <c r="C587" s="6" t="str">
        <f>IFERROR(__xludf.DUMMYFUNCTION("""COMPUTED_VALUE"""),"P-11356-00")</f>
        <v>P-11356-00</v>
      </c>
      <c r="D587" s="6" t="str">
        <f>IFERROR(__xludf.DUMMYFUNCTION("""COMPUTED_VALUE"""),"Roda Trolly ABUS 4"" ( 100 x 27 ) Without Breake")</f>
        <v>Roda Trolly ABUS 4" ( 100 x 27 ) Without Breake</v>
      </c>
      <c r="E587" s="6">
        <f>IFERROR(__xludf.DUMMYFUNCTION("""COMPUTED_VALUE"""),4.0)</f>
        <v>4</v>
      </c>
      <c r="F587" s="6">
        <f>IFERROR(__xludf.DUMMYFUNCTION("""COMPUTED_VALUE"""),4.0)</f>
        <v>4</v>
      </c>
      <c r="G587" s="6">
        <f>IFERROR(__xludf.DUMMYFUNCTION("""COMPUTED_VALUE"""),0.0)</f>
        <v>0</v>
      </c>
      <c r="H587" s="6" t="str">
        <f>IFERROR(__xludf.DUMMYFUNCTION("""COMPUTED_VALUE"""),"pcs")</f>
        <v>pcs</v>
      </c>
      <c r="I587" s="6" t="str">
        <f>IFERROR(__xludf.DUMMYFUNCTION("""COMPUTED_VALUE"""),"MFH")</f>
        <v>MFH</v>
      </c>
      <c r="J587" s="6" t="str">
        <f>IFERROR(__xludf.DUMMYFUNCTION("""COMPUTED_VALUE"""),"-")</f>
        <v>-</v>
      </c>
      <c r="K587" s="6" t="str">
        <f>IFERROR(__xludf.DUMMYFUNCTION("""COMPUTED_VALUE"""),"SPR/02/24/003")</f>
        <v>SPR/02/24/003</v>
      </c>
      <c r="L587" s="13">
        <f>IFERROR(__xludf.DUMMYFUNCTION("""COMPUTED_VALUE"""),45348.0)</f>
        <v>45348</v>
      </c>
    </row>
    <row r="588">
      <c r="A588" s="6" t="str">
        <f>IFERROR(__xludf.DUMMYFUNCTION("""COMPUTED_VALUE"""),"AAA")</f>
        <v>AAA</v>
      </c>
      <c r="B588" s="6" t="str">
        <f>IFERROR(__xludf.DUMMYFUNCTION("""COMPUTED_VALUE"""),"ENG")</f>
        <v>ENG</v>
      </c>
      <c r="C588" s="6" t="str">
        <f>IFERROR(__xludf.DUMMYFUNCTION("""COMPUTED_VALUE"""),"-")</f>
        <v>-</v>
      </c>
      <c r="D588" s="6" t="str">
        <f>IFERROR(__xludf.DUMMYFUNCTION("""COMPUTED_VALUE"""),"Relay 24 VDC MY4N; Omron")</f>
        <v>Relay 24 VDC MY4N; Omron</v>
      </c>
      <c r="E588" s="6">
        <f>IFERROR(__xludf.DUMMYFUNCTION("""COMPUTED_VALUE"""),2.0)</f>
        <v>2</v>
      </c>
      <c r="F588" s="6">
        <f>IFERROR(__xludf.DUMMYFUNCTION("""COMPUTED_VALUE"""),2.0)</f>
        <v>2</v>
      </c>
      <c r="G588" s="6">
        <f>IFERROR(__xludf.DUMMYFUNCTION("""COMPUTED_VALUE"""),0.0)</f>
        <v>0</v>
      </c>
      <c r="H588" s="6" t="str">
        <f>IFERROR(__xludf.DUMMYFUNCTION("""COMPUTED_VALUE"""),"Pcs")</f>
        <v>Pcs</v>
      </c>
      <c r="I588" s="6" t="str">
        <f>IFERROR(__xludf.DUMMYFUNCTION("""COMPUTED_VALUE"""),"MFH")</f>
        <v>MFH</v>
      </c>
      <c r="J588" s="6" t="str">
        <f>IFERROR(__xludf.DUMMYFUNCTION("""COMPUTED_VALUE"""),"Lab")</f>
        <v>Lab</v>
      </c>
      <c r="K588" s="6" t="str">
        <f>IFERROR(__xludf.DUMMYFUNCTION("""COMPUTED_VALUE"""),"SPR/02/24/004")</f>
        <v>SPR/02/24/004</v>
      </c>
      <c r="L588" s="13">
        <f>IFERROR(__xludf.DUMMYFUNCTION("""COMPUTED_VALUE"""),45348.0)</f>
        <v>45348</v>
      </c>
    </row>
    <row r="589">
      <c r="A589" s="6" t="str">
        <f>IFERROR(__xludf.DUMMYFUNCTION("""COMPUTED_VALUE"""),"AAA")</f>
        <v>AAA</v>
      </c>
      <c r="B589" s="6" t="str">
        <f>IFERROR(__xludf.DUMMYFUNCTION("""COMPUTED_VALUE"""),"ENG")</f>
        <v>ENG</v>
      </c>
      <c r="C589" s="6" t="str">
        <f>IFERROR(__xludf.DUMMYFUNCTION("""COMPUTED_VALUE"""),"-")</f>
        <v>-</v>
      </c>
      <c r="D589" s="6" t="str">
        <f>IFERROR(__xludf.DUMMYFUNCTION("""COMPUTED_VALUE"""),"Socket Relay")</f>
        <v>Socket Relay</v>
      </c>
      <c r="E589" s="6">
        <f>IFERROR(__xludf.DUMMYFUNCTION("""COMPUTED_VALUE"""),1.0)</f>
        <v>1</v>
      </c>
      <c r="F589" s="6">
        <f>IFERROR(__xludf.DUMMYFUNCTION("""COMPUTED_VALUE"""),1.0)</f>
        <v>1</v>
      </c>
      <c r="G589" s="6">
        <f>IFERROR(__xludf.DUMMYFUNCTION("""COMPUTED_VALUE"""),0.0)</f>
        <v>0</v>
      </c>
      <c r="H589" s="6" t="str">
        <f>IFERROR(__xludf.DUMMYFUNCTION("""COMPUTED_VALUE"""),"Pcs")</f>
        <v>Pcs</v>
      </c>
      <c r="I589" s="6" t="str">
        <f>IFERROR(__xludf.DUMMYFUNCTION("""COMPUTED_VALUE"""),"MFH")</f>
        <v>MFH</v>
      </c>
      <c r="J589" s="6" t="str">
        <f>IFERROR(__xludf.DUMMYFUNCTION("""COMPUTED_VALUE"""),"Lab")</f>
        <v>Lab</v>
      </c>
      <c r="K589" s="6" t="str">
        <f>IFERROR(__xludf.DUMMYFUNCTION("""COMPUTED_VALUE"""),"SPR/02/24/004")</f>
        <v>SPR/02/24/004</v>
      </c>
      <c r="L589" s="13">
        <f>IFERROR(__xludf.DUMMYFUNCTION("""COMPUTED_VALUE"""),45348.0)</f>
        <v>45348</v>
      </c>
    </row>
    <row r="590">
      <c r="A590" s="6" t="str">
        <f>IFERROR(__xludf.DUMMYFUNCTION("""COMPUTED_VALUE"""),"SFH")</f>
        <v>SFH</v>
      </c>
      <c r="B590" s="6" t="str">
        <f>IFERROR(__xludf.DUMMYFUNCTION("""COMPUTED_VALUE"""),"ENG")</f>
        <v>ENG</v>
      </c>
      <c r="C590" s="6" t="str">
        <f>IFERROR(__xludf.DUMMYFUNCTION("""COMPUTED_VALUE"""),"P-53169-00")</f>
        <v>P-53169-00</v>
      </c>
      <c r="D590" s="6" t="str">
        <f>IFERROR(__xludf.DUMMYFUNCTION("""COMPUTED_VALUE"""),"Ballast Electronic EB-C 228 TL5, 2x28W; Phillips; ;")</f>
        <v>Ballast Electronic EB-C 228 TL5, 2x28W; Phillips; ;</v>
      </c>
      <c r="E590" s="6">
        <f>IFERROR(__xludf.DUMMYFUNCTION("""COMPUTED_VALUE"""),2.0)</f>
        <v>2</v>
      </c>
      <c r="F590" s="6">
        <f>IFERROR(__xludf.DUMMYFUNCTION("""COMPUTED_VALUE"""),2.0)</f>
        <v>2</v>
      </c>
      <c r="G590" s="6">
        <f>IFERROR(__xludf.DUMMYFUNCTION("""COMPUTED_VALUE"""),0.0)</f>
        <v>0</v>
      </c>
      <c r="H590" s="6" t="str">
        <f>IFERROR(__xludf.DUMMYFUNCTION("""COMPUTED_VALUE"""),"Pcs")</f>
        <v>Pcs</v>
      </c>
      <c r="I590" s="6" t="str">
        <f>IFERROR(__xludf.DUMMYFUNCTION("""COMPUTED_VALUE"""),"MFH")</f>
        <v>MFH</v>
      </c>
      <c r="J590" s="6" t="str">
        <f>IFERROR(__xludf.DUMMYFUNCTION("""COMPUTED_VALUE"""),"Building")</f>
        <v>Building</v>
      </c>
      <c r="K590" s="6" t="str">
        <f>IFERROR(__xludf.DUMMYFUNCTION("""COMPUTED_VALUE"""),"SPR/02/24/005")</f>
        <v>SPR/02/24/005</v>
      </c>
      <c r="L590" s="13">
        <f>IFERROR(__xludf.DUMMYFUNCTION("""COMPUTED_VALUE"""),45348.0)</f>
        <v>45348</v>
      </c>
    </row>
    <row r="591">
      <c r="A591" s="6" t="str">
        <f>IFERROR(__xludf.DUMMYFUNCTION("""COMPUTED_VALUE"""),"MOB")</f>
        <v>MOB</v>
      </c>
      <c r="B591" s="6" t="str">
        <f>IFERROR(__xludf.DUMMYFUNCTION("""COMPUTED_VALUE"""),"ENG")</f>
        <v>ENG</v>
      </c>
      <c r="C591" s="6" t="str">
        <f>IFERROR(__xludf.DUMMYFUNCTION("""COMPUTED_VALUE"""),"O-54014-00")</f>
        <v>O-54014-00</v>
      </c>
      <c r="D591" s="6" t="str">
        <f>IFERROR(__xludf.DUMMYFUNCTION("""COMPUTED_VALUE"""),"STEKER 1 PHASE, BROCO")</f>
        <v>STEKER 1 PHASE, BROCO</v>
      </c>
      <c r="E591" s="6">
        <f>IFERROR(__xludf.DUMMYFUNCTION("""COMPUTED_VALUE"""),1.0)</f>
        <v>1</v>
      </c>
      <c r="F591" s="6">
        <f>IFERROR(__xludf.DUMMYFUNCTION("""COMPUTED_VALUE"""),1.0)</f>
        <v>1</v>
      </c>
      <c r="G591" s="6">
        <f>IFERROR(__xludf.DUMMYFUNCTION("""COMPUTED_VALUE"""),0.0)</f>
        <v>0</v>
      </c>
      <c r="H591" s="6" t="str">
        <f>IFERROR(__xludf.DUMMYFUNCTION("""COMPUTED_VALUE"""),"Pcs")</f>
        <v>Pcs</v>
      </c>
      <c r="I591" s="6" t="str">
        <f>IFERROR(__xludf.DUMMYFUNCTION("""COMPUTED_VALUE"""),"MFH")</f>
        <v>MFH</v>
      </c>
      <c r="J591" s="6" t="str">
        <f>IFERROR(__xludf.DUMMYFUNCTION("""COMPUTED_VALUE"""),"Building")</f>
        <v>Building</v>
      </c>
      <c r="K591" s="6" t="str">
        <f>IFERROR(__xludf.DUMMYFUNCTION("""COMPUTED_VALUE"""),"SPR/02/24/006")</f>
        <v>SPR/02/24/006</v>
      </c>
      <c r="L591" s="13">
        <f>IFERROR(__xludf.DUMMYFUNCTION("""COMPUTED_VALUE"""),45348.0)</f>
        <v>45348</v>
      </c>
    </row>
    <row r="592">
      <c r="A592" s="6" t="str">
        <f>IFERROR(__xludf.DUMMYFUNCTION("""COMPUTED_VALUE"""),"SFH")</f>
        <v>SFH</v>
      </c>
      <c r="B592" s="6" t="str">
        <f>IFERROR(__xludf.DUMMYFUNCTION("""COMPUTED_VALUE"""),"ENG")</f>
        <v>ENG</v>
      </c>
      <c r="C592" s="6" t="str">
        <f>IFERROR(__xludf.DUMMYFUNCTION("""COMPUTED_VALUE"""),"P-51559-00")</f>
        <v>P-51559-00</v>
      </c>
      <c r="D592" s="6" t="str">
        <f>IFERROR(__xludf.DUMMYFUNCTION("""COMPUTED_VALUE"""),"Lampu T5 14watt Putih; Phillips; ;")</f>
        <v>Lampu T5 14watt Putih; Phillips; ;</v>
      </c>
      <c r="E592" s="6">
        <f>IFERROR(__xludf.DUMMYFUNCTION("""COMPUTED_VALUE"""),1.0)</f>
        <v>1</v>
      </c>
      <c r="F592" s="6">
        <f>IFERROR(__xludf.DUMMYFUNCTION("""COMPUTED_VALUE"""),1.0)</f>
        <v>1</v>
      </c>
      <c r="G592" s="6">
        <f>IFERROR(__xludf.DUMMYFUNCTION("""COMPUTED_VALUE"""),0.0)</f>
        <v>0</v>
      </c>
      <c r="H592" s="6" t="str">
        <f>IFERROR(__xludf.DUMMYFUNCTION("""COMPUTED_VALUE"""),"Pcs")</f>
        <v>Pcs</v>
      </c>
      <c r="I592" s="6" t="str">
        <f>IFERROR(__xludf.DUMMYFUNCTION("""COMPUTED_VALUE"""),"MFH")</f>
        <v>MFH</v>
      </c>
      <c r="J592" s="6" t="str">
        <f>IFERROR(__xludf.DUMMYFUNCTION("""COMPUTED_VALUE"""),"Building")</f>
        <v>Building</v>
      </c>
      <c r="K592" s="6" t="str">
        <f>IFERROR(__xludf.DUMMYFUNCTION("""COMPUTED_VALUE"""),"SPR/02/24/007")</f>
        <v>SPR/02/24/007</v>
      </c>
      <c r="L592" s="13">
        <f>IFERROR(__xludf.DUMMYFUNCTION("""COMPUTED_VALUE"""),45348.0)</f>
        <v>45348</v>
      </c>
    </row>
    <row r="593">
      <c r="A593" s="6" t="str">
        <f>IFERROR(__xludf.DUMMYFUNCTION("""COMPUTED_VALUE"""),"RIA")</f>
        <v>RIA</v>
      </c>
      <c r="B593" s="6" t="str">
        <f>IFERROR(__xludf.DUMMYFUNCTION("""COMPUTED_VALUE"""),"ENG")</f>
        <v>ENG</v>
      </c>
      <c r="C593" s="6" t="str">
        <f>IFERROR(__xludf.DUMMYFUNCTION("""COMPUTED_VALUE"""),"O-54014-00")</f>
        <v>O-54014-00</v>
      </c>
      <c r="D593" s="6" t="str">
        <f>IFERROR(__xludf.DUMMYFUNCTION("""COMPUTED_VALUE"""),"STEKER 1 PHASE, BROCO")</f>
        <v>STEKER 1 PHASE, BROCO</v>
      </c>
      <c r="E593" s="6">
        <f>IFERROR(__xludf.DUMMYFUNCTION("""COMPUTED_VALUE"""),2.0)</f>
        <v>2</v>
      </c>
      <c r="F593" s="6">
        <f>IFERROR(__xludf.DUMMYFUNCTION("""COMPUTED_VALUE"""),1.0)</f>
        <v>1</v>
      </c>
      <c r="G593" s="6">
        <f>IFERROR(__xludf.DUMMYFUNCTION("""COMPUTED_VALUE"""),0.0)</f>
        <v>0</v>
      </c>
      <c r="H593" s="6" t="str">
        <f>IFERROR(__xludf.DUMMYFUNCTION("""COMPUTED_VALUE"""),"Pcs")</f>
        <v>Pcs</v>
      </c>
      <c r="I593" s="6" t="str">
        <f>IFERROR(__xludf.DUMMYFUNCTION("""COMPUTED_VALUE"""),"MFH")</f>
        <v>MFH</v>
      </c>
      <c r="J593" s="6" t="str">
        <f>IFERROR(__xludf.DUMMYFUNCTION("""COMPUTED_VALUE"""),"Building")</f>
        <v>Building</v>
      </c>
      <c r="K593" s="6" t="str">
        <f>IFERROR(__xludf.DUMMYFUNCTION("""COMPUTED_VALUE"""),"SPR/02/24/008")</f>
        <v>SPR/02/24/008</v>
      </c>
      <c r="L593" s="13">
        <f>IFERROR(__xludf.DUMMYFUNCTION("""COMPUTED_VALUE"""),45348.0)</f>
        <v>45348</v>
      </c>
    </row>
    <row r="594">
      <c r="A594" s="6" t="str">
        <f>IFERROR(__xludf.DUMMYFUNCTION("""COMPUTED_VALUE"""),"RIA")</f>
        <v>RIA</v>
      </c>
      <c r="B594" s="6" t="str">
        <f>IFERROR(__xludf.DUMMYFUNCTION("""COMPUTED_VALUE"""),"ENG")</f>
        <v>ENG</v>
      </c>
      <c r="C594" s="6" t="str">
        <f>IFERROR(__xludf.DUMMYFUNCTION("""COMPUTED_VALUE"""),"P-52665-00")</f>
        <v>P-52665-00</v>
      </c>
      <c r="D594" s="6" t="str">
        <f>IFERROR(__xludf.DUMMYFUNCTION("""COMPUTED_VALUE"""),"Buzzer Electronic Siren PW-235; TAB; ;")</f>
        <v>Buzzer Electronic Siren PW-235; TAB; ;</v>
      </c>
      <c r="E594" s="6">
        <f>IFERROR(__xludf.DUMMYFUNCTION("""COMPUTED_VALUE"""),1.0)</f>
        <v>1</v>
      </c>
      <c r="F594" s="6">
        <f>IFERROR(__xludf.DUMMYFUNCTION("""COMPUTED_VALUE"""),1.0)</f>
        <v>1</v>
      </c>
      <c r="G594" s="6">
        <f>IFERROR(__xludf.DUMMYFUNCTION("""COMPUTED_VALUE"""),0.0)</f>
        <v>0</v>
      </c>
      <c r="H594" s="6" t="str">
        <f>IFERROR(__xludf.DUMMYFUNCTION("""COMPUTED_VALUE"""),"Pcs")</f>
        <v>Pcs</v>
      </c>
      <c r="I594" s="6" t="str">
        <f>IFERROR(__xludf.DUMMYFUNCTION("""COMPUTED_VALUE"""),"MFH")</f>
        <v>MFH</v>
      </c>
      <c r="J594" s="6" t="str">
        <f>IFERROR(__xludf.DUMMYFUNCTION("""COMPUTED_VALUE"""),"Building")</f>
        <v>Building</v>
      </c>
      <c r="K594" s="6" t="str">
        <f>IFERROR(__xludf.DUMMYFUNCTION("""COMPUTED_VALUE"""),"SPR/02/24/008")</f>
        <v>SPR/02/24/008</v>
      </c>
      <c r="L594" s="13">
        <f>IFERROR(__xludf.DUMMYFUNCTION("""COMPUTED_VALUE"""),45348.0)</f>
        <v>45348</v>
      </c>
    </row>
    <row r="595">
      <c r="A595" s="6" t="str">
        <f>IFERROR(__xludf.DUMMYFUNCTION("""COMPUTED_VALUE"""),"RIA")</f>
        <v>RIA</v>
      </c>
      <c r="B595" s="6" t="str">
        <f>IFERROR(__xludf.DUMMYFUNCTION("""COMPUTED_VALUE"""),"ENG")</f>
        <v>ENG</v>
      </c>
      <c r="C595" s="6" t="str">
        <f>IFERROR(__xludf.DUMMYFUNCTION("""COMPUTED_VALUE"""),"-")</f>
        <v>-</v>
      </c>
      <c r="D595" s="6" t="str">
        <f>IFERROR(__xludf.DUMMYFUNCTION("""COMPUTED_VALUE"""),"Relay 24VDC")</f>
        <v>Relay 24VDC</v>
      </c>
      <c r="E595" s="6">
        <f>IFERROR(__xludf.DUMMYFUNCTION("""COMPUTED_VALUE"""),1.0)</f>
        <v>1</v>
      </c>
      <c r="F595" s="6">
        <f>IFERROR(__xludf.DUMMYFUNCTION("""COMPUTED_VALUE"""),1.0)</f>
        <v>1</v>
      </c>
      <c r="G595" s="6">
        <f>IFERROR(__xludf.DUMMYFUNCTION("""COMPUTED_VALUE"""),0.0)</f>
        <v>0</v>
      </c>
      <c r="H595" s="6" t="str">
        <f>IFERROR(__xludf.DUMMYFUNCTION("""COMPUTED_VALUE"""),"Pcs")</f>
        <v>Pcs</v>
      </c>
      <c r="I595" s="6" t="str">
        <f>IFERROR(__xludf.DUMMYFUNCTION("""COMPUTED_VALUE"""),"MFH")</f>
        <v>MFH</v>
      </c>
      <c r="J595" s="6" t="str">
        <f>IFERROR(__xludf.DUMMYFUNCTION("""COMPUTED_VALUE"""),"N2")</f>
        <v>N2</v>
      </c>
      <c r="K595" s="6" t="str">
        <f>IFERROR(__xludf.DUMMYFUNCTION("""COMPUTED_VALUE"""),"SPR/02/24/009")</f>
        <v>SPR/02/24/009</v>
      </c>
      <c r="L595" s="13">
        <f>IFERROR(__xludf.DUMMYFUNCTION("""COMPUTED_VALUE"""),45348.0)</f>
        <v>45348</v>
      </c>
    </row>
    <row r="596">
      <c r="A596" s="6" t="str">
        <f>IFERROR(__xludf.DUMMYFUNCTION("""COMPUTED_VALUE"""),"RIA")</f>
        <v>RIA</v>
      </c>
      <c r="B596" s="6" t="str">
        <f>IFERROR(__xludf.DUMMYFUNCTION("""COMPUTED_VALUE"""),"ENG")</f>
        <v>ENG</v>
      </c>
      <c r="C596" s="6" t="str">
        <f>IFERROR(__xludf.DUMMYFUNCTION("""COMPUTED_VALUE"""),"O-54137-00")</f>
        <v>O-54137-00</v>
      </c>
      <c r="D596" s="6" t="str">
        <f>IFERROR(__xludf.DUMMYFUNCTION("""COMPUTED_VALUE"""),"Terminal Viking / Terminal Block Size 6 mm; Fort; ;")</f>
        <v>Terminal Viking / Terminal Block Size 6 mm; Fort; ;</v>
      </c>
      <c r="E596" s="6">
        <f>IFERROR(__xludf.DUMMYFUNCTION("""COMPUTED_VALUE"""),5.0)</f>
        <v>5</v>
      </c>
      <c r="F596" s="6">
        <f>IFERROR(__xludf.DUMMYFUNCTION("""COMPUTED_VALUE"""),5.0)</f>
        <v>5</v>
      </c>
      <c r="G596" s="6">
        <f>IFERROR(__xludf.DUMMYFUNCTION("""COMPUTED_VALUE"""),0.0)</f>
        <v>0</v>
      </c>
      <c r="H596" s="6" t="str">
        <f>IFERROR(__xludf.DUMMYFUNCTION("""COMPUTED_VALUE"""),"Pcs")</f>
        <v>Pcs</v>
      </c>
      <c r="I596" s="6" t="str">
        <f>IFERROR(__xludf.DUMMYFUNCTION("""COMPUTED_VALUE"""),"MFH")</f>
        <v>MFH</v>
      </c>
      <c r="J596" s="6" t="str">
        <f>IFERROR(__xludf.DUMMYFUNCTION("""COMPUTED_VALUE"""),"N2")</f>
        <v>N2</v>
      </c>
      <c r="K596" s="6" t="str">
        <f>IFERROR(__xludf.DUMMYFUNCTION("""COMPUTED_VALUE"""),"SPR/02/24/009")</f>
        <v>SPR/02/24/009</v>
      </c>
      <c r="L596" s="13">
        <f>IFERROR(__xludf.DUMMYFUNCTION("""COMPUTED_VALUE"""),45348.0)</f>
        <v>45348</v>
      </c>
    </row>
    <row r="597">
      <c r="A597" s="6" t="str">
        <f>IFERROR(__xludf.DUMMYFUNCTION("""COMPUTED_VALUE"""),"RIA")</f>
        <v>RIA</v>
      </c>
      <c r="B597" s="6" t="str">
        <f>IFERROR(__xludf.DUMMYFUNCTION("""COMPUTED_VALUE"""),"ENG")</f>
        <v>ENG</v>
      </c>
      <c r="C597" s="6" t="str">
        <f>IFERROR(__xludf.DUMMYFUNCTION("""COMPUTED_VALUE"""),"P-51856-00")</f>
        <v>P-51856-00</v>
      </c>
      <c r="D597" s="6" t="str">
        <f>IFERROR(__xludf.DUMMYFUNCTION("""COMPUTED_VALUE"""),"Key Selector Switch S2KR-4CK2AM Autonics; ; ;")</f>
        <v>Key Selector Switch S2KR-4CK2AM Autonics; ; ;</v>
      </c>
      <c r="E597" s="6">
        <f>IFERROR(__xludf.DUMMYFUNCTION("""COMPUTED_VALUE"""),1.0)</f>
        <v>1</v>
      </c>
      <c r="F597" s="6">
        <f>IFERROR(__xludf.DUMMYFUNCTION("""COMPUTED_VALUE"""),1.0)</f>
        <v>1</v>
      </c>
      <c r="G597" s="6">
        <f>IFERROR(__xludf.DUMMYFUNCTION("""COMPUTED_VALUE"""),0.0)</f>
        <v>0</v>
      </c>
      <c r="H597" s="6" t="str">
        <f>IFERROR(__xludf.DUMMYFUNCTION("""COMPUTED_VALUE"""),"Pcs")</f>
        <v>Pcs</v>
      </c>
      <c r="I597" s="6" t="str">
        <f>IFERROR(__xludf.DUMMYFUNCTION("""COMPUTED_VALUE"""),"MFH")</f>
        <v>MFH</v>
      </c>
      <c r="J597" s="6" t="str">
        <f>IFERROR(__xludf.DUMMYFUNCTION("""COMPUTED_VALUE"""),"N2")</f>
        <v>N2</v>
      </c>
      <c r="K597" s="6" t="str">
        <f>IFERROR(__xludf.DUMMYFUNCTION("""COMPUTED_VALUE"""),"SPR/02/24/009")</f>
        <v>SPR/02/24/009</v>
      </c>
      <c r="L597" s="13">
        <f>IFERROR(__xludf.DUMMYFUNCTION("""COMPUTED_VALUE"""),45348.0)</f>
        <v>45348</v>
      </c>
    </row>
    <row r="598">
      <c r="A598" s="6" t="str">
        <f>IFERROR(__xludf.DUMMYFUNCTION("""COMPUTED_VALUE"""),"RIA")</f>
        <v>RIA</v>
      </c>
      <c r="B598" s="6" t="str">
        <f>IFERROR(__xludf.DUMMYFUNCTION("""COMPUTED_VALUE"""),"ENG")</f>
        <v>ENG</v>
      </c>
      <c r="C598" s="6" t="str">
        <f>IFERROR(__xludf.DUMMYFUNCTION("""COMPUTED_VALUE"""),"P-12433-00")</f>
        <v>P-12433-00</v>
      </c>
      <c r="D598" s="6" t="str">
        <f>IFERROR(__xludf.DUMMYFUNCTION("""COMPUTED_VALUE"""),"Isolasi AC- Sansui")</f>
        <v>Isolasi AC- Sansui</v>
      </c>
      <c r="E598" s="6">
        <f>IFERROR(__xludf.DUMMYFUNCTION("""COMPUTED_VALUE"""),3.0)</f>
        <v>3</v>
      </c>
      <c r="F598" s="6">
        <f>IFERROR(__xludf.DUMMYFUNCTION("""COMPUTED_VALUE"""),3.0)</f>
        <v>3</v>
      </c>
      <c r="G598" s="6">
        <f>IFERROR(__xludf.DUMMYFUNCTION("""COMPUTED_VALUE"""),0.0)</f>
        <v>0</v>
      </c>
      <c r="H598" s="6" t="str">
        <f>IFERROR(__xludf.DUMMYFUNCTION("""COMPUTED_VALUE"""),"Pcs")</f>
        <v>Pcs</v>
      </c>
      <c r="I598" s="6" t="str">
        <f>IFERROR(__xludf.DUMMYFUNCTION("""COMPUTED_VALUE"""),"MFH")</f>
        <v>MFH</v>
      </c>
      <c r="J598" s="6" t="str">
        <f>IFERROR(__xludf.DUMMYFUNCTION("""COMPUTED_VALUE"""),"Building")</f>
        <v>Building</v>
      </c>
      <c r="K598" s="6" t="str">
        <f>IFERROR(__xludf.DUMMYFUNCTION("""COMPUTED_VALUE"""),"SPR/02/24/010")</f>
        <v>SPR/02/24/010</v>
      </c>
      <c r="L598" s="13">
        <f>IFERROR(__xludf.DUMMYFUNCTION("""COMPUTED_VALUE"""),45348.0)</f>
        <v>45348</v>
      </c>
    </row>
    <row r="599">
      <c r="A599" s="6" t="str">
        <f>IFERROR(__xludf.DUMMYFUNCTION("""COMPUTED_VALUE"""),"RIA")</f>
        <v>RIA</v>
      </c>
      <c r="B599" s="6" t="str">
        <f>IFERROR(__xludf.DUMMYFUNCTION("""COMPUTED_VALUE"""),"ENG")</f>
        <v>ENG</v>
      </c>
      <c r="C599" s="6" t="str">
        <f>IFERROR(__xludf.DUMMYFUNCTION("""COMPUTED_VALUE"""),"P-12944-00")</f>
        <v>P-12944-00</v>
      </c>
      <c r="D599" s="6" t="str">
        <f>IFERROR(__xludf.DUMMYFUNCTION("""COMPUTED_VALUE"""),"Water mur PVC dia 2inch")</f>
        <v>Water mur PVC dia 2inch</v>
      </c>
      <c r="E599" s="6">
        <f>IFERROR(__xludf.DUMMYFUNCTION("""COMPUTED_VALUE"""),2.0)</f>
        <v>2</v>
      </c>
      <c r="F599" s="6">
        <f>IFERROR(__xludf.DUMMYFUNCTION("""COMPUTED_VALUE"""),2.0)</f>
        <v>2</v>
      </c>
      <c r="G599" s="6">
        <f>IFERROR(__xludf.DUMMYFUNCTION("""COMPUTED_VALUE"""),0.0)</f>
        <v>0</v>
      </c>
      <c r="H599" s="6" t="str">
        <f>IFERROR(__xludf.DUMMYFUNCTION("""COMPUTED_VALUE"""),"Pcs")</f>
        <v>Pcs</v>
      </c>
      <c r="I599" s="6" t="str">
        <f>IFERROR(__xludf.DUMMYFUNCTION("""COMPUTED_VALUE"""),"MFH")</f>
        <v>MFH</v>
      </c>
      <c r="J599" s="6" t="str">
        <f>IFERROR(__xludf.DUMMYFUNCTION("""COMPUTED_VALUE"""),"Building")</f>
        <v>Building</v>
      </c>
      <c r="K599" s="6" t="str">
        <f>IFERROR(__xludf.DUMMYFUNCTION("""COMPUTED_VALUE"""),"SPR/02/24/010")</f>
        <v>SPR/02/24/010</v>
      </c>
      <c r="L599" s="13">
        <f>IFERROR(__xludf.DUMMYFUNCTION("""COMPUTED_VALUE"""),45348.0)</f>
        <v>45348</v>
      </c>
    </row>
    <row r="600">
      <c r="A600" s="6" t="str">
        <f>IFERROR(__xludf.DUMMYFUNCTION("""COMPUTED_VALUE"""),"SFH")</f>
        <v>SFH</v>
      </c>
      <c r="B600" s="6" t="str">
        <f>IFERROR(__xludf.DUMMYFUNCTION("""COMPUTED_VALUE"""),"ENG")</f>
        <v>ENG</v>
      </c>
      <c r="C600" s="6" t="str">
        <f>IFERROR(__xludf.DUMMYFUNCTION("""COMPUTED_VALUE"""),"P-51560-00")</f>
        <v>P-51560-00</v>
      </c>
      <c r="D600" s="6" t="str">
        <f>IFERROR(__xludf.DUMMYFUNCTION("""COMPUTED_VALUE"""),"Lampu T5 28watt Putih; Phillips; ;")</f>
        <v>Lampu T5 28watt Putih; Phillips; ;</v>
      </c>
      <c r="E600" s="6">
        <f>IFERROR(__xludf.DUMMYFUNCTION("""COMPUTED_VALUE"""),1.0)</f>
        <v>1</v>
      </c>
      <c r="F600" s="6">
        <f>IFERROR(__xludf.DUMMYFUNCTION("""COMPUTED_VALUE"""),1.0)</f>
        <v>1</v>
      </c>
      <c r="G600" s="6">
        <f>IFERROR(__xludf.DUMMYFUNCTION("""COMPUTED_VALUE"""),0.0)</f>
        <v>0</v>
      </c>
      <c r="H600" s="6" t="str">
        <f>IFERROR(__xludf.DUMMYFUNCTION("""COMPUTED_VALUE"""),"Pcs")</f>
        <v>Pcs</v>
      </c>
      <c r="I600" s="6" t="str">
        <f>IFERROR(__xludf.DUMMYFUNCTION("""COMPUTED_VALUE"""),"MFH")</f>
        <v>MFH</v>
      </c>
      <c r="J600" s="6" t="str">
        <f>IFERROR(__xludf.DUMMYFUNCTION("""COMPUTED_VALUE"""),"Building")</f>
        <v>Building</v>
      </c>
      <c r="K600" s="6" t="str">
        <f>IFERROR(__xludf.DUMMYFUNCTION("""COMPUTED_VALUE"""),"SPR/02/24/011")</f>
        <v>SPR/02/24/011</v>
      </c>
      <c r="L600" s="13">
        <f>IFERROR(__xludf.DUMMYFUNCTION("""COMPUTED_VALUE"""),45348.0)</f>
        <v>45348</v>
      </c>
    </row>
    <row r="601">
      <c r="A601" s="6" t="str">
        <f>IFERROR(__xludf.DUMMYFUNCTION("""COMPUTED_VALUE"""),"AAA")</f>
        <v>AAA</v>
      </c>
      <c r="B601" s="6" t="str">
        <f>IFERROR(__xludf.DUMMYFUNCTION("""COMPUTED_VALUE"""),"ENG")</f>
        <v>ENG</v>
      </c>
      <c r="C601" s="6" t="str">
        <f>IFERROR(__xludf.DUMMYFUNCTION("""COMPUTED_VALUE"""),"O-52207-00")</f>
        <v>O-52207-00</v>
      </c>
      <c r="D601" s="6" t="str">
        <f>IFERROR(__xludf.DUMMYFUNCTION("""COMPUTED_VALUE"""),"Filling VFM100 - Laser Photoelectric Sensor Head LV-S62 Keyence")</f>
        <v>Filling VFM100 - Laser Photoelectric Sensor Head LV-S62 Keyence</v>
      </c>
      <c r="E601" s="6">
        <f>IFERROR(__xludf.DUMMYFUNCTION("""COMPUTED_VALUE"""),1.0)</f>
        <v>1</v>
      </c>
      <c r="F601" s="6">
        <f>IFERROR(__xludf.DUMMYFUNCTION("""COMPUTED_VALUE"""),1.0)</f>
        <v>1</v>
      </c>
      <c r="G601" s="6">
        <f>IFERROR(__xludf.DUMMYFUNCTION("""COMPUTED_VALUE"""),0.0)</f>
        <v>0</v>
      </c>
      <c r="H601" s="6" t="str">
        <f>IFERROR(__xludf.DUMMYFUNCTION("""COMPUTED_VALUE"""),"Pcs")</f>
        <v>Pcs</v>
      </c>
      <c r="I601" s="6" t="str">
        <f>IFERROR(__xludf.DUMMYFUNCTION("""COMPUTED_VALUE"""),"MFH")</f>
        <v>MFH</v>
      </c>
      <c r="J601" s="6" t="str">
        <f>IFERROR(__xludf.DUMMYFUNCTION("""COMPUTED_VALUE"""),"Filling")</f>
        <v>Filling</v>
      </c>
      <c r="K601" s="6" t="str">
        <f>IFERROR(__xludf.DUMMYFUNCTION("""COMPUTED_VALUE"""),"SPR/02/24/012")</f>
        <v>SPR/02/24/012</v>
      </c>
      <c r="L601" s="13">
        <f>IFERROR(__xludf.DUMMYFUNCTION("""COMPUTED_VALUE"""),45348.0)</f>
        <v>45348</v>
      </c>
    </row>
    <row r="602">
      <c r="A602" s="6" t="str">
        <f>IFERROR(__xludf.DUMMYFUNCTION("""COMPUTED_VALUE"""),"SFH")</f>
        <v>SFH</v>
      </c>
      <c r="B602" s="6" t="str">
        <f>IFERROR(__xludf.DUMMYFUNCTION("""COMPUTED_VALUE"""),"ENG")</f>
        <v>ENG</v>
      </c>
      <c r="C602" s="6" t="str">
        <f>IFERROR(__xludf.DUMMYFUNCTION("""COMPUTED_VALUE"""),"Q-10136-00")</f>
        <v>Q-10136-00</v>
      </c>
      <c r="D602" s="6" t="str">
        <f>IFERROR(__xludf.DUMMYFUNCTION("""COMPUTED_VALUE"""),"TOTO - Kran T23BQ13N")</f>
        <v>TOTO - Kran T23BQ13N</v>
      </c>
      <c r="E602" s="6">
        <f>IFERROR(__xludf.DUMMYFUNCTION("""COMPUTED_VALUE"""),1.0)</f>
        <v>1</v>
      </c>
      <c r="F602" s="6">
        <f>IFERROR(__xludf.DUMMYFUNCTION("""COMPUTED_VALUE"""),1.0)</f>
        <v>1</v>
      </c>
      <c r="G602" s="6">
        <f>IFERROR(__xludf.DUMMYFUNCTION("""COMPUTED_VALUE"""),0.0)</f>
        <v>0</v>
      </c>
      <c r="H602" s="6" t="str">
        <f>IFERROR(__xludf.DUMMYFUNCTION("""COMPUTED_VALUE"""),"Pcs")</f>
        <v>Pcs</v>
      </c>
      <c r="I602" s="6" t="str">
        <f>IFERROR(__xludf.DUMMYFUNCTION("""COMPUTED_VALUE"""),"MFH")</f>
        <v>MFH</v>
      </c>
      <c r="J602" s="6" t="str">
        <f>IFERROR(__xludf.DUMMYFUNCTION("""COMPUTED_VALUE"""),"Building")</f>
        <v>Building</v>
      </c>
      <c r="K602" s="6" t="str">
        <f>IFERROR(__xludf.DUMMYFUNCTION("""COMPUTED_VALUE"""),"SPR/02/24/013")</f>
        <v>SPR/02/24/013</v>
      </c>
      <c r="L602" s="13">
        <f>IFERROR(__xludf.DUMMYFUNCTION("""COMPUTED_VALUE"""),45348.0)</f>
        <v>45348</v>
      </c>
    </row>
    <row r="603">
      <c r="A603" s="6" t="str">
        <f>IFERROR(__xludf.DUMMYFUNCTION("""COMPUTED_VALUE"""),"SFH")</f>
        <v>SFH</v>
      </c>
      <c r="B603" s="6" t="str">
        <f>IFERROR(__xludf.DUMMYFUNCTION("""COMPUTED_VALUE"""),"ENG")</f>
        <v>ENG</v>
      </c>
      <c r="C603" s="6" t="str">
        <f>IFERROR(__xludf.DUMMYFUNCTION("""COMPUTED_VALUE"""),"P-10945-00")</f>
        <v>P-10945-00</v>
      </c>
      <c r="D603" s="6" t="str">
        <f>IFERROR(__xludf.DUMMYFUNCTION("""COMPUTED_VALUE"""),"Insulation - Seal Tape onda")</f>
        <v>Insulation - Seal Tape onda</v>
      </c>
      <c r="E603" s="6">
        <f>IFERROR(__xludf.DUMMYFUNCTION("""COMPUTED_VALUE"""),9.0)</f>
        <v>9</v>
      </c>
      <c r="F603" s="6">
        <f>IFERROR(__xludf.DUMMYFUNCTION("""COMPUTED_VALUE"""),1.0)</f>
        <v>1</v>
      </c>
      <c r="G603" s="6">
        <f>IFERROR(__xludf.DUMMYFUNCTION("""COMPUTED_VALUE"""),0.0)</f>
        <v>0</v>
      </c>
      <c r="H603" s="6" t="str">
        <f>IFERROR(__xludf.DUMMYFUNCTION("""COMPUTED_VALUE"""),"Pcs")</f>
        <v>Pcs</v>
      </c>
      <c r="I603" s="6" t="str">
        <f>IFERROR(__xludf.DUMMYFUNCTION("""COMPUTED_VALUE"""),"MFH")</f>
        <v>MFH</v>
      </c>
      <c r="J603" s="6" t="str">
        <f>IFERROR(__xludf.DUMMYFUNCTION("""COMPUTED_VALUE"""),"Building")</f>
        <v>Building</v>
      </c>
      <c r="K603" s="6" t="str">
        <f>IFERROR(__xludf.DUMMYFUNCTION("""COMPUTED_VALUE"""),"SPR/02/24/013")</f>
        <v>SPR/02/24/013</v>
      </c>
      <c r="L603" s="13">
        <f>IFERROR(__xludf.DUMMYFUNCTION("""COMPUTED_VALUE"""),45348.0)</f>
        <v>45348</v>
      </c>
    </row>
    <row r="604">
      <c r="A604" s="6" t="str">
        <f>IFERROR(__xludf.DUMMYFUNCTION("""COMPUTED_VALUE"""),"NDS")</f>
        <v>NDS</v>
      </c>
      <c r="B604" s="6" t="str">
        <f>IFERROR(__xludf.DUMMYFUNCTION("""COMPUTED_VALUE"""),"ENG")</f>
        <v>ENG</v>
      </c>
      <c r="C604" s="6" t="str">
        <f>IFERROR(__xludf.DUMMYFUNCTION("""COMPUTED_VALUE"""),"P-18467-00")</f>
        <v>P-18467-00</v>
      </c>
      <c r="D604" s="6" t="str">
        <f>IFERROR(__xludf.DUMMYFUNCTION("""COMPUTED_VALUE"""),"Pass Box Stickers JZC-A Kecil")</f>
        <v>Pass Box Stickers JZC-A Kecil</v>
      </c>
      <c r="E604" s="6">
        <f>IFERROR(__xludf.DUMMYFUNCTION("""COMPUTED_VALUE"""),2.0)</f>
        <v>2</v>
      </c>
      <c r="F604" s="6">
        <f>IFERROR(__xludf.DUMMYFUNCTION("""COMPUTED_VALUE"""),2.0)</f>
        <v>2</v>
      </c>
      <c r="G604" s="6">
        <f>IFERROR(__xludf.DUMMYFUNCTION("""COMPUTED_VALUE"""),0.0)</f>
        <v>0</v>
      </c>
      <c r="H604" s="6" t="str">
        <f>IFERROR(__xludf.DUMMYFUNCTION("""COMPUTED_VALUE"""),"Pcs")</f>
        <v>Pcs</v>
      </c>
      <c r="I604" s="6" t="str">
        <f>IFERROR(__xludf.DUMMYFUNCTION("""COMPUTED_VALUE"""),"MFH")</f>
        <v>MFH</v>
      </c>
      <c r="J604" s="6" t="str">
        <f>IFERROR(__xludf.DUMMYFUNCTION("""COMPUTED_VALUE"""),"Lab")</f>
        <v>Lab</v>
      </c>
      <c r="K604" s="6" t="str">
        <f>IFERROR(__xludf.DUMMYFUNCTION("""COMPUTED_VALUE"""),"SPR/02/24/014")</f>
        <v>SPR/02/24/014</v>
      </c>
      <c r="L604" s="13">
        <f>IFERROR(__xludf.DUMMYFUNCTION("""COMPUTED_VALUE"""),45348.0)</f>
        <v>45348</v>
      </c>
    </row>
    <row r="605">
      <c r="A605" s="6" t="str">
        <f>IFERROR(__xludf.DUMMYFUNCTION("""COMPUTED_VALUE"""),"NDS")</f>
        <v>NDS</v>
      </c>
      <c r="B605" s="6" t="str">
        <f>IFERROR(__xludf.DUMMYFUNCTION("""COMPUTED_VALUE"""),"ENG")</f>
        <v>ENG</v>
      </c>
      <c r="C605" s="6" t="str">
        <f>IFERROR(__xludf.DUMMYFUNCTION("""COMPUTED_VALUE"""),"P-11819-00")</f>
        <v>P-11819-00</v>
      </c>
      <c r="D605" s="6" t="str">
        <f>IFERROR(__xludf.DUMMYFUNCTION("""COMPUTED_VALUE"""),"Alumunium duct tape 2 inch")</f>
        <v>Alumunium duct tape 2 inch</v>
      </c>
      <c r="E605" s="6">
        <f>IFERROR(__xludf.DUMMYFUNCTION("""COMPUTED_VALUE"""),2.0)</f>
        <v>2</v>
      </c>
      <c r="F605" s="6">
        <f>IFERROR(__xludf.DUMMYFUNCTION("""COMPUTED_VALUE"""),1.0)</f>
        <v>1</v>
      </c>
      <c r="G605" s="6">
        <f>IFERROR(__xludf.DUMMYFUNCTION("""COMPUTED_VALUE"""),0.0)</f>
        <v>0</v>
      </c>
      <c r="H605" s="6" t="str">
        <f>IFERROR(__xludf.DUMMYFUNCTION("""COMPUTED_VALUE"""),"Pcs")</f>
        <v>Pcs</v>
      </c>
      <c r="I605" s="6" t="str">
        <f>IFERROR(__xludf.DUMMYFUNCTION("""COMPUTED_VALUE"""),"MFH")</f>
        <v>MFH</v>
      </c>
      <c r="J605" s="6" t="str">
        <f>IFERROR(__xludf.DUMMYFUNCTION("""COMPUTED_VALUE"""),"Lab")</f>
        <v>Lab</v>
      </c>
      <c r="K605" s="6" t="str">
        <f>IFERROR(__xludf.DUMMYFUNCTION("""COMPUTED_VALUE"""),"SPR/02/24/014")</f>
        <v>SPR/02/24/014</v>
      </c>
      <c r="L605" s="13">
        <f>IFERROR(__xludf.DUMMYFUNCTION("""COMPUTED_VALUE"""),45348.0)</f>
        <v>45348</v>
      </c>
    </row>
    <row r="606">
      <c r="A606" s="6" t="str">
        <f>IFERROR(__xludf.DUMMYFUNCTION("""COMPUTED_VALUE"""),"NDS")</f>
        <v>NDS</v>
      </c>
      <c r="B606" s="6" t="str">
        <f>IFERROR(__xludf.DUMMYFUNCTION("""COMPUTED_VALUE"""),"ENG")</f>
        <v>ENG</v>
      </c>
      <c r="C606" s="6" t="str">
        <f>IFERROR(__xludf.DUMMYFUNCTION("""COMPUTED_VALUE"""),"P-15852-00")</f>
        <v>P-15852-00</v>
      </c>
      <c r="D606" s="6" t="str">
        <f>IFERROR(__xludf.DUMMYFUNCTION("""COMPUTED_VALUE"""),"AMPLAS EAGLE 500")</f>
        <v>AMPLAS EAGLE 500</v>
      </c>
      <c r="E606" s="6">
        <f>IFERROR(__xludf.DUMMYFUNCTION("""COMPUTED_VALUE"""),4.0)</f>
        <v>4</v>
      </c>
      <c r="F606" s="6">
        <f>IFERROR(__xludf.DUMMYFUNCTION("""COMPUTED_VALUE"""),1.0)</f>
        <v>1</v>
      </c>
      <c r="G606" s="6">
        <f>IFERROR(__xludf.DUMMYFUNCTION("""COMPUTED_VALUE"""),0.0)</f>
        <v>0</v>
      </c>
      <c r="H606" s="6" t="str">
        <f>IFERROR(__xludf.DUMMYFUNCTION("""COMPUTED_VALUE"""),"Pcs")</f>
        <v>Pcs</v>
      </c>
      <c r="I606" s="6" t="str">
        <f>IFERROR(__xludf.DUMMYFUNCTION("""COMPUTED_VALUE"""),"MFH")</f>
        <v>MFH</v>
      </c>
      <c r="J606" s="6" t="str">
        <f>IFERROR(__xludf.DUMMYFUNCTION("""COMPUTED_VALUE"""),"Lab")</f>
        <v>Lab</v>
      </c>
      <c r="K606" s="6" t="str">
        <f>IFERROR(__xludf.DUMMYFUNCTION("""COMPUTED_VALUE"""),"SPR/02/24/014")</f>
        <v>SPR/02/24/014</v>
      </c>
      <c r="L606" s="13">
        <f>IFERROR(__xludf.DUMMYFUNCTION("""COMPUTED_VALUE"""),45348.0)</f>
        <v>45348</v>
      </c>
    </row>
    <row r="607">
      <c r="A607" s="6" t="str">
        <f>IFERROR(__xludf.DUMMYFUNCTION("""COMPUTED_VALUE"""),"NDS")</f>
        <v>NDS</v>
      </c>
      <c r="B607" s="6" t="str">
        <f>IFERROR(__xludf.DUMMYFUNCTION("""COMPUTED_VALUE"""),"ENG")</f>
        <v>ENG</v>
      </c>
      <c r="C607" s="6" t="str">
        <f>IFERROR(__xludf.DUMMYFUNCTION("""COMPUTED_VALUE"""),"P-12223-00")</f>
        <v>P-12223-00</v>
      </c>
      <c r="D607" s="6" t="str">
        <f>IFERROR(__xludf.DUMMYFUNCTION("""COMPUTED_VALUE"""),"FESTO - Blanking plug QSC-6H p/n 153268")</f>
        <v>FESTO - Blanking plug QSC-6H p/n 153268</v>
      </c>
      <c r="E607" s="6">
        <f>IFERROR(__xludf.DUMMYFUNCTION("""COMPUTED_VALUE"""),1.0)</f>
        <v>1</v>
      </c>
      <c r="F607" s="6">
        <f>IFERROR(__xludf.DUMMYFUNCTION("""COMPUTED_VALUE"""),1.0)</f>
        <v>1</v>
      </c>
      <c r="G607" s="6">
        <f>IFERROR(__xludf.DUMMYFUNCTION("""COMPUTED_VALUE"""),0.0)</f>
        <v>0</v>
      </c>
      <c r="H607" s="6" t="str">
        <f>IFERROR(__xludf.DUMMYFUNCTION("""COMPUTED_VALUE"""),"Pcs")</f>
        <v>Pcs</v>
      </c>
      <c r="I607" s="6" t="str">
        <f>IFERROR(__xludf.DUMMYFUNCTION("""COMPUTED_VALUE"""),"MFH")</f>
        <v>MFH</v>
      </c>
      <c r="J607" s="6" t="str">
        <f>IFERROR(__xludf.DUMMYFUNCTION("""COMPUTED_VALUE"""),"Autoclave")</f>
        <v>Autoclave</v>
      </c>
      <c r="K607" s="6" t="str">
        <f>IFERROR(__xludf.DUMMYFUNCTION("""COMPUTED_VALUE"""),"SPR/02/24/015")</f>
        <v>SPR/02/24/015</v>
      </c>
      <c r="L607" s="13">
        <f>IFERROR(__xludf.DUMMYFUNCTION("""COMPUTED_VALUE"""),45348.0)</f>
        <v>45348</v>
      </c>
    </row>
    <row r="608">
      <c r="A608" s="6" t="str">
        <f>IFERROR(__xludf.DUMMYFUNCTION("""COMPUTED_VALUE"""),"SFH")</f>
        <v>SFH</v>
      </c>
      <c r="B608" s="6" t="str">
        <f>IFERROR(__xludf.DUMMYFUNCTION("""COMPUTED_VALUE"""),"ENG")</f>
        <v>ENG</v>
      </c>
      <c r="C608" s="6" t="str">
        <f>IFERROR(__xludf.DUMMYFUNCTION("""COMPUTED_VALUE"""),"P-51559-00")</f>
        <v>P-51559-00</v>
      </c>
      <c r="D608" s="6" t="str">
        <f>IFERROR(__xludf.DUMMYFUNCTION("""COMPUTED_VALUE"""),"Lampu T5 14watt Putih; Phillips; ;")</f>
        <v>Lampu T5 14watt Putih; Phillips; ;</v>
      </c>
      <c r="E608" s="6">
        <f>IFERROR(__xludf.DUMMYFUNCTION("""COMPUTED_VALUE"""),4.0)</f>
        <v>4</v>
      </c>
      <c r="F608" s="6">
        <f>IFERROR(__xludf.DUMMYFUNCTION("""COMPUTED_VALUE"""),7.0)</f>
        <v>7</v>
      </c>
      <c r="G608" s="6">
        <f>IFERROR(__xludf.DUMMYFUNCTION("""COMPUTED_VALUE"""),0.0)</f>
        <v>0</v>
      </c>
      <c r="H608" s="6" t="str">
        <f>IFERROR(__xludf.DUMMYFUNCTION("""COMPUTED_VALUE"""),"Pcs")</f>
        <v>Pcs</v>
      </c>
      <c r="I608" s="6" t="str">
        <f>IFERROR(__xludf.DUMMYFUNCTION("""COMPUTED_VALUE"""),"MFH")</f>
        <v>MFH</v>
      </c>
      <c r="J608" s="6" t="str">
        <f>IFERROR(__xludf.DUMMYFUNCTION("""COMPUTED_VALUE"""),"Building")</f>
        <v>Building</v>
      </c>
      <c r="K608" s="6" t="str">
        <f>IFERROR(__xludf.DUMMYFUNCTION("""COMPUTED_VALUE"""),"SPR/02/24/016")</f>
        <v>SPR/02/24/016</v>
      </c>
      <c r="L608" s="13">
        <f>IFERROR(__xludf.DUMMYFUNCTION("""COMPUTED_VALUE"""),45348.0)</f>
        <v>45348</v>
      </c>
    </row>
    <row r="609">
      <c r="A609" s="6" t="str">
        <f>IFERROR(__xludf.DUMMYFUNCTION("""COMPUTED_VALUE"""),"SFH")</f>
        <v>SFH</v>
      </c>
      <c r="B609" s="6" t="str">
        <f>IFERROR(__xludf.DUMMYFUNCTION("""COMPUTED_VALUE"""),"ENG")</f>
        <v>ENG</v>
      </c>
      <c r="C609" s="6" t="str">
        <f>IFERROR(__xludf.DUMMYFUNCTION("""COMPUTED_VALUE"""),"P-51560-00")</f>
        <v>P-51560-00</v>
      </c>
      <c r="D609" s="6" t="str">
        <f>IFERROR(__xludf.DUMMYFUNCTION("""COMPUTED_VALUE"""),"Lampu T5 28watt Putih; Phillips; ;")</f>
        <v>Lampu T5 28watt Putih; Phillips; ;</v>
      </c>
      <c r="E609" s="6">
        <f>IFERROR(__xludf.DUMMYFUNCTION("""COMPUTED_VALUE"""),2.0)</f>
        <v>2</v>
      </c>
      <c r="F609" s="6">
        <f>IFERROR(__xludf.DUMMYFUNCTION("""COMPUTED_VALUE"""),2.0)</f>
        <v>2</v>
      </c>
      <c r="G609" s="6">
        <f>IFERROR(__xludf.DUMMYFUNCTION("""COMPUTED_VALUE"""),0.0)</f>
        <v>0</v>
      </c>
      <c r="H609" s="6" t="str">
        <f>IFERROR(__xludf.DUMMYFUNCTION("""COMPUTED_VALUE"""),"Pcs")</f>
        <v>Pcs</v>
      </c>
      <c r="I609" s="6" t="str">
        <f>IFERROR(__xludf.DUMMYFUNCTION("""COMPUTED_VALUE"""),"MFH")</f>
        <v>MFH</v>
      </c>
      <c r="J609" s="6" t="str">
        <f>IFERROR(__xludf.DUMMYFUNCTION("""COMPUTED_VALUE"""),"Building")</f>
        <v>Building</v>
      </c>
      <c r="K609" s="6" t="str">
        <f>IFERROR(__xludf.DUMMYFUNCTION("""COMPUTED_VALUE"""),"SPR/02/24/016")</f>
        <v>SPR/02/24/016</v>
      </c>
      <c r="L609" s="13">
        <f>IFERROR(__xludf.DUMMYFUNCTION("""COMPUTED_VALUE"""),45348.0)</f>
        <v>45348</v>
      </c>
    </row>
    <row r="610">
      <c r="A610" s="6" t="str">
        <f>IFERROR(__xludf.DUMMYFUNCTION("""COMPUTED_VALUE"""),"SFH")</f>
        <v>SFH</v>
      </c>
      <c r="B610" s="6" t="str">
        <f>IFERROR(__xludf.DUMMYFUNCTION("""COMPUTED_VALUE"""),"ENG")</f>
        <v>ENG</v>
      </c>
      <c r="C610" s="6" t="str">
        <f>IFERROR(__xludf.DUMMYFUNCTION("""COMPUTED_VALUE"""),"Q-10249-00")</f>
        <v>Q-10249-00</v>
      </c>
      <c r="D610" s="6" t="str">
        <f>IFERROR(__xludf.DUMMYFUNCTION("""COMPUTED_VALUE"""),"Lem Power Glue")</f>
        <v>Lem Power Glue</v>
      </c>
      <c r="E610" s="6">
        <f>IFERROR(__xludf.DUMMYFUNCTION("""COMPUTED_VALUE"""),3.0)</f>
        <v>3</v>
      </c>
      <c r="F610" s="6">
        <f>IFERROR(__xludf.DUMMYFUNCTION("""COMPUTED_VALUE"""),2.0)</f>
        <v>2</v>
      </c>
      <c r="G610" s="6">
        <f>IFERROR(__xludf.DUMMYFUNCTION("""COMPUTED_VALUE"""),0.0)</f>
        <v>0</v>
      </c>
      <c r="H610" s="6" t="str">
        <f>IFERROR(__xludf.DUMMYFUNCTION("""COMPUTED_VALUE"""),"Pcs")</f>
        <v>Pcs</v>
      </c>
      <c r="I610" s="6" t="str">
        <f>IFERROR(__xludf.DUMMYFUNCTION("""COMPUTED_VALUE"""),"MFH")</f>
        <v>MFH</v>
      </c>
      <c r="J610" s="6" t="str">
        <f>IFERROR(__xludf.DUMMYFUNCTION("""COMPUTED_VALUE"""),"Building")</f>
        <v>Building</v>
      </c>
      <c r="K610" s="6" t="str">
        <f>IFERROR(__xludf.DUMMYFUNCTION("""COMPUTED_VALUE"""),"SPR/02/24/016")</f>
        <v>SPR/02/24/016</v>
      </c>
      <c r="L610" s="13">
        <f>IFERROR(__xludf.DUMMYFUNCTION("""COMPUTED_VALUE"""),45348.0)</f>
        <v>45348</v>
      </c>
    </row>
    <row r="611">
      <c r="A611" s="6" t="str">
        <f>IFERROR(__xludf.DUMMYFUNCTION("""COMPUTED_VALUE"""),"NDS")</f>
        <v>NDS</v>
      </c>
      <c r="B611" s="6" t="str">
        <f>IFERROR(__xludf.DUMMYFUNCTION("""COMPUTED_VALUE"""),"ENG")</f>
        <v>ENG</v>
      </c>
      <c r="C611" s="6" t="str">
        <f>IFERROR(__xludf.DUMMYFUNCTION("""COMPUTED_VALUE"""),"P-13429-00")</f>
        <v>P-13429-00</v>
      </c>
      <c r="D611" s="6" t="str">
        <f>IFERROR(__xludf.DUMMYFUNCTION("""COMPUTED_VALUE"""),"Cable Ducting 25x40mm")</f>
        <v>Cable Ducting 25x40mm</v>
      </c>
      <c r="E611" s="6">
        <f>IFERROR(__xludf.DUMMYFUNCTION("""COMPUTED_VALUE"""),1.0)</f>
        <v>1</v>
      </c>
      <c r="F611" s="6">
        <f>IFERROR(__xludf.DUMMYFUNCTION("""COMPUTED_VALUE"""),1.0)</f>
        <v>1</v>
      </c>
      <c r="G611" s="6">
        <f>IFERROR(__xludf.DUMMYFUNCTION("""COMPUTED_VALUE"""),0.0)</f>
        <v>0</v>
      </c>
      <c r="H611" s="6" t="str">
        <f>IFERROR(__xludf.DUMMYFUNCTION("""COMPUTED_VALUE"""),"Pcs")</f>
        <v>Pcs</v>
      </c>
      <c r="I611" s="6" t="str">
        <f>IFERROR(__xludf.DUMMYFUNCTION("""COMPUTED_VALUE"""),"MFH")</f>
        <v>MFH</v>
      </c>
      <c r="J611" s="6" t="str">
        <f>IFERROR(__xludf.DUMMYFUNCTION("""COMPUTED_VALUE"""),"Lab")</f>
        <v>Lab</v>
      </c>
      <c r="K611" s="6" t="str">
        <f>IFERROR(__xludf.DUMMYFUNCTION("""COMPUTED_VALUE"""),"SPR/02/24/017")</f>
        <v>SPR/02/24/017</v>
      </c>
      <c r="L611" s="13">
        <f>IFERROR(__xludf.DUMMYFUNCTION("""COMPUTED_VALUE"""),45348.0)</f>
        <v>45348</v>
      </c>
    </row>
    <row r="612">
      <c r="A612" s="6" t="str">
        <f>IFERROR(__xludf.DUMMYFUNCTION("""COMPUTED_VALUE"""),"SFH")</f>
        <v>SFH</v>
      </c>
      <c r="B612" s="6" t="str">
        <f>IFERROR(__xludf.DUMMYFUNCTION("""COMPUTED_VALUE"""),"ENG")</f>
        <v>ENG</v>
      </c>
      <c r="C612" s="6" t="str">
        <f>IFERROR(__xludf.DUMMYFUNCTION("""COMPUTED_VALUE"""),"Q-60026-00")</f>
        <v>Q-60026-00</v>
      </c>
      <c r="D612" s="6" t="str">
        <f>IFERROR(__xludf.DUMMYFUNCTION("""COMPUTED_VALUE"""),"Kuas 2"" Eterna")</f>
        <v>Kuas 2" Eterna</v>
      </c>
      <c r="E612" s="6">
        <f>IFERROR(__xludf.DUMMYFUNCTION("""COMPUTED_VALUE"""),1.0)</f>
        <v>1</v>
      </c>
      <c r="F612" s="6">
        <f>IFERROR(__xludf.DUMMYFUNCTION("""COMPUTED_VALUE"""),1.0)</f>
        <v>1</v>
      </c>
      <c r="G612" s="6">
        <f>IFERROR(__xludf.DUMMYFUNCTION("""COMPUTED_VALUE"""),0.0)</f>
        <v>0</v>
      </c>
      <c r="H612" s="6" t="str">
        <f>IFERROR(__xludf.DUMMYFUNCTION("""COMPUTED_VALUE"""),"Pcs")</f>
        <v>Pcs</v>
      </c>
      <c r="I612" s="6" t="str">
        <f>IFERROR(__xludf.DUMMYFUNCTION("""COMPUTED_VALUE"""),"MFH")</f>
        <v>MFH</v>
      </c>
      <c r="J612" s="6" t="str">
        <f>IFERROR(__xludf.DUMMYFUNCTION("""COMPUTED_VALUE"""),"Building")</f>
        <v>Building</v>
      </c>
      <c r="K612" s="6" t="str">
        <f>IFERROR(__xludf.DUMMYFUNCTION("""COMPUTED_VALUE"""),"SPR/02/24/018")</f>
        <v>SPR/02/24/018</v>
      </c>
      <c r="L612" s="13">
        <f>IFERROR(__xludf.DUMMYFUNCTION("""COMPUTED_VALUE"""),45348.0)</f>
        <v>45348</v>
      </c>
    </row>
    <row r="613">
      <c r="A613" s="6" t="str">
        <f>IFERROR(__xludf.DUMMYFUNCTION("""COMPUTED_VALUE"""),"RIA")</f>
        <v>RIA</v>
      </c>
      <c r="B613" s="6" t="str">
        <f>IFERROR(__xludf.DUMMYFUNCTION("""COMPUTED_VALUE"""),"ENG")</f>
        <v>ENG</v>
      </c>
      <c r="C613" s="6" t="str">
        <f>IFERROR(__xludf.DUMMYFUNCTION("""COMPUTED_VALUE"""),"P-53169-00")</f>
        <v>P-53169-00</v>
      </c>
      <c r="D613" s="6" t="str">
        <f>IFERROR(__xludf.DUMMYFUNCTION("""COMPUTED_VALUE"""),"Ballast Electronic EB-C 228 TL5, 2x28W; Phillips; ;")</f>
        <v>Ballast Electronic EB-C 228 TL5, 2x28W; Phillips; ;</v>
      </c>
      <c r="E613" s="6">
        <f>IFERROR(__xludf.DUMMYFUNCTION("""COMPUTED_VALUE"""),7.0)</f>
        <v>7</v>
      </c>
      <c r="F613" s="6">
        <f>IFERROR(__xludf.DUMMYFUNCTION("""COMPUTED_VALUE"""),7.0)</f>
        <v>7</v>
      </c>
      <c r="G613" s="6">
        <f>IFERROR(__xludf.DUMMYFUNCTION("""COMPUTED_VALUE"""),0.0)</f>
        <v>0</v>
      </c>
      <c r="H613" s="6" t="str">
        <f>IFERROR(__xludf.DUMMYFUNCTION("""COMPUTED_VALUE"""),"Pcs")</f>
        <v>Pcs</v>
      </c>
      <c r="I613" s="6" t="str">
        <f>IFERROR(__xludf.DUMMYFUNCTION("""COMPUTED_VALUE"""),"MFH")</f>
        <v>MFH</v>
      </c>
      <c r="J613" s="6" t="str">
        <f>IFERROR(__xludf.DUMMYFUNCTION("""COMPUTED_VALUE"""),"Building")</f>
        <v>Building</v>
      </c>
      <c r="K613" s="6" t="str">
        <f>IFERROR(__xludf.DUMMYFUNCTION("""COMPUTED_VALUE"""),"SPR/02/24/019")</f>
        <v>SPR/02/24/019</v>
      </c>
      <c r="L613" s="13">
        <f>IFERROR(__xludf.DUMMYFUNCTION("""COMPUTED_VALUE"""),45348.0)</f>
        <v>45348</v>
      </c>
    </row>
    <row r="614">
      <c r="A614" s="6" t="str">
        <f>IFERROR(__xludf.DUMMYFUNCTION("""COMPUTED_VALUE"""),"RIA")</f>
        <v>RIA</v>
      </c>
      <c r="B614" s="6" t="str">
        <f>IFERROR(__xludf.DUMMYFUNCTION("""COMPUTED_VALUE"""),"ENG")</f>
        <v>ENG</v>
      </c>
      <c r="C614" s="6" t="str">
        <f>IFERROR(__xludf.DUMMYFUNCTION("""COMPUTED_VALUE"""),"P-52664-00")</f>
        <v>P-52664-00</v>
      </c>
      <c r="D614" s="6" t="str">
        <f>IFERROR(__xludf.DUMMYFUNCTION("""COMPUTED_VALUE"""),"Pelampung Air Radar Float Switch 2 Meter; ; ;")</f>
        <v>Pelampung Air Radar Float Switch 2 Meter; ; ;</v>
      </c>
      <c r="E614" s="6">
        <f>IFERROR(__xludf.DUMMYFUNCTION("""COMPUTED_VALUE"""),3.0)</f>
        <v>3</v>
      </c>
      <c r="F614" s="6">
        <f>IFERROR(__xludf.DUMMYFUNCTION("""COMPUTED_VALUE"""),3.0)</f>
        <v>3</v>
      </c>
      <c r="G614" s="6">
        <f>IFERROR(__xludf.DUMMYFUNCTION("""COMPUTED_VALUE"""),0.0)</f>
        <v>0</v>
      </c>
      <c r="H614" s="6" t="str">
        <f>IFERROR(__xludf.DUMMYFUNCTION("""COMPUTED_VALUE"""),"Pcs")</f>
        <v>Pcs</v>
      </c>
      <c r="I614" s="6" t="str">
        <f>IFERROR(__xludf.DUMMYFUNCTION("""COMPUTED_VALUE"""),"MFH")</f>
        <v>MFH</v>
      </c>
      <c r="J614" s="6" t="str">
        <f>IFERROR(__xludf.DUMMYFUNCTION("""COMPUTED_VALUE"""),"WWTP")</f>
        <v>WWTP</v>
      </c>
      <c r="K614" s="6" t="str">
        <f>IFERROR(__xludf.DUMMYFUNCTION("""COMPUTED_VALUE"""),"SPR/02/24/019")</f>
        <v>SPR/02/24/019</v>
      </c>
      <c r="L614" s="13">
        <f>IFERROR(__xludf.DUMMYFUNCTION("""COMPUTED_VALUE"""),45348.0)</f>
        <v>45348</v>
      </c>
    </row>
    <row r="615">
      <c r="A615" s="6" t="str">
        <f>IFERROR(__xludf.DUMMYFUNCTION("""COMPUTED_VALUE"""),"RIA")</f>
        <v>RIA</v>
      </c>
      <c r="B615" s="6" t="str">
        <f>IFERROR(__xludf.DUMMYFUNCTION("""COMPUTED_VALUE"""),"ENG")</f>
        <v>ENG</v>
      </c>
      <c r="C615" s="6" t="str">
        <f>IFERROR(__xludf.DUMMYFUNCTION("""COMPUTED_VALUE"""),"P-52665-00")</f>
        <v>P-52665-00</v>
      </c>
      <c r="D615" s="6" t="str">
        <f>IFERROR(__xludf.DUMMYFUNCTION("""COMPUTED_VALUE"""),"Buzzer Electronic Siren PW-235; TAB; ;")</f>
        <v>Buzzer Electronic Siren PW-235; TAB; ;</v>
      </c>
      <c r="E615" s="6">
        <f>IFERROR(__xludf.DUMMYFUNCTION("""COMPUTED_VALUE"""),1.0)</f>
        <v>1</v>
      </c>
      <c r="F615" s="6">
        <f>IFERROR(__xludf.DUMMYFUNCTION("""COMPUTED_VALUE"""),1.0)</f>
        <v>1</v>
      </c>
      <c r="G615" s="6">
        <f>IFERROR(__xludf.DUMMYFUNCTION("""COMPUTED_VALUE"""),0.0)</f>
        <v>0</v>
      </c>
      <c r="H615" s="6" t="str">
        <f>IFERROR(__xludf.DUMMYFUNCTION("""COMPUTED_VALUE"""),"Pcs")</f>
        <v>Pcs</v>
      </c>
      <c r="I615" s="6" t="str">
        <f>IFERROR(__xludf.DUMMYFUNCTION("""COMPUTED_VALUE"""),"MFH")</f>
        <v>MFH</v>
      </c>
      <c r="J615" s="6" t="str">
        <f>IFERROR(__xludf.DUMMYFUNCTION("""COMPUTED_VALUE"""),"WWTP")</f>
        <v>WWTP</v>
      </c>
      <c r="K615" s="6" t="str">
        <f>IFERROR(__xludf.DUMMYFUNCTION("""COMPUTED_VALUE"""),"SPR/02/24/019")</f>
        <v>SPR/02/24/019</v>
      </c>
      <c r="L615" s="13">
        <f>IFERROR(__xludf.DUMMYFUNCTION("""COMPUTED_VALUE"""),45348.0)</f>
        <v>45348</v>
      </c>
    </row>
    <row r="616">
      <c r="A616" s="6" t="str">
        <f>IFERROR(__xludf.DUMMYFUNCTION("""COMPUTED_VALUE"""),"RIA")</f>
        <v>RIA</v>
      </c>
      <c r="B616" s="6" t="str">
        <f>IFERROR(__xludf.DUMMYFUNCTION("""COMPUTED_VALUE"""),"ENG")</f>
        <v>ENG</v>
      </c>
      <c r="C616" s="6" t="str">
        <f>IFERROR(__xludf.DUMMYFUNCTION("""COMPUTED_VALUE"""),"P-52033-00")</f>
        <v>P-52033-00</v>
      </c>
      <c r="D616" s="6" t="str">
        <f>IFERROR(__xludf.DUMMYFUNCTION("""COMPUTED_VALUE"""),"Inverter HVAC Drives FC-102 2,2 kw 380-480 V Danfoss; ; ;")</f>
        <v>Inverter HVAC Drives FC-102 2,2 kw 380-480 V Danfoss; ; ;</v>
      </c>
      <c r="E616" s="6">
        <f>IFERROR(__xludf.DUMMYFUNCTION("""COMPUTED_VALUE"""),1.0)</f>
        <v>1</v>
      </c>
      <c r="F616" s="6">
        <f>IFERROR(__xludf.DUMMYFUNCTION("""COMPUTED_VALUE"""),1.0)</f>
        <v>1</v>
      </c>
      <c r="G616" s="6">
        <f>IFERROR(__xludf.DUMMYFUNCTION("""COMPUTED_VALUE"""),0.0)</f>
        <v>0</v>
      </c>
      <c r="H616" s="6" t="str">
        <f>IFERROR(__xludf.DUMMYFUNCTION("""COMPUTED_VALUE"""),"Pcs")</f>
        <v>Pcs</v>
      </c>
      <c r="I616" s="6" t="str">
        <f>IFERROR(__xludf.DUMMYFUNCTION("""COMPUTED_VALUE"""),"MFH")</f>
        <v>MFH</v>
      </c>
      <c r="J616" s="6" t="str">
        <f>IFERROR(__xludf.DUMMYFUNCTION("""COMPUTED_VALUE"""),"AHU")</f>
        <v>AHU</v>
      </c>
      <c r="K616" s="6" t="str">
        <f>IFERROR(__xludf.DUMMYFUNCTION("""COMPUTED_VALUE"""),"SPR/02/24/020")</f>
        <v>SPR/02/24/020</v>
      </c>
      <c r="L616" s="13">
        <f>IFERROR(__xludf.DUMMYFUNCTION("""COMPUTED_VALUE"""),45348.0)</f>
        <v>45348</v>
      </c>
    </row>
    <row r="617">
      <c r="A617" s="6" t="str">
        <f>IFERROR(__xludf.DUMMYFUNCTION("""COMPUTED_VALUE"""),"RIA")</f>
        <v>RIA</v>
      </c>
      <c r="B617" s="6" t="str">
        <f>IFERROR(__xludf.DUMMYFUNCTION("""COMPUTED_VALUE"""),"ENG")</f>
        <v>ENG</v>
      </c>
      <c r="C617" s="6" t="str">
        <f>IFERROR(__xludf.DUMMYFUNCTION("""COMPUTED_VALUE"""),"P-52708-00")</f>
        <v>P-52708-00</v>
      </c>
      <c r="D617" s="6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E617" s="6">
        <f>IFERROR(__xludf.DUMMYFUNCTION("""COMPUTED_VALUE"""),1.0)</f>
        <v>1</v>
      </c>
      <c r="F617" s="6">
        <f>IFERROR(__xludf.DUMMYFUNCTION("""COMPUTED_VALUE"""),1.0)</f>
        <v>1</v>
      </c>
      <c r="G617" s="6">
        <f>IFERROR(__xludf.DUMMYFUNCTION("""COMPUTED_VALUE"""),0.0)</f>
        <v>0</v>
      </c>
      <c r="H617" s="6" t="str">
        <f>IFERROR(__xludf.DUMMYFUNCTION("""COMPUTED_VALUE"""),"Pcs")</f>
        <v>Pcs</v>
      </c>
      <c r="I617" s="6" t="str">
        <f>IFERROR(__xludf.DUMMYFUNCTION("""COMPUTED_VALUE"""),"MFH")</f>
        <v>MFH</v>
      </c>
      <c r="J617" s="6" t="str">
        <f>IFERROR(__xludf.DUMMYFUNCTION("""COMPUTED_VALUE"""),"AHU")</f>
        <v>AHU</v>
      </c>
      <c r="K617" s="6" t="str">
        <f>IFERROR(__xludf.DUMMYFUNCTION("""COMPUTED_VALUE"""),"SPR/02/24/020")</f>
        <v>SPR/02/24/020</v>
      </c>
      <c r="L617" s="13">
        <f>IFERROR(__xludf.DUMMYFUNCTION("""COMPUTED_VALUE"""),45348.0)</f>
        <v>45348</v>
      </c>
    </row>
    <row r="618">
      <c r="A618" s="6" t="str">
        <f>IFERROR(__xludf.DUMMYFUNCTION("""COMPUTED_VALUE"""),"RIA")</f>
        <v>RIA</v>
      </c>
      <c r="B618" s="6" t="str">
        <f>IFERROR(__xludf.DUMMYFUNCTION("""COMPUTED_VALUE"""),"ENG")</f>
        <v>ENG</v>
      </c>
      <c r="C618" s="6" t="str">
        <f>IFERROR(__xludf.DUMMYFUNCTION("""COMPUTED_VALUE"""),"P-51559-00")</f>
        <v>P-51559-00</v>
      </c>
      <c r="D618" s="6" t="str">
        <f>IFERROR(__xludf.DUMMYFUNCTION("""COMPUTED_VALUE"""),"Lampu T5 14watt Putih; Phillips; ;")</f>
        <v>Lampu T5 14watt Putih; Phillips; ;</v>
      </c>
      <c r="E618" s="6">
        <f>IFERROR(__xludf.DUMMYFUNCTION("""COMPUTED_VALUE"""),7.0)</f>
        <v>7</v>
      </c>
      <c r="F618" s="6">
        <f>IFERROR(__xludf.DUMMYFUNCTION("""COMPUTED_VALUE"""),10.0)</f>
        <v>10</v>
      </c>
      <c r="G618" s="6">
        <f>IFERROR(__xludf.DUMMYFUNCTION("""COMPUTED_VALUE"""),0.0)</f>
        <v>0</v>
      </c>
      <c r="H618" s="6" t="str">
        <f>IFERROR(__xludf.DUMMYFUNCTION("""COMPUTED_VALUE"""),"Pcs")</f>
        <v>Pcs</v>
      </c>
      <c r="I618" s="6" t="str">
        <f>IFERROR(__xludf.DUMMYFUNCTION("""COMPUTED_VALUE"""),"MFH")</f>
        <v>MFH</v>
      </c>
      <c r="J618" s="6" t="str">
        <f>IFERROR(__xludf.DUMMYFUNCTION("""COMPUTED_VALUE"""),"Building")</f>
        <v>Building</v>
      </c>
      <c r="K618" s="6" t="str">
        <f>IFERROR(__xludf.DUMMYFUNCTION("""COMPUTED_VALUE"""),"SPR/02/24/021")</f>
        <v>SPR/02/24/021</v>
      </c>
      <c r="L618" s="13">
        <f>IFERROR(__xludf.DUMMYFUNCTION("""COMPUTED_VALUE"""),45348.0)</f>
        <v>45348</v>
      </c>
    </row>
    <row r="619">
      <c r="A619" s="6" t="str">
        <f>IFERROR(__xludf.DUMMYFUNCTION("""COMPUTED_VALUE"""),"RIA")</f>
        <v>RIA</v>
      </c>
      <c r="B619" s="6" t="str">
        <f>IFERROR(__xludf.DUMMYFUNCTION("""COMPUTED_VALUE"""),"ENG")</f>
        <v>ENG</v>
      </c>
      <c r="C619" s="6" t="str">
        <f>IFERROR(__xludf.DUMMYFUNCTION("""COMPUTED_VALUE"""),"P-51560-00")</f>
        <v>P-51560-00</v>
      </c>
      <c r="D619" s="6" t="str">
        <f>IFERROR(__xludf.DUMMYFUNCTION("""COMPUTED_VALUE"""),"Lampu T5 28watt Putih; Phillips; ;")</f>
        <v>Lampu T5 28watt Putih; Phillips; ;</v>
      </c>
      <c r="E619" s="6">
        <f>IFERROR(__xludf.DUMMYFUNCTION("""COMPUTED_VALUE"""),10.0)</f>
        <v>10</v>
      </c>
      <c r="F619" s="6">
        <f>IFERROR(__xludf.DUMMYFUNCTION("""COMPUTED_VALUE"""),10.0)</f>
        <v>10</v>
      </c>
      <c r="G619" s="6">
        <f>IFERROR(__xludf.DUMMYFUNCTION("""COMPUTED_VALUE"""),0.0)</f>
        <v>0</v>
      </c>
      <c r="H619" s="6" t="str">
        <f>IFERROR(__xludf.DUMMYFUNCTION("""COMPUTED_VALUE"""),"Pcs")</f>
        <v>Pcs</v>
      </c>
      <c r="I619" s="6" t="str">
        <f>IFERROR(__xludf.DUMMYFUNCTION("""COMPUTED_VALUE"""),"MFH")</f>
        <v>MFH</v>
      </c>
      <c r="J619" s="6" t="str">
        <f>IFERROR(__xludf.DUMMYFUNCTION("""COMPUTED_VALUE"""),"Building")</f>
        <v>Building</v>
      </c>
      <c r="K619" s="6" t="str">
        <f>IFERROR(__xludf.DUMMYFUNCTION("""COMPUTED_VALUE"""),"SPR/02/24/021")</f>
        <v>SPR/02/24/021</v>
      </c>
      <c r="L619" s="13">
        <f>IFERROR(__xludf.DUMMYFUNCTION("""COMPUTED_VALUE"""),45348.0)</f>
        <v>45348</v>
      </c>
    </row>
    <row r="620">
      <c r="A620" s="6" t="str">
        <f>IFERROR(__xludf.DUMMYFUNCTION("""COMPUTED_VALUE"""),"RIA")</f>
        <v>RIA</v>
      </c>
      <c r="B620" s="6" t="str">
        <f>IFERROR(__xludf.DUMMYFUNCTION("""COMPUTED_VALUE"""),"ENG")</f>
        <v>ENG</v>
      </c>
      <c r="C620" s="6" t="str">
        <f>IFERROR(__xludf.DUMMYFUNCTION("""COMPUTED_VALUE"""),"P-53102-00")</f>
        <v>P-53102-00</v>
      </c>
      <c r="D620" s="6" t="str">
        <f>IFERROR(__xludf.DUMMYFUNCTION("""COMPUTED_VALUE"""),"Lampu PLC 13watt/E27 Putih; Phillips; ;")</f>
        <v>Lampu PLC 13watt/E27 Putih; Phillips; ;</v>
      </c>
      <c r="E620" s="6">
        <f>IFERROR(__xludf.DUMMYFUNCTION("""COMPUTED_VALUE"""),5.0)</f>
        <v>5</v>
      </c>
      <c r="F620" s="6">
        <f>IFERROR(__xludf.DUMMYFUNCTION("""COMPUTED_VALUE"""),3.0)</f>
        <v>3</v>
      </c>
      <c r="G620" s="6">
        <f>IFERROR(__xludf.DUMMYFUNCTION("""COMPUTED_VALUE"""),0.0)</f>
        <v>0</v>
      </c>
      <c r="H620" s="6" t="str">
        <f>IFERROR(__xludf.DUMMYFUNCTION("""COMPUTED_VALUE"""),"Pcs")</f>
        <v>Pcs</v>
      </c>
      <c r="I620" s="6" t="str">
        <f>IFERROR(__xludf.DUMMYFUNCTION("""COMPUTED_VALUE"""),"MFH")</f>
        <v>MFH</v>
      </c>
      <c r="J620" s="6" t="str">
        <f>IFERROR(__xludf.DUMMYFUNCTION("""COMPUTED_VALUE"""),"Building")</f>
        <v>Building</v>
      </c>
      <c r="K620" s="6" t="str">
        <f>IFERROR(__xludf.DUMMYFUNCTION("""COMPUTED_VALUE"""),"SPR/02/24/021")</f>
        <v>SPR/02/24/021</v>
      </c>
      <c r="L620" s="13">
        <f>IFERROR(__xludf.DUMMYFUNCTION("""COMPUTED_VALUE"""),45348.0)</f>
        <v>45348</v>
      </c>
    </row>
    <row r="621">
      <c r="A621" s="6" t="str">
        <f>IFERROR(__xludf.DUMMYFUNCTION("""COMPUTED_VALUE"""),"NDS")</f>
        <v>NDS</v>
      </c>
      <c r="B621" s="6" t="str">
        <f>IFERROR(__xludf.DUMMYFUNCTION("""COMPUTED_VALUE"""),"ENG")</f>
        <v>ENG</v>
      </c>
      <c r="C621" s="6" t="str">
        <f>IFERROR(__xludf.DUMMYFUNCTION("""COMPUTED_VALUE"""),"P-12920-00")</f>
        <v>P-12920-00</v>
      </c>
      <c r="D621" s="6" t="str">
        <f>IFERROR(__xludf.DUMMYFUNCTION("""COMPUTED_VALUE"""),"Tungsten Electrodes dia 1.6 mm")</f>
        <v>Tungsten Electrodes dia 1.6 mm</v>
      </c>
      <c r="E621" s="6">
        <f>IFERROR(__xludf.DUMMYFUNCTION("""COMPUTED_VALUE"""),2.0)</f>
        <v>2</v>
      </c>
      <c r="F621" s="6">
        <f>IFERROR(__xludf.DUMMYFUNCTION("""COMPUTED_VALUE"""),2.0)</f>
        <v>2</v>
      </c>
      <c r="G621" s="6">
        <f>IFERROR(__xludf.DUMMYFUNCTION("""COMPUTED_VALUE"""),0.0)</f>
        <v>0</v>
      </c>
      <c r="H621" s="6" t="str">
        <f>IFERROR(__xludf.DUMMYFUNCTION("""COMPUTED_VALUE"""),"Pcs")</f>
        <v>Pcs</v>
      </c>
      <c r="I621" s="6" t="str">
        <f>IFERROR(__xludf.DUMMYFUNCTION("""COMPUTED_VALUE"""),"MFH")</f>
        <v>MFH</v>
      </c>
      <c r="J621" s="6" t="str">
        <f>IFERROR(__xludf.DUMMYFUNCTION("""COMPUTED_VALUE"""),"EDM")</f>
        <v>EDM</v>
      </c>
      <c r="K621" s="6" t="str">
        <f>IFERROR(__xludf.DUMMYFUNCTION("""COMPUTED_VALUE"""),"SPR/02/24/022")</f>
        <v>SPR/02/24/022</v>
      </c>
      <c r="L621" s="13">
        <f>IFERROR(__xludf.DUMMYFUNCTION("""COMPUTED_VALUE"""),45348.0)</f>
        <v>45348</v>
      </c>
    </row>
    <row r="622">
      <c r="A622" s="6" t="str">
        <f>IFERROR(__xludf.DUMMYFUNCTION("""COMPUTED_VALUE"""),"NDS")</f>
        <v>NDS</v>
      </c>
      <c r="B622" s="6" t="str">
        <f>IFERROR(__xludf.DUMMYFUNCTION("""COMPUTED_VALUE"""),"ENG")</f>
        <v>ENG</v>
      </c>
      <c r="C622" s="6" t="str">
        <f>IFERROR(__xludf.DUMMYFUNCTION("""COMPUTED_VALUE"""),"-")</f>
        <v>-</v>
      </c>
      <c r="D622" s="6" t="str">
        <f>IFERROR(__xludf.DUMMYFUNCTION("""COMPUTED_VALUE"""),"Lampu Luxon LED Tube Light")</f>
        <v>Lampu Luxon LED Tube Light</v>
      </c>
      <c r="E622" s="6">
        <f>IFERROR(__xludf.DUMMYFUNCTION("""COMPUTED_VALUE"""),1.0)</f>
        <v>1</v>
      </c>
      <c r="F622" s="6">
        <f>IFERROR(__xludf.DUMMYFUNCTION("""COMPUTED_VALUE"""),1.0)</f>
        <v>1</v>
      </c>
      <c r="G622" s="6">
        <f>IFERROR(__xludf.DUMMYFUNCTION("""COMPUTED_VALUE"""),0.0)</f>
        <v>0</v>
      </c>
      <c r="H622" s="6" t="str">
        <f>IFERROR(__xludf.DUMMYFUNCTION("""COMPUTED_VALUE"""),"Pcs")</f>
        <v>Pcs</v>
      </c>
      <c r="I622" s="6" t="str">
        <f>IFERROR(__xludf.DUMMYFUNCTION("""COMPUTED_VALUE"""),"MFH")</f>
        <v>MFH</v>
      </c>
      <c r="J622" s="6" t="str">
        <f>IFERROR(__xludf.DUMMYFUNCTION("""COMPUTED_VALUE"""),"Building")</f>
        <v>Building</v>
      </c>
      <c r="K622" s="6" t="str">
        <f>IFERROR(__xludf.DUMMYFUNCTION("""COMPUTED_VALUE"""),"SPR/02/24/022")</f>
        <v>SPR/02/24/022</v>
      </c>
      <c r="L622" s="13">
        <f>IFERROR(__xludf.DUMMYFUNCTION("""COMPUTED_VALUE"""),45348.0)</f>
        <v>45348</v>
      </c>
    </row>
    <row r="623">
      <c r="A623" s="6" t="str">
        <f>IFERROR(__xludf.DUMMYFUNCTION("""COMPUTED_VALUE"""),"TWS")</f>
        <v>TWS</v>
      </c>
      <c r="B623" s="6" t="str">
        <f>IFERROR(__xludf.DUMMYFUNCTION("""COMPUTED_VALUE"""),"ENG")</f>
        <v>ENG</v>
      </c>
      <c r="C623" s="6" t="str">
        <f>IFERROR(__xludf.DUMMYFUNCTION("""COMPUTED_VALUE"""),"T-20123-00")</f>
        <v>T-20123-00</v>
      </c>
      <c r="D623" s="6" t="str">
        <f>IFERROR(__xludf.DUMMYFUNCTION("""COMPUTED_VALUE"""),"Acquity PDA/TUV 2489/2998 Perf")</f>
        <v>Acquity PDA/TUV 2489/2998 Perf</v>
      </c>
      <c r="E623" s="6">
        <f>IFERROR(__xludf.DUMMYFUNCTION("""COMPUTED_VALUE"""),1.0)</f>
        <v>1</v>
      </c>
      <c r="F623" s="6">
        <f>IFERROR(__xludf.DUMMYFUNCTION("""COMPUTED_VALUE"""),1.0)</f>
        <v>1</v>
      </c>
      <c r="G623" s="6">
        <f>IFERROR(__xludf.DUMMYFUNCTION("""COMPUTED_VALUE"""),0.0)</f>
        <v>0</v>
      </c>
      <c r="H623" s="6" t="str">
        <f>IFERROR(__xludf.DUMMYFUNCTION("""COMPUTED_VALUE"""),"Pcs")</f>
        <v>Pcs</v>
      </c>
      <c r="I623" s="6" t="str">
        <f>IFERROR(__xludf.DUMMYFUNCTION("""COMPUTED_VALUE"""),"MFH")</f>
        <v>MFH</v>
      </c>
      <c r="J623" s="6" t="str">
        <f>IFERROR(__xludf.DUMMYFUNCTION("""COMPUTED_VALUE"""),"HPLC")</f>
        <v>HPLC</v>
      </c>
      <c r="K623" s="6" t="str">
        <f>IFERROR(__xludf.DUMMYFUNCTION("""COMPUTED_VALUE"""),"SPR/02/24/023")</f>
        <v>SPR/02/24/023</v>
      </c>
      <c r="L623" s="13">
        <f>IFERROR(__xludf.DUMMYFUNCTION("""COMPUTED_VALUE"""),45348.0)</f>
        <v>45348</v>
      </c>
    </row>
    <row r="624">
      <c r="A624" s="6" t="str">
        <f>IFERROR(__xludf.DUMMYFUNCTION("""COMPUTED_VALUE"""),"BFN")</f>
        <v>BFN</v>
      </c>
      <c r="B624" s="6" t="str">
        <f>IFERROR(__xludf.DUMMYFUNCTION("""COMPUTED_VALUE"""),"PRO")</f>
        <v>PRO</v>
      </c>
      <c r="C624" s="6" t="str">
        <f>IFERROR(__xludf.DUMMYFUNCTION("""COMPUTED_VALUE"""),"O-18055-00")</f>
        <v>O-18055-00</v>
      </c>
      <c r="D62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624" s="6">
        <f>IFERROR(__xludf.DUMMYFUNCTION("""COMPUTED_VALUE"""),2.0)</f>
        <v>2</v>
      </c>
      <c r="F624" s="6">
        <f>IFERROR(__xludf.DUMMYFUNCTION("""COMPUTED_VALUE"""),2.0)</f>
        <v>2</v>
      </c>
      <c r="G624" s="6">
        <f>IFERROR(__xludf.DUMMYFUNCTION("""COMPUTED_VALUE"""),0.0)</f>
        <v>0</v>
      </c>
      <c r="H624" s="6" t="str">
        <f>IFERROR(__xludf.DUMMYFUNCTION("""COMPUTED_VALUE"""),"Pcs")</f>
        <v>Pcs</v>
      </c>
      <c r="I624" s="6" t="str">
        <f>IFERROR(__xludf.DUMMYFUNCTION("""COMPUTED_VALUE"""),"MFH")</f>
        <v>MFH</v>
      </c>
      <c r="J624" s="6" t="str">
        <f>IFERROR(__xludf.DUMMYFUNCTION("""COMPUTED_VALUE"""),"Cartoning")</f>
        <v>Cartoning</v>
      </c>
      <c r="K624" s="6" t="str">
        <f>IFERROR(__xludf.DUMMYFUNCTION("""COMPUTED_VALUE"""),"SPR/02/24/023")</f>
        <v>SPR/02/24/023</v>
      </c>
      <c r="L624" s="13">
        <f>IFERROR(__xludf.DUMMYFUNCTION("""COMPUTED_VALUE"""),45348.0)</f>
        <v>45348</v>
      </c>
    </row>
    <row r="625">
      <c r="A625" s="6" t="str">
        <f>IFERROR(__xludf.DUMMYFUNCTION("""COMPUTED_VALUE"""),"BFN")</f>
        <v>BFN</v>
      </c>
      <c r="B625" s="6" t="str">
        <f>IFERROR(__xludf.DUMMYFUNCTION("""COMPUTED_VALUE"""),"PRO")</f>
        <v>PRO</v>
      </c>
      <c r="C625" s="6" t="str">
        <f>IFERROR(__xludf.DUMMYFUNCTION("""COMPUTED_VALUE"""),"O-19429-00")</f>
        <v>O-19429-00</v>
      </c>
      <c r="D625" s="6" t="str">
        <f>IFERROR(__xludf.DUMMYFUNCTION("""COMPUTED_VALUE"""),"Baut SS L M4 x 10 mm + Mur + Ring; ; ;; ; ;; ; ;")</f>
        <v>Baut SS L M4 x 10 mm + Mur + Ring; ; ;; ; ;; ; ;</v>
      </c>
      <c r="E625" s="6">
        <f>IFERROR(__xludf.DUMMYFUNCTION("""COMPUTED_VALUE"""),20.0)</f>
        <v>20</v>
      </c>
      <c r="F625" s="6">
        <f>IFERROR(__xludf.DUMMYFUNCTION("""COMPUTED_VALUE"""),5.0)</f>
        <v>5</v>
      </c>
      <c r="G625" s="6">
        <f>IFERROR(__xludf.DUMMYFUNCTION("""COMPUTED_VALUE"""),0.0)</f>
        <v>0</v>
      </c>
      <c r="H625" s="6" t="str">
        <f>IFERROR(__xludf.DUMMYFUNCTION("""COMPUTED_VALUE"""),"Pcs")</f>
        <v>Pcs</v>
      </c>
      <c r="I625" s="6" t="str">
        <f>IFERROR(__xludf.DUMMYFUNCTION("""COMPUTED_VALUE"""),"MFH")</f>
        <v>MFH</v>
      </c>
      <c r="J625" s="6" t="str">
        <f>IFERROR(__xludf.DUMMYFUNCTION("""COMPUTED_VALUE"""),"Cartoning")</f>
        <v>Cartoning</v>
      </c>
      <c r="K625" s="6" t="str">
        <f>IFERROR(__xludf.DUMMYFUNCTION("""COMPUTED_VALUE"""),"SPR/02/24/023")</f>
        <v>SPR/02/24/023</v>
      </c>
      <c r="L625" s="13">
        <f>IFERROR(__xludf.DUMMYFUNCTION("""COMPUTED_VALUE"""),45348.0)</f>
        <v>45348</v>
      </c>
    </row>
    <row r="626">
      <c r="A626" s="6" t="str">
        <f>IFERROR(__xludf.DUMMYFUNCTION("""COMPUTED_VALUE"""),"NDS")</f>
        <v>NDS</v>
      </c>
      <c r="B626" s="6" t="str">
        <f>IFERROR(__xludf.DUMMYFUNCTION("""COMPUTED_VALUE"""),"ENG")</f>
        <v>ENG</v>
      </c>
      <c r="C626" s="6" t="str">
        <f>IFERROR(__xludf.DUMMYFUNCTION("""COMPUTED_VALUE"""),"Q-60003-00")</f>
        <v>Q-60003-00</v>
      </c>
      <c r="D626" s="6" t="str">
        <f>IFERROR(__xludf.DUMMYFUNCTION("""COMPUTED_VALUE"""),"Plakband Kertas")</f>
        <v>Plakband Kertas</v>
      </c>
      <c r="E626" s="6">
        <f>IFERROR(__xludf.DUMMYFUNCTION("""COMPUTED_VALUE"""),1.0)</f>
        <v>1</v>
      </c>
      <c r="F626" s="6">
        <f>IFERROR(__xludf.DUMMYFUNCTION("""COMPUTED_VALUE"""),1.0)</f>
        <v>1</v>
      </c>
      <c r="G626" s="6">
        <f>IFERROR(__xludf.DUMMYFUNCTION("""COMPUTED_VALUE"""),0.0)</f>
        <v>0</v>
      </c>
      <c r="H626" s="6" t="str">
        <f>IFERROR(__xludf.DUMMYFUNCTION("""COMPUTED_VALUE"""),"Pcs")</f>
        <v>Pcs</v>
      </c>
      <c r="I626" s="6" t="str">
        <f>IFERROR(__xludf.DUMMYFUNCTION("""COMPUTED_VALUE"""),"MFH")</f>
        <v>MFH</v>
      </c>
      <c r="J626" s="6" t="str">
        <f>IFERROR(__xludf.DUMMYFUNCTION("""COMPUTED_VALUE"""),"Tunnel")</f>
        <v>Tunnel</v>
      </c>
      <c r="K626" s="6" t="str">
        <f>IFERROR(__xludf.DUMMYFUNCTION("""COMPUTED_VALUE"""),"SPR/02/24/024")</f>
        <v>SPR/02/24/024</v>
      </c>
      <c r="L626" s="13">
        <f>IFERROR(__xludf.DUMMYFUNCTION("""COMPUTED_VALUE"""),45348.0)</f>
        <v>45348</v>
      </c>
    </row>
    <row r="627">
      <c r="A627" s="6" t="str">
        <f>IFERROR(__xludf.DUMMYFUNCTION("""COMPUTED_VALUE"""),"NDS")</f>
        <v>NDS</v>
      </c>
      <c r="B627" s="6" t="str">
        <f>IFERROR(__xludf.DUMMYFUNCTION("""COMPUTED_VALUE"""),"ENG")</f>
        <v>ENG</v>
      </c>
      <c r="C627" s="6" t="str">
        <f>IFERROR(__xludf.DUMMYFUNCTION("""COMPUTED_VALUE"""),"Q-60503-00")</f>
        <v>Q-60503-00</v>
      </c>
      <c r="D627" s="6" t="str">
        <f>IFERROR(__xludf.DUMMYFUNCTION("""COMPUTED_VALUE"""),"Silicone Sealant, Silglaze, Type N10 Grey, pack size per pcs")</f>
        <v>Silicone Sealant, Silglaze, Type N10 Grey, pack size per pcs</v>
      </c>
      <c r="E627" s="6">
        <f>IFERROR(__xludf.DUMMYFUNCTION("""COMPUTED_VALUE"""),1.0)</f>
        <v>1</v>
      </c>
      <c r="F627" s="6">
        <f>IFERROR(__xludf.DUMMYFUNCTION("""COMPUTED_VALUE"""),1.0)</f>
        <v>1</v>
      </c>
      <c r="G627" s="6">
        <f>IFERROR(__xludf.DUMMYFUNCTION("""COMPUTED_VALUE"""),0.0)</f>
        <v>0</v>
      </c>
      <c r="H627" s="6" t="str">
        <f>IFERROR(__xludf.DUMMYFUNCTION("""COMPUTED_VALUE"""),"Pcs")</f>
        <v>Pcs</v>
      </c>
      <c r="I627" s="6" t="str">
        <f>IFERROR(__xludf.DUMMYFUNCTION("""COMPUTED_VALUE"""),"MFH")</f>
        <v>MFH</v>
      </c>
      <c r="J627" s="6" t="str">
        <f>IFERROR(__xludf.DUMMYFUNCTION("""COMPUTED_VALUE"""),"Tunnel")</f>
        <v>Tunnel</v>
      </c>
      <c r="K627" s="6" t="str">
        <f>IFERROR(__xludf.DUMMYFUNCTION("""COMPUTED_VALUE"""),"SPR/02/24/024")</f>
        <v>SPR/02/24/024</v>
      </c>
      <c r="L627" s="13">
        <f>IFERROR(__xludf.DUMMYFUNCTION("""COMPUTED_VALUE"""),45348.0)</f>
        <v>45348</v>
      </c>
    </row>
    <row r="628">
      <c r="A628" s="6" t="str">
        <f>IFERROR(__xludf.DUMMYFUNCTION("""COMPUTED_VALUE"""),"INN")</f>
        <v>INN</v>
      </c>
      <c r="B628" s="6" t="str">
        <f>IFERROR(__xludf.DUMMYFUNCTION("""COMPUTED_VALUE"""),"ENG")</f>
        <v>ENG</v>
      </c>
      <c r="C628" s="6" t="str">
        <f>IFERROR(__xludf.DUMMYFUNCTION("""COMPUTED_VALUE"""),"O-51942-00")</f>
        <v>O-51942-00</v>
      </c>
      <c r="D628" s="6" t="str">
        <f>IFERROR(__xludf.DUMMYFUNCTION("""COMPUTED_VALUE"""),"Inverter Sinamics 1,1 kw 6SL3224-0BE21-1UA0; Siemens; ;")</f>
        <v>Inverter Sinamics 1,1 kw 6SL3224-0BE21-1UA0; Siemens; ;</v>
      </c>
      <c r="E628" s="6">
        <f>IFERROR(__xludf.DUMMYFUNCTION("""COMPUTED_VALUE"""),1.0)</f>
        <v>1</v>
      </c>
      <c r="F628" s="6">
        <f>IFERROR(__xludf.DUMMYFUNCTION("""COMPUTED_VALUE"""),1.0)</f>
        <v>1</v>
      </c>
      <c r="G628" s="6">
        <f>IFERROR(__xludf.DUMMYFUNCTION("""COMPUTED_VALUE"""),0.0)</f>
        <v>0</v>
      </c>
      <c r="H628" s="6" t="str">
        <f>IFERROR(__xludf.DUMMYFUNCTION("""COMPUTED_VALUE"""),"Pcs")</f>
        <v>Pcs</v>
      </c>
      <c r="I628" s="6" t="str">
        <f>IFERROR(__xludf.DUMMYFUNCTION("""COMPUTED_VALUE"""),"MFH")</f>
        <v>MFH</v>
      </c>
      <c r="J628" s="6" t="str">
        <f>IFERROR(__xludf.DUMMYFUNCTION("""COMPUTED_VALUE"""),"Tunnel")</f>
        <v>Tunnel</v>
      </c>
      <c r="K628" s="6" t="str">
        <f>IFERROR(__xludf.DUMMYFUNCTION("""COMPUTED_VALUE"""),"SPR/02/24/025")</f>
        <v>SPR/02/24/025</v>
      </c>
      <c r="L628" s="13">
        <f>IFERROR(__xludf.DUMMYFUNCTION("""COMPUTED_VALUE"""),45348.0)</f>
        <v>45348</v>
      </c>
    </row>
    <row r="629">
      <c r="A629" s="6" t="str">
        <f>IFERROR(__xludf.DUMMYFUNCTION("""COMPUTED_VALUE"""),"INN")</f>
        <v>INN</v>
      </c>
      <c r="B629" s="6" t="str">
        <f>IFERROR(__xludf.DUMMYFUNCTION("""COMPUTED_VALUE"""),"ENG")</f>
        <v>ENG</v>
      </c>
      <c r="C629" s="6" t="str">
        <f>IFERROR(__xludf.DUMMYFUNCTION("""COMPUTED_VALUE"""),"P-10729-00")</f>
        <v>P-10729-00</v>
      </c>
      <c r="D629" s="6" t="str">
        <f>IFERROR(__xludf.DUMMYFUNCTION("""COMPUTED_VALUE"""),"Contact cleaner WD 40, 382 gr ; Brand : - ; P/N : - ; Pack Size : pcs")</f>
        <v>Contact cleaner WD 40, 382 gr ; Brand : - ; P/N : - ; Pack Size : pcs</v>
      </c>
      <c r="E629" s="6">
        <f>IFERROR(__xludf.DUMMYFUNCTION("""COMPUTED_VALUE"""),1.0)</f>
        <v>1</v>
      </c>
      <c r="F629" s="6">
        <f>IFERROR(__xludf.DUMMYFUNCTION("""COMPUTED_VALUE"""),1.0)</f>
        <v>1</v>
      </c>
      <c r="G629" s="6">
        <f>IFERROR(__xludf.DUMMYFUNCTION("""COMPUTED_VALUE"""),0.0)</f>
        <v>0</v>
      </c>
      <c r="H629" s="6" t="str">
        <f>IFERROR(__xludf.DUMMYFUNCTION("""COMPUTED_VALUE"""),"Pcs")</f>
        <v>Pcs</v>
      </c>
      <c r="I629" s="6" t="str">
        <f>IFERROR(__xludf.DUMMYFUNCTION("""COMPUTED_VALUE"""),"MFH")</f>
        <v>MFH</v>
      </c>
      <c r="J629" s="6" t="str">
        <f>IFERROR(__xludf.DUMMYFUNCTION("""COMPUTED_VALUE"""),"FD")</f>
        <v>FD</v>
      </c>
      <c r="K629" s="6" t="str">
        <f>IFERROR(__xludf.DUMMYFUNCTION("""COMPUTED_VALUE"""),"SPR/02/24/025")</f>
        <v>SPR/02/24/025</v>
      </c>
      <c r="L629" s="13">
        <f>IFERROR(__xludf.DUMMYFUNCTION("""COMPUTED_VALUE"""),45348.0)</f>
        <v>45348</v>
      </c>
    </row>
    <row r="630">
      <c r="A630" s="6" t="str">
        <f>IFERROR(__xludf.DUMMYFUNCTION("""COMPUTED_VALUE"""),"INN")</f>
        <v>INN</v>
      </c>
      <c r="B630" s="6" t="str">
        <f>IFERROR(__xludf.DUMMYFUNCTION("""COMPUTED_VALUE"""),"ENG")</f>
        <v>ENG</v>
      </c>
      <c r="C630" s="6" t="str">
        <f>IFERROR(__xludf.DUMMYFUNCTION("""COMPUTED_VALUE"""),"O-18125-00")</f>
        <v>O-18125-00</v>
      </c>
      <c r="D630" s="6" t="str">
        <f>IFERROR(__xludf.DUMMYFUNCTION("""COMPUTED_VALUE"""),"Mixing Tank Adam - USM T60 Male Bearing Pin 20mm Silicon Carbide, G20-008; ; ;")</f>
        <v>Mixing Tank Adam - USM T60 Male Bearing Pin 20mm Silicon Carbide, G20-008; ; ;</v>
      </c>
      <c r="E630" s="6">
        <f>IFERROR(__xludf.DUMMYFUNCTION("""COMPUTED_VALUE"""),1.0)</f>
        <v>1</v>
      </c>
      <c r="F630" s="6">
        <f>IFERROR(__xludf.DUMMYFUNCTION("""COMPUTED_VALUE"""),1.0)</f>
        <v>1</v>
      </c>
      <c r="G630" s="6">
        <f>IFERROR(__xludf.DUMMYFUNCTION("""COMPUTED_VALUE"""),0.0)</f>
        <v>0</v>
      </c>
      <c r="H630" s="6" t="str">
        <f>IFERROR(__xludf.DUMMYFUNCTION("""COMPUTED_VALUE"""),"Pcs")</f>
        <v>Pcs</v>
      </c>
      <c r="I630" s="6" t="str">
        <f>IFERROR(__xludf.DUMMYFUNCTION("""COMPUTED_VALUE"""),"MFH")</f>
        <v>MFH</v>
      </c>
      <c r="J630" s="6" t="str">
        <f>IFERROR(__xludf.DUMMYFUNCTION("""COMPUTED_VALUE"""),"Mixing")</f>
        <v>Mixing</v>
      </c>
      <c r="K630" s="6" t="str">
        <f>IFERROR(__xludf.DUMMYFUNCTION("""COMPUTED_VALUE"""),"SPR/02/24/025")</f>
        <v>SPR/02/24/025</v>
      </c>
      <c r="L630" s="13">
        <f>IFERROR(__xludf.DUMMYFUNCTION("""COMPUTED_VALUE"""),45348.0)</f>
        <v>45348</v>
      </c>
    </row>
    <row r="631">
      <c r="A631" s="6" t="str">
        <f>IFERROR(__xludf.DUMMYFUNCTION("""COMPUTED_VALUE"""),"ROS")</f>
        <v>ROS</v>
      </c>
      <c r="B631" s="6" t="str">
        <f>IFERROR(__xludf.DUMMYFUNCTION("""COMPUTED_VALUE"""),"ENG")</f>
        <v>ENG</v>
      </c>
      <c r="C631" s="6" t="str">
        <f>IFERROR(__xludf.DUMMYFUNCTION("""COMPUTED_VALUE"""),"Q-60502-00")</f>
        <v>Q-60502-00</v>
      </c>
      <c r="D631" s="6" t="str">
        <f>IFERROR(__xludf.DUMMYFUNCTION("""COMPUTED_VALUE"""),"Silicone Sealant, Silglaze, Type N10 White, pack size per pcs")</f>
        <v>Silicone Sealant, Silglaze, Type N10 White, pack size per pcs</v>
      </c>
      <c r="E631" s="6">
        <f>IFERROR(__xludf.DUMMYFUNCTION("""COMPUTED_VALUE"""),3.0)</f>
        <v>3</v>
      </c>
      <c r="F631" s="6">
        <f>IFERROR(__xludf.DUMMYFUNCTION("""COMPUTED_VALUE"""),3.0)</f>
        <v>3</v>
      </c>
      <c r="G631" s="6">
        <f>IFERROR(__xludf.DUMMYFUNCTION("""COMPUTED_VALUE"""),0.0)</f>
        <v>0</v>
      </c>
      <c r="H631" s="6" t="str">
        <f>IFERROR(__xludf.DUMMYFUNCTION("""COMPUTED_VALUE"""),"Pcs")</f>
        <v>Pcs</v>
      </c>
      <c r="I631" s="6" t="str">
        <f>IFERROR(__xludf.DUMMYFUNCTION("""COMPUTED_VALUE"""),"MFH")</f>
        <v>MFH</v>
      </c>
      <c r="J631" s="6" t="str">
        <f>IFERROR(__xludf.DUMMYFUNCTION("""COMPUTED_VALUE"""),"Capping")</f>
        <v>Capping</v>
      </c>
      <c r="K631" s="6" t="str">
        <f>IFERROR(__xludf.DUMMYFUNCTION("""COMPUTED_VALUE"""),"SPR/02/24/026")</f>
        <v>SPR/02/24/026</v>
      </c>
      <c r="L631" s="13">
        <f>IFERROR(__xludf.DUMMYFUNCTION("""COMPUTED_VALUE"""),45348.0)</f>
        <v>45348</v>
      </c>
    </row>
    <row r="632">
      <c r="A632" s="6" t="str">
        <f>IFERROR(__xludf.DUMMYFUNCTION("""COMPUTED_VALUE"""),"ROS")</f>
        <v>ROS</v>
      </c>
      <c r="B632" s="6" t="str">
        <f>IFERROR(__xludf.DUMMYFUNCTION("""COMPUTED_VALUE"""),"ENG")</f>
        <v>ENG</v>
      </c>
      <c r="C632" s="6" t="str">
        <f>IFERROR(__xludf.DUMMYFUNCTION("""COMPUTED_VALUE"""),"O-52859-00")</f>
        <v>O-52859-00</v>
      </c>
      <c r="D632" s="6" t="str">
        <f>IFERROR(__xludf.DUMMYFUNCTION("""COMPUTED_VALUE"""),"Temperature Controller - TK4S- 24RN 100-240 VAC AUTONICS; ; ;")</f>
        <v>Temperature Controller - TK4S- 24RN 100-240 VAC AUTONICS; ; ;</v>
      </c>
      <c r="E632" s="6">
        <f>IFERROR(__xludf.DUMMYFUNCTION("""COMPUTED_VALUE"""),1.0)</f>
        <v>1</v>
      </c>
      <c r="F632" s="6">
        <f>IFERROR(__xludf.DUMMYFUNCTION("""COMPUTED_VALUE"""),1.0)</f>
        <v>1</v>
      </c>
      <c r="G632" s="6">
        <f>IFERROR(__xludf.DUMMYFUNCTION("""COMPUTED_VALUE"""),0.0)</f>
        <v>0</v>
      </c>
      <c r="H632" s="6" t="str">
        <f>IFERROR(__xludf.DUMMYFUNCTION("""COMPUTED_VALUE"""),"Pcs")</f>
        <v>Pcs</v>
      </c>
      <c r="I632" s="6" t="str">
        <f>IFERROR(__xludf.DUMMYFUNCTION("""COMPUTED_VALUE"""),"MFH")</f>
        <v>MFH</v>
      </c>
      <c r="J632" s="6" t="str">
        <f>IFERROR(__xludf.DUMMYFUNCTION("""COMPUTED_VALUE"""),"Oven")</f>
        <v>Oven</v>
      </c>
      <c r="K632" s="6" t="str">
        <f>IFERROR(__xludf.DUMMYFUNCTION("""COMPUTED_VALUE"""),"SPR/02/24/026")</f>
        <v>SPR/02/24/026</v>
      </c>
      <c r="L632" s="13">
        <f>IFERROR(__xludf.DUMMYFUNCTION("""COMPUTED_VALUE"""),45348.0)</f>
        <v>45348</v>
      </c>
    </row>
    <row r="633">
      <c r="A633" s="6" t="str">
        <f>IFERROR(__xludf.DUMMYFUNCTION("""COMPUTED_VALUE"""),"ROS")</f>
        <v>ROS</v>
      </c>
      <c r="B633" s="6" t="str">
        <f>IFERROR(__xludf.DUMMYFUNCTION("""COMPUTED_VALUE"""),"ENG")</f>
        <v>ENG</v>
      </c>
      <c r="C633" s="6" t="str">
        <f>IFERROR(__xludf.DUMMYFUNCTION("""COMPUTED_VALUE"""),"P-52489-00")</f>
        <v>P-52489-00</v>
      </c>
      <c r="D633" s="6" t="str">
        <f>IFERROR(__xludf.DUMMYFUNCTION("""COMPUTED_VALUE"""),"Converter Cleanphone Phone")</f>
        <v>Converter Cleanphone Phone</v>
      </c>
      <c r="E633" s="6">
        <f>IFERROR(__xludf.DUMMYFUNCTION("""COMPUTED_VALUE"""),1.0)</f>
        <v>1</v>
      </c>
      <c r="F633" s="6">
        <f>IFERROR(__xludf.DUMMYFUNCTION("""COMPUTED_VALUE"""),1.0)</f>
        <v>1</v>
      </c>
      <c r="G633" s="6">
        <f>IFERROR(__xludf.DUMMYFUNCTION("""COMPUTED_VALUE"""),0.0)</f>
        <v>0</v>
      </c>
      <c r="H633" s="6" t="str">
        <f>IFERROR(__xludf.DUMMYFUNCTION("""COMPUTED_VALUE"""),"Pcs")</f>
        <v>Pcs</v>
      </c>
      <c r="I633" s="6" t="str">
        <f>IFERROR(__xludf.DUMMYFUNCTION("""COMPUTED_VALUE"""),"MFH")</f>
        <v>MFH</v>
      </c>
      <c r="J633" s="6" t="str">
        <f>IFERROR(__xludf.DUMMYFUNCTION("""COMPUTED_VALUE"""),"Autoclave")</f>
        <v>Autoclave</v>
      </c>
      <c r="K633" s="6" t="str">
        <f>IFERROR(__xludf.DUMMYFUNCTION("""COMPUTED_VALUE"""),"SPR/02/24/027")</f>
        <v>SPR/02/24/027</v>
      </c>
      <c r="L633" s="13">
        <f>IFERROR(__xludf.DUMMYFUNCTION("""COMPUTED_VALUE"""),45348.0)</f>
        <v>45348</v>
      </c>
    </row>
    <row r="634">
      <c r="A634" s="6" t="str">
        <f>IFERROR(__xludf.DUMMYFUNCTION("""COMPUTED_VALUE"""),"ROS")</f>
        <v>ROS</v>
      </c>
      <c r="B634" s="6" t="str">
        <f>IFERROR(__xludf.DUMMYFUNCTION("""COMPUTED_VALUE"""),"ENG")</f>
        <v>ENG</v>
      </c>
      <c r="C634" s="6" t="str">
        <f>IFERROR(__xludf.DUMMYFUNCTION("""COMPUTED_VALUE"""),"Q-60003-00")</f>
        <v>Q-60003-00</v>
      </c>
      <c r="D634" s="6" t="str">
        <f>IFERROR(__xludf.DUMMYFUNCTION("""COMPUTED_VALUE"""),"Plakband Kertas")</f>
        <v>Plakband Kertas</v>
      </c>
      <c r="E634" s="6">
        <f>IFERROR(__xludf.DUMMYFUNCTION("""COMPUTED_VALUE"""),5.0)</f>
        <v>5</v>
      </c>
      <c r="F634" s="6">
        <f>IFERROR(__xludf.DUMMYFUNCTION("""COMPUTED_VALUE"""),5.0)</f>
        <v>5</v>
      </c>
      <c r="G634" s="6">
        <f>IFERROR(__xludf.DUMMYFUNCTION("""COMPUTED_VALUE"""),0.0)</f>
        <v>0</v>
      </c>
      <c r="H634" s="6" t="str">
        <f>IFERROR(__xludf.DUMMYFUNCTION("""COMPUTED_VALUE"""),"Pcs")</f>
        <v>Pcs</v>
      </c>
      <c r="I634" s="6" t="str">
        <f>IFERROR(__xludf.DUMMYFUNCTION("""COMPUTED_VALUE"""),"MFH")</f>
        <v>MFH</v>
      </c>
      <c r="J634" s="6" t="str">
        <f>IFERROR(__xludf.DUMMYFUNCTION("""COMPUTED_VALUE"""),"Tunnel")</f>
        <v>Tunnel</v>
      </c>
      <c r="K634" s="6" t="str">
        <f>IFERROR(__xludf.DUMMYFUNCTION("""COMPUTED_VALUE"""),"SPR/02/24/027")</f>
        <v>SPR/02/24/027</v>
      </c>
      <c r="L634" s="13">
        <f>IFERROR(__xludf.DUMMYFUNCTION("""COMPUTED_VALUE"""),45348.0)</f>
        <v>45348</v>
      </c>
    </row>
    <row r="635">
      <c r="A635" s="6" t="str">
        <f>IFERROR(__xludf.DUMMYFUNCTION("""COMPUTED_VALUE"""),"ROS")</f>
        <v>ROS</v>
      </c>
      <c r="B635" s="6" t="str">
        <f>IFERROR(__xludf.DUMMYFUNCTION("""COMPUTED_VALUE"""),"ENG")</f>
        <v>ENG</v>
      </c>
      <c r="C635" s="6" t="str">
        <f>IFERROR(__xludf.DUMMYFUNCTION("""COMPUTED_VALUE"""),"Q-60503-00")</f>
        <v>Q-60503-00</v>
      </c>
      <c r="D635" s="6" t="str">
        <f>IFERROR(__xludf.DUMMYFUNCTION("""COMPUTED_VALUE"""),"Silicone Sealant, Silglaze, Type N10 Grey, pack size per pcs")</f>
        <v>Silicone Sealant, Silglaze, Type N10 Grey, pack size per pcs</v>
      </c>
      <c r="E635" s="6">
        <f>IFERROR(__xludf.DUMMYFUNCTION("""COMPUTED_VALUE"""),1.0)</f>
        <v>1</v>
      </c>
      <c r="F635" s="6">
        <f>IFERROR(__xludf.DUMMYFUNCTION("""COMPUTED_VALUE"""),1.0)</f>
        <v>1</v>
      </c>
      <c r="G635" s="6">
        <f>IFERROR(__xludf.DUMMYFUNCTION("""COMPUTED_VALUE"""),0.0)</f>
        <v>0</v>
      </c>
      <c r="H635" s="6" t="str">
        <f>IFERROR(__xludf.DUMMYFUNCTION("""COMPUTED_VALUE"""),"Pcs")</f>
        <v>Pcs</v>
      </c>
      <c r="I635" s="6" t="str">
        <f>IFERROR(__xludf.DUMMYFUNCTION("""COMPUTED_VALUE"""),"MFH")</f>
        <v>MFH</v>
      </c>
      <c r="J635" s="6" t="str">
        <f>IFERROR(__xludf.DUMMYFUNCTION("""COMPUTED_VALUE"""),"Tunnel")</f>
        <v>Tunnel</v>
      </c>
      <c r="K635" s="6" t="str">
        <f>IFERROR(__xludf.DUMMYFUNCTION("""COMPUTED_VALUE"""),"SPR/02/24/027")</f>
        <v>SPR/02/24/027</v>
      </c>
      <c r="L635" s="13">
        <f>IFERROR(__xludf.DUMMYFUNCTION("""COMPUTED_VALUE"""),45348.0)</f>
        <v>45348</v>
      </c>
    </row>
    <row r="636">
      <c r="A636" s="6" t="str">
        <f>IFERROR(__xludf.DUMMYFUNCTION("""COMPUTED_VALUE"""),"HMA")</f>
        <v>HMA</v>
      </c>
      <c r="B636" s="6" t="str">
        <f>IFERROR(__xludf.DUMMYFUNCTION("""COMPUTED_VALUE"""),"ENG")</f>
        <v>ENG</v>
      </c>
      <c r="C636" s="6" t="str">
        <f>IFERROR(__xludf.DUMMYFUNCTION("""COMPUTED_VALUE"""),"O-14640-00")</f>
        <v>O-14640-00</v>
      </c>
      <c r="D636" s="6" t="str">
        <f>IFERROR(__xludf.DUMMYFUNCTION("""COMPUTED_VALUE"""),"Silicone Gasket for Ferrule dia. 3/4""")</f>
        <v>Silicone Gasket for Ferrule dia. 3/4"</v>
      </c>
      <c r="E636" s="6">
        <f>IFERROR(__xludf.DUMMYFUNCTION("""COMPUTED_VALUE"""),5.0)</f>
        <v>5</v>
      </c>
      <c r="F636" s="6">
        <f>IFERROR(__xludf.DUMMYFUNCTION("""COMPUTED_VALUE"""),4.0)</f>
        <v>4</v>
      </c>
      <c r="G636" s="6">
        <f>IFERROR(__xludf.DUMMYFUNCTION("""COMPUTED_VALUE"""),0.0)</f>
        <v>0</v>
      </c>
      <c r="H636" s="6" t="str">
        <f>IFERROR(__xludf.DUMMYFUNCTION("""COMPUTED_VALUE"""),"Pcs")</f>
        <v>Pcs</v>
      </c>
      <c r="I636" s="6" t="str">
        <f>IFERROR(__xludf.DUMMYFUNCTION("""COMPUTED_VALUE"""),"MFH")</f>
        <v>MFH</v>
      </c>
      <c r="J636" s="6" t="str">
        <f>IFERROR(__xludf.DUMMYFUNCTION("""COMPUTED_VALUE"""),"Water System")</f>
        <v>Water System</v>
      </c>
      <c r="K636" s="6" t="str">
        <f>IFERROR(__xludf.DUMMYFUNCTION("""COMPUTED_VALUE"""),"SPR/02/24/028")</f>
        <v>SPR/02/24/028</v>
      </c>
      <c r="L636" s="13">
        <f>IFERROR(__xludf.DUMMYFUNCTION("""COMPUTED_VALUE"""),45348.0)</f>
        <v>45348</v>
      </c>
    </row>
    <row r="637">
      <c r="A637" s="6" t="str">
        <f>IFERROR(__xludf.DUMMYFUNCTION("""COMPUTED_VALUE"""),"NDS")</f>
        <v>NDS</v>
      </c>
      <c r="B637" s="6" t="str">
        <f>IFERROR(__xludf.DUMMYFUNCTION("""COMPUTED_VALUE"""),"ENG")</f>
        <v>ENG</v>
      </c>
      <c r="C637" s="6" t="str">
        <f>IFERROR(__xludf.DUMMYFUNCTION("""COMPUTED_VALUE"""),"P-15852-00")</f>
        <v>P-15852-00</v>
      </c>
      <c r="D637" s="6" t="str">
        <f>IFERROR(__xludf.DUMMYFUNCTION("""COMPUTED_VALUE"""),"AMPLAS EAGLE 500")</f>
        <v>AMPLAS EAGLE 500</v>
      </c>
      <c r="E637" s="6">
        <f>IFERROR(__xludf.DUMMYFUNCTION("""COMPUTED_VALUE"""),4.0)</f>
        <v>4</v>
      </c>
      <c r="F637" s="6">
        <f>IFERROR(__xludf.DUMMYFUNCTION("""COMPUTED_VALUE"""),2.0)</f>
        <v>2</v>
      </c>
      <c r="G637" s="6">
        <f>IFERROR(__xludf.DUMMYFUNCTION("""COMPUTED_VALUE"""),0.0)</f>
        <v>0</v>
      </c>
      <c r="H637" s="6" t="str">
        <f>IFERROR(__xludf.DUMMYFUNCTION("""COMPUTED_VALUE"""),"Pcs")</f>
        <v>Pcs</v>
      </c>
      <c r="I637" s="6" t="str">
        <f>IFERROR(__xludf.DUMMYFUNCTION("""COMPUTED_VALUE"""),"MFH")</f>
        <v>MFH</v>
      </c>
      <c r="J637" s="6" t="str">
        <f>IFERROR(__xludf.DUMMYFUNCTION("""COMPUTED_VALUE"""),"FD")</f>
        <v>FD</v>
      </c>
      <c r="K637" s="6" t="str">
        <f>IFERROR(__xludf.DUMMYFUNCTION("""COMPUTED_VALUE"""),"SPR/02/24/029")</f>
        <v>SPR/02/24/029</v>
      </c>
      <c r="L637" s="13">
        <f>IFERROR(__xludf.DUMMYFUNCTION("""COMPUTED_VALUE"""),45348.0)</f>
        <v>45348</v>
      </c>
    </row>
    <row r="638">
      <c r="A638" s="6" t="str">
        <f>IFERROR(__xludf.DUMMYFUNCTION("""COMPUTED_VALUE"""),"SFH")</f>
        <v>SFH</v>
      </c>
      <c r="B638" s="6" t="str">
        <f>IFERROR(__xludf.DUMMYFUNCTION("""COMPUTED_VALUE"""),"ENG")</f>
        <v>ENG</v>
      </c>
      <c r="C638" s="6" t="str">
        <f>IFERROR(__xludf.DUMMYFUNCTION("""COMPUTED_VALUE"""),"P-51560-00")</f>
        <v>P-51560-00</v>
      </c>
      <c r="D638" s="6" t="str">
        <f>IFERROR(__xludf.DUMMYFUNCTION("""COMPUTED_VALUE"""),"Lampu T5 28watt Putih; Phillips; ;")</f>
        <v>Lampu T5 28watt Putih; Phillips; ;</v>
      </c>
      <c r="E638" s="6">
        <f>IFERROR(__xludf.DUMMYFUNCTION("""COMPUTED_VALUE"""),1.0)</f>
        <v>1</v>
      </c>
      <c r="F638" s="6">
        <f>IFERROR(__xludf.DUMMYFUNCTION("""COMPUTED_VALUE"""),1.0)</f>
        <v>1</v>
      </c>
      <c r="G638" s="6">
        <f>IFERROR(__xludf.DUMMYFUNCTION("""COMPUTED_VALUE"""),0.0)</f>
        <v>0</v>
      </c>
      <c r="H638" s="6" t="str">
        <f>IFERROR(__xludf.DUMMYFUNCTION("""COMPUTED_VALUE"""),"Pcs")</f>
        <v>Pcs</v>
      </c>
      <c r="I638" s="6" t="str">
        <f>IFERROR(__xludf.DUMMYFUNCTION("""COMPUTED_VALUE"""),"MFH")</f>
        <v>MFH</v>
      </c>
      <c r="J638" s="6" t="str">
        <f>IFERROR(__xludf.DUMMYFUNCTION("""COMPUTED_VALUE"""),"Building")</f>
        <v>Building</v>
      </c>
      <c r="K638" s="6" t="str">
        <f>IFERROR(__xludf.DUMMYFUNCTION("""COMPUTED_VALUE"""),"SPR/02/24/030")</f>
        <v>SPR/02/24/030</v>
      </c>
      <c r="L638" s="13">
        <f>IFERROR(__xludf.DUMMYFUNCTION("""COMPUTED_VALUE"""),45348.0)</f>
        <v>45348</v>
      </c>
    </row>
    <row r="639">
      <c r="A639" s="6" t="str">
        <f>IFERROR(__xludf.DUMMYFUNCTION("""COMPUTED_VALUE"""),"SFH")</f>
        <v>SFH</v>
      </c>
      <c r="B639" s="6" t="str">
        <f>IFERROR(__xludf.DUMMYFUNCTION("""COMPUTED_VALUE"""),"ENG")</f>
        <v>ENG</v>
      </c>
      <c r="C639" s="6" t="str">
        <f>IFERROR(__xludf.DUMMYFUNCTION("""COMPUTED_VALUE"""),"P-53169-00")</f>
        <v>P-53169-00</v>
      </c>
      <c r="D639" s="6" t="str">
        <f>IFERROR(__xludf.DUMMYFUNCTION("""COMPUTED_VALUE"""),"Ballast Electronic EB-C 228 TL5, 2x28W; Phillips; ;")</f>
        <v>Ballast Electronic EB-C 228 TL5, 2x28W; Phillips; ;</v>
      </c>
      <c r="E639" s="6">
        <f>IFERROR(__xludf.DUMMYFUNCTION("""COMPUTED_VALUE"""),1.0)</f>
        <v>1</v>
      </c>
      <c r="F639" s="6">
        <f>IFERROR(__xludf.DUMMYFUNCTION("""COMPUTED_VALUE"""),1.0)</f>
        <v>1</v>
      </c>
      <c r="G639" s="6">
        <f>IFERROR(__xludf.DUMMYFUNCTION("""COMPUTED_VALUE"""),0.0)</f>
        <v>0</v>
      </c>
      <c r="H639" s="6" t="str">
        <f>IFERROR(__xludf.DUMMYFUNCTION("""COMPUTED_VALUE"""),"Pcs")</f>
        <v>Pcs</v>
      </c>
      <c r="I639" s="6" t="str">
        <f>IFERROR(__xludf.DUMMYFUNCTION("""COMPUTED_VALUE"""),"MFH")</f>
        <v>MFH</v>
      </c>
      <c r="J639" s="6" t="str">
        <f>IFERROR(__xludf.DUMMYFUNCTION("""COMPUTED_VALUE"""),"Building")</f>
        <v>Building</v>
      </c>
      <c r="K639" s="6" t="str">
        <f>IFERROR(__xludf.DUMMYFUNCTION("""COMPUTED_VALUE"""),"SPR/02/24/030")</f>
        <v>SPR/02/24/030</v>
      </c>
      <c r="L639" s="13">
        <f>IFERROR(__xludf.DUMMYFUNCTION("""COMPUTED_VALUE"""),45348.0)</f>
        <v>45348</v>
      </c>
    </row>
    <row r="640">
      <c r="A640" s="6" t="str">
        <f>IFERROR(__xludf.DUMMYFUNCTION("""COMPUTED_VALUE"""),"ROS")</f>
        <v>ROS</v>
      </c>
      <c r="B640" s="6" t="str">
        <f>IFERROR(__xludf.DUMMYFUNCTION("""COMPUTED_VALUE"""),"ENG")</f>
        <v>ENG</v>
      </c>
      <c r="C640" s="6" t="str">
        <f>IFERROR(__xludf.DUMMYFUNCTION("""COMPUTED_VALUE"""),"O-16033-00")</f>
        <v>O-16033-00</v>
      </c>
      <c r="D64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640" s="6">
        <f>IFERROR(__xludf.DUMMYFUNCTION("""COMPUTED_VALUE"""),1.0)</f>
        <v>1</v>
      </c>
      <c r="F640" s="6">
        <f>IFERROR(__xludf.DUMMYFUNCTION("""COMPUTED_VALUE"""),1.0)</f>
        <v>1</v>
      </c>
      <c r="G640" s="6">
        <f>IFERROR(__xludf.DUMMYFUNCTION("""COMPUTED_VALUE"""),0.0)</f>
        <v>0</v>
      </c>
      <c r="H640" s="6" t="str">
        <f>IFERROR(__xludf.DUMMYFUNCTION("""COMPUTED_VALUE"""),"Pcs")</f>
        <v>Pcs</v>
      </c>
      <c r="I640" s="6" t="str">
        <f>IFERROR(__xludf.DUMMYFUNCTION("""COMPUTED_VALUE"""),"MFH")</f>
        <v>MFH</v>
      </c>
      <c r="J640" s="6" t="str">
        <f>IFERROR(__xludf.DUMMYFUNCTION("""COMPUTED_VALUE"""),"Mixing")</f>
        <v>Mixing</v>
      </c>
      <c r="K640" s="6" t="str">
        <f>IFERROR(__xludf.DUMMYFUNCTION("""COMPUTED_VALUE"""),"SPR/02/24/031")</f>
        <v>SPR/02/24/031</v>
      </c>
      <c r="L640" s="13">
        <f>IFERROR(__xludf.DUMMYFUNCTION("""COMPUTED_VALUE"""),45348.0)</f>
        <v>45348</v>
      </c>
    </row>
    <row r="641">
      <c r="A641" s="6" t="str">
        <f>IFERROR(__xludf.DUMMYFUNCTION("""COMPUTED_VALUE"""),"ROS")</f>
        <v>ROS</v>
      </c>
      <c r="B641" s="6" t="str">
        <f>IFERROR(__xludf.DUMMYFUNCTION("""COMPUTED_VALUE"""),"ENG")</f>
        <v>ENG</v>
      </c>
      <c r="C641" s="6" t="str">
        <f>IFERROR(__xludf.DUMMYFUNCTION("""COMPUTED_VALUE"""),"P-11968-00")</f>
        <v>P-11968-00</v>
      </c>
      <c r="D641" s="6" t="str">
        <f>IFERROR(__xludf.DUMMYFUNCTION("""COMPUTED_VALUE"""),"Berusynt FGH Spray H1 - Bechem")</f>
        <v>Berusynt FGH Spray H1 - Bechem</v>
      </c>
      <c r="E641" s="6">
        <f>IFERROR(__xludf.DUMMYFUNCTION("""COMPUTED_VALUE"""),1.0)</f>
        <v>1</v>
      </c>
      <c r="F641" s="6">
        <f>IFERROR(__xludf.DUMMYFUNCTION("""COMPUTED_VALUE"""),1.0)</f>
        <v>1</v>
      </c>
      <c r="G641" s="6">
        <f>IFERROR(__xludf.DUMMYFUNCTION("""COMPUTED_VALUE"""),0.0)</f>
        <v>0</v>
      </c>
      <c r="H641" s="6" t="str">
        <f>IFERROR(__xludf.DUMMYFUNCTION("""COMPUTED_VALUE"""),"Pcs")</f>
        <v>Pcs</v>
      </c>
      <c r="I641" s="6" t="str">
        <f>IFERROR(__xludf.DUMMYFUNCTION("""COMPUTED_VALUE"""),"MFH")</f>
        <v>MFH</v>
      </c>
      <c r="J641" s="6" t="str">
        <f>IFERROR(__xludf.DUMMYFUNCTION("""COMPUTED_VALUE"""),"Mixing")</f>
        <v>Mixing</v>
      </c>
      <c r="K641" s="6" t="str">
        <f>IFERROR(__xludf.DUMMYFUNCTION("""COMPUTED_VALUE"""),"SPR/02/24/031")</f>
        <v>SPR/02/24/031</v>
      </c>
      <c r="L641" s="13">
        <f>IFERROR(__xludf.DUMMYFUNCTION("""COMPUTED_VALUE"""),45348.0)</f>
        <v>45348</v>
      </c>
    </row>
    <row r="642">
      <c r="A642" s="6" t="str">
        <f>IFERROR(__xludf.DUMMYFUNCTION("""COMPUTED_VALUE"""),"ROS")</f>
        <v>ROS</v>
      </c>
      <c r="B642" s="6" t="str">
        <f>IFERROR(__xludf.DUMMYFUNCTION("""COMPUTED_VALUE"""),"ENG")</f>
        <v>ENG</v>
      </c>
      <c r="C642" s="6" t="str">
        <f>IFERROR(__xludf.DUMMYFUNCTION("""COMPUTED_VALUE"""),"O-19431-00")</f>
        <v>O-19431-00</v>
      </c>
      <c r="D642" s="6" t="str">
        <f>IFERROR(__xludf.DUMMYFUNCTION("""COMPUTED_VALUE"""),"Baut SS L M8 x 30 mm + Mur + Ring; ; ;; ; ;; ; ;")</f>
        <v>Baut SS L M8 x 30 mm + Mur + Ring; ; ;; ; ;; ; ;</v>
      </c>
      <c r="E642" s="6">
        <f>IFERROR(__xludf.DUMMYFUNCTION("""COMPUTED_VALUE"""),10.0)</f>
        <v>10</v>
      </c>
      <c r="F642" s="6">
        <f>IFERROR(__xludf.DUMMYFUNCTION("""COMPUTED_VALUE"""),10.0)</f>
        <v>10</v>
      </c>
      <c r="G642" s="6">
        <f>IFERROR(__xludf.DUMMYFUNCTION("""COMPUTED_VALUE"""),0.0)</f>
        <v>0</v>
      </c>
      <c r="H642" s="6" t="str">
        <f>IFERROR(__xludf.DUMMYFUNCTION("""COMPUTED_VALUE"""),"Pcs")</f>
        <v>Pcs</v>
      </c>
      <c r="I642" s="6" t="str">
        <f>IFERROR(__xludf.DUMMYFUNCTION("""COMPUTED_VALUE"""),"MFH")</f>
        <v>MFH</v>
      </c>
      <c r="J642" s="6" t="str">
        <f>IFERROR(__xludf.DUMMYFUNCTION("""COMPUTED_VALUE"""),"Vacuum Pump")</f>
        <v>Vacuum Pump</v>
      </c>
      <c r="K642" s="6" t="str">
        <f>IFERROR(__xludf.DUMMYFUNCTION("""COMPUTED_VALUE"""),"SPR/02/24/031")</f>
        <v>SPR/02/24/031</v>
      </c>
      <c r="L642" s="13">
        <f>IFERROR(__xludf.DUMMYFUNCTION("""COMPUTED_VALUE"""),45348.0)</f>
        <v>45348</v>
      </c>
    </row>
    <row r="643">
      <c r="A643" s="6" t="str">
        <f>IFERROR(__xludf.DUMMYFUNCTION("""COMPUTED_VALUE"""),"SFH")</f>
        <v>SFH</v>
      </c>
      <c r="B643" s="6" t="str">
        <f>IFERROR(__xludf.DUMMYFUNCTION("""COMPUTED_VALUE"""),"ENG")</f>
        <v>ENG</v>
      </c>
      <c r="C643" s="6" t="str">
        <f>IFERROR(__xludf.DUMMYFUNCTION("""COMPUTED_VALUE"""),"P-53102-00")</f>
        <v>P-53102-00</v>
      </c>
      <c r="D643" s="6" t="str">
        <f>IFERROR(__xludf.DUMMYFUNCTION("""COMPUTED_VALUE"""),"Lampu PLC 13watt/E27 Putih; Phillips; ;")</f>
        <v>Lampu PLC 13watt/E27 Putih; Phillips; ;</v>
      </c>
      <c r="E643" s="6">
        <f>IFERROR(__xludf.DUMMYFUNCTION("""COMPUTED_VALUE"""),4.0)</f>
        <v>4</v>
      </c>
      <c r="F643" s="6">
        <f>IFERROR(__xludf.DUMMYFUNCTION("""COMPUTED_VALUE"""),2.0)</f>
        <v>2</v>
      </c>
      <c r="G643" s="6">
        <f>IFERROR(__xludf.DUMMYFUNCTION("""COMPUTED_VALUE"""),0.0)</f>
        <v>0</v>
      </c>
      <c r="H643" s="6" t="str">
        <f>IFERROR(__xludf.DUMMYFUNCTION("""COMPUTED_VALUE"""),"Pcs")</f>
        <v>Pcs</v>
      </c>
      <c r="I643" s="6" t="str">
        <f>IFERROR(__xludf.DUMMYFUNCTION("""COMPUTED_VALUE"""),"MFH")</f>
        <v>MFH</v>
      </c>
      <c r="J643" s="6" t="str">
        <f>IFERROR(__xludf.DUMMYFUNCTION("""COMPUTED_VALUE"""),"Building")</f>
        <v>Building</v>
      </c>
      <c r="K643" s="6" t="str">
        <f>IFERROR(__xludf.DUMMYFUNCTION("""COMPUTED_VALUE"""),"SPR/02/24/032")</f>
        <v>SPR/02/24/032</v>
      </c>
      <c r="L643" s="13">
        <f>IFERROR(__xludf.DUMMYFUNCTION("""COMPUTED_VALUE"""),45348.0)</f>
        <v>45348</v>
      </c>
    </row>
    <row r="644">
      <c r="A644" s="6" t="str">
        <f>IFERROR(__xludf.DUMMYFUNCTION("""COMPUTED_VALUE"""),"SFH")</f>
        <v>SFH</v>
      </c>
      <c r="B644" s="6" t="str">
        <f>IFERROR(__xludf.DUMMYFUNCTION("""COMPUTED_VALUE"""),"ENG")</f>
        <v>ENG</v>
      </c>
      <c r="C644" s="6" t="str">
        <f>IFERROR(__xludf.DUMMYFUNCTION("""COMPUTED_VALUE"""),"P-51559-00")</f>
        <v>P-51559-00</v>
      </c>
      <c r="D644" s="6" t="str">
        <f>IFERROR(__xludf.DUMMYFUNCTION("""COMPUTED_VALUE"""),"Lampu T5 14watt Putih; Phillips; ;")</f>
        <v>Lampu T5 14watt Putih; Phillips; ;</v>
      </c>
      <c r="E644" s="6">
        <f>IFERROR(__xludf.DUMMYFUNCTION("""COMPUTED_VALUE"""),1.0)</f>
        <v>1</v>
      </c>
      <c r="F644" s="6">
        <f>IFERROR(__xludf.DUMMYFUNCTION("""COMPUTED_VALUE"""),2.0)</f>
        <v>2</v>
      </c>
      <c r="G644" s="6">
        <f>IFERROR(__xludf.DUMMYFUNCTION("""COMPUTED_VALUE"""),0.0)</f>
        <v>0</v>
      </c>
      <c r="H644" s="6" t="str">
        <f>IFERROR(__xludf.DUMMYFUNCTION("""COMPUTED_VALUE"""),"Pcs")</f>
        <v>Pcs</v>
      </c>
      <c r="I644" s="6" t="str">
        <f>IFERROR(__xludf.DUMMYFUNCTION("""COMPUTED_VALUE"""),"MFH")</f>
        <v>MFH</v>
      </c>
      <c r="J644" s="6" t="str">
        <f>IFERROR(__xludf.DUMMYFUNCTION("""COMPUTED_VALUE"""),"Building")</f>
        <v>Building</v>
      </c>
      <c r="K644" s="6" t="str">
        <f>IFERROR(__xludf.DUMMYFUNCTION("""COMPUTED_VALUE"""),"SPR/02/24/032")</f>
        <v>SPR/02/24/032</v>
      </c>
      <c r="L644" s="13">
        <f>IFERROR(__xludf.DUMMYFUNCTION("""COMPUTED_VALUE"""),45348.0)</f>
        <v>45348</v>
      </c>
    </row>
    <row r="645">
      <c r="A645" s="6" t="str">
        <f>IFERROR(__xludf.DUMMYFUNCTION("""COMPUTED_VALUE"""),"RPA")</f>
        <v>RPA</v>
      </c>
      <c r="B645" s="6" t="str">
        <f>IFERROR(__xludf.DUMMYFUNCTION("""COMPUTED_VALUE"""),"PRO")</f>
        <v>PRO</v>
      </c>
      <c r="C645" s="6" t="str">
        <f>IFERROR(__xludf.DUMMYFUNCTION("""COMPUTED_VALUE"""),"T-80681-00")</f>
        <v>T-80681-00</v>
      </c>
      <c r="D645" s="6" t="str">
        <f>IFERROR(__xludf.DUMMYFUNCTION("""COMPUTED_VALUE"""),"Battery Kancing Energizer CR20")</f>
        <v>Battery Kancing Energizer CR20</v>
      </c>
      <c r="E645" s="6">
        <f>IFERROR(__xludf.DUMMYFUNCTION("""COMPUTED_VALUE"""),1.0)</f>
        <v>1</v>
      </c>
      <c r="F645" s="6">
        <f>IFERROR(__xludf.DUMMYFUNCTION("""COMPUTED_VALUE"""),1.0)</f>
        <v>1</v>
      </c>
      <c r="G645" s="6">
        <f>IFERROR(__xludf.DUMMYFUNCTION("""COMPUTED_VALUE"""),0.0)</f>
        <v>0</v>
      </c>
      <c r="H645" s="6" t="str">
        <f>IFERROR(__xludf.DUMMYFUNCTION("""COMPUTED_VALUE"""),"Pcs")</f>
        <v>Pcs</v>
      </c>
      <c r="I645" s="6" t="str">
        <f>IFERROR(__xludf.DUMMYFUNCTION("""COMPUTED_VALUE"""),"MFH")</f>
        <v>MFH</v>
      </c>
      <c r="J645" s="6" t="str">
        <f>IFERROR(__xludf.DUMMYFUNCTION("""COMPUTED_VALUE"""),"RPA")</f>
        <v>RPA</v>
      </c>
      <c r="K645" s="6" t="str">
        <f>IFERROR(__xludf.DUMMYFUNCTION("""COMPUTED_VALUE"""),"SPR/02/24/033")</f>
        <v>SPR/02/24/033</v>
      </c>
      <c r="L645" s="13">
        <f>IFERROR(__xludf.DUMMYFUNCTION("""COMPUTED_VALUE"""),45348.0)</f>
        <v>45348</v>
      </c>
    </row>
    <row r="646">
      <c r="A646" s="6" t="str">
        <f>IFERROR(__xludf.DUMMYFUNCTION("""COMPUTED_VALUE"""),"SFH")</f>
        <v>SFH</v>
      </c>
      <c r="B646" s="6" t="str">
        <f>IFERROR(__xludf.DUMMYFUNCTION("""COMPUTED_VALUE"""),"ENG")</f>
        <v>ENG</v>
      </c>
      <c r="C646" s="6" t="str">
        <f>IFERROR(__xludf.DUMMYFUNCTION("""COMPUTED_VALUE"""),"Q-10817-00")</f>
        <v>Q-10817-00</v>
      </c>
      <c r="D646" s="6" t="str">
        <f>IFERROR(__xludf.DUMMYFUNCTION("""COMPUTED_VALUE"""),"Door Closer Type: TS77 Hold Open; DORMA; ;")</f>
        <v>Door Closer Type: TS77 Hold Open; DORMA; ;</v>
      </c>
      <c r="E646" s="6">
        <f>IFERROR(__xludf.DUMMYFUNCTION("""COMPUTED_VALUE"""),1.0)</f>
        <v>1</v>
      </c>
      <c r="F646" s="6">
        <f>IFERROR(__xludf.DUMMYFUNCTION("""COMPUTED_VALUE"""),1.0)</f>
        <v>1</v>
      </c>
      <c r="G646" s="6">
        <f>IFERROR(__xludf.DUMMYFUNCTION("""COMPUTED_VALUE"""),0.0)</f>
        <v>0</v>
      </c>
      <c r="H646" s="6" t="str">
        <f>IFERROR(__xludf.DUMMYFUNCTION("""COMPUTED_VALUE"""),"Pcs")</f>
        <v>Pcs</v>
      </c>
      <c r="I646" s="6" t="str">
        <f>IFERROR(__xludf.DUMMYFUNCTION("""COMPUTED_VALUE"""),"MFH")</f>
        <v>MFH</v>
      </c>
      <c r="J646" s="6" t="str">
        <f>IFERROR(__xludf.DUMMYFUNCTION("""COMPUTED_VALUE"""),"Building")</f>
        <v>Building</v>
      </c>
      <c r="K646" s="6" t="str">
        <f>IFERROR(__xludf.DUMMYFUNCTION("""COMPUTED_VALUE"""),"SPR/02/24/034")</f>
        <v>SPR/02/24/034</v>
      </c>
      <c r="L646" s="13">
        <f>IFERROR(__xludf.DUMMYFUNCTION("""COMPUTED_VALUE"""),45348.0)</f>
        <v>45348</v>
      </c>
    </row>
    <row r="647">
      <c r="A647" s="6" t="str">
        <f>IFERROR(__xludf.DUMMYFUNCTION("""COMPUTED_VALUE"""),"NDS")</f>
        <v>NDS</v>
      </c>
      <c r="B647" s="6" t="str">
        <f>IFERROR(__xludf.DUMMYFUNCTION("""COMPUTED_VALUE"""),"ENG")</f>
        <v>ENG</v>
      </c>
      <c r="C647" s="6" t="str">
        <f>IFERROR(__xludf.DUMMYFUNCTION("""COMPUTED_VALUE"""),"O-16033-00")</f>
        <v>O-16033-00</v>
      </c>
      <c r="D64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647" s="6">
        <f>IFERROR(__xludf.DUMMYFUNCTION("""COMPUTED_VALUE"""),1.0)</f>
        <v>1</v>
      </c>
      <c r="F647" s="6">
        <f>IFERROR(__xludf.DUMMYFUNCTION("""COMPUTED_VALUE"""),1.0)</f>
        <v>1</v>
      </c>
      <c r="G647" s="6">
        <f>IFERROR(__xludf.DUMMYFUNCTION("""COMPUTED_VALUE"""),0.0)</f>
        <v>0</v>
      </c>
      <c r="H647" s="6" t="str">
        <f>IFERROR(__xludf.DUMMYFUNCTION("""COMPUTED_VALUE"""),"Pcs")</f>
        <v>Pcs</v>
      </c>
      <c r="I647" s="6" t="str">
        <f>IFERROR(__xludf.DUMMYFUNCTION("""COMPUTED_VALUE"""),"MFH")</f>
        <v>MFH</v>
      </c>
      <c r="J647" s="6" t="str">
        <f>IFERROR(__xludf.DUMMYFUNCTION("""COMPUTED_VALUE"""),"cRABS")</f>
        <v>cRABS</v>
      </c>
      <c r="K647" s="6" t="str">
        <f>IFERROR(__xludf.DUMMYFUNCTION("""COMPUTED_VALUE"""),"SPR/02/24/035")</f>
        <v>SPR/02/24/035</v>
      </c>
      <c r="L647" s="13">
        <f>IFERROR(__xludf.DUMMYFUNCTION("""COMPUTED_VALUE"""),45348.0)</f>
        <v>45348</v>
      </c>
    </row>
    <row r="648">
      <c r="A648" s="6" t="str">
        <f>IFERROR(__xludf.DUMMYFUNCTION("""COMPUTED_VALUE"""),"SFH")</f>
        <v>SFH</v>
      </c>
      <c r="B648" s="6" t="str">
        <f>IFERROR(__xludf.DUMMYFUNCTION("""COMPUTED_VALUE"""),"ENG")</f>
        <v>ENG</v>
      </c>
      <c r="C648" s="6" t="str">
        <f>IFERROR(__xludf.DUMMYFUNCTION("""COMPUTED_VALUE"""),"P-51559-00")</f>
        <v>P-51559-00</v>
      </c>
      <c r="D648" s="6" t="str">
        <f>IFERROR(__xludf.DUMMYFUNCTION("""COMPUTED_VALUE"""),"Lampu T5 14watt Putih; Phillips; ;")</f>
        <v>Lampu T5 14watt Putih; Phillips; ;</v>
      </c>
      <c r="E648" s="6">
        <f>IFERROR(__xludf.DUMMYFUNCTION("""COMPUTED_VALUE"""),3.0)</f>
        <v>3</v>
      </c>
      <c r="F648" s="6">
        <f>IFERROR(__xludf.DUMMYFUNCTION("""COMPUTED_VALUE"""),4.0)</f>
        <v>4</v>
      </c>
      <c r="G648" s="6">
        <f>IFERROR(__xludf.DUMMYFUNCTION("""COMPUTED_VALUE"""),0.0)</f>
        <v>0</v>
      </c>
      <c r="H648" s="6" t="str">
        <f>IFERROR(__xludf.DUMMYFUNCTION("""COMPUTED_VALUE"""),"Pcs")</f>
        <v>Pcs</v>
      </c>
      <c r="I648" s="6" t="str">
        <f>IFERROR(__xludf.DUMMYFUNCTION("""COMPUTED_VALUE"""),"MFH")</f>
        <v>MFH</v>
      </c>
      <c r="J648" s="6" t="str">
        <f>IFERROR(__xludf.DUMMYFUNCTION("""COMPUTED_VALUE"""),"Building")</f>
        <v>Building</v>
      </c>
      <c r="K648" s="6" t="str">
        <f>IFERROR(__xludf.DUMMYFUNCTION("""COMPUTED_VALUE"""),"SPR/02/24/036")</f>
        <v>SPR/02/24/036</v>
      </c>
      <c r="L648" s="13">
        <f>IFERROR(__xludf.DUMMYFUNCTION("""COMPUTED_VALUE"""),45348.0)</f>
        <v>45348</v>
      </c>
    </row>
    <row r="649">
      <c r="A649" s="6" t="str">
        <f>IFERROR(__xludf.DUMMYFUNCTION("""COMPUTED_VALUE"""),"NDS")</f>
        <v>NDS</v>
      </c>
      <c r="B649" s="6" t="str">
        <f>IFERROR(__xludf.DUMMYFUNCTION("""COMPUTED_VALUE"""),"ENG")</f>
        <v>ENG</v>
      </c>
      <c r="C649" s="6" t="str">
        <f>IFERROR(__xludf.DUMMYFUNCTION("""COMPUTED_VALUE"""),"O-16033-00")</f>
        <v>O-16033-00</v>
      </c>
      <c r="D64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649" s="6">
        <f>IFERROR(__xludf.DUMMYFUNCTION("""COMPUTED_VALUE"""),3.0)</f>
        <v>3</v>
      </c>
      <c r="F649" s="6">
        <f>IFERROR(__xludf.DUMMYFUNCTION("""COMPUTED_VALUE"""),3.0)</f>
        <v>3</v>
      </c>
      <c r="G649" s="6">
        <f>IFERROR(__xludf.DUMMYFUNCTION("""COMPUTED_VALUE"""),0.0)</f>
        <v>0</v>
      </c>
      <c r="H649" s="6" t="str">
        <f>IFERROR(__xludf.DUMMYFUNCTION("""COMPUTED_VALUE"""),"Pcs")</f>
        <v>Pcs</v>
      </c>
      <c r="I649" s="6" t="str">
        <f>IFERROR(__xludf.DUMMYFUNCTION("""COMPUTED_VALUE"""),"MFH")</f>
        <v>MFH</v>
      </c>
      <c r="J649" s="6" t="str">
        <f>IFERROR(__xludf.DUMMYFUNCTION("""COMPUTED_VALUE"""),"Filling")</f>
        <v>Filling</v>
      </c>
      <c r="K649" s="6" t="str">
        <f>IFERROR(__xludf.DUMMYFUNCTION("""COMPUTED_VALUE"""),"SPR/02/24/037")</f>
        <v>SPR/02/24/037</v>
      </c>
      <c r="L649" s="13">
        <f>IFERROR(__xludf.DUMMYFUNCTION("""COMPUTED_VALUE"""),45348.0)</f>
        <v>45348</v>
      </c>
    </row>
    <row r="650">
      <c r="A650" s="6" t="str">
        <f>IFERROR(__xludf.DUMMYFUNCTION("""COMPUTED_VALUE"""),"NDS")</f>
        <v>NDS</v>
      </c>
      <c r="B650" s="6" t="str">
        <f>IFERROR(__xludf.DUMMYFUNCTION("""COMPUTED_VALUE"""),"ENG")</f>
        <v>ENG</v>
      </c>
      <c r="C650" s="6" t="str">
        <f>IFERROR(__xludf.DUMMYFUNCTION("""COMPUTED_VALUE"""),"O-19430-00")</f>
        <v>O-19430-00</v>
      </c>
      <c r="D650" s="6" t="str">
        <f>IFERROR(__xludf.DUMMYFUNCTION("""COMPUTED_VALUE"""),"Baut SS L M5 x 20 mm + Mur + Ring; ; ;; ; ;; ; ;")</f>
        <v>Baut SS L M5 x 20 mm + Mur + Ring; ; ;; ; ;; ; ;</v>
      </c>
      <c r="E650" s="6">
        <f>IFERROR(__xludf.DUMMYFUNCTION("""COMPUTED_VALUE"""),20.0)</f>
        <v>20</v>
      </c>
      <c r="F650" s="6">
        <f>IFERROR(__xludf.DUMMYFUNCTION("""COMPUTED_VALUE"""),3.0)</f>
        <v>3</v>
      </c>
      <c r="G650" s="6">
        <f>IFERROR(__xludf.DUMMYFUNCTION("""COMPUTED_VALUE"""),0.0)</f>
        <v>0</v>
      </c>
      <c r="H650" s="6" t="str">
        <f>IFERROR(__xludf.DUMMYFUNCTION("""COMPUTED_VALUE"""),"Pcs")</f>
        <v>Pcs</v>
      </c>
      <c r="I650" s="6" t="str">
        <f>IFERROR(__xludf.DUMMYFUNCTION("""COMPUTED_VALUE"""),"MFH")</f>
        <v>MFH</v>
      </c>
      <c r="J650" s="6" t="str">
        <f>IFERROR(__xludf.DUMMYFUNCTION("""COMPUTED_VALUE"""),"FD")</f>
        <v>FD</v>
      </c>
      <c r="K650" s="6" t="str">
        <f>IFERROR(__xludf.DUMMYFUNCTION("""COMPUTED_VALUE"""),"SPR/02/24/037")</f>
        <v>SPR/02/24/037</v>
      </c>
      <c r="L650" s="13">
        <f>IFERROR(__xludf.DUMMYFUNCTION("""COMPUTED_VALUE"""),45348.0)</f>
        <v>45348</v>
      </c>
    </row>
    <row r="651">
      <c r="A651" s="6" t="str">
        <f>IFERROR(__xludf.DUMMYFUNCTION("""COMPUTED_VALUE"""),"SFH")</f>
        <v>SFH</v>
      </c>
      <c r="B651" s="6" t="str">
        <f>IFERROR(__xludf.DUMMYFUNCTION("""COMPUTED_VALUE"""),"ENG")</f>
        <v>ENG</v>
      </c>
      <c r="C651" s="6" t="str">
        <f>IFERROR(__xludf.DUMMYFUNCTION("""COMPUTED_VALUE"""),"Q-60502-00")</f>
        <v>Q-60502-00</v>
      </c>
      <c r="D651" s="6" t="str">
        <f>IFERROR(__xludf.DUMMYFUNCTION("""COMPUTED_VALUE"""),"Silicone Sealant, Silglaze, Type N10 White, pack size per pcs")</f>
        <v>Silicone Sealant, Silglaze, Type N10 White, pack size per pcs</v>
      </c>
      <c r="E651" s="6">
        <f>IFERROR(__xludf.DUMMYFUNCTION("""COMPUTED_VALUE"""),1.0)</f>
        <v>1</v>
      </c>
      <c r="F651" s="6">
        <f>IFERROR(__xludf.DUMMYFUNCTION("""COMPUTED_VALUE"""),1.0)</f>
        <v>1</v>
      </c>
      <c r="G651" s="6">
        <f>IFERROR(__xludf.DUMMYFUNCTION("""COMPUTED_VALUE"""),0.0)</f>
        <v>0</v>
      </c>
      <c r="H651" s="6" t="str">
        <f>IFERROR(__xludf.DUMMYFUNCTION("""COMPUTED_VALUE"""),"Pcs")</f>
        <v>Pcs</v>
      </c>
      <c r="I651" s="6" t="str">
        <f>IFERROR(__xludf.DUMMYFUNCTION("""COMPUTED_VALUE"""),"MFH")</f>
        <v>MFH</v>
      </c>
      <c r="J651" s="6" t="str">
        <f>IFERROR(__xludf.DUMMYFUNCTION("""COMPUTED_VALUE"""),"-")</f>
        <v>-</v>
      </c>
      <c r="K651" s="6" t="str">
        <f>IFERROR(__xludf.DUMMYFUNCTION("""COMPUTED_VALUE"""),"SPR/02/24/038")</f>
        <v>SPR/02/24/038</v>
      </c>
      <c r="L651" s="13">
        <f>IFERROR(__xludf.DUMMYFUNCTION("""COMPUTED_VALUE"""),45348.0)</f>
        <v>45348</v>
      </c>
    </row>
    <row r="652">
      <c r="A652" s="6" t="str">
        <f>IFERROR(__xludf.DUMMYFUNCTION("""COMPUTED_VALUE"""),"SFH")</f>
        <v>SFH</v>
      </c>
      <c r="B652" s="6" t="str">
        <f>IFERROR(__xludf.DUMMYFUNCTION("""COMPUTED_VALUE"""),"ENG")</f>
        <v>ENG</v>
      </c>
      <c r="C652" s="6" t="str">
        <f>IFERROR(__xludf.DUMMYFUNCTION("""COMPUTED_VALUE"""),"Q-60501-00")</f>
        <v>Q-60501-00</v>
      </c>
      <c r="D652" s="6" t="str">
        <f>IFERROR(__xludf.DUMMYFUNCTION("""COMPUTED_VALUE"""),"Silicone Sealant, Silglaze, Type N10 Clear, pack size per pcs")</f>
        <v>Silicone Sealant, Silglaze, Type N10 Clear, pack size per pcs</v>
      </c>
      <c r="E652" s="6">
        <f>IFERROR(__xludf.DUMMYFUNCTION("""COMPUTED_VALUE"""),6.0)</f>
        <v>6</v>
      </c>
      <c r="F652" s="6">
        <f>IFERROR(__xludf.DUMMYFUNCTION("""COMPUTED_VALUE"""),1.0)</f>
        <v>1</v>
      </c>
      <c r="G652" s="6">
        <f>IFERROR(__xludf.DUMMYFUNCTION("""COMPUTED_VALUE"""),0.0)</f>
        <v>0</v>
      </c>
      <c r="H652" s="6" t="str">
        <f>IFERROR(__xludf.DUMMYFUNCTION("""COMPUTED_VALUE"""),"Pcs")</f>
        <v>Pcs</v>
      </c>
      <c r="I652" s="6" t="str">
        <f>IFERROR(__xludf.DUMMYFUNCTION("""COMPUTED_VALUE"""),"MFH")</f>
        <v>MFH</v>
      </c>
      <c r="J652" s="6" t="str">
        <f>IFERROR(__xludf.DUMMYFUNCTION("""COMPUTED_VALUE"""),"-")</f>
        <v>-</v>
      </c>
      <c r="K652" s="6" t="str">
        <f>IFERROR(__xludf.DUMMYFUNCTION("""COMPUTED_VALUE"""),"SPR/02/24/038")</f>
        <v>SPR/02/24/038</v>
      </c>
      <c r="L652" s="13">
        <f>IFERROR(__xludf.DUMMYFUNCTION("""COMPUTED_VALUE"""),45348.0)</f>
        <v>45348</v>
      </c>
    </row>
    <row r="653">
      <c r="A653" s="6" t="str">
        <f>IFERROR(__xludf.DUMMYFUNCTION("""COMPUTED_VALUE"""),"ASL")</f>
        <v>ASL</v>
      </c>
      <c r="B653" s="6" t="str">
        <f>IFERROR(__xludf.DUMMYFUNCTION("""COMPUTED_VALUE"""),"ENG")</f>
        <v>ENG</v>
      </c>
      <c r="C653" s="6" t="str">
        <f>IFERROR(__xludf.DUMMYFUNCTION("""COMPUTED_VALUE"""),"T-21034-00")</f>
        <v>T-21034-00</v>
      </c>
      <c r="D653" s="6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E653" s="6">
        <f>IFERROR(__xludf.DUMMYFUNCTION("""COMPUTED_VALUE"""),2.0)</f>
        <v>2</v>
      </c>
      <c r="F653" s="6">
        <f>IFERROR(__xludf.DUMMYFUNCTION("""COMPUTED_VALUE"""),2.0)</f>
        <v>2</v>
      </c>
      <c r="G653" s="6">
        <f>IFERROR(__xludf.DUMMYFUNCTION("""COMPUTED_VALUE"""),0.0)</f>
        <v>0</v>
      </c>
      <c r="H653" s="6" t="str">
        <f>IFERROR(__xludf.DUMMYFUNCTION("""COMPUTED_VALUE"""),"Pcs")</f>
        <v>Pcs</v>
      </c>
      <c r="I653" s="6" t="str">
        <f>IFERROR(__xludf.DUMMYFUNCTION("""COMPUTED_VALUE"""),"MFH")</f>
        <v>MFH</v>
      </c>
      <c r="J653" s="6" t="str">
        <f>IFERROR(__xludf.DUMMYFUNCTION("""COMPUTED_VALUE"""),"Lab")</f>
        <v>Lab</v>
      </c>
      <c r="K653" s="6" t="str">
        <f>IFERROR(__xludf.DUMMYFUNCTION("""COMPUTED_VALUE"""),"SPR/02/24/039")</f>
        <v>SPR/02/24/039</v>
      </c>
      <c r="L653" s="13">
        <f>IFERROR(__xludf.DUMMYFUNCTION("""COMPUTED_VALUE"""),45348.0)</f>
        <v>45348</v>
      </c>
    </row>
    <row r="654">
      <c r="A654" s="6" t="str">
        <f>IFERROR(__xludf.DUMMYFUNCTION("""COMPUTED_VALUE"""),"ASL")</f>
        <v>ASL</v>
      </c>
      <c r="B654" s="6" t="str">
        <f>IFERROR(__xludf.DUMMYFUNCTION("""COMPUTED_VALUE"""),"ENG")</f>
        <v>ENG</v>
      </c>
      <c r="C654" s="6" t="str">
        <f>IFERROR(__xludf.DUMMYFUNCTION("""COMPUTED_VALUE"""),"T-20320-00")</f>
        <v>T-20320-00</v>
      </c>
      <c r="D654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E654" s="6">
        <f>IFERROR(__xludf.DUMMYFUNCTION("""COMPUTED_VALUE"""),3.0)</f>
        <v>3</v>
      </c>
      <c r="F654" s="6">
        <f>IFERROR(__xludf.DUMMYFUNCTION("""COMPUTED_VALUE"""),3.0)</f>
        <v>3</v>
      </c>
      <c r="G654" s="6">
        <f>IFERROR(__xludf.DUMMYFUNCTION("""COMPUTED_VALUE"""),0.0)</f>
        <v>0</v>
      </c>
      <c r="H654" s="6" t="str">
        <f>IFERROR(__xludf.DUMMYFUNCTION("""COMPUTED_VALUE"""),"Pcs")</f>
        <v>Pcs</v>
      </c>
      <c r="I654" s="6" t="str">
        <f>IFERROR(__xludf.DUMMYFUNCTION("""COMPUTED_VALUE"""),"MFH")</f>
        <v>MFH</v>
      </c>
      <c r="J654" s="6" t="str">
        <f>IFERROR(__xludf.DUMMYFUNCTION("""COMPUTED_VALUE"""),"Lab")</f>
        <v>Lab</v>
      </c>
      <c r="K654" s="6" t="str">
        <f>IFERROR(__xludf.DUMMYFUNCTION("""COMPUTED_VALUE"""),"SPR/02/24/039")</f>
        <v>SPR/02/24/039</v>
      </c>
      <c r="L654" s="13">
        <f>IFERROR(__xludf.DUMMYFUNCTION("""COMPUTED_VALUE"""),45348.0)</f>
        <v>45348</v>
      </c>
    </row>
    <row r="655">
      <c r="A655" s="6" t="str">
        <f>IFERROR(__xludf.DUMMYFUNCTION("""COMPUTED_VALUE"""),"BFN")</f>
        <v>BFN</v>
      </c>
      <c r="B655" s="6" t="str">
        <f>IFERROR(__xludf.DUMMYFUNCTION("""COMPUTED_VALUE"""),"PRO")</f>
        <v>PRO</v>
      </c>
      <c r="C655" s="6" t="str">
        <f>IFERROR(__xludf.DUMMYFUNCTION("""COMPUTED_VALUE"""),"O-18055-00")</f>
        <v>O-18055-00</v>
      </c>
      <c r="D655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655" s="6">
        <f>IFERROR(__xludf.DUMMYFUNCTION("""COMPUTED_VALUE"""),2.0)</f>
        <v>2</v>
      </c>
      <c r="F655" s="6">
        <f>IFERROR(__xludf.DUMMYFUNCTION("""COMPUTED_VALUE"""),2.0)</f>
        <v>2</v>
      </c>
      <c r="G655" s="6">
        <f>IFERROR(__xludf.DUMMYFUNCTION("""COMPUTED_VALUE"""),0.0)</f>
        <v>0</v>
      </c>
      <c r="H655" s="6" t="str">
        <f>IFERROR(__xludf.DUMMYFUNCTION("""COMPUTED_VALUE"""),"Pcs")</f>
        <v>Pcs</v>
      </c>
      <c r="I655" s="6" t="str">
        <f>IFERROR(__xludf.DUMMYFUNCTION("""COMPUTED_VALUE"""),"MFH")</f>
        <v>MFH</v>
      </c>
      <c r="J655" s="6" t="str">
        <f>IFERROR(__xludf.DUMMYFUNCTION("""COMPUTED_VALUE"""),"Cartoning")</f>
        <v>Cartoning</v>
      </c>
      <c r="K655" s="6" t="str">
        <f>IFERROR(__xludf.DUMMYFUNCTION("""COMPUTED_VALUE"""),"SPR/02/24/040")</f>
        <v>SPR/02/24/040</v>
      </c>
      <c r="L655" s="13">
        <f>IFERROR(__xludf.DUMMYFUNCTION("""COMPUTED_VALUE"""),45348.0)</f>
        <v>45348</v>
      </c>
    </row>
    <row r="656">
      <c r="A656" s="6" t="str">
        <f>IFERROR(__xludf.DUMMYFUNCTION("""COMPUTED_VALUE"""),"NDS")</f>
        <v>NDS</v>
      </c>
      <c r="B656" s="6" t="str">
        <f>IFERROR(__xludf.DUMMYFUNCTION("""COMPUTED_VALUE"""),"ENG")</f>
        <v>ENG</v>
      </c>
      <c r="C656" s="6" t="str">
        <f>IFERROR(__xludf.DUMMYFUNCTION("""COMPUTED_VALUE"""),"P-50288-00")</f>
        <v>P-50288-00</v>
      </c>
      <c r="D656" s="6" t="str">
        <f>IFERROR(__xludf.DUMMYFUNCTION("""COMPUTED_VALUE"""),"Bola Lampu - Halogen 20 W Osram")</f>
        <v>Bola Lampu - Halogen 20 W Osram</v>
      </c>
      <c r="E656" s="6">
        <f>IFERROR(__xludf.DUMMYFUNCTION("""COMPUTED_VALUE"""),2.0)</f>
        <v>2</v>
      </c>
      <c r="F656" s="6">
        <f>IFERROR(__xludf.DUMMYFUNCTION("""COMPUTED_VALUE"""),1.0)</f>
        <v>1</v>
      </c>
      <c r="G656" s="6">
        <f>IFERROR(__xludf.DUMMYFUNCTION("""COMPUTED_VALUE"""),0.0)</f>
        <v>0</v>
      </c>
      <c r="H656" s="6" t="str">
        <f>IFERROR(__xludf.DUMMYFUNCTION("""COMPUTED_VALUE"""),"Pcs")</f>
        <v>Pcs</v>
      </c>
      <c r="I656" s="6" t="str">
        <f>IFERROR(__xludf.DUMMYFUNCTION("""COMPUTED_VALUE"""),"MFH")</f>
        <v>MFH</v>
      </c>
      <c r="J656" s="6" t="str">
        <f>IFERROR(__xludf.DUMMYFUNCTION("""COMPUTED_VALUE"""),"Mixing")</f>
        <v>Mixing</v>
      </c>
      <c r="K656" s="6" t="str">
        <f>IFERROR(__xludf.DUMMYFUNCTION("""COMPUTED_VALUE"""),"SPR/02/24/041")</f>
        <v>SPR/02/24/041</v>
      </c>
      <c r="L656" s="13">
        <f>IFERROR(__xludf.DUMMYFUNCTION("""COMPUTED_VALUE"""),45348.0)</f>
        <v>45348</v>
      </c>
    </row>
    <row r="657">
      <c r="A657" s="6" t="str">
        <f>IFERROR(__xludf.DUMMYFUNCTION("""COMPUTED_VALUE"""),"MOB")</f>
        <v>MOB</v>
      </c>
      <c r="B657" s="6" t="str">
        <f>IFERROR(__xludf.DUMMYFUNCTION("""COMPUTED_VALUE"""),"ENG")</f>
        <v>ENG</v>
      </c>
      <c r="C657" s="6" t="str">
        <f>IFERROR(__xludf.DUMMYFUNCTION("""COMPUTED_VALUE"""),"P-52766-00")</f>
        <v>P-52766-00</v>
      </c>
      <c r="D657" s="6" t="str">
        <f>IFERROR(__xludf.DUMMYFUNCTION("""COMPUTED_VALUE"""),"Drain Pump AC M1 Merk Value; ; -; 1 pcs")</f>
        <v>Drain Pump AC M1 Merk Value; ; -; 1 pcs</v>
      </c>
      <c r="E657" s="6">
        <f>IFERROR(__xludf.DUMMYFUNCTION("""COMPUTED_VALUE"""),1.0)</f>
        <v>1</v>
      </c>
      <c r="F657" s="6">
        <f>IFERROR(__xludf.DUMMYFUNCTION("""COMPUTED_VALUE"""),1.0)</f>
        <v>1</v>
      </c>
      <c r="G657" s="6">
        <f>IFERROR(__xludf.DUMMYFUNCTION("""COMPUTED_VALUE"""),0.0)</f>
        <v>0</v>
      </c>
      <c r="H657" s="6" t="str">
        <f>IFERROR(__xludf.DUMMYFUNCTION("""COMPUTED_VALUE"""),"Pcs")</f>
        <v>Pcs</v>
      </c>
      <c r="I657" s="6" t="str">
        <f>IFERROR(__xludf.DUMMYFUNCTION("""COMPUTED_VALUE"""),"MFH")</f>
        <v>MFH</v>
      </c>
      <c r="J657" s="6" t="str">
        <f>IFERROR(__xludf.DUMMYFUNCTION("""COMPUTED_VALUE"""),"AC")</f>
        <v>AC</v>
      </c>
      <c r="K657" s="6" t="str">
        <f>IFERROR(__xludf.DUMMYFUNCTION("""COMPUTED_VALUE"""),"SPR/02/24/042")</f>
        <v>SPR/02/24/042</v>
      </c>
      <c r="L657" s="13">
        <f>IFERROR(__xludf.DUMMYFUNCTION("""COMPUTED_VALUE"""),45348.0)</f>
        <v>45348</v>
      </c>
    </row>
    <row r="658">
      <c r="A658" s="6" t="str">
        <f>IFERROR(__xludf.DUMMYFUNCTION("""COMPUTED_VALUE"""),"MOB")</f>
        <v>MOB</v>
      </c>
      <c r="B658" s="6" t="str">
        <f>IFERROR(__xludf.DUMMYFUNCTION("""COMPUTED_VALUE"""),"ENG")</f>
        <v>ENG</v>
      </c>
      <c r="C658" s="6" t="str">
        <f>IFERROR(__xludf.DUMMYFUNCTION("""COMPUTED_VALUE"""),"P-14877-00")</f>
        <v>P-14877-00</v>
      </c>
      <c r="D658" s="6" t="str">
        <f>IFERROR(__xludf.DUMMYFUNCTION("""COMPUTED_VALUE"""),"Kabel NYYHY 3x2,5mm; ; ;")</f>
        <v>Kabel NYYHY 3x2,5mm; ; ;</v>
      </c>
      <c r="E658" s="6">
        <f>IFERROR(__xludf.DUMMYFUNCTION("""COMPUTED_VALUE"""),10.0)</f>
        <v>10</v>
      </c>
      <c r="F658" s="6">
        <f>IFERROR(__xludf.DUMMYFUNCTION("""COMPUTED_VALUE"""),10.0)</f>
        <v>10</v>
      </c>
      <c r="G658" s="6">
        <f>IFERROR(__xludf.DUMMYFUNCTION("""COMPUTED_VALUE"""),0.0)</f>
        <v>0</v>
      </c>
      <c r="H658" s="6" t="str">
        <f>IFERROR(__xludf.DUMMYFUNCTION("""COMPUTED_VALUE"""),"Pcs")</f>
        <v>Pcs</v>
      </c>
      <c r="I658" s="6" t="str">
        <f>IFERROR(__xludf.DUMMYFUNCTION("""COMPUTED_VALUE"""),"MFH")</f>
        <v>MFH</v>
      </c>
      <c r="J658" s="6" t="str">
        <f>IFERROR(__xludf.DUMMYFUNCTION("""COMPUTED_VALUE"""),"AC")</f>
        <v>AC</v>
      </c>
      <c r="K658" s="6" t="str">
        <f>IFERROR(__xludf.DUMMYFUNCTION("""COMPUTED_VALUE"""),"SPR/02/24/042")</f>
        <v>SPR/02/24/042</v>
      </c>
      <c r="L658" s="13">
        <f>IFERROR(__xludf.DUMMYFUNCTION("""COMPUTED_VALUE"""),45348.0)</f>
        <v>45348</v>
      </c>
    </row>
    <row r="659">
      <c r="A659" s="6" t="str">
        <f>IFERROR(__xludf.DUMMYFUNCTION("""COMPUTED_VALUE"""),"MOB")</f>
        <v>MOB</v>
      </c>
      <c r="B659" s="6" t="str">
        <f>IFERROR(__xludf.DUMMYFUNCTION("""COMPUTED_VALUE"""),"ENG")</f>
        <v>ENG</v>
      </c>
      <c r="C659" s="6" t="str">
        <f>IFERROR(__xludf.DUMMYFUNCTION("""COMPUTED_VALUE"""),"P-18963-00")</f>
        <v>P-18963-00</v>
      </c>
      <c r="D659" s="6" t="str">
        <f>IFERROR(__xludf.DUMMYFUNCTION("""COMPUTED_VALUE"""),"Tubing Nylon Putih 6x8; ; ;")</f>
        <v>Tubing Nylon Putih 6x8; ; ;</v>
      </c>
      <c r="E659" s="6">
        <f>IFERROR(__xludf.DUMMYFUNCTION("""COMPUTED_VALUE"""),10.0)</f>
        <v>10</v>
      </c>
      <c r="F659" s="6">
        <f>IFERROR(__xludf.DUMMYFUNCTION("""COMPUTED_VALUE"""),10.0)</f>
        <v>10</v>
      </c>
      <c r="G659" s="6">
        <f>IFERROR(__xludf.DUMMYFUNCTION("""COMPUTED_VALUE"""),0.0)</f>
        <v>0</v>
      </c>
      <c r="H659" s="6" t="str">
        <f>IFERROR(__xludf.DUMMYFUNCTION("""COMPUTED_VALUE"""),"Pcs")</f>
        <v>Pcs</v>
      </c>
      <c r="I659" s="6" t="str">
        <f>IFERROR(__xludf.DUMMYFUNCTION("""COMPUTED_VALUE"""),"MFH")</f>
        <v>MFH</v>
      </c>
      <c r="J659" s="6" t="str">
        <f>IFERROR(__xludf.DUMMYFUNCTION("""COMPUTED_VALUE"""),"AC")</f>
        <v>AC</v>
      </c>
      <c r="K659" s="6" t="str">
        <f>IFERROR(__xludf.DUMMYFUNCTION("""COMPUTED_VALUE"""),"SPR/02/24/043")</f>
        <v>SPR/02/24/043</v>
      </c>
      <c r="L659" s="13">
        <f>IFERROR(__xludf.DUMMYFUNCTION("""COMPUTED_VALUE"""),45348.0)</f>
        <v>45348</v>
      </c>
    </row>
    <row r="660">
      <c r="A660" s="6" t="str">
        <f>IFERROR(__xludf.DUMMYFUNCTION("""COMPUTED_VALUE"""),"MOB")</f>
        <v>MOB</v>
      </c>
      <c r="B660" s="6" t="str">
        <f>IFERROR(__xludf.DUMMYFUNCTION("""COMPUTED_VALUE"""),"ENG")</f>
        <v>ENG</v>
      </c>
      <c r="C660" s="6" t="str">
        <f>IFERROR(__xludf.DUMMYFUNCTION("""COMPUTED_VALUE"""),"P-54190-00")</f>
        <v>P-54190-00</v>
      </c>
      <c r="D660" s="6" t="str">
        <f>IFERROR(__xludf.DUMMYFUNCTION("""COMPUTED_VALUE"""),"Stop Kontak IP55 16A; Legrand; ;")</f>
        <v>Stop Kontak IP55 16A; Legrand; ;</v>
      </c>
      <c r="E660" s="6">
        <f>IFERROR(__xludf.DUMMYFUNCTION("""COMPUTED_VALUE"""),1.0)</f>
        <v>1</v>
      </c>
      <c r="F660" s="6">
        <f>IFERROR(__xludf.DUMMYFUNCTION("""COMPUTED_VALUE"""),2.0)</f>
        <v>2</v>
      </c>
      <c r="G660" s="6">
        <f>IFERROR(__xludf.DUMMYFUNCTION("""COMPUTED_VALUE"""),0.0)</f>
        <v>0</v>
      </c>
      <c r="H660" s="6" t="str">
        <f>IFERROR(__xludf.DUMMYFUNCTION("""COMPUTED_VALUE"""),"Pcs")</f>
        <v>Pcs</v>
      </c>
      <c r="I660" s="6" t="str">
        <f>IFERROR(__xludf.DUMMYFUNCTION("""COMPUTED_VALUE"""),"MFH")</f>
        <v>MFH</v>
      </c>
      <c r="J660" s="6" t="str">
        <f>IFERROR(__xludf.DUMMYFUNCTION("""COMPUTED_VALUE"""),"AC")</f>
        <v>AC</v>
      </c>
      <c r="K660" s="6" t="str">
        <f>IFERROR(__xludf.DUMMYFUNCTION("""COMPUTED_VALUE"""),"SPR/02/24/043")</f>
        <v>SPR/02/24/043</v>
      </c>
      <c r="L660" s="13">
        <f>IFERROR(__xludf.DUMMYFUNCTION("""COMPUTED_VALUE"""),45348.0)</f>
        <v>45348</v>
      </c>
    </row>
    <row r="661">
      <c r="A661" s="6" t="str">
        <f>IFERROR(__xludf.DUMMYFUNCTION("""COMPUTED_VALUE"""),"MOB")</f>
        <v>MOB</v>
      </c>
      <c r="B661" s="6" t="str">
        <f>IFERROR(__xludf.DUMMYFUNCTION("""COMPUTED_VALUE"""),"ENG")</f>
        <v>ENG</v>
      </c>
      <c r="C661" s="6" t="str">
        <f>IFERROR(__xludf.DUMMYFUNCTION("""COMPUTED_VALUE"""),"P-18964-00")</f>
        <v>P-18964-00</v>
      </c>
      <c r="D661" s="6" t="str">
        <f>IFERROR(__xludf.DUMMYFUNCTION("""COMPUTED_VALUE"""),"Check Valve Aquarium; Lokal; ;")</f>
        <v>Check Valve Aquarium; Lokal; ;</v>
      </c>
      <c r="E661" s="6">
        <f>IFERROR(__xludf.DUMMYFUNCTION("""COMPUTED_VALUE"""),1.0)</f>
        <v>1</v>
      </c>
      <c r="F661" s="6">
        <f>IFERROR(__xludf.DUMMYFUNCTION("""COMPUTED_VALUE"""),1.0)</f>
        <v>1</v>
      </c>
      <c r="G661" s="6">
        <f>IFERROR(__xludf.DUMMYFUNCTION("""COMPUTED_VALUE"""),0.0)</f>
        <v>0</v>
      </c>
      <c r="H661" s="6" t="str">
        <f>IFERROR(__xludf.DUMMYFUNCTION("""COMPUTED_VALUE"""),"Pcs")</f>
        <v>Pcs</v>
      </c>
      <c r="I661" s="6" t="str">
        <f>IFERROR(__xludf.DUMMYFUNCTION("""COMPUTED_VALUE"""),"MFH")</f>
        <v>MFH</v>
      </c>
      <c r="J661" s="6" t="str">
        <f>IFERROR(__xludf.DUMMYFUNCTION("""COMPUTED_VALUE"""),"AC")</f>
        <v>AC</v>
      </c>
      <c r="K661" s="6" t="str">
        <f>IFERROR(__xludf.DUMMYFUNCTION("""COMPUTED_VALUE"""),"SPR/02/24/043")</f>
        <v>SPR/02/24/043</v>
      </c>
      <c r="L661" s="13">
        <f>IFERROR(__xludf.DUMMYFUNCTION("""COMPUTED_VALUE"""),45348.0)</f>
        <v>45348</v>
      </c>
    </row>
    <row r="662">
      <c r="A662" s="6" t="str">
        <f>IFERROR(__xludf.DUMMYFUNCTION("""COMPUTED_VALUE"""),"NDS")</f>
        <v>NDS</v>
      </c>
      <c r="B662" s="6" t="str">
        <f>IFERROR(__xludf.DUMMYFUNCTION("""COMPUTED_VALUE"""),"ENG")</f>
        <v>ENG</v>
      </c>
      <c r="C662" s="6" t="str">
        <f>IFERROR(__xludf.DUMMYFUNCTION("""COMPUTED_VALUE"""),"O-19431-00")</f>
        <v>O-19431-00</v>
      </c>
      <c r="D662" s="6" t="str">
        <f>IFERROR(__xludf.DUMMYFUNCTION("""COMPUTED_VALUE"""),"Baut SS L M8 x 30 mm + Mur + Ring; ; ;; ; ;; ; ;")</f>
        <v>Baut SS L M8 x 30 mm + Mur + Ring; ; ;; ; ;; ; ;</v>
      </c>
      <c r="E662" s="6">
        <f>IFERROR(__xludf.DUMMYFUNCTION("""COMPUTED_VALUE"""),10.0)</f>
        <v>10</v>
      </c>
      <c r="F662" s="6">
        <f>IFERROR(__xludf.DUMMYFUNCTION("""COMPUTED_VALUE"""),2.0)</f>
        <v>2</v>
      </c>
      <c r="G662" s="6">
        <f>IFERROR(__xludf.DUMMYFUNCTION("""COMPUTED_VALUE"""),0.0)</f>
        <v>0</v>
      </c>
      <c r="H662" s="6" t="str">
        <f>IFERROR(__xludf.DUMMYFUNCTION("""COMPUTED_VALUE"""),"Pcs")</f>
        <v>Pcs</v>
      </c>
      <c r="I662" s="6" t="str">
        <f>IFERROR(__xludf.DUMMYFUNCTION("""COMPUTED_VALUE"""),"MFH")</f>
        <v>MFH</v>
      </c>
      <c r="J662" s="6" t="str">
        <f>IFERROR(__xludf.DUMMYFUNCTION("""COMPUTED_VALUE"""),"Labelling")</f>
        <v>Labelling</v>
      </c>
      <c r="K662" s="6" t="str">
        <f>IFERROR(__xludf.DUMMYFUNCTION("""COMPUTED_VALUE"""),"SPR/02/24/044")</f>
        <v>SPR/02/24/044</v>
      </c>
      <c r="L662" s="13">
        <f>IFERROR(__xludf.DUMMYFUNCTION("""COMPUTED_VALUE"""),45348.0)</f>
        <v>45348</v>
      </c>
    </row>
    <row r="663">
      <c r="A663" s="6" t="str">
        <f>IFERROR(__xludf.DUMMYFUNCTION("""COMPUTED_VALUE"""),"MOB")</f>
        <v>MOB</v>
      </c>
      <c r="B663" s="6" t="str">
        <f>IFERROR(__xludf.DUMMYFUNCTION("""COMPUTED_VALUE"""),"ENG")</f>
        <v>ENG</v>
      </c>
      <c r="C663" s="6" t="str">
        <f>IFERROR(__xludf.DUMMYFUNCTION("""COMPUTED_VALUE"""),"P-14455-00")</f>
        <v>P-14455-00</v>
      </c>
      <c r="D663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663" s="6">
        <f>IFERROR(__xludf.DUMMYFUNCTION("""COMPUTED_VALUE"""),1.0)</f>
        <v>1</v>
      </c>
      <c r="F663" s="6">
        <f>IFERROR(__xludf.DUMMYFUNCTION("""COMPUTED_VALUE"""),1.0)</f>
        <v>1</v>
      </c>
      <c r="G663" s="6">
        <f>IFERROR(__xludf.DUMMYFUNCTION("""COMPUTED_VALUE"""),0.0)</f>
        <v>0</v>
      </c>
      <c r="H663" s="6" t="str">
        <f>IFERROR(__xludf.DUMMYFUNCTION("""COMPUTED_VALUE"""),"Pcs")</f>
        <v>Pcs</v>
      </c>
      <c r="I663" s="6" t="str">
        <f>IFERROR(__xludf.DUMMYFUNCTION("""COMPUTED_VALUE"""),"MFH")</f>
        <v>MFH</v>
      </c>
      <c r="J663" s="6" t="str">
        <f>IFERROR(__xludf.DUMMYFUNCTION("""COMPUTED_VALUE"""),"AHU")</f>
        <v>AHU</v>
      </c>
      <c r="K663" s="6" t="str">
        <f>IFERROR(__xludf.DUMMYFUNCTION("""COMPUTED_VALUE"""),"SPR/02/24/045")</f>
        <v>SPR/02/24/045</v>
      </c>
      <c r="L663" s="13">
        <f>IFERROR(__xludf.DUMMYFUNCTION("""COMPUTED_VALUE"""),45348.0)</f>
        <v>45348</v>
      </c>
    </row>
    <row r="664">
      <c r="A664" s="6" t="str">
        <f>IFERROR(__xludf.DUMMYFUNCTION("""COMPUTED_VALUE"""),"MOB")</f>
        <v>MOB</v>
      </c>
      <c r="B664" s="6" t="str">
        <f>IFERROR(__xludf.DUMMYFUNCTION("""COMPUTED_VALUE"""),"ENG")</f>
        <v>ENG</v>
      </c>
      <c r="C664" s="6" t="str">
        <f>IFERROR(__xludf.DUMMYFUNCTION("""COMPUTED_VALUE"""),"P-14456-00")</f>
        <v>P-14456-00</v>
      </c>
      <c r="D664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664" s="6">
        <f>IFERROR(__xludf.DUMMYFUNCTION("""COMPUTED_VALUE"""),1.0)</f>
        <v>1</v>
      </c>
      <c r="F664" s="6">
        <f>IFERROR(__xludf.DUMMYFUNCTION("""COMPUTED_VALUE"""),1.0)</f>
        <v>1</v>
      </c>
      <c r="G664" s="6">
        <f>IFERROR(__xludf.DUMMYFUNCTION("""COMPUTED_VALUE"""),0.0)</f>
        <v>0</v>
      </c>
      <c r="H664" s="6" t="str">
        <f>IFERROR(__xludf.DUMMYFUNCTION("""COMPUTED_VALUE"""),"Pcs")</f>
        <v>Pcs</v>
      </c>
      <c r="I664" s="6" t="str">
        <f>IFERROR(__xludf.DUMMYFUNCTION("""COMPUTED_VALUE"""),"MFH")</f>
        <v>MFH</v>
      </c>
      <c r="J664" s="6" t="str">
        <f>IFERROR(__xludf.DUMMYFUNCTION("""COMPUTED_VALUE"""),"AHU")</f>
        <v>AHU</v>
      </c>
      <c r="K664" s="6" t="str">
        <f>IFERROR(__xludf.DUMMYFUNCTION("""COMPUTED_VALUE"""),"SPR/02/24/045")</f>
        <v>SPR/02/24/045</v>
      </c>
      <c r="L664" s="13">
        <f>IFERROR(__xludf.DUMMYFUNCTION("""COMPUTED_VALUE"""),45348.0)</f>
        <v>45348</v>
      </c>
    </row>
    <row r="665">
      <c r="A665" s="6" t="str">
        <f>IFERROR(__xludf.DUMMYFUNCTION("""COMPUTED_VALUE"""),"SHF")</f>
        <v>SHF</v>
      </c>
      <c r="B665" s="6" t="str">
        <f>IFERROR(__xludf.DUMMYFUNCTION("""COMPUTED_VALUE"""),"ENG")</f>
        <v>ENG</v>
      </c>
      <c r="C665" s="6" t="str">
        <f>IFERROR(__xludf.DUMMYFUNCTION("""COMPUTED_VALUE"""),"Q-60003-00")</f>
        <v>Q-60003-00</v>
      </c>
      <c r="D665" s="6" t="str">
        <f>IFERROR(__xludf.DUMMYFUNCTION("""COMPUTED_VALUE"""),"Plakband Kertas")</f>
        <v>Plakband Kertas</v>
      </c>
      <c r="E665" s="6">
        <f>IFERROR(__xludf.DUMMYFUNCTION("""COMPUTED_VALUE"""),1.0)</f>
        <v>1</v>
      </c>
      <c r="F665" s="6">
        <f>IFERROR(__xludf.DUMMYFUNCTION("""COMPUTED_VALUE"""),1.0)</f>
        <v>1</v>
      </c>
      <c r="G665" s="6">
        <f>IFERROR(__xludf.DUMMYFUNCTION("""COMPUTED_VALUE"""),0.0)</f>
        <v>0</v>
      </c>
      <c r="H665" s="6" t="str">
        <f>IFERROR(__xludf.DUMMYFUNCTION("""COMPUTED_VALUE"""),"Pcs")</f>
        <v>Pcs</v>
      </c>
      <c r="I665" s="6" t="str">
        <f>IFERROR(__xludf.DUMMYFUNCTION("""COMPUTED_VALUE"""),"MFH")</f>
        <v>MFH</v>
      </c>
      <c r="J665" s="6" t="str">
        <f>IFERROR(__xludf.DUMMYFUNCTION("""COMPUTED_VALUE"""),"AHU")</f>
        <v>AHU</v>
      </c>
      <c r="K665" s="6" t="str">
        <f>IFERROR(__xludf.DUMMYFUNCTION("""COMPUTED_VALUE"""),"SPR/02/24/046")</f>
        <v>SPR/02/24/046</v>
      </c>
      <c r="L665" s="13">
        <f>IFERROR(__xludf.DUMMYFUNCTION("""COMPUTED_VALUE"""),45348.0)</f>
        <v>45348</v>
      </c>
    </row>
    <row r="666">
      <c r="A666" s="6" t="str">
        <f>IFERROR(__xludf.DUMMYFUNCTION("""COMPUTED_VALUE"""),"SHF")</f>
        <v>SHF</v>
      </c>
      <c r="B666" s="6" t="str">
        <f>IFERROR(__xludf.DUMMYFUNCTION("""COMPUTED_VALUE"""),"ENG")</f>
        <v>ENG</v>
      </c>
      <c r="C666" s="6" t="str">
        <f>IFERROR(__xludf.DUMMYFUNCTION("""COMPUTED_VALUE"""),"P-51560-00")</f>
        <v>P-51560-00</v>
      </c>
      <c r="D666" s="6" t="str">
        <f>IFERROR(__xludf.DUMMYFUNCTION("""COMPUTED_VALUE"""),"Lampu T5 28watt Putih; Phillips; ;")</f>
        <v>Lampu T5 28watt Putih; Phillips; ;</v>
      </c>
      <c r="E666" s="6">
        <f>IFERROR(__xludf.DUMMYFUNCTION("""COMPUTED_VALUE"""),11.0)</f>
        <v>11</v>
      </c>
      <c r="F666" s="6">
        <f>IFERROR(__xludf.DUMMYFUNCTION("""COMPUTED_VALUE"""),11.0)</f>
        <v>11</v>
      </c>
      <c r="G666" s="6">
        <f>IFERROR(__xludf.DUMMYFUNCTION("""COMPUTED_VALUE"""),0.0)</f>
        <v>0</v>
      </c>
      <c r="H666" s="6" t="str">
        <f>IFERROR(__xludf.DUMMYFUNCTION("""COMPUTED_VALUE"""),"Pcs")</f>
        <v>Pcs</v>
      </c>
      <c r="I666" s="6" t="str">
        <f>IFERROR(__xludf.DUMMYFUNCTION("""COMPUTED_VALUE"""),"MFH")</f>
        <v>MFH</v>
      </c>
      <c r="J666" s="6" t="str">
        <f>IFERROR(__xludf.DUMMYFUNCTION("""COMPUTED_VALUE"""),"AHU")</f>
        <v>AHU</v>
      </c>
      <c r="K666" s="6" t="str">
        <f>IFERROR(__xludf.DUMMYFUNCTION("""COMPUTED_VALUE"""),"SPR/02/24/046")</f>
        <v>SPR/02/24/046</v>
      </c>
      <c r="L666" s="13">
        <f>IFERROR(__xludf.DUMMYFUNCTION("""COMPUTED_VALUE"""),45348.0)</f>
        <v>45348</v>
      </c>
    </row>
    <row r="667">
      <c r="A667" s="6" t="str">
        <f>IFERROR(__xludf.DUMMYFUNCTION("""COMPUTED_VALUE"""),"TGT")</f>
        <v>TGT</v>
      </c>
      <c r="B667" s="6" t="str">
        <f>IFERROR(__xludf.DUMMYFUNCTION("""COMPUTED_VALUE"""),"ENG")</f>
        <v>ENG</v>
      </c>
      <c r="C667" s="6" t="str">
        <f>IFERROR(__xludf.DUMMYFUNCTION("""COMPUTED_VALUE"""),"T-20123-00")</f>
        <v>T-20123-00</v>
      </c>
      <c r="D667" s="6" t="str">
        <f>IFERROR(__xludf.DUMMYFUNCTION("""COMPUTED_VALUE"""),"Acquity PDA/TUV 2489/2998 Perf")</f>
        <v>Acquity PDA/TUV 2489/2998 Perf</v>
      </c>
      <c r="E667" s="6">
        <f>IFERROR(__xludf.DUMMYFUNCTION("""COMPUTED_VALUE"""),2.0)</f>
        <v>2</v>
      </c>
      <c r="F667" s="6">
        <f>IFERROR(__xludf.DUMMYFUNCTION("""COMPUTED_VALUE"""),2.0)</f>
        <v>2</v>
      </c>
      <c r="G667" s="6">
        <f>IFERROR(__xludf.DUMMYFUNCTION("""COMPUTED_VALUE"""),0.0)</f>
        <v>0</v>
      </c>
      <c r="H667" s="6" t="str">
        <f>IFERROR(__xludf.DUMMYFUNCTION("""COMPUTED_VALUE"""),"Pcs")</f>
        <v>Pcs</v>
      </c>
      <c r="I667" s="6" t="str">
        <f>IFERROR(__xludf.DUMMYFUNCTION("""COMPUTED_VALUE"""),"MFH")</f>
        <v>MFH</v>
      </c>
      <c r="J667" s="6" t="str">
        <f>IFERROR(__xludf.DUMMYFUNCTION("""COMPUTED_VALUE"""),"HPLC")</f>
        <v>HPLC</v>
      </c>
      <c r="K667" s="6" t="str">
        <f>IFERROR(__xludf.DUMMYFUNCTION("""COMPUTED_VALUE"""),"SPR/02/24/047")</f>
        <v>SPR/02/24/047</v>
      </c>
      <c r="L667" s="13">
        <f>IFERROR(__xludf.DUMMYFUNCTION("""COMPUTED_VALUE"""),45348.0)</f>
        <v>45348</v>
      </c>
    </row>
    <row r="668">
      <c r="A668" s="6" t="str">
        <f>IFERROR(__xludf.DUMMYFUNCTION("""COMPUTED_VALUE"""),"ROS")</f>
        <v>ROS</v>
      </c>
      <c r="B668" s="6" t="str">
        <f>IFERROR(__xludf.DUMMYFUNCTION("""COMPUTED_VALUE"""),"ENG")</f>
        <v>ENG</v>
      </c>
      <c r="C668" s="6" t="str">
        <f>IFERROR(__xludf.DUMMYFUNCTION("""COMPUTED_VALUE"""),"Q-60503-00")</f>
        <v>Q-60503-00</v>
      </c>
      <c r="D668" s="6" t="str">
        <f>IFERROR(__xludf.DUMMYFUNCTION("""COMPUTED_VALUE"""),"Silicone Sealant, Silglaze, Type N10 Grey, pack size per pcs")</f>
        <v>Silicone Sealant, Silglaze, Type N10 Grey, pack size per pcs</v>
      </c>
      <c r="E668" s="6">
        <f>IFERROR(__xludf.DUMMYFUNCTION("""COMPUTED_VALUE"""),1.0)</f>
        <v>1</v>
      </c>
      <c r="F668" s="6">
        <f>IFERROR(__xludf.DUMMYFUNCTION("""COMPUTED_VALUE"""),1.0)</f>
        <v>1</v>
      </c>
      <c r="G668" s="6">
        <f>IFERROR(__xludf.DUMMYFUNCTION("""COMPUTED_VALUE"""),0.0)</f>
        <v>0</v>
      </c>
      <c r="H668" s="6" t="str">
        <f>IFERROR(__xludf.DUMMYFUNCTION("""COMPUTED_VALUE"""),"Pcs")</f>
        <v>Pcs</v>
      </c>
      <c r="I668" s="6" t="str">
        <f>IFERROR(__xludf.DUMMYFUNCTION("""COMPUTED_VALUE"""),"MFH")</f>
        <v>MFH</v>
      </c>
      <c r="J668" s="6" t="str">
        <f>IFERROR(__xludf.DUMMYFUNCTION("""COMPUTED_VALUE"""),"Capping")</f>
        <v>Capping</v>
      </c>
      <c r="K668" s="6" t="str">
        <f>IFERROR(__xludf.DUMMYFUNCTION("""COMPUTED_VALUE"""),"SPR/02/24/048")</f>
        <v>SPR/02/24/048</v>
      </c>
      <c r="L668" s="13">
        <f>IFERROR(__xludf.DUMMYFUNCTION("""COMPUTED_VALUE"""),45348.0)</f>
        <v>45348</v>
      </c>
    </row>
    <row r="669">
      <c r="A669" s="6" t="str">
        <f>IFERROR(__xludf.DUMMYFUNCTION("""COMPUTED_VALUE"""),"ROS")</f>
        <v>ROS</v>
      </c>
      <c r="B669" s="6" t="str">
        <f>IFERROR(__xludf.DUMMYFUNCTION("""COMPUTED_VALUE"""),"ENG")</f>
        <v>ENG</v>
      </c>
      <c r="C669" s="6" t="str">
        <f>IFERROR(__xludf.DUMMYFUNCTION("""COMPUTED_VALUE"""),"Q-60003-00")</f>
        <v>Q-60003-00</v>
      </c>
      <c r="D669" s="6" t="str">
        <f>IFERROR(__xludf.DUMMYFUNCTION("""COMPUTED_VALUE"""),"Plakband Kertas")</f>
        <v>Plakband Kertas</v>
      </c>
      <c r="E669" s="6">
        <f>IFERROR(__xludf.DUMMYFUNCTION("""COMPUTED_VALUE"""),1.0)</f>
        <v>1</v>
      </c>
      <c r="F669" s="6">
        <f>IFERROR(__xludf.DUMMYFUNCTION("""COMPUTED_VALUE"""),1.0)</f>
        <v>1</v>
      </c>
      <c r="G669" s="6">
        <f>IFERROR(__xludf.DUMMYFUNCTION("""COMPUTED_VALUE"""),0.0)</f>
        <v>0</v>
      </c>
      <c r="H669" s="6" t="str">
        <f>IFERROR(__xludf.DUMMYFUNCTION("""COMPUTED_VALUE"""),"Pcs")</f>
        <v>Pcs</v>
      </c>
      <c r="I669" s="6" t="str">
        <f>IFERROR(__xludf.DUMMYFUNCTION("""COMPUTED_VALUE"""),"MFH")</f>
        <v>MFH</v>
      </c>
      <c r="J669" s="6" t="str">
        <f>IFERROR(__xludf.DUMMYFUNCTION("""COMPUTED_VALUE"""),"Capping")</f>
        <v>Capping</v>
      </c>
      <c r="K669" s="6" t="str">
        <f>IFERROR(__xludf.DUMMYFUNCTION("""COMPUTED_VALUE"""),"SPR/02/24/048")</f>
        <v>SPR/02/24/048</v>
      </c>
      <c r="L669" s="13">
        <f>IFERROR(__xludf.DUMMYFUNCTION("""COMPUTED_VALUE"""),45348.0)</f>
        <v>45348</v>
      </c>
    </row>
    <row r="670">
      <c r="A670" s="6" t="str">
        <f>IFERROR(__xludf.DUMMYFUNCTION("""COMPUTED_VALUE"""),"RSB")</f>
        <v>RSB</v>
      </c>
      <c r="B670" s="6" t="str">
        <f>IFERROR(__xludf.DUMMYFUNCTION("""COMPUTED_VALUE"""),"QAS")</f>
        <v>QAS</v>
      </c>
      <c r="C670" s="6" t="str">
        <f>IFERROR(__xludf.DUMMYFUNCTION("""COMPUTED_VALUE"""),"P-12279-00")</f>
        <v>P-12279-00</v>
      </c>
      <c r="D670" s="6" t="str">
        <f>IFERROR(__xludf.DUMMYFUNCTION("""COMPUTED_VALUE"""),"FESTO - QS-1/8-6 Push-In fitting p/n 153002")</f>
        <v>FESTO - QS-1/8-6 Push-In fitting p/n 153002</v>
      </c>
      <c r="E670" s="6">
        <f>IFERROR(__xludf.DUMMYFUNCTION("""COMPUTED_VALUE"""),1.0)</f>
        <v>1</v>
      </c>
      <c r="F670" s="6">
        <f>IFERROR(__xludf.DUMMYFUNCTION("""COMPUTED_VALUE"""),1.0)</f>
        <v>1</v>
      </c>
      <c r="G670" s="6">
        <f>IFERROR(__xludf.DUMMYFUNCTION("""COMPUTED_VALUE"""),0.0)</f>
        <v>0</v>
      </c>
      <c r="H670" s="6" t="str">
        <f>IFERROR(__xludf.DUMMYFUNCTION("""COMPUTED_VALUE"""),"Pcs")</f>
        <v>Pcs</v>
      </c>
      <c r="I670" s="6" t="str">
        <f>IFERROR(__xludf.DUMMYFUNCTION("""COMPUTED_VALUE"""),"MFH")</f>
        <v>MFH</v>
      </c>
      <c r="J670" s="6" t="str">
        <f>IFERROR(__xludf.DUMMYFUNCTION("""COMPUTED_VALUE"""),"Water System")</f>
        <v>Water System</v>
      </c>
      <c r="K670" s="6" t="str">
        <f>IFERROR(__xludf.DUMMYFUNCTION("""COMPUTED_VALUE"""),"SPR/02/24/049")</f>
        <v>SPR/02/24/049</v>
      </c>
      <c r="L670" s="13">
        <f>IFERROR(__xludf.DUMMYFUNCTION("""COMPUTED_VALUE"""),45348.0)</f>
        <v>45348</v>
      </c>
    </row>
    <row r="671">
      <c r="A671" s="6" t="str">
        <f>IFERROR(__xludf.DUMMYFUNCTION("""COMPUTED_VALUE"""),"INN")</f>
        <v>INN</v>
      </c>
      <c r="B671" s="6" t="str">
        <f>IFERROR(__xludf.DUMMYFUNCTION("""COMPUTED_VALUE"""),"ENG")</f>
        <v>ENG</v>
      </c>
      <c r="C671" s="6" t="str">
        <f>IFERROR(__xludf.DUMMYFUNCTION("""COMPUTED_VALUE"""),"O-16647-00")</f>
        <v>O-16647-00</v>
      </c>
      <c r="D671" s="6" t="str">
        <f>IFERROR(__xludf.DUMMYFUNCTION("""COMPUTED_VALUE"""),"Washing RAR4 - Oring Silicone Merah 23x18x2.5 mm; ; ;")</f>
        <v>Washing RAR4 - Oring Silicone Merah 23x18x2.5 mm; ; ;</v>
      </c>
      <c r="E671" s="6">
        <f>IFERROR(__xludf.DUMMYFUNCTION("""COMPUTED_VALUE"""),10.0)</f>
        <v>10</v>
      </c>
      <c r="F671" s="6">
        <f>IFERROR(__xludf.DUMMYFUNCTION("""COMPUTED_VALUE"""),10.0)</f>
        <v>10</v>
      </c>
      <c r="G671" s="6">
        <f>IFERROR(__xludf.DUMMYFUNCTION("""COMPUTED_VALUE"""),0.0)</f>
        <v>0</v>
      </c>
      <c r="H671" s="6" t="str">
        <f>IFERROR(__xludf.DUMMYFUNCTION("""COMPUTED_VALUE"""),"Pcs")</f>
        <v>Pcs</v>
      </c>
      <c r="I671" s="6" t="str">
        <f>IFERROR(__xludf.DUMMYFUNCTION("""COMPUTED_VALUE"""),"MFH")</f>
        <v>MFH</v>
      </c>
      <c r="J671" s="6" t="str">
        <f>IFERROR(__xludf.DUMMYFUNCTION("""COMPUTED_VALUE"""),"Capping")</f>
        <v>Capping</v>
      </c>
      <c r="K671" s="6" t="str">
        <f>IFERROR(__xludf.DUMMYFUNCTION("""COMPUTED_VALUE"""),"SPR/02/24/050")</f>
        <v>SPR/02/24/050</v>
      </c>
      <c r="L671" s="13">
        <f>IFERROR(__xludf.DUMMYFUNCTION("""COMPUTED_VALUE"""),45348.0)</f>
        <v>45348</v>
      </c>
    </row>
    <row r="672">
      <c r="A672" s="6" t="str">
        <f>IFERROR(__xludf.DUMMYFUNCTION("""COMPUTED_VALUE"""),"MOB")</f>
        <v>MOB</v>
      </c>
      <c r="B672" s="6" t="str">
        <f>IFERROR(__xludf.DUMMYFUNCTION("""COMPUTED_VALUE"""),"ENG")</f>
        <v>ENG</v>
      </c>
      <c r="C672" s="6" t="str">
        <f>IFERROR(__xludf.DUMMYFUNCTION("""COMPUTED_VALUE"""),"P-18965-00")</f>
        <v>P-18965-00</v>
      </c>
      <c r="D672" s="6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E672" s="6">
        <f>IFERROR(__xludf.DUMMYFUNCTION("""COMPUTED_VALUE"""),1.0)</f>
        <v>1</v>
      </c>
      <c r="F672" s="6">
        <f>IFERROR(__xludf.DUMMYFUNCTION("""COMPUTED_VALUE"""),1.0)</f>
        <v>1</v>
      </c>
      <c r="G672" s="6">
        <f>IFERROR(__xludf.DUMMYFUNCTION("""COMPUTED_VALUE"""),0.0)</f>
        <v>0</v>
      </c>
      <c r="H672" s="6" t="str">
        <f>IFERROR(__xludf.DUMMYFUNCTION("""COMPUTED_VALUE"""),"Pcs")</f>
        <v>Pcs</v>
      </c>
      <c r="I672" s="6" t="str">
        <f>IFERROR(__xludf.DUMMYFUNCTION("""COMPUTED_VALUE"""),"MFH")</f>
        <v>MFH</v>
      </c>
      <c r="J672" s="6" t="str">
        <f>IFERROR(__xludf.DUMMYFUNCTION("""COMPUTED_VALUE"""),"PSG")</f>
        <v>PSG</v>
      </c>
      <c r="K672" s="6" t="str">
        <f>IFERROR(__xludf.DUMMYFUNCTION("""COMPUTED_VALUE"""),"SPR/02/24/051")</f>
        <v>SPR/02/24/051</v>
      </c>
      <c r="L672" s="13">
        <f>IFERROR(__xludf.DUMMYFUNCTION("""COMPUTED_VALUE"""),45348.0)</f>
        <v>45348</v>
      </c>
    </row>
    <row r="673">
      <c r="A673" s="6" t="str">
        <f>IFERROR(__xludf.DUMMYFUNCTION("""COMPUTED_VALUE"""),"MOB")</f>
        <v>MOB</v>
      </c>
      <c r="B673" s="6" t="str">
        <f>IFERROR(__xludf.DUMMYFUNCTION("""COMPUTED_VALUE"""),"ENG")</f>
        <v>ENG</v>
      </c>
      <c r="C673" s="6" t="str">
        <f>IFERROR(__xludf.DUMMYFUNCTION("""COMPUTED_VALUE"""),"P-18906-00")</f>
        <v>P-18906-00</v>
      </c>
      <c r="D673" s="6" t="str">
        <f>IFERROR(__xludf.DUMMYFUNCTION("""COMPUTED_VALUE"""),"Float Valve D14 mm AI SI 316L; Lokal; ;")</f>
        <v>Float Valve D14 mm AI SI 316L; Lokal; ;</v>
      </c>
      <c r="E673" s="6">
        <f>IFERROR(__xludf.DUMMYFUNCTION("""COMPUTED_VALUE"""),1.0)</f>
        <v>1</v>
      </c>
      <c r="F673" s="6">
        <f>IFERROR(__xludf.DUMMYFUNCTION("""COMPUTED_VALUE"""),1.0)</f>
        <v>1</v>
      </c>
      <c r="G673" s="6">
        <f>IFERROR(__xludf.DUMMYFUNCTION("""COMPUTED_VALUE"""),0.0)</f>
        <v>0</v>
      </c>
      <c r="H673" s="6" t="str">
        <f>IFERROR(__xludf.DUMMYFUNCTION("""COMPUTED_VALUE"""),"Pcs")</f>
        <v>Pcs</v>
      </c>
      <c r="I673" s="6" t="str">
        <f>IFERROR(__xludf.DUMMYFUNCTION("""COMPUTED_VALUE"""),"MFH")</f>
        <v>MFH</v>
      </c>
      <c r="J673" s="6" t="str">
        <f>IFERROR(__xludf.DUMMYFUNCTION("""COMPUTED_VALUE"""),"PSG")</f>
        <v>PSG</v>
      </c>
      <c r="K673" s="6" t="str">
        <f>IFERROR(__xludf.DUMMYFUNCTION("""COMPUTED_VALUE"""),"SPR/02/24/051")</f>
        <v>SPR/02/24/051</v>
      </c>
      <c r="L673" s="13">
        <f>IFERROR(__xludf.DUMMYFUNCTION("""COMPUTED_VALUE"""),45348.0)</f>
        <v>45348</v>
      </c>
    </row>
    <row r="674">
      <c r="A674" s="6" t="str">
        <f>IFERROR(__xludf.DUMMYFUNCTION("""COMPUTED_VALUE"""),"MFH")</f>
        <v>MFH</v>
      </c>
      <c r="B674" s="6" t="str">
        <f>IFERROR(__xludf.DUMMYFUNCTION("""COMPUTED_VALUE"""),"ENG")</f>
        <v>ENG</v>
      </c>
      <c r="C674" s="6" t="str">
        <f>IFERROR(__xludf.DUMMYFUNCTION("""COMPUTED_VALUE"""),"Q-60503-00")</f>
        <v>Q-60503-00</v>
      </c>
      <c r="D674" s="6" t="str">
        <f>IFERROR(__xludf.DUMMYFUNCTION("""COMPUTED_VALUE"""),"Silicone Sealant, Silglaze, Type N10 Grey, pack size per pcs")</f>
        <v>Silicone Sealant, Silglaze, Type N10 Grey, pack size per pcs</v>
      </c>
      <c r="E674" s="6">
        <f>IFERROR(__xludf.DUMMYFUNCTION("""COMPUTED_VALUE"""),6.0)</f>
        <v>6</v>
      </c>
      <c r="F674" s="6">
        <f>IFERROR(__xludf.DUMMYFUNCTION("""COMPUTED_VALUE"""),6.0)</f>
        <v>6</v>
      </c>
      <c r="G674" s="6">
        <f>IFERROR(__xludf.DUMMYFUNCTION("""COMPUTED_VALUE"""),0.0)</f>
        <v>0</v>
      </c>
      <c r="H674" s="6" t="str">
        <f>IFERROR(__xludf.DUMMYFUNCTION("""COMPUTED_VALUE"""),"Pcs")</f>
        <v>Pcs</v>
      </c>
      <c r="I674" s="6" t="str">
        <f>IFERROR(__xludf.DUMMYFUNCTION("""COMPUTED_VALUE"""),"MFH")</f>
        <v>MFH</v>
      </c>
      <c r="J674" s="6" t="str">
        <f>IFERROR(__xludf.DUMMYFUNCTION("""COMPUTED_VALUE"""),"-")</f>
        <v>-</v>
      </c>
      <c r="K674" s="6" t="str">
        <f>IFERROR(__xludf.DUMMYFUNCTION("""COMPUTED_VALUE"""),"SPR/02/24/052")</f>
        <v>SPR/02/24/052</v>
      </c>
      <c r="L674" s="13">
        <f>IFERROR(__xludf.DUMMYFUNCTION("""COMPUTED_VALUE"""),45348.0)</f>
        <v>45348</v>
      </c>
    </row>
    <row r="675">
      <c r="A675" s="6" t="str">
        <f>IFERROR(__xludf.DUMMYFUNCTION("""COMPUTED_VALUE"""),"MFH")</f>
        <v>MFH</v>
      </c>
      <c r="B675" s="6" t="str">
        <f>IFERROR(__xludf.DUMMYFUNCTION("""COMPUTED_VALUE"""),"ENG")</f>
        <v>ENG</v>
      </c>
      <c r="C675" s="6" t="str">
        <f>IFERROR(__xludf.DUMMYFUNCTION("""COMPUTED_VALUE"""),"Q-10946-00")</f>
        <v>Q-10946-00</v>
      </c>
      <c r="D675" s="6" t="str">
        <f>IFERROR(__xludf.DUMMYFUNCTION("""COMPUTED_VALUE"""),"Silicone Sealant N10 Light Grey")</f>
        <v>Silicone Sealant N10 Light Grey</v>
      </c>
      <c r="E675" s="6">
        <f>IFERROR(__xludf.DUMMYFUNCTION("""COMPUTED_VALUE"""),1.0)</f>
        <v>1</v>
      </c>
      <c r="F675" s="6">
        <f>IFERROR(__xludf.DUMMYFUNCTION("""COMPUTED_VALUE"""),1.0)</f>
        <v>1</v>
      </c>
      <c r="G675" s="6">
        <f>IFERROR(__xludf.DUMMYFUNCTION("""COMPUTED_VALUE"""),0.0)</f>
        <v>0</v>
      </c>
      <c r="H675" s="6" t="str">
        <f>IFERROR(__xludf.DUMMYFUNCTION("""COMPUTED_VALUE"""),"Pcs")</f>
        <v>Pcs</v>
      </c>
      <c r="I675" s="6" t="str">
        <f>IFERROR(__xludf.DUMMYFUNCTION("""COMPUTED_VALUE"""),"MFH")</f>
        <v>MFH</v>
      </c>
      <c r="J675" s="6" t="str">
        <f>IFERROR(__xludf.DUMMYFUNCTION("""COMPUTED_VALUE"""),"-")</f>
        <v>-</v>
      </c>
      <c r="K675" s="6" t="str">
        <f>IFERROR(__xludf.DUMMYFUNCTION("""COMPUTED_VALUE"""),"SPR/02/24/052")</f>
        <v>SPR/02/24/052</v>
      </c>
      <c r="L675" s="13">
        <f>IFERROR(__xludf.DUMMYFUNCTION("""COMPUTED_VALUE"""),45348.0)</f>
        <v>45348</v>
      </c>
    </row>
    <row r="676">
      <c r="A676" s="6" t="str">
        <f>IFERROR(__xludf.DUMMYFUNCTION("""COMPUTED_VALUE"""),"MFH")</f>
        <v>MFH</v>
      </c>
      <c r="B676" s="6" t="str">
        <f>IFERROR(__xludf.DUMMYFUNCTION("""COMPUTED_VALUE"""),"ENG")</f>
        <v>ENG</v>
      </c>
      <c r="C676" s="6" t="str">
        <f>IFERROR(__xludf.DUMMYFUNCTION("""COMPUTED_VALUE"""),"O-19340-00")</f>
        <v>O-19340-00</v>
      </c>
      <c r="D676" s="6" t="str">
        <f>IFERROR(__xludf.DUMMYFUNCTION("""COMPUTED_VALUE"""),"Washing RAR4 - Guide Rell Outfeed, Machining Plate Material Pom Putih")</f>
        <v>Washing RAR4 - Guide Rell Outfeed, Machining Plate Material Pom Putih</v>
      </c>
      <c r="E676" s="6">
        <f>IFERROR(__xludf.DUMMYFUNCTION("""COMPUTED_VALUE"""),1.0)</f>
        <v>1</v>
      </c>
      <c r="F676" s="6">
        <f>IFERROR(__xludf.DUMMYFUNCTION("""COMPUTED_VALUE"""),1.0)</f>
        <v>1</v>
      </c>
      <c r="G676" s="6">
        <f>IFERROR(__xludf.DUMMYFUNCTION("""COMPUTED_VALUE"""),0.0)</f>
        <v>0</v>
      </c>
      <c r="H676" s="6" t="str">
        <f>IFERROR(__xludf.DUMMYFUNCTION("""COMPUTED_VALUE"""),"Pcs")</f>
        <v>Pcs</v>
      </c>
      <c r="I676" s="6" t="str">
        <f>IFERROR(__xludf.DUMMYFUNCTION("""COMPUTED_VALUE"""),"MFH")</f>
        <v>MFH</v>
      </c>
      <c r="J676" s="6" t="str">
        <f>IFERROR(__xludf.DUMMYFUNCTION("""COMPUTED_VALUE"""),"-")</f>
        <v>-</v>
      </c>
      <c r="K676" s="6" t="str">
        <f>IFERROR(__xludf.DUMMYFUNCTION("""COMPUTED_VALUE"""),"SPR/02/24/052")</f>
        <v>SPR/02/24/052</v>
      </c>
      <c r="L676" s="13">
        <f>IFERROR(__xludf.DUMMYFUNCTION("""COMPUTED_VALUE"""),45348.0)</f>
        <v>45348</v>
      </c>
    </row>
    <row r="677">
      <c r="A677" s="6" t="str">
        <f>IFERROR(__xludf.DUMMYFUNCTION("""COMPUTED_VALUE"""),"MFH")</f>
        <v>MFH</v>
      </c>
      <c r="B677" s="6" t="str">
        <f>IFERROR(__xludf.DUMMYFUNCTION("""COMPUTED_VALUE"""),"ENG")</f>
        <v>ENG</v>
      </c>
      <c r="C677" s="6" t="str">
        <f>IFERROR(__xludf.DUMMYFUNCTION("""COMPUTED_VALUE"""),"P-53182-00")</f>
        <v>P-53182-00</v>
      </c>
      <c r="D677" s="6" t="str">
        <f>IFERROR(__xludf.DUMMYFUNCTION("""COMPUTED_VALUE"""),"Arc tube Hanovia UV System")</f>
        <v>Arc tube Hanovia UV System</v>
      </c>
      <c r="E677" s="6">
        <f>IFERROR(__xludf.DUMMYFUNCTION("""COMPUTED_VALUE"""),1.0)</f>
        <v>1</v>
      </c>
      <c r="F677" s="6">
        <f>IFERROR(__xludf.DUMMYFUNCTION("""COMPUTED_VALUE"""),1.0)</f>
        <v>1</v>
      </c>
      <c r="G677" s="6">
        <f>IFERROR(__xludf.DUMMYFUNCTION("""COMPUTED_VALUE"""),0.0)</f>
        <v>0</v>
      </c>
      <c r="H677" s="6" t="str">
        <f>IFERROR(__xludf.DUMMYFUNCTION("""COMPUTED_VALUE"""),"Pcs")</f>
        <v>Pcs</v>
      </c>
      <c r="I677" s="6" t="str">
        <f>IFERROR(__xludf.DUMMYFUNCTION("""COMPUTED_VALUE"""),"MFH")</f>
        <v>MFH</v>
      </c>
      <c r="J677" s="6" t="str">
        <f>IFERROR(__xludf.DUMMYFUNCTION("""COMPUTED_VALUE"""),"-")</f>
        <v>-</v>
      </c>
      <c r="K677" s="6" t="str">
        <f>IFERROR(__xludf.DUMMYFUNCTION("""COMPUTED_VALUE"""),"SPR/02/24/054")</f>
        <v>SPR/02/24/054</v>
      </c>
      <c r="L677" s="13">
        <f>IFERROR(__xludf.DUMMYFUNCTION("""COMPUTED_VALUE"""),45348.0)</f>
        <v>45348</v>
      </c>
    </row>
    <row r="678">
      <c r="A678" s="6" t="str">
        <f>IFERROR(__xludf.DUMMYFUNCTION("""COMPUTED_VALUE"""),"MFH")</f>
        <v>MFH</v>
      </c>
      <c r="B678" s="6" t="str">
        <f>IFERROR(__xludf.DUMMYFUNCTION("""COMPUTED_VALUE"""),"ENG")</f>
        <v>ENG</v>
      </c>
      <c r="C678" s="6" t="str">
        <f>IFERROR(__xludf.DUMMYFUNCTION("""COMPUTED_VALUE"""),"P-12495-00")</f>
        <v>P-12495-00</v>
      </c>
      <c r="D678" s="6" t="str">
        <f>IFERROR(__xludf.DUMMYFUNCTION("""COMPUTED_VALUE"""),"Mata Bor besi dia 7.5 mm ex NACHI")</f>
        <v>Mata Bor besi dia 7.5 mm ex NACHI</v>
      </c>
      <c r="E678" s="6">
        <f>IFERROR(__xludf.DUMMYFUNCTION("""COMPUTED_VALUE"""),2.0)</f>
        <v>2</v>
      </c>
      <c r="F678" s="6">
        <f>IFERROR(__xludf.DUMMYFUNCTION("""COMPUTED_VALUE"""),2.0)</f>
        <v>2</v>
      </c>
      <c r="G678" s="6">
        <f>IFERROR(__xludf.DUMMYFUNCTION("""COMPUTED_VALUE"""),0.0)</f>
        <v>0</v>
      </c>
      <c r="H678" s="6" t="str">
        <f>IFERROR(__xludf.DUMMYFUNCTION("""COMPUTED_VALUE"""),"Pcs")</f>
        <v>Pcs</v>
      </c>
      <c r="I678" s="6" t="str">
        <f>IFERROR(__xludf.DUMMYFUNCTION("""COMPUTED_VALUE"""),"MFH")</f>
        <v>MFH</v>
      </c>
      <c r="J678" s="6" t="str">
        <f>IFERROR(__xludf.DUMMYFUNCTION("""COMPUTED_VALUE"""),"-")</f>
        <v>-</v>
      </c>
      <c r="K678" s="6" t="str">
        <f>IFERROR(__xludf.DUMMYFUNCTION("""COMPUTED_VALUE"""),"SPR/02/24/054")</f>
        <v>SPR/02/24/054</v>
      </c>
      <c r="L678" s="13">
        <f>IFERROR(__xludf.DUMMYFUNCTION("""COMPUTED_VALUE"""),45348.0)</f>
        <v>45348</v>
      </c>
    </row>
    <row r="679">
      <c r="A679" s="6" t="str">
        <f>IFERROR(__xludf.DUMMYFUNCTION("""COMPUTED_VALUE"""),"MFH")</f>
        <v>MFH</v>
      </c>
      <c r="B679" s="6" t="str">
        <f>IFERROR(__xludf.DUMMYFUNCTION("""COMPUTED_VALUE"""),"ENG")</f>
        <v>ENG</v>
      </c>
      <c r="C679" s="6" t="str">
        <f>IFERROR(__xludf.DUMMYFUNCTION("""COMPUTED_VALUE"""),"O-54139-00")</f>
        <v>O-54139-00</v>
      </c>
      <c r="D679" s="6" t="str">
        <f>IFERROR(__xludf.DUMMYFUNCTION("""COMPUTED_VALUE"""),"Lampu PLC 4U 45W")</f>
        <v>Lampu PLC 4U 45W</v>
      </c>
      <c r="E679" s="6">
        <f>IFERROR(__xludf.DUMMYFUNCTION("""COMPUTED_VALUE"""),2.0)</f>
        <v>2</v>
      </c>
      <c r="F679" s="6">
        <f>IFERROR(__xludf.DUMMYFUNCTION("""COMPUTED_VALUE"""),2.0)</f>
        <v>2</v>
      </c>
      <c r="G679" s="6">
        <f>IFERROR(__xludf.DUMMYFUNCTION("""COMPUTED_VALUE"""),0.0)</f>
        <v>0</v>
      </c>
      <c r="H679" s="6" t="str">
        <f>IFERROR(__xludf.DUMMYFUNCTION("""COMPUTED_VALUE"""),"Pcs")</f>
        <v>Pcs</v>
      </c>
      <c r="I679" s="6" t="str">
        <f>IFERROR(__xludf.DUMMYFUNCTION("""COMPUTED_VALUE"""),"MFH")</f>
        <v>MFH</v>
      </c>
      <c r="J679" s="6" t="str">
        <f>IFERROR(__xludf.DUMMYFUNCTION("""COMPUTED_VALUE"""),"-")</f>
        <v>-</v>
      </c>
      <c r="K679" s="6" t="str">
        <f>IFERROR(__xludf.DUMMYFUNCTION("""COMPUTED_VALUE"""),"SPR/02/24/054")</f>
        <v>SPR/02/24/054</v>
      </c>
      <c r="L679" s="13">
        <f>IFERROR(__xludf.DUMMYFUNCTION("""COMPUTED_VALUE"""),45348.0)</f>
        <v>45348</v>
      </c>
    </row>
    <row r="680">
      <c r="A680" s="6" t="str">
        <f>IFERROR(__xludf.DUMMYFUNCTION("""COMPUTED_VALUE"""),"MFH")</f>
        <v>MFH</v>
      </c>
      <c r="B680" s="6" t="str">
        <f>IFERROR(__xludf.DUMMYFUNCTION("""COMPUTED_VALUE"""),"ENG")</f>
        <v>ENG</v>
      </c>
      <c r="C680" s="6" t="str">
        <f>IFERROR(__xludf.DUMMYFUNCTION("""COMPUTED_VALUE"""),"O-19341-00")</f>
        <v>O-19341-00</v>
      </c>
      <c r="D680" s="6" t="str">
        <f>IFERROR(__xludf.DUMMYFUNCTION("""COMPUTED_VALUE"""),"Washing RAR4 - Set Giude Rell Outfeed, Machining Plate Material Pom Putih")</f>
        <v>Washing RAR4 - Set Giude Rell Outfeed, Machining Plate Material Pom Putih</v>
      </c>
      <c r="E680" s="6">
        <f>IFERROR(__xludf.DUMMYFUNCTION("""COMPUTED_VALUE"""),1.0)</f>
        <v>1</v>
      </c>
      <c r="F680" s="6">
        <f>IFERROR(__xludf.DUMMYFUNCTION("""COMPUTED_VALUE"""),1.0)</f>
        <v>1</v>
      </c>
      <c r="G680" s="6">
        <f>IFERROR(__xludf.DUMMYFUNCTION("""COMPUTED_VALUE"""),0.0)</f>
        <v>0</v>
      </c>
      <c r="H680" s="6" t="str">
        <f>IFERROR(__xludf.DUMMYFUNCTION("""COMPUTED_VALUE"""),"Pcs")</f>
        <v>Pcs</v>
      </c>
      <c r="I680" s="6" t="str">
        <f>IFERROR(__xludf.DUMMYFUNCTION("""COMPUTED_VALUE"""),"MFH")</f>
        <v>MFH</v>
      </c>
      <c r="J680" s="6" t="str">
        <f>IFERROR(__xludf.DUMMYFUNCTION("""COMPUTED_VALUE"""),"-")</f>
        <v>-</v>
      </c>
      <c r="K680" s="6" t="str">
        <f>IFERROR(__xludf.DUMMYFUNCTION("""COMPUTED_VALUE"""),"SPR/02/24/055")</f>
        <v>SPR/02/24/055</v>
      </c>
      <c r="L680" s="13">
        <f>IFERROR(__xludf.DUMMYFUNCTION("""COMPUTED_VALUE"""),45348.0)</f>
        <v>45348</v>
      </c>
    </row>
    <row r="681">
      <c r="A681" s="6" t="str">
        <f>IFERROR(__xludf.DUMMYFUNCTION("""COMPUTED_VALUE"""),"MFH")</f>
        <v>MFH</v>
      </c>
      <c r="B681" s="6" t="str">
        <f>IFERROR(__xludf.DUMMYFUNCTION("""COMPUTED_VALUE"""),"ENG")</f>
        <v>ENG</v>
      </c>
      <c r="C681" s="6" t="str">
        <f>IFERROR(__xludf.DUMMYFUNCTION("""COMPUTED_VALUE"""),"P-51736-00")</f>
        <v>P-51736-00</v>
      </c>
      <c r="D681" s="6" t="str">
        <f>IFERROR(__xludf.DUMMYFUNCTION("""COMPUTED_VALUE"""),"Kabel UTP isi 8 Cat 5e merk BELDEN")</f>
        <v>Kabel UTP isi 8 Cat 5e merk BELDEN</v>
      </c>
      <c r="E681" s="6">
        <f>IFERROR(__xludf.DUMMYFUNCTION("""COMPUTED_VALUE"""),1.0)</f>
        <v>1</v>
      </c>
      <c r="F681" s="6">
        <f>IFERROR(__xludf.DUMMYFUNCTION("""COMPUTED_VALUE"""),1.0)</f>
        <v>1</v>
      </c>
      <c r="G681" s="6">
        <f>IFERROR(__xludf.DUMMYFUNCTION("""COMPUTED_VALUE"""),0.0)</f>
        <v>0</v>
      </c>
      <c r="H681" s="6" t="str">
        <f>IFERROR(__xludf.DUMMYFUNCTION("""COMPUTED_VALUE"""),"Pcs")</f>
        <v>Pcs</v>
      </c>
      <c r="I681" s="6" t="str">
        <f>IFERROR(__xludf.DUMMYFUNCTION("""COMPUTED_VALUE"""),"MFH")</f>
        <v>MFH</v>
      </c>
      <c r="J681" s="6" t="str">
        <f>IFERROR(__xludf.DUMMYFUNCTION("""COMPUTED_VALUE"""),"-")</f>
        <v>-</v>
      </c>
      <c r="K681" s="6" t="str">
        <f>IFERROR(__xludf.DUMMYFUNCTION("""COMPUTED_VALUE"""),"SPR/02/24/055")</f>
        <v>SPR/02/24/055</v>
      </c>
      <c r="L681" s="13">
        <f>IFERROR(__xludf.DUMMYFUNCTION("""COMPUTED_VALUE"""),45348.0)</f>
        <v>45348</v>
      </c>
    </row>
    <row r="682">
      <c r="A682" s="6" t="str">
        <f>IFERROR(__xludf.DUMMYFUNCTION("""COMPUTED_VALUE"""),"MFH")</f>
        <v>MFH</v>
      </c>
      <c r="B682" s="6" t="str">
        <f>IFERROR(__xludf.DUMMYFUNCTION("""COMPUTED_VALUE"""),"ENG")</f>
        <v>ENG</v>
      </c>
      <c r="C682" s="6" t="str">
        <f>IFERROR(__xludf.DUMMYFUNCTION("""COMPUTED_VALUE"""),"P-53259-00")</f>
        <v>P-53259-00</v>
      </c>
      <c r="D682" s="6" t="str">
        <f>IFERROR(__xludf.DUMMYFUNCTION("""COMPUTED_VALUE"""),"UV Sensor PIN : 270264040")</f>
        <v>UV Sensor PIN : 270264040</v>
      </c>
      <c r="E682" s="6">
        <f>IFERROR(__xludf.DUMMYFUNCTION("""COMPUTED_VALUE"""),1.0)</f>
        <v>1</v>
      </c>
      <c r="F682" s="6">
        <f>IFERROR(__xludf.DUMMYFUNCTION("""COMPUTED_VALUE"""),1.0)</f>
        <v>1</v>
      </c>
      <c r="G682" s="6">
        <f>IFERROR(__xludf.DUMMYFUNCTION("""COMPUTED_VALUE"""),0.0)</f>
        <v>0</v>
      </c>
      <c r="H682" s="6" t="str">
        <f>IFERROR(__xludf.DUMMYFUNCTION("""COMPUTED_VALUE"""),"Pcs")</f>
        <v>Pcs</v>
      </c>
      <c r="I682" s="6" t="str">
        <f>IFERROR(__xludf.DUMMYFUNCTION("""COMPUTED_VALUE"""),"MFH")</f>
        <v>MFH</v>
      </c>
      <c r="J682" s="6" t="str">
        <f>IFERROR(__xludf.DUMMYFUNCTION("""COMPUTED_VALUE"""),"-")</f>
        <v>-</v>
      </c>
      <c r="K682" s="6" t="str">
        <f>IFERROR(__xludf.DUMMYFUNCTION("""COMPUTED_VALUE"""),"SPR/02/24/055")</f>
        <v>SPR/02/24/055</v>
      </c>
      <c r="L682" s="13">
        <f>IFERROR(__xludf.DUMMYFUNCTION("""COMPUTED_VALUE"""),45348.0)</f>
        <v>45348</v>
      </c>
    </row>
    <row r="683">
      <c r="A683" s="6" t="str">
        <f>IFERROR(__xludf.DUMMYFUNCTION("""COMPUTED_VALUE"""),"MFH")</f>
        <v>MFH</v>
      </c>
      <c r="B683" s="6" t="str">
        <f>IFERROR(__xludf.DUMMYFUNCTION("""COMPUTED_VALUE"""),"ENG")</f>
        <v>ENG</v>
      </c>
      <c r="C683" s="6" t="str">
        <f>IFERROR(__xludf.DUMMYFUNCTION("""COMPUTED_VALUE"""),"P-51302-00")</f>
        <v>P-51302-00</v>
      </c>
      <c r="D683" s="6" t="str">
        <f>IFERROR(__xludf.DUMMYFUNCTION("""COMPUTED_VALUE"""),"Timah Solder dia 1 mm")</f>
        <v>Timah Solder dia 1 mm</v>
      </c>
      <c r="E683" s="6">
        <f>IFERROR(__xludf.DUMMYFUNCTION("""COMPUTED_VALUE"""),1.0)</f>
        <v>1</v>
      </c>
      <c r="F683" s="6">
        <f>IFERROR(__xludf.DUMMYFUNCTION("""COMPUTED_VALUE"""),1.0)</f>
        <v>1</v>
      </c>
      <c r="G683" s="6">
        <f>IFERROR(__xludf.DUMMYFUNCTION("""COMPUTED_VALUE"""),0.0)</f>
        <v>0</v>
      </c>
      <c r="H683" s="6" t="str">
        <f>IFERROR(__xludf.DUMMYFUNCTION("""COMPUTED_VALUE"""),"Pcs")</f>
        <v>Pcs</v>
      </c>
      <c r="I683" s="6" t="str">
        <f>IFERROR(__xludf.DUMMYFUNCTION("""COMPUTED_VALUE"""),"MFH")</f>
        <v>MFH</v>
      </c>
      <c r="J683" s="6" t="str">
        <f>IFERROR(__xludf.DUMMYFUNCTION("""COMPUTED_VALUE"""),"-")</f>
        <v>-</v>
      </c>
      <c r="K683" s="6" t="str">
        <f>IFERROR(__xludf.DUMMYFUNCTION("""COMPUTED_VALUE"""),"SPR/02/24/056")</f>
        <v>SPR/02/24/056</v>
      </c>
      <c r="L683" s="13">
        <f>IFERROR(__xludf.DUMMYFUNCTION("""COMPUTED_VALUE"""),45348.0)</f>
        <v>45348</v>
      </c>
    </row>
    <row r="684">
      <c r="A684" s="6" t="str">
        <f>IFERROR(__xludf.DUMMYFUNCTION("""COMPUTED_VALUE"""),"MFH")</f>
        <v>MFH</v>
      </c>
      <c r="B684" s="6" t="str">
        <f>IFERROR(__xludf.DUMMYFUNCTION("""COMPUTED_VALUE"""),"ENG")</f>
        <v>ENG</v>
      </c>
      <c r="C684" s="6" t="str">
        <f>IFERROR(__xludf.DUMMYFUNCTION("""COMPUTED_VALUE"""),"P-13389-00")</f>
        <v>P-13389-00</v>
      </c>
      <c r="D684" s="6" t="str">
        <f>IFERROR(__xludf.DUMMYFUNCTION("""COMPUTED_VALUE"""),"Scotch Brite 3M; ; ;")</f>
        <v>Scotch Brite 3M; ; ;</v>
      </c>
      <c r="E684" s="6">
        <f>IFERROR(__xludf.DUMMYFUNCTION("""COMPUTED_VALUE"""),2.0)</f>
        <v>2</v>
      </c>
      <c r="F684" s="6">
        <f>IFERROR(__xludf.DUMMYFUNCTION("""COMPUTED_VALUE"""),2.0)</f>
        <v>2</v>
      </c>
      <c r="G684" s="6">
        <f>IFERROR(__xludf.DUMMYFUNCTION("""COMPUTED_VALUE"""),0.0)</f>
        <v>0</v>
      </c>
      <c r="H684" s="6" t="str">
        <f>IFERROR(__xludf.DUMMYFUNCTION("""COMPUTED_VALUE"""),"Pcs")</f>
        <v>Pcs</v>
      </c>
      <c r="I684" s="6" t="str">
        <f>IFERROR(__xludf.DUMMYFUNCTION("""COMPUTED_VALUE"""),"MFH")</f>
        <v>MFH</v>
      </c>
      <c r="J684" s="6" t="str">
        <f>IFERROR(__xludf.DUMMYFUNCTION("""COMPUTED_VALUE"""),"-")</f>
        <v>-</v>
      </c>
      <c r="K684" s="6" t="str">
        <f>IFERROR(__xludf.DUMMYFUNCTION("""COMPUTED_VALUE"""),"SPR/02/24/056")</f>
        <v>SPR/02/24/056</v>
      </c>
      <c r="L684" s="13">
        <f>IFERROR(__xludf.DUMMYFUNCTION("""COMPUTED_VALUE"""),45348.0)</f>
        <v>45348</v>
      </c>
    </row>
    <row r="685">
      <c r="A685" s="6" t="str">
        <f>IFERROR(__xludf.DUMMYFUNCTION("""COMPUTED_VALUE"""),"MFH")</f>
        <v>MFH</v>
      </c>
      <c r="B685" s="6" t="str">
        <f>IFERROR(__xludf.DUMMYFUNCTION("""COMPUTED_VALUE"""),"ENG")</f>
        <v>ENG</v>
      </c>
      <c r="C685" s="6" t="str">
        <f>IFERROR(__xludf.DUMMYFUNCTION("""COMPUTED_VALUE"""),"Q-10650-00")</f>
        <v>Q-10650-00</v>
      </c>
      <c r="D685" s="6" t="str">
        <f>IFERROR(__xludf.DUMMYFUNCTION("""COMPUTED_VALUE"""),"Aquaproof Abu-Abu @4 Kg")</f>
        <v>Aquaproof Abu-Abu @4 Kg</v>
      </c>
      <c r="E685" s="6">
        <f>IFERROR(__xludf.DUMMYFUNCTION("""COMPUTED_VALUE"""),1.0)</f>
        <v>1</v>
      </c>
      <c r="F685" s="6">
        <f>IFERROR(__xludf.DUMMYFUNCTION("""COMPUTED_VALUE"""),1.0)</f>
        <v>1</v>
      </c>
      <c r="G685" s="6">
        <f>IFERROR(__xludf.DUMMYFUNCTION("""COMPUTED_VALUE"""),0.0)</f>
        <v>0</v>
      </c>
      <c r="H685" s="6" t="str">
        <f>IFERROR(__xludf.DUMMYFUNCTION("""COMPUTED_VALUE"""),"Pcs")</f>
        <v>Pcs</v>
      </c>
      <c r="I685" s="6" t="str">
        <f>IFERROR(__xludf.DUMMYFUNCTION("""COMPUTED_VALUE"""),"MFH")</f>
        <v>MFH</v>
      </c>
      <c r="J685" s="6" t="str">
        <f>IFERROR(__xludf.DUMMYFUNCTION("""COMPUTED_VALUE"""),"-")</f>
        <v>-</v>
      </c>
      <c r="K685" s="6" t="str">
        <f>IFERROR(__xludf.DUMMYFUNCTION("""COMPUTED_VALUE"""),"SPR/02/24/056")</f>
        <v>SPR/02/24/056</v>
      </c>
      <c r="L685" s="13">
        <f>IFERROR(__xludf.DUMMYFUNCTION("""COMPUTED_VALUE"""),45348.0)</f>
        <v>45348</v>
      </c>
    </row>
    <row r="686">
      <c r="A686" s="6" t="str">
        <f>IFERROR(__xludf.DUMMYFUNCTION("""COMPUTED_VALUE"""),"MFH")</f>
        <v>MFH</v>
      </c>
      <c r="B686" s="6" t="str">
        <f>IFERROR(__xludf.DUMMYFUNCTION("""COMPUTED_VALUE"""),"ENG")</f>
        <v>ENG</v>
      </c>
      <c r="C686" s="6" t="str">
        <f>IFERROR(__xludf.DUMMYFUNCTION("""COMPUTED_VALUE"""),"P-14906-00")</f>
        <v>P-14906-00</v>
      </c>
      <c r="D686" s="6" t="str">
        <f>IFERROR(__xludf.DUMMYFUNCTION("""COMPUTED_VALUE"""),"UV Sensor Housing Hanovia UV System")</f>
        <v>UV Sensor Housing Hanovia UV System</v>
      </c>
      <c r="E686" s="6">
        <f>IFERROR(__xludf.DUMMYFUNCTION("""COMPUTED_VALUE"""),1.0)</f>
        <v>1</v>
      </c>
      <c r="F686" s="6">
        <f>IFERROR(__xludf.DUMMYFUNCTION("""COMPUTED_VALUE"""),1.0)</f>
        <v>1</v>
      </c>
      <c r="G686" s="6">
        <f>IFERROR(__xludf.DUMMYFUNCTION("""COMPUTED_VALUE"""),0.0)</f>
        <v>0</v>
      </c>
      <c r="H686" s="6" t="str">
        <f>IFERROR(__xludf.DUMMYFUNCTION("""COMPUTED_VALUE"""),"Pcs")</f>
        <v>Pcs</v>
      </c>
      <c r="I686" s="6" t="str">
        <f>IFERROR(__xludf.DUMMYFUNCTION("""COMPUTED_VALUE"""),"MFH")</f>
        <v>MFH</v>
      </c>
      <c r="J686" s="6" t="str">
        <f>IFERROR(__xludf.DUMMYFUNCTION("""COMPUTED_VALUE"""),"-")</f>
        <v>-</v>
      </c>
      <c r="K686" s="6" t="str">
        <f>IFERROR(__xludf.DUMMYFUNCTION("""COMPUTED_VALUE"""),"SPR/02/24/057")</f>
        <v>SPR/02/24/057</v>
      </c>
      <c r="L686" s="13">
        <f>IFERROR(__xludf.DUMMYFUNCTION("""COMPUTED_VALUE"""),45348.0)</f>
        <v>45348</v>
      </c>
    </row>
    <row r="687">
      <c r="A687" s="6" t="str">
        <f>IFERROR(__xludf.DUMMYFUNCTION("""COMPUTED_VALUE"""),"MFH")</f>
        <v>MFH</v>
      </c>
      <c r="B687" s="6" t="str">
        <f>IFERROR(__xludf.DUMMYFUNCTION("""COMPUTED_VALUE"""),"ENG")</f>
        <v>ENG</v>
      </c>
      <c r="C687" s="6" t="str">
        <f>IFERROR(__xludf.DUMMYFUNCTION("""COMPUTED_VALUE"""),"P-12476-00")</f>
        <v>P-12476-00</v>
      </c>
      <c r="D687" s="6" t="str">
        <f>IFERROR(__xludf.DUMMYFUNCTION("""COMPUTED_VALUE"""),"Mata Bor besi dia 10 mm ex NACHI")</f>
        <v>Mata Bor besi dia 10 mm ex NACHI</v>
      </c>
      <c r="E687" s="6">
        <f>IFERROR(__xludf.DUMMYFUNCTION("""COMPUTED_VALUE"""),1.0)</f>
        <v>1</v>
      </c>
      <c r="F687" s="6">
        <f>IFERROR(__xludf.DUMMYFUNCTION("""COMPUTED_VALUE"""),1.0)</f>
        <v>1</v>
      </c>
      <c r="G687" s="6">
        <f>IFERROR(__xludf.DUMMYFUNCTION("""COMPUTED_VALUE"""),0.0)</f>
        <v>0</v>
      </c>
      <c r="H687" s="6" t="str">
        <f>IFERROR(__xludf.DUMMYFUNCTION("""COMPUTED_VALUE"""),"Pcs")</f>
        <v>Pcs</v>
      </c>
      <c r="I687" s="6" t="str">
        <f>IFERROR(__xludf.DUMMYFUNCTION("""COMPUTED_VALUE"""),"MFH")</f>
        <v>MFH</v>
      </c>
      <c r="J687" s="6" t="str">
        <f>IFERROR(__xludf.DUMMYFUNCTION("""COMPUTED_VALUE"""),"-")</f>
        <v>-</v>
      </c>
      <c r="K687" s="6" t="str">
        <f>IFERROR(__xludf.DUMMYFUNCTION("""COMPUTED_VALUE"""),"SPR/02/24/057")</f>
        <v>SPR/02/24/057</v>
      </c>
      <c r="L687" s="13">
        <f>IFERROR(__xludf.DUMMYFUNCTION("""COMPUTED_VALUE"""),45348.0)</f>
        <v>45348</v>
      </c>
    </row>
    <row r="688">
      <c r="A688" s="6" t="str">
        <f>IFERROR(__xludf.DUMMYFUNCTION("""COMPUTED_VALUE"""),"MFH")</f>
        <v>MFH</v>
      </c>
      <c r="B688" s="6" t="str">
        <f>IFERROR(__xludf.DUMMYFUNCTION("""COMPUTED_VALUE"""),"ENG")</f>
        <v>ENG</v>
      </c>
      <c r="C688" s="6" t="str">
        <f>IFERROR(__xludf.DUMMYFUNCTION("""COMPUTED_VALUE"""),"O-54129-00")</f>
        <v>O-54129-00</v>
      </c>
      <c r="D688" s="6" t="str">
        <f>IFERROR(__xludf.DUMMYFUNCTION("""COMPUTED_VALUE"""),"Digital Vacuum Gauge VMV-1 0 - 75000 Microns")</f>
        <v>Digital Vacuum Gauge VMV-1 0 - 75000 Microns</v>
      </c>
      <c r="E688" s="6">
        <f>IFERROR(__xludf.DUMMYFUNCTION("""COMPUTED_VALUE"""),1.0)</f>
        <v>1</v>
      </c>
      <c r="F688" s="6">
        <f>IFERROR(__xludf.DUMMYFUNCTION("""COMPUTED_VALUE"""),1.0)</f>
        <v>1</v>
      </c>
      <c r="G688" s="6">
        <f>IFERROR(__xludf.DUMMYFUNCTION("""COMPUTED_VALUE"""),0.0)</f>
        <v>0</v>
      </c>
      <c r="H688" s="6" t="str">
        <f>IFERROR(__xludf.DUMMYFUNCTION("""COMPUTED_VALUE"""),"Pcs")</f>
        <v>Pcs</v>
      </c>
      <c r="I688" s="6" t="str">
        <f>IFERROR(__xludf.DUMMYFUNCTION("""COMPUTED_VALUE"""),"MFH")</f>
        <v>MFH</v>
      </c>
      <c r="J688" s="6" t="str">
        <f>IFERROR(__xludf.DUMMYFUNCTION("""COMPUTED_VALUE"""),"-")</f>
        <v>-</v>
      </c>
      <c r="K688" s="6" t="str">
        <f>IFERROR(__xludf.DUMMYFUNCTION("""COMPUTED_VALUE"""),"SPR/02/24/057")</f>
        <v>SPR/02/24/057</v>
      </c>
      <c r="L688" s="13">
        <f>IFERROR(__xludf.DUMMYFUNCTION("""COMPUTED_VALUE"""),45348.0)</f>
        <v>45348</v>
      </c>
    </row>
    <row r="689">
      <c r="A689" s="6" t="str">
        <f>IFERROR(__xludf.DUMMYFUNCTION("""COMPUTED_VALUE"""),"AAA")</f>
        <v>AAA</v>
      </c>
      <c r="B689" s="6" t="str">
        <f>IFERROR(__xludf.DUMMYFUNCTION("""COMPUTED_VALUE"""),"ENG")</f>
        <v>ENG</v>
      </c>
      <c r="C689" s="6" t="str">
        <f>IFERROR(__xludf.DUMMYFUNCTION("""COMPUTED_VALUE"""),"P-53210-00")</f>
        <v>P-53210-00</v>
      </c>
      <c r="D689" s="6" t="str">
        <f>IFERROR(__xludf.DUMMYFUNCTION("""COMPUTED_VALUE"""),"CAPACITOR 5 uF, 220 V, 2 kutub")</f>
        <v>CAPACITOR 5 uF, 220 V, 2 kutub</v>
      </c>
      <c r="E689" s="6">
        <f>IFERROR(__xludf.DUMMYFUNCTION("""COMPUTED_VALUE"""),1.0)</f>
        <v>1</v>
      </c>
      <c r="F689" s="6">
        <f>IFERROR(__xludf.DUMMYFUNCTION("""COMPUTED_VALUE"""),1.0)</f>
        <v>1</v>
      </c>
      <c r="G689" s="6">
        <f>IFERROR(__xludf.DUMMYFUNCTION("""COMPUTED_VALUE"""),0.0)</f>
        <v>0</v>
      </c>
      <c r="H689" s="6" t="str">
        <f>IFERROR(__xludf.DUMMYFUNCTION("""COMPUTED_VALUE"""),"pcs")</f>
        <v>pcs</v>
      </c>
      <c r="I689" s="6" t="str">
        <f>IFERROR(__xludf.DUMMYFUNCTION("""COMPUTED_VALUE"""),"MFH")</f>
        <v>MFH</v>
      </c>
      <c r="J689" s="6" t="str">
        <f>IFERROR(__xludf.DUMMYFUNCTION("""COMPUTED_VALUE"""),"BOD Incubator")</f>
        <v>BOD Incubator</v>
      </c>
      <c r="K689" s="6" t="str">
        <f>IFERROR(__xludf.DUMMYFUNCTION("""COMPUTED_VALUE"""),"SPR/03/24/001")</f>
        <v>SPR/03/24/001</v>
      </c>
      <c r="L689" s="13">
        <f>IFERROR(__xludf.DUMMYFUNCTION("""COMPUTED_VALUE"""),45370.0)</f>
        <v>45370</v>
      </c>
    </row>
    <row r="690">
      <c r="A690" s="6" t="str">
        <f>IFERROR(__xludf.DUMMYFUNCTION("""COMPUTED_VALUE"""),"AAA")</f>
        <v>AAA</v>
      </c>
      <c r="B690" s="6" t="str">
        <f>IFERROR(__xludf.DUMMYFUNCTION("""COMPUTED_VALUE"""),"ENG")</f>
        <v>ENG</v>
      </c>
      <c r="C690" s="6" t="str">
        <f>IFERROR(__xludf.DUMMYFUNCTION("""COMPUTED_VALUE"""),"P-52380-00")</f>
        <v>P-52380-00</v>
      </c>
      <c r="D690" s="6" t="str">
        <f>IFERROR(__xludf.DUMMYFUNCTION("""COMPUTED_VALUE"""),"Adaptor AC Universal Power Supply 12VDC s/d 24VDC")</f>
        <v>Adaptor AC Universal Power Supply 12VDC s/d 24VDC</v>
      </c>
      <c r="E690" s="6">
        <f>IFERROR(__xludf.DUMMYFUNCTION("""COMPUTED_VALUE"""),1.0)</f>
        <v>1</v>
      </c>
      <c r="F690" s="6">
        <f>IFERROR(__xludf.DUMMYFUNCTION("""COMPUTED_VALUE"""),1.0)</f>
        <v>1</v>
      </c>
      <c r="G690" s="6">
        <f>IFERROR(__xludf.DUMMYFUNCTION("""COMPUTED_VALUE"""),0.0)</f>
        <v>0</v>
      </c>
      <c r="H690" s="6" t="str">
        <f>IFERROR(__xludf.DUMMYFUNCTION("""COMPUTED_VALUE"""),"Unit")</f>
        <v>Unit</v>
      </c>
      <c r="I690" s="6" t="str">
        <f>IFERROR(__xludf.DUMMYFUNCTION("""COMPUTED_VALUE"""),"MFH")</f>
        <v>MFH</v>
      </c>
      <c r="J690" s="6" t="str">
        <f>IFERROR(__xludf.DUMMYFUNCTION("""COMPUTED_VALUE"""),"HC 40")</f>
        <v>HC 40</v>
      </c>
      <c r="K690" s="6" t="str">
        <f>IFERROR(__xludf.DUMMYFUNCTION("""COMPUTED_VALUE"""),"SPR/03/24/001")</f>
        <v>SPR/03/24/001</v>
      </c>
      <c r="L690" s="13">
        <f>IFERROR(__xludf.DUMMYFUNCTION("""COMPUTED_VALUE"""),45370.0)</f>
        <v>45370</v>
      </c>
    </row>
    <row r="691">
      <c r="A691" s="6" t="str">
        <f>IFERROR(__xludf.DUMMYFUNCTION("""COMPUTED_VALUE"""),"SHF")</f>
        <v>SHF</v>
      </c>
      <c r="B691" s="6" t="str">
        <f>IFERROR(__xludf.DUMMYFUNCTION("""COMPUTED_VALUE"""),"ENG")</f>
        <v>ENG</v>
      </c>
      <c r="C691" s="6" t="str">
        <f>IFERROR(__xludf.DUMMYFUNCTION("""COMPUTED_VALUE"""),"Q-60501-00")</f>
        <v>Q-60501-00</v>
      </c>
      <c r="D691" s="6" t="str">
        <f>IFERROR(__xludf.DUMMYFUNCTION("""COMPUTED_VALUE"""),"Silicone Sealant, Silglaze, Type N10 Clear, pack size per pcs")</f>
        <v>Silicone Sealant, Silglaze, Type N10 Clear, pack size per pcs</v>
      </c>
      <c r="E691" s="6">
        <f>IFERROR(__xludf.DUMMYFUNCTION("""COMPUTED_VALUE"""),1.0)</f>
        <v>1</v>
      </c>
      <c r="F691" s="6">
        <f>IFERROR(__xludf.DUMMYFUNCTION("""COMPUTED_VALUE"""),1.0)</f>
        <v>1</v>
      </c>
      <c r="G691" s="6">
        <f>IFERROR(__xludf.DUMMYFUNCTION("""COMPUTED_VALUE"""),0.0)</f>
        <v>0</v>
      </c>
      <c r="H691" s="6" t="str">
        <f>IFERROR(__xludf.DUMMYFUNCTION("""COMPUTED_VALUE"""),"pcs")</f>
        <v>pcs</v>
      </c>
      <c r="I691" s="6" t="str">
        <f>IFERROR(__xludf.DUMMYFUNCTION("""COMPUTED_VALUE"""),"MFH")</f>
        <v>MFH</v>
      </c>
      <c r="J691" s="6" t="str">
        <f>IFERROR(__xludf.DUMMYFUNCTION("""COMPUTED_VALUE"""),"Building")</f>
        <v>Building</v>
      </c>
      <c r="K691" s="6" t="str">
        <f>IFERROR(__xludf.DUMMYFUNCTION("""COMPUTED_VALUE"""),"SPR/03/24/002")</f>
        <v>SPR/03/24/002</v>
      </c>
      <c r="L691" s="13">
        <f>IFERROR(__xludf.DUMMYFUNCTION("""COMPUTED_VALUE"""),45370.0)</f>
        <v>45370</v>
      </c>
    </row>
    <row r="692">
      <c r="A692" s="6" t="str">
        <f>IFERROR(__xludf.DUMMYFUNCTION("""COMPUTED_VALUE"""),"SHF")</f>
        <v>SHF</v>
      </c>
      <c r="B692" s="6" t="str">
        <f>IFERROR(__xludf.DUMMYFUNCTION("""COMPUTED_VALUE"""),"ENG")</f>
        <v>ENG</v>
      </c>
      <c r="C692" s="6" t="str">
        <f>IFERROR(__xludf.DUMMYFUNCTION("""COMPUTED_VALUE"""),"O-54014-00")</f>
        <v>O-54014-00</v>
      </c>
      <c r="D692" s="6" t="str">
        <f>IFERROR(__xludf.DUMMYFUNCTION("""COMPUTED_VALUE"""),"STEKER 1 PHASE, BROCO")</f>
        <v>STEKER 1 PHASE, BROCO</v>
      </c>
      <c r="E692" s="6">
        <f>IFERROR(__xludf.DUMMYFUNCTION("""COMPUTED_VALUE"""),2.0)</f>
        <v>2</v>
      </c>
      <c r="F692" s="6">
        <f>IFERROR(__xludf.DUMMYFUNCTION("""COMPUTED_VALUE"""),1.0)</f>
        <v>1</v>
      </c>
      <c r="G692" s="6">
        <f>IFERROR(__xludf.DUMMYFUNCTION("""COMPUTED_VALUE"""),0.0)</f>
        <v>0</v>
      </c>
      <c r="H692" s="6" t="str">
        <f>IFERROR(__xludf.DUMMYFUNCTION("""COMPUTED_VALUE"""),"pcs")</f>
        <v>pcs</v>
      </c>
      <c r="I692" s="6" t="str">
        <f>IFERROR(__xludf.DUMMYFUNCTION("""COMPUTED_VALUE"""),"MFH")</f>
        <v>MFH</v>
      </c>
      <c r="J692" s="6" t="str">
        <f>IFERROR(__xludf.DUMMYFUNCTION("""COMPUTED_VALUE"""),"Building")</f>
        <v>Building</v>
      </c>
      <c r="K692" s="6" t="str">
        <f>IFERROR(__xludf.DUMMYFUNCTION("""COMPUTED_VALUE"""),"SPR/03/24/002")</f>
        <v>SPR/03/24/002</v>
      </c>
      <c r="L692" s="13">
        <f>IFERROR(__xludf.DUMMYFUNCTION("""COMPUTED_VALUE"""),45370.0)</f>
        <v>45370</v>
      </c>
    </row>
    <row r="693">
      <c r="A693" s="6" t="str">
        <f>IFERROR(__xludf.DUMMYFUNCTION("""COMPUTED_VALUE"""),"SHF")</f>
        <v>SHF</v>
      </c>
      <c r="B693" s="6" t="str">
        <f>IFERROR(__xludf.DUMMYFUNCTION("""COMPUTED_VALUE"""),"ENG")</f>
        <v>ENG</v>
      </c>
      <c r="C693" s="6" t="str">
        <f>IFERROR(__xludf.DUMMYFUNCTION("""COMPUTED_VALUE"""),"O-54015-00")</f>
        <v>O-54015-00</v>
      </c>
      <c r="D693" s="6" t="str">
        <f>IFERROR(__xludf.DUMMYFUNCTION("""COMPUTED_VALUE"""),"STOP KONTAK LUBANG 4, BROCO")</f>
        <v>STOP KONTAK LUBANG 4, BROCO</v>
      </c>
      <c r="E693" s="6">
        <f>IFERROR(__xludf.DUMMYFUNCTION("""COMPUTED_VALUE"""),2.0)</f>
        <v>2</v>
      </c>
      <c r="F693" s="6">
        <f>IFERROR(__xludf.DUMMYFUNCTION("""COMPUTED_VALUE"""),1.0)</f>
        <v>1</v>
      </c>
      <c r="G693" s="6">
        <f>IFERROR(__xludf.DUMMYFUNCTION("""COMPUTED_VALUE"""),0.0)</f>
        <v>0</v>
      </c>
      <c r="H693" s="6" t="str">
        <f>IFERROR(__xludf.DUMMYFUNCTION("""COMPUTED_VALUE"""),"pcs")</f>
        <v>pcs</v>
      </c>
      <c r="I693" s="6" t="str">
        <f>IFERROR(__xludf.DUMMYFUNCTION("""COMPUTED_VALUE"""),"MFH")</f>
        <v>MFH</v>
      </c>
      <c r="J693" s="6" t="str">
        <f>IFERROR(__xludf.DUMMYFUNCTION("""COMPUTED_VALUE"""),"Building")</f>
        <v>Building</v>
      </c>
      <c r="K693" s="6" t="str">
        <f>IFERROR(__xludf.DUMMYFUNCTION("""COMPUTED_VALUE"""),"SPR/03/24/002")</f>
        <v>SPR/03/24/002</v>
      </c>
      <c r="L693" s="13">
        <f>IFERROR(__xludf.DUMMYFUNCTION("""COMPUTED_VALUE"""),45370.0)</f>
        <v>45370</v>
      </c>
    </row>
    <row r="694">
      <c r="A694" s="6" t="str">
        <f>IFERROR(__xludf.DUMMYFUNCTION("""COMPUTED_VALUE"""),"NDS")</f>
        <v>NDS</v>
      </c>
      <c r="B694" s="6" t="str">
        <f>IFERROR(__xludf.DUMMYFUNCTION("""COMPUTED_VALUE"""),"ENG")</f>
        <v>ENG</v>
      </c>
      <c r="C694" s="6" t="str">
        <f>IFERROR(__xludf.DUMMYFUNCTION("""COMPUTED_VALUE"""),"T-80043-00")</f>
        <v>T-80043-00</v>
      </c>
      <c r="D694" s="6" t="str">
        <f>IFERROR(__xludf.DUMMYFUNCTION("""COMPUTED_VALUE"""),"Battery Kotak 9V")</f>
        <v>Battery Kotak 9V</v>
      </c>
      <c r="E694" s="6">
        <f>IFERROR(__xludf.DUMMYFUNCTION("""COMPUTED_VALUE"""),1.0)</f>
        <v>1</v>
      </c>
      <c r="F694" s="6">
        <f>IFERROR(__xludf.DUMMYFUNCTION("""COMPUTED_VALUE"""),1.0)</f>
        <v>1</v>
      </c>
      <c r="G694" s="6">
        <f>IFERROR(__xludf.DUMMYFUNCTION("""COMPUTED_VALUE"""),0.0)</f>
        <v>0</v>
      </c>
      <c r="H694" s="6" t="str">
        <f>IFERROR(__xludf.DUMMYFUNCTION("""COMPUTED_VALUE"""),"pcs")</f>
        <v>pcs</v>
      </c>
      <c r="I694" s="6" t="str">
        <f>IFERROR(__xludf.DUMMYFUNCTION("""COMPUTED_VALUE"""),"MFH")</f>
        <v>MFH</v>
      </c>
      <c r="J694" s="6" t="str">
        <f>IFERROR(__xludf.DUMMYFUNCTION("""COMPUTED_VALUE"""),"Ultrasonik")</f>
        <v>Ultrasonik</v>
      </c>
      <c r="K694" s="6" t="str">
        <f>IFERROR(__xludf.DUMMYFUNCTION("""COMPUTED_VALUE"""),"SPR/03/24/003")</f>
        <v>SPR/03/24/003</v>
      </c>
      <c r="L694" s="13">
        <f>IFERROR(__xludf.DUMMYFUNCTION("""COMPUTED_VALUE"""),45370.0)</f>
        <v>45370</v>
      </c>
    </row>
    <row r="695">
      <c r="A695" s="6" t="str">
        <f>IFERROR(__xludf.DUMMYFUNCTION("""COMPUTED_VALUE"""),"SFH")</f>
        <v>SFH</v>
      </c>
      <c r="B695" s="6" t="str">
        <f>IFERROR(__xludf.DUMMYFUNCTION("""COMPUTED_VALUE"""),"ENG")</f>
        <v>ENG</v>
      </c>
      <c r="C695" s="6" t="str">
        <f>IFERROR(__xludf.DUMMYFUNCTION("""COMPUTED_VALUE"""),"P-53102-00")</f>
        <v>P-53102-00</v>
      </c>
      <c r="D695" s="6" t="str">
        <f>IFERROR(__xludf.DUMMYFUNCTION("""COMPUTED_VALUE"""),"Lampu PLC 13watt/E27 Putih; Phillips; ;")</f>
        <v>Lampu PLC 13watt/E27 Putih; Phillips; ;</v>
      </c>
      <c r="E695" s="6">
        <f>IFERROR(__xludf.DUMMYFUNCTION("""COMPUTED_VALUE"""),5.0)</f>
        <v>5</v>
      </c>
      <c r="F695" s="6">
        <f>IFERROR(__xludf.DUMMYFUNCTION("""COMPUTED_VALUE"""),5.0)</f>
        <v>5</v>
      </c>
      <c r="G695" s="6">
        <f>IFERROR(__xludf.DUMMYFUNCTION("""COMPUTED_VALUE"""),0.0)</f>
        <v>0</v>
      </c>
      <c r="H695" s="6" t="str">
        <f>IFERROR(__xludf.DUMMYFUNCTION("""COMPUTED_VALUE"""),"pcs")</f>
        <v>pcs</v>
      </c>
      <c r="I695" s="6" t="str">
        <f>IFERROR(__xludf.DUMMYFUNCTION("""COMPUTED_VALUE"""),"MFH")</f>
        <v>MFH</v>
      </c>
      <c r="J695" s="6" t="str">
        <f>IFERROR(__xludf.DUMMYFUNCTION("""COMPUTED_VALUE"""),"Building")</f>
        <v>Building</v>
      </c>
      <c r="K695" s="6" t="str">
        <f>IFERROR(__xludf.DUMMYFUNCTION("""COMPUTED_VALUE"""),"SPR/03/24/004")</f>
        <v>SPR/03/24/004</v>
      </c>
      <c r="L695" s="13">
        <f>IFERROR(__xludf.DUMMYFUNCTION("""COMPUTED_VALUE"""),45370.0)</f>
        <v>45370</v>
      </c>
    </row>
    <row r="696">
      <c r="A696" s="6" t="str">
        <f>IFERROR(__xludf.DUMMYFUNCTION("""COMPUTED_VALUE"""),"SFH")</f>
        <v>SFH</v>
      </c>
      <c r="B696" s="6" t="str">
        <f>IFERROR(__xludf.DUMMYFUNCTION("""COMPUTED_VALUE"""),"ENG")</f>
        <v>ENG</v>
      </c>
      <c r="C696" s="6" t="str">
        <f>IFERROR(__xludf.DUMMYFUNCTION("""COMPUTED_VALUE"""),"P-51559-00")</f>
        <v>P-51559-00</v>
      </c>
      <c r="D696" s="6" t="str">
        <f>IFERROR(__xludf.DUMMYFUNCTION("""COMPUTED_VALUE"""),"Lampu T5 14watt Putih; Phillips; ;")</f>
        <v>Lampu T5 14watt Putih; Phillips; ;</v>
      </c>
      <c r="E696" s="6">
        <f>IFERROR(__xludf.DUMMYFUNCTION("""COMPUTED_VALUE"""),1.0)</f>
        <v>1</v>
      </c>
      <c r="F696" s="6">
        <f>IFERROR(__xludf.DUMMYFUNCTION("""COMPUTED_VALUE"""),1.0)</f>
        <v>1</v>
      </c>
      <c r="G696" s="6">
        <f>IFERROR(__xludf.DUMMYFUNCTION("""COMPUTED_VALUE"""),0.0)</f>
        <v>0</v>
      </c>
      <c r="H696" s="6" t="str">
        <f>IFERROR(__xludf.DUMMYFUNCTION("""COMPUTED_VALUE"""),"pcs")</f>
        <v>pcs</v>
      </c>
      <c r="I696" s="6" t="str">
        <f>IFERROR(__xludf.DUMMYFUNCTION("""COMPUTED_VALUE"""),"MFH")</f>
        <v>MFH</v>
      </c>
      <c r="J696" s="6" t="str">
        <f>IFERROR(__xludf.DUMMYFUNCTION("""COMPUTED_VALUE"""),"Building")</f>
        <v>Building</v>
      </c>
      <c r="K696" s="6" t="str">
        <f>IFERROR(__xludf.DUMMYFUNCTION("""COMPUTED_VALUE"""),"SPR/03/24/004")</f>
        <v>SPR/03/24/004</v>
      </c>
      <c r="L696" s="13">
        <f>IFERROR(__xludf.DUMMYFUNCTION("""COMPUTED_VALUE"""),45370.0)</f>
        <v>45370</v>
      </c>
    </row>
    <row r="697">
      <c r="A697" s="6" t="str">
        <f>IFERROR(__xludf.DUMMYFUNCTION("""COMPUTED_VALUE"""),"ROS")</f>
        <v>ROS</v>
      </c>
      <c r="B697" s="6" t="str">
        <f>IFERROR(__xludf.DUMMYFUNCTION("""COMPUTED_VALUE"""),"ENG")</f>
        <v>ENG</v>
      </c>
      <c r="C697" s="6" t="str">
        <f>IFERROR(__xludf.DUMMYFUNCTION("""COMPUTED_VALUE"""),"O-14644-00")</f>
        <v>O-14644-00</v>
      </c>
      <c r="D697" s="6" t="str">
        <f>IFERROR(__xludf.DUMMYFUNCTION("""COMPUTED_VALUE"""),"Silicone Gasket for Ferrule dia. 4""; ; ;")</f>
        <v>Silicone Gasket for Ferrule dia. 4"; ; ;</v>
      </c>
      <c r="E697" s="6">
        <f>IFERROR(__xludf.DUMMYFUNCTION("""COMPUTED_VALUE"""),3.0)</f>
        <v>3</v>
      </c>
      <c r="F697" s="6">
        <f>IFERROR(__xludf.DUMMYFUNCTION("""COMPUTED_VALUE"""),2.0)</f>
        <v>2</v>
      </c>
      <c r="G697" s="6">
        <f>IFERROR(__xludf.DUMMYFUNCTION("""COMPUTED_VALUE"""),0.0)</f>
        <v>0</v>
      </c>
      <c r="H697" s="6" t="str">
        <f>IFERROR(__xludf.DUMMYFUNCTION("""COMPUTED_VALUE"""),"Pcs")</f>
        <v>Pcs</v>
      </c>
      <c r="I697" s="6" t="str">
        <f>IFERROR(__xludf.DUMMYFUNCTION("""COMPUTED_VALUE"""),"MFH")</f>
        <v>MFH</v>
      </c>
      <c r="J697" s="6" t="str">
        <f>IFERROR(__xludf.DUMMYFUNCTION("""COMPUTED_VALUE"""),"Mixing")</f>
        <v>Mixing</v>
      </c>
      <c r="K697" s="6" t="str">
        <f>IFERROR(__xludf.DUMMYFUNCTION("""COMPUTED_VALUE"""),"SPR/03/24/005")</f>
        <v>SPR/03/24/005</v>
      </c>
      <c r="L697" s="13">
        <f>IFERROR(__xludf.DUMMYFUNCTION("""COMPUTED_VALUE"""),45370.0)</f>
        <v>45370</v>
      </c>
    </row>
    <row r="698">
      <c r="A698" s="6" t="str">
        <f>IFERROR(__xludf.DUMMYFUNCTION("""COMPUTED_VALUE"""),"ROS")</f>
        <v>ROS</v>
      </c>
      <c r="B698" s="6" t="str">
        <f>IFERROR(__xludf.DUMMYFUNCTION("""COMPUTED_VALUE"""),"ENG")</f>
        <v>ENG</v>
      </c>
      <c r="C698" s="6" t="str">
        <f>IFERROR(__xludf.DUMMYFUNCTION("""COMPUTED_VALUE"""),"Q-60503-00")</f>
        <v>Q-60503-00</v>
      </c>
      <c r="D698" s="6" t="str">
        <f>IFERROR(__xludf.DUMMYFUNCTION("""COMPUTED_VALUE"""),"Silicone Sealant, Silglaze, Type N10 Grey, pack size per pcs")</f>
        <v>Silicone Sealant, Silglaze, Type N10 Grey, pack size per pcs</v>
      </c>
      <c r="E698" s="6">
        <f>IFERROR(__xludf.DUMMYFUNCTION("""COMPUTED_VALUE"""),1.0)</f>
        <v>1</v>
      </c>
      <c r="F698" s="6">
        <f>IFERROR(__xludf.DUMMYFUNCTION("""COMPUTED_VALUE"""),1.0)</f>
        <v>1</v>
      </c>
      <c r="G698" s="6">
        <f>IFERROR(__xludf.DUMMYFUNCTION("""COMPUTED_VALUE"""),0.0)</f>
        <v>0</v>
      </c>
      <c r="H698" s="6" t="str">
        <f>IFERROR(__xludf.DUMMYFUNCTION("""COMPUTED_VALUE"""),"pcs")</f>
        <v>pcs</v>
      </c>
      <c r="I698" s="6" t="str">
        <f>IFERROR(__xludf.DUMMYFUNCTION("""COMPUTED_VALUE"""),"MFH")</f>
        <v>MFH</v>
      </c>
      <c r="J698" s="6" t="str">
        <f>IFERROR(__xludf.DUMMYFUNCTION("""COMPUTED_VALUE"""),"Mixing")</f>
        <v>Mixing</v>
      </c>
      <c r="K698" s="6" t="str">
        <f>IFERROR(__xludf.DUMMYFUNCTION("""COMPUTED_VALUE"""),"SPR/03/24/005")</f>
        <v>SPR/03/24/005</v>
      </c>
      <c r="L698" s="13">
        <f>IFERROR(__xludf.DUMMYFUNCTION("""COMPUTED_VALUE"""),45370.0)</f>
        <v>45370</v>
      </c>
    </row>
    <row r="699">
      <c r="A699" s="6" t="str">
        <f>IFERROR(__xludf.DUMMYFUNCTION("""COMPUTED_VALUE"""),"ROS")</f>
        <v>ROS</v>
      </c>
      <c r="B699" s="6" t="str">
        <f>IFERROR(__xludf.DUMMYFUNCTION("""COMPUTED_VALUE"""),"ENG")</f>
        <v>ENG</v>
      </c>
      <c r="C699" s="6" t="str">
        <f>IFERROR(__xludf.DUMMYFUNCTION("""COMPUTED_VALUE"""),"P-51560-00")</f>
        <v>P-51560-00</v>
      </c>
      <c r="D699" s="6" t="str">
        <f>IFERROR(__xludf.DUMMYFUNCTION("""COMPUTED_VALUE"""),"Lampu T5 28watt Putih; Phillips; ;")</f>
        <v>Lampu T5 28watt Putih; Phillips; ;</v>
      </c>
      <c r="E699" s="6">
        <f>IFERROR(__xludf.DUMMYFUNCTION("""COMPUTED_VALUE"""),6.0)</f>
        <v>6</v>
      </c>
      <c r="F699" s="6">
        <f>IFERROR(__xludf.DUMMYFUNCTION("""COMPUTED_VALUE"""),6.0)</f>
        <v>6</v>
      </c>
      <c r="G699" s="6">
        <f>IFERROR(__xludf.DUMMYFUNCTION("""COMPUTED_VALUE"""),0.0)</f>
        <v>0</v>
      </c>
      <c r="H699" s="6" t="str">
        <f>IFERROR(__xludf.DUMMYFUNCTION("""COMPUTED_VALUE"""),"pcs")</f>
        <v>pcs</v>
      </c>
      <c r="I699" s="6" t="str">
        <f>IFERROR(__xludf.DUMMYFUNCTION("""COMPUTED_VALUE"""),"MFH")</f>
        <v>MFH</v>
      </c>
      <c r="J699" s="6" t="str">
        <f>IFERROR(__xludf.DUMMYFUNCTION("""COMPUTED_VALUE"""),"Building")</f>
        <v>Building</v>
      </c>
      <c r="K699" s="6" t="str">
        <f>IFERROR(__xludf.DUMMYFUNCTION("""COMPUTED_VALUE"""),"SPR/03/24/005")</f>
        <v>SPR/03/24/005</v>
      </c>
      <c r="L699" s="13">
        <f>IFERROR(__xludf.DUMMYFUNCTION("""COMPUTED_VALUE"""),45370.0)</f>
        <v>45370</v>
      </c>
    </row>
    <row r="700">
      <c r="A700" s="6" t="str">
        <f>IFERROR(__xludf.DUMMYFUNCTION("""COMPUTED_VALUE"""),"RIA")</f>
        <v>RIA</v>
      </c>
      <c r="B700" s="6" t="str">
        <f>IFERROR(__xludf.DUMMYFUNCTION("""COMPUTED_VALUE"""),"ENG")</f>
        <v>ENG</v>
      </c>
      <c r="C700" s="6" t="str">
        <f>IFERROR(__xludf.DUMMYFUNCTION("""COMPUTED_VALUE"""),"P-51756-00")</f>
        <v>P-51756-00</v>
      </c>
      <c r="D700" s="6" t="str">
        <f>IFERROR(__xludf.DUMMYFUNCTION("""COMPUTED_VALUE"""),"Kabel NYYHY 3x0.75mm")</f>
        <v>Kabel NYYHY 3x0.75mm</v>
      </c>
      <c r="E700" s="6">
        <f>IFERROR(__xludf.DUMMYFUNCTION("""COMPUTED_VALUE"""),20.0)</f>
        <v>20</v>
      </c>
      <c r="F700" s="6">
        <f>IFERROR(__xludf.DUMMYFUNCTION("""COMPUTED_VALUE"""),5.0)</f>
        <v>5</v>
      </c>
      <c r="G700" s="6">
        <f>IFERROR(__xludf.DUMMYFUNCTION("""COMPUTED_VALUE"""),0.0)</f>
        <v>0</v>
      </c>
      <c r="H700" s="6" t="str">
        <f>IFERROR(__xludf.DUMMYFUNCTION("""COMPUTED_VALUE"""),"Meter")</f>
        <v>Meter</v>
      </c>
      <c r="I700" s="6" t="str">
        <f>IFERROR(__xludf.DUMMYFUNCTION("""COMPUTED_VALUE"""),"MFH")</f>
        <v>MFH</v>
      </c>
      <c r="J700" s="6" t="str">
        <f>IFERROR(__xludf.DUMMYFUNCTION("""COMPUTED_VALUE"""),"Building")</f>
        <v>Building</v>
      </c>
      <c r="K700" s="6" t="str">
        <f>IFERROR(__xludf.DUMMYFUNCTION("""COMPUTED_VALUE"""),"SPR/03/24/006")</f>
        <v>SPR/03/24/006</v>
      </c>
      <c r="L700" s="13">
        <f>IFERROR(__xludf.DUMMYFUNCTION("""COMPUTED_VALUE"""),45370.0)</f>
        <v>45370</v>
      </c>
    </row>
    <row r="701">
      <c r="A701" s="6" t="str">
        <f>IFERROR(__xludf.DUMMYFUNCTION("""COMPUTED_VALUE"""),"RIA")</f>
        <v>RIA</v>
      </c>
      <c r="B701" s="6" t="str">
        <f>IFERROR(__xludf.DUMMYFUNCTION("""COMPUTED_VALUE"""),"ENG")</f>
        <v>ENG</v>
      </c>
      <c r="C701" s="6" t="str">
        <f>IFERROR(__xludf.DUMMYFUNCTION("""COMPUTED_VALUE"""),"P-12275-00")</f>
        <v>P-12275-00</v>
      </c>
      <c r="D701" s="6" t="str">
        <f>IFERROR(__xludf.DUMMYFUNCTION("""COMPUTED_VALUE"""),"FESTO - QS-1/4-6 Push-In fitting p/n 153003")</f>
        <v>FESTO - QS-1/4-6 Push-In fitting p/n 153003</v>
      </c>
      <c r="E701" s="6">
        <f>IFERROR(__xludf.DUMMYFUNCTION("""COMPUTED_VALUE"""),5.0)</f>
        <v>5</v>
      </c>
      <c r="F701" s="6">
        <f>IFERROR(__xludf.DUMMYFUNCTION("""COMPUTED_VALUE"""),1.0)</f>
        <v>1</v>
      </c>
      <c r="G701" s="6">
        <f>IFERROR(__xludf.DUMMYFUNCTION("""COMPUTED_VALUE"""),0.0)</f>
        <v>0</v>
      </c>
      <c r="H701" s="6" t="str">
        <f>IFERROR(__xludf.DUMMYFUNCTION("""COMPUTED_VALUE"""),"pcs")</f>
        <v>pcs</v>
      </c>
      <c r="I701" s="6" t="str">
        <f>IFERROR(__xludf.DUMMYFUNCTION("""COMPUTED_VALUE"""),"MFH")</f>
        <v>MFH</v>
      </c>
      <c r="J701" s="6" t="str">
        <f>IFERROR(__xludf.DUMMYFUNCTION("""COMPUTED_VALUE"""),"Building")</f>
        <v>Building</v>
      </c>
      <c r="K701" s="6" t="str">
        <f>IFERROR(__xludf.DUMMYFUNCTION("""COMPUTED_VALUE"""),"SPR/03/24/006")</f>
        <v>SPR/03/24/006</v>
      </c>
      <c r="L701" s="13">
        <f>IFERROR(__xludf.DUMMYFUNCTION("""COMPUTED_VALUE"""),45370.0)</f>
        <v>45370</v>
      </c>
    </row>
    <row r="702">
      <c r="A702" s="6" t="str">
        <f>IFERROR(__xludf.DUMMYFUNCTION("""COMPUTED_VALUE"""),"SFH")</f>
        <v>SFH</v>
      </c>
      <c r="B702" s="6" t="str">
        <f>IFERROR(__xludf.DUMMYFUNCTION("""COMPUTED_VALUE"""),"ENG")</f>
        <v>ENG</v>
      </c>
      <c r="C702" s="6" t="str">
        <f>IFERROR(__xludf.DUMMYFUNCTION("""COMPUTED_VALUE"""),"P-11694-00")</f>
        <v>P-11694-00</v>
      </c>
      <c r="D702" s="6" t="str">
        <f>IFERROR(__xludf.DUMMYFUNCTION("""COMPUTED_VALUE"""),"Mata Gerinda 4""")</f>
        <v>Mata Gerinda 4"</v>
      </c>
      <c r="E702" s="6">
        <f>IFERROR(__xludf.DUMMYFUNCTION("""COMPUTED_VALUE"""),1.0)</f>
        <v>1</v>
      </c>
      <c r="F702" s="6">
        <f>IFERROR(__xludf.DUMMYFUNCTION("""COMPUTED_VALUE"""),1.0)</f>
        <v>1</v>
      </c>
      <c r="G702" s="6">
        <f>IFERROR(__xludf.DUMMYFUNCTION("""COMPUTED_VALUE"""),0.0)</f>
        <v>0</v>
      </c>
      <c r="H702" s="6" t="str">
        <f>IFERROR(__xludf.DUMMYFUNCTION("""COMPUTED_VALUE"""),"pcs")</f>
        <v>pcs</v>
      </c>
      <c r="I702" s="6" t="str">
        <f>IFERROR(__xludf.DUMMYFUNCTION("""COMPUTED_VALUE"""),"MFH")</f>
        <v>MFH</v>
      </c>
      <c r="J702" s="6" t="str">
        <f>IFERROR(__xludf.DUMMYFUNCTION("""COMPUTED_VALUE"""),"-")</f>
        <v>-</v>
      </c>
      <c r="K702" s="6" t="str">
        <f>IFERROR(__xludf.DUMMYFUNCTION("""COMPUTED_VALUE"""),"SPR/03/24/007")</f>
        <v>SPR/03/24/007</v>
      </c>
      <c r="L702" s="13">
        <f>IFERROR(__xludf.DUMMYFUNCTION("""COMPUTED_VALUE"""),45370.0)</f>
        <v>45370</v>
      </c>
    </row>
    <row r="703">
      <c r="A703" s="6" t="str">
        <f>IFERROR(__xludf.DUMMYFUNCTION("""COMPUTED_VALUE"""),"SFH")</f>
        <v>SFH</v>
      </c>
      <c r="B703" s="6" t="str">
        <f>IFERROR(__xludf.DUMMYFUNCTION("""COMPUTED_VALUE"""),"ENG")</f>
        <v>ENG</v>
      </c>
      <c r="C703" s="6" t="str">
        <f>IFERROR(__xludf.DUMMYFUNCTION("""COMPUTED_VALUE"""),"P-12492-00")</f>
        <v>P-12492-00</v>
      </c>
      <c r="D703" s="6" t="str">
        <f>IFERROR(__xludf.DUMMYFUNCTION("""COMPUTED_VALUE"""),"Mata Bor besi dia 6.5 mm ex NACHI")</f>
        <v>Mata Bor besi dia 6.5 mm ex NACHI</v>
      </c>
      <c r="E703" s="6">
        <f>IFERROR(__xludf.DUMMYFUNCTION("""COMPUTED_VALUE"""),1.0)</f>
        <v>1</v>
      </c>
      <c r="F703" s="6">
        <f>IFERROR(__xludf.DUMMYFUNCTION("""COMPUTED_VALUE"""),1.0)</f>
        <v>1</v>
      </c>
      <c r="G703" s="6">
        <f>IFERROR(__xludf.DUMMYFUNCTION("""COMPUTED_VALUE"""),0.0)</f>
        <v>0</v>
      </c>
      <c r="H703" s="6" t="str">
        <f>IFERROR(__xludf.DUMMYFUNCTION("""COMPUTED_VALUE"""),"pcs")</f>
        <v>pcs</v>
      </c>
      <c r="I703" s="6" t="str">
        <f>IFERROR(__xludf.DUMMYFUNCTION("""COMPUTED_VALUE"""),"MFH")</f>
        <v>MFH</v>
      </c>
      <c r="J703" s="6" t="str">
        <f>IFERROR(__xludf.DUMMYFUNCTION("""COMPUTED_VALUE"""),"-")</f>
        <v>-</v>
      </c>
      <c r="K703" s="6" t="str">
        <f>IFERROR(__xludf.DUMMYFUNCTION("""COMPUTED_VALUE"""),"SPR/03/24/007")</f>
        <v>SPR/03/24/007</v>
      </c>
      <c r="L703" s="13">
        <f>IFERROR(__xludf.DUMMYFUNCTION("""COMPUTED_VALUE"""),45370.0)</f>
        <v>45370</v>
      </c>
    </row>
    <row r="704">
      <c r="A704" s="6" t="str">
        <f>IFERROR(__xludf.DUMMYFUNCTION("""COMPUTED_VALUE"""),"SFH")</f>
        <v>SFH</v>
      </c>
      <c r="B704" s="6" t="str">
        <f>IFERROR(__xludf.DUMMYFUNCTION("""COMPUTED_VALUE"""),"ENG")</f>
        <v>ENG</v>
      </c>
      <c r="C704" s="6" t="str">
        <f>IFERROR(__xludf.DUMMYFUNCTION("""COMPUTED_VALUE"""),"Q-10817-00")</f>
        <v>Q-10817-00</v>
      </c>
      <c r="D704" s="6" t="str">
        <f>IFERROR(__xludf.DUMMYFUNCTION("""COMPUTED_VALUE"""),"Door Closer Type: TS77 Hold Open; DORMA; ;")</f>
        <v>Door Closer Type: TS77 Hold Open; DORMA; ;</v>
      </c>
      <c r="E704" s="6">
        <f>IFERROR(__xludf.DUMMYFUNCTION("""COMPUTED_VALUE"""),1.0)</f>
        <v>1</v>
      </c>
      <c r="F704" s="6">
        <f>IFERROR(__xludf.DUMMYFUNCTION("""COMPUTED_VALUE"""),1.0)</f>
        <v>1</v>
      </c>
      <c r="G704" s="6">
        <f>IFERROR(__xludf.DUMMYFUNCTION("""COMPUTED_VALUE"""),0.0)</f>
        <v>0</v>
      </c>
      <c r="H704" s="6" t="str">
        <f>IFERROR(__xludf.DUMMYFUNCTION("""COMPUTED_VALUE"""),"pcs")</f>
        <v>pcs</v>
      </c>
      <c r="I704" s="6" t="str">
        <f>IFERROR(__xludf.DUMMYFUNCTION("""COMPUTED_VALUE"""),"MFH")</f>
        <v>MFH</v>
      </c>
      <c r="J704" s="6" t="str">
        <f>IFERROR(__xludf.DUMMYFUNCTION("""COMPUTED_VALUE"""),"-")</f>
        <v>-</v>
      </c>
      <c r="K704" s="6" t="str">
        <f>IFERROR(__xludf.DUMMYFUNCTION("""COMPUTED_VALUE"""),"SPR/03/24/007")</f>
        <v>SPR/03/24/007</v>
      </c>
      <c r="L704" s="13">
        <f>IFERROR(__xludf.DUMMYFUNCTION("""COMPUTED_VALUE"""),45370.0)</f>
        <v>45370</v>
      </c>
    </row>
    <row r="705">
      <c r="A705" s="6" t="str">
        <f>IFERROR(__xludf.DUMMYFUNCTION("""COMPUTED_VALUE"""),"NDS")</f>
        <v>NDS</v>
      </c>
      <c r="B705" s="6" t="str">
        <f>IFERROR(__xludf.DUMMYFUNCTION("""COMPUTED_VALUE"""),"ENG")</f>
        <v>ENG</v>
      </c>
      <c r="C705" s="6" t="str">
        <f>IFERROR(__xludf.DUMMYFUNCTION("""COMPUTED_VALUE"""),"T-20135-00")</f>
        <v>T-20135-00</v>
      </c>
      <c r="D705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705" s="6">
        <f>IFERROR(__xludf.DUMMYFUNCTION("""COMPUTED_VALUE"""),2.0)</f>
        <v>2</v>
      </c>
      <c r="F705" s="6">
        <f>IFERROR(__xludf.DUMMYFUNCTION("""COMPUTED_VALUE"""),1.0)</f>
        <v>1</v>
      </c>
      <c r="G705" s="6">
        <f>IFERROR(__xludf.DUMMYFUNCTION("""COMPUTED_VALUE"""),0.0)</f>
        <v>0</v>
      </c>
      <c r="H705" s="6" t="str">
        <f>IFERROR(__xludf.DUMMYFUNCTION("""COMPUTED_VALUE"""),"pcs")</f>
        <v>pcs</v>
      </c>
      <c r="I705" s="6" t="str">
        <f>IFERROR(__xludf.DUMMYFUNCTION("""COMPUTED_VALUE"""),"MFH")</f>
        <v>MFH</v>
      </c>
      <c r="J705" s="6" t="str">
        <f>IFERROR(__xludf.DUMMYFUNCTION("""COMPUTED_VALUE"""),"-")</f>
        <v>-</v>
      </c>
      <c r="K705" s="6" t="str">
        <f>IFERROR(__xludf.DUMMYFUNCTION("""COMPUTED_VALUE"""),"SPR/03/24/008")</f>
        <v>SPR/03/24/008</v>
      </c>
      <c r="L705" s="13">
        <f>IFERROR(__xludf.DUMMYFUNCTION("""COMPUTED_VALUE"""),45370.0)</f>
        <v>45370</v>
      </c>
    </row>
    <row r="706">
      <c r="A706" s="6" t="str">
        <f>IFERROR(__xludf.DUMMYFUNCTION("""COMPUTED_VALUE"""),"ROS")</f>
        <v>ROS</v>
      </c>
      <c r="B706" s="6" t="str">
        <f>IFERROR(__xludf.DUMMYFUNCTION("""COMPUTED_VALUE"""),"ENG")</f>
        <v>ENG</v>
      </c>
      <c r="C706" s="6" t="str">
        <f>IFERROR(__xludf.DUMMYFUNCTION("""COMPUTED_VALUE"""),"P-51559-00")</f>
        <v>P-51559-00</v>
      </c>
      <c r="D706" s="6" t="str">
        <f>IFERROR(__xludf.DUMMYFUNCTION("""COMPUTED_VALUE"""),"Lampu T5 14watt Putih; Phillips; ;")</f>
        <v>Lampu T5 14watt Putih; Phillips; ;</v>
      </c>
      <c r="E706" s="6">
        <f>IFERROR(__xludf.DUMMYFUNCTION("""COMPUTED_VALUE"""),4.0)</f>
        <v>4</v>
      </c>
      <c r="F706" s="6">
        <f>IFERROR(__xludf.DUMMYFUNCTION("""COMPUTED_VALUE"""),4.0)</f>
        <v>4</v>
      </c>
      <c r="G706" s="6">
        <f>IFERROR(__xludf.DUMMYFUNCTION("""COMPUTED_VALUE"""),0.0)</f>
        <v>0</v>
      </c>
      <c r="H706" s="6" t="str">
        <f>IFERROR(__xludf.DUMMYFUNCTION("""COMPUTED_VALUE"""),"pcs")</f>
        <v>pcs</v>
      </c>
      <c r="I706" s="6" t="str">
        <f>IFERROR(__xludf.DUMMYFUNCTION("""COMPUTED_VALUE"""),"MFH")</f>
        <v>MFH</v>
      </c>
      <c r="J706" s="6" t="str">
        <f>IFERROR(__xludf.DUMMYFUNCTION("""COMPUTED_VALUE"""),"Building")</f>
        <v>Building</v>
      </c>
      <c r="K706" s="6" t="str">
        <f>IFERROR(__xludf.DUMMYFUNCTION("""COMPUTED_VALUE"""),"SPR/03/24/009")</f>
        <v>SPR/03/24/009</v>
      </c>
      <c r="L706" s="13">
        <f>IFERROR(__xludf.DUMMYFUNCTION("""COMPUTED_VALUE"""),45370.0)</f>
        <v>45370</v>
      </c>
    </row>
    <row r="707">
      <c r="A707" s="6" t="str">
        <f>IFERROR(__xludf.DUMMYFUNCTION("""COMPUTED_VALUE"""),"ROS")</f>
        <v>ROS</v>
      </c>
      <c r="B707" s="6" t="str">
        <f>IFERROR(__xludf.DUMMYFUNCTION("""COMPUTED_VALUE"""),"ENG")</f>
        <v>ENG</v>
      </c>
      <c r="C707" s="6" t="str">
        <f>IFERROR(__xludf.DUMMYFUNCTION("""COMPUTED_VALUE"""),"P-50122-00")</f>
        <v>P-50122-00</v>
      </c>
      <c r="D707" s="6" t="str">
        <f>IFERROR(__xludf.DUMMYFUNCTION("""COMPUTED_VALUE"""),"Balast Quitronick Osram 1x18/20/ 220 - 240V")</f>
        <v>Balast Quitronick Osram 1x18/20/ 220 - 240V</v>
      </c>
      <c r="E707" s="6">
        <f>IFERROR(__xludf.DUMMYFUNCTION("""COMPUTED_VALUE"""),4.0)</f>
        <v>4</v>
      </c>
      <c r="F707" s="6">
        <f>IFERROR(__xludf.DUMMYFUNCTION("""COMPUTED_VALUE"""),1.0)</f>
        <v>1</v>
      </c>
      <c r="G707" s="6">
        <f>IFERROR(__xludf.DUMMYFUNCTION("""COMPUTED_VALUE"""),0.0)</f>
        <v>0</v>
      </c>
      <c r="H707" s="6" t="str">
        <f>IFERROR(__xludf.DUMMYFUNCTION("""COMPUTED_VALUE"""),"pcs")</f>
        <v>pcs</v>
      </c>
      <c r="I707" s="6" t="str">
        <f>IFERROR(__xludf.DUMMYFUNCTION("""COMPUTED_VALUE"""),"MFH")</f>
        <v>MFH</v>
      </c>
      <c r="J707" s="6" t="str">
        <f>IFERROR(__xludf.DUMMYFUNCTION("""COMPUTED_VALUE"""),"Passbox")</f>
        <v>Passbox</v>
      </c>
      <c r="K707" s="6" t="str">
        <f>IFERROR(__xludf.DUMMYFUNCTION("""COMPUTED_VALUE"""),"SPR/03/24/010")</f>
        <v>SPR/03/24/010</v>
      </c>
      <c r="L707" s="13">
        <f>IFERROR(__xludf.DUMMYFUNCTION("""COMPUTED_VALUE"""),45370.0)</f>
        <v>45370</v>
      </c>
    </row>
    <row r="708">
      <c r="A708" s="6" t="str">
        <f>IFERROR(__xludf.DUMMYFUNCTION("""COMPUTED_VALUE"""),"ROS")</f>
        <v>ROS</v>
      </c>
      <c r="B708" s="6" t="str">
        <f>IFERROR(__xludf.DUMMYFUNCTION("""COMPUTED_VALUE"""),"ENG")</f>
        <v>ENG</v>
      </c>
      <c r="C708" s="6" t="str">
        <f>IFERROR(__xludf.DUMMYFUNCTION("""COMPUTED_VALUE"""),"O-54005-00")</f>
        <v>O-54005-00</v>
      </c>
      <c r="D708" s="6" t="str">
        <f>IFERROR(__xludf.DUMMYFUNCTION("""COMPUTED_VALUE"""),"LAMPU UV 15 WATT, OSRAM")</f>
        <v>LAMPU UV 15 WATT, OSRAM</v>
      </c>
      <c r="E708" s="6">
        <f>IFERROR(__xludf.DUMMYFUNCTION("""COMPUTED_VALUE"""),1.0)</f>
        <v>1</v>
      </c>
      <c r="F708" s="6">
        <f>IFERROR(__xludf.DUMMYFUNCTION("""COMPUTED_VALUE"""),1.0)</f>
        <v>1</v>
      </c>
      <c r="G708" s="6">
        <f>IFERROR(__xludf.DUMMYFUNCTION("""COMPUTED_VALUE"""),0.0)</f>
        <v>0</v>
      </c>
      <c r="H708" s="6" t="str">
        <f>IFERROR(__xludf.DUMMYFUNCTION("""COMPUTED_VALUE"""),"pcs")</f>
        <v>pcs</v>
      </c>
      <c r="I708" s="6" t="str">
        <f>IFERROR(__xludf.DUMMYFUNCTION("""COMPUTED_VALUE"""),"MFH")</f>
        <v>MFH</v>
      </c>
      <c r="J708" s="6" t="str">
        <f>IFERROR(__xludf.DUMMYFUNCTION("""COMPUTED_VALUE"""),"Passbox")</f>
        <v>Passbox</v>
      </c>
      <c r="K708" s="6" t="str">
        <f>IFERROR(__xludf.DUMMYFUNCTION("""COMPUTED_VALUE"""),"SPR/03/24/010")</f>
        <v>SPR/03/24/010</v>
      </c>
      <c r="L708" s="13">
        <f>IFERROR(__xludf.DUMMYFUNCTION("""COMPUTED_VALUE"""),45370.0)</f>
        <v>45370</v>
      </c>
    </row>
    <row r="709">
      <c r="A709" s="6" t="str">
        <f>IFERROR(__xludf.DUMMYFUNCTION("""COMPUTED_VALUE"""),"ROS")</f>
        <v>ROS</v>
      </c>
      <c r="B709" s="6" t="str">
        <f>IFERROR(__xludf.DUMMYFUNCTION("""COMPUTED_VALUE"""),"ENG")</f>
        <v>ENG</v>
      </c>
      <c r="C709" s="6" t="str">
        <f>IFERROR(__xludf.DUMMYFUNCTION("""COMPUTED_VALUE"""),"P-12764-00")</f>
        <v>P-12764-00</v>
      </c>
      <c r="D709" s="6" t="str">
        <f>IFERROR(__xludf.DUMMYFUNCTION("""COMPUTED_VALUE"""),"Silicone gasket for ferrule dia 1/2inch Taiwan")</f>
        <v>Silicone gasket for ferrule dia 1/2inch Taiwan</v>
      </c>
      <c r="E709" s="6">
        <f>IFERROR(__xludf.DUMMYFUNCTION("""COMPUTED_VALUE"""),25.0)</f>
        <v>25</v>
      </c>
      <c r="F709" s="6">
        <f>IFERROR(__xludf.DUMMYFUNCTION("""COMPUTED_VALUE"""),15.0)</f>
        <v>15</v>
      </c>
      <c r="G709" s="6">
        <f>IFERROR(__xludf.DUMMYFUNCTION("""COMPUTED_VALUE"""),0.0)</f>
        <v>0</v>
      </c>
      <c r="H709" s="6" t="str">
        <f>IFERROR(__xludf.DUMMYFUNCTION("""COMPUTED_VALUE"""),"pcs")</f>
        <v>pcs</v>
      </c>
      <c r="I709" s="6" t="str">
        <f>IFERROR(__xludf.DUMMYFUNCTION("""COMPUTED_VALUE"""),"MFH")</f>
        <v>MFH</v>
      </c>
      <c r="J709" s="6" t="str">
        <f>IFERROR(__xludf.DUMMYFUNCTION("""COMPUTED_VALUE"""),"Filling")</f>
        <v>Filling</v>
      </c>
      <c r="K709" s="6" t="str">
        <f>IFERROR(__xludf.DUMMYFUNCTION("""COMPUTED_VALUE"""),"SPR/03/24/010")</f>
        <v>SPR/03/24/010</v>
      </c>
      <c r="L709" s="13">
        <f>IFERROR(__xludf.DUMMYFUNCTION("""COMPUTED_VALUE"""),45370.0)</f>
        <v>45370</v>
      </c>
    </row>
    <row r="710">
      <c r="A710" s="6" t="str">
        <f>IFERROR(__xludf.DUMMYFUNCTION("""COMPUTED_VALUE"""),"RPA")</f>
        <v>RPA</v>
      </c>
      <c r="B710" s="6" t="str">
        <f>IFERROR(__xludf.DUMMYFUNCTION("""COMPUTED_VALUE"""),"PRO")</f>
        <v>PRO</v>
      </c>
      <c r="C710" s="6" t="str">
        <f>IFERROR(__xludf.DUMMYFUNCTION("""COMPUTED_VALUE"""),"P-11968-00")</f>
        <v>P-11968-00</v>
      </c>
      <c r="D710" s="6" t="str">
        <f>IFERROR(__xludf.DUMMYFUNCTION("""COMPUTED_VALUE"""),"Berusynt FGH Spray H1 - Bechem")</f>
        <v>Berusynt FGH Spray H1 - Bechem</v>
      </c>
      <c r="E710" s="6">
        <f>IFERROR(__xludf.DUMMYFUNCTION("""COMPUTED_VALUE"""),1.0)</f>
        <v>1</v>
      </c>
      <c r="F710" s="6">
        <f>IFERROR(__xludf.DUMMYFUNCTION("""COMPUTED_VALUE"""),1.0)</f>
        <v>1</v>
      </c>
      <c r="G710" s="6">
        <f>IFERROR(__xludf.DUMMYFUNCTION("""COMPUTED_VALUE"""),0.0)</f>
        <v>0</v>
      </c>
      <c r="H710" s="6" t="str">
        <f>IFERROR(__xludf.DUMMYFUNCTION("""COMPUTED_VALUE"""),"pcs")</f>
        <v>pcs</v>
      </c>
      <c r="I710" s="6" t="str">
        <f>IFERROR(__xludf.DUMMYFUNCTION("""COMPUTED_VALUE"""),"MFH")</f>
        <v>MFH</v>
      </c>
      <c r="J710" s="6" t="str">
        <f>IFERROR(__xludf.DUMMYFUNCTION("""COMPUTED_VALUE"""),"-")</f>
        <v>-</v>
      </c>
      <c r="K710" s="6" t="str">
        <f>IFERROR(__xludf.DUMMYFUNCTION("""COMPUTED_VALUE"""),"SPR/03/24/011")</f>
        <v>SPR/03/24/011</v>
      </c>
      <c r="L710" s="13">
        <f>IFERROR(__xludf.DUMMYFUNCTION("""COMPUTED_VALUE"""),45370.0)</f>
        <v>45370</v>
      </c>
    </row>
    <row r="711">
      <c r="A711" s="6" t="str">
        <f>IFERROR(__xludf.DUMMYFUNCTION("""COMPUTED_VALUE"""),"RPA")</f>
        <v>RPA</v>
      </c>
      <c r="B711" s="6" t="str">
        <f>IFERROR(__xludf.DUMMYFUNCTION("""COMPUTED_VALUE"""),"PRO")</f>
        <v>PRO</v>
      </c>
      <c r="C711" s="6" t="str">
        <f>IFERROR(__xludf.DUMMYFUNCTION("""COMPUTED_VALUE"""),"O-18055-00")</f>
        <v>O-18055-00</v>
      </c>
      <c r="D711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711" s="6">
        <f>IFERROR(__xludf.DUMMYFUNCTION("""COMPUTED_VALUE"""),2.0)</f>
        <v>2</v>
      </c>
      <c r="F711" s="6">
        <f>IFERROR(__xludf.DUMMYFUNCTION("""COMPUTED_VALUE"""),2.0)</f>
        <v>2</v>
      </c>
      <c r="G711" s="6">
        <f>IFERROR(__xludf.DUMMYFUNCTION("""COMPUTED_VALUE"""),0.0)</f>
        <v>0</v>
      </c>
      <c r="H711" s="6" t="str">
        <f>IFERROR(__xludf.DUMMYFUNCTION("""COMPUTED_VALUE"""),"pcs")</f>
        <v>pcs</v>
      </c>
      <c r="I711" s="6" t="str">
        <f>IFERROR(__xludf.DUMMYFUNCTION("""COMPUTED_VALUE"""),"MFH")</f>
        <v>MFH</v>
      </c>
      <c r="J711" s="6" t="str">
        <f>IFERROR(__xludf.DUMMYFUNCTION("""COMPUTED_VALUE"""),"-")</f>
        <v>-</v>
      </c>
      <c r="K711" s="6" t="str">
        <f>IFERROR(__xludf.DUMMYFUNCTION("""COMPUTED_VALUE"""),"SPR/03/24/011")</f>
        <v>SPR/03/24/011</v>
      </c>
      <c r="L711" s="13">
        <f>IFERROR(__xludf.DUMMYFUNCTION("""COMPUTED_VALUE"""),45370.0)</f>
        <v>45370</v>
      </c>
    </row>
    <row r="712">
      <c r="A712" s="6" t="str">
        <f>IFERROR(__xludf.DUMMYFUNCTION("""COMPUTED_VALUE"""),"NDS")</f>
        <v>NDS</v>
      </c>
      <c r="B712" s="6" t="str">
        <f>IFERROR(__xludf.DUMMYFUNCTION("""COMPUTED_VALUE"""),"ENG")</f>
        <v>ENG</v>
      </c>
      <c r="C712" s="6" t="str">
        <f>IFERROR(__xludf.DUMMYFUNCTION("""COMPUTED_VALUE"""),"-")</f>
        <v>-</v>
      </c>
      <c r="D712" s="6" t="str">
        <f>IFERROR(__xludf.DUMMYFUNCTION("""COMPUTED_VALUE"""),"Lampu LED T9")</f>
        <v>Lampu LED T9</v>
      </c>
      <c r="E712" s="6">
        <f>IFERROR(__xludf.DUMMYFUNCTION("""COMPUTED_VALUE"""),1.0)</f>
        <v>1</v>
      </c>
      <c r="F712" s="6">
        <f>IFERROR(__xludf.DUMMYFUNCTION("""COMPUTED_VALUE"""),1.0)</f>
        <v>1</v>
      </c>
      <c r="G712" s="6">
        <f>IFERROR(__xludf.DUMMYFUNCTION("""COMPUTED_VALUE"""),0.0)</f>
        <v>0</v>
      </c>
      <c r="H712" s="6" t="str">
        <f>IFERROR(__xludf.DUMMYFUNCTION("""COMPUTED_VALUE"""),"pcs")</f>
        <v>pcs</v>
      </c>
      <c r="I712" s="6" t="str">
        <f>IFERROR(__xludf.DUMMYFUNCTION("""COMPUTED_VALUE"""),"MFH")</f>
        <v>MFH</v>
      </c>
      <c r="J712" s="6" t="str">
        <f>IFERROR(__xludf.DUMMYFUNCTION("""COMPUTED_VALUE"""),"CC Retain")</f>
        <v>CC Retain</v>
      </c>
      <c r="K712" s="6" t="str">
        <f>IFERROR(__xludf.DUMMYFUNCTION("""COMPUTED_VALUE"""),"SPR/03/24/012")</f>
        <v>SPR/03/24/012</v>
      </c>
      <c r="L712" s="13">
        <f>IFERROR(__xludf.DUMMYFUNCTION("""COMPUTED_VALUE"""),45370.0)</f>
        <v>45370</v>
      </c>
    </row>
    <row r="713">
      <c r="A713" s="6" t="str">
        <f>IFERROR(__xludf.DUMMYFUNCTION("""COMPUTED_VALUE"""),"NDS")</f>
        <v>NDS</v>
      </c>
      <c r="B713" s="6" t="str">
        <f>IFERROR(__xludf.DUMMYFUNCTION("""COMPUTED_VALUE"""),"ENG")</f>
        <v>ENG</v>
      </c>
      <c r="C713" s="6" t="str">
        <f>IFERROR(__xludf.DUMMYFUNCTION("""COMPUTED_VALUE"""),"P-15852-00")</f>
        <v>P-15852-00</v>
      </c>
      <c r="D713" s="6" t="str">
        <f>IFERROR(__xludf.DUMMYFUNCTION("""COMPUTED_VALUE"""),"AMPLAS EAGLE 500")</f>
        <v>AMPLAS EAGLE 500</v>
      </c>
      <c r="E713" s="6">
        <f>IFERROR(__xludf.DUMMYFUNCTION("""COMPUTED_VALUE"""),2.0)</f>
        <v>2</v>
      </c>
      <c r="F713" s="6">
        <f>IFERROR(__xludf.DUMMYFUNCTION("""COMPUTED_VALUE"""),2.0)</f>
        <v>2</v>
      </c>
      <c r="G713" s="6">
        <f>IFERROR(__xludf.DUMMYFUNCTION("""COMPUTED_VALUE"""),0.0)</f>
        <v>0</v>
      </c>
      <c r="H713" s="6" t="str">
        <f>IFERROR(__xludf.DUMMYFUNCTION("""COMPUTED_VALUE"""),"Pcs")</f>
        <v>Pcs</v>
      </c>
      <c r="I713" s="6" t="str">
        <f>IFERROR(__xludf.DUMMYFUNCTION("""COMPUTED_VALUE"""),"MFH")</f>
        <v>MFH</v>
      </c>
      <c r="J713" s="6" t="str">
        <f>IFERROR(__xludf.DUMMYFUNCTION("""COMPUTED_VALUE"""),"Capping")</f>
        <v>Capping</v>
      </c>
      <c r="K713" s="6" t="str">
        <f>IFERROR(__xludf.DUMMYFUNCTION("""COMPUTED_VALUE"""),"SPR/03/24/012")</f>
        <v>SPR/03/24/012</v>
      </c>
      <c r="L713" s="13">
        <f>IFERROR(__xludf.DUMMYFUNCTION("""COMPUTED_VALUE"""),45370.0)</f>
        <v>45370</v>
      </c>
    </row>
    <row r="714">
      <c r="A714" s="6" t="str">
        <f>IFERROR(__xludf.DUMMYFUNCTION("""COMPUTED_VALUE"""),"SFH")</f>
        <v>SFH</v>
      </c>
      <c r="B714" s="6" t="str">
        <f>IFERROR(__xludf.DUMMYFUNCTION("""COMPUTED_VALUE"""),"ENG")</f>
        <v>ENG</v>
      </c>
      <c r="C714" s="6" t="str">
        <f>IFERROR(__xludf.DUMMYFUNCTION("""COMPUTED_VALUE"""),"Q-60503-00")</f>
        <v>Q-60503-00</v>
      </c>
      <c r="D714" s="6" t="str">
        <f>IFERROR(__xludf.DUMMYFUNCTION("""COMPUTED_VALUE"""),"Silicone Sealant, Silglaze, Type N10 Grey, pack size per pcs")</f>
        <v>Silicone Sealant, Silglaze, Type N10 Grey, pack size per pcs</v>
      </c>
      <c r="E714" s="6">
        <f>IFERROR(__xludf.DUMMYFUNCTION("""COMPUTED_VALUE"""),1.0)</f>
        <v>1</v>
      </c>
      <c r="F714" s="6">
        <f>IFERROR(__xludf.DUMMYFUNCTION("""COMPUTED_VALUE"""),1.0)</f>
        <v>1</v>
      </c>
      <c r="G714" s="6">
        <f>IFERROR(__xludf.DUMMYFUNCTION("""COMPUTED_VALUE"""),0.0)</f>
        <v>0</v>
      </c>
      <c r="H714" s="6" t="str">
        <f>IFERROR(__xludf.DUMMYFUNCTION("""COMPUTED_VALUE"""),"pcs")</f>
        <v>pcs</v>
      </c>
      <c r="I714" s="6" t="str">
        <f>IFERROR(__xludf.DUMMYFUNCTION("""COMPUTED_VALUE"""),"MFH")</f>
        <v>MFH</v>
      </c>
      <c r="J714" s="6" t="str">
        <f>IFERROR(__xludf.DUMMYFUNCTION("""COMPUTED_VALUE"""),"-")</f>
        <v>-</v>
      </c>
      <c r="K714" s="6" t="str">
        <f>IFERROR(__xludf.DUMMYFUNCTION("""COMPUTED_VALUE"""),"SPR/03/24/013")</f>
        <v>SPR/03/24/013</v>
      </c>
      <c r="L714" s="13">
        <f>IFERROR(__xludf.DUMMYFUNCTION("""COMPUTED_VALUE"""),45370.0)</f>
        <v>45370</v>
      </c>
    </row>
    <row r="715">
      <c r="A715" s="6" t="str">
        <f>IFERROR(__xludf.DUMMYFUNCTION("""COMPUTED_VALUE"""),"SFH")</f>
        <v>SFH</v>
      </c>
      <c r="B715" s="6" t="str">
        <f>IFERROR(__xludf.DUMMYFUNCTION("""COMPUTED_VALUE"""),"ENG")</f>
        <v>ENG</v>
      </c>
      <c r="C715" s="6" t="str">
        <f>IFERROR(__xludf.DUMMYFUNCTION("""COMPUTED_VALUE"""),"Q-60026-00")</f>
        <v>Q-60026-00</v>
      </c>
      <c r="D715" s="6" t="str">
        <f>IFERROR(__xludf.DUMMYFUNCTION("""COMPUTED_VALUE"""),"Kuas 2"" Eterna")</f>
        <v>Kuas 2" Eterna</v>
      </c>
      <c r="E715" s="6">
        <f>IFERROR(__xludf.DUMMYFUNCTION("""COMPUTED_VALUE"""),1.0)</f>
        <v>1</v>
      </c>
      <c r="F715" s="6">
        <f>IFERROR(__xludf.DUMMYFUNCTION("""COMPUTED_VALUE"""),1.0)</f>
        <v>1</v>
      </c>
      <c r="G715" s="6">
        <f>IFERROR(__xludf.DUMMYFUNCTION("""COMPUTED_VALUE"""),0.0)</f>
        <v>0</v>
      </c>
      <c r="H715" s="6" t="str">
        <f>IFERROR(__xludf.DUMMYFUNCTION("""COMPUTED_VALUE"""),"pcs")</f>
        <v>pcs</v>
      </c>
      <c r="I715" s="6" t="str">
        <f>IFERROR(__xludf.DUMMYFUNCTION("""COMPUTED_VALUE"""),"MFH")</f>
        <v>MFH</v>
      </c>
      <c r="J715" s="6" t="str">
        <f>IFERROR(__xludf.DUMMYFUNCTION("""COMPUTED_VALUE"""),"-")</f>
        <v>-</v>
      </c>
      <c r="K715" s="6" t="str">
        <f>IFERROR(__xludf.DUMMYFUNCTION("""COMPUTED_VALUE"""),"SPR/03/24/014")</f>
        <v>SPR/03/24/014</v>
      </c>
      <c r="L715" s="13">
        <f>IFERROR(__xludf.DUMMYFUNCTION("""COMPUTED_VALUE"""),45370.0)</f>
        <v>45370</v>
      </c>
    </row>
    <row r="716">
      <c r="A716" s="6" t="str">
        <f>IFERROR(__xludf.DUMMYFUNCTION("""COMPUTED_VALUE"""),"SFH")</f>
        <v>SFH</v>
      </c>
      <c r="B716" s="6" t="str">
        <f>IFERROR(__xludf.DUMMYFUNCTION("""COMPUTED_VALUE"""),"ENG")</f>
        <v>ENG</v>
      </c>
      <c r="C716" s="6" t="str">
        <f>IFERROR(__xludf.DUMMYFUNCTION("""COMPUTED_VALUE"""),"Q-10656-00")</f>
        <v>Q-10656-00</v>
      </c>
      <c r="D716" s="6" t="str">
        <f>IFERROR(__xludf.DUMMYFUNCTION("""COMPUTED_VALUE"""),"Kuas Eterna 5 Inch; ; ;")</f>
        <v>Kuas Eterna 5 Inch; ; ;</v>
      </c>
      <c r="E716" s="6">
        <f>IFERROR(__xludf.DUMMYFUNCTION("""COMPUTED_VALUE"""),2.0)</f>
        <v>2</v>
      </c>
      <c r="F716" s="6">
        <f>IFERROR(__xludf.DUMMYFUNCTION("""COMPUTED_VALUE"""),1.0)</f>
        <v>1</v>
      </c>
      <c r="G716" s="6" t="str">
        <f>IFERROR(__xludf.DUMMYFUNCTION("""COMPUTED_VALUE"""),"0'")</f>
        <v>0'</v>
      </c>
      <c r="H716" s="6" t="str">
        <f>IFERROR(__xludf.DUMMYFUNCTION("""COMPUTED_VALUE"""),"pcs")</f>
        <v>pcs</v>
      </c>
      <c r="I716" s="6" t="str">
        <f>IFERROR(__xludf.DUMMYFUNCTION("""COMPUTED_VALUE"""),"MFH")</f>
        <v>MFH</v>
      </c>
      <c r="J716" s="6" t="str">
        <f>IFERROR(__xludf.DUMMYFUNCTION("""COMPUTED_VALUE"""),"-")</f>
        <v>-</v>
      </c>
      <c r="K716" s="6" t="str">
        <f>IFERROR(__xludf.DUMMYFUNCTION("""COMPUTED_VALUE"""),"SPR/03/24/014")</f>
        <v>SPR/03/24/014</v>
      </c>
      <c r="L716" s="13">
        <f>IFERROR(__xludf.DUMMYFUNCTION("""COMPUTED_VALUE"""),45370.0)</f>
        <v>45370</v>
      </c>
    </row>
    <row r="717">
      <c r="A717" s="6" t="str">
        <f>IFERROR(__xludf.DUMMYFUNCTION("""COMPUTED_VALUE"""),"SFH")</f>
        <v>SFH</v>
      </c>
      <c r="B717" s="6" t="str">
        <f>IFERROR(__xludf.DUMMYFUNCTION("""COMPUTED_VALUE"""),"ENG")</f>
        <v>ENG</v>
      </c>
      <c r="C717" s="6" t="str">
        <f>IFERROR(__xludf.DUMMYFUNCTION("""COMPUTED_VALUE"""),"P-51560-00")</f>
        <v>P-51560-00</v>
      </c>
      <c r="D717" s="6" t="str">
        <f>IFERROR(__xludf.DUMMYFUNCTION("""COMPUTED_VALUE"""),"Lampu T5 28watt Putih; Phillips; ;")</f>
        <v>Lampu T5 28watt Putih; Phillips; ;</v>
      </c>
      <c r="E717" s="6">
        <f>IFERROR(__xludf.DUMMYFUNCTION("""COMPUTED_VALUE"""),4.0)</f>
        <v>4</v>
      </c>
      <c r="F717" s="6">
        <f>IFERROR(__xludf.DUMMYFUNCTION("""COMPUTED_VALUE"""),4.0)</f>
        <v>4</v>
      </c>
      <c r="G717" s="6">
        <f>IFERROR(__xludf.DUMMYFUNCTION("""COMPUTED_VALUE"""),0.0)</f>
        <v>0</v>
      </c>
      <c r="H717" s="6" t="str">
        <f>IFERROR(__xludf.DUMMYFUNCTION("""COMPUTED_VALUE"""),"pcs")</f>
        <v>pcs</v>
      </c>
      <c r="I717" s="6" t="str">
        <f>IFERROR(__xludf.DUMMYFUNCTION("""COMPUTED_VALUE"""),"MFH")</f>
        <v>MFH</v>
      </c>
      <c r="J717" s="6" t="str">
        <f>IFERROR(__xludf.DUMMYFUNCTION("""COMPUTED_VALUE"""),"-")</f>
        <v>-</v>
      </c>
      <c r="K717" s="6" t="str">
        <f>IFERROR(__xludf.DUMMYFUNCTION("""COMPUTED_VALUE"""),"SPR/03/24/014")</f>
        <v>SPR/03/24/014</v>
      </c>
      <c r="L717" s="13">
        <f>IFERROR(__xludf.DUMMYFUNCTION("""COMPUTED_VALUE"""),45370.0)</f>
        <v>45370</v>
      </c>
    </row>
    <row r="718">
      <c r="A718" s="6" t="str">
        <f>IFERROR(__xludf.DUMMYFUNCTION("""COMPUTED_VALUE"""),"VWS")</f>
        <v>VWS</v>
      </c>
      <c r="B718" s="6" t="str">
        <f>IFERROR(__xludf.DUMMYFUNCTION("""COMPUTED_VALUE"""),"PRO")</f>
        <v>PRO</v>
      </c>
      <c r="C718" s="6" t="str">
        <f>IFERROR(__xludf.DUMMYFUNCTION("""COMPUTED_VALUE"""),"P-14519-00")</f>
        <v>P-14519-00</v>
      </c>
      <c r="D718" s="6" t="str">
        <f>IFERROR(__xludf.DUMMYFUNCTION("""COMPUTED_VALUE"""),"Baut Hexagonal SS M8x30mm+Mur+Ring; ; ;")</f>
        <v>Baut Hexagonal SS M8x30mm+Mur+Ring; ; ;</v>
      </c>
      <c r="E718" s="6">
        <f>IFERROR(__xludf.DUMMYFUNCTION("""COMPUTED_VALUE"""),10.0)</f>
        <v>10</v>
      </c>
      <c r="F718" s="6">
        <f>IFERROR(__xludf.DUMMYFUNCTION("""COMPUTED_VALUE"""),1.0)</f>
        <v>1</v>
      </c>
      <c r="G718" s="6">
        <f>IFERROR(__xludf.DUMMYFUNCTION("""COMPUTED_VALUE"""),0.0)</f>
        <v>0</v>
      </c>
      <c r="H718" s="6" t="str">
        <f>IFERROR(__xludf.DUMMYFUNCTION("""COMPUTED_VALUE"""),"pcs")</f>
        <v>pcs</v>
      </c>
      <c r="I718" s="6" t="str">
        <f>IFERROR(__xludf.DUMMYFUNCTION("""COMPUTED_VALUE"""),"MFH")</f>
        <v>MFH</v>
      </c>
      <c r="J718" s="6" t="str">
        <f>IFERROR(__xludf.DUMMYFUNCTION("""COMPUTED_VALUE"""),"-")</f>
        <v>-</v>
      </c>
      <c r="K718" s="6" t="str">
        <f>IFERROR(__xludf.DUMMYFUNCTION("""COMPUTED_VALUE"""),"SPR/03/24/015")</f>
        <v>SPR/03/24/015</v>
      </c>
      <c r="L718" s="13">
        <f>IFERROR(__xludf.DUMMYFUNCTION("""COMPUTED_VALUE"""),45370.0)</f>
        <v>45370</v>
      </c>
    </row>
    <row r="719">
      <c r="A719" s="6" t="str">
        <f>IFERROR(__xludf.DUMMYFUNCTION("""COMPUTED_VALUE"""),"MOB")</f>
        <v>MOB</v>
      </c>
      <c r="B719" s="6" t="str">
        <f>IFERROR(__xludf.DUMMYFUNCTION("""COMPUTED_VALUE"""),"ENG")</f>
        <v>ENG</v>
      </c>
      <c r="C719" s="6" t="str">
        <f>IFERROR(__xludf.DUMMYFUNCTION("""COMPUTED_VALUE"""),"P-18788-00")</f>
        <v>P-18788-00</v>
      </c>
      <c r="D719" s="6" t="str">
        <f>IFERROR(__xludf.DUMMYFUNCTION("""COMPUTED_VALUE"""),"Baut SS Hexagon SS M6x55mm + Mur; ; ;")</f>
        <v>Baut SS Hexagon SS M6x55mm + Mur; ; ;</v>
      </c>
      <c r="E719" s="6">
        <f>IFERROR(__xludf.DUMMYFUNCTION("""COMPUTED_VALUE"""),21.0)</f>
        <v>21</v>
      </c>
      <c r="F719" s="6">
        <f>IFERROR(__xludf.DUMMYFUNCTION("""COMPUTED_VALUE"""),8.0)</f>
        <v>8</v>
      </c>
      <c r="G719" s="6">
        <f>IFERROR(__xludf.DUMMYFUNCTION("""COMPUTED_VALUE"""),0.0)</f>
        <v>0</v>
      </c>
      <c r="H719" s="6" t="str">
        <f>IFERROR(__xludf.DUMMYFUNCTION("""COMPUTED_VALUE"""),"pcs")</f>
        <v>pcs</v>
      </c>
      <c r="I719" s="6" t="str">
        <f>IFERROR(__xludf.DUMMYFUNCTION("""COMPUTED_VALUE"""),"MFH")</f>
        <v>MFH</v>
      </c>
      <c r="J719" s="6" t="str">
        <f>IFERROR(__xludf.DUMMYFUNCTION("""COMPUTED_VALUE"""),"Building")</f>
        <v>Building</v>
      </c>
      <c r="K719" s="6" t="str">
        <f>IFERROR(__xludf.DUMMYFUNCTION("""COMPUTED_VALUE"""),"SPR/03/24/016")</f>
        <v>SPR/03/24/016</v>
      </c>
      <c r="L719" s="13">
        <f>IFERROR(__xludf.DUMMYFUNCTION("""COMPUTED_VALUE"""),45370.0)</f>
        <v>45370</v>
      </c>
    </row>
    <row r="720">
      <c r="A720" s="6" t="str">
        <f>IFERROR(__xludf.DUMMYFUNCTION("""COMPUTED_VALUE"""),"ROS")</f>
        <v>ROS</v>
      </c>
      <c r="B720" s="6" t="str">
        <f>IFERROR(__xludf.DUMMYFUNCTION("""COMPUTED_VALUE"""),"ENG")</f>
        <v>ENG</v>
      </c>
      <c r="C720" s="6" t="str">
        <f>IFERROR(__xludf.DUMMYFUNCTION("""COMPUTED_VALUE"""),"P-51559-00")</f>
        <v>P-51559-00</v>
      </c>
      <c r="D720" s="6" t="str">
        <f>IFERROR(__xludf.DUMMYFUNCTION("""COMPUTED_VALUE"""),"Lampu T5 14watt Putih; Phillips; ;")</f>
        <v>Lampu T5 14watt Putih; Phillips; ;</v>
      </c>
      <c r="E720" s="6">
        <f>IFERROR(__xludf.DUMMYFUNCTION("""COMPUTED_VALUE"""),9.0)</f>
        <v>9</v>
      </c>
      <c r="F720" s="6">
        <f>IFERROR(__xludf.DUMMYFUNCTION("""COMPUTED_VALUE"""),9.0)</f>
        <v>9</v>
      </c>
      <c r="G720" s="6">
        <f>IFERROR(__xludf.DUMMYFUNCTION("""COMPUTED_VALUE"""),0.0)</f>
        <v>0</v>
      </c>
      <c r="H720" s="6" t="str">
        <f>IFERROR(__xludf.DUMMYFUNCTION("""COMPUTED_VALUE"""),"Pcs")</f>
        <v>Pcs</v>
      </c>
      <c r="I720" s="6" t="str">
        <f>IFERROR(__xludf.DUMMYFUNCTION("""COMPUTED_VALUE"""),"MFH")</f>
        <v>MFH</v>
      </c>
      <c r="J720" s="6" t="str">
        <f>IFERROR(__xludf.DUMMYFUNCTION("""COMPUTED_VALUE"""),"Building")</f>
        <v>Building</v>
      </c>
      <c r="K720" s="6" t="str">
        <f>IFERROR(__xludf.DUMMYFUNCTION("""COMPUTED_VALUE"""),"SPR/03/24/017")</f>
        <v>SPR/03/24/017</v>
      </c>
      <c r="L720" s="13">
        <f>IFERROR(__xludf.DUMMYFUNCTION("""COMPUTED_VALUE"""),45370.0)</f>
        <v>45370</v>
      </c>
    </row>
    <row r="721">
      <c r="A721" s="6" t="str">
        <f>IFERROR(__xludf.DUMMYFUNCTION("""COMPUTED_VALUE"""),"ROS")</f>
        <v>ROS</v>
      </c>
      <c r="B721" s="6" t="str">
        <f>IFERROR(__xludf.DUMMYFUNCTION("""COMPUTED_VALUE"""),"ENG")</f>
        <v>ENG</v>
      </c>
      <c r="C721" s="6" t="str">
        <f>IFERROR(__xludf.DUMMYFUNCTION("""COMPUTED_VALUE"""),"P-51559-00")</f>
        <v>P-51559-00</v>
      </c>
      <c r="D721" s="6" t="str">
        <f>IFERROR(__xludf.DUMMYFUNCTION("""COMPUTED_VALUE"""),"Lampu T5 14watt Putih; Phillips; ;")</f>
        <v>Lampu T5 14watt Putih; Phillips; ;</v>
      </c>
      <c r="E721" s="6">
        <f>IFERROR(__xludf.DUMMYFUNCTION("""COMPUTED_VALUE"""),1.0)</f>
        <v>1</v>
      </c>
      <c r="F721" s="6">
        <f>IFERROR(__xludf.DUMMYFUNCTION("""COMPUTED_VALUE"""),2.0)</f>
        <v>2</v>
      </c>
      <c r="G721" s="6">
        <f>IFERROR(__xludf.DUMMYFUNCTION("""COMPUTED_VALUE"""),0.0)</f>
        <v>0</v>
      </c>
      <c r="H721" s="6" t="str">
        <f>IFERROR(__xludf.DUMMYFUNCTION("""COMPUTED_VALUE"""),"Pcs")</f>
        <v>Pcs</v>
      </c>
      <c r="I721" s="6" t="str">
        <f>IFERROR(__xludf.DUMMYFUNCTION("""COMPUTED_VALUE"""),"MFH")</f>
        <v>MFH</v>
      </c>
      <c r="J721" s="6" t="str">
        <f>IFERROR(__xludf.DUMMYFUNCTION("""COMPUTED_VALUE"""),"Visual Inspection")</f>
        <v>Visual Inspection</v>
      </c>
      <c r="K721" s="6" t="str">
        <f>IFERROR(__xludf.DUMMYFUNCTION("""COMPUTED_VALUE"""),"SPR/03/24/017")</f>
        <v>SPR/03/24/017</v>
      </c>
      <c r="L721" s="13">
        <f>IFERROR(__xludf.DUMMYFUNCTION("""COMPUTED_VALUE"""),45370.0)</f>
        <v>45370</v>
      </c>
    </row>
    <row r="722">
      <c r="A722" s="6" t="str">
        <f>IFERROR(__xludf.DUMMYFUNCTION("""COMPUTED_VALUE"""),"ROS")</f>
        <v>ROS</v>
      </c>
      <c r="B722" s="6" t="str">
        <f>IFERROR(__xludf.DUMMYFUNCTION("""COMPUTED_VALUE"""),"ENG")</f>
        <v>ENG</v>
      </c>
      <c r="C722" s="6" t="str">
        <f>IFERROR(__xludf.DUMMYFUNCTION("""COMPUTED_VALUE"""),"P-51559-00")</f>
        <v>P-51559-00</v>
      </c>
      <c r="D722" s="6" t="str">
        <f>IFERROR(__xludf.DUMMYFUNCTION("""COMPUTED_VALUE"""),"Lampu T5 14watt Putih; Phillips; ;")</f>
        <v>Lampu T5 14watt Putih; Phillips; ;</v>
      </c>
      <c r="E722" s="6">
        <f>IFERROR(__xludf.DUMMYFUNCTION("""COMPUTED_VALUE"""),2.0)</f>
        <v>2</v>
      </c>
      <c r="F722" s="6">
        <f>IFERROR(__xludf.DUMMYFUNCTION("""COMPUTED_VALUE"""),2.0)</f>
        <v>2</v>
      </c>
      <c r="G722" s="6">
        <f>IFERROR(__xludf.DUMMYFUNCTION("""COMPUTED_VALUE"""),0.0)</f>
        <v>0</v>
      </c>
      <c r="H722" s="6" t="str">
        <f>IFERROR(__xludf.DUMMYFUNCTION("""COMPUTED_VALUE"""),"Pcs")</f>
        <v>Pcs</v>
      </c>
      <c r="I722" s="6" t="str">
        <f>IFERROR(__xludf.DUMMYFUNCTION("""COMPUTED_VALUE"""),"MFH")</f>
        <v>MFH</v>
      </c>
      <c r="J722" s="6" t="str">
        <f>IFERROR(__xludf.DUMMYFUNCTION("""COMPUTED_VALUE"""),"Incubator")</f>
        <v>Incubator</v>
      </c>
      <c r="K722" s="6" t="str">
        <f>IFERROR(__xludf.DUMMYFUNCTION("""COMPUTED_VALUE"""),"SPR/03/24/017")</f>
        <v>SPR/03/24/017</v>
      </c>
      <c r="L722" s="13">
        <f>IFERROR(__xludf.DUMMYFUNCTION("""COMPUTED_VALUE"""),45370.0)</f>
        <v>45370</v>
      </c>
    </row>
    <row r="723">
      <c r="A723" s="6" t="str">
        <f>IFERROR(__xludf.DUMMYFUNCTION("""COMPUTED_VALUE"""),"NDS")</f>
        <v>NDS</v>
      </c>
      <c r="B723" s="6" t="str">
        <f>IFERROR(__xludf.DUMMYFUNCTION("""COMPUTED_VALUE"""),"ENG")</f>
        <v>ENG</v>
      </c>
      <c r="C723" s="6" t="str">
        <f>IFERROR(__xludf.DUMMYFUNCTION("""COMPUTED_VALUE"""),"T-80732-00")</f>
        <v>T-80732-00</v>
      </c>
      <c r="D723" s="6" t="str">
        <f>IFERROR(__xludf.DUMMYFUNCTION("""COMPUTED_VALUE"""),"Plakban Lantai Merk 3M")</f>
        <v>Plakban Lantai Merk 3M</v>
      </c>
      <c r="E723" s="6">
        <f>IFERROR(__xludf.DUMMYFUNCTION("""COMPUTED_VALUE"""),1.0)</f>
        <v>1</v>
      </c>
      <c r="F723" s="6">
        <f>IFERROR(__xludf.DUMMYFUNCTION("""COMPUTED_VALUE"""),1.0)</f>
        <v>1</v>
      </c>
      <c r="G723" s="6">
        <f>IFERROR(__xludf.DUMMYFUNCTION("""COMPUTED_VALUE"""),0.0)</f>
        <v>0</v>
      </c>
      <c r="H723" s="6" t="str">
        <f>IFERROR(__xludf.DUMMYFUNCTION("""COMPUTED_VALUE"""),"pcs")</f>
        <v>pcs</v>
      </c>
      <c r="I723" s="6" t="str">
        <f>IFERROR(__xludf.DUMMYFUNCTION("""COMPUTED_VALUE"""),"MFH")</f>
        <v>MFH</v>
      </c>
      <c r="J723" s="6" t="str">
        <f>IFERROR(__xludf.DUMMYFUNCTION("""COMPUTED_VALUE"""),"WIHC")</f>
        <v>WIHC</v>
      </c>
      <c r="K723" s="6" t="str">
        <f>IFERROR(__xludf.DUMMYFUNCTION("""COMPUTED_VALUE"""),"SPR/03/24/018")</f>
        <v>SPR/03/24/018</v>
      </c>
      <c r="L723" s="13">
        <f>IFERROR(__xludf.DUMMYFUNCTION("""COMPUTED_VALUE"""),45370.0)</f>
        <v>45370</v>
      </c>
    </row>
    <row r="724">
      <c r="A724" s="6" t="str">
        <f>IFERROR(__xludf.DUMMYFUNCTION("""COMPUTED_VALUE"""),"NDS")</f>
        <v>NDS</v>
      </c>
      <c r="B724" s="6" t="str">
        <f>IFERROR(__xludf.DUMMYFUNCTION("""COMPUTED_VALUE"""),"ENG")</f>
        <v>ENG</v>
      </c>
      <c r="C724" s="6" t="str">
        <f>IFERROR(__xludf.DUMMYFUNCTION("""COMPUTED_VALUE"""),"Q-60502-00")</f>
        <v>Q-60502-00</v>
      </c>
      <c r="D724" s="6" t="str">
        <f>IFERROR(__xludf.DUMMYFUNCTION("""COMPUTED_VALUE"""),"Silicone Sealant, Silglaze, Type N10 White, pack size per pcs")</f>
        <v>Silicone Sealant, Silglaze, Type N10 White, pack size per pcs</v>
      </c>
      <c r="E724" s="6">
        <f>IFERROR(__xludf.DUMMYFUNCTION("""COMPUTED_VALUE"""),3.0)</f>
        <v>3</v>
      </c>
      <c r="F724" s="6">
        <f>IFERROR(__xludf.DUMMYFUNCTION("""COMPUTED_VALUE"""),1.0)</f>
        <v>1</v>
      </c>
      <c r="G724" s="6">
        <f>IFERROR(__xludf.DUMMYFUNCTION("""COMPUTED_VALUE"""),0.0)</f>
        <v>0</v>
      </c>
      <c r="H724" s="6" t="str">
        <f>IFERROR(__xludf.DUMMYFUNCTION("""COMPUTED_VALUE"""),"pcs")</f>
        <v>pcs</v>
      </c>
      <c r="I724" s="6" t="str">
        <f>IFERROR(__xludf.DUMMYFUNCTION("""COMPUTED_VALUE"""),"MFH")</f>
        <v>MFH</v>
      </c>
      <c r="J724" s="6" t="str">
        <f>IFERROR(__xludf.DUMMYFUNCTION("""COMPUTED_VALUE"""),"WIHC")</f>
        <v>WIHC</v>
      </c>
      <c r="K724" s="6" t="str">
        <f>IFERROR(__xludf.DUMMYFUNCTION("""COMPUTED_VALUE"""),"SPR/03/24/018")</f>
        <v>SPR/03/24/018</v>
      </c>
      <c r="L724" s="13">
        <f>IFERROR(__xludf.DUMMYFUNCTION("""COMPUTED_VALUE"""),45370.0)</f>
        <v>45370</v>
      </c>
    </row>
    <row r="725">
      <c r="A725" s="6" t="str">
        <f>IFERROR(__xludf.DUMMYFUNCTION("""COMPUTED_VALUE"""),"SFH")</f>
        <v>SFH</v>
      </c>
      <c r="B725" s="6" t="str">
        <f>IFERROR(__xludf.DUMMYFUNCTION("""COMPUTED_VALUE"""),"ENG")</f>
        <v>ENG</v>
      </c>
      <c r="C725" s="6" t="str">
        <f>IFERROR(__xludf.DUMMYFUNCTION("""COMPUTED_VALUE"""),"P-51559-00")</f>
        <v>P-51559-00</v>
      </c>
      <c r="D725" s="6" t="str">
        <f>IFERROR(__xludf.DUMMYFUNCTION("""COMPUTED_VALUE"""),"Lampu T5 14watt Putih; Phillips; ;")</f>
        <v>Lampu T5 14watt Putih; Phillips; ;</v>
      </c>
      <c r="E725" s="6">
        <f>IFERROR(__xludf.DUMMYFUNCTION("""COMPUTED_VALUE"""),20.0)</f>
        <v>20</v>
      </c>
      <c r="F725" s="6">
        <f>IFERROR(__xludf.DUMMYFUNCTION("""COMPUTED_VALUE"""),20.0)</f>
        <v>20</v>
      </c>
      <c r="G725" s="6">
        <f>IFERROR(__xludf.DUMMYFUNCTION("""COMPUTED_VALUE"""),0.0)</f>
        <v>0</v>
      </c>
      <c r="H725" s="6" t="str">
        <f>IFERROR(__xludf.DUMMYFUNCTION("""COMPUTED_VALUE"""),"pcs")</f>
        <v>pcs</v>
      </c>
      <c r="I725" s="6" t="str">
        <f>IFERROR(__xludf.DUMMYFUNCTION("""COMPUTED_VALUE"""),"MFH")</f>
        <v>MFH</v>
      </c>
      <c r="J725" s="6" t="str">
        <f>IFERROR(__xludf.DUMMYFUNCTION("""COMPUTED_VALUE"""),"Building")</f>
        <v>Building</v>
      </c>
      <c r="K725" s="6" t="str">
        <f>IFERROR(__xludf.DUMMYFUNCTION("""COMPUTED_VALUE"""),"SPR/03/24/019")</f>
        <v>SPR/03/24/019</v>
      </c>
      <c r="L725" s="13">
        <f>IFERROR(__xludf.DUMMYFUNCTION("""COMPUTED_VALUE"""),45370.0)</f>
        <v>45370</v>
      </c>
    </row>
    <row r="726">
      <c r="A726" s="6" t="str">
        <f>IFERROR(__xludf.DUMMYFUNCTION("""COMPUTED_VALUE"""),"SFH")</f>
        <v>SFH</v>
      </c>
      <c r="B726" s="6" t="str">
        <f>IFERROR(__xludf.DUMMYFUNCTION("""COMPUTED_VALUE"""),"ENG")</f>
        <v>ENG</v>
      </c>
      <c r="C726" s="6" t="str">
        <f>IFERROR(__xludf.DUMMYFUNCTION("""COMPUTED_VALUE"""),"P-51560-00")</f>
        <v>P-51560-00</v>
      </c>
      <c r="D726" s="6" t="str">
        <f>IFERROR(__xludf.DUMMYFUNCTION("""COMPUTED_VALUE"""),"Lampu T5 28watt Putih; Phillips; ;")</f>
        <v>Lampu T5 28watt Putih; Phillips; ;</v>
      </c>
      <c r="E726" s="6">
        <f>IFERROR(__xludf.DUMMYFUNCTION("""COMPUTED_VALUE"""),2.0)</f>
        <v>2</v>
      </c>
      <c r="F726" s="6">
        <f>IFERROR(__xludf.DUMMYFUNCTION("""COMPUTED_VALUE"""),2.0)</f>
        <v>2</v>
      </c>
      <c r="G726" s="6">
        <f>IFERROR(__xludf.DUMMYFUNCTION("""COMPUTED_VALUE"""),0.0)</f>
        <v>0</v>
      </c>
      <c r="H726" s="6" t="str">
        <f>IFERROR(__xludf.DUMMYFUNCTION("""COMPUTED_VALUE"""),"pcs")</f>
        <v>pcs</v>
      </c>
      <c r="I726" s="6" t="str">
        <f>IFERROR(__xludf.DUMMYFUNCTION("""COMPUTED_VALUE"""),"MFH")</f>
        <v>MFH</v>
      </c>
      <c r="J726" s="6" t="str">
        <f>IFERROR(__xludf.DUMMYFUNCTION("""COMPUTED_VALUE"""),"Building")</f>
        <v>Building</v>
      </c>
      <c r="K726" s="6" t="str">
        <f>IFERROR(__xludf.DUMMYFUNCTION("""COMPUTED_VALUE"""),"SPR/03/24/019")</f>
        <v>SPR/03/24/019</v>
      </c>
      <c r="L726" s="13">
        <f>IFERROR(__xludf.DUMMYFUNCTION("""COMPUTED_VALUE"""),45370.0)</f>
        <v>45370</v>
      </c>
    </row>
    <row r="727">
      <c r="A727" s="6" t="str">
        <f>IFERROR(__xludf.DUMMYFUNCTION("""COMPUTED_VALUE"""),"SFH")</f>
        <v>SFH</v>
      </c>
      <c r="B727" s="6" t="str">
        <f>IFERROR(__xludf.DUMMYFUNCTION("""COMPUTED_VALUE"""),"ENG")</f>
        <v>ENG</v>
      </c>
      <c r="C727" s="6" t="str">
        <f>IFERROR(__xludf.DUMMYFUNCTION("""COMPUTED_VALUE"""),"P-53173-00")</f>
        <v>P-53173-00</v>
      </c>
      <c r="D727" s="6" t="str">
        <f>IFERROR(__xludf.DUMMYFUNCTION("""COMPUTED_VALUE"""),"Ballast Electronic EB-C 214 TL5, 2x14W; Phillips; ;")</f>
        <v>Ballast Electronic EB-C 214 TL5, 2x14W; Phillips; ;</v>
      </c>
      <c r="E727" s="6">
        <f>IFERROR(__xludf.DUMMYFUNCTION("""COMPUTED_VALUE"""),2.0)</f>
        <v>2</v>
      </c>
      <c r="F727" s="6">
        <f>IFERROR(__xludf.DUMMYFUNCTION("""COMPUTED_VALUE"""),2.0)</f>
        <v>2</v>
      </c>
      <c r="G727" s="6">
        <f>IFERROR(__xludf.DUMMYFUNCTION("""COMPUTED_VALUE"""),0.0)</f>
        <v>0</v>
      </c>
      <c r="H727" s="6" t="str">
        <f>IFERROR(__xludf.DUMMYFUNCTION("""COMPUTED_VALUE"""),"pcs")</f>
        <v>pcs</v>
      </c>
      <c r="I727" s="6" t="str">
        <f>IFERROR(__xludf.DUMMYFUNCTION("""COMPUTED_VALUE"""),"MFH")</f>
        <v>MFH</v>
      </c>
      <c r="J727" s="6" t="str">
        <f>IFERROR(__xludf.DUMMYFUNCTION("""COMPUTED_VALUE"""),"Building")</f>
        <v>Building</v>
      </c>
      <c r="K727" s="6" t="str">
        <f>IFERROR(__xludf.DUMMYFUNCTION("""COMPUTED_VALUE"""),"SPR/03/24/019")</f>
        <v>SPR/03/24/019</v>
      </c>
      <c r="L727" s="13">
        <f>IFERROR(__xludf.DUMMYFUNCTION("""COMPUTED_VALUE"""),45370.0)</f>
        <v>45370</v>
      </c>
    </row>
    <row r="728">
      <c r="A728" s="6" t="str">
        <f>IFERROR(__xludf.DUMMYFUNCTION("""COMPUTED_VALUE"""),"SFH")</f>
        <v>SFH</v>
      </c>
      <c r="B728" s="6" t="str">
        <f>IFERROR(__xludf.DUMMYFUNCTION("""COMPUTED_VALUE"""),"ENG")</f>
        <v>ENG</v>
      </c>
      <c r="C728" s="6" t="str">
        <f>IFERROR(__xludf.DUMMYFUNCTION("""COMPUTED_VALUE"""),"Q-10154-00")</f>
        <v>Q-10154-00</v>
      </c>
      <c r="D728" s="6" t="str">
        <f>IFERROR(__xludf.DUMMYFUNCTION("""COMPUTED_VALUE"""),"Roller cat 230mm")</f>
        <v>Roller cat 230mm</v>
      </c>
      <c r="E728" s="6">
        <f>IFERROR(__xludf.DUMMYFUNCTION("""COMPUTED_VALUE"""),1.0)</f>
        <v>1</v>
      </c>
      <c r="F728" s="6">
        <f>IFERROR(__xludf.DUMMYFUNCTION("""COMPUTED_VALUE"""),1.0)</f>
        <v>1</v>
      </c>
      <c r="G728" s="6">
        <f>IFERROR(__xludf.DUMMYFUNCTION("""COMPUTED_VALUE"""),0.0)</f>
        <v>0</v>
      </c>
      <c r="H728" s="6" t="str">
        <f>IFERROR(__xludf.DUMMYFUNCTION("""COMPUTED_VALUE"""),"pcs")</f>
        <v>pcs</v>
      </c>
      <c r="I728" s="6" t="str">
        <f>IFERROR(__xludf.DUMMYFUNCTION("""COMPUTED_VALUE"""),"MFH")</f>
        <v>MFH</v>
      </c>
      <c r="J728" s="6" t="str">
        <f>IFERROR(__xludf.DUMMYFUNCTION("""COMPUTED_VALUE"""),"Building")</f>
        <v>Building</v>
      </c>
      <c r="K728" s="6" t="str">
        <f>IFERROR(__xludf.DUMMYFUNCTION("""COMPUTED_VALUE"""),"SPR/03/24/020")</f>
        <v>SPR/03/24/020</v>
      </c>
      <c r="L728" s="13">
        <f>IFERROR(__xludf.DUMMYFUNCTION("""COMPUTED_VALUE"""),45370.0)</f>
        <v>45370</v>
      </c>
    </row>
    <row r="729">
      <c r="A729" s="6" t="str">
        <f>IFERROR(__xludf.DUMMYFUNCTION("""COMPUTED_VALUE"""),"SFH")</f>
        <v>SFH</v>
      </c>
      <c r="B729" s="6" t="str">
        <f>IFERROR(__xludf.DUMMYFUNCTION("""COMPUTED_VALUE"""),"ENG")</f>
        <v>ENG</v>
      </c>
      <c r="C729" s="6" t="str">
        <f>IFERROR(__xludf.DUMMYFUNCTION("""COMPUTED_VALUE"""),"Q-10656-00")</f>
        <v>Q-10656-00</v>
      </c>
      <c r="D729" s="6" t="str">
        <f>IFERROR(__xludf.DUMMYFUNCTION("""COMPUTED_VALUE"""),"Kuas Eterna 5 Inch; ; ;")</f>
        <v>Kuas Eterna 5 Inch; ; ;</v>
      </c>
      <c r="E729" s="6">
        <f>IFERROR(__xludf.DUMMYFUNCTION("""COMPUTED_VALUE"""),1.0)</f>
        <v>1</v>
      </c>
      <c r="F729" s="6">
        <f>IFERROR(__xludf.DUMMYFUNCTION("""COMPUTED_VALUE"""),1.0)</f>
        <v>1</v>
      </c>
      <c r="G729" s="6">
        <f>IFERROR(__xludf.DUMMYFUNCTION("""COMPUTED_VALUE"""),0.0)</f>
        <v>0</v>
      </c>
      <c r="H729" s="6" t="str">
        <f>IFERROR(__xludf.DUMMYFUNCTION("""COMPUTED_VALUE"""),"pcs")</f>
        <v>pcs</v>
      </c>
      <c r="I729" s="6" t="str">
        <f>IFERROR(__xludf.DUMMYFUNCTION("""COMPUTED_VALUE"""),"MFH")</f>
        <v>MFH</v>
      </c>
      <c r="J729" s="6" t="str">
        <f>IFERROR(__xludf.DUMMYFUNCTION("""COMPUTED_VALUE"""),"Building")</f>
        <v>Building</v>
      </c>
      <c r="K729" s="6" t="str">
        <f>IFERROR(__xludf.DUMMYFUNCTION("""COMPUTED_VALUE"""),"SPR/03/24/020")</f>
        <v>SPR/03/24/020</v>
      </c>
      <c r="L729" s="13">
        <f>IFERROR(__xludf.DUMMYFUNCTION("""COMPUTED_VALUE"""),45370.0)</f>
        <v>45370</v>
      </c>
    </row>
    <row r="730">
      <c r="A730" s="6" t="str">
        <f>IFERROR(__xludf.DUMMYFUNCTION("""COMPUTED_VALUE"""),"NDS")</f>
        <v>NDS</v>
      </c>
      <c r="B730" s="6" t="str">
        <f>IFERROR(__xludf.DUMMYFUNCTION("""COMPUTED_VALUE"""),"ENG")</f>
        <v>ENG</v>
      </c>
      <c r="C730" s="6" t="str">
        <f>IFERROR(__xludf.DUMMYFUNCTION("""COMPUTED_VALUE"""),"P-51560-00")</f>
        <v>P-51560-00</v>
      </c>
      <c r="D730" s="6" t="str">
        <f>IFERROR(__xludf.DUMMYFUNCTION("""COMPUTED_VALUE"""),"Lampu T5 28watt Putih; Phillips; ;")</f>
        <v>Lampu T5 28watt Putih; Phillips; ;</v>
      </c>
      <c r="E730" s="6">
        <f>IFERROR(__xludf.DUMMYFUNCTION("""COMPUTED_VALUE"""),4.0)</f>
        <v>4</v>
      </c>
      <c r="F730" s="6">
        <f>IFERROR(__xludf.DUMMYFUNCTION("""COMPUTED_VALUE"""),4.0)</f>
        <v>4</v>
      </c>
      <c r="G730" s="6">
        <f>IFERROR(__xludf.DUMMYFUNCTION("""COMPUTED_VALUE"""),0.0)</f>
        <v>0</v>
      </c>
      <c r="H730" s="6" t="str">
        <f>IFERROR(__xludf.DUMMYFUNCTION("""COMPUTED_VALUE"""),"pcs")</f>
        <v>pcs</v>
      </c>
      <c r="I730" s="6" t="str">
        <f>IFERROR(__xludf.DUMMYFUNCTION("""COMPUTED_VALUE"""),"MFH")</f>
        <v>MFH</v>
      </c>
      <c r="J730" s="6" t="str">
        <f>IFERROR(__xludf.DUMMYFUNCTION("""COMPUTED_VALUE"""),"Building")</f>
        <v>Building</v>
      </c>
      <c r="K730" s="6" t="str">
        <f>IFERROR(__xludf.DUMMYFUNCTION("""COMPUTED_VALUE"""),"SPR/03/24/021")</f>
        <v>SPR/03/24/021</v>
      </c>
      <c r="L730" s="13">
        <f>IFERROR(__xludf.DUMMYFUNCTION("""COMPUTED_VALUE"""),45370.0)</f>
        <v>45370</v>
      </c>
    </row>
    <row r="731">
      <c r="A731" s="6" t="str">
        <f>IFERROR(__xludf.DUMMYFUNCTION("""COMPUTED_VALUE"""),"NDS")</f>
        <v>NDS</v>
      </c>
      <c r="B731" s="6" t="str">
        <f>IFERROR(__xludf.DUMMYFUNCTION("""COMPUTED_VALUE"""),"ENG")</f>
        <v>ENG</v>
      </c>
      <c r="C731" s="6" t="str">
        <f>IFERROR(__xludf.DUMMYFUNCTION("""COMPUTED_VALUE"""),"-")</f>
        <v>-</v>
      </c>
      <c r="D731" s="6" t="str">
        <f>IFERROR(__xludf.DUMMYFUNCTION("""COMPUTED_VALUE"""),"Kabel Power PC")</f>
        <v>Kabel Power PC</v>
      </c>
      <c r="E731" s="6">
        <f>IFERROR(__xludf.DUMMYFUNCTION("""COMPUTED_VALUE"""),1.0)</f>
        <v>1</v>
      </c>
      <c r="F731" s="6">
        <f>IFERROR(__xludf.DUMMYFUNCTION("""COMPUTED_VALUE"""),1.0)</f>
        <v>1</v>
      </c>
      <c r="G731" s="6">
        <f>IFERROR(__xludf.DUMMYFUNCTION("""COMPUTED_VALUE"""),0.0)</f>
        <v>0</v>
      </c>
      <c r="H731" s="6" t="str">
        <f>IFERROR(__xludf.DUMMYFUNCTION("""COMPUTED_VALUE"""),"pcs")</f>
        <v>pcs</v>
      </c>
      <c r="I731" s="6" t="str">
        <f>IFERROR(__xludf.DUMMYFUNCTION("""COMPUTED_VALUE"""),"MFH")</f>
        <v>MFH</v>
      </c>
      <c r="J731" s="6" t="str">
        <f>IFERROR(__xludf.DUMMYFUNCTION("""COMPUTED_VALUE"""),"QC")</f>
        <v>QC</v>
      </c>
      <c r="K731" s="6" t="str">
        <f>IFERROR(__xludf.DUMMYFUNCTION("""COMPUTED_VALUE"""),"SPR/03/24/021")</f>
        <v>SPR/03/24/021</v>
      </c>
      <c r="L731" s="13">
        <f>IFERROR(__xludf.DUMMYFUNCTION("""COMPUTED_VALUE"""),45370.0)</f>
        <v>45370</v>
      </c>
    </row>
    <row r="732">
      <c r="A732" s="6" t="str">
        <f>IFERROR(__xludf.DUMMYFUNCTION("""COMPUTED_VALUE"""),"ANO")</f>
        <v>ANO</v>
      </c>
      <c r="B732" s="6" t="str">
        <f>IFERROR(__xludf.DUMMYFUNCTION("""COMPUTED_VALUE"""),"ENG")</f>
        <v>ENG</v>
      </c>
      <c r="C732" s="6" t="str">
        <f>IFERROR(__xludf.DUMMYFUNCTION("""COMPUTED_VALUE"""),"S-40851-00")</f>
        <v>S-40851-00</v>
      </c>
      <c r="D732" s="6" t="str">
        <f>IFERROR(__xludf.DUMMYFUNCTION("""COMPUTED_VALUE"""),"Flashdisk 4GB; Sandisk; ;")</f>
        <v>Flashdisk 4GB; Sandisk; ;</v>
      </c>
      <c r="E732" s="6">
        <f>IFERROR(__xludf.DUMMYFUNCTION("""COMPUTED_VALUE"""),2.0)</f>
        <v>2</v>
      </c>
      <c r="F732" s="6">
        <f>IFERROR(__xludf.DUMMYFUNCTION("""COMPUTED_VALUE"""),1.0)</f>
        <v>1</v>
      </c>
      <c r="G732" s="6">
        <f>IFERROR(__xludf.DUMMYFUNCTION("""COMPUTED_VALUE"""),0.0)</f>
        <v>0</v>
      </c>
      <c r="H732" s="6" t="str">
        <f>IFERROR(__xludf.DUMMYFUNCTION("""COMPUTED_VALUE"""),"pcs")</f>
        <v>pcs</v>
      </c>
      <c r="I732" s="6" t="str">
        <f>IFERROR(__xludf.DUMMYFUNCTION("""COMPUTED_VALUE"""),"MFH")</f>
        <v>MFH</v>
      </c>
      <c r="J732" s="6" t="str">
        <f>IFERROR(__xludf.DUMMYFUNCTION("""COMPUTED_VALUE"""),"Hubber")</f>
        <v>Hubber</v>
      </c>
      <c r="K732" s="6" t="str">
        <f>IFERROR(__xludf.DUMMYFUNCTION("""COMPUTED_VALUE"""),"SPR/03/24/022")</f>
        <v>SPR/03/24/022</v>
      </c>
      <c r="L732" s="13">
        <f>IFERROR(__xludf.DUMMYFUNCTION("""COMPUTED_VALUE"""),45370.0)</f>
        <v>45370</v>
      </c>
    </row>
    <row r="733">
      <c r="A733" s="6" t="str">
        <f>IFERROR(__xludf.DUMMYFUNCTION("""COMPUTED_VALUE"""),"SHF")</f>
        <v>SHF</v>
      </c>
      <c r="B733" s="6" t="str">
        <f>IFERROR(__xludf.DUMMYFUNCTION("""COMPUTED_VALUE"""),"ENG")</f>
        <v>ENG</v>
      </c>
      <c r="C733" s="6" t="str">
        <f>IFERROR(__xludf.DUMMYFUNCTION("""COMPUTED_VALUE"""),"T-80681-00")</f>
        <v>T-80681-00</v>
      </c>
      <c r="D733" s="6" t="str">
        <f>IFERROR(__xludf.DUMMYFUNCTION("""COMPUTED_VALUE"""),"Battery Kancing Energizer CR20")</f>
        <v>Battery Kancing Energizer CR20</v>
      </c>
      <c r="E733" s="6">
        <f>IFERROR(__xludf.DUMMYFUNCTION("""COMPUTED_VALUE"""),5.0)</f>
        <v>5</v>
      </c>
      <c r="F733" s="6">
        <f>IFERROR(__xludf.DUMMYFUNCTION("""COMPUTED_VALUE"""),5.0)</f>
        <v>5</v>
      </c>
      <c r="G733" s="6">
        <f>IFERROR(__xludf.DUMMYFUNCTION("""COMPUTED_VALUE"""),0.0)</f>
        <v>0</v>
      </c>
      <c r="H733" s="6" t="str">
        <f>IFERROR(__xludf.DUMMYFUNCTION("""COMPUTED_VALUE"""),"pcs")</f>
        <v>pcs</v>
      </c>
      <c r="I733" s="6" t="str">
        <f>IFERROR(__xludf.DUMMYFUNCTION("""COMPUTED_VALUE"""),"MFH")</f>
        <v>MFH</v>
      </c>
      <c r="J733" s="6" t="str">
        <f>IFERROR(__xludf.DUMMYFUNCTION("""COMPUTED_VALUE"""),"Building")</f>
        <v>Building</v>
      </c>
      <c r="K733" s="6" t="str">
        <f>IFERROR(__xludf.DUMMYFUNCTION("""COMPUTED_VALUE"""),"SPR/03/24/023")</f>
        <v>SPR/03/24/023</v>
      </c>
      <c r="L733" s="13">
        <f>IFERROR(__xludf.DUMMYFUNCTION("""COMPUTED_VALUE"""),45370.0)</f>
        <v>45370</v>
      </c>
    </row>
    <row r="734">
      <c r="A734" s="6" t="str">
        <f>IFERROR(__xludf.DUMMYFUNCTION("""COMPUTED_VALUE"""),"SHF")</f>
        <v>SHF</v>
      </c>
      <c r="B734" s="6" t="str">
        <f>IFERROR(__xludf.DUMMYFUNCTION("""COMPUTED_VALUE"""),"ENG")</f>
        <v>ENG</v>
      </c>
      <c r="C734" s="6" t="str">
        <f>IFERROR(__xludf.DUMMYFUNCTION("""COMPUTED_VALUE"""),"T-80037-00")</f>
        <v>T-80037-00</v>
      </c>
      <c r="D734" s="6" t="str">
        <f>IFERROR(__xludf.DUMMYFUNCTION("""COMPUTED_VALUE"""),"Batterai Size AA")</f>
        <v>Batterai Size AA</v>
      </c>
      <c r="E734" s="6">
        <f>IFERROR(__xludf.DUMMYFUNCTION("""COMPUTED_VALUE"""),6.0)</f>
        <v>6</v>
      </c>
      <c r="F734" s="6">
        <f>IFERROR(__xludf.DUMMYFUNCTION("""COMPUTED_VALUE"""),6.0)</f>
        <v>6</v>
      </c>
      <c r="G734" s="6">
        <f>IFERROR(__xludf.DUMMYFUNCTION("""COMPUTED_VALUE"""),0.0)</f>
        <v>0</v>
      </c>
      <c r="H734" s="6" t="str">
        <f>IFERROR(__xludf.DUMMYFUNCTION("""COMPUTED_VALUE"""),"pcs")</f>
        <v>pcs</v>
      </c>
      <c r="I734" s="6" t="str">
        <f>IFERROR(__xludf.DUMMYFUNCTION("""COMPUTED_VALUE"""),"MFH")</f>
        <v>MFH</v>
      </c>
      <c r="J734" s="6" t="str">
        <f>IFERROR(__xludf.DUMMYFUNCTION("""COMPUTED_VALUE"""),"Building")</f>
        <v>Building</v>
      </c>
      <c r="K734" s="6" t="str">
        <f>IFERROR(__xludf.DUMMYFUNCTION("""COMPUTED_VALUE"""),"SPR/03/24/023")</f>
        <v>SPR/03/24/023</v>
      </c>
      <c r="L734" s="13">
        <f>IFERROR(__xludf.DUMMYFUNCTION("""COMPUTED_VALUE"""),45370.0)</f>
        <v>45370</v>
      </c>
    </row>
    <row r="735">
      <c r="A735" s="6" t="str">
        <f>IFERROR(__xludf.DUMMYFUNCTION("""COMPUTED_VALUE"""),"ROS")</f>
        <v>ROS</v>
      </c>
      <c r="B735" s="6" t="str">
        <f>IFERROR(__xludf.DUMMYFUNCTION("""COMPUTED_VALUE"""),"ENG")</f>
        <v>ENG</v>
      </c>
      <c r="C735" s="6" t="str">
        <f>IFERROR(__xludf.DUMMYFUNCTION("""COMPUTED_VALUE"""),"P-11968-00")</f>
        <v>P-11968-00</v>
      </c>
      <c r="D735" s="6" t="str">
        <f>IFERROR(__xludf.DUMMYFUNCTION("""COMPUTED_VALUE"""),"Berusynt FGH Spray H1 - Bechem")</f>
        <v>Berusynt FGH Spray H1 - Bechem</v>
      </c>
      <c r="E735" s="6">
        <f>IFERROR(__xludf.DUMMYFUNCTION("""COMPUTED_VALUE"""),1.0)</f>
        <v>1</v>
      </c>
      <c r="F735" s="6">
        <f>IFERROR(__xludf.DUMMYFUNCTION("""COMPUTED_VALUE"""),1.0)</f>
        <v>1</v>
      </c>
      <c r="G735" s="6">
        <f>IFERROR(__xludf.DUMMYFUNCTION("""COMPUTED_VALUE"""),0.0)</f>
        <v>0</v>
      </c>
      <c r="H735" s="6" t="str">
        <f>IFERROR(__xludf.DUMMYFUNCTION("""COMPUTED_VALUE"""),"pcs")</f>
        <v>pcs</v>
      </c>
      <c r="I735" s="6" t="str">
        <f>IFERROR(__xludf.DUMMYFUNCTION("""COMPUTED_VALUE"""),"MFH")</f>
        <v>MFH</v>
      </c>
      <c r="J735" s="6" t="str">
        <f>IFERROR(__xludf.DUMMYFUNCTION("""COMPUTED_VALUE"""),"Building")</f>
        <v>Building</v>
      </c>
      <c r="K735" s="6" t="str">
        <f>IFERROR(__xludf.DUMMYFUNCTION("""COMPUTED_VALUE"""),"SPR/03/24/024")</f>
        <v>SPR/03/24/024</v>
      </c>
      <c r="L735" s="13">
        <f>IFERROR(__xludf.DUMMYFUNCTION("""COMPUTED_VALUE"""),45370.0)</f>
        <v>45370</v>
      </c>
    </row>
    <row r="736">
      <c r="A736" s="6" t="str">
        <f>IFERROR(__xludf.DUMMYFUNCTION("""COMPUTED_VALUE"""),"ROS")</f>
        <v>ROS</v>
      </c>
      <c r="B736" s="6" t="str">
        <f>IFERROR(__xludf.DUMMYFUNCTION("""COMPUTED_VALUE"""),"ENG")</f>
        <v>ENG</v>
      </c>
      <c r="C736" s="6" t="str">
        <f>IFERROR(__xludf.DUMMYFUNCTION("""COMPUTED_VALUE"""),"P-10729-00")</f>
        <v>P-10729-00</v>
      </c>
      <c r="D736" s="6" t="str">
        <f>IFERROR(__xludf.DUMMYFUNCTION("""COMPUTED_VALUE"""),"Contact cleaner WD 40, 382 gr ; Brand : - ; P/N : - ; Pack Size : pcs")</f>
        <v>Contact cleaner WD 40, 382 gr ; Brand : - ; P/N : - ; Pack Size : pcs</v>
      </c>
      <c r="E736" s="6">
        <f>IFERROR(__xludf.DUMMYFUNCTION("""COMPUTED_VALUE"""),1.0)</f>
        <v>1</v>
      </c>
      <c r="F736" s="6">
        <f>IFERROR(__xludf.DUMMYFUNCTION("""COMPUTED_VALUE"""),1.0)</f>
        <v>1</v>
      </c>
      <c r="G736" s="6">
        <f>IFERROR(__xludf.DUMMYFUNCTION("""COMPUTED_VALUE"""),0.0)</f>
        <v>0</v>
      </c>
      <c r="H736" s="6" t="str">
        <f>IFERROR(__xludf.DUMMYFUNCTION("""COMPUTED_VALUE"""),"pcs")</f>
        <v>pcs</v>
      </c>
      <c r="I736" s="6" t="str">
        <f>IFERROR(__xludf.DUMMYFUNCTION("""COMPUTED_VALUE"""),"MFH")</f>
        <v>MFH</v>
      </c>
      <c r="J736" s="6" t="str">
        <f>IFERROR(__xludf.DUMMYFUNCTION("""COMPUTED_VALUE"""),"Building")</f>
        <v>Building</v>
      </c>
      <c r="K736" s="6" t="str">
        <f>IFERROR(__xludf.DUMMYFUNCTION("""COMPUTED_VALUE"""),"SPR/03/24/024")</f>
        <v>SPR/03/24/024</v>
      </c>
      <c r="L736" s="13">
        <f>IFERROR(__xludf.DUMMYFUNCTION("""COMPUTED_VALUE"""),45370.0)</f>
        <v>45370</v>
      </c>
    </row>
    <row r="737">
      <c r="A737" s="6" t="str">
        <f>IFERROR(__xludf.DUMMYFUNCTION("""COMPUTED_VALUE"""),"INN")</f>
        <v>INN</v>
      </c>
      <c r="B737" s="6" t="str">
        <f>IFERROR(__xludf.DUMMYFUNCTION("""COMPUTED_VALUE"""),"ENG")</f>
        <v>ENG</v>
      </c>
      <c r="C737" s="6" t="str">
        <f>IFERROR(__xludf.DUMMYFUNCTION("""COMPUTED_VALUE"""),"O-16658-00")</f>
        <v>O-16658-00</v>
      </c>
      <c r="D737" s="6" t="str">
        <f>IFERROR(__xludf.DUMMYFUNCTION("""COMPUTED_VALUE"""),"FESTO - Cylinder Compact ADNGF-16-15-P-A p/n: 554214")</f>
        <v>FESTO - Cylinder Compact ADNGF-16-15-P-A p/n: 554214</v>
      </c>
      <c r="E737" s="6">
        <f>IFERROR(__xludf.DUMMYFUNCTION("""COMPUTED_VALUE"""),1.0)</f>
        <v>1</v>
      </c>
      <c r="F737" s="6">
        <f>IFERROR(__xludf.DUMMYFUNCTION("""COMPUTED_VALUE"""),1.0)</f>
        <v>1</v>
      </c>
      <c r="G737" s="6">
        <f>IFERROR(__xludf.DUMMYFUNCTION("""COMPUTED_VALUE"""),0.0)</f>
        <v>0</v>
      </c>
      <c r="H737" s="6" t="str">
        <f>IFERROR(__xludf.DUMMYFUNCTION("""COMPUTED_VALUE"""),"pcs")</f>
        <v>pcs</v>
      </c>
      <c r="I737" s="6" t="str">
        <f>IFERROR(__xludf.DUMMYFUNCTION("""COMPUTED_VALUE"""),"MFH")</f>
        <v>MFH</v>
      </c>
      <c r="J737" s="6" t="str">
        <f>IFERROR(__xludf.DUMMYFUNCTION("""COMPUTED_VALUE"""),"Washing")</f>
        <v>Washing</v>
      </c>
      <c r="K737" s="6" t="str">
        <f>IFERROR(__xludf.DUMMYFUNCTION("""COMPUTED_VALUE"""),"SPR/03/24/025")</f>
        <v>SPR/03/24/025</v>
      </c>
      <c r="L737" s="13">
        <f>IFERROR(__xludf.DUMMYFUNCTION("""COMPUTED_VALUE"""),45370.0)</f>
        <v>45370</v>
      </c>
    </row>
    <row r="738">
      <c r="A738" s="6" t="str">
        <f>IFERROR(__xludf.DUMMYFUNCTION("""COMPUTED_VALUE"""),"INN")</f>
        <v>INN</v>
      </c>
      <c r="B738" s="6" t="str">
        <f>IFERROR(__xludf.DUMMYFUNCTION("""COMPUTED_VALUE"""),"ENG")</f>
        <v>ENG</v>
      </c>
      <c r="C738" s="6" t="str">
        <f>IFERROR(__xludf.DUMMYFUNCTION("""COMPUTED_VALUE"""),"Q-10249-00")</f>
        <v>Q-10249-00</v>
      </c>
      <c r="D738" s="6" t="str">
        <f>IFERROR(__xludf.DUMMYFUNCTION("""COMPUTED_VALUE"""),"Lem Power Glue")</f>
        <v>Lem Power Glue</v>
      </c>
      <c r="E738" s="6">
        <f>IFERROR(__xludf.DUMMYFUNCTION("""COMPUTED_VALUE"""),2.0)</f>
        <v>2</v>
      </c>
      <c r="F738" s="6">
        <f>IFERROR(__xludf.DUMMYFUNCTION("""COMPUTED_VALUE"""),1.0)</f>
        <v>1</v>
      </c>
      <c r="G738" s="6">
        <f>IFERROR(__xludf.DUMMYFUNCTION("""COMPUTED_VALUE"""),0.0)</f>
        <v>0</v>
      </c>
      <c r="H738" s="6" t="str">
        <f>IFERROR(__xludf.DUMMYFUNCTION("""COMPUTED_VALUE"""),"pcs")</f>
        <v>pcs</v>
      </c>
      <c r="I738" s="6" t="str">
        <f>IFERROR(__xludf.DUMMYFUNCTION("""COMPUTED_VALUE"""),"MFH")</f>
        <v>MFH</v>
      </c>
      <c r="J738" s="6" t="str">
        <f>IFERROR(__xludf.DUMMYFUNCTION("""COMPUTED_VALUE"""),"Washing")</f>
        <v>Washing</v>
      </c>
      <c r="K738" s="6" t="str">
        <f>IFERROR(__xludf.DUMMYFUNCTION("""COMPUTED_VALUE"""),"SPR/03/24/025")</f>
        <v>SPR/03/24/025</v>
      </c>
      <c r="L738" s="13">
        <f>IFERROR(__xludf.DUMMYFUNCTION("""COMPUTED_VALUE"""),45370.0)</f>
        <v>45370</v>
      </c>
    </row>
    <row r="739">
      <c r="A739" s="6" t="str">
        <f>IFERROR(__xludf.DUMMYFUNCTION("""COMPUTED_VALUE"""),"ANO")</f>
        <v>ANO</v>
      </c>
      <c r="B739" s="6" t="str">
        <f>IFERROR(__xludf.DUMMYFUNCTION("""COMPUTED_VALUE"""),"ENG")</f>
        <v>ENG</v>
      </c>
      <c r="C739" s="6" t="str">
        <f>IFERROR(__xludf.DUMMYFUNCTION("""COMPUTED_VALUE"""),"P-17361-00")</f>
        <v>P-17361-00</v>
      </c>
      <c r="D739" s="6" t="str">
        <f>IFERROR(__xludf.DUMMYFUNCTION("""COMPUTED_VALUE"""),"Oring EPDM 15x9x3 mm")</f>
        <v>Oring EPDM 15x9x3 mm</v>
      </c>
      <c r="E739" s="6">
        <f>IFERROR(__xludf.DUMMYFUNCTION("""COMPUTED_VALUE"""),2.0)</f>
        <v>2</v>
      </c>
      <c r="F739" s="6">
        <f>IFERROR(__xludf.DUMMYFUNCTION("""COMPUTED_VALUE"""),2.0)</f>
        <v>2</v>
      </c>
      <c r="G739" s="6">
        <f>IFERROR(__xludf.DUMMYFUNCTION("""COMPUTED_VALUE"""),0.0)</f>
        <v>0</v>
      </c>
      <c r="H739" s="6" t="str">
        <f>IFERROR(__xludf.DUMMYFUNCTION("""COMPUTED_VALUE"""),"pcs")</f>
        <v>pcs</v>
      </c>
      <c r="I739" s="6" t="str">
        <f>IFERROR(__xludf.DUMMYFUNCTION("""COMPUTED_VALUE"""),"MFH")</f>
        <v>MFH</v>
      </c>
      <c r="J739" s="6" t="str">
        <f>IFERROR(__xludf.DUMMYFUNCTION("""COMPUTED_VALUE"""),"Autoclave")</f>
        <v>Autoclave</v>
      </c>
      <c r="K739" s="6" t="str">
        <f>IFERROR(__xludf.DUMMYFUNCTION("""COMPUTED_VALUE"""),"SPR/03/24/026")</f>
        <v>SPR/03/24/026</v>
      </c>
      <c r="L739" s="13">
        <f>IFERROR(__xludf.DUMMYFUNCTION("""COMPUTED_VALUE"""),45370.0)</f>
        <v>45370</v>
      </c>
    </row>
    <row r="740">
      <c r="A740" s="6" t="str">
        <f>IFERROR(__xludf.DUMMYFUNCTION("""COMPUTED_VALUE"""),"SHF")</f>
        <v>SHF</v>
      </c>
      <c r="B740" s="6" t="str">
        <f>IFERROR(__xludf.DUMMYFUNCTION("""COMPUTED_VALUE"""),"ENG")</f>
        <v>ENG</v>
      </c>
      <c r="C740" s="6" t="str">
        <f>IFERROR(__xludf.DUMMYFUNCTION("""COMPUTED_VALUE"""),"T-80376-00")</f>
        <v>T-80376-00</v>
      </c>
      <c r="D740" s="6" t="str">
        <f>IFERROR(__xludf.DUMMYFUNCTION("""COMPUTED_VALUE"""),"Plakban Hitam 2 inch")</f>
        <v>Plakban Hitam 2 inch</v>
      </c>
      <c r="E740" s="6">
        <f>IFERROR(__xludf.DUMMYFUNCTION("""COMPUTED_VALUE"""),2.0)</f>
        <v>2</v>
      </c>
      <c r="F740" s="6">
        <f>IFERROR(__xludf.DUMMYFUNCTION("""COMPUTED_VALUE"""),2.0)</f>
        <v>2</v>
      </c>
      <c r="G740" s="6">
        <f>IFERROR(__xludf.DUMMYFUNCTION("""COMPUTED_VALUE"""),0.0)</f>
        <v>0</v>
      </c>
      <c r="H740" s="6" t="str">
        <f>IFERROR(__xludf.DUMMYFUNCTION("""COMPUTED_VALUE"""),"pcs")</f>
        <v>pcs</v>
      </c>
      <c r="I740" s="6" t="str">
        <f>IFERROR(__xludf.DUMMYFUNCTION("""COMPUTED_VALUE"""),"MFH")</f>
        <v>MFH</v>
      </c>
      <c r="J740" s="6" t="str">
        <f>IFERROR(__xludf.DUMMYFUNCTION("""COMPUTED_VALUE"""),"Building")</f>
        <v>Building</v>
      </c>
      <c r="K740" s="6" t="str">
        <f>IFERROR(__xludf.DUMMYFUNCTION("""COMPUTED_VALUE"""),"SPR/03/24/027")</f>
        <v>SPR/03/24/027</v>
      </c>
      <c r="L740" s="13">
        <f>IFERROR(__xludf.DUMMYFUNCTION("""COMPUTED_VALUE"""),45370.0)</f>
        <v>45370</v>
      </c>
    </row>
    <row r="741">
      <c r="A741" s="6" t="str">
        <f>IFERROR(__xludf.DUMMYFUNCTION("""COMPUTED_VALUE"""),"SHF")</f>
        <v>SHF</v>
      </c>
      <c r="B741" s="6" t="str">
        <f>IFERROR(__xludf.DUMMYFUNCTION("""COMPUTED_VALUE"""),"ENG")</f>
        <v>ENG</v>
      </c>
      <c r="C741" s="6" t="str">
        <f>IFERROR(__xludf.DUMMYFUNCTION("""COMPUTED_VALUE"""),"-")</f>
        <v>-</v>
      </c>
      <c r="D741" s="6" t="str">
        <f>IFERROR(__xludf.DUMMYFUNCTION("""COMPUTED_VALUE"""),"Philips SON 70W")</f>
        <v>Philips SON 70W</v>
      </c>
      <c r="E741" s="6">
        <f>IFERROR(__xludf.DUMMYFUNCTION("""COMPUTED_VALUE"""),1.0)</f>
        <v>1</v>
      </c>
      <c r="F741" s="6">
        <f>IFERROR(__xludf.DUMMYFUNCTION("""COMPUTED_VALUE"""),1.0)</f>
        <v>1</v>
      </c>
      <c r="G741" s="6">
        <f>IFERROR(__xludf.DUMMYFUNCTION("""COMPUTED_VALUE"""),0.0)</f>
        <v>0</v>
      </c>
      <c r="H741" s="6" t="str">
        <f>IFERROR(__xludf.DUMMYFUNCTION("""COMPUTED_VALUE"""),"pcs")</f>
        <v>pcs</v>
      </c>
      <c r="I741" s="6" t="str">
        <f>IFERROR(__xludf.DUMMYFUNCTION("""COMPUTED_VALUE"""),"MFH")</f>
        <v>MFH</v>
      </c>
      <c r="J741" s="6" t="str">
        <f>IFERROR(__xludf.DUMMYFUNCTION("""COMPUTED_VALUE"""),"Building")</f>
        <v>Building</v>
      </c>
      <c r="K741" s="6" t="str">
        <f>IFERROR(__xludf.DUMMYFUNCTION("""COMPUTED_VALUE"""),"SPR/03/24/027")</f>
        <v>SPR/03/24/027</v>
      </c>
      <c r="L741" s="13">
        <f>IFERROR(__xludf.DUMMYFUNCTION("""COMPUTED_VALUE"""),45370.0)</f>
        <v>45370</v>
      </c>
    </row>
    <row r="742">
      <c r="A742" s="6" t="str">
        <f>IFERROR(__xludf.DUMMYFUNCTION("""COMPUTED_VALUE"""),"SFH")</f>
        <v>SFH</v>
      </c>
      <c r="B742" s="6" t="str">
        <f>IFERROR(__xludf.DUMMYFUNCTION("""COMPUTED_VALUE"""),"ENG")</f>
        <v>ENG</v>
      </c>
      <c r="C742" s="6" t="str">
        <f>IFERROR(__xludf.DUMMYFUNCTION("""COMPUTED_VALUE"""),"-")</f>
        <v>-</v>
      </c>
      <c r="D742" s="6" t="str">
        <f>IFERROR(__xludf.DUMMYFUNCTION("""COMPUTED_VALUE"""),"Pylox buat")</f>
        <v>Pylox buat</v>
      </c>
      <c r="E742" s="6">
        <f>IFERROR(__xludf.DUMMYFUNCTION("""COMPUTED_VALUE"""),1.0)</f>
        <v>1</v>
      </c>
      <c r="F742" s="6">
        <f>IFERROR(__xludf.DUMMYFUNCTION("""COMPUTED_VALUE"""),1.0)</f>
        <v>1</v>
      </c>
      <c r="G742" s="6">
        <f>IFERROR(__xludf.DUMMYFUNCTION("""COMPUTED_VALUE"""),0.0)</f>
        <v>0</v>
      </c>
      <c r="H742" s="6" t="str">
        <f>IFERROR(__xludf.DUMMYFUNCTION("""COMPUTED_VALUE"""),"pcs")</f>
        <v>pcs</v>
      </c>
      <c r="I742" s="6" t="str">
        <f>IFERROR(__xludf.DUMMYFUNCTION("""COMPUTED_VALUE"""),"MFH")</f>
        <v>MFH</v>
      </c>
      <c r="J742" s="6" t="str">
        <f>IFERROR(__xludf.DUMMYFUNCTION("""COMPUTED_VALUE"""),"-")</f>
        <v>-</v>
      </c>
      <c r="K742" s="6" t="str">
        <f>IFERROR(__xludf.DUMMYFUNCTION("""COMPUTED_VALUE"""),"SPR/03/24/028")</f>
        <v>SPR/03/24/028</v>
      </c>
      <c r="L742" s="13">
        <f>IFERROR(__xludf.DUMMYFUNCTION("""COMPUTED_VALUE"""),45370.0)</f>
        <v>45370</v>
      </c>
    </row>
    <row r="743">
      <c r="A743" s="6" t="str">
        <f>IFERROR(__xludf.DUMMYFUNCTION("""COMPUTED_VALUE"""),"SFH")</f>
        <v>SFH</v>
      </c>
      <c r="B743" s="6" t="str">
        <f>IFERROR(__xludf.DUMMYFUNCTION("""COMPUTED_VALUE"""),"ENG")</f>
        <v>ENG</v>
      </c>
      <c r="C743" s="6" t="str">
        <f>IFERROR(__xludf.DUMMYFUNCTION("""COMPUTED_VALUE"""),"P-15852-00")</f>
        <v>P-15852-00</v>
      </c>
      <c r="D743" s="6" t="str">
        <f>IFERROR(__xludf.DUMMYFUNCTION("""COMPUTED_VALUE"""),"AMPLAS EAGLE 500")</f>
        <v>AMPLAS EAGLE 500</v>
      </c>
      <c r="E743" s="6">
        <f>IFERROR(__xludf.DUMMYFUNCTION("""COMPUTED_VALUE"""),3.0)</f>
        <v>3</v>
      </c>
      <c r="F743" s="6">
        <f>IFERROR(__xludf.DUMMYFUNCTION("""COMPUTED_VALUE"""),1.0)</f>
        <v>1</v>
      </c>
      <c r="G743" s="6">
        <f>IFERROR(__xludf.DUMMYFUNCTION("""COMPUTED_VALUE"""),0.0)</f>
        <v>0</v>
      </c>
      <c r="H743" s="6" t="str">
        <f>IFERROR(__xludf.DUMMYFUNCTION("""COMPUTED_VALUE"""),"pcs")</f>
        <v>pcs</v>
      </c>
      <c r="I743" s="6" t="str">
        <f>IFERROR(__xludf.DUMMYFUNCTION("""COMPUTED_VALUE"""),"MFH")</f>
        <v>MFH</v>
      </c>
      <c r="J743" s="6" t="str">
        <f>IFERROR(__xludf.DUMMYFUNCTION("""COMPUTED_VALUE"""),"-")</f>
        <v>-</v>
      </c>
      <c r="K743" s="6" t="str">
        <f>IFERROR(__xludf.DUMMYFUNCTION("""COMPUTED_VALUE"""),"SPR/03/24/028")</f>
        <v>SPR/03/24/028</v>
      </c>
      <c r="L743" s="13">
        <f>IFERROR(__xludf.DUMMYFUNCTION("""COMPUTED_VALUE"""),45370.0)</f>
        <v>45370</v>
      </c>
    </row>
    <row r="744">
      <c r="A744" s="6" t="str">
        <f>IFERROR(__xludf.DUMMYFUNCTION("""COMPUTED_VALUE"""),"ROS")</f>
        <v>ROS</v>
      </c>
      <c r="B744" s="6" t="str">
        <f>IFERROR(__xludf.DUMMYFUNCTION("""COMPUTED_VALUE"""),"ENG")</f>
        <v>ENG</v>
      </c>
      <c r="C744" s="6" t="str">
        <f>IFERROR(__xludf.DUMMYFUNCTION("""COMPUTED_VALUE"""),"O-16647-00")</f>
        <v>O-16647-00</v>
      </c>
      <c r="D744" s="6" t="str">
        <f>IFERROR(__xludf.DUMMYFUNCTION("""COMPUTED_VALUE"""),"Washing RAR4 - Oring Silicone Merah 23x18x2.5 mm; ; ;")</f>
        <v>Washing RAR4 - Oring Silicone Merah 23x18x2.5 mm; ; ;</v>
      </c>
      <c r="E744" s="6">
        <f>IFERROR(__xludf.DUMMYFUNCTION("""COMPUTED_VALUE"""),8.0)</f>
        <v>8</v>
      </c>
      <c r="F744" s="6">
        <f>IFERROR(__xludf.DUMMYFUNCTION("""COMPUTED_VALUE"""),8.0)</f>
        <v>8</v>
      </c>
      <c r="G744" s="6">
        <f>IFERROR(__xludf.DUMMYFUNCTION("""COMPUTED_VALUE"""),0.0)</f>
        <v>0</v>
      </c>
      <c r="H744" s="6" t="str">
        <f>IFERROR(__xludf.DUMMYFUNCTION("""COMPUTED_VALUE"""),"pcs")</f>
        <v>pcs</v>
      </c>
      <c r="I744" s="6" t="str">
        <f>IFERROR(__xludf.DUMMYFUNCTION("""COMPUTED_VALUE"""),"MFH")</f>
        <v>MFH</v>
      </c>
      <c r="J744" s="6" t="str">
        <f>IFERROR(__xludf.DUMMYFUNCTION("""COMPUTED_VALUE"""),"Capping")</f>
        <v>Capping</v>
      </c>
      <c r="K744" s="6" t="str">
        <f>IFERROR(__xludf.DUMMYFUNCTION("""COMPUTED_VALUE"""),"SPR/03/24/029")</f>
        <v>SPR/03/24/029</v>
      </c>
      <c r="L744" s="13">
        <f>IFERROR(__xludf.DUMMYFUNCTION("""COMPUTED_VALUE"""),45370.0)</f>
        <v>45370</v>
      </c>
    </row>
    <row r="745">
      <c r="A745" s="6" t="str">
        <f>IFERROR(__xludf.DUMMYFUNCTION("""COMPUTED_VALUE"""),"ROS")</f>
        <v>ROS</v>
      </c>
      <c r="B745" s="6" t="str">
        <f>IFERROR(__xludf.DUMMYFUNCTION("""COMPUTED_VALUE"""),"ENG")</f>
        <v>ENG</v>
      </c>
      <c r="C745" s="6" t="str">
        <f>IFERROR(__xludf.DUMMYFUNCTION("""COMPUTED_VALUE"""),"P-12433-00")</f>
        <v>P-12433-00</v>
      </c>
      <c r="D745" s="6" t="str">
        <f>IFERROR(__xludf.DUMMYFUNCTION("""COMPUTED_VALUE"""),"Isolasi AC- Sansui")</f>
        <v>Isolasi AC- Sansui</v>
      </c>
      <c r="E745" s="6">
        <f>IFERROR(__xludf.DUMMYFUNCTION("""COMPUTED_VALUE"""),2.0)</f>
        <v>2</v>
      </c>
      <c r="F745" s="6">
        <f>IFERROR(__xludf.DUMMYFUNCTION("""COMPUTED_VALUE"""),1.0)</f>
        <v>1</v>
      </c>
      <c r="G745" s="6">
        <f>IFERROR(__xludf.DUMMYFUNCTION("""COMPUTED_VALUE"""),0.0)</f>
        <v>0</v>
      </c>
      <c r="H745" s="6" t="str">
        <f>IFERROR(__xludf.DUMMYFUNCTION("""COMPUTED_VALUE"""),"pcs")</f>
        <v>pcs</v>
      </c>
      <c r="I745" s="6" t="str">
        <f>IFERROR(__xludf.DUMMYFUNCTION("""COMPUTED_VALUE"""),"MFH")</f>
        <v>MFH</v>
      </c>
      <c r="J745" s="6" t="str">
        <f>IFERROR(__xludf.DUMMYFUNCTION("""COMPUTED_VALUE"""),"FD")</f>
        <v>FD</v>
      </c>
      <c r="K745" s="6" t="str">
        <f>IFERROR(__xludf.DUMMYFUNCTION("""COMPUTED_VALUE"""),"SPR/03/24/029")</f>
        <v>SPR/03/24/029</v>
      </c>
      <c r="L745" s="13">
        <f>IFERROR(__xludf.DUMMYFUNCTION("""COMPUTED_VALUE"""),45370.0)</f>
        <v>45370</v>
      </c>
    </row>
    <row r="746">
      <c r="A746" s="6" t="str">
        <f>IFERROR(__xludf.DUMMYFUNCTION("""COMPUTED_VALUE"""),"ROS")</f>
        <v>ROS</v>
      </c>
      <c r="B746" s="6" t="str">
        <f>IFERROR(__xludf.DUMMYFUNCTION("""COMPUTED_VALUE"""),"ENG")</f>
        <v>ENG</v>
      </c>
      <c r="C746" s="6" t="str">
        <f>IFERROR(__xludf.DUMMYFUNCTION("""COMPUTED_VALUE"""),"Q-10249-00")</f>
        <v>Q-10249-00</v>
      </c>
      <c r="D746" s="6" t="str">
        <f>IFERROR(__xludf.DUMMYFUNCTION("""COMPUTED_VALUE"""),"Lem Power Glue")</f>
        <v>Lem Power Glue</v>
      </c>
      <c r="E746" s="6">
        <f>IFERROR(__xludf.DUMMYFUNCTION("""COMPUTED_VALUE"""),3.0)</f>
        <v>3</v>
      </c>
      <c r="F746" s="6">
        <f>IFERROR(__xludf.DUMMYFUNCTION("""COMPUTED_VALUE"""),1.0)</f>
        <v>1</v>
      </c>
      <c r="G746" s="6">
        <f>IFERROR(__xludf.DUMMYFUNCTION("""COMPUTED_VALUE"""),0.0)</f>
        <v>0</v>
      </c>
      <c r="H746" s="6" t="str">
        <f>IFERROR(__xludf.DUMMYFUNCTION("""COMPUTED_VALUE"""),"pcs")</f>
        <v>pcs</v>
      </c>
      <c r="I746" s="6" t="str">
        <f>IFERROR(__xludf.DUMMYFUNCTION("""COMPUTED_VALUE"""),"MFH")</f>
        <v>MFH</v>
      </c>
      <c r="J746" s="6" t="str">
        <f>IFERROR(__xludf.DUMMYFUNCTION("""COMPUTED_VALUE"""),"-")</f>
        <v>-</v>
      </c>
      <c r="K746" s="6" t="str">
        <f>IFERROR(__xludf.DUMMYFUNCTION("""COMPUTED_VALUE"""),"SPR/03/24/029")</f>
        <v>SPR/03/24/029</v>
      </c>
      <c r="L746" s="13">
        <f>IFERROR(__xludf.DUMMYFUNCTION("""COMPUTED_VALUE"""),45370.0)</f>
        <v>45370</v>
      </c>
    </row>
    <row r="747">
      <c r="A747" s="6" t="str">
        <f>IFERROR(__xludf.DUMMYFUNCTION("""COMPUTED_VALUE"""),"RIA")</f>
        <v>RIA</v>
      </c>
      <c r="B747" s="6" t="str">
        <f>IFERROR(__xludf.DUMMYFUNCTION("""COMPUTED_VALUE"""),"ENG")</f>
        <v>ENG</v>
      </c>
      <c r="C747" s="6" t="str">
        <f>IFERROR(__xludf.DUMMYFUNCTION("""COMPUTED_VALUE"""),"P-14899-00")</f>
        <v>P-14899-00</v>
      </c>
      <c r="D747" s="6" t="str">
        <f>IFERROR(__xludf.DUMMYFUNCTION("""COMPUTED_VALUE"""),"Electrode Set Ozone Generator; Ozonia MKIV; ;")</f>
        <v>Electrode Set Ozone Generator; Ozonia MKIV; ;</v>
      </c>
      <c r="E747" s="6">
        <f>IFERROR(__xludf.DUMMYFUNCTION("""COMPUTED_VALUE"""),1.0)</f>
        <v>1</v>
      </c>
      <c r="F747" s="6">
        <f>IFERROR(__xludf.DUMMYFUNCTION("""COMPUTED_VALUE"""),1.0)</f>
        <v>1</v>
      </c>
      <c r="G747" s="6">
        <f>IFERROR(__xludf.DUMMYFUNCTION("""COMPUTED_VALUE"""),0.0)</f>
        <v>0</v>
      </c>
      <c r="H747" s="6" t="str">
        <f>IFERROR(__xludf.DUMMYFUNCTION("""COMPUTED_VALUE"""),"pcs")</f>
        <v>pcs</v>
      </c>
      <c r="I747" s="6" t="str">
        <f>IFERROR(__xludf.DUMMYFUNCTION("""COMPUTED_VALUE"""),"MFH")</f>
        <v>MFH</v>
      </c>
      <c r="J747" s="6" t="str">
        <f>IFERROR(__xludf.DUMMYFUNCTION("""COMPUTED_VALUE"""),"PW SKID")</f>
        <v>PW SKID</v>
      </c>
      <c r="K747" s="6" t="str">
        <f>IFERROR(__xludf.DUMMYFUNCTION("""COMPUTED_VALUE"""),"SPR/03/24/030")</f>
        <v>SPR/03/24/030</v>
      </c>
      <c r="L747" s="13">
        <f>IFERROR(__xludf.DUMMYFUNCTION("""COMPUTED_VALUE"""),45370.0)</f>
        <v>45370</v>
      </c>
    </row>
    <row r="748">
      <c r="A748" s="6" t="str">
        <f>IFERROR(__xludf.DUMMYFUNCTION("""COMPUTED_VALUE"""),"AAA")</f>
        <v>AAA</v>
      </c>
      <c r="B748" s="6" t="str">
        <f>IFERROR(__xludf.DUMMYFUNCTION("""COMPUTED_VALUE"""),"ENG")</f>
        <v>ENG</v>
      </c>
      <c r="C748" s="6" t="str">
        <f>IFERROR(__xludf.DUMMYFUNCTION("""COMPUTED_VALUE"""),"S-40011-00")</f>
        <v>S-40011-00</v>
      </c>
      <c r="D748" s="6" t="str">
        <f>IFERROR(__xludf.DUMMYFUNCTION("""COMPUTED_VALUE"""),"Battery Lithium 3,6 V LS 14250, Shaft")</f>
        <v>Battery Lithium 3,6 V LS 14250, Shaft</v>
      </c>
      <c r="E748" s="6">
        <f>IFERROR(__xludf.DUMMYFUNCTION("""COMPUTED_VALUE"""),2.0)</f>
        <v>2</v>
      </c>
      <c r="F748" s="6">
        <f>IFERROR(__xludf.DUMMYFUNCTION("""COMPUTED_VALUE"""),2.0)</f>
        <v>2</v>
      </c>
      <c r="G748" s="6">
        <f>IFERROR(__xludf.DUMMYFUNCTION("""COMPUTED_VALUE"""),0.0)</f>
        <v>0</v>
      </c>
      <c r="H748" s="6" t="str">
        <f>IFERROR(__xludf.DUMMYFUNCTION("""COMPUTED_VALUE"""),"pcs")</f>
        <v>pcs</v>
      </c>
      <c r="I748" s="6" t="str">
        <f>IFERROR(__xludf.DUMMYFUNCTION("""COMPUTED_VALUE"""),"MFH")</f>
        <v>MFH</v>
      </c>
      <c r="J748" s="6" t="str">
        <f>IFERROR(__xludf.DUMMYFUNCTION("""COMPUTED_VALUE"""),"WI Incubator")</f>
        <v>WI Incubator</v>
      </c>
      <c r="K748" s="6" t="str">
        <f>IFERROR(__xludf.DUMMYFUNCTION("""COMPUTED_VALUE"""),"SPR/03/24/031")</f>
        <v>SPR/03/24/031</v>
      </c>
      <c r="L748" s="13">
        <f>IFERROR(__xludf.DUMMYFUNCTION("""COMPUTED_VALUE"""),45370.0)</f>
        <v>45370</v>
      </c>
    </row>
    <row r="749">
      <c r="A749" s="6" t="str">
        <f>IFERROR(__xludf.DUMMYFUNCTION("""COMPUTED_VALUE"""),"SFH")</f>
        <v>SFH</v>
      </c>
      <c r="B749" s="6" t="str">
        <f>IFERROR(__xludf.DUMMYFUNCTION("""COMPUTED_VALUE"""),"ENG")</f>
        <v>ENG</v>
      </c>
      <c r="C749" s="6" t="str">
        <f>IFERROR(__xludf.DUMMYFUNCTION("""COMPUTED_VALUE"""),"Q-10172-00")</f>
        <v>Q-10172-00</v>
      </c>
      <c r="D749" s="6" t="str">
        <f>IFERROR(__xludf.DUMMYFUNCTION("""COMPUTED_VALUE"""),"Polyfloor PFT-213 Light blue @ 20 KG")</f>
        <v>Polyfloor PFT-213 Light blue @ 20 KG</v>
      </c>
      <c r="E749" s="6">
        <f>IFERROR(__xludf.DUMMYFUNCTION("""COMPUTED_VALUE"""),1.0)</f>
        <v>1</v>
      </c>
      <c r="F749" s="6">
        <f>IFERROR(__xludf.DUMMYFUNCTION("""COMPUTED_VALUE"""),1.0)</f>
        <v>1</v>
      </c>
      <c r="G749" s="6">
        <f>IFERROR(__xludf.DUMMYFUNCTION("""COMPUTED_VALUE"""),0.0)</f>
        <v>0</v>
      </c>
      <c r="H749" s="6" t="str">
        <f>IFERROR(__xludf.DUMMYFUNCTION("""COMPUTED_VALUE"""),"pcs")</f>
        <v>pcs</v>
      </c>
      <c r="I749" s="6" t="str">
        <f>IFERROR(__xludf.DUMMYFUNCTION("""COMPUTED_VALUE"""),"MFH")</f>
        <v>MFH</v>
      </c>
      <c r="J749" s="6" t="str">
        <f>IFERROR(__xludf.DUMMYFUNCTION("""COMPUTED_VALUE"""),"Building")</f>
        <v>Building</v>
      </c>
      <c r="K749" s="6" t="str">
        <f>IFERROR(__xludf.DUMMYFUNCTION("""COMPUTED_VALUE"""),"SPR/03/24/032")</f>
        <v>SPR/03/24/032</v>
      </c>
      <c r="L749" s="13">
        <f>IFERROR(__xludf.DUMMYFUNCTION("""COMPUTED_VALUE"""),45370.0)</f>
        <v>45370</v>
      </c>
    </row>
    <row r="750">
      <c r="A750" s="6" t="str">
        <f>IFERROR(__xludf.DUMMYFUNCTION("""COMPUTED_VALUE"""),"INN")</f>
        <v>INN</v>
      </c>
      <c r="B750" s="6" t="str">
        <f>IFERROR(__xludf.DUMMYFUNCTION("""COMPUTED_VALUE"""),"ENG")</f>
        <v>ENG</v>
      </c>
      <c r="C750" s="6" t="str">
        <f>IFERROR(__xludf.DUMMYFUNCTION("""COMPUTED_VALUE"""),"O-54165-00")</f>
        <v>O-54165-00</v>
      </c>
      <c r="D750" s="6" t="str">
        <f>IFERROR(__xludf.DUMMYFUNCTION("""COMPUTED_VALUE"""),"Electronic Expansion Valve ESS2U; Parker; ;")</f>
        <v>Electronic Expansion Valve ESS2U; Parker; ;</v>
      </c>
      <c r="E750" s="6">
        <f>IFERROR(__xludf.DUMMYFUNCTION("""COMPUTED_VALUE"""),1.0)</f>
        <v>1</v>
      </c>
      <c r="F750" s="6">
        <f>IFERROR(__xludf.DUMMYFUNCTION("""COMPUTED_VALUE"""),1.0)</f>
        <v>1</v>
      </c>
      <c r="G750" s="6">
        <f>IFERROR(__xludf.DUMMYFUNCTION("""COMPUTED_VALUE"""),0.0)</f>
        <v>0</v>
      </c>
      <c r="H750" s="6" t="str">
        <f>IFERROR(__xludf.DUMMYFUNCTION("""COMPUTED_VALUE"""),"pcs")</f>
        <v>pcs</v>
      </c>
      <c r="I750" s="6" t="str">
        <f>IFERROR(__xludf.DUMMYFUNCTION("""COMPUTED_VALUE"""),"MFH")</f>
        <v>MFH</v>
      </c>
      <c r="J750" s="6" t="str">
        <f>IFERROR(__xludf.DUMMYFUNCTION("""COMPUTED_VALUE"""),"Mixing")</f>
        <v>Mixing</v>
      </c>
      <c r="K750" s="6" t="str">
        <f>IFERROR(__xludf.DUMMYFUNCTION("""COMPUTED_VALUE"""),"SPR/03/24/033")</f>
        <v>SPR/03/24/033</v>
      </c>
      <c r="L750" s="13">
        <f>IFERROR(__xludf.DUMMYFUNCTION("""COMPUTED_VALUE"""),45370.0)</f>
        <v>45370</v>
      </c>
    </row>
    <row r="751">
      <c r="A751" s="6" t="str">
        <f>IFERROR(__xludf.DUMMYFUNCTION("""COMPUTED_VALUE"""),"INN")</f>
        <v>INN</v>
      </c>
      <c r="B751" s="6" t="str">
        <f>IFERROR(__xludf.DUMMYFUNCTION("""COMPUTED_VALUE"""),"ENG")</f>
        <v>ENG</v>
      </c>
      <c r="C751" s="6" t="str">
        <f>IFERROR(__xludf.DUMMYFUNCTION("""COMPUTED_VALUE"""),"P-12994-00")</f>
        <v>P-12994-00</v>
      </c>
      <c r="D751" s="6" t="str">
        <f>IFERROR(__xludf.DUMMYFUNCTION("""COMPUTED_VALUE"""),"Nippon Tape - ASF-110FR")</f>
        <v>Nippon Tape - ASF-110FR</v>
      </c>
      <c r="E751" s="6">
        <f>IFERROR(__xludf.DUMMYFUNCTION("""COMPUTED_VALUE"""),1.0)</f>
        <v>1</v>
      </c>
      <c r="F751" s="6">
        <f>IFERROR(__xludf.DUMMYFUNCTION("""COMPUTED_VALUE"""),1.0)</f>
        <v>1</v>
      </c>
      <c r="G751" s="6">
        <f>IFERROR(__xludf.DUMMYFUNCTION("""COMPUTED_VALUE"""),0.0)</f>
        <v>0</v>
      </c>
      <c r="H751" s="6" t="str">
        <f>IFERROR(__xludf.DUMMYFUNCTION("""COMPUTED_VALUE"""),"pcs")</f>
        <v>pcs</v>
      </c>
      <c r="I751" s="6" t="str">
        <f>IFERROR(__xludf.DUMMYFUNCTION("""COMPUTED_VALUE"""),"MFH")</f>
        <v>MFH</v>
      </c>
      <c r="J751" s="6" t="str">
        <f>IFERROR(__xludf.DUMMYFUNCTION("""COMPUTED_VALUE"""),"Filling")</f>
        <v>Filling</v>
      </c>
      <c r="K751" s="6" t="str">
        <f>IFERROR(__xludf.DUMMYFUNCTION("""COMPUTED_VALUE"""),"SPR/03/24/033")</f>
        <v>SPR/03/24/033</v>
      </c>
      <c r="L751" s="13">
        <f>IFERROR(__xludf.DUMMYFUNCTION("""COMPUTED_VALUE"""),45370.0)</f>
        <v>45370</v>
      </c>
    </row>
    <row r="752">
      <c r="A752" s="6" t="str">
        <f>IFERROR(__xludf.DUMMYFUNCTION("""COMPUTED_VALUE"""),"INN")</f>
        <v>INN</v>
      </c>
      <c r="B752" s="6" t="str">
        <f>IFERROR(__xludf.DUMMYFUNCTION("""COMPUTED_VALUE"""),"ENG")</f>
        <v>ENG</v>
      </c>
      <c r="C752" s="6" t="str">
        <f>IFERROR(__xludf.DUMMYFUNCTION("""COMPUTED_VALUE"""),"O-19213-00")</f>
        <v>O-19213-00</v>
      </c>
      <c r="D752" s="6" t="str">
        <f>IFERROR(__xludf.DUMMYFUNCTION("""COMPUTED_VALUE"""),"Freeze Dryer MBE1207 - Orifice 04 for Expansi Valve TE5 067B2792; Danfoss; ;")</f>
        <v>Freeze Dryer MBE1207 - Orifice 04 for Expansi Valve TE5 067B2792; Danfoss; ;</v>
      </c>
      <c r="E752" s="6">
        <f>IFERROR(__xludf.DUMMYFUNCTION("""COMPUTED_VALUE"""),1.0)</f>
        <v>1</v>
      </c>
      <c r="F752" s="6">
        <f>IFERROR(__xludf.DUMMYFUNCTION("""COMPUTED_VALUE"""),1.0)</f>
        <v>1</v>
      </c>
      <c r="G752" s="6">
        <f>IFERROR(__xludf.DUMMYFUNCTION("""COMPUTED_VALUE"""),0.0)</f>
        <v>0</v>
      </c>
      <c r="H752" s="6" t="str">
        <f>IFERROR(__xludf.DUMMYFUNCTION("""COMPUTED_VALUE"""),"pcs")</f>
        <v>pcs</v>
      </c>
      <c r="I752" s="6" t="str">
        <f>IFERROR(__xludf.DUMMYFUNCTION("""COMPUTED_VALUE"""),"MFH")</f>
        <v>MFH</v>
      </c>
      <c r="J752" s="6" t="str">
        <f>IFERROR(__xludf.DUMMYFUNCTION("""COMPUTED_VALUE"""),"FD")</f>
        <v>FD</v>
      </c>
      <c r="K752" s="6" t="str">
        <f>IFERROR(__xludf.DUMMYFUNCTION("""COMPUTED_VALUE"""),"SPR/03/24/034")</f>
        <v>SPR/03/24/034</v>
      </c>
      <c r="L752" s="13">
        <f>IFERROR(__xludf.DUMMYFUNCTION("""COMPUTED_VALUE"""),45370.0)</f>
        <v>45370</v>
      </c>
    </row>
    <row r="753">
      <c r="A753" s="6" t="str">
        <f>IFERROR(__xludf.DUMMYFUNCTION("""COMPUTED_VALUE"""),"INN")</f>
        <v>INN</v>
      </c>
      <c r="B753" s="6" t="str">
        <f>IFERROR(__xludf.DUMMYFUNCTION("""COMPUTED_VALUE"""),"ENG")</f>
        <v>ENG</v>
      </c>
      <c r="C753" s="6" t="str">
        <f>IFERROR(__xludf.DUMMYFUNCTION("""COMPUTED_VALUE"""),"O-19214-00")</f>
        <v>O-19214-00</v>
      </c>
      <c r="D753" s="6" t="str">
        <f>IFERROR(__xludf.DUMMYFUNCTION("""COMPUTED_VALUE"""),"Freeze Dryer MBE1207 - Expansi Valve TE 5 067B3343 R404A/R507; Danfoss; ;")</f>
        <v>Freeze Dryer MBE1207 - Expansi Valve TE 5 067B3343 R404A/R507; Danfoss; ;</v>
      </c>
      <c r="E753" s="6">
        <f>IFERROR(__xludf.DUMMYFUNCTION("""COMPUTED_VALUE"""),1.0)</f>
        <v>1</v>
      </c>
      <c r="F753" s="6">
        <f>IFERROR(__xludf.DUMMYFUNCTION("""COMPUTED_VALUE"""),1.0)</f>
        <v>1</v>
      </c>
      <c r="G753" s="6">
        <f>IFERROR(__xludf.DUMMYFUNCTION("""COMPUTED_VALUE"""),0.0)</f>
        <v>0</v>
      </c>
      <c r="H753" s="6" t="str">
        <f>IFERROR(__xludf.DUMMYFUNCTION("""COMPUTED_VALUE"""),"pcs")</f>
        <v>pcs</v>
      </c>
      <c r="I753" s="6" t="str">
        <f>IFERROR(__xludf.DUMMYFUNCTION("""COMPUTED_VALUE"""),"MFH")</f>
        <v>MFH</v>
      </c>
      <c r="J753" s="6" t="str">
        <f>IFERROR(__xludf.DUMMYFUNCTION("""COMPUTED_VALUE"""),"FD")</f>
        <v>FD</v>
      </c>
      <c r="K753" s="6" t="str">
        <f>IFERROR(__xludf.DUMMYFUNCTION("""COMPUTED_VALUE"""),"SPR/03/24/034")</f>
        <v>SPR/03/24/034</v>
      </c>
      <c r="L753" s="13">
        <f>IFERROR(__xludf.DUMMYFUNCTION("""COMPUTED_VALUE"""),45370.0)</f>
        <v>45370</v>
      </c>
    </row>
    <row r="754">
      <c r="A754" s="6" t="str">
        <f>IFERROR(__xludf.DUMMYFUNCTION("""COMPUTED_VALUE"""),"INN")</f>
        <v>INN</v>
      </c>
      <c r="B754" s="6" t="str">
        <f>IFERROR(__xludf.DUMMYFUNCTION("""COMPUTED_VALUE"""),"ENG")</f>
        <v>ENG</v>
      </c>
      <c r="C754" s="6" t="str">
        <f>IFERROR(__xludf.DUMMYFUNCTION("""COMPUTED_VALUE"""),"O-18125-00")</f>
        <v>O-18125-00</v>
      </c>
      <c r="D754" s="6" t="str">
        <f>IFERROR(__xludf.DUMMYFUNCTION("""COMPUTED_VALUE"""),"Mixing Tank Adam - USM T60 Male Bearing Pin 20mm Silicon Carbide, G20-008; ; ;")</f>
        <v>Mixing Tank Adam - USM T60 Male Bearing Pin 20mm Silicon Carbide, G20-008; ; ;</v>
      </c>
      <c r="E754" s="6">
        <f>IFERROR(__xludf.DUMMYFUNCTION("""COMPUTED_VALUE"""),1.0)</f>
        <v>1</v>
      </c>
      <c r="F754" s="6">
        <f>IFERROR(__xludf.DUMMYFUNCTION("""COMPUTED_VALUE"""),1.0)</f>
        <v>1</v>
      </c>
      <c r="G754" s="6">
        <f>IFERROR(__xludf.DUMMYFUNCTION("""COMPUTED_VALUE"""),0.0)</f>
        <v>0</v>
      </c>
      <c r="H754" s="6" t="str">
        <f>IFERROR(__xludf.DUMMYFUNCTION("""COMPUTED_VALUE"""),"pcs")</f>
        <v>pcs</v>
      </c>
      <c r="I754" s="6" t="str">
        <f>IFERROR(__xludf.DUMMYFUNCTION("""COMPUTED_VALUE"""),"MFH")</f>
        <v>MFH</v>
      </c>
      <c r="J754" s="6" t="str">
        <f>IFERROR(__xludf.DUMMYFUNCTION("""COMPUTED_VALUE"""),"Mixing")</f>
        <v>Mixing</v>
      </c>
      <c r="K754" s="6" t="str">
        <f>IFERROR(__xludf.DUMMYFUNCTION("""COMPUTED_VALUE"""),"SPR/03/24/034")</f>
        <v>SPR/03/24/034</v>
      </c>
      <c r="L754" s="13">
        <f>IFERROR(__xludf.DUMMYFUNCTION("""COMPUTED_VALUE"""),45370.0)</f>
        <v>45370</v>
      </c>
    </row>
    <row r="755">
      <c r="A755" s="6" t="str">
        <f>IFERROR(__xludf.DUMMYFUNCTION("""COMPUTED_VALUE"""),"ROS")</f>
        <v>ROS</v>
      </c>
      <c r="B755" s="6" t="str">
        <f>IFERROR(__xludf.DUMMYFUNCTION("""COMPUTED_VALUE"""),"ENG")</f>
        <v>ENG</v>
      </c>
      <c r="C755" s="6" t="str">
        <f>IFERROR(__xludf.DUMMYFUNCTION("""COMPUTED_VALUE"""),"P-13383-00")</f>
        <v>P-13383-00</v>
      </c>
      <c r="D755" s="6" t="str">
        <f>IFERROR(__xludf.DUMMYFUNCTION("""COMPUTED_VALUE"""),"Silicone Sealant High Temp Red; ; ;")</f>
        <v>Silicone Sealant High Temp Red; ; ;</v>
      </c>
      <c r="E755" s="6">
        <f>IFERROR(__xludf.DUMMYFUNCTION("""COMPUTED_VALUE"""),1.0)</f>
        <v>1</v>
      </c>
      <c r="F755" s="6">
        <f>IFERROR(__xludf.DUMMYFUNCTION("""COMPUTED_VALUE"""),1.0)</f>
        <v>1</v>
      </c>
      <c r="G755" s="6">
        <f>IFERROR(__xludf.DUMMYFUNCTION("""COMPUTED_VALUE"""),0.0)</f>
        <v>0</v>
      </c>
      <c r="H755" s="6" t="str">
        <f>IFERROR(__xludf.DUMMYFUNCTION("""COMPUTED_VALUE"""),"pcs")</f>
        <v>pcs</v>
      </c>
      <c r="I755" s="6" t="str">
        <f>IFERROR(__xludf.DUMMYFUNCTION("""COMPUTED_VALUE"""),"MFH")</f>
        <v>MFH</v>
      </c>
      <c r="J755" s="6" t="str">
        <f>IFERROR(__xludf.DUMMYFUNCTION("""COMPUTED_VALUE"""),"HPLC")</f>
        <v>HPLC</v>
      </c>
      <c r="K755" s="6" t="str">
        <f>IFERROR(__xludf.DUMMYFUNCTION("""COMPUTED_VALUE"""),"SPR/03/24/035")</f>
        <v>SPR/03/24/035</v>
      </c>
      <c r="L755" s="13">
        <f>IFERROR(__xludf.DUMMYFUNCTION("""COMPUTED_VALUE"""),45370.0)</f>
        <v>45370</v>
      </c>
    </row>
    <row r="756">
      <c r="A756" s="6" t="str">
        <f>IFERROR(__xludf.DUMMYFUNCTION("""COMPUTED_VALUE"""),"NDS")</f>
        <v>NDS</v>
      </c>
      <c r="B756" s="6" t="str">
        <f>IFERROR(__xludf.DUMMYFUNCTION("""COMPUTED_VALUE"""),"ENG")</f>
        <v>ENG</v>
      </c>
      <c r="C756" s="6" t="str">
        <f>IFERROR(__xludf.DUMMYFUNCTION("""COMPUTED_VALUE"""),"O-19429-00")</f>
        <v>O-19429-00</v>
      </c>
      <c r="D756" s="6" t="str">
        <f>IFERROR(__xludf.DUMMYFUNCTION("""COMPUTED_VALUE"""),"Baut SS L M4 x 10 mm + Mur + Ring; ; ;; ; ;; ; ;")</f>
        <v>Baut SS L M4 x 10 mm + Mur + Ring; ; ;; ; ;; ; ;</v>
      </c>
      <c r="E756" s="6">
        <f>IFERROR(__xludf.DUMMYFUNCTION("""COMPUTED_VALUE"""),5.0)</f>
        <v>5</v>
      </c>
      <c r="F756" s="6">
        <f>IFERROR(__xludf.DUMMYFUNCTION("""COMPUTED_VALUE"""),2.0)</f>
        <v>2</v>
      </c>
      <c r="G756" s="6">
        <f>IFERROR(__xludf.DUMMYFUNCTION("""COMPUTED_VALUE"""),0.0)</f>
        <v>0</v>
      </c>
      <c r="H756" s="6" t="str">
        <f>IFERROR(__xludf.DUMMYFUNCTION("""COMPUTED_VALUE"""),"pcs")</f>
        <v>pcs</v>
      </c>
      <c r="I756" s="6" t="str">
        <f>IFERROR(__xludf.DUMMYFUNCTION("""COMPUTED_VALUE"""),"MFH")</f>
        <v>MFH</v>
      </c>
      <c r="J756" s="6" t="str">
        <f>IFERROR(__xludf.DUMMYFUNCTION("""COMPUTED_VALUE"""),"EDM")</f>
        <v>EDM</v>
      </c>
      <c r="K756" s="6" t="str">
        <f>IFERROR(__xludf.DUMMYFUNCTION("""COMPUTED_VALUE"""),"SPR/04/24/001")</f>
        <v>SPR/04/24/001</v>
      </c>
      <c r="L756" s="13">
        <f>IFERROR(__xludf.DUMMYFUNCTION("""COMPUTED_VALUE"""),45412.0)</f>
        <v>45412</v>
      </c>
    </row>
    <row r="757">
      <c r="A757" s="6" t="str">
        <f>IFERROR(__xludf.DUMMYFUNCTION("""COMPUTED_VALUE"""),"NDS")</f>
        <v>NDS</v>
      </c>
      <c r="B757" s="6" t="str">
        <f>IFERROR(__xludf.DUMMYFUNCTION("""COMPUTED_VALUE"""),"ENG")</f>
        <v>ENG</v>
      </c>
      <c r="C757" s="6" t="str">
        <f>IFERROR(__xludf.DUMMYFUNCTION("""COMPUTED_VALUE"""),"O-19430-00")</f>
        <v>O-19430-00</v>
      </c>
      <c r="D757" s="6" t="str">
        <f>IFERROR(__xludf.DUMMYFUNCTION("""COMPUTED_VALUE"""),"Baut SS L M5 x 20 mm + Mur + Ring; ; ;; ; ;; ; ;")</f>
        <v>Baut SS L M5 x 20 mm + Mur + Ring; ; ;; ; ;; ; ;</v>
      </c>
      <c r="E757" s="6">
        <f>IFERROR(__xludf.DUMMYFUNCTION("""COMPUTED_VALUE"""),25.0)</f>
        <v>25</v>
      </c>
      <c r="F757" s="6">
        <f>IFERROR(__xludf.DUMMYFUNCTION("""COMPUTED_VALUE"""),1.0)</f>
        <v>1</v>
      </c>
      <c r="G757" s="6">
        <f>IFERROR(__xludf.DUMMYFUNCTION("""COMPUTED_VALUE"""),0.0)</f>
        <v>0</v>
      </c>
      <c r="H757" s="6" t="str">
        <f>IFERROR(__xludf.DUMMYFUNCTION("""COMPUTED_VALUE"""),"pcs")</f>
        <v>pcs</v>
      </c>
      <c r="I757" s="6" t="str">
        <f>IFERROR(__xludf.DUMMYFUNCTION("""COMPUTED_VALUE"""),"MFH")</f>
        <v>MFH</v>
      </c>
      <c r="J757" s="6" t="str">
        <f>IFERROR(__xludf.DUMMYFUNCTION("""COMPUTED_VALUE"""),"EDM")</f>
        <v>EDM</v>
      </c>
      <c r="K757" s="6" t="str">
        <f>IFERROR(__xludf.DUMMYFUNCTION("""COMPUTED_VALUE"""),"SPR/04/24/001")</f>
        <v>SPR/04/24/001</v>
      </c>
      <c r="L757" s="13">
        <f>IFERROR(__xludf.DUMMYFUNCTION("""COMPUTED_VALUE"""),45412.0)</f>
        <v>45412</v>
      </c>
    </row>
    <row r="758">
      <c r="A758" s="6" t="str">
        <f>IFERROR(__xludf.DUMMYFUNCTION("""COMPUTED_VALUE"""),"MRN")</f>
        <v>MRN</v>
      </c>
      <c r="B758" s="6" t="str">
        <f>IFERROR(__xludf.DUMMYFUNCTION("""COMPUTED_VALUE"""),"ENG")</f>
        <v>ENG</v>
      </c>
      <c r="C758" s="6" t="str">
        <f>IFERROR(__xludf.DUMMYFUNCTION("""COMPUTED_VALUE"""),"Q-10305-00")</f>
        <v>Q-10305-00</v>
      </c>
      <c r="D758" s="6" t="str">
        <f>IFERROR(__xludf.DUMMYFUNCTION("""COMPUTED_VALUE"""),"Raven Door Seal (balon) RP48 Brown/White 50mtr x 2; ; ;")</f>
        <v>Raven Door Seal (balon) RP48 Brown/White 50mtr x 2; ; ;</v>
      </c>
      <c r="E758" s="6">
        <f>IFERROR(__xludf.DUMMYFUNCTION("""COMPUTED_VALUE"""),1.0)</f>
        <v>1</v>
      </c>
      <c r="F758" s="6">
        <f>IFERROR(__xludf.DUMMYFUNCTION("""COMPUTED_VALUE"""),1.0)</f>
        <v>1</v>
      </c>
      <c r="G758" s="6">
        <f>IFERROR(__xludf.DUMMYFUNCTION("""COMPUTED_VALUE"""),0.0)</f>
        <v>0</v>
      </c>
      <c r="H758" s="6" t="str">
        <f>IFERROR(__xludf.DUMMYFUNCTION("""COMPUTED_VALUE"""),"Roll")</f>
        <v>Roll</v>
      </c>
      <c r="I758" s="6" t="str">
        <f>IFERROR(__xludf.DUMMYFUNCTION("""COMPUTED_VALUE"""),"MFH")</f>
        <v>MFH</v>
      </c>
      <c r="J758" s="6" t="str">
        <f>IFERROR(__xludf.DUMMYFUNCTION("""COMPUTED_VALUE"""),"Building")</f>
        <v>Building</v>
      </c>
      <c r="K758" s="6" t="str">
        <f>IFERROR(__xludf.DUMMYFUNCTION("""COMPUTED_VALUE"""),"SPR/04/24/002")</f>
        <v>SPR/04/24/002</v>
      </c>
      <c r="L758" s="13">
        <f>IFERROR(__xludf.DUMMYFUNCTION("""COMPUTED_VALUE"""),45412.0)</f>
        <v>45412</v>
      </c>
    </row>
    <row r="759">
      <c r="A759" s="6" t="str">
        <f>IFERROR(__xludf.DUMMYFUNCTION("""COMPUTED_VALUE"""),"INN")</f>
        <v>INN</v>
      </c>
      <c r="B759" s="6" t="str">
        <f>IFERROR(__xludf.DUMMYFUNCTION("""COMPUTED_VALUE"""),"ENG")</f>
        <v>ENG</v>
      </c>
      <c r="C759" s="6" t="str">
        <f>IFERROR(__xludf.DUMMYFUNCTION("""COMPUTED_VALUE"""),"O-19686-00")</f>
        <v>O-19686-00</v>
      </c>
      <c r="D759" s="6" t="str">
        <f>IFERROR(__xludf.DUMMYFUNCTION("""COMPUTED_VALUE"""),"Rubber Coupling HRC")</f>
        <v>Rubber Coupling HRC</v>
      </c>
      <c r="E759" s="6">
        <f>IFERROR(__xludf.DUMMYFUNCTION("""COMPUTED_VALUE"""),2.0)</f>
        <v>2</v>
      </c>
      <c r="F759" s="6">
        <f>IFERROR(__xludf.DUMMYFUNCTION("""COMPUTED_VALUE"""),2.0)</f>
        <v>2</v>
      </c>
      <c r="G759" s="6">
        <f>IFERROR(__xludf.DUMMYFUNCTION("""COMPUTED_VALUE"""),0.0)</f>
        <v>0</v>
      </c>
      <c r="H759" s="6" t="str">
        <f>IFERROR(__xludf.DUMMYFUNCTION("""COMPUTED_VALUE"""),"pcs")</f>
        <v>pcs</v>
      </c>
      <c r="I759" s="6" t="str">
        <f>IFERROR(__xludf.DUMMYFUNCTION("""COMPUTED_VALUE"""),"MFH")</f>
        <v>MFH</v>
      </c>
      <c r="J759" s="6" t="str">
        <f>IFERROR(__xludf.DUMMYFUNCTION("""COMPUTED_VALUE"""),"FD")</f>
        <v>FD</v>
      </c>
      <c r="K759" s="6" t="str">
        <f>IFERROR(__xludf.DUMMYFUNCTION("""COMPUTED_VALUE"""),"SPR/04/24/003")</f>
        <v>SPR/04/24/003</v>
      </c>
      <c r="L759" s="13">
        <f>IFERROR(__xludf.DUMMYFUNCTION("""COMPUTED_VALUE"""),45412.0)</f>
        <v>45412</v>
      </c>
    </row>
    <row r="760">
      <c r="A760" s="6" t="str">
        <f>IFERROR(__xludf.DUMMYFUNCTION("""COMPUTED_VALUE"""),"INN")</f>
        <v>INN</v>
      </c>
      <c r="B760" s="6" t="str">
        <f>IFERROR(__xludf.DUMMYFUNCTION("""COMPUTED_VALUE"""),"ENG")</f>
        <v>ENG</v>
      </c>
      <c r="C760" s="6" t="str">
        <f>IFERROR(__xludf.DUMMYFUNCTION("""COMPUTED_VALUE"""),"O-19687-00")</f>
        <v>O-19687-00</v>
      </c>
      <c r="D760" s="6" t="str">
        <f>IFERROR(__xludf.DUMMYFUNCTION("""COMPUTED_VALUE"""),"Tapper Bush Uk. 1108x16 mm")</f>
        <v>Tapper Bush Uk. 1108x16 mm</v>
      </c>
      <c r="E760" s="6">
        <f>IFERROR(__xludf.DUMMYFUNCTION("""COMPUTED_VALUE"""),2.0)</f>
        <v>2</v>
      </c>
      <c r="F760" s="6">
        <f>IFERROR(__xludf.DUMMYFUNCTION("""COMPUTED_VALUE"""),2.0)</f>
        <v>2</v>
      </c>
      <c r="G760" s="6">
        <f>IFERROR(__xludf.DUMMYFUNCTION("""COMPUTED_VALUE"""),0.0)</f>
        <v>0</v>
      </c>
      <c r="H760" s="6" t="str">
        <f>IFERROR(__xludf.DUMMYFUNCTION("""COMPUTED_VALUE"""),"pcs")</f>
        <v>pcs</v>
      </c>
      <c r="I760" s="6" t="str">
        <f>IFERROR(__xludf.DUMMYFUNCTION("""COMPUTED_VALUE"""),"MFH")</f>
        <v>MFH</v>
      </c>
      <c r="J760" s="6" t="str">
        <f>IFERROR(__xludf.DUMMYFUNCTION("""COMPUTED_VALUE"""),"FD")</f>
        <v>FD</v>
      </c>
      <c r="K760" s="6" t="str">
        <f>IFERROR(__xludf.DUMMYFUNCTION("""COMPUTED_VALUE"""),"SPR/04/24/003")</f>
        <v>SPR/04/24/003</v>
      </c>
      <c r="L760" s="13">
        <f>IFERROR(__xludf.DUMMYFUNCTION("""COMPUTED_VALUE"""),45412.0)</f>
        <v>45412</v>
      </c>
    </row>
    <row r="761">
      <c r="A761" s="6" t="str">
        <f>IFERROR(__xludf.DUMMYFUNCTION("""COMPUTED_VALUE"""),"INN")</f>
        <v>INN</v>
      </c>
      <c r="B761" s="6" t="str">
        <f>IFERROR(__xludf.DUMMYFUNCTION("""COMPUTED_VALUE"""),"ENG")</f>
        <v>ENG</v>
      </c>
      <c r="C761" s="6" t="str">
        <f>IFERROR(__xludf.DUMMYFUNCTION("""COMPUTED_VALUE"""),"O-19685-00")</f>
        <v>O-19685-00</v>
      </c>
      <c r="D761" s="6" t="str">
        <f>IFERROR(__xludf.DUMMYFUNCTION("""COMPUTED_VALUE"""),"Coupling HRC Complete")</f>
        <v>Coupling HRC Complete</v>
      </c>
      <c r="E761" s="6">
        <f>IFERROR(__xludf.DUMMYFUNCTION("""COMPUTED_VALUE"""),1.0)</f>
        <v>1</v>
      </c>
      <c r="F761" s="6">
        <f>IFERROR(__xludf.DUMMYFUNCTION("""COMPUTED_VALUE"""),1.0)</f>
        <v>1</v>
      </c>
      <c r="G761" s="6">
        <f>IFERROR(__xludf.DUMMYFUNCTION("""COMPUTED_VALUE"""),0.0)</f>
        <v>0</v>
      </c>
      <c r="H761" s="6" t="str">
        <f>IFERROR(__xludf.DUMMYFUNCTION("""COMPUTED_VALUE"""),"pcs")</f>
        <v>pcs</v>
      </c>
      <c r="I761" s="6" t="str">
        <f>IFERROR(__xludf.DUMMYFUNCTION("""COMPUTED_VALUE"""),"MFH")</f>
        <v>MFH</v>
      </c>
      <c r="J761" s="6" t="str">
        <f>IFERROR(__xludf.DUMMYFUNCTION("""COMPUTED_VALUE"""),"FD")</f>
        <v>FD</v>
      </c>
      <c r="K761" s="6" t="str">
        <f>IFERROR(__xludf.DUMMYFUNCTION("""COMPUTED_VALUE"""),"SPR/04/24/003")</f>
        <v>SPR/04/24/003</v>
      </c>
      <c r="L761" s="13">
        <f>IFERROR(__xludf.DUMMYFUNCTION("""COMPUTED_VALUE"""),45412.0)</f>
        <v>45412</v>
      </c>
    </row>
    <row r="762">
      <c r="A762" s="6" t="str">
        <f>IFERROR(__xludf.DUMMYFUNCTION("""COMPUTED_VALUE"""),"AAA")</f>
        <v>AAA</v>
      </c>
      <c r="B762" s="6" t="str">
        <f>IFERROR(__xludf.DUMMYFUNCTION("""COMPUTED_VALUE"""),"ENG")</f>
        <v>ENG</v>
      </c>
      <c r="C762" s="6" t="str">
        <f>IFERROR(__xludf.DUMMYFUNCTION("""COMPUTED_VALUE"""),"T-25417-00")</f>
        <v>T-25417-00</v>
      </c>
      <c r="D762" s="6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E762" s="6">
        <f>IFERROR(__xludf.DUMMYFUNCTION("""COMPUTED_VALUE"""),1.0)</f>
        <v>1</v>
      </c>
      <c r="F762" s="6">
        <f>IFERROR(__xludf.DUMMYFUNCTION("""COMPUTED_VALUE"""),1.0)</f>
        <v>1</v>
      </c>
      <c r="G762" s="6">
        <f>IFERROR(__xludf.DUMMYFUNCTION("""COMPUTED_VALUE"""),0.0)</f>
        <v>0</v>
      </c>
      <c r="H762" s="6" t="str">
        <f>IFERROR(__xludf.DUMMYFUNCTION("""COMPUTED_VALUE"""),"pcs")</f>
        <v>pcs</v>
      </c>
      <c r="I762" s="6" t="str">
        <f>IFERROR(__xludf.DUMMYFUNCTION("""COMPUTED_VALUE"""),"MFH")</f>
        <v>MFH</v>
      </c>
      <c r="J762" s="6" t="str">
        <f>IFERROR(__xludf.DUMMYFUNCTION("""COMPUTED_VALUE"""),"Lab")</f>
        <v>Lab</v>
      </c>
      <c r="K762" s="6" t="str">
        <f>IFERROR(__xludf.DUMMYFUNCTION("""COMPUTED_VALUE"""),"SPR/04/24/004")</f>
        <v>SPR/04/24/004</v>
      </c>
      <c r="L762" s="13">
        <f>IFERROR(__xludf.DUMMYFUNCTION("""COMPUTED_VALUE"""),45412.0)</f>
        <v>45412</v>
      </c>
    </row>
    <row r="763">
      <c r="A763" s="6" t="str">
        <f>IFERROR(__xludf.DUMMYFUNCTION("""COMPUTED_VALUE"""),"AAA")</f>
        <v>AAA</v>
      </c>
      <c r="B763" s="6" t="str">
        <f>IFERROR(__xludf.DUMMYFUNCTION("""COMPUTED_VALUE"""),"ENG")</f>
        <v>ENG</v>
      </c>
      <c r="C763" s="6" t="str">
        <f>IFERROR(__xludf.DUMMYFUNCTION("""COMPUTED_VALUE"""),"S-40851-00")</f>
        <v>S-40851-00</v>
      </c>
      <c r="D763" s="6" t="str">
        <f>IFERROR(__xludf.DUMMYFUNCTION("""COMPUTED_VALUE"""),"Flashdisk 4GB; Sandisk; ;")</f>
        <v>Flashdisk 4GB; Sandisk; ;</v>
      </c>
      <c r="E763" s="6">
        <f>IFERROR(__xludf.DUMMYFUNCTION("""COMPUTED_VALUE"""),1.0)</f>
        <v>1</v>
      </c>
      <c r="F763" s="6">
        <f>IFERROR(__xludf.DUMMYFUNCTION("""COMPUTED_VALUE"""),1.0)</f>
        <v>1</v>
      </c>
      <c r="G763" s="6">
        <f>IFERROR(__xludf.DUMMYFUNCTION("""COMPUTED_VALUE"""),0.0)</f>
        <v>0</v>
      </c>
      <c r="H763" s="6" t="str">
        <f>IFERROR(__xludf.DUMMYFUNCTION("""COMPUTED_VALUE"""),"pcs")</f>
        <v>pcs</v>
      </c>
      <c r="I763" s="6" t="str">
        <f>IFERROR(__xludf.DUMMYFUNCTION("""COMPUTED_VALUE"""),"MFH")</f>
        <v>MFH</v>
      </c>
      <c r="J763" s="6" t="str">
        <f>IFERROR(__xludf.DUMMYFUNCTION("""COMPUTED_VALUE"""),"Bootable Ghost")</f>
        <v>Bootable Ghost</v>
      </c>
      <c r="K763" s="6" t="str">
        <f>IFERROR(__xludf.DUMMYFUNCTION("""COMPUTED_VALUE"""),"SPR/04/24/004")</f>
        <v>SPR/04/24/004</v>
      </c>
      <c r="L763" s="13">
        <f>IFERROR(__xludf.DUMMYFUNCTION("""COMPUTED_VALUE"""),45412.0)</f>
        <v>45412</v>
      </c>
    </row>
    <row r="764">
      <c r="A764" s="6" t="str">
        <f>IFERROR(__xludf.DUMMYFUNCTION("""COMPUTED_VALUE"""),"NDS")</f>
        <v>NDS</v>
      </c>
      <c r="B764" s="6" t="str">
        <f>IFERROR(__xludf.DUMMYFUNCTION("""COMPUTED_VALUE"""),"ENG")</f>
        <v>ENG</v>
      </c>
      <c r="C764" s="6" t="str">
        <f>IFERROR(__xludf.DUMMYFUNCTION("""COMPUTED_VALUE"""),"-")</f>
        <v>-</v>
      </c>
      <c r="D764" s="6" t="str">
        <f>IFERROR(__xludf.DUMMYFUNCTION("""COMPUTED_VALUE"""),"Saklar Switch On Off DC 12V Lampu Merah")</f>
        <v>Saklar Switch On Off DC 12V Lampu Merah</v>
      </c>
      <c r="E764" s="6">
        <f>IFERROR(__xludf.DUMMYFUNCTION("""COMPUTED_VALUE"""),1.0)</f>
        <v>1</v>
      </c>
      <c r="F764" s="6">
        <f>IFERROR(__xludf.DUMMYFUNCTION("""COMPUTED_VALUE"""),1.0)</f>
        <v>1</v>
      </c>
      <c r="G764" s="6">
        <f>IFERROR(__xludf.DUMMYFUNCTION("""COMPUTED_VALUE"""),0.0)</f>
        <v>0</v>
      </c>
      <c r="H764" s="6" t="str">
        <f>IFERROR(__xludf.DUMMYFUNCTION("""COMPUTED_VALUE"""),"pcs")</f>
        <v>pcs</v>
      </c>
      <c r="I764" s="6" t="str">
        <f>IFERROR(__xludf.DUMMYFUNCTION("""COMPUTED_VALUE"""),"MFH")</f>
        <v>MFH</v>
      </c>
      <c r="J764" s="6" t="str">
        <f>IFERROR(__xludf.DUMMYFUNCTION("""COMPUTED_VALUE"""),"Meja Inspection")</f>
        <v>Meja Inspection</v>
      </c>
      <c r="K764" s="6" t="str">
        <f>IFERROR(__xludf.DUMMYFUNCTION("""COMPUTED_VALUE"""),"SPR/04/24/005")</f>
        <v>SPR/04/24/005</v>
      </c>
      <c r="L764" s="13">
        <f>IFERROR(__xludf.DUMMYFUNCTION("""COMPUTED_VALUE"""),45412.0)</f>
        <v>45412</v>
      </c>
    </row>
    <row r="765">
      <c r="A765" s="6" t="str">
        <f>IFERROR(__xludf.DUMMYFUNCTION("""COMPUTED_VALUE"""),"NDS")</f>
        <v>NDS</v>
      </c>
      <c r="B765" s="6" t="str">
        <f>IFERROR(__xludf.DUMMYFUNCTION("""COMPUTED_VALUE"""),"ENG")</f>
        <v>ENG</v>
      </c>
      <c r="C765" s="6" t="str">
        <f>IFERROR(__xludf.DUMMYFUNCTION("""COMPUTED_VALUE"""),"Q-60503-00")</f>
        <v>Q-60503-00</v>
      </c>
      <c r="D765" s="6" t="str">
        <f>IFERROR(__xludf.DUMMYFUNCTION("""COMPUTED_VALUE"""),"Silicone Sealant, Silglaze, Type N10 Grey, pack size per pcs")</f>
        <v>Silicone Sealant, Silglaze, Type N10 Grey, pack size per pcs</v>
      </c>
      <c r="E765" s="6">
        <f>IFERROR(__xludf.DUMMYFUNCTION("""COMPUTED_VALUE"""),1.0)</f>
        <v>1</v>
      </c>
      <c r="F765" s="6">
        <f>IFERROR(__xludf.DUMMYFUNCTION("""COMPUTED_VALUE"""),1.0)</f>
        <v>1</v>
      </c>
      <c r="G765" s="6">
        <f>IFERROR(__xludf.DUMMYFUNCTION("""COMPUTED_VALUE"""),0.0)</f>
        <v>0</v>
      </c>
      <c r="H765" s="6" t="str">
        <f>IFERROR(__xludf.DUMMYFUNCTION("""COMPUTED_VALUE"""),"pcs")</f>
        <v>pcs</v>
      </c>
      <c r="I765" s="6" t="str">
        <f>IFERROR(__xludf.DUMMYFUNCTION("""COMPUTED_VALUE"""),"MFH")</f>
        <v>MFH</v>
      </c>
      <c r="J765" s="6" t="str">
        <f>IFERROR(__xludf.DUMMYFUNCTION("""COMPUTED_VALUE"""),"Building")</f>
        <v>Building</v>
      </c>
      <c r="K765" s="6" t="str">
        <f>IFERROR(__xludf.DUMMYFUNCTION("""COMPUTED_VALUE"""),"SPR/04/24/005")</f>
        <v>SPR/04/24/005</v>
      </c>
      <c r="L765" s="13">
        <f>IFERROR(__xludf.DUMMYFUNCTION("""COMPUTED_VALUE"""),45412.0)</f>
        <v>45412</v>
      </c>
    </row>
    <row r="766">
      <c r="A766" s="6" t="str">
        <f>IFERROR(__xludf.DUMMYFUNCTION("""COMPUTED_VALUE"""),"NDS")</f>
        <v>NDS</v>
      </c>
      <c r="B766" s="6" t="str">
        <f>IFERROR(__xludf.DUMMYFUNCTION("""COMPUTED_VALUE"""),"ENG")</f>
        <v>ENG</v>
      </c>
      <c r="C766" s="6" t="str">
        <f>IFERROR(__xludf.DUMMYFUNCTION("""COMPUTED_VALUE"""),"Q-54156-00")</f>
        <v>Q-54156-00</v>
      </c>
      <c r="D766" s="6" t="str">
        <f>IFERROR(__xludf.DUMMYFUNCTION("""COMPUTED_VALUE"""),"PCB SCOPMA 5.Q; ; ;")</f>
        <v>PCB SCOPMA 5.Q; ; ;</v>
      </c>
      <c r="E766" s="6">
        <f>IFERROR(__xludf.DUMMYFUNCTION("""COMPUTED_VALUE"""),1.0)</f>
        <v>1</v>
      </c>
      <c r="F766" s="6">
        <f>IFERROR(__xludf.DUMMYFUNCTION("""COMPUTED_VALUE"""),1.0)</f>
        <v>1</v>
      </c>
      <c r="G766" s="6">
        <f>IFERROR(__xludf.DUMMYFUNCTION("""COMPUTED_VALUE"""),0.0)</f>
        <v>0</v>
      </c>
      <c r="H766" s="6" t="str">
        <f>IFERROR(__xludf.DUMMYFUNCTION("""COMPUTED_VALUE"""),"pcs")</f>
        <v>pcs</v>
      </c>
      <c r="I766" s="6" t="str">
        <f>IFERROR(__xludf.DUMMYFUNCTION("""COMPUTED_VALUE"""),"MFH")</f>
        <v>MFH</v>
      </c>
      <c r="J766" s="6" t="str">
        <f>IFERROR(__xludf.DUMMYFUNCTION("""COMPUTED_VALUE"""),"Mixing")</f>
        <v>Mixing</v>
      </c>
      <c r="K766" s="6" t="str">
        <f>IFERROR(__xludf.DUMMYFUNCTION("""COMPUTED_VALUE"""),"SPR/04/24/005")</f>
        <v>SPR/04/24/005</v>
      </c>
      <c r="L766" s="13">
        <f>IFERROR(__xludf.DUMMYFUNCTION("""COMPUTED_VALUE"""),45412.0)</f>
        <v>45412</v>
      </c>
    </row>
    <row r="767">
      <c r="A767" s="6" t="str">
        <f>IFERROR(__xludf.DUMMYFUNCTION("""COMPUTED_VALUE"""),"SFH")</f>
        <v>SFH</v>
      </c>
      <c r="B767" s="6" t="str">
        <f>IFERROR(__xludf.DUMMYFUNCTION("""COMPUTED_VALUE"""),"ENG")</f>
        <v>ENG</v>
      </c>
      <c r="C767" s="6" t="str">
        <f>IFERROR(__xludf.DUMMYFUNCTION("""COMPUTED_VALUE"""),"Q-10154-00")</f>
        <v>Q-10154-00</v>
      </c>
      <c r="D767" s="6" t="str">
        <f>IFERROR(__xludf.DUMMYFUNCTION("""COMPUTED_VALUE"""),"Roller cat 230mm")</f>
        <v>Roller cat 230mm</v>
      </c>
      <c r="E767" s="6">
        <f>IFERROR(__xludf.DUMMYFUNCTION("""COMPUTED_VALUE"""),1.0)</f>
        <v>1</v>
      </c>
      <c r="F767" s="6">
        <f>IFERROR(__xludf.DUMMYFUNCTION("""COMPUTED_VALUE"""),1.0)</f>
        <v>1</v>
      </c>
      <c r="G767" s="6">
        <f>IFERROR(__xludf.DUMMYFUNCTION("""COMPUTED_VALUE"""),0.0)</f>
        <v>0</v>
      </c>
      <c r="H767" s="6" t="str">
        <f>IFERROR(__xludf.DUMMYFUNCTION("""COMPUTED_VALUE"""),"pcs")</f>
        <v>pcs</v>
      </c>
      <c r="I767" s="6" t="str">
        <f>IFERROR(__xludf.DUMMYFUNCTION("""COMPUTED_VALUE"""),"MFH")</f>
        <v>MFH</v>
      </c>
      <c r="J767" s="6" t="str">
        <f>IFERROR(__xludf.DUMMYFUNCTION("""COMPUTED_VALUE"""),"Building")</f>
        <v>Building</v>
      </c>
      <c r="K767" s="6" t="str">
        <f>IFERROR(__xludf.DUMMYFUNCTION("""COMPUTED_VALUE"""),"SPR/04/24/006")</f>
        <v>SPR/04/24/006</v>
      </c>
      <c r="L767" s="13">
        <f>IFERROR(__xludf.DUMMYFUNCTION("""COMPUTED_VALUE"""),45412.0)</f>
        <v>45412</v>
      </c>
    </row>
    <row r="768">
      <c r="A768" s="6" t="str">
        <f>IFERROR(__xludf.DUMMYFUNCTION("""COMPUTED_VALUE"""),"SFH")</f>
        <v>SFH</v>
      </c>
      <c r="B768" s="6" t="str">
        <f>IFERROR(__xludf.DUMMYFUNCTION("""COMPUTED_VALUE"""),"ENG")</f>
        <v>ENG</v>
      </c>
      <c r="C768" s="6" t="str">
        <f>IFERROR(__xludf.DUMMYFUNCTION("""COMPUTED_VALUE"""),"Q-10656-00")</f>
        <v>Q-10656-00</v>
      </c>
      <c r="D768" s="6" t="str">
        <f>IFERROR(__xludf.DUMMYFUNCTION("""COMPUTED_VALUE"""),"Kuas Eterna 5 Inch; ; ;")</f>
        <v>Kuas Eterna 5 Inch; ; ;</v>
      </c>
      <c r="E768" s="6">
        <f>IFERROR(__xludf.DUMMYFUNCTION("""COMPUTED_VALUE"""),3.0)</f>
        <v>3</v>
      </c>
      <c r="F768" s="6">
        <f>IFERROR(__xludf.DUMMYFUNCTION("""COMPUTED_VALUE"""),1.0)</f>
        <v>1</v>
      </c>
      <c r="G768" s="6">
        <f>IFERROR(__xludf.DUMMYFUNCTION("""COMPUTED_VALUE"""),0.0)</f>
        <v>0</v>
      </c>
      <c r="H768" s="6" t="str">
        <f>IFERROR(__xludf.DUMMYFUNCTION("""COMPUTED_VALUE"""),"pcs")</f>
        <v>pcs</v>
      </c>
      <c r="I768" s="6" t="str">
        <f>IFERROR(__xludf.DUMMYFUNCTION("""COMPUTED_VALUE"""),"MFH")</f>
        <v>MFH</v>
      </c>
      <c r="J768" s="6" t="str">
        <f>IFERROR(__xludf.DUMMYFUNCTION("""COMPUTED_VALUE"""),"-")</f>
        <v>-</v>
      </c>
      <c r="K768" s="6" t="str">
        <f>IFERROR(__xludf.DUMMYFUNCTION("""COMPUTED_VALUE"""),"SPR/04/24/006")</f>
        <v>SPR/04/24/006</v>
      </c>
      <c r="L768" s="13">
        <f>IFERROR(__xludf.DUMMYFUNCTION("""COMPUTED_VALUE"""),45412.0)</f>
        <v>45412</v>
      </c>
    </row>
    <row r="769">
      <c r="A769" s="6" t="str">
        <f>IFERROR(__xludf.DUMMYFUNCTION("""COMPUTED_VALUE"""),"SHF")</f>
        <v>SHF</v>
      </c>
      <c r="B769" s="6" t="str">
        <f>IFERROR(__xludf.DUMMYFUNCTION("""COMPUTED_VALUE"""),"ENG")</f>
        <v>ENG</v>
      </c>
      <c r="C769" s="6" t="str">
        <f>IFERROR(__xludf.DUMMYFUNCTION("""COMPUTED_VALUE"""),"P-11819-00")</f>
        <v>P-11819-00</v>
      </c>
      <c r="D769" s="6" t="str">
        <f>IFERROR(__xludf.DUMMYFUNCTION("""COMPUTED_VALUE"""),"Alumunium duct tape 2 inch")</f>
        <v>Alumunium duct tape 2 inch</v>
      </c>
      <c r="E769" s="6">
        <f>IFERROR(__xludf.DUMMYFUNCTION("""COMPUTED_VALUE"""),1.0)</f>
        <v>1</v>
      </c>
      <c r="F769" s="6">
        <f>IFERROR(__xludf.DUMMYFUNCTION("""COMPUTED_VALUE"""),1.0)</f>
        <v>1</v>
      </c>
      <c r="G769" s="6">
        <f>IFERROR(__xludf.DUMMYFUNCTION("""COMPUTED_VALUE"""),0.0)</f>
        <v>0</v>
      </c>
      <c r="H769" s="6" t="str">
        <f>IFERROR(__xludf.DUMMYFUNCTION("""COMPUTED_VALUE"""),"pcs")</f>
        <v>pcs</v>
      </c>
      <c r="I769" s="6" t="str">
        <f>IFERROR(__xludf.DUMMYFUNCTION("""COMPUTED_VALUE"""),"MFH")</f>
        <v>MFH</v>
      </c>
      <c r="J769" s="6" t="str">
        <f>IFERROR(__xludf.DUMMYFUNCTION("""COMPUTED_VALUE"""),"Building")</f>
        <v>Building</v>
      </c>
      <c r="K769" s="6" t="str">
        <f>IFERROR(__xludf.DUMMYFUNCTION("""COMPUTED_VALUE"""),"SPR/04/24/007")</f>
        <v>SPR/04/24/007</v>
      </c>
      <c r="L769" s="13">
        <f>IFERROR(__xludf.DUMMYFUNCTION("""COMPUTED_VALUE"""),45412.0)</f>
        <v>45412</v>
      </c>
    </row>
    <row r="770">
      <c r="A770" s="6" t="str">
        <f>IFERROR(__xludf.DUMMYFUNCTION("""COMPUTED_VALUE"""),"SHF")</f>
        <v>SHF</v>
      </c>
      <c r="B770" s="6" t="str">
        <f>IFERROR(__xludf.DUMMYFUNCTION("""COMPUTED_VALUE"""),"ENG")</f>
        <v>ENG</v>
      </c>
      <c r="C770" s="6" t="str">
        <f>IFERROR(__xludf.DUMMYFUNCTION("""COMPUTED_VALUE"""),"S-40851-00")</f>
        <v>S-40851-00</v>
      </c>
      <c r="D770" s="6" t="str">
        <f>IFERROR(__xludf.DUMMYFUNCTION("""COMPUTED_VALUE"""),"Flashdisk 4GB; Sandisk; ;")</f>
        <v>Flashdisk 4GB; Sandisk; ;</v>
      </c>
      <c r="E770" s="6">
        <f>IFERROR(__xludf.DUMMYFUNCTION("""COMPUTED_VALUE"""),1.0)</f>
        <v>1</v>
      </c>
      <c r="F770" s="6">
        <f>IFERROR(__xludf.DUMMYFUNCTION("""COMPUTED_VALUE"""),1.0)</f>
        <v>1</v>
      </c>
      <c r="G770" s="6">
        <f>IFERROR(__xludf.DUMMYFUNCTION("""COMPUTED_VALUE"""),0.0)</f>
        <v>0</v>
      </c>
      <c r="H770" s="6" t="str">
        <f>IFERROR(__xludf.DUMMYFUNCTION("""COMPUTED_VALUE"""),"pcs")</f>
        <v>pcs</v>
      </c>
      <c r="I770" s="6" t="str">
        <f>IFERROR(__xludf.DUMMYFUNCTION("""COMPUTED_VALUE"""),"MFH")</f>
        <v>MFH</v>
      </c>
      <c r="J770" s="6" t="str">
        <f>IFERROR(__xludf.DUMMYFUNCTION("""COMPUTED_VALUE"""),"AOMEI")</f>
        <v>AOMEI</v>
      </c>
      <c r="K770" s="6" t="str">
        <f>IFERROR(__xludf.DUMMYFUNCTION("""COMPUTED_VALUE"""),"SPR/04/24/007")</f>
        <v>SPR/04/24/007</v>
      </c>
      <c r="L770" s="13">
        <f>IFERROR(__xludf.DUMMYFUNCTION("""COMPUTED_VALUE"""),45412.0)</f>
        <v>45412</v>
      </c>
    </row>
    <row r="771">
      <c r="A771" s="6" t="str">
        <f>IFERROR(__xludf.DUMMYFUNCTION("""COMPUTED_VALUE"""),"ROS")</f>
        <v>ROS</v>
      </c>
      <c r="B771" s="6" t="str">
        <f>IFERROR(__xludf.DUMMYFUNCTION("""COMPUTED_VALUE"""),"ENG")</f>
        <v>ENG</v>
      </c>
      <c r="C771" s="6" t="str">
        <f>IFERROR(__xludf.DUMMYFUNCTION("""COMPUTED_VALUE"""),"O-16032-00")</f>
        <v>O-16032-00</v>
      </c>
      <c r="D77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771" s="6">
        <f>IFERROR(__xludf.DUMMYFUNCTION("""COMPUTED_VALUE"""),3.0)</f>
        <v>3</v>
      </c>
      <c r="F771" s="6">
        <f>IFERROR(__xludf.DUMMYFUNCTION("""COMPUTED_VALUE"""),3.0)</f>
        <v>3</v>
      </c>
      <c r="G771" s="6">
        <f>IFERROR(__xludf.DUMMYFUNCTION("""COMPUTED_VALUE"""),0.0)</f>
        <v>0</v>
      </c>
      <c r="H771" s="6" t="str">
        <f>IFERROR(__xludf.DUMMYFUNCTION("""COMPUTED_VALUE"""),"pcs")</f>
        <v>pcs</v>
      </c>
      <c r="I771" s="6" t="str">
        <f>IFERROR(__xludf.DUMMYFUNCTION("""COMPUTED_VALUE"""),"MFH")</f>
        <v>MFH</v>
      </c>
      <c r="J771" s="6" t="str">
        <f>IFERROR(__xludf.DUMMYFUNCTION("""COMPUTED_VALUE"""),"cRABS")</f>
        <v>cRABS</v>
      </c>
      <c r="K771" s="6" t="str">
        <f>IFERROR(__xludf.DUMMYFUNCTION("""COMPUTED_VALUE"""),"SPR/04/24/008")</f>
        <v>SPR/04/24/008</v>
      </c>
      <c r="L771" s="13">
        <f>IFERROR(__xludf.DUMMYFUNCTION("""COMPUTED_VALUE"""),45412.0)</f>
        <v>45412</v>
      </c>
    </row>
    <row r="772">
      <c r="A772" s="6" t="str">
        <f>IFERROR(__xludf.DUMMYFUNCTION("""COMPUTED_VALUE"""),"ROS")</f>
        <v>ROS</v>
      </c>
      <c r="B772" s="6" t="str">
        <f>IFERROR(__xludf.DUMMYFUNCTION("""COMPUTED_VALUE"""),"ENG")</f>
        <v>ENG</v>
      </c>
      <c r="C772" s="6" t="str">
        <f>IFERROR(__xludf.DUMMYFUNCTION("""COMPUTED_VALUE"""),"P-12994-00")</f>
        <v>P-12994-00</v>
      </c>
      <c r="D772" s="6" t="str">
        <f>IFERROR(__xludf.DUMMYFUNCTION("""COMPUTED_VALUE"""),"Nippon Tape - ASF-110FR")</f>
        <v>Nippon Tape - ASF-110FR</v>
      </c>
      <c r="E772" s="6">
        <f>IFERROR(__xludf.DUMMYFUNCTION("""COMPUTED_VALUE"""),1.0)</f>
        <v>1</v>
      </c>
      <c r="F772" s="6">
        <f>IFERROR(__xludf.DUMMYFUNCTION("""COMPUTED_VALUE"""),1.0)</f>
        <v>1</v>
      </c>
      <c r="G772" s="6">
        <f>IFERROR(__xludf.DUMMYFUNCTION("""COMPUTED_VALUE"""),0.0)</f>
        <v>0</v>
      </c>
      <c r="H772" s="6" t="str">
        <f>IFERROR(__xludf.DUMMYFUNCTION("""COMPUTED_VALUE"""),"pcs")</f>
        <v>pcs</v>
      </c>
      <c r="I772" s="6" t="str">
        <f>IFERROR(__xludf.DUMMYFUNCTION("""COMPUTED_VALUE"""),"MFH")</f>
        <v>MFH</v>
      </c>
      <c r="J772" s="6" t="str">
        <f>IFERROR(__xludf.DUMMYFUNCTION("""COMPUTED_VALUE"""),"Capping")</f>
        <v>Capping</v>
      </c>
      <c r="K772" s="6" t="str">
        <f>IFERROR(__xludf.DUMMYFUNCTION("""COMPUTED_VALUE"""),"SPR/04/24/008")</f>
        <v>SPR/04/24/008</v>
      </c>
      <c r="L772" s="13">
        <f>IFERROR(__xludf.DUMMYFUNCTION("""COMPUTED_VALUE"""),45412.0)</f>
        <v>45412</v>
      </c>
    </row>
    <row r="773">
      <c r="A773" s="6" t="str">
        <f>IFERROR(__xludf.DUMMYFUNCTION("""COMPUTED_VALUE"""),"ROS")</f>
        <v>ROS</v>
      </c>
      <c r="B773" s="6" t="str">
        <f>IFERROR(__xludf.DUMMYFUNCTION("""COMPUTED_VALUE"""),"ENG")</f>
        <v>ENG</v>
      </c>
      <c r="C773" s="6" t="str">
        <f>IFERROR(__xludf.DUMMYFUNCTION("""COMPUTED_VALUE"""),"T-80373-00")</f>
        <v>T-80373-00</v>
      </c>
      <c r="D773" s="6" t="str">
        <f>IFERROR(__xludf.DUMMYFUNCTION("""COMPUTED_VALUE"""),"Plakband Bening 2 inch")</f>
        <v>Plakband Bening 2 inch</v>
      </c>
      <c r="E773" s="6">
        <f>IFERROR(__xludf.DUMMYFUNCTION("""COMPUTED_VALUE"""),1.0)</f>
        <v>1</v>
      </c>
      <c r="F773" s="6">
        <f>IFERROR(__xludf.DUMMYFUNCTION("""COMPUTED_VALUE"""),1.0)</f>
        <v>1</v>
      </c>
      <c r="G773" s="6">
        <f>IFERROR(__xludf.DUMMYFUNCTION("""COMPUTED_VALUE"""),0.0)</f>
        <v>0</v>
      </c>
      <c r="H773" s="6" t="str">
        <f>IFERROR(__xludf.DUMMYFUNCTION("""COMPUTED_VALUE"""),"pcs")</f>
        <v>pcs</v>
      </c>
      <c r="I773" s="6" t="str">
        <f>IFERROR(__xludf.DUMMYFUNCTION("""COMPUTED_VALUE"""),"MFH")</f>
        <v>MFH</v>
      </c>
      <c r="J773" s="6" t="str">
        <f>IFERROR(__xludf.DUMMYFUNCTION("""COMPUTED_VALUE"""),"washing")</f>
        <v>washing</v>
      </c>
      <c r="K773" s="6" t="str">
        <f>IFERROR(__xludf.DUMMYFUNCTION("""COMPUTED_VALUE"""),"SPR/04/24/008")</f>
        <v>SPR/04/24/008</v>
      </c>
      <c r="L773" s="13">
        <f>IFERROR(__xludf.DUMMYFUNCTION("""COMPUTED_VALUE"""),45412.0)</f>
        <v>45412</v>
      </c>
    </row>
    <row r="774">
      <c r="A774" s="6" t="str">
        <f>IFERROR(__xludf.DUMMYFUNCTION("""COMPUTED_VALUE"""),"SFH")</f>
        <v>SFH</v>
      </c>
      <c r="B774" s="6" t="str">
        <f>IFERROR(__xludf.DUMMYFUNCTION("""COMPUTED_VALUE"""),"ENG")</f>
        <v>ENG</v>
      </c>
      <c r="C774" s="6" t="str">
        <f>IFERROR(__xludf.DUMMYFUNCTION("""COMPUTED_VALUE"""),"Q-10581-00")</f>
        <v>Q-10581-00</v>
      </c>
      <c r="D774" s="6" t="str">
        <f>IFERROR(__xludf.DUMMYFUNCTION("""COMPUTED_VALUE"""),"Cat Ftalit 272 Antique Grey")</f>
        <v>Cat Ftalit 272 Antique Grey</v>
      </c>
      <c r="E774" s="6">
        <f>IFERROR(__xludf.DUMMYFUNCTION("""COMPUTED_VALUE"""),1.0)</f>
        <v>1</v>
      </c>
      <c r="F774" s="6">
        <f>IFERROR(__xludf.DUMMYFUNCTION("""COMPUTED_VALUE"""),1.0)</f>
        <v>1</v>
      </c>
      <c r="G774" s="6">
        <f>IFERROR(__xludf.DUMMYFUNCTION("""COMPUTED_VALUE"""),0.0)</f>
        <v>0</v>
      </c>
      <c r="H774" s="6" t="str">
        <f>IFERROR(__xludf.DUMMYFUNCTION("""COMPUTED_VALUE"""),"pcs")</f>
        <v>pcs</v>
      </c>
      <c r="I774" s="6" t="str">
        <f>IFERROR(__xludf.DUMMYFUNCTION("""COMPUTED_VALUE"""),"MFH")</f>
        <v>MFH</v>
      </c>
      <c r="J774" s="6" t="str">
        <f>IFERROR(__xludf.DUMMYFUNCTION("""COMPUTED_VALUE"""),"Building")</f>
        <v>Building</v>
      </c>
      <c r="K774" s="6" t="str">
        <f>IFERROR(__xludf.DUMMYFUNCTION("""COMPUTED_VALUE"""),"SPR/04/24/009")</f>
        <v>SPR/04/24/009</v>
      </c>
      <c r="L774" s="13">
        <f>IFERROR(__xludf.DUMMYFUNCTION("""COMPUTED_VALUE"""),45412.0)</f>
        <v>45412</v>
      </c>
    </row>
    <row r="775">
      <c r="A775" s="6" t="str">
        <f>IFERROR(__xludf.DUMMYFUNCTION("""COMPUTED_VALUE"""),"MOB")</f>
        <v>MOB</v>
      </c>
      <c r="B775" s="6" t="str">
        <f>IFERROR(__xludf.DUMMYFUNCTION("""COMPUTED_VALUE"""),"ENG")</f>
        <v>ENG</v>
      </c>
      <c r="C775" s="6" t="str">
        <f>IFERROR(__xludf.DUMMYFUNCTION("""COMPUTED_VALUE"""),"P-15862-00")</f>
        <v>P-15862-00</v>
      </c>
      <c r="D775" s="6" t="str">
        <f>IFERROR(__xludf.DUMMYFUNCTION("""COMPUTED_VALUE"""),"PAPER RECORD YOKOGAWA; FOLDING CHART B9565AW")</f>
        <v>PAPER RECORD YOKOGAWA; FOLDING CHART B9565AW</v>
      </c>
      <c r="E775" s="6">
        <f>IFERROR(__xludf.DUMMYFUNCTION("""COMPUTED_VALUE"""),2.0)</f>
        <v>2</v>
      </c>
      <c r="F775" s="6">
        <f>IFERROR(__xludf.DUMMYFUNCTION("""COMPUTED_VALUE"""),1.0)</f>
        <v>1</v>
      </c>
      <c r="G775" s="6">
        <f>IFERROR(__xludf.DUMMYFUNCTION("""COMPUTED_VALUE"""),0.0)</f>
        <v>0</v>
      </c>
      <c r="H775" s="6" t="str">
        <f>IFERROR(__xludf.DUMMYFUNCTION("""COMPUTED_VALUE"""),"pcs")</f>
        <v>pcs</v>
      </c>
      <c r="I775" s="6" t="str">
        <f>IFERROR(__xludf.DUMMYFUNCTION("""COMPUTED_VALUE"""),"MFH")</f>
        <v>MFH</v>
      </c>
      <c r="J775" s="6" t="str">
        <f>IFERROR(__xludf.DUMMYFUNCTION("""COMPUTED_VALUE"""),"WFI")</f>
        <v>WFI</v>
      </c>
      <c r="K775" s="6" t="str">
        <f>IFERROR(__xludf.DUMMYFUNCTION("""COMPUTED_VALUE"""),"SPR/04/24/010")</f>
        <v>SPR/04/24/010</v>
      </c>
      <c r="L775" s="13">
        <f>IFERROR(__xludf.DUMMYFUNCTION("""COMPUTED_VALUE"""),45412.0)</f>
        <v>45412</v>
      </c>
    </row>
    <row r="776">
      <c r="A776" s="6" t="str">
        <f>IFERROR(__xludf.DUMMYFUNCTION("""COMPUTED_VALUE"""),"MOB")</f>
        <v>MOB</v>
      </c>
      <c r="B776" s="6" t="str">
        <f>IFERROR(__xludf.DUMMYFUNCTION("""COMPUTED_VALUE"""),"ENG")</f>
        <v>ENG</v>
      </c>
      <c r="C776" s="6" t="str">
        <f>IFERROR(__xludf.DUMMYFUNCTION("""COMPUTED_VALUE"""),"O-15931-00")</f>
        <v>O-15931-00</v>
      </c>
      <c r="D776" s="6" t="str">
        <f>IFERROR(__xludf.DUMMYFUNCTION("""COMPUTED_VALUE"""),"Double Tape 3M 1"" Merah - P/N : - pc")</f>
        <v>Double Tape 3M 1" Merah - P/N : - pc</v>
      </c>
      <c r="E776" s="6">
        <f>IFERROR(__xludf.DUMMYFUNCTION("""COMPUTED_VALUE"""),5.0)</f>
        <v>5</v>
      </c>
      <c r="F776" s="6">
        <f>IFERROR(__xludf.DUMMYFUNCTION("""COMPUTED_VALUE"""),1.0)</f>
        <v>1</v>
      </c>
      <c r="G776" s="6">
        <f>IFERROR(__xludf.DUMMYFUNCTION("""COMPUTED_VALUE"""),0.0)</f>
        <v>0</v>
      </c>
      <c r="H776" s="6" t="str">
        <f>IFERROR(__xludf.DUMMYFUNCTION("""COMPUTED_VALUE"""),"pcs")</f>
        <v>pcs</v>
      </c>
      <c r="I776" s="6" t="str">
        <f>IFERROR(__xludf.DUMMYFUNCTION("""COMPUTED_VALUE"""),"MFH")</f>
        <v>MFH</v>
      </c>
      <c r="J776" s="6" t="str">
        <f>IFERROR(__xludf.DUMMYFUNCTION("""COMPUTED_VALUE"""),"Building")</f>
        <v>Building</v>
      </c>
      <c r="K776" s="6" t="str">
        <f>IFERROR(__xludf.DUMMYFUNCTION("""COMPUTED_VALUE"""),"SPR/04/24/010")</f>
        <v>SPR/04/24/010</v>
      </c>
      <c r="L776" s="13">
        <f>IFERROR(__xludf.DUMMYFUNCTION("""COMPUTED_VALUE"""),45412.0)</f>
        <v>45412</v>
      </c>
    </row>
    <row r="777">
      <c r="A777" s="6" t="str">
        <f>IFERROR(__xludf.DUMMYFUNCTION("""COMPUTED_VALUE"""),"ANO")</f>
        <v>ANO</v>
      </c>
      <c r="B777" s="6" t="str">
        <f>IFERROR(__xludf.DUMMYFUNCTION("""COMPUTED_VALUE"""),"ENG")</f>
        <v>ENG</v>
      </c>
      <c r="C777" s="6" t="str">
        <f>IFERROR(__xludf.DUMMYFUNCTION("""COMPUTED_VALUE"""),"P-11694-00")</f>
        <v>P-11694-00</v>
      </c>
      <c r="D777" s="6" t="str">
        <f>IFERROR(__xludf.DUMMYFUNCTION("""COMPUTED_VALUE"""),"Mata Gerinda 4""")</f>
        <v>Mata Gerinda 4"</v>
      </c>
      <c r="E777" s="6">
        <f>IFERROR(__xludf.DUMMYFUNCTION("""COMPUTED_VALUE"""),1.0)</f>
        <v>1</v>
      </c>
      <c r="F777" s="6">
        <f>IFERROR(__xludf.DUMMYFUNCTION("""COMPUTED_VALUE"""),1.0)</f>
        <v>1</v>
      </c>
      <c r="G777" s="6">
        <f>IFERROR(__xludf.DUMMYFUNCTION("""COMPUTED_VALUE"""),0.0)</f>
        <v>0</v>
      </c>
      <c r="H777" s="6" t="str">
        <f>IFERROR(__xludf.DUMMYFUNCTION("""COMPUTED_VALUE"""),"pcs")</f>
        <v>pcs</v>
      </c>
      <c r="I777" s="6" t="str">
        <f>IFERROR(__xludf.DUMMYFUNCTION("""COMPUTED_VALUE"""),"MFH")</f>
        <v>MFH</v>
      </c>
      <c r="J777" s="6" t="str">
        <f>IFERROR(__xludf.DUMMYFUNCTION("""COMPUTED_VALUE"""),"-")</f>
        <v>-</v>
      </c>
      <c r="K777" s="6" t="str">
        <f>IFERROR(__xludf.DUMMYFUNCTION("""COMPUTED_VALUE"""),"SPR/04/24/011")</f>
        <v>SPR/04/24/011</v>
      </c>
      <c r="L777" s="13">
        <f>IFERROR(__xludf.DUMMYFUNCTION("""COMPUTED_VALUE"""),45412.0)</f>
        <v>45412</v>
      </c>
    </row>
    <row r="778">
      <c r="A778" s="6" t="str">
        <f>IFERROR(__xludf.DUMMYFUNCTION("""COMPUTED_VALUE"""),"MRN")</f>
        <v>MRN</v>
      </c>
      <c r="B778" s="6" t="str">
        <f>IFERROR(__xludf.DUMMYFUNCTION("""COMPUTED_VALUE"""),"ENG")</f>
        <v>ENG</v>
      </c>
      <c r="C778" s="6" t="str">
        <f>IFERROR(__xludf.DUMMYFUNCTION("""COMPUTED_VALUE"""),"Q-10817-00")</f>
        <v>Q-10817-00</v>
      </c>
      <c r="D778" s="6" t="str">
        <f>IFERROR(__xludf.DUMMYFUNCTION("""COMPUTED_VALUE"""),"Door Closer Type: TS77 Hold Open; DORMA; ;")</f>
        <v>Door Closer Type: TS77 Hold Open; DORMA; ;</v>
      </c>
      <c r="E778" s="6">
        <f>IFERROR(__xludf.DUMMYFUNCTION("""COMPUTED_VALUE"""),2.0)</f>
        <v>2</v>
      </c>
      <c r="F778" s="6">
        <f>IFERROR(__xludf.DUMMYFUNCTION("""COMPUTED_VALUE"""),1.0)</f>
        <v>1</v>
      </c>
      <c r="G778" s="6">
        <f>IFERROR(__xludf.DUMMYFUNCTION("""COMPUTED_VALUE"""),0.0)</f>
        <v>0</v>
      </c>
      <c r="H778" s="6" t="str">
        <f>IFERROR(__xludf.DUMMYFUNCTION("""COMPUTED_VALUE"""),"pcs")</f>
        <v>pcs</v>
      </c>
      <c r="I778" s="6" t="str">
        <f>IFERROR(__xludf.DUMMYFUNCTION("""COMPUTED_VALUE"""),"MFH")</f>
        <v>MFH</v>
      </c>
      <c r="J778" s="6" t="str">
        <f>IFERROR(__xludf.DUMMYFUNCTION("""COMPUTED_VALUE"""),"Building")</f>
        <v>Building</v>
      </c>
      <c r="K778" s="6" t="str">
        <f>IFERROR(__xludf.DUMMYFUNCTION("""COMPUTED_VALUE"""),"SPR/04/24/012")</f>
        <v>SPR/04/24/012</v>
      </c>
      <c r="L778" s="13">
        <f>IFERROR(__xludf.DUMMYFUNCTION("""COMPUTED_VALUE"""),45412.0)</f>
        <v>45412</v>
      </c>
    </row>
    <row r="779">
      <c r="A779" s="6" t="str">
        <f>IFERROR(__xludf.DUMMYFUNCTION("""COMPUTED_VALUE"""),"AAA")</f>
        <v>AAA</v>
      </c>
      <c r="B779" s="6" t="str">
        <f>IFERROR(__xludf.DUMMYFUNCTION("""COMPUTED_VALUE"""),"ENG")</f>
        <v>ENG</v>
      </c>
      <c r="C779" s="6" t="str">
        <f>IFERROR(__xludf.DUMMYFUNCTION("""COMPUTED_VALUE"""),"O-14640-00")</f>
        <v>O-14640-00</v>
      </c>
      <c r="D779" s="6" t="str">
        <f>IFERROR(__xludf.DUMMYFUNCTION("""COMPUTED_VALUE"""),"Silicone Gasket for Ferrule dia. 3/4""")</f>
        <v>Silicone Gasket for Ferrule dia. 3/4"</v>
      </c>
      <c r="E779" s="6">
        <f>IFERROR(__xludf.DUMMYFUNCTION("""COMPUTED_VALUE"""),10.0)</f>
        <v>10</v>
      </c>
      <c r="F779" s="6">
        <f>IFERROR(__xludf.DUMMYFUNCTION("""COMPUTED_VALUE"""),7.0)</f>
        <v>7</v>
      </c>
      <c r="G779" s="6">
        <f>IFERROR(__xludf.DUMMYFUNCTION("""COMPUTED_VALUE"""),0.0)</f>
        <v>0</v>
      </c>
      <c r="H779" s="6" t="str">
        <f>IFERROR(__xludf.DUMMYFUNCTION("""COMPUTED_VALUE"""),"pcs")</f>
        <v>pcs</v>
      </c>
      <c r="I779" s="6" t="str">
        <f>IFERROR(__xludf.DUMMYFUNCTION("""COMPUTED_VALUE"""),"MFH")</f>
        <v>MFH</v>
      </c>
      <c r="J779" s="6" t="str">
        <f>IFERROR(__xludf.DUMMYFUNCTION("""COMPUTED_VALUE"""),"Mixing")</f>
        <v>Mixing</v>
      </c>
      <c r="K779" s="6" t="str">
        <f>IFERROR(__xludf.DUMMYFUNCTION("""COMPUTED_VALUE"""),"SPR/04/24/013")</f>
        <v>SPR/04/24/013</v>
      </c>
      <c r="L779" s="13">
        <f>IFERROR(__xludf.DUMMYFUNCTION("""COMPUTED_VALUE"""),45412.0)</f>
        <v>45412</v>
      </c>
    </row>
    <row r="780">
      <c r="A780" s="6" t="str">
        <f>IFERROR(__xludf.DUMMYFUNCTION("""COMPUTED_VALUE"""),"AAA")</f>
        <v>AAA</v>
      </c>
      <c r="B780" s="6" t="str">
        <f>IFERROR(__xludf.DUMMYFUNCTION("""COMPUTED_VALUE"""),"ENG")</f>
        <v>ENG</v>
      </c>
      <c r="C780" s="6" t="str">
        <f>IFERROR(__xludf.DUMMYFUNCTION("""COMPUTED_VALUE"""),"P-14379-00")</f>
        <v>P-14379-00</v>
      </c>
      <c r="D780" s="6" t="str">
        <f>IFERROR(__xludf.DUMMYFUNCTION("""COMPUTED_VALUE"""),"Gasket 3/4"" /EPDM; ; ;")</f>
        <v>Gasket 3/4" /EPDM; ; ;</v>
      </c>
      <c r="E780" s="6">
        <f>IFERROR(__xludf.DUMMYFUNCTION("""COMPUTED_VALUE"""),5.0)</f>
        <v>5</v>
      </c>
      <c r="F780" s="6">
        <f>IFERROR(__xludf.DUMMYFUNCTION("""COMPUTED_VALUE"""),5.0)</f>
        <v>5</v>
      </c>
      <c r="G780" s="6">
        <f>IFERROR(__xludf.DUMMYFUNCTION("""COMPUTED_VALUE"""),0.0)</f>
        <v>0</v>
      </c>
      <c r="H780" s="6" t="str">
        <f>IFERROR(__xludf.DUMMYFUNCTION("""COMPUTED_VALUE"""),"pcs")</f>
        <v>pcs</v>
      </c>
      <c r="I780" s="6" t="str">
        <f>IFERROR(__xludf.DUMMYFUNCTION("""COMPUTED_VALUE"""),"MFH")</f>
        <v>MFH</v>
      </c>
      <c r="J780" s="6" t="str">
        <f>IFERROR(__xludf.DUMMYFUNCTION("""COMPUTED_VALUE"""),"Mixing")</f>
        <v>Mixing</v>
      </c>
      <c r="K780" s="6" t="str">
        <f>IFERROR(__xludf.DUMMYFUNCTION("""COMPUTED_VALUE"""),"SPR/04/24/013")</f>
        <v>SPR/04/24/013</v>
      </c>
      <c r="L780" s="13">
        <f>IFERROR(__xludf.DUMMYFUNCTION("""COMPUTED_VALUE"""),45412.0)</f>
        <v>45412</v>
      </c>
    </row>
    <row r="781">
      <c r="A781" s="6" t="str">
        <f>IFERROR(__xludf.DUMMYFUNCTION("""COMPUTED_VALUE"""),"AAA")</f>
        <v>AAA</v>
      </c>
      <c r="B781" s="6" t="str">
        <f>IFERROR(__xludf.DUMMYFUNCTION("""COMPUTED_VALUE"""),"ENG")</f>
        <v>ENG</v>
      </c>
      <c r="C781" s="6" t="str">
        <f>IFERROR(__xludf.DUMMYFUNCTION("""COMPUTED_VALUE"""),"O-16033-00")</f>
        <v>O-16033-00</v>
      </c>
      <c r="D78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781" s="6">
        <f>IFERROR(__xludf.DUMMYFUNCTION("""COMPUTED_VALUE"""),1.0)</f>
        <v>1</v>
      </c>
      <c r="F781" s="6">
        <f>IFERROR(__xludf.DUMMYFUNCTION("""COMPUTED_VALUE"""),1.0)</f>
        <v>1</v>
      </c>
      <c r="G781" s="6">
        <f>IFERROR(__xludf.DUMMYFUNCTION("""COMPUTED_VALUE"""),0.0)</f>
        <v>0</v>
      </c>
      <c r="H781" s="6" t="str">
        <f>IFERROR(__xludf.DUMMYFUNCTION("""COMPUTED_VALUE"""),"pcs")</f>
        <v>pcs</v>
      </c>
      <c r="I781" s="6" t="str">
        <f>IFERROR(__xludf.DUMMYFUNCTION("""COMPUTED_VALUE"""),"MFH")</f>
        <v>MFH</v>
      </c>
      <c r="J781" s="6" t="str">
        <f>IFERROR(__xludf.DUMMYFUNCTION("""COMPUTED_VALUE"""),"cRABS")</f>
        <v>cRABS</v>
      </c>
      <c r="K781" s="6" t="str">
        <f>IFERROR(__xludf.DUMMYFUNCTION("""COMPUTED_VALUE"""),"SPR/04/24/014")</f>
        <v>SPR/04/24/014</v>
      </c>
      <c r="L781" s="13">
        <f>IFERROR(__xludf.DUMMYFUNCTION("""COMPUTED_VALUE"""),45412.0)</f>
        <v>45412</v>
      </c>
    </row>
    <row r="782">
      <c r="A782" s="6" t="str">
        <f>IFERROR(__xludf.DUMMYFUNCTION("""COMPUTED_VALUE"""),"SHF")</f>
        <v>SHF</v>
      </c>
      <c r="B782" s="6" t="str">
        <f>IFERROR(__xludf.DUMMYFUNCTION("""COMPUTED_VALUE"""),"ENG")</f>
        <v>ENG</v>
      </c>
      <c r="C782" s="6" t="str">
        <f>IFERROR(__xludf.DUMMYFUNCTION("""COMPUTED_VALUE"""),"P-12433-00")</f>
        <v>P-12433-00</v>
      </c>
      <c r="D782" s="6" t="str">
        <f>IFERROR(__xludf.DUMMYFUNCTION("""COMPUTED_VALUE"""),"Isolasi AC- Sansui")</f>
        <v>Isolasi AC- Sansui</v>
      </c>
      <c r="E782" s="6">
        <f>IFERROR(__xludf.DUMMYFUNCTION("""COMPUTED_VALUE"""),2.0)</f>
        <v>2</v>
      </c>
      <c r="F782" s="6">
        <f>IFERROR(__xludf.DUMMYFUNCTION("""COMPUTED_VALUE"""),1.0)</f>
        <v>1</v>
      </c>
      <c r="G782" s="6">
        <f>IFERROR(__xludf.DUMMYFUNCTION("""COMPUTED_VALUE"""),0.0)</f>
        <v>0</v>
      </c>
      <c r="H782" s="6" t="str">
        <f>IFERROR(__xludf.DUMMYFUNCTION("""COMPUTED_VALUE"""),"pcs")</f>
        <v>pcs</v>
      </c>
      <c r="I782" s="6" t="str">
        <f>IFERROR(__xludf.DUMMYFUNCTION("""COMPUTED_VALUE"""),"MFH")</f>
        <v>MFH</v>
      </c>
      <c r="J782" s="6" t="str">
        <f>IFERROR(__xludf.DUMMYFUNCTION("""COMPUTED_VALUE"""),"Building")</f>
        <v>Building</v>
      </c>
      <c r="K782" s="6" t="str">
        <f>IFERROR(__xludf.DUMMYFUNCTION("""COMPUTED_VALUE"""),"SPR/04/24/015")</f>
        <v>SPR/04/24/015</v>
      </c>
      <c r="L782" s="13">
        <f>IFERROR(__xludf.DUMMYFUNCTION("""COMPUTED_VALUE"""),45412.0)</f>
        <v>45412</v>
      </c>
    </row>
    <row r="783">
      <c r="A783" s="6" t="str">
        <f>IFERROR(__xludf.DUMMYFUNCTION("""COMPUTED_VALUE"""),"NDS")</f>
        <v>NDS</v>
      </c>
      <c r="B783" s="6" t="str">
        <f>IFERROR(__xludf.DUMMYFUNCTION("""COMPUTED_VALUE"""),"ENG")</f>
        <v>ENG</v>
      </c>
      <c r="C783" s="6" t="str">
        <f>IFERROR(__xludf.DUMMYFUNCTION("""COMPUTED_VALUE"""),"O-51945-00")</f>
        <v>O-51945-00</v>
      </c>
      <c r="D783" s="6" t="str">
        <f>IFERROR(__xludf.DUMMYFUNCTION("""COMPUTED_VALUE"""),"Photo Sensor BRP3M-MDT Autonics")</f>
        <v>Photo Sensor BRP3M-MDT Autonics</v>
      </c>
      <c r="E783" s="6">
        <f>IFERROR(__xludf.DUMMYFUNCTION("""COMPUTED_VALUE"""),2.0)</f>
        <v>2</v>
      </c>
      <c r="F783" s="6">
        <f>IFERROR(__xludf.DUMMYFUNCTION("""COMPUTED_VALUE"""),1.0)</f>
        <v>1</v>
      </c>
      <c r="G783" s="6">
        <f>IFERROR(__xludf.DUMMYFUNCTION("""COMPUTED_VALUE"""),0.0)</f>
        <v>0</v>
      </c>
      <c r="H783" s="6" t="str">
        <f>IFERROR(__xludf.DUMMYFUNCTION("""COMPUTED_VALUE"""),"pcs")</f>
        <v>pcs</v>
      </c>
      <c r="I783" s="6" t="str">
        <f>IFERROR(__xludf.DUMMYFUNCTION("""COMPUTED_VALUE"""),"MFH")</f>
        <v>MFH</v>
      </c>
      <c r="J783" s="6" t="str">
        <f>IFERROR(__xludf.DUMMYFUNCTION("""COMPUTED_VALUE"""),"Filling")</f>
        <v>Filling</v>
      </c>
      <c r="K783" s="6" t="str">
        <f>IFERROR(__xludf.DUMMYFUNCTION("""COMPUTED_VALUE"""),"SPR/04/24/016")</f>
        <v>SPR/04/24/016</v>
      </c>
      <c r="L783" s="13">
        <f>IFERROR(__xludf.DUMMYFUNCTION("""COMPUTED_VALUE"""),45412.0)</f>
        <v>45412</v>
      </c>
    </row>
    <row r="784">
      <c r="A784" s="6" t="str">
        <f>IFERROR(__xludf.DUMMYFUNCTION("""COMPUTED_VALUE"""),"MOB")</f>
        <v>MOB</v>
      </c>
      <c r="B784" s="6" t="str">
        <f>IFERROR(__xludf.DUMMYFUNCTION("""COMPUTED_VALUE"""),"ENG")</f>
        <v>ENG</v>
      </c>
      <c r="C784" s="6" t="str">
        <f>IFERROR(__xludf.DUMMYFUNCTION("""COMPUTED_VALUE"""),"Q-60025-00")</f>
        <v>Q-60025-00</v>
      </c>
      <c r="D784" s="6" t="str">
        <f>IFERROR(__xludf.DUMMYFUNCTION("""COMPUTED_VALUE"""),"Kuas Eterna 1")</f>
        <v>Kuas Eterna 1</v>
      </c>
      <c r="E784" s="6">
        <f>IFERROR(__xludf.DUMMYFUNCTION("""COMPUTED_VALUE"""),1.0)</f>
        <v>1</v>
      </c>
      <c r="F784" s="6">
        <f>IFERROR(__xludf.DUMMYFUNCTION("""COMPUTED_VALUE"""),1.0)</f>
        <v>1</v>
      </c>
      <c r="G784" s="6">
        <f>IFERROR(__xludf.DUMMYFUNCTION("""COMPUTED_VALUE"""),0.0)</f>
        <v>0</v>
      </c>
      <c r="H784" s="6" t="str">
        <f>IFERROR(__xludf.DUMMYFUNCTION("""COMPUTED_VALUE"""),"pcs")</f>
        <v>pcs</v>
      </c>
      <c r="I784" s="6" t="str">
        <f>IFERROR(__xludf.DUMMYFUNCTION("""COMPUTED_VALUE"""),"MFH")</f>
        <v>MFH</v>
      </c>
      <c r="J784" s="6" t="str">
        <f>IFERROR(__xludf.DUMMYFUNCTION("""COMPUTED_VALUE"""),"Water System")</f>
        <v>Water System</v>
      </c>
      <c r="K784" s="6" t="str">
        <f>IFERROR(__xludf.DUMMYFUNCTION("""COMPUTED_VALUE"""),"SPR/04/24/017")</f>
        <v>SPR/04/24/017</v>
      </c>
      <c r="L784" s="13">
        <f>IFERROR(__xludf.DUMMYFUNCTION("""COMPUTED_VALUE"""),45412.0)</f>
        <v>45412</v>
      </c>
    </row>
    <row r="785">
      <c r="A785" s="6" t="str">
        <f>IFERROR(__xludf.DUMMYFUNCTION("""COMPUTED_VALUE"""),"MOB")</f>
        <v>MOB</v>
      </c>
      <c r="B785" s="6" t="str">
        <f>IFERROR(__xludf.DUMMYFUNCTION("""COMPUTED_VALUE"""),"ENG")</f>
        <v>ENG</v>
      </c>
      <c r="C785" s="6" t="str">
        <f>IFERROR(__xludf.DUMMYFUNCTION("""COMPUTED_VALUE"""),"P-15852-00")</f>
        <v>P-15852-00</v>
      </c>
      <c r="D785" s="6" t="str">
        <f>IFERROR(__xludf.DUMMYFUNCTION("""COMPUTED_VALUE"""),"AMPLAS EAGLE 500")</f>
        <v>AMPLAS EAGLE 500</v>
      </c>
      <c r="E785" s="6">
        <f>IFERROR(__xludf.DUMMYFUNCTION("""COMPUTED_VALUE"""),2.0)</f>
        <v>2</v>
      </c>
      <c r="F785" s="6">
        <f>IFERROR(__xludf.DUMMYFUNCTION("""COMPUTED_VALUE"""),1.0)</f>
        <v>1</v>
      </c>
      <c r="G785" s="6">
        <f>IFERROR(__xludf.DUMMYFUNCTION("""COMPUTED_VALUE"""),0.0)</f>
        <v>0</v>
      </c>
      <c r="H785" s="6" t="str">
        <f>IFERROR(__xludf.DUMMYFUNCTION("""COMPUTED_VALUE"""),"pcs")</f>
        <v>pcs</v>
      </c>
      <c r="I785" s="6" t="str">
        <f>IFERROR(__xludf.DUMMYFUNCTION("""COMPUTED_VALUE"""),"MFH")</f>
        <v>MFH</v>
      </c>
      <c r="J785" s="6" t="str">
        <f>IFERROR(__xludf.DUMMYFUNCTION("""COMPUTED_VALUE"""),"Water System")</f>
        <v>Water System</v>
      </c>
      <c r="K785" s="6" t="str">
        <f>IFERROR(__xludf.DUMMYFUNCTION("""COMPUTED_VALUE"""),"SPR/04/24/017")</f>
        <v>SPR/04/24/017</v>
      </c>
      <c r="L785" s="13">
        <f>IFERROR(__xludf.DUMMYFUNCTION("""COMPUTED_VALUE"""),45412.0)</f>
        <v>45412</v>
      </c>
    </row>
    <row r="786">
      <c r="A786" s="6" t="str">
        <f>IFERROR(__xludf.DUMMYFUNCTION("""COMPUTED_VALUE"""),"INN")</f>
        <v>INN</v>
      </c>
      <c r="B786" s="6" t="str">
        <f>IFERROR(__xludf.DUMMYFUNCTION("""COMPUTED_VALUE"""),"ENG")</f>
        <v>ENG</v>
      </c>
      <c r="C786" s="6" t="str">
        <f>IFERROR(__xludf.DUMMYFUNCTION("""COMPUTED_VALUE"""),"P-12994-00")</f>
        <v>P-12994-00</v>
      </c>
      <c r="D786" s="6" t="str">
        <f>IFERROR(__xludf.DUMMYFUNCTION("""COMPUTED_VALUE"""),"Nippon Tape - ASF-110FR")</f>
        <v>Nippon Tape - ASF-110FR</v>
      </c>
      <c r="E786" s="6">
        <f>IFERROR(__xludf.DUMMYFUNCTION("""COMPUTED_VALUE"""),2.0)</f>
        <v>2</v>
      </c>
      <c r="F786" s="6">
        <f>IFERROR(__xludf.DUMMYFUNCTION("""COMPUTED_VALUE"""),2.0)</f>
        <v>2</v>
      </c>
      <c r="G786" s="6">
        <f>IFERROR(__xludf.DUMMYFUNCTION("""COMPUTED_VALUE"""),0.0)</f>
        <v>0</v>
      </c>
      <c r="H786" s="6" t="str">
        <f>IFERROR(__xludf.DUMMYFUNCTION("""COMPUTED_VALUE"""),"pcs")</f>
        <v>pcs</v>
      </c>
      <c r="I786" s="6" t="str">
        <f>IFERROR(__xludf.DUMMYFUNCTION("""COMPUTED_VALUE"""),"MFH")</f>
        <v>MFH</v>
      </c>
      <c r="J786" s="6" t="str">
        <f>IFERROR(__xludf.DUMMYFUNCTION("""COMPUTED_VALUE"""),"Capping")</f>
        <v>Capping</v>
      </c>
      <c r="K786" s="6" t="str">
        <f>IFERROR(__xludf.DUMMYFUNCTION("""COMPUTED_VALUE"""),"SPR/04/24/018")</f>
        <v>SPR/04/24/018</v>
      </c>
      <c r="L786" s="13">
        <f>IFERROR(__xludf.DUMMYFUNCTION("""COMPUTED_VALUE"""),45412.0)</f>
        <v>45412</v>
      </c>
    </row>
    <row r="787">
      <c r="A787" s="6" t="str">
        <f>IFERROR(__xludf.DUMMYFUNCTION("""COMPUTED_VALUE"""),"INN")</f>
        <v>INN</v>
      </c>
      <c r="B787" s="6" t="str">
        <f>IFERROR(__xludf.DUMMYFUNCTION("""COMPUTED_VALUE"""),"ENG")</f>
        <v>ENG</v>
      </c>
      <c r="C787" s="6" t="str">
        <f>IFERROR(__xludf.DUMMYFUNCTION("""COMPUTED_VALUE"""),"P-50140-00")</f>
        <v>P-50140-00</v>
      </c>
      <c r="D787" s="6" t="str">
        <f>IFERROR(__xludf.DUMMYFUNCTION("""COMPUTED_VALUE"""),"Battery UPS - Battery kering Merk YUASA 12V 9AH")</f>
        <v>Battery UPS - Battery kering Merk YUASA 12V 9AH</v>
      </c>
      <c r="E787" s="6">
        <f>IFERROR(__xludf.DUMMYFUNCTION("""COMPUTED_VALUE"""),5.0)</f>
        <v>5</v>
      </c>
      <c r="F787" s="6">
        <f>IFERROR(__xludf.DUMMYFUNCTION("""COMPUTED_VALUE"""),5.0)</f>
        <v>5</v>
      </c>
      <c r="G787" s="6">
        <f>IFERROR(__xludf.DUMMYFUNCTION("""COMPUTED_VALUE"""),0.0)</f>
        <v>0</v>
      </c>
      <c r="H787" s="6" t="str">
        <f>IFERROR(__xludf.DUMMYFUNCTION("""COMPUTED_VALUE"""),"pcs")</f>
        <v>pcs</v>
      </c>
      <c r="I787" s="6" t="str">
        <f>IFERROR(__xludf.DUMMYFUNCTION("""COMPUTED_VALUE"""),"MFH")</f>
        <v>MFH</v>
      </c>
      <c r="J787" s="6" t="str">
        <f>IFERROR(__xludf.DUMMYFUNCTION("""COMPUTED_VALUE"""),"UPS")</f>
        <v>UPS</v>
      </c>
      <c r="K787" s="6" t="str">
        <f>IFERROR(__xludf.DUMMYFUNCTION("""COMPUTED_VALUE"""),"SPR/04/24/018")</f>
        <v>SPR/04/24/018</v>
      </c>
      <c r="L787" s="13">
        <f>IFERROR(__xludf.DUMMYFUNCTION("""COMPUTED_VALUE"""),45412.0)</f>
        <v>45412</v>
      </c>
    </row>
    <row r="788">
      <c r="A788" s="6" t="str">
        <f>IFERROR(__xludf.DUMMYFUNCTION("""COMPUTED_VALUE"""),"MOB")</f>
        <v>MOB</v>
      </c>
      <c r="B788" s="6" t="str">
        <f>IFERROR(__xludf.DUMMYFUNCTION("""COMPUTED_VALUE"""),"ENG")</f>
        <v>ENG</v>
      </c>
      <c r="C788" s="6" t="str">
        <f>IFERROR(__xludf.DUMMYFUNCTION("""COMPUTED_VALUE"""),"O-14594-00")</f>
        <v>O-14594-00</v>
      </c>
      <c r="D788" s="6" t="str">
        <f>IFERROR(__xludf.DUMMYFUNCTION("""COMPUTED_VALUE"""),"Kit, membrane ozone 6510")</f>
        <v>Kit, membrane ozone 6510</v>
      </c>
      <c r="E788" s="6">
        <f>IFERROR(__xludf.DUMMYFUNCTION("""COMPUTED_VALUE"""),1.0)</f>
        <v>1</v>
      </c>
      <c r="F788" s="6">
        <f>IFERROR(__xludf.DUMMYFUNCTION("""COMPUTED_VALUE"""),1.0)</f>
        <v>1</v>
      </c>
      <c r="G788" s="6">
        <f>IFERROR(__xludf.DUMMYFUNCTION("""COMPUTED_VALUE"""),0.0)</f>
        <v>0</v>
      </c>
      <c r="H788" s="6" t="str">
        <f>IFERROR(__xludf.DUMMYFUNCTION("""COMPUTED_VALUE"""),"pcs")</f>
        <v>pcs</v>
      </c>
      <c r="I788" s="6" t="str">
        <f>IFERROR(__xludf.DUMMYFUNCTION("""COMPUTED_VALUE"""),"MFH")</f>
        <v>MFH</v>
      </c>
      <c r="J788" s="6" t="str">
        <f>IFERROR(__xludf.DUMMYFUNCTION("""COMPUTED_VALUE"""),"PW SKID")</f>
        <v>PW SKID</v>
      </c>
      <c r="K788" s="6" t="str">
        <f>IFERROR(__xludf.DUMMYFUNCTION("""COMPUTED_VALUE"""),"SPR/04/24/019")</f>
        <v>SPR/04/24/019</v>
      </c>
      <c r="L788" s="13">
        <f>IFERROR(__xludf.DUMMYFUNCTION("""COMPUTED_VALUE"""),45412.0)</f>
        <v>45412</v>
      </c>
    </row>
    <row r="789">
      <c r="A789" s="6" t="str">
        <f>IFERROR(__xludf.DUMMYFUNCTION("""COMPUTED_VALUE"""),"MOB")</f>
        <v>MOB</v>
      </c>
      <c r="B789" s="6" t="str">
        <f>IFERROR(__xludf.DUMMYFUNCTION("""COMPUTED_VALUE"""),"ENG")</f>
        <v>ENG</v>
      </c>
      <c r="C789" s="6" t="str">
        <f>IFERROR(__xludf.DUMMYFUNCTION("""COMPUTED_VALUE"""),"P-52807-00")</f>
        <v>P-52807-00</v>
      </c>
      <c r="D789" s="6" t="str">
        <f>IFERROR(__xludf.DUMMYFUNCTION("""COMPUTED_VALUE"""),"4"" Inline Hydrophonic Fan 0,04kw 220V")</f>
        <v>4" Inline Hydrophonic Fan 0,04kw 220V</v>
      </c>
      <c r="E789" s="6">
        <f>IFERROR(__xludf.DUMMYFUNCTION("""COMPUTED_VALUE"""),1.0)</f>
        <v>1</v>
      </c>
      <c r="F789" s="6">
        <f>IFERROR(__xludf.DUMMYFUNCTION("""COMPUTED_VALUE"""),1.0)</f>
        <v>1</v>
      </c>
      <c r="G789" s="6">
        <f>IFERROR(__xludf.DUMMYFUNCTION("""COMPUTED_VALUE"""),0.0)</f>
        <v>0</v>
      </c>
      <c r="H789" s="6" t="str">
        <f>IFERROR(__xludf.DUMMYFUNCTION("""COMPUTED_VALUE"""),"pcs")</f>
        <v>pcs</v>
      </c>
      <c r="I789" s="6" t="str">
        <f>IFERROR(__xludf.DUMMYFUNCTION("""COMPUTED_VALUE"""),"MFH")</f>
        <v>MFH</v>
      </c>
      <c r="J789" s="6" t="str">
        <f>IFERROR(__xludf.DUMMYFUNCTION("""COMPUTED_VALUE"""),"-")</f>
        <v>-</v>
      </c>
      <c r="K789" s="6" t="str">
        <f>IFERROR(__xludf.DUMMYFUNCTION("""COMPUTED_VALUE"""),"SPR/04/24/020")</f>
        <v>SPR/04/24/020</v>
      </c>
      <c r="L789" s="13">
        <f>IFERROR(__xludf.DUMMYFUNCTION("""COMPUTED_VALUE"""),45412.0)</f>
        <v>45412</v>
      </c>
    </row>
    <row r="790">
      <c r="A790" s="6" t="str">
        <f>IFERROR(__xludf.DUMMYFUNCTION("""COMPUTED_VALUE"""),"ANO")</f>
        <v>ANO</v>
      </c>
      <c r="B790" s="6" t="str">
        <f>IFERROR(__xludf.DUMMYFUNCTION("""COMPUTED_VALUE"""),"ENG")</f>
        <v>ENG</v>
      </c>
      <c r="C790" s="6" t="str">
        <f>IFERROR(__xludf.DUMMYFUNCTION("""COMPUTED_VALUE"""),"P-18725-00")</f>
        <v>P-18725-00</v>
      </c>
      <c r="D790" s="6" t="str">
        <f>IFERROR(__xludf.DUMMYFUNCTION("""COMPUTED_VALUE"""),"Freon Refrigerant Chemours Suva R507; ; ;")</f>
        <v>Freon Refrigerant Chemours Suva R507; ; ;</v>
      </c>
      <c r="E790" s="6">
        <f>IFERROR(__xludf.DUMMYFUNCTION("""COMPUTED_VALUE"""),4.0)</f>
        <v>4</v>
      </c>
      <c r="F790" s="6">
        <f>IFERROR(__xludf.DUMMYFUNCTION("""COMPUTED_VALUE"""),3.0)</f>
        <v>3</v>
      </c>
      <c r="G790" s="6">
        <f>IFERROR(__xludf.DUMMYFUNCTION("""COMPUTED_VALUE"""),0.0)</f>
        <v>0</v>
      </c>
      <c r="H790" s="6" t="str">
        <f>IFERROR(__xludf.DUMMYFUNCTION("""COMPUTED_VALUE"""),"can")</f>
        <v>can</v>
      </c>
      <c r="I790" s="6" t="str">
        <f>IFERROR(__xludf.DUMMYFUNCTION("""COMPUTED_VALUE"""),"MFH")</f>
        <v>MFH</v>
      </c>
      <c r="J790" s="6" t="str">
        <f>IFERROR(__xludf.DUMMYFUNCTION("""COMPUTED_VALUE"""),"FD")</f>
        <v>FD</v>
      </c>
      <c r="K790" s="6" t="str">
        <f>IFERROR(__xludf.DUMMYFUNCTION("""COMPUTED_VALUE"""),"SPR/04/24/021")</f>
        <v>SPR/04/24/021</v>
      </c>
      <c r="L790" s="13">
        <f>IFERROR(__xludf.DUMMYFUNCTION("""COMPUTED_VALUE"""),45412.0)</f>
        <v>45412</v>
      </c>
    </row>
    <row r="791">
      <c r="A791" s="6" t="str">
        <f>IFERROR(__xludf.DUMMYFUNCTION("""COMPUTED_VALUE"""),"NDS")</f>
        <v>NDS</v>
      </c>
      <c r="B791" s="6" t="str">
        <f>IFERROR(__xludf.DUMMYFUNCTION("""COMPUTED_VALUE"""),"ENG")</f>
        <v>ENG</v>
      </c>
      <c r="C791" s="6" t="str">
        <f>IFERROR(__xludf.DUMMYFUNCTION("""COMPUTED_VALUE"""),"P-11405-00")</f>
        <v>P-11405-00</v>
      </c>
      <c r="D791" s="6" t="str">
        <f>IFERROR(__xludf.DUMMYFUNCTION("""COMPUTED_VALUE"""),"Seal Ferrule Teflon 1""")</f>
        <v>Seal Ferrule Teflon 1"</v>
      </c>
      <c r="E791" s="6">
        <f>IFERROR(__xludf.DUMMYFUNCTION("""COMPUTED_VALUE"""),1.0)</f>
        <v>1</v>
      </c>
      <c r="F791" s="6">
        <f>IFERROR(__xludf.DUMMYFUNCTION("""COMPUTED_VALUE"""),2.0)</f>
        <v>2</v>
      </c>
      <c r="G791" s="6">
        <f>IFERROR(__xludf.DUMMYFUNCTION("""COMPUTED_VALUE"""),0.0)</f>
        <v>0</v>
      </c>
      <c r="H791" s="6" t="str">
        <f>IFERROR(__xludf.DUMMYFUNCTION("""COMPUTED_VALUE"""),"pcs")</f>
        <v>pcs</v>
      </c>
      <c r="I791" s="6" t="str">
        <f>IFERROR(__xludf.DUMMYFUNCTION("""COMPUTED_VALUE"""),"MFH")</f>
        <v>MFH</v>
      </c>
      <c r="J791" s="6" t="str">
        <f>IFERROR(__xludf.DUMMYFUNCTION("""COMPUTED_VALUE"""),"FD")</f>
        <v>FD</v>
      </c>
      <c r="K791" s="6" t="str">
        <f>IFERROR(__xludf.DUMMYFUNCTION("""COMPUTED_VALUE"""),"SPR/04/24/022")</f>
        <v>SPR/04/24/022</v>
      </c>
      <c r="L791" s="13">
        <f>IFERROR(__xludf.DUMMYFUNCTION("""COMPUTED_VALUE"""),45412.0)</f>
        <v>45412</v>
      </c>
    </row>
    <row r="792">
      <c r="A792" s="6" t="str">
        <f>IFERROR(__xludf.DUMMYFUNCTION("""COMPUTED_VALUE"""),"NDS")</f>
        <v>NDS</v>
      </c>
      <c r="B792" s="6" t="str">
        <f>IFERROR(__xludf.DUMMYFUNCTION("""COMPUTED_VALUE"""),"ENG")</f>
        <v>ENG</v>
      </c>
      <c r="C792" s="6" t="str">
        <f>IFERROR(__xludf.DUMMYFUNCTION("""COMPUTED_VALUE"""),"O-16647-00")</f>
        <v>O-16647-00</v>
      </c>
      <c r="D792" s="6" t="str">
        <f>IFERROR(__xludf.DUMMYFUNCTION("""COMPUTED_VALUE"""),"Washing RAR4 - Oring Silicone Merah 23x18x2.5 mm; ; ;")</f>
        <v>Washing RAR4 - Oring Silicone Merah 23x18x2.5 mm; ; ;</v>
      </c>
      <c r="E792" s="6">
        <f>IFERROR(__xludf.DUMMYFUNCTION("""COMPUTED_VALUE"""),10.0)</f>
        <v>10</v>
      </c>
      <c r="F792" s="6">
        <f>IFERROR(__xludf.DUMMYFUNCTION("""COMPUTED_VALUE"""),10.0)</f>
        <v>10</v>
      </c>
      <c r="G792" s="6">
        <f>IFERROR(__xludf.DUMMYFUNCTION("""COMPUTED_VALUE"""),0.0)</f>
        <v>0</v>
      </c>
      <c r="H792" s="6" t="str">
        <f>IFERROR(__xludf.DUMMYFUNCTION("""COMPUTED_VALUE"""),"Pcs")</f>
        <v>Pcs</v>
      </c>
      <c r="I792" s="6" t="str">
        <f>IFERROR(__xludf.DUMMYFUNCTION("""COMPUTED_VALUE"""),"MFH")</f>
        <v>MFH</v>
      </c>
      <c r="J792" s="6" t="str">
        <f>IFERROR(__xludf.DUMMYFUNCTION("""COMPUTED_VALUE"""),"Capping")</f>
        <v>Capping</v>
      </c>
      <c r="K792" s="6" t="str">
        <f>IFERROR(__xludf.DUMMYFUNCTION("""COMPUTED_VALUE"""),"SPR/04/24/023")</f>
        <v>SPR/04/24/023</v>
      </c>
      <c r="L792" s="13">
        <f>IFERROR(__xludf.DUMMYFUNCTION("""COMPUTED_VALUE"""),45412.0)</f>
        <v>45412</v>
      </c>
    </row>
    <row r="793">
      <c r="A793" s="6" t="str">
        <f>IFERROR(__xludf.DUMMYFUNCTION("""COMPUTED_VALUE"""),"ROS")</f>
        <v>ROS</v>
      </c>
      <c r="B793" s="6" t="str">
        <f>IFERROR(__xludf.DUMMYFUNCTION("""COMPUTED_VALUE"""),"ENG")</f>
        <v>ENG</v>
      </c>
      <c r="C793" s="6" t="str">
        <f>IFERROR(__xludf.DUMMYFUNCTION("""COMPUTED_VALUE"""),"P-14455-00")</f>
        <v>P-14455-00</v>
      </c>
      <c r="D793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793" s="6">
        <f>IFERROR(__xludf.DUMMYFUNCTION("""COMPUTED_VALUE"""),1.0)</f>
        <v>1</v>
      </c>
      <c r="F793" s="6">
        <f>IFERROR(__xludf.DUMMYFUNCTION("""COMPUTED_VALUE"""),1.0)</f>
        <v>1</v>
      </c>
      <c r="G793" s="6">
        <f>IFERROR(__xludf.DUMMYFUNCTION("""COMPUTED_VALUE"""),0.0)</f>
        <v>0</v>
      </c>
      <c r="H793" s="6" t="str">
        <f>IFERROR(__xludf.DUMMYFUNCTION("""COMPUTED_VALUE"""),"Pcs")</f>
        <v>Pcs</v>
      </c>
      <c r="I793" s="6" t="str">
        <f>IFERROR(__xludf.DUMMYFUNCTION("""COMPUTED_VALUE"""),"MFH")</f>
        <v>MFH</v>
      </c>
      <c r="J793" s="6" t="str">
        <f>IFERROR(__xludf.DUMMYFUNCTION("""COMPUTED_VALUE"""),"AHU")</f>
        <v>AHU</v>
      </c>
      <c r="K793" s="6" t="str">
        <f>IFERROR(__xludf.DUMMYFUNCTION("""COMPUTED_VALUE"""),"SPR/04/24/024")</f>
        <v>SPR/04/24/024</v>
      </c>
      <c r="L793" s="13">
        <f>IFERROR(__xludf.DUMMYFUNCTION("""COMPUTED_VALUE"""),45412.0)</f>
        <v>45412</v>
      </c>
    </row>
    <row r="794">
      <c r="A794" s="6" t="str">
        <f>IFERROR(__xludf.DUMMYFUNCTION("""COMPUTED_VALUE"""),"ROS")</f>
        <v>ROS</v>
      </c>
      <c r="B794" s="6" t="str">
        <f>IFERROR(__xludf.DUMMYFUNCTION("""COMPUTED_VALUE"""),"ENG")</f>
        <v>ENG</v>
      </c>
      <c r="C794" s="6" t="str">
        <f>IFERROR(__xludf.DUMMYFUNCTION("""COMPUTED_VALUE"""),"O-19740-00")</f>
        <v>O-19740-00</v>
      </c>
      <c r="D794" s="6" t="str">
        <f>IFERROR(__xludf.DUMMYFUNCTION("""COMPUTED_VALUE"""),"HB Series H13 99,99%, on 0.3 Micron, Size 592 x 592 x 292 mm; IAF; ;")</f>
        <v>HB Series H13 99,99%, on 0.3 Micron, Size 592 x 592 x 292 mm; IAF; ;</v>
      </c>
      <c r="E794" s="6">
        <f>IFERROR(__xludf.DUMMYFUNCTION("""COMPUTED_VALUE"""),6.0)</f>
        <v>6</v>
      </c>
      <c r="F794" s="6">
        <f>IFERROR(__xludf.DUMMYFUNCTION("""COMPUTED_VALUE"""),6.0)</f>
        <v>6</v>
      </c>
      <c r="G794" s="6">
        <f>IFERROR(__xludf.DUMMYFUNCTION("""COMPUTED_VALUE"""),0.0)</f>
        <v>0</v>
      </c>
      <c r="H794" s="6" t="str">
        <f>IFERROR(__xludf.DUMMYFUNCTION("""COMPUTED_VALUE"""),"Pcs")</f>
        <v>Pcs</v>
      </c>
      <c r="I794" s="6" t="str">
        <f>IFERROR(__xludf.DUMMYFUNCTION("""COMPUTED_VALUE"""),"MFH")</f>
        <v>MFH</v>
      </c>
      <c r="J794" s="6" t="str">
        <f>IFERROR(__xludf.DUMMYFUNCTION("""COMPUTED_VALUE"""),"AHU")</f>
        <v>AHU</v>
      </c>
      <c r="K794" s="6" t="str">
        <f>IFERROR(__xludf.DUMMYFUNCTION("""COMPUTED_VALUE"""),"SPR/04/24/024")</f>
        <v>SPR/04/24/024</v>
      </c>
      <c r="L794" s="13">
        <f>IFERROR(__xludf.DUMMYFUNCTION("""COMPUTED_VALUE"""),45412.0)</f>
        <v>45412</v>
      </c>
    </row>
    <row r="795">
      <c r="A795" s="6" t="str">
        <f>IFERROR(__xludf.DUMMYFUNCTION("""COMPUTED_VALUE"""),"ROS")</f>
        <v>ROS</v>
      </c>
      <c r="B795" s="6" t="str">
        <f>IFERROR(__xludf.DUMMYFUNCTION("""COMPUTED_VALUE"""),"ENG")</f>
        <v>ENG</v>
      </c>
      <c r="C795" s="6" t="str">
        <f>IFERROR(__xludf.DUMMYFUNCTION("""COMPUTED_VALUE"""),"P-18908-00")</f>
        <v>P-18908-00</v>
      </c>
      <c r="D795" s="6" t="str">
        <f>IFERROR(__xludf.DUMMYFUNCTION("""COMPUTED_VALUE"""),"Mata Bor Besi HSS Point TeQ 13 Pcs (1.5 mm - 6.5 mm); Bosch; ;")</f>
        <v>Mata Bor Besi HSS Point TeQ 13 Pcs (1.5 mm - 6.5 mm); Bosch; ;</v>
      </c>
      <c r="E795" s="6">
        <f>IFERROR(__xludf.DUMMYFUNCTION("""COMPUTED_VALUE"""),1.0)</f>
        <v>1</v>
      </c>
      <c r="F795" s="6">
        <f>IFERROR(__xludf.DUMMYFUNCTION("""COMPUTED_VALUE"""),1.0)</f>
        <v>1</v>
      </c>
      <c r="G795" s="6">
        <f>IFERROR(__xludf.DUMMYFUNCTION("""COMPUTED_VALUE"""),0.0)</f>
        <v>0</v>
      </c>
      <c r="H795" s="6" t="str">
        <f>IFERROR(__xludf.DUMMYFUNCTION("""COMPUTED_VALUE"""),"Pcs")</f>
        <v>Pcs</v>
      </c>
      <c r="I795" s="6" t="str">
        <f>IFERROR(__xludf.DUMMYFUNCTION("""COMPUTED_VALUE"""),"MFH")</f>
        <v>MFH</v>
      </c>
      <c r="J795" s="6" t="str">
        <f>IFERROR(__xludf.DUMMYFUNCTION("""COMPUTED_VALUE"""),"FD")</f>
        <v>FD</v>
      </c>
      <c r="K795" s="6" t="str">
        <f>IFERROR(__xludf.DUMMYFUNCTION("""COMPUTED_VALUE"""),"SPR/04/24/025")</f>
        <v>SPR/04/24/025</v>
      </c>
      <c r="L795" s="13">
        <f>IFERROR(__xludf.DUMMYFUNCTION("""COMPUTED_VALUE"""),45412.0)</f>
        <v>45412</v>
      </c>
    </row>
    <row r="796">
      <c r="A796" s="6" t="str">
        <f>IFERROR(__xludf.DUMMYFUNCTION("""COMPUTED_VALUE"""),"ROS")</f>
        <v>ROS</v>
      </c>
      <c r="B796" s="6" t="str">
        <f>IFERROR(__xludf.DUMMYFUNCTION("""COMPUTED_VALUE"""),"ENG")</f>
        <v>ENG</v>
      </c>
      <c r="C796" s="6" t="str">
        <f>IFERROR(__xludf.DUMMYFUNCTION("""COMPUTED_VALUE"""),"O-52200-00")</f>
        <v>O-52200-00</v>
      </c>
      <c r="D796" s="6" t="str">
        <f>IFERROR(__xludf.DUMMYFUNCTION("""COMPUTED_VALUE"""),"FESTO -  Proximity Sensor SME-8M-DS-24V-K-0,3-M8D p/n: 543861")</f>
        <v>FESTO -  Proximity Sensor SME-8M-DS-24V-K-0,3-M8D p/n: 543861</v>
      </c>
      <c r="E796" s="6">
        <f>IFERROR(__xludf.DUMMYFUNCTION("""COMPUTED_VALUE"""),1.0)</f>
        <v>1</v>
      </c>
      <c r="F796" s="6">
        <f>IFERROR(__xludf.DUMMYFUNCTION("""COMPUTED_VALUE"""),1.0)</f>
        <v>1</v>
      </c>
      <c r="G796" s="6">
        <f>IFERROR(__xludf.DUMMYFUNCTION("""COMPUTED_VALUE"""),0.0)</f>
        <v>0</v>
      </c>
      <c r="H796" s="6" t="str">
        <f>IFERROR(__xludf.DUMMYFUNCTION("""COMPUTED_VALUE"""),"Pcs")</f>
        <v>Pcs</v>
      </c>
      <c r="I796" s="6" t="str">
        <f>IFERROR(__xludf.DUMMYFUNCTION("""COMPUTED_VALUE"""),"MFH")</f>
        <v>MFH</v>
      </c>
      <c r="J796" s="6" t="str">
        <f>IFERROR(__xludf.DUMMYFUNCTION("""COMPUTED_VALUE"""),"Washing")</f>
        <v>Washing</v>
      </c>
      <c r="K796" s="6" t="str">
        <f>IFERROR(__xludf.DUMMYFUNCTION("""COMPUTED_VALUE"""),"SPR/04/24/025")</f>
        <v>SPR/04/24/025</v>
      </c>
      <c r="L796" s="13">
        <f>IFERROR(__xludf.DUMMYFUNCTION("""COMPUTED_VALUE"""),45412.0)</f>
        <v>45412</v>
      </c>
    </row>
    <row r="797">
      <c r="A797" s="6" t="str">
        <f>IFERROR(__xludf.DUMMYFUNCTION("""COMPUTED_VALUE"""),"ROS")</f>
        <v>ROS</v>
      </c>
      <c r="B797" s="6" t="str">
        <f>IFERROR(__xludf.DUMMYFUNCTION("""COMPUTED_VALUE"""),"ENG")</f>
        <v>ENG</v>
      </c>
      <c r="C797" s="6" t="str">
        <f>IFERROR(__xludf.DUMMYFUNCTION("""COMPUTED_VALUE"""),"P-15852-00")</f>
        <v>P-15852-00</v>
      </c>
      <c r="D797" s="6" t="str">
        <f>IFERROR(__xludf.DUMMYFUNCTION("""COMPUTED_VALUE"""),"AMPLAS EAGLE 500")</f>
        <v>AMPLAS EAGLE 500</v>
      </c>
      <c r="E797" s="6">
        <f>IFERROR(__xludf.DUMMYFUNCTION("""COMPUTED_VALUE"""),2.0)</f>
        <v>2</v>
      </c>
      <c r="F797" s="6">
        <f>IFERROR(__xludf.DUMMYFUNCTION("""COMPUTED_VALUE"""),1.0)</f>
        <v>1</v>
      </c>
      <c r="G797" s="6">
        <f>IFERROR(__xludf.DUMMYFUNCTION("""COMPUTED_VALUE"""),0.0)</f>
        <v>0</v>
      </c>
      <c r="H797" s="6" t="str">
        <f>IFERROR(__xludf.DUMMYFUNCTION("""COMPUTED_VALUE"""),"pcs")</f>
        <v>pcs</v>
      </c>
      <c r="I797" s="6" t="str">
        <f>IFERROR(__xludf.DUMMYFUNCTION("""COMPUTED_VALUE"""),"MFH")</f>
        <v>MFH</v>
      </c>
      <c r="J797" s="6" t="str">
        <f>IFERROR(__xludf.DUMMYFUNCTION("""COMPUTED_VALUE"""),"FD")</f>
        <v>FD</v>
      </c>
      <c r="K797" s="6" t="str">
        <f>IFERROR(__xludf.DUMMYFUNCTION("""COMPUTED_VALUE"""),"SPR/04/24/025")</f>
        <v>SPR/04/24/025</v>
      </c>
      <c r="L797" s="13">
        <f>IFERROR(__xludf.DUMMYFUNCTION("""COMPUTED_VALUE"""),45412.0)</f>
        <v>45412</v>
      </c>
    </row>
    <row r="798">
      <c r="A798" s="6" t="str">
        <f>IFERROR(__xludf.DUMMYFUNCTION("""COMPUTED_VALUE"""),"ANO")</f>
        <v>ANO</v>
      </c>
      <c r="B798" s="6" t="str">
        <f>IFERROR(__xludf.DUMMYFUNCTION("""COMPUTED_VALUE"""),"ENG")</f>
        <v>ENG</v>
      </c>
      <c r="C798" s="6" t="str">
        <f>IFERROR(__xludf.DUMMYFUNCTION("""COMPUTED_VALUE"""),"Q-10249-00")</f>
        <v>Q-10249-00</v>
      </c>
      <c r="D798" s="6" t="str">
        <f>IFERROR(__xludf.DUMMYFUNCTION("""COMPUTED_VALUE"""),"Lem Power Glue; ; ;")</f>
        <v>Lem Power Glue; ; ;</v>
      </c>
      <c r="E798" s="6">
        <f>IFERROR(__xludf.DUMMYFUNCTION("""COMPUTED_VALUE"""),1.0)</f>
        <v>1</v>
      </c>
      <c r="F798" s="6">
        <f>IFERROR(__xludf.DUMMYFUNCTION("""COMPUTED_VALUE"""),1.0)</f>
        <v>1</v>
      </c>
      <c r="G798" s="6">
        <f>IFERROR(__xludf.DUMMYFUNCTION("""COMPUTED_VALUE"""),0.0)</f>
        <v>0</v>
      </c>
      <c r="H798" s="6" t="str">
        <f>IFERROR(__xludf.DUMMYFUNCTION("""COMPUTED_VALUE"""),"pcs")</f>
        <v>pcs</v>
      </c>
      <c r="I798" s="6" t="str">
        <f>IFERROR(__xludf.DUMMYFUNCTION("""COMPUTED_VALUE"""),"MFH")</f>
        <v>MFH</v>
      </c>
      <c r="J798" s="6" t="str">
        <f>IFERROR(__xludf.DUMMYFUNCTION("""COMPUTED_VALUE"""),"-")</f>
        <v>-</v>
      </c>
      <c r="K798" s="6" t="str">
        <f>IFERROR(__xludf.DUMMYFUNCTION("""COMPUTED_VALUE"""),"SPR/04/24/026")</f>
        <v>SPR/04/24/026</v>
      </c>
      <c r="L798" s="13">
        <f>IFERROR(__xludf.DUMMYFUNCTION("""COMPUTED_VALUE"""),45412.0)</f>
        <v>45412</v>
      </c>
    </row>
    <row r="799">
      <c r="A799" s="6" t="str">
        <f>IFERROR(__xludf.DUMMYFUNCTION("""COMPUTED_VALUE"""),"MOB")</f>
        <v>MOB</v>
      </c>
      <c r="B799" s="6" t="str">
        <f>IFERROR(__xludf.DUMMYFUNCTION("""COMPUTED_VALUE"""),"ENG")</f>
        <v>ENG</v>
      </c>
      <c r="C799" s="6" t="str">
        <f>IFERROR(__xludf.DUMMYFUNCTION("""COMPUTED_VALUE"""),"O-19347-00")</f>
        <v>O-19347-00</v>
      </c>
      <c r="D799" s="6" t="str">
        <f>IFERROR(__xludf.DUMMYFUNCTION("""COMPUTED_VALUE"""),"HEPA filter minipleat, size: 1220X610X93 H13; ; ;")</f>
        <v>HEPA filter minipleat, size: 1220X610X93 H13; ; ;</v>
      </c>
      <c r="E799" s="6">
        <f>IFERROR(__xludf.DUMMYFUNCTION("""COMPUTED_VALUE"""),5.0)</f>
        <v>5</v>
      </c>
      <c r="F799" s="6">
        <f>IFERROR(__xludf.DUMMYFUNCTION("""COMPUTED_VALUE"""),5.0)</f>
        <v>5</v>
      </c>
      <c r="G799" s="6">
        <f>IFERROR(__xludf.DUMMYFUNCTION("""COMPUTED_VALUE"""),0.0)</f>
        <v>0</v>
      </c>
      <c r="H799" s="6" t="str">
        <f>IFERROR(__xludf.DUMMYFUNCTION("""COMPUTED_VALUE"""),"pcs")</f>
        <v>pcs</v>
      </c>
      <c r="I799" s="6" t="str">
        <f>IFERROR(__xludf.DUMMYFUNCTION("""COMPUTED_VALUE"""),"MFH")</f>
        <v>MFH</v>
      </c>
      <c r="J799" s="6" t="str">
        <f>IFERROR(__xludf.DUMMYFUNCTION("""COMPUTED_VALUE"""),"AHU")</f>
        <v>AHU</v>
      </c>
      <c r="K799" s="6" t="str">
        <f>IFERROR(__xludf.DUMMYFUNCTION("""COMPUTED_VALUE"""),"SPR/04/24/027")</f>
        <v>SPR/04/24/027</v>
      </c>
      <c r="L799" s="13">
        <f>IFERROR(__xludf.DUMMYFUNCTION("""COMPUTED_VALUE"""),45412.0)</f>
        <v>45412</v>
      </c>
    </row>
    <row r="800">
      <c r="A800" s="6" t="str">
        <f>IFERROR(__xludf.DUMMYFUNCTION("""COMPUTED_VALUE"""),"SFH")</f>
        <v>SFH</v>
      </c>
      <c r="B800" s="6" t="str">
        <f>IFERROR(__xludf.DUMMYFUNCTION("""COMPUTED_VALUE"""),"ENG")</f>
        <v>ENG</v>
      </c>
      <c r="C800" s="6" t="str">
        <f>IFERROR(__xludf.DUMMYFUNCTION("""COMPUTED_VALUE"""),"Q-60003-00")</f>
        <v>Q-60003-00</v>
      </c>
      <c r="D800" s="6" t="str">
        <f>IFERROR(__xludf.DUMMYFUNCTION("""COMPUTED_VALUE"""),"Plakband Kertas")</f>
        <v>Plakband Kertas</v>
      </c>
      <c r="E800" s="6">
        <f>IFERROR(__xludf.DUMMYFUNCTION("""COMPUTED_VALUE"""),8.0)</f>
        <v>8</v>
      </c>
      <c r="F800" s="6">
        <f>IFERROR(__xludf.DUMMYFUNCTION("""COMPUTED_VALUE"""),8.0)</f>
        <v>8</v>
      </c>
      <c r="G800" s="6">
        <f>IFERROR(__xludf.DUMMYFUNCTION("""COMPUTED_VALUE"""),0.0)</f>
        <v>0</v>
      </c>
      <c r="H800" s="6" t="str">
        <f>IFERROR(__xludf.DUMMYFUNCTION("""COMPUTED_VALUE"""),"pcs")</f>
        <v>pcs</v>
      </c>
      <c r="I800" s="6" t="str">
        <f>IFERROR(__xludf.DUMMYFUNCTION("""COMPUTED_VALUE"""),"MFH")</f>
        <v>MFH</v>
      </c>
      <c r="J800" s="6" t="str">
        <f>IFERROR(__xludf.DUMMYFUNCTION("""COMPUTED_VALUE"""),"-")</f>
        <v>-</v>
      </c>
      <c r="K800" s="6" t="str">
        <f>IFERROR(__xludf.DUMMYFUNCTION("""COMPUTED_VALUE"""),"SPR/04/24/028")</f>
        <v>SPR/04/24/028</v>
      </c>
      <c r="L800" s="13">
        <f>IFERROR(__xludf.DUMMYFUNCTION("""COMPUTED_VALUE"""),45412.0)</f>
        <v>45412</v>
      </c>
    </row>
    <row r="801">
      <c r="A801" s="6" t="str">
        <f>IFERROR(__xludf.DUMMYFUNCTION("""COMPUTED_VALUE"""),"SFH")</f>
        <v>SFH</v>
      </c>
      <c r="B801" s="6" t="str">
        <f>IFERROR(__xludf.DUMMYFUNCTION("""COMPUTED_VALUE"""),"ENG")</f>
        <v>ENG</v>
      </c>
      <c r="C801" s="6" t="str">
        <f>IFERROR(__xludf.DUMMYFUNCTION("""COMPUTED_VALUE"""),"Q-60025-00")</f>
        <v>Q-60025-00</v>
      </c>
      <c r="D801" s="6" t="str">
        <f>IFERROR(__xludf.DUMMYFUNCTION("""COMPUTED_VALUE"""),"Kuas Eterna 1")</f>
        <v>Kuas Eterna 1</v>
      </c>
      <c r="E801" s="6">
        <f>IFERROR(__xludf.DUMMYFUNCTION("""COMPUTED_VALUE"""),2.0)</f>
        <v>2</v>
      </c>
      <c r="F801" s="6">
        <f>IFERROR(__xludf.DUMMYFUNCTION("""COMPUTED_VALUE"""),2.0)</f>
        <v>2</v>
      </c>
      <c r="G801" s="6">
        <f>IFERROR(__xludf.DUMMYFUNCTION("""COMPUTED_VALUE"""),0.0)</f>
        <v>0</v>
      </c>
      <c r="H801" s="6" t="str">
        <f>IFERROR(__xludf.DUMMYFUNCTION("""COMPUTED_VALUE"""),"pcs")</f>
        <v>pcs</v>
      </c>
      <c r="I801" s="6" t="str">
        <f>IFERROR(__xludf.DUMMYFUNCTION("""COMPUTED_VALUE"""),"MFH")</f>
        <v>MFH</v>
      </c>
      <c r="J801" s="6" t="str">
        <f>IFERROR(__xludf.DUMMYFUNCTION("""COMPUTED_VALUE"""),"Building")</f>
        <v>Building</v>
      </c>
      <c r="K801" s="6" t="str">
        <f>IFERROR(__xludf.DUMMYFUNCTION("""COMPUTED_VALUE"""),"SPR/04/24/028")</f>
        <v>SPR/04/24/028</v>
      </c>
      <c r="L801" s="13">
        <f>IFERROR(__xludf.DUMMYFUNCTION("""COMPUTED_VALUE"""),45412.0)</f>
        <v>45412</v>
      </c>
    </row>
    <row r="802">
      <c r="A802" s="6" t="str">
        <f>IFERROR(__xludf.DUMMYFUNCTION("""COMPUTED_VALUE"""),"SFH")</f>
        <v>SFH</v>
      </c>
      <c r="B802" s="6" t="str">
        <f>IFERROR(__xludf.DUMMYFUNCTION("""COMPUTED_VALUE"""),"ENG")</f>
        <v>ENG</v>
      </c>
      <c r="C802" s="6" t="str">
        <f>IFERROR(__xludf.DUMMYFUNCTION("""COMPUTED_VALUE"""),"-")</f>
        <v>-</v>
      </c>
      <c r="D802" s="6" t="str">
        <f>IFERROR(__xludf.DUMMYFUNCTION("""COMPUTED_VALUE"""),"Cat Propan Silver")</f>
        <v>Cat Propan Silver</v>
      </c>
      <c r="E802" s="6">
        <f>IFERROR(__xludf.DUMMYFUNCTION("""COMPUTED_VALUE"""),1.0)</f>
        <v>1</v>
      </c>
      <c r="F802" s="6">
        <f>IFERROR(__xludf.DUMMYFUNCTION("""COMPUTED_VALUE"""),1.0)</f>
        <v>1</v>
      </c>
      <c r="G802" s="6">
        <f>IFERROR(__xludf.DUMMYFUNCTION("""COMPUTED_VALUE"""),0.0)</f>
        <v>0</v>
      </c>
      <c r="H802" s="6" t="str">
        <f>IFERROR(__xludf.DUMMYFUNCTION("""COMPUTED_VALUE"""),"pcs")</f>
        <v>pcs</v>
      </c>
      <c r="I802" s="6" t="str">
        <f>IFERROR(__xludf.DUMMYFUNCTION("""COMPUTED_VALUE"""),"MFH")</f>
        <v>MFH</v>
      </c>
      <c r="J802" s="6" t="str">
        <f>IFERROR(__xludf.DUMMYFUNCTION("""COMPUTED_VALUE"""),"Building")</f>
        <v>Building</v>
      </c>
      <c r="K802" s="6" t="str">
        <f>IFERROR(__xludf.DUMMYFUNCTION("""COMPUTED_VALUE"""),"SPR/04/24/028")</f>
        <v>SPR/04/24/028</v>
      </c>
      <c r="L802" s="13">
        <f>IFERROR(__xludf.DUMMYFUNCTION("""COMPUTED_VALUE"""),45412.0)</f>
        <v>45412</v>
      </c>
    </row>
    <row r="803">
      <c r="A803" s="6" t="str">
        <f>IFERROR(__xludf.DUMMYFUNCTION("""COMPUTED_VALUE"""),"SFH")</f>
        <v>SFH</v>
      </c>
      <c r="B803" s="6" t="str">
        <f>IFERROR(__xludf.DUMMYFUNCTION("""COMPUTED_VALUE"""),"ENG")</f>
        <v>ENG</v>
      </c>
      <c r="C803" s="6" t="str">
        <f>IFERROR(__xludf.DUMMYFUNCTION("""COMPUTED_VALUE"""),"P-51560-00")</f>
        <v>P-51560-00</v>
      </c>
      <c r="D803" s="6" t="str">
        <f>IFERROR(__xludf.DUMMYFUNCTION("""COMPUTED_VALUE"""),"Lampu T5 28watt Putih; Phillips; ;")</f>
        <v>Lampu T5 28watt Putih; Phillips; ;</v>
      </c>
      <c r="E803" s="6">
        <f>IFERROR(__xludf.DUMMYFUNCTION("""COMPUTED_VALUE"""),15.0)</f>
        <v>15</v>
      </c>
      <c r="F803" s="6">
        <f>IFERROR(__xludf.DUMMYFUNCTION("""COMPUTED_VALUE"""),15.0)</f>
        <v>15</v>
      </c>
      <c r="G803" s="6">
        <f>IFERROR(__xludf.DUMMYFUNCTION("""COMPUTED_VALUE"""),0.0)</f>
        <v>0</v>
      </c>
      <c r="H803" s="6" t="str">
        <f>IFERROR(__xludf.DUMMYFUNCTION("""COMPUTED_VALUE"""),"pcs")</f>
        <v>pcs</v>
      </c>
      <c r="I803" s="6" t="str">
        <f>IFERROR(__xludf.DUMMYFUNCTION("""COMPUTED_VALUE"""),"MFH")</f>
        <v>MFH</v>
      </c>
      <c r="J803" s="6" t="str">
        <f>IFERROR(__xludf.DUMMYFUNCTION("""COMPUTED_VALUE"""),"Building")</f>
        <v>Building</v>
      </c>
      <c r="K803" s="6" t="str">
        <f>IFERROR(__xludf.DUMMYFUNCTION("""COMPUTED_VALUE"""),"SPR/04/24/029")</f>
        <v>SPR/04/24/029</v>
      </c>
      <c r="L803" s="13">
        <f>IFERROR(__xludf.DUMMYFUNCTION("""COMPUTED_VALUE"""),45412.0)</f>
        <v>45412</v>
      </c>
    </row>
    <row r="804">
      <c r="A804" s="6" t="str">
        <f>IFERROR(__xludf.DUMMYFUNCTION("""COMPUTED_VALUE"""),"SFH")</f>
        <v>SFH</v>
      </c>
      <c r="B804" s="6" t="str">
        <f>IFERROR(__xludf.DUMMYFUNCTION("""COMPUTED_VALUE"""),"ENG")</f>
        <v>ENG</v>
      </c>
      <c r="C804" s="6" t="str">
        <f>IFERROR(__xludf.DUMMYFUNCTION("""COMPUTED_VALUE"""),"P-15852-00")</f>
        <v>P-15852-00</v>
      </c>
      <c r="D804" s="6" t="str">
        <f>IFERROR(__xludf.DUMMYFUNCTION("""COMPUTED_VALUE"""),"AMPLAS EAGLE 500")</f>
        <v>AMPLAS EAGLE 500</v>
      </c>
      <c r="E804" s="6">
        <f>IFERROR(__xludf.DUMMYFUNCTION("""COMPUTED_VALUE"""),6.0)</f>
        <v>6</v>
      </c>
      <c r="F804" s="6">
        <f>IFERROR(__xludf.DUMMYFUNCTION("""COMPUTED_VALUE"""),4.0)</f>
        <v>4</v>
      </c>
      <c r="G804" s="6">
        <f>IFERROR(__xludf.DUMMYFUNCTION("""COMPUTED_VALUE"""),0.0)</f>
        <v>0</v>
      </c>
      <c r="H804" s="6" t="str">
        <f>IFERROR(__xludf.DUMMYFUNCTION("""COMPUTED_VALUE"""),"pcs")</f>
        <v>pcs</v>
      </c>
      <c r="I804" s="6" t="str">
        <f>IFERROR(__xludf.DUMMYFUNCTION("""COMPUTED_VALUE"""),"MFH")</f>
        <v>MFH</v>
      </c>
      <c r="J804" s="6" t="str">
        <f>IFERROR(__xludf.DUMMYFUNCTION("""COMPUTED_VALUE"""),"Building")</f>
        <v>Building</v>
      </c>
      <c r="K804" s="6" t="str">
        <f>IFERROR(__xludf.DUMMYFUNCTION("""COMPUTED_VALUE"""),"SPR/04/24/029")</f>
        <v>SPR/04/24/029</v>
      </c>
      <c r="L804" s="13">
        <f>IFERROR(__xludf.DUMMYFUNCTION("""COMPUTED_VALUE"""),45412.0)</f>
        <v>45412</v>
      </c>
    </row>
    <row r="805">
      <c r="A805" s="6" t="str">
        <f>IFERROR(__xludf.DUMMYFUNCTION("""COMPUTED_VALUE"""),"SFH")</f>
        <v>SFH</v>
      </c>
      <c r="B805" s="6" t="str">
        <f>IFERROR(__xludf.DUMMYFUNCTION("""COMPUTED_VALUE"""),"ENG")</f>
        <v>ENG</v>
      </c>
      <c r="C805" s="6" t="str">
        <f>IFERROR(__xludf.DUMMYFUNCTION("""COMPUTED_VALUE"""),"P-13389-00")</f>
        <v>P-13389-00</v>
      </c>
      <c r="D805" s="6" t="str">
        <f>IFERROR(__xludf.DUMMYFUNCTION("""COMPUTED_VALUE"""),"Scotch Brite 3M; ; ;")</f>
        <v>Scotch Brite 3M; ; ;</v>
      </c>
      <c r="E805" s="6">
        <f>IFERROR(__xludf.DUMMYFUNCTION("""COMPUTED_VALUE"""),3.0)</f>
        <v>3</v>
      </c>
      <c r="F805" s="6">
        <f>IFERROR(__xludf.DUMMYFUNCTION("""COMPUTED_VALUE"""),1.0)</f>
        <v>1</v>
      </c>
      <c r="G805" s="6">
        <f>IFERROR(__xludf.DUMMYFUNCTION("""COMPUTED_VALUE"""),0.0)</f>
        <v>0</v>
      </c>
      <c r="H805" s="6" t="str">
        <f>IFERROR(__xludf.DUMMYFUNCTION("""COMPUTED_VALUE"""),"pcs")</f>
        <v>pcs</v>
      </c>
      <c r="I805" s="6" t="str">
        <f>IFERROR(__xludf.DUMMYFUNCTION("""COMPUTED_VALUE"""),"MFH")</f>
        <v>MFH</v>
      </c>
      <c r="J805" s="6" t="str">
        <f>IFERROR(__xludf.DUMMYFUNCTION("""COMPUTED_VALUE"""),"Building")</f>
        <v>Building</v>
      </c>
      <c r="K805" s="6" t="str">
        <f>IFERROR(__xludf.DUMMYFUNCTION("""COMPUTED_VALUE"""),"SPR/04/24/029")</f>
        <v>SPR/04/24/029</v>
      </c>
      <c r="L805" s="13">
        <f>IFERROR(__xludf.DUMMYFUNCTION("""COMPUTED_VALUE"""),45412.0)</f>
        <v>45412</v>
      </c>
    </row>
    <row r="806">
      <c r="A806" s="6" t="str">
        <f>IFERROR(__xludf.DUMMYFUNCTION("""COMPUTED_VALUE"""),"SFH")</f>
        <v>SFH</v>
      </c>
      <c r="B806" s="6" t="str">
        <f>IFERROR(__xludf.DUMMYFUNCTION("""COMPUTED_VALUE"""),"ENG")</f>
        <v>ENG</v>
      </c>
      <c r="C806" s="6" t="str">
        <f>IFERROR(__xludf.DUMMYFUNCTION("""COMPUTED_VALUE"""),"P-13389-00")</f>
        <v>P-13389-00</v>
      </c>
      <c r="D806" s="6" t="str">
        <f>IFERROR(__xludf.DUMMYFUNCTION("""COMPUTED_VALUE"""),"Scotch Brite 3M; ; ;")</f>
        <v>Scotch Brite 3M; ; ;</v>
      </c>
      <c r="E806" s="6">
        <f>IFERROR(__xludf.DUMMYFUNCTION("""COMPUTED_VALUE"""),8.0)</f>
        <v>8</v>
      </c>
      <c r="F806" s="6">
        <f>IFERROR(__xludf.DUMMYFUNCTION("""COMPUTED_VALUE"""),6.0)</f>
        <v>6</v>
      </c>
      <c r="G806" s="6">
        <f>IFERROR(__xludf.DUMMYFUNCTION("""COMPUTED_VALUE"""),0.0)</f>
        <v>0</v>
      </c>
      <c r="H806" s="6" t="str">
        <f>IFERROR(__xludf.DUMMYFUNCTION("""COMPUTED_VALUE"""),"pcs")</f>
        <v>pcs</v>
      </c>
      <c r="I806" s="6" t="str">
        <f>IFERROR(__xludf.DUMMYFUNCTION("""COMPUTED_VALUE"""),"MFH")</f>
        <v>MFH</v>
      </c>
      <c r="J806" s="6" t="str">
        <f>IFERROR(__xludf.DUMMYFUNCTION("""COMPUTED_VALUE"""),"Building")</f>
        <v>Building</v>
      </c>
      <c r="K806" s="6" t="str">
        <f>IFERROR(__xludf.DUMMYFUNCTION("""COMPUTED_VALUE"""),"SPR/04/24/030")</f>
        <v>SPR/04/24/030</v>
      </c>
      <c r="L806" s="13">
        <f>IFERROR(__xludf.DUMMYFUNCTION("""COMPUTED_VALUE"""),45412.0)</f>
        <v>45412</v>
      </c>
    </row>
    <row r="807">
      <c r="A807" s="6" t="str">
        <f>IFERROR(__xludf.DUMMYFUNCTION("""COMPUTED_VALUE"""),"AAA")</f>
        <v>AAA</v>
      </c>
      <c r="B807" s="6" t="str">
        <f>IFERROR(__xludf.DUMMYFUNCTION("""COMPUTED_VALUE"""),"ENG")</f>
        <v>ENG</v>
      </c>
      <c r="C807" s="6" t="str">
        <f>IFERROR(__xludf.DUMMYFUNCTION("""COMPUTED_VALUE"""),"O-52820-00")</f>
        <v>O-52820-00</v>
      </c>
      <c r="D807" s="6" t="str">
        <f>IFERROR(__xludf.DUMMYFUNCTION("""COMPUTED_VALUE"""),"Basic Operation Panel SINAMICS G120 6SL3255-0AA00-4CA1; Siemens; ;")</f>
        <v>Basic Operation Panel SINAMICS G120 6SL3255-0AA00-4CA1; Siemens; ;</v>
      </c>
      <c r="E807" s="6">
        <f>IFERROR(__xludf.DUMMYFUNCTION("""COMPUTED_VALUE"""),3.0)</f>
        <v>3</v>
      </c>
      <c r="F807" s="6">
        <f>IFERROR(__xludf.DUMMYFUNCTION("""COMPUTED_VALUE"""),3.0)</f>
        <v>3</v>
      </c>
      <c r="G807" s="6">
        <f>IFERROR(__xludf.DUMMYFUNCTION("""COMPUTED_VALUE"""),0.0)</f>
        <v>0</v>
      </c>
      <c r="H807" s="6" t="str">
        <f>IFERROR(__xludf.DUMMYFUNCTION("""COMPUTED_VALUE"""),"pcs")</f>
        <v>pcs</v>
      </c>
      <c r="I807" s="6" t="str">
        <f>IFERROR(__xludf.DUMMYFUNCTION("""COMPUTED_VALUE"""),"MFH")</f>
        <v>MFH</v>
      </c>
      <c r="J807" s="6" t="str">
        <f>IFERROR(__xludf.DUMMYFUNCTION("""COMPUTED_VALUE"""),"EDM")</f>
        <v>EDM</v>
      </c>
      <c r="K807" s="6" t="str">
        <f>IFERROR(__xludf.DUMMYFUNCTION("""COMPUTED_VALUE"""),"SPR/04/24/031")</f>
        <v>SPR/04/24/031</v>
      </c>
      <c r="L807" s="13">
        <f>IFERROR(__xludf.DUMMYFUNCTION("""COMPUTED_VALUE"""),45412.0)</f>
        <v>45412</v>
      </c>
    </row>
    <row r="808">
      <c r="A808" s="6" t="str">
        <f>IFERROR(__xludf.DUMMYFUNCTION("""COMPUTED_VALUE"""),"AAA")</f>
        <v>AAA</v>
      </c>
      <c r="B808" s="6" t="str">
        <f>IFERROR(__xludf.DUMMYFUNCTION("""COMPUTED_VALUE"""),"ENG")</f>
        <v>ENG</v>
      </c>
      <c r="C808" s="6" t="str">
        <f>IFERROR(__xludf.DUMMYFUNCTION("""COMPUTED_VALUE"""),"O-52983-00")</f>
        <v>O-52983-00</v>
      </c>
      <c r="D808" s="6" t="str">
        <f>IFERROR(__xludf.DUMMYFUNCTION("""COMPUTED_VALUE"""),"Inverter Power Module PM240-2 0,37KW Sinamic; Siemens; ;")</f>
        <v>Inverter Power Module PM240-2 0,37KW Sinamic; Siemens; ;</v>
      </c>
      <c r="E808" s="6">
        <f>IFERROR(__xludf.DUMMYFUNCTION("""COMPUTED_VALUE"""),3.0)</f>
        <v>3</v>
      </c>
      <c r="F808" s="6">
        <f>IFERROR(__xludf.DUMMYFUNCTION("""COMPUTED_VALUE"""),3.0)</f>
        <v>3</v>
      </c>
      <c r="G808" s="6">
        <f>IFERROR(__xludf.DUMMYFUNCTION("""COMPUTED_VALUE"""),0.0)</f>
        <v>0</v>
      </c>
      <c r="H808" s="6" t="str">
        <f>IFERROR(__xludf.DUMMYFUNCTION("""COMPUTED_VALUE"""),"pcs")</f>
        <v>pcs</v>
      </c>
      <c r="I808" s="6" t="str">
        <f>IFERROR(__xludf.DUMMYFUNCTION("""COMPUTED_VALUE"""),"MFH")</f>
        <v>MFH</v>
      </c>
      <c r="J808" s="6" t="str">
        <f>IFERROR(__xludf.DUMMYFUNCTION("""COMPUTED_VALUE"""),"EDM")</f>
        <v>EDM</v>
      </c>
      <c r="K808" s="6" t="str">
        <f>IFERROR(__xludf.DUMMYFUNCTION("""COMPUTED_VALUE"""),"SPR/04/24/032")</f>
        <v>SPR/04/24/032</v>
      </c>
      <c r="L808" s="13">
        <f>IFERROR(__xludf.DUMMYFUNCTION("""COMPUTED_VALUE"""),45412.0)</f>
        <v>45412</v>
      </c>
    </row>
    <row r="809">
      <c r="A809" s="6" t="str">
        <f>IFERROR(__xludf.DUMMYFUNCTION("""COMPUTED_VALUE"""),"AAA")</f>
        <v>AAA</v>
      </c>
      <c r="B809" s="6" t="str">
        <f>IFERROR(__xludf.DUMMYFUNCTION("""COMPUTED_VALUE"""),"ENG")</f>
        <v>ENG</v>
      </c>
      <c r="C809" s="6" t="str">
        <f>IFERROR(__xludf.DUMMYFUNCTION("""COMPUTED_VALUE"""),"O-54127-00")</f>
        <v>O-54127-00</v>
      </c>
      <c r="D809" s="6" t="str">
        <f>IFERROR(__xludf.DUMMYFUNCTION("""COMPUTED_VALUE"""),"Control Unit G120 CU240E-2 DP E-type safety, Sinamics; Siemens; ;")</f>
        <v>Control Unit G120 CU240E-2 DP E-type safety, Sinamics; Siemens; ;</v>
      </c>
      <c r="E809" s="6">
        <f>IFERROR(__xludf.DUMMYFUNCTION("""COMPUTED_VALUE"""),2.0)</f>
        <v>2</v>
      </c>
      <c r="F809" s="6">
        <f>IFERROR(__xludf.DUMMYFUNCTION("""COMPUTED_VALUE"""),2.0)</f>
        <v>2</v>
      </c>
      <c r="G809" s="6">
        <f>IFERROR(__xludf.DUMMYFUNCTION("""COMPUTED_VALUE"""),0.0)</f>
        <v>0</v>
      </c>
      <c r="H809" s="6" t="str">
        <f>IFERROR(__xludf.DUMMYFUNCTION("""COMPUTED_VALUE"""),"pcs")</f>
        <v>pcs</v>
      </c>
      <c r="I809" s="6" t="str">
        <f>IFERROR(__xludf.DUMMYFUNCTION("""COMPUTED_VALUE"""),"MFH")</f>
        <v>MFH</v>
      </c>
      <c r="J809" s="6" t="str">
        <f>IFERROR(__xludf.DUMMYFUNCTION("""COMPUTED_VALUE"""),"EDM")</f>
        <v>EDM</v>
      </c>
      <c r="K809" s="6" t="str">
        <f>IFERROR(__xludf.DUMMYFUNCTION("""COMPUTED_VALUE"""),"SPR/04/24/032")</f>
        <v>SPR/04/24/032</v>
      </c>
      <c r="L809" s="13">
        <f>IFERROR(__xludf.DUMMYFUNCTION("""COMPUTED_VALUE"""),45412.0)</f>
        <v>45412</v>
      </c>
    </row>
    <row r="810">
      <c r="A810" s="6" t="str">
        <f>IFERROR(__xludf.DUMMYFUNCTION("""COMPUTED_VALUE"""),"AAA")</f>
        <v>AAA</v>
      </c>
      <c r="B810" s="6" t="str">
        <f>IFERROR(__xludf.DUMMYFUNCTION("""COMPUTED_VALUE"""),"ENG")</f>
        <v>ENG</v>
      </c>
      <c r="C810" s="6" t="str">
        <f>IFERROR(__xludf.DUMMYFUNCTION("""COMPUTED_VALUE"""),"O-54169-00")</f>
        <v>O-54169-00</v>
      </c>
      <c r="D810" s="6" t="str">
        <f>IFERROR(__xludf.DUMMYFUNCTION("""COMPUTED_VALUE"""),"Control Unit G120 CU250S-2 DP Integriert Sinamics; Siemens; ;")</f>
        <v>Control Unit G120 CU250S-2 DP Integriert Sinamics; Siemens; ;</v>
      </c>
      <c r="E810" s="6">
        <f>IFERROR(__xludf.DUMMYFUNCTION("""COMPUTED_VALUE"""),1.0)</f>
        <v>1</v>
      </c>
      <c r="F810" s="6">
        <f>IFERROR(__xludf.DUMMYFUNCTION("""COMPUTED_VALUE"""),1.0)</f>
        <v>1</v>
      </c>
      <c r="G810" s="6">
        <f>IFERROR(__xludf.DUMMYFUNCTION("""COMPUTED_VALUE"""),0.0)</f>
        <v>0</v>
      </c>
      <c r="H810" s="6" t="str">
        <f>IFERROR(__xludf.DUMMYFUNCTION("""COMPUTED_VALUE"""),"pcs")</f>
        <v>pcs</v>
      </c>
      <c r="I810" s="6" t="str">
        <f>IFERROR(__xludf.DUMMYFUNCTION("""COMPUTED_VALUE"""),"MFH")</f>
        <v>MFH</v>
      </c>
      <c r="J810" s="6" t="str">
        <f>IFERROR(__xludf.DUMMYFUNCTION("""COMPUTED_VALUE"""),"EDM")</f>
        <v>EDM</v>
      </c>
      <c r="K810" s="6" t="str">
        <f>IFERROR(__xludf.DUMMYFUNCTION("""COMPUTED_VALUE"""),"SPR/04/24/032")</f>
        <v>SPR/04/24/032</v>
      </c>
      <c r="L810" s="13">
        <f>IFERROR(__xludf.DUMMYFUNCTION("""COMPUTED_VALUE"""),45412.0)</f>
        <v>45412</v>
      </c>
    </row>
    <row r="811">
      <c r="A811" s="6" t="str">
        <f>IFERROR(__xludf.DUMMYFUNCTION("""COMPUTED_VALUE"""),"EPO")</f>
        <v>EPO</v>
      </c>
      <c r="B811" s="6" t="str">
        <f>IFERROR(__xludf.DUMMYFUNCTION("""COMPUTED_VALUE"""),"QAS")</f>
        <v>QAS</v>
      </c>
      <c r="C811" s="6" t="str">
        <f>IFERROR(__xludf.DUMMYFUNCTION("""COMPUTED_VALUE"""),"P-13650-00")</f>
        <v>P-13650-00</v>
      </c>
      <c r="D811" s="6" t="str">
        <f>IFERROR(__xludf.DUMMYFUNCTION("""COMPUTED_VALUE"""),"Manual Valve HE-2-QS-6; FESTO; ;")</f>
        <v>Manual Valve HE-2-QS-6; FESTO; ;</v>
      </c>
      <c r="E811" s="6">
        <f>IFERROR(__xludf.DUMMYFUNCTION("""COMPUTED_VALUE"""),3.0)</f>
        <v>3</v>
      </c>
      <c r="F811" s="6">
        <f>IFERROR(__xludf.DUMMYFUNCTION("""COMPUTED_VALUE"""),1.0)</f>
        <v>1</v>
      </c>
      <c r="G811" s="6">
        <f>IFERROR(__xludf.DUMMYFUNCTION("""COMPUTED_VALUE"""),0.0)</f>
        <v>0</v>
      </c>
      <c r="H811" s="6" t="str">
        <f>IFERROR(__xludf.DUMMYFUNCTION("""COMPUTED_VALUE"""),"pcs")</f>
        <v>pcs</v>
      </c>
      <c r="I811" s="6" t="str">
        <f>IFERROR(__xludf.DUMMYFUNCTION("""COMPUTED_VALUE"""),"MFH")</f>
        <v>MFH</v>
      </c>
      <c r="J811" s="6" t="str">
        <f>IFERROR(__xludf.DUMMYFUNCTION("""COMPUTED_VALUE"""),"EDM")</f>
        <v>EDM</v>
      </c>
      <c r="K811" s="6" t="str">
        <f>IFERROR(__xludf.DUMMYFUNCTION("""COMPUTED_VALUE"""),"SPR/04/24/033")</f>
        <v>SPR/04/24/033</v>
      </c>
      <c r="L811" s="13">
        <f>IFERROR(__xludf.DUMMYFUNCTION("""COMPUTED_VALUE"""),45412.0)</f>
        <v>45412</v>
      </c>
    </row>
    <row r="812">
      <c r="A812" s="6" t="str">
        <f>IFERROR(__xludf.DUMMYFUNCTION("""COMPUTED_VALUE"""),"AAA")</f>
        <v>AAA</v>
      </c>
      <c r="B812" s="6" t="str">
        <f>IFERROR(__xludf.DUMMYFUNCTION("""COMPUTED_VALUE"""),"ENG")</f>
        <v>ENG</v>
      </c>
      <c r="C812" s="6" t="str">
        <f>IFERROR(__xludf.DUMMYFUNCTION("""COMPUTED_VALUE"""),"O-17067-00")</f>
        <v>O-17067-00</v>
      </c>
      <c r="D812" s="6" t="str">
        <f>IFERROR(__xludf.DUMMYFUNCTION("""COMPUTED_VALUE"""),"Washing RAR4 - Rotating Pincer Pneumatic Clyinder With Protective Cap SINAR MUTIARA CAKRABUANA, PT P/N : 12636 pc")</f>
        <v>Washing RAR4 - Rotating Pincer Pneumatic Clyinder With Protective Cap SINAR MUTIARA CAKRABUANA, PT P/N : 12636 pc</v>
      </c>
      <c r="E812" s="6">
        <f>IFERROR(__xludf.DUMMYFUNCTION("""COMPUTED_VALUE"""),1.0)</f>
        <v>1</v>
      </c>
      <c r="F812" s="6">
        <f>IFERROR(__xludf.DUMMYFUNCTION("""COMPUTED_VALUE"""),1.0)</f>
        <v>1</v>
      </c>
      <c r="G812" s="6">
        <f>IFERROR(__xludf.DUMMYFUNCTION("""COMPUTED_VALUE"""),0.0)</f>
        <v>0</v>
      </c>
      <c r="H812" s="6" t="str">
        <f>IFERROR(__xludf.DUMMYFUNCTION("""COMPUTED_VALUE"""),"pcs")</f>
        <v>pcs</v>
      </c>
      <c r="I812" s="6" t="str">
        <f>IFERROR(__xludf.DUMMYFUNCTION("""COMPUTED_VALUE"""),"MFH")</f>
        <v>MFH</v>
      </c>
      <c r="J812" s="6" t="str">
        <f>IFERROR(__xludf.DUMMYFUNCTION("""COMPUTED_VALUE"""),"Washing")</f>
        <v>Washing</v>
      </c>
      <c r="K812" s="6" t="str">
        <f>IFERROR(__xludf.DUMMYFUNCTION("""COMPUTED_VALUE"""),"SPR/04/24/034")</f>
        <v>SPR/04/24/034</v>
      </c>
      <c r="L812" s="13">
        <f>IFERROR(__xludf.DUMMYFUNCTION("""COMPUTED_VALUE"""),45412.0)</f>
        <v>45412</v>
      </c>
    </row>
    <row r="813">
      <c r="A813" s="6" t="str">
        <f>IFERROR(__xludf.DUMMYFUNCTION("""COMPUTED_VALUE"""),"MOB")</f>
        <v>MOB</v>
      </c>
      <c r="B813" s="6" t="str">
        <f>IFERROR(__xludf.DUMMYFUNCTION("""COMPUTED_VALUE"""),"ENG")</f>
        <v>ENG</v>
      </c>
      <c r="C813" s="6" t="str">
        <f>IFERROR(__xludf.DUMMYFUNCTION("""COMPUTED_VALUE"""),"P-18066-00")</f>
        <v>P-18066-00</v>
      </c>
      <c r="D813" s="6" t="str">
        <f>IFERROR(__xludf.DUMMYFUNCTION("""COMPUTED_VALUE"""),"Hepa Filter - H13 ( 99,95% ) Size: 610x610x90")</f>
        <v>Hepa Filter - H13 ( 99,95% ) Size: 610x610x90</v>
      </c>
      <c r="E813" s="6">
        <f>IFERROR(__xludf.DUMMYFUNCTION("""COMPUTED_VALUE"""),3.0)</f>
        <v>3</v>
      </c>
      <c r="F813" s="6">
        <f>IFERROR(__xludf.DUMMYFUNCTION("""COMPUTED_VALUE"""),3.0)</f>
        <v>3</v>
      </c>
      <c r="G813" s="6">
        <f>IFERROR(__xludf.DUMMYFUNCTION("""COMPUTED_VALUE"""),0.0)</f>
        <v>0</v>
      </c>
      <c r="H813" s="6" t="str">
        <f>IFERROR(__xludf.DUMMYFUNCTION("""COMPUTED_VALUE"""),"pcs")</f>
        <v>pcs</v>
      </c>
      <c r="I813" s="6" t="str">
        <f>IFERROR(__xludf.DUMMYFUNCTION("""COMPUTED_VALUE"""),"MFH")</f>
        <v>MFH</v>
      </c>
      <c r="J813" s="6" t="str">
        <f>IFERROR(__xludf.DUMMYFUNCTION("""COMPUTED_VALUE"""),"AHU")</f>
        <v>AHU</v>
      </c>
      <c r="K813" s="6" t="str">
        <f>IFERROR(__xludf.DUMMYFUNCTION("""COMPUTED_VALUE"""),"SPR/04/24/035")</f>
        <v>SPR/04/24/035</v>
      </c>
      <c r="L813" s="13">
        <f>IFERROR(__xludf.DUMMYFUNCTION("""COMPUTED_VALUE"""),45412.0)</f>
        <v>45412</v>
      </c>
    </row>
    <row r="814">
      <c r="A814" s="6" t="str">
        <f>IFERROR(__xludf.DUMMYFUNCTION("""COMPUTED_VALUE"""),"INN")</f>
        <v>INN</v>
      </c>
      <c r="B814" s="6" t="str">
        <f>IFERROR(__xludf.DUMMYFUNCTION("""COMPUTED_VALUE"""),"ENG")</f>
        <v>ENG</v>
      </c>
      <c r="C814" s="6" t="str">
        <f>IFERROR(__xludf.DUMMYFUNCTION("""COMPUTED_VALUE"""),"O-19590-00")</f>
        <v>O-19590-00</v>
      </c>
      <c r="D814" s="6" t="str">
        <f>IFERROR(__xludf.DUMMYFUNCTION("""COMPUTED_VALUE"""),"Manifold Gauge, Hose 1.5 mtr; Tasco; ;")</f>
        <v>Manifold Gauge, Hose 1.5 mtr; Tasco; ;</v>
      </c>
      <c r="E814" s="6">
        <f>IFERROR(__xludf.DUMMYFUNCTION("""COMPUTED_VALUE"""),1.0)</f>
        <v>1</v>
      </c>
      <c r="F814" s="6">
        <f>IFERROR(__xludf.DUMMYFUNCTION("""COMPUTED_VALUE"""),1.0)</f>
        <v>1</v>
      </c>
      <c r="G814" s="6">
        <f>IFERROR(__xludf.DUMMYFUNCTION("""COMPUTED_VALUE"""),0.0)</f>
        <v>0</v>
      </c>
      <c r="H814" s="6" t="str">
        <f>IFERROR(__xludf.DUMMYFUNCTION("""COMPUTED_VALUE"""),"pcs")</f>
        <v>pcs</v>
      </c>
      <c r="I814" s="6" t="str">
        <f>IFERROR(__xludf.DUMMYFUNCTION("""COMPUTED_VALUE"""),"MFH")</f>
        <v>MFH</v>
      </c>
      <c r="J814" s="6" t="str">
        <f>IFERROR(__xludf.DUMMYFUNCTION("""COMPUTED_VALUE"""),"FD")</f>
        <v>FD</v>
      </c>
      <c r="K814" s="6" t="str">
        <f>IFERROR(__xludf.DUMMYFUNCTION("""COMPUTED_VALUE"""),"SPR/04/24/036")</f>
        <v>SPR/04/24/036</v>
      </c>
      <c r="L814" s="13">
        <f>IFERROR(__xludf.DUMMYFUNCTION("""COMPUTED_VALUE"""),45412.0)</f>
        <v>45412</v>
      </c>
    </row>
    <row r="815">
      <c r="A815" s="6" t="str">
        <f>IFERROR(__xludf.DUMMYFUNCTION("""COMPUTED_VALUE"""),"INN")</f>
        <v>INN</v>
      </c>
      <c r="B815" s="6" t="str">
        <f>IFERROR(__xludf.DUMMYFUNCTION("""COMPUTED_VALUE"""),"ENG")</f>
        <v>ENG</v>
      </c>
      <c r="C815" s="6" t="str">
        <f>IFERROR(__xludf.DUMMYFUNCTION("""COMPUTED_VALUE"""),"P-52662-00")</f>
        <v>P-52662-00</v>
      </c>
      <c r="D815" s="6" t="str">
        <f>IFERROR(__xludf.DUMMYFUNCTION("""COMPUTED_VALUE"""),"Temperature Controller - TK4S- 14SN 100-240 VAC AUTONICS; ; ;")</f>
        <v>Temperature Controller - TK4S- 14SN 100-240 VAC AUTONICS; ; ;</v>
      </c>
      <c r="E815" s="6">
        <f>IFERROR(__xludf.DUMMYFUNCTION("""COMPUTED_VALUE"""),2.0)</f>
        <v>2</v>
      </c>
      <c r="F815" s="6">
        <f>IFERROR(__xludf.DUMMYFUNCTION("""COMPUTED_VALUE"""),1.0)</f>
        <v>1</v>
      </c>
      <c r="G815" s="6">
        <f>IFERROR(__xludf.DUMMYFUNCTION("""COMPUTED_VALUE"""),0.0)</f>
        <v>0</v>
      </c>
      <c r="H815" s="6" t="str">
        <f>IFERROR(__xludf.DUMMYFUNCTION("""COMPUTED_VALUE"""),"pcs")</f>
        <v>pcs</v>
      </c>
      <c r="I815" s="6" t="str">
        <f>IFERROR(__xludf.DUMMYFUNCTION("""COMPUTED_VALUE"""),"MFH")</f>
        <v>MFH</v>
      </c>
      <c r="J815" s="6" t="str">
        <f>IFERROR(__xludf.DUMMYFUNCTION("""COMPUTED_VALUE"""),"Lab")</f>
        <v>Lab</v>
      </c>
      <c r="K815" s="6" t="str">
        <f>IFERROR(__xludf.DUMMYFUNCTION("""COMPUTED_VALUE"""),"SPR/04/24/037")</f>
        <v>SPR/04/24/037</v>
      </c>
      <c r="L815" s="13">
        <f>IFERROR(__xludf.DUMMYFUNCTION("""COMPUTED_VALUE"""),45412.0)</f>
        <v>45412</v>
      </c>
    </row>
    <row r="816">
      <c r="A816" s="6" t="str">
        <f>IFERROR(__xludf.DUMMYFUNCTION("""COMPUTED_VALUE"""),"INN")</f>
        <v>INN</v>
      </c>
      <c r="B816" s="6" t="str">
        <f>IFERROR(__xludf.DUMMYFUNCTION("""COMPUTED_VALUE"""),"ENG")</f>
        <v>ENG</v>
      </c>
      <c r="C816" s="6" t="str">
        <f>IFERROR(__xludf.DUMMYFUNCTION("""COMPUTED_VALUE"""),"O-16980-00")</f>
        <v>O-16980-00</v>
      </c>
      <c r="D816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816" s="6">
        <f>IFERROR(__xludf.DUMMYFUNCTION("""COMPUTED_VALUE"""),6.0)</f>
        <v>6</v>
      </c>
      <c r="F816" s="6">
        <f>IFERROR(__xludf.DUMMYFUNCTION("""COMPUTED_VALUE"""),6.0)</f>
        <v>6</v>
      </c>
      <c r="G816" s="6">
        <f>IFERROR(__xludf.DUMMYFUNCTION("""COMPUTED_VALUE"""),0.0)</f>
        <v>0</v>
      </c>
      <c r="H816" s="6" t="str">
        <f>IFERROR(__xludf.DUMMYFUNCTION("""COMPUTED_VALUE"""),"pcs")</f>
        <v>pcs</v>
      </c>
      <c r="I816" s="6" t="str">
        <f>IFERROR(__xludf.DUMMYFUNCTION("""COMPUTED_VALUE"""),"MFH")</f>
        <v>MFH</v>
      </c>
      <c r="J816" s="6" t="str">
        <f>IFERROR(__xludf.DUMMYFUNCTION("""COMPUTED_VALUE"""),"FD")</f>
        <v>FD</v>
      </c>
      <c r="K816" s="6" t="str">
        <f>IFERROR(__xludf.DUMMYFUNCTION("""COMPUTED_VALUE"""),"SPR/04/24/037")</f>
        <v>SPR/04/24/037</v>
      </c>
      <c r="L816" s="13">
        <f>IFERROR(__xludf.DUMMYFUNCTION("""COMPUTED_VALUE"""),45412.0)</f>
        <v>45412</v>
      </c>
    </row>
    <row r="817">
      <c r="A817" s="6" t="str">
        <f>IFERROR(__xludf.DUMMYFUNCTION("""COMPUTED_VALUE"""),"INN")</f>
        <v>INN</v>
      </c>
      <c r="B817" s="6" t="str">
        <f>IFERROR(__xludf.DUMMYFUNCTION("""COMPUTED_VALUE"""),"ENG")</f>
        <v>ENG</v>
      </c>
      <c r="C817" s="6" t="str">
        <f>IFERROR(__xludf.DUMMYFUNCTION("""COMPUTED_VALUE"""),"O-16981-00")</f>
        <v>O-16981-00</v>
      </c>
      <c r="D817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817" s="6">
        <f>IFERROR(__xludf.DUMMYFUNCTION("""COMPUTED_VALUE"""),9.0)</f>
        <v>9</v>
      </c>
      <c r="F817" s="6">
        <f>IFERROR(__xludf.DUMMYFUNCTION("""COMPUTED_VALUE"""),9.0)</f>
        <v>9</v>
      </c>
      <c r="G817" s="6">
        <f>IFERROR(__xludf.DUMMYFUNCTION("""COMPUTED_VALUE"""),0.0)</f>
        <v>0</v>
      </c>
      <c r="H817" s="6" t="str">
        <f>IFERROR(__xludf.DUMMYFUNCTION("""COMPUTED_VALUE"""),"pcs")</f>
        <v>pcs</v>
      </c>
      <c r="I817" s="6" t="str">
        <f>IFERROR(__xludf.DUMMYFUNCTION("""COMPUTED_VALUE"""),"MFH")</f>
        <v>MFH</v>
      </c>
      <c r="J817" s="6" t="str">
        <f>IFERROR(__xludf.DUMMYFUNCTION("""COMPUTED_VALUE"""),"FD")</f>
        <v>FD</v>
      </c>
      <c r="K817" s="6" t="str">
        <f>IFERROR(__xludf.DUMMYFUNCTION("""COMPUTED_VALUE"""),"SPR/04/24/037")</f>
        <v>SPR/04/24/037</v>
      </c>
      <c r="L817" s="13">
        <f>IFERROR(__xludf.DUMMYFUNCTION("""COMPUTED_VALUE"""),45412.0)</f>
        <v>45412</v>
      </c>
    </row>
    <row r="818">
      <c r="A818" s="6" t="str">
        <f>IFERROR(__xludf.DUMMYFUNCTION("""COMPUTED_VALUE"""),"INN")</f>
        <v>INN</v>
      </c>
      <c r="B818" s="6" t="str">
        <f>IFERROR(__xludf.DUMMYFUNCTION("""COMPUTED_VALUE"""),"ENG")</f>
        <v>ENG</v>
      </c>
      <c r="C818" s="6" t="str">
        <f>IFERROR(__xludf.DUMMYFUNCTION("""COMPUTED_VALUE"""),"O-54170-00")</f>
        <v>O-54170-00</v>
      </c>
      <c r="D818" s="6" t="str">
        <f>IFERROR(__xludf.DUMMYFUNCTION("""COMPUTED_VALUE"""),"Electronic Expansion Valve ESX24B; Parker; ;")</f>
        <v>Electronic Expansion Valve ESX24B; Parker; ;</v>
      </c>
      <c r="E818" s="6">
        <f>IFERROR(__xludf.DUMMYFUNCTION("""COMPUTED_VALUE"""),1.0)</f>
        <v>1</v>
      </c>
      <c r="F818" s="6">
        <f>IFERROR(__xludf.DUMMYFUNCTION("""COMPUTED_VALUE"""),1.0)</f>
        <v>1</v>
      </c>
      <c r="G818" s="6">
        <f>IFERROR(__xludf.DUMMYFUNCTION("""COMPUTED_VALUE"""),0.0)</f>
        <v>0</v>
      </c>
      <c r="H818" s="6" t="str">
        <f>IFERROR(__xludf.DUMMYFUNCTION("""COMPUTED_VALUE"""),"pcs")</f>
        <v>pcs</v>
      </c>
      <c r="I818" s="6" t="str">
        <f>IFERROR(__xludf.DUMMYFUNCTION("""COMPUTED_VALUE"""),"MFH")</f>
        <v>MFH</v>
      </c>
      <c r="J818" s="6" t="str">
        <f>IFERROR(__xludf.DUMMYFUNCTION("""COMPUTED_VALUE"""),"Mixing")</f>
        <v>Mixing</v>
      </c>
      <c r="K818" s="6" t="str">
        <f>IFERROR(__xludf.DUMMYFUNCTION("""COMPUTED_VALUE"""),"SPR/04/24/038")</f>
        <v>SPR/04/24/038</v>
      </c>
      <c r="L818" s="13">
        <f>IFERROR(__xludf.DUMMYFUNCTION("""COMPUTED_VALUE"""),45412.0)</f>
        <v>45412</v>
      </c>
    </row>
    <row r="819">
      <c r="A819" s="6" t="str">
        <f>IFERROR(__xludf.DUMMYFUNCTION("""COMPUTED_VALUE"""),"INN")</f>
        <v>INN</v>
      </c>
      <c r="B819" s="6" t="str">
        <f>IFERROR(__xludf.DUMMYFUNCTION("""COMPUTED_VALUE"""),"ENG")</f>
        <v>ENG</v>
      </c>
      <c r="C819" s="6" t="str">
        <f>IFERROR(__xludf.DUMMYFUNCTION("""COMPUTED_VALUE"""),"P-54185-00")</f>
        <v>P-54185-00</v>
      </c>
      <c r="D819" s="6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E819" s="6">
        <f>IFERROR(__xludf.DUMMYFUNCTION("""COMPUTED_VALUE"""),1.0)</f>
        <v>1</v>
      </c>
      <c r="F819" s="6">
        <f>IFERROR(__xludf.DUMMYFUNCTION("""COMPUTED_VALUE"""),1.0)</f>
        <v>1</v>
      </c>
      <c r="G819" s="6">
        <f>IFERROR(__xludf.DUMMYFUNCTION("""COMPUTED_VALUE"""),0.0)</f>
        <v>0</v>
      </c>
      <c r="H819" s="6" t="str">
        <f>IFERROR(__xludf.DUMMYFUNCTION("""COMPUTED_VALUE"""),"pcs")</f>
        <v>pcs</v>
      </c>
      <c r="I819" s="6" t="str">
        <f>IFERROR(__xludf.DUMMYFUNCTION("""COMPUTED_VALUE"""),"MFH")</f>
        <v>MFH</v>
      </c>
      <c r="J819" s="6" t="str">
        <f>IFERROR(__xludf.DUMMYFUNCTION("""COMPUTED_VALUE"""),"FD")</f>
        <v>FD</v>
      </c>
      <c r="K819" s="6" t="str">
        <f>IFERROR(__xludf.DUMMYFUNCTION("""COMPUTED_VALUE"""),"SPR/04/24/038")</f>
        <v>SPR/04/24/038</v>
      </c>
      <c r="L819" s="13">
        <f>IFERROR(__xludf.DUMMYFUNCTION("""COMPUTED_VALUE"""),45412.0)</f>
        <v>45412</v>
      </c>
    </row>
    <row r="820">
      <c r="A820" s="6" t="str">
        <f>IFERROR(__xludf.DUMMYFUNCTION("""COMPUTED_VALUE"""),"INN")</f>
        <v>INN</v>
      </c>
      <c r="B820" s="6" t="str">
        <f>IFERROR(__xludf.DUMMYFUNCTION("""COMPUTED_VALUE"""),"ENG")</f>
        <v>ENG</v>
      </c>
      <c r="C820" s="6" t="str">
        <f>IFERROR(__xludf.DUMMYFUNCTION("""COMPUTED_VALUE"""),"P-54186-00")</f>
        <v>P-54186-00</v>
      </c>
      <c r="D820" s="6" t="str">
        <f>IFERROR(__xludf.DUMMYFUNCTION("""COMPUTED_VALUE"""),"Vacuum Pump 1HP 220V 12CFM; Value; ;")</f>
        <v>Vacuum Pump 1HP 220V 12CFM; Value; ;</v>
      </c>
      <c r="E820" s="6">
        <f>IFERROR(__xludf.DUMMYFUNCTION("""COMPUTED_VALUE"""),1.0)</f>
        <v>1</v>
      </c>
      <c r="F820" s="6">
        <f>IFERROR(__xludf.DUMMYFUNCTION("""COMPUTED_VALUE"""),1.0)</f>
        <v>1</v>
      </c>
      <c r="G820" s="6">
        <f>IFERROR(__xludf.DUMMYFUNCTION("""COMPUTED_VALUE"""),0.0)</f>
        <v>0</v>
      </c>
      <c r="H820" s="6" t="str">
        <f>IFERROR(__xludf.DUMMYFUNCTION("""COMPUTED_VALUE"""),"pcs")</f>
        <v>pcs</v>
      </c>
      <c r="I820" s="6" t="str">
        <f>IFERROR(__xludf.DUMMYFUNCTION("""COMPUTED_VALUE"""),"MFH")</f>
        <v>MFH</v>
      </c>
      <c r="J820" s="6" t="str">
        <f>IFERROR(__xludf.DUMMYFUNCTION("""COMPUTED_VALUE"""),"FD")</f>
        <v>FD</v>
      </c>
      <c r="K820" s="6" t="str">
        <f>IFERROR(__xludf.DUMMYFUNCTION("""COMPUTED_VALUE"""),"SPR/04/24/038")</f>
        <v>SPR/04/24/038</v>
      </c>
      <c r="L820" s="13">
        <f>IFERROR(__xludf.DUMMYFUNCTION("""COMPUTED_VALUE"""),45412.0)</f>
        <v>45412</v>
      </c>
    </row>
    <row r="821">
      <c r="A821" s="6" t="str">
        <f>IFERROR(__xludf.DUMMYFUNCTION("""COMPUTED_VALUE"""),"INN")</f>
        <v>INN</v>
      </c>
      <c r="B821" s="6" t="str">
        <f>IFERROR(__xludf.DUMMYFUNCTION("""COMPUTED_VALUE"""),"ENG")</f>
        <v>ENG</v>
      </c>
      <c r="C821" s="6" t="str">
        <f>IFERROR(__xludf.DUMMYFUNCTION("""COMPUTED_VALUE"""),"O-17960-00")</f>
        <v>O-17960-00</v>
      </c>
      <c r="D821" s="6" t="str">
        <f>IFERROR(__xludf.DUMMYFUNCTION("""COMPUTED_VALUE"""),"Mixer Male Bearing, GMP, pH Range: pH1  pH14, 1/pack")</f>
        <v>Mixer Male Bearing, GMP, pH Range: pH1  pH14, 1/pack</v>
      </c>
      <c r="E821" s="6">
        <f>IFERROR(__xludf.DUMMYFUNCTION("""COMPUTED_VALUE"""),1.0)</f>
        <v>1</v>
      </c>
      <c r="F821" s="6">
        <f>IFERROR(__xludf.DUMMYFUNCTION("""COMPUTED_VALUE"""),1.0)</f>
        <v>1</v>
      </c>
      <c r="G821" s="6">
        <f>IFERROR(__xludf.DUMMYFUNCTION("""COMPUTED_VALUE"""),0.0)</f>
        <v>0</v>
      </c>
      <c r="H821" s="6" t="str">
        <f>IFERROR(__xludf.DUMMYFUNCTION("""COMPUTED_VALUE"""),"pcs")</f>
        <v>pcs</v>
      </c>
      <c r="I821" s="6" t="str">
        <f>IFERROR(__xludf.DUMMYFUNCTION("""COMPUTED_VALUE"""),"MFH")</f>
        <v>MFH</v>
      </c>
      <c r="J821" s="6" t="str">
        <f>IFERROR(__xludf.DUMMYFUNCTION("""COMPUTED_VALUE"""),"Mixing")</f>
        <v>Mixing</v>
      </c>
      <c r="K821" s="6" t="str">
        <f>IFERROR(__xludf.DUMMYFUNCTION("""COMPUTED_VALUE"""),"SPR/04/24/039")</f>
        <v>SPR/04/24/039</v>
      </c>
      <c r="L821" s="13">
        <f>IFERROR(__xludf.DUMMYFUNCTION("""COMPUTED_VALUE"""),45412.0)</f>
        <v>45412</v>
      </c>
    </row>
    <row r="822">
      <c r="A822" s="6" t="str">
        <f>IFERROR(__xludf.DUMMYFUNCTION("""COMPUTED_VALUE"""),"INN")</f>
        <v>INN</v>
      </c>
      <c r="B822" s="6" t="str">
        <f>IFERROR(__xludf.DUMMYFUNCTION("""COMPUTED_VALUE"""),"ENG")</f>
        <v>ENG</v>
      </c>
      <c r="C822" s="6" t="str">
        <f>IFERROR(__xludf.DUMMYFUNCTION("""COMPUTED_VALUE"""),"P-54214-00")</f>
        <v>P-54214-00</v>
      </c>
      <c r="D822" s="6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E822" s="6">
        <f>IFERROR(__xludf.DUMMYFUNCTION("""COMPUTED_VALUE"""),1.0)</f>
        <v>1</v>
      </c>
      <c r="F822" s="6">
        <f>IFERROR(__xludf.DUMMYFUNCTION("""COMPUTED_VALUE"""),1.0)</f>
        <v>1</v>
      </c>
      <c r="G822" s="6">
        <f>IFERROR(__xludf.DUMMYFUNCTION("""COMPUTED_VALUE"""),0.0)</f>
        <v>0</v>
      </c>
      <c r="H822" s="6" t="str">
        <f>IFERROR(__xludf.DUMMYFUNCTION("""COMPUTED_VALUE"""),"pcs")</f>
        <v>pcs</v>
      </c>
      <c r="I822" s="6" t="str">
        <f>IFERROR(__xludf.DUMMYFUNCTION("""COMPUTED_VALUE"""),"MFH")</f>
        <v>MFH</v>
      </c>
      <c r="J822" s="6" t="str">
        <f>IFERROR(__xludf.DUMMYFUNCTION("""COMPUTED_VALUE"""),"FD")</f>
        <v>FD</v>
      </c>
      <c r="K822" s="6" t="str">
        <f>IFERROR(__xludf.DUMMYFUNCTION("""COMPUTED_VALUE"""),"SPR/04/24/039")</f>
        <v>SPR/04/24/039</v>
      </c>
      <c r="L822" s="13">
        <f>IFERROR(__xludf.DUMMYFUNCTION("""COMPUTED_VALUE"""),45412.0)</f>
        <v>45412</v>
      </c>
    </row>
    <row r="823">
      <c r="A823" s="6" t="str">
        <f>IFERROR(__xludf.DUMMYFUNCTION("""COMPUTED_VALUE"""),"INN")</f>
        <v>INN</v>
      </c>
      <c r="B823" s="6" t="str">
        <f>IFERROR(__xludf.DUMMYFUNCTION("""COMPUTED_VALUE"""),"ENG")</f>
        <v>ENG</v>
      </c>
      <c r="C823" s="6" t="str">
        <f>IFERROR(__xludf.DUMMYFUNCTION("""COMPUTED_VALUE"""),"P-52865-00")</f>
        <v>P-52865-00</v>
      </c>
      <c r="D823" s="6" t="str">
        <f>IFERROR(__xludf.DUMMYFUNCTION("""COMPUTED_VALUE"""),"Vacuum Pump 2 Stage 8,9 Cfm (252 liter/menit), 220V; Tasco; Type : TA150XL;")</f>
        <v>Vacuum Pump 2 Stage 8,9 Cfm (252 liter/menit), 220V; Tasco; Type : TA150XL;</v>
      </c>
      <c r="E823" s="6">
        <f>IFERROR(__xludf.DUMMYFUNCTION("""COMPUTED_VALUE"""),1.0)</f>
        <v>1</v>
      </c>
      <c r="F823" s="6">
        <f>IFERROR(__xludf.DUMMYFUNCTION("""COMPUTED_VALUE"""),1.0)</f>
        <v>1</v>
      </c>
      <c r="G823" s="6">
        <f>IFERROR(__xludf.DUMMYFUNCTION("""COMPUTED_VALUE"""),0.0)</f>
        <v>0</v>
      </c>
      <c r="H823" s="6" t="str">
        <f>IFERROR(__xludf.DUMMYFUNCTION("""COMPUTED_VALUE"""),"pcs")</f>
        <v>pcs</v>
      </c>
      <c r="I823" s="6" t="str">
        <f>IFERROR(__xludf.DUMMYFUNCTION("""COMPUTED_VALUE"""),"MFH")</f>
        <v>MFH</v>
      </c>
      <c r="J823" s="6" t="str">
        <f>IFERROR(__xludf.DUMMYFUNCTION("""COMPUTED_VALUE"""),"FD")</f>
        <v>FD</v>
      </c>
      <c r="K823" s="6" t="str">
        <f>IFERROR(__xludf.DUMMYFUNCTION("""COMPUTED_VALUE"""),"SPR/04/24/039")</f>
        <v>SPR/04/24/039</v>
      </c>
      <c r="L823" s="13">
        <f>IFERROR(__xludf.DUMMYFUNCTION("""COMPUTED_VALUE"""),45412.0)</f>
        <v>45412</v>
      </c>
    </row>
    <row r="824">
      <c r="A824" s="6" t="str">
        <f>IFERROR(__xludf.DUMMYFUNCTION("""COMPUTED_VALUE"""),"INN")</f>
        <v>INN</v>
      </c>
      <c r="B824" s="6" t="str">
        <f>IFERROR(__xludf.DUMMYFUNCTION("""COMPUTED_VALUE"""),"ENG")</f>
        <v>ENG</v>
      </c>
      <c r="C824" s="6" t="str">
        <f>IFERROR(__xludf.DUMMYFUNCTION("""COMPUTED_VALUE"""),"O-17998-00")</f>
        <v>O-17998-00</v>
      </c>
      <c r="D824" s="6" t="str">
        <f>IFERROR(__xludf.DUMMYFUNCTION("""COMPUTED_VALUE"""),"Freeze Dryer MBE1207 - Main Door Gasket P/N : EB41-00568; ; ;")</f>
        <v>Freeze Dryer MBE1207 - Main Door Gasket P/N : EB41-00568; ; ;</v>
      </c>
      <c r="E824" s="6">
        <f>IFERROR(__xludf.DUMMYFUNCTION("""COMPUTED_VALUE"""),8.0)</f>
        <v>8</v>
      </c>
      <c r="F824" s="6">
        <f>IFERROR(__xludf.DUMMYFUNCTION("""COMPUTED_VALUE"""),8.0)</f>
        <v>8</v>
      </c>
      <c r="G824" s="6">
        <f>IFERROR(__xludf.DUMMYFUNCTION("""COMPUTED_VALUE"""),0.0)</f>
        <v>0</v>
      </c>
      <c r="H824" s="6" t="str">
        <f>IFERROR(__xludf.DUMMYFUNCTION("""COMPUTED_VALUE"""),"pcs")</f>
        <v>pcs</v>
      </c>
      <c r="I824" s="6" t="str">
        <f>IFERROR(__xludf.DUMMYFUNCTION("""COMPUTED_VALUE"""),"MFH")</f>
        <v>MFH</v>
      </c>
      <c r="J824" s="6" t="str">
        <f>IFERROR(__xludf.DUMMYFUNCTION("""COMPUTED_VALUE"""),"FD")</f>
        <v>FD</v>
      </c>
      <c r="K824" s="6" t="str">
        <f>IFERROR(__xludf.DUMMYFUNCTION("""COMPUTED_VALUE"""),"SPR/04/24/040")</f>
        <v>SPR/04/24/040</v>
      </c>
      <c r="L824" s="13">
        <f>IFERROR(__xludf.DUMMYFUNCTION("""COMPUTED_VALUE"""),45412.0)</f>
        <v>45412</v>
      </c>
    </row>
    <row r="825">
      <c r="A825" s="6" t="str">
        <f>IFERROR(__xludf.DUMMYFUNCTION("""COMPUTED_VALUE"""),"INN")</f>
        <v>INN</v>
      </c>
      <c r="B825" s="6" t="str">
        <f>IFERROR(__xludf.DUMMYFUNCTION("""COMPUTED_VALUE"""),"ENG")</f>
        <v>ENG</v>
      </c>
      <c r="C825" s="6" t="str">
        <f>IFERROR(__xludf.DUMMYFUNCTION("""COMPUTED_VALUE"""),"O-16317-00")</f>
        <v>O-16317-00</v>
      </c>
      <c r="D825" s="6" t="str">
        <f>IFERROR(__xludf.DUMMYFUNCTION("""COMPUTED_VALUE"""),"FD Lyofast 10 - Oli Vaccum Ultragrade 20 Edwards; ; ;")</f>
        <v>FD Lyofast 10 - Oli Vaccum Ultragrade 20 Edwards; ; ;</v>
      </c>
      <c r="E825" s="6">
        <f>IFERROR(__xludf.DUMMYFUNCTION("""COMPUTED_VALUE"""),20.0)</f>
        <v>20</v>
      </c>
      <c r="F825" s="6">
        <f>IFERROR(__xludf.DUMMYFUNCTION("""COMPUTED_VALUE"""),20.0)</f>
        <v>20</v>
      </c>
      <c r="G825" s="6">
        <f>IFERROR(__xludf.DUMMYFUNCTION("""COMPUTED_VALUE"""),0.0)</f>
        <v>0</v>
      </c>
      <c r="H825" s="6" t="str">
        <f>IFERROR(__xludf.DUMMYFUNCTION("""COMPUTED_VALUE"""),"Liter")</f>
        <v>Liter</v>
      </c>
      <c r="I825" s="6" t="str">
        <f>IFERROR(__xludf.DUMMYFUNCTION("""COMPUTED_VALUE"""),"MFH")</f>
        <v>MFH</v>
      </c>
      <c r="J825" s="6" t="str">
        <f>IFERROR(__xludf.DUMMYFUNCTION("""COMPUTED_VALUE"""),"FD")</f>
        <v>FD</v>
      </c>
      <c r="K825" s="6" t="str">
        <f>IFERROR(__xludf.DUMMYFUNCTION("""COMPUTED_VALUE"""),"SPR/04/24/040")</f>
        <v>SPR/04/24/040</v>
      </c>
      <c r="L825" s="13">
        <f>IFERROR(__xludf.DUMMYFUNCTION("""COMPUTED_VALUE"""),45412.0)</f>
        <v>45412</v>
      </c>
    </row>
    <row r="826">
      <c r="A826" s="6" t="str">
        <f>IFERROR(__xludf.DUMMYFUNCTION("""COMPUTED_VALUE"""),"INN")</f>
        <v>INN</v>
      </c>
      <c r="B826" s="6" t="str">
        <f>IFERROR(__xludf.DUMMYFUNCTION("""COMPUTED_VALUE"""),"ENG")</f>
        <v>ENG</v>
      </c>
      <c r="C826" s="6" t="str">
        <f>IFERROR(__xludf.DUMMYFUNCTION("""COMPUTED_VALUE"""),"O-17995-00")</f>
        <v>O-17995-00</v>
      </c>
      <c r="D826" s="6" t="str">
        <f>IFERROR(__xludf.DUMMYFUNCTION("""COMPUTED_VALUE"""),"Freeze Dryer MBE1207 - Slot Door Vacuum Gasket dia.12.7 P/N : EB41-00517; ; ;")</f>
        <v>Freeze Dryer MBE1207 - Slot Door Vacuum Gasket dia.12.7 P/N : EB41-00517; ; ;</v>
      </c>
      <c r="E826" s="6">
        <f>IFERROR(__xludf.DUMMYFUNCTION("""COMPUTED_VALUE"""),16.0)</f>
        <v>16</v>
      </c>
      <c r="F826" s="6">
        <f>IFERROR(__xludf.DUMMYFUNCTION("""COMPUTED_VALUE"""),16.0)</f>
        <v>16</v>
      </c>
      <c r="G826" s="6">
        <f>IFERROR(__xludf.DUMMYFUNCTION("""COMPUTED_VALUE"""),0.0)</f>
        <v>0</v>
      </c>
      <c r="H826" s="6" t="str">
        <f>IFERROR(__xludf.DUMMYFUNCTION("""COMPUTED_VALUE"""),"Meter")</f>
        <v>Meter</v>
      </c>
      <c r="I826" s="6" t="str">
        <f>IFERROR(__xludf.DUMMYFUNCTION("""COMPUTED_VALUE"""),"MFH")</f>
        <v>MFH</v>
      </c>
      <c r="J826" s="6" t="str">
        <f>IFERROR(__xludf.DUMMYFUNCTION("""COMPUTED_VALUE"""),"FD")</f>
        <v>FD</v>
      </c>
      <c r="K826" s="6" t="str">
        <f>IFERROR(__xludf.DUMMYFUNCTION("""COMPUTED_VALUE"""),"SPR/04/24/040")</f>
        <v>SPR/04/24/040</v>
      </c>
      <c r="L826" s="13">
        <f>IFERROR(__xludf.DUMMYFUNCTION("""COMPUTED_VALUE"""),45412.0)</f>
        <v>45412</v>
      </c>
    </row>
    <row r="827">
      <c r="A827" s="6" t="str">
        <f>IFERROR(__xludf.DUMMYFUNCTION("""COMPUTED_VALUE"""),"INN")</f>
        <v>INN</v>
      </c>
      <c r="B827" s="6" t="str">
        <f>IFERROR(__xludf.DUMMYFUNCTION("""COMPUTED_VALUE"""),"ENG")</f>
        <v>ENG</v>
      </c>
      <c r="C827" s="6" t="str">
        <f>IFERROR(__xludf.DUMMYFUNCTION("""COMPUTED_VALUE"""),"P-18472-00")</f>
        <v>P-18472-00</v>
      </c>
      <c r="D827" s="6" t="str">
        <f>IFERROR(__xludf.DUMMYFUNCTION("""COMPUTED_VALUE"""),"Thermostatic Steam Trap LV6-CE")</f>
        <v>Thermostatic Steam Trap LV6-CE</v>
      </c>
      <c r="E827" s="6">
        <f>IFERROR(__xludf.DUMMYFUNCTION("""COMPUTED_VALUE"""),1.0)</f>
        <v>1</v>
      </c>
      <c r="F827" s="6">
        <f>IFERROR(__xludf.DUMMYFUNCTION("""COMPUTED_VALUE"""),1.0)</f>
        <v>1</v>
      </c>
      <c r="G827" s="6">
        <f>IFERROR(__xludf.DUMMYFUNCTION("""COMPUTED_VALUE"""),0.0)</f>
        <v>0</v>
      </c>
      <c r="H827" s="6" t="str">
        <f>IFERROR(__xludf.DUMMYFUNCTION("""COMPUTED_VALUE"""),"pcs")</f>
        <v>pcs</v>
      </c>
      <c r="I827" s="6" t="str">
        <f>IFERROR(__xludf.DUMMYFUNCTION("""COMPUTED_VALUE"""),"MFH")</f>
        <v>MFH</v>
      </c>
      <c r="J827" s="6" t="str">
        <f>IFERROR(__xludf.DUMMYFUNCTION("""COMPUTED_VALUE"""),"FD")</f>
        <v>FD</v>
      </c>
      <c r="K827" s="6" t="str">
        <f>IFERROR(__xludf.DUMMYFUNCTION("""COMPUTED_VALUE"""),"SPR/04/24/041")</f>
        <v>SPR/04/24/041</v>
      </c>
      <c r="L827" s="13">
        <f>IFERROR(__xludf.DUMMYFUNCTION("""COMPUTED_VALUE"""),45412.0)</f>
        <v>45412</v>
      </c>
    </row>
    <row r="828">
      <c r="A828" s="6" t="str">
        <f>IFERROR(__xludf.DUMMYFUNCTION("""COMPUTED_VALUE"""),"INN")</f>
        <v>INN</v>
      </c>
      <c r="B828" s="6" t="str">
        <f>IFERROR(__xludf.DUMMYFUNCTION("""COMPUTED_VALUE"""),"ENG")</f>
        <v>ENG</v>
      </c>
      <c r="C828" s="6" t="str">
        <f>IFERROR(__xludf.DUMMYFUNCTION("""COMPUTED_VALUE"""),"O-54166-00")</f>
        <v>O-54166-00</v>
      </c>
      <c r="D828" s="6" t="str">
        <f>IFERROR(__xludf.DUMMYFUNCTION("""COMPUTED_VALUE"""),"Coil Magnet 018F0091; Danfoss; ;")</f>
        <v>Coil Magnet 018F0091; Danfoss; ;</v>
      </c>
      <c r="E828" s="6">
        <f>IFERROR(__xludf.DUMMYFUNCTION("""COMPUTED_VALUE"""),4.0)</f>
        <v>4</v>
      </c>
      <c r="F828" s="6">
        <f>IFERROR(__xludf.DUMMYFUNCTION("""COMPUTED_VALUE"""),4.0)</f>
        <v>4</v>
      </c>
      <c r="G828" s="6">
        <f>IFERROR(__xludf.DUMMYFUNCTION("""COMPUTED_VALUE"""),0.0)</f>
        <v>0</v>
      </c>
      <c r="H828" s="6" t="str">
        <f>IFERROR(__xludf.DUMMYFUNCTION("""COMPUTED_VALUE"""),"pcs")</f>
        <v>pcs</v>
      </c>
      <c r="I828" s="6" t="str">
        <f>IFERROR(__xludf.DUMMYFUNCTION("""COMPUTED_VALUE"""),"MFH")</f>
        <v>MFH</v>
      </c>
      <c r="J828" s="6" t="str">
        <f>IFERROR(__xludf.DUMMYFUNCTION("""COMPUTED_VALUE"""),"FD")</f>
        <v>FD</v>
      </c>
      <c r="K828" s="6" t="str">
        <f>IFERROR(__xludf.DUMMYFUNCTION("""COMPUTED_VALUE"""),"SPR/04/24/041")</f>
        <v>SPR/04/24/041</v>
      </c>
      <c r="L828" s="13">
        <f>IFERROR(__xludf.DUMMYFUNCTION("""COMPUTED_VALUE"""),45412.0)</f>
        <v>45412</v>
      </c>
    </row>
    <row r="829">
      <c r="A829" s="6" t="str">
        <f>IFERROR(__xludf.DUMMYFUNCTION("""COMPUTED_VALUE"""),"INN")</f>
        <v>INN</v>
      </c>
      <c r="B829" s="6" t="str">
        <f>IFERROR(__xludf.DUMMYFUNCTION("""COMPUTED_VALUE"""),"ENG")</f>
        <v>ENG</v>
      </c>
      <c r="C829" s="6" t="str">
        <f>IFERROR(__xludf.DUMMYFUNCTION("""COMPUTED_VALUE"""),"O-19591-00")</f>
        <v>O-19591-00</v>
      </c>
      <c r="D829" s="6" t="str">
        <f>IFERROR(__xludf.DUMMYFUNCTION("""COMPUTED_VALUE"""),"Grease for High Vacuum GR AR555; Kluber; ;")</f>
        <v>Grease for High Vacuum GR AR555; Kluber; ;</v>
      </c>
      <c r="E829" s="6">
        <f>IFERROR(__xludf.DUMMYFUNCTION("""COMPUTED_VALUE"""),1.0)</f>
        <v>1</v>
      </c>
      <c r="F829" s="6">
        <f>IFERROR(__xludf.DUMMYFUNCTION("""COMPUTED_VALUE"""),1.0)</f>
        <v>1</v>
      </c>
      <c r="G829" s="6">
        <f>IFERROR(__xludf.DUMMYFUNCTION("""COMPUTED_VALUE"""),0.0)</f>
        <v>0</v>
      </c>
      <c r="H829" s="6" t="str">
        <f>IFERROR(__xludf.DUMMYFUNCTION("""COMPUTED_VALUE"""),"can")</f>
        <v>can</v>
      </c>
      <c r="I829" s="6" t="str">
        <f>IFERROR(__xludf.DUMMYFUNCTION("""COMPUTED_VALUE"""),"MFH")</f>
        <v>MFH</v>
      </c>
      <c r="J829" s="6" t="str">
        <f>IFERROR(__xludf.DUMMYFUNCTION("""COMPUTED_VALUE"""),"FD")</f>
        <v>FD</v>
      </c>
      <c r="K829" s="6" t="str">
        <f>IFERROR(__xludf.DUMMYFUNCTION("""COMPUTED_VALUE"""),"SPR/04/24/041")</f>
        <v>SPR/04/24/041</v>
      </c>
      <c r="L829" s="13">
        <f>IFERROR(__xludf.DUMMYFUNCTION("""COMPUTED_VALUE"""),45412.0)</f>
        <v>45412</v>
      </c>
    </row>
    <row r="830">
      <c r="A830" s="6" t="str">
        <f>IFERROR(__xludf.DUMMYFUNCTION("""COMPUTED_VALUE"""),"INN")</f>
        <v>INN</v>
      </c>
      <c r="B830" s="6" t="str">
        <f>IFERROR(__xludf.DUMMYFUNCTION("""COMPUTED_VALUE"""),"ENG")</f>
        <v>ENG</v>
      </c>
      <c r="C830" s="6" t="str">
        <f>IFERROR(__xludf.DUMMYFUNCTION("""COMPUTED_VALUE"""),"O-19379-00")</f>
        <v>O-19379-00</v>
      </c>
      <c r="D830" s="6" t="str">
        <f>IFERROR(__xludf.DUMMYFUNCTION("""COMPUTED_VALUE"""),"Oli Refrigeration; Xaerus; XR 534-46;")</f>
        <v>Oli Refrigeration; Xaerus; XR 534-46;</v>
      </c>
      <c r="E830" s="6">
        <f>IFERROR(__xludf.DUMMYFUNCTION("""COMPUTED_VALUE"""),12.0)</f>
        <v>12</v>
      </c>
      <c r="F830" s="6">
        <f>IFERROR(__xludf.DUMMYFUNCTION("""COMPUTED_VALUE"""),11.0)</f>
        <v>11</v>
      </c>
      <c r="G830" s="6">
        <f>IFERROR(__xludf.DUMMYFUNCTION("""COMPUTED_VALUE"""),0.0)</f>
        <v>0</v>
      </c>
      <c r="H830" s="6" t="str">
        <f>IFERROR(__xludf.DUMMYFUNCTION("""COMPUTED_VALUE"""),"pcs")</f>
        <v>pcs</v>
      </c>
      <c r="I830" s="6" t="str">
        <f>IFERROR(__xludf.DUMMYFUNCTION("""COMPUTED_VALUE"""),"MFH")</f>
        <v>MFH</v>
      </c>
      <c r="J830" s="6" t="str">
        <f>IFERROR(__xludf.DUMMYFUNCTION("""COMPUTED_VALUE"""),"FD")</f>
        <v>FD</v>
      </c>
      <c r="K830" s="6" t="str">
        <f>IFERROR(__xludf.DUMMYFUNCTION("""COMPUTED_VALUE"""),"SPR/04/24/042")</f>
        <v>SPR/04/24/042</v>
      </c>
      <c r="L830" s="13">
        <f>IFERROR(__xludf.DUMMYFUNCTION("""COMPUTED_VALUE"""),45412.0)</f>
        <v>45412</v>
      </c>
    </row>
    <row r="831">
      <c r="A831" s="6" t="str">
        <f>IFERROR(__xludf.DUMMYFUNCTION("""COMPUTED_VALUE"""),"INN")</f>
        <v>INN</v>
      </c>
      <c r="B831" s="6" t="str">
        <f>IFERROR(__xludf.DUMMYFUNCTION("""COMPUTED_VALUE"""),"ENG")</f>
        <v>ENG</v>
      </c>
      <c r="C831" s="6" t="str">
        <f>IFERROR(__xludf.DUMMYFUNCTION("""COMPUTED_VALUE"""),"O-17285-00")</f>
        <v>O-17285-00</v>
      </c>
      <c r="D831" s="6" t="str">
        <f>IFERROR(__xludf.DUMMYFUNCTION("""COMPUTED_VALUE"""),"Freeze Dryer MBE1207 - Main Valve Bellow SUS316L ST105*75; ; ;")</f>
        <v>Freeze Dryer MBE1207 - Main Valve Bellow SUS316L ST105*75; ; ;</v>
      </c>
      <c r="E831" s="6">
        <f>IFERROR(__xludf.DUMMYFUNCTION("""COMPUTED_VALUE"""),1.0)</f>
        <v>1</v>
      </c>
      <c r="F831" s="6">
        <f>IFERROR(__xludf.DUMMYFUNCTION("""COMPUTED_VALUE"""),1.0)</f>
        <v>1</v>
      </c>
      <c r="G831" s="6">
        <f>IFERROR(__xludf.DUMMYFUNCTION("""COMPUTED_VALUE"""),0.0)</f>
        <v>0</v>
      </c>
      <c r="H831" s="6" t="str">
        <f>IFERROR(__xludf.DUMMYFUNCTION("""COMPUTED_VALUE"""),"pcs")</f>
        <v>pcs</v>
      </c>
      <c r="I831" s="6" t="str">
        <f>IFERROR(__xludf.DUMMYFUNCTION("""COMPUTED_VALUE"""),"MFH")</f>
        <v>MFH</v>
      </c>
      <c r="J831" s="6" t="str">
        <f>IFERROR(__xludf.DUMMYFUNCTION("""COMPUTED_VALUE"""),"FD")</f>
        <v>FD</v>
      </c>
      <c r="K831" s="6" t="str">
        <f>IFERROR(__xludf.DUMMYFUNCTION("""COMPUTED_VALUE"""),"SPR/04/24/042")</f>
        <v>SPR/04/24/042</v>
      </c>
      <c r="L831" s="13">
        <f>IFERROR(__xludf.DUMMYFUNCTION("""COMPUTED_VALUE"""),45412.0)</f>
        <v>45412</v>
      </c>
    </row>
    <row r="832">
      <c r="A832" s="6" t="str">
        <f>IFERROR(__xludf.DUMMYFUNCTION("""COMPUTED_VALUE"""),"INN")</f>
        <v>INN</v>
      </c>
      <c r="B832" s="6" t="str">
        <f>IFERROR(__xludf.DUMMYFUNCTION("""COMPUTED_VALUE"""),"ENG")</f>
        <v>ENG</v>
      </c>
      <c r="C832" s="6" t="str">
        <f>IFERROR(__xludf.DUMMYFUNCTION("""COMPUTED_VALUE"""),"P-18909-00")</f>
        <v>P-18909-00</v>
      </c>
      <c r="D832" s="6" t="str">
        <f>IFERROR(__xludf.DUMMYFUNCTION("""COMPUTED_VALUE"""),"Refrigerant Recovery Tank Cld-30Y 13 L , 30 Lbs , 13.6Kg; ORION; ;")</f>
        <v>Refrigerant Recovery Tank Cld-30Y 13 L , 30 Lbs , 13.6Kg; ORION; ;</v>
      </c>
      <c r="E832" s="6">
        <f>IFERROR(__xludf.DUMMYFUNCTION("""COMPUTED_VALUE"""),6.0)</f>
        <v>6</v>
      </c>
      <c r="F832" s="6">
        <f>IFERROR(__xludf.DUMMYFUNCTION("""COMPUTED_VALUE"""),6.0)</f>
        <v>6</v>
      </c>
      <c r="G832" s="6">
        <f>IFERROR(__xludf.DUMMYFUNCTION("""COMPUTED_VALUE"""),0.0)</f>
        <v>0</v>
      </c>
      <c r="H832" s="6" t="str">
        <f>IFERROR(__xludf.DUMMYFUNCTION("""COMPUTED_VALUE"""),"pcs")</f>
        <v>pcs</v>
      </c>
      <c r="I832" s="6" t="str">
        <f>IFERROR(__xludf.DUMMYFUNCTION("""COMPUTED_VALUE"""),"MFH")</f>
        <v>MFH</v>
      </c>
      <c r="J832" s="6" t="str">
        <f>IFERROR(__xludf.DUMMYFUNCTION("""COMPUTED_VALUE"""),"FD")</f>
        <v>FD</v>
      </c>
      <c r="K832" s="6" t="str">
        <f>IFERROR(__xludf.DUMMYFUNCTION("""COMPUTED_VALUE"""),"SPR/04/24/042")</f>
        <v>SPR/04/24/042</v>
      </c>
      <c r="L832" s="13">
        <f>IFERROR(__xludf.DUMMYFUNCTION("""COMPUTED_VALUE"""),45412.0)</f>
        <v>45412</v>
      </c>
    </row>
    <row r="833">
      <c r="A833" s="6" t="str">
        <f>IFERROR(__xludf.DUMMYFUNCTION("""COMPUTED_VALUE"""),"NDS")</f>
        <v>NDS</v>
      </c>
      <c r="B833" s="6" t="str">
        <f>IFERROR(__xludf.DUMMYFUNCTION("""COMPUTED_VALUE"""),"ENG")</f>
        <v>ENG</v>
      </c>
      <c r="C833" s="6" t="str">
        <f>IFERROR(__xludf.DUMMYFUNCTION("""COMPUTED_VALUE"""),"T-20135-00")</f>
        <v>T-20135-00</v>
      </c>
      <c r="D833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833" s="6">
        <f>IFERROR(__xludf.DUMMYFUNCTION("""COMPUTED_VALUE"""),1.0)</f>
        <v>1</v>
      </c>
      <c r="F833" s="6">
        <f>IFERROR(__xludf.DUMMYFUNCTION("""COMPUTED_VALUE"""),1.0)</f>
        <v>1</v>
      </c>
      <c r="G833" s="6">
        <f>IFERROR(__xludf.DUMMYFUNCTION("""COMPUTED_VALUE"""),0.0)</f>
        <v>0</v>
      </c>
      <c r="H833" s="6" t="str">
        <f>IFERROR(__xludf.DUMMYFUNCTION("""COMPUTED_VALUE"""),"pcs")</f>
        <v>pcs</v>
      </c>
      <c r="I833" s="6" t="str">
        <f>IFERROR(__xludf.DUMMYFUNCTION("""COMPUTED_VALUE"""),"MFH")</f>
        <v>MFH</v>
      </c>
      <c r="J833" s="6" t="str">
        <f>IFERROR(__xludf.DUMMYFUNCTION("""COMPUTED_VALUE"""),"cRABS")</f>
        <v>cRABS</v>
      </c>
      <c r="K833" s="6" t="str">
        <f>IFERROR(__xludf.DUMMYFUNCTION("""COMPUTED_VALUE"""),"SPR/04/24/043")</f>
        <v>SPR/04/24/043</v>
      </c>
      <c r="L833" s="13">
        <f>IFERROR(__xludf.DUMMYFUNCTION("""COMPUTED_VALUE"""),45412.0)</f>
        <v>45412</v>
      </c>
    </row>
    <row r="834">
      <c r="A834" s="6" t="str">
        <f>IFERROR(__xludf.DUMMYFUNCTION("""COMPUTED_VALUE"""),"NDS")</f>
        <v>NDS</v>
      </c>
      <c r="B834" s="6" t="str">
        <f>IFERROR(__xludf.DUMMYFUNCTION("""COMPUTED_VALUE"""),"ENG")</f>
        <v>ENG</v>
      </c>
      <c r="C834" s="6" t="str">
        <f>IFERROR(__xludf.DUMMYFUNCTION("""COMPUTED_VALUE"""),"O-18345-00")</f>
        <v>O-18345-00</v>
      </c>
      <c r="D834" s="6" t="str">
        <f>IFERROR(__xludf.DUMMYFUNCTION("""COMPUTED_VALUE"""),"Silicon suction cup 01.11.16 PN: 202082")</f>
        <v>Silicon suction cup 01.11.16 PN: 202082</v>
      </c>
      <c r="E834" s="6">
        <f>IFERROR(__xludf.DUMMYFUNCTION("""COMPUTED_VALUE"""),10.0)</f>
        <v>10</v>
      </c>
      <c r="F834" s="6">
        <f>IFERROR(__xludf.DUMMYFUNCTION("""COMPUTED_VALUE"""),10.0)</f>
        <v>10</v>
      </c>
      <c r="G834" s="6">
        <f>IFERROR(__xludf.DUMMYFUNCTION("""COMPUTED_VALUE"""),0.0)</f>
        <v>0</v>
      </c>
      <c r="H834" s="6" t="str">
        <f>IFERROR(__xludf.DUMMYFUNCTION("""COMPUTED_VALUE"""),"pcs")</f>
        <v>pcs</v>
      </c>
      <c r="I834" s="6" t="str">
        <f>IFERROR(__xludf.DUMMYFUNCTION("""COMPUTED_VALUE"""),"MFH")</f>
        <v>MFH</v>
      </c>
      <c r="J834" s="6" t="str">
        <f>IFERROR(__xludf.DUMMYFUNCTION("""COMPUTED_VALUE"""),"Capping")</f>
        <v>Capping</v>
      </c>
      <c r="K834" s="6" t="str">
        <f>IFERROR(__xludf.DUMMYFUNCTION("""COMPUTED_VALUE"""),"SPR/04/24/043")</f>
        <v>SPR/04/24/043</v>
      </c>
      <c r="L834" s="13">
        <f>IFERROR(__xludf.DUMMYFUNCTION("""COMPUTED_VALUE"""),45412.0)</f>
        <v>45412</v>
      </c>
    </row>
    <row r="835">
      <c r="A835" s="6" t="str">
        <f>IFERROR(__xludf.DUMMYFUNCTION("""COMPUTED_VALUE"""),"RIA")</f>
        <v>RIA</v>
      </c>
      <c r="B835" s="6" t="str">
        <f>IFERROR(__xludf.DUMMYFUNCTION("""COMPUTED_VALUE"""),"ENG")</f>
        <v>ENG</v>
      </c>
      <c r="C835" s="6" t="str">
        <f>IFERROR(__xludf.DUMMYFUNCTION("""COMPUTED_VALUE"""),"P-14424-00")</f>
        <v>P-14424-00</v>
      </c>
      <c r="D835" s="6" t="str">
        <f>IFERROR(__xludf.DUMMYFUNCTION("""COMPUTED_VALUE"""),"Garam Kutreat RGN-9800F; ; ; 25Kg/zak")</f>
        <v>Garam Kutreat RGN-9800F; ; ; 25Kg/zak</v>
      </c>
      <c r="E835" s="6">
        <f>IFERROR(__xludf.DUMMYFUNCTION("""COMPUTED_VALUE"""),100.0)</f>
        <v>100</v>
      </c>
      <c r="F835" s="6">
        <f>IFERROR(__xludf.DUMMYFUNCTION("""COMPUTED_VALUE"""),25.0)</f>
        <v>25</v>
      </c>
      <c r="G835" s="6">
        <f>IFERROR(__xludf.DUMMYFUNCTION("""COMPUTED_VALUE"""),0.0)</f>
        <v>0</v>
      </c>
      <c r="H835" s="6" t="str">
        <f>IFERROR(__xludf.DUMMYFUNCTION("""COMPUTED_VALUE"""),"Kg")</f>
        <v>Kg</v>
      </c>
      <c r="I835" s="6" t="str">
        <f>IFERROR(__xludf.DUMMYFUNCTION("""COMPUTED_VALUE"""),"MFH")</f>
        <v>MFH</v>
      </c>
      <c r="J835" s="6" t="str">
        <f>IFERROR(__xludf.DUMMYFUNCTION("""COMPUTED_VALUE"""),"PWG")</f>
        <v>PWG</v>
      </c>
      <c r="K835" s="6" t="str">
        <f>IFERROR(__xludf.DUMMYFUNCTION("""COMPUTED_VALUE"""),"SPR/04/24/044")</f>
        <v>SPR/04/24/044</v>
      </c>
      <c r="L835" s="13">
        <f>IFERROR(__xludf.DUMMYFUNCTION("""COMPUTED_VALUE"""),45412.0)</f>
        <v>45412</v>
      </c>
    </row>
    <row r="836">
      <c r="A836" s="6" t="str">
        <f>IFERROR(__xludf.DUMMYFUNCTION("""COMPUTED_VALUE"""),"RIA")</f>
        <v>RIA</v>
      </c>
      <c r="B836" s="6" t="str">
        <f>IFERROR(__xludf.DUMMYFUNCTION("""COMPUTED_VALUE"""),"ENG")</f>
        <v>ENG</v>
      </c>
      <c r="C836" s="6" t="str">
        <f>IFERROR(__xludf.DUMMYFUNCTION("""COMPUTED_VALUE"""),"P-15862-00")</f>
        <v>P-15862-00</v>
      </c>
      <c r="D836" s="6" t="str">
        <f>IFERROR(__xludf.DUMMYFUNCTION("""COMPUTED_VALUE"""),"PAPER RECORD YOKOGAWA; FOLDING CHART B9565AW")</f>
        <v>PAPER RECORD YOKOGAWA; FOLDING CHART B9565AW</v>
      </c>
      <c r="E836" s="6">
        <f>IFERROR(__xludf.DUMMYFUNCTION("""COMPUTED_VALUE"""),3.0)</f>
        <v>3</v>
      </c>
      <c r="F836" s="6">
        <f>IFERROR(__xludf.DUMMYFUNCTION("""COMPUTED_VALUE"""),1.0)</f>
        <v>1</v>
      </c>
      <c r="G836" s="6">
        <f>IFERROR(__xludf.DUMMYFUNCTION("""COMPUTED_VALUE"""),0.0)</f>
        <v>0</v>
      </c>
      <c r="H836" s="6" t="str">
        <f>IFERROR(__xludf.DUMMYFUNCTION("""COMPUTED_VALUE"""),"pcs")</f>
        <v>pcs</v>
      </c>
      <c r="I836" s="6" t="str">
        <f>IFERROR(__xludf.DUMMYFUNCTION("""COMPUTED_VALUE"""),"MFH")</f>
        <v>MFH</v>
      </c>
      <c r="J836" s="6" t="str">
        <f>IFERROR(__xludf.DUMMYFUNCTION("""COMPUTED_VALUE"""),"PW SKID")</f>
        <v>PW SKID</v>
      </c>
      <c r="K836" s="6" t="str">
        <f>IFERROR(__xludf.DUMMYFUNCTION("""COMPUTED_VALUE"""),"SPR/04/24/044")</f>
        <v>SPR/04/24/044</v>
      </c>
      <c r="L836" s="13">
        <f>IFERROR(__xludf.DUMMYFUNCTION("""COMPUTED_VALUE"""),45412.0)</f>
        <v>45412</v>
      </c>
    </row>
    <row r="837">
      <c r="A837" s="6" t="str">
        <f>IFERROR(__xludf.DUMMYFUNCTION("""COMPUTED_VALUE"""),"RIA")</f>
        <v>RIA</v>
      </c>
      <c r="B837" s="6" t="str">
        <f>IFERROR(__xludf.DUMMYFUNCTION("""COMPUTED_VALUE"""),"ENG")</f>
        <v>ENG</v>
      </c>
      <c r="C837" s="6" t="str">
        <f>IFERROR(__xludf.DUMMYFUNCTION("""COMPUTED_VALUE"""),"P-18448-00")</f>
        <v>P-18448-00</v>
      </c>
      <c r="D837" s="6" t="str">
        <f>IFERROR(__xludf.DUMMYFUNCTION("""COMPUTED_VALUE"""),"Resin Bed Replacement for TOC Sievers M500; ; ;")</f>
        <v>Resin Bed Replacement for TOC Sievers M500; ; ;</v>
      </c>
      <c r="E837" s="6">
        <f>IFERROR(__xludf.DUMMYFUNCTION("""COMPUTED_VALUE"""),1.0)</f>
        <v>1</v>
      </c>
      <c r="F837" s="6">
        <f>IFERROR(__xludf.DUMMYFUNCTION("""COMPUTED_VALUE"""),1.0)</f>
        <v>1</v>
      </c>
      <c r="G837" s="6">
        <f>IFERROR(__xludf.DUMMYFUNCTION("""COMPUTED_VALUE"""),0.0)</f>
        <v>0</v>
      </c>
      <c r="H837" s="6" t="str">
        <f>IFERROR(__xludf.DUMMYFUNCTION("""COMPUTED_VALUE"""),"pcs")</f>
        <v>pcs</v>
      </c>
      <c r="I837" s="6" t="str">
        <f>IFERROR(__xludf.DUMMYFUNCTION("""COMPUTED_VALUE"""),"MFH")</f>
        <v>MFH</v>
      </c>
      <c r="J837" s="6" t="str">
        <f>IFERROR(__xludf.DUMMYFUNCTION("""COMPUTED_VALUE"""),"WFI SKID")</f>
        <v>WFI SKID</v>
      </c>
      <c r="K837" s="6" t="str">
        <f>IFERROR(__xludf.DUMMYFUNCTION("""COMPUTED_VALUE"""),"SPR/04/24/045")</f>
        <v>SPR/04/24/045</v>
      </c>
      <c r="L837" s="13">
        <f>IFERROR(__xludf.DUMMYFUNCTION("""COMPUTED_VALUE"""),45412.0)</f>
        <v>45412</v>
      </c>
    </row>
    <row r="838">
      <c r="A838" s="6" t="str">
        <f>IFERROR(__xludf.DUMMYFUNCTION("""COMPUTED_VALUE"""),"RIA")</f>
        <v>RIA</v>
      </c>
      <c r="B838" s="6" t="str">
        <f>IFERROR(__xludf.DUMMYFUNCTION("""COMPUTED_VALUE"""),"ENG")</f>
        <v>ENG</v>
      </c>
      <c r="C838" s="6" t="str">
        <f>IFERROR(__xludf.DUMMYFUNCTION("""COMPUTED_VALUE"""),"P-54218-00")</f>
        <v>P-54218-00</v>
      </c>
      <c r="D838" s="6" t="str">
        <f>IFERROR(__xludf.DUMMYFUNCTION("""COMPUTED_VALUE"""),"Vertical Float Level Switch VSS-2FJ-S4-L720-FS45-HT; Wingel; ;")</f>
        <v>Vertical Float Level Switch VSS-2FJ-S4-L720-FS45-HT; Wingel; ;</v>
      </c>
      <c r="E838" s="6">
        <f>IFERROR(__xludf.DUMMYFUNCTION("""COMPUTED_VALUE"""),1.0)</f>
        <v>1</v>
      </c>
      <c r="F838" s="6">
        <f>IFERROR(__xludf.DUMMYFUNCTION("""COMPUTED_VALUE"""),1.0)</f>
        <v>1</v>
      </c>
      <c r="G838" s="6">
        <f>IFERROR(__xludf.DUMMYFUNCTION("""COMPUTED_VALUE"""),0.0)</f>
        <v>0</v>
      </c>
      <c r="H838" s="6" t="str">
        <f>IFERROR(__xludf.DUMMYFUNCTION("""COMPUTED_VALUE"""),"pcs")</f>
        <v>pcs</v>
      </c>
      <c r="I838" s="6" t="str">
        <f>IFERROR(__xludf.DUMMYFUNCTION("""COMPUTED_VALUE"""),"MFH")</f>
        <v>MFH</v>
      </c>
      <c r="J838" s="6" t="str">
        <f>IFERROR(__xludf.DUMMYFUNCTION("""COMPUTED_VALUE"""),"WWTP")</f>
        <v>WWTP</v>
      </c>
      <c r="K838" s="6" t="str">
        <f>IFERROR(__xludf.DUMMYFUNCTION("""COMPUTED_VALUE"""),"SPR/04/24/045")</f>
        <v>SPR/04/24/045</v>
      </c>
      <c r="L838" s="13">
        <f>IFERROR(__xludf.DUMMYFUNCTION("""COMPUTED_VALUE"""),45412.0)</f>
        <v>45412</v>
      </c>
    </row>
    <row r="839">
      <c r="A839" s="6" t="str">
        <f>IFERROR(__xludf.DUMMYFUNCTION("""COMPUTED_VALUE"""),"INN")</f>
        <v>INN</v>
      </c>
      <c r="B839" s="6" t="str">
        <f>IFERROR(__xludf.DUMMYFUNCTION("""COMPUTED_VALUE"""),"ENG")</f>
        <v>ENG</v>
      </c>
      <c r="C839" s="6" t="str">
        <f>IFERROR(__xludf.DUMMYFUNCTION("""COMPUTED_VALUE"""),"-")</f>
        <v>-</v>
      </c>
      <c r="D839" s="6" t="str">
        <f>IFERROR(__xludf.DUMMYFUNCTION("""COMPUTED_VALUE"""),"Vacuum Pump GV80 IE3 P/N A70216940 Edwards")</f>
        <v>Vacuum Pump GV80 IE3 P/N A70216940 Edwards</v>
      </c>
      <c r="E839" s="6">
        <f>IFERROR(__xludf.DUMMYFUNCTION("""COMPUTED_VALUE"""),1.0)</f>
        <v>1</v>
      </c>
      <c r="F839" s="6">
        <f>IFERROR(__xludf.DUMMYFUNCTION("""COMPUTED_VALUE"""),1.0)</f>
        <v>1</v>
      </c>
      <c r="G839" s="6">
        <f>IFERROR(__xludf.DUMMYFUNCTION("""COMPUTED_VALUE"""),0.0)</f>
        <v>0</v>
      </c>
      <c r="H839" s="6" t="str">
        <f>IFERROR(__xludf.DUMMYFUNCTION("""COMPUTED_VALUE"""),"Unit")</f>
        <v>Unit</v>
      </c>
      <c r="I839" s="6" t="str">
        <f>IFERROR(__xludf.DUMMYFUNCTION("""COMPUTED_VALUE"""),"MFH")</f>
        <v>MFH</v>
      </c>
      <c r="J839" s="6" t="str">
        <f>IFERROR(__xludf.DUMMYFUNCTION("""COMPUTED_VALUE"""),"FD")</f>
        <v>FD</v>
      </c>
      <c r="K839" s="6" t="str">
        <f>IFERROR(__xludf.DUMMYFUNCTION("""COMPUTED_VALUE"""),"SPR/05/24/001")</f>
        <v>SPR/05/24/001</v>
      </c>
      <c r="L839" s="50">
        <f>IFERROR(__xludf.DUMMYFUNCTION("""COMPUTED_VALUE"""),45443.0)</f>
        <v>45443</v>
      </c>
    </row>
    <row r="840">
      <c r="A840" s="6" t="str">
        <f>IFERROR(__xludf.DUMMYFUNCTION("""COMPUTED_VALUE"""),"INN")</f>
        <v>INN</v>
      </c>
      <c r="B840" s="6" t="str">
        <f>IFERROR(__xludf.DUMMYFUNCTION("""COMPUTED_VALUE"""),"ENG")</f>
        <v>ENG</v>
      </c>
      <c r="C840" s="6" t="str">
        <f>IFERROR(__xludf.DUMMYFUNCTION("""COMPUTED_VALUE"""),"P-13603-00")</f>
        <v>P-13603-00</v>
      </c>
      <c r="D840" s="6" t="str">
        <f>IFERROR(__xludf.DUMMYFUNCTION("""COMPUTED_VALUE"""),"PW Generator Austar - RO Membranes BW30-400 DOW")</f>
        <v>PW Generator Austar - RO Membranes BW30-400 DOW</v>
      </c>
      <c r="E840" s="6">
        <f>IFERROR(__xludf.DUMMYFUNCTION("""COMPUTED_VALUE"""),4.0)</f>
        <v>4</v>
      </c>
      <c r="F840" s="6">
        <f>IFERROR(__xludf.DUMMYFUNCTION("""COMPUTED_VALUE"""),4.0)</f>
        <v>4</v>
      </c>
      <c r="G840" s="6">
        <f>IFERROR(__xludf.DUMMYFUNCTION("""COMPUTED_VALUE"""),0.0)</f>
        <v>0</v>
      </c>
      <c r="H840" s="6" t="str">
        <f>IFERROR(__xludf.DUMMYFUNCTION("""COMPUTED_VALUE"""),"pcs")</f>
        <v>pcs</v>
      </c>
      <c r="I840" s="6" t="str">
        <f>IFERROR(__xludf.DUMMYFUNCTION("""COMPUTED_VALUE"""),"MFH")</f>
        <v>MFH</v>
      </c>
      <c r="J840" s="6" t="str">
        <f>IFERROR(__xludf.DUMMYFUNCTION("""COMPUTED_VALUE"""),"PWG")</f>
        <v>PWG</v>
      </c>
      <c r="K840" s="6" t="str">
        <f>IFERROR(__xludf.DUMMYFUNCTION("""COMPUTED_VALUE"""),"SPR/05/24/002")</f>
        <v>SPR/05/24/002</v>
      </c>
      <c r="L840" s="50">
        <f>IFERROR(__xludf.DUMMYFUNCTION("""COMPUTED_VALUE"""),45443.0)</f>
        <v>45443</v>
      </c>
    </row>
    <row r="841">
      <c r="A841" s="6" t="str">
        <f>IFERROR(__xludf.DUMMYFUNCTION("""COMPUTED_VALUE"""),"NDS")</f>
        <v>NDS</v>
      </c>
      <c r="B841" s="6" t="str">
        <f>IFERROR(__xludf.DUMMYFUNCTION("""COMPUTED_VALUE"""),"ENG")</f>
        <v>ENG</v>
      </c>
      <c r="C841" s="6" t="str">
        <f>IFERROR(__xludf.DUMMYFUNCTION("""COMPUTED_VALUE"""),"O-16647-00")</f>
        <v>O-16647-00</v>
      </c>
      <c r="D841" s="6" t="str">
        <f>IFERROR(__xludf.DUMMYFUNCTION("""COMPUTED_VALUE"""),"Washing RAR4 - Oring Silicone Merah 23x18x2.5 mm; ; ;")</f>
        <v>Washing RAR4 - Oring Silicone Merah 23x18x2.5 mm; ; ;</v>
      </c>
      <c r="E841" s="6">
        <f>IFERROR(__xludf.DUMMYFUNCTION("""COMPUTED_VALUE"""),30.0)</f>
        <v>30</v>
      </c>
      <c r="F841" s="6">
        <f>IFERROR(__xludf.DUMMYFUNCTION("""COMPUTED_VALUE"""),10.0)</f>
        <v>10</v>
      </c>
      <c r="G841" s="6">
        <f>IFERROR(__xludf.DUMMYFUNCTION("""COMPUTED_VALUE"""),0.0)</f>
        <v>0</v>
      </c>
      <c r="H841" s="6" t="str">
        <f>IFERROR(__xludf.DUMMYFUNCTION("""COMPUTED_VALUE"""),"Pcs")</f>
        <v>Pcs</v>
      </c>
      <c r="I841" s="6" t="str">
        <f>IFERROR(__xludf.DUMMYFUNCTION("""COMPUTED_VALUE"""),"MFH")</f>
        <v>MFH</v>
      </c>
      <c r="J841" s="6" t="str">
        <f>IFERROR(__xludf.DUMMYFUNCTION("""COMPUTED_VALUE"""),"Capping")</f>
        <v>Capping</v>
      </c>
      <c r="K841" s="6" t="str">
        <f>IFERROR(__xludf.DUMMYFUNCTION("""COMPUTED_VALUE"""),"SPR/05/24/003")</f>
        <v>SPR/05/24/003</v>
      </c>
      <c r="L841" s="50">
        <f>IFERROR(__xludf.DUMMYFUNCTION("""COMPUTED_VALUE"""),45443.0)</f>
        <v>45443</v>
      </c>
    </row>
    <row r="842">
      <c r="A842" s="6" t="str">
        <f>IFERROR(__xludf.DUMMYFUNCTION("""COMPUTED_VALUE"""),"NDS")</f>
        <v>NDS</v>
      </c>
      <c r="B842" s="6" t="str">
        <f>IFERROR(__xludf.DUMMYFUNCTION("""COMPUTED_VALUE"""),"ENG")</f>
        <v>ENG</v>
      </c>
      <c r="C842" s="6" t="str">
        <f>IFERROR(__xludf.DUMMYFUNCTION("""COMPUTED_VALUE"""),"O-15931-00")</f>
        <v>O-15931-00</v>
      </c>
      <c r="D842" s="6" t="str">
        <f>IFERROR(__xludf.DUMMYFUNCTION("""COMPUTED_VALUE"""),"Double Tape 3M 1"" Merah - P/N : - pc")</f>
        <v>Double Tape 3M 1" Merah - P/N : - pc</v>
      </c>
      <c r="E842" s="6">
        <f>IFERROR(__xludf.DUMMYFUNCTION("""COMPUTED_VALUE"""),1.0)</f>
        <v>1</v>
      </c>
      <c r="F842" s="6">
        <f>IFERROR(__xludf.DUMMYFUNCTION("""COMPUTED_VALUE"""),1.0)</f>
        <v>1</v>
      </c>
      <c r="G842" s="6">
        <f>IFERROR(__xludf.DUMMYFUNCTION("""COMPUTED_VALUE"""),0.0)</f>
        <v>0</v>
      </c>
      <c r="H842" s="6" t="str">
        <f>IFERROR(__xludf.DUMMYFUNCTION("""COMPUTED_VALUE"""),"pcs")</f>
        <v>pcs</v>
      </c>
      <c r="I842" s="6" t="str">
        <f>IFERROR(__xludf.DUMMYFUNCTION("""COMPUTED_VALUE"""),"MFH")</f>
        <v>MFH</v>
      </c>
      <c r="J842" s="6" t="str">
        <f>IFERROR(__xludf.DUMMYFUNCTION("""COMPUTED_VALUE"""),"Building")</f>
        <v>Building</v>
      </c>
      <c r="K842" s="6" t="str">
        <f>IFERROR(__xludf.DUMMYFUNCTION("""COMPUTED_VALUE"""),"SPR/05/24/004")</f>
        <v>SPR/05/24/004</v>
      </c>
      <c r="L842" s="50">
        <f>IFERROR(__xludf.DUMMYFUNCTION("""COMPUTED_VALUE"""),45443.0)</f>
        <v>45443</v>
      </c>
    </row>
    <row r="843">
      <c r="A843" s="6" t="str">
        <f>IFERROR(__xludf.DUMMYFUNCTION("""COMPUTED_VALUE"""),"AAA")</f>
        <v>AAA</v>
      </c>
      <c r="B843" s="6" t="str">
        <f>IFERROR(__xludf.DUMMYFUNCTION("""COMPUTED_VALUE"""),"ENG")</f>
        <v>ENG</v>
      </c>
      <c r="C843" s="6" t="str">
        <f>IFERROR(__xludf.DUMMYFUNCTION("""COMPUTED_VALUE"""),"Q-10249-00")</f>
        <v>Q-10249-00</v>
      </c>
      <c r="D843" s="6" t="str">
        <f>IFERROR(__xludf.DUMMYFUNCTION("""COMPUTED_VALUE"""),"Lem Power Glue; ; ;")</f>
        <v>Lem Power Glue; ; ;</v>
      </c>
      <c r="E843" s="6">
        <f>IFERROR(__xludf.DUMMYFUNCTION("""COMPUTED_VALUE"""),3.0)</f>
        <v>3</v>
      </c>
      <c r="F843" s="6">
        <f>IFERROR(__xludf.DUMMYFUNCTION("""COMPUTED_VALUE"""),1.0)</f>
        <v>1</v>
      </c>
      <c r="G843" s="6">
        <f>IFERROR(__xludf.DUMMYFUNCTION("""COMPUTED_VALUE"""),0.0)</f>
        <v>0</v>
      </c>
      <c r="H843" s="6" t="str">
        <f>IFERROR(__xludf.DUMMYFUNCTION("""COMPUTED_VALUE"""),"pcs")</f>
        <v>pcs</v>
      </c>
      <c r="I843" s="6" t="str">
        <f>IFERROR(__xludf.DUMMYFUNCTION("""COMPUTED_VALUE"""),"MFH")</f>
        <v>MFH</v>
      </c>
      <c r="J843" s="6" t="str">
        <f>IFERROR(__xludf.DUMMYFUNCTION("""COMPUTED_VALUE"""),"-")</f>
        <v>-</v>
      </c>
      <c r="K843" s="6" t="str">
        <f>IFERROR(__xludf.DUMMYFUNCTION("""COMPUTED_VALUE"""),"SPR/05/24/005")</f>
        <v>SPR/05/24/005</v>
      </c>
      <c r="L843" s="50">
        <f>IFERROR(__xludf.DUMMYFUNCTION("""COMPUTED_VALUE"""),45443.0)</f>
        <v>45443</v>
      </c>
    </row>
    <row r="844">
      <c r="A844" s="6" t="str">
        <f>IFERROR(__xludf.DUMMYFUNCTION("""COMPUTED_VALUE"""),"RIA")</f>
        <v>RIA</v>
      </c>
      <c r="B844" s="6" t="str">
        <f>IFERROR(__xludf.DUMMYFUNCTION("""COMPUTED_VALUE"""),"ENG")</f>
        <v>ENG</v>
      </c>
      <c r="C844" s="6" t="str">
        <f>IFERROR(__xludf.DUMMYFUNCTION("""COMPUTED_VALUE"""),"P-11694-00")</f>
        <v>P-11694-00</v>
      </c>
      <c r="D844" s="6" t="str">
        <f>IFERROR(__xludf.DUMMYFUNCTION("""COMPUTED_VALUE"""),"Mata Gerinda 4""")</f>
        <v>Mata Gerinda 4"</v>
      </c>
      <c r="E844" s="6">
        <f>IFERROR(__xludf.DUMMYFUNCTION("""COMPUTED_VALUE"""),2.0)</f>
        <v>2</v>
      </c>
      <c r="F844" s="6">
        <f>IFERROR(__xludf.DUMMYFUNCTION("""COMPUTED_VALUE"""),2.0)</f>
        <v>2</v>
      </c>
      <c r="G844" s="6">
        <f>IFERROR(__xludf.DUMMYFUNCTION("""COMPUTED_VALUE"""),0.0)</f>
        <v>0</v>
      </c>
      <c r="H844" s="6" t="str">
        <f>IFERROR(__xludf.DUMMYFUNCTION("""COMPUTED_VALUE"""),"pcs")</f>
        <v>pcs</v>
      </c>
      <c r="I844" s="6" t="str">
        <f>IFERROR(__xludf.DUMMYFUNCTION("""COMPUTED_VALUE"""),"MFH")</f>
        <v>MFH</v>
      </c>
      <c r="J844" s="6" t="str">
        <f>IFERROR(__xludf.DUMMYFUNCTION("""COMPUTED_VALUE"""),"-")</f>
        <v>-</v>
      </c>
      <c r="K844" s="6" t="str">
        <f>IFERROR(__xludf.DUMMYFUNCTION("""COMPUTED_VALUE"""),"SPR/05/24/006")</f>
        <v>SPR/05/24/006</v>
      </c>
      <c r="L844" s="50">
        <f>IFERROR(__xludf.DUMMYFUNCTION("""COMPUTED_VALUE"""),45443.0)</f>
        <v>45443</v>
      </c>
    </row>
    <row r="845">
      <c r="A845" s="6" t="str">
        <f>IFERROR(__xludf.DUMMYFUNCTION("""COMPUTED_VALUE"""),"RIA")</f>
        <v>RIA</v>
      </c>
      <c r="B845" s="6" t="str">
        <f>IFERROR(__xludf.DUMMYFUNCTION("""COMPUTED_VALUE"""),"ENG")</f>
        <v>ENG</v>
      </c>
      <c r="C845" s="6" t="str">
        <f>IFERROR(__xludf.DUMMYFUNCTION("""COMPUTED_VALUE"""),"T-80732-00")</f>
        <v>T-80732-00</v>
      </c>
      <c r="D845" s="6" t="str">
        <f>IFERROR(__xludf.DUMMYFUNCTION("""COMPUTED_VALUE"""),"Plakban Lantai Merk 3M")</f>
        <v>Plakban Lantai Merk 3M</v>
      </c>
      <c r="E845" s="6">
        <f>IFERROR(__xludf.DUMMYFUNCTION("""COMPUTED_VALUE"""),1.0)</f>
        <v>1</v>
      </c>
      <c r="F845" s="6">
        <f>IFERROR(__xludf.DUMMYFUNCTION("""COMPUTED_VALUE"""),1.0)</f>
        <v>1</v>
      </c>
      <c r="G845" s="6">
        <f>IFERROR(__xludf.DUMMYFUNCTION("""COMPUTED_VALUE"""),0.0)</f>
        <v>0</v>
      </c>
      <c r="H845" s="6" t="str">
        <f>IFERROR(__xludf.DUMMYFUNCTION("""COMPUTED_VALUE"""),"pcs")</f>
        <v>pcs</v>
      </c>
      <c r="I845" s="6" t="str">
        <f>IFERROR(__xludf.DUMMYFUNCTION("""COMPUTED_VALUE"""),"MFH")</f>
        <v>MFH</v>
      </c>
      <c r="J845" s="6" t="str">
        <f>IFERROR(__xludf.DUMMYFUNCTION("""COMPUTED_VALUE"""),"-")</f>
        <v>-</v>
      </c>
      <c r="K845" s="6" t="str">
        <f>IFERROR(__xludf.DUMMYFUNCTION("""COMPUTED_VALUE"""),"SPR/05/24/006")</f>
        <v>SPR/05/24/006</v>
      </c>
      <c r="L845" s="50">
        <f>IFERROR(__xludf.DUMMYFUNCTION("""COMPUTED_VALUE"""),45443.0)</f>
        <v>45443</v>
      </c>
    </row>
    <row r="846">
      <c r="A846" s="6" t="str">
        <f>IFERROR(__xludf.DUMMYFUNCTION("""COMPUTED_VALUE"""),"AAA")</f>
        <v>AAA</v>
      </c>
      <c r="B846" s="6" t="str">
        <f>IFERROR(__xludf.DUMMYFUNCTION("""COMPUTED_VALUE"""),"ENG")</f>
        <v>ENG</v>
      </c>
      <c r="C846" s="6" t="str">
        <f>IFERROR(__xludf.DUMMYFUNCTION("""COMPUTED_VALUE"""),"O-16033-00")</f>
        <v>O-16033-00</v>
      </c>
      <c r="D84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846" s="6">
        <f>IFERROR(__xludf.DUMMYFUNCTION("""COMPUTED_VALUE"""),2.0)</f>
        <v>2</v>
      </c>
      <c r="F846" s="6">
        <f>IFERROR(__xludf.DUMMYFUNCTION("""COMPUTED_VALUE"""),2.0)</f>
        <v>2</v>
      </c>
      <c r="G846" s="6">
        <f>IFERROR(__xludf.DUMMYFUNCTION("""COMPUTED_VALUE"""),0.0)</f>
        <v>0</v>
      </c>
      <c r="H846" s="6" t="str">
        <f>IFERROR(__xludf.DUMMYFUNCTION("""COMPUTED_VALUE"""),"pcs")</f>
        <v>pcs</v>
      </c>
      <c r="I846" s="6" t="str">
        <f>IFERROR(__xludf.DUMMYFUNCTION("""COMPUTED_VALUE"""),"MFH")</f>
        <v>MFH</v>
      </c>
      <c r="J846" s="6" t="str">
        <f>IFERROR(__xludf.DUMMYFUNCTION("""COMPUTED_VALUE"""),"cRABS")</f>
        <v>cRABS</v>
      </c>
      <c r="K846" s="6" t="str">
        <f>IFERROR(__xludf.DUMMYFUNCTION("""COMPUTED_VALUE"""),"SPR/05/24/007")</f>
        <v>SPR/05/24/007</v>
      </c>
      <c r="L846" s="50">
        <f>IFERROR(__xludf.DUMMYFUNCTION("""COMPUTED_VALUE"""),45443.0)</f>
        <v>45443</v>
      </c>
    </row>
    <row r="847">
      <c r="A847" s="6" t="str">
        <f>IFERROR(__xludf.DUMMYFUNCTION("""COMPUTED_VALUE"""),"NDS")</f>
        <v>NDS</v>
      </c>
      <c r="B847" s="6" t="str">
        <f>IFERROR(__xludf.DUMMYFUNCTION("""COMPUTED_VALUE"""),"ENG")</f>
        <v>ENG</v>
      </c>
      <c r="C847" s="6" t="str">
        <f>IFERROR(__xludf.DUMMYFUNCTION("""COMPUTED_VALUE"""),"O-16032-00")</f>
        <v>O-16032-00</v>
      </c>
      <c r="D847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847" s="6">
        <f>IFERROR(__xludf.DUMMYFUNCTION("""COMPUTED_VALUE"""),1.0)</f>
        <v>1</v>
      </c>
      <c r="F847" s="6">
        <f>IFERROR(__xludf.DUMMYFUNCTION("""COMPUTED_VALUE"""),1.0)</f>
        <v>1</v>
      </c>
      <c r="G847" s="6">
        <f>IFERROR(__xludf.DUMMYFUNCTION("""COMPUTED_VALUE"""),0.0)</f>
        <v>0</v>
      </c>
      <c r="H847" s="6" t="str">
        <f>IFERROR(__xludf.DUMMYFUNCTION("""COMPUTED_VALUE"""),"pcs")</f>
        <v>pcs</v>
      </c>
      <c r="I847" s="6" t="str">
        <f>IFERROR(__xludf.DUMMYFUNCTION("""COMPUTED_VALUE"""),"MFH")</f>
        <v>MFH</v>
      </c>
      <c r="J847" s="6" t="str">
        <f>IFERROR(__xludf.DUMMYFUNCTION("""COMPUTED_VALUE"""),"cRABS")</f>
        <v>cRABS</v>
      </c>
      <c r="K847" s="6" t="str">
        <f>IFERROR(__xludf.DUMMYFUNCTION("""COMPUTED_VALUE"""),"SPR/05/24/008")</f>
        <v>SPR/05/24/008</v>
      </c>
      <c r="L847" s="50">
        <f>IFERROR(__xludf.DUMMYFUNCTION("""COMPUTED_VALUE"""),45443.0)</f>
        <v>45443</v>
      </c>
    </row>
    <row r="848">
      <c r="A848" s="6" t="str">
        <f>IFERROR(__xludf.DUMMYFUNCTION("""COMPUTED_VALUE"""),"NDS")</f>
        <v>NDS</v>
      </c>
      <c r="B848" s="6" t="str">
        <f>IFERROR(__xludf.DUMMYFUNCTION("""COMPUTED_VALUE"""),"ENG")</f>
        <v>ENG</v>
      </c>
      <c r="C848" s="6" t="str">
        <f>IFERROR(__xludf.DUMMYFUNCTION("""COMPUTED_VALUE"""),"O-19430-00")</f>
        <v>O-19430-00</v>
      </c>
      <c r="D848" s="6" t="str">
        <f>IFERROR(__xludf.DUMMYFUNCTION("""COMPUTED_VALUE"""),"Baut SS L M5 x 20 mm + Mur + Ring; ; ;; ; ;; ; ;")</f>
        <v>Baut SS L M5 x 20 mm + Mur + Ring; ; ;; ; ;; ; ;</v>
      </c>
      <c r="E848" s="6">
        <f>IFERROR(__xludf.DUMMYFUNCTION("""COMPUTED_VALUE"""),5.0)</f>
        <v>5</v>
      </c>
      <c r="F848" s="6">
        <f>IFERROR(__xludf.DUMMYFUNCTION("""COMPUTED_VALUE"""),5.0)</f>
        <v>5</v>
      </c>
      <c r="G848" s="6">
        <f>IFERROR(__xludf.DUMMYFUNCTION("""COMPUTED_VALUE"""),0.0)</f>
        <v>0</v>
      </c>
      <c r="H848" s="6" t="str">
        <f>IFERROR(__xludf.DUMMYFUNCTION("""COMPUTED_VALUE"""),"pcs")</f>
        <v>pcs</v>
      </c>
      <c r="I848" s="6" t="str">
        <f>IFERROR(__xludf.DUMMYFUNCTION("""COMPUTED_VALUE"""),"MFH")</f>
        <v>MFH</v>
      </c>
      <c r="J848" s="6" t="str">
        <f>IFERROR(__xludf.DUMMYFUNCTION("""COMPUTED_VALUE"""),"Building")</f>
        <v>Building</v>
      </c>
      <c r="K848" s="6" t="str">
        <f>IFERROR(__xludf.DUMMYFUNCTION("""COMPUTED_VALUE"""),"SPR/05/24/008")</f>
        <v>SPR/05/24/008</v>
      </c>
      <c r="L848" s="50">
        <f>IFERROR(__xludf.DUMMYFUNCTION("""COMPUTED_VALUE"""),45443.0)</f>
        <v>45443</v>
      </c>
    </row>
    <row r="849">
      <c r="A849" s="6" t="str">
        <f>IFERROR(__xludf.DUMMYFUNCTION("""COMPUTED_VALUE"""),"RPA")</f>
        <v>RPA</v>
      </c>
      <c r="B849" s="6" t="str">
        <f>IFERROR(__xludf.DUMMYFUNCTION("""COMPUTED_VALUE"""),"ENG")</f>
        <v>ENG</v>
      </c>
      <c r="C849" s="6" t="str">
        <f>IFERROR(__xludf.DUMMYFUNCTION("""COMPUTED_VALUE"""),"O-18055-00")</f>
        <v>O-18055-00</v>
      </c>
      <c r="D849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849" s="6">
        <f>IFERROR(__xludf.DUMMYFUNCTION("""COMPUTED_VALUE"""),2.0)</f>
        <v>2</v>
      </c>
      <c r="F849" s="6">
        <f>IFERROR(__xludf.DUMMYFUNCTION("""COMPUTED_VALUE"""),2.0)</f>
        <v>2</v>
      </c>
      <c r="G849" s="6">
        <f>IFERROR(__xludf.DUMMYFUNCTION("""COMPUTED_VALUE"""),0.0)</f>
        <v>0</v>
      </c>
      <c r="H849" s="6" t="str">
        <f>IFERROR(__xludf.DUMMYFUNCTION("""COMPUTED_VALUE"""),"Pcs")</f>
        <v>Pcs</v>
      </c>
      <c r="I849" s="6" t="str">
        <f>IFERROR(__xludf.DUMMYFUNCTION("""COMPUTED_VALUE"""),"MFH")</f>
        <v>MFH</v>
      </c>
      <c r="J849" s="6" t="str">
        <f>IFERROR(__xludf.DUMMYFUNCTION("""COMPUTED_VALUE"""),"Cartoning")</f>
        <v>Cartoning</v>
      </c>
      <c r="K849" s="6" t="str">
        <f>IFERROR(__xludf.DUMMYFUNCTION("""COMPUTED_VALUE"""),"SPR/05/24/009")</f>
        <v>SPR/05/24/009</v>
      </c>
      <c r="L849" s="50">
        <f>IFERROR(__xludf.DUMMYFUNCTION("""COMPUTED_VALUE"""),45443.0)</f>
        <v>45443</v>
      </c>
    </row>
    <row r="850">
      <c r="A850" s="6" t="str">
        <f>IFERROR(__xludf.DUMMYFUNCTION("""COMPUTED_VALUE"""),"SHF")</f>
        <v>SHF</v>
      </c>
      <c r="B850" s="6" t="str">
        <f>IFERROR(__xludf.DUMMYFUNCTION("""COMPUTED_VALUE"""),"ENG")</f>
        <v>ENG</v>
      </c>
      <c r="C850" s="6" t="str">
        <f>IFERROR(__xludf.DUMMYFUNCTION("""COMPUTED_VALUE"""),"O-15931-00")</f>
        <v>O-15931-00</v>
      </c>
      <c r="D850" s="6" t="str">
        <f>IFERROR(__xludf.DUMMYFUNCTION("""COMPUTED_VALUE"""),"Double Tape 3M 1"" Merah - P/N : - pc")</f>
        <v>Double Tape 3M 1" Merah - P/N : - pc</v>
      </c>
      <c r="E850" s="6">
        <f>IFERROR(__xludf.DUMMYFUNCTION("""COMPUTED_VALUE"""),1.0)</f>
        <v>1</v>
      </c>
      <c r="F850" s="6">
        <f>IFERROR(__xludf.DUMMYFUNCTION("""COMPUTED_VALUE"""),1.0)</f>
        <v>1</v>
      </c>
      <c r="G850" s="6">
        <f>IFERROR(__xludf.DUMMYFUNCTION("""COMPUTED_VALUE"""),0.0)</f>
        <v>0</v>
      </c>
      <c r="H850" s="6" t="str">
        <f>IFERROR(__xludf.DUMMYFUNCTION("""COMPUTED_VALUE"""),"pcs")</f>
        <v>pcs</v>
      </c>
      <c r="I850" s="6" t="str">
        <f>IFERROR(__xludf.DUMMYFUNCTION("""COMPUTED_VALUE"""),"MFH")</f>
        <v>MFH</v>
      </c>
      <c r="J850" s="6" t="str">
        <f>IFERROR(__xludf.DUMMYFUNCTION("""COMPUTED_VALUE"""),"Building")</f>
        <v>Building</v>
      </c>
      <c r="K850" s="6" t="str">
        <f>IFERROR(__xludf.DUMMYFUNCTION("""COMPUTED_VALUE"""),"SPR/05/24/010")</f>
        <v>SPR/05/24/010</v>
      </c>
      <c r="L850" s="50">
        <f>IFERROR(__xludf.DUMMYFUNCTION("""COMPUTED_VALUE"""),45443.0)</f>
        <v>45443</v>
      </c>
    </row>
    <row r="851">
      <c r="A851" s="6" t="str">
        <f>IFERROR(__xludf.DUMMYFUNCTION("""COMPUTED_VALUE"""),"MOB")</f>
        <v>MOB</v>
      </c>
      <c r="B851" s="6" t="str">
        <f>IFERROR(__xludf.DUMMYFUNCTION("""COMPUTED_VALUE"""),"ENG")</f>
        <v>ENG</v>
      </c>
      <c r="C851" s="6" t="str">
        <f>IFERROR(__xludf.DUMMYFUNCTION("""COMPUTED_VALUE"""),"P-15938-00")</f>
        <v>P-15938-00</v>
      </c>
      <c r="D851" s="6" t="str">
        <f>IFERROR(__xludf.DUMMYFUNCTION("""COMPUTED_VALUE"""),"Water Hardness Test Kit")</f>
        <v>Water Hardness Test Kit</v>
      </c>
      <c r="E851" s="6">
        <f>IFERROR(__xludf.DUMMYFUNCTION("""COMPUTED_VALUE"""),1.0)</f>
        <v>1</v>
      </c>
      <c r="F851" s="6">
        <f>IFERROR(__xludf.DUMMYFUNCTION("""COMPUTED_VALUE"""),1.0)</f>
        <v>1</v>
      </c>
      <c r="G851" s="6">
        <f>IFERROR(__xludf.DUMMYFUNCTION("""COMPUTED_VALUE"""),0.0)</f>
        <v>0</v>
      </c>
      <c r="H851" s="6" t="str">
        <f>IFERROR(__xludf.DUMMYFUNCTION("""COMPUTED_VALUE"""),"pcs")</f>
        <v>pcs</v>
      </c>
      <c r="I851" s="6" t="str">
        <f>IFERROR(__xludf.DUMMYFUNCTION("""COMPUTED_VALUE"""),"MFH")</f>
        <v>MFH</v>
      </c>
      <c r="J851" s="6" t="str">
        <f>IFERROR(__xludf.DUMMYFUNCTION("""COMPUTED_VALUE"""),"PWG")</f>
        <v>PWG</v>
      </c>
      <c r="K851" s="6" t="str">
        <f>IFERROR(__xludf.DUMMYFUNCTION("""COMPUTED_VALUE"""),"SPR/05/24/011")</f>
        <v>SPR/05/24/011</v>
      </c>
      <c r="L851" s="50">
        <f>IFERROR(__xludf.DUMMYFUNCTION("""COMPUTED_VALUE"""),45443.0)</f>
        <v>45443</v>
      </c>
    </row>
    <row r="852">
      <c r="A852" s="6" t="str">
        <f>IFERROR(__xludf.DUMMYFUNCTION("""COMPUTED_VALUE"""),"NDS")</f>
        <v>NDS</v>
      </c>
      <c r="B852" s="6" t="str">
        <f>IFERROR(__xludf.DUMMYFUNCTION("""COMPUTED_VALUE"""),"ENG")</f>
        <v>ENG</v>
      </c>
      <c r="C852" s="6" t="str">
        <f>IFERROR(__xludf.DUMMYFUNCTION("""COMPUTED_VALUE"""),"O-16033-00")</f>
        <v>O-16033-00</v>
      </c>
      <c r="D85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852" s="6">
        <f>IFERROR(__xludf.DUMMYFUNCTION("""COMPUTED_VALUE"""),2.0)</f>
        <v>2</v>
      </c>
      <c r="F852" s="6">
        <f>IFERROR(__xludf.DUMMYFUNCTION("""COMPUTED_VALUE"""),2.0)</f>
        <v>2</v>
      </c>
      <c r="G852" s="6">
        <f>IFERROR(__xludf.DUMMYFUNCTION("""COMPUTED_VALUE"""),0.0)</f>
        <v>0</v>
      </c>
      <c r="H852" s="6" t="str">
        <f>IFERROR(__xludf.DUMMYFUNCTION("""COMPUTED_VALUE"""),"pcs")</f>
        <v>pcs</v>
      </c>
      <c r="I852" s="6" t="str">
        <f>IFERROR(__xludf.DUMMYFUNCTION("""COMPUTED_VALUE"""),"MFH")</f>
        <v>MFH</v>
      </c>
      <c r="J852" s="6" t="str">
        <f>IFERROR(__xludf.DUMMYFUNCTION("""COMPUTED_VALUE"""),"cRABS")</f>
        <v>cRABS</v>
      </c>
      <c r="K852" s="6" t="str">
        <f>IFERROR(__xludf.DUMMYFUNCTION("""COMPUTED_VALUE"""),"SPR/05/24/012")</f>
        <v>SPR/05/24/012</v>
      </c>
      <c r="L852" s="50">
        <f>IFERROR(__xludf.DUMMYFUNCTION("""COMPUTED_VALUE"""),45443.0)</f>
        <v>45443</v>
      </c>
    </row>
    <row r="853">
      <c r="A853" s="6" t="str">
        <f>IFERROR(__xludf.DUMMYFUNCTION("""COMPUTED_VALUE"""),"NDS")</f>
        <v>NDS</v>
      </c>
      <c r="B853" s="6" t="str">
        <f>IFERROR(__xludf.DUMMYFUNCTION("""COMPUTED_VALUE"""),"ENG")</f>
        <v>ENG</v>
      </c>
      <c r="C853" s="6" t="str">
        <f>IFERROR(__xludf.DUMMYFUNCTION("""COMPUTED_VALUE"""),"-")</f>
        <v>-</v>
      </c>
      <c r="D853" s="6" t="str">
        <f>IFERROR(__xludf.DUMMYFUNCTION("""COMPUTED_VALUE"""),"Push In Drat + Drat 3/4")</f>
        <v>Push In Drat + Drat 3/4</v>
      </c>
      <c r="E853" s="6">
        <f>IFERROR(__xludf.DUMMYFUNCTION("""COMPUTED_VALUE"""),1.0)</f>
        <v>1</v>
      </c>
      <c r="F853" s="6">
        <f>IFERROR(__xludf.DUMMYFUNCTION("""COMPUTED_VALUE"""),1.0)</f>
        <v>1</v>
      </c>
      <c r="G853" s="6">
        <f>IFERROR(__xludf.DUMMYFUNCTION("""COMPUTED_VALUE"""),0.0)</f>
        <v>0</v>
      </c>
      <c r="H853" s="6" t="str">
        <f>IFERROR(__xludf.DUMMYFUNCTION("""COMPUTED_VALUE"""),"pcs")</f>
        <v>pcs</v>
      </c>
      <c r="I853" s="6" t="str">
        <f>IFERROR(__xludf.DUMMYFUNCTION("""COMPUTED_VALUE"""),"MFH")</f>
        <v>MFH</v>
      </c>
      <c r="J853" s="6" t="str">
        <f>IFERROR(__xludf.DUMMYFUNCTION("""COMPUTED_VALUE"""),"Teledine")</f>
        <v>Teledine</v>
      </c>
      <c r="K853" s="6" t="str">
        <f>IFERROR(__xludf.DUMMYFUNCTION("""COMPUTED_VALUE"""),"SPR/05/24/012")</f>
        <v>SPR/05/24/012</v>
      </c>
      <c r="L853" s="50">
        <f>IFERROR(__xludf.DUMMYFUNCTION("""COMPUTED_VALUE"""),45443.0)</f>
        <v>45443</v>
      </c>
    </row>
    <row r="854">
      <c r="A854" s="6" t="str">
        <f>IFERROR(__xludf.DUMMYFUNCTION("""COMPUTED_VALUE"""),"ROS")</f>
        <v>ROS</v>
      </c>
      <c r="B854" s="6" t="str">
        <f>IFERROR(__xludf.DUMMYFUNCTION("""COMPUTED_VALUE"""),"ENG")</f>
        <v>ENG</v>
      </c>
      <c r="C854" s="6" t="str">
        <f>IFERROR(__xludf.DUMMYFUNCTION("""COMPUTED_VALUE"""),"Q-60003-00")</f>
        <v>Q-60003-00</v>
      </c>
      <c r="D854" s="6" t="str">
        <f>IFERROR(__xludf.DUMMYFUNCTION("""COMPUTED_VALUE"""),"Plakband Kertas")</f>
        <v>Plakband Kertas</v>
      </c>
      <c r="E854" s="6">
        <f>IFERROR(__xludf.DUMMYFUNCTION("""COMPUTED_VALUE"""),10.0)</f>
        <v>10</v>
      </c>
      <c r="F854" s="6">
        <f>IFERROR(__xludf.DUMMYFUNCTION("""COMPUTED_VALUE"""),10.0)</f>
        <v>10</v>
      </c>
      <c r="G854" s="6">
        <f>IFERROR(__xludf.DUMMYFUNCTION("""COMPUTED_VALUE"""),0.0)</f>
        <v>0</v>
      </c>
      <c r="H854" s="6" t="str">
        <f>IFERROR(__xludf.DUMMYFUNCTION("""COMPUTED_VALUE"""),"pcs")</f>
        <v>pcs</v>
      </c>
      <c r="I854" s="6" t="str">
        <f>IFERROR(__xludf.DUMMYFUNCTION("""COMPUTED_VALUE"""),"MFH")</f>
        <v>MFH</v>
      </c>
      <c r="J854" s="6" t="str">
        <f>IFERROR(__xludf.DUMMYFUNCTION("""COMPUTED_VALUE"""),"Coating")</f>
        <v>Coating</v>
      </c>
      <c r="K854" s="6" t="str">
        <f>IFERROR(__xludf.DUMMYFUNCTION("""COMPUTED_VALUE"""),"SPR/05/24/013")</f>
        <v>SPR/05/24/013</v>
      </c>
      <c r="L854" s="50">
        <f>IFERROR(__xludf.DUMMYFUNCTION("""COMPUTED_VALUE"""),45443.0)</f>
        <v>45443</v>
      </c>
    </row>
    <row r="855">
      <c r="A855" s="6" t="str">
        <f>IFERROR(__xludf.DUMMYFUNCTION("""COMPUTED_VALUE"""),"ROS")</f>
        <v>ROS</v>
      </c>
      <c r="B855" s="6" t="str">
        <f>IFERROR(__xludf.DUMMYFUNCTION("""COMPUTED_VALUE"""),"ENG")</f>
        <v>ENG</v>
      </c>
      <c r="C855" s="6" t="str">
        <f>IFERROR(__xludf.DUMMYFUNCTION("""COMPUTED_VALUE"""),"P-18788-00")</f>
        <v>P-18788-00</v>
      </c>
      <c r="D855" s="6" t="str">
        <f>IFERROR(__xludf.DUMMYFUNCTION("""COMPUTED_VALUE"""),"Baut SS Hexagon SS M6x55mm + Mur; ; ;")</f>
        <v>Baut SS Hexagon SS M6x55mm + Mur; ; ;</v>
      </c>
      <c r="E855" s="6">
        <f>IFERROR(__xludf.DUMMYFUNCTION("""COMPUTED_VALUE"""),10.0)</f>
        <v>10</v>
      </c>
      <c r="F855" s="6">
        <f>IFERROR(__xludf.DUMMYFUNCTION("""COMPUTED_VALUE"""),10.0)</f>
        <v>10</v>
      </c>
      <c r="G855" s="6">
        <f>IFERROR(__xludf.DUMMYFUNCTION("""COMPUTED_VALUE"""),0.0)</f>
        <v>0</v>
      </c>
      <c r="H855" s="6" t="str">
        <f>IFERROR(__xludf.DUMMYFUNCTION("""COMPUTED_VALUE"""),"pcs")</f>
        <v>pcs</v>
      </c>
      <c r="I855" s="6" t="str">
        <f>IFERROR(__xludf.DUMMYFUNCTION("""COMPUTED_VALUE"""),"MFH")</f>
        <v>MFH</v>
      </c>
      <c r="J855" s="6" t="str">
        <f>IFERROR(__xludf.DUMMYFUNCTION("""COMPUTED_VALUE"""),"Coating")</f>
        <v>Coating</v>
      </c>
      <c r="K855" s="6" t="str">
        <f>IFERROR(__xludf.DUMMYFUNCTION("""COMPUTED_VALUE"""),"SPR/05/24/013")</f>
        <v>SPR/05/24/013</v>
      </c>
      <c r="L855" s="50">
        <f>IFERROR(__xludf.DUMMYFUNCTION("""COMPUTED_VALUE"""),45443.0)</f>
        <v>45443</v>
      </c>
    </row>
    <row r="856">
      <c r="A856" s="6" t="str">
        <f>IFERROR(__xludf.DUMMYFUNCTION("""COMPUTED_VALUE"""),"MAP")</f>
        <v>MAP</v>
      </c>
      <c r="B856" s="6" t="str">
        <f>IFERROR(__xludf.DUMMYFUNCTION("""COMPUTED_VALUE"""),"ENG")</f>
        <v>ENG</v>
      </c>
      <c r="C856" s="6" t="str">
        <f>IFERROR(__xludf.DUMMYFUNCTION("""COMPUTED_VALUE"""),"P-11990-00")</f>
        <v>P-11990-00</v>
      </c>
      <c r="D856" s="6" t="str">
        <f>IFERROR(__xludf.DUMMYFUNCTION("""COMPUTED_VALUE"""),"Cable ties CS 100L")</f>
        <v>Cable ties CS 100L</v>
      </c>
      <c r="E856" s="6">
        <f>IFERROR(__xludf.DUMMYFUNCTION("""COMPUTED_VALUE"""),5.0)</f>
        <v>5</v>
      </c>
      <c r="F856" s="6">
        <f>IFERROR(__xludf.DUMMYFUNCTION("""COMPUTED_VALUE"""),1.0)</f>
        <v>1</v>
      </c>
      <c r="G856" s="6">
        <f>IFERROR(__xludf.DUMMYFUNCTION("""COMPUTED_VALUE"""),0.0)</f>
        <v>0</v>
      </c>
      <c r="H856" s="6" t="str">
        <f>IFERROR(__xludf.DUMMYFUNCTION("""COMPUTED_VALUE"""),"pcs")</f>
        <v>pcs</v>
      </c>
      <c r="I856" s="6" t="str">
        <f>IFERROR(__xludf.DUMMYFUNCTION("""COMPUTED_VALUE"""),"MFH")</f>
        <v>MFH</v>
      </c>
      <c r="J856" s="6" t="str">
        <f>IFERROR(__xludf.DUMMYFUNCTION("""COMPUTED_VALUE"""),"ATK")</f>
        <v>ATK</v>
      </c>
      <c r="K856" s="6" t="str">
        <f>IFERROR(__xludf.DUMMYFUNCTION("""COMPUTED_VALUE"""),"SPR/05/24/014")</f>
        <v>SPR/05/24/014</v>
      </c>
      <c r="L856" s="50">
        <f>IFERROR(__xludf.DUMMYFUNCTION("""COMPUTED_VALUE"""),45443.0)</f>
        <v>45443</v>
      </c>
    </row>
    <row r="857">
      <c r="A857" s="6" t="str">
        <f>IFERROR(__xludf.DUMMYFUNCTION("""COMPUTED_VALUE"""),"ANO")</f>
        <v>ANO</v>
      </c>
      <c r="B857" s="6" t="str">
        <f>IFERROR(__xludf.DUMMYFUNCTION("""COMPUTED_VALUE"""),"ENG")</f>
        <v>ENG</v>
      </c>
      <c r="C857" s="6" t="str">
        <f>IFERROR(__xludf.DUMMYFUNCTION("""COMPUTED_VALUE"""),"P-50140-00")</f>
        <v>P-50140-00</v>
      </c>
      <c r="D857" s="6" t="str">
        <f>IFERROR(__xludf.DUMMYFUNCTION("""COMPUTED_VALUE"""),"Battery UPS - Battery kering Merk YUASA 12V 9AH")</f>
        <v>Battery UPS - Battery kering Merk YUASA 12V 9AH</v>
      </c>
      <c r="E857" s="6">
        <f>IFERROR(__xludf.DUMMYFUNCTION("""COMPUTED_VALUE"""),2.0)</f>
        <v>2</v>
      </c>
      <c r="F857" s="6">
        <f>IFERROR(__xludf.DUMMYFUNCTION("""COMPUTED_VALUE"""),2.0)</f>
        <v>2</v>
      </c>
      <c r="G857" s="6">
        <f>IFERROR(__xludf.DUMMYFUNCTION("""COMPUTED_VALUE"""),0.0)</f>
        <v>0</v>
      </c>
      <c r="H857" s="6" t="str">
        <f>IFERROR(__xludf.DUMMYFUNCTION("""COMPUTED_VALUE"""),"pcs")</f>
        <v>pcs</v>
      </c>
      <c r="I857" s="6" t="str">
        <f>IFERROR(__xludf.DUMMYFUNCTION("""COMPUTED_VALUE"""),"MFH")</f>
        <v>MFH</v>
      </c>
      <c r="J857" s="6" t="str">
        <f>IFERROR(__xludf.DUMMYFUNCTION("""COMPUTED_VALUE"""),"Autoclave")</f>
        <v>Autoclave</v>
      </c>
      <c r="K857" s="6" t="str">
        <f>IFERROR(__xludf.DUMMYFUNCTION("""COMPUTED_VALUE"""),"SPR/05/24/015")</f>
        <v>SPR/05/24/015</v>
      </c>
      <c r="L857" s="50">
        <f>IFERROR(__xludf.DUMMYFUNCTION("""COMPUTED_VALUE"""),45443.0)</f>
        <v>45443</v>
      </c>
    </row>
    <row r="858">
      <c r="A858" s="6" t="str">
        <f>IFERROR(__xludf.DUMMYFUNCTION("""COMPUTED_VALUE"""),"ANO")</f>
        <v>ANO</v>
      </c>
      <c r="B858" s="6" t="str">
        <f>IFERROR(__xludf.DUMMYFUNCTION("""COMPUTED_VALUE"""),"ENG")</f>
        <v>ENG</v>
      </c>
      <c r="C858" s="6" t="str">
        <f>IFERROR(__xludf.DUMMYFUNCTION("""COMPUTED_VALUE"""),"Q-60003-00")</f>
        <v>Q-60003-00</v>
      </c>
      <c r="D858" s="6" t="str">
        <f>IFERROR(__xludf.DUMMYFUNCTION("""COMPUTED_VALUE"""),"Plakband Kertas")</f>
        <v>Plakband Kertas</v>
      </c>
      <c r="E858" s="6">
        <f>IFERROR(__xludf.DUMMYFUNCTION("""COMPUTED_VALUE"""),1.0)</f>
        <v>1</v>
      </c>
      <c r="F858" s="6">
        <f>IFERROR(__xludf.DUMMYFUNCTION("""COMPUTED_VALUE"""),1.0)</f>
        <v>1</v>
      </c>
      <c r="G858" s="6">
        <f>IFERROR(__xludf.DUMMYFUNCTION("""COMPUTED_VALUE"""),0.0)</f>
        <v>0</v>
      </c>
      <c r="H858" s="6" t="str">
        <f>IFERROR(__xludf.DUMMYFUNCTION("""COMPUTED_VALUE"""),"pcs")</f>
        <v>pcs</v>
      </c>
      <c r="I858" s="6" t="str">
        <f>IFERROR(__xludf.DUMMYFUNCTION("""COMPUTED_VALUE"""),"MFH")</f>
        <v>MFH</v>
      </c>
      <c r="J858" s="6" t="str">
        <f>IFERROR(__xludf.DUMMYFUNCTION("""COMPUTED_VALUE"""),"WIHC")</f>
        <v>WIHC</v>
      </c>
      <c r="K858" s="6" t="str">
        <f>IFERROR(__xludf.DUMMYFUNCTION("""COMPUTED_VALUE"""),"SPR/05/24/016")</f>
        <v>SPR/05/24/016</v>
      </c>
      <c r="L858" s="50">
        <f>IFERROR(__xludf.DUMMYFUNCTION("""COMPUTED_VALUE"""),45443.0)</f>
        <v>45443</v>
      </c>
    </row>
    <row r="859">
      <c r="A859" s="6" t="str">
        <f>IFERROR(__xludf.DUMMYFUNCTION("""COMPUTED_VALUE"""),"NDS")</f>
        <v>NDS</v>
      </c>
      <c r="B859" s="6" t="str">
        <f>IFERROR(__xludf.DUMMYFUNCTION("""COMPUTED_VALUE"""),"ENG")</f>
        <v>ENG</v>
      </c>
      <c r="C859" s="6" t="str">
        <f>IFERROR(__xludf.DUMMYFUNCTION("""COMPUTED_VALUE"""),"P-51027-00")</f>
        <v>P-51027-00</v>
      </c>
      <c r="D85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859" s="6">
        <f>IFERROR(__xludf.DUMMYFUNCTION("""COMPUTED_VALUE"""),3.0)</f>
        <v>3</v>
      </c>
      <c r="F859" s="6">
        <f>IFERROR(__xludf.DUMMYFUNCTION("""COMPUTED_VALUE"""),1.0)</f>
        <v>1</v>
      </c>
      <c r="G859" s="6">
        <f>IFERROR(__xludf.DUMMYFUNCTION("""COMPUTED_VALUE"""),0.0)</f>
        <v>0</v>
      </c>
      <c r="H859" s="6" t="str">
        <f>IFERROR(__xludf.DUMMYFUNCTION("""COMPUTED_VALUE"""),"pcs")</f>
        <v>pcs</v>
      </c>
      <c r="I859" s="6" t="str">
        <f>IFERROR(__xludf.DUMMYFUNCTION("""COMPUTED_VALUE"""),"MFH")</f>
        <v>MFH</v>
      </c>
      <c r="J859" s="6" t="str">
        <f>IFERROR(__xludf.DUMMYFUNCTION("""COMPUTED_VALUE"""),"WIHC")</f>
        <v>WIHC</v>
      </c>
      <c r="K859" s="6" t="str">
        <f>IFERROR(__xludf.DUMMYFUNCTION("""COMPUTED_VALUE"""),"SPR/05/24/017")</f>
        <v>SPR/05/24/017</v>
      </c>
      <c r="L859" s="50">
        <f>IFERROR(__xludf.DUMMYFUNCTION("""COMPUTED_VALUE"""),45443.0)</f>
        <v>45443</v>
      </c>
    </row>
    <row r="860">
      <c r="A860" s="6" t="str">
        <f>IFERROR(__xludf.DUMMYFUNCTION("""COMPUTED_VALUE"""),"HMA")</f>
        <v>HMA</v>
      </c>
      <c r="B860" s="6" t="str">
        <f>IFERROR(__xludf.DUMMYFUNCTION("""COMPUTED_VALUE"""),"ENG")</f>
        <v>ENG</v>
      </c>
      <c r="C860" s="6" t="str">
        <f>IFERROR(__xludf.DUMMYFUNCTION("""COMPUTED_VALUE"""),"P-12258-00")</f>
        <v>P-12258-00</v>
      </c>
      <c r="D860" s="6" t="str">
        <f>IFERROR(__xludf.DUMMYFUNCTION("""COMPUTED_VALUE"""),"FESTO - Push In Connector QS-10-10")</f>
        <v>FESTO - Push In Connector QS-10-10</v>
      </c>
      <c r="E860" s="6">
        <f>IFERROR(__xludf.DUMMYFUNCTION("""COMPUTED_VALUE"""),5.0)</f>
        <v>5</v>
      </c>
      <c r="F860" s="6">
        <f>IFERROR(__xludf.DUMMYFUNCTION("""COMPUTED_VALUE"""),1.0)</f>
        <v>1</v>
      </c>
      <c r="G860" s="6">
        <f>IFERROR(__xludf.DUMMYFUNCTION("""COMPUTED_VALUE"""),0.0)</f>
        <v>0</v>
      </c>
      <c r="H860" s="6" t="str">
        <f>IFERROR(__xludf.DUMMYFUNCTION("""COMPUTED_VALUE"""),"pcs")</f>
        <v>pcs</v>
      </c>
      <c r="I860" s="6" t="str">
        <f>IFERROR(__xludf.DUMMYFUNCTION("""COMPUTED_VALUE"""),"MFH")</f>
        <v>MFH</v>
      </c>
      <c r="J860" s="6" t="str">
        <f>IFERROR(__xludf.DUMMYFUNCTION("""COMPUTED_VALUE"""),"-")</f>
        <v>-</v>
      </c>
      <c r="K860" s="6" t="str">
        <f>IFERROR(__xludf.DUMMYFUNCTION("""COMPUTED_VALUE"""),"SPR/05/24/018")</f>
        <v>SPR/05/24/018</v>
      </c>
      <c r="L860" s="50">
        <f>IFERROR(__xludf.DUMMYFUNCTION("""COMPUTED_VALUE"""),45443.0)</f>
        <v>45443</v>
      </c>
    </row>
    <row r="861">
      <c r="A861" s="6" t="str">
        <f>IFERROR(__xludf.DUMMYFUNCTION("""COMPUTED_VALUE"""),"MRN")</f>
        <v>MRN</v>
      </c>
      <c r="B861" s="6" t="str">
        <f>IFERROR(__xludf.DUMMYFUNCTION("""COMPUTED_VALUE"""),"ENG")</f>
        <v>ENG</v>
      </c>
      <c r="C861" s="6" t="str">
        <f>IFERROR(__xludf.DUMMYFUNCTION("""COMPUTED_VALUE"""),"P-12306-00")</f>
        <v>P-12306-00</v>
      </c>
      <c r="D861" s="6" t="str">
        <f>IFERROR(__xludf.DUMMYFUNCTION("""COMPUTED_VALUE"""),"FESTO - QST-8 push in t- connection p/n 153130")</f>
        <v>FESTO - QST-8 push in t- connection p/n 153130</v>
      </c>
      <c r="E861" s="6">
        <f>IFERROR(__xludf.DUMMYFUNCTION("""COMPUTED_VALUE"""),1.0)</f>
        <v>1</v>
      </c>
      <c r="F861" s="6">
        <f>IFERROR(__xludf.DUMMYFUNCTION("""COMPUTED_VALUE"""),1.0)</f>
        <v>1</v>
      </c>
      <c r="G861" s="6">
        <f>IFERROR(__xludf.DUMMYFUNCTION("""COMPUTED_VALUE"""),0.0)</f>
        <v>0</v>
      </c>
      <c r="H861" s="6" t="str">
        <f>IFERROR(__xludf.DUMMYFUNCTION("""COMPUTED_VALUE"""),"pcs")</f>
        <v>pcs</v>
      </c>
      <c r="I861" s="6" t="str">
        <f>IFERROR(__xludf.DUMMYFUNCTION("""COMPUTED_VALUE"""),"MFH")</f>
        <v>MFH</v>
      </c>
      <c r="J861" s="6" t="str">
        <f>IFERROR(__xludf.DUMMYFUNCTION("""COMPUTED_VALUE"""),"PWG")</f>
        <v>PWG</v>
      </c>
      <c r="K861" s="6" t="str">
        <f>IFERROR(__xludf.DUMMYFUNCTION("""COMPUTED_VALUE"""),"SPR/05/24/019")</f>
        <v>SPR/05/24/019</v>
      </c>
      <c r="L861" s="50">
        <f>IFERROR(__xludf.DUMMYFUNCTION("""COMPUTED_VALUE"""),45443.0)</f>
        <v>45443</v>
      </c>
    </row>
    <row r="862">
      <c r="A862" s="6" t="str">
        <f>IFERROR(__xludf.DUMMYFUNCTION("""COMPUTED_VALUE"""),"MRN")</f>
        <v>MRN</v>
      </c>
      <c r="B862" s="6" t="str">
        <f>IFERROR(__xludf.DUMMYFUNCTION("""COMPUTED_VALUE"""),"ENG")</f>
        <v>ENG</v>
      </c>
      <c r="C862" s="6" t="str">
        <f>IFERROR(__xludf.DUMMYFUNCTION("""COMPUTED_VALUE"""),"P-52844-00")</f>
        <v>P-52844-00</v>
      </c>
      <c r="D862" s="6" t="str">
        <f>IFERROR(__xludf.DUMMYFUNCTION("""COMPUTED_VALUE"""),"Doshing Pump BT4B Merk Prominent; ; ;")</f>
        <v>Doshing Pump BT4B Merk Prominent; ; ;</v>
      </c>
      <c r="E862" s="6">
        <f>IFERROR(__xludf.DUMMYFUNCTION("""COMPUTED_VALUE"""),1.0)</f>
        <v>1</v>
      </c>
      <c r="F862" s="6">
        <f>IFERROR(__xludf.DUMMYFUNCTION("""COMPUTED_VALUE"""),1.0)</f>
        <v>1</v>
      </c>
      <c r="G862" s="6">
        <f>IFERROR(__xludf.DUMMYFUNCTION("""COMPUTED_VALUE"""),0.0)</f>
        <v>0</v>
      </c>
      <c r="H862" s="6" t="str">
        <f>IFERROR(__xludf.DUMMYFUNCTION("""COMPUTED_VALUE"""),"pcs")</f>
        <v>pcs</v>
      </c>
      <c r="I862" s="6" t="str">
        <f>IFERROR(__xludf.DUMMYFUNCTION("""COMPUTED_VALUE"""),"MFH")</f>
        <v>MFH</v>
      </c>
      <c r="J862" s="6" t="str">
        <f>IFERROR(__xludf.DUMMYFUNCTION("""COMPUTED_VALUE"""),"PWG")</f>
        <v>PWG</v>
      </c>
      <c r="K862" s="6" t="str">
        <f>IFERROR(__xludf.DUMMYFUNCTION("""COMPUTED_VALUE"""),"SPR/05/24/019")</f>
        <v>SPR/05/24/019</v>
      </c>
      <c r="L862" s="50">
        <f>IFERROR(__xludf.DUMMYFUNCTION("""COMPUTED_VALUE"""),45443.0)</f>
        <v>45443</v>
      </c>
    </row>
    <row r="863">
      <c r="A863" s="6" t="str">
        <f>IFERROR(__xludf.DUMMYFUNCTION("""COMPUTED_VALUE"""),"MRN")</f>
        <v>MRN</v>
      </c>
      <c r="B863" s="6" t="str">
        <f>IFERROR(__xludf.DUMMYFUNCTION("""COMPUTED_VALUE"""),"ENG")</f>
        <v>ENG</v>
      </c>
      <c r="C863" s="6" t="str">
        <f>IFERROR(__xludf.DUMMYFUNCTION("""COMPUTED_VALUE"""),"P-18835-00")</f>
        <v>P-18835-00</v>
      </c>
      <c r="D863" s="6" t="str">
        <f>IFERROR(__xludf.DUMMYFUNCTION("""COMPUTED_VALUE"""),"Solenoid Valve Pneumatic UD08E4 Port 1/4"" 2/2 Way 24VDC; EMC; ;")</f>
        <v>Solenoid Valve Pneumatic UD08E4 Port 1/4" 2/2 Way 24VDC; EMC; ;</v>
      </c>
      <c r="E863" s="6">
        <f>IFERROR(__xludf.DUMMYFUNCTION("""COMPUTED_VALUE"""),2.0)</f>
        <v>2</v>
      </c>
      <c r="F863" s="6">
        <f>IFERROR(__xludf.DUMMYFUNCTION("""COMPUTED_VALUE"""),2.0)</f>
        <v>2</v>
      </c>
      <c r="G863" s="6">
        <f>IFERROR(__xludf.DUMMYFUNCTION("""COMPUTED_VALUE"""),0.0)</f>
        <v>0</v>
      </c>
      <c r="H863" s="6" t="str">
        <f>IFERROR(__xludf.DUMMYFUNCTION("""COMPUTED_VALUE"""),"pcs")</f>
        <v>pcs</v>
      </c>
      <c r="I863" s="6" t="str">
        <f>IFERROR(__xludf.DUMMYFUNCTION("""COMPUTED_VALUE"""),"MFH")</f>
        <v>MFH</v>
      </c>
      <c r="J863" s="6" t="str">
        <f>IFERROR(__xludf.DUMMYFUNCTION("""COMPUTED_VALUE"""),"PWG")</f>
        <v>PWG</v>
      </c>
      <c r="K863" s="6" t="str">
        <f>IFERROR(__xludf.DUMMYFUNCTION("""COMPUTED_VALUE"""),"SPR/05/24/019")</f>
        <v>SPR/05/24/019</v>
      </c>
      <c r="L863" s="50">
        <f>IFERROR(__xludf.DUMMYFUNCTION("""COMPUTED_VALUE"""),45443.0)</f>
        <v>45443</v>
      </c>
    </row>
    <row r="864">
      <c r="A864" s="6" t="str">
        <f>IFERROR(__xludf.DUMMYFUNCTION("""COMPUTED_VALUE"""),"NDS")</f>
        <v>NDS</v>
      </c>
      <c r="B864" s="6" t="str">
        <f>IFERROR(__xludf.DUMMYFUNCTION("""COMPUTED_VALUE"""),"ENG")</f>
        <v>ENG</v>
      </c>
      <c r="C864" s="6" t="str">
        <f>IFERROR(__xludf.DUMMYFUNCTION("""COMPUTED_VALUE"""),"O-16033-00")</f>
        <v>O-16033-00</v>
      </c>
      <c r="D86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864" s="6">
        <f>IFERROR(__xludf.DUMMYFUNCTION("""COMPUTED_VALUE"""),1.0)</f>
        <v>1</v>
      </c>
      <c r="F864" s="6">
        <f>IFERROR(__xludf.DUMMYFUNCTION("""COMPUTED_VALUE"""),1.0)</f>
        <v>1</v>
      </c>
      <c r="G864" s="6">
        <f>IFERROR(__xludf.DUMMYFUNCTION("""COMPUTED_VALUE"""),0.0)</f>
        <v>0</v>
      </c>
      <c r="H864" s="6" t="str">
        <f>IFERROR(__xludf.DUMMYFUNCTION("""COMPUTED_VALUE"""),"pcs")</f>
        <v>pcs</v>
      </c>
      <c r="I864" s="6" t="str">
        <f>IFERROR(__xludf.DUMMYFUNCTION("""COMPUTED_VALUE"""),"MFH")</f>
        <v>MFH</v>
      </c>
      <c r="J864" s="6" t="str">
        <f>IFERROR(__xludf.DUMMYFUNCTION("""COMPUTED_VALUE"""),"cRABS")</f>
        <v>cRABS</v>
      </c>
      <c r="K864" s="6" t="str">
        <f>IFERROR(__xludf.DUMMYFUNCTION("""COMPUTED_VALUE"""),"SPR/05/24/020")</f>
        <v>SPR/05/24/020</v>
      </c>
      <c r="L864" s="50">
        <f>IFERROR(__xludf.DUMMYFUNCTION("""COMPUTED_VALUE"""),45443.0)</f>
        <v>45443</v>
      </c>
    </row>
    <row r="865">
      <c r="A865" s="6" t="str">
        <f>IFERROR(__xludf.DUMMYFUNCTION("""COMPUTED_VALUE"""),"ROS")</f>
        <v>ROS</v>
      </c>
      <c r="B865" s="6" t="str">
        <f>IFERROR(__xludf.DUMMYFUNCTION("""COMPUTED_VALUE"""),"ENG")</f>
        <v>ENG</v>
      </c>
      <c r="C865" s="6" t="str">
        <f>IFERROR(__xludf.DUMMYFUNCTION("""COMPUTED_VALUE"""),"P-11694-00")</f>
        <v>P-11694-00</v>
      </c>
      <c r="D865" s="6" t="str">
        <f>IFERROR(__xludf.DUMMYFUNCTION("""COMPUTED_VALUE"""),"Mata Gerinda 4""")</f>
        <v>Mata Gerinda 4"</v>
      </c>
      <c r="E865" s="6">
        <f>IFERROR(__xludf.DUMMYFUNCTION("""COMPUTED_VALUE"""),4.0)</f>
        <v>4</v>
      </c>
      <c r="F865" s="6">
        <f>IFERROR(__xludf.DUMMYFUNCTION("""COMPUTED_VALUE"""),4.0)</f>
        <v>4</v>
      </c>
      <c r="G865" s="6">
        <f>IFERROR(__xludf.DUMMYFUNCTION("""COMPUTED_VALUE"""),0.0)</f>
        <v>0</v>
      </c>
      <c r="H865" s="6" t="str">
        <f>IFERROR(__xludf.DUMMYFUNCTION("""COMPUTED_VALUE"""),"pcs")</f>
        <v>pcs</v>
      </c>
      <c r="I865" s="6" t="str">
        <f>IFERROR(__xludf.DUMMYFUNCTION("""COMPUTED_VALUE"""),"MFH")</f>
        <v>MFH</v>
      </c>
      <c r="J865" s="6" t="str">
        <f>IFERROR(__xludf.DUMMYFUNCTION("""COMPUTED_VALUE"""),"Coating")</f>
        <v>Coating</v>
      </c>
      <c r="K865" s="6" t="str">
        <f>IFERROR(__xludf.DUMMYFUNCTION("""COMPUTED_VALUE"""),"SPR/05/24/021")</f>
        <v>SPR/05/24/021</v>
      </c>
      <c r="L865" s="50">
        <f>IFERROR(__xludf.DUMMYFUNCTION("""COMPUTED_VALUE"""),45443.0)</f>
        <v>45443</v>
      </c>
    </row>
    <row r="866">
      <c r="A866" s="6" t="str">
        <f>IFERROR(__xludf.DUMMYFUNCTION("""COMPUTED_VALUE"""),"RIA")</f>
        <v>RIA</v>
      </c>
      <c r="B866" s="6" t="str">
        <f>IFERROR(__xludf.DUMMYFUNCTION("""COMPUTED_VALUE"""),"ENG")</f>
        <v>ENG</v>
      </c>
      <c r="C866" s="6" t="str">
        <f>IFERROR(__xludf.DUMMYFUNCTION("""COMPUTED_VALUE"""),"P-54181-00")</f>
        <v>P-54181-00</v>
      </c>
      <c r="D866" s="6" t="str">
        <f>IFERROR(__xludf.DUMMYFUNCTION("""COMPUTED_VALUE"""),"UV lamp for TOC Sievers M500; TOC Sievers; ; pack size per pc")</f>
        <v>UV lamp for TOC Sievers M500; TOC Sievers; ; pack size per pc</v>
      </c>
      <c r="E866" s="6">
        <f>IFERROR(__xludf.DUMMYFUNCTION("""COMPUTED_VALUE"""),1.0)</f>
        <v>1</v>
      </c>
      <c r="F866" s="6">
        <f>IFERROR(__xludf.DUMMYFUNCTION("""COMPUTED_VALUE"""),1.0)</f>
        <v>1</v>
      </c>
      <c r="G866" s="6">
        <f>IFERROR(__xludf.DUMMYFUNCTION("""COMPUTED_VALUE"""),0.0)</f>
        <v>0</v>
      </c>
      <c r="H866" s="6" t="str">
        <f>IFERROR(__xludf.DUMMYFUNCTION("""COMPUTED_VALUE"""),"pcs")</f>
        <v>pcs</v>
      </c>
      <c r="I866" s="6" t="str">
        <f>IFERROR(__xludf.DUMMYFUNCTION("""COMPUTED_VALUE"""),"MFH")</f>
        <v>MFH</v>
      </c>
      <c r="J866" s="6" t="str">
        <f>IFERROR(__xludf.DUMMYFUNCTION("""COMPUTED_VALUE"""),"WFI SKID")</f>
        <v>WFI SKID</v>
      </c>
      <c r="K866" s="6" t="str">
        <f>IFERROR(__xludf.DUMMYFUNCTION("""COMPUTED_VALUE"""),"SPR/05/24/022")</f>
        <v>SPR/05/24/022</v>
      </c>
      <c r="L866" s="50">
        <f>IFERROR(__xludf.DUMMYFUNCTION("""COMPUTED_VALUE"""),45443.0)</f>
        <v>45443</v>
      </c>
    </row>
    <row r="867">
      <c r="A867" s="6" t="str">
        <f>IFERROR(__xludf.DUMMYFUNCTION("""COMPUTED_VALUE"""),"ANO")</f>
        <v>ANO</v>
      </c>
      <c r="B867" s="6" t="str">
        <f>IFERROR(__xludf.DUMMYFUNCTION("""COMPUTED_VALUE"""),"ENG")</f>
        <v>ENG</v>
      </c>
      <c r="C867" s="6" t="str">
        <f>IFERROR(__xludf.DUMMYFUNCTION("""COMPUTED_VALUE"""),"O-54013-00")</f>
        <v>O-54013-00</v>
      </c>
      <c r="D867" s="6" t="str">
        <f>IFERROR(__xludf.DUMMYFUNCTION("""COMPUTED_VALUE"""),"SOCKET RJ 45 CAT 5")</f>
        <v>SOCKET RJ 45 CAT 5</v>
      </c>
      <c r="E867" s="6">
        <f>IFERROR(__xludf.DUMMYFUNCTION("""COMPUTED_VALUE"""),20.0)</f>
        <v>20</v>
      </c>
      <c r="F867" s="6">
        <f>IFERROR(__xludf.DUMMYFUNCTION("""COMPUTED_VALUE"""),4.0)</f>
        <v>4</v>
      </c>
      <c r="G867" s="6">
        <f>IFERROR(__xludf.DUMMYFUNCTION("""COMPUTED_VALUE"""),0.0)</f>
        <v>0</v>
      </c>
      <c r="H867" s="6" t="str">
        <f>IFERROR(__xludf.DUMMYFUNCTION("""COMPUTED_VALUE"""),"pcs")</f>
        <v>pcs</v>
      </c>
      <c r="I867" s="6" t="str">
        <f>IFERROR(__xludf.DUMMYFUNCTION("""COMPUTED_VALUE"""),"MFH")</f>
        <v>MFH</v>
      </c>
      <c r="J867" s="6" t="str">
        <f>IFERROR(__xludf.DUMMYFUNCTION("""COMPUTED_VALUE"""),"Building")</f>
        <v>Building</v>
      </c>
      <c r="K867" s="6" t="str">
        <f>IFERROR(__xludf.DUMMYFUNCTION("""COMPUTED_VALUE"""),"SPR/05/24/023")</f>
        <v>SPR/05/24/023</v>
      </c>
      <c r="L867" s="50">
        <f>IFERROR(__xludf.DUMMYFUNCTION("""COMPUTED_VALUE"""),45443.0)</f>
        <v>45443</v>
      </c>
    </row>
    <row r="868">
      <c r="A868" s="6" t="str">
        <f>IFERROR(__xludf.DUMMYFUNCTION("""COMPUTED_VALUE"""),"AAA")</f>
        <v>AAA</v>
      </c>
      <c r="B868" s="6" t="str">
        <f>IFERROR(__xludf.DUMMYFUNCTION("""COMPUTED_VALUE"""),"ENG")</f>
        <v>ENG</v>
      </c>
      <c r="C868" s="6" t="str">
        <f>IFERROR(__xludf.DUMMYFUNCTION("""COMPUTED_VALUE"""),"O-15931-00")</f>
        <v>O-15931-00</v>
      </c>
      <c r="D868" s="6" t="str">
        <f>IFERROR(__xludf.DUMMYFUNCTION("""COMPUTED_VALUE"""),"Double Tape 3M 1"" Merah - P/N : - pc")</f>
        <v>Double Tape 3M 1" Merah - P/N : - pc</v>
      </c>
      <c r="E868" s="6">
        <f>IFERROR(__xludf.DUMMYFUNCTION("""COMPUTED_VALUE"""),1.0)</f>
        <v>1</v>
      </c>
      <c r="F868" s="6">
        <f>IFERROR(__xludf.DUMMYFUNCTION("""COMPUTED_VALUE"""),1.0)</f>
        <v>1</v>
      </c>
      <c r="G868" s="6">
        <f>IFERROR(__xludf.DUMMYFUNCTION("""COMPUTED_VALUE"""),0.0)</f>
        <v>0</v>
      </c>
      <c r="H868" s="6" t="str">
        <f>IFERROR(__xludf.DUMMYFUNCTION("""COMPUTED_VALUE"""),"pcs")</f>
        <v>pcs</v>
      </c>
      <c r="I868" s="6" t="str">
        <f>IFERROR(__xludf.DUMMYFUNCTION("""COMPUTED_VALUE"""),"MFH")</f>
        <v>MFH</v>
      </c>
      <c r="J868" s="6" t="str">
        <f>IFERROR(__xludf.DUMMYFUNCTION("""COMPUTED_VALUE"""),"Autoclave")</f>
        <v>Autoclave</v>
      </c>
      <c r="K868" s="6" t="str">
        <f>IFERROR(__xludf.DUMMYFUNCTION("""COMPUTED_VALUE"""),"SPR/05/24/024")</f>
        <v>SPR/05/24/024</v>
      </c>
      <c r="L868" s="50">
        <f>IFERROR(__xludf.DUMMYFUNCTION("""COMPUTED_VALUE"""),45443.0)</f>
        <v>45443</v>
      </c>
    </row>
    <row r="869">
      <c r="A869" s="6" t="str">
        <f>IFERROR(__xludf.DUMMYFUNCTION("""COMPUTED_VALUE"""),"NYS")</f>
        <v>NYS</v>
      </c>
      <c r="B869" s="6" t="str">
        <f>IFERROR(__xludf.DUMMYFUNCTION("""COMPUTED_VALUE"""),"ENG")</f>
        <v>ENG</v>
      </c>
      <c r="C869" s="6" t="str">
        <f>IFERROR(__xludf.DUMMYFUNCTION("""COMPUTED_VALUE"""),"Q-60025-00")</f>
        <v>Q-60025-00</v>
      </c>
      <c r="D869" s="6" t="str">
        <f>IFERROR(__xludf.DUMMYFUNCTION("""COMPUTED_VALUE"""),"Kuas Eterna 1")</f>
        <v>Kuas Eterna 1</v>
      </c>
      <c r="E869" s="6">
        <f>IFERROR(__xludf.DUMMYFUNCTION("""COMPUTED_VALUE"""),1.0)</f>
        <v>1</v>
      </c>
      <c r="F869" s="6">
        <f>IFERROR(__xludf.DUMMYFUNCTION("""COMPUTED_VALUE"""),1.0)</f>
        <v>1</v>
      </c>
      <c r="G869" s="6">
        <f>IFERROR(__xludf.DUMMYFUNCTION("""COMPUTED_VALUE"""),0.0)</f>
        <v>0</v>
      </c>
      <c r="H869" s="6" t="str">
        <f>IFERROR(__xludf.DUMMYFUNCTION("""COMPUTED_VALUE"""),"pcs")</f>
        <v>pcs</v>
      </c>
      <c r="I869" s="6" t="str">
        <f>IFERROR(__xludf.DUMMYFUNCTION("""COMPUTED_VALUE"""),"MFH")</f>
        <v>MFH</v>
      </c>
      <c r="J869" s="6" t="str">
        <f>IFERROR(__xludf.DUMMYFUNCTION("""COMPUTED_VALUE"""),"Building")</f>
        <v>Building</v>
      </c>
      <c r="K869" s="6" t="str">
        <f>IFERROR(__xludf.DUMMYFUNCTION("""COMPUTED_VALUE"""),"SPR/05/24/025")</f>
        <v>SPR/05/24/025</v>
      </c>
      <c r="L869" s="50">
        <f>IFERROR(__xludf.DUMMYFUNCTION("""COMPUTED_VALUE"""),45443.0)</f>
        <v>45443</v>
      </c>
    </row>
    <row r="870">
      <c r="A870" s="6" t="str">
        <f>IFERROR(__xludf.DUMMYFUNCTION("""COMPUTED_VALUE"""),"NDS")</f>
        <v>NDS</v>
      </c>
      <c r="B870" s="6" t="str">
        <f>IFERROR(__xludf.DUMMYFUNCTION("""COMPUTED_VALUE"""),"ENG")</f>
        <v>ENG</v>
      </c>
      <c r="C870" s="6" t="str">
        <f>IFERROR(__xludf.DUMMYFUNCTION("""COMPUTED_VALUE"""),"P-52964-00")</f>
        <v>P-52964-00</v>
      </c>
      <c r="D870" s="6" t="str">
        <f>IFERROR(__xludf.DUMMYFUNCTION("""COMPUTED_VALUE"""),"Temperatur Control Continuous Sealer FRB-700; MC; TEQD-2301B;")</f>
        <v>Temperatur Control Continuous Sealer FRB-700; MC; TEQD-2301B;</v>
      </c>
      <c r="E870" s="6">
        <f>IFERROR(__xludf.DUMMYFUNCTION("""COMPUTED_VALUE"""),1.0)</f>
        <v>1</v>
      </c>
      <c r="F870" s="6">
        <f>IFERROR(__xludf.DUMMYFUNCTION("""COMPUTED_VALUE"""),1.0)</f>
        <v>1</v>
      </c>
      <c r="G870" s="6">
        <f>IFERROR(__xludf.DUMMYFUNCTION("""COMPUTED_VALUE"""),0.0)</f>
        <v>0</v>
      </c>
      <c r="H870" s="6" t="str">
        <f>IFERROR(__xludf.DUMMYFUNCTION("""COMPUTED_VALUE"""),"pcs")</f>
        <v>pcs</v>
      </c>
      <c r="I870" s="6" t="str">
        <f>IFERROR(__xludf.DUMMYFUNCTION("""COMPUTED_VALUE"""),"MFH")</f>
        <v>MFH</v>
      </c>
      <c r="J870" s="6" t="str">
        <f>IFERROR(__xludf.DUMMYFUNCTION("""COMPUTED_VALUE"""),"Sealer")</f>
        <v>Sealer</v>
      </c>
      <c r="K870" s="6" t="str">
        <f>IFERROR(__xludf.DUMMYFUNCTION("""COMPUTED_VALUE"""),"SPR/05/24/026")</f>
        <v>SPR/05/24/026</v>
      </c>
      <c r="L870" s="50">
        <f>IFERROR(__xludf.DUMMYFUNCTION("""COMPUTED_VALUE"""),45443.0)</f>
        <v>45443</v>
      </c>
    </row>
    <row r="871">
      <c r="A871" s="6" t="str">
        <f>IFERROR(__xludf.DUMMYFUNCTION("""COMPUTED_VALUE"""),"MRN")</f>
        <v>MRN</v>
      </c>
      <c r="B871" s="6" t="str">
        <f>IFERROR(__xludf.DUMMYFUNCTION("""COMPUTED_VALUE"""),"ENG")</f>
        <v>ENG</v>
      </c>
      <c r="C871" s="6" t="str">
        <f>IFERROR(__xludf.DUMMYFUNCTION("""COMPUTED_VALUE"""),"P-14519-00")</f>
        <v>P-14519-00</v>
      </c>
      <c r="D871" s="6" t="str">
        <f>IFERROR(__xludf.DUMMYFUNCTION("""COMPUTED_VALUE"""),"Baut Hexagonal SS M8x30mm+Mur+Ring; ; ;")</f>
        <v>Baut Hexagonal SS M8x30mm+Mur+Ring; ; ;</v>
      </c>
      <c r="E871" s="6">
        <f>IFERROR(__xludf.DUMMYFUNCTION("""COMPUTED_VALUE"""),10.0)</f>
        <v>10</v>
      </c>
      <c r="F871" s="6">
        <f>IFERROR(__xludf.DUMMYFUNCTION("""COMPUTED_VALUE"""),10.0)</f>
        <v>10</v>
      </c>
      <c r="G871" s="6">
        <f>IFERROR(__xludf.DUMMYFUNCTION("""COMPUTED_VALUE"""),0.0)</f>
        <v>0</v>
      </c>
      <c r="H871" s="6" t="str">
        <f>IFERROR(__xludf.DUMMYFUNCTION("""COMPUTED_VALUE"""),"pcs")</f>
        <v>pcs</v>
      </c>
      <c r="I871" s="6" t="str">
        <f>IFERROR(__xludf.DUMMYFUNCTION("""COMPUTED_VALUE"""),"MFH")</f>
        <v>MFH</v>
      </c>
      <c r="J871" s="6" t="str">
        <f>IFERROR(__xludf.DUMMYFUNCTION("""COMPUTED_VALUE"""),"AHU")</f>
        <v>AHU</v>
      </c>
      <c r="K871" s="6" t="str">
        <f>IFERROR(__xludf.DUMMYFUNCTION("""COMPUTED_VALUE"""),"SPR/05/24/027")</f>
        <v>SPR/05/24/027</v>
      </c>
      <c r="L871" s="50">
        <f>IFERROR(__xludf.DUMMYFUNCTION("""COMPUTED_VALUE"""),45443.0)</f>
        <v>45443</v>
      </c>
    </row>
    <row r="872">
      <c r="A872" s="6" t="str">
        <f>IFERROR(__xludf.DUMMYFUNCTION("""COMPUTED_VALUE"""),"SFH")</f>
        <v>SFH</v>
      </c>
      <c r="B872" s="6" t="str">
        <f>IFERROR(__xludf.DUMMYFUNCTION("""COMPUTED_VALUE"""),"ENG")</f>
        <v>ENG</v>
      </c>
      <c r="C872" s="6" t="str">
        <f>IFERROR(__xludf.DUMMYFUNCTION("""COMPUTED_VALUE"""),"Q-60003-00")</f>
        <v>Q-60003-00</v>
      </c>
      <c r="D872" s="6" t="str">
        <f>IFERROR(__xludf.DUMMYFUNCTION("""COMPUTED_VALUE"""),"Plakband Kertas")</f>
        <v>Plakband Kertas</v>
      </c>
      <c r="E872" s="6">
        <f>IFERROR(__xludf.DUMMYFUNCTION("""COMPUTED_VALUE"""),2.0)</f>
        <v>2</v>
      </c>
      <c r="F872" s="6">
        <f>IFERROR(__xludf.DUMMYFUNCTION("""COMPUTED_VALUE"""),2.0)</f>
        <v>2</v>
      </c>
      <c r="G872" s="6">
        <f>IFERROR(__xludf.DUMMYFUNCTION("""COMPUTED_VALUE"""),0.0)</f>
        <v>0</v>
      </c>
      <c r="H872" s="6" t="str">
        <f>IFERROR(__xludf.DUMMYFUNCTION("""COMPUTED_VALUE"""),"pcs")</f>
        <v>pcs</v>
      </c>
      <c r="I872" s="6" t="str">
        <f>IFERROR(__xludf.DUMMYFUNCTION("""COMPUTED_VALUE"""),"MFH")</f>
        <v>MFH</v>
      </c>
      <c r="J872" s="6" t="str">
        <f>IFERROR(__xludf.DUMMYFUNCTION("""COMPUTED_VALUE"""),"Building")</f>
        <v>Building</v>
      </c>
      <c r="K872" s="6" t="str">
        <f>IFERROR(__xludf.DUMMYFUNCTION("""COMPUTED_VALUE"""),"SPR/05/24/028")</f>
        <v>SPR/05/24/028</v>
      </c>
      <c r="L872" s="50">
        <f>IFERROR(__xludf.DUMMYFUNCTION("""COMPUTED_VALUE"""),45443.0)</f>
        <v>45443</v>
      </c>
    </row>
    <row r="873">
      <c r="A873" s="6" t="str">
        <f>IFERROR(__xludf.DUMMYFUNCTION("""COMPUTED_VALUE"""),"SFH")</f>
        <v>SFH</v>
      </c>
      <c r="B873" s="6" t="str">
        <f>IFERROR(__xludf.DUMMYFUNCTION("""COMPUTED_VALUE"""),"ENG")</f>
        <v>ENG</v>
      </c>
      <c r="C873" s="6" t="str">
        <f>IFERROR(__xludf.DUMMYFUNCTION("""COMPUTED_VALUE"""),"P-15852-00")</f>
        <v>P-15852-00</v>
      </c>
      <c r="D873" s="6" t="str">
        <f>IFERROR(__xludf.DUMMYFUNCTION("""COMPUTED_VALUE"""),"AMPLAS EAGLE 500")</f>
        <v>AMPLAS EAGLE 500</v>
      </c>
      <c r="E873" s="6">
        <f>IFERROR(__xludf.DUMMYFUNCTION("""COMPUTED_VALUE"""),2.0)</f>
        <v>2</v>
      </c>
      <c r="F873" s="6">
        <f>IFERROR(__xludf.DUMMYFUNCTION("""COMPUTED_VALUE"""),2.0)</f>
        <v>2</v>
      </c>
      <c r="G873" s="6">
        <f>IFERROR(__xludf.DUMMYFUNCTION("""COMPUTED_VALUE"""),0.0)</f>
        <v>0</v>
      </c>
      <c r="H873" s="6" t="str">
        <f>IFERROR(__xludf.DUMMYFUNCTION("""COMPUTED_VALUE"""),"pcs")</f>
        <v>pcs</v>
      </c>
      <c r="I873" s="6" t="str">
        <f>IFERROR(__xludf.DUMMYFUNCTION("""COMPUTED_VALUE"""),"MFH")</f>
        <v>MFH</v>
      </c>
      <c r="J873" s="6" t="str">
        <f>IFERROR(__xludf.DUMMYFUNCTION("""COMPUTED_VALUE"""),"Building")</f>
        <v>Building</v>
      </c>
      <c r="K873" s="6" t="str">
        <f>IFERROR(__xludf.DUMMYFUNCTION("""COMPUTED_VALUE"""),"SPR/05/24/028")</f>
        <v>SPR/05/24/028</v>
      </c>
      <c r="L873" s="50">
        <f>IFERROR(__xludf.DUMMYFUNCTION("""COMPUTED_VALUE"""),45443.0)</f>
        <v>45443</v>
      </c>
    </row>
    <row r="874">
      <c r="A874" s="6" t="str">
        <f>IFERROR(__xludf.DUMMYFUNCTION("""COMPUTED_VALUE"""),"SFH")</f>
        <v>SFH</v>
      </c>
      <c r="B874" s="6" t="str">
        <f>IFERROR(__xludf.DUMMYFUNCTION("""COMPUTED_VALUE"""),"ENG")</f>
        <v>ENG</v>
      </c>
      <c r="C874" s="6" t="str">
        <f>IFERROR(__xludf.DUMMYFUNCTION("""COMPUTED_VALUE"""),"P-50505-00")</f>
        <v>P-50505-00</v>
      </c>
      <c r="D874" s="6" t="str">
        <f>IFERROR(__xludf.DUMMYFUNCTION("""COMPUTED_VALUE"""),"Saklar Seri / 250 V / Clipsal")</f>
        <v>Saklar Seri / 250 V / Clipsal</v>
      </c>
      <c r="E874" s="6">
        <f>IFERROR(__xludf.DUMMYFUNCTION("""COMPUTED_VALUE"""),3.0)</f>
        <v>3</v>
      </c>
      <c r="F874" s="6">
        <f>IFERROR(__xludf.DUMMYFUNCTION("""COMPUTED_VALUE"""),1.0)</f>
        <v>1</v>
      </c>
      <c r="G874" s="6">
        <f>IFERROR(__xludf.DUMMYFUNCTION("""COMPUTED_VALUE"""),0.0)</f>
        <v>0</v>
      </c>
      <c r="H874" s="6" t="str">
        <f>IFERROR(__xludf.DUMMYFUNCTION("""COMPUTED_VALUE"""),"pcs")</f>
        <v>pcs</v>
      </c>
      <c r="I874" s="6" t="str">
        <f>IFERROR(__xludf.DUMMYFUNCTION("""COMPUTED_VALUE"""),"MFH")</f>
        <v>MFH</v>
      </c>
      <c r="J874" s="6" t="str">
        <f>IFERROR(__xludf.DUMMYFUNCTION("""COMPUTED_VALUE"""),"Building")</f>
        <v>Building</v>
      </c>
      <c r="K874" s="6" t="str">
        <f>IFERROR(__xludf.DUMMYFUNCTION("""COMPUTED_VALUE"""),"SPR/05/24/029")</f>
        <v>SPR/05/24/029</v>
      </c>
      <c r="L874" s="50">
        <f>IFERROR(__xludf.DUMMYFUNCTION("""COMPUTED_VALUE"""),45443.0)</f>
        <v>45443</v>
      </c>
    </row>
    <row r="875">
      <c r="A875" s="6" t="str">
        <f>IFERROR(__xludf.DUMMYFUNCTION("""COMPUTED_VALUE"""),"SFH")</f>
        <v>SFH</v>
      </c>
      <c r="B875" s="6" t="str">
        <f>IFERROR(__xludf.DUMMYFUNCTION("""COMPUTED_VALUE"""),"ENG")</f>
        <v>ENG</v>
      </c>
      <c r="C875" s="6" t="str">
        <f>IFERROR(__xludf.DUMMYFUNCTION("""COMPUTED_VALUE"""),"Q-10302-00")</f>
        <v>Q-10302-00</v>
      </c>
      <c r="D875" s="6" t="str">
        <f>IFERROR(__xludf.DUMMYFUNCTION("""COMPUTED_VALUE"""),"Compound Gypsum; ; ;")</f>
        <v>Compound Gypsum; ; ;</v>
      </c>
      <c r="E875" s="6">
        <f>IFERROR(__xludf.DUMMYFUNCTION("""COMPUTED_VALUE"""),1.0)</f>
        <v>1</v>
      </c>
      <c r="F875" s="6">
        <f>IFERROR(__xludf.DUMMYFUNCTION("""COMPUTED_VALUE"""),1.0)</f>
        <v>1</v>
      </c>
      <c r="G875" s="6">
        <f>IFERROR(__xludf.DUMMYFUNCTION("""COMPUTED_VALUE"""),0.0)</f>
        <v>0</v>
      </c>
      <c r="H875" s="6" t="str">
        <f>IFERROR(__xludf.DUMMYFUNCTION("""COMPUTED_VALUE"""),"pcs")</f>
        <v>pcs</v>
      </c>
      <c r="I875" s="6" t="str">
        <f>IFERROR(__xludf.DUMMYFUNCTION("""COMPUTED_VALUE"""),"MFH")</f>
        <v>MFH</v>
      </c>
      <c r="J875" s="6" t="str">
        <f>IFERROR(__xludf.DUMMYFUNCTION("""COMPUTED_VALUE"""),"Building")</f>
        <v>Building</v>
      </c>
      <c r="K875" s="6" t="str">
        <f>IFERROR(__xludf.DUMMYFUNCTION("""COMPUTED_VALUE"""),"SPR/05/24/029")</f>
        <v>SPR/05/24/029</v>
      </c>
      <c r="L875" s="50">
        <f>IFERROR(__xludf.DUMMYFUNCTION("""COMPUTED_VALUE"""),45443.0)</f>
        <v>45443</v>
      </c>
    </row>
    <row r="876">
      <c r="A876" s="6" t="str">
        <f>IFERROR(__xludf.DUMMYFUNCTION("""COMPUTED_VALUE"""),"SFH")</f>
        <v>SFH</v>
      </c>
      <c r="B876" s="6" t="str">
        <f>IFERROR(__xludf.DUMMYFUNCTION("""COMPUTED_VALUE"""),"ENG")</f>
        <v>ENG</v>
      </c>
      <c r="C876" s="6" t="str">
        <f>IFERROR(__xludf.DUMMYFUNCTION("""COMPUTED_VALUE"""),"T-80681-00")</f>
        <v>T-80681-00</v>
      </c>
      <c r="D876" s="6" t="str">
        <f>IFERROR(__xludf.DUMMYFUNCTION("""COMPUTED_VALUE"""),"Battery Kancing Energizer CR20")</f>
        <v>Battery Kancing Energizer CR20</v>
      </c>
      <c r="E876" s="6">
        <f>IFERROR(__xludf.DUMMYFUNCTION("""COMPUTED_VALUE"""),1.0)</f>
        <v>1</v>
      </c>
      <c r="F876" s="6">
        <f>IFERROR(__xludf.DUMMYFUNCTION("""COMPUTED_VALUE"""),1.0)</f>
        <v>1</v>
      </c>
      <c r="G876" s="6">
        <f>IFERROR(__xludf.DUMMYFUNCTION("""COMPUTED_VALUE"""),0.0)</f>
        <v>0</v>
      </c>
      <c r="H876" s="6" t="str">
        <f>IFERROR(__xludf.DUMMYFUNCTION("""COMPUTED_VALUE"""),"pcs")</f>
        <v>pcs</v>
      </c>
      <c r="I876" s="6" t="str">
        <f>IFERROR(__xludf.DUMMYFUNCTION("""COMPUTED_VALUE"""),"MFH")</f>
        <v>MFH</v>
      </c>
      <c r="J876" s="6" t="str">
        <f>IFERROR(__xludf.DUMMYFUNCTION("""COMPUTED_VALUE"""),"Building")</f>
        <v>Building</v>
      </c>
      <c r="K876" s="6" t="str">
        <f>IFERROR(__xludf.DUMMYFUNCTION("""COMPUTED_VALUE"""),"SPR/05/24/029")</f>
        <v>SPR/05/24/029</v>
      </c>
      <c r="L876" s="50">
        <f>IFERROR(__xludf.DUMMYFUNCTION("""COMPUTED_VALUE"""),45443.0)</f>
        <v>45443</v>
      </c>
    </row>
    <row r="877">
      <c r="A877" s="6" t="str">
        <f>IFERROR(__xludf.DUMMYFUNCTION("""COMPUTED_VALUE"""),"SFH")</f>
        <v>SFH</v>
      </c>
      <c r="B877" s="6" t="str">
        <f>IFERROR(__xludf.DUMMYFUNCTION("""COMPUTED_VALUE"""),"ENG")</f>
        <v>ENG</v>
      </c>
      <c r="C877" s="6" t="str">
        <f>IFERROR(__xludf.DUMMYFUNCTION("""COMPUTED_VALUE"""),"P-51560-00")</f>
        <v>P-51560-00</v>
      </c>
      <c r="D877" s="6" t="str">
        <f>IFERROR(__xludf.DUMMYFUNCTION("""COMPUTED_VALUE"""),"Lampu T5 28watt Putih; Phillips; ;")</f>
        <v>Lampu T5 28watt Putih; Phillips; ;</v>
      </c>
      <c r="E877" s="6">
        <f>IFERROR(__xludf.DUMMYFUNCTION("""COMPUTED_VALUE"""),12.0)</f>
        <v>12</v>
      </c>
      <c r="F877" s="6">
        <f>IFERROR(__xludf.DUMMYFUNCTION("""COMPUTED_VALUE"""),12.0)</f>
        <v>12</v>
      </c>
      <c r="G877" s="6">
        <f>IFERROR(__xludf.DUMMYFUNCTION("""COMPUTED_VALUE"""),0.0)</f>
        <v>0</v>
      </c>
      <c r="H877" s="6" t="str">
        <f>IFERROR(__xludf.DUMMYFUNCTION("""COMPUTED_VALUE"""),"pcs")</f>
        <v>pcs</v>
      </c>
      <c r="I877" s="6" t="str">
        <f>IFERROR(__xludf.DUMMYFUNCTION("""COMPUTED_VALUE"""),"MFH")</f>
        <v>MFH</v>
      </c>
      <c r="J877" s="6" t="str">
        <f>IFERROR(__xludf.DUMMYFUNCTION("""COMPUTED_VALUE"""),"Building")</f>
        <v>Building</v>
      </c>
      <c r="K877" s="6" t="str">
        <f>IFERROR(__xludf.DUMMYFUNCTION("""COMPUTED_VALUE"""),"SPR/05/24/030")</f>
        <v>SPR/05/24/030</v>
      </c>
      <c r="L877" s="50">
        <f>IFERROR(__xludf.DUMMYFUNCTION("""COMPUTED_VALUE"""),45443.0)</f>
        <v>45443</v>
      </c>
    </row>
    <row r="878">
      <c r="A878" s="6" t="str">
        <f>IFERROR(__xludf.DUMMYFUNCTION("""COMPUTED_VALUE"""),"SFH")</f>
        <v>SFH</v>
      </c>
      <c r="B878" s="6" t="str">
        <f>IFERROR(__xludf.DUMMYFUNCTION("""COMPUTED_VALUE"""),"ENG")</f>
        <v>ENG</v>
      </c>
      <c r="C878" s="6" t="str">
        <f>IFERROR(__xludf.DUMMYFUNCTION("""COMPUTED_VALUE"""),"P-51559-00")</f>
        <v>P-51559-00</v>
      </c>
      <c r="D878" s="6" t="str">
        <f>IFERROR(__xludf.DUMMYFUNCTION("""COMPUTED_VALUE"""),"Lampu T5 14watt Putih; Phillips; ;")</f>
        <v>Lampu T5 14watt Putih; Phillips; ;</v>
      </c>
      <c r="E878" s="6">
        <f>IFERROR(__xludf.DUMMYFUNCTION("""COMPUTED_VALUE"""),73.0)</f>
        <v>73</v>
      </c>
      <c r="F878" s="6">
        <f>IFERROR(__xludf.DUMMYFUNCTION("""COMPUTED_VALUE"""),8.0)</f>
        <v>8</v>
      </c>
      <c r="G878" s="6">
        <f>IFERROR(__xludf.DUMMYFUNCTION("""COMPUTED_VALUE"""),0.0)</f>
        <v>0</v>
      </c>
      <c r="H878" s="6" t="str">
        <f>IFERROR(__xludf.DUMMYFUNCTION("""COMPUTED_VALUE"""),"pcs")</f>
        <v>pcs</v>
      </c>
      <c r="I878" s="6" t="str">
        <f>IFERROR(__xludf.DUMMYFUNCTION("""COMPUTED_VALUE"""),"MFH")</f>
        <v>MFH</v>
      </c>
      <c r="J878" s="6" t="str">
        <f>IFERROR(__xludf.DUMMYFUNCTION("""COMPUTED_VALUE"""),"Building")</f>
        <v>Building</v>
      </c>
      <c r="K878" s="6" t="str">
        <f>IFERROR(__xludf.DUMMYFUNCTION("""COMPUTED_VALUE"""),"SPR/05/24/030")</f>
        <v>SPR/05/24/030</v>
      </c>
      <c r="L878" s="50">
        <f>IFERROR(__xludf.DUMMYFUNCTION("""COMPUTED_VALUE"""),45443.0)</f>
        <v>45443</v>
      </c>
    </row>
    <row r="879">
      <c r="A879" s="6" t="str">
        <f>IFERROR(__xludf.DUMMYFUNCTION("""COMPUTED_VALUE"""),"SFH")</f>
        <v>SFH</v>
      </c>
      <c r="B879" s="6" t="str">
        <f>IFERROR(__xludf.DUMMYFUNCTION("""COMPUTED_VALUE"""),"ENG")</f>
        <v>ENG</v>
      </c>
      <c r="C879" s="6" t="str">
        <f>IFERROR(__xludf.DUMMYFUNCTION("""COMPUTED_VALUE"""),"Q-10249-00")</f>
        <v>Q-10249-00</v>
      </c>
      <c r="D879" s="6" t="str">
        <f>IFERROR(__xludf.DUMMYFUNCTION("""COMPUTED_VALUE"""),"Lem Power Glue; ; ;")</f>
        <v>Lem Power Glue; ; ;</v>
      </c>
      <c r="E879" s="6">
        <f>IFERROR(__xludf.DUMMYFUNCTION("""COMPUTED_VALUE"""),2.0)</f>
        <v>2</v>
      </c>
      <c r="F879" s="6">
        <f>IFERROR(__xludf.DUMMYFUNCTION("""COMPUTED_VALUE"""),1.0)</f>
        <v>1</v>
      </c>
      <c r="G879" s="6">
        <f>IFERROR(__xludf.DUMMYFUNCTION("""COMPUTED_VALUE"""),0.0)</f>
        <v>0</v>
      </c>
      <c r="H879" s="6" t="str">
        <f>IFERROR(__xludf.DUMMYFUNCTION("""COMPUTED_VALUE"""),"pcs")</f>
        <v>pcs</v>
      </c>
      <c r="I879" s="6" t="str">
        <f>IFERROR(__xludf.DUMMYFUNCTION("""COMPUTED_VALUE"""),"MFH")</f>
        <v>MFH</v>
      </c>
      <c r="J879" s="6" t="str">
        <f>IFERROR(__xludf.DUMMYFUNCTION("""COMPUTED_VALUE"""),"Building")</f>
        <v>Building</v>
      </c>
      <c r="K879" s="6" t="str">
        <f>IFERROR(__xludf.DUMMYFUNCTION("""COMPUTED_VALUE"""),"SPR/05/24/030")</f>
        <v>SPR/05/24/030</v>
      </c>
      <c r="L879" s="50">
        <f>IFERROR(__xludf.DUMMYFUNCTION("""COMPUTED_VALUE"""),45443.0)</f>
        <v>45443</v>
      </c>
    </row>
    <row r="880">
      <c r="A880" s="6" t="str">
        <f>IFERROR(__xludf.DUMMYFUNCTION("""COMPUTED_VALUE"""),"MOB")</f>
        <v>MOB</v>
      </c>
      <c r="B880" s="6" t="str">
        <f>IFERROR(__xludf.DUMMYFUNCTION("""COMPUTED_VALUE"""),"ENG")</f>
        <v>ENG</v>
      </c>
      <c r="C880" s="6" t="str">
        <f>IFERROR(__xludf.DUMMYFUNCTION("""COMPUTED_VALUE"""),"P-17390-00")</f>
        <v>P-17390-00</v>
      </c>
      <c r="D880" s="6" t="str">
        <f>IFERROR(__xludf.DUMMYFUNCTION("""COMPUTED_VALUE"""),"PALL - AB1PFR7PVH4, 0.2 um; ; ;")</f>
        <v>PALL - AB1PFR7PVH4, 0.2 um; ; ;</v>
      </c>
      <c r="E880" s="6">
        <f>IFERROR(__xludf.DUMMYFUNCTION("""COMPUTED_VALUE"""),1.0)</f>
        <v>1</v>
      </c>
      <c r="F880" s="6">
        <f>IFERROR(__xludf.DUMMYFUNCTION("""COMPUTED_VALUE"""),1.0)</f>
        <v>1</v>
      </c>
      <c r="G880" s="6">
        <f>IFERROR(__xludf.DUMMYFUNCTION("""COMPUTED_VALUE"""),0.0)</f>
        <v>0</v>
      </c>
      <c r="H880" s="6" t="str">
        <f>IFERROR(__xludf.DUMMYFUNCTION("""COMPUTED_VALUE"""),"pcs")</f>
        <v>pcs</v>
      </c>
      <c r="I880" s="6" t="str">
        <f>IFERROR(__xludf.DUMMYFUNCTION("""COMPUTED_VALUE"""),"MFH")</f>
        <v>MFH</v>
      </c>
      <c r="J880" s="6" t="str">
        <f>IFERROR(__xludf.DUMMYFUNCTION("""COMPUTED_VALUE"""),"PW SKID")</f>
        <v>PW SKID</v>
      </c>
      <c r="K880" s="6" t="str">
        <f>IFERROR(__xludf.DUMMYFUNCTION("""COMPUTED_VALUE"""),"SPR/05/24/031")</f>
        <v>SPR/05/24/031</v>
      </c>
      <c r="L880" s="50">
        <f>IFERROR(__xludf.DUMMYFUNCTION("""COMPUTED_VALUE"""),45443.0)</f>
        <v>45443</v>
      </c>
    </row>
    <row r="881">
      <c r="A881" s="6" t="str">
        <f>IFERROR(__xludf.DUMMYFUNCTION("""COMPUTED_VALUE"""),"MOB")</f>
        <v>MOB</v>
      </c>
      <c r="B881" s="6" t="str">
        <f>IFERROR(__xludf.DUMMYFUNCTION("""COMPUTED_VALUE"""),"ENG")</f>
        <v>ENG</v>
      </c>
      <c r="C881" s="6" t="str">
        <f>IFERROR(__xludf.DUMMYFUNCTION("""COMPUTED_VALUE"""),"O-12868-00")</f>
        <v>O-12868-00</v>
      </c>
      <c r="D881" s="6" t="str">
        <f>IFERROR(__xludf.DUMMYFUNCTION("""COMPUTED_VALUE"""),"Emflon PFR Membrane Filter Cartridges 0.2 um PALL P/N : AB05 PFR2 PVH4 pc")</f>
        <v>Emflon PFR Membrane Filter Cartridges 0.2 um PALL P/N : AB05 PFR2 PVH4 pc</v>
      </c>
      <c r="E881" s="6">
        <f>IFERROR(__xludf.DUMMYFUNCTION("""COMPUTED_VALUE"""),1.0)</f>
        <v>1</v>
      </c>
      <c r="F881" s="6">
        <f>IFERROR(__xludf.DUMMYFUNCTION("""COMPUTED_VALUE"""),1.0)</f>
        <v>1</v>
      </c>
      <c r="G881" s="6">
        <f>IFERROR(__xludf.DUMMYFUNCTION("""COMPUTED_VALUE"""),0.0)</f>
        <v>0</v>
      </c>
      <c r="H881" s="6" t="str">
        <f>IFERROR(__xludf.DUMMYFUNCTION("""COMPUTED_VALUE"""),"pcs")</f>
        <v>pcs</v>
      </c>
      <c r="I881" s="6" t="str">
        <f>IFERROR(__xludf.DUMMYFUNCTION("""COMPUTED_VALUE"""),"MFH")</f>
        <v>MFH</v>
      </c>
      <c r="J881" s="6" t="str">
        <f>IFERROR(__xludf.DUMMYFUNCTION("""COMPUTED_VALUE"""),"PW SKID")</f>
        <v>PW SKID</v>
      </c>
      <c r="K881" s="6" t="str">
        <f>IFERROR(__xludf.DUMMYFUNCTION("""COMPUTED_VALUE"""),"SPR/05/24/031")</f>
        <v>SPR/05/24/031</v>
      </c>
      <c r="L881" s="50">
        <f>IFERROR(__xludf.DUMMYFUNCTION("""COMPUTED_VALUE"""),45443.0)</f>
        <v>45443</v>
      </c>
    </row>
    <row r="882">
      <c r="A882" s="6" t="str">
        <f>IFERROR(__xludf.DUMMYFUNCTION("""COMPUTED_VALUE"""),"MOB")</f>
        <v>MOB</v>
      </c>
      <c r="B882" s="6" t="str">
        <f>IFERROR(__xludf.DUMMYFUNCTION("""COMPUTED_VALUE"""),"ENG")</f>
        <v>ENG</v>
      </c>
      <c r="C882" s="6" t="str">
        <f>IFERROR(__xludf.DUMMYFUNCTION("""COMPUTED_VALUE"""),"Q-60025-00")</f>
        <v>Q-60025-00</v>
      </c>
      <c r="D882" s="6" t="str">
        <f>IFERROR(__xludf.DUMMYFUNCTION("""COMPUTED_VALUE"""),"Kuas Eterna 1")</f>
        <v>Kuas Eterna 1</v>
      </c>
      <c r="E882" s="6">
        <f>IFERROR(__xludf.DUMMYFUNCTION("""COMPUTED_VALUE"""),1.0)</f>
        <v>1</v>
      </c>
      <c r="F882" s="6">
        <f>IFERROR(__xludf.DUMMYFUNCTION("""COMPUTED_VALUE"""),1.0)</f>
        <v>1</v>
      </c>
      <c r="G882" s="6">
        <f>IFERROR(__xludf.DUMMYFUNCTION("""COMPUTED_VALUE"""),0.0)</f>
        <v>0</v>
      </c>
      <c r="H882" s="6" t="str">
        <f>IFERROR(__xludf.DUMMYFUNCTION("""COMPUTED_VALUE"""),"pcs")</f>
        <v>pcs</v>
      </c>
      <c r="I882" s="6" t="str">
        <f>IFERROR(__xludf.DUMMYFUNCTION("""COMPUTED_VALUE"""),"MFH")</f>
        <v>MFH</v>
      </c>
      <c r="J882" s="6" t="str">
        <f>IFERROR(__xludf.DUMMYFUNCTION("""COMPUTED_VALUE"""),"Building")</f>
        <v>Building</v>
      </c>
      <c r="K882" s="6" t="str">
        <f>IFERROR(__xludf.DUMMYFUNCTION("""COMPUTED_VALUE"""),"SPR/05/24/032")</f>
        <v>SPR/05/24/032</v>
      </c>
      <c r="L882" s="50">
        <f>IFERROR(__xludf.DUMMYFUNCTION("""COMPUTED_VALUE"""),45443.0)</f>
        <v>45443</v>
      </c>
    </row>
    <row r="883">
      <c r="A883" s="6" t="str">
        <f>IFERROR(__xludf.DUMMYFUNCTION("""COMPUTED_VALUE"""),"INS")</f>
        <v>INS</v>
      </c>
      <c r="B883" s="6" t="str">
        <f>IFERROR(__xludf.DUMMYFUNCTION("""COMPUTED_VALUE"""),"PRO")</f>
        <v>PRO</v>
      </c>
      <c r="C883" s="6" t="str">
        <f>IFERROR(__xludf.DUMMYFUNCTION("""COMPUTED_VALUE"""),"-")</f>
        <v>-</v>
      </c>
      <c r="D883" s="6" t="str">
        <f>IFERROR(__xludf.DUMMYFUNCTION("""COMPUTED_VALUE"""),"Clamp Ferrule 2 Inch")</f>
        <v>Clamp Ferrule 2 Inch</v>
      </c>
      <c r="E883" s="6">
        <f>IFERROR(__xludf.DUMMYFUNCTION("""COMPUTED_VALUE"""),3.0)</f>
        <v>3</v>
      </c>
      <c r="F883" s="6">
        <f>IFERROR(__xludf.DUMMYFUNCTION("""COMPUTED_VALUE"""),3.0)</f>
        <v>3</v>
      </c>
      <c r="G883" s="6">
        <f>IFERROR(__xludf.DUMMYFUNCTION("""COMPUTED_VALUE"""),0.0)</f>
        <v>0</v>
      </c>
      <c r="H883" s="6" t="str">
        <f>IFERROR(__xludf.DUMMYFUNCTION("""COMPUTED_VALUE"""),"pcs")</f>
        <v>pcs</v>
      </c>
      <c r="I883" s="6" t="str">
        <f>IFERROR(__xludf.DUMMYFUNCTION("""COMPUTED_VALUE"""),"MFH")</f>
        <v>MFH</v>
      </c>
      <c r="J883" s="6" t="str">
        <f>IFERROR(__xludf.DUMMYFUNCTION("""COMPUTED_VALUE"""),"OSD")</f>
        <v>OSD</v>
      </c>
      <c r="K883" s="6" t="str">
        <f>IFERROR(__xludf.DUMMYFUNCTION("""COMPUTED_VALUE"""),"SPR/05/24/033")</f>
        <v>SPR/05/24/033</v>
      </c>
      <c r="L883" s="50">
        <f>IFERROR(__xludf.DUMMYFUNCTION("""COMPUTED_VALUE"""),45443.0)</f>
        <v>45443</v>
      </c>
    </row>
    <row r="884">
      <c r="A884" s="6" t="str">
        <f>IFERROR(__xludf.DUMMYFUNCTION("""COMPUTED_VALUE"""),"INS")</f>
        <v>INS</v>
      </c>
      <c r="B884" s="6" t="str">
        <f>IFERROR(__xludf.DUMMYFUNCTION("""COMPUTED_VALUE"""),"PRO")</f>
        <v>PRO</v>
      </c>
      <c r="C884" s="6" t="str">
        <f>IFERROR(__xludf.DUMMYFUNCTION("""COMPUTED_VALUE"""),"O-13522-00")</f>
        <v>O-13522-00</v>
      </c>
      <c r="D884" s="6" t="str">
        <f>IFERROR(__xludf.DUMMYFUNCTION("""COMPUTED_VALUE"""),"gasket 2"" / EPDM; ; ;")</f>
        <v>gasket 2" / EPDM; ; ;</v>
      </c>
      <c r="E884" s="6">
        <f>IFERROR(__xludf.DUMMYFUNCTION("""COMPUTED_VALUE"""),7.0)</f>
        <v>7</v>
      </c>
      <c r="F884" s="6">
        <f>IFERROR(__xludf.DUMMYFUNCTION("""COMPUTED_VALUE"""),3.0)</f>
        <v>3</v>
      </c>
      <c r="G884" s="6">
        <f>IFERROR(__xludf.DUMMYFUNCTION("""COMPUTED_VALUE"""),0.0)</f>
        <v>0</v>
      </c>
      <c r="H884" s="6" t="str">
        <f>IFERROR(__xludf.DUMMYFUNCTION("""COMPUTED_VALUE"""),"pcs")</f>
        <v>pcs</v>
      </c>
      <c r="I884" s="6" t="str">
        <f>IFERROR(__xludf.DUMMYFUNCTION("""COMPUTED_VALUE"""),"MFH")</f>
        <v>MFH</v>
      </c>
      <c r="J884" s="6" t="str">
        <f>IFERROR(__xludf.DUMMYFUNCTION("""COMPUTED_VALUE"""),"OSD")</f>
        <v>OSD</v>
      </c>
      <c r="K884" s="6" t="str">
        <f>IFERROR(__xludf.DUMMYFUNCTION("""COMPUTED_VALUE"""),"SPR/05/24/033")</f>
        <v>SPR/05/24/033</v>
      </c>
      <c r="L884" s="50">
        <f>IFERROR(__xludf.DUMMYFUNCTION("""COMPUTED_VALUE"""),45443.0)</f>
        <v>45443</v>
      </c>
    </row>
    <row r="885">
      <c r="A885" s="6" t="str">
        <f>IFERROR(__xludf.DUMMYFUNCTION("""COMPUTED_VALUE"""),"MOB")</f>
        <v>MOB</v>
      </c>
      <c r="B885" s="6" t="str">
        <f>IFERROR(__xludf.DUMMYFUNCTION("""COMPUTED_VALUE"""),"ENG")</f>
        <v>ENG</v>
      </c>
      <c r="C885" s="6" t="str">
        <f>IFERROR(__xludf.DUMMYFUNCTION("""COMPUTED_VALUE"""),"P-13598-00")</f>
        <v>P-13598-00</v>
      </c>
      <c r="D885" s="6" t="str">
        <f>IFERROR(__xludf.DUMMYFUNCTION("""COMPUTED_VALUE"""),"Regulator Hydrogen 96A-10M Morris; ; ;")</f>
        <v>Regulator Hydrogen 96A-10M Morris; ; ;</v>
      </c>
      <c r="E885" s="6">
        <f>IFERROR(__xludf.DUMMYFUNCTION("""COMPUTED_VALUE"""),1.0)</f>
        <v>1</v>
      </c>
      <c r="F885" s="6">
        <f>IFERROR(__xludf.DUMMYFUNCTION("""COMPUTED_VALUE"""),1.0)</f>
        <v>1</v>
      </c>
      <c r="G885" s="6">
        <f>IFERROR(__xludf.DUMMYFUNCTION("""COMPUTED_VALUE"""),0.0)</f>
        <v>0</v>
      </c>
      <c r="H885" s="6" t="str">
        <f>IFERROR(__xludf.DUMMYFUNCTION("""COMPUTED_VALUE"""),"pcs")</f>
        <v>pcs</v>
      </c>
      <c r="I885" s="6" t="str">
        <f>IFERROR(__xludf.DUMMYFUNCTION("""COMPUTED_VALUE"""),"MFH")</f>
        <v>MFH</v>
      </c>
      <c r="J885" s="6" t="str">
        <f>IFERROR(__xludf.DUMMYFUNCTION("""COMPUTED_VALUE"""),"N2")</f>
        <v>N2</v>
      </c>
      <c r="K885" s="6" t="str">
        <f>IFERROR(__xludf.DUMMYFUNCTION("""COMPUTED_VALUE"""),"SPR/05/24/034")</f>
        <v>SPR/05/24/034</v>
      </c>
      <c r="L885" s="50">
        <f>IFERROR(__xludf.DUMMYFUNCTION("""COMPUTED_VALUE"""),45443.0)</f>
        <v>45443</v>
      </c>
    </row>
    <row r="886">
      <c r="A886" s="6" t="str">
        <f>IFERROR(__xludf.DUMMYFUNCTION("""COMPUTED_VALUE"""),"SFH")</f>
        <v>SFH</v>
      </c>
      <c r="B886" s="6" t="str">
        <f>IFERROR(__xludf.DUMMYFUNCTION("""COMPUTED_VALUE"""),"ENG")</f>
        <v>ENG</v>
      </c>
      <c r="C886" s="6" t="str">
        <f>IFERROR(__xludf.DUMMYFUNCTION("""COMPUTED_VALUE"""),"Q-10153-00")</f>
        <v>Q-10153-00</v>
      </c>
      <c r="D886" s="6" t="str">
        <f>IFERROR(__xludf.DUMMYFUNCTION("""COMPUTED_VALUE"""),"Roller cat 110mm")</f>
        <v>Roller cat 110mm</v>
      </c>
      <c r="E886" s="6">
        <f>IFERROR(__xludf.DUMMYFUNCTION("""COMPUTED_VALUE"""),1.0)</f>
        <v>1</v>
      </c>
      <c r="F886" s="6">
        <f>IFERROR(__xludf.DUMMYFUNCTION("""COMPUTED_VALUE"""),1.0)</f>
        <v>1</v>
      </c>
      <c r="G886" s="6">
        <f>IFERROR(__xludf.DUMMYFUNCTION("""COMPUTED_VALUE"""),0.0)</f>
        <v>0</v>
      </c>
      <c r="H886" s="6" t="str">
        <f>IFERROR(__xludf.DUMMYFUNCTION("""COMPUTED_VALUE"""),"pcs")</f>
        <v>pcs</v>
      </c>
      <c r="I886" s="6" t="str">
        <f>IFERROR(__xludf.DUMMYFUNCTION("""COMPUTED_VALUE"""),"MFH")</f>
        <v>MFH</v>
      </c>
      <c r="J886" s="6" t="str">
        <f>IFERROR(__xludf.DUMMYFUNCTION("""COMPUTED_VALUE"""),"Building")</f>
        <v>Building</v>
      </c>
      <c r="K886" s="6" t="str">
        <f>IFERROR(__xludf.DUMMYFUNCTION("""COMPUTED_VALUE"""),"SPR/05/24/035")</f>
        <v>SPR/05/24/035</v>
      </c>
      <c r="L886" s="50">
        <f>IFERROR(__xludf.DUMMYFUNCTION("""COMPUTED_VALUE"""),45443.0)</f>
        <v>45443</v>
      </c>
    </row>
    <row r="887">
      <c r="A887" s="6" t="str">
        <f>IFERROR(__xludf.DUMMYFUNCTION("""COMPUTED_VALUE"""),"SFH")</f>
        <v>SFH</v>
      </c>
      <c r="B887" s="6" t="str">
        <f>IFERROR(__xludf.DUMMYFUNCTION("""COMPUTED_VALUE"""),"ENG")</f>
        <v>ENG</v>
      </c>
      <c r="C887" s="6" t="str">
        <f>IFERROR(__xludf.DUMMYFUNCTION("""COMPUTED_VALUE"""),"Q-10154-00")</f>
        <v>Q-10154-00</v>
      </c>
      <c r="D887" s="6" t="str">
        <f>IFERROR(__xludf.DUMMYFUNCTION("""COMPUTED_VALUE"""),"Roller cat 230mm")</f>
        <v>Roller cat 230mm</v>
      </c>
      <c r="E887" s="6">
        <f>IFERROR(__xludf.DUMMYFUNCTION("""COMPUTED_VALUE"""),1.0)</f>
        <v>1</v>
      </c>
      <c r="F887" s="6">
        <f>IFERROR(__xludf.DUMMYFUNCTION("""COMPUTED_VALUE"""),1.0)</f>
        <v>1</v>
      </c>
      <c r="G887" s="6">
        <f>IFERROR(__xludf.DUMMYFUNCTION("""COMPUTED_VALUE"""),0.0)</f>
        <v>0</v>
      </c>
      <c r="H887" s="6" t="str">
        <f>IFERROR(__xludf.DUMMYFUNCTION("""COMPUTED_VALUE"""),"pcs")</f>
        <v>pcs</v>
      </c>
      <c r="I887" s="6" t="str">
        <f>IFERROR(__xludf.DUMMYFUNCTION("""COMPUTED_VALUE"""),"MFH")</f>
        <v>MFH</v>
      </c>
      <c r="J887" s="6" t="str">
        <f>IFERROR(__xludf.DUMMYFUNCTION("""COMPUTED_VALUE"""),"Building")</f>
        <v>Building</v>
      </c>
      <c r="K887" s="6" t="str">
        <f>IFERROR(__xludf.DUMMYFUNCTION("""COMPUTED_VALUE"""),"SPR/05/24/035")</f>
        <v>SPR/05/24/035</v>
      </c>
      <c r="L887" s="50">
        <f>IFERROR(__xludf.DUMMYFUNCTION("""COMPUTED_VALUE"""),45443.0)</f>
        <v>45443</v>
      </c>
    </row>
    <row r="888">
      <c r="A888" s="6" t="str">
        <f>IFERROR(__xludf.DUMMYFUNCTION("""COMPUTED_VALUE"""),"SFH")</f>
        <v>SFH</v>
      </c>
      <c r="B888" s="6" t="str">
        <f>IFERROR(__xludf.DUMMYFUNCTION("""COMPUTED_VALUE"""),"ENG")</f>
        <v>ENG</v>
      </c>
      <c r="C888" s="6" t="str">
        <f>IFERROR(__xludf.DUMMYFUNCTION("""COMPUTED_VALUE"""),"Q-10656-00")</f>
        <v>Q-10656-00</v>
      </c>
      <c r="D888" s="6" t="str">
        <f>IFERROR(__xludf.DUMMYFUNCTION("""COMPUTED_VALUE"""),"Kuas Eterna 5 Inch; ; ;")</f>
        <v>Kuas Eterna 5 Inch; ; ;</v>
      </c>
      <c r="E888" s="6">
        <f>IFERROR(__xludf.DUMMYFUNCTION("""COMPUTED_VALUE"""),2.0)</f>
        <v>2</v>
      </c>
      <c r="F888" s="6">
        <f>IFERROR(__xludf.DUMMYFUNCTION("""COMPUTED_VALUE"""),1.0)</f>
        <v>1</v>
      </c>
      <c r="G888" s="6">
        <f>IFERROR(__xludf.DUMMYFUNCTION("""COMPUTED_VALUE"""),0.0)</f>
        <v>0</v>
      </c>
      <c r="H888" s="6" t="str">
        <f>IFERROR(__xludf.DUMMYFUNCTION("""COMPUTED_VALUE"""),"pcs")</f>
        <v>pcs</v>
      </c>
      <c r="I888" s="6" t="str">
        <f>IFERROR(__xludf.DUMMYFUNCTION("""COMPUTED_VALUE"""),"MFH")</f>
        <v>MFH</v>
      </c>
      <c r="J888" s="6" t="str">
        <f>IFERROR(__xludf.DUMMYFUNCTION("""COMPUTED_VALUE"""),"Building")</f>
        <v>Building</v>
      </c>
      <c r="K888" s="6" t="str">
        <f>IFERROR(__xludf.DUMMYFUNCTION("""COMPUTED_VALUE"""),"SPR/05/24/035")</f>
        <v>SPR/05/24/035</v>
      </c>
      <c r="L888" s="50">
        <f>IFERROR(__xludf.DUMMYFUNCTION("""COMPUTED_VALUE"""),45443.0)</f>
        <v>45443</v>
      </c>
    </row>
    <row r="889">
      <c r="A889" s="6" t="str">
        <f>IFERROR(__xludf.DUMMYFUNCTION("""COMPUTED_VALUE"""),"ROS")</f>
        <v>ROS</v>
      </c>
      <c r="B889" s="6" t="str">
        <f>IFERROR(__xludf.DUMMYFUNCTION("""COMPUTED_VALUE"""),"ENG")</f>
        <v>ENG</v>
      </c>
      <c r="C889" s="6" t="str">
        <f>IFERROR(__xludf.DUMMYFUNCTION("""COMPUTED_VALUE"""),"Q-60003-00")</f>
        <v>Q-60003-00</v>
      </c>
      <c r="D889" s="6" t="str">
        <f>IFERROR(__xludf.DUMMYFUNCTION("""COMPUTED_VALUE"""),"Plakband Kertas")</f>
        <v>Plakband Kertas</v>
      </c>
      <c r="E889" s="6">
        <f>IFERROR(__xludf.DUMMYFUNCTION("""COMPUTED_VALUE"""),10.0)</f>
        <v>10</v>
      </c>
      <c r="F889" s="6">
        <f>IFERROR(__xludf.DUMMYFUNCTION("""COMPUTED_VALUE"""),10.0)</f>
        <v>10</v>
      </c>
      <c r="G889" s="6">
        <f>IFERROR(__xludf.DUMMYFUNCTION("""COMPUTED_VALUE"""),0.0)</f>
        <v>0</v>
      </c>
      <c r="H889" s="6" t="str">
        <f>IFERROR(__xludf.DUMMYFUNCTION("""COMPUTED_VALUE"""),"pcs")</f>
        <v>pcs</v>
      </c>
      <c r="I889" s="6" t="str">
        <f>IFERROR(__xludf.DUMMYFUNCTION("""COMPUTED_VALUE"""),"MFH")</f>
        <v>MFH</v>
      </c>
      <c r="J889" s="6" t="str">
        <f>IFERROR(__xludf.DUMMYFUNCTION("""COMPUTED_VALUE"""),"OSD")</f>
        <v>OSD</v>
      </c>
      <c r="K889" s="6" t="str">
        <f>IFERROR(__xludf.DUMMYFUNCTION("""COMPUTED_VALUE"""),"SPR/05/24/036")</f>
        <v>SPR/05/24/036</v>
      </c>
      <c r="L889" s="50">
        <f>IFERROR(__xludf.DUMMYFUNCTION("""COMPUTED_VALUE"""),45443.0)</f>
        <v>45443</v>
      </c>
    </row>
    <row r="890">
      <c r="A890" s="6" t="str">
        <f>IFERROR(__xludf.DUMMYFUNCTION("""COMPUTED_VALUE"""),"ROS")</f>
        <v>ROS</v>
      </c>
      <c r="B890" s="6" t="str">
        <f>IFERROR(__xludf.DUMMYFUNCTION("""COMPUTED_VALUE"""),"ENG")</f>
        <v>ENG</v>
      </c>
      <c r="C890" s="6" t="str">
        <f>IFERROR(__xludf.DUMMYFUNCTION("""COMPUTED_VALUE"""),"P-12258-00")</f>
        <v>P-12258-00</v>
      </c>
      <c r="D890" s="6" t="str">
        <f>IFERROR(__xludf.DUMMYFUNCTION("""COMPUTED_VALUE"""),"FESTO - Push In Connector QS-10-10")</f>
        <v>FESTO - Push In Connector QS-10-10</v>
      </c>
      <c r="E890" s="6">
        <f>IFERROR(__xludf.DUMMYFUNCTION("""COMPUTED_VALUE"""),5.0)</f>
        <v>5</v>
      </c>
      <c r="F890" s="6">
        <f>IFERROR(__xludf.DUMMYFUNCTION("""COMPUTED_VALUE"""),1.0)</f>
        <v>1</v>
      </c>
      <c r="G890" s="6">
        <f>IFERROR(__xludf.DUMMYFUNCTION("""COMPUTED_VALUE"""),0.0)</f>
        <v>0</v>
      </c>
      <c r="H890" s="6" t="str">
        <f>IFERROR(__xludf.DUMMYFUNCTION("""COMPUTED_VALUE"""),"pcs")</f>
        <v>pcs</v>
      </c>
      <c r="I890" s="6" t="str">
        <f>IFERROR(__xludf.DUMMYFUNCTION("""COMPUTED_VALUE"""),"MFH")</f>
        <v>MFH</v>
      </c>
      <c r="J890" s="6" t="str">
        <f>IFERROR(__xludf.DUMMYFUNCTION("""COMPUTED_VALUE"""),"OSD")</f>
        <v>OSD</v>
      </c>
      <c r="K890" s="6" t="str">
        <f>IFERROR(__xludf.DUMMYFUNCTION("""COMPUTED_VALUE"""),"SPR/05/24/036")</f>
        <v>SPR/05/24/036</v>
      </c>
      <c r="L890" s="50">
        <f>IFERROR(__xludf.DUMMYFUNCTION("""COMPUTED_VALUE"""),45443.0)</f>
        <v>45443</v>
      </c>
    </row>
    <row r="891">
      <c r="A891" s="6" t="str">
        <f>IFERROR(__xludf.DUMMYFUNCTION("""COMPUTED_VALUE"""),"SFH")</f>
        <v>SFH</v>
      </c>
      <c r="B891" s="6" t="str">
        <f>IFERROR(__xludf.DUMMYFUNCTION("""COMPUTED_VALUE"""),"ENG")</f>
        <v>ENG</v>
      </c>
      <c r="C891" s="6" t="str">
        <f>IFERROR(__xludf.DUMMYFUNCTION("""COMPUTED_VALUE"""),"Q-10517-00")</f>
        <v>Q-10517-00</v>
      </c>
      <c r="D891" s="6" t="str">
        <f>IFERROR(__xludf.DUMMYFUNCTION("""COMPUTED_VALUE"""),"Scraper / Kape Besi; ; ;")</f>
        <v>Scraper / Kape Besi; ; ;</v>
      </c>
      <c r="E891" s="6">
        <f>IFERROR(__xludf.DUMMYFUNCTION("""COMPUTED_VALUE"""),1.0)</f>
        <v>1</v>
      </c>
      <c r="F891" s="6">
        <f>IFERROR(__xludf.DUMMYFUNCTION("""COMPUTED_VALUE"""),1.0)</f>
        <v>1</v>
      </c>
      <c r="G891" s="6">
        <f>IFERROR(__xludf.DUMMYFUNCTION("""COMPUTED_VALUE"""),0.0)</f>
        <v>0</v>
      </c>
      <c r="H891" s="6" t="str">
        <f>IFERROR(__xludf.DUMMYFUNCTION("""COMPUTED_VALUE"""),"pcs")</f>
        <v>pcs</v>
      </c>
      <c r="I891" s="6" t="str">
        <f>IFERROR(__xludf.DUMMYFUNCTION("""COMPUTED_VALUE"""),"MFH")</f>
        <v>MFH</v>
      </c>
      <c r="J891" s="6" t="str">
        <f>IFERROR(__xludf.DUMMYFUNCTION("""COMPUTED_VALUE"""),"-")</f>
        <v>-</v>
      </c>
      <c r="K891" s="6" t="str">
        <f>IFERROR(__xludf.DUMMYFUNCTION("""COMPUTED_VALUE"""),"SPR/05/24/037")</f>
        <v>SPR/05/24/037</v>
      </c>
      <c r="L891" s="50">
        <f>IFERROR(__xludf.DUMMYFUNCTION("""COMPUTED_VALUE"""),45443.0)</f>
        <v>45443</v>
      </c>
    </row>
    <row r="892">
      <c r="A892" s="6" t="str">
        <f>IFERROR(__xludf.DUMMYFUNCTION("""COMPUTED_VALUE"""),"ROS")</f>
        <v>ROS</v>
      </c>
      <c r="B892" s="6" t="str">
        <f>IFERROR(__xludf.DUMMYFUNCTION("""COMPUTED_VALUE"""),"ENG")</f>
        <v>ENG</v>
      </c>
      <c r="C892" s="6" t="str">
        <f>IFERROR(__xludf.DUMMYFUNCTION("""COMPUTED_VALUE"""),"P-12306-00")</f>
        <v>P-12306-00</v>
      </c>
      <c r="D892" s="6" t="str">
        <f>IFERROR(__xludf.DUMMYFUNCTION("""COMPUTED_VALUE"""),"FESTO - QST-8 push in t- connection p/n 153130")</f>
        <v>FESTO - QST-8 push in t- connection p/n 153130</v>
      </c>
      <c r="E892" s="6">
        <f>IFERROR(__xludf.DUMMYFUNCTION("""COMPUTED_VALUE"""),2.0)</f>
        <v>2</v>
      </c>
      <c r="F892" s="6">
        <f>IFERROR(__xludf.DUMMYFUNCTION("""COMPUTED_VALUE"""),1.0)</f>
        <v>1</v>
      </c>
      <c r="G892" s="6">
        <f>IFERROR(__xludf.DUMMYFUNCTION("""COMPUTED_VALUE"""),0.0)</f>
        <v>0</v>
      </c>
      <c r="H892" s="6" t="str">
        <f>IFERROR(__xludf.DUMMYFUNCTION("""COMPUTED_VALUE"""),"pcs")</f>
        <v>pcs</v>
      </c>
      <c r="I892" s="6" t="str">
        <f>IFERROR(__xludf.DUMMYFUNCTION("""COMPUTED_VALUE"""),"MFH")</f>
        <v>MFH</v>
      </c>
      <c r="J892" s="6" t="str">
        <f>IFERROR(__xludf.DUMMYFUNCTION("""COMPUTED_VALUE"""),"OSD")</f>
        <v>OSD</v>
      </c>
      <c r="K892" s="6" t="str">
        <f>IFERROR(__xludf.DUMMYFUNCTION("""COMPUTED_VALUE"""),"SPR/05/24/038")</f>
        <v>SPR/05/24/038</v>
      </c>
      <c r="L892" s="50">
        <f>IFERROR(__xludf.DUMMYFUNCTION("""COMPUTED_VALUE"""),45443.0)</f>
        <v>45443</v>
      </c>
    </row>
    <row r="893">
      <c r="A893" s="6" t="str">
        <f>IFERROR(__xludf.DUMMYFUNCTION("""COMPUTED_VALUE"""),"ROS")</f>
        <v>ROS</v>
      </c>
      <c r="B893" s="6" t="str">
        <f>IFERROR(__xludf.DUMMYFUNCTION("""COMPUTED_VALUE"""),"ENG")</f>
        <v>ENG</v>
      </c>
      <c r="C893" s="6" t="str">
        <f>IFERROR(__xludf.DUMMYFUNCTION("""COMPUTED_VALUE"""),"P-11694-00")</f>
        <v>P-11694-00</v>
      </c>
      <c r="D893" s="6" t="str">
        <f>IFERROR(__xludf.DUMMYFUNCTION("""COMPUTED_VALUE"""),"Mata Gerinda 4""")</f>
        <v>Mata Gerinda 4"</v>
      </c>
      <c r="E893" s="6">
        <f>IFERROR(__xludf.DUMMYFUNCTION("""COMPUTED_VALUE"""),10.0)</f>
        <v>10</v>
      </c>
      <c r="F893" s="6">
        <f>IFERROR(__xludf.DUMMYFUNCTION("""COMPUTED_VALUE"""),10.0)</f>
        <v>10</v>
      </c>
      <c r="G893" s="6">
        <f>IFERROR(__xludf.DUMMYFUNCTION("""COMPUTED_VALUE"""),0.0)</f>
        <v>0</v>
      </c>
      <c r="H893" s="6" t="str">
        <f>IFERROR(__xludf.DUMMYFUNCTION("""COMPUTED_VALUE"""),"pcs")</f>
        <v>pcs</v>
      </c>
      <c r="I893" s="6" t="str">
        <f>IFERROR(__xludf.DUMMYFUNCTION("""COMPUTED_VALUE"""),"MFH")</f>
        <v>MFH</v>
      </c>
      <c r="J893" s="6" t="str">
        <f>IFERROR(__xludf.DUMMYFUNCTION("""COMPUTED_VALUE"""),"OSD")</f>
        <v>OSD</v>
      </c>
      <c r="K893" s="6" t="str">
        <f>IFERROR(__xludf.DUMMYFUNCTION("""COMPUTED_VALUE"""),"SPR/05/24/038")</f>
        <v>SPR/05/24/038</v>
      </c>
      <c r="L893" s="50">
        <f>IFERROR(__xludf.DUMMYFUNCTION("""COMPUTED_VALUE"""),45443.0)</f>
        <v>45443</v>
      </c>
    </row>
    <row r="894">
      <c r="A894" s="6" t="str">
        <f>IFERROR(__xludf.DUMMYFUNCTION("""COMPUTED_VALUE"""),"ROS")</f>
        <v>ROS</v>
      </c>
      <c r="B894" s="6" t="str">
        <f>IFERROR(__xludf.DUMMYFUNCTION("""COMPUTED_VALUE"""),"ENG")</f>
        <v>ENG</v>
      </c>
      <c r="C894" s="6" t="str">
        <f>IFERROR(__xludf.DUMMYFUNCTION("""COMPUTED_VALUE"""),"-")</f>
        <v>-</v>
      </c>
      <c r="D894" s="6" t="str">
        <f>IFERROR(__xludf.DUMMYFUNCTION("""COMPUTED_VALUE"""),"Mata Gerinda Duduk")</f>
        <v>Mata Gerinda Duduk</v>
      </c>
      <c r="E894" s="6">
        <f>IFERROR(__xludf.DUMMYFUNCTION("""COMPUTED_VALUE"""),1.0)</f>
        <v>1</v>
      </c>
      <c r="F894" s="6">
        <f>IFERROR(__xludf.DUMMYFUNCTION("""COMPUTED_VALUE"""),1.0)</f>
        <v>1</v>
      </c>
      <c r="G894" s="6">
        <f>IFERROR(__xludf.DUMMYFUNCTION("""COMPUTED_VALUE"""),0.0)</f>
        <v>0</v>
      </c>
      <c r="H894" s="6" t="str">
        <f>IFERROR(__xludf.DUMMYFUNCTION("""COMPUTED_VALUE"""),"pcs")</f>
        <v>pcs</v>
      </c>
      <c r="I894" s="6" t="str">
        <f>IFERROR(__xludf.DUMMYFUNCTION("""COMPUTED_VALUE"""),"MFH")</f>
        <v>MFH</v>
      </c>
      <c r="J894" s="6" t="str">
        <f>IFERROR(__xludf.DUMMYFUNCTION("""COMPUTED_VALUE"""),"OSD")</f>
        <v>OSD</v>
      </c>
      <c r="K894" s="6" t="str">
        <f>IFERROR(__xludf.DUMMYFUNCTION("""COMPUTED_VALUE"""),"SPR/05/24/038")</f>
        <v>SPR/05/24/038</v>
      </c>
      <c r="L894" s="50">
        <f>IFERROR(__xludf.DUMMYFUNCTION("""COMPUTED_VALUE"""),45443.0)</f>
        <v>45443</v>
      </c>
    </row>
    <row r="895">
      <c r="A895" s="6" t="str">
        <f>IFERROR(__xludf.DUMMYFUNCTION("""COMPUTED_VALUE"""),"AAA")</f>
        <v>AAA</v>
      </c>
      <c r="B895" s="6" t="str">
        <f>IFERROR(__xludf.DUMMYFUNCTION("""COMPUTED_VALUE"""),"ENG")</f>
        <v>ENG</v>
      </c>
      <c r="C895" s="6" t="str">
        <f>IFERROR(__xludf.DUMMYFUNCTION("""COMPUTED_VALUE"""),"P-18468-00")</f>
        <v>P-18468-00</v>
      </c>
      <c r="D895" s="6" t="str">
        <f>IFERROR(__xludf.DUMMYFUNCTION("""COMPUTED_VALUE"""),"Pass Box Stickers ZC-A; ; ;")</f>
        <v>Pass Box Stickers ZC-A; ; ;</v>
      </c>
      <c r="E895" s="6">
        <f>IFERROR(__xludf.DUMMYFUNCTION("""COMPUTED_VALUE"""),15.0)</f>
        <v>15</v>
      </c>
      <c r="F895" s="6">
        <f>IFERROR(__xludf.DUMMYFUNCTION("""COMPUTED_VALUE"""),2.0)</f>
        <v>2</v>
      </c>
      <c r="G895" s="6">
        <f>IFERROR(__xludf.DUMMYFUNCTION("""COMPUTED_VALUE"""),0.0)</f>
        <v>0</v>
      </c>
      <c r="H895" s="6" t="str">
        <f>IFERROR(__xludf.DUMMYFUNCTION("""COMPUTED_VALUE"""),"pcs")</f>
        <v>pcs</v>
      </c>
      <c r="I895" s="6" t="str">
        <f>IFERROR(__xludf.DUMMYFUNCTION("""COMPUTED_VALUE"""),"MFH")</f>
        <v>MFH</v>
      </c>
      <c r="J895" s="6" t="str">
        <f>IFERROR(__xludf.DUMMYFUNCTION("""COMPUTED_VALUE"""),"Building")</f>
        <v>Building</v>
      </c>
      <c r="K895" s="6" t="str">
        <f>IFERROR(__xludf.DUMMYFUNCTION("""COMPUTED_VALUE"""),"SPR/05/24/039")</f>
        <v>SPR/05/24/039</v>
      </c>
      <c r="L895" s="50">
        <f>IFERROR(__xludf.DUMMYFUNCTION("""COMPUTED_VALUE"""),45443.0)</f>
        <v>45443</v>
      </c>
    </row>
    <row r="896">
      <c r="A896" s="6" t="str">
        <f>IFERROR(__xludf.DUMMYFUNCTION("""COMPUTED_VALUE"""),"AAA")</f>
        <v>AAA</v>
      </c>
      <c r="B896" s="6" t="str">
        <f>IFERROR(__xludf.DUMMYFUNCTION("""COMPUTED_VALUE"""),"ENG")</f>
        <v>ENG</v>
      </c>
      <c r="C896" s="6" t="str">
        <f>IFERROR(__xludf.DUMMYFUNCTION("""COMPUTED_VALUE"""),"-")</f>
        <v>-</v>
      </c>
      <c r="D896" s="6" t="str">
        <f>IFERROR(__xludf.DUMMYFUNCTION("""COMPUTED_VALUE"""),"Sticker Pintu Sandwich panel")</f>
        <v>Sticker Pintu Sandwich panel</v>
      </c>
      <c r="E896" s="6">
        <f>IFERROR(__xludf.DUMMYFUNCTION("""COMPUTED_VALUE"""),4.0)</f>
        <v>4</v>
      </c>
      <c r="F896" s="6">
        <f>IFERROR(__xludf.DUMMYFUNCTION("""COMPUTED_VALUE"""),4.0)</f>
        <v>4</v>
      </c>
      <c r="G896" s="6">
        <f>IFERROR(__xludf.DUMMYFUNCTION("""COMPUTED_VALUE"""),0.0)</f>
        <v>0</v>
      </c>
      <c r="H896" s="6" t="str">
        <f>IFERROR(__xludf.DUMMYFUNCTION("""COMPUTED_VALUE"""),"pcs")</f>
        <v>pcs</v>
      </c>
      <c r="I896" s="6" t="str">
        <f>IFERROR(__xludf.DUMMYFUNCTION("""COMPUTED_VALUE"""),"MFH")</f>
        <v>MFH</v>
      </c>
      <c r="J896" s="6" t="str">
        <f>IFERROR(__xludf.DUMMYFUNCTION("""COMPUTED_VALUE"""),"Building")</f>
        <v>Building</v>
      </c>
      <c r="K896" s="6" t="str">
        <f>IFERROR(__xludf.DUMMYFUNCTION("""COMPUTED_VALUE"""),"SPR/05/24/039")</f>
        <v>SPR/05/24/039</v>
      </c>
      <c r="L896" s="50">
        <f>IFERROR(__xludf.DUMMYFUNCTION("""COMPUTED_VALUE"""),45443.0)</f>
        <v>45443</v>
      </c>
    </row>
    <row r="897">
      <c r="A897" s="6" t="str">
        <f>IFERROR(__xludf.DUMMYFUNCTION("""COMPUTED_VALUE"""),"RPA")</f>
        <v>RPA</v>
      </c>
      <c r="B897" s="6" t="str">
        <f>IFERROR(__xludf.DUMMYFUNCTION("""COMPUTED_VALUE"""),"PRO")</f>
        <v>PRO</v>
      </c>
      <c r="C897" s="6" t="str">
        <f>IFERROR(__xludf.DUMMYFUNCTION("""COMPUTED_VALUE"""),"T-80038-00")</f>
        <v>T-80038-00</v>
      </c>
      <c r="D897" s="6" t="str">
        <f>IFERROR(__xludf.DUMMYFUNCTION("""COMPUTED_VALUE"""),"Batterai Size AAA")</f>
        <v>Batterai Size AAA</v>
      </c>
      <c r="E897" s="6">
        <f>IFERROR(__xludf.DUMMYFUNCTION("""COMPUTED_VALUE"""),5.0)</f>
        <v>5</v>
      </c>
      <c r="F897" s="6">
        <f>IFERROR(__xludf.DUMMYFUNCTION("""COMPUTED_VALUE"""),5.0)</f>
        <v>5</v>
      </c>
      <c r="G897" s="6">
        <f>IFERROR(__xludf.DUMMYFUNCTION("""COMPUTED_VALUE"""),0.0)</f>
        <v>0</v>
      </c>
      <c r="H897" s="6" t="str">
        <f>IFERROR(__xludf.DUMMYFUNCTION("""COMPUTED_VALUE"""),"pcs")</f>
        <v>pcs</v>
      </c>
      <c r="I897" s="6" t="str">
        <f>IFERROR(__xludf.DUMMYFUNCTION("""COMPUTED_VALUE"""),"MFH")</f>
        <v>MFH</v>
      </c>
      <c r="J897" s="6" t="str">
        <f>IFERROR(__xludf.DUMMYFUNCTION("""COMPUTED_VALUE"""),"Cartoning")</f>
        <v>Cartoning</v>
      </c>
      <c r="K897" s="6" t="str">
        <f>IFERROR(__xludf.DUMMYFUNCTION("""COMPUTED_VALUE"""),"SPR/05/24/040")</f>
        <v>SPR/05/24/040</v>
      </c>
      <c r="L897" s="50">
        <f>IFERROR(__xludf.DUMMYFUNCTION("""COMPUTED_VALUE"""),45443.0)</f>
        <v>45443</v>
      </c>
    </row>
    <row r="898">
      <c r="A898" s="6" t="str">
        <f>IFERROR(__xludf.DUMMYFUNCTION("""COMPUTED_VALUE"""),"SFH")</f>
        <v>SFH</v>
      </c>
      <c r="B898" s="6" t="str">
        <f>IFERROR(__xludf.DUMMYFUNCTION("""COMPUTED_VALUE"""),"ENG")</f>
        <v>ENG</v>
      </c>
      <c r="C898" s="6" t="str">
        <f>IFERROR(__xludf.DUMMYFUNCTION("""COMPUTED_VALUE"""),"P-14455-00")</f>
        <v>P-14455-00</v>
      </c>
      <c r="D898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898" s="6">
        <f>IFERROR(__xludf.DUMMYFUNCTION("""COMPUTED_VALUE"""),1.0)</f>
        <v>1</v>
      </c>
      <c r="F898" s="6">
        <f>IFERROR(__xludf.DUMMYFUNCTION("""COMPUTED_VALUE"""),1.0)</f>
        <v>1</v>
      </c>
      <c r="G898" s="6">
        <f>IFERROR(__xludf.DUMMYFUNCTION("""COMPUTED_VALUE"""),0.0)</f>
        <v>0</v>
      </c>
      <c r="H898" s="6" t="str">
        <f>IFERROR(__xludf.DUMMYFUNCTION("""COMPUTED_VALUE"""),"pcs")</f>
        <v>pcs</v>
      </c>
      <c r="I898" s="6" t="str">
        <f>IFERROR(__xludf.DUMMYFUNCTION("""COMPUTED_VALUE"""),"MFH")</f>
        <v>MFH</v>
      </c>
      <c r="J898" s="6" t="str">
        <f>IFERROR(__xludf.DUMMYFUNCTION("""COMPUTED_VALUE"""),"AHU ")</f>
        <v>AHU </v>
      </c>
      <c r="K898" s="6" t="str">
        <f>IFERROR(__xludf.DUMMYFUNCTION("""COMPUTED_VALUE"""),"SPR/05/24/041")</f>
        <v>SPR/05/24/041</v>
      </c>
      <c r="L898" s="50">
        <f>IFERROR(__xludf.DUMMYFUNCTION("""COMPUTED_VALUE"""),45443.0)</f>
        <v>45443</v>
      </c>
    </row>
    <row r="899">
      <c r="A899" s="6" t="str">
        <f>IFERROR(__xludf.DUMMYFUNCTION("""COMPUTED_VALUE"""),"SFH")</f>
        <v>SFH</v>
      </c>
      <c r="B899" s="6" t="str">
        <f>IFERROR(__xludf.DUMMYFUNCTION("""COMPUTED_VALUE"""),"ENG")</f>
        <v>ENG</v>
      </c>
      <c r="C899" s="6" t="str">
        <f>IFERROR(__xludf.DUMMYFUNCTION("""COMPUTED_VALUE"""),"P-14456-00")</f>
        <v>P-14456-00</v>
      </c>
      <c r="D899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899" s="6">
        <f>IFERROR(__xludf.DUMMYFUNCTION("""COMPUTED_VALUE"""),1.0)</f>
        <v>1</v>
      </c>
      <c r="F899" s="6">
        <f>IFERROR(__xludf.DUMMYFUNCTION("""COMPUTED_VALUE"""),1.0)</f>
        <v>1</v>
      </c>
      <c r="G899" s="6">
        <f>IFERROR(__xludf.DUMMYFUNCTION("""COMPUTED_VALUE"""),0.0)</f>
        <v>0</v>
      </c>
      <c r="H899" s="6" t="str">
        <f>IFERROR(__xludf.DUMMYFUNCTION("""COMPUTED_VALUE"""),"pcs")</f>
        <v>pcs</v>
      </c>
      <c r="I899" s="6" t="str">
        <f>IFERROR(__xludf.DUMMYFUNCTION("""COMPUTED_VALUE"""),"MFH")</f>
        <v>MFH</v>
      </c>
      <c r="J899" s="6" t="str">
        <f>IFERROR(__xludf.DUMMYFUNCTION("""COMPUTED_VALUE"""),"AHU")</f>
        <v>AHU</v>
      </c>
      <c r="K899" s="6" t="str">
        <f>IFERROR(__xludf.DUMMYFUNCTION("""COMPUTED_VALUE"""),"SPR/05/24/041")</f>
        <v>SPR/05/24/041</v>
      </c>
      <c r="L899" s="50">
        <f>IFERROR(__xludf.DUMMYFUNCTION("""COMPUTED_VALUE"""),45443.0)</f>
        <v>45443</v>
      </c>
    </row>
    <row r="900">
      <c r="A900" s="6" t="str">
        <f>IFERROR(__xludf.DUMMYFUNCTION("""COMPUTED_VALUE"""),"HMA")</f>
        <v>HMA</v>
      </c>
      <c r="B900" s="6" t="str">
        <f>IFERROR(__xludf.DUMMYFUNCTION("""COMPUTED_VALUE"""),"ENG")</f>
        <v>ENG</v>
      </c>
      <c r="C900" s="6" t="str">
        <f>IFERROR(__xludf.DUMMYFUNCTION("""COMPUTED_VALUE"""),"T-80376-00")</f>
        <v>T-80376-00</v>
      </c>
      <c r="D900" s="6" t="str">
        <f>IFERROR(__xludf.DUMMYFUNCTION("""COMPUTED_VALUE"""),"Plakband Hitam 2 inch")</f>
        <v>Plakband Hitam 2 inch</v>
      </c>
      <c r="E900" s="6">
        <f>IFERROR(__xludf.DUMMYFUNCTION("""COMPUTED_VALUE"""),1.0)</f>
        <v>1</v>
      </c>
      <c r="F900" s="6">
        <f>IFERROR(__xludf.DUMMYFUNCTION("""COMPUTED_VALUE"""),1.0)</f>
        <v>1</v>
      </c>
      <c r="G900" s="6">
        <f>IFERROR(__xludf.DUMMYFUNCTION("""COMPUTED_VALUE"""),0.0)</f>
        <v>0</v>
      </c>
      <c r="H900" s="6" t="str">
        <f>IFERROR(__xludf.DUMMYFUNCTION("""COMPUTED_VALUE"""),"pcs")</f>
        <v>pcs</v>
      </c>
      <c r="I900" s="6" t="str">
        <f>IFERROR(__xludf.DUMMYFUNCTION("""COMPUTED_VALUE"""),"MFH")</f>
        <v>MFH</v>
      </c>
      <c r="J900" s="6" t="str">
        <f>IFERROR(__xludf.DUMMYFUNCTION("""COMPUTED_VALUE"""),"OSD")</f>
        <v>OSD</v>
      </c>
      <c r="K900" s="6" t="str">
        <f>IFERROR(__xludf.DUMMYFUNCTION("""COMPUTED_VALUE"""),"SPR/05/24/042")</f>
        <v>SPR/05/24/042</v>
      </c>
      <c r="L900" s="50">
        <f>IFERROR(__xludf.DUMMYFUNCTION("""COMPUTED_VALUE"""),45443.0)</f>
        <v>45443</v>
      </c>
    </row>
    <row r="901">
      <c r="A901" s="6" t="str">
        <f>IFERROR(__xludf.DUMMYFUNCTION("""COMPUTED_VALUE"""),"INN")</f>
        <v>INN</v>
      </c>
      <c r="B901" s="6" t="str">
        <f>IFERROR(__xludf.DUMMYFUNCTION("""COMPUTED_VALUE"""),"ENG")</f>
        <v>ENG</v>
      </c>
      <c r="C901" s="6" t="str">
        <f>IFERROR(__xludf.DUMMYFUNCTION("""COMPUTED_VALUE"""),"P-11424-00")</f>
        <v>P-11424-00</v>
      </c>
      <c r="D901" s="6" t="str">
        <f>IFERROR(__xludf.DUMMYFUNCTION("""COMPUTED_VALUE"""),"Selang Festo Pun-H-12x2 Blue 2 x 50 m")</f>
        <v>Selang Festo Pun-H-12x2 Blue 2 x 50 m</v>
      </c>
      <c r="E901" s="6">
        <f>IFERROR(__xludf.DUMMYFUNCTION("""COMPUTED_VALUE"""),100.0)</f>
        <v>100</v>
      </c>
      <c r="F901" s="6">
        <f>IFERROR(__xludf.DUMMYFUNCTION("""COMPUTED_VALUE"""),100.0)</f>
        <v>100</v>
      </c>
      <c r="G901" s="6">
        <f>IFERROR(__xludf.DUMMYFUNCTION("""COMPUTED_VALUE"""),0.0)</f>
        <v>0</v>
      </c>
      <c r="H901" s="6" t="str">
        <f>IFERROR(__xludf.DUMMYFUNCTION("""COMPUTED_VALUE"""),"pcs")</f>
        <v>pcs</v>
      </c>
      <c r="I901" s="6" t="str">
        <f>IFERROR(__xludf.DUMMYFUNCTION("""COMPUTED_VALUE"""),"MFH")</f>
        <v>MFH</v>
      </c>
      <c r="J901" s="6" t="str">
        <f>IFERROR(__xludf.DUMMYFUNCTION("""COMPUTED_VALUE"""),"OSD")</f>
        <v>OSD</v>
      </c>
      <c r="K901" s="6" t="str">
        <f>IFERROR(__xludf.DUMMYFUNCTION("""COMPUTED_VALUE"""),"SPR/05/24/043")</f>
        <v>SPR/05/24/043</v>
      </c>
      <c r="L901" s="50">
        <f>IFERROR(__xludf.DUMMYFUNCTION("""COMPUTED_VALUE"""),45443.0)</f>
        <v>45443</v>
      </c>
    </row>
    <row r="902">
      <c r="A902" s="6" t="str">
        <f>IFERROR(__xludf.DUMMYFUNCTION("""COMPUTED_VALUE"""),"INN")</f>
        <v>INN</v>
      </c>
      <c r="B902" s="6" t="str">
        <f>IFERROR(__xludf.DUMMYFUNCTION("""COMPUTED_VALUE"""),"ENG")</f>
        <v>ENG</v>
      </c>
      <c r="C902" s="6" t="str">
        <f>IFERROR(__xludf.DUMMYFUNCTION("""COMPUTED_VALUE"""),"P-19255-00")</f>
        <v>P-19255-00</v>
      </c>
      <c r="D902" s="6" t="str">
        <f>IFERROR(__xludf.DUMMYFUNCTION("""COMPUTED_VALUE"""),"Plastic Tubing PUN-H-14x2-BL; Festo; 570386;")</f>
        <v>Plastic Tubing PUN-H-14x2-BL; Festo; 570386;</v>
      </c>
      <c r="E902" s="6">
        <f>IFERROR(__xludf.DUMMYFUNCTION("""COMPUTED_VALUE"""),100.0)</f>
        <v>100</v>
      </c>
      <c r="F902" s="6">
        <f>IFERROR(__xludf.DUMMYFUNCTION("""COMPUTED_VALUE"""),100.0)</f>
        <v>100</v>
      </c>
      <c r="G902" s="6">
        <f>IFERROR(__xludf.DUMMYFUNCTION("""COMPUTED_VALUE"""),0.0)</f>
        <v>0</v>
      </c>
      <c r="H902" s="6" t="str">
        <f>IFERROR(__xludf.DUMMYFUNCTION("""COMPUTED_VALUE"""),"pcs")</f>
        <v>pcs</v>
      </c>
      <c r="I902" s="6" t="str">
        <f>IFERROR(__xludf.DUMMYFUNCTION("""COMPUTED_VALUE"""),"MFH")</f>
        <v>MFH</v>
      </c>
      <c r="J902" s="6" t="str">
        <f>IFERROR(__xludf.DUMMYFUNCTION("""COMPUTED_VALUE"""),"OSD")</f>
        <v>OSD</v>
      </c>
      <c r="K902" s="6" t="str">
        <f>IFERROR(__xludf.DUMMYFUNCTION("""COMPUTED_VALUE"""),"SPR/05/24/043")</f>
        <v>SPR/05/24/043</v>
      </c>
      <c r="L902" s="50">
        <f>IFERROR(__xludf.DUMMYFUNCTION("""COMPUTED_VALUE"""),45443.0)</f>
        <v>45443</v>
      </c>
    </row>
    <row r="903">
      <c r="A903" s="6" t="str">
        <f>IFERROR(__xludf.DUMMYFUNCTION("""COMPUTED_VALUE"""),"INN")</f>
        <v>INN</v>
      </c>
      <c r="B903" s="6" t="str">
        <f>IFERROR(__xludf.DUMMYFUNCTION("""COMPUTED_VALUE"""),"ENG")</f>
        <v>ENG</v>
      </c>
      <c r="C903" s="6" t="str">
        <f>IFERROR(__xludf.DUMMYFUNCTION("""COMPUTED_VALUE"""),"P-12282-00")</f>
        <v>P-12282-00</v>
      </c>
      <c r="D903" s="6" t="str">
        <f>IFERROR(__xludf.DUMMYFUNCTION("""COMPUTED_VALUE"""),"FESTO - QS-12-10 Push in Connector p/n: 153040")</f>
        <v>FESTO - QS-12-10 Push in Connector p/n: 153040</v>
      </c>
      <c r="E903" s="6">
        <f>IFERROR(__xludf.DUMMYFUNCTION("""COMPUTED_VALUE"""),10.0)</f>
        <v>10</v>
      </c>
      <c r="F903" s="6">
        <f>IFERROR(__xludf.DUMMYFUNCTION("""COMPUTED_VALUE"""),10.0)</f>
        <v>10</v>
      </c>
      <c r="G903" s="6">
        <f>IFERROR(__xludf.DUMMYFUNCTION("""COMPUTED_VALUE"""),0.0)</f>
        <v>0</v>
      </c>
      <c r="H903" s="6" t="str">
        <f>IFERROR(__xludf.DUMMYFUNCTION("""COMPUTED_VALUE"""),"pcs")</f>
        <v>pcs</v>
      </c>
      <c r="I903" s="6" t="str">
        <f>IFERROR(__xludf.DUMMYFUNCTION("""COMPUTED_VALUE"""),"MFH")</f>
        <v>MFH</v>
      </c>
      <c r="J903" s="6" t="str">
        <f>IFERROR(__xludf.DUMMYFUNCTION("""COMPUTED_VALUE"""),"OSD")</f>
        <v>OSD</v>
      </c>
      <c r="K903" s="6" t="str">
        <f>IFERROR(__xludf.DUMMYFUNCTION("""COMPUTED_VALUE"""),"SPR/05/24/043")</f>
        <v>SPR/05/24/043</v>
      </c>
      <c r="L903" s="50">
        <f>IFERROR(__xludf.DUMMYFUNCTION("""COMPUTED_VALUE"""),45443.0)</f>
        <v>45443</v>
      </c>
    </row>
    <row r="904">
      <c r="A904" s="6" t="str">
        <f>IFERROR(__xludf.DUMMYFUNCTION("""COMPUTED_VALUE"""),"INN")</f>
        <v>INN</v>
      </c>
      <c r="B904" s="6" t="str">
        <f>IFERROR(__xludf.DUMMYFUNCTION("""COMPUTED_VALUE"""),"ENG")</f>
        <v>ENG</v>
      </c>
      <c r="C904" s="6" t="str">
        <f>IFERROR(__xludf.DUMMYFUNCTION("""COMPUTED_VALUE"""),"O-13501-00")</f>
        <v>O-13501-00</v>
      </c>
      <c r="D904" s="6" t="str">
        <f>IFERROR(__xludf.DUMMYFUNCTION("""COMPUTED_VALUE"""),"Pneumatic Fitting - QST 12 FESTO P/N : - pc")</f>
        <v>Pneumatic Fitting - QST 12 FESTO P/N : - pc</v>
      </c>
      <c r="E904" s="6">
        <f>IFERROR(__xludf.DUMMYFUNCTION("""COMPUTED_VALUE"""),10.0)</f>
        <v>10</v>
      </c>
      <c r="F904" s="6">
        <f>IFERROR(__xludf.DUMMYFUNCTION("""COMPUTED_VALUE"""),10.0)</f>
        <v>10</v>
      </c>
      <c r="G904" s="6">
        <f>IFERROR(__xludf.DUMMYFUNCTION("""COMPUTED_VALUE"""),0.0)</f>
        <v>0</v>
      </c>
      <c r="H904" s="6" t="str">
        <f>IFERROR(__xludf.DUMMYFUNCTION("""COMPUTED_VALUE"""),"pcs")</f>
        <v>pcs</v>
      </c>
      <c r="I904" s="6" t="str">
        <f>IFERROR(__xludf.DUMMYFUNCTION("""COMPUTED_VALUE"""),"MFH")</f>
        <v>MFH</v>
      </c>
      <c r="J904" s="6" t="str">
        <f>IFERROR(__xludf.DUMMYFUNCTION("""COMPUTED_VALUE"""),"OSD")</f>
        <v>OSD</v>
      </c>
      <c r="K904" s="6" t="str">
        <f>IFERROR(__xludf.DUMMYFUNCTION("""COMPUTED_VALUE"""),"SPR/05/24/044")</f>
        <v>SPR/05/24/044</v>
      </c>
      <c r="L904" s="50">
        <f>IFERROR(__xludf.DUMMYFUNCTION("""COMPUTED_VALUE"""),45443.0)</f>
        <v>45443</v>
      </c>
    </row>
    <row r="905">
      <c r="A905" s="6" t="str">
        <f>IFERROR(__xludf.DUMMYFUNCTION("""COMPUTED_VALUE"""),"INN")</f>
        <v>INN</v>
      </c>
      <c r="B905" s="6" t="str">
        <f>IFERROR(__xludf.DUMMYFUNCTION("""COMPUTED_VALUE"""),"ENG")</f>
        <v>ENG</v>
      </c>
      <c r="C905" s="6" t="str">
        <f>IFERROR(__xludf.DUMMYFUNCTION("""COMPUTED_VALUE"""),"P-11431-00")</f>
        <v>P-11431-00</v>
      </c>
      <c r="D905" s="6" t="str">
        <f>IFERROR(__xludf.DUMMYFUNCTION("""COMPUTED_VALUE"""),"Selang Festo Pun-H-8x1.25 mm Blue NR : 197385")</f>
        <v>Selang Festo Pun-H-8x1.25 mm Blue NR : 197385</v>
      </c>
      <c r="E905" s="6">
        <f>IFERROR(__xludf.DUMMYFUNCTION("""COMPUTED_VALUE"""),100.0)</f>
        <v>100</v>
      </c>
      <c r="F905" s="6">
        <f>IFERROR(__xludf.DUMMYFUNCTION("""COMPUTED_VALUE"""),100.0)</f>
        <v>100</v>
      </c>
      <c r="G905" s="6">
        <f>IFERROR(__xludf.DUMMYFUNCTION("""COMPUTED_VALUE"""),0.0)</f>
        <v>0</v>
      </c>
      <c r="H905" s="6" t="str">
        <f>IFERROR(__xludf.DUMMYFUNCTION("""COMPUTED_VALUE"""),"pcs")</f>
        <v>pcs</v>
      </c>
      <c r="I905" s="6" t="str">
        <f>IFERROR(__xludf.DUMMYFUNCTION("""COMPUTED_VALUE"""),"MFH")</f>
        <v>MFH</v>
      </c>
      <c r="J905" s="6" t="str">
        <f>IFERROR(__xludf.DUMMYFUNCTION("""COMPUTED_VALUE"""),"OSD")</f>
        <v>OSD</v>
      </c>
      <c r="K905" s="6" t="str">
        <f>IFERROR(__xludf.DUMMYFUNCTION("""COMPUTED_VALUE"""),"SPR/05/24/044")</f>
        <v>SPR/05/24/044</v>
      </c>
      <c r="L905" s="50">
        <f>IFERROR(__xludf.DUMMYFUNCTION("""COMPUTED_VALUE"""),45443.0)</f>
        <v>45443</v>
      </c>
    </row>
    <row r="906">
      <c r="A906" s="6" t="str">
        <f>IFERROR(__xludf.DUMMYFUNCTION("""COMPUTED_VALUE"""),"INN")</f>
        <v>INN</v>
      </c>
      <c r="B906" s="6" t="str">
        <f>IFERROR(__xludf.DUMMYFUNCTION("""COMPUTED_VALUE"""),"ENG")</f>
        <v>ENG</v>
      </c>
      <c r="C906" s="6" t="str">
        <f>IFERROR(__xludf.DUMMYFUNCTION("""COMPUTED_VALUE"""),"P-11422-00")</f>
        <v>P-11422-00</v>
      </c>
      <c r="D906" s="6" t="str">
        <f>IFERROR(__xludf.DUMMYFUNCTION("""COMPUTED_VALUE"""),"Selang Festo Pun-H-10x1.5 / Blue NR : 197386")</f>
        <v>Selang Festo Pun-H-10x1.5 / Blue NR : 197386</v>
      </c>
      <c r="E906" s="6">
        <f>IFERROR(__xludf.DUMMYFUNCTION("""COMPUTED_VALUE"""),100.0)</f>
        <v>100</v>
      </c>
      <c r="F906" s="6">
        <f>IFERROR(__xludf.DUMMYFUNCTION("""COMPUTED_VALUE"""),100.0)</f>
        <v>100</v>
      </c>
      <c r="G906" s="6">
        <f>IFERROR(__xludf.DUMMYFUNCTION("""COMPUTED_VALUE"""),0.0)</f>
        <v>0</v>
      </c>
      <c r="H906" s="6" t="str">
        <f>IFERROR(__xludf.DUMMYFUNCTION("""COMPUTED_VALUE"""),"pcs")</f>
        <v>pcs</v>
      </c>
      <c r="I906" s="6" t="str">
        <f>IFERROR(__xludf.DUMMYFUNCTION("""COMPUTED_VALUE"""),"MFH")</f>
        <v>MFH</v>
      </c>
      <c r="J906" s="6" t="str">
        <f>IFERROR(__xludf.DUMMYFUNCTION("""COMPUTED_VALUE"""),"OSD")</f>
        <v>OSD</v>
      </c>
      <c r="K906" s="6" t="str">
        <f>IFERROR(__xludf.DUMMYFUNCTION("""COMPUTED_VALUE"""),"SPR/05/24/044")</f>
        <v>SPR/05/24/044</v>
      </c>
      <c r="L906" s="50">
        <f>IFERROR(__xludf.DUMMYFUNCTION("""COMPUTED_VALUE"""),45443.0)</f>
        <v>45443</v>
      </c>
    </row>
    <row r="907">
      <c r="A907" s="6" t="str">
        <f>IFERROR(__xludf.DUMMYFUNCTION("""COMPUTED_VALUE"""),"INN")</f>
        <v>INN</v>
      </c>
      <c r="B907" s="6" t="str">
        <f>IFERROR(__xludf.DUMMYFUNCTION("""COMPUTED_VALUE"""),"ENG")</f>
        <v>ENG</v>
      </c>
      <c r="C907" s="6" t="str">
        <f>IFERROR(__xludf.DUMMYFUNCTION("""COMPUTED_VALUE"""),"P-52903-00")</f>
        <v>P-52903-00</v>
      </c>
      <c r="D907" s="6" t="str">
        <f>IFERROR(__xludf.DUMMYFUNCTION("""COMPUTED_VALUE"""),"Vacuum Pump LiquidRing 1,1kW 1,5HP; ROTOR; CDF 120-0;")</f>
        <v>Vacuum Pump LiquidRing 1,1kW 1,5HP; ROTOR; CDF 120-0;</v>
      </c>
      <c r="E907" s="6">
        <f>IFERROR(__xludf.DUMMYFUNCTION("""COMPUTED_VALUE"""),1.0)</f>
        <v>1</v>
      </c>
      <c r="F907" s="6">
        <f>IFERROR(__xludf.DUMMYFUNCTION("""COMPUTED_VALUE"""),1.0)</f>
        <v>1</v>
      </c>
      <c r="G907" s="6">
        <f>IFERROR(__xludf.DUMMYFUNCTION("""COMPUTED_VALUE"""),0.0)</f>
        <v>0</v>
      </c>
      <c r="H907" s="6" t="str">
        <f>IFERROR(__xludf.DUMMYFUNCTION("""COMPUTED_VALUE"""),"pcs")</f>
        <v>pcs</v>
      </c>
      <c r="I907" s="6" t="str">
        <f>IFERROR(__xludf.DUMMYFUNCTION("""COMPUTED_VALUE"""),"MFH")</f>
        <v>MFH</v>
      </c>
      <c r="J907" s="6" t="str">
        <f>IFERROR(__xludf.DUMMYFUNCTION("""COMPUTED_VALUE"""),"Autoclave")</f>
        <v>Autoclave</v>
      </c>
      <c r="K907" s="6" t="str">
        <f>IFERROR(__xludf.DUMMYFUNCTION("""COMPUTED_VALUE"""),"SPR/05/24/045")</f>
        <v>SPR/05/24/045</v>
      </c>
      <c r="L907" s="50">
        <f>IFERROR(__xludf.DUMMYFUNCTION("""COMPUTED_VALUE"""),45443.0)</f>
        <v>45443</v>
      </c>
    </row>
    <row r="908">
      <c r="A908" s="6" t="str">
        <f>IFERROR(__xludf.DUMMYFUNCTION("""COMPUTED_VALUE"""),"INN")</f>
        <v>INN</v>
      </c>
      <c r="B908" s="6" t="str">
        <f>IFERROR(__xludf.DUMMYFUNCTION("""COMPUTED_VALUE"""),"ENG")</f>
        <v>ENG</v>
      </c>
      <c r="C908" s="6" t="str">
        <f>IFERROR(__xludf.DUMMYFUNCTION("""COMPUTED_VALUE"""),"P-52662-00")</f>
        <v>P-52662-00</v>
      </c>
      <c r="D908" s="6" t="str">
        <f>IFERROR(__xludf.DUMMYFUNCTION("""COMPUTED_VALUE"""),"Temperature Controller - TK4S- 14SN 100-240 VAC AUTONICS; ; ;")</f>
        <v>Temperature Controller - TK4S- 14SN 100-240 VAC AUTONICS; ; ;</v>
      </c>
      <c r="E908" s="6">
        <f>IFERROR(__xludf.DUMMYFUNCTION("""COMPUTED_VALUE"""),4.0)</f>
        <v>4</v>
      </c>
      <c r="F908" s="6">
        <f>IFERROR(__xludf.DUMMYFUNCTION("""COMPUTED_VALUE"""),4.0)</f>
        <v>4</v>
      </c>
      <c r="G908" s="6">
        <f>IFERROR(__xludf.DUMMYFUNCTION("""COMPUTED_VALUE"""),0.0)</f>
        <v>0</v>
      </c>
      <c r="H908" s="6" t="str">
        <f>IFERROR(__xludf.DUMMYFUNCTION("""COMPUTED_VALUE"""),"pcs")</f>
        <v>pcs</v>
      </c>
      <c r="I908" s="6" t="str">
        <f>IFERROR(__xludf.DUMMYFUNCTION("""COMPUTED_VALUE"""),"MFH")</f>
        <v>MFH</v>
      </c>
      <c r="J908" s="6" t="str">
        <f>IFERROR(__xludf.DUMMYFUNCTION("""COMPUTED_VALUE"""),"Drylab")</f>
        <v>Drylab</v>
      </c>
      <c r="K908" s="6" t="str">
        <f>IFERROR(__xludf.DUMMYFUNCTION("""COMPUTED_VALUE"""),"SPR/05/24/045")</f>
        <v>SPR/05/24/045</v>
      </c>
      <c r="L908" s="50">
        <f>IFERROR(__xludf.DUMMYFUNCTION("""COMPUTED_VALUE"""),45443.0)</f>
        <v>45443</v>
      </c>
    </row>
    <row r="909">
      <c r="A909" s="6" t="str">
        <f>IFERROR(__xludf.DUMMYFUNCTION("""COMPUTED_VALUE"""),"ANO")</f>
        <v>ANO</v>
      </c>
      <c r="B909" s="6" t="str">
        <f>IFERROR(__xludf.DUMMYFUNCTION("""COMPUTED_VALUE"""),"ENG")</f>
        <v>ENG</v>
      </c>
      <c r="C909" s="6" t="str">
        <f>IFERROR(__xludf.DUMMYFUNCTION("""COMPUTED_VALUE"""),"O-53011-00")</f>
        <v>O-53011-00</v>
      </c>
      <c r="D909" s="6" t="str">
        <f>IFERROR(__xludf.DUMMYFUNCTION("""COMPUTED_VALUE"""),"Timer Digital LE8B-BF; Autonics; A01761;")</f>
        <v>Timer Digital LE8B-BF; Autonics; A01761;</v>
      </c>
      <c r="E909" s="6">
        <f>IFERROR(__xludf.DUMMYFUNCTION("""COMPUTED_VALUE"""),14.0)</f>
        <v>14</v>
      </c>
      <c r="F909" s="6">
        <f>IFERROR(__xludf.DUMMYFUNCTION("""COMPUTED_VALUE"""),14.0)</f>
        <v>14</v>
      </c>
      <c r="G909" s="6">
        <f>IFERROR(__xludf.DUMMYFUNCTION("""COMPUTED_VALUE"""),0.0)</f>
        <v>0</v>
      </c>
      <c r="H909" s="6" t="str">
        <f>IFERROR(__xludf.DUMMYFUNCTION("""COMPUTED_VALUE"""),"pcs")</f>
        <v>pcs</v>
      </c>
      <c r="I909" s="6" t="str">
        <f>IFERROR(__xludf.DUMMYFUNCTION("""COMPUTED_VALUE"""),"MFH")</f>
        <v>MFH</v>
      </c>
      <c r="J909" s="6" t="str">
        <f>IFERROR(__xludf.DUMMYFUNCTION("""COMPUTED_VALUE"""),"Passbox")</f>
        <v>Passbox</v>
      </c>
      <c r="K909" s="6" t="str">
        <f>IFERROR(__xludf.DUMMYFUNCTION("""COMPUTED_VALUE"""),"SPR/05/24/046")</f>
        <v>SPR/05/24/046</v>
      </c>
      <c r="L909" s="50">
        <f>IFERROR(__xludf.DUMMYFUNCTION("""COMPUTED_VALUE"""),45443.0)</f>
        <v>45443</v>
      </c>
    </row>
    <row r="910">
      <c r="A910" s="6" t="str">
        <f>IFERROR(__xludf.DUMMYFUNCTION("""COMPUTED_VALUE"""),"MOB")</f>
        <v>MOB</v>
      </c>
      <c r="B910" s="6" t="str">
        <f>IFERROR(__xludf.DUMMYFUNCTION("""COMPUTED_VALUE"""),"ENG")</f>
        <v>ENG</v>
      </c>
      <c r="C910" s="6" t="str">
        <f>IFERROR(__xludf.DUMMYFUNCTION("""COMPUTED_VALUE"""),"P-51736-00")</f>
        <v>P-51736-00</v>
      </c>
      <c r="D910" s="6" t="str">
        <f>IFERROR(__xludf.DUMMYFUNCTION("""COMPUTED_VALUE"""),"Kabel UTP isi 8 Cat 5e merk BELDEN; ; ;")</f>
        <v>Kabel UTP isi 8 Cat 5e merk BELDEN; ; ;</v>
      </c>
      <c r="E910" s="6">
        <f>IFERROR(__xludf.DUMMYFUNCTION("""COMPUTED_VALUE"""),1.0)</f>
        <v>1</v>
      </c>
      <c r="F910" s="6">
        <f>IFERROR(__xludf.DUMMYFUNCTION("""COMPUTED_VALUE"""),1.0)</f>
        <v>1</v>
      </c>
      <c r="G910" s="6">
        <f>IFERROR(__xludf.DUMMYFUNCTION("""COMPUTED_VALUE"""),0.0)</f>
        <v>0</v>
      </c>
      <c r="H910" s="6" t="str">
        <f>IFERROR(__xludf.DUMMYFUNCTION("""COMPUTED_VALUE"""),"pcs")</f>
        <v>pcs</v>
      </c>
      <c r="I910" s="6" t="str">
        <f>IFERROR(__xludf.DUMMYFUNCTION("""COMPUTED_VALUE"""),"MFH")</f>
        <v>MFH</v>
      </c>
      <c r="J910" s="6" t="str">
        <f>IFERROR(__xludf.DUMMYFUNCTION("""COMPUTED_VALUE"""),"Building")</f>
        <v>Building</v>
      </c>
      <c r="K910" s="6" t="str">
        <f>IFERROR(__xludf.DUMMYFUNCTION("""COMPUTED_VALUE"""),"SPR/05/24/047")</f>
        <v>SPR/05/24/047</v>
      </c>
      <c r="L910" s="50">
        <f>IFERROR(__xludf.DUMMYFUNCTION("""COMPUTED_VALUE"""),45443.0)</f>
        <v>45443</v>
      </c>
    </row>
    <row r="911">
      <c r="A911" s="6" t="str">
        <f>IFERROR(__xludf.DUMMYFUNCTION("""COMPUTED_VALUE"""),"INN")</f>
        <v>INN</v>
      </c>
      <c r="B911" s="6" t="str">
        <f>IFERROR(__xludf.DUMMYFUNCTION("""COMPUTED_VALUE"""),"ENG")</f>
        <v>ENG</v>
      </c>
      <c r="C911" s="6" t="str">
        <f>IFERROR(__xludf.DUMMYFUNCTION("""COMPUTED_VALUE"""),"O-19073-00")</f>
        <v>O-19073-00</v>
      </c>
      <c r="D911" s="6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E911" s="6">
        <f>IFERROR(__xludf.DUMMYFUNCTION("""COMPUTED_VALUE"""),1.0)</f>
        <v>1</v>
      </c>
      <c r="F911" s="6">
        <f>IFERROR(__xludf.DUMMYFUNCTION("""COMPUTED_VALUE"""),1.0)</f>
        <v>1</v>
      </c>
      <c r="G911" s="6">
        <f>IFERROR(__xludf.DUMMYFUNCTION("""COMPUTED_VALUE"""),0.0)</f>
        <v>0</v>
      </c>
      <c r="H911" s="6" t="str">
        <f>IFERROR(__xludf.DUMMYFUNCTION("""COMPUTED_VALUE"""),"pcs")</f>
        <v>pcs</v>
      </c>
      <c r="I911" s="6" t="str">
        <f>IFERROR(__xludf.DUMMYFUNCTION("""COMPUTED_VALUE"""),"MFH")</f>
        <v>MFH</v>
      </c>
      <c r="J911" s="6" t="str">
        <f>IFERROR(__xludf.DUMMYFUNCTION("""COMPUTED_VALUE"""),"cRABS")</f>
        <v>cRABS</v>
      </c>
      <c r="K911" s="6" t="str">
        <f>IFERROR(__xludf.DUMMYFUNCTION("""COMPUTED_VALUE"""),"SPR/05/24/048")</f>
        <v>SPR/05/24/048</v>
      </c>
      <c r="L911" s="50">
        <f>IFERROR(__xludf.DUMMYFUNCTION("""COMPUTED_VALUE"""),45443.0)</f>
        <v>45443</v>
      </c>
    </row>
    <row r="912">
      <c r="A912" s="6" t="str">
        <f>IFERROR(__xludf.DUMMYFUNCTION("""COMPUTED_VALUE"""),"INN")</f>
        <v>INN</v>
      </c>
      <c r="B912" s="6" t="str">
        <f>IFERROR(__xludf.DUMMYFUNCTION("""COMPUTED_VALUE"""),"ENG")</f>
        <v>ENG</v>
      </c>
      <c r="C912" s="6" t="str">
        <f>IFERROR(__xludf.DUMMYFUNCTION("""COMPUTED_VALUE"""),"O-19076-00")</f>
        <v>O-19076-00</v>
      </c>
      <c r="D912" s="6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E912" s="6">
        <f>IFERROR(__xludf.DUMMYFUNCTION("""COMPUTED_VALUE"""),1.0)</f>
        <v>1</v>
      </c>
      <c r="F912" s="6">
        <f>IFERROR(__xludf.DUMMYFUNCTION("""COMPUTED_VALUE"""),1.0)</f>
        <v>1</v>
      </c>
      <c r="G912" s="6">
        <f>IFERROR(__xludf.DUMMYFUNCTION("""COMPUTED_VALUE"""),0.0)</f>
        <v>0</v>
      </c>
      <c r="H912" s="6" t="str">
        <f>IFERROR(__xludf.DUMMYFUNCTION("""COMPUTED_VALUE"""),"pcs")</f>
        <v>pcs</v>
      </c>
      <c r="I912" s="6" t="str">
        <f>IFERROR(__xludf.DUMMYFUNCTION("""COMPUTED_VALUE"""),"MFH")</f>
        <v>MFH</v>
      </c>
      <c r="J912" s="6" t="str">
        <f>IFERROR(__xludf.DUMMYFUNCTION("""COMPUTED_VALUE"""),"cRABS")</f>
        <v>cRABS</v>
      </c>
      <c r="K912" s="6" t="str">
        <f>IFERROR(__xludf.DUMMYFUNCTION("""COMPUTED_VALUE"""),"SPR/05/24/048")</f>
        <v>SPR/05/24/048</v>
      </c>
      <c r="L912" s="50">
        <f>IFERROR(__xludf.DUMMYFUNCTION("""COMPUTED_VALUE"""),45443.0)</f>
        <v>45443</v>
      </c>
    </row>
    <row r="913">
      <c r="A913" s="6" t="str">
        <f>IFERROR(__xludf.DUMMYFUNCTION("""COMPUTED_VALUE"""),"INN")</f>
        <v>INN</v>
      </c>
      <c r="B913" s="6" t="str">
        <f>IFERROR(__xludf.DUMMYFUNCTION("""COMPUTED_VALUE"""),"ENG")</f>
        <v>ENG</v>
      </c>
      <c r="C913" s="6" t="str">
        <f>IFERROR(__xludf.DUMMYFUNCTION("""COMPUTED_VALUE"""),"O-19075-00")</f>
        <v>O-19075-00</v>
      </c>
      <c r="D913" s="6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E913" s="6">
        <f>IFERROR(__xludf.DUMMYFUNCTION("""COMPUTED_VALUE"""),1.0)</f>
        <v>1</v>
      </c>
      <c r="F913" s="6">
        <f>IFERROR(__xludf.DUMMYFUNCTION("""COMPUTED_VALUE"""),1.0)</f>
        <v>1</v>
      </c>
      <c r="G913" s="6">
        <f>IFERROR(__xludf.DUMMYFUNCTION("""COMPUTED_VALUE"""),0.0)</f>
        <v>0</v>
      </c>
      <c r="H913" s="6" t="str">
        <f>IFERROR(__xludf.DUMMYFUNCTION("""COMPUTED_VALUE"""),"pcs")</f>
        <v>pcs</v>
      </c>
      <c r="I913" s="6" t="str">
        <f>IFERROR(__xludf.DUMMYFUNCTION("""COMPUTED_VALUE"""),"MFH")</f>
        <v>MFH</v>
      </c>
      <c r="J913" s="6" t="str">
        <f>IFERROR(__xludf.DUMMYFUNCTION("""COMPUTED_VALUE"""),"cRABS")</f>
        <v>cRABS</v>
      </c>
      <c r="K913" s="6" t="str">
        <f>IFERROR(__xludf.DUMMYFUNCTION("""COMPUTED_VALUE"""),"SPR/05/24/048")</f>
        <v>SPR/05/24/048</v>
      </c>
      <c r="L913" s="50">
        <f>IFERROR(__xludf.DUMMYFUNCTION("""COMPUTED_VALUE"""),45443.0)</f>
        <v>45443</v>
      </c>
    </row>
    <row r="914">
      <c r="A914" s="6" t="str">
        <f>IFERROR(__xludf.DUMMYFUNCTION("""COMPUTED_VALUE"""),"INN")</f>
        <v>INN</v>
      </c>
      <c r="B914" s="6" t="str">
        <f>IFERROR(__xludf.DUMMYFUNCTION("""COMPUTED_VALUE"""),"ENG")</f>
        <v>ENG</v>
      </c>
      <c r="C914" s="6" t="str">
        <f>IFERROR(__xludf.DUMMYFUNCTION("""COMPUTED_VALUE"""),"O-19074-00")</f>
        <v>O-19074-00</v>
      </c>
      <c r="D914" s="6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E914" s="6">
        <f>IFERROR(__xludf.DUMMYFUNCTION("""COMPUTED_VALUE"""),1.0)</f>
        <v>1</v>
      </c>
      <c r="F914" s="6">
        <f>IFERROR(__xludf.DUMMYFUNCTION("""COMPUTED_VALUE"""),1.0)</f>
        <v>1</v>
      </c>
      <c r="G914" s="6">
        <f>IFERROR(__xludf.DUMMYFUNCTION("""COMPUTED_VALUE"""),0.0)</f>
        <v>0</v>
      </c>
      <c r="H914" s="6" t="str">
        <f>IFERROR(__xludf.DUMMYFUNCTION("""COMPUTED_VALUE"""),"pcs")</f>
        <v>pcs</v>
      </c>
      <c r="I914" s="6" t="str">
        <f>IFERROR(__xludf.DUMMYFUNCTION("""COMPUTED_VALUE"""),"MFH")</f>
        <v>MFH</v>
      </c>
      <c r="J914" s="6" t="str">
        <f>IFERROR(__xludf.DUMMYFUNCTION("""COMPUTED_VALUE"""),"cRABS")</f>
        <v>cRABS</v>
      </c>
      <c r="K914" s="6" t="str">
        <f>IFERROR(__xludf.DUMMYFUNCTION("""COMPUTED_VALUE"""),"SPR/05/24/049")</f>
        <v>SPR/05/24/049</v>
      </c>
      <c r="L914" s="50">
        <f>IFERROR(__xludf.DUMMYFUNCTION("""COMPUTED_VALUE"""),45443.0)</f>
        <v>45443</v>
      </c>
    </row>
    <row r="915">
      <c r="A915" s="6" t="str">
        <f>IFERROR(__xludf.DUMMYFUNCTION("""COMPUTED_VALUE"""),"INN")</f>
        <v>INN</v>
      </c>
      <c r="B915" s="6" t="str">
        <f>IFERROR(__xludf.DUMMYFUNCTION("""COMPUTED_VALUE"""),"ENG")</f>
        <v>ENG</v>
      </c>
      <c r="C915" s="6" t="str">
        <f>IFERROR(__xludf.DUMMYFUNCTION("""COMPUTED_VALUE"""),"O-19072-00")</f>
        <v>O-19072-00</v>
      </c>
      <c r="D915" s="6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E915" s="6">
        <f>IFERROR(__xludf.DUMMYFUNCTION("""COMPUTED_VALUE"""),1.0)</f>
        <v>1</v>
      </c>
      <c r="F915" s="6">
        <f>IFERROR(__xludf.DUMMYFUNCTION("""COMPUTED_VALUE"""),1.0)</f>
        <v>1</v>
      </c>
      <c r="G915" s="6">
        <f>IFERROR(__xludf.DUMMYFUNCTION("""COMPUTED_VALUE"""),0.0)</f>
        <v>0</v>
      </c>
      <c r="H915" s="6" t="str">
        <f>IFERROR(__xludf.DUMMYFUNCTION("""COMPUTED_VALUE"""),"pcs")</f>
        <v>pcs</v>
      </c>
      <c r="I915" s="6" t="str">
        <f>IFERROR(__xludf.DUMMYFUNCTION("""COMPUTED_VALUE"""),"MFH")</f>
        <v>MFH</v>
      </c>
      <c r="J915" s="6" t="str">
        <f>IFERROR(__xludf.DUMMYFUNCTION("""COMPUTED_VALUE"""),"cRABS")</f>
        <v>cRABS</v>
      </c>
      <c r="K915" s="6" t="str">
        <f>IFERROR(__xludf.DUMMYFUNCTION("""COMPUTED_VALUE"""),"SPR/05/24/049")</f>
        <v>SPR/05/24/049</v>
      </c>
      <c r="L915" s="50">
        <f>IFERROR(__xludf.DUMMYFUNCTION("""COMPUTED_VALUE"""),45443.0)</f>
        <v>45443</v>
      </c>
    </row>
    <row r="916">
      <c r="A916" s="6" t="str">
        <f>IFERROR(__xludf.DUMMYFUNCTION("""COMPUTED_VALUE"""),"AAA")</f>
        <v>AAA</v>
      </c>
      <c r="B916" s="6" t="str">
        <f>IFERROR(__xludf.DUMMYFUNCTION("""COMPUTED_VALUE"""),"ENG")</f>
        <v>ENG</v>
      </c>
      <c r="C916" s="6" t="str">
        <f>IFERROR(__xludf.DUMMYFUNCTION("""COMPUTED_VALUE"""),"O-54005-00")</f>
        <v>O-54005-00</v>
      </c>
      <c r="D916" s="6" t="str">
        <f>IFERROR(__xludf.DUMMYFUNCTION("""COMPUTED_VALUE"""),"LAMPU UV 15 WATT, OSRAM - Sesuai gambar pada Attachment")</f>
        <v>LAMPU UV 15 WATT, OSRAM - Sesuai gambar pada Attachment</v>
      </c>
      <c r="E916" s="6">
        <f>IFERROR(__xludf.DUMMYFUNCTION("""COMPUTED_VALUE"""),1.0)</f>
        <v>1</v>
      </c>
      <c r="F916" s="6">
        <f>IFERROR(__xludf.DUMMYFUNCTION("""COMPUTED_VALUE"""),1.0)</f>
        <v>1</v>
      </c>
      <c r="G916" s="6">
        <f>IFERROR(__xludf.DUMMYFUNCTION("""COMPUTED_VALUE"""),0.0)</f>
        <v>0</v>
      </c>
      <c r="H916" s="6" t="str">
        <f>IFERROR(__xludf.DUMMYFUNCTION("""COMPUTED_VALUE"""),"pcs")</f>
        <v>pcs</v>
      </c>
      <c r="I916" s="6" t="str">
        <f>IFERROR(__xludf.DUMMYFUNCTION("""COMPUTED_VALUE"""),"MFH")</f>
        <v>MFH</v>
      </c>
      <c r="J916" s="6" t="str">
        <f>IFERROR(__xludf.DUMMYFUNCTION("""COMPUTED_VALUE"""),"Passbox")</f>
        <v>Passbox</v>
      </c>
      <c r="K916" s="6" t="str">
        <f>IFERROR(__xludf.DUMMYFUNCTION("""COMPUTED_VALUE"""),"SPR/05/24/050")</f>
        <v>SPR/05/24/050</v>
      </c>
      <c r="L916" s="50">
        <f>IFERROR(__xludf.DUMMYFUNCTION("""COMPUTED_VALUE"""),45443.0)</f>
        <v>45443</v>
      </c>
    </row>
    <row r="917">
      <c r="A917" s="6" t="str">
        <f>IFERROR(__xludf.DUMMYFUNCTION("""COMPUTED_VALUE"""),"SFH")</f>
        <v>SFH</v>
      </c>
      <c r="B917" s="6" t="str">
        <f>IFERROR(__xludf.DUMMYFUNCTION("""COMPUTED_VALUE"""),"ENG")</f>
        <v>ENG</v>
      </c>
      <c r="C917" s="6" t="str">
        <f>IFERROR(__xludf.DUMMYFUNCTION("""COMPUTED_VALUE"""),"P-51560-00")</f>
        <v>P-51560-00</v>
      </c>
      <c r="D917" s="6" t="str">
        <f>IFERROR(__xludf.DUMMYFUNCTION("""COMPUTED_VALUE"""),"Lampu T5 28watt Putih; Phillips; ;")</f>
        <v>Lampu T5 28watt Putih; Phillips; ;</v>
      </c>
      <c r="E917" s="6">
        <f>IFERROR(__xludf.DUMMYFUNCTION("""COMPUTED_VALUE"""),3.0)</f>
        <v>3</v>
      </c>
      <c r="F917" s="6">
        <f>IFERROR(__xludf.DUMMYFUNCTION("""COMPUTED_VALUE"""),3.0)</f>
        <v>3</v>
      </c>
      <c r="G917" s="6">
        <f>IFERROR(__xludf.DUMMYFUNCTION("""COMPUTED_VALUE"""),0.0)</f>
        <v>0</v>
      </c>
      <c r="H917" s="6" t="str">
        <f>IFERROR(__xludf.DUMMYFUNCTION("""COMPUTED_VALUE"""),"pcs")</f>
        <v>pcs</v>
      </c>
      <c r="I917" s="6" t="str">
        <f>IFERROR(__xludf.DUMMYFUNCTION("""COMPUTED_VALUE"""),"MFH")</f>
        <v>MFH</v>
      </c>
      <c r="J917" s="6" t="str">
        <f>IFERROR(__xludf.DUMMYFUNCTION("""COMPUTED_VALUE"""),"Building")</f>
        <v>Building</v>
      </c>
      <c r="K917" s="6" t="str">
        <f>IFERROR(__xludf.DUMMYFUNCTION("""COMPUTED_VALUE"""),"SPR/05/24/051")</f>
        <v>SPR/05/24/051</v>
      </c>
      <c r="L917" s="50">
        <f>IFERROR(__xludf.DUMMYFUNCTION("""COMPUTED_VALUE"""),45443.0)</f>
        <v>45443</v>
      </c>
    </row>
    <row r="918">
      <c r="A918" s="6" t="str">
        <f>IFERROR(__xludf.DUMMYFUNCTION("""COMPUTED_VALUE"""),"SFH")</f>
        <v>SFH</v>
      </c>
      <c r="B918" s="6" t="str">
        <f>IFERROR(__xludf.DUMMYFUNCTION("""COMPUTED_VALUE"""),"ENG")</f>
        <v>ENG</v>
      </c>
      <c r="C918" s="6" t="str">
        <f>IFERROR(__xludf.DUMMYFUNCTION("""COMPUTED_VALUE"""),"P-51559-00")</f>
        <v>P-51559-00</v>
      </c>
      <c r="D918" s="6" t="str">
        <f>IFERROR(__xludf.DUMMYFUNCTION("""COMPUTED_VALUE"""),"Lampu T5 14watt Putih; Phillips; ;")</f>
        <v>Lampu T5 14watt Putih; Phillips; ;</v>
      </c>
      <c r="E918" s="6">
        <f>IFERROR(__xludf.DUMMYFUNCTION("""COMPUTED_VALUE"""),4.0)</f>
        <v>4</v>
      </c>
      <c r="F918" s="6">
        <f>IFERROR(__xludf.DUMMYFUNCTION("""COMPUTED_VALUE"""),4.0)</f>
        <v>4</v>
      </c>
      <c r="G918" s="6">
        <f>IFERROR(__xludf.DUMMYFUNCTION("""COMPUTED_VALUE"""),0.0)</f>
        <v>0</v>
      </c>
      <c r="H918" s="6" t="str">
        <f>IFERROR(__xludf.DUMMYFUNCTION("""COMPUTED_VALUE"""),"pcs")</f>
        <v>pcs</v>
      </c>
      <c r="I918" s="6" t="str">
        <f>IFERROR(__xludf.DUMMYFUNCTION("""COMPUTED_VALUE"""),"MFH")</f>
        <v>MFH</v>
      </c>
      <c r="J918" s="6" t="str">
        <f>IFERROR(__xludf.DUMMYFUNCTION("""COMPUTED_VALUE"""),"Building")</f>
        <v>Building</v>
      </c>
      <c r="K918" s="6" t="str">
        <f>IFERROR(__xludf.DUMMYFUNCTION("""COMPUTED_VALUE"""),"SPR/05/24/051")</f>
        <v>SPR/05/24/051</v>
      </c>
      <c r="L918" s="50">
        <f>IFERROR(__xludf.DUMMYFUNCTION("""COMPUTED_VALUE"""),45443.0)</f>
        <v>45443</v>
      </c>
    </row>
    <row r="919">
      <c r="A919" s="6" t="str">
        <f>IFERROR(__xludf.DUMMYFUNCTION("""COMPUTED_VALUE"""),"INN")</f>
        <v>INN</v>
      </c>
      <c r="B919" s="6" t="str">
        <f>IFERROR(__xludf.DUMMYFUNCTION("""COMPUTED_VALUE"""),"ENG")</f>
        <v>ENG</v>
      </c>
      <c r="C919" s="6" t="str">
        <f>IFERROR(__xludf.DUMMYFUNCTION("""COMPUTED_VALUE"""),"O-17842-00")</f>
        <v>O-17842-00</v>
      </c>
      <c r="D919" s="6" t="str">
        <f>IFERROR(__xludf.DUMMYFUNCTION("""COMPUTED_VALUE"""),"Membrane Diaphragm Valve EPDM DN 25 p/n: 600 25M 17 Gemu; ; ;")</f>
        <v>Membrane Diaphragm Valve EPDM DN 25 p/n: 600 25M 17 Gemu; ; ;</v>
      </c>
      <c r="E919" s="6">
        <f>IFERROR(__xludf.DUMMYFUNCTION("""COMPUTED_VALUE"""),1.0)</f>
        <v>1</v>
      </c>
      <c r="F919" s="6">
        <f>IFERROR(__xludf.DUMMYFUNCTION("""COMPUTED_VALUE"""),1.0)</f>
        <v>1</v>
      </c>
      <c r="G919" s="6">
        <f>IFERROR(__xludf.DUMMYFUNCTION("""COMPUTED_VALUE"""),0.0)</f>
        <v>0</v>
      </c>
      <c r="H919" s="6" t="str">
        <f>IFERROR(__xludf.DUMMYFUNCTION("""COMPUTED_VALUE"""),"pcs")</f>
        <v>pcs</v>
      </c>
      <c r="I919" s="6" t="str">
        <f>IFERROR(__xludf.DUMMYFUNCTION("""COMPUTED_VALUE"""),"MFH")</f>
        <v>MFH</v>
      </c>
      <c r="J919" s="6" t="str">
        <f>IFERROR(__xludf.DUMMYFUNCTION("""COMPUTED_VALUE"""),"SND")</f>
        <v>SND</v>
      </c>
      <c r="K919" s="6" t="str">
        <f>IFERROR(__xludf.DUMMYFUNCTION("""COMPUTED_VALUE"""),"SPR/06/24/001")</f>
        <v>SPR/06/24/001</v>
      </c>
      <c r="L919" s="13">
        <f>IFERROR(__xludf.DUMMYFUNCTION("""COMPUTED_VALUE"""),45472.0)</f>
        <v>45472</v>
      </c>
    </row>
    <row r="920">
      <c r="A920" s="6" t="str">
        <f>IFERROR(__xludf.DUMMYFUNCTION("""COMPUTED_VALUE"""),"ANO")</f>
        <v>ANO</v>
      </c>
      <c r="B920" s="6" t="str">
        <f>IFERROR(__xludf.DUMMYFUNCTION("""COMPUTED_VALUE"""),"ENG")</f>
        <v>ENG</v>
      </c>
      <c r="C920" s="6" t="str">
        <f>IFERROR(__xludf.DUMMYFUNCTION("""COMPUTED_VALUE"""),"Q-60503-00")</f>
        <v>Q-60503-00</v>
      </c>
      <c r="D920" s="6" t="str">
        <f>IFERROR(__xludf.DUMMYFUNCTION("""COMPUTED_VALUE"""),"Silicone Sealant, Silglaze, Type N10 Grey, pack size per pcs")</f>
        <v>Silicone Sealant, Silglaze, Type N10 Grey, pack size per pcs</v>
      </c>
      <c r="E920" s="6">
        <f>IFERROR(__xludf.DUMMYFUNCTION("""COMPUTED_VALUE"""),2.0)</f>
        <v>2</v>
      </c>
      <c r="F920" s="6">
        <f>IFERROR(__xludf.DUMMYFUNCTION("""COMPUTED_VALUE"""),2.0)</f>
        <v>2</v>
      </c>
      <c r="G920" s="6">
        <f>IFERROR(__xludf.DUMMYFUNCTION("""COMPUTED_VALUE"""),0.0)</f>
        <v>0</v>
      </c>
      <c r="H920" s="6" t="str">
        <f>IFERROR(__xludf.DUMMYFUNCTION("""COMPUTED_VALUE"""),"pcs")</f>
        <v>pcs</v>
      </c>
      <c r="I920" s="6" t="str">
        <f>IFERROR(__xludf.DUMMYFUNCTION("""COMPUTED_VALUE"""),"MFH")</f>
        <v>MFH</v>
      </c>
      <c r="J920" s="6" t="str">
        <f>IFERROR(__xludf.DUMMYFUNCTION("""COMPUTED_VALUE"""),"Washing")</f>
        <v>Washing</v>
      </c>
      <c r="K920" s="6" t="str">
        <f>IFERROR(__xludf.DUMMYFUNCTION("""COMPUTED_VALUE"""),"SPR/06/24/002")</f>
        <v>SPR/06/24/002</v>
      </c>
      <c r="L920" s="13">
        <f>IFERROR(__xludf.DUMMYFUNCTION("""COMPUTED_VALUE"""),45472.0)</f>
        <v>45472</v>
      </c>
    </row>
    <row r="921">
      <c r="A921" s="6" t="str">
        <f>IFERROR(__xludf.DUMMYFUNCTION("""COMPUTED_VALUE"""),"ANO")</f>
        <v>ANO</v>
      </c>
      <c r="B921" s="6" t="str">
        <f>IFERROR(__xludf.DUMMYFUNCTION("""COMPUTED_VALUE"""),"ENG")</f>
        <v>ENG</v>
      </c>
      <c r="C921" s="6" t="str">
        <f>IFERROR(__xludf.DUMMYFUNCTION("""COMPUTED_VALUE"""),"S-40011-00")</f>
        <v>S-40011-00</v>
      </c>
      <c r="D921" s="6" t="str">
        <f>IFERROR(__xludf.DUMMYFUNCTION("""COMPUTED_VALUE"""),"Battery Lithium 3,6 V LS 14250, Shaft")</f>
        <v>Battery Lithium 3,6 V LS 14250, Shaft</v>
      </c>
      <c r="E921" s="6">
        <f>IFERROR(__xludf.DUMMYFUNCTION("""COMPUTED_VALUE"""),1.0)</f>
        <v>1</v>
      </c>
      <c r="F921" s="6">
        <f>IFERROR(__xludf.DUMMYFUNCTION("""COMPUTED_VALUE"""),1.0)</f>
        <v>1</v>
      </c>
      <c r="G921" s="6">
        <f>IFERROR(__xludf.DUMMYFUNCTION("""COMPUTED_VALUE"""),0.0)</f>
        <v>0</v>
      </c>
      <c r="H921" s="6" t="str">
        <f>IFERROR(__xludf.DUMMYFUNCTION("""COMPUTED_VALUE"""),"pcs")</f>
        <v>pcs</v>
      </c>
      <c r="I921" s="6" t="str">
        <f>IFERROR(__xludf.DUMMYFUNCTION("""COMPUTED_VALUE"""),"MFH")</f>
        <v>MFH</v>
      </c>
      <c r="J921" s="6" t="str">
        <f>IFERROR(__xludf.DUMMYFUNCTION("""COMPUTED_VALUE"""),"HC")</f>
        <v>HC</v>
      </c>
      <c r="K921" s="6" t="str">
        <f>IFERROR(__xludf.DUMMYFUNCTION("""COMPUTED_VALUE"""),"SPR/06/24/002")</f>
        <v>SPR/06/24/002</v>
      </c>
      <c r="L921" s="13">
        <f>IFERROR(__xludf.DUMMYFUNCTION("""COMPUTED_VALUE"""),45472.0)</f>
        <v>45472</v>
      </c>
    </row>
    <row r="922">
      <c r="A922" s="6" t="str">
        <f>IFERROR(__xludf.DUMMYFUNCTION("""COMPUTED_VALUE"""),"MRN")</f>
        <v>MRN</v>
      </c>
      <c r="B922" s="6" t="str">
        <f>IFERROR(__xludf.DUMMYFUNCTION("""COMPUTED_VALUE"""),"ENG")</f>
        <v>ENG</v>
      </c>
      <c r="C922" s="6" t="str">
        <f>IFERROR(__xludf.DUMMYFUNCTION("""COMPUTED_VALUE"""),"-")</f>
        <v>-</v>
      </c>
      <c r="D922" s="6" t="str">
        <f>IFERROR(__xludf.DUMMYFUNCTION("""COMPUTED_VALUE"""),"Tee PVC 2x1 Inch")</f>
        <v>Tee PVC 2x1 Inch</v>
      </c>
      <c r="E922" s="6">
        <f>IFERROR(__xludf.DUMMYFUNCTION("""COMPUTED_VALUE"""),1.0)</f>
        <v>1</v>
      </c>
      <c r="F922" s="6">
        <f>IFERROR(__xludf.DUMMYFUNCTION("""COMPUTED_VALUE"""),1.0)</f>
        <v>1</v>
      </c>
      <c r="G922" s="6">
        <f>IFERROR(__xludf.DUMMYFUNCTION("""COMPUTED_VALUE"""),0.0)</f>
        <v>0</v>
      </c>
      <c r="H922" s="6" t="str">
        <f>IFERROR(__xludf.DUMMYFUNCTION("""COMPUTED_VALUE"""),"pcs")</f>
        <v>pcs</v>
      </c>
      <c r="I922" s="6" t="str">
        <f>IFERROR(__xludf.DUMMYFUNCTION("""COMPUTED_VALUE"""),"MFH")</f>
        <v>MFH</v>
      </c>
      <c r="J922" s="6" t="str">
        <f>IFERROR(__xludf.DUMMYFUNCTION("""COMPUTED_VALUE"""),"Cooling Water")</f>
        <v>Cooling Water</v>
      </c>
      <c r="K922" s="6" t="str">
        <f>IFERROR(__xludf.DUMMYFUNCTION("""COMPUTED_VALUE"""),"SPR/06/24/003")</f>
        <v>SPR/06/24/003</v>
      </c>
      <c r="L922" s="13">
        <f>IFERROR(__xludf.DUMMYFUNCTION("""COMPUTED_VALUE"""),45472.0)</f>
        <v>45472</v>
      </c>
    </row>
    <row r="923">
      <c r="A923" s="6" t="str">
        <f>IFERROR(__xludf.DUMMYFUNCTION("""COMPUTED_VALUE"""),"MRN")</f>
        <v>MRN</v>
      </c>
      <c r="B923" s="6" t="str">
        <f>IFERROR(__xludf.DUMMYFUNCTION("""COMPUTED_VALUE"""),"ENG")</f>
        <v>ENG</v>
      </c>
      <c r="C923" s="6" t="str">
        <f>IFERROR(__xludf.DUMMYFUNCTION("""COMPUTED_VALUE"""),"P-13384-00")</f>
        <v>P-13384-00</v>
      </c>
      <c r="D923" s="6" t="str">
        <f>IFERROR(__xludf.DUMMYFUNCTION("""COMPUTED_VALUE"""),"Sok Drat Luar 2"" Pvc Rucika")</f>
        <v>Sok Drat Luar 2" Pvc Rucika</v>
      </c>
      <c r="E923" s="6">
        <f>IFERROR(__xludf.DUMMYFUNCTION("""COMPUTED_VALUE"""),2.0)</f>
        <v>2</v>
      </c>
      <c r="F923" s="6">
        <f>IFERROR(__xludf.DUMMYFUNCTION("""COMPUTED_VALUE"""),2.0)</f>
        <v>2</v>
      </c>
      <c r="G923" s="6">
        <f>IFERROR(__xludf.DUMMYFUNCTION("""COMPUTED_VALUE"""),0.0)</f>
        <v>0</v>
      </c>
      <c r="H923" s="6" t="str">
        <f>IFERROR(__xludf.DUMMYFUNCTION("""COMPUTED_VALUE"""),"pcs")</f>
        <v>pcs</v>
      </c>
      <c r="I923" s="6" t="str">
        <f>IFERROR(__xludf.DUMMYFUNCTION("""COMPUTED_VALUE"""),"MFH")</f>
        <v>MFH</v>
      </c>
      <c r="J923" s="6" t="str">
        <f>IFERROR(__xludf.DUMMYFUNCTION("""COMPUTED_VALUE"""),"Cooling Water")</f>
        <v>Cooling Water</v>
      </c>
      <c r="K923" s="6" t="str">
        <f>IFERROR(__xludf.DUMMYFUNCTION("""COMPUTED_VALUE"""),"SPR/06/24/003")</f>
        <v>SPR/06/24/003</v>
      </c>
      <c r="L923" s="13">
        <f>IFERROR(__xludf.DUMMYFUNCTION("""COMPUTED_VALUE"""),45472.0)</f>
        <v>45472</v>
      </c>
    </row>
    <row r="924">
      <c r="A924" s="6" t="str">
        <f>IFERROR(__xludf.DUMMYFUNCTION("""COMPUTED_VALUE"""),"TKA")</f>
        <v>TKA</v>
      </c>
      <c r="B924" s="6" t="str">
        <f>IFERROR(__xludf.DUMMYFUNCTION("""COMPUTED_VALUE"""),"ENG")</f>
        <v>ENG</v>
      </c>
      <c r="C924" s="6" t="str">
        <f>IFERROR(__xludf.DUMMYFUNCTION("""COMPUTED_VALUE"""),"T-20123-00")</f>
        <v>T-20123-00</v>
      </c>
      <c r="D924" s="6" t="str">
        <f>IFERROR(__xludf.DUMMYFUNCTION("""COMPUTED_VALUE"""),"Acquity PDA/TUV 2489/2998 Perf")</f>
        <v>Acquity PDA/TUV 2489/2998 Perf</v>
      </c>
      <c r="E924" s="6">
        <f>IFERROR(__xludf.DUMMYFUNCTION("""COMPUTED_VALUE"""),2.0)</f>
        <v>2</v>
      </c>
      <c r="F924" s="6">
        <f>IFERROR(__xludf.DUMMYFUNCTION("""COMPUTED_VALUE"""),2.0)</f>
        <v>2</v>
      </c>
      <c r="G924" s="6">
        <f>IFERROR(__xludf.DUMMYFUNCTION("""COMPUTED_VALUE"""),0.0)</f>
        <v>0</v>
      </c>
      <c r="H924" s="6" t="str">
        <f>IFERROR(__xludf.DUMMYFUNCTION("""COMPUTED_VALUE"""),"pcs")</f>
        <v>pcs</v>
      </c>
      <c r="I924" s="6" t="str">
        <f>IFERROR(__xludf.DUMMYFUNCTION("""COMPUTED_VALUE"""),"MFH")</f>
        <v>MFH</v>
      </c>
      <c r="J924" s="6" t="str">
        <f>IFERROR(__xludf.DUMMYFUNCTION("""COMPUTED_VALUE"""),"HPLC")</f>
        <v>HPLC</v>
      </c>
      <c r="K924" s="6" t="str">
        <f>IFERROR(__xludf.DUMMYFUNCTION("""COMPUTED_VALUE"""),"SPR/06/24/004")</f>
        <v>SPR/06/24/004</v>
      </c>
      <c r="L924" s="13">
        <f>IFERROR(__xludf.DUMMYFUNCTION("""COMPUTED_VALUE"""),45472.0)</f>
        <v>45472</v>
      </c>
    </row>
    <row r="925">
      <c r="A925" s="6" t="str">
        <f>IFERROR(__xludf.DUMMYFUNCTION("""COMPUTED_VALUE"""),"MOB")</f>
        <v>MOB</v>
      </c>
      <c r="B925" s="6" t="str">
        <f>IFERROR(__xludf.DUMMYFUNCTION("""COMPUTED_VALUE"""),"ENG")</f>
        <v>ENG</v>
      </c>
      <c r="C925" s="6" t="str">
        <f>IFERROR(__xludf.DUMMYFUNCTION("""COMPUTED_VALUE"""),"P-14424-00")</f>
        <v>P-14424-00</v>
      </c>
      <c r="D925" s="6" t="str">
        <f>IFERROR(__xludf.DUMMYFUNCTION("""COMPUTED_VALUE"""),"Garam Kutreat RGN-9800F; ; ; 25Kg/zak")</f>
        <v>Garam Kutreat RGN-9800F; ; ; 25Kg/zak</v>
      </c>
      <c r="E925" s="6">
        <f>IFERROR(__xludf.DUMMYFUNCTION("""COMPUTED_VALUE"""),25.0)</f>
        <v>25</v>
      </c>
      <c r="F925" s="6">
        <f>IFERROR(__xludf.DUMMYFUNCTION("""COMPUTED_VALUE"""),25.0)</f>
        <v>25</v>
      </c>
      <c r="G925" s="6">
        <f>IFERROR(__xludf.DUMMYFUNCTION("""COMPUTED_VALUE"""),0.0)</f>
        <v>0</v>
      </c>
      <c r="H925" s="6" t="str">
        <f>IFERROR(__xludf.DUMMYFUNCTION("""COMPUTED_VALUE"""),"pcs")</f>
        <v>pcs</v>
      </c>
      <c r="I925" s="6" t="str">
        <f>IFERROR(__xludf.DUMMYFUNCTION("""COMPUTED_VALUE"""),"MFH")</f>
        <v>MFH</v>
      </c>
      <c r="J925" s="6" t="str">
        <f>IFERROR(__xludf.DUMMYFUNCTION("""COMPUTED_VALUE"""),"PWG")</f>
        <v>PWG</v>
      </c>
      <c r="K925" s="6" t="str">
        <f>IFERROR(__xludf.DUMMYFUNCTION("""COMPUTED_VALUE"""),"SPR/06/24/005")</f>
        <v>SPR/06/24/005</v>
      </c>
      <c r="L925" s="13">
        <f>IFERROR(__xludf.DUMMYFUNCTION("""COMPUTED_VALUE"""),45472.0)</f>
        <v>45472</v>
      </c>
    </row>
    <row r="926">
      <c r="A926" s="6" t="str">
        <f>IFERROR(__xludf.DUMMYFUNCTION("""COMPUTED_VALUE"""),"MOB")</f>
        <v>MOB</v>
      </c>
      <c r="B926" s="6" t="str">
        <f>IFERROR(__xludf.DUMMYFUNCTION("""COMPUTED_VALUE"""),"ENG")</f>
        <v>ENG</v>
      </c>
      <c r="C926" s="6" t="str">
        <f>IFERROR(__xludf.DUMMYFUNCTION("""COMPUTED_VALUE"""),"O-13508-00")</f>
        <v>O-13508-00</v>
      </c>
      <c r="D926" s="6" t="str">
        <f>IFERROR(__xludf.DUMMYFUNCTION("""COMPUTED_VALUE"""),"Pneumatic Fitting - QS 8-6 FESTO P/N : - pc")</f>
        <v>Pneumatic Fitting - QS 8-6 FESTO P/N : - pc</v>
      </c>
      <c r="E926" s="6">
        <f>IFERROR(__xludf.DUMMYFUNCTION("""COMPUTED_VALUE"""),2.0)</f>
        <v>2</v>
      </c>
      <c r="F926" s="6">
        <f>IFERROR(__xludf.DUMMYFUNCTION("""COMPUTED_VALUE"""),2.0)</f>
        <v>2</v>
      </c>
      <c r="G926" s="6">
        <f>IFERROR(__xludf.DUMMYFUNCTION("""COMPUTED_VALUE"""),0.0)</f>
        <v>0</v>
      </c>
      <c r="H926" s="6" t="str">
        <f>IFERROR(__xludf.DUMMYFUNCTION("""COMPUTED_VALUE"""),"pcs")</f>
        <v>pcs</v>
      </c>
      <c r="I926" s="6" t="str">
        <f>IFERROR(__xludf.DUMMYFUNCTION("""COMPUTED_VALUE"""),"MFH")</f>
        <v>MFH</v>
      </c>
      <c r="J926" s="6" t="str">
        <f>IFERROR(__xludf.DUMMYFUNCTION("""COMPUTED_VALUE"""),"-")</f>
        <v>-</v>
      </c>
      <c r="K926" s="6" t="str">
        <f>IFERROR(__xludf.DUMMYFUNCTION("""COMPUTED_VALUE"""),"SPR/06/24/006")</f>
        <v>SPR/06/24/006</v>
      </c>
      <c r="L926" s="13">
        <f>IFERROR(__xludf.DUMMYFUNCTION("""COMPUTED_VALUE"""),45472.0)</f>
        <v>45472</v>
      </c>
    </row>
    <row r="927">
      <c r="A927" s="6" t="str">
        <f>IFERROR(__xludf.DUMMYFUNCTION("""COMPUTED_VALUE"""),"MOB")</f>
        <v>MOB</v>
      </c>
      <c r="B927" s="6" t="str">
        <f>IFERROR(__xludf.DUMMYFUNCTION("""COMPUTED_VALUE"""),"ENG")</f>
        <v>ENG</v>
      </c>
      <c r="C927" s="6" t="str">
        <f>IFERROR(__xludf.DUMMYFUNCTION("""COMPUTED_VALUE"""),"P-12306-00")</f>
        <v>P-12306-00</v>
      </c>
      <c r="D927" s="6" t="str">
        <f>IFERROR(__xludf.DUMMYFUNCTION("""COMPUTED_VALUE"""),"FESTO - QST-8 push in t- connection p/n 153130")</f>
        <v>FESTO - QST-8 push in t- connection p/n 153130</v>
      </c>
      <c r="E927" s="6">
        <f>IFERROR(__xludf.DUMMYFUNCTION("""COMPUTED_VALUE"""),1.0)</f>
        <v>1</v>
      </c>
      <c r="F927" s="6">
        <f>IFERROR(__xludf.DUMMYFUNCTION("""COMPUTED_VALUE"""),1.0)</f>
        <v>1</v>
      </c>
      <c r="G927" s="6">
        <f>IFERROR(__xludf.DUMMYFUNCTION("""COMPUTED_VALUE"""),0.0)</f>
        <v>0</v>
      </c>
      <c r="H927" s="6" t="str">
        <f>IFERROR(__xludf.DUMMYFUNCTION("""COMPUTED_VALUE"""),"pcs")</f>
        <v>pcs</v>
      </c>
      <c r="I927" s="6" t="str">
        <f>IFERROR(__xludf.DUMMYFUNCTION("""COMPUTED_VALUE"""),"MFH")</f>
        <v>MFH</v>
      </c>
      <c r="J927" s="6" t="str">
        <f>IFERROR(__xludf.DUMMYFUNCTION("""COMPUTED_VALUE"""),"-")</f>
        <v>-</v>
      </c>
      <c r="K927" s="6" t="str">
        <f>IFERROR(__xludf.DUMMYFUNCTION("""COMPUTED_VALUE"""),"SPR/06/24/006")</f>
        <v>SPR/06/24/006</v>
      </c>
      <c r="L927" s="13">
        <f>IFERROR(__xludf.DUMMYFUNCTION("""COMPUTED_VALUE"""),45472.0)</f>
        <v>45472</v>
      </c>
    </row>
    <row r="928">
      <c r="A928" s="6" t="str">
        <f>IFERROR(__xludf.DUMMYFUNCTION("""COMPUTED_VALUE"""),"RIA")</f>
        <v>RIA</v>
      </c>
      <c r="B928" s="6" t="str">
        <f>IFERROR(__xludf.DUMMYFUNCTION("""COMPUTED_VALUE"""),"ENG")</f>
        <v>ENG</v>
      </c>
      <c r="C928" s="6" t="str">
        <f>IFERROR(__xludf.DUMMYFUNCTION("""COMPUTED_VALUE"""),"P-12764-00")</f>
        <v>P-12764-00</v>
      </c>
      <c r="D928" s="6" t="str">
        <f>IFERROR(__xludf.DUMMYFUNCTION("""COMPUTED_VALUE"""),"Silicone gasket for ferrule dia 1/2inch Taiwan")</f>
        <v>Silicone gasket for ferrule dia 1/2inch Taiwan</v>
      </c>
      <c r="E928" s="6">
        <f>IFERROR(__xludf.DUMMYFUNCTION("""COMPUTED_VALUE"""),2.0)</f>
        <v>2</v>
      </c>
      <c r="F928" s="6">
        <f>IFERROR(__xludf.DUMMYFUNCTION("""COMPUTED_VALUE"""),2.0)</f>
        <v>2</v>
      </c>
      <c r="G928" s="6">
        <f>IFERROR(__xludf.DUMMYFUNCTION("""COMPUTED_VALUE"""),0.0)</f>
        <v>0</v>
      </c>
      <c r="H928" s="6" t="str">
        <f>IFERROR(__xludf.DUMMYFUNCTION("""COMPUTED_VALUE"""),"pcs")</f>
        <v>pcs</v>
      </c>
      <c r="I928" s="6" t="str">
        <f>IFERROR(__xludf.DUMMYFUNCTION("""COMPUTED_VALUE"""),"MFH")</f>
        <v>MFH</v>
      </c>
      <c r="J928" s="6" t="str">
        <f>IFERROR(__xludf.DUMMYFUNCTION("""COMPUTED_VALUE"""),"OSD")</f>
        <v>OSD</v>
      </c>
      <c r="K928" s="6" t="str">
        <f>IFERROR(__xludf.DUMMYFUNCTION("""COMPUTED_VALUE"""),"SPR/06/24/007")</f>
        <v>SPR/06/24/007</v>
      </c>
      <c r="L928" s="13">
        <f>IFERROR(__xludf.DUMMYFUNCTION("""COMPUTED_VALUE"""),45472.0)</f>
        <v>45472</v>
      </c>
    </row>
    <row r="929">
      <c r="A929" s="6" t="str">
        <f>IFERROR(__xludf.DUMMYFUNCTION("""COMPUTED_VALUE"""),"RIA")</f>
        <v>RIA</v>
      </c>
      <c r="B929" s="6" t="str">
        <f>IFERROR(__xludf.DUMMYFUNCTION("""COMPUTED_VALUE"""),"ENG")</f>
        <v>ENG</v>
      </c>
      <c r="C929" s="6" t="str">
        <f>IFERROR(__xludf.DUMMYFUNCTION("""COMPUTED_VALUE"""),"O-54014-00")</f>
        <v>O-54014-00</v>
      </c>
      <c r="D929" s="6" t="str">
        <f>IFERROR(__xludf.DUMMYFUNCTION("""COMPUTED_VALUE"""),"STEKER 1 PHASE, BROCO")</f>
        <v>STEKER 1 PHASE, BROCO</v>
      </c>
      <c r="E929" s="6">
        <f>IFERROR(__xludf.DUMMYFUNCTION("""COMPUTED_VALUE"""),1.0)</f>
        <v>1</v>
      </c>
      <c r="F929" s="6">
        <f>IFERROR(__xludf.DUMMYFUNCTION("""COMPUTED_VALUE"""),1.0)</f>
        <v>1</v>
      </c>
      <c r="G929" s="6">
        <f>IFERROR(__xludf.DUMMYFUNCTION("""COMPUTED_VALUE"""),0.0)</f>
        <v>0</v>
      </c>
      <c r="H929" s="6" t="str">
        <f>IFERROR(__xludf.DUMMYFUNCTION("""COMPUTED_VALUE"""),"pcs")</f>
        <v>pcs</v>
      </c>
      <c r="I929" s="6" t="str">
        <f>IFERROR(__xludf.DUMMYFUNCTION("""COMPUTED_VALUE"""),"MFH")</f>
        <v>MFH</v>
      </c>
      <c r="J929" s="6" t="str">
        <f>IFERROR(__xludf.DUMMYFUNCTION("""COMPUTED_VALUE"""),"OSD")</f>
        <v>OSD</v>
      </c>
      <c r="K929" s="6" t="str">
        <f>IFERROR(__xludf.DUMMYFUNCTION("""COMPUTED_VALUE"""),"SPR/06/24/007")</f>
        <v>SPR/06/24/007</v>
      </c>
      <c r="L929" s="13">
        <f>IFERROR(__xludf.DUMMYFUNCTION("""COMPUTED_VALUE"""),45472.0)</f>
        <v>45472</v>
      </c>
    </row>
    <row r="930">
      <c r="A930" s="6" t="str">
        <f>IFERROR(__xludf.DUMMYFUNCTION("""COMPUTED_VALUE"""),"ANO")</f>
        <v>ANO</v>
      </c>
      <c r="B930" s="6" t="str">
        <f>IFERROR(__xludf.DUMMYFUNCTION("""COMPUTED_VALUE"""),"ENG")</f>
        <v>ENG</v>
      </c>
      <c r="C930" s="6" t="str">
        <f>IFERROR(__xludf.DUMMYFUNCTION("""COMPUTED_VALUE"""),"O-16647-00")</f>
        <v>O-16647-00</v>
      </c>
      <c r="D930" s="6" t="str">
        <f>IFERROR(__xludf.DUMMYFUNCTION("""COMPUTED_VALUE"""),"Washing RAR4 - Oring Silicone Merah 23x18x2.5 mm; ; ;")</f>
        <v>Washing RAR4 - Oring Silicone Merah 23x18x2.5 mm; ; ;</v>
      </c>
      <c r="E930" s="6">
        <f>IFERROR(__xludf.DUMMYFUNCTION("""COMPUTED_VALUE"""),10.0)</f>
        <v>10</v>
      </c>
      <c r="F930" s="6">
        <f>IFERROR(__xludf.DUMMYFUNCTION("""COMPUTED_VALUE"""),10.0)</f>
        <v>10</v>
      </c>
      <c r="G930" s="6">
        <f>IFERROR(__xludf.DUMMYFUNCTION("""COMPUTED_VALUE"""),0.0)</f>
        <v>0</v>
      </c>
      <c r="H930" s="6" t="str">
        <f>IFERROR(__xludf.DUMMYFUNCTION("""COMPUTED_VALUE"""),"pcs")</f>
        <v>pcs</v>
      </c>
      <c r="I930" s="6" t="str">
        <f>IFERROR(__xludf.DUMMYFUNCTION("""COMPUTED_VALUE"""),"MFH")</f>
        <v>MFH</v>
      </c>
      <c r="J930" s="6" t="str">
        <f>IFERROR(__xludf.DUMMYFUNCTION("""COMPUTED_VALUE"""),"Capping")</f>
        <v>Capping</v>
      </c>
      <c r="K930" s="6" t="str">
        <f>IFERROR(__xludf.DUMMYFUNCTION("""COMPUTED_VALUE"""),"SPR/06/24/008")</f>
        <v>SPR/06/24/008</v>
      </c>
      <c r="L930" s="13">
        <f>IFERROR(__xludf.DUMMYFUNCTION("""COMPUTED_VALUE"""),45472.0)</f>
        <v>45472</v>
      </c>
    </row>
    <row r="931">
      <c r="A931" s="6" t="str">
        <f>IFERROR(__xludf.DUMMYFUNCTION("""COMPUTED_VALUE"""),"ANO")</f>
        <v>ANO</v>
      </c>
      <c r="B931" s="6" t="str">
        <f>IFERROR(__xludf.DUMMYFUNCTION("""COMPUTED_VALUE"""),"ENG")</f>
        <v>ENG</v>
      </c>
      <c r="C931" s="6" t="str">
        <f>IFERROR(__xludf.DUMMYFUNCTION("""COMPUTED_VALUE"""),"P-12305-00")</f>
        <v>P-12305-00</v>
      </c>
      <c r="D931" s="6" t="str">
        <f>IFERROR(__xludf.DUMMYFUNCTION("""COMPUTED_VALUE"""),"FESTO - QST-6 Push in t-connection p/n 153129")</f>
        <v>FESTO - QST-6 Push in t-connection p/n 153129</v>
      </c>
      <c r="E931" s="6">
        <f>IFERROR(__xludf.DUMMYFUNCTION("""COMPUTED_VALUE"""),1.0)</f>
        <v>1</v>
      </c>
      <c r="F931" s="6">
        <f>IFERROR(__xludf.DUMMYFUNCTION("""COMPUTED_VALUE"""),1.0)</f>
        <v>1</v>
      </c>
      <c r="G931" s="6">
        <f>IFERROR(__xludf.DUMMYFUNCTION("""COMPUTED_VALUE"""),0.0)</f>
        <v>0</v>
      </c>
      <c r="H931" s="6" t="str">
        <f>IFERROR(__xludf.DUMMYFUNCTION("""COMPUTED_VALUE"""),"pcs")</f>
        <v>pcs</v>
      </c>
      <c r="I931" s="6" t="str">
        <f>IFERROR(__xludf.DUMMYFUNCTION("""COMPUTED_VALUE"""),"MFH")</f>
        <v>MFH</v>
      </c>
      <c r="J931" s="6" t="str">
        <f>IFERROR(__xludf.DUMMYFUNCTION("""COMPUTED_VALUE"""),"Tabletting")</f>
        <v>Tabletting</v>
      </c>
      <c r="K931" s="6" t="str">
        <f>IFERROR(__xludf.DUMMYFUNCTION("""COMPUTED_VALUE"""),"SPR/06/24/008")</f>
        <v>SPR/06/24/008</v>
      </c>
      <c r="L931" s="13">
        <f>IFERROR(__xludf.DUMMYFUNCTION("""COMPUTED_VALUE"""),45472.0)</f>
        <v>45472</v>
      </c>
    </row>
    <row r="932">
      <c r="A932" s="6" t="str">
        <f>IFERROR(__xludf.DUMMYFUNCTION("""COMPUTED_VALUE"""),"ANO")</f>
        <v>ANO</v>
      </c>
      <c r="B932" s="6" t="str">
        <f>IFERROR(__xludf.DUMMYFUNCTION("""COMPUTED_VALUE"""),"ENG")</f>
        <v>ENG</v>
      </c>
      <c r="C932" s="6" t="str">
        <f>IFERROR(__xludf.DUMMYFUNCTION("""COMPUTED_VALUE"""),"P-13389-00")</f>
        <v>P-13389-00</v>
      </c>
      <c r="D932" s="6" t="str">
        <f>IFERROR(__xludf.DUMMYFUNCTION("""COMPUTED_VALUE"""),"Scotch Brite 3M; ; ;")</f>
        <v>Scotch Brite 3M; ; ;</v>
      </c>
      <c r="E932" s="6">
        <f>IFERROR(__xludf.DUMMYFUNCTION("""COMPUTED_VALUE"""),1.0)</f>
        <v>1</v>
      </c>
      <c r="F932" s="6">
        <f>IFERROR(__xludf.DUMMYFUNCTION("""COMPUTED_VALUE"""),1.0)</f>
        <v>1</v>
      </c>
      <c r="G932" s="6">
        <f>IFERROR(__xludf.DUMMYFUNCTION("""COMPUTED_VALUE"""),0.0)</f>
        <v>0</v>
      </c>
      <c r="H932" s="6" t="str">
        <f>IFERROR(__xludf.DUMMYFUNCTION("""COMPUTED_VALUE"""),"pcs")</f>
        <v>pcs</v>
      </c>
      <c r="I932" s="6" t="str">
        <f>IFERROR(__xludf.DUMMYFUNCTION("""COMPUTED_VALUE"""),"MFH")</f>
        <v>MFH</v>
      </c>
      <c r="J932" s="6" t="str">
        <f>IFERROR(__xludf.DUMMYFUNCTION("""COMPUTED_VALUE"""),"-")</f>
        <v>-</v>
      </c>
      <c r="K932" s="6" t="str">
        <f>IFERROR(__xludf.DUMMYFUNCTION("""COMPUTED_VALUE"""),"SPR/06/24/008")</f>
        <v>SPR/06/24/008</v>
      </c>
      <c r="L932" s="13">
        <f>IFERROR(__xludf.DUMMYFUNCTION("""COMPUTED_VALUE"""),45472.0)</f>
        <v>45472</v>
      </c>
    </row>
    <row r="933">
      <c r="A933" s="6" t="str">
        <f>IFERROR(__xludf.DUMMYFUNCTION("""COMPUTED_VALUE"""),"MOB")</f>
        <v>MOB</v>
      </c>
      <c r="B933" s="6" t="str">
        <f>IFERROR(__xludf.DUMMYFUNCTION("""COMPUTED_VALUE"""),"ENG")</f>
        <v>ENG</v>
      </c>
      <c r="C933" s="6" t="str">
        <f>IFERROR(__xludf.DUMMYFUNCTION("""COMPUTED_VALUE"""),"P-51889-00")</f>
        <v>P-51889-00</v>
      </c>
      <c r="D933" s="6" t="str">
        <f>IFERROR(__xludf.DUMMYFUNCTION("""COMPUTED_VALUE"""),"Autonics - Power Supply SPA-050-24VDC; ; ;")</f>
        <v>Autonics - Power Supply SPA-050-24VDC; ; ;</v>
      </c>
      <c r="E933" s="6">
        <f>IFERROR(__xludf.DUMMYFUNCTION("""COMPUTED_VALUE"""),1.0)</f>
        <v>1</v>
      </c>
      <c r="F933" s="6">
        <f>IFERROR(__xludf.DUMMYFUNCTION("""COMPUTED_VALUE"""),1.0)</f>
        <v>1</v>
      </c>
      <c r="G933" s="6">
        <f>IFERROR(__xludf.DUMMYFUNCTION("""COMPUTED_VALUE"""),0.0)</f>
        <v>0</v>
      </c>
      <c r="H933" s="6" t="str">
        <f>IFERROR(__xludf.DUMMYFUNCTION("""COMPUTED_VALUE"""),"pcs")</f>
        <v>pcs</v>
      </c>
      <c r="I933" s="6" t="str">
        <f>IFERROR(__xludf.DUMMYFUNCTION("""COMPUTED_VALUE"""),"MFH")</f>
        <v>MFH</v>
      </c>
      <c r="J933" s="6" t="str">
        <f>IFERROR(__xludf.DUMMYFUNCTION("""COMPUTED_VALUE"""),"Mixing")</f>
        <v>Mixing</v>
      </c>
      <c r="K933" s="6" t="str">
        <f>IFERROR(__xludf.DUMMYFUNCTION("""COMPUTED_VALUE"""),"SPR/06/24/009")</f>
        <v>SPR/06/24/009</v>
      </c>
      <c r="L933" s="13">
        <f>IFERROR(__xludf.DUMMYFUNCTION("""COMPUTED_VALUE"""),45472.0)</f>
        <v>45472</v>
      </c>
    </row>
    <row r="934">
      <c r="A934" s="6" t="str">
        <f>IFERROR(__xludf.DUMMYFUNCTION("""COMPUTED_VALUE"""),"MBN")</f>
        <v>MBN</v>
      </c>
      <c r="B934" s="6" t="str">
        <f>IFERROR(__xludf.DUMMYFUNCTION("""COMPUTED_VALUE"""),"PRO")</f>
        <v>PRO</v>
      </c>
      <c r="C934" s="6" t="str">
        <f>IFERROR(__xludf.DUMMYFUNCTION("""COMPUTED_VALUE"""),"Q-10249-00")</f>
        <v>Q-10249-00</v>
      </c>
      <c r="D934" s="6" t="str">
        <f>IFERROR(__xludf.DUMMYFUNCTION("""COMPUTED_VALUE"""),"Lem Power Glue; ; ;")</f>
        <v>Lem Power Glue; ; ;</v>
      </c>
      <c r="E934" s="6">
        <f>IFERROR(__xludf.DUMMYFUNCTION("""COMPUTED_VALUE"""),3.0)</f>
        <v>3</v>
      </c>
      <c r="F934" s="6">
        <f>IFERROR(__xludf.DUMMYFUNCTION("""COMPUTED_VALUE"""),3.0)</f>
        <v>3</v>
      </c>
      <c r="G934" s="6">
        <f>IFERROR(__xludf.DUMMYFUNCTION("""COMPUTED_VALUE"""),0.0)</f>
        <v>0</v>
      </c>
      <c r="H934" s="6" t="str">
        <f>IFERROR(__xludf.DUMMYFUNCTION("""COMPUTED_VALUE"""),"pcs")</f>
        <v>pcs</v>
      </c>
      <c r="I934" s="6" t="str">
        <f>IFERROR(__xludf.DUMMYFUNCTION("""COMPUTED_VALUE"""),"MFH")</f>
        <v>MFH</v>
      </c>
      <c r="J934" s="6" t="str">
        <f>IFERROR(__xludf.DUMMYFUNCTION("""COMPUTED_VALUE"""),"OSD")</f>
        <v>OSD</v>
      </c>
      <c r="K934" s="6" t="str">
        <f>IFERROR(__xludf.DUMMYFUNCTION("""COMPUTED_VALUE"""),"SPR/06/24/010")</f>
        <v>SPR/06/24/010</v>
      </c>
      <c r="L934" s="13">
        <f>IFERROR(__xludf.DUMMYFUNCTION("""COMPUTED_VALUE"""),45472.0)</f>
        <v>45472</v>
      </c>
    </row>
    <row r="935">
      <c r="A935" s="6" t="str">
        <f>IFERROR(__xludf.DUMMYFUNCTION("""COMPUTED_VALUE"""),"MBN")</f>
        <v>MBN</v>
      </c>
      <c r="B935" s="6" t="str">
        <f>IFERROR(__xludf.DUMMYFUNCTION("""COMPUTED_VALUE"""),"PRO")</f>
        <v>PRO</v>
      </c>
      <c r="C935" s="6" t="str">
        <f>IFERROR(__xludf.DUMMYFUNCTION("""COMPUTED_VALUE"""),"Q-60026-00")</f>
        <v>Q-60026-00</v>
      </c>
      <c r="D935" s="6" t="str">
        <f>IFERROR(__xludf.DUMMYFUNCTION("""COMPUTED_VALUE"""),"Kuas 2"" Eterna")</f>
        <v>Kuas 2" Eterna</v>
      </c>
      <c r="E935" s="6">
        <f>IFERROR(__xludf.DUMMYFUNCTION("""COMPUTED_VALUE"""),1.0)</f>
        <v>1</v>
      </c>
      <c r="F935" s="6">
        <f>IFERROR(__xludf.DUMMYFUNCTION("""COMPUTED_VALUE"""),1.0)</f>
        <v>1</v>
      </c>
      <c r="G935" s="6">
        <f>IFERROR(__xludf.DUMMYFUNCTION("""COMPUTED_VALUE"""),0.0)</f>
        <v>0</v>
      </c>
      <c r="H935" s="6" t="str">
        <f>IFERROR(__xludf.DUMMYFUNCTION("""COMPUTED_VALUE"""),"pcs")</f>
        <v>pcs</v>
      </c>
      <c r="I935" s="6" t="str">
        <f>IFERROR(__xludf.DUMMYFUNCTION("""COMPUTED_VALUE"""),"MFH")</f>
        <v>MFH</v>
      </c>
      <c r="J935" s="6" t="str">
        <f>IFERROR(__xludf.DUMMYFUNCTION("""COMPUTED_VALUE"""),"OSD")</f>
        <v>OSD</v>
      </c>
      <c r="K935" s="6" t="str">
        <f>IFERROR(__xludf.DUMMYFUNCTION("""COMPUTED_VALUE"""),"SPR/06/24/010")</f>
        <v>SPR/06/24/010</v>
      </c>
      <c r="L935" s="13">
        <f>IFERROR(__xludf.DUMMYFUNCTION("""COMPUTED_VALUE"""),45472.0)</f>
        <v>45472</v>
      </c>
    </row>
    <row r="936">
      <c r="A936" s="6" t="str">
        <f>IFERROR(__xludf.DUMMYFUNCTION("""COMPUTED_VALUE"""),"RIA")</f>
        <v>RIA</v>
      </c>
      <c r="B936" s="6" t="str">
        <f>IFERROR(__xludf.DUMMYFUNCTION("""COMPUTED_VALUE"""),"ENG")</f>
        <v>ENG</v>
      </c>
      <c r="C936" s="6" t="str">
        <f>IFERROR(__xludf.DUMMYFUNCTION("""COMPUTED_VALUE"""),"Q-60026-00")</f>
        <v>Q-60026-00</v>
      </c>
      <c r="D936" s="6" t="str">
        <f>IFERROR(__xludf.DUMMYFUNCTION("""COMPUTED_VALUE"""),"Kuas 2"" Eterna")</f>
        <v>Kuas 2" Eterna</v>
      </c>
      <c r="E936" s="6">
        <f>IFERROR(__xludf.DUMMYFUNCTION("""COMPUTED_VALUE"""),1.0)</f>
        <v>1</v>
      </c>
      <c r="F936" s="6">
        <f>IFERROR(__xludf.DUMMYFUNCTION("""COMPUTED_VALUE"""),1.0)</f>
        <v>1</v>
      </c>
      <c r="G936" s="6">
        <f>IFERROR(__xludf.DUMMYFUNCTION("""COMPUTED_VALUE"""),0.0)</f>
        <v>0</v>
      </c>
      <c r="H936" s="6" t="str">
        <f>IFERROR(__xludf.DUMMYFUNCTION("""COMPUTED_VALUE"""),"pcs")</f>
        <v>pcs</v>
      </c>
      <c r="I936" s="6" t="str">
        <f>IFERROR(__xludf.DUMMYFUNCTION("""COMPUTED_VALUE"""),"MFH")</f>
        <v>MFH</v>
      </c>
      <c r="J936" s="6" t="str">
        <f>IFERROR(__xludf.DUMMYFUNCTION("""COMPUTED_VALUE"""),"OSD")</f>
        <v>OSD</v>
      </c>
      <c r="K936" s="6" t="str">
        <f>IFERROR(__xludf.DUMMYFUNCTION("""COMPUTED_VALUE"""),"SPR/06/24/011")</f>
        <v>SPR/06/24/011</v>
      </c>
      <c r="L936" s="13">
        <f>IFERROR(__xludf.DUMMYFUNCTION("""COMPUTED_VALUE"""),45472.0)</f>
        <v>45472</v>
      </c>
    </row>
    <row r="937">
      <c r="A937" s="6" t="str">
        <f>IFERROR(__xludf.DUMMYFUNCTION("""COMPUTED_VALUE"""),"RIA")</f>
        <v>RIA</v>
      </c>
      <c r="B937" s="6" t="str">
        <f>IFERROR(__xludf.DUMMYFUNCTION("""COMPUTED_VALUE"""),"ENG")</f>
        <v>ENG</v>
      </c>
      <c r="C937" s="6" t="str">
        <f>IFERROR(__xludf.DUMMYFUNCTION("""COMPUTED_VALUE"""),"S-11816-00")</f>
        <v>S-11816-00</v>
      </c>
      <c r="D937" s="6" t="str">
        <f>IFERROR(__xludf.DUMMYFUNCTION("""COMPUTED_VALUE"""),"Cable Ties Nylon reusable (Colour Black) Lenght 20cm; ; ;")</f>
        <v>Cable Ties Nylon reusable (Colour Black) Lenght 20cm; ; ;</v>
      </c>
      <c r="E937" s="6">
        <f>IFERROR(__xludf.DUMMYFUNCTION("""COMPUTED_VALUE"""),1.0)</f>
        <v>1</v>
      </c>
      <c r="F937" s="6">
        <f>IFERROR(__xludf.DUMMYFUNCTION("""COMPUTED_VALUE"""),1.0)</f>
        <v>1</v>
      </c>
      <c r="G937" s="6">
        <f>IFERROR(__xludf.DUMMYFUNCTION("""COMPUTED_VALUE"""),0.0)</f>
        <v>0</v>
      </c>
      <c r="H937" s="6" t="str">
        <f>IFERROR(__xludf.DUMMYFUNCTION("""COMPUTED_VALUE"""),"pcs")</f>
        <v>pcs</v>
      </c>
      <c r="I937" s="6" t="str">
        <f>IFERROR(__xludf.DUMMYFUNCTION("""COMPUTED_VALUE"""),"MFH")</f>
        <v>MFH</v>
      </c>
      <c r="J937" s="6" t="str">
        <f>IFERROR(__xludf.DUMMYFUNCTION("""COMPUTED_VALUE"""),"OSD")</f>
        <v>OSD</v>
      </c>
      <c r="K937" s="6" t="str">
        <f>IFERROR(__xludf.DUMMYFUNCTION("""COMPUTED_VALUE"""),"SPR/06/24/011")</f>
        <v>SPR/06/24/011</v>
      </c>
      <c r="L937" s="13">
        <f>IFERROR(__xludf.DUMMYFUNCTION("""COMPUTED_VALUE"""),45472.0)</f>
        <v>45472</v>
      </c>
    </row>
    <row r="938">
      <c r="A938" s="6" t="str">
        <f>IFERROR(__xludf.DUMMYFUNCTION("""COMPUTED_VALUE"""),"MOB")</f>
        <v>MOB</v>
      </c>
      <c r="B938" s="6" t="str">
        <f>IFERROR(__xludf.DUMMYFUNCTION("""COMPUTED_VALUE"""),"ENG")</f>
        <v>ENG</v>
      </c>
      <c r="C938" s="6" t="str">
        <f>IFERROR(__xludf.DUMMYFUNCTION("""COMPUTED_VALUE"""),"P-15862-00")</f>
        <v>P-15862-00</v>
      </c>
      <c r="D938" s="6" t="str">
        <f>IFERROR(__xludf.DUMMYFUNCTION("""COMPUTED_VALUE"""),"PAPER RECORD YOKOGAWA; FOLDING CHART B9565AW")</f>
        <v>PAPER RECORD YOKOGAWA; FOLDING CHART B9565AW</v>
      </c>
      <c r="E938" s="6">
        <f>IFERROR(__xludf.DUMMYFUNCTION("""COMPUTED_VALUE"""),1.0)</f>
        <v>1</v>
      </c>
      <c r="F938" s="6">
        <f>IFERROR(__xludf.DUMMYFUNCTION("""COMPUTED_VALUE"""),1.0)</f>
        <v>1</v>
      </c>
      <c r="G938" s="6">
        <f>IFERROR(__xludf.DUMMYFUNCTION("""COMPUTED_VALUE"""),0.0)</f>
        <v>0</v>
      </c>
      <c r="H938" s="6" t="str">
        <f>IFERROR(__xludf.DUMMYFUNCTION("""COMPUTED_VALUE"""),"pcs")</f>
        <v>pcs</v>
      </c>
      <c r="I938" s="6" t="str">
        <f>IFERROR(__xludf.DUMMYFUNCTION("""COMPUTED_VALUE"""),"MFH")</f>
        <v>MFH</v>
      </c>
      <c r="J938" s="6" t="str">
        <f>IFERROR(__xludf.DUMMYFUNCTION("""COMPUTED_VALUE"""),"WFI SKID")</f>
        <v>WFI SKID</v>
      </c>
      <c r="K938" s="6" t="str">
        <f>IFERROR(__xludf.DUMMYFUNCTION("""COMPUTED_VALUE"""),"SPR/06/24/012")</f>
        <v>SPR/06/24/012</v>
      </c>
      <c r="L938" s="13">
        <f>IFERROR(__xludf.DUMMYFUNCTION("""COMPUTED_VALUE"""),45472.0)</f>
        <v>45472</v>
      </c>
    </row>
    <row r="939">
      <c r="A939" s="6" t="str">
        <f>IFERROR(__xludf.DUMMYFUNCTION("""COMPUTED_VALUE"""),"MOB")</f>
        <v>MOB</v>
      </c>
      <c r="B939" s="6" t="str">
        <f>IFERROR(__xludf.DUMMYFUNCTION("""COMPUTED_VALUE"""),"ENG")</f>
        <v>ENG</v>
      </c>
      <c r="C939" s="6" t="str">
        <f>IFERROR(__xludf.DUMMYFUNCTION("""COMPUTED_VALUE"""),"P-51736-00")</f>
        <v>P-51736-00</v>
      </c>
      <c r="D939" s="6" t="str">
        <f>IFERROR(__xludf.DUMMYFUNCTION("""COMPUTED_VALUE"""),"Kabel UTP isi 8 Cat 5e merk BELDEN")</f>
        <v>Kabel UTP isi 8 Cat 5e merk BELDEN</v>
      </c>
      <c r="E939" s="6">
        <f>IFERROR(__xludf.DUMMYFUNCTION("""COMPUTED_VALUE"""),1.0)</f>
        <v>1</v>
      </c>
      <c r="F939" s="6">
        <f>IFERROR(__xludf.DUMMYFUNCTION("""COMPUTED_VALUE"""),1.0)</f>
        <v>1</v>
      </c>
      <c r="G939" s="6">
        <f>IFERROR(__xludf.DUMMYFUNCTION("""COMPUTED_VALUE"""),0.0)</f>
        <v>0</v>
      </c>
      <c r="H939" s="6" t="str">
        <f>IFERROR(__xludf.DUMMYFUNCTION("""COMPUTED_VALUE"""),"pcs")</f>
        <v>pcs</v>
      </c>
      <c r="I939" s="6" t="str">
        <f>IFERROR(__xludf.DUMMYFUNCTION("""COMPUTED_VALUE"""),"MFH")</f>
        <v>MFH</v>
      </c>
      <c r="J939" s="6" t="str">
        <f>IFERROR(__xludf.DUMMYFUNCTION("""COMPUTED_VALUE"""),"OSD")</f>
        <v>OSD</v>
      </c>
      <c r="K939" s="6" t="str">
        <f>IFERROR(__xludf.DUMMYFUNCTION("""COMPUTED_VALUE"""),"SPR/06/24/012")</f>
        <v>SPR/06/24/012</v>
      </c>
      <c r="L939" s="13">
        <f>IFERROR(__xludf.DUMMYFUNCTION("""COMPUTED_VALUE"""),45472.0)</f>
        <v>45472</v>
      </c>
    </row>
    <row r="940">
      <c r="A940" s="6" t="str">
        <f>IFERROR(__xludf.DUMMYFUNCTION("""COMPUTED_VALUE"""),"MOB")</f>
        <v>MOB</v>
      </c>
      <c r="B940" s="6" t="str">
        <f>IFERROR(__xludf.DUMMYFUNCTION("""COMPUTED_VALUE"""),"ENG")</f>
        <v>ENG</v>
      </c>
      <c r="C940" s="6" t="str">
        <f>IFERROR(__xludf.DUMMYFUNCTION("""COMPUTED_VALUE"""),"O-54013-00")</f>
        <v>O-54013-00</v>
      </c>
      <c r="D940" s="6" t="str">
        <f>IFERROR(__xludf.DUMMYFUNCTION("""COMPUTED_VALUE"""),"SOCKET RJ 45 CAT 5")</f>
        <v>SOCKET RJ 45 CAT 5</v>
      </c>
      <c r="E940" s="6">
        <f>IFERROR(__xludf.DUMMYFUNCTION("""COMPUTED_VALUE"""),2.0)</f>
        <v>2</v>
      </c>
      <c r="F940" s="6">
        <f>IFERROR(__xludf.DUMMYFUNCTION("""COMPUTED_VALUE"""),2.0)</f>
        <v>2</v>
      </c>
      <c r="G940" s="6">
        <f>IFERROR(__xludf.DUMMYFUNCTION("""COMPUTED_VALUE"""),0.0)</f>
        <v>0</v>
      </c>
      <c r="H940" s="6" t="str">
        <f>IFERROR(__xludf.DUMMYFUNCTION("""COMPUTED_VALUE"""),"pcs")</f>
        <v>pcs</v>
      </c>
      <c r="I940" s="6" t="str">
        <f>IFERROR(__xludf.DUMMYFUNCTION("""COMPUTED_VALUE"""),"MFH")</f>
        <v>MFH</v>
      </c>
      <c r="J940" s="6" t="str">
        <f>IFERROR(__xludf.DUMMYFUNCTION("""COMPUTED_VALUE"""),"OSD")</f>
        <v>OSD</v>
      </c>
      <c r="K940" s="6" t="str">
        <f>IFERROR(__xludf.DUMMYFUNCTION("""COMPUTED_VALUE"""),"SPR/06/24/012")</f>
        <v>SPR/06/24/012</v>
      </c>
      <c r="L940" s="13">
        <f>IFERROR(__xludf.DUMMYFUNCTION("""COMPUTED_VALUE"""),45472.0)</f>
        <v>45472</v>
      </c>
    </row>
    <row r="941">
      <c r="A941" s="6" t="str">
        <f>IFERROR(__xludf.DUMMYFUNCTION("""COMPUTED_VALUE"""),"SFH")</f>
        <v>SFH</v>
      </c>
      <c r="B941" s="6" t="str">
        <f>IFERROR(__xludf.DUMMYFUNCTION("""COMPUTED_VALUE"""),"ENG")</f>
        <v>ENG</v>
      </c>
      <c r="C941" s="6" t="str">
        <f>IFERROR(__xludf.DUMMYFUNCTION("""COMPUTED_VALUE"""),"P-51560-00")</f>
        <v>P-51560-00</v>
      </c>
      <c r="D941" s="6" t="str">
        <f>IFERROR(__xludf.DUMMYFUNCTION("""COMPUTED_VALUE"""),"Lampu T5 28watt Putih; Phillips; ;")</f>
        <v>Lampu T5 28watt Putih; Phillips; ;</v>
      </c>
      <c r="E941" s="6">
        <f>IFERROR(__xludf.DUMMYFUNCTION("""COMPUTED_VALUE"""),6.0)</f>
        <v>6</v>
      </c>
      <c r="F941" s="6">
        <f>IFERROR(__xludf.DUMMYFUNCTION("""COMPUTED_VALUE"""),6.0)</f>
        <v>6</v>
      </c>
      <c r="G941" s="6">
        <f>IFERROR(__xludf.DUMMYFUNCTION("""COMPUTED_VALUE"""),0.0)</f>
        <v>0</v>
      </c>
      <c r="H941" s="6" t="str">
        <f>IFERROR(__xludf.DUMMYFUNCTION("""COMPUTED_VALUE"""),"pcs")</f>
        <v>pcs</v>
      </c>
      <c r="I941" s="6" t="str">
        <f>IFERROR(__xludf.DUMMYFUNCTION("""COMPUTED_VALUE"""),"MFH")</f>
        <v>MFH</v>
      </c>
      <c r="J941" s="6" t="str">
        <f>IFERROR(__xludf.DUMMYFUNCTION("""COMPUTED_VALUE"""),"Building")</f>
        <v>Building</v>
      </c>
      <c r="K941" s="6" t="str">
        <f>IFERROR(__xludf.DUMMYFUNCTION("""COMPUTED_VALUE"""),"SPR/06/24/013")</f>
        <v>SPR/06/24/013</v>
      </c>
      <c r="L941" s="13">
        <f>IFERROR(__xludf.DUMMYFUNCTION("""COMPUTED_VALUE"""),45472.0)</f>
        <v>45472</v>
      </c>
    </row>
    <row r="942">
      <c r="A942" s="6" t="str">
        <f>IFERROR(__xludf.DUMMYFUNCTION("""COMPUTED_VALUE"""),"SFH")</f>
        <v>SFH</v>
      </c>
      <c r="B942" s="6" t="str">
        <f>IFERROR(__xludf.DUMMYFUNCTION("""COMPUTED_VALUE"""),"ENG")</f>
        <v>ENG</v>
      </c>
      <c r="C942" s="6" t="str">
        <f>IFERROR(__xludf.DUMMYFUNCTION("""COMPUTED_VALUE"""),"P-51559-00")</f>
        <v>P-51559-00</v>
      </c>
      <c r="D942" s="6" t="str">
        <f>IFERROR(__xludf.DUMMYFUNCTION("""COMPUTED_VALUE"""),"Lampu T5 14watt Putih; Phillips; ;")</f>
        <v>Lampu T5 14watt Putih; Phillips; ;</v>
      </c>
      <c r="E942" s="6">
        <f>IFERROR(__xludf.DUMMYFUNCTION("""COMPUTED_VALUE"""),5.0)</f>
        <v>5</v>
      </c>
      <c r="F942" s="6">
        <f>IFERROR(__xludf.DUMMYFUNCTION("""COMPUTED_VALUE"""),5.0)</f>
        <v>5</v>
      </c>
      <c r="G942" s="6">
        <f>IFERROR(__xludf.DUMMYFUNCTION("""COMPUTED_VALUE"""),0.0)</f>
        <v>0</v>
      </c>
      <c r="H942" s="6" t="str">
        <f>IFERROR(__xludf.DUMMYFUNCTION("""COMPUTED_VALUE"""),"pcs")</f>
        <v>pcs</v>
      </c>
      <c r="I942" s="6" t="str">
        <f>IFERROR(__xludf.DUMMYFUNCTION("""COMPUTED_VALUE"""),"MFH")</f>
        <v>MFH</v>
      </c>
      <c r="J942" s="6" t="str">
        <f>IFERROR(__xludf.DUMMYFUNCTION("""COMPUTED_VALUE"""),"Building")</f>
        <v>Building</v>
      </c>
      <c r="K942" s="6" t="str">
        <f>IFERROR(__xludf.DUMMYFUNCTION("""COMPUTED_VALUE"""),"SPR/06/24/014")</f>
        <v>SPR/06/24/014</v>
      </c>
      <c r="L942" s="13">
        <f>IFERROR(__xludf.DUMMYFUNCTION("""COMPUTED_VALUE"""),45472.0)</f>
        <v>45472</v>
      </c>
    </row>
    <row r="943">
      <c r="A943" s="6" t="str">
        <f>IFERROR(__xludf.DUMMYFUNCTION("""COMPUTED_VALUE"""),"SFH")</f>
        <v>SFH</v>
      </c>
      <c r="B943" s="6" t="str">
        <f>IFERROR(__xludf.DUMMYFUNCTION("""COMPUTED_VALUE"""),"ENG")</f>
        <v>ENG</v>
      </c>
      <c r="C943" s="6" t="str">
        <f>IFERROR(__xludf.DUMMYFUNCTION("""COMPUTED_VALUE"""),"Q-60026-00")</f>
        <v>Q-60026-00</v>
      </c>
      <c r="D943" s="6" t="str">
        <f>IFERROR(__xludf.DUMMYFUNCTION("""COMPUTED_VALUE"""),"Kuas 2"" Eterna")</f>
        <v>Kuas 2" Eterna</v>
      </c>
      <c r="E943" s="6">
        <f>IFERROR(__xludf.DUMMYFUNCTION("""COMPUTED_VALUE"""),1.0)</f>
        <v>1</v>
      </c>
      <c r="F943" s="6">
        <f>IFERROR(__xludf.DUMMYFUNCTION("""COMPUTED_VALUE"""),1.0)</f>
        <v>1</v>
      </c>
      <c r="G943" s="6">
        <f>IFERROR(__xludf.DUMMYFUNCTION("""COMPUTED_VALUE"""),0.0)</f>
        <v>0</v>
      </c>
      <c r="H943" s="6" t="str">
        <f>IFERROR(__xludf.DUMMYFUNCTION("""COMPUTED_VALUE"""),"pcs")</f>
        <v>pcs</v>
      </c>
      <c r="I943" s="6" t="str">
        <f>IFERROR(__xludf.DUMMYFUNCTION("""COMPUTED_VALUE"""),"MFH")</f>
        <v>MFH</v>
      </c>
      <c r="J943" s="6" t="str">
        <f>IFERROR(__xludf.DUMMYFUNCTION("""COMPUTED_VALUE"""),"-")</f>
        <v>-</v>
      </c>
      <c r="K943" s="6" t="str">
        <f>IFERROR(__xludf.DUMMYFUNCTION("""COMPUTED_VALUE"""),"SPR/06/24/014")</f>
        <v>SPR/06/24/014</v>
      </c>
      <c r="L943" s="13">
        <f>IFERROR(__xludf.DUMMYFUNCTION("""COMPUTED_VALUE"""),45472.0)</f>
        <v>45472</v>
      </c>
    </row>
    <row r="944">
      <c r="A944" s="6" t="str">
        <f>IFERROR(__xludf.DUMMYFUNCTION("""COMPUTED_VALUE"""),"SFH")</f>
        <v>SFH</v>
      </c>
      <c r="B944" s="6" t="str">
        <f>IFERROR(__xludf.DUMMYFUNCTION("""COMPUTED_VALUE"""),"ENG")</f>
        <v>ENG</v>
      </c>
      <c r="C944" s="6" t="str">
        <f>IFERROR(__xludf.DUMMYFUNCTION("""COMPUTED_VALUE"""),"P-53169-00")</f>
        <v>P-53169-00</v>
      </c>
      <c r="D944" s="6" t="str">
        <f>IFERROR(__xludf.DUMMYFUNCTION("""COMPUTED_VALUE"""),"Ballast Electronic EB-C 228 TL5, 2x28W; Phillips; ;")</f>
        <v>Ballast Electronic EB-C 228 TL5, 2x28W; Phillips; ;</v>
      </c>
      <c r="E944" s="6">
        <f>IFERROR(__xludf.DUMMYFUNCTION("""COMPUTED_VALUE"""),1.0)</f>
        <v>1</v>
      </c>
      <c r="F944" s="6">
        <f>IFERROR(__xludf.DUMMYFUNCTION("""COMPUTED_VALUE"""),1.0)</f>
        <v>1</v>
      </c>
      <c r="G944" s="6">
        <f>IFERROR(__xludf.DUMMYFUNCTION("""COMPUTED_VALUE"""),0.0)</f>
        <v>0</v>
      </c>
      <c r="H944" s="6" t="str">
        <f>IFERROR(__xludf.DUMMYFUNCTION("""COMPUTED_VALUE"""),"pcs")</f>
        <v>pcs</v>
      </c>
      <c r="I944" s="6" t="str">
        <f>IFERROR(__xludf.DUMMYFUNCTION("""COMPUTED_VALUE"""),"MFH")</f>
        <v>MFH</v>
      </c>
      <c r="J944" s="6" t="str">
        <f>IFERROR(__xludf.DUMMYFUNCTION("""COMPUTED_VALUE"""),"Building")</f>
        <v>Building</v>
      </c>
      <c r="K944" s="6" t="str">
        <f>IFERROR(__xludf.DUMMYFUNCTION("""COMPUTED_VALUE"""),"SPR/06/24/015")</f>
        <v>SPR/06/24/015</v>
      </c>
      <c r="L944" s="13">
        <f>IFERROR(__xludf.DUMMYFUNCTION("""COMPUTED_VALUE"""),45472.0)</f>
        <v>45472</v>
      </c>
    </row>
    <row r="945">
      <c r="A945" s="6" t="str">
        <f>IFERROR(__xludf.DUMMYFUNCTION("""COMPUTED_VALUE"""),"INS")</f>
        <v>INS</v>
      </c>
      <c r="B945" s="6" t="str">
        <f>IFERROR(__xludf.DUMMYFUNCTION("""COMPUTED_VALUE"""),"PRO")</f>
        <v>PRO</v>
      </c>
      <c r="C945" s="6" t="str">
        <f>IFERROR(__xludf.DUMMYFUNCTION("""COMPUTED_VALUE"""),"P-12261-00")</f>
        <v>P-12261-00</v>
      </c>
      <c r="D945" s="6" t="str">
        <f>IFERROR(__xludf.DUMMYFUNCTION("""COMPUTED_VALUE"""),"FESTO - Push In Connector QS-6 p/n 153032")</f>
        <v>FESTO - Push In Connector QS-6 p/n 153032</v>
      </c>
      <c r="E945" s="6">
        <f>IFERROR(__xludf.DUMMYFUNCTION("""COMPUTED_VALUE"""),1.0)</f>
        <v>1</v>
      </c>
      <c r="F945" s="6">
        <f>IFERROR(__xludf.DUMMYFUNCTION("""COMPUTED_VALUE"""),1.0)</f>
        <v>1</v>
      </c>
      <c r="G945" s="6">
        <f>IFERROR(__xludf.DUMMYFUNCTION("""COMPUTED_VALUE"""),0.0)</f>
        <v>0</v>
      </c>
      <c r="H945" s="6" t="str">
        <f>IFERROR(__xludf.DUMMYFUNCTION("""COMPUTED_VALUE"""),"pcs")</f>
        <v>pcs</v>
      </c>
      <c r="I945" s="6" t="str">
        <f>IFERROR(__xludf.DUMMYFUNCTION("""COMPUTED_VALUE"""),"MFH")</f>
        <v>MFH</v>
      </c>
      <c r="J945" s="6" t="str">
        <f>IFERROR(__xludf.DUMMYFUNCTION("""COMPUTED_VALUE"""),"OSD")</f>
        <v>OSD</v>
      </c>
      <c r="K945" s="6" t="str">
        <f>IFERROR(__xludf.DUMMYFUNCTION("""COMPUTED_VALUE"""),"SPR/06/24/016")</f>
        <v>SPR/06/24/016</v>
      </c>
      <c r="L945" s="13">
        <f>IFERROR(__xludf.DUMMYFUNCTION("""COMPUTED_VALUE"""),45472.0)</f>
        <v>45472</v>
      </c>
    </row>
    <row r="946">
      <c r="A946" s="6" t="str">
        <f>IFERROR(__xludf.DUMMYFUNCTION("""COMPUTED_VALUE"""),"MOB")</f>
        <v>MOB</v>
      </c>
      <c r="B946" s="6" t="str">
        <f>IFERROR(__xludf.DUMMYFUNCTION("""COMPUTED_VALUE"""),"ENG")</f>
        <v>ENG</v>
      </c>
      <c r="C946" s="6" t="str">
        <f>IFERROR(__xludf.DUMMYFUNCTION("""COMPUTED_VALUE"""),"Q-60025-00")</f>
        <v>Q-60025-00</v>
      </c>
      <c r="D946" s="6" t="str">
        <f>IFERROR(__xludf.DUMMYFUNCTION("""COMPUTED_VALUE"""),"Kuas Eterna 1")</f>
        <v>Kuas Eterna 1</v>
      </c>
      <c r="E946" s="6">
        <f>IFERROR(__xludf.DUMMYFUNCTION("""COMPUTED_VALUE"""),1.0)</f>
        <v>1</v>
      </c>
      <c r="F946" s="6">
        <f>IFERROR(__xludf.DUMMYFUNCTION("""COMPUTED_VALUE"""),1.0)</f>
        <v>1</v>
      </c>
      <c r="G946" s="6">
        <f>IFERROR(__xludf.DUMMYFUNCTION("""COMPUTED_VALUE"""),0.0)</f>
        <v>0</v>
      </c>
      <c r="H946" s="6" t="str">
        <f>IFERROR(__xludf.DUMMYFUNCTION("""COMPUTED_VALUE"""),"pcs")</f>
        <v>pcs</v>
      </c>
      <c r="I946" s="6" t="str">
        <f>IFERROR(__xludf.DUMMYFUNCTION("""COMPUTED_VALUE"""),"MFH")</f>
        <v>MFH</v>
      </c>
      <c r="J946" s="6" t="str">
        <f>IFERROR(__xludf.DUMMYFUNCTION("""COMPUTED_VALUE"""),"-")</f>
        <v>-</v>
      </c>
      <c r="K946" s="6" t="str">
        <f>IFERROR(__xludf.DUMMYFUNCTION("""COMPUTED_VALUE"""),"SPR/06/24/017")</f>
        <v>SPR/06/24/017</v>
      </c>
      <c r="L946" s="13">
        <f>IFERROR(__xludf.DUMMYFUNCTION("""COMPUTED_VALUE"""),45472.0)</f>
        <v>45472</v>
      </c>
    </row>
    <row r="947">
      <c r="A947" s="6" t="str">
        <f>IFERROR(__xludf.DUMMYFUNCTION("""COMPUTED_VALUE"""),"MRN")</f>
        <v>MRN</v>
      </c>
      <c r="B947" s="6" t="str">
        <f>IFERROR(__xludf.DUMMYFUNCTION("""COMPUTED_VALUE"""),"ENG")</f>
        <v>ENG</v>
      </c>
      <c r="C947" s="6" t="str">
        <f>IFERROR(__xludf.DUMMYFUNCTION("""COMPUTED_VALUE"""),"Q-60025-00")</f>
        <v>Q-60025-00</v>
      </c>
      <c r="D947" s="6" t="str">
        <f>IFERROR(__xludf.DUMMYFUNCTION("""COMPUTED_VALUE"""),"Kuas Eterna 1")</f>
        <v>Kuas Eterna 1</v>
      </c>
      <c r="E947" s="6">
        <f>IFERROR(__xludf.DUMMYFUNCTION("""COMPUTED_VALUE"""),4.0)</f>
        <v>4</v>
      </c>
      <c r="F947" s="6">
        <f>IFERROR(__xludf.DUMMYFUNCTION("""COMPUTED_VALUE"""),4.0)</f>
        <v>4</v>
      </c>
      <c r="G947" s="6">
        <f>IFERROR(__xludf.DUMMYFUNCTION("""COMPUTED_VALUE"""),0.0)</f>
        <v>0</v>
      </c>
      <c r="H947" s="6" t="str">
        <f>IFERROR(__xludf.DUMMYFUNCTION("""COMPUTED_VALUE"""),"pcs")</f>
        <v>pcs</v>
      </c>
      <c r="I947" s="6" t="str">
        <f>IFERROR(__xludf.DUMMYFUNCTION("""COMPUTED_VALUE"""),"MFH")</f>
        <v>MFH</v>
      </c>
      <c r="J947" s="6" t="str">
        <f>IFERROR(__xludf.DUMMYFUNCTION("""COMPUTED_VALUE"""),"Building")</f>
        <v>Building</v>
      </c>
      <c r="K947" s="6" t="str">
        <f>IFERROR(__xludf.DUMMYFUNCTION("""COMPUTED_VALUE"""),"SPR/06/24/018")</f>
        <v>SPR/06/24/018</v>
      </c>
      <c r="L947" s="13">
        <f>IFERROR(__xludf.DUMMYFUNCTION("""COMPUTED_VALUE"""),45472.0)</f>
        <v>45472</v>
      </c>
    </row>
    <row r="948">
      <c r="A948" s="6" t="str">
        <f>IFERROR(__xludf.DUMMYFUNCTION("""COMPUTED_VALUE"""),"MAP")</f>
        <v>MAP</v>
      </c>
      <c r="B948" s="6" t="str">
        <f>IFERROR(__xludf.DUMMYFUNCTION("""COMPUTED_VALUE"""),"ENG")</f>
        <v>ENG</v>
      </c>
      <c r="C948" s="6" t="str">
        <f>IFERROR(__xludf.DUMMYFUNCTION("""COMPUTED_VALUE"""),"T-80373-00")</f>
        <v>T-80373-00</v>
      </c>
      <c r="D948" s="6" t="str">
        <f>IFERROR(__xludf.DUMMYFUNCTION("""COMPUTED_VALUE"""),"Plakband Bening 2 inch")</f>
        <v>Plakband Bening 2 inch</v>
      </c>
      <c r="E948" s="6">
        <f>IFERROR(__xludf.DUMMYFUNCTION("""COMPUTED_VALUE"""),1.0)</f>
        <v>1</v>
      </c>
      <c r="F948" s="6">
        <f>IFERROR(__xludf.DUMMYFUNCTION("""COMPUTED_VALUE"""),1.0)</f>
        <v>1</v>
      </c>
      <c r="G948" s="6">
        <f>IFERROR(__xludf.DUMMYFUNCTION("""COMPUTED_VALUE"""),0.0)</f>
        <v>0</v>
      </c>
      <c r="H948" s="6" t="str">
        <f>IFERROR(__xludf.DUMMYFUNCTION("""COMPUTED_VALUE"""),"pcs")</f>
        <v>pcs</v>
      </c>
      <c r="I948" s="6" t="str">
        <f>IFERROR(__xludf.DUMMYFUNCTION("""COMPUTED_VALUE"""),"MFH")</f>
        <v>MFH</v>
      </c>
      <c r="J948" s="6" t="str">
        <f>IFERROR(__xludf.DUMMYFUNCTION("""COMPUTED_VALUE"""),"-")</f>
        <v>-</v>
      </c>
      <c r="K948" s="6" t="str">
        <f>IFERROR(__xludf.DUMMYFUNCTION("""COMPUTED_VALUE"""),"SPR/06/24/019")</f>
        <v>SPR/06/24/019</v>
      </c>
      <c r="L948" s="13">
        <f>IFERROR(__xludf.DUMMYFUNCTION("""COMPUTED_VALUE"""),45472.0)</f>
        <v>45472</v>
      </c>
    </row>
    <row r="949">
      <c r="A949" s="6" t="str">
        <f>IFERROR(__xludf.DUMMYFUNCTION("""COMPUTED_VALUE"""),"MAP")</f>
        <v>MAP</v>
      </c>
      <c r="B949" s="6" t="str">
        <f>IFERROR(__xludf.DUMMYFUNCTION("""COMPUTED_VALUE"""),"ENG")</f>
        <v>ENG</v>
      </c>
      <c r="C949" s="6" t="str">
        <f>IFERROR(__xludf.DUMMYFUNCTION("""COMPUTED_VALUE"""),"Q-60502-00")</f>
        <v>Q-60502-00</v>
      </c>
      <c r="D949" s="6" t="str">
        <f>IFERROR(__xludf.DUMMYFUNCTION("""COMPUTED_VALUE"""),"Silicone Sealant, Silglaze, Type N10 White, pack size per pcs")</f>
        <v>Silicone Sealant, Silglaze, Type N10 White, pack size per pcs</v>
      </c>
      <c r="E949" s="6">
        <f>IFERROR(__xludf.DUMMYFUNCTION("""COMPUTED_VALUE"""),1.0)</f>
        <v>1</v>
      </c>
      <c r="F949" s="6">
        <f>IFERROR(__xludf.DUMMYFUNCTION("""COMPUTED_VALUE"""),1.0)</f>
        <v>1</v>
      </c>
      <c r="G949" s="6">
        <f>IFERROR(__xludf.DUMMYFUNCTION("""COMPUTED_VALUE"""),0.0)</f>
        <v>0</v>
      </c>
      <c r="H949" s="6" t="str">
        <f>IFERROR(__xludf.DUMMYFUNCTION("""COMPUTED_VALUE"""),"pcs")</f>
        <v>pcs</v>
      </c>
      <c r="I949" s="6" t="str">
        <f>IFERROR(__xludf.DUMMYFUNCTION("""COMPUTED_VALUE"""),"MFH")</f>
        <v>MFH</v>
      </c>
      <c r="J949" s="6" t="str">
        <f>IFERROR(__xludf.DUMMYFUNCTION("""COMPUTED_VALUE"""),"-")</f>
        <v>-</v>
      </c>
      <c r="K949" s="6" t="str">
        <f>IFERROR(__xludf.DUMMYFUNCTION("""COMPUTED_VALUE"""),"SPR/06/24/019")</f>
        <v>SPR/06/24/019</v>
      </c>
      <c r="L949" s="13">
        <f>IFERROR(__xludf.DUMMYFUNCTION("""COMPUTED_VALUE"""),45472.0)</f>
        <v>45472</v>
      </c>
    </row>
    <row r="950">
      <c r="A950" s="6" t="str">
        <f>IFERROR(__xludf.DUMMYFUNCTION("""COMPUTED_VALUE"""),"TAA")</f>
        <v>TAA</v>
      </c>
      <c r="B950" s="6" t="str">
        <f>IFERROR(__xludf.DUMMYFUNCTION("""COMPUTED_VALUE"""),"PRO")</f>
        <v>PRO</v>
      </c>
      <c r="C950" s="6" t="str">
        <f>IFERROR(__xludf.DUMMYFUNCTION("""COMPUTED_VALUE"""),"P-17645-00")</f>
        <v>P-17645-00</v>
      </c>
      <c r="D950" s="6" t="str">
        <f>IFERROR(__xludf.DUMMYFUNCTION("""COMPUTED_VALUE"""),"Sodium Hiphoclorite; ; ; ltr")</f>
        <v>Sodium Hiphoclorite; ; ; ltr</v>
      </c>
      <c r="E950" s="6">
        <f>IFERROR(__xludf.DUMMYFUNCTION("""COMPUTED_VALUE"""),25.0)</f>
        <v>25</v>
      </c>
      <c r="F950" s="6">
        <f>IFERROR(__xludf.DUMMYFUNCTION("""COMPUTED_VALUE"""),25.0)</f>
        <v>25</v>
      </c>
      <c r="G950" s="6">
        <f>IFERROR(__xludf.DUMMYFUNCTION("""COMPUTED_VALUE"""),0.0)</f>
        <v>0</v>
      </c>
      <c r="H950" s="6" t="str">
        <f>IFERROR(__xludf.DUMMYFUNCTION("""COMPUTED_VALUE"""),"Liter")</f>
        <v>Liter</v>
      </c>
      <c r="I950" s="6" t="str">
        <f>IFERROR(__xludf.DUMMYFUNCTION("""COMPUTED_VALUE"""),"MFH")</f>
        <v>MFH</v>
      </c>
      <c r="J950" s="6" t="str">
        <f>IFERROR(__xludf.DUMMYFUNCTION("""COMPUTED_VALUE"""),"-")</f>
        <v>-</v>
      </c>
      <c r="K950" s="6" t="str">
        <f>IFERROR(__xludf.DUMMYFUNCTION("""COMPUTED_VALUE"""),"SPR/06/24/020")</f>
        <v>SPR/06/24/020</v>
      </c>
      <c r="L950" s="13">
        <f>IFERROR(__xludf.DUMMYFUNCTION("""COMPUTED_VALUE"""),45472.0)</f>
        <v>45472</v>
      </c>
    </row>
    <row r="951">
      <c r="A951" s="6" t="str">
        <f>IFERROR(__xludf.DUMMYFUNCTION("""COMPUTED_VALUE"""),"AAA")</f>
        <v>AAA</v>
      </c>
      <c r="B951" s="6" t="str">
        <f>IFERROR(__xludf.DUMMYFUNCTION("""COMPUTED_VALUE"""),"ENG")</f>
        <v>ENG</v>
      </c>
      <c r="C951" s="6" t="str">
        <f>IFERROR(__xludf.DUMMYFUNCTION("""COMPUTED_VALUE"""),"Q-10249-00")</f>
        <v>Q-10249-00</v>
      </c>
      <c r="D951" s="6" t="str">
        <f>IFERROR(__xludf.DUMMYFUNCTION("""COMPUTED_VALUE"""),"Lem Power Glue; ; ;")</f>
        <v>Lem Power Glue; ; ;</v>
      </c>
      <c r="E951" s="6">
        <f>IFERROR(__xludf.DUMMYFUNCTION("""COMPUTED_VALUE"""),1.0)</f>
        <v>1</v>
      </c>
      <c r="F951" s="6">
        <f>IFERROR(__xludf.DUMMYFUNCTION("""COMPUTED_VALUE"""),1.0)</f>
        <v>1</v>
      </c>
      <c r="G951" s="6">
        <f>IFERROR(__xludf.DUMMYFUNCTION("""COMPUTED_VALUE"""),0.0)</f>
        <v>0</v>
      </c>
      <c r="H951" s="6" t="str">
        <f>IFERROR(__xludf.DUMMYFUNCTION("""COMPUTED_VALUE"""),"pcs")</f>
        <v>pcs</v>
      </c>
      <c r="I951" s="6" t="str">
        <f>IFERROR(__xludf.DUMMYFUNCTION("""COMPUTED_VALUE"""),"MFH")</f>
        <v>MFH</v>
      </c>
      <c r="J951" s="6" t="str">
        <f>IFERROR(__xludf.DUMMYFUNCTION("""COMPUTED_VALUE"""),"-")</f>
        <v>-</v>
      </c>
      <c r="K951" s="6" t="str">
        <f>IFERROR(__xludf.DUMMYFUNCTION("""COMPUTED_VALUE"""),"SPR/06/24/021")</f>
        <v>SPR/06/24/021</v>
      </c>
      <c r="L951" s="13">
        <f>IFERROR(__xludf.DUMMYFUNCTION("""COMPUTED_VALUE"""),45472.0)</f>
        <v>45472</v>
      </c>
    </row>
    <row r="952">
      <c r="A952" s="6" t="str">
        <f>IFERROR(__xludf.DUMMYFUNCTION("""COMPUTED_VALUE"""),"AAA")</f>
        <v>AAA</v>
      </c>
      <c r="B952" s="6" t="str">
        <f>IFERROR(__xludf.DUMMYFUNCTION("""COMPUTED_VALUE"""),"ENG")</f>
        <v>ENG</v>
      </c>
      <c r="C952" s="6" t="str">
        <f>IFERROR(__xludf.DUMMYFUNCTION("""COMPUTED_VALUE"""),"P-53214-00")</f>
        <v>P-53214-00</v>
      </c>
      <c r="D952" s="6" t="str">
        <f>IFERROR(__xludf.DUMMYFUNCTION("""COMPUTED_VALUE"""),"Epoxy Adhesive DEXTONE")</f>
        <v>Epoxy Adhesive DEXTONE</v>
      </c>
      <c r="E952" s="6">
        <f>IFERROR(__xludf.DUMMYFUNCTION("""COMPUTED_VALUE"""),1.0)</f>
        <v>1</v>
      </c>
      <c r="F952" s="6">
        <f>IFERROR(__xludf.DUMMYFUNCTION("""COMPUTED_VALUE"""),1.0)</f>
        <v>1</v>
      </c>
      <c r="G952" s="6">
        <f>IFERROR(__xludf.DUMMYFUNCTION("""COMPUTED_VALUE"""),0.0)</f>
        <v>0</v>
      </c>
      <c r="H952" s="6" t="str">
        <f>IFERROR(__xludf.DUMMYFUNCTION("""COMPUTED_VALUE"""),"pcs")</f>
        <v>pcs</v>
      </c>
      <c r="I952" s="6" t="str">
        <f>IFERROR(__xludf.DUMMYFUNCTION("""COMPUTED_VALUE"""),"MFH")</f>
        <v>MFH</v>
      </c>
      <c r="J952" s="6" t="str">
        <f>IFERROR(__xludf.DUMMYFUNCTION("""COMPUTED_VALUE"""),"-")</f>
        <v>-</v>
      </c>
      <c r="K952" s="6" t="str">
        <f>IFERROR(__xludf.DUMMYFUNCTION("""COMPUTED_VALUE"""),"SPR/06/24/021")</f>
        <v>SPR/06/24/021</v>
      </c>
      <c r="L952" s="13">
        <f>IFERROR(__xludf.DUMMYFUNCTION("""COMPUTED_VALUE"""),45472.0)</f>
        <v>45472</v>
      </c>
    </row>
    <row r="953">
      <c r="A953" s="6" t="str">
        <f>IFERROR(__xludf.DUMMYFUNCTION("""COMPUTED_VALUE"""),"MOB")</f>
        <v>MOB</v>
      </c>
      <c r="B953" s="6" t="str">
        <f>IFERROR(__xludf.DUMMYFUNCTION("""COMPUTED_VALUE"""),"ENG")</f>
        <v>ENG</v>
      </c>
      <c r="C953" s="6" t="str">
        <f>IFERROR(__xludf.DUMMYFUNCTION("""COMPUTED_VALUE"""),"O-15931-00")</f>
        <v>O-15931-00</v>
      </c>
      <c r="D953" s="6" t="str">
        <f>IFERROR(__xludf.DUMMYFUNCTION("""COMPUTED_VALUE"""),"Double Tape 3M 1"" Merah - P/N : - pc")</f>
        <v>Double Tape 3M 1" Merah - P/N : - pc</v>
      </c>
      <c r="E953" s="6">
        <f>IFERROR(__xludf.DUMMYFUNCTION("""COMPUTED_VALUE"""),1.0)</f>
        <v>1</v>
      </c>
      <c r="F953" s="6">
        <f>IFERROR(__xludf.DUMMYFUNCTION("""COMPUTED_VALUE"""),1.0)</f>
        <v>1</v>
      </c>
      <c r="G953" s="6">
        <f>IFERROR(__xludf.DUMMYFUNCTION("""COMPUTED_VALUE"""),0.0)</f>
        <v>0</v>
      </c>
      <c r="H953" s="6" t="str">
        <f>IFERROR(__xludf.DUMMYFUNCTION("""COMPUTED_VALUE"""),"pcs")</f>
        <v>pcs</v>
      </c>
      <c r="I953" s="6" t="str">
        <f>IFERROR(__xludf.DUMMYFUNCTION("""COMPUTED_VALUE"""),"MFH")</f>
        <v>MFH</v>
      </c>
      <c r="J953" s="6" t="str">
        <f>IFERROR(__xludf.DUMMYFUNCTION("""COMPUTED_VALUE"""),"Building")</f>
        <v>Building</v>
      </c>
      <c r="K953" s="6" t="str">
        <f>IFERROR(__xludf.DUMMYFUNCTION("""COMPUTED_VALUE"""),"SPR/06/24/022")</f>
        <v>SPR/06/24/022</v>
      </c>
      <c r="L953" s="13">
        <f>IFERROR(__xludf.DUMMYFUNCTION("""COMPUTED_VALUE"""),45472.0)</f>
        <v>45472</v>
      </c>
    </row>
    <row r="954">
      <c r="A954" s="6" t="str">
        <f>IFERROR(__xludf.DUMMYFUNCTION("""COMPUTED_VALUE"""),"MRN")</f>
        <v>MRN</v>
      </c>
      <c r="B954" s="6" t="str">
        <f>IFERROR(__xludf.DUMMYFUNCTION("""COMPUTED_VALUE"""),"ENG")</f>
        <v>ENG</v>
      </c>
      <c r="C954" s="6" t="str">
        <f>IFERROR(__xludf.DUMMYFUNCTION("""COMPUTED_VALUE"""),"P-51889-00")</f>
        <v>P-51889-00</v>
      </c>
      <c r="D954" s="6" t="str">
        <f>IFERROR(__xludf.DUMMYFUNCTION("""COMPUTED_VALUE"""),"Autonics - Power Supply SPA-050-24VDC; ; ;")</f>
        <v>Autonics - Power Supply SPA-050-24VDC; ; ;</v>
      </c>
      <c r="E954" s="6">
        <f>IFERROR(__xludf.DUMMYFUNCTION("""COMPUTED_VALUE"""),1.0)</f>
        <v>1</v>
      </c>
      <c r="F954" s="6">
        <f>IFERROR(__xludf.DUMMYFUNCTION("""COMPUTED_VALUE"""),1.0)</f>
        <v>1</v>
      </c>
      <c r="G954" s="6">
        <f>IFERROR(__xludf.DUMMYFUNCTION("""COMPUTED_VALUE"""),0.0)</f>
        <v>0</v>
      </c>
      <c r="H954" s="6" t="str">
        <f>IFERROR(__xludf.DUMMYFUNCTION("""COMPUTED_VALUE"""),"pcs")</f>
        <v>pcs</v>
      </c>
      <c r="I954" s="6" t="str">
        <f>IFERROR(__xludf.DUMMYFUNCTION("""COMPUTED_VALUE"""),"MFH")</f>
        <v>MFH</v>
      </c>
      <c r="J954" s="6" t="str">
        <f>IFERROR(__xludf.DUMMYFUNCTION("""COMPUTED_VALUE"""),"-")</f>
        <v>-</v>
      </c>
      <c r="K954" s="6" t="str">
        <f>IFERROR(__xludf.DUMMYFUNCTION("""COMPUTED_VALUE"""),"SPR/06/24/023")</f>
        <v>SPR/06/24/023</v>
      </c>
      <c r="L954" s="13">
        <f>IFERROR(__xludf.DUMMYFUNCTION("""COMPUTED_VALUE"""),45472.0)</f>
        <v>45472</v>
      </c>
    </row>
    <row r="955">
      <c r="A955" s="6" t="str">
        <f>IFERROR(__xludf.DUMMYFUNCTION("""COMPUTED_VALUE"""),"ROS")</f>
        <v>ROS</v>
      </c>
      <c r="B955" s="6" t="str">
        <f>IFERROR(__xludf.DUMMYFUNCTION("""COMPUTED_VALUE"""),"ENG")</f>
        <v>ENG</v>
      </c>
      <c r="C955" s="6" t="str">
        <f>IFERROR(__xludf.DUMMYFUNCTION("""COMPUTED_VALUE"""),"P-13383-00")</f>
        <v>P-13383-00</v>
      </c>
      <c r="D955" s="6" t="str">
        <f>IFERROR(__xludf.DUMMYFUNCTION("""COMPUTED_VALUE"""),"Silicone Sealant High Temp Red; ; ;")</f>
        <v>Silicone Sealant High Temp Red; ; ;</v>
      </c>
      <c r="E955" s="6">
        <f>IFERROR(__xludf.DUMMYFUNCTION("""COMPUTED_VALUE"""),1.0)</f>
        <v>1</v>
      </c>
      <c r="F955" s="6">
        <f>IFERROR(__xludf.DUMMYFUNCTION("""COMPUTED_VALUE"""),1.0)</f>
        <v>1</v>
      </c>
      <c r="G955" s="6">
        <f>IFERROR(__xludf.DUMMYFUNCTION("""COMPUTED_VALUE"""),0.0)</f>
        <v>0</v>
      </c>
      <c r="H955" s="6" t="str">
        <f>IFERROR(__xludf.DUMMYFUNCTION("""COMPUTED_VALUE"""),"pcs")</f>
        <v>pcs</v>
      </c>
      <c r="I955" s="6" t="str">
        <f>IFERROR(__xludf.DUMMYFUNCTION("""COMPUTED_VALUE"""),"MFH")</f>
        <v>MFH</v>
      </c>
      <c r="J955" s="6" t="str">
        <f>IFERROR(__xludf.DUMMYFUNCTION("""COMPUTED_VALUE"""),"-")</f>
        <v>-</v>
      </c>
      <c r="K955" s="6" t="str">
        <f>IFERROR(__xludf.DUMMYFUNCTION("""COMPUTED_VALUE"""),"SPR/06/24/024")</f>
        <v>SPR/06/24/024</v>
      </c>
      <c r="L955" s="13">
        <f>IFERROR(__xludf.DUMMYFUNCTION("""COMPUTED_VALUE"""),45472.0)</f>
        <v>45472</v>
      </c>
    </row>
    <row r="956">
      <c r="A956" s="6" t="str">
        <f>IFERROR(__xludf.DUMMYFUNCTION("""COMPUTED_VALUE"""),"RoS")</f>
        <v>RoS</v>
      </c>
      <c r="B956" s="6" t="str">
        <f>IFERROR(__xludf.DUMMYFUNCTION("""COMPUTED_VALUE"""),"ENG")</f>
        <v>ENG</v>
      </c>
      <c r="C956" s="6" t="str">
        <f>IFERROR(__xludf.DUMMYFUNCTION("""COMPUTED_VALUE"""),"P-11694-00")</f>
        <v>P-11694-00</v>
      </c>
      <c r="D956" s="6" t="str">
        <f>IFERROR(__xludf.DUMMYFUNCTION("""COMPUTED_VALUE"""),"Mata Gerinda 4""")</f>
        <v>Mata Gerinda 4"</v>
      </c>
      <c r="E956" s="6">
        <f>IFERROR(__xludf.DUMMYFUNCTION("""COMPUTED_VALUE"""),1.0)</f>
        <v>1</v>
      </c>
      <c r="F956" s="6">
        <f>IFERROR(__xludf.DUMMYFUNCTION("""COMPUTED_VALUE"""),1.0)</f>
        <v>1</v>
      </c>
      <c r="G956" s="6">
        <f>IFERROR(__xludf.DUMMYFUNCTION("""COMPUTED_VALUE"""),0.0)</f>
        <v>0</v>
      </c>
      <c r="H956" s="6" t="str">
        <f>IFERROR(__xludf.DUMMYFUNCTION("""COMPUTED_VALUE"""),"pcs")</f>
        <v>pcs</v>
      </c>
      <c r="I956" s="6" t="str">
        <f>IFERROR(__xludf.DUMMYFUNCTION("""COMPUTED_VALUE"""),"MFH")</f>
        <v>MFH</v>
      </c>
      <c r="J956" s="6" t="str">
        <f>IFERROR(__xludf.DUMMYFUNCTION("""COMPUTED_VALUE"""),"-")</f>
        <v>-</v>
      </c>
      <c r="K956" s="6" t="str">
        <f>IFERROR(__xludf.DUMMYFUNCTION("""COMPUTED_VALUE"""),"SPR/06/24/024")</f>
        <v>SPR/06/24/024</v>
      </c>
      <c r="L956" s="13">
        <f>IFERROR(__xludf.DUMMYFUNCTION("""COMPUTED_VALUE"""),45472.0)</f>
        <v>45472</v>
      </c>
    </row>
    <row r="957">
      <c r="A957" s="6" t="str">
        <f>IFERROR(__xludf.DUMMYFUNCTION("""COMPUTED_VALUE"""),"ROS")</f>
        <v>ROS</v>
      </c>
      <c r="B957" s="6" t="str">
        <f>IFERROR(__xludf.DUMMYFUNCTION("""COMPUTED_VALUE"""),"ENG")</f>
        <v>ENG</v>
      </c>
      <c r="C957" s="6" t="str">
        <f>IFERROR(__xludf.DUMMYFUNCTION("""COMPUTED_VALUE"""),"P-14379-00")</f>
        <v>P-14379-00</v>
      </c>
      <c r="D957" s="6" t="str">
        <f>IFERROR(__xludf.DUMMYFUNCTION("""COMPUTED_VALUE"""),"Gasket 3/4"" /EPDM; ; ;")</f>
        <v>Gasket 3/4" /EPDM; ; ;</v>
      </c>
      <c r="E957" s="6">
        <f>IFERROR(__xludf.DUMMYFUNCTION("""COMPUTED_VALUE"""),1.0)</f>
        <v>1</v>
      </c>
      <c r="F957" s="6">
        <f>IFERROR(__xludf.DUMMYFUNCTION("""COMPUTED_VALUE"""),1.0)</f>
        <v>1</v>
      </c>
      <c r="G957" s="6">
        <f>IFERROR(__xludf.DUMMYFUNCTION("""COMPUTED_VALUE"""),0.0)</f>
        <v>0</v>
      </c>
      <c r="H957" s="6" t="str">
        <f>IFERROR(__xludf.DUMMYFUNCTION("""COMPUTED_VALUE"""),"pcs")</f>
        <v>pcs</v>
      </c>
      <c r="I957" s="6" t="str">
        <f>IFERROR(__xludf.DUMMYFUNCTION("""COMPUTED_VALUE"""),"MFH")</f>
        <v>MFH</v>
      </c>
      <c r="J957" s="6" t="str">
        <f>IFERROR(__xludf.DUMMYFUNCTION("""COMPUTED_VALUE"""),"Coating")</f>
        <v>Coating</v>
      </c>
      <c r="K957" s="6" t="str">
        <f>IFERROR(__xludf.DUMMYFUNCTION("""COMPUTED_VALUE"""),"SPR/06/24/025")</f>
        <v>SPR/06/24/025</v>
      </c>
      <c r="L957" s="13">
        <f>IFERROR(__xludf.DUMMYFUNCTION("""COMPUTED_VALUE"""),45472.0)</f>
        <v>45472</v>
      </c>
    </row>
    <row r="958">
      <c r="A958" s="6" t="str">
        <f>IFERROR(__xludf.DUMMYFUNCTION("""COMPUTED_VALUE"""),"NDS")</f>
        <v>NDS</v>
      </c>
      <c r="B958" s="6" t="str">
        <f>IFERROR(__xludf.DUMMYFUNCTION("""COMPUTED_VALUE"""),"ENG")</f>
        <v>ENG</v>
      </c>
      <c r="C958" s="6" t="str">
        <f>IFERROR(__xludf.DUMMYFUNCTION("""COMPUTED_VALUE"""),"O-19431-00")</f>
        <v>O-19431-00</v>
      </c>
      <c r="D958" s="6" t="str">
        <f>IFERROR(__xludf.DUMMYFUNCTION("""COMPUTED_VALUE"""),"Baut SS L M8 x 30 mm + Mur + Ring; ; ;; ; ;; ; ;")</f>
        <v>Baut SS L M8 x 30 mm + Mur + Ring; ; ;; ; ;; ; ;</v>
      </c>
      <c r="E958" s="6">
        <f>IFERROR(__xludf.DUMMYFUNCTION("""COMPUTED_VALUE"""),12.0)</f>
        <v>12</v>
      </c>
      <c r="F958" s="6">
        <f>IFERROR(__xludf.DUMMYFUNCTION("""COMPUTED_VALUE"""),12.0)</f>
        <v>12</v>
      </c>
      <c r="G958" s="6">
        <f>IFERROR(__xludf.DUMMYFUNCTION("""COMPUTED_VALUE"""),0.0)</f>
        <v>0</v>
      </c>
      <c r="H958" s="6" t="str">
        <f>IFERROR(__xludf.DUMMYFUNCTION("""COMPUTED_VALUE"""),"pcs")</f>
        <v>pcs</v>
      </c>
      <c r="I958" s="6" t="str">
        <f>IFERROR(__xludf.DUMMYFUNCTION("""COMPUTED_VALUE"""),"MFH")</f>
        <v>MFH</v>
      </c>
      <c r="J958" s="6" t="str">
        <f>IFERROR(__xludf.DUMMYFUNCTION("""COMPUTED_VALUE"""),"GEA")</f>
        <v>GEA</v>
      </c>
      <c r="K958" s="6" t="str">
        <f>IFERROR(__xludf.DUMMYFUNCTION("""COMPUTED_VALUE"""),"SPR/06/24/026")</f>
        <v>SPR/06/24/026</v>
      </c>
      <c r="L958" s="13">
        <f>IFERROR(__xludf.DUMMYFUNCTION("""COMPUTED_VALUE"""),45472.0)</f>
        <v>45472</v>
      </c>
    </row>
    <row r="959">
      <c r="A959" s="6" t="str">
        <f>IFERROR(__xludf.DUMMYFUNCTION("""COMPUTED_VALUE"""),"NDS")</f>
        <v>NDS</v>
      </c>
      <c r="B959" s="6" t="str">
        <f>IFERROR(__xludf.DUMMYFUNCTION("""COMPUTED_VALUE"""),"ENG")</f>
        <v>ENG</v>
      </c>
      <c r="C959" s="6" t="str">
        <f>IFERROR(__xludf.DUMMYFUNCTION("""COMPUTED_VALUE"""),"-")</f>
        <v>-</v>
      </c>
      <c r="D959" s="6" t="str">
        <f>IFERROR(__xludf.DUMMYFUNCTION("""COMPUTED_VALUE"""),"Baur SS L M8 x 50 mm + Mur + Ring")</f>
        <v>Baur SS L M8 x 50 mm + Mur + Ring</v>
      </c>
      <c r="E959" s="6">
        <f>IFERROR(__xludf.DUMMYFUNCTION("""COMPUTED_VALUE"""),20.0)</f>
        <v>20</v>
      </c>
      <c r="F959" s="6">
        <f>IFERROR(__xludf.DUMMYFUNCTION("""COMPUTED_VALUE"""),20.0)</f>
        <v>20</v>
      </c>
      <c r="G959" s="6">
        <f>IFERROR(__xludf.DUMMYFUNCTION("""COMPUTED_VALUE"""),0.0)</f>
        <v>0</v>
      </c>
      <c r="H959" s="6" t="str">
        <f>IFERROR(__xludf.DUMMYFUNCTION("""COMPUTED_VALUE"""),"pcs")</f>
        <v>pcs</v>
      </c>
      <c r="I959" s="6" t="str">
        <f>IFERROR(__xludf.DUMMYFUNCTION("""COMPUTED_VALUE"""),"MFH")</f>
        <v>MFH</v>
      </c>
      <c r="J959" s="6" t="str">
        <f>IFERROR(__xludf.DUMMYFUNCTION("""COMPUTED_VALUE"""),"GEA")</f>
        <v>GEA</v>
      </c>
      <c r="K959" s="6" t="str">
        <f>IFERROR(__xludf.DUMMYFUNCTION("""COMPUTED_VALUE"""),"SPR/06/24/026")</f>
        <v>SPR/06/24/026</v>
      </c>
      <c r="L959" s="13">
        <f>IFERROR(__xludf.DUMMYFUNCTION("""COMPUTED_VALUE"""),45472.0)</f>
        <v>45472</v>
      </c>
    </row>
    <row r="960">
      <c r="A960" s="6" t="str">
        <f>IFERROR(__xludf.DUMMYFUNCTION("""COMPUTED_VALUE"""),"MRN")</f>
        <v>MRN</v>
      </c>
      <c r="B960" s="6" t="str">
        <f>IFERROR(__xludf.DUMMYFUNCTION("""COMPUTED_VALUE"""),"ENG")</f>
        <v>ENG</v>
      </c>
      <c r="C960" s="6" t="str">
        <f>IFERROR(__xludf.DUMMYFUNCTION("""COMPUTED_VALUE"""),"P-12433-00")</f>
        <v>P-12433-00</v>
      </c>
      <c r="D960" s="6" t="str">
        <f>IFERROR(__xludf.DUMMYFUNCTION("""COMPUTED_VALUE"""),"Isolasi AC- Sansui")</f>
        <v>Isolasi AC- Sansui</v>
      </c>
      <c r="E960" s="6">
        <f>IFERROR(__xludf.DUMMYFUNCTION("""COMPUTED_VALUE"""),2.0)</f>
        <v>2</v>
      </c>
      <c r="F960" s="6">
        <f>IFERROR(__xludf.DUMMYFUNCTION("""COMPUTED_VALUE"""),2.0)</f>
        <v>2</v>
      </c>
      <c r="G960" s="6">
        <f>IFERROR(__xludf.DUMMYFUNCTION("""COMPUTED_VALUE"""),0.0)</f>
        <v>0</v>
      </c>
      <c r="H960" s="6" t="str">
        <f>IFERROR(__xludf.DUMMYFUNCTION("""COMPUTED_VALUE"""),"pcs")</f>
        <v>pcs</v>
      </c>
      <c r="I960" s="6" t="str">
        <f>IFERROR(__xludf.DUMMYFUNCTION("""COMPUTED_VALUE"""),"MFH")</f>
        <v>MFH</v>
      </c>
      <c r="J960" s="6" t="str">
        <f>IFERROR(__xludf.DUMMYFUNCTION("""COMPUTED_VALUE"""),"Building")</f>
        <v>Building</v>
      </c>
      <c r="K960" s="6" t="str">
        <f>IFERROR(__xludf.DUMMYFUNCTION("""COMPUTED_VALUE"""),"SPR/06/24/027")</f>
        <v>SPR/06/24/027</v>
      </c>
      <c r="L960" s="13">
        <f>IFERROR(__xludf.DUMMYFUNCTION("""COMPUTED_VALUE"""),45472.0)</f>
        <v>45472</v>
      </c>
    </row>
    <row r="961">
      <c r="A961" s="6" t="str">
        <f>IFERROR(__xludf.DUMMYFUNCTION("""COMPUTED_VALUE"""),"MRN")</f>
        <v>MRN</v>
      </c>
      <c r="B961" s="6" t="str">
        <f>IFERROR(__xludf.DUMMYFUNCTION("""COMPUTED_VALUE"""),"ENG")</f>
        <v>ENG</v>
      </c>
      <c r="C961" s="6" t="str">
        <f>IFERROR(__xludf.DUMMYFUNCTION("""COMPUTED_VALUE"""),"P-13389-00")</f>
        <v>P-13389-00</v>
      </c>
      <c r="D961" s="6" t="str">
        <f>IFERROR(__xludf.DUMMYFUNCTION("""COMPUTED_VALUE"""),"Scotch Brite 3M; ; ;")</f>
        <v>Scotch Brite 3M; ; ;</v>
      </c>
      <c r="E961" s="6">
        <f>IFERROR(__xludf.DUMMYFUNCTION("""COMPUTED_VALUE"""),4.0)</f>
        <v>4</v>
      </c>
      <c r="F961" s="6">
        <f>IFERROR(__xludf.DUMMYFUNCTION("""COMPUTED_VALUE"""),4.0)</f>
        <v>4</v>
      </c>
      <c r="G961" s="6">
        <f>IFERROR(__xludf.DUMMYFUNCTION("""COMPUTED_VALUE"""),0.0)</f>
        <v>0</v>
      </c>
      <c r="H961" s="6" t="str">
        <f>IFERROR(__xludf.DUMMYFUNCTION("""COMPUTED_VALUE"""),"pcs")</f>
        <v>pcs</v>
      </c>
      <c r="I961" s="6" t="str">
        <f>IFERROR(__xludf.DUMMYFUNCTION("""COMPUTED_VALUE"""),"MFH")</f>
        <v>MFH</v>
      </c>
      <c r="J961" s="6" t="str">
        <f>IFERROR(__xludf.DUMMYFUNCTION("""COMPUTED_VALUE"""),"Water System")</f>
        <v>Water System</v>
      </c>
      <c r="K961" s="6" t="str">
        <f>IFERROR(__xludf.DUMMYFUNCTION("""COMPUTED_VALUE"""),"SPR/06/24/028")</f>
        <v>SPR/06/24/028</v>
      </c>
      <c r="L961" s="13">
        <f>IFERROR(__xludf.DUMMYFUNCTION("""COMPUTED_VALUE"""),45472.0)</f>
        <v>45472</v>
      </c>
    </row>
    <row r="962">
      <c r="A962" s="6" t="str">
        <f>IFERROR(__xludf.DUMMYFUNCTION("""COMPUTED_VALUE"""),"MRN")</f>
        <v>MRN</v>
      </c>
      <c r="B962" s="6" t="str">
        <f>IFERROR(__xludf.DUMMYFUNCTION("""COMPUTED_VALUE"""),"ENG")</f>
        <v>ENG</v>
      </c>
      <c r="C962" s="6" t="str">
        <f>IFERROR(__xludf.DUMMYFUNCTION("""COMPUTED_VALUE"""),"P-17830-00")</f>
        <v>P-17830-00</v>
      </c>
      <c r="D962" s="6" t="str">
        <f>IFERROR(__xludf.DUMMYFUNCTION("""COMPUTED_VALUE"""),"Cleaner Stainless Stell &amp; Polish")</f>
        <v>Cleaner Stainless Stell &amp; Polish</v>
      </c>
      <c r="E962" s="6">
        <f>IFERROR(__xludf.DUMMYFUNCTION("""COMPUTED_VALUE"""),2.0)</f>
        <v>2</v>
      </c>
      <c r="F962" s="6">
        <f>IFERROR(__xludf.DUMMYFUNCTION("""COMPUTED_VALUE"""),2.0)</f>
        <v>2</v>
      </c>
      <c r="G962" s="6">
        <f>IFERROR(__xludf.DUMMYFUNCTION("""COMPUTED_VALUE"""),0.0)</f>
        <v>0</v>
      </c>
      <c r="H962" s="6" t="str">
        <f>IFERROR(__xludf.DUMMYFUNCTION("""COMPUTED_VALUE"""),"pcs")</f>
        <v>pcs</v>
      </c>
      <c r="I962" s="6" t="str">
        <f>IFERROR(__xludf.DUMMYFUNCTION("""COMPUTED_VALUE"""),"MFH")</f>
        <v>MFH</v>
      </c>
      <c r="J962" s="6" t="str">
        <f>IFERROR(__xludf.DUMMYFUNCTION("""COMPUTED_VALUE"""),"Water System")</f>
        <v>Water System</v>
      </c>
      <c r="K962" s="6" t="str">
        <f>IFERROR(__xludf.DUMMYFUNCTION("""COMPUTED_VALUE"""),"SPR/06/24/028")</f>
        <v>SPR/06/24/028</v>
      </c>
      <c r="L962" s="13">
        <f>IFERROR(__xludf.DUMMYFUNCTION("""COMPUTED_VALUE"""),45472.0)</f>
        <v>45472</v>
      </c>
    </row>
    <row r="963">
      <c r="A963" s="6" t="str">
        <f>IFERROR(__xludf.DUMMYFUNCTION("""COMPUTED_VALUE"""),"ANM")</f>
        <v>ANM</v>
      </c>
      <c r="B963" s="6" t="str">
        <f>IFERROR(__xludf.DUMMYFUNCTION("""COMPUTED_VALUE"""),"PRO")</f>
        <v>PRO</v>
      </c>
      <c r="C963" s="6" t="str">
        <f>IFERROR(__xludf.DUMMYFUNCTION("""COMPUTED_VALUE"""),"P-17830-00")</f>
        <v>P-17830-00</v>
      </c>
      <c r="D963" s="6" t="str">
        <f>IFERROR(__xludf.DUMMYFUNCTION("""COMPUTED_VALUE"""),"Cleaner Stainless Stell &amp; Polish")</f>
        <v>Cleaner Stainless Stell &amp; Polish</v>
      </c>
      <c r="E963" s="6">
        <f>IFERROR(__xludf.DUMMYFUNCTION("""COMPUTED_VALUE"""),1.0)</f>
        <v>1</v>
      </c>
      <c r="F963" s="6">
        <f>IFERROR(__xludf.DUMMYFUNCTION("""COMPUTED_VALUE"""),1.0)</f>
        <v>1</v>
      </c>
      <c r="G963" s="6">
        <f>IFERROR(__xludf.DUMMYFUNCTION("""COMPUTED_VALUE"""),0.0)</f>
        <v>0</v>
      </c>
      <c r="H963" s="6" t="str">
        <f>IFERROR(__xludf.DUMMYFUNCTION("""COMPUTED_VALUE"""),"pcs")</f>
        <v>pcs</v>
      </c>
      <c r="I963" s="6" t="str">
        <f>IFERROR(__xludf.DUMMYFUNCTION("""COMPUTED_VALUE"""),"MFH")</f>
        <v>MFH</v>
      </c>
      <c r="J963" s="6" t="str">
        <f>IFERROR(__xludf.DUMMYFUNCTION("""COMPUTED_VALUE"""),"-")</f>
        <v>-</v>
      </c>
      <c r="K963" s="6" t="str">
        <f>IFERROR(__xludf.DUMMYFUNCTION("""COMPUTED_VALUE"""),"SPR/06/24/029")</f>
        <v>SPR/06/24/029</v>
      </c>
      <c r="L963" s="13">
        <f>IFERROR(__xludf.DUMMYFUNCTION("""COMPUTED_VALUE"""),45472.0)</f>
        <v>45472</v>
      </c>
    </row>
    <row r="964">
      <c r="A964" s="6" t="str">
        <f>IFERROR(__xludf.DUMMYFUNCTION("""COMPUTED_VALUE"""),"ANM")</f>
        <v>ANM</v>
      </c>
      <c r="B964" s="6" t="str">
        <f>IFERROR(__xludf.DUMMYFUNCTION("""COMPUTED_VALUE"""),"PRO")</f>
        <v>PRO</v>
      </c>
      <c r="C964" s="6" t="str">
        <f>IFERROR(__xludf.DUMMYFUNCTION("""COMPUTED_VALUE"""),"P-13389-00")</f>
        <v>P-13389-00</v>
      </c>
      <c r="D964" s="6" t="str">
        <f>IFERROR(__xludf.DUMMYFUNCTION("""COMPUTED_VALUE"""),"Scotch Brite 3M; ; ;")</f>
        <v>Scotch Brite 3M; ; ;</v>
      </c>
      <c r="E964" s="6">
        <f>IFERROR(__xludf.DUMMYFUNCTION("""COMPUTED_VALUE"""),2.0)</f>
        <v>2</v>
      </c>
      <c r="F964" s="6">
        <f>IFERROR(__xludf.DUMMYFUNCTION("""COMPUTED_VALUE"""),2.0)</f>
        <v>2</v>
      </c>
      <c r="G964" s="6">
        <f>IFERROR(__xludf.DUMMYFUNCTION("""COMPUTED_VALUE"""),0.0)</f>
        <v>0</v>
      </c>
      <c r="H964" s="6" t="str">
        <f>IFERROR(__xludf.DUMMYFUNCTION("""COMPUTED_VALUE"""),"pcs")</f>
        <v>pcs</v>
      </c>
      <c r="I964" s="6" t="str">
        <f>IFERROR(__xludf.DUMMYFUNCTION("""COMPUTED_VALUE"""),"MFH")</f>
        <v>MFH</v>
      </c>
      <c r="J964" s="6" t="str">
        <f>IFERROR(__xludf.DUMMYFUNCTION("""COMPUTED_VALUE"""),"-")</f>
        <v>-</v>
      </c>
      <c r="K964" s="6" t="str">
        <f>IFERROR(__xludf.DUMMYFUNCTION("""COMPUTED_VALUE"""),"SPR/06/24/029")</f>
        <v>SPR/06/24/029</v>
      </c>
      <c r="L964" s="13">
        <f>IFERROR(__xludf.DUMMYFUNCTION("""COMPUTED_VALUE"""),45472.0)</f>
        <v>45472</v>
      </c>
    </row>
    <row r="965">
      <c r="A965" s="6" t="str">
        <f>IFERROR(__xludf.DUMMYFUNCTION("""COMPUTED_VALUE"""),"ROS")</f>
        <v>ROS</v>
      </c>
      <c r="B965" s="6" t="str">
        <f>IFERROR(__xludf.DUMMYFUNCTION("""COMPUTED_VALUE"""),"ENG")</f>
        <v>ENG</v>
      </c>
      <c r="C965" s="6" t="str">
        <f>IFERROR(__xludf.DUMMYFUNCTION("""COMPUTED_VALUE"""),"P-11991-00")</f>
        <v>P-11991-00</v>
      </c>
      <c r="D965" s="6" t="str">
        <f>IFERROR(__xludf.DUMMYFUNCTION("""COMPUTED_VALUE"""),"Cabble Ties 200L")</f>
        <v>Cabble Ties 200L</v>
      </c>
      <c r="E965" s="6">
        <f>IFERROR(__xludf.DUMMYFUNCTION("""COMPUTED_VALUE"""),1.0)</f>
        <v>1</v>
      </c>
      <c r="F965" s="6">
        <f>IFERROR(__xludf.DUMMYFUNCTION("""COMPUTED_VALUE"""),1.0)</f>
        <v>1</v>
      </c>
      <c r="G965" s="6">
        <f>IFERROR(__xludf.DUMMYFUNCTION("""COMPUTED_VALUE"""),0.0)</f>
        <v>0</v>
      </c>
      <c r="H965" s="6" t="str">
        <f>IFERROR(__xludf.DUMMYFUNCTION("""COMPUTED_VALUE"""),"pcs")</f>
        <v>pcs</v>
      </c>
      <c r="I965" s="6" t="str">
        <f>IFERROR(__xludf.DUMMYFUNCTION("""COMPUTED_VALUE"""),"MFH")</f>
        <v>MFH</v>
      </c>
      <c r="J965" s="6" t="str">
        <f>IFERROR(__xludf.DUMMYFUNCTION("""COMPUTED_VALUE"""),"Coating")</f>
        <v>Coating</v>
      </c>
      <c r="K965" s="6" t="str">
        <f>IFERROR(__xludf.DUMMYFUNCTION("""COMPUTED_VALUE"""),"SPR/06/24/030")</f>
        <v>SPR/06/24/030</v>
      </c>
      <c r="L965" s="13">
        <f>IFERROR(__xludf.DUMMYFUNCTION("""COMPUTED_VALUE"""),45472.0)</f>
        <v>45472</v>
      </c>
    </row>
    <row r="966">
      <c r="A966" s="6" t="str">
        <f>IFERROR(__xludf.DUMMYFUNCTION("""COMPUTED_VALUE"""),"MOB")</f>
        <v>MOB</v>
      </c>
      <c r="B966" s="6" t="str">
        <f>IFERROR(__xludf.DUMMYFUNCTION("""COMPUTED_VALUE"""),"ENG")</f>
        <v>ENG</v>
      </c>
      <c r="C966" s="6" t="str">
        <f>IFERROR(__xludf.DUMMYFUNCTION("""COMPUTED_VALUE"""),"P-11404-00")</f>
        <v>P-11404-00</v>
      </c>
      <c r="D966" s="6" t="str">
        <f>IFERROR(__xludf.DUMMYFUNCTION("""COMPUTED_VALUE"""),"Seal Ferrule Teflon 1 1/2""")</f>
        <v>Seal Ferrule Teflon 1 1/2"</v>
      </c>
      <c r="E966" s="6">
        <f>IFERROR(__xludf.DUMMYFUNCTION("""COMPUTED_VALUE"""),2.0)</f>
        <v>2</v>
      </c>
      <c r="F966" s="6">
        <f>IFERROR(__xludf.DUMMYFUNCTION("""COMPUTED_VALUE"""),2.0)</f>
        <v>2</v>
      </c>
      <c r="G966" s="6">
        <f>IFERROR(__xludf.DUMMYFUNCTION("""COMPUTED_VALUE"""),0.0)</f>
        <v>0</v>
      </c>
      <c r="H966" s="6" t="str">
        <f>IFERROR(__xludf.DUMMYFUNCTION("""COMPUTED_VALUE"""),"pcs")</f>
        <v>pcs</v>
      </c>
      <c r="I966" s="6" t="str">
        <f>IFERROR(__xludf.DUMMYFUNCTION("""COMPUTED_VALUE"""),"MFH")</f>
        <v>MFH</v>
      </c>
      <c r="J966" s="6" t="str">
        <f>IFERROR(__xludf.DUMMYFUNCTION("""COMPUTED_VALUE"""),"WFI SKID")</f>
        <v>WFI SKID</v>
      </c>
      <c r="K966" s="6" t="str">
        <f>IFERROR(__xludf.DUMMYFUNCTION("""COMPUTED_VALUE"""),"SPR/06/24/031")</f>
        <v>SPR/06/24/031</v>
      </c>
      <c r="L966" s="13">
        <f>IFERROR(__xludf.DUMMYFUNCTION("""COMPUTED_VALUE"""),45472.0)</f>
        <v>45472</v>
      </c>
    </row>
    <row r="967">
      <c r="A967" s="6" t="str">
        <f>IFERROR(__xludf.DUMMYFUNCTION("""COMPUTED_VALUE"""),"MOB")</f>
        <v>MOB</v>
      </c>
      <c r="B967" s="6" t="str">
        <f>IFERROR(__xludf.DUMMYFUNCTION("""COMPUTED_VALUE"""),"ENG")</f>
        <v>ENG</v>
      </c>
      <c r="C967" s="6" t="str">
        <f>IFERROR(__xludf.DUMMYFUNCTION("""COMPUTED_VALUE"""),"O-19347-00")</f>
        <v>O-19347-00</v>
      </c>
      <c r="D967" s="6" t="str">
        <f>IFERROR(__xludf.DUMMYFUNCTION("""COMPUTED_VALUE"""),"HEPA filter minipleat, size: 1220X610X93 H13; ; ;")</f>
        <v>HEPA filter minipleat, size: 1220X610X93 H13; ; ;</v>
      </c>
      <c r="E967" s="6">
        <f>IFERROR(__xludf.DUMMYFUNCTION("""COMPUTED_VALUE"""),4.0)</f>
        <v>4</v>
      </c>
      <c r="F967" s="6">
        <f>IFERROR(__xludf.DUMMYFUNCTION("""COMPUTED_VALUE"""),4.0)</f>
        <v>4</v>
      </c>
      <c r="G967" s="6">
        <f>IFERROR(__xludf.DUMMYFUNCTION("""COMPUTED_VALUE"""),0.0)</f>
        <v>0</v>
      </c>
      <c r="H967" s="6" t="str">
        <f>IFERROR(__xludf.DUMMYFUNCTION("""COMPUTED_VALUE"""),"pcs")</f>
        <v>pcs</v>
      </c>
      <c r="I967" s="6" t="str">
        <f>IFERROR(__xludf.DUMMYFUNCTION("""COMPUTED_VALUE"""),"MFH")</f>
        <v>MFH</v>
      </c>
      <c r="J967" s="6" t="str">
        <f>IFERROR(__xludf.DUMMYFUNCTION("""COMPUTED_VALUE"""),"AHU")</f>
        <v>AHU</v>
      </c>
      <c r="K967" s="6" t="str">
        <f>IFERROR(__xludf.DUMMYFUNCTION("""COMPUTED_VALUE"""),"SPR/07/24/001")</f>
        <v>SPR/07/24/001</v>
      </c>
      <c r="L967" s="13">
        <f>IFERROR(__xludf.DUMMYFUNCTION("""COMPUTED_VALUE"""),45483.0)</f>
        <v>45483</v>
      </c>
    </row>
    <row r="968">
      <c r="A968" s="6" t="str">
        <f>IFERROR(__xludf.DUMMYFUNCTION("""COMPUTED_VALUE"""),"AAA")</f>
        <v>AAA</v>
      </c>
      <c r="B968" s="6" t="str">
        <f>IFERROR(__xludf.DUMMYFUNCTION("""COMPUTED_VALUE"""),"ENG")</f>
        <v>ENG</v>
      </c>
      <c r="C968" s="6" t="str">
        <f>IFERROR(__xludf.DUMMYFUNCTION("""COMPUTED_VALUE"""),"O-52224-00")</f>
        <v>O-52224-00</v>
      </c>
      <c r="D968" s="6" t="str">
        <f>IFERROR(__xludf.DUMMYFUNCTION("""COMPUTED_VALUE"""),"Tunnel ST1L - Fuse Keramik 22x58 40A 200kA; ; ;")</f>
        <v>Tunnel ST1L - Fuse Keramik 22x58 40A 200kA; ; ;</v>
      </c>
      <c r="E968" s="6">
        <f>IFERROR(__xludf.DUMMYFUNCTION("""COMPUTED_VALUE"""),4.0)</f>
        <v>4</v>
      </c>
      <c r="F968" s="6">
        <f>IFERROR(__xludf.DUMMYFUNCTION("""COMPUTED_VALUE"""),1.0)</f>
        <v>1</v>
      </c>
      <c r="G968" s="6">
        <f>IFERROR(__xludf.DUMMYFUNCTION("""COMPUTED_VALUE"""),0.0)</f>
        <v>0</v>
      </c>
      <c r="H968" s="6" t="str">
        <f>IFERROR(__xludf.DUMMYFUNCTION("""COMPUTED_VALUE"""),"pcs")</f>
        <v>pcs</v>
      </c>
      <c r="I968" s="6" t="str">
        <f>IFERROR(__xludf.DUMMYFUNCTION("""COMPUTED_VALUE"""),"MFH")</f>
        <v>MFH</v>
      </c>
      <c r="J968" s="6" t="str">
        <f>IFERROR(__xludf.DUMMYFUNCTION("""COMPUTED_VALUE"""),"Tunnel")</f>
        <v>Tunnel</v>
      </c>
      <c r="K968" s="6" t="str">
        <f>IFERROR(__xludf.DUMMYFUNCTION("""COMPUTED_VALUE"""),"SPR/07/24/002")</f>
        <v>SPR/07/24/002</v>
      </c>
      <c r="L968" s="13">
        <f>IFERROR(__xludf.DUMMYFUNCTION("""COMPUTED_VALUE"""),45483.0)</f>
        <v>45483</v>
      </c>
    </row>
    <row r="969">
      <c r="A969" s="6" t="str">
        <f>IFERROR(__xludf.DUMMYFUNCTION("""COMPUTED_VALUE"""),"KAA")</f>
        <v>KAA</v>
      </c>
      <c r="B969" s="6" t="str">
        <f>IFERROR(__xludf.DUMMYFUNCTION("""COMPUTED_VALUE"""),"ENG")</f>
        <v>ENG</v>
      </c>
      <c r="C969" s="6" t="str">
        <f>IFERROR(__xludf.DUMMYFUNCTION("""COMPUTED_VALUE"""),"P-15851-00")</f>
        <v>P-15851-00</v>
      </c>
      <c r="D969" s="6" t="str">
        <f>IFERROR(__xludf.DUMMYFUNCTION("""COMPUTED_VALUE"""),"AMPLAS EAGLE 100")</f>
        <v>AMPLAS EAGLE 100</v>
      </c>
      <c r="E969" s="6">
        <f>IFERROR(__xludf.DUMMYFUNCTION("""COMPUTED_VALUE"""),7.0)</f>
        <v>7</v>
      </c>
      <c r="F969" s="6">
        <f>IFERROR(__xludf.DUMMYFUNCTION("""COMPUTED_VALUE"""),1.0)</f>
        <v>1</v>
      </c>
      <c r="G969" s="6">
        <f>IFERROR(__xludf.DUMMYFUNCTION("""COMPUTED_VALUE"""),0.0)</f>
        <v>0</v>
      </c>
      <c r="H969" s="6" t="str">
        <f>IFERROR(__xludf.DUMMYFUNCTION("""COMPUTED_VALUE"""),"pcs")</f>
        <v>pcs</v>
      </c>
      <c r="I969" s="6" t="str">
        <f>IFERROR(__xludf.DUMMYFUNCTION("""COMPUTED_VALUE"""),"MFH")</f>
        <v>MFH</v>
      </c>
      <c r="J969" s="6" t="str">
        <f>IFERROR(__xludf.DUMMYFUNCTION("""COMPUTED_VALUE"""),"PWG")</f>
        <v>PWG</v>
      </c>
      <c r="K969" s="6" t="str">
        <f>IFERROR(__xludf.DUMMYFUNCTION("""COMPUTED_VALUE"""),"SPR/07/24/003")</f>
        <v>SPR/07/24/003</v>
      </c>
      <c r="L969" s="13">
        <f>IFERROR(__xludf.DUMMYFUNCTION("""COMPUTED_VALUE"""),45483.0)</f>
        <v>45483</v>
      </c>
    </row>
    <row r="970">
      <c r="A970" s="6" t="str">
        <f>IFERROR(__xludf.DUMMYFUNCTION("""COMPUTED_VALUE"""),"RMA")</f>
        <v>RMA</v>
      </c>
      <c r="B970" s="6" t="str">
        <f>IFERROR(__xludf.DUMMYFUNCTION("""COMPUTED_VALUE"""),"QAS")</f>
        <v>QAS</v>
      </c>
      <c r="C970" s="6" t="str">
        <f>IFERROR(__xludf.DUMMYFUNCTION("""COMPUTED_VALUE"""),"O-15931-00")</f>
        <v>O-15931-00</v>
      </c>
      <c r="D970" s="6" t="str">
        <f>IFERROR(__xludf.DUMMYFUNCTION("""COMPUTED_VALUE"""),"Double Tape 3M 1"" Merah - P/N : - pc")</f>
        <v>Double Tape 3M 1" Merah - P/N : - pc</v>
      </c>
      <c r="E970" s="6">
        <f>IFERROR(__xludf.DUMMYFUNCTION("""COMPUTED_VALUE"""),2.0)</f>
        <v>2</v>
      </c>
      <c r="F970" s="6">
        <f>IFERROR(__xludf.DUMMYFUNCTION("""COMPUTED_VALUE"""),1.0)</f>
        <v>1</v>
      </c>
      <c r="G970" s="6">
        <f>IFERROR(__xludf.DUMMYFUNCTION("""COMPUTED_VALUE"""),0.0)</f>
        <v>0</v>
      </c>
      <c r="H970" s="6" t="str">
        <f>IFERROR(__xludf.DUMMYFUNCTION("""COMPUTED_VALUE"""),"pcs")</f>
        <v>pcs</v>
      </c>
      <c r="I970" s="6" t="str">
        <f>IFERROR(__xludf.DUMMYFUNCTION("""COMPUTED_VALUE"""),"MFH")</f>
        <v>MFH</v>
      </c>
      <c r="J970" s="6" t="str">
        <f>IFERROR(__xludf.DUMMYFUNCTION("""COMPUTED_VALUE"""),"-")</f>
        <v>-</v>
      </c>
      <c r="K970" s="6" t="str">
        <f>IFERROR(__xludf.DUMMYFUNCTION("""COMPUTED_VALUE"""),"SPR/07/24/004")</f>
        <v>SPR/07/24/004</v>
      </c>
      <c r="L970" s="13">
        <f>IFERROR(__xludf.DUMMYFUNCTION("""COMPUTED_VALUE"""),45483.0)</f>
        <v>45483</v>
      </c>
    </row>
    <row r="971">
      <c r="A971" s="6" t="str">
        <f>IFERROR(__xludf.DUMMYFUNCTION("""COMPUTED_VALUE"""),"SFH")</f>
        <v>SFH</v>
      </c>
      <c r="B971" s="6" t="str">
        <f>IFERROR(__xludf.DUMMYFUNCTION("""COMPUTED_VALUE"""),"ENG")</f>
        <v>ENG</v>
      </c>
      <c r="C971" s="6" t="str">
        <f>IFERROR(__xludf.DUMMYFUNCTION("""COMPUTED_VALUE"""),"Q-60503-00")</f>
        <v>Q-60503-00</v>
      </c>
      <c r="D971" s="6" t="str">
        <f>IFERROR(__xludf.DUMMYFUNCTION("""COMPUTED_VALUE"""),"Silicone Sealant, Silglaze, Type N10 Grey, pack size per pcs")</f>
        <v>Silicone Sealant, Silglaze, Type N10 Grey, pack size per pcs</v>
      </c>
      <c r="E971" s="6">
        <f>IFERROR(__xludf.DUMMYFUNCTION("""COMPUTED_VALUE"""),1.0)</f>
        <v>1</v>
      </c>
      <c r="F971" s="6">
        <f>IFERROR(__xludf.DUMMYFUNCTION("""COMPUTED_VALUE"""),1.0)</f>
        <v>1</v>
      </c>
      <c r="G971" s="6">
        <f>IFERROR(__xludf.DUMMYFUNCTION("""COMPUTED_VALUE"""),0.0)</f>
        <v>0</v>
      </c>
      <c r="H971" s="6" t="str">
        <f>IFERROR(__xludf.DUMMYFUNCTION("""COMPUTED_VALUE"""),"pcs")</f>
        <v>pcs</v>
      </c>
      <c r="I971" s="6" t="str">
        <f>IFERROR(__xludf.DUMMYFUNCTION("""COMPUTED_VALUE"""),"MFH")</f>
        <v>MFH</v>
      </c>
      <c r="J971" s="6" t="str">
        <f>IFERROR(__xludf.DUMMYFUNCTION("""COMPUTED_VALUE"""),"Building")</f>
        <v>Building</v>
      </c>
      <c r="K971" s="6" t="str">
        <f>IFERROR(__xludf.DUMMYFUNCTION("""COMPUTED_VALUE"""),"SPR/07/24/005")</f>
        <v>SPR/07/24/005</v>
      </c>
      <c r="L971" s="13">
        <f>IFERROR(__xludf.DUMMYFUNCTION("""COMPUTED_VALUE"""),45483.0)</f>
        <v>45483</v>
      </c>
    </row>
    <row r="972">
      <c r="A972" s="6" t="str">
        <f>IFERROR(__xludf.DUMMYFUNCTION("""COMPUTED_VALUE"""),"RPA")</f>
        <v>RPA</v>
      </c>
      <c r="B972" s="6" t="str">
        <f>IFERROR(__xludf.DUMMYFUNCTION("""COMPUTED_VALUE"""),"PRO")</f>
        <v>PRO</v>
      </c>
      <c r="C972" s="6" t="str">
        <f>IFERROR(__xludf.DUMMYFUNCTION("""COMPUTED_VALUE"""),"O-15931-00")</f>
        <v>O-15931-00</v>
      </c>
      <c r="D972" s="6" t="str">
        <f>IFERROR(__xludf.DUMMYFUNCTION("""COMPUTED_VALUE"""),"Double Tape 3M 1"" Merah - P/N : - pc")</f>
        <v>Double Tape 3M 1" Merah - P/N : - pc</v>
      </c>
      <c r="E972" s="6">
        <f>IFERROR(__xludf.DUMMYFUNCTION("""COMPUTED_VALUE"""),2.0)</f>
        <v>2</v>
      </c>
      <c r="F972" s="6">
        <f>IFERROR(__xludf.DUMMYFUNCTION("""COMPUTED_VALUE"""),1.0)</f>
        <v>1</v>
      </c>
      <c r="G972" s="6">
        <f>IFERROR(__xludf.DUMMYFUNCTION("""COMPUTED_VALUE"""),0.0)</f>
        <v>0</v>
      </c>
      <c r="H972" s="6" t="str">
        <f>IFERROR(__xludf.DUMMYFUNCTION("""COMPUTED_VALUE"""),"pcs")</f>
        <v>pcs</v>
      </c>
      <c r="I972" s="6" t="str">
        <f>IFERROR(__xludf.DUMMYFUNCTION("""COMPUTED_VALUE"""),"MFH")</f>
        <v>MFH</v>
      </c>
      <c r="J972" s="6" t="str">
        <f>IFERROR(__xludf.DUMMYFUNCTION("""COMPUTED_VALUE"""),"Building")</f>
        <v>Building</v>
      </c>
      <c r="K972" s="6" t="str">
        <f>IFERROR(__xludf.DUMMYFUNCTION("""COMPUTED_VALUE"""),"SPR/07/24/006")</f>
        <v>SPR/07/24/006</v>
      </c>
      <c r="L972" s="13">
        <f>IFERROR(__xludf.DUMMYFUNCTION("""COMPUTED_VALUE"""),45483.0)</f>
        <v>45483</v>
      </c>
    </row>
    <row r="973">
      <c r="A973" s="6" t="str">
        <f>IFERROR(__xludf.DUMMYFUNCTION("""COMPUTED_VALUE"""),"RPA")</f>
        <v>RPA</v>
      </c>
      <c r="B973" s="6" t="str">
        <f>IFERROR(__xludf.DUMMYFUNCTION("""COMPUTED_VALUE"""),"PRO")</f>
        <v>PRO</v>
      </c>
      <c r="C973" s="6" t="str">
        <f>IFERROR(__xludf.DUMMYFUNCTION("""COMPUTED_VALUE"""),"T-80038-00")</f>
        <v>T-80038-00</v>
      </c>
      <c r="D973" s="6" t="str">
        <f>IFERROR(__xludf.DUMMYFUNCTION("""COMPUTED_VALUE"""),"Batterai Size AAA")</f>
        <v>Batterai Size AAA</v>
      </c>
      <c r="E973" s="6">
        <f>IFERROR(__xludf.DUMMYFUNCTION("""COMPUTED_VALUE"""),2.0)</f>
        <v>2</v>
      </c>
      <c r="F973" s="6">
        <f>IFERROR(__xludf.DUMMYFUNCTION("""COMPUTED_VALUE"""),2.0)</f>
        <v>2</v>
      </c>
      <c r="G973" s="6">
        <f>IFERROR(__xludf.DUMMYFUNCTION("""COMPUTED_VALUE"""),0.0)</f>
        <v>0</v>
      </c>
      <c r="H973" s="6" t="str">
        <f>IFERROR(__xludf.DUMMYFUNCTION("""COMPUTED_VALUE"""),"pcs")</f>
        <v>pcs</v>
      </c>
      <c r="I973" s="6" t="str">
        <f>IFERROR(__xludf.DUMMYFUNCTION("""COMPUTED_VALUE"""),"MFH")</f>
        <v>MFH</v>
      </c>
      <c r="J973" s="6" t="str">
        <f>IFERROR(__xludf.DUMMYFUNCTION("""COMPUTED_VALUE"""),"Packhall")</f>
        <v>Packhall</v>
      </c>
      <c r="K973" s="6" t="str">
        <f>IFERROR(__xludf.DUMMYFUNCTION("""COMPUTED_VALUE"""),"SPR/07/24/006")</f>
        <v>SPR/07/24/006</v>
      </c>
      <c r="L973" s="13">
        <f>IFERROR(__xludf.DUMMYFUNCTION("""COMPUTED_VALUE"""),45483.0)</f>
        <v>45483</v>
      </c>
    </row>
    <row r="974">
      <c r="A974" s="6" t="str">
        <f>IFERROR(__xludf.DUMMYFUNCTION("""COMPUTED_VALUE"""),"MOB")</f>
        <v>MOB</v>
      </c>
      <c r="B974" s="6" t="str">
        <f>IFERROR(__xludf.DUMMYFUNCTION("""COMPUTED_VALUE"""),"ENG")</f>
        <v>ENG</v>
      </c>
      <c r="C974" s="6" t="str">
        <f>IFERROR(__xludf.DUMMYFUNCTION("""COMPUTED_VALUE"""),"Q-10946-00")</f>
        <v>Q-10946-00</v>
      </c>
      <c r="D974" s="6" t="str">
        <f>IFERROR(__xludf.DUMMYFUNCTION("""COMPUTED_VALUE"""),"Silicone Sealant N10 Light Grey")</f>
        <v>Silicone Sealant N10 Light Grey</v>
      </c>
      <c r="E974" s="6">
        <f>IFERROR(__xludf.DUMMYFUNCTION("""COMPUTED_VALUE"""),3.0)</f>
        <v>3</v>
      </c>
      <c r="F974" s="6">
        <f>IFERROR(__xludf.DUMMYFUNCTION("""COMPUTED_VALUE"""),1.0)</f>
        <v>1</v>
      </c>
      <c r="G974" s="6">
        <f>IFERROR(__xludf.DUMMYFUNCTION("""COMPUTED_VALUE"""),0.0)</f>
        <v>0</v>
      </c>
      <c r="H974" s="6" t="str">
        <f>IFERROR(__xludf.DUMMYFUNCTION("""COMPUTED_VALUE"""),"pcs")</f>
        <v>pcs</v>
      </c>
      <c r="I974" s="6" t="str">
        <f>IFERROR(__xludf.DUMMYFUNCTION("""COMPUTED_VALUE"""),"MFH")</f>
        <v>MFH</v>
      </c>
      <c r="J974" s="6" t="str">
        <f>IFERROR(__xludf.DUMMYFUNCTION("""COMPUTED_VALUE"""),"Building")</f>
        <v>Building</v>
      </c>
      <c r="K974" s="6" t="str">
        <f>IFERROR(__xludf.DUMMYFUNCTION("""COMPUTED_VALUE"""),"SPR/07/24/007")</f>
        <v>SPR/07/24/007</v>
      </c>
      <c r="L974" s="13">
        <f>IFERROR(__xludf.DUMMYFUNCTION("""COMPUTED_VALUE"""),45483.0)</f>
        <v>45483</v>
      </c>
    </row>
    <row r="975">
      <c r="A975" s="6" t="str">
        <f>IFERROR(__xludf.DUMMYFUNCTION("""COMPUTED_VALUE"""),"ANO")</f>
        <v>ANO</v>
      </c>
      <c r="B975" s="6" t="str">
        <f>IFERROR(__xludf.DUMMYFUNCTION("""COMPUTED_VALUE"""),"ENG")</f>
        <v>ENG</v>
      </c>
      <c r="C975" s="6" t="str">
        <f>IFERROR(__xludf.DUMMYFUNCTION("""COMPUTED_VALUE"""),"P-11990-00")</f>
        <v>P-11990-00</v>
      </c>
      <c r="D975" s="6" t="str">
        <f>IFERROR(__xludf.DUMMYFUNCTION("""COMPUTED_VALUE"""),"Cable ties CS 100L")</f>
        <v>Cable ties CS 100L</v>
      </c>
      <c r="E975" s="6">
        <f>IFERROR(__xludf.DUMMYFUNCTION("""COMPUTED_VALUE"""),3.0)</f>
        <v>3</v>
      </c>
      <c r="F975" s="6">
        <f>IFERROR(__xludf.DUMMYFUNCTION("""COMPUTED_VALUE"""),1.0)</f>
        <v>1</v>
      </c>
      <c r="G975" s="6">
        <f>IFERROR(__xludf.DUMMYFUNCTION("""COMPUTED_VALUE"""),0.0)</f>
        <v>0</v>
      </c>
      <c r="H975" s="6" t="str">
        <f>IFERROR(__xludf.DUMMYFUNCTION("""COMPUTED_VALUE"""),"pcs")</f>
        <v>pcs</v>
      </c>
      <c r="I975" s="6" t="str">
        <f>IFERROR(__xludf.DUMMYFUNCTION("""COMPUTED_VALUE"""),"MFH")</f>
        <v>MFH</v>
      </c>
      <c r="J975" s="6" t="str">
        <f>IFERROR(__xludf.DUMMYFUNCTION("""COMPUTED_VALUE"""),"OSD")</f>
        <v>OSD</v>
      </c>
      <c r="K975" s="6" t="str">
        <f>IFERROR(__xludf.DUMMYFUNCTION("""COMPUTED_VALUE"""),"SPR/07/24/008")</f>
        <v>SPR/07/24/008</v>
      </c>
      <c r="L975" s="13">
        <f>IFERROR(__xludf.DUMMYFUNCTION("""COMPUTED_VALUE"""),45483.0)</f>
        <v>45483</v>
      </c>
    </row>
    <row r="976">
      <c r="A976" s="6" t="str">
        <f>IFERROR(__xludf.DUMMYFUNCTION("""COMPUTED_VALUE"""),"MOB")</f>
        <v>MOB</v>
      </c>
      <c r="B976" s="6" t="str">
        <f>IFERROR(__xludf.DUMMYFUNCTION("""COMPUTED_VALUE"""),"ENG")</f>
        <v>ENG</v>
      </c>
      <c r="C976" s="6" t="str">
        <f>IFERROR(__xludf.DUMMYFUNCTION("""COMPUTED_VALUE"""),"O-12735-00")</f>
        <v>O-12735-00</v>
      </c>
      <c r="D976" s="6" t="str">
        <f>IFERROR(__xludf.DUMMYFUNCTION("""COMPUTED_VALUE"""),"Tubing Polyurethane TU0604 Clear; SMC; Part No. X3; roll")</f>
        <v>Tubing Polyurethane TU0604 Clear; SMC; Part No. X3; roll</v>
      </c>
      <c r="E976" s="6">
        <f>IFERROR(__xludf.DUMMYFUNCTION("""COMPUTED_VALUE"""),2.0)</f>
        <v>2</v>
      </c>
      <c r="F976" s="6">
        <f>IFERROR(__xludf.DUMMYFUNCTION("""COMPUTED_VALUE"""),2.0)</f>
        <v>2</v>
      </c>
      <c r="G976" s="6">
        <f>IFERROR(__xludf.DUMMYFUNCTION("""COMPUTED_VALUE"""),0.0)</f>
        <v>0</v>
      </c>
      <c r="H976" s="6" t="str">
        <f>IFERROR(__xludf.DUMMYFUNCTION("""COMPUTED_VALUE"""),"pcs")</f>
        <v>pcs</v>
      </c>
      <c r="I976" s="6" t="str">
        <f>IFERROR(__xludf.DUMMYFUNCTION("""COMPUTED_VALUE"""),"MFH")</f>
        <v>MFH</v>
      </c>
      <c r="J976" s="6" t="str">
        <f>IFERROR(__xludf.DUMMYFUNCTION("""COMPUTED_VALUE"""),"PWG")</f>
        <v>PWG</v>
      </c>
      <c r="K976" s="6" t="str">
        <f>IFERROR(__xludf.DUMMYFUNCTION("""COMPUTED_VALUE"""),"SPR/07/24/009")</f>
        <v>SPR/07/24/009</v>
      </c>
      <c r="L976" s="13">
        <f>IFERROR(__xludf.DUMMYFUNCTION("""COMPUTED_VALUE"""),45483.0)</f>
        <v>45483</v>
      </c>
    </row>
    <row r="977">
      <c r="A977" s="6" t="str">
        <f>IFERROR(__xludf.DUMMYFUNCTION("""COMPUTED_VALUE"""),"ANO")</f>
        <v>ANO</v>
      </c>
      <c r="B977" s="6" t="str">
        <f>IFERROR(__xludf.DUMMYFUNCTION("""COMPUTED_VALUE"""),"ENG")</f>
        <v>ENG</v>
      </c>
      <c r="C977" s="6" t="str">
        <f>IFERROR(__xludf.DUMMYFUNCTION("""COMPUTED_VALUE"""),"P-15851-00")</f>
        <v>P-15851-00</v>
      </c>
      <c r="D977" s="6" t="str">
        <f>IFERROR(__xludf.DUMMYFUNCTION("""COMPUTED_VALUE"""),"AMPLAS EAGLE 100")</f>
        <v>AMPLAS EAGLE 100</v>
      </c>
      <c r="E977" s="6">
        <f>IFERROR(__xludf.DUMMYFUNCTION("""COMPUTED_VALUE"""),8.0)</f>
        <v>8</v>
      </c>
      <c r="F977" s="6">
        <f>IFERROR(__xludf.DUMMYFUNCTION("""COMPUTED_VALUE"""),1.0)</f>
        <v>1</v>
      </c>
      <c r="G977" s="6">
        <f>IFERROR(__xludf.DUMMYFUNCTION("""COMPUTED_VALUE"""),0.0)</f>
        <v>0</v>
      </c>
      <c r="H977" s="6" t="str">
        <f>IFERROR(__xludf.DUMMYFUNCTION("""COMPUTED_VALUE"""),"pcs")</f>
        <v>pcs</v>
      </c>
      <c r="I977" s="6" t="str">
        <f>IFERROR(__xludf.DUMMYFUNCTION("""COMPUTED_VALUE"""),"MFH")</f>
        <v>MFH</v>
      </c>
      <c r="J977" s="6" t="str">
        <f>IFERROR(__xludf.DUMMYFUNCTION("""COMPUTED_VALUE"""),"OSD")</f>
        <v>OSD</v>
      </c>
      <c r="K977" s="6" t="str">
        <f>IFERROR(__xludf.DUMMYFUNCTION("""COMPUTED_VALUE"""),"SPR/07/24/010")</f>
        <v>SPR/07/24/010</v>
      </c>
      <c r="L977" s="13">
        <f>IFERROR(__xludf.DUMMYFUNCTION("""COMPUTED_VALUE"""),45483.0)</f>
        <v>45483</v>
      </c>
    </row>
    <row r="978">
      <c r="A978" s="6" t="str">
        <f>IFERROR(__xludf.DUMMYFUNCTION("""COMPUTED_VALUE"""),"ANO")</f>
        <v>ANO</v>
      </c>
      <c r="B978" s="6" t="str">
        <f>IFERROR(__xludf.DUMMYFUNCTION("""COMPUTED_VALUE"""),"ENG")</f>
        <v>ENG</v>
      </c>
      <c r="C978" s="6" t="str">
        <f>IFERROR(__xludf.DUMMYFUNCTION("""COMPUTED_VALUE"""),"P-50263-00")</f>
        <v>P-50263-00</v>
      </c>
      <c r="D978" s="6" t="str">
        <f>IFERROR(__xludf.DUMMYFUNCTION("""COMPUTED_VALUE"""),"Gland Cable")</f>
        <v>Gland Cable</v>
      </c>
      <c r="E978" s="6">
        <f>IFERROR(__xludf.DUMMYFUNCTION("""COMPUTED_VALUE"""),5.0)</f>
        <v>5</v>
      </c>
      <c r="F978" s="6">
        <f>IFERROR(__xludf.DUMMYFUNCTION("""COMPUTED_VALUE"""),2.0)</f>
        <v>2</v>
      </c>
      <c r="G978" s="6">
        <f>IFERROR(__xludf.DUMMYFUNCTION("""COMPUTED_VALUE"""),0.0)</f>
        <v>0</v>
      </c>
      <c r="H978" s="6" t="str">
        <f>IFERROR(__xludf.DUMMYFUNCTION("""COMPUTED_VALUE"""),"pcs")</f>
        <v>pcs</v>
      </c>
      <c r="I978" s="6" t="str">
        <f>IFERROR(__xludf.DUMMYFUNCTION("""COMPUTED_VALUE"""),"MFH")</f>
        <v>MFH</v>
      </c>
      <c r="J978" s="6" t="str">
        <f>IFERROR(__xludf.DUMMYFUNCTION("""COMPUTED_VALUE"""),"OSD")</f>
        <v>OSD</v>
      </c>
      <c r="K978" s="6" t="str">
        <f>IFERROR(__xludf.DUMMYFUNCTION("""COMPUTED_VALUE"""),"SPR/07/24/011")</f>
        <v>SPR/07/24/011</v>
      </c>
      <c r="L978" s="13">
        <f>IFERROR(__xludf.DUMMYFUNCTION("""COMPUTED_VALUE"""),45483.0)</f>
        <v>45483</v>
      </c>
    </row>
    <row r="979">
      <c r="A979" s="6" t="str">
        <f>IFERROR(__xludf.DUMMYFUNCTION("""COMPUTED_VALUE"""),"ANO")</f>
        <v>ANO</v>
      </c>
      <c r="B979" s="6" t="str">
        <f>IFERROR(__xludf.DUMMYFUNCTION("""COMPUTED_VALUE"""),"ENG")</f>
        <v>ENG</v>
      </c>
      <c r="C979" s="6" t="str">
        <f>IFERROR(__xludf.DUMMYFUNCTION("""COMPUTED_VALUE"""),"P-51027-00")</f>
        <v>P-51027-00</v>
      </c>
      <c r="D97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979" s="6">
        <f>IFERROR(__xludf.DUMMYFUNCTION("""COMPUTED_VALUE"""),4.0)</f>
        <v>4</v>
      </c>
      <c r="F979" s="6">
        <f>IFERROR(__xludf.DUMMYFUNCTION("""COMPUTED_VALUE"""),1.0)</f>
        <v>1</v>
      </c>
      <c r="G979" s="6">
        <f>IFERROR(__xludf.DUMMYFUNCTION("""COMPUTED_VALUE"""),0.0)</f>
        <v>0</v>
      </c>
      <c r="H979" s="6" t="str">
        <f>IFERROR(__xludf.DUMMYFUNCTION("""COMPUTED_VALUE"""),"pcs")</f>
        <v>pcs</v>
      </c>
      <c r="I979" s="6" t="str">
        <f>IFERROR(__xludf.DUMMYFUNCTION("""COMPUTED_VALUE"""),"MFH")</f>
        <v>MFH</v>
      </c>
      <c r="J979" s="6" t="str">
        <f>IFERROR(__xludf.DUMMYFUNCTION("""COMPUTED_VALUE"""),"OSD")</f>
        <v>OSD</v>
      </c>
      <c r="K979" s="6" t="str">
        <f>IFERROR(__xludf.DUMMYFUNCTION("""COMPUTED_VALUE"""),"SPR/07/24/011")</f>
        <v>SPR/07/24/011</v>
      </c>
      <c r="L979" s="13">
        <f>IFERROR(__xludf.DUMMYFUNCTION("""COMPUTED_VALUE"""),45483.0)</f>
        <v>45483</v>
      </c>
    </row>
    <row r="980">
      <c r="A980" s="6" t="str">
        <f>IFERROR(__xludf.DUMMYFUNCTION("""COMPUTED_VALUE"""),"SFH")</f>
        <v>SFH</v>
      </c>
      <c r="B980" s="6" t="str">
        <f>IFERROR(__xludf.DUMMYFUNCTION("""COMPUTED_VALUE"""),"ENG")</f>
        <v>ENG</v>
      </c>
      <c r="C980" s="6" t="str">
        <f>IFERROR(__xludf.DUMMYFUNCTION("""COMPUTED_VALUE"""),"P-13389-00")</f>
        <v>P-13389-00</v>
      </c>
      <c r="D980" s="6" t="str">
        <f>IFERROR(__xludf.DUMMYFUNCTION("""COMPUTED_VALUE"""),"Scotch Brite 3M; ; ;")</f>
        <v>Scotch Brite 3M; ; ;</v>
      </c>
      <c r="E980" s="6">
        <f>IFERROR(__xludf.DUMMYFUNCTION("""COMPUTED_VALUE"""),13.0)</f>
        <v>13</v>
      </c>
      <c r="F980" s="6">
        <f>IFERROR(__xludf.DUMMYFUNCTION("""COMPUTED_VALUE"""),1.0)</f>
        <v>1</v>
      </c>
      <c r="G980" s="6">
        <f>IFERROR(__xludf.DUMMYFUNCTION("""COMPUTED_VALUE"""),0.0)</f>
        <v>0</v>
      </c>
      <c r="H980" s="6" t="str">
        <f>IFERROR(__xludf.DUMMYFUNCTION("""COMPUTED_VALUE"""),"pcs")</f>
        <v>pcs</v>
      </c>
      <c r="I980" s="6" t="str">
        <f>IFERROR(__xludf.DUMMYFUNCTION("""COMPUTED_VALUE"""),"MFH")</f>
        <v>MFH</v>
      </c>
      <c r="J980" s="6" t="str">
        <f>IFERROR(__xludf.DUMMYFUNCTION("""COMPUTED_VALUE"""),"Building")</f>
        <v>Building</v>
      </c>
      <c r="K980" s="6" t="str">
        <f>IFERROR(__xludf.DUMMYFUNCTION("""COMPUTED_VALUE"""),"SPR/07/24/012")</f>
        <v>SPR/07/24/012</v>
      </c>
      <c r="L980" s="13">
        <f>IFERROR(__xludf.DUMMYFUNCTION("""COMPUTED_VALUE"""),45483.0)</f>
        <v>45483</v>
      </c>
    </row>
    <row r="981">
      <c r="A981" s="6" t="str">
        <f>IFERROR(__xludf.DUMMYFUNCTION("""COMPUTED_VALUE"""),"ROS")</f>
        <v>ROS</v>
      </c>
      <c r="B981" s="6" t="str">
        <f>IFERROR(__xludf.DUMMYFUNCTION("""COMPUTED_VALUE"""),"ENG")</f>
        <v>ENG</v>
      </c>
      <c r="C981" s="6" t="str">
        <f>IFERROR(__xludf.DUMMYFUNCTION("""COMPUTED_VALUE"""),"O-19255-00")</f>
        <v>O-19255-00</v>
      </c>
      <c r="D981" s="6" t="str">
        <f>IFERROR(__xludf.DUMMYFUNCTION("""COMPUTED_VALUE"""),"Spring Tekan SS304 ID 10mm, OD 16mm, Tebal 3mm, Panjang 71.35mm; ; ;")</f>
        <v>Spring Tekan SS304 ID 10mm, OD 16mm, Tebal 3mm, Panjang 71.35mm; ; ;</v>
      </c>
      <c r="E981" s="6">
        <f>IFERROR(__xludf.DUMMYFUNCTION("""COMPUTED_VALUE"""),10.0)</f>
        <v>10</v>
      </c>
      <c r="F981" s="6">
        <f>IFERROR(__xludf.DUMMYFUNCTION("""COMPUTED_VALUE"""),4.0)</f>
        <v>4</v>
      </c>
      <c r="G981" s="6">
        <f>IFERROR(__xludf.DUMMYFUNCTION("""COMPUTED_VALUE"""),0.0)</f>
        <v>0</v>
      </c>
      <c r="H981" s="6" t="str">
        <f>IFERROR(__xludf.DUMMYFUNCTION("""COMPUTED_VALUE"""),"pcs")</f>
        <v>pcs</v>
      </c>
      <c r="I981" s="6" t="str">
        <f>IFERROR(__xludf.DUMMYFUNCTION("""COMPUTED_VALUE"""),"MFH")</f>
        <v>MFH</v>
      </c>
      <c r="J981" s="6" t="str">
        <f>IFERROR(__xludf.DUMMYFUNCTION("""COMPUTED_VALUE"""),"Lab")</f>
        <v>Lab</v>
      </c>
      <c r="K981" s="6" t="str">
        <f>IFERROR(__xludf.DUMMYFUNCTION("""COMPUTED_VALUE"""),"SPR/07/24/013")</f>
        <v>SPR/07/24/013</v>
      </c>
      <c r="L981" s="13">
        <f>IFERROR(__xludf.DUMMYFUNCTION("""COMPUTED_VALUE"""),45483.0)</f>
        <v>45483</v>
      </c>
    </row>
    <row r="982">
      <c r="A982" s="6" t="str">
        <f>IFERROR(__xludf.DUMMYFUNCTION("""COMPUTED_VALUE"""),"ROS")</f>
        <v>ROS</v>
      </c>
      <c r="B982" s="6" t="str">
        <f>IFERROR(__xludf.DUMMYFUNCTION("""COMPUTED_VALUE"""),"ENG")</f>
        <v>ENG</v>
      </c>
      <c r="C982" s="6" t="str">
        <f>IFERROR(__xludf.DUMMYFUNCTION("""COMPUTED_VALUE"""),"P-53173-00")</f>
        <v>P-53173-00</v>
      </c>
      <c r="D982" s="6" t="str">
        <f>IFERROR(__xludf.DUMMYFUNCTION("""COMPUTED_VALUE"""),"Ballast Electronic EB-C 214 TL5, 2x14W; Phillips; ;")</f>
        <v>Ballast Electronic EB-C 214 TL5, 2x14W; Phillips; ;</v>
      </c>
      <c r="E982" s="6">
        <f>IFERROR(__xludf.DUMMYFUNCTION("""COMPUTED_VALUE"""),1.0)</f>
        <v>1</v>
      </c>
      <c r="F982" s="6">
        <f>IFERROR(__xludf.DUMMYFUNCTION("""COMPUTED_VALUE"""),1.0)</f>
        <v>1</v>
      </c>
      <c r="G982" s="6">
        <f>IFERROR(__xludf.DUMMYFUNCTION("""COMPUTED_VALUE"""),0.0)</f>
        <v>0</v>
      </c>
      <c r="H982" s="6" t="str">
        <f>IFERROR(__xludf.DUMMYFUNCTION("""COMPUTED_VALUE"""),"pcs")</f>
        <v>pcs</v>
      </c>
      <c r="I982" s="6" t="str">
        <f>IFERROR(__xludf.DUMMYFUNCTION("""COMPUTED_VALUE"""),"MFH")</f>
        <v>MFH</v>
      </c>
      <c r="J982" s="6" t="str">
        <f>IFERROR(__xludf.DUMMYFUNCTION("""COMPUTED_VALUE"""),"Building")</f>
        <v>Building</v>
      </c>
      <c r="K982" s="6" t="str">
        <f>IFERROR(__xludf.DUMMYFUNCTION("""COMPUTED_VALUE"""),"SPR/07/24/013")</f>
        <v>SPR/07/24/013</v>
      </c>
      <c r="L982" s="13">
        <f>IFERROR(__xludf.DUMMYFUNCTION("""COMPUTED_VALUE"""),45483.0)</f>
        <v>45483</v>
      </c>
    </row>
    <row r="983">
      <c r="A983" s="6" t="str">
        <f>IFERROR(__xludf.DUMMYFUNCTION("""COMPUTED_VALUE"""),"ROS")</f>
        <v>ROS</v>
      </c>
      <c r="B983" s="6" t="str">
        <f>IFERROR(__xludf.DUMMYFUNCTION("""COMPUTED_VALUE"""),"ENG")</f>
        <v>ENG</v>
      </c>
      <c r="C983" s="6" t="str">
        <f>IFERROR(__xludf.DUMMYFUNCTION("""COMPUTED_VALUE"""),"P-51559-00")</f>
        <v>P-51559-00</v>
      </c>
      <c r="D983" s="6" t="str">
        <f>IFERROR(__xludf.DUMMYFUNCTION("""COMPUTED_VALUE"""),"Lampu T5 14watt Putih; Phillips; ;")</f>
        <v>Lampu T5 14watt Putih; Phillips; ;</v>
      </c>
      <c r="E983" s="6">
        <f>IFERROR(__xludf.DUMMYFUNCTION("""COMPUTED_VALUE"""),10.0)</f>
        <v>10</v>
      </c>
      <c r="F983" s="6">
        <f>IFERROR(__xludf.DUMMYFUNCTION("""COMPUTED_VALUE"""),10.0)</f>
        <v>10</v>
      </c>
      <c r="G983" s="6">
        <f>IFERROR(__xludf.DUMMYFUNCTION("""COMPUTED_VALUE"""),0.0)</f>
        <v>0</v>
      </c>
      <c r="H983" s="6" t="str">
        <f>IFERROR(__xludf.DUMMYFUNCTION("""COMPUTED_VALUE"""),"pcs")</f>
        <v>pcs</v>
      </c>
      <c r="I983" s="6" t="str">
        <f>IFERROR(__xludf.DUMMYFUNCTION("""COMPUTED_VALUE"""),"MFH")</f>
        <v>MFH</v>
      </c>
      <c r="J983" s="6" t="str">
        <f>IFERROR(__xludf.DUMMYFUNCTION("""COMPUTED_VALUE"""),"Building")</f>
        <v>Building</v>
      </c>
      <c r="K983" s="6" t="str">
        <f>IFERROR(__xludf.DUMMYFUNCTION("""COMPUTED_VALUE"""),"SPR/07/24/014")</f>
        <v>SPR/07/24/014</v>
      </c>
      <c r="L983" s="13">
        <f>IFERROR(__xludf.DUMMYFUNCTION("""COMPUTED_VALUE"""),45483.0)</f>
        <v>45483</v>
      </c>
    </row>
    <row r="984">
      <c r="A984" s="6" t="str">
        <f>IFERROR(__xludf.DUMMYFUNCTION("""COMPUTED_VALUE"""),"ROS")</f>
        <v>ROS</v>
      </c>
      <c r="B984" s="6" t="str">
        <f>IFERROR(__xludf.DUMMYFUNCTION("""COMPUTED_VALUE"""),"ENG")</f>
        <v>ENG</v>
      </c>
      <c r="C984" s="6" t="str">
        <f>IFERROR(__xludf.DUMMYFUNCTION("""COMPUTED_VALUE"""),"P-51560-00")</f>
        <v>P-51560-00</v>
      </c>
      <c r="D984" s="6" t="str">
        <f>IFERROR(__xludf.DUMMYFUNCTION("""COMPUTED_VALUE"""),"Lampu T5 28watt Putih; Phillips; ;")</f>
        <v>Lampu T5 28watt Putih; Phillips; ;</v>
      </c>
      <c r="E984" s="6">
        <f>IFERROR(__xludf.DUMMYFUNCTION("""COMPUTED_VALUE"""),29.0)</f>
        <v>29</v>
      </c>
      <c r="F984" s="6">
        <f>IFERROR(__xludf.DUMMYFUNCTION("""COMPUTED_VALUE"""),10.0)</f>
        <v>10</v>
      </c>
      <c r="G984" s="6">
        <f>IFERROR(__xludf.DUMMYFUNCTION("""COMPUTED_VALUE"""),0.0)</f>
        <v>0</v>
      </c>
      <c r="H984" s="6" t="str">
        <f>IFERROR(__xludf.DUMMYFUNCTION("""COMPUTED_VALUE"""),"pcs")</f>
        <v>pcs</v>
      </c>
      <c r="I984" s="6" t="str">
        <f>IFERROR(__xludf.DUMMYFUNCTION("""COMPUTED_VALUE"""),"MFH")</f>
        <v>MFH</v>
      </c>
      <c r="J984" s="6" t="str">
        <f>IFERROR(__xludf.DUMMYFUNCTION("""COMPUTED_VALUE"""),"Building")</f>
        <v>Building</v>
      </c>
      <c r="K984" s="6" t="str">
        <f>IFERROR(__xludf.DUMMYFUNCTION("""COMPUTED_VALUE"""),"SPR/07/24/014")</f>
        <v>SPR/07/24/014</v>
      </c>
      <c r="L984" s="13">
        <f>IFERROR(__xludf.DUMMYFUNCTION("""COMPUTED_VALUE"""),45483.0)</f>
        <v>45483</v>
      </c>
    </row>
    <row r="985">
      <c r="A985" s="6" t="str">
        <f>IFERROR(__xludf.DUMMYFUNCTION("""COMPUTED_VALUE"""),"IRP")</f>
        <v>IRP</v>
      </c>
      <c r="B985" s="6" t="str">
        <f>IFERROR(__xludf.DUMMYFUNCTION("""COMPUTED_VALUE"""),"PRO")</f>
        <v>PRO</v>
      </c>
      <c r="C985" s="6" t="str">
        <f>IFERROR(__xludf.DUMMYFUNCTION("""COMPUTED_VALUE"""),"Q-10249-00")</f>
        <v>Q-10249-00</v>
      </c>
      <c r="D985" s="6" t="str">
        <f>IFERROR(__xludf.DUMMYFUNCTION("""COMPUTED_VALUE"""),"Lem Power Glue")</f>
        <v>Lem Power Glue</v>
      </c>
      <c r="E985" s="6">
        <f>IFERROR(__xludf.DUMMYFUNCTION("""COMPUTED_VALUE"""),4.0)</f>
        <v>4</v>
      </c>
      <c r="F985" s="6">
        <f>IFERROR(__xludf.DUMMYFUNCTION("""COMPUTED_VALUE"""),1.0)</f>
        <v>1</v>
      </c>
      <c r="G985" s="6">
        <f>IFERROR(__xludf.DUMMYFUNCTION("""COMPUTED_VALUE"""),0.0)</f>
        <v>0</v>
      </c>
      <c r="H985" s="6" t="str">
        <f>IFERROR(__xludf.DUMMYFUNCTION("""COMPUTED_VALUE"""),"pcs")</f>
        <v>pcs</v>
      </c>
      <c r="I985" s="6" t="str">
        <f>IFERROR(__xludf.DUMMYFUNCTION("""COMPUTED_VALUE"""),"MFH")</f>
        <v>MFH</v>
      </c>
      <c r="J985" s="6" t="str">
        <f>IFERROR(__xludf.DUMMYFUNCTION("""COMPUTED_VALUE"""),"-")</f>
        <v>-</v>
      </c>
      <c r="K985" s="6" t="str">
        <f>IFERROR(__xludf.DUMMYFUNCTION("""COMPUTED_VALUE"""),"SPR/07/24/015")</f>
        <v>SPR/07/24/015</v>
      </c>
      <c r="L985" s="13">
        <f>IFERROR(__xludf.DUMMYFUNCTION("""COMPUTED_VALUE"""),45483.0)</f>
        <v>45483</v>
      </c>
    </row>
    <row r="986">
      <c r="A986" s="6" t="str">
        <f>IFERROR(__xludf.DUMMYFUNCTION("""COMPUTED_VALUE"""),"MRN")</f>
        <v>MRN</v>
      </c>
      <c r="B986" s="6" t="str">
        <f>IFERROR(__xludf.DUMMYFUNCTION("""COMPUTED_VALUE"""),"ENG")</f>
        <v>ENG</v>
      </c>
      <c r="C986" s="6" t="str">
        <f>IFERROR(__xludf.DUMMYFUNCTION("""COMPUTED_VALUE"""),"P-14245-00")</f>
        <v>P-14245-00</v>
      </c>
      <c r="D986" s="6" t="str">
        <f>IFERROR(__xludf.DUMMYFUNCTION("""COMPUTED_VALUE"""),"Manual valve HE-2-QS-8 FESTO; ; ;")</f>
        <v>Manual valve HE-2-QS-8 FESTO; ; ;</v>
      </c>
      <c r="E986" s="6">
        <f>IFERROR(__xludf.DUMMYFUNCTION("""COMPUTED_VALUE"""),3.0)</f>
        <v>3</v>
      </c>
      <c r="F986" s="6">
        <f>IFERROR(__xludf.DUMMYFUNCTION("""COMPUTED_VALUE"""),1.0)</f>
        <v>1</v>
      </c>
      <c r="G986" s="6">
        <f>IFERROR(__xludf.DUMMYFUNCTION("""COMPUTED_VALUE"""),0.0)</f>
        <v>0</v>
      </c>
      <c r="H986" s="6" t="str">
        <f>IFERROR(__xludf.DUMMYFUNCTION("""COMPUTED_VALUE"""),"pcs")</f>
        <v>pcs</v>
      </c>
      <c r="I986" s="6" t="str">
        <f>IFERROR(__xludf.DUMMYFUNCTION("""COMPUTED_VALUE"""),"MFH")</f>
        <v>MFH</v>
      </c>
      <c r="J986" s="6" t="str">
        <f>IFERROR(__xludf.DUMMYFUNCTION("""COMPUTED_VALUE"""),"N2")</f>
        <v>N2</v>
      </c>
      <c r="K986" s="6" t="str">
        <f>IFERROR(__xludf.DUMMYFUNCTION("""COMPUTED_VALUE"""),"SPR/07/24/016")</f>
        <v>SPR/07/24/016</v>
      </c>
      <c r="L986" s="13">
        <f>IFERROR(__xludf.DUMMYFUNCTION("""COMPUTED_VALUE"""),45483.0)</f>
        <v>45483</v>
      </c>
    </row>
    <row r="987">
      <c r="A987" s="6" t="str">
        <f>IFERROR(__xludf.DUMMYFUNCTION("""COMPUTED_VALUE"""),"MRN")</f>
        <v>MRN</v>
      </c>
      <c r="B987" s="6" t="str">
        <f>IFERROR(__xludf.DUMMYFUNCTION("""COMPUTED_VALUE"""),"ENG")</f>
        <v>ENG</v>
      </c>
      <c r="C987" s="6" t="str">
        <f>IFERROR(__xludf.DUMMYFUNCTION("""COMPUTED_VALUE"""),"P-53102-00")</f>
        <v>P-53102-00</v>
      </c>
      <c r="D987" s="6" t="str">
        <f>IFERROR(__xludf.DUMMYFUNCTION("""COMPUTED_VALUE"""),"Lampu PLC 13watt/E27 Putih; Phillips; ;")</f>
        <v>Lampu PLC 13watt/E27 Putih; Phillips; ;</v>
      </c>
      <c r="E987" s="6">
        <f>IFERROR(__xludf.DUMMYFUNCTION("""COMPUTED_VALUE"""),16.0)</f>
        <v>16</v>
      </c>
      <c r="F987" s="6">
        <f>IFERROR(__xludf.DUMMYFUNCTION("""COMPUTED_VALUE"""),2.0)</f>
        <v>2</v>
      </c>
      <c r="G987" s="6">
        <f>IFERROR(__xludf.DUMMYFUNCTION("""COMPUTED_VALUE"""),0.0)</f>
        <v>0</v>
      </c>
      <c r="H987" s="6" t="str">
        <f>IFERROR(__xludf.DUMMYFUNCTION("""COMPUTED_VALUE"""),"pcs")</f>
        <v>pcs</v>
      </c>
      <c r="I987" s="6" t="str">
        <f>IFERROR(__xludf.DUMMYFUNCTION("""COMPUTED_VALUE"""),"MFH")</f>
        <v>MFH</v>
      </c>
      <c r="J987" s="6" t="str">
        <f>IFERROR(__xludf.DUMMYFUNCTION("""COMPUTED_VALUE"""),"Building")</f>
        <v>Building</v>
      </c>
      <c r="K987" s="6" t="str">
        <f>IFERROR(__xludf.DUMMYFUNCTION("""COMPUTED_VALUE"""),"SPR/07/24/016")</f>
        <v>SPR/07/24/016</v>
      </c>
      <c r="L987" s="13">
        <f>IFERROR(__xludf.DUMMYFUNCTION("""COMPUTED_VALUE"""),45483.0)</f>
        <v>45483</v>
      </c>
    </row>
    <row r="988">
      <c r="A988" s="6" t="str">
        <f>IFERROR(__xludf.DUMMYFUNCTION("""COMPUTED_VALUE"""),"INN")</f>
        <v>INN</v>
      </c>
      <c r="B988" s="6" t="str">
        <f>IFERROR(__xludf.DUMMYFUNCTION("""COMPUTED_VALUE"""),"ENG")</f>
        <v>ENG</v>
      </c>
      <c r="C988" s="6" t="str">
        <f>IFERROR(__xludf.DUMMYFUNCTION("""COMPUTED_VALUE"""),"P-51856-00")</f>
        <v>P-51856-00</v>
      </c>
      <c r="D988" s="6" t="str">
        <f>IFERROR(__xludf.DUMMYFUNCTION("""COMPUTED_VALUE"""),"Key Selector Switch S2KR-4CK2AM Autonics; ; ;")</f>
        <v>Key Selector Switch S2KR-4CK2AM Autonics; ; ;</v>
      </c>
      <c r="E988" s="6">
        <f>IFERROR(__xludf.DUMMYFUNCTION("""COMPUTED_VALUE"""),1.0)</f>
        <v>1</v>
      </c>
      <c r="F988" s="6">
        <f>IFERROR(__xludf.DUMMYFUNCTION("""COMPUTED_VALUE"""),1.0)</f>
        <v>1</v>
      </c>
      <c r="G988" s="6">
        <f>IFERROR(__xludf.DUMMYFUNCTION("""COMPUTED_VALUE"""),0.0)</f>
        <v>0</v>
      </c>
      <c r="H988" s="6" t="str">
        <f>IFERROR(__xludf.DUMMYFUNCTION("""COMPUTED_VALUE"""),"Pcs")</f>
        <v>Pcs</v>
      </c>
      <c r="I988" s="6" t="str">
        <f>IFERROR(__xludf.DUMMYFUNCTION("""COMPUTED_VALUE"""),"MFH")</f>
        <v>MFH</v>
      </c>
      <c r="J988" s="6" t="str">
        <f>IFERROR(__xludf.DUMMYFUNCTION("""COMPUTED_VALUE"""),"WFI Washbay")</f>
        <v>WFI Washbay</v>
      </c>
      <c r="K988" s="6" t="str">
        <f>IFERROR(__xludf.DUMMYFUNCTION("""COMPUTED_VALUE"""),"SPR/07/24/017")</f>
        <v>SPR/07/24/017</v>
      </c>
      <c r="L988" s="13">
        <f>IFERROR(__xludf.DUMMYFUNCTION("""COMPUTED_VALUE"""),45483.0)</f>
        <v>45483</v>
      </c>
    </row>
    <row r="989">
      <c r="A989" s="6" t="str">
        <f>IFERROR(__xludf.DUMMYFUNCTION("""COMPUTED_VALUE"""),"INN")</f>
        <v>INN</v>
      </c>
      <c r="B989" s="6" t="str">
        <f>IFERROR(__xludf.DUMMYFUNCTION("""COMPUTED_VALUE"""),"ENG")</f>
        <v>ENG</v>
      </c>
      <c r="C989" s="6" t="str">
        <f>IFERROR(__xludf.DUMMYFUNCTION("""COMPUTED_VALUE"""),"-")</f>
        <v>-</v>
      </c>
      <c r="D989" s="6" t="str">
        <f>IFERROR(__xludf.DUMMYFUNCTION("""COMPUTED_VALUE"""),"Regulator ")</f>
        <v>Regulator </v>
      </c>
      <c r="E989" s="6">
        <f>IFERROR(__xludf.DUMMYFUNCTION("""COMPUTED_VALUE"""),1.0)</f>
        <v>1</v>
      </c>
      <c r="F989" s="6">
        <f>IFERROR(__xludf.DUMMYFUNCTION("""COMPUTED_VALUE"""),1.0)</f>
        <v>1</v>
      </c>
      <c r="G989" s="6">
        <f>IFERROR(__xludf.DUMMYFUNCTION("""COMPUTED_VALUE"""),0.0)</f>
        <v>0</v>
      </c>
      <c r="H989" s="6" t="str">
        <f>IFERROR(__xludf.DUMMYFUNCTION("""COMPUTED_VALUE"""),"Pcs")</f>
        <v>Pcs</v>
      </c>
      <c r="I989" s="6" t="str">
        <f>IFERROR(__xludf.DUMMYFUNCTION("""COMPUTED_VALUE"""),"MFH")</f>
        <v>MFH</v>
      </c>
      <c r="J989" s="6" t="str">
        <f>IFERROR(__xludf.DUMMYFUNCTION("""COMPUTED_VALUE"""),"WFI Washbay")</f>
        <v>WFI Washbay</v>
      </c>
      <c r="K989" s="6" t="str">
        <f>IFERROR(__xludf.DUMMYFUNCTION("""COMPUTED_VALUE"""),"SPR/07/24/017")</f>
        <v>SPR/07/24/017</v>
      </c>
      <c r="L989" s="13">
        <f>IFERROR(__xludf.DUMMYFUNCTION("""COMPUTED_VALUE"""),45483.0)</f>
        <v>45483</v>
      </c>
    </row>
    <row r="990">
      <c r="A990" s="6" t="str">
        <f>IFERROR(__xludf.DUMMYFUNCTION("""COMPUTED_VALUE"""),"ANO")</f>
        <v>ANO</v>
      </c>
      <c r="B990" s="6" t="str">
        <f>IFERROR(__xludf.DUMMYFUNCTION("""COMPUTED_VALUE"""),"ENG")</f>
        <v>ENG</v>
      </c>
      <c r="C990" s="6" t="str">
        <f>IFERROR(__xludf.DUMMYFUNCTION("""COMPUTED_VALUE"""),"P-19232-00")</f>
        <v>P-19232-00</v>
      </c>
      <c r="D990" s="6" t="str">
        <f>IFERROR(__xludf.DUMMYFUNCTION("""COMPUTED_VALUE"""),"Fitting QSL 3/8 x 12 mm; EMC; ;")</f>
        <v>Fitting QSL 3/8 x 12 mm; EMC; ;</v>
      </c>
      <c r="E990" s="6">
        <f>IFERROR(__xludf.DUMMYFUNCTION("""COMPUTED_VALUE"""),3.0)</f>
        <v>3</v>
      </c>
      <c r="F990" s="6">
        <f>IFERROR(__xludf.DUMMYFUNCTION("""COMPUTED_VALUE"""),1.0)</f>
        <v>1</v>
      </c>
      <c r="G990" s="6">
        <f>IFERROR(__xludf.DUMMYFUNCTION("""COMPUTED_VALUE"""),0.0)</f>
        <v>0</v>
      </c>
      <c r="H990" s="6" t="str">
        <f>IFERROR(__xludf.DUMMYFUNCTION("""COMPUTED_VALUE"""),"pcs")</f>
        <v>pcs</v>
      </c>
      <c r="I990" s="6" t="str">
        <f>IFERROR(__xludf.DUMMYFUNCTION("""COMPUTED_VALUE"""),"MFH")</f>
        <v>MFH</v>
      </c>
      <c r="J990" s="6" t="str">
        <f>IFERROR(__xludf.DUMMYFUNCTION("""COMPUTED_VALUE"""),"OSD")</f>
        <v>OSD</v>
      </c>
      <c r="K990" s="6" t="str">
        <f>IFERROR(__xludf.DUMMYFUNCTION("""COMPUTED_VALUE"""),"SPR/07/24/018")</f>
        <v>SPR/07/24/018</v>
      </c>
      <c r="L990" s="13">
        <f>IFERROR(__xludf.DUMMYFUNCTION("""COMPUTED_VALUE"""),45483.0)</f>
        <v>45483</v>
      </c>
    </row>
    <row r="991">
      <c r="A991" s="6" t="str">
        <f>IFERROR(__xludf.DUMMYFUNCTION("""COMPUTED_VALUE"""),"ANO")</f>
        <v>ANO</v>
      </c>
      <c r="B991" s="6" t="str">
        <f>IFERROR(__xludf.DUMMYFUNCTION("""COMPUTED_VALUE"""),"ENG")</f>
        <v>ENG</v>
      </c>
      <c r="C991" s="6" t="str">
        <f>IFERROR(__xludf.DUMMYFUNCTION("""COMPUTED_VALUE"""),"P-12306-00")</f>
        <v>P-12306-00</v>
      </c>
      <c r="D991" s="6" t="str">
        <f>IFERROR(__xludf.DUMMYFUNCTION("""COMPUTED_VALUE"""),"FESTO - QST-8 push in t- connection p/n 153130")</f>
        <v>FESTO - QST-8 push in t- connection p/n 153130</v>
      </c>
      <c r="E991" s="6">
        <f>IFERROR(__xludf.DUMMYFUNCTION("""COMPUTED_VALUE"""),3.0)</f>
        <v>3</v>
      </c>
      <c r="F991" s="6">
        <f>IFERROR(__xludf.DUMMYFUNCTION("""COMPUTED_VALUE"""),2.0)</f>
        <v>2</v>
      </c>
      <c r="G991" s="6">
        <f>IFERROR(__xludf.DUMMYFUNCTION("""COMPUTED_VALUE"""),0.0)</f>
        <v>0</v>
      </c>
      <c r="H991" s="6" t="str">
        <f>IFERROR(__xludf.DUMMYFUNCTION("""COMPUTED_VALUE"""),"pcs")</f>
        <v>pcs</v>
      </c>
      <c r="I991" s="6" t="str">
        <f>IFERROR(__xludf.DUMMYFUNCTION("""COMPUTED_VALUE"""),"MFH")</f>
        <v>MFH</v>
      </c>
      <c r="J991" s="6" t="str">
        <f>IFERROR(__xludf.DUMMYFUNCTION("""COMPUTED_VALUE"""),"OSD")</f>
        <v>OSD</v>
      </c>
      <c r="K991" s="6" t="str">
        <f>IFERROR(__xludf.DUMMYFUNCTION("""COMPUTED_VALUE"""),"SPR/07/24/018")</f>
        <v>SPR/07/24/018</v>
      </c>
      <c r="L991" s="13">
        <f>IFERROR(__xludf.DUMMYFUNCTION("""COMPUTED_VALUE"""),45483.0)</f>
        <v>45483</v>
      </c>
    </row>
    <row r="992">
      <c r="A992" s="6" t="str">
        <f>IFERROR(__xludf.DUMMYFUNCTION("""COMPUTED_VALUE"""),"INN")</f>
        <v>INN</v>
      </c>
      <c r="B992" s="6" t="str">
        <f>IFERROR(__xludf.DUMMYFUNCTION("""COMPUTED_VALUE"""),"ENG")</f>
        <v>ENG</v>
      </c>
      <c r="C992" s="6" t="str">
        <f>IFERROR(__xludf.DUMMYFUNCTION("""COMPUTED_VALUE"""),"P-12305-00")</f>
        <v>P-12305-00</v>
      </c>
      <c r="D992" s="6" t="str">
        <f>IFERROR(__xludf.DUMMYFUNCTION("""COMPUTED_VALUE"""),"FESTO - QST-6 Push in t-connection p/n 153129")</f>
        <v>FESTO - QST-6 Push in t-connection p/n 153129</v>
      </c>
      <c r="E992" s="6">
        <f>IFERROR(__xludf.DUMMYFUNCTION("""COMPUTED_VALUE"""),4.0)</f>
        <v>4</v>
      </c>
      <c r="F992" s="6">
        <f>IFERROR(__xludf.DUMMYFUNCTION("""COMPUTED_VALUE"""),4.0)</f>
        <v>4</v>
      </c>
      <c r="G992" s="6">
        <f>IFERROR(__xludf.DUMMYFUNCTION("""COMPUTED_VALUE"""),0.0)</f>
        <v>0</v>
      </c>
      <c r="H992" s="6" t="str">
        <f>IFERROR(__xludf.DUMMYFUNCTION("""COMPUTED_VALUE"""),"pcs")</f>
        <v>pcs</v>
      </c>
      <c r="I992" s="6" t="str">
        <f>IFERROR(__xludf.DUMMYFUNCTION("""COMPUTED_VALUE"""),"MFH")</f>
        <v>MFH</v>
      </c>
      <c r="J992" s="6" t="str">
        <f>IFERROR(__xludf.DUMMYFUNCTION("""COMPUTED_VALUE"""),"WFI Washbay")</f>
        <v>WFI Washbay</v>
      </c>
      <c r="K992" s="6" t="str">
        <f>IFERROR(__xludf.DUMMYFUNCTION("""COMPUTED_VALUE"""),"SPR/07/24/019")</f>
        <v>SPR/07/24/019</v>
      </c>
      <c r="L992" s="13">
        <f>IFERROR(__xludf.DUMMYFUNCTION("""COMPUTED_VALUE"""),45483.0)</f>
        <v>45483</v>
      </c>
    </row>
    <row r="993">
      <c r="A993" s="6" t="str">
        <f>IFERROR(__xludf.DUMMYFUNCTION("""COMPUTED_VALUE"""),"INN")</f>
        <v>INN</v>
      </c>
      <c r="B993" s="6" t="str">
        <f>IFERROR(__xludf.DUMMYFUNCTION("""COMPUTED_VALUE"""),"ENG")</f>
        <v>ENG</v>
      </c>
      <c r="C993" s="6" t="str">
        <f>IFERROR(__xludf.DUMMYFUNCTION("""COMPUTED_VALUE"""),"P-12275-00")</f>
        <v>P-12275-00</v>
      </c>
      <c r="D993" s="6" t="str">
        <f>IFERROR(__xludf.DUMMYFUNCTION("""COMPUTED_VALUE"""),"FESTO - QS-1/4-6 Push-In fitting p/n 153003")</f>
        <v>FESTO - QS-1/4-6 Push-In fitting p/n 153003</v>
      </c>
      <c r="E993" s="6">
        <f>IFERROR(__xludf.DUMMYFUNCTION("""COMPUTED_VALUE"""),6.0)</f>
        <v>6</v>
      </c>
      <c r="F993" s="6">
        <f>IFERROR(__xludf.DUMMYFUNCTION("""COMPUTED_VALUE"""),6.0)</f>
        <v>6</v>
      </c>
      <c r="G993" s="6">
        <f>IFERROR(__xludf.DUMMYFUNCTION("""COMPUTED_VALUE"""),0.0)</f>
        <v>0</v>
      </c>
      <c r="H993" s="6" t="str">
        <f>IFERROR(__xludf.DUMMYFUNCTION("""COMPUTED_VALUE"""),"pcs")</f>
        <v>pcs</v>
      </c>
      <c r="I993" s="6" t="str">
        <f>IFERROR(__xludf.DUMMYFUNCTION("""COMPUTED_VALUE"""),"MFH")</f>
        <v>MFH</v>
      </c>
      <c r="J993" s="6" t="str">
        <f>IFERROR(__xludf.DUMMYFUNCTION("""COMPUTED_VALUE"""),"WFI Washbay")</f>
        <v>WFI Washbay</v>
      </c>
      <c r="K993" s="6" t="str">
        <f>IFERROR(__xludf.DUMMYFUNCTION("""COMPUTED_VALUE"""),"SPR/07/24/019")</f>
        <v>SPR/07/24/019</v>
      </c>
      <c r="L993" s="13">
        <f>IFERROR(__xludf.DUMMYFUNCTION("""COMPUTED_VALUE"""),45483.0)</f>
        <v>45483</v>
      </c>
    </row>
    <row r="994">
      <c r="A994" s="6" t="str">
        <f>IFERROR(__xludf.DUMMYFUNCTION("""COMPUTED_VALUE"""),"INN")</f>
        <v>INN</v>
      </c>
      <c r="B994" s="6" t="str">
        <f>IFERROR(__xludf.DUMMYFUNCTION("""COMPUTED_VALUE"""),"ENG")</f>
        <v>ENG</v>
      </c>
      <c r="C994" s="6" t="str">
        <f>IFERROR(__xludf.DUMMYFUNCTION("""COMPUTED_VALUE"""),"P-51889-00")</f>
        <v>P-51889-00</v>
      </c>
      <c r="D994" s="6" t="str">
        <f>IFERROR(__xludf.DUMMYFUNCTION("""COMPUTED_VALUE"""),"Autonics - Power Supply SPA-050-24VDC; ; ;")</f>
        <v>Autonics - Power Supply SPA-050-24VDC; ; ;</v>
      </c>
      <c r="E994" s="6">
        <f>IFERROR(__xludf.DUMMYFUNCTION("""COMPUTED_VALUE"""),2.0)</f>
        <v>2</v>
      </c>
      <c r="F994" s="6">
        <f>IFERROR(__xludf.DUMMYFUNCTION("""COMPUTED_VALUE"""),1.0)</f>
        <v>1</v>
      </c>
      <c r="G994" s="6">
        <f>IFERROR(__xludf.DUMMYFUNCTION("""COMPUTED_VALUE"""),0.0)</f>
        <v>0</v>
      </c>
      <c r="H994" s="6" t="str">
        <f>IFERROR(__xludf.DUMMYFUNCTION("""COMPUTED_VALUE"""),"pcs")</f>
        <v>pcs</v>
      </c>
      <c r="I994" s="6" t="str">
        <f>IFERROR(__xludf.DUMMYFUNCTION("""COMPUTED_VALUE"""),"MFH")</f>
        <v>MFH</v>
      </c>
      <c r="J994" s="6" t="str">
        <f>IFERROR(__xludf.DUMMYFUNCTION("""COMPUTED_VALUE"""),"WFI Washbay")</f>
        <v>WFI Washbay</v>
      </c>
      <c r="K994" s="6" t="str">
        <f>IFERROR(__xludf.DUMMYFUNCTION("""COMPUTED_VALUE"""),"SPR/07/24/019")</f>
        <v>SPR/07/24/019</v>
      </c>
      <c r="L994" s="13">
        <f>IFERROR(__xludf.DUMMYFUNCTION("""COMPUTED_VALUE"""),45483.0)</f>
        <v>45483</v>
      </c>
    </row>
    <row r="995">
      <c r="A995" s="6" t="str">
        <f>IFERROR(__xludf.DUMMYFUNCTION("""COMPUTED_VALUE"""),"ANO")</f>
        <v>ANO</v>
      </c>
      <c r="B995" s="6" t="str">
        <f>IFERROR(__xludf.DUMMYFUNCTION("""COMPUTED_VALUE"""),"ENG")</f>
        <v>ENG</v>
      </c>
      <c r="C995" s="6" t="str">
        <f>IFERROR(__xludf.DUMMYFUNCTION("""COMPUTED_VALUE"""),"P-11991-00")</f>
        <v>P-11991-00</v>
      </c>
      <c r="D995" s="6" t="str">
        <f>IFERROR(__xludf.DUMMYFUNCTION("""COMPUTED_VALUE"""),"Cabble Ties 200L")</f>
        <v>Cabble Ties 200L</v>
      </c>
      <c r="E995" s="6">
        <f>IFERROR(__xludf.DUMMYFUNCTION("""COMPUTED_VALUE"""),7.0)</f>
        <v>7</v>
      </c>
      <c r="F995" s="6">
        <f>IFERROR(__xludf.DUMMYFUNCTION("""COMPUTED_VALUE"""),1.0)</f>
        <v>1</v>
      </c>
      <c r="G995" s="6">
        <f>IFERROR(__xludf.DUMMYFUNCTION("""COMPUTED_VALUE"""),0.0)</f>
        <v>0</v>
      </c>
      <c r="H995" s="6" t="str">
        <f>IFERROR(__xludf.DUMMYFUNCTION("""COMPUTED_VALUE"""),"pcs")</f>
        <v>pcs</v>
      </c>
      <c r="I995" s="6" t="str">
        <f>IFERROR(__xludf.DUMMYFUNCTION("""COMPUTED_VALUE"""),"MFH")</f>
        <v>MFH</v>
      </c>
      <c r="J995" s="6" t="str">
        <f>IFERROR(__xludf.DUMMYFUNCTION("""COMPUTED_VALUE"""),"WFI Washbay")</f>
        <v>WFI Washbay</v>
      </c>
      <c r="K995" s="6" t="str">
        <f>IFERROR(__xludf.DUMMYFUNCTION("""COMPUTED_VALUE"""),"SPR/07/24/020")</f>
        <v>SPR/07/24/020</v>
      </c>
      <c r="L995" s="13">
        <f>IFERROR(__xludf.DUMMYFUNCTION("""COMPUTED_VALUE"""),45483.0)</f>
        <v>45483</v>
      </c>
    </row>
    <row r="996">
      <c r="A996" s="6" t="str">
        <f>IFERROR(__xludf.DUMMYFUNCTION("""COMPUTED_VALUE"""),"ANO")</f>
        <v>ANO</v>
      </c>
      <c r="B996" s="6" t="str">
        <f>IFERROR(__xludf.DUMMYFUNCTION("""COMPUTED_VALUE"""),"ENG")</f>
        <v>ENG</v>
      </c>
      <c r="C996" s="6" t="str">
        <f>IFERROR(__xludf.DUMMYFUNCTION("""COMPUTED_VALUE"""),"P-11990-00")</f>
        <v>P-11990-00</v>
      </c>
      <c r="D996" s="6" t="str">
        <f>IFERROR(__xludf.DUMMYFUNCTION("""COMPUTED_VALUE"""),"Cable ties CS 100L")</f>
        <v>Cable ties CS 100L</v>
      </c>
      <c r="E996" s="6">
        <f>IFERROR(__xludf.DUMMYFUNCTION("""COMPUTED_VALUE"""),3.0)</f>
        <v>3</v>
      </c>
      <c r="F996" s="6">
        <f>IFERROR(__xludf.DUMMYFUNCTION("""COMPUTED_VALUE"""),1.0)</f>
        <v>1</v>
      </c>
      <c r="G996" s="6">
        <f>IFERROR(__xludf.DUMMYFUNCTION("""COMPUTED_VALUE"""),0.0)</f>
        <v>0</v>
      </c>
      <c r="H996" s="6" t="str">
        <f>IFERROR(__xludf.DUMMYFUNCTION("""COMPUTED_VALUE"""),"pcs")</f>
        <v>pcs</v>
      </c>
      <c r="I996" s="6" t="str">
        <f>IFERROR(__xludf.DUMMYFUNCTION("""COMPUTED_VALUE"""),"MFH")</f>
        <v>MFH</v>
      </c>
      <c r="J996" s="6" t="str">
        <f>IFERROR(__xludf.DUMMYFUNCTION("""COMPUTED_VALUE"""),"WFI Washbay")</f>
        <v>WFI Washbay</v>
      </c>
      <c r="K996" s="6" t="str">
        <f>IFERROR(__xludf.DUMMYFUNCTION("""COMPUTED_VALUE"""),"SPR/07/24/020")</f>
        <v>SPR/07/24/020</v>
      </c>
      <c r="L996" s="13">
        <f>IFERROR(__xludf.DUMMYFUNCTION("""COMPUTED_VALUE"""),45483.0)</f>
        <v>45483</v>
      </c>
    </row>
    <row r="997">
      <c r="A997" s="6" t="str">
        <f>IFERROR(__xludf.DUMMYFUNCTION("""COMPUTED_VALUE"""),"ANO")</f>
        <v>ANO</v>
      </c>
      <c r="B997" s="6" t="str">
        <f>IFERROR(__xludf.DUMMYFUNCTION("""COMPUTED_VALUE"""),"ENG")</f>
        <v>ENG</v>
      </c>
      <c r="C997" s="6" t="str">
        <f>IFERROR(__xludf.DUMMYFUNCTION("""COMPUTED_VALUE"""),"Q-70069-00")</f>
        <v>Q-70069-00</v>
      </c>
      <c r="D997" s="6" t="str">
        <f>IFERROR(__xludf.DUMMYFUNCTION("""COMPUTED_VALUE"""),"Dynabolt Beton M10x70; M10; M10x70;")</f>
        <v>Dynabolt Beton M10x70; M10; M10x70;</v>
      </c>
      <c r="E997" s="6">
        <f>IFERROR(__xludf.DUMMYFUNCTION("""COMPUTED_VALUE"""),30.0)</f>
        <v>30</v>
      </c>
      <c r="F997" s="6">
        <f>IFERROR(__xludf.DUMMYFUNCTION("""COMPUTED_VALUE"""),15.0)</f>
        <v>15</v>
      </c>
      <c r="G997" s="6">
        <f>IFERROR(__xludf.DUMMYFUNCTION("""COMPUTED_VALUE"""),0.0)</f>
        <v>0</v>
      </c>
      <c r="H997" s="6" t="str">
        <f>IFERROR(__xludf.DUMMYFUNCTION("""COMPUTED_VALUE"""),"pcs")</f>
        <v>pcs</v>
      </c>
      <c r="I997" s="6" t="str">
        <f>IFERROR(__xludf.DUMMYFUNCTION("""COMPUTED_VALUE"""),"MFH")</f>
        <v>MFH</v>
      </c>
      <c r="J997" s="6" t="str">
        <f>IFERROR(__xludf.DUMMYFUNCTION("""COMPUTED_VALUE"""),"OSD")</f>
        <v>OSD</v>
      </c>
      <c r="K997" s="6" t="str">
        <f>IFERROR(__xludf.DUMMYFUNCTION("""COMPUTED_VALUE"""),"SPR/07/24/021")</f>
        <v>SPR/07/24/021</v>
      </c>
      <c r="L997" s="13">
        <f>IFERROR(__xludf.DUMMYFUNCTION("""COMPUTED_VALUE"""),45483.0)</f>
        <v>45483</v>
      </c>
    </row>
    <row r="998">
      <c r="A998" s="6" t="str">
        <f>IFERROR(__xludf.DUMMYFUNCTION("""COMPUTED_VALUE"""),"ANO")</f>
        <v>ANO</v>
      </c>
      <c r="B998" s="6" t="str">
        <f>IFERROR(__xludf.DUMMYFUNCTION("""COMPUTED_VALUE"""),"ENG")</f>
        <v>ENG</v>
      </c>
      <c r="C998" s="6" t="str">
        <f>IFERROR(__xludf.DUMMYFUNCTION("""COMPUTED_VALUE"""),"P-12281-00")</f>
        <v>P-12281-00</v>
      </c>
      <c r="D998" s="6" t="str">
        <f>IFERROR(__xludf.DUMMYFUNCTION("""COMPUTED_VALUE"""),"FESTO - QS-10-8 Push In Connector p/n 153039")</f>
        <v>FESTO - QS-10-8 Push In Connector p/n 153039</v>
      </c>
      <c r="E998" s="6">
        <f>IFERROR(__xludf.DUMMYFUNCTION("""COMPUTED_VALUE"""),5.0)</f>
        <v>5</v>
      </c>
      <c r="F998" s="6">
        <f>IFERROR(__xludf.DUMMYFUNCTION("""COMPUTED_VALUE"""),5.0)</f>
        <v>5</v>
      </c>
      <c r="G998" s="6">
        <f>IFERROR(__xludf.DUMMYFUNCTION("""COMPUTED_VALUE"""),0.0)</f>
        <v>0</v>
      </c>
      <c r="H998" s="6" t="str">
        <f>IFERROR(__xludf.DUMMYFUNCTION("""COMPUTED_VALUE"""),"pcs")</f>
        <v>pcs</v>
      </c>
      <c r="I998" s="6" t="str">
        <f>IFERROR(__xludf.DUMMYFUNCTION("""COMPUTED_VALUE"""),"MFH")</f>
        <v>MFH</v>
      </c>
      <c r="J998" s="6" t="str">
        <f>IFERROR(__xludf.DUMMYFUNCTION("""COMPUTED_VALUE"""),"OSD")</f>
        <v>OSD</v>
      </c>
      <c r="K998" s="6" t="str">
        <f>IFERROR(__xludf.DUMMYFUNCTION("""COMPUTED_VALUE"""),"SPR/07/24/021")</f>
        <v>SPR/07/24/021</v>
      </c>
      <c r="L998" s="13">
        <f>IFERROR(__xludf.DUMMYFUNCTION("""COMPUTED_VALUE"""),45483.0)</f>
        <v>45483</v>
      </c>
    </row>
    <row r="999">
      <c r="A999" s="6" t="str">
        <f>IFERROR(__xludf.DUMMYFUNCTION("""COMPUTED_VALUE"""),"MRN")</f>
        <v>MRN</v>
      </c>
      <c r="B999" s="6" t="str">
        <f>IFERROR(__xludf.DUMMYFUNCTION("""COMPUTED_VALUE"""),"ENG")</f>
        <v>ENG</v>
      </c>
      <c r="C999" s="6" t="str">
        <f>IFERROR(__xludf.DUMMYFUNCTION("""COMPUTED_VALUE"""),"-")</f>
        <v>-</v>
      </c>
      <c r="D999" s="6" t="str">
        <f>IFERROR(__xludf.DUMMYFUNCTION("""COMPUTED_VALUE"""),"Kapasitor 40u")</f>
        <v>Kapasitor 40u</v>
      </c>
      <c r="E999" s="6">
        <f>IFERROR(__xludf.DUMMYFUNCTION("""COMPUTED_VALUE"""),1.0)</f>
        <v>1</v>
      </c>
      <c r="F999" s="6">
        <f>IFERROR(__xludf.DUMMYFUNCTION("""COMPUTED_VALUE"""),1.0)</f>
        <v>1</v>
      </c>
      <c r="G999" s="6">
        <f>IFERROR(__xludf.DUMMYFUNCTION("""COMPUTED_VALUE"""),0.0)</f>
        <v>0</v>
      </c>
      <c r="H999" s="6" t="str">
        <f>IFERROR(__xludf.DUMMYFUNCTION("""COMPUTED_VALUE"""),"pcs")</f>
        <v>pcs</v>
      </c>
      <c r="I999" s="6" t="str">
        <f>IFERROR(__xludf.DUMMYFUNCTION("""COMPUTED_VALUE"""),"MFH")</f>
        <v>MFH</v>
      </c>
      <c r="J999" s="6" t="str">
        <f>IFERROR(__xludf.DUMMYFUNCTION("""COMPUTED_VALUE"""),"AC")</f>
        <v>AC</v>
      </c>
      <c r="K999" s="6" t="str">
        <f>IFERROR(__xludf.DUMMYFUNCTION("""COMPUTED_VALUE"""),"SPR/07/24/022")</f>
        <v>SPR/07/24/022</v>
      </c>
      <c r="L999" s="13">
        <f>IFERROR(__xludf.DUMMYFUNCTION("""COMPUTED_VALUE"""),45483.0)</f>
        <v>45483</v>
      </c>
    </row>
    <row r="1000">
      <c r="A1000" s="6" t="str">
        <f>IFERROR(__xludf.DUMMYFUNCTION("""COMPUTED_VALUE"""),"ROS")</f>
        <v>ROS</v>
      </c>
      <c r="B1000" s="6" t="str">
        <f>IFERROR(__xludf.DUMMYFUNCTION("""COMPUTED_VALUE"""),"ENG")</f>
        <v>ENG</v>
      </c>
      <c r="C1000" s="6" t="str">
        <f>IFERROR(__xludf.DUMMYFUNCTION("""COMPUTED_VALUE"""),"O-13508-00")</f>
        <v>O-13508-00</v>
      </c>
      <c r="D1000" s="6" t="str">
        <f>IFERROR(__xludf.DUMMYFUNCTION("""COMPUTED_VALUE"""),"Pneumatic Fitting - QS 8-6 FESTO P/N : - pc")</f>
        <v>Pneumatic Fitting - QS 8-6 FESTO P/N : - pc</v>
      </c>
      <c r="E1000" s="6">
        <f>IFERROR(__xludf.DUMMYFUNCTION("""COMPUTED_VALUE"""),2.0)</f>
        <v>2</v>
      </c>
      <c r="F1000" s="6">
        <f>IFERROR(__xludf.DUMMYFUNCTION("""COMPUTED_VALUE"""),2.0)</f>
        <v>2</v>
      </c>
      <c r="G1000" s="6">
        <f>IFERROR(__xludf.DUMMYFUNCTION("""COMPUTED_VALUE"""),0.0)</f>
        <v>0</v>
      </c>
      <c r="H1000" s="6" t="str">
        <f>IFERROR(__xludf.DUMMYFUNCTION("""COMPUTED_VALUE"""),"pcs")</f>
        <v>pcs</v>
      </c>
      <c r="I1000" s="6" t="str">
        <f>IFERROR(__xludf.DUMMYFUNCTION("""COMPUTED_VALUE"""),"MFH")</f>
        <v>MFH</v>
      </c>
      <c r="J1000" s="6" t="str">
        <f>IFERROR(__xludf.DUMMYFUNCTION("""COMPUTED_VALUE"""),"OSD")</f>
        <v>OSD</v>
      </c>
      <c r="K1000" s="6" t="str">
        <f>IFERROR(__xludf.DUMMYFUNCTION("""COMPUTED_VALUE"""),"SPR/07/24/023")</f>
        <v>SPR/07/24/023</v>
      </c>
      <c r="L1000" s="13">
        <f>IFERROR(__xludf.DUMMYFUNCTION("""COMPUTED_VALUE"""),45483.0)</f>
        <v>45483</v>
      </c>
    </row>
    <row r="1001">
      <c r="A1001" s="6" t="str">
        <f>IFERROR(__xludf.DUMMYFUNCTION("""COMPUTED_VALUE"""),"ROS")</f>
        <v>ROS</v>
      </c>
      <c r="B1001" s="6" t="str">
        <f>IFERROR(__xludf.DUMMYFUNCTION("""COMPUTED_VALUE"""),"ENG")</f>
        <v>ENG</v>
      </c>
      <c r="C1001" s="6" t="str">
        <f>IFERROR(__xludf.DUMMYFUNCTION("""COMPUTED_VALUE"""),"P-12281-00")</f>
        <v>P-12281-00</v>
      </c>
      <c r="D1001" s="6" t="str">
        <f>IFERROR(__xludf.DUMMYFUNCTION("""COMPUTED_VALUE"""),"FESTO - QS-10-8 Push In Connector p/n 153039")</f>
        <v>FESTO - QS-10-8 Push In Connector p/n 153039</v>
      </c>
      <c r="E1001" s="6">
        <f>IFERROR(__xludf.DUMMYFUNCTION("""COMPUTED_VALUE"""),1.0)</f>
        <v>1</v>
      </c>
      <c r="F1001" s="6">
        <f>IFERROR(__xludf.DUMMYFUNCTION("""COMPUTED_VALUE"""),1.0)</f>
        <v>1</v>
      </c>
      <c r="G1001" s="6">
        <f>IFERROR(__xludf.DUMMYFUNCTION("""COMPUTED_VALUE"""),0.0)</f>
        <v>0</v>
      </c>
      <c r="H1001" s="6" t="str">
        <f>IFERROR(__xludf.DUMMYFUNCTION("""COMPUTED_VALUE"""),"pcs")</f>
        <v>pcs</v>
      </c>
      <c r="I1001" s="6" t="str">
        <f>IFERROR(__xludf.DUMMYFUNCTION("""COMPUTED_VALUE"""),"MFH")</f>
        <v>MFH</v>
      </c>
      <c r="J1001" s="6" t="str">
        <f>IFERROR(__xludf.DUMMYFUNCTION("""COMPUTED_VALUE"""),"OSD")</f>
        <v>OSD</v>
      </c>
      <c r="K1001" s="6" t="str">
        <f>IFERROR(__xludf.DUMMYFUNCTION("""COMPUTED_VALUE"""),"SPR/07/24/023")</f>
        <v>SPR/07/24/023</v>
      </c>
      <c r="L1001" s="13">
        <f>IFERROR(__xludf.DUMMYFUNCTION("""COMPUTED_VALUE"""),45483.0)</f>
        <v>45483</v>
      </c>
    </row>
    <row r="1002">
      <c r="A1002" s="6" t="str">
        <f>IFERROR(__xludf.DUMMYFUNCTION("""COMPUTED_VALUE"""),"INN")</f>
        <v>INN</v>
      </c>
      <c r="B1002" s="6" t="str">
        <f>IFERROR(__xludf.DUMMYFUNCTION("""COMPUTED_VALUE"""),"ENG")</f>
        <v>ENG</v>
      </c>
      <c r="C1002" s="6" t="str">
        <f>IFERROR(__xludf.DUMMYFUNCTION("""COMPUTED_VALUE"""),"O-16032-00")</f>
        <v>O-16032-00</v>
      </c>
      <c r="D100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002" s="6">
        <f>IFERROR(__xludf.DUMMYFUNCTION("""COMPUTED_VALUE"""),5.0)</f>
        <v>5</v>
      </c>
      <c r="F1002" s="6">
        <f>IFERROR(__xludf.DUMMYFUNCTION("""COMPUTED_VALUE"""),3.0)</f>
        <v>3</v>
      </c>
      <c r="G1002" s="6">
        <f>IFERROR(__xludf.DUMMYFUNCTION("""COMPUTED_VALUE"""),0.0)</f>
        <v>0</v>
      </c>
      <c r="H1002" s="6" t="str">
        <f>IFERROR(__xludf.DUMMYFUNCTION("""COMPUTED_VALUE"""),"pcs")</f>
        <v>pcs</v>
      </c>
      <c r="I1002" s="6" t="str">
        <f>IFERROR(__xludf.DUMMYFUNCTION("""COMPUTED_VALUE"""),"MFH")</f>
        <v>MFH</v>
      </c>
      <c r="J1002" s="6" t="str">
        <f>IFERROR(__xludf.DUMMYFUNCTION("""COMPUTED_VALUE"""),"cRABS")</f>
        <v>cRABS</v>
      </c>
      <c r="K1002" s="6" t="str">
        <f>IFERROR(__xludf.DUMMYFUNCTION("""COMPUTED_VALUE"""),"SPR/07/24/024")</f>
        <v>SPR/07/24/024</v>
      </c>
      <c r="L1002" s="13">
        <f>IFERROR(__xludf.DUMMYFUNCTION("""COMPUTED_VALUE"""),45483.0)</f>
        <v>45483</v>
      </c>
    </row>
    <row r="1003">
      <c r="A1003" s="6" t="str">
        <f>IFERROR(__xludf.DUMMYFUNCTION("""COMPUTED_VALUE"""),"MFH")</f>
        <v>MFH</v>
      </c>
      <c r="B1003" s="6" t="str">
        <f>IFERROR(__xludf.DUMMYFUNCTION("""COMPUTED_VALUE"""),"ENG")</f>
        <v>ENG</v>
      </c>
      <c r="C1003" s="6" t="str">
        <f>IFERROR(__xludf.DUMMYFUNCTION("""COMPUTED_VALUE"""),"Q-10249-00")</f>
        <v>Q-10249-00</v>
      </c>
      <c r="D1003" s="6" t="str">
        <f>IFERROR(__xludf.DUMMYFUNCTION("""COMPUTED_VALUE"""),"Lem Power Glue")</f>
        <v>Lem Power Glue</v>
      </c>
      <c r="E1003" s="6">
        <f>IFERROR(__xludf.DUMMYFUNCTION("""COMPUTED_VALUE"""),3.0)</f>
        <v>3</v>
      </c>
      <c r="F1003" s="6">
        <f>IFERROR(__xludf.DUMMYFUNCTION("""COMPUTED_VALUE"""),1.0)</f>
        <v>1</v>
      </c>
      <c r="G1003" s="6">
        <f>IFERROR(__xludf.DUMMYFUNCTION("""COMPUTED_VALUE"""),0.0)</f>
        <v>0</v>
      </c>
      <c r="H1003" s="6" t="str">
        <f>IFERROR(__xludf.DUMMYFUNCTION("""COMPUTED_VALUE"""),"pcs")</f>
        <v>pcs</v>
      </c>
      <c r="I1003" s="6" t="str">
        <f>IFERROR(__xludf.DUMMYFUNCTION("""COMPUTED_VALUE"""),"MFH")</f>
        <v>MFH</v>
      </c>
      <c r="J1003" s="6" t="str">
        <f>IFERROR(__xludf.DUMMYFUNCTION("""COMPUTED_VALUE"""),"Building")</f>
        <v>Building</v>
      </c>
      <c r="K1003" s="6" t="str">
        <f>IFERROR(__xludf.DUMMYFUNCTION("""COMPUTED_VALUE"""),"SPR/07/24/025")</f>
        <v>SPR/07/24/025</v>
      </c>
      <c r="L1003" s="13">
        <f>IFERROR(__xludf.DUMMYFUNCTION("""COMPUTED_VALUE"""),45483.0)</f>
        <v>45483</v>
      </c>
    </row>
    <row r="1004">
      <c r="A1004" s="6" t="str">
        <f>IFERROR(__xludf.DUMMYFUNCTION("""COMPUTED_VALUE"""),"MFH")</f>
        <v>MFH</v>
      </c>
      <c r="B1004" s="6" t="str">
        <f>IFERROR(__xludf.DUMMYFUNCTION("""COMPUTED_VALUE"""),"ENG")</f>
        <v>ENG</v>
      </c>
      <c r="C1004" s="6" t="str">
        <f>IFERROR(__xludf.DUMMYFUNCTION("""COMPUTED_VALUE"""),"P-18466-00")</f>
        <v>P-18466-00</v>
      </c>
      <c r="D1004" s="6" t="str">
        <f>IFERROR(__xludf.DUMMYFUNCTION("""COMPUTED_VALUE"""),"Door Stickers T30A; upgraded type; ; ;")</f>
        <v>Door Stickers T30A; upgraded type; ; ;</v>
      </c>
      <c r="E1004" s="6">
        <f>IFERROR(__xludf.DUMMYFUNCTION("""COMPUTED_VALUE"""),4.0)</f>
        <v>4</v>
      </c>
      <c r="F1004" s="6">
        <f>IFERROR(__xludf.DUMMYFUNCTION("""COMPUTED_VALUE"""),4.0)</f>
        <v>4</v>
      </c>
      <c r="G1004" s="6">
        <f>IFERROR(__xludf.DUMMYFUNCTION("""COMPUTED_VALUE"""),0.0)</f>
        <v>0</v>
      </c>
      <c r="H1004" s="6" t="str">
        <f>IFERROR(__xludf.DUMMYFUNCTION("""COMPUTED_VALUE"""),"pcs")</f>
        <v>pcs</v>
      </c>
      <c r="I1004" s="6" t="str">
        <f>IFERROR(__xludf.DUMMYFUNCTION("""COMPUTED_VALUE"""),"MFH")</f>
        <v>MFH</v>
      </c>
      <c r="J1004" s="6" t="str">
        <f>IFERROR(__xludf.DUMMYFUNCTION("""COMPUTED_VALUE"""),"Building")</f>
        <v>Building</v>
      </c>
      <c r="K1004" s="6" t="str">
        <f>IFERROR(__xludf.DUMMYFUNCTION("""COMPUTED_VALUE"""),"SPR/07/24/025")</f>
        <v>SPR/07/24/025</v>
      </c>
      <c r="L1004" s="13">
        <f>IFERROR(__xludf.DUMMYFUNCTION("""COMPUTED_VALUE"""),45483.0)</f>
        <v>45483</v>
      </c>
    </row>
    <row r="1005">
      <c r="A1005" s="6" t="str">
        <f>IFERROR(__xludf.DUMMYFUNCTION("""COMPUTED_VALUE"""),"AAA")</f>
        <v>AAA</v>
      </c>
      <c r="B1005" s="6" t="str">
        <f>IFERROR(__xludf.DUMMYFUNCTION("""COMPUTED_VALUE"""),"ENG")</f>
        <v>ENG</v>
      </c>
      <c r="C1005" s="6" t="str">
        <f>IFERROR(__xludf.DUMMYFUNCTION("""COMPUTED_VALUE"""),"T-20201-00")</f>
        <v>T-20201-00</v>
      </c>
      <c r="D1005" s="6" t="str">
        <f>IFERROR(__xludf.DUMMYFUNCTION("""COMPUTED_VALUE"""),"ASSY,SOLVENT FILTER., Waters, Part No. WAT025531")</f>
        <v>ASSY,SOLVENT FILTER., Waters, Part No. WAT025531</v>
      </c>
      <c r="E1005" s="6">
        <f>IFERROR(__xludf.DUMMYFUNCTION("""COMPUTED_VALUE"""),4.0)</f>
        <v>4</v>
      </c>
      <c r="F1005" s="6">
        <f>IFERROR(__xludf.DUMMYFUNCTION("""COMPUTED_VALUE"""),4.0)</f>
        <v>4</v>
      </c>
      <c r="G1005" s="6">
        <f>IFERROR(__xludf.DUMMYFUNCTION("""COMPUTED_VALUE"""),0.0)</f>
        <v>0</v>
      </c>
      <c r="H1005" s="6" t="str">
        <f>IFERROR(__xludf.DUMMYFUNCTION("""COMPUTED_VALUE"""),"pcs")</f>
        <v>pcs</v>
      </c>
      <c r="I1005" s="6" t="str">
        <f>IFERROR(__xludf.DUMMYFUNCTION("""COMPUTED_VALUE"""),"MFH")</f>
        <v>MFH</v>
      </c>
      <c r="J1005" s="6" t="str">
        <f>IFERROR(__xludf.DUMMYFUNCTION("""COMPUTED_VALUE"""),"HPLC")</f>
        <v>HPLC</v>
      </c>
      <c r="K1005" s="6" t="str">
        <f>IFERROR(__xludf.DUMMYFUNCTION("""COMPUTED_VALUE"""),"SPR/07/24/026")</f>
        <v>SPR/07/24/026</v>
      </c>
      <c r="L1005" s="13">
        <f>IFERROR(__xludf.DUMMYFUNCTION("""COMPUTED_VALUE"""),45483.0)</f>
        <v>45483</v>
      </c>
    </row>
    <row r="1006">
      <c r="A1006" s="6" t="str">
        <f>IFERROR(__xludf.DUMMYFUNCTION("""COMPUTED_VALUE"""),"AAA")</f>
        <v>AAA</v>
      </c>
      <c r="B1006" s="6" t="str">
        <f>IFERROR(__xludf.DUMMYFUNCTION("""COMPUTED_VALUE"""),"ENG")</f>
        <v>ENG</v>
      </c>
      <c r="C1006" s="6" t="str">
        <f>IFERROR(__xludf.DUMMYFUNCTION("""COMPUTED_VALUE"""),"O-52882-00")</f>
        <v>O-52882-00</v>
      </c>
      <c r="D1006" s="6" t="str">
        <f>IFERROR(__xludf.DUMMYFUNCTION("""COMPUTED_VALUE"""),"Video Jet - Sensor C2DM-11N")</f>
        <v>Video Jet - Sensor C2DM-11N</v>
      </c>
      <c r="E1006" s="6">
        <f>IFERROR(__xludf.DUMMYFUNCTION("""COMPUTED_VALUE"""),1.0)</f>
        <v>1</v>
      </c>
      <c r="F1006" s="6">
        <f>IFERROR(__xludf.DUMMYFUNCTION("""COMPUTED_VALUE"""),1.0)</f>
        <v>1</v>
      </c>
      <c r="G1006" s="6">
        <f>IFERROR(__xludf.DUMMYFUNCTION("""COMPUTED_VALUE"""),0.0)</f>
        <v>0</v>
      </c>
      <c r="H1006" s="6" t="str">
        <f>IFERROR(__xludf.DUMMYFUNCTION("""COMPUTED_VALUE"""),"pcs")</f>
        <v>pcs</v>
      </c>
      <c r="I1006" s="6" t="str">
        <f>IFERROR(__xludf.DUMMYFUNCTION("""COMPUTED_VALUE"""),"MFH")</f>
        <v>MFH</v>
      </c>
      <c r="J1006" s="6" t="str">
        <f>IFERROR(__xludf.DUMMYFUNCTION("""COMPUTED_VALUE"""),"EDM")</f>
        <v>EDM</v>
      </c>
      <c r="K1006" s="6" t="str">
        <f>IFERROR(__xludf.DUMMYFUNCTION("""COMPUTED_VALUE"""),"SPR/07/24/026")</f>
        <v>SPR/07/24/026</v>
      </c>
      <c r="L1006" s="13">
        <f>IFERROR(__xludf.DUMMYFUNCTION("""COMPUTED_VALUE"""),45483.0)</f>
        <v>45483</v>
      </c>
    </row>
    <row r="1007">
      <c r="A1007" s="6" t="str">
        <f>IFERROR(__xludf.DUMMYFUNCTION("""COMPUTED_VALUE"""),"ANO")</f>
        <v>ANO</v>
      </c>
      <c r="B1007" s="6" t="str">
        <f>IFERROR(__xludf.DUMMYFUNCTION("""COMPUTED_VALUE"""),"ENG")</f>
        <v>ENG</v>
      </c>
      <c r="C1007" s="6" t="str">
        <f>IFERROR(__xludf.DUMMYFUNCTION("""COMPUTED_VALUE"""),"P-11991-00")</f>
        <v>P-11991-00</v>
      </c>
      <c r="D1007" s="6" t="str">
        <f>IFERROR(__xludf.DUMMYFUNCTION("""COMPUTED_VALUE"""),"Cabble Ties 200L")</f>
        <v>Cabble Ties 200L</v>
      </c>
      <c r="E1007" s="6">
        <f>IFERROR(__xludf.DUMMYFUNCTION("""COMPUTED_VALUE"""),1.0)</f>
        <v>1</v>
      </c>
      <c r="F1007" s="6">
        <f>IFERROR(__xludf.DUMMYFUNCTION("""COMPUTED_VALUE"""),1.0)</f>
        <v>1</v>
      </c>
      <c r="G1007" s="6">
        <f>IFERROR(__xludf.DUMMYFUNCTION("""COMPUTED_VALUE"""),0.0)</f>
        <v>0</v>
      </c>
      <c r="H1007" s="6" t="str">
        <f>IFERROR(__xludf.DUMMYFUNCTION("""COMPUTED_VALUE"""),"pcs")</f>
        <v>pcs</v>
      </c>
      <c r="I1007" s="6" t="str">
        <f>IFERROR(__xludf.DUMMYFUNCTION("""COMPUTED_VALUE"""),"MFH")</f>
        <v>MFH</v>
      </c>
      <c r="J1007" s="6" t="str">
        <f>IFERROR(__xludf.DUMMYFUNCTION("""COMPUTED_VALUE"""),"OSD")</f>
        <v>OSD</v>
      </c>
      <c r="K1007" s="6" t="str">
        <f>IFERROR(__xludf.DUMMYFUNCTION("""COMPUTED_VALUE"""),"SPR/07/24/027")</f>
        <v>SPR/07/24/027</v>
      </c>
      <c r="L1007" s="13">
        <f>IFERROR(__xludf.DUMMYFUNCTION("""COMPUTED_VALUE"""),45483.0)</f>
        <v>45483</v>
      </c>
    </row>
    <row r="1008">
      <c r="A1008" s="6" t="str">
        <f>IFERROR(__xludf.DUMMYFUNCTION("""COMPUTED_VALUE"""),"ANO")</f>
        <v>ANO</v>
      </c>
      <c r="B1008" s="6" t="str">
        <f>IFERROR(__xludf.DUMMYFUNCTION("""COMPUTED_VALUE"""),"ENG")</f>
        <v>ENG</v>
      </c>
      <c r="C1008" s="6" t="str">
        <f>IFERROR(__xludf.DUMMYFUNCTION("""COMPUTED_VALUE"""),"P-11990-00")</f>
        <v>P-11990-00</v>
      </c>
      <c r="D1008" s="6" t="str">
        <f>IFERROR(__xludf.DUMMYFUNCTION("""COMPUTED_VALUE"""),"Cable ties CS 100L")</f>
        <v>Cable ties CS 100L</v>
      </c>
      <c r="E1008" s="6">
        <f>IFERROR(__xludf.DUMMYFUNCTION("""COMPUTED_VALUE"""),1.0)</f>
        <v>1</v>
      </c>
      <c r="F1008" s="6">
        <f>IFERROR(__xludf.DUMMYFUNCTION("""COMPUTED_VALUE"""),1.0)</f>
        <v>1</v>
      </c>
      <c r="G1008" s="6">
        <f>IFERROR(__xludf.DUMMYFUNCTION("""COMPUTED_VALUE"""),0.0)</f>
        <v>0</v>
      </c>
      <c r="H1008" s="6" t="str">
        <f>IFERROR(__xludf.DUMMYFUNCTION("""COMPUTED_VALUE"""),"pcs")</f>
        <v>pcs</v>
      </c>
      <c r="I1008" s="6" t="str">
        <f>IFERROR(__xludf.DUMMYFUNCTION("""COMPUTED_VALUE"""),"MFH")</f>
        <v>MFH</v>
      </c>
      <c r="J1008" s="6" t="str">
        <f>IFERROR(__xludf.DUMMYFUNCTION("""COMPUTED_VALUE"""),"OSD")</f>
        <v>OSD</v>
      </c>
      <c r="K1008" s="6" t="str">
        <f>IFERROR(__xludf.DUMMYFUNCTION("""COMPUTED_VALUE"""),"SPR/07/24/027")</f>
        <v>SPR/07/24/027</v>
      </c>
      <c r="L1008" s="13">
        <f>IFERROR(__xludf.DUMMYFUNCTION("""COMPUTED_VALUE"""),45483.0)</f>
        <v>45483</v>
      </c>
    </row>
    <row r="1009">
      <c r="A1009" s="6" t="str">
        <f>IFERROR(__xludf.DUMMYFUNCTION("""COMPUTED_VALUE"""),"DAH")</f>
        <v>DAH</v>
      </c>
      <c r="B1009" s="6" t="str">
        <f>IFERROR(__xludf.DUMMYFUNCTION("""COMPUTED_VALUE"""),"ENG")</f>
        <v>ENG</v>
      </c>
      <c r="C1009" s="6" t="str">
        <f>IFERROR(__xludf.DUMMYFUNCTION("""COMPUTED_VALUE"""),"P-17645-00")</f>
        <v>P-17645-00</v>
      </c>
      <c r="D1009" s="6" t="str">
        <f>IFERROR(__xludf.DUMMYFUNCTION("""COMPUTED_VALUE"""),"Sodium Hiphoclorite; ; ; ltr")</f>
        <v>Sodium Hiphoclorite; ; ; ltr</v>
      </c>
      <c r="E1009" s="6">
        <f>IFERROR(__xludf.DUMMYFUNCTION("""COMPUTED_VALUE"""),30.0)</f>
        <v>30</v>
      </c>
      <c r="F1009" s="6">
        <f>IFERROR(__xludf.DUMMYFUNCTION("""COMPUTED_VALUE"""),30.0)</f>
        <v>30</v>
      </c>
      <c r="G1009" s="6">
        <f>IFERROR(__xludf.DUMMYFUNCTION("""COMPUTED_VALUE"""),0.0)</f>
        <v>0</v>
      </c>
      <c r="H1009" s="6" t="str">
        <f>IFERROR(__xludf.DUMMYFUNCTION("""COMPUTED_VALUE"""),"pcs")</f>
        <v>pcs</v>
      </c>
      <c r="I1009" s="6" t="str">
        <f>IFERROR(__xludf.DUMMYFUNCTION("""COMPUTED_VALUE"""),"MFH")</f>
        <v>MFH</v>
      </c>
      <c r="J1009" s="6" t="str">
        <f>IFERROR(__xludf.DUMMYFUNCTION("""COMPUTED_VALUE"""),"Lab")</f>
        <v>Lab</v>
      </c>
      <c r="K1009" s="6" t="str">
        <f>IFERROR(__xludf.DUMMYFUNCTION("""COMPUTED_VALUE"""),"SPR/07/24/028")</f>
        <v>SPR/07/24/028</v>
      </c>
      <c r="L1009" s="13">
        <f>IFERROR(__xludf.DUMMYFUNCTION("""COMPUTED_VALUE"""),45483.0)</f>
        <v>45483</v>
      </c>
    </row>
    <row r="1010">
      <c r="A1010" s="6" t="str">
        <f>IFERROR(__xludf.DUMMYFUNCTION("""COMPUTED_VALUE"""),"INN")</f>
        <v>INN</v>
      </c>
      <c r="B1010" s="6" t="str">
        <f>IFERROR(__xludf.DUMMYFUNCTION("""COMPUTED_VALUE"""),"ENG")</f>
        <v>ENG</v>
      </c>
      <c r="C1010" s="6" t="str">
        <f>IFERROR(__xludf.DUMMYFUNCTION("""COMPUTED_VALUE"""),"O-16647-00")</f>
        <v>O-16647-00</v>
      </c>
      <c r="D1010" s="6" t="str">
        <f>IFERROR(__xludf.DUMMYFUNCTION("""COMPUTED_VALUE"""),"Washing RAR4 - Oring Silicone Merah 23x18x2.5 mm; ; ;")</f>
        <v>Washing RAR4 - Oring Silicone Merah 23x18x2.5 mm; ; ;</v>
      </c>
      <c r="E1010" s="6">
        <f>IFERROR(__xludf.DUMMYFUNCTION("""COMPUTED_VALUE"""),20.0)</f>
        <v>20</v>
      </c>
      <c r="F1010" s="6">
        <f>IFERROR(__xludf.DUMMYFUNCTION("""COMPUTED_VALUE"""),20.0)</f>
        <v>20</v>
      </c>
      <c r="G1010" s="6">
        <f>IFERROR(__xludf.DUMMYFUNCTION("""COMPUTED_VALUE"""),0.0)</f>
        <v>0</v>
      </c>
      <c r="H1010" s="6" t="str">
        <f>IFERROR(__xludf.DUMMYFUNCTION("""COMPUTED_VALUE"""),"pcs")</f>
        <v>pcs</v>
      </c>
      <c r="I1010" s="6" t="str">
        <f>IFERROR(__xludf.DUMMYFUNCTION("""COMPUTED_VALUE"""),"MFH")</f>
        <v>MFH</v>
      </c>
      <c r="J1010" s="6" t="str">
        <f>IFERROR(__xludf.DUMMYFUNCTION("""COMPUTED_VALUE"""),"Capping")</f>
        <v>Capping</v>
      </c>
      <c r="K1010" s="6" t="str">
        <f>IFERROR(__xludf.DUMMYFUNCTION("""COMPUTED_VALUE"""),"SPR/07/24/029")</f>
        <v>SPR/07/24/029</v>
      </c>
      <c r="L1010" s="13">
        <f>IFERROR(__xludf.DUMMYFUNCTION("""COMPUTED_VALUE"""),45483.0)</f>
        <v>45483</v>
      </c>
    </row>
    <row r="1011">
      <c r="A1011" s="6" t="str">
        <f>IFERROR(__xludf.DUMMYFUNCTION("""COMPUTED_VALUE"""),"INN")</f>
        <v>INN</v>
      </c>
      <c r="B1011" s="6" t="str">
        <f>IFERROR(__xludf.DUMMYFUNCTION("""COMPUTED_VALUE"""),"ENG")</f>
        <v>ENG</v>
      </c>
      <c r="C1011" s="6" t="str">
        <f>IFERROR(__xludf.DUMMYFUNCTION("""COMPUTED_VALUE"""),"P-11356-00")</f>
        <v>P-11356-00</v>
      </c>
      <c r="D1011" s="6" t="str">
        <f>IFERROR(__xludf.DUMMYFUNCTION("""COMPUTED_VALUE"""),"Roda Trolly ABUS 4"" ( 100 x 27 ) Without Breake")</f>
        <v>Roda Trolly ABUS 4" ( 100 x 27 ) Without Breake</v>
      </c>
      <c r="E1011" s="6">
        <f>IFERROR(__xludf.DUMMYFUNCTION("""COMPUTED_VALUE"""),2.0)</f>
        <v>2</v>
      </c>
      <c r="F1011" s="6">
        <f>IFERROR(__xludf.DUMMYFUNCTION("""COMPUTED_VALUE"""),2.0)</f>
        <v>2</v>
      </c>
      <c r="G1011" s="6">
        <f>IFERROR(__xludf.DUMMYFUNCTION("""COMPUTED_VALUE"""),0.0)</f>
        <v>0</v>
      </c>
      <c r="H1011" s="6" t="str">
        <f>IFERROR(__xludf.DUMMYFUNCTION("""COMPUTED_VALUE"""),"pcs")</f>
        <v>pcs</v>
      </c>
      <c r="I1011" s="6" t="str">
        <f>IFERROR(__xludf.DUMMYFUNCTION("""COMPUTED_VALUE"""),"MFH")</f>
        <v>MFH</v>
      </c>
      <c r="J1011" s="6" t="str">
        <f>IFERROR(__xludf.DUMMYFUNCTION("""COMPUTED_VALUE"""),"Autoclave")</f>
        <v>Autoclave</v>
      </c>
      <c r="K1011" s="6" t="str">
        <f>IFERROR(__xludf.DUMMYFUNCTION("""COMPUTED_VALUE"""),"SPR/07/24/029")</f>
        <v>SPR/07/24/029</v>
      </c>
      <c r="L1011" s="13">
        <f>IFERROR(__xludf.DUMMYFUNCTION("""COMPUTED_VALUE"""),45483.0)</f>
        <v>45483</v>
      </c>
    </row>
    <row r="1012">
      <c r="A1012" s="6" t="str">
        <f>IFERROR(__xludf.DUMMYFUNCTION("""COMPUTED_VALUE"""),"AAA")</f>
        <v>AAA</v>
      </c>
      <c r="B1012" s="6" t="str">
        <f>IFERROR(__xludf.DUMMYFUNCTION("""COMPUTED_VALUE"""),"ENG")</f>
        <v>ENG</v>
      </c>
      <c r="C1012" s="6" t="str">
        <f>IFERROR(__xludf.DUMMYFUNCTION("""COMPUTED_VALUE"""),"P-11990-00")</f>
        <v>P-11990-00</v>
      </c>
      <c r="D1012" s="6" t="str">
        <f>IFERROR(__xludf.DUMMYFUNCTION("""COMPUTED_VALUE"""),"Cable ties CS 100L")</f>
        <v>Cable ties CS 100L</v>
      </c>
      <c r="E1012" s="6">
        <f>IFERROR(__xludf.DUMMYFUNCTION("""COMPUTED_VALUE"""),1.0)</f>
        <v>1</v>
      </c>
      <c r="F1012" s="6">
        <f>IFERROR(__xludf.DUMMYFUNCTION("""COMPUTED_VALUE"""),1.0)</f>
        <v>1</v>
      </c>
      <c r="G1012" s="6">
        <f>IFERROR(__xludf.DUMMYFUNCTION("""COMPUTED_VALUE"""),0.0)</f>
        <v>0</v>
      </c>
      <c r="H1012" s="6" t="str">
        <f>IFERROR(__xludf.DUMMYFUNCTION("""COMPUTED_VALUE"""),"pcs")</f>
        <v>pcs</v>
      </c>
      <c r="I1012" s="6" t="str">
        <f>IFERROR(__xludf.DUMMYFUNCTION("""COMPUTED_VALUE"""),"MFH")</f>
        <v>MFH</v>
      </c>
      <c r="J1012" s="6" t="str">
        <f>IFERROR(__xludf.DUMMYFUNCTION("""COMPUTED_VALUE"""),"-")</f>
        <v>-</v>
      </c>
      <c r="K1012" s="6" t="str">
        <f>IFERROR(__xludf.DUMMYFUNCTION("""COMPUTED_VALUE"""),"SPR/07/24/030")</f>
        <v>SPR/07/24/030</v>
      </c>
      <c r="L1012" s="13">
        <f>IFERROR(__xludf.DUMMYFUNCTION("""COMPUTED_VALUE"""),45483.0)</f>
        <v>45483</v>
      </c>
    </row>
    <row r="1013">
      <c r="A1013" s="6" t="str">
        <f>IFERROR(__xludf.DUMMYFUNCTION("""COMPUTED_VALUE"""),"AAA")</f>
        <v>AAA</v>
      </c>
      <c r="B1013" s="6" t="str">
        <f>IFERROR(__xludf.DUMMYFUNCTION("""COMPUTED_VALUE"""),"ENG")</f>
        <v>ENG</v>
      </c>
      <c r="C1013" s="6" t="str">
        <f>IFERROR(__xludf.DUMMYFUNCTION("""COMPUTED_VALUE"""),"S-40011-00")</f>
        <v>S-40011-00</v>
      </c>
      <c r="D1013" s="6" t="str">
        <f>IFERROR(__xludf.DUMMYFUNCTION("""COMPUTED_VALUE"""),"Battery Lithium 3,6 V LS 14250, Shaft")</f>
        <v>Battery Lithium 3,6 V LS 14250, Shaft</v>
      </c>
      <c r="E1013" s="6">
        <f>IFERROR(__xludf.DUMMYFUNCTION("""COMPUTED_VALUE"""),2.0)</f>
        <v>2</v>
      </c>
      <c r="F1013" s="6">
        <f>IFERROR(__xludf.DUMMYFUNCTION("""COMPUTED_VALUE"""),2.0)</f>
        <v>2</v>
      </c>
      <c r="G1013" s="6">
        <f>IFERROR(__xludf.DUMMYFUNCTION("""COMPUTED_VALUE"""),0.0)</f>
        <v>0</v>
      </c>
      <c r="H1013" s="6" t="str">
        <f>IFERROR(__xludf.DUMMYFUNCTION("""COMPUTED_VALUE"""),"pcs")</f>
        <v>pcs</v>
      </c>
      <c r="I1013" s="6" t="str">
        <f>IFERROR(__xludf.DUMMYFUNCTION("""COMPUTED_VALUE"""),"MFH")</f>
        <v>MFH</v>
      </c>
      <c r="J1013" s="6" t="str">
        <f>IFERROR(__xludf.DUMMYFUNCTION("""COMPUTED_VALUE"""),"WIHC")</f>
        <v>WIHC</v>
      </c>
      <c r="K1013" s="6" t="str">
        <f>IFERROR(__xludf.DUMMYFUNCTION("""COMPUTED_VALUE"""),"SPR/07/24/030")</f>
        <v>SPR/07/24/030</v>
      </c>
      <c r="L1013" s="13">
        <f>IFERROR(__xludf.DUMMYFUNCTION("""COMPUTED_VALUE"""),45483.0)</f>
        <v>45483</v>
      </c>
    </row>
    <row r="1014">
      <c r="A1014" s="6" t="str">
        <f>IFERROR(__xludf.DUMMYFUNCTION("""COMPUTED_VALUE"""),"INN")</f>
        <v>INN</v>
      </c>
      <c r="B1014" s="6" t="str">
        <f>IFERROR(__xludf.DUMMYFUNCTION("""COMPUTED_VALUE"""),"ENG")</f>
        <v>ENG</v>
      </c>
      <c r="C1014" s="6" t="str">
        <f>IFERROR(__xludf.DUMMYFUNCTION("""COMPUTED_VALUE"""),"O-52530-00")</f>
        <v>O-52530-00</v>
      </c>
      <c r="D1014" s="6" t="str">
        <f>IFERROR(__xludf.DUMMYFUNCTION("""COMPUTED_VALUE"""),"Sensor PH Meter Type : InPro3250/120/PT1000 PN. 52002548; Mettler-Toledo; ;")</f>
        <v>Sensor PH Meter Type : InPro3250/120/PT1000 PN. 52002548; Mettler-Toledo; ;</v>
      </c>
      <c r="E1014" s="6">
        <f>IFERROR(__xludf.DUMMYFUNCTION("""COMPUTED_VALUE"""),1.0)</f>
        <v>1</v>
      </c>
      <c r="F1014" s="6">
        <f>IFERROR(__xludf.DUMMYFUNCTION("""COMPUTED_VALUE"""),1.0)</f>
        <v>1</v>
      </c>
      <c r="G1014" s="6">
        <f>IFERROR(__xludf.DUMMYFUNCTION("""COMPUTED_VALUE"""),0.0)</f>
        <v>0</v>
      </c>
      <c r="H1014" s="6" t="str">
        <f>IFERROR(__xludf.DUMMYFUNCTION("""COMPUTED_VALUE"""),"pcs")</f>
        <v>pcs</v>
      </c>
      <c r="I1014" s="6" t="str">
        <f>IFERROR(__xludf.DUMMYFUNCTION("""COMPUTED_VALUE"""),"MFH")</f>
        <v>MFH</v>
      </c>
      <c r="J1014" s="6" t="str">
        <f>IFERROR(__xludf.DUMMYFUNCTION("""COMPUTED_VALUE"""),"Mixing")</f>
        <v>Mixing</v>
      </c>
      <c r="K1014" s="6" t="str">
        <f>IFERROR(__xludf.DUMMYFUNCTION("""COMPUTED_VALUE"""),"SPR/07/24/031")</f>
        <v>SPR/07/24/031</v>
      </c>
      <c r="L1014" s="13">
        <f>IFERROR(__xludf.DUMMYFUNCTION("""COMPUTED_VALUE"""),45483.0)</f>
        <v>45483</v>
      </c>
    </row>
    <row r="1015">
      <c r="A1015" s="6" t="str">
        <f>IFERROR(__xludf.DUMMYFUNCTION("""COMPUTED_VALUE"""),"BFN")</f>
        <v>BFN</v>
      </c>
      <c r="B1015" s="6" t="str">
        <f>IFERROR(__xludf.DUMMYFUNCTION("""COMPUTED_VALUE"""),"PRO")</f>
        <v>PRO</v>
      </c>
      <c r="C1015" s="6" t="str">
        <f>IFERROR(__xludf.DUMMYFUNCTION("""COMPUTED_VALUE"""),"P-12261-00")</f>
        <v>P-12261-00</v>
      </c>
      <c r="D1015" s="6" t="str">
        <f>IFERROR(__xludf.DUMMYFUNCTION("""COMPUTED_VALUE"""),"FESTO - Push In Connector QS-6 p/n 153032")</f>
        <v>FESTO - Push In Connector QS-6 p/n 153032</v>
      </c>
      <c r="E1015" s="6">
        <f>IFERROR(__xludf.DUMMYFUNCTION("""COMPUTED_VALUE"""),1.0)</f>
        <v>1</v>
      </c>
      <c r="F1015" s="6">
        <f>IFERROR(__xludf.DUMMYFUNCTION("""COMPUTED_VALUE"""),1.0)</f>
        <v>1</v>
      </c>
      <c r="G1015" s="6">
        <f>IFERROR(__xludf.DUMMYFUNCTION("""COMPUTED_VALUE"""),0.0)</f>
        <v>0</v>
      </c>
      <c r="H1015" s="6" t="str">
        <f>IFERROR(__xludf.DUMMYFUNCTION("""COMPUTED_VALUE"""),"pcs")</f>
        <v>pcs</v>
      </c>
      <c r="I1015" s="6" t="str">
        <f>IFERROR(__xludf.DUMMYFUNCTION("""COMPUTED_VALUE"""),"MFH")</f>
        <v>MFH</v>
      </c>
      <c r="J1015" s="6" t="str">
        <f>IFERROR(__xludf.DUMMYFUNCTION("""COMPUTED_VALUE"""),"OSD")</f>
        <v>OSD</v>
      </c>
      <c r="K1015" s="6" t="str">
        <f>IFERROR(__xludf.DUMMYFUNCTION("""COMPUTED_VALUE"""),"SPR/07/24/032")</f>
        <v>SPR/07/24/032</v>
      </c>
      <c r="L1015" s="13">
        <f>IFERROR(__xludf.DUMMYFUNCTION("""COMPUTED_VALUE"""),45483.0)</f>
        <v>45483</v>
      </c>
    </row>
    <row r="1016">
      <c r="A1016" s="6" t="str">
        <f>IFERROR(__xludf.DUMMYFUNCTION("""COMPUTED_VALUE"""),"BFN")</f>
        <v>BFN</v>
      </c>
      <c r="B1016" s="6" t="str">
        <f>IFERROR(__xludf.DUMMYFUNCTION("""COMPUTED_VALUE"""),"PRO")</f>
        <v>PRO</v>
      </c>
      <c r="C1016" s="6" t="str">
        <f>IFERROR(__xludf.DUMMYFUNCTION("""COMPUTED_VALUE"""),"O-12735-00")</f>
        <v>O-12735-00</v>
      </c>
      <c r="D1016" s="6" t="str">
        <f>IFERROR(__xludf.DUMMYFUNCTION("""COMPUTED_VALUE"""),"Tubing Polyurethane TU0604 Clear; SMC; Part No. X3; roll")</f>
        <v>Tubing Polyurethane TU0604 Clear; SMC; Part No. X3; roll</v>
      </c>
      <c r="E1016" s="6">
        <f>IFERROR(__xludf.DUMMYFUNCTION("""COMPUTED_VALUE"""),50.0)</f>
        <v>50</v>
      </c>
      <c r="F1016" s="6">
        <f>IFERROR(__xludf.DUMMYFUNCTION("""COMPUTED_VALUE"""),50.0)</f>
        <v>50</v>
      </c>
      <c r="G1016" s="6">
        <f>IFERROR(__xludf.DUMMYFUNCTION("""COMPUTED_VALUE"""),0.0)</f>
        <v>0</v>
      </c>
      <c r="H1016" s="6" t="str">
        <f>IFERROR(__xludf.DUMMYFUNCTION("""COMPUTED_VALUE"""),"Meter")</f>
        <v>Meter</v>
      </c>
      <c r="I1016" s="6" t="str">
        <f>IFERROR(__xludf.DUMMYFUNCTION("""COMPUTED_VALUE"""),"MFH")</f>
        <v>MFH</v>
      </c>
      <c r="J1016" s="6" t="str">
        <f>IFERROR(__xludf.DUMMYFUNCTION("""COMPUTED_VALUE"""),"OSD")</f>
        <v>OSD</v>
      </c>
      <c r="K1016" s="6" t="str">
        <f>IFERROR(__xludf.DUMMYFUNCTION("""COMPUTED_VALUE"""),"SPR/07/24/032")</f>
        <v>SPR/07/24/032</v>
      </c>
      <c r="L1016" s="13">
        <f>IFERROR(__xludf.DUMMYFUNCTION("""COMPUTED_VALUE"""),45483.0)</f>
        <v>45483</v>
      </c>
    </row>
    <row r="1017">
      <c r="A1017" s="6" t="str">
        <f>IFERROR(__xludf.DUMMYFUNCTION("""COMPUTED_VALUE"""),"BFN")</f>
        <v>BFN</v>
      </c>
      <c r="B1017" s="6" t="str">
        <f>IFERROR(__xludf.DUMMYFUNCTION("""COMPUTED_VALUE"""),"PRO")</f>
        <v>PRO</v>
      </c>
      <c r="C1017" s="6" t="str">
        <f>IFERROR(__xludf.DUMMYFUNCTION("""COMPUTED_VALUE"""),"P-14519-00")</f>
        <v>P-14519-00</v>
      </c>
      <c r="D1017" s="6" t="str">
        <f>IFERROR(__xludf.DUMMYFUNCTION("""COMPUTED_VALUE"""),"Baut Hexagonal SS M8x30mm+Mur+Ring; ; ;")</f>
        <v>Baut Hexagonal SS M8x30mm+Mur+Ring; ; ;</v>
      </c>
      <c r="E1017" s="6">
        <f>IFERROR(__xludf.DUMMYFUNCTION("""COMPUTED_VALUE"""),30.0)</f>
        <v>30</v>
      </c>
      <c r="F1017" s="6">
        <f>IFERROR(__xludf.DUMMYFUNCTION("""COMPUTED_VALUE"""),5.0)</f>
        <v>5</v>
      </c>
      <c r="G1017" s="6">
        <f>IFERROR(__xludf.DUMMYFUNCTION("""COMPUTED_VALUE"""),0.0)</f>
        <v>0</v>
      </c>
      <c r="H1017" s="6" t="str">
        <f>IFERROR(__xludf.DUMMYFUNCTION("""COMPUTED_VALUE"""),"pcs")</f>
        <v>pcs</v>
      </c>
      <c r="I1017" s="6" t="str">
        <f>IFERROR(__xludf.DUMMYFUNCTION("""COMPUTED_VALUE"""),"MFH")</f>
        <v>MFH</v>
      </c>
      <c r="J1017" s="6" t="str">
        <f>IFERROR(__xludf.DUMMYFUNCTION("""COMPUTED_VALUE"""),"OSD")</f>
        <v>OSD</v>
      </c>
      <c r="K1017" s="6" t="str">
        <f>IFERROR(__xludf.DUMMYFUNCTION("""COMPUTED_VALUE"""),"SPR/07/24/032")</f>
        <v>SPR/07/24/032</v>
      </c>
      <c r="L1017" s="13">
        <f>IFERROR(__xludf.DUMMYFUNCTION("""COMPUTED_VALUE"""),45483.0)</f>
        <v>45483</v>
      </c>
    </row>
    <row r="1018">
      <c r="A1018" s="6" t="str">
        <f>IFERROR(__xludf.DUMMYFUNCTION("""COMPUTED_VALUE"""),"NDS")</f>
        <v>NDS</v>
      </c>
      <c r="B1018" s="6" t="str">
        <f>IFERROR(__xludf.DUMMYFUNCTION("""COMPUTED_VALUE"""),"ENG")</f>
        <v>ENG</v>
      </c>
      <c r="C1018" s="6" t="str">
        <f>IFERROR(__xludf.DUMMYFUNCTION("""COMPUTED_VALUE"""),"O-15931-00")</f>
        <v>O-15931-00</v>
      </c>
      <c r="D1018" s="6" t="str">
        <f>IFERROR(__xludf.DUMMYFUNCTION("""COMPUTED_VALUE"""),"Double Tape 3M 1"" Merah - P/N : - pc")</f>
        <v>Double Tape 3M 1" Merah - P/N : - pc</v>
      </c>
      <c r="E1018" s="6">
        <f>IFERROR(__xludf.DUMMYFUNCTION("""COMPUTED_VALUE"""),2.0)</f>
        <v>2</v>
      </c>
      <c r="F1018" s="6">
        <f>IFERROR(__xludf.DUMMYFUNCTION("""COMPUTED_VALUE"""),1.0)</f>
        <v>1</v>
      </c>
      <c r="G1018" s="6">
        <f>IFERROR(__xludf.DUMMYFUNCTION("""COMPUTED_VALUE"""),0.0)</f>
        <v>0</v>
      </c>
      <c r="H1018" s="6" t="str">
        <f>IFERROR(__xludf.DUMMYFUNCTION("""COMPUTED_VALUE"""),"pcs")</f>
        <v>pcs</v>
      </c>
      <c r="I1018" s="6" t="str">
        <f>IFERROR(__xludf.DUMMYFUNCTION("""COMPUTED_VALUE"""),"MFH")</f>
        <v>MFH</v>
      </c>
      <c r="J1018" s="6" t="str">
        <f>IFERROR(__xludf.DUMMYFUNCTION("""COMPUTED_VALUE"""),"OSD")</f>
        <v>OSD</v>
      </c>
      <c r="K1018" s="6" t="str">
        <f>IFERROR(__xludf.DUMMYFUNCTION("""COMPUTED_VALUE"""),"SPR/07/24/033")</f>
        <v>SPR/07/24/033</v>
      </c>
      <c r="L1018" s="13">
        <f>IFERROR(__xludf.DUMMYFUNCTION("""COMPUTED_VALUE"""),45483.0)</f>
        <v>45483</v>
      </c>
    </row>
    <row r="1019">
      <c r="A1019" s="6" t="str">
        <f>IFERROR(__xludf.DUMMYFUNCTION("""COMPUTED_VALUE"""),"NDS")</f>
        <v>NDS</v>
      </c>
      <c r="B1019" s="6" t="str">
        <f>IFERROR(__xludf.DUMMYFUNCTION("""COMPUTED_VALUE"""),"ENG")</f>
        <v>ENG</v>
      </c>
      <c r="C1019" s="6" t="str">
        <f>IFERROR(__xludf.DUMMYFUNCTION("""COMPUTED_VALUE"""),"Q-60003-00")</f>
        <v>Q-60003-00</v>
      </c>
      <c r="D1019" s="6" t="str">
        <f>IFERROR(__xludf.DUMMYFUNCTION("""COMPUTED_VALUE"""),"Plakband Kertas")</f>
        <v>Plakband Kertas</v>
      </c>
      <c r="E1019" s="6">
        <f>IFERROR(__xludf.DUMMYFUNCTION("""COMPUTED_VALUE"""),3.0)</f>
        <v>3</v>
      </c>
      <c r="F1019" s="6">
        <f>IFERROR(__xludf.DUMMYFUNCTION("""COMPUTED_VALUE"""),1.0)</f>
        <v>1</v>
      </c>
      <c r="G1019" s="6">
        <f>IFERROR(__xludf.DUMMYFUNCTION("""COMPUTED_VALUE"""),0.0)</f>
        <v>0</v>
      </c>
      <c r="H1019" s="6" t="str">
        <f>IFERROR(__xludf.DUMMYFUNCTION("""COMPUTED_VALUE"""),"pcs")</f>
        <v>pcs</v>
      </c>
      <c r="I1019" s="6" t="str">
        <f>IFERROR(__xludf.DUMMYFUNCTION("""COMPUTED_VALUE"""),"MFH")</f>
        <v>MFH</v>
      </c>
      <c r="J1019" s="6" t="str">
        <f>IFERROR(__xludf.DUMMYFUNCTION("""COMPUTED_VALUE"""),"OSD")</f>
        <v>OSD</v>
      </c>
      <c r="K1019" s="6" t="str">
        <f>IFERROR(__xludf.DUMMYFUNCTION("""COMPUTED_VALUE"""),"SPR/07/24/033")</f>
        <v>SPR/07/24/033</v>
      </c>
      <c r="L1019" s="13">
        <f>IFERROR(__xludf.DUMMYFUNCTION("""COMPUTED_VALUE"""),45483.0)</f>
        <v>45483</v>
      </c>
    </row>
    <row r="1020">
      <c r="A1020" s="6" t="str">
        <f>IFERROR(__xludf.DUMMYFUNCTION("""COMPUTED_VALUE"""),"SFH")</f>
        <v>SFH</v>
      </c>
      <c r="B1020" s="6" t="str">
        <f>IFERROR(__xludf.DUMMYFUNCTION("""COMPUTED_VALUE"""),"ENG")</f>
        <v>ENG</v>
      </c>
      <c r="C1020" s="6" t="str">
        <f>IFERROR(__xludf.DUMMYFUNCTION("""COMPUTED_VALUE"""),"O-15931-00")</f>
        <v>O-15931-00</v>
      </c>
      <c r="D1020" s="6" t="str">
        <f>IFERROR(__xludf.DUMMYFUNCTION("""COMPUTED_VALUE"""),"Double Tape 3M 1"" Merah - P/N : - pc")</f>
        <v>Double Tape 3M 1" Merah - P/N : - pc</v>
      </c>
      <c r="E1020" s="6">
        <f>IFERROR(__xludf.DUMMYFUNCTION("""COMPUTED_VALUE"""),2.0)</f>
        <v>2</v>
      </c>
      <c r="F1020" s="6">
        <f>IFERROR(__xludf.DUMMYFUNCTION("""COMPUTED_VALUE"""),1.0)</f>
        <v>1</v>
      </c>
      <c r="G1020" s="6">
        <f>IFERROR(__xludf.DUMMYFUNCTION("""COMPUTED_VALUE"""),0.0)</f>
        <v>0</v>
      </c>
      <c r="H1020" s="6" t="str">
        <f>IFERROR(__xludf.DUMMYFUNCTION("""COMPUTED_VALUE"""),"pcs")</f>
        <v>pcs</v>
      </c>
      <c r="I1020" s="6" t="str">
        <f>IFERROR(__xludf.DUMMYFUNCTION("""COMPUTED_VALUE"""),"MFH")</f>
        <v>MFH</v>
      </c>
      <c r="J1020" s="6" t="str">
        <f>IFERROR(__xludf.DUMMYFUNCTION("""COMPUTED_VALUE"""),"Building")</f>
        <v>Building</v>
      </c>
      <c r="K1020" s="6" t="str">
        <f>IFERROR(__xludf.DUMMYFUNCTION("""COMPUTED_VALUE"""),"SPR/07/24/034")</f>
        <v>SPR/07/24/034</v>
      </c>
      <c r="L1020" s="13">
        <f>IFERROR(__xludf.DUMMYFUNCTION("""COMPUTED_VALUE"""),45483.0)</f>
        <v>45483</v>
      </c>
    </row>
    <row r="1021">
      <c r="A1021" s="6" t="str">
        <f>IFERROR(__xludf.DUMMYFUNCTION("""COMPUTED_VALUE"""),"SFH")</f>
        <v>SFH</v>
      </c>
      <c r="B1021" s="6" t="str">
        <f>IFERROR(__xludf.DUMMYFUNCTION("""COMPUTED_VALUE"""),"ENG")</f>
        <v>ENG</v>
      </c>
      <c r="C1021" s="6" t="str">
        <f>IFERROR(__xludf.DUMMYFUNCTION("""COMPUTED_VALUE"""),"Q-60003-00")</f>
        <v>Q-60003-00</v>
      </c>
      <c r="D1021" s="6" t="str">
        <f>IFERROR(__xludf.DUMMYFUNCTION("""COMPUTED_VALUE"""),"Plakband Kertas")</f>
        <v>Plakband Kertas</v>
      </c>
      <c r="E1021" s="6">
        <f>IFERROR(__xludf.DUMMYFUNCTION("""COMPUTED_VALUE"""),4.0)</f>
        <v>4</v>
      </c>
      <c r="F1021" s="6">
        <f>IFERROR(__xludf.DUMMYFUNCTION("""COMPUTED_VALUE"""),2.0)</f>
        <v>2</v>
      </c>
      <c r="G1021" s="6">
        <f>IFERROR(__xludf.DUMMYFUNCTION("""COMPUTED_VALUE"""),0.0)</f>
        <v>0</v>
      </c>
      <c r="H1021" s="6" t="str">
        <f>IFERROR(__xludf.DUMMYFUNCTION("""COMPUTED_VALUE"""),"pcs")</f>
        <v>pcs</v>
      </c>
      <c r="I1021" s="6" t="str">
        <f>IFERROR(__xludf.DUMMYFUNCTION("""COMPUTED_VALUE"""),"MFH")</f>
        <v>MFH</v>
      </c>
      <c r="J1021" s="6" t="str">
        <f>IFERROR(__xludf.DUMMYFUNCTION("""COMPUTED_VALUE"""),"Building")</f>
        <v>Building</v>
      </c>
      <c r="K1021" s="6" t="str">
        <f>IFERROR(__xludf.DUMMYFUNCTION("""COMPUTED_VALUE"""),"SPR/07/24/034")</f>
        <v>SPR/07/24/034</v>
      </c>
      <c r="L1021" s="13">
        <f>IFERROR(__xludf.DUMMYFUNCTION("""COMPUTED_VALUE"""),45483.0)</f>
        <v>45483</v>
      </c>
    </row>
    <row r="1022">
      <c r="A1022" s="6" t="str">
        <f>IFERROR(__xludf.DUMMYFUNCTION("""COMPUTED_VALUE"""),"SFH")</f>
        <v>SFH</v>
      </c>
      <c r="B1022" s="6" t="str">
        <f>IFERROR(__xludf.DUMMYFUNCTION("""COMPUTED_VALUE"""),"ENG")</f>
        <v>ENG</v>
      </c>
      <c r="C1022" s="6" t="str">
        <f>IFERROR(__xludf.DUMMYFUNCTION("""COMPUTED_VALUE"""),"P-52975-00")</f>
        <v>P-52975-00</v>
      </c>
      <c r="D1022" s="6" t="str">
        <f>IFERROR(__xludf.DUMMYFUNCTION("""COMPUTED_VALUE"""),"Limit Switch; EWIG; E8108 IP65; ; ;")</f>
        <v>Limit Switch; EWIG; E8108 IP65; ; ;</v>
      </c>
      <c r="E1022" s="6">
        <f>IFERROR(__xludf.DUMMYFUNCTION("""COMPUTED_VALUE"""),5.0)</f>
        <v>5</v>
      </c>
      <c r="F1022" s="6">
        <f>IFERROR(__xludf.DUMMYFUNCTION("""COMPUTED_VALUE"""),2.0)</f>
        <v>2</v>
      </c>
      <c r="G1022" s="6">
        <f>IFERROR(__xludf.DUMMYFUNCTION("""COMPUTED_VALUE"""),0.0)</f>
        <v>0</v>
      </c>
      <c r="H1022" s="6" t="str">
        <f>IFERROR(__xludf.DUMMYFUNCTION("""COMPUTED_VALUE"""),"pcs")</f>
        <v>pcs</v>
      </c>
      <c r="I1022" s="6" t="str">
        <f>IFERROR(__xludf.DUMMYFUNCTION("""COMPUTED_VALUE"""),"MFH")</f>
        <v>MFH</v>
      </c>
      <c r="J1022" s="6" t="str">
        <f>IFERROR(__xludf.DUMMYFUNCTION("""COMPUTED_VALUE"""),"Building")</f>
        <v>Building</v>
      </c>
      <c r="K1022" s="6" t="str">
        <f>IFERROR(__xludf.DUMMYFUNCTION("""COMPUTED_VALUE"""),"SPR/07/24/034")</f>
        <v>SPR/07/24/034</v>
      </c>
      <c r="L1022" s="13">
        <f>IFERROR(__xludf.DUMMYFUNCTION("""COMPUTED_VALUE"""),45483.0)</f>
        <v>45483</v>
      </c>
    </row>
    <row r="1023">
      <c r="A1023" s="6" t="str">
        <f>IFERROR(__xludf.DUMMYFUNCTION("""COMPUTED_VALUE"""),"RMA")</f>
        <v>RMA</v>
      </c>
      <c r="B1023" s="6" t="str">
        <f>IFERROR(__xludf.DUMMYFUNCTION("""COMPUTED_VALUE"""),"ENG")</f>
        <v>ENG</v>
      </c>
      <c r="C1023" s="6" t="str">
        <f>IFERROR(__xludf.DUMMYFUNCTION("""COMPUTED_VALUE"""),"P-10945-00")</f>
        <v>P-10945-00</v>
      </c>
      <c r="D1023" s="6" t="str">
        <f>IFERROR(__xludf.DUMMYFUNCTION("""COMPUTED_VALUE"""),"Insulation - Seal Tape onda")</f>
        <v>Insulation - Seal Tape onda</v>
      </c>
      <c r="E1023" s="6">
        <f>IFERROR(__xludf.DUMMYFUNCTION("""COMPUTED_VALUE"""),40.0)</f>
        <v>40</v>
      </c>
      <c r="F1023" s="6">
        <f>IFERROR(__xludf.DUMMYFUNCTION("""COMPUTED_VALUE"""),1.0)</f>
        <v>1</v>
      </c>
      <c r="G1023" s="6">
        <f>IFERROR(__xludf.DUMMYFUNCTION("""COMPUTED_VALUE"""),0.0)</f>
        <v>0</v>
      </c>
      <c r="H1023" s="6" t="str">
        <f>IFERROR(__xludf.DUMMYFUNCTION("""COMPUTED_VALUE"""),"pcs")</f>
        <v>pcs</v>
      </c>
      <c r="I1023" s="6" t="str">
        <f>IFERROR(__xludf.DUMMYFUNCTION("""COMPUTED_VALUE"""),"MFH")</f>
        <v>MFH</v>
      </c>
      <c r="J1023" s="6" t="str">
        <f>IFERROR(__xludf.DUMMYFUNCTION("""COMPUTED_VALUE"""),"Building")</f>
        <v>Building</v>
      </c>
      <c r="K1023" s="6" t="str">
        <f>IFERROR(__xludf.DUMMYFUNCTION("""COMPUTED_VALUE"""),"SPR/07/24/035")</f>
        <v>SPR/07/24/035</v>
      </c>
      <c r="L1023" s="13">
        <f>IFERROR(__xludf.DUMMYFUNCTION("""COMPUTED_VALUE"""),45483.0)</f>
        <v>45483</v>
      </c>
    </row>
    <row r="1024">
      <c r="A1024" s="6" t="str">
        <f>IFERROR(__xludf.DUMMYFUNCTION("""COMPUTED_VALUE"""),"RMA")</f>
        <v>RMA</v>
      </c>
      <c r="B1024" s="6" t="str">
        <f>IFERROR(__xludf.DUMMYFUNCTION("""COMPUTED_VALUE"""),"ENG")</f>
        <v>ENG</v>
      </c>
      <c r="C1024" s="6" t="str">
        <f>IFERROR(__xludf.DUMMYFUNCTION("""COMPUTED_VALUE"""),"Q-60003-00")</f>
        <v>Q-60003-00</v>
      </c>
      <c r="D1024" s="6" t="str">
        <f>IFERROR(__xludf.DUMMYFUNCTION("""COMPUTED_VALUE"""),"Plakband Kertas")</f>
        <v>Plakband Kertas</v>
      </c>
      <c r="E1024" s="6">
        <f>IFERROR(__xludf.DUMMYFUNCTION("""COMPUTED_VALUE"""),5.0)</f>
        <v>5</v>
      </c>
      <c r="F1024" s="6">
        <f>IFERROR(__xludf.DUMMYFUNCTION("""COMPUTED_VALUE"""),1.0)</f>
        <v>1</v>
      </c>
      <c r="G1024" s="6">
        <f>IFERROR(__xludf.DUMMYFUNCTION("""COMPUTED_VALUE"""),0.0)</f>
        <v>0</v>
      </c>
      <c r="H1024" s="6" t="str">
        <f>IFERROR(__xludf.DUMMYFUNCTION("""COMPUTED_VALUE"""),"pcs")</f>
        <v>pcs</v>
      </c>
      <c r="I1024" s="6" t="str">
        <f>IFERROR(__xludf.DUMMYFUNCTION("""COMPUTED_VALUE"""),"MFH")</f>
        <v>MFH</v>
      </c>
      <c r="J1024" s="6" t="str">
        <f>IFERROR(__xludf.DUMMYFUNCTION("""COMPUTED_VALUE"""),"Building")</f>
        <v>Building</v>
      </c>
      <c r="K1024" s="6" t="str">
        <f>IFERROR(__xludf.DUMMYFUNCTION("""COMPUTED_VALUE"""),"SPR/07/24/035")</f>
        <v>SPR/07/24/035</v>
      </c>
      <c r="L1024" s="13">
        <f>IFERROR(__xludf.DUMMYFUNCTION("""COMPUTED_VALUE"""),45483.0)</f>
        <v>45483</v>
      </c>
    </row>
    <row r="1025">
      <c r="A1025" s="6" t="str">
        <f>IFERROR(__xludf.DUMMYFUNCTION("""COMPUTED_VALUE"""),"MBN")</f>
        <v>MBN</v>
      </c>
      <c r="B1025" s="6" t="str">
        <f>IFERROR(__xludf.DUMMYFUNCTION("""COMPUTED_VALUE"""),"PRO")</f>
        <v>PRO</v>
      </c>
      <c r="C1025" s="6" t="str">
        <f>IFERROR(__xludf.DUMMYFUNCTION("""COMPUTED_VALUE"""),"P-17645-00")</f>
        <v>P-17645-00</v>
      </c>
      <c r="D1025" s="6" t="str">
        <f>IFERROR(__xludf.DUMMYFUNCTION("""COMPUTED_VALUE"""),"Sodium Hiphoclorite; ; ; ltr")</f>
        <v>Sodium Hiphoclorite; ; ; ltr</v>
      </c>
      <c r="E1025" s="6">
        <f>IFERROR(__xludf.DUMMYFUNCTION("""COMPUTED_VALUE"""),60.0)</f>
        <v>60</v>
      </c>
      <c r="F1025" s="6">
        <f>IFERROR(__xludf.DUMMYFUNCTION("""COMPUTED_VALUE"""),60.0)</f>
        <v>60</v>
      </c>
      <c r="G1025" s="6">
        <f>IFERROR(__xludf.DUMMYFUNCTION("""COMPUTED_VALUE"""),0.0)</f>
        <v>0</v>
      </c>
      <c r="H1025" s="6" t="str">
        <f>IFERROR(__xludf.DUMMYFUNCTION("""COMPUTED_VALUE"""),"pcs")</f>
        <v>pcs</v>
      </c>
      <c r="I1025" s="6" t="str">
        <f>IFERROR(__xludf.DUMMYFUNCTION("""COMPUTED_VALUE"""),"MFH")</f>
        <v>MFH</v>
      </c>
      <c r="J1025" s="6" t="str">
        <f>IFERROR(__xludf.DUMMYFUNCTION("""COMPUTED_VALUE"""),"-")</f>
        <v>-</v>
      </c>
      <c r="K1025" s="6" t="str">
        <f>IFERROR(__xludf.DUMMYFUNCTION("""COMPUTED_VALUE"""),"SPR/07/24/036")</f>
        <v>SPR/07/24/036</v>
      </c>
      <c r="L1025" s="13">
        <f>IFERROR(__xludf.DUMMYFUNCTION("""COMPUTED_VALUE"""),45483.0)</f>
        <v>45483</v>
      </c>
    </row>
    <row r="1026">
      <c r="A1026" s="6" t="str">
        <f>IFERROR(__xludf.DUMMYFUNCTION("""COMPUTED_VALUE"""),"MOB")</f>
        <v>MOB</v>
      </c>
      <c r="B1026" s="6" t="str">
        <f>IFERROR(__xludf.DUMMYFUNCTION("""COMPUTED_VALUE"""),"ENG")</f>
        <v>ENG</v>
      </c>
      <c r="C1026" s="6" t="str">
        <f>IFERROR(__xludf.DUMMYFUNCTION("""COMPUTED_VALUE"""),"P-12261-00")</f>
        <v>P-12261-00</v>
      </c>
      <c r="D1026" s="6" t="str">
        <f>IFERROR(__xludf.DUMMYFUNCTION("""COMPUTED_VALUE"""),"FESTO - Push In Connector QS-6 p/n 153032")</f>
        <v>FESTO - Push In Connector QS-6 p/n 153032</v>
      </c>
      <c r="E1026" s="6">
        <f>IFERROR(__xludf.DUMMYFUNCTION("""COMPUTED_VALUE"""),2.0)</f>
        <v>2</v>
      </c>
      <c r="F1026" s="6">
        <f>IFERROR(__xludf.DUMMYFUNCTION("""COMPUTED_VALUE"""),2.0)</f>
        <v>2</v>
      </c>
      <c r="G1026" s="6">
        <f>IFERROR(__xludf.DUMMYFUNCTION("""COMPUTED_VALUE"""),0.0)</f>
        <v>0</v>
      </c>
      <c r="H1026" s="6" t="str">
        <f>IFERROR(__xludf.DUMMYFUNCTION("""COMPUTED_VALUE"""),"pcs")</f>
        <v>pcs</v>
      </c>
      <c r="I1026" s="6" t="str">
        <f>IFERROR(__xludf.DUMMYFUNCTION("""COMPUTED_VALUE"""),"MFH")</f>
        <v>MFH</v>
      </c>
      <c r="J1026" s="6" t="str">
        <f>IFERROR(__xludf.DUMMYFUNCTION("""COMPUTED_VALUE"""),"-")</f>
        <v>-</v>
      </c>
      <c r="K1026" s="6" t="str">
        <f>IFERROR(__xludf.DUMMYFUNCTION("""COMPUTED_VALUE"""),"SPR/07/24/037")</f>
        <v>SPR/07/24/037</v>
      </c>
      <c r="L1026" s="13">
        <f>IFERROR(__xludf.DUMMYFUNCTION("""COMPUTED_VALUE"""),45483.0)</f>
        <v>45483</v>
      </c>
    </row>
    <row r="1027">
      <c r="A1027" s="6" t="str">
        <f>IFERROR(__xludf.DUMMYFUNCTION("""COMPUTED_VALUE"""),"MOB")</f>
        <v>MOB</v>
      </c>
      <c r="B1027" s="6" t="str">
        <f>IFERROR(__xludf.DUMMYFUNCTION("""COMPUTED_VALUE"""),"ENG")</f>
        <v>ENG</v>
      </c>
      <c r="C1027" s="6" t="str">
        <f>IFERROR(__xludf.DUMMYFUNCTION("""COMPUTED_VALUE"""),"P-12263-00")</f>
        <v>P-12263-00</v>
      </c>
      <c r="D1027" s="6" t="str">
        <f>IFERROR(__xludf.DUMMYFUNCTION("""COMPUTED_VALUE"""),"FESTO - Push In Connector QS-8 p/n 153033")</f>
        <v>FESTO - Push In Connector QS-8 p/n 153033</v>
      </c>
      <c r="E1027" s="6">
        <f>IFERROR(__xludf.DUMMYFUNCTION("""COMPUTED_VALUE"""),4.0)</f>
        <v>4</v>
      </c>
      <c r="F1027" s="6">
        <f>IFERROR(__xludf.DUMMYFUNCTION("""COMPUTED_VALUE"""),4.0)</f>
        <v>4</v>
      </c>
      <c r="G1027" s="6">
        <f>IFERROR(__xludf.DUMMYFUNCTION("""COMPUTED_VALUE"""),0.0)</f>
        <v>0</v>
      </c>
      <c r="H1027" s="6" t="str">
        <f>IFERROR(__xludf.DUMMYFUNCTION("""COMPUTED_VALUE"""),"pcs")</f>
        <v>pcs</v>
      </c>
      <c r="I1027" s="6" t="str">
        <f>IFERROR(__xludf.DUMMYFUNCTION("""COMPUTED_VALUE"""),"MFH")</f>
        <v>MFH</v>
      </c>
      <c r="J1027" s="6" t="str">
        <f>IFERROR(__xludf.DUMMYFUNCTION("""COMPUTED_VALUE"""),"-")</f>
        <v>-</v>
      </c>
      <c r="K1027" s="6" t="str">
        <f>IFERROR(__xludf.DUMMYFUNCTION("""COMPUTED_VALUE"""),"SPR/07/24/037")</f>
        <v>SPR/07/24/037</v>
      </c>
      <c r="L1027" s="13">
        <f>IFERROR(__xludf.DUMMYFUNCTION("""COMPUTED_VALUE"""),45483.0)</f>
        <v>45483</v>
      </c>
    </row>
    <row r="1028">
      <c r="A1028" s="6" t="str">
        <f>IFERROR(__xludf.DUMMYFUNCTION("""COMPUTED_VALUE"""),"MOB")</f>
        <v>MOB</v>
      </c>
      <c r="B1028" s="6" t="str">
        <f>IFERROR(__xludf.DUMMYFUNCTION("""COMPUTED_VALUE"""),"ENG")</f>
        <v>ENG</v>
      </c>
      <c r="C1028" s="6" t="str">
        <f>IFERROR(__xludf.DUMMYFUNCTION("""COMPUTED_VALUE"""),"O-13508-00")</f>
        <v>O-13508-00</v>
      </c>
      <c r="D1028" s="6" t="str">
        <f>IFERROR(__xludf.DUMMYFUNCTION("""COMPUTED_VALUE"""),"Pneumatic Fitting - QS 8-6 FESTO P/N : - pc")</f>
        <v>Pneumatic Fitting - QS 8-6 FESTO P/N : - pc</v>
      </c>
      <c r="E1028" s="6">
        <f>IFERROR(__xludf.DUMMYFUNCTION("""COMPUTED_VALUE"""),2.0)</f>
        <v>2</v>
      </c>
      <c r="F1028" s="6">
        <f>IFERROR(__xludf.DUMMYFUNCTION("""COMPUTED_VALUE"""),2.0)</f>
        <v>2</v>
      </c>
      <c r="G1028" s="6">
        <f>IFERROR(__xludf.DUMMYFUNCTION("""COMPUTED_VALUE"""),0.0)</f>
        <v>0</v>
      </c>
      <c r="H1028" s="6" t="str">
        <f>IFERROR(__xludf.DUMMYFUNCTION("""COMPUTED_VALUE"""),"pcs")</f>
        <v>pcs</v>
      </c>
      <c r="I1028" s="6" t="str">
        <f>IFERROR(__xludf.DUMMYFUNCTION("""COMPUTED_VALUE"""),"MFH")</f>
        <v>MFH</v>
      </c>
      <c r="J1028" s="6" t="str">
        <f>IFERROR(__xludf.DUMMYFUNCTION("""COMPUTED_VALUE"""),"N2 Gen")</f>
        <v>N2 Gen</v>
      </c>
      <c r="K1028" s="6" t="str">
        <f>IFERROR(__xludf.DUMMYFUNCTION("""COMPUTED_VALUE"""),"SPR/07/24/038")</f>
        <v>SPR/07/24/038</v>
      </c>
      <c r="L1028" s="13">
        <f>IFERROR(__xludf.DUMMYFUNCTION("""COMPUTED_VALUE"""),45483.0)</f>
        <v>45483</v>
      </c>
    </row>
    <row r="1029">
      <c r="A1029" s="6" t="str">
        <f>IFERROR(__xludf.DUMMYFUNCTION("""COMPUTED_VALUE"""),"MOB")</f>
        <v>MOB</v>
      </c>
      <c r="B1029" s="6" t="str">
        <f>IFERROR(__xludf.DUMMYFUNCTION("""COMPUTED_VALUE"""),"ENG")</f>
        <v>ENG</v>
      </c>
      <c r="C1029" s="6" t="str">
        <f>IFERROR(__xludf.DUMMYFUNCTION("""COMPUTED_VALUE"""),"-")</f>
        <v>-</v>
      </c>
      <c r="D1029" s="6" t="str">
        <f>IFERROR(__xludf.DUMMYFUNCTION("""COMPUTED_VALUE"""),"QS 8 ke drat 14mm")</f>
        <v>QS 8 ke drat 14mm</v>
      </c>
      <c r="E1029" s="6">
        <f>IFERROR(__xludf.DUMMYFUNCTION("""COMPUTED_VALUE"""),2.0)</f>
        <v>2</v>
      </c>
      <c r="F1029" s="6">
        <f>IFERROR(__xludf.DUMMYFUNCTION("""COMPUTED_VALUE"""),2.0)</f>
        <v>2</v>
      </c>
      <c r="G1029" s="6">
        <f>IFERROR(__xludf.DUMMYFUNCTION("""COMPUTED_VALUE"""),0.0)</f>
        <v>0</v>
      </c>
      <c r="H1029" s="6" t="str">
        <f>IFERROR(__xludf.DUMMYFUNCTION("""COMPUTED_VALUE"""),"pcs")</f>
        <v>pcs</v>
      </c>
      <c r="I1029" s="6" t="str">
        <f>IFERROR(__xludf.DUMMYFUNCTION("""COMPUTED_VALUE"""),"MFH")</f>
        <v>MFH</v>
      </c>
      <c r="J1029" s="6" t="str">
        <f>IFERROR(__xludf.DUMMYFUNCTION("""COMPUTED_VALUE"""),"N2 Gen")</f>
        <v>N2 Gen</v>
      </c>
      <c r="K1029" s="6" t="str">
        <f>IFERROR(__xludf.DUMMYFUNCTION("""COMPUTED_VALUE"""),"SPR/07/24/038")</f>
        <v>SPR/07/24/038</v>
      </c>
      <c r="L1029" s="13">
        <f>IFERROR(__xludf.DUMMYFUNCTION("""COMPUTED_VALUE"""),45483.0)</f>
        <v>45483</v>
      </c>
    </row>
    <row r="1030">
      <c r="A1030" s="6" t="str">
        <f>IFERROR(__xludf.DUMMYFUNCTION("""COMPUTED_VALUE"""),"INN")</f>
        <v>INN</v>
      </c>
      <c r="B1030" s="6" t="str">
        <f>IFERROR(__xludf.DUMMYFUNCTION("""COMPUTED_VALUE"""),"ENG")</f>
        <v>ENG</v>
      </c>
      <c r="C1030" s="6" t="str">
        <f>IFERROR(__xludf.DUMMYFUNCTION("""COMPUTED_VALUE"""),"O-16033-00")</f>
        <v>O-16033-00</v>
      </c>
      <c r="D103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030" s="6">
        <f>IFERROR(__xludf.DUMMYFUNCTION("""COMPUTED_VALUE"""),5.0)</f>
        <v>5</v>
      </c>
      <c r="F1030" s="6">
        <f>IFERROR(__xludf.DUMMYFUNCTION("""COMPUTED_VALUE"""),5.0)</f>
        <v>5</v>
      </c>
      <c r="G1030" s="6">
        <f>IFERROR(__xludf.DUMMYFUNCTION("""COMPUTED_VALUE"""),0.0)</f>
        <v>0</v>
      </c>
      <c r="H1030" s="6" t="str">
        <f>IFERROR(__xludf.DUMMYFUNCTION("""COMPUTED_VALUE"""),"pcs")</f>
        <v>pcs</v>
      </c>
      <c r="I1030" s="6" t="str">
        <f>IFERROR(__xludf.DUMMYFUNCTION("""COMPUTED_VALUE"""),"MFH")</f>
        <v>MFH</v>
      </c>
      <c r="J1030" s="6" t="str">
        <f>IFERROR(__xludf.DUMMYFUNCTION("""COMPUTED_VALUE"""),"cRABS")</f>
        <v>cRABS</v>
      </c>
      <c r="K1030" s="6" t="str">
        <f>IFERROR(__xludf.DUMMYFUNCTION("""COMPUTED_VALUE"""),"SPR/07/24/039")</f>
        <v>SPR/07/24/039</v>
      </c>
      <c r="L1030" s="13">
        <f>IFERROR(__xludf.DUMMYFUNCTION("""COMPUTED_VALUE"""),45483.0)</f>
        <v>45483</v>
      </c>
    </row>
    <row r="1031">
      <c r="A1031" s="6" t="str">
        <f>IFERROR(__xludf.DUMMYFUNCTION("""COMPUTED_VALUE"""),"INN")</f>
        <v>INN</v>
      </c>
      <c r="B1031" s="6" t="str">
        <f>IFERROR(__xludf.DUMMYFUNCTION("""COMPUTED_VALUE"""),"ENG")</f>
        <v>ENG</v>
      </c>
      <c r="C1031" s="6" t="str">
        <f>IFERROR(__xludf.DUMMYFUNCTION("""COMPUTED_VALUE"""),"O-16032-00")</f>
        <v>O-16032-00</v>
      </c>
      <c r="D103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031" s="6">
        <f>IFERROR(__xludf.DUMMYFUNCTION("""COMPUTED_VALUE"""),2.0)</f>
        <v>2</v>
      </c>
      <c r="F1031" s="6">
        <f>IFERROR(__xludf.DUMMYFUNCTION("""COMPUTED_VALUE"""),2.0)</f>
        <v>2</v>
      </c>
      <c r="G1031" s="6">
        <f>IFERROR(__xludf.DUMMYFUNCTION("""COMPUTED_VALUE"""),0.0)</f>
        <v>0</v>
      </c>
      <c r="H1031" s="6" t="str">
        <f>IFERROR(__xludf.DUMMYFUNCTION("""COMPUTED_VALUE"""),"pcs")</f>
        <v>pcs</v>
      </c>
      <c r="I1031" s="6" t="str">
        <f>IFERROR(__xludf.DUMMYFUNCTION("""COMPUTED_VALUE"""),"MFH")</f>
        <v>MFH</v>
      </c>
      <c r="J1031" s="6" t="str">
        <f>IFERROR(__xludf.DUMMYFUNCTION("""COMPUTED_VALUE"""),"cRABS")</f>
        <v>cRABS</v>
      </c>
      <c r="K1031" s="6" t="str">
        <f>IFERROR(__xludf.DUMMYFUNCTION("""COMPUTED_VALUE"""),"SPR/27/24/039")</f>
        <v>SPR/27/24/039</v>
      </c>
      <c r="L1031" s="13">
        <f>IFERROR(__xludf.DUMMYFUNCTION("""COMPUTED_VALUE"""),45483.0)</f>
        <v>45483</v>
      </c>
    </row>
    <row r="1032">
      <c r="A1032" s="6" t="str">
        <f>IFERROR(__xludf.DUMMYFUNCTION("""COMPUTED_VALUE"""),"INN")</f>
        <v>INN</v>
      </c>
      <c r="B1032" s="6" t="str">
        <f>IFERROR(__xludf.DUMMYFUNCTION("""COMPUTED_VALUE"""),"ENG")</f>
        <v>ENG</v>
      </c>
      <c r="C1032" s="6" t="str">
        <f>IFERROR(__xludf.DUMMYFUNCTION("""COMPUTED_VALUE"""),"Q-60003-00")</f>
        <v>Q-60003-00</v>
      </c>
      <c r="D1032" s="6" t="str">
        <f>IFERROR(__xludf.DUMMYFUNCTION("""COMPUTED_VALUE"""),"Plakband Kertas")</f>
        <v>Plakband Kertas</v>
      </c>
      <c r="E1032" s="6">
        <f>IFERROR(__xludf.DUMMYFUNCTION("""COMPUTED_VALUE"""),3.0)</f>
        <v>3</v>
      </c>
      <c r="F1032" s="6">
        <f>IFERROR(__xludf.DUMMYFUNCTION("""COMPUTED_VALUE"""),1.0)</f>
        <v>1</v>
      </c>
      <c r="G1032" s="6">
        <f>IFERROR(__xludf.DUMMYFUNCTION("""COMPUTED_VALUE"""),0.0)</f>
        <v>0</v>
      </c>
      <c r="H1032" s="6" t="str">
        <f>IFERROR(__xludf.DUMMYFUNCTION("""COMPUTED_VALUE"""),"pcs")</f>
        <v>pcs</v>
      </c>
      <c r="I1032" s="6" t="str">
        <f>IFERROR(__xludf.DUMMYFUNCTION("""COMPUTED_VALUE"""),"MFH")</f>
        <v>MFH</v>
      </c>
      <c r="J1032" s="6" t="str">
        <f>IFERROR(__xludf.DUMMYFUNCTION("""COMPUTED_VALUE"""),"SnD")</f>
        <v>SnD</v>
      </c>
      <c r="K1032" s="6" t="str">
        <f>IFERROR(__xludf.DUMMYFUNCTION("""COMPUTED_VALUE"""),"SPR/07/24/039")</f>
        <v>SPR/07/24/039</v>
      </c>
      <c r="L1032" s="13">
        <f>IFERROR(__xludf.DUMMYFUNCTION("""COMPUTED_VALUE"""),45483.0)</f>
        <v>45483</v>
      </c>
    </row>
    <row r="1033">
      <c r="A1033" s="6" t="str">
        <f>IFERROR(__xludf.DUMMYFUNCTION("""COMPUTED_VALUE"""),"INN")</f>
        <v>INN</v>
      </c>
      <c r="B1033" s="6" t="str">
        <f>IFERROR(__xludf.DUMMYFUNCTION("""COMPUTED_VALUE"""),"ENG")</f>
        <v>ENG</v>
      </c>
      <c r="C1033" s="6" t="str">
        <f>IFERROR(__xludf.DUMMYFUNCTION("""COMPUTED_VALUE"""),"P-18788-00")</f>
        <v>P-18788-00</v>
      </c>
      <c r="D1033" s="6" t="str">
        <f>IFERROR(__xludf.DUMMYFUNCTION("""COMPUTED_VALUE"""),"Baut SS Hexagon SS M6x55mm + Mur; ; ;")</f>
        <v>Baut SS Hexagon SS M6x55mm + Mur; ; ;</v>
      </c>
      <c r="E1033" s="6">
        <f>IFERROR(__xludf.DUMMYFUNCTION("""COMPUTED_VALUE"""),30.0)</f>
        <v>30</v>
      </c>
      <c r="F1033" s="6">
        <f>IFERROR(__xludf.DUMMYFUNCTION("""COMPUTED_VALUE"""),5.0)</f>
        <v>5</v>
      </c>
      <c r="G1033" s="6">
        <f>IFERROR(__xludf.DUMMYFUNCTION("""COMPUTED_VALUE"""),0.0)</f>
        <v>0</v>
      </c>
      <c r="H1033" s="6" t="str">
        <f>IFERROR(__xludf.DUMMYFUNCTION("""COMPUTED_VALUE"""),"pcs")</f>
        <v>pcs</v>
      </c>
      <c r="I1033" s="6" t="str">
        <f>IFERROR(__xludf.DUMMYFUNCTION("""COMPUTED_VALUE"""),"MFH")</f>
        <v>MFH</v>
      </c>
      <c r="J1033" s="6" t="str">
        <f>IFERROR(__xludf.DUMMYFUNCTION("""COMPUTED_VALUE"""),"OSD")</f>
        <v>OSD</v>
      </c>
      <c r="K1033" s="6" t="str">
        <f>IFERROR(__xludf.DUMMYFUNCTION("""COMPUTED_VALUE"""),"SPR/07/24/040")</f>
        <v>SPR/07/24/040</v>
      </c>
      <c r="L1033" s="13">
        <f>IFERROR(__xludf.DUMMYFUNCTION("""COMPUTED_VALUE"""),45483.0)</f>
        <v>45483</v>
      </c>
    </row>
    <row r="1034">
      <c r="A1034" s="6" t="str">
        <f>IFERROR(__xludf.DUMMYFUNCTION("""COMPUTED_VALUE"""),"ROS")</f>
        <v>ROS</v>
      </c>
      <c r="B1034" s="6" t="str">
        <f>IFERROR(__xludf.DUMMYFUNCTION("""COMPUTED_VALUE"""),"ENG")</f>
        <v>ENG</v>
      </c>
      <c r="C1034" s="6" t="str">
        <f>IFERROR(__xludf.DUMMYFUNCTION("""COMPUTED_VALUE"""),"O-54116-00")</f>
        <v>O-54116-00</v>
      </c>
      <c r="D1034" s="6" t="str">
        <f>IFERROR(__xludf.DUMMYFUNCTION("""COMPUTED_VALUE"""),"Fiber Reflective -")</f>
        <v>Fiber Reflective -</v>
      </c>
      <c r="E1034" s="6">
        <f>IFERROR(__xludf.DUMMYFUNCTION("""COMPUTED_VALUE"""),1.0)</f>
        <v>1</v>
      </c>
      <c r="F1034" s="6">
        <f>IFERROR(__xludf.DUMMYFUNCTION("""COMPUTED_VALUE"""),1.0)</f>
        <v>1</v>
      </c>
      <c r="G1034" s="6">
        <f>IFERROR(__xludf.DUMMYFUNCTION("""COMPUTED_VALUE"""),0.0)</f>
        <v>0</v>
      </c>
      <c r="H1034" s="6" t="str">
        <f>IFERROR(__xludf.DUMMYFUNCTION("""COMPUTED_VALUE"""),"pcs")</f>
        <v>pcs</v>
      </c>
      <c r="I1034" s="6" t="str">
        <f>IFERROR(__xludf.DUMMYFUNCTION("""COMPUTED_VALUE"""),"MFH")</f>
        <v>MFH</v>
      </c>
      <c r="J1034" s="6" t="str">
        <f>IFERROR(__xludf.DUMMYFUNCTION("""COMPUTED_VALUE"""),"Labelling")</f>
        <v>Labelling</v>
      </c>
      <c r="K1034" s="6" t="str">
        <f>IFERROR(__xludf.DUMMYFUNCTION("""COMPUTED_VALUE"""),"SPR/08/24/001")</f>
        <v>SPR/08/24/001</v>
      </c>
      <c r="L1034" s="13">
        <f>IFERROR(__xludf.DUMMYFUNCTION("""COMPUTED_VALUE"""),45534.0)</f>
        <v>45534</v>
      </c>
    </row>
    <row r="1035">
      <c r="A1035" s="6" t="str">
        <f>IFERROR(__xludf.DUMMYFUNCTION("""COMPUTED_VALUE"""),"ROS")</f>
        <v>ROS</v>
      </c>
      <c r="B1035" s="6" t="str">
        <f>IFERROR(__xludf.DUMMYFUNCTION("""COMPUTED_VALUE"""),"ENG")</f>
        <v>ENG</v>
      </c>
      <c r="C1035" s="6" t="str">
        <f>IFERROR(__xludf.DUMMYFUNCTION("""COMPUTED_VALUE"""),"O-54116-00")</f>
        <v>O-54116-00</v>
      </c>
      <c r="D1035" s="6" t="str">
        <f>IFERROR(__xludf.DUMMYFUNCTION("""COMPUTED_VALUE"""),"Fiber Reflective -")</f>
        <v>Fiber Reflective -</v>
      </c>
      <c r="E1035" s="6">
        <f>IFERROR(__xludf.DUMMYFUNCTION("""COMPUTED_VALUE"""),1.0)</f>
        <v>1</v>
      </c>
      <c r="F1035" s="6">
        <f>IFERROR(__xludf.DUMMYFUNCTION("""COMPUTED_VALUE"""),1.0)</f>
        <v>1</v>
      </c>
      <c r="G1035" s="6">
        <f>IFERROR(__xludf.DUMMYFUNCTION("""COMPUTED_VALUE"""),0.0)</f>
        <v>0</v>
      </c>
      <c r="H1035" s="6" t="str">
        <f>IFERROR(__xludf.DUMMYFUNCTION("""COMPUTED_VALUE"""),"pcs")</f>
        <v>pcs</v>
      </c>
      <c r="I1035" s="6" t="str">
        <f>IFERROR(__xludf.DUMMYFUNCTION("""COMPUTED_VALUE"""),"MFH")</f>
        <v>MFH</v>
      </c>
      <c r="J1035" s="6" t="str">
        <f>IFERROR(__xludf.DUMMYFUNCTION("""COMPUTED_VALUE"""),"Labelling")</f>
        <v>Labelling</v>
      </c>
      <c r="K1035" s="6" t="str">
        <f>IFERROR(__xludf.DUMMYFUNCTION("""COMPUTED_VALUE"""),"SPR/08/24/001")</f>
        <v>SPR/08/24/001</v>
      </c>
      <c r="L1035" s="13">
        <f>IFERROR(__xludf.DUMMYFUNCTION("""COMPUTED_VALUE"""),45534.0)</f>
        <v>45534</v>
      </c>
    </row>
    <row r="1036">
      <c r="A1036" s="6" t="str">
        <f>IFERROR(__xludf.DUMMYFUNCTION("""COMPUTED_VALUE"""),"ROS")</f>
        <v>ROS</v>
      </c>
      <c r="B1036" s="6" t="str">
        <f>IFERROR(__xludf.DUMMYFUNCTION("""COMPUTED_VALUE"""),"ENG")</f>
        <v>ENG</v>
      </c>
      <c r="C1036" s="6" t="str">
        <f>IFERROR(__xludf.DUMMYFUNCTION("""COMPUTED_VALUE"""),"P-11991-00")</f>
        <v>P-11991-00</v>
      </c>
      <c r="D1036" s="6" t="str">
        <f>IFERROR(__xludf.DUMMYFUNCTION("""COMPUTED_VALUE"""),"Cabble Ties 200L")</f>
        <v>Cabble Ties 200L</v>
      </c>
      <c r="E1036" s="6">
        <f>IFERROR(__xludf.DUMMYFUNCTION("""COMPUTED_VALUE"""),2.0)</f>
        <v>2</v>
      </c>
      <c r="F1036" s="6">
        <f>IFERROR(__xludf.DUMMYFUNCTION("""COMPUTED_VALUE"""),1.0)</f>
        <v>1</v>
      </c>
      <c r="G1036" s="6">
        <f>IFERROR(__xludf.DUMMYFUNCTION("""COMPUTED_VALUE"""),0.0)</f>
        <v>0</v>
      </c>
      <c r="H1036" s="6" t="str">
        <f>IFERROR(__xludf.DUMMYFUNCTION("""COMPUTED_VALUE"""),"pcs")</f>
        <v>pcs</v>
      </c>
      <c r="I1036" s="6" t="str">
        <f>IFERROR(__xludf.DUMMYFUNCTION("""COMPUTED_VALUE"""),"MFH")</f>
        <v>MFH</v>
      </c>
      <c r="J1036" s="6" t="str">
        <f>IFERROR(__xludf.DUMMYFUNCTION("""COMPUTED_VALUE"""),"-")</f>
        <v>-</v>
      </c>
      <c r="K1036" s="6" t="str">
        <f>IFERROR(__xludf.DUMMYFUNCTION("""COMPUTED_VALUE"""),"SPR/08/24/001")</f>
        <v>SPR/08/24/001</v>
      </c>
      <c r="L1036" s="13">
        <f>IFERROR(__xludf.DUMMYFUNCTION("""COMPUTED_VALUE"""),45534.0)</f>
        <v>45534</v>
      </c>
    </row>
    <row r="1037">
      <c r="A1037" s="6" t="str">
        <f>IFERROR(__xludf.DUMMYFUNCTION("""COMPUTED_VALUE"""),"ANO")</f>
        <v>ANO</v>
      </c>
      <c r="B1037" s="6" t="str">
        <f>IFERROR(__xludf.DUMMYFUNCTION("""COMPUTED_VALUE"""),"ENG")</f>
        <v>ENG</v>
      </c>
      <c r="C1037" s="6" t="str">
        <f>IFERROR(__xludf.DUMMYFUNCTION("""COMPUTED_VALUE"""),"P-19232-00")</f>
        <v>P-19232-00</v>
      </c>
      <c r="D1037" s="6" t="str">
        <f>IFERROR(__xludf.DUMMYFUNCTION("""COMPUTED_VALUE"""),"Fitting QSL 3/8 x 12 mm; EMC; ;")</f>
        <v>Fitting QSL 3/8 x 12 mm; EMC; ;</v>
      </c>
      <c r="E1037" s="6">
        <f>IFERROR(__xludf.DUMMYFUNCTION("""COMPUTED_VALUE"""),1.0)</f>
        <v>1</v>
      </c>
      <c r="F1037" s="6">
        <f>IFERROR(__xludf.DUMMYFUNCTION("""COMPUTED_VALUE"""),1.0)</f>
        <v>1</v>
      </c>
      <c r="G1037" s="6">
        <f>IFERROR(__xludf.DUMMYFUNCTION("""COMPUTED_VALUE"""),0.0)</f>
        <v>0</v>
      </c>
      <c r="H1037" s="6" t="str">
        <f>IFERROR(__xludf.DUMMYFUNCTION("""COMPUTED_VALUE"""),"pcs")</f>
        <v>pcs</v>
      </c>
      <c r="I1037" s="6" t="str">
        <f>IFERROR(__xludf.DUMMYFUNCTION("""COMPUTED_VALUE"""),"MFH")</f>
        <v>MFH</v>
      </c>
      <c r="J1037" s="6" t="str">
        <f>IFERROR(__xludf.DUMMYFUNCTION("""COMPUTED_VALUE"""),"-")</f>
        <v>-</v>
      </c>
      <c r="K1037" s="6" t="str">
        <f>IFERROR(__xludf.DUMMYFUNCTION("""COMPUTED_VALUE"""),"SPR/08/24/002")</f>
        <v>SPR/08/24/002</v>
      </c>
      <c r="L1037" s="13">
        <f>IFERROR(__xludf.DUMMYFUNCTION("""COMPUTED_VALUE"""),45534.0)</f>
        <v>45534</v>
      </c>
    </row>
    <row r="1038">
      <c r="A1038" s="6" t="str">
        <f>IFERROR(__xludf.DUMMYFUNCTION("""COMPUTED_VALUE"""),"RMA")</f>
        <v>RMA</v>
      </c>
      <c r="B1038" s="6" t="str">
        <f>IFERROR(__xludf.DUMMYFUNCTION("""COMPUTED_VALUE"""),"ENG")</f>
        <v>ENG</v>
      </c>
      <c r="C1038" s="6" t="str">
        <f>IFERROR(__xludf.DUMMYFUNCTION("""COMPUTED_VALUE"""),"P-15852-00")</f>
        <v>P-15852-00</v>
      </c>
      <c r="D1038" s="6" t="str">
        <f>IFERROR(__xludf.DUMMYFUNCTION("""COMPUTED_VALUE"""),"AMPLAS EAGLE 500")</f>
        <v>AMPLAS EAGLE 500</v>
      </c>
      <c r="E1038" s="6">
        <f>IFERROR(__xludf.DUMMYFUNCTION("""COMPUTED_VALUE"""),1.0)</f>
        <v>1</v>
      </c>
      <c r="F1038" s="6">
        <f>IFERROR(__xludf.DUMMYFUNCTION("""COMPUTED_VALUE"""),1.0)</f>
        <v>1</v>
      </c>
      <c r="G1038" s="6">
        <f>IFERROR(__xludf.DUMMYFUNCTION("""COMPUTED_VALUE"""),0.0)</f>
        <v>0</v>
      </c>
      <c r="H1038" s="6" t="str">
        <f>IFERROR(__xludf.DUMMYFUNCTION("""COMPUTED_VALUE"""),"pcs")</f>
        <v>pcs</v>
      </c>
      <c r="I1038" s="6" t="str">
        <f>IFERROR(__xludf.DUMMYFUNCTION("""COMPUTED_VALUE"""),"MFH")</f>
        <v>MFH</v>
      </c>
      <c r="J1038" s="6" t="str">
        <f>IFERROR(__xludf.DUMMYFUNCTION("""COMPUTED_VALUE"""),"N2 Gen")</f>
        <v>N2 Gen</v>
      </c>
      <c r="K1038" s="6" t="str">
        <f>IFERROR(__xludf.DUMMYFUNCTION("""COMPUTED_VALUE"""),"SPR/08/24/003")</f>
        <v>SPR/08/24/003</v>
      </c>
      <c r="L1038" s="13">
        <f>IFERROR(__xludf.DUMMYFUNCTION("""COMPUTED_VALUE"""),45534.0)</f>
        <v>45534</v>
      </c>
    </row>
    <row r="1039">
      <c r="A1039" s="6" t="str">
        <f>IFERROR(__xludf.DUMMYFUNCTION("""COMPUTED_VALUE"""),"RMA")</f>
        <v>RMA</v>
      </c>
      <c r="B1039" s="6" t="str">
        <f>IFERROR(__xludf.DUMMYFUNCTION("""COMPUTED_VALUE"""),"ENG")</f>
        <v>ENG</v>
      </c>
      <c r="C1039" s="6" t="str">
        <f>IFERROR(__xludf.DUMMYFUNCTION("""COMPUTED_VALUE"""),"P-18556-00")</f>
        <v>P-18556-00</v>
      </c>
      <c r="D1039" s="6" t="str">
        <f>IFERROR(__xludf.DUMMYFUNCTION("""COMPUTED_VALUE"""),"Baut L SS 304 Uk. M3 x 10 mm")</f>
        <v>Baut L SS 304 Uk. M3 x 10 mm</v>
      </c>
      <c r="E1039" s="6">
        <f>IFERROR(__xludf.DUMMYFUNCTION("""COMPUTED_VALUE"""),11.0)</f>
        <v>11</v>
      </c>
      <c r="F1039" s="6">
        <f>IFERROR(__xludf.DUMMYFUNCTION("""COMPUTED_VALUE"""),1.0)</f>
        <v>1</v>
      </c>
      <c r="G1039" s="6">
        <f>IFERROR(__xludf.DUMMYFUNCTION("""COMPUTED_VALUE"""),0.0)</f>
        <v>0</v>
      </c>
      <c r="H1039" s="6" t="str">
        <f>IFERROR(__xludf.DUMMYFUNCTION("""COMPUTED_VALUE"""),"pcs")</f>
        <v>pcs</v>
      </c>
      <c r="I1039" s="6" t="str">
        <f>IFERROR(__xludf.DUMMYFUNCTION("""COMPUTED_VALUE"""),"MFH")</f>
        <v>MFH</v>
      </c>
      <c r="J1039" s="6" t="str">
        <f>IFERROR(__xludf.DUMMYFUNCTION("""COMPUTED_VALUE"""),"N2 Gen")</f>
        <v>N2 Gen</v>
      </c>
      <c r="K1039" s="6" t="str">
        <f>IFERROR(__xludf.DUMMYFUNCTION("""COMPUTED_VALUE"""),"SPR/08/24/003")</f>
        <v>SPR/08/24/003</v>
      </c>
      <c r="L1039" s="13">
        <f>IFERROR(__xludf.DUMMYFUNCTION("""COMPUTED_VALUE"""),45534.0)</f>
        <v>45534</v>
      </c>
    </row>
    <row r="1040">
      <c r="A1040" s="6" t="str">
        <f>IFERROR(__xludf.DUMMYFUNCTION("""COMPUTED_VALUE"""),"RMA")</f>
        <v>RMA</v>
      </c>
      <c r="B1040" s="6" t="str">
        <f>IFERROR(__xludf.DUMMYFUNCTION("""COMPUTED_VALUE"""),"ENG")</f>
        <v>ENG</v>
      </c>
      <c r="C1040" s="6" t="str">
        <f>IFERROR(__xludf.DUMMYFUNCTION("""COMPUTED_VALUE"""),"P-10945-00")</f>
        <v>P-10945-00</v>
      </c>
      <c r="D1040" s="6" t="str">
        <f>IFERROR(__xludf.DUMMYFUNCTION("""COMPUTED_VALUE"""),"Insulation - Seal Tape onda")</f>
        <v>Insulation - Seal Tape onda</v>
      </c>
      <c r="E1040" s="6">
        <f>IFERROR(__xludf.DUMMYFUNCTION("""COMPUTED_VALUE"""),1.0)</f>
        <v>1</v>
      </c>
      <c r="F1040" s="6">
        <f>IFERROR(__xludf.DUMMYFUNCTION("""COMPUTED_VALUE"""),1.0)</f>
        <v>1</v>
      </c>
      <c r="G1040" s="6">
        <f>IFERROR(__xludf.DUMMYFUNCTION("""COMPUTED_VALUE"""),0.0)</f>
        <v>0</v>
      </c>
      <c r="H1040" s="6" t="str">
        <f>IFERROR(__xludf.DUMMYFUNCTION("""COMPUTED_VALUE"""),"pcs")</f>
        <v>pcs</v>
      </c>
      <c r="I1040" s="6" t="str">
        <f>IFERROR(__xludf.DUMMYFUNCTION("""COMPUTED_VALUE"""),"MFH")</f>
        <v>MFH</v>
      </c>
      <c r="J1040" s="6" t="str">
        <f>IFERROR(__xludf.DUMMYFUNCTION("""COMPUTED_VALUE"""),"N2 Gen")</f>
        <v>N2 Gen</v>
      </c>
      <c r="K1040" s="6" t="str">
        <f>IFERROR(__xludf.DUMMYFUNCTION("""COMPUTED_VALUE"""),"SPR/08/24/003")</f>
        <v>SPR/08/24/003</v>
      </c>
      <c r="L1040" s="13">
        <f>IFERROR(__xludf.DUMMYFUNCTION("""COMPUTED_VALUE"""),45534.0)</f>
        <v>45534</v>
      </c>
    </row>
    <row r="1041">
      <c r="A1041" s="6" t="str">
        <f>IFERROR(__xludf.DUMMYFUNCTION("""COMPUTED_VALUE"""),"INN")</f>
        <v>INN</v>
      </c>
      <c r="B1041" s="6" t="str">
        <f>IFERROR(__xludf.DUMMYFUNCTION("""COMPUTED_VALUE"""),"ENG")</f>
        <v>ENG</v>
      </c>
      <c r="C1041" s="6" t="str">
        <f>IFERROR(__xludf.DUMMYFUNCTION("""COMPUTED_VALUE"""),"O-16731-00")</f>
        <v>O-16731-00</v>
      </c>
      <c r="D1041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1041" s="6">
        <f>IFERROR(__xludf.DUMMYFUNCTION("""COMPUTED_VALUE"""),3.0)</f>
        <v>3</v>
      </c>
      <c r="F1041" s="6">
        <f>IFERROR(__xludf.DUMMYFUNCTION("""COMPUTED_VALUE"""),1.0)</f>
        <v>1</v>
      </c>
      <c r="G1041" s="6">
        <f>IFERROR(__xludf.DUMMYFUNCTION("""COMPUTED_VALUE"""),0.0)</f>
        <v>0</v>
      </c>
      <c r="H1041" s="6" t="str">
        <f>IFERROR(__xludf.DUMMYFUNCTION("""COMPUTED_VALUE"""),"pcs")</f>
        <v>pcs</v>
      </c>
      <c r="I1041" s="6" t="str">
        <f>IFERROR(__xludf.DUMMYFUNCTION("""COMPUTED_VALUE"""),"MFH")</f>
        <v>MFH</v>
      </c>
      <c r="J1041" s="6" t="str">
        <f>IFERROR(__xludf.DUMMYFUNCTION("""COMPUTED_VALUE"""),"Autoclave")</f>
        <v>Autoclave</v>
      </c>
      <c r="K1041" s="6" t="str">
        <f>IFERROR(__xludf.DUMMYFUNCTION("""COMPUTED_VALUE"""),"SPR/08/24/004")</f>
        <v>SPR/08/24/004</v>
      </c>
      <c r="L1041" s="13">
        <f>IFERROR(__xludf.DUMMYFUNCTION("""COMPUTED_VALUE"""),45534.0)</f>
        <v>45534</v>
      </c>
    </row>
    <row r="1042">
      <c r="A1042" s="6" t="str">
        <f>IFERROR(__xludf.DUMMYFUNCTION("""COMPUTED_VALUE"""),"INN")</f>
        <v>INN</v>
      </c>
      <c r="B1042" s="6" t="str">
        <f>IFERROR(__xludf.DUMMYFUNCTION("""COMPUTED_VALUE"""),"ENG")</f>
        <v>ENG</v>
      </c>
      <c r="C1042" s="6" t="str">
        <f>IFERROR(__xludf.DUMMYFUNCTION("""COMPUTED_VALUE"""),"O-16732-00")</f>
        <v>O-16732-00</v>
      </c>
      <c r="D1042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1042" s="6">
        <f>IFERROR(__xludf.DUMMYFUNCTION("""COMPUTED_VALUE"""),1.0)</f>
        <v>1</v>
      </c>
      <c r="F1042" s="6">
        <f>IFERROR(__xludf.DUMMYFUNCTION("""COMPUTED_VALUE"""),1.0)</f>
        <v>1</v>
      </c>
      <c r="G1042" s="6">
        <f>IFERROR(__xludf.DUMMYFUNCTION("""COMPUTED_VALUE"""),0.0)</f>
        <v>0</v>
      </c>
      <c r="H1042" s="6" t="str">
        <f>IFERROR(__xludf.DUMMYFUNCTION("""COMPUTED_VALUE"""),"pcs")</f>
        <v>pcs</v>
      </c>
      <c r="I1042" s="6" t="str">
        <f>IFERROR(__xludf.DUMMYFUNCTION("""COMPUTED_VALUE"""),"MFH")</f>
        <v>MFH</v>
      </c>
      <c r="J1042" s="6" t="str">
        <f>IFERROR(__xludf.DUMMYFUNCTION("""COMPUTED_VALUE"""),"Autoclave")</f>
        <v>Autoclave</v>
      </c>
      <c r="K1042" s="6" t="str">
        <f>IFERROR(__xludf.DUMMYFUNCTION("""COMPUTED_VALUE"""),"SPR/08/24/004")</f>
        <v>SPR/08/24/004</v>
      </c>
      <c r="L1042" s="13">
        <f>IFERROR(__xludf.DUMMYFUNCTION("""COMPUTED_VALUE"""),45534.0)</f>
        <v>45534</v>
      </c>
    </row>
    <row r="1043">
      <c r="A1043" s="6" t="str">
        <f>IFERROR(__xludf.DUMMYFUNCTION("""COMPUTED_VALUE"""),"ANO")</f>
        <v>ANO</v>
      </c>
      <c r="B1043" s="6" t="str">
        <f>IFERROR(__xludf.DUMMYFUNCTION("""COMPUTED_VALUE"""),"ENG")</f>
        <v>ENG</v>
      </c>
      <c r="C1043" s="6" t="str">
        <f>IFERROR(__xludf.DUMMYFUNCTION("""COMPUTED_VALUE"""),"-")</f>
        <v>-</v>
      </c>
      <c r="D1043" s="6" t="str">
        <f>IFERROR(__xludf.DUMMYFUNCTION("""COMPUTED_VALUE"""),"Clamp Ferrule 2 Inch")</f>
        <v>Clamp Ferrule 2 Inch</v>
      </c>
      <c r="E1043" s="6">
        <f>IFERROR(__xludf.DUMMYFUNCTION("""COMPUTED_VALUE"""),2.0)</f>
        <v>2</v>
      </c>
      <c r="F1043" s="6">
        <f>IFERROR(__xludf.DUMMYFUNCTION("""COMPUTED_VALUE"""),2.0)</f>
        <v>2</v>
      </c>
      <c r="G1043" s="6">
        <f>IFERROR(__xludf.DUMMYFUNCTION("""COMPUTED_VALUE"""),0.0)</f>
        <v>0</v>
      </c>
      <c r="H1043" s="6" t="str">
        <f>IFERROR(__xludf.DUMMYFUNCTION("""COMPUTED_VALUE"""),"pcs")</f>
        <v>pcs</v>
      </c>
      <c r="I1043" s="6" t="str">
        <f>IFERROR(__xludf.DUMMYFUNCTION("""COMPUTED_VALUE"""),"MFH")</f>
        <v>MFH</v>
      </c>
      <c r="J1043" s="6" t="str">
        <f>IFERROR(__xludf.DUMMYFUNCTION("""COMPUTED_VALUE"""),"-")</f>
        <v>-</v>
      </c>
      <c r="K1043" s="6" t="str">
        <f>IFERROR(__xludf.DUMMYFUNCTION("""COMPUTED_VALUE"""),"SPR/08/24/005")</f>
        <v>SPR/08/24/005</v>
      </c>
      <c r="L1043" s="13">
        <f>IFERROR(__xludf.DUMMYFUNCTION("""COMPUTED_VALUE"""),45534.0)</f>
        <v>45534</v>
      </c>
    </row>
    <row r="1044">
      <c r="A1044" s="6" t="str">
        <f>IFERROR(__xludf.DUMMYFUNCTION("""COMPUTED_VALUE"""),"ROS")</f>
        <v>ROS</v>
      </c>
      <c r="B1044" s="6" t="str">
        <f>IFERROR(__xludf.DUMMYFUNCTION("""COMPUTED_VALUE"""),"ENG")</f>
        <v>ENG</v>
      </c>
      <c r="C1044" s="6" t="str">
        <f>IFERROR(__xludf.DUMMYFUNCTION("""COMPUTED_VALUE"""),"P-11991-00")</f>
        <v>P-11991-00</v>
      </c>
      <c r="D1044" s="6" t="str">
        <f>IFERROR(__xludf.DUMMYFUNCTION("""COMPUTED_VALUE"""),"Cabble Ties 200L")</f>
        <v>Cabble Ties 200L</v>
      </c>
      <c r="E1044" s="6">
        <f>IFERROR(__xludf.DUMMYFUNCTION("""COMPUTED_VALUE"""),5.0)</f>
        <v>5</v>
      </c>
      <c r="F1044" s="6">
        <f>IFERROR(__xludf.DUMMYFUNCTION("""COMPUTED_VALUE"""),1.0)</f>
        <v>1</v>
      </c>
      <c r="G1044" s="6">
        <f>IFERROR(__xludf.DUMMYFUNCTION("""COMPUTED_VALUE"""),0.0)</f>
        <v>0</v>
      </c>
      <c r="H1044" s="6" t="str">
        <f>IFERROR(__xludf.DUMMYFUNCTION("""COMPUTED_VALUE"""),"pcs")</f>
        <v>pcs</v>
      </c>
      <c r="I1044" s="6" t="str">
        <f>IFERROR(__xludf.DUMMYFUNCTION("""COMPUTED_VALUE"""),"MFH")</f>
        <v>MFH</v>
      </c>
      <c r="J1044" s="6" t="str">
        <f>IFERROR(__xludf.DUMMYFUNCTION("""COMPUTED_VALUE"""),"BOD")</f>
        <v>BOD</v>
      </c>
      <c r="K1044" s="6" t="str">
        <f>IFERROR(__xludf.DUMMYFUNCTION("""COMPUTED_VALUE"""),"SPR/08/24/006")</f>
        <v>SPR/08/24/006</v>
      </c>
      <c r="L1044" s="13">
        <f>IFERROR(__xludf.DUMMYFUNCTION("""COMPUTED_VALUE"""),45534.0)</f>
        <v>45534</v>
      </c>
    </row>
    <row r="1045">
      <c r="A1045" s="6" t="str">
        <f>IFERROR(__xludf.DUMMYFUNCTION("""COMPUTED_VALUE"""),"ROS")</f>
        <v>ROS</v>
      </c>
      <c r="B1045" s="6" t="str">
        <f>IFERROR(__xludf.DUMMYFUNCTION("""COMPUTED_VALUE"""),"ENG")</f>
        <v>ENG</v>
      </c>
      <c r="C1045" s="6" t="str">
        <f>IFERROR(__xludf.DUMMYFUNCTION("""COMPUTED_VALUE"""),"P-11356-00")</f>
        <v>P-11356-00</v>
      </c>
      <c r="D1045" s="6" t="str">
        <f>IFERROR(__xludf.DUMMYFUNCTION("""COMPUTED_VALUE"""),"Roda Trolly ABUS 4"" ( 100 x 27 ) Without Breake")</f>
        <v>Roda Trolly ABUS 4" ( 100 x 27 ) Without Breake</v>
      </c>
      <c r="E1045" s="6">
        <f>IFERROR(__xludf.DUMMYFUNCTION("""COMPUTED_VALUE"""),1.0)</f>
        <v>1</v>
      </c>
      <c r="F1045" s="6">
        <f>IFERROR(__xludf.DUMMYFUNCTION("""COMPUTED_VALUE"""),2.0)</f>
        <v>2</v>
      </c>
      <c r="G1045" s="6">
        <f>IFERROR(__xludf.DUMMYFUNCTION("""COMPUTED_VALUE"""),0.0)</f>
        <v>0</v>
      </c>
      <c r="H1045" s="6" t="str">
        <f>IFERROR(__xludf.DUMMYFUNCTION("""COMPUTED_VALUE"""),"pcs")</f>
        <v>pcs</v>
      </c>
      <c r="I1045" s="6" t="str">
        <f>IFERROR(__xludf.DUMMYFUNCTION("""COMPUTED_VALUE"""),"MFH")</f>
        <v>MFH</v>
      </c>
      <c r="J1045" s="6" t="str">
        <f>IFERROR(__xludf.DUMMYFUNCTION("""COMPUTED_VALUE"""),"BOD")</f>
        <v>BOD</v>
      </c>
      <c r="K1045" s="6" t="str">
        <f>IFERROR(__xludf.DUMMYFUNCTION("""COMPUTED_VALUE"""),"SPR/08/24/006")</f>
        <v>SPR/08/24/006</v>
      </c>
      <c r="L1045" s="13">
        <f>IFERROR(__xludf.DUMMYFUNCTION("""COMPUTED_VALUE"""),45534.0)</f>
        <v>45534</v>
      </c>
    </row>
    <row r="1046">
      <c r="A1046" s="6" t="str">
        <f>IFERROR(__xludf.DUMMYFUNCTION("""COMPUTED_VALUE"""),"ROS")</f>
        <v>ROS</v>
      </c>
      <c r="B1046" s="6" t="str">
        <f>IFERROR(__xludf.DUMMYFUNCTION("""COMPUTED_VALUE"""),"ENG")</f>
        <v>ENG</v>
      </c>
      <c r="C1046" s="6" t="str">
        <f>IFERROR(__xludf.DUMMYFUNCTION("""COMPUTED_VALUE"""),"P-51559-00")</f>
        <v>P-51559-00</v>
      </c>
      <c r="D1046" s="6" t="str">
        <f>IFERROR(__xludf.DUMMYFUNCTION("""COMPUTED_VALUE"""),"Lampu T5 14watt Putih; Phillips; ;")</f>
        <v>Lampu T5 14watt Putih; Phillips; ;</v>
      </c>
      <c r="E1046" s="6">
        <f>IFERROR(__xludf.DUMMYFUNCTION("""COMPUTED_VALUE"""),1.0)</f>
        <v>1</v>
      </c>
      <c r="F1046" s="6">
        <f>IFERROR(__xludf.DUMMYFUNCTION("""COMPUTED_VALUE"""),1.0)</f>
        <v>1</v>
      </c>
      <c r="G1046" s="6">
        <f>IFERROR(__xludf.DUMMYFUNCTION("""COMPUTED_VALUE"""),0.0)</f>
        <v>0</v>
      </c>
      <c r="H1046" s="6" t="str">
        <f>IFERROR(__xludf.DUMMYFUNCTION("""COMPUTED_VALUE"""),"pcs")</f>
        <v>pcs</v>
      </c>
      <c r="I1046" s="6" t="str">
        <f>IFERROR(__xludf.DUMMYFUNCTION("""COMPUTED_VALUE"""),"MFH")</f>
        <v>MFH</v>
      </c>
      <c r="J1046" s="6" t="str">
        <f>IFERROR(__xludf.DUMMYFUNCTION("""COMPUTED_VALUE"""),"BOD")</f>
        <v>BOD</v>
      </c>
      <c r="K1046" s="6" t="str">
        <f>IFERROR(__xludf.DUMMYFUNCTION("""COMPUTED_VALUE"""),"SPR/08/24/006")</f>
        <v>SPR/08/24/006</v>
      </c>
      <c r="L1046" s="13">
        <f>IFERROR(__xludf.DUMMYFUNCTION("""COMPUTED_VALUE"""),45534.0)</f>
        <v>45534</v>
      </c>
    </row>
    <row r="1047">
      <c r="A1047" s="6" t="str">
        <f>IFERROR(__xludf.DUMMYFUNCTION("""COMPUTED_VALUE"""),"ROS")</f>
        <v>ROS</v>
      </c>
      <c r="B1047" s="6" t="str">
        <f>IFERROR(__xludf.DUMMYFUNCTION("""COMPUTED_VALUE"""),"ENG")</f>
        <v>ENG</v>
      </c>
      <c r="C1047" s="6" t="str">
        <f>IFERROR(__xludf.DUMMYFUNCTION("""COMPUTED_VALUE"""),"O-54015-00")</f>
        <v>O-54015-00</v>
      </c>
      <c r="D1047" s="6" t="str">
        <f>IFERROR(__xludf.DUMMYFUNCTION("""COMPUTED_VALUE"""),"STOP KONTAK LUBANG 4, BROCO")</f>
        <v>STOP KONTAK LUBANG 4, BROCO</v>
      </c>
      <c r="E1047" s="6">
        <f>IFERROR(__xludf.DUMMYFUNCTION("""COMPUTED_VALUE"""),2.0)</f>
        <v>2</v>
      </c>
      <c r="F1047" s="6">
        <f>IFERROR(__xludf.DUMMYFUNCTION("""COMPUTED_VALUE"""),1.0)</f>
        <v>1</v>
      </c>
      <c r="G1047" s="6">
        <f>IFERROR(__xludf.DUMMYFUNCTION("""COMPUTED_VALUE"""),0.0)</f>
        <v>0</v>
      </c>
      <c r="H1047" s="6" t="str">
        <f>IFERROR(__xludf.DUMMYFUNCTION("""COMPUTED_VALUE"""),"pcs")</f>
        <v>pcs</v>
      </c>
      <c r="I1047" s="6" t="str">
        <f>IFERROR(__xludf.DUMMYFUNCTION("""COMPUTED_VALUE"""),"MFH")</f>
        <v>MFH</v>
      </c>
      <c r="J1047" s="6" t="str">
        <f>IFERROR(__xludf.DUMMYFUNCTION("""COMPUTED_VALUE"""),"Building")</f>
        <v>Building</v>
      </c>
      <c r="K1047" s="6" t="str">
        <f>IFERROR(__xludf.DUMMYFUNCTION("""COMPUTED_VALUE"""),"SPR/08/24/007")</f>
        <v>SPR/08/24/007</v>
      </c>
      <c r="L1047" s="13">
        <f>IFERROR(__xludf.DUMMYFUNCTION("""COMPUTED_VALUE"""),45534.0)</f>
        <v>45534</v>
      </c>
    </row>
    <row r="1048">
      <c r="A1048" s="6" t="str">
        <f>IFERROR(__xludf.DUMMYFUNCTION("""COMPUTED_VALUE"""),"ROS")</f>
        <v>ROS</v>
      </c>
      <c r="B1048" s="6" t="str">
        <f>IFERROR(__xludf.DUMMYFUNCTION("""COMPUTED_VALUE"""),"ENG")</f>
        <v>ENG</v>
      </c>
      <c r="C1048" s="6" t="str">
        <f>IFERROR(__xludf.DUMMYFUNCTION("""COMPUTED_VALUE"""),"O-54014-00")</f>
        <v>O-54014-00</v>
      </c>
      <c r="D1048" s="6" t="str">
        <f>IFERROR(__xludf.DUMMYFUNCTION("""COMPUTED_VALUE"""),"STEKER 1 PHASE, BROCO")</f>
        <v>STEKER 1 PHASE, BROCO</v>
      </c>
      <c r="E1048" s="6">
        <f>IFERROR(__xludf.DUMMYFUNCTION("""COMPUTED_VALUE"""),3.0)</f>
        <v>3</v>
      </c>
      <c r="F1048" s="6">
        <f>IFERROR(__xludf.DUMMYFUNCTION("""COMPUTED_VALUE"""),1.0)</f>
        <v>1</v>
      </c>
      <c r="G1048" s="6">
        <f>IFERROR(__xludf.DUMMYFUNCTION("""COMPUTED_VALUE"""),0.0)</f>
        <v>0</v>
      </c>
      <c r="H1048" s="6" t="str">
        <f>IFERROR(__xludf.DUMMYFUNCTION("""COMPUTED_VALUE"""),"pcs")</f>
        <v>pcs</v>
      </c>
      <c r="I1048" s="6" t="str">
        <f>IFERROR(__xludf.DUMMYFUNCTION("""COMPUTED_VALUE"""),"MFH")</f>
        <v>MFH</v>
      </c>
      <c r="J1048" s="6" t="str">
        <f>IFERROR(__xludf.DUMMYFUNCTION("""COMPUTED_VALUE"""),"Building")</f>
        <v>Building</v>
      </c>
      <c r="K1048" s="6" t="str">
        <f>IFERROR(__xludf.DUMMYFUNCTION("""COMPUTED_VALUE"""),"SPR/08/24/007")</f>
        <v>SPR/08/24/007</v>
      </c>
      <c r="L1048" s="13">
        <f>IFERROR(__xludf.DUMMYFUNCTION("""COMPUTED_VALUE"""),45534.0)</f>
        <v>45534</v>
      </c>
    </row>
    <row r="1049">
      <c r="A1049" s="6" t="str">
        <f>IFERROR(__xludf.DUMMYFUNCTION("""COMPUTED_VALUE"""),"ROS")</f>
        <v>ROS</v>
      </c>
      <c r="B1049" s="6" t="str">
        <f>IFERROR(__xludf.DUMMYFUNCTION("""COMPUTED_VALUE"""),"ENG")</f>
        <v>ENG</v>
      </c>
      <c r="C1049" s="6" t="str">
        <f>IFERROR(__xludf.DUMMYFUNCTION("""COMPUTED_VALUE"""),"O-15931-00")</f>
        <v>O-15931-00</v>
      </c>
      <c r="D1049" s="6" t="str">
        <f>IFERROR(__xludf.DUMMYFUNCTION("""COMPUTED_VALUE"""),"Double Tape 3M 1"" Merah - P/N : - pc")</f>
        <v>Double Tape 3M 1" Merah - P/N : - pc</v>
      </c>
      <c r="E1049" s="6">
        <f>IFERROR(__xludf.DUMMYFUNCTION("""COMPUTED_VALUE"""),2.0)</f>
        <v>2</v>
      </c>
      <c r="F1049" s="6">
        <f>IFERROR(__xludf.DUMMYFUNCTION("""COMPUTED_VALUE"""),1.0)</f>
        <v>1</v>
      </c>
      <c r="G1049" s="6">
        <f>IFERROR(__xludf.DUMMYFUNCTION("""COMPUTED_VALUE"""),0.0)</f>
        <v>0</v>
      </c>
      <c r="H1049" s="6" t="str">
        <f>IFERROR(__xludf.DUMMYFUNCTION("""COMPUTED_VALUE"""),"pcs")</f>
        <v>pcs</v>
      </c>
      <c r="I1049" s="6" t="str">
        <f>IFERROR(__xludf.DUMMYFUNCTION("""COMPUTED_VALUE"""),"MFH")</f>
        <v>MFH</v>
      </c>
      <c r="J1049" s="6" t="str">
        <f>IFERROR(__xludf.DUMMYFUNCTION("""COMPUTED_VALUE"""),"Building")</f>
        <v>Building</v>
      </c>
      <c r="K1049" s="6" t="str">
        <f>IFERROR(__xludf.DUMMYFUNCTION("""COMPUTED_VALUE"""),"SPR/08/24/007")</f>
        <v>SPR/08/24/007</v>
      </c>
      <c r="L1049" s="13">
        <f>IFERROR(__xludf.DUMMYFUNCTION("""COMPUTED_VALUE"""),45534.0)</f>
        <v>45534</v>
      </c>
    </row>
    <row r="1050">
      <c r="A1050" s="6" t="str">
        <f>IFERROR(__xludf.DUMMYFUNCTION("""COMPUTED_VALUE"""),"RMA")</f>
        <v>RMA</v>
      </c>
      <c r="B1050" s="6" t="str">
        <f>IFERROR(__xludf.DUMMYFUNCTION("""COMPUTED_VALUE"""),"ENG")</f>
        <v>ENG</v>
      </c>
      <c r="C1050" s="6" t="str">
        <f>IFERROR(__xludf.DUMMYFUNCTION("""COMPUTED_VALUE"""),"P-13383-00")</f>
        <v>P-13383-00</v>
      </c>
      <c r="D1050" s="6" t="str">
        <f>IFERROR(__xludf.DUMMYFUNCTION("""COMPUTED_VALUE"""),"Silicone Sealant High Temp Red; ; ;")</f>
        <v>Silicone Sealant High Temp Red; ; ;</v>
      </c>
      <c r="E1050" s="6">
        <f>IFERROR(__xludf.DUMMYFUNCTION("""COMPUTED_VALUE"""),3.0)</f>
        <v>3</v>
      </c>
      <c r="F1050" s="6">
        <f>IFERROR(__xludf.DUMMYFUNCTION("""COMPUTED_VALUE"""),1.0)</f>
        <v>1</v>
      </c>
      <c r="G1050" s="6">
        <f>IFERROR(__xludf.DUMMYFUNCTION("""COMPUTED_VALUE"""),0.0)</f>
        <v>0</v>
      </c>
      <c r="H1050" s="6" t="str">
        <f>IFERROR(__xludf.DUMMYFUNCTION("""COMPUTED_VALUE"""),"pcs")</f>
        <v>pcs</v>
      </c>
      <c r="I1050" s="6" t="str">
        <f>IFERROR(__xludf.DUMMYFUNCTION("""COMPUTED_VALUE"""),"MFH")</f>
        <v>MFH</v>
      </c>
      <c r="J1050" s="6" t="str">
        <f>IFERROR(__xludf.DUMMYFUNCTION("""COMPUTED_VALUE"""),"-")</f>
        <v>-</v>
      </c>
      <c r="K1050" s="6" t="str">
        <f>IFERROR(__xludf.DUMMYFUNCTION("""COMPUTED_VALUE"""),"SPR/08/24/008")</f>
        <v>SPR/08/24/008</v>
      </c>
      <c r="L1050" s="13">
        <f>IFERROR(__xludf.DUMMYFUNCTION("""COMPUTED_VALUE"""),45534.0)</f>
        <v>45534</v>
      </c>
    </row>
    <row r="1051">
      <c r="A1051" s="6" t="str">
        <f>IFERROR(__xludf.DUMMYFUNCTION("""COMPUTED_VALUE"""),"RMA")</f>
        <v>RMA</v>
      </c>
      <c r="B1051" s="6" t="str">
        <f>IFERROR(__xludf.DUMMYFUNCTION("""COMPUTED_VALUE"""),"ENG")</f>
        <v>ENG</v>
      </c>
      <c r="C1051" s="6" t="str">
        <f>IFERROR(__xludf.DUMMYFUNCTION("""COMPUTED_VALUE"""),"P-10945-00")</f>
        <v>P-10945-00</v>
      </c>
      <c r="D1051" s="6" t="str">
        <f>IFERROR(__xludf.DUMMYFUNCTION("""COMPUTED_VALUE"""),"Insulation - Seal Tape onda")</f>
        <v>Insulation - Seal Tape onda</v>
      </c>
      <c r="E1051" s="6">
        <f>IFERROR(__xludf.DUMMYFUNCTION("""COMPUTED_VALUE"""),2.0)</f>
        <v>2</v>
      </c>
      <c r="F1051" s="6">
        <f>IFERROR(__xludf.DUMMYFUNCTION("""COMPUTED_VALUE"""),2.0)</f>
        <v>2</v>
      </c>
      <c r="G1051" s="6">
        <f>IFERROR(__xludf.DUMMYFUNCTION("""COMPUTED_VALUE"""),0.0)</f>
        <v>0</v>
      </c>
      <c r="H1051" s="6" t="str">
        <f>IFERROR(__xludf.DUMMYFUNCTION("""COMPUTED_VALUE"""),"pcs")</f>
        <v>pcs</v>
      </c>
      <c r="I1051" s="6" t="str">
        <f>IFERROR(__xludf.DUMMYFUNCTION("""COMPUTED_VALUE"""),"MFH")</f>
        <v>MFH</v>
      </c>
      <c r="J1051" s="6" t="str">
        <f>IFERROR(__xludf.DUMMYFUNCTION("""COMPUTED_VALUE"""),"N2 Gen")</f>
        <v>N2 Gen</v>
      </c>
      <c r="K1051" s="6" t="str">
        <f>IFERROR(__xludf.DUMMYFUNCTION("""COMPUTED_VALUE"""),"SPR/08/24/009")</f>
        <v>SPR/08/24/009</v>
      </c>
      <c r="L1051" s="13">
        <f>IFERROR(__xludf.DUMMYFUNCTION("""COMPUTED_VALUE"""),45534.0)</f>
        <v>45534</v>
      </c>
    </row>
    <row r="1052">
      <c r="A1052" s="6" t="str">
        <f>IFERROR(__xludf.DUMMYFUNCTION("""COMPUTED_VALUE"""),"SFH")</f>
        <v>SFH</v>
      </c>
      <c r="B1052" s="6" t="str">
        <f>IFERROR(__xludf.DUMMYFUNCTION("""COMPUTED_VALUE"""),"ENG")</f>
        <v>ENG</v>
      </c>
      <c r="C1052" s="6" t="str">
        <f>IFERROR(__xludf.DUMMYFUNCTION("""COMPUTED_VALUE"""),"P-17645-00")</f>
        <v>P-17645-00</v>
      </c>
      <c r="D1052" s="6" t="str">
        <f>IFERROR(__xludf.DUMMYFUNCTION("""COMPUTED_VALUE"""),"Sodium Hiphoclorite; ; ; ltr")</f>
        <v>Sodium Hiphoclorite; ; ; ltr</v>
      </c>
      <c r="E1052" s="6">
        <f>IFERROR(__xludf.DUMMYFUNCTION("""COMPUTED_VALUE"""),90.0)</f>
        <v>90</v>
      </c>
      <c r="F1052" s="6">
        <f>IFERROR(__xludf.DUMMYFUNCTION("""COMPUTED_VALUE"""),90.0)</f>
        <v>90</v>
      </c>
      <c r="G1052" s="6">
        <f>IFERROR(__xludf.DUMMYFUNCTION("""COMPUTED_VALUE"""),0.0)</f>
        <v>0</v>
      </c>
      <c r="H1052" s="6" t="str">
        <f>IFERROR(__xludf.DUMMYFUNCTION("""COMPUTED_VALUE"""),"pcs")</f>
        <v>pcs</v>
      </c>
      <c r="I1052" s="6" t="str">
        <f>IFERROR(__xludf.DUMMYFUNCTION("""COMPUTED_VALUE"""),"MFH")</f>
        <v>MFH</v>
      </c>
      <c r="J1052" s="6" t="str">
        <f>IFERROR(__xludf.DUMMYFUNCTION("""COMPUTED_VALUE"""),"Building")</f>
        <v>Building</v>
      </c>
      <c r="K1052" s="6" t="str">
        <f>IFERROR(__xludf.DUMMYFUNCTION("""COMPUTED_VALUE"""),"SPR/08/24/010")</f>
        <v>SPR/08/24/010</v>
      </c>
      <c r="L1052" s="13">
        <f>IFERROR(__xludf.DUMMYFUNCTION("""COMPUTED_VALUE"""),45534.0)</f>
        <v>45534</v>
      </c>
    </row>
    <row r="1053">
      <c r="A1053" s="6" t="str">
        <f>IFERROR(__xludf.DUMMYFUNCTION("""COMPUTED_VALUE"""),"SFH")</f>
        <v>SFH</v>
      </c>
      <c r="B1053" s="6" t="str">
        <f>IFERROR(__xludf.DUMMYFUNCTION("""COMPUTED_VALUE"""),"ENG")</f>
        <v>ENG</v>
      </c>
      <c r="C1053" s="6" t="str">
        <f>IFERROR(__xludf.DUMMYFUNCTION("""COMPUTED_VALUE"""),"P-10945-00")</f>
        <v>P-10945-00</v>
      </c>
      <c r="D1053" s="6" t="str">
        <f>IFERROR(__xludf.DUMMYFUNCTION("""COMPUTED_VALUE"""),"Insulation - Seal Tape onda")</f>
        <v>Insulation - Seal Tape onda</v>
      </c>
      <c r="E1053" s="6">
        <f>IFERROR(__xludf.DUMMYFUNCTION("""COMPUTED_VALUE"""),2.0)</f>
        <v>2</v>
      </c>
      <c r="F1053" s="6">
        <f>IFERROR(__xludf.DUMMYFUNCTION("""COMPUTED_VALUE"""),2.0)</f>
        <v>2</v>
      </c>
      <c r="G1053" s="6">
        <f>IFERROR(__xludf.DUMMYFUNCTION("""COMPUTED_VALUE"""),0.0)</f>
        <v>0</v>
      </c>
      <c r="H1053" s="6" t="str">
        <f>IFERROR(__xludf.DUMMYFUNCTION("""COMPUTED_VALUE"""),"pcs")</f>
        <v>pcs</v>
      </c>
      <c r="I1053" s="6" t="str">
        <f>IFERROR(__xludf.DUMMYFUNCTION("""COMPUTED_VALUE"""),"MFH")</f>
        <v>MFH</v>
      </c>
      <c r="J1053" s="6" t="str">
        <f>IFERROR(__xludf.DUMMYFUNCTION("""COMPUTED_VALUE"""),"Building")</f>
        <v>Building</v>
      </c>
      <c r="K1053" s="6" t="str">
        <f>IFERROR(__xludf.DUMMYFUNCTION("""COMPUTED_VALUE"""),"SPR/08/24/010")</f>
        <v>SPR/08/24/010</v>
      </c>
      <c r="L1053" s="13">
        <f>IFERROR(__xludf.DUMMYFUNCTION("""COMPUTED_VALUE"""),45534.0)</f>
        <v>45534</v>
      </c>
    </row>
    <row r="1054">
      <c r="A1054" s="6" t="str">
        <f>IFERROR(__xludf.DUMMYFUNCTION("""COMPUTED_VALUE"""),"SFH")</f>
        <v>SFH</v>
      </c>
      <c r="B1054" s="6" t="str">
        <f>IFERROR(__xludf.DUMMYFUNCTION("""COMPUTED_VALUE"""),"ENG")</f>
        <v>ENG</v>
      </c>
      <c r="C1054" s="6" t="str">
        <f>IFERROR(__xludf.DUMMYFUNCTION("""COMPUTED_VALUE"""),"P-50505-00")</f>
        <v>P-50505-00</v>
      </c>
      <c r="D1054" s="6" t="str">
        <f>IFERROR(__xludf.DUMMYFUNCTION("""COMPUTED_VALUE"""),"Saklar Seri / 250 V / Clipsal")</f>
        <v>Saklar Seri / 250 V / Clipsal</v>
      </c>
      <c r="E1054" s="6">
        <f>IFERROR(__xludf.DUMMYFUNCTION("""COMPUTED_VALUE"""),4.0)</f>
        <v>4</v>
      </c>
      <c r="F1054" s="6">
        <f>IFERROR(__xludf.DUMMYFUNCTION("""COMPUTED_VALUE"""),1.0)</f>
        <v>1</v>
      </c>
      <c r="G1054" s="6">
        <f>IFERROR(__xludf.DUMMYFUNCTION("""COMPUTED_VALUE"""),0.0)</f>
        <v>0</v>
      </c>
      <c r="H1054" s="6" t="str">
        <f>IFERROR(__xludf.DUMMYFUNCTION("""COMPUTED_VALUE"""),"pcs")</f>
        <v>pcs</v>
      </c>
      <c r="I1054" s="6" t="str">
        <f>IFERROR(__xludf.DUMMYFUNCTION("""COMPUTED_VALUE"""),"MFH")</f>
        <v>MFH</v>
      </c>
      <c r="J1054" s="6" t="str">
        <f>IFERROR(__xludf.DUMMYFUNCTION("""COMPUTED_VALUE"""),"Building")</f>
        <v>Building</v>
      </c>
      <c r="K1054" s="6" t="str">
        <f>IFERROR(__xludf.DUMMYFUNCTION("""COMPUTED_VALUE"""),"SPR/08/24/011")</f>
        <v>SPR/08/24/011</v>
      </c>
      <c r="L1054" s="13">
        <f>IFERROR(__xludf.DUMMYFUNCTION("""COMPUTED_VALUE"""),45534.0)</f>
        <v>45534</v>
      </c>
    </row>
    <row r="1055">
      <c r="A1055" s="6" t="str">
        <f>IFERROR(__xludf.DUMMYFUNCTION("""COMPUTED_VALUE"""),"SFH")</f>
        <v>SFH</v>
      </c>
      <c r="B1055" s="6" t="str">
        <f>IFERROR(__xludf.DUMMYFUNCTION("""COMPUTED_VALUE"""),"ENG")</f>
        <v>ENG</v>
      </c>
      <c r="C1055" s="6" t="str">
        <f>IFERROR(__xludf.DUMMYFUNCTION("""COMPUTED_VALUE"""),"P-51560-00")</f>
        <v>P-51560-00</v>
      </c>
      <c r="D1055" s="6" t="str">
        <f>IFERROR(__xludf.DUMMYFUNCTION("""COMPUTED_VALUE"""),"Lampu T5 28watt Putih; Phillips; ;")</f>
        <v>Lampu T5 28watt Putih; Phillips; ;</v>
      </c>
      <c r="E1055" s="6">
        <f>IFERROR(__xludf.DUMMYFUNCTION("""COMPUTED_VALUE"""),15.0)</f>
        <v>15</v>
      </c>
      <c r="F1055" s="6">
        <f>IFERROR(__xludf.DUMMYFUNCTION("""COMPUTED_VALUE"""),4.0)</f>
        <v>4</v>
      </c>
      <c r="G1055" s="6">
        <f>IFERROR(__xludf.DUMMYFUNCTION("""COMPUTED_VALUE"""),0.0)</f>
        <v>0</v>
      </c>
      <c r="H1055" s="6" t="str">
        <f>IFERROR(__xludf.DUMMYFUNCTION("""COMPUTED_VALUE"""),"pcs")</f>
        <v>pcs</v>
      </c>
      <c r="I1055" s="6" t="str">
        <f>IFERROR(__xludf.DUMMYFUNCTION("""COMPUTED_VALUE"""),"MFH")</f>
        <v>MFH</v>
      </c>
      <c r="J1055" s="6" t="str">
        <f>IFERROR(__xludf.DUMMYFUNCTION("""COMPUTED_VALUE"""),"Building")</f>
        <v>Building</v>
      </c>
      <c r="K1055" s="6" t="str">
        <f>IFERROR(__xludf.DUMMYFUNCTION("""COMPUTED_VALUE"""),"SPR/08/24/011")</f>
        <v>SPR/08/24/011</v>
      </c>
      <c r="L1055" s="13">
        <f>IFERROR(__xludf.DUMMYFUNCTION("""COMPUTED_VALUE"""),45534.0)</f>
        <v>45534</v>
      </c>
    </row>
    <row r="1056">
      <c r="A1056" s="6" t="str">
        <f>IFERROR(__xludf.DUMMYFUNCTION("""COMPUTED_VALUE"""),"SFH")</f>
        <v>SFH</v>
      </c>
      <c r="B1056" s="6" t="str">
        <f>IFERROR(__xludf.DUMMYFUNCTION("""COMPUTED_VALUE"""),"ENG")</f>
        <v>ENG</v>
      </c>
      <c r="C1056" s="6" t="str">
        <f>IFERROR(__xludf.DUMMYFUNCTION("""COMPUTED_VALUE"""),"P-51559-00")</f>
        <v>P-51559-00</v>
      </c>
      <c r="D1056" s="6" t="str">
        <f>IFERROR(__xludf.DUMMYFUNCTION("""COMPUTED_VALUE"""),"Lampu T5 14watt Putih; Phillips; ;")</f>
        <v>Lampu T5 14watt Putih; Phillips; ;</v>
      </c>
      <c r="E1056" s="6">
        <f>IFERROR(__xludf.DUMMYFUNCTION("""COMPUTED_VALUE"""),5.0)</f>
        <v>5</v>
      </c>
      <c r="F1056" s="6">
        <f>IFERROR(__xludf.DUMMYFUNCTION("""COMPUTED_VALUE"""),5.0)</f>
        <v>5</v>
      </c>
      <c r="G1056" s="6">
        <f>IFERROR(__xludf.DUMMYFUNCTION("""COMPUTED_VALUE"""),0.0)</f>
        <v>0</v>
      </c>
      <c r="H1056" s="6" t="str">
        <f>IFERROR(__xludf.DUMMYFUNCTION("""COMPUTED_VALUE"""),"pcs")</f>
        <v>pcs</v>
      </c>
      <c r="I1056" s="6" t="str">
        <f>IFERROR(__xludf.DUMMYFUNCTION("""COMPUTED_VALUE"""),"MFH")</f>
        <v>MFH</v>
      </c>
      <c r="J1056" s="6" t="str">
        <f>IFERROR(__xludf.DUMMYFUNCTION("""COMPUTED_VALUE"""),"Building")</f>
        <v>Building</v>
      </c>
      <c r="K1056" s="6" t="str">
        <f>IFERROR(__xludf.DUMMYFUNCTION("""COMPUTED_VALUE"""),"SPR/08/24/011")</f>
        <v>SPR/08/24/011</v>
      </c>
      <c r="L1056" s="13">
        <f>IFERROR(__xludf.DUMMYFUNCTION("""COMPUTED_VALUE"""),45534.0)</f>
        <v>45534</v>
      </c>
    </row>
    <row r="1057">
      <c r="A1057" s="6" t="str">
        <f>IFERROR(__xludf.DUMMYFUNCTION("""COMPUTED_VALUE"""),"SFH")</f>
        <v>SFH</v>
      </c>
      <c r="B1057" s="6" t="str">
        <f>IFERROR(__xludf.DUMMYFUNCTION("""COMPUTED_VALUE"""),"ENG")</f>
        <v>ENG</v>
      </c>
      <c r="C1057" s="6" t="str">
        <f>IFERROR(__xludf.DUMMYFUNCTION("""COMPUTED_VALUE"""),"P-10945-00")</f>
        <v>P-10945-00</v>
      </c>
      <c r="D1057" s="6" t="str">
        <f>IFERROR(__xludf.DUMMYFUNCTION("""COMPUTED_VALUE"""),"Insulation - Seal Tape onda")</f>
        <v>Insulation - Seal Tape onda</v>
      </c>
      <c r="E1057" s="6">
        <f>IFERROR(__xludf.DUMMYFUNCTION("""COMPUTED_VALUE"""),10.0)</f>
        <v>10</v>
      </c>
      <c r="F1057" s="6">
        <f>IFERROR(__xludf.DUMMYFUNCTION("""COMPUTED_VALUE"""),10.0)</f>
        <v>10</v>
      </c>
      <c r="G1057" s="6">
        <f>IFERROR(__xludf.DUMMYFUNCTION("""COMPUTED_VALUE"""),0.0)</f>
        <v>0</v>
      </c>
      <c r="H1057" s="6" t="str">
        <f>IFERROR(__xludf.DUMMYFUNCTION("""COMPUTED_VALUE"""),"pcs")</f>
        <v>pcs</v>
      </c>
      <c r="I1057" s="6" t="str">
        <f>IFERROR(__xludf.DUMMYFUNCTION("""COMPUTED_VALUE"""),"MFH")</f>
        <v>MFH</v>
      </c>
      <c r="J1057" s="6" t="str">
        <f>IFERROR(__xludf.DUMMYFUNCTION("""COMPUTED_VALUE"""),"N2 Gen")</f>
        <v>N2 Gen</v>
      </c>
      <c r="K1057" s="6" t="str">
        <f>IFERROR(__xludf.DUMMYFUNCTION("""COMPUTED_VALUE"""),"SPR/08/24/012")</f>
        <v>SPR/08/24/012</v>
      </c>
      <c r="L1057" s="13">
        <f>IFERROR(__xludf.DUMMYFUNCTION("""COMPUTED_VALUE"""),45534.0)</f>
        <v>45534</v>
      </c>
    </row>
    <row r="1058">
      <c r="A1058" s="6" t="str">
        <f>IFERROR(__xludf.DUMMYFUNCTION("""COMPUTED_VALUE"""),"SFH")</f>
        <v>SFH</v>
      </c>
      <c r="B1058" s="6" t="str">
        <f>IFERROR(__xludf.DUMMYFUNCTION("""COMPUTED_VALUE"""),"ENG")</f>
        <v>ENG</v>
      </c>
      <c r="C1058" s="6" t="str">
        <f>IFERROR(__xludf.DUMMYFUNCTION("""COMPUTED_VALUE"""),"O-54014-00")</f>
        <v>O-54014-00</v>
      </c>
      <c r="D1058" s="6" t="str">
        <f>IFERROR(__xludf.DUMMYFUNCTION("""COMPUTED_VALUE"""),"STEKER 1 PHASE, BROCO")</f>
        <v>STEKER 1 PHASE, BROCO</v>
      </c>
      <c r="E1058" s="6">
        <f>IFERROR(__xludf.DUMMYFUNCTION("""COMPUTED_VALUE"""),3.0)</f>
        <v>3</v>
      </c>
      <c r="F1058" s="6">
        <f>IFERROR(__xludf.DUMMYFUNCTION("""COMPUTED_VALUE"""),1.0)</f>
        <v>1</v>
      </c>
      <c r="G1058" s="6">
        <f>IFERROR(__xludf.DUMMYFUNCTION("""COMPUTED_VALUE"""),0.0)</f>
        <v>0</v>
      </c>
      <c r="H1058" s="6" t="str">
        <f>IFERROR(__xludf.DUMMYFUNCTION("""COMPUTED_VALUE"""),"pcs")</f>
        <v>pcs</v>
      </c>
      <c r="I1058" s="6" t="str">
        <f>IFERROR(__xludf.DUMMYFUNCTION("""COMPUTED_VALUE"""),"MFH")</f>
        <v>MFH</v>
      </c>
      <c r="J1058" s="6" t="str">
        <f>IFERROR(__xludf.DUMMYFUNCTION("""COMPUTED_VALUE"""),"Building")</f>
        <v>Building</v>
      </c>
      <c r="K1058" s="6" t="str">
        <f>IFERROR(__xludf.DUMMYFUNCTION("""COMPUTED_VALUE"""),"SPR/08/24/013")</f>
        <v>SPR/08/24/013</v>
      </c>
      <c r="L1058" s="13">
        <f>IFERROR(__xludf.DUMMYFUNCTION("""COMPUTED_VALUE"""),45534.0)</f>
        <v>45534</v>
      </c>
    </row>
    <row r="1059">
      <c r="A1059" s="6" t="str">
        <f>IFERROR(__xludf.DUMMYFUNCTION("""COMPUTED_VALUE"""),"KPR")</f>
        <v>KPR</v>
      </c>
      <c r="B1059" s="6" t="str">
        <f>IFERROR(__xludf.DUMMYFUNCTION("""COMPUTED_VALUE"""),"QAS")</f>
        <v>QAS</v>
      </c>
      <c r="C1059" s="6" t="str">
        <f>IFERROR(__xludf.DUMMYFUNCTION("""COMPUTED_VALUE"""),"O-14594-00")</f>
        <v>O-14594-00</v>
      </c>
      <c r="D1059" s="6" t="str">
        <f>IFERROR(__xludf.DUMMYFUNCTION("""COMPUTED_VALUE"""),"Kit, membrane ozone 6510")</f>
        <v>Kit, membrane ozone 6510</v>
      </c>
      <c r="E1059" s="6">
        <f>IFERROR(__xludf.DUMMYFUNCTION("""COMPUTED_VALUE"""),1.0)</f>
        <v>1</v>
      </c>
      <c r="F1059" s="6">
        <f>IFERROR(__xludf.DUMMYFUNCTION("""COMPUTED_VALUE"""),1.0)</f>
        <v>1</v>
      </c>
      <c r="G1059" s="6">
        <f>IFERROR(__xludf.DUMMYFUNCTION("""COMPUTED_VALUE"""),0.0)</f>
        <v>0</v>
      </c>
      <c r="H1059" s="6" t="str">
        <f>IFERROR(__xludf.DUMMYFUNCTION("""COMPUTED_VALUE"""),"pcs")</f>
        <v>pcs</v>
      </c>
      <c r="I1059" s="6" t="str">
        <f>IFERROR(__xludf.DUMMYFUNCTION("""COMPUTED_VALUE"""),"MFH")</f>
        <v>MFH</v>
      </c>
      <c r="J1059" s="6" t="str">
        <f>IFERROR(__xludf.DUMMYFUNCTION("""COMPUTED_VALUE"""),"PW SKID")</f>
        <v>PW SKID</v>
      </c>
      <c r="K1059" s="6" t="str">
        <f>IFERROR(__xludf.DUMMYFUNCTION("""COMPUTED_VALUE"""),"SPR/08/24/014")</f>
        <v>SPR/08/24/014</v>
      </c>
      <c r="L1059" s="13">
        <f>IFERROR(__xludf.DUMMYFUNCTION("""COMPUTED_VALUE"""),45534.0)</f>
        <v>45534</v>
      </c>
    </row>
    <row r="1060">
      <c r="A1060" s="6" t="str">
        <f>IFERROR(__xludf.DUMMYFUNCTION("""COMPUTED_VALUE"""),"ROS")</f>
        <v>ROS</v>
      </c>
      <c r="B1060" s="6" t="str">
        <f>IFERROR(__xludf.DUMMYFUNCTION("""COMPUTED_VALUE"""),"ENG")</f>
        <v>ENG</v>
      </c>
      <c r="C1060" s="6" t="str">
        <f>IFERROR(__xludf.DUMMYFUNCTION("""COMPUTED_VALUE"""),"O-54015-00")</f>
        <v>O-54015-00</v>
      </c>
      <c r="D1060" s="6" t="str">
        <f>IFERROR(__xludf.DUMMYFUNCTION("""COMPUTED_VALUE"""),"STOP KONTAK LUBANG 4, BROCO")</f>
        <v>STOP KONTAK LUBANG 4, BROCO</v>
      </c>
      <c r="E1060" s="6">
        <f>IFERROR(__xludf.DUMMYFUNCTION("""COMPUTED_VALUE"""),3.0)</f>
        <v>3</v>
      </c>
      <c r="F1060" s="6">
        <f>IFERROR(__xludf.DUMMYFUNCTION("""COMPUTED_VALUE"""),1.0)</f>
        <v>1</v>
      </c>
      <c r="G1060" s="6">
        <f>IFERROR(__xludf.DUMMYFUNCTION("""COMPUTED_VALUE"""),0.0)</f>
        <v>0</v>
      </c>
      <c r="H1060" s="6" t="str">
        <f>IFERROR(__xludf.DUMMYFUNCTION("""COMPUTED_VALUE"""),"pcs")</f>
        <v>pcs</v>
      </c>
      <c r="I1060" s="6" t="str">
        <f>IFERROR(__xludf.DUMMYFUNCTION("""COMPUTED_VALUE"""),"MFH")</f>
        <v>MFH</v>
      </c>
      <c r="J1060" s="6" t="str">
        <f>IFERROR(__xludf.DUMMYFUNCTION("""COMPUTED_VALUE"""),"-")</f>
        <v>-</v>
      </c>
      <c r="K1060" s="6" t="str">
        <f>IFERROR(__xludf.DUMMYFUNCTION("""COMPUTED_VALUE"""),"SPR/08/24/015")</f>
        <v>SPR/08/24/015</v>
      </c>
      <c r="L1060" s="13">
        <f>IFERROR(__xludf.DUMMYFUNCTION("""COMPUTED_VALUE"""),45534.0)</f>
        <v>45534</v>
      </c>
    </row>
    <row r="1061">
      <c r="A1061" s="6" t="str">
        <f>IFERROR(__xludf.DUMMYFUNCTION("""COMPUTED_VALUE"""),"ROS")</f>
        <v>ROS</v>
      </c>
      <c r="B1061" s="6" t="str">
        <f>IFERROR(__xludf.DUMMYFUNCTION("""COMPUTED_VALUE"""),"ENG")</f>
        <v>ENG</v>
      </c>
      <c r="C1061" s="6" t="str">
        <f>IFERROR(__xludf.DUMMYFUNCTION("""COMPUTED_VALUE"""),"O-54014-00")</f>
        <v>O-54014-00</v>
      </c>
      <c r="D1061" s="6" t="str">
        <f>IFERROR(__xludf.DUMMYFUNCTION("""COMPUTED_VALUE"""),"STEKER 1 PHASE, BROCO")</f>
        <v>STEKER 1 PHASE, BROCO</v>
      </c>
      <c r="E1061" s="6">
        <f>IFERROR(__xludf.DUMMYFUNCTION("""COMPUTED_VALUE"""),3.0)</f>
        <v>3</v>
      </c>
      <c r="F1061" s="6">
        <f>IFERROR(__xludf.DUMMYFUNCTION("""COMPUTED_VALUE"""),1.0)</f>
        <v>1</v>
      </c>
      <c r="G1061" s="6">
        <f>IFERROR(__xludf.DUMMYFUNCTION("""COMPUTED_VALUE"""),0.0)</f>
        <v>0</v>
      </c>
      <c r="H1061" s="6" t="str">
        <f>IFERROR(__xludf.DUMMYFUNCTION("""COMPUTED_VALUE"""),"pcs")</f>
        <v>pcs</v>
      </c>
      <c r="I1061" s="6" t="str">
        <f>IFERROR(__xludf.DUMMYFUNCTION("""COMPUTED_VALUE"""),"MFH")</f>
        <v>MFH</v>
      </c>
      <c r="J1061" s="6" t="str">
        <f>IFERROR(__xludf.DUMMYFUNCTION("""COMPUTED_VALUE"""),"-")</f>
        <v>-</v>
      </c>
      <c r="K1061" s="6" t="str">
        <f>IFERROR(__xludf.DUMMYFUNCTION("""COMPUTED_VALUE"""),"SPR/08/24/015")</f>
        <v>SPR/08/24/015</v>
      </c>
      <c r="L1061" s="13">
        <f>IFERROR(__xludf.DUMMYFUNCTION("""COMPUTED_VALUE"""),45534.0)</f>
        <v>45534</v>
      </c>
    </row>
    <row r="1062">
      <c r="A1062" s="6" t="str">
        <f>IFERROR(__xludf.DUMMYFUNCTION("""COMPUTED_VALUE"""),"ROS")</f>
        <v>ROS</v>
      </c>
      <c r="B1062" s="6" t="str">
        <f>IFERROR(__xludf.DUMMYFUNCTION("""COMPUTED_VALUE"""),"ENG")</f>
        <v>ENG</v>
      </c>
      <c r="C1062" s="6" t="str">
        <f>IFERROR(__xludf.DUMMYFUNCTION("""COMPUTED_VALUE"""),"O-15931-00")</f>
        <v>O-15931-00</v>
      </c>
      <c r="D1062" s="6" t="str">
        <f>IFERROR(__xludf.DUMMYFUNCTION("""COMPUTED_VALUE"""),"Double Tape 3M 1"" Merah - P/N : - pc")</f>
        <v>Double Tape 3M 1" Merah - P/N : - pc</v>
      </c>
      <c r="E1062" s="6">
        <f>IFERROR(__xludf.DUMMYFUNCTION("""COMPUTED_VALUE"""),2.0)</f>
        <v>2</v>
      </c>
      <c r="F1062" s="6">
        <f>IFERROR(__xludf.DUMMYFUNCTION("""COMPUTED_VALUE"""),1.0)</f>
        <v>1</v>
      </c>
      <c r="G1062" s="6">
        <f>IFERROR(__xludf.DUMMYFUNCTION("""COMPUTED_VALUE"""),0.0)</f>
        <v>0</v>
      </c>
      <c r="H1062" s="6" t="str">
        <f>IFERROR(__xludf.DUMMYFUNCTION("""COMPUTED_VALUE"""),"pcs")</f>
        <v>pcs</v>
      </c>
      <c r="I1062" s="6" t="str">
        <f>IFERROR(__xludf.DUMMYFUNCTION("""COMPUTED_VALUE"""),"MFH")</f>
        <v>MFH</v>
      </c>
      <c r="J1062" s="6" t="str">
        <f>IFERROR(__xludf.DUMMYFUNCTION("""COMPUTED_VALUE"""),"-")</f>
        <v>-</v>
      </c>
      <c r="K1062" s="6" t="str">
        <f>IFERROR(__xludf.DUMMYFUNCTION("""COMPUTED_VALUE"""),"SPR/08/24/015")</f>
        <v>SPR/08/24/015</v>
      </c>
      <c r="L1062" s="13">
        <f>IFERROR(__xludf.DUMMYFUNCTION("""COMPUTED_VALUE"""),45534.0)</f>
        <v>45534</v>
      </c>
    </row>
    <row r="1063">
      <c r="A1063" s="6" t="str">
        <f>IFERROR(__xludf.DUMMYFUNCTION("""COMPUTED_VALUE"""),"MRN")</f>
        <v>MRN</v>
      </c>
      <c r="B1063" s="6" t="str">
        <f>IFERROR(__xludf.DUMMYFUNCTION("""COMPUTED_VALUE"""),"ENG")</f>
        <v>ENG</v>
      </c>
      <c r="C1063" s="6" t="str">
        <f>IFERROR(__xludf.DUMMYFUNCTION("""COMPUTED_VALUE"""),"O-15489-00")</f>
        <v>O-15489-00</v>
      </c>
      <c r="D1063" s="6" t="str">
        <f>IFERROR(__xludf.DUMMYFUNCTION("""COMPUTED_VALUE"""),"SPA 1120 Brand : Optibelt / Bando Merah; Optibelt; ;")</f>
        <v>SPA 1120 Brand : Optibelt / Bando Merah; Optibelt; ;</v>
      </c>
      <c r="E1063" s="6">
        <f>IFERROR(__xludf.DUMMYFUNCTION("""COMPUTED_VALUE"""),2.0)</f>
        <v>2</v>
      </c>
      <c r="F1063" s="6">
        <f>IFERROR(__xludf.DUMMYFUNCTION("""COMPUTED_VALUE"""),1.0)</f>
        <v>1</v>
      </c>
      <c r="G1063" s="6">
        <f>IFERROR(__xludf.DUMMYFUNCTION("""COMPUTED_VALUE"""),0.0)</f>
        <v>0</v>
      </c>
      <c r="H1063" s="6" t="str">
        <f>IFERROR(__xludf.DUMMYFUNCTION("""COMPUTED_VALUE"""),"pcs")</f>
        <v>pcs</v>
      </c>
      <c r="I1063" s="6" t="str">
        <f>IFERROR(__xludf.DUMMYFUNCTION("""COMPUTED_VALUE"""),"MFH")</f>
        <v>MFH</v>
      </c>
      <c r="J1063" s="6" t="str">
        <f>IFERROR(__xludf.DUMMYFUNCTION("""COMPUTED_VALUE"""),"Exhaust")</f>
        <v>Exhaust</v>
      </c>
      <c r="K1063" s="6" t="str">
        <f>IFERROR(__xludf.DUMMYFUNCTION("""COMPUTED_VALUE"""),"SPR/08/24/015")</f>
        <v>SPR/08/24/015</v>
      </c>
      <c r="L1063" s="13">
        <f>IFERROR(__xludf.DUMMYFUNCTION("""COMPUTED_VALUE"""),45534.0)</f>
        <v>45534</v>
      </c>
    </row>
    <row r="1064">
      <c r="A1064" s="6" t="str">
        <f>IFERROR(__xludf.DUMMYFUNCTION("""COMPUTED_VALUE"""),"KPR")</f>
        <v>KPR</v>
      </c>
      <c r="B1064" s="6" t="str">
        <f>IFERROR(__xludf.DUMMYFUNCTION("""COMPUTED_VALUE"""),"QAS")</f>
        <v>QAS</v>
      </c>
      <c r="C1064" s="6" t="str">
        <f>IFERROR(__xludf.DUMMYFUNCTION("""COMPUTED_VALUE"""),"P-14999-00")</f>
        <v>P-14999-00</v>
      </c>
      <c r="D1064" s="6" t="str">
        <f>IFERROR(__xludf.DUMMYFUNCTION("""COMPUTED_VALUE"""),"Room Press. Monitoring, P/N. 547-103A; ; ;")</f>
        <v>Room Press. Monitoring, P/N. 547-103A; ; ;</v>
      </c>
      <c r="E1064" s="6">
        <f>IFERROR(__xludf.DUMMYFUNCTION("""COMPUTED_VALUE"""),1.0)</f>
        <v>1</v>
      </c>
      <c r="F1064" s="6">
        <f>IFERROR(__xludf.DUMMYFUNCTION("""COMPUTED_VALUE"""),1.0)</f>
        <v>1</v>
      </c>
      <c r="G1064" s="6">
        <f>IFERROR(__xludf.DUMMYFUNCTION("""COMPUTED_VALUE"""),0.0)</f>
        <v>0</v>
      </c>
      <c r="H1064" s="6" t="str">
        <f>IFERROR(__xludf.DUMMYFUNCTION("""COMPUTED_VALUE"""),"pcs")</f>
        <v>pcs</v>
      </c>
      <c r="I1064" s="6" t="str">
        <f>IFERROR(__xludf.DUMMYFUNCTION("""COMPUTED_VALUE"""),"MFH")</f>
        <v>MFH</v>
      </c>
      <c r="J1064" s="6" t="str">
        <f>IFERROR(__xludf.DUMMYFUNCTION("""COMPUTED_VALUE"""),"-")</f>
        <v>-</v>
      </c>
      <c r="K1064" s="6" t="str">
        <f>IFERROR(__xludf.DUMMYFUNCTION("""COMPUTED_VALUE"""),"SPR/08/24/016")</f>
        <v>SPR/08/24/016</v>
      </c>
      <c r="L1064" s="13">
        <f>IFERROR(__xludf.DUMMYFUNCTION("""COMPUTED_VALUE"""),45534.0)</f>
        <v>45534</v>
      </c>
    </row>
    <row r="1065">
      <c r="A1065" s="6" t="str">
        <f>IFERROR(__xludf.DUMMYFUNCTION("""COMPUTED_VALUE"""),"KPR")</f>
        <v>KPR</v>
      </c>
      <c r="B1065" s="6" t="str">
        <f>IFERROR(__xludf.DUMMYFUNCTION("""COMPUTED_VALUE"""),"QAS")</f>
        <v>QAS</v>
      </c>
      <c r="C1065" s="6" t="str">
        <f>IFERROR(__xludf.DUMMYFUNCTION("""COMPUTED_VALUE"""),"P-14998-00")</f>
        <v>P-14998-00</v>
      </c>
      <c r="D1065" s="6" t="str">
        <f>IFERROR(__xludf.DUMMYFUNCTION("""COMPUTED_VALUE"""),"Room Press. Monitoring, P/N. 547-104A; ; ;")</f>
        <v>Room Press. Monitoring, P/N. 547-104A; ; ;</v>
      </c>
      <c r="E1065" s="6">
        <f>IFERROR(__xludf.DUMMYFUNCTION("""COMPUTED_VALUE"""),1.0)</f>
        <v>1</v>
      </c>
      <c r="F1065" s="6">
        <f>IFERROR(__xludf.DUMMYFUNCTION("""COMPUTED_VALUE"""),1.0)</f>
        <v>1</v>
      </c>
      <c r="G1065" s="6">
        <f>IFERROR(__xludf.DUMMYFUNCTION("""COMPUTED_VALUE"""),0.0)</f>
        <v>0</v>
      </c>
      <c r="H1065" s="6" t="str">
        <f>IFERROR(__xludf.DUMMYFUNCTION("""COMPUTED_VALUE"""),"pcs")</f>
        <v>pcs</v>
      </c>
      <c r="I1065" s="6" t="str">
        <f>IFERROR(__xludf.DUMMYFUNCTION("""COMPUTED_VALUE"""),"MFH")</f>
        <v>MFH</v>
      </c>
      <c r="J1065" s="6" t="str">
        <f>IFERROR(__xludf.DUMMYFUNCTION("""COMPUTED_VALUE"""),"-")</f>
        <v>-</v>
      </c>
      <c r="K1065" s="6" t="str">
        <f>IFERROR(__xludf.DUMMYFUNCTION("""COMPUTED_VALUE"""),"SPR/08/24/016")</f>
        <v>SPR/08/24/016</v>
      </c>
      <c r="L1065" s="13">
        <f>IFERROR(__xludf.DUMMYFUNCTION("""COMPUTED_VALUE"""),45534.0)</f>
        <v>45534</v>
      </c>
    </row>
    <row r="1066">
      <c r="A1066" s="6" t="str">
        <f>IFERROR(__xludf.DUMMYFUNCTION("""COMPUTED_VALUE"""),"MOB")</f>
        <v>MOB</v>
      </c>
      <c r="B1066" s="6" t="str">
        <f>IFERROR(__xludf.DUMMYFUNCTION("""COMPUTED_VALUE"""),"ENG")</f>
        <v>ENG</v>
      </c>
      <c r="C1066" s="6" t="str">
        <f>IFERROR(__xludf.DUMMYFUNCTION("""COMPUTED_VALUE"""),"P-51785-00")</f>
        <v>P-51785-00</v>
      </c>
      <c r="D1066" s="6" t="str">
        <f>IFERROR(__xludf.DUMMYFUNCTION("""COMPUTED_VALUE"""),"Lampu Phillips PHP LED; 710 7w E27 White 220-240v")</f>
        <v>Lampu Phillips PHP LED; 710 7w E27 White 220-240v</v>
      </c>
      <c r="E1066" s="6">
        <f>IFERROR(__xludf.DUMMYFUNCTION("""COMPUTED_VALUE"""),2.0)</f>
        <v>2</v>
      </c>
      <c r="F1066" s="6">
        <f>IFERROR(__xludf.DUMMYFUNCTION("""COMPUTED_VALUE"""),2.0)</f>
        <v>2</v>
      </c>
      <c r="G1066" s="6">
        <f>IFERROR(__xludf.DUMMYFUNCTION("""COMPUTED_VALUE"""),0.0)</f>
        <v>0</v>
      </c>
      <c r="H1066" s="6" t="str">
        <f>IFERROR(__xludf.DUMMYFUNCTION("""COMPUTED_VALUE"""),"pcs")</f>
        <v>pcs</v>
      </c>
      <c r="I1066" s="6" t="str">
        <f>IFERROR(__xludf.DUMMYFUNCTION("""COMPUTED_VALUE"""),"MFH")</f>
        <v>MFH</v>
      </c>
      <c r="J1066" s="6" t="str">
        <f>IFERROR(__xludf.DUMMYFUNCTION("""COMPUTED_VALUE"""),"AHU")</f>
        <v>AHU</v>
      </c>
      <c r="K1066" s="6" t="str">
        <f>IFERROR(__xludf.DUMMYFUNCTION("""COMPUTED_VALUE"""),"SPR/08/24/017")</f>
        <v>SPR/08/24/017</v>
      </c>
      <c r="L1066" s="13">
        <f>IFERROR(__xludf.DUMMYFUNCTION("""COMPUTED_VALUE"""),45534.0)</f>
        <v>45534</v>
      </c>
    </row>
    <row r="1067">
      <c r="A1067" s="6" t="str">
        <f>IFERROR(__xludf.DUMMYFUNCTION("""COMPUTED_VALUE"""),"MOB")</f>
        <v>MOB</v>
      </c>
      <c r="B1067" s="6" t="str">
        <f>IFERROR(__xludf.DUMMYFUNCTION("""COMPUTED_VALUE"""),"ENG")</f>
        <v>ENG</v>
      </c>
      <c r="C1067" s="6" t="str">
        <f>IFERROR(__xludf.DUMMYFUNCTION("""COMPUTED_VALUE"""),"P-51785-00")</f>
        <v>P-51785-00</v>
      </c>
      <c r="D1067" s="6" t="str">
        <f>IFERROR(__xludf.DUMMYFUNCTION("""COMPUTED_VALUE"""),"Lampu Phillips PHP LED; 710 7w E27 White 220-240v")</f>
        <v>Lampu Phillips PHP LED; 710 7w E27 White 220-240v</v>
      </c>
      <c r="E1067" s="6">
        <f>IFERROR(__xludf.DUMMYFUNCTION("""COMPUTED_VALUE"""),1.0)</f>
        <v>1</v>
      </c>
      <c r="F1067" s="6">
        <f>IFERROR(__xludf.DUMMYFUNCTION("""COMPUTED_VALUE"""),1.0)</f>
        <v>1</v>
      </c>
      <c r="G1067" s="6">
        <f>IFERROR(__xludf.DUMMYFUNCTION("""COMPUTED_VALUE"""),0.0)</f>
        <v>0</v>
      </c>
      <c r="H1067" s="6" t="str">
        <f>IFERROR(__xludf.DUMMYFUNCTION("""COMPUTED_VALUE"""),"pcs")</f>
        <v>pcs</v>
      </c>
      <c r="I1067" s="6" t="str">
        <f>IFERROR(__xludf.DUMMYFUNCTION("""COMPUTED_VALUE"""),"MFH")</f>
        <v>MFH</v>
      </c>
      <c r="J1067" s="6" t="str">
        <f>IFERROR(__xludf.DUMMYFUNCTION("""COMPUTED_VALUE"""),"AHU")</f>
        <v>AHU</v>
      </c>
      <c r="K1067" s="6" t="str">
        <f>IFERROR(__xludf.DUMMYFUNCTION("""COMPUTED_VALUE"""),"SPR/08/24/017")</f>
        <v>SPR/08/24/017</v>
      </c>
      <c r="L1067" s="13">
        <f>IFERROR(__xludf.DUMMYFUNCTION("""COMPUTED_VALUE"""),45534.0)</f>
        <v>45534</v>
      </c>
    </row>
    <row r="1068">
      <c r="A1068" s="6" t="str">
        <f>IFERROR(__xludf.DUMMYFUNCTION("""COMPUTED_VALUE"""),"NDS")</f>
        <v>NDS</v>
      </c>
      <c r="B1068" s="6" t="str">
        <f>IFERROR(__xludf.DUMMYFUNCTION("""COMPUTED_VALUE"""),"ENG")</f>
        <v>ENG</v>
      </c>
      <c r="C1068" s="6" t="str">
        <f>IFERROR(__xludf.DUMMYFUNCTION("""COMPUTED_VALUE"""),"Q-60003-00")</f>
        <v>Q-60003-00</v>
      </c>
      <c r="D1068" s="6" t="str">
        <f>IFERROR(__xludf.DUMMYFUNCTION("""COMPUTED_VALUE"""),"Plakband Kertas")</f>
        <v>Plakband Kertas</v>
      </c>
      <c r="E1068" s="6">
        <f>IFERROR(__xludf.DUMMYFUNCTION("""COMPUTED_VALUE"""),25.0)</f>
        <v>25</v>
      </c>
      <c r="F1068" s="6">
        <f>IFERROR(__xludf.DUMMYFUNCTION("""COMPUTED_VALUE"""),3.0)</f>
        <v>3</v>
      </c>
      <c r="G1068" s="6">
        <f>IFERROR(__xludf.DUMMYFUNCTION("""COMPUTED_VALUE"""),0.0)</f>
        <v>0</v>
      </c>
      <c r="H1068" s="6" t="str">
        <f>IFERROR(__xludf.DUMMYFUNCTION("""COMPUTED_VALUE"""),"pcs")</f>
        <v>pcs</v>
      </c>
      <c r="I1068" s="6" t="str">
        <f>IFERROR(__xludf.DUMMYFUNCTION("""COMPUTED_VALUE"""),"MFH")</f>
        <v>MFH</v>
      </c>
      <c r="J1068" s="6" t="str">
        <f>IFERROR(__xludf.DUMMYFUNCTION("""COMPUTED_VALUE"""),"Capping")</f>
        <v>Capping</v>
      </c>
      <c r="K1068" s="6" t="str">
        <f>IFERROR(__xludf.DUMMYFUNCTION("""COMPUTED_VALUE"""),"SPR/08/24/018")</f>
        <v>SPR/08/24/018</v>
      </c>
      <c r="L1068" s="13">
        <f>IFERROR(__xludf.DUMMYFUNCTION("""COMPUTED_VALUE"""),45534.0)</f>
        <v>45534</v>
      </c>
    </row>
    <row r="1069">
      <c r="A1069" s="6" t="str">
        <f>IFERROR(__xludf.DUMMYFUNCTION("""COMPUTED_VALUE"""),"NDS")</f>
        <v>NDS</v>
      </c>
      <c r="B1069" s="6" t="str">
        <f>IFERROR(__xludf.DUMMYFUNCTION("""COMPUTED_VALUE"""),"ENG")</f>
        <v>ENG</v>
      </c>
      <c r="C1069" s="6" t="str">
        <f>IFERROR(__xludf.DUMMYFUNCTION("""COMPUTED_VALUE"""),"Q-60503-00")</f>
        <v>Q-60503-00</v>
      </c>
      <c r="D1069" s="6" t="str">
        <f>IFERROR(__xludf.DUMMYFUNCTION("""COMPUTED_VALUE"""),"Silicone Sealant, Silglaze, Type N10 Grey, pack size per pcs")</f>
        <v>Silicone Sealant, Silglaze, Type N10 Grey, pack size per pcs</v>
      </c>
      <c r="E1069" s="6">
        <f>IFERROR(__xludf.DUMMYFUNCTION("""COMPUTED_VALUE"""),1.0)</f>
        <v>1</v>
      </c>
      <c r="F1069" s="6">
        <f>IFERROR(__xludf.DUMMYFUNCTION("""COMPUTED_VALUE"""),1.0)</f>
        <v>1</v>
      </c>
      <c r="G1069" s="6">
        <f>IFERROR(__xludf.DUMMYFUNCTION("""COMPUTED_VALUE"""),0.0)</f>
        <v>0</v>
      </c>
      <c r="H1069" s="6" t="str">
        <f>IFERROR(__xludf.DUMMYFUNCTION("""COMPUTED_VALUE"""),"pcs")</f>
        <v>pcs</v>
      </c>
      <c r="I1069" s="6" t="str">
        <f>IFERROR(__xludf.DUMMYFUNCTION("""COMPUTED_VALUE"""),"MFH")</f>
        <v>MFH</v>
      </c>
      <c r="J1069" s="6" t="str">
        <f>IFERROR(__xludf.DUMMYFUNCTION("""COMPUTED_VALUE"""),"Capping")</f>
        <v>Capping</v>
      </c>
      <c r="K1069" s="6" t="str">
        <f>IFERROR(__xludf.DUMMYFUNCTION("""COMPUTED_VALUE"""),"SPR/08/24/018")</f>
        <v>SPR/08/24/018</v>
      </c>
      <c r="L1069" s="13">
        <f>IFERROR(__xludf.DUMMYFUNCTION("""COMPUTED_VALUE"""),45534.0)</f>
        <v>45534</v>
      </c>
    </row>
    <row r="1070">
      <c r="A1070" s="6" t="str">
        <f>IFERROR(__xludf.DUMMYFUNCTION("""COMPUTED_VALUE"""),"MOB")</f>
        <v>MOB</v>
      </c>
      <c r="B1070" s="6" t="str">
        <f>IFERROR(__xludf.DUMMYFUNCTION("""COMPUTED_VALUE"""),"ENG")</f>
        <v>ENG</v>
      </c>
      <c r="C1070" s="6" t="str">
        <f>IFERROR(__xludf.DUMMYFUNCTION("""COMPUTED_VALUE"""),"P-51785-00")</f>
        <v>P-51785-00</v>
      </c>
      <c r="D1070" s="6" t="str">
        <f>IFERROR(__xludf.DUMMYFUNCTION("""COMPUTED_VALUE"""),"Lampu Phillips PHP LED; 710 7w E27 White 220-240v")</f>
        <v>Lampu Phillips PHP LED; 710 7w E27 White 220-240v</v>
      </c>
      <c r="E1070" s="6">
        <f>IFERROR(__xludf.DUMMYFUNCTION("""COMPUTED_VALUE"""),3.0)</f>
        <v>3</v>
      </c>
      <c r="F1070" s="6">
        <f>IFERROR(__xludf.DUMMYFUNCTION("""COMPUTED_VALUE"""),3.0)</f>
        <v>3</v>
      </c>
      <c r="G1070" s="6">
        <f>IFERROR(__xludf.DUMMYFUNCTION("""COMPUTED_VALUE"""),0.0)</f>
        <v>0</v>
      </c>
      <c r="H1070" s="6" t="str">
        <f>IFERROR(__xludf.DUMMYFUNCTION("""COMPUTED_VALUE"""),"pcs")</f>
        <v>pcs</v>
      </c>
      <c r="I1070" s="6" t="str">
        <f>IFERROR(__xludf.DUMMYFUNCTION("""COMPUTED_VALUE"""),"MFH")</f>
        <v>MFH</v>
      </c>
      <c r="J1070" s="6" t="str">
        <f>IFERROR(__xludf.DUMMYFUNCTION("""COMPUTED_VALUE"""),"Building")</f>
        <v>Building</v>
      </c>
      <c r="K1070" s="6" t="str">
        <f>IFERROR(__xludf.DUMMYFUNCTION("""COMPUTED_VALUE"""),"SPR/08/24/019")</f>
        <v>SPR/08/24/019</v>
      </c>
      <c r="L1070" s="13">
        <f>IFERROR(__xludf.DUMMYFUNCTION("""COMPUTED_VALUE"""),45534.0)</f>
        <v>45534</v>
      </c>
    </row>
    <row r="1071">
      <c r="A1071" s="6" t="str">
        <f>IFERROR(__xludf.DUMMYFUNCTION("""COMPUTED_VALUE"""),"SHF")</f>
        <v>SHF</v>
      </c>
      <c r="B1071" s="6" t="str">
        <f>IFERROR(__xludf.DUMMYFUNCTION("""COMPUTED_VALUE"""),"ENG")</f>
        <v>ENG</v>
      </c>
      <c r="C1071" s="6" t="str">
        <f>IFERROR(__xludf.DUMMYFUNCTION("""COMPUTED_VALUE"""),"P-51559-00")</f>
        <v>P-51559-00</v>
      </c>
      <c r="D1071" s="6" t="str">
        <f>IFERROR(__xludf.DUMMYFUNCTION("""COMPUTED_VALUE"""),"Lampu T5 14watt Putih; Phillips; ;")</f>
        <v>Lampu T5 14watt Putih; Phillips; ;</v>
      </c>
      <c r="E1071" s="6">
        <f>IFERROR(__xludf.DUMMYFUNCTION("""COMPUTED_VALUE"""),8.0)</f>
        <v>8</v>
      </c>
      <c r="F1071" s="6">
        <f>IFERROR(__xludf.DUMMYFUNCTION("""COMPUTED_VALUE"""),8.0)</f>
        <v>8</v>
      </c>
      <c r="G1071" s="6">
        <f>IFERROR(__xludf.DUMMYFUNCTION("""COMPUTED_VALUE"""),0.0)</f>
        <v>0</v>
      </c>
      <c r="H1071" s="6" t="str">
        <f>IFERROR(__xludf.DUMMYFUNCTION("""COMPUTED_VALUE"""),"pcs")</f>
        <v>pcs</v>
      </c>
      <c r="I1071" s="6" t="str">
        <f>IFERROR(__xludf.DUMMYFUNCTION("""COMPUTED_VALUE"""),"MFH")</f>
        <v>MFH</v>
      </c>
      <c r="J1071" s="6" t="str">
        <f>IFERROR(__xludf.DUMMYFUNCTION("""COMPUTED_VALUE"""),"Building")</f>
        <v>Building</v>
      </c>
      <c r="K1071" s="6" t="str">
        <f>IFERROR(__xludf.DUMMYFUNCTION("""COMPUTED_VALUE"""),"SPR/08/24/020")</f>
        <v>SPR/08/24/020</v>
      </c>
      <c r="L1071" s="13">
        <f>IFERROR(__xludf.DUMMYFUNCTION("""COMPUTED_VALUE"""),45534.0)</f>
        <v>45534</v>
      </c>
    </row>
    <row r="1072">
      <c r="A1072" s="6" t="str">
        <f>IFERROR(__xludf.DUMMYFUNCTION("""COMPUTED_VALUE"""),"SHF")</f>
        <v>SHF</v>
      </c>
      <c r="B1072" s="6" t="str">
        <f>IFERROR(__xludf.DUMMYFUNCTION("""COMPUTED_VALUE"""),"ENG")</f>
        <v>ENG</v>
      </c>
      <c r="C1072" s="6" t="str">
        <f>IFERROR(__xludf.DUMMYFUNCTION("""COMPUTED_VALUE"""),"P-53102-00")</f>
        <v>P-53102-00</v>
      </c>
      <c r="D1072" s="6" t="str">
        <f>IFERROR(__xludf.DUMMYFUNCTION("""COMPUTED_VALUE"""),"Lampu PLC 13watt/E27 Putih; Phillips; ;")</f>
        <v>Lampu PLC 13watt/E27 Putih; Phillips; ;</v>
      </c>
      <c r="E1072" s="6">
        <f>IFERROR(__xludf.DUMMYFUNCTION("""COMPUTED_VALUE"""),9.0)</f>
        <v>9</v>
      </c>
      <c r="F1072" s="6">
        <f>IFERROR(__xludf.DUMMYFUNCTION("""COMPUTED_VALUE"""),5.0)</f>
        <v>5</v>
      </c>
      <c r="G1072" s="6">
        <f>IFERROR(__xludf.DUMMYFUNCTION("""COMPUTED_VALUE"""),0.0)</f>
        <v>0</v>
      </c>
      <c r="H1072" s="6" t="str">
        <f>IFERROR(__xludf.DUMMYFUNCTION("""COMPUTED_VALUE"""),"pcs")</f>
        <v>pcs</v>
      </c>
      <c r="I1072" s="6" t="str">
        <f>IFERROR(__xludf.DUMMYFUNCTION("""COMPUTED_VALUE"""),"MFH")</f>
        <v>MFH</v>
      </c>
      <c r="J1072" s="6" t="str">
        <f>IFERROR(__xludf.DUMMYFUNCTION("""COMPUTED_VALUE"""),"Building")</f>
        <v>Building</v>
      </c>
      <c r="K1072" s="6" t="str">
        <f>IFERROR(__xludf.DUMMYFUNCTION("""COMPUTED_VALUE"""),"SPR/08/24/020")</f>
        <v>SPR/08/24/020</v>
      </c>
      <c r="L1072" s="13">
        <f>IFERROR(__xludf.DUMMYFUNCTION("""COMPUTED_VALUE"""),45534.0)</f>
        <v>45534</v>
      </c>
    </row>
    <row r="1073">
      <c r="A1073" s="6" t="str">
        <f>IFERROR(__xludf.DUMMYFUNCTION("""COMPUTED_VALUE"""),"BFN")</f>
        <v>BFN</v>
      </c>
      <c r="B1073" s="6" t="str">
        <f>IFERROR(__xludf.DUMMYFUNCTION("""COMPUTED_VALUE"""),"PRO")</f>
        <v>PRO</v>
      </c>
      <c r="C1073" s="6" t="str">
        <f>IFERROR(__xludf.DUMMYFUNCTION("""COMPUTED_VALUE"""),"P-17562-00")</f>
        <v>P-17562-00</v>
      </c>
      <c r="D1073" s="6" t="str">
        <f>IFERROR(__xludf.DUMMYFUNCTION("""COMPUTED_VALUE"""),"SIGMA - Mounting Base 20x20mm; ; ;")</f>
        <v>SIGMA - Mounting Base 20x20mm; ; ;</v>
      </c>
      <c r="E1073" s="6">
        <f>IFERROR(__xludf.DUMMYFUNCTION("""COMPUTED_VALUE"""),1.0)</f>
        <v>1</v>
      </c>
      <c r="F1073" s="6">
        <f>IFERROR(__xludf.DUMMYFUNCTION("""COMPUTED_VALUE"""),1.0)</f>
        <v>1</v>
      </c>
      <c r="G1073" s="6">
        <f>IFERROR(__xludf.DUMMYFUNCTION("""COMPUTED_VALUE"""),0.0)</f>
        <v>0</v>
      </c>
      <c r="H1073" s="6" t="str">
        <f>IFERROR(__xludf.DUMMYFUNCTION("""COMPUTED_VALUE"""),"pck")</f>
        <v>pck</v>
      </c>
      <c r="I1073" s="6" t="str">
        <f>IFERROR(__xludf.DUMMYFUNCTION("""COMPUTED_VALUE"""),"MFH")</f>
        <v>MFH</v>
      </c>
      <c r="J1073" s="6" t="str">
        <f>IFERROR(__xludf.DUMMYFUNCTION("""COMPUTED_VALUE"""),"OSD")</f>
        <v>OSD</v>
      </c>
      <c r="K1073" s="6" t="str">
        <f>IFERROR(__xludf.DUMMYFUNCTION("""COMPUTED_VALUE"""),"SPR/08/24/021")</f>
        <v>SPR/08/24/021</v>
      </c>
      <c r="L1073" s="13">
        <f>IFERROR(__xludf.DUMMYFUNCTION("""COMPUTED_VALUE"""),45534.0)</f>
        <v>45534</v>
      </c>
    </row>
    <row r="1074">
      <c r="A1074" s="6" t="str">
        <f>IFERROR(__xludf.DUMMYFUNCTION("""COMPUTED_VALUE"""),"NDS")</f>
        <v>NDS</v>
      </c>
      <c r="B1074" s="6" t="str">
        <f>IFERROR(__xludf.DUMMYFUNCTION("""COMPUTED_VALUE"""),"ENG")</f>
        <v>ENG</v>
      </c>
      <c r="C1074" s="6" t="str">
        <f>IFERROR(__xludf.DUMMYFUNCTION("""COMPUTED_VALUE"""),"P-11991-00")</f>
        <v>P-11991-00</v>
      </c>
      <c r="D1074" s="6" t="str">
        <f>IFERROR(__xludf.DUMMYFUNCTION("""COMPUTED_VALUE"""),"Cabble Ties 200L")</f>
        <v>Cabble Ties 200L</v>
      </c>
      <c r="E1074" s="6">
        <f>IFERROR(__xludf.DUMMYFUNCTION("""COMPUTED_VALUE"""),6.0)</f>
        <v>6</v>
      </c>
      <c r="F1074" s="6">
        <f>IFERROR(__xludf.DUMMYFUNCTION("""COMPUTED_VALUE"""),2.0)</f>
        <v>2</v>
      </c>
      <c r="G1074" s="6">
        <f>IFERROR(__xludf.DUMMYFUNCTION("""COMPUTED_VALUE"""),0.0)</f>
        <v>0</v>
      </c>
      <c r="H1074" s="6" t="str">
        <f>IFERROR(__xludf.DUMMYFUNCTION("""COMPUTED_VALUE"""),"pck")</f>
        <v>pck</v>
      </c>
      <c r="I1074" s="6" t="str">
        <f>IFERROR(__xludf.DUMMYFUNCTION("""COMPUTED_VALUE"""),"MFH")</f>
        <v>MFH</v>
      </c>
      <c r="J1074" s="6" t="str">
        <f>IFERROR(__xludf.DUMMYFUNCTION("""COMPUTED_VALUE"""),"Building")</f>
        <v>Building</v>
      </c>
      <c r="K1074" s="6" t="str">
        <f>IFERROR(__xludf.DUMMYFUNCTION("""COMPUTED_VALUE"""),"SPR/08/24/022")</f>
        <v>SPR/08/24/022</v>
      </c>
      <c r="L1074" s="13">
        <f>IFERROR(__xludf.DUMMYFUNCTION("""COMPUTED_VALUE"""),45534.0)</f>
        <v>45534</v>
      </c>
    </row>
    <row r="1075">
      <c r="A1075" s="6" t="str">
        <f>IFERROR(__xludf.DUMMYFUNCTION("""COMPUTED_VALUE"""),"ANO")</f>
        <v>ANO</v>
      </c>
      <c r="B1075" s="6" t="str">
        <f>IFERROR(__xludf.DUMMYFUNCTION("""COMPUTED_VALUE"""),"ENG")</f>
        <v>ENG</v>
      </c>
      <c r="C1075" s="6" t="str">
        <f>IFERROR(__xludf.DUMMYFUNCTION("""COMPUTED_VALUE"""),"P-11990-00")</f>
        <v>P-11990-00</v>
      </c>
      <c r="D1075" s="6" t="str">
        <f>IFERROR(__xludf.DUMMYFUNCTION("""COMPUTED_VALUE"""),"Cable ties CS 100L")</f>
        <v>Cable ties CS 100L</v>
      </c>
      <c r="E1075" s="6">
        <f>IFERROR(__xludf.DUMMYFUNCTION("""COMPUTED_VALUE"""),1.0)</f>
        <v>1</v>
      </c>
      <c r="F1075" s="6">
        <f>IFERROR(__xludf.DUMMYFUNCTION("""COMPUTED_VALUE"""),1.0)</f>
        <v>1</v>
      </c>
      <c r="G1075" s="6">
        <f>IFERROR(__xludf.DUMMYFUNCTION("""COMPUTED_VALUE"""),0.0)</f>
        <v>0</v>
      </c>
      <c r="H1075" s="6" t="str">
        <f>IFERROR(__xludf.DUMMYFUNCTION("""COMPUTED_VALUE"""),"pck")</f>
        <v>pck</v>
      </c>
      <c r="I1075" s="6" t="str">
        <f>IFERROR(__xludf.DUMMYFUNCTION("""COMPUTED_VALUE"""),"MFH")</f>
        <v>MFH</v>
      </c>
      <c r="J1075" s="6" t="str">
        <f>IFERROR(__xludf.DUMMYFUNCTION("""COMPUTED_VALUE"""),"Blistering")</f>
        <v>Blistering</v>
      </c>
      <c r="K1075" s="6" t="str">
        <f>IFERROR(__xludf.DUMMYFUNCTION("""COMPUTED_VALUE"""),"SPR/08/24/023")</f>
        <v>SPR/08/24/023</v>
      </c>
      <c r="L1075" s="13">
        <f>IFERROR(__xludf.DUMMYFUNCTION("""COMPUTED_VALUE"""),45534.0)</f>
        <v>45534</v>
      </c>
    </row>
    <row r="1076">
      <c r="A1076" s="6" t="str">
        <f>IFERROR(__xludf.DUMMYFUNCTION("""COMPUTED_VALUE"""),"ANO")</f>
        <v>ANO</v>
      </c>
      <c r="B1076" s="6" t="str">
        <f>IFERROR(__xludf.DUMMYFUNCTION("""COMPUTED_VALUE"""),"ENG")</f>
        <v>ENG</v>
      </c>
      <c r="C1076" s="6" t="str">
        <f>IFERROR(__xludf.DUMMYFUNCTION("""COMPUTED_VALUE"""),"O-15931-00")</f>
        <v>O-15931-00</v>
      </c>
      <c r="D1076" s="6" t="str">
        <f>IFERROR(__xludf.DUMMYFUNCTION("""COMPUTED_VALUE"""),"Double Tape 3M 1"" Merah - P/N : - pc")</f>
        <v>Double Tape 3M 1" Merah - P/N : - pc</v>
      </c>
      <c r="E1076" s="6">
        <f>IFERROR(__xludf.DUMMYFUNCTION("""COMPUTED_VALUE"""),2.0)</f>
        <v>2</v>
      </c>
      <c r="F1076" s="6">
        <f>IFERROR(__xludf.DUMMYFUNCTION("""COMPUTED_VALUE"""),1.0)</f>
        <v>1</v>
      </c>
      <c r="G1076" s="6">
        <f>IFERROR(__xludf.DUMMYFUNCTION("""COMPUTED_VALUE"""),0.0)</f>
        <v>0</v>
      </c>
      <c r="H1076" s="6" t="str">
        <f>IFERROR(__xludf.DUMMYFUNCTION("""COMPUTED_VALUE"""),"pcs")</f>
        <v>pcs</v>
      </c>
      <c r="I1076" s="6" t="str">
        <f>IFERROR(__xludf.DUMMYFUNCTION("""COMPUTED_VALUE"""),"MFH")</f>
        <v>MFH</v>
      </c>
      <c r="J1076" s="6" t="str">
        <f>IFERROR(__xludf.DUMMYFUNCTION("""COMPUTED_VALUE"""),"Blistering")</f>
        <v>Blistering</v>
      </c>
      <c r="K1076" s="6" t="str">
        <f>IFERROR(__xludf.DUMMYFUNCTION("""COMPUTED_VALUE"""),"SPR/08/24/023")</f>
        <v>SPR/08/24/023</v>
      </c>
      <c r="L1076" s="13">
        <f>IFERROR(__xludf.DUMMYFUNCTION("""COMPUTED_VALUE"""),45534.0)</f>
        <v>45534</v>
      </c>
    </row>
    <row r="1077">
      <c r="A1077" s="6" t="str">
        <f>IFERROR(__xludf.DUMMYFUNCTION("""COMPUTED_VALUE"""),"BFN")</f>
        <v>BFN</v>
      </c>
      <c r="B1077" s="6" t="str">
        <f>IFERROR(__xludf.DUMMYFUNCTION("""COMPUTED_VALUE"""),"PRO")</f>
        <v>PRO</v>
      </c>
      <c r="C1077" s="6" t="str">
        <f>IFERROR(__xludf.DUMMYFUNCTION("""COMPUTED_VALUE"""),"P-12282-00")</f>
        <v>P-12282-00</v>
      </c>
      <c r="D1077" s="6" t="str">
        <f>IFERROR(__xludf.DUMMYFUNCTION("""COMPUTED_VALUE"""),"FESTO - QS-12-10 Push in Connector p/n: 153040")</f>
        <v>FESTO - QS-12-10 Push in Connector p/n: 153040</v>
      </c>
      <c r="E1077" s="6">
        <f>IFERROR(__xludf.DUMMYFUNCTION("""COMPUTED_VALUE"""),1.0)</f>
        <v>1</v>
      </c>
      <c r="F1077" s="6">
        <f>IFERROR(__xludf.DUMMYFUNCTION("""COMPUTED_VALUE"""),1.0)</f>
        <v>1</v>
      </c>
      <c r="G1077" s="6">
        <f>IFERROR(__xludf.DUMMYFUNCTION("""COMPUTED_VALUE"""),0.0)</f>
        <v>0</v>
      </c>
      <c r="H1077" s="6" t="str">
        <f>IFERROR(__xludf.DUMMYFUNCTION("""COMPUTED_VALUE"""),"pcs")</f>
        <v>pcs</v>
      </c>
      <c r="I1077" s="6" t="str">
        <f>IFERROR(__xludf.DUMMYFUNCTION("""COMPUTED_VALUE"""),"MFH")</f>
        <v>MFH</v>
      </c>
      <c r="J1077" s="6" t="str">
        <f>IFERROR(__xludf.DUMMYFUNCTION("""COMPUTED_VALUE"""),"Blistering")</f>
        <v>Blistering</v>
      </c>
      <c r="K1077" s="6" t="str">
        <f>IFERROR(__xludf.DUMMYFUNCTION("""COMPUTED_VALUE"""),"SPR/08/24/024")</f>
        <v>SPR/08/24/024</v>
      </c>
      <c r="L1077" s="13">
        <f>IFERROR(__xludf.DUMMYFUNCTION("""COMPUTED_VALUE"""),45534.0)</f>
        <v>45534</v>
      </c>
    </row>
    <row r="1078">
      <c r="A1078" s="6" t="str">
        <f>IFERROR(__xludf.DUMMYFUNCTION("""COMPUTED_VALUE"""),"BFN")</f>
        <v>BFN</v>
      </c>
      <c r="B1078" s="6" t="str">
        <f>IFERROR(__xludf.DUMMYFUNCTION("""COMPUTED_VALUE"""),"PRO")</f>
        <v>PRO</v>
      </c>
      <c r="C1078" s="6" t="str">
        <f>IFERROR(__xludf.DUMMYFUNCTION("""COMPUTED_VALUE"""),"P-11185-00")</f>
        <v>P-11185-00</v>
      </c>
      <c r="D1078" s="6" t="str">
        <f>IFERROR(__xludf.DUMMYFUNCTION("""COMPUTED_VALUE"""),"Pneumatic Fitting - QS 8-6 / Festo")</f>
        <v>Pneumatic Fitting - QS 8-6 / Festo</v>
      </c>
      <c r="E1078" s="6">
        <f>IFERROR(__xludf.DUMMYFUNCTION("""COMPUTED_VALUE"""),5.0)</f>
        <v>5</v>
      </c>
      <c r="F1078" s="6">
        <f>IFERROR(__xludf.DUMMYFUNCTION("""COMPUTED_VALUE"""),1.0)</f>
        <v>1</v>
      </c>
      <c r="G1078" s="6">
        <f>IFERROR(__xludf.DUMMYFUNCTION("""COMPUTED_VALUE"""),0.0)</f>
        <v>0</v>
      </c>
      <c r="H1078" s="6" t="str">
        <f>IFERROR(__xludf.DUMMYFUNCTION("""COMPUTED_VALUE"""),"pcs")</f>
        <v>pcs</v>
      </c>
      <c r="I1078" s="6" t="str">
        <f>IFERROR(__xludf.DUMMYFUNCTION("""COMPUTED_VALUE"""),"MFH")</f>
        <v>MFH</v>
      </c>
      <c r="J1078" s="6" t="str">
        <f>IFERROR(__xludf.DUMMYFUNCTION("""COMPUTED_VALUE"""),"Blistering")</f>
        <v>Blistering</v>
      </c>
      <c r="K1078" s="6" t="str">
        <f>IFERROR(__xludf.DUMMYFUNCTION("""COMPUTED_VALUE"""),"SPR/08/24/024")</f>
        <v>SPR/08/24/024</v>
      </c>
      <c r="L1078" s="13">
        <f>IFERROR(__xludf.DUMMYFUNCTION("""COMPUTED_VALUE"""),45534.0)</f>
        <v>45534</v>
      </c>
    </row>
    <row r="1079">
      <c r="A1079" s="6" t="str">
        <f>IFERROR(__xludf.DUMMYFUNCTION("""COMPUTED_VALUE"""),"BFN")</f>
        <v>BFN</v>
      </c>
      <c r="B1079" s="6" t="str">
        <f>IFERROR(__xludf.DUMMYFUNCTION("""COMPUTED_VALUE"""),"PRO")</f>
        <v>PRO</v>
      </c>
      <c r="C1079" s="6" t="str">
        <f>IFERROR(__xludf.DUMMYFUNCTION("""COMPUTED_VALUE"""),"P-11431-00")</f>
        <v>P-11431-00</v>
      </c>
      <c r="D1079" s="6" t="str">
        <f>IFERROR(__xludf.DUMMYFUNCTION("""COMPUTED_VALUE"""),"Selang Festo Pun-H-8x1.25 mm Blue NR : 197385")</f>
        <v>Selang Festo Pun-H-8x1.25 mm Blue NR : 197385</v>
      </c>
      <c r="E1079" s="6">
        <f>IFERROR(__xludf.DUMMYFUNCTION("""COMPUTED_VALUE"""),10.0)</f>
        <v>10</v>
      </c>
      <c r="F1079" s="6">
        <f>IFERROR(__xludf.DUMMYFUNCTION("""COMPUTED_VALUE"""),1.0)</f>
        <v>1</v>
      </c>
      <c r="G1079" s="6">
        <f>IFERROR(__xludf.DUMMYFUNCTION("""COMPUTED_VALUE"""),0.0)</f>
        <v>0</v>
      </c>
      <c r="H1079" s="6" t="str">
        <f>IFERROR(__xludf.DUMMYFUNCTION("""COMPUTED_VALUE"""),"Meter")</f>
        <v>Meter</v>
      </c>
      <c r="I1079" s="6" t="str">
        <f>IFERROR(__xludf.DUMMYFUNCTION("""COMPUTED_VALUE"""),"MFH")</f>
        <v>MFH</v>
      </c>
      <c r="J1079" s="6" t="str">
        <f>IFERROR(__xludf.DUMMYFUNCTION("""COMPUTED_VALUE"""),"Blistering")</f>
        <v>Blistering</v>
      </c>
      <c r="K1079" s="6" t="str">
        <f>IFERROR(__xludf.DUMMYFUNCTION("""COMPUTED_VALUE"""),"SPR/08/24/024")</f>
        <v>SPR/08/24/024</v>
      </c>
      <c r="L1079" s="13">
        <f>IFERROR(__xludf.DUMMYFUNCTION("""COMPUTED_VALUE"""),45534.0)</f>
        <v>45534</v>
      </c>
    </row>
    <row r="1080">
      <c r="A1080" s="6" t="str">
        <f>IFERROR(__xludf.DUMMYFUNCTION("""COMPUTED_VALUE"""),"BFN")</f>
        <v>BFN</v>
      </c>
      <c r="B1080" s="6" t="str">
        <f>IFERROR(__xludf.DUMMYFUNCTION("""COMPUTED_VALUE"""),"PRO")</f>
        <v>PRO</v>
      </c>
      <c r="C1080" s="6" t="str">
        <f>IFERROR(__xludf.DUMMYFUNCTION("""COMPUTED_VALUE"""),"P-11422-00")</f>
        <v>P-11422-00</v>
      </c>
      <c r="D1080" s="6" t="str">
        <f>IFERROR(__xludf.DUMMYFUNCTION("""COMPUTED_VALUE"""),"Selang Festo Pun-H-10x1.5 / Blue NR : 197386")</f>
        <v>Selang Festo Pun-H-10x1.5 / Blue NR : 197386</v>
      </c>
      <c r="E1080" s="6">
        <f>IFERROR(__xludf.DUMMYFUNCTION("""COMPUTED_VALUE"""),10.0)</f>
        <v>10</v>
      </c>
      <c r="F1080" s="6">
        <f>IFERROR(__xludf.DUMMYFUNCTION("""COMPUTED_VALUE"""),1.0)</f>
        <v>1</v>
      </c>
      <c r="G1080" s="6">
        <f>IFERROR(__xludf.DUMMYFUNCTION("""COMPUTED_VALUE"""),0.0)</f>
        <v>0</v>
      </c>
      <c r="H1080" s="6" t="str">
        <f>IFERROR(__xludf.DUMMYFUNCTION("""COMPUTED_VALUE"""),"Meter")</f>
        <v>Meter</v>
      </c>
      <c r="I1080" s="6" t="str">
        <f>IFERROR(__xludf.DUMMYFUNCTION("""COMPUTED_VALUE"""),"MFH")</f>
        <v>MFH</v>
      </c>
      <c r="J1080" s="6" t="str">
        <f>IFERROR(__xludf.DUMMYFUNCTION("""COMPUTED_VALUE"""),"Blistering")</f>
        <v>Blistering</v>
      </c>
      <c r="K1080" s="6" t="str">
        <f>IFERROR(__xludf.DUMMYFUNCTION("""COMPUTED_VALUE"""),"SPR/08/24/024")</f>
        <v>SPR/08/24/024</v>
      </c>
      <c r="L1080" s="13">
        <f>IFERROR(__xludf.DUMMYFUNCTION("""COMPUTED_VALUE"""),45534.0)</f>
        <v>45534</v>
      </c>
    </row>
    <row r="1081">
      <c r="A1081" s="6" t="str">
        <f>IFERROR(__xludf.DUMMYFUNCTION("""COMPUTED_VALUE"""),"MOB")</f>
        <v>MOB</v>
      </c>
      <c r="B1081" s="6" t="str">
        <f>IFERROR(__xludf.DUMMYFUNCTION("""COMPUTED_VALUE"""),"ENG")</f>
        <v>ENG</v>
      </c>
      <c r="C1081" s="6" t="str">
        <f>IFERROR(__xludf.DUMMYFUNCTION("""COMPUTED_VALUE"""),"P-15862-00")</f>
        <v>P-15862-00</v>
      </c>
      <c r="D1081" s="6" t="str">
        <f>IFERROR(__xludf.DUMMYFUNCTION("""COMPUTED_VALUE"""),"PAPER RECORD YOKOGAWA; FOLDING CHART B9565AW")</f>
        <v>PAPER RECORD YOKOGAWA; FOLDING CHART B9565AW</v>
      </c>
      <c r="E1081" s="6">
        <f>IFERROR(__xludf.DUMMYFUNCTION("""COMPUTED_VALUE"""),3.0)</f>
        <v>3</v>
      </c>
      <c r="F1081" s="6">
        <f>IFERROR(__xludf.DUMMYFUNCTION("""COMPUTED_VALUE"""),1.0)</f>
        <v>1</v>
      </c>
      <c r="G1081" s="6">
        <f>IFERROR(__xludf.DUMMYFUNCTION("""COMPUTED_VALUE"""),0.0)</f>
        <v>0</v>
      </c>
      <c r="H1081" s="6" t="str">
        <f>IFERROR(__xludf.DUMMYFUNCTION("""COMPUTED_VALUE"""),"pcs")</f>
        <v>pcs</v>
      </c>
      <c r="I1081" s="6" t="str">
        <f>IFERROR(__xludf.DUMMYFUNCTION("""COMPUTED_VALUE"""),"MFH")</f>
        <v>MFH</v>
      </c>
      <c r="J1081" s="6" t="str">
        <f>IFERROR(__xludf.DUMMYFUNCTION("""COMPUTED_VALUE"""),"PW SKID")</f>
        <v>PW SKID</v>
      </c>
      <c r="K1081" s="6" t="str">
        <f>IFERROR(__xludf.DUMMYFUNCTION("""COMPUTED_VALUE"""),"SPR/08/24/025")</f>
        <v>SPR/08/24/025</v>
      </c>
      <c r="L1081" s="13">
        <f>IFERROR(__xludf.DUMMYFUNCTION("""COMPUTED_VALUE"""),45534.0)</f>
        <v>45534</v>
      </c>
    </row>
    <row r="1082">
      <c r="A1082" s="6" t="str">
        <f>IFERROR(__xludf.DUMMYFUNCTION("""COMPUTED_VALUE"""),"RMA")</f>
        <v>RMA</v>
      </c>
      <c r="B1082" s="6" t="str">
        <f>IFERROR(__xludf.DUMMYFUNCTION("""COMPUTED_VALUE"""),"ENG")</f>
        <v>ENG</v>
      </c>
      <c r="C1082" s="6" t="str">
        <f>IFERROR(__xludf.DUMMYFUNCTION("""COMPUTED_VALUE"""),"P-10945-00")</f>
        <v>P-10945-00</v>
      </c>
      <c r="D1082" s="6" t="str">
        <f>IFERROR(__xludf.DUMMYFUNCTION("""COMPUTED_VALUE"""),"Insulation - Seal Tape onda")</f>
        <v>Insulation - Seal Tape onda</v>
      </c>
      <c r="E1082" s="6">
        <f>IFERROR(__xludf.DUMMYFUNCTION("""COMPUTED_VALUE"""),2.0)</f>
        <v>2</v>
      </c>
      <c r="F1082" s="6">
        <f>IFERROR(__xludf.DUMMYFUNCTION("""COMPUTED_VALUE"""),2.0)</f>
        <v>2</v>
      </c>
      <c r="G1082" s="6">
        <f>IFERROR(__xludf.DUMMYFUNCTION("""COMPUTED_VALUE"""),0.0)</f>
        <v>0</v>
      </c>
      <c r="H1082" s="6" t="str">
        <f>IFERROR(__xludf.DUMMYFUNCTION("""COMPUTED_VALUE"""),"pcs")</f>
        <v>pcs</v>
      </c>
      <c r="I1082" s="6" t="str">
        <f>IFERROR(__xludf.DUMMYFUNCTION("""COMPUTED_VALUE"""),"MFH")</f>
        <v>MFH</v>
      </c>
      <c r="J1082" s="6" t="str">
        <f>IFERROR(__xludf.DUMMYFUNCTION("""COMPUTED_VALUE"""),"N2 Gen")</f>
        <v>N2 Gen</v>
      </c>
      <c r="K1082" s="6" t="str">
        <f>IFERROR(__xludf.DUMMYFUNCTION("""COMPUTED_VALUE"""),"SPR/08/24/026")</f>
        <v>SPR/08/24/026</v>
      </c>
      <c r="L1082" s="13">
        <f>IFERROR(__xludf.DUMMYFUNCTION("""COMPUTED_VALUE"""),45534.0)</f>
        <v>45534</v>
      </c>
    </row>
    <row r="1083">
      <c r="A1083" s="6" t="str">
        <f>IFERROR(__xludf.DUMMYFUNCTION("""COMPUTED_VALUE"""),"MOB")</f>
        <v>MOB</v>
      </c>
      <c r="B1083" s="6" t="str">
        <f>IFERROR(__xludf.DUMMYFUNCTION("""COMPUTED_VALUE"""),"ENG")</f>
        <v>ENG</v>
      </c>
      <c r="C1083" s="6" t="str">
        <f>IFERROR(__xludf.DUMMYFUNCTION("""COMPUTED_VALUE"""),"P-52844-00")</f>
        <v>P-52844-00</v>
      </c>
      <c r="D1083" s="6" t="str">
        <f>IFERROR(__xludf.DUMMYFUNCTION("""COMPUTED_VALUE"""),"Doshing Pump BT4B Merk Prominent; ; ;")</f>
        <v>Doshing Pump BT4B Merk Prominent; ; ;</v>
      </c>
      <c r="E1083" s="6">
        <f>IFERROR(__xludf.DUMMYFUNCTION("""COMPUTED_VALUE"""),1.0)</f>
        <v>1</v>
      </c>
      <c r="F1083" s="6">
        <f>IFERROR(__xludf.DUMMYFUNCTION("""COMPUTED_VALUE"""),1.0)</f>
        <v>1</v>
      </c>
      <c r="G1083" s="6">
        <f>IFERROR(__xludf.DUMMYFUNCTION("""COMPUTED_VALUE"""),0.0)</f>
        <v>0</v>
      </c>
      <c r="H1083" s="6" t="str">
        <f>IFERROR(__xludf.DUMMYFUNCTION("""COMPUTED_VALUE"""),"unt")</f>
        <v>unt</v>
      </c>
      <c r="I1083" s="6" t="str">
        <f>IFERROR(__xludf.DUMMYFUNCTION("""COMPUTED_VALUE"""),"MFH")</f>
        <v>MFH</v>
      </c>
      <c r="J1083" s="6" t="str">
        <f>IFERROR(__xludf.DUMMYFUNCTION("""COMPUTED_VALUE"""),"WWTP")</f>
        <v>WWTP</v>
      </c>
      <c r="K1083" s="6" t="str">
        <f>IFERROR(__xludf.DUMMYFUNCTION("""COMPUTED_VALUE"""),"SPR/08/24/027")</f>
        <v>SPR/08/24/027</v>
      </c>
      <c r="L1083" s="13">
        <f>IFERROR(__xludf.DUMMYFUNCTION("""COMPUTED_VALUE"""),45534.0)</f>
        <v>45534</v>
      </c>
    </row>
    <row r="1084">
      <c r="A1084" s="6" t="str">
        <f>IFERROR(__xludf.DUMMYFUNCTION("""COMPUTED_VALUE"""),"INN")</f>
        <v>INN</v>
      </c>
      <c r="B1084" s="6" t="str">
        <f>IFERROR(__xludf.DUMMYFUNCTION("""COMPUTED_VALUE"""),"ENG")</f>
        <v>ENG</v>
      </c>
      <c r="C1084" s="6" t="str">
        <f>IFERROR(__xludf.DUMMYFUNCTION("""COMPUTED_VALUE"""),"O-53093-00")</f>
        <v>O-53093-00</v>
      </c>
      <c r="D1084" s="6" t="str">
        <f>IFERROR(__xludf.DUMMYFUNCTION("""COMPUTED_VALUE"""),"FD S/N MBE1207 - Amplifier SE3AN21RS1603; Aron; ;")</f>
        <v>FD S/N MBE1207 - Amplifier SE3AN21RS1603; Aron; ;</v>
      </c>
      <c r="E1084" s="6">
        <f>IFERROR(__xludf.DUMMYFUNCTION("""COMPUTED_VALUE"""),1.0)</f>
        <v>1</v>
      </c>
      <c r="F1084" s="6">
        <f>IFERROR(__xludf.DUMMYFUNCTION("""COMPUTED_VALUE"""),1.0)</f>
        <v>1</v>
      </c>
      <c r="G1084" s="6">
        <f>IFERROR(__xludf.DUMMYFUNCTION("""COMPUTED_VALUE"""),0.0)</f>
        <v>0</v>
      </c>
      <c r="H1084" s="6" t="str">
        <f>IFERROR(__xludf.DUMMYFUNCTION("""COMPUTED_VALUE"""),"pcs")</f>
        <v>pcs</v>
      </c>
      <c r="I1084" s="6" t="str">
        <f>IFERROR(__xludf.DUMMYFUNCTION("""COMPUTED_VALUE"""),"MFH")</f>
        <v>MFH</v>
      </c>
      <c r="J1084" s="6" t="str">
        <f>IFERROR(__xludf.DUMMYFUNCTION("""COMPUTED_VALUE"""),"FD IMA")</f>
        <v>FD IMA</v>
      </c>
      <c r="K1084" s="6" t="str">
        <f>IFERROR(__xludf.DUMMYFUNCTION("""COMPUTED_VALUE"""),"SPR/08/24/028")</f>
        <v>SPR/08/24/028</v>
      </c>
      <c r="L1084" s="13">
        <f>IFERROR(__xludf.DUMMYFUNCTION("""COMPUTED_VALUE"""),45534.0)</f>
        <v>45534</v>
      </c>
    </row>
    <row r="1085">
      <c r="A1085" s="6" t="str">
        <f>IFERROR(__xludf.DUMMYFUNCTION("""COMPUTED_VALUE"""),"INN")</f>
        <v>INN</v>
      </c>
      <c r="B1085" s="6" t="str">
        <f>IFERROR(__xludf.DUMMYFUNCTION("""COMPUTED_VALUE"""),"ENG")</f>
        <v>ENG</v>
      </c>
      <c r="C1085" s="6" t="str">
        <f>IFERROR(__xludf.DUMMYFUNCTION("""COMPUTED_VALUE"""),"O-19982-00")</f>
        <v>O-19982-00</v>
      </c>
      <c r="D1085" s="6" t="str">
        <f>IFERROR(__xludf.DUMMYFUNCTION("""COMPUTED_VALUE"""),"FD S/N MBE1207 - Directional Valve XDC3C03N1FS42; Aron; ;")</f>
        <v>FD S/N MBE1207 - Directional Valve XDC3C03N1FS42; Aron; ;</v>
      </c>
      <c r="E1085" s="6">
        <f>IFERROR(__xludf.DUMMYFUNCTION("""COMPUTED_VALUE"""),1.0)</f>
        <v>1</v>
      </c>
      <c r="F1085" s="6">
        <f>IFERROR(__xludf.DUMMYFUNCTION("""COMPUTED_VALUE"""),1.0)</f>
        <v>1</v>
      </c>
      <c r="G1085" s="6">
        <f>IFERROR(__xludf.DUMMYFUNCTION("""COMPUTED_VALUE"""),0.0)</f>
        <v>0</v>
      </c>
      <c r="H1085" s="6" t="str">
        <f>IFERROR(__xludf.DUMMYFUNCTION("""COMPUTED_VALUE"""),"pcs")</f>
        <v>pcs</v>
      </c>
      <c r="I1085" s="6" t="str">
        <f>IFERROR(__xludf.DUMMYFUNCTION("""COMPUTED_VALUE"""),"MFH")</f>
        <v>MFH</v>
      </c>
      <c r="J1085" s="6" t="str">
        <f>IFERROR(__xludf.DUMMYFUNCTION("""COMPUTED_VALUE"""),"FD IMA")</f>
        <v>FD IMA</v>
      </c>
      <c r="K1085" s="6" t="str">
        <f>IFERROR(__xludf.DUMMYFUNCTION("""COMPUTED_VALUE"""),"SPR/08/24/028")</f>
        <v>SPR/08/24/028</v>
      </c>
      <c r="L1085" s="13">
        <f>IFERROR(__xludf.DUMMYFUNCTION("""COMPUTED_VALUE"""),45534.0)</f>
        <v>45534</v>
      </c>
    </row>
    <row r="1086">
      <c r="A1086" s="6" t="str">
        <f>IFERROR(__xludf.DUMMYFUNCTION("""COMPUTED_VALUE"""),"INN")</f>
        <v>INN</v>
      </c>
      <c r="B1086" s="6" t="str">
        <f>IFERROR(__xludf.DUMMYFUNCTION("""COMPUTED_VALUE"""),"ENG")</f>
        <v>ENG</v>
      </c>
      <c r="C1086" s="6" t="str">
        <f>IFERROR(__xludf.DUMMYFUNCTION("""COMPUTED_VALUE"""),"O-16731-00")</f>
        <v>O-16731-00</v>
      </c>
      <c r="D1086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1086" s="6">
        <f>IFERROR(__xludf.DUMMYFUNCTION("""COMPUTED_VALUE"""),3.0)</f>
        <v>3</v>
      </c>
      <c r="F1086" s="6">
        <f>IFERROR(__xludf.DUMMYFUNCTION("""COMPUTED_VALUE"""),3.0)</f>
        <v>3</v>
      </c>
      <c r="G1086" s="6">
        <f>IFERROR(__xludf.DUMMYFUNCTION("""COMPUTED_VALUE"""),0.0)</f>
        <v>0</v>
      </c>
      <c r="H1086" s="6" t="str">
        <f>IFERROR(__xludf.DUMMYFUNCTION("""COMPUTED_VALUE"""),"pcs")</f>
        <v>pcs</v>
      </c>
      <c r="I1086" s="6" t="str">
        <f>IFERROR(__xludf.DUMMYFUNCTION("""COMPUTED_VALUE"""),"MFH")</f>
        <v>MFH</v>
      </c>
      <c r="J1086" s="6" t="str">
        <f>IFERROR(__xludf.DUMMYFUNCTION("""COMPUTED_VALUE"""),"Autoclave")</f>
        <v>Autoclave</v>
      </c>
      <c r="K1086" s="6" t="str">
        <f>IFERROR(__xludf.DUMMYFUNCTION("""COMPUTED_VALUE"""),"SPR/08/24/029")</f>
        <v>SPR/08/24/029</v>
      </c>
      <c r="L1086" s="13">
        <f>IFERROR(__xludf.DUMMYFUNCTION("""COMPUTED_VALUE"""),45534.0)</f>
        <v>45534</v>
      </c>
    </row>
    <row r="1087">
      <c r="A1087" s="6" t="str">
        <f>IFERROR(__xludf.DUMMYFUNCTION("""COMPUTED_VALUE"""),"INN")</f>
        <v>INN</v>
      </c>
      <c r="B1087" s="6" t="str">
        <f>IFERROR(__xludf.DUMMYFUNCTION("""COMPUTED_VALUE"""),"ENG")</f>
        <v>ENG</v>
      </c>
      <c r="C1087" s="6" t="str">
        <f>IFERROR(__xludf.DUMMYFUNCTION("""COMPUTED_VALUE"""),"O-16732-00")</f>
        <v>O-16732-00</v>
      </c>
      <c r="D1087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1087" s="6">
        <f>IFERROR(__xludf.DUMMYFUNCTION("""COMPUTED_VALUE"""),3.0)</f>
        <v>3</v>
      </c>
      <c r="F1087" s="6">
        <f>IFERROR(__xludf.DUMMYFUNCTION("""COMPUTED_VALUE"""),3.0)</f>
        <v>3</v>
      </c>
      <c r="G1087" s="6">
        <f>IFERROR(__xludf.DUMMYFUNCTION("""COMPUTED_VALUE"""),0.0)</f>
        <v>0</v>
      </c>
      <c r="H1087" s="6" t="str">
        <f>IFERROR(__xludf.DUMMYFUNCTION("""COMPUTED_VALUE"""),"pcs")</f>
        <v>pcs</v>
      </c>
      <c r="I1087" s="6" t="str">
        <f>IFERROR(__xludf.DUMMYFUNCTION("""COMPUTED_VALUE"""),"MFH")</f>
        <v>MFH</v>
      </c>
      <c r="J1087" s="6" t="str">
        <f>IFERROR(__xludf.DUMMYFUNCTION("""COMPUTED_VALUE"""),"Autoclave")</f>
        <v>Autoclave</v>
      </c>
      <c r="K1087" s="6" t="str">
        <f>IFERROR(__xludf.DUMMYFUNCTION("""COMPUTED_VALUE"""),"SPR/08/24/029")</f>
        <v>SPR/08/24/029</v>
      </c>
      <c r="L1087" s="13">
        <f>IFERROR(__xludf.DUMMYFUNCTION("""COMPUTED_VALUE"""),45534.0)</f>
        <v>45534</v>
      </c>
    </row>
    <row r="1088">
      <c r="A1088" s="6" t="str">
        <f>IFERROR(__xludf.DUMMYFUNCTION("""COMPUTED_VALUE"""),"INN")</f>
        <v>INN</v>
      </c>
      <c r="B1088" s="6" t="str">
        <f>IFERROR(__xludf.DUMMYFUNCTION("""COMPUTED_VALUE"""),"ENG")</f>
        <v>ENG</v>
      </c>
      <c r="C1088" s="6" t="str">
        <f>IFERROR(__xludf.DUMMYFUNCTION("""COMPUTED_VALUE"""),"O-19339-00")</f>
        <v>O-19339-00</v>
      </c>
      <c r="D1088" s="6" t="str">
        <f>IFERROR(__xludf.DUMMYFUNCTION("""COMPUTED_VALUE"""),"Oring 2,5x6x11 mm, Material EPDM; ; ;")</f>
        <v>Oring 2,5x6x11 mm, Material EPDM; ; ;</v>
      </c>
      <c r="E1088" s="6">
        <f>IFERROR(__xludf.DUMMYFUNCTION("""COMPUTED_VALUE"""),2.0)</f>
        <v>2</v>
      </c>
      <c r="F1088" s="6">
        <f>IFERROR(__xludf.DUMMYFUNCTION("""COMPUTED_VALUE"""),2.0)</f>
        <v>2</v>
      </c>
      <c r="G1088" s="6">
        <f>IFERROR(__xludf.DUMMYFUNCTION("""COMPUTED_VALUE"""),0.0)</f>
        <v>0</v>
      </c>
      <c r="H1088" s="6" t="str">
        <f>IFERROR(__xludf.DUMMYFUNCTION("""COMPUTED_VALUE"""),"pcs")</f>
        <v>pcs</v>
      </c>
      <c r="I1088" s="6" t="str">
        <f>IFERROR(__xludf.DUMMYFUNCTION("""COMPUTED_VALUE"""),"MFH")</f>
        <v>MFH</v>
      </c>
      <c r="J1088" s="6" t="str">
        <f>IFERROR(__xludf.DUMMYFUNCTION("""COMPUTED_VALUE"""),"Autoclave")</f>
        <v>Autoclave</v>
      </c>
      <c r="K1088" s="6" t="str">
        <f>IFERROR(__xludf.DUMMYFUNCTION("""COMPUTED_VALUE"""),"SPR/08/24/029")</f>
        <v>SPR/08/24/029</v>
      </c>
      <c r="L1088" s="13">
        <f>IFERROR(__xludf.DUMMYFUNCTION("""COMPUTED_VALUE"""),45534.0)</f>
        <v>45534</v>
      </c>
    </row>
    <row r="1089">
      <c r="A1089" s="6" t="str">
        <f>IFERROR(__xludf.DUMMYFUNCTION("""COMPUTED_VALUE"""),"INN")</f>
        <v>INN</v>
      </c>
      <c r="B1089" s="6" t="str">
        <f>IFERROR(__xludf.DUMMYFUNCTION("""COMPUTED_VALUE"""),"ENG")</f>
        <v>ENG</v>
      </c>
      <c r="C1089" s="6" t="str">
        <f>IFERROR(__xludf.DUMMYFUNCTION("""COMPUTED_VALUE"""),"O-18124-00")</f>
        <v>O-18124-00</v>
      </c>
      <c r="D1089" s="6" t="str">
        <f>IFERROR(__xludf.DUMMYFUNCTION("""COMPUTED_VALUE"""),"Mixing Tank Adam - USM T60 Impeller with 20mm Silicon Carbide, G10-012; ; ;")</f>
        <v>Mixing Tank Adam - USM T60 Impeller with 20mm Silicon Carbide, G10-012; ; ;</v>
      </c>
      <c r="E1089" s="6">
        <f>IFERROR(__xludf.DUMMYFUNCTION("""COMPUTED_VALUE"""),1.0)</f>
        <v>1</v>
      </c>
      <c r="F1089" s="6">
        <f>IFERROR(__xludf.DUMMYFUNCTION("""COMPUTED_VALUE"""),1.0)</f>
        <v>1</v>
      </c>
      <c r="G1089" s="6">
        <f>IFERROR(__xludf.DUMMYFUNCTION("""COMPUTED_VALUE"""),0.0)</f>
        <v>0</v>
      </c>
      <c r="H1089" s="6" t="str">
        <f>IFERROR(__xludf.DUMMYFUNCTION("""COMPUTED_VALUE"""),"pcs")</f>
        <v>pcs</v>
      </c>
      <c r="I1089" s="6" t="str">
        <f>IFERROR(__xludf.DUMMYFUNCTION("""COMPUTED_VALUE"""),"MFH")</f>
        <v>MFH</v>
      </c>
      <c r="J1089" s="6" t="str">
        <f>IFERROR(__xludf.DUMMYFUNCTION("""COMPUTED_VALUE"""),"Mixing")</f>
        <v>Mixing</v>
      </c>
      <c r="K1089" s="6" t="str">
        <f>IFERROR(__xludf.DUMMYFUNCTION("""COMPUTED_VALUE"""),"SPR/08/24/030")</f>
        <v>SPR/08/24/030</v>
      </c>
      <c r="L1089" s="13">
        <f>IFERROR(__xludf.DUMMYFUNCTION("""COMPUTED_VALUE"""),45534.0)</f>
        <v>45534</v>
      </c>
    </row>
    <row r="1090">
      <c r="A1090" s="6" t="str">
        <f>IFERROR(__xludf.DUMMYFUNCTION("""COMPUTED_VALUE"""),"INN")</f>
        <v>INN</v>
      </c>
      <c r="B1090" s="6" t="str">
        <f>IFERROR(__xludf.DUMMYFUNCTION("""COMPUTED_VALUE"""),"ENG")</f>
        <v>ENG</v>
      </c>
      <c r="C1090" s="6" t="str">
        <f>IFERROR(__xludf.DUMMYFUNCTION("""COMPUTED_VALUE"""),"O-54014-00")</f>
        <v>O-54014-00</v>
      </c>
      <c r="D1090" s="6" t="str">
        <f>IFERROR(__xludf.DUMMYFUNCTION("""COMPUTED_VALUE"""),"STEKER 1 PHASE, BROCO")</f>
        <v>STEKER 1 PHASE, BROCO</v>
      </c>
      <c r="E1090" s="6">
        <f>IFERROR(__xludf.DUMMYFUNCTION("""COMPUTED_VALUE"""),6.0)</f>
        <v>6</v>
      </c>
      <c r="F1090" s="6">
        <f>IFERROR(__xludf.DUMMYFUNCTION("""COMPUTED_VALUE"""),2.0)</f>
        <v>2</v>
      </c>
      <c r="G1090" s="6">
        <f>IFERROR(__xludf.DUMMYFUNCTION("""COMPUTED_VALUE"""),0.0)</f>
        <v>0</v>
      </c>
      <c r="H1090" s="6" t="str">
        <f>IFERROR(__xludf.DUMMYFUNCTION("""COMPUTED_VALUE"""),"pcs")</f>
        <v>pcs</v>
      </c>
      <c r="I1090" s="6" t="str">
        <f>IFERROR(__xludf.DUMMYFUNCTION("""COMPUTED_VALUE"""),"MFH")</f>
        <v>MFH</v>
      </c>
      <c r="J1090" s="6" t="str">
        <f>IFERROR(__xludf.DUMMYFUNCTION("""COMPUTED_VALUE"""),"Lab")</f>
        <v>Lab</v>
      </c>
      <c r="K1090" s="6" t="str">
        <f>IFERROR(__xludf.DUMMYFUNCTION("""COMPUTED_VALUE"""),"SPR/08/24/031")</f>
        <v>SPR/08/24/031</v>
      </c>
      <c r="L1090" s="13">
        <f>IFERROR(__xludf.DUMMYFUNCTION("""COMPUTED_VALUE"""),45534.0)</f>
        <v>45534</v>
      </c>
    </row>
    <row r="1091">
      <c r="A1091" s="6" t="str">
        <f>IFERROR(__xludf.DUMMYFUNCTION("""COMPUTED_VALUE"""),"INN")</f>
        <v>INN</v>
      </c>
      <c r="B1091" s="6" t="str">
        <f>IFERROR(__xludf.DUMMYFUNCTION("""COMPUTED_VALUE"""),"ENG")</f>
        <v>ENG</v>
      </c>
      <c r="C1091" s="6" t="str">
        <f>IFERROR(__xludf.DUMMYFUNCTION("""COMPUTED_VALUE"""),"O-54015-00")</f>
        <v>O-54015-00</v>
      </c>
      <c r="D1091" s="6" t="str">
        <f>IFERROR(__xludf.DUMMYFUNCTION("""COMPUTED_VALUE"""),"STOP KONTAK LUBANG 4, BROCO")</f>
        <v>STOP KONTAK LUBANG 4, BROCO</v>
      </c>
      <c r="E1091" s="6">
        <f>IFERROR(__xludf.DUMMYFUNCTION("""COMPUTED_VALUE"""),4.0)</f>
        <v>4</v>
      </c>
      <c r="F1091" s="6">
        <f>IFERROR(__xludf.DUMMYFUNCTION("""COMPUTED_VALUE"""),2.0)</f>
        <v>2</v>
      </c>
      <c r="G1091" s="6">
        <f>IFERROR(__xludf.DUMMYFUNCTION("""COMPUTED_VALUE"""),0.0)</f>
        <v>0</v>
      </c>
      <c r="H1091" s="6" t="str">
        <f>IFERROR(__xludf.DUMMYFUNCTION("""COMPUTED_VALUE"""),"pcs")</f>
        <v>pcs</v>
      </c>
      <c r="I1091" s="6" t="str">
        <f>IFERROR(__xludf.DUMMYFUNCTION("""COMPUTED_VALUE"""),"MFH")</f>
        <v>MFH</v>
      </c>
      <c r="J1091" s="6" t="str">
        <f>IFERROR(__xludf.DUMMYFUNCTION("""COMPUTED_VALUE"""),"Lab")</f>
        <v>Lab</v>
      </c>
      <c r="K1091" s="6" t="str">
        <f>IFERROR(__xludf.DUMMYFUNCTION("""COMPUTED_VALUE"""),"SPR/08/24/031")</f>
        <v>SPR/08/24/031</v>
      </c>
      <c r="L1091" s="13">
        <f>IFERROR(__xludf.DUMMYFUNCTION("""COMPUTED_VALUE"""),45534.0)</f>
        <v>45534</v>
      </c>
    </row>
    <row r="1092">
      <c r="A1092" s="6" t="str">
        <f>IFERROR(__xludf.DUMMYFUNCTION("""COMPUTED_VALUE"""),"MOB")</f>
        <v>MOB</v>
      </c>
      <c r="B1092" s="6" t="str">
        <f>IFERROR(__xludf.DUMMYFUNCTION("""COMPUTED_VALUE"""),"ENG")</f>
        <v>ENG</v>
      </c>
      <c r="C1092" s="6" t="str">
        <f>IFERROR(__xludf.DUMMYFUNCTION("""COMPUTED_VALUE"""),"O-19346-00")</f>
        <v>O-19346-00</v>
      </c>
      <c r="D1092" s="6" t="str">
        <f>IFERROR(__xludf.DUMMYFUNCTION("""COMPUTED_VALUE"""),"HEPA filter minipleat, size: 1220X610X93 H14; ; ;")</f>
        <v>HEPA filter minipleat, size: 1220X610X93 H14; ; ;</v>
      </c>
      <c r="E1092" s="6">
        <f>IFERROR(__xludf.DUMMYFUNCTION("""COMPUTED_VALUE"""),2.0)</f>
        <v>2</v>
      </c>
      <c r="F1092" s="6">
        <f>IFERROR(__xludf.DUMMYFUNCTION("""COMPUTED_VALUE"""),2.0)</f>
        <v>2</v>
      </c>
      <c r="G1092" s="6">
        <f>IFERROR(__xludf.DUMMYFUNCTION("""COMPUTED_VALUE"""),0.0)</f>
        <v>0</v>
      </c>
      <c r="H1092" s="6" t="str">
        <f>IFERROR(__xludf.DUMMYFUNCTION("""COMPUTED_VALUE"""),"pcs")</f>
        <v>pcs</v>
      </c>
      <c r="I1092" s="6" t="str">
        <f>IFERROR(__xludf.DUMMYFUNCTION("""COMPUTED_VALUE"""),"MFH")</f>
        <v>MFH</v>
      </c>
      <c r="J1092" s="6" t="str">
        <f>IFERROR(__xludf.DUMMYFUNCTION("""COMPUTED_VALUE"""),"AHU")</f>
        <v>AHU</v>
      </c>
      <c r="K1092" s="6" t="str">
        <f>IFERROR(__xludf.DUMMYFUNCTION("""COMPUTED_VALUE"""),"SPR/08/24/032")</f>
        <v>SPR/08/24/032</v>
      </c>
      <c r="L1092" s="13">
        <f>IFERROR(__xludf.DUMMYFUNCTION("""COMPUTED_VALUE"""),45534.0)</f>
        <v>45534</v>
      </c>
    </row>
    <row r="1093">
      <c r="A1093" s="6" t="str">
        <f>IFERROR(__xludf.DUMMYFUNCTION("""COMPUTED_VALUE"""),"MOB")</f>
        <v>MOB</v>
      </c>
      <c r="B1093" s="6" t="str">
        <f>IFERROR(__xludf.DUMMYFUNCTION("""COMPUTED_VALUE"""),"ENG")</f>
        <v>ENG</v>
      </c>
      <c r="C1093" s="6" t="str">
        <f>IFERROR(__xludf.DUMMYFUNCTION("""COMPUTED_VALUE"""),"O-19388-00")</f>
        <v>O-19388-00</v>
      </c>
      <c r="D1093" s="6" t="str">
        <f>IFERROR(__xludf.DUMMYFUNCTION("""COMPUTED_VALUE"""),"HEPA filter minipleat, size: 610X610X93 H14; Hencolin; ;")</f>
        <v>HEPA filter minipleat, size: 610X610X93 H14; Hencolin; ;</v>
      </c>
      <c r="E1093" s="6">
        <f>IFERROR(__xludf.DUMMYFUNCTION("""COMPUTED_VALUE"""),13.0)</f>
        <v>13</v>
      </c>
      <c r="F1093" s="6">
        <f>IFERROR(__xludf.DUMMYFUNCTION("""COMPUTED_VALUE"""),13.0)</f>
        <v>13</v>
      </c>
      <c r="G1093" s="6">
        <f>IFERROR(__xludf.DUMMYFUNCTION("""COMPUTED_VALUE"""),0.0)</f>
        <v>0</v>
      </c>
      <c r="H1093" s="6" t="str">
        <f>IFERROR(__xludf.DUMMYFUNCTION("""COMPUTED_VALUE"""),"pcs")</f>
        <v>pcs</v>
      </c>
      <c r="I1093" s="6" t="str">
        <f>IFERROR(__xludf.DUMMYFUNCTION("""COMPUTED_VALUE"""),"MFH")</f>
        <v>MFH</v>
      </c>
      <c r="J1093" s="6" t="str">
        <f>IFERROR(__xludf.DUMMYFUNCTION("""COMPUTED_VALUE"""),"AHU")</f>
        <v>AHU</v>
      </c>
      <c r="K1093" s="6" t="str">
        <f>IFERROR(__xludf.DUMMYFUNCTION("""COMPUTED_VALUE"""),"SPR/08/24/032")</f>
        <v>SPR/08/24/032</v>
      </c>
      <c r="L1093" s="13">
        <f>IFERROR(__xludf.DUMMYFUNCTION("""COMPUTED_VALUE"""),45534.0)</f>
        <v>45534</v>
      </c>
    </row>
    <row r="1094">
      <c r="A1094" s="6" t="str">
        <f>IFERROR(__xludf.DUMMYFUNCTION("""COMPUTED_VALUE"""),"MOB")</f>
        <v>MOB</v>
      </c>
      <c r="B1094" s="6" t="str">
        <f>IFERROR(__xludf.DUMMYFUNCTION("""COMPUTED_VALUE"""),"ENG")</f>
        <v>ENG</v>
      </c>
      <c r="C1094" s="6" t="str">
        <f>IFERROR(__xludf.DUMMYFUNCTION("""COMPUTED_VALUE"""),"O-19389-00")</f>
        <v>O-19389-00</v>
      </c>
      <c r="D1094" s="6" t="str">
        <f>IFERROR(__xludf.DUMMYFUNCTION("""COMPUTED_VALUE"""),"HEPA filter minipleat, size: 610X305X93 H14; Hencolin; ;")</f>
        <v>HEPA filter minipleat, size: 610X305X93 H14; Hencolin; ;</v>
      </c>
      <c r="E1094" s="6">
        <f>IFERROR(__xludf.DUMMYFUNCTION("""COMPUTED_VALUE"""),5.0)</f>
        <v>5</v>
      </c>
      <c r="F1094" s="6">
        <f>IFERROR(__xludf.DUMMYFUNCTION("""COMPUTED_VALUE"""),5.0)</f>
        <v>5</v>
      </c>
      <c r="G1094" s="6">
        <f>IFERROR(__xludf.DUMMYFUNCTION("""COMPUTED_VALUE"""),0.0)</f>
        <v>0</v>
      </c>
      <c r="H1094" s="6" t="str">
        <f>IFERROR(__xludf.DUMMYFUNCTION("""COMPUTED_VALUE"""),"pcs")</f>
        <v>pcs</v>
      </c>
      <c r="I1094" s="6" t="str">
        <f>IFERROR(__xludf.DUMMYFUNCTION("""COMPUTED_VALUE"""),"MFH")</f>
        <v>MFH</v>
      </c>
      <c r="J1094" s="6" t="str">
        <f>IFERROR(__xludf.DUMMYFUNCTION("""COMPUTED_VALUE"""),"AHU")</f>
        <v>AHU</v>
      </c>
      <c r="K1094" s="6" t="str">
        <f>IFERROR(__xludf.DUMMYFUNCTION("""COMPUTED_VALUE"""),"SPR/08/24/032")</f>
        <v>SPR/08/24/032</v>
      </c>
      <c r="L1094" s="13">
        <f>IFERROR(__xludf.DUMMYFUNCTION("""COMPUTED_VALUE"""),45534.0)</f>
        <v>45534</v>
      </c>
    </row>
    <row r="1095">
      <c r="A1095" s="6" t="str">
        <f>IFERROR(__xludf.DUMMYFUNCTION("""COMPUTED_VALUE"""),"SFH")</f>
        <v>SFH</v>
      </c>
      <c r="B1095" s="6" t="str">
        <f>IFERROR(__xludf.DUMMYFUNCTION("""COMPUTED_VALUE"""),"ENG")</f>
        <v>ENG</v>
      </c>
      <c r="C1095" s="6" t="str">
        <f>IFERROR(__xludf.DUMMYFUNCTION("""COMPUTED_VALUE"""),"Q-10128-00")</f>
        <v>Q-10128-00</v>
      </c>
      <c r="D1095" s="6" t="str">
        <f>IFERROR(__xludf.DUMMYFUNCTION("""COMPUTED_VALUE"""),"Thinner Super End/Impala @ 1 Liter")</f>
        <v>Thinner Super End/Impala @ 1 Liter</v>
      </c>
      <c r="E1095" s="6">
        <f>IFERROR(__xludf.DUMMYFUNCTION("""COMPUTED_VALUE"""),5.0)</f>
        <v>5</v>
      </c>
      <c r="F1095" s="6">
        <f>IFERROR(__xludf.DUMMYFUNCTION("""COMPUTED_VALUE"""),3.0)</f>
        <v>3</v>
      </c>
      <c r="G1095" s="6">
        <f>IFERROR(__xludf.DUMMYFUNCTION("""COMPUTED_VALUE"""),0.0)</f>
        <v>0</v>
      </c>
      <c r="H1095" s="6" t="str">
        <f>IFERROR(__xludf.DUMMYFUNCTION("""COMPUTED_VALUE"""),"pcs")</f>
        <v>pcs</v>
      </c>
      <c r="I1095" s="6" t="str">
        <f>IFERROR(__xludf.DUMMYFUNCTION("""COMPUTED_VALUE"""),"MFH")</f>
        <v>MFH</v>
      </c>
      <c r="J1095" s="6" t="str">
        <f>IFERROR(__xludf.DUMMYFUNCTION("""COMPUTED_VALUE"""),"Building")</f>
        <v>Building</v>
      </c>
      <c r="K1095" s="6" t="str">
        <f>IFERROR(__xludf.DUMMYFUNCTION("""COMPUTED_VALUE"""),"SPR/08/24/033")</f>
        <v>SPR/08/24/033</v>
      </c>
      <c r="L1095" s="13">
        <f>IFERROR(__xludf.DUMMYFUNCTION("""COMPUTED_VALUE"""),45534.0)</f>
        <v>45534</v>
      </c>
    </row>
    <row r="1096">
      <c r="A1096" s="6" t="str">
        <f>IFERROR(__xludf.DUMMYFUNCTION("""COMPUTED_VALUE"""),"SFH")</f>
        <v>SFH</v>
      </c>
      <c r="B1096" s="6" t="str">
        <f>IFERROR(__xludf.DUMMYFUNCTION("""COMPUTED_VALUE"""),"ENG")</f>
        <v>ENG</v>
      </c>
      <c r="C1096" s="6" t="str">
        <f>IFERROR(__xludf.DUMMYFUNCTION("""COMPUTED_VALUE"""),"P-11694-00")</f>
        <v>P-11694-00</v>
      </c>
      <c r="D1096" s="6" t="str">
        <f>IFERROR(__xludf.DUMMYFUNCTION("""COMPUTED_VALUE"""),"Mata Gerinda 4""")</f>
        <v>Mata Gerinda 4"</v>
      </c>
      <c r="E1096" s="6">
        <f>IFERROR(__xludf.DUMMYFUNCTION("""COMPUTED_VALUE"""),1.0)</f>
        <v>1</v>
      </c>
      <c r="F1096" s="6">
        <f>IFERROR(__xludf.DUMMYFUNCTION("""COMPUTED_VALUE"""),1.0)</f>
        <v>1</v>
      </c>
      <c r="G1096" s="6">
        <f>IFERROR(__xludf.DUMMYFUNCTION("""COMPUTED_VALUE"""),0.0)</f>
        <v>0</v>
      </c>
      <c r="H1096" s="6" t="str">
        <f>IFERROR(__xludf.DUMMYFUNCTION("""COMPUTED_VALUE"""),"pcs")</f>
        <v>pcs</v>
      </c>
      <c r="I1096" s="6" t="str">
        <f>IFERROR(__xludf.DUMMYFUNCTION("""COMPUTED_VALUE"""),"MFH")</f>
        <v>MFH</v>
      </c>
      <c r="J1096" s="6" t="str">
        <f>IFERROR(__xludf.DUMMYFUNCTION("""COMPUTED_VALUE"""),"Building")</f>
        <v>Building</v>
      </c>
      <c r="K1096" s="6" t="str">
        <f>IFERROR(__xludf.DUMMYFUNCTION("""COMPUTED_VALUE"""),"SPR/08/24/033")</f>
        <v>SPR/08/24/033</v>
      </c>
      <c r="L1096" s="13">
        <f>IFERROR(__xludf.DUMMYFUNCTION("""COMPUTED_VALUE"""),45534.0)</f>
        <v>45534</v>
      </c>
    </row>
    <row r="1097">
      <c r="A1097" s="6" t="str">
        <f>IFERROR(__xludf.DUMMYFUNCTION("""COMPUTED_VALUE"""),"SFH")</f>
        <v>SFH</v>
      </c>
      <c r="B1097" s="6" t="str">
        <f>IFERROR(__xludf.DUMMYFUNCTION("""COMPUTED_VALUE"""),"ENG")</f>
        <v>ENG</v>
      </c>
      <c r="C1097" s="6" t="str">
        <f>IFERROR(__xludf.DUMMYFUNCTION("""COMPUTED_VALUE"""),"P-53173-00")</f>
        <v>P-53173-00</v>
      </c>
      <c r="D1097" s="6" t="str">
        <f>IFERROR(__xludf.DUMMYFUNCTION("""COMPUTED_VALUE"""),"Ballast Electronic EB-C 214 TL5, 2x14W; Phillips; ;")</f>
        <v>Ballast Electronic EB-C 214 TL5, 2x14W; Phillips; ;</v>
      </c>
      <c r="E1097" s="6">
        <f>IFERROR(__xludf.DUMMYFUNCTION("""COMPUTED_VALUE"""),1.0)</f>
        <v>1</v>
      </c>
      <c r="F1097" s="6">
        <f>IFERROR(__xludf.DUMMYFUNCTION("""COMPUTED_VALUE"""),1.0)</f>
        <v>1</v>
      </c>
      <c r="G1097" s="6">
        <f>IFERROR(__xludf.DUMMYFUNCTION("""COMPUTED_VALUE"""),0.0)</f>
        <v>0</v>
      </c>
      <c r="H1097" s="6" t="str">
        <f>IFERROR(__xludf.DUMMYFUNCTION("""COMPUTED_VALUE"""),"pcs")</f>
        <v>pcs</v>
      </c>
      <c r="I1097" s="6" t="str">
        <f>IFERROR(__xludf.DUMMYFUNCTION("""COMPUTED_VALUE"""),"MFH")</f>
        <v>MFH</v>
      </c>
      <c r="J1097" s="6" t="str">
        <f>IFERROR(__xludf.DUMMYFUNCTION("""COMPUTED_VALUE"""),"Building")</f>
        <v>Building</v>
      </c>
      <c r="K1097" s="6" t="str">
        <f>IFERROR(__xludf.DUMMYFUNCTION("""COMPUTED_VALUE"""),"SPR/08/24/033")</f>
        <v>SPR/08/24/033</v>
      </c>
      <c r="L1097" s="13">
        <f>IFERROR(__xludf.DUMMYFUNCTION("""COMPUTED_VALUE"""),45534.0)</f>
        <v>45534</v>
      </c>
    </row>
    <row r="1098">
      <c r="A1098" s="6" t="str">
        <f>IFERROR(__xludf.DUMMYFUNCTION("""COMPUTED_VALUE"""),"SFH")</f>
        <v>SFH</v>
      </c>
      <c r="B1098" s="6" t="str">
        <f>IFERROR(__xludf.DUMMYFUNCTION("""COMPUTED_VALUE"""),"ENG")</f>
        <v>ENG</v>
      </c>
      <c r="C1098" s="6" t="str">
        <f>IFERROR(__xludf.DUMMYFUNCTION("""COMPUTED_VALUE"""),"Q-10153-00")</f>
        <v>Q-10153-00</v>
      </c>
      <c r="D1098" s="6" t="str">
        <f>IFERROR(__xludf.DUMMYFUNCTION("""COMPUTED_VALUE"""),"Roller cat 110mm")</f>
        <v>Roller cat 110mm</v>
      </c>
      <c r="E1098" s="6">
        <f>IFERROR(__xludf.DUMMYFUNCTION("""COMPUTED_VALUE"""),1.0)</f>
        <v>1</v>
      </c>
      <c r="F1098" s="6">
        <f>IFERROR(__xludf.DUMMYFUNCTION("""COMPUTED_VALUE"""),1.0)</f>
        <v>1</v>
      </c>
      <c r="G1098" s="6">
        <f>IFERROR(__xludf.DUMMYFUNCTION("""COMPUTED_VALUE"""),0.0)</f>
        <v>0</v>
      </c>
      <c r="H1098" s="6" t="str">
        <f>IFERROR(__xludf.DUMMYFUNCTION("""COMPUTED_VALUE"""),"pcs")</f>
        <v>pcs</v>
      </c>
      <c r="I1098" s="6" t="str">
        <f>IFERROR(__xludf.DUMMYFUNCTION("""COMPUTED_VALUE"""),"MFH")</f>
        <v>MFH</v>
      </c>
      <c r="J1098" s="6" t="str">
        <f>IFERROR(__xludf.DUMMYFUNCTION("""COMPUTED_VALUE"""),"-")</f>
        <v>-</v>
      </c>
      <c r="K1098" s="6" t="str">
        <f>IFERROR(__xludf.DUMMYFUNCTION("""COMPUTED_VALUE"""),"SPR/08/24/034")</f>
        <v>SPR/08/24/034</v>
      </c>
      <c r="L1098" s="13">
        <f>IFERROR(__xludf.DUMMYFUNCTION("""COMPUTED_VALUE"""),45534.0)</f>
        <v>45534</v>
      </c>
    </row>
    <row r="1099">
      <c r="A1099" s="6" t="str">
        <f>IFERROR(__xludf.DUMMYFUNCTION("""COMPUTED_VALUE"""),"INS")</f>
        <v>INS</v>
      </c>
      <c r="B1099" s="6" t="str">
        <f>IFERROR(__xludf.DUMMYFUNCTION("""COMPUTED_VALUE"""),"PRO")</f>
        <v>PRO</v>
      </c>
      <c r="C1099" s="6" t="str">
        <f>IFERROR(__xludf.DUMMYFUNCTION("""COMPUTED_VALUE"""),"O-16033-00")</f>
        <v>O-16033-00</v>
      </c>
      <c r="D109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099" s="6">
        <f>IFERROR(__xludf.DUMMYFUNCTION("""COMPUTED_VALUE"""),12.0)</f>
        <v>12</v>
      </c>
      <c r="F1099" s="6">
        <f>IFERROR(__xludf.DUMMYFUNCTION("""COMPUTED_VALUE"""),12.0)</f>
        <v>12</v>
      </c>
      <c r="G1099" s="6">
        <f>IFERROR(__xludf.DUMMYFUNCTION("""COMPUTED_VALUE"""),0.0)</f>
        <v>0</v>
      </c>
      <c r="H1099" s="6" t="str">
        <f>IFERROR(__xludf.DUMMYFUNCTION("""COMPUTED_VALUE"""),"pcs")</f>
        <v>pcs</v>
      </c>
      <c r="I1099" s="6" t="str">
        <f>IFERROR(__xludf.DUMMYFUNCTION("""COMPUTED_VALUE"""),"MFH")</f>
        <v>MFH</v>
      </c>
      <c r="J1099" s="6" t="str">
        <f>IFERROR(__xludf.DUMMYFUNCTION("""COMPUTED_VALUE"""),"OSD")</f>
        <v>OSD</v>
      </c>
      <c r="K1099" s="6" t="str">
        <f>IFERROR(__xludf.DUMMYFUNCTION("""COMPUTED_VALUE"""),"SPR/08/24/035")</f>
        <v>SPR/08/24/035</v>
      </c>
      <c r="L1099" s="13">
        <f>IFERROR(__xludf.DUMMYFUNCTION("""COMPUTED_VALUE"""),45534.0)</f>
        <v>45534</v>
      </c>
    </row>
    <row r="1100">
      <c r="A1100" s="6" t="str">
        <f>IFERROR(__xludf.DUMMYFUNCTION("""COMPUTED_VALUE"""),"INS")</f>
        <v>INS</v>
      </c>
      <c r="B1100" s="6" t="str">
        <f>IFERROR(__xludf.DUMMYFUNCTION("""COMPUTED_VALUE"""),"PRO")</f>
        <v>PRO</v>
      </c>
      <c r="C1100" s="6" t="str">
        <f>IFERROR(__xludf.DUMMYFUNCTION("""COMPUTED_VALUE"""),"O-16032-00")</f>
        <v>O-16032-00</v>
      </c>
      <c r="D110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100" s="6">
        <f>IFERROR(__xludf.DUMMYFUNCTION("""COMPUTED_VALUE"""),10.0)</f>
        <v>10</v>
      </c>
      <c r="F1100" s="6">
        <f>IFERROR(__xludf.DUMMYFUNCTION("""COMPUTED_VALUE"""),10.0)</f>
        <v>10</v>
      </c>
      <c r="G1100" s="6">
        <f>IFERROR(__xludf.DUMMYFUNCTION("""COMPUTED_VALUE"""),0.0)</f>
        <v>0</v>
      </c>
      <c r="H1100" s="6" t="str">
        <f>IFERROR(__xludf.DUMMYFUNCTION("""COMPUTED_VALUE"""),"pcs")</f>
        <v>pcs</v>
      </c>
      <c r="I1100" s="6" t="str">
        <f>IFERROR(__xludf.DUMMYFUNCTION("""COMPUTED_VALUE"""),"MFH")</f>
        <v>MFH</v>
      </c>
      <c r="J1100" s="6" t="str">
        <f>IFERROR(__xludf.DUMMYFUNCTION("""COMPUTED_VALUE"""),"OSD")</f>
        <v>OSD</v>
      </c>
      <c r="K1100" s="6" t="str">
        <f>IFERROR(__xludf.DUMMYFUNCTION("""COMPUTED_VALUE"""),"SPR/08/24/035")</f>
        <v>SPR/08/24/035</v>
      </c>
      <c r="L1100" s="13">
        <f>IFERROR(__xludf.DUMMYFUNCTION("""COMPUTED_VALUE"""),45534.0)</f>
        <v>45534</v>
      </c>
    </row>
    <row r="1101">
      <c r="A1101" s="6" t="str">
        <f>IFERROR(__xludf.DUMMYFUNCTION("""COMPUTED_VALUE"""),"SFH")</f>
        <v>SFH</v>
      </c>
      <c r="B1101" s="6" t="str">
        <f>IFERROR(__xludf.DUMMYFUNCTION("""COMPUTED_VALUE"""),"ENG")</f>
        <v>ENG</v>
      </c>
      <c r="C1101" s="6" t="str">
        <f>IFERROR(__xludf.DUMMYFUNCTION("""COMPUTED_VALUE"""),"Q-10656-00")</f>
        <v>Q-10656-00</v>
      </c>
      <c r="D1101" s="6" t="str">
        <f>IFERROR(__xludf.DUMMYFUNCTION("""COMPUTED_VALUE"""),"Kuas Eterna 5 Inch; ; ;")</f>
        <v>Kuas Eterna 5 Inch; ; ;</v>
      </c>
      <c r="E1101" s="6">
        <f>IFERROR(__xludf.DUMMYFUNCTION("""COMPUTED_VALUE"""),8.0)</f>
        <v>8</v>
      </c>
      <c r="F1101" s="6">
        <f>IFERROR(__xludf.DUMMYFUNCTION("""COMPUTED_VALUE"""),3.0)</f>
        <v>3</v>
      </c>
      <c r="G1101" s="6">
        <f>IFERROR(__xludf.DUMMYFUNCTION("""COMPUTED_VALUE"""),0.0)</f>
        <v>0</v>
      </c>
      <c r="H1101" s="6" t="str">
        <f>IFERROR(__xludf.DUMMYFUNCTION("""COMPUTED_VALUE"""),"pcs")</f>
        <v>pcs</v>
      </c>
      <c r="I1101" s="6" t="str">
        <f>IFERROR(__xludf.DUMMYFUNCTION("""COMPUTED_VALUE"""),"MFH")</f>
        <v>MFH</v>
      </c>
      <c r="J1101" s="6" t="str">
        <f>IFERROR(__xludf.DUMMYFUNCTION("""COMPUTED_VALUE"""),"Building")</f>
        <v>Building</v>
      </c>
      <c r="K1101" s="6" t="str">
        <f>IFERROR(__xludf.DUMMYFUNCTION("""COMPUTED_VALUE"""),"SPR/08/24/036")</f>
        <v>SPR/08/24/036</v>
      </c>
      <c r="L1101" s="13">
        <f>IFERROR(__xludf.DUMMYFUNCTION("""COMPUTED_VALUE"""),45534.0)</f>
        <v>45534</v>
      </c>
    </row>
    <row r="1102">
      <c r="A1102" s="6" t="str">
        <f>IFERROR(__xludf.DUMMYFUNCTION("""COMPUTED_VALUE"""),"SFH")</f>
        <v>SFH</v>
      </c>
      <c r="B1102" s="6" t="str">
        <f>IFERROR(__xludf.DUMMYFUNCTION("""COMPUTED_VALUE"""),"ENG")</f>
        <v>ENG</v>
      </c>
      <c r="C1102" s="6" t="str">
        <f>IFERROR(__xludf.DUMMYFUNCTION("""COMPUTED_VALUE"""),"Q-10153-00")</f>
        <v>Q-10153-00</v>
      </c>
      <c r="D1102" s="6" t="str">
        <f>IFERROR(__xludf.DUMMYFUNCTION("""COMPUTED_VALUE"""),"Roller cat 110mm")</f>
        <v>Roller cat 110mm</v>
      </c>
      <c r="E1102" s="6">
        <f>IFERROR(__xludf.DUMMYFUNCTION("""COMPUTED_VALUE"""),4.0)</f>
        <v>4</v>
      </c>
      <c r="F1102" s="6">
        <f>IFERROR(__xludf.DUMMYFUNCTION("""COMPUTED_VALUE"""),4.0)</f>
        <v>4</v>
      </c>
      <c r="G1102" s="6">
        <f>IFERROR(__xludf.DUMMYFUNCTION("""COMPUTED_VALUE"""),0.0)</f>
        <v>0</v>
      </c>
      <c r="H1102" s="6" t="str">
        <f>IFERROR(__xludf.DUMMYFUNCTION("""COMPUTED_VALUE"""),"pcs")</f>
        <v>pcs</v>
      </c>
      <c r="I1102" s="6" t="str">
        <f>IFERROR(__xludf.DUMMYFUNCTION("""COMPUTED_VALUE"""),"MFH")</f>
        <v>MFH</v>
      </c>
      <c r="J1102" s="6" t="str">
        <f>IFERROR(__xludf.DUMMYFUNCTION("""COMPUTED_VALUE"""),"Building")</f>
        <v>Building</v>
      </c>
      <c r="K1102" s="6" t="str">
        <f>IFERROR(__xludf.DUMMYFUNCTION("""COMPUTED_VALUE"""),"SPR/08/24/036")</f>
        <v>SPR/08/24/036</v>
      </c>
      <c r="L1102" s="13">
        <f>IFERROR(__xludf.DUMMYFUNCTION("""COMPUTED_VALUE"""),45534.0)</f>
        <v>45534</v>
      </c>
    </row>
    <row r="1103">
      <c r="A1103" s="6" t="str">
        <f>IFERROR(__xludf.DUMMYFUNCTION("""COMPUTED_VALUE"""),"SFH")</f>
        <v>SFH</v>
      </c>
      <c r="B1103" s="6" t="str">
        <f>IFERROR(__xludf.DUMMYFUNCTION("""COMPUTED_VALUE"""),"ENG")</f>
        <v>ENG</v>
      </c>
      <c r="C1103" s="6" t="str">
        <f>IFERROR(__xludf.DUMMYFUNCTION("""COMPUTED_VALUE"""),"P-15852-00")</f>
        <v>P-15852-00</v>
      </c>
      <c r="D1103" s="6" t="str">
        <f>IFERROR(__xludf.DUMMYFUNCTION("""COMPUTED_VALUE"""),"AMPLAS EAGLE 500")</f>
        <v>AMPLAS EAGLE 500</v>
      </c>
      <c r="E1103" s="6">
        <f>IFERROR(__xludf.DUMMYFUNCTION("""COMPUTED_VALUE"""),15.0)</f>
        <v>15</v>
      </c>
      <c r="F1103" s="6">
        <f>IFERROR(__xludf.DUMMYFUNCTION("""COMPUTED_VALUE"""),15.0)</f>
        <v>15</v>
      </c>
      <c r="G1103" s="6">
        <f>IFERROR(__xludf.DUMMYFUNCTION("""COMPUTED_VALUE"""),0.0)</f>
        <v>0</v>
      </c>
      <c r="H1103" s="6" t="str">
        <f>IFERROR(__xludf.DUMMYFUNCTION("""COMPUTED_VALUE"""),"pcs")</f>
        <v>pcs</v>
      </c>
      <c r="I1103" s="6" t="str">
        <f>IFERROR(__xludf.DUMMYFUNCTION("""COMPUTED_VALUE"""),"MFH")</f>
        <v>MFH</v>
      </c>
      <c r="J1103" s="6" t="str">
        <f>IFERROR(__xludf.DUMMYFUNCTION("""COMPUTED_VALUE"""),"Building")</f>
        <v>Building</v>
      </c>
      <c r="K1103" s="6" t="str">
        <f>IFERROR(__xludf.DUMMYFUNCTION("""COMPUTED_VALUE"""),"SPR/08/24/036")</f>
        <v>SPR/08/24/036</v>
      </c>
      <c r="L1103" s="13">
        <f>IFERROR(__xludf.DUMMYFUNCTION("""COMPUTED_VALUE"""),45534.0)</f>
        <v>45534</v>
      </c>
    </row>
    <row r="1104">
      <c r="A1104" s="6" t="str">
        <f>IFERROR(__xludf.DUMMYFUNCTION("""COMPUTED_VALUE"""),"SFH")</f>
        <v>SFH</v>
      </c>
      <c r="B1104" s="6" t="str">
        <f>IFERROR(__xludf.DUMMYFUNCTION("""COMPUTED_VALUE"""),"ENG")</f>
        <v>ENG</v>
      </c>
      <c r="C1104" s="6" t="str">
        <f>IFERROR(__xludf.DUMMYFUNCTION("""COMPUTED_VALUE"""),"Q-60036-00")</f>
        <v>Q-60036-00</v>
      </c>
      <c r="D1104" s="6" t="str">
        <f>IFERROR(__xludf.DUMMYFUNCTION("""COMPUTED_VALUE"""),"Cat F-Talit KF-611 / Hellay Grey / 115-611 @ 1 KG")</f>
        <v>Cat F-Talit KF-611 / Hellay Grey / 115-611 @ 1 KG</v>
      </c>
      <c r="E1104" s="6">
        <f>IFERROR(__xludf.DUMMYFUNCTION("""COMPUTED_VALUE"""),4.0)</f>
        <v>4</v>
      </c>
      <c r="F1104" s="6">
        <f>IFERROR(__xludf.DUMMYFUNCTION("""COMPUTED_VALUE"""),4.0)</f>
        <v>4</v>
      </c>
      <c r="G1104" s="6">
        <f>IFERROR(__xludf.DUMMYFUNCTION("""COMPUTED_VALUE"""),0.0)</f>
        <v>0</v>
      </c>
      <c r="H1104" s="6" t="str">
        <f>IFERROR(__xludf.DUMMYFUNCTION("""COMPUTED_VALUE"""),"pcs")</f>
        <v>pcs</v>
      </c>
      <c r="I1104" s="6" t="str">
        <f>IFERROR(__xludf.DUMMYFUNCTION("""COMPUTED_VALUE"""),"MFH")</f>
        <v>MFH</v>
      </c>
      <c r="J1104" s="6" t="str">
        <f>IFERROR(__xludf.DUMMYFUNCTION("""COMPUTED_VALUE"""),"Building")</f>
        <v>Building</v>
      </c>
      <c r="K1104" s="6" t="str">
        <f>IFERROR(__xludf.DUMMYFUNCTION("""COMPUTED_VALUE"""),"SPR/08/24/037")</f>
        <v>SPR/08/24/037</v>
      </c>
      <c r="L1104" s="13">
        <f>IFERROR(__xludf.DUMMYFUNCTION("""COMPUTED_VALUE"""),45534.0)</f>
        <v>45534</v>
      </c>
    </row>
    <row r="1105">
      <c r="A1105" s="6" t="str">
        <f>IFERROR(__xludf.DUMMYFUNCTION("""COMPUTED_VALUE"""),"SFH")</f>
        <v>SFH</v>
      </c>
      <c r="B1105" s="6" t="str">
        <f>IFERROR(__xludf.DUMMYFUNCTION("""COMPUTED_VALUE"""),"ENG")</f>
        <v>ENG</v>
      </c>
      <c r="C1105" s="6" t="str">
        <f>IFERROR(__xludf.DUMMYFUNCTION("""COMPUTED_VALUE"""),"Q-10128-00")</f>
        <v>Q-10128-00</v>
      </c>
      <c r="D1105" s="6" t="str">
        <f>IFERROR(__xludf.DUMMYFUNCTION("""COMPUTED_VALUE"""),"Thinner Super End/Impala @ 1 Liter")</f>
        <v>Thinner Super End/Impala @ 1 Liter</v>
      </c>
      <c r="E1105" s="6">
        <f>IFERROR(__xludf.DUMMYFUNCTION("""COMPUTED_VALUE"""),6.0)</f>
        <v>6</v>
      </c>
      <c r="F1105" s="6">
        <f>IFERROR(__xludf.DUMMYFUNCTION("""COMPUTED_VALUE"""),3.0)</f>
        <v>3</v>
      </c>
      <c r="G1105" s="6">
        <f>IFERROR(__xludf.DUMMYFUNCTION("""COMPUTED_VALUE"""),0.0)</f>
        <v>0</v>
      </c>
      <c r="H1105" s="6" t="str">
        <f>IFERROR(__xludf.DUMMYFUNCTION("""COMPUTED_VALUE"""),"pcs")</f>
        <v>pcs</v>
      </c>
      <c r="I1105" s="6" t="str">
        <f>IFERROR(__xludf.DUMMYFUNCTION("""COMPUTED_VALUE"""),"MFH")</f>
        <v>MFH</v>
      </c>
      <c r="J1105" s="6" t="str">
        <f>IFERROR(__xludf.DUMMYFUNCTION("""COMPUTED_VALUE"""),"Building")</f>
        <v>Building</v>
      </c>
      <c r="K1105" s="6" t="str">
        <f>IFERROR(__xludf.DUMMYFUNCTION("""COMPUTED_VALUE"""),"SPR/08/24/037")</f>
        <v>SPR/08/24/037</v>
      </c>
      <c r="L1105" s="13">
        <f>IFERROR(__xludf.DUMMYFUNCTION("""COMPUTED_VALUE"""),45534.0)</f>
        <v>45534</v>
      </c>
    </row>
    <row r="1106">
      <c r="A1106" s="6" t="str">
        <f>IFERROR(__xludf.DUMMYFUNCTION("""COMPUTED_VALUE"""),"SFH")</f>
        <v>SFH</v>
      </c>
      <c r="B1106" s="6" t="str">
        <f>IFERROR(__xludf.DUMMYFUNCTION("""COMPUTED_VALUE"""),"ENG")</f>
        <v>ENG</v>
      </c>
      <c r="C1106" s="6" t="str">
        <f>IFERROR(__xludf.DUMMYFUNCTION("""COMPUTED_VALUE"""),"Q-60025-00")</f>
        <v>Q-60025-00</v>
      </c>
      <c r="D1106" s="6" t="str">
        <f>IFERROR(__xludf.DUMMYFUNCTION("""COMPUTED_VALUE"""),"Kuas Eterna 1")</f>
        <v>Kuas Eterna 1</v>
      </c>
      <c r="E1106" s="6">
        <f>IFERROR(__xludf.DUMMYFUNCTION("""COMPUTED_VALUE"""),1.0)</f>
        <v>1</v>
      </c>
      <c r="F1106" s="6">
        <f>IFERROR(__xludf.DUMMYFUNCTION("""COMPUTED_VALUE"""),1.0)</f>
        <v>1</v>
      </c>
      <c r="G1106" s="6">
        <f>IFERROR(__xludf.DUMMYFUNCTION("""COMPUTED_VALUE"""),0.0)</f>
        <v>0</v>
      </c>
      <c r="H1106" s="6" t="str">
        <f>IFERROR(__xludf.DUMMYFUNCTION("""COMPUTED_VALUE"""),"pcs")</f>
        <v>pcs</v>
      </c>
      <c r="I1106" s="6" t="str">
        <f>IFERROR(__xludf.DUMMYFUNCTION("""COMPUTED_VALUE"""),"MFH")</f>
        <v>MFH</v>
      </c>
      <c r="J1106" s="6" t="str">
        <f>IFERROR(__xludf.DUMMYFUNCTION("""COMPUTED_VALUE"""),"Building")</f>
        <v>Building</v>
      </c>
      <c r="K1106" s="6" t="str">
        <f>IFERROR(__xludf.DUMMYFUNCTION("""COMPUTED_VALUE"""),"SPR/08/24/037")</f>
        <v>SPR/08/24/037</v>
      </c>
      <c r="L1106" s="13">
        <f>IFERROR(__xludf.DUMMYFUNCTION("""COMPUTED_VALUE"""),45534.0)</f>
        <v>45534</v>
      </c>
    </row>
    <row r="1107">
      <c r="A1107" s="6" t="str">
        <f>IFERROR(__xludf.DUMMYFUNCTION("""COMPUTED_VALUE"""),"SFH")</f>
        <v>SFH</v>
      </c>
      <c r="B1107" s="6" t="str">
        <f>IFERROR(__xludf.DUMMYFUNCTION("""COMPUTED_VALUE"""),"ENG")</f>
        <v>ENG</v>
      </c>
      <c r="C1107" s="6" t="str">
        <f>IFERROR(__xludf.DUMMYFUNCTION("""COMPUTED_VALUE"""),"Q-10153-00")</f>
        <v>Q-10153-00</v>
      </c>
      <c r="D1107" s="6" t="str">
        <f>IFERROR(__xludf.DUMMYFUNCTION("""COMPUTED_VALUE"""),"Roller cat 110mm")</f>
        <v>Roller cat 110mm</v>
      </c>
      <c r="E1107" s="6">
        <f>IFERROR(__xludf.DUMMYFUNCTION("""COMPUTED_VALUE"""),1.0)</f>
        <v>1</v>
      </c>
      <c r="F1107" s="6">
        <f>IFERROR(__xludf.DUMMYFUNCTION("""COMPUTED_VALUE"""),1.0)</f>
        <v>1</v>
      </c>
      <c r="G1107" s="6">
        <f>IFERROR(__xludf.DUMMYFUNCTION("""COMPUTED_VALUE"""),0.0)</f>
        <v>0</v>
      </c>
      <c r="H1107" s="6" t="str">
        <f>IFERROR(__xludf.DUMMYFUNCTION("""COMPUTED_VALUE"""),"pcs")</f>
        <v>pcs</v>
      </c>
      <c r="I1107" s="6" t="str">
        <f>IFERROR(__xludf.DUMMYFUNCTION("""COMPUTED_VALUE"""),"MFH")</f>
        <v>MFH</v>
      </c>
      <c r="J1107" s="6" t="str">
        <f>IFERROR(__xludf.DUMMYFUNCTION("""COMPUTED_VALUE"""),"Building")</f>
        <v>Building</v>
      </c>
      <c r="K1107" s="6" t="str">
        <f>IFERROR(__xludf.DUMMYFUNCTION("""COMPUTED_VALUE"""),"SPR/08/24/038")</f>
        <v>SPR/08/24/038</v>
      </c>
      <c r="L1107" s="13">
        <f>IFERROR(__xludf.DUMMYFUNCTION("""COMPUTED_VALUE"""),45534.0)</f>
        <v>45534</v>
      </c>
    </row>
    <row r="1108">
      <c r="A1108" s="6" t="str">
        <f>IFERROR(__xludf.DUMMYFUNCTION("""COMPUTED_VALUE"""),"SFH")</f>
        <v>SFH</v>
      </c>
      <c r="B1108" s="6" t="str">
        <f>IFERROR(__xludf.DUMMYFUNCTION("""COMPUTED_VALUE"""),"ENG")</f>
        <v>ENG</v>
      </c>
      <c r="C1108" s="6" t="str">
        <f>IFERROR(__xludf.DUMMYFUNCTION("""COMPUTED_VALUE"""),"P-15852-00")</f>
        <v>P-15852-00</v>
      </c>
      <c r="D1108" s="6" t="str">
        <f>IFERROR(__xludf.DUMMYFUNCTION("""COMPUTED_VALUE"""),"AMPLAS EAGLE 500")</f>
        <v>AMPLAS EAGLE 500</v>
      </c>
      <c r="E1108" s="6">
        <f>IFERROR(__xludf.DUMMYFUNCTION("""COMPUTED_VALUE"""),4.0)</f>
        <v>4</v>
      </c>
      <c r="F1108" s="6">
        <f>IFERROR(__xludf.DUMMYFUNCTION("""COMPUTED_VALUE"""),4.0)</f>
        <v>4</v>
      </c>
      <c r="G1108" s="6">
        <f>IFERROR(__xludf.DUMMYFUNCTION("""COMPUTED_VALUE"""),0.0)</f>
        <v>0</v>
      </c>
      <c r="H1108" s="6" t="str">
        <f>IFERROR(__xludf.DUMMYFUNCTION("""COMPUTED_VALUE"""),"pcs")</f>
        <v>pcs</v>
      </c>
      <c r="I1108" s="6" t="str">
        <f>IFERROR(__xludf.DUMMYFUNCTION("""COMPUTED_VALUE"""),"MFH")</f>
        <v>MFH</v>
      </c>
      <c r="J1108" s="6" t="str">
        <f>IFERROR(__xludf.DUMMYFUNCTION("""COMPUTED_VALUE"""),"Building")</f>
        <v>Building</v>
      </c>
      <c r="K1108" s="6" t="str">
        <f>IFERROR(__xludf.DUMMYFUNCTION("""COMPUTED_VALUE"""),"SPR/08/24/038")</f>
        <v>SPR/08/24/038</v>
      </c>
      <c r="L1108" s="13">
        <f>IFERROR(__xludf.DUMMYFUNCTION("""COMPUTED_VALUE"""),45534.0)</f>
        <v>45534</v>
      </c>
    </row>
    <row r="1109">
      <c r="A1109" s="6" t="str">
        <f>IFERROR(__xludf.DUMMYFUNCTION("""COMPUTED_VALUE"""),"MRN")</f>
        <v>MRN</v>
      </c>
      <c r="B1109" s="6" t="str">
        <f>IFERROR(__xludf.DUMMYFUNCTION("""COMPUTED_VALUE"""),"ENG")</f>
        <v>ENG</v>
      </c>
      <c r="C1109" s="6" t="str">
        <f>IFERROR(__xludf.DUMMYFUNCTION("""COMPUTED_VALUE"""),"P-19255-00")</f>
        <v>P-19255-00</v>
      </c>
      <c r="D1109" s="6" t="str">
        <f>IFERROR(__xludf.DUMMYFUNCTION("""COMPUTED_VALUE"""),"Plastic Tubing PUN-H-14x2-BL; Festo; 570386;")</f>
        <v>Plastic Tubing PUN-H-14x2-BL; Festo; 570386;</v>
      </c>
      <c r="E1109" s="6">
        <f>IFERROR(__xludf.DUMMYFUNCTION("""COMPUTED_VALUE"""),10.0)</f>
        <v>10</v>
      </c>
      <c r="F1109" s="6">
        <f>IFERROR(__xludf.DUMMYFUNCTION("""COMPUTED_VALUE"""),3.0)</f>
        <v>3</v>
      </c>
      <c r="G1109" s="6">
        <f>IFERROR(__xludf.DUMMYFUNCTION("""COMPUTED_VALUE"""),0.0)</f>
        <v>0</v>
      </c>
      <c r="H1109" s="6" t="str">
        <f>IFERROR(__xludf.DUMMYFUNCTION("""COMPUTED_VALUE"""),"pcs")</f>
        <v>pcs</v>
      </c>
      <c r="I1109" s="6" t="str">
        <f>IFERROR(__xludf.DUMMYFUNCTION("""COMPUTED_VALUE"""),"MFH")</f>
        <v>MFH</v>
      </c>
      <c r="J1109" s="6" t="str">
        <f>IFERROR(__xludf.DUMMYFUNCTION("""COMPUTED_VALUE"""),"-")</f>
        <v>-</v>
      </c>
      <c r="K1109" s="6" t="str">
        <f>IFERROR(__xludf.DUMMYFUNCTION("""COMPUTED_VALUE"""),"SPR/08/24/039")</f>
        <v>SPR/08/24/039</v>
      </c>
      <c r="L1109" s="13">
        <f>IFERROR(__xludf.DUMMYFUNCTION("""COMPUTED_VALUE"""),45534.0)</f>
        <v>45534</v>
      </c>
    </row>
    <row r="1110">
      <c r="A1110" s="6" t="str">
        <f>IFERROR(__xludf.DUMMYFUNCTION("""COMPUTED_VALUE"""),"AAA")</f>
        <v>AAA</v>
      </c>
      <c r="B1110" s="6" t="str">
        <f>IFERROR(__xludf.DUMMYFUNCTION("""COMPUTED_VALUE"""),"ENG")</f>
        <v>ENG</v>
      </c>
      <c r="C1110" s="6" t="str">
        <f>IFERROR(__xludf.DUMMYFUNCTION("""COMPUTED_VALUE"""),"O-17988-00")</f>
        <v>O-17988-00</v>
      </c>
      <c r="D1110" s="6" t="str">
        <f>IFERROR(__xludf.DUMMYFUNCTION("""COMPUTED_VALUE"""),"Cam Follow (Idle Pin); INA; KR16-X-PP-A; pc")</f>
        <v>Cam Follow (Idle Pin); INA; KR16-X-PP-A; pc</v>
      </c>
      <c r="E1110" s="6">
        <f>IFERROR(__xludf.DUMMYFUNCTION("""COMPUTED_VALUE"""),10.0)</f>
        <v>10</v>
      </c>
      <c r="F1110" s="6">
        <f>IFERROR(__xludf.DUMMYFUNCTION("""COMPUTED_VALUE"""),10.0)</f>
        <v>10</v>
      </c>
      <c r="G1110" s="6">
        <f>IFERROR(__xludf.DUMMYFUNCTION("""COMPUTED_VALUE"""),0.0)</f>
        <v>0</v>
      </c>
      <c r="H1110" s="6" t="str">
        <f>IFERROR(__xludf.DUMMYFUNCTION("""COMPUTED_VALUE"""),"pcs")</f>
        <v>pcs</v>
      </c>
      <c r="I1110" s="6" t="str">
        <f>IFERROR(__xludf.DUMMYFUNCTION("""COMPUTED_VALUE"""),"MFH")</f>
        <v>MFH</v>
      </c>
      <c r="J1110" s="6" t="str">
        <f>IFERROR(__xludf.DUMMYFUNCTION("""COMPUTED_VALUE"""),"Capping")</f>
        <v>Capping</v>
      </c>
      <c r="K1110" s="6" t="str">
        <f>IFERROR(__xludf.DUMMYFUNCTION("""COMPUTED_VALUE"""),"SPR/08/24/040")</f>
        <v>SPR/08/24/040</v>
      </c>
      <c r="L1110" s="13">
        <f>IFERROR(__xludf.DUMMYFUNCTION("""COMPUTED_VALUE"""),45534.0)</f>
        <v>45534</v>
      </c>
    </row>
    <row r="1111">
      <c r="A1111" s="6" t="str">
        <f>IFERROR(__xludf.DUMMYFUNCTION("""COMPUTED_VALUE"""),"AAA")</f>
        <v>AAA</v>
      </c>
      <c r="B1111" s="6" t="str">
        <f>IFERROR(__xludf.DUMMYFUNCTION("""COMPUTED_VALUE"""),"ENG")</f>
        <v>ENG</v>
      </c>
      <c r="C1111" s="6" t="str">
        <f>IFERROR(__xludf.DUMMYFUNCTION("""COMPUTED_VALUE"""),"O-19810-00")</f>
        <v>O-19810-00</v>
      </c>
      <c r="D1111" s="6" t="str">
        <f>IFERROR(__xludf.DUMMYFUNCTION("""COMPUTED_VALUE"""),"Freeze Dryer MBE1207 - Gasket Teflon Uk. 45x41x1.5; Custom; ;")</f>
        <v>Freeze Dryer MBE1207 - Gasket Teflon Uk. 45x41x1.5; Custom; ;</v>
      </c>
      <c r="E1111" s="6">
        <f>IFERROR(__xludf.DUMMYFUNCTION("""COMPUTED_VALUE"""),1.0)</f>
        <v>1</v>
      </c>
      <c r="F1111" s="6">
        <f>IFERROR(__xludf.DUMMYFUNCTION("""COMPUTED_VALUE"""),1.0)</f>
        <v>1</v>
      </c>
      <c r="G1111" s="6">
        <f>IFERROR(__xludf.DUMMYFUNCTION("""COMPUTED_VALUE"""),0.0)</f>
        <v>0</v>
      </c>
      <c r="H1111" s="6" t="str">
        <f>IFERROR(__xludf.DUMMYFUNCTION("""COMPUTED_VALUE"""),"pcs")</f>
        <v>pcs</v>
      </c>
      <c r="I1111" s="6" t="str">
        <f>IFERROR(__xludf.DUMMYFUNCTION("""COMPUTED_VALUE"""),"MFH")</f>
        <v>MFH</v>
      </c>
      <c r="J1111" s="6" t="str">
        <f>IFERROR(__xludf.DUMMYFUNCTION("""COMPUTED_VALUE"""),"FD IMA")</f>
        <v>FD IMA</v>
      </c>
      <c r="K1111" s="6" t="str">
        <f>IFERROR(__xludf.DUMMYFUNCTION("""COMPUTED_VALUE"""),"SPR/08/24/040")</f>
        <v>SPR/08/24/040</v>
      </c>
      <c r="L1111" s="13">
        <f>IFERROR(__xludf.DUMMYFUNCTION("""COMPUTED_VALUE"""),45534.0)</f>
        <v>45534</v>
      </c>
    </row>
    <row r="1112">
      <c r="A1112" s="6" t="str">
        <f>IFERROR(__xludf.DUMMYFUNCTION("""COMPUTED_VALUE"""),"AAA")</f>
        <v>AAA</v>
      </c>
      <c r="B1112" s="6" t="str">
        <f>IFERROR(__xludf.DUMMYFUNCTION("""COMPUTED_VALUE"""),"ENG")</f>
        <v>ENG</v>
      </c>
      <c r="C1112" s="6" t="str">
        <f>IFERROR(__xludf.DUMMYFUNCTION("""COMPUTED_VALUE"""),"O-19901-00")</f>
        <v>O-19901-00</v>
      </c>
      <c r="D1112" s="6" t="str">
        <f>IFERROR(__xludf.DUMMYFUNCTION("""COMPUTED_VALUE"""),"Freeze Dryer MBE1207 - New Seat Valve Dia 36x22x7; Custom; ;")</f>
        <v>Freeze Dryer MBE1207 - New Seat Valve Dia 36x22x7; Custom; ;</v>
      </c>
      <c r="E1112" s="6">
        <f>IFERROR(__xludf.DUMMYFUNCTION("""COMPUTED_VALUE"""),2.0)</f>
        <v>2</v>
      </c>
      <c r="F1112" s="6">
        <f>IFERROR(__xludf.DUMMYFUNCTION("""COMPUTED_VALUE"""),2.0)</f>
        <v>2</v>
      </c>
      <c r="G1112" s="6">
        <f>IFERROR(__xludf.DUMMYFUNCTION("""COMPUTED_VALUE"""),0.0)</f>
        <v>0</v>
      </c>
      <c r="H1112" s="6" t="str">
        <f>IFERROR(__xludf.DUMMYFUNCTION("""COMPUTED_VALUE"""),"pcs")</f>
        <v>pcs</v>
      </c>
      <c r="I1112" s="6" t="str">
        <f>IFERROR(__xludf.DUMMYFUNCTION("""COMPUTED_VALUE"""),"MFH")</f>
        <v>MFH</v>
      </c>
      <c r="J1112" s="6" t="str">
        <f>IFERROR(__xludf.DUMMYFUNCTION("""COMPUTED_VALUE"""),"FD IMA")</f>
        <v>FD IMA</v>
      </c>
      <c r="K1112" s="6" t="str">
        <f>IFERROR(__xludf.DUMMYFUNCTION("""COMPUTED_VALUE"""),"SPR/08/24/040")</f>
        <v>SPR/08/24/040</v>
      </c>
      <c r="L1112" s="13">
        <f>IFERROR(__xludf.DUMMYFUNCTION("""COMPUTED_VALUE"""),45534.0)</f>
        <v>45534</v>
      </c>
    </row>
    <row r="1113">
      <c r="A1113" s="6" t="str">
        <f>IFERROR(__xludf.DUMMYFUNCTION("""COMPUTED_VALUE"""),"RSP")</f>
        <v>RSP</v>
      </c>
      <c r="B1113" s="6" t="str">
        <f>IFERROR(__xludf.DUMMYFUNCTION("""COMPUTED_VALUE"""),"PRO")</f>
        <v>PRO</v>
      </c>
      <c r="C1113" s="6" t="str">
        <f>IFERROR(__xludf.DUMMYFUNCTION("""COMPUTED_VALUE"""),"O-17732-00")</f>
        <v>O-17732-00</v>
      </c>
      <c r="D1113" s="6" t="str">
        <f>IFERROR(__xludf.DUMMYFUNCTION("""COMPUTED_VALUE"""),"Dry Fog - O-ring P4 MULTITRADE GOLDEN SYNERGY, PT P/N : 43100-082 pc")</f>
        <v>Dry Fog - O-ring P4 MULTITRADE GOLDEN SYNERGY, PT P/N : 43100-082 pc</v>
      </c>
      <c r="E1113" s="6">
        <f>IFERROR(__xludf.DUMMYFUNCTION("""COMPUTED_VALUE"""),1.0)</f>
        <v>1</v>
      </c>
      <c r="F1113" s="6">
        <f>IFERROR(__xludf.DUMMYFUNCTION("""COMPUTED_VALUE"""),1.0)</f>
        <v>1</v>
      </c>
      <c r="G1113" s="6">
        <f>IFERROR(__xludf.DUMMYFUNCTION("""COMPUTED_VALUE"""),0.0)</f>
        <v>0</v>
      </c>
      <c r="H1113" s="6" t="str">
        <f>IFERROR(__xludf.DUMMYFUNCTION("""COMPUTED_VALUE"""),"pcs")</f>
        <v>pcs</v>
      </c>
      <c r="I1113" s="6" t="str">
        <f>IFERROR(__xludf.DUMMYFUNCTION("""COMPUTED_VALUE"""),"MFH")</f>
        <v>MFH</v>
      </c>
      <c r="J1113" s="6" t="str">
        <f>IFERROR(__xludf.DUMMYFUNCTION("""COMPUTED_VALUE"""),"Filling")</f>
        <v>Filling</v>
      </c>
      <c r="K1113" s="6" t="str">
        <f>IFERROR(__xludf.DUMMYFUNCTION("""COMPUTED_VALUE"""),"SPR/08/24/041")</f>
        <v>SPR/08/24/041</v>
      </c>
      <c r="L1113" s="13">
        <f>IFERROR(__xludf.DUMMYFUNCTION("""COMPUTED_VALUE"""),45534.0)</f>
        <v>45534</v>
      </c>
    </row>
    <row r="1114">
      <c r="A1114" s="6" t="str">
        <f>IFERROR(__xludf.DUMMYFUNCTION("""COMPUTED_VALUE"""),"RSP")</f>
        <v>RSP</v>
      </c>
      <c r="B1114" s="6" t="str">
        <f>IFERROR(__xludf.DUMMYFUNCTION("""COMPUTED_VALUE"""),"PRO")</f>
        <v>PRO</v>
      </c>
      <c r="C1114" s="6" t="str">
        <f>IFERROR(__xludf.DUMMYFUNCTION("""COMPUTED_VALUE"""),"O-17730-00")</f>
        <v>O-17730-00</v>
      </c>
      <c r="D1114" s="6" t="str">
        <f>IFERROR(__xludf.DUMMYFUNCTION("""COMPUTED_VALUE"""),"Dry Fog - Inner Gasket; P/N. 43100-106; ; ;")</f>
        <v>Dry Fog - Inner Gasket; P/N. 43100-106; ; ;</v>
      </c>
      <c r="E1114" s="6">
        <f>IFERROR(__xludf.DUMMYFUNCTION("""COMPUTED_VALUE"""),4.0)</f>
        <v>4</v>
      </c>
      <c r="F1114" s="6">
        <f>IFERROR(__xludf.DUMMYFUNCTION("""COMPUTED_VALUE"""),4.0)</f>
        <v>4</v>
      </c>
      <c r="G1114" s="6">
        <f>IFERROR(__xludf.DUMMYFUNCTION("""COMPUTED_VALUE"""),0.0)</f>
        <v>0</v>
      </c>
      <c r="H1114" s="6" t="str">
        <f>IFERROR(__xludf.DUMMYFUNCTION("""COMPUTED_VALUE"""),"pcs")</f>
        <v>pcs</v>
      </c>
      <c r="I1114" s="6" t="str">
        <f>IFERROR(__xludf.DUMMYFUNCTION("""COMPUTED_VALUE"""),"MFH")</f>
        <v>MFH</v>
      </c>
      <c r="J1114" s="6" t="str">
        <f>IFERROR(__xludf.DUMMYFUNCTION("""COMPUTED_VALUE"""),"Filling")</f>
        <v>Filling</v>
      </c>
      <c r="K1114" s="6" t="str">
        <f>IFERROR(__xludf.DUMMYFUNCTION("""COMPUTED_VALUE"""),"SPR/08/24/041")</f>
        <v>SPR/08/24/041</v>
      </c>
      <c r="L1114" s="13">
        <f>IFERROR(__xludf.DUMMYFUNCTION("""COMPUTED_VALUE"""),45534.0)</f>
        <v>45534</v>
      </c>
    </row>
    <row r="1115">
      <c r="A1115" s="6" t="str">
        <f>IFERROR(__xludf.DUMMYFUNCTION("""COMPUTED_VALUE"""),"RSP")</f>
        <v>RSP</v>
      </c>
      <c r="B1115" s="6" t="str">
        <f>IFERROR(__xludf.DUMMYFUNCTION("""COMPUTED_VALUE"""),"PRO")</f>
        <v>PRO</v>
      </c>
      <c r="C1115" s="6" t="str">
        <f>IFERROR(__xludf.DUMMYFUNCTION("""COMPUTED_VALUE"""),"O-17729-00")</f>
        <v>O-17729-00</v>
      </c>
      <c r="D1115" s="6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E1115" s="6">
        <f>IFERROR(__xludf.DUMMYFUNCTION("""COMPUTED_VALUE"""),1.0)</f>
        <v>1</v>
      </c>
      <c r="F1115" s="6">
        <f>IFERROR(__xludf.DUMMYFUNCTION("""COMPUTED_VALUE"""),1.0)</f>
        <v>1</v>
      </c>
      <c r="G1115" s="6">
        <f>IFERROR(__xludf.DUMMYFUNCTION("""COMPUTED_VALUE"""),0.0)</f>
        <v>0</v>
      </c>
      <c r="H1115" s="6" t="str">
        <f>IFERROR(__xludf.DUMMYFUNCTION("""COMPUTED_VALUE"""),"pcs")</f>
        <v>pcs</v>
      </c>
      <c r="I1115" s="6" t="str">
        <f>IFERROR(__xludf.DUMMYFUNCTION("""COMPUTED_VALUE"""),"MFH")</f>
        <v>MFH</v>
      </c>
      <c r="J1115" s="6" t="str">
        <f>IFERROR(__xludf.DUMMYFUNCTION("""COMPUTED_VALUE"""),"Filling")</f>
        <v>Filling</v>
      </c>
      <c r="K1115" s="6" t="str">
        <f>IFERROR(__xludf.DUMMYFUNCTION("""COMPUTED_VALUE"""),"SPR/08/24/041")</f>
        <v>SPR/08/24/041</v>
      </c>
      <c r="L1115" s="13">
        <f>IFERROR(__xludf.DUMMYFUNCTION("""COMPUTED_VALUE"""),45534.0)</f>
        <v>45534</v>
      </c>
    </row>
    <row r="1116">
      <c r="A1116" s="6" t="str">
        <f>IFERROR(__xludf.DUMMYFUNCTION("""COMPUTED_VALUE"""),"ROS")</f>
        <v>ROS</v>
      </c>
      <c r="B1116" s="6" t="str">
        <f>IFERROR(__xludf.DUMMYFUNCTION("""COMPUTED_VALUE"""),"ENG")</f>
        <v>ENG</v>
      </c>
      <c r="C1116" s="6" t="str">
        <f>IFERROR(__xludf.DUMMYFUNCTION("""COMPUTED_VALUE"""),"P-11424-00")</f>
        <v>P-11424-00</v>
      </c>
      <c r="D1116" s="6" t="str">
        <f>IFERROR(__xludf.DUMMYFUNCTION("""COMPUTED_VALUE"""),"Selang Festo Pun-H-12x2 Blue 2 x 50 m")</f>
        <v>Selang Festo Pun-H-12x2 Blue 2 x 50 m</v>
      </c>
      <c r="E1116" s="6">
        <f>IFERROR(__xludf.DUMMYFUNCTION("""COMPUTED_VALUE"""),100.0)</f>
        <v>100</v>
      </c>
      <c r="F1116" s="6">
        <f>IFERROR(__xludf.DUMMYFUNCTION("""COMPUTED_VALUE"""),100.0)</f>
        <v>100</v>
      </c>
      <c r="G1116" s="6">
        <f>IFERROR(__xludf.DUMMYFUNCTION("""COMPUTED_VALUE"""),0.0)</f>
        <v>0</v>
      </c>
      <c r="H1116" s="6" t="str">
        <f>IFERROR(__xludf.DUMMYFUNCTION("""COMPUTED_VALUE"""),"Meter")</f>
        <v>Meter</v>
      </c>
      <c r="I1116" s="6" t="str">
        <f>IFERROR(__xludf.DUMMYFUNCTION("""COMPUTED_VALUE"""),"MFH")</f>
        <v>MFH</v>
      </c>
      <c r="J1116" s="6" t="str">
        <f>IFERROR(__xludf.DUMMYFUNCTION("""COMPUTED_VALUE"""),"OSD")</f>
        <v>OSD</v>
      </c>
      <c r="K1116" s="6" t="str">
        <f>IFERROR(__xludf.DUMMYFUNCTION("""COMPUTED_VALUE"""),"SPR/08/24/042")</f>
        <v>SPR/08/24/042</v>
      </c>
      <c r="L1116" s="13">
        <f>IFERROR(__xludf.DUMMYFUNCTION("""COMPUTED_VALUE"""),45534.0)</f>
        <v>45534</v>
      </c>
    </row>
    <row r="1117">
      <c r="A1117" s="6" t="str">
        <f>IFERROR(__xludf.DUMMYFUNCTION("""COMPUTED_VALUE"""),"ROS")</f>
        <v>ROS</v>
      </c>
      <c r="B1117" s="6" t="str">
        <f>IFERROR(__xludf.DUMMYFUNCTION("""COMPUTED_VALUE"""),"ENG")</f>
        <v>ENG</v>
      </c>
      <c r="C1117" s="6" t="str">
        <f>IFERROR(__xludf.DUMMYFUNCTION("""COMPUTED_VALUE"""),"O-18356-00")</f>
        <v>O-18356-00</v>
      </c>
      <c r="D1117" s="6" t="str">
        <f>IFERROR(__xludf.DUMMYFUNCTION("""COMPUTED_VALUE"""),"Pipa Ornamen 2.5 Inch; ; ;; ; ;")</f>
        <v>Pipa Ornamen 2.5 Inch; ; ;; ; ;</v>
      </c>
      <c r="E1117" s="6">
        <f>IFERROR(__xludf.DUMMYFUNCTION("""COMPUTED_VALUE"""),12.0)</f>
        <v>12</v>
      </c>
      <c r="F1117" s="6">
        <f>IFERROR(__xludf.DUMMYFUNCTION("""COMPUTED_VALUE"""),12.0)</f>
        <v>12</v>
      </c>
      <c r="G1117" s="6">
        <f>IFERROR(__xludf.DUMMYFUNCTION("""COMPUTED_VALUE"""),0.0)</f>
        <v>0</v>
      </c>
      <c r="H1117" s="6" t="str">
        <f>IFERROR(__xludf.DUMMYFUNCTION("""COMPUTED_VALUE"""),"Meter")</f>
        <v>Meter</v>
      </c>
      <c r="I1117" s="6" t="str">
        <f>IFERROR(__xludf.DUMMYFUNCTION("""COMPUTED_VALUE"""),"MFH")</f>
        <v>MFH</v>
      </c>
      <c r="J1117" s="6" t="str">
        <f>IFERROR(__xludf.DUMMYFUNCTION("""COMPUTED_VALUE"""),"OSD")</f>
        <v>OSD</v>
      </c>
      <c r="K1117" s="6" t="str">
        <f>IFERROR(__xludf.DUMMYFUNCTION("""COMPUTED_VALUE"""),"SPR/08/24/042")</f>
        <v>SPR/08/24/042</v>
      </c>
      <c r="L1117" s="13">
        <f>IFERROR(__xludf.DUMMYFUNCTION("""COMPUTED_VALUE"""),45534.0)</f>
        <v>45534</v>
      </c>
    </row>
    <row r="1118">
      <c r="A1118" s="6" t="str">
        <f>IFERROR(__xludf.DUMMYFUNCTION("""COMPUTED_VALUE"""),"ROS")</f>
        <v>ROS</v>
      </c>
      <c r="B1118" s="6" t="str">
        <f>IFERROR(__xludf.DUMMYFUNCTION("""COMPUTED_VALUE"""),"ENG")</f>
        <v>ENG</v>
      </c>
      <c r="C1118" s="6" t="str">
        <f>IFERROR(__xludf.DUMMYFUNCTION("""COMPUTED_VALUE"""),"O-19779-00")</f>
        <v>O-19779-00</v>
      </c>
      <c r="D1118" s="6" t="str">
        <f>IFERROR(__xludf.DUMMYFUNCTION("""COMPUTED_VALUE"""),"Part Tunnel Qualifikasi Uk. 735x 450x 245, Material SUS 304; Custom; ;")</f>
        <v>Part Tunnel Qualifikasi Uk. 735x 450x 245, Material SUS 304; Custom; ;</v>
      </c>
      <c r="E1118" s="6">
        <f>IFERROR(__xludf.DUMMYFUNCTION("""COMPUTED_VALUE"""),1.0)</f>
        <v>1</v>
      </c>
      <c r="F1118" s="6">
        <f>IFERROR(__xludf.DUMMYFUNCTION("""COMPUTED_VALUE"""),1.0)</f>
        <v>1</v>
      </c>
      <c r="G1118" s="6">
        <f>IFERROR(__xludf.DUMMYFUNCTION("""COMPUTED_VALUE"""),0.0)</f>
        <v>0</v>
      </c>
      <c r="H1118" s="6" t="str">
        <f>IFERROR(__xludf.DUMMYFUNCTION("""COMPUTED_VALUE"""),"pcs")</f>
        <v>pcs</v>
      </c>
      <c r="I1118" s="6" t="str">
        <f>IFERROR(__xludf.DUMMYFUNCTION("""COMPUTED_VALUE"""),"MFH")</f>
        <v>MFH</v>
      </c>
      <c r="J1118" s="6" t="str">
        <f>IFERROR(__xludf.DUMMYFUNCTION("""COMPUTED_VALUE"""),"Tunnel")</f>
        <v>Tunnel</v>
      </c>
      <c r="K1118" s="6" t="str">
        <f>IFERROR(__xludf.DUMMYFUNCTION("""COMPUTED_VALUE"""),"SPR/08/24/042")</f>
        <v>SPR/08/24/042</v>
      </c>
      <c r="L1118" s="13">
        <f>IFERROR(__xludf.DUMMYFUNCTION("""COMPUTED_VALUE"""),45534.0)</f>
        <v>45534</v>
      </c>
    </row>
    <row r="1119">
      <c r="A1119" s="6" t="str">
        <f>IFERROR(__xludf.DUMMYFUNCTION("""COMPUTED_VALUE"""),"SFH")</f>
        <v>SFH</v>
      </c>
      <c r="B1119" s="6" t="str">
        <f>IFERROR(__xludf.DUMMYFUNCTION("""COMPUTED_VALUE"""),"ENG")</f>
        <v>ENG</v>
      </c>
      <c r="C1119" s="6" t="str">
        <f>IFERROR(__xludf.DUMMYFUNCTION("""COMPUTED_VALUE"""),"Q-60401-00")</f>
        <v>Q-60401-00</v>
      </c>
      <c r="D1119" s="6" t="str">
        <f>IFERROR(__xludf.DUMMYFUNCTION("""COMPUTED_VALUE"""),"Handle Pintu Bulat, Elbow Press Lock; Meroni; N13NE TB127;")</f>
        <v>Handle Pintu Bulat, Elbow Press Lock; Meroni; N13NE TB127;</v>
      </c>
      <c r="E1119" s="6">
        <f>IFERROR(__xludf.DUMMYFUNCTION("""COMPUTED_VALUE"""),4.0)</f>
        <v>4</v>
      </c>
      <c r="F1119" s="6">
        <f>IFERROR(__xludf.DUMMYFUNCTION("""COMPUTED_VALUE"""),4.0)</f>
        <v>4</v>
      </c>
      <c r="G1119" s="6">
        <f>IFERROR(__xludf.DUMMYFUNCTION("""COMPUTED_VALUE"""),0.0)</f>
        <v>0</v>
      </c>
      <c r="H1119" s="6" t="str">
        <f>IFERROR(__xludf.DUMMYFUNCTION("""COMPUTED_VALUE"""),"pcs")</f>
        <v>pcs</v>
      </c>
      <c r="I1119" s="6" t="str">
        <f>IFERROR(__xludf.DUMMYFUNCTION("""COMPUTED_VALUE"""),"MFH")</f>
        <v>MFH</v>
      </c>
      <c r="J1119" s="6" t="str">
        <f>IFERROR(__xludf.DUMMYFUNCTION("""COMPUTED_VALUE"""),"Building")</f>
        <v>Building</v>
      </c>
      <c r="K1119" s="6" t="str">
        <f>IFERROR(__xludf.DUMMYFUNCTION("""COMPUTED_VALUE"""),"SPR/08/24/043")</f>
        <v>SPR/08/24/043</v>
      </c>
      <c r="L1119" s="13">
        <f>IFERROR(__xludf.DUMMYFUNCTION("""COMPUTED_VALUE"""),45534.0)</f>
        <v>45534</v>
      </c>
    </row>
    <row r="1120">
      <c r="A1120" s="6" t="str">
        <f>IFERROR(__xludf.DUMMYFUNCTION("""COMPUTED_VALUE"""),"SFH")</f>
        <v>SFH</v>
      </c>
      <c r="B1120" s="6" t="str">
        <f>IFERROR(__xludf.DUMMYFUNCTION("""COMPUTED_VALUE"""),"ENG")</f>
        <v>ENG</v>
      </c>
      <c r="C1120" s="6" t="str">
        <f>IFERROR(__xludf.DUMMYFUNCTION("""COMPUTED_VALUE"""),"P-19029-00")</f>
        <v>P-19029-00</v>
      </c>
      <c r="D1120" s="6" t="str">
        <f>IFERROR(__xludf.DUMMYFUNCTION("""COMPUTED_VALUE"""),"Washable G4 Avg arrestance : 94%. Rec. Final resistance: 250 Pa. Size: 12"" x 24"" x 2""; IAF; ; pcs")</f>
        <v>Washable G4 Avg arrestance : 94%. Rec. Final resistance: 250 Pa. Size: 12" x 24" x 2"; IAF; ; pcs</v>
      </c>
      <c r="E1120" s="6">
        <f>IFERROR(__xludf.DUMMYFUNCTION("""COMPUTED_VALUE"""),10.0)</f>
        <v>10</v>
      </c>
      <c r="F1120" s="6">
        <f>IFERROR(__xludf.DUMMYFUNCTION("""COMPUTED_VALUE"""),10.0)</f>
        <v>10</v>
      </c>
      <c r="G1120" s="6">
        <f>IFERROR(__xludf.DUMMYFUNCTION("""COMPUTED_VALUE"""),0.0)</f>
        <v>0</v>
      </c>
      <c r="H1120" s="6" t="str">
        <f>IFERROR(__xludf.DUMMYFUNCTION("""COMPUTED_VALUE"""),"pcs")</f>
        <v>pcs</v>
      </c>
      <c r="I1120" s="6" t="str">
        <f>IFERROR(__xludf.DUMMYFUNCTION("""COMPUTED_VALUE"""),"MFH")</f>
        <v>MFH</v>
      </c>
      <c r="J1120" s="6" t="str">
        <f>IFERROR(__xludf.DUMMYFUNCTION("""COMPUTED_VALUE"""),"AHU")</f>
        <v>AHU</v>
      </c>
      <c r="K1120" s="6" t="str">
        <f>IFERROR(__xludf.DUMMYFUNCTION("""COMPUTED_VALUE"""),"SPR/08/24/043")</f>
        <v>SPR/08/24/043</v>
      </c>
      <c r="L1120" s="13">
        <f>IFERROR(__xludf.DUMMYFUNCTION("""COMPUTED_VALUE"""),45534.0)</f>
        <v>45534</v>
      </c>
    </row>
    <row r="1121">
      <c r="A1121" s="6" t="str">
        <f>IFERROR(__xludf.DUMMYFUNCTION("""COMPUTED_VALUE"""),"SFH")</f>
        <v>SFH</v>
      </c>
      <c r="B1121" s="6" t="str">
        <f>IFERROR(__xludf.DUMMYFUNCTION("""COMPUTED_VALUE"""),"ENG")</f>
        <v>ENG</v>
      </c>
      <c r="C1121" s="6" t="str">
        <f>IFERROR(__xludf.DUMMYFUNCTION("""COMPUTED_VALUE"""),"P-19028-00")</f>
        <v>P-19028-00</v>
      </c>
      <c r="D1121" s="6" t="str">
        <f>IFERROR(__xludf.DUMMYFUNCTION("""COMPUTED_VALUE"""),"Washable G4 Avg arrestance : 94%. Rec. Final resistance: 250 Pa. Size: 24"" x 24"" x 2""; IAF; ; pcs")</f>
        <v>Washable G4 Avg arrestance : 94%. Rec. Final resistance: 250 Pa. Size: 24" x 24" x 2"; IAF; ; pcs</v>
      </c>
      <c r="E1121" s="6">
        <f>IFERROR(__xludf.DUMMYFUNCTION("""COMPUTED_VALUE"""),15.0)</f>
        <v>15</v>
      </c>
      <c r="F1121" s="6">
        <f>IFERROR(__xludf.DUMMYFUNCTION("""COMPUTED_VALUE"""),15.0)</f>
        <v>15</v>
      </c>
      <c r="G1121" s="6">
        <f>IFERROR(__xludf.DUMMYFUNCTION("""COMPUTED_VALUE"""),0.0)</f>
        <v>0</v>
      </c>
      <c r="H1121" s="6" t="str">
        <f>IFERROR(__xludf.DUMMYFUNCTION("""COMPUTED_VALUE"""),"pcs")</f>
        <v>pcs</v>
      </c>
      <c r="I1121" s="6" t="str">
        <f>IFERROR(__xludf.DUMMYFUNCTION("""COMPUTED_VALUE"""),"MFH")</f>
        <v>MFH</v>
      </c>
      <c r="J1121" s="6" t="str">
        <f>IFERROR(__xludf.DUMMYFUNCTION("""COMPUTED_VALUE"""),"AHU")</f>
        <v>AHU</v>
      </c>
      <c r="K1121" s="6" t="str">
        <f>IFERROR(__xludf.DUMMYFUNCTION("""COMPUTED_VALUE"""),"SPR/08/24/043")</f>
        <v>SPR/08/24/043</v>
      </c>
      <c r="L1121" s="13">
        <f>IFERROR(__xludf.DUMMYFUNCTION("""COMPUTED_VALUE"""),45534.0)</f>
        <v>45534</v>
      </c>
    </row>
    <row r="1122">
      <c r="A1122" s="6" t="str">
        <f>IFERROR(__xludf.DUMMYFUNCTION("""COMPUTED_VALUE"""),"SFH")</f>
        <v>SFH</v>
      </c>
      <c r="B1122" s="6" t="str">
        <f>IFERROR(__xludf.DUMMYFUNCTION("""COMPUTED_VALUE"""),"ENG")</f>
        <v>ENG</v>
      </c>
      <c r="C1122" s="6" t="str">
        <f>IFERROR(__xludf.DUMMYFUNCTION("""COMPUTED_VALUE"""),"P-13732-00")</f>
        <v>P-13732-00</v>
      </c>
      <c r="D1122" s="6" t="str">
        <f>IFERROR(__xludf.DUMMYFUNCTION("""COMPUTED_VALUE"""),"Pressure Reducing Valve Flange End PN16 DN40; ; ;")</f>
        <v>Pressure Reducing Valve Flange End PN16 DN40; ; ;</v>
      </c>
      <c r="E1122" s="6">
        <f>IFERROR(__xludf.DUMMYFUNCTION("""COMPUTED_VALUE"""),1.0)</f>
        <v>1</v>
      </c>
      <c r="F1122" s="6">
        <f>IFERROR(__xludf.DUMMYFUNCTION("""COMPUTED_VALUE"""),1.0)</f>
        <v>1</v>
      </c>
      <c r="G1122" s="6">
        <f>IFERROR(__xludf.DUMMYFUNCTION("""COMPUTED_VALUE"""),0.0)</f>
        <v>0</v>
      </c>
      <c r="H1122" s="6" t="str">
        <f>IFERROR(__xludf.DUMMYFUNCTION("""COMPUTED_VALUE"""),"pcs")</f>
        <v>pcs</v>
      </c>
      <c r="I1122" s="6" t="str">
        <f>IFERROR(__xludf.DUMMYFUNCTION("""COMPUTED_VALUE"""),"MFH")</f>
        <v>MFH</v>
      </c>
      <c r="J1122" s="6" t="str">
        <f>IFERROR(__xludf.DUMMYFUNCTION("""COMPUTED_VALUE"""),"PW")</f>
        <v>PW</v>
      </c>
      <c r="K1122" s="6" t="str">
        <f>IFERROR(__xludf.DUMMYFUNCTION("""COMPUTED_VALUE"""),"SPR/08/24/044")</f>
        <v>SPR/08/24/044</v>
      </c>
      <c r="L1122" s="13">
        <f>IFERROR(__xludf.DUMMYFUNCTION("""COMPUTED_VALUE"""),45534.0)</f>
        <v>45534</v>
      </c>
    </row>
    <row r="1123">
      <c r="A1123" s="6" t="str">
        <f>IFERROR(__xludf.DUMMYFUNCTION("""COMPUTED_VALUE"""),"AAA")</f>
        <v>AAA</v>
      </c>
      <c r="B1123" s="6" t="str">
        <f>IFERROR(__xludf.DUMMYFUNCTION("""COMPUTED_VALUE"""),"ENG")</f>
        <v>ENG</v>
      </c>
      <c r="C1123" s="6" t="str">
        <f>IFERROR(__xludf.DUMMYFUNCTION("""COMPUTED_VALUE"""),"O-54168-00")</f>
        <v>O-54168-00</v>
      </c>
      <c r="D1123" s="6" t="str">
        <f>IFERROR(__xludf.DUMMYFUNCTION("""COMPUTED_VALUE"""),"Connector Cable CID408-5; Autonics; H7950000607;")</f>
        <v>Connector Cable CID408-5; Autonics; H7950000607;</v>
      </c>
      <c r="E1123" s="6">
        <f>IFERROR(__xludf.DUMMYFUNCTION("""COMPUTED_VALUE"""),1.0)</f>
        <v>1</v>
      </c>
      <c r="F1123" s="6">
        <f>IFERROR(__xludf.DUMMYFUNCTION("""COMPUTED_VALUE"""),1.0)</f>
        <v>1</v>
      </c>
      <c r="G1123" s="6">
        <f>IFERROR(__xludf.DUMMYFUNCTION("""COMPUTED_VALUE"""),0.0)</f>
        <v>0</v>
      </c>
      <c r="H1123" s="6" t="str">
        <f>IFERROR(__xludf.DUMMYFUNCTION("""COMPUTED_VALUE"""),"pcs")</f>
        <v>pcs</v>
      </c>
      <c r="I1123" s="6" t="str">
        <f>IFERROR(__xludf.DUMMYFUNCTION("""COMPUTED_VALUE"""),"MFH")</f>
        <v>MFH</v>
      </c>
      <c r="J1123" s="6" t="str">
        <f>IFERROR(__xludf.DUMMYFUNCTION("""COMPUTED_VALUE"""),"Washing")</f>
        <v>Washing</v>
      </c>
      <c r="K1123" s="6" t="str">
        <f>IFERROR(__xludf.DUMMYFUNCTION("""COMPUTED_VALUE"""),"SPR/08/24/045")</f>
        <v>SPR/08/24/045</v>
      </c>
      <c r="L1123" s="13">
        <f>IFERROR(__xludf.DUMMYFUNCTION("""COMPUTED_VALUE"""),45534.0)</f>
        <v>45534</v>
      </c>
    </row>
    <row r="1124">
      <c r="A1124" s="6" t="str">
        <f>IFERROR(__xludf.DUMMYFUNCTION("""COMPUTED_VALUE"""),"AAA")</f>
        <v>AAA</v>
      </c>
      <c r="B1124" s="6" t="str">
        <f>IFERROR(__xludf.DUMMYFUNCTION("""COMPUTED_VALUE"""),"ENG")</f>
        <v>ENG</v>
      </c>
      <c r="C1124" s="6" t="str">
        <f>IFERROR(__xludf.DUMMYFUNCTION("""COMPUTED_VALUE"""),"O-54167-00")</f>
        <v>O-54167-00</v>
      </c>
      <c r="D1124" s="6" t="str">
        <f>IFERROR(__xludf.DUMMYFUNCTION("""COMPUTED_VALUE"""),"Connector Cable CLD408-5; Autonics; H7950000609;")</f>
        <v>Connector Cable CLD408-5; Autonics; H7950000609;</v>
      </c>
      <c r="E1124" s="6">
        <f>IFERROR(__xludf.DUMMYFUNCTION("""COMPUTED_VALUE"""),1.0)</f>
        <v>1</v>
      </c>
      <c r="F1124" s="6">
        <f>IFERROR(__xludf.DUMMYFUNCTION("""COMPUTED_VALUE"""),1.0)</f>
        <v>1</v>
      </c>
      <c r="G1124" s="6">
        <f>IFERROR(__xludf.DUMMYFUNCTION("""COMPUTED_VALUE"""),0.0)</f>
        <v>0</v>
      </c>
      <c r="H1124" s="6" t="str">
        <f>IFERROR(__xludf.DUMMYFUNCTION("""COMPUTED_VALUE"""),"pcs")</f>
        <v>pcs</v>
      </c>
      <c r="I1124" s="6" t="str">
        <f>IFERROR(__xludf.DUMMYFUNCTION("""COMPUTED_VALUE"""),"MFH")</f>
        <v>MFH</v>
      </c>
      <c r="J1124" s="6" t="str">
        <f>IFERROR(__xludf.DUMMYFUNCTION("""COMPUTED_VALUE"""),"Washing")</f>
        <v>Washing</v>
      </c>
      <c r="K1124" s="6" t="str">
        <f>IFERROR(__xludf.DUMMYFUNCTION("""COMPUTED_VALUE"""),"SPR/08/24/045")</f>
        <v>SPR/08/24/045</v>
      </c>
      <c r="L1124" s="13">
        <f>IFERROR(__xludf.DUMMYFUNCTION("""COMPUTED_VALUE"""),45534.0)</f>
        <v>45534</v>
      </c>
    </row>
    <row r="1125">
      <c r="A1125" s="6" t="str">
        <f>IFERROR(__xludf.DUMMYFUNCTION("""COMPUTED_VALUE"""),"MAP")</f>
        <v>MAP</v>
      </c>
      <c r="B1125" s="6" t="str">
        <f>IFERROR(__xludf.DUMMYFUNCTION("""COMPUTED_VALUE"""),"ENG")</f>
        <v>ENG</v>
      </c>
      <c r="C1125" s="6" t="str">
        <f>IFERROR(__xludf.DUMMYFUNCTION("""COMPUTED_VALUE"""),"P-11990-00")</f>
        <v>P-11990-00</v>
      </c>
      <c r="D1125" s="6" t="str">
        <f>IFERROR(__xludf.DUMMYFUNCTION("""COMPUTED_VALUE"""),"Cable ties CS 100L")</f>
        <v>Cable ties CS 100L</v>
      </c>
      <c r="E1125" s="6">
        <f>IFERROR(__xludf.DUMMYFUNCTION("""COMPUTED_VALUE"""),2.0)</f>
        <v>2</v>
      </c>
      <c r="F1125" s="6">
        <f>IFERROR(__xludf.DUMMYFUNCTION("""COMPUTED_VALUE"""),1.0)</f>
        <v>1</v>
      </c>
      <c r="G1125" s="6">
        <f>IFERROR(__xludf.DUMMYFUNCTION("""COMPUTED_VALUE"""),0.0)</f>
        <v>0</v>
      </c>
      <c r="H1125" s="6" t="str">
        <f>IFERROR(__xludf.DUMMYFUNCTION("""COMPUTED_VALUE"""),"pcs")</f>
        <v>pcs</v>
      </c>
      <c r="I1125" s="6" t="str">
        <f>IFERROR(__xludf.DUMMYFUNCTION("""COMPUTED_VALUE"""),"MFH")</f>
        <v>MFH</v>
      </c>
      <c r="J1125" s="6" t="str">
        <f>IFERROR(__xludf.DUMMYFUNCTION("""COMPUTED_VALUE"""),"Office")</f>
        <v>Office</v>
      </c>
      <c r="K1125" s="6" t="str">
        <f>IFERROR(__xludf.DUMMYFUNCTION("""COMPUTED_VALUE"""),"SPR/09/24/001")</f>
        <v>SPR/09/24/001</v>
      </c>
      <c r="L1125" s="13">
        <f>IFERROR(__xludf.DUMMYFUNCTION("""COMPUTED_VALUE"""),45565.0)</f>
        <v>45565</v>
      </c>
    </row>
    <row r="1126">
      <c r="A1126" s="6" t="str">
        <f>IFERROR(__xludf.DUMMYFUNCTION("""COMPUTED_VALUE"""),"MOB")</f>
        <v>MOB</v>
      </c>
      <c r="B1126" s="6" t="str">
        <f>IFERROR(__xludf.DUMMYFUNCTION("""COMPUTED_VALUE"""),"ENG")</f>
        <v>ENG</v>
      </c>
      <c r="C1126" s="6" t="str">
        <f>IFERROR(__xludf.DUMMYFUNCTION("""COMPUTED_VALUE"""),"P-12082-00")</f>
        <v>P-12082-00</v>
      </c>
      <c r="D1126" s="6" t="str">
        <f>IFERROR(__xludf.DUMMYFUNCTION("""COMPUTED_VALUE"""),"Clamp selang ss dia 3/4inch ex TRIDON")</f>
        <v>Clamp selang ss dia 3/4inch ex TRIDON</v>
      </c>
      <c r="E1126" s="6">
        <f>IFERROR(__xludf.DUMMYFUNCTION("""COMPUTED_VALUE"""),2.0)</f>
        <v>2</v>
      </c>
      <c r="F1126" s="6">
        <f>IFERROR(__xludf.DUMMYFUNCTION("""COMPUTED_VALUE"""),2.0)</f>
        <v>2</v>
      </c>
      <c r="G1126" s="6">
        <f>IFERROR(__xludf.DUMMYFUNCTION("""COMPUTED_VALUE"""),0.0)</f>
        <v>0</v>
      </c>
      <c r="H1126" s="6" t="str">
        <f>IFERROR(__xludf.DUMMYFUNCTION("""COMPUTED_VALUE"""),"pcs")</f>
        <v>pcs</v>
      </c>
      <c r="I1126" s="6" t="str">
        <f>IFERROR(__xludf.DUMMYFUNCTION("""COMPUTED_VALUE"""),"MFH")</f>
        <v>MFH</v>
      </c>
      <c r="J1126" s="6" t="str">
        <f>IFERROR(__xludf.DUMMYFUNCTION("""COMPUTED_VALUE"""),"-")</f>
        <v>-</v>
      </c>
      <c r="K1126" s="6" t="str">
        <f>IFERROR(__xludf.DUMMYFUNCTION("""COMPUTED_VALUE"""),"SPR/09/24/002")</f>
        <v>SPR/09/24/002</v>
      </c>
      <c r="L1126" s="13">
        <f>IFERROR(__xludf.DUMMYFUNCTION("""COMPUTED_VALUE"""),45565.0)</f>
        <v>45565</v>
      </c>
    </row>
    <row r="1127">
      <c r="A1127" s="6" t="str">
        <f>IFERROR(__xludf.DUMMYFUNCTION("""COMPUTED_VALUE"""),"AAA")</f>
        <v>AAA</v>
      </c>
      <c r="B1127" s="6" t="str">
        <f>IFERROR(__xludf.DUMMYFUNCTION("""COMPUTED_VALUE"""),"ENG")</f>
        <v>ENG</v>
      </c>
      <c r="C1127" s="6" t="str">
        <f>IFERROR(__xludf.DUMMYFUNCTION("""COMPUTED_VALUE"""),"O-16033-00")</f>
        <v>O-16033-00</v>
      </c>
      <c r="D112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127" s="6">
        <f>IFERROR(__xludf.DUMMYFUNCTION("""COMPUTED_VALUE"""),2.0)</f>
        <v>2</v>
      </c>
      <c r="F1127" s="6">
        <f>IFERROR(__xludf.DUMMYFUNCTION("""COMPUTED_VALUE"""),2.0)</f>
        <v>2</v>
      </c>
      <c r="G1127" s="6">
        <f>IFERROR(__xludf.DUMMYFUNCTION("""COMPUTED_VALUE"""),0.0)</f>
        <v>0</v>
      </c>
      <c r="H1127" s="6" t="str">
        <f>IFERROR(__xludf.DUMMYFUNCTION("""COMPUTED_VALUE"""),"pcs")</f>
        <v>pcs</v>
      </c>
      <c r="I1127" s="6" t="str">
        <f>IFERROR(__xludf.DUMMYFUNCTION("""COMPUTED_VALUE"""),"MFH")</f>
        <v>MFH</v>
      </c>
      <c r="J1127" s="6" t="str">
        <f>IFERROR(__xludf.DUMMYFUNCTION("""COMPUTED_VALUE"""),"cRABS")</f>
        <v>cRABS</v>
      </c>
      <c r="K1127" s="6" t="str">
        <f>IFERROR(__xludf.DUMMYFUNCTION("""COMPUTED_VALUE"""),"SPR/09/24/003")</f>
        <v>SPR/09/24/003</v>
      </c>
      <c r="L1127" s="13">
        <f>IFERROR(__xludf.DUMMYFUNCTION("""COMPUTED_VALUE"""),45565.0)</f>
        <v>45565</v>
      </c>
    </row>
    <row r="1128">
      <c r="A1128" s="6" t="str">
        <f>IFERROR(__xludf.DUMMYFUNCTION("""COMPUTED_VALUE"""),"AAA")</f>
        <v>AAA</v>
      </c>
      <c r="B1128" s="6" t="str">
        <f>IFERROR(__xludf.DUMMYFUNCTION("""COMPUTED_VALUE"""),"ENG")</f>
        <v>ENG</v>
      </c>
      <c r="C1128" s="6" t="str">
        <f>IFERROR(__xludf.DUMMYFUNCTION("""COMPUTED_VALUE"""),"O-16032-00")</f>
        <v>O-16032-00</v>
      </c>
      <c r="D1128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128" s="6">
        <f>IFERROR(__xludf.DUMMYFUNCTION("""COMPUTED_VALUE"""),4.0)</f>
        <v>4</v>
      </c>
      <c r="F1128" s="6">
        <f>IFERROR(__xludf.DUMMYFUNCTION("""COMPUTED_VALUE"""),2.0)</f>
        <v>2</v>
      </c>
      <c r="G1128" s="6">
        <f>IFERROR(__xludf.DUMMYFUNCTION("""COMPUTED_VALUE"""),0.0)</f>
        <v>0</v>
      </c>
      <c r="H1128" s="6" t="str">
        <f>IFERROR(__xludf.DUMMYFUNCTION("""COMPUTED_VALUE"""),"pcs")</f>
        <v>pcs</v>
      </c>
      <c r="I1128" s="6" t="str">
        <f>IFERROR(__xludf.DUMMYFUNCTION("""COMPUTED_VALUE"""),"MFH")</f>
        <v>MFH</v>
      </c>
      <c r="J1128" s="6" t="str">
        <f>IFERROR(__xludf.DUMMYFUNCTION("""COMPUTED_VALUE"""),"cRABS")</f>
        <v>cRABS</v>
      </c>
      <c r="K1128" s="6" t="str">
        <f>IFERROR(__xludf.DUMMYFUNCTION("""COMPUTED_VALUE"""),"SPR/09/24/003")</f>
        <v>SPR/09/24/003</v>
      </c>
      <c r="L1128" s="13">
        <f>IFERROR(__xludf.DUMMYFUNCTION("""COMPUTED_VALUE"""),45565.0)</f>
        <v>45565</v>
      </c>
    </row>
    <row r="1129">
      <c r="A1129" s="6" t="str">
        <f>IFERROR(__xludf.DUMMYFUNCTION("""COMPUTED_VALUE"""),"ABA")</f>
        <v>ABA</v>
      </c>
      <c r="B1129" s="6" t="str">
        <f>IFERROR(__xludf.DUMMYFUNCTION("""COMPUTED_VALUE"""),"QAS")</f>
        <v>QAS</v>
      </c>
      <c r="C1129" s="6" t="str">
        <f>IFERROR(__xludf.DUMMYFUNCTION("""COMPUTED_VALUE"""),"T-80109-00")</f>
        <v>T-80109-00</v>
      </c>
      <c r="D1129" s="6" t="str">
        <f>IFERROR(__xludf.DUMMYFUNCTION("""COMPUTED_VALUE"""),"Cellotape Kertas 1 inch warna Putih")</f>
        <v>Cellotape Kertas 1 inch warna Putih</v>
      </c>
      <c r="E1129" s="6">
        <f>IFERROR(__xludf.DUMMYFUNCTION("""COMPUTED_VALUE"""),1.0)</f>
        <v>1</v>
      </c>
      <c r="F1129" s="6">
        <f>IFERROR(__xludf.DUMMYFUNCTION("""COMPUTED_VALUE"""),1.0)</f>
        <v>1</v>
      </c>
      <c r="G1129" s="6">
        <f>IFERROR(__xludf.DUMMYFUNCTION("""COMPUTED_VALUE"""),0.0)</f>
        <v>0</v>
      </c>
      <c r="H1129" s="6" t="str">
        <f>IFERROR(__xludf.DUMMYFUNCTION("""COMPUTED_VALUE"""),"pcs")</f>
        <v>pcs</v>
      </c>
      <c r="I1129" s="6" t="str">
        <f>IFERROR(__xludf.DUMMYFUNCTION("""COMPUTED_VALUE"""),"MFH")</f>
        <v>MFH</v>
      </c>
      <c r="J1129" s="6" t="str">
        <f>IFERROR(__xludf.DUMMYFUNCTION("""COMPUTED_VALUE"""),"-")</f>
        <v>-</v>
      </c>
      <c r="K1129" s="6" t="str">
        <f>IFERROR(__xludf.DUMMYFUNCTION("""COMPUTED_VALUE"""),"SPR/09/24/004")</f>
        <v>SPR/09/24/004</v>
      </c>
      <c r="L1129" s="13">
        <f>IFERROR(__xludf.DUMMYFUNCTION("""COMPUTED_VALUE"""),45565.0)</f>
        <v>45565</v>
      </c>
    </row>
    <row r="1130">
      <c r="A1130" s="6" t="str">
        <f>IFERROR(__xludf.DUMMYFUNCTION("""COMPUTED_VALUE"""),"ABA")</f>
        <v>ABA</v>
      </c>
      <c r="B1130" s="6" t="str">
        <f>IFERROR(__xludf.DUMMYFUNCTION("""COMPUTED_VALUE"""),"QAS")</f>
        <v>QAS</v>
      </c>
      <c r="C1130" s="6" t="str">
        <f>IFERROR(__xludf.DUMMYFUNCTION("""COMPUTED_VALUE"""),"S-46129-00")</f>
        <v>S-46129-00</v>
      </c>
      <c r="D1130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130" s="6">
        <f>IFERROR(__xludf.DUMMYFUNCTION("""COMPUTED_VALUE"""),1.0)</f>
        <v>1</v>
      </c>
      <c r="F1130" s="6">
        <f>IFERROR(__xludf.DUMMYFUNCTION("""COMPUTED_VALUE"""),1.0)</f>
        <v>1</v>
      </c>
      <c r="G1130" s="6">
        <f>IFERROR(__xludf.DUMMYFUNCTION("""COMPUTED_VALUE"""),0.0)</f>
        <v>0</v>
      </c>
      <c r="H1130" s="6" t="str">
        <f>IFERROR(__xludf.DUMMYFUNCTION("""COMPUTED_VALUE"""),"pcs")</f>
        <v>pcs</v>
      </c>
      <c r="I1130" s="6" t="str">
        <f>IFERROR(__xludf.DUMMYFUNCTION("""COMPUTED_VALUE"""),"MFH")</f>
        <v>MFH</v>
      </c>
      <c r="J1130" s="6" t="str">
        <f>IFERROR(__xludf.DUMMYFUNCTION("""COMPUTED_VALUE"""),"-")</f>
        <v>-</v>
      </c>
      <c r="K1130" s="6" t="str">
        <f>IFERROR(__xludf.DUMMYFUNCTION("""COMPUTED_VALUE"""),"SPR/09/24/004")</f>
        <v>SPR/09/24/004</v>
      </c>
      <c r="L1130" s="13">
        <f>IFERROR(__xludf.DUMMYFUNCTION("""COMPUTED_VALUE"""),45565.0)</f>
        <v>45565</v>
      </c>
    </row>
    <row r="1131">
      <c r="A1131" s="6" t="str">
        <f>IFERROR(__xludf.DUMMYFUNCTION("""COMPUTED_VALUE"""),"MBN")</f>
        <v>MBN</v>
      </c>
      <c r="B1131" s="6" t="str">
        <f>IFERROR(__xludf.DUMMYFUNCTION("""COMPUTED_VALUE"""),"PRO")</f>
        <v>PRO</v>
      </c>
      <c r="C1131" s="6" t="str">
        <f>IFERROR(__xludf.DUMMYFUNCTION("""COMPUTED_VALUE"""),"P-17645-00")</f>
        <v>P-17645-00</v>
      </c>
      <c r="D1131" s="6" t="str">
        <f>IFERROR(__xludf.DUMMYFUNCTION("""COMPUTED_VALUE"""),"Sodium Hiphoclorite; ; ; ltr")</f>
        <v>Sodium Hiphoclorite; ; ; ltr</v>
      </c>
      <c r="E1131" s="6">
        <f>IFERROR(__xludf.DUMMYFUNCTION("""COMPUTED_VALUE"""),60.0)</f>
        <v>60</v>
      </c>
      <c r="F1131" s="6">
        <f>IFERROR(__xludf.DUMMYFUNCTION("""COMPUTED_VALUE"""),60.0)</f>
        <v>60</v>
      </c>
      <c r="G1131" s="6">
        <f>IFERROR(__xludf.DUMMYFUNCTION("""COMPUTED_VALUE"""),0.0)</f>
        <v>0</v>
      </c>
      <c r="H1131" s="6" t="str">
        <f>IFERROR(__xludf.DUMMYFUNCTION("""COMPUTED_VALUE"""),"pcs")</f>
        <v>pcs</v>
      </c>
      <c r="I1131" s="6" t="str">
        <f>IFERROR(__xludf.DUMMYFUNCTION("""COMPUTED_VALUE"""),"MFH")</f>
        <v>MFH</v>
      </c>
      <c r="J1131" s="6" t="str">
        <f>IFERROR(__xludf.DUMMYFUNCTION("""COMPUTED_VALUE"""),"-")</f>
        <v>-</v>
      </c>
      <c r="K1131" s="6" t="str">
        <f>IFERROR(__xludf.DUMMYFUNCTION("""COMPUTED_VALUE"""),"SPR/09/24/005")</f>
        <v>SPR/09/24/005</v>
      </c>
      <c r="L1131" s="13">
        <f>IFERROR(__xludf.DUMMYFUNCTION("""COMPUTED_VALUE"""),45565.0)</f>
        <v>45565</v>
      </c>
    </row>
    <row r="1132">
      <c r="A1132" s="6" t="str">
        <f>IFERROR(__xludf.DUMMYFUNCTION("""COMPUTED_VALUE"""),"SFH")</f>
        <v>SFH</v>
      </c>
      <c r="B1132" s="6" t="str">
        <f>IFERROR(__xludf.DUMMYFUNCTION("""COMPUTED_VALUE"""),"ENG")</f>
        <v>ENG</v>
      </c>
      <c r="C1132" s="6" t="str">
        <f>IFERROR(__xludf.DUMMYFUNCTION("""COMPUTED_VALUE"""),"P-18467-00")</f>
        <v>P-18467-00</v>
      </c>
      <c r="D1132" s="6" t="str">
        <f>IFERROR(__xludf.DUMMYFUNCTION("""COMPUTED_VALUE"""),"Pass Box Stickers JZC-A Kecil")</f>
        <v>Pass Box Stickers JZC-A Kecil</v>
      </c>
      <c r="E1132" s="6">
        <f>IFERROR(__xludf.DUMMYFUNCTION("""COMPUTED_VALUE"""),1.0)</f>
        <v>1</v>
      </c>
      <c r="F1132" s="6">
        <f>IFERROR(__xludf.DUMMYFUNCTION("""COMPUTED_VALUE"""),1.0)</f>
        <v>1</v>
      </c>
      <c r="G1132" s="6">
        <f>IFERROR(__xludf.DUMMYFUNCTION("""COMPUTED_VALUE"""),0.0)</f>
        <v>0</v>
      </c>
      <c r="H1132" s="6" t="str">
        <f>IFERROR(__xludf.DUMMYFUNCTION("""COMPUTED_VALUE"""),"pcs")</f>
        <v>pcs</v>
      </c>
      <c r="I1132" s="6" t="str">
        <f>IFERROR(__xludf.DUMMYFUNCTION("""COMPUTED_VALUE"""),"MFH")</f>
        <v>MFH</v>
      </c>
      <c r="J1132" s="6" t="str">
        <f>IFERROR(__xludf.DUMMYFUNCTION("""COMPUTED_VALUE"""),"Building")</f>
        <v>Building</v>
      </c>
      <c r="K1132" s="6" t="str">
        <f>IFERROR(__xludf.DUMMYFUNCTION("""COMPUTED_VALUE"""),"SPR/09/24/006")</f>
        <v>SPR/09/24/006</v>
      </c>
      <c r="L1132" s="13">
        <f>IFERROR(__xludf.DUMMYFUNCTION("""COMPUTED_VALUE"""),45565.0)</f>
        <v>45565</v>
      </c>
    </row>
    <row r="1133">
      <c r="A1133" s="6" t="str">
        <f>IFERROR(__xludf.DUMMYFUNCTION("""COMPUTED_VALUE"""),"SFH")</f>
        <v>SFH</v>
      </c>
      <c r="B1133" s="6" t="str">
        <f>IFERROR(__xludf.DUMMYFUNCTION("""COMPUTED_VALUE"""),"ENG")</f>
        <v>ENG</v>
      </c>
      <c r="C1133" s="6" t="str">
        <f>IFERROR(__xludf.DUMMYFUNCTION("""COMPUTED_VALUE"""),"P-18466-00")</f>
        <v>P-18466-00</v>
      </c>
      <c r="D1133" s="6" t="str">
        <f>IFERROR(__xludf.DUMMYFUNCTION("""COMPUTED_VALUE"""),"Door Stickers T30A; upgraded type; ; ;")</f>
        <v>Door Stickers T30A; upgraded type; ; ;</v>
      </c>
      <c r="E1133" s="6">
        <f>IFERROR(__xludf.DUMMYFUNCTION("""COMPUTED_VALUE"""),2.0)</f>
        <v>2</v>
      </c>
      <c r="F1133" s="6">
        <f>IFERROR(__xludf.DUMMYFUNCTION("""COMPUTED_VALUE"""),2.0)</f>
        <v>2</v>
      </c>
      <c r="G1133" s="6">
        <f>IFERROR(__xludf.DUMMYFUNCTION("""COMPUTED_VALUE"""),0.0)</f>
        <v>0</v>
      </c>
      <c r="H1133" s="6" t="str">
        <f>IFERROR(__xludf.DUMMYFUNCTION("""COMPUTED_VALUE"""),"pcs")</f>
        <v>pcs</v>
      </c>
      <c r="I1133" s="6" t="str">
        <f>IFERROR(__xludf.DUMMYFUNCTION("""COMPUTED_VALUE"""),"MFH")</f>
        <v>MFH</v>
      </c>
      <c r="J1133" s="6" t="str">
        <f>IFERROR(__xludf.DUMMYFUNCTION("""COMPUTED_VALUE"""),"Building")</f>
        <v>Building</v>
      </c>
      <c r="K1133" s="6" t="str">
        <f>IFERROR(__xludf.DUMMYFUNCTION("""COMPUTED_VALUE"""),"SPR/09/24/006")</f>
        <v>SPR/09/24/006</v>
      </c>
      <c r="L1133" s="13">
        <f>IFERROR(__xludf.DUMMYFUNCTION("""COMPUTED_VALUE"""),45565.0)</f>
        <v>45565</v>
      </c>
    </row>
    <row r="1134">
      <c r="A1134" s="6" t="str">
        <f>IFERROR(__xludf.DUMMYFUNCTION("""COMPUTED_VALUE"""),"INN")</f>
        <v>INN</v>
      </c>
      <c r="B1134" s="6" t="str">
        <f>IFERROR(__xludf.DUMMYFUNCTION("""COMPUTED_VALUE"""),"ENG")</f>
        <v>ENG</v>
      </c>
      <c r="C1134" s="6" t="str">
        <f>IFERROR(__xludf.DUMMYFUNCTION("""COMPUTED_VALUE"""),"O-19785-00")</f>
        <v>O-19785-00</v>
      </c>
      <c r="D1134" s="6" t="str">
        <f>IFERROR(__xludf.DUMMYFUNCTION("""COMPUTED_VALUE"""),"Roda Trolley Autoclave Uk. 152,2 x 30 mm; Custom; ;")</f>
        <v>Roda Trolley Autoclave Uk. 152,2 x 30 mm; Custom; ;</v>
      </c>
      <c r="E1134" s="6">
        <f>IFERROR(__xludf.DUMMYFUNCTION("""COMPUTED_VALUE"""),4.0)</f>
        <v>4</v>
      </c>
      <c r="F1134" s="6">
        <f>IFERROR(__xludf.DUMMYFUNCTION("""COMPUTED_VALUE"""),4.0)</f>
        <v>4</v>
      </c>
      <c r="G1134" s="6">
        <f>IFERROR(__xludf.DUMMYFUNCTION("""COMPUTED_VALUE"""),0.0)</f>
        <v>0</v>
      </c>
      <c r="H1134" s="6" t="str">
        <f>IFERROR(__xludf.DUMMYFUNCTION("""COMPUTED_VALUE"""),"pcs")</f>
        <v>pcs</v>
      </c>
      <c r="I1134" s="6" t="str">
        <f>IFERROR(__xludf.DUMMYFUNCTION("""COMPUTED_VALUE"""),"MFH")</f>
        <v>MFH</v>
      </c>
      <c r="J1134" s="6" t="str">
        <f>IFERROR(__xludf.DUMMYFUNCTION("""COMPUTED_VALUE"""),"Autoclave")</f>
        <v>Autoclave</v>
      </c>
      <c r="K1134" s="6" t="str">
        <f>IFERROR(__xludf.DUMMYFUNCTION("""COMPUTED_VALUE"""),"SPR/09/24/007")</f>
        <v>SPR/09/24/007</v>
      </c>
      <c r="L1134" s="13">
        <f>IFERROR(__xludf.DUMMYFUNCTION("""COMPUTED_VALUE"""),45565.0)</f>
        <v>45565</v>
      </c>
    </row>
    <row r="1135">
      <c r="A1135" s="6" t="str">
        <f>IFERROR(__xludf.DUMMYFUNCTION("""COMPUTED_VALUE"""),"INN")</f>
        <v>INN</v>
      </c>
      <c r="B1135" s="6" t="str">
        <f>IFERROR(__xludf.DUMMYFUNCTION("""COMPUTED_VALUE"""),"ENG")</f>
        <v>ENG</v>
      </c>
      <c r="C1135" s="6" t="str">
        <f>IFERROR(__xludf.DUMMYFUNCTION("""COMPUTED_VALUE"""),"O-19953-00")</f>
        <v>O-19953-00</v>
      </c>
      <c r="D1135" s="6" t="str">
        <f>IFERROR(__xludf.DUMMYFUNCTION("""COMPUTED_VALUE"""),"Dudukan Cover Motor 243x320x550 mm, Mat SUS 304; Custom; ;")</f>
        <v>Dudukan Cover Motor 243x320x550 mm, Mat SUS 304; Custom; ;</v>
      </c>
      <c r="E1135" s="6">
        <f>IFERROR(__xludf.DUMMYFUNCTION("""COMPUTED_VALUE"""),1.0)</f>
        <v>1</v>
      </c>
      <c r="F1135" s="6">
        <f>IFERROR(__xludf.DUMMYFUNCTION("""COMPUTED_VALUE"""),1.0)</f>
        <v>1</v>
      </c>
      <c r="G1135" s="6">
        <f>IFERROR(__xludf.DUMMYFUNCTION("""COMPUTED_VALUE"""),0.0)</f>
        <v>0</v>
      </c>
      <c r="H1135" s="6" t="str">
        <f>IFERROR(__xludf.DUMMYFUNCTION("""COMPUTED_VALUE"""),"unt")</f>
        <v>unt</v>
      </c>
      <c r="I1135" s="6" t="str">
        <f>IFERROR(__xludf.DUMMYFUNCTION("""COMPUTED_VALUE"""),"MFH")</f>
        <v>MFH</v>
      </c>
      <c r="J1135" s="6" t="str">
        <f>IFERROR(__xludf.DUMMYFUNCTION("""COMPUTED_VALUE"""),"Autoclave")</f>
        <v>Autoclave</v>
      </c>
      <c r="K1135" s="6" t="str">
        <f>IFERROR(__xludf.DUMMYFUNCTION("""COMPUTED_VALUE"""),"SPR/09/24/007")</f>
        <v>SPR/09/24/007</v>
      </c>
      <c r="L1135" s="13">
        <f>IFERROR(__xludf.DUMMYFUNCTION("""COMPUTED_VALUE"""),45565.0)</f>
        <v>45565</v>
      </c>
    </row>
    <row r="1136">
      <c r="A1136" s="6" t="str">
        <f>IFERROR(__xludf.DUMMYFUNCTION("""COMPUTED_VALUE"""),"INN")</f>
        <v>INN</v>
      </c>
      <c r="B1136" s="6" t="str">
        <f>IFERROR(__xludf.DUMMYFUNCTION("""COMPUTED_VALUE"""),"ENG")</f>
        <v>ENG</v>
      </c>
      <c r="C1136" s="6" t="str">
        <f>IFERROR(__xludf.DUMMYFUNCTION("""COMPUTED_VALUE"""),"O-17988-00")</f>
        <v>O-17988-00</v>
      </c>
      <c r="D1136" s="6" t="str">
        <f>IFERROR(__xludf.DUMMYFUNCTION("""COMPUTED_VALUE"""),"Cam Follow (Idle Pin); INA; KR16-X-PP-A; pc")</f>
        <v>Cam Follow (Idle Pin); INA; KR16-X-PP-A; pc</v>
      </c>
      <c r="E1136" s="6">
        <f>IFERROR(__xludf.DUMMYFUNCTION("""COMPUTED_VALUE"""),10.0)</f>
        <v>10</v>
      </c>
      <c r="F1136" s="6">
        <f>IFERROR(__xludf.DUMMYFUNCTION("""COMPUTED_VALUE"""),10.0)</f>
        <v>10</v>
      </c>
      <c r="G1136" s="6">
        <f>IFERROR(__xludf.DUMMYFUNCTION("""COMPUTED_VALUE"""),0.0)</f>
        <v>0</v>
      </c>
      <c r="H1136" s="6" t="str">
        <f>IFERROR(__xludf.DUMMYFUNCTION("""COMPUTED_VALUE"""),"pcs")</f>
        <v>pcs</v>
      </c>
      <c r="I1136" s="6" t="str">
        <f>IFERROR(__xludf.DUMMYFUNCTION("""COMPUTED_VALUE"""),"MFH")</f>
        <v>MFH</v>
      </c>
      <c r="J1136" s="6" t="str">
        <f>IFERROR(__xludf.DUMMYFUNCTION("""COMPUTED_VALUE"""),"Capping")</f>
        <v>Capping</v>
      </c>
      <c r="K1136" s="6" t="str">
        <f>IFERROR(__xludf.DUMMYFUNCTION("""COMPUTED_VALUE"""),"SPR/09/24/008")</f>
        <v>SPR/09/24/008</v>
      </c>
      <c r="L1136" s="13">
        <f>IFERROR(__xludf.DUMMYFUNCTION("""COMPUTED_VALUE"""),45565.0)</f>
        <v>45565</v>
      </c>
    </row>
    <row r="1137">
      <c r="A1137" s="6" t="str">
        <f>IFERROR(__xludf.DUMMYFUNCTION("""COMPUTED_VALUE"""),"INN")</f>
        <v>INN</v>
      </c>
      <c r="B1137" s="6" t="str">
        <f>IFERROR(__xludf.DUMMYFUNCTION("""COMPUTED_VALUE"""),"ENG")</f>
        <v>ENG</v>
      </c>
      <c r="C1137" s="6" t="str">
        <f>IFERROR(__xludf.DUMMYFUNCTION("""COMPUTED_VALUE"""),"O-52530-00")</f>
        <v>O-52530-00</v>
      </c>
      <c r="D1137" s="6" t="str">
        <f>IFERROR(__xludf.DUMMYFUNCTION("""COMPUTED_VALUE"""),"Sensor PH Meter Type : InPro3250/120/PT1000 PN. 52002548")</f>
        <v>Sensor PH Meter Type : InPro3250/120/PT1000 PN. 52002548</v>
      </c>
      <c r="E1137" s="6">
        <f>IFERROR(__xludf.DUMMYFUNCTION("""COMPUTED_VALUE"""),1.0)</f>
        <v>1</v>
      </c>
      <c r="F1137" s="6">
        <f>IFERROR(__xludf.DUMMYFUNCTION("""COMPUTED_VALUE"""),1.0)</f>
        <v>1</v>
      </c>
      <c r="G1137" s="6">
        <f>IFERROR(__xludf.DUMMYFUNCTION("""COMPUTED_VALUE"""),0.0)</f>
        <v>0</v>
      </c>
      <c r="H1137" s="6" t="str">
        <f>IFERROR(__xludf.DUMMYFUNCTION("""COMPUTED_VALUE"""),"pcs")</f>
        <v>pcs</v>
      </c>
      <c r="I1137" s="6" t="str">
        <f>IFERROR(__xludf.DUMMYFUNCTION("""COMPUTED_VALUE"""),"MFH")</f>
        <v>MFH</v>
      </c>
      <c r="J1137" s="6" t="str">
        <f>IFERROR(__xludf.DUMMYFUNCTION("""COMPUTED_VALUE"""),"Mixing")</f>
        <v>Mixing</v>
      </c>
      <c r="K1137" s="6" t="str">
        <f>IFERROR(__xludf.DUMMYFUNCTION("""COMPUTED_VALUE"""),"SPR/09/24/009")</f>
        <v>SPR/09/24/009</v>
      </c>
      <c r="L1137" s="13">
        <f>IFERROR(__xludf.DUMMYFUNCTION("""COMPUTED_VALUE"""),45565.0)</f>
        <v>45565</v>
      </c>
    </row>
    <row r="1138">
      <c r="A1138" s="6" t="str">
        <f>IFERROR(__xludf.DUMMYFUNCTION("""COMPUTED_VALUE"""),"RSB")</f>
        <v>RSB</v>
      </c>
      <c r="B1138" s="6" t="str">
        <f>IFERROR(__xludf.DUMMYFUNCTION("""COMPUTED_VALUE"""),"ENG")</f>
        <v>ENG</v>
      </c>
      <c r="C1138" s="6" t="str">
        <f>IFERROR(__xludf.DUMMYFUNCTION("""COMPUTED_VALUE"""),"T-80037-00")</f>
        <v>T-80037-00</v>
      </c>
      <c r="D1138" s="6" t="str">
        <f>IFERROR(__xludf.DUMMYFUNCTION("""COMPUTED_VALUE"""),"Batterai Size AA")</f>
        <v>Batterai Size AA</v>
      </c>
      <c r="E1138" s="6">
        <f>IFERROR(__xludf.DUMMYFUNCTION("""COMPUTED_VALUE"""),4.0)</f>
        <v>4</v>
      </c>
      <c r="F1138" s="6">
        <f>IFERROR(__xludf.DUMMYFUNCTION("""COMPUTED_VALUE"""),4.0)</f>
        <v>4</v>
      </c>
      <c r="G1138" s="6">
        <f>IFERROR(__xludf.DUMMYFUNCTION("""COMPUTED_VALUE"""),0.0)</f>
        <v>0</v>
      </c>
      <c r="H1138" s="6" t="str">
        <f>IFERROR(__xludf.DUMMYFUNCTION("""COMPUTED_VALUE"""),"pcs")</f>
        <v>pcs</v>
      </c>
      <c r="I1138" s="6" t="str">
        <f>IFERROR(__xludf.DUMMYFUNCTION("""COMPUTED_VALUE"""),"MFH")</f>
        <v>MFH</v>
      </c>
      <c r="J1138" s="6" t="str">
        <f>IFERROR(__xludf.DUMMYFUNCTION("""COMPUTED_VALUE"""),"Lab")</f>
        <v>Lab</v>
      </c>
      <c r="K1138" s="6" t="str">
        <f>IFERROR(__xludf.DUMMYFUNCTION("""COMPUTED_VALUE"""),"SPR/09/24/010")</f>
        <v>SPR/09/24/010</v>
      </c>
      <c r="L1138" s="13">
        <f>IFERROR(__xludf.DUMMYFUNCTION("""COMPUTED_VALUE"""),45565.0)</f>
        <v>45565</v>
      </c>
    </row>
    <row r="1139">
      <c r="A1139" s="6" t="str">
        <f>IFERROR(__xludf.DUMMYFUNCTION("""COMPUTED_VALUE"""),"SFH")</f>
        <v>SFH</v>
      </c>
      <c r="B1139" s="6" t="str">
        <f>IFERROR(__xludf.DUMMYFUNCTION("""COMPUTED_VALUE"""),"ENG")</f>
        <v>ENG</v>
      </c>
      <c r="C1139" s="6" t="str">
        <f>IFERROR(__xludf.DUMMYFUNCTION("""COMPUTED_VALUE"""),"P-53102-00")</f>
        <v>P-53102-00</v>
      </c>
      <c r="D1139" s="6" t="str">
        <f>IFERROR(__xludf.DUMMYFUNCTION("""COMPUTED_VALUE"""),"Lampu PLC 13watt/E27 Putih; Phillips; ;")</f>
        <v>Lampu PLC 13watt/E27 Putih; Phillips; ;</v>
      </c>
      <c r="E1139" s="6">
        <f>IFERROR(__xludf.DUMMYFUNCTION("""COMPUTED_VALUE"""),6.0)</f>
        <v>6</v>
      </c>
      <c r="F1139" s="6">
        <f>IFERROR(__xludf.DUMMYFUNCTION("""COMPUTED_VALUE"""),4.0)</f>
        <v>4</v>
      </c>
      <c r="G1139" s="6">
        <f>IFERROR(__xludf.DUMMYFUNCTION("""COMPUTED_VALUE"""),0.0)</f>
        <v>0</v>
      </c>
      <c r="H1139" s="6" t="str">
        <f>IFERROR(__xludf.DUMMYFUNCTION("""COMPUTED_VALUE"""),"pcs")</f>
        <v>pcs</v>
      </c>
      <c r="I1139" s="6" t="str">
        <f>IFERROR(__xludf.DUMMYFUNCTION("""COMPUTED_VALUE"""),"MFH")</f>
        <v>MFH</v>
      </c>
      <c r="J1139" s="6" t="str">
        <f>IFERROR(__xludf.DUMMYFUNCTION("""COMPUTED_VALUE"""),"Building")</f>
        <v>Building</v>
      </c>
      <c r="K1139" s="6" t="str">
        <f>IFERROR(__xludf.DUMMYFUNCTION("""COMPUTED_VALUE"""),"SPR/09/24/011")</f>
        <v>SPR/09/24/011</v>
      </c>
      <c r="L1139" s="13">
        <f>IFERROR(__xludf.DUMMYFUNCTION("""COMPUTED_VALUE"""),45565.0)</f>
        <v>45565</v>
      </c>
    </row>
    <row r="1140">
      <c r="A1140" s="6" t="str">
        <f>IFERROR(__xludf.DUMMYFUNCTION("""COMPUTED_VALUE"""),"SFH")</f>
        <v>SFH</v>
      </c>
      <c r="B1140" s="6" t="str">
        <f>IFERROR(__xludf.DUMMYFUNCTION("""COMPUTED_VALUE"""),"ENG")</f>
        <v>ENG</v>
      </c>
      <c r="C1140" s="6" t="str">
        <f>IFERROR(__xludf.DUMMYFUNCTION("""COMPUTED_VALUE"""),"P-51559-00")</f>
        <v>P-51559-00</v>
      </c>
      <c r="D1140" s="6" t="str">
        <f>IFERROR(__xludf.DUMMYFUNCTION("""COMPUTED_VALUE"""),"Lampu T5 14watt Putih; Phillips; ;")</f>
        <v>Lampu T5 14watt Putih; Phillips; ;</v>
      </c>
      <c r="E1140" s="6">
        <f>IFERROR(__xludf.DUMMYFUNCTION("""COMPUTED_VALUE"""),31.0)</f>
        <v>31</v>
      </c>
      <c r="F1140" s="6">
        <f>IFERROR(__xludf.DUMMYFUNCTION("""COMPUTED_VALUE"""),1.0)</f>
        <v>1</v>
      </c>
      <c r="G1140" s="6">
        <f>IFERROR(__xludf.DUMMYFUNCTION("""COMPUTED_VALUE"""),0.0)</f>
        <v>0</v>
      </c>
      <c r="H1140" s="6" t="str">
        <f>IFERROR(__xludf.DUMMYFUNCTION("""COMPUTED_VALUE"""),"pcs")</f>
        <v>pcs</v>
      </c>
      <c r="I1140" s="6" t="str">
        <f>IFERROR(__xludf.DUMMYFUNCTION("""COMPUTED_VALUE"""),"MFH")</f>
        <v>MFH</v>
      </c>
      <c r="J1140" s="6" t="str">
        <f>IFERROR(__xludf.DUMMYFUNCTION("""COMPUTED_VALUE"""),"Building")</f>
        <v>Building</v>
      </c>
      <c r="K1140" s="6" t="str">
        <f>IFERROR(__xludf.DUMMYFUNCTION("""COMPUTED_VALUE"""),"SPR/09/24/011")</f>
        <v>SPR/09/24/011</v>
      </c>
      <c r="L1140" s="13">
        <f>IFERROR(__xludf.DUMMYFUNCTION("""COMPUTED_VALUE"""),45565.0)</f>
        <v>45565</v>
      </c>
    </row>
    <row r="1141">
      <c r="A1141" s="6" t="str">
        <f>IFERROR(__xludf.DUMMYFUNCTION("""COMPUTED_VALUE"""),"RPA")</f>
        <v>RPA</v>
      </c>
      <c r="B1141" s="6" t="str">
        <f>IFERROR(__xludf.DUMMYFUNCTION("""COMPUTED_VALUE"""),"PRO")</f>
        <v>PRO</v>
      </c>
      <c r="C1141" s="6" t="str">
        <f>IFERROR(__xludf.DUMMYFUNCTION("""COMPUTED_VALUE"""),"P-18788-00")</f>
        <v>P-18788-00</v>
      </c>
      <c r="D1141" s="6" t="str">
        <f>IFERROR(__xludf.DUMMYFUNCTION("""COMPUTED_VALUE"""),"Baut SS Hexagon SS M6x55mm + Mur; ; ;")</f>
        <v>Baut SS Hexagon SS M6x55mm + Mur; ; ;</v>
      </c>
      <c r="E1141" s="6">
        <f>IFERROR(__xludf.DUMMYFUNCTION("""COMPUTED_VALUE"""),5.0)</f>
        <v>5</v>
      </c>
      <c r="F1141" s="6">
        <f>IFERROR(__xludf.DUMMYFUNCTION("""COMPUTED_VALUE"""),5.0)</f>
        <v>5</v>
      </c>
      <c r="G1141" s="6">
        <f>IFERROR(__xludf.DUMMYFUNCTION("""COMPUTED_VALUE"""),0.0)</f>
        <v>0</v>
      </c>
      <c r="H1141" s="6" t="str">
        <f>IFERROR(__xludf.DUMMYFUNCTION("""COMPUTED_VALUE"""),"pcs")</f>
        <v>pcs</v>
      </c>
      <c r="I1141" s="6" t="str">
        <f>IFERROR(__xludf.DUMMYFUNCTION("""COMPUTED_VALUE"""),"MFH")</f>
        <v>MFH</v>
      </c>
      <c r="J1141" s="6" t="str">
        <f>IFERROR(__xludf.DUMMYFUNCTION("""COMPUTED_VALUE"""),"-")</f>
        <v>-</v>
      </c>
      <c r="K1141" s="6" t="str">
        <f>IFERROR(__xludf.DUMMYFUNCTION("""COMPUTED_VALUE"""),"SPR/09/24/012")</f>
        <v>SPR/09/24/012</v>
      </c>
      <c r="L1141" s="13">
        <f>IFERROR(__xludf.DUMMYFUNCTION("""COMPUTED_VALUE"""),45565.0)</f>
        <v>45565</v>
      </c>
    </row>
    <row r="1142">
      <c r="A1142" s="6" t="str">
        <f>IFERROR(__xludf.DUMMYFUNCTION("""COMPUTED_VALUE"""),"MOB")</f>
        <v>MOB</v>
      </c>
      <c r="B1142" s="6" t="str">
        <f>IFERROR(__xludf.DUMMYFUNCTION("""COMPUTED_VALUE"""),"ENG")</f>
        <v>ENG</v>
      </c>
      <c r="C1142" s="6" t="str">
        <f>IFERROR(__xludf.DUMMYFUNCTION("""COMPUTED_VALUE"""),"P-12433-00")</f>
        <v>P-12433-00</v>
      </c>
      <c r="D1142" s="6" t="str">
        <f>IFERROR(__xludf.DUMMYFUNCTION("""COMPUTED_VALUE"""),"Isolasi AC- Sansui")</f>
        <v>Isolasi AC- Sansui</v>
      </c>
      <c r="E1142" s="6">
        <f>IFERROR(__xludf.DUMMYFUNCTION("""COMPUTED_VALUE"""),1.0)</f>
        <v>1</v>
      </c>
      <c r="F1142" s="6">
        <f>IFERROR(__xludf.DUMMYFUNCTION("""COMPUTED_VALUE"""),1.0)</f>
        <v>1</v>
      </c>
      <c r="G1142" s="6">
        <f>IFERROR(__xludf.DUMMYFUNCTION("""COMPUTED_VALUE"""),0.0)</f>
        <v>0</v>
      </c>
      <c r="H1142" s="6" t="str">
        <f>IFERROR(__xludf.DUMMYFUNCTION("""COMPUTED_VALUE"""),"pcs")</f>
        <v>pcs</v>
      </c>
      <c r="I1142" s="6" t="str">
        <f>IFERROR(__xludf.DUMMYFUNCTION("""COMPUTED_VALUE"""),"MFH")</f>
        <v>MFH</v>
      </c>
      <c r="J1142" s="6" t="str">
        <f>IFERROR(__xludf.DUMMYFUNCTION("""COMPUTED_VALUE"""),"-")</f>
        <v>-</v>
      </c>
      <c r="K1142" s="6" t="str">
        <f>IFERROR(__xludf.DUMMYFUNCTION("""COMPUTED_VALUE"""),"SPR/09/24/013")</f>
        <v>SPR/09/24/013</v>
      </c>
      <c r="L1142" s="13">
        <f>IFERROR(__xludf.DUMMYFUNCTION("""COMPUTED_VALUE"""),45565.0)</f>
        <v>45565</v>
      </c>
    </row>
    <row r="1143">
      <c r="A1143" s="6" t="str">
        <f>IFERROR(__xludf.DUMMYFUNCTION("""COMPUTED_VALUE"""),"MLN")</f>
        <v>MLN</v>
      </c>
      <c r="B1143" s="6" t="str">
        <f>IFERROR(__xludf.DUMMYFUNCTION("""COMPUTED_VALUE"""),"PRO")</f>
        <v>PRO</v>
      </c>
      <c r="C1143" s="6" t="str">
        <f>IFERROR(__xludf.DUMMYFUNCTION("""COMPUTED_VALUE"""),"S-46129-00")</f>
        <v>S-46129-00</v>
      </c>
      <c r="D1143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143" s="6">
        <f>IFERROR(__xludf.DUMMYFUNCTION("""COMPUTED_VALUE"""),2.0)</f>
        <v>2</v>
      </c>
      <c r="F1143" s="6">
        <f>IFERROR(__xludf.DUMMYFUNCTION("""COMPUTED_VALUE"""),2.0)</f>
        <v>2</v>
      </c>
      <c r="G1143" s="6">
        <f>IFERROR(__xludf.DUMMYFUNCTION("""COMPUTED_VALUE"""),0.0)</f>
        <v>0</v>
      </c>
      <c r="H1143" s="6" t="str">
        <f>IFERROR(__xludf.DUMMYFUNCTION("""COMPUTED_VALUE"""),"pcs")</f>
        <v>pcs</v>
      </c>
      <c r="I1143" s="6" t="str">
        <f>IFERROR(__xludf.DUMMYFUNCTION("""COMPUTED_VALUE"""),"MFH")</f>
        <v>MFH</v>
      </c>
      <c r="J1143" s="6" t="str">
        <f>IFERROR(__xludf.DUMMYFUNCTION("""COMPUTED_VALUE"""),"Deep Freezer")</f>
        <v>Deep Freezer</v>
      </c>
      <c r="K1143" s="6" t="str">
        <f>IFERROR(__xludf.DUMMYFUNCTION("""COMPUTED_VALUE"""),"SPR/09/24/014")</f>
        <v>SPR/09/24/014</v>
      </c>
      <c r="L1143" s="13">
        <f>IFERROR(__xludf.DUMMYFUNCTION("""COMPUTED_VALUE"""),45565.0)</f>
        <v>45565</v>
      </c>
    </row>
    <row r="1144">
      <c r="A1144" s="6" t="str">
        <f>IFERROR(__xludf.DUMMYFUNCTION("""COMPUTED_VALUE"""),"MRN")</f>
        <v>MRN</v>
      </c>
      <c r="B1144" s="6" t="str">
        <f>IFERROR(__xludf.DUMMYFUNCTION("""COMPUTED_VALUE"""),"ENG")</f>
        <v>ENG</v>
      </c>
      <c r="C1144" s="6" t="str">
        <f>IFERROR(__xludf.DUMMYFUNCTION("""COMPUTED_VALUE"""),"O-54015-00")</f>
        <v>O-54015-00</v>
      </c>
      <c r="D1144" s="6" t="str">
        <f>IFERROR(__xludf.DUMMYFUNCTION("""COMPUTED_VALUE"""),"STOP KONTAK LUBANG 4, BROCO")</f>
        <v>STOP KONTAK LUBANG 4, BROCO</v>
      </c>
      <c r="E1144" s="6">
        <f>IFERROR(__xludf.DUMMYFUNCTION("""COMPUTED_VALUE"""),5.0)</f>
        <v>5</v>
      </c>
      <c r="F1144" s="6">
        <f>IFERROR(__xludf.DUMMYFUNCTION("""COMPUTED_VALUE"""),1.0)</f>
        <v>1</v>
      </c>
      <c r="G1144" s="6">
        <f>IFERROR(__xludf.DUMMYFUNCTION("""COMPUTED_VALUE"""),0.0)</f>
        <v>0</v>
      </c>
      <c r="H1144" s="6" t="str">
        <f>IFERROR(__xludf.DUMMYFUNCTION("""COMPUTED_VALUE"""),"pcs")</f>
        <v>pcs</v>
      </c>
      <c r="I1144" s="6" t="str">
        <f>IFERROR(__xludf.DUMMYFUNCTION("""COMPUTED_VALUE"""),"MFH")</f>
        <v>MFH</v>
      </c>
      <c r="J1144" s="6" t="str">
        <f>IFERROR(__xludf.DUMMYFUNCTION("""COMPUTED_VALUE"""),"UPS")</f>
        <v>UPS</v>
      </c>
      <c r="K1144" s="6" t="str">
        <f>IFERROR(__xludf.DUMMYFUNCTION("""COMPUTED_VALUE"""),"SPR/09/24/015")</f>
        <v>SPR/09/24/015</v>
      </c>
      <c r="L1144" s="13">
        <f>IFERROR(__xludf.DUMMYFUNCTION("""COMPUTED_VALUE"""),45565.0)</f>
        <v>45565</v>
      </c>
    </row>
    <row r="1145">
      <c r="A1145" s="6" t="str">
        <f>IFERROR(__xludf.DUMMYFUNCTION("""COMPUTED_VALUE"""),"ROS")</f>
        <v>ROS</v>
      </c>
      <c r="B1145" s="6" t="str">
        <f>IFERROR(__xludf.DUMMYFUNCTION("""COMPUTED_VALUE"""),"ENG")</f>
        <v>ENG</v>
      </c>
      <c r="C1145" s="6" t="str">
        <f>IFERROR(__xludf.DUMMYFUNCTION("""COMPUTED_VALUE"""),"O-16033-00")</f>
        <v>O-16033-00</v>
      </c>
      <c r="D114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145" s="6">
        <f>IFERROR(__xludf.DUMMYFUNCTION("""COMPUTED_VALUE"""),1.0)</f>
        <v>1</v>
      </c>
      <c r="F1145" s="6">
        <f>IFERROR(__xludf.DUMMYFUNCTION("""COMPUTED_VALUE"""),1.0)</f>
        <v>1</v>
      </c>
      <c r="G1145" s="6">
        <f>IFERROR(__xludf.DUMMYFUNCTION("""COMPUTED_VALUE"""),0.0)</f>
        <v>0</v>
      </c>
      <c r="H1145" s="6" t="str">
        <f>IFERROR(__xludf.DUMMYFUNCTION("""COMPUTED_VALUE"""),"pcs")</f>
        <v>pcs</v>
      </c>
      <c r="I1145" s="6" t="str">
        <f>IFERROR(__xludf.DUMMYFUNCTION("""COMPUTED_VALUE"""),"MFH")</f>
        <v>MFH</v>
      </c>
      <c r="J1145" s="6" t="str">
        <f>IFERROR(__xludf.DUMMYFUNCTION("""COMPUTED_VALUE"""),"cRABS")</f>
        <v>cRABS</v>
      </c>
      <c r="K1145" s="6" t="str">
        <f>IFERROR(__xludf.DUMMYFUNCTION("""COMPUTED_VALUE"""),"SPR/09/24/016")</f>
        <v>SPR/09/24/016</v>
      </c>
      <c r="L1145" s="13">
        <f>IFERROR(__xludf.DUMMYFUNCTION("""COMPUTED_VALUE"""),45565.0)</f>
        <v>45565</v>
      </c>
    </row>
    <row r="1146">
      <c r="A1146" s="6" t="str">
        <f>IFERROR(__xludf.DUMMYFUNCTION("""COMPUTED_VALUE"""),"ROS")</f>
        <v>ROS</v>
      </c>
      <c r="B1146" s="6" t="str">
        <f>IFERROR(__xludf.DUMMYFUNCTION("""COMPUTED_VALUE"""),"ENG")</f>
        <v>ENG</v>
      </c>
      <c r="C1146" s="6" t="str">
        <f>IFERROR(__xludf.DUMMYFUNCTION("""COMPUTED_VALUE"""),"P-10945-00")</f>
        <v>P-10945-00</v>
      </c>
      <c r="D1146" s="6" t="str">
        <f>IFERROR(__xludf.DUMMYFUNCTION("""COMPUTED_VALUE"""),"Insulation - Seal Tape onda")</f>
        <v>Insulation - Seal Tape onda</v>
      </c>
      <c r="E1146" s="6">
        <f>IFERROR(__xludf.DUMMYFUNCTION("""COMPUTED_VALUE"""),1.0)</f>
        <v>1</v>
      </c>
      <c r="F1146" s="6">
        <f>IFERROR(__xludf.DUMMYFUNCTION("""COMPUTED_VALUE"""),1.0)</f>
        <v>1</v>
      </c>
      <c r="G1146" s="6">
        <f>IFERROR(__xludf.DUMMYFUNCTION("""COMPUTED_VALUE"""),0.0)</f>
        <v>0</v>
      </c>
      <c r="H1146" s="6" t="str">
        <f>IFERROR(__xludf.DUMMYFUNCTION("""COMPUTED_VALUE"""),"pcs")</f>
        <v>pcs</v>
      </c>
      <c r="I1146" s="6" t="str">
        <f>IFERROR(__xludf.DUMMYFUNCTION("""COMPUTED_VALUE"""),"MFH")</f>
        <v>MFH</v>
      </c>
      <c r="J1146" s="6" t="str">
        <f>IFERROR(__xludf.DUMMYFUNCTION("""COMPUTED_VALUE"""),"CC")</f>
        <v>CC</v>
      </c>
      <c r="K1146" s="6" t="str">
        <f>IFERROR(__xludf.DUMMYFUNCTION("""COMPUTED_VALUE"""),"SPR/09/24/016")</f>
        <v>SPR/09/24/016</v>
      </c>
      <c r="L1146" s="13">
        <f>IFERROR(__xludf.DUMMYFUNCTION("""COMPUTED_VALUE"""),45565.0)</f>
        <v>45565</v>
      </c>
    </row>
    <row r="1147">
      <c r="A1147" s="6" t="str">
        <f>IFERROR(__xludf.DUMMYFUNCTION("""COMPUTED_VALUE"""),"MOB")</f>
        <v>MOB</v>
      </c>
      <c r="B1147" s="6" t="str">
        <f>IFERROR(__xludf.DUMMYFUNCTION("""COMPUTED_VALUE"""),"ENG")</f>
        <v>ENG</v>
      </c>
      <c r="C1147" s="6" t="str">
        <f>IFERROR(__xludf.DUMMYFUNCTION("""COMPUTED_VALUE"""),"P-12305-00")</f>
        <v>P-12305-00</v>
      </c>
      <c r="D1147" s="6" t="str">
        <f>IFERROR(__xludf.DUMMYFUNCTION("""COMPUTED_VALUE"""),"FESTO - QST-6 Push in t-connection p/n 153129")</f>
        <v>FESTO - QST-6 Push in t-connection p/n 153129</v>
      </c>
      <c r="E1147" s="6">
        <f>IFERROR(__xludf.DUMMYFUNCTION("""COMPUTED_VALUE"""),1.0)</f>
        <v>1</v>
      </c>
      <c r="F1147" s="6">
        <f>IFERROR(__xludf.DUMMYFUNCTION("""COMPUTED_VALUE"""),1.0)</f>
        <v>1</v>
      </c>
      <c r="G1147" s="6">
        <f>IFERROR(__xludf.DUMMYFUNCTION("""COMPUTED_VALUE"""),0.0)</f>
        <v>0</v>
      </c>
      <c r="H1147" s="6" t="str">
        <f>IFERROR(__xludf.DUMMYFUNCTION("""COMPUTED_VALUE"""),"pcs")</f>
        <v>pcs</v>
      </c>
      <c r="I1147" s="6" t="str">
        <f>IFERROR(__xludf.DUMMYFUNCTION("""COMPUTED_VALUE"""),"MFH")</f>
        <v>MFH</v>
      </c>
      <c r="J1147" s="6" t="str">
        <f>IFERROR(__xludf.DUMMYFUNCTION("""COMPUTED_VALUE"""),"-")</f>
        <v>-</v>
      </c>
      <c r="K1147" s="6" t="str">
        <f>IFERROR(__xludf.DUMMYFUNCTION("""COMPUTED_VALUE"""),"SPR/09/24/017")</f>
        <v>SPR/09/24/017</v>
      </c>
      <c r="L1147" s="13">
        <f>IFERROR(__xludf.DUMMYFUNCTION("""COMPUTED_VALUE"""),45565.0)</f>
        <v>45565</v>
      </c>
    </row>
    <row r="1148">
      <c r="A1148" s="6" t="str">
        <f>IFERROR(__xludf.DUMMYFUNCTION("""COMPUTED_VALUE"""),"MOB")</f>
        <v>MOB</v>
      </c>
      <c r="B1148" s="6" t="str">
        <f>IFERROR(__xludf.DUMMYFUNCTION("""COMPUTED_VALUE"""),"ENG")</f>
        <v>ENG</v>
      </c>
      <c r="C1148" s="6" t="str">
        <f>IFERROR(__xludf.DUMMYFUNCTION("""COMPUTED_VALUE"""),"Q-10249-00")</f>
        <v>Q-10249-00</v>
      </c>
      <c r="D1148" s="6" t="str">
        <f>IFERROR(__xludf.DUMMYFUNCTION("""COMPUTED_VALUE"""),"Lem Power Glue; ; ;")</f>
        <v>Lem Power Glue; ; ;</v>
      </c>
      <c r="E1148" s="6">
        <f>IFERROR(__xludf.DUMMYFUNCTION("""COMPUTED_VALUE"""),1.0)</f>
        <v>1</v>
      </c>
      <c r="F1148" s="6">
        <f>IFERROR(__xludf.DUMMYFUNCTION("""COMPUTED_VALUE"""),1.0)</f>
        <v>1</v>
      </c>
      <c r="G1148" s="6">
        <f>IFERROR(__xludf.DUMMYFUNCTION("""COMPUTED_VALUE"""),0.0)</f>
        <v>0</v>
      </c>
      <c r="H1148" s="6" t="str">
        <f>IFERROR(__xludf.DUMMYFUNCTION("""COMPUTED_VALUE"""),"pcs")</f>
        <v>pcs</v>
      </c>
      <c r="I1148" s="6" t="str">
        <f>IFERROR(__xludf.DUMMYFUNCTION("""COMPUTED_VALUE"""),"MFH")</f>
        <v>MFH</v>
      </c>
      <c r="J1148" s="6" t="str">
        <f>IFERROR(__xludf.DUMMYFUNCTION("""COMPUTED_VALUE"""),"-")</f>
        <v>-</v>
      </c>
      <c r="K1148" s="6" t="str">
        <f>IFERROR(__xludf.DUMMYFUNCTION("""COMPUTED_VALUE"""),"SPR/09/24/017")</f>
        <v>SPR/09/24/017</v>
      </c>
      <c r="L1148" s="13">
        <f>IFERROR(__xludf.DUMMYFUNCTION("""COMPUTED_VALUE"""),45565.0)</f>
        <v>45565</v>
      </c>
    </row>
    <row r="1149">
      <c r="A1149" s="6" t="str">
        <f>IFERROR(__xludf.DUMMYFUNCTION("""COMPUTED_VALUE"""),"MAP")</f>
        <v>MAP</v>
      </c>
      <c r="B1149" s="6" t="str">
        <f>IFERROR(__xludf.DUMMYFUNCTION("""COMPUTED_VALUE"""),"ENG")</f>
        <v>ENG</v>
      </c>
      <c r="C1149" s="6" t="str">
        <f>IFERROR(__xludf.DUMMYFUNCTION("""COMPUTED_VALUE"""),"P-11990-00")</f>
        <v>P-11990-00</v>
      </c>
      <c r="D1149" s="6" t="str">
        <f>IFERROR(__xludf.DUMMYFUNCTION("""COMPUTED_VALUE"""),"Cable ties CS 100L")</f>
        <v>Cable ties CS 100L</v>
      </c>
      <c r="E1149" s="6">
        <f>IFERROR(__xludf.DUMMYFUNCTION("""COMPUTED_VALUE"""),2.0)</f>
        <v>2</v>
      </c>
      <c r="F1149" s="6">
        <f>IFERROR(__xludf.DUMMYFUNCTION("""COMPUTED_VALUE"""),1.0)</f>
        <v>1</v>
      </c>
      <c r="G1149" s="6">
        <f>IFERROR(__xludf.DUMMYFUNCTION("""COMPUTED_VALUE"""),0.0)</f>
        <v>0</v>
      </c>
      <c r="H1149" s="6" t="str">
        <f>IFERROR(__xludf.DUMMYFUNCTION("""COMPUTED_VALUE"""),"pcs")</f>
        <v>pcs</v>
      </c>
      <c r="I1149" s="6" t="str">
        <f>IFERROR(__xludf.DUMMYFUNCTION("""COMPUTED_VALUE"""),"MFH")</f>
        <v>MFH</v>
      </c>
      <c r="J1149" s="6" t="str">
        <f>IFERROR(__xludf.DUMMYFUNCTION("""COMPUTED_VALUE"""),"Office")</f>
        <v>Office</v>
      </c>
      <c r="K1149" s="6" t="str">
        <f>IFERROR(__xludf.DUMMYFUNCTION("""COMPUTED_VALUE"""),"SPR/09/24/018")</f>
        <v>SPR/09/24/018</v>
      </c>
      <c r="L1149" s="13">
        <f>IFERROR(__xludf.DUMMYFUNCTION("""COMPUTED_VALUE"""),45565.0)</f>
        <v>45565</v>
      </c>
    </row>
    <row r="1150">
      <c r="A1150" s="6" t="str">
        <f>IFERROR(__xludf.DUMMYFUNCTION("""COMPUTED_VALUE"""),"ANO")</f>
        <v>ANO</v>
      </c>
      <c r="B1150" s="6" t="str">
        <f>IFERROR(__xludf.DUMMYFUNCTION("""COMPUTED_VALUE"""),"ENG")</f>
        <v>ENG</v>
      </c>
      <c r="C1150" s="6" t="str">
        <f>IFERROR(__xludf.DUMMYFUNCTION("""COMPUTED_VALUE"""),"P-12281-00")</f>
        <v>P-12281-00</v>
      </c>
      <c r="D1150" s="6" t="str">
        <f>IFERROR(__xludf.DUMMYFUNCTION("""COMPUTED_VALUE"""),"FESTO - QS-10-8 Push In Connector p/n 153039")</f>
        <v>FESTO - QS-10-8 Push In Connector p/n 153039</v>
      </c>
      <c r="E1150" s="6">
        <f>IFERROR(__xludf.DUMMYFUNCTION("""COMPUTED_VALUE"""),1.0)</f>
        <v>1</v>
      </c>
      <c r="F1150" s="6">
        <f>IFERROR(__xludf.DUMMYFUNCTION("""COMPUTED_VALUE"""),1.0)</f>
        <v>1</v>
      </c>
      <c r="G1150" s="6">
        <f>IFERROR(__xludf.DUMMYFUNCTION("""COMPUTED_VALUE"""),0.0)</f>
        <v>0</v>
      </c>
      <c r="H1150" s="6" t="str">
        <f>IFERROR(__xludf.DUMMYFUNCTION("""COMPUTED_VALUE"""),"pcs")</f>
        <v>pcs</v>
      </c>
      <c r="I1150" s="6" t="str">
        <f>IFERROR(__xludf.DUMMYFUNCTION("""COMPUTED_VALUE"""),"MFH")</f>
        <v>MFH</v>
      </c>
      <c r="J1150" s="6" t="str">
        <f>IFERROR(__xludf.DUMMYFUNCTION("""COMPUTED_VALUE"""),"-")</f>
        <v>-</v>
      </c>
      <c r="K1150" s="6" t="str">
        <f>IFERROR(__xludf.DUMMYFUNCTION("""COMPUTED_VALUE"""),"SPR/09/24/019")</f>
        <v>SPR/09/24/019</v>
      </c>
      <c r="L1150" s="13">
        <f>IFERROR(__xludf.DUMMYFUNCTION("""COMPUTED_VALUE"""),45565.0)</f>
        <v>45565</v>
      </c>
    </row>
    <row r="1151">
      <c r="A1151" s="6" t="str">
        <f>IFERROR(__xludf.DUMMYFUNCTION("""COMPUTED_VALUE"""),"ROS")</f>
        <v>ROS</v>
      </c>
      <c r="B1151" s="6" t="str">
        <f>IFERROR(__xludf.DUMMYFUNCTION("""COMPUTED_VALUE"""),"ENG")</f>
        <v>ENG</v>
      </c>
      <c r="C1151" s="6" t="str">
        <f>IFERROR(__xludf.DUMMYFUNCTION("""COMPUTED_VALUE"""),"P-53102-00")</f>
        <v>P-53102-00</v>
      </c>
      <c r="D1151" s="6" t="str">
        <f>IFERROR(__xludf.DUMMYFUNCTION("""COMPUTED_VALUE"""),"Lampu PLC 13watt/E27 Putih; Phillips; ;")</f>
        <v>Lampu PLC 13watt/E27 Putih; Phillips; ;</v>
      </c>
      <c r="E1151" s="6">
        <f>IFERROR(__xludf.DUMMYFUNCTION("""COMPUTED_VALUE"""),5.0)</f>
        <v>5</v>
      </c>
      <c r="F1151" s="6">
        <f>IFERROR(__xludf.DUMMYFUNCTION("""COMPUTED_VALUE"""),2.0)</f>
        <v>2</v>
      </c>
      <c r="G1151" s="6">
        <f>IFERROR(__xludf.DUMMYFUNCTION("""COMPUTED_VALUE"""),0.0)</f>
        <v>0</v>
      </c>
      <c r="H1151" s="6" t="str">
        <f>IFERROR(__xludf.DUMMYFUNCTION("""COMPUTED_VALUE"""),"pcs")</f>
        <v>pcs</v>
      </c>
      <c r="I1151" s="6" t="str">
        <f>IFERROR(__xludf.DUMMYFUNCTION("""COMPUTED_VALUE"""),"MFH")</f>
        <v>MFH</v>
      </c>
      <c r="J1151" s="6" t="str">
        <f>IFERROR(__xludf.DUMMYFUNCTION("""COMPUTED_VALUE"""),"CC")</f>
        <v>CC</v>
      </c>
      <c r="K1151" s="6" t="str">
        <f>IFERROR(__xludf.DUMMYFUNCTION("""COMPUTED_VALUE"""),"SPR/09/24/020")</f>
        <v>SPR/09/24/020</v>
      </c>
      <c r="L1151" s="13">
        <f>IFERROR(__xludf.DUMMYFUNCTION("""COMPUTED_VALUE"""),45565.0)</f>
        <v>45565</v>
      </c>
    </row>
    <row r="1152">
      <c r="A1152" s="6" t="str">
        <f>IFERROR(__xludf.DUMMYFUNCTION("""COMPUTED_VALUE"""),"ROS")</f>
        <v>ROS</v>
      </c>
      <c r="B1152" s="6" t="str">
        <f>IFERROR(__xludf.DUMMYFUNCTION("""COMPUTED_VALUE"""),"ENG")</f>
        <v>ENG</v>
      </c>
      <c r="C1152" s="6" t="str">
        <f>IFERROR(__xludf.DUMMYFUNCTION("""COMPUTED_VALUE"""),"P-19255-00")</f>
        <v>P-19255-00</v>
      </c>
      <c r="D1152" s="6" t="str">
        <f>IFERROR(__xludf.DUMMYFUNCTION("""COMPUTED_VALUE"""),"Plastic Tubing PUN-H-14x2-BL; Festo; 570386;")</f>
        <v>Plastic Tubing PUN-H-14x2-BL; Festo; 570386;</v>
      </c>
      <c r="E1152" s="6">
        <f>IFERROR(__xludf.DUMMYFUNCTION("""COMPUTED_VALUE"""),10.0)</f>
        <v>10</v>
      </c>
      <c r="F1152" s="6">
        <f>IFERROR(__xludf.DUMMYFUNCTION("""COMPUTED_VALUE"""),5.0)</f>
        <v>5</v>
      </c>
      <c r="G1152" s="6">
        <f>IFERROR(__xludf.DUMMYFUNCTION("""COMPUTED_VALUE"""),0.0)</f>
        <v>0</v>
      </c>
      <c r="H1152" s="6" t="str">
        <f>IFERROR(__xludf.DUMMYFUNCTION("""COMPUTED_VALUE"""),"pcs")</f>
        <v>pcs</v>
      </c>
      <c r="I1152" s="6" t="str">
        <f>IFERROR(__xludf.DUMMYFUNCTION("""COMPUTED_VALUE"""),"MFH")</f>
        <v>MFH</v>
      </c>
      <c r="J1152" s="6" t="str">
        <f>IFERROR(__xludf.DUMMYFUNCTION("""COMPUTED_VALUE"""),"-")</f>
        <v>-</v>
      </c>
      <c r="K1152" s="6" t="str">
        <f>IFERROR(__xludf.DUMMYFUNCTION("""COMPUTED_VALUE"""),"SPR/09/24/020")</f>
        <v>SPR/09/24/020</v>
      </c>
      <c r="L1152" s="13">
        <f>IFERROR(__xludf.DUMMYFUNCTION("""COMPUTED_VALUE"""),45565.0)</f>
        <v>45565</v>
      </c>
    </row>
    <row r="1153">
      <c r="A1153" s="6" t="str">
        <f>IFERROR(__xludf.DUMMYFUNCTION("""COMPUTED_VALUE"""),"ROS")</f>
        <v>ROS</v>
      </c>
      <c r="B1153" s="6" t="str">
        <f>IFERROR(__xludf.DUMMYFUNCTION("""COMPUTED_VALUE"""),"ENG")</f>
        <v>ENG</v>
      </c>
      <c r="C1153" s="6" t="str">
        <f>IFERROR(__xludf.DUMMYFUNCTION("""COMPUTED_VALUE"""),"P-10945-00")</f>
        <v>P-10945-00</v>
      </c>
      <c r="D1153" s="6" t="str">
        <f>IFERROR(__xludf.DUMMYFUNCTION("""COMPUTED_VALUE"""),"Insulation - Seal Tape onda")</f>
        <v>Insulation - Seal Tape onda</v>
      </c>
      <c r="E1153" s="6">
        <f>IFERROR(__xludf.DUMMYFUNCTION("""COMPUTED_VALUE"""),1.0)</f>
        <v>1</v>
      </c>
      <c r="F1153" s="6">
        <f>IFERROR(__xludf.DUMMYFUNCTION("""COMPUTED_VALUE"""),1.0)</f>
        <v>1</v>
      </c>
      <c r="G1153" s="6">
        <f>IFERROR(__xludf.DUMMYFUNCTION("""COMPUTED_VALUE"""),0.0)</f>
        <v>0</v>
      </c>
      <c r="H1153" s="6" t="str">
        <f>IFERROR(__xludf.DUMMYFUNCTION("""COMPUTED_VALUE"""),"pcs")</f>
        <v>pcs</v>
      </c>
      <c r="I1153" s="6" t="str">
        <f>IFERROR(__xludf.DUMMYFUNCTION("""COMPUTED_VALUE"""),"MFH")</f>
        <v>MFH</v>
      </c>
      <c r="J1153" s="6" t="str">
        <f>IFERROR(__xludf.DUMMYFUNCTION("""COMPUTED_VALUE"""),"Coating")</f>
        <v>Coating</v>
      </c>
      <c r="K1153" s="6" t="str">
        <f>IFERROR(__xludf.DUMMYFUNCTION("""COMPUTED_VALUE"""),"SPR/09/24/020")</f>
        <v>SPR/09/24/020</v>
      </c>
      <c r="L1153" s="13">
        <f>IFERROR(__xludf.DUMMYFUNCTION("""COMPUTED_VALUE"""),45565.0)</f>
        <v>45565</v>
      </c>
    </row>
    <row r="1154">
      <c r="A1154" s="6" t="str">
        <f>IFERROR(__xludf.DUMMYFUNCTION("""COMPUTED_VALUE"""),"ANO")</f>
        <v>ANO</v>
      </c>
      <c r="B1154" s="6" t="str">
        <f>IFERROR(__xludf.DUMMYFUNCTION("""COMPUTED_VALUE"""),"ENG")</f>
        <v>ENG</v>
      </c>
      <c r="C1154" s="6" t="str">
        <f>IFERROR(__xludf.DUMMYFUNCTION("""COMPUTED_VALUE"""),"-")</f>
        <v>-</v>
      </c>
      <c r="D1154" s="6" t="str">
        <f>IFERROR(__xludf.DUMMYFUNCTION("""COMPUTED_VALUE"""),"Kontaktor 24vdc")</f>
        <v>Kontaktor 24vdc</v>
      </c>
      <c r="E1154" s="6">
        <f>IFERROR(__xludf.DUMMYFUNCTION("""COMPUTED_VALUE"""),1.0)</f>
        <v>1</v>
      </c>
      <c r="F1154" s="6">
        <f>IFERROR(__xludf.DUMMYFUNCTION("""COMPUTED_VALUE"""),1.0)</f>
        <v>1</v>
      </c>
      <c r="G1154" s="6">
        <f>IFERROR(__xludf.DUMMYFUNCTION("""COMPUTED_VALUE"""),0.0)</f>
        <v>0</v>
      </c>
      <c r="H1154" s="6" t="str">
        <f>IFERROR(__xludf.DUMMYFUNCTION("""COMPUTED_VALUE"""),"pcs")</f>
        <v>pcs</v>
      </c>
      <c r="I1154" s="6" t="str">
        <f>IFERROR(__xludf.DUMMYFUNCTION("""COMPUTED_VALUE"""),"MFH")</f>
        <v>MFH</v>
      </c>
      <c r="J1154" s="6" t="str">
        <f>IFERROR(__xludf.DUMMYFUNCTION("""COMPUTED_VALUE"""),"OSD")</f>
        <v>OSD</v>
      </c>
      <c r="K1154" s="6" t="str">
        <f>IFERROR(__xludf.DUMMYFUNCTION("""COMPUTED_VALUE"""),"SPR/09/24/021")</f>
        <v>SPR/09/24/021</v>
      </c>
      <c r="L1154" s="13">
        <f>IFERROR(__xludf.DUMMYFUNCTION("""COMPUTED_VALUE"""),45565.0)</f>
        <v>45565</v>
      </c>
    </row>
    <row r="1155">
      <c r="A1155" s="6" t="str">
        <f>IFERROR(__xludf.DUMMYFUNCTION("""COMPUTED_VALUE"""),"ANO")</f>
        <v>ANO</v>
      </c>
      <c r="B1155" s="6" t="str">
        <f>IFERROR(__xludf.DUMMYFUNCTION("""COMPUTED_VALUE"""),"ENG")</f>
        <v>ENG</v>
      </c>
      <c r="C1155" s="6" t="str">
        <f>IFERROR(__xludf.DUMMYFUNCTION("""COMPUTED_VALUE"""),"O-54138-00")</f>
        <v>O-54138-00</v>
      </c>
      <c r="D1155" s="6" t="str">
        <f>IFERROR(__xludf.DUMMYFUNCTION("""COMPUTED_VALUE"""),"Terminal Viking / Terminal Block Size 10 mm; Fort; ;")</f>
        <v>Terminal Viking / Terminal Block Size 10 mm; Fort; ;</v>
      </c>
      <c r="E1155" s="6">
        <f>IFERROR(__xludf.DUMMYFUNCTION("""COMPUTED_VALUE"""),4.0)</f>
        <v>4</v>
      </c>
      <c r="F1155" s="6">
        <f>IFERROR(__xludf.DUMMYFUNCTION("""COMPUTED_VALUE"""),4.0)</f>
        <v>4</v>
      </c>
      <c r="G1155" s="6">
        <f>IFERROR(__xludf.DUMMYFUNCTION("""COMPUTED_VALUE"""),0.0)</f>
        <v>0</v>
      </c>
      <c r="H1155" s="6" t="str">
        <f>IFERROR(__xludf.DUMMYFUNCTION("""COMPUTED_VALUE"""),"pcs")</f>
        <v>pcs</v>
      </c>
      <c r="I1155" s="6" t="str">
        <f>IFERROR(__xludf.DUMMYFUNCTION("""COMPUTED_VALUE"""),"MFH")</f>
        <v>MFH</v>
      </c>
      <c r="J1155" s="6" t="str">
        <f>IFERROR(__xludf.DUMMYFUNCTION("""COMPUTED_VALUE"""),"OSD")</f>
        <v>OSD</v>
      </c>
      <c r="K1155" s="6" t="str">
        <f>IFERROR(__xludf.DUMMYFUNCTION("""COMPUTED_VALUE"""),"SPR/09/24/021")</f>
        <v>SPR/09/24/021</v>
      </c>
      <c r="L1155" s="13">
        <f>IFERROR(__xludf.DUMMYFUNCTION("""COMPUTED_VALUE"""),45565.0)</f>
        <v>45565</v>
      </c>
    </row>
    <row r="1156">
      <c r="A1156" s="6" t="str">
        <f>IFERROR(__xludf.DUMMYFUNCTION("""COMPUTED_VALUE"""),"ANO")</f>
        <v>ANO</v>
      </c>
      <c r="B1156" s="6" t="str">
        <f>IFERROR(__xludf.DUMMYFUNCTION("""COMPUTED_VALUE"""),"ENG")</f>
        <v>ENG</v>
      </c>
      <c r="C1156" s="6" t="str">
        <f>IFERROR(__xludf.DUMMYFUNCTION("""COMPUTED_VALUE"""),"P-14877-00")</f>
        <v>P-14877-00</v>
      </c>
      <c r="D1156" s="6" t="str">
        <f>IFERROR(__xludf.DUMMYFUNCTION("""COMPUTED_VALUE"""),"Kabel NYYHY 3x2,5mm; ; ;")</f>
        <v>Kabel NYYHY 3x2,5mm; ; ;</v>
      </c>
      <c r="E1156" s="6">
        <f>IFERROR(__xludf.DUMMYFUNCTION("""COMPUTED_VALUE"""),100.0)</f>
        <v>100</v>
      </c>
      <c r="F1156" s="6">
        <f>IFERROR(__xludf.DUMMYFUNCTION("""COMPUTED_VALUE"""),100.0)</f>
        <v>100</v>
      </c>
      <c r="G1156" s="6">
        <f>IFERROR(__xludf.DUMMYFUNCTION("""COMPUTED_VALUE"""),0.0)</f>
        <v>0</v>
      </c>
      <c r="H1156" s="6" t="str">
        <f>IFERROR(__xludf.DUMMYFUNCTION("""COMPUTED_VALUE"""),"pcs")</f>
        <v>pcs</v>
      </c>
      <c r="I1156" s="6" t="str">
        <f>IFERROR(__xludf.DUMMYFUNCTION("""COMPUTED_VALUE"""),"MFH")</f>
        <v>MFH</v>
      </c>
      <c r="J1156" s="6" t="str">
        <f>IFERROR(__xludf.DUMMYFUNCTION("""COMPUTED_VALUE"""),"OSD")</f>
        <v>OSD</v>
      </c>
      <c r="K1156" s="6" t="str">
        <f>IFERROR(__xludf.DUMMYFUNCTION("""COMPUTED_VALUE"""),"SPR/09/24/021")</f>
        <v>SPR/09/24/021</v>
      </c>
      <c r="L1156" s="13">
        <f>IFERROR(__xludf.DUMMYFUNCTION("""COMPUTED_VALUE"""),45565.0)</f>
        <v>45565</v>
      </c>
    </row>
    <row r="1157">
      <c r="A1157" s="6" t="str">
        <f>IFERROR(__xludf.DUMMYFUNCTION("""COMPUTED_VALUE"""),"SHF")</f>
        <v>SHF</v>
      </c>
      <c r="B1157" s="6" t="str">
        <f>IFERROR(__xludf.DUMMYFUNCTION("""COMPUTED_VALUE"""),"ENG")</f>
        <v>ENG</v>
      </c>
      <c r="C1157" s="6" t="str">
        <f>IFERROR(__xludf.DUMMYFUNCTION("""COMPUTED_VALUE"""),"O-54005-00")</f>
        <v>O-54005-00</v>
      </c>
      <c r="D1157" s="6" t="str">
        <f>IFERROR(__xludf.DUMMYFUNCTION("""COMPUTED_VALUE"""),"LAMPU UV 15 WATT, OSRAM")</f>
        <v>LAMPU UV 15 WATT, OSRAM</v>
      </c>
      <c r="E1157" s="6">
        <f>IFERROR(__xludf.DUMMYFUNCTION("""COMPUTED_VALUE"""),1.0)</f>
        <v>1</v>
      </c>
      <c r="F1157" s="6">
        <f>IFERROR(__xludf.DUMMYFUNCTION("""COMPUTED_VALUE"""),1.0)</f>
        <v>1</v>
      </c>
      <c r="G1157" s="6">
        <f>IFERROR(__xludf.DUMMYFUNCTION("""COMPUTED_VALUE"""),0.0)</f>
        <v>0</v>
      </c>
      <c r="H1157" s="6" t="str">
        <f>IFERROR(__xludf.DUMMYFUNCTION("""COMPUTED_VALUE"""),"pcs")</f>
        <v>pcs</v>
      </c>
      <c r="I1157" s="6" t="str">
        <f>IFERROR(__xludf.DUMMYFUNCTION("""COMPUTED_VALUE"""),"MFH")</f>
        <v>MFH</v>
      </c>
      <c r="J1157" s="6" t="str">
        <f>IFERROR(__xludf.DUMMYFUNCTION("""COMPUTED_VALUE"""),"-")</f>
        <v>-</v>
      </c>
      <c r="K1157" s="6" t="str">
        <f>IFERROR(__xludf.DUMMYFUNCTION("""COMPUTED_VALUE"""),"SPR/09/24/022")</f>
        <v>SPR/09/24/022</v>
      </c>
      <c r="L1157" s="13">
        <f>IFERROR(__xludf.DUMMYFUNCTION("""COMPUTED_VALUE"""),45565.0)</f>
        <v>45565</v>
      </c>
    </row>
    <row r="1158">
      <c r="A1158" s="6" t="str">
        <f>IFERROR(__xludf.DUMMYFUNCTION("""COMPUTED_VALUE"""),"SHF")</f>
        <v>SHF</v>
      </c>
      <c r="B1158" s="6" t="str">
        <f>IFERROR(__xludf.DUMMYFUNCTION("""COMPUTED_VALUE"""),"ENG")</f>
        <v>ENG</v>
      </c>
      <c r="C1158" s="6" t="str">
        <f>IFERROR(__xludf.DUMMYFUNCTION("""COMPUTED_VALUE"""),"P-11991-00")</f>
        <v>P-11991-00</v>
      </c>
      <c r="D1158" s="6" t="str">
        <f>IFERROR(__xludf.DUMMYFUNCTION("""COMPUTED_VALUE"""),"Cabble Ties 200L")</f>
        <v>Cabble Ties 200L</v>
      </c>
      <c r="E1158" s="6">
        <f>IFERROR(__xludf.DUMMYFUNCTION("""COMPUTED_VALUE"""),1.0)</f>
        <v>1</v>
      </c>
      <c r="F1158" s="6">
        <f>IFERROR(__xludf.DUMMYFUNCTION("""COMPUTED_VALUE"""),1.0)</f>
        <v>1</v>
      </c>
      <c r="G1158" s="6">
        <f>IFERROR(__xludf.DUMMYFUNCTION("""COMPUTED_VALUE"""),0.0)</f>
        <v>0</v>
      </c>
      <c r="H1158" s="6" t="str">
        <f>IFERROR(__xludf.DUMMYFUNCTION("""COMPUTED_VALUE"""),"pcs")</f>
        <v>pcs</v>
      </c>
      <c r="I1158" s="6" t="str">
        <f>IFERROR(__xludf.DUMMYFUNCTION("""COMPUTED_VALUE"""),"MFH")</f>
        <v>MFH</v>
      </c>
      <c r="J1158" s="6" t="str">
        <f>IFERROR(__xludf.DUMMYFUNCTION("""COMPUTED_VALUE"""),"-")</f>
        <v>-</v>
      </c>
      <c r="K1158" s="6" t="str">
        <f>IFERROR(__xludf.DUMMYFUNCTION("""COMPUTED_VALUE"""),"SPR/09/24/022")</f>
        <v>SPR/09/24/022</v>
      </c>
      <c r="L1158" s="13">
        <f>IFERROR(__xludf.DUMMYFUNCTION("""COMPUTED_VALUE"""),45565.0)</f>
        <v>45565</v>
      </c>
    </row>
    <row r="1159">
      <c r="A1159" s="6" t="str">
        <f>IFERROR(__xludf.DUMMYFUNCTION("""COMPUTED_VALUE"""),"MRN")</f>
        <v>MRN</v>
      </c>
      <c r="B1159" s="6" t="str">
        <f>IFERROR(__xludf.DUMMYFUNCTION("""COMPUTED_VALUE"""),"ENG")</f>
        <v>ENG</v>
      </c>
      <c r="C1159" s="6" t="str">
        <f>IFERROR(__xludf.DUMMYFUNCTION("""COMPUTED_VALUE"""),"P-13650-00")</f>
        <v>P-13650-00</v>
      </c>
      <c r="D1159" s="6" t="str">
        <f>IFERROR(__xludf.DUMMYFUNCTION("""COMPUTED_VALUE"""),"Manual Valve HE-2-QS-6; FESTO; ;")</f>
        <v>Manual Valve HE-2-QS-6; FESTO; ;</v>
      </c>
      <c r="E1159" s="6">
        <f>IFERROR(__xludf.DUMMYFUNCTION("""COMPUTED_VALUE"""),1.0)</f>
        <v>1</v>
      </c>
      <c r="F1159" s="6">
        <f>IFERROR(__xludf.DUMMYFUNCTION("""COMPUTED_VALUE"""),1.0)</f>
        <v>1</v>
      </c>
      <c r="G1159" s="6">
        <f>IFERROR(__xludf.DUMMYFUNCTION("""COMPUTED_VALUE"""),0.0)</f>
        <v>0</v>
      </c>
      <c r="H1159" s="6" t="str">
        <f>IFERROR(__xludf.DUMMYFUNCTION("""COMPUTED_VALUE"""),"pcs")</f>
        <v>pcs</v>
      </c>
      <c r="I1159" s="6" t="str">
        <f>IFERROR(__xludf.DUMMYFUNCTION("""COMPUTED_VALUE"""),"MFH")</f>
        <v>MFH</v>
      </c>
      <c r="J1159" s="6" t="str">
        <f>IFERROR(__xludf.DUMMYFUNCTION("""COMPUTED_VALUE"""),"-")</f>
        <v>-</v>
      </c>
      <c r="K1159" s="6" t="str">
        <f>IFERROR(__xludf.DUMMYFUNCTION("""COMPUTED_VALUE"""),"SPR/09/24/022")</f>
        <v>SPR/09/24/022</v>
      </c>
      <c r="L1159" s="13">
        <f>IFERROR(__xludf.DUMMYFUNCTION("""COMPUTED_VALUE"""),45565.0)</f>
        <v>45565</v>
      </c>
    </row>
    <row r="1160">
      <c r="A1160" s="6" t="str">
        <f>IFERROR(__xludf.DUMMYFUNCTION("""COMPUTED_VALUE"""),"MOB")</f>
        <v>MOB</v>
      </c>
      <c r="B1160" s="6" t="str">
        <f>IFERROR(__xludf.DUMMYFUNCTION("""COMPUTED_VALUE"""),"ENG")</f>
        <v>ENG</v>
      </c>
      <c r="C1160" s="6" t="str">
        <f>IFERROR(__xludf.DUMMYFUNCTION("""COMPUTED_VALUE"""),"P-53102-00")</f>
        <v>P-53102-00</v>
      </c>
      <c r="D1160" s="6" t="str">
        <f>IFERROR(__xludf.DUMMYFUNCTION("""COMPUTED_VALUE"""),"Lampu PLC 13watt/E27 Putih; Phillips; ;")</f>
        <v>Lampu PLC 13watt/E27 Putih; Phillips; ;</v>
      </c>
      <c r="E1160" s="6">
        <f>IFERROR(__xludf.DUMMYFUNCTION("""COMPUTED_VALUE"""),7.0)</f>
        <v>7</v>
      </c>
      <c r="F1160" s="6">
        <f>IFERROR(__xludf.DUMMYFUNCTION("""COMPUTED_VALUE"""),4.0)</f>
        <v>4</v>
      </c>
      <c r="G1160" s="6">
        <f>IFERROR(__xludf.DUMMYFUNCTION("""COMPUTED_VALUE"""),0.0)</f>
        <v>0</v>
      </c>
      <c r="H1160" s="6" t="str">
        <f>IFERROR(__xludf.DUMMYFUNCTION("""COMPUTED_VALUE"""),"pcs")</f>
        <v>pcs</v>
      </c>
      <c r="I1160" s="6" t="str">
        <f>IFERROR(__xludf.DUMMYFUNCTION("""COMPUTED_VALUE"""),"MFH")</f>
        <v>MFH</v>
      </c>
      <c r="J1160" s="6" t="str">
        <f>IFERROR(__xludf.DUMMYFUNCTION("""COMPUTED_VALUE"""),"Building")</f>
        <v>Building</v>
      </c>
      <c r="K1160" s="6" t="str">
        <f>IFERROR(__xludf.DUMMYFUNCTION("""COMPUTED_VALUE"""),"SPR/09/24/023")</f>
        <v>SPR/09/24/023</v>
      </c>
      <c r="L1160" s="13">
        <f>IFERROR(__xludf.DUMMYFUNCTION("""COMPUTED_VALUE"""),45565.0)</f>
        <v>45565</v>
      </c>
    </row>
    <row r="1161">
      <c r="A1161" s="6" t="str">
        <f>IFERROR(__xludf.DUMMYFUNCTION("""COMPUTED_VALUE"""),"RMA")</f>
        <v>RMA</v>
      </c>
      <c r="B1161" s="6" t="str">
        <f>IFERROR(__xludf.DUMMYFUNCTION("""COMPUTED_VALUE"""),"ENG")</f>
        <v>ENG</v>
      </c>
      <c r="C1161" s="6" t="str">
        <f>IFERROR(__xludf.DUMMYFUNCTION("""COMPUTED_VALUE"""),"Q-10128-00")</f>
        <v>Q-10128-00</v>
      </c>
      <c r="D1161" s="6" t="str">
        <f>IFERROR(__xludf.DUMMYFUNCTION("""COMPUTED_VALUE"""),"Thinner Super End/Impala")</f>
        <v>Thinner Super End/Impala</v>
      </c>
      <c r="E1161" s="6">
        <f>IFERROR(__xludf.DUMMYFUNCTION("""COMPUTED_VALUE"""),5.0)</f>
        <v>5</v>
      </c>
      <c r="F1161" s="6">
        <f>IFERROR(__xludf.DUMMYFUNCTION("""COMPUTED_VALUE"""),2.0)</f>
        <v>2</v>
      </c>
      <c r="G1161" s="6">
        <f>IFERROR(__xludf.DUMMYFUNCTION("""COMPUTED_VALUE"""),0.0)</f>
        <v>0</v>
      </c>
      <c r="H1161" s="6" t="str">
        <f>IFERROR(__xludf.DUMMYFUNCTION("""COMPUTED_VALUE"""),"can")</f>
        <v>can</v>
      </c>
      <c r="I1161" s="6" t="str">
        <f>IFERROR(__xludf.DUMMYFUNCTION("""COMPUTED_VALUE"""),"MFH")</f>
        <v>MFH</v>
      </c>
      <c r="J1161" s="6" t="str">
        <f>IFERROR(__xludf.DUMMYFUNCTION("""COMPUTED_VALUE"""),"WWTP")</f>
        <v>WWTP</v>
      </c>
      <c r="K1161" s="6" t="str">
        <f>IFERROR(__xludf.DUMMYFUNCTION("""COMPUTED_VALUE"""),"SPR/09/24/024")</f>
        <v>SPR/09/24/024</v>
      </c>
      <c r="L1161" s="13">
        <f>IFERROR(__xludf.DUMMYFUNCTION("""COMPUTED_VALUE"""),45565.0)</f>
        <v>45565</v>
      </c>
    </row>
    <row r="1162">
      <c r="A1162" s="6" t="str">
        <f>IFERROR(__xludf.DUMMYFUNCTION("""COMPUTED_VALUE"""),"AAA")</f>
        <v>AAA</v>
      </c>
      <c r="B1162" s="6" t="str">
        <f>IFERROR(__xludf.DUMMYFUNCTION("""COMPUTED_VALUE"""),"ENG")</f>
        <v>ENG</v>
      </c>
      <c r="C1162" s="6" t="str">
        <f>IFERROR(__xludf.DUMMYFUNCTION("""COMPUTED_VALUE"""),"T-20118-00")</f>
        <v>T-20118-00</v>
      </c>
      <c r="D1162" s="6" t="str">
        <f>IFERROR(__xludf.DUMMYFUNCTION("""COMPUTED_VALUE"""),"FILTER INSERT ASSY; Waters; P/N WAT088084")</f>
        <v>FILTER INSERT ASSY; Waters; P/N WAT088084</v>
      </c>
      <c r="E1162" s="6">
        <f>IFERROR(__xludf.DUMMYFUNCTION("""COMPUTED_VALUE"""),2.0)</f>
        <v>2</v>
      </c>
      <c r="F1162" s="6">
        <f>IFERROR(__xludf.DUMMYFUNCTION("""COMPUTED_VALUE"""),2.0)</f>
        <v>2</v>
      </c>
      <c r="G1162" s="6">
        <f>IFERROR(__xludf.DUMMYFUNCTION("""COMPUTED_VALUE"""),0.0)</f>
        <v>0</v>
      </c>
      <c r="H1162" s="6" t="str">
        <f>IFERROR(__xludf.DUMMYFUNCTION("""COMPUTED_VALUE"""),"pcs")</f>
        <v>pcs</v>
      </c>
      <c r="I1162" s="6" t="str">
        <f>IFERROR(__xludf.DUMMYFUNCTION("""COMPUTED_VALUE"""),"MFH")</f>
        <v>MFH</v>
      </c>
      <c r="J1162" s="6" t="str">
        <f>IFERROR(__xludf.DUMMYFUNCTION("""COMPUTED_VALUE"""),"HPLC")</f>
        <v>HPLC</v>
      </c>
      <c r="K1162" s="6" t="str">
        <f>IFERROR(__xludf.DUMMYFUNCTION("""COMPUTED_VALUE"""),"SPR/09/24/025")</f>
        <v>SPR/09/24/025</v>
      </c>
      <c r="L1162" s="13">
        <f>IFERROR(__xludf.DUMMYFUNCTION("""COMPUTED_VALUE"""),45565.0)</f>
        <v>45565</v>
      </c>
    </row>
    <row r="1163">
      <c r="A1163" s="6" t="str">
        <f>IFERROR(__xludf.DUMMYFUNCTION("""COMPUTED_VALUE"""),"AAA")</f>
        <v>AAA</v>
      </c>
      <c r="B1163" s="6" t="str">
        <f>IFERROR(__xludf.DUMMYFUNCTION("""COMPUTED_VALUE"""),"ENG")</f>
        <v>ENG</v>
      </c>
      <c r="C1163" s="6" t="str">
        <f>IFERROR(__xludf.DUMMYFUNCTION("""COMPUTED_VALUE"""),"T-20055-00")</f>
        <v>T-20055-00</v>
      </c>
      <c r="D1163" s="6" t="str">
        <f>IFERROR(__xludf.DUMMYFUNCTION("""COMPUTED_VALUE"""),"PerformancePlus Check Valve Cartridge")</f>
        <v>PerformancePlus Check Valve Cartridge</v>
      </c>
      <c r="E1163" s="6">
        <f>IFERROR(__xludf.DUMMYFUNCTION("""COMPUTED_VALUE"""),1.0)</f>
        <v>1</v>
      </c>
      <c r="F1163" s="6">
        <f>IFERROR(__xludf.DUMMYFUNCTION("""COMPUTED_VALUE"""),1.0)</f>
        <v>1</v>
      </c>
      <c r="G1163" s="6">
        <f>IFERROR(__xludf.DUMMYFUNCTION("""COMPUTED_VALUE"""),0.0)</f>
        <v>0</v>
      </c>
      <c r="H1163" s="6" t="str">
        <f>IFERROR(__xludf.DUMMYFUNCTION("""COMPUTED_VALUE"""),"pack")</f>
        <v>pack</v>
      </c>
      <c r="I1163" s="6" t="str">
        <f>IFERROR(__xludf.DUMMYFUNCTION("""COMPUTED_VALUE"""),"MFH")</f>
        <v>MFH</v>
      </c>
      <c r="J1163" s="6" t="str">
        <f>IFERROR(__xludf.DUMMYFUNCTION("""COMPUTED_VALUE"""),"HPLC")</f>
        <v>HPLC</v>
      </c>
      <c r="K1163" s="6" t="str">
        <f>IFERROR(__xludf.DUMMYFUNCTION("""COMPUTED_VALUE"""),"SPR/09/24/025")</f>
        <v>SPR/09/24/025</v>
      </c>
      <c r="L1163" s="13">
        <f>IFERROR(__xludf.DUMMYFUNCTION("""COMPUTED_VALUE"""),45565.0)</f>
        <v>45565</v>
      </c>
    </row>
    <row r="1164">
      <c r="A1164" s="6" t="str">
        <f>IFERROR(__xludf.DUMMYFUNCTION("""COMPUTED_VALUE"""),"AAA")</f>
        <v>AAA</v>
      </c>
      <c r="B1164" s="6" t="str">
        <f>IFERROR(__xludf.DUMMYFUNCTION("""COMPUTED_VALUE"""),"ENG")</f>
        <v>ENG</v>
      </c>
      <c r="C1164" s="6" t="str">
        <f>IFERROR(__xludf.DUMMYFUNCTION("""COMPUTED_VALUE"""),"T-20123-00")</f>
        <v>T-20123-00</v>
      </c>
      <c r="D1164" s="6" t="str">
        <f>IFERROR(__xludf.DUMMYFUNCTION("""COMPUTED_VALUE"""),"Acquity PDA/TUV 2489/2998 Perf")</f>
        <v>Acquity PDA/TUV 2489/2998 Perf</v>
      </c>
      <c r="E1164" s="6">
        <f>IFERROR(__xludf.DUMMYFUNCTION("""COMPUTED_VALUE"""),2.0)</f>
        <v>2</v>
      </c>
      <c r="F1164" s="6">
        <f>IFERROR(__xludf.DUMMYFUNCTION("""COMPUTED_VALUE"""),2.0)</f>
        <v>2</v>
      </c>
      <c r="G1164" s="6">
        <f>IFERROR(__xludf.DUMMYFUNCTION("""COMPUTED_VALUE"""),0.0)</f>
        <v>0</v>
      </c>
      <c r="H1164" s="6" t="str">
        <f>IFERROR(__xludf.DUMMYFUNCTION("""COMPUTED_VALUE"""),"pcs")</f>
        <v>pcs</v>
      </c>
      <c r="I1164" s="6" t="str">
        <f>IFERROR(__xludf.DUMMYFUNCTION("""COMPUTED_VALUE"""),"MFH")</f>
        <v>MFH</v>
      </c>
      <c r="J1164" s="6" t="str">
        <f>IFERROR(__xludf.DUMMYFUNCTION("""COMPUTED_VALUE"""),"HPLC")</f>
        <v>HPLC</v>
      </c>
      <c r="K1164" s="6" t="str">
        <f>IFERROR(__xludf.DUMMYFUNCTION("""COMPUTED_VALUE"""),"SPR/09/24/025")</f>
        <v>SPR/09/24/025</v>
      </c>
      <c r="L1164" s="13">
        <f>IFERROR(__xludf.DUMMYFUNCTION("""COMPUTED_VALUE"""),45565.0)</f>
        <v>45565</v>
      </c>
    </row>
    <row r="1165">
      <c r="A1165" s="6" t="str">
        <f>IFERROR(__xludf.DUMMYFUNCTION("""COMPUTED_VALUE"""),"SFH")</f>
        <v>SFH</v>
      </c>
      <c r="B1165" s="6" t="str">
        <f>IFERROR(__xludf.DUMMYFUNCTION("""COMPUTED_VALUE"""),"ENG")</f>
        <v>ENG</v>
      </c>
      <c r="C1165" s="6" t="str">
        <f>IFERROR(__xludf.DUMMYFUNCTION("""COMPUTED_VALUE"""),"P-51560-00")</f>
        <v>P-51560-00</v>
      </c>
      <c r="D1165" s="6" t="str">
        <f>IFERROR(__xludf.DUMMYFUNCTION("""COMPUTED_VALUE"""),"Lampu T5 28watt Putih; Phillips; ;")</f>
        <v>Lampu T5 28watt Putih; Phillips; ;</v>
      </c>
      <c r="E1165" s="6">
        <f>IFERROR(__xludf.DUMMYFUNCTION("""COMPUTED_VALUE"""),29.0)</f>
        <v>29</v>
      </c>
      <c r="F1165" s="6">
        <f>IFERROR(__xludf.DUMMYFUNCTION("""COMPUTED_VALUE"""),2.0)</f>
        <v>2</v>
      </c>
      <c r="G1165" s="6">
        <f>IFERROR(__xludf.DUMMYFUNCTION("""COMPUTED_VALUE"""),0.0)</f>
        <v>0</v>
      </c>
      <c r="H1165" s="6" t="str">
        <f>IFERROR(__xludf.DUMMYFUNCTION("""COMPUTED_VALUE"""),"pcs")</f>
        <v>pcs</v>
      </c>
      <c r="I1165" s="6" t="str">
        <f>IFERROR(__xludf.DUMMYFUNCTION("""COMPUTED_VALUE"""),"MFH")</f>
        <v>MFH</v>
      </c>
      <c r="J1165" s="6" t="str">
        <f>IFERROR(__xludf.DUMMYFUNCTION("""COMPUTED_VALUE"""),"Building")</f>
        <v>Building</v>
      </c>
      <c r="K1165" s="6" t="str">
        <f>IFERROR(__xludf.DUMMYFUNCTION("""COMPUTED_VALUE"""),"SPR/09/24/026")</f>
        <v>SPR/09/24/026</v>
      </c>
      <c r="L1165" s="13">
        <f>IFERROR(__xludf.DUMMYFUNCTION("""COMPUTED_VALUE"""),45565.0)</f>
        <v>45565</v>
      </c>
    </row>
    <row r="1166">
      <c r="A1166" s="6" t="str">
        <f>IFERROR(__xludf.DUMMYFUNCTION("""COMPUTED_VALUE"""),"SFH")</f>
        <v>SFH</v>
      </c>
      <c r="B1166" s="6" t="str">
        <f>IFERROR(__xludf.DUMMYFUNCTION("""COMPUTED_VALUE"""),"ENG")</f>
        <v>ENG</v>
      </c>
      <c r="C1166" s="6" t="str">
        <f>IFERROR(__xludf.DUMMYFUNCTION("""COMPUTED_VALUE"""),"Q-60502-00")</f>
        <v>Q-60502-00</v>
      </c>
      <c r="D1166" s="6" t="str">
        <f>IFERROR(__xludf.DUMMYFUNCTION("""COMPUTED_VALUE"""),"Silicone Sealant, Silglaze, Type N10 White, pack size per pcs")</f>
        <v>Silicone Sealant, Silglaze, Type N10 White, pack size per pcs</v>
      </c>
      <c r="E1166" s="6">
        <f>IFERROR(__xludf.DUMMYFUNCTION("""COMPUTED_VALUE"""),1.0)</f>
        <v>1</v>
      </c>
      <c r="F1166" s="6">
        <f>IFERROR(__xludf.DUMMYFUNCTION("""COMPUTED_VALUE"""),1.0)</f>
        <v>1</v>
      </c>
      <c r="G1166" s="6">
        <f>IFERROR(__xludf.DUMMYFUNCTION("""COMPUTED_VALUE"""),0.0)</f>
        <v>0</v>
      </c>
      <c r="H1166" s="6" t="str">
        <f>IFERROR(__xludf.DUMMYFUNCTION("""COMPUTED_VALUE"""),"pcs")</f>
        <v>pcs</v>
      </c>
      <c r="I1166" s="6" t="str">
        <f>IFERROR(__xludf.DUMMYFUNCTION("""COMPUTED_VALUE"""),"MFH")</f>
        <v>MFH</v>
      </c>
      <c r="J1166" s="6" t="str">
        <f>IFERROR(__xludf.DUMMYFUNCTION("""COMPUTED_VALUE"""),"-")</f>
        <v>-</v>
      </c>
      <c r="K1166" s="6" t="str">
        <f>IFERROR(__xludf.DUMMYFUNCTION("""COMPUTED_VALUE"""),"SPR/09/24/026")</f>
        <v>SPR/09/24/026</v>
      </c>
      <c r="L1166" s="13">
        <f>IFERROR(__xludf.DUMMYFUNCTION("""COMPUTED_VALUE"""),45565.0)</f>
        <v>45565</v>
      </c>
    </row>
    <row r="1167">
      <c r="A1167" s="6" t="str">
        <f>IFERROR(__xludf.DUMMYFUNCTION("""COMPUTED_VALUE"""),"SFH")</f>
        <v>SFH</v>
      </c>
      <c r="B1167" s="6" t="str">
        <f>IFERROR(__xludf.DUMMYFUNCTION("""COMPUTED_VALUE"""),"ENG")</f>
        <v>ENG</v>
      </c>
      <c r="C1167" s="6" t="str">
        <f>IFERROR(__xludf.DUMMYFUNCTION("""COMPUTED_VALUE"""),"P-53173-00")</f>
        <v>P-53173-00</v>
      </c>
      <c r="D1167" s="6" t="str">
        <f>IFERROR(__xludf.DUMMYFUNCTION("""COMPUTED_VALUE"""),"Ballast Electronic EB-C 214 TL5, 2x14W; Phillips; ;")</f>
        <v>Ballast Electronic EB-C 214 TL5, 2x14W; Phillips; ;</v>
      </c>
      <c r="E1167" s="6">
        <f>IFERROR(__xludf.DUMMYFUNCTION("""COMPUTED_VALUE"""),6.0)</f>
        <v>6</v>
      </c>
      <c r="F1167" s="6">
        <f>IFERROR(__xludf.DUMMYFUNCTION("""COMPUTED_VALUE"""),2.0)</f>
        <v>2</v>
      </c>
      <c r="G1167" s="6">
        <f>IFERROR(__xludf.DUMMYFUNCTION("""COMPUTED_VALUE"""),0.0)</f>
        <v>0</v>
      </c>
      <c r="H1167" s="6" t="str">
        <f>IFERROR(__xludf.DUMMYFUNCTION("""COMPUTED_VALUE"""),"pcs")</f>
        <v>pcs</v>
      </c>
      <c r="I1167" s="6" t="str">
        <f>IFERROR(__xludf.DUMMYFUNCTION("""COMPUTED_VALUE"""),"MFH")</f>
        <v>MFH</v>
      </c>
      <c r="J1167" s="6" t="str">
        <f>IFERROR(__xludf.DUMMYFUNCTION("""COMPUTED_VALUE"""),"Building")</f>
        <v>Building</v>
      </c>
      <c r="K1167" s="6" t="str">
        <f>IFERROR(__xludf.DUMMYFUNCTION("""COMPUTED_VALUE"""),"SPR/09/24/026")</f>
        <v>SPR/09/24/026</v>
      </c>
      <c r="L1167" s="13">
        <f>IFERROR(__xludf.DUMMYFUNCTION("""COMPUTED_VALUE"""),45565.0)</f>
        <v>45565</v>
      </c>
    </row>
    <row r="1168">
      <c r="A1168" s="6" t="str">
        <f>IFERROR(__xludf.DUMMYFUNCTION("""COMPUTED_VALUE"""),"INS")</f>
        <v>INS</v>
      </c>
      <c r="B1168" s="6" t="str">
        <f>IFERROR(__xludf.DUMMYFUNCTION("""COMPUTED_VALUE"""),"PRO")</f>
        <v>PRO</v>
      </c>
      <c r="C1168" s="6" t="str">
        <f>IFERROR(__xludf.DUMMYFUNCTION("""COMPUTED_VALUE"""),"Q-60501-00")</f>
        <v>Q-60501-00</v>
      </c>
      <c r="D1168" s="6" t="str">
        <f>IFERROR(__xludf.DUMMYFUNCTION("""COMPUTED_VALUE"""),"Silicone Sealant, Silglaze, Type N10 Clear, pack size per pcs")</f>
        <v>Silicone Sealant, Silglaze, Type N10 Clear, pack size per pcs</v>
      </c>
      <c r="E1168" s="6">
        <f>IFERROR(__xludf.DUMMYFUNCTION("""COMPUTED_VALUE"""),1.0)</f>
        <v>1</v>
      </c>
      <c r="F1168" s="6">
        <f>IFERROR(__xludf.DUMMYFUNCTION("""COMPUTED_VALUE"""),1.0)</f>
        <v>1</v>
      </c>
      <c r="G1168" s="6">
        <f>IFERROR(__xludf.DUMMYFUNCTION("""COMPUTED_VALUE"""),0.0)</f>
        <v>0</v>
      </c>
      <c r="H1168" s="6" t="str">
        <f>IFERROR(__xludf.DUMMYFUNCTION("""COMPUTED_VALUE"""),"pcs")</f>
        <v>pcs</v>
      </c>
      <c r="I1168" s="6" t="str">
        <f>IFERROR(__xludf.DUMMYFUNCTION("""COMPUTED_VALUE"""),"MFH")</f>
        <v>MFH</v>
      </c>
      <c r="J1168" s="6" t="str">
        <f>IFERROR(__xludf.DUMMYFUNCTION("""COMPUTED_VALUE"""),"Building")</f>
        <v>Building</v>
      </c>
      <c r="K1168" s="6" t="str">
        <f>IFERROR(__xludf.DUMMYFUNCTION("""COMPUTED_VALUE"""),"SPR/09/24/027")</f>
        <v>SPR/09/24/027</v>
      </c>
      <c r="L1168" s="13">
        <f>IFERROR(__xludf.DUMMYFUNCTION("""COMPUTED_VALUE"""),45565.0)</f>
        <v>45565</v>
      </c>
    </row>
    <row r="1169">
      <c r="A1169" s="6" t="str">
        <f>IFERROR(__xludf.DUMMYFUNCTION("""COMPUTED_VALUE"""),"MOB")</f>
        <v>MOB</v>
      </c>
      <c r="B1169" s="6" t="str">
        <f>IFERROR(__xludf.DUMMYFUNCTION("""COMPUTED_VALUE"""),"ENG")</f>
        <v>ENG</v>
      </c>
      <c r="C1169" s="6" t="str">
        <f>IFERROR(__xludf.DUMMYFUNCTION("""COMPUTED_VALUE"""),"P-50140-00")</f>
        <v>P-50140-00</v>
      </c>
      <c r="D1169" s="6" t="str">
        <f>IFERROR(__xludf.DUMMYFUNCTION("""COMPUTED_VALUE"""),"Battery UPS - Battery kering Merk YUASA 12V 9AH")</f>
        <v>Battery UPS - Battery kering Merk YUASA 12V 9AH</v>
      </c>
      <c r="E1169" s="6">
        <f>IFERROR(__xludf.DUMMYFUNCTION("""COMPUTED_VALUE"""),3.0)</f>
        <v>3</v>
      </c>
      <c r="F1169" s="6">
        <f>IFERROR(__xludf.DUMMYFUNCTION("""COMPUTED_VALUE"""),3.0)</f>
        <v>3</v>
      </c>
      <c r="G1169" s="6">
        <f>IFERROR(__xludf.DUMMYFUNCTION("""COMPUTED_VALUE"""),0.0)</f>
        <v>0</v>
      </c>
      <c r="H1169" s="6" t="str">
        <f>IFERROR(__xludf.DUMMYFUNCTION("""COMPUTED_VALUE"""),"pcs")</f>
        <v>pcs</v>
      </c>
      <c r="I1169" s="6" t="str">
        <f>IFERROR(__xludf.DUMMYFUNCTION("""COMPUTED_VALUE"""),"MFH")</f>
        <v>MFH</v>
      </c>
      <c r="J1169" s="6" t="str">
        <f>IFERROR(__xludf.DUMMYFUNCTION("""COMPUTED_VALUE"""),"UPS")</f>
        <v>UPS</v>
      </c>
      <c r="K1169" s="6" t="str">
        <f>IFERROR(__xludf.DUMMYFUNCTION("""COMPUTED_VALUE"""),"SPR/09/24/028")</f>
        <v>SPR/09/24/028</v>
      </c>
      <c r="L1169" s="13">
        <f>IFERROR(__xludf.DUMMYFUNCTION("""COMPUTED_VALUE"""),45565.0)</f>
        <v>45565</v>
      </c>
    </row>
    <row r="1170">
      <c r="A1170" s="6" t="str">
        <f>IFERROR(__xludf.DUMMYFUNCTION("""COMPUTED_VALUE"""),"MOB")</f>
        <v>MOB</v>
      </c>
      <c r="B1170" s="6" t="str">
        <f>IFERROR(__xludf.DUMMYFUNCTION("""COMPUTED_VALUE"""),"ENG")</f>
        <v>ENG</v>
      </c>
      <c r="C1170" s="6" t="str">
        <f>IFERROR(__xludf.DUMMYFUNCTION("""COMPUTED_VALUE"""),"P-12305-00")</f>
        <v>P-12305-00</v>
      </c>
      <c r="D1170" s="6" t="str">
        <f>IFERROR(__xludf.DUMMYFUNCTION("""COMPUTED_VALUE"""),"FESTO - QST-6 Push in t-connection p/n 153129")</f>
        <v>FESTO - QST-6 Push in t-connection p/n 153129</v>
      </c>
      <c r="E1170" s="6">
        <f>IFERROR(__xludf.DUMMYFUNCTION("""COMPUTED_VALUE"""),3.0)</f>
        <v>3</v>
      </c>
      <c r="F1170" s="6">
        <f>IFERROR(__xludf.DUMMYFUNCTION("""COMPUTED_VALUE"""),3.0)</f>
        <v>3</v>
      </c>
      <c r="G1170" s="6">
        <f>IFERROR(__xludf.DUMMYFUNCTION("""COMPUTED_VALUE"""),0.0)</f>
        <v>0</v>
      </c>
      <c r="H1170" s="6" t="str">
        <f>IFERROR(__xludf.DUMMYFUNCTION("""COMPUTED_VALUE"""),"pcs")</f>
        <v>pcs</v>
      </c>
      <c r="I1170" s="6" t="str">
        <f>IFERROR(__xludf.DUMMYFUNCTION("""COMPUTED_VALUE"""),"MFH")</f>
        <v>MFH</v>
      </c>
      <c r="J1170" s="6" t="str">
        <f>IFERROR(__xludf.DUMMYFUNCTION("""COMPUTED_VALUE"""),"N2 Gen")</f>
        <v>N2 Gen</v>
      </c>
      <c r="K1170" s="6" t="str">
        <f>IFERROR(__xludf.DUMMYFUNCTION("""COMPUTED_VALUE"""),"SPR/09/24/029")</f>
        <v>SPR/09/24/029</v>
      </c>
      <c r="L1170" s="13">
        <f>IFERROR(__xludf.DUMMYFUNCTION("""COMPUTED_VALUE"""),45565.0)</f>
        <v>45565</v>
      </c>
    </row>
    <row r="1171">
      <c r="A1171" s="6" t="str">
        <f>IFERROR(__xludf.DUMMYFUNCTION("""COMPUTED_VALUE"""),"AAA")</f>
        <v>AAA</v>
      </c>
      <c r="B1171" s="6" t="str">
        <f>IFERROR(__xludf.DUMMYFUNCTION("""COMPUTED_VALUE"""),"ENG")</f>
        <v>ENG</v>
      </c>
      <c r="C1171" s="6" t="str">
        <f>IFERROR(__xludf.DUMMYFUNCTION("""COMPUTED_VALUE"""),"O-53032-00")</f>
        <v>O-53032-00</v>
      </c>
      <c r="D1171" s="6" t="str">
        <f>IFERROR(__xludf.DUMMYFUNCTION("""COMPUTED_VALUE"""),"Cable Temperature Sensor Silicone 1,5m PT1000 QAP2012.150")</f>
        <v>Cable Temperature Sensor Silicone 1,5m PT1000 QAP2012.150</v>
      </c>
      <c r="E1171" s="6">
        <f>IFERROR(__xludf.DUMMYFUNCTION("""COMPUTED_VALUE"""),5.0)</f>
        <v>5</v>
      </c>
      <c r="F1171" s="6">
        <f>IFERROR(__xludf.DUMMYFUNCTION("""COMPUTED_VALUE"""),5.0)</f>
        <v>5</v>
      </c>
      <c r="G1171" s="6">
        <f>IFERROR(__xludf.DUMMYFUNCTION("""COMPUTED_VALUE"""),0.0)</f>
        <v>0</v>
      </c>
      <c r="H1171" s="6" t="str">
        <f>IFERROR(__xludf.DUMMYFUNCTION("""COMPUTED_VALUE"""),"pcs")</f>
        <v>pcs</v>
      </c>
      <c r="I1171" s="6" t="str">
        <f>IFERROR(__xludf.DUMMYFUNCTION("""COMPUTED_VALUE"""),"MFH")</f>
        <v>MFH</v>
      </c>
      <c r="J1171" s="6" t="str">
        <f>IFERROR(__xludf.DUMMYFUNCTION("""COMPUTED_VALUE"""),"CC")</f>
        <v>CC</v>
      </c>
      <c r="K1171" s="6" t="str">
        <f>IFERROR(__xludf.DUMMYFUNCTION("""COMPUTED_VALUE"""),"SPR/09/24/030")</f>
        <v>SPR/09/24/030</v>
      </c>
      <c r="L1171" s="13">
        <f>IFERROR(__xludf.DUMMYFUNCTION("""COMPUTED_VALUE"""),45565.0)</f>
        <v>45565</v>
      </c>
    </row>
    <row r="1172">
      <c r="A1172" s="6" t="str">
        <f>IFERROR(__xludf.DUMMYFUNCTION("""COMPUTED_VALUE"""),"MRN")</f>
        <v>MRN</v>
      </c>
      <c r="B1172" s="6" t="str">
        <f>IFERROR(__xludf.DUMMYFUNCTION("""COMPUTED_VALUE"""),"ENG")</f>
        <v>ENG</v>
      </c>
      <c r="C1172" s="6" t="str">
        <f>IFERROR(__xludf.DUMMYFUNCTION("""COMPUTED_VALUE"""),"P-18788-00")</f>
        <v>P-18788-00</v>
      </c>
      <c r="D1172" s="6" t="str">
        <f>IFERROR(__xludf.DUMMYFUNCTION("""COMPUTED_VALUE"""),"Baut SS Hexagon SS M6x55mm + Mur; ; ;")</f>
        <v>Baut SS Hexagon SS M6x55mm + Mur; ; ;</v>
      </c>
      <c r="E1172" s="6">
        <f>IFERROR(__xludf.DUMMYFUNCTION("""COMPUTED_VALUE"""),13.0)</f>
        <v>13</v>
      </c>
      <c r="F1172" s="6">
        <f>IFERROR(__xludf.DUMMYFUNCTION("""COMPUTED_VALUE"""),13.0)</f>
        <v>13</v>
      </c>
      <c r="G1172" s="6">
        <f>IFERROR(__xludf.DUMMYFUNCTION("""COMPUTED_VALUE"""),0.0)</f>
        <v>0</v>
      </c>
      <c r="H1172" s="6" t="str">
        <f>IFERROR(__xludf.DUMMYFUNCTION("""COMPUTED_VALUE"""),"pcs")</f>
        <v>pcs</v>
      </c>
      <c r="I1172" s="6" t="str">
        <f>IFERROR(__xludf.DUMMYFUNCTION("""COMPUTED_VALUE"""),"MFH")</f>
        <v>MFH</v>
      </c>
      <c r="J1172" s="6" t="str">
        <f>IFERROR(__xludf.DUMMYFUNCTION("""COMPUTED_VALUE"""),"-")</f>
        <v>-</v>
      </c>
      <c r="K1172" s="6" t="str">
        <f>IFERROR(__xludf.DUMMYFUNCTION("""COMPUTED_VALUE"""),"SPR/09/24/031")</f>
        <v>SPR/09/24/031</v>
      </c>
      <c r="L1172" s="13">
        <f>IFERROR(__xludf.DUMMYFUNCTION("""COMPUTED_VALUE"""),45565.0)</f>
        <v>45565</v>
      </c>
    </row>
    <row r="1173">
      <c r="A1173" s="6" t="str">
        <f>IFERROR(__xludf.DUMMYFUNCTION("""COMPUTED_VALUE"""),"MRN")</f>
        <v>MRN</v>
      </c>
      <c r="B1173" s="6" t="str">
        <f>IFERROR(__xludf.DUMMYFUNCTION("""COMPUTED_VALUE"""),"ENG")</f>
        <v>ENG</v>
      </c>
      <c r="C1173" s="6" t="str">
        <f>IFERROR(__xludf.DUMMYFUNCTION("""COMPUTED_VALUE"""),"P-11165-00")</f>
        <v>P-11165-00</v>
      </c>
      <c r="D1173" s="6" t="str">
        <f>IFERROR(__xludf.DUMMYFUNCTION("""COMPUTED_VALUE"""),"Pneumatic Fitting - QS 1/2-12 / PN : 153010 / Festo")</f>
        <v>Pneumatic Fitting - QS 1/2-12 / PN : 153010 / Festo</v>
      </c>
      <c r="E1173" s="6">
        <f>IFERROR(__xludf.DUMMYFUNCTION("""COMPUTED_VALUE"""),2.0)</f>
        <v>2</v>
      </c>
      <c r="F1173" s="6">
        <f>IFERROR(__xludf.DUMMYFUNCTION("""COMPUTED_VALUE"""),2.0)</f>
        <v>2</v>
      </c>
      <c r="G1173" s="6">
        <f>IFERROR(__xludf.DUMMYFUNCTION("""COMPUTED_VALUE"""),0.0)</f>
        <v>0</v>
      </c>
      <c r="H1173" s="6" t="str">
        <f>IFERROR(__xludf.DUMMYFUNCTION("""COMPUTED_VALUE"""),"pcs")</f>
        <v>pcs</v>
      </c>
      <c r="I1173" s="6" t="str">
        <f>IFERROR(__xludf.DUMMYFUNCTION("""COMPUTED_VALUE"""),"MFH")</f>
        <v>MFH</v>
      </c>
      <c r="J1173" s="6" t="str">
        <f>IFERROR(__xludf.DUMMYFUNCTION("""COMPUTED_VALUE"""),"FD IMA")</f>
        <v>FD IMA</v>
      </c>
      <c r="K1173" s="6" t="str">
        <f>IFERROR(__xludf.DUMMYFUNCTION("""COMPUTED_VALUE"""),"SPR/09/24/031")</f>
        <v>SPR/09/24/031</v>
      </c>
      <c r="L1173" s="13">
        <f>IFERROR(__xludf.DUMMYFUNCTION("""COMPUTED_VALUE"""),45565.0)</f>
        <v>45565</v>
      </c>
    </row>
    <row r="1174">
      <c r="A1174" s="6" t="str">
        <f>IFERROR(__xludf.DUMMYFUNCTION("""COMPUTED_VALUE"""),"RIA")</f>
        <v>RIA</v>
      </c>
      <c r="B1174" s="6" t="str">
        <f>IFERROR(__xludf.DUMMYFUNCTION("""COMPUTED_VALUE"""),"ENG")</f>
        <v>ENG</v>
      </c>
      <c r="C1174" s="6" t="str">
        <f>IFERROR(__xludf.DUMMYFUNCTION("""COMPUTED_VALUE"""),"P-11991-00")</f>
        <v>P-11991-00</v>
      </c>
      <c r="D1174" s="6" t="str">
        <f>IFERROR(__xludf.DUMMYFUNCTION("""COMPUTED_VALUE"""),"Cabble Ties 200L")</f>
        <v>Cabble Ties 200L</v>
      </c>
      <c r="E1174" s="6">
        <f>IFERROR(__xludf.DUMMYFUNCTION("""COMPUTED_VALUE"""),1.0)</f>
        <v>1</v>
      </c>
      <c r="F1174" s="6">
        <f>IFERROR(__xludf.DUMMYFUNCTION("""COMPUTED_VALUE"""),1.0)</f>
        <v>1</v>
      </c>
      <c r="G1174" s="6">
        <f>IFERROR(__xludf.DUMMYFUNCTION("""COMPUTED_VALUE"""),0.0)</f>
        <v>0</v>
      </c>
      <c r="H1174" s="6" t="str">
        <f>IFERROR(__xludf.DUMMYFUNCTION("""COMPUTED_VALUE"""),"pcs")</f>
        <v>pcs</v>
      </c>
      <c r="I1174" s="6" t="str">
        <f>IFERROR(__xludf.DUMMYFUNCTION("""COMPUTED_VALUE"""),"MFH")</f>
        <v>MFH</v>
      </c>
      <c r="J1174" s="6" t="str">
        <f>IFERROR(__xludf.DUMMYFUNCTION("""COMPUTED_VALUE"""),"Granulasi")</f>
        <v>Granulasi</v>
      </c>
      <c r="K1174" s="6" t="str">
        <f>IFERROR(__xludf.DUMMYFUNCTION("""COMPUTED_VALUE"""),"SPR/09/24/032")</f>
        <v>SPR/09/24/032</v>
      </c>
      <c r="L1174" s="13">
        <f>IFERROR(__xludf.DUMMYFUNCTION("""COMPUTED_VALUE"""),45565.0)</f>
        <v>45565</v>
      </c>
    </row>
    <row r="1175">
      <c r="A1175" s="6" t="str">
        <f>IFERROR(__xludf.DUMMYFUNCTION("""COMPUTED_VALUE"""),"SFH")</f>
        <v>SFH</v>
      </c>
      <c r="B1175" s="6" t="str">
        <f>IFERROR(__xludf.DUMMYFUNCTION("""COMPUTED_VALUE"""),"ENG")</f>
        <v>ENG</v>
      </c>
      <c r="C1175" s="6" t="str">
        <f>IFERROR(__xludf.DUMMYFUNCTION("""COMPUTED_VALUE"""),"P-51559-00")</f>
        <v>P-51559-00</v>
      </c>
      <c r="D1175" s="6" t="str">
        <f>IFERROR(__xludf.DUMMYFUNCTION("""COMPUTED_VALUE"""),"Lampu T5 14watt Putih; Phillips; ;")</f>
        <v>Lampu T5 14watt Putih; Phillips; ;</v>
      </c>
      <c r="E1175" s="6">
        <f>IFERROR(__xludf.DUMMYFUNCTION("""COMPUTED_VALUE"""),27.0)</f>
        <v>27</v>
      </c>
      <c r="F1175" s="6">
        <f>IFERROR(__xludf.DUMMYFUNCTION("""COMPUTED_VALUE"""),8.0)</f>
        <v>8</v>
      </c>
      <c r="G1175" s="6">
        <f>IFERROR(__xludf.DUMMYFUNCTION("""COMPUTED_VALUE"""),0.0)</f>
        <v>0</v>
      </c>
      <c r="H1175" s="6" t="str">
        <f>IFERROR(__xludf.DUMMYFUNCTION("""COMPUTED_VALUE"""),"pcs")</f>
        <v>pcs</v>
      </c>
      <c r="I1175" s="6" t="str">
        <f>IFERROR(__xludf.DUMMYFUNCTION("""COMPUTED_VALUE"""),"MFH")</f>
        <v>MFH</v>
      </c>
      <c r="J1175" s="6" t="str">
        <f>IFERROR(__xludf.DUMMYFUNCTION("""COMPUTED_VALUE"""),"Building")</f>
        <v>Building</v>
      </c>
      <c r="K1175" s="6" t="str">
        <f>IFERROR(__xludf.DUMMYFUNCTION("""COMPUTED_VALUE"""),"SPR/09/24/033")</f>
        <v>SPR/09/24/033</v>
      </c>
      <c r="L1175" s="13">
        <f>IFERROR(__xludf.DUMMYFUNCTION("""COMPUTED_VALUE"""),45565.0)</f>
        <v>45565</v>
      </c>
    </row>
    <row r="1176">
      <c r="A1176" s="6" t="str">
        <f>IFERROR(__xludf.DUMMYFUNCTION("""COMPUTED_VALUE"""),"AAA")</f>
        <v>AAA</v>
      </c>
      <c r="B1176" s="6" t="str">
        <f>IFERROR(__xludf.DUMMYFUNCTION("""COMPUTED_VALUE"""),"ENG")</f>
        <v>ENG</v>
      </c>
      <c r="C1176" s="6" t="str">
        <f>IFERROR(__xludf.DUMMYFUNCTION("""COMPUTED_VALUE"""),"T-20136-00")</f>
        <v>T-20136-00</v>
      </c>
      <c r="D1176" s="6" t="str">
        <f>IFERROR(__xludf.DUMMYFUNCTION("""COMPUTED_VALUE"""),"2690 SEAL PACK REBUILD PKG; Waters; c/n WAT271019;")</f>
        <v>2690 SEAL PACK REBUILD PKG; Waters; c/n WAT271019;</v>
      </c>
      <c r="E1176" s="6">
        <f>IFERROR(__xludf.DUMMYFUNCTION("""COMPUTED_VALUE"""),1.0)</f>
        <v>1</v>
      </c>
      <c r="F1176" s="6">
        <f>IFERROR(__xludf.DUMMYFUNCTION("""COMPUTED_VALUE"""),1.0)</f>
        <v>1</v>
      </c>
      <c r="G1176" s="6">
        <f>IFERROR(__xludf.DUMMYFUNCTION("""COMPUTED_VALUE"""),0.0)</f>
        <v>0</v>
      </c>
      <c r="H1176" s="6" t="str">
        <f>IFERROR(__xludf.DUMMYFUNCTION("""COMPUTED_VALUE"""),"pcs")</f>
        <v>pcs</v>
      </c>
      <c r="I1176" s="6" t="str">
        <f>IFERROR(__xludf.DUMMYFUNCTION("""COMPUTED_VALUE"""),"MFH")</f>
        <v>MFH</v>
      </c>
      <c r="J1176" s="6" t="str">
        <f>IFERROR(__xludf.DUMMYFUNCTION("""COMPUTED_VALUE"""),"HPLC")</f>
        <v>HPLC</v>
      </c>
      <c r="K1176" s="6" t="str">
        <f>IFERROR(__xludf.DUMMYFUNCTION("""COMPUTED_VALUE"""),"SPR/09/24/034")</f>
        <v>SPR/09/24/034</v>
      </c>
      <c r="L1176" s="13">
        <f>IFERROR(__xludf.DUMMYFUNCTION("""COMPUTED_VALUE"""),45565.0)</f>
        <v>45565</v>
      </c>
    </row>
    <row r="1177">
      <c r="A1177" s="6" t="str">
        <f>IFERROR(__xludf.DUMMYFUNCTION("""COMPUTED_VALUE"""),"ANO")</f>
        <v>ANO</v>
      </c>
      <c r="B1177" s="6" t="str">
        <f>IFERROR(__xludf.DUMMYFUNCTION("""COMPUTED_VALUE"""),"ENG")</f>
        <v>ENG</v>
      </c>
      <c r="C1177" s="6" t="str">
        <f>IFERROR(__xludf.DUMMYFUNCTION("""COMPUTED_VALUE"""),"P-11694-00")</f>
        <v>P-11694-00</v>
      </c>
      <c r="D1177" s="6" t="str">
        <f>IFERROR(__xludf.DUMMYFUNCTION("""COMPUTED_VALUE"""),"Mata Gerinda 4""")</f>
        <v>Mata Gerinda 4"</v>
      </c>
      <c r="E1177" s="6">
        <f>IFERROR(__xludf.DUMMYFUNCTION("""COMPUTED_VALUE"""),5.0)</f>
        <v>5</v>
      </c>
      <c r="F1177" s="6">
        <f>IFERROR(__xludf.DUMMYFUNCTION("""COMPUTED_VALUE"""),5.0)</f>
        <v>5</v>
      </c>
      <c r="G1177" s="6">
        <f>IFERROR(__xludf.DUMMYFUNCTION("""COMPUTED_VALUE"""),0.0)</f>
        <v>0</v>
      </c>
      <c r="H1177" s="6" t="str">
        <f>IFERROR(__xludf.DUMMYFUNCTION("""COMPUTED_VALUE"""),"pcs")</f>
        <v>pcs</v>
      </c>
      <c r="I1177" s="6" t="str">
        <f>IFERROR(__xludf.DUMMYFUNCTION("""COMPUTED_VALUE"""),"MFH")</f>
        <v>MFH</v>
      </c>
      <c r="J1177" s="6" t="str">
        <f>IFERROR(__xludf.DUMMYFUNCTION("""COMPUTED_VALUE"""),"OSD")</f>
        <v>OSD</v>
      </c>
      <c r="K1177" s="6" t="str">
        <f>IFERROR(__xludf.DUMMYFUNCTION("""COMPUTED_VALUE"""),"SPR/09/24/035")</f>
        <v>SPR/09/24/035</v>
      </c>
      <c r="L1177" s="13">
        <f>IFERROR(__xludf.DUMMYFUNCTION("""COMPUTED_VALUE"""),45565.0)</f>
        <v>45565</v>
      </c>
    </row>
    <row r="1178">
      <c r="A1178" s="6" t="str">
        <f>IFERROR(__xludf.DUMMYFUNCTION("""COMPUTED_VALUE"""),"NDS")</f>
        <v>NDS</v>
      </c>
      <c r="B1178" s="6" t="str">
        <f>IFERROR(__xludf.DUMMYFUNCTION("""COMPUTED_VALUE"""),"ENG")</f>
        <v>ENG</v>
      </c>
      <c r="C1178" s="6" t="str">
        <f>IFERROR(__xludf.DUMMYFUNCTION("""COMPUTED_VALUE"""),"T-80109-00")</f>
        <v>T-80109-00</v>
      </c>
      <c r="D1178" s="6" t="str">
        <f>IFERROR(__xludf.DUMMYFUNCTION("""COMPUTED_VALUE"""),"Cellotape Kertas 1 inch warna Putih")</f>
        <v>Cellotape Kertas 1 inch warna Putih</v>
      </c>
      <c r="E1178" s="6">
        <f>IFERROR(__xludf.DUMMYFUNCTION("""COMPUTED_VALUE"""),2.0)</f>
        <v>2</v>
      </c>
      <c r="F1178" s="6">
        <f>IFERROR(__xludf.DUMMYFUNCTION("""COMPUTED_VALUE"""),2.0)</f>
        <v>2</v>
      </c>
      <c r="G1178" s="6">
        <f>IFERROR(__xludf.DUMMYFUNCTION("""COMPUTED_VALUE"""),0.0)</f>
        <v>0</v>
      </c>
      <c r="H1178" s="6" t="str">
        <f>IFERROR(__xludf.DUMMYFUNCTION("""COMPUTED_VALUE"""),"pcs")</f>
        <v>pcs</v>
      </c>
      <c r="I1178" s="6" t="str">
        <f>IFERROR(__xludf.DUMMYFUNCTION("""COMPUTED_VALUE"""),"MFH")</f>
        <v>MFH</v>
      </c>
      <c r="J1178" s="6" t="str">
        <f>IFERROR(__xludf.DUMMYFUNCTION("""COMPUTED_VALUE"""),"Building")</f>
        <v>Building</v>
      </c>
      <c r="K1178" s="6" t="str">
        <f>IFERROR(__xludf.DUMMYFUNCTION("""COMPUTED_VALUE"""),"SPR/09/24/036")</f>
        <v>SPR/09/24/036</v>
      </c>
      <c r="L1178" s="13">
        <f>IFERROR(__xludf.DUMMYFUNCTION("""COMPUTED_VALUE"""),45565.0)</f>
        <v>45565</v>
      </c>
    </row>
    <row r="1179">
      <c r="A1179" s="6" t="str">
        <f>IFERROR(__xludf.DUMMYFUNCTION("""COMPUTED_VALUE"""),"NDS")</f>
        <v>NDS</v>
      </c>
      <c r="B1179" s="6" t="str">
        <f>IFERROR(__xludf.DUMMYFUNCTION("""COMPUTED_VALUE"""),"ENG")</f>
        <v>ENG</v>
      </c>
      <c r="C1179" s="6" t="str">
        <f>IFERROR(__xludf.DUMMYFUNCTION("""COMPUTED_VALUE"""),"P-11694-00")</f>
        <v>P-11694-00</v>
      </c>
      <c r="D1179" s="6" t="str">
        <f>IFERROR(__xludf.DUMMYFUNCTION("""COMPUTED_VALUE"""),"Mata Gerinda 4""")</f>
        <v>Mata Gerinda 4"</v>
      </c>
      <c r="E1179" s="6">
        <f>IFERROR(__xludf.DUMMYFUNCTION("""COMPUTED_VALUE"""),1.0)</f>
        <v>1</v>
      </c>
      <c r="F1179" s="6">
        <f>IFERROR(__xludf.DUMMYFUNCTION("""COMPUTED_VALUE"""),1.0)</f>
        <v>1</v>
      </c>
      <c r="G1179" s="6">
        <f>IFERROR(__xludf.DUMMYFUNCTION("""COMPUTED_VALUE"""),0.0)</f>
        <v>0</v>
      </c>
      <c r="H1179" s="6" t="str">
        <f>IFERROR(__xludf.DUMMYFUNCTION("""COMPUTED_VALUE"""),"pcs")</f>
        <v>pcs</v>
      </c>
      <c r="I1179" s="6" t="str">
        <f>IFERROR(__xludf.DUMMYFUNCTION("""COMPUTED_VALUE"""),"MFH")</f>
        <v>MFH</v>
      </c>
      <c r="J1179" s="6" t="str">
        <f>IFERROR(__xludf.DUMMYFUNCTION("""COMPUTED_VALUE"""),"Building")</f>
        <v>Building</v>
      </c>
      <c r="K1179" s="6" t="str">
        <f>IFERROR(__xludf.DUMMYFUNCTION("""COMPUTED_VALUE"""),"SPR/09/24/036")</f>
        <v>SPR/09/24/036</v>
      </c>
      <c r="L1179" s="13">
        <f>IFERROR(__xludf.DUMMYFUNCTION("""COMPUTED_VALUE"""),45565.0)</f>
        <v>45565</v>
      </c>
    </row>
    <row r="1180">
      <c r="A1180" s="6" t="str">
        <f>IFERROR(__xludf.DUMMYFUNCTION("""COMPUTED_VALUE"""),"ROS")</f>
        <v>ROS</v>
      </c>
      <c r="B1180" s="6" t="str">
        <f>IFERROR(__xludf.DUMMYFUNCTION("""COMPUTED_VALUE"""),"ENG")</f>
        <v>ENG</v>
      </c>
      <c r="C1180" s="6" t="str">
        <f>IFERROR(__xludf.DUMMYFUNCTION("""COMPUTED_VALUE"""),"T-80373-00")</f>
        <v>T-80373-00</v>
      </c>
      <c r="D1180" s="6" t="str">
        <f>IFERROR(__xludf.DUMMYFUNCTION("""COMPUTED_VALUE"""),"Plakband Bening 2 inch")</f>
        <v>Plakband Bening 2 inch</v>
      </c>
      <c r="E1180" s="6">
        <f>IFERROR(__xludf.DUMMYFUNCTION("""COMPUTED_VALUE"""),1.0)</f>
        <v>1</v>
      </c>
      <c r="F1180" s="6">
        <f>IFERROR(__xludf.DUMMYFUNCTION("""COMPUTED_VALUE"""),1.0)</f>
        <v>1</v>
      </c>
      <c r="G1180" s="6">
        <f>IFERROR(__xludf.DUMMYFUNCTION("""COMPUTED_VALUE"""),0.0)</f>
        <v>0</v>
      </c>
      <c r="H1180" s="6" t="str">
        <f>IFERROR(__xludf.DUMMYFUNCTION("""COMPUTED_VALUE"""),"pcs")</f>
        <v>pcs</v>
      </c>
      <c r="I1180" s="6" t="str">
        <f>IFERROR(__xludf.DUMMYFUNCTION("""COMPUTED_VALUE"""),"MFH")</f>
        <v>MFH</v>
      </c>
      <c r="J1180" s="6" t="str">
        <f>IFERROR(__xludf.DUMMYFUNCTION("""COMPUTED_VALUE"""),"Isolator")</f>
        <v>Isolator</v>
      </c>
      <c r="K1180" s="6" t="str">
        <f>IFERROR(__xludf.DUMMYFUNCTION("""COMPUTED_VALUE"""),"SPR/09/24/037")</f>
        <v>SPR/09/24/037</v>
      </c>
      <c r="L1180" s="13">
        <f>IFERROR(__xludf.DUMMYFUNCTION("""COMPUTED_VALUE"""),45565.0)</f>
        <v>45565</v>
      </c>
    </row>
    <row r="1181">
      <c r="A1181" s="6" t="str">
        <f>IFERROR(__xludf.DUMMYFUNCTION("""COMPUTED_VALUE"""),"ROS")</f>
        <v>ROS</v>
      </c>
      <c r="B1181" s="6" t="str">
        <f>IFERROR(__xludf.DUMMYFUNCTION("""COMPUTED_VALUE"""),"ENG")</f>
        <v>ENG</v>
      </c>
      <c r="C1181" s="6" t="str">
        <f>IFERROR(__xludf.DUMMYFUNCTION("""COMPUTED_VALUE"""),"T-80109-00")</f>
        <v>T-80109-00</v>
      </c>
      <c r="D1181" s="6" t="str">
        <f>IFERROR(__xludf.DUMMYFUNCTION("""COMPUTED_VALUE"""),"Cellotape Kertas 1 inch warna Putih")</f>
        <v>Cellotape Kertas 1 inch warna Putih</v>
      </c>
      <c r="E1181" s="6">
        <f>IFERROR(__xludf.DUMMYFUNCTION("""COMPUTED_VALUE"""),1.0)</f>
        <v>1</v>
      </c>
      <c r="F1181" s="6">
        <f>IFERROR(__xludf.DUMMYFUNCTION("""COMPUTED_VALUE"""),1.0)</f>
        <v>1</v>
      </c>
      <c r="G1181" s="6">
        <f>IFERROR(__xludf.DUMMYFUNCTION("""COMPUTED_VALUE"""),0.0)</f>
        <v>0</v>
      </c>
      <c r="H1181" s="6" t="str">
        <f>IFERROR(__xludf.DUMMYFUNCTION("""COMPUTED_VALUE"""),"pcs")</f>
        <v>pcs</v>
      </c>
      <c r="I1181" s="6" t="str">
        <f>IFERROR(__xludf.DUMMYFUNCTION("""COMPUTED_VALUE"""),"MFH")</f>
        <v>MFH</v>
      </c>
      <c r="J1181" s="6" t="str">
        <f>IFERROR(__xludf.DUMMYFUNCTION("""COMPUTED_VALUE"""),"Isolator")</f>
        <v>Isolator</v>
      </c>
      <c r="K1181" s="6" t="str">
        <f>IFERROR(__xludf.DUMMYFUNCTION("""COMPUTED_VALUE"""),"SPR/09/24/037")</f>
        <v>SPR/09/24/037</v>
      </c>
      <c r="L1181" s="13">
        <f>IFERROR(__xludf.DUMMYFUNCTION("""COMPUTED_VALUE"""),45565.0)</f>
        <v>45565</v>
      </c>
    </row>
    <row r="1182">
      <c r="A1182" s="6" t="str">
        <f>IFERROR(__xludf.DUMMYFUNCTION("""COMPUTED_VALUE"""),"RAT")</f>
        <v>RAT</v>
      </c>
      <c r="B1182" s="6" t="str">
        <f>IFERROR(__xludf.DUMMYFUNCTION("""COMPUTED_VALUE"""),"ENG")</f>
        <v>ENG</v>
      </c>
      <c r="C1182" s="6" t="str">
        <f>IFERROR(__xludf.DUMMYFUNCTION("""COMPUTED_VALUE"""),"O-18055-00")</f>
        <v>O-18055-00</v>
      </c>
      <c r="D1182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182" s="6">
        <f>IFERROR(__xludf.DUMMYFUNCTION("""COMPUTED_VALUE"""),4.0)</f>
        <v>4</v>
      </c>
      <c r="F1182" s="6">
        <f>IFERROR(__xludf.DUMMYFUNCTION("""COMPUTED_VALUE"""),4.0)</f>
        <v>4</v>
      </c>
      <c r="G1182" s="6">
        <f>IFERROR(__xludf.DUMMYFUNCTION("""COMPUTED_VALUE"""),0.0)</f>
        <v>0</v>
      </c>
      <c r="H1182" s="6" t="str">
        <f>IFERROR(__xludf.DUMMYFUNCTION("""COMPUTED_VALUE"""),"pcs")</f>
        <v>pcs</v>
      </c>
      <c r="I1182" s="6" t="str">
        <f>IFERROR(__xludf.DUMMYFUNCTION("""COMPUTED_VALUE"""),"MFH")</f>
        <v>MFH</v>
      </c>
      <c r="J1182" s="6" t="str">
        <f>IFERROR(__xludf.DUMMYFUNCTION("""COMPUTED_VALUE"""),"Cartonning")</f>
        <v>Cartonning</v>
      </c>
      <c r="K1182" s="6" t="str">
        <f>IFERROR(__xludf.DUMMYFUNCTION("""COMPUTED_VALUE"""),"SPR/09/24/038")</f>
        <v>SPR/09/24/038</v>
      </c>
      <c r="L1182" s="13">
        <f>IFERROR(__xludf.DUMMYFUNCTION("""COMPUTED_VALUE"""),45565.0)</f>
        <v>45565</v>
      </c>
    </row>
    <row r="1183">
      <c r="A1183" s="6" t="str">
        <f>IFERROR(__xludf.DUMMYFUNCTION("""COMPUTED_VALUE"""),"INS")</f>
        <v>INS</v>
      </c>
      <c r="B1183" s="6" t="str">
        <f>IFERROR(__xludf.DUMMYFUNCTION("""COMPUTED_VALUE"""),"PRO")</f>
        <v>PRO</v>
      </c>
      <c r="C1183" s="6" t="str">
        <f>IFERROR(__xludf.DUMMYFUNCTION("""COMPUTED_VALUE"""),"Q-60501-00")</f>
        <v>Q-60501-00</v>
      </c>
      <c r="D1183" s="6" t="str">
        <f>IFERROR(__xludf.DUMMYFUNCTION("""COMPUTED_VALUE"""),"Silicone Sealant, Silglaze, Type N10 Clear, pack size per pcs")</f>
        <v>Silicone Sealant, Silglaze, Type N10 Clear, pack size per pcs</v>
      </c>
      <c r="E1183" s="6">
        <f>IFERROR(__xludf.DUMMYFUNCTION("""COMPUTED_VALUE"""),1.0)</f>
        <v>1</v>
      </c>
      <c r="F1183" s="6">
        <f>IFERROR(__xludf.DUMMYFUNCTION("""COMPUTED_VALUE"""),1.0)</f>
        <v>1</v>
      </c>
      <c r="G1183" s="6">
        <f>IFERROR(__xludf.DUMMYFUNCTION("""COMPUTED_VALUE"""),0.0)</f>
        <v>0</v>
      </c>
      <c r="H1183" s="6" t="str">
        <f>IFERROR(__xludf.DUMMYFUNCTION("""COMPUTED_VALUE"""),"pcs")</f>
        <v>pcs</v>
      </c>
      <c r="I1183" s="6" t="str">
        <f>IFERROR(__xludf.DUMMYFUNCTION("""COMPUTED_VALUE"""),"MFH")</f>
        <v>MFH</v>
      </c>
      <c r="J1183" s="6" t="str">
        <f>IFERROR(__xludf.DUMMYFUNCTION("""COMPUTED_VALUE"""),"Building")</f>
        <v>Building</v>
      </c>
      <c r="K1183" s="6" t="str">
        <f>IFERROR(__xludf.DUMMYFUNCTION("""COMPUTED_VALUE"""),"SPR/09/24/039")</f>
        <v>SPR/09/24/039</v>
      </c>
      <c r="L1183" s="13">
        <f>IFERROR(__xludf.DUMMYFUNCTION("""COMPUTED_VALUE"""),45565.0)</f>
        <v>45565</v>
      </c>
    </row>
    <row r="1184">
      <c r="A1184" s="6" t="str">
        <f>IFERROR(__xludf.DUMMYFUNCTION("""COMPUTED_VALUE"""),"MFH")</f>
        <v>MFH</v>
      </c>
      <c r="B1184" s="6" t="str">
        <f>IFERROR(__xludf.DUMMYFUNCTION("""COMPUTED_VALUE"""),"ENG")</f>
        <v>ENG</v>
      </c>
      <c r="C1184" s="6" t="str">
        <f>IFERROR(__xludf.DUMMYFUNCTION("""COMPUTED_VALUE"""),"O-54138-00")</f>
        <v>O-54138-00</v>
      </c>
      <c r="D1184" s="6" t="str">
        <f>IFERROR(__xludf.DUMMYFUNCTION("""COMPUTED_VALUE"""),"Terminal Viking / Terminal Block Size 10 mm; Fort; ;")</f>
        <v>Terminal Viking / Terminal Block Size 10 mm; Fort; ;</v>
      </c>
      <c r="E1184" s="6">
        <f>IFERROR(__xludf.DUMMYFUNCTION("""COMPUTED_VALUE"""),3.0)</f>
        <v>3</v>
      </c>
      <c r="F1184" s="6">
        <f>IFERROR(__xludf.DUMMYFUNCTION("""COMPUTED_VALUE"""),1.0)</f>
        <v>1</v>
      </c>
      <c r="G1184" s="6">
        <f>IFERROR(__xludf.DUMMYFUNCTION("""COMPUTED_VALUE"""),0.0)</f>
        <v>0</v>
      </c>
      <c r="H1184" s="6" t="str">
        <f>IFERROR(__xludf.DUMMYFUNCTION("""COMPUTED_VALUE"""),"pcs")</f>
        <v>pcs</v>
      </c>
      <c r="I1184" s="6" t="str">
        <f>IFERROR(__xludf.DUMMYFUNCTION("""COMPUTED_VALUE"""),"MFH")</f>
        <v>MFH</v>
      </c>
      <c r="J1184" s="6" t="str">
        <f>IFERROR(__xludf.DUMMYFUNCTION("""COMPUTED_VALUE"""),"Dispensing")</f>
        <v>Dispensing</v>
      </c>
      <c r="K1184" s="6" t="str">
        <f>IFERROR(__xludf.DUMMYFUNCTION("""COMPUTED_VALUE"""),"SPR/10/24/001")</f>
        <v>SPR/10/24/001</v>
      </c>
      <c r="L1184" s="13">
        <f>IFERROR(__xludf.DUMMYFUNCTION("""COMPUTED_VALUE"""),45596.0)</f>
        <v>45596</v>
      </c>
    </row>
    <row r="1185">
      <c r="A1185" s="6" t="str">
        <f>IFERROR(__xludf.DUMMYFUNCTION("""COMPUTED_VALUE"""),"MFH")</f>
        <v>MFH</v>
      </c>
      <c r="B1185" s="6" t="str">
        <f>IFERROR(__xludf.DUMMYFUNCTION("""COMPUTED_VALUE"""),"ENG")</f>
        <v>ENG</v>
      </c>
      <c r="C1185" s="6" t="str">
        <f>IFERROR(__xludf.DUMMYFUNCTION("""COMPUTED_VALUE"""),"O-18055-00")</f>
        <v>O-18055-00</v>
      </c>
      <c r="D1185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185" s="6">
        <f>IFERROR(__xludf.DUMMYFUNCTION("""COMPUTED_VALUE"""),2.0)</f>
        <v>2</v>
      </c>
      <c r="F1185" s="6">
        <f>IFERROR(__xludf.DUMMYFUNCTION("""COMPUTED_VALUE"""),1.0)</f>
        <v>1</v>
      </c>
      <c r="G1185" s="6">
        <f>IFERROR(__xludf.DUMMYFUNCTION("""COMPUTED_VALUE"""),0.0)</f>
        <v>0</v>
      </c>
      <c r="H1185" s="6" t="str">
        <f>IFERROR(__xludf.DUMMYFUNCTION("""COMPUTED_VALUE"""),"pcs")</f>
        <v>pcs</v>
      </c>
      <c r="I1185" s="6" t="str">
        <f>IFERROR(__xludf.DUMMYFUNCTION("""COMPUTED_VALUE"""),"MFH")</f>
        <v>MFH</v>
      </c>
      <c r="J1185" s="6" t="str">
        <f>IFERROR(__xludf.DUMMYFUNCTION("""COMPUTED_VALUE"""),"Cartonning")</f>
        <v>Cartonning</v>
      </c>
      <c r="K1185" s="6" t="str">
        <f>IFERROR(__xludf.DUMMYFUNCTION("""COMPUTED_VALUE"""),"SPR/10/24/001")</f>
        <v>SPR/10/24/001</v>
      </c>
      <c r="L1185" s="13">
        <f>IFERROR(__xludf.DUMMYFUNCTION("""COMPUTED_VALUE"""),45596.0)</f>
        <v>45596</v>
      </c>
    </row>
    <row r="1186">
      <c r="A1186" s="6" t="str">
        <f>IFERROR(__xludf.DUMMYFUNCTION("""COMPUTED_VALUE"""),"MRN")</f>
        <v>MRN</v>
      </c>
      <c r="B1186" s="6" t="str">
        <f>IFERROR(__xludf.DUMMYFUNCTION("""COMPUTED_VALUE"""),"ENG")</f>
        <v>ENG</v>
      </c>
      <c r="C1186" s="6" t="str">
        <f>IFERROR(__xludf.DUMMYFUNCTION("""COMPUTED_VALUE"""),"P-50717-00")</f>
        <v>P-50717-00</v>
      </c>
      <c r="D1186" s="6" t="str">
        <f>IFERROR(__xludf.DUMMYFUNCTION("""COMPUTED_VALUE"""),"Kabel UTP 4 pairs Cat 6 merk BELDEN")</f>
        <v>Kabel UTP 4 pairs Cat 6 merk BELDEN</v>
      </c>
      <c r="E1186" s="6">
        <f>IFERROR(__xludf.DUMMYFUNCTION("""COMPUTED_VALUE"""),660.0)</f>
        <v>660</v>
      </c>
      <c r="F1186" s="6">
        <f>IFERROR(__xludf.DUMMYFUNCTION("""COMPUTED_VALUE"""),350.0)</f>
        <v>350</v>
      </c>
      <c r="G1186" s="6">
        <f>IFERROR(__xludf.DUMMYFUNCTION("""COMPUTED_VALUE"""),0.0)</f>
        <v>0</v>
      </c>
      <c r="H1186" s="6" t="str">
        <f>IFERROR(__xludf.DUMMYFUNCTION("""COMPUTED_VALUE"""),"Meter")</f>
        <v>Meter</v>
      </c>
      <c r="I1186" s="6" t="str">
        <f>IFERROR(__xludf.DUMMYFUNCTION("""COMPUTED_VALUE"""),"MFH")</f>
        <v>MFH</v>
      </c>
      <c r="J1186" s="6" t="str">
        <f>IFERROR(__xludf.DUMMYFUNCTION("""COMPUTED_VALUE"""),"Building")</f>
        <v>Building</v>
      </c>
      <c r="K1186" s="6" t="str">
        <f>IFERROR(__xludf.DUMMYFUNCTION("""COMPUTED_VALUE"""),"SPR/10/24/002")</f>
        <v>SPR/10/24/002</v>
      </c>
      <c r="L1186" s="13">
        <f>IFERROR(__xludf.DUMMYFUNCTION("""COMPUTED_VALUE"""),45596.0)</f>
        <v>45596</v>
      </c>
    </row>
    <row r="1187">
      <c r="A1187" s="6" t="str">
        <f>IFERROR(__xludf.DUMMYFUNCTION("""COMPUTED_VALUE"""),"MRN")</f>
        <v>MRN</v>
      </c>
      <c r="B1187" s="6" t="str">
        <f>IFERROR(__xludf.DUMMYFUNCTION("""COMPUTED_VALUE"""),"ENG")</f>
        <v>ENG</v>
      </c>
      <c r="C1187" s="6" t="str">
        <f>IFERROR(__xludf.DUMMYFUNCTION("""COMPUTED_VALUE"""),"P-51736-00")</f>
        <v>P-51736-00</v>
      </c>
      <c r="D1187" s="6" t="str">
        <f>IFERROR(__xludf.DUMMYFUNCTION("""COMPUTED_VALUE"""),"Kabel UTP isi 8 Cat 5e merk BELDEN; ; ;")</f>
        <v>Kabel UTP isi 8 Cat 5e merk BELDEN; ; ;</v>
      </c>
      <c r="E1187" s="6">
        <f>IFERROR(__xludf.DUMMYFUNCTION("""COMPUTED_VALUE"""),2.0)</f>
        <v>2</v>
      </c>
      <c r="F1187" s="6">
        <f>IFERROR(__xludf.DUMMYFUNCTION("""COMPUTED_VALUE"""),1.0)</f>
        <v>1</v>
      </c>
      <c r="G1187" s="6">
        <f>IFERROR(__xludf.DUMMYFUNCTION("""COMPUTED_VALUE"""),0.0)</f>
        <v>0</v>
      </c>
      <c r="H1187" s="6" t="str">
        <f>IFERROR(__xludf.DUMMYFUNCTION("""COMPUTED_VALUE"""),"pack")</f>
        <v>pack</v>
      </c>
      <c r="I1187" s="6" t="str">
        <f>IFERROR(__xludf.DUMMYFUNCTION("""COMPUTED_VALUE"""),"MFH")</f>
        <v>MFH</v>
      </c>
      <c r="J1187" s="6" t="str">
        <f>IFERROR(__xludf.DUMMYFUNCTION("""COMPUTED_VALUE"""),"Building")</f>
        <v>Building</v>
      </c>
      <c r="K1187" s="6" t="str">
        <f>IFERROR(__xludf.DUMMYFUNCTION("""COMPUTED_VALUE"""),"SPR/10/24/002")</f>
        <v>SPR/10/24/002</v>
      </c>
      <c r="L1187" s="13">
        <f>IFERROR(__xludf.DUMMYFUNCTION("""COMPUTED_VALUE"""),45596.0)</f>
        <v>45596</v>
      </c>
    </row>
    <row r="1188">
      <c r="A1188" s="6" t="str">
        <f>IFERROR(__xludf.DUMMYFUNCTION("""COMPUTED_VALUE"""),"MRN")</f>
        <v>MRN</v>
      </c>
      <c r="B1188" s="6" t="str">
        <f>IFERROR(__xludf.DUMMYFUNCTION("""COMPUTED_VALUE"""),"ENG")</f>
        <v>ENG</v>
      </c>
      <c r="C1188" s="6" t="str">
        <f>IFERROR(__xludf.DUMMYFUNCTION("""COMPUTED_VALUE"""),"P-11694-00")</f>
        <v>P-11694-00</v>
      </c>
      <c r="D1188" s="6" t="str">
        <f>IFERROR(__xludf.DUMMYFUNCTION("""COMPUTED_VALUE"""),"Mata Gerinda 4""")</f>
        <v>Mata Gerinda 4"</v>
      </c>
      <c r="E1188" s="6">
        <f>IFERROR(__xludf.DUMMYFUNCTION("""COMPUTED_VALUE"""),3.0)</f>
        <v>3</v>
      </c>
      <c r="F1188" s="6">
        <f>IFERROR(__xludf.DUMMYFUNCTION("""COMPUTED_VALUE"""),3.0)</f>
        <v>3</v>
      </c>
      <c r="G1188" s="6">
        <f>IFERROR(__xludf.DUMMYFUNCTION("""COMPUTED_VALUE"""),0.0)</f>
        <v>0</v>
      </c>
      <c r="H1188" s="6" t="str">
        <f>IFERROR(__xludf.DUMMYFUNCTION("""COMPUTED_VALUE"""),"pcs")</f>
        <v>pcs</v>
      </c>
      <c r="I1188" s="6" t="str">
        <f>IFERROR(__xludf.DUMMYFUNCTION("""COMPUTED_VALUE"""),"MFH")</f>
        <v>MFH</v>
      </c>
      <c r="J1188" s="6" t="str">
        <f>IFERROR(__xludf.DUMMYFUNCTION("""COMPUTED_VALUE"""),"Building")</f>
        <v>Building</v>
      </c>
      <c r="K1188" s="6" t="str">
        <f>IFERROR(__xludf.DUMMYFUNCTION("""COMPUTED_VALUE"""),"SPR/10/24/002")</f>
        <v>SPR/10/24/002</v>
      </c>
      <c r="L1188" s="13">
        <f>IFERROR(__xludf.DUMMYFUNCTION("""COMPUTED_VALUE"""),45596.0)</f>
        <v>45596</v>
      </c>
    </row>
    <row r="1189">
      <c r="A1189" s="6" t="str">
        <f>IFERROR(__xludf.DUMMYFUNCTION("""COMPUTED_VALUE"""),"SHF")</f>
        <v>SHF</v>
      </c>
      <c r="B1189" s="6" t="str">
        <f>IFERROR(__xludf.DUMMYFUNCTION("""COMPUTED_VALUE"""),"ENG")</f>
        <v>ENG</v>
      </c>
      <c r="C1189" s="6" t="str">
        <f>IFERROR(__xludf.DUMMYFUNCTION("""COMPUTED_VALUE"""),"P-10945-00")</f>
        <v>P-10945-00</v>
      </c>
      <c r="D1189" s="6" t="str">
        <f>IFERROR(__xludf.DUMMYFUNCTION("""COMPUTED_VALUE"""),"Insulation - Seal Tape onda")</f>
        <v>Insulation - Seal Tape onda</v>
      </c>
      <c r="E1189" s="6">
        <f>IFERROR(__xludf.DUMMYFUNCTION("""COMPUTED_VALUE"""),1.0)</f>
        <v>1</v>
      </c>
      <c r="F1189" s="6">
        <f>IFERROR(__xludf.DUMMYFUNCTION("""COMPUTED_VALUE"""),1.0)</f>
        <v>1</v>
      </c>
      <c r="G1189" s="6">
        <f>IFERROR(__xludf.DUMMYFUNCTION("""COMPUTED_VALUE"""),0.0)</f>
        <v>0</v>
      </c>
      <c r="H1189" s="6" t="str">
        <f>IFERROR(__xludf.DUMMYFUNCTION("""COMPUTED_VALUE"""),"pcs")</f>
        <v>pcs</v>
      </c>
      <c r="I1189" s="6" t="str">
        <f>IFERROR(__xludf.DUMMYFUNCTION("""COMPUTED_VALUE"""),"MFH")</f>
        <v>MFH</v>
      </c>
      <c r="J1189" s="6" t="str">
        <f>IFERROR(__xludf.DUMMYFUNCTION("""COMPUTED_VALUE"""),"-")</f>
        <v>-</v>
      </c>
      <c r="K1189" s="6" t="str">
        <f>IFERROR(__xludf.DUMMYFUNCTION("""COMPUTED_VALUE"""),"SPR/10/24/003")</f>
        <v>SPR/10/24/003</v>
      </c>
      <c r="L1189" s="13">
        <f>IFERROR(__xludf.DUMMYFUNCTION("""COMPUTED_VALUE"""),45596.0)</f>
        <v>45596</v>
      </c>
    </row>
    <row r="1190">
      <c r="A1190" s="6" t="str">
        <f>IFERROR(__xludf.DUMMYFUNCTION("""COMPUTED_VALUE"""),"SHF")</f>
        <v>SHF</v>
      </c>
      <c r="B1190" s="6" t="str">
        <f>IFERROR(__xludf.DUMMYFUNCTION("""COMPUTED_VALUE"""),"ENG")</f>
        <v>ENG</v>
      </c>
      <c r="C1190" s="6" t="str">
        <f>IFERROR(__xludf.DUMMYFUNCTION("""COMPUTED_VALUE"""),"T-80373-00")</f>
        <v>T-80373-00</v>
      </c>
      <c r="D1190" s="6" t="str">
        <f>IFERROR(__xludf.DUMMYFUNCTION("""COMPUTED_VALUE"""),"Plakband Bening 2 inch")</f>
        <v>Plakband Bening 2 inch</v>
      </c>
      <c r="E1190" s="6">
        <f>IFERROR(__xludf.DUMMYFUNCTION("""COMPUTED_VALUE"""),1.0)</f>
        <v>1</v>
      </c>
      <c r="F1190" s="6">
        <f>IFERROR(__xludf.DUMMYFUNCTION("""COMPUTED_VALUE"""),1.0)</f>
        <v>1</v>
      </c>
      <c r="G1190" s="6">
        <f>IFERROR(__xludf.DUMMYFUNCTION("""COMPUTED_VALUE"""),0.0)</f>
        <v>0</v>
      </c>
      <c r="H1190" s="6" t="str">
        <f>IFERROR(__xludf.DUMMYFUNCTION("""COMPUTED_VALUE"""),"pcs")</f>
        <v>pcs</v>
      </c>
      <c r="I1190" s="6" t="str">
        <f>IFERROR(__xludf.DUMMYFUNCTION("""COMPUTED_VALUE"""),"MFH")</f>
        <v>MFH</v>
      </c>
      <c r="J1190" s="6" t="str">
        <f>IFERROR(__xludf.DUMMYFUNCTION("""COMPUTED_VALUE"""),"Building")</f>
        <v>Building</v>
      </c>
      <c r="K1190" s="6" t="str">
        <f>IFERROR(__xludf.DUMMYFUNCTION("""COMPUTED_VALUE"""),"SPR/10/24/004")</f>
        <v>SPR/10/24/004</v>
      </c>
      <c r="L1190" s="13">
        <f>IFERROR(__xludf.DUMMYFUNCTION("""COMPUTED_VALUE"""),45596.0)</f>
        <v>45596</v>
      </c>
    </row>
    <row r="1191">
      <c r="A1191" s="6" t="str">
        <f>IFERROR(__xludf.DUMMYFUNCTION("""COMPUTED_VALUE"""),"SHF")</f>
        <v>SHF</v>
      </c>
      <c r="B1191" s="6" t="str">
        <f>IFERROR(__xludf.DUMMYFUNCTION("""COMPUTED_VALUE"""),"ENG")</f>
        <v>ENG</v>
      </c>
      <c r="C1191" s="6" t="str">
        <f>IFERROR(__xludf.DUMMYFUNCTION("""COMPUTED_VALUE"""),"P-12281-00")</f>
        <v>P-12281-00</v>
      </c>
      <c r="D1191" s="6" t="str">
        <f>IFERROR(__xludf.DUMMYFUNCTION("""COMPUTED_VALUE"""),"FESTO - QS-10-8 Push In Connector p/n 153039")</f>
        <v>FESTO - QS-10-8 Push In Connector p/n 153039</v>
      </c>
      <c r="E1191" s="6">
        <f>IFERROR(__xludf.DUMMYFUNCTION("""COMPUTED_VALUE"""),3.0)</f>
        <v>3</v>
      </c>
      <c r="F1191" s="6">
        <f>IFERROR(__xludf.DUMMYFUNCTION("""COMPUTED_VALUE"""),3.0)</f>
        <v>3</v>
      </c>
      <c r="G1191" s="6">
        <f>IFERROR(__xludf.DUMMYFUNCTION("""COMPUTED_VALUE"""),0.0)</f>
        <v>0</v>
      </c>
      <c r="H1191" s="6" t="str">
        <f>IFERROR(__xludf.DUMMYFUNCTION("""COMPUTED_VALUE"""),"pcs")</f>
        <v>pcs</v>
      </c>
      <c r="I1191" s="6" t="str">
        <f>IFERROR(__xludf.DUMMYFUNCTION("""COMPUTED_VALUE"""),"MFH")</f>
        <v>MFH</v>
      </c>
      <c r="J1191" s="6" t="str">
        <f>IFERROR(__xludf.DUMMYFUNCTION("""COMPUTED_VALUE"""),"Building")</f>
        <v>Building</v>
      </c>
      <c r="K1191" s="6" t="str">
        <f>IFERROR(__xludf.DUMMYFUNCTION("""COMPUTED_VALUE"""),"SPR/10/24/004")</f>
        <v>SPR/10/24/004</v>
      </c>
      <c r="L1191" s="13">
        <f>IFERROR(__xludf.DUMMYFUNCTION("""COMPUTED_VALUE"""),45596.0)</f>
        <v>45596</v>
      </c>
    </row>
    <row r="1192">
      <c r="A1192" s="6" t="str">
        <f>IFERROR(__xludf.DUMMYFUNCTION("""COMPUTED_VALUE"""),"SHF")</f>
        <v>SHF</v>
      </c>
      <c r="B1192" s="6" t="str">
        <f>IFERROR(__xludf.DUMMYFUNCTION("""COMPUTED_VALUE"""),"ENG")</f>
        <v>ENG</v>
      </c>
      <c r="C1192" s="6" t="str">
        <f>IFERROR(__xludf.DUMMYFUNCTION("""COMPUTED_VALUE"""),"P-14424-00")</f>
        <v>P-14424-00</v>
      </c>
      <c r="D1192" s="6" t="str">
        <f>IFERROR(__xludf.DUMMYFUNCTION("""COMPUTED_VALUE"""),"Garam Kutreat RGN-9800F; ; ; 25Kg/zak")</f>
        <v>Garam Kutreat RGN-9800F; ; ; 25Kg/zak</v>
      </c>
      <c r="E1192" s="6">
        <f>IFERROR(__xludf.DUMMYFUNCTION("""COMPUTED_VALUE"""),200.0)</f>
        <v>200</v>
      </c>
      <c r="F1192" s="6">
        <f>IFERROR(__xludf.DUMMYFUNCTION("""COMPUTED_VALUE"""),25.0)</f>
        <v>25</v>
      </c>
      <c r="G1192" s="6">
        <f>IFERROR(__xludf.DUMMYFUNCTION("""COMPUTED_VALUE"""),0.0)</f>
        <v>0</v>
      </c>
      <c r="H1192" s="6" t="str">
        <f>IFERROR(__xludf.DUMMYFUNCTION("""COMPUTED_VALUE"""),"pcs")</f>
        <v>pcs</v>
      </c>
      <c r="I1192" s="6" t="str">
        <f>IFERROR(__xludf.DUMMYFUNCTION("""COMPUTED_VALUE"""),"MFH")</f>
        <v>MFH</v>
      </c>
      <c r="J1192" s="6" t="str">
        <f>IFERROR(__xludf.DUMMYFUNCTION("""COMPUTED_VALUE"""),"PWG")</f>
        <v>PWG</v>
      </c>
      <c r="K1192" s="6" t="str">
        <f>IFERROR(__xludf.DUMMYFUNCTION("""COMPUTED_VALUE"""),"SPR/10/24/004")</f>
        <v>SPR/10/24/004</v>
      </c>
      <c r="L1192" s="13">
        <f>IFERROR(__xludf.DUMMYFUNCTION("""COMPUTED_VALUE"""),45596.0)</f>
        <v>45596</v>
      </c>
    </row>
    <row r="1193">
      <c r="A1193" s="6" t="str">
        <f>IFERROR(__xludf.DUMMYFUNCTION("""COMPUTED_VALUE"""),"INN")</f>
        <v>INN</v>
      </c>
      <c r="B1193" s="6" t="str">
        <f>IFERROR(__xludf.DUMMYFUNCTION("""COMPUTED_VALUE"""),"ENG")</f>
        <v>ENG</v>
      </c>
      <c r="C1193" s="6" t="str">
        <f>IFERROR(__xludf.DUMMYFUNCTION("""COMPUTED_VALUE"""),"O-18917-00")</f>
        <v>O-18917-00</v>
      </c>
      <c r="D1193" s="6" t="str">
        <f>IFERROR(__xludf.DUMMYFUNCTION("""COMPUTED_VALUE"""),"Freeze Dryer MBE1207 - OIL COOLING WATER REGULATOR 003N0107 AVTA15 G 1/2 Inch Kv=1.9m3/h Temperature")</f>
        <v>Freeze Dryer MBE1207 - OIL COOLING WATER REGULATOR 003N0107 AVTA15 G 1/2 Inch Kv=1.9m3/h Temperature</v>
      </c>
      <c r="E1193" s="6">
        <f>IFERROR(__xludf.DUMMYFUNCTION("""COMPUTED_VALUE"""),1.0)</f>
        <v>1</v>
      </c>
      <c r="F1193" s="6">
        <f>IFERROR(__xludf.DUMMYFUNCTION("""COMPUTED_VALUE"""),1.0)</f>
        <v>1</v>
      </c>
      <c r="G1193" s="6">
        <f>IFERROR(__xludf.DUMMYFUNCTION("""COMPUTED_VALUE"""),0.0)</f>
        <v>0</v>
      </c>
      <c r="H1193" s="6" t="str">
        <f>IFERROR(__xludf.DUMMYFUNCTION("""COMPUTED_VALUE"""),"pcs")</f>
        <v>pcs</v>
      </c>
      <c r="I1193" s="6" t="str">
        <f>IFERROR(__xludf.DUMMYFUNCTION("""COMPUTED_VALUE"""),"MFH")</f>
        <v>MFH</v>
      </c>
      <c r="J1193" s="6" t="str">
        <f>IFERROR(__xludf.DUMMYFUNCTION("""COMPUTED_VALUE"""),"FD IMA")</f>
        <v>FD IMA</v>
      </c>
      <c r="K1193" s="6" t="str">
        <f>IFERROR(__xludf.DUMMYFUNCTION("""COMPUTED_VALUE"""),"SPR/10/24/005")</f>
        <v>SPR/10/24/005</v>
      </c>
      <c r="L1193" s="13">
        <f>IFERROR(__xludf.DUMMYFUNCTION("""COMPUTED_VALUE"""),45596.0)</f>
        <v>45596</v>
      </c>
    </row>
    <row r="1194">
      <c r="A1194" s="6" t="str">
        <f>IFERROR(__xludf.DUMMYFUNCTION("""COMPUTED_VALUE"""),"MOB")</f>
        <v>MOB</v>
      </c>
      <c r="B1194" s="6" t="str">
        <f>IFERROR(__xludf.DUMMYFUNCTION("""COMPUTED_VALUE"""),"ENG")</f>
        <v>ENG</v>
      </c>
      <c r="C1194" s="6" t="str">
        <f>IFERROR(__xludf.DUMMYFUNCTION("""COMPUTED_VALUE"""),"P-11164-00")</f>
        <v>P-11164-00</v>
      </c>
      <c r="D1194" s="6" t="str">
        <f>IFERROR(__xludf.DUMMYFUNCTION("""COMPUTED_VALUE"""),"Pneumatic Fitting - QS 1/2-10 / PN : 190646 / Festo")</f>
        <v>Pneumatic Fitting - QS 1/2-10 / PN : 190646 / Festo</v>
      </c>
      <c r="E1194" s="6">
        <f>IFERROR(__xludf.DUMMYFUNCTION("""COMPUTED_VALUE"""),4.0)</f>
        <v>4</v>
      </c>
      <c r="F1194" s="6">
        <f>IFERROR(__xludf.DUMMYFUNCTION("""COMPUTED_VALUE"""),1.0)</f>
        <v>1</v>
      </c>
      <c r="G1194" s="6">
        <f>IFERROR(__xludf.DUMMYFUNCTION("""COMPUTED_VALUE"""),0.0)</f>
        <v>0</v>
      </c>
      <c r="H1194" s="6" t="str">
        <f>IFERROR(__xludf.DUMMYFUNCTION("""COMPUTED_VALUE"""),"pcs")</f>
        <v>pcs</v>
      </c>
      <c r="I1194" s="6" t="str">
        <f>IFERROR(__xludf.DUMMYFUNCTION("""COMPUTED_VALUE"""),"MFH")</f>
        <v>MFH</v>
      </c>
      <c r="J1194" s="6" t="str">
        <f>IFERROR(__xludf.DUMMYFUNCTION("""COMPUTED_VALUE"""),"-")</f>
        <v>-</v>
      </c>
      <c r="K1194" s="6" t="str">
        <f>IFERROR(__xludf.DUMMYFUNCTION("""COMPUTED_VALUE"""),"SPR/10/24/006")</f>
        <v>SPR/10/24/006</v>
      </c>
      <c r="L1194" s="13">
        <f>IFERROR(__xludf.DUMMYFUNCTION("""COMPUTED_VALUE"""),45596.0)</f>
        <v>45596</v>
      </c>
    </row>
    <row r="1195">
      <c r="A1195" s="6" t="str">
        <f>IFERROR(__xludf.DUMMYFUNCTION("""COMPUTED_VALUE"""),"MOB")</f>
        <v>MOB</v>
      </c>
      <c r="B1195" s="6" t="str">
        <f>IFERROR(__xludf.DUMMYFUNCTION("""COMPUTED_VALUE"""),"ENG")</f>
        <v>ENG</v>
      </c>
      <c r="C1195" s="6" t="str">
        <f>IFERROR(__xludf.DUMMYFUNCTION("""COMPUTED_VALUE"""),"P-13650-00")</f>
        <v>P-13650-00</v>
      </c>
      <c r="D1195" s="6" t="str">
        <f>IFERROR(__xludf.DUMMYFUNCTION("""COMPUTED_VALUE"""),"Manual Valve HE-2-QS-6; FESTO; ;")</f>
        <v>Manual Valve HE-2-QS-6; FESTO; ;</v>
      </c>
      <c r="E1195" s="6">
        <f>IFERROR(__xludf.DUMMYFUNCTION("""COMPUTED_VALUE"""),2.0)</f>
        <v>2</v>
      </c>
      <c r="F1195" s="6">
        <f>IFERROR(__xludf.DUMMYFUNCTION("""COMPUTED_VALUE"""),1.0)</f>
        <v>1</v>
      </c>
      <c r="G1195" s="6">
        <f>IFERROR(__xludf.DUMMYFUNCTION("""COMPUTED_VALUE"""),0.0)</f>
        <v>0</v>
      </c>
      <c r="H1195" s="6" t="str">
        <f>IFERROR(__xludf.DUMMYFUNCTION("""COMPUTED_VALUE"""),"pcs")</f>
        <v>pcs</v>
      </c>
      <c r="I1195" s="6" t="str">
        <f>IFERROR(__xludf.DUMMYFUNCTION("""COMPUTED_VALUE"""),"MFH")</f>
        <v>MFH</v>
      </c>
      <c r="J1195" s="6" t="str">
        <f>IFERROR(__xludf.DUMMYFUNCTION("""COMPUTED_VALUE"""),"-")</f>
        <v>-</v>
      </c>
      <c r="K1195" s="6" t="str">
        <f>IFERROR(__xludf.DUMMYFUNCTION("""COMPUTED_VALUE"""),"SPR/10/24/006")</f>
        <v>SPR/10/24/006</v>
      </c>
      <c r="L1195" s="13">
        <f>IFERROR(__xludf.DUMMYFUNCTION("""COMPUTED_VALUE"""),45596.0)</f>
        <v>45596</v>
      </c>
    </row>
    <row r="1196">
      <c r="A1196" s="6" t="str">
        <f>IFERROR(__xludf.DUMMYFUNCTION("""COMPUTED_VALUE"""),"MOB")</f>
        <v>MOB</v>
      </c>
      <c r="B1196" s="6" t="str">
        <f>IFERROR(__xludf.DUMMYFUNCTION("""COMPUTED_VALUE"""),"ENG")</f>
        <v>ENG</v>
      </c>
      <c r="C1196" s="6" t="str">
        <f>IFERROR(__xludf.DUMMYFUNCTION("""COMPUTED_VALUE"""),"P-14245-00")</f>
        <v>P-14245-00</v>
      </c>
      <c r="D1196" s="6" t="str">
        <f>IFERROR(__xludf.DUMMYFUNCTION("""COMPUTED_VALUE"""),"Manual valve HE-2-QS-8 FESTO; ; ;")</f>
        <v>Manual valve HE-2-QS-8 FESTO; ; ;</v>
      </c>
      <c r="E1196" s="6">
        <f>IFERROR(__xludf.DUMMYFUNCTION("""COMPUTED_VALUE"""),5.0)</f>
        <v>5</v>
      </c>
      <c r="F1196" s="6">
        <f>IFERROR(__xludf.DUMMYFUNCTION("""COMPUTED_VALUE"""),1.0)</f>
        <v>1</v>
      </c>
      <c r="G1196" s="6">
        <f>IFERROR(__xludf.DUMMYFUNCTION("""COMPUTED_VALUE"""),0.0)</f>
        <v>0</v>
      </c>
      <c r="H1196" s="6" t="str">
        <f>IFERROR(__xludf.DUMMYFUNCTION("""COMPUTED_VALUE"""),"pcs")</f>
        <v>pcs</v>
      </c>
      <c r="I1196" s="6" t="str">
        <f>IFERROR(__xludf.DUMMYFUNCTION("""COMPUTED_VALUE"""),"MFH")</f>
        <v>MFH</v>
      </c>
      <c r="J1196" s="6" t="str">
        <f>IFERROR(__xludf.DUMMYFUNCTION("""COMPUTED_VALUE"""),"-")</f>
        <v>-</v>
      </c>
      <c r="K1196" s="6" t="str">
        <f>IFERROR(__xludf.DUMMYFUNCTION("""COMPUTED_VALUE"""),"SPR/10/24/006")</f>
        <v>SPR/10/24/006</v>
      </c>
      <c r="L1196" s="13">
        <f>IFERROR(__xludf.DUMMYFUNCTION("""COMPUTED_VALUE"""),45596.0)</f>
        <v>45596</v>
      </c>
    </row>
    <row r="1197">
      <c r="A1197" s="6" t="str">
        <f>IFERROR(__xludf.DUMMYFUNCTION("""COMPUTED_VALUE"""),"MOB")</f>
        <v>MOB</v>
      </c>
      <c r="B1197" s="6" t="str">
        <f>IFERROR(__xludf.DUMMYFUNCTION("""COMPUTED_VALUE"""),"ENG")</f>
        <v>ENG</v>
      </c>
      <c r="C1197" s="6" t="str">
        <f>IFERROR(__xludf.DUMMYFUNCTION("""COMPUTED_VALUE"""),"O-54015-00")</f>
        <v>O-54015-00</v>
      </c>
      <c r="D1197" s="6" t="str">
        <f>IFERROR(__xludf.DUMMYFUNCTION("""COMPUTED_VALUE"""),"STOP KONTAK LUBANG 4, BROCO")</f>
        <v>STOP KONTAK LUBANG 4, BROCO</v>
      </c>
      <c r="E1197" s="6">
        <f>IFERROR(__xludf.DUMMYFUNCTION("""COMPUTED_VALUE"""),2.0)</f>
        <v>2</v>
      </c>
      <c r="F1197" s="6">
        <f>IFERROR(__xludf.DUMMYFUNCTION("""COMPUTED_VALUE"""),2.0)</f>
        <v>2</v>
      </c>
      <c r="G1197" s="6">
        <f>IFERROR(__xludf.DUMMYFUNCTION("""COMPUTED_VALUE"""),0.0)</f>
        <v>0</v>
      </c>
      <c r="H1197" s="6" t="str">
        <f>IFERROR(__xludf.DUMMYFUNCTION("""COMPUTED_VALUE"""),"pcs")</f>
        <v>pcs</v>
      </c>
      <c r="I1197" s="6" t="str">
        <f>IFERROR(__xludf.DUMMYFUNCTION("""COMPUTED_VALUE"""),"MFH")</f>
        <v>MFH</v>
      </c>
      <c r="J1197" s="6" t="str">
        <f>IFERROR(__xludf.DUMMYFUNCTION("""COMPUTED_VALUE"""),"Building")</f>
        <v>Building</v>
      </c>
      <c r="K1197" s="6" t="str">
        <f>IFERROR(__xludf.DUMMYFUNCTION("""COMPUTED_VALUE"""),"SPR/10/24/007")</f>
        <v>SPR/10/24/007</v>
      </c>
      <c r="L1197" s="13">
        <f>IFERROR(__xludf.DUMMYFUNCTION("""COMPUTED_VALUE"""),45596.0)</f>
        <v>45596</v>
      </c>
    </row>
    <row r="1198">
      <c r="A1198" s="6" t="str">
        <f>IFERROR(__xludf.DUMMYFUNCTION("""COMPUTED_VALUE"""),"MOB")</f>
        <v>MOB</v>
      </c>
      <c r="B1198" s="6" t="str">
        <f>IFERROR(__xludf.DUMMYFUNCTION("""COMPUTED_VALUE"""),"ENG")</f>
        <v>ENG</v>
      </c>
      <c r="C1198" s="6" t="str">
        <f>IFERROR(__xludf.DUMMYFUNCTION("""COMPUTED_VALUE"""),"O-54014-00")</f>
        <v>O-54014-00</v>
      </c>
      <c r="D1198" s="6" t="str">
        <f>IFERROR(__xludf.DUMMYFUNCTION("""COMPUTED_VALUE"""),"STEKER 1 PHASE, BROCO")</f>
        <v>STEKER 1 PHASE, BROCO</v>
      </c>
      <c r="E1198" s="6">
        <f>IFERROR(__xludf.DUMMYFUNCTION("""COMPUTED_VALUE"""),2.0)</f>
        <v>2</v>
      </c>
      <c r="F1198" s="6">
        <f>IFERROR(__xludf.DUMMYFUNCTION("""COMPUTED_VALUE"""),1.0)</f>
        <v>1</v>
      </c>
      <c r="G1198" s="6">
        <f>IFERROR(__xludf.DUMMYFUNCTION("""COMPUTED_VALUE"""),0.0)</f>
        <v>0</v>
      </c>
      <c r="H1198" s="6" t="str">
        <f>IFERROR(__xludf.DUMMYFUNCTION("""COMPUTED_VALUE"""),"pcs")</f>
        <v>pcs</v>
      </c>
      <c r="I1198" s="6" t="str">
        <f>IFERROR(__xludf.DUMMYFUNCTION("""COMPUTED_VALUE"""),"MFH")</f>
        <v>MFH</v>
      </c>
      <c r="J1198" s="6" t="str">
        <f>IFERROR(__xludf.DUMMYFUNCTION("""COMPUTED_VALUE"""),"Building")</f>
        <v>Building</v>
      </c>
      <c r="K1198" s="6" t="str">
        <f>IFERROR(__xludf.DUMMYFUNCTION("""COMPUTED_VALUE"""),"SPR/10/24/007")</f>
        <v>SPR/10/24/007</v>
      </c>
      <c r="L1198" s="13">
        <f>IFERROR(__xludf.DUMMYFUNCTION("""COMPUTED_VALUE"""),45596.0)</f>
        <v>45596</v>
      </c>
    </row>
    <row r="1199">
      <c r="A1199" s="6" t="str">
        <f>IFERROR(__xludf.DUMMYFUNCTION("""COMPUTED_VALUE"""),"MOB")</f>
        <v>MOB</v>
      </c>
      <c r="B1199" s="6" t="str">
        <f>IFERROR(__xludf.DUMMYFUNCTION("""COMPUTED_VALUE"""),"ENG")</f>
        <v>ENG</v>
      </c>
      <c r="C1199" s="6" t="str">
        <f>IFERROR(__xludf.DUMMYFUNCTION("""COMPUTED_VALUE"""),"P-17897-00")</f>
        <v>P-17897-00</v>
      </c>
      <c r="D1199" s="6" t="str">
        <f>IFERROR(__xludf.DUMMYFUNCTION("""COMPUTED_VALUE"""),"Foam Tape Perekat 1 Sisi 3mm x 25mm x 10M; ; ;")</f>
        <v>Foam Tape Perekat 1 Sisi 3mm x 25mm x 10M; ; ;</v>
      </c>
      <c r="E1199" s="6">
        <f>IFERROR(__xludf.DUMMYFUNCTION("""COMPUTED_VALUE"""),1.0)</f>
        <v>1</v>
      </c>
      <c r="F1199" s="6">
        <f>IFERROR(__xludf.DUMMYFUNCTION("""COMPUTED_VALUE"""),1.0)</f>
        <v>1</v>
      </c>
      <c r="G1199" s="6">
        <f>IFERROR(__xludf.DUMMYFUNCTION("""COMPUTED_VALUE"""),0.0)</f>
        <v>0</v>
      </c>
      <c r="H1199" s="6" t="str">
        <f>IFERROR(__xludf.DUMMYFUNCTION("""COMPUTED_VALUE"""),"pcs")</f>
        <v>pcs</v>
      </c>
      <c r="I1199" s="6" t="str">
        <f>IFERROR(__xludf.DUMMYFUNCTION("""COMPUTED_VALUE"""),"MFH")</f>
        <v>MFH</v>
      </c>
      <c r="J1199" s="6" t="str">
        <f>IFERROR(__xludf.DUMMYFUNCTION("""COMPUTED_VALUE"""),"Building")</f>
        <v>Building</v>
      </c>
      <c r="K1199" s="6" t="str">
        <f>IFERROR(__xludf.DUMMYFUNCTION("""COMPUTED_VALUE"""),"SPR/10/24/007")</f>
        <v>SPR/10/24/007</v>
      </c>
      <c r="L1199" s="13">
        <f>IFERROR(__xludf.DUMMYFUNCTION("""COMPUTED_VALUE"""),45596.0)</f>
        <v>45596</v>
      </c>
    </row>
    <row r="1200">
      <c r="A1200" s="6" t="str">
        <f>IFERROR(__xludf.DUMMYFUNCTION("""COMPUTED_VALUE"""),"NDS")</f>
        <v>NDS</v>
      </c>
      <c r="B1200" s="6" t="str">
        <f>IFERROR(__xludf.DUMMYFUNCTION("""COMPUTED_VALUE"""),"ENG")</f>
        <v>ENG</v>
      </c>
      <c r="C1200" s="6" t="str">
        <f>IFERROR(__xludf.DUMMYFUNCTION("""COMPUTED_VALUE"""),"O-15931-00")</f>
        <v>O-15931-00</v>
      </c>
      <c r="D1200" s="6" t="str">
        <f>IFERROR(__xludf.DUMMYFUNCTION("""COMPUTED_VALUE"""),"Double Tape 3M 1"" Merah - P/N : - pc")</f>
        <v>Double Tape 3M 1" Merah - P/N : - pc</v>
      </c>
      <c r="E1200" s="6">
        <f>IFERROR(__xludf.DUMMYFUNCTION("""COMPUTED_VALUE"""),3.0)</f>
        <v>3</v>
      </c>
      <c r="F1200" s="6">
        <f>IFERROR(__xludf.DUMMYFUNCTION("""COMPUTED_VALUE"""),1.0)</f>
        <v>1</v>
      </c>
      <c r="G1200" s="6">
        <f>IFERROR(__xludf.DUMMYFUNCTION("""COMPUTED_VALUE"""),0.0)</f>
        <v>0</v>
      </c>
      <c r="H1200" s="6" t="str">
        <f>IFERROR(__xludf.DUMMYFUNCTION("""COMPUTED_VALUE"""),"pcs")</f>
        <v>pcs</v>
      </c>
      <c r="I1200" s="6" t="str">
        <f>IFERROR(__xludf.DUMMYFUNCTION("""COMPUTED_VALUE"""),"MFH")</f>
        <v>MFH</v>
      </c>
      <c r="J1200" s="6" t="str">
        <f>IFERROR(__xludf.DUMMYFUNCTION("""COMPUTED_VALUE"""),"MS30")</f>
        <v>MS30</v>
      </c>
      <c r="K1200" s="6" t="str">
        <f>IFERROR(__xludf.DUMMYFUNCTION("""COMPUTED_VALUE"""),"SPR/10/24/008")</f>
        <v>SPR/10/24/008</v>
      </c>
      <c r="L1200" s="13">
        <f>IFERROR(__xludf.DUMMYFUNCTION("""COMPUTED_VALUE"""),45596.0)</f>
        <v>45596</v>
      </c>
    </row>
    <row r="1201">
      <c r="A1201" s="6" t="str">
        <f>IFERROR(__xludf.DUMMYFUNCTION("""COMPUTED_VALUE"""),"NDS")</f>
        <v>NDS</v>
      </c>
      <c r="B1201" s="6" t="str">
        <f>IFERROR(__xludf.DUMMYFUNCTION("""COMPUTED_VALUE"""),"ENG")</f>
        <v>ENG</v>
      </c>
      <c r="C1201" s="6" t="str">
        <f>IFERROR(__xludf.DUMMYFUNCTION("""COMPUTED_VALUE"""),"Q-10249-00")</f>
        <v>Q-10249-00</v>
      </c>
      <c r="D1201" s="6" t="str">
        <f>IFERROR(__xludf.DUMMYFUNCTION("""COMPUTED_VALUE"""),"Lem Power Glue")</f>
        <v>Lem Power Glue</v>
      </c>
      <c r="E1201" s="6">
        <f>IFERROR(__xludf.DUMMYFUNCTION("""COMPUTED_VALUE"""),11.0)</f>
        <v>11</v>
      </c>
      <c r="F1201" s="6">
        <f>IFERROR(__xludf.DUMMYFUNCTION("""COMPUTED_VALUE"""),1.0)</f>
        <v>1</v>
      </c>
      <c r="G1201" s="6">
        <f>IFERROR(__xludf.DUMMYFUNCTION("""COMPUTED_VALUE"""),0.0)</f>
        <v>0</v>
      </c>
      <c r="H1201" s="6" t="str">
        <f>IFERROR(__xludf.DUMMYFUNCTION("""COMPUTED_VALUE"""),"pcs")</f>
        <v>pcs</v>
      </c>
      <c r="I1201" s="6" t="str">
        <f>IFERROR(__xludf.DUMMYFUNCTION("""COMPUTED_VALUE"""),"MFH")</f>
        <v>MFH</v>
      </c>
      <c r="J1201" s="6" t="str">
        <f>IFERROR(__xludf.DUMMYFUNCTION("""COMPUTED_VALUE"""),"MS30")</f>
        <v>MS30</v>
      </c>
      <c r="K1201" s="6" t="str">
        <f>IFERROR(__xludf.DUMMYFUNCTION("""COMPUTED_VALUE"""),"SPR/10/24/008")</f>
        <v>SPR/10/24/008</v>
      </c>
      <c r="L1201" s="13">
        <f>IFERROR(__xludf.DUMMYFUNCTION("""COMPUTED_VALUE"""),45596.0)</f>
        <v>45596</v>
      </c>
    </row>
    <row r="1202">
      <c r="A1202" s="6" t="str">
        <f>IFERROR(__xludf.DUMMYFUNCTION("""COMPUTED_VALUE"""),"SHF")</f>
        <v>SHF</v>
      </c>
      <c r="B1202" s="6" t="str">
        <f>IFERROR(__xludf.DUMMYFUNCTION("""COMPUTED_VALUE"""),"ENG")</f>
        <v>ENG</v>
      </c>
      <c r="C1202" s="6" t="str">
        <f>IFERROR(__xludf.DUMMYFUNCTION("""COMPUTED_VALUE"""),"P-50962-00")</f>
        <v>P-50962-00</v>
      </c>
      <c r="D1202" s="6" t="str">
        <f>IFERROR(__xludf.DUMMYFUNCTION("""COMPUTED_VALUE"""),"Fuse kaca 5A 6x30")</f>
        <v>Fuse kaca 5A 6x30</v>
      </c>
      <c r="E1202" s="6">
        <f>IFERROR(__xludf.DUMMYFUNCTION("""COMPUTED_VALUE"""),5.0)</f>
        <v>5</v>
      </c>
      <c r="F1202" s="6">
        <f>IFERROR(__xludf.DUMMYFUNCTION("""COMPUTED_VALUE"""),1.0)</f>
        <v>1</v>
      </c>
      <c r="G1202" s="6">
        <f>IFERROR(__xludf.DUMMYFUNCTION("""COMPUTED_VALUE"""),0.0)</f>
        <v>0</v>
      </c>
      <c r="H1202" s="6" t="str">
        <f>IFERROR(__xludf.DUMMYFUNCTION("""COMPUTED_VALUE"""),"pcs")</f>
        <v>pcs</v>
      </c>
      <c r="I1202" s="6" t="str">
        <f>IFERROR(__xludf.DUMMYFUNCTION("""COMPUTED_VALUE"""),"MFH")</f>
        <v>MFH</v>
      </c>
      <c r="J1202" s="6" t="str">
        <f>IFERROR(__xludf.DUMMYFUNCTION("""COMPUTED_VALUE"""),"AHU")</f>
        <v>AHU</v>
      </c>
      <c r="K1202" s="6" t="str">
        <f>IFERROR(__xludf.DUMMYFUNCTION("""COMPUTED_VALUE"""),"SPR/10/24/009")</f>
        <v>SPR/10/24/009</v>
      </c>
      <c r="L1202" s="13">
        <f>IFERROR(__xludf.DUMMYFUNCTION("""COMPUTED_VALUE"""),45596.0)</f>
        <v>45596</v>
      </c>
    </row>
    <row r="1203">
      <c r="A1203" s="6" t="str">
        <f>IFERROR(__xludf.DUMMYFUNCTION("""COMPUTED_VALUE"""),"NDS")</f>
        <v>NDS</v>
      </c>
      <c r="B1203" s="6" t="str">
        <f>IFERROR(__xludf.DUMMYFUNCTION("""COMPUTED_VALUE"""),"ENG")</f>
        <v>ENG</v>
      </c>
      <c r="C1203" s="6" t="str">
        <f>IFERROR(__xludf.DUMMYFUNCTION("""COMPUTED_VALUE"""),"P-11165-00")</f>
        <v>P-11165-00</v>
      </c>
      <c r="D1203" s="6" t="str">
        <f>IFERROR(__xludf.DUMMYFUNCTION("""COMPUTED_VALUE"""),"Pneumatic Fitting - QS 1/2-12 / PN : 153010 / Festo")</f>
        <v>Pneumatic Fitting - QS 1/2-12 / PN : 153010 / Festo</v>
      </c>
      <c r="E1203" s="6">
        <f>IFERROR(__xludf.DUMMYFUNCTION("""COMPUTED_VALUE"""),1.0)</f>
        <v>1</v>
      </c>
      <c r="F1203" s="6">
        <f>IFERROR(__xludf.DUMMYFUNCTION("""COMPUTED_VALUE"""),1.0)</f>
        <v>1</v>
      </c>
      <c r="G1203" s="6">
        <f>IFERROR(__xludf.DUMMYFUNCTION("""COMPUTED_VALUE"""),0.0)</f>
        <v>0</v>
      </c>
      <c r="H1203" s="6" t="str">
        <f>IFERROR(__xludf.DUMMYFUNCTION("""COMPUTED_VALUE"""),"pcs")</f>
        <v>pcs</v>
      </c>
      <c r="I1203" s="6" t="str">
        <f>IFERROR(__xludf.DUMMYFUNCTION("""COMPUTED_VALUE"""),"MFH")</f>
        <v>MFH</v>
      </c>
      <c r="J1203" s="6" t="str">
        <f>IFERROR(__xludf.DUMMYFUNCTION("""COMPUTED_VALUE"""),"Coating")</f>
        <v>Coating</v>
      </c>
      <c r="K1203" s="6" t="str">
        <f>IFERROR(__xludf.DUMMYFUNCTION("""COMPUTED_VALUE"""),"SPR/10/24/010")</f>
        <v>SPR/10/24/010</v>
      </c>
      <c r="L1203" s="13">
        <f>IFERROR(__xludf.DUMMYFUNCTION("""COMPUTED_VALUE"""),45596.0)</f>
        <v>45596</v>
      </c>
    </row>
    <row r="1204">
      <c r="A1204" s="6" t="str">
        <f>IFERROR(__xludf.DUMMYFUNCTION("""COMPUTED_VALUE"""),"ANO")</f>
        <v>ANO</v>
      </c>
      <c r="B1204" s="6" t="str">
        <f>IFERROR(__xludf.DUMMYFUNCTION("""COMPUTED_VALUE"""),"ENG")</f>
        <v>ENG</v>
      </c>
      <c r="C1204" s="6" t="str">
        <f>IFERROR(__xludf.DUMMYFUNCTION("""COMPUTED_VALUE"""),"O-54015-00")</f>
        <v>O-54015-00</v>
      </c>
      <c r="D1204" s="6" t="str">
        <f>IFERROR(__xludf.DUMMYFUNCTION("""COMPUTED_VALUE"""),"STOP KONTAK LUBANG 4, BROCO")</f>
        <v>STOP KONTAK LUBANG 4, BROCO</v>
      </c>
      <c r="E1204" s="6">
        <f>IFERROR(__xludf.DUMMYFUNCTION("""COMPUTED_VALUE"""),1.0)</f>
        <v>1</v>
      </c>
      <c r="F1204" s="6">
        <f>IFERROR(__xludf.DUMMYFUNCTION("""COMPUTED_VALUE"""),1.0)</f>
        <v>1</v>
      </c>
      <c r="G1204" s="6">
        <f>IFERROR(__xludf.DUMMYFUNCTION("""COMPUTED_VALUE"""),0.0)</f>
        <v>0</v>
      </c>
      <c r="H1204" s="6" t="str">
        <f>IFERROR(__xludf.DUMMYFUNCTION("""COMPUTED_VALUE"""),"pcs")</f>
        <v>pcs</v>
      </c>
      <c r="I1204" s="6" t="str">
        <f>IFERROR(__xludf.DUMMYFUNCTION("""COMPUTED_VALUE"""),"MFH")</f>
        <v>MFH</v>
      </c>
      <c r="J1204" s="6" t="str">
        <f>IFERROR(__xludf.DUMMYFUNCTION("""COMPUTED_VALUE"""),"Isolator")</f>
        <v>Isolator</v>
      </c>
      <c r="K1204" s="6" t="str">
        <f>IFERROR(__xludf.DUMMYFUNCTION("""COMPUTED_VALUE"""),"SPR/10/24/011")</f>
        <v>SPR/10/24/011</v>
      </c>
      <c r="L1204" s="13">
        <f>IFERROR(__xludf.DUMMYFUNCTION("""COMPUTED_VALUE"""),45596.0)</f>
        <v>45596</v>
      </c>
    </row>
    <row r="1205">
      <c r="A1205" s="6" t="str">
        <f>IFERROR(__xludf.DUMMYFUNCTION("""COMPUTED_VALUE"""),"INN")</f>
        <v>INN</v>
      </c>
      <c r="B1205" s="6" t="str">
        <f>IFERROR(__xludf.DUMMYFUNCTION("""COMPUTED_VALUE"""),"ENG")</f>
        <v>ENG</v>
      </c>
      <c r="C1205" s="6" t="str">
        <f>IFERROR(__xludf.DUMMYFUNCTION("""COMPUTED_VALUE"""),"O-16647-00")</f>
        <v>O-16647-00</v>
      </c>
      <c r="D1205" s="6" t="str">
        <f>IFERROR(__xludf.DUMMYFUNCTION("""COMPUTED_VALUE"""),"Washing RAR4 - Oring Silicone Merah 23x18x2.5 mm; ; ;")</f>
        <v>Washing RAR4 - Oring Silicone Merah 23x18x2.5 mm; ; ;</v>
      </c>
      <c r="E1205" s="6">
        <f>IFERROR(__xludf.DUMMYFUNCTION("""COMPUTED_VALUE"""),22.0)</f>
        <v>22</v>
      </c>
      <c r="F1205" s="6">
        <f>IFERROR(__xludf.DUMMYFUNCTION("""COMPUTED_VALUE"""),20.0)</f>
        <v>20</v>
      </c>
      <c r="G1205" s="6">
        <f>IFERROR(__xludf.DUMMYFUNCTION("""COMPUTED_VALUE"""),0.0)</f>
        <v>0</v>
      </c>
      <c r="H1205" s="6" t="str">
        <f>IFERROR(__xludf.DUMMYFUNCTION("""COMPUTED_VALUE"""),"pcs")</f>
        <v>pcs</v>
      </c>
      <c r="I1205" s="6" t="str">
        <f>IFERROR(__xludf.DUMMYFUNCTION("""COMPUTED_VALUE"""),"MFH")</f>
        <v>MFH</v>
      </c>
      <c r="J1205" s="6" t="str">
        <f>IFERROR(__xludf.DUMMYFUNCTION("""COMPUTED_VALUE"""),"Capping")</f>
        <v>Capping</v>
      </c>
      <c r="K1205" s="6" t="str">
        <f>IFERROR(__xludf.DUMMYFUNCTION("""COMPUTED_VALUE"""),"SPR/10/24/012")</f>
        <v>SPR/10/24/012</v>
      </c>
      <c r="L1205" s="13">
        <f>IFERROR(__xludf.DUMMYFUNCTION("""COMPUTED_VALUE"""),45596.0)</f>
        <v>45596</v>
      </c>
    </row>
    <row r="1206">
      <c r="A1206" s="6" t="str">
        <f>IFERROR(__xludf.DUMMYFUNCTION("""COMPUTED_VALUE"""),"INN")</f>
        <v>INN</v>
      </c>
      <c r="B1206" s="6" t="str">
        <f>IFERROR(__xludf.DUMMYFUNCTION("""COMPUTED_VALUE"""),"ENG")</f>
        <v>ENG</v>
      </c>
      <c r="C1206" s="6" t="str">
        <f>IFERROR(__xludf.DUMMYFUNCTION("""COMPUTED_VALUE"""),"O-54015-00")</f>
        <v>O-54015-00</v>
      </c>
      <c r="D1206" s="6" t="str">
        <f>IFERROR(__xludf.DUMMYFUNCTION("""COMPUTED_VALUE"""),"STOP KONTAK LUBANG 4, BROCO")</f>
        <v>STOP KONTAK LUBANG 4, BROCO</v>
      </c>
      <c r="E1206" s="6">
        <f>IFERROR(__xludf.DUMMYFUNCTION("""COMPUTED_VALUE"""),1.0)</f>
        <v>1</v>
      </c>
      <c r="F1206" s="6">
        <f>IFERROR(__xludf.DUMMYFUNCTION("""COMPUTED_VALUE"""),1.0)</f>
        <v>1</v>
      </c>
      <c r="G1206" s="6">
        <f>IFERROR(__xludf.DUMMYFUNCTION("""COMPUTED_VALUE"""),0.0)</f>
        <v>0</v>
      </c>
      <c r="H1206" s="6" t="str">
        <f>IFERROR(__xludf.DUMMYFUNCTION("""COMPUTED_VALUE"""),"pcs")</f>
        <v>pcs</v>
      </c>
      <c r="I1206" s="6" t="str">
        <f>IFERROR(__xludf.DUMMYFUNCTION("""COMPUTED_VALUE"""),"MFH")</f>
        <v>MFH</v>
      </c>
      <c r="J1206" s="6" t="str">
        <f>IFERROR(__xludf.DUMMYFUNCTION("""COMPUTED_VALUE"""),"Capping")</f>
        <v>Capping</v>
      </c>
      <c r="K1206" s="6" t="str">
        <f>IFERROR(__xludf.DUMMYFUNCTION("""COMPUTED_VALUE"""),"SPR/10/24/012")</f>
        <v>SPR/10/24/012</v>
      </c>
      <c r="L1206" s="13">
        <f>IFERROR(__xludf.DUMMYFUNCTION("""COMPUTED_VALUE"""),45596.0)</f>
        <v>45596</v>
      </c>
    </row>
    <row r="1207">
      <c r="A1207" s="6" t="str">
        <f>IFERROR(__xludf.DUMMYFUNCTION("""COMPUTED_VALUE"""),"INN")</f>
        <v>INN</v>
      </c>
      <c r="B1207" s="6" t="str">
        <f>IFERROR(__xludf.DUMMYFUNCTION("""COMPUTED_VALUE"""),"ENG")</f>
        <v>ENG</v>
      </c>
      <c r="C1207" s="6" t="str">
        <f>IFERROR(__xludf.DUMMYFUNCTION("""COMPUTED_VALUE"""),"O-54014-00")</f>
        <v>O-54014-00</v>
      </c>
      <c r="D1207" s="6" t="str">
        <f>IFERROR(__xludf.DUMMYFUNCTION("""COMPUTED_VALUE"""),"STEKER 1 PHASE, BROCO")</f>
        <v>STEKER 1 PHASE, BROCO</v>
      </c>
      <c r="E1207" s="6">
        <f>IFERROR(__xludf.DUMMYFUNCTION("""COMPUTED_VALUE"""),2.0)</f>
        <v>2</v>
      </c>
      <c r="F1207" s="6">
        <f>IFERROR(__xludf.DUMMYFUNCTION("""COMPUTED_VALUE"""),1.0)</f>
        <v>1</v>
      </c>
      <c r="G1207" s="6">
        <f>IFERROR(__xludf.DUMMYFUNCTION("""COMPUTED_VALUE"""),0.0)</f>
        <v>0</v>
      </c>
      <c r="H1207" s="6" t="str">
        <f>IFERROR(__xludf.DUMMYFUNCTION("""COMPUTED_VALUE"""),"pcs")</f>
        <v>pcs</v>
      </c>
      <c r="I1207" s="6" t="str">
        <f>IFERROR(__xludf.DUMMYFUNCTION("""COMPUTED_VALUE"""),"MFH")</f>
        <v>MFH</v>
      </c>
      <c r="J1207" s="6" t="str">
        <f>IFERROR(__xludf.DUMMYFUNCTION("""COMPUTED_VALUE"""),"Capping")</f>
        <v>Capping</v>
      </c>
      <c r="K1207" s="6" t="str">
        <f>IFERROR(__xludf.DUMMYFUNCTION("""COMPUTED_VALUE"""),"SPR/10/24/012")</f>
        <v>SPR/10/24/012</v>
      </c>
      <c r="L1207" s="13">
        <f>IFERROR(__xludf.DUMMYFUNCTION("""COMPUTED_VALUE"""),45596.0)</f>
        <v>45596</v>
      </c>
    </row>
    <row r="1208">
      <c r="A1208" s="6" t="str">
        <f>IFERROR(__xludf.DUMMYFUNCTION("""COMPUTED_VALUE"""),"ANO")</f>
        <v>ANO</v>
      </c>
      <c r="B1208" s="6" t="str">
        <f>IFERROR(__xludf.DUMMYFUNCTION("""COMPUTED_VALUE"""),"ENG")</f>
        <v>ENG</v>
      </c>
      <c r="C1208" s="6" t="str">
        <f>IFERROR(__xludf.DUMMYFUNCTION("""COMPUTED_VALUE"""),"P-12306-00")</f>
        <v>P-12306-00</v>
      </c>
      <c r="D1208" s="6" t="str">
        <f>IFERROR(__xludf.DUMMYFUNCTION("""COMPUTED_VALUE"""),"FESTO - QST-8 push in t- connection p/n 153130")</f>
        <v>FESTO - QST-8 push in t- connection p/n 153130</v>
      </c>
      <c r="E1208" s="6">
        <f>IFERROR(__xludf.DUMMYFUNCTION("""COMPUTED_VALUE"""),1.0)</f>
        <v>1</v>
      </c>
      <c r="F1208" s="6">
        <f>IFERROR(__xludf.DUMMYFUNCTION("""COMPUTED_VALUE"""),1.0)</f>
        <v>1</v>
      </c>
      <c r="G1208" s="6">
        <f>IFERROR(__xludf.DUMMYFUNCTION("""COMPUTED_VALUE"""),0.0)</f>
        <v>0</v>
      </c>
      <c r="H1208" s="6" t="str">
        <f>IFERROR(__xludf.DUMMYFUNCTION("""COMPUTED_VALUE"""),"pcs")</f>
        <v>pcs</v>
      </c>
      <c r="I1208" s="6" t="str">
        <f>IFERROR(__xludf.DUMMYFUNCTION("""COMPUTED_VALUE"""),"MFH")</f>
        <v>MFH</v>
      </c>
      <c r="J1208" s="6" t="str">
        <f>IFERROR(__xludf.DUMMYFUNCTION("""COMPUTED_VALUE"""),"Isolator")</f>
        <v>Isolator</v>
      </c>
      <c r="K1208" s="6" t="str">
        <f>IFERROR(__xludf.DUMMYFUNCTION("""COMPUTED_VALUE"""),"SPR/10/24/012")</f>
        <v>SPR/10/24/012</v>
      </c>
      <c r="L1208" s="13">
        <f>IFERROR(__xludf.DUMMYFUNCTION("""COMPUTED_VALUE"""),45596.0)</f>
        <v>45596</v>
      </c>
    </row>
    <row r="1209">
      <c r="A1209" s="6" t="str">
        <f>IFERROR(__xludf.DUMMYFUNCTION("""COMPUTED_VALUE"""),"INN")</f>
        <v>INN</v>
      </c>
      <c r="B1209" s="6" t="str">
        <f>IFERROR(__xludf.DUMMYFUNCTION("""COMPUTED_VALUE"""),"ENG")</f>
        <v>ENG</v>
      </c>
      <c r="C1209" s="6" t="str">
        <f>IFERROR(__xludf.DUMMYFUNCTION("""COMPUTED_VALUE"""),"O-17011-00")</f>
        <v>O-17011-00</v>
      </c>
      <c r="D1209" s="6" t="str">
        <f>IFERROR(__xludf.DUMMYFUNCTION("""COMPUTED_VALUE"""),"Parallel Keys MISUMI P/N : KET3 pc")</f>
        <v>Parallel Keys MISUMI P/N : KET3 pc</v>
      </c>
      <c r="E1209" s="6">
        <f>IFERROR(__xludf.DUMMYFUNCTION("""COMPUTED_VALUE"""),4.0)</f>
        <v>4</v>
      </c>
      <c r="F1209" s="6">
        <f>IFERROR(__xludf.DUMMYFUNCTION("""COMPUTED_VALUE"""),1.0)</f>
        <v>1</v>
      </c>
      <c r="G1209" s="6">
        <f>IFERROR(__xludf.DUMMYFUNCTION("""COMPUTED_VALUE"""),0.0)</f>
        <v>0</v>
      </c>
      <c r="H1209" s="6" t="str">
        <f>IFERROR(__xludf.DUMMYFUNCTION("""COMPUTED_VALUE"""),"pcs")</f>
        <v>pcs</v>
      </c>
      <c r="I1209" s="6" t="str">
        <f>IFERROR(__xludf.DUMMYFUNCTION("""COMPUTED_VALUE"""),"MFH")</f>
        <v>MFH</v>
      </c>
      <c r="J1209" s="6" t="str">
        <f>IFERROR(__xludf.DUMMYFUNCTION("""COMPUTED_VALUE"""),"Capping")</f>
        <v>Capping</v>
      </c>
      <c r="K1209" s="6" t="str">
        <f>IFERROR(__xludf.DUMMYFUNCTION("""COMPUTED_VALUE"""),"SPR/10/24/013")</f>
        <v>SPR/10/24/013</v>
      </c>
      <c r="L1209" s="13">
        <f>IFERROR(__xludf.DUMMYFUNCTION("""COMPUTED_VALUE"""),45596.0)</f>
        <v>45596</v>
      </c>
    </row>
    <row r="1210">
      <c r="A1210" s="6" t="str">
        <f>IFERROR(__xludf.DUMMYFUNCTION("""COMPUTED_VALUE"""),"INN")</f>
        <v>INN</v>
      </c>
      <c r="B1210" s="6" t="str">
        <f>IFERROR(__xludf.DUMMYFUNCTION("""COMPUTED_VALUE"""),"ENG")</f>
        <v>ENG</v>
      </c>
      <c r="C1210" s="6" t="str">
        <f>IFERROR(__xludf.DUMMYFUNCTION("""COMPUTED_VALUE"""),"O-19162-00")</f>
        <v>O-19162-00</v>
      </c>
      <c r="D1210" s="6" t="str">
        <f>IFERROR(__xludf.DUMMYFUNCTION("""COMPUTED_VALUE"""),"Shaft Pengunci AlphaPort; Lokal; ;")</f>
        <v>Shaft Pengunci AlphaPort; Lokal; ;</v>
      </c>
      <c r="E1210" s="6">
        <f>IFERROR(__xludf.DUMMYFUNCTION("""COMPUTED_VALUE"""),2.0)</f>
        <v>2</v>
      </c>
      <c r="F1210" s="6">
        <f>IFERROR(__xludf.DUMMYFUNCTION("""COMPUTED_VALUE"""),2.0)</f>
        <v>2</v>
      </c>
      <c r="G1210" s="6">
        <f>IFERROR(__xludf.DUMMYFUNCTION("""COMPUTED_VALUE"""),0.0)</f>
        <v>0</v>
      </c>
      <c r="H1210" s="6" t="str">
        <f>IFERROR(__xludf.DUMMYFUNCTION("""COMPUTED_VALUE"""),"pcs")</f>
        <v>pcs</v>
      </c>
      <c r="I1210" s="6" t="str">
        <f>IFERROR(__xludf.DUMMYFUNCTION("""COMPUTED_VALUE"""),"MFH")</f>
        <v>MFH</v>
      </c>
      <c r="J1210" s="6" t="str">
        <f>IFERROR(__xludf.DUMMYFUNCTION("""COMPUTED_VALUE"""),"Mixing")</f>
        <v>Mixing</v>
      </c>
      <c r="K1210" s="6" t="str">
        <f>IFERROR(__xludf.DUMMYFUNCTION("""COMPUTED_VALUE"""),"SPR/10/24/014")</f>
        <v>SPR/10/24/014</v>
      </c>
      <c r="L1210" s="13">
        <f>IFERROR(__xludf.DUMMYFUNCTION("""COMPUTED_VALUE"""),45596.0)</f>
        <v>45596</v>
      </c>
    </row>
    <row r="1211">
      <c r="A1211" s="6" t="str">
        <f>IFERROR(__xludf.DUMMYFUNCTION("""COMPUTED_VALUE"""),"SFH")</f>
        <v>SFH</v>
      </c>
      <c r="B1211" s="6" t="str">
        <f>IFERROR(__xludf.DUMMYFUNCTION("""COMPUTED_VALUE"""),"ENG")</f>
        <v>ENG</v>
      </c>
      <c r="C1211" s="6" t="str">
        <f>IFERROR(__xludf.DUMMYFUNCTION("""COMPUTED_VALUE"""),"S-63035-00")</f>
        <v>S-63035-00</v>
      </c>
      <c r="D1211" s="6" t="str">
        <f>IFERROR(__xludf.DUMMYFUNCTION("""COMPUTED_VALUE"""),"Cover Penutup Saklar; ; ;")</f>
        <v>Cover Penutup Saklar; ; ;</v>
      </c>
      <c r="E1211" s="6">
        <f>IFERROR(__xludf.DUMMYFUNCTION("""COMPUTED_VALUE"""),30.0)</f>
        <v>30</v>
      </c>
      <c r="F1211" s="6">
        <f>IFERROR(__xludf.DUMMYFUNCTION("""COMPUTED_VALUE"""),30.0)</f>
        <v>30</v>
      </c>
      <c r="G1211" s="6">
        <f>IFERROR(__xludf.DUMMYFUNCTION("""COMPUTED_VALUE"""),0.0)</f>
        <v>0</v>
      </c>
      <c r="H1211" s="6" t="str">
        <f>IFERROR(__xludf.DUMMYFUNCTION("""COMPUTED_VALUE"""),"pcs")</f>
        <v>pcs</v>
      </c>
      <c r="I1211" s="6" t="str">
        <f>IFERROR(__xludf.DUMMYFUNCTION("""COMPUTED_VALUE"""),"MFH")</f>
        <v>MFH</v>
      </c>
      <c r="J1211" s="6" t="str">
        <f>IFERROR(__xludf.DUMMYFUNCTION("""COMPUTED_VALUE"""),"-")</f>
        <v>-</v>
      </c>
      <c r="K1211" s="6" t="str">
        <f>IFERROR(__xludf.DUMMYFUNCTION("""COMPUTED_VALUE"""),"SPR/10/24/015")</f>
        <v>SPR/10/24/015</v>
      </c>
      <c r="L1211" s="13">
        <f>IFERROR(__xludf.DUMMYFUNCTION("""COMPUTED_VALUE"""),45596.0)</f>
        <v>45596</v>
      </c>
    </row>
    <row r="1212">
      <c r="A1212" s="6" t="str">
        <f>IFERROR(__xludf.DUMMYFUNCTION("""COMPUTED_VALUE"""),"SFH")</f>
        <v>SFH</v>
      </c>
      <c r="B1212" s="6" t="str">
        <f>IFERROR(__xludf.DUMMYFUNCTION("""COMPUTED_VALUE"""),"ENG")</f>
        <v>ENG</v>
      </c>
      <c r="C1212" s="6" t="str">
        <f>IFERROR(__xludf.DUMMYFUNCTION("""COMPUTED_VALUE"""),"P-51560-00")</f>
        <v>P-51560-00</v>
      </c>
      <c r="D1212" s="6" t="str">
        <f>IFERROR(__xludf.DUMMYFUNCTION("""COMPUTED_VALUE"""),"Lampu T5 28watt Putih; Phillips; ;")</f>
        <v>Lampu T5 28watt Putih; Phillips; ;</v>
      </c>
      <c r="E1212" s="6">
        <f>IFERROR(__xludf.DUMMYFUNCTION("""COMPUTED_VALUE"""),13.0)</f>
        <v>13</v>
      </c>
      <c r="F1212" s="6">
        <f>IFERROR(__xludf.DUMMYFUNCTION("""COMPUTED_VALUE"""),2.0)</f>
        <v>2</v>
      </c>
      <c r="G1212" s="6">
        <f>IFERROR(__xludf.DUMMYFUNCTION("""COMPUTED_VALUE"""),0.0)</f>
        <v>0</v>
      </c>
      <c r="H1212" s="6" t="str">
        <f>IFERROR(__xludf.DUMMYFUNCTION("""COMPUTED_VALUE"""),"pcs")</f>
        <v>pcs</v>
      </c>
      <c r="I1212" s="6" t="str">
        <f>IFERROR(__xludf.DUMMYFUNCTION("""COMPUTED_VALUE"""),"MFH")</f>
        <v>MFH</v>
      </c>
      <c r="J1212" s="6" t="str">
        <f>IFERROR(__xludf.DUMMYFUNCTION("""COMPUTED_VALUE"""),"-")</f>
        <v>-</v>
      </c>
      <c r="K1212" s="6" t="str">
        <f>IFERROR(__xludf.DUMMYFUNCTION("""COMPUTED_VALUE"""),"SPR/10/24/015")</f>
        <v>SPR/10/24/015</v>
      </c>
      <c r="L1212" s="13">
        <f>IFERROR(__xludf.DUMMYFUNCTION("""COMPUTED_VALUE"""),45596.0)</f>
        <v>45596</v>
      </c>
    </row>
    <row r="1213">
      <c r="A1213" s="6" t="str">
        <f>IFERROR(__xludf.DUMMYFUNCTION("""COMPUTED_VALUE"""),"SFH")</f>
        <v>SFH</v>
      </c>
      <c r="B1213" s="6" t="str">
        <f>IFERROR(__xludf.DUMMYFUNCTION("""COMPUTED_VALUE"""),"ENG")</f>
        <v>ENG</v>
      </c>
      <c r="C1213" s="6" t="str">
        <f>IFERROR(__xludf.DUMMYFUNCTION("""COMPUTED_VALUE"""),"P-51559-00")</f>
        <v>P-51559-00</v>
      </c>
      <c r="D1213" s="6" t="str">
        <f>IFERROR(__xludf.DUMMYFUNCTION("""COMPUTED_VALUE"""),"Lampu T5 14watt Putih; Phillips; ;")</f>
        <v>Lampu T5 14watt Putih; Phillips; ;</v>
      </c>
      <c r="E1213" s="6">
        <f>IFERROR(__xludf.DUMMYFUNCTION("""COMPUTED_VALUE"""),3.0)</f>
        <v>3</v>
      </c>
      <c r="F1213" s="6">
        <f>IFERROR(__xludf.DUMMYFUNCTION("""COMPUTED_VALUE"""),3.0)</f>
        <v>3</v>
      </c>
      <c r="G1213" s="6">
        <f>IFERROR(__xludf.DUMMYFUNCTION("""COMPUTED_VALUE"""),0.0)</f>
        <v>0</v>
      </c>
      <c r="H1213" s="6" t="str">
        <f>IFERROR(__xludf.DUMMYFUNCTION("""COMPUTED_VALUE"""),"pcs")</f>
        <v>pcs</v>
      </c>
      <c r="I1213" s="6" t="str">
        <f>IFERROR(__xludf.DUMMYFUNCTION("""COMPUTED_VALUE"""),"MFH")</f>
        <v>MFH</v>
      </c>
      <c r="J1213" s="6" t="str">
        <f>IFERROR(__xludf.DUMMYFUNCTION("""COMPUTED_VALUE"""),"Building")</f>
        <v>Building</v>
      </c>
      <c r="K1213" s="6" t="str">
        <f>IFERROR(__xludf.DUMMYFUNCTION("""COMPUTED_VALUE"""),"SPR/10/24/016")</f>
        <v>SPR/10/24/016</v>
      </c>
      <c r="L1213" s="13">
        <f>IFERROR(__xludf.DUMMYFUNCTION("""COMPUTED_VALUE"""),45596.0)</f>
        <v>45596</v>
      </c>
    </row>
    <row r="1214">
      <c r="A1214" s="6" t="str">
        <f>IFERROR(__xludf.DUMMYFUNCTION("""COMPUTED_VALUE"""),"SHF")</f>
        <v>SHF</v>
      </c>
      <c r="B1214" s="6" t="str">
        <f>IFERROR(__xludf.DUMMYFUNCTION("""COMPUTED_VALUE"""),"ENG")</f>
        <v>ENG</v>
      </c>
      <c r="C1214" s="6" t="str">
        <f>IFERROR(__xludf.DUMMYFUNCTION("""COMPUTED_VALUE"""),"P-14877-00")</f>
        <v>P-14877-00</v>
      </c>
      <c r="D1214" s="6" t="str">
        <f>IFERROR(__xludf.DUMMYFUNCTION("""COMPUTED_VALUE"""),"Kabel NYYHY 3x2,5mm; ; ;")</f>
        <v>Kabel NYYHY 3x2,5mm; ; ;</v>
      </c>
      <c r="E1214" s="6">
        <f>IFERROR(__xludf.DUMMYFUNCTION("""COMPUTED_VALUE"""),200.0)</f>
        <v>200</v>
      </c>
      <c r="F1214" s="6">
        <f>IFERROR(__xludf.DUMMYFUNCTION("""COMPUTED_VALUE"""),200.0)</f>
        <v>200</v>
      </c>
      <c r="G1214" s="6">
        <f>IFERROR(__xludf.DUMMYFUNCTION("""COMPUTED_VALUE"""),0.0)</f>
        <v>0</v>
      </c>
      <c r="H1214" s="6" t="str">
        <f>IFERROR(__xludf.DUMMYFUNCTION("""COMPUTED_VALUE"""),"Meter")</f>
        <v>Meter</v>
      </c>
      <c r="I1214" s="6" t="str">
        <f>IFERROR(__xludf.DUMMYFUNCTION("""COMPUTED_VALUE"""),"MFH")</f>
        <v>MFH</v>
      </c>
      <c r="J1214" s="6" t="str">
        <f>IFERROR(__xludf.DUMMYFUNCTION("""COMPUTED_VALUE"""),"Building")</f>
        <v>Building</v>
      </c>
      <c r="K1214" s="6" t="str">
        <f>IFERROR(__xludf.DUMMYFUNCTION("""COMPUTED_VALUE"""),"SPR/10/24/017")</f>
        <v>SPR/10/24/017</v>
      </c>
      <c r="L1214" s="13">
        <f>IFERROR(__xludf.DUMMYFUNCTION("""COMPUTED_VALUE"""),45596.0)</f>
        <v>45596</v>
      </c>
    </row>
    <row r="1215">
      <c r="A1215" s="6" t="str">
        <f>IFERROR(__xludf.DUMMYFUNCTION("""COMPUTED_VALUE"""),"ROS")</f>
        <v>ROS</v>
      </c>
      <c r="B1215" s="6" t="str">
        <f>IFERROR(__xludf.DUMMYFUNCTION("""COMPUTED_VALUE"""),"ENG")</f>
        <v>ENG</v>
      </c>
      <c r="C1215" s="6" t="str">
        <f>IFERROR(__xludf.DUMMYFUNCTION("""COMPUTED_VALUE"""),"Q-60502-00")</f>
        <v>Q-60502-00</v>
      </c>
      <c r="D1215" s="6" t="str">
        <f>IFERROR(__xludf.DUMMYFUNCTION("""COMPUTED_VALUE"""),"Silicone Sealant, Silglaze, Type N10 White, pack size per pcs")</f>
        <v>Silicone Sealant, Silglaze, Type N10 White, pack size per pcs</v>
      </c>
      <c r="E1215" s="6">
        <f>IFERROR(__xludf.DUMMYFUNCTION("""COMPUTED_VALUE"""),14.0)</f>
        <v>14</v>
      </c>
      <c r="F1215" s="6">
        <f>IFERROR(__xludf.DUMMYFUNCTION("""COMPUTED_VALUE"""),1.0)</f>
        <v>1</v>
      </c>
      <c r="G1215" s="6">
        <f>IFERROR(__xludf.DUMMYFUNCTION("""COMPUTED_VALUE"""),0.0)</f>
        <v>0</v>
      </c>
      <c r="H1215" s="6" t="str">
        <f>IFERROR(__xludf.DUMMYFUNCTION("""COMPUTED_VALUE"""),"pcs")</f>
        <v>pcs</v>
      </c>
      <c r="I1215" s="6" t="str">
        <f>IFERROR(__xludf.DUMMYFUNCTION("""COMPUTED_VALUE"""),"MFH")</f>
        <v>MFH</v>
      </c>
      <c r="J1215" s="6" t="str">
        <f>IFERROR(__xludf.DUMMYFUNCTION("""COMPUTED_VALUE"""),"Coating")</f>
        <v>Coating</v>
      </c>
      <c r="K1215" s="6" t="str">
        <f>IFERROR(__xludf.DUMMYFUNCTION("""COMPUTED_VALUE"""),"SPR/10/24/018")</f>
        <v>SPR/10/24/018</v>
      </c>
      <c r="L1215" s="13">
        <f>IFERROR(__xludf.DUMMYFUNCTION("""COMPUTED_VALUE"""),45596.0)</f>
        <v>45596</v>
      </c>
    </row>
    <row r="1216">
      <c r="A1216" s="6" t="str">
        <f>IFERROR(__xludf.DUMMYFUNCTION("""COMPUTED_VALUE"""),"ROS")</f>
        <v>ROS</v>
      </c>
      <c r="B1216" s="6" t="str">
        <f>IFERROR(__xludf.DUMMYFUNCTION("""COMPUTED_VALUE"""),"ENG")</f>
        <v>ENG</v>
      </c>
      <c r="C1216" s="6" t="str">
        <f>IFERROR(__xludf.DUMMYFUNCTION("""COMPUTED_VALUE"""),"O-15931-00")</f>
        <v>O-15931-00</v>
      </c>
      <c r="D1216" s="6" t="str">
        <f>IFERROR(__xludf.DUMMYFUNCTION("""COMPUTED_VALUE"""),"Double Tape 3M 1"" Merah - P/N : - pc")</f>
        <v>Double Tape 3M 1" Merah - P/N : - pc</v>
      </c>
      <c r="E1216" s="6">
        <f>IFERROR(__xludf.DUMMYFUNCTION("""COMPUTED_VALUE"""),4.0)</f>
        <v>4</v>
      </c>
      <c r="F1216" s="6">
        <f>IFERROR(__xludf.DUMMYFUNCTION("""COMPUTED_VALUE"""),1.0)</f>
        <v>1</v>
      </c>
      <c r="G1216" s="6">
        <f>IFERROR(__xludf.DUMMYFUNCTION("""COMPUTED_VALUE"""),0.0)</f>
        <v>0</v>
      </c>
      <c r="H1216" s="6" t="str">
        <f>IFERROR(__xludf.DUMMYFUNCTION("""COMPUTED_VALUE"""),"pcs")</f>
        <v>pcs</v>
      </c>
      <c r="I1216" s="6" t="str">
        <f>IFERROR(__xludf.DUMMYFUNCTION("""COMPUTED_VALUE"""),"MFH")</f>
        <v>MFH</v>
      </c>
      <c r="J1216" s="6" t="str">
        <f>IFERROR(__xludf.DUMMYFUNCTION("""COMPUTED_VALUE"""),"Coating")</f>
        <v>Coating</v>
      </c>
      <c r="K1216" s="6" t="str">
        <f>IFERROR(__xludf.DUMMYFUNCTION("""COMPUTED_VALUE"""),"SPR/10/24/018")</f>
        <v>SPR/10/24/018</v>
      </c>
      <c r="L1216" s="13">
        <f>IFERROR(__xludf.DUMMYFUNCTION("""COMPUTED_VALUE"""),45596.0)</f>
        <v>45596</v>
      </c>
    </row>
    <row r="1217">
      <c r="A1217" s="6" t="str">
        <f>IFERROR(__xludf.DUMMYFUNCTION("""COMPUTED_VALUE"""),"MRN")</f>
        <v>MRN</v>
      </c>
      <c r="B1217" s="6" t="str">
        <f>IFERROR(__xludf.DUMMYFUNCTION("""COMPUTED_VALUE"""),"ENG")</f>
        <v>ENG</v>
      </c>
      <c r="C1217" s="6" t="str">
        <f>IFERROR(__xludf.DUMMYFUNCTION("""COMPUTED_VALUE"""),"P-19272-00")</f>
        <v>P-19272-00</v>
      </c>
      <c r="D1217" s="6" t="str">
        <f>IFERROR(__xludf.DUMMYFUNCTION("""COMPUTED_VALUE"""),"Free Float Steam Trap 3/4 Inch (DN 20); TLV; J3X10;")</f>
        <v>Free Float Steam Trap 3/4 Inch (DN 20); TLV; J3X10;</v>
      </c>
      <c r="E1217" s="6">
        <f>IFERROR(__xludf.DUMMYFUNCTION("""COMPUTED_VALUE"""),1.0)</f>
        <v>1</v>
      </c>
      <c r="F1217" s="6">
        <f>IFERROR(__xludf.DUMMYFUNCTION("""COMPUTED_VALUE"""),1.0)</f>
        <v>1</v>
      </c>
      <c r="G1217" s="6">
        <f>IFERROR(__xludf.DUMMYFUNCTION("""COMPUTED_VALUE"""),0.0)</f>
        <v>0</v>
      </c>
      <c r="H1217" s="6" t="str">
        <f>IFERROR(__xludf.DUMMYFUNCTION("""COMPUTED_VALUE"""),"pcs")</f>
        <v>pcs</v>
      </c>
      <c r="I1217" s="6" t="str">
        <f>IFERROR(__xludf.DUMMYFUNCTION("""COMPUTED_VALUE"""),"MFH")</f>
        <v>MFH</v>
      </c>
      <c r="J1217" s="6" t="str">
        <f>IFERROR(__xludf.DUMMYFUNCTION("""COMPUTED_VALUE"""),"WFI SKID")</f>
        <v>WFI SKID</v>
      </c>
      <c r="K1217" s="6" t="str">
        <f>IFERROR(__xludf.DUMMYFUNCTION("""COMPUTED_VALUE"""),"SPR/10/24/019")</f>
        <v>SPR/10/24/019</v>
      </c>
      <c r="L1217" s="13">
        <f>IFERROR(__xludf.DUMMYFUNCTION("""COMPUTED_VALUE"""),45596.0)</f>
        <v>45596</v>
      </c>
    </row>
    <row r="1218">
      <c r="A1218" s="6" t="str">
        <f>IFERROR(__xludf.DUMMYFUNCTION("""COMPUTED_VALUE"""),"MRN")</f>
        <v>MRN</v>
      </c>
      <c r="B1218" s="6" t="str">
        <f>IFERROR(__xludf.DUMMYFUNCTION("""COMPUTED_VALUE"""),"ENG")</f>
        <v>ENG</v>
      </c>
      <c r="C1218" s="6" t="str">
        <f>IFERROR(__xludf.DUMMYFUNCTION("""COMPUTED_VALUE"""),"P-19271-00")</f>
        <v>P-19271-00</v>
      </c>
      <c r="D1218" s="6" t="str">
        <f>IFERROR(__xludf.DUMMYFUNCTION("""COMPUTED_VALUE"""),"Free Float Steam Trap 1/2 inch (DN15); TLV; J3X10;")</f>
        <v>Free Float Steam Trap 1/2 inch (DN15); TLV; J3X10;</v>
      </c>
      <c r="E1218" s="6">
        <f>IFERROR(__xludf.DUMMYFUNCTION("""COMPUTED_VALUE"""),1.0)</f>
        <v>1</v>
      </c>
      <c r="F1218" s="6">
        <f>IFERROR(__xludf.DUMMYFUNCTION("""COMPUTED_VALUE"""),1.0)</f>
        <v>1</v>
      </c>
      <c r="G1218" s="6">
        <f>IFERROR(__xludf.DUMMYFUNCTION("""COMPUTED_VALUE"""),0.0)</f>
        <v>0</v>
      </c>
      <c r="H1218" s="6" t="str">
        <f>IFERROR(__xludf.DUMMYFUNCTION("""COMPUTED_VALUE"""),"pcs")</f>
        <v>pcs</v>
      </c>
      <c r="I1218" s="6" t="str">
        <f>IFERROR(__xludf.DUMMYFUNCTION("""COMPUTED_VALUE"""),"MFH")</f>
        <v>MFH</v>
      </c>
      <c r="J1218" s="6" t="str">
        <f>IFERROR(__xludf.DUMMYFUNCTION("""COMPUTED_VALUE"""),"PSG")</f>
        <v>PSG</v>
      </c>
      <c r="K1218" s="6" t="str">
        <f>IFERROR(__xludf.DUMMYFUNCTION("""COMPUTED_VALUE"""),"SPR/10/24/019")</f>
        <v>SPR/10/24/019</v>
      </c>
      <c r="L1218" s="13">
        <f>IFERROR(__xludf.DUMMYFUNCTION("""COMPUTED_VALUE"""),45596.0)</f>
        <v>45596</v>
      </c>
    </row>
    <row r="1219">
      <c r="A1219" s="6" t="str">
        <f>IFERROR(__xludf.DUMMYFUNCTION("""COMPUTED_VALUE"""),"MRN")</f>
        <v>MRN</v>
      </c>
      <c r="B1219" s="6" t="str">
        <f>IFERROR(__xludf.DUMMYFUNCTION("""COMPUTED_VALUE"""),"ENG")</f>
        <v>ENG</v>
      </c>
      <c r="C1219" s="6" t="str">
        <f>IFERROR(__xludf.DUMMYFUNCTION("""COMPUTED_VALUE"""),"P-52844-00")</f>
        <v>P-52844-00</v>
      </c>
      <c r="D1219" s="6" t="str">
        <f>IFERROR(__xludf.DUMMYFUNCTION("""COMPUTED_VALUE"""),"Doshing Pump BT4B Merk Prominent; ; ;")</f>
        <v>Doshing Pump BT4B Merk Prominent; ; ;</v>
      </c>
      <c r="E1219" s="6">
        <f>IFERROR(__xludf.DUMMYFUNCTION("""COMPUTED_VALUE"""),1.0)</f>
        <v>1</v>
      </c>
      <c r="F1219" s="6">
        <f>IFERROR(__xludf.DUMMYFUNCTION("""COMPUTED_VALUE"""),1.0)</f>
        <v>1</v>
      </c>
      <c r="G1219" s="6">
        <f>IFERROR(__xludf.DUMMYFUNCTION("""COMPUTED_VALUE"""),0.0)</f>
        <v>0</v>
      </c>
      <c r="H1219" s="6" t="str">
        <f>IFERROR(__xludf.DUMMYFUNCTION("""COMPUTED_VALUE"""),"pcs")</f>
        <v>pcs</v>
      </c>
      <c r="I1219" s="6" t="str">
        <f>IFERROR(__xludf.DUMMYFUNCTION("""COMPUTED_VALUE"""),"MFH")</f>
        <v>MFH</v>
      </c>
      <c r="J1219" s="6" t="str">
        <f>IFERROR(__xludf.DUMMYFUNCTION("""COMPUTED_VALUE"""),"PWG")</f>
        <v>PWG</v>
      </c>
      <c r="K1219" s="6" t="str">
        <f>IFERROR(__xludf.DUMMYFUNCTION("""COMPUTED_VALUE"""),"SPR/10/24/019")</f>
        <v>SPR/10/24/019</v>
      </c>
      <c r="L1219" s="13">
        <f>IFERROR(__xludf.DUMMYFUNCTION("""COMPUTED_VALUE"""),45596.0)</f>
        <v>45596</v>
      </c>
    </row>
    <row r="1220">
      <c r="A1220" s="6" t="str">
        <f>IFERROR(__xludf.DUMMYFUNCTION("""COMPUTED_VALUE"""),"MRN")</f>
        <v>MRN</v>
      </c>
      <c r="B1220" s="6" t="str">
        <f>IFERROR(__xludf.DUMMYFUNCTION("""COMPUTED_VALUE"""),"ENG")</f>
        <v>ENG</v>
      </c>
      <c r="C1220" s="6" t="str">
        <f>IFERROR(__xludf.DUMMYFUNCTION("""COMPUTED_VALUE"""),"P-52590-00")</f>
        <v>P-52590-00</v>
      </c>
      <c r="D1220" s="6" t="str">
        <f>IFERROR(__xludf.DUMMYFUNCTION("""COMPUTED_VALUE"""),"Heater Duchting DIA.11.2 x 300mm 220 V 5000 W; ; ;")</f>
        <v>Heater Duchting DIA.11.2 x 300mm 220 V 5000 W; ; ;</v>
      </c>
      <c r="E1220" s="6">
        <f>IFERROR(__xludf.DUMMYFUNCTION("""COMPUTED_VALUE"""),1.0)</f>
        <v>1</v>
      </c>
      <c r="F1220" s="6">
        <f>IFERROR(__xludf.DUMMYFUNCTION("""COMPUTED_VALUE"""),1.0)</f>
        <v>1</v>
      </c>
      <c r="G1220" s="6">
        <f>IFERROR(__xludf.DUMMYFUNCTION("""COMPUTED_VALUE"""),0.0)</f>
        <v>0</v>
      </c>
      <c r="H1220" s="6" t="str">
        <f>IFERROR(__xludf.DUMMYFUNCTION("""COMPUTED_VALUE"""),"pcs")</f>
        <v>pcs</v>
      </c>
      <c r="I1220" s="6" t="str">
        <f>IFERROR(__xludf.DUMMYFUNCTION("""COMPUTED_VALUE"""),"MFH")</f>
        <v>MFH</v>
      </c>
      <c r="J1220" s="6" t="str">
        <f>IFERROR(__xludf.DUMMYFUNCTION("""COMPUTED_VALUE"""),"AHU")</f>
        <v>AHU</v>
      </c>
      <c r="K1220" s="6" t="str">
        <f>IFERROR(__xludf.DUMMYFUNCTION("""COMPUTED_VALUE"""),"SPR/10/24/020")</f>
        <v>SPR/10/24/020</v>
      </c>
      <c r="L1220" s="13">
        <f>IFERROR(__xludf.DUMMYFUNCTION("""COMPUTED_VALUE"""),45596.0)</f>
        <v>45596</v>
      </c>
    </row>
    <row r="1221">
      <c r="A1221" s="6" t="str">
        <f>IFERROR(__xludf.DUMMYFUNCTION("""COMPUTED_VALUE"""),"MRN")</f>
        <v>MRN</v>
      </c>
      <c r="B1221" s="6" t="str">
        <f>IFERROR(__xludf.DUMMYFUNCTION("""COMPUTED_VALUE"""),"ENG")</f>
        <v>ENG</v>
      </c>
      <c r="C1221" s="6" t="str">
        <f>IFERROR(__xludf.DUMMYFUNCTION("""COMPUTED_VALUE"""),"P-13641-00")</f>
        <v>P-13641-00</v>
      </c>
      <c r="D1221" s="6" t="str">
        <f>IFERROR(__xludf.DUMMYFUNCTION("""COMPUTED_VALUE"""),"Filter SO 5 micron 30 inch O-ring 222 Bayonet; ; ;")</f>
        <v>Filter SO 5 micron 30 inch O-ring 222 Bayonet; ; ;</v>
      </c>
      <c r="E1221" s="6">
        <f>IFERROR(__xludf.DUMMYFUNCTION("""COMPUTED_VALUE"""),5.0)</f>
        <v>5</v>
      </c>
      <c r="F1221" s="6">
        <f>IFERROR(__xludf.DUMMYFUNCTION("""COMPUTED_VALUE"""),5.0)</f>
        <v>5</v>
      </c>
      <c r="G1221" s="6">
        <f>IFERROR(__xludf.DUMMYFUNCTION("""COMPUTED_VALUE"""),0.0)</f>
        <v>0</v>
      </c>
      <c r="H1221" s="6" t="str">
        <f>IFERROR(__xludf.DUMMYFUNCTION("""COMPUTED_VALUE"""),"pcs")</f>
        <v>pcs</v>
      </c>
      <c r="I1221" s="6" t="str">
        <f>IFERROR(__xludf.DUMMYFUNCTION("""COMPUTED_VALUE"""),"MFH")</f>
        <v>MFH</v>
      </c>
      <c r="J1221" s="6" t="str">
        <f>IFERROR(__xludf.DUMMYFUNCTION("""COMPUTED_VALUE"""),"PWG")</f>
        <v>PWG</v>
      </c>
      <c r="K1221" s="6" t="str">
        <f>IFERROR(__xludf.DUMMYFUNCTION("""COMPUTED_VALUE"""),"SPR/10/24/020")</f>
        <v>SPR/10/24/020</v>
      </c>
      <c r="L1221" s="13">
        <f>IFERROR(__xludf.DUMMYFUNCTION("""COMPUTED_VALUE"""),45596.0)</f>
        <v>45596</v>
      </c>
    </row>
    <row r="1222">
      <c r="A1222" s="6" t="str">
        <f>IFERROR(__xludf.DUMMYFUNCTION("""COMPUTED_VALUE"""),"MRN")</f>
        <v>MRN</v>
      </c>
      <c r="B1222" s="6" t="str">
        <f>IFERROR(__xludf.DUMMYFUNCTION("""COMPUTED_VALUE"""),"ENG")</f>
        <v>ENG</v>
      </c>
      <c r="C1222" s="6" t="str">
        <f>IFERROR(__xludf.DUMMYFUNCTION("""COMPUTED_VALUE"""),"P-52991-00")</f>
        <v>P-52991-00</v>
      </c>
      <c r="D1222" s="6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E1222" s="6">
        <f>IFERROR(__xludf.DUMMYFUNCTION("""COMPUTED_VALUE"""),1.0)</f>
        <v>1</v>
      </c>
      <c r="F1222" s="6">
        <f>IFERROR(__xludf.DUMMYFUNCTION("""COMPUTED_VALUE"""),1.0)</f>
        <v>1</v>
      </c>
      <c r="G1222" s="6">
        <f>IFERROR(__xludf.DUMMYFUNCTION("""COMPUTED_VALUE"""),0.0)</f>
        <v>0</v>
      </c>
      <c r="H1222" s="6" t="str">
        <f>IFERROR(__xludf.DUMMYFUNCTION("""COMPUTED_VALUE"""),"pcs")</f>
        <v>pcs</v>
      </c>
      <c r="I1222" s="6" t="str">
        <f>IFERROR(__xludf.DUMMYFUNCTION("""COMPUTED_VALUE"""),"MFH")</f>
        <v>MFH</v>
      </c>
      <c r="J1222" s="6" t="str">
        <f>IFERROR(__xludf.DUMMYFUNCTION("""COMPUTED_VALUE"""),"Hot Water")</f>
        <v>Hot Water</v>
      </c>
      <c r="K1222" s="6" t="str">
        <f>IFERROR(__xludf.DUMMYFUNCTION("""COMPUTED_VALUE"""),"SPR/10/24/020")</f>
        <v>SPR/10/24/020</v>
      </c>
      <c r="L1222" s="13">
        <f>IFERROR(__xludf.DUMMYFUNCTION("""COMPUTED_VALUE"""),45596.0)</f>
        <v>45596</v>
      </c>
    </row>
    <row r="1223">
      <c r="A1223" s="6" t="str">
        <f>IFERROR(__xludf.DUMMYFUNCTION("""COMPUTED_VALUE"""),"MRN")</f>
        <v>MRN</v>
      </c>
      <c r="B1223" s="6" t="str">
        <f>IFERROR(__xludf.DUMMYFUNCTION("""COMPUTED_VALUE"""),"ENG")</f>
        <v>ENG</v>
      </c>
      <c r="C1223" s="6" t="str">
        <f>IFERROR(__xludf.DUMMYFUNCTION("""COMPUTED_VALUE"""),"P-52999-00")</f>
        <v>P-52999-00</v>
      </c>
      <c r="D1223" s="6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E1223" s="6">
        <f>IFERROR(__xludf.DUMMYFUNCTION("""COMPUTED_VALUE"""),1.0)</f>
        <v>1</v>
      </c>
      <c r="F1223" s="6">
        <f>IFERROR(__xludf.DUMMYFUNCTION("""COMPUTED_VALUE"""),1.0)</f>
        <v>1</v>
      </c>
      <c r="G1223" s="6">
        <f>IFERROR(__xludf.DUMMYFUNCTION("""COMPUTED_VALUE"""),0.0)</f>
        <v>0</v>
      </c>
      <c r="H1223" s="6" t="str">
        <f>IFERROR(__xludf.DUMMYFUNCTION("""COMPUTED_VALUE"""),"pcs")</f>
        <v>pcs</v>
      </c>
      <c r="I1223" s="6" t="str">
        <f>IFERROR(__xludf.DUMMYFUNCTION("""COMPUTED_VALUE"""),"MFH")</f>
        <v>MFH</v>
      </c>
      <c r="J1223" s="6" t="str">
        <f>IFERROR(__xludf.DUMMYFUNCTION("""COMPUTED_VALUE"""),"Hot Water")</f>
        <v>Hot Water</v>
      </c>
      <c r="K1223" s="6" t="str">
        <f>IFERROR(__xludf.DUMMYFUNCTION("""COMPUTED_VALUE"""),"SPR/10/24/021")</f>
        <v>SPR/10/24/021</v>
      </c>
      <c r="L1223" s="13">
        <f>IFERROR(__xludf.DUMMYFUNCTION("""COMPUTED_VALUE"""),45596.0)</f>
        <v>45596</v>
      </c>
    </row>
    <row r="1224">
      <c r="A1224" s="6" t="str">
        <f>IFERROR(__xludf.DUMMYFUNCTION("""COMPUTED_VALUE"""),"MRN")</f>
        <v>MRN</v>
      </c>
      <c r="B1224" s="6" t="str">
        <f>IFERROR(__xludf.DUMMYFUNCTION("""COMPUTED_VALUE"""),"ENG")</f>
        <v>ENG</v>
      </c>
      <c r="C1224" s="6" t="str">
        <f>IFERROR(__xludf.DUMMYFUNCTION("""COMPUTED_VALUE"""),"P-52694-00")</f>
        <v>P-52694-00</v>
      </c>
      <c r="D1224" s="6" t="str">
        <f>IFERROR(__xludf.DUMMYFUNCTION("""COMPUTED_VALUE"""),"ORP Transmitter (Field mounted) Type: 202551/05-8-01-4-0-00-25/000; JUMO; ;")</f>
        <v>ORP Transmitter (Field mounted) Type: 202551/05-8-01-4-0-00-25/000; JUMO; ;</v>
      </c>
      <c r="E1224" s="6">
        <f>IFERROR(__xludf.DUMMYFUNCTION("""COMPUTED_VALUE"""),1.0)</f>
        <v>1</v>
      </c>
      <c r="F1224" s="6">
        <f>IFERROR(__xludf.DUMMYFUNCTION("""COMPUTED_VALUE"""),1.0)</f>
        <v>1</v>
      </c>
      <c r="G1224" s="6">
        <f>IFERROR(__xludf.DUMMYFUNCTION("""COMPUTED_VALUE"""),0.0)</f>
        <v>0</v>
      </c>
      <c r="H1224" s="6" t="str">
        <f>IFERROR(__xludf.DUMMYFUNCTION("""COMPUTED_VALUE"""),"pcs")</f>
        <v>pcs</v>
      </c>
      <c r="I1224" s="6" t="str">
        <f>IFERROR(__xludf.DUMMYFUNCTION("""COMPUTED_VALUE"""),"MFH")</f>
        <v>MFH</v>
      </c>
      <c r="J1224" s="6" t="str">
        <f>IFERROR(__xludf.DUMMYFUNCTION("""COMPUTED_VALUE"""),"WWTP")</f>
        <v>WWTP</v>
      </c>
      <c r="K1224" s="6" t="str">
        <f>IFERROR(__xludf.DUMMYFUNCTION("""COMPUTED_VALUE"""),"SPR/10/24/021")</f>
        <v>SPR/10/24/021</v>
      </c>
      <c r="L1224" s="13">
        <f>IFERROR(__xludf.DUMMYFUNCTION("""COMPUTED_VALUE"""),45596.0)</f>
        <v>45596</v>
      </c>
    </row>
    <row r="1225">
      <c r="A1225" s="6" t="str">
        <f>IFERROR(__xludf.DUMMYFUNCTION("""COMPUTED_VALUE"""),"MRN")</f>
        <v>MRN</v>
      </c>
      <c r="B1225" s="6" t="str">
        <f>IFERROR(__xludf.DUMMYFUNCTION("""COMPUTED_VALUE"""),"ENG")</f>
        <v>ENG</v>
      </c>
      <c r="C1225" s="6" t="str">
        <f>IFERROR(__xludf.DUMMYFUNCTION("""COMPUTED_VALUE"""),"P-18572-00")</f>
        <v>P-18572-00</v>
      </c>
      <c r="D1225" s="6" t="str">
        <f>IFERROR(__xludf.DUMMYFUNCTION("""COMPUTED_VALUE"""),"Flow assembly for electrodes ORP type 462 5020-40; JUMO; ;")</f>
        <v>Flow assembly for electrodes ORP type 462 5020-40; JUMO; ;</v>
      </c>
      <c r="E1225" s="6">
        <f>IFERROR(__xludf.DUMMYFUNCTION("""COMPUTED_VALUE"""),1.0)</f>
        <v>1</v>
      </c>
      <c r="F1225" s="6">
        <f>IFERROR(__xludf.DUMMYFUNCTION("""COMPUTED_VALUE"""),1.0)</f>
        <v>1</v>
      </c>
      <c r="G1225" s="6">
        <f>IFERROR(__xludf.DUMMYFUNCTION("""COMPUTED_VALUE"""),0.0)</f>
        <v>0</v>
      </c>
      <c r="H1225" s="6" t="str">
        <f>IFERROR(__xludf.DUMMYFUNCTION("""COMPUTED_VALUE"""),"pcs")</f>
        <v>pcs</v>
      </c>
      <c r="I1225" s="6" t="str">
        <f>IFERROR(__xludf.DUMMYFUNCTION("""COMPUTED_VALUE"""),"MFH")</f>
        <v>MFH</v>
      </c>
      <c r="J1225" s="6" t="str">
        <f>IFERROR(__xludf.DUMMYFUNCTION("""COMPUTED_VALUE"""),"WWTP")</f>
        <v>WWTP</v>
      </c>
      <c r="K1225" s="6" t="str">
        <f>IFERROR(__xludf.DUMMYFUNCTION("""COMPUTED_VALUE"""),"SPR/10/24/021")</f>
        <v>SPR/10/24/021</v>
      </c>
      <c r="L1225" s="13">
        <f>IFERROR(__xludf.DUMMYFUNCTION("""COMPUTED_VALUE"""),45596.0)</f>
        <v>45596</v>
      </c>
    </row>
    <row r="1226">
      <c r="A1226" s="6" t="str">
        <f>IFERROR(__xludf.DUMMYFUNCTION("""COMPUTED_VALUE"""),"MRN")</f>
        <v>MRN</v>
      </c>
      <c r="B1226" s="6" t="str">
        <f>IFERROR(__xludf.DUMMYFUNCTION("""COMPUTED_VALUE"""),"ENG")</f>
        <v>ENG</v>
      </c>
      <c r="C1226" s="6" t="str">
        <f>IFERROR(__xludf.DUMMYFUNCTION("""COMPUTED_VALUE"""),"P-52696-00")</f>
        <v>P-52696-00</v>
      </c>
      <c r="D1226" s="6" t="str">
        <f>IFERROR(__xludf.DUMMYFUNCTION("""COMPUTED_VALUE"""),"ORP Cable Type: 202990/02; JUMO; ;")</f>
        <v>ORP Cable Type: 202990/02; JUMO; ;</v>
      </c>
      <c r="E1226" s="6">
        <f>IFERROR(__xludf.DUMMYFUNCTION("""COMPUTED_VALUE"""),1.0)</f>
        <v>1</v>
      </c>
      <c r="F1226" s="6">
        <f>IFERROR(__xludf.DUMMYFUNCTION("""COMPUTED_VALUE"""),1.0)</f>
        <v>1</v>
      </c>
      <c r="G1226" s="6">
        <f>IFERROR(__xludf.DUMMYFUNCTION("""COMPUTED_VALUE"""),0.0)</f>
        <v>0</v>
      </c>
      <c r="H1226" s="6" t="str">
        <f>IFERROR(__xludf.DUMMYFUNCTION("""COMPUTED_VALUE"""),"pcs")</f>
        <v>pcs</v>
      </c>
      <c r="I1226" s="6" t="str">
        <f>IFERROR(__xludf.DUMMYFUNCTION("""COMPUTED_VALUE"""),"MFH")</f>
        <v>MFH</v>
      </c>
      <c r="J1226" s="6" t="str">
        <f>IFERROR(__xludf.DUMMYFUNCTION("""COMPUTED_VALUE"""),"WWTP")</f>
        <v>WWTP</v>
      </c>
      <c r="K1226" s="6" t="str">
        <f>IFERROR(__xludf.DUMMYFUNCTION("""COMPUTED_VALUE"""),"SPR/10/24/022")</f>
        <v>SPR/10/24/022</v>
      </c>
      <c r="L1226" s="13">
        <f>IFERROR(__xludf.DUMMYFUNCTION("""COMPUTED_VALUE"""),45596.0)</f>
        <v>45596</v>
      </c>
    </row>
    <row r="1227">
      <c r="A1227" s="6" t="str">
        <f>IFERROR(__xludf.DUMMYFUNCTION("""COMPUTED_VALUE"""),"SHF")</f>
        <v>SHF</v>
      </c>
      <c r="B1227" s="6" t="str">
        <f>IFERROR(__xludf.DUMMYFUNCTION("""COMPUTED_VALUE"""),"ENG")</f>
        <v>ENG</v>
      </c>
      <c r="C1227" s="6" t="str">
        <f>IFERROR(__xludf.DUMMYFUNCTION("""COMPUTED_VALUE"""),"P-14455-00")</f>
        <v>P-14455-00</v>
      </c>
      <c r="D1227" s="6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E1227" s="6">
        <f>IFERROR(__xludf.DUMMYFUNCTION("""COMPUTED_VALUE"""),1.0)</f>
        <v>1</v>
      </c>
      <c r="F1227" s="6">
        <f>IFERROR(__xludf.DUMMYFUNCTION("""COMPUTED_VALUE"""),1.0)</f>
        <v>1</v>
      </c>
      <c r="G1227" s="6">
        <f>IFERROR(__xludf.DUMMYFUNCTION("""COMPUTED_VALUE"""),0.0)</f>
        <v>0</v>
      </c>
      <c r="H1227" s="6" t="str">
        <f>IFERROR(__xludf.DUMMYFUNCTION("""COMPUTED_VALUE"""),"pcs")</f>
        <v>pcs</v>
      </c>
      <c r="I1227" s="6" t="str">
        <f>IFERROR(__xludf.DUMMYFUNCTION("""COMPUTED_VALUE"""),"MFH")</f>
        <v>MFH</v>
      </c>
      <c r="J1227" s="6" t="str">
        <f>IFERROR(__xludf.DUMMYFUNCTION("""COMPUTED_VALUE"""),"AHU")</f>
        <v>AHU</v>
      </c>
      <c r="K1227" s="6" t="str">
        <f>IFERROR(__xludf.DUMMYFUNCTION("""COMPUTED_VALUE"""),"SPR/10/24/023")</f>
        <v>SPR/10/24/023</v>
      </c>
      <c r="L1227" s="13">
        <f>IFERROR(__xludf.DUMMYFUNCTION("""COMPUTED_VALUE"""),45596.0)</f>
        <v>45596</v>
      </c>
    </row>
    <row r="1228">
      <c r="A1228" s="6" t="str">
        <f>IFERROR(__xludf.DUMMYFUNCTION("""COMPUTED_VALUE"""),"SHF")</f>
        <v>SHF</v>
      </c>
      <c r="B1228" s="6" t="str">
        <f>IFERROR(__xludf.DUMMYFUNCTION("""COMPUTED_VALUE"""),"ENG")</f>
        <v>ENG</v>
      </c>
      <c r="C1228" s="6" t="str">
        <f>IFERROR(__xludf.DUMMYFUNCTION("""COMPUTED_VALUE"""),"P-14456-00")</f>
        <v>P-14456-00</v>
      </c>
      <c r="D1228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1228" s="6">
        <f>IFERROR(__xludf.DUMMYFUNCTION("""COMPUTED_VALUE"""),1.0)</f>
        <v>1</v>
      </c>
      <c r="F1228" s="6">
        <f>IFERROR(__xludf.DUMMYFUNCTION("""COMPUTED_VALUE"""),1.0)</f>
        <v>1</v>
      </c>
      <c r="G1228" s="6">
        <f>IFERROR(__xludf.DUMMYFUNCTION("""COMPUTED_VALUE"""),0.0)</f>
        <v>0</v>
      </c>
      <c r="H1228" s="6" t="str">
        <f>IFERROR(__xludf.DUMMYFUNCTION("""COMPUTED_VALUE"""),"pcs")</f>
        <v>pcs</v>
      </c>
      <c r="I1228" s="6" t="str">
        <f>IFERROR(__xludf.DUMMYFUNCTION("""COMPUTED_VALUE"""),"MFH")</f>
        <v>MFH</v>
      </c>
      <c r="J1228" s="6" t="str">
        <f>IFERROR(__xludf.DUMMYFUNCTION("""COMPUTED_VALUE"""),"AHU")</f>
        <v>AHU</v>
      </c>
      <c r="K1228" s="6" t="str">
        <f>IFERROR(__xludf.DUMMYFUNCTION("""COMPUTED_VALUE"""),"SPR/10/24/023")</f>
        <v>SPR/10/24/023</v>
      </c>
      <c r="L1228" s="13">
        <f>IFERROR(__xludf.DUMMYFUNCTION("""COMPUTED_VALUE"""),45596.0)</f>
        <v>45596</v>
      </c>
    </row>
    <row r="1229">
      <c r="A1229" s="6" t="str">
        <f>IFERROR(__xludf.DUMMYFUNCTION("""COMPUTED_VALUE"""),"SFH")</f>
        <v>SFH</v>
      </c>
      <c r="B1229" s="6" t="str">
        <f>IFERROR(__xludf.DUMMYFUNCTION("""COMPUTED_VALUE"""),"ENG")</f>
        <v>ENG</v>
      </c>
      <c r="C1229" s="6" t="str">
        <f>IFERROR(__xludf.DUMMYFUNCTION("""COMPUTED_VALUE"""),"Q-10331-00")</f>
        <v>Q-10331-00</v>
      </c>
      <c r="D1229" s="6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E1229" s="6">
        <f>IFERROR(__xludf.DUMMYFUNCTION("""COMPUTED_VALUE"""),11.0)</f>
        <v>11</v>
      </c>
      <c r="F1229" s="6">
        <f>IFERROR(__xludf.DUMMYFUNCTION("""COMPUTED_VALUE"""),11.0)</f>
        <v>11</v>
      </c>
      <c r="G1229" s="6">
        <f>IFERROR(__xludf.DUMMYFUNCTION("""COMPUTED_VALUE"""),0.0)</f>
        <v>0</v>
      </c>
      <c r="H1229" s="6" t="str">
        <f>IFERROR(__xludf.DUMMYFUNCTION("""COMPUTED_VALUE"""),"pcs")</f>
        <v>pcs</v>
      </c>
      <c r="I1229" s="6" t="str">
        <f>IFERROR(__xludf.DUMMYFUNCTION("""COMPUTED_VALUE"""),"MFH")</f>
        <v>MFH</v>
      </c>
      <c r="J1229" s="6" t="str">
        <f>IFERROR(__xludf.DUMMYFUNCTION("""COMPUTED_VALUE"""),"Building")</f>
        <v>Building</v>
      </c>
      <c r="K1229" s="6" t="str">
        <f>IFERROR(__xludf.DUMMYFUNCTION("""COMPUTED_VALUE"""),"SPR/10/24/024")</f>
        <v>SPR/10/24/024</v>
      </c>
      <c r="L1229" s="13">
        <f>IFERROR(__xludf.DUMMYFUNCTION("""COMPUTED_VALUE"""),45596.0)</f>
        <v>45596</v>
      </c>
    </row>
    <row r="1230">
      <c r="A1230" s="6" t="str">
        <f>IFERROR(__xludf.DUMMYFUNCTION("""COMPUTED_VALUE"""),"ROS")</f>
        <v>ROS</v>
      </c>
      <c r="B1230" s="6" t="str">
        <f>IFERROR(__xludf.DUMMYFUNCTION("""COMPUTED_VALUE"""),"ENG")</f>
        <v>ENG</v>
      </c>
      <c r="C1230" s="6" t="str">
        <f>IFERROR(__xludf.DUMMYFUNCTION("""COMPUTED_VALUE"""),"Q-60503-00")</f>
        <v>Q-60503-00</v>
      </c>
      <c r="D1230" s="6" t="str">
        <f>IFERROR(__xludf.DUMMYFUNCTION("""COMPUTED_VALUE"""),"Silicone Sealant, Silglaze, Type N10 Grey, pack size per pcs")</f>
        <v>Silicone Sealant, Silglaze, Type N10 Grey, pack size per pcs</v>
      </c>
      <c r="E1230" s="6">
        <f>IFERROR(__xludf.DUMMYFUNCTION("""COMPUTED_VALUE"""),2.0)</f>
        <v>2</v>
      </c>
      <c r="F1230" s="6">
        <f>IFERROR(__xludf.DUMMYFUNCTION("""COMPUTED_VALUE"""),2.0)</f>
        <v>2</v>
      </c>
      <c r="G1230" s="6">
        <f>IFERROR(__xludf.DUMMYFUNCTION("""COMPUTED_VALUE"""),0.0)</f>
        <v>0</v>
      </c>
      <c r="H1230" s="6" t="str">
        <f>IFERROR(__xludf.DUMMYFUNCTION("""COMPUTED_VALUE"""),"pcs")</f>
        <v>pcs</v>
      </c>
      <c r="I1230" s="6" t="str">
        <f>IFERROR(__xludf.DUMMYFUNCTION("""COMPUTED_VALUE"""),"MFH")</f>
        <v>MFH</v>
      </c>
      <c r="J1230" s="6" t="str">
        <f>IFERROR(__xludf.DUMMYFUNCTION("""COMPUTED_VALUE"""),"-")</f>
        <v>-</v>
      </c>
      <c r="K1230" s="6" t="str">
        <f>IFERROR(__xludf.DUMMYFUNCTION("""COMPUTED_VALUE"""),"SPR/10/24/025")</f>
        <v>SPR/10/24/025</v>
      </c>
      <c r="L1230" s="13">
        <f>IFERROR(__xludf.DUMMYFUNCTION("""COMPUTED_VALUE"""),45596.0)</f>
        <v>45596</v>
      </c>
    </row>
    <row r="1231">
      <c r="A1231" s="6" t="str">
        <f>IFERROR(__xludf.DUMMYFUNCTION("""COMPUTED_VALUE"""),"ROS")</f>
        <v>ROS</v>
      </c>
      <c r="B1231" s="6" t="str">
        <f>IFERROR(__xludf.DUMMYFUNCTION("""COMPUTED_VALUE"""),"ENG")</f>
        <v>ENG</v>
      </c>
      <c r="C1231" s="6" t="str">
        <f>IFERROR(__xludf.DUMMYFUNCTION("""COMPUTED_VALUE"""),"T-80109-00")</f>
        <v>T-80109-00</v>
      </c>
      <c r="D1231" s="6" t="str">
        <f>IFERROR(__xludf.DUMMYFUNCTION("""COMPUTED_VALUE"""),"Cellotape Kertas 1 inch warna Putih")</f>
        <v>Cellotape Kertas 1 inch warna Putih</v>
      </c>
      <c r="E1231" s="6">
        <f>IFERROR(__xludf.DUMMYFUNCTION("""COMPUTED_VALUE"""),1.0)</f>
        <v>1</v>
      </c>
      <c r="F1231" s="6">
        <f>IFERROR(__xludf.DUMMYFUNCTION("""COMPUTED_VALUE"""),1.0)</f>
        <v>1</v>
      </c>
      <c r="G1231" s="6">
        <f>IFERROR(__xludf.DUMMYFUNCTION("""COMPUTED_VALUE"""),0.0)</f>
        <v>0</v>
      </c>
      <c r="H1231" s="6" t="str">
        <f>IFERROR(__xludf.DUMMYFUNCTION("""COMPUTED_VALUE"""),"pcs")</f>
        <v>pcs</v>
      </c>
      <c r="I1231" s="6" t="str">
        <f>IFERROR(__xludf.DUMMYFUNCTION("""COMPUTED_VALUE"""),"MFH")</f>
        <v>MFH</v>
      </c>
      <c r="J1231" s="6" t="str">
        <f>IFERROR(__xludf.DUMMYFUNCTION("""COMPUTED_VALUE"""),"-")</f>
        <v>-</v>
      </c>
      <c r="K1231" s="6" t="str">
        <f>IFERROR(__xludf.DUMMYFUNCTION("""COMPUTED_VALUE"""),"SPR/10/24/025")</f>
        <v>SPR/10/24/025</v>
      </c>
      <c r="L1231" s="13">
        <f>IFERROR(__xludf.DUMMYFUNCTION("""COMPUTED_VALUE"""),45596.0)</f>
        <v>45596</v>
      </c>
    </row>
    <row r="1232">
      <c r="A1232" s="6" t="str">
        <f>IFERROR(__xludf.DUMMYFUNCTION("""COMPUTED_VALUE"""),"INN")</f>
        <v>INN</v>
      </c>
      <c r="B1232" s="6" t="str">
        <f>IFERROR(__xludf.DUMMYFUNCTION("""COMPUTED_VALUE"""),"ENG")</f>
        <v>ENG</v>
      </c>
      <c r="C1232" s="6" t="str">
        <f>IFERROR(__xludf.DUMMYFUNCTION("""COMPUTED_VALUE"""),"O-16033-00")</f>
        <v>O-16033-00</v>
      </c>
      <c r="D123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232" s="6">
        <f>IFERROR(__xludf.DUMMYFUNCTION("""COMPUTED_VALUE"""),1.0)</f>
        <v>1</v>
      </c>
      <c r="F1232" s="6">
        <f>IFERROR(__xludf.DUMMYFUNCTION("""COMPUTED_VALUE"""),1.0)</f>
        <v>1</v>
      </c>
      <c r="G1232" s="6">
        <f>IFERROR(__xludf.DUMMYFUNCTION("""COMPUTED_VALUE"""),0.0)</f>
        <v>0</v>
      </c>
      <c r="H1232" s="6" t="str">
        <f>IFERROR(__xludf.DUMMYFUNCTION("""COMPUTED_VALUE"""),"pcs")</f>
        <v>pcs</v>
      </c>
      <c r="I1232" s="6" t="str">
        <f>IFERROR(__xludf.DUMMYFUNCTION("""COMPUTED_VALUE"""),"MFH")</f>
        <v>MFH</v>
      </c>
      <c r="J1232" s="6" t="str">
        <f>IFERROR(__xludf.DUMMYFUNCTION("""COMPUTED_VALUE"""),"cRABS")</f>
        <v>cRABS</v>
      </c>
      <c r="K1232" s="6" t="str">
        <f>IFERROR(__xludf.DUMMYFUNCTION("""COMPUTED_VALUE"""),"SPR/10/24/026")</f>
        <v>SPR/10/24/026</v>
      </c>
      <c r="L1232" s="13">
        <f>IFERROR(__xludf.DUMMYFUNCTION("""COMPUTED_VALUE"""),45607.0)</f>
        <v>45607</v>
      </c>
    </row>
    <row r="1233">
      <c r="A1233" s="6" t="str">
        <f>IFERROR(__xludf.DUMMYFUNCTION("""COMPUTED_VALUE"""),"SFH")</f>
        <v>SFH</v>
      </c>
      <c r="B1233" s="6" t="str">
        <f>IFERROR(__xludf.DUMMYFUNCTION("""COMPUTED_VALUE"""),"ENG")</f>
        <v>ENG</v>
      </c>
      <c r="C1233" s="6" t="str">
        <f>IFERROR(__xludf.DUMMYFUNCTION("""COMPUTED_VALUE"""),"S-63035-00")</f>
        <v>S-63035-00</v>
      </c>
      <c r="D1233" s="6" t="str">
        <f>IFERROR(__xludf.DUMMYFUNCTION("""COMPUTED_VALUE"""),"Cover Penutup Saklar; ; ;")</f>
        <v>Cover Penutup Saklar; ; ;</v>
      </c>
      <c r="E1233" s="6">
        <f>IFERROR(__xludf.DUMMYFUNCTION("""COMPUTED_VALUE"""),1.0)</f>
        <v>1</v>
      </c>
      <c r="F1233" s="6">
        <f>IFERROR(__xludf.DUMMYFUNCTION("""COMPUTED_VALUE"""),1.0)</f>
        <v>1</v>
      </c>
      <c r="G1233" s="6">
        <f>IFERROR(__xludf.DUMMYFUNCTION("""COMPUTED_VALUE"""),0.0)</f>
        <v>0</v>
      </c>
      <c r="H1233" s="6" t="str">
        <f>IFERROR(__xludf.DUMMYFUNCTION("""COMPUTED_VALUE"""),"pcs")</f>
        <v>pcs</v>
      </c>
      <c r="I1233" s="6" t="str">
        <f>IFERROR(__xludf.DUMMYFUNCTION("""COMPUTED_VALUE"""),"MFH")</f>
        <v>MFH</v>
      </c>
      <c r="J1233" s="6" t="str">
        <f>IFERROR(__xludf.DUMMYFUNCTION("""COMPUTED_VALUE"""),"Building")</f>
        <v>Building</v>
      </c>
      <c r="K1233" s="6" t="str">
        <f>IFERROR(__xludf.DUMMYFUNCTION("""COMPUTED_VALUE"""),"SPR/10/24/027")</f>
        <v>SPR/10/24/027</v>
      </c>
      <c r="L1233" s="13">
        <f>IFERROR(__xludf.DUMMYFUNCTION("""COMPUTED_VALUE"""),45607.0)</f>
        <v>45607</v>
      </c>
    </row>
    <row r="1234">
      <c r="A1234" s="6" t="str">
        <f>IFERROR(__xludf.DUMMYFUNCTION("""COMPUTED_VALUE"""),"SFH")</f>
        <v>SFH</v>
      </c>
      <c r="B1234" s="6" t="str">
        <f>IFERROR(__xludf.DUMMYFUNCTION("""COMPUTED_VALUE"""),"ENG")</f>
        <v>ENG</v>
      </c>
      <c r="C1234" s="6" t="str">
        <f>IFERROR(__xludf.DUMMYFUNCTION("""COMPUTED_VALUE"""),"Q-60026-00")</f>
        <v>Q-60026-00</v>
      </c>
      <c r="D1234" s="6" t="str">
        <f>IFERROR(__xludf.DUMMYFUNCTION("""COMPUTED_VALUE"""),"Kuas 2"" Eterna")</f>
        <v>Kuas 2" Eterna</v>
      </c>
      <c r="E1234" s="6">
        <f>IFERROR(__xludf.DUMMYFUNCTION("""COMPUTED_VALUE"""),2.0)</f>
        <v>2</v>
      </c>
      <c r="F1234" s="6">
        <f>IFERROR(__xludf.DUMMYFUNCTION("""COMPUTED_VALUE"""),2.0)</f>
        <v>2</v>
      </c>
      <c r="G1234" s="6">
        <f>IFERROR(__xludf.DUMMYFUNCTION("""COMPUTED_VALUE"""),0.0)</f>
        <v>0</v>
      </c>
      <c r="H1234" s="6" t="str">
        <f>IFERROR(__xludf.DUMMYFUNCTION("""COMPUTED_VALUE"""),"pcs")</f>
        <v>pcs</v>
      </c>
      <c r="I1234" s="6" t="str">
        <f>IFERROR(__xludf.DUMMYFUNCTION("""COMPUTED_VALUE"""),"MFH")</f>
        <v>MFH</v>
      </c>
      <c r="J1234" s="6" t="str">
        <f>IFERROR(__xludf.DUMMYFUNCTION("""COMPUTED_VALUE"""),"Building")</f>
        <v>Building</v>
      </c>
      <c r="K1234" s="6" t="str">
        <f>IFERROR(__xludf.DUMMYFUNCTION("""COMPUTED_VALUE"""),"SPR/10/24/027")</f>
        <v>SPR/10/24/027</v>
      </c>
      <c r="L1234" s="13">
        <f>IFERROR(__xludf.DUMMYFUNCTION("""COMPUTED_VALUE"""),45607.0)</f>
        <v>45607</v>
      </c>
    </row>
    <row r="1235">
      <c r="A1235" s="6" t="str">
        <f>IFERROR(__xludf.DUMMYFUNCTION("""COMPUTED_VALUE"""),"RMA")</f>
        <v>RMA</v>
      </c>
      <c r="B1235" s="6" t="str">
        <f>IFERROR(__xludf.DUMMYFUNCTION("""COMPUTED_VALUE"""),"ENG")</f>
        <v>ENG</v>
      </c>
      <c r="C1235" s="6" t="str">
        <f>IFERROR(__xludf.DUMMYFUNCTION("""COMPUTED_VALUE"""),"P-12476-00")</f>
        <v>P-12476-00</v>
      </c>
      <c r="D1235" s="6" t="str">
        <f>IFERROR(__xludf.DUMMYFUNCTION("""COMPUTED_VALUE"""),"Mata Bor besi dia 10 mm ex NACHI")</f>
        <v>Mata Bor besi dia 10 mm ex NACHI</v>
      </c>
      <c r="E1235" s="6">
        <f>IFERROR(__xludf.DUMMYFUNCTION("""COMPUTED_VALUE"""),2.0)</f>
        <v>2</v>
      </c>
      <c r="F1235" s="6">
        <f>IFERROR(__xludf.DUMMYFUNCTION("""COMPUTED_VALUE"""),1.0)</f>
        <v>1</v>
      </c>
      <c r="G1235" s="6">
        <f>IFERROR(__xludf.DUMMYFUNCTION("""COMPUTED_VALUE"""),0.0)</f>
        <v>0</v>
      </c>
      <c r="H1235" s="6" t="str">
        <f>IFERROR(__xludf.DUMMYFUNCTION("""COMPUTED_VALUE"""),"pcs")</f>
        <v>pcs</v>
      </c>
      <c r="I1235" s="6" t="str">
        <f>IFERROR(__xludf.DUMMYFUNCTION("""COMPUTED_VALUE"""),"MFH")</f>
        <v>MFH</v>
      </c>
      <c r="J1235" s="6" t="str">
        <f>IFERROR(__xludf.DUMMYFUNCTION("""COMPUTED_VALUE"""),"Building")</f>
        <v>Building</v>
      </c>
      <c r="K1235" s="6" t="str">
        <f>IFERROR(__xludf.DUMMYFUNCTION("""COMPUTED_VALUE"""),"SPR/10/24/028")</f>
        <v>SPR/10/24/028</v>
      </c>
      <c r="L1235" s="13">
        <f>IFERROR(__xludf.DUMMYFUNCTION("""COMPUTED_VALUE"""),45607.0)</f>
        <v>45607</v>
      </c>
    </row>
    <row r="1236">
      <c r="A1236" s="6" t="str">
        <f>IFERROR(__xludf.DUMMYFUNCTION("""COMPUTED_VALUE"""),"RMA")</f>
        <v>RMA</v>
      </c>
      <c r="B1236" s="6" t="str">
        <f>IFERROR(__xludf.DUMMYFUNCTION("""COMPUTED_VALUE"""),"ENG")</f>
        <v>ENG</v>
      </c>
      <c r="C1236" s="6" t="str">
        <f>IFERROR(__xludf.DUMMYFUNCTION("""COMPUTED_VALUE"""),"P-12495-00")</f>
        <v>P-12495-00</v>
      </c>
      <c r="D1236" s="6" t="str">
        <f>IFERROR(__xludf.DUMMYFUNCTION("""COMPUTED_VALUE"""),"Mata Bor besi dia 7.5 mm ex NACHI")</f>
        <v>Mata Bor besi dia 7.5 mm ex NACHI</v>
      </c>
      <c r="E1236" s="6">
        <f>IFERROR(__xludf.DUMMYFUNCTION("""COMPUTED_VALUE"""),1.0)</f>
        <v>1</v>
      </c>
      <c r="F1236" s="6">
        <f>IFERROR(__xludf.DUMMYFUNCTION("""COMPUTED_VALUE"""),1.0)</f>
        <v>1</v>
      </c>
      <c r="G1236" s="6">
        <f>IFERROR(__xludf.DUMMYFUNCTION("""COMPUTED_VALUE"""),0.0)</f>
        <v>0</v>
      </c>
      <c r="H1236" s="6" t="str">
        <f>IFERROR(__xludf.DUMMYFUNCTION("""COMPUTED_VALUE"""),"pcs")</f>
        <v>pcs</v>
      </c>
      <c r="I1236" s="6" t="str">
        <f>IFERROR(__xludf.DUMMYFUNCTION("""COMPUTED_VALUE"""),"MFH")</f>
        <v>MFH</v>
      </c>
      <c r="J1236" s="6" t="str">
        <f>IFERROR(__xludf.DUMMYFUNCTION("""COMPUTED_VALUE"""),"Building")</f>
        <v>Building</v>
      </c>
      <c r="K1236" s="6" t="str">
        <f>IFERROR(__xludf.DUMMYFUNCTION("""COMPUTED_VALUE"""),"SPR/10/24/028")</f>
        <v>SPR/10/24/028</v>
      </c>
      <c r="L1236" s="13">
        <f>IFERROR(__xludf.DUMMYFUNCTION("""COMPUTED_VALUE"""),45607.0)</f>
        <v>45607</v>
      </c>
    </row>
    <row r="1237">
      <c r="A1237" s="6" t="str">
        <f>IFERROR(__xludf.DUMMYFUNCTION("""COMPUTED_VALUE"""),"SHF")</f>
        <v>SHF</v>
      </c>
      <c r="B1237" s="6" t="str">
        <f>IFERROR(__xludf.DUMMYFUNCTION("""COMPUTED_VALUE"""),"ENG")</f>
        <v>ENG</v>
      </c>
      <c r="C1237" s="6" t="str">
        <f>IFERROR(__xludf.DUMMYFUNCTION("""COMPUTED_VALUE"""),"P-51560-00")</f>
        <v>P-51560-00</v>
      </c>
      <c r="D1237" s="6" t="str">
        <f>IFERROR(__xludf.DUMMYFUNCTION("""COMPUTED_VALUE"""),"Lampu T5 28watt Putih; Phillips; ;")</f>
        <v>Lampu T5 28watt Putih; Phillips; ;</v>
      </c>
      <c r="E1237" s="6">
        <f>IFERROR(__xludf.DUMMYFUNCTION("""COMPUTED_VALUE"""),2.0)</f>
        <v>2</v>
      </c>
      <c r="F1237" s="6">
        <f>IFERROR(__xludf.DUMMYFUNCTION("""COMPUTED_VALUE"""),2.0)</f>
        <v>2</v>
      </c>
      <c r="G1237" s="6">
        <f>IFERROR(__xludf.DUMMYFUNCTION("""COMPUTED_VALUE"""),0.0)</f>
        <v>0</v>
      </c>
      <c r="H1237" s="6" t="str">
        <f>IFERROR(__xludf.DUMMYFUNCTION("""COMPUTED_VALUE"""),"pcs")</f>
        <v>pcs</v>
      </c>
      <c r="I1237" s="6" t="str">
        <f>IFERROR(__xludf.DUMMYFUNCTION("""COMPUTED_VALUE"""),"MFH")</f>
        <v>MFH</v>
      </c>
      <c r="J1237" s="6" t="str">
        <f>IFERROR(__xludf.DUMMYFUNCTION("""COMPUTED_VALUE"""),"Building")</f>
        <v>Building</v>
      </c>
      <c r="K1237" s="6" t="str">
        <f>IFERROR(__xludf.DUMMYFUNCTION("""COMPUTED_VALUE"""),"SPR/10/24/029")</f>
        <v>SPR/10/24/029</v>
      </c>
      <c r="L1237" s="13">
        <f>IFERROR(__xludf.DUMMYFUNCTION("""COMPUTED_VALUE"""),45607.0)</f>
        <v>45607</v>
      </c>
    </row>
    <row r="1238">
      <c r="A1238" s="6" t="str">
        <f>IFERROR(__xludf.DUMMYFUNCTION("""COMPUTED_VALUE"""),"SHF")</f>
        <v>SHF</v>
      </c>
      <c r="B1238" s="6" t="str">
        <f>IFERROR(__xludf.DUMMYFUNCTION("""COMPUTED_VALUE"""),"ENG")</f>
        <v>ENG</v>
      </c>
      <c r="C1238" s="6" t="str">
        <f>IFERROR(__xludf.DUMMYFUNCTION("""COMPUTED_VALUE"""),"P-51559-00")</f>
        <v>P-51559-00</v>
      </c>
      <c r="D1238" s="6" t="str">
        <f>IFERROR(__xludf.DUMMYFUNCTION("""COMPUTED_VALUE"""),"Lampu T5 14watt Putih; Phillips; ;")</f>
        <v>Lampu T5 14watt Putih; Phillips; ;</v>
      </c>
      <c r="E1238" s="6">
        <f>IFERROR(__xludf.DUMMYFUNCTION("""COMPUTED_VALUE"""),11.0)</f>
        <v>11</v>
      </c>
      <c r="F1238" s="6">
        <f>IFERROR(__xludf.DUMMYFUNCTION("""COMPUTED_VALUE"""),1.0)</f>
        <v>1</v>
      </c>
      <c r="G1238" s="6">
        <f>IFERROR(__xludf.DUMMYFUNCTION("""COMPUTED_VALUE"""),0.0)</f>
        <v>0</v>
      </c>
      <c r="H1238" s="6" t="str">
        <f>IFERROR(__xludf.DUMMYFUNCTION("""COMPUTED_VALUE"""),"pcs")</f>
        <v>pcs</v>
      </c>
      <c r="I1238" s="6" t="str">
        <f>IFERROR(__xludf.DUMMYFUNCTION("""COMPUTED_VALUE"""),"MFH")</f>
        <v>MFH</v>
      </c>
      <c r="J1238" s="6" t="str">
        <f>IFERROR(__xludf.DUMMYFUNCTION("""COMPUTED_VALUE"""),"Building")</f>
        <v>Building</v>
      </c>
      <c r="K1238" s="6" t="str">
        <f>IFERROR(__xludf.DUMMYFUNCTION("""COMPUTED_VALUE"""),"SPR/10/24/029")</f>
        <v>SPR/10/24/029</v>
      </c>
      <c r="L1238" s="13">
        <f>IFERROR(__xludf.DUMMYFUNCTION("""COMPUTED_VALUE"""),45607.0)</f>
        <v>45607</v>
      </c>
    </row>
    <row r="1239">
      <c r="A1239" s="6" t="str">
        <f>IFERROR(__xludf.DUMMYFUNCTION("""COMPUTED_VALUE"""),"SHF")</f>
        <v>SHF</v>
      </c>
      <c r="B1239" s="6" t="str">
        <f>IFERROR(__xludf.DUMMYFUNCTION("""COMPUTED_VALUE"""),"ENG")</f>
        <v>ENG</v>
      </c>
      <c r="C1239" s="6" t="str">
        <f>IFERROR(__xludf.DUMMYFUNCTION("""COMPUTED_VALUE"""),"T-80109-00")</f>
        <v>T-80109-00</v>
      </c>
      <c r="D1239" s="6" t="str">
        <f>IFERROR(__xludf.DUMMYFUNCTION("""COMPUTED_VALUE"""),"Cellotape Kertas 1 inch warna Putih")</f>
        <v>Cellotape Kertas 1 inch warna Putih</v>
      </c>
      <c r="E1239" s="6">
        <f>IFERROR(__xludf.DUMMYFUNCTION("""COMPUTED_VALUE"""),4.0)</f>
        <v>4</v>
      </c>
      <c r="F1239" s="6">
        <f>IFERROR(__xludf.DUMMYFUNCTION("""COMPUTED_VALUE"""),4.0)</f>
        <v>4</v>
      </c>
      <c r="G1239" s="6">
        <f>IFERROR(__xludf.DUMMYFUNCTION("""COMPUTED_VALUE"""),0.0)</f>
        <v>0</v>
      </c>
      <c r="H1239" s="6" t="str">
        <f>IFERROR(__xludf.DUMMYFUNCTION("""COMPUTED_VALUE"""),"pcs")</f>
        <v>pcs</v>
      </c>
      <c r="I1239" s="6" t="str">
        <f>IFERROR(__xludf.DUMMYFUNCTION("""COMPUTED_VALUE"""),"MFH")</f>
        <v>MFH</v>
      </c>
      <c r="J1239" s="6" t="str">
        <f>IFERROR(__xludf.DUMMYFUNCTION("""COMPUTED_VALUE"""),"-")</f>
        <v>-</v>
      </c>
      <c r="K1239" s="6" t="str">
        <f>IFERROR(__xludf.DUMMYFUNCTION("""COMPUTED_VALUE"""),"SPR/10/24/030")</f>
        <v>SPR/10/24/030</v>
      </c>
      <c r="L1239" s="13">
        <f>IFERROR(__xludf.DUMMYFUNCTION("""COMPUTED_VALUE"""),45607.0)</f>
        <v>45607</v>
      </c>
    </row>
    <row r="1240">
      <c r="A1240" s="6" t="str">
        <f>IFERROR(__xludf.DUMMYFUNCTION("""COMPUTED_VALUE"""),"SHF")</f>
        <v>SHF</v>
      </c>
      <c r="B1240" s="6" t="str">
        <f>IFERROR(__xludf.DUMMYFUNCTION("""COMPUTED_VALUE"""),"ENG")</f>
        <v>ENG</v>
      </c>
      <c r="C1240" s="6" t="str">
        <f>IFERROR(__xludf.DUMMYFUNCTION("""COMPUTED_VALUE"""),"P-19272-00")</f>
        <v>P-19272-00</v>
      </c>
      <c r="D1240" s="6" t="str">
        <f>IFERROR(__xludf.DUMMYFUNCTION("""COMPUTED_VALUE"""),"Free Float Steam Trap 3/4 Inch (DN 20); TLV; J3X10;")</f>
        <v>Free Float Steam Trap 3/4 Inch (DN 20); TLV; J3X10;</v>
      </c>
      <c r="E1240" s="6">
        <f>IFERROR(__xludf.DUMMYFUNCTION("""COMPUTED_VALUE"""),2.0)</f>
        <v>2</v>
      </c>
      <c r="F1240" s="6">
        <f>IFERROR(__xludf.DUMMYFUNCTION("""COMPUTED_VALUE"""),1.0)</f>
        <v>1</v>
      </c>
      <c r="G1240" s="6">
        <f>IFERROR(__xludf.DUMMYFUNCTION("""COMPUTED_VALUE"""),0.0)</f>
        <v>0</v>
      </c>
      <c r="H1240" s="6" t="str">
        <f>IFERROR(__xludf.DUMMYFUNCTION("""COMPUTED_VALUE"""),"pcs")</f>
        <v>pcs</v>
      </c>
      <c r="I1240" s="6" t="str">
        <f>IFERROR(__xludf.DUMMYFUNCTION("""COMPUTED_VALUE"""),"MFH")</f>
        <v>MFH</v>
      </c>
      <c r="J1240" s="6" t="str">
        <f>IFERROR(__xludf.DUMMYFUNCTION("""COMPUTED_VALUE"""),"AHU")</f>
        <v>AHU</v>
      </c>
      <c r="K1240" s="6" t="str">
        <f>IFERROR(__xludf.DUMMYFUNCTION("""COMPUTED_VALUE"""),"SPR/10/24/031")</f>
        <v>SPR/10/24/031</v>
      </c>
      <c r="L1240" s="13">
        <f>IFERROR(__xludf.DUMMYFUNCTION("""COMPUTED_VALUE"""),45607.0)</f>
        <v>45607</v>
      </c>
    </row>
    <row r="1241">
      <c r="A1241" s="6" t="str">
        <f>IFERROR(__xludf.DUMMYFUNCTION("""COMPUTED_VALUE"""),"SHF")</f>
        <v>SHF</v>
      </c>
      <c r="B1241" s="6" t="str">
        <f>IFERROR(__xludf.DUMMYFUNCTION("""COMPUTED_VALUE"""),"ENG")</f>
        <v>ENG</v>
      </c>
      <c r="C1241" s="6" t="str">
        <f>IFERROR(__xludf.DUMMYFUNCTION("""COMPUTED_VALUE"""),"O-16647-00")</f>
        <v>O-16647-00</v>
      </c>
      <c r="D1241" s="6" t="str">
        <f>IFERROR(__xludf.DUMMYFUNCTION("""COMPUTED_VALUE"""),"Washing RAR4 - Oring Silicone Merah 23x18x2.5 mm; ; ;")</f>
        <v>Washing RAR4 - Oring Silicone Merah 23x18x2.5 mm; ; ;</v>
      </c>
      <c r="E1241" s="6">
        <f>IFERROR(__xludf.DUMMYFUNCTION("""COMPUTED_VALUE"""),1.0)</f>
        <v>1</v>
      </c>
      <c r="F1241" s="6">
        <f>IFERROR(__xludf.DUMMYFUNCTION("""COMPUTED_VALUE"""),1.0)</f>
        <v>1</v>
      </c>
      <c r="G1241" s="6">
        <f>IFERROR(__xludf.DUMMYFUNCTION("""COMPUTED_VALUE"""),0.0)</f>
        <v>0</v>
      </c>
      <c r="H1241" s="6" t="str">
        <f>IFERROR(__xludf.DUMMYFUNCTION("""COMPUTED_VALUE"""),"pcs")</f>
        <v>pcs</v>
      </c>
      <c r="I1241" s="6" t="str">
        <f>IFERROR(__xludf.DUMMYFUNCTION("""COMPUTED_VALUE"""),"MFH")</f>
        <v>MFH</v>
      </c>
      <c r="J1241" s="6" t="str">
        <f>IFERROR(__xludf.DUMMYFUNCTION("""COMPUTED_VALUE"""),"-")</f>
        <v>-</v>
      </c>
      <c r="K1241" s="6" t="str">
        <f>IFERROR(__xludf.DUMMYFUNCTION("""COMPUTED_VALUE"""),"SPR/10/24/031")</f>
        <v>SPR/10/24/031</v>
      </c>
      <c r="L1241" s="13">
        <f>IFERROR(__xludf.DUMMYFUNCTION("""COMPUTED_VALUE"""),45607.0)</f>
        <v>45607</v>
      </c>
    </row>
    <row r="1242">
      <c r="A1242" s="6" t="str">
        <f>IFERROR(__xludf.DUMMYFUNCTION("""COMPUTED_VALUE"""),"DRM")</f>
        <v>DRM</v>
      </c>
      <c r="B1242" s="6" t="str">
        <f>IFERROR(__xludf.DUMMYFUNCTION("""COMPUTED_VALUE"""),"PRO")</f>
        <v>PRO</v>
      </c>
      <c r="C1242" s="6" t="str">
        <f>IFERROR(__xludf.DUMMYFUNCTION("""COMPUTED_VALUE"""),"S-40760-00")</f>
        <v>S-40760-00</v>
      </c>
      <c r="D1242" s="6" t="str">
        <f>IFERROR(__xludf.DUMMYFUNCTION("""COMPUTED_VALUE"""),"Dry Fog - Oring Spray; P/N. 43100-097; ; ;")</f>
        <v>Dry Fog - Oring Spray; P/N. 43100-097; ; ;</v>
      </c>
      <c r="E1242" s="6">
        <f>IFERROR(__xludf.DUMMYFUNCTION("""COMPUTED_VALUE"""),4.0)</f>
        <v>4</v>
      </c>
      <c r="F1242" s="6">
        <f>IFERROR(__xludf.DUMMYFUNCTION("""COMPUTED_VALUE"""),4.0)</f>
        <v>4</v>
      </c>
      <c r="G1242" s="6">
        <f>IFERROR(__xludf.DUMMYFUNCTION("""COMPUTED_VALUE"""),0.0)</f>
        <v>0</v>
      </c>
      <c r="H1242" s="6" t="str">
        <f>IFERROR(__xludf.DUMMYFUNCTION("""COMPUTED_VALUE"""),"pcs")</f>
        <v>pcs</v>
      </c>
      <c r="I1242" s="6" t="str">
        <f>IFERROR(__xludf.DUMMYFUNCTION("""COMPUTED_VALUE"""),"MFH")</f>
        <v>MFH</v>
      </c>
      <c r="J1242" s="6" t="str">
        <f>IFERROR(__xludf.DUMMYFUNCTION("""COMPUTED_VALUE"""),"Fogger")</f>
        <v>Fogger</v>
      </c>
      <c r="K1242" s="6" t="str">
        <f>IFERROR(__xludf.DUMMYFUNCTION("""COMPUTED_VALUE"""),"SPR/10/24/032")</f>
        <v>SPR/10/24/032</v>
      </c>
      <c r="L1242" s="13">
        <f>IFERROR(__xludf.DUMMYFUNCTION("""COMPUTED_VALUE"""),45607.0)</f>
        <v>45607</v>
      </c>
    </row>
    <row r="1243">
      <c r="A1243" s="6" t="str">
        <f>IFERROR(__xludf.DUMMYFUNCTION("""COMPUTED_VALUE"""),"SFH")</f>
        <v>SFH</v>
      </c>
      <c r="B1243" s="6" t="str">
        <f>IFERROR(__xludf.DUMMYFUNCTION("""COMPUTED_VALUE"""),"ENG")</f>
        <v>ENG</v>
      </c>
      <c r="C1243" s="6" t="str">
        <f>IFERROR(__xludf.DUMMYFUNCTION("""COMPUTED_VALUE"""),"Q-10134-00")</f>
        <v>Q-10134-00</v>
      </c>
      <c r="D1243" s="6" t="str">
        <f>IFERROR(__xludf.DUMMYFUNCTION("""COMPUTED_VALUE"""),"TOTO - Jet Shower spray TX 403S")</f>
        <v>TOTO - Jet Shower spray TX 403S</v>
      </c>
      <c r="E1243" s="6">
        <f>IFERROR(__xludf.DUMMYFUNCTION("""COMPUTED_VALUE"""),1.0)</f>
        <v>1</v>
      </c>
      <c r="F1243" s="6">
        <f>IFERROR(__xludf.DUMMYFUNCTION("""COMPUTED_VALUE"""),1.0)</f>
        <v>1</v>
      </c>
      <c r="G1243" s="6">
        <f>IFERROR(__xludf.DUMMYFUNCTION("""COMPUTED_VALUE"""),0.0)</f>
        <v>0</v>
      </c>
      <c r="H1243" s="6" t="str">
        <f>IFERROR(__xludf.DUMMYFUNCTION("""COMPUTED_VALUE"""),"pcs")</f>
        <v>pcs</v>
      </c>
      <c r="I1243" s="6" t="str">
        <f>IFERROR(__xludf.DUMMYFUNCTION("""COMPUTED_VALUE"""),"MFH")</f>
        <v>MFH</v>
      </c>
      <c r="J1243" s="6" t="str">
        <f>IFERROR(__xludf.DUMMYFUNCTION("""COMPUTED_VALUE"""),"-")</f>
        <v>-</v>
      </c>
      <c r="K1243" s="6" t="str">
        <f>IFERROR(__xludf.DUMMYFUNCTION("""COMPUTED_VALUE"""),"SPR/10/24/033")</f>
        <v>SPR/10/24/033</v>
      </c>
      <c r="L1243" s="13">
        <f>IFERROR(__xludf.DUMMYFUNCTION("""COMPUTED_VALUE"""),45607.0)</f>
        <v>45607</v>
      </c>
    </row>
    <row r="1244">
      <c r="A1244" s="6" t="str">
        <f>IFERROR(__xludf.DUMMYFUNCTION("""COMPUTED_VALUE"""),"SHF")</f>
        <v>SHF</v>
      </c>
      <c r="B1244" s="6" t="str">
        <f>IFERROR(__xludf.DUMMYFUNCTION("""COMPUTED_VALUE"""),"ENG")</f>
        <v>ENG</v>
      </c>
      <c r="C1244" s="6" t="str">
        <f>IFERROR(__xludf.DUMMYFUNCTION("""COMPUTED_VALUE"""),"P-14457-00")</f>
        <v>P-14457-00</v>
      </c>
      <c r="D1244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1244" s="6">
        <f>IFERROR(__xludf.DUMMYFUNCTION("""COMPUTED_VALUE"""),1.0)</f>
        <v>1</v>
      </c>
      <c r="F1244" s="6">
        <f>IFERROR(__xludf.DUMMYFUNCTION("""COMPUTED_VALUE"""),1.0)</f>
        <v>1</v>
      </c>
      <c r="G1244" s="6">
        <f>IFERROR(__xludf.DUMMYFUNCTION("""COMPUTED_VALUE"""),0.0)</f>
        <v>0</v>
      </c>
      <c r="H1244" s="6" t="str">
        <f>IFERROR(__xludf.DUMMYFUNCTION("""COMPUTED_VALUE"""),"pcs")</f>
        <v>pcs</v>
      </c>
      <c r="I1244" s="6" t="str">
        <f>IFERROR(__xludf.DUMMYFUNCTION("""COMPUTED_VALUE"""),"MFH")</f>
        <v>MFH</v>
      </c>
      <c r="J1244" s="6" t="str">
        <f>IFERROR(__xludf.DUMMYFUNCTION("""COMPUTED_VALUE"""),"AHU")</f>
        <v>AHU</v>
      </c>
      <c r="K1244" s="6" t="str">
        <f>IFERROR(__xludf.DUMMYFUNCTION("""COMPUTED_VALUE"""),"SPR/10/24/034")</f>
        <v>SPR/10/24/034</v>
      </c>
      <c r="L1244" s="13">
        <f>IFERROR(__xludf.DUMMYFUNCTION("""COMPUTED_VALUE"""),45607.0)</f>
        <v>45607</v>
      </c>
    </row>
    <row r="1245">
      <c r="A1245" s="6" t="str">
        <f>IFERROR(__xludf.DUMMYFUNCTION("""COMPUTED_VALUE"""),"AKF")</f>
        <v>AKF</v>
      </c>
      <c r="B1245" s="6" t="str">
        <f>IFERROR(__xludf.DUMMYFUNCTION("""COMPUTED_VALUE"""),"ENG")</f>
        <v>ENG</v>
      </c>
      <c r="C1245" s="6" t="str">
        <f>IFERROR(__xludf.DUMMYFUNCTION("""COMPUTED_VALUE"""),"S-63035-00")</f>
        <v>S-63035-00</v>
      </c>
      <c r="D1245" s="6" t="str">
        <f>IFERROR(__xludf.DUMMYFUNCTION("""COMPUTED_VALUE"""),"Cover Penutup Saklar; ; ;")</f>
        <v>Cover Penutup Saklar; ; ;</v>
      </c>
      <c r="E1245" s="6">
        <f>IFERROR(__xludf.DUMMYFUNCTION("""COMPUTED_VALUE"""),2.0)</f>
        <v>2</v>
      </c>
      <c r="F1245" s="6">
        <f>IFERROR(__xludf.DUMMYFUNCTION("""COMPUTED_VALUE"""),2.0)</f>
        <v>2</v>
      </c>
      <c r="G1245" s="6">
        <f>IFERROR(__xludf.DUMMYFUNCTION("""COMPUTED_VALUE"""),0.0)</f>
        <v>0</v>
      </c>
      <c r="H1245" s="6" t="str">
        <f>IFERROR(__xludf.DUMMYFUNCTION("""COMPUTED_VALUE"""),"pcs")</f>
        <v>pcs</v>
      </c>
      <c r="I1245" s="6" t="str">
        <f>IFERROR(__xludf.DUMMYFUNCTION("""COMPUTED_VALUE"""),"MFH")</f>
        <v>MFH</v>
      </c>
      <c r="J1245" s="6" t="str">
        <f>IFERROR(__xludf.DUMMYFUNCTION("""COMPUTED_VALUE"""),"Building")</f>
        <v>Building</v>
      </c>
      <c r="K1245" s="6" t="str">
        <f>IFERROR(__xludf.DUMMYFUNCTION("""COMPUTED_VALUE"""),"SPR/10/24/035")</f>
        <v>SPR/10/24/035</v>
      </c>
      <c r="L1245" s="13">
        <f>IFERROR(__xludf.DUMMYFUNCTION("""COMPUTED_VALUE"""),45607.0)</f>
        <v>45607</v>
      </c>
    </row>
    <row r="1246">
      <c r="A1246" s="6" t="str">
        <f>IFERROR(__xludf.DUMMYFUNCTION("""COMPUTED_VALUE"""),"RPA")</f>
        <v>RPA</v>
      </c>
      <c r="B1246" s="6" t="str">
        <f>IFERROR(__xludf.DUMMYFUNCTION("""COMPUTED_VALUE"""),"PRO")</f>
        <v>PRO</v>
      </c>
      <c r="C1246" s="6" t="str">
        <f>IFERROR(__xludf.DUMMYFUNCTION("""COMPUTED_VALUE"""),"O-18055-00")</f>
        <v>O-18055-00</v>
      </c>
      <c r="D1246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246" s="6">
        <f>IFERROR(__xludf.DUMMYFUNCTION("""COMPUTED_VALUE"""),4.0)</f>
        <v>4</v>
      </c>
      <c r="F1246" s="6">
        <f>IFERROR(__xludf.DUMMYFUNCTION("""COMPUTED_VALUE"""),3.0)</f>
        <v>3</v>
      </c>
      <c r="G1246" s="6">
        <f>IFERROR(__xludf.DUMMYFUNCTION("""COMPUTED_VALUE"""),0.0)</f>
        <v>0</v>
      </c>
      <c r="H1246" s="6" t="str">
        <f>IFERROR(__xludf.DUMMYFUNCTION("""COMPUTED_VALUE"""),"pcs")</f>
        <v>pcs</v>
      </c>
      <c r="I1246" s="6" t="str">
        <f>IFERROR(__xludf.DUMMYFUNCTION("""COMPUTED_VALUE"""),"MFH")</f>
        <v>MFH</v>
      </c>
      <c r="J1246" s="6" t="str">
        <f>IFERROR(__xludf.DUMMYFUNCTION("""COMPUTED_VALUE"""),"-")</f>
        <v>-</v>
      </c>
      <c r="K1246" s="6" t="str">
        <f>IFERROR(__xludf.DUMMYFUNCTION("""COMPUTED_VALUE"""),"SPR/10/24/036")</f>
        <v>SPR/10/24/036</v>
      </c>
      <c r="L1246" s="13">
        <f>IFERROR(__xludf.DUMMYFUNCTION("""COMPUTED_VALUE"""),45607.0)</f>
        <v>45607</v>
      </c>
    </row>
    <row r="1247">
      <c r="A1247" s="6" t="str">
        <f>IFERROR(__xludf.DUMMYFUNCTION("""COMPUTED_VALUE"""),"AAA")</f>
        <v>AAA</v>
      </c>
      <c r="B1247" s="6" t="str">
        <f>IFERROR(__xludf.DUMMYFUNCTION("""COMPUTED_VALUE"""),"ENG")</f>
        <v>ENG</v>
      </c>
      <c r="C1247" s="6" t="str">
        <f>IFERROR(__xludf.DUMMYFUNCTION("""COMPUTED_VALUE"""),"O-16033-00")</f>
        <v>O-16033-00</v>
      </c>
      <c r="D124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247" s="6">
        <f>IFERROR(__xludf.DUMMYFUNCTION("""COMPUTED_VALUE"""),3.0)</f>
        <v>3</v>
      </c>
      <c r="F1247" s="6">
        <f>IFERROR(__xludf.DUMMYFUNCTION("""COMPUTED_VALUE"""),3.0)</f>
        <v>3</v>
      </c>
      <c r="G1247" s="6">
        <f>IFERROR(__xludf.DUMMYFUNCTION("""COMPUTED_VALUE"""),0.0)</f>
        <v>0</v>
      </c>
      <c r="H1247" s="6" t="str">
        <f>IFERROR(__xludf.DUMMYFUNCTION("""COMPUTED_VALUE"""),"pcs")</f>
        <v>pcs</v>
      </c>
      <c r="I1247" s="6" t="str">
        <f>IFERROR(__xludf.DUMMYFUNCTION("""COMPUTED_VALUE"""),"MFH")</f>
        <v>MFH</v>
      </c>
      <c r="J1247" s="6" t="str">
        <f>IFERROR(__xludf.DUMMYFUNCTION("""COMPUTED_VALUE"""),"cRABS")</f>
        <v>cRABS</v>
      </c>
      <c r="K1247" s="6" t="str">
        <f>IFERROR(__xludf.DUMMYFUNCTION("""COMPUTED_VALUE"""),"SPR/10/24/037")</f>
        <v>SPR/10/24/037</v>
      </c>
      <c r="L1247" s="13">
        <f>IFERROR(__xludf.DUMMYFUNCTION("""COMPUTED_VALUE"""),45607.0)</f>
        <v>45607</v>
      </c>
    </row>
    <row r="1248">
      <c r="A1248" s="6" t="str">
        <f>IFERROR(__xludf.DUMMYFUNCTION("""COMPUTED_VALUE"""),"DAH")</f>
        <v>DAH</v>
      </c>
      <c r="B1248" s="6" t="str">
        <f>IFERROR(__xludf.DUMMYFUNCTION("""COMPUTED_VALUE"""),"ENG")</f>
        <v>ENG</v>
      </c>
      <c r="C1248" s="6" t="str">
        <f>IFERROR(__xludf.DUMMYFUNCTION("""COMPUTED_VALUE"""),"P-17645-00")</f>
        <v>P-17645-00</v>
      </c>
      <c r="D1248" s="6" t="str">
        <f>IFERROR(__xludf.DUMMYFUNCTION("""COMPUTED_VALUE"""),"Sodium Hiphoclorite; ; ; ltr")</f>
        <v>Sodium Hiphoclorite; ; ; ltr</v>
      </c>
      <c r="E1248" s="6">
        <f>IFERROR(__xludf.DUMMYFUNCTION("""COMPUTED_VALUE"""),100.0)</f>
        <v>100</v>
      </c>
      <c r="F1248" s="6">
        <f>IFERROR(__xludf.DUMMYFUNCTION("""COMPUTED_VALUE"""),25.0)</f>
        <v>25</v>
      </c>
      <c r="G1248" s="6">
        <f>IFERROR(__xludf.DUMMYFUNCTION("""COMPUTED_VALUE"""),0.0)</f>
        <v>0</v>
      </c>
      <c r="H1248" s="6" t="str">
        <f>IFERROR(__xludf.DUMMYFUNCTION("""COMPUTED_VALUE"""),"Liter")</f>
        <v>Liter</v>
      </c>
      <c r="I1248" s="6" t="str">
        <f>IFERROR(__xludf.DUMMYFUNCTION("""COMPUTED_VALUE"""),"MFH")</f>
        <v>MFH</v>
      </c>
      <c r="J1248" s="6" t="str">
        <f>IFERROR(__xludf.DUMMYFUNCTION("""COMPUTED_VALUE"""),"Building")</f>
        <v>Building</v>
      </c>
      <c r="K1248" s="6" t="str">
        <f>IFERROR(__xludf.DUMMYFUNCTION("""COMPUTED_VALUE"""),"SPR/10/24/038")</f>
        <v>SPR/10/24/038</v>
      </c>
      <c r="L1248" s="13">
        <f>IFERROR(__xludf.DUMMYFUNCTION("""COMPUTED_VALUE"""),45607.0)</f>
        <v>45607</v>
      </c>
    </row>
    <row r="1249">
      <c r="A1249" s="6" t="str">
        <f>IFERROR(__xludf.DUMMYFUNCTION("""COMPUTED_VALUE"""),"TGT")</f>
        <v>TGT</v>
      </c>
      <c r="B1249" s="6" t="str">
        <f>IFERROR(__xludf.DUMMYFUNCTION("""COMPUTED_VALUE"""),"ENG")</f>
        <v>ENG</v>
      </c>
      <c r="C1249" s="6" t="str">
        <f>IFERROR(__xludf.DUMMYFUNCTION("""COMPUTED_VALUE"""),"T-20123-00")</f>
        <v>T-20123-00</v>
      </c>
      <c r="D1249" s="6" t="str">
        <f>IFERROR(__xludf.DUMMYFUNCTION("""COMPUTED_VALUE"""),"Acquity PDA/TUV 2489/2998 Perf")</f>
        <v>Acquity PDA/TUV 2489/2998 Perf</v>
      </c>
      <c r="E1249" s="6">
        <f>IFERROR(__xludf.DUMMYFUNCTION("""COMPUTED_VALUE"""),1.0)</f>
        <v>1</v>
      </c>
      <c r="F1249" s="6">
        <f>IFERROR(__xludf.DUMMYFUNCTION("""COMPUTED_VALUE"""),1.0)</f>
        <v>1</v>
      </c>
      <c r="G1249" s="6">
        <f>IFERROR(__xludf.DUMMYFUNCTION("""COMPUTED_VALUE"""),0.0)</f>
        <v>0</v>
      </c>
      <c r="H1249" s="6" t="str">
        <f>IFERROR(__xludf.DUMMYFUNCTION("""COMPUTED_VALUE"""),"pcs")</f>
        <v>pcs</v>
      </c>
      <c r="I1249" s="6" t="str">
        <f>IFERROR(__xludf.DUMMYFUNCTION("""COMPUTED_VALUE"""),"MFH")</f>
        <v>MFH</v>
      </c>
      <c r="J1249" s="6" t="str">
        <f>IFERROR(__xludf.DUMMYFUNCTION("""COMPUTED_VALUE"""),"HPLC")</f>
        <v>HPLC</v>
      </c>
      <c r="K1249" s="6" t="str">
        <f>IFERROR(__xludf.DUMMYFUNCTION("""COMPUTED_VALUE"""),"SPR/10/24/039")</f>
        <v>SPR/10/24/039</v>
      </c>
      <c r="L1249" s="13">
        <f>IFERROR(__xludf.DUMMYFUNCTION("""COMPUTED_VALUE"""),45607.0)</f>
        <v>45607</v>
      </c>
    </row>
    <row r="1250">
      <c r="A1250" s="6" t="str">
        <f>IFERROR(__xludf.DUMMYFUNCTION("""COMPUTED_VALUE"""),"AAA")</f>
        <v>AAA</v>
      </c>
      <c r="B1250" s="6" t="str">
        <f>IFERROR(__xludf.DUMMYFUNCTION("""COMPUTED_VALUE"""),"ENG")</f>
        <v>ENG</v>
      </c>
      <c r="C1250" s="6" t="str">
        <f>IFERROR(__xludf.DUMMYFUNCTION("""COMPUTED_VALUE"""),"T-20975-00")</f>
        <v>T-20975-00</v>
      </c>
      <c r="D1250" s="6" t="str">
        <f>IFERROR(__xludf.DUMMYFUNCTION("""COMPUTED_VALUE"""),"ASSY, FILTER WHEEL,ACQUITY TUV;; Waters; 700005266; 1 pcs/pack")</f>
        <v>ASSY, FILTER WHEEL,ACQUITY TUV;; Waters; 700005266; 1 pcs/pack</v>
      </c>
      <c r="E1250" s="6">
        <f>IFERROR(__xludf.DUMMYFUNCTION("""COMPUTED_VALUE"""),1.0)</f>
        <v>1</v>
      </c>
      <c r="F1250" s="6">
        <f>IFERROR(__xludf.DUMMYFUNCTION("""COMPUTED_VALUE"""),1.0)</f>
        <v>1</v>
      </c>
      <c r="G1250" s="6">
        <f>IFERROR(__xludf.DUMMYFUNCTION("""COMPUTED_VALUE"""),0.0)</f>
        <v>0</v>
      </c>
      <c r="H1250" s="6" t="str">
        <f>IFERROR(__xludf.DUMMYFUNCTION("""COMPUTED_VALUE"""),"pcs")</f>
        <v>pcs</v>
      </c>
      <c r="I1250" s="6" t="str">
        <f>IFERROR(__xludf.DUMMYFUNCTION("""COMPUTED_VALUE"""),"MFH")</f>
        <v>MFH</v>
      </c>
      <c r="J1250" s="6" t="str">
        <f>IFERROR(__xludf.DUMMYFUNCTION("""COMPUTED_VALUE"""),"HPLC")</f>
        <v>HPLC</v>
      </c>
      <c r="K1250" s="6" t="str">
        <f>IFERROR(__xludf.DUMMYFUNCTION("""COMPUTED_VALUE"""),"SPR/10/24/040")</f>
        <v>SPR/10/24/040</v>
      </c>
      <c r="L1250" s="13">
        <f>IFERROR(__xludf.DUMMYFUNCTION("""COMPUTED_VALUE"""),45607.0)</f>
        <v>45607</v>
      </c>
    </row>
    <row r="1251">
      <c r="A1251" s="6" t="str">
        <f>IFERROR(__xludf.DUMMYFUNCTION("""COMPUTED_VALUE"""),"SFH")</f>
        <v>SFH</v>
      </c>
      <c r="B1251" s="6" t="str">
        <f>IFERROR(__xludf.DUMMYFUNCTION("""COMPUTED_VALUE"""),"ENG")</f>
        <v>ENG</v>
      </c>
      <c r="C1251" s="6" t="str">
        <f>IFERROR(__xludf.DUMMYFUNCTION("""COMPUTED_VALUE"""),"Q-60026-00")</f>
        <v>Q-60026-00</v>
      </c>
      <c r="D1251" s="6" t="str">
        <f>IFERROR(__xludf.DUMMYFUNCTION("""COMPUTED_VALUE"""),"Kuas 2"" Eterna")</f>
        <v>Kuas 2" Eterna</v>
      </c>
      <c r="E1251" s="6">
        <f>IFERROR(__xludf.DUMMYFUNCTION("""COMPUTED_VALUE"""),2.0)</f>
        <v>2</v>
      </c>
      <c r="F1251" s="6">
        <f>IFERROR(__xludf.DUMMYFUNCTION("""COMPUTED_VALUE"""),2.0)</f>
        <v>2</v>
      </c>
      <c r="G1251" s="6">
        <f>IFERROR(__xludf.DUMMYFUNCTION("""COMPUTED_VALUE"""),0.0)</f>
        <v>0</v>
      </c>
      <c r="H1251" s="6" t="str">
        <f>IFERROR(__xludf.DUMMYFUNCTION("""COMPUTED_VALUE"""),"pcs")</f>
        <v>pcs</v>
      </c>
      <c r="I1251" s="6" t="str">
        <f>IFERROR(__xludf.DUMMYFUNCTION("""COMPUTED_VALUE"""),"MFH")</f>
        <v>MFH</v>
      </c>
      <c r="J1251" s="6" t="str">
        <f>IFERROR(__xludf.DUMMYFUNCTION("""COMPUTED_VALUE"""),"-")</f>
        <v>-</v>
      </c>
      <c r="K1251" s="6" t="str">
        <f>IFERROR(__xludf.DUMMYFUNCTION("""COMPUTED_VALUE"""),"SPR/11/24/001")</f>
        <v>SPR/11/24/001</v>
      </c>
      <c r="L1251" s="13">
        <f>IFERROR(__xludf.DUMMYFUNCTION("""COMPUTED_VALUE"""),45607.0)</f>
        <v>45607</v>
      </c>
    </row>
    <row r="1252">
      <c r="A1252" s="6" t="str">
        <f>IFERROR(__xludf.DUMMYFUNCTION("""COMPUTED_VALUE"""),"SFH")</f>
        <v>SFH</v>
      </c>
      <c r="B1252" s="6" t="str">
        <f>IFERROR(__xludf.DUMMYFUNCTION("""COMPUTED_VALUE"""),"ENG")</f>
        <v>ENG</v>
      </c>
      <c r="C1252" s="6" t="str">
        <f>IFERROR(__xludf.DUMMYFUNCTION("""COMPUTED_VALUE"""),"Q-10656-00")</f>
        <v>Q-10656-00</v>
      </c>
      <c r="D1252" s="6" t="str">
        <f>IFERROR(__xludf.DUMMYFUNCTION("""COMPUTED_VALUE"""),"Kuas Eterna 5 Inch; ; ;")</f>
        <v>Kuas Eterna 5 Inch; ; ;</v>
      </c>
      <c r="E1252" s="6">
        <f>IFERROR(__xludf.DUMMYFUNCTION("""COMPUTED_VALUE"""),11.0)</f>
        <v>11</v>
      </c>
      <c r="F1252" s="6">
        <f>IFERROR(__xludf.DUMMYFUNCTION("""COMPUTED_VALUE"""),2.0)</f>
        <v>2</v>
      </c>
      <c r="G1252" s="6">
        <f>IFERROR(__xludf.DUMMYFUNCTION("""COMPUTED_VALUE"""),0.0)</f>
        <v>0</v>
      </c>
      <c r="H1252" s="6" t="str">
        <f>IFERROR(__xludf.DUMMYFUNCTION("""COMPUTED_VALUE"""),"pcs")</f>
        <v>pcs</v>
      </c>
      <c r="I1252" s="6" t="str">
        <f>IFERROR(__xludf.DUMMYFUNCTION("""COMPUTED_VALUE"""),"MFH")</f>
        <v>MFH</v>
      </c>
      <c r="J1252" s="6" t="str">
        <f>IFERROR(__xludf.DUMMYFUNCTION("""COMPUTED_VALUE"""),"-")</f>
        <v>-</v>
      </c>
      <c r="K1252" s="6" t="str">
        <f>IFERROR(__xludf.DUMMYFUNCTION("""COMPUTED_VALUE"""),"SPR/11/24/001")</f>
        <v>SPR/11/24/001</v>
      </c>
      <c r="L1252" s="13">
        <f>IFERROR(__xludf.DUMMYFUNCTION("""COMPUTED_VALUE"""),45607.0)</f>
        <v>45607</v>
      </c>
    </row>
    <row r="1253">
      <c r="A1253" s="6" t="str">
        <f>IFERROR(__xludf.DUMMYFUNCTION("""COMPUTED_VALUE"""),"SFH")</f>
        <v>SFH</v>
      </c>
      <c r="B1253" s="6" t="str">
        <f>IFERROR(__xludf.DUMMYFUNCTION("""COMPUTED_VALUE"""),"ENG")</f>
        <v>ENG</v>
      </c>
      <c r="C1253" s="6" t="str">
        <f>IFERROR(__xludf.DUMMYFUNCTION("""COMPUTED_VALUE"""),"Q-10153-00")</f>
        <v>Q-10153-00</v>
      </c>
      <c r="D1253" s="6" t="str">
        <f>IFERROR(__xludf.DUMMYFUNCTION("""COMPUTED_VALUE"""),"Roller cat 110mm")</f>
        <v>Roller cat 110mm</v>
      </c>
      <c r="E1253" s="6">
        <f>IFERROR(__xludf.DUMMYFUNCTION("""COMPUTED_VALUE"""),15.0)</f>
        <v>15</v>
      </c>
      <c r="F1253" s="6">
        <f>IFERROR(__xludf.DUMMYFUNCTION("""COMPUTED_VALUE"""),2.0)</f>
        <v>2</v>
      </c>
      <c r="G1253" s="6">
        <f>IFERROR(__xludf.DUMMYFUNCTION("""COMPUTED_VALUE"""),0.0)</f>
        <v>0</v>
      </c>
      <c r="H1253" s="6" t="str">
        <f>IFERROR(__xludf.DUMMYFUNCTION("""COMPUTED_VALUE"""),"pcs")</f>
        <v>pcs</v>
      </c>
      <c r="I1253" s="6" t="str">
        <f>IFERROR(__xludf.DUMMYFUNCTION("""COMPUTED_VALUE"""),"MFH")</f>
        <v>MFH</v>
      </c>
      <c r="J1253" s="6" t="str">
        <f>IFERROR(__xludf.DUMMYFUNCTION("""COMPUTED_VALUE"""),"-")</f>
        <v>-</v>
      </c>
      <c r="K1253" s="6" t="str">
        <f>IFERROR(__xludf.DUMMYFUNCTION("""COMPUTED_VALUE"""),"SPR/11/24/001")</f>
        <v>SPR/11/24/001</v>
      </c>
      <c r="L1253" s="13">
        <f>IFERROR(__xludf.DUMMYFUNCTION("""COMPUTED_VALUE"""),45607.0)</f>
        <v>45607</v>
      </c>
    </row>
    <row r="1254">
      <c r="A1254" s="6" t="str">
        <f>IFERROR(__xludf.DUMMYFUNCTION("""COMPUTED_VALUE"""),"SFH")</f>
        <v>SFH</v>
      </c>
      <c r="B1254" s="6" t="str">
        <f>IFERROR(__xludf.DUMMYFUNCTION("""COMPUTED_VALUE"""),"ENG")</f>
        <v>ENG</v>
      </c>
      <c r="C1254" s="6" t="str">
        <f>IFERROR(__xludf.DUMMYFUNCTION("""COMPUTED_VALUE"""),"Q-60036-00")</f>
        <v>Q-60036-00</v>
      </c>
      <c r="D1254" s="6" t="str">
        <f>IFERROR(__xludf.DUMMYFUNCTION("""COMPUTED_VALUE"""),"Cat F-Talit KF-611 / Hellay Grey / 115-611 @ 1 KG")</f>
        <v>Cat F-Talit KF-611 / Hellay Grey / 115-611 @ 1 KG</v>
      </c>
      <c r="E1254" s="6">
        <f>IFERROR(__xludf.DUMMYFUNCTION("""COMPUTED_VALUE"""),4.0)</f>
        <v>4</v>
      </c>
      <c r="F1254" s="6">
        <f>IFERROR(__xludf.DUMMYFUNCTION("""COMPUTED_VALUE"""),4.0)</f>
        <v>4</v>
      </c>
      <c r="G1254" s="6">
        <f>IFERROR(__xludf.DUMMYFUNCTION("""COMPUTED_VALUE"""),0.0)</f>
        <v>0</v>
      </c>
      <c r="H1254" s="6" t="str">
        <f>IFERROR(__xludf.DUMMYFUNCTION("""COMPUTED_VALUE"""),"pcs")</f>
        <v>pcs</v>
      </c>
      <c r="I1254" s="6" t="str">
        <f>IFERROR(__xludf.DUMMYFUNCTION("""COMPUTED_VALUE"""),"MFH")</f>
        <v>MFH</v>
      </c>
      <c r="J1254" s="6" t="str">
        <f>IFERROR(__xludf.DUMMYFUNCTION("""COMPUTED_VALUE"""),"-")</f>
        <v>-</v>
      </c>
      <c r="K1254" s="6" t="str">
        <f>IFERROR(__xludf.DUMMYFUNCTION("""COMPUTED_VALUE"""),"SPR/11/24/002")</f>
        <v>SPR/11/24/002</v>
      </c>
      <c r="L1254" s="13">
        <f>IFERROR(__xludf.DUMMYFUNCTION("""COMPUTED_VALUE"""),45607.0)</f>
        <v>45607</v>
      </c>
    </row>
    <row r="1255">
      <c r="A1255" s="6" t="str">
        <f>IFERROR(__xludf.DUMMYFUNCTION("""COMPUTED_VALUE"""),"SFH")</f>
        <v>SFH</v>
      </c>
      <c r="B1255" s="6" t="str">
        <f>IFERROR(__xludf.DUMMYFUNCTION("""COMPUTED_VALUE"""),"ENG")</f>
        <v>ENG</v>
      </c>
      <c r="C1255" s="6" t="str">
        <f>IFERROR(__xludf.DUMMYFUNCTION("""COMPUTED_VALUE"""),"-")</f>
        <v>-</v>
      </c>
      <c r="D1255" s="6" t="str">
        <f>IFERROR(__xludf.DUMMYFUNCTION("""COMPUTED_VALUE"""),"Kabel Lan")</f>
        <v>Kabel Lan</v>
      </c>
      <c r="E1255" s="6">
        <f>IFERROR(__xludf.DUMMYFUNCTION("""COMPUTED_VALUE"""),1.0)</f>
        <v>1</v>
      </c>
      <c r="F1255" s="6">
        <f>IFERROR(__xludf.DUMMYFUNCTION("""COMPUTED_VALUE"""),1.0)</f>
        <v>1</v>
      </c>
      <c r="G1255" s="6">
        <f>IFERROR(__xludf.DUMMYFUNCTION("""COMPUTED_VALUE"""),0.0)</f>
        <v>0</v>
      </c>
      <c r="H1255" s="6" t="str">
        <f>IFERROR(__xludf.DUMMYFUNCTION("""COMPUTED_VALUE"""),"pck")</f>
        <v>pck</v>
      </c>
      <c r="I1255" s="6" t="str">
        <f>IFERROR(__xludf.DUMMYFUNCTION("""COMPUTED_VALUE"""),"MFH")</f>
        <v>MFH</v>
      </c>
      <c r="J1255" s="6" t="str">
        <f>IFERROR(__xludf.DUMMYFUNCTION("""COMPUTED_VALUE"""),"-")</f>
        <v>-</v>
      </c>
      <c r="K1255" s="6" t="str">
        <f>IFERROR(__xludf.DUMMYFUNCTION("""COMPUTED_VALUE"""),"SPR/11/24/003")</f>
        <v>SPR/11/24/003</v>
      </c>
      <c r="L1255" s="13">
        <f>IFERROR(__xludf.DUMMYFUNCTION("""COMPUTED_VALUE"""),45607.0)</f>
        <v>45607</v>
      </c>
    </row>
    <row r="1256">
      <c r="A1256" s="6" t="str">
        <f>IFERROR(__xludf.DUMMYFUNCTION("""COMPUTED_VALUE"""),"INN")</f>
        <v>INN</v>
      </c>
      <c r="B1256" s="6" t="str">
        <f>IFERROR(__xludf.DUMMYFUNCTION("""COMPUTED_VALUE"""),"ENG")</f>
        <v>ENG</v>
      </c>
      <c r="C1256" s="6" t="str">
        <f>IFERROR(__xludf.DUMMYFUNCTION("""COMPUTED_VALUE"""),"O-16030-00")</f>
        <v>O-16030-00</v>
      </c>
      <c r="D1256" s="6" t="str">
        <f>IFERROR(__xludf.DUMMYFUNCTION("""COMPUTED_VALUE"""),"001292; Item Type : Dry box; 9")</f>
        <v>001292; Item Type : Dry box; 9</v>
      </c>
      <c r="E1256" s="6">
        <f>IFERROR(__xludf.DUMMYFUNCTION("""COMPUTED_VALUE"""),1.0)</f>
        <v>1</v>
      </c>
      <c r="F1256" s="6">
        <f>IFERROR(__xludf.DUMMYFUNCTION("""COMPUTED_VALUE"""),1.0)</f>
        <v>1</v>
      </c>
      <c r="G1256" s="6">
        <f>IFERROR(__xludf.DUMMYFUNCTION("""COMPUTED_VALUE"""),0.0)</f>
        <v>0</v>
      </c>
      <c r="H1256" s="6" t="str">
        <f>IFERROR(__xludf.DUMMYFUNCTION("""COMPUTED_VALUE"""),"pck")</f>
        <v>pck</v>
      </c>
      <c r="I1256" s="6" t="str">
        <f>IFERROR(__xludf.DUMMYFUNCTION("""COMPUTED_VALUE"""),"MFH")</f>
        <v>MFH</v>
      </c>
      <c r="J1256" s="6" t="str">
        <f>IFERROR(__xludf.DUMMYFUNCTION("""COMPUTED_VALUE"""),"Dispensing")</f>
        <v>Dispensing</v>
      </c>
      <c r="K1256" s="6" t="str">
        <f>IFERROR(__xludf.DUMMYFUNCTION("""COMPUTED_VALUE"""),"SPR/11/24/004")</f>
        <v>SPR/11/24/004</v>
      </c>
      <c r="L1256" s="13">
        <f>IFERROR(__xludf.DUMMYFUNCTION("""COMPUTED_VALUE"""),45607.0)</f>
        <v>45607</v>
      </c>
    </row>
    <row r="1257">
      <c r="A1257" s="6" t="str">
        <f>IFERROR(__xludf.DUMMYFUNCTION("""COMPUTED_VALUE"""),"INN")</f>
        <v>INN</v>
      </c>
      <c r="B1257" s="6" t="str">
        <f>IFERROR(__xludf.DUMMYFUNCTION("""COMPUTED_VALUE"""),"ENG")</f>
        <v>ENG</v>
      </c>
      <c r="C1257" s="6" t="str">
        <f>IFERROR(__xludf.DUMMYFUNCTION("""COMPUTED_VALUE"""),"P-11164-00")</f>
        <v>P-11164-00</v>
      </c>
      <c r="D1257" s="6" t="str">
        <f>IFERROR(__xludf.DUMMYFUNCTION("""COMPUTED_VALUE"""),"Pneumatic Fitting - QS 1/2-10 / PN : 190646 / Festo")</f>
        <v>Pneumatic Fitting - QS 1/2-10 / PN : 190646 / Festo</v>
      </c>
      <c r="E1257" s="6">
        <f>IFERROR(__xludf.DUMMYFUNCTION("""COMPUTED_VALUE"""),1.0)</f>
        <v>1</v>
      </c>
      <c r="F1257" s="6">
        <f>IFERROR(__xludf.DUMMYFUNCTION("""COMPUTED_VALUE"""),1.0)</f>
        <v>1</v>
      </c>
      <c r="G1257" s="6">
        <f>IFERROR(__xludf.DUMMYFUNCTION("""COMPUTED_VALUE"""),0.0)</f>
        <v>0</v>
      </c>
      <c r="H1257" s="6" t="str">
        <f>IFERROR(__xludf.DUMMYFUNCTION("""COMPUTED_VALUE"""),"pck")</f>
        <v>pck</v>
      </c>
      <c r="I1257" s="6" t="str">
        <f>IFERROR(__xludf.DUMMYFUNCTION("""COMPUTED_VALUE"""),"MFH")</f>
        <v>MFH</v>
      </c>
      <c r="J1257" s="6" t="str">
        <f>IFERROR(__xludf.DUMMYFUNCTION("""COMPUTED_VALUE"""),"Dispensing")</f>
        <v>Dispensing</v>
      </c>
      <c r="K1257" s="6" t="str">
        <f>IFERROR(__xludf.DUMMYFUNCTION("""COMPUTED_VALUE"""),"SPR/11/24/004")</f>
        <v>SPR/11/24/004</v>
      </c>
      <c r="L1257" s="13">
        <f>IFERROR(__xludf.DUMMYFUNCTION("""COMPUTED_VALUE"""),45607.0)</f>
        <v>45607</v>
      </c>
    </row>
    <row r="1258">
      <c r="A1258" s="6" t="str">
        <f>IFERROR(__xludf.DUMMYFUNCTION("""COMPUTED_VALUE"""),"NDS")</f>
        <v>NDS</v>
      </c>
      <c r="B1258" s="6" t="str">
        <f>IFERROR(__xludf.DUMMYFUNCTION("""COMPUTED_VALUE"""),"ENG")</f>
        <v>ENG</v>
      </c>
      <c r="C1258" s="6" t="str">
        <f>IFERROR(__xludf.DUMMYFUNCTION("""COMPUTED_VALUE"""),"S-46129-00")</f>
        <v>S-46129-00</v>
      </c>
      <c r="D1258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258" s="6">
        <f>IFERROR(__xludf.DUMMYFUNCTION("""COMPUTED_VALUE"""),2.0)</f>
        <v>2</v>
      </c>
      <c r="F1258" s="6">
        <f>IFERROR(__xludf.DUMMYFUNCTION("""COMPUTED_VALUE"""),2.0)</f>
        <v>2</v>
      </c>
      <c r="G1258" s="6">
        <f>IFERROR(__xludf.DUMMYFUNCTION("""COMPUTED_VALUE"""),0.0)</f>
        <v>0</v>
      </c>
      <c r="H1258" s="6" t="str">
        <f>IFERROR(__xludf.DUMMYFUNCTION("""COMPUTED_VALUE"""),"pck")</f>
        <v>pck</v>
      </c>
      <c r="I1258" s="6" t="str">
        <f>IFERROR(__xludf.DUMMYFUNCTION("""COMPUTED_VALUE"""),"MFH")</f>
        <v>MFH</v>
      </c>
      <c r="J1258" s="6" t="str">
        <f>IFERROR(__xludf.DUMMYFUNCTION("""COMPUTED_VALUE"""),"Building")</f>
        <v>Building</v>
      </c>
      <c r="K1258" s="6" t="str">
        <f>IFERROR(__xludf.DUMMYFUNCTION("""COMPUTED_VALUE"""),"SPR/11/24/005")</f>
        <v>SPR/11/24/005</v>
      </c>
      <c r="L1258" s="13">
        <f>IFERROR(__xludf.DUMMYFUNCTION("""COMPUTED_VALUE"""),45607.0)</f>
        <v>45607</v>
      </c>
    </row>
    <row r="1259">
      <c r="A1259" s="6" t="str">
        <f>IFERROR(__xludf.DUMMYFUNCTION("""COMPUTED_VALUE"""),"MOB")</f>
        <v>MOB</v>
      </c>
      <c r="B1259" s="6" t="str">
        <f>IFERROR(__xludf.DUMMYFUNCTION("""COMPUTED_VALUE"""),"ENG")</f>
        <v>ENG</v>
      </c>
      <c r="C1259" s="6" t="str">
        <f>IFERROR(__xludf.DUMMYFUNCTION("""COMPUTED_VALUE"""),"P-14424-00")</f>
        <v>P-14424-00</v>
      </c>
      <c r="D1259" s="6" t="str">
        <f>IFERROR(__xludf.DUMMYFUNCTION("""COMPUTED_VALUE"""),"Garam Kutreat RGN-9800F; ; ; 25Kg/zak")</f>
        <v>Garam Kutreat RGN-9800F; ; ; 25Kg/zak</v>
      </c>
      <c r="E1259" s="6">
        <f>IFERROR(__xludf.DUMMYFUNCTION("""COMPUTED_VALUE"""),25.0)</f>
        <v>25</v>
      </c>
      <c r="F1259" s="6">
        <f>IFERROR(__xludf.DUMMYFUNCTION("""COMPUTED_VALUE"""),25.0)</f>
        <v>25</v>
      </c>
      <c r="G1259" s="6">
        <f>IFERROR(__xludf.DUMMYFUNCTION("""COMPUTED_VALUE"""),0.0)</f>
        <v>0</v>
      </c>
      <c r="H1259" s="6" t="str">
        <f>IFERROR(__xludf.DUMMYFUNCTION("""COMPUTED_VALUE"""),"pck")</f>
        <v>pck</v>
      </c>
      <c r="I1259" s="6" t="str">
        <f>IFERROR(__xludf.DUMMYFUNCTION("""COMPUTED_VALUE"""),"MFH")</f>
        <v>MFH</v>
      </c>
      <c r="J1259" s="6" t="str">
        <f>IFERROR(__xludf.DUMMYFUNCTION("""COMPUTED_VALUE"""),"PWG")</f>
        <v>PWG</v>
      </c>
      <c r="K1259" s="6" t="str">
        <f>IFERROR(__xludf.DUMMYFUNCTION("""COMPUTED_VALUE"""),"SPR/11/24/006")</f>
        <v>SPR/11/24/006</v>
      </c>
      <c r="L1259" s="13">
        <f>IFERROR(__xludf.DUMMYFUNCTION("""COMPUTED_VALUE"""),45607.0)</f>
        <v>45607</v>
      </c>
    </row>
    <row r="1260">
      <c r="A1260" s="6" t="str">
        <f>IFERROR(__xludf.DUMMYFUNCTION("""COMPUTED_VALUE"""),"MOB")</f>
        <v>MOB</v>
      </c>
      <c r="B1260" s="6" t="str">
        <f>IFERROR(__xludf.DUMMYFUNCTION("""COMPUTED_VALUE"""),"ENG")</f>
        <v>ENG</v>
      </c>
      <c r="C1260" s="6" t="str">
        <f>IFERROR(__xludf.DUMMYFUNCTION("""COMPUTED_VALUE"""),"P-51560-00")</f>
        <v>P-51560-00</v>
      </c>
      <c r="D1260" s="6" t="str">
        <f>IFERROR(__xludf.DUMMYFUNCTION("""COMPUTED_VALUE"""),"Lampu T5 28watt Putih; Phillips; ;")</f>
        <v>Lampu T5 28watt Putih; Phillips; ;</v>
      </c>
      <c r="E1260" s="6">
        <f>IFERROR(__xludf.DUMMYFUNCTION("""COMPUTED_VALUE"""),6.0)</f>
        <v>6</v>
      </c>
      <c r="F1260" s="6">
        <f>IFERROR(__xludf.DUMMYFUNCTION("""COMPUTED_VALUE"""),6.0)</f>
        <v>6</v>
      </c>
      <c r="G1260" s="6">
        <f>IFERROR(__xludf.DUMMYFUNCTION("""COMPUTED_VALUE"""),0.0)</f>
        <v>0</v>
      </c>
      <c r="H1260" s="6" t="str">
        <f>IFERROR(__xludf.DUMMYFUNCTION("""COMPUTED_VALUE"""),"pck")</f>
        <v>pck</v>
      </c>
      <c r="I1260" s="6" t="str">
        <f>IFERROR(__xludf.DUMMYFUNCTION("""COMPUTED_VALUE"""),"MFH")</f>
        <v>MFH</v>
      </c>
      <c r="J1260" s="6" t="str">
        <f>IFERROR(__xludf.DUMMYFUNCTION("""COMPUTED_VALUE"""),"Building")</f>
        <v>Building</v>
      </c>
      <c r="K1260" s="6" t="str">
        <f>IFERROR(__xludf.DUMMYFUNCTION("""COMPUTED_VALUE"""),"SPR/11/24/006")</f>
        <v>SPR/11/24/006</v>
      </c>
      <c r="L1260" s="13">
        <f>IFERROR(__xludf.DUMMYFUNCTION("""COMPUTED_VALUE"""),45607.0)</f>
        <v>45607</v>
      </c>
    </row>
    <row r="1261">
      <c r="A1261" s="6" t="str">
        <f>IFERROR(__xludf.DUMMYFUNCTION("""COMPUTED_VALUE"""),"MOB")</f>
        <v>MOB</v>
      </c>
      <c r="B1261" s="6" t="str">
        <f>IFERROR(__xludf.DUMMYFUNCTION("""COMPUTED_VALUE"""),"ENG")</f>
        <v>ENG</v>
      </c>
      <c r="C1261" s="6" t="str">
        <f>IFERROR(__xludf.DUMMYFUNCTION("""COMPUTED_VALUE"""),"-")</f>
        <v>-</v>
      </c>
      <c r="D1261" s="6" t="str">
        <f>IFERROR(__xludf.DUMMYFUNCTION("""COMPUTED_VALUE"""),"Lampu LED Tube T8 16 W")</f>
        <v>Lampu LED Tube T8 16 W</v>
      </c>
      <c r="E1261" s="6">
        <f>IFERROR(__xludf.DUMMYFUNCTION("""COMPUTED_VALUE"""),1.0)</f>
        <v>1</v>
      </c>
      <c r="F1261" s="6">
        <f>IFERROR(__xludf.DUMMYFUNCTION("""COMPUTED_VALUE"""),1.0)</f>
        <v>1</v>
      </c>
      <c r="G1261" s="6">
        <f>IFERROR(__xludf.DUMMYFUNCTION("""COMPUTED_VALUE"""),0.0)</f>
        <v>0</v>
      </c>
      <c r="H1261" s="6" t="str">
        <f>IFERROR(__xludf.DUMMYFUNCTION("""COMPUTED_VALUE"""),"pck")</f>
        <v>pck</v>
      </c>
      <c r="I1261" s="6" t="str">
        <f>IFERROR(__xludf.DUMMYFUNCTION("""COMPUTED_VALUE"""),"MFH")</f>
        <v>MFH</v>
      </c>
      <c r="J1261" s="6" t="str">
        <f>IFERROR(__xludf.DUMMYFUNCTION("""COMPUTED_VALUE"""),"Building")</f>
        <v>Building</v>
      </c>
      <c r="K1261" s="6" t="str">
        <f>IFERROR(__xludf.DUMMYFUNCTION("""COMPUTED_VALUE"""),"SPR/11/24/006")</f>
        <v>SPR/11/24/006</v>
      </c>
      <c r="L1261" s="13">
        <f>IFERROR(__xludf.DUMMYFUNCTION("""COMPUTED_VALUE"""),45607.0)</f>
        <v>45607</v>
      </c>
    </row>
    <row r="1262">
      <c r="A1262" s="6" t="str">
        <f>IFERROR(__xludf.DUMMYFUNCTION("""COMPUTED_VALUE"""),"SHF")</f>
        <v>SHF</v>
      </c>
      <c r="B1262" s="6" t="str">
        <f>IFERROR(__xludf.DUMMYFUNCTION("""COMPUTED_VALUE"""),"ENG")</f>
        <v>ENG</v>
      </c>
      <c r="C1262" s="6" t="str">
        <f>IFERROR(__xludf.DUMMYFUNCTION("""COMPUTED_VALUE"""),"P-51560-00")</f>
        <v>P-51560-00</v>
      </c>
      <c r="D1262" s="6" t="str">
        <f>IFERROR(__xludf.DUMMYFUNCTION("""COMPUTED_VALUE"""),"Lampu T5 28watt Putih; Phillips; ;")</f>
        <v>Lampu T5 28watt Putih; Phillips; ;</v>
      </c>
      <c r="E1262" s="6">
        <f>IFERROR(__xludf.DUMMYFUNCTION("""COMPUTED_VALUE"""),6.0)</f>
        <v>6</v>
      </c>
      <c r="F1262" s="6">
        <f>IFERROR(__xludf.DUMMYFUNCTION("""COMPUTED_VALUE"""),5.0)</f>
        <v>5</v>
      </c>
      <c r="G1262" s="6">
        <f>IFERROR(__xludf.DUMMYFUNCTION("""COMPUTED_VALUE"""),1.0)</f>
        <v>1</v>
      </c>
      <c r="H1262" s="6" t="str">
        <f>IFERROR(__xludf.DUMMYFUNCTION("""COMPUTED_VALUE"""),"pcs")</f>
        <v>pcs</v>
      </c>
      <c r="I1262" s="6" t="str">
        <f>IFERROR(__xludf.DUMMYFUNCTION("""COMPUTED_VALUE"""),"MFH")</f>
        <v>MFH</v>
      </c>
      <c r="J1262" s="6" t="str">
        <f>IFERROR(__xludf.DUMMYFUNCTION("""COMPUTED_VALUE"""),"Building")</f>
        <v>Building</v>
      </c>
      <c r="K1262" s="6" t="str">
        <f>IFERROR(__xludf.DUMMYFUNCTION("""COMPUTED_VALUE"""),"SPR/11/24/007")</f>
        <v>SPR/11/24/007</v>
      </c>
      <c r="L1262" s="13">
        <f>IFERROR(__xludf.DUMMYFUNCTION("""COMPUTED_VALUE"""),45607.0)</f>
        <v>45607</v>
      </c>
    </row>
    <row r="1263">
      <c r="A1263" s="6" t="str">
        <f>IFERROR(__xludf.DUMMYFUNCTION("""COMPUTED_VALUE"""),"SHF")</f>
        <v>SHF</v>
      </c>
      <c r="B1263" s="6" t="str">
        <f>IFERROR(__xludf.DUMMYFUNCTION("""COMPUTED_VALUE"""),"ENG")</f>
        <v>ENG</v>
      </c>
      <c r="C1263" s="6" t="str">
        <f>IFERROR(__xludf.DUMMYFUNCTION("""COMPUTED_VALUE"""),"-")</f>
        <v>-</v>
      </c>
      <c r="D1263" s="6" t="str">
        <f>IFERROR(__xludf.DUMMYFUNCTION("""COMPUTED_VALUE"""),"Lampu Luxon LED Tube Light")</f>
        <v>Lampu Luxon LED Tube Light</v>
      </c>
      <c r="E1263" s="6">
        <f>IFERROR(__xludf.DUMMYFUNCTION("""COMPUTED_VALUE"""),1.0)</f>
        <v>1</v>
      </c>
      <c r="F1263" s="6">
        <f>IFERROR(__xludf.DUMMYFUNCTION("""COMPUTED_VALUE"""),1.0)</f>
        <v>1</v>
      </c>
      <c r="G1263" s="6">
        <f>IFERROR(__xludf.DUMMYFUNCTION("""COMPUTED_VALUE"""),0.0)</f>
        <v>0</v>
      </c>
      <c r="H1263" s="6" t="str">
        <f>IFERROR(__xludf.DUMMYFUNCTION("""COMPUTED_VALUE"""),"Pcs")</f>
        <v>Pcs</v>
      </c>
      <c r="I1263" s="6" t="str">
        <f>IFERROR(__xludf.DUMMYFUNCTION("""COMPUTED_VALUE"""),"MFH")</f>
        <v>MFH</v>
      </c>
      <c r="J1263" s="6" t="str">
        <f>IFERROR(__xludf.DUMMYFUNCTION("""COMPUTED_VALUE"""),"Building")</f>
        <v>Building</v>
      </c>
      <c r="K1263" s="6" t="str">
        <f>IFERROR(__xludf.DUMMYFUNCTION("""COMPUTED_VALUE"""),"SPR/11/24/007")</f>
        <v>SPR/11/24/007</v>
      </c>
      <c r="L1263" s="13">
        <f>IFERROR(__xludf.DUMMYFUNCTION("""COMPUTED_VALUE"""),45607.0)</f>
        <v>45607</v>
      </c>
    </row>
    <row r="1264">
      <c r="A1264" s="6" t="str">
        <f>IFERROR(__xludf.DUMMYFUNCTION("""COMPUTED_VALUE"""),"SFH")</f>
        <v>SFH</v>
      </c>
      <c r="B1264" s="6" t="str">
        <f>IFERROR(__xludf.DUMMYFUNCTION("""COMPUTED_VALUE"""),"ENG")</f>
        <v>ENG</v>
      </c>
      <c r="C1264" s="6" t="str">
        <f>IFERROR(__xludf.DUMMYFUNCTION("""COMPUTED_VALUE"""),"Q-60036-00")</f>
        <v>Q-60036-00</v>
      </c>
      <c r="D1264" s="6" t="str">
        <f>IFERROR(__xludf.DUMMYFUNCTION("""COMPUTED_VALUE"""),"Cat F-Talit KF-611 / Hellay Grey / 115-611 @ 1 KG")</f>
        <v>Cat F-Talit KF-611 / Hellay Grey / 115-611 @ 1 KG</v>
      </c>
      <c r="E1264" s="6">
        <f>IFERROR(__xludf.DUMMYFUNCTION("""COMPUTED_VALUE"""),8.0)</f>
        <v>8</v>
      </c>
      <c r="F1264" s="6">
        <f>IFERROR(__xludf.DUMMYFUNCTION("""COMPUTED_VALUE"""),8.0)</f>
        <v>8</v>
      </c>
      <c r="G1264" s="6">
        <f>IFERROR(__xludf.DUMMYFUNCTION("""COMPUTED_VALUE"""),0.0)</f>
        <v>0</v>
      </c>
      <c r="H1264" s="6" t="str">
        <f>IFERROR(__xludf.DUMMYFUNCTION("""COMPUTED_VALUE"""),"Pcs")</f>
        <v>Pcs</v>
      </c>
      <c r="I1264" s="6" t="str">
        <f>IFERROR(__xludf.DUMMYFUNCTION("""COMPUTED_VALUE"""),"MFH")</f>
        <v>MFH</v>
      </c>
      <c r="J1264" s="6" t="str">
        <f>IFERROR(__xludf.DUMMYFUNCTION("""COMPUTED_VALUE"""),"Building")</f>
        <v>Building</v>
      </c>
      <c r="K1264" s="6" t="str">
        <f>IFERROR(__xludf.DUMMYFUNCTION("""COMPUTED_VALUE"""),"SPR/11/24/008")</f>
        <v>SPR/11/24/008</v>
      </c>
      <c r="L1264" s="13">
        <f>IFERROR(__xludf.DUMMYFUNCTION("""COMPUTED_VALUE"""),45607.0)</f>
        <v>45607</v>
      </c>
    </row>
    <row r="1265">
      <c r="A1265" s="6" t="str">
        <f>IFERROR(__xludf.DUMMYFUNCTION("""COMPUTED_VALUE"""),"SFH")</f>
        <v>SFH</v>
      </c>
      <c r="B1265" s="6" t="str">
        <f>IFERROR(__xludf.DUMMYFUNCTION("""COMPUTED_VALUE"""),"ENG")</f>
        <v>ENG</v>
      </c>
      <c r="C1265" s="6" t="str">
        <f>IFERROR(__xludf.DUMMYFUNCTION("""COMPUTED_VALUE"""),"Q-10128-00")</f>
        <v>Q-10128-00</v>
      </c>
      <c r="D1265" s="6" t="str">
        <f>IFERROR(__xludf.DUMMYFUNCTION("""COMPUTED_VALUE"""),"Thinner Super End/Impala @ 1 Liter")</f>
        <v>Thinner Super End/Impala @ 1 Liter</v>
      </c>
      <c r="E1265" s="6">
        <f>IFERROR(__xludf.DUMMYFUNCTION("""COMPUTED_VALUE"""),15.0)</f>
        <v>15</v>
      </c>
      <c r="F1265" s="6">
        <f>IFERROR(__xludf.DUMMYFUNCTION("""COMPUTED_VALUE"""),5.0)</f>
        <v>5</v>
      </c>
      <c r="G1265" s="6">
        <f>IFERROR(__xludf.DUMMYFUNCTION("""COMPUTED_VALUE"""),0.0)</f>
        <v>0</v>
      </c>
      <c r="H1265" s="6" t="str">
        <f>IFERROR(__xludf.DUMMYFUNCTION("""COMPUTED_VALUE"""),"pcs")</f>
        <v>pcs</v>
      </c>
      <c r="I1265" s="6" t="str">
        <f>IFERROR(__xludf.DUMMYFUNCTION("""COMPUTED_VALUE"""),"MFH")</f>
        <v>MFH</v>
      </c>
      <c r="J1265" s="6" t="str">
        <f>IFERROR(__xludf.DUMMYFUNCTION("""COMPUTED_VALUE"""),"Building")</f>
        <v>Building</v>
      </c>
      <c r="K1265" s="6" t="str">
        <f>IFERROR(__xludf.DUMMYFUNCTION("""COMPUTED_VALUE"""),"SPR/11/24/008")</f>
        <v>SPR/11/24/008</v>
      </c>
      <c r="L1265" s="13">
        <f>IFERROR(__xludf.DUMMYFUNCTION("""COMPUTED_VALUE"""),45607.0)</f>
        <v>45607</v>
      </c>
    </row>
    <row r="1266">
      <c r="A1266" s="6" t="str">
        <f>IFERROR(__xludf.DUMMYFUNCTION("""COMPUTED_VALUE"""),"SFH")</f>
        <v>SFH</v>
      </c>
      <c r="B1266" s="6" t="str">
        <f>IFERROR(__xludf.DUMMYFUNCTION("""COMPUTED_VALUE"""),"ENG")</f>
        <v>ENG</v>
      </c>
      <c r="C1266" s="6" t="str">
        <f>IFERROR(__xludf.DUMMYFUNCTION("""COMPUTED_VALUE"""),"Q-10153-00")</f>
        <v>Q-10153-00</v>
      </c>
      <c r="D1266" s="6" t="str">
        <f>IFERROR(__xludf.DUMMYFUNCTION("""COMPUTED_VALUE"""),"Roller cat 110mm")</f>
        <v>Roller cat 110mm</v>
      </c>
      <c r="E1266" s="6">
        <f>IFERROR(__xludf.DUMMYFUNCTION("""COMPUTED_VALUE"""),10.0)</f>
        <v>10</v>
      </c>
      <c r="F1266" s="6">
        <f>IFERROR(__xludf.DUMMYFUNCTION("""COMPUTED_VALUE"""),3.0)</f>
        <v>3</v>
      </c>
      <c r="G1266" s="6">
        <f>IFERROR(__xludf.DUMMYFUNCTION("""COMPUTED_VALUE"""),0.0)</f>
        <v>0</v>
      </c>
      <c r="H1266" s="6" t="str">
        <f>IFERROR(__xludf.DUMMYFUNCTION("""COMPUTED_VALUE"""),"pcs")</f>
        <v>pcs</v>
      </c>
      <c r="I1266" s="6" t="str">
        <f>IFERROR(__xludf.DUMMYFUNCTION("""COMPUTED_VALUE"""),"MFH")</f>
        <v>MFH</v>
      </c>
      <c r="J1266" s="6" t="str">
        <f>IFERROR(__xludf.DUMMYFUNCTION("""COMPUTED_VALUE"""),"Building")</f>
        <v>Building</v>
      </c>
      <c r="K1266" s="6" t="str">
        <f>IFERROR(__xludf.DUMMYFUNCTION("""COMPUTED_VALUE"""),"SPR/11/24/008")</f>
        <v>SPR/11/24/008</v>
      </c>
      <c r="L1266" s="13">
        <f>IFERROR(__xludf.DUMMYFUNCTION("""COMPUTED_VALUE"""),45607.0)</f>
        <v>45607</v>
      </c>
    </row>
    <row r="1267">
      <c r="A1267" s="6" t="str">
        <f>IFERROR(__xludf.DUMMYFUNCTION("""COMPUTED_VALUE"""),"MOB")</f>
        <v>MOB</v>
      </c>
      <c r="B1267" s="6" t="str">
        <f>IFERROR(__xludf.DUMMYFUNCTION("""COMPUTED_VALUE"""),"ENG")</f>
        <v>ENG</v>
      </c>
      <c r="C1267" s="6" t="str">
        <f>IFERROR(__xludf.DUMMYFUNCTION("""COMPUTED_VALUE"""),"P-51559-00")</f>
        <v>P-51559-00</v>
      </c>
      <c r="D1267" s="6" t="str">
        <f>IFERROR(__xludf.DUMMYFUNCTION("""COMPUTED_VALUE"""),"Lampu T5 14watt Putih; Phillips; ;")</f>
        <v>Lampu T5 14watt Putih; Phillips; ;</v>
      </c>
      <c r="E1267" s="6">
        <f>IFERROR(__xludf.DUMMYFUNCTION("""COMPUTED_VALUE"""),7.0)</f>
        <v>7</v>
      </c>
      <c r="F1267" s="6">
        <f>IFERROR(__xludf.DUMMYFUNCTION("""COMPUTED_VALUE"""),2.0)</f>
        <v>2</v>
      </c>
      <c r="G1267" s="6">
        <f>IFERROR(__xludf.DUMMYFUNCTION("""COMPUTED_VALUE"""),0.0)</f>
        <v>0</v>
      </c>
      <c r="H1267" s="6" t="str">
        <f>IFERROR(__xludf.DUMMYFUNCTION("""COMPUTED_VALUE"""),"pcs")</f>
        <v>pcs</v>
      </c>
      <c r="I1267" s="6" t="str">
        <f>IFERROR(__xludf.DUMMYFUNCTION("""COMPUTED_VALUE"""),"MFH")</f>
        <v>MFH</v>
      </c>
      <c r="J1267" s="6" t="str">
        <f>IFERROR(__xludf.DUMMYFUNCTION("""COMPUTED_VALUE"""),"Building")</f>
        <v>Building</v>
      </c>
      <c r="K1267" s="6" t="str">
        <f>IFERROR(__xludf.DUMMYFUNCTION("""COMPUTED_VALUE"""),"SPR/11/24/009")</f>
        <v>SPR/11/24/009</v>
      </c>
      <c r="L1267" s="13">
        <f>IFERROR(__xludf.DUMMYFUNCTION("""COMPUTED_VALUE"""),45607.0)</f>
        <v>45607</v>
      </c>
    </row>
    <row r="1268">
      <c r="A1268" s="6" t="str">
        <f>IFERROR(__xludf.DUMMYFUNCTION("""COMPUTED_VALUE"""),"RIA")</f>
        <v>RIA</v>
      </c>
      <c r="B1268" s="6" t="str">
        <f>IFERROR(__xludf.DUMMYFUNCTION("""COMPUTED_VALUE"""),"ENG")</f>
        <v>ENG</v>
      </c>
      <c r="C1268" s="6" t="str">
        <f>IFERROR(__xludf.DUMMYFUNCTION("""COMPUTED_VALUE"""),"P-52663-00")</f>
        <v>P-52663-00</v>
      </c>
      <c r="D1268" s="6" t="str">
        <f>IFERROR(__xludf.DUMMYFUNCTION("""COMPUTED_VALUE"""),"Solid State Relay 3-32 VDC 24-330 VAC 40 A; ; ;")</f>
        <v>Solid State Relay 3-32 VDC 24-330 VAC 40 A; ; ;</v>
      </c>
      <c r="E1268" s="6">
        <f>IFERROR(__xludf.DUMMYFUNCTION("""COMPUTED_VALUE"""),1.0)</f>
        <v>1</v>
      </c>
      <c r="F1268" s="6">
        <f>IFERROR(__xludf.DUMMYFUNCTION("""COMPUTED_VALUE"""),1.0)</f>
        <v>1</v>
      </c>
      <c r="G1268" s="6">
        <f>IFERROR(__xludf.DUMMYFUNCTION("""COMPUTED_VALUE"""),0.0)</f>
        <v>0</v>
      </c>
      <c r="H1268" s="6" t="str">
        <f>IFERROR(__xludf.DUMMYFUNCTION("""COMPUTED_VALUE"""),"pcs")</f>
        <v>pcs</v>
      </c>
      <c r="I1268" s="6" t="str">
        <f>IFERROR(__xludf.DUMMYFUNCTION("""COMPUTED_VALUE"""),"MFH")</f>
        <v>MFH</v>
      </c>
      <c r="J1268" s="6" t="str">
        <f>IFERROR(__xludf.DUMMYFUNCTION("""COMPUTED_VALUE"""),"AHU")</f>
        <v>AHU</v>
      </c>
      <c r="K1268" s="6" t="str">
        <f>IFERROR(__xludf.DUMMYFUNCTION("""COMPUTED_VALUE"""),"SPR/11/24/010")</f>
        <v>SPR/11/24/010</v>
      </c>
      <c r="L1268" s="13">
        <f>IFERROR(__xludf.DUMMYFUNCTION("""COMPUTED_VALUE"""),45607.0)</f>
        <v>45607</v>
      </c>
    </row>
    <row r="1269">
      <c r="A1269" s="6" t="str">
        <f>IFERROR(__xludf.DUMMYFUNCTION("""COMPUTED_VALUE"""),"RIA")</f>
        <v>RIA</v>
      </c>
      <c r="B1269" s="6" t="str">
        <f>IFERROR(__xludf.DUMMYFUNCTION("""COMPUTED_VALUE"""),"ENG")</f>
        <v>ENG</v>
      </c>
      <c r="C1269" s="6" t="str">
        <f>IFERROR(__xludf.DUMMYFUNCTION("""COMPUTED_VALUE"""),"P-54223-00")</f>
        <v>P-54223-00</v>
      </c>
      <c r="D1269" s="6" t="str">
        <f>IFERROR(__xludf.DUMMYFUNCTION("""COMPUTED_VALUE"""),"Socket Charger SB175A grey; Anderson; ;")</f>
        <v>Socket Charger SB175A grey; Anderson; ;</v>
      </c>
      <c r="E1269" s="6">
        <f>IFERROR(__xludf.DUMMYFUNCTION("""COMPUTED_VALUE"""),1.0)</f>
        <v>1</v>
      </c>
      <c r="F1269" s="6">
        <f>IFERROR(__xludf.DUMMYFUNCTION("""COMPUTED_VALUE"""),1.0)</f>
        <v>1</v>
      </c>
      <c r="G1269" s="6">
        <f>IFERROR(__xludf.DUMMYFUNCTION("""COMPUTED_VALUE"""),0.0)</f>
        <v>0</v>
      </c>
      <c r="H1269" s="6" t="str">
        <f>IFERROR(__xludf.DUMMYFUNCTION("""COMPUTED_VALUE"""),"pcs")</f>
        <v>pcs</v>
      </c>
      <c r="I1269" s="6" t="str">
        <f>IFERROR(__xludf.DUMMYFUNCTION("""COMPUTED_VALUE"""),"MFH")</f>
        <v>MFH</v>
      </c>
      <c r="J1269" s="6" t="str">
        <f>IFERROR(__xludf.DUMMYFUNCTION("""COMPUTED_VALUE"""),"Power Stacker")</f>
        <v>Power Stacker</v>
      </c>
      <c r="K1269" s="6" t="str">
        <f>IFERROR(__xludf.DUMMYFUNCTION("""COMPUTED_VALUE"""),"SPR/11/24/011")</f>
        <v>SPR/11/24/011</v>
      </c>
      <c r="L1269" s="13">
        <f>IFERROR(__xludf.DUMMYFUNCTION("""COMPUTED_VALUE"""),45607.0)</f>
        <v>45607</v>
      </c>
    </row>
    <row r="1270">
      <c r="A1270" s="6" t="str">
        <f>IFERROR(__xludf.DUMMYFUNCTION("""COMPUTED_VALUE"""),"RIA")</f>
        <v>RIA</v>
      </c>
      <c r="B1270" s="6" t="str">
        <f>IFERROR(__xludf.DUMMYFUNCTION("""COMPUTED_VALUE"""),"ENG")</f>
        <v>ENG</v>
      </c>
      <c r="C1270" s="6" t="str">
        <f>IFERROR(__xludf.DUMMYFUNCTION("""COMPUTED_VALUE"""),"P-53663-00")</f>
        <v>P-53663-00</v>
      </c>
      <c r="D1270" s="6" t="str">
        <f>IFERROR(__xludf.DUMMYFUNCTION("""COMPUTED_VALUE"""),"Heat Shrink dia. 6 mm Warna Hitam (1 roll = 100 mtr)")</f>
        <v>Heat Shrink dia. 6 mm Warna Hitam (1 roll = 100 mtr)</v>
      </c>
      <c r="E1270" s="6">
        <f>IFERROR(__xludf.DUMMYFUNCTION("""COMPUTED_VALUE"""),1.0)</f>
        <v>1</v>
      </c>
      <c r="F1270" s="6">
        <f>IFERROR(__xludf.DUMMYFUNCTION("""COMPUTED_VALUE"""),1.0)</f>
        <v>1</v>
      </c>
      <c r="G1270" s="6">
        <f>IFERROR(__xludf.DUMMYFUNCTION("""COMPUTED_VALUE"""),0.0)</f>
        <v>0</v>
      </c>
      <c r="H1270" s="6" t="str">
        <f>IFERROR(__xludf.DUMMYFUNCTION("""COMPUTED_VALUE"""),"pcs")</f>
        <v>pcs</v>
      </c>
      <c r="I1270" s="6" t="str">
        <f>IFERROR(__xludf.DUMMYFUNCTION("""COMPUTED_VALUE"""),"MFH")</f>
        <v>MFH</v>
      </c>
      <c r="J1270" s="6" t="str">
        <f>IFERROR(__xludf.DUMMYFUNCTION("""COMPUTED_VALUE"""),"Power Stacker")</f>
        <v>Power Stacker</v>
      </c>
      <c r="K1270" s="6" t="str">
        <f>IFERROR(__xludf.DUMMYFUNCTION("""COMPUTED_VALUE"""),"SPR/11/24/011")</f>
        <v>SPR/11/24/011</v>
      </c>
      <c r="L1270" s="13">
        <f>IFERROR(__xludf.DUMMYFUNCTION("""COMPUTED_VALUE"""),45607.0)</f>
        <v>45607</v>
      </c>
    </row>
    <row r="1271">
      <c r="A1271" s="6" t="str">
        <f>IFERROR(__xludf.DUMMYFUNCTION("""COMPUTED_VALUE"""),"RIA")</f>
        <v>RIA</v>
      </c>
      <c r="B1271" s="6" t="str">
        <f>IFERROR(__xludf.DUMMYFUNCTION("""COMPUTED_VALUE"""),"ENG")</f>
        <v>ENG</v>
      </c>
      <c r="C1271" s="6" t="str">
        <f>IFERROR(__xludf.DUMMYFUNCTION("""COMPUTED_VALUE"""),"-")</f>
        <v>-</v>
      </c>
      <c r="D1271" s="6" t="str">
        <f>IFERROR(__xludf.DUMMYFUNCTION("""COMPUTED_VALUE"""),"Relay MKS2P Omron")</f>
        <v>Relay MKS2P Omron</v>
      </c>
      <c r="E1271" s="6">
        <f>IFERROR(__xludf.DUMMYFUNCTION("""COMPUTED_VALUE"""),1.0)</f>
        <v>1</v>
      </c>
      <c r="F1271" s="6">
        <f>IFERROR(__xludf.DUMMYFUNCTION("""COMPUTED_VALUE"""),1.0)</f>
        <v>1</v>
      </c>
      <c r="G1271" s="6">
        <f>IFERROR(__xludf.DUMMYFUNCTION("""COMPUTED_VALUE"""),0.0)</f>
        <v>0</v>
      </c>
      <c r="H1271" s="6" t="str">
        <f>IFERROR(__xludf.DUMMYFUNCTION("""COMPUTED_VALUE"""),"pcs")</f>
        <v>pcs</v>
      </c>
      <c r="I1271" s="6" t="str">
        <f>IFERROR(__xludf.DUMMYFUNCTION("""COMPUTED_VALUE"""),"MFH")</f>
        <v>MFH</v>
      </c>
      <c r="J1271" s="6" t="str">
        <f>IFERROR(__xludf.DUMMYFUNCTION("""COMPUTED_VALUE"""),"WICC")</f>
        <v>WICC</v>
      </c>
      <c r="K1271" s="6" t="str">
        <f>IFERROR(__xludf.DUMMYFUNCTION("""COMPUTED_VALUE"""),"SPR/11/24/011")</f>
        <v>SPR/11/24/011</v>
      </c>
      <c r="L1271" s="13">
        <f>IFERROR(__xludf.DUMMYFUNCTION("""COMPUTED_VALUE"""),45607.0)</f>
        <v>45607</v>
      </c>
    </row>
    <row r="1272">
      <c r="A1272" s="6" t="str">
        <f>IFERROR(__xludf.DUMMYFUNCTION("""COMPUTED_VALUE"""),"RIA")</f>
        <v>RIA</v>
      </c>
      <c r="B1272" s="6" t="str">
        <f>IFERROR(__xludf.DUMMYFUNCTION("""COMPUTED_VALUE"""),"ENG")</f>
        <v>ENG</v>
      </c>
      <c r="C1272" s="6" t="str">
        <f>IFERROR(__xludf.DUMMYFUNCTION("""COMPUTED_VALUE"""),"-")</f>
        <v>-</v>
      </c>
      <c r="D1272" s="6" t="str">
        <f>IFERROR(__xludf.DUMMYFUNCTION("""COMPUTED_VALUE"""),"UPS 5 KVA Riello")</f>
        <v>UPS 5 KVA Riello</v>
      </c>
      <c r="E1272" s="6">
        <f>IFERROR(__xludf.DUMMYFUNCTION("""COMPUTED_VALUE"""),1.0)</f>
        <v>1</v>
      </c>
      <c r="F1272" s="6">
        <f>IFERROR(__xludf.DUMMYFUNCTION("""COMPUTED_VALUE"""),1.0)</f>
        <v>1</v>
      </c>
      <c r="G1272" s="6">
        <f>IFERROR(__xludf.DUMMYFUNCTION("""COMPUTED_VALUE"""),0.0)</f>
        <v>0</v>
      </c>
      <c r="H1272" s="6" t="str">
        <f>IFERROR(__xludf.DUMMYFUNCTION("""COMPUTED_VALUE"""),"Unit")</f>
        <v>Unit</v>
      </c>
      <c r="I1272" s="6" t="str">
        <f>IFERROR(__xludf.DUMMYFUNCTION("""COMPUTED_VALUE"""),"MFH")</f>
        <v>MFH</v>
      </c>
      <c r="J1272" s="6" t="str">
        <f>IFERROR(__xludf.DUMMYFUNCTION("""COMPUTED_VALUE"""),"IGL")</f>
        <v>IGL</v>
      </c>
      <c r="K1272" s="6" t="str">
        <f>IFERROR(__xludf.DUMMYFUNCTION("""COMPUTED_VALUE"""),"SPR/11/24/012")</f>
        <v>SPR/11/24/012</v>
      </c>
      <c r="L1272" s="13">
        <f>IFERROR(__xludf.DUMMYFUNCTION("""COMPUTED_VALUE"""),45607.0)</f>
        <v>45607</v>
      </c>
    </row>
    <row r="1273">
      <c r="A1273" s="6" t="str">
        <f>IFERROR(__xludf.DUMMYFUNCTION("""COMPUTED_VALUE"""),"RIA")</f>
        <v>RIA</v>
      </c>
      <c r="B1273" s="6" t="str">
        <f>IFERROR(__xludf.DUMMYFUNCTION("""COMPUTED_VALUE"""),"ENG")</f>
        <v>ENG</v>
      </c>
      <c r="C1273" s="6" t="str">
        <f>IFERROR(__xludf.DUMMYFUNCTION("""COMPUTED_VALUE"""),"P-15438-00")</f>
        <v>P-15438-00</v>
      </c>
      <c r="D1273" s="6" t="str">
        <f>IFERROR(__xludf.DUMMYFUNCTION("""COMPUTED_VALUE"""),"CABLE SPIRAL WRAPPING, TYPE KS12, BRAND KSS; ; ;")</f>
        <v>CABLE SPIRAL WRAPPING, TYPE KS12, BRAND KSS; ; ;</v>
      </c>
      <c r="E1273" s="6">
        <f>IFERROR(__xludf.DUMMYFUNCTION("""COMPUTED_VALUE"""),3.0)</f>
        <v>3</v>
      </c>
      <c r="F1273" s="6">
        <f>IFERROR(__xludf.DUMMYFUNCTION("""COMPUTED_VALUE"""),1.0)</f>
        <v>1</v>
      </c>
      <c r="G1273" s="6">
        <f>IFERROR(__xludf.DUMMYFUNCTION("""COMPUTED_VALUE"""),0.0)</f>
        <v>0</v>
      </c>
      <c r="H1273" s="6" t="str">
        <f>IFERROR(__xludf.DUMMYFUNCTION("""COMPUTED_VALUE"""),"pcs")</f>
        <v>pcs</v>
      </c>
      <c r="I1273" s="6" t="str">
        <f>IFERROR(__xludf.DUMMYFUNCTION("""COMPUTED_VALUE"""),"MFH")</f>
        <v>MFH</v>
      </c>
      <c r="J1273" s="6" t="str">
        <f>IFERROR(__xludf.DUMMYFUNCTION("""COMPUTED_VALUE"""),"OSD")</f>
        <v>OSD</v>
      </c>
      <c r="K1273" s="6" t="str">
        <f>IFERROR(__xludf.DUMMYFUNCTION("""COMPUTED_VALUE"""),"SPR/11/24/012")</f>
        <v>SPR/11/24/012</v>
      </c>
      <c r="L1273" s="13">
        <f>IFERROR(__xludf.DUMMYFUNCTION("""COMPUTED_VALUE"""),45607.0)</f>
        <v>45607</v>
      </c>
    </row>
    <row r="1274">
      <c r="A1274" s="6" t="str">
        <f>IFERROR(__xludf.DUMMYFUNCTION("""COMPUTED_VALUE"""),"RIA")</f>
        <v>RIA</v>
      </c>
      <c r="B1274" s="6" t="str">
        <f>IFERROR(__xludf.DUMMYFUNCTION("""COMPUTED_VALUE"""),"ENG")</f>
        <v>ENG</v>
      </c>
      <c r="C1274" s="6" t="str">
        <f>IFERROR(__xludf.DUMMYFUNCTION("""COMPUTED_VALUE"""),"O-54014-00")</f>
        <v>O-54014-00</v>
      </c>
      <c r="D1274" s="6" t="str">
        <f>IFERROR(__xludf.DUMMYFUNCTION("""COMPUTED_VALUE"""),"STEKER 1 PHASE, BROCO")</f>
        <v>STEKER 1 PHASE, BROCO</v>
      </c>
      <c r="E1274" s="6">
        <f>IFERROR(__xludf.DUMMYFUNCTION("""COMPUTED_VALUE"""),9.0)</f>
        <v>9</v>
      </c>
      <c r="F1274" s="6">
        <f>IFERROR(__xludf.DUMMYFUNCTION("""COMPUTED_VALUE"""),2.0)</f>
        <v>2</v>
      </c>
      <c r="G1274" s="6">
        <f>IFERROR(__xludf.DUMMYFUNCTION("""COMPUTED_VALUE"""),0.0)</f>
        <v>0</v>
      </c>
      <c r="H1274" s="6" t="str">
        <f>IFERROR(__xludf.DUMMYFUNCTION("""COMPUTED_VALUE"""),"pcs")</f>
        <v>pcs</v>
      </c>
      <c r="I1274" s="6" t="str">
        <f>IFERROR(__xludf.DUMMYFUNCTION("""COMPUTED_VALUE"""),"MFH")</f>
        <v>MFH</v>
      </c>
      <c r="J1274" s="6" t="str">
        <f>IFERROR(__xludf.DUMMYFUNCTION("""COMPUTED_VALUE"""),"OSD")</f>
        <v>OSD</v>
      </c>
      <c r="K1274" s="6" t="str">
        <f>IFERROR(__xludf.DUMMYFUNCTION("""COMPUTED_VALUE"""),"SPR/11/24/012")</f>
        <v>SPR/11/24/012</v>
      </c>
      <c r="L1274" s="13">
        <f>IFERROR(__xludf.DUMMYFUNCTION("""COMPUTED_VALUE"""),45607.0)</f>
        <v>45607</v>
      </c>
    </row>
    <row r="1275">
      <c r="A1275" s="6" t="str">
        <f>IFERROR(__xludf.DUMMYFUNCTION("""COMPUTED_VALUE"""),"RIA")</f>
        <v>RIA</v>
      </c>
      <c r="B1275" s="6" t="str">
        <f>IFERROR(__xludf.DUMMYFUNCTION("""COMPUTED_VALUE"""),"ENG")</f>
        <v>ENG</v>
      </c>
      <c r="C1275" s="6" t="str">
        <f>IFERROR(__xludf.DUMMYFUNCTION("""COMPUTED_VALUE"""),"T-80109-00")</f>
        <v>T-80109-00</v>
      </c>
      <c r="D1275" s="6" t="str">
        <f>IFERROR(__xludf.DUMMYFUNCTION("""COMPUTED_VALUE"""),"Cellotape Kertas 1 inch warna Putih")</f>
        <v>Cellotape Kertas 1 inch warna Putih</v>
      </c>
      <c r="E1275" s="6">
        <f>IFERROR(__xludf.DUMMYFUNCTION("""COMPUTED_VALUE"""),5.0)</f>
        <v>5</v>
      </c>
      <c r="F1275" s="6">
        <f>IFERROR(__xludf.DUMMYFUNCTION("""COMPUTED_VALUE"""),5.0)</f>
        <v>5</v>
      </c>
      <c r="G1275" s="6">
        <f>IFERROR(__xludf.DUMMYFUNCTION("""COMPUTED_VALUE"""),0.0)</f>
        <v>0</v>
      </c>
      <c r="H1275" s="6" t="str">
        <f>IFERROR(__xludf.DUMMYFUNCTION("""COMPUTED_VALUE"""),"pcs")</f>
        <v>pcs</v>
      </c>
      <c r="I1275" s="6" t="str">
        <f>IFERROR(__xludf.DUMMYFUNCTION("""COMPUTED_VALUE"""),"MFH")</f>
        <v>MFH</v>
      </c>
      <c r="J1275" s="6" t="str">
        <f>IFERROR(__xludf.DUMMYFUNCTION("""COMPUTED_VALUE"""),"Building")</f>
        <v>Building</v>
      </c>
      <c r="K1275" s="6" t="str">
        <f>IFERROR(__xludf.DUMMYFUNCTION("""COMPUTED_VALUE"""),"SPR/11/24/013")</f>
        <v>SPR/11/24/013</v>
      </c>
      <c r="L1275" s="13">
        <f>IFERROR(__xludf.DUMMYFUNCTION("""COMPUTED_VALUE"""),45607.0)</f>
        <v>45607</v>
      </c>
    </row>
    <row r="1276">
      <c r="A1276" s="6" t="str">
        <f>IFERROR(__xludf.DUMMYFUNCTION("""COMPUTED_VALUE"""),"RIA")</f>
        <v>RIA</v>
      </c>
      <c r="B1276" s="6" t="str">
        <f>IFERROR(__xludf.DUMMYFUNCTION("""COMPUTED_VALUE"""),"ENG")</f>
        <v>ENG</v>
      </c>
      <c r="C1276" s="6" t="str">
        <f>IFERROR(__xludf.DUMMYFUNCTION("""COMPUTED_VALUE"""),"P-51027-00")</f>
        <v>P-51027-00</v>
      </c>
      <c r="D127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276" s="6">
        <f>IFERROR(__xludf.DUMMYFUNCTION("""COMPUTED_VALUE"""),10.0)</f>
        <v>10</v>
      </c>
      <c r="F1276" s="6">
        <f>IFERROR(__xludf.DUMMYFUNCTION("""COMPUTED_VALUE"""),2.0)</f>
        <v>2</v>
      </c>
      <c r="G1276" s="6">
        <f>IFERROR(__xludf.DUMMYFUNCTION("""COMPUTED_VALUE"""),0.0)</f>
        <v>0</v>
      </c>
      <c r="H1276" s="6" t="str">
        <f>IFERROR(__xludf.DUMMYFUNCTION("""COMPUTED_VALUE"""),"pcs")</f>
        <v>pcs</v>
      </c>
      <c r="I1276" s="6" t="str">
        <f>IFERROR(__xludf.DUMMYFUNCTION("""COMPUTED_VALUE"""),"MFH")</f>
        <v>MFH</v>
      </c>
      <c r="J1276" s="6" t="str">
        <f>IFERROR(__xludf.DUMMYFUNCTION("""COMPUTED_VALUE"""),"-")</f>
        <v>-</v>
      </c>
      <c r="K1276" s="6" t="str">
        <f>IFERROR(__xludf.DUMMYFUNCTION("""COMPUTED_VALUE"""),"SPR/11/24/013")</f>
        <v>SPR/11/24/013</v>
      </c>
      <c r="L1276" s="13">
        <f>IFERROR(__xludf.DUMMYFUNCTION("""COMPUTED_VALUE"""),45607.0)</f>
        <v>45607</v>
      </c>
    </row>
    <row r="1277">
      <c r="A1277" s="6" t="str">
        <f>IFERROR(__xludf.DUMMYFUNCTION("""COMPUTED_VALUE"""),"RIA")</f>
        <v>RIA</v>
      </c>
      <c r="B1277" s="6" t="str">
        <f>IFERROR(__xludf.DUMMYFUNCTION("""COMPUTED_VALUE"""),"ENG")</f>
        <v>ENG</v>
      </c>
      <c r="C1277" s="6" t="str">
        <f>IFERROR(__xludf.DUMMYFUNCTION("""COMPUTED_VALUE"""),"O-15931-00")</f>
        <v>O-15931-00</v>
      </c>
      <c r="D1277" s="6" t="str">
        <f>IFERROR(__xludf.DUMMYFUNCTION("""COMPUTED_VALUE"""),"Double Tape 3M 1"" Merah - P/N : - pc")</f>
        <v>Double Tape 3M 1" Merah - P/N : - pc</v>
      </c>
      <c r="E1277" s="6">
        <f>IFERROR(__xludf.DUMMYFUNCTION("""COMPUTED_VALUE"""),2.0)</f>
        <v>2</v>
      </c>
      <c r="F1277" s="6">
        <f>IFERROR(__xludf.DUMMYFUNCTION("""COMPUTED_VALUE"""),2.0)</f>
        <v>2</v>
      </c>
      <c r="G1277" s="6">
        <f>IFERROR(__xludf.DUMMYFUNCTION("""COMPUTED_VALUE"""),0.0)</f>
        <v>0</v>
      </c>
      <c r="H1277" s="6" t="str">
        <f>IFERROR(__xludf.DUMMYFUNCTION("""COMPUTED_VALUE"""),"pcs")</f>
        <v>pcs</v>
      </c>
      <c r="I1277" s="6" t="str">
        <f>IFERROR(__xludf.DUMMYFUNCTION("""COMPUTED_VALUE"""),"MFH")</f>
        <v>MFH</v>
      </c>
      <c r="J1277" s="6" t="str">
        <f>IFERROR(__xludf.DUMMYFUNCTION("""COMPUTED_VALUE"""),"-")</f>
        <v>-</v>
      </c>
      <c r="K1277" s="6" t="str">
        <f>IFERROR(__xludf.DUMMYFUNCTION("""COMPUTED_VALUE"""),"SPR/11/24/013")</f>
        <v>SPR/11/24/013</v>
      </c>
      <c r="L1277" s="13">
        <f>IFERROR(__xludf.DUMMYFUNCTION("""COMPUTED_VALUE"""),45607.0)</f>
        <v>45607</v>
      </c>
    </row>
    <row r="1278">
      <c r="A1278" s="6" t="str">
        <f>IFERROR(__xludf.DUMMYFUNCTION("""COMPUTED_VALUE"""),"RIA")</f>
        <v>RIA</v>
      </c>
      <c r="B1278" s="6" t="str">
        <f>IFERROR(__xludf.DUMMYFUNCTION("""COMPUTED_VALUE"""),"ENG")</f>
        <v>ENG</v>
      </c>
      <c r="C1278" s="6" t="str">
        <f>IFERROR(__xludf.DUMMYFUNCTION("""COMPUTED_VALUE"""),"P-52844-00")</f>
        <v>P-52844-00</v>
      </c>
      <c r="D1278" s="6" t="str">
        <f>IFERROR(__xludf.DUMMYFUNCTION("""COMPUTED_VALUE"""),"Doshing Pump BT4B Merk Prominent; ; ;")</f>
        <v>Doshing Pump BT4B Merk Prominent; ; ;</v>
      </c>
      <c r="E1278" s="6">
        <f>IFERROR(__xludf.DUMMYFUNCTION("""COMPUTED_VALUE"""),1.0)</f>
        <v>1</v>
      </c>
      <c r="F1278" s="6">
        <f>IFERROR(__xludf.DUMMYFUNCTION("""COMPUTED_VALUE"""),1.0)</f>
        <v>1</v>
      </c>
      <c r="G1278" s="6">
        <f>IFERROR(__xludf.DUMMYFUNCTION("""COMPUTED_VALUE"""),0.0)</f>
        <v>0</v>
      </c>
      <c r="H1278" s="6" t="str">
        <f>IFERROR(__xludf.DUMMYFUNCTION("""COMPUTED_VALUE"""),"pcs")</f>
        <v>pcs</v>
      </c>
      <c r="I1278" s="6" t="str">
        <f>IFERROR(__xludf.DUMMYFUNCTION("""COMPUTED_VALUE"""),"MFH")</f>
        <v>MFH</v>
      </c>
      <c r="J1278" s="6" t="str">
        <f>IFERROR(__xludf.DUMMYFUNCTION("""COMPUTED_VALUE"""),"PWG")</f>
        <v>PWG</v>
      </c>
      <c r="K1278" s="6" t="str">
        <f>IFERROR(__xludf.DUMMYFUNCTION("""COMPUTED_VALUE"""),"SPR/11/24/014")</f>
        <v>SPR/11/24/014</v>
      </c>
      <c r="L1278" s="13">
        <f>IFERROR(__xludf.DUMMYFUNCTION("""COMPUTED_VALUE"""),45607.0)</f>
        <v>45607</v>
      </c>
    </row>
    <row r="1279">
      <c r="A1279" s="6" t="str">
        <f>IFERROR(__xludf.DUMMYFUNCTION("""COMPUTED_VALUE"""),"RIA")</f>
        <v>RIA</v>
      </c>
      <c r="B1279" s="6" t="str">
        <f>IFERROR(__xludf.DUMMYFUNCTION("""COMPUTED_VALUE"""),"ENG")</f>
        <v>ENG</v>
      </c>
      <c r="C1279" s="6" t="str">
        <f>IFERROR(__xludf.DUMMYFUNCTION("""COMPUTED_VALUE"""),"P-53000-00")</f>
        <v>P-53000-00</v>
      </c>
      <c r="D1279" s="6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E1279" s="6">
        <f>IFERROR(__xludf.DUMMYFUNCTION("""COMPUTED_VALUE"""),2.0)</f>
        <v>2</v>
      </c>
      <c r="F1279" s="6">
        <f>IFERROR(__xludf.DUMMYFUNCTION("""COMPUTED_VALUE"""),1.0)</f>
        <v>1</v>
      </c>
      <c r="G1279" s="6">
        <f>IFERROR(__xludf.DUMMYFUNCTION("""COMPUTED_VALUE"""),0.0)</f>
        <v>0</v>
      </c>
      <c r="H1279" s="6" t="str">
        <f>IFERROR(__xludf.DUMMYFUNCTION("""COMPUTED_VALUE"""),"pcs")</f>
        <v>pcs</v>
      </c>
      <c r="I1279" s="6" t="str">
        <f>IFERROR(__xludf.DUMMYFUNCTION("""COMPUTED_VALUE"""),"MFH")</f>
        <v>MFH</v>
      </c>
      <c r="J1279" s="6" t="str">
        <f>IFERROR(__xludf.DUMMYFUNCTION("""COMPUTED_VALUE"""),"PWG")</f>
        <v>PWG</v>
      </c>
      <c r="K1279" s="6" t="str">
        <f>IFERROR(__xludf.DUMMYFUNCTION("""COMPUTED_VALUE"""),"SPR/11/24/014")</f>
        <v>SPR/11/24/014</v>
      </c>
      <c r="L1279" s="13">
        <f>IFERROR(__xludf.DUMMYFUNCTION("""COMPUTED_VALUE"""),45607.0)</f>
        <v>45607</v>
      </c>
    </row>
    <row r="1280">
      <c r="A1280" s="6" t="str">
        <f>IFERROR(__xludf.DUMMYFUNCTION("""COMPUTED_VALUE"""),"RIA")</f>
        <v>RIA</v>
      </c>
      <c r="B1280" s="6" t="str">
        <f>IFERROR(__xludf.DUMMYFUNCTION("""COMPUTED_VALUE"""),"ENG")</f>
        <v>ENG</v>
      </c>
      <c r="C1280" s="6" t="str">
        <f>IFERROR(__xludf.DUMMYFUNCTION("""COMPUTED_VALUE"""),"-")</f>
        <v>-</v>
      </c>
      <c r="D1280" s="6" t="str">
        <f>IFERROR(__xludf.DUMMYFUNCTION("""COMPUTED_VALUE"""),"Kabel Lan Sachet")</f>
        <v>Kabel Lan Sachet</v>
      </c>
      <c r="E1280" s="6">
        <f>IFERROR(__xludf.DUMMYFUNCTION("""COMPUTED_VALUE"""),2.0)</f>
        <v>2</v>
      </c>
      <c r="F1280" s="6">
        <f>IFERROR(__xludf.DUMMYFUNCTION("""COMPUTED_VALUE"""),2.0)</f>
        <v>2</v>
      </c>
      <c r="G1280" s="6">
        <f>IFERROR(__xludf.DUMMYFUNCTION("""COMPUTED_VALUE"""),0.0)</f>
        <v>0</v>
      </c>
      <c r="H1280" s="6" t="str">
        <f>IFERROR(__xludf.DUMMYFUNCTION("""COMPUTED_VALUE"""),"pcs")</f>
        <v>pcs</v>
      </c>
      <c r="I1280" s="6" t="str">
        <f>IFERROR(__xludf.DUMMYFUNCTION("""COMPUTED_VALUE"""),"MFH")</f>
        <v>MFH</v>
      </c>
      <c r="J1280" s="6" t="str">
        <f>IFERROR(__xludf.DUMMYFUNCTION("""COMPUTED_VALUE"""),"OSD")</f>
        <v>OSD</v>
      </c>
      <c r="K1280" s="6" t="str">
        <f>IFERROR(__xludf.DUMMYFUNCTION("""COMPUTED_VALUE"""),"SPR/11/24/014")</f>
        <v>SPR/11/24/014</v>
      </c>
      <c r="L1280" s="13">
        <f>IFERROR(__xludf.DUMMYFUNCTION("""COMPUTED_VALUE"""),45607.0)</f>
        <v>45607</v>
      </c>
    </row>
    <row r="1281">
      <c r="A1281" s="6" t="str">
        <f>IFERROR(__xludf.DUMMYFUNCTION("""COMPUTED_VALUE"""),"RIA")</f>
        <v>RIA</v>
      </c>
      <c r="B1281" s="6" t="str">
        <f>IFERROR(__xludf.DUMMYFUNCTION("""COMPUTED_VALUE"""),"ENG")</f>
        <v>ENG</v>
      </c>
      <c r="C1281" s="6" t="str">
        <f>IFERROR(__xludf.DUMMYFUNCTION("""COMPUTED_VALUE"""),"-")</f>
        <v>-</v>
      </c>
      <c r="D1281" s="6" t="str">
        <f>IFERROR(__xludf.DUMMYFUNCTION("""COMPUTED_VALUE"""),"Temperature Control TK4S-14CN")</f>
        <v>Temperature Control TK4S-14CN</v>
      </c>
      <c r="E1281" s="6">
        <f>IFERROR(__xludf.DUMMYFUNCTION("""COMPUTED_VALUE"""),1.0)</f>
        <v>1</v>
      </c>
      <c r="F1281" s="6">
        <f>IFERROR(__xludf.DUMMYFUNCTION("""COMPUTED_VALUE"""),1.0)</f>
        <v>1</v>
      </c>
      <c r="G1281" s="6">
        <f>IFERROR(__xludf.DUMMYFUNCTION("""COMPUTED_VALUE"""),0.0)</f>
        <v>0</v>
      </c>
      <c r="H1281" s="6" t="str">
        <f>IFERROR(__xludf.DUMMYFUNCTION("""COMPUTED_VALUE"""),"pcs")</f>
        <v>pcs</v>
      </c>
      <c r="I1281" s="6" t="str">
        <f>IFERROR(__xludf.DUMMYFUNCTION("""COMPUTED_VALUE"""),"MFH")</f>
        <v>MFH</v>
      </c>
      <c r="J1281" s="6" t="str">
        <f>IFERROR(__xludf.DUMMYFUNCTION("""COMPUTED_VALUE"""),"Hot Water")</f>
        <v>Hot Water</v>
      </c>
      <c r="K1281" s="6" t="str">
        <f>IFERROR(__xludf.DUMMYFUNCTION("""COMPUTED_VALUE"""),"SPR/11/24/015")</f>
        <v>SPR/11/24/015</v>
      </c>
      <c r="L1281" s="13">
        <f>IFERROR(__xludf.DUMMYFUNCTION("""COMPUTED_VALUE"""),45607.0)</f>
        <v>45607</v>
      </c>
    </row>
    <row r="1282">
      <c r="A1282" s="6" t="str">
        <f>IFERROR(__xludf.DUMMYFUNCTION("""COMPUTED_VALUE"""),"RIA")</f>
        <v>RIA</v>
      </c>
      <c r="B1282" s="6" t="str">
        <f>IFERROR(__xludf.DUMMYFUNCTION("""COMPUTED_VALUE"""),"ENG")</f>
        <v>ENG</v>
      </c>
      <c r="C1282" s="6" t="str">
        <f>IFERROR(__xludf.DUMMYFUNCTION("""COMPUTED_VALUE"""),"P-52992-00")</f>
        <v>P-52992-00</v>
      </c>
      <c r="D1282" s="6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E1282" s="6">
        <f>IFERROR(__xludf.DUMMYFUNCTION("""COMPUTED_VALUE"""),2.0)</f>
        <v>2</v>
      </c>
      <c r="F1282" s="6">
        <f>IFERROR(__xludf.DUMMYFUNCTION("""COMPUTED_VALUE"""),2.0)</f>
        <v>2</v>
      </c>
      <c r="G1282" s="6">
        <f>IFERROR(__xludf.DUMMYFUNCTION("""COMPUTED_VALUE"""),0.0)</f>
        <v>0</v>
      </c>
      <c r="H1282" s="6" t="str">
        <f>IFERROR(__xludf.DUMMYFUNCTION("""COMPUTED_VALUE"""),"pcs")</f>
        <v>pcs</v>
      </c>
      <c r="I1282" s="6" t="str">
        <f>IFERROR(__xludf.DUMMYFUNCTION("""COMPUTED_VALUE"""),"MFH")</f>
        <v>MFH</v>
      </c>
      <c r="J1282" s="6" t="str">
        <f>IFERROR(__xludf.DUMMYFUNCTION("""COMPUTED_VALUE"""),"Hot Water")</f>
        <v>Hot Water</v>
      </c>
      <c r="K1282" s="6" t="str">
        <f>IFERROR(__xludf.DUMMYFUNCTION("""COMPUTED_VALUE"""),"SPR/11/24/015")</f>
        <v>SPR/11/24/015</v>
      </c>
      <c r="L1282" s="13">
        <f>IFERROR(__xludf.DUMMYFUNCTION("""COMPUTED_VALUE"""),45607.0)</f>
        <v>45607</v>
      </c>
    </row>
    <row r="1283">
      <c r="A1283" s="6" t="str">
        <f>IFERROR(__xludf.DUMMYFUNCTION("""COMPUTED_VALUE"""),"RIA")</f>
        <v>RIA</v>
      </c>
      <c r="B1283" s="6" t="str">
        <f>IFERROR(__xludf.DUMMYFUNCTION("""COMPUTED_VALUE"""),"ENG")</f>
        <v>ENG</v>
      </c>
      <c r="C1283" s="6" t="str">
        <f>IFERROR(__xludf.DUMMYFUNCTION("""COMPUTED_VALUE"""),"P-52844-00")</f>
        <v>P-52844-00</v>
      </c>
      <c r="D1283" s="6" t="str">
        <f>IFERROR(__xludf.DUMMYFUNCTION("""COMPUTED_VALUE"""),"Doshing Pump BT4B Merk Prominent; ; ;")</f>
        <v>Doshing Pump BT4B Merk Prominent; ; ;</v>
      </c>
      <c r="E1283" s="6">
        <f>IFERROR(__xludf.DUMMYFUNCTION("""COMPUTED_VALUE"""),1.0)</f>
        <v>1</v>
      </c>
      <c r="F1283" s="6">
        <f>IFERROR(__xludf.DUMMYFUNCTION("""COMPUTED_VALUE"""),1.0)</f>
        <v>1</v>
      </c>
      <c r="G1283" s="6">
        <f>IFERROR(__xludf.DUMMYFUNCTION("""COMPUTED_VALUE"""),0.0)</f>
        <v>0</v>
      </c>
      <c r="H1283" s="6" t="str">
        <f>IFERROR(__xludf.DUMMYFUNCTION("""COMPUTED_VALUE"""),"pcs")</f>
        <v>pcs</v>
      </c>
      <c r="I1283" s="6" t="str">
        <f>IFERROR(__xludf.DUMMYFUNCTION("""COMPUTED_VALUE"""),"MFH")</f>
        <v>MFH</v>
      </c>
      <c r="J1283" s="6" t="str">
        <f>IFERROR(__xludf.DUMMYFUNCTION("""COMPUTED_VALUE"""),"PWG")</f>
        <v>PWG</v>
      </c>
      <c r="K1283" s="6" t="str">
        <f>IFERROR(__xludf.DUMMYFUNCTION("""COMPUTED_VALUE"""),"SPR/11/24/015")</f>
        <v>SPR/11/24/015</v>
      </c>
      <c r="L1283" s="13">
        <f>IFERROR(__xludf.DUMMYFUNCTION("""COMPUTED_VALUE"""),45607.0)</f>
        <v>45607</v>
      </c>
    </row>
    <row r="1284">
      <c r="A1284" s="6" t="str">
        <f>IFERROR(__xludf.DUMMYFUNCTION("""COMPUTED_VALUE"""),"INN")</f>
        <v>INN</v>
      </c>
      <c r="B1284" s="6" t="str">
        <f>IFERROR(__xludf.DUMMYFUNCTION("""COMPUTED_VALUE"""),"ENG")</f>
        <v>ENG</v>
      </c>
      <c r="C1284" s="6" t="str">
        <f>IFERROR(__xludf.DUMMYFUNCTION("""COMPUTED_VALUE"""),"O-19798-00")</f>
        <v>O-19798-00</v>
      </c>
      <c r="D1284" s="6" t="str">
        <f>IFERROR(__xludf.DUMMYFUNCTION("""COMPUTED_VALUE"""),"Clamp Vacuum KF16 Alumunium; ; ;")</f>
        <v>Clamp Vacuum KF16 Alumunium; ; ;</v>
      </c>
      <c r="E1284" s="6">
        <f>IFERROR(__xludf.DUMMYFUNCTION("""COMPUTED_VALUE"""),10.0)</f>
        <v>10</v>
      </c>
      <c r="F1284" s="6">
        <f>IFERROR(__xludf.DUMMYFUNCTION("""COMPUTED_VALUE"""),10.0)</f>
        <v>10</v>
      </c>
      <c r="G1284" s="6">
        <f>IFERROR(__xludf.DUMMYFUNCTION("""COMPUTED_VALUE"""),0.0)</f>
        <v>0</v>
      </c>
      <c r="H1284" s="6" t="str">
        <f>IFERROR(__xludf.DUMMYFUNCTION("""COMPUTED_VALUE"""),"pcs")</f>
        <v>pcs</v>
      </c>
      <c r="I1284" s="6" t="str">
        <f>IFERROR(__xludf.DUMMYFUNCTION("""COMPUTED_VALUE"""),"MFH")</f>
        <v>MFH</v>
      </c>
      <c r="J1284" s="6" t="str">
        <f>IFERROR(__xludf.DUMMYFUNCTION("""COMPUTED_VALUE"""),"FD IMA")</f>
        <v>FD IMA</v>
      </c>
      <c r="K1284" s="6" t="str">
        <f>IFERROR(__xludf.DUMMYFUNCTION("""COMPUTED_VALUE"""),"SPR/11/24/016")</f>
        <v>SPR/11/24/016</v>
      </c>
      <c r="L1284" s="13">
        <f>IFERROR(__xludf.DUMMYFUNCTION("""COMPUTED_VALUE"""),45607.0)</f>
        <v>45607</v>
      </c>
    </row>
    <row r="1285">
      <c r="A1285" s="6" t="str">
        <f>IFERROR(__xludf.DUMMYFUNCTION("""COMPUTED_VALUE"""),"INN")</f>
        <v>INN</v>
      </c>
      <c r="B1285" s="6" t="str">
        <f>IFERROR(__xludf.DUMMYFUNCTION("""COMPUTED_VALUE"""),"ENG")</f>
        <v>ENG</v>
      </c>
      <c r="C1285" s="6" t="str">
        <f>IFERROR(__xludf.DUMMYFUNCTION("""COMPUTED_VALUE"""),"O-19894-00")</f>
        <v>O-19894-00</v>
      </c>
      <c r="D1285" s="6" t="str">
        <f>IFERROR(__xludf.DUMMYFUNCTION("""COMPUTED_VALUE"""),"Capping VCM200 - Guide Starwheel Vial Pom hitam 319x329x17 mm; Custom; ;")</f>
        <v>Capping VCM200 - Guide Starwheel Vial Pom hitam 319x329x17 mm; Custom; ;</v>
      </c>
      <c r="E1285" s="6">
        <f>IFERROR(__xludf.DUMMYFUNCTION("""COMPUTED_VALUE"""),1.0)</f>
        <v>1</v>
      </c>
      <c r="F1285" s="6">
        <f>IFERROR(__xludf.DUMMYFUNCTION("""COMPUTED_VALUE"""),1.0)</f>
        <v>1</v>
      </c>
      <c r="G1285" s="6">
        <f>IFERROR(__xludf.DUMMYFUNCTION("""COMPUTED_VALUE"""),0.0)</f>
        <v>0</v>
      </c>
      <c r="H1285" s="6" t="str">
        <f>IFERROR(__xludf.DUMMYFUNCTION("""COMPUTED_VALUE"""),"pcs")</f>
        <v>pcs</v>
      </c>
      <c r="I1285" s="6" t="str">
        <f>IFERROR(__xludf.DUMMYFUNCTION("""COMPUTED_VALUE"""),"MFH")</f>
        <v>MFH</v>
      </c>
      <c r="J1285" s="6" t="str">
        <f>IFERROR(__xludf.DUMMYFUNCTION("""COMPUTED_VALUE"""),"Capping")</f>
        <v>Capping</v>
      </c>
      <c r="K1285" s="6" t="str">
        <f>IFERROR(__xludf.DUMMYFUNCTION("""COMPUTED_VALUE"""),"SPR/11/24/016")</f>
        <v>SPR/11/24/016</v>
      </c>
      <c r="L1285" s="13">
        <f>IFERROR(__xludf.DUMMYFUNCTION("""COMPUTED_VALUE"""),45607.0)</f>
        <v>45607</v>
      </c>
    </row>
    <row r="1286">
      <c r="A1286" s="6" t="str">
        <f>IFERROR(__xludf.DUMMYFUNCTION("""COMPUTED_VALUE"""),"INN")</f>
        <v>INN</v>
      </c>
      <c r="B1286" s="6" t="str">
        <f>IFERROR(__xludf.DUMMYFUNCTION("""COMPUTED_VALUE"""),"ENG")</f>
        <v>ENG</v>
      </c>
      <c r="C1286" s="6" t="str">
        <f>IFERROR(__xludf.DUMMYFUNCTION("""COMPUTED_VALUE"""),"O-19953-00")</f>
        <v>O-19953-00</v>
      </c>
      <c r="D1286" s="6" t="str">
        <f>IFERROR(__xludf.DUMMYFUNCTION("""COMPUTED_VALUE"""),"Dudukan Cover Motor 243x320x550 mm, Mat SUS 304; Custom; ;")</f>
        <v>Dudukan Cover Motor 243x320x550 mm, Mat SUS 304; Custom; ;</v>
      </c>
      <c r="E1286" s="6">
        <f>IFERROR(__xludf.DUMMYFUNCTION("""COMPUTED_VALUE"""),1.0)</f>
        <v>1</v>
      </c>
      <c r="F1286" s="6">
        <f>IFERROR(__xludf.DUMMYFUNCTION("""COMPUTED_VALUE"""),1.0)</f>
        <v>1</v>
      </c>
      <c r="G1286" s="6">
        <f>IFERROR(__xludf.DUMMYFUNCTION("""COMPUTED_VALUE"""),0.0)</f>
        <v>0</v>
      </c>
      <c r="H1286" s="6" t="str">
        <f>IFERROR(__xludf.DUMMYFUNCTION("""COMPUTED_VALUE"""),"pcs")</f>
        <v>pcs</v>
      </c>
      <c r="I1286" s="6" t="str">
        <f>IFERROR(__xludf.DUMMYFUNCTION("""COMPUTED_VALUE"""),"MFH")</f>
        <v>MFH</v>
      </c>
      <c r="J1286" s="6" t="str">
        <f>IFERROR(__xludf.DUMMYFUNCTION("""COMPUTED_VALUE"""),"Autoclave")</f>
        <v>Autoclave</v>
      </c>
      <c r="K1286" s="6" t="str">
        <f>IFERROR(__xludf.DUMMYFUNCTION("""COMPUTED_VALUE"""),"SPR/11/24/016")</f>
        <v>SPR/11/24/016</v>
      </c>
      <c r="L1286" s="13">
        <f>IFERROR(__xludf.DUMMYFUNCTION("""COMPUTED_VALUE"""),45607.0)</f>
        <v>45607</v>
      </c>
    </row>
    <row r="1287">
      <c r="A1287" s="6" t="str">
        <f>IFERROR(__xludf.DUMMYFUNCTION("""COMPUTED_VALUE"""),"INN")</f>
        <v>INN</v>
      </c>
      <c r="B1287" s="6" t="str">
        <f>IFERROR(__xludf.DUMMYFUNCTION("""COMPUTED_VALUE"""),"ENG")</f>
        <v>ENG</v>
      </c>
      <c r="C1287" s="6" t="str">
        <f>IFERROR(__xludf.DUMMYFUNCTION("""COMPUTED_VALUE"""),"O-19981-00")</f>
        <v>O-19981-00</v>
      </c>
      <c r="D1287" s="6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E1287" s="6">
        <f>IFERROR(__xludf.DUMMYFUNCTION("""COMPUTED_VALUE"""),1.0)</f>
        <v>1</v>
      </c>
      <c r="F1287" s="6">
        <f>IFERROR(__xludf.DUMMYFUNCTION("""COMPUTED_VALUE"""),1.0)</f>
        <v>1</v>
      </c>
      <c r="G1287" s="6">
        <f>IFERROR(__xludf.DUMMYFUNCTION("""COMPUTED_VALUE"""),0.0)</f>
        <v>0</v>
      </c>
      <c r="H1287" s="6" t="str">
        <f>IFERROR(__xludf.DUMMYFUNCTION("""COMPUTED_VALUE"""),"pcs")</f>
        <v>pcs</v>
      </c>
      <c r="I1287" s="6" t="str">
        <f>IFERROR(__xludf.DUMMYFUNCTION("""COMPUTED_VALUE"""),"MFH")</f>
        <v>MFH</v>
      </c>
      <c r="J1287" s="6" t="str">
        <f>IFERROR(__xludf.DUMMYFUNCTION("""COMPUTED_VALUE"""),"FD IMA")</f>
        <v>FD IMA</v>
      </c>
      <c r="K1287" s="6" t="str">
        <f>IFERROR(__xludf.DUMMYFUNCTION("""COMPUTED_VALUE"""),"SPR/11/24/017")</f>
        <v>SPR/11/24/017</v>
      </c>
      <c r="L1287" s="13">
        <f>IFERROR(__xludf.DUMMYFUNCTION("""COMPUTED_VALUE"""),45607.0)</f>
        <v>45607</v>
      </c>
    </row>
    <row r="1288">
      <c r="A1288" s="6" t="str">
        <f>IFERROR(__xludf.DUMMYFUNCTION("""COMPUTED_VALUE"""),"INN")</f>
        <v>INN</v>
      </c>
      <c r="B1288" s="6" t="str">
        <f>IFERROR(__xludf.DUMMYFUNCTION("""COMPUTED_VALUE"""),"ENG")</f>
        <v>ENG</v>
      </c>
      <c r="C1288" s="6" t="str">
        <f>IFERROR(__xludf.DUMMYFUNCTION("""COMPUTED_VALUE"""),"O-54161-00")</f>
        <v>O-54161-00</v>
      </c>
      <c r="D1288" s="6" t="str">
        <f>IFERROR(__xludf.DUMMYFUNCTION("""COMPUTED_VALUE"""),"Autoclave Fedegari FVA2/A1 - Vacuum Compressor 2BV3 151-0GW02-1E; ELMO RIETSCHLE; ;")</f>
        <v>Autoclave Fedegari FVA2/A1 - Vacuum Compressor 2BV3 151-0GW02-1E; ELMO RIETSCHLE; ;</v>
      </c>
      <c r="E1288" s="6">
        <f>IFERROR(__xludf.DUMMYFUNCTION("""COMPUTED_VALUE"""),1.0)</f>
        <v>1</v>
      </c>
      <c r="F1288" s="6">
        <f>IFERROR(__xludf.DUMMYFUNCTION("""COMPUTED_VALUE"""),1.0)</f>
        <v>1</v>
      </c>
      <c r="G1288" s="6">
        <f>IFERROR(__xludf.DUMMYFUNCTION("""COMPUTED_VALUE"""),0.0)</f>
        <v>0</v>
      </c>
      <c r="H1288" s="6" t="str">
        <f>IFERROR(__xludf.DUMMYFUNCTION("""COMPUTED_VALUE"""),"Unit")</f>
        <v>Unit</v>
      </c>
      <c r="I1288" s="6" t="str">
        <f>IFERROR(__xludf.DUMMYFUNCTION("""COMPUTED_VALUE"""),"MFH")</f>
        <v>MFH</v>
      </c>
      <c r="J1288" s="6" t="str">
        <f>IFERROR(__xludf.DUMMYFUNCTION("""COMPUTED_VALUE"""),"Autoclave")</f>
        <v>Autoclave</v>
      </c>
      <c r="K1288" s="6" t="str">
        <f>IFERROR(__xludf.DUMMYFUNCTION("""COMPUTED_VALUE"""),"SPR/11/24/017")</f>
        <v>SPR/11/24/017</v>
      </c>
      <c r="L1288" s="13">
        <f>IFERROR(__xludf.DUMMYFUNCTION("""COMPUTED_VALUE"""),45607.0)</f>
        <v>45607</v>
      </c>
    </row>
    <row r="1289">
      <c r="A1289" s="6" t="str">
        <f>IFERROR(__xludf.DUMMYFUNCTION("""COMPUTED_VALUE"""),"INN")</f>
        <v>INN</v>
      </c>
      <c r="B1289" s="6" t="str">
        <f>IFERROR(__xludf.DUMMYFUNCTION("""COMPUTED_VALUE"""),"ENG")</f>
        <v>ENG</v>
      </c>
      <c r="C1289" s="6" t="str">
        <f>IFERROR(__xludf.DUMMYFUNCTION("""COMPUTED_VALUE"""),"O-19785-00")</f>
        <v>O-19785-00</v>
      </c>
      <c r="D1289" s="6" t="str">
        <f>IFERROR(__xludf.DUMMYFUNCTION("""COMPUTED_VALUE"""),"Roda Trolley Autoclave Uk. 152,2 x 30 mm; Custom; ;")</f>
        <v>Roda Trolley Autoclave Uk. 152,2 x 30 mm; Custom; ;</v>
      </c>
      <c r="E1289" s="6">
        <f>IFERROR(__xludf.DUMMYFUNCTION("""COMPUTED_VALUE"""),4.0)</f>
        <v>4</v>
      </c>
      <c r="F1289" s="6">
        <f>IFERROR(__xludf.DUMMYFUNCTION("""COMPUTED_VALUE"""),4.0)</f>
        <v>4</v>
      </c>
      <c r="G1289" s="6">
        <f>IFERROR(__xludf.DUMMYFUNCTION("""COMPUTED_VALUE"""),0.0)</f>
        <v>0</v>
      </c>
      <c r="H1289" s="6" t="str">
        <f>IFERROR(__xludf.DUMMYFUNCTION("""COMPUTED_VALUE"""),"pcs")</f>
        <v>pcs</v>
      </c>
      <c r="I1289" s="6" t="str">
        <f>IFERROR(__xludf.DUMMYFUNCTION("""COMPUTED_VALUE"""),"MFH")</f>
        <v>MFH</v>
      </c>
      <c r="J1289" s="6" t="str">
        <f>IFERROR(__xludf.DUMMYFUNCTION("""COMPUTED_VALUE"""),"Autoclave")</f>
        <v>Autoclave</v>
      </c>
      <c r="K1289" s="6" t="str">
        <f>IFERROR(__xludf.DUMMYFUNCTION("""COMPUTED_VALUE"""),"SPR/11/24/017")</f>
        <v>SPR/11/24/017</v>
      </c>
      <c r="L1289" s="13">
        <f>IFERROR(__xludf.DUMMYFUNCTION("""COMPUTED_VALUE"""),45607.0)</f>
        <v>45607</v>
      </c>
    </row>
    <row r="1290">
      <c r="A1290" s="6" t="str">
        <f>IFERROR(__xludf.DUMMYFUNCTION("""COMPUTED_VALUE"""),"INN")</f>
        <v>INN</v>
      </c>
      <c r="B1290" s="6" t="str">
        <f>IFERROR(__xludf.DUMMYFUNCTION("""COMPUTED_VALUE"""),"ENG")</f>
        <v>ENG</v>
      </c>
      <c r="C1290" s="6" t="str">
        <f>IFERROR(__xludf.DUMMYFUNCTION("""COMPUTED_VALUE"""),"O-19396-00")</f>
        <v>O-19396-00</v>
      </c>
      <c r="D1290" s="6" t="str">
        <f>IFERROR(__xludf.DUMMYFUNCTION("""COMPUTED_VALUE"""),"Capping VCM200 - Bracket Dudukan Sensor; ; ;")</f>
        <v>Capping VCM200 - Bracket Dudukan Sensor; ; ;</v>
      </c>
      <c r="E1290" s="6">
        <f>IFERROR(__xludf.DUMMYFUNCTION("""COMPUTED_VALUE"""),1.0)</f>
        <v>1</v>
      </c>
      <c r="F1290" s="6">
        <f>IFERROR(__xludf.DUMMYFUNCTION("""COMPUTED_VALUE"""),1.0)</f>
        <v>1</v>
      </c>
      <c r="G1290" s="6">
        <f>IFERROR(__xludf.DUMMYFUNCTION("""COMPUTED_VALUE"""),0.0)</f>
        <v>0</v>
      </c>
      <c r="H1290" s="6" t="str">
        <f>IFERROR(__xludf.DUMMYFUNCTION("""COMPUTED_VALUE"""),"pcs")</f>
        <v>pcs</v>
      </c>
      <c r="I1290" s="6" t="str">
        <f>IFERROR(__xludf.DUMMYFUNCTION("""COMPUTED_VALUE"""),"MFH")</f>
        <v>MFH</v>
      </c>
      <c r="J1290" s="6" t="str">
        <f>IFERROR(__xludf.DUMMYFUNCTION("""COMPUTED_VALUE"""),"Capping")</f>
        <v>Capping</v>
      </c>
      <c r="K1290" s="6" t="str">
        <f>IFERROR(__xludf.DUMMYFUNCTION("""COMPUTED_VALUE"""),"SPR/11/24/018")</f>
        <v>SPR/11/24/018</v>
      </c>
      <c r="L1290" s="13">
        <f>IFERROR(__xludf.DUMMYFUNCTION("""COMPUTED_VALUE"""),45607.0)</f>
        <v>45607</v>
      </c>
    </row>
    <row r="1291">
      <c r="A1291" s="6" t="str">
        <f>IFERROR(__xludf.DUMMYFUNCTION("""COMPUTED_VALUE"""),"INN")</f>
        <v>INN</v>
      </c>
      <c r="B1291" s="6" t="str">
        <f>IFERROR(__xludf.DUMMYFUNCTION("""COMPUTED_VALUE"""),"ENG")</f>
        <v>ENG</v>
      </c>
      <c r="C1291" s="6" t="str">
        <f>IFERROR(__xludf.DUMMYFUNCTION("""COMPUTED_VALUE"""),"O-19797-00")</f>
        <v>O-19797-00</v>
      </c>
      <c r="D1291" s="6" t="str">
        <f>IFERROR(__xludf.DUMMYFUNCTION("""COMPUTED_VALUE"""),"Dudukan Sensor Autoclave Material SUS 316L; Custom; ;")</f>
        <v>Dudukan Sensor Autoclave Material SUS 316L; Custom; ;</v>
      </c>
      <c r="E1291" s="6">
        <f>IFERROR(__xludf.DUMMYFUNCTION("""COMPUTED_VALUE"""),1.0)</f>
        <v>1</v>
      </c>
      <c r="F1291" s="6">
        <f>IFERROR(__xludf.DUMMYFUNCTION("""COMPUTED_VALUE"""),1.0)</f>
        <v>1</v>
      </c>
      <c r="G1291" s="6">
        <f>IFERROR(__xludf.DUMMYFUNCTION("""COMPUTED_VALUE"""),0.0)</f>
        <v>0</v>
      </c>
      <c r="H1291" s="6" t="str">
        <f>IFERROR(__xludf.DUMMYFUNCTION("""COMPUTED_VALUE"""),"pcs")</f>
        <v>pcs</v>
      </c>
      <c r="I1291" s="6" t="str">
        <f>IFERROR(__xludf.DUMMYFUNCTION("""COMPUTED_VALUE"""),"MFH")</f>
        <v>MFH</v>
      </c>
      <c r="J1291" s="6" t="str">
        <f>IFERROR(__xludf.DUMMYFUNCTION("""COMPUTED_VALUE"""),"Autoclave")</f>
        <v>Autoclave</v>
      </c>
      <c r="K1291" s="6" t="str">
        <f>IFERROR(__xludf.DUMMYFUNCTION("""COMPUTED_VALUE"""),"SPR/11/24/018")</f>
        <v>SPR/11/24/018</v>
      </c>
      <c r="L1291" s="13">
        <f>IFERROR(__xludf.DUMMYFUNCTION("""COMPUTED_VALUE"""),45607.0)</f>
        <v>45607</v>
      </c>
    </row>
    <row r="1292">
      <c r="A1292" s="6" t="str">
        <f>IFERROR(__xludf.DUMMYFUNCTION("""COMPUTED_VALUE"""),"DRM")</f>
        <v>DRM</v>
      </c>
      <c r="B1292" s="6" t="str">
        <f>IFERROR(__xludf.DUMMYFUNCTION("""COMPUTED_VALUE"""),"PRO")</f>
        <v>PRO</v>
      </c>
      <c r="C1292" s="6" t="str">
        <f>IFERROR(__xludf.DUMMYFUNCTION("""COMPUTED_VALUE"""),"O-13508-00")</f>
        <v>O-13508-00</v>
      </c>
      <c r="D1292" s="6" t="str">
        <f>IFERROR(__xludf.DUMMYFUNCTION("""COMPUTED_VALUE"""),"Pneumatic Fitting - QS 8-6 FESTO P/N : - pc")</f>
        <v>Pneumatic Fitting - QS 8-6 FESTO P/N : - pc</v>
      </c>
      <c r="E1292" s="6">
        <f>IFERROR(__xludf.DUMMYFUNCTION("""COMPUTED_VALUE"""),5.0)</f>
        <v>5</v>
      </c>
      <c r="F1292" s="6">
        <f>IFERROR(__xludf.DUMMYFUNCTION("""COMPUTED_VALUE"""),1.0)</f>
        <v>1</v>
      </c>
      <c r="G1292" s="6">
        <f>IFERROR(__xludf.DUMMYFUNCTION("""COMPUTED_VALUE"""),0.0)</f>
        <v>0</v>
      </c>
      <c r="H1292" s="6" t="str">
        <f>IFERROR(__xludf.DUMMYFUNCTION("""COMPUTED_VALUE"""),"pcs")</f>
        <v>pcs</v>
      </c>
      <c r="I1292" s="6" t="str">
        <f>IFERROR(__xludf.DUMMYFUNCTION("""COMPUTED_VALUE"""),"MFH")</f>
        <v>MFH</v>
      </c>
      <c r="J1292" s="6" t="str">
        <f>IFERROR(__xludf.DUMMYFUNCTION("""COMPUTED_VALUE"""),"-")</f>
        <v>-</v>
      </c>
      <c r="K1292" s="6" t="str">
        <f>IFERROR(__xludf.DUMMYFUNCTION("""COMPUTED_VALUE"""),"SPR/11/24/019")</f>
        <v>SPR/11/24/019</v>
      </c>
      <c r="L1292" s="13">
        <f>IFERROR(__xludf.DUMMYFUNCTION("""COMPUTED_VALUE"""),45607.0)</f>
        <v>45607</v>
      </c>
    </row>
    <row r="1293">
      <c r="A1293" s="6" t="str">
        <f>IFERROR(__xludf.DUMMYFUNCTION("""COMPUTED_VALUE"""),"DRM")</f>
        <v>DRM</v>
      </c>
      <c r="B1293" s="6" t="str">
        <f>IFERROR(__xludf.DUMMYFUNCTION("""COMPUTED_VALUE"""),"PRO")</f>
        <v>PRO</v>
      </c>
      <c r="C1293" s="6" t="str">
        <f>IFERROR(__xludf.DUMMYFUNCTION("""COMPUTED_VALUE"""),"P-12306-00")</f>
        <v>P-12306-00</v>
      </c>
      <c r="D1293" s="6" t="str">
        <f>IFERROR(__xludf.DUMMYFUNCTION("""COMPUTED_VALUE"""),"FESTO - QST-8 push in t- connection p/n 153130")</f>
        <v>FESTO - QST-8 push in t- connection p/n 153130</v>
      </c>
      <c r="E1293" s="6">
        <f>IFERROR(__xludf.DUMMYFUNCTION("""COMPUTED_VALUE"""),1.0)</f>
        <v>1</v>
      </c>
      <c r="F1293" s="6">
        <f>IFERROR(__xludf.DUMMYFUNCTION("""COMPUTED_VALUE"""),1.0)</f>
        <v>1</v>
      </c>
      <c r="G1293" s="6">
        <f>IFERROR(__xludf.DUMMYFUNCTION("""COMPUTED_VALUE"""),0.0)</f>
        <v>0</v>
      </c>
      <c r="H1293" s="6" t="str">
        <f>IFERROR(__xludf.DUMMYFUNCTION("""COMPUTED_VALUE"""),"pcs")</f>
        <v>pcs</v>
      </c>
      <c r="I1293" s="6" t="str">
        <f>IFERROR(__xludf.DUMMYFUNCTION("""COMPUTED_VALUE"""),"MFH")</f>
        <v>MFH</v>
      </c>
      <c r="J1293" s="6" t="str">
        <f>IFERROR(__xludf.DUMMYFUNCTION("""COMPUTED_VALUE"""),"-")</f>
        <v>-</v>
      </c>
      <c r="K1293" s="6" t="str">
        <f>IFERROR(__xludf.DUMMYFUNCTION("""COMPUTED_VALUE"""),"SPR/11/24/019")</f>
        <v>SPR/11/24/019</v>
      </c>
      <c r="L1293" s="13">
        <f>IFERROR(__xludf.DUMMYFUNCTION("""COMPUTED_VALUE"""),45607.0)</f>
        <v>45607</v>
      </c>
    </row>
    <row r="1294">
      <c r="A1294" s="6" t="str">
        <f>IFERROR(__xludf.DUMMYFUNCTION("""COMPUTED_VALUE"""),"DRM")</f>
        <v>DRM</v>
      </c>
      <c r="B1294" s="6" t="str">
        <f>IFERROR(__xludf.DUMMYFUNCTION("""COMPUTED_VALUE"""),"PRO")</f>
        <v>PRO</v>
      </c>
      <c r="C1294" s="6" t="str">
        <f>IFERROR(__xludf.DUMMYFUNCTION("""COMPUTED_VALUE"""),"O-12734-00")</f>
        <v>O-12734-00</v>
      </c>
      <c r="D1294" s="6" t="str">
        <f>IFERROR(__xludf.DUMMYFUNCTION("""COMPUTED_VALUE"""),"Tubing Polyurethane TU0805 Clear, SMC, roll SINAR MUTIARA CAKRABUANA, PT P/N : X3 pc")</f>
        <v>Tubing Polyurethane TU0805 Clear, SMC, roll SINAR MUTIARA CAKRABUANA, PT P/N : X3 pc</v>
      </c>
      <c r="E1294" s="6">
        <f>IFERROR(__xludf.DUMMYFUNCTION("""COMPUTED_VALUE"""),50.0)</f>
        <v>50</v>
      </c>
      <c r="F1294" s="6">
        <f>IFERROR(__xludf.DUMMYFUNCTION("""COMPUTED_VALUE"""),50.0)</f>
        <v>50</v>
      </c>
      <c r="G1294" s="6">
        <f>IFERROR(__xludf.DUMMYFUNCTION("""COMPUTED_VALUE"""),0.0)</f>
        <v>0</v>
      </c>
      <c r="H1294" s="6" t="str">
        <f>IFERROR(__xludf.DUMMYFUNCTION("""COMPUTED_VALUE"""),"pcs")</f>
        <v>pcs</v>
      </c>
      <c r="I1294" s="6" t="str">
        <f>IFERROR(__xludf.DUMMYFUNCTION("""COMPUTED_VALUE"""),"MFH")</f>
        <v>MFH</v>
      </c>
      <c r="J1294" s="6" t="str">
        <f>IFERROR(__xludf.DUMMYFUNCTION("""COMPUTED_VALUE"""),"-")</f>
        <v>-</v>
      </c>
      <c r="K1294" s="6" t="str">
        <f>IFERROR(__xludf.DUMMYFUNCTION("""COMPUTED_VALUE"""),"SPR/11/24/019")</f>
        <v>SPR/11/24/019</v>
      </c>
      <c r="L1294" s="13">
        <f>IFERROR(__xludf.DUMMYFUNCTION("""COMPUTED_VALUE"""),45607.0)</f>
        <v>45607</v>
      </c>
    </row>
    <row r="1295">
      <c r="A1295" s="6" t="str">
        <f>IFERROR(__xludf.DUMMYFUNCTION("""COMPUTED_VALUE"""),"JRI")</f>
        <v>JRI</v>
      </c>
      <c r="B1295" s="6" t="str">
        <f>IFERROR(__xludf.DUMMYFUNCTION("""COMPUTED_VALUE"""),"QAS")</f>
        <v>QAS</v>
      </c>
      <c r="C1295" s="6" t="str">
        <f>IFERROR(__xludf.DUMMYFUNCTION("""COMPUTED_VALUE"""),"T-80037-00")</f>
        <v>T-80037-00</v>
      </c>
      <c r="D1295" s="6" t="str">
        <f>IFERROR(__xludf.DUMMYFUNCTION("""COMPUTED_VALUE"""),"Batterai Size AA")</f>
        <v>Batterai Size AA</v>
      </c>
      <c r="E1295" s="6">
        <f>IFERROR(__xludf.DUMMYFUNCTION("""COMPUTED_VALUE"""),1.0)</f>
        <v>1</v>
      </c>
      <c r="F1295" s="6">
        <f>IFERROR(__xludf.DUMMYFUNCTION("""COMPUTED_VALUE"""),1.0)</f>
        <v>1</v>
      </c>
      <c r="G1295" s="6">
        <f>IFERROR(__xludf.DUMMYFUNCTION("""COMPUTED_VALUE"""),0.0)</f>
        <v>0</v>
      </c>
      <c r="H1295" s="6" t="str">
        <f>IFERROR(__xludf.DUMMYFUNCTION("""COMPUTED_VALUE"""),"pcs")</f>
        <v>pcs</v>
      </c>
      <c r="I1295" s="6" t="str">
        <f>IFERROR(__xludf.DUMMYFUNCTION("""COMPUTED_VALUE"""),"MFH")</f>
        <v>MFH</v>
      </c>
      <c r="J1295" s="6" t="str">
        <f>IFERROR(__xludf.DUMMYFUNCTION("""COMPUTED_VALUE"""),"-")</f>
        <v>-</v>
      </c>
      <c r="K1295" s="6" t="str">
        <f>IFERROR(__xludf.DUMMYFUNCTION("""COMPUTED_VALUE"""),"SPR/11/24/020")</f>
        <v>SPR/11/24/020</v>
      </c>
      <c r="L1295" s="13">
        <f>IFERROR(__xludf.DUMMYFUNCTION("""COMPUTED_VALUE"""),45607.0)</f>
        <v>45607</v>
      </c>
    </row>
    <row r="1296">
      <c r="A1296" s="6" t="str">
        <f>IFERROR(__xludf.DUMMYFUNCTION("""COMPUTED_VALUE"""),"MRN")</f>
        <v>MRN</v>
      </c>
      <c r="B1296" s="6" t="str">
        <f>IFERROR(__xludf.DUMMYFUNCTION("""COMPUTED_VALUE"""),"ENG")</f>
        <v>ENG</v>
      </c>
      <c r="C1296" s="6" t="str">
        <f>IFERROR(__xludf.DUMMYFUNCTION("""COMPUTED_VALUE"""),"P-51560-00")</f>
        <v>P-51560-00</v>
      </c>
      <c r="D1296" s="6" t="str">
        <f>IFERROR(__xludf.DUMMYFUNCTION("""COMPUTED_VALUE"""),"Lampu T5 28watt Putih; Phillips; ;")</f>
        <v>Lampu T5 28watt Putih; Phillips; ;</v>
      </c>
      <c r="E1296" s="6">
        <f>IFERROR(__xludf.DUMMYFUNCTION("""COMPUTED_VALUE"""),4.0)</f>
        <v>4</v>
      </c>
      <c r="F1296" s="6">
        <f>IFERROR(__xludf.DUMMYFUNCTION("""COMPUTED_VALUE"""),4.0)</f>
        <v>4</v>
      </c>
      <c r="G1296" s="6">
        <f>IFERROR(__xludf.DUMMYFUNCTION("""COMPUTED_VALUE"""),0.0)</f>
        <v>0</v>
      </c>
      <c r="H1296" s="6" t="str">
        <f>IFERROR(__xludf.DUMMYFUNCTION("""COMPUTED_VALUE"""),"pcs")</f>
        <v>pcs</v>
      </c>
      <c r="I1296" s="6" t="str">
        <f>IFERROR(__xludf.DUMMYFUNCTION("""COMPUTED_VALUE"""),"MFH")</f>
        <v>MFH</v>
      </c>
      <c r="J1296" s="6" t="str">
        <f>IFERROR(__xludf.DUMMYFUNCTION("""COMPUTED_VALUE"""),"-")</f>
        <v>-</v>
      </c>
      <c r="K1296" s="6" t="str">
        <f>IFERROR(__xludf.DUMMYFUNCTION("""COMPUTED_VALUE"""),"SPR/11/24/021")</f>
        <v>SPR/11/24/021</v>
      </c>
      <c r="L1296" s="13">
        <f>IFERROR(__xludf.DUMMYFUNCTION("""COMPUTED_VALUE"""),45607.0)</f>
        <v>45607</v>
      </c>
    </row>
    <row r="1297">
      <c r="A1297" s="6" t="str">
        <f>IFERROR(__xludf.DUMMYFUNCTION("""COMPUTED_VALUE"""),"RIA")</f>
        <v>RIA</v>
      </c>
      <c r="B1297" s="6" t="str">
        <f>IFERROR(__xludf.DUMMYFUNCTION("""COMPUTED_VALUE"""),"ENG")</f>
        <v>ENG</v>
      </c>
      <c r="C1297" s="6" t="str">
        <f>IFERROR(__xludf.DUMMYFUNCTION("""COMPUTED_VALUE"""),"Q-60501-00")</f>
        <v>Q-60501-00</v>
      </c>
      <c r="D1297" s="6" t="str">
        <f>IFERROR(__xludf.DUMMYFUNCTION("""COMPUTED_VALUE"""),"Silicone Sealant, Silglaze, Type N10 Clear, pack size per pcs")</f>
        <v>Silicone Sealant, Silglaze, Type N10 Clear, pack size per pcs</v>
      </c>
      <c r="E1297" s="6">
        <f>IFERROR(__xludf.DUMMYFUNCTION("""COMPUTED_VALUE"""),16.0)</f>
        <v>16</v>
      </c>
      <c r="F1297" s="6">
        <f>IFERROR(__xludf.DUMMYFUNCTION("""COMPUTED_VALUE"""),1.0)</f>
        <v>1</v>
      </c>
      <c r="G1297" s="6">
        <f>IFERROR(__xludf.DUMMYFUNCTION("""COMPUTED_VALUE"""),0.0)</f>
        <v>0</v>
      </c>
      <c r="H1297" s="6" t="str">
        <f>IFERROR(__xludf.DUMMYFUNCTION("""COMPUTED_VALUE"""),"pcs")</f>
        <v>pcs</v>
      </c>
      <c r="I1297" s="6" t="str">
        <f>IFERROR(__xludf.DUMMYFUNCTION("""COMPUTED_VALUE"""),"MFH")</f>
        <v>MFH</v>
      </c>
      <c r="J1297" s="6" t="str">
        <f>IFERROR(__xludf.DUMMYFUNCTION("""COMPUTED_VALUE"""),"OSD")</f>
        <v>OSD</v>
      </c>
      <c r="K1297" s="6" t="str">
        <f>IFERROR(__xludf.DUMMYFUNCTION("""COMPUTED_VALUE"""),"SPR/11/24/022")</f>
        <v>SPR/11/24/022</v>
      </c>
      <c r="L1297" s="13">
        <f>IFERROR(__xludf.DUMMYFUNCTION("""COMPUTED_VALUE"""),45607.0)</f>
        <v>45607</v>
      </c>
    </row>
    <row r="1298">
      <c r="A1298" s="6" t="str">
        <f>IFERROR(__xludf.DUMMYFUNCTION("""COMPUTED_VALUE"""),"RIA")</f>
        <v>RIA</v>
      </c>
      <c r="B1298" s="6" t="str">
        <f>IFERROR(__xludf.DUMMYFUNCTION("""COMPUTED_VALUE"""),"ENG")</f>
        <v>ENG</v>
      </c>
      <c r="C1298" s="6" t="str">
        <f>IFERROR(__xludf.DUMMYFUNCTION("""COMPUTED_VALUE"""),"P-52662-00")</f>
        <v>P-52662-00</v>
      </c>
      <c r="D1298" s="6" t="str">
        <f>IFERROR(__xludf.DUMMYFUNCTION("""COMPUTED_VALUE"""),"Temperature Controller - TK4S- 14SN 100-240 VAC AUTONICS; ; ;")</f>
        <v>Temperature Controller - TK4S- 14SN 100-240 VAC AUTONICS; ; ;</v>
      </c>
      <c r="E1298" s="6">
        <f>IFERROR(__xludf.DUMMYFUNCTION("""COMPUTED_VALUE"""),1.0)</f>
        <v>1</v>
      </c>
      <c r="F1298" s="6">
        <f>IFERROR(__xludf.DUMMYFUNCTION("""COMPUTED_VALUE"""),1.0)</f>
        <v>1</v>
      </c>
      <c r="G1298" s="6">
        <f>IFERROR(__xludf.DUMMYFUNCTION("""COMPUTED_VALUE"""),0.0)</f>
        <v>0</v>
      </c>
      <c r="H1298" s="6" t="str">
        <f>IFERROR(__xludf.DUMMYFUNCTION("""COMPUTED_VALUE"""),"pcs")</f>
        <v>pcs</v>
      </c>
      <c r="I1298" s="6" t="str">
        <f>IFERROR(__xludf.DUMMYFUNCTION("""COMPUTED_VALUE"""),"MFH")</f>
        <v>MFH</v>
      </c>
      <c r="J1298" s="6" t="str">
        <f>IFERROR(__xludf.DUMMYFUNCTION("""COMPUTED_VALUE"""),"PW SKID")</f>
        <v>PW SKID</v>
      </c>
      <c r="K1298" s="6" t="str">
        <f>IFERROR(__xludf.DUMMYFUNCTION("""COMPUTED_VALUE"""),"SPR/11/24/022")</f>
        <v>SPR/11/24/022</v>
      </c>
      <c r="L1298" s="13">
        <f>IFERROR(__xludf.DUMMYFUNCTION("""COMPUTED_VALUE"""),45607.0)</f>
        <v>45607</v>
      </c>
    </row>
    <row r="1299">
      <c r="A1299" s="6" t="str">
        <f>IFERROR(__xludf.DUMMYFUNCTION("""COMPUTED_VALUE"""),"SHF")</f>
        <v>SHF</v>
      </c>
      <c r="B1299" s="6" t="str">
        <f>IFERROR(__xludf.DUMMYFUNCTION("""COMPUTED_VALUE"""),"ENG")</f>
        <v>ENG</v>
      </c>
      <c r="C1299" s="6" t="str">
        <f>IFERROR(__xludf.DUMMYFUNCTION("""COMPUTED_VALUE"""),"P-11694-00")</f>
        <v>P-11694-00</v>
      </c>
      <c r="D1299" s="6" t="str">
        <f>IFERROR(__xludf.DUMMYFUNCTION("""COMPUTED_VALUE"""),"Mata Gerinda 4""")</f>
        <v>Mata Gerinda 4"</v>
      </c>
      <c r="E1299" s="6">
        <f>IFERROR(__xludf.DUMMYFUNCTION("""COMPUTED_VALUE"""),20.0)</f>
        <v>20</v>
      </c>
      <c r="F1299" s="6">
        <f>IFERROR(__xludf.DUMMYFUNCTION("""COMPUTED_VALUE"""),1.0)</f>
        <v>1</v>
      </c>
      <c r="G1299" s="6">
        <f>IFERROR(__xludf.DUMMYFUNCTION("""COMPUTED_VALUE"""),19.0)</f>
        <v>19</v>
      </c>
      <c r="H1299" s="6" t="str">
        <f>IFERROR(__xludf.DUMMYFUNCTION("""COMPUTED_VALUE"""),"pcs")</f>
        <v>pcs</v>
      </c>
      <c r="I1299" s="6" t="str">
        <f>IFERROR(__xludf.DUMMYFUNCTION("""COMPUTED_VALUE"""),"MFH")</f>
        <v>MFH</v>
      </c>
      <c r="J1299" s="6" t="str">
        <f>IFERROR(__xludf.DUMMYFUNCTION("""COMPUTED_VALUE"""),"Workshop")</f>
        <v>Workshop</v>
      </c>
      <c r="K1299" s="6" t="str">
        <f>IFERROR(__xludf.DUMMYFUNCTION("""COMPUTED_VALUE"""),"SPR/11/24/023")</f>
        <v>SPR/11/24/023</v>
      </c>
      <c r="L1299" s="13">
        <f>IFERROR(__xludf.DUMMYFUNCTION("""COMPUTED_VALUE"""),45607.0)</f>
        <v>45607</v>
      </c>
    </row>
    <row r="1300">
      <c r="A1300" s="6" t="str">
        <f>IFERROR(__xludf.DUMMYFUNCTION("""COMPUTED_VALUE"""),"SFH")</f>
        <v>SFH</v>
      </c>
      <c r="B1300" s="6" t="str">
        <f>IFERROR(__xludf.DUMMYFUNCTION("""COMPUTED_VALUE"""),"ENG")</f>
        <v>ENG</v>
      </c>
      <c r="C1300" s="6" t="str">
        <f>IFERROR(__xludf.DUMMYFUNCTION("""COMPUTED_VALUE"""),"P-17645-00")</f>
        <v>P-17645-00</v>
      </c>
      <c r="D1300" s="6" t="str">
        <f>IFERROR(__xludf.DUMMYFUNCTION("""COMPUTED_VALUE"""),"Sodium Hiphoclorite; ; ; ltr")</f>
        <v>Sodium Hiphoclorite; ; ; ltr</v>
      </c>
      <c r="E1300" s="6">
        <f>IFERROR(__xludf.DUMMYFUNCTION("""COMPUTED_VALUE"""),140.0)</f>
        <v>140</v>
      </c>
      <c r="F1300" s="6">
        <f>IFERROR(__xludf.DUMMYFUNCTION("""COMPUTED_VALUE"""),60.0)</f>
        <v>60</v>
      </c>
      <c r="G1300" s="6">
        <f>IFERROR(__xludf.DUMMYFUNCTION("""COMPUTED_VALUE"""),0.0)</f>
        <v>0</v>
      </c>
      <c r="H1300" s="6" t="str">
        <f>IFERROR(__xludf.DUMMYFUNCTION("""COMPUTED_VALUE"""),"pcs")</f>
        <v>pcs</v>
      </c>
      <c r="I1300" s="6" t="str">
        <f>IFERROR(__xludf.DUMMYFUNCTION("""COMPUTED_VALUE"""),"MFH")</f>
        <v>MFH</v>
      </c>
      <c r="J1300" s="6" t="str">
        <f>IFERROR(__xludf.DUMMYFUNCTION("""COMPUTED_VALUE"""),"Building")</f>
        <v>Building</v>
      </c>
      <c r="K1300" s="6" t="str">
        <f>IFERROR(__xludf.DUMMYFUNCTION("""COMPUTED_VALUE"""),"SPR/11/24/024")</f>
        <v>SPR/11/24/024</v>
      </c>
      <c r="L1300" s="13">
        <f>IFERROR(__xludf.DUMMYFUNCTION("""COMPUTED_VALUE"""),45607.0)</f>
        <v>45607</v>
      </c>
    </row>
    <row r="1301">
      <c r="A1301" s="6" t="str">
        <f>IFERROR(__xludf.DUMMYFUNCTION("""COMPUTED_VALUE"""),"NDS")</f>
        <v>NDS</v>
      </c>
      <c r="B1301" s="6" t="str">
        <f>IFERROR(__xludf.DUMMYFUNCTION("""COMPUTED_VALUE"""),"ENG")</f>
        <v>ENG</v>
      </c>
      <c r="C1301" s="6" t="str">
        <f>IFERROR(__xludf.DUMMYFUNCTION("""COMPUTED_VALUE"""),"P-13383-00")</f>
        <v>P-13383-00</v>
      </c>
      <c r="D1301" s="6" t="str">
        <f>IFERROR(__xludf.DUMMYFUNCTION("""COMPUTED_VALUE"""),"Silicone Sealant High Temp Red; ; ;")</f>
        <v>Silicone Sealant High Temp Red; ; ;</v>
      </c>
      <c r="E1301" s="6">
        <f>IFERROR(__xludf.DUMMYFUNCTION("""COMPUTED_VALUE"""),2.0)</f>
        <v>2</v>
      </c>
      <c r="F1301" s="6">
        <f>IFERROR(__xludf.DUMMYFUNCTION("""COMPUTED_VALUE"""),1.0)</f>
        <v>1</v>
      </c>
      <c r="G1301" s="6">
        <f>IFERROR(__xludf.DUMMYFUNCTION("""COMPUTED_VALUE"""),0.0)</f>
        <v>0</v>
      </c>
      <c r="H1301" s="6" t="str">
        <f>IFERROR(__xludf.DUMMYFUNCTION("""COMPUTED_VALUE"""),"pcs")</f>
        <v>pcs</v>
      </c>
      <c r="I1301" s="6" t="str">
        <f>IFERROR(__xludf.DUMMYFUNCTION("""COMPUTED_VALUE"""),"MFH")</f>
        <v>MFH</v>
      </c>
      <c r="J1301" s="6" t="str">
        <f>IFERROR(__xludf.DUMMYFUNCTION("""COMPUTED_VALUE"""),"Autoclave")</f>
        <v>Autoclave</v>
      </c>
      <c r="K1301" s="6" t="str">
        <f>IFERROR(__xludf.DUMMYFUNCTION("""COMPUTED_VALUE"""),"SPR/11/24/025")</f>
        <v>SPR/11/24/025</v>
      </c>
      <c r="L1301" s="13">
        <f>IFERROR(__xludf.DUMMYFUNCTION("""COMPUTED_VALUE"""),45607.0)</f>
        <v>45607</v>
      </c>
    </row>
    <row r="1302">
      <c r="A1302" s="6" t="str">
        <f>IFERROR(__xludf.DUMMYFUNCTION("""COMPUTED_VALUE"""),"AAA")</f>
        <v>AAA</v>
      </c>
      <c r="B1302" s="6" t="str">
        <f>IFERROR(__xludf.DUMMYFUNCTION("""COMPUTED_VALUE"""),"ENG")</f>
        <v>ENG</v>
      </c>
      <c r="C1302" s="6" t="str">
        <f>IFERROR(__xludf.DUMMYFUNCTION("""COMPUTED_VALUE"""),"O-19796-00")</f>
        <v>O-19796-00</v>
      </c>
      <c r="D1302" s="6" t="str">
        <f>IFERROR(__xludf.DUMMYFUNCTION("""COMPUTED_VALUE"""),"Blind Plate for Clamp KF16 SS304; ; ;")</f>
        <v>Blind Plate for Clamp KF16 SS304; ; ;</v>
      </c>
      <c r="E1302" s="6">
        <f>IFERROR(__xludf.DUMMYFUNCTION("""COMPUTED_VALUE"""),2.0)</f>
        <v>2</v>
      </c>
      <c r="F1302" s="6">
        <f>IFERROR(__xludf.DUMMYFUNCTION("""COMPUTED_VALUE"""),2.0)</f>
        <v>2</v>
      </c>
      <c r="G1302" s="6">
        <f>IFERROR(__xludf.DUMMYFUNCTION("""COMPUTED_VALUE"""),0.0)</f>
        <v>0</v>
      </c>
      <c r="H1302" s="6" t="str">
        <f>IFERROR(__xludf.DUMMYFUNCTION("""COMPUTED_VALUE"""),"pcs")</f>
        <v>pcs</v>
      </c>
      <c r="I1302" s="6" t="str">
        <f>IFERROR(__xludf.DUMMYFUNCTION("""COMPUTED_VALUE"""),"MFH")</f>
        <v>MFH</v>
      </c>
      <c r="J1302" s="6" t="str">
        <f>IFERROR(__xludf.DUMMYFUNCTION("""COMPUTED_VALUE"""),"FD IMA")</f>
        <v>FD IMA</v>
      </c>
      <c r="K1302" s="6" t="str">
        <f>IFERROR(__xludf.DUMMYFUNCTION("""COMPUTED_VALUE"""),"SPR/11/24/026")</f>
        <v>SPR/11/24/026</v>
      </c>
      <c r="L1302" s="13">
        <f>IFERROR(__xludf.DUMMYFUNCTION("""COMPUTED_VALUE"""),45615.0)</f>
        <v>45615</v>
      </c>
    </row>
    <row r="1303">
      <c r="A1303" s="6" t="str">
        <f>IFERROR(__xludf.DUMMYFUNCTION("""COMPUTED_VALUE"""),"SHF")</f>
        <v>SHF</v>
      </c>
      <c r="B1303" s="6" t="str">
        <f>IFERROR(__xludf.DUMMYFUNCTION("""COMPUTED_VALUE"""),"ENG")</f>
        <v>ENG</v>
      </c>
      <c r="C1303" s="6" t="str">
        <f>IFERROR(__xludf.DUMMYFUNCTION("""COMPUTED_VALUE"""),"P-15851-00")</f>
        <v>P-15851-00</v>
      </c>
      <c r="D1303" s="6" t="str">
        <f>IFERROR(__xludf.DUMMYFUNCTION("""COMPUTED_VALUE"""),"AMPLAS EAGLE 100")</f>
        <v>AMPLAS EAGLE 100</v>
      </c>
      <c r="E1303" s="6">
        <f>IFERROR(__xludf.DUMMYFUNCTION("""COMPUTED_VALUE"""),2.0)</f>
        <v>2</v>
      </c>
      <c r="F1303" s="6">
        <f>IFERROR(__xludf.DUMMYFUNCTION("""COMPUTED_VALUE"""),2.0)</f>
        <v>2</v>
      </c>
      <c r="G1303" s="6">
        <f>IFERROR(__xludf.DUMMYFUNCTION("""COMPUTED_VALUE"""),0.0)</f>
        <v>0</v>
      </c>
      <c r="H1303" s="6" t="str">
        <f>IFERROR(__xludf.DUMMYFUNCTION("""COMPUTED_VALUE"""),"pcs")</f>
        <v>pcs</v>
      </c>
      <c r="I1303" s="6" t="str">
        <f>IFERROR(__xludf.DUMMYFUNCTION("""COMPUTED_VALUE"""),"MFH")</f>
        <v>MFH</v>
      </c>
      <c r="J1303" s="6" t="str">
        <f>IFERROR(__xludf.DUMMYFUNCTION("""COMPUTED_VALUE"""),"Workshop")</f>
        <v>Workshop</v>
      </c>
      <c r="K1303" s="6" t="str">
        <f>IFERROR(__xludf.DUMMYFUNCTION("""COMPUTED_VALUE"""),"SPR/11/24/027")</f>
        <v>SPR/11/24/027</v>
      </c>
      <c r="L1303" s="13">
        <f>IFERROR(__xludf.DUMMYFUNCTION("""COMPUTED_VALUE"""),45615.0)</f>
        <v>45615</v>
      </c>
    </row>
    <row r="1304">
      <c r="A1304" s="6" t="str">
        <f>IFERROR(__xludf.DUMMYFUNCTION("""COMPUTED_VALUE"""),"SFH")</f>
        <v>SFH</v>
      </c>
      <c r="B1304" s="6" t="str">
        <f>IFERROR(__xludf.DUMMYFUNCTION("""COMPUTED_VALUE"""),"ENG")</f>
        <v>ENG</v>
      </c>
      <c r="C1304" s="6" t="str">
        <f>IFERROR(__xludf.DUMMYFUNCTION("""COMPUTED_VALUE"""),"Q-60026-00")</f>
        <v>Q-60026-00</v>
      </c>
      <c r="D1304" s="6" t="str">
        <f>IFERROR(__xludf.DUMMYFUNCTION("""COMPUTED_VALUE"""),"Kuas 2"" Eterna")</f>
        <v>Kuas 2" Eterna</v>
      </c>
      <c r="E1304" s="6">
        <f>IFERROR(__xludf.DUMMYFUNCTION("""COMPUTED_VALUE"""),1.0)</f>
        <v>1</v>
      </c>
      <c r="F1304" s="6">
        <f>IFERROR(__xludf.DUMMYFUNCTION("""COMPUTED_VALUE"""),1.0)</f>
        <v>1</v>
      </c>
      <c r="G1304" s="6">
        <f>IFERROR(__xludf.DUMMYFUNCTION("""COMPUTED_VALUE"""),0.0)</f>
        <v>0</v>
      </c>
      <c r="H1304" s="6" t="str">
        <f>IFERROR(__xludf.DUMMYFUNCTION("""COMPUTED_VALUE"""),"pcs")</f>
        <v>pcs</v>
      </c>
      <c r="I1304" s="6" t="str">
        <f>IFERROR(__xludf.DUMMYFUNCTION("""COMPUTED_VALUE"""),"MFH")</f>
        <v>MFH</v>
      </c>
      <c r="J1304" s="6" t="str">
        <f>IFERROR(__xludf.DUMMYFUNCTION("""COMPUTED_VALUE"""),"Building")</f>
        <v>Building</v>
      </c>
      <c r="K1304" s="6" t="str">
        <f>IFERROR(__xludf.DUMMYFUNCTION("""COMPUTED_VALUE"""),"SPR/11/24/028")</f>
        <v>SPR/11/24/028</v>
      </c>
      <c r="L1304" s="13">
        <f>IFERROR(__xludf.DUMMYFUNCTION("""COMPUTED_VALUE"""),45615.0)</f>
        <v>45615</v>
      </c>
    </row>
    <row r="1305">
      <c r="A1305" s="6" t="str">
        <f>IFERROR(__xludf.DUMMYFUNCTION("""COMPUTED_VALUE"""),"SFH")</f>
        <v>SFH</v>
      </c>
      <c r="B1305" s="6" t="str">
        <f>IFERROR(__xludf.DUMMYFUNCTION("""COMPUTED_VALUE"""),"ENG")</f>
        <v>ENG</v>
      </c>
      <c r="C1305" s="6" t="str">
        <f>IFERROR(__xludf.DUMMYFUNCTION("""COMPUTED_VALUE"""),"Q-10153-00")</f>
        <v>Q-10153-00</v>
      </c>
      <c r="D1305" s="6" t="str">
        <f>IFERROR(__xludf.DUMMYFUNCTION("""COMPUTED_VALUE"""),"Roller cat 110mm")</f>
        <v>Roller cat 110mm</v>
      </c>
      <c r="E1305" s="6">
        <f>IFERROR(__xludf.DUMMYFUNCTION("""COMPUTED_VALUE"""),2.0)</f>
        <v>2</v>
      </c>
      <c r="F1305" s="6">
        <f>IFERROR(__xludf.DUMMYFUNCTION("""COMPUTED_VALUE"""),2.0)</f>
        <v>2</v>
      </c>
      <c r="G1305" s="6">
        <f>IFERROR(__xludf.DUMMYFUNCTION("""COMPUTED_VALUE"""),0.0)</f>
        <v>0</v>
      </c>
      <c r="H1305" s="6" t="str">
        <f>IFERROR(__xludf.DUMMYFUNCTION("""COMPUTED_VALUE"""),"pcs")</f>
        <v>pcs</v>
      </c>
      <c r="I1305" s="6" t="str">
        <f>IFERROR(__xludf.DUMMYFUNCTION("""COMPUTED_VALUE"""),"MFH")</f>
        <v>MFH</v>
      </c>
      <c r="J1305" s="6" t="str">
        <f>IFERROR(__xludf.DUMMYFUNCTION("""COMPUTED_VALUE"""),"-")</f>
        <v>-</v>
      </c>
      <c r="K1305" s="6" t="str">
        <f>IFERROR(__xludf.DUMMYFUNCTION("""COMPUTED_VALUE"""),"SPR/11/24/028")</f>
        <v>SPR/11/24/028</v>
      </c>
      <c r="L1305" s="13">
        <f>IFERROR(__xludf.DUMMYFUNCTION("""COMPUTED_VALUE"""),45615.0)</f>
        <v>45615</v>
      </c>
    </row>
    <row r="1306">
      <c r="A1306" s="6" t="str">
        <f>IFERROR(__xludf.DUMMYFUNCTION("""COMPUTED_VALUE"""),"ANO")</f>
        <v>ANO</v>
      </c>
      <c r="B1306" s="6" t="str">
        <f>IFERROR(__xludf.DUMMYFUNCTION("""COMPUTED_VALUE"""),"ENG")</f>
        <v>ENG</v>
      </c>
      <c r="C1306" s="6" t="str">
        <f>IFERROR(__xludf.DUMMYFUNCTION("""COMPUTED_VALUE"""),"O-15931-00")</f>
        <v>O-15931-00</v>
      </c>
      <c r="D1306" s="6" t="str">
        <f>IFERROR(__xludf.DUMMYFUNCTION("""COMPUTED_VALUE"""),"Double Tape 3M 1"" Merah - P/N : - pc")</f>
        <v>Double Tape 3M 1" Merah - P/N : - pc</v>
      </c>
      <c r="E1306" s="6">
        <f>IFERROR(__xludf.DUMMYFUNCTION("""COMPUTED_VALUE"""),1.0)</f>
        <v>1</v>
      </c>
      <c r="F1306" s="6">
        <f>IFERROR(__xludf.DUMMYFUNCTION("""COMPUTED_VALUE"""),1.0)</f>
        <v>1</v>
      </c>
      <c r="G1306" s="6">
        <f>IFERROR(__xludf.DUMMYFUNCTION("""COMPUTED_VALUE"""),0.0)</f>
        <v>0</v>
      </c>
      <c r="H1306" s="6" t="str">
        <f>IFERROR(__xludf.DUMMYFUNCTION("""COMPUTED_VALUE"""),"pcs")</f>
        <v>pcs</v>
      </c>
      <c r="I1306" s="6" t="str">
        <f>IFERROR(__xludf.DUMMYFUNCTION("""COMPUTED_VALUE"""),"MFH")</f>
        <v>MFH</v>
      </c>
      <c r="J1306" s="6" t="str">
        <f>IFERROR(__xludf.DUMMYFUNCTION("""COMPUTED_VALUE"""),"cRABS")</f>
        <v>cRABS</v>
      </c>
      <c r="K1306" s="6" t="str">
        <f>IFERROR(__xludf.DUMMYFUNCTION("""COMPUTED_VALUE"""),"SPR/11/24/029")</f>
        <v>SPR/11/24/029</v>
      </c>
      <c r="L1306" s="13">
        <f>IFERROR(__xludf.DUMMYFUNCTION("""COMPUTED_VALUE"""),45615.0)</f>
        <v>45615</v>
      </c>
    </row>
    <row r="1307">
      <c r="A1307" s="6" t="str">
        <f>IFERROR(__xludf.DUMMYFUNCTION("""COMPUTED_VALUE"""),"ROS")</f>
        <v>ROS</v>
      </c>
      <c r="B1307" s="6" t="str">
        <f>IFERROR(__xludf.DUMMYFUNCTION("""COMPUTED_VALUE"""),"ENG")</f>
        <v>ENG</v>
      </c>
      <c r="C1307" s="6" t="str">
        <f>IFERROR(__xludf.DUMMYFUNCTION("""COMPUTED_VALUE"""),"T-80109-00")</f>
        <v>T-80109-00</v>
      </c>
      <c r="D1307" s="6" t="str">
        <f>IFERROR(__xludf.DUMMYFUNCTION("""COMPUTED_VALUE"""),"Cellotape Kertas 1 inch warna Putih")</f>
        <v>Cellotape Kertas 1 inch warna Putih</v>
      </c>
      <c r="E1307" s="6">
        <f>IFERROR(__xludf.DUMMYFUNCTION("""COMPUTED_VALUE"""),4.0)</f>
        <v>4</v>
      </c>
      <c r="F1307" s="6">
        <f>IFERROR(__xludf.DUMMYFUNCTION("""COMPUTED_VALUE"""),4.0)</f>
        <v>4</v>
      </c>
      <c r="G1307" s="6">
        <f>IFERROR(__xludf.DUMMYFUNCTION("""COMPUTED_VALUE"""),0.0)</f>
        <v>0</v>
      </c>
      <c r="H1307" s="6" t="str">
        <f>IFERROR(__xludf.DUMMYFUNCTION("""COMPUTED_VALUE"""),"pcs")</f>
        <v>pcs</v>
      </c>
      <c r="I1307" s="6" t="str">
        <f>IFERROR(__xludf.DUMMYFUNCTION("""COMPUTED_VALUE"""),"MFH")</f>
        <v>MFH</v>
      </c>
      <c r="J1307" s="6" t="str">
        <f>IFERROR(__xludf.DUMMYFUNCTION("""COMPUTED_VALUE"""),"Filling")</f>
        <v>Filling</v>
      </c>
      <c r="K1307" s="6" t="str">
        <f>IFERROR(__xludf.DUMMYFUNCTION("""COMPUTED_VALUE"""),"SPR/11/24/030")</f>
        <v>SPR/11/24/030</v>
      </c>
      <c r="L1307" s="13">
        <f>IFERROR(__xludf.DUMMYFUNCTION("""COMPUTED_VALUE"""),45615.0)</f>
        <v>45615</v>
      </c>
    </row>
    <row r="1308">
      <c r="A1308" s="6" t="str">
        <f>IFERROR(__xludf.DUMMYFUNCTION("""COMPUTED_VALUE"""),"ROS")</f>
        <v>ROS</v>
      </c>
      <c r="B1308" s="6" t="str">
        <f>IFERROR(__xludf.DUMMYFUNCTION("""COMPUTED_VALUE"""),"ENG")</f>
        <v>ENG</v>
      </c>
      <c r="C1308" s="6" t="str">
        <f>IFERROR(__xludf.DUMMYFUNCTION("""COMPUTED_VALUE"""),"P-50288-00")</f>
        <v>P-50288-00</v>
      </c>
      <c r="D1308" s="6" t="str">
        <f>IFERROR(__xludf.DUMMYFUNCTION("""COMPUTED_VALUE"""),"Bola Lampu - Halogen 20 W Osram")</f>
        <v>Bola Lampu - Halogen 20 W Osram</v>
      </c>
      <c r="E1308" s="6">
        <f>IFERROR(__xludf.DUMMYFUNCTION("""COMPUTED_VALUE"""),1.0)</f>
        <v>1</v>
      </c>
      <c r="F1308" s="6">
        <f>IFERROR(__xludf.DUMMYFUNCTION("""COMPUTED_VALUE"""),1.0)</f>
        <v>1</v>
      </c>
      <c r="G1308" s="6">
        <f>IFERROR(__xludf.DUMMYFUNCTION("""COMPUTED_VALUE"""),0.0)</f>
        <v>0</v>
      </c>
      <c r="H1308" s="6" t="str">
        <f>IFERROR(__xludf.DUMMYFUNCTION("""COMPUTED_VALUE"""),"pcs")</f>
        <v>pcs</v>
      </c>
      <c r="I1308" s="6" t="str">
        <f>IFERROR(__xludf.DUMMYFUNCTION("""COMPUTED_VALUE"""),"MFH")</f>
        <v>MFH</v>
      </c>
      <c r="J1308" s="6" t="str">
        <f>IFERROR(__xludf.DUMMYFUNCTION("""COMPUTED_VALUE"""),"Mixing")</f>
        <v>Mixing</v>
      </c>
      <c r="K1308" s="6" t="str">
        <f>IFERROR(__xludf.DUMMYFUNCTION("""COMPUTED_VALUE"""),"SPR/11/24/030")</f>
        <v>SPR/11/24/030</v>
      </c>
      <c r="L1308" s="13">
        <f>IFERROR(__xludf.DUMMYFUNCTION("""COMPUTED_VALUE"""),45615.0)</f>
        <v>45615</v>
      </c>
    </row>
    <row r="1309">
      <c r="A1309" s="6" t="str">
        <f>IFERROR(__xludf.DUMMYFUNCTION("""COMPUTED_VALUE"""),"MRN")</f>
        <v>MRN</v>
      </c>
      <c r="B1309" s="6" t="str">
        <f>IFERROR(__xludf.DUMMYFUNCTION("""COMPUTED_VALUE"""),"ENG")</f>
        <v>ENG</v>
      </c>
      <c r="C1309" s="6" t="str">
        <f>IFERROR(__xludf.DUMMYFUNCTION("""COMPUTED_VALUE"""),"P-54190-00")</f>
        <v>P-54190-00</v>
      </c>
      <c r="D1309" s="6" t="str">
        <f>IFERROR(__xludf.DUMMYFUNCTION("""COMPUTED_VALUE"""),"Stop Kontak IP55 16A; Legrand; ;")</f>
        <v>Stop Kontak IP55 16A; Legrand; ;</v>
      </c>
      <c r="E1309" s="6">
        <f>IFERROR(__xludf.DUMMYFUNCTION("""COMPUTED_VALUE"""),3.0)</f>
        <v>3</v>
      </c>
      <c r="F1309" s="6">
        <f>IFERROR(__xludf.DUMMYFUNCTION("""COMPUTED_VALUE"""),5.0)</f>
        <v>5</v>
      </c>
      <c r="G1309" s="6">
        <f>IFERROR(__xludf.DUMMYFUNCTION("""COMPUTED_VALUE"""),0.0)</f>
        <v>0</v>
      </c>
      <c r="H1309" s="6" t="str">
        <f>IFERROR(__xludf.DUMMYFUNCTION("""COMPUTED_VALUE"""),"pcs")</f>
        <v>pcs</v>
      </c>
      <c r="I1309" s="6" t="str">
        <f>IFERROR(__xludf.DUMMYFUNCTION("""COMPUTED_VALUE"""),"MFH")</f>
        <v>MFH</v>
      </c>
      <c r="J1309" s="6" t="str">
        <f>IFERROR(__xludf.DUMMYFUNCTION("""COMPUTED_VALUE"""),"Filling")</f>
        <v>Filling</v>
      </c>
      <c r="K1309" s="6" t="str">
        <f>IFERROR(__xludf.DUMMYFUNCTION("""COMPUTED_VALUE"""),"SPR/11/24/031")</f>
        <v>SPR/11/24/031</v>
      </c>
      <c r="L1309" s="13">
        <f>IFERROR(__xludf.DUMMYFUNCTION("""COMPUTED_VALUE"""),45615.0)</f>
        <v>45615</v>
      </c>
    </row>
    <row r="1310">
      <c r="A1310" s="6" t="str">
        <f>IFERROR(__xludf.DUMMYFUNCTION("""COMPUTED_VALUE"""),"SFH")</f>
        <v>SFH</v>
      </c>
      <c r="B1310" s="6" t="str">
        <f>IFERROR(__xludf.DUMMYFUNCTION("""COMPUTED_VALUE"""),"ENG")</f>
        <v>ENG</v>
      </c>
      <c r="C1310" s="6" t="str">
        <f>IFERROR(__xludf.DUMMYFUNCTION("""COMPUTED_VALUE"""),"Q-10331-00")</f>
        <v>Q-10331-00</v>
      </c>
      <c r="D1310" s="6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E1310" s="6">
        <f>IFERROR(__xludf.DUMMYFUNCTION("""COMPUTED_VALUE"""),17.0)</f>
        <v>17</v>
      </c>
      <c r="F1310" s="6">
        <f>IFERROR(__xludf.DUMMYFUNCTION("""COMPUTED_VALUE"""),9.0)</f>
        <v>9</v>
      </c>
      <c r="G1310" s="6">
        <f>IFERROR(__xludf.DUMMYFUNCTION("""COMPUTED_VALUE"""),0.0)</f>
        <v>0</v>
      </c>
      <c r="H1310" s="6" t="str">
        <f>IFERROR(__xludf.DUMMYFUNCTION("""COMPUTED_VALUE"""),"pcs")</f>
        <v>pcs</v>
      </c>
      <c r="I1310" s="6" t="str">
        <f>IFERROR(__xludf.DUMMYFUNCTION("""COMPUTED_VALUE"""),"MFH")</f>
        <v>MFH</v>
      </c>
      <c r="J1310" s="6" t="str">
        <f>IFERROR(__xludf.DUMMYFUNCTION("""COMPUTED_VALUE"""),"Building")</f>
        <v>Building</v>
      </c>
      <c r="K1310" s="6" t="str">
        <f>IFERROR(__xludf.DUMMYFUNCTION("""COMPUTED_VALUE"""),"SPR/11/24/033")</f>
        <v>SPR/11/24/033</v>
      </c>
      <c r="L1310" s="13">
        <f>IFERROR(__xludf.DUMMYFUNCTION("""COMPUTED_VALUE"""),45615.0)</f>
        <v>45615</v>
      </c>
    </row>
    <row r="1311">
      <c r="A1311" s="6" t="str">
        <f>IFERROR(__xludf.DUMMYFUNCTION("""COMPUTED_VALUE"""),"SFH")</f>
        <v>SFH</v>
      </c>
      <c r="B1311" s="6" t="str">
        <f>IFERROR(__xludf.DUMMYFUNCTION("""COMPUTED_VALUE"""),"ENG")</f>
        <v>ENG</v>
      </c>
      <c r="C1311" s="6" t="str">
        <f>IFERROR(__xludf.DUMMYFUNCTION("""COMPUTED_VALUE"""),"Q-10249-00")</f>
        <v>Q-10249-00</v>
      </c>
      <c r="D1311" s="6" t="str">
        <f>IFERROR(__xludf.DUMMYFUNCTION("""COMPUTED_VALUE"""),"Lem Power Glue")</f>
        <v>Lem Power Glue</v>
      </c>
      <c r="E1311" s="6">
        <f>IFERROR(__xludf.DUMMYFUNCTION("""COMPUTED_VALUE"""),1.0)</f>
        <v>1</v>
      </c>
      <c r="F1311" s="6">
        <f>IFERROR(__xludf.DUMMYFUNCTION("""COMPUTED_VALUE"""),1.0)</f>
        <v>1</v>
      </c>
      <c r="G1311" s="6">
        <f>IFERROR(__xludf.DUMMYFUNCTION("""COMPUTED_VALUE"""),0.0)</f>
        <v>0</v>
      </c>
      <c r="H1311" s="6" t="str">
        <f>IFERROR(__xludf.DUMMYFUNCTION("""COMPUTED_VALUE"""),"pcs")</f>
        <v>pcs</v>
      </c>
      <c r="I1311" s="6" t="str">
        <f>IFERROR(__xludf.DUMMYFUNCTION("""COMPUTED_VALUE"""),"MFH")</f>
        <v>MFH</v>
      </c>
      <c r="J1311" s="6" t="str">
        <f>IFERROR(__xludf.DUMMYFUNCTION("""COMPUTED_VALUE"""),"Building")</f>
        <v>Building</v>
      </c>
      <c r="K1311" s="6" t="str">
        <f>IFERROR(__xludf.DUMMYFUNCTION("""COMPUTED_VALUE"""),"SPR/11/24/033")</f>
        <v>SPR/11/24/033</v>
      </c>
      <c r="L1311" s="13">
        <f>IFERROR(__xludf.DUMMYFUNCTION("""COMPUTED_VALUE"""),45615.0)</f>
        <v>45615</v>
      </c>
    </row>
    <row r="1312">
      <c r="A1312" s="6" t="str">
        <f>IFERROR(__xludf.DUMMYFUNCTION("""COMPUTED_VALUE"""),"SFH")</f>
        <v>SFH</v>
      </c>
      <c r="B1312" s="6" t="str">
        <f>IFERROR(__xludf.DUMMYFUNCTION("""COMPUTED_VALUE"""),"ENG")</f>
        <v>ENG</v>
      </c>
      <c r="C1312" s="6" t="str">
        <f>IFERROR(__xludf.DUMMYFUNCTION("""COMPUTED_VALUE"""),"P-18554-00")</f>
        <v>P-18554-00</v>
      </c>
      <c r="D1312" s="6" t="str">
        <f>IFERROR(__xludf.DUMMYFUNCTION("""COMPUTED_VALUE"""),"Baut Hexagonal SS 304 Uk. M4 x 8; ; ;")</f>
        <v>Baut Hexagonal SS 304 Uk. M4 x 8; ; ;</v>
      </c>
      <c r="E1312" s="6">
        <f>IFERROR(__xludf.DUMMYFUNCTION("""COMPUTED_VALUE"""),2.0)</f>
        <v>2</v>
      </c>
      <c r="F1312" s="6">
        <f>IFERROR(__xludf.DUMMYFUNCTION("""COMPUTED_VALUE"""),2.0)</f>
        <v>2</v>
      </c>
      <c r="G1312" s="6">
        <f>IFERROR(__xludf.DUMMYFUNCTION("""COMPUTED_VALUE"""),0.0)</f>
        <v>0</v>
      </c>
      <c r="H1312" s="6" t="str">
        <f>IFERROR(__xludf.DUMMYFUNCTION("""COMPUTED_VALUE"""),"pcs")</f>
        <v>pcs</v>
      </c>
      <c r="I1312" s="6" t="str">
        <f>IFERROR(__xludf.DUMMYFUNCTION("""COMPUTED_VALUE"""),"MFH")</f>
        <v>MFH</v>
      </c>
      <c r="J1312" s="6" t="str">
        <f>IFERROR(__xludf.DUMMYFUNCTION("""COMPUTED_VALUE"""),"Building")</f>
        <v>Building</v>
      </c>
      <c r="K1312" s="6" t="str">
        <f>IFERROR(__xludf.DUMMYFUNCTION("""COMPUTED_VALUE"""),"SPR/11/24/033")</f>
        <v>SPR/11/24/033</v>
      </c>
      <c r="L1312" s="13">
        <f>IFERROR(__xludf.DUMMYFUNCTION("""COMPUTED_VALUE"""),45615.0)</f>
        <v>45615</v>
      </c>
    </row>
    <row r="1313">
      <c r="A1313" s="6" t="str">
        <f>IFERROR(__xludf.DUMMYFUNCTION("""COMPUTED_VALUE"""),"SHF")</f>
        <v>SHF</v>
      </c>
      <c r="B1313" s="6" t="str">
        <f>IFERROR(__xludf.DUMMYFUNCTION("""COMPUTED_VALUE"""),"ENG")</f>
        <v>ENG</v>
      </c>
      <c r="C1313" s="6" t="str">
        <f>IFERROR(__xludf.DUMMYFUNCTION("""COMPUTED_VALUE"""),"P-18646-00")</f>
        <v>P-18646-00</v>
      </c>
      <c r="D1313" s="6" t="str">
        <f>IFERROR(__xludf.DUMMYFUNCTION("""COMPUTED_VALUE"""),"Global Power Supply PN. 6R_SA2120-01C; ; ;")</f>
        <v>Global Power Supply PN. 6R_SA2120-01C; ; ;</v>
      </c>
      <c r="E1313" s="6">
        <f>IFERROR(__xludf.DUMMYFUNCTION("""COMPUTED_VALUE"""),1.0)</f>
        <v>1</v>
      </c>
      <c r="F1313" s="6">
        <f>IFERROR(__xludf.DUMMYFUNCTION("""COMPUTED_VALUE"""),1.0)</f>
        <v>1</v>
      </c>
      <c r="G1313" s="6">
        <f>IFERROR(__xludf.DUMMYFUNCTION("""COMPUTED_VALUE"""),0.0)</f>
        <v>0</v>
      </c>
      <c r="H1313" s="6" t="str">
        <f>IFERROR(__xludf.DUMMYFUNCTION("""COMPUTED_VALUE"""),"pcs")</f>
        <v>pcs</v>
      </c>
      <c r="I1313" s="6" t="str">
        <f>IFERROR(__xludf.DUMMYFUNCTION("""COMPUTED_VALUE"""),"MFH")</f>
        <v>MFH</v>
      </c>
      <c r="J1313" s="6" t="str">
        <f>IFERROR(__xludf.DUMMYFUNCTION("""COMPUTED_VALUE"""),"UPS")</f>
        <v>UPS</v>
      </c>
      <c r="K1313" s="6" t="str">
        <f>IFERROR(__xludf.DUMMYFUNCTION("""COMPUTED_VALUE"""),"SPR/11/24/034")</f>
        <v>SPR/11/24/034</v>
      </c>
      <c r="L1313" s="13">
        <f>IFERROR(__xludf.DUMMYFUNCTION("""COMPUTED_VALUE"""),45615.0)</f>
        <v>45615</v>
      </c>
    </row>
    <row r="1314">
      <c r="A1314" s="6" t="str">
        <f>IFERROR(__xludf.DUMMYFUNCTION("""COMPUTED_VALUE"""),"INN")</f>
        <v>INN</v>
      </c>
      <c r="B1314" s="6" t="str">
        <f>IFERROR(__xludf.DUMMYFUNCTION("""COMPUTED_VALUE"""),"ENG")</f>
        <v>ENG</v>
      </c>
      <c r="C1314" s="6" t="str">
        <f>IFERROR(__xludf.DUMMYFUNCTION("""COMPUTED_VALUE"""),"O-52841-00")</f>
        <v>O-52841-00</v>
      </c>
      <c r="D1314" s="6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E1314" s="6">
        <f>IFERROR(__xludf.DUMMYFUNCTION("""COMPUTED_VALUE"""),1.0)</f>
        <v>1</v>
      </c>
      <c r="F1314" s="6">
        <f>IFERROR(__xludf.DUMMYFUNCTION("""COMPUTED_VALUE"""),1.0)</f>
        <v>1</v>
      </c>
      <c r="G1314" s="6">
        <f>IFERROR(__xludf.DUMMYFUNCTION("""COMPUTED_VALUE"""),0.0)</f>
        <v>0</v>
      </c>
      <c r="H1314" s="6" t="str">
        <f>IFERROR(__xludf.DUMMYFUNCTION("""COMPUTED_VALUE"""),"pcs")</f>
        <v>pcs</v>
      </c>
      <c r="I1314" s="6" t="str">
        <f>IFERROR(__xludf.DUMMYFUNCTION("""COMPUTED_VALUE"""),"MFH")</f>
        <v>MFH</v>
      </c>
      <c r="J1314" s="6" t="str">
        <f>IFERROR(__xludf.DUMMYFUNCTION("""COMPUTED_VALUE"""),"FD IMA")</f>
        <v>FD IMA</v>
      </c>
      <c r="K1314" s="6" t="str">
        <f>IFERROR(__xludf.DUMMYFUNCTION("""COMPUTED_VALUE"""),"SPR/11/24/035")</f>
        <v>SPR/11/24/035</v>
      </c>
      <c r="L1314" s="13">
        <f>IFERROR(__xludf.DUMMYFUNCTION("""COMPUTED_VALUE"""),45615.0)</f>
        <v>45615</v>
      </c>
    </row>
    <row r="1315">
      <c r="A1315" s="6" t="str">
        <f>IFERROR(__xludf.DUMMYFUNCTION("""COMPUTED_VALUE"""),"INN")</f>
        <v>INN</v>
      </c>
      <c r="B1315" s="6" t="str">
        <f>IFERROR(__xludf.DUMMYFUNCTION("""COMPUTED_VALUE"""),"ENG")</f>
        <v>ENG</v>
      </c>
      <c r="C1315" s="6" t="str">
        <f>IFERROR(__xludf.DUMMYFUNCTION("""COMPUTED_VALUE"""),"O-19983-00")</f>
        <v>O-19983-00</v>
      </c>
      <c r="D1315" s="6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E1315" s="6">
        <f>IFERROR(__xludf.DUMMYFUNCTION("""COMPUTED_VALUE"""),1.0)</f>
        <v>1</v>
      </c>
      <c r="F1315" s="6">
        <f>IFERROR(__xludf.DUMMYFUNCTION("""COMPUTED_VALUE"""),1.0)</f>
        <v>1</v>
      </c>
      <c r="G1315" s="6">
        <f>IFERROR(__xludf.DUMMYFUNCTION("""COMPUTED_VALUE"""),0.0)</f>
        <v>0</v>
      </c>
      <c r="H1315" s="6" t="str">
        <f>IFERROR(__xludf.DUMMYFUNCTION("""COMPUTED_VALUE"""),"pcs")</f>
        <v>pcs</v>
      </c>
      <c r="I1315" s="6" t="str">
        <f>IFERROR(__xludf.DUMMYFUNCTION("""COMPUTED_VALUE"""),"MFH")</f>
        <v>MFH</v>
      </c>
      <c r="J1315" s="6" t="str">
        <f>IFERROR(__xludf.DUMMYFUNCTION("""COMPUTED_VALUE"""),"FD IMA")</f>
        <v>FD IMA</v>
      </c>
      <c r="K1315" s="6" t="str">
        <f>IFERROR(__xludf.DUMMYFUNCTION("""COMPUTED_VALUE"""),"SPR/11/24/035")</f>
        <v>SPR/11/24/035</v>
      </c>
      <c r="L1315" s="13">
        <f>IFERROR(__xludf.DUMMYFUNCTION("""COMPUTED_VALUE"""),45615.0)</f>
        <v>45615</v>
      </c>
    </row>
    <row r="1316">
      <c r="A1316" s="6" t="str">
        <f>IFERROR(__xludf.DUMMYFUNCTION("""COMPUTED_VALUE"""),"INN")</f>
        <v>INN</v>
      </c>
      <c r="B1316" s="6" t="str">
        <f>IFERROR(__xludf.DUMMYFUNCTION("""COMPUTED_VALUE"""),"ENG")</f>
        <v>ENG</v>
      </c>
      <c r="C1316" s="6" t="str">
        <f>IFERROR(__xludf.DUMMYFUNCTION("""COMPUTED_VALUE"""),"Q-10433-00")</f>
        <v>Q-10433-00</v>
      </c>
      <c r="D1316" s="6" t="str">
        <f>IFERROR(__xludf.DUMMYFUNCTION("""COMPUTED_VALUE"""),"Lampu Neon Philips TLD 15W/54-765 Cool Daylight; PHILIPS; TLD15W/54-765;")</f>
        <v>Lampu Neon Philips TLD 15W/54-765 Cool Daylight; PHILIPS; TLD15W/54-765;</v>
      </c>
      <c r="E1316" s="6">
        <f>IFERROR(__xludf.DUMMYFUNCTION("""COMPUTED_VALUE"""),2.0)</f>
        <v>2</v>
      </c>
      <c r="F1316" s="6">
        <f>IFERROR(__xludf.DUMMYFUNCTION("""COMPUTED_VALUE"""),3.0)</f>
        <v>3</v>
      </c>
      <c r="G1316" s="6">
        <f>IFERROR(__xludf.DUMMYFUNCTION("""COMPUTED_VALUE"""),0.0)</f>
        <v>0</v>
      </c>
      <c r="H1316" s="6" t="str">
        <f>IFERROR(__xludf.DUMMYFUNCTION("""COMPUTED_VALUE"""),"pcs")</f>
        <v>pcs</v>
      </c>
      <c r="I1316" s="6" t="str">
        <f>IFERROR(__xludf.DUMMYFUNCTION("""COMPUTED_VALUE"""),"MFH")</f>
        <v>MFH</v>
      </c>
      <c r="J1316" s="6" t="str">
        <f>IFERROR(__xludf.DUMMYFUNCTION("""COMPUTED_VALUE"""),"cRABS")</f>
        <v>cRABS</v>
      </c>
      <c r="K1316" s="6" t="str">
        <f>IFERROR(__xludf.DUMMYFUNCTION("""COMPUTED_VALUE"""),"SPR/11/24/035")</f>
        <v>SPR/11/24/035</v>
      </c>
      <c r="L1316" s="13">
        <f>IFERROR(__xludf.DUMMYFUNCTION("""COMPUTED_VALUE"""),45615.0)</f>
        <v>45615</v>
      </c>
    </row>
    <row r="1317">
      <c r="A1317" s="6" t="str">
        <f>IFERROR(__xludf.DUMMYFUNCTION("""COMPUTED_VALUE"""),"SFH")</f>
        <v>SFH</v>
      </c>
      <c r="B1317" s="6" t="str">
        <f>IFERROR(__xludf.DUMMYFUNCTION("""COMPUTED_VALUE"""),"ENG")</f>
        <v>ENG</v>
      </c>
      <c r="C1317" s="6" t="str">
        <f>IFERROR(__xludf.DUMMYFUNCTION("""COMPUTED_VALUE"""),"T-80109-00")</f>
        <v>T-80109-00</v>
      </c>
      <c r="D1317" s="6" t="str">
        <f>IFERROR(__xludf.DUMMYFUNCTION("""COMPUTED_VALUE"""),"Cellotape Kertas 1 inch warna Putih")</f>
        <v>Cellotape Kertas 1 inch warna Putih</v>
      </c>
      <c r="E1317" s="6">
        <f>IFERROR(__xludf.DUMMYFUNCTION("""COMPUTED_VALUE"""),1.0)</f>
        <v>1</v>
      </c>
      <c r="F1317" s="6">
        <f>IFERROR(__xludf.DUMMYFUNCTION("""COMPUTED_VALUE"""),1.0)</f>
        <v>1</v>
      </c>
      <c r="G1317" s="6">
        <f>IFERROR(__xludf.DUMMYFUNCTION("""COMPUTED_VALUE"""),0.0)</f>
        <v>0</v>
      </c>
      <c r="H1317" s="6" t="str">
        <f>IFERROR(__xludf.DUMMYFUNCTION("""COMPUTED_VALUE"""),"pcs")</f>
        <v>pcs</v>
      </c>
      <c r="I1317" s="6" t="str">
        <f>IFERROR(__xludf.DUMMYFUNCTION("""COMPUTED_VALUE"""),"MFH")</f>
        <v>MFH</v>
      </c>
      <c r="J1317" s="6" t="str">
        <f>IFERROR(__xludf.DUMMYFUNCTION("""COMPUTED_VALUE"""),"Building")</f>
        <v>Building</v>
      </c>
      <c r="K1317" s="6" t="str">
        <f>IFERROR(__xludf.DUMMYFUNCTION("""COMPUTED_VALUE"""),"SPR/11/24/036")</f>
        <v>SPR/11/24/036</v>
      </c>
      <c r="L1317" s="13">
        <f>IFERROR(__xludf.DUMMYFUNCTION("""COMPUTED_VALUE"""),45615.0)</f>
        <v>45615</v>
      </c>
    </row>
    <row r="1318">
      <c r="A1318" s="6" t="str">
        <f>IFERROR(__xludf.DUMMYFUNCTION("""COMPUTED_VALUE"""),"RIA")</f>
        <v>RIA</v>
      </c>
      <c r="B1318" s="6" t="str">
        <f>IFERROR(__xludf.DUMMYFUNCTION("""COMPUTED_VALUE"""),"ENG")</f>
        <v>ENG</v>
      </c>
      <c r="C1318" s="6" t="str">
        <f>IFERROR(__xludf.DUMMYFUNCTION("""COMPUTED_VALUE"""),"P-10945-00")</f>
        <v>P-10945-00</v>
      </c>
      <c r="D1318" s="6" t="str">
        <f>IFERROR(__xludf.DUMMYFUNCTION("""COMPUTED_VALUE"""),"Insulation - Seal Tape onda")</f>
        <v>Insulation - Seal Tape onda</v>
      </c>
      <c r="E1318" s="6">
        <f>IFERROR(__xludf.DUMMYFUNCTION("""COMPUTED_VALUE"""),1.0)</f>
        <v>1</v>
      </c>
      <c r="F1318" s="6">
        <f>IFERROR(__xludf.DUMMYFUNCTION("""COMPUTED_VALUE"""),1.0)</f>
        <v>1</v>
      </c>
      <c r="G1318" s="6">
        <f>IFERROR(__xludf.DUMMYFUNCTION("""COMPUTED_VALUE"""),0.0)</f>
        <v>0</v>
      </c>
      <c r="H1318" s="6" t="str">
        <f>IFERROR(__xludf.DUMMYFUNCTION("""COMPUTED_VALUE"""),"pcs")</f>
        <v>pcs</v>
      </c>
      <c r="I1318" s="6" t="str">
        <f>IFERROR(__xludf.DUMMYFUNCTION("""COMPUTED_VALUE"""),"MFH")</f>
        <v>MFH</v>
      </c>
      <c r="J1318" s="6" t="str">
        <f>IFERROR(__xludf.DUMMYFUNCTION("""COMPUTED_VALUE"""),"-")</f>
        <v>-</v>
      </c>
      <c r="K1318" s="6" t="str">
        <f>IFERROR(__xludf.DUMMYFUNCTION("""COMPUTED_VALUE"""),"SPR/11/24/037")</f>
        <v>SPR/11/24/037</v>
      </c>
      <c r="L1318" s="13">
        <f>IFERROR(__xludf.DUMMYFUNCTION("""COMPUTED_VALUE"""),45615.0)</f>
        <v>45615</v>
      </c>
    </row>
    <row r="1319">
      <c r="A1319" s="6" t="str">
        <f>IFERROR(__xludf.DUMMYFUNCTION("""COMPUTED_VALUE"""),"SFH")</f>
        <v>SFH</v>
      </c>
      <c r="B1319" s="6" t="str">
        <f>IFERROR(__xludf.DUMMYFUNCTION("""COMPUTED_VALUE"""),"ENG")</f>
        <v>ENG</v>
      </c>
      <c r="C1319" s="6" t="str">
        <f>IFERROR(__xludf.DUMMYFUNCTION("""COMPUTED_VALUE"""),"Q-10153-00")</f>
        <v>Q-10153-00</v>
      </c>
      <c r="D1319" s="6" t="str">
        <f>IFERROR(__xludf.DUMMYFUNCTION("""COMPUTED_VALUE"""),"Roller cat 110mm")</f>
        <v>Roller cat 110mm</v>
      </c>
      <c r="E1319" s="6">
        <f>IFERROR(__xludf.DUMMYFUNCTION("""COMPUTED_VALUE"""),1.0)</f>
        <v>1</v>
      </c>
      <c r="F1319" s="6">
        <f>IFERROR(__xludf.DUMMYFUNCTION("""COMPUTED_VALUE"""),1.0)</f>
        <v>1</v>
      </c>
      <c r="G1319" s="6">
        <f>IFERROR(__xludf.DUMMYFUNCTION("""COMPUTED_VALUE"""),0.0)</f>
        <v>0</v>
      </c>
      <c r="H1319" s="6" t="str">
        <f>IFERROR(__xludf.DUMMYFUNCTION("""COMPUTED_VALUE"""),"pcs")</f>
        <v>pcs</v>
      </c>
      <c r="I1319" s="6" t="str">
        <f>IFERROR(__xludf.DUMMYFUNCTION("""COMPUTED_VALUE"""),"MFH")</f>
        <v>MFH</v>
      </c>
      <c r="J1319" s="6" t="str">
        <f>IFERROR(__xludf.DUMMYFUNCTION("""COMPUTED_VALUE"""),"Building")</f>
        <v>Building</v>
      </c>
      <c r="K1319" s="6" t="str">
        <f>IFERROR(__xludf.DUMMYFUNCTION("""COMPUTED_VALUE"""),"SPR/11/24/038")</f>
        <v>SPR/11/24/038</v>
      </c>
      <c r="L1319" s="13">
        <f>IFERROR(__xludf.DUMMYFUNCTION("""COMPUTED_VALUE"""),45615.0)</f>
        <v>45615</v>
      </c>
    </row>
    <row r="1320">
      <c r="A1320" s="6" t="str">
        <f>IFERROR(__xludf.DUMMYFUNCTION("""COMPUTED_VALUE"""),"SFH")</f>
        <v>SFH</v>
      </c>
      <c r="B1320" s="6" t="str">
        <f>IFERROR(__xludf.DUMMYFUNCTION("""COMPUTED_VALUE"""),"ENG")</f>
        <v>ENG</v>
      </c>
      <c r="C1320" s="6" t="str">
        <f>IFERROR(__xludf.DUMMYFUNCTION("""COMPUTED_VALUE"""),"P-15852-00")</f>
        <v>P-15852-00</v>
      </c>
      <c r="D1320" s="6" t="str">
        <f>IFERROR(__xludf.DUMMYFUNCTION("""COMPUTED_VALUE"""),"AMPLAS EAGLE 500")</f>
        <v>AMPLAS EAGLE 500</v>
      </c>
      <c r="E1320" s="6">
        <f>IFERROR(__xludf.DUMMYFUNCTION("""COMPUTED_VALUE"""),1.0)</f>
        <v>1</v>
      </c>
      <c r="F1320" s="6">
        <f>IFERROR(__xludf.DUMMYFUNCTION("""COMPUTED_VALUE"""),1.0)</f>
        <v>1</v>
      </c>
      <c r="G1320" s="6">
        <f>IFERROR(__xludf.DUMMYFUNCTION("""COMPUTED_VALUE"""),0.0)</f>
        <v>0</v>
      </c>
      <c r="H1320" s="6" t="str">
        <f>IFERROR(__xludf.DUMMYFUNCTION("""COMPUTED_VALUE"""),"pcs")</f>
        <v>pcs</v>
      </c>
      <c r="I1320" s="6" t="str">
        <f>IFERROR(__xludf.DUMMYFUNCTION("""COMPUTED_VALUE"""),"MFH")</f>
        <v>MFH</v>
      </c>
      <c r="J1320" s="6" t="str">
        <f>IFERROR(__xludf.DUMMYFUNCTION("""COMPUTED_VALUE"""),"Building")</f>
        <v>Building</v>
      </c>
      <c r="K1320" s="6" t="str">
        <f>IFERROR(__xludf.DUMMYFUNCTION("""COMPUTED_VALUE"""),"SPR/11/24/038")</f>
        <v>SPR/11/24/038</v>
      </c>
      <c r="L1320" s="13">
        <f>IFERROR(__xludf.DUMMYFUNCTION("""COMPUTED_VALUE"""),45615.0)</f>
        <v>45615</v>
      </c>
    </row>
    <row r="1321">
      <c r="A1321" s="6" t="str">
        <f>IFERROR(__xludf.DUMMYFUNCTION("""COMPUTED_VALUE"""),"SFH")</f>
        <v>SFH</v>
      </c>
      <c r="B1321" s="6" t="str">
        <f>IFERROR(__xludf.DUMMYFUNCTION("""COMPUTED_VALUE"""),"ENG")</f>
        <v>ENG</v>
      </c>
      <c r="C1321" s="6" t="str">
        <f>IFERROR(__xludf.DUMMYFUNCTION("""COMPUTED_VALUE"""),"P-12492-00")</f>
        <v>P-12492-00</v>
      </c>
      <c r="D1321" s="6" t="str">
        <f>IFERROR(__xludf.DUMMYFUNCTION("""COMPUTED_VALUE"""),"Mata Bor besi dia 6.5 mm ex NACHI")</f>
        <v>Mata Bor besi dia 6.5 mm ex NACHI</v>
      </c>
      <c r="E1321" s="6">
        <f>IFERROR(__xludf.DUMMYFUNCTION("""COMPUTED_VALUE"""),1.0)</f>
        <v>1</v>
      </c>
      <c r="F1321" s="6">
        <f>IFERROR(__xludf.DUMMYFUNCTION("""COMPUTED_VALUE"""),1.0)</f>
        <v>1</v>
      </c>
      <c r="G1321" s="6">
        <f>IFERROR(__xludf.DUMMYFUNCTION("""COMPUTED_VALUE"""),0.0)</f>
        <v>0</v>
      </c>
      <c r="H1321" s="6" t="str">
        <f>IFERROR(__xludf.DUMMYFUNCTION("""COMPUTED_VALUE"""),"pcs")</f>
        <v>pcs</v>
      </c>
      <c r="I1321" s="6" t="str">
        <f>IFERROR(__xludf.DUMMYFUNCTION("""COMPUTED_VALUE"""),"MFH")</f>
        <v>MFH</v>
      </c>
      <c r="J1321" s="6" t="str">
        <f>IFERROR(__xludf.DUMMYFUNCTION("""COMPUTED_VALUE"""),"Building")</f>
        <v>Building</v>
      </c>
      <c r="K1321" s="6" t="str">
        <f>IFERROR(__xludf.DUMMYFUNCTION("""COMPUTED_VALUE"""),"SPR/11/24/038")</f>
        <v>SPR/11/24/038</v>
      </c>
      <c r="L1321" s="13">
        <f>IFERROR(__xludf.DUMMYFUNCTION("""COMPUTED_VALUE"""),45615.0)</f>
        <v>45615</v>
      </c>
    </row>
    <row r="1322">
      <c r="A1322" s="6" t="str">
        <f>IFERROR(__xludf.DUMMYFUNCTION("""COMPUTED_VALUE"""),"RIA")</f>
        <v>RIA</v>
      </c>
      <c r="B1322" s="6" t="str">
        <f>IFERROR(__xludf.DUMMYFUNCTION("""COMPUTED_VALUE"""),"ENG")</f>
        <v>ENG</v>
      </c>
      <c r="C1322" s="6" t="str">
        <f>IFERROR(__xludf.DUMMYFUNCTION("""COMPUTED_VALUE"""),"P-12433-00")</f>
        <v>P-12433-00</v>
      </c>
      <c r="D1322" s="6" t="str">
        <f>IFERROR(__xludf.DUMMYFUNCTION("""COMPUTED_VALUE"""),"Isolasi AC- Sansui")</f>
        <v>Isolasi AC- Sansui</v>
      </c>
      <c r="E1322" s="6">
        <f>IFERROR(__xludf.DUMMYFUNCTION("""COMPUTED_VALUE"""),2.0)</f>
        <v>2</v>
      </c>
      <c r="F1322" s="6">
        <f>IFERROR(__xludf.DUMMYFUNCTION("""COMPUTED_VALUE"""),2.0)</f>
        <v>2</v>
      </c>
      <c r="G1322" s="6">
        <f>IFERROR(__xludf.DUMMYFUNCTION("""COMPUTED_VALUE"""),0.0)</f>
        <v>0</v>
      </c>
      <c r="H1322" s="6" t="str">
        <f>IFERROR(__xludf.DUMMYFUNCTION("""COMPUTED_VALUE"""),"pcs")</f>
        <v>pcs</v>
      </c>
      <c r="I1322" s="6" t="str">
        <f>IFERROR(__xludf.DUMMYFUNCTION("""COMPUTED_VALUE"""),"MFH")</f>
        <v>MFH</v>
      </c>
      <c r="J1322" s="6" t="str">
        <f>IFERROR(__xludf.DUMMYFUNCTION("""COMPUTED_VALUE"""),"AHU")</f>
        <v>AHU</v>
      </c>
      <c r="K1322" s="6" t="str">
        <f>IFERROR(__xludf.DUMMYFUNCTION("""COMPUTED_VALUE"""),"SPR/11/24/039")</f>
        <v>SPR/11/24/039</v>
      </c>
      <c r="L1322" s="13">
        <f>IFERROR(__xludf.DUMMYFUNCTION("""COMPUTED_VALUE"""),45615.0)</f>
        <v>45615</v>
      </c>
    </row>
    <row r="1323">
      <c r="A1323" s="6" t="str">
        <f>IFERROR(__xludf.DUMMYFUNCTION("""COMPUTED_VALUE"""),"RIA")</f>
        <v>RIA</v>
      </c>
      <c r="B1323" s="6" t="str">
        <f>IFERROR(__xludf.DUMMYFUNCTION("""COMPUTED_VALUE"""),"ENG")</f>
        <v>ENG</v>
      </c>
      <c r="C1323" s="6" t="str">
        <f>IFERROR(__xludf.DUMMYFUNCTION("""COMPUTED_VALUE"""),"P-15862-00")</f>
        <v>P-15862-00</v>
      </c>
      <c r="D1323" s="6" t="str">
        <f>IFERROR(__xludf.DUMMYFUNCTION("""COMPUTED_VALUE"""),"PAPER RECORD YOKOGAWA; FOLDING CHART B9565AW")</f>
        <v>PAPER RECORD YOKOGAWA; FOLDING CHART B9565AW</v>
      </c>
      <c r="E1323" s="6">
        <f>IFERROR(__xludf.DUMMYFUNCTION("""COMPUTED_VALUE"""),1.0)</f>
        <v>1</v>
      </c>
      <c r="F1323" s="6">
        <f>IFERROR(__xludf.DUMMYFUNCTION("""COMPUTED_VALUE"""),3.0)</f>
        <v>3</v>
      </c>
      <c r="G1323" s="6">
        <f>IFERROR(__xludf.DUMMYFUNCTION("""COMPUTED_VALUE"""),0.0)</f>
        <v>0</v>
      </c>
      <c r="H1323" s="6" t="str">
        <f>IFERROR(__xludf.DUMMYFUNCTION("""COMPUTED_VALUE"""),"pcs")</f>
        <v>pcs</v>
      </c>
      <c r="I1323" s="6" t="str">
        <f>IFERROR(__xludf.DUMMYFUNCTION("""COMPUTED_VALUE"""),"MFH")</f>
        <v>MFH</v>
      </c>
      <c r="J1323" s="6" t="str">
        <f>IFERROR(__xludf.DUMMYFUNCTION("""COMPUTED_VALUE"""),"PSG")</f>
        <v>PSG</v>
      </c>
      <c r="K1323" s="6" t="str">
        <f>IFERROR(__xludf.DUMMYFUNCTION("""COMPUTED_VALUE"""),"SPR/11/24/039")</f>
        <v>SPR/11/24/039</v>
      </c>
      <c r="L1323" s="13">
        <f>IFERROR(__xludf.DUMMYFUNCTION("""COMPUTED_VALUE"""),45615.0)</f>
        <v>45615</v>
      </c>
    </row>
    <row r="1324">
      <c r="A1324" s="6" t="str">
        <f>IFERROR(__xludf.DUMMYFUNCTION("""COMPUTED_VALUE"""),"SFH")</f>
        <v>SFH</v>
      </c>
      <c r="B1324" s="6" t="str">
        <f>IFERROR(__xludf.DUMMYFUNCTION("""COMPUTED_VALUE"""),"ENG")</f>
        <v>ENG</v>
      </c>
      <c r="C1324" s="6" t="str">
        <f>IFERROR(__xludf.DUMMYFUNCTION("""COMPUTED_VALUE"""),"Q-60503-00")</f>
        <v>Q-60503-00</v>
      </c>
      <c r="D1324" s="6" t="str">
        <f>IFERROR(__xludf.DUMMYFUNCTION("""COMPUTED_VALUE"""),"Silicone Sealant, Silglaze, Type N10 Grey, pack size per pcs")</f>
        <v>Silicone Sealant, Silglaze, Type N10 Grey, pack size per pcs</v>
      </c>
      <c r="E1324" s="6">
        <f>IFERROR(__xludf.DUMMYFUNCTION("""COMPUTED_VALUE"""),1.0)</f>
        <v>1</v>
      </c>
      <c r="F1324" s="6">
        <f>IFERROR(__xludf.DUMMYFUNCTION("""COMPUTED_VALUE"""),3.0)</f>
        <v>3</v>
      </c>
      <c r="G1324" s="6">
        <f>IFERROR(__xludf.DUMMYFUNCTION("""COMPUTED_VALUE"""),0.0)</f>
        <v>0</v>
      </c>
      <c r="H1324" s="6" t="str">
        <f>IFERROR(__xludf.DUMMYFUNCTION("""COMPUTED_VALUE"""),"pcs")</f>
        <v>pcs</v>
      </c>
      <c r="I1324" s="6" t="str">
        <f>IFERROR(__xludf.DUMMYFUNCTION("""COMPUTED_VALUE"""),"MFH")</f>
        <v>MFH</v>
      </c>
      <c r="J1324" s="6" t="str">
        <f>IFERROR(__xludf.DUMMYFUNCTION("""COMPUTED_VALUE"""),"Building")</f>
        <v>Building</v>
      </c>
      <c r="K1324" s="6" t="str">
        <f>IFERROR(__xludf.DUMMYFUNCTION("""COMPUTED_VALUE"""),"SPR/11/24/040")</f>
        <v>SPR/11/24/040</v>
      </c>
      <c r="L1324" s="13">
        <f>IFERROR(__xludf.DUMMYFUNCTION("""COMPUTED_VALUE"""),45615.0)</f>
        <v>45615</v>
      </c>
    </row>
    <row r="1325">
      <c r="A1325" s="6" t="str">
        <f>IFERROR(__xludf.DUMMYFUNCTION("""COMPUTED_VALUE"""),"SFH")</f>
        <v>SFH</v>
      </c>
      <c r="B1325" s="6" t="str">
        <f>IFERROR(__xludf.DUMMYFUNCTION("""COMPUTED_VALUE"""),"ENG")</f>
        <v>ENG</v>
      </c>
      <c r="C1325" s="6" t="str">
        <f>IFERROR(__xludf.DUMMYFUNCTION("""COMPUTED_VALUE"""),"T-80109-00")</f>
        <v>T-80109-00</v>
      </c>
      <c r="D1325" s="6" t="str">
        <f>IFERROR(__xludf.DUMMYFUNCTION("""COMPUTED_VALUE"""),"Cellotape Kertas 1 inch warna Putih")</f>
        <v>Cellotape Kertas 1 inch warna Putih</v>
      </c>
      <c r="E1325" s="6">
        <f>IFERROR(__xludf.DUMMYFUNCTION("""COMPUTED_VALUE"""),2.0)</f>
        <v>2</v>
      </c>
      <c r="F1325" s="6">
        <f>IFERROR(__xludf.DUMMYFUNCTION("""COMPUTED_VALUE"""),2.0)</f>
        <v>2</v>
      </c>
      <c r="G1325" s="6">
        <f>IFERROR(__xludf.DUMMYFUNCTION("""COMPUTED_VALUE"""),0.0)</f>
        <v>0</v>
      </c>
      <c r="H1325" s="6" t="str">
        <f>IFERROR(__xludf.DUMMYFUNCTION("""COMPUTED_VALUE"""),"pcs")</f>
        <v>pcs</v>
      </c>
      <c r="I1325" s="6" t="str">
        <f>IFERROR(__xludf.DUMMYFUNCTION("""COMPUTED_VALUE"""),"MFH")</f>
        <v>MFH</v>
      </c>
      <c r="J1325" s="6" t="str">
        <f>IFERROR(__xludf.DUMMYFUNCTION("""COMPUTED_VALUE"""),"Building")</f>
        <v>Building</v>
      </c>
      <c r="K1325" s="6" t="str">
        <f>IFERROR(__xludf.DUMMYFUNCTION("""COMPUTED_VALUE"""),"SPR/11/24/040")</f>
        <v>SPR/11/24/040</v>
      </c>
      <c r="L1325" s="13">
        <f>IFERROR(__xludf.DUMMYFUNCTION("""COMPUTED_VALUE"""),45615.0)</f>
        <v>45615</v>
      </c>
    </row>
    <row r="1326">
      <c r="A1326" s="6" t="str">
        <f>IFERROR(__xludf.DUMMYFUNCTION("""COMPUTED_VALUE"""),"RIA")</f>
        <v>RIA</v>
      </c>
      <c r="B1326" s="6" t="str">
        <f>IFERROR(__xludf.DUMMYFUNCTION("""COMPUTED_VALUE"""),"ENG")</f>
        <v>ENG</v>
      </c>
      <c r="C1326" s="6" t="str">
        <f>IFERROR(__xludf.DUMMYFUNCTION("""COMPUTED_VALUE"""),"P-14245-00")</f>
        <v>P-14245-00</v>
      </c>
      <c r="D1326" s="6" t="str">
        <f>IFERROR(__xludf.DUMMYFUNCTION("""COMPUTED_VALUE"""),"Manual valve HE-2-QS-8 FESTO; ; ;")</f>
        <v>Manual valve HE-2-QS-8 FESTO; ; ;</v>
      </c>
      <c r="E1326" s="6">
        <f>IFERROR(__xludf.DUMMYFUNCTION("""COMPUTED_VALUE"""),1.0)</f>
        <v>1</v>
      </c>
      <c r="F1326" s="6">
        <f>IFERROR(__xludf.DUMMYFUNCTION("""COMPUTED_VALUE"""),1.0)</f>
        <v>1</v>
      </c>
      <c r="G1326" s="6">
        <f>IFERROR(__xludf.DUMMYFUNCTION("""COMPUTED_VALUE"""),0.0)</f>
        <v>0</v>
      </c>
      <c r="H1326" s="6" t="str">
        <f>IFERROR(__xludf.DUMMYFUNCTION("""COMPUTED_VALUE"""),"pcs")</f>
        <v>pcs</v>
      </c>
      <c r="I1326" s="6" t="str">
        <f>IFERROR(__xludf.DUMMYFUNCTION("""COMPUTED_VALUE"""),"MFH")</f>
        <v>MFH</v>
      </c>
      <c r="J1326" s="6" t="str">
        <f>IFERROR(__xludf.DUMMYFUNCTION("""COMPUTED_VALUE"""),"AHU")</f>
        <v>AHU</v>
      </c>
      <c r="K1326" s="6" t="str">
        <f>IFERROR(__xludf.DUMMYFUNCTION("""COMPUTED_VALUE"""),"SPR/11/24/041")</f>
        <v>SPR/11/24/041</v>
      </c>
      <c r="L1326" s="13">
        <f>IFERROR(__xludf.DUMMYFUNCTION("""COMPUTED_VALUE"""),45615.0)</f>
        <v>45615</v>
      </c>
    </row>
    <row r="1327">
      <c r="A1327" s="6" t="str">
        <f>IFERROR(__xludf.DUMMYFUNCTION("""COMPUTED_VALUE"""),"RIA")</f>
        <v>RIA</v>
      </c>
      <c r="B1327" s="6" t="str">
        <f>IFERROR(__xludf.DUMMYFUNCTION("""COMPUTED_VALUE"""),"ENG")</f>
        <v>ENG</v>
      </c>
      <c r="C1327" s="6" t="str">
        <f>IFERROR(__xludf.DUMMYFUNCTION("""COMPUTED_VALUE"""),"P-11173-00")</f>
        <v>P-11173-00</v>
      </c>
      <c r="D1327" s="6" t="str">
        <f>IFERROR(__xludf.DUMMYFUNCTION("""COMPUTED_VALUE"""),"Pneumatic Fitting - QS 10 / Festo")</f>
        <v>Pneumatic Fitting - QS 10 / Festo</v>
      </c>
      <c r="E1327" s="6">
        <f>IFERROR(__xludf.DUMMYFUNCTION("""COMPUTED_VALUE"""),1.0)</f>
        <v>1</v>
      </c>
      <c r="F1327" s="6">
        <f>IFERROR(__xludf.DUMMYFUNCTION("""COMPUTED_VALUE"""),1.0)</f>
        <v>1</v>
      </c>
      <c r="G1327" s="6">
        <f>IFERROR(__xludf.DUMMYFUNCTION("""COMPUTED_VALUE"""),0.0)</f>
        <v>0</v>
      </c>
      <c r="H1327" s="6" t="str">
        <f>IFERROR(__xludf.DUMMYFUNCTION("""COMPUTED_VALUE"""),"pcs")</f>
        <v>pcs</v>
      </c>
      <c r="I1327" s="6" t="str">
        <f>IFERROR(__xludf.DUMMYFUNCTION("""COMPUTED_VALUE"""),"MFH")</f>
        <v>MFH</v>
      </c>
      <c r="J1327" s="6" t="str">
        <f>IFERROR(__xludf.DUMMYFUNCTION("""COMPUTED_VALUE"""),"AHU")</f>
        <v>AHU</v>
      </c>
      <c r="K1327" s="6" t="str">
        <f>IFERROR(__xludf.DUMMYFUNCTION("""COMPUTED_VALUE"""),"SPR/11/24/041")</f>
        <v>SPR/11/24/041</v>
      </c>
      <c r="L1327" s="13">
        <f>IFERROR(__xludf.DUMMYFUNCTION("""COMPUTED_VALUE"""),45615.0)</f>
        <v>45615</v>
      </c>
    </row>
    <row r="1328">
      <c r="A1328" s="6" t="str">
        <f>IFERROR(__xludf.DUMMYFUNCTION("""COMPUTED_VALUE"""),"NDS")</f>
        <v>NDS</v>
      </c>
      <c r="B1328" s="6" t="str">
        <f>IFERROR(__xludf.DUMMYFUNCTION("""COMPUTED_VALUE"""),"ENG")</f>
        <v>ENG</v>
      </c>
      <c r="C1328" s="6" t="str">
        <f>IFERROR(__xludf.DUMMYFUNCTION("""COMPUTED_VALUE"""),"P-19354-00")</f>
        <v>P-19354-00</v>
      </c>
      <c r="D1328" s="6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E1328" s="6">
        <f>IFERROR(__xludf.DUMMYFUNCTION("""COMPUTED_VALUE"""),2.0)</f>
        <v>2</v>
      </c>
      <c r="F1328" s="6">
        <f>IFERROR(__xludf.DUMMYFUNCTION("""COMPUTED_VALUE"""),2.0)</f>
        <v>2</v>
      </c>
      <c r="G1328" s="6">
        <f>IFERROR(__xludf.DUMMYFUNCTION("""COMPUTED_VALUE"""),0.0)</f>
        <v>0</v>
      </c>
      <c r="H1328" s="6" t="str">
        <f>IFERROR(__xludf.DUMMYFUNCTION("""COMPUTED_VALUE"""),"pcs")</f>
        <v>pcs</v>
      </c>
      <c r="I1328" s="6" t="str">
        <f>IFERROR(__xludf.DUMMYFUNCTION("""COMPUTED_VALUE"""),"MFH")</f>
        <v>MFH</v>
      </c>
      <c r="J1328" s="6" t="str">
        <f>IFERROR(__xludf.DUMMYFUNCTION("""COMPUTED_VALUE"""),"Washbay")</f>
        <v>Washbay</v>
      </c>
      <c r="K1328" s="6" t="str">
        <f>IFERROR(__xludf.DUMMYFUNCTION("""COMPUTED_VALUE"""),"SPR/11/24/042")</f>
        <v>SPR/11/24/042</v>
      </c>
      <c r="L1328" s="13">
        <f>IFERROR(__xludf.DUMMYFUNCTION("""COMPUTED_VALUE"""),45615.0)</f>
        <v>45615</v>
      </c>
    </row>
    <row r="1329">
      <c r="A1329" s="6" t="str">
        <f>IFERROR(__xludf.DUMMYFUNCTION("""COMPUTED_VALUE"""),"NDS")</f>
        <v>NDS</v>
      </c>
      <c r="B1329" s="6" t="str">
        <f>IFERROR(__xludf.DUMMYFUNCTION("""COMPUTED_VALUE"""),"ENG")</f>
        <v>ENG</v>
      </c>
      <c r="C1329" s="6" t="str">
        <f>IFERROR(__xludf.DUMMYFUNCTION("""COMPUTED_VALUE"""),"O-14363-00")</f>
        <v>O-14363-00</v>
      </c>
      <c r="D1329" s="6" t="str">
        <f>IFERROR(__xludf.DUMMYFUNCTION("""COMPUTED_VALUE"""),"Membrane Diaphragm Valve EPDM PTFE DN 25 Gemu DUA BERLIAN PILAR P/N : 600 25M5E-221 pc")</f>
        <v>Membrane Diaphragm Valve EPDM PTFE DN 25 Gemu DUA BERLIAN PILAR P/N : 600 25M5E-221 pc</v>
      </c>
      <c r="E1329" s="6">
        <f>IFERROR(__xludf.DUMMYFUNCTION("""COMPUTED_VALUE"""),2.0)</f>
        <v>2</v>
      </c>
      <c r="F1329" s="6">
        <f>IFERROR(__xludf.DUMMYFUNCTION("""COMPUTED_VALUE"""),2.0)</f>
        <v>2</v>
      </c>
      <c r="G1329" s="6">
        <f>IFERROR(__xludf.DUMMYFUNCTION("""COMPUTED_VALUE"""),0.0)</f>
        <v>0</v>
      </c>
      <c r="H1329" s="6" t="str">
        <f>IFERROR(__xludf.DUMMYFUNCTION("""COMPUTED_VALUE"""),"pcs")</f>
        <v>pcs</v>
      </c>
      <c r="I1329" s="6" t="str">
        <f>IFERROR(__xludf.DUMMYFUNCTION("""COMPUTED_VALUE"""),"MFH")</f>
        <v>MFH</v>
      </c>
      <c r="J1329" s="6" t="str">
        <f>IFERROR(__xludf.DUMMYFUNCTION("""COMPUTED_VALUE"""),"Washbay")</f>
        <v>Washbay</v>
      </c>
      <c r="K1329" s="6" t="str">
        <f>IFERROR(__xludf.DUMMYFUNCTION("""COMPUTED_VALUE"""),"SPR/11/24/042")</f>
        <v>SPR/11/24/042</v>
      </c>
      <c r="L1329" s="13">
        <f>IFERROR(__xludf.DUMMYFUNCTION("""COMPUTED_VALUE"""),45615.0)</f>
        <v>45615</v>
      </c>
    </row>
    <row r="1330">
      <c r="A1330" s="6" t="str">
        <f>IFERROR(__xludf.DUMMYFUNCTION("""COMPUTED_VALUE"""),"NDS")</f>
        <v>NDS</v>
      </c>
      <c r="B1330" s="6" t="str">
        <f>IFERROR(__xludf.DUMMYFUNCTION("""COMPUTED_VALUE"""),"ENG")</f>
        <v>ENG</v>
      </c>
      <c r="C1330" s="6" t="str">
        <f>IFERROR(__xludf.DUMMYFUNCTION("""COMPUTED_VALUE"""),"P-11182-00")</f>
        <v>P-11182-00</v>
      </c>
      <c r="D1330" s="6" t="str">
        <f>IFERROR(__xludf.DUMMYFUNCTION("""COMPUTED_VALUE"""),"Pneumatic Fitting - QS 6 / Festo")</f>
        <v>Pneumatic Fitting - QS 6 / Festo</v>
      </c>
      <c r="E1330" s="6">
        <f>IFERROR(__xludf.DUMMYFUNCTION("""COMPUTED_VALUE"""),2.0)</f>
        <v>2</v>
      </c>
      <c r="F1330" s="6">
        <f>IFERROR(__xludf.DUMMYFUNCTION("""COMPUTED_VALUE"""),2.0)</f>
        <v>2</v>
      </c>
      <c r="G1330" s="6">
        <f>IFERROR(__xludf.DUMMYFUNCTION("""COMPUTED_VALUE"""),0.0)</f>
        <v>0</v>
      </c>
      <c r="H1330" s="6" t="str">
        <f>IFERROR(__xludf.DUMMYFUNCTION("""COMPUTED_VALUE"""),"pcs")</f>
        <v>pcs</v>
      </c>
      <c r="I1330" s="6" t="str">
        <f>IFERROR(__xludf.DUMMYFUNCTION("""COMPUTED_VALUE"""),"MFH")</f>
        <v>MFH</v>
      </c>
      <c r="J1330" s="6" t="str">
        <f>IFERROR(__xludf.DUMMYFUNCTION("""COMPUTED_VALUE"""),"Washbay")</f>
        <v>Washbay</v>
      </c>
      <c r="K1330" s="6" t="str">
        <f>IFERROR(__xludf.DUMMYFUNCTION("""COMPUTED_VALUE"""),"SPR/11/24/042")</f>
        <v>SPR/11/24/042</v>
      </c>
      <c r="L1330" s="13">
        <f>IFERROR(__xludf.DUMMYFUNCTION("""COMPUTED_VALUE"""),45615.0)</f>
        <v>45615</v>
      </c>
    </row>
    <row r="1331">
      <c r="A1331" s="6" t="str">
        <f>IFERROR(__xludf.DUMMYFUNCTION("""COMPUTED_VALUE"""),"MAP")</f>
        <v>MAP</v>
      </c>
      <c r="B1331" s="6" t="str">
        <f>IFERROR(__xludf.DUMMYFUNCTION("""COMPUTED_VALUE"""),"ENG")</f>
        <v>ENG</v>
      </c>
      <c r="C1331" s="6" t="str">
        <f>IFERROR(__xludf.DUMMYFUNCTION("""COMPUTED_VALUE"""),"Q-60025-00")</f>
        <v>Q-60025-00</v>
      </c>
      <c r="D1331" s="6" t="str">
        <f>IFERROR(__xludf.DUMMYFUNCTION("""COMPUTED_VALUE"""),"Kuas Eterna 1")</f>
        <v>Kuas Eterna 1</v>
      </c>
      <c r="E1331" s="6">
        <f>IFERROR(__xludf.DUMMYFUNCTION("""COMPUTED_VALUE"""),1.0)</f>
        <v>1</v>
      </c>
      <c r="F1331" s="6">
        <f>IFERROR(__xludf.DUMMYFUNCTION("""COMPUTED_VALUE"""),1.0)</f>
        <v>1</v>
      </c>
      <c r="G1331" s="6">
        <f>IFERROR(__xludf.DUMMYFUNCTION("""COMPUTED_VALUE"""),0.0)</f>
        <v>0</v>
      </c>
      <c r="H1331" s="6" t="str">
        <f>IFERROR(__xludf.DUMMYFUNCTION("""COMPUTED_VALUE"""),"pcs")</f>
        <v>pcs</v>
      </c>
      <c r="I1331" s="6" t="str">
        <f>IFERROR(__xludf.DUMMYFUNCTION("""COMPUTED_VALUE"""),"MFH")</f>
        <v>MFH</v>
      </c>
      <c r="J1331" s="6" t="str">
        <f>IFERROR(__xludf.DUMMYFUNCTION("""COMPUTED_VALUE"""),"Building")</f>
        <v>Building</v>
      </c>
      <c r="K1331" s="6" t="str">
        <f>IFERROR(__xludf.DUMMYFUNCTION("""COMPUTED_VALUE"""),"SPR/11/24/043")</f>
        <v>SPR/11/24/043</v>
      </c>
      <c r="L1331" s="13">
        <f>IFERROR(__xludf.DUMMYFUNCTION("""COMPUTED_VALUE"""),45615.0)</f>
        <v>45615</v>
      </c>
    </row>
    <row r="1332">
      <c r="A1332" s="6" t="str">
        <f>IFERROR(__xludf.DUMMYFUNCTION("""COMPUTED_VALUE"""),"RMA")</f>
        <v>RMA</v>
      </c>
      <c r="B1332" s="6" t="str">
        <f>IFERROR(__xludf.DUMMYFUNCTION("""COMPUTED_VALUE"""),"ENG")</f>
        <v>ENG</v>
      </c>
      <c r="C1332" s="6" t="str">
        <f>IFERROR(__xludf.DUMMYFUNCTION("""COMPUTED_VALUE"""),"-")</f>
        <v>-</v>
      </c>
      <c r="D1332" s="6" t="str">
        <f>IFERROR(__xludf.DUMMYFUNCTION("""COMPUTED_VALUE"""),"Kabel Lan Sachet")</f>
        <v>Kabel Lan Sachet</v>
      </c>
      <c r="E1332" s="6">
        <f>IFERROR(__xludf.DUMMYFUNCTION("""COMPUTED_VALUE"""),1.0)</f>
        <v>1</v>
      </c>
      <c r="F1332" s="6">
        <f>IFERROR(__xludf.DUMMYFUNCTION("""COMPUTED_VALUE"""),1.0)</f>
        <v>1</v>
      </c>
      <c r="G1332" s="6">
        <f>IFERROR(__xludf.DUMMYFUNCTION("""COMPUTED_VALUE"""),0.0)</f>
        <v>0</v>
      </c>
      <c r="H1332" s="6" t="str">
        <f>IFERROR(__xludf.DUMMYFUNCTION("""COMPUTED_VALUE"""),"pcs")</f>
        <v>pcs</v>
      </c>
      <c r="I1332" s="6" t="str">
        <f>IFERROR(__xludf.DUMMYFUNCTION("""COMPUTED_VALUE"""),"MFH")</f>
        <v>MFH</v>
      </c>
      <c r="J1332" s="6" t="str">
        <f>IFERROR(__xludf.DUMMYFUNCTION("""COMPUTED_VALUE"""),"CC")</f>
        <v>CC</v>
      </c>
      <c r="K1332" s="6" t="str">
        <f>IFERROR(__xludf.DUMMYFUNCTION("""COMPUTED_VALUE"""),"SPR/11/24/044")</f>
        <v>SPR/11/24/044</v>
      </c>
      <c r="L1332" s="13">
        <f>IFERROR(__xludf.DUMMYFUNCTION("""COMPUTED_VALUE"""),45615.0)</f>
        <v>45615</v>
      </c>
    </row>
    <row r="1333">
      <c r="A1333" s="6" t="str">
        <f>IFERROR(__xludf.DUMMYFUNCTION("""COMPUTED_VALUE"""),"ROS")</f>
        <v>ROS</v>
      </c>
      <c r="B1333" s="6" t="str">
        <f>IFERROR(__xludf.DUMMYFUNCTION("""COMPUTED_VALUE"""),"ENG")</f>
        <v>ENG</v>
      </c>
      <c r="C1333" s="6" t="str">
        <f>IFERROR(__xludf.DUMMYFUNCTION("""COMPUTED_VALUE"""),"O-19780-00")</f>
        <v>O-19780-00</v>
      </c>
      <c r="D1333" s="6" t="str">
        <f>IFERROR(__xludf.DUMMYFUNCTION("""COMPUTED_VALUE"""),"Stand Print Head Video Jet Uk. 1248 x 1165 mm Material SUS 304; Custom; ;")</f>
        <v>Stand Print Head Video Jet Uk. 1248 x 1165 mm Material SUS 304; Custom; ;</v>
      </c>
      <c r="E1333" s="6">
        <f>IFERROR(__xludf.DUMMYFUNCTION("""COMPUTED_VALUE"""),1.0)</f>
        <v>1</v>
      </c>
      <c r="F1333" s="6">
        <f>IFERROR(__xludf.DUMMYFUNCTION("""COMPUTED_VALUE"""),1.0)</f>
        <v>1</v>
      </c>
      <c r="G1333" s="6">
        <f>IFERROR(__xludf.DUMMYFUNCTION("""COMPUTED_VALUE"""),0.0)</f>
        <v>0</v>
      </c>
      <c r="H1333" s="6" t="str">
        <f>IFERROR(__xludf.DUMMYFUNCTION("""COMPUTED_VALUE"""),"pcs")</f>
        <v>pcs</v>
      </c>
      <c r="I1333" s="6" t="str">
        <f>IFERROR(__xludf.DUMMYFUNCTION("""COMPUTED_VALUE"""),"MFH")</f>
        <v>MFH</v>
      </c>
      <c r="J1333" s="6" t="str">
        <f>IFERROR(__xludf.DUMMYFUNCTION("""COMPUTED_VALUE"""),"EDM")</f>
        <v>EDM</v>
      </c>
      <c r="K1333" s="6" t="str">
        <f>IFERROR(__xludf.DUMMYFUNCTION("""COMPUTED_VALUE"""),"SPR/11/24/045")</f>
        <v>SPR/11/24/045</v>
      </c>
      <c r="L1333" s="13">
        <f>IFERROR(__xludf.DUMMYFUNCTION("""COMPUTED_VALUE"""),45615.0)</f>
        <v>45615</v>
      </c>
    </row>
    <row r="1334">
      <c r="A1334" s="6" t="str">
        <f>IFERROR(__xludf.DUMMYFUNCTION("""COMPUTED_VALUE"""),"NDS")</f>
        <v>NDS</v>
      </c>
      <c r="B1334" s="6" t="str">
        <f>IFERROR(__xludf.DUMMYFUNCTION("""COMPUTED_VALUE"""),"ENG")</f>
        <v>ENG</v>
      </c>
      <c r="C1334" s="6" t="str">
        <f>IFERROR(__xludf.DUMMYFUNCTION("""COMPUTED_VALUE"""),"P-18788-00")</f>
        <v>P-18788-00</v>
      </c>
      <c r="D1334" s="6" t="str">
        <f>IFERROR(__xludf.DUMMYFUNCTION("""COMPUTED_VALUE"""),"Baut SS Hexagon SS M6x55mm + Mur; ; ;")</f>
        <v>Baut SS Hexagon SS M6x55mm + Mur; ; ;</v>
      </c>
      <c r="E1334" s="6">
        <f>IFERROR(__xludf.DUMMYFUNCTION("""COMPUTED_VALUE"""),8.0)</f>
        <v>8</v>
      </c>
      <c r="F1334" s="6">
        <f>IFERROR(__xludf.DUMMYFUNCTION("""COMPUTED_VALUE"""),8.0)</f>
        <v>8</v>
      </c>
      <c r="G1334" s="6">
        <f>IFERROR(__xludf.DUMMYFUNCTION("""COMPUTED_VALUE"""),0.0)</f>
        <v>0</v>
      </c>
      <c r="H1334" s="6" t="str">
        <f>IFERROR(__xludf.DUMMYFUNCTION("""COMPUTED_VALUE"""),"pcs")</f>
        <v>pcs</v>
      </c>
      <c r="I1334" s="6" t="str">
        <f>IFERROR(__xludf.DUMMYFUNCTION("""COMPUTED_VALUE"""),"MFH")</f>
        <v>MFH</v>
      </c>
      <c r="J1334" s="6" t="str">
        <f>IFERROR(__xludf.DUMMYFUNCTION("""COMPUTED_VALUE"""),"EDM")</f>
        <v>EDM</v>
      </c>
      <c r="K1334" s="6" t="str">
        <f>IFERROR(__xludf.DUMMYFUNCTION("""COMPUTED_VALUE"""),"SPR/11/24/046")</f>
        <v>SPR/11/24/046</v>
      </c>
      <c r="L1334" s="13">
        <f>IFERROR(__xludf.DUMMYFUNCTION("""COMPUTED_VALUE"""),45615.0)</f>
        <v>45615</v>
      </c>
    </row>
    <row r="1335">
      <c r="A1335" s="6" t="str">
        <f>IFERROR(__xludf.DUMMYFUNCTION("""COMPUTED_VALUE"""),"NDS")</f>
        <v>NDS</v>
      </c>
      <c r="B1335" s="6" t="str">
        <f>IFERROR(__xludf.DUMMYFUNCTION("""COMPUTED_VALUE"""),"ENG")</f>
        <v>ENG</v>
      </c>
      <c r="C1335" s="6" t="str">
        <f>IFERROR(__xludf.DUMMYFUNCTION("""COMPUTED_VALUE"""),"P-10945-00")</f>
        <v>P-10945-00</v>
      </c>
      <c r="D1335" s="6" t="str">
        <f>IFERROR(__xludf.DUMMYFUNCTION("""COMPUTED_VALUE"""),"Insulation - Seal Tape onda")</f>
        <v>Insulation - Seal Tape onda</v>
      </c>
      <c r="E1335" s="6">
        <f>IFERROR(__xludf.DUMMYFUNCTION("""COMPUTED_VALUE"""),1.0)</f>
        <v>1</v>
      </c>
      <c r="F1335" s="6">
        <f>IFERROR(__xludf.DUMMYFUNCTION("""COMPUTED_VALUE"""),1.0)</f>
        <v>1</v>
      </c>
      <c r="G1335" s="6">
        <f>IFERROR(__xludf.DUMMYFUNCTION("""COMPUTED_VALUE"""),0.0)</f>
        <v>0</v>
      </c>
      <c r="H1335" s="6" t="str">
        <f>IFERROR(__xludf.DUMMYFUNCTION("""COMPUTED_VALUE"""),"pcs")</f>
        <v>pcs</v>
      </c>
      <c r="I1335" s="6" t="str">
        <f>IFERROR(__xludf.DUMMYFUNCTION("""COMPUTED_VALUE"""),"MFH")</f>
        <v>MFH</v>
      </c>
      <c r="J1335" s="6" t="str">
        <f>IFERROR(__xludf.DUMMYFUNCTION("""COMPUTED_VALUE"""),"N2 Gen")</f>
        <v>N2 Gen</v>
      </c>
      <c r="K1335" s="6" t="str">
        <f>IFERROR(__xludf.DUMMYFUNCTION("""COMPUTED_VALUE"""),"SPR/11/24/046")</f>
        <v>SPR/11/24/046</v>
      </c>
      <c r="L1335" s="13">
        <f>IFERROR(__xludf.DUMMYFUNCTION("""COMPUTED_VALUE"""),45615.0)</f>
        <v>45615</v>
      </c>
    </row>
    <row r="1336">
      <c r="A1336" s="6" t="str">
        <f>IFERROR(__xludf.DUMMYFUNCTION("""COMPUTED_VALUE"""),"ROS")</f>
        <v>ROS</v>
      </c>
      <c r="B1336" s="6" t="str">
        <f>IFERROR(__xludf.DUMMYFUNCTION("""COMPUTED_VALUE"""),"ENG")</f>
        <v>ENG</v>
      </c>
      <c r="C1336" s="6" t="str">
        <f>IFERROR(__xludf.DUMMYFUNCTION("""COMPUTED_VALUE"""),"O-16030-00")</f>
        <v>O-16030-00</v>
      </c>
      <c r="D1336" s="6" t="str">
        <f>IFERROR(__xludf.DUMMYFUNCTION("""COMPUTED_VALUE"""),"001292; Item Type : Dry box; 9")</f>
        <v>001292; Item Type : Dry box; 9</v>
      </c>
      <c r="E1336" s="6">
        <f>IFERROR(__xludf.DUMMYFUNCTION("""COMPUTED_VALUE"""),2.0)</f>
        <v>2</v>
      </c>
      <c r="F1336" s="6">
        <f>IFERROR(__xludf.DUMMYFUNCTION("""COMPUTED_VALUE"""),2.0)</f>
        <v>2</v>
      </c>
      <c r="G1336" s="6">
        <f>IFERROR(__xludf.DUMMYFUNCTION("""COMPUTED_VALUE"""),0.0)</f>
        <v>0</v>
      </c>
      <c r="H1336" s="6" t="str">
        <f>IFERROR(__xludf.DUMMYFUNCTION("""COMPUTED_VALUE"""),"pcs")</f>
        <v>pcs</v>
      </c>
      <c r="I1336" s="6" t="str">
        <f>IFERROR(__xludf.DUMMYFUNCTION("""COMPUTED_VALUE"""),"MFH")</f>
        <v>MFH</v>
      </c>
      <c r="J1336" s="6" t="str">
        <f>IFERROR(__xludf.DUMMYFUNCTION("""COMPUTED_VALUE"""),"API")</f>
        <v>API</v>
      </c>
      <c r="K1336" s="6" t="str">
        <f>IFERROR(__xludf.DUMMYFUNCTION("""COMPUTED_VALUE"""),"SPR/11/24/047")</f>
        <v>SPR/11/24/047</v>
      </c>
      <c r="L1336" s="13">
        <f>IFERROR(__xludf.DUMMYFUNCTION("""COMPUTED_VALUE"""),45615.0)</f>
        <v>45615</v>
      </c>
    </row>
    <row r="1337">
      <c r="A1337" s="6" t="str">
        <f>IFERROR(__xludf.DUMMYFUNCTION("""COMPUTED_VALUE"""),"ROS")</f>
        <v>ROS</v>
      </c>
      <c r="B1337" s="6" t="str">
        <f>IFERROR(__xludf.DUMMYFUNCTION("""COMPUTED_VALUE"""),"ENG")</f>
        <v>ENG</v>
      </c>
      <c r="C1337" s="6" t="str">
        <f>IFERROR(__xludf.DUMMYFUNCTION("""COMPUTED_VALUE"""),"P-11182-00")</f>
        <v>P-11182-00</v>
      </c>
      <c r="D1337" s="6" t="str">
        <f>IFERROR(__xludf.DUMMYFUNCTION("""COMPUTED_VALUE"""),"Pneumatic Fitting - QS 6 / Festo")</f>
        <v>Pneumatic Fitting - QS 6 / Festo</v>
      </c>
      <c r="E1337" s="6">
        <f>IFERROR(__xludf.DUMMYFUNCTION("""COMPUTED_VALUE"""),1.0)</f>
        <v>1</v>
      </c>
      <c r="F1337" s="6">
        <f>IFERROR(__xludf.DUMMYFUNCTION("""COMPUTED_VALUE"""),3.0)</f>
        <v>3</v>
      </c>
      <c r="G1337" s="6">
        <f>IFERROR(__xludf.DUMMYFUNCTION("""COMPUTED_VALUE"""),0.0)</f>
        <v>0</v>
      </c>
      <c r="H1337" s="6" t="str">
        <f>IFERROR(__xludf.DUMMYFUNCTION("""COMPUTED_VALUE"""),"pcs")</f>
        <v>pcs</v>
      </c>
      <c r="I1337" s="6" t="str">
        <f>IFERROR(__xludf.DUMMYFUNCTION("""COMPUTED_VALUE"""),"MFH")</f>
        <v>MFH</v>
      </c>
      <c r="J1337" s="6" t="str">
        <f>IFERROR(__xludf.DUMMYFUNCTION("""COMPUTED_VALUE"""),"Mixing")</f>
        <v>Mixing</v>
      </c>
      <c r="K1337" s="6" t="str">
        <f>IFERROR(__xludf.DUMMYFUNCTION("""COMPUTED_VALUE"""),"SPR/11/24/047")</f>
        <v>SPR/11/24/047</v>
      </c>
      <c r="L1337" s="13">
        <f>IFERROR(__xludf.DUMMYFUNCTION("""COMPUTED_VALUE"""),45615.0)</f>
        <v>45615</v>
      </c>
    </row>
    <row r="1338">
      <c r="A1338" s="6" t="str">
        <f>IFERROR(__xludf.DUMMYFUNCTION("""COMPUTED_VALUE"""),"MOB")</f>
        <v>MOB</v>
      </c>
      <c r="B1338" s="6" t="str">
        <f>IFERROR(__xludf.DUMMYFUNCTION("""COMPUTED_VALUE"""),"ENG")</f>
        <v>ENG</v>
      </c>
      <c r="C1338" s="6" t="str">
        <f>IFERROR(__xludf.DUMMYFUNCTION("""COMPUTED_VALUE"""),"P-53214-00")</f>
        <v>P-53214-00</v>
      </c>
      <c r="D1338" s="6" t="str">
        <f>IFERROR(__xludf.DUMMYFUNCTION("""COMPUTED_VALUE"""),"Epoxy Adhesive DEXTONE; ; ;")</f>
        <v>Epoxy Adhesive DEXTONE; ; ;</v>
      </c>
      <c r="E1338" s="6">
        <f>IFERROR(__xludf.DUMMYFUNCTION("""COMPUTED_VALUE"""),2.0)</f>
        <v>2</v>
      </c>
      <c r="F1338" s="6">
        <f>IFERROR(__xludf.DUMMYFUNCTION("""COMPUTED_VALUE"""),2.0)</f>
        <v>2</v>
      </c>
      <c r="G1338" s="6">
        <f>IFERROR(__xludf.DUMMYFUNCTION("""COMPUTED_VALUE"""),0.0)</f>
        <v>0</v>
      </c>
      <c r="H1338" s="6" t="str">
        <f>IFERROR(__xludf.DUMMYFUNCTION("""COMPUTED_VALUE"""),"pcs")</f>
        <v>pcs</v>
      </c>
      <c r="I1338" s="6" t="str">
        <f>IFERROR(__xludf.DUMMYFUNCTION("""COMPUTED_VALUE"""),"MFH")</f>
        <v>MFH</v>
      </c>
      <c r="J1338" s="6" t="str">
        <f>IFERROR(__xludf.DUMMYFUNCTION("""COMPUTED_VALUE"""),"Building")</f>
        <v>Building</v>
      </c>
      <c r="K1338" s="6" t="str">
        <f>IFERROR(__xludf.DUMMYFUNCTION("""COMPUTED_VALUE"""),"SPR/11/24/048")</f>
        <v>SPR/11/24/048</v>
      </c>
      <c r="L1338" s="13">
        <f>IFERROR(__xludf.DUMMYFUNCTION("""COMPUTED_VALUE"""),45621.0)</f>
        <v>45621</v>
      </c>
    </row>
    <row r="1339">
      <c r="A1339" s="6" t="str">
        <f>IFERROR(__xludf.DUMMYFUNCTION("""COMPUTED_VALUE"""),"SHF")</f>
        <v>SHF</v>
      </c>
      <c r="B1339" s="6" t="str">
        <f>IFERROR(__xludf.DUMMYFUNCTION("""COMPUTED_VALUE"""),"ENG")</f>
        <v>ENG</v>
      </c>
      <c r="C1339" s="6" t="str">
        <f>IFERROR(__xludf.DUMMYFUNCTION("""COMPUTED_VALUE"""),"P-51027-00")</f>
        <v>P-51027-00</v>
      </c>
      <c r="D133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339" s="6">
        <f>IFERROR(__xludf.DUMMYFUNCTION("""COMPUTED_VALUE"""),1.0)</f>
        <v>1</v>
      </c>
      <c r="F1339" s="6">
        <f>IFERROR(__xludf.DUMMYFUNCTION("""COMPUTED_VALUE"""),1.0)</f>
        <v>1</v>
      </c>
      <c r="G1339" s="6">
        <f>IFERROR(__xludf.DUMMYFUNCTION("""COMPUTED_VALUE"""),0.0)</f>
        <v>0</v>
      </c>
      <c r="H1339" s="6" t="str">
        <f>IFERROR(__xludf.DUMMYFUNCTION("""COMPUTED_VALUE"""),"pcs")</f>
        <v>pcs</v>
      </c>
      <c r="I1339" s="6" t="str">
        <f>IFERROR(__xludf.DUMMYFUNCTION("""COMPUTED_VALUE"""),"MFH")</f>
        <v>MFH</v>
      </c>
      <c r="J1339" s="6" t="str">
        <f>IFERROR(__xludf.DUMMYFUNCTION("""COMPUTED_VALUE"""),"AHU")</f>
        <v>AHU</v>
      </c>
      <c r="K1339" s="6" t="str">
        <f>IFERROR(__xludf.DUMMYFUNCTION("""COMPUTED_VALUE"""),"SPR/11/24/049")</f>
        <v>SPR/11/24/049</v>
      </c>
      <c r="L1339" s="13">
        <f>IFERROR(__xludf.DUMMYFUNCTION("""COMPUTED_VALUE"""),45621.0)</f>
        <v>45621</v>
      </c>
    </row>
    <row r="1340">
      <c r="A1340" s="6" t="str">
        <f>IFERROR(__xludf.DUMMYFUNCTION("""COMPUTED_VALUE"""),"ANO")</f>
        <v>ANO</v>
      </c>
      <c r="B1340" s="6" t="str">
        <f>IFERROR(__xludf.DUMMYFUNCTION("""COMPUTED_VALUE"""),"ENG")</f>
        <v>ENG</v>
      </c>
      <c r="C1340" s="6" t="str">
        <f>IFERROR(__xludf.DUMMYFUNCTION("""COMPUTED_VALUE"""),"O-53033-00")</f>
        <v>O-53033-00</v>
      </c>
      <c r="D1340" s="6" t="str">
        <f>IFERROR(__xludf.DUMMYFUNCTION("""COMPUTED_VALUE"""),"Saklar Switch Lampu ZN On Off Kaki 4 Kaki Pin 15-20ALokal")</f>
        <v>Saklar Switch Lampu ZN On Off Kaki 4 Kaki Pin 15-20ALokal</v>
      </c>
      <c r="E1340" s="6">
        <f>IFERROR(__xludf.DUMMYFUNCTION("""COMPUTED_VALUE"""),1.0)</f>
        <v>1</v>
      </c>
      <c r="F1340" s="6">
        <f>IFERROR(__xludf.DUMMYFUNCTION("""COMPUTED_VALUE"""),1.0)</f>
        <v>1</v>
      </c>
      <c r="G1340" s="6">
        <f>IFERROR(__xludf.DUMMYFUNCTION("""COMPUTED_VALUE"""),0.0)</f>
        <v>0</v>
      </c>
      <c r="H1340" s="6" t="str">
        <f>IFERROR(__xludf.DUMMYFUNCTION("""COMPUTED_VALUE"""),"pcs")</f>
        <v>pcs</v>
      </c>
      <c r="I1340" s="6" t="str">
        <f>IFERROR(__xludf.DUMMYFUNCTION("""COMPUTED_VALUE"""),"MFH")</f>
        <v>MFH</v>
      </c>
      <c r="J1340" s="6" t="str">
        <f>IFERROR(__xludf.DUMMYFUNCTION("""COMPUTED_VALUE"""),"CC")</f>
        <v>CC</v>
      </c>
      <c r="K1340" s="6" t="str">
        <f>IFERROR(__xludf.DUMMYFUNCTION("""COMPUTED_VALUE"""),"SPR/11/24/050")</f>
        <v>SPR/11/24/050</v>
      </c>
      <c r="L1340" s="13">
        <f>IFERROR(__xludf.DUMMYFUNCTION("""COMPUTED_VALUE"""),45621.0)</f>
        <v>45621</v>
      </c>
    </row>
    <row r="1341">
      <c r="A1341" s="6" t="str">
        <f>IFERROR(__xludf.DUMMYFUNCTION("""COMPUTED_VALUE"""),"ANO")</f>
        <v>ANO</v>
      </c>
      <c r="B1341" s="6" t="str">
        <f>IFERROR(__xludf.DUMMYFUNCTION("""COMPUTED_VALUE"""),"ENG")</f>
        <v>ENG</v>
      </c>
      <c r="C1341" s="6" t="str">
        <f>IFERROR(__xludf.DUMMYFUNCTION("""COMPUTED_VALUE"""),"P-13650-00")</f>
        <v>P-13650-00</v>
      </c>
      <c r="D1341" s="6" t="str">
        <f>IFERROR(__xludf.DUMMYFUNCTION("""COMPUTED_VALUE"""),"Manual Valve HE-2-QS-6; FESTO; ;")</f>
        <v>Manual Valve HE-2-QS-6; FESTO; ;</v>
      </c>
      <c r="E1341" s="6">
        <f>IFERROR(__xludf.DUMMYFUNCTION("""COMPUTED_VALUE"""),3.0)</f>
        <v>3</v>
      </c>
      <c r="F1341" s="6">
        <f>IFERROR(__xludf.DUMMYFUNCTION("""COMPUTED_VALUE"""),1.0)</f>
        <v>1</v>
      </c>
      <c r="G1341" s="6">
        <f>IFERROR(__xludf.DUMMYFUNCTION("""COMPUTED_VALUE"""),0.0)</f>
        <v>0</v>
      </c>
      <c r="H1341" s="6" t="str">
        <f>IFERROR(__xludf.DUMMYFUNCTION("""COMPUTED_VALUE"""),"pcs")</f>
        <v>pcs</v>
      </c>
      <c r="I1341" s="6" t="str">
        <f>IFERROR(__xludf.DUMMYFUNCTION("""COMPUTED_VALUE"""),"MFH")</f>
        <v>MFH</v>
      </c>
      <c r="J1341" s="6" t="str">
        <f>IFERROR(__xludf.DUMMYFUNCTION("""COMPUTED_VALUE"""),"Mixing")</f>
        <v>Mixing</v>
      </c>
      <c r="K1341" s="6" t="str">
        <f>IFERROR(__xludf.DUMMYFUNCTION("""COMPUTED_VALUE"""),"SPR/11/24/050")</f>
        <v>SPR/11/24/050</v>
      </c>
      <c r="L1341" s="13">
        <f>IFERROR(__xludf.DUMMYFUNCTION("""COMPUTED_VALUE"""),45621.0)</f>
        <v>45621</v>
      </c>
    </row>
    <row r="1342">
      <c r="A1342" s="6" t="str">
        <f>IFERROR(__xludf.DUMMYFUNCTION("""COMPUTED_VALUE"""),"INN")</f>
        <v>INN</v>
      </c>
      <c r="B1342" s="6" t="str">
        <f>IFERROR(__xludf.DUMMYFUNCTION("""COMPUTED_VALUE"""),"ENG")</f>
        <v>ENG</v>
      </c>
      <c r="C1342" s="6" t="str">
        <f>IFERROR(__xludf.DUMMYFUNCTION("""COMPUTED_VALUE"""),"O-16033-00")</f>
        <v>O-16033-00</v>
      </c>
      <c r="D134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342" s="6">
        <f>IFERROR(__xludf.DUMMYFUNCTION("""COMPUTED_VALUE"""),1.0)</f>
        <v>1</v>
      </c>
      <c r="F1342" s="6">
        <f>IFERROR(__xludf.DUMMYFUNCTION("""COMPUTED_VALUE"""),1.0)</f>
        <v>1</v>
      </c>
      <c r="G1342" s="6">
        <f>IFERROR(__xludf.DUMMYFUNCTION("""COMPUTED_VALUE"""),0.0)</f>
        <v>0</v>
      </c>
      <c r="H1342" s="6" t="str">
        <f>IFERROR(__xludf.DUMMYFUNCTION("""COMPUTED_VALUE"""),"pcs")</f>
        <v>pcs</v>
      </c>
      <c r="I1342" s="6" t="str">
        <f>IFERROR(__xludf.DUMMYFUNCTION("""COMPUTED_VALUE"""),"MFH")</f>
        <v>MFH</v>
      </c>
      <c r="J1342" s="6" t="str">
        <f>IFERROR(__xludf.DUMMYFUNCTION("""COMPUTED_VALUE"""),"cRABS")</f>
        <v>cRABS</v>
      </c>
      <c r="K1342" s="6" t="str">
        <f>IFERROR(__xludf.DUMMYFUNCTION("""COMPUTED_VALUE"""),"SPR/11/24/051")</f>
        <v>SPR/11/24/051</v>
      </c>
      <c r="L1342" s="13">
        <f>IFERROR(__xludf.DUMMYFUNCTION("""COMPUTED_VALUE"""),45621.0)</f>
        <v>45621</v>
      </c>
    </row>
    <row r="1343">
      <c r="A1343" s="6" t="str">
        <f>IFERROR(__xludf.DUMMYFUNCTION("""COMPUTED_VALUE"""),"ANO")</f>
        <v>ANO</v>
      </c>
      <c r="B1343" s="6" t="str">
        <f>IFERROR(__xludf.DUMMYFUNCTION("""COMPUTED_VALUE"""),"ENG")</f>
        <v>ENG</v>
      </c>
      <c r="C1343" s="6" t="str">
        <f>IFERROR(__xludf.DUMMYFUNCTION("""COMPUTED_VALUE"""),"Q-10249-00")</f>
        <v>Q-10249-00</v>
      </c>
      <c r="D1343" s="6" t="str">
        <f>IFERROR(__xludf.DUMMYFUNCTION("""COMPUTED_VALUE"""),"Lem Power Glue")</f>
        <v>Lem Power Glue</v>
      </c>
      <c r="E1343" s="6">
        <f>IFERROR(__xludf.DUMMYFUNCTION("""COMPUTED_VALUE"""),2.0)</f>
        <v>2</v>
      </c>
      <c r="F1343" s="6">
        <f>IFERROR(__xludf.DUMMYFUNCTION("""COMPUTED_VALUE"""),1.0)</f>
        <v>1</v>
      </c>
      <c r="G1343" s="6">
        <f>IFERROR(__xludf.DUMMYFUNCTION("""COMPUTED_VALUE"""),0.0)</f>
        <v>0</v>
      </c>
      <c r="H1343" s="6" t="str">
        <f>IFERROR(__xludf.DUMMYFUNCTION("""COMPUTED_VALUE"""),"pcs")</f>
        <v>pcs</v>
      </c>
      <c r="I1343" s="6" t="str">
        <f>IFERROR(__xludf.DUMMYFUNCTION("""COMPUTED_VALUE"""),"MFH")</f>
        <v>MFH</v>
      </c>
      <c r="J1343" s="6" t="str">
        <f>IFERROR(__xludf.DUMMYFUNCTION("""COMPUTED_VALUE"""),"Aerosol")</f>
        <v>Aerosol</v>
      </c>
      <c r="K1343" s="6" t="str">
        <f>IFERROR(__xludf.DUMMYFUNCTION("""COMPUTED_VALUE"""),"SPR/11/24/052")</f>
        <v>SPR/11/24/052</v>
      </c>
      <c r="L1343" s="13">
        <f>IFERROR(__xludf.DUMMYFUNCTION("""COMPUTED_VALUE"""),45621.0)</f>
        <v>45621</v>
      </c>
    </row>
    <row r="1344">
      <c r="A1344" s="6" t="str">
        <f>IFERROR(__xludf.DUMMYFUNCTION("""COMPUTED_VALUE"""),"MRN")</f>
        <v>MRN</v>
      </c>
      <c r="B1344" s="6" t="str">
        <f>IFERROR(__xludf.DUMMYFUNCTION("""COMPUTED_VALUE"""),"ENG")</f>
        <v>ENG</v>
      </c>
      <c r="C1344" s="6" t="str">
        <f>IFERROR(__xludf.DUMMYFUNCTION("""COMPUTED_VALUE"""),"Q-10817-00")</f>
        <v>Q-10817-00</v>
      </c>
      <c r="D1344" s="6" t="str">
        <f>IFERROR(__xludf.DUMMYFUNCTION("""COMPUTED_VALUE"""),"Door Closer Type: TS77 Hold Open; DORMA; ;")</f>
        <v>Door Closer Type: TS77 Hold Open; DORMA; ;</v>
      </c>
      <c r="E1344" s="6">
        <f>IFERROR(__xludf.DUMMYFUNCTION("""COMPUTED_VALUE"""),2.0)</f>
        <v>2</v>
      </c>
      <c r="F1344" s="6">
        <f>IFERROR(__xludf.DUMMYFUNCTION("""COMPUTED_VALUE"""),2.0)</f>
        <v>2</v>
      </c>
      <c r="G1344" s="6">
        <f>IFERROR(__xludf.DUMMYFUNCTION("""COMPUTED_VALUE"""),0.0)</f>
        <v>0</v>
      </c>
      <c r="H1344" s="6" t="str">
        <f>IFERROR(__xludf.DUMMYFUNCTION("""COMPUTED_VALUE"""),"pcs")</f>
        <v>pcs</v>
      </c>
      <c r="I1344" s="6" t="str">
        <f>IFERROR(__xludf.DUMMYFUNCTION("""COMPUTED_VALUE"""),"MFH")</f>
        <v>MFH</v>
      </c>
      <c r="J1344" s="6" t="str">
        <f>IFERROR(__xludf.DUMMYFUNCTION("""COMPUTED_VALUE"""),"Building")</f>
        <v>Building</v>
      </c>
      <c r="K1344" s="6" t="str">
        <f>IFERROR(__xludf.DUMMYFUNCTION("""COMPUTED_VALUE"""),"SPR/11/24/053")</f>
        <v>SPR/11/24/053</v>
      </c>
      <c r="L1344" s="13">
        <f>IFERROR(__xludf.DUMMYFUNCTION("""COMPUTED_VALUE"""),45621.0)</f>
        <v>45621</v>
      </c>
    </row>
    <row r="1345">
      <c r="A1345" s="6" t="str">
        <f>IFERROR(__xludf.DUMMYFUNCTION("""COMPUTED_VALUE"""),"MRN")</f>
        <v>MRN</v>
      </c>
      <c r="B1345" s="6" t="str">
        <f>IFERROR(__xludf.DUMMYFUNCTION("""COMPUTED_VALUE"""),"ENG")</f>
        <v>ENG</v>
      </c>
      <c r="C1345" s="6" t="str">
        <f>IFERROR(__xludf.DUMMYFUNCTION("""COMPUTED_VALUE"""),"Q-10805-00")</f>
        <v>Q-10805-00</v>
      </c>
      <c r="D1345" s="6" t="str">
        <f>IFERROR(__xludf.DUMMYFUNCTION("""COMPUTED_VALUE"""),"Multipox MX-98 White @ 20 KG; PROPAN; ; PAIL")</f>
        <v>Multipox MX-98 White @ 20 KG; PROPAN; ; PAIL</v>
      </c>
      <c r="E1345" s="6">
        <f>IFERROR(__xludf.DUMMYFUNCTION("""COMPUTED_VALUE"""),1.0)</f>
        <v>1</v>
      </c>
      <c r="F1345" s="6">
        <f>IFERROR(__xludf.DUMMYFUNCTION("""COMPUTED_VALUE"""),1.0)</f>
        <v>1</v>
      </c>
      <c r="G1345" s="6">
        <f>IFERROR(__xludf.DUMMYFUNCTION("""COMPUTED_VALUE"""),0.0)</f>
        <v>0</v>
      </c>
      <c r="H1345" s="6" t="str">
        <f>IFERROR(__xludf.DUMMYFUNCTION("""COMPUTED_VALUE"""),"pcs")</f>
        <v>pcs</v>
      </c>
      <c r="I1345" s="6" t="str">
        <f>IFERROR(__xludf.DUMMYFUNCTION("""COMPUTED_VALUE"""),"MFH")</f>
        <v>MFH</v>
      </c>
      <c r="J1345" s="6" t="str">
        <f>IFERROR(__xludf.DUMMYFUNCTION("""COMPUTED_VALUE"""),"Building")</f>
        <v>Building</v>
      </c>
      <c r="K1345" s="6" t="str">
        <f>IFERROR(__xludf.DUMMYFUNCTION("""COMPUTED_VALUE"""),"SPR/11/24/054")</f>
        <v>SPR/11/24/054</v>
      </c>
      <c r="L1345" s="13">
        <f>IFERROR(__xludf.DUMMYFUNCTION("""COMPUTED_VALUE"""),45621.0)</f>
        <v>45621</v>
      </c>
    </row>
    <row r="1346">
      <c r="A1346" s="6" t="str">
        <f>IFERROR(__xludf.DUMMYFUNCTION("""COMPUTED_VALUE"""),"SHF")</f>
        <v>SHF</v>
      </c>
      <c r="B1346" s="6" t="str">
        <f>IFERROR(__xludf.DUMMYFUNCTION("""COMPUTED_VALUE"""),"ENG")</f>
        <v>ENG</v>
      </c>
      <c r="C1346" s="6" t="str">
        <f>IFERROR(__xludf.DUMMYFUNCTION("""COMPUTED_VALUE"""),"Q-60502-00")</f>
        <v>Q-60502-00</v>
      </c>
      <c r="D1346" s="6" t="str">
        <f>IFERROR(__xludf.DUMMYFUNCTION("""COMPUTED_VALUE"""),"Silicone Sealant, Silglaze, Type N10 White, pack size per pcs")</f>
        <v>Silicone Sealant, Silglaze, Type N10 White, pack size per pcs</v>
      </c>
      <c r="E1346" s="6">
        <f>IFERROR(__xludf.DUMMYFUNCTION("""COMPUTED_VALUE"""),8.0)</f>
        <v>8</v>
      </c>
      <c r="F1346" s="6">
        <f>IFERROR(__xludf.DUMMYFUNCTION("""COMPUTED_VALUE"""),8.0)</f>
        <v>8</v>
      </c>
      <c r="G1346" s="6">
        <f>IFERROR(__xludf.DUMMYFUNCTION("""COMPUTED_VALUE"""),0.0)</f>
        <v>0</v>
      </c>
      <c r="H1346" s="6" t="str">
        <f>IFERROR(__xludf.DUMMYFUNCTION("""COMPUTED_VALUE"""),"pcs")</f>
        <v>pcs</v>
      </c>
      <c r="I1346" s="6" t="str">
        <f>IFERROR(__xludf.DUMMYFUNCTION("""COMPUTED_VALUE"""),"MFH")</f>
        <v>MFH</v>
      </c>
      <c r="J1346" s="6" t="str">
        <f>IFERROR(__xludf.DUMMYFUNCTION("""COMPUTED_VALUE"""),"AHU")</f>
        <v>AHU</v>
      </c>
      <c r="K1346" s="6" t="str">
        <f>IFERROR(__xludf.DUMMYFUNCTION("""COMPUTED_VALUE"""),"SPR/11/24/055")</f>
        <v>SPR/11/24/055</v>
      </c>
      <c r="L1346" s="13">
        <f>IFERROR(__xludf.DUMMYFUNCTION("""COMPUTED_VALUE"""),45621.0)</f>
        <v>45621</v>
      </c>
    </row>
    <row r="1347">
      <c r="A1347" s="6" t="str">
        <f>IFERROR(__xludf.DUMMYFUNCTION("""COMPUTED_VALUE"""),"ROS")</f>
        <v>ROS</v>
      </c>
      <c r="B1347" s="6" t="str">
        <f>IFERROR(__xludf.DUMMYFUNCTION("""COMPUTED_VALUE"""),"ENG")</f>
        <v>ENG</v>
      </c>
      <c r="C1347" s="6" t="str">
        <f>IFERROR(__xludf.DUMMYFUNCTION("""COMPUTED_VALUE"""),"P-12471-00")</f>
        <v>P-12471-00</v>
      </c>
      <c r="D1347" s="6" t="str">
        <f>IFERROR(__xludf.DUMMYFUNCTION("""COMPUTED_VALUE"""),"Lem silicone Elastosil ? E41")</f>
        <v>Lem silicone Elastosil ? E41</v>
      </c>
      <c r="E1347" s="6">
        <f>IFERROR(__xludf.DUMMYFUNCTION("""COMPUTED_VALUE"""),1.0)</f>
        <v>1</v>
      </c>
      <c r="F1347" s="6">
        <f>IFERROR(__xludf.DUMMYFUNCTION("""COMPUTED_VALUE"""),1.0)</f>
        <v>1</v>
      </c>
      <c r="G1347" s="6">
        <f>IFERROR(__xludf.DUMMYFUNCTION("""COMPUTED_VALUE"""),0.0)</f>
        <v>0</v>
      </c>
      <c r="H1347" s="6" t="str">
        <f>IFERROR(__xludf.DUMMYFUNCTION("""COMPUTED_VALUE"""),"pcs")</f>
        <v>pcs</v>
      </c>
      <c r="I1347" s="6" t="str">
        <f>IFERROR(__xludf.DUMMYFUNCTION("""COMPUTED_VALUE"""),"MFH")</f>
        <v>MFH</v>
      </c>
      <c r="J1347" s="6" t="str">
        <f>IFERROR(__xludf.DUMMYFUNCTION("""COMPUTED_VALUE"""),"Dispensing")</f>
        <v>Dispensing</v>
      </c>
      <c r="K1347" s="6" t="str">
        <f>IFERROR(__xludf.DUMMYFUNCTION("""COMPUTED_VALUE"""),"SPR/11/24/056")</f>
        <v>SPR/11/24/056</v>
      </c>
      <c r="L1347" s="13">
        <f>IFERROR(__xludf.DUMMYFUNCTION("""COMPUTED_VALUE"""),45621.0)</f>
        <v>45621</v>
      </c>
    </row>
    <row r="1348">
      <c r="A1348" s="6" t="str">
        <f>IFERROR(__xludf.DUMMYFUNCTION("""COMPUTED_VALUE"""),"SHF")</f>
        <v>SHF</v>
      </c>
      <c r="B1348" s="6" t="str">
        <f>IFERROR(__xludf.DUMMYFUNCTION("""COMPUTED_VALUE"""),"ENG")</f>
        <v>ENG</v>
      </c>
      <c r="C1348" s="6" t="str">
        <f>IFERROR(__xludf.DUMMYFUNCTION("""COMPUTED_VALUE"""),"T-80109-00")</f>
        <v>T-80109-00</v>
      </c>
      <c r="D1348" s="6" t="str">
        <f>IFERROR(__xludf.DUMMYFUNCTION("""COMPUTED_VALUE"""),"Cellotape Kertas 1 inch warna Putih")</f>
        <v>Cellotape Kertas 1 inch warna Putih</v>
      </c>
      <c r="E1348" s="6">
        <f>IFERROR(__xludf.DUMMYFUNCTION("""COMPUTED_VALUE"""),4.0)</f>
        <v>4</v>
      </c>
      <c r="F1348" s="6">
        <f>IFERROR(__xludf.DUMMYFUNCTION("""COMPUTED_VALUE"""),4.0)</f>
        <v>4</v>
      </c>
      <c r="G1348" s="6">
        <f>IFERROR(__xludf.DUMMYFUNCTION("""COMPUTED_VALUE"""),0.0)</f>
        <v>0</v>
      </c>
      <c r="H1348" s="6" t="str">
        <f>IFERROR(__xludf.DUMMYFUNCTION("""COMPUTED_VALUE"""),"pcs")</f>
        <v>pcs</v>
      </c>
      <c r="I1348" s="6" t="str">
        <f>IFERROR(__xludf.DUMMYFUNCTION("""COMPUTED_VALUE"""),"MFH")</f>
        <v>MFH</v>
      </c>
      <c r="J1348" s="6" t="str">
        <f>IFERROR(__xludf.DUMMYFUNCTION("""COMPUTED_VALUE"""),"Coating")</f>
        <v>Coating</v>
      </c>
      <c r="K1348" s="6" t="str">
        <f>IFERROR(__xludf.DUMMYFUNCTION("""COMPUTED_VALUE"""),"SPR/11/24/057")</f>
        <v>SPR/11/24/057</v>
      </c>
      <c r="L1348" s="13">
        <f>IFERROR(__xludf.DUMMYFUNCTION("""COMPUTED_VALUE"""),45621.0)</f>
        <v>45621</v>
      </c>
    </row>
    <row r="1349">
      <c r="A1349" s="6" t="str">
        <f>IFERROR(__xludf.DUMMYFUNCTION("""COMPUTED_VALUE"""),"MFH")</f>
        <v>MFH</v>
      </c>
      <c r="B1349" s="6" t="str">
        <f>IFERROR(__xludf.DUMMYFUNCTION("""COMPUTED_VALUE"""),"ENG")</f>
        <v>ENG</v>
      </c>
      <c r="C1349" s="6" t="str">
        <f>IFERROR(__xludf.DUMMYFUNCTION("""COMPUTED_VALUE"""),"Q-10249-00")</f>
        <v>Q-10249-00</v>
      </c>
      <c r="D1349" s="6" t="str">
        <f>IFERROR(__xludf.DUMMYFUNCTION("""COMPUTED_VALUE"""),"Lem Power Glue")</f>
        <v>Lem Power Glue</v>
      </c>
      <c r="E1349" s="6">
        <f>IFERROR(__xludf.DUMMYFUNCTION("""COMPUTED_VALUE"""),5.0)</f>
        <v>5</v>
      </c>
      <c r="F1349" s="6">
        <f>IFERROR(__xludf.DUMMYFUNCTION("""COMPUTED_VALUE"""),5.0)</f>
        <v>5</v>
      </c>
      <c r="G1349" s="6">
        <f>IFERROR(__xludf.DUMMYFUNCTION("""COMPUTED_VALUE"""),0.0)</f>
        <v>0</v>
      </c>
      <c r="H1349" s="6" t="str">
        <f>IFERROR(__xludf.DUMMYFUNCTION("""COMPUTED_VALUE"""),"pcs")</f>
        <v>pcs</v>
      </c>
      <c r="I1349" s="6" t="str">
        <f>IFERROR(__xludf.DUMMYFUNCTION("""COMPUTED_VALUE"""),"MFH")</f>
        <v>MFH</v>
      </c>
      <c r="J1349" s="6" t="str">
        <f>IFERROR(__xludf.DUMMYFUNCTION("""COMPUTED_VALUE"""),"Adjust")</f>
        <v>Adjust</v>
      </c>
      <c r="K1349" s="6" t="str">
        <f>IFERROR(__xludf.DUMMYFUNCTION("""COMPUTED_VALUE"""),"SPR/11/24/058")</f>
        <v>SPR/11/24/058</v>
      </c>
      <c r="L1349" s="13">
        <f>IFERROR(__xludf.DUMMYFUNCTION("""COMPUTED_VALUE"""),45621.0)</f>
        <v>45621</v>
      </c>
    </row>
    <row r="1350">
      <c r="A1350" s="6" t="str">
        <f>IFERROR(__xludf.DUMMYFUNCTION("""COMPUTED_VALUE"""),"MFH")</f>
        <v>MFH</v>
      </c>
      <c r="B1350" s="6" t="str">
        <f>IFERROR(__xludf.DUMMYFUNCTION("""COMPUTED_VALUE"""),"ENG")</f>
        <v>ENG</v>
      </c>
      <c r="C1350" s="6" t="str">
        <f>IFERROR(__xludf.DUMMYFUNCTION("""COMPUTED_VALUE"""),"P-11172-00")</f>
        <v>P-11172-00</v>
      </c>
      <c r="D1350" s="6" t="str">
        <f>IFERROR(__xludf.DUMMYFUNCTION("""COMPUTED_VALUE"""),"Pneumatic  Fitting - QS 1/8-8 / Festo")</f>
        <v>Pneumatic  Fitting - QS 1/8-8 / Festo</v>
      </c>
      <c r="E1350" s="6">
        <f>IFERROR(__xludf.DUMMYFUNCTION("""COMPUTED_VALUE"""),4.0)</f>
        <v>4</v>
      </c>
      <c r="F1350" s="6">
        <f>IFERROR(__xludf.DUMMYFUNCTION("""COMPUTED_VALUE"""),4.0)</f>
        <v>4</v>
      </c>
      <c r="G1350" s="6">
        <f>IFERROR(__xludf.DUMMYFUNCTION("""COMPUTED_VALUE"""),0.0)</f>
        <v>0</v>
      </c>
      <c r="H1350" s="6" t="str">
        <f>IFERROR(__xludf.DUMMYFUNCTION("""COMPUTED_VALUE"""),"pcs")</f>
        <v>pcs</v>
      </c>
      <c r="I1350" s="6" t="str">
        <f>IFERROR(__xludf.DUMMYFUNCTION("""COMPUTED_VALUE"""),"MFH")</f>
        <v>MFH</v>
      </c>
      <c r="J1350" s="6" t="str">
        <f>IFERROR(__xludf.DUMMYFUNCTION("""COMPUTED_VALUE"""),"Adjust")</f>
        <v>Adjust</v>
      </c>
      <c r="K1350" s="6" t="str">
        <f>IFERROR(__xludf.DUMMYFUNCTION("""COMPUTED_VALUE"""),"SPR/11/24/058")</f>
        <v>SPR/11/24/058</v>
      </c>
      <c r="L1350" s="13">
        <f>IFERROR(__xludf.DUMMYFUNCTION("""COMPUTED_VALUE"""),45621.0)</f>
        <v>45621</v>
      </c>
    </row>
    <row r="1351">
      <c r="A1351" s="6" t="str">
        <f>IFERROR(__xludf.DUMMYFUNCTION("""COMPUTED_VALUE"""),"MFH")</f>
        <v>MFH</v>
      </c>
      <c r="B1351" s="6" t="str">
        <f>IFERROR(__xludf.DUMMYFUNCTION("""COMPUTED_VALUE"""),"ENG")</f>
        <v>ENG</v>
      </c>
      <c r="C1351" s="6" t="str">
        <f>IFERROR(__xludf.DUMMYFUNCTION("""COMPUTED_VALUE"""),"P-12433-00")</f>
        <v>P-12433-00</v>
      </c>
      <c r="D1351" s="6" t="str">
        <f>IFERROR(__xludf.DUMMYFUNCTION("""COMPUTED_VALUE"""),"Isolasi AC- Sansui")</f>
        <v>Isolasi AC- Sansui</v>
      </c>
      <c r="E1351" s="6">
        <f>IFERROR(__xludf.DUMMYFUNCTION("""COMPUTED_VALUE"""),33.0)</f>
        <v>33</v>
      </c>
      <c r="F1351" s="6">
        <f>IFERROR(__xludf.DUMMYFUNCTION("""COMPUTED_VALUE"""),33.0)</f>
        <v>33</v>
      </c>
      <c r="G1351" s="6">
        <f>IFERROR(__xludf.DUMMYFUNCTION("""COMPUTED_VALUE"""),0.0)</f>
        <v>0</v>
      </c>
      <c r="H1351" s="6" t="str">
        <f>IFERROR(__xludf.DUMMYFUNCTION("""COMPUTED_VALUE"""),"pcs")</f>
        <v>pcs</v>
      </c>
      <c r="I1351" s="6" t="str">
        <f>IFERROR(__xludf.DUMMYFUNCTION("""COMPUTED_VALUE"""),"MFH")</f>
        <v>MFH</v>
      </c>
      <c r="J1351" s="6" t="str">
        <f>IFERROR(__xludf.DUMMYFUNCTION("""COMPUTED_VALUE"""),"Adjust")</f>
        <v>Adjust</v>
      </c>
      <c r="K1351" s="6" t="str">
        <f>IFERROR(__xludf.DUMMYFUNCTION("""COMPUTED_VALUE"""),"SPR/11/24/059")</f>
        <v>SPR/11/24/059</v>
      </c>
      <c r="L1351" s="13">
        <f>IFERROR(__xludf.DUMMYFUNCTION("""COMPUTED_VALUE"""),45621.0)</f>
        <v>45621</v>
      </c>
    </row>
    <row r="1352">
      <c r="A1352" s="6" t="str">
        <f>IFERROR(__xludf.DUMMYFUNCTION("""COMPUTED_VALUE"""),"MFH")</f>
        <v>MFH</v>
      </c>
      <c r="B1352" s="6" t="str">
        <f>IFERROR(__xludf.DUMMYFUNCTION("""COMPUTED_VALUE"""),"ENG")</f>
        <v>ENG</v>
      </c>
      <c r="C1352" s="6" t="str">
        <f>IFERROR(__xludf.DUMMYFUNCTION("""COMPUTED_VALUE"""),"P-15851-00")</f>
        <v>P-15851-00</v>
      </c>
      <c r="D1352" s="6" t="str">
        <f>IFERROR(__xludf.DUMMYFUNCTION("""COMPUTED_VALUE"""),"AMPLAS EAGLE 100")</f>
        <v>AMPLAS EAGLE 100</v>
      </c>
      <c r="E1352" s="6">
        <f>IFERROR(__xludf.DUMMYFUNCTION("""COMPUTED_VALUE"""),14.0)</f>
        <v>14</v>
      </c>
      <c r="F1352" s="6">
        <f>IFERROR(__xludf.DUMMYFUNCTION("""COMPUTED_VALUE"""),14.0)</f>
        <v>14</v>
      </c>
      <c r="G1352" s="6">
        <f>IFERROR(__xludf.DUMMYFUNCTION("""COMPUTED_VALUE"""),0.0)</f>
        <v>0</v>
      </c>
      <c r="H1352" s="6" t="str">
        <f>IFERROR(__xludf.DUMMYFUNCTION("""COMPUTED_VALUE"""),"pcs")</f>
        <v>pcs</v>
      </c>
      <c r="I1352" s="6" t="str">
        <f>IFERROR(__xludf.DUMMYFUNCTION("""COMPUTED_VALUE"""),"MFH")</f>
        <v>MFH</v>
      </c>
      <c r="J1352" s="6" t="str">
        <f>IFERROR(__xludf.DUMMYFUNCTION("""COMPUTED_VALUE"""),"Adjust")</f>
        <v>Adjust</v>
      </c>
      <c r="K1352" s="6" t="str">
        <f>IFERROR(__xludf.DUMMYFUNCTION("""COMPUTED_VALUE"""),"SPR/11/24/059")</f>
        <v>SPR/11/24/059</v>
      </c>
      <c r="L1352" s="13">
        <f>IFERROR(__xludf.DUMMYFUNCTION("""COMPUTED_VALUE"""),45621.0)</f>
        <v>45621</v>
      </c>
    </row>
    <row r="1353">
      <c r="A1353" s="6" t="str">
        <f>IFERROR(__xludf.DUMMYFUNCTION("""COMPUTED_VALUE"""),"MFH")</f>
        <v>MFH</v>
      </c>
      <c r="B1353" s="6" t="str">
        <f>IFERROR(__xludf.DUMMYFUNCTION("""COMPUTED_VALUE"""),"ENG")</f>
        <v>ENG</v>
      </c>
      <c r="C1353" s="6" t="str">
        <f>IFERROR(__xludf.DUMMYFUNCTION("""COMPUTED_VALUE"""),"P-15852-00")</f>
        <v>P-15852-00</v>
      </c>
      <c r="D1353" s="6" t="str">
        <f>IFERROR(__xludf.DUMMYFUNCTION("""COMPUTED_VALUE"""),"AMPLAS EAGLE 500")</f>
        <v>AMPLAS EAGLE 500</v>
      </c>
      <c r="E1353" s="6">
        <f>IFERROR(__xludf.DUMMYFUNCTION("""COMPUTED_VALUE"""),20.0)</f>
        <v>20</v>
      </c>
      <c r="F1353" s="6">
        <f>IFERROR(__xludf.DUMMYFUNCTION("""COMPUTED_VALUE"""),20.0)</f>
        <v>20</v>
      </c>
      <c r="G1353" s="6">
        <f>IFERROR(__xludf.DUMMYFUNCTION("""COMPUTED_VALUE"""),0.0)</f>
        <v>0</v>
      </c>
      <c r="H1353" s="6" t="str">
        <f>IFERROR(__xludf.DUMMYFUNCTION("""COMPUTED_VALUE"""),"pcs")</f>
        <v>pcs</v>
      </c>
      <c r="I1353" s="6" t="str">
        <f>IFERROR(__xludf.DUMMYFUNCTION("""COMPUTED_VALUE"""),"MFH")</f>
        <v>MFH</v>
      </c>
      <c r="J1353" s="6" t="str">
        <f>IFERROR(__xludf.DUMMYFUNCTION("""COMPUTED_VALUE"""),"Adjust")</f>
        <v>Adjust</v>
      </c>
      <c r="K1353" s="6" t="str">
        <f>IFERROR(__xludf.DUMMYFUNCTION("""COMPUTED_VALUE"""),"SPR/11/24/059")</f>
        <v>SPR/11/24/059</v>
      </c>
      <c r="L1353" s="13">
        <f>IFERROR(__xludf.DUMMYFUNCTION("""COMPUTED_VALUE"""),45621.0)</f>
        <v>45621</v>
      </c>
    </row>
    <row r="1354">
      <c r="A1354" s="6" t="str">
        <f>IFERROR(__xludf.DUMMYFUNCTION("""COMPUTED_VALUE"""),"SFH")</f>
        <v>SFH</v>
      </c>
      <c r="B1354" s="6" t="str">
        <f>IFERROR(__xludf.DUMMYFUNCTION("""COMPUTED_VALUE"""),"ENG")</f>
        <v>ENG</v>
      </c>
      <c r="C1354" s="6" t="str">
        <f>IFERROR(__xludf.DUMMYFUNCTION("""COMPUTED_VALUE"""),"Q-60503-00")</f>
        <v>Q-60503-00</v>
      </c>
      <c r="D1354" s="6" t="str">
        <f>IFERROR(__xludf.DUMMYFUNCTION("""COMPUTED_VALUE"""),"Silicone Sealant, Silglaze, Type N10 Grey, pack size per pcs")</f>
        <v>Silicone Sealant, Silglaze, Type N10 Grey, pack size per pcs</v>
      </c>
      <c r="E1354" s="6">
        <f>IFERROR(__xludf.DUMMYFUNCTION("""COMPUTED_VALUE"""),4.0)</f>
        <v>4</v>
      </c>
      <c r="F1354" s="6">
        <f>IFERROR(__xludf.DUMMYFUNCTION("""COMPUTED_VALUE"""),4.0)</f>
        <v>4</v>
      </c>
      <c r="G1354" s="6">
        <f>IFERROR(__xludf.DUMMYFUNCTION("""COMPUTED_VALUE"""),0.0)</f>
        <v>0</v>
      </c>
      <c r="H1354" s="6" t="str">
        <f>IFERROR(__xludf.DUMMYFUNCTION("""COMPUTED_VALUE"""),"pcs")</f>
        <v>pcs</v>
      </c>
      <c r="I1354" s="6" t="str">
        <f>IFERROR(__xludf.DUMMYFUNCTION("""COMPUTED_VALUE"""),"MFH")</f>
        <v>MFH</v>
      </c>
      <c r="J1354" s="6" t="str">
        <f>IFERROR(__xludf.DUMMYFUNCTION("""COMPUTED_VALUE"""),"Building")</f>
        <v>Building</v>
      </c>
      <c r="K1354" s="6" t="str">
        <f>IFERROR(__xludf.DUMMYFUNCTION("""COMPUTED_VALUE"""),"SPR/11/24/060")</f>
        <v>SPR/11/24/060</v>
      </c>
      <c r="L1354" s="13">
        <f>IFERROR(__xludf.DUMMYFUNCTION("""COMPUTED_VALUE"""),45621.0)</f>
        <v>45621</v>
      </c>
    </row>
    <row r="1355">
      <c r="A1355" s="6" t="str">
        <f>IFERROR(__xludf.DUMMYFUNCTION("""COMPUTED_VALUE"""),"SHF")</f>
        <v>SHF</v>
      </c>
      <c r="B1355" s="6" t="str">
        <f>IFERROR(__xludf.DUMMYFUNCTION("""COMPUTED_VALUE"""),"ENG")</f>
        <v>ENG</v>
      </c>
      <c r="C1355" s="6" t="str">
        <f>IFERROR(__xludf.DUMMYFUNCTION("""COMPUTED_VALUE"""),"Q-60503-00")</f>
        <v>Q-60503-00</v>
      </c>
      <c r="D1355" s="6" t="str">
        <f>IFERROR(__xludf.DUMMYFUNCTION("""COMPUTED_VALUE"""),"Silicone Sealant, Silglaze, Type N10 Grey, pack size per pcs")</f>
        <v>Silicone Sealant, Silglaze, Type N10 Grey, pack size per pcs</v>
      </c>
      <c r="E1355" s="6">
        <f>IFERROR(__xludf.DUMMYFUNCTION("""COMPUTED_VALUE"""),5.0)</f>
        <v>5</v>
      </c>
      <c r="F1355" s="6">
        <f>IFERROR(__xludf.DUMMYFUNCTION("""COMPUTED_VALUE"""),4.0)</f>
        <v>4</v>
      </c>
      <c r="G1355" s="6">
        <f>IFERROR(__xludf.DUMMYFUNCTION("""COMPUTED_VALUE"""),0.0)</f>
        <v>0</v>
      </c>
      <c r="H1355" s="6" t="str">
        <f>IFERROR(__xludf.DUMMYFUNCTION("""COMPUTED_VALUE"""),"pcs")</f>
        <v>pcs</v>
      </c>
      <c r="I1355" s="6" t="str">
        <f>IFERROR(__xludf.DUMMYFUNCTION("""COMPUTED_VALUE"""),"MFH")</f>
        <v>MFH</v>
      </c>
      <c r="J1355" s="6" t="str">
        <f>IFERROR(__xludf.DUMMYFUNCTION("""COMPUTED_VALUE"""),"AHU")</f>
        <v>AHU</v>
      </c>
      <c r="K1355" s="6" t="str">
        <f>IFERROR(__xludf.DUMMYFUNCTION("""COMPUTED_VALUE"""),"SPR/11/24/061")</f>
        <v>SPR/11/24/061</v>
      </c>
      <c r="L1355" s="13">
        <f>IFERROR(__xludf.DUMMYFUNCTION("""COMPUTED_VALUE"""),45621.0)</f>
        <v>45621</v>
      </c>
    </row>
    <row r="1356">
      <c r="A1356" s="6" t="str">
        <f>IFERROR(__xludf.DUMMYFUNCTION("""COMPUTED_VALUE"""),"SHF")</f>
        <v>SHF</v>
      </c>
      <c r="B1356" s="6" t="str">
        <f>IFERROR(__xludf.DUMMYFUNCTION("""COMPUTED_VALUE"""),"ENG")</f>
        <v>ENG</v>
      </c>
      <c r="C1356" s="6" t="str">
        <f>IFERROR(__xludf.DUMMYFUNCTION("""COMPUTED_VALUE"""),"P-11228-00")</f>
        <v>P-11228-00</v>
      </c>
      <c r="D1356" s="6" t="str">
        <f>IFERROR(__xludf.DUMMYFUNCTION("""COMPUTED_VALUE"""),"Pneumatic  Fitting - QST 8 / PN : 153130 / Festo")</f>
        <v>Pneumatic  Fitting - QST 8 / PN : 153130 / Festo</v>
      </c>
      <c r="E1356" s="6">
        <f>IFERROR(__xludf.DUMMYFUNCTION("""COMPUTED_VALUE"""),1.0)</f>
        <v>1</v>
      </c>
      <c r="F1356" s="6">
        <f>IFERROR(__xludf.DUMMYFUNCTION("""COMPUTED_VALUE"""),1.0)</f>
        <v>1</v>
      </c>
      <c r="G1356" s="6">
        <f>IFERROR(__xludf.DUMMYFUNCTION("""COMPUTED_VALUE"""),0.0)</f>
        <v>0</v>
      </c>
      <c r="H1356" s="6" t="str">
        <f>IFERROR(__xludf.DUMMYFUNCTION("""COMPUTED_VALUE"""),"pcs")</f>
        <v>pcs</v>
      </c>
      <c r="I1356" s="6" t="str">
        <f>IFERROR(__xludf.DUMMYFUNCTION("""COMPUTED_VALUE"""),"MFH")</f>
        <v>MFH</v>
      </c>
      <c r="J1356" s="6" t="str">
        <f>IFERROR(__xludf.DUMMYFUNCTION("""COMPUTED_VALUE"""),"Autoclave")</f>
        <v>Autoclave</v>
      </c>
      <c r="K1356" s="6" t="str">
        <f>IFERROR(__xludf.DUMMYFUNCTION("""COMPUTED_VALUE"""),"SPR/11/24/062")</f>
        <v>SPR/11/24/062</v>
      </c>
      <c r="L1356" s="13">
        <f>IFERROR(__xludf.DUMMYFUNCTION("""COMPUTED_VALUE"""),45621.0)</f>
        <v>45621</v>
      </c>
    </row>
    <row r="1357">
      <c r="A1357" s="6" t="str">
        <f>IFERROR(__xludf.DUMMYFUNCTION("""COMPUTED_VALUE"""),"RIA")</f>
        <v>RIA</v>
      </c>
      <c r="B1357" s="6" t="str">
        <f>IFERROR(__xludf.DUMMYFUNCTION("""COMPUTED_VALUE"""),"ENG")</f>
        <v>ENG</v>
      </c>
      <c r="C1357" s="6" t="str">
        <f>IFERROR(__xludf.DUMMYFUNCTION("""COMPUTED_VALUE"""),"-")</f>
        <v>-</v>
      </c>
      <c r="D1357" s="6" t="str">
        <f>IFERROR(__xludf.DUMMYFUNCTION("""COMPUTED_VALUE"""),"Kabel Lan Sachet")</f>
        <v>Kabel Lan Sachet</v>
      </c>
      <c r="E1357" s="6">
        <f>IFERROR(__xludf.DUMMYFUNCTION("""COMPUTED_VALUE"""),2.0)</f>
        <v>2</v>
      </c>
      <c r="F1357" s="6">
        <f>IFERROR(__xludf.DUMMYFUNCTION("""COMPUTED_VALUE"""),2.0)</f>
        <v>2</v>
      </c>
      <c r="G1357" s="6">
        <f>IFERROR(__xludf.DUMMYFUNCTION("""COMPUTED_VALUE"""),0.0)</f>
        <v>0</v>
      </c>
      <c r="H1357" s="6" t="str">
        <f>IFERROR(__xludf.DUMMYFUNCTION("""COMPUTED_VALUE"""),"pcs")</f>
        <v>pcs</v>
      </c>
      <c r="I1357" s="6" t="str">
        <f>IFERROR(__xludf.DUMMYFUNCTION("""COMPUTED_VALUE"""),"MFH")</f>
        <v>MFH</v>
      </c>
      <c r="J1357" s="6" t="str">
        <f>IFERROR(__xludf.DUMMYFUNCTION("""COMPUTED_VALUE"""),"OSD")</f>
        <v>OSD</v>
      </c>
      <c r="K1357" s="6" t="str">
        <f>IFERROR(__xludf.DUMMYFUNCTION("""COMPUTED_VALUE"""),"SPR/11/24/063")</f>
        <v>SPR/11/24/063</v>
      </c>
      <c r="L1357" s="13">
        <f>IFERROR(__xludf.DUMMYFUNCTION("""COMPUTED_VALUE"""),45621.0)</f>
        <v>45621</v>
      </c>
    </row>
    <row r="1358">
      <c r="A1358" s="6" t="str">
        <f>IFERROR(__xludf.DUMMYFUNCTION("""COMPUTED_VALUE"""),"MOB")</f>
        <v>MOB</v>
      </c>
      <c r="B1358" s="6" t="str">
        <f>IFERROR(__xludf.DUMMYFUNCTION("""COMPUTED_VALUE"""),"ENG")</f>
        <v>ENG</v>
      </c>
      <c r="C1358" s="6" t="str">
        <f>IFERROR(__xludf.DUMMYFUNCTION("""COMPUTED_VALUE"""),"P-17645-00")</f>
        <v>P-17645-00</v>
      </c>
      <c r="D1358" s="6" t="str">
        <f>IFERROR(__xludf.DUMMYFUNCTION("""COMPUTED_VALUE"""),"Sodium Hiphoclorite; ; ; ltr")</f>
        <v>Sodium Hiphoclorite; ; ; ltr</v>
      </c>
      <c r="E1358" s="6">
        <f>IFERROR(__xludf.DUMMYFUNCTION("""COMPUTED_VALUE"""),25.0)</f>
        <v>25</v>
      </c>
      <c r="F1358" s="6">
        <f>IFERROR(__xludf.DUMMYFUNCTION("""COMPUTED_VALUE"""),25.0)</f>
        <v>25</v>
      </c>
      <c r="G1358" s="6">
        <f>IFERROR(__xludf.DUMMYFUNCTION("""COMPUTED_VALUE"""),0.0)</f>
        <v>0</v>
      </c>
      <c r="H1358" s="6" t="str">
        <f>IFERROR(__xludf.DUMMYFUNCTION("""COMPUTED_VALUE"""),"Liter")</f>
        <v>Liter</v>
      </c>
      <c r="I1358" s="6" t="str">
        <f>IFERROR(__xludf.DUMMYFUNCTION("""COMPUTED_VALUE"""),"MFH")</f>
        <v>MFH</v>
      </c>
      <c r="J1358" s="6" t="str">
        <f>IFERROR(__xludf.DUMMYFUNCTION("""COMPUTED_VALUE"""),"-")</f>
        <v>-</v>
      </c>
      <c r="K1358" s="6" t="str">
        <f>IFERROR(__xludf.DUMMYFUNCTION("""COMPUTED_VALUE"""),"SPR/11/24/064")</f>
        <v>SPR/11/24/064</v>
      </c>
      <c r="L1358" s="13">
        <f>IFERROR(__xludf.DUMMYFUNCTION("""COMPUTED_VALUE"""),45621.0)</f>
        <v>45621</v>
      </c>
    </row>
    <row r="1359">
      <c r="A1359" s="6" t="str">
        <f>IFERROR(__xludf.DUMMYFUNCTION("""COMPUTED_VALUE"""),"MFH")</f>
        <v>MFH</v>
      </c>
      <c r="B1359" s="6" t="str">
        <f>IFERROR(__xludf.DUMMYFUNCTION("""COMPUTED_VALUE"""),"ENG")</f>
        <v>ENG</v>
      </c>
      <c r="C1359" s="6" t="str">
        <f>IFERROR(__xludf.DUMMYFUNCTION("""COMPUTED_VALUE"""),"P-53133-00")</f>
        <v>P-53133-00</v>
      </c>
      <c r="D1359" s="6" t="str">
        <f>IFERROR(__xludf.DUMMYFUNCTION("""COMPUTED_VALUE"""),"Kabel Belden AWG 22; ; ;")</f>
        <v>Kabel Belden AWG 22; ; ;</v>
      </c>
      <c r="E1359" s="6">
        <f>IFERROR(__xludf.DUMMYFUNCTION("""COMPUTED_VALUE"""),1.0)</f>
        <v>1</v>
      </c>
      <c r="F1359" s="6">
        <f>IFERROR(__xludf.DUMMYFUNCTION("""COMPUTED_VALUE"""),1.0)</f>
        <v>1</v>
      </c>
      <c r="G1359" s="6">
        <f>IFERROR(__xludf.DUMMYFUNCTION("""COMPUTED_VALUE"""),0.0)</f>
        <v>0</v>
      </c>
      <c r="H1359" s="6" t="str">
        <f>IFERROR(__xludf.DUMMYFUNCTION("""COMPUTED_VALUE"""),"Rl")</f>
        <v>Rl</v>
      </c>
      <c r="I1359" s="6" t="str">
        <f>IFERROR(__xludf.DUMMYFUNCTION("""COMPUTED_VALUE"""),"MFH")</f>
        <v>MFH</v>
      </c>
      <c r="J1359" s="6" t="str">
        <f>IFERROR(__xludf.DUMMYFUNCTION("""COMPUTED_VALUE"""),"Building")</f>
        <v>Building</v>
      </c>
      <c r="K1359" s="6" t="str">
        <f>IFERROR(__xludf.DUMMYFUNCTION("""COMPUTED_VALUE"""),"SPR/11/24/065")</f>
        <v>SPR/11/24/065</v>
      </c>
      <c r="L1359" s="13">
        <f>IFERROR(__xludf.DUMMYFUNCTION("""COMPUTED_VALUE"""),45621.0)</f>
        <v>45621</v>
      </c>
    </row>
    <row r="1360">
      <c r="A1360" s="6" t="str">
        <f>IFERROR(__xludf.DUMMYFUNCTION("""COMPUTED_VALUE"""),"MFH")</f>
        <v>MFH</v>
      </c>
      <c r="B1360" s="6" t="str">
        <f>IFERROR(__xludf.DUMMYFUNCTION("""COMPUTED_VALUE"""),"ENG")</f>
        <v>ENG</v>
      </c>
      <c r="C1360" s="6" t="str">
        <f>IFERROR(__xludf.DUMMYFUNCTION("""COMPUTED_VALUE"""),"P-52695-00")</f>
        <v>P-52695-00</v>
      </c>
      <c r="D1360" s="6" t="str">
        <f>IFERROR(__xludf.DUMMYFUNCTION("""COMPUTED_VALUE"""),"ORP Electrode Type: 201027/10-22-07-82-120/000; JUMO; ;")</f>
        <v>ORP Electrode Type: 201027/10-22-07-82-120/000; JUMO; ;</v>
      </c>
      <c r="E1360" s="6">
        <f>IFERROR(__xludf.DUMMYFUNCTION("""COMPUTED_VALUE"""),1.0)</f>
        <v>1</v>
      </c>
      <c r="F1360" s="6">
        <f>IFERROR(__xludf.DUMMYFUNCTION("""COMPUTED_VALUE"""),1.0)</f>
        <v>1</v>
      </c>
      <c r="G1360" s="6">
        <f>IFERROR(__xludf.DUMMYFUNCTION("""COMPUTED_VALUE"""),0.0)</f>
        <v>0</v>
      </c>
      <c r="H1360" s="6" t="str">
        <f>IFERROR(__xludf.DUMMYFUNCTION("""COMPUTED_VALUE"""),"pcs")</f>
        <v>pcs</v>
      </c>
      <c r="I1360" s="6" t="str">
        <f>IFERROR(__xludf.DUMMYFUNCTION("""COMPUTED_VALUE"""),"MFH")</f>
        <v>MFH</v>
      </c>
      <c r="J1360" s="6" t="str">
        <f>IFERROR(__xludf.DUMMYFUNCTION("""COMPUTED_VALUE"""),"WWTP")</f>
        <v>WWTP</v>
      </c>
      <c r="K1360" s="6" t="str">
        <f>IFERROR(__xludf.DUMMYFUNCTION("""COMPUTED_VALUE"""),"SPR/11/24/065")</f>
        <v>SPR/11/24/065</v>
      </c>
      <c r="L1360" s="13">
        <f>IFERROR(__xludf.DUMMYFUNCTION("""COMPUTED_VALUE"""),45621.0)</f>
        <v>45621</v>
      </c>
    </row>
    <row r="1361">
      <c r="A1361" s="6" t="str">
        <f>IFERROR(__xludf.DUMMYFUNCTION("""COMPUTED_VALUE"""),"MFH")</f>
        <v>MFH</v>
      </c>
      <c r="B1361" s="6" t="str">
        <f>IFERROR(__xludf.DUMMYFUNCTION("""COMPUTED_VALUE"""),"ENG")</f>
        <v>ENG</v>
      </c>
      <c r="C1361" s="6" t="str">
        <f>IFERROR(__xludf.DUMMYFUNCTION("""COMPUTED_VALUE"""),"P-52642-00")</f>
        <v>P-52642-00</v>
      </c>
      <c r="D1361" s="6" t="str">
        <f>IFERROR(__xludf.DUMMYFUNCTION("""COMPUTED_VALUE"""),"Kabel NYYHY 2 x 0.75 mm")</f>
        <v>Kabel NYYHY 2 x 0.75 mm</v>
      </c>
      <c r="E1361" s="6">
        <f>IFERROR(__xludf.DUMMYFUNCTION("""COMPUTED_VALUE"""),45.0)</f>
        <v>45</v>
      </c>
      <c r="F1361" s="6">
        <f>IFERROR(__xludf.DUMMYFUNCTION("""COMPUTED_VALUE"""),45.0)</f>
        <v>45</v>
      </c>
      <c r="G1361" s="6">
        <f>IFERROR(__xludf.DUMMYFUNCTION("""COMPUTED_VALUE"""),0.0)</f>
        <v>0</v>
      </c>
      <c r="H1361" s="6" t="str">
        <f>IFERROR(__xludf.DUMMYFUNCTION("""COMPUTED_VALUE"""),"pcs")</f>
        <v>pcs</v>
      </c>
      <c r="I1361" s="6" t="str">
        <f>IFERROR(__xludf.DUMMYFUNCTION("""COMPUTED_VALUE"""),"MFH")</f>
        <v>MFH</v>
      </c>
      <c r="J1361" s="6" t="str">
        <f>IFERROR(__xludf.DUMMYFUNCTION("""COMPUTED_VALUE"""),"Adjust")</f>
        <v>Adjust</v>
      </c>
      <c r="K1361" s="6" t="str">
        <f>IFERROR(__xludf.DUMMYFUNCTION("""COMPUTED_VALUE"""),"SPR/11/24/065")</f>
        <v>SPR/11/24/065</v>
      </c>
      <c r="L1361" s="13">
        <f>IFERROR(__xludf.DUMMYFUNCTION("""COMPUTED_VALUE"""),45621.0)</f>
        <v>45621</v>
      </c>
    </row>
    <row r="1362">
      <c r="A1362" s="6" t="str">
        <f>IFERROR(__xludf.DUMMYFUNCTION("""COMPUTED_VALUE"""),"MFH")</f>
        <v>MFH</v>
      </c>
      <c r="B1362" s="6" t="str">
        <f>IFERROR(__xludf.DUMMYFUNCTION("""COMPUTED_VALUE"""),"ENG")</f>
        <v>ENG</v>
      </c>
      <c r="C1362" s="6" t="str">
        <f>IFERROR(__xludf.DUMMYFUNCTION("""COMPUTED_VALUE"""),"P-51756-00")</f>
        <v>P-51756-00</v>
      </c>
      <c r="D1362" s="6" t="str">
        <f>IFERROR(__xludf.DUMMYFUNCTION("""COMPUTED_VALUE"""),"Kabel NYYHY 3x0.75mm; ; ; meter")</f>
        <v>Kabel NYYHY 3x0.75mm; ; ; meter</v>
      </c>
      <c r="E1362" s="6">
        <f>IFERROR(__xludf.DUMMYFUNCTION("""COMPUTED_VALUE"""),220.0)</f>
        <v>220</v>
      </c>
      <c r="F1362" s="6">
        <f>IFERROR(__xludf.DUMMYFUNCTION("""COMPUTED_VALUE"""),220.0)</f>
        <v>220</v>
      </c>
      <c r="G1362" s="6">
        <f>IFERROR(__xludf.DUMMYFUNCTION("""COMPUTED_VALUE"""),0.0)</f>
        <v>0</v>
      </c>
      <c r="H1362" s="6" t="str">
        <f>IFERROR(__xludf.DUMMYFUNCTION("""COMPUTED_VALUE"""),"pcs")</f>
        <v>pcs</v>
      </c>
      <c r="I1362" s="6" t="str">
        <f>IFERROR(__xludf.DUMMYFUNCTION("""COMPUTED_VALUE"""),"MFH")</f>
        <v>MFH</v>
      </c>
      <c r="J1362" s="6" t="str">
        <f>IFERROR(__xludf.DUMMYFUNCTION("""COMPUTED_VALUE"""),"Building")</f>
        <v>Building</v>
      </c>
      <c r="K1362" s="6" t="str">
        <f>IFERROR(__xludf.DUMMYFUNCTION("""COMPUTED_VALUE"""),"SPR/11/24/066")</f>
        <v>SPR/11/24/066</v>
      </c>
      <c r="L1362" s="13">
        <f>IFERROR(__xludf.DUMMYFUNCTION("""COMPUTED_VALUE"""),45621.0)</f>
        <v>45621</v>
      </c>
    </row>
    <row r="1363">
      <c r="A1363" s="6" t="str">
        <f>IFERROR(__xludf.DUMMYFUNCTION("""COMPUTED_VALUE"""),"MFH")</f>
        <v>MFH</v>
      </c>
      <c r="B1363" s="6" t="str">
        <f>IFERROR(__xludf.DUMMYFUNCTION("""COMPUTED_VALUE"""),"ENG")</f>
        <v>ENG</v>
      </c>
      <c r="C1363" s="6" t="str">
        <f>IFERROR(__xludf.DUMMYFUNCTION("""COMPUTED_VALUE"""),"P-50286-00")</f>
        <v>P-50286-00</v>
      </c>
      <c r="D1363" s="6" t="str">
        <f>IFERROR(__xludf.DUMMYFUNCTION("""COMPUTED_VALUE"""),"Kabel NYYHY 3 x 1,5 mm")</f>
        <v>Kabel NYYHY 3 x 1,5 mm</v>
      </c>
      <c r="E1363" s="6">
        <f>IFERROR(__xludf.DUMMYFUNCTION("""COMPUTED_VALUE"""),10.0)</f>
        <v>10</v>
      </c>
      <c r="F1363" s="6">
        <f>IFERROR(__xludf.DUMMYFUNCTION("""COMPUTED_VALUE"""),10.0)</f>
        <v>10</v>
      </c>
      <c r="G1363" s="6">
        <f>IFERROR(__xludf.DUMMYFUNCTION("""COMPUTED_VALUE"""),0.0)</f>
        <v>0</v>
      </c>
      <c r="H1363" s="6" t="str">
        <f>IFERROR(__xludf.DUMMYFUNCTION("""COMPUTED_VALUE"""),"pcs")</f>
        <v>pcs</v>
      </c>
      <c r="I1363" s="6" t="str">
        <f>IFERROR(__xludf.DUMMYFUNCTION("""COMPUTED_VALUE"""),"MFH")</f>
        <v>MFH</v>
      </c>
      <c r="J1363" s="6" t="str">
        <f>IFERROR(__xludf.DUMMYFUNCTION("""COMPUTED_VALUE"""),"Building")</f>
        <v>Building</v>
      </c>
      <c r="K1363" s="6" t="str">
        <f>IFERROR(__xludf.DUMMYFUNCTION("""COMPUTED_VALUE"""),"SPR/11/24/066")</f>
        <v>SPR/11/24/066</v>
      </c>
      <c r="L1363" s="13">
        <f>IFERROR(__xludf.DUMMYFUNCTION("""COMPUTED_VALUE"""),45621.0)</f>
        <v>45621</v>
      </c>
    </row>
    <row r="1364">
      <c r="A1364" s="6" t="str">
        <f>IFERROR(__xludf.DUMMYFUNCTION("""COMPUTED_VALUE"""),"MFH")</f>
        <v>MFH</v>
      </c>
      <c r="B1364" s="6" t="str">
        <f>IFERROR(__xludf.DUMMYFUNCTION("""COMPUTED_VALUE"""),"ENG")</f>
        <v>ENG</v>
      </c>
      <c r="C1364" s="6" t="str">
        <f>IFERROR(__xludf.DUMMYFUNCTION("""COMPUTED_VALUE"""),"P-18410-00")</f>
        <v>P-18410-00</v>
      </c>
      <c r="D1364" s="6" t="str">
        <f>IFERROR(__xludf.DUMMYFUNCTION("""COMPUTED_VALUE"""),"Dynabolt M6 x 85mm; ; ;")</f>
        <v>Dynabolt M6 x 85mm; ; ;</v>
      </c>
      <c r="E1364" s="6">
        <f>IFERROR(__xludf.DUMMYFUNCTION("""COMPUTED_VALUE"""),2.0)</f>
        <v>2</v>
      </c>
      <c r="F1364" s="6">
        <f>IFERROR(__xludf.DUMMYFUNCTION("""COMPUTED_VALUE"""),2.0)</f>
        <v>2</v>
      </c>
      <c r="G1364" s="6">
        <f>IFERROR(__xludf.DUMMYFUNCTION("""COMPUTED_VALUE"""),0.0)</f>
        <v>0</v>
      </c>
      <c r="H1364" s="6" t="str">
        <f>IFERROR(__xludf.DUMMYFUNCTION("""COMPUTED_VALUE"""),"pcs")</f>
        <v>pcs</v>
      </c>
      <c r="I1364" s="6" t="str">
        <f>IFERROR(__xludf.DUMMYFUNCTION("""COMPUTED_VALUE"""),"MFH")</f>
        <v>MFH</v>
      </c>
      <c r="J1364" s="6" t="str">
        <f>IFERROR(__xludf.DUMMYFUNCTION("""COMPUTED_VALUE"""),"Building")</f>
        <v>Building</v>
      </c>
      <c r="K1364" s="6" t="str">
        <f>IFERROR(__xludf.DUMMYFUNCTION("""COMPUTED_VALUE"""),"SPR/11/24/066")</f>
        <v>SPR/11/24/066</v>
      </c>
      <c r="L1364" s="13">
        <f>IFERROR(__xludf.DUMMYFUNCTION("""COMPUTED_VALUE"""),45621.0)</f>
        <v>45621</v>
      </c>
    </row>
    <row r="1365">
      <c r="A1365" s="6" t="str">
        <f>IFERROR(__xludf.DUMMYFUNCTION("""COMPUTED_VALUE"""),"MFH")</f>
        <v>MFH</v>
      </c>
      <c r="B1365" s="6" t="str">
        <f>IFERROR(__xludf.DUMMYFUNCTION("""COMPUTED_VALUE"""),"ENG")</f>
        <v>ENG</v>
      </c>
      <c r="C1365" s="6" t="str">
        <f>IFERROR(__xludf.DUMMYFUNCTION("""COMPUTED_VALUE"""),"P-18138-00")</f>
        <v>P-18138-00</v>
      </c>
      <c r="D1365" s="6" t="str">
        <f>IFERROR(__xludf.DUMMYFUNCTION("""COMPUTED_VALUE"""),"Baut Hex M5; Machining As Mat SUS 316L")</f>
        <v>Baut Hex M5; Machining As Mat SUS 316L</v>
      </c>
      <c r="E1365" s="6">
        <f>IFERROR(__xludf.DUMMYFUNCTION("""COMPUTED_VALUE"""),3.0)</f>
        <v>3</v>
      </c>
      <c r="F1365" s="6">
        <f>IFERROR(__xludf.DUMMYFUNCTION("""COMPUTED_VALUE"""),3.0)</f>
        <v>3</v>
      </c>
      <c r="G1365" s="6">
        <f>IFERROR(__xludf.DUMMYFUNCTION("""COMPUTED_VALUE"""),0.0)</f>
        <v>0</v>
      </c>
      <c r="H1365" s="6" t="str">
        <f>IFERROR(__xludf.DUMMYFUNCTION("""COMPUTED_VALUE"""),"pcs")</f>
        <v>pcs</v>
      </c>
      <c r="I1365" s="6" t="str">
        <f>IFERROR(__xludf.DUMMYFUNCTION("""COMPUTED_VALUE"""),"MFH")</f>
        <v>MFH</v>
      </c>
      <c r="J1365" s="6" t="str">
        <f>IFERROR(__xludf.DUMMYFUNCTION("""COMPUTED_VALUE"""),"Adjust")</f>
        <v>Adjust</v>
      </c>
      <c r="K1365" s="6" t="str">
        <f>IFERROR(__xludf.DUMMYFUNCTION("""COMPUTED_VALUE"""),"SPR/11/24/067")</f>
        <v>SPR/11/24/067</v>
      </c>
      <c r="L1365" s="13">
        <f>IFERROR(__xludf.DUMMYFUNCTION("""COMPUTED_VALUE"""),45621.0)</f>
        <v>45621</v>
      </c>
    </row>
    <row r="1366">
      <c r="A1366" s="6" t="str">
        <f>IFERROR(__xludf.DUMMYFUNCTION("""COMPUTED_VALUE"""),"MFH")</f>
        <v>MFH</v>
      </c>
      <c r="B1366" s="6" t="str">
        <f>IFERROR(__xludf.DUMMYFUNCTION("""COMPUTED_VALUE"""),"ENG")</f>
        <v>ENG</v>
      </c>
      <c r="C1366" s="6" t="str">
        <f>IFERROR(__xludf.DUMMYFUNCTION("""COMPUTED_VALUE"""),"P-17898-00")</f>
        <v>P-17898-00</v>
      </c>
      <c r="D1366" s="6" t="str">
        <f>IFERROR(__xludf.DUMMYFUNCTION("""COMPUTED_VALUE"""),"Baut SS hexagonal M12x100 mm + mur; ; ;")</f>
        <v>Baut SS hexagonal M12x100 mm + mur; ; ;</v>
      </c>
      <c r="E1366" s="6">
        <f>IFERROR(__xludf.DUMMYFUNCTION("""COMPUTED_VALUE"""),50.0)</f>
        <v>50</v>
      </c>
      <c r="F1366" s="6">
        <f>IFERROR(__xludf.DUMMYFUNCTION("""COMPUTED_VALUE"""),50.0)</f>
        <v>50</v>
      </c>
      <c r="G1366" s="6">
        <f>IFERROR(__xludf.DUMMYFUNCTION("""COMPUTED_VALUE"""),0.0)</f>
        <v>0</v>
      </c>
      <c r="H1366" s="6" t="str">
        <f>IFERROR(__xludf.DUMMYFUNCTION("""COMPUTED_VALUE"""),"pcs")</f>
        <v>pcs</v>
      </c>
      <c r="I1366" s="6" t="str">
        <f>IFERROR(__xludf.DUMMYFUNCTION("""COMPUTED_VALUE"""),"MFH")</f>
        <v>MFH</v>
      </c>
      <c r="J1366" s="6" t="str">
        <f>IFERROR(__xludf.DUMMYFUNCTION("""COMPUTED_VALUE"""),"Building")</f>
        <v>Building</v>
      </c>
      <c r="K1366" s="6" t="str">
        <f>IFERROR(__xludf.DUMMYFUNCTION("""COMPUTED_VALUE"""),"SPR/11/24/067")</f>
        <v>SPR/11/24/067</v>
      </c>
      <c r="L1366" s="13">
        <f>IFERROR(__xludf.DUMMYFUNCTION("""COMPUTED_VALUE"""),45621.0)</f>
        <v>45621</v>
      </c>
    </row>
    <row r="1367">
      <c r="A1367" s="6" t="str">
        <f>IFERROR(__xludf.DUMMYFUNCTION("""COMPUTED_VALUE"""),"MFH")</f>
        <v>MFH</v>
      </c>
      <c r="B1367" s="6" t="str">
        <f>IFERROR(__xludf.DUMMYFUNCTION("""COMPUTED_VALUE"""),"ENG")</f>
        <v>ENG</v>
      </c>
      <c r="C1367" s="6" t="str">
        <f>IFERROR(__xludf.DUMMYFUNCTION("""COMPUTED_VALUE"""),"P-16137-00")</f>
        <v>P-16137-00</v>
      </c>
      <c r="D1367" s="6" t="str">
        <f>IFERROR(__xludf.DUMMYFUNCTION("""COMPUTED_VALUE"""),"Baut SS L M6 x 30 mm + Mur + Ring; ; ;; ; ;")</f>
        <v>Baut SS L M6 x 30 mm + Mur + Ring; ; ;; ; ;</v>
      </c>
      <c r="E1367" s="6">
        <f>IFERROR(__xludf.DUMMYFUNCTION("""COMPUTED_VALUE"""),50.0)</f>
        <v>50</v>
      </c>
      <c r="F1367" s="6">
        <f>IFERROR(__xludf.DUMMYFUNCTION("""COMPUTED_VALUE"""),50.0)</f>
        <v>50</v>
      </c>
      <c r="G1367" s="6">
        <f>IFERROR(__xludf.DUMMYFUNCTION("""COMPUTED_VALUE"""),0.0)</f>
        <v>0</v>
      </c>
      <c r="H1367" s="6" t="str">
        <f>IFERROR(__xludf.DUMMYFUNCTION("""COMPUTED_VALUE"""),"pcs")</f>
        <v>pcs</v>
      </c>
      <c r="I1367" s="6" t="str">
        <f>IFERROR(__xludf.DUMMYFUNCTION("""COMPUTED_VALUE"""),"MFH")</f>
        <v>MFH</v>
      </c>
      <c r="J1367" s="6" t="str">
        <f>IFERROR(__xludf.DUMMYFUNCTION("""COMPUTED_VALUE"""),"Adjust")</f>
        <v>Adjust</v>
      </c>
      <c r="K1367" s="6" t="str">
        <f>IFERROR(__xludf.DUMMYFUNCTION("""COMPUTED_VALUE"""),"SPR/11/24/067")</f>
        <v>SPR/11/24/067</v>
      </c>
      <c r="L1367" s="13">
        <f>IFERROR(__xludf.DUMMYFUNCTION("""COMPUTED_VALUE"""),45621.0)</f>
        <v>45621</v>
      </c>
    </row>
    <row r="1368">
      <c r="A1368" s="6" t="str">
        <f>IFERROR(__xludf.DUMMYFUNCTION("""COMPUTED_VALUE"""),"MFH")</f>
        <v>MFH</v>
      </c>
      <c r="B1368" s="6" t="str">
        <f>IFERROR(__xludf.DUMMYFUNCTION("""COMPUTED_VALUE"""),"ENG")</f>
        <v>ENG</v>
      </c>
      <c r="C1368" s="6" t="str">
        <f>IFERROR(__xludf.DUMMYFUNCTION("""COMPUTED_VALUE"""),"P-16136-00")</f>
        <v>P-16136-00</v>
      </c>
      <c r="D1368" s="6" t="str">
        <f>IFERROR(__xludf.DUMMYFUNCTION("""COMPUTED_VALUE"""),"Baut SS L M6 x 20 mm + Mur + Ring; ; ;; ; ;")</f>
        <v>Baut SS L M6 x 20 mm + Mur + Ring; ; ;; ; ;</v>
      </c>
      <c r="E1368" s="6">
        <f>IFERROR(__xludf.DUMMYFUNCTION("""COMPUTED_VALUE"""),50.0)</f>
        <v>50</v>
      </c>
      <c r="F1368" s="6">
        <f>IFERROR(__xludf.DUMMYFUNCTION("""COMPUTED_VALUE"""),50.0)</f>
        <v>50</v>
      </c>
      <c r="G1368" s="6">
        <f>IFERROR(__xludf.DUMMYFUNCTION("""COMPUTED_VALUE"""),0.0)</f>
        <v>0</v>
      </c>
      <c r="H1368" s="6" t="str">
        <f>IFERROR(__xludf.DUMMYFUNCTION("""COMPUTED_VALUE"""),"pcs")</f>
        <v>pcs</v>
      </c>
      <c r="I1368" s="6" t="str">
        <f>IFERROR(__xludf.DUMMYFUNCTION("""COMPUTED_VALUE"""),"MFH")</f>
        <v>MFH</v>
      </c>
      <c r="J1368" s="6" t="str">
        <f>IFERROR(__xludf.DUMMYFUNCTION("""COMPUTED_VALUE"""),"Adjust")</f>
        <v>Adjust</v>
      </c>
      <c r="K1368" s="6" t="str">
        <f>IFERROR(__xludf.DUMMYFUNCTION("""COMPUTED_VALUE"""),"SPR/11/24/068")</f>
        <v>SPR/11/24/068</v>
      </c>
      <c r="L1368" s="13">
        <f>IFERROR(__xludf.DUMMYFUNCTION("""COMPUTED_VALUE"""),45621.0)</f>
        <v>45621</v>
      </c>
    </row>
    <row r="1369">
      <c r="A1369" s="6" t="str">
        <f>IFERROR(__xludf.DUMMYFUNCTION("""COMPUTED_VALUE"""),"MFH")</f>
        <v>MFH</v>
      </c>
      <c r="B1369" s="6" t="str">
        <f>IFERROR(__xludf.DUMMYFUNCTION("""COMPUTED_VALUE"""),"ENG")</f>
        <v>ENG</v>
      </c>
      <c r="C1369" s="6" t="str">
        <f>IFERROR(__xludf.DUMMYFUNCTION("""COMPUTED_VALUE"""),"P-14519-00")</f>
        <v>P-14519-00</v>
      </c>
      <c r="D1369" s="6" t="str">
        <f>IFERROR(__xludf.DUMMYFUNCTION("""COMPUTED_VALUE"""),"Baut Hexagonal SS M8x30mm+Mur+Ring; ; ;")</f>
        <v>Baut Hexagonal SS M8x30mm+Mur+Ring; ; ;</v>
      </c>
      <c r="E1369" s="6">
        <f>IFERROR(__xludf.DUMMYFUNCTION("""COMPUTED_VALUE"""),150.0)</f>
        <v>150</v>
      </c>
      <c r="F1369" s="6">
        <f>IFERROR(__xludf.DUMMYFUNCTION("""COMPUTED_VALUE"""),150.0)</f>
        <v>150</v>
      </c>
      <c r="G1369" s="6">
        <f>IFERROR(__xludf.DUMMYFUNCTION("""COMPUTED_VALUE"""),0.0)</f>
        <v>0</v>
      </c>
      <c r="H1369" s="6" t="str">
        <f>IFERROR(__xludf.DUMMYFUNCTION("""COMPUTED_VALUE"""),"pcs")</f>
        <v>pcs</v>
      </c>
      <c r="I1369" s="6" t="str">
        <f>IFERROR(__xludf.DUMMYFUNCTION("""COMPUTED_VALUE"""),"MFH")</f>
        <v>MFH</v>
      </c>
      <c r="J1369" s="6" t="str">
        <f>IFERROR(__xludf.DUMMYFUNCTION("""COMPUTED_VALUE"""),"Adjust")</f>
        <v>Adjust</v>
      </c>
      <c r="K1369" s="6" t="str">
        <f>IFERROR(__xludf.DUMMYFUNCTION("""COMPUTED_VALUE"""),"SPR/11/24/068")</f>
        <v>SPR/11/24/068</v>
      </c>
      <c r="L1369" s="13">
        <f>IFERROR(__xludf.DUMMYFUNCTION("""COMPUTED_VALUE"""),45621.0)</f>
        <v>45621</v>
      </c>
    </row>
    <row r="1370">
      <c r="A1370" s="6" t="str">
        <f>IFERROR(__xludf.DUMMYFUNCTION("""COMPUTED_VALUE"""),"MFH")</f>
        <v>MFH</v>
      </c>
      <c r="B1370" s="6" t="str">
        <f>IFERROR(__xludf.DUMMYFUNCTION("""COMPUTED_VALUE"""),"ENG")</f>
        <v>ENG</v>
      </c>
      <c r="C1370" s="6" t="str">
        <f>IFERROR(__xludf.DUMMYFUNCTION("""COMPUTED_VALUE"""),"P-14522-00")</f>
        <v>P-14522-00</v>
      </c>
      <c r="D1370" s="6" t="str">
        <f>IFERROR(__xludf.DUMMYFUNCTION("""COMPUTED_VALUE"""),"Dynabolt M12x60mm; ; ;")</f>
        <v>Dynabolt M12x60mm; ; ;</v>
      </c>
      <c r="E1370" s="6">
        <f>IFERROR(__xludf.DUMMYFUNCTION("""COMPUTED_VALUE"""),100.0)</f>
        <v>100</v>
      </c>
      <c r="F1370" s="6">
        <f>IFERROR(__xludf.DUMMYFUNCTION("""COMPUTED_VALUE"""),100.0)</f>
        <v>100</v>
      </c>
      <c r="G1370" s="6">
        <f>IFERROR(__xludf.DUMMYFUNCTION("""COMPUTED_VALUE"""),0.0)</f>
        <v>0</v>
      </c>
      <c r="H1370" s="6" t="str">
        <f>IFERROR(__xludf.DUMMYFUNCTION("""COMPUTED_VALUE"""),"pcs")</f>
        <v>pcs</v>
      </c>
      <c r="I1370" s="6" t="str">
        <f>IFERROR(__xludf.DUMMYFUNCTION("""COMPUTED_VALUE"""),"MFH")</f>
        <v>MFH</v>
      </c>
      <c r="J1370" s="6" t="str">
        <f>IFERROR(__xludf.DUMMYFUNCTION("""COMPUTED_VALUE"""),"Building")</f>
        <v>Building</v>
      </c>
      <c r="K1370" s="6" t="str">
        <f>IFERROR(__xludf.DUMMYFUNCTION("""COMPUTED_VALUE"""),"SPR/11/24/068")</f>
        <v>SPR/11/24/068</v>
      </c>
      <c r="L1370" s="13">
        <f>IFERROR(__xludf.DUMMYFUNCTION("""COMPUTED_VALUE"""),45621.0)</f>
        <v>45621</v>
      </c>
    </row>
    <row r="1371">
      <c r="A1371" s="6" t="str">
        <f>IFERROR(__xludf.DUMMYFUNCTION("""COMPUTED_VALUE"""),"MFH")</f>
        <v>MFH</v>
      </c>
      <c r="B1371" s="6" t="str">
        <f>IFERROR(__xludf.DUMMYFUNCTION("""COMPUTED_VALUE"""),"ENG")</f>
        <v>ENG</v>
      </c>
      <c r="C1371" s="6" t="str">
        <f>IFERROR(__xludf.DUMMYFUNCTION("""COMPUTED_VALUE"""),"P-12158-00")</f>
        <v>P-12158-00</v>
      </c>
      <c r="D1371" s="6" t="str">
        <f>IFERROR(__xludf.DUMMYFUNCTION("""COMPUTED_VALUE"""),"Dynabolt m 8 x 30 mm / m8 x 50 mm")</f>
        <v>Dynabolt m 8 x 30 mm / m8 x 50 mm</v>
      </c>
      <c r="E1371" s="6">
        <f>IFERROR(__xludf.DUMMYFUNCTION("""COMPUTED_VALUE"""),4.0)</f>
        <v>4</v>
      </c>
      <c r="F1371" s="6">
        <f>IFERROR(__xludf.DUMMYFUNCTION("""COMPUTED_VALUE"""),4.0)</f>
        <v>4</v>
      </c>
      <c r="G1371" s="6">
        <f>IFERROR(__xludf.DUMMYFUNCTION("""COMPUTED_VALUE"""),0.0)</f>
        <v>0</v>
      </c>
      <c r="H1371" s="6" t="str">
        <f>IFERROR(__xludf.DUMMYFUNCTION("""COMPUTED_VALUE"""),"pcs")</f>
        <v>pcs</v>
      </c>
      <c r="I1371" s="6" t="str">
        <f>IFERROR(__xludf.DUMMYFUNCTION("""COMPUTED_VALUE"""),"MFH")</f>
        <v>MFH</v>
      </c>
      <c r="J1371" s="6" t="str">
        <f>IFERROR(__xludf.DUMMYFUNCTION("""COMPUTED_VALUE"""),"Building")</f>
        <v>Building</v>
      </c>
      <c r="K1371" s="6" t="str">
        <f>IFERROR(__xludf.DUMMYFUNCTION("""COMPUTED_VALUE"""),"SPR/11/24/069")</f>
        <v>SPR/11/24/069</v>
      </c>
      <c r="L1371" s="13">
        <f>IFERROR(__xludf.DUMMYFUNCTION("""COMPUTED_VALUE"""),45621.0)</f>
        <v>45621</v>
      </c>
    </row>
    <row r="1372">
      <c r="A1372" s="6" t="str">
        <f>IFERROR(__xludf.DUMMYFUNCTION("""COMPUTED_VALUE"""),"MFH")</f>
        <v>MFH</v>
      </c>
      <c r="B1372" s="6" t="str">
        <f>IFERROR(__xludf.DUMMYFUNCTION("""COMPUTED_VALUE"""),"ENG")</f>
        <v>ENG</v>
      </c>
      <c r="C1372" s="6" t="str">
        <f>IFERROR(__xludf.DUMMYFUNCTION("""COMPUTED_VALUE"""),"P-12156-00")</f>
        <v>P-12156-00</v>
      </c>
      <c r="D1372" s="6" t="str">
        <f>IFERROR(__xludf.DUMMYFUNCTION("""COMPUTED_VALUE"""),"Dynabolt dia M 10x50 mm")</f>
        <v>Dynabolt dia M 10x50 mm</v>
      </c>
      <c r="E1372" s="6">
        <f>IFERROR(__xludf.DUMMYFUNCTION("""COMPUTED_VALUE"""),100.0)</f>
        <v>100</v>
      </c>
      <c r="F1372" s="6">
        <f>IFERROR(__xludf.DUMMYFUNCTION("""COMPUTED_VALUE"""),100.0)</f>
        <v>100</v>
      </c>
      <c r="G1372" s="6">
        <f>IFERROR(__xludf.DUMMYFUNCTION("""COMPUTED_VALUE"""),0.0)</f>
        <v>0</v>
      </c>
      <c r="H1372" s="6" t="str">
        <f>IFERROR(__xludf.DUMMYFUNCTION("""COMPUTED_VALUE"""),"pcs")</f>
        <v>pcs</v>
      </c>
      <c r="I1372" s="6" t="str">
        <f>IFERROR(__xludf.DUMMYFUNCTION("""COMPUTED_VALUE"""),"MFH")</f>
        <v>MFH</v>
      </c>
      <c r="J1372" s="6" t="str">
        <f>IFERROR(__xludf.DUMMYFUNCTION("""COMPUTED_VALUE"""),"Building")</f>
        <v>Building</v>
      </c>
      <c r="K1372" s="6" t="str">
        <f>IFERROR(__xludf.DUMMYFUNCTION("""COMPUTED_VALUE"""),"SPR/11/24/069")</f>
        <v>SPR/11/24/069</v>
      </c>
      <c r="L1372" s="13">
        <f>IFERROR(__xludf.DUMMYFUNCTION("""COMPUTED_VALUE"""),45621.0)</f>
        <v>45621</v>
      </c>
    </row>
    <row r="1373">
      <c r="A1373" s="6" t="str">
        <f>IFERROR(__xludf.DUMMYFUNCTION("""COMPUTED_VALUE"""),"MFH")</f>
        <v>MFH</v>
      </c>
      <c r="B1373" s="6" t="str">
        <f>IFERROR(__xludf.DUMMYFUNCTION("""COMPUTED_VALUE"""),"ENG")</f>
        <v>ENG</v>
      </c>
      <c r="C1373" s="6" t="str">
        <f>IFERROR(__xludf.DUMMYFUNCTION("""COMPUTED_VALUE"""),"P-11886-00")</f>
        <v>P-11886-00</v>
      </c>
      <c r="D1373" s="6" t="str">
        <f>IFERROR(__xludf.DUMMYFUNCTION("""COMPUTED_VALUE"""),"Baut SS L countersunk M 4x0.7x10mm + Mur")</f>
        <v>Baut SS L countersunk M 4x0.7x10mm + Mur</v>
      </c>
      <c r="E1373" s="6">
        <f>IFERROR(__xludf.DUMMYFUNCTION("""COMPUTED_VALUE"""),100.0)</f>
        <v>100</v>
      </c>
      <c r="F1373" s="6">
        <f>IFERROR(__xludf.DUMMYFUNCTION("""COMPUTED_VALUE"""),100.0)</f>
        <v>100</v>
      </c>
      <c r="G1373" s="6">
        <f>IFERROR(__xludf.DUMMYFUNCTION("""COMPUTED_VALUE"""),0.0)</f>
        <v>0</v>
      </c>
      <c r="H1373" s="6" t="str">
        <f>IFERROR(__xludf.DUMMYFUNCTION("""COMPUTED_VALUE"""),"pcs")</f>
        <v>pcs</v>
      </c>
      <c r="I1373" s="6" t="str">
        <f>IFERROR(__xludf.DUMMYFUNCTION("""COMPUTED_VALUE"""),"MFH")</f>
        <v>MFH</v>
      </c>
      <c r="J1373" s="6" t="str">
        <f>IFERROR(__xludf.DUMMYFUNCTION("""COMPUTED_VALUE"""),"Adjust")</f>
        <v>Adjust</v>
      </c>
      <c r="K1373" s="6" t="str">
        <f>IFERROR(__xludf.DUMMYFUNCTION("""COMPUTED_VALUE"""),"SPR/11/24/069")</f>
        <v>SPR/11/24/069</v>
      </c>
      <c r="L1373" s="13">
        <f>IFERROR(__xludf.DUMMYFUNCTION("""COMPUTED_VALUE"""),45621.0)</f>
        <v>45621</v>
      </c>
    </row>
    <row r="1374">
      <c r="A1374" s="6" t="str">
        <f>IFERROR(__xludf.DUMMYFUNCTION("""COMPUTED_VALUE"""),"MFH")</f>
        <v>MFH</v>
      </c>
      <c r="B1374" s="6" t="str">
        <f>IFERROR(__xludf.DUMMYFUNCTION("""COMPUTED_VALUE"""),"ENG")</f>
        <v>ENG</v>
      </c>
      <c r="C1374" s="6" t="str">
        <f>IFERROR(__xludf.DUMMYFUNCTION("""COMPUTED_VALUE"""),"P-11424-00")</f>
        <v>P-11424-00</v>
      </c>
      <c r="D1374" s="6" t="str">
        <f>IFERROR(__xludf.DUMMYFUNCTION("""COMPUTED_VALUE"""),"Selang Festo Pun-H-12x2 Blue 2 x 50 m")</f>
        <v>Selang Festo Pun-H-12x2 Blue 2 x 50 m</v>
      </c>
      <c r="E1374" s="6">
        <f>IFERROR(__xludf.DUMMYFUNCTION("""COMPUTED_VALUE"""),50.0)</f>
        <v>50</v>
      </c>
      <c r="F1374" s="6">
        <f>IFERROR(__xludf.DUMMYFUNCTION("""COMPUTED_VALUE"""),50.0)</f>
        <v>50</v>
      </c>
      <c r="G1374" s="6">
        <f>IFERROR(__xludf.DUMMYFUNCTION("""COMPUTED_VALUE"""),0.0)</f>
        <v>0</v>
      </c>
      <c r="H1374" s="6" t="str">
        <f>IFERROR(__xludf.DUMMYFUNCTION("""COMPUTED_VALUE"""),"pcs")</f>
        <v>pcs</v>
      </c>
      <c r="I1374" s="6" t="str">
        <f>IFERROR(__xludf.DUMMYFUNCTION("""COMPUTED_VALUE"""),"MFH")</f>
        <v>MFH</v>
      </c>
      <c r="J1374" s="6" t="str">
        <f>IFERROR(__xludf.DUMMYFUNCTION("""COMPUTED_VALUE"""),"Adjust")</f>
        <v>Adjust</v>
      </c>
      <c r="K1374" s="6" t="str">
        <f>IFERROR(__xludf.DUMMYFUNCTION("""COMPUTED_VALUE"""),"SPR/11/24/070")</f>
        <v>SPR/11/24/070</v>
      </c>
      <c r="L1374" s="13">
        <f>IFERROR(__xludf.DUMMYFUNCTION("""COMPUTED_VALUE"""),45621.0)</f>
        <v>45621</v>
      </c>
    </row>
    <row r="1375">
      <c r="A1375" s="6" t="str">
        <f>IFERROR(__xludf.DUMMYFUNCTION("""COMPUTED_VALUE"""),"MFH")</f>
        <v>MFH</v>
      </c>
      <c r="B1375" s="6" t="str">
        <f>IFERROR(__xludf.DUMMYFUNCTION("""COMPUTED_VALUE"""),"ENG")</f>
        <v>ENG</v>
      </c>
      <c r="C1375" s="6" t="str">
        <f>IFERROR(__xludf.DUMMYFUNCTION("""COMPUTED_VALUE"""),"P-11431-00")</f>
        <v>P-11431-00</v>
      </c>
      <c r="D1375" s="6" t="str">
        <f>IFERROR(__xludf.DUMMYFUNCTION("""COMPUTED_VALUE"""),"Selang Festo Pun-H-8x1.25 mm Blue NR : 197385")</f>
        <v>Selang Festo Pun-H-8x1.25 mm Blue NR : 197385</v>
      </c>
      <c r="E1375" s="6">
        <f>IFERROR(__xludf.DUMMYFUNCTION("""COMPUTED_VALUE"""),40.0)</f>
        <v>40</v>
      </c>
      <c r="F1375" s="6">
        <f>IFERROR(__xludf.DUMMYFUNCTION("""COMPUTED_VALUE"""),40.0)</f>
        <v>40</v>
      </c>
      <c r="G1375" s="6">
        <f>IFERROR(__xludf.DUMMYFUNCTION("""COMPUTED_VALUE"""),0.0)</f>
        <v>0</v>
      </c>
      <c r="H1375" s="6" t="str">
        <f>IFERROR(__xludf.DUMMYFUNCTION("""COMPUTED_VALUE"""),"pcs")</f>
        <v>pcs</v>
      </c>
      <c r="I1375" s="6" t="str">
        <f>IFERROR(__xludf.DUMMYFUNCTION("""COMPUTED_VALUE"""),"MFH")</f>
        <v>MFH</v>
      </c>
      <c r="J1375" s="6" t="str">
        <f>IFERROR(__xludf.DUMMYFUNCTION("""COMPUTED_VALUE"""),"Adjust")</f>
        <v>Adjust</v>
      </c>
      <c r="K1375" s="6" t="str">
        <f>IFERROR(__xludf.DUMMYFUNCTION("""COMPUTED_VALUE"""),"SPR/11/24/070")</f>
        <v>SPR/11/24/070</v>
      </c>
      <c r="L1375" s="13">
        <f>IFERROR(__xludf.DUMMYFUNCTION("""COMPUTED_VALUE"""),45621.0)</f>
        <v>45621</v>
      </c>
    </row>
    <row r="1376">
      <c r="A1376" s="6" t="str">
        <f>IFERROR(__xludf.DUMMYFUNCTION("""COMPUTED_VALUE"""),"MFH")</f>
        <v>MFH</v>
      </c>
      <c r="B1376" s="6" t="str">
        <f>IFERROR(__xludf.DUMMYFUNCTION("""COMPUTED_VALUE"""),"ENG")</f>
        <v>ENG</v>
      </c>
      <c r="C1376" s="6" t="str">
        <f>IFERROR(__xludf.DUMMYFUNCTION("""COMPUTED_VALUE"""),"P-11422-00")</f>
        <v>P-11422-00</v>
      </c>
      <c r="D1376" s="6" t="str">
        <f>IFERROR(__xludf.DUMMYFUNCTION("""COMPUTED_VALUE"""),"Selang Festo Pun-H-10x1.5 / Blue NR : 197386")</f>
        <v>Selang Festo Pun-H-10x1.5 / Blue NR : 197386</v>
      </c>
      <c r="E1376" s="6">
        <f>IFERROR(__xludf.DUMMYFUNCTION("""COMPUTED_VALUE"""),40.0)</f>
        <v>40</v>
      </c>
      <c r="F1376" s="6">
        <f>IFERROR(__xludf.DUMMYFUNCTION("""COMPUTED_VALUE"""),40.0)</f>
        <v>40</v>
      </c>
      <c r="G1376" s="6">
        <f>IFERROR(__xludf.DUMMYFUNCTION("""COMPUTED_VALUE"""),0.0)</f>
        <v>0</v>
      </c>
      <c r="H1376" s="6" t="str">
        <f>IFERROR(__xludf.DUMMYFUNCTION("""COMPUTED_VALUE"""),"pcs")</f>
        <v>pcs</v>
      </c>
      <c r="I1376" s="6" t="str">
        <f>IFERROR(__xludf.DUMMYFUNCTION("""COMPUTED_VALUE"""),"MFH")</f>
        <v>MFH</v>
      </c>
      <c r="J1376" s="6" t="str">
        <f>IFERROR(__xludf.DUMMYFUNCTION("""COMPUTED_VALUE"""),"Adjust")</f>
        <v>Adjust</v>
      </c>
      <c r="K1376" s="6" t="str">
        <f>IFERROR(__xludf.DUMMYFUNCTION("""COMPUTED_VALUE"""),"SPR/11/24/070")</f>
        <v>SPR/11/24/070</v>
      </c>
      <c r="L1376" s="13">
        <f>IFERROR(__xludf.DUMMYFUNCTION("""COMPUTED_VALUE"""),45621.0)</f>
        <v>45621</v>
      </c>
    </row>
    <row r="1377">
      <c r="A1377" s="6" t="str">
        <f>IFERROR(__xludf.DUMMYFUNCTION("""COMPUTED_VALUE"""),"MFH")</f>
        <v>MFH</v>
      </c>
      <c r="B1377" s="6" t="str">
        <f>IFERROR(__xludf.DUMMYFUNCTION("""COMPUTED_VALUE"""),"ENG")</f>
        <v>ENG</v>
      </c>
      <c r="C1377" s="6" t="str">
        <f>IFERROR(__xludf.DUMMYFUNCTION("""COMPUTED_VALUE"""),"O-19432-00")</f>
        <v>O-19432-00</v>
      </c>
      <c r="D1377" s="6" t="str">
        <f>IFERROR(__xludf.DUMMYFUNCTION("""COMPUTED_VALUE"""),"Baut SS L M8 x 20 mm + Mur + Ring; ; ;; ; ;; ; ;")</f>
        <v>Baut SS L M8 x 20 mm + Mur + Ring; ; ;; ; ;; ; ;</v>
      </c>
      <c r="E1377" s="6">
        <f>IFERROR(__xludf.DUMMYFUNCTION("""COMPUTED_VALUE"""),50.0)</f>
        <v>50</v>
      </c>
      <c r="F1377" s="6">
        <f>IFERROR(__xludf.DUMMYFUNCTION("""COMPUTED_VALUE"""),50.0)</f>
        <v>50</v>
      </c>
      <c r="G1377" s="6">
        <f>IFERROR(__xludf.DUMMYFUNCTION("""COMPUTED_VALUE"""),0.0)</f>
        <v>0</v>
      </c>
      <c r="H1377" s="6" t="str">
        <f>IFERROR(__xludf.DUMMYFUNCTION("""COMPUTED_VALUE"""),"pcs")</f>
        <v>pcs</v>
      </c>
      <c r="I1377" s="6" t="str">
        <f>IFERROR(__xludf.DUMMYFUNCTION("""COMPUTED_VALUE"""),"MFH")</f>
        <v>MFH</v>
      </c>
      <c r="J1377" s="6" t="str">
        <f>IFERROR(__xludf.DUMMYFUNCTION("""COMPUTED_VALUE"""),"Adjust")</f>
        <v>Adjust</v>
      </c>
      <c r="K1377" s="6" t="str">
        <f>IFERROR(__xludf.DUMMYFUNCTION("""COMPUTED_VALUE"""),"SPR/11/24/071")</f>
        <v>SPR/11/24/071</v>
      </c>
      <c r="L1377" s="13">
        <f>IFERROR(__xludf.DUMMYFUNCTION("""COMPUTED_VALUE"""),45621.0)</f>
        <v>45621</v>
      </c>
    </row>
    <row r="1378">
      <c r="A1378" s="6" t="str">
        <f>IFERROR(__xludf.DUMMYFUNCTION("""COMPUTED_VALUE"""),"MFH")</f>
        <v>MFH</v>
      </c>
      <c r="B1378" s="6" t="str">
        <f>IFERROR(__xludf.DUMMYFUNCTION("""COMPUTED_VALUE"""),"ENG")</f>
        <v>ENG</v>
      </c>
      <c r="C1378" s="6" t="str">
        <f>IFERROR(__xludf.DUMMYFUNCTION("""COMPUTED_VALUE"""),"O-19431-00")</f>
        <v>O-19431-00</v>
      </c>
      <c r="D1378" s="6" t="str">
        <f>IFERROR(__xludf.DUMMYFUNCTION("""COMPUTED_VALUE"""),"Baut SS L M8 x 30 mm + Mur + Ring; ; ;; ; ;; ; ;")</f>
        <v>Baut SS L M8 x 30 mm + Mur + Ring; ; ;; ; ;; ; ;</v>
      </c>
      <c r="E1378" s="6">
        <f>IFERROR(__xludf.DUMMYFUNCTION("""COMPUTED_VALUE"""),68.0)</f>
        <v>68</v>
      </c>
      <c r="F1378" s="6">
        <f>IFERROR(__xludf.DUMMYFUNCTION("""COMPUTED_VALUE"""),68.0)</f>
        <v>68</v>
      </c>
      <c r="G1378" s="6">
        <f>IFERROR(__xludf.DUMMYFUNCTION("""COMPUTED_VALUE"""),0.0)</f>
        <v>0</v>
      </c>
      <c r="H1378" s="6" t="str">
        <f>IFERROR(__xludf.DUMMYFUNCTION("""COMPUTED_VALUE"""),"pcs")</f>
        <v>pcs</v>
      </c>
      <c r="I1378" s="6" t="str">
        <f>IFERROR(__xludf.DUMMYFUNCTION("""COMPUTED_VALUE"""),"MFH")</f>
        <v>MFH</v>
      </c>
      <c r="J1378" s="6" t="str">
        <f>IFERROR(__xludf.DUMMYFUNCTION("""COMPUTED_VALUE"""),"Adjust")</f>
        <v>Adjust</v>
      </c>
      <c r="K1378" s="6" t="str">
        <f>IFERROR(__xludf.DUMMYFUNCTION("""COMPUTED_VALUE"""),"SPR/11/24/071")</f>
        <v>SPR/11/24/071</v>
      </c>
      <c r="L1378" s="13">
        <f>IFERROR(__xludf.DUMMYFUNCTION("""COMPUTED_VALUE"""),45621.0)</f>
        <v>45621</v>
      </c>
    </row>
    <row r="1379">
      <c r="A1379" s="6" t="str">
        <f>IFERROR(__xludf.DUMMYFUNCTION("""COMPUTED_VALUE"""),"MFH")</f>
        <v>MFH</v>
      </c>
      <c r="B1379" s="6" t="str">
        <f>IFERROR(__xludf.DUMMYFUNCTION("""COMPUTED_VALUE"""),"ENG")</f>
        <v>ENG</v>
      </c>
      <c r="C1379" s="6" t="str">
        <f>IFERROR(__xludf.DUMMYFUNCTION("""COMPUTED_VALUE"""),"O-19430-00")</f>
        <v>O-19430-00</v>
      </c>
      <c r="D1379" s="6" t="str">
        <f>IFERROR(__xludf.DUMMYFUNCTION("""COMPUTED_VALUE"""),"Baut SS L M5 x 20 mm + Mur + Ring; ; ;; ; ;; ; ;")</f>
        <v>Baut SS L M5 x 20 mm + Mur + Ring; ; ;; ; ;; ; ;</v>
      </c>
      <c r="E1379" s="6">
        <f>IFERROR(__xludf.DUMMYFUNCTION("""COMPUTED_VALUE"""),50.0)</f>
        <v>50</v>
      </c>
      <c r="F1379" s="6">
        <f>IFERROR(__xludf.DUMMYFUNCTION("""COMPUTED_VALUE"""),50.0)</f>
        <v>50</v>
      </c>
      <c r="G1379" s="6">
        <f>IFERROR(__xludf.DUMMYFUNCTION("""COMPUTED_VALUE"""),0.0)</f>
        <v>0</v>
      </c>
      <c r="H1379" s="6" t="str">
        <f>IFERROR(__xludf.DUMMYFUNCTION("""COMPUTED_VALUE"""),"pcs")</f>
        <v>pcs</v>
      </c>
      <c r="I1379" s="6" t="str">
        <f>IFERROR(__xludf.DUMMYFUNCTION("""COMPUTED_VALUE"""),"MFH")</f>
        <v>MFH</v>
      </c>
      <c r="J1379" s="6" t="str">
        <f>IFERROR(__xludf.DUMMYFUNCTION("""COMPUTED_VALUE"""),"Adjust")</f>
        <v>Adjust</v>
      </c>
      <c r="K1379" s="6" t="str">
        <f>IFERROR(__xludf.DUMMYFUNCTION("""COMPUTED_VALUE"""),"SPR/11/24/071")</f>
        <v>SPR/11/24/071</v>
      </c>
      <c r="L1379" s="13">
        <f>IFERROR(__xludf.DUMMYFUNCTION("""COMPUTED_VALUE"""),45621.0)</f>
        <v>45621</v>
      </c>
    </row>
    <row r="1380">
      <c r="A1380" s="6" t="str">
        <f>IFERROR(__xludf.DUMMYFUNCTION("""COMPUTED_VALUE"""),"MFH")</f>
        <v>MFH</v>
      </c>
      <c r="B1380" s="6" t="str">
        <f>IFERROR(__xludf.DUMMYFUNCTION("""COMPUTED_VALUE"""),"ENG")</f>
        <v>ENG</v>
      </c>
      <c r="C1380" s="6" t="str">
        <f>IFERROR(__xludf.DUMMYFUNCTION("""COMPUTED_VALUE"""),"O-19429-00")</f>
        <v>O-19429-00</v>
      </c>
      <c r="D1380" s="6" t="str">
        <f>IFERROR(__xludf.DUMMYFUNCTION("""COMPUTED_VALUE"""),"Baut SS L M4 x 10 mm + Mur + Ring; ; ;; ; ;; ; ;")</f>
        <v>Baut SS L M4 x 10 mm + Mur + Ring; ; ;; ; ;; ; ;</v>
      </c>
      <c r="E1380" s="6">
        <f>IFERROR(__xludf.DUMMYFUNCTION("""COMPUTED_VALUE"""),75.0)</f>
        <v>75</v>
      </c>
      <c r="F1380" s="6">
        <f>IFERROR(__xludf.DUMMYFUNCTION("""COMPUTED_VALUE"""),75.0)</f>
        <v>75</v>
      </c>
      <c r="G1380" s="6">
        <f>IFERROR(__xludf.DUMMYFUNCTION("""COMPUTED_VALUE"""),0.0)</f>
        <v>0</v>
      </c>
      <c r="H1380" s="6" t="str">
        <f>IFERROR(__xludf.DUMMYFUNCTION("""COMPUTED_VALUE"""),"pcs")</f>
        <v>pcs</v>
      </c>
      <c r="I1380" s="6" t="str">
        <f>IFERROR(__xludf.DUMMYFUNCTION("""COMPUTED_VALUE"""),"MFH")</f>
        <v>MFH</v>
      </c>
      <c r="J1380" s="6" t="str">
        <f>IFERROR(__xludf.DUMMYFUNCTION("""COMPUTED_VALUE"""),"Adjust")</f>
        <v>Adjust</v>
      </c>
      <c r="K1380" s="6" t="str">
        <f>IFERROR(__xludf.DUMMYFUNCTION("""COMPUTED_VALUE"""),"SPR/11/24/072")</f>
        <v>SPR/11/24/072</v>
      </c>
      <c r="L1380" s="13">
        <f>IFERROR(__xludf.DUMMYFUNCTION("""COMPUTED_VALUE"""),45621.0)</f>
        <v>45621</v>
      </c>
    </row>
    <row r="1381">
      <c r="A1381" s="6" t="str">
        <f>IFERROR(__xludf.DUMMYFUNCTION("""COMPUTED_VALUE"""),"MFH")</f>
        <v>MFH</v>
      </c>
      <c r="B1381" s="6" t="str">
        <f>IFERROR(__xludf.DUMMYFUNCTION("""COMPUTED_VALUE"""),"ENG")</f>
        <v>ENG</v>
      </c>
      <c r="C1381" s="6" t="str">
        <f>IFERROR(__xludf.DUMMYFUNCTION("""COMPUTED_VALUE"""),"O-19428-00")</f>
        <v>O-19428-00</v>
      </c>
      <c r="D1381" s="6" t="str">
        <f>IFERROR(__xludf.DUMMYFUNCTION("""COMPUTED_VALUE"""),"Baut SS L M4 x 20 mm + Mur + Ring; ; ;; ; ;; ; ;")</f>
        <v>Baut SS L M4 x 20 mm + Mur + Ring; ; ;; ; ;; ; ;</v>
      </c>
      <c r="E1381" s="6">
        <f>IFERROR(__xludf.DUMMYFUNCTION("""COMPUTED_VALUE"""),100.0)</f>
        <v>100</v>
      </c>
      <c r="F1381" s="6">
        <f>IFERROR(__xludf.DUMMYFUNCTION("""COMPUTED_VALUE"""),100.0)</f>
        <v>100</v>
      </c>
      <c r="G1381" s="6">
        <f>IFERROR(__xludf.DUMMYFUNCTION("""COMPUTED_VALUE"""),0.0)</f>
        <v>0</v>
      </c>
      <c r="H1381" s="6" t="str">
        <f>IFERROR(__xludf.DUMMYFUNCTION("""COMPUTED_VALUE"""),"pcs")</f>
        <v>pcs</v>
      </c>
      <c r="I1381" s="6" t="str">
        <f>IFERROR(__xludf.DUMMYFUNCTION("""COMPUTED_VALUE"""),"MFH")</f>
        <v>MFH</v>
      </c>
      <c r="J1381" s="6" t="str">
        <f>IFERROR(__xludf.DUMMYFUNCTION("""COMPUTED_VALUE"""),"Adjust")</f>
        <v>Adjust</v>
      </c>
      <c r="K1381" s="6" t="str">
        <f>IFERROR(__xludf.DUMMYFUNCTION("""COMPUTED_VALUE"""),"SPR/11/24/072")</f>
        <v>SPR/11/24/072</v>
      </c>
      <c r="L1381" s="13">
        <f>IFERROR(__xludf.DUMMYFUNCTION("""COMPUTED_VALUE"""),45621.0)</f>
        <v>45621</v>
      </c>
    </row>
    <row r="1382">
      <c r="A1382" s="6" t="str">
        <f>IFERROR(__xludf.DUMMYFUNCTION("""COMPUTED_VALUE"""),"MFH")</f>
        <v>MFH</v>
      </c>
      <c r="B1382" s="6" t="str">
        <f>IFERROR(__xludf.DUMMYFUNCTION("""COMPUTED_VALUE"""),"ENG")</f>
        <v>ENG</v>
      </c>
      <c r="C1382" s="6" t="str">
        <f>IFERROR(__xludf.DUMMYFUNCTION("""COMPUTED_VALUE"""),"O-19427-00")</f>
        <v>O-19427-00</v>
      </c>
      <c r="D1382" s="6" t="str">
        <f>IFERROR(__xludf.DUMMYFUNCTION("""COMPUTED_VALUE"""),"Baut SS L M3 x 30 mm + Mur + Ring; ; ;; ; ;")</f>
        <v>Baut SS L M3 x 30 mm + Mur + Ring; ; ;; ; ;</v>
      </c>
      <c r="E1382" s="6">
        <f>IFERROR(__xludf.DUMMYFUNCTION("""COMPUTED_VALUE"""),100.0)</f>
        <v>100</v>
      </c>
      <c r="F1382" s="6">
        <f>IFERROR(__xludf.DUMMYFUNCTION("""COMPUTED_VALUE"""),100.0)</f>
        <v>100</v>
      </c>
      <c r="G1382" s="6">
        <f>IFERROR(__xludf.DUMMYFUNCTION("""COMPUTED_VALUE"""),0.0)</f>
        <v>0</v>
      </c>
      <c r="H1382" s="6" t="str">
        <f>IFERROR(__xludf.DUMMYFUNCTION("""COMPUTED_VALUE"""),"pcs")</f>
        <v>pcs</v>
      </c>
      <c r="I1382" s="6" t="str">
        <f>IFERROR(__xludf.DUMMYFUNCTION("""COMPUTED_VALUE"""),"MFH")</f>
        <v>MFH</v>
      </c>
      <c r="J1382" s="6" t="str">
        <f>IFERROR(__xludf.DUMMYFUNCTION("""COMPUTED_VALUE"""),"Adjust")</f>
        <v>Adjust</v>
      </c>
      <c r="K1382" s="6" t="str">
        <f>IFERROR(__xludf.DUMMYFUNCTION("""COMPUTED_VALUE"""),"SPR/11/24/072")</f>
        <v>SPR/11/24/072</v>
      </c>
      <c r="L1382" s="13">
        <f>IFERROR(__xludf.DUMMYFUNCTION("""COMPUTED_VALUE"""),45621.0)</f>
        <v>45621</v>
      </c>
    </row>
    <row r="1383">
      <c r="A1383" s="6" t="str">
        <f>IFERROR(__xludf.DUMMYFUNCTION("""COMPUTED_VALUE"""),"MFH")</f>
        <v>MFH</v>
      </c>
      <c r="B1383" s="6" t="str">
        <f>IFERROR(__xludf.DUMMYFUNCTION("""COMPUTED_VALUE"""),"ENG")</f>
        <v>ENG</v>
      </c>
      <c r="C1383" s="6" t="str">
        <f>IFERROR(__xludf.DUMMYFUNCTION("""COMPUTED_VALUE"""),"O-19426-00")</f>
        <v>O-19426-00</v>
      </c>
      <c r="D1383" s="6" t="str">
        <f>IFERROR(__xludf.DUMMYFUNCTION("""COMPUTED_VALUE"""),"Baut SS L M3 x 20 mm + Mur + Ring; ; ;; ; ;")</f>
        <v>Baut SS L M3 x 20 mm + Mur + Ring; ; ;; ; ;</v>
      </c>
      <c r="E1383" s="6">
        <f>IFERROR(__xludf.DUMMYFUNCTION("""COMPUTED_VALUE"""),100.0)</f>
        <v>100</v>
      </c>
      <c r="F1383" s="6">
        <f>IFERROR(__xludf.DUMMYFUNCTION("""COMPUTED_VALUE"""),100.0)</f>
        <v>100</v>
      </c>
      <c r="G1383" s="6">
        <f>IFERROR(__xludf.DUMMYFUNCTION("""COMPUTED_VALUE"""),0.0)</f>
        <v>0</v>
      </c>
      <c r="H1383" s="6" t="str">
        <f>IFERROR(__xludf.DUMMYFUNCTION("""COMPUTED_VALUE"""),"pcs")</f>
        <v>pcs</v>
      </c>
      <c r="I1383" s="6" t="str">
        <f>IFERROR(__xludf.DUMMYFUNCTION("""COMPUTED_VALUE"""),"MFH")</f>
        <v>MFH</v>
      </c>
      <c r="J1383" s="6" t="str">
        <f>IFERROR(__xludf.DUMMYFUNCTION("""COMPUTED_VALUE"""),"Adjust")</f>
        <v>Adjust</v>
      </c>
      <c r="K1383" s="6" t="str">
        <f>IFERROR(__xludf.DUMMYFUNCTION("""COMPUTED_VALUE"""),"SPR/11/24/073")</f>
        <v>SPR/11/24/073</v>
      </c>
      <c r="L1383" s="13">
        <f>IFERROR(__xludf.DUMMYFUNCTION("""COMPUTED_VALUE"""),45621.0)</f>
        <v>45621</v>
      </c>
    </row>
    <row r="1384">
      <c r="A1384" s="6" t="str">
        <f>IFERROR(__xludf.DUMMYFUNCTION("""COMPUTED_VALUE"""),"MFH")</f>
        <v>MFH</v>
      </c>
      <c r="B1384" s="6" t="str">
        <f>IFERROR(__xludf.DUMMYFUNCTION("""COMPUTED_VALUE"""),"ENG")</f>
        <v>ENG</v>
      </c>
      <c r="C1384" s="6" t="str">
        <f>IFERROR(__xludf.DUMMYFUNCTION("""COMPUTED_VALUE"""),"O-19425-00")</f>
        <v>O-19425-00</v>
      </c>
      <c r="D1384" s="6" t="str">
        <f>IFERROR(__xludf.DUMMYFUNCTION("""COMPUTED_VALUE"""),"Baut Hexagonal SS304 M8 X 20mm+Mur+Ring; ; ;; ; ;; ; ;")</f>
        <v>Baut Hexagonal SS304 M8 X 20mm+Mur+Ring; ; ;; ; ;; ; ;</v>
      </c>
      <c r="E1384" s="6">
        <f>IFERROR(__xludf.DUMMYFUNCTION("""COMPUTED_VALUE"""),50.0)</f>
        <v>50</v>
      </c>
      <c r="F1384" s="6">
        <f>IFERROR(__xludf.DUMMYFUNCTION("""COMPUTED_VALUE"""),50.0)</f>
        <v>50</v>
      </c>
      <c r="G1384" s="6">
        <f>IFERROR(__xludf.DUMMYFUNCTION("""COMPUTED_VALUE"""),0.0)</f>
        <v>0</v>
      </c>
      <c r="H1384" s="6" t="str">
        <f>IFERROR(__xludf.DUMMYFUNCTION("""COMPUTED_VALUE"""),"pcs")</f>
        <v>pcs</v>
      </c>
      <c r="I1384" s="6" t="str">
        <f>IFERROR(__xludf.DUMMYFUNCTION("""COMPUTED_VALUE"""),"MFH")</f>
        <v>MFH</v>
      </c>
      <c r="J1384" s="6" t="str">
        <f>IFERROR(__xludf.DUMMYFUNCTION("""COMPUTED_VALUE"""),"Adjust")</f>
        <v>Adjust</v>
      </c>
      <c r="K1384" s="6" t="str">
        <f>IFERROR(__xludf.DUMMYFUNCTION("""COMPUTED_VALUE"""),"SPR/11/24/073")</f>
        <v>SPR/11/24/073</v>
      </c>
      <c r="L1384" s="13">
        <f>IFERROR(__xludf.DUMMYFUNCTION("""COMPUTED_VALUE"""),45621.0)</f>
        <v>45621</v>
      </c>
    </row>
    <row r="1385">
      <c r="A1385" s="6" t="str">
        <f>IFERROR(__xludf.DUMMYFUNCTION("""COMPUTED_VALUE"""),"MFH")</f>
        <v>MFH</v>
      </c>
      <c r="B1385" s="6" t="str">
        <f>IFERROR(__xludf.DUMMYFUNCTION("""COMPUTED_VALUE"""),"ENG")</f>
        <v>ENG</v>
      </c>
      <c r="C1385" s="6" t="str">
        <f>IFERROR(__xludf.DUMMYFUNCTION("""COMPUTED_VALUE"""),"O-19424-00")</f>
        <v>O-19424-00</v>
      </c>
      <c r="D1385" s="6" t="str">
        <f>IFERROR(__xludf.DUMMYFUNCTION("""COMPUTED_VALUE"""),"Mur Baut A2-70 THE")</f>
        <v>Mur Baut A2-70 THE</v>
      </c>
      <c r="E1385" s="6">
        <f>IFERROR(__xludf.DUMMYFUNCTION("""COMPUTED_VALUE"""),80.0)</f>
        <v>80</v>
      </c>
      <c r="F1385" s="6">
        <f>IFERROR(__xludf.DUMMYFUNCTION("""COMPUTED_VALUE"""),80.0)</f>
        <v>80</v>
      </c>
      <c r="G1385" s="6">
        <f>IFERROR(__xludf.DUMMYFUNCTION("""COMPUTED_VALUE"""),0.0)</f>
        <v>0</v>
      </c>
      <c r="H1385" s="6" t="str">
        <f>IFERROR(__xludf.DUMMYFUNCTION("""COMPUTED_VALUE"""),"pcs")</f>
        <v>pcs</v>
      </c>
      <c r="I1385" s="6" t="str">
        <f>IFERROR(__xludf.DUMMYFUNCTION("""COMPUTED_VALUE"""),"MFH")</f>
        <v>MFH</v>
      </c>
      <c r="J1385" s="6" t="str">
        <f>IFERROR(__xludf.DUMMYFUNCTION("""COMPUTED_VALUE"""),"Adjust")</f>
        <v>Adjust</v>
      </c>
      <c r="K1385" s="6" t="str">
        <f>IFERROR(__xludf.DUMMYFUNCTION("""COMPUTED_VALUE"""),"SPR/11/24/073")</f>
        <v>SPR/11/24/073</v>
      </c>
      <c r="L1385" s="13">
        <f>IFERROR(__xludf.DUMMYFUNCTION("""COMPUTED_VALUE"""),45621.0)</f>
        <v>45621</v>
      </c>
    </row>
    <row r="1386">
      <c r="A1386" s="6" t="str">
        <f>IFERROR(__xludf.DUMMYFUNCTION("""COMPUTED_VALUE"""),"MFH")</f>
        <v>MFH</v>
      </c>
      <c r="B1386" s="6" t="str">
        <f>IFERROR(__xludf.DUMMYFUNCTION("""COMPUTED_VALUE"""),"ENG")</f>
        <v>ENG</v>
      </c>
      <c r="C1386" s="6" t="str">
        <f>IFERROR(__xludf.DUMMYFUNCTION("""COMPUTED_VALUE"""),"O-19423-00")</f>
        <v>O-19423-00</v>
      </c>
      <c r="D1386" s="6" t="str">
        <f>IFERROR(__xludf.DUMMYFUNCTION("""COMPUTED_VALUE"""),"Baut Hexagonal SS304 M6 X 30mm+Mur+Ring; ; ;; ; ;")</f>
        <v>Baut Hexagonal SS304 M6 X 30mm+Mur+Ring; ; ;; ; ;</v>
      </c>
      <c r="E1386" s="6">
        <f>IFERROR(__xludf.DUMMYFUNCTION("""COMPUTED_VALUE"""),100.0)</f>
        <v>100</v>
      </c>
      <c r="F1386" s="6">
        <f>IFERROR(__xludf.DUMMYFUNCTION("""COMPUTED_VALUE"""),100.0)</f>
        <v>100</v>
      </c>
      <c r="G1386" s="6">
        <f>IFERROR(__xludf.DUMMYFUNCTION("""COMPUTED_VALUE"""),0.0)</f>
        <v>0</v>
      </c>
      <c r="H1386" s="6" t="str">
        <f>IFERROR(__xludf.DUMMYFUNCTION("""COMPUTED_VALUE"""),"pcs")</f>
        <v>pcs</v>
      </c>
      <c r="I1386" s="6" t="str">
        <f>IFERROR(__xludf.DUMMYFUNCTION("""COMPUTED_VALUE"""),"MFH")</f>
        <v>MFH</v>
      </c>
      <c r="J1386" s="6" t="str">
        <f>IFERROR(__xludf.DUMMYFUNCTION("""COMPUTED_VALUE"""),"Adjust")</f>
        <v>Adjust</v>
      </c>
      <c r="K1386" s="6" t="str">
        <f>IFERROR(__xludf.DUMMYFUNCTION("""COMPUTED_VALUE"""),"SPR/11/24/074")</f>
        <v>SPR/11/24/074</v>
      </c>
      <c r="L1386" s="13">
        <f>IFERROR(__xludf.DUMMYFUNCTION("""COMPUTED_VALUE"""),45621.0)</f>
        <v>45621</v>
      </c>
    </row>
    <row r="1387">
      <c r="A1387" s="6" t="str">
        <f>IFERROR(__xludf.DUMMYFUNCTION("""COMPUTED_VALUE"""),"MFH")</f>
        <v>MFH</v>
      </c>
      <c r="B1387" s="6" t="str">
        <f>IFERROR(__xludf.DUMMYFUNCTION("""COMPUTED_VALUE"""),"ENG")</f>
        <v>ENG</v>
      </c>
      <c r="C1387" s="6" t="str">
        <f>IFERROR(__xludf.DUMMYFUNCTION("""COMPUTED_VALUE"""),"O-19422-00")</f>
        <v>O-19422-00</v>
      </c>
      <c r="D1387" s="6" t="str">
        <f>IFERROR(__xludf.DUMMYFUNCTION("""COMPUTED_VALUE"""),"Baut Hexagonal SS304 M4 X 30mm+Mur+Ring; ; ;")</f>
        <v>Baut Hexagonal SS304 M4 X 30mm+Mur+Ring; ; ;</v>
      </c>
      <c r="E1387" s="6">
        <f>IFERROR(__xludf.DUMMYFUNCTION("""COMPUTED_VALUE"""),100.0)</f>
        <v>100</v>
      </c>
      <c r="F1387" s="6">
        <f>IFERROR(__xludf.DUMMYFUNCTION("""COMPUTED_VALUE"""),100.0)</f>
        <v>100</v>
      </c>
      <c r="G1387" s="6">
        <f>IFERROR(__xludf.DUMMYFUNCTION("""COMPUTED_VALUE"""),0.0)</f>
        <v>0</v>
      </c>
      <c r="H1387" s="6" t="str">
        <f>IFERROR(__xludf.DUMMYFUNCTION("""COMPUTED_VALUE"""),"pcs")</f>
        <v>pcs</v>
      </c>
      <c r="I1387" s="6" t="str">
        <f>IFERROR(__xludf.DUMMYFUNCTION("""COMPUTED_VALUE"""),"MFH")</f>
        <v>MFH</v>
      </c>
      <c r="J1387" s="6" t="str">
        <f>IFERROR(__xludf.DUMMYFUNCTION("""COMPUTED_VALUE"""),"Adjust")</f>
        <v>Adjust</v>
      </c>
      <c r="K1387" s="6" t="str">
        <f>IFERROR(__xludf.DUMMYFUNCTION("""COMPUTED_VALUE"""),"SPR/11/24/074")</f>
        <v>SPR/11/24/074</v>
      </c>
      <c r="L1387" s="13">
        <f>IFERROR(__xludf.DUMMYFUNCTION("""COMPUTED_VALUE"""),45621.0)</f>
        <v>45621</v>
      </c>
    </row>
    <row r="1388">
      <c r="A1388" s="6" t="str">
        <f>IFERROR(__xludf.DUMMYFUNCTION("""COMPUTED_VALUE"""),"MFH")</f>
        <v>MFH</v>
      </c>
      <c r="B1388" s="6" t="str">
        <f>IFERROR(__xludf.DUMMYFUNCTION("""COMPUTED_VALUE"""),"ENG")</f>
        <v>ENG</v>
      </c>
      <c r="C1388" s="6" t="str">
        <f>IFERROR(__xludf.DUMMYFUNCTION("""COMPUTED_VALUE"""),"O-19256-00")</f>
        <v>O-19256-00</v>
      </c>
      <c r="D1388" s="6" t="str">
        <f>IFERROR(__xludf.DUMMYFUNCTION("""COMPUTED_VALUE"""),"Grendel Pintu Sliding Stanless Steel; ; ;")</f>
        <v>Grendel Pintu Sliding Stanless Steel; ; ;</v>
      </c>
      <c r="E1388" s="6">
        <f>IFERROR(__xludf.DUMMYFUNCTION("""COMPUTED_VALUE"""),15.0)</f>
        <v>15</v>
      </c>
      <c r="F1388" s="6">
        <f>IFERROR(__xludf.DUMMYFUNCTION("""COMPUTED_VALUE"""),15.0)</f>
        <v>15</v>
      </c>
      <c r="G1388" s="6">
        <f>IFERROR(__xludf.DUMMYFUNCTION("""COMPUTED_VALUE"""),0.0)</f>
        <v>0</v>
      </c>
      <c r="H1388" s="6" t="str">
        <f>IFERROR(__xludf.DUMMYFUNCTION("""COMPUTED_VALUE"""),"pcs")</f>
        <v>pcs</v>
      </c>
      <c r="I1388" s="6" t="str">
        <f>IFERROR(__xludf.DUMMYFUNCTION("""COMPUTED_VALUE"""),"MFH")</f>
        <v>MFH</v>
      </c>
      <c r="J1388" s="6" t="str">
        <f>IFERROR(__xludf.DUMMYFUNCTION("""COMPUTED_VALUE"""),"Building")</f>
        <v>Building</v>
      </c>
      <c r="K1388" s="6" t="str">
        <f>IFERROR(__xludf.DUMMYFUNCTION("""COMPUTED_VALUE"""),"SPR/11/24/074")</f>
        <v>SPR/11/24/074</v>
      </c>
      <c r="L1388" s="13">
        <f>IFERROR(__xludf.DUMMYFUNCTION("""COMPUTED_VALUE"""),45621.0)</f>
        <v>45621</v>
      </c>
    </row>
    <row r="1389">
      <c r="A1389" s="6" t="str">
        <f>IFERROR(__xludf.DUMMYFUNCTION("""COMPUTED_VALUE"""),"MFH")</f>
        <v>MFH</v>
      </c>
      <c r="B1389" s="6" t="str">
        <f>IFERROR(__xludf.DUMMYFUNCTION("""COMPUTED_VALUE"""),"ENG")</f>
        <v>ENG</v>
      </c>
      <c r="C1389" s="6" t="str">
        <f>IFERROR(__xludf.DUMMYFUNCTION("""COMPUTED_VALUE"""),"O-18504-00")</f>
        <v>O-18504-00</v>
      </c>
      <c r="D1389" s="6" t="str">
        <f>IFERROR(__xludf.DUMMYFUNCTION("""COMPUTED_VALUE"""),"Baut hexagonal ss M6x15mm+Mur+Ring; ; ;")</f>
        <v>Baut hexagonal ss M6x15mm+Mur+Ring; ; ;</v>
      </c>
      <c r="E1389" s="6">
        <f>IFERROR(__xludf.DUMMYFUNCTION("""COMPUTED_VALUE"""),100.0)</f>
        <v>100</v>
      </c>
      <c r="F1389" s="6">
        <f>IFERROR(__xludf.DUMMYFUNCTION("""COMPUTED_VALUE"""),100.0)</f>
        <v>100</v>
      </c>
      <c r="G1389" s="6">
        <f>IFERROR(__xludf.DUMMYFUNCTION("""COMPUTED_VALUE"""),0.0)</f>
        <v>0</v>
      </c>
      <c r="H1389" s="6" t="str">
        <f>IFERROR(__xludf.DUMMYFUNCTION("""COMPUTED_VALUE"""),"pcs")</f>
        <v>pcs</v>
      </c>
      <c r="I1389" s="6" t="str">
        <f>IFERROR(__xludf.DUMMYFUNCTION("""COMPUTED_VALUE"""),"MFH")</f>
        <v>MFH</v>
      </c>
      <c r="J1389" s="6" t="str">
        <f>IFERROR(__xludf.DUMMYFUNCTION("""COMPUTED_VALUE"""),"Adjust")</f>
        <v>Adjust</v>
      </c>
      <c r="K1389" s="6" t="str">
        <f>IFERROR(__xludf.DUMMYFUNCTION("""COMPUTED_VALUE"""),"SPR/11/24/075")</f>
        <v>SPR/11/24/075</v>
      </c>
      <c r="L1389" s="13">
        <f>IFERROR(__xludf.DUMMYFUNCTION("""COMPUTED_VALUE"""),45621.0)</f>
        <v>45621</v>
      </c>
    </row>
    <row r="1390">
      <c r="A1390" s="6" t="str">
        <f>IFERROR(__xludf.DUMMYFUNCTION("""COMPUTED_VALUE"""),"MFH")</f>
        <v>MFH</v>
      </c>
      <c r="B1390" s="6" t="str">
        <f>IFERROR(__xludf.DUMMYFUNCTION("""COMPUTED_VALUE"""),"ENG")</f>
        <v>ENG</v>
      </c>
      <c r="C1390" s="6" t="str">
        <f>IFERROR(__xludf.DUMMYFUNCTION("""COMPUTED_VALUE"""),"O-52209-00")</f>
        <v>O-52209-00</v>
      </c>
      <c r="D1390" s="6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E1390" s="6">
        <f>IFERROR(__xludf.DUMMYFUNCTION("""COMPUTED_VALUE"""),1.0)</f>
        <v>1</v>
      </c>
      <c r="F1390" s="6">
        <f>IFERROR(__xludf.DUMMYFUNCTION("""COMPUTED_VALUE"""),1.0)</f>
        <v>1</v>
      </c>
      <c r="G1390" s="6">
        <f>IFERROR(__xludf.DUMMYFUNCTION("""COMPUTED_VALUE"""),0.0)</f>
        <v>0</v>
      </c>
      <c r="H1390" s="6" t="str">
        <f>IFERROR(__xludf.DUMMYFUNCTION("""COMPUTED_VALUE"""),"pcs")</f>
        <v>pcs</v>
      </c>
      <c r="I1390" s="6" t="str">
        <f>IFERROR(__xludf.DUMMYFUNCTION("""COMPUTED_VALUE"""),"MFH")</f>
        <v>MFH</v>
      </c>
      <c r="J1390" s="6" t="str">
        <f>IFERROR(__xludf.DUMMYFUNCTION("""COMPUTED_VALUE"""),"Adjust")</f>
        <v>Adjust</v>
      </c>
      <c r="K1390" s="6" t="str">
        <f>IFERROR(__xludf.DUMMYFUNCTION("""COMPUTED_VALUE"""),"SPR/11/24/075")</f>
        <v>SPR/11/24/075</v>
      </c>
      <c r="L1390" s="13">
        <f>IFERROR(__xludf.DUMMYFUNCTION("""COMPUTED_VALUE"""),45621.0)</f>
        <v>45621</v>
      </c>
    </row>
    <row r="1391">
      <c r="A1391" s="6" t="str">
        <f>IFERROR(__xludf.DUMMYFUNCTION("""COMPUTED_VALUE"""),"MFH")</f>
        <v>MFH</v>
      </c>
      <c r="B1391" s="6" t="str">
        <f>IFERROR(__xludf.DUMMYFUNCTION("""COMPUTED_VALUE"""),"ENG")</f>
        <v>ENG</v>
      </c>
      <c r="C1391" s="6" t="str">
        <f>IFERROR(__xludf.DUMMYFUNCTION("""COMPUTED_VALUE"""),"Q-60401-00")</f>
        <v>Q-60401-00</v>
      </c>
      <c r="D1391" s="6" t="str">
        <f>IFERROR(__xludf.DUMMYFUNCTION("""COMPUTED_VALUE"""),"Handle Pintu Bulat, Elbow Press Lock; Meroni; N13NE TB127;")</f>
        <v>Handle Pintu Bulat, Elbow Press Lock; Meroni; N13NE TB127;</v>
      </c>
      <c r="E1391" s="6">
        <f>IFERROR(__xludf.DUMMYFUNCTION("""COMPUTED_VALUE"""),2.0)</f>
        <v>2</v>
      </c>
      <c r="F1391" s="6">
        <f>IFERROR(__xludf.DUMMYFUNCTION("""COMPUTED_VALUE"""),2.0)</f>
        <v>2</v>
      </c>
      <c r="G1391" s="6">
        <f>IFERROR(__xludf.DUMMYFUNCTION("""COMPUTED_VALUE"""),0.0)</f>
        <v>0</v>
      </c>
      <c r="H1391" s="6" t="str">
        <f>IFERROR(__xludf.DUMMYFUNCTION("""COMPUTED_VALUE"""),"pcs")</f>
        <v>pcs</v>
      </c>
      <c r="I1391" s="6" t="str">
        <f>IFERROR(__xludf.DUMMYFUNCTION("""COMPUTED_VALUE"""),"MFH")</f>
        <v>MFH</v>
      </c>
      <c r="J1391" s="6" t="str">
        <f>IFERROR(__xludf.DUMMYFUNCTION("""COMPUTED_VALUE"""),"Building")</f>
        <v>Building</v>
      </c>
      <c r="K1391" s="6" t="str">
        <f>IFERROR(__xludf.DUMMYFUNCTION("""COMPUTED_VALUE"""),"SPR/11/24/076")</f>
        <v>SPR/11/24/076</v>
      </c>
      <c r="L1391" s="13">
        <f>IFERROR(__xludf.DUMMYFUNCTION("""COMPUTED_VALUE"""),45621.0)</f>
        <v>45621</v>
      </c>
    </row>
    <row r="1392">
      <c r="A1392" s="6" t="str">
        <f>IFERROR(__xludf.DUMMYFUNCTION("""COMPUTED_VALUE"""),"INN")</f>
        <v>INN</v>
      </c>
      <c r="B1392" s="6" t="str">
        <f>IFERROR(__xludf.DUMMYFUNCTION("""COMPUTED_VALUE"""),"ENG")</f>
        <v>ENG</v>
      </c>
      <c r="C1392" s="6" t="str">
        <f>IFERROR(__xludf.DUMMYFUNCTION("""COMPUTED_VALUE"""),"T-20123-00")</f>
        <v>T-20123-00</v>
      </c>
      <c r="D1392" s="6" t="str">
        <f>IFERROR(__xludf.DUMMYFUNCTION("""COMPUTED_VALUE"""),"Acquity PDA/TUV 2489/2998 Perf")</f>
        <v>Acquity PDA/TUV 2489/2998 Perf</v>
      </c>
      <c r="E1392" s="6">
        <f>IFERROR(__xludf.DUMMYFUNCTION("""COMPUTED_VALUE"""),1.0)</f>
        <v>1</v>
      </c>
      <c r="F1392" s="6">
        <f>IFERROR(__xludf.DUMMYFUNCTION("""COMPUTED_VALUE"""),1.0)</f>
        <v>1</v>
      </c>
      <c r="G1392" s="6">
        <f>IFERROR(__xludf.DUMMYFUNCTION("""COMPUTED_VALUE"""),0.0)</f>
        <v>0</v>
      </c>
      <c r="H1392" s="6" t="str">
        <f>IFERROR(__xludf.DUMMYFUNCTION("""COMPUTED_VALUE"""),"pcs")</f>
        <v>pcs</v>
      </c>
      <c r="I1392" s="6" t="str">
        <f>IFERROR(__xludf.DUMMYFUNCTION("""COMPUTED_VALUE"""),"MFH")</f>
        <v>MFH</v>
      </c>
      <c r="J1392" s="6" t="str">
        <f>IFERROR(__xludf.DUMMYFUNCTION("""COMPUTED_VALUE"""),"HPLC")</f>
        <v>HPLC</v>
      </c>
      <c r="K1392" s="6" t="str">
        <f>IFERROR(__xludf.DUMMYFUNCTION("""COMPUTED_VALUE"""),"SPR/12/24/001")</f>
        <v>SPR/12/24/001</v>
      </c>
      <c r="L1392" s="13">
        <f>IFERROR(__xludf.DUMMYFUNCTION("""COMPUTED_VALUE"""),45629.0)</f>
        <v>45629</v>
      </c>
    </row>
    <row r="1393">
      <c r="A1393" s="6" t="str">
        <f>IFERROR(__xludf.DUMMYFUNCTION("""COMPUTED_VALUE"""),"NDS")</f>
        <v>NDS</v>
      </c>
      <c r="B1393" s="6" t="str">
        <f>IFERROR(__xludf.DUMMYFUNCTION("""COMPUTED_VALUE"""),"ENG")</f>
        <v>ENG</v>
      </c>
      <c r="C1393" s="6" t="str">
        <f>IFERROR(__xludf.DUMMYFUNCTION("""COMPUTED_VALUE"""),"P-18468-00")</f>
        <v>P-18468-00</v>
      </c>
      <c r="D1393" s="6" t="str">
        <f>IFERROR(__xludf.DUMMYFUNCTION("""COMPUTED_VALUE"""),"Pass Box Stickers ZC-A; ; ;")</f>
        <v>Pass Box Stickers ZC-A; ; ;</v>
      </c>
      <c r="E1393" s="6">
        <f>IFERROR(__xludf.DUMMYFUNCTION("""COMPUTED_VALUE"""),4.0)</f>
        <v>4</v>
      </c>
      <c r="F1393" s="6">
        <f>IFERROR(__xludf.DUMMYFUNCTION("""COMPUTED_VALUE"""),4.0)</f>
        <v>4</v>
      </c>
      <c r="G1393" s="6">
        <f>IFERROR(__xludf.DUMMYFUNCTION("""COMPUTED_VALUE"""),0.0)</f>
        <v>0</v>
      </c>
      <c r="H1393" s="6" t="str">
        <f>IFERROR(__xludf.DUMMYFUNCTION("""COMPUTED_VALUE"""),"pcs")</f>
        <v>pcs</v>
      </c>
      <c r="I1393" s="6" t="str">
        <f>IFERROR(__xludf.DUMMYFUNCTION("""COMPUTED_VALUE"""),"MFH")</f>
        <v>MFH</v>
      </c>
      <c r="J1393" s="6" t="str">
        <f>IFERROR(__xludf.DUMMYFUNCTION("""COMPUTED_VALUE"""),"Mixing")</f>
        <v>Mixing</v>
      </c>
      <c r="K1393" s="6" t="str">
        <f>IFERROR(__xludf.DUMMYFUNCTION("""COMPUTED_VALUE"""),"SPR/12/24/002")</f>
        <v>SPR/12/24/002</v>
      </c>
      <c r="L1393" s="13">
        <f>IFERROR(__xludf.DUMMYFUNCTION("""COMPUTED_VALUE"""),45629.0)</f>
        <v>45629</v>
      </c>
    </row>
    <row r="1394">
      <c r="A1394" s="6" t="str">
        <f>IFERROR(__xludf.DUMMYFUNCTION("""COMPUTED_VALUE"""),"NDS")</f>
        <v>NDS</v>
      </c>
      <c r="B1394" s="6" t="str">
        <f>IFERROR(__xludf.DUMMYFUNCTION("""COMPUTED_VALUE"""),"ENG")</f>
        <v>ENG</v>
      </c>
      <c r="C1394" s="6" t="str">
        <f>IFERROR(__xludf.DUMMYFUNCTION("""COMPUTED_VALUE"""),"-")</f>
        <v>-</v>
      </c>
      <c r="D1394" s="6" t="str">
        <f>IFERROR(__xludf.DUMMYFUNCTION("""COMPUTED_VALUE"""),"Modul Passbox")</f>
        <v>Modul Passbox</v>
      </c>
      <c r="E1394" s="6">
        <f>IFERROR(__xludf.DUMMYFUNCTION("""COMPUTED_VALUE"""),1.0)</f>
        <v>1</v>
      </c>
      <c r="F1394" s="6">
        <f>IFERROR(__xludf.DUMMYFUNCTION("""COMPUTED_VALUE"""),1.0)</f>
        <v>1</v>
      </c>
      <c r="G1394" s="6">
        <f>IFERROR(__xludf.DUMMYFUNCTION("""COMPUTED_VALUE"""),0.0)</f>
        <v>0</v>
      </c>
      <c r="H1394" s="6" t="str">
        <f>IFERROR(__xludf.DUMMYFUNCTION("""COMPUTED_VALUE"""),"pcs")</f>
        <v>pcs</v>
      </c>
      <c r="I1394" s="6" t="str">
        <f>IFERROR(__xludf.DUMMYFUNCTION("""COMPUTED_VALUE"""),"MFH")</f>
        <v>MFH</v>
      </c>
      <c r="J1394" s="6" t="str">
        <f>IFERROR(__xludf.DUMMYFUNCTION("""COMPUTED_VALUE"""),"Mixing")</f>
        <v>Mixing</v>
      </c>
      <c r="K1394" s="6" t="str">
        <f>IFERROR(__xludf.DUMMYFUNCTION("""COMPUTED_VALUE"""),"SPR/12/24/002")</f>
        <v>SPR/12/24/002</v>
      </c>
      <c r="L1394" s="13">
        <f>IFERROR(__xludf.DUMMYFUNCTION("""COMPUTED_VALUE"""),45629.0)</f>
        <v>45629</v>
      </c>
    </row>
    <row r="1395">
      <c r="A1395" s="6" t="str">
        <f>IFERROR(__xludf.DUMMYFUNCTION("""COMPUTED_VALUE"""),"NDS")</f>
        <v>NDS</v>
      </c>
      <c r="B1395" s="6" t="str">
        <f>IFERROR(__xludf.DUMMYFUNCTION("""COMPUTED_VALUE"""),"ENG")</f>
        <v>ENG</v>
      </c>
      <c r="C1395" s="6" t="str">
        <f>IFERROR(__xludf.DUMMYFUNCTION("""COMPUTED_VALUE"""),"P-15961-00")</f>
        <v>P-15961-00</v>
      </c>
      <c r="D1395" s="6" t="str">
        <f>IFERROR(__xludf.DUMMYFUNCTION("""COMPUTED_VALUE"""),"Freon 134A ;; ; ;")</f>
        <v>Freon 134A ;; ; ;</v>
      </c>
      <c r="E1395" s="6">
        <f>IFERROR(__xludf.DUMMYFUNCTION("""COMPUTED_VALUE"""),1.0)</f>
        <v>1</v>
      </c>
      <c r="F1395" s="6">
        <f>IFERROR(__xludf.DUMMYFUNCTION("""COMPUTED_VALUE"""),1.0)</f>
        <v>1</v>
      </c>
      <c r="G1395" s="6">
        <f>IFERROR(__xludf.DUMMYFUNCTION("""COMPUTED_VALUE"""),0.0)</f>
        <v>0</v>
      </c>
      <c r="H1395" s="6" t="str">
        <f>IFERROR(__xludf.DUMMYFUNCTION("""COMPUTED_VALUE"""),"pcs")</f>
        <v>pcs</v>
      </c>
      <c r="I1395" s="6" t="str">
        <f>IFERROR(__xludf.DUMMYFUNCTION("""COMPUTED_VALUE"""),"MFH")</f>
        <v>MFH</v>
      </c>
      <c r="J1395" s="6" t="str">
        <f>IFERROR(__xludf.DUMMYFUNCTION("""COMPUTED_VALUE"""),"WIHC")</f>
        <v>WIHC</v>
      </c>
      <c r="K1395" s="6" t="str">
        <f>IFERROR(__xludf.DUMMYFUNCTION("""COMPUTED_VALUE"""),"SPR/12/24/003")</f>
        <v>SPR/12/24/003</v>
      </c>
      <c r="L1395" s="13">
        <f>IFERROR(__xludf.DUMMYFUNCTION("""COMPUTED_VALUE"""),45629.0)</f>
        <v>45629</v>
      </c>
    </row>
    <row r="1396">
      <c r="A1396" s="6" t="str">
        <f>IFERROR(__xludf.DUMMYFUNCTION("""COMPUTED_VALUE"""),"NDS")</f>
        <v>NDS</v>
      </c>
      <c r="B1396" s="6" t="str">
        <f>IFERROR(__xludf.DUMMYFUNCTION("""COMPUTED_VALUE"""),"ENG")</f>
        <v>ENG</v>
      </c>
      <c r="C1396" s="6" t="str">
        <f>IFERROR(__xludf.DUMMYFUNCTION("""COMPUTED_VALUE"""),"P-10945-00")</f>
        <v>P-10945-00</v>
      </c>
      <c r="D1396" s="6" t="str">
        <f>IFERROR(__xludf.DUMMYFUNCTION("""COMPUTED_VALUE"""),"Insulation - Seal Tape onda")</f>
        <v>Insulation - Seal Tape onda</v>
      </c>
      <c r="E1396" s="6">
        <f>IFERROR(__xludf.DUMMYFUNCTION("""COMPUTED_VALUE"""),1.0)</f>
        <v>1</v>
      </c>
      <c r="F1396" s="6">
        <f>IFERROR(__xludf.DUMMYFUNCTION("""COMPUTED_VALUE"""),1.0)</f>
        <v>1</v>
      </c>
      <c r="G1396" s="6">
        <f>IFERROR(__xludf.DUMMYFUNCTION("""COMPUTED_VALUE"""),0.0)</f>
        <v>0</v>
      </c>
      <c r="H1396" s="6" t="str">
        <f>IFERROR(__xludf.DUMMYFUNCTION("""COMPUTED_VALUE"""),"pcs")</f>
        <v>pcs</v>
      </c>
      <c r="I1396" s="6" t="str">
        <f>IFERROR(__xludf.DUMMYFUNCTION("""COMPUTED_VALUE"""),"MFH")</f>
        <v>MFH</v>
      </c>
      <c r="J1396" s="6" t="str">
        <f>IFERROR(__xludf.DUMMYFUNCTION("""COMPUTED_VALUE"""),"WIHC")</f>
        <v>WIHC</v>
      </c>
      <c r="K1396" s="6" t="str">
        <f>IFERROR(__xludf.DUMMYFUNCTION("""COMPUTED_VALUE"""),"SPR/12/24/003")</f>
        <v>SPR/12/24/003</v>
      </c>
      <c r="L1396" s="13">
        <f>IFERROR(__xludf.DUMMYFUNCTION("""COMPUTED_VALUE"""),45629.0)</f>
        <v>45629</v>
      </c>
    </row>
    <row r="1397">
      <c r="A1397" s="6" t="str">
        <f>IFERROR(__xludf.DUMMYFUNCTION("""COMPUTED_VALUE"""),"ROS")</f>
        <v>ROS</v>
      </c>
      <c r="B1397" s="6" t="str">
        <f>IFERROR(__xludf.DUMMYFUNCTION("""COMPUTED_VALUE"""),"ENG")</f>
        <v>ENG</v>
      </c>
      <c r="C1397" s="6" t="str">
        <f>IFERROR(__xludf.DUMMYFUNCTION("""COMPUTED_VALUE"""),"P-12305-00")</f>
        <v>P-12305-00</v>
      </c>
      <c r="D1397" s="6" t="str">
        <f>IFERROR(__xludf.DUMMYFUNCTION("""COMPUTED_VALUE"""),"FESTO - QST-6 Push in t-connection p/n 153129")</f>
        <v>FESTO - QST-6 Push in t-connection p/n 153129</v>
      </c>
      <c r="E1397" s="6">
        <f>IFERROR(__xludf.DUMMYFUNCTION("""COMPUTED_VALUE"""),1.0)</f>
        <v>1</v>
      </c>
      <c r="F1397" s="6">
        <f>IFERROR(__xludf.DUMMYFUNCTION("""COMPUTED_VALUE"""),1.0)</f>
        <v>1</v>
      </c>
      <c r="G1397" s="6">
        <f>IFERROR(__xludf.DUMMYFUNCTION("""COMPUTED_VALUE"""),0.0)</f>
        <v>0</v>
      </c>
      <c r="H1397" s="6" t="str">
        <f>IFERROR(__xludf.DUMMYFUNCTION("""COMPUTED_VALUE"""),"pcs")</f>
        <v>pcs</v>
      </c>
      <c r="I1397" s="6" t="str">
        <f>IFERROR(__xludf.DUMMYFUNCTION("""COMPUTED_VALUE"""),"MFH")</f>
        <v>MFH</v>
      </c>
      <c r="J1397" s="6" t="str">
        <f>IFERROR(__xludf.DUMMYFUNCTION("""COMPUTED_VALUE"""),"Mixing")</f>
        <v>Mixing</v>
      </c>
      <c r="K1397" s="6" t="str">
        <f>IFERROR(__xludf.DUMMYFUNCTION("""COMPUTED_VALUE"""),"SPR/12/24/004")</f>
        <v>SPR/12/24/004</v>
      </c>
      <c r="L1397" s="13">
        <f>IFERROR(__xludf.DUMMYFUNCTION("""COMPUTED_VALUE"""),45629.0)</f>
        <v>45629</v>
      </c>
    </row>
    <row r="1398">
      <c r="A1398" s="6" t="str">
        <f>IFERROR(__xludf.DUMMYFUNCTION("""COMPUTED_VALUE"""),"ROS")</f>
        <v>ROS</v>
      </c>
      <c r="B1398" s="6" t="str">
        <f>IFERROR(__xludf.DUMMYFUNCTION("""COMPUTED_VALUE"""),"ENG")</f>
        <v>ENG</v>
      </c>
      <c r="C1398" s="6" t="str">
        <f>IFERROR(__xludf.DUMMYFUNCTION("""COMPUTED_VALUE"""),"P-13389-00")</f>
        <v>P-13389-00</v>
      </c>
      <c r="D1398" s="6" t="str">
        <f>IFERROR(__xludf.DUMMYFUNCTION("""COMPUTED_VALUE"""),"Scotch Brite 3M; ; ;")</f>
        <v>Scotch Brite 3M; ; ;</v>
      </c>
      <c r="E1398" s="6">
        <f>IFERROR(__xludf.DUMMYFUNCTION("""COMPUTED_VALUE"""),20.0)</f>
        <v>20</v>
      </c>
      <c r="F1398" s="6">
        <f>IFERROR(__xludf.DUMMYFUNCTION("""COMPUTED_VALUE"""),1.0)</f>
        <v>1</v>
      </c>
      <c r="G1398" s="6">
        <f>IFERROR(__xludf.DUMMYFUNCTION("""COMPUTED_VALUE"""),0.0)</f>
        <v>0</v>
      </c>
      <c r="H1398" s="6" t="str">
        <f>IFERROR(__xludf.DUMMYFUNCTION("""COMPUTED_VALUE"""),"pcs")</f>
        <v>pcs</v>
      </c>
      <c r="I1398" s="6" t="str">
        <f>IFERROR(__xludf.DUMMYFUNCTION("""COMPUTED_VALUE"""),"MFH")</f>
        <v>MFH</v>
      </c>
      <c r="J1398" s="6" t="str">
        <f>IFERROR(__xludf.DUMMYFUNCTION("""COMPUTED_VALUE"""),"BSC")</f>
        <v>BSC</v>
      </c>
      <c r="K1398" s="6" t="str">
        <f>IFERROR(__xludf.DUMMYFUNCTION("""COMPUTED_VALUE"""),"SPR/12/24/004")</f>
        <v>SPR/12/24/004</v>
      </c>
      <c r="L1398" s="13">
        <f>IFERROR(__xludf.DUMMYFUNCTION("""COMPUTED_VALUE"""),45629.0)</f>
        <v>45629</v>
      </c>
    </row>
    <row r="1399">
      <c r="A1399" s="6" t="str">
        <f>IFERROR(__xludf.DUMMYFUNCTION("""COMPUTED_VALUE"""),"AAA")</f>
        <v>AAA</v>
      </c>
      <c r="B1399" s="6" t="str">
        <f>IFERROR(__xludf.DUMMYFUNCTION("""COMPUTED_VALUE"""),"ENG")</f>
        <v>ENG</v>
      </c>
      <c r="C1399" s="6" t="str">
        <f>IFERROR(__xludf.DUMMYFUNCTION("""COMPUTED_VALUE"""),"T-20201-00")</f>
        <v>T-20201-00</v>
      </c>
      <c r="D1399" s="6" t="str">
        <f>IFERROR(__xludf.DUMMYFUNCTION("""COMPUTED_VALUE"""),"ASSY,SOLVENT FILTER., Waters, Part No. WAT025531")</f>
        <v>ASSY,SOLVENT FILTER., Waters, Part No. WAT025531</v>
      </c>
      <c r="E1399" s="6">
        <f>IFERROR(__xludf.DUMMYFUNCTION("""COMPUTED_VALUE"""),4.0)</f>
        <v>4</v>
      </c>
      <c r="F1399" s="6">
        <f>IFERROR(__xludf.DUMMYFUNCTION("""COMPUTED_VALUE"""),4.0)</f>
        <v>4</v>
      </c>
      <c r="G1399" s="6">
        <f>IFERROR(__xludf.DUMMYFUNCTION("""COMPUTED_VALUE"""),0.0)</f>
        <v>0</v>
      </c>
      <c r="H1399" s="6" t="str">
        <f>IFERROR(__xludf.DUMMYFUNCTION("""COMPUTED_VALUE"""),"pcs")</f>
        <v>pcs</v>
      </c>
      <c r="I1399" s="6" t="str">
        <f>IFERROR(__xludf.DUMMYFUNCTION("""COMPUTED_VALUE"""),"MFH")</f>
        <v>MFH</v>
      </c>
      <c r="J1399" s="6" t="str">
        <f>IFERROR(__xludf.DUMMYFUNCTION("""COMPUTED_VALUE"""),"HPLC")</f>
        <v>HPLC</v>
      </c>
      <c r="K1399" s="6" t="str">
        <f>IFERROR(__xludf.DUMMYFUNCTION("""COMPUTED_VALUE"""),"SPR/12/24/005")</f>
        <v>SPR/12/24/005</v>
      </c>
      <c r="L1399" s="13">
        <f>IFERROR(__xludf.DUMMYFUNCTION("""COMPUTED_VALUE"""),45629.0)</f>
        <v>45629</v>
      </c>
    </row>
    <row r="1400">
      <c r="A1400" s="6" t="str">
        <f>IFERROR(__xludf.DUMMYFUNCTION("""COMPUTED_VALUE"""),"ROS")</f>
        <v>ROS</v>
      </c>
      <c r="B1400" s="6" t="str">
        <f>IFERROR(__xludf.DUMMYFUNCTION("""COMPUTED_VALUE"""),"ENG")</f>
        <v>ENG</v>
      </c>
      <c r="C1400" s="6" t="str">
        <f>IFERROR(__xludf.DUMMYFUNCTION("""COMPUTED_VALUE"""),"P-13650-00")</f>
        <v>P-13650-00</v>
      </c>
      <c r="D1400" s="6" t="str">
        <f>IFERROR(__xludf.DUMMYFUNCTION("""COMPUTED_VALUE"""),"Manual Valve HE-2-QS-6; FESTO; ;")</f>
        <v>Manual Valve HE-2-QS-6; FESTO; ;</v>
      </c>
      <c r="E1400" s="6">
        <f>IFERROR(__xludf.DUMMYFUNCTION("""COMPUTED_VALUE"""),3.0)</f>
        <v>3</v>
      </c>
      <c r="F1400" s="6">
        <f>IFERROR(__xludf.DUMMYFUNCTION("""COMPUTED_VALUE"""),2.0)</f>
        <v>2</v>
      </c>
      <c r="G1400" s="6">
        <f>IFERROR(__xludf.DUMMYFUNCTION("""COMPUTED_VALUE"""),0.0)</f>
        <v>0</v>
      </c>
      <c r="H1400" s="6" t="str">
        <f>IFERROR(__xludf.DUMMYFUNCTION("""COMPUTED_VALUE"""),"pcs")</f>
        <v>pcs</v>
      </c>
      <c r="I1400" s="6" t="str">
        <f>IFERROR(__xludf.DUMMYFUNCTION("""COMPUTED_VALUE"""),"MFH")</f>
        <v>MFH</v>
      </c>
      <c r="J1400" s="6" t="str">
        <f>IFERROR(__xludf.DUMMYFUNCTION("""COMPUTED_VALUE"""),"Mixing")</f>
        <v>Mixing</v>
      </c>
      <c r="K1400" s="6" t="str">
        <f>IFERROR(__xludf.DUMMYFUNCTION("""COMPUTED_VALUE"""),"SPR/12/24/006")</f>
        <v>SPR/12/24/006</v>
      </c>
      <c r="L1400" s="13">
        <f>IFERROR(__xludf.DUMMYFUNCTION("""COMPUTED_VALUE"""),45629.0)</f>
        <v>45629</v>
      </c>
    </row>
    <row r="1401">
      <c r="A1401" s="6" t="str">
        <f>IFERROR(__xludf.DUMMYFUNCTION("""COMPUTED_VALUE"""),"MRN")</f>
        <v>MRN</v>
      </c>
      <c r="B1401" s="6" t="str">
        <f>IFERROR(__xludf.DUMMYFUNCTION("""COMPUTED_VALUE"""),"ENG")</f>
        <v>ENG</v>
      </c>
      <c r="C1401" s="6" t="str">
        <f>IFERROR(__xludf.DUMMYFUNCTION("""COMPUTED_VALUE"""),"P-14424-00")</f>
        <v>P-14424-00</v>
      </c>
      <c r="D1401" s="6" t="str">
        <f>IFERROR(__xludf.DUMMYFUNCTION("""COMPUTED_VALUE"""),"Garam Kutreat RGN-9800F; ; ; 25Kg/zak")</f>
        <v>Garam Kutreat RGN-9800F; ; ; 25Kg/zak</v>
      </c>
      <c r="E1401" s="6">
        <f>IFERROR(__xludf.DUMMYFUNCTION("""COMPUTED_VALUE"""),25.0)</f>
        <v>25</v>
      </c>
      <c r="F1401" s="6">
        <f>IFERROR(__xludf.DUMMYFUNCTION("""COMPUTED_VALUE"""),25.0)</f>
        <v>25</v>
      </c>
      <c r="G1401" s="6">
        <f>IFERROR(__xludf.DUMMYFUNCTION("""COMPUTED_VALUE"""),0.0)</f>
        <v>0</v>
      </c>
      <c r="H1401" s="6" t="str">
        <f>IFERROR(__xludf.DUMMYFUNCTION("""COMPUTED_VALUE"""),"pcs")</f>
        <v>pcs</v>
      </c>
      <c r="I1401" s="6" t="str">
        <f>IFERROR(__xludf.DUMMYFUNCTION("""COMPUTED_VALUE"""),"MFH")</f>
        <v>MFH</v>
      </c>
      <c r="J1401" s="6" t="str">
        <f>IFERROR(__xludf.DUMMYFUNCTION("""COMPUTED_VALUE"""),"PWG")</f>
        <v>PWG</v>
      </c>
      <c r="K1401" s="6" t="str">
        <f>IFERROR(__xludf.DUMMYFUNCTION("""COMPUTED_VALUE"""),"SPR/12/24/007")</f>
        <v>SPR/12/24/007</v>
      </c>
      <c r="L1401" s="13">
        <f>IFERROR(__xludf.DUMMYFUNCTION("""COMPUTED_VALUE"""),45629.0)</f>
        <v>45629</v>
      </c>
    </row>
    <row r="1402">
      <c r="A1402" s="6" t="str">
        <f>IFERROR(__xludf.DUMMYFUNCTION("""COMPUTED_VALUE"""),"SHF")</f>
        <v>SHF</v>
      </c>
      <c r="B1402" s="6" t="str">
        <f>IFERROR(__xludf.DUMMYFUNCTION("""COMPUTED_VALUE"""),"ENG")</f>
        <v>ENG</v>
      </c>
      <c r="C1402" s="6" t="str">
        <f>IFERROR(__xludf.DUMMYFUNCTION("""COMPUTED_VALUE"""),"P-51741-00")</f>
        <v>P-51741-00</v>
      </c>
      <c r="D1402" s="6" t="str">
        <f>IFERROR(__xludf.DUMMYFUNCTION("""COMPUTED_VALUE"""),"Lampu Phillips PHP LED; 710 7w E27 White 220-240v; ; ;")</f>
        <v>Lampu Phillips PHP LED; 710 7w E27 White 220-240v; ; ;</v>
      </c>
      <c r="E1402" s="6">
        <f>IFERROR(__xludf.DUMMYFUNCTION("""COMPUTED_VALUE"""),16.0)</f>
        <v>16</v>
      </c>
      <c r="F1402" s="6">
        <f>IFERROR(__xludf.DUMMYFUNCTION("""COMPUTED_VALUE"""),1.0)</f>
        <v>1</v>
      </c>
      <c r="G1402" s="6">
        <f>IFERROR(__xludf.DUMMYFUNCTION("""COMPUTED_VALUE"""),0.0)</f>
        <v>0</v>
      </c>
      <c r="H1402" s="6" t="str">
        <f>IFERROR(__xludf.DUMMYFUNCTION("""COMPUTED_VALUE"""),"pcs")</f>
        <v>pcs</v>
      </c>
      <c r="I1402" s="6" t="str">
        <f>IFERROR(__xludf.DUMMYFUNCTION("""COMPUTED_VALUE"""),"MFH")</f>
        <v>MFH</v>
      </c>
      <c r="J1402" s="6" t="str">
        <f>IFERROR(__xludf.DUMMYFUNCTION("""COMPUTED_VALUE"""),"AHU")</f>
        <v>AHU</v>
      </c>
      <c r="K1402" s="6" t="str">
        <f>IFERROR(__xludf.DUMMYFUNCTION("""COMPUTED_VALUE"""),"SPR/12/24/008")</f>
        <v>SPR/12/24/008</v>
      </c>
      <c r="L1402" s="13">
        <f>IFERROR(__xludf.DUMMYFUNCTION("""COMPUTED_VALUE"""),45629.0)</f>
        <v>45629</v>
      </c>
    </row>
    <row r="1403">
      <c r="A1403" s="6" t="str">
        <f>IFERROR(__xludf.DUMMYFUNCTION("""COMPUTED_VALUE"""),"NDS")</f>
        <v>NDS</v>
      </c>
      <c r="B1403" s="6" t="str">
        <f>IFERROR(__xludf.DUMMYFUNCTION("""COMPUTED_VALUE"""),"ENG")</f>
        <v>ENG</v>
      </c>
      <c r="C1403" s="6" t="str">
        <f>IFERROR(__xludf.DUMMYFUNCTION("""COMPUTED_VALUE"""),"O-16033-00")</f>
        <v>O-16033-00</v>
      </c>
      <c r="D1403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403" s="6">
        <f>IFERROR(__xludf.DUMMYFUNCTION("""COMPUTED_VALUE"""),2.0)</f>
        <v>2</v>
      </c>
      <c r="F1403" s="6">
        <f>IFERROR(__xludf.DUMMYFUNCTION("""COMPUTED_VALUE"""),2.0)</f>
        <v>2</v>
      </c>
      <c r="G1403" s="6">
        <f>IFERROR(__xludf.DUMMYFUNCTION("""COMPUTED_VALUE"""),0.0)</f>
        <v>0</v>
      </c>
      <c r="H1403" s="6" t="str">
        <f>IFERROR(__xludf.DUMMYFUNCTION("""COMPUTED_VALUE"""),"pcs")</f>
        <v>pcs</v>
      </c>
      <c r="I1403" s="6" t="str">
        <f>IFERROR(__xludf.DUMMYFUNCTION("""COMPUTED_VALUE"""),"MFH")</f>
        <v>MFH</v>
      </c>
      <c r="J1403" s="6" t="str">
        <f>IFERROR(__xludf.DUMMYFUNCTION("""COMPUTED_VALUE"""),"Capping")</f>
        <v>Capping</v>
      </c>
      <c r="K1403" s="6" t="str">
        <f>IFERROR(__xludf.DUMMYFUNCTION("""COMPUTED_VALUE"""),"SPR/12/24/009")</f>
        <v>SPR/12/24/009</v>
      </c>
      <c r="L1403" s="13">
        <f>IFERROR(__xludf.DUMMYFUNCTION("""COMPUTED_VALUE"""),45629.0)</f>
        <v>45629</v>
      </c>
    </row>
    <row r="1404">
      <c r="A1404" s="6" t="str">
        <f>IFERROR(__xludf.DUMMYFUNCTION("""COMPUTED_VALUE"""),"ASL")</f>
        <v>ASL</v>
      </c>
      <c r="B1404" s="6" t="str">
        <f>IFERROR(__xludf.DUMMYFUNCTION("""COMPUTED_VALUE"""),"ENG")</f>
        <v>ENG</v>
      </c>
      <c r="C1404" s="6" t="str">
        <f>IFERROR(__xludf.DUMMYFUNCTION("""COMPUTED_VALUE"""),"T-20123-00")</f>
        <v>T-20123-00</v>
      </c>
      <c r="D1404" s="6" t="str">
        <f>IFERROR(__xludf.DUMMYFUNCTION("""COMPUTED_VALUE"""),"Acquity PDA/TUV 2489/2998 Perf")</f>
        <v>Acquity PDA/TUV 2489/2998 Perf</v>
      </c>
      <c r="E1404" s="6">
        <f>IFERROR(__xludf.DUMMYFUNCTION("""COMPUTED_VALUE"""),2.0)</f>
        <v>2</v>
      </c>
      <c r="F1404" s="6">
        <f>IFERROR(__xludf.DUMMYFUNCTION("""COMPUTED_VALUE"""),2.0)</f>
        <v>2</v>
      </c>
      <c r="G1404" s="6">
        <f>IFERROR(__xludf.DUMMYFUNCTION("""COMPUTED_VALUE"""),0.0)</f>
        <v>0</v>
      </c>
      <c r="H1404" s="6" t="str">
        <f>IFERROR(__xludf.DUMMYFUNCTION("""COMPUTED_VALUE"""),"pcs")</f>
        <v>pcs</v>
      </c>
      <c r="I1404" s="6" t="str">
        <f>IFERROR(__xludf.DUMMYFUNCTION("""COMPUTED_VALUE"""),"MFH")</f>
        <v>MFH</v>
      </c>
      <c r="J1404" s="6" t="str">
        <f>IFERROR(__xludf.DUMMYFUNCTION("""COMPUTED_VALUE"""),"HPLC")</f>
        <v>HPLC</v>
      </c>
      <c r="K1404" s="6" t="str">
        <f>IFERROR(__xludf.DUMMYFUNCTION("""COMPUTED_VALUE"""),"SPR/12/24/010")</f>
        <v>SPR/12/24/010</v>
      </c>
      <c r="L1404" s="13">
        <f>IFERROR(__xludf.DUMMYFUNCTION("""COMPUTED_VALUE"""),45629.0)</f>
        <v>45629</v>
      </c>
    </row>
    <row r="1405">
      <c r="A1405" s="6" t="str">
        <f>IFERROR(__xludf.DUMMYFUNCTION("""COMPUTED_VALUE"""),"MRN")</f>
        <v>MRN</v>
      </c>
      <c r="B1405" s="6" t="str">
        <f>IFERROR(__xludf.DUMMYFUNCTION("""COMPUTED_VALUE"""),"ENG")</f>
        <v>ENG</v>
      </c>
      <c r="C1405" s="6" t="str">
        <f>IFERROR(__xludf.DUMMYFUNCTION("""COMPUTED_VALUE"""),"P-12830-00")</f>
        <v>P-12830-00</v>
      </c>
      <c r="D1405" s="6" t="str">
        <f>IFERROR(__xludf.DUMMYFUNCTION("""COMPUTED_VALUE"""),"Sodium metabisulfit")</f>
        <v>Sodium metabisulfit</v>
      </c>
      <c r="E1405" s="6">
        <f>IFERROR(__xludf.DUMMYFUNCTION("""COMPUTED_VALUE"""),1.0)</f>
        <v>1</v>
      </c>
      <c r="F1405" s="6">
        <f>IFERROR(__xludf.DUMMYFUNCTION("""COMPUTED_VALUE"""),1.0)</f>
        <v>1</v>
      </c>
      <c r="G1405" s="6">
        <f>IFERROR(__xludf.DUMMYFUNCTION("""COMPUTED_VALUE"""),0.0)</f>
        <v>0</v>
      </c>
      <c r="H1405" s="6" t="str">
        <f>IFERROR(__xludf.DUMMYFUNCTION("""COMPUTED_VALUE"""),"pcs")</f>
        <v>pcs</v>
      </c>
      <c r="I1405" s="6" t="str">
        <f>IFERROR(__xludf.DUMMYFUNCTION("""COMPUTED_VALUE"""),"MFH")</f>
        <v>MFH</v>
      </c>
      <c r="J1405" s="6" t="str">
        <f>IFERROR(__xludf.DUMMYFUNCTION("""COMPUTED_VALUE"""),"WWTP1")</f>
        <v>WWTP1</v>
      </c>
      <c r="K1405" s="6" t="str">
        <f>IFERROR(__xludf.DUMMYFUNCTION("""COMPUTED_VALUE"""),"SPR/12/24/011")</f>
        <v>SPR/12/24/011</v>
      </c>
      <c r="L1405" s="13">
        <f>IFERROR(__xludf.DUMMYFUNCTION("""COMPUTED_VALUE"""),45629.0)</f>
        <v>45629</v>
      </c>
    </row>
    <row r="1406">
      <c r="A1406" s="6" t="str">
        <f>IFERROR(__xludf.DUMMYFUNCTION("""COMPUTED_VALUE"""),"ROS")</f>
        <v>ROS</v>
      </c>
      <c r="B1406" s="6" t="str">
        <f>IFERROR(__xludf.DUMMYFUNCTION("""COMPUTED_VALUE"""),"ENG")</f>
        <v>ENG</v>
      </c>
      <c r="C1406" s="6" t="str">
        <f>IFERROR(__xludf.DUMMYFUNCTION("""COMPUTED_VALUE"""),"O-16647-00")</f>
        <v>O-16647-00</v>
      </c>
      <c r="D1406" s="6" t="str">
        <f>IFERROR(__xludf.DUMMYFUNCTION("""COMPUTED_VALUE"""),"Washing RAR4 - Oring Silicone Merah 23x18x2.5 mm; ; ;")</f>
        <v>Washing RAR4 - Oring Silicone Merah 23x18x2.5 mm; ; ;</v>
      </c>
      <c r="E1406" s="6">
        <f>IFERROR(__xludf.DUMMYFUNCTION("""COMPUTED_VALUE"""),10.0)</f>
        <v>10</v>
      </c>
      <c r="F1406" s="6">
        <f>IFERROR(__xludf.DUMMYFUNCTION("""COMPUTED_VALUE"""),10.0)</f>
        <v>10</v>
      </c>
      <c r="G1406" s="6">
        <f>IFERROR(__xludf.DUMMYFUNCTION("""COMPUTED_VALUE"""),0.0)</f>
        <v>0</v>
      </c>
      <c r="H1406" s="6" t="str">
        <f>IFERROR(__xludf.DUMMYFUNCTION("""COMPUTED_VALUE"""),"pcs")</f>
        <v>pcs</v>
      </c>
      <c r="I1406" s="6" t="str">
        <f>IFERROR(__xludf.DUMMYFUNCTION("""COMPUTED_VALUE"""),"MFH")</f>
        <v>MFH</v>
      </c>
      <c r="J1406" s="6" t="str">
        <f>IFERROR(__xludf.DUMMYFUNCTION("""COMPUTED_VALUE"""),"Capping")</f>
        <v>Capping</v>
      </c>
      <c r="K1406" s="6" t="str">
        <f>IFERROR(__xludf.DUMMYFUNCTION("""COMPUTED_VALUE"""),"SPR/12/24/012")</f>
        <v>SPR/12/24/012</v>
      </c>
      <c r="L1406" s="13">
        <f>IFERROR(__xludf.DUMMYFUNCTION("""COMPUTED_VALUE"""),45629.0)</f>
        <v>45629</v>
      </c>
    </row>
    <row r="1407">
      <c r="A1407" s="6" t="str">
        <f>IFERROR(__xludf.DUMMYFUNCTION("""COMPUTED_VALUE"""),"ROS")</f>
        <v>ROS</v>
      </c>
      <c r="B1407" s="6" t="str">
        <f>IFERROR(__xludf.DUMMYFUNCTION("""COMPUTED_VALUE"""),"ENG")</f>
        <v>ENG</v>
      </c>
      <c r="C1407" s="6" t="str">
        <f>IFERROR(__xludf.DUMMYFUNCTION("""COMPUTED_VALUE"""),"P-12765-00")</f>
        <v>P-12765-00</v>
      </c>
      <c r="D1407" s="6" t="str">
        <f>IFERROR(__xludf.DUMMYFUNCTION("""COMPUTED_VALUE"""),"Silicone gasket for ferrule dia 2inch Taiwan")</f>
        <v>Silicone gasket for ferrule dia 2inch Taiwan</v>
      </c>
      <c r="E1407" s="6">
        <f>IFERROR(__xludf.DUMMYFUNCTION("""COMPUTED_VALUE"""),12.0)</f>
        <v>12</v>
      </c>
      <c r="F1407" s="6">
        <f>IFERROR(__xludf.DUMMYFUNCTION("""COMPUTED_VALUE"""),5.0)</f>
        <v>5</v>
      </c>
      <c r="G1407" s="6">
        <f>IFERROR(__xludf.DUMMYFUNCTION("""COMPUTED_VALUE"""),0.0)</f>
        <v>0</v>
      </c>
      <c r="H1407" s="6" t="str">
        <f>IFERROR(__xludf.DUMMYFUNCTION("""COMPUTED_VALUE"""),"pcs")</f>
        <v>pcs</v>
      </c>
      <c r="I1407" s="6" t="str">
        <f>IFERROR(__xludf.DUMMYFUNCTION("""COMPUTED_VALUE"""),"MFH")</f>
        <v>MFH</v>
      </c>
      <c r="J1407" s="6" t="str">
        <f>IFERROR(__xludf.DUMMYFUNCTION("""COMPUTED_VALUE"""),"Mixing")</f>
        <v>Mixing</v>
      </c>
      <c r="K1407" s="6" t="str">
        <f>IFERROR(__xludf.DUMMYFUNCTION("""COMPUTED_VALUE"""),"SPR/12/24/012")</f>
        <v>SPR/12/24/012</v>
      </c>
      <c r="L1407" s="13">
        <f>IFERROR(__xludf.DUMMYFUNCTION("""COMPUTED_VALUE"""),45629.0)</f>
        <v>45629</v>
      </c>
    </row>
    <row r="1408">
      <c r="A1408" s="6" t="str">
        <f>IFERROR(__xludf.DUMMYFUNCTION("""COMPUTED_VALUE"""),"ROS")</f>
        <v>ROS</v>
      </c>
      <c r="B1408" s="6" t="str">
        <f>IFERROR(__xludf.DUMMYFUNCTION("""COMPUTED_VALUE"""),"ENG")</f>
        <v>ENG</v>
      </c>
      <c r="C1408" s="6" t="str">
        <f>IFERROR(__xludf.DUMMYFUNCTION("""COMPUTED_VALUE"""),"O-14640-00")</f>
        <v>O-14640-00</v>
      </c>
      <c r="D1408" s="6" t="str">
        <f>IFERROR(__xludf.DUMMYFUNCTION("""COMPUTED_VALUE"""),"Silicone Gasket for Ferrule dia. 3/4"" - P/N : -  pc")</f>
        <v>Silicone Gasket for Ferrule dia. 3/4" - P/N : -  pc</v>
      </c>
      <c r="E1408" s="6">
        <f>IFERROR(__xludf.DUMMYFUNCTION("""COMPUTED_VALUE"""),20.0)</f>
        <v>20</v>
      </c>
      <c r="F1408" s="6">
        <f>IFERROR(__xludf.DUMMYFUNCTION("""COMPUTED_VALUE"""),8.0)</f>
        <v>8</v>
      </c>
      <c r="G1408" s="6">
        <f>IFERROR(__xludf.DUMMYFUNCTION("""COMPUTED_VALUE"""),0.0)</f>
        <v>0</v>
      </c>
      <c r="H1408" s="6" t="str">
        <f>IFERROR(__xludf.DUMMYFUNCTION("""COMPUTED_VALUE"""),"pcs")</f>
        <v>pcs</v>
      </c>
      <c r="I1408" s="6" t="str">
        <f>IFERROR(__xludf.DUMMYFUNCTION("""COMPUTED_VALUE"""),"MFH")</f>
        <v>MFH</v>
      </c>
      <c r="J1408" s="6" t="str">
        <f>IFERROR(__xludf.DUMMYFUNCTION("""COMPUTED_VALUE"""),"Mixing")</f>
        <v>Mixing</v>
      </c>
      <c r="K1408" s="6" t="str">
        <f>IFERROR(__xludf.DUMMYFUNCTION("""COMPUTED_VALUE"""),"SPR/12/24/012")</f>
        <v>SPR/12/24/012</v>
      </c>
      <c r="L1408" s="13">
        <f>IFERROR(__xludf.DUMMYFUNCTION("""COMPUTED_VALUE"""),45629.0)</f>
        <v>45629</v>
      </c>
    </row>
    <row r="1409">
      <c r="A1409" s="6" t="str">
        <f>IFERROR(__xludf.DUMMYFUNCTION("""COMPUTED_VALUE"""),"MOB")</f>
        <v>MOB</v>
      </c>
      <c r="B1409" s="6" t="str">
        <f>IFERROR(__xludf.DUMMYFUNCTION("""COMPUTED_VALUE"""),"ENG")</f>
        <v>ENG</v>
      </c>
      <c r="C1409" s="6" t="str">
        <f>IFERROR(__xludf.DUMMYFUNCTION("""COMPUTED_VALUE"""),"Q-60025-00")</f>
        <v>Q-60025-00</v>
      </c>
      <c r="D1409" s="6" t="str">
        <f>IFERROR(__xludf.DUMMYFUNCTION("""COMPUTED_VALUE"""),"Kuas Eterna 1")</f>
        <v>Kuas Eterna 1</v>
      </c>
      <c r="E1409" s="6">
        <f>IFERROR(__xludf.DUMMYFUNCTION("""COMPUTED_VALUE"""),1.0)</f>
        <v>1</v>
      </c>
      <c r="F1409" s="6">
        <f>IFERROR(__xludf.DUMMYFUNCTION("""COMPUTED_VALUE"""),1.0)</f>
        <v>1</v>
      </c>
      <c r="G1409" s="6">
        <f>IFERROR(__xludf.DUMMYFUNCTION("""COMPUTED_VALUE"""),0.0)</f>
        <v>0</v>
      </c>
      <c r="H1409" s="6" t="str">
        <f>IFERROR(__xludf.DUMMYFUNCTION("""COMPUTED_VALUE"""),"pcs")</f>
        <v>pcs</v>
      </c>
      <c r="I1409" s="6" t="str">
        <f>IFERROR(__xludf.DUMMYFUNCTION("""COMPUTED_VALUE"""),"MFH")</f>
        <v>MFH</v>
      </c>
      <c r="J1409" s="6" t="str">
        <f>IFERROR(__xludf.DUMMYFUNCTION("""COMPUTED_VALUE"""),"Building")</f>
        <v>Building</v>
      </c>
      <c r="K1409" s="6" t="str">
        <f>IFERROR(__xludf.DUMMYFUNCTION("""COMPUTED_VALUE"""),"SPR/12/24/013")</f>
        <v>SPR/12/24/013</v>
      </c>
      <c r="L1409" s="13">
        <f>IFERROR(__xludf.DUMMYFUNCTION("""COMPUTED_VALUE"""),45629.0)</f>
        <v>45629</v>
      </c>
    </row>
    <row r="1410">
      <c r="A1410" s="6" t="str">
        <f>IFERROR(__xludf.DUMMYFUNCTION("""COMPUTED_VALUE"""),"MOB")</f>
        <v>MOB</v>
      </c>
      <c r="B1410" s="6" t="str">
        <f>IFERROR(__xludf.DUMMYFUNCTION("""COMPUTED_VALUE"""),"ENG")</f>
        <v>ENG</v>
      </c>
      <c r="C1410" s="6" t="str">
        <f>IFERROR(__xludf.DUMMYFUNCTION("""COMPUTED_VALUE"""),"P-15852-00")</f>
        <v>P-15852-00</v>
      </c>
      <c r="D1410" s="6" t="str">
        <f>IFERROR(__xludf.DUMMYFUNCTION("""COMPUTED_VALUE"""),"AMPLAS EAGLE 500")</f>
        <v>AMPLAS EAGLE 500</v>
      </c>
      <c r="E1410" s="6">
        <f>IFERROR(__xludf.DUMMYFUNCTION("""COMPUTED_VALUE"""),1.0)</f>
        <v>1</v>
      </c>
      <c r="F1410" s="6">
        <f>IFERROR(__xludf.DUMMYFUNCTION("""COMPUTED_VALUE"""),1.0)</f>
        <v>1</v>
      </c>
      <c r="G1410" s="6">
        <f>IFERROR(__xludf.DUMMYFUNCTION("""COMPUTED_VALUE"""),0.0)</f>
        <v>0</v>
      </c>
      <c r="H1410" s="6" t="str">
        <f>IFERROR(__xludf.DUMMYFUNCTION("""COMPUTED_VALUE"""),"pcs")</f>
        <v>pcs</v>
      </c>
      <c r="I1410" s="6" t="str">
        <f>IFERROR(__xludf.DUMMYFUNCTION("""COMPUTED_VALUE"""),"MFH")</f>
        <v>MFH</v>
      </c>
      <c r="J1410" s="6" t="str">
        <f>IFERROR(__xludf.DUMMYFUNCTION("""COMPUTED_VALUE"""),"Building")</f>
        <v>Building</v>
      </c>
      <c r="K1410" s="6" t="str">
        <f>IFERROR(__xludf.DUMMYFUNCTION("""COMPUTED_VALUE"""),"SPR/12/24/013")</f>
        <v>SPR/12/24/013</v>
      </c>
      <c r="L1410" s="13">
        <f>IFERROR(__xludf.DUMMYFUNCTION("""COMPUTED_VALUE"""),45629.0)</f>
        <v>45629</v>
      </c>
    </row>
    <row r="1411">
      <c r="A1411" s="6" t="str">
        <f>IFERROR(__xludf.DUMMYFUNCTION("""COMPUTED_VALUE"""),"MRN")</f>
        <v>MRN</v>
      </c>
      <c r="B1411" s="6" t="str">
        <f>IFERROR(__xludf.DUMMYFUNCTION("""COMPUTED_VALUE"""),"ENG")</f>
        <v>ENG</v>
      </c>
      <c r="C1411" s="6" t="str">
        <f>IFERROR(__xludf.DUMMYFUNCTION("""COMPUTED_VALUE"""),"P-15052-00")</f>
        <v>P-15052-00</v>
      </c>
      <c r="D1411" s="6" t="str">
        <f>IFERROR(__xludf.DUMMYFUNCTION("""COMPUTED_VALUE"""),"Element Filter 1 micron P/N NXE-400-Z; ; ;")</f>
        <v>Element Filter 1 micron P/N NXE-400-Z; ; ;</v>
      </c>
      <c r="E1411" s="6">
        <f>IFERROR(__xludf.DUMMYFUNCTION("""COMPUTED_VALUE"""),1.0)</f>
        <v>1</v>
      </c>
      <c r="F1411" s="6">
        <f>IFERROR(__xludf.DUMMYFUNCTION("""COMPUTED_VALUE"""),1.0)</f>
        <v>1</v>
      </c>
      <c r="G1411" s="6">
        <f>IFERROR(__xludf.DUMMYFUNCTION("""COMPUTED_VALUE"""),0.0)</f>
        <v>0</v>
      </c>
      <c r="H1411" s="6" t="str">
        <f>IFERROR(__xludf.DUMMYFUNCTION("""COMPUTED_VALUE"""),"pcs")</f>
        <v>pcs</v>
      </c>
      <c r="I1411" s="6" t="str">
        <f>IFERROR(__xludf.DUMMYFUNCTION("""COMPUTED_VALUE"""),"MFH")</f>
        <v>MFH</v>
      </c>
      <c r="J1411" s="6" t="str">
        <f>IFERROR(__xludf.DUMMYFUNCTION("""COMPUTED_VALUE"""),"N2 Gen")</f>
        <v>N2 Gen</v>
      </c>
      <c r="K1411" s="6" t="str">
        <f>IFERROR(__xludf.DUMMYFUNCTION("""COMPUTED_VALUE"""),"SPR/12/24/014")</f>
        <v>SPR/12/24/014</v>
      </c>
      <c r="L1411" s="13">
        <f>IFERROR(__xludf.DUMMYFUNCTION("""COMPUTED_VALUE"""),45629.0)</f>
        <v>45629</v>
      </c>
    </row>
    <row r="1412">
      <c r="A1412" s="6" t="str">
        <f>IFERROR(__xludf.DUMMYFUNCTION("""COMPUTED_VALUE"""),"MRN")</f>
        <v>MRN</v>
      </c>
      <c r="B1412" s="6" t="str">
        <f>IFERROR(__xludf.DUMMYFUNCTION("""COMPUTED_VALUE"""),"ENG")</f>
        <v>ENG</v>
      </c>
      <c r="C1412" s="6" t="str">
        <f>IFERROR(__xludf.DUMMYFUNCTION("""COMPUTED_VALUE"""),"P-15053-00")</f>
        <v>P-15053-00</v>
      </c>
      <c r="D1412" s="6" t="str">
        <f>IFERROR(__xludf.DUMMYFUNCTION("""COMPUTED_VALUE"""),"Element Filter 0.01 micron P/N NXE-400-X; ; ;")</f>
        <v>Element Filter 0.01 micron P/N NXE-400-X; ; ;</v>
      </c>
      <c r="E1412" s="6">
        <f>IFERROR(__xludf.DUMMYFUNCTION("""COMPUTED_VALUE"""),1.0)</f>
        <v>1</v>
      </c>
      <c r="F1412" s="6">
        <f>IFERROR(__xludf.DUMMYFUNCTION("""COMPUTED_VALUE"""),1.0)</f>
        <v>1</v>
      </c>
      <c r="G1412" s="6">
        <f>IFERROR(__xludf.DUMMYFUNCTION("""COMPUTED_VALUE"""),0.0)</f>
        <v>0</v>
      </c>
      <c r="H1412" s="6" t="str">
        <f>IFERROR(__xludf.DUMMYFUNCTION("""COMPUTED_VALUE"""),"pcs")</f>
        <v>pcs</v>
      </c>
      <c r="I1412" s="6" t="str">
        <f>IFERROR(__xludf.DUMMYFUNCTION("""COMPUTED_VALUE"""),"MFH")</f>
        <v>MFH</v>
      </c>
      <c r="J1412" s="6" t="str">
        <f>IFERROR(__xludf.DUMMYFUNCTION("""COMPUTED_VALUE"""),"N2 Gen")</f>
        <v>N2 Gen</v>
      </c>
      <c r="K1412" s="6" t="str">
        <f>IFERROR(__xludf.DUMMYFUNCTION("""COMPUTED_VALUE"""),"SPR/12/24/014")</f>
        <v>SPR/12/24/014</v>
      </c>
      <c r="L1412" s="13">
        <f>IFERROR(__xludf.DUMMYFUNCTION("""COMPUTED_VALUE"""),45629.0)</f>
        <v>45629</v>
      </c>
    </row>
    <row r="1413">
      <c r="A1413" s="6" t="str">
        <f>IFERROR(__xludf.DUMMYFUNCTION("""COMPUTED_VALUE"""),"MRN")</f>
        <v>MRN</v>
      </c>
      <c r="B1413" s="6" t="str">
        <f>IFERROR(__xludf.DUMMYFUNCTION("""COMPUTED_VALUE"""),"ENG")</f>
        <v>ENG</v>
      </c>
      <c r="C1413" s="6" t="str">
        <f>IFERROR(__xludf.DUMMYFUNCTION("""COMPUTED_VALUE"""),"P-17062-00")</f>
        <v>P-17062-00</v>
      </c>
      <c r="D1413" s="6" t="str">
        <f>IFERROR(__xludf.DUMMYFUNCTION("""COMPUTED_VALUE"""),"Element Filter for N2 ; Brand : NEXUS ; P/N : NXE-90-Z ; Pack Size : pcs")</f>
        <v>Element Filter for N2 ; Brand : NEXUS ; P/N : NXE-90-Z ; Pack Size : pcs</v>
      </c>
      <c r="E1413" s="6">
        <f>IFERROR(__xludf.DUMMYFUNCTION("""COMPUTED_VALUE"""),1.0)</f>
        <v>1</v>
      </c>
      <c r="F1413" s="6">
        <f>IFERROR(__xludf.DUMMYFUNCTION("""COMPUTED_VALUE"""),1.0)</f>
        <v>1</v>
      </c>
      <c r="G1413" s="6">
        <f>IFERROR(__xludf.DUMMYFUNCTION("""COMPUTED_VALUE"""),0.0)</f>
        <v>0</v>
      </c>
      <c r="H1413" s="6" t="str">
        <f>IFERROR(__xludf.DUMMYFUNCTION("""COMPUTED_VALUE"""),"pcs")</f>
        <v>pcs</v>
      </c>
      <c r="I1413" s="6" t="str">
        <f>IFERROR(__xludf.DUMMYFUNCTION("""COMPUTED_VALUE"""),"MFH")</f>
        <v>MFH</v>
      </c>
      <c r="J1413" s="6" t="str">
        <f>IFERROR(__xludf.DUMMYFUNCTION("""COMPUTED_VALUE"""),"N2 Gen")</f>
        <v>N2 Gen</v>
      </c>
      <c r="K1413" s="6" t="str">
        <f>IFERROR(__xludf.DUMMYFUNCTION("""COMPUTED_VALUE"""),"SPR/12/24/014")</f>
        <v>SPR/12/24/014</v>
      </c>
      <c r="L1413" s="13">
        <f>IFERROR(__xludf.DUMMYFUNCTION("""COMPUTED_VALUE"""),45629.0)</f>
        <v>45629</v>
      </c>
    </row>
    <row r="1414">
      <c r="A1414" s="6" t="str">
        <f>IFERROR(__xludf.DUMMYFUNCTION("""COMPUTED_VALUE"""),"MRN")</f>
        <v>MRN</v>
      </c>
      <c r="B1414" s="6" t="str">
        <f>IFERROR(__xludf.DUMMYFUNCTION("""COMPUTED_VALUE"""),"ENG")</f>
        <v>ENG</v>
      </c>
      <c r="C1414" s="6" t="str">
        <f>IFERROR(__xludf.DUMMYFUNCTION("""COMPUTED_VALUE"""),"P-52529-00")</f>
        <v>P-52529-00</v>
      </c>
      <c r="D1414" s="6" t="str">
        <f>IFERROR(__xludf.DUMMYFUNCTION("""COMPUTED_VALUE"""),"HDMI NSH-35 s/n 1308744 P/n: PWS6A00T-P; ; ;")</f>
        <v>HDMI NSH-35 s/n 1308744 P/n: PWS6A00T-P; ; ;</v>
      </c>
      <c r="E1414" s="6">
        <f>IFERROR(__xludf.DUMMYFUNCTION("""COMPUTED_VALUE"""),1.0)</f>
        <v>1</v>
      </c>
      <c r="F1414" s="6">
        <f>IFERROR(__xludf.DUMMYFUNCTION("""COMPUTED_VALUE"""),1.0)</f>
        <v>1</v>
      </c>
      <c r="G1414" s="6">
        <f>IFERROR(__xludf.DUMMYFUNCTION("""COMPUTED_VALUE"""),0.0)</f>
        <v>0</v>
      </c>
      <c r="H1414" s="6" t="str">
        <f>IFERROR(__xludf.DUMMYFUNCTION("""COMPUTED_VALUE"""),"pcs")</f>
        <v>pcs</v>
      </c>
      <c r="I1414" s="6" t="str">
        <f>IFERROR(__xludf.DUMMYFUNCTION("""COMPUTED_VALUE"""),"MFH")</f>
        <v>MFH</v>
      </c>
      <c r="J1414" s="6" t="str">
        <f>IFERROR(__xludf.DUMMYFUNCTION("""COMPUTED_VALUE"""),"N2 Gen")</f>
        <v>N2 Gen</v>
      </c>
      <c r="K1414" s="6" t="str">
        <f>IFERROR(__xludf.DUMMYFUNCTION("""COMPUTED_VALUE"""),"SPR/12/24/015")</f>
        <v>SPR/12/24/015</v>
      </c>
      <c r="L1414" s="13">
        <f>IFERROR(__xludf.DUMMYFUNCTION("""COMPUTED_VALUE"""),45629.0)</f>
        <v>45629</v>
      </c>
    </row>
    <row r="1415">
      <c r="A1415" s="6" t="str">
        <f>IFERROR(__xludf.DUMMYFUNCTION("""COMPUTED_VALUE"""),"MRN")</f>
        <v>MRN</v>
      </c>
      <c r="B1415" s="6" t="str">
        <f>IFERROR(__xludf.DUMMYFUNCTION("""COMPUTED_VALUE"""),"ENG")</f>
        <v>ENG</v>
      </c>
      <c r="C1415" s="6" t="str">
        <f>IFERROR(__xludf.DUMMYFUNCTION("""COMPUTED_VALUE"""),"P-53023-00")</f>
        <v>P-53023-00</v>
      </c>
      <c r="D1415" s="6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E1415" s="6">
        <f>IFERROR(__xludf.DUMMYFUNCTION("""COMPUTED_VALUE"""),1.0)</f>
        <v>1</v>
      </c>
      <c r="F1415" s="6">
        <f>IFERROR(__xludf.DUMMYFUNCTION("""COMPUTED_VALUE"""),1.0)</f>
        <v>1</v>
      </c>
      <c r="G1415" s="6">
        <f>IFERROR(__xludf.DUMMYFUNCTION("""COMPUTED_VALUE"""),0.0)</f>
        <v>0</v>
      </c>
      <c r="H1415" s="6" t="str">
        <f>IFERROR(__xludf.DUMMYFUNCTION("""COMPUTED_VALUE"""),"pcs")</f>
        <v>pcs</v>
      </c>
      <c r="I1415" s="6" t="str">
        <f>IFERROR(__xludf.DUMMYFUNCTION("""COMPUTED_VALUE"""),"MFH")</f>
        <v>MFH</v>
      </c>
      <c r="J1415" s="6" t="str">
        <f>IFERROR(__xludf.DUMMYFUNCTION("""COMPUTED_VALUE"""),"PWG")</f>
        <v>PWG</v>
      </c>
      <c r="K1415" s="6" t="str">
        <f>IFERROR(__xludf.DUMMYFUNCTION("""COMPUTED_VALUE"""),"SPR/12/24/015")</f>
        <v>SPR/12/24/015</v>
      </c>
      <c r="L1415" s="13">
        <f>IFERROR(__xludf.DUMMYFUNCTION("""COMPUTED_VALUE"""),45629.0)</f>
        <v>45629</v>
      </c>
    </row>
    <row r="1416">
      <c r="A1416" s="6" t="str">
        <f>IFERROR(__xludf.DUMMYFUNCTION("""COMPUTED_VALUE"""),"MRN")</f>
        <v>MRN</v>
      </c>
      <c r="B1416" s="6" t="str">
        <f>IFERROR(__xludf.DUMMYFUNCTION("""COMPUTED_VALUE"""),"ENG")</f>
        <v>ENG</v>
      </c>
      <c r="C1416" s="6" t="str">
        <f>IFERROR(__xludf.DUMMYFUNCTION("""COMPUTED_VALUE"""),"P-50717-00")</f>
        <v>P-50717-00</v>
      </c>
      <c r="D1416" s="6" t="str">
        <f>IFERROR(__xludf.DUMMYFUNCTION("""COMPUTED_VALUE"""),"Kabel UTP 4 pairs Cat 6 merk BELDEN")</f>
        <v>Kabel UTP 4 pairs Cat 6 merk BELDEN</v>
      </c>
      <c r="E1416" s="6">
        <f>IFERROR(__xludf.DUMMYFUNCTION("""COMPUTED_VALUE"""),560.0)</f>
        <v>560</v>
      </c>
      <c r="F1416" s="6">
        <f>IFERROR(__xludf.DUMMYFUNCTION("""COMPUTED_VALUE"""),560.0)</f>
        <v>560</v>
      </c>
      <c r="G1416" s="6">
        <f>IFERROR(__xludf.DUMMYFUNCTION("""COMPUTED_VALUE"""),0.0)</f>
        <v>0</v>
      </c>
      <c r="H1416" s="6" t="str">
        <f>IFERROR(__xludf.DUMMYFUNCTION("""COMPUTED_VALUE"""),"pcs")</f>
        <v>pcs</v>
      </c>
      <c r="I1416" s="6" t="str">
        <f>IFERROR(__xludf.DUMMYFUNCTION("""COMPUTED_VALUE"""),"MFH")</f>
        <v>MFH</v>
      </c>
      <c r="J1416" s="6" t="str">
        <f>IFERROR(__xludf.DUMMYFUNCTION("""COMPUTED_VALUE"""),"Building")</f>
        <v>Building</v>
      </c>
      <c r="K1416" s="6" t="str">
        <f>IFERROR(__xludf.DUMMYFUNCTION("""COMPUTED_VALUE"""),"SPR/12/24/015")</f>
        <v>SPR/12/24/015</v>
      </c>
      <c r="L1416" s="13">
        <f>IFERROR(__xludf.DUMMYFUNCTION("""COMPUTED_VALUE"""),45629.0)</f>
        <v>45629</v>
      </c>
    </row>
    <row r="1417">
      <c r="A1417" s="6" t="str">
        <f>IFERROR(__xludf.DUMMYFUNCTION("""COMPUTED_VALUE"""),"MFH")</f>
        <v>MFH</v>
      </c>
      <c r="B1417" s="6" t="str">
        <f>IFERROR(__xludf.DUMMYFUNCTION("""COMPUTED_VALUE"""),"ENG")</f>
        <v>ENG</v>
      </c>
      <c r="C1417" s="6" t="str">
        <f>IFERROR(__xludf.DUMMYFUNCTION("""COMPUTED_VALUE"""),"Q-70065-00")</f>
        <v>Q-70065-00</v>
      </c>
      <c r="D1417" s="6" t="str">
        <f>IFERROR(__xludf.DUMMYFUNCTION("""COMPUTED_VALUE"""),"Dynabolt Beton M8x60; M8; M8x60;")</f>
        <v>Dynabolt Beton M8x60; M8; M8x60;</v>
      </c>
      <c r="E1417" s="6">
        <f>IFERROR(__xludf.DUMMYFUNCTION("""COMPUTED_VALUE"""),100.0)</f>
        <v>100</v>
      </c>
      <c r="F1417" s="6">
        <f>IFERROR(__xludf.DUMMYFUNCTION("""COMPUTED_VALUE"""),100.0)</f>
        <v>100</v>
      </c>
      <c r="G1417" s="6">
        <f>IFERROR(__xludf.DUMMYFUNCTION("""COMPUTED_VALUE"""),0.0)</f>
        <v>0</v>
      </c>
      <c r="H1417" s="6" t="str">
        <f>IFERROR(__xludf.DUMMYFUNCTION("""COMPUTED_VALUE"""),"pcs")</f>
        <v>pcs</v>
      </c>
      <c r="I1417" s="6" t="str">
        <f>IFERROR(__xludf.DUMMYFUNCTION("""COMPUTED_VALUE"""),"MFH")</f>
        <v>MFH</v>
      </c>
      <c r="J1417" s="6" t="str">
        <f>IFERROR(__xludf.DUMMYFUNCTION("""COMPUTED_VALUE"""),"Building")</f>
        <v>Building</v>
      </c>
      <c r="K1417" s="6" t="str">
        <f>IFERROR(__xludf.DUMMYFUNCTION("""COMPUTED_VALUE"""),"SPR/12/24/016")</f>
        <v>SPR/12/24/016</v>
      </c>
      <c r="L1417" s="13">
        <f>IFERROR(__xludf.DUMMYFUNCTION("""COMPUTED_VALUE"""),45629.0)</f>
        <v>45629</v>
      </c>
    </row>
    <row r="1418">
      <c r="A1418" s="6" t="str">
        <f>IFERROR(__xludf.DUMMYFUNCTION("""COMPUTED_VALUE"""),"MFH")</f>
        <v>MFH</v>
      </c>
      <c r="B1418" s="6" t="str">
        <f>IFERROR(__xludf.DUMMYFUNCTION("""COMPUTED_VALUE"""),"ENG")</f>
        <v>ENG</v>
      </c>
      <c r="C1418" s="6" t="str">
        <f>IFERROR(__xludf.DUMMYFUNCTION("""COMPUTED_VALUE"""),"P-14269-00")</f>
        <v>P-14269-00</v>
      </c>
      <c r="D1418" s="6" t="str">
        <f>IFERROR(__xludf.DUMMYFUNCTION("""COMPUTED_VALUE"""),"Baut hexagonal SS M4x10mm+Mur+Ring; ; ;")</f>
        <v>Baut hexagonal SS M4x10mm+Mur+Ring; ; ;</v>
      </c>
      <c r="E1418" s="6">
        <f>IFERROR(__xludf.DUMMYFUNCTION("""COMPUTED_VALUE"""),100.0)</f>
        <v>100</v>
      </c>
      <c r="F1418" s="6">
        <f>IFERROR(__xludf.DUMMYFUNCTION("""COMPUTED_VALUE"""),100.0)</f>
        <v>100</v>
      </c>
      <c r="G1418" s="6">
        <f>IFERROR(__xludf.DUMMYFUNCTION("""COMPUTED_VALUE"""),0.0)</f>
        <v>0</v>
      </c>
      <c r="H1418" s="6" t="str">
        <f>IFERROR(__xludf.DUMMYFUNCTION("""COMPUTED_VALUE"""),"pcs")</f>
        <v>pcs</v>
      </c>
      <c r="I1418" s="6" t="str">
        <f>IFERROR(__xludf.DUMMYFUNCTION("""COMPUTED_VALUE"""),"MFH")</f>
        <v>MFH</v>
      </c>
      <c r="J1418" s="6" t="str">
        <f>IFERROR(__xludf.DUMMYFUNCTION("""COMPUTED_VALUE"""),"-")</f>
        <v>-</v>
      </c>
      <c r="K1418" s="6" t="str">
        <f>IFERROR(__xludf.DUMMYFUNCTION("""COMPUTED_VALUE"""),"SPR/12/24/016")</f>
        <v>SPR/12/24/016</v>
      </c>
      <c r="L1418" s="13">
        <f>IFERROR(__xludf.DUMMYFUNCTION("""COMPUTED_VALUE"""),45629.0)</f>
        <v>45629</v>
      </c>
    </row>
    <row r="1419">
      <c r="A1419" s="6" t="str">
        <f>IFERROR(__xludf.DUMMYFUNCTION("""COMPUTED_VALUE"""),"MFH")</f>
        <v>MFH</v>
      </c>
      <c r="B1419" s="6" t="str">
        <f>IFERROR(__xludf.DUMMYFUNCTION("""COMPUTED_VALUE"""),"ENG")</f>
        <v>ENG</v>
      </c>
      <c r="C1419" s="6" t="str">
        <f>IFERROR(__xludf.DUMMYFUNCTION("""COMPUTED_VALUE"""),"P-14268-00")</f>
        <v>P-14268-00</v>
      </c>
      <c r="D1419" s="6" t="str">
        <f>IFERROR(__xludf.DUMMYFUNCTION("""COMPUTED_VALUE"""),"Baut hexagonal SS M4x20mm+Mur+Ring; ; ;")</f>
        <v>Baut hexagonal SS M4x20mm+Mur+Ring; ; ;</v>
      </c>
      <c r="E1419" s="6">
        <f>IFERROR(__xludf.DUMMYFUNCTION("""COMPUTED_VALUE"""),100.0)</f>
        <v>100</v>
      </c>
      <c r="F1419" s="6">
        <f>IFERROR(__xludf.DUMMYFUNCTION("""COMPUTED_VALUE"""),100.0)</f>
        <v>100</v>
      </c>
      <c r="G1419" s="6">
        <f>IFERROR(__xludf.DUMMYFUNCTION("""COMPUTED_VALUE"""),0.0)</f>
        <v>0</v>
      </c>
      <c r="H1419" s="6" t="str">
        <f>IFERROR(__xludf.DUMMYFUNCTION("""COMPUTED_VALUE"""),"pcs")</f>
        <v>pcs</v>
      </c>
      <c r="I1419" s="6" t="str">
        <f>IFERROR(__xludf.DUMMYFUNCTION("""COMPUTED_VALUE"""),"MFH")</f>
        <v>MFH</v>
      </c>
      <c r="J1419" s="6" t="str">
        <f>IFERROR(__xludf.DUMMYFUNCTION("""COMPUTED_VALUE"""),"-")</f>
        <v>-</v>
      </c>
      <c r="K1419" s="6" t="str">
        <f>IFERROR(__xludf.DUMMYFUNCTION("""COMPUTED_VALUE"""),"SPR/12/24/016")</f>
        <v>SPR/12/24/016</v>
      </c>
      <c r="L1419" s="13">
        <f>IFERROR(__xludf.DUMMYFUNCTION("""COMPUTED_VALUE"""),45629.0)</f>
        <v>45629</v>
      </c>
    </row>
    <row r="1420">
      <c r="A1420" s="6" t="str">
        <f>IFERROR(__xludf.DUMMYFUNCTION("""COMPUTED_VALUE"""),"MFH")</f>
        <v>MFH</v>
      </c>
      <c r="B1420" s="6" t="str">
        <f>IFERROR(__xludf.DUMMYFUNCTION("""COMPUTED_VALUE"""),"ENG")</f>
        <v>ENG</v>
      </c>
      <c r="C1420" s="6" t="str">
        <f>IFERROR(__xludf.DUMMYFUNCTION("""COMPUTED_VALUE"""),"P-14249-00")</f>
        <v>P-14249-00</v>
      </c>
      <c r="D1420" s="6" t="str">
        <f>IFERROR(__xludf.DUMMYFUNCTION("""COMPUTED_VALUE"""),"Baut SS L M4 x 30 mm + Mur + Ring; ; ;; ; ;")</f>
        <v>Baut SS L M4 x 30 mm + Mur + Ring; ; ;; ; ;</v>
      </c>
      <c r="E1420" s="6">
        <f>IFERROR(__xludf.DUMMYFUNCTION("""COMPUTED_VALUE"""),100.0)</f>
        <v>100</v>
      </c>
      <c r="F1420" s="6">
        <f>IFERROR(__xludf.DUMMYFUNCTION("""COMPUTED_VALUE"""),100.0)</f>
        <v>100</v>
      </c>
      <c r="G1420" s="6">
        <f>IFERROR(__xludf.DUMMYFUNCTION("""COMPUTED_VALUE"""),0.0)</f>
        <v>0</v>
      </c>
      <c r="H1420" s="6" t="str">
        <f>IFERROR(__xludf.DUMMYFUNCTION("""COMPUTED_VALUE"""),"pcs")</f>
        <v>pcs</v>
      </c>
      <c r="I1420" s="6" t="str">
        <f>IFERROR(__xludf.DUMMYFUNCTION("""COMPUTED_VALUE"""),"MFH")</f>
        <v>MFH</v>
      </c>
      <c r="J1420" s="6" t="str">
        <f>IFERROR(__xludf.DUMMYFUNCTION("""COMPUTED_VALUE"""),"-")</f>
        <v>-</v>
      </c>
      <c r="K1420" s="6" t="str">
        <f>IFERROR(__xludf.DUMMYFUNCTION("""COMPUTED_VALUE"""),"SPR/12/24/017")</f>
        <v>SPR/12/24/017</v>
      </c>
      <c r="L1420" s="13">
        <f>IFERROR(__xludf.DUMMYFUNCTION("""COMPUTED_VALUE"""),45629.0)</f>
        <v>45629</v>
      </c>
    </row>
    <row r="1421">
      <c r="A1421" s="6" t="str">
        <f>IFERROR(__xludf.DUMMYFUNCTION("""COMPUTED_VALUE"""),"MFH")</f>
        <v>MFH</v>
      </c>
      <c r="B1421" s="6" t="str">
        <f>IFERROR(__xludf.DUMMYFUNCTION("""COMPUTED_VALUE"""),"ENG")</f>
        <v>ENG</v>
      </c>
      <c r="C1421" s="6" t="str">
        <f>IFERROR(__xludf.DUMMYFUNCTION("""COMPUTED_VALUE"""),"Q-70068-00")</f>
        <v>Q-70068-00</v>
      </c>
      <c r="D1421" s="6" t="str">
        <f>IFERROR(__xludf.DUMMYFUNCTION("""COMPUTED_VALUE"""),"Dynabolt Beton M10x60; M10; M10x60;")</f>
        <v>Dynabolt Beton M10x60; M10; M10x60;</v>
      </c>
      <c r="E1421" s="6">
        <f>IFERROR(__xludf.DUMMYFUNCTION("""COMPUTED_VALUE"""),50.0)</f>
        <v>50</v>
      </c>
      <c r="F1421" s="6">
        <f>IFERROR(__xludf.DUMMYFUNCTION("""COMPUTED_VALUE"""),50.0)</f>
        <v>50</v>
      </c>
      <c r="G1421" s="6">
        <f>IFERROR(__xludf.DUMMYFUNCTION("""COMPUTED_VALUE"""),0.0)</f>
        <v>0</v>
      </c>
      <c r="H1421" s="6" t="str">
        <f>IFERROR(__xludf.DUMMYFUNCTION("""COMPUTED_VALUE"""),"pcs")</f>
        <v>pcs</v>
      </c>
      <c r="I1421" s="6" t="str">
        <f>IFERROR(__xludf.DUMMYFUNCTION("""COMPUTED_VALUE"""),"MFH")</f>
        <v>MFH</v>
      </c>
      <c r="J1421" s="6" t="str">
        <f>IFERROR(__xludf.DUMMYFUNCTION("""COMPUTED_VALUE"""),"-")</f>
        <v>-</v>
      </c>
      <c r="K1421" s="6" t="str">
        <f>IFERROR(__xludf.DUMMYFUNCTION("""COMPUTED_VALUE"""),"SPR/12/24/017")</f>
        <v>SPR/12/24/017</v>
      </c>
      <c r="L1421" s="13">
        <f>IFERROR(__xludf.DUMMYFUNCTION("""COMPUTED_VALUE"""),45629.0)</f>
        <v>45629</v>
      </c>
    </row>
    <row r="1422">
      <c r="A1422" s="6" t="str">
        <f>IFERROR(__xludf.DUMMYFUNCTION("""COMPUTED_VALUE"""),"MFH")</f>
        <v>MFH</v>
      </c>
      <c r="B1422" s="6" t="str">
        <f>IFERROR(__xludf.DUMMYFUNCTION("""COMPUTED_VALUE"""),"ENG")</f>
        <v>ENG</v>
      </c>
      <c r="C1422" s="6" t="str">
        <f>IFERROR(__xludf.DUMMYFUNCTION("""COMPUTED_VALUE"""),"Q-70066-00")</f>
        <v>Q-70066-00</v>
      </c>
      <c r="D1422" s="6" t="str">
        <f>IFERROR(__xludf.DUMMYFUNCTION("""COMPUTED_VALUE"""),"Dynabolt Beton M8x70; M8; M8x70;")</f>
        <v>Dynabolt Beton M8x70; M8; M8x70;</v>
      </c>
      <c r="E1422" s="6">
        <f>IFERROR(__xludf.DUMMYFUNCTION("""COMPUTED_VALUE"""),50.0)</f>
        <v>50</v>
      </c>
      <c r="F1422" s="6">
        <f>IFERROR(__xludf.DUMMYFUNCTION("""COMPUTED_VALUE"""),50.0)</f>
        <v>50</v>
      </c>
      <c r="G1422" s="6">
        <f>IFERROR(__xludf.DUMMYFUNCTION("""COMPUTED_VALUE"""),0.0)</f>
        <v>0</v>
      </c>
      <c r="H1422" s="6" t="str">
        <f>IFERROR(__xludf.DUMMYFUNCTION("""COMPUTED_VALUE"""),"pcs")</f>
        <v>pcs</v>
      </c>
      <c r="I1422" s="6" t="str">
        <f>IFERROR(__xludf.DUMMYFUNCTION("""COMPUTED_VALUE"""),"MFH")</f>
        <v>MFH</v>
      </c>
      <c r="J1422" s="6" t="str">
        <f>IFERROR(__xludf.DUMMYFUNCTION("""COMPUTED_VALUE"""),"-")</f>
        <v>-</v>
      </c>
      <c r="K1422" s="6" t="str">
        <f>IFERROR(__xludf.DUMMYFUNCTION("""COMPUTED_VALUE"""),"SPR/12/24/017")</f>
        <v>SPR/12/24/017</v>
      </c>
      <c r="L1422" s="13">
        <f>IFERROR(__xludf.DUMMYFUNCTION("""COMPUTED_VALUE"""),45629.0)</f>
        <v>45629</v>
      </c>
    </row>
    <row r="1423">
      <c r="A1423" s="6" t="str">
        <f>IFERROR(__xludf.DUMMYFUNCTION("""COMPUTED_VALUE"""),"MFH")</f>
        <v>MFH</v>
      </c>
      <c r="B1423" s="6" t="str">
        <f>IFERROR(__xludf.DUMMYFUNCTION("""COMPUTED_VALUE"""),"ENG")</f>
        <v>ENG</v>
      </c>
      <c r="C1423" s="6" t="str">
        <f>IFERROR(__xludf.DUMMYFUNCTION("""COMPUTED_VALUE"""),"P-15351-00")</f>
        <v>P-15351-00</v>
      </c>
      <c r="D1423" s="6" t="str">
        <f>IFERROR(__xludf.DUMMYFUNCTION("""COMPUTED_VALUE"""),"FESTO - Plastic tubing PUN-10x1,5-BL (Blue) p/n 159668; ; ;")</f>
        <v>FESTO - Plastic tubing PUN-10x1,5-BL (Blue) p/n 159668; ; ;</v>
      </c>
      <c r="E1423" s="6">
        <f>IFERROR(__xludf.DUMMYFUNCTION("""COMPUTED_VALUE"""),50.0)</f>
        <v>50</v>
      </c>
      <c r="F1423" s="6">
        <f>IFERROR(__xludf.DUMMYFUNCTION("""COMPUTED_VALUE"""),50.0)</f>
        <v>50</v>
      </c>
      <c r="G1423" s="6">
        <f>IFERROR(__xludf.DUMMYFUNCTION("""COMPUTED_VALUE"""),0.0)</f>
        <v>0</v>
      </c>
      <c r="H1423" s="6" t="str">
        <f>IFERROR(__xludf.DUMMYFUNCTION("""COMPUTED_VALUE"""),"pcs")</f>
        <v>pcs</v>
      </c>
      <c r="I1423" s="6" t="str">
        <f>IFERROR(__xludf.DUMMYFUNCTION("""COMPUTED_VALUE"""),"MFH")</f>
        <v>MFH</v>
      </c>
      <c r="J1423" s="6" t="str">
        <f>IFERROR(__xludf.DUMMYFUNCTION("""COMPUTED_VALUE"""),"-")</f>
        <v>-</v>
      </c>
      <c r="K1423" s="6" t="str">
        <f>IFERROR(__xludf.DUMMYFUNCTION("""COMPUTED_VALUE"""),"SPR/12/24/018")</f>
        <v>SPR/12/24/018</v>
      </c>
      <c r="L1423" s="13">
        <f>IFERROR(__xludf.DUMMYFUNCTION("""COMPUTED_VALUE"""),45629.0)</f>
        <v>45629</v>
      </c>
    </row>
    <row r="1424">
      <c r="A1424" s="6" t="str">
        <f>IFERROR(__xludf.DUMMYFUNCTION("""COMPUTED_VALUE"""),"MFH")</f>
        <v>MFH</v>
      </c>
      <c r="B1424" s="6" t="str">
        <f>IFERROR(__xludf.DUMMYFUNCTION("""COMPUTED_VALUE"""),"ENG")</f>
        <v>ENG</v>
      </c>
      <c r="C1424" s="6" t="str">
        <f>IFERROR(__xludf.DUMMYFUNCTION("""COMPUTED_VALUE"""),"P-18618-00")</f>
        <v>P-18618-00</v>
      </c>
      <c r="D1424" s="6" t="str">
        <f>IFERROR(__xludf.DUMMYFUNCTION("""COMPUTED_VALUE"""),"Chemicals Kuclean HL-351 @20 liter; ; ;")</f>
        <v>Chemicals Kuclean HL-351 @20 liter; ; ;</v>
      </c>
      <c r="E1424" s="6">
        <f>IFERROR(__xludf.DUMMYFUNCTION("""COMPUTED_VALUE"""),49.0)</f>
        <v>49</v>
      </c>
      <c r="F1424" s="6">
        <f>IFERROR(__xludf.DUMMYFUNCTION("""COMPUTED_VALUE"""),49.0)</f>
        <v>49</v>
      </c>
      <c r="G1424" s="6">
        <f>IFERROR(__xludf.DUMMYFUNCTION("""COMPUTED_VALUE"""),0.0)</f>
        <v>0</v>
      </c>
      <c r="H1424" s="6" t="str">
        <f>IFERROR(__xludf.DUMMYFUNCTION("""COMPUTED_VALUE"""),"pcs")</f>
        <v>pcs</v>
      </c>
      <c r="I1424" s="6" t="str">
        <f>IFERROR(__xludf.DUMMYFUNCTION("""COMPUTED_VALUE"""),"MFH")</f>
        <v>MFH</v>
      </c>
      <c r="J1424" s="6" t="str">
        <f>IFERROR(__xludf.DUMMYFUNCTION("""COMPUTED_VALUE"""),"-")</f>
        <v>-</v>
      </c>
      <c r="K1424" s="6" t="str">
        <f>IFERROR(__xludf.DUMMYFUNCTION("""COMPUTED_VALUE"""),"SPR/12/24/018")</f>
        <v>SPR/12/24/018</v>
      </c>
      <c r="L1424" s="13">
        <f>IFERROR(__xludf.DUMMYFUNCTION("""COMPUTED_VALUE"""),45629.0)</f>
        <v>45629</v>
      </c>
    </row>
    <row r="1425">
      <c r="A1425" s="6" t="str">
        <f>IFERROR(__xludf.DUMMYFUNCTION("""COMPUTED_VALUE"""),"MFH")</f>
        <v>MFH</v>
      </c>
      <c r="B1425" s="6" t="str">
        <f>IFERROR(__xludf.DUMMYFUNCTION("""COMPUTED_VALUE"""),"ENG")</f>
        <v>ENG</v>
      </c>
      <c r="C1425" s="6" t="str">
        <f>IFERROR(__xludf.DUMMYFUNCTION("""COMPUTED_VALUE"""),"O-54181-00")</f>
        <v>O-54181-00</v>
      </c>
      <c r="D1425" s="6" t="str">
        <f>IFERROR(__xludf.DUMMYFUNCTION("""COMPUTED_VALUE"""),"Resistor 150 Ohm 1/2 watt; No Brand; ;")</f>
        <v>Resistor 150 Ohm 1/2 watt; No Brand; ;</v>
      </c>
      <c r="E1425" s="6">
        <f>IFERROR(__xludf.DUMMYFUNCTION("""COMPUTED_VALUE"""),35.0)</f>
        <v>35</v>
      </c>
      <c r="F1425" s="6">
        <f>IFERROR(__xludf.DUMMYFUNCTION("""COMPUTED_VALUE"""),35.0)</f>
        <v>35</v>
      </c>
      <c r="G1425" s="6">
        <f>IFERROR(__xludf.DUMMYFUNCTION("""COMPUTED_VALUE"""),0.0)</f>
        <v>0</v>
      </c>
      <c r="H1425" s="6" t="str">
        <f>IFERROR(__xludf.DUMMYFUNCTION("""COMPUTED_VALUE"""),"pcs")</f>
        <v>pcs</v>
      </c>
      <c r="I1425" s="6" t="str">
        <f>IFERROR(__xludf.DUMMYFUNCTION("""COMPUTED_VALUE"""),"MFH")</f>
        <v>MFH</v>
      </c>
      <c r="J1425" s="6" t="str">
        <f>IFERROR(__xludf.DUMMYFUNCTION("""COMPUTED_VALUE"""),"-")</f>
        <v>-</v>
      </c>
      <c r="K1425" s="6" t="str">
        <f>IFERROR(__xludf.DUMMYFUNCTION("""COMPUTED_VALUE"""),"SPR/12/24/018")</f>
        <v>SPR/12/24/018</v>
      </c>
      <c r="L1425" s="13">
        <f>IFERROR(__xludf.DUMMYFUNCTION("""COMPUTED_VALUE"""),45629.0)</f>
        <v>45629</v>
      </c>
    </row>
    <row r="1426">
      <c r="A1426" s="6" t="str">
        <f>IFERROR(__xludf.DUMMYFUNCTION("""COMPUTED_VALUE"""),"MFH")</f>
        <v>MFH</v>
      </c>
      <c r="B1426" s="6" t="str">
        <f>IFERROR(__xludf.DUMMYFUNCTION("""COMPUTED_VALUE"""),"ENG")</f>
        <v>ENG</v>
      </c>
      <c r="C1426" s="6" t="str">
        <f>IFERROR(__xludf.DUMMYFUNCTION("""COMPUTED_VALUE"""),"Q-70072-00")</f>
        <v>Q-70072-00</v>
      </c>
      <c r="D1426" s="6" t="str">
        <f>IFERROR(__xludf.DUMMYFUNCTION("""COMPUTED_VALUE"""),"Dynabolt Beton M12x70; M12; M12x70;")</f>
        <v>Dynabolt Beton M12x70; M12; M12x70;</v>
      </c>
      <c r="E1426" s="6">
        <f>IFERROR(__xludf.DUMMYFUNCTION("""COMPUTED_VALUE"""),30.0)</f>
        <v>30</v>
      </c>
      <c r="F1426" s="6">
        <f>IFERROR(__xludf.DUMMYFUNCTION("""COMPUTED_VALUE"""),30.0)</f>
        <v>30</v>
      </c>
      <c r="G1426" s="6">
        <f>IFERROR(__xludf.DUMMYFUNCTION("""COMPUTED_VALUE"""),0.0)</f>
        <v>0</v>
      </c>
      <c r="H1426" s="6" t="str">
        <f>IFERROR(__xludf.DUMMYFUNCTION("""COMPUTED_VALUE"""),"pcs")</f>
        <v>pcs</v>
      </c>
      <c r="I1426" s="6" t="str">
        <f>IFERROR(__xludf.DUMMYFUNCTION("""COMPUTED_VALUE"""),"MFH")</f>
        <v>MFH</v>
      </c>
      <c r="J1426" s="6" t="str">
        <f>IFERROR(__xludf.DUMMYFUNCTION("""COMPUTED_VALUE"""),"Building")</f>
        <v>Building</v>
      </c>
      <c r="K1426" s="6" t="str">
        <f>IFERROR(__xludf.DUMMYFUNCTION("""COMPUTED_VALUE"""),"SPR/12/24/019")</f>
        <v>SPR/12/24/019</v>
      </c>
      <c r="L1426" s="13">
        <f>IFERROR(__xludf.DUMMYFUNCTION("""COMPUTED_VALUE"""),45629.0)</f>
        <v>45629</v>
      </c>
    </row>
    <row r="1427">
      <c r="A1427" s="6" t="str">
        <f>IFERROR(__xludf.DUMMYFUNCTION("""COMPUTED_VALUE"""),"MFH")</f>
        <v>MFH</v>
      </c>
      <c r="B1427" s="6" t="str">
        <f>IFERROR(__xludf.DUMMYFUNCTION("""COMPUTED_VALUE"""),"ENG")</f>
        <v>ENG</v>
      </c>
      <c r="C1427" s="6" t="str">
        <f>IFERROR(__xludf.DUMMYFUNCTION("""COMPUTED_VALUE"""),"P-19255-00")</f>
        <v>P-19255-00</v>
      </c>
      <c r="D1427" s="6" t="str">
        <f>IFERROR(__xludf.DUMMYFUNCTION("""COMPUTED_VALUE"""),"Plastic Tubing PUN-H-14x2-BL; Festo; 570386;")</f>
        <v>Plastic Tubing PUN-H-14x2-BL; Festo; 570386;</v>
      </c>
      <c r="E1427" s="6">
        <f>IFERROR(__xludf.DUMMYFUNCTION("""COMPUTED_VALUE"""),30.0)</f>
        <v>30</v>
      </c>
      <c r="F1427" s="6">
        <f>IFERROR(__xludf.DUMMYFUNCTION("""COMPUTED_VALUE"""),30.0)</f>
        <v>30</v>
      </c>
      <c r="G1427" s="6">
        <f>IFERROR(__xludf.DUMMYFUNCTION("""COMPUTED_VALUE"""),0.0)</f>
        <v>0</v>
      </c>
      <c r="H1427" s="6" t="str">
        <f>IFERROR(__xludf.DUMMYFUNCTION("""COMPUTED_VALUE"""),"m")</f>
        <v>m</v>
      </c>
      <c r="I1427" s="6" t="str">
        <f>IFERROR(__xludf.DUMMYFUNCTION("""COMPUTED_VALUE"""),"MFH")</f>
        <v>MFH</v>
      </c>
      <c r="J1427" s="6" t="str">
        <f>IFERROR(__xludf.DUMMYFUNCTION("""COMPUTED_VALUE"""),"-")</f>
        <v>-</v>
      </c>
      <c r="K1427" s="6" t="str">
        <f>IFERROR(__xludf.DUMMYFUNCTION("""COMPUTED_VALUE"""),"SPR/12/24/019")</f>
        <v>SPR/12/24/019</v>
      </c>
      <c r="L1427" s="13">
        <f>IFERROR(__xludf.DUMMYFUNCTION("""COMPUTED_VALUE"""),45629.0)</f>
        <v>45629</v>
      </c>
    </row>
    <row r="1428">
      <c r="A1428" s="6" t="str">
        <f>IFERROR(__xludf.DUMMYFUNCTION("""COMPUTED_VALUE"""),"MFH")</f>
        <v>MFH</v>
      </c>
      <c r="B1428" s="6" t="str">
        <f>IFERROR(__xludf.DUMMYFUNCTION("""COMPUTED_VALUE"""),"ENG")</f>
        <v>ENG</v>
      </c>
      <c r="C1428" s="6" t="str">
        <f>IFERROR(__xludf.DUMMYFUNCTION("""COMPUTED_VALUE"""),"P-17389-00")</f>
        <v>P-17389-00</v>
      </c>
      <c r="D1428" s="6" t="str">
        <f>IFERROR(__xludf.DUMMYFUNCTION("""COMPUTED_VALUE"""),"Kawat las SS316 dia 3.2; ; ;")</f>
        <v>Kawat las SS316 dia 3.2; ; ;</v>
      </c>
      <c r="E1428" s="6">
        <f>IFERROR(__xludf.DUMMYFUNCTION("""COMPUTED_VALUE"""),25.0)</f>
        <v>25</v>
      </c>
      <c r="F1428" s="6">
        <f>IFERROR(__xludf.DUMMYFUNCTION("""COMPUTED_VALUE"""),25.0)</f>
        <v>25</v>
      </c>
      <c r="G1428" s="6">
        <f>IFERROR(__xludf.DUMMYFUNCTION("""COMPUTED_VALUE"""),0.0)</f>
        <v>0</v>
      </c>
      <c r="H1428" s="6" t="str">
        <f>IFERROR(__xludf.DUMMYFUNCTION("""COMPUTED_VALUE"""),"pcs")</f>
        <v>pcs</v>
      </c>
      <c r="I1428" s="6" t="str">
        <f>IFERROR(__xludf.DUMMYFUNCTION("""COMPUTED_VALUE"""),"MFH")</f>
        <v>MFH</v>
      </c>
      <c r="J1428" s="6" t="str">
        <f>IFERROR(__xludf.DUMMYFUNCTION("""COMPUTED_VALUE"""),"Workshop")</f>
        <v>Workshop</v>
      </c>
      <c r="K1428" s="6" t="str">
        <f>IFERROR(__xludf.DUMMYFUNCTION("""COMPUTED_VALUE"""),"SPR/12/24/019")</f>
        <v>SPR/12/24/019</v>
      </c>
      <c r="L1428" s="13">
        <f>IFERROR(__xludf.DUMMYFUNCTION("""COMPUTED_VALUE"""),45629.0)</f>
        <v>45629</v>
      </c>
    </row>
    <row r="1429">
      <c r="A1429" s="6" t="str">
        <f>IFERROR(__xludf.DUMMYFUNCTION("""COMPUTED_VALUE"""),"MFH")</f>
        <v>MFH</v>
      </c>
      <c r="B1429" s="6" t="str">
        <f>IFERROR(__xludf.DUMMYFUNCTION("""COMPUTED_VALUE"""),"ENG")</f>
        <v>ENG</v>
      </c>
      <c r="C1429" s="6" t="str">
        <f>IFERROR(__xludf.DUMMYFUNCTION("""COMPUTED_VALUE"""),"P-12083-00")</f>
        <v>P-12083-00</v>
      </c>
      <c r="D1429" s="6" t="str">
        <f>IFERROR(__xludf.DUMMYFUNCTION("""COMPUTED_VALUE"""),"Clamp selang SS dia 1/2inch ex TRIDON")</f>
        <v>Clamp selang SS dia 1/2inch ex TRIDON</v>
      </c>
      <c r="E1429" s="6">
        <f>IFERROR(__xludf.DUMMYFUNCTION("""COMPUTED_VALUE"""),25.0)</f>
        <v>25</v>
      </c>
      <c r="F1429" s="6">
        <f>IFERROR(__xludf.DUMMYFUNCTION("""COMPUTED_VALUE"""),25.0)</f>
        <v>25</v>
      </c>
      <c r="G1429" s="6">
        <f>IFERROR(__xludf.DUMMYFUNCTION("""COMPUTED_VALUE"""),0.0)</f>
        <v>0</v>
      </c>
      <c r="H1429" s="6" t="str">
        <f>IFERROR(__xludf.DUMMYFUNCTION("""COMPUTED_VALUE"""),"pcs")</f>
        <v>pcs</v>
      </c>
      <c r="I1429" s="6" t="str">
        <f>IFERROR(__xludf.DUMMYFUNCTION("""COMPUTED_VALUE"""),"MFH")</f>
        <v>MFH</v>
      </c>
      <c r="J1429" s="6" t="str">
        <f>IFERROR(__xludf.DUMMYFUNCTION("""COMPUTED_VALUE"""),"-")</f>
        <v>-</v>
      </c>
      <c r="K1429" s="6" t="str">
        <f>IFERROR(__xludf.DUMMYFUNCTION("""COMPUTED_VALUE"""),"SPR/12/24/020")</f>
        <v>SPR/12/24/020</v>
      </c>
      <c r="L1429" s="13">
        <f>IFERROR(__xludf.DUMMYFUNCTION("""COMPUTED_VALUE"""),45629.0)</f>
        <v>45629</v>
      </c>
    </row>
    <row r="1430">
      <c r="A1430" s="6" t="str">
        <f>IFERROR(__xludf.DUMMYFUNCTION("""COMPUTED_VALUE"""),"MFH")</f>
        <v>MFH</v>
      </c>
      <c r="B1430" s="6" t="str">
        <f>IFERROR(__xludf.DUMMYFUNCTION("""COMPUTED_VALUE"""),"ENG")</f>
        <v>ENG</v>
      </c>
      <c r="C1430" s="6" t="str">
        <f>IFERROR(__xludf.DUMMYFUNCTION("""COMPUTED_VALUE"""),"Q-70069-00")</f>
        <v>Q-70069-00</v>
      </c>
      <c r="D1430" s="6" t="str">
        <f>IFERROR(__xludf.DUMMYFUNCTION("""COMPUTED_VALUE"""),"Dynabolt Beton M10x70; M10; M10x70;")</f>
        <v>Dynabolt Beton M10x70; M10; M10x70;</v>
      </c>
      <c r="E1430" s="6">
        <f>IFERROR(__xludf.DUMMYFUNCTION("""COMPUTED_VALUE"""),20.0)</f>
        <v>20</v>
      </c>
      <c r="F1430" s="6">
        <f>IFERROR(__xludf.DUMMYFUNCTION("""COMPUTED_VALUE"""),20.0)</f>
        <v>20</v>
      </c>
      <c r="G1430" s="6">
        <f>IFERROR(__xludf.DUMMYFUNCTION("""COMPUTED_VALUE"""),0.0)</f>
        <v>0</v>
      </c>
      <c r="H1430" s="6" t="str">
        <f>IFERROR(__xludf.DUMMYFUNCTION("""COMPUTED_VALUE"""),"pcs")</f>
        <v>pcs</v>
      </c>
      <c r="I1430" s="6" t="str">
        <f>IFERROR(__xludf.DUMMYFUNCTION("""COMPUTED_VALUE"""),"MFH")</f>
        <v>MFH</v>
      </c>
      <c r="J1430" s="6" t="str">
        <f>IFERROR(__xludf.DUMMYFUNCTION("""COMPUTED_VALUE"""),"-")</f>
        <v>-</v>
      </c>
      <c r="K1430" s="6" t="str">
        <f>IFERROR(__xludf.DUMMYFUNCTION("""COMPUTED_VALUE"""),"SPR/12/24/020")</f>
        <v>SPR/12/24/020</v>
      </c>
      <c r="L1430" s="13">
        <f>IFERROR(__xludf.DUMMYFUNCTION("""COMPUTED_VALUE"""),45629.0)</f>
        <v>45629</v>
      </c>
    </row>
    <row r="1431">
      <c r="A1431" s="6" t="str">
        <f>IFERROR(__xludf.DUMMYFUNCTION("""COMPUTED_VALUE"""),"MFH")</f>
        <v>MFH</v>
      </c>
      <c r="B1431" s="6" t="str">
        <f>IFERROR(__xludf.DUMMYFUNCTION("""COMPUTED_VALUE"""),"ENG")</f>
        <v>ENG</v>
      </c>
      <c r="C1431" s="6" t="str">
        <f>IFERROR(__xludf.DUMMYFUNCTION("""COMPUTED_VALUE"""),"P-18789-00")</f>
        <v>P-18789-00</v>
      </c>
      <c r="D1431" s="6" t="str">
        <f>IFERROR(__xludf.DUMMYFUNCTION("""COMPUTED_VALUE"""),"Gland Packing Teflon PTFE 4x4 mm; ; ;")</f>
        <v>Gland Packing Teflon PTFE 4x4 mm; ; ;</v>
      </c>
      <c r="E1431" s="6">
        <f>IFERROR(__xludf.DUMMYFUNCTION("""COMPUTED_VALUE"""),10.0)</f>
        <v>10</v>
      </c>
      <c r="F1431" s="6">
        <f>IFERROR(__xludf.DUMMYFUNCTION("""COMPUTED_VALUE"""),10.0)</f>
        <v>10</v>
      </c>
      <c r="G1431" s="6">
        <f>IFERROR(__xludf.DUMMYFUNCTION("""COMPUTED_VALUE"""),0.0)</f>
        <v>0</v>
      </c>
      <c r="H1431" s="6" t="str">
        <f>IFERROR(__xludf.DUMMYFUNCTION("""COMPUTED_VALUE"""),"pcs")</f>
        <v>pcs</v>
      </c>
      <c r="I1431" s="6" t="str">
        <f>IFERROR(__xludf.DUMMYFUNCTION("""COMPUTED_VALUE"""),"MFH")</f>
        <v>MFH</v>
      </c>
      <c r="J1431" s="6" t="str">
        <f>IFERROR(__xludf.DUMMYFUNCTION("""COMPUTED_VALUE"""),"-")</f>
        <v>-</v>
      </c>
      <c r="K1431" s="6" t="str">
        <f>IFERROR(__xludf.DUMMYFUNCTION("""COMPUTED_VALUE"""),"SPR/12/24/020")</f>
        <v>SPR/12/24/020</v>
      </c>
      <c r="L1431" s="13">
        <f>IFERROR(__xludf.DUMMYFUNCTION("""COMPUTED_VALUE"""),45629.0)</f>
        <v>45629</v>
      </c>
    </row>
    <row r="1432">
      <c r="A1432" s="6" t="str">
        <f>IFERROR(__xludf.DUMMYFUNCTION("""COMPUTED_VALUE"""),"MFH")</f>
        <v>MFH</v>
      </c>
      <c r="B1432" s="6" t="str">
        <f>IFERROR(__xludf.DUMMYFUNCTION("""COMPUTED_VALUE"""),"ENG")</f>
        <v>ENG</v>
      </c>
      <c r="C1432" s="6" t="str">
        <f>IFERROR(__xludf.DUMMYFUNCTION("""COMPUTED_VALUE"""),"P-12082-00")</f>
        <v>P-12082-00</v>
      </c>
      <c r="D1432" s="6" t="str">
        <f>IFERROR(__xludf.DUMMYFUNCTION("""COMPUTED_VALUE"""),"Clamp selang ss dia  3/4inch ex TRIDON")</f>
        <v>Clamp selang ss dia  3/4inch ex TRIDON</v>
      </c>
      <c r="E1432" s="6">
        <f>IFERROR(__xludf.DUMMYFUNCTION("""COMPUTED_VALUE"""),8.0)</f>
        <v>8</v>
      </c>
      <c r="F1432" s="6">
        <f>IFERROR(__xludf.DUMMYFUNCTION("""COMPUTED_VALUE"""),8.0)</f>
        <v>8</v>
      </c>
      <c r="G1432" s="6">
        <f>IFERROR(__xludf.DUMMYFUNCTION("""COMPUTED_VALUE"""),0.0)</f>
        <v>0</v>
      </c>
      <c r="H1432" s="6" t="str">
        <f>IFERROR(__xludf.DUMMYFUNCTION("""COMPUTED_VALUE"""),"pcs")</f>
        <v>pcs</v>
      </c>
      <c r="I1432" s="6" t="str">
        <f>IFERROR(__xludf.DUMMYFUNCTION("""COMPUTED_VALUE"""),"MFH")</f>
        <v>MFH</v>
      </c>
      <c r="J1432" s="6" t="str">
        <f>IFERROR(__xludf.DUMMYFUNCTION("""COMPUTED_VALUE"""),"-")</f>
        <v>-</v>
      </c>
      <c r="K1432" s="6" t="str">
        <f>IFERROR(__xludf.DUMMYFUNCTION("""COMPUTED_VALUE"""),"SPR/12/24/021")</f>
        <v>SPR/12/24/021</v>
      </c>
      <c r="L1432" s="13">
        <f>IFERROR(__xludf.DUMMYFUNCTION("""COMPUTED_VALUE"""),45629.0)</f>
        <v>45629</v>
      </c>
    </row>
    <row r="1433">
      <c r="A1433" s="6" t="str">
        <f>IFERROR(__xludf.DUMMYFUNCTION("""COMPUTED_VALUE"""),"MFH")</f>
        <v>MFH</v>
      </c>
      <c r="B1433" s="6" t="str">
        <f>IFERROR(__xludf.DUMMYFUNCTION("""COMPUTED_VALUE"""),"ENG")</f>
        <v>ENG</v>
      </c>
      <c r="C1433" s="6" t="str">
        <f>IFERROR(__xludf.DUMMYFUNCTION("""COMPUTED_VALUE"""),"P-19233-00")</f>
        <v>P-19233-00</v>
      </c>
      <c r="D1433" s="6" t="str">
        <f>IFERROR(__xludf.DUMMYFUNCTION("""COMPUTED_VALUE"""),"Fitting QS 1/2 x 8mm; EMC; ;")</f>
        <v>Fitting QS 1/2 x 8mm; EMC; ;</v>
      </c>
      <c r="E1433" s="6">
        <f>IFERROR(__xludf.DUMMYFUNCTION("""COMPUTED_VALUE"""),7.0)</f>
        <v>7</v>
      </c>
      <c r="F1433" s="6">
        <f>IFERROR(__xludf.DUMMYFUNCTION("""COMPUTED_VALUE"""),7.0)</f>
        <v>7</v>
      </c>
      <c r="G1433" s="6">
        <f>IFERROR(__xludf.DUMMYFUNCTION("""COMPUTED_VALUE"""),0.0)</f>
        <v>0</v>
      </c>
      <c r="H1433" s="6" t="str">
        <f>IFERROR(__xludf.DUMMYFUNCTION("""COMPUTED_VALUE"""),"pcs")</f>
        <v>pcs</v>
      </c>
      <c r="I1433" s="6" t="str">
        <f>IFERROR(__xludf.DUMMYFUNCTION("""COMPUTED_VALUE"""),"MFH")</f>
        <v>MFH</v>
      </c>
      <c r="J1433" s="6" t="str">
        <f>IFERROR(__xludf.DUMMYFUNCTION("""COMPUTED_VALUE"""),"-")</f>
        <v>-</v>
      </c>
      <c r="K1433" s="6" t="str">
        <f>IFERROR(__xludf.DUMMYFUNCTION("""COMPUTED_VALUE"""),"SPR/12/24/021")</f>
        <v>SPR/12/24/021</v>
      </c>
      <c r="L1433" s="13">
        <f>IFERROR(__xludf.DUMMYFUNCTION("""COMPUTED_VALUE"""),45629.0)</f>
        <v>45629</v>
      </c>
    </row>
    <row r="1434">
      <c r="A1434" s="6" t="str">
        <f>IFERROR(__xludf.DUMMYFUNCTION("""COMPUTED_VALUE"""),"MFH")</f>
        <v>MFH</v>
      </c>
      <c r="B1434" s="6" t="str">
        <f>IFERROR(__xludf.DUMMYFUNCTION("""COMPUTED_VALUE"""),"ENG")</f>
        <v>ENG</v>
      </c>
      <c r="C1434" s="6" t="str">
        <f>IFERROR(__xludf.DUMMYFUNCTION("""COMPUTED_VALUE"""),"P-50943-00")</f>
        <v>P-50943-00</v>
      </c>
      <c r="D1434" s="6" t="str">
        <f>IFERROR(__xludf.DUMMYFUNCTION("""COMPUTED_VALUE"""),"Flexible conduit  dia 20 mm")</f>
        <v>Flexible conduit  dia 20 mm</v>
      </c>
      <c r="E1434" s="6">
        <f>IFERROR(__xludf.DUMMYFUNCTION("""COMPUTED_VALUE"""),4.0)</f>
        <v>4</v>
      </c>
      <c r="F1434" s="6">
        <f>IFERROR(__xludf.DUMMYFUNCTION("""COMPUTED_VALUE"""),4.0)</f>
        <v>4</v>
      </c>
      <c r="G1434" s="6">
        <f>IFERROR(__xludf.DUMMYFUNCTION("""COMPUTED_VALUE"""),0.0)</f>
        <v>0</v>
      </c>
      <c r="H1434" s="6" t="str">
        <f>IFERROR(__xludf.DUMMYFUNCTION("""COMPUTED_VALUE"""),"pcs")</f>
        <v>pcs</v>
      </c>
      <c r="I1434" s="6" t="str">
        <f>IFERROR(__xludf.DUMMYFUNCTION("""COMPUTED_VALUE"""),"MFH")</f>
        <v>MFH</v>
      </c>
      <c r="J1434" s="6" t="str">
        <f>IFERROR(__xludf.DUMMYFUNCTION("""COMPUTED_VALUE"""),"-")</f>
        <v>-</v>
      </c>
      <c r="K1434" s="6" t="str">
        <f>IFERROR(__xludf.DUMMYFUNCTION("""COMPUTED_VALUE"""),"SPR/12/24/021")</f>
        <v>SPR/12/24/021</v>
      </c>
      <c r="L1434" s="13">
        <f>IFERROR(__xludf.DUMMYFUNCTION("""COMPUTED_VALUE"""),45629.0)</f>
        <v>45629</v>
      </c>
    </row>
    <row r="1435">
      <c r="A1435" s="6" t="str">
        <f>IFERROR(__xludf.DUMMYFUNCTION("""COMPUTED_VALUE"""),"MFH")</f>
        <v>MFH</v>
      </c>
      <c r="B1435" s="6" t="str">
        <f>IFERROR(__xludf.DUMMYFUNCTION("""COMPUTED_VALUE"""),"ENG")</f>
        <v>ENG</v>
      </c>
      <c r="C1435" s="6" t="str">
        <f>IFERROR(__xludf.DUMMYFUNCTION("""COMPUTED_VALUE"""),"P-18966-00")</f>
        <v>P-18966-00</v>
      </c>
      <c r="D1435" s="6" t="str">
        <f>IFERROR(__xludf.DUMMYFUNCTION("""COMPUTED_VALUE"""),"Kawat Perak Las 40%; Merk Grilot-7; ; ;")</f>
        <v>Kawat Perak Las 40%; Merk Grilot-7; ; ;</v>
      </c>
      <c r="E1435" s="6">
        <f>IFERROR(__xludf.DUMMYFUNCTION("""COMPUTED_VALUE"""),5.0)</f>
        <v>5</v>
      </c>
      <c r="F1435" s="6">
        <f>IFERROR(__xludf.DUMMYFUNCTION("""COMPUTED_VALUE"""),5.0)</f>
        <v>5</v>
      </c>
      <c r="G1435" s="6">
        <f>IFERROR(__xludf.DUMMYFUNCTION("""COMPUTED_VALUE"""),0.0)</f>
        <v>0</v>
      </c>
      <c r="H1435" s="6" t="str">
        <f>IFERROR(__xludf.DUMMYFUNCTION("""COMPUTED_VALUE"""),"pcs")</f>
        <v>pcs</v>
      </c>
      <c r="I1435" s="6" t="str">
        <f>IFERROR(__xludf.DUMMYFUNCTION("""COMPUTED_VALUE"""),"MFH")</f>
        <v>MFH</v>
      </c>
      <c r="J1435" s="6" t="str">
        <f>IFERROR(__xludf.DUMMYFUNCTION("""COMPUTED_VALUE"""),"-")</f>
        <v>-</v>
      </c>
      <c r="K1435" s="6" t="str">
        <f>IFERROR(__xludf.DUMMYFUNCTION("""COMPUTED_VALUE"""),"SPR/12/24/022")</f>
        <v>SPR/12/24/022</v>
      </c>
      <c r="L1435" s="13">
        <f>IFERROR(__xludf.DUMMYFUNCTION("""COMPUTED_VALUE"""),45629.0)</f>
        <v>45629</v>
      </c>
    </row>
    <row r="1436">
      <c r="A1436" s="6" t="str">
        <f>IFERROR(__xludf.DUMMYFUNCTION("""COMPUTED_VALUE"""),"MFH")</f>
        <v>MFH</v>
      </c>
      <c r="B1436" s="6" t="str">
        <f>IFERROR(__xludf.DUMMYFUNCTION("""COMPUTED_VALUE"""),"ENG")</f>
        <v>ENG</v>
      </c>
      <c r="C1436" s="6" t="str">
        <f>IFERROR(__xludf.DUMMYFUNCTION("""COMPUTED_VALUE"""),"O-54015-00")</f>
        <v>O-54015-00</v>
      </c>
      <c r="D1436" s="6" t="str">
        <f>IFERROR(__xludf.DUMMYFUNCTION("""COMPUTED_VALUE"""),"STOP KONTAK LUBANG 4, BROCO")</f>
        <v>STOP KONTAK LUBANG 4, BROCO</v>
      </c>
      <c r="E1436" s="6">
        <f>IFERROR(__xludf.DUMMYFUNCTION("""COMPUTED_VALUE"""),5.0)</f>
        <v>5</v>
      </c>
      <c r="F1436" s="6">
        <f>IFERROR(__xludf.DUMMYFUNCTION("""COMPUTED_VALUE"""),5.0)</f>
        <v>5</v>
      </c>
      <c r="G1436" s="6">
        <f>IFERROR(__xludf.DUMMYFUNCTION("""COMPUTED_VALUE"""),0.0)</f>
        <v>0</v>
      </c>
      <c r="H1436" s="6" t="str">
        <f>IFERROR(__xludf.DUMMYFUNCTION("""COMPUTED_VALUE"""),"pcs")</f>
        <v>pcs</v>
      </c>
      <c r="I1436" s="6" t="str">
        <f>IFERROR(__xludf.DUMMYFUNCTION("""COMPUTED_VALUE"""),"MFH")</f>
        <v>MFH</v>
      </c>
      <c r="J1436" s="6" t="str">
        <f>IFERROR(__xludf.DUMMYFUNCTION("""COMPUTED_VALUE"""),"-")</f>
        <v>-</v>
      </c>
      <c r="K1436" s="6" t="str">
        <f>IFERROR(__xludf.DUMMYFUNCTION("""COMPUTED_VALUE"""),"SPR/12/24/022")</f>
        <v>SPR/12/24/022</v>
      </c>
      <c r="L1436" s="13">
        <f>IFERROR(__xludf.DUMMYFUNCTION("""COMPUTED_VALUE"""),45629.0)</f>
        <v>45629</v>
      </c>
    </row>
    <row r="1437">
      <c r="A1437" s="6" t="str">
        <f>IFERROR(__xludf.DUMMYFUNCTION("""COMPUTED_VALUE"""),"MFH")</f>
        <v>MFH</v>
      </c>
      <c r="B1437" s="6" t="str">
        <f>IFERROR(__xludf.DUMMYFUNCTION("""COMPUTED_VALUE"""),"ENG")</f>
        <v>ENG</v>
      </c>
      <c r="C1437" s="6" t="str">
        <f>IFERROR(__xludf.DUMMYFUNCTION("""COMPUTED_VALUE"""),"P-19238-00")</f>
        <v>P-19238-00</v>
      </c>
      <c r="D1437" s="6" t="str">
        <f>IFERROR(__xludf.DUMMYFUNCTION("""COMPUTED_VALUE"""),"Fitting Tee Tubing 12mm; EMC; ;")</f>
        <v>Fitting Tee Tubing 12mm; EMC; ;</v>
      </c>
      <c r="E1437" s="6">
        <f>IFERROR(__xludf.DUMMYFUNCTION("""COMPUTED_VALUE"""),3.0)</f>
        <v>3</v>
      </c>
      <c r="F1437" s="6">
        <f>IFERROR(__xludf.DUMMYFUNCTION("""COMPUTED_VALUE"""),3.0)</f>
        <v>3</v>
      </c>
      <c r="G1437" s="6">
        <f>IFERROR(__xludf.DUMMYFUNCTION("""COMPUTED_VALUE"""),0.0)</f>
        <v>0</v>
      </c>
      <c r="H1437" s="6" t="str">
        <f>IFERROR(__xludf.DUMMYFUNCTION("""COMPUTED_VALUE"""),"pcs")</f>
        <v>pcs</v>
      </c>
      <c r="I1437" s="6" t="str">
        <f>IFERROR(__xludf.DUMMYFUNCTION("""COMPUTED_VALUE"""),"MFH")</f>
        <v>MFH</v>
      </c>
      <c r="J1437" s="6" t="str">
        <f>IFERROR(__xludf.DUMMYFUNCTION("""COMPUTED_VALUE"""),"-")</f>
        <v>-</v>
      </c>
      <c r="K1437" s="6" t="str">
        <f>IFERROR(__xludf.DUMMYFUNCTION("""COMPUTED_VALUE"""),"SPR/12/24/022")</f>
        <v>SPR/12/24/022</v>
      </c>
      <c r="L1437" s="13">
        <f>IFERROR(__xludf.DUMMYFUNCTION("""COMPUTED_VALUE"""),45629.0)</f>
        <v>45629</v>
      </c>
    </row>
    <row r="1438">
      <c r="A1438" s="6" t="str">
        <f>IFERROR(__xludf.DUMMYFUNCTION("""COMPUTED_VALUE"""),"MFH")</f>
        <v>MFH</v>
      </c>
      <c r="B1438" s="6" t="str">
        <f>IFERROR(__xludf.DUMMYFUNCTION("""COMPUTED_VALUE"""),"ENG")</f>
        <v>ENG</v>
      </c>
      <c r="C1438" s="6" t="str">
        <f>IFERROR(__xludf.DUMMYFUNCTION("""COMPUTED_VALUE"""),"P-19234-00")</f>
        <v>P-19234-00</v>
      </c>
      <c r="D1438" s="6" t="str">
        <f>IFERROR(__xludf.DUMMYFUNCTION("""COMPUTED_VALUE"""),"Pneumatic Union Speed Control 12 mm; EMC; ;")</f>
        <v>Pneumatic Union Speed Control 12 mm; EMC; ;</v>
      </c>
      <c r="E1438" s="6">
        <f>IFERROR(__xludf.DUMMYFUNCTION("""COMPUTED_VALUE"""),3.0)</f>
        <v>3</v>
      </c>
      <c r="F1438" s="6">
        <f>IFERROR(__xludf.DUMMYFUNCTION("""COMPUTED_VALUE"""),3.0)</f>
        <v>3</v>
      </c>
      <c r="G1438" s="6">
        <f>IFERROR(__xludf.DUMMYFUNCTION("""COMPUTED_VALUE"""),0.0)</f>
        <v>0</v>
      </c>
      <c r="H1438" s="6" t="str">
        <f>IFERROR(__xludf.DUMMYFUNCTION("""COMPUTED_VALUE"""),"pcs")</f>
        <v>pcs</v>
      </c>
      <c r="I1438" s="6" t="str">
        <f>IFERROR(__xludf.DUMMYFUNCTION("""COMPUTED_VALUE"""),"MFH")</f>
        <v>MFH</v>
      </c>
      <c r="J1438" s="6" t="str">
        <f>IFERROR(__xludf.DUMMYFUNCTION("""COMPUTED_VALUE"""),"-")</f>
        <v>-</v>
      </c>
      <c r="K1438" s="6" t="str">
        <f>IFERROR(__xludf.DUMMYFUNCTION("""COMPUTED_VALUE"""),"SPR/12/24/023")</f>
        <v>SPR/12/24/023</v>
      </c>
      <c r="L1438" s="13">
        <f>IFERROR(__xludf.DUMMYFUNCTION("""COMPUTED_VALUE"""),45629.0)</f>
        <v>45629</v>
      </c>
    </row>
    <row r="1439">
      <c r="A1439" s="6" t="str">
        <f>IFERROR(__xludf.DUMMYFUNCTION("""COMPUTED_VALUE"""),"MFH")</f>
        <v>MFH</v>
      </c>
      <c r="B1439" s="6" t="str">
        <f>IFERROR(__xludf.DUMMYFUNCTION("""COMPUTED_VALUE"""),"ENG")</f>
        <v>ENG</v>
      </c>
      <c r="C1439" s="6" t="str">
        <f>IFERROR(__xludf.DUMMYFUNCTION("""COMPUTED_VALUE"""),"Q-54128-00")</f>
        <v>Q-54128-00</v>
      </c>
      <c r="D1439" s="6" t="str">
        <f>IFERROR(__xludf.DUMMYFUNCTION("""COMPUTED_VALUE"""),"Kuas Cat Uk. 2.5 inch;EXITO Noterna;;pack size per pcs")</f>
        <v>Kuas Cat Uk. 2.5 inch;EXITO Noterna;;pack size per pcs</v>
      </c>
      <c r="E1439" s="6">
        <f>IFERROR(__xludf.DUMMYFUNCTION("""COMPUTED_VALUE"""),2.0)</f>
        <v>2</v>
      </c>
      <c r="F1439" s="6">
        <f>IFERROR(__xludf.DUMMYFUNCTION("""COMPUTED_VALUE"""),2.0)</f>
        <v>2</v>
      </c>
      <c r="G1439" s="6">
        <f>IFERROR(__xludf.DUMMYFUNCTION("""COMPUTED_VALUE"""),0.0)</f>
        <v>0</v>
      </c>
      <c r="H1439" s="6" t="str">
        <f>IFERROR(__xludf.DUMMYFUNCTION("""COMPUTED_VALUE"""),"pcs")</f>
        <v>pcs</v>
      </c>
      <c r="I1439" s="6" t="str">
        <f>IFERROR(__xludf.DUMMYFUNCTION("""COMPUTED_VALUE"""),"MFH")</f>
        <v>MFH</v>
      </c>
      <c r="J1439" s="6" t="str">
        <f>IFERROR(__xludf.DUMMYFUNCTION("""COMPUTED_VALUE"""),"-")</f>
        <v>-</v>
      </c>
      <c r="K1439" s="6" t="str">
        <f>IFERROR(__xludf.DUMMYFUNCTION("""COMPUTED_VALUE"""),"SPR/12/24/023")</f>
        <v>SPR/12/24/023</v>
      </c>
      <c r="L1439" s="13">
        <f>IFERROR(__xludf.DUMMYFUNCTION("""COMPUTED_VALUE"""),45629.0)</f>
        <v>45629</v>
      </c>
    </row>
    <row r="1440">
      <c r="A1440" s="6" t="str">
        <f>IFERROR(__xludf.DUMMYFUNCTION("""COMPUTED_VALUE"""),"MFH")</f>
        <v>MFH</v>
      </c>
      <c r="B1440" s="6" t="str">
        <f>IFERROR(__xludf.DUMMYFUNCTION("""COMPUTED_VALUE"""),"ENG")</f>
        <v>ENG</v>
      </c>
      <c r="C1440" s="6" t="str">
        <f>IFERROR(__xludf.DUMMYFUNCTION("""COMPUTED_VALUE"""),"P-53211-00")</f>
        <v>P-53211-00</v>
      </c>
      <c r="D1440" s="6" t="str">
        <f>IFERROR(__xludf.DUMMYFUNCTION("""COMPUTED_VALUE"""),"LOCTITE High Temperature @ 50 ml; ; ;")</f>
        <v>LOCTITE High Temperature @ 50 ml; ; ;</v>
      </c>
      <c r="E1440" s="6">
        <f>IFERROR(__xludf.DUMMYFUNCTION("""COMPUTED_VALUE"""),2.0)</f>
        <v>2</v>
      </c>
      <c r="F1440" s="6">
        <f>IFERROR(__xludf.DUMMYFUNCTION("""COMPUTED_VALUE"""),2.0)</f>
        <v>2</v>
      </c>
      <c r="G1440" s="6">
        <f>IFERROR(__xludf.DUMMYFUNCTION("""COMPUTED_VALUE"""),0.0)</f>
        <v>0</v>
      </c>
      <c r="H1440" s="6" t="str">
        <f>IFERROR(__xludf.DUMMYFUNCTION("""COMPUTED_VALUE"""),"pcs")</f>
        <v>pcs</v>
      </c>
      <c r="I1440" s="6" t="str">
        <f>IFERROR(__xludf.DUMMYFUNCTION("""COMPUTED_VALUE"""),"MFH")</f>
        <v>MFH</v>
      </c>
      <c r="J1440" s="6" t="str">
        <f>IFERROR(__xludf.DUMMYFUNCTION("""COMPUTED_VALUE"""),"-")</f>
        <v>-</v>
      </c>
      <c r="K1440" s="6" t="str">
        <f>IFERROR(__xludf.DUMMYFUNCTION("""COMPUTED_VALUE"""),"SPR/12/24/023")</f>
        <v>SPR/12/24/023</v>
      </c>
      <c r="L1440" s="13">
        <f>IFERROR(__xludf.DUMMYFUNCTION("""COMPUTED_VALUE"""),45629.0)</f>
        <v>45629</v>
      </c>
    </row>
    <row r="1441">
      <c r="A1441" s="6" t="str">
        <f>IFERROR(__xludf.DUMMYFUNCTION("""COMPUTED_VALUE"""),"MFH")</f>
        <v>MFH</v>
      </c>
      <c r="B1441" s="6" t="str">
        <f>IFERROR(__xludf.DUMMYFUNCTION("""COMPUTED_VALUE"""),"ENG")</f>
        <v>ENG</v>
      </c>
      <c r="C1441" s="6" t="str">
        <f>IFERROR(__xludf.DUMMYFUNCTION("""COMPUTED_VALUE"""),"P-19160-00")</f>
        <v>P-19160-00</v>
      </c>
      <c r="D1441" s="6" t="str">
        <f>IFERROR(__xludf.DUMMYFUNCTION("""COMPUTED_VALUE"""),"Cable Duct PVC 65 x 65 x 2900mmLokal")</f>
        <v>Cable Duct PVC 65 x 65 x 2900mmLokal</v>
      </c>
      <c r="E1441" s="6">
        <f>IFERROR(__xludf.DUMMYFUNCTION("""COMPUTED_VALUE"""),2.0)</f>
        <v>2</v>
      </c>
      <c r="F1441" s="6">
        <f>IFERROR(__xludf.DUMMYFUNCTION("""COMPUTED_VALUE"""),2.0)</f>
        <v>2</v>
      </c>
      <c r="G1441" s="6">
        <f>IFERROR(__xludf.DUMMYFUNCTION("""COMPUTED_VALUE"""),0.0)</f>
        <v>0</v>
      </c>
      <c r="H1441" s="6" t="str">
        <f>IFERROR(__xludf.DUMMYFUNCTION("""COMPUTED_VALUE"""),"pcs")</f>
        <v>pcs</v>
      </c>
      <c r="I1441" s="6" t="str">
        <f>IFERROR(__xludf.DUMMYFUNCTION("""COMPUTED_VALUE"""),"MFH")</f>
        <v>MFH</v>
      </c>
      <c r="J1441" s="6" t="str">
        <f>IFERROR(__xludf.DUMMYFUNCTION("""COMPUTED_VALUE"""),"-")</f>
        <v>-</v>
      </c>
      <c r="K1441" s="6" t="str">
        <f>IFERROR(__xludf.DUMMYFUNCTION("""COMPUTED_VALUE"""),"SPR/12/24/024")</f>
        <v>SPR/12/24/024</v>
      </c>
      <c r="L1441" s="13">
        <f>IFERROR(__xludf.DUMMYFUNCTION("""COMPUTED_VALUE"""),45629.0)</f>
        <v>45629</v>
      </c>
    </row>
    <row r="1442">
      <c r="A1442" s="6" t="str">
        <f>IFERROR(__xludf.DUMMYFUNCTION("""COMPUTED_VALUE"""),"MFH")</f>
        <v>MFH</v>
      </c>
      <c r="B1442" s="6" t="str">
        <f>IFERROR(__xludf.DUMMYFUNCTION("""COMPUTED_VALUE"""),"ENG")</f>
        <v>ENG</v>
      </c>
      <c r="C1442" s="6" t="str">
        <f>IFERROR(__xludf.DUMMYFUNCTION("""COMPUTED_VALUE"""),"P-17347-00")</f>
        <v>P-17347-00</v>
      </c>
      <c r="D1442" s="6" t="str">
        <f>IFERROR(__xludf.DUMMYFUNCTION("""COMPUTED_VALUE"""),"General - Pre Filter G4 2m x 20m x 2mm; Hencolin; -; 1 Roll")</f>
        <v>General - Pre Filter G4 2m x 20m x 2mm; Hencolin; -; 1 Roll</v>
      </c>
      <c r="E1442" s="6">
        <f>IFERROR(__xludf.DUMMYFUNCTION("""COMPUTED_VALUE"""),2.0)</f>
        <v>2</v>
      </c>
      <c r="F1442" s="6">
        <f>IFERROR(__xludf.DUMMYFUNCTION("""COMPUTED_VALUE"""),2.0)</f>
        <v>2</v>
      </c>
      <c r="G1442" s="6">
        <f>IFERROR(__xludf.DUMMYFUNCTION("""COMPUTED_VALUE"""),0.0)</f>
        <v>0</v>
      </c>
      <c r="H1442" s="6" t="str">
        <f>IFERROR(__xludf.DUMMYFUNCTION("""COMPUTED_VALUE"""),"pcs")</f>
        <v>pcs</v>
      </c>
      <c r="I1442" s="6" t="str">
        <f>IFERROR(__xludf.DUMMYFUNCTION("""COMPUTED_VALUE"""),"MFH")</f>
        <v>MFH</v>
      </c>
      <c r="J1442" s="6" t="str">
        <f>IFERROR(__xludf.DUMMYFUNCTION("""COMPUTED_VALUE"""),"-")</f>
        <v>-</v>
      </c>
      <c r="K1442" s="6" t="str">
        <f>IFERROR(__xludf.DUMMYFUNCTION("""COMPUTED_VALUE"""),"SPR/12/24/024")</f>
        <v>SPR/12/24/024</v>
      </c>
      <c r="L1442" s="13">
        <f>IFERROR(__xludf.DUMMYFUNCTION("""COMPUTED_VALUE"""),45629.0)</f>
        <v>45629</v>
      </c>
    </row>
    <row r="1443">
      <c r="A1443" s="6" t="str">
        <f>IFERROR(__xludf.DUMMYFUNCTION("""COMPUTED_VALUE"""),"EPO")</f>
        <v>EPO</v>
      </c>
      <c r="B1443" s="6" t="str">
        <f>IFERROR(__xludf.DUMMYFUNCTION("""COMPUTED_VALUE"""),"QAS")</f>
        <v>QAS</v>
      </c>
      <c r="C1443" s="6" t="str">
        <f>IFERROR(__xludf.DUMMYFUNCTION("""COMPUTED_VALUE"""),"P-17830-00")</f>
        <v>P-17830-00</v>
      </c>
      <c r="D1443" s="6" t="str">
        <f>IFERROR(__xludf.DUMMYFUNCTION("""COMPUTED_VALUE"""),"Cleaner Stainless Stell &amp; Polish; 3M; ;")</f>
        <v>Cleaner Stainless Stell &amp; Polish; 3M; ;</v>
      </c>
      <c r="E1443" s="6">
        <f>IFERROR(__xludf.DUMMYFUNCTION("""COMPUTED_VALUE"""),2.0)</f>
        <v>2</v>
      </c>
      <c r="F1443" s="6">
        <f>IFERROR(__xludf.DUMMYFUNCTION("""COMPUTED_VALUE"""),2.0)</f>
        <v>2</v>
      </c>
      <c r="G1443" s="6">
        <f>IFERROR(__xludf.DUMMYFUNCTION("""COMPUTED_VALUE"""),0.0)</f>
        <v>0</v>
      </c>
      <c r="H1443" s="6" t="str">
        <f>IFERROR(__xludf.DUMMYFUNCTION("""COMPUTED_VALUE"""),"pcs")</f>
        <v>pcs</v>
      </c>
      <c r="I1443" s="6" t="str">
        <f>IFERROR(__xludf.DUMMYFUNCTION("""COMPUTED_VALUE"""),"MFH")</f>
        <v>MFH</v>
      </c>
      <c r="J1443" s="6" t="str">
        <f>IFERROR(__xludf.DUMMYFUNCTION("""COMPUTED_VALUE"""),"IPC")</f>
        <v>IPC</v>
      </c>
      <c r="K1443" s="6" t="str">
        <f>IFERROR(__xludf.DUMMYFUNCTION("""COMPUTED_VALUE"""),"SPR/12/24/025")</f>
        <v>SPR/12/24/025</v>
      </c>
      <c r="L1443" s="13">
        <f>IFERROR(__xludf.DUMMYFUNCTION("""COMPUTED_VALUE"""),45629.0)</f>
        <v>45629</v>
      </c>
    </row>
    <row r="1444">
      <c r="A1444" s="6" t="str">
        <f>IFERROR(__xludf.DUMMYFUNCTION("""COMPUTED_VALUE"""),"MOB")</f>
        <v>MOB</v>
      </c>
      <c r="B1444" s="6" t="str">
        <f>IFERROR(__xludf.DUMMYFUNCTION("""COMPUTED_VALUE"""),"ENG")</f>
        <v>ENG</v>
      </c>
      <c r="C1444" s="6" t="str">
        <f>IFERROR(__xludf.DUMMYFUNCTION("""COMPUTED_VALUE"""),"P-14424-00")</f>
        <v>P-14424-00</v>
      </c>
      <c r="D1444" s="6" t="str">
        <f>IFERROR(__xludf.DUMMYFUNCTION("""COMPUTED_VALUE"""),"Garam Kutreat RGN-9800F; ; ; 25Kg/zak")</f>
        <v>Garam Kutreat RGN-9800F; ; ; 25Kg/zak</v>
      </c>
      <c r="E1444" s="6">
        <f>IFERROR(__xludf.DUMMYFUNCTION("""COMPUTED_VALUE"""),25.0)</f>
        <v>25</v>
      </c>
      <c r="F1444" s="6">
        <f>IFERROR(__xludf.DUMMYFUNCTION("""COMPUTED_VALUE"""),25.0)</f>
        <v>25</v>
      </c>
      <c r="G1444" s="6">
        <f>IFERROR(__xludf.DUMMYFUNCTION("""COMPUTED_VALUE"""),0.0)</f>
        <v>0</v>
      </c>
      <c r="H1444" s="6" t="str">
        <f>IFERROR(__xludf.DUMMYFUNCTION("""COMPUTED_VALUE"""),"pcs")</f>
        <v>pcs</v>
      </c>
      <c r="I1444" s="6" t="str">
        <f>IFERROR(__xludf.DUMMYFUNCTION("""COMPUTED_VALUE"""),"MFH")</f>
        <v>MFH</v>
      </c>
      <c r="J1444" s="6" t="str">
        <f>IFERROR(__xludf.DUMMYFUNCTION("""COMPUTED_VALUE"""),"PWG")</f>
        <v>PWG</v>
      </c>
      <c r="K1444" s="6" t="str">
        <f>IFERROR(__xludf.DUMMYFUNCTION("""COMPUTED_VALUE"""),"SPR/12/24/026")</f>
        <v>SPR/12/24/026</v>
      </c>
      <c r="L1444" s="13">
        <f>IFERROR(__xludf.DUMMYFUNCTION("""COMPUTED_VALUE"""),45629.0)</f>
        <v>45629</v>
      </c>
    </row>
    <row r="1445">
      <c r="A1445" s="6" t="str">
        <f>IFERROR(__xludf.DUMMYFUNCTION("""COMPUTED_VALUE"""),"RMA")</f>
        <v>RMA</v>
      </c>
      <c r="B1445" s="6" t="str">
        <f>IFERROR(__xludf.DUMMYFUNCTION("""COMPUTED_VALUE"""),"ENG")</f>
        <v>ENG</v>
      </c>
      <c r="C1445" s="6" t="str">
        <f>IFERROR(__xludf.DUMMYFUNCTION("""COMPUTED_VALUE"""),"O-15931-00")</f>
        <v>O-15931-00</v>
      </c>
      <c r="D1445" s="6" t="str">
        <f>IFERROR(__xludf.DUMMYFUNCTION("""COMPUTED_VALUE"""),"Double Tape 3M 1"" Merah - P/N : -  pc")</f>
        <v>Double Tape 3M 1" Merah - P/N : -  pc</v>
      </c>
      <c r="E1445" s="6">
        <f>IFERROR(__xludf.DUMMYFUNCTION("""COMPUTED_VALUE"""),1.0)</f>
        <v>1</v>
      </c>
      <c r="F1445" s="6">
        <f>IFERROR(__xludf.DUMMYFUNCTION("""COMPUTED_VALUE"""),1.0)</f>
        <v>1</v>
      </c>
      <c r="G1445" s="6">
        <f>IFERROR(__xludf.DUMMYFUNCTION("""COMPUTED_VALUE"""),0.0)</f>
        <v>0</v>
      </c>
      <c r="H1445" s="6" t="str">
        <f>IFERROR(__xludf.DUMMYFUNCTION("""COMPUTED_VALUE"""),"pcs")</f>
        <v>pcs</v>
      </c>
      <c r="I1445" s="6" t="str">
        <f>IFERROR(__xludf.DUMMYFUNCTION("""COMPUTED_VALUE"""),"MFH")</f>
        <v>MFH</v>
      </c>
      <c r="J1445" s="6" t="str">
        <f>IFERROR(__xludf.DUMMYFUNCTION("""COMPUTED_VALUE"""),"Building")</f>
        <v>Building</v>
      </c>
      <c r="K1445" s="6" t="str">
        <f>IFERROR(__xludf.DUMMYFUNCTION("""COMPUTED_VALUE"""),"SPR/12/24/027")</f>
        <v>SPR/12/24/027</v>
      </c>
      <c r="L1445" s="13">
        <f>IFERROR(__xludf.DUMMYFUNCTION("""COMPUTED_VALUE"""),45629.0)</f>
        <v>45629</v>
      </c>
    </row>
    <row r="1446">
      <c r="A1446" s="6" t="str">
        <f>IFERROR(__xludf.DUMMYFUNCTION("""COMPUTED_VALUE"""),"SFH")</f>
        <v>SFH</v>
      </c>
      <c r="B1446" s="6" t="str">
        <f>IFERROR(__xludf.DUMMYFUNCTION("""COMPUTED_VALUE"""),"ENG")</f>
        <v>ENG</v>
      </c>
      <c r="C1446" s="6" t="str">
        <f>IFERROR(__xludf.DUMMYFUNCTION("""COMPUTED_VALUE"""),"P-12433-00")</f>
        <v>P-12433-00</v>
      </c>
      <c r="D1446" s="6" t="str">
        <f>IFERROR(__xludf.DUMMYFUNCTION("""COMPUTED_VALUE"""),"Isolasi AC- Sansui")</f>
        <v>Isolasi AC- Sansui</v>
      </c>
      <c r="E1446" s="6">
        <f>IFERROR(__xludf.DUMMYFUNCTION("""COMPUTED_VALUE"""),2.0)</f>
        <v>2</v>
      </c>
      <c r="F1446" s="6">
        <f>IFERROR(__xludf.DUMMYFUNCTION("""COMPUTED_VALUE"""),2.0)</f>
        <v>2</v>
      </c>
      <c r="G1446" s="6">
        <f>IFERROR(__xludf.DUMMYFUNCTION("""COMPUTED_VALUE"""),0.0)</f>
        <v>0</v>
      </c>
      <c r="H1446" s="6" t="str">
        <f>IFERROR(__xludf.DUMMYFUNCTION("""COMPUTED_VALUE"""),"pcs")</f>
        <v>pcs</v>
      </c>
      <c r="I1446" s="6" t="str">
        <f>IFERROR(__xludf.DUMMYFUNCTION("""COMPUTED_VALUE"""),"MFH")</f>
        <v>MFH</v>
      </c>
      <c r="J1446" s="6" t="str">
        <f>IFERROR(__xludf.DUMMYFUNCTION("""COMPUTED_VALUE"""),"AHU")</f>
        <v>AHU</v>
      </c>
      <c r="K1446" s="6" t="str">
        <f>IFERROR(__xludf.DUMMYFUNCTION("""COMPUTED_VALUE"""),"SPR/12/24/028")</f>
        <v>SPR/12/24/028</v>
      </c>
      <c r="L1446" s="13">
        <f>IFERROR(__xludf.DUMMYFUNCTION("""COMPUTED_VALUE"""),45629.0)</f>
        <v>45629</v>
      </c>
    </row>
    <row r="1447">
      <c r="A1447" s="6" t="str">
        <f>IFERROR(__xludf.DUMMYFUNCTION("""COMPUTED_VALUE"""),"SFH")</f>
        <v>SFH</v>
      </c>
      <c r="B1447" s="6" t="str">
        <f>IFERROR(__xludf.DUMMYFUNCTION("""COMPUTED_VALUE"""),"ENG")</f>
        <v>ENG</v>
      </c>
      <c r="C1447" s="6" t="str">
        <f>IFERROR(__xludf.DUMMYFUNCTION("""COMPUTED_VALUE"""),"P-17645-00")</f>
        <v>P-17645-00</v>
      </c>
      <c r="D1447" s="6" t="str">
        <f>IFERROR(__xludf.DUMMYFUNCTION("""COMPUTED_VALUE"""),"Sodium Hiphoclorite; ; ; ltr")</f>
        <v>Sodium Hiphoclorite; ; ; ltr</v>
      </c>
      <c r="E1447" s="6">
        <f>IFERROR(__xludf.DUMMYFUNCTION("""COMPUTED_VALUE"""),55.0)</f>
        <v>55</v>
      </c>
      <c r="F1447" s="6">
        <f>IFERROR(__xludf.DUMMYFUNCTION("""COMPUTED_VALUE"""),75.0)</f>
        <v>75</v>
      </c>
      <c r="G1447" s="6">
        <f>IFERROR(__xludf.DUMMYFUNCTION("""COMPUTED_VALUE"""),0.0)</f>
        <v>0</v>
      </c>
      <c r="H1447" s="6" t="str">
        <f>IFERROR(__xludf.DUMMYFUNCTION("""COMPUTED_VALUE"""),"pcs")</f>
        <v>pcs</v>
      </c>
      <c r="I1447" s="6" t="str">
        <f>IFERROR(__xludf.DUMMYFUNCTION("""COMPUTED_VALUE"""),"MFH")</f>
        <v>MFH</v>
      </c>
      <c r="J1447" s="6" t="str">
        <f>IFERROR(__xludf.DUMMYFUNCTION("""COMPUTED_VALUE"""),"WWTP")</f>
        <v>WWTP</v>
      </c>
      <c r="K1447" s="6" t="str">
        <f>IFERROR(__xludf.DUMMYFUNCTION("""COMPUTED_VALUE"""),"SPR/12/24/028")</f>
        <v>SPR/12/24/028</v>
      </c>
      <c r="L1447" s="13">
        <f>IFERROR(__xludf.DUMMYFUNCTION("""COMPUTED_VALUE"""),45629.0)</f>
        <v>45629</v>
      </c>
    </row>
    <row r="1448">
      <c r="A1448" s="6" t="str">
        <f>IFERROR(__xludf.DUMMYFUNCTION("""COMPUTED_VALUE"""),"SFH")</f>
        <v>SFH</v>
      </c>
      <c r="B1448" s="6" t="str">
        <f>IFERROR(__xludf.DUMMYFUNCTION("""COMPUTED_VALUE"""),"ENG")</f>
        <v>ENG</v>
      </c>
      <c r="C1448" s="6" t="str">
        <f>IFERROR(__xludf.DUMMYFUNCTION("""COMPUTED_VALUE"""),"Q-60026-00")</f>
        <v>Q-60026-00</v>
      </c>
      <c r="D1448" s="6" t="str">
        <f>IFERROR(__xludf.DUMMYFUNCTION("""COMPUTED_VALUE"""),"Kuas 2"" Eterna")</f>
        <v>Kuas 2" Eterna</v>
      </c>
      <c r="E1448" s="6">
        <f>IFERROR(__xludf.DUMMYFUNCTION("""COMPUTED_VALUE"""),2.0)</f>
        <v>2</v>
      </c>
      <c r="F1448" s="6">
        <f>IFERROR(__xludf.DUMMYFUNCTION("""COMPUTED_VALUE"""),2.0)</f>
        <v>2</v>
      </c>
      <c r="G1448" s="6">
        <f>IFERROR(__xludf.DUMMYFUNCTION("""COMPUTED_VALUE"""),0.0)</f>
        <v>0</v>
      </c>
      <c r="H1448" s="6" t="str">
        <f>IFERROR(__xludf.DUMMYFUNCTION("""COMPUTED_VALUE"""),"pcs")</f>
        <v>pcs</v>
      </c>
      <c r="I1448" s="6" t="str">
        <f>IFERROR(__xludf.DUMMYFUNCTION("""COMPUTED_VALUE"""),"MFH")</f>
        <v>MFH</v>
      </c>
      <c r="J1448" s="6" t="str">
        <f>IFERROR(__xludf.DUMMYFUNCTION("""COMPUTED_VALUE"""),"Building")</f>
        <v>Building</v>
      </c>
      <c r="K1448" s="6" t="str">
        <f>IFERROR(__xludf.DUMMYFUNCTION("""COMPUTED_VALUE"""),"SPR/12/24/028")</f>
        <v>SPR/12/24/028</v>
      </c>
      <c r="L1448" s="13">
        <f>IFERROR(__xludf.DUMMYFUNCTION("""COMPUTED_VALUE"""),45629.0)</f>
        <v>45629</v>
      </c>
    </row>
    <row r="1449">
      <c r="A1449" s="6" t="str">
        <f>IFERROR(__xludf.DUMMYFUNCTION("""COMPUTED_VALUE"""),"SHF")</f>
        <v>SHF</v>
      </c>
      <c r="B1449" s="6" t="str">
        <f>IFERROR(__xludf.DUMMYFUNCTION("""COMPUTED_VALUE"""),"ENG")</f>
        <v>ENG</v>
      </c>
      <c r="C1449" s="6" t="str">
        <f>IFERROR(__xludf.DUMMYFUNCTION("""COMPUTED_VALUE"""),"Q-10128-00")</f>
        <v>Q-10128-00</v>
      </c>
      <c r="D1449" s="6" t="str">
        <f>IFERROR(__xludf.DUMMYFUNCTION("""COMPUTED_VALUE"""),"Thinner;Impala;;pack size per can")</f>
        <v>Thinner;Impala;;pack size per can</v>
      </c>
      <c r="E1449" s="6">
        <f>IFERROR(__xludf.DUMMYFUNCTION("""COMPUTED_VALUE"""),3.0)</f>
        <v>3</v>
      </c>
      <c r="F1449" s="6">
        <f>IFERROR(__xludf.DUMMYFUNCTION("""COMPUTED_VALUE"""),1.0)</f>
        <v>1</v>
      </c>
      <c r="G1449" s="6">
        <f>IFERROR(__xludf.DUMMYFUNCTION("""COMPUTED_VALUE"""),0.0)</f>
        <v>0</v>
      </c>
      <c r="H1449" s="6" t="str">
        <f>IFERROR(__xludf.DUMMYFUNCTION("""COMPUTED_VALUE"""),"pcs")</f>
        <v>pcs</v>
      </c>
      <c r="I1449" s="6" t="str">
        <f>IFERROR(__xludf.DUMMYFUNCTION("""COMPUTED_VALUE"""),"MFH")</f>
        <v>MFH</v>
      </c>
      <c r="J1449" s="6" t="str">
        <f>IFERROR(__xludf.DUMMYFUNCTION("""COMPUTED_VALUE"""),"Building")</f>
        <v>Building</v>
      </c>
      <c r="K1449" s="6" t="str">
        <f>IFERROR(__xludf.DUMMYFUNCTION("""COMPUTED_VALUE"""),"SPR/12/24/029")</f>
        <v>SPR/12/24/029</v>
      </c>
      <c r="L1449" s="13">
        <f>IFERROR(__xludf.DUMMYFUNCTION("""COMPUTED_VALUE"""),45629.0)</f>
        <v>45629</v>
      </c>
    </row>
    <row r="1450">
      <c r="A1450" s="6" t="str">
        <f>IFERROR(__xludf.DUMMYFUNCTION("""COMPUTED_VALUE"""),"MOB")</f>
        <v>MOB</v>
      </c>
      <c r="B1450" s="6" t="str">
        <f>IFERROR(__xludf.DUMMYFUNCTION("""COMPUTED_VALUE"""),"ENG")</f>
        <v>ENG</v>
      </c>
      <c r="C1450" s="6" t="str">
        <f>IFERROR(__xludf.DUMMYFUNCTION("""COMPUTED_VALUE"""),"P-51560-00")</f>
        <v>P-51560-00</v>
      </c>
      <c r="D1450" s="6" t="str">
        <f>IFERROR(__xludf.DUMMYFUNCTION("""COMPUTED_VALUE"""),"Lampu T5 28watt Putih; Phillips; ;")</f>
        <v>Lampu T5 28watt Putih; Phillips; ;</v>
      </c>
      <c r="E1450" s="6">
        <f>IFERROR(__xludf.DUMMYFUNCTION("""COMPUTED_VALUE"""),6.0)</f>
        <v>6</v>
      </c>
      <c r="F1450" s="6">
        <f>IFERROR(__xludf.DUMMYFUNCTION("""COMPUTED_VALUE"""),6.0)</f>
        <v>6</v>
      </c>
      <c r="G1450" s="6">
        <f>IFERROR(__xludf.DUMMYFUNCTION("""COMPUTED_VALUE"""),0.0)</f>
        <v>0</v>
      </c>
      <c r="H1450" s="6" t="str">
        <f>IFERROR(__xludf.DUMMYFUNCTION("""COMPUTED_VALUE"""),"pcs")</f>
        <v>pcs</v>
      </c>
      <c r="I1450" s="6" t="str">
        <f>IFERROR(__xludf.DUMMYFUNCTION("""COMPUTED_VALUE"""),"MFH")</f>
        <v>MFH</v>
      </c>
      <c r="J1450" s="6" t="str">
        <f>IFERROR(__xludf.DUMMYFUNCTION("""COMPUTED_VALUE"""),"Building")</f>
        <v>Building</v>
      </c>
      <c r="K1450" s="6" t="str">
        <f>IFERROR(__xludf.DUMMYFUNCTION("""COMPUTED_VALUE"""),"SPR/12/24/030")</f>
        <v>SPR/12/24/030</v>
      </c>
      <c r="L1450" s="13">
        <f>IFERROR(__xludf.DUMMYFUNCTION("""COMPUTED_VALUE"""),45629.0)</f>
        <v>45629</v>
      </c>
    </row>
    <row r="1451">
      <c r="A1451" s="6" t="str">
        <f>IFERROR(__xludf.DUMMYFUNCTION("""COMPUTED_VALUE"""),"ANO")</f>
        <v>ANO</v>
      </c>
      <c r="B1451" s="6" t="str">
        <f>IFERROR(__xludf.DUMMYFUNCTION("""COMPUTED_VALUE"""),"ENG")</f>
        <v>ENG</v>
      </c>
      <c r="C1451" s="6" t="str">
        <f>IFERROR(__xludf.DUMMYFUNCTION("""COMPUTED_VALUE"""),"S-46129-00")</f>
        <v>S-46129-00</v>
      </c>
      <c r="D1451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451" s="6">
        <f>IFERROR(__xludf.DUMMYFUNCTION("""COMPUTED_VALUE"""),1.0)</f>
        <v>1</v>
      </c>
      <c r="F1451" s="6">
        <f>IFERROR(__xludf.DUMMYFUNCTION("""COMPUTED_VALUE"""),1.0)</f>
        <v>1</v>
      </c>
      <c r="G1451" s="6">
        <f>IFERROR(__xludf.DUMMYFUNCTION("""COMPUTED_VALUE"""),0.0)</f>
        <v>0</v>
      </c>
      <c r="H1451" s="6" t="str">
        <f>IFERROR(__xludf.DUMMYFUNCTION("""COMPUTED_VALUE"""),"pcs")</f>
        <v>pcs</v>
      </c>
      <c r="I1451" s="6" t="str">
        <f>IFERROR(__xludf.DUMMYFUNCTION("""COMPUTED_VALUE"""),"MFH")</f>
        <v>MFH</v>
      </c>
      <c r="J1451" s="6" t="str">
        <f>IFERROR(__xludf.DUMMYFUNCTION("""COMPUTED_VALUE"""),"-")</f>
        <v>-</v>
      </c>
      <c r="K1451" s="6" t="str">
        <f>IFERROR(__xludf.DUMMYFUNCTION("""COMPUTED_VALUE"""),"SPR/12/24/031")</f>
        <v>SPR/12/24/031</v>
      </c>
      <c r="L1451" s="13">
        <f>IFERROR(__xludf.DUMMYFUNCTION("""COMPUTED_VALUE"""),45629.0)</f>
        <v>45629</v>
      </c>
    </row>
    <row r="1452">
      <c r="A1452" s="6" t="str">
        <f>IFERROR(__xludf.DUMMYFUNCTION("""COMPUTED_VALUE"""),"SFH")</f>
        <v>SFH</v>
      </c>
      <c r="B1452" s="6" t="str">
        <f>IFERROR(__xludf.DUMMYFUNCTION("""COMPUTED_VALUE"""),"ENG")</f>
        <v>ENG</v>
      </c>
      <c r="C1452" s="6" t="str">
        <f>IFERROR(__xludf.DUMMYFUNCTION("""COMPUTED_VALUE"""),"P-51560-00")</f>
        <v>P-51560-00</v>
      </c>
      <c r="D1452" s="6" t="str">
        <f>IFERROR(__xludf.DUMMYFUNCTION("""COMPUTED_VALUE"""),"Lampu T5 28watt Putih; Phillips; ;")</f>
        <v>Lampu T5 28watt Putih; Phillips; ;</v>
      </c>
      <c r="E1452" s="6">
        <f>IFERROR(__xludf.DUMMYFUNCTION("""COMPUTED_VALUE"""),5.0)</f>
        <v>5</v>
      </c>
      <c r="F1452" s="6">
        <f>IFERROR(__xludf.DUMMYFUNCTION("""COMPUTED_VALUE"""),15.0)</f>
        <v>15</v>
      </c>
      <c r="G1452" s="6">
        <f>IFERROR(__xludf.DUMMYFUNCTION("""COMPUTED_VALUE"""),0.0)</f>
        <v>0</v>
      </c>
      <c r="H1452" s="6" t="str">
        <f>IFERROR(__xludf.DUMMYFUNCTION("""COMPUTED_VALUE"""),"pcs")</f>
        <v>pcs</v>
      </c>
      <c r="I1452" s="6" t="str">
        <f>IFERROR(__xludf.DUMMYFUNCTION("""COMPUTED_VALUE"""),"MFH")</f>
        <v>MFH</v>
      </c>
      <c r="J1452" s="6" t="str">
        <f>IFERROR(__xludf.DUMMYFUNCTION("""COMPUTED_VALUE"""),"Building")</f>
        <v>Building</v>
      </c>
      <c r="K1452" s="6" t="str">
        <f>IFERROR(__xludf.DUMMYFUNCTION("""COMPUTED_VALUE"""),"SPR/12/24/032")</f>
        <v>SPR/12/24/032</v>
      </c>
      <c r="L1452" s="13">
        <f>IFERROR(__xludf.DUMMYFUNCTION("""COMPUTED_VALUE"""),45629.0)</f>
        <v>45629</v>
      </c>
    </row>
    <row r="1453">
      <c r="A1453" s="6" t="str">
        <f>IFERROR(__xludf.DUMMYFUNCTION("""COMPUTED_VALUE"""),"SFH")</f>
        <v>SFH</v>
      </c>
      <c r="B1453" s="6" t="str">
        <f>IFERROR(__xludf.DUMMYFUNCTION("""COMPUTED_VALUE"""),"ENG")</f>
        <v>ENG</v>
      </c>
      <c r="C1453" s="6" t="str">
        <f>IFERROR(__xludf.DUMMYFUNCTION("""COMPUTED_VALUE"""),"P-53169-00")</f>
        <v>P-53169-00</v>
      </c>
      <c r="D1453" s="6" t="str">
        <f>IFERROR(__xludf.DUMMYFUNCTION("""COMPUTED_VALUE"""),"Ballast Electronic EB-C 228 TL5, 2x28W; Phillips; ;")</f>
        <v>Ballast Electronic EB-C 228 TL5, 2x28W; Phillips; ;</v>
      </c>
      <c r="E1453" s="6">
        <f>IFERROR(__xludf.DUMMYFUNCTION("""COMPUTED_VALUE"""),2.0)</f>
        <v>2</v>
      </c>
      <c r="F1453" s="6">
        <f>IFERROR(__xludf.DUMMYFUNCTION("""COMPUTED_VALUE"""),2.0)</f>
        <v>2</v>
      </c>
      <c r="G1453" s="6">
        <f>IFERROR(__xludf.DUMMYFUNCTION("""COMPUTED_VALUE"""),0.0)</f>
        <v>0</v>
      </c>
      <c r="H1453" s="6" t="str">
        <f>IFERROR(__xludf.DUMMYFUNCTION("""COMPUTED_VALUE"""),"pcs")</f>
        <v>pcs</v>
      </c>
      <c r="I1453" s="6" t="str">
        <f>IFERROR(__xludf.DUMMYFUNCTION("""COMPUTED_VALUE"""),"MFH")</f>
        <v>MFH</v>
      </c>
      <c r="J1453" s="6" t="str">
        <f>IFERROR(__xludf.DUMMYFUNCTION("""COMPUTED_VALUE"""),"Building")</f>
        <v>Building</v>
      </c>
      <c r="K1453" s="6" t="str">
        <f>IFERROR(__xludf.DUMMYFUNCTION("""COMPUTED_VALUE"""),"SPR/12/24/032")</f>
        <v>SPR/12/24/032</v>
      </c>
      <c r="L1453" s="13">
        <f>IFERROR(__xludf.DUMMYFUNCTION("""COMPUTED_VALUE"""),45629.0)</f>
        <v>45629</v>
      </c>
    </row>
    <row r="1454">
      <c r="A1454" s="6" t="str">
        <f>IFERROR(__xludf.DUMMYFUNCTION("""COMPUTED_VALUE"""),"INN")</f>
        <v>INN</v>
      </c>
      <c r="B1454" s="6" t="str">
        <f>IFERROR(__xludf.DUMMYFUNCTION("""COMPUTED_VALUE"""),"ENG")</f>
        <v>ENG</v>
      </c>
      <c r="C1454" s="6" t="str">
        <f>IFERROR(__xludf.DUMMYFUNCTION("""COMPUTED_VALUE"""),"P-50138-00")</f>
        <v>P-50138-00</v>
      </c>
      <c r="D1454" s="6" t="str">
        <f>IFERROR(__xludf.DUMMYFUNCTION("""COMPUTED_VALUE"""),"Battery Lithium / Buffer TL-2150 size 1/2 AA")</f>
        <v>Battery Lithium / Buffer TL-2150 size 1/2 AA</v>
      </c>
      <c r="E1454" s="6">
        <f>IFERROR(__xludf.DUMMYFUNCTION("""COMPUTED_VALUE"""),3.0)</f>
        <v>3</v>
      </c>
      <c r="F1454" s="6">
        <f>IFERROR(__xludf.DUMMYFUNCTION("""COMPUTED_VALUE"""),3.0)</f>
        <v>3</v>
      </c>
      <c r="G1454" s="6">
        <f>IFERROR(__xludf.DUMMYFUNCTION("""COMPUTED_VALUE"""),0.0)</f>
        <v>0</v>
      </c>
      <c r="H1454" s="6" t="str">
        <f>IFERROR(__xludf.DUMMYFUNCTION("""COMPUTED_VALUE"""),"pcs")</f>
        <v>pcs</v>
      </c>
      <c r="I1454" s="6" t="str">
        <f>IFERROR(__xludf.DUMMYFUNCTION("""COMPUTED_VALUE"""),"MFH")</f>
        <v>MFH</v>
      </c>
      <c r="J1454" s="6" t="str">
        <f>IFERROR(__xludf.DUMMYFUNCTION("""COMPUTED_VALUE"""),"MS30")</f>
        <v>MS30</v>
      </c>
      <c r="K1454" s="6" t="str">
        <f>IFERROR(__xludf.DUMMYFUNCTION("""COMPUTED_VALUE"""),"SPR/12/24/033")</f>
        <v>SPR/12/24/033</v>
      </c>
      <c r="L1454" s="13">
        <f>IFERROR(__xludf.DUMMYFUNCTION("""COMPUTED_VALUE"""),45629.0)</f>
        <v>45629</v>
      </c>
    </row>
    <row r="1455">
      <c r="A1455" s="6" t="str">
        <f>IFERROR(__xludf.DUMMYFUNCTION("""COMPUTED_VALUE"""),"INN")</f>
        <v>INN</v>
      </c>
      <c r="B1455" s="6" t="str">
        <f>IFERROR(__xludf.DUMMYFUNCTION("""COMPUTED_VALUE"""),"ENG")</f>
        <v>ENG</v>
      </c>
      <c r="C1455" s="6" t="str">
        <f>IFERROR(__xludf.DUMMYFUNCTION("""COMPUTED_VALUE"""),"P-51928-00")</f>
        <v>P-51928-00</v>
      </c>
      <c r="D1455" s="6" t="str">
        <f>IFERROR(__xludf.DUMMYFUNCTION("""COMPUTED_VALUE"""),"Battery Lithium 3V CR2477N; ; ;")</f>
        <v>Battery Lithium 3V CR2477N; ; ;</v>
      </c>
      <c r="E1455" s="6">
        <f>IFERROR(__xludf.DUMMYFUNCTION("""COMPUTED_VALUE"""),3.0)</f>
        <v>3</v>
      </c>
      <c r="F1455" s="6">
        <f>IFERROR(__xludf.DUMMYFUNCTION("""COMPUTED_VALUE"""),1.0)</f>
        <v>1</v>
      </c>
      <c r="G1455" s="6">
        <f>IFERROR(__xludf.DUMMYFUNCTION("""COMPUTED_VALUE"""),0.0)</f>
        <v>0</v>
      </c>
      <c r="H1455" s="6" t="str">
        <f>IFERROR(__xludf.DUMMYFUNCTION("""COMPUTED_VALUE"""),"pcs")</f>
        <v>pcs</v>
      </c>
      <c r="I1455" s="6" t="str">
        <f>IFERROR(__xludf.DUMMYFUNCTION("""COMPUTED_VALUE"""),"MFH")</f>
        <v>MFH</v>
      </c>
      <c r="J1455" s="6" t="str">
        <f>IFERROR(__xludf.DUMMYFUNCTION("""COMPUTED_VALUE"""),"MS30")</f>
        <v>MS30</v>
      </c>
      <c r="K1455" s="6" t="str">
        <f>IFERROR(__xludf.DUMMYFUNCTION("""COMPUTED_VALUE"""),"SPR/12/24/033")</f>
        <v>SPR/12/24/033</v>
      </c>
      <c r="L1455" s="13">
        <f>IFERROR(__xludf.DUMMYFUNCTION("""COMPUTED_VALUE"""),45629.0)</f>
        <v>45629</v>
      </c>
    </row>
    <row r="1456">
      <c r="A1456" s="6" t="str">
        <f>IFERROR(__xludf.DUMMYFUNCTION("""COMPUTED_VALUE"""),"INN")</f>
        <v>INN</v>
      </c>
      <c r="B1456" s="6" t="str">
        <f>IFERROR(__xludf.DUMMYFUNCTION("""COMPUTED_VALUE"""),"ENG")</f>
        <v>ENG</v>
      </c>
      <c r="C1456" s="6" t="str">
        <f>IFERROR(__xludf.DUMMYFUNCTION("""COMPUTED_VALUE"""),"S-40011-00")</f>
        <v>S-40011-00</v>
      </c>
      <c r="D1456" s="6" t="str">
        <f>IFERROR(__xludf.DUMMYFUNCTION("""COMPUTED_VALUE"""),"Battery Lithium 3,6 V LS 14250, Shaft")</f>
        <v>Battery Lithium 3,6 V LS 14250, Shaft</v>
      </c>
      <c r="E1456" s="6">
        <f>IFERROR(__xludf.DUMMYFUNCTION("""COMPUTED_VALUE"""),1.0)</f>
        <v>1</v>
      </c>
      <c r="F1456" s="6">
        <f>IFERROR(__xludf.DUMMYFUNCTION("""COMPUTED_VALUE"""),1.0)</f>
        <v>1</v>
      </c>
      <c r="G1456" s="6">
        <f>IFERROR(__xludf.DUMMYFUNCTION("""COMPUTED_VALUE"""),0.0)</f>
        <v>0</v>
      </c>
      <c r="H1456" s="6" t="str">
        <f>IFERROR(__xludf.DUMMYFUNCTION("""COMPUTED_VALUE"""),"pcs")</f>
        <v>pcs</v>
      </c>
      <c r="I1456" s="6" t="str">
        <f>IFERROR(__xludf.DUMMYFUNCTION("""COMPUTED_VALUE"""),"MFH")</f>
        <v>MFH</v>
      </c>
      <c r="J1456" s="6" t="str">
        <f>IFERROR(__xludf.DUMMYFUNCTION("""COMPUTED_VALUE"""),"MS30")</f>
        <v>MS30</v>
      </c>
      <c r="K1456" s="6" t="str">
        <f>IFERROR(__xludf.DUMMYFUNCTION("""COMPUTED_VALUE"""),"SPR/12/24/033")</f>
        <v>SPR/12/24/033</v>
      </c>
      <c r="L1456" s="13">
        <f>IFERROR(__xludf.DUMMYFUNCTION("""COMPUTED_VALUE"""),45629.0)</f>
        <v>45629</v>
      </c>
    </row>
    <row r="1457">
      <c r="A1457" s="6" t="str">
        <f>IFERROR(__xludf.DUMMYFUNCTION("""COMPUTED_VALUE"""),"INN")</f>
        <v>INN</v>
      </c>
      <c r="B1457" s="6" t="str">
        <f>IFERROR(__xludf.DUMMYFUNCTION("""COMPUTED_VALUE"""),"ENG")</f>
        <v>ENG</v>
      </c>
      <c r="C1457" s="6" t="str">
        <f>IFERROR(__xludf.DUMMYFUNCTION("""COMPUTED_VALUE"""),"O-19691-00")</f>
        <v>O-19691-00</v>
      </c>
      <c r="D1457" s="6" t="str">
        <f>IFERROR(__xludf.DUMMYFUNCTION("""COMPUTED_VALUE"""),"Capping VCM200 - Dudukan Sensor Counter 105 x 85 x 20 mm; Custom; ;")</f>
        <v>Capping VCM200 - Dudukan Sensor Counter 105 x 85 x 20 mm; Custom; ;</v>
      </c>
      <c r="E1457" s="6">
        <f>IFERROR(__xludf.DUMMYFUNCTION("""COMPUTED_VALUE"""),1.0)</f>
        <v>1</v>
      </c>
      <c r="F1457" s="6">
        <f>IFERROR(__xludf.DUMMYFUNCTION("""COMPUTED_VALUE"""),1.0)</f>
        <v>1</v>
      </c>
      <c r="G1457" s="6">
        <f>IFERROR(__xludf.DUMMYFUNCTION("""COMPUTED_VALUE"""),0.0)</f>
        <v>0</v>
      </c>
      <c r="H1457" s="6" t="str">
        <f>IFERROR(__xludf.DUMMYFUNCTION("""COMPUTED_VALUE"""),"pcs")</f>
        <v>pcs</v>
      </c>
      <c r="I1457" s="6" t="str">
        <f>IFERROR(__xludf.DUMMYFUNCTION("""COMPUTED_VALUE"""),"MFH")</f>
        <v>MFH</v>
      </c>
      <c r="J1457" s="6" t="str">
        <f>IFERROR(__xludf.DUMMYFUNCTION("""COMPUTED_VALUE"""),"Capping")</f>
        <v>Capping</v>
      </c>
      <c r="K1457" s="6" t="str">
        <f>IFERROR(__xludf.DUMMYFUNCTION("""COMPUTED_VALUE"""),"SPR/12/24/034")</f>
        <v>SPR/12/24/034</v>
      </c>
      <c r="L1457" s="13">
        <f>IFERROR(__xludf.DUMMYFUNCTION("""COMPUTED_VALUE"""),45629.0)</f>
        <v>45629</v>
      </c>
    </row>
    <row r="1458">
      <c r="A1458" s="6" t="str">
        <f>IFERROR(__xludf.DUMMYFUNCTION("""COMPUTED_VALUE"""),"INN")</f>
        <v>INN</v>
      </c>
      <c r="B1458" s="6" t="str">
        <f>IFERROR(__xludf.DUMMYFUNCTION("""COMPUTED_VALUE"""),"ENG")</f>
        <v>ENG</v>
      </c>
      <c r="C1458" s="6" t="str">
        <f>IFERROR(__xludf.DUMMYFUNCTION("""COMPUTED_VALUE"""),"O-19373-00")</f>
        <v>O-19373-00</v>
      </c>
      <c r="D1458" s="6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E1458" s="6">
        <f>IFERROR(__xludf.DUMMYFUNCTION("""COMPUTED_VALUE"""),1.0)</f>
        <v>1</v>
      </c>
      <c r="F1458" s="6">
        <f>IFERROR(__xludf.DUMMYFUNCTION("""COMPUTED_VALUE"""),1.0)</f>
        <v>1</v>
      </c>
      <c r="G1458" s="6">
        <f>IFERROR(__xludf.DUMMYFUNCTION("""COMPUTED_VALUE"""),0.0)</f>
        <v>0</v>
      </c>
      <c r="H1458" s="6" t="str">
        <f>IFERROR(__xludf.DUMMYFUNCTION("""COMPUTED_VALUE"""),"pcs")</f>
        <v>pcs</v>
      </c>
      <c r="I1458" s="6" t="str">
        <f>IFERROR(__xludf.DUMMYFUNCTION("""COMPUTED_VALUE"""),"MFH")</f>
        <v>MFH</v>
      </c>
      <c r="J1458" s="6" t="str">
        <f>IFERROR(__xludf.DUMMYFUNCTION("""COMPUTED_VALUE"""),"Washing")</f>
        <v>Washing</v>
      </c>
      <c r="K1458" s="6" t="str">
        <f>IFERROR(__xludf.DUMMYFUNCTION("""COMPUTED_VALUE"""),"SPR/12/24/034")</f>
        <v>SPR/12/24/034</v>
      </c>
      <c r="L1458" s="13">
        <f>IFERROR(__xludf.DUMMYFUNCTION("""COMPUTED_VALUE"""),45629.0)</f>
        <v>45629</v>
      </c>
    </row>
    <row r="1459">
      <c r="A1459" s="6" t="str">
        <f>IFERROR(__xludf.DUMMYFUNCTION("""COMPUTED_VALUE"""),"INN")</f>
        <v>INN</v>
      </c>
      <c r="B1459" s="6" t="str">
        <f>IFERROR(__xludf.DUMMYFUNCTION("""COMPUTED_VALUE"""),"ENG")</f>
        <v>ENG</v>
      </c>
      <c r="C1459" s="6" t="str">
        <f>IFERROR(__xludf.DUMMYFUNCTION("""COMPUTED_VALUE"""),"O-17069-00")</f>
        <v>O-17069-00</v>
      </c>
      <c r="D1459" s="6" t="str">
        <f>IFERROR(__xludf.DUMMYFUNCTION("""COMPUTED_VALUE"""),"Washing RAR4 - Pincers Jaws for Vial 20mL &amp; 25mL HARRISA CIPTARINDO ENGINEERING, CV. P/N : -  pc")</f>
        <v>Washing RAR4 - Pincers Jaws for Vial 20mL &amp; 25mL HARRISA CIPTARINDO ENGINEERING, CV. P/N : -  pc</v>
      </c>
      <c r="E1459" s="6">
        <f>IFERROR(__xludf.DUMMYFUNCTION("""COMPUTED_VALUE"""),2.0)</f>
        <v>2</v>
      </c>
      <c r="F1459" s="6">
        <f>IFERROR(__xludf.DUMMYFUNCTION("""COMPUTED_VALUE"""),2.0)</f>
        <v>2</v>
      </c>
      <c r="G1459" s="6">
        <f>IFERROR(__xludf.DUMMYFUNCTION("""COMPUTED_VALUE"""),0.0)</f>
        <v>0</v>
      </c>
      <c r="H1459" s="6" t="str">
        <f>IFERROR(__xludf.DUMMYFUNCTION("""COMPUTED_VALUE"""),"pcs")</f>
        <v>pcs</v>
      </c>
      <c r="I1459" s="6" t="str">
        <f>IFERROR(__xludf.DUMMYFUNCTION("""COMPUTED_VALUE"""),"MFH")</f>
        <v>MFH</v>
      </c>
      <c r="J1459" s="6" t="str">
        <f>IFERROR(__xludf.DUMMYFUNCTION("""COMPUTED_VALUE"""),"Washing")</f>
        <v>Washing</v>
      </c>
      <c r="K1459" s="6" t="str">
        <f>IFERROR(__xludf.DUMMYFUNCTION("""COMPUTED_VALUE"""),"SPR/12/24/034")</f>
        <v>SPR/12/24/034</v>
      </c>
      <c r="L1459" s="13">
        <f>IFERROR(__xludf.DUMMYFUNCTION("""COMPUTED_VALUE"""),45629.0)</f>
        <v>45629</v>
      </c>
    </row>
    <row r="1460">
      <c r="A1460" s="6" t="str">
        <f>IFERROR(__xludf.DUMMYFUNCTION("""COMPUTED_VALUE"""),"INN")</f>
        <v>INN</v>
      </c>
      <c r="B1460" s="6" t="str">
        <f>IFERROR(__xludf.DUMMYFUNCTION("""COMPUTED_VALUE"""),"ENG")</f>
        <v>ENG</v>
      </c>
      <c r="C1460" s="6" t="str">
        <f>IFERROR(__xludf.DUMMYFUNCTION("""COMPUTED_VALUE"""),"O-54128-00")</f>
        <v>O-54128-00</v>
      </c>
      <c r="D1460" s="6" t="str">
        <f>IFERROR(__xludf.DUMMYFUNCTION("""COMPUTED_VALUE"""),"Thermocouple 4 Channel 4 HTI HT-9815; Lokal; ;")</f>
        <v>Thermocouple 4 Channel 4 HTI HT-9815; Lokal; ;</v>
      </c>
      <c r="E1460" s="6">
        <f>IFERROR(__xludf.DUMMYFUNCTION("""COMPUTED_VALUE"""),1.0)</f>
        <v>1</v>
      </c>
      <c r="F1460" s="6">
        <f>IFERROR(__xludf.DUMMYFUNCTION("""COMPUTED_VALUE"""),1.0)</f>
        <v>1</v>
      </c>
      <c r="G1460" s="6">
        <f>IFERROR(__xludf.DUMMYFUNCTION("""COMPUTED_VALUE"""),0.0)</f>
        <v>0</v>
      </c>
      <c r="H1460" s="6" t="str">
        <f>IFERROR(__xludf.DUMMYFUNCTION("""COMPUTED_VALUE"""),"pcs")</f>
        <v>pcs</v>
      </c>
      <c r="I1460" s="6" t="str">
        <f>IFERROR(__xludf.DUMMYFUNCTION("""COMPUTED_VALUE"""),"MFH")</f>
        <v>MFH</v>
      </c>
      <c r="J1460" s="6" t="str">
        <f>IFERROR(__xludf.DUMMYFUNCTION("""COMPUTED_VALUE"""),"Tools")</f>
        <v>Tools</v>
      </c>
      <c r="K1460" s="6" t="str">
        <f>IFERROR(__xludf.DUMMYFUNCTION("""COMPUTED_VALUE"""),"SPR/12/24/035")</f>
        <v>SPR/12/24/035</v>
      </c>
      <c r="L1460" s="13">
        <f>IFERROR(__xludf.DUMMYFUNCTION("""COMPUTED_VALUE"""),45629.0)</f>
        <v>45629</v>
      </c>
    </row>
    <row r="1461">
      <c r="A1461" s="6" t="str">
        <f>IFERROR(__xludf.DUMMYFUNCTION("""COMPUTED_VALUE"""),"INN")</f>
        <v>INN</v>
      </c>
      <c r="B1461" s="6" t="str">
        <f>IFERROR(__xludf.DUMMYFUNCTION("""COMPUTED_VALUE"""),"ENG")</f>
        <v>ENG</v>
      </c>
      <c r="C1461" s="6" t="str">
        <f>IFERROR(__xludf.DUMMYFUNCTION("""COMPUTED_VALUE"""),"O-53013-00")</f>
        <v>O-53013-00</v>
      </c>
      <c r="D1461" s="6" t="str">
        <f>IFERROR(__xludf.DUMMYFUNCTION("""COMPUTED_VALUE"""),"Heavy Duty Connector 4Pin (Male + Female); Lokal; ;")</f>
        <v>Heavy Duty Connector 4Pin (Male + Female); Lokal; ;</v>
      </c>
      <c r="E1461" s="6">
        <f>IFERROR(__xludf.DUMMYFUNCTION("""COMPUTED_VALUE"""),1.0)</f>
        <v>1</v>
      </c>
      <c r="F1461" s="6">
        <f>IFERROR(__xludf.DUMMYFUNCTION("""COMPUTED_VALUE"""),1.0)</f>
        <v>1</v>
      </c>
      <c r="G1461" s="6">
        <f>IFERROR(__xludf.DUMMYFUNCTION("""COMPUTED_VALUE"""),0.0)</f>
        <v>0</v>
      </c>
      <c r="H1461" s="6" t="str">
        <f>IFERROR(__xludf.DUMMYFUNCTION("""COMPUTED_VALUE"""),"pcs")</f>
        <v>pcs</v>
      </c>
      <c r="I1461" s="6" t="str">
        <f>IFERROR(__xludf.DUMMYFUNCTION("""COMPUTED_VALUE"""),"MFH")</f>
        <v>MFH</v>
      </c>
      <c r="J1461" s="6" t="str">
        <f>IFERROR(__xludf.DUMMYFUNCTION("""COMPUTED_VALUE"""),"Capping")</f>
        <v>Capping</v>
      </c>
      <c r="K1461" s="6" t="str">
        <f>IFERROR(__xludf.DUMMYFUNCTION("""COMPUTED_VALUE"""),"SPR/12/24/035")</f>
        <v>SPR/12/24/035</v>
      </c>
      <c r="L1461" s="13">
        <f>IFERROR(__xludf.DUMMYFUNCTION("""COMPUTED_VALUE"""),45629.0)</f>
        <v>45629</v>
      </c>
    </row>
    <row r="1462">
      <c r="A1462" s="6" t="str">
        <f>IFERROR(__xludf.DUMMYFUNCTION("""COMPUTED_VALUE"""),"INN")</f>
        <v>INN</v>
      </c>
      <c r="B1462" s="6" t="str">
        <f>IFERROR(__xludf.DUMMYFUNCTION("""COMPUTED_VALUE"""),"ENG")</f>
        <v>ENG</v>
      </c>
      <c r="C1462" s="6" t="str">
        <f>IFERROR(__xludf.DUMMYFUNCTION("""COMPUTED_VALUE"""),"O-19911-00")</f>
        <v>O-19911-00</v>
      </c>
      <c r="D1462" s="6" t="str">
        <f>IFERROR(__xludf.DUMMYFUNCTION("""COMPUTED_VALUE"""),"CC600L - Coil Evaporator Uk. 40 cm x 15 x 15, Material Tembaga; Custom; ;")</f>
        <v>CC600L - Coil Evaporator Uk. 40 cm x 15 x 15, Material Tembaga; Custom; ;</v>
      </c>
      <c r="E1462" s="6">
        <f>IFERROR(__xludf.DUMMYFUNCTION("""COMPUTED_VALUE"""),1.0)</f>
        <v>1</v>
      </c>
      <c r="F1462" s="6">
        <f>IFERROR(__xludf.DUMMYFUNCTION("""COMPUTED_VALUE"""),1.0)</f>
        <v>1</v>
      </c>
      <c r="G1462" s="6">
        <f>IFERROR(__xludf.DUMMYFUNCTION("""COMPUTED_VALUE"""),0.0)</f>
        <v>0</v>
      </c>
      <c r="H1462" s="6" t="str">
        <f>IFERROR(__xludf.DUMMYFUNCTION("""COMPUTED_VALUE"""),"pcs")</f>
        <v>pcs</v>
      </c>
      <c r="I1462" s="6" t="str">
        <f>IFERROR(__xludf.DUMMYFUNCTION("""COMPUTED_VALUE"""),"MFH")</f>
        <v>MFH</v>
      </c>
      <c r="J1462" s="6" t="str">
        <f>IFERROR(__xludf.DUMMYFUNCTION("""COMPUTED_VALUE"""),"Capping")</f>
        <v>Capping</v>
      </c>
      <c r="K1462" s="6" t="str">
        <f>IFERROR(__xludf.DUMMYFUNCTION("""COMPUTED_VALUE"""),"SPR/12/24/035")</f>
        <v>SPR/12/24/035</v>
      </c>
      <c r="L1462" s="13">
        <f>IFERROR(__xludf.DUMMYFUNCTION("""COMPUTED_VALUE"""),45629.0)</f>
        <v>45629</v>
      </c>
    </row>
    <row r="1463">
      <c r="A1463" s="6" t="str">
        <f>IFERROR(__xludf.DUMMYFUNCTION("""COMPUTED_VALUE"""),"INN")</f>
        <v>INN</v>
      </c>
      <c r="B1463" s="6" t="str">
        <f>IFERROR(__xludf.DUMMYFUNCTION("""COMPUTED_VALUE"""),"ENG")</f>
        <v>ENG</v>
      </c>
      <c r="C1463" s="6" t="str">
        <f>IFERROR(__xludf.DUMMYFUNCTION("""COMPUTED_VALUE"""),"O-53032-00")</f>
        <v>O-53032-00</v>
      </c>
      <c r="D1463" s="6" t="str">
        <f>IFERROR(__xludf.DUMMYFUNCTION("""COMPUTED_VALUE"""),"Cable Temperature Sensor Silicone 1,5m PT1000 QAP2012.150")</f>
        <v>Cable Temperature Sensor Silicone 1,5m PT1000 QAP2012.150</v>
      </c>
      <c r="E1463" s="6">
        <f>IFERROR(__xludf.DUMMYFUNCTION("""COMPUTED_VALUE"""),1.0)</f>
        <v>1</v>
      </c>
      <c r="F1463" s="6">
        <f>IFERROR(__xludf.DUMMYFUNCTION("""COMPUTED_VALUE"""),1.0)</f>
        <v>1</v>
      </c>
      <c r="G1463" s="6">
        <f>IFERROR(__xludf.DUMMYFUNCTION("""COMPUTED_VALUE"""),0.0)</f>
        <v>0</v>
      </c>
      <c r="H1463" s="6" t="str">
        <f>IFERROR(__xludf.DUMMYFUNCTION("""COMPUTED_VALUE"""),"pcs")</f>
        <v>pcs</v>
      </c>
      <c r="I1463" s="6" t="str">
        <f>IFERROR(__xludf.DUMMYFUNCTION("""COMPUTED_VALUE"""),"MFH")</f>
        <v>MFH</v>
      </c>
      <c r="J1463" s="6" t="str">
        <f>IFERROR(__xludf.DUMMYFUNCTION("""COMPUTED_VALUE"""),"CC")</f>
        <v>CC</v>
      </c>
      <c r="K1463" s="6" t="str">
        <f>IFERROR(__xludf.DUMMYFUNCTION("""COMPUTED_VALUE"""),"SPR/12/24/036")</f>
        <v>SPR/12/24/036</v>
      </c>
      <c r="L1463" s="13">
        <f>IFERROR(__xludf.DUMMYFUNCTION("""COMPUTED_VALUE"""),45629.0)</f>
        <v>45629</v>
      </c>
    </row>
    <row r="1464">
      <c r="A1464" s="6" t="str">
        <f>IFERROR(__xludf.DUMMYFUNCTION("""COMPUTED_VALUE"""),"INN")</f>
        <v>INN</v>
      </c>
      <c r="B1464" s="6" t="str">
        <f>IFERROR(__xludf.DUMMYFUNCTION("""COMPUTED_VALUE"""),"ENG")</f>
        <v>ENG</v>
      </c>
      <c r="C1464" s="6" t="str">
        <f>IFERROR(__xludf.DUMMYFUNCTION("""COMPUTED_VALUE"""),"O-53011-00")</f>
        <v>O-53011-00</v>
      </c>
      <c r="D1464" s="6" t="str">
        <f>IFERROR(__xludf.DUMMYFUNCTION("""COMPUTED_VALUE"""),"Timer Digital LE8B-BF; Autonics; A01761;")</f>
        <v>Timer Digital LE8B-BF; Autonics; A01761;</v>
      </c>
      <c r="E1464" s="6">
        <f>IFERROR(__xludf.DUMMYFUNCTION("""COMPUTED_VALUE"""),2.0)</f>
        <v>2</v>
      </c>
      <c r="F1464" s="6">
        <f>IFERROR(__xludf.DUMMYFUNCTION("""COMPUTED_VALUE"""),2.0)</f>
        <v>2</v>
      </c>
      <c r="G1464" s="6">
        <f>IFERROR(__xludf.DUMMYFUNCTION("""COMPUTED_VALUE"""),0.0)</f>
        <v>0</v>
      </c>
      <c r="H1464" s="6" t="str">
        <f>IFERROR(__xludf.DUMMYFUNCTION("""COMPUTED_VALUE"""),"pcs")</f>
        <v>pcs</v>
      </c>
      <c r="I1464" s="6" t="str">
        <f>IFERROR(__xludf.DUMMYFUNCTION("""COMPUTED_VALUE"""),"MFH")</f>
        <v>MFH</v>
      </c>
      <c r="J1464" s="6" t="str">
        <f>IFERROR(__xludf.DUMMYFUNCTION("""COMPUTED_VALUE"""),"Passbox")</f>
        <v>Passbox</v>
      </c>
      <c r="K1464" s="6" t="str">
        <f>IFERROR(__xludf.DUMMYFUNCTION("""COMPUTED_VALUE"""),"SPR/12/24/036")</f>
        <v>SPR/12/24/036</v>
      </c>
      <c r="L1464" s="13">
        <f>IFERROR(__xludf.DUMMYFUNCTION("""COMPUTED_VALUE"""),45629.0)</f>
        <v>45629</v>
      </c>
    </row>
    <row r="1465">
      <c r="A1465" s="6" t="str">
        <f>IFERROR(__xludf.DUMMYFUNCTION("""COMPUTED_VALUE"""),"INN")</f>
        <v>INN</v>
      </c>
      <c r="B1465" s="6" t="str">
        <f>IFERROR(__xludf.DUMMYFUNCTION("""COMPUTED_VALUE"""),"ENG")</f>
        <v>ENG</v>
      </c>
      <c r="C1465" s="6" t="str">
        <f>IFERROR(__xludf.DUMMYFUNCTION("""COMPUTED_VALUE"""),"P-52964-00")</f>
        <v>P-52964-00</v>
      </c>
      <c r="D1465" s="6" t="str">
        <f>IFERROR(__xludf.DUMMYFUNCTION("""COMPUTED_VALUE"""),"Temperatur Control Continuous Sealer FRB-700; MC; TEQD-2301B;")</f>
        <v>Temperatur Control Continuous Sealer FRB-700; MC; TEQD-2301B;</v>
      </c>
      <c r="E1465" s="6">
        <f>IFERROR(__xludf.DUMMYFUNCTION("""COMPUTED_VALUE"""),1.0)</f>
        <v>1</v>
      </c>
      <c r="F1465" s="6">
        <f>IFERROR(__xludf.DUMMYFUNCTION("""COMPUTED_VALUE"""),1.0)</f>
        <v>1</v>
      </c>
      <c r="G1465" s="6">
        <f>IFERROR(__xludf.DUMMYFUNCTION("""COMPUTED_VALUE"""),0.0)</f>
        <v>0</v>
      </c>
      <c r="H1465" s="6" t="str">
        <f>IFERROR(__xludf.DUMMYFUNCTION("""COMPUTED_VALUE"""),"pcs")</f>
        <v>pcs</v>
      </c>
      <c r="I1465" s="6" t="str">
        <f>IFERROR(__xludf.DUMMYFUNCTION("""COMPUTED_VALUE"""),"MFH")</f>
        <v>MFH</v>
      </c>
      <c r="J1465" s="6" t="str">
        <f>IFERROR(__xludf.DUMMYFUNCTION("""COMPUTED_VALUE"""),"lab")</f>
        <v>lab</v>
      </c>
      <c r="K1465" s="6" t="str">
        <f>IFERROR(__xludf.DUMMYFUNCTION("""COMPUTED_VALUE"""),"SPR/12/24/036")</f>
        <v>SPR/12/24/036</v>
      </c>
      <c r="L1465" s="13">
        <f>IFERROR(__xludf.DUMMYFUNCTION("""COMPUTED_VALUE"""),45629.0)</f>
        <v>45629</v>
      </c>
    </row>
    <row r="1466">
      <c r="A1466" s="6" t="str">
        <f>IFERROR(__xludf.DUMMYFUNCTION("""COMPUTED_VALUE"""),"INN")</f>
        <v>INN</v>
      </c>
      <c r="B1466" s="6" t="str">
        <f>IFERROR(__xludf.DUMMYFUNCTION("""COMPUTED_VALUE"""),"ENG")</f>
        <v>ENG</v>
      </c>
      <c r="C1466" s="6" t="str">
        <f>IFERROR(__xludf.DUMMYFUNCTION("""COMPUTED_VALUE"""),"O-19954-00")</f>
        <v>O-19954-00</v>
      </c>
      <c r="D1466" s="6" t="str">
        <f>IFERROR(__xludf.DUMMYFUNCTION("""COMPUTED_VALUE"""),"Dudukan Sensor Counter 2x100x100 mm, Mat. SUS 304; Custom; ;")</f>
        <v>Dudukan Sensor Counter 2x100x100 mm, Mat. SUS 304; Custom; ;</v>
      </c>
      <c r="E1466" s="6">
        <f>IFERROR(__xludf.DUMMYFUNCTION("""COMPUTED_VALUE"""),1.0)</f>
        <v>1</v>
      </c>
      <c r="F1466" s="6">
        <f>IFERROR(__xludf.DUMMYFUNCTION("""COMPUTED_VALUE"""),1.0)</f>
        <v>1</v>
      </c>
      <c r="G1466" s="6">
        <f>IFERROR(__xludf.DUMMYFUNCTION("""COMPUTED_VALUE"""),0.0)</f>
        <v>0</v>
      </c>
      <c r="H1466" s="6" t="str">
        <f>IFERROR(__xludf.DUMMYFUNCTION("""COMPUTED_VALUE"""),"pcs")</f>
        <v>pcs</v>
      </c>
      <c r="I1466" s="6" t="str">
        <f>IFERROR(__xludf.DUMMYFUNCTION("""COMPUTED_VALUE"""),"MFH")</f>
        <v>MFH</v>
      </c>
      <c r="J1466" s="6" t="str">
        <f>IFERROR(__xludf.DUMMYFUNCTION("""COMPUTED_VALUE"""),"Capping")</f>
        <v>Capping</v>
      </c>
      <c r="K1466" s="6" t="str">
        <f>IFERROR(__xludf.DUMMYFUNCTION("""COMPUTED_VALUE"""),"SPR/12/24/037")</f>
        <v>SPR/12/24/037</v>
      </c>
      <c r="L1466" s="13">
        <f>IFERROR(__xludf.DUMMYFUNCTION("""COMPUTED_VALUE"""),45629.0)</f>
        <v>45629</v>
      </c>
    </row>
    <row r="1467">
      <c r="A1467" s="6" t="str">
        <f>IFERROR(__xludf.DUMMYFUNCTION("""COMPUTED_VALUE"""),"INN")</f>
        <v>INN</v>
      </c>
      <c r="B1467" s="6" t="str">
        <f>IFERROR(__xludf.DUMMYFUNCTION("""COMPUTED_VALUE"""),"ENG")</f>
        <v>ENG</v>
      </c>
      <c r="C1467" s="6" t="str">
        <f>IFERROR(__xludf.DUMMYFUNCTION("""COMPUTED_VALUE"""),"O-19342-00")</f>
        <v>O-19342-00</v>
      </c>
      <c r="D1467" s="6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E1467" s="6">
        <f>IFERROR(__xludf.DUMMYFUNCTION("""COMPUTED_VALUE"""),2.0)</f>
        <v>2</v>
      </c>
      <c r="F1467" s="6">
        <f>IFERROR(__xludf.DUMMYFUNCTION("""COMPUTED_VALUE"""),1.0)</f>
        <v>1</v>
      </c>
      <c r="G1467" s="6">
        <f>IFERROR(__xludf.DUMMYFUNCTION("""COMPUTED_VALUE"""),0.0)</f>
        <v>0</v>
      </c>
      <c r="H1467" s="6" t="str">
        <f>IFERROR(__xludf.DUMMYFUNCTION("""COMPUTED_VALUE"""),"pcs")</f>
        <v>pcs</v>
      </c>
      <c r="I1467" s="6" t="str">
        <f>IFERROR(__xludf.DUMMYFUNCTION("""COMPUTED_VALUE"""),"MFH")</f>
        <v>MFH</v>
      </c>
      <c r="J1467" s="6" t="str">
        <f>IFERROR(__xludf.DUMMYFUNCTION("""COMPUTED_VALUE"""),"Washing")</f>
        <v>Washing</v>
      </c>
      <c r="K1467" s="6" t="str">
        <f>IFERROR(__xludf.DUMMYFUNCTION("""COMPUTED_VALUE"""),"SPR/12/24/037")</f>
        <v>SPR/12/24/037</v>
      </c>
      <c r="L1467" s="13">
        <f>IFERROR(__xludf.DUMMYFUNCTION("""COMPUTED_VALUE"""),45629.0)</f>
        <v>45629</v>
      </c>
    </row>
    <row r="1468">
      <c r="A1468" s="6" t="str">
        <f>IFERROR(__xludf.DUMMYFUNCTION("""COMPUTED_VALUE"""),"RMA")</f>
        <v>RMA</v>
      </c>
      <c r="B1468" s="6" t="str">
        <f>IFERROR(__xludf.DUMMYFUNCTION("""COMPUTED_VALUE"""),"ENG")</f>
        <v>ENG</v>
      </c>
      <c r="C1468" s="6" t="str">
        <f>IFERROR(__xludf.DUMMYFUNCTION("""COMPUTED_VALUE"""),"-")</f>
        <v>-</v>
      </c>
      <c r="D1468" s="6" t="str">
        <f>IFERROR(__xludf.DUMMYFUNCTION("""COMPUTED_VALUE"""),"Amplas 1000")</f>
        <v>Amplas 1000</v>
      </c>
      <c r="E1468" s="6">
        <f>IFERROR(__xludf.DUMMYFUNCTION("""COMPUTED_VALUE"""),1.0)</f>
        <v>1</v>
      </c>
      <c r="F1468" s="6">
        <f>IFERROR(__xludf.DUMMYFUNCTION("""COMPUTED_VALUE"""),1.0)</f>
        <v>1</v>
      </c>
      <c r="G1468" s="6">
        <f>IFERROR(__xludf.DUMMYFUNCTION("""COMPUTED_VALUE"""),0.0)</f>
        <v>0</v>
      </c>
      <c r="H1468" s="6" t="str">
        <f>IFERROR(__xludf.DUMMYFUNCTION("""COMPUTED_VALUE"""),"pcs")</f>
        <v>pcs</v>
      </c>
      <c r="I1468" s="6" t="str">
        <f>IFERROR(__xludf.DUMMYFUNCTION("""COMPUTED_VALUE"""),"MFH")</f>
        <v>MFH</v>
      </c>
      <c r="J1468" s="6" t="str">
        <f>IFERROR(__xludf.DUMMYFUNCTION("""COMPUTED_VALUE"""),"Building")</f>
        <v>Building</v>
      </c>
      <c r="K1468" s="6" t="str">
        <f>IFERROR(__xludf.DUMMYFUNCTION("""COMPUTED_VALUE"""),"SPR/12/24/038")</f>
        <v>SPR/12/24/038</v>
      </c>
      <c r="L1468" s="13">
        <f>IFERROR(__xludf.DUMMYFUNCTION("""COMPUTED_VALUE"""),45635.0)</f>
        <v>45635</v>
      </c>
    </row>
    <row r="1469">
      <c r="A1469" s="6" t="str">
        <f>IFERROR(__xludf.DUMMYFUNCTION("""COMPUTED_VALUE"""),"RIA")</f>
        <v>RIA</v>
      </c>
      <c r="B1469" s="6" t="str">
        <f>IFERROR(__xludf.DUMMYFUNCTION("""COMPUTED_VALUE"""),"ENG")</f>
        <v>ENG</v>
      </c>
      <c r="C1469" s="6" t="str">
        <f>IFERROR(__xludf.DUMMYFUNCTION("""COMPUTED_VALUE"""),"P-14453-00")</f>
        <v>P-14453-00</v>
      </c>
      <c r="D1469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1469" s="6">
        <f>IFERROR(__xludf.DUMMYFUNCTION("""COMPUTED_VALUE"""),10.0)</f>
        <v>10</v>
      </c>
      <c r="F1469" s="6">
        <f>IFERROR(__xludf.DUMMYFUNCTION("""COMPUTED_VALUE"""),2.0)</f>
        <v>2</v>
      </c>
      <c r="G1469" s="6">
        <f>IFERROR(__xludf.DUMMYFUNCTION("""COMPUTED_VALUE"""),0.0)</f>
        <v>0</v>
      </c>
      <c r="H1469" s="6" t="str">
        <f>IFERROR(__xludf.DUMMYFUNCTION("""COMPUTED_VALUE"""),"pcs")</f>
        <v>pcs</v>
      </c>
      <c r="I1469" s="6" t="str">
        <f>IFERROR(__xludf.DUMMYFUNCTION("""COMPUTED_VALUE"""),"MFH")</f>
        <v>MFH</v>
      </c>
      <c r="J1469" s="6" t="str">
        <f>IFERROR(__xludf.DUMMYFUNCTION("""COMPUTED_VALUE"""),"AHU")</f>
        <v>AHU</v>
      </c>
      <c r="K1469" s="6" t="str">
        <f>IFERROR(__xludf.DUMMYFUNCTION("""COMPUTED_VALUE"""),"SPR/12/24/039")</f>
        <v>SPR/12/24/039</v>
      </c>
      <c r="L1469" s="13">
        <f>IFERROR(__xludf.DUMMYFUNCTION("""COMPUTED_VALUE"""),45635.0)</f>
        <v>45635</v>
      </c>
    </row>
    <row r="1470">
      <c r="A1470" s="6" t="str">
        <f>IFERROR(__xludf.DUMMYFUNCTION("""COMPUTED_VALUE"""),"RIA")</f>
        <v>RIA</v>
      </c>
      <c r="B1470" s="6" t="str">
        <f>IFERROR(__xludf.DUMMYFUNCTION("""COMPUTED_VALUE"""),"ENG")</f>
        <v>ENG</v>
      </c>
      <c r="C1470" s="6" t="str">
        <f>IFERROR(__xludf.DUMMYFUNCTION("""COMPUTED_VALUE"""),"P-14454-00")</f>
        <v>P-14454-00</v>
      </c>
      <c r="D1470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1470" s="6">
        <f>IFERROR(__xludf.DUMMYFUNCTION("""COMPUTED_VALUE"""),8.0)</f>
        <v>8</v>
      </c>
      <c r="F1470" s="6">
        <f>IFERROR(__xludf.DUMMYFUNCTION("""COMPUTED_VALUE"""),2.0)</f>
        <v>2</v>
      </c>
      <c r="G1470" s="6">
        <f>IFERROR(__xludf.DUMMYFUNCTION("""COMPUTED_VALUE"""),0.0)</f>
        <v>0</v>
      </c>
      <c r="H1470" s="6" t="str">
        <f>IFERROR(__xludf.DUMMYFUNCTION("""COMPUTED_VALUE"""),"pcs")</f>
        <v>pcs</v>
      </c>
      <c r="I1470" s="6" t="str">
        <f>IFERROR(__xludf.DUMMYFUNCTION("""COMPUTED_VALUE"""),"MFH")</f>
        <v>MFH</v>
      </c>
      <c r="J1470" s="6" t="str">
        <f>IFERROR(__xludf.DUMMYFUNCTION("""COMPUTED_VALUE"""),"AHU")</f>
        <v>AHU</v>
      </c>
      <c r="K1470" s="6" t="str">
        <f>IFERROR(__xludf.DUMMYFUNCTION("""COMPUTED_VALUE"""),"SPR/12/24/039")</f>
        <v>SPR/12/24/039</v>
      </c>
      <c r="L1470" s="13">
        <f>IFERROR(__xludf.DUMMYFUNCTION("""COMPUTED_VALUE"""),45635.0)</f>
        <v>45635</v>
      </c>
    </row>
    <row r="1471">
      <c r="A1471" s="6" t="str">
        <f>IFERROR(__xludf.DUMMYFUNCTION("""COMPUTED_VALUE"""),"RIA")</f>
        <v>RIA</v>
      </c>
      <c r="B1471" s="6" t="str">
        <f>IFERROR(__xludf.DUMMYFUNCTION("""COMPUTED_VALUE"""),"ENG")</f>
        <v>ENG</v>
      </c>
      <c r="C1471" s="6" t="str">
        <f>IFERROR(__xludf.DUMMYFUNCTION("""COMPUTED_VALUE"""),"Q-60025-00")</f>
        <v>Q-60025-00</v>
      </c>
      <c r="D1471" s="6" t="str">
        <f>IFERROR(__xludf.DUMMYFUNCTION("""COMPUTED_VALUE"""),"Kuas Eterna 1")</f>
        <v>Kuas Eterna 1</v>
      </c>
      <c r="E1471" s="6">
        <f>IFERROR(__xludf.DUMMYFUNCTION("""COMPUTED_VALUE"""),3.0)</f>
        <v>3</v>
      </c>
      <c r="F1471" s="6">
        <f>IFERROR(__xludf.DUMMYFUNCTION("""COMPUTED_VALUE"""),3.0)</f>
        <v>3</v>
      </c>
      <c r="G1471" s="6">
        <f>IFERROR(__xludf.DUMMYFUNCTION("""COMPUTED_VALUE"""),0.0)</f>
        <v>0</v>
      </c>
      <c r="H1471" s="6" t="str">
        <f>IFERROR(__xludf.DUMMYFUNCTION("""COMPUTED_VALUE"""),"pcs")</f>
        <v>pcs</v>
      </c>
      <c r="I1471" s="6" t="str">
        <f>IFERROR(__xludf.DUMMYFUNCTION("""COMPUTED_VALUE"""),"MFH")</f>
        <v>MFH</v>
      </c>
      <c r="J1471" s="6" t="str">
        <f>IFERROR(__xludf.DUMMYFUNCTION("""COMPUTED_VALUE"""),"Building")</f>
        <v>Building</v>
      </c>
      <c r="K1471" s="6" t="str">
        <f>IFERROR(__xludf.DUMMYFUNCTION("""COMPUTED_VALUE"""),"SPR/12/24/039")</f>
        <v>SPR/12/24/039</v>
      </c>
      <c r="L1471" s="13">
        <f>IFERROR(__xludf.DUMMYFUNCTION("""COMPUTED_VALUE"""),45635.0)</f>
        <v>45635</v>
      </c>
    </row>
    <row r="1472">
      <c r="A1472" s="6" t="str">
        <f>IFERROR(__xludf.DUMMYFUNCTION("""COMPUTED_VALUE"""),"RIA")</f>
        <v>RIA</v>
      </c>
      <c r="B1472" s="6" t="str">
        <f>IFERROR(__xludf.DUMMYFUNCTION("""COMPUTED_VALUE"""),"ENG")</f>
        <v>ENG</v>
      </c>
      <c r="C1472" s="6" t="str">
        <f>IFERROR(__xludf.DUMMYFUNCTION("""COMPUTED_VALUE"""),"Q-60026-00")</f>
        <v>Q-60026-00</v>
      </c>
      <c r="D1472" s="6" t="str">
        <f>IFERROR(__xludf.DUMMYFUNCTION("""COMPUTED_VALUE"""),"Kuas 2"" Eterna")</f>
        <v>Kuas 2" Eterna</v>
      </c>
      <c r="E1472" s="6">
        <f>IFERROR(__xludf.DUMMYFUNCTION("""COMPUTED_VALUE"""),1.0)</f>
        <v>1</v>
      </c>
      <c r="F1472" s="6">
        <f>IFERROR(__xludf.DUMMYFUNCTION("""COMPUTED_VALUE"""),1.0)</f>
        <v>1</v>
      </c>
      <c r="G1472" s="6">
        <f>IFERROR(__xludf.DUMMYFUNCTION("""COMPUTED_VALUE"""),0.0)</f>
        <v>0</v>
      </c>
      <c r="H1472" s="6" t="str">
        <f>IFERROR(__xludf.DUMMYFUNCTION("""COMPUTED_VALUE"""),"pcs")</f>
        <v>pcs</v>
      </c>
      <c r="I1472" s="6" t="str">
        <f>IFERROR(__xludf.DUMMYFUNCTION("""COMPUTED_VALUE"""),"MFH")</f>
        <v>MFH</v>
      </c>
      <c r="J1472" s="6" t="str">
        <f>IFERROR(__xludf.DUMMYFUNCTION("""COMPUTED_VALUE"""),"Building")</f>
        <v>Building</v>
      </c>
      <c r="K1472" s="6" t="str">
        <f>IFERROR(__xludf.DUMMYFUNCTION("""COMPUTED_VALUE"""),"SPR/12/24/040")</f>
        <v>SPR/12/24/040</v>
      </c>
      <c r="L1472" s="13">
        <f>IFERROR(__xludf.DUMMYFUNCTION("""COMPUTED_VALUE"""),45635.0)</f>
        <v>45635</v>
      </c>
    </row>
    <row r="1473">
      <c r="A1473" s="6" t="str">
        <f>IFERROR(__xludf.DUMMYFUNCTION("""COMPUTED_VALUE"""),"RIA")</f>
        <v>RIA</v>
      </c>
      <c r="B1473" s="6" t="str">
        <f>IFERROR(__xludf.DUMMYFUNCTION("""COMPUTED_VALUE"""),"ENG")</f>
        <v>ENG</v>
      </c>
      <c r="C1473" s="6" t="str">
        <f>IFERROR(__xludf.DUMMYFUNCTION("""COMPUTED_VALUE"""),"P-51299-00")</f>
        <v>P-51299-00</v>
      </c>
      <c r="D1473" s="6" t="str">
        <f>IFERROR(__xludf.DUMMYFUNCTION("""COMPUTED_VALUE"""),"Terminal plastik dia 6 mm")</f>
        <v>Terminal plastik dia 6 mm</v>
      </c>
      <c r="E1473" s="6">
        <f>IFERROR(__xludf.DUMMYFUNCTION("""COMPUTED_VALUE"""),16.0)</f>
        <v>16</v>
      </c>
      <c r="F1473" s="6">
        <f>IFERROR(__xludf.DUMMYFUNCTION("""COMPUTED_VALUE"""),2.0)</f>
        <v>2</v>
      </c>
      <c r="G1473" s="6">
        <f>IFERROR(__xludf.DUMMYFUNCTION("""COMPUTED_VALUE"""),0.0)</f>
        <v>0</v>
      </c>
      <c r="H1473" s="6" t="str">
        <f>IFERROR(__xludf.DUMMYFUNCTION("""COMPUTED_VALUE"""),"pcs")</f>
        <v>pcs</v>
      </c>
      <c r="I1473" s="6" t="str">
        <f>IFERROR(__xludf.DUMMYFUNCTION("""COMPUTED_VALUE"""),"MFH")</f>
        <v>MFH</v>
      </c>
      <c r="J1473" s="6" t="str">
        <f>IFERROR(__xludf.DUMMYFUNCTION("""COMPUTED_VALUE"""),"-")</f>
        <v>-</v>
      </c>
      <c r="K1473" s="6" t="str">
        <f>IFERROR(__xludf.DUMMYFUNCTION("""COMPUTED_VALUE"""),"SPR/12/24/040")</f>
        <v>SPR/12/24/040</v>
      </c>
      <c r="L1473" s="13">
        <f>IFERROR(__xludf.DUMMYFUNCTION("""COMPUTED_VALUE"""),45635.0)</f>
        <v>45635</v>
      </c>
    </row>
    <row r="1474">
      <c r="A1474" s="6" t="str">
        <f>IFERROR(__xludf.DUMMYFUNCTION("""COMPUTED_VALUE"""),"RIA")</f>
        <v>RIA</v>
      </c>
      <c r="B1474" s="6" t="str">
        <f>IFERROR(__xludf.DUMMYFUNCTION("""COMPUTED_VALUE"""),"ENG")</f>
        <v>ENG</v>
      </c>
      <c r="C1474" s="6" t="str">
        <f>IFERROR(__xludf.DUMMYFUNCTION("""COMPUTED_VALUE"""),"-")</f>
        <v>-</v>
      </c>
      <c r="D1474" s="6" t="str">
        <f>IFERROR(__xludf.DUMMYFUNCTION("""COMPUTED_VALUE"""),"Lampu LED Kuning Panjang")</f>
        <v>Lampu LED Kuning Panjang</v>
      </c>
      <c r="E1474" s="6">
        <f>IFERROR(__xludf.DUMMYFUNCTION("""COMPUTED_VALUE"""),1.0)</f>
        <v>1</v>
      </c>
      <c r="F1474" s="6">
        <f>IFERROR(__xludf.DUMMYFUNCTION("""COMPUTED_VALUE"""),1.0)</f>
        <v>1</v>
      </c>
      <c r="G1474" s="6">
        <f>IFERROR(__xludf.DUMMYFUNCTION("""COMPUTED_VALUE"""),0.0)</f>
        <v>0</v>
      </c>
      <c r="H1474" s="6" t="str">
        <f>IFERROR(__xludf.DUMMYFUNCTION("""COMPUTED_VALUE"""),"pcs")</f>
        <v>pcs</v>
      </c>
      <c r="I1474" s="6" t="str">
        <f>IFERROR(__xludf.DUMMYFUNCTION("""COMPUTED_VALUE"""),"MFH")</f>
        <v>MFH</v>
      </c>
      <c r="J1474" s="6" t="str">
        <f>IFERROR(__xludf.DUMMYFUNCTION("""COMPUTED_VALUE"""),"Building")</f>
        <v>Building</v>
      </c>
      <c r="K1474" s="6" t="str">
        <f>IFERROR(__xludf.DUMMYFUNCTION("""COMPUTED_VALUE"""),"SPR/12/24/040")</f>
        <v>SPR/12/24/040</v>
      </c>
      <c r="L1474" s="13">
        <f>IFERROR(__xludf.DUMMYFUNCTION("""COMPUTED_VALUE"""),45635.0)</f>
        <v>45635</v>
      </c>
    </row>
    <row r="1475">
      <c r="A1475" s="6" t="str">
        <f>IFERROR(__xludf.DUMMYFUNCTION("""COMPUTED_VALUE"""),"NDS")</f>
        <v>NDS</v>
      </c>
      <c r="B1475" s="6" t="str">
        <f>IFERROR(__xludf.DUMMYFUNCTION("""COMPUTED_VALUE"""),"ENG")</f>
        <v>ENG</v>
      </c>
      <c r="C1475" s="6" t="str">
        <f>IFERROR(__xludf.DUMMYFUNCTION("""COMPUTED_VALUE"""),"Q-10377-00")</f>
        <v>Q-10377-00</v>
      </c>
      <c r="D1475" s="6" t="str">
        <f>IFERROR(__xludf.DUMMYFUNCTION("""COMPUTED_VALUE"""),"Door Seal Brush PVC Hitam Ukuran 100 x 2,5 cm; No Brand; ; pack size per pcs")</f>
        <v>Door Seal Brush PVC Hitam Ukuran 100 x 2,5 cm; No Brand; ; pack size per pcs</v>
      </c>
      <c r="E1475" s="6">
        <f>IFERROR(__xludf.DUMMYFUNCTION("""COMPUTED_VALUE"""),4.0)</f>
        <v>4</v>
      </c>
      <c r="F1475" s="6">
        <f>IFERROR(__xludf.DUMMYFUNCTION("""COMPUTED_VALUE"""),3.0)</f>
        <v>3</v>
      </c>
      <c r="G1475" s="6">
        <f>IFERROR(__xludf.DUMMYFUNCTION("""COMPUTED_VALUE"""),0.0)</f>
        <v>0</v>
      </c>
      <c r="H1475" s="6" t="str">
        <f>IFERROR(__xludf.DUMMYFUNCTION("""COMPUTED_VALUE"""),"pcs")</f>
        <v>pcs</v>
      </c>
      <c r="I1475" s="6" t="str">
        <f>IFERROR(__xludf.DUMMYFUNCTION("""COMPUTED_VALUE"""),"MFH")</f>
        <v>MFH</v>
      </c>
      <c r="J1475" s="6" t="str">
        <f>IFERROR(__xludf.DUMMYFUNCTION("""COMPUTED_VALUE"""),"MS30")</f>
        <v>MS30</v>
      </c>
      <c r="K1475" s="6" t="str">
        <f>IFERROR(__xludf.DUMMYFUNCTION("""COMPUTED_VALUE"""),"SPR/12/24/041")</f>
        <v>SPR/12/24/041</v>
      </c>
      <c r="L1475" s="13">
        <f>IFERROR(__xludf.DUMMYFUNCTION("""COMPUTED_VALUE"""),45635.0)</f>
        <v>45635</v>
      </c>
    </row>
    <row r="1476">
      <c r="A1476" s="6" t="str">
        <f>IFERROR(__xludf.DUMMYFUNCTION("""COMPUTED_VALUE"""),"NDS")</f>
        <v>NDS</v>
      </c>
      <c r="B1476" s="6" t="str">
        <f>IFERROR(__xludf.DUMMYFUNCTION("""COMPUTED_VALUE"""),"ENG")</f>
        <v>ENG</v>
      </c>
      <c r="C1476" s="6" t="str">
        <f>IFERROR(__xludf.DUMMYFUNCTION("""COMPUTED_VALUE"""),"P-50288-00")</f>
        <v>P-50288-00</v>
      </c>
      <c r="D1476" s="6" t="str">
        <f>IFERROR(__xludf.DUMMYFUNCTION("""COMPUTED_VALUE"""),"Bola Lampu - Halogen 20 W Osram")</f>
        <v>Bola Lampu - Halogen 20 W Osram</v>
      </c>
      <c r="E1476" s="6">
        <f>IFERROR(__xludf.DUMMYFUNCTION("""COMPUTED_VALUE"""),2.0)</f>
        <v>2</v>
      </c>
      <c r="F1476" s="6">
        <f>IFERROR(__xludf.DUMMYFUNCTION("""COMPUTED_VALUE"""),1.0)</f>
        <v>1</v>
      </c>
      <c r="G1476" s="6">
        <f>IFERROR(__xludf.DUMMYFUNCTION("""COMPUTED_VALUE"""),0.0)</f>
        <v>0</v>
      </c>
      <c r="H1476" s="6" t="str">
        <f>IFERROR(__xludf.DUMMYFUNCTION("""COMPUTED_VALUE"""),"pcs")</f>
        <v>pcs</v>
      </c>
      <c r="I1476" s="6" t="str">
        <f>IFERROR(__xludf.DUMMYFUNCTION("""COMPUTED_VALUE"""),"MFH")</f>
        <v>MFH</v>
      </c>
      <c r="J1476" s="6" t="str">
        <f>IFERROR(__xludf.DUMMYFUNCTION("""COMPUTED_VALUE"""),"Mixing")</f>
        <v>Mixing</v>
      </c>
      <c r="K1476" s="6" t="str">
        <f>IFERROR(__xludf.DUMMYFUNCTION("""COMPUTED_VALUE"""),"SPR/12/24/041")</f>
        <v>SPR/12/24/041</v>
      </c>
      <c r="L1476" s="13">
        <f>IFERROR(__xludf.DUMMYFUNCTION("""COMPUTED_VALUE"""),45635.0)</f>
        <v>45635</v>
      </c>
    </row>
    <row r="1477">
      <c r="A1477" s="6" t="str">
        <f>IFERROR(__xludf.DUMMYFUNCTION("""COMPUTED_VALUE"""),"NDS")</f>
        <v>NDS</v>
      </c>
      <c r="B1477" s="6" t="str">
        <f>IFERROR(__xludf.DUMMYFUNCTION("""COMPUTED_VALUE"""),"ENG")</f>
        <v>ENG</v>
      </c>
      <c r="C1477" s="6" t="str">
        <f>IFERROR(__xludf.DUMMYFUNCTION("""COMPUTED_VALUE"""),"O-15485-00")</f>
        <v>O-15485-00</v>
      </c>
      <c r="D1477" s="6" t="str">
        <f>IFERROR(__xludf.DUMMYFUNCTION("""COMPUTED_VALUE"""),"HEPA (H 14) Filters (155D mm x 150H mm); ; ;")</f>
        <v>HEPA (H 14) Filters (155D mm x 150H mm); ; ;</v>
      </c>
      <c r="E1477" s="6">
        <f>IFERROR(__xludf.DUMMYFUNCTION("""COMPUTED_VALUE"""),2.0)</f>
        <v>2</v>
      </c>
      <c r="F1477" s="6">
        <f>IFERROR(__xludf.DUMMYFUNCTION("""COMPUTED_VALUE"""),2.0)</f>
        <v>2</v>
      </c>
      <c r="G1477" s="6">
        <f>IFERROR(__xludf.DUMMYFUNCTION("""COMPUTED_VALUE"""),0.0)</f>
        <v>0</v>
      </c>
      <c r="H1477" s="6" t="str">
        <f>IFERROR(__xludf.DUMMYFUNCTION("""COMPUTED_VALUE"""),"pcs")</f>
        <v>pcs</v>
      </c>
      <c r="I1477" s="6" t="str">
        <f>IFERROR(__xludf.DUMMYFUNCTION("""COMPUTED_VALUE"""),"MFH")</f>
        <v>MFH</v>
      </c>
      <c r="J1477" s="6" t="str">
        <f>IFERROR(__xludf.DUMMYFUNCTION("""COMPUTED_VALUE"""),"S&amp;D")</f>
        <v>S&amp;D</v>
      </c>
      <c r="K1477" s="6" t="str">
        <f>IFERROR(__xludf.DUMMYFUNCTION("""COMPUTED_VALUE"""),"SPR/12/24/041")</f>
        <v>SPR/12/24/041</v>
      </c>
      <c r="L1477" s="13">
        <f>IFERROR(__xludf.DUMMYFUNCTION("""COMPUTED_VALUE"""),45635.0)</f>
        <v>45635</v>
      </c>
    </row>
    <row r="1478">
      <c r="A1478" s="6" t="str">
        <f>IFERROR(__xludf.DUMMYFUNCTION("""COMPUTED_VALUE"""),"INN")</f>
        <v>INN</v>
      </c>
      <c r="B1478" s="6" t="str">
        <f>IFERROR(__xludf.DUMMYFUNCTION("""COMPUTED_VALUE"""),"ENG")</f>
        <v>ENG</v>
      </c>
      <c r="C1478" s="6" t="str">
        <f>IFERROR(__xludf.DUMMYFUNCTION("""COMPUTED_VALUE"""),"-")</f>
        <v>-</v>
      </c>
      <c r="D1478" s="6" t="str">
        <f>IFERROR(__xludf.DUMMYFUNCTION("""COMPUTED_VALUE"""),"Gripper A920000005")</f>
        <v>Gripper A920000005</v>
      </c>
      <c r="E1478" s="6">
        <f>IFERROR(__xludf.DUMMYFUNCTION("""COMPUTED_VALUE"""),1.0)</f>
        <v>1</v>
      </c>
      <c r="F1478" s="6">
        <f>IFERROR(__xludf.DUMMYFUNCTION("""COMPUTED_VALUE"""),1.0)</f>
        <v>1</v>
      </c>
      <c r="G1478" s="6">
        <f>IFERROR(__xludf.DUMMYFUNCTION("""COMPUTED_VALUE"""),0.0)</f>
        <v>0</v>
      </c>
      <c r="H1478" s="6" t="str">
        <f>IFERROR(__xludf.DUMMYFUNCTION("""COMPUTED_VALUE"""),"pcs")</f>
        <v>pcs</v>
      </c>
      <c r="I1478" s="6" t="str">
        <f>IFERROR(__xludf.DUMMYFUNCTION("""COMPUTED_VALUE"""),"MFH")</f>
        <v>MFH</v>
      </c>
      <c r="J1478" s="6" t="str">
        <f>IFERROR(__xludf.DUMMYFUNCTION("""COMPUTED_VALUE"""),"Cartoning")</f>
        <v>Cartoning</v>
      </c>
      <c r="K1478" s="6" t="str">
        <f>IFERROR(__xludf.DUMMYFUNCTION("""COMPUTED_VALUE"""),"SPR/12/24/042")</f>
        <v>SPR/12/24/042</v>
      </c>
      <c r="L1478" s="13">
        <f>IFERROR(__xludf.DUMMYFUNCTION("""COMPUTED_VALUE"""),45635.0)</f>
        <v>45635</v>
      </c>
    </row>
    <row r="1479">
      <c r="A1479" s="6" t="str">
        <f>IFERROR(__xludf.DUMMYFUNCTION("""COMPUTED_VALUE"""),"INN")</f>
        <v>INN</v>
      </c>
      <c r="B1479" s="6" t="str">
        <f>IFERROR(__xludf.DUMMYFUNCTION("""COMPUTED_VALUE"""),"ENG")</f>
        <v>ENG</v>
      </c>
      <c r="C1479" s="6" t="str">
        <f>IFERROR(__xludf.DUMMYFUNCTION("""COMPUTED_VALUE"""),"O-16573-00")</f>
        <v>O-16573-00</v>
      </c>
      <c r="D1479" s="6" t="str">
        <f>IFERROR(__xludf.DUMMYFUNCTION("""COMPUTED_VALUE"""),"Marchesini MA155 - Conveyor Belt TS10 290 x 40 Habasit p/n:C720002940")</f>
        <v>Marchesini MA155 - Conveyor Belt TS10 290 x 40 Habasit p/n:C720002940</v>
      </c>
      <c r="E1479" s="6">
        <f>IFERROR(__xludf.DUMMYFUNCTION("""COMPUTED_VALUE"""),1.0)</f>
        <v>1</v>
      </c>
      <c r="F1479" s="6">
        <f>IFERROR(__xludf.DUMMYFUNCTION("""COMPUTED_VALUE"""),1.0)</f>
        <v>1</v>
      </c>
      <c r="G1479" s="6">
        <f>IFERROR(__xludf.DUMMYFUNCTION("""COMPUTED_VALUE"""),0.0)</f>
        <v>0</v>
      </c>
      <c r="H1479" s="6" t="str">
        <f>IFERROR(__xludf.DUMMYFUNCTION("""COMPUTED_VALUE"""),"pcs")</f>
        <v>pcs</v>
      </c>
      <c r="I1479" s="6" t="str">
        <f>IFERROR(__xludf.DUMMYFUNCTION("""COMPUTED_VALUE"""),"MFH")</f>
        <v>MFH</v>
      </c>
      <c r="J1479" s="6" t="str">
        <f>IFERROR(__xludf.DUMMYFUNCTION("""COMPUTED_VALUE"""),"Cartoning")</f>
        <v>Cartoning</v>
      </c>
      <c r="K1479" s="6" t="str">
        <f>IFERROR(__xludf.DUMMYFUNCTION("""COMPUTED_VALUE"""),"SPR/12/24/042")</f>
        <v>SPR/12/24/042</v>
      </c>
      <c r="L1479" s="13">
        <f>IFERROR(__xludf.DUMMYFUNCTION("""COMPUTED_VALUE"""),45635.0)</f>
        <v>45635</v>
      </c>
    </row>
    <row r="1480">
      <c r="A1480" s="6" t="str">
        <f>IFERROR(__xludf.DUMMYFUNCTION("""COMPUTED_VALUE"""),"INN")</f>
        <v>INN</v>
      </c>
      <c r="B1480" s="6" t="str">
        <f>IFERROR(__xludf.DUMMYFUNCTION("""COMPUTED_VALUE"""),"ENG")</f>
        <v>ENG</v>
      </c>
      <c r="C1480" s="6" t="str">
        <f>IFERROR(__xludf.DUMMYFUNCTION("""COMPUTED_VALUE"""),"O-16570-00")</f>
        <v>O-16570-00</v>
      </c>
      <c r="D1480" s="6" t="str">
        <f>IFERROR(__xludf.DUMMYFUNCTION("""COMPUTED_VALUE"""),"Marchesini MA155 - Conveyor Belt TS10 720 x 40 Habasit p/n:C720007240")</f>
        <v>Marchesini MA155 - Conveyor Belt TS10 720 x 40 Habasit p/n:C720007240</v>
      </c>
      <c r="E1480" s="6">
        <f>IFERROR(__xludf.DUMMYFUNCTION("""COMPUTED_VALUE"""),1.0)</f>
        <v>1</v>
      </c>
      <c r="F1480" s="6">
        <f>IFERROR(__xludf.DUMMYFUNCTION("""COMPUTED_VALUE"""),1.0)</f>
        <v>1</v>
      </c>
      <c r="G1480" s="6">
        <f>IFERROR(__xludf.DUMMYFUNCTION("""COMPUTED_VALUE"""),0.0)</f>
        <v>0</v>
      </c>
      <c r="H1480" s="6" t="str">
        <f>IFERROR(__xludf.DUMMYFUNCTION("""COMPUTED_VALUE"""),"pcs")</f>
        <v>pcs</v>
      </c>
      <c r="I1480" s="6" t="str">
        <f>IFERROR(__xludf.DUMMYFUNCTION("""COMPUTED_VALUE"""),"MFH")</f>
        <v>MFH</v>
      </c>
      <c r="J1480" s="6" t="str">
        <f>IFERROR(__xludf.DUMMYFUNCTION("""COMPUTED_VALUE"""),"Cartoning")</f>
        <v>Cartoning</v>
      </c>
      <c r="K1480" s="6" t="str">
        <f>IFERROR(__xludf.DUMMYFUNCTION("""COMPUTED_VALUE"""),"SPR/12/24/042")</f>
        <v>SPR/12/24/042</v>
      </c>
      <c r="L1480" s="13">
        <f>IFERROR(__xludf.DUMMYFUNCTION("""COMPUTED_VALUE"""),45635.0)</f>
        <v>45635</v>
      </c>
    </row>
    <row r="1481">
      <c r="A1481" s="6" t="str">
        <f>IFERROR(__xludf.DUMMYFUNCTION("""COMPUTED_VALUE"""),"RIA")</f>
        <v>RIA</v>
      </c>
      <c r="B1481" s="6" t="str">
        <f>IFERROR(__xludf.DUMMYFUNCTION("""COMPUTED_VALUE"""),"ENG")</f>
        <v>ENG</v>
      </c>
      <c r="C1481" s="6" t="str">
        <f>IFERROR(__xludf.DUMMYFUNCTION("""COMPUTED_VALUE"""),"P-51298-00")</f>
        <v>P-51298-00</v>
      </c>
      <c r="D1481" s="6" t="str">
        <f>IFERROR(__xludf.DUMMYFUNCTION("""COMPUTED_VALUE"""),"Terminal plastik dia 4 mm")</f>
        <v>Terminal plastik dia 4 mm</v>
      </c>
      <c r="E1481" s="6">
        <f>IFERROR(__xludf.DUMMYFUNCTION("""COMPUTED_VALUE"""),7.0)</f>
        <v>7</v>
      </c>
      <c r="F1481" s="6">
        <f>IFERROR(__xludf.DUMMYFUNCTION("""COMPUTED_VALUE"""),1.0)</f>
        <v>1</v>
      </c>
      <c r="G1481" s="6">
        <f>IFERROR(__xludf.DUMMYFUNCTION("""COMPUTED_VALUE"""),0.0)</f>
        <v>0</v>
      </c>
      <c r="H1481" s="6" t="str">
        <f>IFERROR(__xludf.DUMMYFUNCTION("""COMPUTED_VALUE"""),"pcs")</f>
        <v>pcs</v>
      </c>
      <c r="I1481" s="6" t="str">
        <f>IFERROR(__xludf.DUMMYFUNCTION("""COMPUTED_VALUE"""),"MFH")</f>
        <v>MFH</v>
      </c>
      <c r="J1481" s="6" t="str">
        <f>IFERROR(__xludf.DUMMYFUNCTION("""COMPUTED_VALUE"""),"Server")</f>
        <v>Server</v>
      </c>
      <c r="K1481" s="6" t="str">
        <f>IFERROR(__xludf.DUMMYFUNCTION("""COMPUTED_VALUE"""),"SPR/12/24/043")</f>
        <v>SPR/12/24/043</v>
      </c>
      <c r="L1481" s="13">
        <f>IFERROR(__xludf.DUMMYFUNCTION("""COMPUTED_VALUE"""),45635.0)</f>
        <v>45635</v>
      </c>
    </row>
    <row r="1482">
      <c r="A1482" s="6" t="str">
        <f>IFERROR(__xludf.DUMMYFUNCTION("""COMPUTED_VALUE"""),"RIA")</f>
        <v>RIA</v>
      </c>
      <c r="B1482" s="6" t="str">
        <f>IFERROR(__xludf.DUMMYFUNCTION("""COMPUTED_VALUE"""),"ENG")</f>
        <v>ENG</v>
      </c>
      <c r="C1482" s="6" t="str">
        <f>IFERROR(__xludf.DUMMYFUNCTION("""COMPUTED_VALUE"""),"P-52501-00")</f>
        <v>P-52501-00</v>
      </c>
      <c r="D1482" s="6" t="str">
        <f>IFERROR(__xludf.DUMMYFUNCTION("""COMPUTED_VALUE"""),"OMRON - TIMER H3CR- A8 220 VAC; ; ;")</f>
        <v>OMRON - TIMER H3CR- A8 220 VAC; ; ;</v>
      </c>
      <c r="E1482" s="6">
        <f>IFERROR(__xludf.DUMMYFUNCTION("""COMPUTED_VALUE"""),3.0)</f>
        <v>3</v>
      </c>
      <c r="F1482" s="6">
        <f>IFERROR(__xludf.DUMMYFUNCTION("""COMPUTED_VALUE"""),3.0)</f>
        <v>3</v>
      </c>
      <c r="G1482" s="6">
        <f>IFERROR(__xludf.DUMMYFUNCTION("""COMPUTED_VALUE"""),0.0)</f>
        <v>0</v>
      </c>
      <c r="H1482" s="6" t="str">
        <f>IFERROR(__xludf.DUMMYFUNCTION("""COMPUTED_VALUE"""),"pcs")</f>
        <v>pcs</v>
      </c>
      <c r="I1482" s="6" t="str">
        <f>IFERROR(__xludf.DUMMYFUNCTION("""COMPUTED_VALUE"""),"MFH")</f>
        <v>MFH</v>
      </c>
      <c r="J1482" s="6" t="str">
        <f>IFERROR(__xludf.DUMMYFUNCTION("""COMPUTED_VALUE"""),"-")</f>
        <v>-</v>
      </c>
      <c r="K1482" s="6" t="str">
        <f>IFERROR(__xludf.DUMMYFUNCTION("""COMPUTED_VALUE"""),"SPR/12/24/043")</f>
        <v>SPR/12/24/043</v>
      </c>
      <c r="L1482" s="13">
        <f>IFERROR(__xludf.DUMMYFUNCTION("""COMPUTED_VALUE"""),45635.0)</f>
        <v>45635</v>
      </c>
    </row>
    <row r="1483">
      <c r="A1483" s="6" t="str">
        <f>IFERROR(__xludf.DUMMYFUNCTION("""COMPUTED_VALUE"""),"RIA")</f>
        <v>RIA</v>
      </c>
      <c r="B1483" s="6" t="str">
        <f>IFERROR(__xludf.DUMMYFUNCTION("""COMPUTED_VALUE"""),"ENG")</f>
        <v>ENG</v>
      </c>
      <c r="C1483" s="6" t="str">
        <f>IFERROR(__xludf.DUMMYFUNCTION("""COMPUTED_VALUE"""),"-")</f>
        <v>-</v>
      </c>
      <c r="D1483" s="6" t="str">
        <f>IFERROR(__xludf.DUMMYFUNCTION("""COMPUTED_VALUE"""),"Resistor 5k6 ohm")</f>
        <v>Resistor 5k6 ohm</v>
      </c>
      <c r="E1483" s="6">
        <f>IFERROR(__xludf.DUMMYFUNCTION("""COMPUTED_VALUE"""),3.0)</f>
        <v>3</v>
      </c>
      <c r="F1483" s="6">
        <f>IFERROR(__xludf.DUMMYFUNCTION("""COMPUTED_VALUE"""),3.0)</f>
        <v>3</v>
      </c>
      <c r="G1483" s="6">
        <f>IFERROR(__xludf.DUMMYFUNCTION("""COMPUTED_VALUE"""),0.0)</f>
        <v>0</v>
      </c>
      <c r="H1483" s="6" t="str">
        <f>IFERROR(__xludf.DUMMYFUNCTION("""COMPUTED_VALUE"""),"pcs")</f>
        <v>pcs</v>
      </c>
      <c r="I1483" s="6" t="str">
        <f>IFERROR(__xludf.DUMMYFUNCTION("""COMPUTED_VALUE"""),"MFH")</f>
        <v>MFH</v>
      </c>
      <c r="J1483" s="6" t="str">
        <f>IFERROR(__xludf.DUMMYFUNCTION("""COMPUTED_VALUE"""),"Server")</f>
        <v>Server</v>
      </c>
      <c r="K1483" s="6" t="str">
        <f>IFERROR(__xludf.DUMMYFUNCTION("""COMPUTED_VALUE"""),"SPR/12/24/043")</f>
        <v>SPR/12/24/043</v>
      </c>
      <c r="L1483" s="13">
        <f>IFERROR(__xludf.DUMMYFUNCTION("""COMPUTED_VALUE"""),45635.0)</f>
        <v>45635</v>
      </c>
    </row>
    <row r="1484">
      <c r="A1484" s="6" t="str">
        <f>IFERROR(__xludf.DUMMYFUNCTION("""COMPUTED_VALUE"""),"ROS")</f>
        <v>ROS</v>
      </c>
      <c r="B1484" s="6" t="str">
        <f>IFERROR(__xludf.DUMMYFUNCTION("""COMPUTED_VALUE"""),"ENG")</f>
        <v>ENG</v>
      </c>
      <c r="C1484" s="6" t="str">
        <f>IFERROR(__xludf.DUMMYFUNCTION("""COMPUTED_VALUE"""),"P-54199-00")</f>
        <v>P-54199-00</v>
      </c>
      <c r="D1484" s="6" t="str">
        <f>IFERROR(__xludf.DUMMYFUNCTION("""COMPUTED_VALUE"""),"Stop Kontak AC Kaki 3 Broco; Broco; ;")</f>
        <v>Stop Kontak AC Kaki 3 Broco; Broco; ;</v>
      </c>
      <c r="E1484" s="6">
        <f>IFERROR(__xludf.DUMMYFUNCTION("""COMPUTED_VALUE"""),4.0)</f>
        <v>4</v>
      </c>
      <c r="F1484" s="6">
        <f>IFERROR(__xludf.DUMMYFUNCTION("""COMPUTED_VALUE"""),4.0)</f>
        <v>4</v>
      </c>
      <c r="G1484" s="6">
        <f>IFERROR(__xludf.DUMMYFUNCTION("""COMPUTED_VALUE"""),0.0)</f>
        <v>0</v>
      </c>
      <c r="H1484" s="6" t="str">
        <f>IFERROR(__xludf.DUMMYFUNCTION("""COMPUTED_VALUE"""),"pcs")</f>
        <v>pcs</v>
      </c>
      <c r="I1484" s="6" t="str">
        <f>IFERROR(__xludf.DUMMYFUNCTION("""COMPUTED_VALUE"""),"MFH")</f>
        <v>MFH</v>
      </c>
      <c r="J1484" s="6" t="str">
        <f>IFERROR(__xludf.DUMMYFUNCTION("""COMPUTED_VALUE"""),"MLAF")</f>
        <v>MLAF</v>
      </c>
      <c r="K1484" s="6" t="str">
        <f>IFERROR(__xludf.DUMMYFUNCTION("""COMPUTED_VALUE"""),"SPR/12/24/044")</f>
        <v>SPR/12/24/044</v>
      </c>
      <c r="L1484" s="13">
        <f>IFERROR(__xludf.DUMMYFUNCTION("""COMPUTED_VALUE"""),45635.0)</f>
        <v>45635</v>
      </c>
    </row>
    <row r="1485">
      <c r="A1485" s="6" t="str">
        <f>IFERROR(__xludf.DUMMYFUNCTION("""COMPUTED_VALUE"""),"ROS")</f>
        <v>ROS</v>
      </c>
      <c r="B1485" s="6" t="str">
        <f>IFERROR(__xludf.DUMMYFUNCTION("""COMPUTED_VALUE"""),"ENG")</f>
        <v>ENG</v>
      </c>
      <c r="C1485" s="6" t="str">
        <f>IFERROR(__xludf.DUMMYFUNCTION("""COMPUTED_VALUE"""),"O-54138-00")</f>
        <v>O-54138-00</v>
      </c>
      <c r="D1485" s="6" t="str">
        <f>IFERROR(__xludf.DUMMYFUNCTION("""COMPUTED_VALUE"""),"Terminal Viking / Terminal Block Size 10 mm; Fort; ;")</f>
        <v>Terminal Viking / Terminal Block Size 10 mm; Fort; ;</v>
      </c>
      <c r="E1485" s="6">
        <f>IFERROR(__xludf.DUMMYFUNCTION("""COMPUTED_VALUE"""),4.0)</f>
        <v>4</v>
      </c>
      <c r="F1485" s="6">
        <f>IFERROR(__xludf.DUMMYFUNCTION("""COMPUTED_VALUE"""),6.0)</f>
        <v>6</v>
      </c>
      <c r="G1485" s="6">
        <f>IFERROR(__xludf.DUMMYFUNCTION("""COMPUTED_VALUE"""),0.0)</f>
        <v>0</v>
      </c>
      <c r="H1485" s="6" t="str">
        <f>IFERROR(__xludf.DUMMYFUNCTION("""COMPUTED_VALUE"""),"pcs")</f>
        <v>pcs</v>
      </c>
      <c r="I1485" s="6" t="str">
        <f>IFERROR(__xludf.DUMMYFUNCTION("""COMPUTED_VALUE"""),"MFH")</f>
        <v>MFH</v>
      </c>
      <c r="J1485" s="6" t="str">
        <f>IFERROR(__xludf.DUMMYFUNCTION("""COMPUTED_VALUE"""),"Tunnel")</f>
        <v>Tunnel</v>
      </c>
      <c r="K1485" s="6" t="str">
        <f>IFERROR(__xludf.DUMMYFUNCTION("""COMPUTED_VALUE"""),"SPR/12/24/044")</f>
        <v>SPR/12/24/044</v>
      </c>
      <c r="L1485" s="13">
        <f>IFERROR(__xludf.DUMMYFUNCTION("""COMPUTED_VALUE"""),45635.0)</f>
        <v>45635</v>
      </c>
    </row>
    <row r="1486">
      <c r="A1486" s="6" t="str">
        <f>IFERROR(__xludf.DUMMYFUNCTION("""COMPUTED_VALUE"""),"MOB")</f>
        <v>MOB</v>
      </c>
      <c r="B1486" s="6" t="str">
        <f>IFERROR(__xludf.DUMMYFUNCTION("""COMPUTED_VALUE"""),"ENG")</f>
        <v>ENG</v>
      </c>
      <c r="C1486" s="6" t="str">
        <f>IFERROR(__xludf.DUMMYFUNCTION("""COMPUTED_VALUE"""),"Q-60501-00")</f>
        <v>Q-60501-00</v>
      </c>
      <c r="D1486" s="6" t="str">
        <f>IFERROR(__xludf.DUMMYFUNCTION("""COMPUTED_VALUE"""),"Silicone Sealant;Silglaze;Type N10 Clear;pack size per pcs")</f>
        <v>Silicone Sealant;Silglaze;Type N10 Clear;pack size per pcs</v>
      </c>
      <c r="E1486" s="6">
        <f>IFERROR(__xludf.DUMMYFUNCTION("""COMPUTED_VALUE"""),2.0)</f>
        <v>2</v>
      </c>
      <c r="F1486" s="6">
        <f>IFERROR(__xludf.DUMMYFUNCTION("""COMPUTED_VALUE"""),1.0)</f>
        <v>1</v>
      </c>
      <c r="G1486" s="6">
        <f>IFERROR(__xludf.DUMMYFUNCTION("""COMPUTED_VALUE"""),0.0)</f>
        <v>0</v>
      </c>
      <c r="H1486" s="6" t="str">
        <f>IFERROR(__xludf.DUMMYFUNCTION("""COMPUTED_VALUE"""),"pcs")</f>
        <v>pcs</v>
      </c>
      <c r="I1486" s="6" t="str">
        <f>IFERROR(__xludf.DUMMYFUNCTION("""COMPUTED_VALUE"""),"MFH")</f>
        <v>MFH</v>
      </c>
      <c r="J1486" s="6" t="str">
        <f>IFERROR(__xludf.DUMMYFUNCTION("""COMPUTED_VALUE"""),"-")</f>
        <v>-</v>
      </c>
      <c r="K1486" s="6" t="str">
        <f>IFERROR(__xludf.DUMMYFUNCTION("""COMPUTED_VALUE"""),"SPR/12/24/045")</f>
        <v>SPR/12/24/045</v>
      </c>
      <c r="L1486" s="13">
        <f>IFERROR(__xludf.DUMMYFUNCTION("""COMPUTED_VALUE"""),45635.0)</f>
        <v>45635</v>
      </c>
    </row>
    <row r="1487">
      <c r="A1487" s="6" t="str">
        <f>IFERROR(__xludf.DUMMYFUNCTION("""COMPUTED_VALUE"""),"ROS")</f>
        <v>ROS</v>
      </c>
      <c r="B1487" s="6" t="str">
        <f>IFERROR(__xludf.DUMMYFUNCTION("""COMPUTED_VALUE"""),"ENG")</f>
        <v>ENG</v>
      </c>
      <c r="C1487" s="6" t="str">
        <f>IFERROR(__xludf.DUMMYFUNCTION("""COMPUTED_VALUE"""),"Q-60503-00")</f>
        <v>Q-60503-00</v>
      </c>
      <c r="D1487" s="6" t="str">
        <f>IFERROR(__xludf.DUMMYFUNCTION("""COMPUTED_VALUE"""),"Silicone Sealant;Silglaze;Type N10 Grey;pack size per pcs")</f>
        <v>Silicone Sealant;Silglaze;Type N10 Grey;pack size per pcs</v>
      </c>
      <c r="E1487" s="6">
        <f>IFERROR(__xludf.DUMMYFUNCTION("""COMPUTED_VALUE"""),2.0)</f>
        <v>2</v>
      </c>
      <c r="F1487" s="6">
        <f>IFERROR(__xludf.DUMMYFUNCTION("""COMPUTED_VALUE"""),1.0)</f>
        <v>1</v>
      </c>
      <c r="G1487" s="6">
        <f>IFERROR(__xludf.DUMMYFUNCTION("""COMPUTED_VALUE"""),0.0)</f>
        <v>0</v>
      </c>
      <c r="H1487" s="6" t="str">
        <f>IFERROR(__xludf.DUMMYFUNCTION("""COMPUTED_VALUE"""),"pcs")</f>
        <v>pcs</v>
      </c>
      <c r="I1487" s="6" t="str">
        <f>IFERROR(__xludf.DUMMYFUNCTION("""COMPUTED_VALUE"""),"MFH")</f>
        <v>MFH</v>
      </c>
      <c r="J1487" s="6" t="str">
        <f>IFERROR(__xludf.DUMMYFUNCTION("""COMPUTED_VALUE"""),"cRABS")</f>
        <v>cRABS</v>
      </c>
      <c r="K1487" s="6" t="str">
        <f>IFERROR(__xludf.DUMMYFUNCTION("""COMPUTED_VALUE"""),"SPR/12/24/046")</f>
        <v>SPR/12/24/046</v>
      </c>
      <c r="L1487" s="13">
        <f>IFERROR(__xludf.DUMMYFUNCTION("""COMPUTED_VALUE"""),45635.0)</f>
        <v>45635</v>
      </c>
    </row>
    <row r="1488">
      <c r="A1488" s="6" t="str">
        <f>IFERROR(__xludf.DUMMYFUNCTION("""COMPUTED_VALUE"""),"ROS")</f>
        <v>ROS</v>
      </c>
      <c r="B1488" s="6" t="str">
        <f>IFERROR(__xludf.DUMMYFUNCTION("""COMPUTED_VALUE"""),"ENG")</f>
        <v>ENG</v>
      </c>
      <c r="C1488" s="6" t="str">
        <f>IFERROR(__xludf.DUMMYFUNCTION("""COMPUTED_VALUE"""),"T-80109-00")</f>
        <v>T-80109-00</v>
      </c>
      <c r="D1488" s="6" t="str">
        <f>IFERROR(__xludf.DUMMYFUNCTION("""COMPUTED_VALUE"""),"Cellotape Kertas 1 inch warna Putih")</f>
        <v>Cellotape Kertas 1 inch warna Putih</v>
      </c>
      <c r="E1488" s="6">
        <f>IFERROR(__xludf.DUMMYFUNCTION("""COMPUTED_VALUE"""),1.0)</f>
        <v>1</v>
      </c>
      <c r="F1488" s="6">
        <f>IFERROR(__xludf.DUMMYFUNCTION("""COMPUTED_VALUE"""),1.0)</f>
        <v>1</v>
      </c>
      <c r="G1488" s="6">
        <f>IFERROR(__xludf.DUMMYFUNCTION("""COMPUTED_VALUE"""),0.0)</f>
        <v>0</v>
      </c>
      <c r="H1488" s="6" t="str">
        <f>IFERROR(__xludf.DUMMYFUNCTION("""COMPUTED_VALUE"""),"pcs")</f>
        <v>pcs</v>
      </c>
      <c r="I1488" s="6" t="str">
        <f>IFERROR(__xludf.DUMMYFUNCTION("""COMPUTED_VALUE"""),"MFH")</f>
        <v>MFH</v>
      </c>
      <c r="J1488" s="6" t="str">
        <f>IFERROR(__xludf.DUMMYFUNCTION("""COMPUTED_VALUE"""),"cRABS")</f>
        <v>cRABS</v>
      </c>
      <c r="K1488" s="6" t="str">
        <f>IFERROR(__xludf.DUMMYFUNCTION("""COMPUTED_VALUE"""),"SPR/12/24/046")</f>
        <v>SPR/12/24/046</v>
      </c>
      <c r="L1488" s="13">
        <f>IFERROR(__xludf.DUMMYFUNCTION("""COMPUTED_VALUE"""),45635.0)</f>
        <v>45635</v>
      </c>
    </row>
    <row r="1489">
      <c r="A1489" s="6" t="str">
        <f>IFERROR(__xludf.DUMMYFUNCTION("""COMPUTED_VALUE"""),"MRN")</f>
        <v>MRN</v>
      </c>
      <c r="B1489" s="6" t="str">
        <f>IFERROR(__xludf.DUMMYFUNCTION("""COMPUTED_VALUE"""),"ENG")</f>
        <v>ENG</v>
      </c>
      <c r="C1489" s="6" t="str">
        <f>IFERROR(__xludf.DUMMYFUNCTION("""COMPUTED_VALUE"""),"P-53102-00")</f>
        <v>P-53102-00</v>
      </c>
      <c r="D1489" s="6" t="str">
        <f>IFERROR(__xludf.DUMMYFUNCTION("""COMPUTED_VALUE"""),"Lampu PLC 13watt/E27 Putih; Phillips; ;")</f>
        <v>Lampu PLC 13watt/E27 Putih; Phillips; ;</v>
      </c>
      <c r="E1489" s="6">
        <f>IFERROR(__xludf.DUMMYFUNCTION("""COMPUTED_VALUE"""),14.0)</f>
        <v>14</v>
      </c>
      <c r="F1489" s="6">
        <f>IFERROR(__xludf.DUMMYFUNCTION("""COMPUTED_VALUE"""),8.0)</f>
        <v>8</v>
      </c>
      <c r="G1489" s="6">
        <f>IFERROR(__xludf.DUMMYFUNCTION("""COMPUTED_VALUE"""),0.0)</f>
        <v>0</v>
      </c>
      <c r="H1489" s="6" t="str">
        <f>IFERROR(__xludf.DUMMYFUNCTION("""COMPUTED_VALUE"""),"pcs")</f>
        <v>pcs</v>
      </c>
      <c r="I1489" s="6" t="str">
        <f>IFERROR(__xludf.DUMMYFUNCTION("""COMPUTED_VALUE"""),"MFH")</f>
        <v>MFH</v>
      </c>
      <c r="J1489" s="6" t="str">
        <f>IFERROR(__xludf.DUMMYFUNCTION("""COMPUTED_VALUE"""),"Building")</f>
        <v>Building</v>
      </c>
      <c r="K1489" s="6" t="str">
        <f>IFERROR(__xludf.DUMMYFUNCTION("""COMPUTED_VALUE"""),"SPR/12/24/047")</f>
        <v>SPR/12/24/047</v>
      </c>
      <c r="L1489" s="13">
        <f>IFERROR(__xludf.DUMMYFUNCTION("""COMPUTED_VALUE"""),45635.0)</f>
        <v>45635</v>
      </c>
    </row>
    <row r="1490">
      <c r="A1490" s="6" t="str">
        <f>IFERROR(__xludf.DUMMYFUNCTION("""COMPUTED_VALUE"""),"MRN")</f>
        <v>MRN</v>
      </c>
      <c r="B1490" s="6" t="str">
        <f>IFERROR(__xludf.DUMMYFUNCTION("""COMPUTED_VALUE"""),"ENG")</f>
        <v>ENG</v>
      </c>
      <c r="C1490" s="6" t="str">
        <f>IFERROR(__xludf.DUMMYFUNCTION("""COMPUTED_VALUE"""),"P-51559-00")</f>
        <v>P-51559-00</v>
      </c>
      <c r="D1490" s="6" t="str">
        <f>IFERROR(__xludf.DUMMYFUNCTION("""COMPUTED_VALUE"""),"Lampu T5 14watt Putih; Phillips; ;")</f>
        <v>Lampu T5 14watt Putih; Phillips; ;</v>
      </c>
      <c r="E1490" s="6">
        <f>IFERROR(__xludf.DUMMYFUNCTION("""COMPUTED_VALUE"""),7.0)</f>
        <v>7</v>
      </c>
      <c r="F1490" s="6">
        <f>IFERROR(__xludf.DUMMYFUNCTION("""COMPUTED_VALUE"""),6.0)</f>
        <v>6</v>
      </c>
      <c r="G1490" s="6">
        <f>IFERROR(__xludf.DUMMYFUNCTION("""COMPUTED_VALUE"""),0.0)</f>
        <v>0</v>
      </c>
      <c r="H1490" s="6" t="str">
        <f>IFERROR(__xludf.DUMMYFUNCTION("""COMPUTED_VALUE"""),"pcs")</f>
        <v>pcs</v>
      </c>
      <c r="I1490" s="6" t="str">
        <f>IFERROR(__xludf.DUMMYFUNCTION("""COMPUTED_VALUE"""),"MFH")</f>
        <v>MFH</v>
      </c>
      <c r="J1490" s="6" t="str">
        <f>IFERROR(__xludf.DUMMYFUNCTION("""COMPUTED_VALUE"""),"Building")</f>
        <v>Building</v>
      </c>
      <c r="K1490" s="6" t="str">
        <f>IFERROR(__xludf.DUMMYFUNCTION("""COMPUTED_VALUE"""),"SPR/12/24/047")</f>
        <v>SPR/12/24/047</v>
      </c>
      <c r="L1490" s="13">
        <f>IFERROR(__xludf.DUMMYFUNCTION("""COMPUTED_VALUE"""),45635.0)</f>
        <v>45635</v>
      </c>
    </row>
    <row r="1491">
      <c r="A1491" s="6" t="str">
        <f>IFERROR(__xludf.DUMMYFUNCTION("""COMPUTED_VALUE"""),"INN")</f>
        <v>INN</v>
      </c>
      <c r="B1491" s="6" t="str">
        <f>IFERROR(__xludf.DUMMYFUNCTION("""COMPUTED_VALUE"""),"ENG")</f>
        <v>ENG</v>
      </c>
      <c r="C1491" s="6" t="str">
        <f>IFERROR(__xludf.DUMMYFUNCTION("""COMPUTED_VALUE"""),"P-18214-00")</f>
        <v>P-18214-00</v>
      </c>
      <c r="D1491" s="6" t="str">
        <f>IFERROR(__xludf.DUMMYFUNCTION("""COMPUTED_VALUE"""),"Part for Isolator - RTP 190 mm; Alpha port 190 mm dia; ; ;")</f>
        <v>Part for Isolator - RTP 190 mm; Alpha port 190 mm dia; ; ;</v>
      </c>
      <c r="E1491" s="6">
        <f>IFERROR(__xludf.DUMMYFUNCTION("""COMPUTED_VALUE"""),1.0)</f>
        <v>1</v>
      </c>
      <c r="F1491" s="6">
        <f>IFERROR(__xludf.DUMMYFUNCTION("""COMPUTED_VALUE"""),1.0)</f>
        <v>1</v>
      </c>
      <c r="G1491" s="6">
        <f>IFERROR(__xludf.DUMMYFUNCTION("""COMPUTED_VALUE"""),0.0)</f>
        <v>0</v>
      </c>
      <c r="H1491" s="6" t="str">
        <f>IFERROR(__xludf.DUMMYFUNCTION("""COMPUTED_VALUE"""),"pcs")</f>
        <v>pcs</v>
      </c>
      <c r="I1491" s="6" t="str">
        <f>IFERROR(__xludf.DUMMYFUNCTION("""COMPUTED_VALUE"""),"MFH")</f>
        <v>MFH</v>
      </c>
      <c r="J1491" s="6" t="str">
        <f>IFERROR(__xludf.DUMMYFUNCTION("""COMPUTED_VALUE"""),"SnD")</f>
        <v>SnD</v>
      </c>
      <c r="K1491" s="6" t="str">
        <f>IFERROR(__xludf.DUMMYFUNCTION("""COMPUTED_VALUE"""),"SPR/12/24/048")</f>
        <v>SPR/12/24/048</v>
      </c>
      <c r="L1491" s="13">
        <f>IFERROR(__xludf.DUMMYFUNCTION("""COMPUTED_VALUE"""),45635.0)</f>
        <v>45635</v>
      </c>
    </row>
    <row r="1492">
      <c r="A1492" s="6" t="str">
        <f>IFERROR(__xludf.DUMMYFUNCTION("""COMPUTED_VALUE"""),"MRN")</f>
        <v>MRN</v>
      </c>
      <c r="B1492" s="6" t="str">
        <f>IFERROR(__xludf.DUMMYFUNCTION("""COMPUTED_VALUE"""),"ENG")</f>
        <v>ENG</v>
      </c>
      <c r="C1492" s="6" t="str">
        <f>IFERROR(__xludf.DUMMYFUNCTION("""COMPUTED_VALUE"""),"P-11165-00")</f>
        <v>P-11165-00</v>
      </c>
      <c r="D1492" s="6" t="str">
        <f>IFERROR(__xludf.DUMMYFUNCTION("""COMPUTED_VALUE"""),"Pneumatic  Fitting - QS 1/2-12 / PN : 153010 / Festo")</f>
        <v>Pneumatic  Fitting - QS 1/2-12 / PN : 153010 / Festo</v>
      </c>
      <c r="E1492" s="6">
        <f>IFERROR(__xludf.DUMMYFUNCTION("""COMPUTED_VALUE"""),1.0)</f>
        <v>1</v>
      </c>
      <c r="F1492" s="6">
        <f>IFERROR(__xludf.DUMMYFUNCTION("""COMPUTED_VALUE"""),1.0)</f>
        <v>1</v>
      </c>
      <c r="G1492" s="6">
        <f>IFERROR(__xludf.DUMMYFUNCTION("""COMPUTED_VALUE"""),0.0)</f>
        <v>0</v>
      </c>
      <c r="H1492" s="6" t="str">
        <f>IFERROR(__xludf.DUMMYFUNCTION("""COMPUTED_VALUE"""),"pcs")</f>
        <v>pcs</v>
      </c>
      <c r="I1492" s="6" t="str">
        <f>IFERROR(__xludf.DUMMYFUNCTION("""COMPUTED_VALUE"""),"MFH")</f>
        <v>MFH</v>
      </c>
      <c r="J1492" s="6" t="str">
        <f>IFERROR(__xludf.DUMMYFUNCTION("""COMPUTED_VALUE"""),"AHU")</f>
        <v>AHU</v>
      </c>
      <c r="K1492" s="6" t="str">
        <f>IFERROR(__xludf.DUMMYFUNCTION("""COMPUTED_VALUE"""),"SPR/12/24/049")</f>
        <v>SPR/12/24/049</v>
      </c>
      <c r="L1492" s="13">
        <f>IFERROR(__xludf.DUMMYFUNCTION("""COMPUTED_VALUE"""),45635.0)</f>
        <v>45635</v>
      </c>
    </row>
    <row r="1493">
      <c r="A1493" s="6" t="str">
        <f>IFERROR(__xludf.DUMMYFUNCTION("""COMPUTED_VALUE"""),"MRN")</f>
        <v>MRN</v>
      </c>
      <c r="B1493" s="6" t="str">
        <f>IFERROR(__xludf.DUMMYFUNCTION("""COMPUTED_VALUE"""),"ENG")</f>
        <v>ENG</v>
      </c>
      <c r="C1493" s="6" t="str">
        <f>IFERROR(__xludf.DUMMYFUNCTION("""COMPUTED_VALUE"""),"-")</f>
        <v>-</v>
      </c>
      <c r="D1493" s="6" t="str">
        <f>IFERROR(__xludf.DUMMYFUNCTION("""COMPUTED_VALUE"""),"Pneumatic Fitting - QS 1/2-8")</f>
        <v>Pneumatic Fitting - QS 1/2-8</v>
      </c>
      <c r="E1493" s="6">
        <f>IFERROR(__xludf.DUMMYFUNCTION("""COMPUTED_VALUE"""),1.0)</f>
        <v>1</v>
      </c>
      <c r="F1493" s="6">
        <f>IFERROR(__xludf.DUMMYFUNCTION("""COMPUTED_VALUE"""),1.0)</f>
        <v>1</v>
      </c>
      <c r="G1493" s="6">
        <f>IFERROR(__xludf.DUMMYFUNCTION("""COMPUTED_VALUE"""),0.0)</f>
        <v>0</v>
      </c>
      <c r="H1493" s="6" t="str">
        <f>IFERROR(__xludf.DUMMYFUNCTION("""COMPUTED_VALUE"""),"pcs")</f>
        <v>pcs</v>
      </c>
      <c r="I1493" s="6" t="str">
        <f>IFERROR(__xludf.DUMMYFUNCTION("""COMPUTED_VALUE"""),"MFH")</f>
        <v>MFH</v>
      </c>
      <c r="J1493" s="6" t="str">
        <f>IFERROR(__xludf.DUMMYFUNCTION("""COMPUTED_VALUE"""),"AHU")</f>
        <v>AHU</v>
      </c>
      <c r="K1493" s="6" t="str">
        <f>IFERROR(__xludf.DUMMYFUNCTION("""COMPUTED_VALUE"""),"SPR/12/24/049")</f>
        <v>SPR/12/24/049</v>
      </c>
      <c r="L1493" s="13">
        <f>IFERROR(__xludf.DUMMYFUNCTION("""COMPUTED_VALUE"""),45635.0)</f>
        <v>45635</v>
      </c>
    </row>
    <row r="1494">
      <c r="A1494" s="6" t="str">
        <f>IFERROR(__xludf.DUMMYFUNCTION("""COMPUTED_VALUE"""),"SFH")</f>
        <v>SFH</v>
      </c>
      <c r="B1494" s="6" t="str">
        <f>IFERROR(__xludf.DUMMYFUNCTION("""COMPUTED_VALUE"""),"ENG")</f>
        <v>ENG</v>
      </c>
      <c r="C1494" s="6" t="str">
        <f>IFERROR(__xludf.DUMMYFUNCTION("""COMPUTED_VALUE"""),"P-10945-00")</f>
        <v>P-10945-00</v>
      </c>
      <c r="D1494" s="6" t="str">
        <f>IFERROR(__xludf.DUMMYFUNCTION("""COMPUTED_VALUE"""),"General - Seal Tape 1 Inch 10 M; Onda; ST 02; 1 pcs")</f>
        <v>General - Seal Tape 1 Inch 10 M; Onda; ST 02; 1 pcs</v>
      </c>
      <c r="E1494" s="6">
        <f>IFERROR(__xludf.DUMMYFUNCTION("""COMPUTED_VALUE"""),1.0)</f>
        <v>1</v>
      </c>
      <c r="F1494" s="6">
        <f>IFERROR(__xludf.DUMMYFUNCTION("""COMPUTED_VALUE"""),1.0)</f>
        <v>1</v>
      </c>
      <c r="G1494" s="6">
        <f>IFERROR(__xludf.DUMMYFUNCTION("""COMPUTED_VALUE"""),0.0)</f>
        <v>0</v>
      </c>
      <c r="H1494" s="6" t="str">
        <f>IFERROR(__xludf.DUMMYFUNCTION("""COMPUTED_VALUE"""),"pcs")</f>
        <v>pcs</v>
      </c>
      <c r="I1494" s="6" t="str">
        <f>IFERROR(__xludf.DUMMYFUNCTION("""COMPUTED_VALUE"""),"MFH")</f>
        <v>MFH</v>
      </c>
      <c r="J1494" s="6" t="str">
        <f>IFERROR(__xludf.DUMMYFUNCTION("""COMPUTED_VALUE"""),"Building")</f>
        <v>Building</v>
      </c>
      <c r="K1494" s="6" t="str">
        <f>IFERROR(__xludf.DUMMYFUNCTION("""COMPUTED_VALUE"""),"SPR/12/24/050")</f>
        <v>SPR/12/24/050</v>
      </c>
      <c r="L1494" s="13">
        <f>IFERROR(__xludf.DUMMYFUNCTION("""COMPUTED_VALUE"""),45635.0)</f>
        <v>45635</v>
      </c>
    </row>
    <row r="1495">
      <c r="A1495" s="6" t="str">
        <f>IFERROR(__xludf.DUMMYFUNCTION("""COMPUTED_VALUE"""),"SFH")</f>
        <v>SFH</v>
      </c>
      <c r="B1495" s="6" t="str">
        <f>IFERROR(__xludf.DUMMYFUNCTION("""COMPUTED_VALUE"""),"ENG")</f>
        <v>ENG</v>
      </c>
      <c r="C1495" s="6" t="str">
        <f>IFERROR(__xludf.DUMMYFUNCTION("""COMPUTED_VALUE"""),"P-12994-00")</f>
        <v>P-12994-00</v>
      </c>
      <c r="D1495" s="6" t="str">
        <f>IFERROR(__xludf.DUMMYFUNCTION("""COMPUTED_VALUE"""),"Nippon Tape - ASF-110FR")</f>
        <v>Nippon Tape - ASF-110FR</v>
      </c>
      <c r="E1495" s="6">
        <f>IFERROR(__xludf.DUMMYFUNCTION("""COMPUTED_VALUE"""),1.0)</f>
        <v>1</v>
      </c>
      <c r="F1495" s="6">
        <f>IFERROR(__xludf.DUMMYFUNCTION("""COMPUTED_VALUE"""),1.0)</f>
        <v>1</v>
      </c>
      <c r="G1495" s="6">
        <f>IFERROR(__xludf.DUMMYFUNCTION("""COMPUTED_VALUE"""),0.0)</f>
        <v>0</v>
      </c>
      <c r="H1495" s="6" t="str">
        <f>IFERROR(__xludf.DUMMYFUNCTION("""COMPUTED_VALUE"""),"pcs")</f>
        <v>pcs</v>
      </c>
      <c r="I1495" s="6" t="str">
        <f>IFERROR(__xludf.DUMMYFUNCTION("""COMPUTED_VALUE"""),"MFH")</f>
        <v>MFH</v>
      </c>
      <c r="J1495" s="6" t="str">
        <f>IFERROR(__xludf.DUMMYFUNCTION("""COMPUTED_VALUE"""),"Mixing")</f>
        <v>Mixing</v>
      </c>
      <c r="K1495" s="6" t="str">
        <f>IFERROR(__xludf.DUMMYFUNCTION("""COMPUTED_VALUE"""),"SPR/12/24/051")</f>
        <v>SPR/12/24/051</v>
      </c>
      <c r="L1495" s="13">
        <f>IFERROR(__xludf.DUMMYFUNCTION("""COMPUTED_VALUE"""),45635.0)</f>
        <v>45635</v>
      </c>
    </row>
    <row r="1496">
      <c r="A1496" s="6" t="str">
        <f>IFERROR(__xludf.DUMMYFUNCTION("""COMPUTED_VALUE"""),"SFH")</f>
        <v>SFH</v>
      </c>
      <c r="B1496" s="6" t="str">
        <f>IFERROR(__xludf.DUMMYFUNCTION("""COMPUTED_VALUE"""),"ENG")</f>
        <v>ENG</v>
      </c>
      <c r="C1496" s="6" t="str">
        <f>IFERROR(__xludf.DUMMYFUNCTION("""COMPUTED_VALUE"""),"Q-10128-00")</f>
        <v>Q-10128-00</v>
      </c>
      <c r="D1496" s="6" t="str">
        <f>IFERROR(__xludf.DUMMYFUNCTION("""COMPUTED_VALUE"""),"Thinner;Impala;;pack size per can")</f>
        <v>Thinner;Impala;;pack size per can</v>
      </c>
      <c r="E1496" s="6">
        <f>IFERROR(__xludf.DUMMYFUNCTION("""COMPUTED_VALUE"""),1.0)</f>
        <v>1</v>
      </c>
      <c r="F1496" s="6">
        <f>IFERROR(__xludf.DUMMYFUNCTION("""COMPUTED_VALUE"""),1.0)</f>
        <v>1</v>
      </c>
      <c r="G1496" s="6">
        <f>IFERROR(__xludf.DUMMYFUNCTION("""COMPUTED_VALUE"""),0.0)</f>
        <v>0</v>
      </c>
      <c r="H1496" s="6" t="str">
        <f>IFERROR(__xludf.DUMMYFUNCTION("""COMPUTED_VALUE"""),"pcs")</f>
        <v>pcs</v>
      </c>
      <c r="I1496" s="6" t="str">
        <f>IFERROR(__xludf.DUMMYFUNCTION("""COMPUTED_VALUE"""),"MFH")</f>
        <v>MFH</v>
      </c>
      <c r="J1496" s="6" t="str">
        <f>IFERROR(__xludf.DUMMYFUNCTION("""COMPUTED_VALUE"""),"AHU")</f>
        <v>AHU</v>
      </c>
      <c r="K1496" s="6" t="str">
        <f>IFERROR(__xludf.DUMMYFUNCTION("""COMPUTED_VALUE"""),"SPR/12/24/051")</f>
        <v>SPR/12/24/051</v>
      </c>
      <c r="L1496" s="13">
        <f>IFERROR(__xludf.DUMMYFUNCTION("""COMPUTED_VALUE"""),45635.0)</f>
        <v>45635</v>
      </c>
    </row>
    <row r="1497">
      <c r="A1497" s="6" t="str">
        <f>IFERROR(__xludf.DUMMYFUNCTION("""COMPUTED_VALUE"""),"NDS")</f>
        <v>NDS</v>
      </c>
      <c r="B1497" s="6" t="str">
        <f>IFERROR(__xludf.DUMMYFUNCTION("""COMPUTED_VALUE"""),"ENG")</f>
        <v>ENG</v>
      </c>
      <c r="C1497" s="6" t="str">
        <f>IFERROR(__xludf.DUMMYFUNCTION("""COMPUTED_VALUE"""),"P-52640-00")</f>
        <v>P-52640-00</v>
      </c>
      <c r="D1497" s="6" t="str">
        <f>IFERROR(__xludf.DUMMYFUNCTION("""COMPUTED_VALUE"""),"Bola lampu 220 V 5 Watt for Cartoning Machine; ; ;")</f>
        <v>Bola lampu 220 V 5 Watt for Cartoning Machine; ; ;</v>
      </c>
      <c r="E1497" s="6">
        <f>IFERROR(__xludf.DUMMYFUNCTION("""COMPUTED_VALUE"""),1.0)</f>
        <v>1</v>
      </c>
      <c r="F1497" s="6">
        <f>IFERROR(__xludf.DUMMYFUNCTION("""COMPUTED_VALUE"""),1.0)</f>
        <v>1</v>
      </c>
      <c r="G1497" s="6">
        <f>IFERROR(__xludf.DUMMYFUNCTION("""COMPUTED_VALUE"""),0.0)</f>
        <v>0</v>
      </c>
      <c r="H1497" s="6" t="str">
        <f>IFERROR(__xludf.DUMMYFUNCTION("""COMPUTED_VALUE"""),"pcs")</f>
        <v>pcs</v>
      </c>
      <c r="I1497" s="6" t="str">
        <f>IFERROR(__xludf.DUMMYFUNCTION("""COMPUTED_VALUE"""),"MFH")</f>
        <v>MFH</v>
      </c>
      <c r="J1497" s="6" t="str">
        <f>IFERROR(__xludf.DUMMYFUNCTION("""COMPUTED_VALUE"""),"Sterilisasi")</f>
        <v>Sterilisasi</v>
      </c>
      <c r="K1497" s="6" t="str">
        <f>IFERROR(__xludf.DUMMYFUNCTION("""COMPUTED_VALUE"""),"SPR/01/25/001")</f>
        <v>SPR/01/25/001</v>
      </c>
      <c r="L1497" s="13">
        <f>IFERROR(__xludf.DUMMYFUNCTION("""COMPUTED_VALUE"""),45682.0)</f>
        <v>45682</v>
      </c>
    </row>
    <row r="1498">
      <c r="A1498" s="6" t="str">
        <f>IFERROR(__xludf.DUMMYFUNCTION("""COMPUTED_VALUE"""),"RIA")</f>
        <v>RIA</v>
      </c>
      <c r="B1498" s="6" t="str">
        <f>IFERROR(__xludf.DUMMYFUNCTION("""COMPUTED_VALUE"""),"ENG")</f>
        <v>ENG</v>
      </c>
      <c r="C1498" s="6" t="str">
        <f>IFERROR(__xludf.DUMMYFUNCTION("""COMPUTED_VALUE"""),"O-51157-00")</f>
        <v>O-51157-00</v>
      </c>
      <c r="D1498" s="6" t="str">
        <f>IFERROR(__xludf.DUMMYFUNCTION("""COMPUTED_VALUE"""),"Fuse Keramik 6A 10x38")</f>
        <v>Fuse Keramik 6A 10x38</v>
      </c>
      <c r="E1498" s="6">
        <f>IFERROR(__xludf.DUMMYFUNCTION("""COMPUTED_VALUE"""),1.0)</f>
        <v>1</v>
      </c>
      <c r="F1498" s="6">
        <f>IFERROR(__xludf.DUMMYFUNCTION("""COMPUTED_VALUE"""),1.0)</f>
        <v>1</v>
      </c>
      <c r="G1498" s="6">
        <f>IFERROR(__xludf.DUMMYFUNCTION("""COMPUTED_VALUE"""),0.0)</f>
        <v>0</v>
      </c>
      <c r="H1498" s="6" t="str">
        <f>IFERROR(__xludf.DUMMYFUNCTION("""COMPUTED_VALUE"""),"pcs")</f>
        <v>pcs</v>
      </c>
      <c r="I1498" s="6" t="str">
        <f>IFERROR(__xludf.DUMMYFUNCTION("""COMPUTED_VALUE"""),"MFH")</f>
        <v>MFH</v>
      </c>
      <c r="J1498" s="6" t="str">
        <f>IFERROR(__xludf.DUMMYFUNCTION("""COMPUTED_VALUE"""),"PW")</f>
        <v>PW</v>
      </c>
      <c r="K1498" s="6" t="str">
        <f>IFERROR(__xludf.DUMMYFUNCTION("""COMPUTED_VALUE"""),"SPR/01/25/002")</f>
        <v>SPR/01/25/002</v>
      </c>
      <c r="L1498" s="13">
        <f>IFERROR(__xludf.DUMMYFUNCTION("""COMPUTED_VALUE"""),45682.0)</f>
        <v>45682</v>
      </c>
    </row>
    <row r="1499">
      <c r="A1499" s="6" t="str">
        <f>IFERROR(__xludf.DUMMYFUNCTION("""COMPUTED_VALUE"""),"RIA")</f>
        <v>RIA</v>
      </c>
      <c r="B1499" s="6" t="str">
        <f>IFERROR(__xludf.DUMMYFUNCTION("""COMPUTED_VALUE"""),"ENG")</f>
        <v>ENG</v>
      </c>
      <c r="C1499" s="6" t="str">
        <f>IFERROR(__xludf.DUMMYFUNCTION("""COMPUTED_VALUE"""),"-")</f>
        <v>-</v>
      </c>
      <c r="D1499" s="6" t="str">
        <f>IFERROR(__xludf.DUMMYFUNCTION("""COMPUTED_VALUE"""),"Fuse Holder")</f>
        <v>Fuse Holder</v>
      </c>
      <c r="E1499" s="6">
        <f>IFERROR(__xludf.DUMMYFUNCTION("""COMPUTED_VALUE"""),1.0)</f>
        <v>1</v>
      </c>
      <c r="F1499" s="6">
        <f>IFERROR(__xludf.DUMMYFUNCTION("""COMPUTED_VALUE"""),1.0)</f>
        <v>1</v>
      </c>
      <c r="G1499" s="6">
        <f>IFERROR(__xludf.DUMMYFUNCTION("""COMPUTED_VALUE"""),0.0)</f>
        <v>0</v>
      </c>
      <c r="H1499" s="6" t="str">
        <f>IFERROR(__xludf.DUMMYFUNCTION("""COMPUTED_VALUE"""),"pcs")</f>
        <v>pcs</v>
      </c>
      <c r="I1499" s="6" t="str">
        <f>IFERROR(__xludf.DUMMYFUNCTION("""COMPUTED_VALUE"""),"MFH")</f>
        <v>MFH</v>
      </c>
      <c r="J1499" s="6" t="str">
        <f>IFERROR(__xludf.DUMMYFUNCTION("""COMPUTED_VALUE"""),"PW")</f>
        <v>PW</v>
      </c>
      <c r="K1499" s="6" t="str">
        <f>IFERROR(__xludf.DUMMYFUNCTION("""COMPUTED_VALUE"""),"SPR/01/25/002")</f>
        <v>SPR/01/25/002</v>
      </c>
      <c r="L1499" s="13">
        <f>IFERROR(__xludf.DUMMYFUNCTION("""COMPUTED_VALUE"""),45682.0)</f>
        <v>45682</v>
      </c>
    </row>
    <row r="1500">
      <c r="A1500" s="6" t="str">
        <f>IFERROR(__xludf.DUMMYFUNCTION("""COMPUTED_VALUE"""),"RIA")</f>
        <v>RIA</v>
      </c>
      <c r="B1500" s="6" t="str">
        <f>IFERROR(__xludf.DUMMYFUNCTION("""COMPUTED_VALUE"""),"ENG")</f>
        <v>ENG</v>
      </c>
      <c r="C1500" s="6" t="str">
        <f>IFERROR(__xludf.DUMMYFUNCTION("""COMPUTED_VALUE"""),"O-54008-00")</f>
        <v>O-54008-00</v>
      </c>
      <c r="D1500" s="6" t="str">
        <f>IFERROR(__xludf.DUMMYFUNCTION("""COMPUTED_VALUE"""),"MCB 1 PHASE, SCHNEIDER ELECTRIC, 25 AMPERE")</f>
        <v>MCB 1 PHASE, SCHNEIDER ELECTRIC, 25 AMPERE</v>
      </c>
      <c r="E1500" s="6">
        <f>IFERROR(__xludf.DUMMYFUNCTION("""COMPUTED_VALUE"""),1.0)</f>
        <v>1</v>
      </c>
      <c r="F1500" s="6">
        <f>IFERROR(__xludf.DUMMYFUNCTION("""COMPUTED_VALUE"""),1.0)</f>
        <v>1</v>
      </c>
      <c r="G1500" s="6">
        <f>IFERROR(__xludf.DUMMYFUNCTION("""COMPUTED_VALUE"""),0.0)</f>
        <v>0</v>
      </c>
      <c r="H1500" s="6" t="str">
        <f>IFERROR(__xludf.DUMMYFUNCTION("""COMPUTED_VALUE"""),"pcs")</f>
        <v>pcs</v>
      </c>
      <c r="I1500" s="6" t="str">
        <f>IFERROR(__xludf.DUMMYFUNCTION("""COMPUTED_VALUE"""),"MFH")</f>
        <v>MFH</v>
      </c>
      <c r="J1500" s="6" t="str">
        <f>IFERROR(__xludf.DUMMYFUNCTION("""COMPUTED_VALUE"""),"PW")</f>
        <v>PW</v>
      </c>
      <c r="K1500" s="6" t="str">
        <f>IFERROR(__xludf.DUMMYFUNCTION("""COMPUTED_VALUE"""),"SPR/01/25/002")</f>
        <v>SPR/01/25/002</v>
      </c>
      <c r="L1500" s="13">
        <f>IFERROR(__xludf.DUMMYFUNCTION("""COMPUTED_VALUE"""),45682.0)</f>
        <v>45682</v>
      </c>
    </row>
    <row r="1501">
      <c r="A1501" s="6" t="str">
        <f>IFERROR(__xludf.DUMMYFUNCTION("""COMPUTED_VALUE"""),"SFH")</f>
        <v>SFH</v>
      </c>
      <c r="B1501" s="6" t="str">
        <f>IFERROR(__xludf.DUMMYFUNCTION("""COMPUTED_VALUE"""),"ENG")</f>
        <v>ENG</v>
      </c>
      <c r="C1501" s="6" t="str">
        <f>IFERROR(__xludf.DUMMYFUNCTION("""COMPUTED_VALUE"""),"Q-60026-00")</f>
        <v>Q-60026-00</v>
      </c>
      <c r="D1501" s="6" t="str">
        <f>IFERROR(__xludf.DUMMYFUNCTION("""COMPUTED_VALUE"""),"Kuas 2"" Eterna")</f>
        <v>Kuas 2" Eterna</v>
      </c>
      <c r="E1501" s="6">
        <f>IFERROR(__xludf.DUMMYFUNCTION("""COMPUTED_VALUE"""),1.0)</f>
        <v>1</v>
      </c>
      <c r="F1501" s="6">
        <f>IFERROR(__xludf.DUMMYFUNCTION("""COMPUTED_VALUE"""),1.0)</f>
        <v>1</v>
      </c>
      <c r="G1501" s="6">
        <f>IFERROR(__xludf.DUMMYFUNCTION("""COMPUTED_VALUE"""),0.0)</f>
        <v>0</v>
      </c>
      <c r="H1501" s="6" t="str">
        <f>IFERROR(__xludf.DUMMYFUNCTION("""COMPUTED_VALUE"""),"pcs")</f>
        <v>pcs</v>
      </c>
      <c r="I1501" s="6" t="str">
        <f>IFERROR(__xludf.DUMMYFUNCTION("""COMPUTED_VALUE"""),"MFH")</f>
        <v>MFH</v>
      </c>
      <c r="J1501" s="6" t="str">
        <f>IFERROR(__xludf.DUMMYFUNCTION("""COMPUTED_VALUE"""),"Building")</f>
        <v>Building</v>
      </c>
      <c r="K1501" s="6" t="str">
        <f>IFERROR(__xludf.DUMMYFUNCTION("""COMPUTED_VALUE"""),"SPR/01/25/003")</f>
        <v>SPR/01/25/003</v>
      </c>
      <c r="L1501" s="13">
        <f>IFERROR(__xludf.DUMMYFUNCTION("""COMPUTED_VALUE"""),45682.0)</f>
        <v>45682</v>
      </c>
    </row>
    <row r="1502">
      <c r="A1502" s="6" t="str">
        <f>IFERROR(__xludf.DUMMYFUNCTION("""COMPUTED_VALUE"""),"MOB")</f>
        <v>MOB</v>
      </c>
      <c r="B1502" s="6" t="str">
        <f>IFERROR(__xludf.DUMMYFUNCTION("""COMPUTED_VALUE"""),"ENG")</f>
        <v>ENG</v>
      </c>
      <c r="C1502" s="6" t="str">
        <f>IFERROR(__xludf.DUMMYFUNCTION("""COMPUTED_VALUE"""),"O-14642-00")</f>
        <v>O-14642-00</v>
      </c>
      <c r="D1502" s="6" t="str">
        <f>IFERROR(__xludf.DUMMYFUNCTION("""COMPUTED_VALUE"""),"Silicone Gasket for Ferrule dia. 2,5""; ; ;")</f>
        <v>Silicone Gasket for Ferrule dia. 2,5"; ; ;</v>
      </c>
      <c r="E1502" s="6">
        <f>IFERROR(__xludf.DUMMYFUNCTION("""COMPUTED_VALUE"""),1.0)</f>
        <v>1</v>
      </c>
      <c r="F1502" s="6">
        <f>IFERROR(__xludf.DUMMYFUNCTION("""COMPUTED_VALUE"""),1.0)</f>
        <v>1</v>
      </c>
      <c r="G1502" s="6">
        <f>IFERROR(__xludf.DUMMYFUNCTION("""COMPUTED_VALUE"""),0.0)</f>
        <v>0</v>
      </c>
      <c r="H1502" s="6" t="str">
        <f>IFERROR(__xludf.DUMMYFUNCTION("""COMPUTED_VALUE"""),"pcs")</f>
        <v>pcs</v>
      </c>
      <c r="I1502" s="6" t="str">
        <f>IFERROR(__xludf.DUMMYFUNCTION("""COMPUTED_VALUE"""),"MFH")</f>
        <v>MFH</v>
      </c>
      <c r="J1502" s="6" t="str">
        <f>IFERROR(__xludf.DUMMYFUNCTION("""COMPUTED_VALUE"""),"PWG")</f>
        <v>PWG</v>
      </c>
      <c r="K1502" s="6" t="str">
        <f>IFERROR(__xludf.DUMMYFUNCTION("""COMPUTED_VALUE"""),"SPR/01/25/004")</f>
        <v>SPR/01/25/004</v>
      </c>
      <c r="L1502" s="13">
        <f>IFERROR(__xludf.DUMMYFUNCTION("""COMPUTED_VALUE"""),45682.0)</f>
        <v>45682</v>
      </c>
    </row>
    <row r="1503">
      <c r="A1503" s="6" t="str">
        <f>IFERROR(__xludf.DUMMYFUNCTION("""COMPUTED_VALUE"""),"MOB")</f>
        <v>MOB</v>
      </c>
      <c r="B1503" s="6" t="str">
        <f>IFERROR(__xludf.DUMMYFUNCTION("""COMPUTED_VALUE"""),"ENG")</f>
        <v>ENG</v>
      </c>
      <c r="C1503" s="6" t="str">
        <f>IFERROR(__xludf.DUMMYFUNCTION("""COMPUTED_VALUE"""),"P-12765-00")</f>
        <v>P-12765-00</v>
      </c>
      <c r="D1503" s="6" t="str">
        <f>IFERROR(__xludf.DUMMYFUNCTION("""COMPUTED_VALUE"""),"Silicone gasket for ferrule dia 2inch Taiwan")</f>
        <v>Silicone gasket for ferrule dia 2inch Taiwan</v>
      </c>
      <c r="E1503" s="6">
        <f>IFERROR(__xludf.DUMMYFUNCTION("""COMPUTED_VALUE"""),1.0)</f>
        <v>1</v>
      </c>
      <c r="F1503" s="6">
        <f>IFERROR(__xludf.DUMMYFUNCTION("""COMPUTED_VALUE"""),1.0)</f>
        <v>1</v>
      </c>
      <c r="G1503" s="6">
        <f>IFERROR(__xludf.DUMMYFUNCTION("""COMPUTED_VALUE"""),0.0)</f>
        <v>0</v>
      </c>
      <c r="H1503" s="6" t="str">
        <f>IFERROR(__xludf.DUMMYFUNCTION("""COMPUTED_VALUE"""),"pcs")</f>
        <v>pcs</v>
      </c>
      <c r="I1503" s="6" t="str">
        <f>IFERROR(__xludf.DUMMYFUNCTION("""COMPUTED_VALUE"""),"MFH")</f>
        <v>MFH</v>
      </c>
      <c r="J1503" s="6" t="str">
        <f>IFERROR(__xludf.DUMMYFUNCTION("""COMPUTED_VALUE"""),"PWG")</f>
        <v>PWG</v>
      </c>
      <c r="K1503" s="6" t="str">
        <f>IFERROR(__xludf.DUMMYFUNCTION("""COMPUTED_VALUE"""),"SPR/01/25/004")</f>
        <v>SPR/01/25/004</v>
      </c>
      <c r="L1503" s="13">
        <f>IFERROR(__xludf.DUMMYFUNCTION("""COMPUTED_VALUE"""),45682.0)</f>
        <v>45682</v>
      </c>
    </row>
    <row r="1504">
      <c r="A1504" s="6" t="str">
        <f>IFERROR(__xludf.DUMMYFUNCTION("""COMPUTED_VALUE"""),"MRN")</f>
        <v>MRN</v>
      </c>
      <c r="B1504" s="6" t="str">
        <f>IFERROR(__xludf.DUMMYFUNCTION("""COMPUTED_VALUE"""),"ENG")</f>
        <v>ENG</v>
      </c>
      <c r="C1504" s="6" t="str">
        <f>IFERROR(__xludf.DUMMYFUNCTION("""COMPUTED_VALUE"""),"P-11694-00")</f>
        <v>P-11694-00</v>
      </c>
      <c r="D1504" s="6" t="str">
        <f>IFERROR(__xludf.DUMMYFUNCTION("""COMPUTED_VALUE"""),"Mata Gerinda 4""")</f>
        <v>Mata Gerinda 4"</v>
      </c>
      <c r="E1504" s="6">
        <f>IFERROR(__xludf.DUMMYFUNCTION("""COMPUTED_VALUE"""),4.0)</f>
        <v>4</v>
      </c>
      <c r="F1504" s="6">
        <f>IFERROR(__xludf.DUMMYFUNCTION("""COMPUTED_VALUE"""),4.0)</f>
        <v>4</v>
      </c>
      <c r="G1504" s="6">
        <f>IFERROR(__xludf.DUMMYFUNCTION("""COMPUTED_VALUE"""),0.0)</f>
        <v>0</v>
      </c>
      <c r="H1504" s="6" t="str">
        <f>IFERROR(__xludf.DUMMYFUNCTION("""COMPUTED_VALUE"""),"pcs")</f>
        <v>pcs</v>
      </c>
      <c r="I1504" s="6" t="str">
        <f>IFERROR(__xludf.DUMMYFUNCTION("""COMPUTED_VALUE"""),"MFH")</f>
        <v>MFH</v>
      </c>
      <c r="J1504" s="6" t="str">
        <f>IFERROR(__xludf.DUMMYFUNCTION("""COMPUTED_VALUE"""),"Building")</f>
        <v>Building</v>
      </c>
      <c r="K1504" s="6" t="str">
        <f>IFERROR(__xludf.DUMMYFUNCTION("""COMPUTED_VALUE"""),"SPR/01/25/005")</f>
        <v>SPR/01/25/005</v>
      </c>
      <c r="L1504" s="13">
        <f>IFERROR(__xludf.DUMMYFUNCTION("""COMPUTED_VALUE"""),45682.0)</f>
        <v>45682</v>
      </c>
    </row>
    <row r="1505">
      <c r="A1505" s="6" t="str">
        <f>IFERROR(__xludf.DUMMYFUNCTION("""COMPUTED_VALUE"""),"MRN")</f>
        <v>MRN</v>
      </c>
      <c r="B1505" s="6" t="str">
        <f>IFERROR(__xludf.DUMMYFUNCTION("""COMPUTED_VALUE"""),"ENG")</f>
        <v>ENG</v>
      </c>
      <c r="C1505" s="6" t="str">
        <f>IFERROR(__xludf.DUMMYFUNCTION("""COMPUTED_VALUE"""),"-")</f>
        <v>-</v>
      </c>
      <c r="D1505" s="6" t="str">
        <f>IFERROR(__xludf.DUMMYFUNCTION("""COMPUTED_VALUE"""),"QS 1/2-8")</f>
        <v>QS 1/2-8</v>
      </c>
      <c r="E1505" s="6">
        <f>IFERROR(__xludf.DUMMYFUNCTION("""COMPUTED_VALUE"""),1.0)</f>
        <v>1</v>
      </c>
      <c r="F1505" s="6">
        <f>IFERROR(__xludf.DUMMYFUNCTION("""COMPUTED_VALUE"""),1.0)</f>
        <v>1</v>
      </c>
      <c r="G1505" s="6">
        <f>IFERROR(__xludf.DUMMYFUNCTION("""COMPUTED_VALUE"""),0.0)</f>
        <v>0</v>
      </c>
      <c r="H1505" s="6" t="str">
        <f>IFERROR(__xludf.DUMMYFUNCTION("""COMPUTED_VALUE"""),"pcs")</f>
        <v>pcs</v>
      </c>
      <c r="I1505" s="6" t="str">
        <f>IFERROR(__xludf.DUMMYFUNCTION("""COMPUTED_VALUE"""),"MFH")</f>
        <v>MFH</v>
      </c>
      <c r="J1505" s="6" t="str">
        <f>IFERROR(__xludf.DUMMYFUNCTION("""COMPUTED_VALUE"""),"WWTP")</f>
        <v>WWTP</v>
      </c>
      <c r="K1505" s="6" t="str">
        <f>IFERROR(__xludf.DUMMYFUNCTION("""COMPUTED_VALUE"""),"SPR/01/25/005")</f>
        <v>SPR/01/25/005</v>
      </c>
      <c r="L1505" s="13">
        <f>IFERROR(__xludf.DUMMYFUNCTION("""COMPUTED_VALUE"""),45682.0)</f>
        <v>45682</v>
      </c>
    </row>
    <row r="1506">
      <c r="A1506" s="6" t="str">
        <f>IFERROR(__xludf.DUMMYFUNCTION("""COMPUTED_VALUE"""),"MOB")</f>
        <v>MOB</v>
      </c>
      <c r="B1506" s="6" t="str">
        <f>IFERROR(__xludf.DUMMYFUNCTION("""COMPUTED_VALUE"""),"ENG")</f>
        <v>ENG</v>
      </c>
      <c r="C1506" s="6" t="str">
        <f>IFERROR(__xludf.DUMMYFUNCTION("""COMPUTED_VALUE"""),"P-19434-00")</f>
        <v>P-19434-00</v>
      </c>
      <c r="D1506" s="6" t="str">
        <f>IFERROR(__xludf.DUMMYFUNCTION("""COMPUTED_VALUE"""),"General - Chemical Cleaning; Kuclean; AC 101; 1 PL = 25 Kg")</f>
        <v>General - Chemical Cleaning; Kuclean; AC 101; 1 PL = 25 Kg</v>
      </c>
      <c r="E1506" s="6">
        <f>IFERROR(__xludf.DUMMYFUNCTION("""COMPUTED_VALUE"""),1.0)</f>
        <v>1</v>
      </c>
      <c r="F1506" s="6">
        <f>IFERROR(__xludf.DUMMYFUNCTION("""COMPUTED_VALUE"""),1.0)</f>
        <v>1</v>
      </c>
      <c r="G1506" s="6">
        <f>IFERROR(__xludf.DUMMYFUNCTION("""COMPUTED_VALUE"""),0.0)</f>
        <v>0</v>
      </c>
      <c r="H1506" s="6" t="str">
        <f>IFERROR(__xludf.DUMMYFUNCTION("""COMPUTED_VALUE"""),"Pail")</f>
        <v>Pail</v>
      </c>
      <c r="I1506" s="6" t="str">
        <f>IFERROR(__xludf.DUMMYFUNCTION("""COMPUTED_VALUE"""),"MFH")</f>
        <v>MFH</v>
      </c>
      <c r="J1506" s="6" t="str">
        <f>IFERROR(__xludf.DUMMYFUNCTION("""COMPUTED_VALUE"""),"AHU")</f>
        <v>AHU</v>
      </c>
      <c r="K1506" s="6" t="str">
        <f>IFERROR(__xludf.DUMMYFUNCTION("""COMPUTED_VALUE"""),"SPR/01/25/006")</f>
        <v>SPR/01/25/006</v>
      </c>
      <c r="L1506" s="13">
        <f>IFERROR(__xludf.DUMMYFUNCTION("""COMPUTED_VALUE"""),45682.0)</f>
        <v>45682</v>
      </c>
    </row>
    <row r="1507">
      <c r="A1507" s="6" t="str">
        <f>IFERROR(__xludf.DUMMYFUNCTION("""COMPUTED_VALUE"""),"MRN")</f>
        <v>MRN</v>
      </c>
      <c r="B1507" s="6" t="str">
        <f>IFERROR(__xludf.DUMMYFUNCTION("""COMPUTED_VALUE"""),"ENG")</f>
        <v>ENG</v>
      </c>
      <c r="C1507" s="6" t="str">
        <f>IFERROR(__xludf.DUMMYFUNCTION("""COMPUTED_VALUE"""),"Q-10517-00")</f>
        <v>Q-10517-00</v>
      </c>
      <c r="D1507" s="6" t="str">
        <f>IFERROR(__xludf.DUMMYFUNCTION("""COMPUTED_VALUE"""),"Scraper / Kape Besi; ; ;")</f>
        <v>Scraper / Kape Besi; ; ;</v>
      </c>
      <c r="E1507" s="6">
        <f>IFERROR(__xludf.DUMMYFUNCTION("""COMPUTED_VALUE"""),1.0)</f>
        <v>1</v>
      </c>
      <c r="F1507" s="6">
        <f>IFERROR(__xludf.DUMMYFUNCTION("""COMPUTED_VALUE"""),1.0)</f>
        <v>1</v>
      </c>
      <c r="G1507" s="6">
        <f>IFERROR(__xludf.DUMMYFUNCTION("""COMPUTED_VALUE"""),0.0)</f>
        <v>0</v>
      </c>
      <c r="H1507" s="6" t="str">
        <f>IFERROR(__xludf.DUMMYFUNCTION("""COMPUTED_VALUE"""),"pcs")</f>
        <v>pcs</v>
      </c>
      <c r="I1507" s="6" t="str">
        <f>IFERROR(__xludf.DUMMYFUNCTION("""COMPUTED_VALUE"""),"MFH")</f>
        <v>MFH</v>
      </c>
      <c r="J1507" s="6" t="str">
        <f>IFERROR(__xludf.DUMMYFUNCTION("""COMPUTED_VALUE"""),"Building")</f>
        <v>Building</v>
      </c>
      <c r="K1507" s="6" t="str">
        <f>IFERROR(__xludf.DUMMYFUNCTION("""COMPUTED_VALUE"""),"SPR/01/25/007")</f>
        <v>SPR/01/25/007</v>
      </c>
      <c r="L1507" s="13">
        <f>IFERROR(__xludf.DUMMYFUNCTION("""COMPUTED_VALUE"""),45682.0)</f>
        <v>45682</v>
      </c>
    </row>
    <row r="1508">
      <c r="A1508" s="6" t="str">
        <f>IFERROR(__xludf.DUMMYFUNCTION("""COMPUTED_VALUE"""),"MRN")</f>
        <v>MRN</v>
      </c>
      <c r="B1508" s="6" t="str">
        <f>IFERROR(__xludf.DUMMYFUNCTION("""COMPUTED_VALUE"""),"ENG")</f>
        <v>ENG</v>
      </c>
      <c r="C1508" s="6" t="str">
        <f>IFERROR(__xludf.DUMMYFUNCTION("""COMPUTED_VALUE"""),"O-16571-00")</f>
        <v>O-16571-00</v>
      </c>
      <c r="D1508" s="6" t="str">
        <f>IFERROR(__xludf.DUMMYFUNCTION("""COMPUTED_VALUE"""),"Marchesini MA155 - Conveyor Belt TS10 570 x 40 Habasit p/n:C720005740")</f>
        <v>Marchesini MA155 - Conveyor Belt TS10 570 x 40 Habasit p/n:C720005740</v>
      </c>
      <c r="E1508" s="6">
        <f>IFERROR(__xludf.DUMMYFUNCTION("""COMPUTED_VALUE"""),1.0)</f>
        <v>1</v>
      </c>
      <c r="F1508" s="6">
        <f>IFERROR(__xludf.DUMMYFUNCTION("""COMPUTED_VALUE"""),1.0)</f>
        <v>1</v>
      </c>
      <c r="G1508" s="6">
        <f>IFERROR(__xludf.DUMMYFUNCTION("""COMPUTED_VALUE"""),0.0)</f>
        <v>0</v>
      </c>
      <c r="H1508" s="6" t="str">
        <f>IFERROR(__xludf.DUMMYFUNCTION("""COMPUTED_VALUE"""),"pcs")</f>
        <v>pcs</v>
      </c>
      <c r="I1508" s="6" t="str">
        <f>IFERROR(__xludf.DUMMYFUNCTION("""COMPUTED_VALUE"""),"MFH")</f>
        <v>MFH</v>
      </c>
      <c r="J1508" s="6" t="str">
        <f>IFERROR(__xludf.DUMMYFUNCTION("""COMPUTED_VALUE"""),"Cartoning")</f>
        <v>Cartoning</v>
      </c>
      <c r="K1508" s="6" t="str">
        <f>IFERROR(__xludf.DUMMYFUNCTION("""COMPUTED_VALUE"""),"SPR/01/25/007")</f>
        <v>SPR/01/25/007</v>
      </c>
      <c r="L1508" s="13">
        <f>IFERROR(__xludf.DUMMYFUNCTION("""COMPUTED_VALUE"""),45682.0)</f>
        <v>45682</v>
      </c>
    </row>
    <row r="1509">
      <c r="A1509" s="6" t="str">
        <f>IFERROR(__xludf.DUMMYFUNCTION("""COMPUTED_VALUE"""),"MRN")</f>
        <v>MRN</v>
      </c>
      <c r="B1509" s="6" t="str">
        <f>IFERROR(__xludf.DUMMYFUNCTION("""COMPUTED_VALUE"""),"ENG")</f>
        <v>ENG</v>
      </c>
      <c r="C1509" s="6" t="str">
        <f>IFERROR(__xludf.DUMMYFUNCTION("""COMPUTED_VALUE"""),"O-16571-00")</f>
        <v>O-16571-00</v>
      </c>
      <c r="D1509" s="6" t="str">
        <f>IFERROR(__xludf.DUMMYFUNCTION("""COMPUTED_VALUE"""),"Marchesini MA155 - Conveyor Belt TS10 570 x 40 Habasit p/n:C720005740")</f>
        <v>Marchesini MA155 - Conveyor Belt TS10 570 x 40 Habasit p/n:C720005740</v>
      </c>
      <c r="E1509" s="6">
        <f>IFERROR(__xludf.DUMMYFUNCTION("""COMPUTED_VALUE"""),1.0)</f>
        <v>1</v>
      </c>
      <c r="F1509" s="6">
        <f>IFERROR(__xludf.DUMMYFUNCTION("""COMPUTED_VALUE"""),1.0)</f>
        <v>1</v>
      </c>
      <c r="G1509" s="6">
        <f>IFERROR(__xludf.DUMMYFUNCTION("""COMPUTED_VALUE"""),0.0)</f>
        <v>0</v>
      </c>
      <c r="H1509" s="6" t="str">
        <f>IFERROR(__xludf.DUMMYFUNCTION("""COMPUTED_VALUE"""),"pcs")</f>
        <v>pcs</v>
      </c>
      <c r="I1509" s="6" t="str">
        <f>IFERROR(__xludf.DUMMYFUNCTION("""COMPUTED_VALUE"""),"MFH")</f>
        <v>MFH</v>
      </c>
      <c r="J1509" s="6" t="str">
        <f>IFERROR(__xludf.DUMMYFUNCTION("""COMPUTED_VALUE"""),"Cartoning")</f>
        <v>Cartoning</v>
      </c>
      <c r="K1509" s="6" t="str">
        <f>IFERROR(__xludf.DUMMYFUNCTION("""COMPUTED_VALUE"""),"SPR/01/25/007")</f>
        <v>SPR/01/25/007</v>
      </c>
      <c r="L1509" s="13">
        <f>IFERROR(__xludf.DUMMYFUNCTION("""COMPUTED_VALUE"""),45682.0)</f>
        <v>45682</v>
      </c>
    </row>
    <row r="1510">
      <c r="A1510" s="6" t="str">
        <f>IFERROR(__xludf.DUMMYFUNCTION("""COMPUTED_VALUE"""),"RIA")</f>
        <v>RIA</v>
      </c>
      <c r="B1510" s="6" t="str">
        <f>IFERROR(__xludf.DUMMYFUNCTION("""COMPUTED_VALUE"""),"ENG")</f>
        <v>ENG</v>
      </c>
      <c r="C1510" s="6" t="str">
        <f>IFERROR(__xludf.DUMMYFUNCTION("""COMPUTED_VALUE"""),"P-52992-00")</f>
        <v>P-52992-00</v>
      </c>
      <c r="D1510" s="6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E1510" s="6">
        <f>IFERROR(__xludf.DUMMYFUNCTION("""COMPUTED_VALUE"""),2.0)</f>
        <v>2</v>
      </c>
      <c r="F1510" s="6">
        <f>IFERROR(__xludf.DUMMYFUNCTION("""COMPUTED_VALUE"""),2.0)</f>
        <v>2</v>
      </c>
      <c r="G1510" s="6">
        <f>IFERROR(__xludf.DUMMYFUNCTION("""COMPUTED_VALUE"""),0.0)</f>
        <v>0</v>
      </c>
      <c r="H1510" s="6" t="str">
        <f>IFERROR(__xludf.DUMMYFUNCTION("""COMPUTED_VALUE"""),"pcs")</f>
        <v>pcs</v>
      </c>
      <c r="I1510" s="6" t="str">
        <f>IFERROR(__xludf.DUMMYFUNCTION("""COMPUTED_VALUE"""),"MFH")</f>
        <v>MFH</v>
      </c>
      <c r="J1510" s="6" t="str">
        <f>IFERROR(__xludf.DUMMYFUNCTION("""COMPUTED_VALUE"""),"Hot Water")</f>
        <v>Hot Water</v>
      </c>
      <c r="K1510" s="6" t="str">
        <f>IFERROR(__xludf.DUMMYFUNCTION("""COMPUTED_VALUE"""),"SPR/01/25/008")</f>
        <v>SPR/01/25/008</v>
      </c>
      <c r="L1510" s="13">
        <f>IFERROR(__xludf.DUMMYFUNCTION("""COMPUTED_VALUE"""),45682.0)</f>
        <v>45682</v>
      </c>
    </row>
    <row r="1511">
      <c r="A1511" s="6" t="str">
        <f>IFERROR(__xludf.DUMMYFUNCTION("""COMPUTED_VALUE"""),"MRN")</f>
        <v>MRN</v>
      </c>
      <c r="B1511" s="6" t="str">
        <f>IFERROR(__xludf.DUMMYFUNCTION("""COMPUTED_VALUE"""),"ENG")</f>
        <v>ENG</v>
      </c>
      <c r="C1511" s="6" t="str">
        <f>IFERROR(__xludf.DUMMYFUNCTION("""COMPUTED_VALUE"""),"O-15718-00")</f>
        <v>O-15718-00</v>
      </c>
      <c r="D1511" s="6" t="str">
        <f>IFERROR(__xludf.DUMMYFUNCTION("""COMPUTED_VALUE"""),"SYNTHETIC FOOD GRADE, CRC - P/N : NSF H1 pc")</f>
        <v>SYNTHETIC FOOD GRADE, CRC - P/N : NSF H1 pc</v>
      </c>
      <c r="E1511" s="6">
        <f>IFERROR(__xludf.DUMMYFUNCTION("""COMPUTED_VALUE"""),1.0)</f>
        <v>1</v>
      </c>
      <c r="F1511" s="6">
        <f>IFERROR(__xludf.DUMMYFUNCTION("""COMPUTED_VALUE"""),1.0)</f>
        <v>1</v>
      </c>
      <c r="G1511" s="6">
        <f>IFERROR(__xludf.DUMMYFUNCTION("""COMPUTED_VALUE"""),0.0)</f>
        <v>0</v>
      </c>
      <c r="H1511" s="6" t="str">
        <f>IFERROR(__xludf.DUMMYFUNCTION("""COMPUTED_VALUE"""),"can")</f>
        <v>can</v>
      </c>
      <c r="I1511" s="6" t="str">
        <f>IFERROR(__xludf.DUMMYFUNCTION("""COMPUTED_VALUE"""),"MFH")</f>
        <v>MFH</v>
      </c>
      <c r="J1511" s="6" t="str">
        <f>IFERROR(__xludf.DUMMYFUNCTION("""COMPUTED_VALUE"""),"Building")</f>
        <v>Building</v>
      </c>
      <c r="K1511" s="6" t="str">
        <f>IFERROR(__xludf.DUMMYFUNCTION("""COMPUTED_VALUE"""),"SPR/01/25/009")</f>
        <v>SPR/01/25/009</v>
      </c>
      <c r="L1511" s="13">
        <f>IFERROR(__xludf.DUMMYFUNCTION("""COMPUTED_VALUE"""),45682.0)</f>
        <v>45682</v>
      </c>
    </row>
    <row r="1512">
      <c r="A1512" s="6" t="str">
        <f>IFERROR(__xludf.DUMMYFUNCTION("""COMPUTED_VALUE"""),"AAA")</f>
        <v>AAA</v>
      </c>
      <c r="B1512" s="6" t="str">
        <f>IFERROR(__xludf.DUMMYFUNCTION("""COMPUTED_VALUE"""),"ENG")</f>
        <v>ENG</v>
      </c>
      <c r="C1512" s="6" t="str">
        <f>IFERROR(__xludf.DUMMYFUNCTION("""COMPUTED_VALUE"""),"P-53214-00")</f>
        <v>P-53214-00</v>
      </c>
      <c r="D1512" s="6" t="str">
        <f>IFERROR(__xludf.DUMMYFUNCTION("""COMPUTED_VALUE"""),"Epoxy Adhesive DEXTONE; ; ;")</f>
        <v>Epoxy Adhesive DEXTONE; ; ;</v>
      </c>
      <c r="E1512" s="6">
        <f>IFERROR(__xludf.DUMMYFUNCTION("""COMPUTED_VALUE"""),1.0)</f>
        <v>1</v>
      </c>
      <c r="F1512" s="6">
        <f>IFERROR(__xludf.DUMMYFUNCTION("""COMPUTED_VALUE"""),1.0)</f>
        <v>1</v>
      </c>
      <c r="G1512" s="6">
        <f>IFERROR(__xludf.DUMMYFUNCTION("""COMPUTED_VALUE"""),0.0)</f>
        <v>0</v>
      </c>
      <c r="H1512" s="6" t="str">
        <f>IFERROR(__xludf.DUMMYFUNCTION("""COMPUTED_VALUE"""),"Set")</f>
        <v>Set</v>
      </c>
      <c r="I1512" s="6" t="str">
        <f>IFERROR(__xludf.DUMMYFUNCTION("""COMPUTED_VALUE"""),"MFH")</f>
        <v>MFH</v>
      </c>
      <c r="J1512" s="6" t="str">
        <f>IFERROR(__xludf.DUMMYFUNCTION("""COMPUTED_VALUE"""),"Washing")</f>
        <v>Washing</v>
      </c>
      <c r="K1512" s="6" t="str">
        <f>IFERROR(__xludf.DUMMYFUNCTION("""COMPUTED_VALUE"""),"SPR/01/25/010")</f>
        <v>SPR/01/25/010</v>
      </c>
      <c r="L1512" s="13">
        <f>IFERROR(__xludf.DUMMYFUNCTION("""COMPUTED_VALUE"""),45682.0)</f>
        <v>45682</v>
      </c>
    </row>
    <row r="1513">
      <c r="A1513" s="6" t="str">
        <f>IFERROR(__xludf.DUMMYFUNCTION("""COMPUTED_VALUE"""),"AAA")</f>
        <v>AAA</v>
      </c>
      <c r="B1513" s="6" t="str">
        <f>IFERROR(__xludf.DUMMYFUNCTION("""COMPUTED_VALUE"""),"ENG")</f>
        <v>ENG</v>
      </c>
      <c r="C1513" s="6" t="str">
        <f>IFERROR(__xludf.DUMMYFUNCTION("""COMPUTED_VALUE"""),"Q-10249-00")</f>
        <v>Q-10249-00</v>
      </c>
      <c r="D1513" s="6" t="str">
        <f>IFERROR(__xludf.DUMMYFUNCTION("""COMPUTED_VALUE"""),"Lem Power Glue")</f>
        <v>Lem Power Glue</v>
      </c>
      <c r="E1513" s="6">
        <f>IFERROR(__xludf.DUMMYFUNCTION("""COMPUTED_VALUE"""),1.0)</f>
        <v>1</v>
      </c>
      <c r="F1513" s="6">
        <f>IFERROR(__xludf.DUMMYFUNCTION("""COMPUTED_VALUE"""),1.0)</f>
        <v>1</v>
      </c>
      <c r="G1513" s="6">
        <f>IFERROR(__xludf.DUMMYFUNCTION("""COMPUTED_VALUE"""),0.0)</f>
        <v>0</v>
      </c>
      <c r="H1513" s="6" t="str">
        <f>IFERROR(__xludf.DUMMYFUNCTION("""COMPUTED_VALUE"""),"pcs")</f>
        <v>pcs</v>
      </c>
      <c r="I1513" s="6" t="str">
        <f>IFERROR(__xludf.DUMMYFUNCTION("""COMPUTED_VALUE"""),"MFH")</f>
        <v>MFH</v>
      </c>
      <c r="J1513" s="6" t="str">
        <f>IFERROR(__xludf.DUMMYFUNCTION("""COMPUTED_VALUE"""),"Washing")</f>
        <v>Washing</v>
      </c>
      <c r="K1513" s="6" t="str">
        <f>IFERROR(__xludf.DUMMYFUNCTION("""COMPUTED_VALUE"""),"SPR/01/25/010")</f>
        <v>SPR/01/25/010</v>
      </c>
      <c r="L1513" s="13">
        <f>IFERROR(__xludf.DUMMYFUNCTION("""COMPUTED_VALUE"""),45682.0)</f>
        <v>45682</v>
      </c>
    </row>
    <row r="1514">
      <c r="A1514" s="6" t="str">
        <f>IFERROR(__xludf.DUMMYFUNCTION("""COMPUTED_VALUE"""),"MOB")</f>
        <v>MOB</v>
      </c>
      <c r="B1514" s="6" t="str">
        <f>IFERROR(__xludf.DUMMYFUNCTION("""COMPUTED_VALUE"""),"ENG")</f>
        <v>ENG</v>
      </c>
      <c r="C1514" s="6" t="str">
        <f>IFERROR(__xludf.DUMMYFUNCTION("""COMPUTED_VALUE"""),"P-14424-00")</f>
        <v>P-14424-00</v>
      </c>
      <c r="D1514" s="6" t="str">
        <f>IFERROR(__xludf.DUMMYFUNCTION("""COMPUTED_VALUE"""),"Garam Kutreat RGN-9800F; ; ; 25Kg/zak")</f>
        <v>Garam Kutreat RGN-9800F; ; ; 25Kg/zak</v>
      </c>
      <c r="E1514" s="6">
        <f>IFERROR(__xludf.DUMMYFUNCTION("""COMPUTED_VALUE"""),25.0)</f>
        <v>25</v>
      </c>
      <c r="F1514" s="6">
        <f>IFERROR(__xludf.DUMMYFUNCTION("""COMPUTED_VALUE"""),25.0)</f>
        <v>25</v>
      </c>
      <c r="G1514" s="6">
        <f>IFERROR(__xludf.DUMMYFUNCTION("""COMPUTED_VALUE"""),0.0)</f>
        <v>0</v>
      </c>
      <c r="H1514" s="6" t="str">
        <f>IFERROR(__xludf.DUMMYFUNCTION("""COMPUTED_VALUE"""),"Kg")</f>
        <v>Kg</v>
      </c>
      <c r="I1514" s="6" t="str">
        <f>IFERROR(__xludf.DUMMYFUNCTION("""COMPUTED_VALUE"""),"MFH")</f>
        <v>MFH</v>
      </c>
      <c r="J1514" s="6" t="str">
        <f>IFERROR(__xludf.DUMMYFUNCTION("""COMPUTED_VALUE"""),"PWG")</f>
        <v>PWG</v>
      </c>
      <c r="K1514" s="6" t="str">
        <f>IFERROR(__xludf.DUMMYFUNCTION("""COMPUTED_VALUE"""),"SPR/01/25/011")</f>
        <v>SPR/01/25/011</v>
      </c>
      <c r="L1514" s="13">
        <f>IFERROR(__xludf.DUMMYFUNCTION("""COMPUTED_VALUE"""),45682.0)</f>
        <v>45682</v>
      </c>
    </row>
    <row r="1515">
      <c r="A1515" s="6" t="str">
        <f>IFERROR(__xludf.DUMMYFUNCTION("""COMPUTED_VALUE"""),"MOB")</f>
        <v>MOB</v>
      </c>
      <c r="B1515" s="6" t="str">
        <f>IFERROR(__xludf.DUMMYFUNCTION("""COMPUTED_VALUE"""),"ENG")</f>
        <v>ENG</v>
      </c>
      <c r="C1515" s="6" t="str">
        <f>IFERROR(__xludf.DUMMYFUNCTION("""COMPUTED_VALUE"""),"-")</f>
        <v>-</v>
      </c>
      <c r="D1515" s="6" t="str">
        <f>IFERROR(__xludf.DUMMYFUNCTION("""COMPUTED_VALUE"""),"NAOH")</f>
        <v>NAOH</v>
      </c>
      <c r="E1515" s="6">
        <f>IFERROR(__xludf.DUMMYFUNCTION("""COMPUTED_VALUE"""),1.0)</f>
        <v>1</v>
      </c>
      <c r="F1515" s="6">
        <f>IFERROR(__xludf.DUMMYFUNCTION("""COMPUTED_VALUE"""),1.0)</f>
        <v>1</v>
      </c>
      <c r="G1515" s="6">
        <f>IFERROR(__xludf.DUMMYFUNCTION("""COMPUTED_VALUE"""),0.0)</f>
        <v>0</v>
      </c>
      <c r="H1515" s="6" t="str">
        <f>IFERROR(__xludf.DUMMYFUNCTION("""COMPUTED_VALUE"""),"Sak")</f>
        <v>Sak</v>
      </c>
      <c r="I1515" s="6" t="str">
        <f>IFERROR(__xludf.DUMMYFUNCTION("""COMPUTED_VALUE"""),"MFH")</f>
        <v>MFH</v>
      </c>
      <c r="J1515" s="6" t="str">
        <f>IFERROR(__xludf.DUMMYFUNCTION("""COMPUTED_VALUE"""),"PWG")</f>
        <v>PWG</v>
      </c>
      <c r="K1515" s="6" t="str">
        <f>IFERROR(__xludf.DUMMYFUNCTION("""COMPUTED_VALUE"""),"SPR/01/25/011")</f>
        <v>SPR/01/25/011</v>
      </c>
      <c r="L1515" s="13">
        <f>IFERROR(__xludf.DUMMYFUNCTION("""COMPUTED_VALUE"""),45682.0)</f>
        <v>45682</v>
      </c>
    </row>
    <row r="1516">
      <c r="A1516" s="6" t="str">
        <f>IFERROR(__xludf.DUMMYFUNCTION("""COMPUTED_VALUE"""),"MRN")</f>
        <v>MRN</v>
      </c>
      <c r="B1516" s="6" t="str">
        <f>IFERROR(__xludf.DUMMYFUNCTION("""COMPUTED_VALUE"""),"ENG")</f>
        <v>ENG</v>
      </c>
      <c r="C1516" s="6" t="str">
        <f>IFERROR(__xludf.DUMMYFUNCTION("""COMPUTED_VALUE"""),"T-80109-00")</f>
        <v>T-80109-00</v>
      </c>
      <c r="D1516" s="6" t="str">
        <f>IFERROR(__xludf.DUMMYFUNCTION("""COMPUTED_VALUE"""),"Cellotape Kertas 1 inch warna Putih")</f>
        <v>Cellotape Kertas 1 inch warna Putih</v>
      </c>
      <c r="E1516" s="6">
        <f>IFERROR(__xludf.DUMMYFUNCTION("""COMPUTED_VALUE"""),4.0)</f>
        <v>4</v>
      </c>
      <c r="F1516" s="6">
        <f>IFERROR(__xludf.DUMMYFUNCTION("""COMPUTED_VALUE"""),4.0)</f>
        <v>4</v>
      </c>
      <c r="G1516" s="6">
        <f>IFERROR(__xludf.DUMMYFUNCTION("""COMPUTED_VALUE"""),0.0)</f>
        <v>0</v>
      </c>
      <c r="H1516" s="6" t="str">
        <f>IFERROR(__xludf.DUMMYFUNCTION("""COMPUTED_VALUE"""),"pcs")</f>
        <v>pcs</v>
      </c>
      <c r="I1516" s="6" t="str">
        <f>IFERROR(__xludf.DUMMYFUNCTION("""COMPUTED_VALUE"""),"MFH")</f>
        <v>MFH</v>
      </c>
      <c r="J1516" s="6" t="str">
        <f>IFERROR(__xludf.DUMMYFUNCTION("""COMPUTED_VALUE"""),"Building")</f>
        <v>Building</v>
      </c>
      <c r="K1516" s="6" t="str">
        <f>IFERROR(__xludf.DUMMYFUNCTION("""COMPUTED_VALUE"""),"SPR/01/25/012")</f>
        <v>SPR/01/25/012</v>
      </c>
      <c r="L1516" s="13">
        <f>IFERROR(__xludf.DUMMYFUNCTION("""COMPUTED_VALUE"""),45682.0)</f>
        <v>45682</v>
      </c>
    </row>
    <row r="1517">
      <c r="A1517" s="6" t="str">
        <f>IFERROR(__xludf.DUMMYFUNCTION("""COMPUTED_VALUE"""),"MRN")</f>
        <v>MRN</v>
      </c>
      <c r="B1517" s="6" t="str">
        <f>IFERROR(__xludf.DUMMYFUNCTION("""COMPUTED_VALUE"""),"ENG")</f>
        <v>ENG</v>
      </c>
      <c r="C1517" s="6" t="str">
        <f>IFERROR(__xludf.DUMMYFUNCTION("""COMPUTED_VALUE"""),"Q-10134-00")</f>
        <v>Q-10134-00</v>
      </c>
      <c r="D1517" s="6" t="str">
        <f>IFERROR(__xludf.DUMMYFUNCTION("""COMPUTED_VALUE"""),"TOTO - Jet Shower spray TX 403S")</f>
        <v>TOTO - Jet Shower spray TX 403S</v>
      </c>
      <c r="E1517" s="6">
        <f>IFERROR(__xludf.DUMMYFUNCTION("""COMPUTED_VALUE"""),1.0)</f>
        <v>1</v>
      </c>
      <c r="F1517" s="6">
        <f>IFERROR(__xludf.DUMMYFUNCTION("""COMPUTED_VALUE"""),1.0)</f>
        <v>1</v>
      </c>
      <c r="G1517" s="6">
        <f>IFERROR(__xludf.DUMMYFUNCTION("""COMPUTED_VALUE"""),0.0)</f>
        <v>0</v>
      </c>
      <c r="H1517" s="6" t="str">
        <f>IFERROR(__xludf.DUMMYFUNCTION("""COMPUTED_VALUE"""),"pcs")</f>
        <v>pcs</v>
      </c>
      <c r="I1517" s="6" t="str">
        <f>IFERROR(__xludf.DUMMYFUNCTION("""COMPUTED_VALUE"""),"MFH")</f>
        <v>MFH</v>
      </c>
      <c r="J1517" s="6" t="str">
        <f>IFERROR(__xludf.DUMMYFUNCTION("""COMPUTED_VALUE"""),"Building")</f>
        <v>Building</v>
      </c>
      <c r="K1517" s="6" t="str">
        <f>IFERROR(__xludf.DUMMYFUNCTION("""COMPUTED_VALUE"""),"SPR/01/25/012")</f>
        <v>SPR/01/25/012</v>
      </c>
      <c r="L1517" s="13">
        <f>IFERROR(__xludf.DUMMYFUNCTION("""COMPUTED_VALUE"""),45682.0)</f>
        <v>45682</v>
      </c>
    </row>
    <row r="1518">
      <c r="A1518" s="6" t="str">
        <f>IFERROR(__xludf.DUMMYFUNCTION("""COMPUTED_VALUE"""),"MRN")</f>
        <v>MRN</v>
      </c>
      <c r="B1518" s="6" t="str">
        <f>IFERROR(__xludf.DUMMYFUNCTION("""COMPUTED_VALUE"""),"ENG")</f>
        <v>ENG</v>
      </c>
      <c r="C1518" s="6" t="str">
        <f>IFERROR(__xludf.DUMMYFUNCTION("""COMPUTED_VALUE"""),"P-10945-00")</f>
        <v>P-10945-00</v>
      </c>
      <c r="D1518" s="6" t="str">
        <f>IFERROR(__xludf.DUMMYFUNCTION("""COMPUTED_VALUE"""),"Insulation - Seal Tape onda")</f>
        <v>Insulation - Seal Tape onda</v>
      </c>
      <c r="E1518" s="6">
        <f>IFERROR(__xludf.DUMMYFUNCTION("""COMPUTED_VALUE"""),1.0)</f>
        <v>1</v>
      </c>
      <c r="F1518" s="6">
        <f>IFERROR(__xludf.DUMMYFUNCTION("""COMPUTED_VALUE"""),1.0)</f>
        <v>1</v>
      </c>
      <c r="G1518" s="6">
        <f>IFERROR(__xludf.DUMMYFUNCTION("""COMPUTED_VALUE"""),0.0)</f>
        <v>0</v>
      </c>
      <c r="H1518" s="6" t="str">
        <f>IFERROR(__xludf.DUMMYFUNCTION("""COMPUTED_VALUE"""),"Pcs")</f>
        <v>Pcs</v>
      </c>
      <c r="I1518" s="6" t="str">
        <f>IFERROR(__xludf.DUMMYFUNCTION("""COMPUTED_VALUE"""),"MFH")</f>
        <v>MFH</v>
      </c>
      <c r="J1518" s="6" t="str">
        <f>IFERROR(__xludf.DUMMYFUNCTION("""COMPUTED_VALUE"""),"Building")</f>
        <v>Building</v>
      </c>
      <c r="K1518" s="6" t="str">
        <f>IFERROR(__xludf.DUMMYFUNCTION("""COMPUTED_VALUE"""),"SPR/01/25/012")</f>
        <v>SPR/01/25/012</v>
      </c>
      <c r="L1518" s="13">
        <f>IFERROR(__xludf.DUMMYFUNCTION("""COMPUTED_VALUE"""),45682.0)</f>
        <v>45682</v>
      </c>
    </row>
    <row r="1519">
      <c r="A1519" s="6" t="str">
        <f>IFERROR(__xludf.DUMMYFUNCTION("""COMPUTED_VALUE"""),"ANO")</f>
        <v>ANO</v>
      </c>
      <c r="B1519" s="6" t="str">
        <f>IFERROR(__xludf.DUMMYFUNCTION("""COMPUTED_VALUE"""),"ENG")</f>
        <v>ENG</v>
      </c>
      <c r="C1519" s="6" t="str">
        <f>IFERROR(__xludf.DUMMYFUNCTION("""COMPUTED_VALUE"""),"-")</f>
        <v>-</v>
      </c>
      <c r="D1519" s="6" t="str">
        <f>IFERROR(__xludf.DUMMYFUNCTION("""COMPUTED_VALUE"""),"Oring Seal  16.4*20*3 mm")</f>
        <v>Oring Seal  16.4*20*3 mm</v>
      </c>
      <c r="E1519" s="6">
        <f>IFERROR(__xludf.DUMMYFUNCTION("""COMPUTED_VALUE"""),1.0)</f>
        <v>1</v>
      </c>
      <c r="F1519" s="6">
        <f>IFERROR(__xludf.DUMMYFUNCTION("""COMPUTED_VALUE"""),1.0)</f>
        <v>1</v>
      </c>
      <c r="G1519" s="6">
        <f>IFERROR(__xludf.DUMMYFUNCTION("""COMPUTED_VALUE"""),0.0)</f>
        <v>0</v>
      </c>
      <c r="H1519" s="6" t="str">
        <f>IFERROR(__xludf.DUMMYFUNCTION("""COMPUTED_VALUE"""),"Pcs")</f>
        <v>Pcs</v>
      </c>
      <c r="I1519" s="6" t="str">
        <f>IFERROR(__xludf.DUMMYFUNCTION("""COMPUTED_VALUE"""),"RYP")</f>
        <v>RYP</v>
      </c>
      <c r="J1519" s="6" t="str">
        <f>IFERROR(__xludf.DUMMYFUNCTION("""COMPUTED_VALUE"""),"Autoclave")</f>
        <v>Autoclave</v>
      </c>
      <c r="K1519" s="6" t="str">
        <f>IFERROR(__xludf.DUMMYFUNCTION("""COMPUTED_VALUE"""),"SPR/02/25/001")</f>
        <v>SPR/02/25/001</v>
      </c>
      <c r="L1519" s="13">
        <f>IFERROR(__xludf.DUMMYFUNCTION("""COMPUTED_VALUE"""),45715.0)</f>
        <v>45715</v>
      </c>
    </row>
    <row r="1520">
      <c r="A1520" s="6" t="str">
        <f>IFERROR(__xludf.DUMMYFUNCTION("""COMPUTED_VALUE"""),"MRM")</f>
        <v>MRM</v>
      </c>
      <c r="B1520" s="6" t="str">
        <f>IFERROR(__xludf.DUMMYFUNCTION("""COMPUTED_VALUE"""),"ENG")</f>
        <v>ENG</v>
      </c>
      <c r="C1520" s="6" t="str">
        <f>IFERROR(__xludf.DUMMYFUNCTION("""COMPUTED_VALUE"""),"Q-10128-00")</f>
        <v>Q-10128-00</v>
      </c>
      <c r="D1520" s="6" t="str">
        <f>IFERROR(__xludf.DUMMYFUNCTION("""COMPUTED_VALUE"""),"Thinner Super End/Impala")</f>
        <v>Thinner Super End/Impala</v>
      </c>
      <c r="E1520" s="6">
        <f>IFERROR(__xludf.DUMMYFUNCTION("""COMPUTED_VALUE"""),1.0)</f>
        <v>1</v>
      </c>
      <c r="F1520" s="6">
        <f>IFERROR(__xludf.DUMMYFUNCTION("""COMPUTED_VALUE"""),1.0)</f>
        <v>1</v>
      </c>
      <c r="G1520" s="6">
        <f>IFERROR(__xludf.DUMMYFUNCTION("""COMPUTED_VALUE"""),0.0)</f>
        <v>0</v>
      </c>
      <c r="H1520" s="6" t="str">
        <f>IFERROR(__xludf.DUMMYFUNCTION("""COMPUTED_VALUE"""),"Pcs")</f>
        <v>Pcs</v>
      </c>
      <c r="I1520" s="6" t="str">
        <f>IFERROR(__xludf.DUMMYFUNCTION("""COMPUTED_VALUE"""),"RYP")</f>
        <v>RYP</v>
      </c>
      <c r="J1520" s="6" t="str">
        <f>IFERROR(__xludf.DUMMYFUNCTION("""COMPUTED_VALUE"""),"Building")</f>
        <v>Building</v>
      </c>
      <c r="K1520" s="6" t="str">
        <f>IFERROR(__xludf.DUMMYFUNCTION("""COMPUTED_VALUE"""),"SPR/02/25/002")</f>
        <v>SPR/02/25/002</v>
      </c>
      <c r="L1520" s="13">
        <f>IFERROR(__xludf.DUMMYFUNCTION("""COMPUTED_VALUE"""),45715.0)</f>
        <v>45715</v>
      </c>
    </row>
    <row r="1521">
      <c r="A1521" s="6" t="str">
        <f>IFERROR(__xludf.DUMMYFUNCTION("""COMPUTED_VALUE"""),"RMA")</f>
        <v>RMA</v>
      </c>
      <c r="B1521" s="6" t="str">
        <f>IFERROR(__xludf.DUMMYFUNCTION("""COMPUTED_VALUE"""),"ENG")</f>
        <v>ENG</v>
      </c>
      <c r="C1521" s="6" t="str">
        <f>IFERROR(__xludf.DUMMYFUNCTION("""COMPUTED_VALUE"""),"P-12433-00")</f>
        <v>P-12433-00</v>
      </c>
      <c r="D1521" s="6" t="str">
        <f>IFERROR(__xludf.DUMMYFUNCTION("""COMPUTED_VALUE"""),"Thinner Super End/Impala")</f>
        <v>Thinner Super End/Impala</v>
      </c>
      <c r="E1521" s="6">
        <f>IFERROR(__xludf.DUMMYFUNCTION("""COMPUTED_VALUE"""),1.0)</f>
        <v>1</v>
      </c>
      <c r="F1521" s="6">
        <f>IFERROR(__xludf.DUMMYFUNCTION("""COMPUTED_VALUE"""),1.0)</f>
        <v>1</v>
      </c>
      <c r="G1521" s="6">
        <f>IFERROR(__xludf.DUMMYFUNCTION("""COMPUTED_VALUE"""),0.0)</f>
        <v>0</v>
      </c>
      <c r="H1521" s="6" t="str">
        <f>IFERROR(__xludf.DUMMYFUNCTION("""COMPUTED_VALUE"""),"Pcs")</f>
        <v>Pcs</v>
      </c>
      <c r="I1521" s="6" t="str">
        <f>IFERROR(__xludf.DUMMYFUNCTION("""COMPUTED_VALUE"""),"RYP")</f>
        <v>RYP</v>
      </c>
      <c r="J1521" s="6" t="str">
        <f>IFERROR(__xludf.DUMMYFUNCTION("""COMPUTED_VALUE"""),"Building")</f>
        <v>Building</v>
      </c>
      <c r="K1521" s="6" t="str">
        <f>IFERROR(__xludf.DUMMYFUNCTION("""COMPUTED_VALUE"""),"SPR/02/25/003")</f>
        <v>SPR/02/25/003</v>
      </c>
      <c r="L1521" s="13">
        <f>IFERROR(__xludf.DUMMYFUNCTION("""COMPUTED_VALUE"""),45715.0)</f>
        <v>45715</v>
      </c>
    </row>
    <row r="1522">
      <c r="A1522" s="6" t="str">
        <f>IFERROR(__xludf.DUMMYFUNCTION("""COMPUTED_VALUE"""),"MOB")</f>
        <v>MOB</v>
      </c>
      <c r="B1522" s="6" t="str">
        <f>IFERROR(__xludf.DUMMYFUNCTION("""COMPUTED_VALUE"""),"ENG")</f>
        <v>ENG</v>
      </c>
      <c r="C1522" s="6" t="str">
        <f>IFERROR(__xludf.DUMMYFUNCTION("""COMPUTED_VALUE"""),"P-15938-00")</f>
        <v>P-15938-00</v>
      </c>
      <c r="D1522" s="6" t="str">
        <f>IFERROR(__xludf.DUMMYFUNCTION("""COMPUTED_VALUE"""),"Water Hardness Test Kit; ; ;")</f>
        <v>Water Hardness Test Kit; ; ;</v>
      </c>
      <c r="E1522" s="6">
        <f>IFERROR(__xludf.DUMMYFUNCTION("""COMPUTED_VALUE"""),1.0)</f>
        <v>1</v>
      </c>
      <c r="F1522" s="6">
        <f>IFERROR(__xludf.DUMMYFUNCTION("""COMPUTED_VALUE"""),1.0)</f>
        <v>1</v>
      </c>
      <c r="G1522" s="6">
        <f>IFERROR(__xludf.DUMMYFUNCTION("""COMPUTED_VALUE"""),0.0)</f>
        <v>0</v>
      </c>
      <c r="H1522" s="6" t="str">
        <f>IFERROR(__xludf.DUMMYFUNCTION("""COMPUTED_VALUE"""),"Pcs")</f>
        <v>Pcs</v>
      </c>
      <c r="I1522" s="6" t="str">
        <f>IFERROR(__xludf.DUMMYFUNCTION("""COMPUTED_VALUE"""),"RYP")</f>
        <v>RYP</v>
      </c>
      <c r="J1522" s="6" t="str">
        <f>IFERROR(__xludf.DUMMYFUNCTION("""COMPUTED_VALUE"""),"PWG")</f>
        <v>PWG</v>
      </c>
      <c r="K1522" s="6" t="str">
        <f>IFERROR(__xludf.DUMMYFUNCTION("""COMPUTED_VALUE"""),"SPR/02/25/004")</f>
        <v>SPR/02/25/004</v>
      </c>
      <c r="L1522" s="13">
        <f>IFERROR(__xludf.DUMMYFUNCTION("""COMPUTED_VALUE"""),45715.0)</f>
        <v>45715</v>
      </c>
    </row>
    <row r="1523">
      <c r="A1523" s="6" t="str">
        <f>IFERROR(__xludf.DUMMYFUNCTION("""COMPUTED_VALUE"""),"RIA")</f>
        <v>RIA</v>
      </c>
      <c r="B1523" s="6" t="str">
        <f>IFERROR(__xludf.DUMMYFUNCTION("""COMPUTED_VALUE"""),"ENG")</f>
        <v>ENG</v>
      </c>
      <c r="C1523" s="6" t="str">
        <f>IFERROR(__xludf.DUMMYFUNCTION("""COMPUTED_VALUE"""),"P-14458-00")</f>
        <v>P-14458-00</v>
      </c>
      <c r="D1523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1523" s="6">
        <f>IFERROR(__xludf.DUMMYFUNCTION("""COMPUTED_VALUE"""),2.0)</f>
        <v>2</v>
      </c>
      <c r="F1523" s="6">
        <f>IFERROR(__xludf.DUMMYFUNCTION("""COMPUTED_VALUE"""),2.0)</f>
        <v>2</v>
      </c>
      <c r="G1523" s="6">
        <f>IFERROR(__xludf.DUMMYFUNCTION("""COMPUTED_VALUE"""),0.0)</f>
        <v>0</v>
      </c>
      <c r="H1523" s="6" t="str">
        <f>IFERROR(__xludf.DUMMYFUNCTION("""COMPUTED_VALUE"""),"Pcs")</f>
        <v>Pcs</v>
      </c>
      <c r="I1523" s="6" t="str">
        <f>IFERROR(__xludf.DUMMYFUNCTION("""COMPUTED_VALUE"""),"RYP")</f>
        <v>RYP</v>
      </c>
      <c r="J1523" s="6" t="str">
        <f>IFERROR(__xludf.DUMMYFUNCTION("""COMPUTED_VALUE"""),"AHU")</f>
        <v>AHU</v>
      </c>
      <c r="K1523" s="6" t="str">
        <f>IFERROR(__xludf.DUMMYFUNCTION("""COMPUTED_VALUE"""),"SPR/02/25/005")</f>
        <v>SPR/02/25/005</v>
      </c>
      <c r="L1523" s="13">
        <f>IFERROR(__xludf.DUMMYFUNCTION("""COMPUTED_VALUE"""),45715.0)</f>
        <v>45715</v>
      </c>
    </row>
    <row r="1524">
      <c r="A1524" s="6" t="str">
        <f>IFERROR(__xludf.DUMMYFUNCTION("""COMPUTED_VALUE"""),"RIA")</f>
        <v>RIA</v>
      </c>
      <c r="B1524" s="6" t="str">
        <f>IFERROR(__xludf.DUMMYFUNCTION("""COMPUTED_VALUE"""),"ENG")</f>
        <v>ENG</v>
      </c>
      <c r="C1524" s="6" t="str">
        <f>IFERROR(__xludf.DUMMYFUNCTION("""COMPUTED_VALUE"""),"P-14457-00")</f>
        <v>P-14457-00</v>
      </c>
      <c r="D1524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1524" s="6">
        <f>IFERROR(__xludf.DUMMYFUNCTION("""COMPUTED_VALUE"""),2.0)</f>
        <v>2</v>
      </c>
      <c r="F1524" s="6">
        <f>IFERROR(__xludf.DUMMYFUNCTION("""COMPUTED_VALUE"""),2.0)</f>
        <v>2</v>
      </c>
      <c r="G1524" s="6">
        <f>IFERROR(__xludf.DUMMYFUNCTION("""COMPUTED_VALUE"""),0.0)</f>
        <v>0</v>
      </c>
      <c r="H1524" s="6" t="str">
        <f>IFERROR(__xludf.DUMMYFUNCTION("""COMPUTED_VALUE"""),"Pcs")</f>
        <v>Pcs</v>
      </c>
      <c r="I1524" s="6" t="str">
        <f>IFERROR(__xludf.DUMMYFUNCTION("""COMPUTED_VALUE"""),"RYP")</f>
        <v>RYP</v>
      </c>
      <c r="J1524" s="6" t="str">
        <f>IFERROR(__xludf.DUMMYFUNCTION("""COMPUTED_VALUE"""),"AHU")</f>
        <v>AHU</v>
      </c>
      <c r="K1524" s="6" t="str">
        <f>IFERROR(__xludf.DUMMYFUNCTION("""COMPUTED_VALUE"""),"SPR/02/25/005")</f>
        <v>SPR/02/25/005</v>
      </c>
      <c r="L1524" s="13">
        <f>IFERROR(__xludf.DUMMYFUNCTION("""COMPUTED_VALUE"""),45715.0)</f>
        <v>45715</v>
      </c>
    </row>
    <row r="1525">
      <c r="A1525" s="6" t="str">
        <f>IFERROR(__xludf.DUMMYFUNCTION("""COMPUTED_VALUE"""),"RIA")</f>
        <v>RIA</v>
      </c>
      <c r="B1525" s="6" t="str">
        <f>IFERROR(__xludf.DUMMYFUNCTION("""COMPUTED_VALUE"""),"ENG")</f>
        <v>ENG</v>
      </c>
      <c r="C1525" s="6" t="str">
        <f>IFERROR(__xludf.DUMMYFUNCTION("""COMPUTED_VALUE"""),"Q-60026-00")</f>
        <v>Q-60026-00</v>
      </c>
      <c r="D1525" s="6" t="str">
        <f>IFERROR(__xludf.DUMMYFUNCTION("""COMPUTED_VALUE"""),"Kuas Eterna 2 inchi")</f>
        <v>Kuas Eterna 2 inchi</v>
      </c>
      <c r="E1525" s="6">
        <f>IFERROR(__xludf.DUMMYFUNCTION("""COMPUTED_VALUE"""),1.0)</f>
        <v>1</v>
      </c>
      <c r="F1525" s="6">
        <f>IFERROR(__xludf.DUMMYFUNCTION("""COMPUTED_VALUE"""),1.0)</f>
        <v>1</v>
      </c>
      <c r="G1525" s="6">
        <f>IFERROR(__xludf.DUMMYFUNCTION("""COMPUTED_VALUE"""),0.0)</f>
        <v>0</v>
      </c>
      <c r="H1525" s="6" t="str">
        <f>IFERROR(__xludf.DUMMYFUNCTION("""COMPUTED_VALUE"""),"Pcs")</f>
        <v>Pcs</v>
      </c>
      <c r="I1525" s="6" t="str">
        <f>IFERROR(__xludf.DUMMYFUNCTION("""COMPUTED_VALUE"""),"RYP")</f>
        <v>RYP</v>
      </c>
      <c r="J1525" s="6" t="str">
        <f>IFERROR(__xludf.DUMMYFUNCTION("""COMPUTED_VALUE"""),"Building")</f>
        <v>Building</v>
      </c>
      <c r="K1525" s="6" t="str">
        <f>IFERROR(__xludf.DUMMYFUNCTION("""COMPUTED_VALUE"""),"SPR/02/25/005")</f>
        <v>SPR/02/25/005</v>
      </c>
      <c r="L1525" s="13">
        <f>IFERROR(__xludf.DUMMYFUNCTION("""COMPUTED_VALUE"""),45715.0)</f>
        <v>45715</v>
      </c>
    </row>
    <row r="1526">
      <c r="A1526" s="6" t="str">
        <f>IFERROR(__xludf.DUMMYFUNCTION("""COMPUTED_VALUE"""),"RIA")</f>
        <v>RIA</v>
      </c>
      <c r="B1526" s="6" t="str">
        <f>IFERROR(__xludf.DUMMYFUNCTION("""COMPUTED_VALUE"""),"ENG")</f>
        <v>ENG</v>
      </c>
      <c r="C1526" s="6" t="str">
        <f>IFERROR(__xludf.DUMMYFUNCTION("""COMPUTED_VALUE"""),"Q-10154-00")</f>
        <v>Q-10154-00</v>
      </c>
      <c r="D1526" s="6" t="str">
        <f>IFERROR(__xludf.DUMMYFUNCTION("""COMPUTED_VALUE"""),"Kuas Cat Roller uk. 230 mm;No Brand;;pack size per set")</f>
        <v>Kuas Cat Roller uk. 230 mm;No Brand;;pack size per set</v>
      </c>
      <c r="E1526" s="6">
        <f>IFERROR(__xludf.DUMMYFUNCTION("""COMPUTED_VALUE"""),1.0)</f>
        <v>1</v>
      </c>
      <c r="F1526" s="6">
        <f>IFERROR(__xludf.DUMMYFUNCTION("""COMPUTED_VALUE"""),1.0)</f>
        <v>1</v>
      </c>
      <c r="G1526" s="6">
        <f>IFERROR(__xludf.DUMMYFUNCTION("""COMPUTED_VALUE"""),0.0)</f>
        <v>0</v>
      </c>
      <c r="H1526" s="6" t="str">
        <f>IFERROR(__xludf.DUMMYFUNCTION("""COMPUTED_VALUE"""),"Pcs")</f>
        <v>Pcs</v>
      </c>
      <c r="I1526" s="6" t="str">
        <f>IFERROR(__xludf.DUMMYFUNCTION("""COMPUTED_VALUE"""),"RYP")</f>
        <v>RYP</v>
      </c>
      <c r="J1526" s="6" t="str">
        <f>IFERROR(__xludf.DUMMYFUNCTION("""COMPUTED_VALUE"""),"Building")</f>
        <v>Building</v>
      </c>
      <c r="K1526" s="6" t="str">
        <f>IFERROR(__xludf.DUMMYFUNCTION("""COMPUTED_VALUE"""),"SPR/02/25/006")</f>
        <v>SPR/02/25/006</v>
      </c>
      <c r="L1526" s="13">
        <f>IFERROR(__xludf.DUMMYFUNCTION("""COMPUTED_VALUE"""),45715.0)</f>
        <v>45715</v>
      </c>
    </row>
    <row r="1527">
      <c r="A1527" s="6" t="str">
        <f>IFERROR(__xludf.DUMMYFUNCTION("""COMPUTED_VALUE"""),"RIA")</f>
        <v>RIA</v>
      </c>
      <c r="B1527" s="6" t="str">
        <f>IFERROR(__xludf.DUMMYFUNCTION("""COMPUTED_VALUE"""),"ENG")</f>
        <v>ENG</v>
      </c>
      <c r="C1527" s="6" t="str">
        <f>IFERROR(__xludf.DUMMYFUNCTION("""COMPUTED_VALUE"""),"P-11424-00")</f>
        <v>P-11424-00</v>
      </c>
      <c r="D1527" s="6" t="str">
        <f>IFERROR(__xludf.DUMMYFUNCTION("""COMPUTED_VALUE"""),"Selang Festo Pun-H-12x2 Blue 2 x 50 m")</f>
        <v>Selang Festo Pun-H-12x2 Blue 2 x 50 m</v>
      </c>
      <c r="E1527" s="6">
        <f>IFERROR(__xludf.DUMMYFUNCTION("""COMPUTED_VALUE"""),15.0)</f>
        <v>15</v>
      </c>
      <c r="F1527" s="6">
        <f>IFERROR(__xludf.DUMMYFUNCTION("""COMPUTED_VALUE"""),15.0)</f>
        <v>15</v>
      </c>
      <c r="G1527" s="6">
        <f>IFERROR(__xludf.DUMMYFUNCTION("""COMPUTED_VALUE"""),0.0)</f>
        <v>0</v>
      </c>
      <c r="H1527" s="6" t="str">
        <f>IFERROR(__xludf.DUMMYFUNCTION("""COMPUTED_VALUE"""),"Mtr")</f>
        <v>Mtr</v>
      </c>
      <c r="I1527" s="6" t="str">
        <f>IFERROR(__xludf.DUMMYFUNCTION("""COMPUTED_VALUE"""),"RYP")</f>
        <v>RYP</v>
      </c>
      <c r="J1527" s="6" t="str">
        <f>IFERROR(__xludf.DUMMYFUNCTION("""COMPUTED_VALUE"""),"Machine")</f>
        <v>Machine</v>
      </c>
      <c r="K1527" s="6" t="str">
        <f>IFERROR(__xludf.DUMMYFUNCTION("""COMPUTED_VALUE"""),"SPR/02/25/006")</f>
        <v>SPR/02/25/006</v>
      </c>
      <c r="L1527" s="13">
        <f>IFERROR(__xludf.DUMMYFUNCTION("""COMPUTED_VALUE"""),45715.0)</f>
        <v>45715</v>
      </c>
    </row>
    <row r="1528">
      <c r="A1528" s="6" t="str">
        <f>IFERROR(__xludf.DUMMYFUNCTION("""COMPUTED_VALUE"""),"SFH")</f>
        <v>SFH</v>
      </c>
      <c r="B1528" s="6" t="str">
        <f>IFERROR(__xludf.DUMMYFUNCTION("""COMPUTED_VALUE"""),"ENG")</f>
        <v>ENG</v>
      </c>
      <c r="C1528" s="6" t="str">
        <f>IFERROR(__xludf.DUMMYFUNCTION("""COMPUTED_VALUE"""),"P-11356-00")</f>
        <v>P-11356-00</v>
      </c>
      <c r="D1528" s="6" t="str">
        <f>IFERROR(__xludf.DUMMYFUNCTION("""COMPUTED_VALUE"""),"Roda Trolly ABUS 4"" ( 100 x 27 ) Without Breake")</f>
        <v>Roda Trolly ABUS 4" ( 100 x 27 ) Without Breake</v>
      </c>
      <c r="E1528" s="6">
        <f>IFERROR(__xludf.DUMMYFUNCTION("""COMPUTED_VALUE"""),4.0)</f>
        <v>4</v>
      </c>
      <c r="F1528" s="6">
        <f>IFERROR(__xludf.DUMMYFUNCTION("""COMPUTED_VALUE"""),4.0)</f>
        <v>4</v>
      </c>
      <c r="G1528" s="6">
        <f>IFERROR(__xludf.DUMMYFUNCTION("""COMPUTED_VALUE"""),0.0)</f>
        <v>0</v>
      </c>
      <c r="H1528" s="6" t="str">
        <f>IFERROR(__xludf.DUMMYFUNCTION("""COMPUTED_VALUE"""),"Pcs")</f>
        <v>Pcs</v>
      </c>
      <c r="I1528" s="6" t="str">
        <f>IFERROR(__xludf.DUMMYFUNCTION("""COMPUTED_VALUE"""),"RYP")</f>
        <v>RYP</v>
      </c>
      <c r="J1528" s="6" t="str">
        <f>IFERROR(__xludf.DUMMYFUNCTION("""COMPUTED_VALUE"""),"Building")</f>
        <v>Building</v>
      </c>
      <c r="K1528" s="6" t="str">
        <f>IFERROR(__xludf.DUMMYFUNCTION("""COMPUTED_VALUE"""),"SPR/02/25/007")</f>
        <v>SPR/02/25/007</v>
      </c>
      <c r="L1528" s="13">
        <f>IFERROR(__xludf.DUMMYFUNCTION("""COMPUTED_VALUE"""),45715.0)</f>
        <v>45715</v>
      </c>
    </row>
    <row r="1529">
      <c r="A1529" s="6" t="str">
        <f>IFERROR(__xludf.DUMMYFUNCTION("""COMPUTED_VALUE"""),"RMA")</f>
        <v>RMA</v>
      </c>
      <c r="B1529" s="6" t="str">
        <f>IFERROR(__xludf.DUMMYFUNCTION("""COMPUTED_VALUE"""),"ENG")</f>
        <v>ENG</v>
      </c>
      <c r="C1529" s="6" t="str">
        <f>IFERROR(__xludf.DUMMYFUNCTION("""COMPUTED_VALUE"""),"-")</f>
        <v>-</v>
      </c>
      <c r="D1529" s="6" t="str">
        <f>IFERROR(__xludf.DUMMYFUNCTION("""COMPUTED_VALUE"""),"Amplas 1000")</f>
        <v>Amplas 1000</v>
      </c>
      <c r="E1529" s="6">
        <f>IFERROR(__xludf.DUMMYFUNCTION("""COMPUTED_VALUE"""),2.0)</f>
        <v>2</v>
      </c>
      <c r="F1529" s="6">
        <f>IFERROR(__xludf.DUMMYFUNCTION("""COMPUTED_VALUE"""),2.0)</f>
        <v>2</v>
      </c>
      <c r="G1529" s="6">
        <f>IFERROR(__xludf.DUMMYFUNCTION("""COMPUTED_VALUE"""),0.0)</f>
        <v>0</v>
      </c>
      <c r="H1529" s="6" t="str">
        <f>IFERROR(__xludf.DUMMYFUNCTION("""COMPUTED_VALUE"""),"Pcd")</f>
        <v>Pcd</v>
      </c>
      <c r="I1529" s="6" t="str">
        <f>IFERROR(__xludf.DUMMYFUNCTION("""COMPUTED_VALUE"""),"RYP")</f>
        <v>RYP</v>
      </c>
      <c r="J1529" s="6" t="str">
        <f>IFERROR(__xludf.DUMMYFUNCTION("""COMPUTED_VALUE"""),"Building")</f>
        <v>Building</v>
      </c>
      <c r="K1529" s="6" t="str">
        <f>IFERROR(__xludf.DUMMYFUNCTION("""COMPUTED_VALUE"""),"SPL/02/25/008")</f>
        <v>SPL/02/25/008</v>
      </c>
      <c r="L1529" s="13">
        <f>IFERROR(__xludf.DUMMYFUNCTION("""COMPUTED_VALUE"""),45715.0)</f>
        <v>45715</v>
      </c>
    </row>
    <row r="1530">
      <c r="A1530" s="6" t="str">
        <f>IFERROR(__xludf.DUMMYFUNCTION("""COMPUTED_VALUE"""),"AAA")</f>
        <v>AAA</v>
      </c>
      <c r="B1530" s="6" t="str">
        <f>IFERROR(__xludf.DUMMYFUNCTION("""COMPUTED_VALUE"""),"ENG")</f>
        <v>ENG</v>
      </c>
      <c r="C1530" s="6" t="str">
        <f>IFERROR(__xludf.DUMMYFUNCTION("""COMPUTED_VALUE"""),"O-16647-00")</f>
        <v>O-16647-00</v>
      </c>
      <c r="D1530" s="6" t="str">
        <f>IFERROR(__xludf.DUMMYFUNCTION("""COMPUTED_VALUE"""),"Washing RAR4 - Oring Silicone Merah 23x18x2.5 mm; ; ;")</f>
        <v>Washing RAR4 - Oring Silicone Merah 23x18x2.5 mm; ; ;</v>
      </c>
      <c r="E1530" s="6">
        <f>IFERROR(__xludf.DUMMYFUNCTION("""COMPUTED_VALUE"""),10.0)</f>
        <v>10</v>
      </c>
      <c r="F1530" s="6">
        <f>IFERROR(__xludf.DUMMYFUNCTION("""COMPUTED_VALUE"""),10.0)</f>
        <v>10</v>
      </c>
      <c r="G1530" s="6">
        <f>IFERROR(__xludf.DUMMYFUNCTION("""COMPUTED_VALUE"""),0.0)</f>
        <v>0</v>
      </c>
      <c r="H1530" s="6" t="str">
        <f>IFERROR(__xludf.DUMMYFUNCTION("""COMPUTED_VALUE"""),"Pcs")</f>
        <v>Pcs</v>
      </c>
      <c r="I1530" s="6" t="str">
        <f>IFERROR(__xludf.DUMMYFUNCTION("""COMPUTED_VALUE"""),"RYP")</f>
        <v>RYP</v>
      </c>
      <c r="J1530" s="6" t="str">
        <f>IFERROR(__xludf.DUMMYFUNCTION("""COMPUTED_VALUE"""),"Capping")</f>
        <v>Capping</v>
      </c>
      <c r="K1530" s="6" t="str">
        <f>IFERROR(__xludf.DUMMYFUNCTION("""COMPUTED_VALUE"""),"SPR/02/25/009")</f>
        <v>SPR/02/25/009</v>
      </c>
      <c r="L1530" s="13">
        <f>IFERROR(__xludf.DUMMYFUNCTION("""COMPUTED_VALUE"""),45715.0)</f>
        <v>45715</v>
      </c>
    </row>
    <row r="1531">
      <c r="A1531" s="6" t="str">
        <f>IFERROR(__xludf.DUMMYFUNCTION("""COMPUTED_VALUE"""),"MRN")</f>
        <v>MRN</v>
      </c>
      <c r="B1531" s="6" t="str">
        <f>IFERROR(__xludf.DUMMYFUNCTION("""COMPUTED_VALUE"""),"ENG")</f>
        <v>ENG</v>
      </c>
      <c r="C1531" s="6" t="str">
        <f>IFERROR(__xludf.DUMMYFUNCTION("""COMPUTED_VALUE"""),"P-51560-00")</f>
        <v>P-51560-00</v>
      </c>
      <c r="D1531" s="6" t="str">
        <f>IFERROR(__xludf.DUMMYFUNCTION("""COMPUTED_VALUE"""),"Lampu T5 28watt Putih; Phillips; ;")</f>
        <v>Lampu T5 28watt Putih; Phillips; ;</v>
      </c>
      <c r="E1531" s="6">
        <f>IFERROR(__xludf.DUMMYFUNCTION("""COMPUTED_VALUE"""),1.0)</f>
        <v>1</v>
      </c>
      <c r="F1531" s="6">
        <f>IFERROR(__xludf.DUMMYFUNCTION("""COMPUTED_VALUE"""),1.0)</f>
        <v>1</v>
      </c>
      <c r="G1531" s="6">
        <f>IFERROR(__xludf.DUMMYFUNCTION("""COMPUTED_VALUE"""),0.0)</f>
        <v>0</v>
      </c>
      <c r="H1531" s="6" t="str">
        <f>IFERROR(__xludf.DUMMYFUNCTION("""COMPUTED_VALUE"""),"Pcs")</f>
        <v>Pcs</v>
      </c>
      <c r="I1531" s="6" t="str">
        <f>IFERROR(__xludf.DUMMYFUNCTION("""COMPUTED_VALUE"""),"RYP")</f>
        <v>RYP</v>
      </c>
      <c r="J1531" s="6" t="str">
        <f>IFERROR(__xludf.DUMMYFUNCTION("""COMPUTED_VALUE"""),"Building")</f>
        <v>Building</v>
      </c>
      <c r="K1531" s="6" t="str">
        <f>IFERROR(__xludf.DUMMYFUNCTION("""COMPUTED_VALUE"""),"SPR/02/25/010")</f>
        <v>SPR/02/25/010</v>
      </c>
      <c r="L1531" s="13">
        <f>IFERROR(__xludf.DUMMYFUNCTION("""COMPUTED_VALUE"""),45715.0)</f>
        <v>45715</v>
      </c>
    </row>
    <row r="1532">
      <c r="A1532" s="6" t="str">
        <f>IFERROR(__xludf.DUMMYFUNCTION("""COMPUTED_VALUE"""),"SHF")</f>
        <v>SHF</v>
      </c>
      <c r="B1532" s="6" t="str">
        <f>IFERROR(__xludf.DUMMYFUNCTION("""COMPUTED_VALUE"""),"ENG")</f>
        <v>ENG</v>
      </c>
      <c r="C1532" s="6" t="str">
        <f>IFERROR(__xludf.DUMMYFUNCTION("""COMPUTED_VALUE"""),"Q-60502-00")</f>
        <v>Q-60502-00</v>
      </c>
      <c r="D1532" s="6" t="str">
        <f>IFERROR(__xludf.DUMMYFUNCTION("""COMPUTED_VALUE"""),"Silicone Sealant, Silglaze, Type N10 White, pack size per pcs")</f>
        <v>Silicone Sealant, Silglaze, Type N10 White, pack size per pcs</v>
      </c>
      <c r="E1532" s="6">
        <f>IFERROR(__xludf.DUMMYFUNCTION("""COMPUTED_VALUE"""),1.0)</f>
        <v>1</v>
      </c>
      <c r="F1532" s="6">
        <f>IFERROR(__xludf.DUMMYFUNCTION("""COMPUTED_VALUE"""),1.0)</f>
        <v>1</v>
      </c>
      <c r="G1532" s="6">
        <f>IFERROR(__xludf.DUMMYFUNCTION("""COMPUTED_VALUE"""),0.0)</f>
        <v>0</v>
      </c>
      <c r="H1532" s="6" t="str">
        <f>IFERROR(__xludf.DUMMYFUNCTION("""COMPUTED_VALUE"""),"Pcs")</f>
        <v>Pcs</v>
      </c>
      <c r="I1532" s="6" t="str">
        <f>IFERROR(__xludf.DUMMYFUNCTION("""COMPUTED_VALUE"""),"RYP")</f>
        <v>RYP</v>
      </c>
      <c r="J1532" s="6" t="str">
        <f>IFERROR(__xludf.DUMMYFUNCTION("""COMPUTED_VALUE"""),"Building")</f>
        <v>Building</v>
      </c>
      <c r="K1532" s="6" t="str">
        <f>IFERROR(__xludf.DUMMYFUNCTION("""COMPUTED_VALUE"""),"SPR/02/25/011")</f>
        <v>SPR/02/25/011</v>
      </c>
      <c r="L1532" s="13">
        <f>IFERROR(__xludf.DUMMYFUNCTION("""COMPUTED_VALUE"""),45715.0)</f>
        <v>45715</v>
      </c>
    </row>
    <row r="1533">
      <c r="A1533" s="6" t="str">
        <f>IFERROR(__xludf.DUMMYFUNCTION("""COMPUTED_VALUE"""),"ANA")</f>
        <v>ANA</v>
      </c>
      <c r="B1533" s="6" t="str">
        <f>IFERROR(__xludf.DUMMYFUNCTION("""COMPUTED_VALUE"""),"ENG")</f>
        <v>ENG</v>
      </c>
      <c r="C1533" s="6" t="str">
        <f>IFERROR(__xludf.DUMMYFUNCTION("""COMPUTED_VALUE"""),"O-54014-00")</f>
        <v>O-54014-00</v>
      </c>
      <c r="D1533" s="6" t="str">
        <f>IFERROR(__xludf.DUMMYFUNCTION("""COMPUTED_VALUE"""),"STEKER 1 PHASE, BROCO")</f>
        <v>STEKER 1 PHASE, BROCO</v>
      </c>
      <c r="E1533" s="6">
        <f>IFERROR(__xludf.DUMMYFUNCTION("""COMPUTED_VALUE"""),1.0)</f>
        <v>1</v>
      </c>
      <c r="F1533" s="6">
        <f>IFERROR(__xludf.DUMMYFUNCTION("""COMPUTED_VALUE"""),1.0)</f>
        <v>1</v>
      </c>
      <c r="G1533" s="6">
        <f>IFERROR(__xludf.DUMMYFUNCTION("""COMPUTED_VALUE"""),0.0)</f>
        <v>0</v>
      </c>
      <c r="H1533" s="6" t="str">
        <f>IFERROR(__xludf.DUMMYFUNCTION("""COMPUTED_VALUE"""),"Pcs")</f>
        <v>Pcs</v>
      </c>
      <c r="I1533" s="6" t="str">
        <f>IFERROR(__xludf.DUMMYFUNCTION("""COMPUTED_VALUE"""),"RYP")</f>
        <v>RYP</v>
      </c>
      <c r="J1533" s="6" t="str">
        <f>IFERROR(__xludf.DUMMYFUNCTION("""COMPUTED_VALUE"""),"Building")</f>
        <v>Building</v>
      </c>
      <c r="K1533" s="6" t="str">
        <f>IFERROR(__xludf.DUMMYFUNCTION("""COMPUTED_VALUE"""),"SPR/02/25/012")</f>
        <v>SPR/02/25/012</v>
      </c>
      <c r="L1533" s="13">
        <f>IFERROR(__xludf.DUMMYFUNCTION("""COMPUTED_VALUE"""),45715.0)</f>
        <v>45715</v>
      </c>
    </row>
    <row r="1534">
      <c r="A1534" s="6" t="str">
        <f>IFERROR(__xludf.DUMMYFUNCTION("""COMPUTED_VALUE"""),"ROS")</f>
        <v>ROS</v>
      </c>
      <c r="B1534" s="6" t="str">
        <f>IFERROR(__xludf.DUMMYFUNCTION("""COMPUTED_VALUE"""),"ENG")</f>
        <v>ENG</v>
      </c>
      <c r="C1534" s="6" t="str">
        <f>IFERROR(__xludf.DUMMYFUNCTION("""COMPUTED_VALUE"""),"P-19080-00")</f>
        <v>P-19080-00</v>
      </c>
      <c r="D1534" s="6" t="str">
        <f>IFERROR(__xludf.DUMMYFUNCTION("""COMPUTED_VALUE"""),"Cabel Tie Mount 30 x 30 mm; Sigma; ;")</f>
        <v>Cabel Tie Mount 30 x 30 mm; Sigma; ;</v>
      </c>
      <c r="E1534" s="6">
        <f>IFERROR(__xludf.DUMMYFUNCTION("""COMPUTED_VALUE"""),1.0)</f>
        <v>1</v>
      </c>
      <c r="F1534" s="6">
        <f>IFERROR(__xludf.DUMMYFUNCTION("""COMPUTED_VALUE"""),1.0)</f>
        <v>1</v>
      </c>
      <c r="G1534" s="6">
        <f>IFERROR(__xludf.DUMMYFUNCTION("""COMPUTED_VALUE"""),0.0)</f>
        <v>0</v>
      </c>
      <c r="H1534" s="6" t="str">
        <f>IFERROR(__xludf.DUMMYFUNCTION("""COMPUTED_VALUE"""),"Pcs")</f>
        <v>Pcs</v>
      </c>
      <c r="I1534" s="6" t="str">
        <f>IFERROR(__xludf.DUMMYFUNCTION("""COMPUTED_VALUE"""),"RYP")</f>
        <v>RYP</v>
      </c>
      <c r="J1534" s="6" t="str">
        <f>IFERROR(__xludf.DUMMYFUNCTION("""COMPUTED_VALUE"""),"Dispensing")</f>
        <v>Dispensing</v>
      </c>
      <c r="K1534" s="6" t="str">
        <f>IFERROR(__xludf.DUMMYFUNCTION("""COMPUTED_VALUE"""),"SPR/02/25/013")</f>
        <v>SPR/02/25/013</v>
      </c>
      <c r="L1534" s="13">
        <f>IFERROR(__xludf.DUMMYFUNCTION("""COMPUTED_VALUE"""),45715.0)</f>
        <v>45715</v>
      </c>
    </row>
    <row r="1535">
      <c r="A1535" s="6" t="str">
        <f>IFERROR(__xludf.DUMMYFUNCTION("""COMPUTED_VALUE"""),"ROS")</f>
        <v>ROS</v>
      </c>
      <c r="B1535" s="6" t="str">
        <f>IFERROR(__xludf.DUMMYFUNCTION("""COMPUTED_VALUE"""),"ENG")</f>
        <v>ENG</v>
      </c>
      <c r="C1535" s="6" t="str">
        <f>IFERROR(__xludf.DUMMYFUNCTION("""COMPUTED_VALUE"""),"P-15437-00")</f>
        <v>P-15437-00</v>
      </c>
      <c r="D1535" s="6" t="str">
        <f>IFERROR(__xludf.DUMMYFUNCTION("""COMPUTED_VALUE"""),"CABLE SPIRAL WRAPPING, TYPE KS24, BRAND KSS; ; ;")</f>
        <v>CABLE SPIRAL WRAPPING, TYPE KS24, BRAND KSS; ; ;</v>
      </c>
      <c r="E1535" s="6">
        <f>IFERROR(__xludf.DUMMYFUNCTION("""COMPUTED_VALUE"""),1.0)</f>
        <v>1</v>
      </c>
      <c r="F1535" s="6">
        <f>IFERROR(__xludf.DUMMYFUNCTION("""COMPUTED_VALUE"""),1.0)</f>
        <v>1</v>
      </c>
      <c r="G1535" s="6">
        <f>IFERROR(__xludf.DUMMYFUNCTION("""COMPUTED_VALUE"""),0.0)</f>
        <v>0</v>
      </c>
      <c r="H1535" s="6" t="str">
        <f>IFERROR(__xludf.DUMMYFUNCTION("""COMPUTED_VALUE"""),"Pcs")</f>
        <v>Pcs</v>
      </c>
      <c r="I1535" s="6" t="str">
        <f>IFERROR(__xludf.DUMMYFUNCTION("""COMPUTED_VALUE"""),"RYP")</f>
        <v>RYP</v>
      </c>
      <c r="J1535" s="6" t="str">
        <f>IFERROR(__xludf.DUMMYFUNCTION("""COMPUTED_VALUE"""),"Dispensing")</f>
        <v>Dispensing</v>
      </c>
      <c r="K1535" s="6" t="str">
        <f>IFERROR(__xludf.DUMMYFUNCTION("""COMPUTED_VALUE"""),"SPR/02/25/013")</f>
        <v>SPR/02/25/013</v>
      </c>
      <c r="L1535" s="13">
        <f>IFERROR(__xludf.DUMMYFUNCTION("""COMPUTED_VALUE"""),45715.0)</f>
        <v>45715</v>
      </c>
    </row>
    <row r="1536">
      <c r="A1536" s="6" t="str">
        <f>IFERROR(__xludf.DUMMYFUNCTION("""COMPUTED_VALUE"""),"ROS")</f>
        <v>ROS</v>
      </c>
      <c r="B1536" s="6" t="str">
        <f>IFERROR(__xludf.DUMMYFUNCTION("""COMPUTED_VALUE"""),"ENG")</f>
        <v>ENG</v>
      </c>
      <c r="C1536" s="6" t="str">
        <f>IFERROR(__xludf.DUMMYFUNCTION("""COMPUTED_VALUE"""),"P-52110-00")</f>
        <v>P-52110-00</v>
      </c>
      <c r="D1536" s="6" t="str">
        <f>IFERROR(__xludf.DUMMYFUNCTION("""COMPUTED_VALUE"""),"CAPACITOR 5 uF, 500 V, 50/60 Hz; ; ;")</f>
        <v>CAPACITOR 5 uF, 500 V, 50/60 Hz; ; ;</v>
      </c>
      <c r="E1536" s="6">
        <f>IFERROR(__xludf.DUMMYFUNCTION("""COMPUTED_VALUE"""),1.0)</f>
        <v>1</v>
      </c>
      <c r="F1536" s="6">
        <f>IFERROR(__xludf.DUMMYFUNCTION("""COMPUTED_VALUE"""),1.0)</f>
        <v>1</v>
      </c>
      <c r="G1536" s="6">
        <f>IFERROR(__xludf.DUMMYFUNCTION("""COMPUTED_VALUE"""),0.0)</f>
        <v>0</v>
      </c>
      <c r="H1536" s="6" t="str">
        <f>IFERROR(__xludf.DUMMYFUNCTION("""COMPUTED_VALUE"""),"Pcs")</f>
        <v>Pcs</v>
      </c>
      <c r="I1536" s="6" t="str">
        <f>IFERROR(__xludf.DUMMYFUNCTION("""COMPUTED_VALUE"""),"RYP")</f>
        <v>RYP</v>
      </c>
      <c r="J1536" s="6" t="str">
        <f>IFERROR(__xludf.DUMMYFUNCTION("""COMPUTED_VALUE"""),"Machine")</f>
        <v>Machine</v>
      </c>
      <c r="K1536" s="6" t="str">
        <f>IFERROR(__xludf.DUMMYFUNCTION("""COMPUTED_VALUE"""),"SPR/02/25/013")</f>
        <v>SPR/02/25/013</v>
      </c>
      <c r="L1536" s="13">
        <f>IFERROR(__xludf.DUMMYFUNCTION("""COMPUTED_VALUE"""),45715.0)</f>
        <v>45715</v>
      </c>
    </row>
    <row r="1537">
      <c r="A1537" s="6" t="str">
        <f>IFERROR(__xludf.DUMMYFUNCTION("""COMPUTED_VALUE"""),"MBN")</f>
        <v>MBN</v>
      </c>
      <c r="B1537" s="6" t="str">
        <f>IFERROR(__xludf.DUMMYFUNCTION("""COMPUTED_VALUE"""),"ENG")</f>
        <v>ENG</v>
      </c>
      <c r="C1537" s="6" t="str">
        <f>IFERROR(__xludf.DUMMYFUNCTION("""COMPUTED_VALUE"""),"Q-10249-00")</f>
        <v>Q-10249-00</v>
      </c>
      <c r="D1537" s="6" t="str">
        <f>IFERROR(__xludf.DUMMYFUNCTION("""COMPUTED_VALUE"""),"Lem;Power Glue;;pack size per pcs")</f>
        <v>Lem;Power Glue;;pack size per pcs</v>
      </c>
      <c r="E1537" s="6">
        <f>IFERROR(__xludf.DUMMYFUNCTION("""COMPUTED_VALUE"""),1.0)</f>
        <v>1</v>
      </c>
      <c r="F1537" s="6">
        <f>IFERROR(__xludf.DUMMYFUNCTION("""COMPUTED_VALUE"""),1.0)</f>
        <v>1</v>
      </c>
      <c r="G1537" s="6">
        <f>IFERROR(__xludf.DUMMYFUNCTION("""COMPUTED_VALUE"""),0.0)</f>
        <v>0</v>
      </c>
      <c r="H1537" s="6" t="str">
        <f>IFERROR(__xludf.DUMMYFUNCTION("""COMPUTED_VALUE"""),"Pcs")</f>
        <v>Pcs</v>
      </c>
      <c r="I1537" s="6" t="str">
        <f>IFERROR(__xludf.DUMMYFUNCTION("""COMPUTED_VALUE"""),"RYP")</f>
        <v>RYP</v>
      </c>
      <c r="J1537" s="6" t="str">
        <f>IFERROR(__xludf.DUMMYFUNCTION("""COMPUTED_VALUE"""),"Tableting")</f>
        <v>Tableting</v>
      </c>
      <c r="K1537" s="6" t="str">
        <f>IFERROR(__xludf.DUMMYFUNCTION("""COMPUTED_VALUE"""),"SPR/02/25/014")</f>
        <v>SPR/02/25/014</v>
      </c>
      <c r="L1537" s="13">
        <f>IFERROR(__xludf.DUMMYFUNCTION("""COMPUTED_VALUE"""),45715.0)</f>
        <v>45715</v>
      </c>
    </row>
    <row r="1538">
      <c r="A1538" s="6" t="str">
        <f>IFERROR(__xludf.DUMMYFUNCTION("""COMPUTED_VALUE"""),"ROS")</f>
        <v>ROS</v>
      </c>
      <c r="B1538" s="6" t="str">
        <f>IFERROR(__xludf.DUMMYFUNCTION("""COMPUTED_VALUE"""),"ENG")</f>
        <v>ENG</v>
      </c>
      <c r="C1538" s="6" t="str">
        <f>IFERROR(__xludf.DUMMYFUNCTION("""COMPUTED_VALUE"""),"T-80109-00")</f>
        <v>T-80109-00</v>
      </c>
      <c r="D1538" s="6" t="str">
        <f>IFERROR(__xludf.DUMMYFUNCTION("""COMPUTED_VALUE"""),"Cellotape Kertas 1 inch warna Putih")</f>
        <v>Cellotape Kertas 1 inch warna Putih</v>
      </c>
      <c r="E1538" s="6">
        <f>IFERROR(__xludf.DUMMYFUNCTION("""COMPUTED_VALUE"""),1.0)</f>
        <v>1</v>
      </c>
      <c r="F1538" s="6">
        <f>IFERROR(__xludf.DUMMYFUNCTION("""COMPUTED_VALUE"""),1.0)</f>
        <v>1</v>
      </c>
      <c r="G1538" s="6">
        <f>IFERROR(__xludf.DUMMYFUNCTION("""COMPUTED_VALUE"""),0.0)</f>
        <v>0</v>
      </c>
      <c r="H1538" s="6" t="str">
        <f>IFERROR(__xludf.DUMMYFUNCTION("""COMPUTED_VALUE"""),"Pcs")</f>
        <v>Pcs</v>
      </c>
      <c r="I1538" s="6" t="str">
        <f>IFERROR(__xludf.DUMMYFUNCTION("""COMPUTED_VALUE"""),"RYP")</f>
        <v>RYP</v>
      </c>
      <c r="J1538" s="6" t="str">
        <f>IFERROR(__xludf.DUMMYFUNCTION("""COMPUTED_VALUE"""),"Filling")</f>
        <v>Filling</v>
      </c>
      <c r="K1538" s="6" t="str">
        <f>IFERROR(__xludf.DUMMYFUNCTION("""COMPUTED_VALUE"""),"SPR/02/25/015")</f>
        <v>SPR/02/25/015</v>
      </c>
      <c r="L1538" s="13">
        <f>IFERROR(__xludf.DUMMYFUNCTION("""COMPUTED_VALUE"""),45715.0)</f>
        <v>45715</v>
      </c>
    </row>
    <row r="1539">
      <c r="A1539" s="6" t="str">
        <f>IFERROR(__xludf.DUMMYFUNCTION("""COMPUTED_VALUE"""),"ROS")</f>
        <v>ROS</v>
      </c>
      <c r="B1539" s="6" t="str">
        <f>IFERROR(__xludf.DUMMYFUNCTION("""COMPUTED_VALUE"""),"ENG")</f>
        <v>ENG</v>
      </c>
      <c r="C1539" s="6" t="str">
        <f>IFERROR(__xludf.DUMMYFUNCTION("""COMPUTED_VALUE"""),"Q-60503-00")</f>
        <v>Q-60503-00</v>
      </c>
      <c r="D1539" s="6" t="str">
        <f>IFERROR(__xludf.DUMMYFUNCTION("""COMPUTED_VALUE"""),"Silicone Sealant, Silglaze, Type N10 Grey, pack size per pcs")</f>
        <v>Silicone Sealant, Silglaze, Type N10 Grey, pack size per pcs</v>
      </c>
      <c r="E1539" s="6">
        <f>IFERROR(__xludf.DUMMYFUNCTION("""COMPUTED_VALUE"""),1.0)</f>
        <v>1</v>
      </c>
      <c r="F1539" s="6">
        <f>IFERROR(__xludf.DUMMYFUNCTION("""COMPUTED_VALUE"""),1.0)</f>
        <v>1</v>
      </c>
      <c r="G1539" s="6">
        <f>IFERROR(__xludf.DUMMYFUNCTION("""COMPUTED_VALUE"""),0.0)</f>
        <v>0</v>
      </c>
      <c r="H1539" s="6" t="str">
        <f>IFERROR(__xludf.DUMMYFUNCTION("""COMPUTED_VALUE"""),"Pcs")</f>
        <v>Pcs</v>
      </c>
      <c r="I1539" s="6" t="str">
        <f>IFERROR(__xludf.DUMMYFUNCTION("""COMPUTED_VALUE"""),"RYP")</f>
        <v>RYP</v>
      </c>
      <c r="J1539" s="6" t="str">
        <f>IFERROR(__xludf.DUMMYFUNCTION("""COMPUTED_VALUE"""),"Filling")</f>
        <v>Filling</v>
      </c>
      <c r="K1539" s="6" t="str">
        <f>IFERROR(__xludf.DUMMYFUNCTION("""COMPUTED_VALUE"""),"SPR/02/25/015")</f>
        <v>SPR/02/25/015</v>
      </c>
      <c r="L1539" s="13">
        <f>IFERROR(__xludf.DUMMYFUNCTION("""COMPUTED_VALUE"""),45715.0)</f>
        <v>45715</v>
      </c>
    </row>
    <row r="1540">
      <c r="A1540" s="6" t="str">
        <f>IFERROR(__xludf.DUMMYFUNCTION("""COMPUTED_VALUE"""),"ROS")</f>
        <v>ROS</v>
      </c>
      <c r="B1540" s="6" t="str">
        <f>IFERROR(__xludf.DUMMYFUNCTION("""COMPUTED_VALUE"""),"ENG")</f>
        <v>ENG</v>
      </c>
      <c r="C1540" s="6" t="str">
        <f>IFERROR(__xludf.DUMMYFUNCTION("""COMPUTED_VALUE"""),"O-16030-00")</f>
        <v>O-16030-00</v>
      </c>
      <c r="D1540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540" s="6">
        <f>IFERROR(__xludf.DUMMYFUNCTION("""COMPUTED_VALUE"""),2.0)</f>
        <v>2</v>
      </c>
      <c r="F1540" s="6">
        <f>IFERROR(__xludf.DUMMYFUNCTION("""COMPUTED_VALUE"""),2.0)</f>
        <v>2</v>
      </c>
      <c r="G1540" s="6">
        <f>IFERROR(__xludf.DUMMYFUNCTION("""COMPUTED_VALUE"""),0.0)</f>
        <v>0</v>
      </c>
      <c r="H1540" s="6" t="str">
        <f>IFERROR(__xludf.DUMMYFUNCTION("""COMPUTED_VALUE"""),"Pcs")</f>
        <v>Pcs</v>
      </c>
      <c r="I1540" s="6" t="str">
        <f>IFERROR(__xludf.DUMMYFUNCTION("""COMPUTED_VALUE"""),"RYP")</f>
        <v>RYP</v>
      </c>
      <c r="J1540" s="6" t="str">
        <f>IFERROR(__xludf.DUMMYFUNCTION("""COMPUTED_VALUE"""),"Machine")</f>
        <v>Machine</v>
      </c>
      <c r="K1540" s="6" t="str">
        <f>IFERROR(__xludf.DUMMYFUNCTION("""COMPUTED_VALUE"""),"SPR/02/25/016")</f>
        <v>SPR/02/25/016</v>
      </c>
      <c r="L1540" s="13">
        <f>IFERROR(__xludf.DUMMYFUNCTION("""COMPUTED_VALUE"""),45715.0)</f>
        <v>45715</v>
      </c>
    </row>
    <row r="1541">
      <c r="A1541" s="6" t="str">
        <f>IFERROR(__xludf.DUMMYFUNCTION("""COMPUTED_VALUE"""),"INN")</f>
        <v>INN</v>
      </c>
      <c r="B1541" s="6" t="str">
        <f>IFERROR(__xludf.DUMMYFUNCTION("""COMPUTED_VALUE"""),"ENG")</f>
        <v>ENG</v>
      </c>
      <c r="C1541" s="6" t="str">
        <f>IFERROR(__xludf.DUMMYFUNCTION("""COMPUTED_VALUE"""),"P-53031-00")</f>
        <v>P-53031-00</v>
      </c>
      <c r="D1541" s="6" t="str">
        <f>IFERROR(__xludf.DUMMYFUNCTION("""COMPUTED_VALUE"""),"General - Cooling Fan; Fulltech; UF15AC23-BTH; 1 Pc")</f>
        <v>General - Cooling Fan; Fulltech; UF15AC23-BTH; 1 Pc</v>
      </c>
      <c r="E1541" s="6">
        <f>IFERROR(__xludf.DUMMYFUNCTION("""COMPUTED_VALUE"""),1.0)</f>
        <v>1</v>
      </c>
      <c r="F1541" s="6">
        <f>IFERROR(__xludf.DUMMYFUNCTION("""COMPUTED_VALUE"""),1.0)</f>
        <v>1</v>
      </c>
      <c r="G1541" s="6">
        <f>IFERROR(__xludf.DUMMYFUNCTION("""COMPUTED_VALUE"""),0.0)</f>
        <v>0</v>
      </c>
      <c r="H1541" s="6" t="str">
        <f>IFERROR(__xludf.DUMMYFUNCTION("""COMPUTED_VALUE"""),"Pcs")</f>
        <v>Pcs</v>
      </c>
      <c r="I1541" s="6" t="str">
        <f>IFERROR(__xludf.DUMMYFUNCTION("""COMPUTED_VALUE"""),"RYP")</f>
        <v>RYP</v>
      </c>
      <c r="J1541" s="6" t="str">
        <f>IFERROR(__xludf.DUMMYFUNCTION("""COMPUTED_VALUE"""),"FD")</f>
        <v>FD</v>
      </c>
      <c r="K1541" s="6" t="str">
        <f>IFERROR(__xludf.DUMMYFUNCTION("""COMPUTED_VALUE"""),"SPR/02/25/017")</f>
        <v>SPR/02/25/017</v>
      </c>
      <c r="L1541" s="13">
        <f>IFERROR(__xludf.DUMMYFUNCTION("""COMPUTED_VALUE"""),45715.0)</f>
        <v>45715</v>
      </c>
    </row>
    <row r="1542">
      <c r="A1542" s="6" t="str">
        <f>IFERROR(__xludf.DUMMYFUNCTION("""COMPUTED_VALUE"""),"INN")</f>
        <v>INN</v>
      </c>
      <c r="B1542" s="6" t="str">
        <f>IFERROR(__xludf.DUMMYFUNCTION("""COMPUTED_VALUE"""),"ENG")</f>
        <v>ENG</v>
      </c>
      <c r="C1542" s="6" t="str">
        <f>IFERROR(__xludf.DUMMYFUNCTION("""COMPUTED_VALUE"""),"O-16980-00")</f>
        <v>O-16980-00</v>
      </c>
      <c r="D1542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1542" s="6">
        <f>IFERROR(__xludf.DUMMYFUNCTION("""COMPUTED_VALUE"""),6.0)</f>
        <v>6</v>
      </c>
      <c r="F1542" s="6">
        <f>IFERROR(__xludf.DUMMYFUNCTION("""COMPUTED_VALUE"""),6.0)</f>
        <v>6</v>
      </c>
      <c r="G1542" s="6">
        <f>IFERROR(__xludf.DUMMYFUNCTION("""COMPUTED_VALUE"""),0.0)</f>
        <v>0</v>
      </c>
      <c r="H1542" s="6" t="str">
        <f>IFERROR(__xludf.DUMMYFUNCTION("""COMPUTED_VALUE"""),"Pcs")</f>
        <v>Pcs</v>
      </c>
      <c r="I1542" s="6" t="str">
        <f>IFERROR(__xludf.DUMMYFUNCTION("""COMPUTED_VALUE"""),"RYP")</f>
        <v>RYP</v>
      </c>
      <c r="J1542" s="6" t="str">
        <f>IFERROR(__xludf.DUMMYFUNCTION("""COMPUTED_VALUE"""),"FD")</f>
        <v>FD</v>
      </c>
      <c r="K1542" s="6" t="str">
        <f>IFERROR(__xludf.DUMMYFUNCTION("""COMPUTED_VALUE"""),"SPR/02/25/017")</f>
        <v>SPR/02/25/017</v>
      </c>
      <c r="L1542" s="13">
        <f>IFERROR(__xludf.DUMMYFUNCTION("""COMPUTED_VALUE"""),45715.0)</f>
        <v>45715</v>
      </c>
    </row>
    <row r="1543">
      <c r="A1543" s="6" t="str">
        <f>IFERROR(__xludf.DUMMYFUNCTION("""COMPUTED_VALUE"""),"INN")</f>
        <v>INN</v>
      </c>
      <c r="B1543" s="6" t="str">
        <f>IFERROR(__xludf.DUMMYFUNCTION("""COMPUTED_VALUE"""),"ENG")</f>
        <v>ENG</v>
      </c>
      <c r="C1543" s="6" t="str">
        <f>IFERROR(__xludf.DUMMYFUNCTION("""COMPUTED_VALUE"""),"O-16981-00")</f>
        <v>O-16981-00</v>
      </c>
      <c r="D1543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1543" s="6">
        <f>IFERROR(__xludf.DUMMYFUNCTION("""COMPUTED_VALUE"""),10.0)</f>
        <v>10</v>
      </c>
      <c r="F1543" s="6">
        <f>IFERROR(__xludf.DUMMYFUNCTION("""COMPUTED_VALUE"""),10.0)</f>
        <v>10</v>
      </c>
      <c r="G1543" s="6">
        <f>IFERROR(__xludf.DUMMYFUNCTION("""COMPUTED_VALUE"""),0.0)</f>
        <v>0</v>
      </c>
      <c r="H1543" s="6" t="str">
        <f>IFERROR(__xludf.DUMMYFUNCTION("""COMPUTED_VALUE"""),"Pcs")</f>
        <v>Pcs</v>
      </c>
      <c r="I1543" s="6" t="str">
        <f>IFERROR(__xludf.DUMMYFUNCTION("""COMPUTED_VALUE"""),"RYP")</f>
        <v>RYP</v>
      </c>
      <c r="J1543" s="6" t="str">
        <f>IFERROR(__xludf.DUMMYFUNCTION("""COMPUTED_VALUE"""),"FD")</f>
        <v>FD</v>
      </c>
      <c r="K1543" s="6" t="str">
        <f>IFERROR(__xludf.DUMMYFUNCTION("""COMPUTED_VALUE"""),"SPR/02/25/017")</f>
        <v>SPR/02/25/017</v>
      </c>
      <c r="L1543" s="13">
        <f>IFERROR(__xludf.DUMMYFUNCTION("""COMPUTED_VALUE"""),45715.0)</f>
        <v>45715</v>
      </c>
    </row>
    <row r="1544">
      <c r="A1544" s="6" t="str">
        <f>IFERROR(__xludf.DUMMYFUNCTION("""COMPUTED_VALUE"""),"SHF")</f>
        <v>SHF</v>
      </c>
      <c r="B1544" s="6" t="str">
        <f>IFERROR(__xludf.DUMMYFUNCTION("""COMPUTED_VALUE"""),"ENG")</f>
        <v>ENG</v>
      </c>
      <c r="C1544" s="6" t="str">
        <f>IFERROR(__xludf.DUMMYFUNCTION("""COMPUTED_VALUE"""),"O-15931-00")</f>
        <v>O-15931-00</v>
      </c>
      <c r="D1544" s="6" t="str">
        <f>IFERROR(__xludf.DUMMYFUNCTION("""COMPUTED_VALUE"""),"Double Tape 3M 1"" Merah - P/N : - pc")</f>
        <v>Double Tape 3M 1" Merah - P/N : - pc</v>
      </c>
      <c r="E1544" s="6">
        <f>IFERROR(__xludf.DUMMYFUNCTION("""COMPUTED_VALUE"""),2.0)</f>
        <v>2</v>
      </c>
      <c r="F1544" s="6">
        <f>IFERROR(__xludf.DUMMYFUNCTION("""COMPUTED_VALUE"""),2.0)</f>
        <v>2</v>
      </c>
      <c r="G1544" s="6">
        <f>IFERROR(__xludf.DUMMYFUNCTION("""COMPUTED_VALUE"""),0.0)</f>
        <v>0</v>
      </c>
      <c r="H1544" s="6" t="str">
        <f>IFERROR(__xludf.DUMMYFUNCTION("""COMPUTED_VALUE"""),"Pcs")</f>
        <v>Pcs</v>
      </c>
      <c r="I1544" s="6" t="str">
        <f>IFERROR(__xludf.DUMMYFUNCTION("""COMPUTED_VALUE"""),"RYP")</f>
        <v>RYP</v>
      </c>
      <c r="J1544" s="6" t="str">
        <f>IFERROR(__xludf.DUMMYFUNCTION("""COMPUTED_VALUE"""),"Building")</f>
        <v>Building</v>
      </c>
      <c r="K1544" s="6" t="str">
        <f>IFERROR(__xludf.DUMMYFUNCTION("""COMPUTED_VALUE"""),"SPR/02/25/018")</f>
        <v>SPR/02/25/018</v>
      </c>
      <c r="L1544" s="13">
        <f>IFERROR(__xludf.DUMMYFUNCTION("""COMPUTED_VALUE"""),45715.0)</f>
        <v>45715</v>
      </c>
    </row>
    <row r="1545">
      <c r="A1545" s="6" t="str">
        <f>IFERROR(__xludf.DUMMYFUNCTION("""COMPUTED_VALUE"""),"SHF")</f>
        <v>SHF</v>
      </c>
      <c r="B1545" s="6" t="str">
        <f>IFERROR(__xludf.DUMMYFUNCTION("""COMPUTED_VALUE"""),"ENG")</f>
        <v>ENG</v>
      </c>
      <c r="C1545" s="6" t="str">
        <f>IFERROR(__xludf.DUMMYFUNCTION("""COMPUTED_VALUE"""),"-")</f>
        <v>-</v>
      </c>
      <c r="D1545" s="6" t="str">
        <f>IFERROR(__xludf.DUMMYFUNCTION("""COMPUTED_VALUE"""),"Teplon Gasket 1/2")</f>
        <v>Teplon Gasket 1/2</v>
      </c>
      <c r="E1545" s="6">
        <f>IFERROR(__xludf.DUMMYFUNCTION("""COMPUTED_VALUE"""),2.0)</f>
        <v>2</v>
      </c>
      <c r="F1545" s="6">
        <f>IFERROR(__xludf.DUMMYFUNCTION("""COMPUTED_VALUE"""),2.0)</f>
        <v>2</v>
      </c>
      <c r="G1545" s="6">
        <f>IFERROR(__xludf.DUMMYFUNCTION("""COMPUTED_VALUE"""),0.0)</f>
        <v>0</v>
      </c>
      <c r="H1545" s="6" t="str">
        <f>IFERROR(__xludf.DUMMYFUNCTION("""COMPUTED_VALUE"""),"Pcs")</f>
        <v>Pcs</v>
      </c>
      <c r="I1545" s="6" t="str">
        <f>IFERROR(__xludf.DUMMYFUNCTION("""COMPUTED_VALUE"""),"RYP")</f>
        <v>RYP</v>
      </c>
      <c r="J1545" s="6" t="str">
        <f>IFERROR(__xludf.DUMMYFUNCTION("""COMPUTED_VALUE"""),"Machine")</f>
        <v>Machine</v>
      </c>
      <c r="K1545" s="6" t="str">
        <f>IFERROR(__xludf.DUMMYFUNCTION("""COMPUTED_VALUE"""),"SPR/02/25/018")</f>
        <v>SPR/02/25/018</v>
      </c>
      <c r="L1545" s="13">
        <f>IFERROR(__xludf.DUMMYFUNCTION("""COMPUTED_VALUE"""),45715.0)</f>
        <v>45715</v>
      </c>
    </row>
    <row r="1546">
      <c r="A1546" s="6" t="str">
        <f>IFERROR(__xludf.DUMMYFUNCTION("""COMPUTED_VALUE"""),"SHF")</f>
        <v>SHF</v>
      </c>
      <c r="B1546" s="6" t="str">
        <f>IFERROR(__xludf.DUMMYFUNCTION("""COMPUTED_VALUE"""),"ENG")</f>
        <v>ENG</v>
      </c>
      <c r="C1546" s="6" t="str">
        <f>IFERROR(__xludf.DUMMYFUNCTION("""COMPUTED_VALUE"""),"-")</f>
        <v>-</v>
      </c>
      <c r="D1546" s="6" t="str">
        <f>IFERROR(__xludf.DUMMYFUNCTION("""COMPUTED_VALUE"""),"Clamp 2 inch ")</f>
        <v>Clamp 2 inch </v>
      </c>
      <c r="E1546" s="6">
        <f>IFERROR(__xludf.DUMMYFUNCTION("""COMPUTED_VALUE"""),2.0)</f>
        <v>2</v>
      </c>
      <c r="F1546" s="6">
        <f>IFERROR(__xludf.DUMMYFUNCTION("""COMPUTED_VALUE"""),2.0)</f>
        <v>2</v>
      </c>
      <c r="G1546" s="6">
        <f>IFERROR(__xludf.DUMMYFUNCTION("""COMPUTED_VALUE"""),0.0)</f>
        <v>0</v>
      </c>
      <c r="H1546" s="6" t="str">
        <f>IFERROR(__xludf.DUMMYFUNCTION("""COMPUTED_VALUE"""),"Pcs")</f>
        <v>Pcs</v>
      </c>
      <c r="I1546" s="6" t="str">
        <f>IFERROR(__xludf.DUMMYFUNCTION("""COMPUTED_VALUE"""),"RYP")</f>
        <v>RYP</v>
      </c>
      <c r="J1546" s="6" t="str">
        <f>IFERROR(__xludf.DUMMYFUNCTION("""COMPUTED_VALUE"""),"Machine")</f>
        <v>Machine</v>
      </c>
      <c r="K1546" s="6" t="str">
        <f>IFERROR(__xludf.DUMMYFUNCTION("""COMPUTED_VALUE"""),"SPR/02/25/018")</f>
        <v>SPR/02/25/018</v>
      </c>
      <c r="L1546" s="13">
        <f>IFERROR(__xludf.DUMMYFUNCTION("""COMPUTED_VALUE"""),45715.0)</f>
        <v>45715</v>
      </c>
    </row>
    <row r="1547">
      <c r="A1547" s="6" t="str">
        <f>IFERROR(__xludf.DUMMYFUNCTION("""COMPUTED_VALUE"""),"INN")</f>
        <v>INN</v>
      </c>
      <c r="B1547" s="6" t="str">
        <f>IFERROR(__xludf.DUMMYFUNCTION("""COMPUTED_VALUE"""),"ENG")</f>
        <v>ENG</v>
      </c>
      <c r="C1547" s="6" t="str">
        <f>IFERROR(__xludf.DUMMYFUNCTION("""COMPUTED_VALUE"""),"O-18347-00")</f>
        <v>O-18347-00</v>
      </c>
      <c r="D1547" s="6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E1547" s="6">
        <f>IFERROR(__xludf.DUMMYFUNCTION("""COMPUTED_VALUE"""),1.0)</f>
        <v>1</v>
      </c>
      <c r="F1547" s="6">
        <f>IFERROR(__xludf.DUMMYFUNCTION("""COMPUTED_VALUE"""),1.0)</f>
        <v>1</v>
      </c>
      <c r="G1547" s="6">
        <f>IFERROR(__xludf.DUMMYFUNCTION("""COMPUTED_VALUE"""),0.0)</f>
        <v>0</v>
      </c>
      <c r="H1547" s="6" t="str">
        <f>IFERROR(__xludf.DUMMYFUNCTION("""COMPUTED_VALUE"""),"Pcs")</f>
        <v>Pcs</v>
      </c>
      <c r="I1547" s="6" t="str">
        <f>IFERROR(__xludf.DUMMYFUNCTION("""COMPUTED_VALUE"""),"RYP")</f>
        <v>RYP</v>
      </c>
      <c r="J1547" s="6" t="str">
        <f>IFERROR(__xludf.DUMMYFUNCTION("""COMPUTED_VALUE"""),"Machine")</f>
        <v>Machine</v>
      </c>
      <c r="K1547" s="6" t="str">
        <f>IFERROR(__xludf.DUMMYFUNCTION("""COMPUTED_VALUE"""),"SPR/02/25/019")</f>
        <v>SPR/02/25/019</v>
      </c>
      <c r="L1547" s="13">
        <f>IFERROR(__xludf.DUMMYFUNCTION("""COMPUTED_VALUE"""),45715.0)</f>
        <v>45715</v>
      </c>
    </row>
    <row r="1548">
      <c r="A1548" s="6" t="str">
        <f>IFERROR(__xludf.DUMMYFUNCTION("""COMPUTED_VALUE"""),"INN")</f>
        <v>INN</v>
      </c>
      <c r="B1548" s="6" t="str">
        <f>IFERROR(__xludf.DUMMYFUNCTION("""COMPUTED_VALUE"""),"ENG")</f>
        <v>ENG</v>
      </c>
      <c r="C1548" s="6" t="str">
        <f>IFERROR(__xludf.DUMMYFUNCTION("""COMPUTED_VALUE"""),"O-18348-00")</f>
        <v>O-18348-00</v>
      </c>
      <c r="D1548" s="6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E1548" s="6">
        <f>IFERROR(__xludf.DUMMYFUNCTION("""COMPUTED_VALUE"""),1.0)</f>
        <v>1</v>
      </c>
      <c r="F1548" s="6">
        <f>IFERROR(__xludf.DUMMYFUNCTION("""COMPUTED_VALUE"""),1.0)</f>
        <v>1</v>
      </c>
      <c r="G1548" s="6">
        <f>IFERROR(__xludf.DUMMYFUNCTION("""COMPUTED_VALUE"""),0.0)</f>
        <v>0</v>
      </c>
      <c r="H1548" s="6" t="str">
        <f>IFERROR(__xludf.DUMMYFUNCTION("""COMPUTED_VALUE"""),"Pcs")</f>
        <v>Pcs</v>
      </c>
      <c r="I1548" s="6" t="str">
        <f>IFERROR(__xludf.DUMMYFUNCTION("""COMPUTED_VALUE"""),"RYP")</f>
        <v>RYP</v>
      </c>
      <c r="J1548" s="6" t="str">
        <f>IFERROR(__xludf.DUMMYFUNCTION("""COMPUTED_VALUE"""),"Machine")</f>
        <v>Machine</v>
      </c>
      <c r="K1548" s="6" t="str">
        <f>IFERROR(__xludf.DUMMYFUNCTION("""COMPUTED_VALUE"""),"SPR/02/25/019")</f>
        <v>SPR/02/25/019</v>
      </c>
      <c r="L1548" s="13">
        <f>IFERROR(__xludf.DUMMYFUNCTION("""COMPUTED_VALUE"""),45715.0)</f>
        <v>45715</v>
      </c>
    </row>
    <row r="1549">
      <c r="A1549" s="6" t="str">
        <f>IFERROR(__xludf.DUMMYFUNCTION("""COMPUTED_VALUE"""),"INN")</f>
        <v>INN</v>
      </c>
      <c r="B1549" s="6" t="str">
        <f>IFERROR(__xludf.DUMMYFUNCTION("""COMPUTED_VALUE"""),"ENG")</f>
        <v>ENG</v>
      </c>
      <c r="C1549" s="6" t="str">
        <f>IFERROR(__xludf.DUMMYFUNCTION("""COMPUTED_VALUE"""),"O-16033-00")</f>
        <v>O-16033-00</v>
      </c>
      <c r="D154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549" s="6">
        <f>IFERROR(__xludf.DUMMYFUNCTION("""COMPUTED_VALUE"""),1.0)</f>
        <v>1</v>
      </c>
      <c r="F1549" s="6">
        <f>IFERROR(__xludf.DUMMYFUNCTION("""COMPUTED_VALUE"""),1.0)</f>
        <v>1</v>
      </c>
      <c r="G1549" s="6">
        <f>IFERROR(__xludf.DUMMYFUNCTION("""COMPUTED_VALUE"""),0.0)</f>
        <v>0</v>
      </c>
      <c r="H1549" s="6" t="str">
        <f>IFERROR(__xludf.DUMMYFUNCTION("""COMPUTED_VALUE"""),"Pcs")</f>
        <v>Pcs</v>
      </c>
      <c r="I1549" s="6" t="str">
        <f>IFERROR(__xludf.DUMMYFUNCTION("""COMPUTED_VALUE"""),"RYP")</f>
        <v>RYP</v>
      </c>
      <c r="J1549" s="6" t="str">
        <f>IFERROR(__xludf.DUMMYFUNCTION("""COMPUTED_VALUE"""),"Machine")</f>
        <v>Machine</v>
      </c>
      <c r="K1549" s="6" t="str">
        <f>IFERROR(__xludf.DUMMYFUNCTION("""COMPUTED_VALUE"""),"SPR/02/25/019")</f>
        <v>SPR/02/25/019</v>
      </c>
      <c r="L1549" s="13">
        <f>IFERROR(__xludf.DUMMYFUNCTION("""COMPUTED_VALUE"""),45715.0)</f>
        <v>45715</v>
      </c>
    </row>
    <row r="1550">
      <c r="A1550" s="6" t="str">
        <f>IFERROR(__xludf.DUMMYFUNCTION("""COMPUTED_VALUE"""),"RIA")</f>
        <v>RIA</v>
      </c>
      <c r="B1550" s="6" t="str">
        <f>IFERROR(__xludf.DUMMYFUNCTION("""COMPUTED_VALUE"""),"ENG")</f>
        <v>ENG</v>
      </c>
      <c r="C1550" s="6" t="str">
        <f>IFERROR(__xludf.DUMMYFUNCTION("""COMPUTED_VALUE"""),"P-15862-00")</f>
        <v>P-15862-00</v>
      </c>
      <c r="D1550" s="6" t="str">
        <f>IFERROR(__xludf.DUMMYFUNCTION("""COMPUTED_VALUE"""),"PAPER RECORD YOKOGAWA; FOLDING CHART B9565AW")</f>
        <v>PAPER RECORD YOKOGAWA; FOLDING CHART B9565AW</v>
      </c>
      <c r="E1550" s="6">
        <f>IFERROR(__xludf.DUMMYFUNCTION("""COMPUTED_VALUE"""),2.0)</f>
        <v>2</v>
      </c>
      <c r="F1550" s="6">
        <f>IFERROR(__xludf.DUMMYFUNCTION("""COMPUTED_VALUE"""),2.0)</f>
        <v>2</v>
      </c>
      <c r="G1550" s="6">
        <f>IFERROR(__xludf.DUMMYFUNCTION("""COMPUTED_VALUE"""),0.0)</f>
        <v>0</v>
      </c>
      <c r="H1550" s="6" t="str">
        <f>IFERROR(__xludf.DUMMYFUNCTION("""COMPUTED_VALUE"""),"Pcs")</f>
        <v>Pcs</v>
      </c>
      <c r="I1550" s="6" t="str">
        <f>IFERROR(__xludf.DUMMYFUNCTION("""COMPUTED_VALUE"""),"RYP")</f>
        <v>RYP</v>
      </c>
      <c r="J1550" s="6" t="str">
        <f>IFERROR(__xludf.DUMMYFUNCTION("""COMPUTED_VALUE"""),"PW SKID")</f>
        <v>PW SKID</v>
      </c>
      <c r="K1550" s="6" t="str">
        <f>IFERROR(__xludf.DUMMYFUNCTION("""COMPUTED_VALUE"""),"SPR/02/25/020")</f>
        <v>SPR/02/25/020</v>
      </c>
      <c r="L1550" s="13">
        <f>IFERROR(__xludf.DUMMYFUNCTION("""COMPUTED_VALUE"""),45715.0)</f>
        <v>45715</v>
      </c>
    </row>
    <row r="1551">
      <c r="A1551" s="6" t="str">
        <f>IFERROR(__xludf.DUMMYFUNCTION("""COMPUTED_VALUE"""),"RIA")</f>
        <v>RIA</v>
      </c>
      <c r="B1551" s="6" t="str">
        <f>IFERROR(__xludf.DUMMYFUNCTION("""COMPUTED_VALUE"""),"ENG")</f>
        <v>ENG</v>
      </c>
      <c r="C1551" s="6" t="str">
        <f>IFERROR(__xludf.DUMMYFUNCTION("""COMPUTED_VALUE"""),"P-10945-00")</f>
        <v>P-10945-00</v>
      </c>
      <c r="D1551" s="6" t="str">
        <f>IFERROR(__xludf.DUMMYFUNCTION("""COMPUTED_VALUE"""),"General - Seal Tape 1 Inch 10 M; Onda; ST 02; 1 pcs")</f>
        <v>General - Seal Tape 1 Inch 10 M; Onda; ST 02; 1 pcs</v>
      </c>
      <c r="E1551" s="6">
        <f>IFERROR(__xludf.DUMMYFUNCTION("""COMPUTED_VALUE"""),1.0)</f>
        <v>1</v>
      </c>
      <c r="F1551" s="6">
        <f>IFERROR(__xludf.DUMMYFUNCTION("""COMPUTED_VALUE"""),1.0)</f>
        <v>1</v>
      </c>
      <c r="G1551" s="6">
        <f>IFERROR(__xludf.DUMMYFUNCTION("""COMPUTED_VALUE"""),0.0)</f>
        <v>0</v>
      </c>
      <c r="H1551" s="6" t="str">
        <f>IFERROR(__xludf.DUMMYFUNCTION("""COMPUTED_VALUE"""),"Pcs")</f>
        <v>Pcs</v>
      </c>
      <c r="I1551" s="6" t="str">
        <f>IFERROR(__xludf.DUMMYFUNCTION("""COMPUTED_VALUE"""),"RYP")</f>
        <v>RYP</v>
      </c>
      <c r="J1551" s="6" t="str">
        <f>IFERROR(__xludf.DUMMYFUNCTION("""COMPUTED_VALUE"""),"PWG")</f>
        <v>PWG</v>
      </c>
      <c r="K1551" s="6" t="str">
        <f>IFERROR(__xludf.DUMMYFUNCTION("""COMPUTED_VALUE"""),"SPR/02/25/020")</f>
        <v>SPR/02/25/020</v>
      </c>
      <c r="L1551" s="13">
        <f>IFERROR(__xludf.DUMMYFUNCTION("""COMPUTED_VALUE"""),45715.0)</f>
        <v>45715</v>
      </c>
    </row>
    <row r="1552">
      <c r="A1552" s="6" t="str">
        <f>IFERROR(__xludf.DUMMYFUNCTION("""COMPUTED_VALUE"""),"INN")</f>
        <v>INN</v>
      </c>
      <c r="B1552" s="6" t="str">
        <f>IFERROR(__xludf.DUMMYFUNCTION("""COMPUTED_VALUE"""),"ENG")</f>
        <v>ENG</v>
      </c>
      <c r="C1552" s="6" t="str">
        <f>IFERROR(__xludf.DUMMYFUNCTION("""COMPUTED_VALUE"""),"P-51560-00")</f>
        <v>P-51560-00</v>
      </c>
      <c r="D1552" s="6" t="str">
        <f>IFERROR(__xludf.DUMMYFUNCTION("""COMPUTED_VALUE"""),"Lampu T5 28watt Putih; Phillips; ;")</f>
        <v>Lampu T5 28watt Putih; Phillips; ;</v>
      </c>
      <c r="E1552" s="6">
        <f>IFERROR(__xludf.DUMMYFUNCTION("""COMPUTED_VALUE"""),1.0)</f>
        <v>1</v>
      </c>
      <c r="F1552" s="6">
        <f>IFERROR(__xludf.DUMMYFUNCTION("""COMPUTED_VALUE"""),1.0)</f>
        <v>1</v>
      </c>
      <c r="G1552" s="6">
        <f>IFERROR(__xludf.DUMMYFUNCTION("""COMPUTED_VALUE"""),0.0)</f>
        <v>0</v>
      </c>
      <c r="H1552" s="6" t="str">
        <f>IFERROR(__xludf.DUMMYFUNCTION("""COMPUTED_VALUE"""),"Pcs")</f>
        <v>Pcs</v>
      </c>
      <c r="I1552" s="6" t="str">
        <f>IFERROR(__xludf.DUMMYFUNCTION("""COMPUTED_VALUE"""),"RYP")</f>
        <v>RYP</v>
      </c>
      <c r="J1552" s="6" t="str">
        <f>IFERROR(__xludf.DUMMYFUNCTION("""COMPUTED_VALUE"""),"WIHC")</f>
        <v>WIHC</v>
      </c>
      <c r="K1552" s="6" t="str">
        <f>IFERROR(__xludf.DUMMYFUNCTION("""COMPUTED_VALUE"""),"SPR/02/25/021")</f>
        <v>SPR/02/25/021</v>
      </c>
      <c r="L1552" s="13">
        <f>IFERROR(__xludf.DUMMYFUNCTION("""COMPUTED_VALUE"""),45715.0)</f>
        <v>45715</v>
      </c>
    </row>
    <row r="1553">
      <c r="A1553" s="6" t="str">
        <f>IFERROR(__xludf.DUMMYFUNCTION("""COMPUTED_VALUE"""),"AAA")</f>
        <v>AAA</v>
      </c>
      <c r="B1553" s="6" t="str">
        <f>IFERROR(__xludf.DUMMYFUNCTION("""COMPUTED_VALUE"""),"ENG")</f>
        <v>ENG</v>
      </c>
      <c r="C1553" s="6" t="str">
        <f>IFERROR(__xludf.DUMMYFUNCTION("""COMPUTED_VALUE"""),"O-16030-00")</f>
        <v>O-16030-00</v>
      </c>
      <c r="D1553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553" s="6">
        <f>IFERROR(__xludf.DUMMYFUNCTION("""COMPUTED_VALUE"""),1.0)</f>
        <v>1</v>
      </c>
      <c r="F1553" s="6">
        <f>IFERROR(__xludf.DUMMYFUNCTION("""COMPUTED_VALUE"""),1.0)</f>
        <v>1</v>
      </c>
      <c r="G1553" s="6">
        <f>IFERROR(__xludf.DUMMYFUNCTION("""COMPUTED_VALUE"""),0.0)</f>
        <v>0</v>
      </c>
      <c r="H1553" s="6" t="str">
        <f>IFERROR(__xludf.DUMMYFUNCTION("""COMPUTED_VALUE"""),"Pcs")</f>
        <v>Pcs</v>
      </c>
      <c r="I1553" s="6" t="str">
        <f>IFERROR(__xludf.DUMMYFUNCTION("""COMPUTED_VALUE"""),"RYP")</f>
        <v>RYP</v>
      </c>
      <c r="J1553" s="6" t="str">
        <f>IFERROR(__xludf.DUMMYFUNCTION("""COMPUTED_VALUE"""),"Machine")</f>
        <v>Machine</v>
      </c>
      <c r="K1553" s="6" t="str">
        <f>IFERROR(__xludf.DUMMYFUNCTION("""COMPUTED_VALUE"""),"SPR/02/25/022")</f>
        <v>SPR/02/25/022</v>
      </c>
      <c r="L1553" s="13">
        <f>IFERROR(__xludf.DUMMYFUNCTION("""COMPUTED_VALUE"""),45715.0)</f>
        <v>45715</v>
      </c>
    </row>
    <row r="1554">
      <c r="A1554" s="6" t="str">
        <f>IFERROR(__xludf.DUMMYFUNCTION("""COMPUTED_VALUE"""),"AAA")</f>
        <v>AAA</v>
      </c>
      <c r="B1554" s="6" t="str">
        <f>IFERROR(__xludf.DUMMYFUNCTION("""COMPUTED_VALUE"""),"ENG")</f>
        <v>ENG</v>
      </c>
      <c r="C1554" s="6" t="str">
        <f>IFERROR(__xludf.DUMMYFUNCTION("""COMPUTED_VALUE"""),"O-16030-00")</f>
        <v>O-16030-00</v>
      </c>
      <c r="D1554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554" s="6">
        <f>IFERROR(__xludf.DUMMYFUNCTION("""COMPUTED_VALUE"""),2.0)</f>
        <v>2</v>
      </c>
      <c r="F1554" s="6">
        <f>IFERROR(__xludf.DUMMYFUNCTION("""COMPUTED_VALUE"""),2.0)</f>
        <v>2</v>
      </c>
      <c r="G1554" s="6">
        <f>IFERROR(__xludf.DUMMYFUNCTION("""COMPUTED_VALUE"""),0.0)</f>
        <v>0</v>
      </c>
      <c r="H1554" s="6" t="str">
        <f>IFERROR(__xludf.DUMMYFUNCTION("""COMPUTED_VALUE"""),"Pcs")</f>
        <v>Pcs</v>
      </c>
      <c r="I1554" s="6" t="str">
        <f>IFERROR(__xludf.DUMMYFUNCTION("""COMPUTED_VALUE"""),"RYP")</f>
        <v>RYP</v>
      </c>
      <c r="J1554" s="6" t="str">
        <f>IFERROR(__xludf.DUMMYFUNCTION("""COMPUTED_VALUE"""),"Machine")</f>
        <v>Machine</v>
      </c>
      <c r="K1554" s="6" t="str">
        <f>IFERROR(__xludf.DUMMYFUNCTION("""COMPUTED_VALUE"""),"SPR/02/25/022")</f>
        <v>SPR/02/25/022</v>
      </c>
      <c r="L1554" s="13">
        <f>IFERROR(__xludf.DUMMYFUNCTION("""COMPUTED_VALUE"""),45715.0)</f>
        <v>45715</v>
      </c>
    </row>
    <row r="1555">
      <c r="A1555" s="6" t="str">
        <f>IFERROR(__xludf.DUMMYFUNCTION("""COMPUTED_VALUE"""),"AAA")</f>
        <v>AAA</v>
      </c>
      <c r="B1555" s="6" t="str">
        <f>IFERROR(__xludf.DUMMYFUNCTION("""COMPUTED_VALUE"""),"ENG")</f>
        <v>ENG</v>
      </c>
      <c r="C1555" s="6" t="str">
        <f>IFERROR(__xludf.DUMMYFUNCTION("""COMPUTED_VALUE"""),"Q-10586-00")</f>
        <v>Q-10586-00</v>
      </c>
      <c r="D1555" s="6" t="str">
        <f>IFERROR(__xludf.DUMMYFUNCTION("""COMPUTED_VALUE"""),"Lampu LED T5-9W-600mm; ; ;")</f>
        <v>Lampu LED T5-9W-600mm; ; ;</v>
      </c>
      <c r="E1555" s="6">
        <f>IFERROR(__xludf.DUMMYFUNCTION("""COMPUTED_VALUE"""),1.0)</f>
        <v>1</v>
      </c>
      <c r="F1555" s="6">
        <f>IFERROR(__xludf.DUMMYFUNCTION("""COMPUTED_VALUE"""),1.0)</f>
        <v>1</v>
      </c>
      <c r="G1555" s="6">
        <f>IFERROR(__xludf.DUMMYFUNCTION("""COMPUTED_VALUE"""),0.0)</f>
        <v>0</v>
      </c>
      <c r="H1555" s="6" t="str">
        <f>IFERROR(__xludf.DUMMYFUNCTION("""COMPUTED_VALUE"""),"Set")</f>
        <v>Set</v>
      </c>
      <c r="I1555" s="6" t="str">
        <f>IFERROR(__xludf.DUMMYFUNCTION("""COMPUTED_VALUE"""),"RYP")</f>
        <v>RYP</v>
      </c>
      <c r="J1555" s="6" t="str">
        <f>IFERROR(__xludf.DUMMYFUNCTION("""COMPUTED_VALUE"""),"Çonveyor B")</f>
        <v>Çonveyor B</v>
      </c>
      <c r="K1555" s="6" t="str">
        <f>IFERROR(__xludf.DUMMYFUNCTION("""COMPUTED_VALUE"""),"SPR/02/25/023")</f>
        <v>SPR/02/25/023</v>
      </c>
      <c r="L1555" s="13">
        <f>IFERROR(__xludf.DUMMYFUNCTION("""COMPUTED_VALUE"""),45715.0)</f>
        <v>45715</v>
      </c>
    </row>
    <row r="1556">
      <c r="A1556" s="6" t="str">
        <f>IFERROR(__xludf.DUMMYFUNCTION("""COMPUTED_VALUE"""),"ANO")</f>
        <v>ANO</v>
      </c>
      <c r="B1556" s="6" t="str">
        <f>IFERROR(__xludf.DUMMYFUNCTION("""COMPUTED_VALUE"""),"ENG")</f>
        <v>ENG</v>
      </c>
      <c r="C1556" s="6" t="str">
        <f>IFERROR(__xludf.DUMMYFUNCTION("""COMPUTED_VALUE"""),"O-14640-00")</f>
        <v>O-14640-00</v>
      </c>
      <c r="D1556" s="6" t="str">
        <f>IFERROR(__xludf.DUMMYFUNCTION("""COMPUTED_VALUE"""),"Silicone Gasket for Ferrule dia. 3/4"" - P/N : - pc")</f>
        <v>Silicone Gasket for Ferrule dia. 3/4" - P/N : - pc</v>
      </c>
      <c r="E1556" s="6">
        <f>IFERROR(__xludf.DUMMYFUNCTION("""COMPUTED_VALUE"""),1.0)</f>
        <v>1</v>
      </c>
      <c r="F1556" s="6">
        <f>IFERROR(__xludf.DUMMYFUNCTION("""COMPUTED_VALUE"""),1.0)</f>
        <v>1</v>
      </c>
      <c r="G1556" s="6">
        <f>IFERROR(__xludf.DUMMYFUNCTION("""COMPUTED_VALUE"""),0.0)</f>
        <v>0</v>
      </c>
      <c r="H1556" s="6" t="str">
        <f>IFERROR(__xludf.DUMMYFUNCTION("""COMPUTED_VALUE"""),"Pcs")</f>
        <v>Pcs</v>
      </c>
      <c r="I1556" s="6" t="str">
        <f>IFERROR(__xludf.DUMMYFUNCTION("""COMPUTED_VALUE"""),"RYP")</f>
        <v>RYP</v>
      </c>
      <c r="J1556" s="6" t="str">
        <f>IFERROR(__xludf.DUMMYFUNCTION("""COMPUTED_VALUE"""),"Machine")</f>
        <v>Machine</v>
      </c>
      <c r="K1556" s="6" t="str">
        <f>IFERROR(__xludf.DUMMYFUNCTION("""COMPUTED_VALUE"""),"SPR/02/25/024")</f>
        <v>SPR/02/25/024</v>
      </c>
      <c r="L1556" s="13">
        <f>IFERROR(__xludf.DUMMYFUNCTION("""COMPUTED_VALUE"""),45715.0)</f>
        <v>45715</v>
      </c>
    </row>
    <row r="1557">
      <c r="A1557" s="6" t="str">
        <f>IFERROR(__xludf.DUMMYFUNCTION("""COMPUTED_VALUE"""),"ANO")</f>
        <v>ANO</v>
      </c>
      <c r="B1557" s="6" t="str">
        <f>IFERROR(__xludf.DUMMYFUNCTION("""COMPUTED_VALUE"""),"ENG")</f>
        <v>ENG</v>
      </c>
      <c r="C1557" s="6" t="str">
        <f>IFERROR(__xludf.DUMMYFUNCTION("""COMPUTED_VALUE"""),"-")</f>
        <v>-</v>
      </c>
      <c r="D1557" s="6" t="str">
        <f>IFERROR(__xludf.DUMMYFUNCTION("""COMPUTED_VALUE"""),"Bland Ferule")</f>
        <v>Bland Ferule</v>
      </c>
      <c r="E1557" s="6">
        <f>IFERROR(__xludf.DUMMYFUNCTION("""COMPUTED_VALUE"""),1.0)</f>
        <v>1</v>
      </c>
      <c r="F1557" s="6">
        <f>IFERROR(__xludf.DUMMYFUNCTION("""COMPUTED_VALUE"""),1.0)</f>
        <v>1</v>
      </c>
      <c r="G1557" s="6">
        <f>IFERROR(__xludf.DUMMYFUNCTION("""COMPUTED_VALUE"""),0.0)</f>
        <v>0</v>
      </c>
      <c r="H1557" s="6" t="str">
        <f>IFERROR(__xludf.DUMMYFUNCTION("""COMPUTED_VALUE"""),"Pcs")</f>
        <v>Pcs</v>
      </c>
      <c r="I1557" s="6" t="str">
        <f>IFERROR(__xludf.DUMMYFUNCTION("""COMPUTED_VALUE"""),"RYP")</f>
        <v>RYP</v>
      </c>
      <c r="J1557" s="6" t="str">
        <f>IFERROR(__xludf.DUMMYFUNCTION("""COMPUTED_VALUE"""),"Machine")</f>
        <v>Machine</v>
      </c>
      <c r="K1557" s="6" t="str">
        <f>IFERROR(__xludf.DUMMYFUNCTION("""COMPUTED_VALUE"""),"SPR/02/25/024")</f>
        <v>SPR/02/25/024</v>
      </c>
      <c r="L1557" s="13">
        <f>IFERROR(__xludf.DUMMYFUNCTION("""COMPUTED_VALUE"""),45715.0)</f>
        <v>45715</v>
      </c>
    </row>
    <row r="1558">
      <c r="A1558" s="6" t="str">
        <f>IFERROR(__xludf.DUMMYFUNCTION("""COMPUTED_VALUE"""),"ANO")</f>
        <v>ANO</v>
      </c>
      <c r="B1558" s="6" t="str">
        <f>IFERROR(__xludf.DUMMYFUNCTION("""COMPUTED_VALUE"""),"ENG")</f>
        <v>ENG</v>
      </c>
      <c r="C1558" s="6" t="str">
        <f>IFERROR(__xludf.DUMMYFUNCTION("""COMPUTED_VALUE"""),"P-12471-00")</f>
        <v>P-12471-00</v>
      </c>
      <c r="D1558" s="6" t="str">
        <f>IFERROR(__xludf.DUMMYFUNCTION("""COMPUTED_VALUE"""),"Lem silicone Elastosil ? E41")</f>
        <v>Lem silicone Elastosil ? E41</v>
      </c>
      <c r="E1558" s="6">
        <f>IFERROR(__xludf.DUMMYFUNCTION("""COMPUTED_VALUE"""),1.0)</f>
        <v>1</v>
      </c>
      <c r="F1558" s="6">
        <f>IFERROR(__xludf.DUMMYFUNCTION("""COMPUTED_VALUE"""),1.0)</f>
        <v>1</v>
      </c>
      <c r="G1558" s="6">
        <f>IFERROR(__xludf.DUMMYFUNCTION("""COMPUTED_VALUE"""),0.0)</f>
        <v>0</v>
      </c>
      <c r="H1558" s="6" t="str">
        <f>IFERROR(__xludf.DUMMYFUNCTION("""COMPUTED_VALUE"""),"Pcs")</f>
        <v>Pcs</v>
      </c>
      <c r="I1558" s="6" t="str">
        <f>IFERROR(__xludf.DUMMYFUNCTION("""COMPUTED_VALUE"""),"RYP")</f>
        <v>RYP</v>
      </c>
      <c r="J1558" s="6" t="str">
        <f>IFERROR(__xludf.DUMMYFUNCTION("""COMPUTED_VALUE"""),"Machine")</f>
        <v>Machine</v>
      </c>
      <c r="K1558" s="6" t="str">
        <f>IFERROR(__xludf.DUMMYFUNCTION("""COMPUTED_VALUE"""),"SPR/02/25/024")</f>
        <v>SPR/02/25/024</v>
      </c>
      <c r="L1558" s="13">
        <f>IFERROR(__xludf.DUMMYFUNCTION("""COMPUTED_VALUE"""),45715.0)</f>
        <v>45715</v>
      </c>
    </row>
    <row r="1559">
      <c r="A1559" s="6" t="str">
        <f>IFERROR(__xludf.DUMMYFUNCTION("""COMPUTED_VALUE"""),"NDS")</f>
        <v>NDS</v>
      </c>
      <c r="B1559" s="6" t="str">
        <f>IFERROR(__xludf.DUMMYFUNCTION("""COMPUTED_VALUE"""),"ENG")</f>
        <v>ENG</v>
      </c>
      <c r="C1559" s="6" t="str">
        <f>IFERROR(__xludf.DUMMYFUNCTION("""COMPUTED_VALUE"""),"O-16033-00")</f>
        <v>O-16033-00</v>
      </c>
      <c r="D155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559" s="6">
        <f>IFERROR(__xludf.DUMMYFUNCTION("""COMPUTED_VALUE"""),2.0)</f>
        <v>2</v>
      </c>
      <c r="F1559" s="6">
        <f>IFERROR(__xludf.DUMMYFUNCTION("""COMPUTED_VALUE"""),2.0)</f>
        <v>2</v>
      </c>
      <c r="G1559" s="6">
        <f>IFERROR(__xludf.DUMMYFUNCTION("""COMPUTED_VALUE"""),0.0)</f>
        <v>0</v>
      </c>
      <c r="H1559" s="6" t="str">
        <f>IFERROR(__xludf.DUMMYFUNCTION("""COMPUTED_VALUE"""),"Pcs")</f>
        <v>Pcs</v>
      </c>
      <c r="I1559" s="6" t="str">
        <f>IFERROR(__xludf.DUMMYFUNCTION("""COMPUTED_VALUE"""),"RYP")</f>
        <v>RYP</v>
      </c>
      <c r="J1559" s="6" t="str">
        <f>IFERROR(__xludf.DUMMYFUNCTION("""COMPUTED_VALUE"""),"Machine")</f>
        <v>Machine</v>
      </c>
      <c r="K1559" s="6" t="str">
        <f>IFERROR(__xludf.DUMMYFUNCTION("""COMPUTED_VALUE"""),"SPR/02/25/025")</f>
        <v>SPR/02/25/025</v>
      </c>
      <c r="L1559" s="13">
        <f>IFERROR(__xludf.DUMMYFUNCTION("""COMPUTED_VALUE"""),45715.0)</f>
        <v>45715</v>
      </c>
    </row>
    <row r="1560">
      <c r="A1560" s="6" t="str">
        <f>IFERROR(__xludf.DUMMYFUNCTION("""COMPUTED_VALUE"""),"AAA")</f>
        <v>AAA</v>
      </c>
      <c r="B1560" s="6" t="str">
        <f>IFERROR(__xludf.DUMMYFUNCTION("""COMPUTED_VALUE"""),"ENG")</f>
        <v>ENG</v>
      </c>
      <c r="C1560" s="6" t="str">
        <f>IFERROR(__xludf.DUMMYFUNCTION("""COMPUTED_VALUE"""),"O-52884-00")</f>
        <v>O-52884-00</v>
      </c>
      <c r="D1560" s="6" t="str">
        <f>IFERROR(__xludf.DUMMYFUNCTION("""COMPUTED_VALUE"""),"Filling VFM100 - Laser Sensor World beam QS18VP6LAF250Q5 10-30 VDC; Banner; ;")</f>
        <v>Filling VFM100 - Laser Sensor World beam QS18VP6LAF250Q5 10-30 VDC; Banner; ;</v>
      </c>
      <c r="E1560" s="6">
        <f>IFERROR(__xludf.DUMMYFUNCTION("""COMPUTED_VALUE"""),1.0)</f>
        <v>1</v>
      </c>
      <c r="F1560" s="6">
        <f>IFERROR(__xludf.DUMMYFUNCTION("""COMPUTED_VALUE"""),1.0)</f>
        <v>1</v>
      </c>
      <c r="G1560" s="6">
        <f>IFERROR(__xludf.DUMMYFUNCTION("""COMPUTED_VALUE"""),0.0)</f>
        <v>0</v>
      </c>
      <c r="H1560" s="6" t="str">
        <f>IFERROR(__xludf.DUMMYFUNCTION("""COMPUTED_VALUE"""),"Pcs")</f>
        <v>Pcs</v>
      </c>
      <c r="I1560" s="6" t="str">
        <f>IFERROR(__xludf.DUMMYFUNCTION("""COMPUTED_VALUE"""),"RYP")</f>
        <v>RYP</v>
      </c>
      <c r="J1560" s="6" t="str">
        <f>IFERROR(__xludf.DUMMYFUNCTION("""COMPUTED_VALUE"""),"Filling")</f>
        <v>Filling</v>
      </c>
      <c r="K1560" s="6" t="str">
        <f>IFERROR(__xludf.DUMMYFUNCTION("""COMPUTED_VALUE"""),"SPR/02/25/026")</f>
        <v>SPR/02/25/026</v>
      </c>
      <c r="L1560" s="13">
        <f>IFERROR(__xludf.DUMMYFUNCTION("""COMPUTED_VALUE"""),45715.0)</f>
        <v>45715</v>
      </c>
    </row>
    <row r="1561">
      <c r="A1561" s="6" t="str">
        <f>IFERROR(__xludf.DUMMYFUNCTION("""COMPUTED_VALUE"""),"ROS")</f>
        <v>ROS</v>
      </c>
      <c r="B1561" s="6" t="str">
        <f>IFERROR(__xludf.DUMMYFUNCTION("""COMPUTED_VALUE"""),"ENG")</f>
        <v>ENG</v>
      </c>
      <c r="C1561" s="6" t="str">
        <f>IFERROR(__xludf.DUMMYFUNCTION("""COMPUTED_VALUE"""),"O-16033-00")</f>
        <v>O-16033-00</v>
      </c>
      <c r="D156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561" s="6">
        <f>IFERROR(__xludf.DUMMYFUNCTION("""COMPUTED_VALUE"""),1.0)</f>
        <v>1</v>
      </c>
      <c r="F1561" s="6">
        <f>IFERROR(__xludf.DUMMYFUNCTION("""COMPUTED_VALUE"""),1.0)</f>
        <v>1</v>
      </c>
      <c r="G1561" s="6">
        <f>IFERROR(__xludf.DUMMYFUNCTION("""COMPUTED_VALUE"""),0.0)</f>
        <v>0</v>
      </c>
      <c r="H1561" s="6" t="str">
        <f>IFERROR(__xludf.DUMMYFUNCTION("""COMPUTED_VALUE"""),"Pcs")</f>
        <v>Pcs</v>
      </c>
      <c r="I1561" s="6" t="str">
        <f>IFERROR(__xludf.DUMMYFUNCTION("""COMPUTED_VALUE"""),"RYP")</f>
        <v>RYP</v>
      </c>
      <c r="J1561" s="6" t="str">
        <f>IFERROR(__xludf.DUMMYFUNCTION("""COMPUTED_VALUE"""),"Machine")</f>
        <v>Machine</v>
      </c>
      <c r="K1561" s="6" t="str">
        <f>IFERROR(__xludf.DUMMYFUNCTION("""COMPUTED_VALUE"""),"SPR/02/25/027")</f>
        <v>SPR/02/25/027</v>
      </c>
      <c r="L1561" s="13">
        <f>IFERROR(__xludf.DUMMYFUNCTION("""COMPUTED_VALUE"""),45715.0)</f>
        <v>45715</v>
      </c>
    </row>
    <row r="1562">
      <c r="A1562" s="6" t="str">
        <f>IFERROR(__xludf.DUMMYFUNCTION("""COMPUTED_VALUE"""),"INN")</f>
        <v>INN</v>
      </c>
      <c r="B1562" s="6" t="str">
        <f>IFERROR(__xludf.DUMMYFUNCTION("""COMPUTED_VALUE"""),"ENG")</f>
        <v>ENG</v>
      </c>
      <c r="C1562" s="6" t="str">
        <f>IFERROR(__xludf.DUMMYFUNCTION("""COMPUTED_VALUE"""),"O-16647-00")</f>
        <v>O-16647-00</v>
      </c>
      <c r="D1562" s="6" t="str">
        <f>IFERROR(__xludf.DUMMYFUNCTION("""COMPUTED_VALUE"""),"Washing RAR4 - Oring Silicone Merah 23x18x2.5 mm; ; ;")</f>
        <v>Washing RAR4 - Oring Silicone Merah 23x18x2.5 mm; ; ;</v>
      </c>
      <c r="E1562" s="6">
        <f>IFERROR(__xludf.DUMMYFUNCTION("""COMPUTED_VALUE"""),10.0)</f>
        <v>10</v>
      </c>
      <c r="F1562" s="6">
        <f>IFERROR(__xludf.DUMMYFUNCTION("""COMPUTED_VALUE"""),10.0)</f>
        <v>10</v>
      </c>
      <c r="G1562" s="6">
        <f>IFERROR(__xludf.DUMMYFUNCTION("""COMPUTED_VALUE"""),0.0)</f>
        <v>0</v>
      </c>
      <c r="H1562" s="6" t="str">
        <f>IFERROR(__xludf.DUMMYFUNCTION("""COMPUTED_VALUE"""),"Pcs")</f>
        <v>Pcs</v>
      </c>
      <c r="I1562" s="6" t="str">
        <f>IFERROR(__xludf.DUMMYFUNCTION("""COMPUTED_VALUE"""),"RYP")</f>
        <v>RYP</v>
      </c>
      <c r="J1562" s="6" t="str">
        <f>IFERROR(__xludf.DUMMYFUNCTION("""COMPUTED_VALUE"""),"Capping")</f>
        <v>Capping</v>
      </c>
      <c r="K1562" s="6" t="str">
        <f>IFERROR(__xludf.DUMMYFUNCTION("""COMPUTED_VALUE"""),"SPR/02/25/028")</f>
        <v>SPR/02/25/028</v>
      </c>
      <c r="L1562" s="13">
        <f>IFERROR(__xludf.DUMMYFUNCTION("""COMPUTED_VALUE"""),45715.0)</f>
        <v>45715</v>
      </c>
    </row>
    <row r="1563">
      <c r="A1563" s="6" t="str">
        <f>IFERROR(__xludf.DUMMYFUNCTION("""COMPUTED_VALUE"""),"REI")</f>
        <v>REI</v>
      </c>
      <c r="B1563" s="6" t="str">
        <f>IFERROR(__xludf.DUMMYFUNCTION("""COMPUTED_VALUE"""),"ENG")</f>
        <v>ENG</v>
      </c>
      <c r="C1563" s="6" t="str">
        <f>IFERROR(__xludf.DUMMYFUNCTION("""COMPUTED_VALUE"""),"O-18055-00")</f>
        <v>O-18055-00</v>
      </c>
      <c r="D1563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1563" s="6">
        <f>IFERROR(__xludf.DUMMYFUNCTION("""COMPUTED_VALUE"""),4.0)</f>
        <v>4</v>
      </c>
      <c r="F1563" s="6">
        <f>IFERROR(__xludf.DUMMYFUNCTION("""COMPUTED_VALUE"""),4.0)</f>
        <v>4</v>
      </c>
      <c r="G1563" s="6">
        <f>IFERROR(__xludf.DUMMYFUNCTION("""COMPUTED_VALUE"""),0.0)</f>
        <v>0</v>
      </c>
      <c r="H1563" s="6" t="str">
        <f>IFERROR(__xludf.DUMMYFUNCTION("""COMPUTED_VALUE"""),"Pcs")</f>
        <v>Pcs</v>
      </c>
      <c r="I1563" s="6" t="str">
        <f>IFERROR(__xludf.DUMMYFUNCTION("""COMPUTED_VALUE"""),"RYP")</f>
        <v>RYP</v>
      </c>
      <c r="J1563" s="6" t="str">
        <f>IFERROR(__xludf.DUMMYFUNCTION("""COMPUTED_VALUE"""),"Capping")</f>
        <v>Capping</v>
      </c>
      <c r="K1563" s="6" t="str">
        <f>IFERROR(__xludf.DUMMYFUNCTION("""COMPUTED_VALUE"""),"SPR/02/25/029")</f>
        <v>SPR/02/25/029</v>
      </c>
      <c r="L1563" s="13">
        <f>IFERROR(__xludf.DUMMYFUNCTION("""COMPUTED_VALUE"""),45715.0)</f>
        <v>45715</v>
      </c>
    </row>
    <row r="1564">
      <c r="A1564" s="6" t="str">
        <f>IFERROR(__xludf.DUMMYFUNCTION("""COMPUTED_VALUE"""),"RIA")</f>
        <v>RIA</v>
      </c>
      <c r="B1564" s="6" t="str">
        <f>IFERROR(__xludf.DUMMYFUNCTION("""COMPUTED_VALUE"""),"ENG")</f>
        <v>ENG</v>
      </c>
      <c r="C1564" s="6" t="str">
        <f>IFERROR(__xludf.DUMMYFUNCTION("""COMPUTED_VALUE"""),"P-50286-00")</f>
        <v>P-50286-00</v>
      </c>
      <c r="D1564" s="6" t="str">
        <f>IFERROR(__xludf.DUMMYFUNCTION("""COMPUTED_VALUE"""),"Kabel NYYHY 3 x 1,5 mm")</f>
        <v>Kabel NYYHY 3 x 1,5 mm</v>
      </c>
      <c r="E1564" s="6">
        <f>IFERROR(__xludf.DUMMYFUNCTION("""COMPUTED_VALUE"""),15.0)</f>
        <v>15</v>
      </c>
      <c r="F1564" s="6">
        <f>IFERROR(__xludf.DUMMYFUNCTION("""COMPUTED_VALUE"""),15.0)</f>
        <v>15</v>
      </c>
      <c r="G1564" s="6">
        <f>IFERROR(__xludf.DUMMYFUNCTION("""COMPUTED_VALUE"""),0.0)</f>
        <v>0</v>
      </c>
      <c r="H1564" s="6" t="str">
        <f>IFERROR(__xludf.DUMMYFUNCTION("""COMPUTED_VALUE"""),"Mtr")</f>
        <v>Mtr</v>
      </c>
      <c r="I1564" s="6" t="str">
        <f>IFERROR(__xludf.DUMMYFUNCTION("""COMPUTED_VALUE"""),"RYP")</f>
        <v>RYP</v>
      </c>
      <c r="J1564" s="6" t="str">
        <f>IFERROR(__xludf.DUMMYFUNCTION("""COMPUTED_VALUE"""),"Building")</f>
        <v>Building</v>
      </c>
      <c r="K1564" s="6" t="str">
        <f>IFERROR(__xludf.DUMMYFUNCTION("""COMPUTED_VALUE"""),"SPR/02/25/030")</f>
        <v>SPR/02/25/030</v>
      </c>
      <c r="L1564" s="13">
        <f>IFERROR(__xludf.DUMMYFUNCTION("""COMPUTED_VALUE"""),45715.0)</f>
        <v>45715</v>
      </c>
    </row>
    <row r="1565">
      <c r="A1565" s="6" t="str">
        <f>IFERROR(__xludf.DUMMYFUNCTION("""COMPUTED_VALUE"""),"RIA")</f>
        <v>RIA</v>
      </c>
      <c r="B1565" s="6" t="str">
        <f>IFERROR(__xludf.DUMMYFUNCTION("""COMPUTED_VALUE"""),"ENG")</f>
        <v>ENG</v>
      </c>
      <c r="C1565" s="6" t="str">
        <f>IFERROR(__xludf.DUMMYFUNCTION("""COMPUTED_VALUE"""),"P-51756-00")</f>
        <v>P-51756-00</v>
      </c>
      <c r="D1565" s="6" t="str">
        <f>IFERROR(__xludf.DUMMYFUNCTION("""COMPUTED_VALUE"""),"Kabel NYYHY 3x0.75mm; ; ; meter")</f>
        <v>Kabel NYYHY 3x0.75mm; ; ; meter</v>
      </c>
      <c r="E1565" s="6">
        <f>IFERROR(__xludf.DUMMYFUNCTION("""COMPUTED_VALUE"""),10.0)</f>
        <v>10</v>
      </c>
      <c r="F1565" s="6">
        <f>IFERROR(__xludf.DUMMYFUNCTION("""COMPUTED_VALUE"""),10.0)</f>
        <v>10</v>
      </c>
      <c r="G1565" s="6">
        <f>IFERROR(__xludf.DUMMYFUNCTION("""COMPUTED_VALUE"""),0.0)</f>
        <v>0</v>
      </c>
      <c r="H1565" s="6" t="str">
        <f>IFERROR(__xludf.DUMMYFUNCTION("""COMPUTED_VALUE"""),"Mtr")</f>
        <v>Mtr</v>
      </c>
      <c r="I1565" s="6" t="str">
        <f>IFERROR(__xludf.DUMMYFUNCTION("""COMPUTED_VALUE"""),"RYP")</f>
        <v>RYP</v>
      </c>
      <c r="J1565" s="6" t="str">
        <f>IFERROR(__xludf.DUMMYFUNCTION("""COMPUTED_VALUE"""),"Building")</f>
        <v>Building</v>
      </c>
      <c r="K1565" s="6" t="str">
        <f>IFERROR(__xludf.DUMMYFUNCTION("""COMPUTED_VALUE"""),"SPR/02/25/030")</f>
        <v>SPR/02/25/030</v>
      </c>
      <c r="L1565" s="13">
        <f>IFERROR(__xludf.DUMMYFUNCTION("""COMPUTED_VALUE"""),45715.0)</f>
        <v>45715</v>
      </c>
    </row>
    <row r="1566">
      <c r="A1566" s="6" t="str">
        <f>IFERROR(__xludf.DUMMYFUNCTION("""COMPUTED_VALUE"""),"RIA")</f>
        <v>RIA</v>
      </c>
      <c r="B1566" s="6" t="str">
        <f>IFERROR(__xludf.DUMMYFUNCTION("""COMPUTED_VALUE"""),"ENG")</f>
        <v>ENG</v>
      </c>
      <c r="C1566" s="6" t="str">
        <f>IFERROR(__xludf.DUMMYFUNCTION("""COMPUTED_VALUE"""),"O-54015-00")</f>
        <v>O-54015-00</v>
      </c>
      <c r="D1566" s="6" t="str">
        <f>IFERROR(__xludf.DUMMYFUNCTION("""COMPUTED_VALUE"""),"STOP KONTAK LUBANG 4, BROCO")</f>
        <v>STOP KONTAK LUBANG 4, BROCO</v>
      </c>
      <c r="E1566" s="6">
        <f>IFERROR(__xludf.DUMMYFUNCTION("""COMPUTED_VALUE"""),3.0)</f>
        <v>3</v>
      </c>
      <c r="F1566" s="6">
        <f>IFERROR(__xludf.DUMMYFUNCTION("""COMPUTED_VALUE"""),3.0)</f>
        <v>3</v>
      </c>
      <c r="G1566" s="6">
        <f>IFERROR(__xludf.DUMMYFUNCTION("""COMPUTED_VALUE"""),0.0)</f>
        <v>0</v>
      </c>
      <c r="H1566" s="6" t="str">
        <f>IFERROR(__xludf.DUMMYFUNCTION("""COMPUTED_VALUE"""),"Pcs")</f>
        <v>Pcs</v>
      </c>
      <c r="I1566" s="6" t="str">
        <f>IFERROR(__xludf.DUMMYFUNCTION("""COMPUTED_VALUE"""),"RYP")</f>
        <v>RYP</v>
      </c>
      <c r="J1566" s="6" t="str">
        <f>IFERROR(__xludf.DUMMYFUNCTION("""COMPUTED_VALUE"""),"Building")</f>
        <v>Building</v>
      </c>
      <c r="K1566" s="6" t="str">
        <f>IFERROR(__xludf.DUMMYFUNCTION("""COMPUTED_VALUE"""),"SPR/02/25/030")</f>
        <v>SPR/02/25/030</v>
      </c>
      <c r="L1566" s="13">
        <f>IFERROR(__xludf.DUMMYFUNCTION("""COMPUTED_VALUE"""),45715.0)</f>
        <v>45715</v>
      </c>
    </row>
    <row r="1567">
      <c r="A1567" s="6" t="str">
        <f>IFERROR(__xludf.DUMMYFUNCTION("""COMPUTED_VALUE"""),"RIA")</f>
        <v>RIA</v>
      </c>
      <c r="B1567" s="6" t="str">
        <f>IFERROR(__xludf.DUMMYFUNCTION("""COMPUTED_VALUE"""),"ENG")</f>
        <v>ENG</v>
      </c>
      <c r="C1567" s="6" t="str">
        <f>IFERROR(__xludf.DUMMYFUNCTION("""COMPUTED_VALUE"""),"O-54014-00")</f>
        <v>O-54014-00</v>
      </c>
      <c r="D1567" s="6" t="str">
        <f>IFERROR(__xludf.DUMMYFUNCTION("""COMPUTED_VALUE"""),"STEKER 1 PHASE, BROCO")</f>
        <v>STEKER 1 PHASE, BROCO</v>
      </c>
      <c r="E1567" s="6">
        <f>IFERROR(__xludf.DUMMYFUNCTION("""COMPUTED_VALUE"""),2.0)</f>
        <v>2</v>
      </c>
      <c r="F1567" s="6">
        <f>IFERROR(__xludf.DUMMYFUNCTION("""COMPUTED_VALUE"""),2.0)</f>
        <v>2</v>
      </c>
      <c r="G1567" s="6">
        <f>IFERROR(__xludf.DUMMYFUNCTION("""COMPUTED_VALUE"""),0.0)</f>
        <v>0</v>
      </c>
      <c r="H1567" s="6" t="str">
        <f>IFERROR(__xludf.DUMMYFUNCTION("""COMPUTED_VALUE"""),"Pcs")</f>
        <v>Pcs</v>
      </c>
      <c r="I1567" s="6" t="str">
        <f>IFERROR(__xludf.DUMMYFUNCTION("""COMPUTED_VALUE"""),"RYP")</f>
        <v>RYP</v>
      </c>
      <c r="J1567" s="6" t="str">
        <f>IFERROR(__xludf.DUMMYFUNCTION("""COMPUTED_VALUE"""),"Building")</f>
        <v>Building</v>
      </c>
      <c r="K1567" s="6" t="str">
        <f>IFERROR(__xludf.DUMMYFUNCTION("""COMPUTED_VALUE"""),"SPR/02/25/031")</f>
        <v>SPR/02/25/031</v>
      </c>
      <c r="L1567" s="13">
        <f>IFERROR(__xludf.DUMMYFUNCTION("""COMPUTED_VALUE"""),45715.0)</f>
        <v>45715</v>
      </c>
    </row>
    <row r="1568">
      <c r="A1568" s="6" t="str">
        <f>IFERROR(__xludf.DUMMYFUNCTION("""COMPUTED_VALUE"""),"RIA")</f>
        <v>RIA</v>
      </c>
      <c r="B1568" s="6" t="str">
        <f>IFERROR(__xludf.DUMMYFUNCTION("""COMPUTED_VALUE"""),"ENG")</f>
        <v>ENG</v>
      </c>
      <c r="C1568" s="6" t="str">
        <f>IFERROR(__xludf.DUMMYFUNCTION("""COMPUTED_VALUE"""),"P-51560-00")</f>
        <v>P-51560-00</v>
      </c>
      <c r="D1568" s="6" t="str">
        <f>IFERROR(__xludf.DUMMYFUNCTION("""COMPUTED_VALUE"""),"Lampu T5 28watt Putih; Phillips; ;")</f>
        <v>Lampu T5 28watt Putih; Phillips; ;</v>
      </c>
      <c r="E1568" s="6">
        <f>IFERROR(__xludf.DUMMYFUNCTION("""COMPUTED_VALUE"""),5.0)</f>
        <v>5</v>
      </c>
      <c r="F1568" s="6">
        <f>IFERROR(__xludf.DUMMYFUNCTION("""COMPUTED_VALUE"""),5.0)</f>
        <v>5</v>
      </c>
      <c r="G1568" s="6">
        <f>IFERROR(__xludf.DUMMYFUNCTION("""COMPUTED_VALUE"""),0.0)</f>
        <v>0</v>
      </c>
      <c r="H1568" s="6" t="str">
        <f>IFERROR(__xludf.DUMMYFUNCTION("""COMPUTED_VALUE"""),"Pcs")</f>
        <v>Pcs</v>
      </c>
      <c r="I1568" s="6" t="str">
        <f>IFERROR(__xludf.DUMMYFUNCTION("""COMPUTED_VALUE"""),"RYP")</f>
        <v>RYP</v>
      </c>
      <c r="J1568" s="6" t="str">
        <f>IFERROR(__xludf.DUMMYFUNCTION("""COMPUTED_VALUE"""),"Building")</f>
        <v>Building</v>
      </c>
      <c r="K1568" s="6" t="str">
        <f>IFERROR(__xludf.DUMMYFUNCTION("""COMPUTED_VALUE"""),"SPR/02/25/031")</f>
        <v>SPR/02/25/031</v>
      </c>
      <c r="L1568" s="13">
        <f>IFERROR(__xludf.DUMMYFUNCTION("""COMPUTED_VALUE"""),45715.0)</f>
        <v>45715</v>
      </c>
    </row>
    <row r="1569">
      <c r="A1569" s="6" t="str">
        <f>IFERROR(__xludf.DUMMYFUNCTION("""COMPUTED_VALUE"""),"RIA")</f>
        <v>RIA</v>
      </c>
      <c r="B1569" s="6" t="str">
        <f>IFERROR(__xludf.DUMMYFUNCTION("""COMPUTED_VALUE"""),"ENG")</f>
        <v>ENG</v>
      </c>
      <c r="C1569" s="6" t="str">
        <f>IFERROR(__xludf.DUMMYFUNCTION("""COMPUTED_VALUE"""),"P-52991-00")</f>
        <v>P-52991-00</v>
      </c>
      <c r="D1569" s="6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E1569" s="6">
        <f>IFERROR(__xludf.DUMMYFUNCTION("""COMPUTED_VALUE"""),1.0)</f>
        <v>1</v>
      </c>
      <c r="F1569" s="6">
        <f>IFERROR(__xludf.DUMMYFUNCTION("""COMPUTED_VALUE"""),1.0)</f>
        <v>1</v>
      </c>
      <c r="G1569" s="6">
        <f>IFERROR(__xludf.DUMMYFUNCTION("""COMPUTED_VALUE"""),0.0)</f>
        <v>0</v>
      </c>
      <c r="H1569" s="6" t="str">
        <f>IFERROR(__xludf.DUMMYFUNCTION("""COMPUTED_VALUE"""),"Pcs")</f>
        <v>Pcs</v>
      </c>
      <c r="I1569" s="6" t="str">
        <f>IFERROR(__xludf.DUMMYFUNCTION("""COMPUTED_VALUE"""),"RYP")</f>
        <v>RYP</v>
      </c>
      <c r="J1569" s="6" t="str">
        <f>IFERROR(__xludf.DUMMYFUNCTION("""COMPUTED_VALUE"""),"Hot Water")</f>
        <v>Hot Water</v>
      </c>
      <c r="K1569" s="6" t="str">
        <f>IFERROR(__xludf.DUMMYFUNCTION("""COMPUTED_VALUE"""),"SPR/02/25/031")</f>
        <v>SPR/02/25/031</v>
      </c>
      <c r="L1569" s="13">
        <f>IFERROR(__xludf.DUMMYFUNCTION("""COMPUTED_VALUE"""),45715.0)</f>
        <v>45715</v>
      </c>
    </row>
    <row r="1570">
      <c r="A1570" s="6" t="str">
        <f>IFERROR(__xludf.DUMMYFUNCTION("""COMPUTED_VALUE"""),"RIA")</f>
        <v>RIA</v>
      </c>
      <c r="B1570" s="6" t="str">
        <f>IFERROR(__xludf.DUMMYFUNCTION("""COMPUTED_VALUE"""),"ENG")</f>
        <v>ENG</v>
      </c>
      <c r="C1570" s="6" t="str">
        <f>IFERROR(__xludf.DUMMYFUNCTION("""COMPUTED_VALUE"""),"-")</f>
        <v>-</v>
      </c>
      <c r="D1570" s="6" t="str">
        <f>IFERROR(__xludf.DUMMYFUNCTION("""COMPUTED_VALUE"""),"Scr Hot Water")</f>
        <v>Scr Hot Water</v>
      </c>
      <c r="E1570" s="6">
        <f>IFERROR(__xludf.DUMMYFUNCTION("""COMPUTED_VALUE"""),1.0)</f>
        <v>1</v>
      </c>
      <c r="F1570" s="6">
        <f>IFERROR(__xludf.DUMMYFUNCTION("""COMPUTED_VALUE"""),1.0)</f>
        <v>1</v>
      </c>
      <c r="G1570" s="6">
        <f>IFERROR(__xludf.DUMMYFUNCTION("""COMPUTED_VALUE"""),0.0)</f>
        <v>0</v>
      </c>
      <c r="H1570" s="6" t="str">
        <f>IFERROR(__xludf.DUMMYFUNCTION("""COMPUTED_VALUE"""),"Pcs")</f>
        <v>Pcs</v>
      </c>
      <c r="I1570" s="6" t="str">
        <f>IFERROR(__xludf.DUMMYFUNCTION("""COMPUTED_VALUE"""),"RYP")</f>
        <v>RYP</v>
      </c>
      <c r="J1570" s="6" t="str">
        <f>IFERROR(__xludf.DUMMYFUNCTION("""COMPUTED_VALUE"""),"Machine")</f>
        <v>Machine</v>
      </c>
      <c r="K1570" s="6" t="str">
        <f>IFERROR(__xludf.DUMMYFUNCTION("""COMPUTED_VALUE"""),"SPR/02/25/032")</f>
        <v>SPR/02/25/032</v>
      </c>
      <c r="L1570" s="13">
        <f>IFERROR(__xludf.DUMMYFUNCTION("""COMPUTED_VALUE"""),45715.0)</f>
        <v>45715</v>
      </c>
    </row>
    <row r="1571">
      <c r="A1571" s="6" t="str">
        <f>IFERROR(__xludf.DUMMYFUNCTION("""COMPUTED_VALUE"""),"RIA")</f>
        <v>RIA</v>
      </c>
      <c r="B1571" s="6" t="str">
        <f>IFERROR(__xludf.DUMMYFUNCTION("""COMPUTED_VALUE"""),"ENG")</f>
        <v>ENG</v>
      </c>
      <c r="C1571" s="6" t="str">
        <f>IFERROR(__xludf.DUMMYFUNCTION("""COMPUTED_VALUE"""),"-")</f>
        <v>-</v>
      </c>
      <c r="D1571" s="6" t="str">
        <f>IFERROR(__xludf.DUMMYFUNCTION("""COMPUTED_VALUE"""),"Fuse 160 A")</f>
        <v>Fuse 160 A</v>
      </c>
      <c r="E1571" s="6">
        <f>IFERROR(__xludf.DUMMYFUNCTION("""COMPUTED_VALUE"""),3.0)</f>
        <v>3</v>
      </c>
      <c r="F1571" s="6">
        <f>IFERROR(__xludf.DUMMYFUNCTION("""COMPUTED_VALUE"""),3.0)</f>
        <v>3</v>
      </c>
      <c r="G1571" s="6">
        <f>IFERROR(__xludf.DUMMYFUNCTION("""COMPUTED_VALUE"""),0.0)</f>
        <v>0</v>
      </c>
      <c r="H1571" s="6" t="str">
        <f>IFERROR(__xludf.DUMMYFUNCTION("""COMPUTED_VALUE"""),"Pcs")</f>
        <v>Pcs</v>
      </c>
      <c r="I1571" s="6" t="str">
        <f>IFERROR(__xludf.DUMMYFUNCTION("""COMPUTED_VALUE"""),"RYP")</f>
        <v>RYP</v>
      </c>
      <c r="J1571" s="6" t="str">
        <f>IFERROR(__xludf.DUMMYFUNCTION("""COMPUTED_VALUE"""),"Machine")</f>
        <v>Machine</v>
      </c>
      <c r="K1571" s="6" t="str">
        <f>IFERROR(__xludf.DUMMYFUNCTION("""COMPUTED_VALUE"""),"SPR/02/25/032")</f>
        <v>SPR/02/25/032</v>
      </c>
      <c r="L1571" s="13">
        <f>IFERROR(__xludf.DUMMYFUNCTION("""COMPUTED_VALUE"""),45715.0)</f>
        <v>45715</v>
      </c>
    </row>
    <row r="1572">
      <c r="A1572" s="6" t="str">
        <f>IFERROR(__xludf.DUMMYFUNCTION("""COMPUTED_VALUE"""),"RIA")</f>
        <v>RIA</v>
      </c>
      <c r="B1572" s="6" t="str">
        <f>IFERROR(__xludf.DUMMYFUNCTION("""COMPUTED_VALUE"""),"ENG")</f>
        <v>ENG</v>
      </c>
      <c r="C1572" s="6" t="str">
        <f>IFERROR(__xludf.DUMMYFUNCTION("""COMPUTED_VALUE"""),"-")</f>
        <v>-</v>
      </c>
      <c r="D1572" s="6" t="str">
        <f>IFERROR(__xludf.DUMMYFUNCTION("""COMPUTED_VALUE"""),"TK24-14C Thermocontrol")</f>
        <v>TK24-14C Thermocontrol</v>
      </c>
      <c r="E1572" s="6">
        <f>IFERROR(__xludf.DUMMYFUNCTION("""COMPUTED_VALUE"""),1.0)</f>
        <v>1</v>
      </c>
      <c r="F1572" s="6">
        <f>IFERROR(__xludf.DUMMYFUNCTION("""COMPUTED_VALUE"""),1.0)</f>
        <v>1</v>
      </c>
      <c r="G1572" s="6">
        <f>IFERROR(__xludf.DUMMYFUNCTION("""COMPUTED_VALUE"""),0.0)</f>
        <v>0</v>
      </c>
      <c r="H1572" s="6" t="str">
        <f>IFERROR(__xludf.DUMMYFUNCTION("""COMPUTED_VALUE"""),"Pcs")</f>
        <v>Pcs</v>
      </c>
      <c r="I1572" s="6" t="str">
        <f>IFERROR(__xludf.DUMMYFUNCTION("""COMPUTED_VALUE"""),"RYP")</f>
        <v>RYP</v>
      </c>
      <c r="J1572" s="6" t="str">
        <f>IFERROR(__xludf.DUMMYFUNCTION("""COMPUTED_VALUE"""),"Machine")</f>
        <v>Machine</v>
      </c>
      <c r="K1572" s="6" t="str">
        <f>IFERROR(__xludf.DUMMYFUNCTION("""COMPUTED_VALUE"""),"SPR/02/25/032")</f>
        <v>SPR/02/25/032</v>
      </c>
      <c r="L1572" s="13">
        <f>IFERROR(__xludf.DUMMYFUNCTION("""COMPUTED_VALUE"""),45715.0)</f>
        <v>45715</v>
      </c>
    </row>
    <row r="1573">
      <c r="A1573" s="6" t="str">
        <f>IFERROR(__xludf.DUMMYFUNCTION("""COMPUTED_VALUE"""),"INN")</f>
        <v>INN</v>
      </c>
      <c r="B1573" s="6" t="str">
        <f>IFERROR(__xludf.DUMMYFUNCTION("""COMPUTED_VALUE"""),"ENG")</f>
        <v>ENG</v>
      </c>
      <c r="C1573" s="6" t="str">
        <f>IFERROR(__xludf.DUMMYFUNCTION("""COMPUTED_VALUE"""),"P-52328-00")</f>
        <v>P-52328-00</v>
      </c>
      <c r="D1573" s="6" t="str">
        <f>IFERROR(__xludf.DUMMYFUNCTION("""COMPUTED_VALUE"""),"Fan Panel 9x9x2 CM 12VDC + Adaptor; ; ;")</f>
        <v>Fan Panel 9x9x2 CM 12VDC + Adaptor; ; ;</v>
      </c>
      <c r="E1573" s="6">
        <f>IFERROR(__xludf.DUMMYFUNCTION("""COMPUTED_VALUE"""),1.0)</f>
        <v>1</v>
      </c>
      <c r="F1573" s="6">
        <f>IFERROR(__xludf.DUMMYFUNCTION("""COMPUTED_VALUE"""),1.0)</f>
        <v>1</v>
      </c>
      <c r="G1573" s="6">
        <f>IFERROR(__xludf.DUMMYFUNCTION("""COMPUTED_VALUE"""),0.0)</f>
        <v>0</v>
      </c>
      <c r="H1573" s="6" t="str">
        <f>IFERROR(__xludf.DUMMYFUNCTION("""COMPUTED_VALUE"""),"Pcs")</f>
        <v>Pcs</v>
      </c>
      <c r="I1573" s="6" t="str">
        <f>IFERROR(__xludf.DUMMYFUNCTION("""COMPUTED_VALUE"""),"RYP")</f>
        <v>RYP</v>
      </c>
      <c r="J1573" s="6" t="str">
        <f>IFERROR(__xludf.DUMMYFUNCTION("""COMPUTED_VALUE"""),"Tunnel")</f>
        <v>Tunnel</v>
      </c>
      <c r="K1573" s="6" t="str">
        <f>IFERROR(__xludf.DUMMYFUNCTION("""COMPUTED_VALUE"""),"SPR/02/25/033")</f>
        <v>SPR/02/25/033</v>
      </c>
      <c r="L1573" s="13">
        <f>IFERROR(__xludf.DUMMYFUNCTION("""COMPUTED_VALUE"""),45715.0)</f>
        <v>45715</v>
      </c>
    </row>
    <row r="1574">
      <c r="A1574" s="6" t="str">
        <f>IFERROR(__xludf.DUMMYFUNCTION("""COMPUTED_VALUE"""),"INN")</f>
        <v>INN</v>
      </c>
      <c r="B1574" s="6" t="str">
        <f>IFERROR(__xludf.DUMMYFUNCTION("""COMPUTED_VALUE"""),"ENG")</f>
        <v>ENG</v>
      </c>
      <c r="C1574" s="6" t="str">
        <f>IFERROR(__xludf.DUMMYFUNCTION("""COMPUTED_VALUE"""),"P-53031-00")</f>
        <v>P-53031-00</v>
      </c>
      <c r="D1574" s="6" t="str">
        <f>IFERROR(__xludf.DUMMYFUNCTION("""COMPUTED_VALUE"""),"General - Cooling Fan; Fulltech; UF15AC23-BTH; 1 Pc")</f>
        <v>General - Cooling Fan; Fulltech; UF15AC23-BTH; 1 Pc</v>
      </c>
      <c r="E1574" s="6">
        <f>IFERROR(__xludf.DUMMYFUNCTION("""COMPUTED_VALUE"""),1.0)</f>
        <v>1</v>
      </c>
      <c r="F1574" s="6">
        <f>IFERROR(__xludf.DUMMYFUNCTION("""COMPUTED_VALUE"""),1.0)</f>
        <v>1</v>
      </c>
      <c r="G1574" s="6">
        <f>IFERROR(__xludf.DUMMYFUNCTION("""COMPUTED_VALUE"""),0.0)</f>
        <v>0</v>
      </c>
      <c r="H1574" s="6" t="str">
        <f>IFERROR(__xludf.DUMMYFUNCTION("""COMPUTED_VALUE"""),"Pcs")</f>
        <v>Pcs</v>
      </c>
      <c r="I1574" s="6" t="str">
        <f>IFERROR(__xludf.DUMMYFUNCTION("""COMPUTED_VALUE"""),"RYP")</f>
        <v>RYP</v>
      </c>
      <c r="J1574" s="6" t="str">
        <f>IFERROR(__xludf.DUMMYFUNCTION("""COMPUTED_VALUE"""),"Tunnel")</f>
        <v>Tunnel</v>
      </c>
      <c r="K1574" s="6" t="str">
        <f>IFERROR(__xludf.DUMMYFUNCTION("""COMPUTED_VALUE"""),"SPR/02/25/033")</f>
        <v>SPR/02/25/033</v>
      </c>
      <c r="L1574" s="13">
        <f>IFERROR(__xludf.DUMMYFUNCTION("""COMPUTED_VALUE"""),45715.0)</f>
        <v>45715</v>
      </c>
    </row>
    <row r="1575">
      <c r="A1575" s="6" t="str">
        <f>IFERROR(__xludf.DUMMYFUNCTION("""COMPUTED_VALUE"""),"INN")</f>
        <v>INN</v>
      </c>
      <c r="B1575" s="6" t="str">
        <f>IFERROR(__xludf.DUMMYFUNCTION("""COMPUTED_VALUE"""),"ENG")</f>
        <v>ENG</v>
      </c>
      <c r="C1575" s="6" t="str">
        <f>IFERROR(__xludf.DUMMYFUNCTION("""COMPUTED_VALUE"""),"O-15931-00")</f>
        <v>O-15931-00</v>
      </c>
      <c r="D1575" s="6" t="str">
        <f>IFERROR(__xludf.DUMMYFUNCTION("""COMPUTED_VALUE"""),"Double Tape 3M 1"" Merah - P/N : - pc")</f>
        <v>Double Tape 3M 1" Merah - P/N : - pc</v>
      </c>
      <c r="E1575" s="6">
        <f>IFERROR(__xludf.DUMMYFUNCTION("""COMPUTED_VALUE"""),1.0)</f>
        <v>1</v>
      </c>
      <c r="F1575" s="6">
        <f>IFERROR(__xludf.DUMMYFUNCTION("""COMPUTED_VALUE"""),1.0)</f>
        <v>1</v>
      </c>
      <c r="G1575" s="6">
        <f>IFERROR(__xludf.DUMMYFUNCTION("""COMPUTED_VALUE"""),0.0)</f>
        <v>0</v>
      </c>
      <c r="H1575" s="6" t="str">
        <f>IFERROR(__xludf.DUMMYFUNCTION("""COMPUTED_VALUE"""),"Pcs")</f>
        <v>Pcs</v>
      </c>
      <c r="I1575" s="6" t="str">
        <f>IFERROR(__xludf.DUMMYFUNCTION("""COMPUTED_VALUE"""),"RYP")</f>
        <v>RYP</v>
      </c>
      <c r="J1575" s="6" t="str">
        <f>IFERROR(__xludf.DUMMYFUNCTION("""COMPUTED_VALUE"""),"Tunnel")</f>
        <v>Tunnel</v>
      </c>
      <c r="K1575" s="6" t="str">
        <f>IFERROR(__xludf.DUMMYFUNCTION("""COMPUTED_VALUE"""),"SPR/02/25/033")</f>
        <v>SPR/02/25/033</v>
      </c>
      <c r="L1575" s="13">
        <f>IFERROR(__xludf.DUMMYFUNCTION("""COMPUTED_VALUE"""),45715.0)</f>
        <v>45715</v>
      </c>
    </row>
    <row r="1576">
      <c r="A1576" s="6" t="str">
        <f>IFERROR(__xludf.DUMMYFUNCTION("""COMPUTED_VALUE"""),"SHF")</f>
        <v>SHF</v>
      </c>
      <c r="B1576" s="6" t="str">
        <f>IFERROR(__xludf.DUMMYFUNCTION("""COMPUTED_VALUE"""),"ENG")</f>
        <v>ENG</v>
      </c>
      <c r="C1576" s="6" t="str">
        <f>IFERROR(__xludf.DUMMYFUNCTION("""COMPUTED_VALUE"""),"P-51560-00")</f>
        <v>P-51560-00</v>
      </c>
      <c r="D1576" s="6" t="str">
        <f>IFERROR(__xludf.DUMMYFUNCTION("""COMPUTED_VALUE"""),"Lampu T5 28watt Putih; Phillips; ;")</f>
        <v>Lampu T5 28watt Putih; Phillips; ;</v>
      </c>
      <c r="E1576" s="6">
        <f>IFERROR(__xludf.DUMMYFUNCTION("""COMPUTED_VALUE"""),2.0)</f>
        <v>2</v>
      </c>
      <c r="F1576" s="6">
        <f>IFERROR(__xludf.DUMMYFUNCTION("""COMPUTED_VALUE"""),2.0)</f>
        <v>2</v>
      </c>
      <c r="G1576" s="6">
        <f>IFERROR(__xludf.DUMMYFUNCTION("""COMPUTED_VALUE"""),0.0)</f>
        <v>0</v>
      </c>
      <c r="H1576" s="6" t="str">
        <f>IFERROR(__xludf.DUMMYFUNCTION("""COMPUTED_VALUE"""),"Pcs")</f>
        <v>Pcs</v>
      </c>
      <c r="I1576" s="6" t="str">
        <f>IFERROR(__xludf.DUMMYFUNCTION("""COMPUTED_VALUE"""),"RYP")</f>
        <v>RYP</v>
      </c>
      <c r="J1576" s="6" t="str">
        <f>IFERROR(__xludf.DUMMYFUNCTION("""COMPUTED_VALUE"""),"Building")</f>
        <v>Building</v>
      </c>
      <c r="K1576" s="6" t="str">
        <f>IFERROR(__xludf.DUMMYFUNCTION("""COMPUTED_VALUE"""),"SPR/02/25/034")</f>
        <v>SPR/02/25/034</v>
      </c>
      <c r="L1576" s="13">
        <f>IFERROR(__xludf.DUMMYFUNCTION("""COMPUTED_VALUE"""),45715.0)</f>
        <v>45715</v>
      </c>
    </row>
    <row r="1577">
      <c r="A1577" s="6" t="str">
        <f>IFERROR(__xludf.DUMMYFUNCTION("""COMPUTED_VALUE"""),"SHF")</f>
        <v>SHF</v>
      </c>
      <c r="B1577" s="6" t="str">
        <f>IFERROR(__xludf.DUMMYFUNCTION("""COMPUTED_VALUE"""),"ENG")</f>
        <v>ENG</v>
      </c>
      <c r="C1577" s="6" t="str">
        <f>IFERROR(__xludf.DUMMYFUNCTION("""COMPUTED_VALUE"""),"P-11356-00")</f>
        <v>P-11356-00</v>
      </c>
      <c r="D1577" s="6" t="str">
        <f>IFERROR(__xludf.DUMMYFUNCTION("""COMPUTED_VALUE"""),"Roda Trolly ABUS 4"" ( 100 x 27 ) Without Breake")</f>
        <v>Roda Trolly ABUS 4" ( 100 x 27 ) Without Breake</v>
      </c>
      <c r="E1577" s="6">
        <f>IFERROR(__xludf.DUMMYFUNCTION("""COMPUTED_VALUE"""),1.0)</f>
        <v>1</v>
      </c>
      <c r="F1577" s="6">
        <f>IFERROR(__xludf.DUMMYFUNCTION("""COMPUTED_VALUE"""),1.0)</f>
        <v>1</v>
      </c>
      <c r="G1577" s="6">
        <f>IFERROR(__xludf.DUMMYFUNCTION("""COMPUTED_VALUE"""),0.0)</f>
        <v>0</v>
      </c>
      <c r="H1577" s="6" t="str">
        <f>IFERROR(__xludf.DUMMYFUNCTION("""COMPUTED_VALUE"""),"Pcs")</f>
        <v>Pcs</v>
      </c>
      <c r="I1577" s="6" t="str">
        <f>IFERROR(__xludf.DUMMYFUNCTION("""COMPUTED_VALUE"""),"RYP")</f>
        <v>RYP</v>
      </c>
      <c r="J1577" s="6" t="str">
        <f>IFERROR(__xludf.DUMMYFUNCTION("""COMPUTED_VALUE"""),"Building")</f>
        <v>Building</v>
      </c>
      <c r="K1577" s="6" t="str">
        <f>IFERROR(__xludf.DUMMYFUNCTION("""COMPUTED_VALUE"""),"SPR/02/25/034")</f>
        <v>SPR/02/25/034</v>
      </c>
      <c r="L1577" s="13">
        <f>IFERROR(__xludf.DUMMYFUNCTION("""COMPUTED_VALUE"""),45715.0)</f>
        <v>45715</v>
      </c>
    </row>
    <row r="1578">
      <c r="A1578" s="6" t="str">
        <f>IFERROR(__xludf.DUMMYFUNCTION("""COMPUTED_VALUE"""),"MRN")</f>
        <v>MRN</v>
      </c>
      <c r="B1578" s="6" t="str">
        <f>IFERROR(__xludf.DUMMYFUNCTION("""COMPUTED_VALUE"""),"ENG")</f>
        <v>ENG</v>
      </c>
      <c r="C1578" s="6" t="str">
        <f>IFERROR(__xludf.DUMMYFUNCTION("""COMPUTED_VALUE"""),"-")</f>
        <v>-</v>
      </c>
      <c r="D1578" s="6" t="str">
        <f>IFERROR(__xludf.DUMMYFUNCTION("""COMPUTED_VALUE"""),"Lampu Emergency")</f>
        <v>Lampu Emergency</v>
      </c>
      <c r="E1578" s="6">
        <f>IFERROR(__xludf.DUMMYFUNCTION("""COMPUTED_VALUE"""),3.0)</f>
        <v>3</v>
      </c>
      <c r="F1578" s="6">
        <f>IFERROR(__xludf.DUMMYFUNCTION("""COMPUTED_VALUE"""),3.0)</f>
        <v>3</v>
      </c>
      <c r="G1578" s="6">
        <f>IFERROR(__xludf.DUMMYFUNCTION("""COMPUTED_VALUE"""),0.0)</f>
        <v>0</v>
      </c>
      <c r="H1578" s="6" t="str">
        <f>IFERROR(__xludf.DUMMYFUNCTION("""COMPUTED_VALUE"""),"Pcs")</f>
        <v>Pcs</v>
      </c>
      <c r="I1578" s="6" t="str">
        <f>IFERROR(__xludf.DUMMYFUNCTION("""COMPUTED_VALUE"""),"RYP")</f>
        <v>RYP</v>
      </c>
      <c r="J1578" s="6" t="str">
        <f>IFERROR(__xludf.DUMMYFUNCTION("""COMPUTED_VALUE"""),"Lanta")</f>
        <v>Lanta</v>
      </c>
      <c r="K1578" s="6" t="str">
        <f>IFERROR(__xludf.DUMMYFUNCTION("""COMPUTED_VALUE"""),"SPR/02/25/035")</f>
        <v>SPR/02/25/035</v>
      </c>
      <c r="L1578" s="13">
        <f>IFERROR(__xludf.DUMMYFUNCTION("""COMPUTED_VALUE"""),45715.0)</f>
        <v>45715</v>
      </c>
    </row>
    <row r="1579">
      <c r="A1579" s="6" t="str">
        <f>IFERROR(__xludf.DUMMYFUNCTION("""COMPUTED_VALUE"""),"MRN")</f>
        <v>MRN</v>
      </c>
      <c r="B1579" s="6" t="str">
        <f>IFERROR(__xludf.DUMMYFUNCTION("""COMPUTED_VALUE"""),"ENG")</f>
        <v>ENG</v>
      </c>
      <c r="C1579" s="6" t="str">
        <f>IFERROR(__xludf.DUMMYFUNCTION("""COMPUTED_VALUE"""),"Q-60503-00")</f>
        <v>Q-60503-00</v>
      </c>
      <c r="D1579" s="6" t="str">
        <f>IFERROR(__xludf.DUMMYFUNCTION("""COMPUTED_VALUE"""),"Silicone Sealant, Silglaze, Type N10 Grey, pack size per pcs")</f>
        <v>Silicone Sealant, Silglaze, Type N10 Grey, pack size per pcs</v>
      </c>
      <c r="E1579" s="6">
        <f>IFERROR(__xludf.DUMMYFUNCTION("""COMPUTED_VALUE"""),1.0)</f>
        <v>1</v>
      </c>
      <c r="F1579" s="6">
        <f>IFERROR(__xludf.DUMMYFUNCTION("""COMPUTED_VALUE"""),1.0)</f>
        <v>1</v>
      </c>
      <c r="G1579" s="6">
        <f>IFERROR(__xludf.DUMMYFUNCTION("""COMPUTED_VALUE"""),0.0)</f>
        <v>0</v>
      </c>
      <c r="H1579" s="6" t="str">
        <f>IFERROR(__xludf.DUMMYFUNCTION("""COMPUTED_VALUE"""),"Pcs")</f>
        <v>Pcs</v>
      </c>
      <c r="I1579" s="6" t="str">
        <f>IFERROR(__xludf.DUMMYFUNCTION("""COMPUTED_VALUE"""),"RYP")</f>
        <v>RYP</v>
      </c>
      <c r="J1579" s="6" t="str">
        <f>IFERROR(__xludf.DUMMYFUNCTION("""COMPUTED_VALUE"""),"-")</f>
        <v>-</v>
      </c>
      <c r="K1579" s="6" t="str">
        <f>IFERROR(__xludf.DUMMYFUNCTION("""COMPUTED_VALUE"""),"SPR/02/25/035")</f>
        <v>SPR/02/25/035</v>
      </c>
      <c r="L1579" s="13">
        <f>IFERROR(__xludf.DUMMYFUNCTION("""COMPUTED_VALUE"""),45715.0)</f>
        <v>45715</v>
      </c>
    </row>
    <row r="1580">
      <c r="A1580" s="6" t="str">
        <f>IFERROR(__xludf.DUMMYFUNCTION("""COMPUTED_VALUE"""),"ANO")</f>
        <v>ANO</v>
      </c>
      <c r="B1580" s="6" t="str">
        <f>IFERROR(__xludf.DUMMYFUNCTION("""COMPUTED_VALUE"""),"ENG")</f>
        <v>ENG</v>
      </c>
      <c r="C1580" s="6" t="str">
        <f>IFERROR(__xludf.DUMMYFUNCTION("""COMPUTED_VALUE"""),"O-54015-00")</f>
        <v>O-54015-00</v>
      </c>
      <c r="D1580" s="6" t="str">
        <f>IFERROR(__xludf.DUMMYFUNCTION("""COMPUTED_VALUE"""),"STOP KONTAK LUBANG 4, BROCO")</f>
        <v>STOP KONTAK LUBANG 4, BROCO</v>
      </c>
      <c r="E1580" s="6">
        <f>IFERROR(__xludf.DUMMYFUNCTION("""COMPUTED_VALUE"""),1.0)</f>
        <v>1</v>
      </c>
      <c r="F1580" s="6">
        <f>IFERROR(__xludf.DUMMYFUNCTION("""COMPUTED_VALUE"""),1.0)</f>
        <v>1</v>
      </c>
      <c r="G1580" s="6">
        <f>IFERROR(__xludf.DUMMYFUNCTION("""COMPUTED_VALUE"""),0.0)</f>
        <v>0</v>
      </c>
      <c r="H1580" s="6" t="str">
        <f>IFERROR(__xludf.DUMMYFUNCTION("""COMPUTED_VALUE"""),"Pcs")</f>
        <v>Pcs</v>
      </c>
      <c r="I1580" s="6" t="str">
        <f>IFERROR(__xludf.DUMMYFUNCTION("""COMPUTED_VALUE"""),"RYP")</f>
        <v>RYP</v>
      </c>
      <c r="J1580" s="6" t="str">
        <f>IFERROR(__xludf.DUMMYFUNCTION("""COMPUTED_VALUE"""),"Weighing Booth")</f>
        <v>Weighing Booth</v>
      </c>
      <c r="K1580" s="6" t="str">
        <f>IFERROR(__xludf.DUMMYFUNCTION("""COMPUTED_VALUE"""),"SPR/02/25/036")</f>
        <v>SPR/02/25/036</v>
      </c>
      <c r="L1580" s="13">
        <f>IFERROR(__xludf.DUMMYFUNCTION("""COMPUTED_VALUE"""),45715.0)</f>
        <v>45715</v>
      </c>
    </row>
    <row r="1581">
      <c r="A1581" s="6" t="str">
        <f>IFERROR(__xludf.DUMMYFUNCTION("""COMPUTED_VALUE"""),"ANO")</f>
        <v>ANO</v>
      </c>
      <c r="B1581" s="6" t="str">
        <f>IFERROR(__xludf.DUMMYFUNCTION("""COMPUTED_VALUE"""),"ENG")</f>
        <v>ENG</v>
      </c>
      <c r="C1581" s="6" t="str">
        <f>IFERROR(__xludf.DUMMYFUNCTION("""COMPUTED_VALUE"""),"P-19080-00")</f>
        <v>P-19080-00</v>
      </c>
      <c r="D1581" s="6" t="str">
        <f>IFERROR(__xludf.DUMMYFUNCTION("""COMPUTED_VALUE"""),"Cabel Tie Mount 30 x 30 mm; Sigma; ;")</f>
        <v>Cabel Tie Mount 30 x 30 mm; Sigma; ;</v>
      </c>
      <c r="E1581" s="6">
        <f>IFERROR(__xludf.DUMMYFUNCTION("""COMPUTED_VALUE"""),1.0)</f>
        <v>1</v>
      </c>
      <c r="F1581" s="6">
        <f>IFERROR(__xludf.DUMMYFUNCTION("""COMPUTED_VALUE"""),1.0)</f>
        <v>1</v>
      </c>
      <c r="G1581" s="6">
        <f>IFERROR(__xludf.DUMMYFUNCTION("""COMPUTED_VALUE"""),0.0)</f>
        <v>0</v>
      </c>
      <c r="H1581" s="6" t="str">
        <f>IFERROR(__xludf.DUMMYFUNCTION("""COMPUTED_VALUE"""),"pack")</f>
        <v>pack</v>
      </c>
      <c r="I1581" s="6" t="str">
        <f>IFERROR(__xludf.DUMMYFUNCTION("""COMPUTED_VALUE"""),"RYP")</f>
        <v>RYP</v>
      </c>
      <c r="J1581" s="6" t="str">
        <f>IFERROR(__xludf.DUMMYFUNCTION("""COMPUTED_VALUE"""),"-")</f>
        <v>-</v>
      </c>
      <c r="K1581" s="6" t="str">
        <f>IFERROR(__xludf.DUMMYFUNCTION("""COMPUTED_VALUE"""),"SPR/02/25/036")</f>
        <v>SPR/02/25/036</v>
      </c>
      <c r="L1581" s="13">
        <f>IFERROR(__xludf.DUMMYFUNCTION("""COMPUTED_VALUE"""),45715.0)</f>
        <v>45715</v>
      </c>
    </row>
    <row r="1582">
      <c r="A1582" s="6" t="str">
        <f>IFERROR(__xludf.DUMMYFUNCTION("""COMPUTED_VALUE"""),"ANO")</f>
        <v>ANO</v>
      </c>
      <c r="B1582" s="6" t="str">
        <f>IFERROR(__xludf.DUMMYFUNCTION("""COMPUTED_VALUE"""),"ENG")</f>
        <v>ENG</v>
      </c>
      <c r="C1582" s="6" t="str">
        <f>IFERROR(__xludf.DUMMYFUNCTION("""COMPUTED_VALUE"""),"P-14877-00")</f>
        <v>P-14877-00</v>
      </c>
      <c r="D1582" s="6" t="str">
        <f>IFERROR(__xludf.DUMMYFUNCTION("""COMPUTED_VALUE"""),"General - Kabel NYYHY 3 x 2,5mm; Supreme; -; 1 meter")</f>
        <v>General - Kabel NYYHY 3 x 2,5mm; Supreme; -; 1 meter</v>
      </c>
      <c r="E1582" s="6">
        <f>IFERROR(__xludf.DUMMYFUNCTION("""COMPUTED_VALUE"""),4.0)</f>
        <v>4</v>
      </c>
      <c r="F1582" s="6">
        <f>IFERROR(__xludf.DUMMYFUNCTION("""COMPUTED_VALUE"""),4.0)</f>
        <v>4</v>
      </c>
      <c r="G1582" s="6">
        <f>IFERROR(__xludf.DUMMYFUNCTION("""COMPUTED_VALUE"""),0.0)</f>
        <v>0</v>
      </c>
      <c r="H1582" s="6" t="str">
        <f>IFERROR(__xludf.DUMMYFUNCTION("""COMPUTED_VALUE"""),"pcs")</f>
        <v>pcs</v>
      </c>
      <c r="I1582" s="6" t="str">
        <f>IFERROR(__xludf.DUMMYFUNCTION("""COMPUTED_VALUE"""),"RYP")</f>
        <v>RYP</v>
      </c>
      <c r="J1582" s="6" t="str">
        <f>IFERROR(__xludf.DUMMYFUNCTION("""COMPUTED_VALUE"""),"-")</f>
        <v>-</v>
      </c>
      <c r="K1582" s="6" t="str">
        <f>IFERROR(__xludf.DUMMYFUNCTION("""COMPUTED_VALUE"""),"SPR/02/25/036")</f>
        <v>SPR/02/25/036</v>
      </c>
      <c r="L1582" s="13">
        <f>IFERROR(__xludf.DUMMYFUNCTION("""COMPUTED_VALUE"""),45715.0)</f>
        <v>45715</v>
      </c>
    </row>
    <row r="1583">
      <c r="A1583" s="6" t="str">
        <f>IFERROR(__xludf.DUMMYFUNCTION("""COMPUTED_VALUE"""),"ANO")</f>
        <v>ANO</v>
      </c>
      <c r="B1583" s="6" t="str">
        <f>IFERROR(__xludf.DUMMYFUNCTION("""COMPUTED_VALUE"""),"ENG")</f>
        <v>ENG</v>
      </c>
      <c r="C1583" s="6" t="str">
        <f>IFERROR(__xludf.DUMMYFUNCTION("""COMPUTED_VALUE"""),"O-15931-00")</f>
        <v>O-15931-00</v>
      </c>
      <c r="D1583" s="6" t="str">
        <f>IFERROR(__xludf.DUMMYFUNCTION("""COMPUTED_VALUE"""),"Double Tape 3M 1"" Merah - P/N : - pc")</f>
        <v>Double Tape 3M 1" Merah - P/N : - pc</v>
      </c>
      <c r="E1583" s="6">
        <f>IFERROR(__xludf.DUMMYFUNCTION("""COMPUTED_VALUE"""),1.0)</f>
        <v>1</v>
      </c>
      <c r="F1583" s="6">
        <f>IFERROR(__xludf.DUMMYFUNCTION("""COMPUTED_VALUE"""),1.0)</f>
        <v>1</v>
      </c>
      <c r="G1583" s="6">
        <f>IFERROR(__xludf.DUMMYFUNCTION("""COMPUTED_VALUE"""),0.0)</f>
        <v>0</v>
      </c>
      <c r="H1583" s="6" t="str">
        <f>IFERROR(__xludf.DUMMYFUNCTION("""COMPUTED_VALUE"""),"Pcs")</f>
        <v>Pcs</v>
      </c>
      <c r="I1583" s="6" t="str">
        <f>IFERROR(__xludf.DUMMYFUNCTION("""COMPUTED_VALUE"""),"MFH")</f>
        <v>MFH</v>
      </c>
      <c r="J1583" s="6" t="str">
        <f>IFERROR(__xludf.DUMMYFUNCTION("""COMPUTED_VALUE"""),"-")</f>
        <v>-</v>
      </c>
      <c r="K1583" s="6" t="str">
        <f>IFERROR(__xludf.DUMMYFUNCTION("""COMPUTED_VALUE"""),"SPR/02/25/036")</f>
        <v>SPR/02/25/036</v>
      </c>
      <c r="L1583" s="13">
        <f>IFERROR(__xludf.DUMMYFUNCTION("""COMPUTED_VALUE"""),45715.0)</f>
        <v>45715</v>
      </c>
    </row>
    <row r="1584">
      <c r="A1584" s="6" t="str">
        <f>IFERROR(__xludf.DUMMYFUNCTION("""COMPUTED_VALUE"""),"ROS")</f>
        <v>ROS</v>
      </c>
      <c r="B1584" s="6" t="str">
        <f>IFERROR(__xludf.DUMMYFUNCTION("""COMPUTED_VALUE"""),"ENG")</f>
        <v>ENG</v>
      </c>
      <c r="C1584" s="6" t="str">
        <f>IFERROR(__xludf.DUMMYFUNCTION("""COMPUTED_VALUE"""),"T-80109-00")</f>
        <v>T-80109-00</v>
      </c>
      <c r="D1584" s="6" t="str">
        <f>IFERROR(__xludf.DUMMYFUNCTION("""COMPUTED_VALUE"""),"Cellotape Kertas 1 inch warna Putih")</f>
        <v>Cellotape Kertas 1 inch warna Putih</v>
      </c>
      <c r="E1584" s="6">
        <f>IFERROR(__xludf.DUMMYFUNCTION("""COMPUTED_VALUE"""),1.0)</f>
        <v>1</v>
      </c>
      <c r="F1584" s="6">
        <f>IFERROR(__xludf.DUMMYFUNCTION("""COMPUTED_VALUE"""),1.0)</f>
        <v>1</v>
      </c>
      <c r="G1584" s="6">
        <f>IFERROR(__xludf.DUMMYFUNCTION("""COMPUTED_VALUE"""),0.0)</f>
        <v>0</v>
      </c>
      <c r="H1584" s="6" t="str">
        <f>IFERROR(__xludf.DUMMYFUNCTION("""COMPUTED_VALUE"""),"Pcs")</f>
        <v>Pcs</v>
      </c>
      <c r="I1584" s="6" t="str">
        <f>IFERROR(__xludf.DUMMYFUNCTION("""COMPUTED_VALUE"""),"RYP")</f>
        <v>RYP</v>
      </c>
      <c r="J1584" s="6" t="str">
        <f>IFERROR(__xludf.DUMMYFUNCTION("""COMPUTED_VALUE"""),"Autoclave")</f>
        <v>Autoclave</v>
      </c>
      <c r="K1584" s="6" t="str">
        <f>IFERROR(__xludf.DUMMYFUNCTION("""COMPUTED_VALUE"""),"SPR/02/25/037")</f>
        <v>SPR/02/25/037</v>
      </c>
      <c r="L1584" s="13">
        <f>IFERROR(__xludf.DUMMYFUNCTION("""COMPUTED_VALUE"""),45715.0)</f>
        <v>45715</v>
      </c>
    </row>
    <row r="1585">
      <c r="A1585" s="6" t="str">
        <f>IFERROR(__xludf.DUMMYFUNCTION("""COMPUTED_VALUE"""),"MRN")</f>
        <v>MRN</v>
      </c>
      <c r="B1585" s="6" t="str">
        <f>IFERROR(__xludf.DUMMYFUNCTION("""COMPUTED_VALUE"""),"ENG")</f>
        <v>ENG</v>
      </c>
      <c r="C1585" s="6" t="str">
        <f>IFERROR(__xludf.DUMMYFUNCTION("""COMPUTED_VALUE"""),"-")</f>
        <v>-</v>
      </c>
      <c r="D1585" s="6" t="str">
        <f>IFERROR(__xludf.DUMMYFUNCTION("""COMPUTED_VALUE"""),"Baterai Emergeney")</f>
        <v>Baterai Emergeney</v>
      </c>
      <c r="E1585" s="6">
        <f>IFERROR(__xludf.DUMMYFUNCTION("""COMPUTED_VALUE"""),1.0)</f>
        <v>1</v>
      </c>
      <c r="F1585" s="6">
        <f>IFERROR(__xludf.DUMMYFUNCTION("""COMPUTED_VALUE"""),1.0)</f>
        <v>1</v>
      </c>
      <c r="G1585" s="6">
        <f>IFERROR(__xludf.DUMMYFUNCTION("""COMPUTED_VALUE"""),0.0)</f>
        <v>0</v>
      </c>
      <c r="H1585" s="6" t="str">
        <f>IFERROR(__xludf.DUMMYFUNCTION("""COMPUTED_VALUE"""),"pcs")</f>
        <v>pcs</v>
      </c>
      <c r="I1585" s="6" t="str">
        <f>IFERROR(__xludf.DUMMYFUNCTION("""COMPUTED_VALUE"""),"RYP")</f>
        <v>RYP</v>
      </c>
      <c r="J1585" s="6" t="str">
        <f>IFERROR(__xludf.DUMMYFUNCTION("""COMPUTED_VALUE"""),"Building")</f>
        <v>Building</v>
      </c>
      <c r="K1585" s="6" t="str">
        <f>IFERROR(__xludf.DUMMYFUNCTION("""COMPUTED_VALUE"""),"SPR/02/25/038")</f>
        <v>SPR/02/25/038</v>
      </c>
      <c r="L1585" s="13">
        <f>IFERROR(__xludf.DUMMYFUNCTION("""COMPUTED_VALUE"""),45715.0)</f>
        <v>45715</v>
      </c>
    </row>
    <row r="1586">
      <c r="A1586" s="6" t="str">
        <f>IFERROR(__xludf.DUMMYFUNCTION("""COMPUTED_VALUE"""),"MRN")</f>
        <v>MRN</v>
      </c>
      <c r="B1586" s="6" t="str">
        <f>IFERROR(__xludf.DUMMYFUNCTION("""COMPUTED_VALUE"""),"ENG")</f>
        <v>ENG</v>
      </c>
      <c r="C1586" s="6" t="str">
        <f>IFERROR(__xludf.DUMMYFUNCTION("""COMPUTED_VALUE"""),"O-13062-00")</f>
        <v>O-13062-00</v>
      </c>
      <c r="D1586" s="6" t="str">
        <f>IFERROR(__xludf.DUMMYFUNCTION("""COMPUTED_VALUE"""),"AUTOCLAVE Lab Mikro - PALL Emflon Filter 0,2um p/n C3PFRP1")</f>
        <v>AUTOCLAVE Lab Mikro - PALL Emflon Filter 0,2um p/n C3PFRP1</v>
      </c>
      <c r="E1586" s="6">
        <f>IFERROR(__xludf.DUMMYFUNCTION("""COMPUTED_VALUE"""),1.0)</f>
        <v>1</v>
      </c>
      <c r="F1586" s="6">
        <f>IFERROR(__xludf.DUMMYFUNCTION("""COMPUTED_VALUE"""),1.0)</f>
        <v>1</v>
      </c>
      <c r="G1586" s="6">
        <f>IFERROR(__xludf.DUMMYFUNCTION("""COMPUTED_VALUE"""),0.0)</f>
        <v>0</v>
      </c>
      <c r="H1586" s="6" t="str">
        <f>IFERROR(__xludf.DUMMYFUNCTION("""COMPUTED_VALUE"""),"pcs")</f>
        <v>pcs</v>
      </c>
      <c r="I1586" s="6" t="str">
        <f>IFERROR(__xludf.DUMMYFUNCTION("""COMPUTED_VALUE"""),"RYP")</f>
        <v>RYP</v>
      </c>
      <c r="J1586" s="6" t="str">
        <f>IFERROR(__xludf.DUMMYFUNCTION("""COMPUTED_VALUE"""),"WFI Gen")</f>
        <v>WFI Gen</v>
      </c>
      <c r="K1586" s="6" t="str">
        <f>IFERROR(__xludf.DUMMYFUNCTION("""COMPUTED_VALUE"""),"SPR/02/25/038")</f>
        <v>SPR/02/25/038</v>
      </c>
      <c r="L1586" s="13">
        <f>IFERROR(__xludf.DUMMYFUNCTION("""COMPUTED_VALUE"""),45715.0)</f>
        <v>45715</v>
      </c>
    </row>
    <row r="1587">
      <c r="A1587" s="6" t="str">
        <f>IFERROR(__xludf.DUMMYFUNCTION("""COMPUTED_VALUE"""),"MRN")</f>
        <v>MRN</v>
      </c>
      <c r="B1587" s="6" t="str">
        <f>IFERROR(__xludf.DUMMYFUNCTION("""COMPUTED_VALUE"""),"ENG")</f>
        <v>ENG</v>
      </c>
      <c r="C1587" s="6" t="str">
        <f>IFERROR(__xludf.DUMMYFUNCTION("""COMPUTED_VALUE"""),"O-11287-00")</f>
        <v>O-11287-00</v>
      </c>
      <c r="D1587" s="6" t="str">
        <f>IFERROR(__xludf.DUMMYFUNCTION("""COMPUTED_VALUE"""),"F200 - Pall Filter p/n KA3PFRP1")</f>
        <v>F200 - Pall Filter p/n KA3PFRP1</v>
      </c>
      <c r="E1587" s="6">
        <f>IFERROR(__xludf.DUMMYFUNCTION("""COMPUTED_VALUE"""),1.0)</f>
        <v>1</v>
      </c>
      <c r="F1587" s="6">
        <f>IFERROR(__xludf.DUMMYFUNCTION("""COMPUTED_VALUE"""),1.0)</f>
        <v>1</v>
      </c>
      <c r="G1587" s="6">
        <f>IFERROR(__xludf.DUMMYFUNCTION("""COMPUTED_VALUE"""),0.0)</f>
        <v>0</v>
      </c>
      <c r="H1587" s="6" t="str">
        <f>IFERROR(__xludf.DUMMYFUNCTION("""COMPUTED_VALUE"""),"pcs")</f>
        <v>pcs</v>
      </c>
      <c r="I1587" s="6" t="str">
        <f>IFERROR(__xludf.DUMMYFUNCTION("""COMPUTED_VALUE"""),"RYP")</f>
        <v>RYP</v>
      </c>
      <c r="J1587" s="6" t="str">
        <f>IFERROR(__xludf.DUMMYFUNCTION("""COMPUTED_VALUE"""),"WFI Gen")</f>
        <v>WFI Gen</v>
      </c>
      <c r="K1587" s="6" t="str">
        <f>IFERROR(__xludf.DUMMYFUNCTION("""COMPUTED_VALUE"""),"SPR/02/25/038")</f>
        <v>SPR/02/25/038</v>
      </c>
      <c r="L1587" s="13">
        <f>IFERROR(__xludf.DUMMYFUNCTION("""COMPUTED_VALUE"""),45715.0)</f>
        <v>45715</v>
      </c>
    </row>
    <row r="1588">
      <c r="A1588" s="6" t="str">
        <f>IFERROR(__xludf.DUMMYFUNCTION("""COMPUTED_VALUE"""),"SHF")</f>
        <v>SHF</v>
      </c>
      <c r="B1588" s="6" t="str">
        <f>IFERROR(__xludf.DUMMYFUNCTION("""COMPUTED_VALUE"""),"ENG")</f>
        <v>ENG</v>
      </c>
      <c r="C1588" s="6" t="str">
        <f>IFERROR(__xludf.DUMMYFUNCTION("""COMPUTED_VALUE"""),"O-15931-00")</f>
        <v>O-15931-00</v>
      </c>
      <c r="D1588" s="6" t="str">
        <f>IFERROR(__xludf.DUMMYFUNCTION("""COMPUTED_VALUE"""),"Double Tape 3M 1"" Merah - P/N : - pc")</f>
        <v>Double Tape 3M 1" Merah - P/N : - pc</v>
      </c>
      <c r="E1588" s="6">
        <f>IFERROR(__xludf.DUMMYFUNCTION("""COMPUTED_VALUE"""),1.0)</f>
        <v>1</v>
      </c>
      <c r="F1588" s="6">
        <f>IFERROR(__xludf.DUMMYFUNCTION("""COMPUTED_VALUE"""),1.0)</f>
        <v>1</v>
      </c>
      <c r="G1588" s="6">
        <f>IFERROR(__xludf.DUMMYFUNCTION("""COMPUTED_VALUE"""),0.0)</f>
        <v>0</v>
      </c>
      <c r="H1588" s="6" t="str">
        <f>IFERROR(__xludf.DUMMYFUNCTION("""COMPUTED_VALUE"""),"pcs")</f>
        <v>pcs</v>
      </c>
      <c r="I1588" s="6" t="str">
        <f>IFERROR(__xludf.DUMMYFUNCTION("""COMPUTED_VALUE"""),"RYP")</f>
        <v>RYP</v>
      </c>
      <c r="J1588" s="6" t="str">
        <f>IFERROR(__xludf.DUMMYFUNCTION("""COMPUTED_VALUE"""),"Building")</f>
        <v>Building</v>
      </c>
      <c r="K1588" s="6" t="str">
        <f>IFERROR(__xludf.DUMMYFUNCTION("""COMPUTED_VALUE"""),"SPR/02/25/039")</f>
        <v>SPR/02/25/039</v>
      </c>
      <c r="L1588" s="13">
        <f>IFERROR(__xludf.DUMMYFUNCTION("""COMPUTED_VALUE"""),45715.0)</f>
        <v>45715</v>
      </c>
    </row>
    <row r="1589">
      <c r="A1589" s="6" t="str">
        <f>IFERROR(__xludf.DUMMYFUNCTION("""COMPUTED_VALUE"""),"ROS")</f>
        <v>ROS</v>
      </c>
      <c r="B1589" s="6" t="str">
        <f>IFERROR(__xludf.DUMMYFUNCTION("""COMPUTED_VALUE"""),"ENG")</f>
        <v>ENG</v>
      </c>
      <c r="C1589" s="6" t="str">
        <f>IFERROR(__xludf.DUMMYFUNCTION("""COMPUTED_VALUE"""),"O-16032-00")</f>
        <v>O-16032-00</v>
      </c>
      <c r="D1589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589" s="6">
        <f>IFERROR(__xludf.DUMMYFUNCTION("""COMPUTED_VALUE"""),1.0)</f>
        <v>1</v>
      </c>
      <c r="F1589" s="6">
        <f>IFERROR(__xludf.DUMMYFUNCTION("""COMPUTED_VALUE"""),1.0)</f>
        <v>1</v>
      </c>
      <c r="G1589" s="6">
        <f>IFERROR(__xludf.DUMMYFUNCTION("""COMPUTED_VALUE"""),0.0)</f>
        <v>0</v>
      </c>
      <c r="H1589" s="6" t="str">
        <f>IFERROR(__xludf.DUMMYFUNCTION("""COMPUTED_VALUE"""),"pcs")</f>
        <v>pcs</v>
      </c>
      <c r="I1589" s="6" t="str">
        <f>IFERROR(__xludf.DUMMYFUNCTION("""COMPUTED_VALUE"""),"RYP")</f>
        <v>RYP</v>
      </c>
      <c r="J1589" s="6" t="str">
        <f>IFERROR(__xludf.DUMMYFUNCTION("""COMPUTED_VALUE"""),"Filling")</f>
        <v>Filling</v>
      </c>
      <c r="K1589" s="6" t="str">
        <f>IFERROR(__xludf.DUMMYFUNCTION("""COMPUTED_VALUE"""),"SPR/02/25/040")</f>
        <v>SPR/02/25/040</v>
      </c>
      <c r="L1589" s="13">
        <f>IFERROR(__xludf.DUMMYFUNCTION("""COMPUTED_VALUE"""),45715.0)</f>
        <v>45715</v>
      </c>
    </row>
    <row r="1590">
      <c r="A1590" s="6" t="str">
        <f>IFERROR(__xludf.DUMMYFUNCTION("""COMPUTED_VALUE"""),"ROS")</f>
        <v>ROS</v>
      </c>
      <c r="B1590" s="6" t="str">
        <f>IFERROR(__xludf.DUMMYFUNCTION("""COMPUTED_VALUE"""),"ENG")</f>
        <v>ENG</v>
      </c>
      <c r="C1590" s="6" t="str">
        <f>IFERROR(__xludf.DUMMYFUNCTION("""COMPUTED_VALUE"""),"O-16033-00")</f>
        <v>O-16033-00</v>
      </c>
      <c r="D159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590" s="6">
        <f>IFERROR(__xludf.DUMMYFUNCTION("""COMPUTED_VALUE"""),1.0)</f>
        <v>1</v>
      </c>
      <c r="F1590" s="6">
        <f>IFERROR(__xludf.DUMMYFUNCTION("""COMPUTED_VALUE"""),1.0)</f>
        <v>1</v>
      </c>
      <c r="G1590" s="6">
        <f>IFERROR(__xludf.DUMMYFUNCTION("""COMPUTED_VALUE"""),0.0)</f>
        <v>0</v>
      </c>
      <c r="H1590" s="6" t="str">
        <f>IFERROR(__xludf.DUMMYFUNCTION("""COMPUTED_VALUE"""),"pcs")</f>
        <v>pcs</v>
      </c>
      <c r="I1590" s="6" t="str">
        <f>IFERROR(__xludf.DUMMYFUNCTION("""COMPUTED_VALUE"""),"RYP")</f>
        <v>RYP</v>
      </c>
      <c r="J1590" s="6" t="str">
        <f>IFERROR(__xludf.DUMMYFUNCTION("""COMPUTED_VALUE"""),"Filling")</f>
        <v>Filling</v>
      </c>
      <c r="K1590" s="6" t="str">
        <f>IFERROR(__xludf.DUMMYFUNCTION("""COMPUTED_VALUE"""),"SPR/02/25/040")</f>
        <v>SPR/02/25/040</v>
      </c>
      <c r="L1590" s="13">
        <f>IFERROR(__xludf.DUMMYFUNCTION("""COMPUTED_VALUE"""),45715.0)</f>
        <v>45715</v>
      </c>
    </row>
    <row r="1591">
      <c r="A1591" s="6" t="str">
        <f>IFERROR(__xludf.DUMMYFUNCTION("""COMPUTED_VALUE"""),"INN")</f>
        <v>INN</v>
      </c>
      <c r="B1591" s="6" t="str">
        <f>IFERROR(__xludf.DUMMYFUNCTION("""COMPUTED_VALUE"""),"ENG")</f>
        <v>ENG</v>
      </c>
      <c r="C1591" s="6" t="str">
        <f>IFERROR(__xludf.DUMMYFUNCTION("""COMPUTED_VALUE"""),"O-16030-00")</f>
        <v>O-16030-00</v>
      </c>
      <c r="D1591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591" s="6">
        <f>IFERROR(__xludf.DUMMYFUNCTION("""COMPUTED_VALUE"""),1.0)</f>
        <v>1</v>
      </c>
      <c r="F1591" s="6">
        <f>IFERROR(__xludf.DUMMYFUNCTION("""COMPUTED_VALUE"""),1.0)</f>
        <v>1</v>
      </c>
      <c r="G1591" s="6">
        <f>IFERROR(__xludf.DUMMYFUNCTION("""COMPUTED_VALUE"""),0.0)</f>
        <v>0</v>
      </c>
      <c r="H1591" s="6" t="str">
        <f>IFERROR(__xludf.DUMMYFUNCTION("""COMPUTED_VALUE"""),"Pcs")</f>
        <v>Pcs</v>
      </c>
      <c r="I1591" s="6" t="str">
        <f>IFERROR(__xludf.DUMMYFUNCTION("""COMPUTED_VALUE"""),"MFH")</f>
        <v>MFH</v>
      </c>
      <c r="J1591" s="6" t="str">
        <f>IFERROR(__xludf.DUMMYFUNCTION("""COMPUTED_VALUE"""),"SnD")</f>
        <v>SnD</v>
      </c>
      <c r="K1591" s="6" t="str">
        <f>IFERROR(__xludf.DUMMYFUNCTION("""COMPUTED_VALUE"""),"SPR/02/25/041")</f>
        <v>SPR/02/25/041</v>
      </c>
      <c r="L1591" s="13">
        <f>IFERROR(__xludf.DUMMYFUNCTION("""COMPUTED_VALUE"""),45715.0)</f>
        <v>45715</v>
      </c>
    </row>
    <row r="1592">
      <c r="A1592" s="6" t="str">
        <f>IFERROR(__xludf.DUMMYFUNCTION("""COMPUTED_VALUE"""),"INN")</f>
        <v>INN</v>
      </c>
      <c r="B1592" s="6" t="str">
        <f>IFERROR(__xludf.DUMMYFUNCTION("""COMPUTED_VALUE"""),"ENG")</f>
        <v>ENG</v>
      </c>
      <c r="C1592" s="6" t="str">
        <f>IFERROR(__xludf.DUMMYFUNCTION("""COMPUTED_VALUE"""),"O-16030-00")</f>
        <v>O-16030-00</v>
      </c>
      <c r="D1592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592" s="6">
        <f>IFERROR(__xludf.DUMMYFUNCTION("""COMPUTED_VALUE"""),2.0)</f>
        <v>2</v>
      </c>
      <c r="F1592" s="6">
        <f>IFERROR(__xludf.DUMMYFUNCTION("""COMPUTED_VALUE"""),2.0)</f>
        <v>2</v>
      </c>
      <c r="G1592" s="6">
        <f>IFERROR(__xludf.DUMMYFUNCTION("""COMPUTED_VALUE"""),0.0)</f>
        <v>0</v>
      </c>
      <c r="H1592" s="6" t="str">
        <f>IFERROR(__xludf.DUMMYFUNCTION("""COMPUTED_VALUE"""),"Pcs")</f>
        <v>Pcs</v>
      </c>
      <c r="I1592" s="6" t="str">
        <f>IFERROR(__xludf.DUMMYFUNCTION("""COMPUTED_VALUE"""),"MFH")</f>
        <v>MFH</v>
      </c>
      <c r="J1592" s="6" t="str">
        <f>IFERROR(__xludf.DUMMYFUNCTION("""COMPUTED_VALUE"""),"SnD")</f>
        <v>SnD</v>
      </c>
      <c r="K1592" s="6" t="str">
        <f>IFERROR(__xludf.DUMMYFUNCTION("""COMPUTED_VALUE"""),"SPR/02/25/041")</f>
        <v>SPR/02/25/041</v>
      </c>
      <c r="L1592" s="13">
        <f>IFERROR(__xludf.DUMMYFUNCTION("""COMPUTED_VALUE"""),45715.0)</f>
        <v>45715</v>
      </c>
    </row>
    <row r="1593">
      <c r="A1593" s="6" t="str">
        <f>IFERROR(__xludf.DUMMYFUNCTION("""COMPUTED_VALUE"""),"ROS")</f>
        <v>ROS</v>
      </c>
      <c r="B1593" s="6" t="str">
        <f>IFERROR(__xludf.DUMMYFUNCTION("""COMPUTED_VALUE"""),"ENG")</f>
        <v>ENG</v>
      </c>
      <c r="C1593" s="6" t="str">
        <f>IFERROR(__xludf.DUMMYFUNCTION("""COMPUTED_VALUE"""),"O-16647-00")</f>
        <v>O-16647-00</v>
      </c>
      <c r="D1593" s="6" t="str">
        <f>IFERROR(__xludf.DUMMYFUNCTION("""COMPUTED_VALUE"""),"Washing RAR4 - Oring Silicone Merah 23x18x2.5 mm; ; ;")</f>
        <v>Washing RAR4 - Oring Silicone Merah 23x18x2.5 mm; ; ;</v>
      </c>
      <c r="E1593" s="6">
        <f>IFERROR(__xludf.DUMMYFUNCTION("""COMPUTED_VALUE"""),10.0)</f>
        <v>10</v>
      </c>
      <c r="F1593" s="6">
        <f>IFERROR(__xludf.DUMMYFUNCTION("""COMPUTED_VALUE"""),10.0)</f>
        <v>10</v>
      </c>
      <c r="G1593" s="6">
        <f>IFERROR(__xludf.DUMMYFUNCTION("""COMPUTED_VALUE"""),0.0)</f>
        <v>0</v>
      </c>
      <c r="H1593" s="6" t="str">
        <f>IFERROR(__xludf.DUMMYFUNCTION("""COMPUTED_VALUE"""),"Pcs")</f>
        <v>Pcs</v>
      </c>
      <c r="I1593" s="6" t="str">
        <f>IFERROR(__xludf.DUMMYFUNCTION("""COMPUTED_VALUE"""),"MFH")</f>
        <v>MFH</v>
      </c>
      <c r="J1593" s="6" t="str">
        <f>IFERROR(__xludf.DUMMYFUNCTION("""COMPUTED_VALUE"""),"Capping")</f>
        <v>Capping</v>
      </c>
      <c r="K1593" s="6" t="str">
        <f>IFERROR(__xludf.DUMMYFUNCTION("""COMPUTED_VALUE"""),"SPR/02/25/042")</f>
        <v>SPR/02/25/042</v>
      </c>
      <c r="L1593" s="13">
        <f>IFERROR(__xludf.DUMMYFUNCTION("""COMPUTED_VALUE"""),45715.0)</f>
        <v>45715</v>
      </c>
    </row>
    <row r="1594">
      <c r="A1594" s="6" t="str">
        <f>IFERROR(__xludf.DUMMYFUNCTION("""COMPUTED_VALUE"""),"MRN")</f>
        <v>MRN</v>
      </c>
      <c r="B1594" s="6" t="str">
        <f>IFERROR(__xludf.DUMMYFUNCTION("""COMPUTED_VALUE"""),"ENG")</f>
        <v>ENG</v>
      </c>
      <c r="C1594" s="6" t="str">
        <f>IFERROR(__xludf.DUMMYFUNCTION("""COMPUTED_VALUE"""),"Q-10154-00")</f>
        <v>Q-10154-00</v>
      </c>
      <c r="D1594" s="6" t="str">
        <f>IFERROR(__xludf.DUMMYFUNCTION("""COMPUTED_VALUE"""),"Roller cat 230mm")</f>
        <v>Roller cat 230mm</v>
      </c>
      <c r="E1594" s="6">
        <f>IFERROR(__xludf.DUMMYFUNCTION("""COMPUTED_VALUE"""),1.0)</f>
        <v>1</v>
      </c>
      <c r="F1594" s="6">
        <f>IFERROR(__xludf.DUMMYFUNCTION("""COMPUTED_VALUE"""),1.0)</f>
        <v>1</v>
      </c>
      <c r="G1594" s="6">
        <f>IFERROR(__xludf.DUMMYFUNCTION("""COMPUTED_VALUE"""),0.0)</f>
        <v>0</v>
      </c>
      <c r="H1594" s="6" t="str">
        <f>IFERROR(__xludf.DUMMYFUNCTION("""COMPUTED_VALUE"""),"Pcs")</f>
        <v>Pcs</v>
      </c>
      <c r="I1594" s="6" t="str">
        <f>IFERROR(__xludf.DUMMYFUNCTION("""COMPUTED_VALUE"""),"MFH")</f>
        <v>MFH</v>
      </c>
      <c r="J1594" s="6" t="str">
        <f>IFERROR(__xludf.DUMMYFUNCTION("""COMPUTED_VALUE"""),"Building")</f>
        <v>Building</v>
      </c>
      <c r="K1594" s="6" t="str">
        <f>IFERROR(__xludf.DUMMYFUNCTION("""COMPUTED_VALUE"""),"SPR/02/25/043")</f>
        <v>SPR/02/25/043</v>
      </c>
      <c r="L1594" s="13">
        <f>IFERROR(__xludf.DUMMYFUNCTION("""COMPUTED_VALUE"""),45715.0)</f>
        <v>45715</v>
      </c>
    </row>
    <row r="1595">
      <c r="A1595" s="6" t="str">
        <f>IFERROR(__xludf.DUMMYFUNCTION("""COMPUTED_VALUE"""),"MRN")</f>
        <v>MRN</v>
      </c>
      <c r="B1595" s="6" t="str">
        <f>IFERROR(__xludf.DUMMYFUNCTION("""COMPUTED_VALUE"""),"ENG")</f>
        <v>ENG</v>
      </c>
      <c r="C1595" s="6" t="str">
        <f>IFERROR(__xludf.DUMMYFUNCTION("""COMPUTED_VALUE"""),"Q-60025-00")</f>
        <v>Q-60025-00</v>
      </c>
      <c r="D1595" s="6" t="str">
        <f>IFERROR(__xludf.DUMMYFUNCTION("""COMPUTED_VALUE"""),"Kuas Eterna 1")</f>
        <v>Kuas Eterna 1</v>
      </c>
      <c r="E1595" s="6">
        <f>IFERROR(__xludf.DUMMYFUNCTION("""COMPUTED_VALUE"""),1.0)</f>
        <v>1</v>
      </c>
      <c r="F1595" s="6">
        <f>IFERROR(__xludf.DUMMYFUNCTION("""COMPUTED_VALUE"""),1.0)</f>
        <v>1</v>
      </c>
      <c r="G1595" s="6">
        <f>IFERROR(__xludf.DUMMYFUNCTION("""COMPUTED_VALUE"""),0.0)</f>
        <v>0</v>
      </c>
      <c r="H1595" s="6" t="str">
        <f>IFERROR(__xludf.DUMMYFUNCTION("""COMPUTED_VALUE"""),"Pcs")</f>
        <v>Pcs</v>
      </c>
      <c r="I1595" s="6" t="str">
        <f>IFERROR(__xludf.DUMMYFUNCTION("""COMPUTED_VALUE"""),"MFH")</f>
        <v>MFH</v>
      </c>
      <c r="J1595" s="6" t="str">
        <f>IFERROR(__xludf.DUMMYFUNCTION("""COMPUTED_VALUE"""),"Building")</f>
        <v>Building</v>
      </c>
      <c r="K1595" s="6" t="str">
        <f>IFERROR(__xludf.DUMMYFUNCTION("""COMPUTED_VALUE"""),"SPR/02/25/043")</f>
        <v>SPR/02/25/043</v>
      </c>
      <c r="L1595" s="13">
        <f>IFERROR(__xludf.DUMMYFUNCTION("""COMPUTED_VALUE"""),45715.0)</f>
        <v>45715</v>
      </c>
    </row>
    <row r="1596">
      <c r="A1596" s="6" t="str">
        <f>IFERROR(__xludf.DUMMYFUNCTION("""COMPUTED_VALUE"""),"MRN")</f>
        <v>MRN</v>
      </c>
      <c r="B1596" s="6" t="str">
        <f>IFERROR(__xludf.DUMMYFUNCTION("""COMPUTED_VALUE"""),"ENG")</f>
        <v>ENG</v>
      </c>
      <c r="C1596" s="6" t="str">
        <f>IFERROR(__xludf.DUMMYFUNCTION("""COMPUTED_VALUE"""),"S-46129-00")</f>
        <v>S-46129-00</v>
      </c>
      <c r="D1596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596" s="6">
        <f>IFERROR(__xludf.DUMMYFUNCTION("""COMPUTED_VALUE"""),1.0)</f>
        <v>1</v>
      </c>
      <c r="F1596" s="6">
        <f>IFERROR(__xludf.DUMMYFUNCTION("""COMPUTED_VALUE"""),1.0)</f>
        <v>1</v>
      </c>
      <c r="G1596" s="6">
        <f>IFERROR(__xludf.DUMMYFUNCTION("""COMPUTED_VALUE"""),0.0)</f>
        <v>0</v>
      </c>
      <c r="H1596" s="6" t="str">
        <f>IFERROR(__xludf.DUMMYFUNCTION("""COMPUTED_VALUE"""),"Pcs")</f>
        <v>Pcs</v>
      </c>
      <c r="I1596" s="6" t="str">
        <f>IFERROR(__xludf.DUMMYFUNCTION("""COMPUTED_VALUE"""),"MFH")</f>
        <v>MFH</v>
      </c>
      <c r="J1596" s="6" t="str">
        <f>IFERROR(__xludf.DUMMYFUNCTION("""COMPUTED_VALUE"""),"AHU")</f>
        <v>AHU</v>
      </c>
      <c r="K1596" s="6" t="str">
        <f>IFERROR(__xludf.DUMMYFUNCTION("""COMPUTED_VALUE"""),"SPR/02/25/043")</f>
        <v>SPR/02/25/043</v>
      </c>
      <c r="L1596" s="13">
        <f>IFERROR(__xludf.DUMMYFUNCTION("""COMPUTED_VALUE"""),45715.0)</f>
        <v>45715</v>
      </c>
    </row>
    <row r="1597">
      <c r="A1597" s="6" t="str">
        <f>IFERROR(__xludf.DUMMYFUNCTION("""COMPUTED_VALUE"""),"TWS")</f>
        <v>TWS</v>
      </c>
      <c r="B1597" s="6" t="str">
        <f>IFERROR(__xludf.DUMMYFUNCTION("""COMPUTED_VALUE"""),"ENG")</f>
        <v>ENG</v>
      </c>
      <c r="C1597" s="6" t="str">
        <f>IFERROR(__xludf.DUMMYFUNCTION("""COMPUTED_VALUE"""),"T-20123-00")</f>
        <v>T-20123-00</v>
      </c>
      <c r="D1597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1597" s="6">
        <f>IFERROR(__xludf.DUMMYFUNCTION("""COMPUTED_VALUE"""),2.0)</f>
        <v>2</v>
      </c>
      <c r="F1597" s="6">
        <f>IFERROR(__xludf.DUMMYFUNCTION("""COMPUTED_VALUE"""),2.0)</f>
        <v>2</v>
      </c>
      <c r="G1597" s="6">
        <f>IFERROR(__xludf.DUMMYFUNCTION("""COMPUTED_VALUE"""),0.0)</f>
        <v>0</v>
      </c>
      <c r="H1597" s="6" t="str">
        <f>IFERROR(__xludf.DUMMYFUNCTION("""COMPUTED_VALUE"""),"Pcs")</f>
        <v>Pcs</v>
      </c>
      <c r="I1597" s="6" t="str">
        <f>IFERROR(__xludf.DUMMYFUNCTION("""COMPUTED_VALUE"""),"MFH")</f>
        <v>MFH</v>
      </c>
      <c r="J1597" s="6" t="str">
        <f>IFERROR(__xludf.DUMMYFUNCTION("""COMPUTED_VALUE"""),"HPLC")</f>
        <v>HPLC</v>
      </c>
      <c r="K1597" s="6" t="str">
        <f>IFERROR(__xludf.DUMMYFUNCTION("""COMPUTED_VALUE"""),"SPR/02/25/044")</f>
        <v>SPR/02/25/044</v>
      </c>
      <c r="L1597" s="13">
        <f>IFERROR(__xludf.DUMMYFUNCTION("""COMPUTED_VALUE"""),45715.0)</f>
        <v>45715</v>
      </c>
    </row>
    <row r="1598">
      <c r="A1598" s="6" t="str">
        <f>IFERROR(__xludf.DUMMYFUNCTION("""COMPUTED_VALUE"""),"SFH")</f>
        <v>SFH</v>
      </c>
      <c r="B1598" s="6" t="str">
        <f>IFERROR(__xludf.DUMMYFUNCTION("""COMPUTED_VALUE"""),"ENG")</f>
        <v>ENG</v>
      </c>
      <c r="C1598" s="6" t="str">
        <f>IFERROR(__xludf.DUMMYFUNCTION("""COMPUTED_VALUE"""),"S-63035-00")</f>
        <v>S-63035-00</v>
      </c>
      <c r="D1598" s="6" t="str">
        <f>IFERROR(__xludf.DUMMYFUNCTION("""COMPUTED_VALUE"""),"Cover Penutup Saklar; ; ;")</f>
        <v>Cover Penutup Saklar; ; ;</v>
      </c>
      <c r="E1598" s="6">
        <f>IFERROR(__xludf.DUMMYFUNCTION("""COMPUTED_VALUE"""),10.0)</f>
        <v>10</v>
      </c>
      <c r="F1598" s="6">
        <f>IFERROR(__xludf.DUMMYFUNCTION("""COMPUTED_VALUE"""),10.0)</f>
        <v>10</v>
      </c>
      <c r="G1598" s="6">
        <f>IFERROR(__xludf.DUMMYFUNCTION("""COMPUTED_VALUE"""),0.0)</f>
        <v>0</v>
      </c>
      <c r="H1598" s="6" t="str">
        <f>IFERROR(__xludf.DUMMYFUNCTION("""COMPUTED_VALUE"""),"Pcs")</f>
        <v>Pcs</v>
      </c>
      <c r="I1598" s="6" t="str">
        <f>IFERROR(__xludf.DUMMYFUNCTION("""COMPUTED_VALUE"""),"MFH")</f>
        <v>MFH</v>
      </c>
      <c r="J1598" s="6" t="str">
        <f>IFERROR(__xludf.DUMMYFUNCTION("""COMPUTED_VALUE"""),"Building")</f>
        <v>Building</v>
      </c>
      <c r="K1598" s="6" t="str">
        <f>IFERROR(__xludf.DUMMYFUNCTION("""COMPUTED_VALUE"""),"SPR/02/25/045")</f>
        <v>SPR/02/25/045</v>
      </c>
      <c r="L1598" s="13">
        <f>IFERROR(__xludf.DUMMYFUNCTION("""COMPUTED_VALUE"""),45715.0)</f>
        <v>45715</v>
      </c>
    </row>
    <row r="1599">
      <c r="A1599" s="6" t="str">
        <f>IFERROR(__xludf.DUMMYFUNCTION("""COMPUTED_VALUE"""),"SFH")</f>
        <v>SFH</v>
      </c>
      <c r="B1599" s="6" t="str">
        <f>IFERROR(__xludf.DUMMYFUNCTION("""COMPUTED_VALUE"""),"ENG")</f>
        <v>ENG</v>
      </c>
      <c r="C1599" s="6" t="str">
        <f>IFERROR(__xludf.DUMMYFUNCTION("""COMPUTED_VALUE"""),"P-51560-00")</f>
        <v>P-51560-00</v>
      </c>
      <c r="D1599" s="6" t="str">
        <f>IFERROR(__xludf.DUMMYFUNCTION("""COMPUTED_VALUE"""),"Lampu T5 28watt Putih; Phillips; ;")</f>
        <v>Lampu T5 28watt Putih; Phillips; ;</v>
      </c>
      <c r="E1599" s="6">
        <f>IFERROR(__xludf.DUMMYFUNCTION("""COMPUTED_VALUE"""),1.0)</f>
        <v>1</v>
      </c>
      <c r="F1599" s="6">
        <f>IFERROR(__xludf.DUMMYFUNCTION("""COMPUTED_VALUE"""),1.0)</f>
        <v>1</v>
      </c>
      <c r="G1599" s="6">
        <f>IFERROR(__xludf.DUMMYFUNCTION("""COMPUTED_VALUE"""),0.0)</f>
        <v>0</v>
      </c>
      <c r="H1599" s="6" t="str">
        <f>IFERROR(__xludf.DUMMYFUNCTION("""COMPUTED_VALUE"""),"Pcs")</f>
        <v>Pcs</v>
      </c>
      <c r="I1599" s="6" t="str">
        <f>IFERROR(__xludf.DUMMYFUNCTION("""COMPUTED_VALUE"""),"MFH")</f>
        <v>MFH</v>
      </c>
      <c r="J1599" s="6" t="str">
        <f>IFERROR(__xludf.DUMMYFUNCTION("""COMPUTED_VALUE"""),"Building")</f>
        <v>Building</v>
      </c>
      <c r="K1599" s="6" t="str">
        <f>IFERROR(__xludf.DUMMYFUNCTION("""COMPUTED_VALUE"""),"SPR/02/25/046")</f>
        <v>SPR/02/25/046</v>
      </c>
      <c r="L1599" s="13">
        <f>IFERROR(__xludf.DUMMYFUNCTION("""COMPUTED_VALUE"""),45715.0)</f>
        <v>45715</v>
      </c>
    </row>
    <row r="1600">
      <c r="A1600" s="6" t="str">
        <f>IFERROR(__xludf.DUMMYFUNCTION("""COMPUTED_VALUE"""),"SFH")</f>
        <v>SFH</v>
      </c>
      <c r="B1600" s="6" t="str">
        <f>IFERROR(__xludf.DUMMYFUNCTION("""COMPUTED_VALUE"""),"ENG")</f>
        <v>ENG</v>
      </c>
      <c r="C1600" s="6" t="str">
        <f>IFERROR(__xludf.DUMMYFUNCTION("""COMPUTED_VALUE"""),"P-51559-00")</f>
        <v>P-51559-00</v>
      </c>
      <c r="D1600" s="6" t="str">
        <f>IFERROR(__xludf.DUMMYFUNCTION("""COMPUTED_VALUE"""),"Lampu T5 14watt Putih; Phillips; ;")</f>
        <v>Lampu T5 14watt Putih; Phillips; ;</v>
      </c>
      <c r="E1600" s="6">
        <f>IFERROR(__xludf.DUMMYFUNCTION("""COMPUTED_VALUE"""),1.0)</f>
        <v>1</v>
      </c>
      <c r="F1600" s="6">
        <f>IFERROR(__xludf.DUMMYFUNCTION("""COMPUTED_VALUE"""),1.0)</f>
        <v>1</v>
      </c>
      <c r="G1600" s="6">
        <f>IFERROR(__xludf.DUMMYFUNCTION("""COMPUTED_VALUE"""),0.0)</f>
        <v>0</v>
      </c>
      <c r="H1600" s="6" t="str">
        <f>IFERROR(__xludf.DUMMYFUNCTION("""COMPUTED_VALUE"""),"Pcs")</f>
        <v>Pcs</v>
      </c>
      <c r="I1600" s="6" t="str">
        <f>IFERROR(__xludf.DUMMYFUNCTION("""COMPUTED_VALUE"""),"MFH")</f>
        <v>MFH</v>
      </c>
      <c r="J1600" s="6" t="str">
        <f>IFERROR(__xludf.DUMMYFUNCTION("""COMPUTED_VALUE"""),"Building")</f>
        <v>Building</v>
      </c>
      <c r="K1600" s="6" t="str">
        <f>IFERROR(__xludf.DUMMYFUNCTION("""COMPUTED_VALUE"""),"SPR/02/25/046")</f>
        <v>SPR/02/25/046</v>
      </c>
      <c r="L1600" s="13">
        <f>IFERROR(__xludf.DUMMYFUNCTION("""COMPUTED_VALUE"""),45715.0)</f>
        <v>45715</v>
      </c>
    </row>
    <row r="1601">
      <c r="A1601" s="6" t="str">
        <f>IFERROR(__xludf.DUMMYFUNCTION("""COMPUTED_VALUE"""),"RIA")</f>
        <v>RIA</v>
      </c>
      <c r="B1601" s="6" t="str">
        <f>IFERROR(__xludf.DUMMYFUNCTION("""COMPUTED_VALUE"""),"ENG")</f>
        <v>ENG</v>
      </c>
      <c r="C1601" s="6" t="str">
        <f>IFERROR(__xludf.DUMMYFUNCTION("""COMPUTED_VALUE"""),"P-10860-00")</f>
        <v>P-10860-00</v>
      </c>
      <c r="D1601" s="6" t="str">
        <f>IFERROR(__xludf.DUMMYFUNCTION("""COMPUTED_VALUE"""),"Fitting PVC - Elbow PVC 1""")</f>
        <v>Fitting PVC - Elbow PVC 1"</v>
      </c>
      <c r="E1601" s="6">
        <f>IFERROR(__xludf.DUMMYFUNCTION("""COMPUTED_VALUE"""),1.0)</f>
        <v>1</v>
      </c>
      <c r="F1601" s="6">
        <f>IFERROR(__xludf.DUMMYFUNCTION("""COMPUTED_VALUE"""),1.0)</f>
        <v>1</v>
      </c>
      <c r="G1601" s="6">
        <f>IFERROR(__xludf.DUMMYFUNCTION("""COMPUTED_VALUE"""),0.0)</f>
        <v>0</v>
      </c>
      <c r="H1601" s="6" t="str">
        <f>IFERROR(__xludf.DUMMYFUNCTION("""COMPUTED_VALUE"""),"Pcs")</f>
        <v>Pcs</v>
      </c>
      <c r="I1601" s="6" t="str">
        <f>IFERROR(__xludf.DUMMYFUNCTION("""COMPUTED_VALUE"""),"MFH")</f>
        <v>MFH</v>
      </c>
      <c r="J1601" s="6" t="str">
        <f>IFERROR(__xludf.DUMMYFUNCTION("""COMPUTED_VALUE"""),"Building")</f>
        <v>Building</v>
      </c>
      <c r="K1601" s="6" t="str">
        <f>IFERROR(__xludf.DUMMYFUNCTION("""COMPUTED_VALUE"""),"SPR/02/25/047")</f>
        <v>SPR/02/25/047</v>
      </c>
      <c r="L1601" s="13">
        <f>IFERROR(__xludf.DUMMYFUNCTION("""COMPUTED_VALUE"""),45715.0)</f>
        <v>45715</v>
      </c>
    </row>
    <row r="1602">
      <c r="A1602" s="6" t="str">
        <f>IFERROR(__xludf.DUMMYFUNCTION("""COMPUTED_VALUE"""),"NDS")</f>
        <v>NDS</v>
      </c>
      <c r="B1602" s="6" t="str">
        <f>IFERROR(__xludf.DUMMYFUNCTION("""COMPUTED_VALUE"""),"ENG")</f>
        <v>ENG</v>
      </c>
      <c r="C1602" s="6" t="str">
        <f>IFERROR(__xludf.DUMMYFUNCTION("""COMPUTED_VALUE"""),"P-13389-00")</f>
        <v>P-13389-00</v>
      </c>
      <c r="D1602" s="6" t="str">
        <f>IFERROR(__xludf.DUMMYFUNCTION("""COMPUTED_VALUE"""),"Scotch Brite 3M; ; ;")</f>
        <v>Scotch Brite 3M; ; ;</v>
      </c>
      <c r="E1602" s="6">
        <f>IFERROR(__xludf.DUMMYFUNCTION("""COMPUTED_VALUE"""),1.0)</f>
        <v>1</v>
      </c>
      <c r="F1602" s="6">
        <f>IFERROR(__xludf.DUMMYFUNCTION("""COMPUTED_VALUE"""),1.0)</f>
        <v>1</v>
      </c>
      <c r="G1602" s="6">
        <f>IFERROR(__xludf.DUMMYFUNCTION("""COMPUTED_VALUE"""),0.0)</f>
        <v>0</v>
      </c>
      <c r="H1602" s="6" t="str">
        <f>IFERROR(__xludf.DUMMYFUNCTION("""COMPUTED_VALUE"""),"Pcs")</f>
        <v>Pcs</v>
      </c>
      <c r="I1602" s="6" t="str">
        <f>IFERROR(__xludf.DUMMYFUNCTION("""COMPUTED_VALUE"""),"MFH")</f>
        <v>MFH</v>
      </c>
      <c r="J1602" s="6" t="str">
        <f>IFERROR(__xludf.DUMMYFUNCTION("""COMPUTED_VALUE"""),"Mixing")</f>
        <v>Mixing</v>
      </c>
      <c r="K1602" s="6" t="str">
        <f>IFERROR(__xludf.DUMMYFUNCTION("""COMPUTED_VALUE"""),"SPR/02/25/048")</f>
        <v>SPR/02/25/048</v>
      </c>
      <c r="L1602" s="13">
        <f>IFERROR(__xludf.DUMMYFUNCTION("""COMPUTED_VALUE"""),45715.0)</f>
        <v>45715</v>
      </c>
    </row>
    <row r="1603">
      <c r="A1603" s="6" t="str">
        <f>IFERROR(__xludf.DUMMYFUNCTION("""COMPUTED_VALUE"""),"NDS")</f>
        <v>NDS</v>
      </c>
      <c r="B1603" s="6" t="str">
        <f>IFERROR(__xludf.DUMMYFUNCTION("""COMPUTED_VALUE"""),"ENG")</f>
        <v>ENG</v>
      </c>
      <c r="C1603" s="6" t="str">
        <f>IFERROR(__xludf.DUMMYFUNCTION("""COMPUTED_VALUE"""),"P-15852-00")</f>
        <v>P-15852-00</v>
      </c>
      <c r="D1603" s="6" t="str">
        <f>IFERROR(__xludf.DUMMYFUNCTION("""COMPUTED_VALUE"""),"AMPLAS EAGLE 500")</f>
        <v>AMPLAS EAGLE 500</v>
      </c>
      <c r="E1603" s="6">
        <f>IFERROR(__xludf.DUMMYFUNCTION("""COMPUTED_VALUE"""),1.0)</f>
        <v>1</v>
      </c>
      <c r="F1603" s="6">
        <f>IFERROR(__xludf.DUMMYFUNCTION("""COMPUTED_VALUE"""),1.0)</f>
        <v>1</v>
      </c>
      <c r="G1603" s="6">
        <f>IFERROR(__xludf.DUMMYFUNCTION("""COMPUTED_VALUE"""),0.0)</f>
        <v>0</v>
      </c>
      <c r="H1603" s="6" t="str">
        <f>IFERROR(__xludf.DUMMYFUNCTION("""COMPUTED_VALUE"""),"Pcs")</f>
        <v>Pcs</v>
      </c>
      <c r="I1603" s="6" t="str">
        <f>IFERROR(__xludf.DUMMYFUNCTION("""COMPUTED_VALUE"""),"MFH")</f>
        <v>MFH</v>
      </c>
      <c r="J1603" s="6" t="str">
        <f>IFERROR(__xludf.DUMMYFUNCTION("""COMPUTED_VALUE"""),"Mixing")</f>
        <v>Mixing</v>
      </c>
      <c r="K1603" s="6" t="str">
        <f>IFERROR(__xludf.DUMMYFUNCTION("""COMPUTED_VALUE"""),"SPR/02/25/048")</f>
        <v>SPR/02/25/048</v>
      </c>
      <c r="L1603" s="13">
        <f>IFERROR(__xludf.DUMMYFUNCTION("""COMPUTED_VALUE"""),45715.0)</f>
        <v>45715</v>
      </c>
    </row>
    <row r="1604">
      <c r="A1604" s="6" t="str">
        <f>IFERROR(__xludf.DUMMYFUNCTION("""COMPUTED_VALUE"""),"MRN")</f>
        <v>MRN</v>
      </c>
      <c r="B1604" s="6" t="str">
        <f>IFERROR(__xludf.DUMMYFUNCTION("""COMPUTED_VALUE"""),"ENG")</f>
        <v>ENG</v>
      </c>
      <c r="C1604" s="6" t="str">
        <f>IFERROR(__xludf.DUMMYFUNCTION("""COMPUTED_VALUE"""),"Q-10134-00")</f>
        <v>Q-10134-00</v>
      </c>
      <c r="D1604" s="6" t="str">
        <f>IFERROR(__xludf.DUMMYFUNCTION("""COMPUTED_VALUE"""),"TOTO - Jet Shower spray TX 403S")</f>
        <v>TOTO - Jet Shower spray TX 403S</v>
      </c>
      <c r="E1604" s="6">
        <f>IFERROR(__xludf.DUMMYFUNCTION("""COMPUTED_VALUE"""),1.0)</f>
        <v>1</v>
      </c>
      <c r="F1604" s="6">
        <f>IFERROR(__xludf.DUMMYFUNCTION("""COMPUTED_VALUE"""),1.0)</f>
        <v>1</v>
      </c>
      <c r="G1604" s="6">
        <f>IFERROR(__xludf.DUMMYFUNCTION("""COMPUTED_VALUE"""),0.0)</f>
        <v>0</v>
      </c>
      <c r="H1604" s="6" t="str">
        <f>IFERROR(__xludf.DUMMYFUNCTION("""COMPUTED_VALUE"""),"Pcs")</f>
        <v>Pcs</v>
      </c>
      <c r="I1604" s="6" t="str">
        <f>IFERROR(__xludf.DUMMYFUNCTION("""COMPUTED_VALUE"""),"MFH")</f>
        <v>MFH</v>
      </c>
      <c r="J1604" s="6" t="str">
        <f>IFERROR(__xludf.DUMMYFUNCTION("""COMPUTED_VALUE"""),"Building")</f>
        <v>Building</v>
      </c>
      <c r="K1604" s="6" t="str">
        <f>IFERROR(__xludf.DUMMYFUNCTION("""COMPUTED_VALUE"""),"SPR/02/25/049")</f>
        <v>SPR/02/25/049</v>
      </c>
      <c r="L1604" s="13">
        <f>IFERROR(__xludf.DUMMYFUNCTION("""COMPUTED_VALUE"""),45715.0)</f>
        <v>45715</v>
      </c>
    </row>
    <row r="1605">
      <c r="A1605" s="6" t="str">
        <f>IFERROR(__xludf.DUMMYFUNCTION("""COMPUTED_VALUE"""),"MRN")</f>
        <v>MRN</v>
      </c>
      <c r="B1605" s="6" t="str">
        <f>IFERROR(__xludf.DUMMYFUNCTION("""COMPUTED_VALUE"""),"ENG")</f>
        <v>ENG</v>
      </c>
      <c r="C1605" s="6" t="str">
        <f>IFERROR(__xludf.DUMMYFUNCTION("""COMPUTED_VALUE"""),"Q-10487-00")</f>
        <v>Q-10487-00</v>
      </c>
      <c r="D1605" s="6" t="str">
        <f>IFERROR(__xludf.DUMMYFUNCTION("""COMPUTED_VALUE"""),"Tutup Wastafel TOTO; ; ;")</f>
        <v>Tutup Wastafel TOTO; ; ;</v>
      </c>
      <c r="E1605" s="6">
        <f>IFERROR(__xludf.DUMMYFUNCTION("""COMPUTED_VALUE"""),1.0)</f>
        <v>1</v>
      </c>
      <c r="F1605" s="6">
        <f>IFERROR(__xludf.DUMMYFUNCTION("""COMPUTED_VALUE"""),1.0)</f>
        <v>1</v>
      </c>
      <c r="G1605" s="6">
        <f>IFERROR(__xludf.DUMMYFUNCTION("""COMPUTED_VALUE"""),0.0)</f>
        <v>0</v>
      </c>
      <c r="H1605" s="6" t="str">
        <f>IFERROR(__xludf.DUMMYFUNCTION("""COMPUTED_VALUE"""),"Pcs")</f>
        <v>Pcs</v>
      </c>
      <c r="I1605" s="6" t="str">
        <f>IFERROR(__xludf.DUMMYFUNCTION("""COMPUTED_VALUE"""),"MFH")</f>
        <v>MFH</v>
      </c>
      <c r="J1605" s="6" t="str">
        <f>IFERROR(__xludf.DUMMYFUNCTION("""COMPUTED_VALUE"""),"Building")</f>
        <v>Building</v>
      </c>
      <c r="K1605" s="6" t="str">
        <f>IFERROR(__xludf.DUMMYFUNCTION("""COMPUTED_VALUE"""),"SPR/02/25/049")</f>
        <v>SPR/02/25/049</v>
      </c>
      <c r="L1605" s="13">
        <f>IFERROR(__xludf.DUMMYFUNCTION("""COMPUTED_VALUE"""),45715.0)</f>
        <v>45715</v>
      </c>
    </row>
    <row r="1606">
      <c r="A1606" s="6" t="str">
        <f>IFERROR(__xludf.DUMMYFUNCTION("""COMPUTED_VALUE"""),"JON")</f>
        <v>JON</v>
      </c>
      <c r="B1606" s="6" t="str">
        <f>IFERROR(__xludf.DUMMYFUNCTION("""COMPUTED_VALUE"""),"ENG")</f>
        <v>ENG</v>
      </c>
      <c r="C1606" s="6" t="str">
        <f>IFERROR(__xludf.DUMMYFUNCTION("""COMPUTED_VALUE"""),"P-51560-00")</f>
        <v>P-51560-00</v>
      </c>
      <c r="D1606" s="6" t="str">
        <f>IFERROR(__xludf.DUMMYFUNCTION("""COMPUTED_VALUE"""),"Lampu T5 28watt Putih; Phillips; ;")</f>
        <v>Lampu T5 28watt Putih; Phillips; ;</v>
      </c>
      <c r="E1606" s="6">
        <f>IFERROR(__xludf.DUMMYFUNCTION("""COMPUTED_VALUE"""),2.0)</f>
        <v>2</v>
      </c>
      <c r="F1606" s="6">
        <f>IFERROR(__xludf.DUMMYFUNCTION("""COMPUTED_VALUE"""),2.0)</f>
        <v>2</v>
      </c>
      <c r="G1606" s="6">
        <f>IFERROR(__xludf.DUMMYFUNCTION("""COMPUTED_VALUE"""),0.0)</f>
        <v>0</v>
      </c>
      <c r="H1606" s="6" t="str">
        <f>IFERROR(__xludf.DUMMYFUNCTION("""COMPUTED_VALUE"""),"Pcs")</f>
        <v>Pcs</v>
      </c>
      <c r="I1606" s="6" t="str">
        <f>IFERROR(__xludf.DUMMYFUNCTION("""COMPUTED_VALUE"""),"RYP")</f>
        <v>RYP</v>
      </c>
      <c r="J1606" s="6" t="str">
        <f>IFERROR(__xludf.DUMMYFUNCTION("""COMPUTED_VALUE"""),"-")</f>
        <v>-</v>
      </c>
      <c r="K1606" s="6" t="str">
        <f>IFERROR(__xludf.DUMMYFUNCTION("""COMPUTED_VALUE"""),"SPR/02/25/050")</f>
        <v>SPR/02/25/050</v>
      </c>
      <c r="L1606" s="13">
        <f>IFERROR(__xludf.DUMMYFUNCTION("""COMPUTED_VALUE"""),45715.0)</f>
        <v>45715</v>
      </c>
    </row>
    <row r="1607">
      <c r="A1607" s="6" t="str">
        <f>IFERROR(__xludf.DUMMYFUNCTION("""COMPUTED_VALUE"""),"JON")</f>
        <v>JON</v>
      </c>
      <c r="B1607" s="6" t="str">
        <f>IFERROR(__xludf.DUMMYFUNCTION("""COMPUTED_VALUE"""),"ENG")</f>
        <v>ENG</v>
      </c>
      <c r="C1607" s="6" t="str">
        <f>IFERROR(__xludf.DUMMYFUNCTION("""COMPUTED_VALUE"""),"P-53102-00")</f>
        <v>P-53102-00</v>
      </c>
      <c r="D1607" s="6" t="str">
        <f>IFERROR(__xludf.DUMMYFUNCTION("""COMPUTED_VALUE"""),"Lampu PLC 13watt/E27 Putih; Phillips; ;")</f>
        <v>Lampu PLC 13watt/E27 Putih; Phillips; ;</v>
      </c>
      <c r="E1607" s="6">
        <f>IFERROR(__xludf.DUMMYFUNCTION("""COMPUTED_VALUE"""),1.0)</f>
        <v>1</v>
      </c>
      <c r="F1607" s="6">
        <f>IFERROR(__xludf.DUMMYFUNCTION("""COMPUTED_VALUE"""),1.0)</f>
        <v>1</v>
      </c>
      <c r="G1607" s="6">
        <f>IFERROR(__xludf.DUMMYFUNCTION("""COMPUTED_VALUE"""),0.0)</f>
        <v>0</v>
      </c>
      <c r="H1607" s="6" t="str">
        <f>IFERROR(__xludf.DUMMYFUNCTION("""COMPUTED_VALUE"""),"Pcs")</f>
        <v>Pcs</v>
      </c>
      <c r="I1607" s="6" t="str">
        <f>IFERROR(__xludf.DUMMYFUNCTION("""COMPUTED_VALUE"""),"RYP")</f>
        <v>RYP</v>
      </c>
      <c r="J1607" s="6" t="str">
        <f>IFERROR(__xludf.DUMMYFUNCTION("""COMPUTED_VALUE"""),"-")</f>
        <v>-</v>
      </c>
      <c r="K1607" s="6" t="str">
        <f>IFERROR(__xludf.DUMMYFUNCTION("""COMPUTED_VALUE"""),"SPR/02/25/050")</f>
        <v>SPR/02/25/050</v>
      </c>
      <c r="L1607" s="13">
        <f>IFERROR(__xludf.DUMMYFUNCTION("""COMPUTED_VALUE"""),45715.0)</f>
        <v>45715</v>
      </c>
    </row>
    <row r="1608">
      <c r="A1608" s="6" t="str">
        <f>IFERROR(__xludf.DUMMYFUNCTION("""COMPUTED_VALUE"""),"JON")</f>
        <v>JON</v>
      </c>
      <c r="B1608" s="6" t="str">
        <f>IFERROR(__xludf.DUMMYFUNCTION("""COMPUTED_VALUE"""),"ENG")</f>
        <v>ENG</v>
      </c>
      <c r="C1608" s="6" t="str">
        <f>IFERROR(__xludf.DUMMYFUNCTION("""COMPUTED_VALUE"""),"P-15852-00")</f>
        <v>P-15852-00</v>
      </c>
      <c r="D1608" s="6" t="str">
        <f>IFERROR(__xludf.DUMMYFUNCTION("""COMPUTED_VALUE"""),"AMPLAS EAGLE 500")</f>
        <v>AMPLAS EAGLE 500</v>
      </c>
      <c r="E1608" s="6">
        <f>IFERROR(__xludf.DUMMYFUNCTION("""COMPUTED_VALUE"""),1.0)</f>
        <v>1</v>
      </c>
      <c r="F1608" s="6">
        <f>IFERROR(__xludf.DUMMYFUNCTION("""COMPUTED_VALUE"""),1.0)</f>
        <v>1</v>
      </c>
      <c r="G1608" s="6">
        <f>IFERROR(__xludf.DUMMYFUNCTION("""COMPUTED_VALUE"""),0.0)</f>
        <v>0</v>
      </c>
      <c r="H1608" s="6" t="str">
        <f>IFERROR(__xludf.DUMMYFUNCTION("""COMPUTED_VALUE"""),"Pcs")</f>
        <v>Pcs</v>
      </c>
      <c r="I1608" s="6" t="str">
        <f>IFERROR(__xludf.DUMMYFUNCTION("""COMPUTED_VALUE"""),"RYP")</f>
        <v>RYP</v>
      </c>
      <c r="J1608" s="6" t="str">
        <f>IFERROR(__xludf.DUMMYFUNCTION("""COMPUTED_VALUE"""),"-")</f>
        <v>-</v>
      </c>
      <c r="K1608" s="6" t="str">
        <f>IFERROR(__xludf.DUMMYFUNCTION("""COMPUTED_VALUE"""),"SPR/02/25/050")</f>
        <v>SPR/02/25/050</v>
      </c>
      <c r="L1608" s="13">
        <f>IFERROR(__xludf.DUMMYFUNCTION("""COMPUTED_VALUE"""),45715.0)</f>
        <v>45715</v>
      </c>
    </row>
    <row r="1609">
      <c r="A1609" s="6" t="str">
        <f>IFERROR(__xludf.DUMMYFUNCTION("""COMPUTED_VALUE"""),"RIA")</f>
        <v>RIA</v>
      </c>
      <c r="B1609" s="6" t="str">
        <f>IFERROR(__xludf.DUMMYFUNCTION("""COMPUTED_VALUE"""),"ENG")</f>
        <v>ENG</v>
      </c>
      <c r="C1609" s="6" t="str">
        <f>IFERROR(__xludf.DUMMYFUNCTION("""COMPUTED_VALUE"""),"P-51559-00")</f>
        <v>P-51559-00</v>
      </c>
      <c r="D1609" s="6" t="str">
        <f>IFERROR(__xludf.DUMMYFUNCTION("""COMPUTED_VALUE"""),"Lampu T5 14watt Putih; Phillips; ;")</f>
        <v>Lampu T5 14watt Putih; Phillips; ;</v>
      </c>
      <c r="E1609" s="6">
        <f>IFERROR(__xludf.DUMMYFUNCTION("""COMPUTED_VALUE"""),4.0)</f>
        <v>4</v>
      </c>
      <c r="F1609" s="6">
        <f>IFERROR(__xludf.DUMMYFUNCTION("""COMPUTED_VALUE"""),4.0)</f>
        <v>4</v>
      </c>
      <c r="G1609" s="6">
        <f>IFERROR(__xludf.DUMMYFUNCTION("""COMPUTED_VALUE"""),0.0)</f>
        <v>0</v>
      </c>
      <c r="H1609" s="6" t="str">
        <f>IFERROR(__xludf.DUMMYFUNCTION("""COMPUTED_VALUE"""),"Pcs")</f>
        <v>Pcs</v>
      </c>
      <c r="I1609" s="6" t="str">
        <f>IFERROR(__xludf.DUMMYFUNCTION("""COMPUTED_VALUE"""),"RYP")</f>
        <v>RYP</v>
      </c>
      <c r="J1609" s="6" t="str">
        <f>IFERROR(__xludf.DUMMYFUNCTION("""COMPUTED_VALUE"""),"Building")</f>
        <v>Building</v>
      </c>
      <c r="K1609" s="6" t="str">
        <f>IFERROR(__xludf.DUMMYFUNCTION("""COMPUTED_VALUE"""),"SPR/02/25/051")</f>
        <v>SPR/02/25/051</v>
      </c>
      <c r="L1609" s="13">
        <f>IFERROR(__xludf.DUMMYFUNCTION("""COMPUTED_VALUE"""),45715.0)</f>
        <v>45715</v>
      </c>
    </row>
    <row r="1610">
      <c r="A1610" s="6" t="str">
        <f>IFERROR(__xludf.DUMMYFUNCTION("""COMPUTED_VALUE"""),"MRN")</f>
        <v>MRN</v>
      </c>
      <c r="B1610" s="6" t="str">
        <f>IFERROR(__xludf.DUMMYFUNCTION("""COMPUTED_VALUE"""),"ENG")</f>
        <v>ENG</v>
      </c>
      <c r="C1610" s="6" t="str">
        <f>IFERROR(__xludf.DUMMYFUNCTION("""COMPUTED_VALUE"""),"P-51560-00")</f>
        <v>P-51560-00</v>
      </c>
      <c r="D1610" s="6" t="str">
        <f>IFERROR(__xludf.DUMMYFUNCTION("""COMPUTED_VALUE"""),"Lampu T5 28watt Putih; Phillips; ;")</f>
        <v>Lampu T5 28watt Putih; Phillips; ;</v>
      </c>
      <c r="E1610" s="6">
        <f>IFERROR(__xludf.DUMMYFUNCTION("""COMPUTED_VALUE"""),2.0)</f>
        <v>2</v>
      </c>
      <c r="F1610" s="6">
        <f>IFERROR(__xludf.DUMMYFUNCTION("""COMPUTED_VALUE"""),2.0)</f>
        <v>2</v>
      </c>
      <c r="G1610" s="6">
        <f>IFERROR(__xludf.DUMMYFUNCTION("""COMPUTED_VALUE"""),0.0)</f>
        <v>0</v>
      </c>
      <c r="H1610" s="6" t="str">
        <f>IFERROR(__xludf.DUMMYFUNCTION("""COMPUTED_VALUE"""),"Pcs")</f>
        <v>Pcs</v>
      </c>
      <c r="I1610" s="6" t="str">
        <f>IFERROR(__xludf.DUMMYFUNCTION("""COMPUTED_VALUE"""),"RYP")</f>
        <v>RYP</v>
      </c>
      <c r="J1610" s="6" t="str">
        <f>IFERROR(__xludf.DUMMYFUNCTION("""COMPUTED_VALUE"""),"-")</f>
        <v>-</v>
      </c>
      <c r="K1610" s="6" t="str">
        <f>IFERROR(__xludf.DUMMYFUNCTION("""COMPUTED_VALUE"""),"SPR/02/25/052")</f>
        <v>SPR/02/25/052</v>
      </c>
      <c r="L1610" s="13">
        <f>IFERROR(__xludf.DUMMYFUNCTION("""COMPUTED_VALUE"""),45715.0)</f>
        <v>45715</v>
      </c>
    </row>
    <row r="1611">
      <c r="A1611" s="6" t="str">
        <f>IFERROR(__xludf.DUMMYFUNCTION("""COMPUTED_VALUE"""),"MRN")</f>
        <v>MRN</v>
      </c>
      <c r="B1611" s="6" t="str">
        <f>IFERROR(__xludf.DUMMYFUNCTION("""COMPUTED_VALUE"""),"ENG")</f>
        <v>ENG</v>
      </c>
      <c r="C1611" s="6" t="str">
        <f>IFERROR(__xludf.DUMMYFUNCTION("""COMPUTED_VALUE"""),"P-53169-00")</f>
        <v>P-53169-00</v>
      </c>
      <c r="D1611" s="6" t="str">
        <f>IFERROR(__xludf.DUMMYFUNCTION("""COMPUTED_VALUE"""),"Ballast Electronic EB-C 228 TL5, 2x28W; Phillips; ;")</f>
        <v>Ballast Electronic EB-C 228 TL5, 2x28W; Phillips; ;</v>
      </c>
      <c r="E1611" s="6">
        <f>IFERROR(__xludf.DUMMYFUNCTION("""COMPUTED_VALUE"""),1.0)</f>
        <v>1</v>
      </c>
      <c r="F1611" s="6">
        <f>IFERROR(__xludf.DUMMYFUNCTION("""COMPUTED_VALUE"""),1.0)</f>
        <v>1</v>
      </c>
      <c r="G1611" s="6">
        <f>IFERROR(__xludf.DUMMYFUNCTION("""COMPUTED_VALUE"""),0.0)</f>
        <v>0</v>
      </c>
      <c r="H1611" s="6" t="str">
        <f>IFERROR(__xludf.DUMMYFUNCTION("""COMPUTED_VALUE"""),"Pcs")</f>
        <v>Pcs</v>
      </c>
      <c r="I1611" s="6" t="str">
        <f>IFERROR(__xludf.DUMMYFUNCTION("""COMPUTED_VALUE"""),"RYP")</f>
        <v>RYP</v>
      </c>
      <c r="J1611" s="6" t="str">
        <f>IFERROR(__xludf.DUMMYFUNCTION("""COMPUTED_VALUE"""),"Ejo")</f>
        <v>Ejo</v>
      </c>
      <c r="K1611" s="6" t="str">
        <f>IFERROR(__xludf.DUMMYFUNCTION("""COMPUTED_VALUE"""),"SPR/02/25/052")</f>
        <v>SPR/02/25/052</v>
      </c>
      <c r="L1611" s="13">
        <f>IFERROR(__xludf.DUMMYFUNCTION("""COMPUTED_VALUE"""),45715.0)</f>
        <v>45715</v>
      </c>
    </row>
    <row r="1612">
      <c r="A1612" s="6" t="str">
        <f>IFERROR(__xludf.DUMMYFUNCTION("""COMPUTED_VALUE"""),"CHF")</f>
        <v>CHF</v>
      </c>
      <c r="B1612" s="6" t="str">
        <f>IFERROR(__xludf.DUMMYFUNCTION("""COMPUTED_VALUE"""),"ENG")</f>
        <v>ENG</v>
      </c>
      <c r="C1612" s="6" t="str">
        <f>IFERROR(__xludf.DUMMYFUNCTION("""COMPUTED_VALUE"""),"Q-10249-00")</f>
        <v>Q-10249-00</v>
      </c>
      <c r="D1612" s="6" t="str">
        <f>IFERROR(__xludf.DUMMYFUNCTION("""COMPUTED_VALUE"""),"Lem;Power Glue;;pack size per pcs")</f>
        <v>Lem;Power Glue;;pack size per pcs</v>
      </c>
      <c r="E1612" s="6">
        <f>IFERROR(__xludf.DUMMYFUNCTION("""COMPUTED_VALUE"""),1.0)</f>
        <v>1</v>
      </c>
      <c r="F1612" s="6" t="str">
        <f>IFERROR(__xludf.DUMMYFUNCTION("""COMPUTED_VALUE"""),"-")</f>
        <v>-</v>
      </c>
      <c r="G1612" s="6">
        <f>IFERROR(__xludf.DUMMYFUNCTION("""COMPUTED_VALUE"""),0.0)</f>
        <v>0</v>
      </c>
      <c r="H1612" s="6" t="str">
        <f>IFERROR(__xludf.DUMMYFUNCTION("""COMPUTED_VALUE"""),"Pcs")</f>
        <v>Pcs</v>
      </c>
      <c r="I1612" s="6" t="str">
        <f>IFERROR(__xludf.DUMMYFUNCTION("""COMPUTED_VALUE"""),"RYP")</f>
        <v>RYP</v>
      </c>
      <c r="J1612" s="6" t="str">
        <f>IFERROR(__xludf.DUMMYFUNCTION("""COMPUTED_VALUE"""),"Building")</f>
        <v>Building</v>
      </c>
      <c r="K1612" s="6" t="str">
        <f>IFERROR(__xludf.DUMMYFUNCTION("""COMPUTED_VALUE"""),"SPR/02/25/053")</f>
        <v>SPR/02/25/053</v>
      </c>
      <c r="L1612" s="13">
        <f>IFERROR(__xludf.DUMMYFUNCTION("""COMPUTED_VALUE"""),45715.0)</f>
        <v>45715</v>
      </c>
    </row>
    <row r="1613">
      <c r="A1613" s="6" t="str">
        <f>IFERROR(__xludf.DUMMYFUNCTION("""COMPUTED_VALUE"""),"CHF")</f>
        <v>CHF</v>
      </c>
      <c r="B1613" s="6" t="str">
        <f>IFERROR(__xludf.DUMMYFUNCTION("""COMPUTED_VALUE"""),"ENG")</f>
        <v>ENG</v>
      </c>
      <c r="C1613" s="6" t="str">
        <f>IFERROR(__xludf.DUMMYFUNCTION("""COMPUTED_VALUE"""),"Q-10377-00")</f>
        <v>Q-10377-00</v>
      </c>
      <c r="D1613" s="6" t="str">
        <f>IFERROR(__xludf.DUMMYFUNCTION("""COMPUTED_VALUE"""),"Door Seal Brush PVC Hitam Ukuran 100 x 2,5 cm; No Brand; ; pack size per pcs")</f>
        <v>Door Seal Brush PVC Hitam Ukuran 100 x 2,5 cm; No Brand; ; pack size per pcs</v>
      </c>
      <c r="E1613" s="6">
        <f>IFERROR(__xludf.DUMMYFUNCTION("""COMPUTED_VALUE"""),1.0)</f>
        <v>1</v>
      </c>
      <c r="F1613" s="6" t="str">
        <f>IFERROR(__xludf.DUMMYFUNCTION("""COMPUTED_VALUE"""),"-")</f>
        <v>-</v>
      </c>
      <c r="G1613" s="6">
        <f>IFERROR(__xludf.DUMMYFUNCTION("""COMPUTED_VALUE"""),0.0)</f>
        <v>0</v>
      </c>
      <c r="H1613" s="6" t="str">
        <f>IFERROR(__xludf.DUMMYFUNCTION("""COMPUTED_VALUE"""),"Pcs")</f>
        <v>Pcs</v>
      </c>
      <c r="I1613" s="6" t="str">
        <f>IFERROR(__xludf.DUMMYFUNCTION("""COMPUTED_VALUE"""),"RYP")</f>
        <v>RYP</v>
      </c>
      <c r="J1613" s="6" t="str">
        <f>IFERROR(__xludf.DUMMYFUNCTION("""COMPUTED_VALUE"""),"Building")</f>
        <v>Building</v>
      </c>
      <c r="K1613" s="6" t="str">
        <f>IFERROR(__xludf.DUMMYFUNCTION("""COMPUTED_VALUE"""),"SPR/02/25/053")</f>
        <v>SPR/02/25/053</v>
      </c>
      <c r="L1613" s="13">
        <f>IFERROR(__xludf.DUMMYFUNCTION("""COMPUTED_VALUE"""),45715.0)</f>
        <v>45715</v>
      </c>
    </row>
    <row r="1614">
      <c r="A1614" s="6" t="str">
        <f>IFERROR(__xludf.DUMMYFUNCTION("""COMPUTED_VALUE"""),"RMA")</f>
        <v>RMA</v>
      </c>
      <c r="B1614" s="6" t="str">
        <f>IFERROR(__xludf.DUMMYFUNCTION("""COMPUTED_VALUE"""),"ENG")</f>
        <v>ENG</v>
      </c>
      <c r="C1614" s="6" t="str">
        <f>IFERROR(__xludf.DUMMYFUNCTION("""COMPUTED_VALUE"""),"O-15931-00")</f>
        <v>O-15931-00</v>
      </c>
      <c r="D1614" s="6" t="str">
        <f>IFERROR(__xludf.DUMMYFUNCTION("""COMPUTED_VALUE"""),"Double Tape 3M 1"" Merah - P/N : - pc")</f>
        <v>Double Tape 3M 1" Merah - P/N : - pc</v>
      </c>
      <c r="E1614" s="6">
        <f>IFERROR(__xludf.DUMMYFUNCTION("""COMPUTED_VALUE"""),1.0)</f>
        <v>1</v>
      </c>
      <c r="F1614" s="6">
        <f>IFERROR(__xludf.DUMMYFUNCTION("""COMPUTED_VALUE"""),1.0)</f>
        <v>1</v>
      </c>
      <c r="G1614" s="6">
        <f>IFERROR(__xludf.DUMMYFUNCTION("""COMPUTED_VALUE"""),0.0)</f>
        <v>0</v>
      </c>
      <c r="H1614" s="6" t="str">
        <f>IFERROR(__xludf.DUMMYFUNCTION("""COMPUTED_VALUE"""),"Pcs")</f>
        <v>Pcs</v>
      </c>
      <c r="I1614" s="6" t="str">
        <f>IFERROR(__xludf.DUMMYFUNCTION("""COMPUTED_VALUE"""),"RYP")</f>
        <v>RYP</v>
      </c>
      <c r="J1614" s="6" t="str">
        <f>IFERROR(__xludf.DUMMYFUNCTION("""COMPUTED_VALUE"""),"Ejo")</f>
        <v>Ejo</v>
      </c>
      <c r="K1614" s="6" t="str">
        <f>IFERROR(__xludf.DUMMYFUNCTION("""COMPUTED_VALUE"""),"SPR/02/25/054")</f>
        <v>SPR/02/25/054</v>
      </c>
      <c r="L1614" s="13">
        <f>IFERROR(__xludf.DUMMYFUNCTION("""COMPUTED_VALUE"""),45715.0)</f>
        <v>45715</v>
      </c>
    </row>
    <row r="1615">
      <c r="A1615" s="6" t="str">
        <f>IFERROR(__xludf.DUMMYFUNCTION("""COMPUTED_VALUE"""),"SHF")</f>
        <v>SHF</v>
      </c>
      <c r="B1615" s="6" t="str">
        <f>IFERROR(__xludf.DUMMYFUNCTION("""COMPUTED_VALUE"""),"ENG")</f>
        <v>ENG</v>
      </c>
      <c r="C1615" s="6" t="str">
        <f>IFERROR(__xludf.DUMMYFUNCTION("""COMPUTED_VALUE"""),"P-53102-00")</f>
        <v>P-53102-00</v>
      </c>
      <c r="D1615" s="6" t="str">
        <f>IFERROR(__xludf.DUMMYFUNCTION("""COMPUTED_VALUE"""),"Lampu PLC 13watt/E27 Putih; Phillips; ;")</f>
        <v>Lampu PLC 13watt/E27 Putih; Phillips; ;</v>
      </c>
      <c r="E1615" s="6">
        <f>IFERROR(__xludf.DUMMYFUNCTION("""COMPUTED_VALUE"""),2.0)</f>
        <v>2</v>
      </c>
      <c r="F1615" s="6" t="str">
        <f>IFERROR(__xludf.DUMMYFUNCTION("""COMPUTED_VALUE"""),"-")</f>
        <v>-</v>
      </c>
      <c r="G1615" s="6">
        <f>IFERROR(__xludf.DUMMYFUNCTION("""COMPUTED_VALUE"""),0.0)</f>
        <v>0</v>
      </c>
      <c r="H1615" s="6" t="str">
        <f>IFERROR(__xludf.DUMMYFUNCTION("""COMPUTED_VALUE"""),"Pcs")</f>
        <v>Pcs</v>
      </c>
      <c r="I1615" s="6" t="str">
        <f>IFERROR(__xludf.DUMMYFUNCTION("""COMPUTED_VALUE"""),"RYP")</f>
        <v>RYP</v>
      </c>
      <c r="J1615" s="6" t="str">
        <f>IFERROR(__xludf.DUMMYFUNCTION("""COMPUTED_VALUE"""),"Building")</f>
        <v>Building</v>
      </c>
      <c r="K1615" s="6" t="str">
        <f>IFERROR(__xludf.DUMMYFUNCTION("""COMPUTED_VALUE"""),"SPR/02/25/055")</f>
        <v>SPR/02/25/055</v>
      </c>
      <c r="L1615" s="13">
        <f>IFERROR(__xludf.DUMMYFUNCTION("""COMPUTED_VALUE"""),45715.0)</f>
        <v>45715</v>
      </c>
    </row>
    <row r="1616">
      <c r="A1616" s="6" t="str">
        <f>IFERROR(__xludf.DUMMYFUNCTION("""COMPUTED_VALUE"""),"ROS")</f>
        <v>ROS</v>
      </c>
      <c r="B1616" s="6" t="str">
        <f>IFERROR(__xludf.DUMMYFUNCTION("""COMPUTED_VALUE"""),"ENG")</f>
        <v>ENG</v>
      </c>
      <c r="C1616" s="6" t="str">
        <f>IFERROR(__xludf.DUMMYFUNCTION("""COMPUTED_VALUE"""),"P-12764-00")</f>
        <v>P-12764-00</v>
      </c>
      <c r="D1616" s="6" t="str">
        <f>IFERROR(__xludf.DUMMYFUNCTION("""COMPUTED_VALUE"""),"Silicone gasket for ferrule dia 1/2inch Taiwan")</f>
        <v>Silicone gasket for ferrule dia 1/2inch Taiwan</v>
      </c>
      <c r="E1616" s="6">
        <f>IFERROR(__xludf.DUMMYFUNCTION("""COMPUTED_VALUE"""),10.0)</f>
        <v>10</v>
      </c>
      <c r="F1616" s="6" t="str">
        <f>IFERROR(__xludf.DUMMYFUNCTION("""COMPUTED_VALUE"""),"-")</f>
        <v>-</v>
      </c>
      <c r="G1616" s="6">
        <f>IFERROR(__xludf.DUMMYFUNCTION("""COMPUTED_VALUE"""),0.0)</f>
        <v>0</v>
      </c>
      <c r="H1616" s="6" t="str">
        <f>IFERROR(__xludf.DUMMYFUNCTION("""COMPUTED_VALUE"""),"Pcs")</f>
        <v>Pcs</v>
      </c>
      <c r="I1616" s="6" t="str">
        <f>IFERROR(__xludf.DUMMYFUNCTION("""COMPUTED_VALUE"""),"RYP")</f>
        <v>RYP</v>
      </c>
      <c r="J1616" s="6" t="str">
        <f>IFERROR(__xludf.DUMMYFUNCTION("""COMPUTED_VALUE"""),"GMP Waster")</f>
        <v>GMP Waster</v>
      </c>
      <c r="K1616" s="6" t="str">
        <f>IFERROR(__xludf.DUMMYFUNCTION("""COMPUTED_VALUE"""),"SPR/02/25/056")</f>
        <v>SPR/02/25/056</v>
      </c>
      <c r="L1616" s="13">
        <f>IFERROR(__xludf.DUMMYFUNCTION("""COMPUTED_VALUE"""),45715.0)</f>
        <v>45715</v>
      </c>
    </row>
    <row r="1617">
      <c r="A1617" s="6" t="str">
        <f>IFERROR(__xludf.DUMMYFUNCTION("""COMPUTED_VALUE"""),"ROS")</f>
        <v>ROS</v>
      </c>
      <c r="B1617" s="6" t="str">
        <f>IFERROR(__xludf.DUMMYFUNCTION("""COMPUTED_VALUE"""),"ENG")</f>
        <v>ENG</v>
      </c>
      <c r="C1617" s="6" t="str">
        <f>IFERROR(__xludf.DUMMYFUNCTION("""COMPUTED_VALUE"""),"-")</f>
        <v>-</v>
      </c>
      <c r="D1617" s="6" t="str">
        <f>IFERROR(__xludf.DUMMYFUNCTION("""COMPUTED_VALUE"""),"Gasket Ferrule ³/⁴")</f>
        <v>Gasket Ferrule ³/⁴</v>
      </c>
      <c r="E1617" s="6">
        <f>IFERROR(__xludf.DUMMYFUNCTION("""COMPUTED_VALUE"""),5.0)</f>
        <v>5</v>
      </c>
      <c r="F1617" s="6">
        <f>IFERROR(__xludf.DUMMYFUNCTION("""COMPUTED_VALUE"""),5.0)</f>
        <v>5</v>
      </c>
      <c r="G1617" s="6">
        <f>IFERROR(__xludf.DUMMYFUNCTION("""COMPUTED_VALUE"""),0.0)</f>
        <v>0</v>
      </c>
      <c r="H1617" s="6" t="str">
        <f>IFERROR(__xludf.DUMMYFUNCTION("""COMPUTED_VALUE"""),"Pcs")</f>
        <v>Pcs</v>
      </c>
      <c r="I1617" s="6" t="str">
        <f>IFERROR(__xludf.DUMMYFUNCTION("""COMPUTED_VALUE"""),"RYP")</f>
        <v>RYP</v>
      </c>
      <c r="J1617" s="6" t="str">
        <f>IFERROR(__xludf.DUMMYFUNCTION("""COMPUTED_VALUE"""),"Mixing")</f>
        <v>Mixing</v>
      </c>
      <c r="K1617" s="6" t="str">
        <f>IFERROR(__xludf.DUMMYFUNCTION("""COMPUTED_VALUE"""),"SPR/02/25/056")</f>
        <v>SPR/02/25/056</v>
      </c>
      <c r="L1617" s="13">
        <f>IFERROR(__xludf.DUMMYFUNCTION("""COMPUTED_VALUE"""),45715.0)</f>
        <v>45715</v>
      </c>
    </row>
    <row r="1618">
      <c r="A1618" s="6" t="str">
        <f>IFERROR(__xludf.DUMMYFUNCTION("""COMPUTED_VALUE"""),"ANO")</f>
        <v>ANO</v>
      </c>
      <c r="B1618" s="6" t="str">
        <f>IFERROR(__xludf.DUMMYFUNCTION("""COMPUTED_VALUE"""),"ENG")</f>
        <v>ENG</v>
      </c>
      <c r="C1618" s="6" t="str">
        <f>IFERROR(__xludf.DUMMYFUNCTION("""COMPUTED_VALUE"""),"P-15852-00")</f>
        <v>P-15852-00</v>
      </c>
      <c r="D1618" s="6" t="str">
        <f>IFERROR(__xludf.DUMMYFUNCTION("""COMPUTED_VALUE"""),"AMPLAS EAGLE 500")</f>
        <v>AMPLAS EAGLE 500</v>
      </c>
      <c r="E1618" s="6">
        <f>IFERROR(__xludf.DUMMYFUNCTION("""COMPUTED_VALUE"""),1.0)</f>
        <v>1</v>
      </c>
      <c r="F1618" s="6">
        <f>IFERROR(__xludf.DUMMYFUNCTION("""COMPUTED_VALUE"""),1.0)</f>
        <v>1</v>
      </c>
      <c r="G1618" s="6">
        <f>IFERROR(__xludf.DUMMYFUNCTION("""COMPUTED_VALUE"""),0.0)</f>
        <v>0</v>
      </c>
      <c r="H1618" s="6" t="str">
        <f>IFERROR(__xludf.DUMMYFUNCTION("""COMPUTED_VALUE"""),"Pcs")</f>
        <v>Pcs</v>
      </c>
      <c r="I1618" s="6" t="str">
        <f>IFERROR(__xludf.DUMMYFUNCTION("""COMPUTED_VALUE"""),"RYP")</f>
        <v>RYP</v>
      </c>
      <c r="J1618" s="6" t="str">
        <f>IFERROR(__xludf.DUMMYFUNCTION("""COMPUTED_VALUE"""),"Capping")</f>
        <v>Capping</v>
      </c>
      <c r="K1618" s="6" t="str">
        <f>IFERROR(__xludf.DUMMYFUNCTION("""COMPUTED_VALUE"""),"SPR/02/25/057")</f>
        <v>SPR/02/25/057</v>
      </c>
      <c r="L1618" s="13">
        <f>IFERROR(__xludf.DUMMYFUNCTION("""COMPUTED_VALUE"""),45715.0)</f>
        <v>45715</v>
      </c>
    </row>
    <row r="1619">
      <c r="A1619" s="6" t="str">
        <f>IFERROR(__xludf.DUMMYFUNCTION("""COMPUTED_VALUE"""),"MOB")</f>
        <v>MOB</v>
      </c>
      <c r="B1619" s="6" t="str">
        <f>IFERROR(__xludf.DUMMYFUNCTION("""COMPUTED_VALUE"""),"ENG")</f>
        <v>ENG</v>
      </c>
      <c r="C1619" s="6" t="str">
        <f>IFERROR(__xludf.DUMMYFUNCTION("""COMPUTED_VALUE"""),"P-12818-00")</f>
        <v>P-12818-00</v>
      </c>
      <c r="D1619" s="6" t="str">
        <f>IFERROR(__xludf.DUMMYFUNCTION("""COMPUTED_VALUE"""),"Sock PVC AW dia 1inch")</f>
        <v>Sock PVC AW dia 1inch</v>
      </c>
      <c r="E1619" s="6">
        <f>IFERROR(__xludf.DUMMYFUNCTION("""COMPUTED_VALUE"""),2.0)</f>
        <v>2</v>
      </c>
      <c r="F1619" s="6">
        <f>IFERROR(__xludf.DUMMYFUNCTION("""COMPUTED_VALUE"""),2.0)</f>
        <v>2</v>
      </c>
      <c r="G1619" s="6">
        <f>IFERROR(__xludf.DUMMYFUNCTION("""COMPUTED_VALUE"""),0.0)</f>
        <v>0</v>
      </c>
      <c r="H1619" s="6" t="str">
        <f>IFERROR(__xludf.DUMMYFUNCTION("""COMPUTED_VALUE"""),"Pcs")</f>
        <v>Pcs</v>
      </c>
      <c r="I1619" s="6" t="str">
        <f>IFERROR(__xludf.DUMMYFUNCTION("""COMPUTED_VALUE"""),"RYP")</f>
        <v>RYP</v>
      </c>
      <c r="J1619" s="6" t="str">
        <f>IFERROR(__xludf.DUMMYFUNCTION("""COMPUTED_VALUE"""),"Building")</f>
        <v>Building</v>
      </c>
      <c r="K1619" s="6" t="str">
        <f>IFERROR(__xludf.DUMMYFUNCTION("""COMPUTED_VALUE"""),"SPR/02/25/058")</f>
        <v>SPR/02/25/058</v>
      </c>
      <c r="L1619" s="13">
        <f>IFERROR(__xludf.DUMMYFUNCTION("""COMPUTED_VALUE"""),45715.0)</f>
        <v>45715</v>
      </c>
    </row>
    <row r="1620">
      <c r="A1620" s="6" t="str">
        <f>IFERROR(__xludf.DUMMYFUNCTION("""COMPUTED_VALUE"""),"MOB")</f>
        <v>MOB</v>
      </c>
      <c r="B1620" s="6" t="str">
        <f>IFERROR(__xludf.DUMMYFUNCTION("""COMPUTED_VALUE"""),"ENG")</f>
        <v>ENG</v>
      </c>
      <c r="C1620" s="6" t="str">
        <f>IFERROR(__xludf.DUMMYFUNCTION("""COMPUTED_VALUE"""),"P-10860-00")</f>
        <v>P-10860-00</v>
      </c>
      <c r="D1620" s="6" t="str">
        <f>IFERROR(__xludf.DUMMYFUNCTION("""COMPUTED_VALUE"""),"Fitting PVC - Elbow PVC 1""")</f>
        <v>Fitting PVC - Elbow PVC 1"</v>
      </c>
      <c r="E1620" s="6">
        <f>IFERROR(__xludf.DUMMYFUNCTION("""COMPUTED_VALUE"""),1.0)</f>
        <v>1</v>
      </c>
      <c r="F1620" s="6">
        <f>IFERROR(__xludf.DUMMYFUNCTION("""COMPUTED_VALUE"""),1.0)</f>
        <v>1</v>
      </c>
      <c r="G1620" s="6">
        <f>IFERROR(__xludf.DUMMYFUNCTION("""COMPUTED_VALUE"""),0.0)</f>
        <v>0</v>
      </c>
      <c r="H1620" s="6" t="str">
        <f>IFERROR(__xludf.DUMMYFUNCTION("""COMPUTED_VALUE"""),"Pcs")</f>
        <v>Pcs</v>
      </c>
      <c r="I1620" s="6" t="str">
        <f>IFERROR(__xludf.DUMMYFUNCTION("""COMPUTED_VALUE"""),"RYP")</f>
        <v>RYP</v>
      </c>
      <c r="J1620" s="6" t="str">
        <f>IFERROR(__xludf.DUMMYFUNCTION("""COMPUTED_VALUE"""),"Building")</f>
        <v>Building</v>
      </c>
      <c r="K1620" s="6" t="str">
        <f>IFERROR(__xludf.DUMMYFUNCTION("""COMPUTED_VALUE"""),"SPR/02/25/058")</f>
        <v>SPR/02/25/058</v>
      </c>
      <c r="L1620" s="13">
        <f>IFERROR(__xludf.DUMMYFUNCTION("""COMPUTED_VALUE"""),45715.0)</f>
        <v>45715</v>
      </c>
    </row>
    <row r="1621">
      <c r="A1621" s="6" t="str">
        <f>IFERROR(__xludf.DUMMYFUNCTION("""COMPUTED_VALUE"""),"MAP")</f>
        <v>MAP</v>
      </c>
      <c r="B1621" s="6" t="str">
        <f>IFERROR(__xludf.DUMMYFUNCTION("""COMPUTED_VALUE"""),"ENG")</f>
        <v>ENG</v>
      </c>
      <c r="C1621" s="6" t="str">
        <f>IFERROR(__xludf.DUMMYFUNCTION("""COMPUTED_VALUE"""),"O-15931-00")</f>
        <v>O-15931-00</v>
      </c>
      <c r="D1621" s="6" t="str">
        <f>IFERROR(__xludf.DUMMYFUNCTION("""COMPUTED_VALUE"""),"Double Tape 3M 1"" Merah - P/N : - pc")</f>
        <v>Double Tape 3M 1" Merah - P/N : - pc</v>
      </c>
      <c r="E1621" s="6">
        <f>IFERROR(__xludf.DUMMYFUNCTION("""COMPUTED_VALUE"""),1.0)</f>
        <v>1</v>
      </c>
      <c r="F1621" s="6">
        <f>IFERROR(__xludf.DUMMYFUNCTION("""COMPUTED_VALUE"""),1.0)</f>
        <v>1</v>
      </c>
      <c r="G1621" s="6">
        <f>IFERROR(__xludf.DUMMYFUNCTION("""COMPUTED_VALUE"""),0.0)</f>
        <v>0</v>
      </c>
      <c r="H1621" s="6" t="str">
        <f>IFERROR(__xludf.DUMMYFUNCTION("""COMPUTED_VALUE"""),"Pcs")</f>
        <v>Pcs</v>
      </c>
      <c r="I1621" s="6" t="str">
        <f>IFERROR(__xludf.DUMMYFUNCTION("""COMPUTED_VALUE"""),"RYP")</f>
        <v>RYP</v>
      </c>
      <c r="J1621" s="6" t="str">
        <f>IFERROR(__xludf.DUMMYFUNCTION("""COMPUTED_VALUE"""),"-")</f>
        <v>-</v>
      </c>
      <c r="K1621" s="6" t="str">
        <f>IFERROR(__xludf.DUMMYFUNCTION("""COMPUTED_VALUE"""),"SPR/02/25/059")</f>
        <v>SPR/02/25/059</v>
      </c>
      <c r="L1621" s="13">
        <f>IFERROR(__xludf.DUMMYFUNCTION("""COMPUTED_VALUE"""),45715.0)</f>
        <v>45715</v>
      </c>
    </row>
    <row r="1622">
      <c r="A1622" s="6" t="str">
        <f>IFERROR(__xludf.DUMMYFUNCTION("""COMPUTED_VALUE"""),"NDS")</f>
        <v>NDS</v>
      </c>
      <c r="B1622" s="6" t="str">
        <f>IFERROR(__xludf.DUMMYFUNCTION("""COMPUTED_VALUE"""),"ENG")</f>
        <v>ENG</v>
      </c>
      <c r="C1622" s="6" t="str">
        <f>IFERROR(__xludf.DUMMYFUNCTION("""COMPUTED_VALUE"""),"-")</f>
        <v>-</v>
      </c>
      <c r="D1622" s="6" t="str">
        <f>IFERROR(__xludf.DUMMYFUNCTION("""COMPUTED_VALUE"""),"Baut M6")</f>
        <v>Baut M6</v>
      </c>
      <c r="E1622" s="6">
        <f>IFERROR(__xludf.DUMMYFUNCTION("""COMPUTED_VALUE"""),4.0)</f>
        <v>4</v>
      </c>
      <c r="F1622" s="6">
        <f>IFERROR(__xludf.DUMMYFUNCTION("""COMPUTED_VALUE"""),4.0)</f>
        <v>4</v>
      </c>
      <c r="G1622" s="6">
        <f>IFERROR(__xludf.DUMMYFUNCTION("""COMPUTED_VALUE"""),0.0)</f>
        <v>0</v>
      </c>
      <c r="H1622" s="6" t="str">
        <f>IFERROR(__xludf.DUMMYFUNCTION("""COMPUTED_VALUE"""),"Pcs")</f>
        <v>Pcs</v>
      </c>
      <c r="I1622" s="6" t="str">
        <f>IFERROR(__xludf.DUMMYFUNCTION("""COMPUTED_VALUE"""),"RYP")</f>
        <v>RYP</v>
      </c>
      <c r="J1622" s="6" t="str">
        <f>IFERROR(__xludf.DUMMYFUNCTION("""COMPUTED_VALUE"""),"Tableting")</f>
        <v>Tableting</v>
      </c>
      <c r="K1622" s="6" t="str">
        <f>IFERROR(__xludf.DUMMYFUNCTION("""COMPUTED_VALUE"""),"SPR/02/25/060")</f>
        <v>SPR/02/25/060</v>
      </c>
      <c r="L1622" s="13">
        <f>IFERROR(__xludf.DUMMYFUNCTION("""COMPUTED_VALUE"""),45715.0)</f>
        <v>45715</v>
      </c>
    </row>
    <row r="1623">
      <c r="A1623" s="6" t="str">
        <f>IFERROR(__xludf.DUMMYFUNCTION("""COMPUTED_VALUE"""),"MOB")</f>
        <v>MOB</v>
      </c>
      <c r="B1623" s="6" t="str">
        <f>IFERROR(__xludf.DUMMYFUNCTION("""COMPUTED_VALUE"""),"ENG")</f>
        <v>ENG</v>
      </c>
      <c r="C1623" s="6" t="str">
        <f>IFERROR(__xludf.DUMMYFUNCTION("""COMPUTED_VALUE"""),"P-14424-00")</f>
        <v>P-14424-00</v>
      </c>
      <c r="D1623" s="6" t="str">
        <f>IFERROR(__xludf.DUMMYFUNCTION("""COMPUTED_VALUE"""),"Garam Kutreat RGN-9800F; ; ; 25Kg/zak")</f>
        <v>Garam Kutreat RGN-9800F; ; ; 25Kg/zak</v>
      </c>
      <c r="E1623" s="6">
        <f>IFERROR(__xludf.DUMMYFUNCTION("""COMPUTED_VALUE"""),25.0)</f>
        <v>25</v>
      </c>
      <c r="F1623" s="6">
        <f>IFERROR(__xludf.DUMMYFUNCTION("""COMPUTED_VALUE"""),25.0)</f>
        <v>25</v>
      </c>
      <c r="G1623" s="6">
        <f>IFERROR(__xludf.DUMMYFUNCTION("""COMPUTED_VALUE"""),0.0)</f>
        <v>0</v>
      </c>
      <c r="H1623" s="6" t="str">
        <f>IFERROR(__xludf.DUMMYFUNCTION("""COMPUTED_VALUE"""),"1×6")</f>
        <v>1×6</v>
      </c>
      <c r="I1623" s="6" t="str">
        <f>IFERROR(__xludf.DUMMYFUNCTION("""COMPUTED_VALUE"""),"RYP ")</f>
        <v>RYP </v>
      </c>
      <c r="J1623" s="6" t="str">
        <f>IFERROR(__xludf.DUMMYFUNCTION("""COMPUTED_VALUE"""),"PWG")</f>
        <v>PWG</v>
      </c>
      <c r="K1623" s="6" t="str">
        <f>IFERROR(__xludf.DUMMYFUNCTION("""COMPUTED_VALUE"""),"SPR/02/25/061")</f>
        <v>SPR/02/25/061</v>
      </c>
      <c r="L1623" s="13">
        <f>IFERROR(__xludf.DUMMYFUNCTION("""COMPUTED_VALUE"""),45715.0)</f>
        <v>45715</v>
      </c>
    </row>
    <row r="1624">
      <c r="A1624" s="6" t="str">
        <f>IFERROR(__xludf.DUMMYFUNCTION("""COMPUTED_VALUE"""),"MOB")</f>
        <v>MOB</v>
      </c>
      <c r="B1624" s="6" t="str">
        <f>IFERROR(__xludf.DUMMYFUNCTION("""COMPUTED_VALUE"""),"ENG")</f>
        <v>ENG</v>
      </c>
      <c r="C1624" s="6" t="str">
        <f>IFERROR(__xludf.DUMMYFUNCTION("""COMPUTED_VALUE"""),"Q-10572-00")</f>
        <v>Q-10572-00</v>
      </c>
      <c r="D1624" s="6" t="str">
        <f>IFERROR(__xludf.DUMMYFUNCTION("""COMPUTED_VALUE"""),"Lampu LED Tube TL T8 16W 1200 mm;Philips;;pack size per pcs")</f>
        <v>Lampu LED Tube TL T8 16W 1200 mm;Philips;;pack size per pcs</v>
      </c>
      <c r="E1624" s="6">
        <f>IFERROR(__xludf.DUMMYFUNCTION("""COMPUTED_VALUE"""),1.0)</f>
        <v>1</v>
      </c>
      <c r="F1624" s="6">
        <f>IFERROR(__xludf.DUMMYFUNCTION("""COMPUTED_VALUE"""),1.0)</f>
        <v>1</v>
      </c>
      <c r="G1624" s="6">
        <f>IFERROR(__xludf.DUMMYFUNCTION("""COMPUTED_VALUE"""),0.0)</f>
        <v>0</v>
      </c>
      <c r="H1624" s="6" t="str">
        <f>IFERROR(__xludf.DUMMYFUNCTION("""COMPUTED_VALUE"""),"Pcs ")</f>
        <v>Pcs </v>
      </c>
      <c r="I1624" s="6" t="str">
        <f>IFERROR(__xludf.DUMMYFUNCTION("""COMPUTED_VALUE"""),"RYP ")</f>
        <v>RYP </v>
      </c>
      <c r="J1624" s="6" t="str">
        <f>IFERROR(__xludf.DUMMYFUNCTION("""COMPUTED_VALUE"""),"Washing")</f>
        <v>Washing</v>
      </c>
      <c r="K1624" s="6" t="str">
        <f>IFERROR(__xludf.DUMMYFUNCTION("""COMPUTED_VALUE"""),"SPR/02/25/061")</f>
        <v>SPR/02/25/061</v>
      </c>
      <c r="L1624" s="13">
        <f>IFERROR(__xludf.DUMMYFUNCTION("""COMPUTED_VALUE"""),45715.0)</f>
        <v>45715</v>
      </c>
    </row>
    <row r="1625">
      <c r="A1625" s="6" t="str">
        <f>IFERROR(__xludf.DUMMYFUNCTION("""COMPUTED_VALUE"""),"MRA")</f>
        <v>MRA</v>
      </c>
      <c r="B1625" s="6" t="str">
        <f>IFERROR(__xludf.DUMMYFUNCTION("""COMPUTED_VALUE"""),"ENG")</f>
        <v>ENG</v>
      </c>
      <c r="C1625" s="6" t="str">
        <f>IFERROR(__xludf.DUMMYFUNCTION("""COMPUTED_VALUE"""),"-")</f>
        <v>-</v>
      </c>
      <c r="D1625" s="6" t="str">
        <f>IFERROR(__xludf.DUMMYFUNCTION("""COMPUTED_VALUE"""),"Baterai Emergency")</f>
        <v>Baterai Emergency</v>
      </c>
      <c r="E1625" s="6">
        <f>IFERROR(__xludf.DUMMYFUNCTION("""COMPUTED_VALUE"""),3.0)</f>
        <v>3</v>
      </c>
      <c r="F1625" s="6">
        <f>IFERROR(__xludf.DUMMYFUNCTION("""COMPUTED_VALUE"""),3.0)</f>
        <v>3</v>
      </c>
      <c r="G1625" s="6">
        <f>IFERROR(__xludf.DUMMYFUNCTION("""COMPUTED_VALUE"""),0.0)</f>
        <v>0</v>
      </c>
      <c r="H1625" s="6" t="str">
        <f>IFERROR(__xludf.DUMMYFUNCTION("""COMPUTED_VALUE"""),"Pcs ")</f>
        <v>Pcs </v>
      </c>
      <c r="I1625" s="6" t="str">
        <f>IFERROR(__xludf.DUMMYFUNCTION("""COMPUTED_VALUE"""),"RYP ")</f>
        <v>RYP </v>
      </c>
      <c r="J1625" s="6" t="str">
        <f>IFERROR(__xludf.DUMMYFUNCTION("""COMPUTED_VALUE"""),"Building")</f>
        <v>Building</v>
      </c>
      <c r="K1625" s="6" t="str">
        <f>IFERROR(__xludf.DUMMYFUNCTION("""COMPUTED_VALUE"""),"SPR/02/25/062")</f>
        <v>SPR/02/25/062</v>
      </c>
      <c r="L1625" s="13">
        <f>IFERROR(__xludf.DUMMYFUNCTION("""COMPUTED_VALUE"""),45715.0)</f>
        <v>45715</v>
      </c>
    </row>
    <row r="1626">
      <c r="A1626" s="6" t="str">
        <f>IFERROR(__xludf.DUMMYFUNCTION("""COMPUTED_VALUE"""),"MRA")</f>
        <v>MRA</v>
      </c>
      <c r="B1626" s="6" t="str">
        <f>IFERROR(__xludf.DUMMYFUNCTION("""COMPUTED_VALUE"""),"ENG")</f>
        <v>ENG</v>
      </c>
      <c r="C1626" s="6" t="str">
        <f>IFERROR(__xludf.DUMMYFUNCTION("""COMPUTED_VALUE"""),"P-51559-00")</f>
        <v>P-51559-00</v>
      </c>
      <c r="D1626" s="6" t="str">
        <f>IFERROR(__xludf.DUMMYFUNCTION("""COMPUTED_VALUE"""),"Lampu T5 14watt Putih; Phillips; ;")</f>
        <v>Lampu T5 14watt Putih; Phillips; ;</v>
      </c>
      <c r="E1626" s="6">
        <f>IFERROR(__xludf.DUMMYFUNCTION("""COMPUTED_VALUE"""),4.0)</f>
        <v>4</v>
      </c>
      <c r="F1626" s="6">
        <f>IFERROR(__xludf.DUMMYFUNCTION("""COMPUTED_VALUE"""),4.0)</f>
        <v>4</v>
      </c>
      <c r="G1626" s="6">
        <f>IFERROR(__xludf.DUMMYFUNCTION("""COMPUTED_VALUE"""),0.0)</f>
        <v>0</v>
      </c>
      <c r="H1626" s="6" t="str">
        <f>IFERROR(__xludf.DUMMYFUNCTION("""COMPUTED_VALUE"""),"Pcs")</f>
        <v>Pcs</v>
      </c>
      <c r="I1626" s="6" t="str">
        <f>IFERROR(__xludf.DUMMYFUNCTION("""COMPUTED_VALUE"""),"RYP ")</f>
        <v>RYP </v>
      </c>
      <c r="J1626" s="6" t="str">
        <f>IFERROR(__xludf.DUMMYFUNCTION("""COMPUTED_VALUE"""),"Building")</f>
        <v>Building</v>
      </c>
      <c r="K1626" s="6" t="str">
        <f>IFERROR(__xludf.DUMMYFUNCTION("""COMPUTED_VALUE"""),"SPR/02/25/062")</f>
        <v>SPR/02/25/062</v>
      </c>
      <c r="L1626" s="13">
        <f>IFERROR(__xludf.DUMMYFUNCTION("""COMPUTED_VALUE"""),45715.0)</f>
        <v>45715</v>
      </c>
    </row>
    <row r="1627">
      <c r="A1627" s="6" t="str">
        <f>IFERROR(__xludf.DUMMYFUNCTION("""COMPUTED_VALUE"""),"ANO")</f>
        <v>ANO</v>
      </c>
      <c r="B1627" s="6" t="str">
        <f>IFERROR(__xludf.DUMMYFUNCTION("""COMPUTED_VALUE"""),"ENG")</f>
        <v>ENG</v>
      </c>
      <c r="C1627" s="6" t="str">
        <f>IFERROR(__xludf.DUMMYFUNCTION("""COMPUTED_VALUE"""),"O-16647-00")</f>
        <v>O-16647-00</v>
      </c>
      <c r="D1627" s="6" t="str">
        <f>IFERROR(__xludf.DUMMYFUNCTION("""COMPUTED_VALUE"""),"Washing RAR4 - Oring Silicone Merah 23x18x2.5 mm; ; ;")</f>
        <v>Washing RAR4 - Oring Silicone Merah 23x18x2.5 mm; ; ;</v>
      </c>
      <c r="E1627" s="6">
        <f>IFERROR(__xludf.DUMMYFUNCTION("""COMPUTED_VALUE"""),10.0)</f>
        <v>10</v>
      </c>
      <c r="F1627" s="6">
        <f>IFERROR(__xludf.DUMMYFUNCTION("""COMPUTED_VALUE"""),10.0)</f>
        <v>10</v>
      </c>
      <c r="G1627" s="6">
        <f>IFERROR(__xludf.DUMMYFUNCTION("""COMPUTED_VALUE"""),0.0)</f>
        <v>0</v>
      </c>
      <c r="H1627" s="6" t="str">
        <f>IFERROR(__xludf.DUMMYFUNCTION("""COMPUTED_VALUE"""),"Pcs")</f>
        <v>Pcs</v>
      </c>
      <c r="I1627" s="6" t="str">
        <f>IFERROR(__xludf.DUMMYFUNCTION("""COMPUTED_VALUE"""),"RYP")</f>
        <v>RYP</v>
      </c>
      <c r="J1627" s="6" t="str">
        <f>IFERROR(__xludf.DUMMYFUNCTION("""COMPUTED_VALUE"""),"Capping")</f>
        <v>Capping</v>
      </c>
      <c r="K1627" s="6" t="str">
        <f>IFERROR(__xludf.DUMMYFUNCTION("""COMPUTED_VALUE"""),"SPR/02/25/063")</f>
        <v>SPR/02/25/063</v>
      </c>
      <c r="L1627" s="13">
        <f>IFERROR(__xludf.DUMMYFUNCTION("""COMPUTED_VALUE"""),45715.0)</f>
        <v>45715</v>
      </c>
    </row>
    <row r="1628">
      <c r="A1628" s="6" t="str">
        <f>IFERROR(__xludf.DUMMYFUNCTION("""COMPUTED_VALUE"""),"RIA")</f>
        <v>RIA</v>
      </c>
      <c r="B1628" s="6" t="str">
        <f>IFERROR(__xludf.DUMMYFUNCTION("""COMPUTED_VALUE"""),"ENG")</f>
        <v>ENG</v>
      </c>
      <c r="C1628" s="6" t="str">
        <f>IFERROR(__xludf.DUMMYFUNCTION("""COMPUTED_VALUE"""),"-")</f>
        <v>-</v>
      </c>
      <c r="D1628" s="6" t="str">
        <f>IFERROR(__xludf.DUMMYFUNCTION("""COMPUTED_VALUE"""),"Power Module PM240-2 3 KW ")</f>
        <v>Power Module PM240-2 3 KW </v>
      </c>
      <c r="E1628" s="6">
        <f>IFERROR(__xludf.DUMMYFUNCTION("""COMPUTED_VALUE"""),1.0)</f>
        <v>1</v>
      </c>
      <c r="F1628" s="6">
        <f>IFERROR(__xludf.DUMMYFUNCTION("""COMPUTED_VALUE"""),1.0)</f>
        <v>1</v>
      </c>
      <c r="G1628" s="6">
        <f>IFERROR(__xludf.DUMMYFUNCTION("""COMPUTED_VALUE"""),0.0)</f>
        <v>0</v>
      </c>
      <c r="H1628" s="6" t="str">
        <f>IFERROR(__xludf.DUMMYFUNCTION("""COMPUTED_VALUE"""),"Pcs")</f>
        <v>Pcs</v>
      </c>
      <c r="I1628" s="6" t="str">
        <f>IFERROR(__xludf.DUMMYFUNCTION("""COMPUTED_VALUE"""),"RYP")</f>
        <v>RYP</v>
      </c>
      <c r="J1628" s="6" t="str">
        <f>IFERROR(__xludf.DUMMYFUNCTION("""COMPUTED_VALUE"""),"PSG")</f>
        <v>PSG</v>
      </c>
      <c r="K1628" s="6" t="str">
        <f>IFERROR(__xludf.DUMMYFUNCTION("""COMPUTED_VALUE"""),"SPR/02/25/064")</f>
        <v>SPR/02/25/064</v>
      </c>
      <c r="L1628" s="13">
        <f>IFERROR(__xludf.DUMMYFUNCTION("""COMPUTED_VALUE"""),45716.0)</f>
        <v>45716</v>
      </c>
    </row>
    <row r="1629">
      <c r="A1629" s="6" t="str">
        <f>IFERROR(__xludf.DUMMYFUNCTION("""COMPUTED_VALUE"""),"NDS")</f>
        <v>NDS</v>
      </c>
      <c r="B1629" s="6" t="str">
        <f>IFERROR(__xludf.DUMMYFUNCTION("""COMPUTED_VALUE"""),"ENG")</f>
        <v>ENG</v>
      </c>
      <c r="C1629" s="6" t="str">
        <f>IFERROR(__xludf.DUMMYFUNCTION("""COMPUTED_VALUE"""),"P-18472-00")</f>
        <v>P-18472-00</v>
      </c>
      <c r="D1629" s="6" t="str">
        <f>IFERROR(__xludf.DUMMYFUNCTION("""COMPUTED_VALUE"""),"Thermostatic Steam Trap LV6-CE DN20 Stainless Steel; TLV; ;")</f>
        <v>Thermostatic Steam Trap LV6-CE DN20 Stainless Steel; TLV; ;</v>
      </c>
      <c r="E1629" s="6">
        <f>IFERROR(__xludf.DUMMYFUNCTION("""COMPUTED_VALUE"""),1.0)</f>
        <v>1</v>
      </c>
      <c r="F1629" s="6">
        <f>IFERROR(__xludf.DUMMYFUNCTION("""COMPUTED_VALUE"""),2.0)</f>
        <v>2</v>
      </c>
      <c r="G1629" s="6">
        <f>IFERROR(__xludf.DUMMYFUNCTION("""COMPUTED_VALUE"""),0.0)</f>
        <v>0</v>
      </c>
      <c r="H1629" s="6" t="str">
        <f>IFERROR(__xludf.DUMMYFUNCTION("""COMPUTED_VALUE"""),"Pcs")</f>
        <v>Pcs</v>
      </c>
      <c r="I1629" s="6" t="str">
        <f>IFERROR(__xludf.DUMMYFUNCTION("""COMPUTED_VALUE"""),"RYP")</f>
        <v>RYP</v>
      </c>
      <c r="J1629" s="6" t="str">
        <f>IFERROR(__xludf.DUMMYFUNCTION("""COMPUTED_VALUE"""),"cRABS")</f>
        <v>cRABS</v>
      </c>
      <c r="K1629" s="6" t="str">
        <f>IFERROR(__xludf.DUMMYFUNCTION("""COMPUTED_VALUE"""),"SPR/02/25/065")</f>
        <v>SPR/02/25/065</v>
      </c>
      <c r="L1629" s="13">
        <f>IFERROR(__xludf.DUMMYFUNCTION("""COMPUTED_VALUE"""),45716.0)</f>
        <v>45716</v>
      </c>
    </row>
    <row r="1630">
      <c r="A1630" s="6" t="str">
        <f>IFERROR(__xludf.DUMMYFUNCTION("""COMPUTED_VALUE"""),"STU")</f>
        <v>STU</v>
      </c>
      <c r="B1630" s="6" t="str">
        <f>IFERROR(__xludf.DUMMYFUNCTION("""COMPUTED_VALUE"""),"ENG")</f>
        <v>ENG</v>
      </c>
      <c r="C1630" s="6" t="str">
        <f>IFERROR(__xludf.DUMMYFUNCTION("""COMPUTED_VALUE"""),"P-51560-00")</f>
        <v>P-51560-00</v>
      </c>
      <c r="D1630" s="6" t="str">
        <f>IFERROR(__xludf.DUMMYFUNCTION("""COMPUTED_VALUE"""),"Lampu T5 28watt Putih; Phillips; ;")</f>
        <v>Lampu T5 28watt Putih; Phillips; ;</v>
      </c>
      <c r="E1630" s="6">
        <f>IFERROR(__xludf.DUMMYFUNCTION("""COMPUTED_VALUE"""),1.0)</f>
        <v>1</v>
      </c>
      <c r="F1630" s="6">
        <f>IFERROR(__xludf.DUMMYFUNCTION("""COMPUTED_VALUE"""),1.0)</f>
        <v>1</v>
      </c>
      <c r="G1630" s="6">
        <f>IFERROR(__xludf.DUMMYFUNCTION("""COMPUTED_VALUE"""),0.0)</f>
        <v>0</v>
      </c>
      <c r="H1630" s="6" t="str">
        <f>IFERROR(__xludf.DUMMYFUNCTION("""COMPUTED_VALUE"""),"Pcs")</f>
        <v>Pcs</v>
      </c>
      <c r="I1630" s="6" t="str">
        <f>IFERROR(__xludf.DUMMYFUNCTION("""COMPUTED_VALUE"""),"RYP")</f>
        <v>RYP</v>
      </c>
      <c r="J1630" s="6" t="str">
        <f>IFERROR(__xludf.DUMMYFUNCTION("""COMPUTED_VALUE"""),"Building")</f>
        <v>Building</v>
      </c>
      <c r="K1630" s="6" t="str">
        <f>IFERROR(__xludf.DUMMYFUNCTION("""COMPUTED_VALUE"""),"SPR/02/25/066")</f>
        <v>SPR/02/25/066</v>
      </c>
      <c r="L1630" s="13">
        <f>IFERROR(__xludf.DUMMYFUNCTION("""COMPUTED_VALUE"""),45716.0)</f>
        <v>45716</v>
      </c>
    </row>
    <row r="1631">
      <c r="A1631" s="6" t="str">
        <f>IFERROR(__xludf.DUMMYFUNCTION("""COMPUTED_VALUE"""),"STU")</f>
        <v>STU</v>
      </c>
      <c r="B1631" s="6" t="str">
        <f>IFERROR(__xludf.DUMMYFUNCTION("""COMPUTED_VALUE"""),"ENG")</f>
        <v>ENG</v>
      </c>
      <c r="C1631" s="6" t="str">
        <f>IFERROR(__xludf.DUMMYFUNCTION("""COMPUTED_VALUE"""),"P-51559-00")</f>
        <v>P-51559-00</v>
      </c>
      <c r="D1631" s="6" t="str">
        <f>IFERROR(__xludf.DUMMYFUNCTION("""COMPUTED_VALUE"""),"Lampu T5 14watt Putih; Phillips; ;")</f>
        <v>Lampu T5 14watt Putih; Phillips; ;</v>
      </c>
      <c r="E1631" s="6">
        <f>IFERROR(__xludf.DUMMYFUNCTION("""COMPUTED_VALUE"""),3.0)</f>
        <v>3</v>
      </c>
      <c r="F1631" s="6">
        <f>IFERROR(__xludf.DUMMYFUNCTION("""COMPUTED_VALUE"""),3.0)</f>
        <v>3</v>
      </c>
      <c r="G1631" s="6">
        <f>IFERROR(__xludf.DUMMYFUNCTION("""COMPUTED_VALUE"""),0.0)</f>
        <v>0</v>
      </c>
      <c r="H1631" s="6" t="str">
        <f>IFERROR(__xludf.DUMMYFUNCTION("""COMPUTED_VALUE"""),"Pcs")</f>
        <v>Pcs</v>
      </c>
      <c r="I1631" s="6" t="str">
        <f>IFERROR(__xludf.DUMMYFUNCTION("""COMPUTED_VALUE"""),"RYP ")</f>
        <v>RYP </v>
      </c>
      <c r="J1631" s="6" t="str">
        <f>IFERROR(__xludf.DUMMYFUNCTION("""COMPUTED_VALUE"""),"Building")</f>
        <v>Building</v>
      </c>
      <c r="K1631" s="6" t="str">
        <f>IFERROR(__xludf.DUMMYFUNCTION("""COMPUTED_VALUE"""),"SPR/02/25/066")</f>
        <v>SPR/02/25/066</v>
      </c>
      <c r="L1631" s="13">
        <f>IFERROR(__xludf.DUMMYFUNCTION("""COMPUTED_VALUE"""),45716.0)</f>
        <v>45716</v>
      </c>
    </row>
    <row r="1632">
      <c r="A1632" s="6" t="str">
        <f>IFERROR(__xludf.DUMMYFUNCTION("""COMPUTED_VALUE"""),"STU")</f>
        <v>STU</v>
      </c>
      <c r="B1632" s="6" t="str">
        <f>IFERROR(__xludf.DUMMYFUNCTION("""COMPUTED_VALUE"""),"ENG")</f>
        <v>ENG</v>
      </c>
      <c r="C1632" s="6" t="str">
        <f>IFERROR(__xludf.DUMMYFUNCTION("""COMPUTED_VALUE"""),"Q-10249-00")</f>
        <v>Q-10249-00</v>
      </c>
      <c r="D1632" s="6" t="str">
        <f>IFERROR(__xludf.DUMMYFUNCTION("""COMPUTED_VALUE"""),"Lem;Power Glue;;pack size per pcs")</f>
        <v>Lem;Power Glue;;pack size per pcs</v>
      </c>
      <c r="E1632" s="6">
        <f>IFERROR(__xludf.DUMMYFUNCTION("""COMPUTED_VALUE"""),1.0)</f>
        <v>1</v>
      </c>
      <c r="F1632" s="6">
        <f>IFERROR(__xludf.DUMMYFUNCTION("""COMPUTED_VALUE"""),1.0)</f>
        <v>1</v>
      </c>
      <c r="G1632" s="6">
        <f>IFERROR(__xludf.DUMMYFUNCTION("""COMPUTED_VALUE"""),0.0)</f>
        <v>0</v>
      </c>
      <c r="H1632" s="6" t="str">
        <f>IFERROR(__xludf.DUMMYFUNCTION("""COMPUTED_VALUE"""),"Pcs")</f>
        <v>Pcs</v>
      </c>
      <c r="I1632" s="6" t="str">
        <f>IFERROR(__xludf.DUMMYFUNCTION("""COMPUTED_VALUE"""),"RYP ")</f>
        <v>RYP </v>
      </c>
      <c r="J1632" s="6" t="str">
        <f>IFERROR(__xludf.DUMMYFUNCTION("""COMPUTED_VALUE"""),"Building")</f>
        <v>Building</v>
      </c>
      <c r="K1632" s="6" t="str">
        <f>IFERROR(__xludf.DUMMYFUNCTION("""COMPUTED_VALUE"""),"SPR/02/25/066")</f>
        <v>SPR/02/25/066</v>
      </c>
      <c r="L1632" s="13">
        <f>IFERROR(__xludf.DUMMYFUNCTION("""COMPUTED_VALUE"""),45716.0)</f>
        <v>45716</v>
      </c>
    </row>
    <row r="1633">
      <c r="A1633" s="6" t="str">
        <f>IFERROR(__xludf.DUMMYFUNCTION("""COMPUTED_VALUE"""),"ROS")</f>
        <v>ROS</v>
      </c>
      <c r="B1633" s="6" t="str">
        <f>IFERROR(__xludf.DUMMYFUNCTION("""COMPUTED_VALUE"""),"ENG")</f>
        <v>ENG</v>
      </c>
      <c r="C1633" s="6" t="str">
        <f>IFERROR(__xludf.DUMMYFUNCTION("""COMPUTED_VALUE"""),"P-13383-00")</f>
        <v>P-13383-00</v>
      </c>
      <c r="D1633" s="6" t="str">
        <f>IFERROR(__xludf.DUMMYFUNCTION("""COMPUTED_VALUE"""),"Silicone Sealant High Temp Red; ; ;")</f>
        <v>Silicone Sealant High Temp Red; ; ;</v>
      </c>
      <c r="E1633" s="6">
        <f>IFERROR(__xludf.DUMMYFUNCTION("""COMPUTED_VALUE"""),1.0)</f>
        <v>1</v>
      </c>
      <c r="F1633" s="6">
        <f>IFERROR(__xludf.DUMMYFUNCTION("""COMPUTED_VALUE"""),1.0)</f>
        <v>1</v>
      </c>
      <c r="G1633" s="6">
        <f>IFERROR(__xludf.DUMMYFUNCTION("""COMPUTED_VALUE"""),0.0)</f>
        <v>0</v>
      </c>
      <c r="H1633" s="6" t="str">
        <f>IFERROR(__xludf.DUMMYFUNCTION("""COMPUTED_VALUE"""),"Pcs")</f>
        <v>Pcs</v>
      </c>
      <c r="I1633" s="6" t="str">
        <f>IFERROR(__xludf.DUMMYFUNCTION("""COMPUTED_VALUE"""),"RYP")</f>
        <v>RYP</v>
      </c>
      <c r="J1633" s="6" t="str">
        <f>IFERROR(__xludf.DUMMYFUNCTION("""COMPUTED_VALUE"""),"Filling")</f>
        <v>Filling</v>
      </c>
      <c r="K1633" s="6" t="str">
        <f>IFERROR(__xludf.DUMMYFUNCTION("""COMPUTED_VALUE"""),"SPR/02/25/067")</f>
        <v>SPR/02/25/067</v>
      </c>
      <c r="L1633" s="13">
        <f>IFERROR(__xludf.DUMMYFUNCTION("""COMPUTED_VALUE"""),45716.0)</f>
        <v>45716</v>
      </c>
    </row>
    <row r="1634">
      <c r="A1634" s="6" t="str">
        <f>IFERROR(__xludf.DUMMYFUNCTION("""COMPUTED_VALUE"""),"ROS")</f>
        <v>ROS</v>
      </c>
      <c r="B1634" s="6" t="str">
        <f>IFERROR(__xludf.DUMMYFUNCTION("""COMPUTED_VALUE"""),"ENG")</f>
        <v>ENG</v>
      </c>
      <c r="C1634" s="6" t="str">
        <f>IFERROR(__xludf.DUMMYFUNCTION("""COMPUTED_VALUE"""),"Q-60502-00")</f>
        <v>Q-60502-00</v>
      </c>
      <c r="D1634" s="6" t="str">
        <f>IFERROR(__xludf.DUMMYFUNCTION("""COMPUTED_VALUE"""),"Silicone Sealant;Silglaze;Type N10 White;pack size per pcs")</f>
        <v>Silicone Sealant;Silglaze;Type N10 White;pack size per pcs</v>
      </c>
      <c r="E1634" s="6">
        <f>IFERROR(__xludf.DUMMYFUNCTION("""COMPUTED_VALUE"""),1.0)</f>
        <v>1</v>
      </c>
      <c r="F1634" s="6">
        <f>IFERROR(__xludf.DUMMYFUNCTION("""COMPUTED_VALUE"""),1.0)</f>
        <v>1</v>
      </c>
      <c r="G1634" s="6">
        <f>IFERROR(__xludf.DUMMYFUNCTION("""COMPUTED_VALUE"""),0.0)</f>
        <v>0</v>
      </c>
      <c r="H1634" s="6" t="str">
        <f>IFERROR(__xludf.DUMMYFUNCTION("""COMPUTED_VALUE"""),"Pcs")</f>
        <v>Pcs</v>
      </c>
      <c r="I1634" s="6" t="str">
        <f>IFERROR(__xludf.DUMMYFUNCTION("""COMPUTED_VALUE"""),"RYP")</f>
        <v>RYP</v>
      </c>
      <c r="J1634" s="6" t="str">
        <f>IFERROR(__xludf.DUMMYFUNCTION("""COMPUTED_VALUE"""),"Filling")</f>
        <v>Filling</v>
      </c>
      <c r="K1634" s="6" t="str">
        <f>IFERROR(__xludf.DUMMYFUNCTION("""COMPUTED_VALUE"""),"SPR/02/25/067")</f>
        <v>SPR/02/25/067</v>
      </c>
      <c r="L1634" s="13">
        <f>IFERROR(__xludf.DUMMYFUNCTION("""COMPUTED_VALUE"""),45716.0)</f>
        <v>45716</v>
      </c>
    </row>
    <row r="1635">
      <c r="A1635" s="6" t="str">
        <f>IFERROR(__xludf.DUMMYFUNCTION("""COMPUTED_VALUE"""),"ROS")</f>
        <v>ROS</v>
      </c>
      <c r="B1635" s="6" t="str">
        <f>IFERROR(__xludf.DUMMYFUNCTION("""COMPUTED_VALUE"""),"ENG")</f>
        <v>ENG</v>
      </c>
      <c r="C1635" s="6" t="str">
        <f>IFERROR(__xludf.DUMMYFUNCTION("""COMPUTED_VALUE"""),"T-80109-00")</f>
        <v>T-80109-00</v>
      </c>
      <c r="D1635" s="6" t="str">
        <f>IFERROR(__xludf.DUMMYFUNCTION("""COMPUTED_VALUE"""),"Cellotape Kertas 1 inch warna Putih")</f>
        <v>Cellotape Kertas 1 inch warna Putih</v>
      </c>
      <c r="E1635" s="6">
        <f>IFERROR(__xludf.DUMMYFUNCTION("""COMPUTED_VALUE"""),1.0)</f>
        <v>1</v>
      </c>
      <c r="F1635" s="6">
        <f>IFERROR(__xludf.DUMMYFUNCTION("""COMPUTED_VALUE"""),1.0)</f>
        <v>1</v>
      </c>
      <c r="G1635" s="6">
        <f>IFERROR(__xludf.DUMMYFUNCTION("""COMPUTED_VALUE"""),0.0)</f>
        <v>0</v>
      </c>
      <c r="H1635" s="6" t="str">
        <f>IFERROR(__xludf.DUMMYFUNCTION("""COMPUTED_VALUE"""),"Pcs")</f>
        <v>Pcs</v>
      </c>
      <c r="I1635" s="6" t="str">
        <f>IFERROR(__xludf.DUMMYFUNCTION("""COMPUTED_VALUE"""),"RYP")</f>
        <v>RYP</v>
      </c>
      <c r="J1635" s="6" t="str">
        <f>IFERROR(__xludf.DUMMYFUNCTION("""COMPUTED_VALUE"""),"Filling")</f>
        <v>Filling</v>
      </c>
      <c r="K1635" s="6" t="str">
        <f>IFERROR(__xludf.DUMMYFUNCTION("""COMPUTED_VALUE"""),"SPR/02/25/067")</f>
        <v>SPR/02/25/067</v>
      </c>
      <c r="L1635" s="13">
        <f>IFERROR(__xludf.DUMMYFUNCTION("""COMPUTED_VALUE"""),45716.0)</f>
        <v>45716</v>
      </c>
    </row>
    <row r="1636">
      <c r="A1636" s="6" t="str">
        <f>IFERROR(__xludf.DUMMYFUNCTION("""COMPUTED_VALUE"""),"MRN")</f>
        <v>MRN</v>
      </c>
      <c r="B1636" s="6" t="str">
        <f>IFERROR(__xludf.DUMMYFUNCTION("""COMPUTED_VALUE"""),"ENG")</f>
        <v>ENG</v>
      </c>
      <c r="C1636" s="6" t="str">
        <f>IFERROR(__xludf.DUMMYFUNCTION("""COMPUTED_VALUE"""),"P-50717-00")</f>
        <v>P-50717-00</v>
      </c>
      <c r="D1636" s="6" t="str">
        <f>IFERROR(__xludf.DUMMYFUNCTION("""COMPUTED_VALUE"""),"Kabel UTP 4 pairs Cat 6 merk BELDEN")</f>
        <v>Kabel UTP 4 pairs Cat 6 merk BELDEN</v>
      </c>
      <c r="E1636" s="6">
        <f>IFERROR(__xludf.DUMMYFUNCTION("""COMPUTED_VALUE"""),200.0)</f>
        <v>200</v>
      </c>
      <c r="F1636" s="6">
        <f>IFERROR(__xludf.DUMMYFUNCTION("""COMPUTED_VALUE"""),200.0)</f>
        <v>200</v>
      </c>
      <c r="G1636" s="6">
        <f>IFERROR(__xludf.DUMMYFUNCTION("""COMPUTED_VALUE"""),0.0)</f>
        <v>0</v>
      </c>
      <c r="H1636" s="6" t="str">
        <f>IFERROR(__xludf.DUMMYFUNCTION("""COMPUTED_VALUE"""),"Mtr")</f>
        <v>Mtr</v>
      </c>
      <c r="I1636" s="6" t="str">
        <f>IFERROR(__xludf.DUMMYFUNCTION("""COMPUTED_VALUE"""),"RYP")</f>
        <v>RYP</v>
      </c>
      <c r="J1636" s="6" t="str">
        <f>IFERROR(__xludf.DUMMYFUNCTION("""COMPUTED_VALUE"""),"Building")</f>
        <v>Building</v>
      </c>
      <c r="K1636" s="6" t="str">
        <f>IFERROR(__xludf.DUMMYFUNCTION("""COMPUTED_VALUE"""),"SPR/02/25/068")</f>
        <v>SPR/02/25/068</v>
      </c>
      <c r="L1636" s="13">
        <f>IFERROR(__xludf.DUMMYFUNCTION("""COMPUTED_VALUE"""),45716.0)</f>
        <v>45716</v>
      </c>
    </row>
    <row r="1637">
      <c r="A1637" s="6" t="str">
        <f>IFERROR(__xludf.DUMMYFUNCTION("""COMPUTED_VALUE"""),"RIA")</f>
        <v>RIA</v>
      </c>
      <c r="B1637" s="6" t="str">
        <f>IFERROR(__xludf.DUMMYFUNCTION("""COMPUTED_VALUE"""),"ENG")</f>
        <v>ENG</v>
      </c>
      <c r="C1637" s="6" t="str">
        <f>IFERROR(__xludf.DUMMYFUNCTION("""COMPUTED_VALUE"""),"-")</f>
        <v>-</v>
      </c>
      <c r="D1637" s="6" t="str">
        <f>IFERROR(__xludf.DUMMYFUNCTION("""COMPUTED_VALUE"""),"Thermocontroll TK45- 14 SN")</f>
        <v>Thermocontroll TK45- 14 SN</v>
      </c>
      <c r="E1637" s="6">
        <f>IFERROR(__xludf.DUMMYFUNCTION("""COMPUTED_VALUE"""),1.0)</f>
        <v>1</v>
      </c>
      <c r="F1637" s="6">
        <f>IFERROR(__xludf.DUMMYFUNCTION("""COMPUTED_VALUE"""),1.0)</f>
        <v>1</v>
      </c>
      <c r="G1637" s="6">
        <f>IFERROR(__xludf.DUMMYFUNCTION("""COMPUTED_VALUE"""),0.0)</f>
        <v>0</v>
      </c>
      <c r="H1637" s="6" t="str">
        <f>IFERROR(__xludf.DUMMYFUNCTION("""COMPUTED_VALUE"""),"Pcs")</f>
        <v>Pcs</v>
      </c>
      <c r="I1637" s="6" t="str">
        <f>IFERROR(__xludf.DUMMYFUNCTION("""COMPUTED_VALUE"""),"RYP")</f>
        <v>RYP</v>
      </c>
      <c r="J1637" s="6" t="str">
        <f>IFERROR(__xludf.DUMMYFUNCTION("""COMPUTED_VALUE"""),"Deep Freezer")</f>
        <v>Deep Freezer</v>
      </c>
      <c r="K1637" s="6" t="str">
        <f>IFERROR(__xludf.DUMMYFUNCTION("""COMPUTED_VALUE"""),"SPR/02/25/069")</f>
        <v>SPR/02/25/069</v>
      </c>
      <c r="L1637" s="13">
        <f>IFERROR(__xludf.DUMMYFUNCTION("""COMPUTED_VALUE"""),45716.0)</f>
        <v>45716</v>
      </c>
    </row>
    <row r="1638">
      <c r="A1638" s="6" t="str">
        <f>IFERROR(__xludf.DUMMYFUNCTION("""COMPUTED_VALUE"""),"RIA")</f>
        <v>RIA</v>
      </c>
      <c r="B1638" s="6" t="str">
        <f>IFERROR(__xludf.DUMMYFUNCTION("""COMPUTED_VALUE"""),"ENG")</f>
        <v>ENG</v>
      </c>
      <c r="C1638" s="6" t="str">
        <f>IFERROR(__xludf.DUMMYFUNCTION("""COMPUTED_VALUE"""),"O-53032-00")</f>
        <v>O-53032-00</v>
      </c>
      <c r="D1638" s="6" t="str">
        <f>IFERROR(__xludf.DUMMYFUNCTION("""COMPUTED_VALUE"""),"Cable Temperature Sensor Silicone 1,5m PT1000 QAP2012.150")</f>
        <v>Cable Temperature Sensor Silicone 1,5m PT1000 QAP2012.150</v>
      </c>
      <c r="E1638" s="6">
        <f>IFERROR(__xludf.DUMMYFUNCTION("""COMPUTED_VALUE"""),1.0)</f>
        <v>1</v>
      </c>
      <c r="F1638" s="6">
        <f>IFERROR(__xludf.DUMMYFUNCTION("""COMPUTED_VALUE"""),1.0)</f>
        <v>1</v>
      </c>
      <c r="G1638" s="6">
        <f>IFERROR(__xludf.DUMMYFUNCTION("""COMPUTED_VALUE"""),0.0)</f>
        <v>0</v>
      </c>
      <c r="H1638" s="6" t="str">
        <f>IFERROR(__xludf.DUMMYFUNCTION("""COMPUTED_VALUE"""),"Pcs")</f>
        <v>Pcs</v>
      </c>
      <c r="I1638" s="6" t="str">
        <f>IFERROR(__xludf.DUMMYFUNCTION("""COMPUTED_VALUE"""),"RYP")</f>
        <v>RYP</v>
      </c>
      <c r="J1638" s="6" t="str">
        <f>IFERROR(__xludf.DUMMYFUNCTION("""COMPUTED_VALUE"""),"Deep Freezer")</f>
        <v>Deep Freezer</v>
      </c>
      <c r="K1638" s="6" t="str">
        <f>IFERROR(__xludf.DUMMYFUNCTION("""COMPUTED_VALUE"""),"SPR/02/25/069")</f>
        <v>SPR/02/25/069</v>
      </c>
      <c r="L1638" s="13">
        <f>IFERROR(__xludf.DUMMYFUNCTION("""COMPUTED_VALUE"""),45716.0)</f>
        <v>45716</v>
      </c>
    </row>
    <row r="1639">
      <c r="A1639" s="6" t="str">
        <f>IFERROR(__xludf.DUMMYFUNCTION("""COMPUTED_VALUE"""),"RIA")</f>
        <v>RIA</v>
      </c>
      <c r="B1639" s="6" t="str">
        <f>IFERROR(__xludf.DUMMYFUNCTION("""COMPUTED_VALUE"""),"ENG")</f>
        <v>ENG</v>
      </c>
      <c r="C1639" s="6" t="str">
        <f>IFERROR(__xludf.DUMMYFUNCTION("""COMPUTED_VALUE"""),"O-51967-00")</f>
        <v>O-51967-00</v>
      </c>
      <c r="D1639" s="6" t="str">
        <f>IFERROR(__xludf.DUMMYFUNCTION("""COMPUTED_VALUE"""),"Solid State Relay 3-32 VDC - 330 VAC 25 A; ; ;")</f>
        <v>Solid State Relay 3-32 VDC - 330 VAC 25 A; ; ;</v>
      </c>
      <c r="E1639" s="6">
        <f>IFERROR(__xludf.DUMMYFUNCTION("""COMPUTED_VALUE"""),1.0)</f>
        <v>1</v>
      </c>
      <c r="F1639" s="6">
        <f>IFERROR(__xludf.DUMMYFUNCTION("""COMPUTED_VALUE"""),1.0)</f>
        <v>1</v>
      </c>
      <c r="G1639" s="6">
        <f>IFERROR(__xludf.DUMMYFUNCTION("""COMPUTED_VALUE"""),0.0)</f>
        <v>0</v>
      </c>
      <c r="H1639" s="6" t="str">
        <f>IFERROR(__xludf.DUMMYFUNCTION("""COMPUTED_VALUE"""),"Pcs")</f>
        <v>Pcs</v>
      </c>
      <c r="I1639" s="6" t="str">
        <f>IFERROR(__xludf.DUMMYFUNCTION("""COMPUTED_VALUE"""),"RYP")</f>
        <v>RYP</v>
      </c>
      <c r="J1639" s="6" t="str">
        <f>IFERROR(__xludf.DUMMYFUNCTION("""COMPUTED_VALUE"""),"Deep Freezer")</f>
        <v>Deep Freezer</v>
      </c>
      <c r="K1639" s="6" t="str">
        <f>IFERROR(__xludf.DUMMYFUNCTION("""COMPUTED_VALUE"""),"SPR/02/25/069")</f>
        <v>SPR/02/25/069</v>
      </c>
      <c r="L1639" s="13">
        <f>IFERROR(__xludf.DUMMYFUNCTION("""COMPUTED_VALUE"""),45716.0)</f>
        <v>45716</v>
      </c>
    </row>
    <row r="1640">
      <c r="A1640" s="6" t="str">
        <f>IFERROR(__xludf.DUMMYFUNCTION("""COMPUTED_VALUE"""),"ANO")</f>
        <v>ANO</v>
      </c>
      <c r="B1640" s="6" t="str">
        <f>IFERROR(__xludf.DUMMYFUNCTION("""COMPUTED_VALUE"""),"ENG")</f>
        <v>ENG</v>
      </c>
      <c r="C1640" s="6" t="str">
        <f>IFERROR(__xludf.DUMMYFUNCTION("""COMPUTED_VALUE"""),"P-51027-00")</f>
        <v>P-51027-00</v>
      </c>
      <c r="D1640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640" s="6">
        <f>IFERROR(__xludf.DUMMYFUNCTION("""COMPUTED_VALUE"""),1.0)</f>
        <v>1</v>
      </c>
      <c r="F1640" s="6">
        <f>IFERROR(__xludf.DUMMYFUNCTION("""COMPUTED_VALUE"""),1.0)</f>
        <v>1</v>
      </c>
      <c r="G1640" s="6">
        <f>IFERROR(__xludf.DUMMYFUNCTION("""COMPUTED_VALUE"""),0.0)</f>
        <v>0</v>
      </c>
      <c r="H1640" s="6" t="str">
        <f>IFERROR(__xludf.DUMMYFUNCTION("""COMPUTED_VALUE"""),"Pxs")</f>
        <v>Pxs</v>
      </c>
      <c r="I1640" s="6" t="str">
        <f>IFERROR(__xludf.DUMMYFUNCTION("""COMPUTED_VALUE"""),"RYP")</f>
        <v>RYP</v>
      </c>
      <c r="J1640" s="6" t="str">
        <f>IFERROR(__xludf.DUMMYFUNCTION("""COMPUTED_VALUE"""),"-")</f>
        <v>-</v>
      </c>
      <c r="K1640" s="6" t="str">
        <f>IFERROR(__xludf.DUMMYFUNCTION("""COMPUTED_VALUE"""),"SPR/02/25/070")</f>
        <v>SPR/02/25/070</v>
      </c>
      <c r="L1640" s="13">
        <f>IFERROR(__xludf.DUMMYFUNCTION("""COMPUTED_VALUE"""),45716.0)</f>
        <v>45716</v>
      </c>
    </row>
    <row r="1641">
      <c r="A1641" s="6" t="str">
        <f>IFERROR(__xludf.DUMMYFUNCTION("""COMPUTED_VALUE"""),"SHF")</f>
        <v>SHF</v>
      </c>
      <c r="B1641" s="6" t="str">
        <f>IFERROR(__xludf.DUMMYFUNCTION("""COMPUTED_VALUE"""),"ENG")</f>
        <v>ENG</v>
      </c>
      <c r="C1641" s="6" t="str">
        <f>IFERROR(__xludf.DUMMYFUNCTION("""COMPUTED_VALUE"""),"O-15489-00")</f>
        <v>O-15489-00</v>
      </c>
      <c r="D1641" s="6" t="str">
        <f>IFERROR(__xludf.DUMMYFUNCTION("""COMPUTED_VALUE"""),"SPA 1120 Brand : Optibelt / Bando Merah; Optibelt; ;")</f>
        <v>SPA 1120 Brand : Optibelt / Bando Merah; Optibelt; ;</v>
      </c>
      <c r="E1641" s="6">
        <f>IFERROR(__xludf.DUMMYFUNCTION("""COMPUTED_VALUE"""),1.0)</f>
        <v>1</v>
      </c>
      <c r="F1641" s="6">
        <f>IFERROR(__xludf.DUMMYFUNCTION("""COMPUTED_VALUE"""),1.0)</f>
        <v>1</v>
      </c>
      <c r="G1641" s="6">
        <f>IFERROR(__xludf.DUMMYFUNCTION("""COMPUTED_VALUE"""),0.0)</f>
        <v>0</v>
      </c>
      <c r="H1641" s="6" t="str">
        <f>IFERROR(__xludf.DUMMYFUNCTION("""COMPUTED_VALUE"""),"Pcs")</f>
        <v>Pcs</v>
      </c>
      <c r="I1641" s="6" t="str">
        <f>IFERROR(__xludf.DUMMYFUNCTION("""COMPUTED_VALUE"""),"RYP")</f>
        <v>RYP</v>
      </c>
      <c r="J1641" s="6" t="str">
        <f>IFERROR(__xludf.DUMMYFUNCTION("""COMPUTED_VALUE"""),"AHU")</f>
        <v>AHU</v>
      </c>
      <c r="K1641" s="6" t="str">
        <f>IFERROR(__xludf.DUMMYFUNCTION("""COMPUTED_VALUE"""),"SPR/02/25/071")</f>
        <v>SPR/02/25/071</v>
      </c>
      <c r="L1641" s="13">
        <f>IFERROR(__xludf.DUMMYFUNCTION("""COMPUTED_VALUE"""),45716.0)</f>
        <v>45716</v>
      </c>
    </row>
    <row r="1642">
      <c r="A1642" s="6" t="str">
        <f>IFERROR(__xludf.DUMMYFUNCTION("""COMPUTED_VALUE"""),"ROS")</f>
        <v>ROS</v>
      </c>
      <c r="B1642" s="6" t="str">
        <f>IFERROR(__xludf.DUMMYFUNCTION("""COMPUTED_VALUE"""),"ENG")</f>
        <v>ENG</v>
      </c>
      <c r="C1642" s="6" t="str">
        <f>IFERROR(__xludf.DUMMYFUNCTION("""COMPUTED_VALUE"""),"O-16033-00")</f>
        <v>O-16033-00</v>
      </c>
      <c r="D164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642" s="6">
        <f>IFERROR(__xludf.DUMMYFUNCTION("""COMPUTED_VALUE"""),3.0)</f>
        <v>3</v>
      </c>
      <c r="F1642" s="6">
        <f>IFERROR(__xludf.DUMMYFUNCTION("""COMPUTED_VALUE"""),3.0)</f>
        <v>3</v>
      </c>
      <c r="G1642" s="6">
        <f>IFERROR(__xludf.DUMMYFUNCTION("""COMPUTED_VALUE"""),0.0)</f>
        <v>0</v>
      </c>
      <c r="H1642" s="6" t="str">
        <f>IFERROR(__xludf.DUMMYFUNCTION("""COMPUTED_VALUE"""),"Pcs")</f>
        <v>Pcs</v>
      </c>
      <c r="I1642" s="6" t="str">
        <f>IFERROR(__xludf.DUMMYFUNCTION("""COMPUTED_VALUE"""),"RYP")</f>
        <v>RYP</v>
      </c>
      <c r="J1642" s="6" t="str">
        <f>IFERROR(__xludf.DUMMYFUNCTION("""COMPUTED_VALUE"""),"Filling")</f>
        <v>Filling</v>
      </c>
      <c r="K1642" s="6" t="str">
        <f>IFERROR(__xludf.DUMMYFUNCTION("""COMPUTED_VALUE"""),"SPR/02/25/072")</f>
        <v>SPR/02/25/072</v>
      </c>
      <c r="L1642" s="13">
        <f>IFERROR(__xludf.DUMMYFUNCTION("""COMPUTED_VALUE"""),45716.0)</f>
        <v>45716</v>
      </c>
    </row>
    <row r="1643">
      <c r="A1643" s="6" t="str">
        <f>IFERROR(__xludf.DUMMYFUNCTION("""COMPUTED_VALUE"""),"ROS")</f>
        <v>ROS</v>
      </c>
      <c r="B1643" s="6" t="str">
        <f>IFERROR(__xludf.DUMMYFUNCTION("""COMPUTED_VALUE"""),"ENG")</f>
        <v>ENG</v>
      </c>
      <c r="C1643" s="6" t="str">
        <f>IFERROR(__xludf.DUMMYFUNCTION("""COMPUTED_VALUE"""),"T-80109-00")</f>
        <v>T-80109-00</v>
      </c>
      <c r="D1643" s="6" t="str">
        <f>IFERROR(__xludf.DUMMYFUNCTION("""COMPUTED_VALUE"""),"Cellotape Kertas 1 inch warna Putih")</f>
        <v>Cellotape Kertas 1 inch warna Putih</v>
      </c>
      <c r="E1643" s="6">
        <f>IFERROR(__xludf.DUMMYFUNCTION("""COMPUTED_VALUE"""),3.0)</f>
        <v>3</v>
      </c>
      <c r="F1643" s="6">
        <f>IFERROR(__xludf.DUMMYFUNCTION("""COMPUTED_VALUE"""),3.0)</f>
        <v>3</v>
      </c>
      <c r="G1643" s="6">
        <f>IFERROR(__xludf.DUMMYFUNCTION("""COMPUTED_VALUE"""),0.0)</f>
        <v>0</v>
      </c>
      <c r="H1643" s="6" t="str">
        <f>IFERROR(__xludf.DUMMYFUNCTION("""COMPUTED_VALUE"""),"Pcs")</f>
        <v>Pcs</v>
      </c>
      <c r="I1643" s="6" t="str">
        <f>IFERROR(__xludf.DUMMYFUNCTION("""COMPUTED_VALUE"""),"RYP")</f>
        <v>RYP</v>
      </c>
      <c r="J1643" s="6" t="str">
        <f>IFERROR(__xludf.DUMMYFUNCTION("""COMPUTED_VALUE"""),"Filling")</f>
        <v>Filling</v>
      </c>
      <c r="K1643" s="6" t="str">
        <f>IFERROR(__xludf.DUMMYFUNCTION("""COMPUTED_VALUE"""),"SPR/02/25/072")</f>
        <v>SPR/02/25/072</v>
      </c>
      <c r="L1643" s="13">
        <f>IFERROR(__xludf.DUMMYFUNCTION("""COMPUTED_VALUE"""),45716.0)</f>
        <v>45716</v>
      </c>
    </row>
    <row r="1644">
      <c r="A1644" s="6" t="str">
        <f>IFERROR(__xludf.DUMMYFUNCTION("""COMPUTED_VALUE"""),"ROS")</f>
        <v>ROS</v>
      </c>
      <c r="B1644" s="6" t="str">
        <f>IFERROR(__xludf.DUMMYFUNCTION("""COMPUTED_VALUE"""),"ENG")</f>
        <v>ENG</v>
      </c>
      <c r="C1644" s="6" t="str">
        <f>IFERROR(__xludf.DUMMYFUNCTION("""COMPUTED_VALUE"""),"P-18470-00")</f>
        <v>P-18470-00</v>
      </c>
      <c r="D1644" s="6" t="str">
        <f>IFERROR(__xludf.DUMMYFUNCTION("""COMPUTED_VALUE"""),"Misumi - HXNHFFLT-SUS-M5-10; ; ;")</f>
        <v>Misumi - HXNHFFLT-SUS-M5-10; ; ;</v>
      </c>
      <c r="E1644" s="6">
        <f>IFERROR(__xludf.DUMMYFUNCTION("""COMPUTED_VALUE"""),10.0)</f>
        <v>10</v>
      </c>
      <c r="F1644" s="6">
        <f>IFERROR(__xludf.DUMMYFUNCTION("""COMPUTED_VALUE"""),10.0)</f>
        <v>10</v>
      </c>
      <c r="G1644" s="6">
        <f>IFERROR(__xludf.DUMMYFUNCTION("""COMPUTED_VALUE"""),0.0)</f>
        <v>0</v>
      </c>
      <c r="H1644" s="6" t="str">
        <f>IFERROR(__xludf.DUMMYFUNCTION("""COMPUTED_VALUE"""),"Pcs")</f>
        <v>Pcs</v>
      </c>
      <c r="I1644" s="6" t="str">
        <f>IFERROR(__xludf.DUMMYFUNCTION("""COMPUTED_VALUE"""),"RYP")</f>
        <v>RYP</v>
      </c>
      <c r="J1644" s="6" t="str">
        <f>IFERROR(__xludf.DUMMYFUNCTION("""COMPUTED_VALUE"""),"Washing")</f>
        <v>Washing</v>
      </c>
      <c r="K1644" s="6" t="str">
        <f>IFERROR(__xludf.DUMMYFUNCTION("""COMPUTED_VALUE"""),"SPR/02/25/073")</f>
        <v>SPR/02/25/073</v>
      </c>
      <c r="L1644" s="13">
        <f>IFERROR(__xludf.DUMMYFUNCTION("""COMPUTED_VALUE"""),45716.0)</f>
        <v>45716</v>
      </c>
    </row>
    <row r="1645">
      <c r="A1645" s="6" t="str">
        <f>IFERROR(__xludf.DUMMYFUNCTION("""COMPUTED_VALUE"""),"ROS")</f>
        <v>ROS</v>
      </c>
      <c r="B1645" s="6" t="str">
        <f>IFERROR(__xludf.DUMMYFUNCTION("""COMPUTED_VALUE"""),"ENG")</f>
        <v>ENG</v>
      </c>
      <c r="C1645" s="6" t="str">
        <f>IFERROR(__xludf.DUMMYFUNCTION("""COMPUTED_VALUE"""),"O-16732-00")</f>
        <v>O-16732-00</v>
      </c>
      <c r="D1645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1645" s="6">
        <f>IFERROR(__xludf.DUMMYFUNCTION("""COMPUTED_VALUE"""),1.0)</f>
        <v>1</v>
      </c>
      <c r="F1645" s="6">
        <f>IFERROR(__xludf.DUMMYFUNCTION("""COMPUTED_VALUE"""),1.0)</f>
        <v>1</v>
      </c>
      <c r="G1645" s="6">
        <f>IFERROR(__xludf.DUMMYFUNCTION("""COMPUTED_VALUE"""),0.0)</f>
        <v>0</v>
      </c>
      <c r="H1645" s="6" t="str">
        <f>IFERROR(__xludf.DUMMYFUNCTION("""COMPUTED_VALUE"""),"Pcs")</f>
        <v>Pcs</v>
      </c>
      <c r="I1645" s="6" t="str">
        <f>IFERROR(__xludf.DUMMYFUNCTION("""COMPUTED_VALUE"""),"RYP")</f>
        <v>RYP</v>
      </c>
      <c r="J1645" s="6" t="str">
        <f>IFERROR(__xludf.DUMMYFUNCTION("""COMPUTED_VALUE"""),"Autoclave")</f>
        <v>Autoclave</v>
      </c>
      <c r="K1645" s="6" t="str">
        <f>IFERROR(__xludf.DUMMYFUNCTION("""COMPUTED_VALUE"""),"SPR/02/25/073")</f>
        <v>SPR/02/25/073</v>
      </c>
      <c r="L1645" s="13">
        <f>IFERROR(__xludf.DUMMYFUNCTION("""COMPUTED_VALUE"""),45716.0)</f>
        <v>45716</v>
      </c>
    </row>
    <row r="1646">
      <c r="A1646" s="6" t="str">
        <f>IFERROR(__xludf.DUMMYFUNCTION("""COMPUTED_VALUE"""),"EPO")</f>
        <v>EPO</v>
      </c>
      <c r="B1646" s="6" t="str">
        <f>IFERROR(__xludf.DUMMYFUNCTION("""COMPUTED_VALUE"""),"ENG")</f>
        <v>ENG</v>
      </c>
      <c r="C1646" s="6" t="str">
        <f>IFERROR(__xludf.DUMMYFUNCTION("""COMPUTED_VALUE"""),"T-80046-00")</f>
        <v>T-80046-00</v>
      </c>
      <c r="D1646" s="6" t="str">
        <f>IFERROR(__xludf.DUMMYFUNCTION("""COMPUTED_VALUE"""),"Battery ALKALINE AA")</f>
        <v>Battery ALKALINE AA</v>
      </c>
      <c r="E1646" s="6">
        <f>IFERROR(__xludf.DUMMYFUNCTION("""COMPUTED_VALUE"""),8.0)</f>
        <v>8</v>
      </c>
      <c r="F1646" s="6" t="str">
        <f>IFERROR(__xludf.DUMMYFUNCTION("""COMPUTED_VALUE"""),"-")</f>
        <v>-</v>
      </c>
      <c r="G1646" s="6" t="str">
        <f>IFERROR(__xludf.DUMMYFUNCTION("""COMPUTED_VALUE"""),"-")</f>
        <v>-</v>
      </c>
      <c r="H1646" s="6" t="str">
        <f>IFERROR(__xludf.DUMMYFUNCTION("""COMPUTED_VALUE"""),"-")</f>
        <v>-</v>
      </c>
      <c r="I1646" s="6" t="str">
        <f>IFERROR(__xludf.DUMMYFUNCTION("""COMPUTED_VALUE"""),"RYP")</f>
        <v>RYP</v>
      </c>
      <c r="J1646" s="6" t="str">
        <f>IFERROR(__xludf.DUMMYFUNCTION("""COMPUTED_VALUE"""),"-")</f>
        <v>-</v>
      </c>
      <c r="K1646" s="6" t="str">
        <f>IFERROR(__xludf.DUMMYFUNCTION("""COMPUTED_VALUE"""),"SPR/02/25/074")</f>
        <v>SPR/02/25/074</v>
      </c>
      <c r="L1646" s="13">
        <f>IFERROR(__xludf.DUMMYFUNCTION("""COMPUTED_VALUE"""),45716.0)</f>
        <v>45716</v>
      </c>
    </row>
    <row r="1647">
      <c r="A1647" s="6" t="str">
        <f>IFERROR(__xludf.DUMMYFUNCTION("""COMPUTED_VALUE"""),"RIA")</f>
        <v>RIA</v>
      </c>
      <c r="B1647" s="6" t="str">
        <f>IFERROR(__xludf.DUMMYFUNCTION("""COMPUTED_VALUE"""),"ENG")</f>
        <v>ENG</v>
      </c>
      <c r="C1647" s="6" t="str">
        <f>IFERROR(__xludf.DUMMYFUNCTION("""COMPUTED_VALUE"""),"O-50863-00")</f>
        <v>O-50863-00</v>
      </c>
      <c r="D1647" s="6" t="str">
        <f>IFERROR(__xludf.DUMMYFUNCTION("""COMPUTED_VALUE"""),"Relay/MY4N/220-240 VAC Omron; ; ;")</f>
        <v>Relay/MY4N/220-240 VAC Omron; ; ;</v>
      </c>
      <c r="E1647" s="6">
        <f>IFERROR(__xludf.DUMMYFUNCTION("""COMPUTED_VALUE"""),1.0)</f>
        <v>1</v>
      </c>
      <c r="F1647" s="6">
        <f>IFERROR(__xludf.DUMMYFUNCTION("""COMPUTED_VALUE"""),1.0)</f>
        <v>1</v>
      </c>
      <c r="G1647" s="6">
        <f>IFERROR(__xludf.DUMMYFUNCTION("""COMPUTED_VALUE"""),0.0)</f>
        <v>0</v>
      </c>
      <c r="H1647" s="6" t="str">
        <f>IFERROR(__xludf.DUMMYFUNCTION("""COMPUTED_VALUE"""),"Pcs")</f>
        <v>Pcs</v>
      </c>
      <c r="I1647" s="6" t="str">
        <f>IFERROR(__xludf.DUMMYFUNCTION("""COMPUTED_VALUE"""),"RYP")</f>
        <v>RYP</v>
      </c>
      <c r="J1647" s="6" t="str">
        <f>IFERROR(__xludf.DUMMYFUNCTION("""COMPUTED_VALUE"""),"Deep Freezer")</f>
        <v>Deep Freezer</v>
      </c>
      <c r="K1647" s="6" t="str">
        <f>IFERROR(__xludf.DUMMYFUNCTION("""COMPUTED_VALUE"""),"SPR/02/25/075")</f>
        <v>SPR/02/25/075</v>
      </c>
      <c r="L1647" s="13">
        <f>IFERROR(__xludf.DUMMYFUNCTION("""COMPUTED_VALUE"""),45716.0)</f>
        <v>45716</v>
      </c>
    </row>
    <row r="1648">
      <c r="A1648" s="6" t="str">
        <f>IFERROR(__xludf.DUMMYFUNCTION("""COMPUTED_VALUE"""),"RIA")</f>
        <v>RIA</v>
      </c>
      <c r="B1648" s="6" t="str">
        <f>IFERROR(__xludf.DUMMYFUNCTION("""COMPUTED_VALUE"""),"ENG")</f>
        <v>ENG</v>
      </c>
      <c r="C1648" s="6" t="str">
        <f>IFERROR(__xludf.DUMMYFUNCTION("""COMPUTED_VALUE"""),"O-54013-00")</f>
        <v>O-54013-00</v>
      </c>
      <c r="D1648" s="6" t="str">
        <f>IFERROR(__xludf.DUMMYFUNCTION("""COMPUTED_VALUE"""),"SOCKET RJ 45")</f>
        <v>SOCKET RJ 45</v>
      </c>
      <c r="E1648" s="6">
        <f>IFERROR(__xludf.DUMMYFUNCTION("""COMPUTED_VALUE"""),1.0)</f>
        <v>1</v>
      </c>
      <c r="F1648" s="6">
        <f>IFERROR(__xludf.DUMMYFUNCTION("""COMPUTED_VALUE"""),1.0)</f>
        <v>1</v>
      </c>
      <c r="G1648" s="6">
        <f>IFERROR(__xludf.DUMMYFUNCTION("""COMPUTED_VALUE"""),0.0)</f>
        <v>0</v>
      </c>
      <c r="H1648" s="6" t="str">
        <f>IFERROR(__xludf.DUMMYFUNCTION("""COMPUTED_VALUE"""),"Pcs")</f>
        <v>Pcs</v>
      </c>
      <c r="I1648" s="6" t="str">
        <f>IFERROR(__xludf.DUMMYFUNCTION("""COMPUTED_VALUE"""),"RYP")</f>
        <v>RYP</v>
      </c>
      <c r="J1648" s="6" t="str">
        <f>IFERROR(__xludf.DUMMYFUNCTION("""COMPUTED_VALUE"""),"PC Newtronic")</f>
        <v>PC Newtronic</v>
      </c>
      <c r="K1648" s="6" t="str">
        <f>IFERROR(__xludf.DUMMYFUNCTION("""COMPUTED_VALUE"""),"SPR/02/25/075")</f>
        <v>SPR/02/25/075</v>
      </c>
      <c r="L1648" s="13">
        <f>IFERROR(__xludf.DUMMYFUNCTION("""COMPUTED_VALUE"""),45716.0)</f>
        <v>45716</v>
      </c>
    </row>
    <row r="1649">
      <c r="A1649" s="6" t="str">
        <f>IFERROR(__xludf.DUMMYFUNCTION("""COMPUTED_VALUE"""),"ANO")</f>
        <v>ANO</v>
      </c>
      <c r="B1649" s="6" t="str">
        <f>IFERROR(__xludf.DUMMYFUNCTION("""COMPUTED_VALUE"""),"ENG")</f>
        <v>ENG</v>
      </c>
      <c r="C1649" s="6" t="str">
        <f>IFERROR(__xludf.DUMMYFUNCTION("""COMPUTED_VALUE"""),"-")</f>
        <v>-</v>
      </c>
      <c r="D1649" s="6" t="str">
        <f>IFERROR(__xludf.DUMMYFUNCTION("""COMPUTED_VALUE"""),"Tombol Emergenry")</f>
        <v>Tombol Emergenry</v>
      </c>
      <c r="E1649" s="6">
        <f>IFERROR(__xludf.DUMMYFUNCTION("""COMPUTED_VALUE"""),1.0)</f>
        <v>1</v>
      </c>
      <c r="F1649" s="6">
        <f>IFERROR(__xludf.DUMMYFUNCTION("""COMPUTED_VALUE"""),1.0)</f>
        <v>1</v>
      </c>
      <c r="G1649" s="6">
        <f>IFERROR(__xludf.DUMMYFUNCTION("""COMPUTED_VALUE"""),0.0)</f>
        <v>0</v>
      </c>
      <c r="H1649" s="6" t="str">
        <f>IFERROR(__xludf.DUMMYFUNCTION("""COMPUTED_VALUE"""),"Pcs")</f>
        <v>Pcs</v>
      </c>
      <c r="I1649" s="6" t="str">
        <f>IFERROR(__xludf.DUMMYFUNCTION("""COMPUTED_VALUE"""),"RYP")</f>
        <v>RYP</v>
      </c>
      <c r="J1649" s="6" t="str">
        <f>IFERROR(__xludf.DUMMYFUNCTION("""COMPUTED_VALUE"""),"Laundry")</f>
        <v>Laundry</v>
      </c>
      <c r="K1649" s="6" t="str">
        <f>IFERROR(__xludf.DUMMYFUNCTION("""COMPUTED_VALUE"""),"SPR/02/25/076")</f>
        <v>SPR/02/25/076</v>
      </c>
      <c r="L1649" s="13">
        <f>IFERROR(__xludf.DUMMYFUNCTION("""COMPUTED_VALUE"""),45716.0)</f>
        <v>45716</v>
      </c>
    </row>
    <row r="1650">
      <c r="A1650" s="6" t="str">
        <f>IFERROR(__xludf.DUMMYFUNCTION("""COMPUTED_VALUE"""),"SFH")</f>
        <v>SFH</v>
      </c>
      <c r="B1650" s="6" t="str">
        <f>IFERROR(__xludf.DUMMYFUNCTION("""COMPUTED_VALUE"""),"ENG")</f>
        <v>ENG</v>
      </c>
      <c r="C1650" s="6" t="str">
        <f>IFERROR(__xludf.DUMMYFUNCTION("""COMPUTED_VALUE"""),"P-53102-00")</f>
        <v>P-53102-00</v>
      </c>
      <c r="D1650" s="6" t="str">
        <f>IFERROR(__xludf.DUMMYFUNCTION("""COMPUTED_VALUE"""),"Lampu PLC 13watt/E27 Putih; Phillips; ;")</f>
        <v>Lampu PLC 13watt/E27 Putih; Phillips; ;</v>
      </c>
      <c r="E1650" s="6">
        <f>IFERROR(__xludf.DUMMYFUNCTION("""COMPUTED_VALUE"""),6.0)</f>
        <v>6</v>
      </c>
      <c r="F1650" s="6">
        <f>IFERROR(__xludf.DUMMYFUNCTION("""COMPUTED_VALUE"""),6.0)</f>
        <v>6</v>
      </c>
      <c r="G1650" s="6">
        <f>IFERROR(__xludf.DUMMYFUNCTION("""COMPUTED_VALUE"""),0.0)</f>
        <v>0</v>
      </c>
      <c r="H1650" s="6" t="str">
        <f>IFERROR(__xludf.DUMMYFUNCTION("""COMPUTED_VALUE"""),"Pcs")</f>
        <v>Pcs</v>
      </c>
      <c r="I1650" s="6" t="str">
        <f>IFERROR(__xludf.DUMMYFUNCTION("""COMPUTED_VALUE"""),"RYP")</f>
        <v>RYP</v>
      </c>
      <c r="J1650" s="6" t="str">
        <f>IFERROR(__xludf.DUMMYFUNCTION("""COMPUTED_VALUE"""),"Building")</f>
        <v>Building</v>
      </c>
      <c r="K1650" s="6" t="str">
        <f>IFERROR(__xludf.DUMMYFUNCTION("""COMPUTED_VALUE"""),"SPR/02/25/077")</f>
        <v>SPR/02/25/077</v>
      </c>
      <c r="L1650" s="13">
        <f>IFERROR(__xludf.DUMMYFUNCTION("""COMPUTED_VALUE"""),45716.0)</f>
        <v>45716</v>
      </c>
    </row>
    <row r="1651">
      <c r="A1651" s="6" t="str">
        <f>IFERROR(__xludf.DUMMYFUNCTION("""COMPUTED_VALUE"""),"SFH")</f>
        <v>SFH</v>
      </c>
      <c r="B1651" s="6" t="str">
        <f>IFERROR(__xludf.DUMMYFUNCTION("""COMPUTED_VALUE"""),"ENG")</f>
        <v>ENG</v>
      </c>
      <c r="C1651" s="6" t="str">
        <f>IFERROR(__xludf.DUMMYFUNCTION("""COMPUTED_VALUE"""),"P-51559-00")</f>
        <v>P-51559-00</v>
      </c>
      <c r="D1651" s="6" t="str">
        <f>IFERROR(__xludf.DUMMYFUNCTION("""COMPUTED_VALUE"""),"Lampu T5 14watt Putih; Phillips; ;")</f>
        <v>Lampu T5 14watt Putih; Phillips; ;</v>
      </c>
      <c r="E1651" s="6">
        <f>IFERROR(__xludf.DUMMYFUNCTION("""COMPUTED_VALUE"""),3.0)</f>
        <v>3</v>
      </c>
      <c r="F1651" s="6">
        <f>IFERROR(__xludf.DUMMYFUNCTION("""COMPUTED_VALUE"""),3.0)</f>
        <v>3</v>
      </c>
      <c r="G1651" s="6">
        <f>IFERROR(__xludf.DUMMYFUNCTION("""COMPUTED_VALUE"""),0.0)</f>
        <v>0</v>
      </c>
      <c r="H1651" s="6" t="str">
        <f>IFERROR(__xludf.DUMMYFUNCTION("""COMPUTED_VALUE"""),"Pcs")</f>
        <v>Pcs</v>
      </c>
      <c r="I1651" s="6" t="str">
        <f>IFERROR(__xludf.DUMMYFUNCTION("""COMPUTED_VALUE"""),"RYP")</f>
        <v>RYP</v>
      </c>
      <c r="J1651" s="6" t="str">
        <f>IFERROR(__xludf.DUMMYFUNCTION("""COMPUTED_VALUE"""),"Building")</f>
        <v>Building</v>
      </c>
      <c r="K1651" s="6" t="str">
        <f>IFERROR(__xludf.DUMMYFUNCTION("""COMPUTED_VALUE"""),"SPR/02/25/077")</f>
        <v>SPR/02/25/077</v>
      </c>
      <c r="L1651" s="13">
        <f>IFERROR(__xludf.DUMMYFUNCTION("""COMPUTED_VALUE"""),45716.0)</f>
        <v>45716</v>
      </c>
    </row>
    <row r="1652">
      <c r="A1652" s="6" t="str">
        <f>IFERROR(__xludf.DUMMYFUNCTION("""COMPUTED_VALUE"""),"SFH")</f>
        <v>SFH</v>
      </c>
      <c r="B1652" s="6" t="str">
        <f>IFERROR(__xludf.DUMMYFUNCTION("""COMPUTED_VALUE"""),"ENG")</f>
        <v>ENG</v>
      </c>
      <c r="C1652" s="6" t="str">
        <f>IFERROR(__xludf.DUMMYFUNCTION("""COMPUTED_VALUE"""),"P-51560-00")</f>
        <v>P-51560-00</v>
      </c>
      <c r="D1652" s="6" t="str">
        <f>IFERROR(__xludf.DUMMYFUNCTION("""COMPUTED_VALUE"""),"Lampu T5 28watt Putih; Phillips; ;")</f>
        <v>Lampu T5 28watt Putih; Phillips; ;</v>
      </c>
      <c r="E1652" s="6">
        <f>IFERROR(__xludf.DUMMYFUNCTION("""COMPUTED_VALUE"""),1.0)</f>
        <v>1</v>
      </c>
      <c r="F1652" s="6">
        <f>IFERROR(__xludf.DUMMYFUNCTION("""COMPUTED_VALUE"""),1.0)</f>
        <v>1</v>
      </c>
      <c r="G1652" s="6">
        <f>IFERROR(__xludf.DUMMYFUNCTION("""COMPUTED_VALUE"""),0.0)</f>
        <v>0</v>
      </c>
      <c r="H1652" s="6" t="str">
        <f>IFERROR(__xludf.DUMMYFUNCTION("""COMPUTED_VALUE"""),"Pcs")</f>
        <v>Pcs</v>
      </c>
      <c r="I1652" s="6" t="str">
        <f>IFERROR(__xludf.DUMMYFUNCTION("""COMPUTED_VALUE"""),"RYP")</f>
        <v>RYP</v>
      </c>
      <c r="J1652" s="6" t="str">
        <f>IFERROR(__xludf.DUMMYFUNCTION("""COMPUTED_VALUE"""),"Building")</f>
        <v>Building</v>
      </c>
      <c r="K1652" s="6" t="str">
        <f>IFERROR(__xludf.DUMMYFUNCTION("""COMPUTED_VALUE"""),"SPR/02/25/077")</f>
        <v>SPR/02/25/077</v>
      </c>
      <c r="L1652" s="13">
        <f>IFERROR(__xludf.DUMMYFUNCTION("""COMPUTED_VALUE"""),45716.0)</f>
        <v>45716</v>
      </c>
    </row>
    <row r="1653">
      <c r="A1653" s="6" t="str">
        <f>IFERROR(__xludf.DUMMYFUNCTION("""COMPUTED_VALUE"""),"SFH")</f>
        <v>SFH</v>
      </c>
      <c r="B1653" s="6" t="str">
        <f>IFERROR(__xludf.DUMMYFUNCTION("""COMPUTED_VALUE"""),"ENG")</f>
        <v>ENG</v>
      </c>
      <c r="C1653" s="6" t="str">
        <f>IFERROR(__xludf.DUMMYFUNCTION("""COMPUTED_VALUE"""),"P-50140-00")</f>
        <v>P-50140-00</v>
      </c>
      <c r="D1653" s="6" t="str">
        <f>IFERROR(__xludf.DUMMYFUNCTION("""COMPUTED_VALUE"""),"Battery UPS - Battery kering Merk YUASA 12V 9AH")</f>
        <v>Battery UPS - Battery kering Merk YUASA 12V 9AH</v>
      </c>
      <c r="E1653" s="6">
        <f>IFERROR(__xludf.DUMMYFUNCTION("""COMPUTED_VALUE"""),1.0)</f>
        <v>1</v>
      </c>
      <c r="F1653" s="6">
        <f>IFERROR(__xludf.DUMMYFUNCTION("""COMPUTED_VALUE"""),1.0)</f>
        <v>1</v>
      </c>
      <c r="G1653" s="6">
        <f>IFERROR(__xludf.DUMMYFUNCTION("""COMPUTED_VALUE"""),0.0)</f>
        <v>0</v>
      </c>
      <c r="H1653" s="6" t="str">
        <f>IFERROR(__xludf.DUMMYFUNCTION("""COMPUTED_VALUE"""),"Pcs")</f>
        <v>Pcs</v>
      </c>
      <c r="I1653" s="6" t="str">
        <f>IFERROR(__xludf.DUMMYFUNCTION("""COMPUTED_VALUE"""),"RYP")</f>
        <v>RYP</v>
      </c>
      <c r="J1653" s="6" t="str">
        <f>IFERROR(__xludf.DUMMYFUNCTION("""COMPUTED_VALUE"""),"Building")</f>
        <v>Building</v>
      </c>
      <c r="K1653" s="6" t="str">
        <f>IFERROR(__xludf.DUMMYFUNCTION("""COMPUTED_VALUE"""),"SPR/02/25/078")</f>
        <v>SPR/02/25/078</v>
      </c>
      <c r="L1653" s="13">
        <f>IFERROR(__xludf.DUMMYFUNCTION("""COMPUTED_VALUE"""),45716.0)</f>
        <v>45716</v>
      </c>
    </row>
    <row r="1654">
      <c r="A1654" s="6" t="str">
        <f>IFERROR(__xludf.DUMMYFUNCTION("""COMPUTED_VALUE"""),"RIA")</f>
        <v>RIA</v>
      </c>
      <c r="B1654" s="6" t="str">
        <f>IFERROR(__xludf.DUMMYFUNCTION("""COMPUTED_VALUE"""),"ENG")</f>
        <v>ENG</v>
      </c>
      <c r="C1654" s="6" t="str">
        <f>IFERROR(__xludf.DUMMYFUNCTION("""COMPUTED_VALUE"""),"P-13641-00")</f>
        <v>P-13641-00</v>
      </c>
      <c r="D1654" s="6" t="str">
        <f>IFERROR(__xludf.DUMMYFUNCTION("""COMPUTED_VALUE"""),"Filter SO 5 micron 30 inch O-ring 222 Bayonet; ; ;")</f>
        <v>Filter SO 5 micron 30 inch O-ring 222 Bayonet; ; ;</v>
      </c>
      <c r="E1654" s="6">
        <f>IFERROR(__xludf.DUMMYFUNCTION("""COMPUTED_VALUE"""),5.0)</f>
        <v>5</v>
      </c>
      <c r="F1654" s="6">
        <f>IFERROR(__xludf.DUMMYFUNCTION("""COMPUTED_VALUE"""),5.0)</f>
        <v>5</v>
      </c>
      <c r="G1654" s="6">
        <f>IFERROR(__xludf.DUMMYFUNCTION("""COMPUTED_VALUE"""),0.0)</f>
        <v>0</v>
      </c>
      <c r="H1654" s="6" t="str">
        <f>IFERROR(__xludf.DUMMYFUNCTION("""COMPUTED_VALUE"""),"Pcs")</f>
        <v>Pcs</v>
      </c>
      <c r="I1654" s="6" t="str">
        <f>IFERROR(__xludf.DUMMYFUNCTION("""COMPUTED_VALUE"""),"RYP")</f>
        <v>RYP</v>
      </c>
      <c r="J1654" s="6" t="str">
        <f>IFERROR(__xludf.DUMMYFUNCTION("""COMPUTED_VALUE"""),"PWG")</f>
        <v>PWG</v>
      </c>
      <c r="K1654" s="6" t="str">
        <f>IFERROR(__xludf.DUMMYFUNCTION("""COMPUTED_VALUE"""),"SPR/02/25/079")</f>
        <v>SPR/02/25/079</v>
      </c>
      <c r="L1654" s="13">
        <f>IFERROR(__xludf.DUMMYFUNCTION("""COMPUTED_VALUE"""),45716.0)</f>
        <v>45716</v>
      </c>
    </row>
    <row r="1655">
      <c r="A1655" s="6" t="str">
        <f>IFERROR(__xludf.DUMMYFUNCTION("""COMPUTED_VALUE"""),"NDS")</f>
        <v>NDS</v>
      </c>
      <c r="B1655" s="6" t="str">
        <f>IFERROR(__xludf.DUMMYFUNCTION("""COMPUTED_VALUE"""),"ENG")</f>
        <v>ENG</v>
      </c>
      <c r="C1655" s="6" t="str">
        <f>IFERROR(__xludf.DUMMYFUNCTION("""COMPUTED_VALUE"""),"P-50140-00")</f>
        <v>P-50140-00</v>
      </c>
      <c r="D1655" s="6" t="str">
        <f>IFERROR(__xludf.DUMMYFUNCTION("""COMPUTED_VALUE"""),"Battery UPS - Battery kering Merk YUASA 12V 9AH")</f>
        <v>Battery UPS - Battery kering Merk YUASA 12V 9AH</v>
      </c>
      <c r="E1655" s="6">
        <f>IFERROR(__xludf.DUMMYFUNCTION("""COMPUTED_VALUE"""),2.0)</f>
        <v>2</v>
      </c>
      <c r="F1655" s="6">
        <f>IFERROR(__xludf.DUMMYFUNCTION("""COMPUTED_VALUE"""),2.0)</f>
        <v>2</v>
      </c>
      <c r="G1655" s="6">
        <f>IFERROR(__xludf.DUMMYFUNCTION("""COMPUTED_VALUE"""),0.0)</f>
        <v>0</v>
      </c>
      <c r="H1655" s="6" t="str">
        <f>IFERROR(__xludf.DUMMYFUNCTION("""COMPUTED_VALUE"""),"Pcs")</f>
        <v>Pcs</v>
      </c>
      <c r="I1655" s="6" t="str">
        <f>IFERROR(__xludf.DUMMYFUNCTION("""COMPUTED_VALUE"""),"RYP")</f>
        <v>RYP</v>
      </c>
      <c r="J1655" s="6" t="str">
        <f>IFERROR(__xludf.DUMMYFUNCTION("""COMPUTED_VALUE"""),"-")</f>
        <v>-</v>
      </c>
      <c r="K1655" s="6" t="str">
        <f>IFERROR(__xludf.DUMMYFUNCTION("""COMPUTED_VALUE"""),"SPR/02/25/080")</f>
        <v>SPR/02/25/080</v>
      </c>
      <c r="L1655" s="13">
        <f>IFERROR(__xludf.DUMMYFUNCTION("""COMPUTED_VALUE"""),45716.0)</f>
        <v>45716</v>
      </c>
    </row>
    <row r="1656">
      <c r="A1656" s="6" t="str">
        <f>IFERROR(__xludf.DUMMYFUNCTION("""COMPUTED_VALUE"""),"ANO")</f>
        <v>ANO</v>
      </c>
      <c r="B1656" s="6" t="str">
        <f>IFERROR(__xludf.DUMMYFUNCTION("""COMPUTED_VALUE"""),"ENG")</f>
        <v>ENG</v>
      </c>
      <c r="C1656" s="6" t="str">
        <f>IFERROR(__xludf.DUMMYFUNCTION("""COMPUTED_VALUE"""),"Q-10249-00")</f>
        <v>Q-10249-00</v>
      </c>
      <c r="D1656" s="6" t="str">
        <f>IFERROR(__xludf.DUMMYFUNCTION("""COMPUTED_VALUE"""),"Lem;Power Glue;;pack size per pcs")</f>
        <v>Lem;Power Glue;;pack size per pcs</v>
      </c>
      <c r="E1656" s="6">
        <f>IFERROR(__xludf.DUMMYFUNCTION("""COMPUTED_VALUE"""),1.0)</f>
        <v>1</v>
      </c>
      <c r="F1656" s="6">
        <f>IFERROR(__xludf.DUMMYFUNCTION("""COMPUTED_VALUE"""),1.0)</f>
        <v>1</v>
      </c>
      <c r="G1656" s="6">
        <f>IFERROR(__xludf.DUMMYFUNCTION("""COMPUTED_VALUE"""),0.0)</f>
        <v>0</v>
      </c>
      <c r="H1656" s="6" t="str">
        <f>IFERROR(__xludf.DUMMYFUNCTION("""COMPUTED_VALUE"""),"Pcs")</f>
        <v>Pcs</v>
      </c>
      <c r="I1656" s="6" t="str">
        <f>IFERROR(__xludf.DUMMYFUNCTION("""COMPUTED_VALUE"""),"RYP")</f>
        <v>RYP</v>
      </c>
      <c r="J1656" s="6" t="str">
        <f>IFERROR(__xludf.DUMMYFUNCTION("""COMPUTED_VALUE"""),"cRABS")</f>
        <v>cRABS</v>
      </c>
      <c r="K1656" s="6" t="str">
        <f>IFERROR(__xludf.DUMMYFUNCTION("""COMPUTED_VALUE"""),"SPR/02/25/081")</f>
        <v>SPR/02/25/081</v>
      </c>
      <c r="L1656" s="13">
        <f>IFERROR(__xludf.DUMMYFUNCTION("""COMPUTED_VALUE"""),45716.0)</f>
        <v>45716</v>
      </c>
    </row>
    <row r="1657">
      <c r="A1657" s="6" t="str">
        <f>IFERROR(__xludf.DUMMYFUNCTION("""COMPUTED_VALUE"""),"POS")</f>
        <v>POS</v>
      </c>
      <c r="B1657" s="6" t="str">
        <f>IFERROR(__xludf.DUMMYFUNCTION("""COMPUTED_VALUE"""),"ENG")</f>
        <v>ENG</v>
      </c>
      <c r="C1657" s="6" t="str">
        <f>IFERROR(__xludf.DUMMYFUNCTION("""COMPUTED_VALUE"""),"T-80109-00")</f>
        <v>T-80109-00</v>
      </c>
      <c r="D1657" s="6" t="str">
        <f>IFERROR(__xludf.DUMMYFUNCTION("""COMPUTED_VALUE"""),"Cellotape Kertas 1 inch warna Putih")</f>
        <v>Cellotape Kertas 1 inch warna Putih</v>
      </c>
      <c r="E1657" s="6">
        <f>IFERROR(__xludf.DUMMYFUNCTION("""COMPUTED_VALUE"""),1.0)</f>
        <v>1</v>
      </c>
      <c r="F1657" s="6">
        <f>IFERROR(__xludf.DUMMYFUNCTION("""COMPUTED_VALUE"""),1.0)</f>
        <v>1</v>
      </c>
      <c r="G1657" s="6">
        <f>IFERROR(__xludf.DUMMYFUNCTION("""COMPUTED_VALUE"""),0.0)</f>
        <v>0</v>
      </c>
      <c r="H1657" s="6" t="str">
        <f>IFERROR(__xludf.DUMMYFUNCTION("""COMPUTED_VALUE"""),"Pcs")</f>
        <v>Pcs</v>
      </c>
      <c r="I1657" s="6" t="str">
        <f>IFERROR(__xludf.DUMMYFUNCTION("""COMPUTED_VALUE"""),"RYP")</f>
        <v>RYP</v>
      </c>
      <c r="J1657" s="6" t="str">
        <f>IFERROR(__xludf.DUMMYFUNCTION("""COMPUTED_VALUE"""),"-")</f>
        <v>-</v>
      </c>
      <c r="K1657" s="6" t="str">
        <f>IFERROR(__xludf.DUMMYFUNCTION("""COMPUTED_VALUE"""),"SPR/02/25/082")</f>
        <v>SPR/02/25/082</v>
      </c>
      <c r="L1657" s="13">
        <f>IFERROR(__xludf.DUMMYFUNCTION("""COMPUTED_VALUE"""),45716.0)</f>
        <v>45716</v>
      </c>
    </row>
    <row r="1658">
      <c r="A1658" s="6" t="str">
        <f>IFERROR(__xludf.DUMMYFUNCTION("""COMPUTED_VALUE"""),"POS")</f>
        <v>POS</v>
      </c>
      <c r="B1658" s="6" t="str">
        <f>IFERROR(__xludf.DUMMYFUNCTION("""COMPUTED_VALUE"""),"ENG")</f>
        <v>ENG</v>
      </c>
      <c r="C1658" s="6" t="str">
        <f>IFERROR(__xludf.DUMMYFUNCTION("""COMPUTED_VALUE"""),"Q-10249-00")</f>
        <v>Q-10249-00</v>
      </c>
      <c r="D1658" s="6" t="str">
        <f>IFERROR(__xludf.DUMMYFUNCTION("""COMPUTED_VALUE"""),"Lem;Power Glue;;pack size per pcs")</f>
        <v>Lem;Power Glue;;pack size per pcs</v>
      </c>
      <c r="E1658" s="6">
        <f>IFERROR(__xludf.DUMMYFUNCTION("""COMPUTED_VALUE"""),1.0)</f>
        <v>1</v>
      </c>
      <c r="F1658" s="6">
        <f>IFERROR(__xludf.DUMMYFUNCTION("""COMPUTED_VALUE"""),1.0)</f>
        <v>1</v>
      </c>
      <c r="G1658" s="6">
        <f>IFERROR(__xludf.DUMMYFUNCTION("""COMPUTED_VALUE"""),0.0)</f>
        <v>0</v>
      </c>
      <c r="H1658" s="6" t="str">
        <f>IFERROR(__xludf.DUMMYFUNCTION("""COMPUTED_VALUE"""),"Pcs")</f>
        <v>Pcs</v>
      </c>
      <c r="I1658" s="6" t="str">
        <f>IFERROR(__xludf.DUMMYFUNCTION("""COMPUTED_VALUE"""),"RYP")</f>
        <v>RYP</v>
      </c>
      <c r="J1658" s="6" t="str">
        <f>IFERROR(__xludf.DUMMYFUNCTION("""COMPUTED_VALUE"""),"-")</f>
        <v>-</v>
      </c>
      <c r="K1658" s="6" t="str">
        <f>IFERROR(__xludf.DUMMYFUNCTION("""COMPUTED_VALUE"""),"SPR/02/25/082")</f>
        <v>SPR/02/25/082</v>
      </c>
      <c r="L1658" s="13">
        <f>IFERROR(__xludf.DUMMYFUNCTION("""COMPUTED_VALUE"""),45716.0)</f>
        <v>45716</v>
      </c>
    </row>
    <row r="1659">
      <c r="A1659" s="6" t="str">
        <f>IFERROR(__xludf.DUMMYFUNCTION("""COMPUTED_VALUE"""),"MRN")</f>
        <v>MRN</v>
      </c>
      <c r="B1659" s="6" t="str">
        <f>IFERROR(__xludf.DUMMYFUNCTION("""COMPUTED_VALUE"""),"ENG")</f>
        <v>ENG</v>
      </c>
      <c r="C1659" s="6" t="str">
        <f>IFERROR(__xludf.DUMMYFUNCTION("""COMPUTED_VALUE"""),"Q-10475-00")</f>
        <v>Q-10475-00</v>
      </c>
      <c r="D1659" s="6" t="str">
        <f>IFERROR(__xludf.DUMMYFUNCTION("""COMPUTED_VALUE"""),"Cat Tembok; ; ; - Cat Dulux Ambiance Brilliant White @ 20 Ltr")</f>
        <v>Cat Tembok; ; ; - Cat Dulux Ambiance Brilliant White @ 20 Ltr</v>
      </c>
      <c r="E1659" s="6">
        <f>IFERROR(__xludf.DUMMYFUNCTION("""COMPUTED_VALUE"""),1.0)</f>
        <v>1</v>
      </c>
      <c r="F1659" s="6">
        <f>IFERROR(__xludf.DUMMYFUNCTION("""COMPUTED_VALUE"""),1.0)</f>
        <v>1</v>
      </c>
      <c r="G1659" s="6">
        <f>IFERROR(__xludf.DUMMYFUNCTION("""COMPUTED_VALUE"""),0.0)</f>
        <v>0</v>
      </c>
      <c r="H1659" s="6" t="str">
        <f>IFERROR(__xludf.DUMMYFUNCTION("""COMPUTED_VALUE"""),"Pcs")</f>
        <v>Pcs</v>
      </c>
      <c r="I1659" s="6" t="str">
        <f>IFERROR(__xludf.DUMMYFUNCTION("""COMPUTED_VALUE"""),"RYP")</f>
        <v>RYP</v>
      </c>
      <c r="J1659" s="6" t="str">
        <f>IFERROR(__xludf.DUMMYFUNCTION("""COMPUTED_VALUE"""),"Building")</f>
        <v>Building</v>
      </c>
      <c r="K1659" s="6" t="str">
        <f>IFERROR(__xludf.DUMMYFUNCTION("""COMPUTED_VALUE"""),"SPR/02/25/083")</f>
        <v>SPR/02/25/083</v>
      </c>
      <c r="L1659" s="13">
        <f>IFERROR(__xludf.DUMMYFUNCTION("""COMPUTED_VALUE"""),45716.0)</f>
        <v>45716</v>
      </c>
    </row>
    <row r="1660">
      <c r="A1660" s="6" t="str">
        <f>IFERROR(__xludf.DUMMYFUNCTION("""COMPUTED_VALUE"""),"RMA")</f>
        <v>RMA</v>
      </c>
      <c r="B1660" s="6" t="str">
        <f>IFERROR(__xludf.DUMMYFUNCTION("""COMPUTED_VALUE"""),"ENG")</f>
        <v>ENG</v>
      </c>
      <c r="C1660" s="6" t="str">
        <f>IFERROR(__xludf.DUMMYFUNCTION("""COMPUTED_VALUE"""),"Q-10249-00")</f>
        <v>Q-10249-00</v>
      </c>
      <c r="D1660" s="6" t="str">
        <f>IFERROR(__xludf.DUMMYFUNCTION("""COMPUTED_VALUE"""),"Lem;Power Glue;;pack size per pcs")</f>
        <v>Lem;Power Glue;;pack size per pcs</v>
      </c>
      <c r="E1660" s="6">
        <f>IFERROR(__xludf.DUMMYFUNCTION("""COMPUTED_VALUE"""),1.0)</f>
        <v>1</v>
      </c>
      <c r="F1660" s="6">
        <f>IFERROR(__xludf.DUMMYFUNCTION("""COMPUTED_VALUE"""),1.0)</f>
        <v>1</v>
      </c>
      <c r="G1660" s="6">
        <f>IFERROR(__xludf.DUMMYFUNCTION("""COMPUTED_VALUE"""),0.0)</f>
        <v>0</v>
      </c>
      <c r="H1660" s="6" t="str">
        <f>IFERROR(__xludf.DUMMYFUNCTION("""COMPUTED_VALUE"""),"Pcs")</f>
        <v>Pcs</v>
      </c>
      <c r="I1660" s="6" t="str">
        <f>IFERROR(__xludf.DUMMYFUNCTION("""COMPUTED_VALUE"""),"RYP")</f>
        <v>RYP</v>
      </c>
      <c r="J1660" s="6" t="str">
        <f>IFERROR(__xludf.DUMMYFUNCTION("""COMPUTED_VALUE"""),"Building")</f>
        <v>Building</v>
      </c>
      <c r="K1660" s="6" t="str">
        <f>IFERROR(__xludf.DUMMYFUNCTION("""COMPUTED_VALUE"""),"SPR/02/25/084")</f>
        <v>SPR/02/25/084</v>
      </c>
      <c r="L1660" s="13">
        <f>IFERROR(__xludf.DUMMYFUNCTION("""COMPUTED_VALUE"""),45716.0)</f>
        <v>45716</v>
      </c>
    </row>
    <row r="1661">
      <c r="A1661" s="6" t="str">
        <f>IFERROR(__xludf.DUMMYFUNCTION("""COMPUTED_VALUE"""),"INN")</f>
        <v>INN</v>
      </c>
      <c r="B1661" s="6" t="str">
        <f>IFERROR(__xludf.DUMMYFUNCTION("""COMPUTED_VALUE"""),"ENG")</f>
        <v>ENG</v>
      </c>
      <c r="C1661" s="6" t="str">
        <f>IFERROR(__xludf.DUMMYFUNCTION("""COMPUTED_VALUE"""),"O-17069-00")</f>
        <v>O-17069-00</v>
      </c>
      <c r="D1661" s="6" t="str">
        <f>IFERROR(__xludf.DUMMYFUNCTION("""COMPUTED_VALUE"""),"Washing RAR4 - Pincers Jaws for Vial 20mL &amp; 25mL HARRISA CIPTARINDO ENGINEERING, CV. P/N : - pc")</f>
        <v>Washing RAR4 - Pincers Jaws for Vial 20mL &amp; 25mL HARRISA CIPTARINDO ENGINEERING, CV. P/N : - pc</v>
      </c>
      <c r="E1661" s="6">
        <f>IFERROR(__xludf.DUMMYFUNCTION("""COMPUTED_VALUE"""),1.0)</f>
        <v>1</v>
      </c>
      <c r="F1661" s="6">
        <f>IFERROR(__xludf.DUMMYFUNCTION("""COMPUTED_VALUE"""),1.0)</f>
        <v>1</v>
      </c>
      <c r="G1661" s="6">
        <f>IFERROR(__xludf.DUMMYFUNCTION("""COMPUTED_VALUE"""),0.0)</f>
        <v>0</v>
      </c>
      <c r="H1661" s="6" t="str">
        <f>IFERROR(__xludf.DUMMYFUNCTION("""COMPUTED_VALUE"""),"Pcs")</f>
        <v>Pcs</v>
      </c>
      <c r="I1661" s="6" t="str">
        <f>IFERROR(__xludf.DUMMYFUNCTION("""COMPUTED_VALUE"""),"RYP")</f>
        <v>RYP</v>
      </c>
      <c r="J1661" s="6" t="str">
        <f>IFERROR(__xludf.DUMMYFUNCTION("""COMPUTED_VALUE"""),"Washing")</f>
        <v>Washing</v>
      </c>
      <c r="K1661" s="6" t="str">
        <f>IFERROR(__xludf.DUMMYFUNCTION("""COMPUTED_VALUE"""),"SPR/02/25/085")</f>
        <v>SPR/02/25/085</v>
      </c>
      <c r="L1661" s="13">
        <f>IFERROR(__xludf.DUMMYFUNCTION("""COMPUTED_VALUE"""),45716.0)</f>
        <v>45716</v>
      </c>
    </row>
    <row r="1662">
      <c r="A1662" s="6" t="str">
        <f>IFERROR(__xludf.DUMMYFUNCTION("""COMPUTED_VALUE"""),"INN")</f>
        <v>INN</v>
      </c>
      <c r="B1662" s="6" t="str">
        <f>IFERROR(__xludf.DUMMYFUNCTION("""COMPUTED_VALUE"""),"ENG")</f>
        <v>ENG</v>
      </c>
      <c r="C1662" s="6" t="str">
        <f>IFERROR(__xludf.DUMMYFUNCTION("""COMPUTED_VALUE"""),"O-16033-00")</f>
        <v>O-16033-00</v>
      </c>
      <c r="D166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662" s="6">
        <f>IFERROR(__xludf.DUMMYFUNCTION("""COMPUTED_VALUE"""),3.0)</f>
        <v>3</v>
      </c>
      <c r="F1662" s="6">
        <f>IFERROR(__xludf.DUMMYFUNCTION("""COMPUTED_VALUE"""),3.0)</f>
        <v>3</v>
      </c>
      <c r="G1662" s="6">
        <f>IFERROR(__xludf.DUMMYFUNCTION("""COMPUTED_VALUE"""),0.0)</f>
        <v>0</v>
      </c>
      <c r="H1662" s="6" t="str">
        <f>IFERROR(__xludf.DUMMYFUNCTION("""COMPUTED_VALUE"""),"Pcs")</f>
        <v>Pcs</v>
      </c>
      <c r="I1662" s="6" t="str">
        <f>IFERROR(__xludf.DUMMYFUNCTION("""COMPUTED_VALUE"""),"RYP")</f>
        <v>RYP</v>
      </c>
      <c r="J1662" s="6" t="str">
        <f>IFERROR(__xludf.DUMMYFUNCTION("""COMPUTED_VALUE"""),"cRABS")</f>
        <v>cRABS</v>
      </c>
      <c r="K1662" s="6" t="str">
        <f>IFERROR(__xludf.DUMMYFUNCTION("""COMPUTED_VALUE"""),"SPR/02/25/085")</f>
        <v>SPR/02/25/085</v>
      </c>
      <c r="L1662" s="13">
        <f>IFERROR(__xludf.DUMMYFUNCTION("""COMPUTED_VALUE"""),45716.0)</f>
        <v>45716</v>
      </c>
    </row>
    <row r="1663">
      <c r="A1663" s="6" t="str">
        <f>IFERROR(__xludf.DUMMYFUNCTION("""COMPUTED_VALUE"""),"INN")</f>
        <v>INN</v>
      </c>
      <c r="B1663" s="6" t="str">
        <f>IFERROR(__xludf.DUMMYFUNCTION("""COMPUTED_VALUE"""),"ENG")</f>
        <v>ENG</v>
      </c>
      <c r="C1663" s="6" t="str">
        <f>IFERROR(__xludf.DUMMYFUNCTION("""COMPUTED_VALUE"""),"O-16032-00")</f>
        <v>O-16032-00</v>
      </c>
      <c r="D1663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663" s="6">
        <f>IFERROR(__xludf.DUMMYFUNCTION("""COMPUTED_VALUE"""),3.0)</f>
        <v>3</v>
      </c>
      <c r="F1663" s="6">
        <f>IFERROR(__xludf.DUMMYFUNCTION("""COMPUTED_VALUE"""),3.0)</f>
        <v>3</v>
      </c>
      <c r="G1663" s="6">
        <f>IFERROR(__xludf.DUMMYFUNCTION("""COMPUTED_VALUE"""),0.0)</f>
        <v>0</v>
      </c>
      <c r="H1663" s="6" t="str">
        <f>IFERROR(__xludf.DUMMYFUNCTION("""COMPUTED_VALUE"""),"Pcs")</f>
        <v>Pcs</v>
      </c>
      <c r="I1663" s="6" t="str">
        <f>IFERROR(__xludf.DUMMYFUNCTION("""COMPUTED_VALUE"""),"RYP")</f>
        <v>RYP</v>
      </c>
      <c r="J1663" s="6" t="str">
        <f>IFERROR(__xludf.DUMMYFUNCTION("""COMPUTED_VALUE"""),"cRABS")</f>
        <v>cRABS</v>
      </c>
      <c r="K1663" s="6" t="str">
        <f>IFERROR(__xludf.DUMMYFUNCTION("""COMPUTED_VALUE"""),"SPR/02/25/085")</f>
        <v>SPR/02/25/085</v>
      </c>
      <c r="L1663" s="13">
        <f>IFERROR(__xludf.DUMMYFUNCTION("""COMPUTED_VALUE"""),45716.0)</f>
        <v>45716</v>
      </c>
    </row>
    <row r="1664">
      <c r="A1664" s="6" t="str">
        <f>IFERROR(__xludf.DUMMYFUNCTION("""COMPUTED_VALUE"""),"MRN")</f>
        <v>MRN</v>
      </c>
      <c r="B1664" s="6" t="str">
        <f>IFERROR(__xludf.DUMMYFUNCTION("""COMPUTED_VALUE"""),"ENG")</f>
        <v>ENG</v>
      </c>
      <c r="C1664" s="6" t="str">
        <f>IFERROR(__xludf.DUMMYFUNCTION("""COMPUTED_VALUE"""),"Q-10207-00")</f>
        <v>Q-10207-00</v>
      </c>
      <c r="D1664" s="6" t="str">
        <f>IFERROR(__xludf.DUMMYFUNCTION("""COMPUTED_VALUE"""),"Keramik Roman Warna Putih 40 x 40 cm;Roman;CN: 447106;pack size per pack")</f>
        <v>Keramik Roman Warna Putih 40 x 40 cm;Roman;CN: 447106;pack size per pack</v>
      </c>
      <c r="E1664" s="6">
        <f>IFERROR(__xludf.DUMMYFUNCTION("""COMPUTED_VALUE"""),5.0)</f>
        <v>5</v>
      </c>
      <c r="F1664" s="6">
        <f>IFERROR(__xludf.DUMMYFUNCTION("""COMPUTED_VALUE"""),5.0)</f>
        <v>5</v>
      </c>
      <c r="G1664" s="6">
        <f>IFERROR(__xludf.DUMMYFUNCTION("""COMPUTED_VALUE"""),0.0)</f>
        <v>0</v>
      </c>
      <c r="H1664" s="6" t="str">
        <f>IFERROR(__xludf.DUMMYFUNCTION("""COMPUTED_VALUE"""),"Pcs")</f>
        <v>Pcs</v>
      </c>
      <c r="I1664" s="6" t="str">
        <f>IFERROR(__xludf.DUMMYFUNCTION("""COMPUTED_VALUE"""),"RYP")</f>
        <v>RYP</v>
      </c>
      <c r="J1664" s="6" t="str">
        <f>IFERROR(__xludf.DUMMYFUNCTION("""COMPUTED_VALUE"""),"Building")</f>
        <v>Building</v>
      </c>
      <c r="K1664" s="6" t="str">
        <f>IFERROR(__xludf.DUMMYFUNCTION("""COMPUTED_VALUE"""),"SPR/02/25/086")</f>
        <v>SPR/02/25/086</v>
      </c>
      <c r="L1664" s="13">
        <f>IFERROR(__xludf.DUMMYFUNCTION("""COMPUTED_VALUE"""),45716.0)</f>
        <v>45716</v>
      </c>
    </row>
    <row r="1665">
      <c r="A1665" s="6" t="str">
        <f>IFERROR(__xludf.DUMMYFUNCTION("""COMPUTED_VALUE"""),"MRN")</f>
        <v>MRN</v>
      </c>
      <c r="B1665" s="6" t="str">
        <f>IFERROR(__xludf.DUMMYFUNCTION("""COMPUTED_VALUE"""),"ENG")</f>
        <v>ENG</v>
      </c>
      <c r="C1665" s="6" t="str">
        <f>IFERROR(__xludf.DUMMYFUNCTION("""COMPUTED_VALUE"""),"P-51559-00")</f>
        <v>P-51559-00</v>
      </c>
      <c r="D1665" s="6" t="str">
        <f>IFERROR(__xludf.DUMMYFUNCTION("""COMPUTED_VALUE"""),"Lampu T5 14watt Putih; Phillips; ;")</f>
        <v>Lampu T5 14watt Putih; Phillips; ;</v>
      </c>
      <c r="E1665" s="6">
        <f>IFERROR(__xludf.DUMMYFUNCTION("""COMPUTED_VALUE"""),2.0)</f>
        <v>2</v>
      </c>
      <c r="F1665" s="6">
        <f>IFERROR(__xludf.DUMMYFUNCTION("""COMPUTED_VALUE"""),2.0)</f>
        <v>2</v>
      </c>
      <c r="G1665" s="6">
        <f>IFERROR(__xludf.DUMMYFUNCTION("""COMPUTED_VALUE"""),0.0)</f>
        <v>0</v>
      </c>
      <c r="H1665" s="6" t="str">
        <f>IFERROR(__xludf.DUMMYFUNCTION("""COMPUTED_VALUE"""),"Pcs")</f>
        <v>Pcs</v>
      </c>
      <c r="I1665" s="6" t="str">
        <f>IFERROR(__xludf.DUMMYFUNCTION("""COMPUTED_VALUE"""),"RYP")</f>
        <v>RYP</v>
      </c>
      <c r="J1665" s="6" t="str">
        <f>IFERROR(__xludf.DUMMYFUNCTION("""COMPUTED_VALUE"""),"Building")</f>
        <v>Building</v>
      </c>
      <c r="K1665" s="6" t="str">
        <f>IFERROR(__xludf.DUMMYFUNCTION("""COMPUTED_VALUE"""),"SPR/02/25/086")</f>
        <v>SPR/02/25/086</v>
      </c>
      <c r="L1665" s="13">
        <f>IFERROR(__xludf.DUMMYFUNCTION("""COMPUTED_VALUE"""),45716.0)</f>
        <v>45716</v>
      </c>
    </row>
    <row r="1666">
      <c r="A1666" s="6" t="str">
        <f>IFERROR(__xludf.DUMMYFUNCTION("""COMPUTED_VALUE"""),"MRN")</f>
        <v>MRN</v>
      </c>
      <c r="B1666" s="6" t="str">
        <f>IFERROR(__xludf.DUMMYFUNCTION("""COMPUTED_VALUE"""),"ENG")</f>
        <v>ENG</v>
      </c>
      <c r="C1666" s="6" t="str">
        <f>IFERROR(__xludf.DUMMYFUNCTION("""COMPUTED_VALUE"""),"P-54254-00")</f>
        <v>P-54254-00</v>
      </c>
      <c r="D1666" s="6" t="str">
        <f>IFERROR(__xludf.DUMMYFUNCTION("""COMPUTED_VALUE"""),"General - Control Valve DN20 with Actuator; Regin; DFCM-220X; 1 pcs")</f>
        <v>General - Control Valve DN20 with Actuator; Regin; DFCM-220X; 1 pcs</v>
      </c>
      <c r="E1666" s="6">
        <f>IFERROR(__xludf.DUMMYFUNCTION("""COMPUTED_VALUE"""),3.0)</f>
        <v>3</v>
      </c>
      <c r="F1666" s="6">
        <f>IFERROR(__xludf.DUMMYFUNCTION("""COMPUTED_VALUE"""),3.0)</f>
        <v>3</v>
      </c>
      <c r="G1666" s="6">
        <f>IFERROR(__xludf.DUMMYFUNCTION("""COMPUTED_VALUE"""),0.0)</f>
        <v>0</v>
      </c>
      <c r="H1666" s="6" t="str">
        <f>IFERROR(__xludf.DUMMYFUNCTION("""COMPUTED_VALUE"""),"Pcs")</f>
        <v>Pcs</v>
      </c>
      <c r="I1666" s="6" t="str">
        <f>IFERROR(__xludf.DUMMYFUNCTION("""COMPUTED_VALUE"""),"RYP")</f>
        <v>RYP</v>
      </c>
      <c r="J1666" s="6" t="str">
        <f>IFERROR(__xludf.DUMMYFUNCTION("""COMPUTED_VALUE"""),"AHU")</f>
        <v>AHU</v>
      </c>
      <c r="K1666" s="6" t="str">
        <f>IFERROR(__xludf.DUMMYFUNCTION("""COMPUTED_VALUE"""),"SPR/02/25/086")</f>
        <v>SPR/02/25/086</v>
      </c>
      <c r="L1666" s="13">
        <f>IFERROR(__xludf.DUMMYFUNCTION("""COMPUTED_VALUE"""),45716.0)</f>
        <v>45716</v>
      </c>
    </row>
    <row r="1667">
      <c r="A1667" s="6" t="str">
        <f>IFERROR(__xludf.DUMMYFUNCTION("""COMPUTED_VALUE"""),"ANO")</f>
        <v>ANO</v>
      </c>
      <c r="B1667" s="6" t="str">
        <f>IFERROR(__xludf.DUMMYFUNCTION("""COMPUTED_VALUE"""),"ENG")</f>
        <v>ENG</v>
      </c>
      <c r="C1667" s="6" t="str">
        <f>IFERROR(__xludf.DUMMYFUNCTION("""COMPUTED_VALUE"""),"O-19785-00")</f>
        <v>O-19785-00</v>
      </c>
      <c r="D1667" s="6" t="str">
        <f>IFERROR(__xludf.DUMMYFUNCTION("""COMPUTED_VALUE"""),"Roda Trolley Autoclave Uk. 152,2 x 30 mm; Custom; ;")</f>
        <v>Roda Trolley Autoclave Uk. 152,2 x 30 mm; Custom; ;</v>
      </c>
      <c r="E1667" s="6">
        <f>IFERROR(__xludf.DUMMYFUNCTION("""COMPUTED_VALUE"""),2.0)</f>
        <v>2</v>
      </c>
      <c r="F1667" s="6">
        <f>IFERROR(__xludf.DUMMYFUNCTION("""COMPUTED_VALUE"""),2.0)</f>
        <v>2</v>
      </c>
      <c r="G1667" s="6">
        <f>IFERROR(__xludf.DUMMYFUNCTION("""COMPUTED_VALUE"""),0.0)</f>
        <v>0</v>
      </c>
      <c r="H1667" s="6" t="str">
        <f>IFERROR(__xludf.DUMMYFUNCTION("""COMPUTED_VALUE"""),"Pcs")</f>
        <v>Pcs</v>
      </c>
      <c r="I1667" s="6" t="str">
        <f>IFERROR(__xludf.DUMMYFUNCTION("""COMPUTED_VALUE"""),"RYP")</f>
        <v>RYP</v>
      </c>
      <c r="J1667" s="6" t="str">
        <f>IFERROR(__xludf.DUMMYFUNCTION("""COMPUTED_VALUE"""),"Autoclave")</f>
        <v>Autoclave</v>
      </c>
      <c r="K1667" s="6" t="str">
        <f>IFERROR(__xludf.DUMMYFUNCTION("""COMPUTED_VALUE"""),"SPR/02/25/087")</f>
        <v>SPR/02/25/087</v>
      </c>
      <c r="L1667" s="13">
        <f>IFERROR(__xludf.DUMMYFUNCTION("""COMPUTED_VALUE"""),45716.0)</f>
        <v>45716</v>
      </c>
    </row>
    <row r="1668">
      <c r="A1668" s="6" t="str">
        <f>IFERROR(__xludf.DUMMYFUNCTION("""COMPUTED_VALUE"""),"ANO")</f>
        <v>ANO</v>
      </c>
      <c r="B1668" s="6" t="str">
        <f>IFERROR(__xludf.DUMMYFUNCTION("""COMPUTED_VALUE"""),"ENG")</f>
        <v>ENG</v>
      </c>
      <c r="C1668" s="6" t="str">
        <f>IFERROR(__xludf.DUMMYFUNCTION("""COMPUTED_VALUE"""),"O-16033-00")</f>
        <v>O-16033-00</v>
      </c>
      <c r="D166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668" s="6">
        <f>IFERROR(__xludf.DUMMYFUNCTION("""COMPUTED_VALUE"""),1.0)</f>
        <v>1</v>
      </c>
      <c r="F1668" s="6">
        <f>IFERROR(__xludf.DUMMYFUNCTION("""COMPUTED_VALUE"""),1.0)</f>
        <v>1</v>
      </c>
      <c r="G1668" s="6">
        <f>IFERROR(__xludf.DUMMYFUNCTION("""COMPUTED_VALUE"""),0.0)</f>
        <v>0</v>
      </c>
      <c r="H1668" s="6" t="str">
        <f>IFERROR(__xludf.DUMMYFUNCTION("""COMPUTED_VALUE"""),"Psc")</f>
        <v>Psc</v>
      </c>
      <c r="I1668" s="6" t="str">
        <f>IFERROR(__xludf.DUMMYFUNCTION("""COMPUTED_VALUE"""),"RYP")</f>
        <v>RYP</v>
      </c>
      <c r="J1668" s="6" t="str">
        <f>IFERROR(__xludf.DUMMYFUNCTION("""COMPUTED_VALUE"""),"cRABS")</f>
        <v>cRABS</v>
      </c>
      <c r="K1668" s="6" t="str">
        <f>IFERROR(__xludf.DUMMYFUNCTION("""COMPUTED_VALUE"""),"SPR/02/25/088")</f>
        <v>SPR/02/25/088</v>
      </c>
      <c r="L1668" s="13">
        <f>IFERROR(__xludf.DUMMYFUNCTION("""COMPUTED_VALUE"""),45716.0)</f>
        <v>45716</v>
      </c>
    </row>
    <row r="1669">
      <c r="A1669" s="6" t="str">
        <f>IFERROR(__xludf.DUMMYFUNCTION("""COMPUTED_VALUE"""),"RMA")</f>
        <v>RMA</v>
      </c>
      <c r="B1669" s="6" t="str">
        <f>IFERROR(__xludf.DUMMYFUNCTION("""COMPUTED_VALUE"""),"ENG")</f>
        <v>ENG</v>
      </c>
      <c r="C1669" s="6" t="str">
        <f>IFERROR(__xludf.DUMMYFUNCTION("""COMPUTED_VALUE"""),"Q-10249-00")</f>
        <v>Q-10249-00</v>
      </c>
      <c r="D1669" s="6" t="str">
        <f>IFERROR(__xludf.DUMMYFUNCTION("""COMPUTED_VALUE"""),"Lem;Power Glue;;pack size per pcs")</f>
        <v>Lem;Power Glue;;pack size per pcs</v>
      </c>
      <c r="E1669" s="6">
        <f>IFERROR(__xludf.DUMMYFUNCTION("""COMPUTED_VALUE"""),1.0)</f>
        <v>1</v>
      </c>
      <c r="F1669" s="6">
        <f>IFERROR(__xludf.DUMMYFUNCTION("""COMPUTED_VALUE"""),1.0)</f>
        <v>1</v>
      </c>
      <c r="G1669" s="6">
        <f>IFERROR(__xludf.DUMMYFUNCTION("""COMPUTED_VALUE"""),0.0)</f>
        <v>0</v>
      </c>
      <c r="H1669" s="6" t="str">
        <f>IFERROR(__xludf.DUMMYFUNCTION("""COMPUTED_VALUE"""),"-")</f>
        <v>-</v>
      </c>
      <c r="I1669" s="6" t="str">
        <f>IFERROR(__xludf.DUMMYFUNCTION("""COMPUTED_VALUE"""),"RYP")</f>
        <v>RYP</v>
      </c>
      <c r="J1669" s="6" t="str">
        <f>IFERROR(__xludf.DUMMYFUNCTION("""COMPUTED_VALUE"""),"Building")</f>
        <v>Building</v>
      </c>
      <c r="K1669" s="6" t="str">
        <f>IFERROR(__xludf.DUMMYFUNCTION("""COMPUTED_VALUE"""),"SPR/02/25/089")</f>
        <v>SPR/02/25/089</v>
      </c>
      <c r="L1669" s="13">
        <f>IFERROR(__xludf.DUMMYFUNCTION("""COMPUTED_VALUE"""),45716.0)</f>
        <v>45716</v>
      </c>
    </row>
    <row r="1670">
      <c r="A1670" s="6" t="str">
        <f>IFERROR(__xludf.DUMMYFUNCTION("""COMPUTED_VALUE"""),"RMA")</f>
        <v>RMA</v>
      </c>
      <c r="B1670" s="6" t="str">
        <f>IFERROR(__xludf.DUMMYFUNCTION("""COMPUTED_VALUE"""),"ENG")</f>
        <v>ENG</v>
      </c>
      <c r="C1670" s="6" t="str">
        <f>IFERROR(__xludf.DUMMYFUNCTION("""COMPUTED_VALUE"""),"-")</f>
        <v>-</v>
      </c>
      <c r="D1670" s="6" t="str">
        <f>IFERROR(__xludf.DUMMYFUNCTION("""COMPUTED_VALUE"""),"Bolt THE AZ-70")</f>
        <v>Bolt THE AZ-70</v>
      </c>
      <c r="E1670" s="6">
        <f>IFERROR(__xludf.DUMMYFUNCTION("""COMPUTED_VALUE"""),12.0)</f>
        <v>12</v>
      </c>
      <c r="F1670" s="6">
        <f>IFERROR(__xludf.DUMMYFUNCTION("""COMPUTED_VALUE"""),12.0)</f>
        <v>12</v>
      </c>
      <c r="G1670" s="6">
        <f>IFERROR(__xludf.DUMMYFUNCTION("""COMPUTED_VALUE"""),0.0)</f>
        <v>0</v>
      </c>
      <c r="H1670" s="6" t="str">
        <f>IFERROR(__xludf.DUMMYFUNCTION("""COMPUTED_VALUE"""),"-")</f>
        <v>-</v>
      </c>
      <c r="I1670" s="6" t="str">
        <f>IFERROR(__xludf.DUMMYFUNCTION("""COMPUTED_VALUE"""),"RYP")</f>
        <v>RYP</v>
      </c>
      <c r="J1670" s="6" t="str">
        <f>IFERROR(__xludf.DUMMYFUNCTION("""COMPUTED_VALUE"""),"AHU")</f>
        <v>AHU</v>
      </c>
      <c r="K1670" s="6" t="str">
        <f>IFERROR(__xludf.DUMMYFUNCTION("""COMPUTED_VALUE"""),"SPR/02/25/090")</f>
        <v>SPR/02/25/090</v>
      </c>
      <c r="L1670" s="13">
        <f>IFERROR(__xludf.DUMMYFUNCTION("""COMPUTED_VALUE"""),45716.0)</f>
        <v>45716</v>
      </c>
    </row>
    <row r="1671">
      <c r="A1671" s="6" t="str">
        <f>IFERROR(__xludf.DUMMYFUNCTION("""COMPUTED_VALUE"""),"MRN")</f>
        <v>MRN</v>
      </c>
      <c r="B1671" s="6" t="str">
        <f>IFERROR(__xludf.DUMMYFUNCTION("""COMPUTED_VALUE"""),"ENG")</f>
        <v>ENG</v>
      </c>
      <c r="C1671" s="6" t="str">
        <f>IFERROR(__xludf.DUMMYFUNCTION("""COMPUTED_VALUE"""),"P-51559-00")</f>
        <v>P-51559-00</v>
      </c>
      <c r="D1671" s="6" t="str">
        <f>IFERROR(__xludf.DUMMYFUNCTION("""COMPUTED_VALUE"""),"Lampu T5 14watt Putih; Phillips; ;")</f>
        <v>Lampu T5 14watt Putih; Phillips; ;</v>
      </c>
      <c r="E1671" s="6">
        <f>IFERROR(__xludf.DUMMYFUNCTION("""COMPUTED_VALUE"""),1.0)</f>
        <v>1</v>
      </c>
      <c r="F1671" s="6">
        <f>IFERROR(__xludf.DUMMYFUNCTION("""COMPUTED_VALUE"""),1.0)</f>
        <v>1</v>
      </c>
      <c r="G1671" s="6">
        <f>IFERROR(__xludf.DUMMYFUNCTION("""COMPUTED_VALUE"""),0.0)</f>
        <v>0</v>
      </c>
      <c r="H1671" s="6" t="str">
        <f>IFERROR(__xludf.DUMMYFUNCTION("""COMPUTED_VALUE"""),"Pcs")</f>
        <v>Pcs</v>
      </c>
      <c r="I1671" s="6" t="str">
        <f>IFERROR(__xludf.DUMMYFUNCTION("""COMPUTED_VALUE"""),"RYP")</f>
        <v>RYP</v>
      </c>
      <c r="J1671" s="6" t="str">
        <f>IFERROR(__xludf.DUMMYFUNCTION("""COMPUTED_VALUE"""),"Building")</f>
        <v>Building</v>
      </c>
      <c r="K1671" s="6" t="str">
        <f>IFERROR(__xludf.DUMMYFUNCTION("""COMPUTED_VALUE"""),"SPR/02/25/091")</f>
        <v>SPR/02/25/091</v>
      </c>
      <c r="L1671" s="13">
        <f>IFERROR(__xludf.DUMMYFUNCTION("""COMPUTED_VALUE"""),45716.0)</f>
        <v>45716</v>
      </c>
    </row>
    <row r="1672">
      <c r="A1672" s="6" t="str">
        <f>IFERROR(__xludf.DUMMYFUNCTION("""COMPUTED_VALUE"""),"MRN")</f>
        <v>MRN</v>
      </c>
      <c r="B1672" s="6" t="str">
        <f>IFERROR(__xludf.DUMMYFUNCTION("""COMPUTED_VALUE"""),"ENG")</f>
        <v>ENG</v>
      </c>
      <c r="C1672" s="6" t="str">
        <f>IFERROR(__xludf.DUMMYFUNCTION("""COMPUTED_VALUE"""),"Q-10153-00")</f>
        <v>Q-10153-00</v>
      </c>
      <c r="D1672" s="6" t="str">
        <f>IFERROR(__xludf.DUMMYFUNCTION("""COMPUTED_VALUE"""),"Kuas Cat Roller uk. 110 mm;No Brand;;pack size per set")</f>
        <v>Kuas Cat Roller uk. 110 mm;No Brand;;pack size per set</v>
      </c>
      <c r="E1672" s="6">
        <f>IFERROR(__xludf.DUMMYFUNCTION("""COMPUTED_VALUE"""),1.0)</f>
        <v>1</v>
      </c>
      <c r="F1672" s="6">
        <f>IFERROR(__xludf.DUMMYFUNCTION("""COMPUTED_VALUE"""),1.0)</f>
        <v>1</v>
      </c>
      <c r="G1672" s="6">
        <f>IFERROR(__xludf.DUMMYFUNCTION("""COMPUTED_VALUE"""),0.0)</f>
        <v>0</v>
      </c>
      <c r="H1672" s="6" t="str">
        <f>IFERROR(__xludf.DUMMYFUNCTION("""COMPUTED_VALUE"""),"Pcs")</f>
        <v>Pcs</v>
      </c>
      <c r="I1672" s="6" t="str">
        <f>IFERROR(__xludf.DUMMYFUNCTION("""COMPUTED_VALUE"""),"RYP")</f>
        <v>RYP</v>
      </c>
      <c r="J1672" s="6" t="str">
        <f>IFERROR(__xludf.DUMMYFUNCTION("""COMPUTED_VALUE"""),"Building")</f>
        <v>Building</v>
      </c>
      <c r="K1672" s="6" t="str">
        <f>IFERROR(__xludf.DUMMYFUNCTION("""COMPUTED_VALUE"""),"SPR/02/25/091")</f>
        <v>SPR/02/25/091</v>
      </c>
      <c r="L1672" s="13">
        <f>IFERROR(__xludf.DUMMYFUNCTION("""COMPUTED_VALUE"""),45716.0)</f>
        <v>45716</v>
      </c>
    </row>
    <row r="1673">
      <c r="A1673" s="6" t="str">
        <f>IFERROR(__xludf.DUMMYFUNCTION("""COMPUTED_VALUE"""),"MOB")</f>
        <v>MOB</v>
      </c>
      <c r="B1673" s="6" t="str">
        <f>IFERROR(__xludf.DUMMYFUNCTION("""COMPUTED_VALUE"""),"ENG")</f>
        <v>ENG</v>
      </c>
      <c r="C1673" s="6" t="str">
        <f>IFERROR(__xludf.DUMMYFUNCTION("""COMPUTED_VALUE"""),"P-15852-00")</f>
        <v>P-15852-00</v>
      </c>
      <c r="D1673" s="6" t="str">
        <f>IFERROR(__xludf.DUMMYFUNCTION("""COMPUTED_VALUE"""),"AMPLAS EAGLE 500")</f>
        <v>AMPLAS EAGLE 500</v>
      </c>
      <c r="E1673" s="6">
        <f>IFERROR(__xludf.DUMMYFUNCTION("""COMPUTED_VALUE"""),1.0)</f>
        <v>1</v>
      </c>
      <c r="F1673" s="6">
        <f>IFERROR(__xludf.DUMMYFUNCTION("""COMPUTED_VALUE"""),1.0)</f>
        <v>1</v>
      </c>
      <c r="G1673" s="6">
        <f>IFERROR(__xludf.DUMMYFUNCTION("""COMPUTED_VALUE"""),0.0)</f>
        <v>0</v>
      </c>
      <c r="H1673" s="6" t="str">
        <f>IFERROR(__xludf.DUMMYFUNCTION("""COMPUTED_VALUE"""),"LMB")</f>
        <v>LMB</v>
      </c>
      <c r="I1673" s="6" t="str">
        <f>IFERROR(__xludf.DUMMYFUNCTION("""COMPUTED_VALUE"""),"RYP")</f>
        <v>RYP</v>
      </c>
      <c r="J1673" s="6" t="str">
        <f>IFERROR(__xludf.DUMMYFUNCTION("""COMPUTED_VALUE"""),"-")</f>
        <v>-</v>
      </c>
      <c r="K1673" s="6" t="str">
        <f>IFERROR(__xludf.DUMMYFUNCTION("""COMPUTED_VALUE"""),"SPR/02/25/092")</f>
        <v>SPR/02/25/092</v>
      </c>
      <c r="L1673" s="13">
        <f>IFERROR(__xludf.DUMMYFUNCTION("""COMPUTED_VALUE"""),45716.0)</f>
        <v>45716</v>
      </c>
    </row>
    <row r="1674">
      <c r="A1674" s="6" t="str">
        <f>IFERROR(__xludf.DUMMYFUNCTION("""COMPUTED_VALUE"""),"SFH")</f>
        <v>SFH</v>
      </c>
      <c r="B1674" s="6" t="str">
        <f>IFERROR(__xludf.DUMMYFUNCTION("""COMPUTED_VALUE"""),"ENG")</f>
        <v>ENG</v>
      </c>
      <c r="C1674" s="6" t="str">
        <f>IFERROR(__xludf.DUMMYFUNCTION("""COMPUTED_VALUE"""),"P-51559-00")</f>
        <v>P-51559-00</v>
      </c>
      <c r="D1674" s="6" t="str">
        <f>IFERROR(__xludf.DUMMYFUNCTION("""COMPUTED_VALUE"""),"Lampu T5 14watt Putih; Phillips; ;")</f>
        <v>Lampu T5 14watt Putih; Phillips; ;</v>
      </c>
      <c r="E1674" s="6">
        <f>IFERROR(__xludf.DUMMYFUNCTION("""COMPUTED_VALUE"""),2.0)</f>
        <v>2</v>
      </c>
      <c r="F1674" s="6">
        <f>IFERROR(__xludf.DUMMYFUNCTION("""COMPUTED_VALUE"""),2.0)</f>
        <v>2</v>
      </c>
      <c r="G1674" s="6">
        <f>IFERROR(__xludf.DUMMYFUNCTION("""COMPUTED_VALUE"""),0.0)</f>
        <v>0</v>
      </c>
      <c r="H1674" s="6" t="str">
        <f>IFERROR(__xludf.DUMMYFUNCTION("""COMPUTED_VALUE"""),"Pcs")</f>
        <v>Pcs</v>
      </c>
      <c r="I1674" s="6" t="str">
        <f>IFERROR(__xludf.DUMMYFUNCTION("""COMPUTED_VALUE"""),"RYP")</f>
        <v>RYP</v>
      </c>
      <c r="J1674" s="6" t="str">
        <f>IFERROR(__xludf.DUMMYFUNCTION("""COMPUTED_VALUE"""),"Building")</f>
        <v>Building</v>
      </c>
      <c r="K1674" s="6" t="str">
        <f>IFERROR(__xludf.DUMMYFUNCTION("""COMPUTED_VALUE"""),"SPR/02/25/093")</f>
        <v>SPR/02/25/093</v>
      </c>
      <c r="L1674" s="13">
        <f>IFERROR(__xludf.DUMMYFUNCTION("""COMPUTED_VALUE"""),45716.0)</f>
        <v>45716</v>
      </c>
    </row>
    <row r="1675">
      <c r="A1675" s="6" t="str">
        <f>IFERROR(__xludf.DUMMYFUNCTION("""COMPUTED_VALUE"""),"MOB")</f>
        <v>MOB</v>
      </c>
      <c r="B1675" s="6" t="str">
        <f>IFERROR(__xludf.DUMMYFUNCTION("""COMPUTED_VALUE"""),"ENG")</f>
        <v>ENG</v>
      </c>
      <c r="C1675" s="6" t="str">
        <f>IFERROR(__xludf.DUMMYFUNCTION("""COMPUTED_VALUE"""),"Q-60025-00")</f>
        <v>Q-60025-00</v>
      </c>
      <c r="D1675" s="6" t="str">
        <f>IFERROR(__xludf.DUMMYFUNCTION("""COMPUTED_VALUE"""),"Kuas Eterna 1")</f>
        <v>Kuas Eterna 1</v>
      </c>
      <c r="E1675" s="6">
        <f>IFERROR(__xludf.DUMMYFUNCTION("""COMPUTED_VALUE"""),1.0)</f>
        <v>1</v>
      </c>
      <c r="F1675" s="6">
        <f>IFERROR(__xludf.DUMMYFUNCTION("""COMPUTED_VALUE"""),1.0)</f>
        <v>1</v>
      </c>
      <c r="G1675" s="6">
        <f>IFERROR(__xludf.DUMMYFUNCTION("""COMPUTED_VALUE"""),0.0)</f>
        <v>0</v>
      </c>
      <c r="H1675" s="6" t="str">
        <f>IFERROR(__xludf.DUMMYFUNCTION("""COMPUTED_VALUE"""),"Pcs")</f>
        <v>Pcs</v>
      </c>
      <c r="I1675" s="6" t="str">
        <f>IFERROR(__xludf.DUMMYFUNCTION("""COMPUTED_VALUE"""),"RYP")</f>
        <v>RYP</v>
      </c>
      <c r="J1675" s="6" t="str">
        <f>IFERROR(__xludf.DUMMYFUNCTION("""COMPUTED_VALUE"""),"Capping")</f>
        <v>Capping</v>
      </c>
      <c r="K1675" s="6" t="str">
        <f>IFERROR(__xludf.DUMMYFUNCTION("""COMPUTED_VALUE"""),"SPR/02/25/094")</f>
        <v>SPR/02/25/094</v>
      </c>
      <c r="L1675" s="13">
        <f>IFERROR(__xludf.DUMMYFUNCTION("""COMPUTED_VALUE"""),45716.0)</f>
        <v>45716</v>
      </c>
    </row>
    <row r="1676">
      <c r="A1676" s="6" t="str">
        <f>IFERROR(__xludf.DUMMYFUNCTION("""COMPUTED_VALUE"""),"NDS")</f>
        <v>NDS</v>
      </c>
      <c r="B1676" s="6" t="str">
        <f>IFERROR(__xludf.DUMMYFUNCTION("""COMPUTED_VALUE"""),"ENG")</f>
        <v>ENG</v>
      </c>
      <c r="C1676" s="6" t="str">
        <f>IFERROR(__xludf.DUMMYFUNCTION("""COMPUTED_VALUE"""),"O-16647-00")</f>
        <v>O-16647-00</v>
      </c>
      <c r="D1676" s="6" t="str">
        <f>IFERROR(__xludf.DUMMYFUNCTION("""COMPUTED_VALUE"""),"Washing RAR4 - Oring Silicone Merah 23x18x2.5 mm; ; ;")</f>
        <v>Washing RAR4 - Oring Silicone Merah 23x18x2.5 mm; ; ;</v>
      </c>
      <c r="E1676" s="6">
        <f>IFERROR(__xludf.DUMMYFUNCTION("""COMPUTED_VALUE"""),10.0)</f>
        <v>10</v>
      </c>
      <c r="F1676" s="6">
        <f>IFERROR(__xludf.DUMMYFUNCTION("""COMPUTED_VALUE"""),10.0)</f>
        <v>10</v>
      </c>
      <c r="G1676" s="6">
        <f>IFERROR(__xludf.DUMMYFUNCTION("""COMPUTED_VALUE"""),0.0)</f>
        <v>0</v>
      </c>
      <c r="H1676" s="6" t="str">
        <f>IFERROR(__xludf.DUMMYFUNCTION("""COMPUTED_VALUE"""),"-")</f>
        <v>-</v>
      </c>
      <c r="I1676" s="6" t="str">
        <f>IFERROR(__xludf.DUMMYFUNCTION("""COMPUTED_VALUE"""),"RYP")</f>
        <v>RYP</v>
      </c>
      <c r="J1676" s="6" t="str">
        <f>IFERROR(__xludf.DUMMYFUNCTION("""COMPUTED_VALUE"""),"Capping")</f>
        <v>Capping</v>
      </c>
      <c r="K1676" s="6" t="str">
        <f>IFERROR(__xludf.DUMMYFUNCTION("""COMPUTED_VALUE"""),"SPR/02/25/095")</f>
        <v>SPR/02/25/095</v>
      </c>
      <c r="L1676" s="13">
        <f>IFERROR(__xludf.DUMMYFUNCTION("""COMPUTED_VALUE"""),45716.0)</f>
        <v>45716</v>
      </c>
    </row>
    <row r="1677">
      <c r="A1677" s="6" t="str">
        <f>IFERROR(__xludf.DUMMYFUNCTION("""COMPUTED_VALUE"""),"NDS")</f>
        <v>NDS</v>
      </c>
      <c r="B1677" s="6" t="str">
        <f>IFERROR(__xludf.DUMMYFUNCTION("""COMPUTED_VALUE"""),"ENG")</f>
        <v>ENG</v>
      </c>
      <c r="C1677" s="6" t="str">
        <f>IFERROR(__xludf.DUMMYFUNCTION("""COMPUTED_VALUE"""),"O-53041-00")</f>
        <v>O-53041-00</v>
      </c>
      <c r="D1677" s="6" t="str">
        <f>IFERROR(__xludf.DUMMYFUNCTION("""COMPUTED_VALUE"""),"Bola Lampu 24-30v 5-10W 16x28mm")</f>
        <v>Bola Lampu 24-30v 5-10W 16x28mm</v>
      </c>
      <c r="E1677" s="6">
        <f>IFERROR(__xludf.DUMMYFUNCTION("""COMPUTED_VALUE"""),1.0)</f>
        <v>1</v>
      </c>
      <c r="F1677" s="6">
        <f>IFERROR(__xludf.DUMMYFUNCTION("""COMPUTED_VALUE"""),1.0)</f>
        <v>1</v>
      </c>
      <c r="G1677" s="6">
        <f>IFERROR(__xludf.DUMMYFUNCTION("""COMPUTED_VALUE"""),0.0)</f>
        <v>0</v>
      </c>
      <c r="H1677" s="6" t="str">
        <f>IFERROR(__xludf.DUMMYFUNCTION("""COMPUTED_VALUE"""),"Pcs")</f>
        <v>Pcs</v>
      </c>
      <c r="I1677" s="6" t="str">
        <f>IFERROR(__xludf.DUMMYFUNCTION("""COMPUTED_VALUE"""),"MFH")</f>
        <v>MFH</v>
      </c>
      <c r="J1677" s="6" t="str">
        <f>IFERROR(__xludf.DUMMYFUNCTION("""COMPUTED_VALUE"""),"Capping")</f>
        <v>Capping</v>
      </c>
      <c r="K1677" s="6" t="str">
        <f>IFERROR(__xludf.DUMMYFUNCTION("""COMPUTED_VALUE"""),"SPR/02/25/095")</f>
        <v>SPR/02/25/095</v>
      </c>
      <c r="L1677" s="13">
        <f>IFERROR(__xludf.DUMMYFUNCTION("""COMPUTED_VALUE"""),45716.0)</f>
        <v>45716</v>
      </c>
    </row>
    <row r="1678">
      <c r="A1678" s="6" t="str">
        <f>IFERROR(__xludf.DUMMYFUNCTION("""COMPUTED_VALUE"""),"SHF")</f>
        <v>SHF</v>
      </c>
      <c r="B1678" s="6" t="str">
        <f>IFERROR(__xludf.DUMMYFUNCTION("""COMPUTED_VALUE"""),"ENG")</f>
        <v>ENG</v>
      </c>
      <c r="C1678" s="6" t="str">
        <f>IFERROR(__xludf.DUMMYFUNCTION("""COMPUTED_VALUE"""),"P-51560-00")</f>
        <v>P-51560-00</v>
      </c>
      <c r="D1678" s="6" t="str">
        <f>IFERROR(__xludf.DUMMYFUNCTION("""COMPUTED_VALUE"""),"Lampu T5 28watt Putih; Phillips; ;")</f>
        <v>Lampu T5 28watt Putih; Phillips; ;</v>
      </c>
      <c r="E1678" s="6">
        <f>IFERROR(__xludf.DUMMYFUNCTION("""COMPUTED_VALUE"""),2.0)</f>
        <v>2</v>
      </c>
      <c r="F1678" s="6" t="str">
        <f>IFERROR(__xludf.DUMMYFUNCTION("""COMPUTED_VALUE"""),"-")</f>
        <v>-</v>
      </c>
      <c r="G1678" s="6">
        <f>IFERROR(__xludf.DUMMYFUNCTION("""COMPUTED_VALUE"""),0.0)</f>
        <v>0</v>
      </c>
      <c r="H1678" s="6" t="str">
        <f>IFERROR(__xludf.DUMMYFUNCTION("""COMPUTED_VALUE"""),"-")</f>
        <v>-</v>
      </c>
      <c r="I1678" s="6" t="str">
        <f>IFERROR(__xludf.DUMMYFUNCTION("""COMPUTED_VALUE"""),"RYP")</f>
        <v>RYP</v>
      </c>
      <c r="J1678" s="6" t="str">
        <f>IFERROR(__xludf.DUMMYFUNCTION("""COMPUTED_VALUE"""),"Building")</f>
        <v>Building</v>
      </c>
      <c r="K1678" s="6" t="str">
        <f>IFERROR(__xludf.DUMMYFUNCTION("""COMPUTED_VALUE"""),"SPR/02/25/096")</f>
        <v>SPR/02/25/096</v>
      </c>
      <c r="L1678" s="13">
        <f>IFERROR(__xludf.DUMMYFUNCTION("""COMPUTED_VALUE"""),45716.0)</f>
        <v>45716</v>
      </c>
    </row>
    <row r="1679">
      <c r="A1679" s="6" t="str">
        <f>IFERROR(__xludf.DUMMYFUNCTION("""COMPUTED_VALUE"""),"SHF")</f>
        <v>SHF</v>
      </c>
      <c r="B1679" s="6" t="str">
        <f>IFERROR(__xludf.DUMMYFUNCTION("""COMPUTED_VALUE"""),"ENG")</f>
        <v>ENG</v>
      </c>
      <c r="C1679" s="6" t="str">
        <f>IFERROR(__xludf.DUMMYFUNCTION("""COMPUTED_VALUE"""),"P-14454-00")</f>
        <v>P-14454-00</v>
      </c>
      <c r="D1679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1679" s="6">
        <f>IFERROR(__xludf.DUMMYFUNCTION("""COMPUTED_VALUE"""),1.0)</f>
        <v>1</v>
      </c>
      <c r="F1679" s="6" t="str">
        <f>IFERROR(__xludf.DUMMYFUNCTION("""COMPUTED_VALUE"""),"-")</f>
        <v>-</v>
      </c>
      <c r="G1679" s="6">
        <f>IFERROR(__xludf.DUMMYFUNCTION("""COMPUTED_VALUE"""),0.0)</f>
        <v>0</v>
      </c>
      <c r="H1679" s="6" t="str">
        <f>IFERROR(__xludf.DUMMYFUNCTION("""COMPUTED_VALUE"""),"-")</f>
        <v>-</v>
      </c>
      <c r="I1679" s="6" t="str">
        <f>IFERROR(__xludf.DUMMYFUNCTION("""COMPUTED_VALUE"""),"RYP")</f>
        <v>RYP</v>
      </c>
      <c r="J1679" s="6" t="str">
        <f>IFERROR(__xludf.DUMMYFUNCTION("""COMPUTED_VALUE"""),"-")</f>
        <v>-</v>
      </c>
      <c r="K1679" s="6" t="str">
        <f>IFERROR(__xludf.DUMMYFUNCTION("""COMPUTED_VALUE"""),"SPR/02/25/096")</f>
        <v>SPR/02/25/096</v>
      </c>
      <c r="L1679" s="13">
        <f>IFERROR(__xludf.DUMMYFUNCTION("""COMPUTED_VALUE"""),45716.0)</f>
        <v>45716</v>
      </c>
    </row>
    <row r="1680">
      <c r="A1680" s="6" t="str">
        <f>IFERROR(__xludf.DUMMYFUNCTION("""COMPUTED_VALUE"""),"SHF")</f>
        <v>SHF</v>
      </c>
      <c r="B1680" s="6" t="str">
        <f>IFERROR(__xludf.DUMMYFUNCTION("""COMPUTED_VALUE"""),"ENG")</f>
        <v>ENG</v>
      </c>
      <c r="C1680" s="6" t="str">
        <f>IFERROR(__xludf.DUMMYFUNCTION("""COMPUTED_VALUE"""),"P-14456-00")</f>
        <v>P-14456-00</v>
      </c>
      <c r="D1680" s="6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E1680" s="6">
        <f>IFERROR(__xludf.DUMMYFUNCTION("""COMPUTED_VALUE"""),1.0)</f>
        <v>1</v>
      </c>
      <c r="F1680" s="6" t="str">
        <f>IFERROR(__xludf.DUMMYFUNCTION("""COMPUTED_VALUE"""),"-")</f>
        <v>-</v>
      </c>
      <c r="G1680" s="6">
        <f>IFERROR(__xludf.DUMMYFUNCTION("""COMPUTED_VALUE"""),0.0)</f>
        <v>0</v>
      </c>
      <c r="H1680" s="6" t="str">
        <f>IFERROR(__xludf.DUMMYFUNCTION("""COMPUTED_VALUE"""),"-")</f>
        <v>-</v>
      </c>
      <c r="I1680" s="6" t="str">
        <f>IFERROR(__xludf.DUMMYFUNCTION("""COMPUTED_VALUE"""),"RYP")</f>
        <v>RYP</v>
      </c>
      <c r="J1680" s="6" t="str">
        <f>IFERROR(__xludf.DUMMYFUNCTION("""COMPUTED_VALUE"""),"-")</f>
        <v>-</v>
      </c>
      <c r="K1680" s="6" t="str">
        <f>IFERROR(__xludf.DUMMYFUNCTION("""COMPUTED_VALUE"""),"SPR/02/25/096")</f>
        <v>SPR/02/25/096</v>
      </c>
      <c r="L1680" s="13">
        <f>IFERROR(__xludf.DUMMYFUNCTION("""COMPUTED_VALUE"""),45716.0)</f>
        <v>45716</v>
      </c>
    </row>
    <row r="1681">
      <c r="A1681" s="6" t="str">
        <f>IFERROR(__xludf.DUMMYFUNCTION("""COMPUTED_VALUE"""),"KPR")</f>
        <v>KPR</v>
      </c>
      <c r="B1681" s="6" t="str">
        <f>IFERROR(__xludf.DUMMYFUNCTION("""COMPUTED_VALUE"""),"QAS")</f>
        <v>QAS</v>
      </c>
      <c r="C1681" s="6" t="str">
        <f>IFERROR(__xludf.DUMMYFUNCTION("""COMPUTED_VALUE"""),"T-20859-00")</f>
        <v>T-20859-00</v>
      </c>
      <c r="D1681" s="6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E1681" s="6">
        <f>IFERROR(__xludf.DUMMYFUNCTION("""COMPUTED_VALUE"""),1.0)</f>
        <v>1</v>
      </c>
      <c r="F1681" s="6">
        <f>IFERROR(__xludf.DUMMYFUNCTION("""COMPUTED_VALUE"""),1.0)</f>
        <v>1</v>
      </c>
      <c r="G1681" s="6">
        <f>IFERROR(__xludf.DUMMYFUNCTION("""COMPUTED_VALUE"""),0.0)</f>
        <v>0</v>
      </c>
      <c r="H1681" s="6" t="str">
        <f>IFERROR(__xludf.DUMMYFUNCTION("""COMPUTED_VALUE"""),"Unit")</f>
        <v>Unit</v>
      </c>
      <c r="I1681" s="6" t="str">
        <f>IFERROR(__xludf.DUMMYFUNCTION("""COMPUTED_VALUE"""),"RYP")</f>
        <v>RYP</v>
      </c>
      <c r="J1681" s="6" t="str">
        <f>IFERROR(__xludf.DUMMYFUNCTION("""COMPUTED_VALUE"""),"GC")</f>
        <v>GC</v>
      </c>
      <c r="K1681" s="6" t="str">
        <f>IFERROR(__xludf.DUMMYFUNCTION("""COMPUTED_VALUE"""),"SPR/02/25/097")</f>
        <v>SPR/02/25/097</v>
      </c>
      <c r="L1681" s="13">
        <f>IFERROR(__xludf.DUMMYFUNCTION("""COMPUTED_VALUE"""),45716.0)</f>
        <v>45716</v>
      </c>
    </row>
    <row r="1682">
      <c r="A1682" s="6" t="str">
        <f>IFERROR(__xludf.DUMMYFUNCTION("""COMPUTED_VALUE"""),"KPR")</f>
        <v>KPR</v>
      </c>
      <c r="B1682" s="6" t="str">
        <f>IFERROR(__xludf.DUMMYFUNCTION("""COMPUTED_VALUE"""),"QAS")</f>
        <v>QAS</v>
      </c>
      <c r="C1682" s="6" t="str">
        <f>IFERROR(__xludf.DUMMYFUNCTION("""COMPUTED_VALUE"""),"T-20860-00")</f>
        <v>T-20860-00</v>
      </c>
      <c r="D1682" s="6" t="str">
        <f>IFERROR(__xludf.DUMMYFUNCTION("""COMPUTED_VALUE"""),"OQ/PV headspace sample ;Agilent; PN : 5182-9733; Agilent; 5182-9733; 1 pcs/pack")</f>
        <v>OQ/PV headspace sample ;Agilent; PN : 5182-9733; Agilent; 5182-9733; 1 pcs/pack</v>
      </c>
      <c r="E1682" s="6">
        <f>IFERROR(__xludf.DUMMYFUNCTION("""COMPUTED_VALUE"""),1.0)</f>
        <v>1</v>
      </c>
      <c r="F1682" s="6">
        <f>IFERROR(__xludf.DUMMYFUNCTION("""COMPUTED_VALUE"""),1.0)</f>
        <v>1</v>
      </c>
      <c r="G1682" s="6">
        <f>IFERROR(__xludf.DUMMYFUNCTION("""COMPUTED_VALUE"""),0.0)</f>
        <v>0</v>
      </c>
      <c r="H1682" s="6" t="str">
        <f>IFERROR(__xludf.DUMMYFUNCTION("""COMPUTED_VALUE"""),"-Unit")</f>
        <v>-Unit</v>
      </c>
      <c r="I1682" s="6" t="str">
        <f>IFERROR(__xludf.DUMMYFUNCTION("""COMPUTED_VALUE"""),"RYP")</f>
        <v>RYP</v>
      </c>
      <c r="J1682" s="6" t="str">
        <f>IFERROR(__xludf.DUMMYFUNCTION("""COMPUTED_VALUE"""),"GC")</f>
        <v>GC</v>
      </c>
      <c r="K1682" s="6" t="str">
        <f>IFERROR(__xludf.DUMMYFUNCTION("""COMPUTED_VALUE"""),"SPR/02/25/097")</f>
        <v>SPR/02/25/097</v>
      </c>
      <c r="L1682" s="13">
        <f>IFERROR(__xludf.DUMMYFUNCTION("""COMPUTED_VALUE"""),45716.0)</f>
        <v>45716</v>
      </c>
    </row>
    <row r="1683">
      <c r="A1683" s="6" t="str">
        <f>IFERROR(__xludf.DUMMYFUNCTION("""COMPUTED_VALUE"""),"SFH")</f>
        <v>SFH</v>
      </c>
      <c r="B1683" s="6" t="str">
        <f>IFERROR(__xludf.DUMMYFUNCTION("""COMPUTED_VALUE"""),"ENG")</f>
        <v>ENG</v>
      </c>
      <c r="C1683" s="6" t="str">
        <f>IFERROR(__xludf.DUMMYFUNCTION("""COMPUTED_VALUE"""),"Q-10153-00")</f>
        <v>Q-10153-00</v>
      </c>
      <c r="D1683" s="6" t="str">
        <f>IFERROR(__xludf.DUMMYFUNCTION("""COMPUTED_VALUE"""),"Kuas Cat Roller uk. 110 mm;No Brand;;pack size per set")</f>
        <v>Kuas Cat Roller uk. 110 mm;No Brand;;pack size per set</v>
      </c>
      <c r="E1683" s="6">
        <f>IFERROR(__xludf.DUMMYFUNCTION("""COMPUTED_VALUE"""),2.0)</f>
        <v>2</v>
      </c>
      <c r="F1683" s="6">
        <f>IFERROR(__xludf.DUMMYFUNCTION("""COMPUTED_VALUE"""),2.0)</f>
        <v>2</v>
      </c>
      <c r="G1683" s="6">
        <f>IFERROR(__xludf.DUMMYFUNCTION("""COMPUTED_VALUE"""),0.0)</f>
        <v>0</v>
      </c>
      <c r="H1683" s="6" t="str">
        <f>IFERROR(__xludf.DUMMYFUNCTION("""COMPUTED_VALUE"""),"Pcs")</f>
        <v>Pcs</v>
      </c>
      <c r="I1683" s="6" t="str">
        <f>IFERROR(__xludf.DUMMYFUNCTION("""COMPUTED_VALUE"""),"RYP")</f>
        <v>RYP</v>
      </c>
      <c r="J1683" s="6" t="str">
        <f>IFERROR(__xludf.DUMMYFUNCTION("""COMPUTED_VALUE"""),"Building")</f>
        <v>Building</v>
      </c>
      <c r="K1683" s="6" t="str">
        <f>IFERROR(__xludf.DUMMYFUNCTION("""COMPUTED_VALUE"""),"SPR/02/25/098")</f>
        <v>SPR/02/25/098</v>
      </c>
      <c r="L1683" s="13">
        <f>IFERROR(__xludf.DUMMYFUNCTION("""COMPUTED_VALUE"""),45716.0)</f>
        <v>45716</v>
      </c>
    </row>
    <row r="1684">
      <c r="A1684" s="6" t="str">
        <f>IFERROR(__xludf.DUMMYFUNCTION("""COMPUTED_VALUE"""),"SHF")</f>
        <v>SHF</v>
      </c>
      <c r="B1684" s="6" t="str">
        <f>IFERROR(__xludf.DUMMYFUNCTION("""COMPUTED_VALUE"""),"ENG")</f>
        <v>ENG</v>
      </c>
      <c r="C1684" s="6" t="str">
        <f>IFERROR(__xludf.DUMMYFUNCTION("""COMPUTED_VALUE"""),"P-15852-00")</f>
        <v>P-15852-00</v>
      </c>
      <c r="D1684" s="6" t="str">
        <f>IFERROR(__xludf.DUMMYFUNCTION("""COMPUTED_VALUE"""),"AMPLAS EAGLE 500")</f>
        <v>AMPLAS EAGLE 500</v>
      </c>
      <c r="E1684" s="6">
        <f>IFERROR(__xludf.DUMMYFUNCTION("""COMPUTED_VALUE"""),3.0)</f>
        <v>3</v>
      </c>
      <c r="F1684" s="6">
        <f>IFERROR(__xludf.DUMMYFUNCTION("""COMPUTED_VALUE"""),3.0)</f>
        <v>3</v>
      </c>
      <c r="G1684" s="6">
        <f>IFERROR(__xludf.DUMMYFUNCTION("""COMPUTED_VALUE"""),0.0)</f>
        <v>0</v>
      </c>
      <c r="H1684" s="6" t="str">
        <f>IFERROR(__xludf.DUMMYFUNCTION("""COMPUTED_VALUE"""),"Pcs")</f>
        <v>Pcs</v>
      </c>
      <c r="I1684" s="6" t="str">
        <f>IFERROR(__xludf.DUMMYFUNCTION("""COMPUTED_VALUE"""),"RYP")</f>
        <v>RYP</v>
      </c>
      <c r="J1684" s="6" t="str">
        <f>IFERROR(__xludf.DUMMYFUNCTION("""COMPUTED_VALUE"""),"Building")</f>
        <v>Building</v>
      </c>
      <c r="K1684" s="6" t="str">
        <f>IFERROR(__xludf.DUMMYFUNCTION("""COMPUTED_VALUE"""),"SPR/02/25/098")</f>
        <v>SPR/02/25/098</v>
      </c>
      <c r="L1684" s="13">
        <f>IFERROR(__xludf.DUMMYFUNCTION("""COMPUTED_VALUE"""),45716.0)</f>
        <v>45716</v>
      </c>
    </row>
    <row r="1685">
      <c r="A1685" s="6" t="str">
        <f>IFERROR(__xludf.DUMMYFUNCTION("""COMPUTED_VALUE"""),"RIA")</f>
        <v>RIA</v>
      </c>
      <c r="B1685" s="6" t="str">
        <f>IFERROR(__xludf.DUMMYFUNCTION("""COMPUTED_VALUE"""),"ENG")</f>
        <v>ENG</v>
      </c>
      <c r="C1685" s="6" t="str">
        <f>IFERROR(__xludf.DUMMYFUNCTION("""COMPUTED_VALUE"""),"T-80109-00")</f>
        <v>T-80109-00</v>
      </c>
      <c r="D1685" s="6" t="str">
        <f>IFERROR(__xludf.DUMMYFUNCTION("""COMPUTED_VALUE"""),"Cellotape Kertas 1 inch warna Putih")</f>
        <v>Cellotape Kertas 1 inch warna Putih</v>
      </c>
      <c r="E1685" s="6">
        <f>IFERROR(__xludf.DUMMYFUNCTION("""COMPUTED_VALUE"""),4.0)</f>
        <v>4</v>
      </c>
      <c r="F1685" s="6">
        <f>IFERROR(__xludf.DUMMYFUNCTION("""COMPUTED_VALUE"""),4.0)</f>
        <v>4</v>
      </c>
      <c r="G1685" s="6">
        <f>IFERROR(__xludf.DUMMYFUNCTION("""COMPUTED_VALUE"""),0.0)</f>
        <v>0</v>
      </c>
      <c r="H1685" s="6" t="str">
        <f>IFERROR(__xludf.DUMMYFUNCTION("""COMPUTED_VALUE"""),"Pcs")</f>
        <v>Pcs</v>
      </c>
      <c r="I1685" s="6" t="str">
        <f>IFERROR(__xludf.DUMMYFUNCTION("""COMPUTED_VALUE"""),"RYP")</f>
        <v>RYP</v>
      </c>
      <c r="J1685" s="6" t="str">
        <f>IFERROR(__xludf.DUMMYFUNCTION("""COMPUTED_VALUE"""),"Lab Micro")</f>
        <v>Lab Micro</v>
      </c>
      <c r="K1685" s="6" t="str">
        <f>IFERROR(__xludf.DUMMYFUNCTION("""COMPUTED_VALUE"""),"SPR/02/25/099")</f>
        <v>SPR/02/25/099</v>
      </c>
      <c r="L1685" s="13">
        <f>IFERROR(__xludf.DUMMYFUNCTION("""COMPUTED_VALUE"""),45716.0)</f>
        <v>45716</v>
      </c>
    </row>
    <row r="1686">
      <c r="A1686" s="6" t="str">
        <f>IFERROR(__xludf.DUMMYFUNCTION("""COMPUTED_VALUE"""),"RIA")</f>
        <v>RIA</v>
      </c>
      <c r="B1686" s="6" t="str">
        <f>IFERROR(__xludf.DUMMYFUNCTION("""COMPUTED_VALUE"""),"ENG")</f>
        <v>ENG</v>
      </c>
      <c r="C1686" s="6" t="str">
        <f>IFERROR(__xludf.DUMMYFUNCTION("""COMPUTED_VALUE"""),"S-46129-00")</f>
        <v>S-46129-00</v>
      </c>
      <c r="D1686" s="6" t="str">
        <f>IFERROR(__xludf.DUMMYFUNCTION("""COMPUTED_VALUE"""),"Plastik Wrap Roll, Size 50 x 200 cm x 17 micron; no brand; ; pack size per roll")</f>
        <v>Plastik Wrap Roll, Size 50 x 200 cm x 17 micron; no brand; ; pack size per roll</v>
      </c>
      <c r="E1686" s="6">
        <f>IFERROR(__xludf.DUMMYFUNCTION("""COMPUTED_VALUE"""),1.0)</f>
        <v>1</v>
      </c>
      <c r="F1686" s="6">
        <f>IFERROR(__xludf.DUMMYFUNCTION("""COMPUTED_VALUE"""),1.0)</f>
        <v>1</v>
      </c>
      <c r="G1686" s="6">
        <f>IFERROR(__xludf.DUMMYFUNCTION("""COMPUTED_VALUE"""),0.0)</f>
        <v>0</v>
      </c>
      <c r="H1686" s="6" t="str">
        <f>IFERROR(__xludf.DUMMYFUNCTION("""COMPUTED_VALUE"""),"Roll")</f>
        <v>Roll</v>
      </c>
      <c r="I1686" s="6" t="str">
        <f>IFERROR(__xludf.DUMMYFUNCTION("""COMPUTED_VALUE"""),"RYP")</f>
        <v>RYP</v>
      </c>
      <c r="J1686" s="6" t="str">
        <f>IFERROR(__xludf.DUMMYFUNCTION("""COMPUTED_VALUE"""),"Lab Micro")</f>
        <v>Lab Micro</v>
      </c>
      <c r="K1686" s="6" t="str">
        <f>IFERROR(__xludf.DUMMYFUNCTION("""COMPUTED_VALUE"""),"SPR/02/25/099")</f>
        <v>SPR/02/25/099</v>
      </c>
      <c r="L1686" s="13">
        <f>IFERROR(__xludf.DUMMYFUNCTION("""COMPUTED_VALUE"""),45716.0)</f>
        <v>45716</v>
      </c>
    </row>
    <row r="1687">
      <c r="A1687" s="6" t="str">
        <f>IFERROR(__xludf.DUMMYFUNCTION("""COMPUTED_VALUE"""),"RIA")</f>
        <v>RIA</v>
      </c>
      <c r="B1687" s="6" t="str">
        <f>IFERROR(__xludf.DUMMYFUNCTION("""COMPUTED_VALUE"""),"ENG")</f>
        <v>ENG</v>
      </c>
      <c r="C1687" s="6" t="str">
        <f>IFERROR(__xludf.DUMMYFUNCTION("""COMPUTED_VALUE"""),"P-51756-00")</f>
        <v>P-51756-00</v>
      </c>
      <c r="D1687" s="6" t="str">
        <f>IFERROR(__xludf.DUMMYFUNCTION("""COMPUTED_VALUE"""),"Kabel NYYHY 3x0.75mm; ; ; meter")</f>
        <v>Kabel NYYHY 3x0.75mm; ; ; meter</v>
      </c>
      <c r="E1687" s="6">
        <f>IFERROR(__xludf.DUMMYFUNCTION("""COMPUTED_VALUE"""),10.0)</f>
        <v>10</v>
      </c>
      <c r="F1687" s="6">
        <f>IFERROR(__xludf.DUMMYFUNCTION("""COMPUTED_VALUE"""),10.0)</f>
        <v>10</v>
      </c>
      <c r="G1687" s="6">
        <f>IFERROR(__xludf.DUMMYFUNCTION("""COMPUTED_VALUE"""),0.0)</f>
        <v>0</v>
      </c>
      <c r="H1687" s="6" t="str">
        <f>IFERROR(__xludf.DUMMYFUNCTION("""COMPUTED_VALUE"""),"Mtr")</f>
        <v>Mtr</v>
      </c>
      <c r="I1687" s="6" t="str">
        <f>IFERROR(__xludf.DUMMYFUNCTION("""COMPUTED_VALUE"""),"RYP")</f>
        <v>RYP</v>
      </c>
      <c r="J1687" s="6" t="str">
        <f>IFERROR(__xludf.DUMMYFUNCTION("""COMPUTED_VALUE"""),"Packhall")</f>
        <v>Packhall</v>
      </c>
      <c r="K1687" s="6" t="str">
        <f>IFERROR(__xludf.DUMMYFUNCTION("""COMPUTED_VALUE"""),"SPR/02/25/099")</f>
        <v>SPR/02/25/099</v>
      </c>
      <c r="L1687" s="13">
        <f>IFERROR(__xludf.DUMMYFUNCTION("""COMPUTED_VALUE"""),45716.0)</f>
        <v>45716</v>
      </c>
    </row>
    <row r="1688">
      <c r="A1688" s="6" t="str">
        <f>IFERROR(__xludf.DUMMYFUNCTION("""COMPUTED_VALUE"""),"MRN")</f>
        <v>MRN</v>
      </c>
      <c r="B1688" s="6" t="str">
        <f>IFERROR(__xludf.DUMMYFUNCTION("""COMPUTED_VALUE"""),"ENG")</f>
        <v>ENG</v>
      </c>
      <c r="C1688" s="6" t="str">
        <f>IFERROR(__xludf.DUMMYFUNCTION("""COMPUTED_VALUE"""),"P-12819-00")</f>
        <v>P-12819-00</v>
      </c>
      <c r="D1688" s="6" t="str">
        <f>IFERROR(__xludf.DUMMYFUNCTION("""COMPUTED_VALUE"""),"Sock PVC AW dia 1/2inch")</f>
        <v>Sock PVC AW dia 1/2inch</v>
      </c>
      <c r="E1688" s="6">
        <f>IFERROR(__xludf.DUMMYFUNCTION("""COMPUTED_VALUE"""),1.0)</f>
        <v>1</v>
      </c>
      <c r="F1688" s="6">
        <f>IFERROR(__xludf.DUMMYFUNCTION("""COMPUTED_VALUE"""),1.0)</f>
        <v>1</v>
      </c>
      <c r="G1688" s="6">
        <f>IFERROR(__xludf.DUMMYFUNCTION("""COMPUTED_VALUE"""),0.0)</f>
        <v>0</v>
      </c>
      <c r="H1688" s="6" t="str">
        <f>IFERROR(__xludf.DUMMYFUNCTION("""COMPUTED_VALUE"""),"Pcs")</f>
        <v>Pcs</v>
      </c>
      <c r="I1688" s="6" t="str">
        <f>IFERROR(__xludf.DUMMYFUNCTION("""COMPUTED_VALUE"""),"RYP")</f>
        <v>RYP</v>
      </c>
      <c r="J1688" s="6" t="str">
        <f>IFERROR(__xludf.DUMMYFUNCTION("""COMPUTED_VALUE"""),"CC")</f>
        <v>CC</v>
      </c>
      <c r="K1688" s="6" t="str">
        <f>IFERROR(__xludf.DUMMYFUNCTION("""COMPUTED_VALUE"""),"SPR/02/25/100")</f>
        <v>SPR/02/25/100</v>
      </c>
      <c r="L1688" s="13">
        <f>IFERROR(__xludf.DUMMYFUNCTION("""COMPUTED_VALUE"""),45716.0)</f>
        <v>45716</v>
      </c>
    </row>
    <row r="1689">
      <c r="A1689" s="6" t="str">
        <f>IFERROR(__xludf.DUMMYFUNCTION("""COMPUTED_VALUE"""),"MRN")</f>
        <v>MRN</v>
      </c>
      <c r="B1689" s="6" t="str">
        <f>IFERROR(__xludf.DUMMYFUNCTION("""COMPUTED_VALUE"""),"ENG")</f>
        <v>ENG</v>
      </c>
      <c r="C1689" s="6" t="str">
        <f>IFERROR(__xludf.DUMMYFUNCTION("""COMPUTED_VALUE"""),"P-12883-00")</f>
        <v>P-12883-00</v>
      </c>
      <c r="D1689" s="6" t="str">
        <f>IFERROR(__xludf.DUMMYFUNCTION("""COMPUTED_VALUE"""),"Tee PVC AW dia 1/2inch X 1/2inch")</f>
        <v>Tee PVC AW dia 1/2inch X 1/2inch</v>
      </c>
      <c r="E1689" s="6">
        <f>IFERROR(__xludf.DUMMYFUNCTION("""COMPUTED_VALUE"""),1.0)</f>
        <v>1</v>
      </c>
      <c r="F1689" s="6">
        <f>IFERROR(__xludf.DUMMYFUNCTION("""COMPUTED_VALUE"""),1.0)</f>
        <v>1</v>
      </c>
      <c r="G1689" s="6">
        <f>IFERROR(__xludf.DUMMYFUNCTION("""COMPUTED_VALUE"""),0.0)</f>
        <v>0</v>
      </c>
      <c r="H1689" s="6" t="str">
        <f>IFERROR(__xludf.DUMMYFUNCTION("""COMPUTED_VALUE"""),"Pcs")</f>
        <v>Pcs</v>
      </c>
      <c r="I1689" s="6" t="str">
        <f>IFERROR(__xludf.DUMMYFUNCTION("""COMPUTED_VALUE"""),"RYP")</f>
        <v>RYP</v>
      </c>
      <c r="J1689" s="6" t="str">
        <f>IFERROR(__xludf.DUMMYFUNCTION("""COMPUTED_VALUE"""),"CC")</f>
        <v>CC</v>
      </c>
      <c r="K1689" s="6" t="str">
        <f>IFERROR(__xludf.DUMMYFUNCTION("""COMPUTED_VALUE"""),"SPR/02/25/100")</f>
        <v>SPR/02/25/100</v>
      </c>
      <c r="L1689" s="13">
        <f>IFERROR(__xludf.DUMMYFUNCTION("""COMPUTED_VALUE"""),45716.0)</f>
        <v>45716</v>
      </c>
    </row>
    <row r="1690">
      <c r="A1690" s="6" t="str">
        <f>IFERROR(__xludf.DUMMYFUNCTION("""COMPUTED_VALUE"""),"MRN")</f>
        <v>MRN</v>
      </c>
      <c r="B1690" s="6" t="str">
        <f>IFERROR(__xludf.DUMMYFUNCTION("""COMPUTED_VALUE"""),"ENG")</f>
        <v>ENG</v>
      </c>
      <c r="C1690" s="6" t="str">
        <f>IFERROR(__xludf.DUMMYFUNCTION("""COMPUTED_VALUE"""),"P-54190-00")</f>
        <v>P-54190-00</v>
      </c>
      <c r="D1690" s="6" t="str">
        <f>IFERROR(__xludf.DUMMYFUNCTION("""COMPUTED_VALUE"""),"Stop Kontak IP55 16A; Legrand; ;")</f>
        <v>Stop Kontak IP55 16A; Legrand; ;</v>
      </c>
      <c r="E1690" s="6">
        <f>IFERROR(__xludf.DUMMYFUNCTION("""COMPUTED_VALUE"""),1.0)</f>
        <v>1</v>
      </c>
      <c r="F1690" s="6">
        <f>IFERROR(__xludf.DUMMYFUNCTION("""COMPUTED_VALUE"""),1.0)</f>
        <v>1</v>
      </c>
      <c r="G1690" s="6">
        <f>IFERROR(__xludf.DUMMYFUNCTION("""COMPUTED_VALUE"""),1.0)</f>
        <v>1</v>
      </c>
      <c r="H1690" s="6" t="str">
        <f>IFERROR(__xludf.DUMMYFUNCTION("""COMPUTED_VALUE"""),"Pcs")</f>
        <v>Pcs</v>
      </c>
      <c r="I1690" s="6" t="str">
        <f>IFERROR(__xludf.DUMMYFUNCTION("""COMPUTED_VALUE"""),"RYP")</f>
        <v>RYP</v>
      </c>
      <c r="J1690" s="6" t="str">
        <f>IFERROR(__xludf.DUMMYFUNCTION("""COMPUTED_VALUE"""),"CC")</f>
        <v>CC</v>
      </c>
      <c r="K1690" s="6" t="str">
        <f>IFERROR(__xludf.DUMMYFUNCTION("""COMPUTED_VALUE"""),"SPR/02/25/100")</f>
        <v>SPR/02/25/100</v>
      </c>
      <c r="L1690" s="13">
        <f>IFERROR(__xludf.DUMMYFUNCTION("""COMPUTED_VALUE"""),45716.0)</f>
        <v>45716</v>
      </c>
    </row>
    <row r="1691">
      <c r="A1691" s="6" t="str">
        <f>IFERROR(__xludf.DUMMYFUNCTION("""COMPUTED_VALUE"""),"MRN")</f>
        <v>MRN</v>
      </c>
      <c r="B1691" s="6" t="str">
        <f>IFERROR(__xludf.DUMMYFUNCTION("""COMPUTED_VALUE"""),"ENG")</f>
        <v>ENG</v>
      </c>
      <c r="C1691" s="6" t="str">
        <f>IFERROR(__xludf.DUMMYFUNCTION("""COMPUTED_VALUE"""),"P-50286-00")</f>
        <v>P-50286-00</v>
      </c>
      <c r="D1691" s="6" t="str">
        <f>IFERROR(__xludf.DUMMYFUNCTION("""COMPUTED_VALUE"""),"Kabel NYYHY 3 x 1,5 mm")</f>
        <v>Kabel NYYHY 3 x 1,5 mm</v>
      </c>
      <c r="E1691" s="6">
        <f>IFERROR(__xludf.DUMMYFUNCTION("""COMPUTED_VALUE"""),5.0)</f>
        <v>5</v>
      </c>
      <c r="F1691" s="6">
        <f>IFERROR(__xludf.DUMMYFUNCTION("""COMPUTED_VALUE"""),5.0)</f>
        <v>5</v>
      </c>
      <c r="G1691" s="6">
        <f>IFERROR(__xludf.DUMMYFUNCTION("""COMPUTED_VALUE"""),5.0)</f>
        <v>5</v>
      </c>
      <c r="H1691" s="6" t="str">
        <f>IFERROR(__xludf.DUMMYFUNCTION("""COMPUTED_VALUE"""),"M")</f>
        <v>M</v>
      </c>
      <c r="I1691" s="6" t="str">
        <f>IFERROR(__xludf.DUMMYFUNCTION("""COMPUTED_VALUE"""),"RYP")</f>
        <v>RYP</v>
      </c>
      <c r="J1691" s="6" t="str">
        <f>IFERROR(__xludf.DUMMYFUNCTION("""COMPUTED_VALUE"""),"CC")</f>
        <v>CC</v>
      </c>
      <c r="K1691" s="6" t="str">
        <f>IFERROR(__xludf.DUMMYFUNCTION("""COMPUTED_VALUE"""),"SPR/02/25/101")</f>
        <v>SPR/02/25/101</v>
      </c>
      <c r="L1691" s="13">
        <f>IFERROR(__xludf.DUMMYFUNCTION("""COMPUTED_VALUE"""),45716.0)</f>
        <v>45716</v>
      </c>
    </row>
    <row r="1692">
      <c r="A1692" s="6" t="str">
        <f>IFERROR(__xludf.DUMMYFUNCTION("""COMPUTED_VALUE"""),"SFH")</f>
        <v>SFH</v>
      </c>
      <c r="B1692" s="6" t="str">
        <f>IFERROR(__xludf.DUMMYFUNCTION("""COMPUTED_VALUE"""),"ENG")</f>
        <v>ENG</v>
      </c>
      <c r="C1692" s="6" t="str">
        <f>IFERROR(__xludf.DUMMYFUNCTION("""COMPUTED_VALUE"""),"Q-10128-00")</f>
        <v>Q-10128-00</v>
      </c>
      <c r="D1692" s="6" t="str">
        <f>IFERROR(__xludf.DUMMYFUNCTION("""COMPUTED_VALUE"""),"Thinner;Impala;;pack size per can")</f>
        <v>Thinner;Impala;;pack size per can</v>
      </c>
      <c r="E1692" s="6">
        <f>IFERROR(__xludf.DUMMYFUNCTION("""COMPUTED_VALUE"""),1.0)</f>
        <v>1</v>
      </c>
      <c r="F1692" s="6">
        <f>IFERROR(__xludf.DUMMYFUNCTION("""COMPUTED_VALUE"""),1.0)</f>
        <v>1</v>
      </c>
      <c r="G1692" s="6">
        <f>IFERROR(__xludf.DUMMYFUNCTION("""COMPUTED_VALUE"""),0.0)</f>
        <v>0</v>
      </c>
      <c r="H1692" s="6" t="str">
        <f>IFERROR(__xludf.DUMMYFUNCTION("""COMPUTED_VALUE"""),"-")</f>
        <v>-</v>
      </c>
      <c r="I1692" s="6" t="str">
        <f>IFERROR(__xludf.DUMMYFUNCTION("""COMPUTED_VALUE"""),"RYP")</f>
        <v>RYP</v>
      </c>
      <c r="J1692" s="6" t="str">
        <f>IFERROR(__xludf.DUMMYFUNCTION("""COMPUTED_VALUE"""),"Building")</f>
        <v>Building</v>
      </c>
      <c r="K1692" s="6" t="str">
        <f>IFERROR(__xludf.DUMMYFUNCTION("""COMPUTED_VALUE"""),"SPR/02/25/102")</f>
        <v>SPR/02/25/102</v>
      </c>
      <c r="L1692" s="13">
        <f>IFERROR(__xludf.DUMMYFUNCTION("""COMPUTED_VALUE"""),45716.0)</f>
        <v>45716</v>
      </c>
    </row>
    <row r="1693">
      <c r="A1693" s="6" t="str">
        <f>IFERROR(__xludf.DUMMYFUNCTION("""COMPUTED_VALUE"""),"SFH")</f>
        <v>SFH</v>
      </c>
      <c r="B1693" s="6" t="str">
        <f>IFERROR(__xludf.DUMMYFUNCTION("""COMPUTED_VALUE"""),"ENG")</f>
        <v>ENG</v>
      </c>
      <c r="C1693" s="6" t="str">
        <f>IFERROR(__xludf.DUMMYFUNCTION("""COMPUTED_VALUE"""),"Q-60025-00")</f>
        <v>Q-60025-00</v>
      </c>
      <c r="D1693" s="6" t="str">
        <f>IFERROR(__xludf.DUMMYFUNCTION("""COMPUTED_VALUE"""),"Kuas Eterna 1")</f>
        <v>Kuas Eterna 1</v>
      </c>
      <c r="E1693" s="6">
        <f>IFERROR(__xludf.DUMMYFUNCTION("""COMPUTED_VALUE"""),1.0)</f>
        <v>1</v>
      </c>
      <c r="F1693" s="6">
        <f>IFERROR(__xludf.DUMMYFUNCTION("""COMPUTED_VALUE"""),1.0)</f>
        <v>1</v>
      </c>
      <c r="G1693" s="6">
        <f>IFERROR(__xludf.DUMMYFUNCTION("""COMPUTED_VALUE"""),0.0)</f>
        <v>0</v>
      </c>
      <c r="H1693" s="6" t="str">
        <f>IFERROR(__xludf.DUMMYFUNCTION("""COMPUTED_VALUE"""),"-")</f>
        <v>-</v>
      </c>
      <c r="I1693" s="6" t="str">
        <f>IFERROR(__xludf.DUMMYFUNCTION("""COMPUTED_VALUE"""),"RYP")</f>
        <v>RYP</v>
      </c>
      <c r="J1693" s="6" t="str">
        <f>IFERROR(__xludf.DUMMYFUNCTION("""COMPUTED_VALUE"""),"Building")</f>
        <v>Building</v>
      </c>
      <c r="K1693" s="6" t="str">
        <f>IFERROR(__xludf.DUMMYFUNCTION("""COMPUTED_VALUE"""),"SPR/02/25/102")</f>
        <v>SPR/02/25/102</v>
      </c>
      <c r="L1693" s="13">
        <f>IFERROR(__xludf.DUMMYFUNCTION("""COMPUTED_VALUE"""),45716.0)</f>
        <v>45716</v>
      </c>
    </row>
    <row r="1694">
      <c r="A1694" s="6" t="str">
        <f>IFERROR(__xludf.DUMMYFUNCTION("""COMPUTED_VALUE"""),"SFH")</f>
        <v>SFH</v>
      </c>
      <c r="B1694" s="6" t="str">
        <f>IFERROR(__xludf.DUMMYFUNCTION("""COMPUTED_VALUE"""),"ENG")</f>
        <v>ENG</v>
      </c>
      <c r="C1694" s="6" t="str">
        <f>IFERROR(__xludf.DUMMYFUNCTION("""COMPUTED_VALUE"""),"Q-10331-00")</f>
        <v>Q-10331-00</v>
      </c>
      <c r="D1694" s="6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E1694" s="6">
        <f>IFERROR(__xludf.DUMMYFUNCTION("""COMPUTED_VALUE"""),1.0)</f>
        <v>1</v>
      </c>
      <c r="F1694" s="6">
        <f>IFERROR(__xludf.DUMMYFUNCTION("""COMPUTED_VALUE"""),1.0)</f>
        <v>1</v>
      </c>
      <c r="G1694" s="6">
        <f>IFERROR(__xludf.DUMMYFUNCTION("""COMPUTED_VALUE"""),0.0)</f>
        <v>0</v>
      </c>
      <c r="H1694" s="6" t="str">
        <f>IFERROR(__xludf.DUMMYFUNCTION("""COMPUTED_VALUE"""),"-")</f>
        <v>-</v>
      </c>
      <c r="I1694" s="6" t="str">
        <f>IFERROR(__xludf.DUMMYFUNCTION("""COMPUTED_VALUE"""),"RYP")</f>
        <v>RYP</v>
      </c>
      <c r="J1694" s="6" t="str">
        <f>IFERROR(__xludf.DUMMYFUNCTION("""COMPUTED_VALUE"""),"Building")</f>
        <v>Building</v>
      </c>
      <c r="K1694" s="6" t="str">
        <f>IFERROR(__xludf.DUMMYFUNCTION("""COMPUTED_VALUE"""),"SPR/02/25/102")</f>
        <v>SPR/02/25/102</v>
      </c>
      <c r="L1694" s="13">
        <f>IFERROR(__xludf.DUMMYFUNCTION("""COMPUTED_VALUE"""),45716.0)</f>
        <v>45716</v>
      </c>
    </row>
    <row r="1695">
      <c r="A1695" s="6" t="str">
        <f>IFERROR(__xludf.DUMMYFUNCTION("""COMPUTED_VALUE"""),"ROS")</f>
        <v>ROS</v>
      </c>
      <c r="B1695" s="6" t="str">
        <f>IFERROR(__xludf.DUMMYFUNCTION("""COMPUTED_VALUE"""),"ENG")</f>
        <v>ENG</v>
      </c>
      <c r="C1695" s="6" t="str">
        <f>IFERROR(__xludf.DUMMYFUNCTION("""COMPUTED_VALUE"""),"P-12305-00")</f>
        <v>P-12305-00</v>
      </c>
      <c r="D1695" s="6" t="str">
        <f>IFERROR(__xludf.DUMMYFUNCTION("""COMPUTED_VALUE"""),"FESTO - QST-6 Push in t-connection p/n 153129")</f>
        <v>FESTO - QST-6 Push in t-connection p/n 153129</v>
      </c>
      <c r="E1695" s="6">
        <f>IFERROR(__xludf.DUMMYFUNCTION("""COMPUTED_VALUE"""),4.0)</f>
        <v>4</v>
      </c>
      <c r="F1695" s="6">
        <f>IFERROR(__xludf.DUMMYFUNCTION("""COMPUTED_VALUE"""),4.0)</f>
        <v>4</v>
      </c>
      <c r="G1695" s="6">
        <f>IFERROR(__xludf.DUMMYFUNCTION("""COMPUTED_VALUE"""),0.0)</f>
        <v>0</v>
      </c>
      <c r="H1695" s="6" t="str">
        <f>IFERROR(__xludf.DUMMYFUNCTION("""COMPUTED_VALUE"""),"Pcs")</f>
        <v>Pcs</v>
      </c>
      <c r="I1695" s="6" t="str">
        <f>IFERROR(__xludf.DUMMYFUNCTION("""COMPUTED_VALUE"""),"RYP")</f>
        <v>RYP</v>
      </c>
      <c r="J1695" s="6" t="str">
        <f>IFERROR(__xludf.DUMMYFUNCTION("""COMPUTED_VALUE"""),"FD")</f>
        <v>FD</v>
      </c>
      <c r="K1695" s="6" t="str">
        <f>IFERROR(__xludf.DUMMYFUNCTION("""COMPUTED_VALUE"""),"SPR/02/25/103")</f>
        <v>SPR/02/25/103</v>
      </c>
      <c r="L1695" s="13">
        <f>IFERROR(__xludf.DUMMYFUNCTION("""COMPUTED_VALUE"""),45716.0)</f>
        <v>45716</v>
      </c>
    </row>
    <row r="1696">
      <c r="A1696" s="6" t="str">
        <f>IFERROR(__xludf.DUMMYFUNCTION("""COMPUTED_VALUE"""),"ROS")</f>
        <v>ROS</v>
      </c>
      <c r="B1696" s="6" t="str">
        <f>IFERROR(__xludf.DUMMYFUNCTION("""COMPUTED_VALUE"""),"ENG")</f>
        <v>ENG</v>
      </c>
      <c r="C1696" s="6" t="str">
        <f>IFERROR(__xludf.DUMMYFUNCTION("""COMPUTED_VALUE"""),"P-13650-00")</f>
        <v>P-13650-00</v>
      </c>
      <c r="D1696" s="6" t="str">
        <f>IFERROR(__xludf.DUMMYFUNCTION("""COMPUTED_VALUE"""),"Manual Valve HE-2-QS-6")</f>
        <v>Manual Valve HE-2-QS-6</v>
      </c>
      <c r="E1696" s="6">
        <f>IFERROR(__xludf.DUMMYFUNCTION("""COMPUTED_VALUE"""),2.0)</f>
        <v>2</v>
      </c>
      <c r="F1696" s="6">
        <f>IFERROR(__xludf.DUMMYFUNCTION("""COMPUTED_VALUE"""),2.0)</f>
        <v>2</v>
      </c>
      <c r="G1696" s="6">
        <f>IFERROR(__xludf.DUMMYFUNCTION("""COMPUTED_VALUE"""),0.0)</f>
        <v>0</v>
      </c>
      <c r="H1696" s="6" t="str">
        <f>IFERROR(__xludf.DUMMYFUNCTION("""COMPUTED_VALUE"""),"Pcs")</f>
        <v>Pcs</v>
      </c>
      <c r="I1696" s="6" t="str">
        <f>IFERROR(__xludf.DUMMYFUNCTION("""COMPUTED_VALUE"""),"RYP")</f>
        <v>RYP</v>
      </c>
      <c r="J1696" s="6" t="str">
        <f>IFERROR(__xludf.DUMMYFUNCTION("""COMPUTED_VALUE"""),"FD")</f>
        <v>FD</v>
      </c>
      <c r="K1696" s="6" t="str">
        <f>IFERROR(__xludf.DUMMYFUNCTION("""COMPUTED_VALUE"""),"SPR/02/25/103")</f>
        <v>SPR/02/25/103</v>
      </c>
      <c r="L1696" s="13">
        <f>IFERROR(__xludf.DUMMYFUNCTION("""COMPUTED_VALUE"""),45716.0)</f>
        <v>45716</v>
      </c>
    </row>
    <row r="1697">
      <c r="A1697" s="6" t="str">
        <f>IFERROR(__xludf.DUMMYFUNCTION("""COMPUTED_VALUE"""),"ROS")</f>
        <v>ROS</v>
      </c>
      <c r="B1697" s="6" t="str">
        <f>IFERROR(__xludf.DUMMYFUNCTION("""COMPUTED_VALUE"""),"ENG")</f>
        <v>ENG</v>
      </c>
      <c r="C1697" s="6" t="str">
        <f>IFERROR(__xludf.DUMMYFUNCTION("""COMPUTED_VALUE"""),"P-10945-00")</f>
        <v>P-10945-00</v>
      </c>
      <c r="D1697" s="6" t="str">
        <f>IFERROR(__xludf.DUMMYFUNCTION("""COMPUTED_VALUE"""),"General - Seal Tape 1 Inch 10 M; Onda; ST 02; 1 pcs")</f>
        <v>General - Seal Tape 1 Inch 10 M; Onda; ST 02; 1 pcs</v>
      </c>
      <c r="E1697" s="6">
        <f>IFERROR(__xludf.DUMMYFUNCTION("""COMPUTED_VALUE"""),1.0)</f>
        <v>1</v>
      </c>
      <c r="F1697" s="6">
        <f>IFERROR(__xludf.DUMMYFUNCTION("""COMPUTED_VALUE"""),1.0)</f>
        <v>1</v>
      </c>
      <c r="G1697" s="6">
        <f>IFERROR(__xludf.DUMMYFUNCTION("""COMPUTED_VALUE"""),0.0)</f>
        <v>0</v>
      </c>
      <c r="H1697" s="6" t="str">
        <f>IFERROR(__xludf.DUMMYFUNCTION("""COMPUTED_VALUE"""),"Pcs")</f>
        <v>Pcs</v>
      </c>
      <c r="I1697" s="6" t="str">
        <f>IFERROR(__xludf.DUMMYFUNCTION("""COMPUTED_VALUE"""),"RYP")</f>
        <v>RYP</v>
      </c>
      <c r="J1697" s="6" t="str">
        <f>IFERROR(__xludf.DUMMYFUNCTION("""COMPUTED_VALUE"""),"-")</f>
        <v>-</v>
      </c>
      <c r="K1697" s="6" t="str">
        <f>IFERROR(__xludf.DUMMYFUNCTION("""COMPUTED_VALUE"""),"SPR/02/25/103")</f>
        <v>SPR/02/25/103</v>
      </c>
      <c r="L1697" s="13">
        <f>IFERROR(__xludf.DUMMYFUNCTION("""COMPUTED_VALUE"""),45716.0)</f>
        <v>45716</v>
      </c>
    </row>
    <row r="1698">
      <c r="A1698" s="6" t="str">
        <f>IFERROR(__xludf.DUMMYFUNCTION("""COMPUTED_VALUE"""),"SHF")</f>
        <v>SHF</v>
      </c>
      <c r="B1698" s="6" t="str">
        <f>IFERROR(__xludf.DUMMYFUNCTION("""COMPUTED_VALUE"""),"ENG")</f>
        <v>ENG</v>
      </c>
      <c r="C1698" s="6" t="str">
        <f>IFERROR(__xludf.DUMMYFUNCTION("""COMPUTED_VALUE"""),"S-46129-00")</f>
        <v>S-46129-00</v>
      </c>
      <c r="D1698" s="6" t="str">
        <f>IFERROR(__xludf.DUMMYFUNCTION("""COMPUTED_VALUE"""),"Plastik Wrap Roll,  Size 50 x 200 cm x 17 micron")</f>
        <v>Plastik Wrap Roll,  Size 50 x 200 cm x 17 micron</v>
      </c>
      <c r="E1698" s="6" t="str">
        <f>IFERROR(__xludf.DUMMYFUNCTION("""COMPUTED_VALUE"""),"-")</f>
        <v>-</v>
      </c>
      <c r="F1698" s="6" t="str">
        <f>IFERROR(__xludf.DUMMYFUNCTION("""COMPUTED_VALUE"""),"-")</f>
        <v>-</v>
      </c>
      <c r="G1698" s="6">
        <f>IFERROR(__xludf.DUMMYFUNCTION("""COMPUTED_VALUE"""),0.0)</f>
        <v>0</v>
      </c>
      <c r="H1698" s="6" t="str">
        <f>IFERROR(__xludf.DUMMYFUNCTION("""COMPUTED_VALUE"""),"-")</f>
        <v>-</v>
      </c>
      <c r="I1698" s="6" t="str">
        <f>IFERROR(__xludf.DUMMYFUNCTION("""COMPUTED_VALUE"""),"RYP")</f>
        <v>RYP</v>
      </c>
      <c r="J1698" s="6" t="str">
        <f>IFERROR(__xludf.DUMMYFUNCTION("""COMPUTED_VALUE"""),"Tank")</f>
        <v>Tank</v>
      </c>
      <c r="K1698" s="6" t="str">
        <f>IFERROR(__xludf.DUMMYFUNCTION("""COMPUTED_VALUE"""),"SPR/02/25/104")</f>
        <v>SPR/02/25/104</v>
      </c>
      <c r="L1698" s="13">
        <f>IFERROR(__xludf.DUMMYFUNCTION("""COMPUTED_VALUE"""),45716.0)</f>
        <v>45716</v>
      </c>
    </row>
    <row r="1699">
      <c r="A1699" s="6" t="str">
        <f>IFERROR(__xludf.DUMMYFUNCTION("""COMPUTED_VALUE"""),"SHF")</f>
        <v>SHF</v>
      </c>
      <c r="B1699" s="6" t="str">
        <f>IFERROR(__xludf.DUMMYFUNCTION("""COMPUTED_VALUE"""),"ENG")</f>
        <v>ENG</v>
      </c>
      <c r="C1699" s="6" t="str">
        <f>IFERROR(__xludf.DUMMYFUNCTION("""COMPUTED_VALUE"""),"Q-10249-00")</f>
        <v>Q-10249-00</v>
      </c>
      <c r="D1699" s="6" t="str">
        <f>IFERROR(__xludf.DUMMYFUNCTION("""COMPUTED_VALUE"""),"Lem;Power Glue;;pack size per pcs")</f>
        <v>Lem;Power Glue;;pack size per pcs</v>
      </c>
      <c r="E1699" s="6" t="str">
        <f>IFERROR(__xludf.DUMMYFUNCTION("""COMPUTED_VALUE"""),"-")</f>
        <v>-</v>
      </c>
      <c r="F1699" s="6" t="str">
        <f>IFERROR(__xludf.DUMMYFUNCTION("""COMPUTED_VALUE"""),"-")</f>
        <v>-</v>
      </c>
      <c r="G1699" s="6">
        <f>IFERROR(__xludf.DUMMYFUNCTION("""COMPUTED_VALUE"""),0.0)</f>
        <v>0</v>
      </c>
      <c r="H1699" s="6" t="str">
        <f>IFERROR(__xludf.DUMMYFUNCTION("""COMPUTED_VALUE"""),"-")</f>
        <v>-</v>
      </c>
      <c r="I1699" s="6" t="str">
        <f>IFERROR(__xludf.DUMMYFUNCTION("""COMPUTED_VALUE"""),"RYP")</f>
        <v>RYP</v>
      </c>
      <c r="J1699" s="6" t="str">
        <f>IFERROR(__xludf.DUMMYFUNCTION("""COMPUTED_VALUE"""),"EJO")</f>
        <v>EJO</v>
      </c>
      <c r="K1699" s="6" t="str">
        <f>IFERROR(__xludf.DUMMYFUNCTION("""COMPUTED_VALUE"""),"SPR/02/25/104")</f>
        <v>SPR/02/25/104</v>
      </c>
      <c r="L1699" s="13">
        <f>IFERROR(__xludf.DUMMYFUNCTION("""COMPUTED_VALUE"""),45716.0)</f>
        <v>45716</v>
      </c>
    </row>
    <row r="1700">
      <c r="A1700" s="6" t="str">
        <f>IFERROR(__xludf.DUMMYFUNCTION("""COMPUTED_VALUE"""),"NAT")</f>
        <v>NAT</v>
      </c>
      <c r="B1700" s="6" t="str">
        <f>IFERROR(__xludf.DUMMYFUNCTION("""COMPUTED_VALUE"""),"ENG")</f>
        <v>ENG</v>
      </c>
      <c r="C1700" s="6" t="str">
        <f>IFERROR(__xludf.DUMMYFUNCTION("""COMPUTED_VALUE"""),"Q-10128-00")</f>
        <v>Q-10128-00</v>
      </c>
      <c r="D1700" s="6" t="str">
        <f>IFERROR(__xludf.DUMMYFUNCTION("""COMPUTED_VALUE"""),"Thinner;Impala;;pack size per can")</f>
        <v>Thinner;Impala;;pack size per can</v>
      </c>
      <c r="E1700" s="6">
        <f>IFERROR(__xludf.DUMMYFUNCTION("""COMPUTED_VALUE"""),1.0)</f>
        <v>1</v>
      </c>
      <c r="F1700" s="6">
        <f>IFERROR(__xludf.DUMMYFUNCTION("""COMPUTED_VALUE"""),1.0)</f>
        <v>1</v>
      </c>
      <c r="G1700" s="6">
        <f>IFERROR(__xludf.DUMMYFUNCTION("""COMPUTED_VALUE"""),0.0)</f>
        <v>0</v>
      </c>
      <c r="H1700" s="6" t="str">
        <f>IFERROR(__xludf.DUMMYFUNCTION("""COMPUTED_VALUE"""),"liter")</f>
        <v>liter</v>
      </c>
      <c r="I1700" s="6" t="str">
        <f>IFERROR(__xludf.DUMMYFUNCTION("""COMPUTED_VALUE"""),"RYP")</f>
        <v>RYP</v>
      </c>
      <c r="J1700" s="6" t="str">
        <f>IFERROR(__xludf.DUMMYFUNCTION("""COMPUTED_VALUE"""),"Building")</f>
        <v>Building</v>
      </c>
      <c r="K1700" s="6" t="str">
        <f>IFERROR(__xludf.DUMMYFUNCTION("""COMPUTED_VALUE"""),"SPR/02/25/105")</f>
        <v>SPR/02/25/105</v>
      </c>
      <c r="L1700" s="13">
        <f>IFERROR(__xludf.DUMMYFUNCTION("""COMPUTED_VALUE"""),45716.0)</f>
        <v>45716</v>
      </c>
    </row>
    <row r="1701">
      <c r="A1701" s="6" t="str">
        <f>IFERROR(__xludf.DUMMYFUNCTION("""COMPUTED_VALUE"""),"MRA")</f>
        <v>MRA</v>
      </c>
      <c r="B1701" s="6" t="str">
        <f>IFERROR(__xludf.DUMMYFUNCTION("""COMPUTED_VALUE"""),"ENG")</f>
        <v>ENG</v>
      </c>
      <c r="C1701" s="6" t="str">
        <f>IFERROR(__xludf.DUMMYFUNCTION("""COMPUTED_VALUE"""),"P-14877-00")</f>
        <v>P-14877-00</v>
      </c>
      <c r="D1701" s="6" t="str">
        <f>IFERROR(__xludf.DUMMYFUNCTION("""COMPUTED_VALUE"""),"General - Kabel NYYHY 3 x 2,5mm; Supreme; -; 1 meter")</f>
        <v>General - Kabel NYYHY 3 x 2,5mm; Supreme; -; 1 meter</v>
      </c>
      <c r="E1701" s="6">
        <f>IFERROR(__xludf.DUMMYFUNCTION("""COMPUTED_VALUE"""),5.0)</f>
        <v>5</v>
      </c>
      <c r="F1701" s="6">
        <f>IFERROR(__xludf.DUMMYFUNCTION("""COMPUTED_VALUE"""),5.0)</f>
        <v>5</v>
      </c>
      <c r="G1701" s="6">
        <f>IFERROR(__xludf.DUMMYFUNCTION("""COMPUTED_VALUE"""),0.0)</f>
        <v>0</v>
      </c>
      <c r="H1701" s="6" t="str">
        <f>IFERROR(__xludf.DUMMYFUNCTION("""COMPUTED_VALUE"""),"M")</f>
        <v>M</v>
      </c>
      <c r="I1701" s="6" t="str">
        <f>IFERROR(__xludf.DUMMYFUNCTION("""COMPUTED_VALUE"""),"RYP")</f>
        <v>RYP</v>
      </c>
      <c r="J1701" s="6" t="str">
        <f>IFERROR(__xludf.DUMMYFUNCTION("""COMPUTED_VALUE"""),"HC Baru stability ")</f>
        <v>HC Baru stability </v>
      </c>
      <c r="K1701" s="6" t="str">
        <f>IFERROR(__xludf.DUMMYFUNCTION("""COMPUTED_VALUE"""),"SPR/02/25/106")</f>
        <v>SPR/02/25/106</v>
      </c>
      <c r="L1701" s="13">
        <f>IFERROR(__xludf.DUMMYFUNCTION("""COMPUTED_VALUE"""),45716.0)</f>
        <v>45716</v>
      </c>
    </row>
    <row r="1702">
      <c r="A1702" s="6" t="str">
        <f>IFERROR(__xludf.DUMMYFUNCTION("""COMPUTED_VALUE"""),"MRA")</f>
        <v>MRA</v>
      </c>
      <c r="B1702" s="6" t="str">
        <f>IFERROR(__xludf.DUMMYFUNCTION("""COMPUTED_VALUE"""),"ENG")</f>
        <v>ENG</v>
      </c>
      <c r="C1702" s="6" t="str">
        <f>IFERROR(__xludf.DUMMYFUNCTION("""COMPUTED_VALUE"""),"P-51216-00")</f>
        <v>P-51216-00</v>
      </c>
      <c r="D1702" s="6" t="str">
        <f>IFERROR(__xludf.DUMMYFUNCTION("""COMPUTED_VALUE"""),"Pipa conduit 20mm")</f>
        <v>Pipa conduit 20mm</v>
      </c>
      <c r="E1702" s="6">
        <f>IFERROR(__xludf.DUMMYFUNCTION("""COMPUTED_VALUE"""),1.0)</f>
        <v>1</v>
      </c>
      <c r="F1702" s="6">
        <f>IFERROR(__xludf.DUMMYFUNCTION("""COMPUTED_VALUE"""),1.0)</f>
        <v>1</v>
      </c>
      <c r="G1702" s="6">
        <f>IFERROR(__xludf.DUMMYFUNCTION("""COMPUTED_VALUE"""),0.0)</f>
        <v>0</v>
      </c>
      <c r="H1702" s="6" t="str">
        <f>IFERROR(__xludf.DUMMYFUNCTION("""COMPUTED_VALUE"""),"Roll")</f>
        <v>Roll</v>
      </c>
      <c r="I1702" s="6" t="str">
        <f>IFERROR(__xludf.DUMMYFUNCTION("""COMPUTED_VALUE"""),"RYP")</f>
        <v>RYP</v>
      </c>
      <c r="J1702" s="6" t="str">
        <f>IFERROR(__xludf.DUMMYFUNCTION("""COMPUTED_VALUE"""),"HC Baru stability ")</f>
        <v>HC Baru stability </v>
      </c>
      <c r="K1702" s="6" t="str">
        <f>IFERROR(__xludf.DUMMYFUNCTION("""COMPUTED_VALUE"""),"SPR/02/25/106")</f>
        <v>SPR/02/25/106</v>
      </c>
      <c r="L1702" s="13">
        <f>IFERROR(__xludf.DUMMYFUNCTION("""COMPUTED_VALUE"""),45716.0)</f>
        <v>45716</v>
      </c>
    </row>
    <row r="1703">
      <c r="A1703" s="6" t="str">
        <f>IFERROR(__xludf.DUMMYFUNCTION("""COMPUTED_VALUE"""),"MRA")</f>
        <v>MRA</v>
      </c>
      <c r="B1703" s="6" t="str">
        <f>IFERROR(__xludf.DUMMYFUNCTION("""COMPUTED_VALUE"""),"ENG")</f>
        <v>ENG</v>
      </c>
      <c r="C1703" s="6" t="str">
        <f>IFERROR(__xludf.DUMMYFUNCTION("""COMPUTED_VALUE"""),"P-54190-00")</f>
        <v>P-54190-00</v>
      </c>
      <c r="D1703" s="6" t="str">
        <f>IFERROR(__xludf.DUMMYFUNCTION("""COMPUTED_VALUE"""),"Stop Kontak IP55 16A; Legrand; ;")</f>
        <v>Stop Kontak IP55 16A; Legrand; ;</v>
      </c>
      <c r="E1703" s="6">
        <f>IFERROR(__xludf.DUMMYFUNCTION("""COMPUTED_VALUE"""),1.0)</f>
        <v>1</v>
      </c>
      <c r="F1703" s="6">
        <f>IFERROR(__xludf.DUMMYFUNCTION("""COMPUTED_VALUE"""),1.0)</f>
        <v>1</v>
      </c>
      <c r="G1703" s="6">
        <f>IFERROR(__xludf.DUMMYFUNCTION("""COMPUTED_VALUE"""),0.0)</f>
        <v>0</v>
      </c>
      <c r="H1703" s="6" t="str">
        <f>IFERROR(__xludf.DUMMYFUNCTION("""COMPUTED_VALUE"""),"Pcs")</f>
        <v>Pcs</v>
      </c>
      <c r="I1703" s="6" t="str">
        <f>IFERROR(__xludf.DUMMYFUNCTION("""COMPUTED_VALUE"""),"RYP")</f>
        <v>RYP</v>
      </c>
      <c r="J1703" s="6" t="str">
        <f>IFERROR(__xludf.DUMMYFUNCTION("""COMPUTED_VALUE"""),"HC Baru stability ")</f>
        <v>HC Baru stability </v>
      </c>
      <c r="K1703" s="6" t="str">
        <f>IFERROR(__xludf.DUMMYFUNCTION("""COMPUTED_VALUE"""),"SPR/02/25/106")</f>
        <v>SPR/02/25/106</v>
      </c>
      <c r="L1703" s="13">
        <f>IFERROR(__xludf.DUMMYFUNCTION("""COMPUTED_VALUE"""),45716.0)</f>
        <v>45716</v>
      </c>
    </row>
    <row r="1704">
      <c r="A1704" s="6" t="str">
        <f>IFERROR(__xludf.DUMMYFUNCTION("""COMPUTED_VALUE"""),"MRM")</f>
        <v>MRM</v>
      </c>
      <c r="B1704" s="6" t="str">
        <f>IFERROR(__xludf.DUMMYFUNCTION("""COMPUTED_VALUE"""),"ENG")</f>
        <v>ENG</v>
      </c>
      <c r="C1704" s="6" t="str">
        <f>IFERROR(__xludf.DUMMYFUNCTION("""COMPUTED_VALUE"""),"P-17390-00")</f>
        <v>P-17390-00</v>
      </c>
      <c r="D1704" s="6" t="str">
        <f>IFERROR(__xludf.DUMMYFUNCTION("""COMPUTED_VALUE"""),"PALL - AB1PFR7PVH4, 0.2 um; ; ;")</f>
        <v>PALL - AB1PFR7PVH4, 0.2 um; ; ;</v>
      </c>
      <c r="E1704" s="6">
        <f>IFERROR(__xludf.DUMMYFUNCTION("""COMPUTED_VALUE"""),1.0)</f>
        <v>1</v>
      </c>
      <c r="F1704" s="6">
        <f>IFERROR(__xludf.DUMMYFUNCTION("""COMPUTED_VALUE"""),1.0)</f>
        <v>1</v>
      </c>
      <c r="G1704" s="6">
        <f>IFERROR(__xludf.DUMMYFUNCTION("""COMPUTED_VALUE"""),0.0)</f>
        <v>0</v>
      </c>
      <c r="H1704" s="6" t="str">
        <f>IFERROR(__xludf.DUMMYFUNCTION("""COMPUTED_VALUE"""),"Pcs")</f>
        <v>Pcs</v>
      </c>
      <c r="I1704" s="6" t="str">
        <f>IFERROR(__xludf.DUMMYFUNCTION("""COMPUTED_VALUE"""),"RYP")</f>
        <v>RYP</v>
      </c>
      <c r="J1704" s="6" t="str">
        <f>IFERROR(__xludf.DUMMYFUNCTION("""COMPUTED_VALUE"""),"-")</f>
        <v>-</v>
      </c>
      <c r="K1704" s="6" t="str">
        <f>IFERROR(__xludf.DUMMYFUNCTION("""COMPUTED_VALUE"""),"SPR/02/25/107")</f>
        <v>SPR/02/25/107</v>
      </c>
      <c r="L1704" s="13">
        <f>IFERROR(__xludf.DUMMYFUNCTION("""COMPUTED_VALUE"""),45716.0)</f>
        <v>45716</v>
      </c>
    </row>
    <row r="1705">
      <c r="A1705" s="6" t="str">
        <f>IFERROR(__xludf.DUMMYFUNCTION("""COMPUTED_VALUE"""),"MRA")</f>
        <v>MRA</v>
      </c>
      <c r="B1705" s="6" t="str">
        <f>IFERROR(__xludf.DUMMYFUNCTION("""COMPUTED_VALUE"""),"ENG")</f>
        <v>ENG</v>
      </c>
      <c r="C1705" s="6" t="str">
        <f>IFERROR(__xludf.DUMMYFUNCTION("""COMPUTED_VALUE"""),"P-18410-00")</f>
        <v>P-18410-00</v>
      </c>
      <c r="D1705" s="6" t="str">
        <f>IFERROR(__xludf.DUMMYFUNCTION("""COMPUTED_VALUE"""),"Dynabolt M6 x 85mm; ; ;")</f>
        <v>Dynabolt M6 x 85mm; ; ;</v>
      </c>
      <c r="E1705" s="6">
        <f>IFERROR(__xludf.DUMMYFUNCTION("""COMPUTED_VALUE"""),2.0)</f>
        <v>2</v>
      </c>
      <c r="F1705" s="6">
        <f>IFERROR(__xludf.DUMMYFUNCTION("""COMPUTED_VALUE"""),2.0)</f>
        <v>2</v>
      </c>
      <c r="G1705" s="6">
        <f>IFERROR(__xludf.DUMMYFUNCTION("""COMPUTED_VALUE"""),0.0)</f>
        <v>0</v>
      </c>
      <c r="H1705" s="6" t="str">
        <f>IFERROR(__xludf.DUMMYFUNCTION("""COMPUTED_VALUE"""),"Pcs")</f>
        <v>Pcs</v>
      </c>
      <c r="I1705" s="6" t="str">
        <f>IFERROR(__xludf.DUMMYFUNCTION("""COMPUTED_VALUE"""),"RYP")</f>
        <v>RYP</v>
      </c>
      <c r="J1705" s="6" t="str">
        <f>IFERROR(__xludf.DUMMYFUNCTION("""COMPUTED_VALUE"""),"exhast cover fornore")</f>
        <v>exhast cover fornore</v>
      </c>
      <c r="K1705" s="6" t="str">
        <f>IFERROR(__xludf.DUMMYFUNCTION("""COMPUTED_VALUE"""),"SPR/02/25/108")</f>
        <v>SPR/02/25/108</v>
      </c>
      <c r="L1705" s="13">
        <f>IFERROR(__xludf.DUMMYFUNCTION("""COMPUTED_VALUE"""),45716.0)</f>
        <v>45716</v>
      </c>
    </row>
    <row r="1706">
      <c r="A1706" s="6" t="str">
        <f>IFERROR(__xludf.DUMMYFUNCTION("""COMPUTED_VALUE"""),"MRA")</f>
        <v>MRA</v>
      </c>
      <c r="B1706" s="6" t="str">
        <f>IFERROR(__xludf.DUMMYFUNCTION("""COMPUTED_VALUE"""),"ENG")</f>
        <v>ENG</v>
      </c>
      <c r="C1706" s="6" t="str">
        <f>IFERROR(__xludf.DUMMYFUNCTION("""COMPUTED_VALUE"""),"P-12492-00")</f>
        <v>P-12492-00</v>
      </c>
      <c r="D1706" s="6" t="str">
        <f>IFERROR(__xludf.DUMMYFUNCTION("""COMPUTED_VALUE"""),"Mata Bor besi dia 6.5 mm ex NACHI")</f>
        <v>Mata Bor besi dia 6.5 mm ex NACHI</v>
      </c>
      <c r="E1706" s="6">
        <f>IFERROR(__xludf.DUMMYFUNCTION("""COMPUTED_VALUE"""),1.0)</f>
        <v>1</v>
      </c>
      <c r="F1706" s="6">
        <f>IFERROR(__xludf.DUMMYFUNCTION("""COMPUTED_VALUE"""),1.0)</f>
        <v>1</v>
      </c>
      <c r="G1706" s="6">
        <f>IFERROR(__xludf.DUMMYFUNCTION("""COMPUTED_VALUE"""),0.0)</f>
        <v>0</v>
      </c>
      <c r="H1706" s="6" t="str">
        <f>IFERROR(__xludf.DUMMYFUNCTION("""COMPUTED_VALUE"""),"Pcs")</f>
        <v>Pcs</v>
      </c>
      <c r="I1706" s="6" t="str">
        <f>IFERROR(__xludf.DUMMYFUNCTION("""COMPUTED_VALUE"""),"RYP")</f>
        <v>RYP</v>
      </c>
      <c r="J1706" s="6" t="str">
        <f>IFERROR(__xludf.DUMMYFUNCTION("""COMPUTED_VALUE"""),"exhast cover fornore")</f>
        <v>exhast cover fornore</v>
      </c>
      <c r="K1706" s="6" t="str">
        <f>IFERROR(__xludf.DUMMYFUNCTION("""COMPUTED_VALUE"""),"SPR/02/25/108")</f>
        <v>SPR/02/25/108</v>
      </c>
      <c r="L1706" s="13">
        <f>IFERROR(__xludf.DUMMYFUNCTION("""COMPUTED_VALUE"""),45716.0)</f>
        <v>45716</v>
      </c>
    </row>
    <row r="1707">
      <c r="A1707" s="6" t="str">
        <f>IFERROR(__xludf.DUMMYFUNCTION("""COMPUTED_VALUE"""),"ANO")</f>
        <v>ANO</v>
      </c>
      <c r="B1707" s="6" t="str">
        <f>IFERROR(__xludf.DUMMYFUNCTION("""COMPUTED_VALUE"""),"ENG")</f>
        <v>ENG</v>
      </c>
      <c r="C1707" s="6" t="str">
        <f>IFERROR(__xludf.DUMMYFUNCTION("""COMPUTED_VALUE"""),"P-52110-00")</f>
        <v>P-52110-00</v>
      </c>
      <c r="D1707" s="6" t="str">
        <f>IFERROR(__xludf.DUMMYFUNCTION("""COMPUTED_VALUE"""),"CAPACITOR 5 uF, 500 V, 50/60 Hz; ; ;")</f>
        <v>CAPACITOR 5 uF, 500 V, 50/60 Hz; ; ;</v>
      </c>
      <c r="E1707" s="6">
        <f>IFERROR(__xludf.DUMMYFUNCTION("""COMPUTED_VALUE"""),1.0)</f>
        <v>1</v>
      </c>
      <c r="F1707" s="6">
        <f>IFERROR(__xludf.DUMMYFUNCTION("""COMPUTED_VALUE"""),1.0)</f>
        <v>1</v>
      </c>
      <c r="G1707" s="6">
        <f>IFERROR(__xludf.DUMMYFUNCTION("""COMPUTED_VALUE"""),0.0)</f>
        <v>0</v>
      </c>
      <c r="H1707" s="6" t="str">
        <f>IFERROR(__xludf.DUMMYFUNCTION("""COMPUTED_VALUE"""),"Pcs")</f>
        <v>Pcs</v>
      </c>
      <c r="I1707" s="6" t="str">
        <f>IFERROR(__xludf.DUMMYFUNCTION("""COMPUTED_VALUE"""),"RYP")</f>
        <v>RYP</v>
      </c>
      <c r="J1707" s="6" t="str">
        <f>IFERROR(__xludf.DUMMYFUNCTION("""COMPUTED_VALUE"""),"HC Stablety")</f>
        <v>HC Stablety</v>
      </c>
      <c r="K1707" s="6" t="str">
        <f>IFERROR(__xludf.DUMMYFUNCTION("""COMPUTED_VALUE"""),"SPR/02/25/109")</f>
        <v>SPR/02/25/109</v>
      </c>
      <c r="L1707" s="13">
        <f>IFERROR(__xludf.DUMMYFUNCTION("""COMPUTED_VALUE"""),45716.0)</f>
        <v>45716</v>
      </c>
    </row>
    <row r="1708">
      <c r="A1708" s="6" t="str">
        <f>IFERROR(__xludf.DUMMYFUNCTION("""COMPUTED_VALUE"""),"RIA")</f>
        <v>RIA</v>
      </c>
      <c r="B1708" s="6" t="str">
        <f>IFERROR(__xludf.DUMMYFUNCTION("""COMPUTED_VALUE"""),"ENG")</f>
        <v>ENG</v>
      </c>
      <c r="C1708" s="6" t="str">
        <f>IFERROR(__xludf.DUMMYFUNCTION("""COMPUTED_VALUE"""),"P-19234-00")</f>
        <v>P-19234-00</v>
      </c>
      <c r="D1708" s="6" t="str">
        <f>IFERROR(__xludf.DUMMYFUNCTION("""COMPUTED_VALUE"""),"Fitting Tee Tubing (Pneumatic Union Speed Control) 12 mm; EMC; ;")</f>
        <v>Fitting Tee Tubing (Pneumatic Union Speed Control) 12 mm; EMC; ;</v>
      </c>
      <c r="E1708" s="6">
        <f>IFERROR(__xludf.DUMMYFUNCTION("""COMPUTED_VALUE"""),1.0)</f>
        <v>1</v>
      </c>
      <c r="F1708" s="6">
        <f>IFERROR(__xludf.DUMMYFUNCTION("""COMPUTED_VALUE"""),1.0)</f>
        <v>1</v>
      </c>
      <c r="G1708" s="6">
        <f>IFERROR(__xludf.DUMMYFUNCTION("""COMPUTED_VALUE"""),0.0)</f>
        <v>0</v>
      </c>
      <c r="H1708" s="6" t="str">
        <f>IFERROR(__xludf.DUMMYFUNCTION("""COMPUTED_VALUE"""),"Pcs")</f>
        <v>Pcs</v>
      </c>
      <c r="I1708" s="6" t="str">
        <f>IFERROR(__xludf.DUMMYFUNCTION("""COMPUTED_VALUE"""),"RYP")</f>
        <v>RYP</v>
      </c>
      <c r="J1708" s="6" t="str">
        <f>IFERROR(__xludf.DUMMYFUNCTION("""COMPUTED_VALUE"""),"IGL")</f>
        <v>IGL</v>
      </c>
      <c r="K1708" s="6" t="str">
        <f>IFERROR(__xludf.DUMMYFUNCTION("""COMPUTED_VALUE"""),"SPR/02/25/110")</f>
        <v>SPR/02/25/110</v>
      </c>
      <c r="L1708" s="13">
        <f>IFERROR(__xludf.DUMMYFUNCTION("""COMPUTED_VALUE"""),45716.0)</f>
        <v>45716</v>
      </c>
    </row>
    <row r="1709">
      <c r="A1709" s="6" t="str">
        <f>IFERROR(__xludf.DUMMYFUNCTION("""COMPUTED_VALUE"""),"RIA")</f>
        <v>RIA</v>
      </c>
      <c r="B1709" s="6" t="str">
        <f>IFERROR(__xludf.DUMMYFUNCTION("""COMPUTED_VALUE"""),"ENG")</f>
        <v>ENG</v>
      </c>
      <c r="C1709" s="6" t="str">
        <f>IFERROR(__xludf.DUMMYFUNCTION("""COMPUTED_VALUE"""),"P-14245-00")</f>
        <v>P-14245-00</v>
      </c>
      <c r="D1709" s="6" t="str">
        <f>IFERROR(__xludf.DUMMYFUNCTION("""COMPUTED_VALUE"""),"Manual valve HE-2-QS-8 FESTO; ; ;")</f>
        <v>Manual valve HE-2-QS-8 FESTO; ; ;</v>
      </c>
      <c r="E1709" s="6">
        <f>IFERROR(__xludf.DUMMYFUNCTION("""COMPUTED_VALUE"""),1.0)</f>
        <v>1</v>
      </c>
      <c r="F1709" s="6">
        <f>IFERROR(__xludf.DUMMYFUNCTION("""COMPUTED_VALUE"""),1.0)</f>
        <v>1</v>
      </c>
      <c r="G1709" s="6">
        <f>IFERROR(__xludf.DUMMYFUNCTION("""COMPUTED_VALUE"""),0.0)</f>
        <v>0</v>
      </c>
      <c r="H1709" s="6" t="str">
        <f>IFERROR(__xludf.DUMMYFUNCTION("""COMPUTED_VALUE"""),"Pcs")</f>
        <v>Pcs</v>
      </c>
      <c r="I1709" s="6" t="str">
        <f>IFERROR(__xludf.DUMMYFUNCTION("""COMPUTED_VALUE"""),"RYP")</f>
        <v>RYP</v>
      </c>
      <c r="J1709" s="6" t="str">
        <f>IFERROR(__xludf.DUMMYFUNCTION("""COMPUTED_VALUE"""),"IGL")</f>
        <v>IGL</v>
      </c>
      <c r="K1709" s="6" t="str">
        <f>IFERROR(__xludf.DUMMYFUNCTION("""COMPUTED_VALUE"""),"SPR/02/25/110")</f>
        <v>SPR/02/25/110</v>
      </c>
      <c r="L1709" s="13">
        <f>IFERROR(__xludf.DUMMYFUNCTION("""COMPUTED_VALUE"""),45716.0)</f>
        <v>45716</v>
      </c>
    </row>
    <row r="1710">
      <c r="A1710" s="6" t="str">
        <f>IFERROR(__xludf.DUMMYFUNCTION("""COMPUTED_VALUE"""),"RIA")</f>
        <v>RIA</v>
      </c>
      <c r="B1710" s="6" t="str">
        <f>IFERROR(__xludf.DUMMYFUNCTION("""COMPUTED_VALUE"""),"ENG")</f>
        <v>ENG</v>
      </c>
      <c r="C1710" s="6" t="str">
        <f>IFERROR(__xludf.DUMMYFUNCTION("""COMPUTED_VALUE"""),"T-80681-00")</f>
        <v>T-80681-00</v>
      </c>
      <c r="D1710" s="6" t="str">
        <f>IFERROR(__xludf.DUMMYFUNCTION("""COMPUTED_VALUE"""),"Battery Kancing Energizer CR2032  3V Lithium")</f>
        <v>Battery Kancing Energizer CR2032  3V Lithium</v>
      </c>
      <c r="E1710" s="6">
        <f>IFERROR(__xludf.DUMMYFUNCTION("""COMPUTED_VALUE"""),1.0)</f>
        <v>1</v>
      </c>
      <c r="F1710" s="6">
        <f>IFERROR(__xludf.DUMMYFUNCTION("""COMPUTED_VALUE"""),1.0)</f>
        <v>1</v>
      </c>
      <c r="G1710" s="6">
        <f>IFERROR(__xludf.DUMMYFUNCTION("""COMPUTED_VALUE"""),0.0)</f>
        <v>0</v>
      </c>
      <c r="H1710" s="6" t="str">
        <f>IFERROR(__xludf.DUMMYFUNCTION("""COMPUTED_VALUE"""),"Pcs")</f>
        <v>Pcs</v>
      </c>
      <c r="I1710" s="6" t="str">
        <f>IFERROR(__xludf.DUMMYFUNCTION("""COMPUTED_VALUE"""),"RYP")</f>
        <v>RYP</v>
      </c>
      <c r="J1710" s="6" t="str">
        <f>IFERROR(__xludf.DUMMYFUNCTION("""COMPUTED_VALUE"""),"ASRS")</f>
        <v>ASRS</v>
      </c>
      <c r="K1710" s="6" t="str">
        <f>IFERROR(__xludf.DUMMYFUNCTION("""COMPUTED_VALUE"""),"SPR/02/25/111")</f>
        <v>SPR/02/25/111</v>
      </c>
      <c r="L1710" s="13">
        <f>IFERROR(__xludf.DUMMYFUNCTION("""COMPUTED_VALUE"""),45716.0)</f>
        <v>45716</v>
      </c>
    </row>
    <row r="1711">
      <c r="A1711" s="6" t="str">
        <f>IFERROR(__xludf.DUMMYFUNCTION("""COMPUTED_VALUE"""),"SPM")</f>
        <v>SPM</v>
      </c>
      <c r="B1711" s="6" t="str">
        <f>IFERROR(__xludf.DUMMYFUNCTION("""COMPUTED_VALUE"""),"ENG")</f>
        <v>ENG</v>
      </c>
      <c r="C1711" s="6" t="str">
        <f>IFERROR(__xludf.DUMMYFUNCTION("""COMPUTED_VALUE"""),"Q-10656-00")</f>
        <v>Q-10656-00</v>
      </c>
      <c r="D1711" s="6" t="str">
        <f>IFERROR(__xludf.DUMMYFUNCTION("""COMPUTED_VALUE"""),"Kuas Cat Uk. 5 inch;No Brand;;pack size per pcs")</f>
        <v>Kuas Cat Uk. 5 inch;No Brand;;pack size per pcs</v>
      </c>
      <c r="E1711" s="6">
        <f>IFERROR(__xludf.DUMMYFUNCTION("""COMPUTED_VALUE"""),1.0)</f>
        <v>1</v>
      </c>
      <c r="F1711" s="6">
        <f>IFERROR(__xludf.DUMMYFUNCTION("""COMPUTED_VALUE"""),1.0)</f>
        <v>1</v>
      </c>
      <c r="G1711" s="6">
        <f>IFERROR(__xludf.DUMMYFUNCTION("""COMPUTED_VALUE"""),0.0)</f>
        <v>0</v>
      </c>
      <c r="H1711" s="6" t="str">
        <f>IFERROR(__xludf.DUMMYFUNCTION("""COMPUTED_VALUE"""),"Pcs")</f>
        <v>Pcs</v>
      </c>
      <c r="I1711" s="6" t="str">
        <f>IFERROR(__xludf.DUMMYFUNCTION("""COMPUTED_VALUE"""),"RYP")</f>
        <v>RYP</v>
      </c>
      <c r="J1711" s="6" t="str">
        <f>IFERROR(__xludf.DUMMYFUNCTION("""COMPUTED_VALUE"""),"Building")</f>
        <v>Building</v>
      </c>
      <c r="K1711" s="6" t="str">
        <f>IFERROR(__xludf.DUMMYFUNCTION("""COMPUTED_VALUE"""),"SPR/02/25/112")</f>
        <v>SPR/02/25/112</v>
      </c>
      <c r="L1711" s="13">
        <f>IFERROR(__xludf.DUMMYFUNCTION("""COMPUTED_VALUE"""),45716.0)</f>
        <v>45716</v>
      </c>
    </row>
    <row r="1712">
      <c r="A1712" s="6" t="str">
        <f>IFERROR(__xludf.DUMMYFUNCTION("""COMPUTED_VALUE"""),"SPM")</f>
        <v>SPM</v>
      </c>
      <c r="B1712" s="6" t="str">
        <f>IFERROR(__xludf.DUMMYFUNCTION("""COMPUTED_VALUE"""),"ENG")</f>
        <v>ENG</v>
      </c>
      <c r="C1712" s="6" t="str">
        <f>IFERROR(__xludf.DUMMYFUNCTION("""COMPUTED_VALUE"""),"T-80109-00")</f>
        <v>T-80109-00</v>
      </c>
      <c r="D1712" s="6" t="str">
        <f>IFERROR(__xludf.DUMMYFUNCTION("""COMPUTED_VALUE"""),"Cellotape Kertas 1 inch warna Putih")</f>
        <v>Cellotape Kertas 1 inch warna Putih</v>
      </c>
      <c r="E1712" s="6">
        <f>IFERROR(__xludf.DUMMYFUNCTION("""COMPUTED_VALUE"""),2.0)</f>
        <v>2</v>
      </c>
      <c r="F1712" s="6">
        <f>IFERROR(__xludf.DUMMYFUNCTION("""COMPUTED_VALUE"""),2.0)</f>
        <v>2</v>
      </c>
      <c r="G1712" s="6">
        <f>IFERROR(__xludf.DUMMYFUNCTION("""COMPUTED_VALUE"""),0.0)</f>
        <v>0</v>
      </c>
      <c r="H1712" s="6" t="str">
        <f>IFERROR(__xludf.DUMMYFUNCTION("""COMPUTED_VALUE"""),"Pcs")</f>
        <v>Pcs</v>
      </c>
      <c r="I1712" s="6" t="str">
        <f>IFERROR(__xludf.DUMMYFUNCTION("""COMPUTED_VALUE"""),"RYP")</f>
        <v>RYP</v>
      </c>
      <c r="J1712" s="6" t="str">
        <f>IFERROR(__xludf.DUMMYFUNCTION("""COMPUTED_VALUE"""),"Building")</f>
        <v>Building</v>
      </c>
      <c r="K1712" s="6" t="str">
        <f>IFERROR(__xludf.DUMMYFUNCTION("""COMPUTED_VALUE"""),"SPR/02/25/112")</f>
        <v>SPR/02/25/112</v>
      </c>
      <c r="L1712" s="13">
        <f>IFERROR(__xludf.DUMMYFUNCTION("""COMPUTED_VALUE"""),45716.0)</f>
        <v>45716</v>
      </c>
    </row>
    <row r="1713">
      <c r="A1713" s="6" t="str">
        <f>IFERROR(__xludf.DUMMYFUNCTION("""COMPUTED_VALUE"""),"ROS")</f>
        <v>ROS</v>
      </c>
      <c r="B1713" s="6" t="str">
        <f>IFERROR(__xludf.DUMMYFUNCTION("""COMPUTED_VALUE"""),"ENG")</f>
        <v>ENG</v>
      </c>
      <c r="C1713" s="6" t="str">
        <f>IFERROR(__xludf.DUMMYFUNCTION("""COMPUTED_VALUE"""),"P-52110-00")</f>
        <v>P-52110-00</v>
      </c>
      <c r="D1713" s="6" t="str">
        <f>IFERROR(__xludf.DUMMYFUNCTION("""COMPUTED_VALUE"""),"CAPACITOR 5 uF, 500 V, 50/60 Hz; ; ;")</f>
        <v>CAPACITOR 5 uF, 500 V, 50/60 Hz; ; ;</v>
      </c>
      <c r="E1713" s="6">
        <f>IFERROR(__xludf.DUMMYFUNCTION("""COMPUTED_VALUE"""),1.0)</f>
        <v>1</v>
      </c>
      <c r="F1713" s="6">
        <f>IFERROR(__xludf.DUMMYFUNCTION("""COMPUTED_VALUE"""),1.0)</f>
        <v>1</v>
      </c>
      <c r="G1713" s="6">
        <f>IFERROR(__xludf.DUMMYFUNCTION("""COMPUTED_VALUE"""),0.0)</f>
        <v>0</v>
      </c>
      <c r="H1713" s="6" t="str">
        <f>IFERROR(__xludf.DUMMYFUNCTION("""COMPUTED_VALUE"""),"Pcs")</f>
        <v>Pcs</v>
      </c>
      <c r="I1713" s="6" t="str">
        <f>IFERROR(__xludf.DUMMYFUNCTION("""COMPUTED_VALUE"""),"RYP")</f>
        <v>RYP</v>
      </c>
      <c r="J1713" s="6" t="str">
        <f>IFERROR(__xludf.DUMMYFUNCTION("""COMPUTED_VALUE"""),"Humidity clanter")</f>
        <v>Humidity clanter</v>
      </c>
      <c r="K1713" s="6" t="str">
        <f>IFERROR(__xludf.DUMMYFUNCTION("""COMPUTED_VALUE"""),"SPR/02/25/113")</f>
        <v>SPR/02/25/113</v>
      </c>
      <c r="L1713" s="13">
        <f>IFERROR(__xludf.DUMMYFUNCTION("""COMPUTED_VALUE"""),45716.0)</f>
        <v>45716</v>
      </c>
    </row>
    <row r="1714">
      <c r="A1714" s="6" t="str">
        <f>IFERROR(__xludf.DUMMYFUNCTION("""COMPUTED_VALUE"""),"ROS")</f>
        <v>ROS</v>
      </c>
      <c r="B1714" s="6" t="str">
        <f>IFERROR(__xludf.DUMMYFUNCTION("""COMPUTED_VALUE"""),"ENG")</f>
        <v>ENG</v>
      </c>
      <c r="C1714" s="6" t="str">
        <f>IFERROR(__xludf.DUMMYFUNCTION("""COMPUTED_VALUE"""),"P-52519-00")</f>
        <v>P-52519-00</v>
      </c>
      <c r="D1714" s="6" t="str">
        <f>IFERROR(__xludf.DUMMYFUNCTION("""COMPUTED_VALUE"""),"CAPACITOR 3.5 uF, 450V, 2 kutub; ; ;")</f>
        <v>CAPACITOR 3.5 uF, 450V, 2 kutub; ; ;</v>
      </c>
      <c r="E1714" s="6">
        <f>IFERROR(__xludf.DUMMYFUNCTION("""COMPUTED_VALUE"""),1.0)</f>
        <v>1</v>
      </c>
      <c r="F1714" s="6">
        <f>IFERROR(__xludf.DUMMYFUNCTION("""COMPUTED_VALUE"""),1.0)</f>
        <v>1</v>
      </c>
      <c r="G1714" s="6">
        <f>IFERROR(__xludf.DUMMYFUNCTION("""COMPUTED_VALUE"""),0.0)</f>
        <v>0</v>
      </c>
      <c r="H1714" s="6" t="str">
        <f>IFERROR(__xludf.DUMMYFUNCTION("""COMPUTED_VALUE"""),"Pcs")</f>
        <v>Pcs</v>
      </c>
      <c r="I1714" s="6" t="str">
        <f>IFERROR(__xludf.DUMMYFUNCTION("""COMPUTED_VALUE"""),"RYP")</f>
        <v>RYP</v>
      </c>
      <c r="J1714" s="6" t="str">
        <f>IFERROR(__xludf.DUMMYFUNCTION("""COMPUTED_VALUE"""),"Rzi ethast")</f>
        <v>Rzi ethast</v>
      </c>
      <c r="K1714" s="6" t="str">
        <f>IFERROR(__xludf.DUMMYFUNCTION("""COMPUTED_VALUE"""),"SPR/02/25/113")</f>
        <v>SPR/02/25/113</v>
      </c>
      <c r="L1714" s="13">
        <f>IFERROR(__xludf.DUMMYFUNCTION("""COMPUTED_VALUE"""),45716.0)</f>
        <v>45716</v>
      </c>
    </row>
    <row r="1715">
      <c r="A1715" s="6" t="str">
        <f>IFERROR(__xludf.DUMMYFUNCTION("""COMPUTED_VALUE"""),"MRN")</f>
        <v>MRN</v>
      </c>
      <c r="B1715" s="6" t="str">
        <f>IFERROR(__xludf.DUMMYFUNCTION("""COMPUTED_VALUE"""),"ENG")</f>
        <v>ENG</v>
      </c>
      <c r="C1715" s="6" t="str">
        <f>IFERROR(__xludf.DUMMYFUNCTION("""COMPUTED_VALUE"""),"P-52003-00")</f>
        <v>P-52003-00</v>
      </c>
      <c r="D1715" s="6" t="str">
        <f>IFERROR(__xludf.DUMMYFUNCTION("""COMPUTED_VALUE"""),"Klem Pipa Conduit Merk. Clipsal Warna Putih Uk. 20 mm; Clipsal; ; pack")</f>
        <v>Klem Pipa Conduit Merk. Clipsal Warna Putih Uk. 20 mm; Clipsal; ; pack</v>
      </c>
      <c r="E1715" s="6">
        <f>IFERROR(__xludf.DUMMYFUNCTION("""COMPUTED_VALUE"""),4.0)</f>
        <v>4</v>
      </c>
      <c r="F1715" s="6">
        <f>IFERROR(__xludf.DUMMYFUNCTION("""COMPUTED_VALUE"""),4.0)</f>
        <v>4</v>
      </c>
      <c r="G1715" s="6">
        <f>IFERROR(__xludf.DUMMYFUNCTION("""COMPUTED_VALUE"""),0.0)</f>
        <v>0</v>
      </c>
      <c r="H1715" s="6" t="str">
        <f>IFERROR(__xludf.DUMMYFUNCTION("""COMPUTED_VALUE"""),"Pcs")</f>
        <v>Pcs</v>
      </c>
      <c r="I1715" s="6" t="str">
        <f>IFERROR(__xludf.DUMMYFUNCTION("""COMPUTED_VALUE"""),"RYP")</f>
        <v>RYP</v>
      </c>
      <c r="J1715" s="6" t="str">
        <f>IFERROR(__xludf.DUMMYFUNCTION("""COMPUTED_VALUE"""),"HC Baru stability ")</f>
        <v>HC Baru stability </v>
      </c>
      <c r="K1715" s="6" t="str">
        <f>IFERROR(__xludf.DUMMYFUNCTION("""COMPUTED_VALUE"""),"SPR/02/25/114")</f>
        <v>SPR/02/25/114</v>
      </c>
      <c r="L1715" s="13">
        <f>IFERROR(__xludf.DUMMYFUNCTION("""COMPUTED_VALUE"""),45716.0)</f>
        <v>45716</v>
      </c>
    </row>
    <row r="1716">
      <c r="A1716" s="6" t="str">
        <f>IFERROR(__xludf.DUMMYFUNCTION("""COMPUTED_VALUE"""),"MRN")</f>
        <v>MRN</v>
      </c>
      <c r="B1716" s="6" t="str">
        <f>IFERROR(__xludf.DUMMYFUNCTION("""COMPUTED_VALUE"""),"ENG")</f>
        <v>ENG</v>
      </c>
      <c r="C1716" s="6" t="str">
        <f>IFERROR(__xludf.DUMMYFUNCTION("""COMPUTED_VALUE"""),"P-14877-00")</f>
        <v>P-14877-00</v>
      </c>
      <c r="D1716" s="6" t="str">
        <f>IFERROR(__xludf.DUMMYFUNCTION("""COMPUTED_VALUE"""),"General - Kabel NYYHY 3 x 2,5mm; Supreme; -; 1 meter")</f>
        <v>General - Kabel NYYHY 3 x 2,5mm; Supreme; -; 1 meter</v>
      </c>
      <c r="E1716" s="6">
        <f>IFERROR(__xludf.DUMMYFUNCTION("""COMPUTED_VALUE"""),10.0)</f>
        <v>10</v>
      </c>
      <c r="F1716" s="6">
        <f>IFERROR(__xludf.DUMMYFUNCTION("""COMPUTED_VALUE"""),10.0)</f>
        <v>10</v>
      </c>
      <c r="G1716" s="6">
        <f>IFERROR(__xludf.DUMMYFUNCTION("""COMPUTED_VALUE"""),0.0)</f>
        <v>0</v>
      </c>
      <c r="H1716" s="6" t="str">
        <f>IFERROR(__xludf.DUMMYFUNCTION("""COMPUTED_VALUE"""),"M")</f>
        <v>M</v>
      </c>
      <c r="I1716" s="6" t="str">
        <f>IFERROR(__xludf.DUMMYFUNCTION("""COMPUTED_VALUE"""),"RYP")</f>
        <v>RYP</v>
      </c>
      <c r="J1716" s="6" t="str">
        <f>IFERROR(__xludf.DUMMYFUNCTION("""COMPUTED_VALUE"""),"HC Baru stability ")</f>
        <v>HC Baru stability </v>
      </c>
      <c r="K1716" s="6" t="str">
        <f>IFERROR(__xludf.DUMMYFUNCTION("""COMPUTED_VALUE"""),"SPR/02/25/114")</f>
        <v>SPR/02/25/114</v>
      </c>
      <c r="L1716" s="13">
        <f>IFERROR(__xludf.DUMMYFUNCTION("""COMPUTED_VALUE"""),45716.0)</f>
        <v>45716</v>
      </c>
    </row>
    <row r="1717">
      <c r="A1717" s="6" t="str">
        <f>IFERROR(__xludf.DUMMYFUNCTION("""COMPUTED_VALUE"""),"RIA")</f>
        <v>RIA</v>
      </c>
      <c r="B1717" s="6" t="str">
        <f>IFERROR(__xludf.DUMMYFUNCTION("""COMPUTED_VALUE"""),"ENG")</f>
        <v>ENG</v>
      </c>
      <c r="C1717" s="6" t="str">
        <f>IFERROR(__xludf.DUMMYFUNCTION("""COMPUTED_VALUE"""),"-")</f>
        <v>-</v>
      </c>
      <c r="D1717" s="6" t="str">
        <f>IFERROR(__xludf.DUMMYFUNCTION("""COMPUTED_VALUE"""),"Saklar Merah")</f>
        <v>Saklar Merah</v>
      </c>
      <c r="E1717" s="6">
        <f>IFERROR(__xludf.DUMMYFUNCTION("""COMPUTED_VALUE"""),1.0)</f>
        <v>1</v>
      </c>
      <c r="F1717" s="6">
        <f>IFERROR(__xludf.DUMMYFUNCTION("""COMPUTED_VALUE"""),1.0)</f>
        <v>1</v>
      </c>
      <c r="G1717" s="6">
        <f>IFERROR(__xludf.DUMMYFUNCTION("""COMPUTED_VALUE"""),0.0)</f>
        <v>0</v>
      </c>
      <c r="H1717" s="6" t="str">
        <f>IFERROR(__xludf.DUMMYFUNCTION("""COMPUTED_VALUE"""),"Pcs")</f>
        <v>Pcs</v>
      </c>
      <c r="I1717" s="6" t="str">
        <f>IFERROR(__xludf.DUMMYFUNCTION("""COMPUTED_VALUE"""),"RYP")</f>
        <v>RYP</v>
      </c>
      <c r="J1717" s="6" t="str">
        <f>IFERROR(__xludf.DUMMYFUNCTION("""COMPUTED_VALUE"""),"Purnih")</f>
        <v>Purnih</v>
      </c>
      <c r="K1717" s="6" t="str">
        <f>IFERROR(__xludf.DUMMYFUNCTION("""COMPUTED_VALUE"""),"SPR/02/25/115")</f>
        <v>SPR/02/25/115</v>
      </c>
      <c r="L1717" s="13">
        <f>IFERROR(__xludf.DUMMYFUNCTION("""COMPUTED_VALUE"""),45716.0)</f>
        <v>45716</v>
      </c>
    </row>
    <row r="1718">
      <c r="A1718" s="6" t="str">
        <f>IFERROR(__xludf.DUMMYFUNCTION("""COMPUTED_VALUE"""),"RIA")</f>
        <v>RIA</v>
      </c>
      <c r="B1718" s="6" t="str">
        <f>IFERROR(__xludf.DUMMYFUNCTION("""COMPUTED_VALUE"""),"ENG")</f>
        <v>ENG</v>
      </c>
      <c r="C1718" s="6" t="str">
        <f>IFERROR(__xludf.DUMMYFUNCTION("""COMPUTED_VALUE"""),"-")</f>
        <v>-</v>
      </c>
      <c r="D1718" s="6" t="str">
        <f>IFERROR(__xludf.DUMMYFUNCTION("""COMPUTED_VALUE"""),"Karet Ban")</f>
        <v>Karet Ban</v>
      </c>
      <c r="E1718" s="6">
        <f>IFERROR(__xludf.DUMMYFUNCTION("""COMPUTED_VALUE"""),1.0)</f>
        <v>1</v>
      </c>
      <c r="F1718" s="6">
        <f>IFERROR(__xludf.DUMMYFUNCTION("""COMPUTED_VALUE"""),1.0)</f>
        <v>1</v>
      </c>
      <c r="G1718" s="6">
        <f>IFERROR(__xludf.DUMMYFUNCTION("""COMPUTED_VALUE"""),0.0)</f>
        <v>0</v>
      </c>
      <c r="H1718" s="6" t="str">
        <f>IFERROR(__xludf.DUMMYFUNCTION("""COMPUTED_VALUE"""),"Mtr")</f>
        <v>Mtr</v>
      </c>
      <c r="I1718" s="6" t="str">
        <f>IFERROR(__xludf.DUMMYFUNCTION("""COMPUTED_VALUE"""),"RYP")</f>
        <v>RYP</v>
      </c>
      <c r="J1718" s="6" t="str">
        <f>IFERROR(__xludf.DUMMYFUNCTION("""COMPUTED_VALUE"""),"Pipe rack")</f>
        <v>Pipe rack</v>
      </c>
      <c r="K1718" s="6" t="str">
        <f>IFERROR(__xludf.DUMMYFUNCTION("""COMPUTED_VALUE"""),"SPR/02/25/116")</f>
        <v>SPR/02/25/116</v>
      </c>
      <c r="L1718" s="13">
        <f>IFERROR(__xludf.DUMMYFUNCTION("""COMPUTED_VALUE"""),45716.0)</f>
        <v>45716</v>
      </c>
    </row>
    <row r="1719">
      <c r="A1719" s="6" t="str">
        <f>IFERROR(__xludf.DUMMYFUNCTION("""COMPUTED_VALUE"""),"RIA")</f>
        <v>RIA</v>
      </c>
      <c r="B1719" s="6" t="str">
        <f>IFERROR(__xludf.DUMMYFUNCTION("""COMPUTED_VALUE"""),"ENG")</f>
        <v>ENG</v>
      </c>
      <c r="C1719" s="6" t="str">
        <f>IFERROR(__xludf.DUMMYFUNCTION("""COMPUTED_VALUE"""),"P-10863-00")</f>
        <v>P-10863-00</v>
      </c>
      <c r="D1719" s="6" t="str">
        <f>IFERROR(__xludf.DUMMYFUNCTION("""COMPUTED_VALUE"""),"Fitting PVC - Elbow PVC 2")</f>
        <v>Fitting PVC - Elbow PVC 2</v>
      </c>
      <c r="E1719" s="6">
        <f>IFERROR(__xludf.DUMMYFUNCTION("""COMPUTED_VALUE"""),1.0)</f>
        <v>1</v>
      </c>
      <c r="F1719" s="6">
        <f>IFERROR(__xludf.DUMMYFUNCTION("""COMPUTED_VALUE"""),1.0)</f>
        <v>1</v>
      </c>
      <c r="G1719" s="6">
        <f>IFERROR(__xludf.DUMMYFUNCTION("""COMPUTED_VALUE"""),0.0)</f>
        <v>0</v>
      </c>
      <c r="H1719" s="6" t="str">
        <f>IFERROR(__xludf.DUMMYFUNCTION("""COMPUTED_VALUE"""),"Pcs")</f>
        <v>Pcs</v>
      </c>
      <c r="I1719" s="6" t="str">
        <f>IFERROR(__xludf.DUMMYFUNCTION("""COMPUTED_VALUE"""),"RYP")</f>
        <v>RYP</v>
      </c>
      <c r="J1719" s="6" t="str">
        <f>IFERROR(__xludf.DUMMYFUNCTION("""COMPUTED_VALUE"""),"Pipe rack")</f>
        <v>Pipe rack</v>
      </c>
      <c r="K1719" s="6" t="str">
        <f>IFERROR(__xludf.DUMMYFUNCTION("""COMPUTED_VALUE"""),"SPR/02/25/116")</f>
        <v>SPR/02/25/116</v>
      </c>
      <c r="L1719" s="13">
        <f>IFERROR(__xludf.DUMMYFUNCTION("""COMPUTED_VALUE"""),45716.0)</f>
        <v>45716</v>
      </c>
    </row>
    <row r="1720">
      <c r="A1720" s="6" t="str">
        <f>IFERROR(__xludf.DUMMYFUNCTION("""COMPUTED_VALUE"""),"RIA")</f>
        <v>RIA</v>
      </c>
      <c r="B1720" s="6" t="str">
        <f>IFERROR(__xludf.DUMMYFUNCTION("""COMPUTED_VALUE"""),"ENG")</f>
        <v>ENG</v>
      </c>
      <c r="C1720" s="6" t="str">
        <f>IFERROR(__xludf.DUMMYFUNCTION("""COMPUTED_VALUE"""),"P-10898-00")</f>
        <v>P-10898-00</v>
      </c>
      <c r="D1720" s="6" t="str">
        <f>IFERROR(__xludf.DUMMYFUNCTION("""COMPUTED_VALUE"""),"Fitting PVC - Sock PVC 2")</f>
        <v>Fitting PVC - Sock PVC 2</v>
      </c>
      <c r="E1720" s="6">
        <f>IFERROR(__xludf.DUMMYFUNCTION("""COMPUTED_VALUE"""),1.0)</f>
        <v>1</v>
      </c>
      <c r="F1720" s="6">
        <f>IFERROR(__xludf.DUMMYFUNCTION("""COMPUTED_VALUE"""),1.0)</f>
        <v>1</v>
      </c>
      <c r="G1720" s="6">
        <f>IFERROR(__xludf.DUMMYFUNCTION("""COMPUTED_VALUE"""),0.0)</f>
        <v>0</v>
      </c>
      <c r="H1720" s="6" t="str">
        <f>IFERROR(__xludf.DUMMYFUNCTION("""COMPUTED_VALUE"""),"Pcs")</f>
        <v>Pcs</v>
      </c>
      <c r="I1720" s="6" t="str">
        <f>IFERROR(__xludf.DUMMYFUNCTION("""COMPUTED_VALUE"""),"RYP")</f>
        <v>RYP</v>
      </c>
      <c r="J1720" s="6" t="str">
        <f>IFERROR(__xludf.DUMMYFUNCTION("""COMPUTED_VALUE"""),"Pipe rack")</f>
        <v>Pipe rack</v>
      </c>
      <c r="K1720" s="6" t="str">
        <f>IFERROR(__xludf.DUMMYFUNCTION("""COMPUTED_VALUE"""),"SPR/02/25/116")</f>
        <v>SPR/02/25/116</v>
      </c>
      <c r="L1720" s="13">
        <f>IFERROR(__xludf.DUMMYFUNCTION("""COMPUTED_VALUE"""),45716.0)</f>
        <v>45716</v>
      </c>
    </row>
    <row r="1721">
      <c r="A1721" s="6" t="str">
        <f>IFERROR(__xludf.DUMMYFUNCTION("""COMPUTED_VALUE"""),"MRN")</f>
        <v>MRN</v>
      </c>
      <c r="B1721" s="6" t="str">
        <f>IFERROR(__xludf.DUMMYFUNCTION("""COMPUTED_VALUE"""),"ENG")</f>
        <v>ENG</v>
      </c>
      <c r="C1721" s="6" t="str">
        <f>IFERROR(__xludf.DUMMYFUNCTION("""COMPUTED_VALUE"""),"-")</f>
        <v>-</v>
      </c>
      <c r="D1721" s="6" t="str">
        <f>IFERROR(__xludf.DUMMYFUNCTION("""COMPUTED_VALUE"""),"Solasi Aluminiu,")</f>
        <v>Solasi Aluminiu,</v>
      </c>
      <c r="E1721" s="6">
        <f>IFERROR(__xludf.DUMMYFUNCTION("""COMPUTED_VALUE"""),1.0)</f>
        <v>1</v>
      </c>
      <c r="F1721" s="6">
        <f>IFERROR(__xludf.DUMMYFUNCTION("""COMPUTED_VALUE"""),1.0)</f>
        <v>1</v>
      </c>
      <c r="G1721" s="6">
        <f>IFERROR(__xludf.DUMMYFUNCTION("""COMPUTED_VALUE"""),0.0)</f>
        <v>0</v>
      </c>
      <c r="H1721" s="6" t="str">
        <f>IFERROR(__xludf.DUMMYFUNCTION("""COMPUTED_VALUE"""),"Ron")</f>
        <v>Ron</v>
      </c>
      <c r="I1721" s="6" t="str">
        <f>IFERROR(__xludf.DUMMYFUNCTION("""COMPUTED_VALUE"""),"RYP")</f>
        <v>RYP</v>
      </c>
      <c r="J1721" s="6" t="str">
        <f>IFERROR(__xludf.DUMMYFUNCTION("""COMPUTED_VALUE"""),"Pipabeor")</f>
        <v>Pipabeor</v>
      </c>
      <c r="K1721" s="6" t="str">
        <f>IFERROR(__xludf.DUMMYFUNCTION("""COMPUTED_VALUE"""),"SPR/02/25/117")</f>
        <v>SPR/02/25/117</v>
      </c>
      <c r="L1721" s="13">
        <f>IFERROR(__xludf.DUMMYFUNCTION("""COMPUTED_VALUE"""),45716.0)</f>
        <v>45716</v>
      </c>
    </row>
    <row r="1722">
      <c r="A1722" s="6" t="str">
        <f>IFERROR(__xludf.DUMMYFUNCTION("""COMPUTED_VALUE"""),"MRN")</f>
        <v>MRN</v>
      </c>
      <c r="B1722" s="6" t="str">
        <f>IFERROR(__xludf.DUMMYFUNCTION("""COMPUTED_VALUE"""),"ENG")</f>
        <v>ENG</v>
      </c>
      <c r="C1722" s="6" t="str">
        <f>IFERROR(__xludf.DUMMYFUNCTION("""COMPUTED_VALUE"""),"-")</f>
        <v>-</v>
      </c>
      <c r="D1722" s="6" t="str">
        <f>IFERROR(__xludf.DUMMYFUNCTION("""COMPUTED_VALUE"""),"Karet Ban")</f>
        <v>Karet Ban</v>
      </c>
      <c r="E1722" s="6">
        <f>IFERROR(__xludf.DUMMYFUNCTION("""COMPUTED_VALUE"""),1.0)</f>
        <v>1</v>
      </c>
      <c r="F1722" s="6">
        <f>IFERROR(__xludf.DUMMYFUNCTION("""COMPUTED_VALUE"""),1.0)</f>
        <v>1</v>
      </c>
      <c r="G1722" s="6">
        <f>IFERROR(__xludf.DUMMYFUNCTION("""COMPUTED_VALUE"""),0.0)</f>
        <v>0</v>
      </c>
      <c r="H1722" s="6" t="str">
        <f>IFERROR(__xludf.DUMMYFUNCTION("""COMPUTED_VALUE"""),"M")</f>
        <v>M</v>
      </c>
      <c r="I1722" s="6" t="str">
        <f>IFERROR(__xludf.DUMMYFUNCTION("""COMPUTED_VALUE"""),"RYP")</f>
        <v>RYP</v>
      </c>
      <c r="J1722" s="6" t="str">
        <f>IFERROR(__xludf.DUMMYFUNCTION("""COMPUTED_VALUE"""),"Pipabeor")</f>
        <v>Pipabeor</v>
      </c>
      <c r="K1722" s="6" t="str">
        <f>IFERROR(__xludf.DUMMYFUNCTION("""COMPUTED_VALUE"""),"SPR/02/25/117")</f>
        <v>SPR/02/25/117</v>
      </c>
      <c r="L1722" s="13">
        <f>IFERROR(__xludf.DUMMYFUNCTION("""COMPUTED_VALUE"""),45716.0)</f>
        <v>45716</v>
      </c>
    </row>
    <row r="1723">
      <c r="A1723" s="6" t="str">
        <f>IFERROR(__xludf.DUMMYFUNCTION("""COMPUTED_VALUE"""),"RIA")</f>
        <v>RIA</v>
      </c>
      <c r="B1723" s="6" t="str">
        <f>IFERROR(__xludf.DUMMYFUNCTION("""COMPUTED_VALUE"""),"ENG")</f>
        <v>ENG</v>
      </c>
      <c r="C1723" s="6" t="str">
        <f>IFERROR(__xludf.DUMMYFUNCTION("""COMPUTED_VALUE"""),"-")</f>
        <v>-</v>
      </c>
      <c r="D1723" s="6" t="str">
        <f>IFERROR(__xludf.DUMMYFUNCTION("""COMPUTED_VALUE"""),"Solasi Silver")</f>
        <v>Solasi Silver</v>
      </c>
      <c r="E1723" s="6">
        <f>IFERROR(__xludf.DUMMYFUNCTION("""COMPUTED_VALUE"""),1.0)</f>
        <v>1</v>
      </c>
      <c r="F1723" s="6">
        <f>IFERROR(__xludf.DUMMYFUNCTION("""COMPUTED_VALUE"""),1.0)</f>
        <v>1</v>
      </c>
      <c r="G1723" s="6" t="str">
        <f>IFERROR(__xludf.DUMMYFUNCTION("""COMPUTED_VALUE"""),"-")</f>
        <v>-</v>
      </c>
      <c r="H1723" s="6" t="str">
        <f>IFERROR(__xludf.DUMMYFUNCTION("""COMPUTED_VALUE"""),"Roll")</f>
        <v>Roll</v>
      </c>
      <c r="I1723" s="6" t="str">
        <f>IFERROR(__xludf.DUMMYFUNCTION("""COMPUTED_VALUE"""),"RYP")</f>
        <v>RYP</v>
      </c>
      <c r="J1723" s="6" t="str">
        <f>IFERROR(__xludf.DUMMYFUNCTION("""COMPUTED_VALUE"""),"Building")</f>
        <v>Building</v>
      </c>
      <c r="K1723" s="6" t="str">
        <f>IFERROR(__xludf.DUMMYFUNCTION("""COMPUTED_VALUE"""),"SPR/02/25/118")</f>
        <v>SPR/02/25/118</v>
      </c>
      <c r="L1723" s="13">
        <f>IFERROR(__xludf.DUMMYFUNCTION("""COMPUTED_VALUE"""),45716.0)</f>
        <v>45716</v>
      </c>
    </row>
    <row r="1724">
      <c r="A1724" s="6" t="str">
        <f>IFERROR(__xludf.DUMMYFUNCTION("""COMPUTED_VALUE"""),"RIA")</f>
        <v>RIA</v>
      </c>
      <c r="B1724" s="6" t="str">
        <f>IFERROR(__xludf.DUMMYFUNCTION("""COMPUTED_VALUE"""),"ENG")</f>
        <v>ENG</v>
      </c>
      <c r="C1724" s="6" t="str">
        <f>IFERROR(__xludf.DUMMYFUNCTION("""COMPUTED_VALUE"""),"P-10863-00")</f>
        <v>P-10863-00</v>
      </c>
      <c r="D1724" s="6" t="str">
        <f>IFERROR(__xludf.DUMMYFUNCTION("""COMPUTED_VALUE"""),"Fitting PVC - Elbow PVC 2")</f>
        <v>Fitting PVC - Elbow PVC 2</v>
      </c>
      <c r="E1724" s="6" t="str">
        <f>IFERROR(__xludf.DUMMYFUNCTION("""COMPUTED_VALUE"""),"-")</f>
        <v>-</v>
      </c>
      <c r="F1724" s="6" t="str">
        <f>IFERROR(__xludf.DUMMYFUNCTION("""COMPUTED_VALUE"""),"-")</f>
        <v>-</v>
      </c>
      <c r="G1724" s="6">
        <f>IFERROR(__xludf.DUMMYFUNCTION("""COMPUTED_VALUE"""),1.0)</f>
        <v>1</v>
      </c>
      <c r="H1724" s="6" t="str">
        <f>IFERROR(__xludf.DUMMYFUNCTION("""COMPUTED_VALUE"""),"Pcs")</f>
        <v>Pcs</v>
      </c>
      <c r="I1724" s="6" t="str">
        <f>IFERROR(__xludf.DUMMYFUNCTION("""COMPUTED_VALUE"""),"RYP")</f>
        <v>RYP</v>
      </c>
      <c r="J1724" s="6" t="str">
        <f>IFERROR(__xludf.DUMMYFUNCTION("""COMPUTED_VALUE"""),"Piperack")</f>
        <v>Piperack</v>
      </c>
      <c r="K1724" s="6" t="str">
        <f>IFERROR(__xludf.DUMMYFUNCTION("""COMPUTED_VALUE"""),"SPR/02/25/118")</f>
        <v>SPR/02/25/118</v>
      </c>
      <c r="L1724" s="13">
        <f>IFERROR(__xludf.DUMMYFUNCTION("""COMPUTED_VALUE"""),45716.0)</f>
        <v>45716</v>
      </c>
    </row>
    <row r="1725">
      <c r="A1725" s="6" t="str">
        <f>IFERROR(__xludf.DUMMYFUNCTION("""COMPUTED_VALUE"""),"RIA")</f>
        <v>RIA</v>
      </c>
      <c r="B1725" s="6" t="str">
        <f>IFERROR(__xludf.DUMMYFUNCTION("""COMPUTED_VALUE"""),"ENG")</f>
        <v>ENG</v>
      </c>
      <c r="C1725" s="6" t="str">
        <f>IFERROR(__xludf.DUMMYFUNCTION("""COMPUTED_VALUE"""),"P-10898-00")</f>
        <v>P-10898-00</v>
      </c>
      <c r="D1725" s="6" t="str">
        <f>IFERROR(__xludf.DUMMYFUNCTION("""COMPUTED_VALUE"""),"Fitting PVC - Sock PVC 2")</f>
        <v>Fitting PVC - Sock PVC 2</v>
      </c>
      <c r="E1725" s="6">
        <f>IFERROR(__xludf.DUMMYFUNCTION("""COMPUTED_VALUE"""),1.0)</f>
        <v>1</v>
      </c>
      <c r="F1725" s="6" t="str">
        <f>IFERROR(__xludf.DUMMYFUNCTION("""COMPUTED_VALUE"""),"-")</f>
        <v>-</v>
      </c>
      <c r="G1725" s="6">
        <f>IFERROR(__xludf.DUMMYFUNCTION("""COMPUTED_VALUE"""),1.0)</f>
        <v>1</v>
      </c>
      <c r="H1725" s="6" t="str">
        <f>IFERROR(__xludf.DUMMYFUNCTION("""COMPUTED_VALUE"""),"Pcs")</f>
        <v>Pcs</v>
      </c>
      <c r="I1725" s="6" t="str">
        <f>IFERROR(__xludf.DUMMYFUNCTION("""COMPUTED_VALUE"""),"RYP")</f>
        <v>RYP</v>
      </c>
      <c r="J1725" s="6" t="str">
        <f>IFERROR(__xludf.DUMMYFUNCTION("""COMPUTED_VALUE"""),"Piperack ")</f>
        <v>Piperack </v>
      </c>
      <c r="K1725" s="6" t="str">
        <f>IFERROR(__xludf.DUMMYFUNCTION("""COMPUTED_VALUE"""),"SPR/02/25/118")</f>
        <v>SPR/02/25/118</v>
      </c>
      <c r="L1725" s="13">
        <f>IFERROR(__xludf.DUMMYFUNCTION("""COMPUTED_VALUE"""),45716.0)</f>
        <v>45716</v>
      </c>
    </row>
    <row r="1726">
      <c r="A1726" s="6" t="str">
        <f>IFERROR(__xludf.DUMMYFUNCTION("""COMPUTED_VALUE"""),"SHF")</f>
        <v>SHF</v>
      </c>
      <c r="B1726" s="6" t="str">
        <f>IFERROR(__xludf.DUMMYFUNCTION("""COMPUTED_VALUE"""),"ENG")</f>
        <v>ENG</v>
      </c>
      <c r="C1726" s="6" t="str">
        <f>IFERROR(__xludf.DUMMYFUNCTION("""COMPUTED_VALUE"""),"Q-60226-00")</f>
        <v>Q-60226-00</v>
      </c>
      <c r="D1726" s="6" t="str">
        <f>IFERROR(__xludf.DUMMYFUNCTION("""COMPUTED_VALUE"""),"Cat Ftalit KF-731 Super White;Kansai Paint;Type 115-731 Super White;pack size per 1 kg can")</f>
        <v>Cat Ftalit KF-731 Super White;Kansai Paint;Type 115-731 Super White;pack size per 1 kg can</v>
      </c>
      <c r="E1726" s="6">
        <f>IFERROR(__xludf.DUMMYFUNCTION("""COMPUTED_VALUE"""),1.0)</f>
        <v>1</v>
      </c>
      <c r="F1726" s="6">
        <f>IFERROR(__xludf.DUMMYFUNCTION("""COMPUTED_VALUE"""),1.0)</f>
        <v>1</v>
      </c>
      <c r="G1726" s="6">
        <f>IFERROR(__xludf.DUMMYFUNCTION("""COMPUTED_VALUE"""),0.0)</f>
        <v>0</v>
      </c>
      <c r="H1726" s="6" t="str">
        <f>IFERROR(__xludf.DUMMYFUNCTION("""COMPUTED_VALUE"""),"Pcs")</f>
        <v>Pcs</v>
      </c>
      <c r="I1726" s="6" t="str">
        <f>IFERROR(__xludf.DUMMYFUNCTION("""COMPUTED_VALUE"""),"RYP")</f>
        <v>RYP</v>
      </c>
      <c r="J1726" s="6" t="str">
        <f>IFERROR(__xludf.DUMMYFUNCTION("""COMPUTED_VALUE"""),"Building")</f>
        <v>Building</v>
      </c>
      <c r="K1726" s="6" t="str">
        <f>IFERROR(__xludf.DUMMYFUNCTION("""COMPUTED_VALUE"""),"SPR/02/25/119")</f>
        <v>SPR/02/25/119</v>
      </c>
      <c r="L1726" s="13">
        <f>IFERROR(__xludf.DUMMYFUNCTION("""COMPUTED_VALUE"""),45716.0)</f>
        <v>45716</v>
      </c>
    </row>
    <row r="1727">
      <c r="A1727" s="6" t="str">
        <f>IFERROR(__xludf.DUMMYFUNCTION("""COMPUTED_VALUE"""),"SHF")</f>
        <v>SHF</v>
      </c>
      <c r="B1727" s="6" t="str">
        <f>IFERROR(__xludf.DUMMYFUNCTION("""COMPUTED_VALUE"""),"ENG")</f>
        <v>ENG</v>
      </c>
      <c r="C1727" s="6" t="str">
        <f>IFERROR(__xludf.DUMMYFUNCTION("""COMPUTED_VALUE"""),"P-15852-00")</f>
        <v>P-15852-00</v>
      </c>
      <c r="D1727" s="6" t="str">
        <f>IFERROR(__xludf.DUMMYFUNCTION("""COMPUTED_VALUE"""),"AMPLAS EAGLE 500")</f>
        <v>AMPLAS EAGLE 500</v>
      </c>
      <c r="E1727" s="6">
        <f>IFERROR(__xludf.DUMMYFUNCTION("""COMPUTED_VALUE"""),1.0)</f>
        <v>1</v>
      </c>
      <c r="F1727" s="6">
        <f>IFERROR(__xludf.DUMMYFUNCTION("""COMPUTED_VALUE"""),1.0)</f>
        <v>1</v>
      </c>
      <c r="G1727" s="6">
        <f>IFERROR(__xludf.DUMMYFUNCTION("""COMPUTED_VALUE"""),0.0)</f>
        <v>0</v>
      </c>
      <c r="H1727" s="6" t="str">
        <f>IFERROR(__xludf.DUMMYFUNCTION("""COMPUTED_VALUE"""),"Pcs")</f>
        <v>Pcs</v>
      </c>
      <c r="I1727" s="6" t="str">
        <f>IFERROR(__xludf.DUMMYFUNCTION("""COMPUTED_VALUE"""),"RYP")</f>
        <v>RYP</v>
      </c>
      <c r="J1727" s="6" t="str">
        <f>IFERROR(__xludf.DUMMYFUNCTION("""COMPUTED_VALUE"""),"Building")</f>
        <v>Building</v>
      </c>
      <c r="K1727" s="6" t="str">
        <f>IFERROR(__xludf.DUMMYFUNCTION("""COMPUTED_VALUE"""),"SPR/02/25/119")</f>
        <v>SPR/02/25/119</v>
      </c>
      <c r="L1727" s="13">
        <f>IFERROR(__xludf.DUMMYFUNCTION("""COMPUTED_VALUE"""),45716.0)</f>
        <v>45716</v>
      </c>
    </row>
    <row r="1728">
      <c r="A1728" s="6" t="str">
        <f>IFERROR(__xludf.DUMMYFUNCTION("""COMPUTED_VALUE"""),"SHF")</f>
        <v>SHF</v>
      </c>
      <c r="B1728" s="6" t="str">
        <f>IFERROR(__xludf.DUMMYFUNCTION("""COMPUTED_VALUE"""),"ENG")</f>
        <v>ENG</v>
      </c>
      <c r="C1728" s="6" t="str">
        <f>IFERROR(__xludf.DUMMYFUNCTION("""COMPUTED_VALUE"""),"Q-10153-00")</f>
        <v>Q-10153-00</v>
      </c>
      <c r="D1728" s="6" t="str">
        <f>IFERROR(__xludf.DUMMYFUNCTION("""COMPUTED_VALUE"""),"Kuas Cat Roller uk. 110 mm;No Brand;;pack size per set")</f>
        <v>Kuas Cat Roller uk. 110 mm;No Brand;;pack size per set</v>
      </c>
      <c r="E1728" s="6">
        <f>IFERROR(__xludf.DUMMYFUNCTION("""COMPUTED_VALUE"""),1.0)</f>
        <v>1</v>
      </c>
      <c r="F1728" s="6">
        <f>IFERROR(__xludf.DUMMYFUNCTION("""COMPUTED_VALUE"""),1.0)</f>
        <v>1</v>
      </c>
      <c r="G1728" s="6">
        <f>IFERROR(__xludf.DUMMYFUNCTION("""COMPUTED_VALUE"""),0.0)</f>
        <v>0</v>
      </c>
      <c r="H1728" s="6" t="str">
        <f>IFERROR(__xludf.DUMMYFUNCTION("""COMPUTED_VALUE"""),"Pcs")</f>
        <v>Pcs</v>
      </c>
      <c r="I1728" s="6" t="str">
        <f>IFERROR(__xludf.DUMMYFUNCTION("""COMPUTED_VALUE"""),"RYP")</f>
        <v>RYP</v>
      </c>
      <c r="J1728" s="6" t="str">
        <f>IFERROR(__xludf.DUMMYFUNCTION("""COMPUTED_VALUE"""),"Building")</f>
        <v>Building</v>
      </c>
      <c r="K1728" s="6" t="str">
        <f>IFERROR(__xludf.DUMMYFUNCTION("""COMPUTED_VALUE"""),"SPR/02/25/119")</f>
        <v>SPR/02/25/119</v>
      </c>
      <c r="L1728" s="13">
        <f>IFERROR(__xludf.DUMMYFUNCTION("""COMPUTED_VALUE"""),45716.0)</f>
        <v>45716</v>
      </c>
    </row>
    <row r="1729">
      <c r="A1729" s="6" t="str">
        <f>IFERROR(__xludf.DUMMYFUNCTION("""COMPUTED_VALUE"""),"NDS")</f>
        <v>NDS</v>
      </c>
      <c r="B1729" s="6" t="str">
        <f>IFERROR(__xludf.DUMMYFUNCTION("""COMPUTED_VALUE"""),"ENG")</f>
        <v>ENG</v>
      </c>
      <c r="C1729" s="6" t="str">
        <f>IFERROR(__xludf.DUMMYFUNCTION("""COMPUTED_VALUE"""),"P-14519-00")</f>
        <v>P-14519-00</v>
      </c>
      <c r="D1729" s="6" t="str">
        <f>IFERROR(__xludf.DUMMYFUNCTION("""COMPUTED_VALUE"""),"Baut Hexagonal SS M8x30mm+Mur+Ring; ; ;")</f>
        <v>Baut Hexagonal SS M8x30mm+Mur+Ring; ; ;</v>
      </c>
      <c r="E1729" s="6">
        <f>IFERROR(__xludf.DUMMYFUNCTION("""COMPUTED_VALUE"""),3.0)</f>
        <v>3</v>
      </c>
      <c r="F1729" s="6">
        <f>IFERROR(__xludf.DUMMYFUNCTION("""COMPUTED_VALUE"""),3.0)</f>
        <v>3</v>
      </c>
      <c r="G1729" s="6">
        <f>IFERROR(__xludf.DUMMYFUNCTION("""COMPUTED_VALUE"""),0.0)</f>
        <v>0</v>
      </c>
      <c r="H1729" s="6" t="str">
        <f>IFERROR(__xludf.DUMMYFUNCTION("""COMPUTED_VALUE"""),"Pcs")</f>
        <v>Pcs</v>
      </c>
      <c r="I1729" s="6" t="str">
        <f>IFERROR(__xludf.DUMMYFUNCTION("""COMPUTED_VALUE"""),"RYP")</f>
        <v>RYP</v>
      </c>
      <c r="J1729" s="6" t="str">
        <f>IFERROR(__xludf.DUMMYFUNCTION("""COMPUTED_VALUE"""),"Capping")</f>
        <v>Capping</v>
      </c>
      <c r="K1729" s="6" t="str">
        <f>IFERROR(__xludf.DUMMYFUNCTION("""COMPUTED_VALUE"""),"SPR/02/25/120")</f>
        <v>SPR/02/25/120</v>
      </c>
      <c r="L1729" s="13">
        <f>IFERROR(__xludf.DUMMYFUNCTION("""COMPUTED_VALUE"""),45716.0)</f>
        <v>45716</v>
      </c>
    </row>
    <row r="1730">
      <c r="A1730" s="6" t="str">
        <f>IFERROR(__xludf.DUMMYFUNCTION("""COMPUTED_VALUE"""),"JON")</f>
        <v>JON</v>
      </c>
      <c r="B1730" s="6" t="str">
        <f>IFERROR(__xludf.DUMMYFUNCTION("""COMPUTED_VALUE"""),"ENG")</f>
        <v>ENG</v>
      </c>
      <c r="C1730" s="6" t="str">
        <f>IFERROR(__xludf.DUMMYFUNCTION("""COMPUTED_VALUE"""),"P-15852-00")</f>
        <v>P-15852-00</v>
      </c>
      <c r="D1730" s="6" t="str">
        <f>IFERROR(__xludf.DUMMYFUNCTION("""COMPUTED_VALUE"""),"AMPLAS EAGLE 500")</f>
        <v>AMPLAS EAGLE 500</v>
      </c>
      <c r="E1730" s="6">
        <f>IFERROR(__xludf.DUMMYFUNCTION("""COMPUTED_VALUE"""),4.0)</f>
        <v>4</v>
      </c>
      <c r="F1730" s="6">
        <f>IFERROR(__xludf.DUMMYFUNCTION("""COMPUTED_VALUE"""),4.0)</f>
        <v>4</v>
      </c>
      <c r="G1730" s="6">
        <f>IFERROR(__xludf.DUMMYFUNCTION("""COMPUTED_VALUE"""),0.0)</f>
        <v>0</v>
      </c>
      <c r="H1730" s="6" t="str">
        <f>IFERROR(__xludf.DUMMYFUNCTION("""COMPUTED_VALUE"""),"Pcs")</f>
        <v>Pcs</v>
      </c>
      <c r="I1730" s="6" t="str">
        <f>IFERROR(__xludf.DUMMYFUNCTION("""COMPUTED_VALUE"""),"RYP")</f>
        <v>RYP</v>
      </c>
      <c r="J1730" s="6" t="str">
        <f>IFERROR(__xludf.DUMMYFUNCTION("""COMPUTED_VALUE"""),"Building")</f>
        <v>Building</v>
      </c>
      <c r="K1730" s="6" t="str">
        <f>IFERROR(__xludf.DUMMYFUNCTION("""COMPUTED_VALUE"""),"SPR/02/25/121")</f>
        <v>SPR/02/25/121</v>
      </c>
      <c r="L1730" s="13">
        <f>IFERROR(__xludf.DUMMYFUNCTION("""COMPUTED_VALUE"""),45716.0)</f>
        <v>45716</v>
      </c>
    </row>
    <row r="1731">
      <c r="A1731" s="6" t="str">
        <f>IFERROR(__xludf.DUMMYFUNCTION("""COMPUTED_VALUE"""),"JON")</f>
        <v>JON</v>
      </c>
      <c r="B1731" s="6" t="str">
        <f>IFERROR(__xludf.DUMMYFUNCTION("""COMPUTED_VALUE"""),"ENG")</f>
        <v>ENG</v>
      </c>
      <c r="C1731" s="6" t="str">
        <f>IFERROR(__xludf.DUMMYFUNCTION("""COMPUTED_VALUE"""),"P-15851-00")</f>
        <v>P-15851-00</v>
      </c>
      <c r="D1731" s="6" t="str">
        <f>IFERROR(__xludf.DUMMYFUNCTION("""COMPUTED_VALUE"""),"AMPLAS EAGLE 100")</f>
        <v>AMPLAS EAGLE 100</v>
      </c>
      <c r="E1731" s="6">
        <f>IFERROR(__xludf.DUMMYFUNCTION("""COMPUTED_VALUE"""),4.0)</f>
        <v>4</v>
      </c>
      <c r="F1731" s="6">
        <f>IFERROR(__xludf.DUMMYFUNCTION("""COMPUTED_VALUE"""),1.0)</f>
        <v>1</v>
      </c>
      <c r="G1731" s="6">
        <f>IFERROR(__xludf.DUMMYFUNCTION("""COMPUTED_VALUE"""),0.0)</f>
        <v>0</v>
      </c>
      <c r="H1731" s="6" t="str">
        <f>IFERROR(__xludf.DUMMYFUNCTION("""COMPUTED_VALUE"""),"Pcs")</f>
        <v>Pcs</v>
      </c>
      <c r="I1731" s="6" t="str">
        <f>IFERROR(__xludf.DUMMYFUNCTION("""COMPUTED_VALUE"""),"RYP")</f>
        <v>RYP</v>
      </c>
      <c r="J1731" s="6" t="str">
        <f>IFERROR(__xludf.DUMMYFUNCTION("""COMPUTED_VALUE"""),"Building")</f>
        <v>Building</v>
      </c>
      <c r="K1731" s="6" t="str">
        <f>IFERROR(__xludf.DUMMYFUNCTION("""COMPUTED_VALUE"""),"SPR/02/25/121")</f>
        <v>SPR/02/25/121</v>
      </c>
      <c r="L1731" s="13">
        <f>IFERROR(__xludf.DUMMYFUNCTION("""COMPUTED_VALUE"""),45716.0)</f>
        <v>45716</v>
      </c>
    </row>
    <row r="1732">
      <c r="A1732" s="6" t="str">
        <f>IFERROR(__xludf.DUMMYFUNCTION("""COMPUTED_VALUE"""),"JON")</f>
        <v>JON</v>
      </c>
      <c r="B1732" s="6" t="str">
        <f>IFERROR(__xludf.DUMMYFUNCTION("""COMPUTED_VALUE"""),"ENG")</f>
        <v>ENG</v>
      </c>
      <c r="C1732" s="6" t="str">
        <f>IFERROR(__xludf.DUMMYFUNCTION("""COMPUTED_VALUE"""),"P-10896-00")</f>
        <v>P-10896-00</v>
      </c>
      <c r="D1732" s="6" t="str">
        <f>IFERROR(__xludf.DUMMYFUNCTION("""COMPUTED_VALUE"""),"Fitting PVC - Sock PVC 1 1/4")</f>
        <v>Fitting PVC - Sock PVC 1 1/4</v>
      </c>
      <c r="E1732" s="6">
        <f>IFERROR(__xludf.DUMMYFUNCTION("""COMPUTED_VALUE"""),1.0)</f>
        <v>1</v>
      </c>
      <c r="F1732" s="6">
        <f>IFERROR(__xludf.DUMMYFUNCTION("""COMPUTED_VALUE"""),1.0)</f>
        <v>1</v>
      </c>
      <c r="G1732" s="6">
        <f>IFERROR(__xludf.DUMMYFUNCTION("""COMPUTED_VALUE"""),0.0)</f>
        <v>0</v>
      </c>
      <c r="H1732" s="6" t="str">
        <f>IFERROR(__xludf.DUMMYFUNCTION("""COMPUTED_VALUE"""),"Pcs")</f>
        <v>Pcs</v>
      </c>
      <c r="I1732" s="6" t="str">
        <f>IFERROR(__xludf.DUMMYFUNCTION("""COMPUTED_VALUE"""),"RYP")</f>
        <v>RYP</v>
      </c>
      <c r="J1732" s="6" t="str">
        <f>IFERROR(__xludf.DUMMYFUNCTION("""COMPUTED_VALUE"""),"Building")</f>
        <v>Building</v>
      </c>
      <c r="K1732" s="6" t="str">
        <f>IFERROR(__xludf.DUMMYFUNCTION("""COMPUTED_VALUE"""),"SPR/02/25/121")</f>
        <v>SPR/02/25/121</v>
      </c>
      <c r="L1732" s="13">
        <f>IFERROR(__xludf.DUMMYFUNCTION("""COMPUTED_VALUE"""),45716.0)</f>
        <v>45716</v>
      </c>
    </row>
    <row r="1733">
      <c r="A1733" s="6" t="str">
        <f>IFERROR(__xludf.DUMMYFUNCTION("""COMPUTED_VALUE"""),"SFH")</f>
        <v>SFH</v>
      </c>
      <c r="B1733" s="6" t="str">
        <f>IFERROR(__xludf.DUMMYFUNCTION("""COMPUTED_VALUE"""),"ENG")</f>
        <v>ENG</v>
      </c>
      <c r="C1733" s="6" t="str">
        <f>IFERROR(__xludf.DUMMYFUNCTION("""COMPUTED_VALUE"""),"P-10904-00")</f>
        <v>P-10904-00</v>
      </c>
      <c r="D1733" s="6" t="str">
        <f>IFERROR(__xludf.DUMMYFUNCTION("""COMPUTED_VALUE"""),"Fitting PVC - Tee PVC 1 1/4")</f>
        <v>Fitting PVC - Tee PVC 1 1/4</v>
      </c>
      <c r="E1733" s="6">
        <f>IFERROR(__xludf.DUMMYFUNCTION("""COMPUTED_VALUE"""),1.0)</f>
        <v>1</v>
      </c>
      <c r="F1733" s="6">
        <f>IFERROR(__xludf.DUMMYFUNCTION("""COMPUTED_VALUE"""),1.0)</f>
        <v>1</v>
      </c>
      <c r="G1733" s="6">
        <f>IFERROR(__xludf.DUMMYFUNCTION("""COMPUTED_VALUE"""),0.0)</f>
        <v>0</v>
      </c>
      <c r="H1733" s="6" t="str">
        <f>IFERROR(__xludf.DUMMYFUNCTION("""COMPUTED_VALUE"""),"Pcs")</f>
        <v>Pcs</v>
      </c>
      <c r="I1733" s="6" t="str">
        <f>IFERROR(__xludf.DUMMYFUNCTION("""COMPUTED_VALUE"""),"RYP")</f>
        <v>RYP</v>
      </c>
      <c r="J1733" s="6" t="str">
        <f>IFERROR(__xludf.DUMMYFUNCTION("""COMPUTED_VALUE"""),"Building")</f>
        <v>Building</v>
      </c>
      <c r="K1733" s="6" t="str">
        <f>IFERROR(__xludf.DUMMYFUNCTION("""COMPUTED_VALUE"""),"SPR/02/25/122")</f>
        <v>SPR/02/25/122</v>
      </c>
      <c r="L1733" s="13">
        <f>IFERROR(__xludf.DUMMYFUNCTION("""COMPUTED_VALUE"""),45716.0)</f>
        <v>45716</v>
      </c>
    </row>
    <row r="1734">
      <c r="A1734" s="6" t="str">
        <f>IFERROR(__xludf.DUMMYFUNCTION("""COMPUTED_VALUE"""),"SFH")</f>
        <v>SFH</v>
      </c>
      <c r="B1734" s="6" t="str">
        <f>IFERROR(__xludf.DUMMYFUNCTION("""COMPUTED_VALUE"""),"ENG")</f>
        <v>ENG</v>
      </c>
      <c r="C1734" s="6" t="str">
        <f>IFERROR(__xludf.DUMMYFUNCTION("""COMPUTED_VALUE"""),"-")</f>
        <v>-</v>
      </c>
      <c r="D1734" s="6" t="str">
        <f>IFERROR(__xludf.DUMMYFUNCTION("""COMPUTED_VALUE"""),"Plocseac roducer ukuran 1 ¹/⁴IN")</f>
        <v>Plocseac roducer ukuran 1 ¹/⁴IN</v>
      </c>
      <c r="E1734" s="6">
        <f>IFERROR(__xludf.DUMMYFUNCTION("""COMPUTED_VALUE"""),1.0)</f>
        <v>1</v>
      </c>
      <c r="F1734" s="6">
        <f>IFERROR(__xludf.DUMMYFUNCTION("""COMPUTED_VALUE"""),1.0)</f>
        <v>1</v>
      </c>
      <c r="G1734" s="6">
        <f>IFERROR(__xludf.DUMMYFUNCTION("""COMPUTED_VALUE"""),0.0)</f>
        <v>0</v>
      </c>
      <c r="H1734" s="6" t="str">
        <f>IFERROR(__xludf.DUMMYFUNCTION("""COMPUTED_VALUE"""),"Pcs")</f>
        <v>Pcs</v>
      </c>
      <c r="I1734" s="6" t="str">
        <f>IFERROR(__xludf.DUMMYFUNCTION("""COMPUTED_VALUE"""),"RYP")</f>
        <v>RYP</v>
      </c>
      <c r="J1734" s="6" t="str">
        <f>IFERROR(__xludf.DUMMYFUNCTION("""COMPUTED_VALUE"""),"Building")</f>
        <v>Building</v>
      </c>
      <c r="K1734" s="6" t="str">
        <f>IFERROR(__xludf.DUMMYFUNCTION("""COMPUTED_VALUE"""),"SPR/02/25/122")</f>
        <v>SPR/02/25/122</v>
      </c>
      <c r="L1734" s="13">
        <f>IFERROR(__xludf.DUMMYFUNCTION("""COMPUTED_VALUE"""),45716.0)</f>
        <v>45716</v>
      </c>
    </row>
    <row r="1735">
      <c r="A1735" s="6" t="str">
        <f>IFERROR(__xludf.DUMMYFUNCTION("""COMPUTED_VALUE"""),"ROS")</f>
        <v>ROS</v>
      </c>
      <c r="B1735" s="6" t="str">
        <f>IFERROR(__xludf.DUMMYFUNCTION("""COMPUTED_VALUE"""),"ENG")</f>
        <v>ENG</v>
      </c>
      <c r="C1735" s="6" t="str">
        <f>IFERROR(__xludf.DUMMYFUNCTION("""COMPUTED_VALUE"""),"P-10945-00")</f>
        <v>P-10945-00</v>
      </c>
      <c r="D1735" s="6" t="str">
        <f>IFERROR(__xludf.DUMMYFUNCTION("""COMPUTED_VALUE"""),"General - Seal Tape 1 Inch 10 M; Onda; ST 02; 1 pcs")</f>
        <v>General - Seal Tape 1 Inch 10 M; Onda; ST 02; 1 pcs</v>
      </c>
      <c r="E1735" s="6">
        <f>IFERROR(__xludf.DUMMYFUNCTION("""COMPUTED_VALUE"""),1.0)</f>
        <v>1</v>
      </c>
      <c r="F1735" s="6">
        <f>IFERROR(__xludf.DUMMYFUNCTION("""COMPUTED_VALUE"""),1.0)</f>
        <v>1</v>
      </c>
      <c r="G1735" s="6">
        <f>IFERROR(__xludf.DUMMYFUNCTION("""COMPUTED_VALUE"""),0.0)</f>
        <v>0</v>
      </c>
      <c r="H1735" s="6" t="str">
        <f>IFERROR(__xludf.DUMMYFUNCTION("""COMPUTED_VALUE"""),"Pcs")</f>
        <v>Pcs</v>
      </c>
      <c r="I1735" s="6" t="str">
        <f>IFERROR(__xludf.DUMMYFUNCTION("""COMPUTED_VALUE"""),"RYP")</f>
        <v>RYP</v>
      </c>
      <c r="J1735" s="6" t="str">
        <f>IFERROR(__xludf.DUMMYFUNCTION("""COMPUTED_VALUE"""),"Autoclave")</f>
        <v>Autoclave</v>
      </c>
      <c r="K1735" s="6" t="str">
        <f>IFERROR(__xludf.DUMMYFUNCTION("""COMPUTED_VALUE"""),"SPR/02/25/123")</f>
        <v>SPR/02/25/123</v>
      </c>
      <c r="L1735" s="13">
        <f>IFERROR(__xludf.DUMMYFUNCTION("""COMPUTED_VALUE"""),45716.0)</f>
        <v>45716</v>
      </c>
    </row>
    <row r="1736">
      <c r="A1736" s="6" t="str">
        <f>IFERROR(__xludf.DUMMYFUNCTION("""COMPUTED_VALUE"""),"ROS")</f>
        <v>ROS</v>
      </c>
      <c r="B1736" s="6" t="str">
        <f>IFERROR(__xludf.DUMMYFUNCTION("""COMPUTED_VALUE"""),"ENG")</f>
        <v>ENG</v>
      </c>
      <c r="C1736" s="6" t="str">
        <f>IFERROR(__xludf.DUMMYFUNCTION("""COMPUTED_VALUE"""),"O-19431-00")</f>
        <v>O-19431-00</v>
      </c>
      <c r="D1736" s="6" t="str">
        <f>IFERROR(__xludf.DUMMYFUNCTION("""COMPUTED_VALUE"""),"Baut SS L M8 x 30 mm + Mur + Ring; ; ;; ; ;; ; ;")</f>
        <v>Baut SS L M8 x 30 mm + Mur + Ring; ; ;; ; ;; ; ;</v>
      </c>
      <c r="E1736" s="6">
        <f>IFERROR(__xludf.DUMMYFUNCTION("""COMPUTED_VALUE"""),2.0)</f>
        <v>2</v>
      </c>
      <c r="F1736" s="6">
        <f>IFERROR(__xludf.DUMMYFUNCTION("""COMPUTED_VALUE"""),2.0)</f>
        <v>2</v>
      </c>
      <c r="G1736" s="6">
        <f>IFERROR(__xludf.DUMMYFUNCTION("""COMPUTED_VALUE"""),0.0)</f>
        <v>0</v>
      </c>
      <c r="H1736" s="6" t="str">
        <f>IFERROR(__xludf.DUMMYFUNCTION("""COMPUTED_VALUE"""),"Pcs")</f>
        <v>Pcs</v>
      </c>
      <c r="I1736" s="6" t="str">
        <f>IFERROR(__xludf.DUMMYFUNCTION("""COMPUTED_VALUE"""),"RYP")</f>
        <v>RYP</v>
      </c>
      <c r="J1736" s="6" t="str">
        <f>IFERROR(__xludf.DUMMYFUNCTION("""COMPUTED_VALUE"""),"Capping")</f>
        <v>Capping</v>
      </c>
      <c r="K1736" s="6" t="str">
        <f>IFERROR(__xludf.DUMMYFUNCTION("""COMPUTED_VALUE"""),"SPR/02/25/123")</f>
        <v>SPR/02/25/123</v>
      </c>
      <c r="L1736" s="13">
        <f>IFERROR(__xludf.DUMMYFUNCTION("""COMPUTED_VALUE"""),45716.0)</f>
        <v>45716</v>
      </c>
    </row>
    <row r="1737">
      <c r="A1737" s="6" t="str">
        <f>IFERROR(__xludf.DUMMYFUNCTION("""COMPUTED_VALUE"""),"RMA")</f>
        <v>RMA</v>
      </c>
      <c r="B1737" s="6" t="str">
        <f>IFERROR(__xludf.DUMMYFUNCTION("""COMPUTED_VALUE"""),"ENG")</f>
        <v>ENG</v>
      </c>
      <c r="C1737" s="6" t="str">
        <f>IFERROR(__xludf.DUMMYFUNCTION("""COMPUTED_VALUE"""),"Q-10153-00")</f>
        <v>Q-10153-00</v>
      </c>
      <c r="D1737" s="6" t="str">
        <f>IFERROR(__xludf.DUMMYFUNCTION("""COMPUTED_VALUE"""),"Kuas Cat Roller uk. 110 mm;No Brand;;pack size per set")</f>
        <v>Kuas Cat Roller uk. 110 mm;No Brand;;pack size per set</v>
      </c>
      <c r="E1737" s="6">
        <f>IFERROR(__xludf.DUMMYFUNCTION("""COMPUTED_VALUE"""),1.0)</f>
        <v>1</v>
      </c>
      <c r="F1737" s="6">
        <f>IFERROR(__xludf.DUMMYFUNCTION("""COMPUTED_VALUE"""),1.0)</f>
        <v>1</v>
      </c>
      <c r="G1737" s="6">
        <f>IFERROR(__xludf.DUMMYFUNCTION("""COMPUTED_VALUE"""),0.0)</f>
        <v>0</v>
      </c>
      <c r="H1737" s="6" t="str">
        <f>IFERROR(__xludf.DUMMYFUNCTION("""COMPUTED_VALUE"""),"-")</f>
        <v>-</v>
      </c>
      <c r="I1737" s="6" t="str">
        <f>IFERROR(__xludf.DUMMYFUNCTION("""COMPUTED_VALUE"""),"RYP")</f>
        <v>RYP</v>
      </c>
      <c r="J1737" s="6" t="str">
        <f>IFERROR(__xludf.DUMMYFUNCTION("""COMPUTED_VALUE"""),"Building")</f>
        <v>Building</v>
      </c>
      <c r="K1737" s="6" t="str">
        <f>IFERROR(__xludf.DUMMYFUNCTION("""COMPUTED_VALUE"""),"SPR/02/25/124")</f>
        <v>SPR/02/25/124</v>
      </c>
      <c r="L1737" s="13">
        <f>IFERROR(__xludf.DUMMYFUNCTION("""COMPUTED_VALUE"""),45716.0)</f>
        <v>45716</v>
      </c>
    </row>
    <row r="1738">
      <c r="A1738" s="6" t="str">
        <f>IFERROR(__xludf.DUMMYFUNCTION("""COMPUTED_VALUE"""),"RMA")</f>
        <v>RMA</v>
      </c>
      <c r="B1738" s="6" t="str">
        <f>IFERROR(__xludf.DUMMYFUNCTION("""COMPUTED_VALUE"""),"ENG")</f>
        <v>ENG</v>
      </c>
      <c r="C1738" s="6" t="str">
        <f>IFERROR(__xludf.DUMMYFUNCTION("""COMPUTED_VALUE"""),"Q-10154-00")</f>
        <v>Q-10154-00</v>
      </c>
      <c r="D1738" s="6" t="str">
        <f>IFERROR(__xludf.DUMMYFUNCTION("""COMPUTED_VALUE"""),"Kuas Cat Roller uk. 230 mm;No Brand;;pack size per set")</f>
        <v>Kuas Cat Roller uk. 230 mm;No Brand;;pack size per set</v>
      </c>
      <c r="E1738" s="6">
        <f>IFERROR(__xludf.DUMMYFUNCTION("""COMPUTED_VALUE"""),1.0)</f>
        <v>1</v>
      </c>
      <c r="F1738" s="6">
        <f>IFERROR(__xludf.DUMMYFUNCTION("""COMPUTED_VALUE"""),1.0)</f>
        <v>1</v>
      </c>
      <c r="G1738" s="6">
        <f>IFERROR(__xludf.DUMMYFUNCTION("""COMPUTED_VALUE"""),0.0)</f>
        <v>0</v>
      </c>
      <c r="H1738" s="6" t="str">
        <f>IFERROR(__xludf.DUMMYFUNCTION("""COMPUTED_VALUE"""),"-")</f>
        <v>-</v>
      </c>
      <c r="I1738" s="6" t="str">
        <f>IFERROR(__xludf.DUMMYFUNCTION("""COMPUTED_VALUE"""),"RYP")</f>
        <v>RYP</v>
      </c>
      <c r="J1738" s="6" t="str">
        <f>IFERROR(__xludf.DUMMYFUNCTION("""COMPUTED_VALUE"""),"Building")</f>
        <v>Building</v>
      </c>
      <c r="K1738" s="6" t="str">
        <f>IFERROR(__xludf.DUMMYFUNCTION("""COMPUTED_VALUE"""),"SPR/02/25/124")</f>
        <v>SPR/02/25/124</v>
      </c>
      <c r="L1738" s="13">
        <f>IFERROR(__xludf.DUMMYFUNCTION("""COMPUTED_VALUE"""),45716.0)</f>
        <v>45716</v>
      </c>
    </row>
    <row r="1739">
      <c r="A1739" s="6" t="str">
        <f>IFERROR(__xludf.DUMMYFUNCTION("""COMPUTED_VALUE"""),"RMA")</f>
        <v>RMA</v>
      </c>
      <c r="B1739" s="6" t="str">
        <f>IFERROR(__xludf.DUMMYFUNCTION("""COMPUTED_VALUE"""),"ENG")</f>
        <v>ENG</v>
      </c>
      <c r="C1739" s="6" t="str">
        <f>IFERROR(__xludf.DUMMYFUNCTION("""COMPUTED_VALUE"""),"T-80109-00")</f>
        <v>T-80109-00</v>
      </c>
      <c r="D1739" s="6" t="str">
        <f>IFERROR(__xludf.DUMMYFUNCTION("""COMPUTED_VALUE"""),"Cellotape Kertas 1 inch warna Putih")</f>
        <v>Cellotape Kertas 1 inch warna Putih</v>
      </c>
      <c r="E1739" s="6">
        <f>IFERROR(__xludf.DUMMYFUNCTION("""COMPUTED_VALUE"""),1.0)</f>
        <v>1</v>
      </c>
      <c r="F1739" s="6">
        <f>IFERROR(__xludf.DUMMYFUNCTION("""COMPUTED_VALUE"""),1.0)</f>
        <v>1</v>
      </c>
      <c r="G1739" s="6">
        <f>IFERROR(__xludf.DUMMYFUNCTION("""COMPUTED_VALUE"""),0.0)</f>
        <v>0</v>
      </c>
      <c r="H1739" s="6" t="str">
        <f>IFERROR(__xludf.DUMMYFUNCTION("""COMPUTED_VALUE"""),"-")</f>
        <v>-</v>
      </c>
      <c r="I1739" s="6" t="str">
        <f>IFERROR(__xludf.DUMMYFUNCTION("""COMPUTED_VALUE"""),"RYP")</f>
        <v>RYP</v>
      </c>
      <c r="J1739" s="6" t="str">
        <f>IFERROR(__xludf.DUMMYFUNCTION("""COMPUTED_VALUE"""),"Building")</f>
        <v>Building</v>
      </c>
      <c r="K1739" s="6" t="str">
        <f>IFERROR(__xludf.DUMMYFUNCTION("""COMPUTED_VALUE"""),"SPR/02/25/124")</f>
        <v>SPR/02/25/124</v>
      </c>
      <c r="L1739" s="13">
        <f>IFERROR(__xludf.DUMMYFUNCTION("""COMPUTED_VALUE"""),45716.0)</f>
        <v>45716</v>
      </c>
    </row>
    <row r="1740">
      <c r="A1740" s="6" t="str">
        <f>IFERROR(__xludf.DUMMYFUNCTION("""COMPUTED_VALUE"""),"RMA")</f>
        <v>RMA</v>
      </c>
      <c r="B1740" s="6" t="str">
        <f>IFERROR(__xludf.DUMMYFUNCTION("""COMPUTED_VALUE"""),"ENG")</f>
        <v>ENG</v>
      </c>
      <c r="C1740" s="6" t="str">
        <f>IFERROR(__xludf.DUMMYFUNCTION("""COMPUTED_VALUE"""),"Q-60025-00")</f>
        <v>Q-60025-00</v>
      </c>
      <c r="D1740" s="6" t="str">
        <f>IFERROR(__xludf.DUMMYFUNCTION("""COMPUTED_VALUE"""),"Kuas Eterna 1")</f>
        <v>Kuas Eterna 1</v>
      </c>
      <c r="E1740" s="6">
        <f>IFERROR(__xludf.DUMMYFUNCTION("""COMPUTED_VALUE"""),1.0)</f>
        <v>1</v>
      </c>
      <c r="F1740" s="6">
        <f>IFERROR(__xludf.DUMMYFUNCTION("""COMPUTED_VALUE"""),1.0)</f>
        <v>1</v>
      </c>
      <c r="G1740" s="6">
        <f>IFERROR(__xludf.DUMMYFUNCTION("""COMPUTED_VALUE"""),0.0)</f>
        <v>0</v>
      </c>
      <c r="H1740" s="6" t="str">
        <f>IFERROR(__xludf.DUMMYFUNCTION("""COMPUTED_VALUE"""),"-")</f>
        <v>-</v>
      </c>
      <c r="I1740" s="6" t="str">
        <f>IFERROR(__xludf.DUMMYFUNCTION("""COMPUTED_VALUE"""),"RYP")</f>
        <v>RYP</v>
      </c>
      <c r="J1740" s="6" t="str">
        <f>IFERROR(__xludf.DUMMYFUNCTION("""COMPUTED_VALUE"""),"Building")</f>
        <v>Building</v>
      </c>
      <c r="K1740" s="6" t="str">
        <f>IFERROR(__xludf.DUMMYFUNCTION("""COMPUTED_VALUE"""),"SPR/02/25/124")</f>
        <v>SPR/02/25/124</v>
      </c>
      <c r="L1740" s="13">
        <f>IFERROR(__xludf.DUMMYFUNCTION("""COMPUTED_VALUE"""),45716.0)</f>
        <v>45716</v>
      </c>
    </row>
    <row r="1741">
      <c r="A1741" s="6" t="str">
        <f>IFERROR(__xludf.DUMMYFUNCTION("""COMPUTED_VALUE"""),"SHF")</f>
        <v>SHF</v>
      </c>
      <c r="B1741" s="6" t="str">
        <f>IFERROR(__xludf.DUMMYFUNCTION("""COMPUTED_VALUE"""),"ENG")</f>
        <v>ENG</v>
      </c>
      <c r="C1741" s="6" t="str">
        <f>IFERROR(__xludf.DUMMYFUNCTION("""COMPUTED_VALUE"""),"P-53094-00")</f>
        <v>P-53094-00</v>
      </c>
      <c r="D1741" s="6" t="str">
        <f>IFERROR(__xludf.DUMMYFUNCTION("""COMPUTED_VALUE"""),"General - Actuator; Belimo; GMX120-3; 1 pcs")</f>
        <v>General - Actuator; Belimo; GMX120-3; 1 pcs</v>
      </c>
      <c r="E1741" s="6">
        <f>IFERROR(__xludf.DUMMYFUNCTION("""COMPUTED_VALUE"""),2.0)</f>
        <v>2</v>
      </c>
      <c r="F1741" s="6">
        <f>IFERROR(__xludf.DUMMYFUNCTION("""COMPUTED_VALUE"""),1.0)</f>
        <v>1</v>
      </c>
      <c r="G1741" s="6">
        <f>IFERROR(__xludf.DUMMYFUNCTION("""COMPUTED_VALUE"""),1.0)</f>
        <v>1</v>
      </c>
      <c r="H1741" s="6" t="str">
        <f>IFERROR(__xludf.DUMMYFUNCTION("""COMPUTED_VALUE"""),"-")</f>
        <v>-</v>
      </c>
      <c r="I1741" s="6" t="str">
        <f>IFERROR(__xludf.DUMMYFUNCTION("""COMPUTED_VALUE"""),"RYP")</f>
        <v>RYP</v>
      </c>
      <c r="J1741" s="6" t="str">
        <f>IFERROR(__xludf.DUMMYFUNCTION("""COMPUTED_VALUE"""),"EF C 1-1Sam c1-2")</f>
        <v>EF C 1-1Sam c1-2</v>
      </c>
      <c r="K1741" s="6" t="str">
        <f>IFERROR(__xludf.DUMMYFUNCTION("""COMPUTED_VALUE"""),"SPR/02/25/125")</f>
        <v>SPR/02/25/125</v>
      </c>
      <c r="L1741" s="13">
        <f>IFERROR(__xludf.DUMMYFUNCTION("""COMPUTED_VALUE"""),45716.0)</f>
        <v>45716</v>
      </c>
    </row>
    <row r="1742">
      <c r="A1742" s="6" t="str">
        <f>IFERROR(__xludf.DUMMYFUNCTION("""COMPUTED_VALUE"""),"MRA")</f>
        <v>MRA</v>
      </c>
      <c r="B1742" s="6" t="str">
        <f>IFERROR(__xludf.DUMMYFUNCTION("""COMPUTED_VALUE"""),"ENG")</f>
        <v>ENG</v>
      </c>
      <c r="C1742" s="6" t="str">
        <f>IFERROR(__xludf.DUMMYFUNCTION("""COMPUTED_VALUE"""),"P-50506-00")</f>
        <v>P-50506-00</v>
      </c>
      <c r="D1742" s="6" t="str">
        <f>IFERROR(__xludf.DUMMYFUNCTION("""COMPUTED_VALUE"""),"Saklar Tunggal / 250 V / Clipsal")</f>
        <v>Saklar Tunggal / 250 V / Clipsal</v>
      </c>
      <c r="E1742" s="6">
        <f>IFERROR(__xludf.DUMMYFUNCTION("""COMPUTED_VALUE"""),1.0)</f>
        <v>1</v>
      </c>
      <c r="F1742" s="6">
        <f>IFERROR(__xludf.DUMMYFUNCTION("""COMPUTED_VALUE"""),1.0)</f>
        <v>1</v>
      </c>
      <c r="G1742" s="6">
        <f>IFERROR(__xludf.DUMMYFUNCTION("""COMPUTED_VALUE"""),0.0)</f>
        <v>0</v>
      </c>
      <c r="H1742" s="6" t="str">
        <f>IFERROR(__xludf.DUMMYFUNCTION("""COMPUTED_VALUE"""),"Pcs")</f>
        <v>Pcs</v>
      </c>
      <c r="I1742" s="6" t="str">
        <f>IFERROR(__xludf.DUMMYFUNCTION("""COMPUTED_VALUE"""),"RYP")</f>
        <v>RYP</v>
      </c>
      <c r="J1742" s="6" t="str">
        <f>IFERROR(__xludf.DUMMYFUNCTION("""COMPUTED_VALUE"""),"Furnore Dry ins")</f>
        <v>Furnore Dry ins</v>
      </c>
      <c r="K1742" s="6" t="str">
        <f>IFERROR(__xludf.DUMMYFUNCTION("""COMPUTED_VALUE"""),"SPR/02/25/126")</f>
        <v>SPR/02/25/126</v>
      </c>
      <c r="L1742" s="13">
        <f>IFERROR(__xludf.DUMMYFUNCTION("""COMPUTED_VALUE"""),45716.0)</f>
        <v>45716</v>
      </c>
    </row>
    <row r="1743">
      <c r="A1743" s="6" t="str">
        <f>IFERROR(__xludf.DUMMYFUNCTION("""COMPUTED_VALUE"""),"RIA")</f>
        <v>RIA</v>
      </c>
      <c r="B1743" s="6" t="str">
        <f>IFERROR(__xludf.DUMMYFUNCTION("""COMPUTED_VALUE"""),"ENG")</f>
        <v>ENG</v>
      </c>
      <c r="C1743" s="6" t="str">
        <f>IFERROR(__xludf.DUMMYFUNCTION("""COMPUTED_VALUE"""),"-")</f>
        <v>-</v>
      </c>
      <c r="D1743" s="6" t="str">
        <f>IFERROR(__xludf.DUMMYFUNCTION("""COMPUTED_VALUE"""),"Socket Relay Bundar PF0803A")</f>
        <v>Socket Relay Bundar PF0803A</v>
      </c>
      <c r="E1743" s="6">
        <f>IFERROR(__xludf.DUMMYFUNCTION("""COMPUTED_VALUE"""),1.0)</f>
        <v>1</v>
      </c>
      <c r="F1743" s="6">
        <f>IFERROR(__xludf.DUMMYFUNCTION("""COMPUTED_VALUE"""),1.0)</f>
        <v>1</v>
      </c>
      <c r="G1743" s="6">
        <f>IFERROR(__xludf.DUMMYFUNCTION("""COMPUTED_VALUE"""),0.0)</f>
        <v>0</v>
      </c>
      <c r="H1743" s="6" t="str">
        <f>IFERROR(__xludf.DUMMYFUNCTION("""COMPUTED_VALUE"""),"Pcs")</f>
        <v>Pcs</v>
      </c>
      <c r="I1743" s="6" t="str">
        <f>IFERROR(__xludf.DUMMYFUNCTION("""COMPUTED_VALUE"""),"RYP")</f>
        <v>RYP</v>
      </c>
      <c r="J1743" s="6" t="str">
        <f>IFERROR(__xludf.DUMMYFUNCTION("""COMPUTED_VALUE"""),"Wlce FGRM")</f>
        <v>Wlce FGRM</v>
      </c>
      <c r="K1743" s="6" t="str">
        <f>IFERROR(__xludf.DUMMYFUNCTION("""COMPUTED_VALUE"""),"SPR/02/25/126")</f>
        <v>SPR/02/25/126</v>
      </c>
      <c r="L1743" s="13">
        <f>IFERROR(__xludf.DUMMYFUNCTION("""COMPUTED_VALUE"""),45716.0)</f>
        <v>45716</v>
      </c>
    </row>
    <row r="1744">
      <c r="A1744" s="6" t="str">
        <f>IFERROR(__xludf.DUMMYFUNCTION("""COMPUTED_VALUE"""),"RIA")</f>
        <v>RIA</v>
      </c>
      <c r="B1744" s="6" t="str">
        <f>IFERROR(__xludf.DUMMYFUNCTION("""COMPUTED_VALUE"""),"ENG")</f>
        <v>ENG</v>
      </c>
      <c r="C1744" s="6" t="str">
        <f>IFERROR(__xludf.DUMMYFUNCTION("""COMPUTED_VALUE"""),"O-15931-00")</f>
        <v>O-15931-00</v>
      </c>
      <c r="D1744" s="6" t="str">
        <f>IFERROR(__xludf.DUMMYFUNCTION("""COMPUTED_VALUE"""),"Double Tape 3M 1"" Merah - P/N : - pc")</f>
        <v>Double Tape 3M 1" Merah - P/N : - pc</v>
      </c>
      <c r="E1744" s="6">
        <f>IFERROR(__xludf.DUMMYFUNCTION("""COMPUTED_VALUE"""),1.0)</f>
        <v>1</v>
      </c>
      <c r="F1744" s="6">
        <f>IFERROR(__xludf.DUMMYFUNCTION("""COMPUTED_VALUE"""),1.0)</f>
        <v>1</v>
      </c>
      <c r="G1744" s="6">
        <f>IFERROR(__xludf.DUMMYFUNCTION("""COMPUTED_VALUE"""),0.0)</f>
        <v>0</v>
      </c>
      <c r="H1744" s="6" t="str">
        <f>IFERROR(__xludf.DUMMYFUNCTION("""COMPUTED_VALUE"""),"Pcs ")</f>
        <v>Pcs </v>
      </c>
      <c r="I1744" s="6" t="str">
        <f>IFERROR(__xludf.DUMMYFUNCTION("""COMPUTED_VALUE"""),"RYP")</f>
        <v>RYP</v>
      </c>
      <c r="J1744" s="6" t="str">
        <f>IFERROR(__xludf.DUMMYFUNCTION("""COMPUTED_VALUE"""),"WICC AFGRM")</f>
        <v>WICC AFGRM</v>
      </c>
      <c r="K1744" s="6" t="str">
        <f>IFERROR(__xludf.DUMMYFUNCTION("""COMPUTED_VALUE"""),"SPR/02/25/126")</f>
        <v>SPR/02/25/126</v>
      </c>
      <c r="L1744" s="13">
        <f>IFERROR(__xludf.DUMMYFUNCTION("""COMPUTED_VALUE"""),45716.0)</f>
        <v>45716</v>
      </c>
    </row>
    <row r="1745">
      <c r="A1745" s="6" t="str">
        <f>IFERROR(__xludf.DUMMYFUNCTION("""COMPUTED_VALUE"""),"RIA")</f>
        <v>RIA</v>
      </c>
      <c r="B1745" s="6" t="str">
        <f>IFERROR(__xludf.DUMMYFUNCTION("""COMPUTED_VALUE"""),"ENG")</f>
        <v>ENG</v>
      </c>
      <c r="C1745" s="6" t="str">
        <f>IFERROR(__xludf.DUMMYFUNCTION("""COMPUTED_VALUE"""),"P-51027-00")</f>
        <v>P-51027-00</v>
      </c>
      <c r="D1745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745" s="6">
        <f>IFERROR(__xludf.DUMMYFUNCTION("""COMPUTED_VALUE"""),1.0)</f>
        <v>1</v>
      </c>
      <c r="F1745" s="6">
        <f>IFERROR(__xludf.DUMMYFUNCTION("""COMPUTED_VALUE"""),1.0)</f>
        <v>1</v>
      </c>
      <c r="G1745" s="6">
        <f>IFERROR(__xludf.DUMMYFUNCTION("""COMPUTED_VALUE"""),0.0)</f>
        <v>0</v>
      </c>
      <c r="H1745" s="6" t="str">
        <f>IFERROR(__xludf.DUMMYFUNCTION("""COMPUTED_VALUE"""),"Pcs")</f>
        <v>Pcs</v>
      </c>
      <c r="I1745" s="6" t="str">
        <f>IFERROR(__xludf.DUMMYFUNCTION("""COMPUTED_VALUE"""),"RYP")</f>
        <v>RYP</v>
      </c>
      <c r="J1745" s="6" t="str">
        <f>IFERROR(__xludf.DUMMYFUNCTION("""COMPUTED_VALUE"""),"WICCNFGRM")</f>
        <v>WICCNFGRM</v>
      </c>
      <c r="K1745" s="6" t="str">
        <f>IFERROR(__xludf.DUMMYFUNCTION("""COMPUTED_VALUE"""),"SPR/02/25/126")</f>
        <v>SPR/02/25/126</v>
      </c>
      <c r="L1745" s="13">
        <f>IFERROR(__xludf.DUMMYFUNCTION("""COMPUTED_VALUE"""),45716.0)</f>
        <v>45716</v>
      </c>
    </row>
    <row r="1746">
      <c r="A1746" s="6" t="str">
        <f>IFERROR(__xludf.DUMMYFUNCTION("""COMPUTED_VALUE"""),"INN")</f>
        <v>INN</v>
      </c>
      <c r="B1746" s="6" t="str">
        <f>IFERROR(__xludf.DUMMYFUNCTION("""COMPUTED_VALUE"""),"ENG")</f>
        <v>ENG</v>
      </c>
      <c r="C1746" s="6" t="str">
        <f>IFERROR(__xludf.DUMMYFUNCTION("""COMPUTED_VALUE"""),"P-12223-00")</f>
        <v>P-12223-00</v>
      </c>
      <c r="D1746" s="6" t="str">
        <f>IFERROR(__xludf.DUMMYFUNCTION("""COMPUTED_VALUE"""),"FESTO - Blanking plug QSC-6H p/n 153268")</f>
        <v>FESTO - Blanking plug QSC-6H p/n 153268</v>
      </c>
      <c r="E1746" s="6">
        <f>IFERROR(__xludf.DUMMYFUNCTION("""COMPUTED_VALUE"""),1.0)</f>
        <v>1</v>
      </c>
      <c r="F1746" s="6">
        <f>IFERROR(__xludf.DUMMYFUNCTION("""COMPUTED_VALUE"""),1.0)</f>
        <v>1</v>
      </c>
      <c r="G1746" s="6">
        <f>IFERROR(__xludf.DUMMYFUNCTION("""COMPUTED_VALUE"""),0.0)</f>
        <v>0</v>
      </c>
      <c r="H1746" s="6" t="str">
        <f>IFERROR(__xludf.DUMMYFUNCTION("""COMPUTED_VALUE"""),"Pcs")</f>
        <v>Pcs</v>
      </c>
      <c r="I1746" s="6" t="str">
        <f>IFERROR(__xludf.DUMMYFUNCTION("""COMPUTED_VALUE"""),"RYP")</f>
        <v>RYP</v>
      </c>
      <c r="J1746" s="6" t="str">
        <f>IFERROR(__xludf.DUMMYFUNCTION("""COMPUTED_VALUE"""),"FD")</f>
        <v>FD</v>
      </c>
      <c r="K1746" s="6" t="str">
        <f>IFERROR(__xludf.DUMMYFUNCTION("""COMPUTED_VALUE"""),"SPR/02/25/127")</f>
        <v>SPR/02/25/127</v>
      </c>
      <c r="L1746" s="13">
        <f>IFERROR(__xludf.DUMMYFUNCTION("""COMPUTED_VALUE"""),45716.0)</f>
        <v>45716</v>
      </c>
    </row>
    <row r="1747">
      <c r="A1747" s="6" t="str">
        <f>IFERROR(__xludf.DUMMYFUNCTION("""COMPUTED_VALUE"""),"INN")</f>
        <v>INN</v>
      </c>
      <c r="B1747" s="6" t="str">
        <f>IFERROR(__xludf.DUMMYFUNCTION("""COMPUTED_VALUE"""),"ENG")</f>
        <v>ENG</v>
      </c>
      <c r="C1747" s="6" t="str">
        <f>IFERROR(__xludf.DUMMYFUNCTION("""COMPUTED_VALUE"""),"P-12994-00")</f>
        <v>P-12994-00</v>
      </c>
      <c r="D1747" s="6" t="str">
        <f>IFERROR(__xludf.DUMMYFUNCTION("""COMPUTED_VALUE"""),"Nippon Tape - ASF-110FR")</f>
        <v>Nippon Tape - ASF-110FR</v>
      </c>
      <c r="E1747" s="6">
        <f>IFERROR(__xludf.DUMMYFUNCTION("""COMPUTED_VALUE"""),1.0)</f>
        <v>1</v>
      </c>
      <c r="F1747" s="6">
        <f>IFERROR(__xludf.DUMMYFUNCTION("""COMPUTED_VALUE"""),1.0)</f>
        <v>1</v>
      </c>
      <c r="G1747" s="6">
        <f>IFERROR(__xludf.DUMMYFUNCTION("""COMPUTED_VALUE"""),0.0)</f>
        <v>0</v>
      </c>
      <c r="H1747" s="6" t="str">
        <f>IFERROR(__xludf.DUMMYFUNCTION("""COMPUTED_VALUE"""),"Pcs")</f>
        <v>Pcs</v>
      </c>
      <c r="I1747" s="6" t="str">
        <f>IFERROR(__xludf.DUMMYFUNCTION("""COMPUTED_VALUE"""),"RYP")</f>
        <v>RYP</v>
      </c>
      <c r="J1747" s="6" t="str">
        <f>IFERROR(__xludf.DUMMYFUNCTION("""COMPUTED_VALUE"""),"Capping")</f>
        <v>Capping</v>
      </c>
      <c r="K1747" s="6" t="str">
        <f>IFERROR(__xludf.DUMMYFUNCTION("""COMPUTED_VALUE"""),"SPR/02/25/128")</f>
        <v>SPR/02/25/128</v>
      </c>
      <c r="L1747" s="13">
        <f>IFERROR(__xludf.DUMMYFUNCTION("""COMPUTED_VALUE"""),45716.0)</f>
        <v>45716</v>
      </c>
    </row>
    <row r="1748">
      <c r="A1748" s="6" t="str">
        <f>IFERROR(__xludf.DUMMYFUNCTION("""COMPUTED_VALUE"""),"INN")</f>
        <v>INN</v>
      </c>
      <c r="B1748" s="6" t="str">
        <f>IFERROR(__xludf.DUMMYFUNCTION("""COMPUTED_VALUE"""),"ENG")</f>
        <v>ENG</v>
      </c>
      <c r="C1748" s="6" t="str">
        <f>IFERROR(__xludf.DUMMYFUNCTION("""COMPUTED_VALUE"""),"P-52110-00")</f>
        <v>P-52110-00</v>
      </c>
      <c r="D1748" s="6" t="str">
        <f>IFERROR(__xludf.DUMMYFUNCTION("""COMPUTED_VALUE"""),"CAPACITOR 5 uF, 500 V, 50/60 Hz; ; ;")</f>
        <v>CAPACITOR 5 uF, 500 V, 50/60 Hz; ; ;</v>
      </c>
      <c r="E1748" s="6">
        <f>IFERROR(__xludf.DUMMYFUNCTION("""COMPUTED_VALUE"""),1.0)</f>
        <v>1</v>
      </c>
      <c r="F1748" s="6">
        <f>IFERROR(__xludf.DUMMYFUNCTION("""COMPUTED_VALUE"""),1.0)</f>
        <v>1</v>
      </c>
      <c r="G1748" s="6">
        <f>IFERROR(__xludf.DUMMYFUNCTION("""COMPUTED_VALUE"""),0.0)</f>
        <v>0</v>
      </c>
      <c r="H1748" s="6" t="str">
        <f>IFERROR(__xludf.DUMMYFUNCTION("""COMPUTED_VALUE"""),"Pcs")</f>
        <v>Pcs</v>
      </c>
      <c r="I1748" s="6" t="str">
        <f>IFERROR(__xludf.DUMMYFUNCTION("""COMPUTED_VALUE"""),"RYP")</f>
        <v>RYP</v>
      </c>
      <c r="J1748" s="6" t="str">
        <f>IFERROR(__xludf.DUMMYFUNCTION("""COMPUTED_VALUE"""),"HC")</f>
        <v>HC</v>
      </c>
      <c r="K1748" s="6" t="str">
        <f>IFERROR(__xludf.DUMMYFUNCTION("""COMPUTED_VALUE"""),"SPR/02/25/128")</f>
        <v>SPR/02/25/128</v>
      </c>
      <c r="L1748" s="13">
        <f>IFERROR(__xludf.DUMMYFUNCTION("""COMPUTED_VALUE"""),45716.0)</f>
        <v>45716</v>
      </c>
    </row>
    <row r="1749">
      <c r="A1749" s="6" t="str">
        <f>IFERROR(__xludf.DUMMYFUNCTION("""COMPUTED_VALUE"""),"INN")</f>
        <v>INN</v>
      </c>
      <c r="B1749" s="6" t="str">
        <f>IFERROR(__xludf.DUMMYFUNCTION("""COMPUTED_VALUE"""),"ENG")</f>
        <v>ENG</v>
      </c>
      <c r="C1749" s="6" t="str">
        <f>IFERROR(__xludf.DUMMYFUNCTION("""COMPUTED_VALUE"""),"O-54007-00")</f>
        <v>O-54007-00</v>
      </c>
      <c r="D1749" s="6" t="str">
        <f>IFERROR(__xludf.DUMMYFUNCTION("""COMPUTED_VALUE"""),"MCB 1 PHASE, SCHNEIDER ELECTRIC, IC60H 10Ka 16 AMPERE")</f>
        <v>MCB 1 PHASE, SCHNEIDER ELECTRIC, IC60H 10Ka 16 AMPERE</v>
      </c>
      <c r="E1749" s="6">
        <f>IFERROR(__xludf.DUMMYFUNCTION("""COMPUTED_VALUE"""),1.0)</f>
        <v>1</v>
      </c>
      <c r="F1749" s="6">
        <f>IFERROR(__xludf.DUMMYFUNCTION("""COMPUTED_VALUE"""),1.0)</f>
        <v>1</v>
      </c>
      <c r="G1749" s="6">
        <f>IFERROR(__xludf.DUMMYFUNCTION("""COMPUTED_VALUE"""),0.0)</f>
        <v>0</v>
      </c>
      <c r="H1749" s="6" t="str">
        <f>IFERROR(__xludf.DUMMYFUNCTION("""COMPUTED_VALUE"""),"Pcs")</f>
        <v>Pcs</v>
      </c>
      <c r="I1749" s="6" t="str">
        <f>IFERROR(__xludf.DUMMYFUNCTION("""COMPUTED_VALUE"""),"RYP")</f>
        <v>RYP</v>
      </c>
      <c r="J1749" s="6" t="str">
        <f>IFERROR(__xludf.DUMMYFUNCTION("""COMPUTED_VALUE"""),"HC")</f>
        <v>HC</v>
      </c>
      <c r="K1749" s="6" t="str">
        <f>IFERROR(__xludf.DUMMYFUNCTION("""COMPUTED_VALUE"""),"SPR/02/25/128")</f>
        <v>SPR/02/25/128</v>
      </c>
      <c r="L1749" s="13">
        <f>IFERROR(__xludf.DUMMYFUNCTION("""COMPUTED_VALUE"""),45716.0)</f>
        <v>45716</v>
      </c>
    </row>
    <row r="1750">
      <c r="A1750" s="6" t="str">
        <f>IFERROR(__xludf.DUMMYFUNCTION("""COMPUTED_VALUE"""),"RMA")</f>
        <v>RMA</v>
      </c>
      <c r="B1750" s="6" t="str">
        <f>IFERROR(__xludf.DUMMYFUNCTION("""COMPUTED_VALUE"""),"ENG")</f>
        <v>ENG</v>
      </c>
      <c r="C1750" s="6" t="str">
        <f>IFERROR(__xludf.DUMMYFUNCTION("""COMPUTED_VALUE"""),"O-54014-00")</f>
        <v>O-54014-00</v>
      </c>
      <c r="D1750" s="6" t="str">
        <f>IFERROR(__xludf.DUMMYFUNCTION("""COMPUTED_VALUE"""),"STEKER 1 PHASE, BROCO")</f>
        <v>STEKER 1 PHASE, BROCO</v>
      </c>
      <c r="E1750" s="6">
        <f>IFERROR(__xludf.DUMMYFUNCTION("""COMPUTED_VALUE"""),1.0)</f>
        <v>1</v>
      </c>
      <c r="F1750" s="6">
        <f>IFERROR(__xludf.DUMMYFUNCTION("""COMPUTED_VALUE"""),1.0)</f>
        <v>1</v>
      </c>
      <c r="G1750" s="6">
        <f>IFERROR(__xludf.DUMMYFUNCTION("""COMPUTED_VALUE"""),0.0)</f>
        <v>0</v>
      </c>
      <c r="H1750" s="6" t="str">
        <f>IFERROR(__xludf.DUMMYFUNCTION("""COMPUTED_VALUE"""),"Pcs")</f>
        <v>Pcs</v>
      </c>
      <c r="I1750" s="6" t="str">
        <f>IFERROR(__xludf.DUMMYFUNCTION("""COMPUTED_VALUE"""),"RYP")</f>
        <v>RYP</v>
      </c>
      <c r="J1750" s="6" t="str">
        <f>IFERROR(__xludf.DUMMYFUNCTION("""COMPUTED_VALUE"""),"Machine ")</f>
        <v>Machine </v>
      </c>
      <c r="K1750" s="6" t="str">
        <f>IFERROR(__xludf.DUMMYFUNCTION("""COMPUTED_VALUE"""),"SPR/02/25/130")</f>
        <v>SPR/02/25/130</v>
      </c>
      <c r="L1750" s="13">
        <f>IFERROR(__xludf.DUMMYFUNCTION("""COMPUTED_VALUE"""),45716.0)</f>
        <v>45716</v>
      </c>
    </row>
    <row r="1751">
      <c r="A1751" s="6" t="str">
        <f>IFERROR(__xludf.DUMMYFUNCTION("""COMPUTED_VALUE"""),"RMA")</f>
        <v>RMA</v>
      </c>
      <c r="B1751" s="6" t="str">
        <f>IFERROR(__xludf.DUMMYFUNCTION("""COMPUTED_VALUE"""),"ENG")</f>
        <v>ENG</v>
      </c>
      <c r="C1751" s="6" t="str">
        <f>IFERROR(__xludf.DUMMYFUNCTION("""COMPUTED_VALUE"""),"P-15851-00")</f>
        <v>P-15851-00</v>
      </c>
      <c r="D1751" s="6" t="str">
        <f>IFERROR(__xludf.DUMMYFUNCTION("""COMPUTED_VALUE"""),"AMPLAS EAGLE 100")</f>
        <v>AMPLAS EAGLE 100</v>
      </c>
      <c r="E1751" s="6">
        <f>IFERROR(__xludf.DUMMYFUNCTION("""COMPUTED_VALUE"""),1.0)</f>
        <v>1</v>
      </c>
      <c r="F1751" s="6">
        <f>IFERROR(__xludf.DUMMYFUNCTION("""COMPUTED_VALUE"""),1.0)</f>
        <v>1</v>
      </c>
      <c r="G1751" s="6">
        <f>IFERROR(__xludf.DUMMYFUNCTION("""COMPUTED_VALUE"""),0.0)</f>
        <v>0</v>
      </c>
      <c r="H1751" s="6" t="str">
        <f>IFERROR(__xludf.DUMMYFUNCTION("""COMPUTED_VALUE"""),"Pcs")</f>
        <v>Pcs</v>
      </c>
      <c r="I1751" s="6" t="str">
        <f>IFERROR(__xludf.DUMMYFUNCTION("""COMPUTED_VALUE"""),"RYP")</f>
        <v>RYP</v>
      </c>
      <c r="J1751" s="6" t="str">
        <f>IFERROR(__xludf.DUMMYFUNCTION("""COMPUTED_VALUE"""),"Building")</f>
        <v>Building</v>
      </c>
      <c r="K1751" s="6" t="str">
        <f>IFERROR(__xludf.DUMMYFUNCTION("""COMPUTED_VALUE"""),"SPR/02/25/129")</f>
        <v>SPR/02/25/129</v>
      </c>
      <c r="L1751" s="13">
        <f>IFERROR(__xludf.DUMMYFUNCTION("""COMPUTED_VALUE"""),45716.0)</f>
        <v>45716</v>
      </c>
    </row>
    <row r="1752">
      <c r="A1752" s="6" t="str">
        <f>IFERROR(__xludf.DUMMYFUNCTION("""COMPUTED_VALUE"""),"SHF")</f>
        <v>SHF</v>
      </c>
      <c r="B1752" s="6" t="str">
        <f>IFERROR(__xludf.DUMMYFUNCTION("""COMPUTED_VALUE"""),"ENG")</f>
        <v>ENG</v>
      </c>
      <c r="C1752" s="6" t="str">
        <f>IFERROR(__xludf.DUMMYFUNCTION("""COMPUTED_VALUE"""),"-")</f>
        <v>-</v>
      </c>
      <c r="D1752" s="6" t="str">
        <f>IFERROR(__xludf.DUMMYFUNCTION("""COMPUTED_VALUE"""),"Gasket Ferulle teplon")</f>
        <v>Gasket Ferulle teplon</v>
      </c>
      <c r="E1752" s="6">
        <f>IFERROR(__xludf.DUMMYFUNCTION("""COMPUTED_VALUE"""),2.0)</f>
        <v>2</v>
      </c>
      <c r="F1752" s="6">
        <f>IFERROR(__xludf.DUMMYFUNCTION("""COMPUTED_VALUE"""),2.0)</f>
        <v>2</v>
      </c>
      <c r="G1752" s="6">
        <f>IFERROR(__xludf.DUMMYFUNCTION("""COMPUTED_VALUE"""),0.0)</f>
        <v>0</v>
      </c>
      <c r="H1752" s="6" t="str">
        <f>IFERROR(__xludf.DUMMYFUNCTION("""COMPUTED_VALUE"""),"-")</f>
        <v>-</v>
      </c>
      <c r="I1752" s="6" t="str">
        <f>IFERROR(__xludf.DUMMYFUNCTION("""COMPUTED_VALUE"""),"RYP")</f>
        <v>RYP</v>
      </c>
      <c r="J1752" s="6" t="str">
        <f>IFERROR(__xludf.DUMMYFUNCTION("""COMPUTED_VALUE"""),"WFIG")</f>
        <v>WFIG</v>
      </c>
      <c r="K1752" s="6" t="str">
        <f>IFERROR(__xludf.DUMMYFUNCTION("""COMPUTED_VALUE"""),"SPR/02/25/131")</f>
        <v>SPR/02/25/131</v>
      </c>
      <c r="L1752" s="13">
        <f>IFERROR(__xludf.DUMMYFUNCTION("""COMPUTED_VALUE"""),45716.0)</f>
        <v>45716</v>
      </c>
    </row>
    <row r="1753">
      <c r="A1753" s="6" t="str">
        <f>IFERROR(__xludf.DUMMYFUNCTION("""COMPUTED_VALUE"""),"SHF")</f>
        <v>SHF</v>
      </c>
      <c r="B1753" s="6" t="str">
        <f>IFERROR(__xludf.DUMMYFUNCTION("""COMPUTED_VALUE"""),"ENG")</f>
        <v>ENG</v>
      </c>
      <c r="C1753" s="6" t="str">
        <f>IFERROR(__xludf.DUMMYFUNCTION("""COMPUTED_VALUE"""),"-")</f>
        <v>-</v>
      </c>
      <c r="D1753" s="6" t="str">
        <f>IFERROR(__xludf.DUMMYFUNCTION("""COMPUTED_VALUE"""),"Gasket Ferule EPDM")</f>
        <v>Gasket Ferule EPDM</v>
      </c>
      <c r="E1753" s="6">
        <f>IFERROR(__xludf.DUMMYFUNCTION("""COMPUTED_VALUE"""),2.0)</f>
        <v>2</v>
      </c>
      <c r="F1753" s="6">
        <f>IFERROR(__xludf.DUMMYFUNCTION("""COMPUTED_VALUE"""),2.0)</f>
        <v>2</v>
      </c>
      <c r="G1753" s="6">
        <f>IFERROR(__xludf.DUMMYFUNCTION("""COMPUTED_VALUE"""),0.0)</f>
        <v>0</v>
      </c>
      <c r="H1753" s="6" t="str">
        <f>IFERROR(__xludf.DUMMYFUNCTION("""COMPUTED_VALUE"""),"-")</f>
        <v>-</v>
      </c>
      <c r="I1753" s="6" t="str">
        <f>IFERROR(__xludf.DUMMYFUNCTION("""COMPUTED_VALUE"""),"RYP")</f>
        <v>RYP</v>
      </c>
      <c r="J1753" s="6" t="str">
        <f>IFERROR(__xludf.DUMMYFUNCTION("""COMPUTED_VALUE"""),"WFIG")</f>
        <v>WFIG</v>
      </c>
      <c r="K1753" s="6" t="str">
        <f>IFERROR(__xludf.DUMMYFUNCTION("""COMPUTED_VALUE"""),"SPR/02/25/131")</f>
        <v>SPR/02/25/131</v>
      </c>
      <c r="L1753" s="13">
        <f>IFERROR(__xludf.DUMMYFUNCTION("""COMPUTED_VALUE"""),45716.0)</f>
        <v>45716</v>
      </c>
    </row>
    <row r="1754">
      <c r="A1754" s="6" t="str">
        <f>IFERROR(__xludf.DUMMYFUNCTION("""COMPUTED_VALUE"""),"RIA")</f>
        <v>RIA</v>
      </c>
      <c r="B1754" s="6" t="str">
        <f>IFERROR(__xludf.DUMMYFUNCTION("""COMPUTED_VALUE"""),"ENG")</f>
        <v>ENG</v>
      </c>
      <c r="C1754" s="6" t="str">
        <f>IFERROR(__xludf.DUMMYFUNCTION("""COMPUTED_VALUE"""),"P-18447-00")</f>
        <v>P-18447-00</v>
      </c>
      <c r="D1754" s="6" t="str">
        <f>IFERROR(__xludf.DUMMYFUNCTION("""COMPUTED_VALUE"""),"Sample Pump Head for TOC Sievers M500; ; ;")</f>
        <v>Sample Pump Head for TOC Sievers M500; ; ;</v>
      </c>
      <c r="E1754" s="6">
        <f>IFERROR(__xludf.DUMMYFUNCTION("""COMPUTED_VALUE"""),1.0)</f>
        <v>1</v>
      </c>
      <c r="F1754" s="6">
        <f>IFERROR(__xludf.DUMMYFUNCTION("""COMPUTED_VALUE"""),1.0)</f>
        <v>1</v>
      </c>
      <c r="G1754" s="6">
        <f>IFERROR(__xludf.DUMMYFUNCTION("""COMPUTED_VALUE"""),0.0)</f>
        <v>0</v>
      </c>
      <c r="H1754" s="6" t="str">
        <f>IFERROR(__xludf.DUMMYFUNCTION("""COMPUTED_VALUE"""),"Pcs")</f>
        <v>Pcs</v>
      </c>
      <c r="I1754" s="6" t="str">
        <f>IFERROR(__xludf.DUMMYFUNCTION("""COMPUTED_VALUE"""),"RYP")</f>
        <v>RYP</v>
      </c>
      <c r="J1754" s="6" t="str">
        <f>IFERROR(__xludf.DUMMYFUNCTION("""COMPUTED_VALUE"""),"TOC WFI")</f>
        <v>TOC WFI</v>
      </c>
      <c r="K1754" s="6" t="str">
        <f>IFERROR(__xludf.DUMMYFUNCTION("""COMPUTED_VALUE"""),"SPR/02/25/132")</f>
        <v>SPR/02/25/132</v>
      </c>
      <c r="L1754" s="13">
        <f>IFERROR(__xludf.DUMMYFUNCTION("""COMPUTED_VALUE"""),45716.0)</f>
        <v>45716</v>
      </c>
    </row>
    <row r="1755">
      <c r="A1755" s="6" t="str">
        <f>IFERROR(__xludf.DUMMYFUNCTION("""COMPUTED_VALUE"""),"RIA")</f>
        <v>RIA</v>
      </c>
      <c r="B1755" s="6" t="str">
        <f>IFERROR(__xludf.DUMMYFUNCTION("""COMPUTED_VALUE"""),"ENG")</f>
        <v>ENG</v>
      </c>
      <c r="C1755" s="6" t="str">
        <f>IFERROR(__xludf.DUMMYFUNCTION("""COMPUTED_VALUE"""),"P-54181-00")</f>
        <v>P-54181-00</v>
      </c>
      <c r="D1755" s="6" t="str">
        <f>IFERROR(__xludf.DUMMYFUNCTION("""COMPUTED_VALUE"""),"UV lamp for TOC Sievers M500; TOC Sievers; ; pack size per pc")</f>
        <v>UV lamp for TOC Sievers M500; TOC Sievers; ; pack size per pc</v>
      </c>
      <c r="E1755" s="6">
        <f>IFERROR(__xludf.DUMMYFUNCTION("""COMPUTED_VALUE"""),1.0)</f>
        <v>1</v>
      </c>
      <c r="F1755" s="6">
        <f>IFERROR(__xludf.DUMMYFUNCTION("""COMPUTED_VALUE"""),1.0)</f>
        <v>1</v>
      </c>
      <c r="G1755" s="6">
        <f>IFERROR(__xludf.DUMMYFUNCTION("""COMPUTED_VALUE"""),0.0)</f>
        <v>0</v>
      </c>
      <c r="H1755" s="6" t="str">
        <f>IFERROR(__xludf.DUMMYFUNCTION("""COMPUTED_VALUE"""),"Pcs")</f>
        <v>Pcs</v>
      </c>
      <c r="I1755" s="6" t="str">
        <f>IFERROR(__xludf.DUMMYFUNCTION("""COMPUTED_VALUE"""),"RYP")</f>
        <v>RYP</v>
      </c>
      <c r="J1755" s="6" t="str">
        <f>IFERROR(__xludf.DUMMYFUNCTION("""COMPUTED_VALUE"""),"TOC WFI")</f>
        <v>TOC WFI</v>
      </c>
      <c r="K1755" s="6" t="str">
        <f>IFERROR(__xludf.DUMMYFUNCTION("""COMPUTED_VALUE"""),"SPR/02/25/132")</f>
        <v>SPR/02/25/132</v>
      </c>
      <c r="L1755" s="13">
        <f>IFERROR(__xludf.DUMMYFUNCTION("""COMPUTED_VALUE"""),45716.0)</f>
        <v>45716</v>
      </c>
    </row>
    <row r="1756">
      <c r="A1756" s="6" t="str">
        <f>IFERROR(__xludf.DUMMYFUNCTION("""COMPUTED_VALUE"""),"SFH")</f>
        <v>SFH</v>
      </c>
      <c r="B1756" s="6" t="str">
        <f>IFERROR(__xludf.DUMMYFUNCTION("""COMPUTED_VALUE"""),"ENG")</f>
        <v>ENG</v>
      </c>
      <c r="C1756" s="6" t="str">
        <f>IFERROR(__xludf.DUMMYFUNCTION("""COMPUTED_VALUE"""),"P-51894-00")</f>
        <v>P-51894-00</v>
      </c>
      <c r="D1756" s="6" t="str">
        <f>IFERROR(__xludf.DUMMYFUNCTION("""COMPUTED_VALUE"""),"Philips - Lampu TLD 18W/840 Bright Boost Cool White; ; ;")</f>
        <v>Philips - Lampu TLD 18W/840 Bright Boost Cool White; ; ;</v>
      </c>
      <c r="E1756" s="6">
        <f>IFERROR(__xludf.DUMMYFUNCTION("""COMPUTED_VALUE"""),2.0)</f>
        <v>2</v>
      </c>
      <c r="F1756" s="6">
        <f>IFERROR(__xludf.DUMMYFUNCTION("""COMPUTED_VALUE"""),2.0)</f>
        <v>2</v>
      </c>
      <c r="G1756" s="6">
        <f>IFERROR(__xludf.DUMMYFUNCTION("""COMPUTED_VALUE"""),0.0)</f>
        <v>0</v>
      </c>
      <c r="H1756" s="6" t="str">
        <f>IFERROR(__xludf.DUMMYFUNCTION("""COMPUTED_VALUE"""),"Pcs")</f>
        <v>Pcs</v>
      </c>
      <c r="I1756" s="6" t="str">
        <f>IFERROR(__xludf.DUMMYFUNCTION("""COMPUTED_VALUE"""),"RYP")</f>
        <v>RYP</v>
      </c>
      <c r="J1756" s="6" t="str">
        <f>IFERROR(__xludf.DUMMYFUNCTION("""COMPUTED_VALUE"""),"Building")</f>
        <v>Building</v>
      </c>
      <c r="K1756" s="6" t="str">
        <f>IFERROR(__xludf.DUMMYFUNCTION("""COMPUTED_VALUE"""),"SPR/02/25/133")</f>
        <v>SPR/02/25/133</v>
      </c>
      <c r="L1756" s="13">
        <f>IFERROR(__xludf.DUMMYFUNCTION("""COMPUTED_VALUE"""),45716.0)</f>
        <v>45716</v>
      </c>
    </row>
    <row r="1757">
      <c r="A1757" s="6" t="str">
        <f>IFERROR(__xludf.DUMMYFUNCTION("""COMPUTED_VALUE"""),"RMA")</f>
        <v>RMA</v>
      </c>
      <c r="B1757" s="6" t="str">
        <f>IFERROR(__xludf.DUMMYFUNCTION("""COMPUTED_VALUE"""),"ENG")</f>
        <v>ENG</v>
      </c>
      <c r="C1757" s="6" t="str">
        <f>IFERROR(__xludf.DUMMYFUNCTION("""COMPUTED_VALUE"""),"Q-10154-00")</f>
        <v>Q-10154-00</v>
      </c>
      <c r="D1757" s="6" t="str">
        <f>IFERROR(__xludf.DUMMYFUNCTION("""COMPUTED_VALUE"""),"Kuas Cat Roller uk. 230 mm;No Brand;;pack size per set")</f>
        <v>Kuas Cat Roller uk. 230 mm;No Brand;;pack size per set</v>
      </c>
      <c r="E1757" s="6">
        <f>IFERROR(__xludf.DUMMYFUNCTION("""COMPUTED_VALUE"""),1.0)</f>
        <v>1</v>
      </c>
      <c r="F1757" s="6">
        <f>IFERROR(__xludf.DUMMYFUNCTION("""COMPUTED_VALUE"""),1.0)</f>
        <v>1</v>
      </c>
      <c r="G1757" s="6">
        <f>IFERROR(__xludf.DUMMYFUNCTION("""COMPUTED_VALUE"""),0.0)</f>
        <v>0</v>
      </c>
      <c r="H1757" s="6" t="str">
        <f>IFERROR(__xludf.DUMMYFUNCTION("""COMPUTED_VALUE"""),"Pcs ")</f>
        <v>Pcs </v>
      </c>
      <c r="I1757" s="6" t="str">
        <f>IFERROR(__xludf.DUMMYFUNCTION("""COMPUTED_VALUE"""),"RYP")</f>
        <v>RYP</v>
      </c>
      <c r="J1757" s="6" t="str">
        <f>IFERROR(__xludf.DUMMYFUNCTION("""COMPUTED_VALUE"""),"AHU")</f>
        <v>AHU</v>
      </c>
      <c r="K1757" s="6" t="str">
        <f>IFERROR(__xludf.DUMMYFUNCTION("""COMPUTED_VALUE"""),"SPR/02/25/134")</f>
        <v>SPR/02/25/134</v>
      </c>
      <c r="L1757" s="13">
        <f>IFERROR(__xludf.DUMMYFUNCTION("""COMPUTED_VALUE"""),45716.0)</f>
        <v>45716</v>
      </c>
    </row>
    <row r="1758">
      <c r="A1758" s="6" t="str">
        <f>IFERROR(__xludf.DUMMYFUNCTION("""COMPUTED_VALUE"""),"RMA")</f>
        <v>RMA</v>
      </c>
      <c r="B1758" s="6" t="str">
        <f>IFERROR(__xludf.DUMMYFUNCTION("""COMPUTED_VALUE"""),"ENG")</f>
        <v>ENG</v>
      </c>
      <c r="C1758" s="6" t="str">
        <f>IFERROR(__xludf.DUMMYFUNCTION("""COMPUTED_VALUE"""),"Q-10153-00")</f>
        <v>Q-10153-00</v>
      </c>
      <c r="D1758" s="6" t="str">
        <f>IFERROR(__xludf.DUMMYFUNCTION("""COMPUTED_VALUE"""),"Kuas Cat Roller uk. 110 mm;No Brand;;pack size per set")</f>
        <v>Kuas Cat Roller uk. 110 mm;No Brand;;pack size per set</v>
      </c>
      <c r="E1758" s="6">
        <f>IFERROR(__xludf.DUMMYFUNCTION("""COMPUTED_VALUE"""),1.0)</f>
        <v>1</v>
      </c>
      <c r="F1758" s="6">
        <f>IFERROR(__xludf.DUMMYFUNCTION("""COMPUTED_VALUE"""),1.0)</f>
        <v>1</v>
      </c>
      <c r="G1758" s="6">
        <f>IFERROR(__xludf.DUMMYFUNCTION("""COMPUTED_VALUE"""),0.0)</f>
        <v>0</v>
      </c>
      <c r="H1758" s="6" t="str">
        <f>IFERROR(__xludf.DUMMYFUNCTION("""COMPUTED_VALUE"""),"Pcs")</f>
        <v>Pcs</v>
      </c>
      <c r="I1758" s="6" t="str">
        <f>IFERROR(__xludf.DUMMYFUNCTION("""COMPUTED_VALUE"""),"RYP")</f>
        <v>RYP</v>
      </c>
      <c r="J1758" s="6" t="str">
        <f>IFERROR(__xludf.DUMMYFUNCTION("""COMPUTED_VALUE"""),"AHU")</f>
        <v>AHU</v>
      </c>
      <c r="K1758" s="6" t="str">
        <f>IFERROR(__xludf.DUMMYFUNCTION("""COMPUTED_VALUE"""),"SPR/02/25/134")</f>
        <v>SPR/02/25/134</v>
      </c>
      <c r="L1758" s="13">
        <f>IFERROR(__xludf.DUMMYFUNCTION("""COMPUTED_VALUE"""),45716.0)</f>
        <v>45716</v>
      </c>
    </row>
    <row r="1759">
      <c r="A1759" s="6" t="str">
        <f>IFERROR(__xludf.DUMMYFUNCTION("""COMPUTED_VALUE"""),"SHF")</f>
        <v>SHF</v>
      </c>
      <c r="B1759" s="6" t="str">
        <f>IFERROR(__xludf.DUMMYFUNCTION("""COMPUTED_VALUE"""),"ENG")</f>
        <v>ENG</v>
      </c>
      <c r="C1759" s="6" t="str">
        <f>IFERROR(__xludf.DUMMYFUNCTION("""COMPUTED_VALUE"""),"P-53094-00")</f>
        <v>P-53094-00</v>
      </c>
      <c r="D1759" s="6" t="str">
        <f>IFERROR(__xludf.DUMMYFUNCTION("""COMPUTED_VALUE"""),"General - Actuator; Belimo; GMX120-3; 1 pcs")</f>
        <v>General - Actuator; Belimo; GMX120-3; 1 pcs</v>
      </c>
      <c r="E1759" s="6">
        <f>IFERROR(__xludf.DUMMYFUNCTION("""COMPUTED_VALUE"""),2.0)</f>
        <v>2</v>
      </c>
      <c r="F1759" s="6">
        <f>IFERROR(__xludf.DUMMYFUNCTION("""COMPUTED_VALUE"""),2.0)</f>
        <v>2</v>
      </c>
      <c r="G1759" s="6">
        <f>IFERROR(__xludf.DUMMYFUNCTION("""COMPUTED_VALUE"""),0.0)</f>
        <v>0</v>
      </c>
      <c r="H1759" s="6" t="str">
        <f>IFERROR(__xludf.DUMMYFUNCTION("""COMPUTED_VALUE"""),"Pcs")</f>
        <v>Pcs</v>
      </c>
      <c r="I1759" s="6" t="str">
        <f>IFERROR(__xludf.DUMMYFUNCTION("""COMPUTED_VALUE"""),"RYP")</f>
        <v>RYP</v>
      </c>
      <c r="J1759" s="6" t="str">
        <f>IFERROR(__xludf.DUMMYFUNCTION("""COMPUTED_VALUE"""),"Ex c1-21  dan c1-22")</f>
        <v>Ex c1-21  dan c1-22</v>
      </c>
      <c r="K1759" s="6" t="str">
        <f>IFERROR(__xludf.DUMMYFUNCTION("""COMPUTED_VALUE"""),"SPR/02/25/135")</f>
        <v>SPR/02/25/135</v>
      </c>
      <c r="L1759" s="13">
        <f>IFERROR(__xludf.DUMMYFUNCTION("""COMPUTED_VALUE"""),45716.0)</f>
        <v>45716</v>
      </c>
    </row>
    <row r="1760">
      <c r="A1760" s="6" t="str">
        <f>IFERROR(__xludf.DUMMYFUNCTION("""COMPUTED_VALUE"""),"ANO")</f>
        <v>ANO</v>
      </c>
      <c r="B1760" s="6" t="str">
        <f>IFERROR(__xludf.DUMMYFUNCTION("""COMPUTED_VALUE"""),"ENG")</f>
        <v>ENG</v>
      </c>
      <c r="C1760" s="6" t="str">
        <f>IFERROR(__xludf.DUMMYFUNCTION("""COMPUTED_VALUE"""),"O-17209-00")</f>
        <v>O-17209-00</v>
      </c>
      <c r="D1760" s="6" t="str">
        <f>IFERROR(__xludf.DUMMYFUNCTION("""COMPUTED_VALUE"""),"Oring Silicone Merah 20 x 15.5 x 2 mm; ; ;")</f>
        <v>Oring Silicone Merah 20 x 15.5 x 2 mm; ; ;</v>
      </c>
      <c r="E1760" s="6">
        <f>IFERROR(__xludf.DUMMYFUNCTION("""COMPUTED_VALUE"""),1.0)</f>
        <v>1</v>
      </c>
      <c r="F1760" s="6">
        <f>IFERROR(__xludf.DUMMYFUNCTION("""COMPUTED_VALUE"""),1.0)</f>
        <v>1</v>
      </c>
      <c r="G1760" s="6">
        <f>IFERROR(__xludf.DUMMYFUNCTION("""COMPUTED_VALUE"""),0.0)</f>
        <v>0</v>
      </c>
      <c r="H1760" s="6" t="str">
        <f>IFERROR(__xludf.DUMMYFUNCTION("""COMPUTED_VALUE"""),"Pcs")</f>
        <v>Pcs</v>
      </c>
      <c r="I1760" s="6" t="str">
        <f>IFERROR(__xludf.DUMMYFUNCTION("""COMPUTED_VALUE"""),"RYP")</f>
        <v>RYP</v>
      </c>
      <c r="J1760" s="6" t="str">
        <f>IFERROR(__xludf.DUMMYFUNCTION("""COMPUTED_VALUE"""),"Autoclave")</f>
        <v>Autoclave</v>
      </c>
      <c r="K1760" s="6" t="str">
        <f>IFERROR(__xludf.DUMMYFUNCTION("""COMPUTED_VALUE"""),"SPR/02/25/136")</f>
        <v>SPR/02/25/136</v>
      </c>
      <c r="L1760" s="13">
        <f>IFERROR(__xludf.DUMMYFUNCTION("""COMPUTED_VALUE"""),45716.0)</f>
        <v>45716</v>
      </c>
    </row>
    <row r="1761">
      <c r="A1761" s="6" t="str">
        <f>IFERROR(__xludf.DUMMYFUNCTION("""COMPUTED_VALUE"""),"ROS")</f>
        <v>ROS</v>
      </c>
      <c r="B1761" s="6" t="str">
        <f>IFERROR(__xludf.DUMMYFUNCTION("""COMPUTED_VALUE"""),"ENG")</f>
        <v>ENG</v>
      </c>
      <c r="C1761" s="6" t="str">
        <f>IFERROR(__xludf.DUMMYFUNCTION("""COMPUTED_VALUE"""),"P-18556-00")</f>
        <v>P-18556-00</v>
      </c>
      <c r="D1761" s="6" t="str">
        <f>IFERROR(__xludf.DUMMYFUNCTION("""COMPUTED_VALUE"""),"Baut L SS 304 Uk. M3 x 10 mm; ; ;")</f>
        <v>Baut L SS 304 Uk. M3 x 10 mm; ; ;</v>
      </c>
      <c r="E1761" s="6">
        <f>IFERROR(__xludf.DUMMYFUNCTION("""COMPUTED_VALUE"""),10.0)</f>
        <v>10</v>
      </c>
      <c r="F1761" s="6">
        <f>IFERROR(__xludf.DUMMYFUNCTION("""COMPUTED_VALUE"""),10.0)</f>
        <v>10</v>
      </c>
      <c r="G1761" s="6">
        <f>IFERROR(__xludf.DUMMYFUNCTION("""COMPUTED_VALUE"""),0.0)</f>
        <v>0</v>
      </c>
      <c r="H1761" s="6" t="str">
        <f>IFERROR(__xludf.DUMMYFUNCTION("""COMPUTED_VALUE"""),"Pcs")</f>
        <v>Pcs</v>
      </c>
      <c r="I1761" s="6" t="str">
        <f>IFERROR(__xludf.DUMMYFUNCTION("""COMPUTED_VALUE"""),"RYP")</f>
        <v>RYP</v>
      </c>
      <c r="J1761" s="6" t="str">
        <f>IFERROR(__xludf.DUMMYFUNCTION("""COMPUTED_VALUE"""),"Cyliotokic")</f>
        <v>Cyliotokic</v>
      </c>
      <c r="K1761" s="6" t="str">
        <f>IFERROR(__xludf.DUMMYFUNCTION("""COMPUTED_VALUE"""),"SPR/02/25/137")</f>
        <v>SPR/02/25/137</v>
      </c>
      <c r="L1761" s="13">
        <f>IFERROR(__xludf.DUMMYFUNCTION("""COMPUTED_VALUE"""),45716.0)</f>
        <v>45716</v>
      </c>
    </row>
    <row r="1762">
      <c r="A1762" s="6" t="str">
        <f>IFERROR(__xludf.DUMMYFUNCTION("""COMPUTED_VALUE"""),"RIA")</f>
        <v>RIA</v>
      </c>
      <c r="B1762" s="6" t="str">
        <f>IFERROR(__xludf.DUMMYFUNCTION("""COMPUTED_VALUE"""),"ENG")</f>
        <v>ENG</v>
      </c>
      <c r="C1762" s="6" t="str">
        <f>IFERROR(__xludf.DUMMYFUNCTION("""COMPUTED_VALUE"""),"P-51299-00")</f>
        <v>P-51299-00</v>
      </c>
      <c r="D1762" s="6" t="str">
        <f>IFERROR(__xludf.DUMMYFUNCTION("""COMPUTED_VALUE"""),"Terminal plastik dia 6 mm")</f>
        <v>Terminal plastik dia 6 mm</v>
      </c>
      <c r="E1762" s="6">
        <f>IFERROR(__xludf.DUMMYFUNCTION("""COMPUTED_VALUE"""),1.0)</f>
        <v>1</v>
      </c>
      <c r="F1762" s="6">
        <f>IFERROR(__xludf.DUMMYFUNCTION("""COMPUTED_VALUE"""),1.0)</f>
        <v>1</v>
      </c>
      <c r="G1762" s="6">
        <f>IFERROR(__xludf.DUMMYFUNCTION("""COMPUTED_VALUE"""),0.0)</f>
        <v>0</v>
      </c>
      <c r="H1762" s="6" t="str">
        <f>IFERROR(__xludf.DUMMYFUNCTION("""COMPUTED_VALUE"""),"Pcs")</f>
        <v>Pcs</v>
      </c>
      <c r="I1762" s="6" t="str">
        <f>IFERROR(__xludf.DUMMYFUNCTION("""COMPUTED_VALUE"""),"RYP")</f>
        <v>RYP</v>
      </c>
      <c r="J1762" s="6" t="str">
        <f>IFERROR(__xludf.DUMMYFUNCTION("""COMPUTED_VALUE"""),"WID")</f>
        <v>WID</v>
      </c>
      <c r="K1762" s="6" t="str">
        <f>IFERROR(__xludf.DUMMYFUNCTION("""COMPUTED_VALUE"""),"SPR/02/25/138")</f>
        <v>SPR/02/25/138</v>
      </c>
      <c r="L1762" s="13">
        <f>IFERROR(__xludf.DUMMYFUNCTION("""COMPUTED_VALUE"""),45716.0)</f>
        <v>45716</v>
      </c>
    </row>
    <row r="1763">
      <c r="A1763" s="6" t="str">
        <f>IFERROR(__xludf.DUMMYFUNCTION("""COMPUTED_VALUE"""),"RIA")</f>
        <v>RIA</v>
      </c>
      <c r="B1763" s="6" t="str">
        <f>IFERROR(__xludf.DUMMYFUNCTION("""COMPUTED_VALUE"""),"ENG")</f>
        <v>ENG</v>
      </c>
      <c r="C1763" s="6" t="str">
        <f>IFERROR(__xludf.DUMMYFUNCTION("""COMPUTED_VALUE"""),"P-53133-00")</f>
        <v>P-53133-00</v>
      </c>
      <c r="D1763" s="6" t="str">
        <f>IFERROR(__xludf.DUMMYFUNCTION("""COMPUTED_VALUE"""),"Kabel Belden AWG 22; ; ;")</f>
        <v>Kabel Belden AWG 22; ; ;</v>
      </c>
      <c r="E1763" s="6">
        <f>IFERROR(__xludf.DUMMYFUNCTION("""COMPUTED_VALUE"""),10.0)</f>
        <v>10</v>
      </c>
      <c r="F1763" s="6">
        <f>IFERROR(__xludf.DUMMYFUNCTION("""COMPUTED_VALUE"""),10.0)</f>
        <v>10</v>
      </c>
      <c r="G1763" s="6">
        <f>IFERROR(__xludf.DUMMYFUNCTION("""COMPUTED_VALUE"""),0.0)</f>
        <v>0</v>
      </c>
      <c r="H1763" s="6" t="str">
        <f>IFERROR(__xludf.DUMMYFUNCTION("""COMPUTED_VALUE"""),"Pcs")</f>
        <v>Pcs</v>
      </c>
      <c r="I1763" s="6" t="str">
        <f>IFERROR(__xludf.DUMMYFUNCTION("""COMPUTED_VALUE"""),"RYP")</f>
        <v>RYP</v>
      </c>
      <c r="J1763" s="6" t="str">
        <f>IFERROR(__xludf.DUMMYFUNCTION("""COMPUTED_VALUE"""),"WID")</f>
        <v>WID</v>
      </c>
      <c r="K1763" s="6" t="str">
        <f>IFERROR(__xludf.DUMMYFUNCTION("""COMPUTED_VALUE"""),"SPR/02/25/138")</f>
        <v>SPR/02/25/138</v>
      </c>
      <c r="L1763" s="13">
        <f>IFERROR(__xludf.DUMMYFUNCTION("""COMPUTED_VALUE"""),45716.0)</f>
        <v>45716</v>
      </c>
    </row>
    <row r="1764">
      <c r="A1764" s="6" t="str">
        <f>IFERROR(__xludf.DUMMYFUNCTION("""COMPUTED_VALUE"""),"MRN")</f>
        <v>MRN</v>
      </c>
      <c r="B1764" s="6" t="str">
        <f>IFERROR(__xludf.DUMMYFUNCTION("""COMPUTED_VALUE"""),"ENG")</f>
        <v>ENG</v>
      </c>
      <c r="C1764" s="6" t="str">
        <f>IFERROR(__xludf.DUMMYFUNCTION("""COMPUTED_VALUE"""),"P-51894-00")</f>
        <v>P-51894-00</v>
      </c>
      <c r="D1764" s="6" t="str">
        <f>IFERROR(__xludf.DUMMYFUNCTION("""COMPUTED_VALUE"""),"Philips - Lampu TLD 18W/840 Bright Boost Cool White; ; ;")</f>
        <v>Philips - Lampu TLD 18W/840 Bright Boost Cool White; ; ;</v>
      </c>
      <c r="E1764" s="6">
        <f>IFERROR(__xludf.DUMMYFUNCTION("""COMPUTED_VALUE"""),3.0)</f>
        <v>3</v>
      </c>
      <c r="F1764" s="6">
        <f>IFERROR(__xludf.DUMMYFUNCTION("""COMPUTED_VALUE"""),3.0)</f>
        <v>3</v>
      </c>
      <c r="G1764" s="6">
        <f>IFERROR(__xludf.DUMMYFUNCTION("""COMPUTED_VALUE"""),0.0)</f>
        <v>0</v>
      </c>
      <c r="H1764" s="6" t="str">
        <f>IFERROR(__xludf.DUMMYFUNCTION("""COMPUTED_VALUE"""),"Pcs")</f>
        <v>Pcs</v>
      </c>
      <c r="I1764" s="6" t="str">
        <f>IFERROR(__xludf.DUMMYFUNCTION("""COMPUTED_VALUE"""),"RYP")</f>
        <v>RYP</v>
      </c>
      <c r="J1764" s="6" t="str">
        <f>IFERROR(__xludf.DUMMYFUNCTION("""COMPUTED_VALUE"""),"-")</f>
        <v>-</v>
      </c>
      <c r="K1764" s="6" t="str">
        <f>IFERROR(__xludf.DUMMYFUNCTION("""COMPUTED_VALUE"""),"SPR/02/25/139")</f>
        <v>SPR/02/25/139</v>
      </c>
      <c r="L1764" s="13">
        <f>IFERROR(__xludf.DUMMYFUNCTION("""COMPUTED_VALUE"""),45716.0)</f>
        <v>45716</v>
      </c>
    </row>
    <row r="1765">
      <c r="A1765" s="6" t="str">
        <f>IFERROR(__xludf.DUMMYFUNCTION("""COMPUTED_VALUE"""),"MRN")</f>
        <v>MRN</v>
      </c>
      <c r="B1765" s="6" t="str">
        <f>IFERROR(__xludf.DUMMYFUNCTION("""COMPUTED_VALUE"""),"ENG")</f>
        <v>ENG</v>
      </c>
      <c r="C1765" s="6" t="str">
        <f>IFERROR(__xludf.DUMMYFUNCTION("""COMPUTED_VALUE"""),"P-53212-00")</f>
        <v>P-53212-00</v>
      </c>
      <c r="D1765" s="6" t="str">
        <f>IFERROR(__xludf.DUMMYFUNCTION("""COMPUTED_VALUE"""),"Ballast PHILIPS TL-D 1x36 Watt; ; ;")</f>
        <v>Ballast PHILIPS TL-D 1x36 Watt; ; ;</v>
      </c>
      <c r="E1765" s="6">
        <f>IFERROR(__xludf.DUMMYFUNCTION("""COMPUTED_VALUE"""),2.0)</f>
        <v>2</v>
      </c>
      <c r="F1765" s="6">
        <f>IFERROR(__xludf.DUMMYFUNCTION("""COMPUTED_VALUE"""),2.0)</f>
        <v>2</v>
      </c>
      <c r="G1765" s="6">
        <f>IFERROR(__xludf.DUMMYFUNCTION("""COMPUTED_VALUE"""),0.0)</f>
        <v>0</v>
      </c>
      <c r="H1765" s="6" t="str">
        <f>IFERROR(__xludf.DUMMYFUNCTION("""COMPUTED_VALUE"""),"Pcs")</f>
        <v>Pcs</v>
      </c>
      <c r="I1765" s="6" t="str">
        <f>IFERROR(__xludf.DUMMYFUNCTION("""COMPUTED_VALUE"""),"RYP")</f>
        <v>RYP</v>
      </c>
      <c r="J1765" s="6" t="str">
        <f>IFERROR(__xludf.DUMMYFUNCTION("""COMPUTED_VALUE"""),"-")</f>
        <v>-</v>
      </c>
      <c r="K1765" s="6" t="str">
        <f>IFERROR(__xludf.DUMMYFUNCTION("""COMPUTED_VALUE"""),"SPR/02/25/139")</f>
        <v>SPR/02/25/139</v>
      </c>
      <c r="L1765" s="13">
        <f>IFERROR(__xludf.DUMMYFUNCTION("""COMPUTED_VALUE"""),45716.0)</f>
        <v>45716</v>
      </c>
    </row>
    <row r="1766">
      <c r="A1766" s="6" t="str">
        <f>IFERROR(__xludf.DUMMYFUNCTION("""COMPUTED_VALUE"""),"MRN")</f>
        <v>MRN</v>
      </c>
      <c r="B1766" s="6" t="str">
        <f>IFERROR(__xludf.DUMMYFUNCTION("""COMPUTED_VALUE"""),"ENG")</f>
        <v>ENG</v>
      </c>
      <c r="C1766" s="6" t="str">
        <f>IFERROR(__xludf.DUMMYFUNCTION("""COMPUTED_VALUE"""),"P-51559-00")</f>
        <v>P-51559-00</v>
      </c>
      <c r="D1766" s="6" t="str">
        <f>IFERROR(__xludf.DUMMYFUNCTION("""COMPUTED_VALUE"""),"Lampu T5 14watt Putih; Phillips; ;")</f>
        <v>Lampu T5 14watt Putih; Phillips; ;</v>
      </c>
      <c r="E1766" s="6">
        <f>IFERROR(__xludf.DUMMYFUNCTION("""COMPUTED_VALUE"""),2.0)</f>
        <v>2</v>
      </c>
      <c r="F1766" s="6">
        <f>IFERROR(__xludf.DUMMYFUNCTION("""COMPUTED_VALUE"""),2.0)</f>
        <v>2</v>
      </c>
      <c r="G1766" s="6">
        <f>IFERROR(__xludf.DUMMYFUNCTION("""COMPUTED_VALUE"""),0.0)</f>
        <v>0</v>
      </c>
      <c r="H1766" s="6" t="str">
        <f>IFERROR(__xludf.DUMMYFUNCTION("""COMPUTED_VALUE"""),"Pcs")</f>
        <v>Pcs</v>
      </c>
      <c r="I1766" s="6" t="str">
        <f>IFERROR(__xludf.DUMMYFUNCTION("""COMPUTED_VALUE"""),"RYP")</f>
        <v>RYP</v>
      </c>
      <c r="J1766" s="6" t="str">
        <f>IFERROR(__xludf.DUMMYFUNCTION("""COMPUTED_VALUE"""),"-")</f>
        <v>-</v>
      </c>
      <c r="K1766" s="6" t="str">
        <f>IFERROR(__xludf.DUMMYFUNCTION("""COMPUTED_VALUE"""),"SPR/02/25/139")</f>
        <v>SPR/02/25/139</v>
      </c>
      <c r="L1766" s="13">
        <f>IFERROR(__xludf.DUMMYFUNCTION("""COMPUTED_VALUE"""),45716.0)</f>
        <v>45716</v>
      </c>
    </row>
    <row r="1767">
      <c r="A1767" s="6" t="str">
        <f>IFERROR(__xludf.DUMMYFUNCTION("""COMPUTED_VALUE"""),"AAA")</f>
        <v>AAA</v>
      </c>
      <c r="B1767" s="6" t="str">
        <f>IFERROR(__xludf.DUMMYFUNCTION("""COMPUTED_VALUE"""),"ENG")</f>
        <v>ENG</v>
      </c>
      <c r="C1767" s="6" t="str">
        <f>IFERROR(__xludf.DUMMYFUNCTION("""COMPUTED_VALUE"""),"O-16033-00")</f>
        <v>O-16033-00</v>
      </c>
      <c r="D176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767" s="6">
        <f>IFERROR(__xludf.DUMMYFUNCTION("""COMPUTED_VALUE"""),1.0)</f>
        <v>1</v>
      </c>
      <c r="F1767" s="6">
        <f>IFERROR(__xludf.DUMMYFUNCTION("""COMPUTED_VALUE"""),1.0)</f>
        <v>1</v>
      </c>
      <c r="G1767" s="6">
        <f>IFERROR(__xludf.DUMMYFUNCTION("""COMPUTED_VALUE"""),0.0)</f>
        <v>0</v>
      </c>
      <c r="H1767" s="6" t="str">
        <f>IFERROR(__xludf.DUMMYFUNCTION("""COMPUTED_VALUE"""),"Pc")</f>
        <v>Pc</v>
      </c>
      <c r="I1767" s="6" t="str">
        <f>IFERROR(__xludf.DUMMYFUNCTION("""COMPUTED_VALUE"""),"MFH")</f>
        <v>MFH</v>
      </c>
      <c r="J1767" s="6" t="str">
        <f>IFERROR(__xludf.DUMMYFUNCTION("""COMPUTED_VALUE"""),"cRABS")</f>
        <v>cRABS</v>
      </c>
      <c r="K1767" s="6" t="str">
        <f>IFERROR(__xludf.DUMMYFUNCTION("""COMPUTED_VALUE"""),"SPR/03/25/001")</f>
        <v>SPR/03/25/001</v>
      </c>
      <c r="L1767" s="13">
        <f>IFERROR(__xludf.DUMMYFUNCTION("""COMPUTED_VALUE"""),45722.0)</f>
        <v>45722</v>
      </c>
    </row>
    <row r="1768">
      <c r="A1768" s="6" t="str">
        <f>IFERROR(__xludf.DUMMYFUNCTION("""COMPUTED_VALUE"""),"RPA")</f>
        <v>RPA</v>
      </c>
      <c r="B1768" s="6" t="str">
        <f>IFERROR(__xludf.DUMMYFUNCTION("""COMPUTED_VALUE"""),"PRO")</f>
        <v>PRO</v>
      </c>
      <c r="C1768" s="6" t="str">
        <f>IFERROR(__xludf.DUMMYFUNCTION("""COMPUTED_VALUE"""),"Q-10434-00")</f>
        <v>Q-10434-00</v>
      </c>
      <c r="D1768" s="6" t="str">
        <f>IFERROR(__xludf.DUMMYFUNCTION("""COMPUTED_VALUE"""),"Lampu Tornado Philips 27 W Cool Daylight; PHILIPS; 27WATTS;")</f>
        <v>Lampu Tornado Philips 27 W Cool Daylight; PHILIPS; 27WATTS;</v>
      </c>
      <c r="E1768" s="6">
        <f>IFERROR(__xludf.DUMMYFUNCTION("""COMPUTED_VALUE"""),1.0)</f>
        <v>1</v>
      </c>
      <c r="F1768" s="6">
        <f>IFERROR(__xludf.DUMMYFUNCTION("""COMPUTED_VALUE"""),1.0)</f>
        <v>1</v>
      </c>
      <c r="G1768" s="6">
        <f>IFERROR(__xludf.DUMMYFUNCTION("""COMPUTED_VALUE"""),0.0)</f>
        <v>0</v>
      </c>
      <c r="H1768" s="6" t="str">
        <f>IFERROR(__xludf.DUMMYFUNCTION("""COMPUTED_VALUE"""),"Pc")</f>
        <v>Pc</v>
      </c>
      <c r="I1768" s="6" t="str">
        <f>IFERROR(__xludf.DUMMYFUNCTION("""COMPUTED_VALUE"""),"MFH")</f>
        <v>MFH</v>
      </c>
      <c r="J1768" s="6" t="str">
        <f>IFERROR(__xludf.DUMMYFUNCTION("""COMPUTED_VALUE"""),"Visual Inspeksi")</f>
        <v>Visual Inspeksi</v>
      </c>
      <c r="K1768" s="6" t="str">
        <f>IFERROR(__xludf.DUMMYFUNCTION("""COMPUTED_VALUE"""),"SPR/03/25/002")</f>
        <v>SPR/03/25/002</v>
      </c>
      <c r="L1768" s="13">
        <f>IFERROR(__xludf.DUMMYFUNCTION("""COMPUTED_VALUE"""),45722.0)</f>
        <v>45722</v>
      </c>
    </row>
    <row r="1769">
      <c r="A1769" s="6" t="str">
        <f>IFERROR(__xludf.DUMMYFUNCTION("""COMPUTED_VALUE"""),"ANO")</f>
        <v>ANO</v>
      </c>
      <c r="B1769" s="6" t="str">
        <f>IFERROR(__xludf.DUMMYFUNCTION("""COMPUTED_VALUE"""),"ENG")</f>
        <v>ENG</v>
      </c>
      <c r="C1769" s="6" t="str">
        <f>IFERROR(__xludf.DUMMYFUNCTION("""COMPUTED_VALUE"""),"O-16033-00")</f>
        <v>O-16033-00</v>
      </c>
      <c r="D176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769" s="6">
        <f>IFERROR(__xludf.DUMMYFUNCTION("""COMPUTED_VALUE"""),1.0)</f>
        <v>1</v>
      </c>
      <c r="F1769" s="6">
        <f>IFERROR(__xludf.DUMMYFUNCTION("""COMPUTED_VALUE"""),1.0)</f>
        <v>1</v>
      </c>
      <c r="G1769" s="6">
        <f>IFERROR(__xludf.DUMMYFUNCTION("""COMPUTED_VALUE"""),0.0)</f>
        <v>0</v>
      </c>
      <c r="H1769" s="6" t="str">
        <f>IFERROR(__xludf.DUMMYFUNCTION("""COMPUTED_VALUE"""),"Pc")</f>
        <v>Pc</v>
      </c>
      <c r="I1769" s="6" t="str">
        <f>IFERROR(__xludf.DUMMYFUNCTION("""COMPUTED_VALUE"""),"MFH")</f>
        <v>MFH</v>
      </c>
      <c r="J1769" s="6" t="str">
        <f>IFERROR(__xludf.DUMMYFUNCTION("""COMPUTED_VALUE"""),"Isolator SKAN")</f>
        <v>Isolator SKAN</v>
      </c>
      <c r="K1769" s="6" t="str">
        <f>IFERROR(__xludf.DUMMYFUNCTION("""COMPUTED_VALUE"""),"SPR/03/24/003")</f>
        <v>SPR/03/24/003</v>
      </c>
      <c r="L1769" s="13">
        <f>IFERROR(__xludf.DUMMYFUNCTION("""COMPUTED_VALUE"""),45722.0)</f>
        <v>45722</v>
      </c>
    </row>
    <row r="1770">
      <c r="A1770" s="6" t="str">
        <f>IFERROR(__xludf.DUMMYFUNCTION("""COMPUTED_VALUE"""),"MRN")</f>
        <v>MRN</v>
      </c>
      <c r="B1770" s="6" t="str">
        <f>IFERROR(__xludf.DUMMYFUNCTION("""COMPUTED_VALUE"""),"ENG")</f>
        <v>ENG</v>
      </c>
      <c r="C1770" s="6" t="str">
        <f>IFERROR(__xludf.DUMMYFUNCTION("""COMPUTED_VALUE"""),"O-19346-00")</f>
        <v>O-19346-00</v>
      </c>
      <c r="D1770" s="6" t="str">
        <f>IFERROR(__xludf.DUMMYFUNCTION("""COMPUTED_VALUE"""),"HEPA filter minipleat, size: 1220X610X93 H14; ; ;")</f>
        <v>HEPA filter minipleat, size: 1220X610X93 H14; ; ;</v>
      </c>
      <c r="E1770" s="6">
        <f>IFERROR(__xludf.DUMMYFUNCTION("""COMPUTED_VALUE"""),1.0)</f>
        <v>1</v>
      </c>
      <c r="F1770" s="6">
        <f>IFERROR(__xludf.DUMMYFUNCTION("""COMPUTED_VALUE"""),1.0)</f>
        <v>1</v>
      </c>
      <c r="G1770" s="6">
        <f>IFERROR(__xludf.DUMMYFUNCTION("""COMPUTED_VALUE"""),0.0)</f>
        <v>0</v>
      </c>
      <c r="H1770" s="6" t="str">
        <f>IFERROR(__xludf.DUMMYFUNCTION("""COMPUTED_VALUE"""),"Pc")</f>
        <v>Pc</v>
      </c>
      <c r="I1770" s="6" t="str">
        <f>IFERROR(__xludf.DUMMYFUNCTION("""COMPUTED_VALUE"""),"MFH")</f>
        <v>MFH</v>
      </c>
      <c r="J1770" s="6" t="str">
        <f>IFERROR(__xludf.DUMMYFUNCTION("""COMPUTED_VALUE"""),"AHU")</f>
        <v>AHU</v>
      </c>
      <c r="K1770" s="6" t="str">
        <f>IFERROR(__xludf.DUMMYFUNCTION("""COMPUTED_VALUE"""),"SPR/03/25/004")</f>
        <v>SPR/03/25/004</v>
      </c>
      <c r="L1770" s="13">
        <f>IFERROR(__xludf.DUMMYFUNCTION("""COMPUTED_VALUE"""),45722.0)</f>
        <v>45722</v>
      </c>
    </row>
    <row r="1771">
      <c r="A1771" s="6" t="str">
        <f>IFERROR(__xludf.DUMMYFUNCTION("""COMPUTED_VALUE"""),"MRN")</f>
        <v>MRN</v>
      </c>
      <c r="B1771" s="6" t="str">
        <f>IFERROR(__xludf.DUMMYFUNCTION("""COMPUTED_VALUE"""),"ENG")</f>
        <v>ENG</v>
      </c>
      <c r="C1771" s="6" t="str">
        <f>IFERROR(__xludf.DUMMYFUNCTION("""COMPUTED_VALUE"""),"Q-10207-00")</f>
        <v>Q-10207-00</v>
      </c>
      <c r="D1771" s="6" t="str">
        <f>IFERROR(__xludf.DUMMYFUNCTION("""COMPUTED_VALUE"""),"Keramik Roman Warna Putih 40 x 40 cm;Roman;CN: 447106;pack size per pack")</f>
        <v>Keramik Roman Warna Putih 40 x 40 cm;Roman;CN: 447106;pack size per pack</v>
      </c>
      <c r="E1771" s="6">
        <f>IFERROR(__xludf.DUMMYFUNCTION("""COMPUTED_VALUE"""),1.0)</f>
        <v>1</v>
      </c>
      <c r="F1771" s="6">
        <f>IFERROR(__xludf.DUMMYFUNCTION("""COMPUTED_VALUE"""),1.0)</f>
        <v>1</v>
      </c>
      <c r="G1771" s="6">
        <f>IFERROR(__xludf.DUMMYFUNCTION("""COMPUTED_VALUE"""),0.0)</f>
        <v>0</v>
      </c>
      <c r="H1771" s="6" t="str">
        <f>IFERROR(__xludf.DUMMYFUNCTION("""COMPUTED_VALUE"""),"Pc")</f>
        <v>Pc</v>
      </c>
      <c r="I1771" s="6" t="str">
        <f>IFERROR(__xludf.DUMMYFUNCTION("""COMPUTED_VALUE"""),"MFH")</f>
        <v>MFH</v>
      </c>
      <c r="J1771" s="6" t="str">
        <f>IFERROR(__xludf.DUMMYFUNCTION("""COMPUTED_VALUE"""),"Building")</f>
        <v>Building</v>
      </c>
      <c r="K1771" s="6" t="str">
        <f>IFERROR(__xludf.DUMMYFUNCTION("""COMPUTED_VALUE"""),"SPR/03/25/004")</f>
        <v>SPR/03/25/004</v>
      </c>
      <c r="L1771" s="13">
        <f>IFERROR(__xludf.DUMMYFUNCTION("""COMPUTED_VALUE"""),45722.0)</f>
        <v>45722</v>
      </c>
    </row>
    <row r="1772">
      <c r="A1772" s="6" t="str">
        <f>IFERROR(__xludf.DUMMYFUNCTION("""COMPUTED_VALUE"""),"MRN")</f>
        <v>MRN</v>
      </c>
      <c r="B1772" s="6" t="str">
        <f>IFERROR(__xludf.DUMMYFUNCTION("""COMPUTED_VALUE"""),"ENG")</f>
        <v>ENG</v>
      </c>
      <c r="C1772" s="6" t="str">
        <f>IFERROR(__xludf.DUMMYFUNCTION("""COMPUTED_VALUE"""),"P-15351-00")</f>
        <v>P-15351-00</v>
      </c>
      <c r="D1772" s="6" t="str">
        <f>IFERROR(__xludf.DUMMYFUNCTION("""COMPUTED_VALUE"""),"FESTO - Plastic tubing PUN-10x1,5-BL (Blue) p/n 159668; ; ;")</f>
        <v>FESTO - Plastic tubing PUN-10x1,5-BL (Blue) p/n 159668; ; ;</v>
      </c>
      <c r="E1772" s="6">
        <f>IFERROR(__xludf.DUMMYFUNCTION("""COMPUTED_VALUE"""),10.0)</f>
        <v>10</v>
      </c>
      <c r="F1772" s="6">
        <f>IFERROR(__xludf.DUMMYFUNCTION("""COMPUTED_VALUE"""),10.0)</f>
        <v>10</v>
      </c>
      <c r="G1772" s="6">
        <f>IFERROR(__xludf.DUMMYFUNCTION("""COMPUTED_VALUE"""),0.0)</f>
        <v>0</v>
      </c>
      <c r="H1772" s="6" t="str">
        <f>IFERROR(__xludf.DUMMYFUNCTION("""COMPUTED_VALUE"""),"Pc")</f>
        <v>Pc</v>
      </c>
      <c r="I1772" s="6" t="str">
        <f>IFERROR(__xludf.DUMMYFUNCTION("""COMPUTED_VALUE"""),"MFH")</f>
        <v>MFH</v>
      </c>
      <c r="J1772" s="6" t="str">
        <f>IFERROR(__xludf.DUMMYFUNCTION("""COMPUTED_VALUE"""),"AHU")</f>
        <v>AHU</v>
      </c>
      <c r="K1772" s="6" t="str">
        <f>IFERROR(__xludf.DUMMYFUNCTION("""COMPUTED_VALUE"""),"SPR/03/25/005")</f>
        <v>SPR/03/25/005</v>
      </c>
      <c r="L1772" s="13">
        <f>IFERROR(__xludf.DUMMYFUNCTION("""COMPUTED_VALUE"""),45722.0)</f>
        <v>45722</v>
      </c>
    </row>
    <row r="1773">
      <c r="A1773" s="6" t="str">
        <f>IFERROR(__xludf.DUMMYFUNCTION("""COMPUTED_VALUE"""),"RIA")</f>
        <v>RIA</v>
      </c>
      <c r="B1773" s="6" t="str">
        <f>IFERROR(__xludf.DUMMYFUNCTION("""COMPUTED_VALUE"""),"ENG")</f>
        <v>ENG</v>
      </c>
      <c r="C1773" s="6" t="str">
        <f>IFERROR(__xludf.DUMMYFUNCTION("""COMPUTED_VALUE"""),"O-13510-00")</f>
        <v>O-13510-00</v>
      </c>
      <c r="D1773" s="6" t="str">
        <f>IFERROR(__xludf.DUMMYFUNCTION("""COMPUTED_VALUE"""),"Pneumatic Fitting - QS 12-10 FESTO P/N : - pc")</f>
        <v>Pneumatic Fitting - QS 12-10 FESTO P/N : - pc</v>
      </c>
      <c r="E1773" s="6">
        <f>IFERROR(__xludf.DUMMYFUNCTION("""COMPUTED_VALUE"""),1.0)</f>
        <v>1</v>
      </c>
      <c r="F1773" s="6">
        <f>IFERROR(__xludf.DUMMYFUNCTION("""COMPUTED_VALUE"""),1.0)</f>
        <v>1</v>
      </c>
      <c r="G1773" s="6">
        <f>IFERROR(__xludf.DUMMYFUNCTION("""COMPUTED_VALUE"""),0.0)</f>
        <v>0</v>
      </c>
      <c r="H1773" s="6" t="str">
        <f>IFERROR(__xludf.DUMMYFUNCTION("""COMPUTED_VALUE"""),"Pc")</f>
        <v>Pc</v>
      </c>
      <c r="I1773" s="6" t="str">
        <f>IFERROR(__xludf.DUMMYFUNCTION("""COMPUTED_VALUE"""),"MFH")</f>
        <v>MFH</v>
      </c>
      <c r="J1773" s="6" t="str">
        <f>IFERROR(__xludf.DUMMYFUNCTION("""COMPUTED_VALUE"""),"IGL")</f>
        <v>IGL</v>
      </c>
      <c r="K1773" s="6" t="str">
        <f>IFERROR(__xludf.DUMMYFUNCTION("""COMPUTED_VALUE"""),"SPR/03/25/006")</f>
        <v>SPR/03/25/006</v>
      </c>
      <c r="L1773" s="13">
        <f>IFERROR(__xludf.DUMMYFUNCTION("""COMPUTED_VALUE"""),45722.0)</f>
        <v>45722</v>
      </c>
    </row>
    <row r="1774">
      <c r="A1774" s="6" t="str">
        <f>IFERROR(__xludf.DUMMYFUNCTION("""COMPUTED_VALUE"""),"RIA")</f>
        <v>RIA</v>
      </c>
      <c r="B1774" s="6" t="str">
        <f>IFERROR(__xludf.DUMMYFUNCTION("""COMPUTED_VALUE"""),"ENG")</f>
        <v>ENG</v>
      </c>
      <c r="C1774" s="6" t="str">
        <f>IFERROR(__xludf.DUMMYFUNCTION("""COMPUTED_VALUE"""),"P-12265-00")</f>
        <v>P-12265-00</v>
      </c>
      <c r="D1774" s="6" t="str">
        <f>IFERROR(__xludf.DUMMYFUNCTION("""COMPUTED_VALUE"""),"FESTO - Push In Connector QS-8-6 p/n 153038")</f>
        <v>FESTO - Push In Connector QS-8-6 p/n 153038</v>
      </c>
      <c r="E1774" s="6">
        <f>IFERROR(__xludf.DUMMYFUNCTION("""COMPUTED_VALUE"""),1.0)</f>
        <v>1</v>
      </c>
      <c r="F1774" s="6">
        <f>IFERROR(__xludf.DUMMYFUNCTION("""COMPUTED_VALUE"""),1.0)</f>
        <v>1</v>
      </c>
      <c r="G1774" s="6">
        <f>IFERROR(__xludf.DUMMYFUNCTION("""COMPUTED_VALUE"""),0.0)</f>
        <v>0</v>
      </c>
      <c r="H1774" s="6" t="str">
        <f>IFERROR(__xludf.DUMMYFUNCTION("""COMPUTED_VALUE"""),"Pc")</f>
        <v>Pc</v>
      </c>
      <c r="I1774" s="6" t="str">
        <f>IFERROR(__xludf.DUMMYFUNCTION("""COMPUTED_VALUE"""),"MFH")</f>
        <v>MFH</v>
      </c>
      <c r="J1774" s="6" t="str">
        <f>IFERROR(__xludf.DUMMYFUNCTION("""COMPUTED_VALUE"""),"IGL")</f>
        <v>IGL</v>
      </c>
      <c r="K1774" s="6" t="str">
        <f>IFERROR(__xludf.DUMMYFUNCTION("""COMPUTED_VALUE"""),"SPR/03/25/006")</f>
        <v>SPR/03/25/006</v>
      </c>
      <c r="L1774" s="13">
        <f>IFERROR(__xludf.DUMMYFUNCTION("""COMPUTED_VALUE"""),45722.0)</f>
        <v>45722</v>
      </c>
    </row>
    <row r="1775">
      <c r="A1775" s="6" t="str">
        <f>IFERROR(__xludf.DUMMYFUNCTION("""COMPUTED_VALUE"""),"NDS")</f>
        <v>NDS</v>
      </c>
      <c r="B1775" s="6" t="str">
        <f>IFERROR(__xludf.DUMMYFUNCTION("""COMPUTED_VALUE"""),"ENG")</f>
        <v>ENG</v>
      </c>
      <c r="C1775" s="6" t="str">
        <f>IFERROR(__xludf.DUMMYFUNCTION("""COMPUTED_VALUE"""),"-")</f>
        <v>-</v>
      </c>
      <c r="D1775" s="6" t="str">
        <f>IFERROR(__xludf.DUMMYFUNCTION("""COMPUTED_VALUE"""),"Lampu Havells 27W")</f>
        <v>Lampu Havells 27W</v>
      </c>
      <c r="E1775" s="6">
        <f>IFERROR(__xludf.DUMMYFUNCTION("""COMPUTED_VALUE"""),2.0)</f>
        <v>2</v>
      </c>
      <c r="F1775" s="6">
        <f>IFERROR(__xludf.DUMMYFUNCTION("""COMPUTED_VALUE"""),2.0)</f>
        <v>2</v>
      </c>
      <c r="G1775" s="6">
        <f>IFERROR(__xludf.DUMMYFUNCTION("""COMPUTED_VALUE"""),0.0)</f>
        <v>0</v>
      </c>
      <c r="H1775" s="6" t="str">
        <f>IFERROR(__xludf.DUMMYFUNCTION("""COMPUTED_VALUE"""),"Pc")</f>
        <v>Pc</v>
      </c>
      <c r="I1775" s="6" t="str">
        <f>IFERROR(__xludf.DUMMYFUNCTION("""COMPUTED_VALUE"""),"MFH")</f>
        <v>MFH</v>
      </c>
      <c r="J1775" s="6" t="str">
        <f>IFERROR(__xludf.DUMMYFUNCTION("""COMPUTED_VALUE"""),"Visual Inspeksi")</f>
        <v>Visual Inspeksi</v>
      </c>
      <c r="K1775" s="6" t="str">
        <f>IFERROR(__xludf.DUMMYFUNCTION("""COMPUTED_VALUE"""),"SPR/03/25/007")</f>
        <v>SPR/03/25/007</v>
      </c>
      <c r="L1775" s="13">
        <f>IFERROR(__xludf.DUMMYFUNCTION("""COMPUTED_VALUE"""),45722.0)</f>
        <v>45722</v>
      </c>
    </row>
    <row r="1776">
      <c r="A1776" s="6" t="str">
        <f>IFERROR(__xludf.DUMMYFUNCTION("""COMPUTED_VALUE"""),"NDS")</f>
        <v>NDS</v>
      </c>
      <c r="B1776" s="6" t="str">
        <f>IFERROR(__xludf.DUMMYFUNCTION("""COMPUTED_VALUE"""),"ENG")</f>
        <v>ENG</v>
      </c>
      <c r="C1776" s="6" t="str">
        <f>IFERROR(__xludf.DUMMYFUNCTION("""COMPUTED_VALUE"""),"T-80109-00")</f>
        <v>T-80109-00</v>
      </c>
      <c r="D1776" s="6" t="str">
        <f>IFERROR(__xludf.DUMMYFUNCTION("""COMPUTED_VALUE"""),"Cellotape Kertas 1 inch warna Putih")</f>
        <v>Cellotape Kertas 1 inch warna Putih</v>
      </c>
      <c r="E1776" s="6">
        <f>IFERROR(__xludf.DUMMYFUNCTION("""COMPUTED_VALUE"""),1.0)</f>
        <v>1</v>
      </c>
      <c r="F1776" s="6">
        <f>IFERROR(__xludf.DUMMYFUNCTION("""COMPUTED_VALUE"""),1.0)</f>
        <v>1</v>
      </c>
      <c r="G1776" s="6">
        <f>IFERROR(__xludf.DUMMYFUNCTION("""COMPUTED_VALUE"""),0.0)</f>
        <v>0</v>
      </c>
      <c r="H1776" s="6" t="str">
        <f>IFERROR(__xludf.DUMMYFUNCTION("""COMPUTED_VALUE"""),"Pcs")</f>
        <v>Pcs</v>
      </c>
      <c r="I1776" s="6" t="str">
        <f>IFERROR(__xludf.DUMMYFUNCTION("""COMPUTED_VALUE"""),"MFH")</f>
        <v>MFH</v>
      </c>
      <c r="J1776" s="6" t="str">
        <f>IFERROR(__xludf.DUMMYFUNCTION("""COMPUTED_VALUE"""),"Visual Inspeksi")</f>
        <v>Visual Inspeksi</v>
      </c>
      <c r="K1776" s="6" t="str">
        <f>IFERROR(__xludf.DUMMYFUNCTION("""COMPUTED_VALUE"""),"SPR/03/25/007")</f>
        <v>SPR/03/25/007</v>
      </c>
      <c r="L1776" s="13">
        <f>IFERROR(__xludf.DUMMYFUNCTION("""COMPUTED_VALUE"""),45722.0)</f>
        <v>45722</v>
      </c>
    </row>
    <row r="1777">
      <c r="A1777" s="6" t="str">
        <f>IFERROR(__xludf.DUMMYFUNCTION("""COMPUTED_VALUE"""),"NDS")</f>
        <v>NDS</v>
      </c>
      <c r="B1777" s="6" t="str">
        <f>IFERROR(__xludf.DUMMYFUNCTION("""COMPUTED_VALUE"""),"ENG")</f>
        <v>ENG</v>
      </c>
      <c r="C1777" s="6" t="str">
        <f>IFERROR(__xludf.DUMMYFUNCTION("""COMPUTED_VALUE"""),"Q-10249-00")</f>
        <v>Q-10249-00</v>
      </c>
      <c r="D1777" s="6" t="str">
        <f>IFERROR(__xludf.DUMMYFUNCTION("""COMPUTED_VALUE"""),"Lem Power Glue")</f>
        <v>Lem Power Glue</v>
      </c>
      <c r="E1777" s="6">
        <f>IFERROR(__xludf.DUMMYFUNCTION("""COMPUTED_VALUE"""),1.0)</f>
        <v>1</v>
      </c>
      <c r="F1777" s="6">
        <f>IFERROR(__xludf.DUMMYFUNCTION("""COMPUTED_VALUE"""),1.0)</f>
        <v>1</v>
      </c>
      <c r="G1777" s="6">
        <f>IFERROR(__xludf.DUMMYFUNCTION("""COMPUTED_VALUE"""),0.0)</f>
        <v>0</v>
      </c>
      <c r="H1777" s="6" t="str">
        <f>IFERROR(__xludf.DUMMYFUNCTION("""COMPUTED_VALUE"""),"pcs")</f>
        <v>pcs</v>
      </c>
      <c r="I1777" s="6" t="str">
        <f>IFERROR(__xludf.DUMMYFUNCTION("""COMPUTED_VALUE"""),"MFH")</f>
        <v>MFH</v>
      </c>
      <c r="J1777" s="6" t="str">
        <f>IFERROR(__xludf.DUMMYFUNCTION("""COMPUTED_VALUE"""),"Visual Inspeksi")</f>
        <v>Visual Inspeksi</v>
      </c>
      <c r="K1777" s="6" t="str">
        <f>IFERROR(__xludf.DUMMYFUNCTION("""COMPUTED_VALUE"""),"SPR/03/25/007")</f>
        <v>SPR/03/25/007</v>
      </c>
      <c r="L1777" s="13">
        <f>IFERROR(__xludf.DUMMYFUNCTION("""COMPUTED_VALUE"""),45722.0)</f>
        <v>45722</v>
      </c>
    </row>
    <row r="1778">
      <c r="A1778" s="6" t="str">
        <f>IFERROR(__xludf.DUMMYFUNCTION("""COMPUTED_VALUE"""),"ROS")</f>
        <v>ROS</v>
      </c>
      <c r="B1778" s="6" t="str">
        <f>IFERROR(__xludf.DUMMYFUNCTION("""COMPUTED_VALUE"""),"ENG")</f>
        <v>ENG</v>
      </c>
      <c r="C1778" s="6" t="str">
        <f>IFERROR(__xludf.DUMMYFUNCTION("""COMPUTED_VALUE"""),"O-51698-00")</f>
        <v>O-51698-00</v>
      </c>
      <c r="D1778" s="6" t="str">
        <f>IFERROR(__xludf.DUMMYFUNCTION("""COMPUTED_VALUE"""),"OMRON - Relay MY4Z 24VDC; ; ;")</f>
        <v>OMRON - Relay MY4Z 24VDC; ; ;</v>
      </c>
      <c r="E1778" s="6">
        <f>IFERROR(__xludf.DUMMYFUNCTION("""COMPUTED_VALUE"""),1.0)</f>
        <v>1</v>
      </c>
      <c r="F1778" s="6">
        <f>IFERROR(__xludf.DUMMYFUNCTION("""COMPUTED_VALUE"""),1.0)</f>
        <v>1</v>
      </c>
      <c r="G1778" s="6">
        <f>IFERROR(__xludf.DUMMYFUNCTION("""COMPUTED_VALUE"""),0.0)</f>
        <v>0</v>
      </c>
      <c r="H1778" s="6" t="str">
        <f>IFERROR(__xludf.DUMMYFUNCTION("""COMPUTED_VALUE"""),"Pcs")</f>
        <v>Pcs</v>
      </c>
      <c r="I1778" s="6" t="str">
        <f>IFERROR(__xludf.DUMMYFUNCTION("""COMPUTED_VALUE"""),"MFH")</f>
        <v>MFH</v>
      </c>
      <c r="J1778" s="6" t="str">
        <f>IFERROR(__xludf.DUMMYFUNCTION("""COMPUTED_VALUE"""),"Mixing")</f>
        <v>Mixing</v>
      </c>
      <c r="K1778" s="6" t="str">
        <f>IFERROR(__xludf.DUMMYFUNCTION("""COMPUTED_VALUE"""),"SPR/03/25/008")</f>
        <v>SPR/03/25/008</v>
      </c>
      <c r="L1778" s="13">
        <f>IFERROR(__xludf.DUMMYFUNCTION("""COMPUTED_VALUE"""),45722.0)</f>
        <v>45722</v>
      </c>
    </row>
    <row r="1779">
      <c r="A1779" s="6" t="str">
        <f>IFERROR(__xludf.DUMMYFUNCTION("""COMPUTED_VALUE"""),"ROS")</f>
        <v>ROS</v>
      </c>
      <c r="B1779" s="6" t="str">
        <f>IFERROR(__xludf.DUMMYFUNCTION("""COMPUTED_VALUE"""),"ENG")</f>
        <v>ENG</v>
      </c>
      <c r="C1779" s="6" t="str">
        <f>IFERROR(__xludf.DUMMYFUNCTION("""COMPUTED_VALUE"""),"-")</f>
        <v>-</v>
      </c>
      <c r="D1779" s="6" t="str">
        <f>IFERROR(__xludf.DUMMYFUNCTION("""COMPUTED_VALUE"""),"Kapasitor 14UF San-Ei")</f>
        <v>Kapasitor 14UF San-Ei</v>
      </c>
      <c r="E1779" s="6">
        <f>IFERROR(__xludf.DUMMYFUNCTION("""COMPUTED_VALUE"""),1.0)</f>
        <v>1</v>
      </c>
      <c r="F1779" s="6">
        <f>IFERROR(__xludf.DUMMYFUNCTION("""COMPUTED_VALUE"""),1.0)</f>
        <v>1</v>
      </c>
      <c r="G1779" s="6">
        <f>IFERROR(__xludf.DUMMYFUNCTION("""COMPUTED_VALUE"""),0.0)</f>
        <v>0</v>
      </c>
      <c r="H1779" s="6" t="str">
        <f>IFERROR(__xludf.DUMMYFUNCTION("""COMPUTED_VALUE"""),"Pcs")</f>
        <v>Pcs</v>
      </c>
      <c r="I1779" s="6" t="str">
        <f>IFERROR(__xludf.DUMMYFUNCTION("""COMPUTED_VALUE"""),"MFH")</f>
        <v>MFH</v>
      </c>
      <c r="J1779" s="6" t="str">
        <f>IFERROR(__xludf.DUMMYFUNCTION("""COMPUTED_VALUE"""),"Cytotoxic Cabinet")</f>
        <v>Cytotoxic Cabinet</v>
      </c>
      <c r="K1779" s="6" t="str">
        <f>IFERROR(__xludf.DUMMYFUNCTION("""COMPUTED_VALUE"""),"SPR/03/25/008")</f>
        <v>SPR/03/25/008</v>
      </c>
      <c r="L1779" s="13">
        <f>IFERROR(__xludf.DUMMYFUNCTION("""COMPUTED_VALUE"""),45722.0)</f>
        <v>45722</v>
      </c>
    </row>
    <row r="1780">
      <c r="A1780" s="6" t="str">
        <f>IFERROR(__xludf.DUMMYFUNCTION("""COMPUTED_VALUE"""),"MRN")</f>
        <v>MRN</v>
      </c>
      <c r="B1780" s="6" t="str">
        <f>IFERROR(__xludf.DUMMYFUNCTION("""COMPUTED_VALUE"""),"ENG")</f>
        <v>ENG</v>
      </c>
      <c r="C1780" s="6" t="str">
        <f>IFERROR(__xludf.DUMMYFUNCTION("""COMPUTED_VALUE"""),"-")</f>
        <v>-</v>
      </c>
      <c r="D1780" s="6" t="str">
        <f>IFERROR(__xludf.DUMMYFUNCTION("""COMPUTED_VALUE"""),"Gasket Ferrule 1/2 Inch")</f>
        <v>Gasket Ferrule 1/2 Inch</v>
      </c>
      <c r="E1780" s="6">
        <f>IFERROR(__xludf.DUMMYFUNCTION("""COMPUTED_VALUE"""),3.0)</f>
        <v>3</v>
      </c>
      <c r="F1780" s="6">
        <f>IFERROR(__xludf.DUMMYFUNCTION("""COMPUTED_VALUE"""),3.0)</f>
        <v>3</v>
      </c>
      <c r="G1780" s="6">
        <f>IFERROR(__xludf.DUMMYFUNCTION("""COMPUTED_VALUE"""),0.0)</f>
        <v>0</v>
      </c>
      <c r="H1780" s="6" t="str">
        <f>IFERROR(__xludf.DUMMYFUNCTION("""COMPUTED_VALUE"""),"Pcs")</f>
        <v>Pcs</v>
      </c>
      <c r="I1780" s="6" t="str">
        <f>IFERROR(__xludf.DUMMYFUNCTION("""COMPUTED_VALUE"""),"MFH")</f>
        <v>MFH</v>
      </c>
      <c r="J1780" s="6" t="str">
        <f>IFERROR(__xludf.DUMMYFUNCTION("""COMPUTED_VALUE"""),"Building")</f>
        <v>Building</v>
      </c>
      <c r="K1780" s="6" t="str">
        <f>IFERROR(__xludf.DUMMYFUNCTION("""COMPUTED_VALUE"""),"SPR/03/25/009")</f>
        <v>SPR/03/25/009</v>
      </c>
      <c r="L1780" s="13">
        <f>IFERROR(__xludf.DUMMYFUNCTION("""COMPUTED_VALUE"""),45722.0)</f>
        <v>45722</v>
      </c>
    </row>
    <row r="1781">
      <c r="A1781" s="6" t="str">
        <f>IFERROR(__xludf.DUMMYFUNCTION("""COMPUTED_VALUE"""),"SHF")</f>
        <v>SHF</v>
      </c>
      <c r="B1781" s="6" t="str">
        <f>IFERROR(__xludf.DUMMYFUNCTION("""COMPUTED_VALUE"""),"ENG")</f>
        <v>ENG</v>
      </c>
      <c r="C1781" s="6" t="str">
        <f>IFERROR(__xludf.DUMMYFUNCTION("""COMPUTED_VALUE"""),"P-51560-00")</f>
        <v>P-51560-00</v>
      </c>
      <c r="D1781" s="6" t="str">
        <f>IFERROR(__xludf.DUMMYFUNCTION("""COMPUTED_VALUE"""),"Lampu T5 28watt Putih; Phillips; ;")</f>
        <v>Lampu T5 28watt Putih; Phillips; ;</v>
      </c>
      <c r="E1781" s="6">
        <f>IFERROR(__xludf.DUMMYFUNCTION("""COMPUTED_VALUE"""),2.0)</f>
        <v>2</v>
      </c>
      <c r="F1781" s="6">
        <f>IFERROR(__xludf.DUMMYFUNCTION("""COMPUTED_VALUE"""),2.0)</f>
        <v>2</v>
      </c>
      <c r="G1781" s="6">
        <f>IFERROR(__xludf.DUMMYFUNCTION("""COMPUTED_VALUE"""),0.0)</f>
        <v>0</v>
      </c>
      <c r="H1781" s="6" t="str">
        <f>IFERROR(__xludf.DUMMYFUNCTION("""COMPUTED_VALUE"""),"Pcs")</f>
        <v>Pcs</v>
      </c>
      <c r="I1781" s="6" t="str">
        <f>IFERROR(__xludf.DUMMYFUNCTION("""COMPUTED_VALUE"""),"MFH")</f>
        <v>MFH</v>
      </c>
      <c r="J1781" s="6" t="str">
        <f>IFERROR(__xludf.DUMMYFUNCTION("""COMPUTED_VALUE"""),"Building")</f>
        <v>Building</v>
      </c>
      <c r="K1781" s="6" t="str">
        <f>IFERROR(__xludf.DUMMYFUNCTION("""COMPUTED_VALUE"""),"SPR/03/25/010")</f>
        <v>SPR/03/25/010</v>
      </c>
      <c r="L1781" s="13">
        <f>IFERROR(__xludf.DUMMYFUNCTION("""COMPUTED_VALUE"""),45722.0)</f>
        <v>45722</v>
      </c>
    </row>
    <row r="1782">
      <c r="A1782" s="6" t="str">
        <f>IFERROR(__xludf.DUMMYFUNCTION("""COMPUTED_VALUE"""),"SHF")</f>
        <v>SHF</v>
      </c>
      <c r="B1782" s="6" t="str">
        <f>IFERROR(__xludf.DUMMYFUNCTION("""COMPUTED_VALUE"""),"ENG")</f>
        <v>ENG</v>
      </c>
      <c r="C1782" s="6" t="str">
        <f>IFERROR(__xludf.DUMMYFUNCTION("""COMPUTED_VALUE"""),"P-13429-00")</f>
        <v>P-13429-00</v>
      </c>
      <c r="D1782" s="6" t="str">
        <f>IFERROR(__xludf.DUMMYFUNCTION("""COMPUTED_VALUE"""),"Cable Ducting 25x40mm; ; ;")</f>
        <v>Cable Ducting 25x40mm; ; ;</v>
      </c>
      <c r="E1782" s="6">
        <f>IFERROR(__xludf.DUMMYFUNCTION("""COMPUTED_VALUE"""),1.0)</f>
        <v>1</v>
      </c>
      <c r="F1782" s="6">
        <f>IFERROR(__xludf.DUMMYFUNCTION("""COMPUTED_VALUE"""),1.0)</f>
        <v>1</v>
      </c>
      <c r="G1782" s="6">
        <f>IFERROR(__xludf.DUMMYFUNCTION("""COMPUTED_VALUE"""),0.0)</f>
        <v>0</v>
      </c>
      <c r="H1782" s="6" t="str">
        <f>IFERROR(__xludf.DUMMYFUNCTION("""COMPUTED_VALUE"""),"Pcs")</f>
        <v>Pcs</v>
      </c>
      <c r="I1782" s="6" t="str">
        <f>IFERROR(__xludf.DUMMYFUNCTION("""COMPUTED_VALUE"""),"MFH")</f>
        <v>MFH</v>
      </c>
      <c r="J1782" s="6" t="str">
        <f>IFERROR(__xludf.DUMMYFUNCTION("""COMPUTED_VALUE"""),"Building")</f>
        <v>Building</v>
      </c>
      <c r="K1782" s="6" t="str">
        <f>IFERROR(__xludf.DUMMYFUNCTION("""COMPUTED_VALUE"""),"SPR/03/25/010")</f>
        <v>SPR/03/25/010</v>
      </c>
      <c r="L1782" s="13">
        <f>IFERROR(__xludf.DUMMYFUNCTION("""COMPUTED_VALUE"""),45722.0)</f>
        <v>45722</v>
      </c>
    </row>
    <row r="1783">
      <c r="A1783" s="6" t="str">
        <f>IFERROR(__xludf.DUMMYFUNCTION("""COMPUTED_VALUE"""),"ANO")</f>
        <v>ANO</v>
      </c>
      <c r="B1783" s="6" t="str">
        <f>IFERROR(__xludf.DUMMYFUNCTION("""COMPUTED_VALUE"""),"ENG")</f>
        <v>ENG</v>
      </c>
      <c r="C1783" s="6" t="str">
        <f>IFERROR(__xludf.DUMMYFUNCTION("""COMPUTED_VALUE"""),"Q-10249-00")</f>
        <v>Q-10249-00</v>
      </c>
      <c r="D1783" s="6" t="str">
        <f>IFERROR(__xludf.DUMMYFUNCTION("""COMPUTED_VALUE"""),"Lem Power Glue")</f>
        <v>Lem Power Glue</v>
      </c>
      <c r="E1783" s="6">
        <f>IFERROR(__xludf.DUMMYFUNCTION("""COMPUTED_VALUE"""),1.0)</f>
        <v>1</v>
      </c>
      <c r="F1783" s="6">
        <f>IFERROR(__xludf.DUMMYFUNCTION("""COMPUTED_VALUE"""),1.0)</f>
        <v>1</v>
      </c>
      <c r="G1783" s="6">
        <f>IFERROR(__xludf.DUMMYFUNCTION("""COMPUTED_VALUE"""),0.0)</f>
        <v>0</v>
      </c>
      <c r="H1783" s="6" t="str">
        <f>IFERROR(__xludf.DUMMYFUNCTION("""COMPUTED_VALUE"""),"pcs")</f>
        <v>pcs</v>
      </c>
      <c r="I1783" s="6" t="str">
        <f>IFERROR(__xludf.DUMMYFUNCTION("""COMPUTED_VALUE"""),"MFH")</f>
        <v>MFH</v>
      </c>
      <c r="J1783" s="6" t="str">
        <f>IFERROR(__xludf.DUMMYFUNCTION("""COMPUTED_VALUE"""),"Autoclave")</f>
        <v>Autoclave</v>
      </c>
      <c r="K1783" s="6" t="str">
        <f>IFERROR(__xludf.DUMMYFUNCTION("""COMPUTED_VALUE"""),"SPR/03/25/011")</f>
        <v>SPR/03/25/011</v>
      </c>
      <c r="L1783" s="13">
        <f>IFERROR(__xludf.DUMMYFUNCTION("""COMPUTED_VALUE"""),45722.0)</f>
        <v>45722</v>
      </c>
    </row>
    <row r="1784">
      <c r="A1784" s="6" t="str">
        <f>IFERROR(__xludf.DUMMYFUNCTION("""COMPUTED_VALUE"""),"ANO")</f>
        <v>ANO</v>
      </c>
      <c r="B1784" s="6" t="str">
        <f>IFERROR(__xludf.DUMMYFUNCTION("""COMPUTED_VALUE"""),"ENG")</f>
        <v>ENG</v>
      </c>
      <c r="C1784" s="6" t="str">
        <f>IFERROR(__xludf.DUMMYFUNCTION("""COMPUTED_VALUE"""),"O-17209-00")</f>
        <v>O-17209-00</v>
      </c>
      <c r="D1784" s="6" t="str">
        <f>IFERROR(__xludf.DUMMYFUNCTION("""COMPUTED_VALUE"""),"Oring Silicone Merah 20 x 15.5 x 2 mm; ; ;")</f>
        <v>Oring Silicone Merah 20 x 15.5 x 2 mm; ; ;</v>
      </c>
      <c r="E1784" s="6">
        <f>IFERROR(__xludf.DUMMYFUNCTION("""COMPUTED_VALUE"""),2.0)</f>
        <v>2</v>
      </c>
      <c r="F1784" s="6">
        <f>IFERROR(__xludf.DUMMYFUNCTION("""COMPUTED_VALUE"""),2.0)</f>
        <v>2</v>
      </c>
      <c r="G1784" s="6">
        <f>IFERROR(__xludf.DUMMYFUNCTION("""COMPUTED_VALUE"""),0.0)</f>
        <v>0</v>
      </c>
      <c r="H1784" s="6" t="str">
        <f>IFERROR(__xludf.DUMMYFUNCTION("""COMPUTED_VALUE"""),"Pcs")</f>
        <v>Pcs</v>
      </c>
      <c r="I1784" s="6" t="str">
        <f>IFERROR(__xludf.DUMMYFUNCTION("""COMPUTED_VALUE"""),"MFH")</f>
        <v>MFH</v>
      </c>
      <c r="J1784" s="6" t="str">
        <f>IFERROR(__xludf.DUMMYFUNCTION("""COMPUTED_VALUE"""),"Autoclave")</f>
        <v>Autoclave</v>
      </c>
      <c r="K1784" s="6" t="str">
        <f>IFERROR(__xludf.DUMMYFUNCTION("""COMPUTED_VALUE"""),"SPR/03/25/011")</f>
        <v>SPR/03/25/011</v>
      </c>
      <c r="L1784" s="13">
        <f>IFERROR(__xludf.DUMMYFUNCTION("""COMPUTED_VALUE"""),45722.0)</f>
        <v>45722</v>
      </c>
    </row>
    <row r="1785">
      <c r="A1785" s="6" t="str">
        <f>IFERROR(__xludf.DUMMYFUNCTION("""COMPUTED_VALUE"""),"ANO")</f>
        <v>ANO</v>
      </c>
      <c r="B1785" s="6" t="str">
        <f>IFERROR(__xludf.DUMMYFUNCTION("""COMPUTED_VALUE"""),"ENG")</f>
        <v>ENG</v>
      </c>
      <c r="C1785" s="6" t="str">
        <f>IFERROR(__xludf.DUMMYFUNCTION("""COMPUTED_VALUE"""),"P-14245-00")</f>
        <v>P-14245-00</v>
      </c>
      <c r="D1785" s="6" t="str">
        <f>IFERROR(__xludf.DUMMYFUNCTION("""COMPUTED_VALUE"""),"Manual valve HE-2-QS-8 FESTO; ; ;")</f>
        <v>Manual valve HE-2-QS-8 FESTO; ; ;</v>
      </c>
      <c r="E1785" s="6">
        <f>IFERROR(__xludf.DUMMYFUNCTION("""COMPUTED_VALUE"""),1.0)</f>
        <v>1</v>
      </c>
      <c r="F1785" s="6">
        <f>IFERROR(__xludf.DUMMYFUNCTION("""COMPUTED_VALUE"""),1.0)</f>
        <v>1</v>
      </c>
      <c r="G1785" s="6">
        <f>IFERROR(__xludf.DUMMYFUNCTION("""COMPUTED_VALUE"""),0.0)</f>
        <v>0</v>
      </c>
      <c r="H1785" s="6" t="str">
        <f>IFERROR(__xludf.DUMMYFUNCTION("""COMPUTED_VALUE"""),"Pcs")</f>
        <v>Pcs</v>
      </c>
      <c r="I1785" s="6" t="str">
        <f>IFERROR(__xludf.DUMMYFUNCTION("""COMPUTED_VALUE"""),"MFH")</f>
        <v>MFH</v>
      </c>
      <c r="J1785" s="6" t="str">
        <f>IFERROR(__xludf.DUMMYFUNCTION("""COMPUTED_VALUE"""),"Autoclave")</f>
        <v>Autoclave</v>
      </c>
      <c r="K1785" s="6" t="str">
        <f>IFERROR(__xludf.DUMMYFUNCTION("""COMPUTED_VALUE"""),"SPR/03/25/011")</f>
        <v>SPR/03/25/011</v>
      </c>
      <c r="L1785" s="13">
        <f>IFERROR(__xludf.DUMMYFUNCTION("""COMPUTED_VALUE"""),45722.0)</f>
        <v>45722</v>
      </c>
    </row>
    <row r="1786">
      <c r="A1786" s="6" t="str">
        <f>IFERROR(__xludf.DUMMYFUNCTION("""COMPUTED_VALUE"""),"ANO")</f>
        <v>ANO</v>
      </c>
      <c r="B1786" s="6" t="str">
        <f>IFERROR(__xludf.DUMMYFUNCTION("""COMPUTED_VALUE"""),"ENG")</f>
        <v>ENG</v>
      </c>
      <c r="C1786" s="6" t="str">
        <f>IFERROR(__xludf.DUMMYFUNCTION("""COMPUTED_VALUE"""),"Q-60025-00")</f>
        <v>Q-60025-00</v>
      </c>
      <c r="D1786" s="6" t="str">
        <f>IFERROR(__xludf.DUMMYFUNCTION("""COMPUTED_VALUE"""),"Kuas Eterna 1 inchi")</f>
        <v>Kuas Eterna 1 inchi</v>
      </c>
      <c r="E1786" s="6">
        <f>IFERROR(__xludf.DUMMYFUNCTION("""COMPUTED_VALUE"""),2.0)</f>
        <v>2</v>
      </c>
      <c r="F1786" s="6">
        <f>IFERROR(__xludf.DUMMYFUNCTION("""COMPUTED_VALUE"""),2.0)</f>
        <v>2</v>
      </c>
      <c r="G1786" s="6">
        <f>IFERROR(__xludf.DUMMYFUNCTION("""COMPUTED_VALUE"""),0.0)</f>
        <v>0</v>
      </c>
      <c r="H1786" s="6" t="str">
        <f>IFERROR(__xludf.DUMMYFUNCTION("""COMPUTED_VALUE"""),"Pcs")</f>
        <v>Pcs</v>
      </c>
      <c r="I1786" s="6" t="str">
        <f>IFERROR(__xludf.DUMMYFUNCTION("""COMPUTED_VALUE"""),"MFH")</f>
        <v>MFH</v>
      </c>
      <c r="J1786" s="6" t="str">
        <f>IFERROR(__xludf.DUMMYFUNCTION("""COMPUTED_VALUE"""),"Building")</f>
        <v>Building</v>
      </c>
      <c r="K1786" s="6" t="str">
        <f>IFERROR(__xludf.DUMMYFUNCTION("""COMPUTED_VALUE"""),"SPR/03/25/012")</f>
        <v>SPR/03/25/012</v>
      </c>
      <c r="L1786" s="13">
        <f>IFERROR(__xludf.DUMMYFUNCTION("""COMPUTED_VALUE"""),45722.0)</f>
        <v>45722</v>
      </c>
    </row>
    <row r="1787">
      <c r="A1787" s="6" t="str">
        <f>IFERROR(__xludf.DUMMYFUNCTION("""COMPUTED_VALUE"""),"SFH")</f>
        <v>SFH</v>
      </c>
      <c r="B1787" s="6" t="str">
        <f>IFERROR(__xludf.DUMMYFUNCTION("""COMPUTED_VALUE"""),"ENG")</f>
        <v>ENG</v>
      </c>
      <c r="C1787" s="6" t="str">
        <f>IFERROR(__xludf.DUMMYFUNCTION("""COMPUTED_VALUE"""),"T-80109-00")</f>
        <v>T-80109-00</v>
      </c>
      <c r="D1787" s="6" t="str">
        <f>IFERROR(__xludf.DUMMYFUNCTION("""COMPUTED_VALUE"""),"Cellotape Kertas 1 inch warna Putih")</f>
        <v>Cellotape Kertas 1 inch warna Putih</v>
      </c>
      <c r="E1787" s="6">
        <f>IFERROR(__xludf.DUMMYFUNCTION("""COMPUTED_VALUE"""),1.0)</f>
        <v>1</v>
      </c>
      <c r="F1787" s="6">
        <f>IFERROR(__xludf.DUMMYFUNCTION("""COMPUTED_VALUE"""),1.0)</f>
        <v>1</v>
      </c>
      <c r="G1787" s="6">
        <f>IFERROR(__xludf.DUMMYFUNCTION("""COMPUTED_VALUE"""),0.0)</f>
        <v>0</v>
      </c>
      <c r="H1787" s="6" t="str">
        <f>IFERROR(__xludf.DUMMYFUNCTION("""COMPUTED_VALUE"""),"Pcs")</f>
        <v>Pcs</v>
      </c>
      <c r="I1787" s="6" t="str">
        <f>IFERROR(__xludf.DUMMYFUNCTION("""COMPUTED_VALUE"""),"MFH")</f>
        <v>MFH</v>
      </c>
      <c r="J1787" s="6" t="str">
        <f>IFERROR(__xludf.DUMMYFUNCTION("""COMPUTED_VALUE"""),"Building")</f>
        <v>Building</v>
      </c>
      <c r="K1787" s="6" t="str">
        <f>IFERROR(__xludf.DUMMYFUNCTION("""COMPUTED_VALUE"""),"SPR/03/25/012")</f>
        <v>SPR/03/25/012</v>
      </c>
      <c r="L1787" s="13">
        <f>IFERROR(__xludf.DUMMYFUNCTION("""COMPUTED_VALUE"""),45722.0)</f>
        <v>45722</v>
      </c>
    </row>
    <row r="1788">
      <c r="A1788" s="6" t="str">
        <f>IFERROR(__xludf.DUMMYFUNCTION("""COMPUTED_VALUE"""),"MRN")</f>
        <v>MRN</v>
      </c>
      <c r="B1788" s="6" t="str">
        <f>IFERROR(__xludf.DUMMYFUNCTION("""COMPUTED_VALUE"""),"ENG")</f>
        <v>ENG</v>
      </c>
      <c r="C1788" s="6" t="str">
        <f>IFERROR(__xludf.DUMMYFUNCTION("""COMPUTED_VALUE"""),"-")</f>
        <v>-</v>
      </c>
      <c r="D1788" s="6" t="str">
        <f>IFERROR(__xludf.DUMMYFUNCTION("""COMPUTED_VALUE"""),"Karet Ban")</f>
        <v>Karet Ban</v>
      </c>
      <c r="E1788" s="6">
        <f>IFERROR(__xludf.DUMMYFUNCTION("""COMPUTED_VALUE"""),1.0)</f>
        <v>1</v>
      </c>
      <c r="F1788" s="6">
        <f>IFERROR(__xludf.DUMMYFUNCTION("""COMPUTED_VALUE"""),1.0)</f>
        <v>1</v>
      </c>
      <c r="G1788" s="6">
        <f>IFERROR(__xludf.DUMMYFUNCTION("""COMPUTED_VALUE"""),0.0)</f>
        <v>0</v>
      </c>
      <c r="H1788" s="6" t="str">
        <f>IFERROR(__xludf.DUMMYFUNCTION("""COMPUTED_VALUE"""),"M")</f>
        <v>M</v>
      </c>
      <c r="I1788" s="6" t="str">
        <f>IFERROR(__xludf.DUMMYFUNCTION("""COMPUTED_VALUE"""),"MFH")</f>
        <v>MFH</v>
      </c>
      <c r="J1788" s="6" t="str">
        <f>IFERROR(__xludf.DUMMYFUNCTION("""COMPUTED_VALUE"""),"AHU")</f>
        <v>AHU</v>
      </c>
      <c r="K1788" s="6" t="str">
        <f>IFERROR(__xludf.DUMMYFUNCTION("""COMPUTED_VALUE"""),"SPR/03/25/013")</f>
        <v>SPR/03/25/013</v>
      </c>
      <c r="L1788" s="13">
        <f>IFERROR(__xludf.DUMMYFUNCTION("""COMPUTED_VALUE"""),45722.0)</f>
        <v>45722</v>
      </c>
    </row>
    <row r="1789">
      <c r="A1789" s="6" t="str">
        <f>IFERROR(__xludf.DUMMYFUNCTION("""COMPUTED_VALUE"""),"INN")</f>
        <v>INN</v>
      </c>
      <c r="B1789" s="6" t="str">
        <f>IFERROR(__xludf.DUMMYFUNCTION("""COMPUTED_VALUE"""),"ENG")</f>
        <v>ENG</v>
      </c>
      <c r="C1789" s="6" t="str">
        <f>IFERROR(__xludf.DUMMYFUNCTION("""COMPUTED_VALUE"""),"O-51698-00")</f>
        <v>O-51698-00</v>
      </c>
      <c r="D1789" s="6" t="str">
        <f>IFERROR(__xludf.DUMMYFUNCTION("""COMPUTED_VALUE"""),"OMRON - Relay MY4Z 24VDC; ; ;")</f>
        <v>OMRON - Relay MY4Z 24VDC; ; ;</v>
      </c>
      <c r="E1789" s="6">
        <f>IFERROR(__xludf.DUMMYFUNCTION("""COMPUTED_VALUE"""),1.0)</f>
        <v>1</v>
      </c>
      <c r="F1789" s="6">
        <f>IFERROR(__xludf.DUMMYFUNCTION("""COMPUTED_VALUE"""),1.0)</f>
        <v>1</v>
      </c>
      <c r="G1789" s="6">
        <f>IFERROR(__xludf.DUMMYFUNCTION("""COMPUTED_VALUE"""),0.0)</f>
        <v>0</v>
      </c>
      <c r="H1789" s="6" t="str">
        <f>IFERROR(__xludf.DUMMYFUNCTION("""COMPUTED_VALUE"""),"Pcs")</f>
        <v>Pcs</v>
      </c>
      <c r="I1789" s="6" t="str">
        <f>IFERROR(__xludf.DUMMYFUNCTION("""COMPUTED_VALUE"""),"MFH")</f>
        <v>MFH</v>
      </c>
      <c r="J1789" s="6" t="str">
        <f>IFERROR(__xludf.DUMMYFUNCTION("""COMPUTED_VALUE"""),"Mixing")</f>
        <v>Mixing</v>
      </c>
      <c r="K1789" s="6" t="str">
        <f>IFERROR(__xludf.DUMMYFUNCTION("""COMPUTED_VALUE"""),"SPR/03/25/014")</f>
        <v>SPR/03/25/014</v>
      </c>
      <c r="L1789" s="13">
        <f>IFERROR(__xludf.DUMMYFUNCTION("""COMPUTED_VALUE"""),45722.0)</f>
        <v>45722</v>
      </c>
    </row>
    <row r="1790">
      <c r="A1790" s="6" t="str">
        <f>IFERROR(__xludf.DUMMYFUNCTION("""COMPUTED_VALUE"""),"MOB")</f>
        <v>MOB</v>
      </c>
      <c r="B1790" s="6" t="str">
        <f>IFERROR(__xludf.DUMMYFUNCTION("""COMPUTED_VALUE"""),"ENG")</f>
        <v>ENG</v>
      </c>
      <c r="C1790" s="6" t="str">
        <f>IFERROR(__xludf.DUMMYFUNCTION("""COMPUTED_VALUE"""),"P-50506-00")</f>
        <v>P-50506-00</v>
      </c>
      <c r="D1790" s="6" t="str">
        <f>IFERROR(__xludf.DUMMYFUNCTION("""COMPUTED_VALUE"""),"Saklar Tunggal / 250 V / Clipsal")</f>
        <v>Saklar Tunggal / 250 V / Clipsal</v>
      </c>
      <c r="E1790" s="6">
        <f>IFERROR(__xludf.DUMMYFUNCTION("""COMPUTED_VALUE"""),1.0)</f>
        <v>1</v>
      </c>
      <c r="F1790" s="6">
        <f>IFERROR(__xludf.DUMMYFUNCTION("""COMPUTED_VALUE"""),1.0)</f>
        <v>1</v>
      </c>
      <c r="G1790" s="6">
        <f>IFERROR(__xludf.DUMMYFUNCTION("""COMPUTED_VALUE"""),0.0)</f>
        <v>0</v>
      </c>
      <c r="H1790" s="6" t="str">
        <f>IFERROR(__xludf.DUMMYFUNCTION("""COMPUTED_VALUE"""),"Pcs")</f>
        <v>Pcs</v>
      </c>
      <c r="I1790" s="6" t="str">
        <f>IFERROR(__xludf.DUMMYFUNCTION("""COMPUTED_VALUE"""),"MFH")</f>
        <v>MFH</v>
      </c>
      <c r="J1790" s="6" t="str">
        <f>IFERROR(__xludf.DUMMYFUNCTION("""COMPUTED_VALUE"""),"Building")</f>
        <v>Building</v>
      </c>
      <c r="K1790" s="6" t="str">
        <f>IFERROR(__xludf.DUMMYFUNCTION("""COMPUTED_VALUE"""),"SPR/03/25/015")</f>
        <v>SPR/03/25/015</v>
      </c>
      <c r="L1790" s="13">
        <f>IFERROR(__xludf.DUMMYFUNCTION("""COMPUTED_VALUE"""),45722.0)</f>
        <v>45722</v>
      </c>
    </row>
    <row r="1791">
      <c r="A1791" s="6" t="str">
        <f>IFERROR(__xludf.DUMMYFUNCTION("""COMPUTED_VALUE"""),"SHF")</f>
        <v>SHF</v>
      </c>
      <c r="B1791" s="6" t="str">
        <f>IFERROR(__xludf.DUMMYFUNCTION("""COMPUTED_VALUE"""),"ENG")</f>
        <v>ENG</v>
      </c>
      <c r="C1791" s="6" t="str">
        <f>IFERROR(__xludf.DUMMYFUNCTION("""COMPUTED_VALUE"""),"P-10863-00")</f>
        <v>P-10863-00</v>
      </c>
      <c r="D1791" s="6" t="str">
        <f>IFERROR(__xludf.DUMMYFUNCTION("""COMPUTED_VALUE"""),"Fitting PVC - Elbow PVC 2""")</f>
        <v>Fitting PVC - Elbow PVC 2"</v>
      </c>
      <c r="E1791" s="6">
        <f>IFERROR(__xludf.DUMMYFUNCTION("""COMPUTED_VALUE"""),4.0)</f>
        <v>4</v>
      </c>
      <c r="F1791" s="6">
        <f>IFERROR(__xludf.DUMMYFUNCTION("""COMPUTED_VALUE"""),4.0)</f>
        <v>4</v>
      </c>
      <c r="G1791" s="6">
        <f>IFERROR(__xludf.DUMMYFUNCTION("""COMPUTED_VALUE"""),0.0)</f>
        <v>0</v>
      </c>
      <c r="H1791" s="6" t="str">
        <f>IFERROR(__xludf.DUMMYFUNCTION("""COMPUTED_VALUE"""),"Pcs")</f>
        <v>Pcs</v>
      </c>
      <c r="I1791" s="6" t="str">
        <f>IFERROR(__xludf.DUMMYFUNCTION("""COMPUTED_VALUE"""),"MFH")</f>
        <v>MFH</v>
      </c>
      <c r="J1791" s="6" t="str">
        <f>IFERROR(__xludf.DUMMYFUNCTION("""COMPUTED_VALUE"""),"Hot Water")</f>
        <v>Hot Water</v>
      </c>
      <c r="K1791" s="6" t="str">
        <f>IFERROR(__xludf.DUMMYFUNCTION("""COMPUTED_VALUE"""),"SPR/03/25/016")</f>
        <v>SPR/03/25/016</v>
      </c>
      <c r="L1791" s="13">
        <f>IFERROR(__xludf.DUMMYFUNCTION("""COMPUTED_VALUE"""),45722.0)</f>
        <v>45722</v>
      </c>
    </row>
    <row r="1792">
      <c r="A1792" s="6" t="str">
        <f>IFERROR(__xludf.DUMMYFUNCTION("""COMPUTED_VALUE"""),"RIA")</f>
        <v>RIA</v>
      </c>
      <c r="B1792" s="6" t="str">
        <f>IFERROR(__xludf.DUMMYFUNCTION("""COMPUTED_VALUE"""),"ENG")</f>
        <v>ENG</v>
      </c>
      <c r="C1792" s="6" t="str">
        <f>IFERROR(__xludf.DUMMYFUNCTION("""COMPUTED_VALUE"""),"Q-10249-00")</f>
        <v>Q-10249-00</v>
      </c>
      <c r="D1792" s="6" t="str">
        <f>IFERROR(__xludf.DUMMYFUNCTION("""COMPUTED_VALUE"""),"Lem Power Glue")</f>
        <v>Lem Power Glue</v>
      </c>
      <c r="E1792" s="6">
        <f>IFERROR(__xludf.DUMMYFUNCTION("""COMPUTED_VALUE"""),1.0)</f>
        <v>1</v>
      </c>
      <c r="F1792" s="6">
        <f>IFERROR(__xludf.DUMMYFUNCTION("""COMPUTED_VALUE"""),1.0)</f>
        <v>1</v>
      </c>
      <c r="G1792" s="6">
        <f>IFERROR(__xludf.DUMMYFUNCTION("""COMPUTED_VALUE"""),0.0)</f>
        <v>0</v>
      </c>
      <c r="H1792" s="6" t="str">
        <f>IFERROR(__xludf.DUMMYFUNCTION("""COMPUTED_VALUE"""),"pcs")</f>
        <v>pcs</v>
      </c>
      <c r="I1792" s="6" t="str">
        <f>IFERROR(__xludf.DUMMYFUNCTION("""COMPUTED_VALUE"""),"MFH")</f>
        <v>MFH</v>
      </c>
      <c r="J1792" s="6" t="str">
        <f>IFERROR(__xludf.DUMMYFUNCTION("""COMPUTED_VALUE"""),"PSG")</f>
        <v>PSG</v>
      </c>
      <c r="K1792" s="6" t="str">
        <f>IFERROR(__xludf.DUMMYFUNCTION("""COMPUTED_VALUE"""),"SPR/03/25/017")</f>
        <v>SPR/03/25/017</v>
      </c>
      <c r="L1792" s="13">
        <f>IFERROR(__xludf.DUMMYFUNCTION("""COMPUTED_VALUE"""),45722.0)</f>
        <v>45722</v>
      </c>
    </row>
    <row r="1793">
      <c r="A1793" s="6" t="str">
        <f>IFERROR(__xludf.DUMMYFUNCTION("""COMPUTED_VALUE"""),"RIA")</f>
        <v>RIA</v>
      </c>
      <c r="B1793" s="6" t="str">
        <f>IFERROR(__xludf.DUMMYFUNCTION("""COMPUTED_VALUE"""),"ENG")</f>
        <v>ENG</v>
      </c>
      <c r="C1793" s="6" t="str">
        <f>IFERROR(__xludf.DUMMYFUNCTION("""COMPUTED_VALUE"""),"-")</f>
        <v>-</v>
      </c>
      <c r="D1793" s="6" t="str">
        <f>IFERROR(__xludf.DUMMYFUNCTION("""COMPUTED_VALUE"""),"UPS 800VA Riello")</f>
        <v>UPS 800VA Riello</v>
      </c>
      <c r="E1793" s="6">
        <f>IFERROR(__xludf.DUMMYFUNCTION("""COMPUTED_VALUE"""),1.0)</f>
        <v>1</v>
      </c>
      <c r="F1793" s="6">
        <f>IFERROR(__xludf.DUMMYFUNCTION("""COMPUTED_VALUE"""),1.0)</f>
        <v>1</v>
      </c>
      <c r="G1793" s="6">
        <f>IFERROR(__xludf.DUMMYFUNCTION("""COMPUTED_VALUE"""),0.0)</f>
        <v>0</v>
      </c>
      <c r="H1793" s="6" t="str">
        <f>IFERROR(__xludf.DUMMYFUNCTION("""COMPUTED_VALUE"""),"Pcs")</f>
        <v>Pcs</v>
      </c>
      <c r="I1793" s="6" t="str">
        <f>IFERROR(__xludf.DUMMYFUNCTION("""COMPUTED_VALUE"""),"MFH")</f>
        <v>MFH</v>
      </c>
      <c r="J1793" s="6" t="str">
        <f>IFERROR(__xludf.DUMMYFUNCTION("""COMPUTED_VALUE"""),"PC BAS OSD")</f>
        <v>PC BAS OSD</v>
      </c>
      <c r="K1793" s="6" t="str">
        <f>IFERROR(__xludf.DUMMYFUNCTION("""COMPUTED_VALUE"""),"SPR/03/25/017")</f>
        <v>SPR/03/25/017</v>
      </c>
      <c r="L1793" s="13">
        <f>IFERROR(__xludf.DUMMYFUNCTION("""COMPUTED_VALUE"""),45722.0)</f>
        <v>45722</v>
      </c>
    </row>
    <row r="1794">
      <c r="A1794" s="6" t="str">
        <f>IFERROR(__xludf.DUMMYFUNCTION("""COMPUTED_VALUE"""),"NDS")</f>
        <v>NDS</v>
      </c>
      <c r="B1794" s="6" t="str">
        <f>IFERROR(__xludf.DUMMYFUNCTION("""COMPUTED_VALUE"""),"ENG")</f>
        <v>ENG</v>
      </c>
      <c r="C1794" s="6" t="str">
        <f>IFERROR(__xludf.DUMMYFUNCTION("""COMPUTED_VALUE"""),"-")</f>
        <v>-</v>
      </c>
      <c r="D1794" s="6" t="str">
        <f>IFERROR(__xludf.DUMMYFUNCTION("""COMPUTED_VALUE"""),"Baut M8")</f>
        <v>Baut M8</v>
      </c>
      <c r="E1794" s="6">
        <f>IFERROR(__xludf.DUMMYFUNCTION("""COMPUTED_VALUE"""),1.0)</f>
        <v>1</v>
      </c>
      <c r="F1794" s="6">
        <f>IFERROR(__xludf.DUMMYFUNCTION("""COMPUTED_VALUE"""),1.0)</f>
        <v>1</v>
      </c>
      <c r="G1794" s="6">
        <f>IFERROR(__xludf.DUMMYFUNCTION("""COMPUTED_VALUE"""),0.0)</f>
        <v>0</v>
      </c>
      <c r="H1794" s="6" t="str">
        <f>IFERROR(__xludf.DUMMYFUNCTION("""COMPUTED_VALUE"""),"Pcs")</f>
        <v>Pcs</v>
      </c>
      <c r="I1794" s="6" t="str">
        <f>IFERROR(__xludf.DUMMYFUNCTION("""COMPUTED_VALUE"""),"MFH")</f>
        <v>MFH</v>
      </c>
      <c r="J1794" s="6" t="str">
        <f>IFERROR(__xludf.DUMMYFUNCTION("""COMPUTED_VALUE"""),"-")</f>
        <v>-</v>
      </c>
      <c r="K1794" s="6" t="str">
        <f>IFERROR(__xludf.DUMMYFUNCTION("""COMPUTED_VALUE"""),"SPR/03/25/018")</f>
        <v>SPR/03/25/018</v>
      </c>
      <c r="L1794" s="13">
        <f>IFERROR(__xludf.DUMMYFUNCTION("""COMPUTED_VALUE"""),45722.0)</f>
        <v>45722</v>
      </c>
    </row>
    <row r="1795">
      <c r="A1795" s="6" t="str">
        <f>IFERROR(__xludf.DUMMYFUNCTION("""COMPUTED_VALUE"""),"MRN")</f>
        <v>MRN</v>
      </c>
      <c r="B1795" s="6" t="str">
        <f>IFERROR(__xludf.DUMMYFUNCTION("""COMPUTED_VALUE"""),"ENG")</f>
        <v>ENG</v>
      </c>
      <c r="C1795" s="6" t="str">
        <f>IFERROR(__xludf.DUMMYFUNCTION("""COMPUTED_VALUE"""),"P-50717-00")</f>
        <v>P-50717-00</v>
      </c>
      <c r="D1795" s="6" t="str">
        <f>IFERROR(__xludf.DUMMYFUNCTION("""COMPUTED_VALUE"""),"Kabel UTP 4 pairs Cat 6 merk BELDEN")</f>
        <v>Kabel UTP 4 pairs Cat 6 merk BELDEN</v>
      </c>
      <c r="E1795" s="6">
        <f>IFERROR(__xludf.DUMMYFUNCTION("""COMPUTED_VALUE"""),30.0)</f>
        <v>30</v>
      </c>
      <c r="F1795" s="6">
        <f>IFERROR(__xludf.DUMMYFUNCTION("""COMPUTED_VALUE"""),30.0)</f>
        <v>30</v>
      </c>
      <c r="G1795" s="6">
        <f>IFERROR(__xludf.DUMMYFUNCTION("""COMPUTED_VALUE"""),0.0)</f>
        <v>0</v>
      </c>
      <c r="H1795" s="6" t="str">
        <f>IFERROR(__xludf.DUMMYFUNCTION("""COMPUTED_VALUE"""),"Pcs")</f>
        <v>Pcs</v>
      </c>
      <c r="I1795" s="6" t="str">
        <f>IFERROR(__xludf.DUMMYFUNCTION("""COMPUTED_VALUE"""),"MFH")</f>
        <v>MFH</v>
      </c>
      <c r="J1795" s="6" t="str">
        <f>IFERROR(__xludf.DUMMYFUNCTION("""COMPUTED_VALUE"""),"Building")</f>
        <v>Building</v>
      </c>
      <c r="K1795" s="6" t="str">
        <f>IFERROR(__xludf.DUMMYFUNCTION("""COMPUTED_VALUE"""),"SPR/03/25/019")</f>
        <v>SPR/03/25/019</v>
      </c>
      <c r="L1795" s="13">
        <f>IFERROR(__xludf.DUMMYFUNCTION("""COMPUTED_VALUE"""),45722.0)</f>
        <v>45722</v>
      </c>
    </row>
    <row r="1796">
      <c r="A1796" s="6" t="str">
        <f>IFERROR(__xludf.DUMMYFUNCTION("""COMPUTED_VALUE"""),"ROS")</f>
        <v>ROS</v>
      </c>
      <c r="B1796" s="6" t="str">
        <f>IFERROR(__xludf.DUMMYFUNCTION("""COMPUTED_VALUE"""),"ENG")</f>
        <v>ENG</v>
      </c>
      <c r="C1796" s="6" t="str">
        <f>IFERROR(__xludf.DUMMYFUNCTION("""COMPUTED_VALUE"""),"O-16647-00")</f>
        <v>O-16647-00</v>
      </c>
      <c r="D1796" s="6" t="str">
        <f>IFERROR(__xludf.DUMMYFUNCTION("""COMPUTED_VALUE"""),"Washing RAR4 - Oring Silicone Merah 23x18x2.5 mm; ; ;")</f>
        <v>Washing RAR4 - Oring Silicone Merah 23x18x2.5 mm; ; ;</v>
      </c>
      <c r="E1796" s="6">
        <f>IFERROR(__xludf.DUMMYFUNCTION("""COMPUTED_VALUE"""),30.0)</f>
        <v>30</v>
      </c>
      <c r="F1796" s="6">
        <f>IFERROR(__xludf.DUMMYFUNCTION("""COMPUTED_VALUE"""),30.0)</f>
        <v>30</v>
      </c>
      <c r="G1796" s="6">
        <f>IFERROR(__xludf.DUMMYFUNCTION("""COMPUTED_VALUE"""),0.0)</f>
        <v>0</v>
      </c>
      <c r="H1796" s="6" t="str">
        <f>IFERROR(__xludf.DUMMYFUNCTION("""COMPUTED_VALUE"""),"-")</f>
        <v>-</v>
      </c>
      <c r="I1796" s="6" t="str">
        <f>IFERROR(__xludf.DUMMYFUNCTION("""COMPUTED_VALUE"""),"MFH")</f>
        <v>MFH</v>
      </c>
      <c r="J1796" s="6" t="str">
        <f>IFERROR(__xludf.DUMMYFUNCTION("""COMPUTED_VALUE"""),"Capping")</f>
        <v>Capping</v>
      </c>
      <c r="K1796" s="6" t="str">
        <f>IFERROR(__xludf.DUMMYFUNCTION("""COMPUTED_VALUE"""),"SPR/03/25/020")</f>
        <v>SPR/03/25/020</v>
      </c>
      <c r="L1796" s="13">
        <f>IFERROR(__xludf.DUMMYFUNCTION("""COMPUTED_VALUE"""),45722.0)</f>
        <v>45722</v>
      </c>
    </row>
    <row r="1797">
      <c r="A1797" s="6" t="str">
        <f>IFERROR(__xludf.DUMMYFUNCTION("""COMPUTED_VALUE"""),"ROS")</f>
        <v>ROS</v>
      </c>
      <c r="B1797" s="6" t="str">
        <f>IFERROR(__xludf.DUMMYFUNCTION("""COMPUTED_VALUE"""),"ENG")</f>
        <v>ENG</v>
      </c>
      <c r="C1797" s="6" t="str">
        <f>IFERROR(__xludf.DUMMYFUNCTION("""COMPUTED_VALUE"""),"P-11968-00")</f>
        <v>P-11968-00</v>
      </c>
      <c r="D1797" s="6" t="str">
        <f>IFERROR(__xludf.DUMMYFUNCTION("""COMPUTED_VALUE"""),"Berusynt FGH Spray H1 - Bechem")</f>
        <v>Berusynt FGH Spray H1 - Bechem</v>
      </c>
      <c r="E1797" s="6">
        <f>IFERROR(__xludf.DUMMYFUNCTION("""COMPUTED_VALUE"""),1.0)</f>
        <v>1</v>
      </c>
      <c r="F1797" s="6">
        <f>IFERROR(__xludf.DUMMYFUNCTION("""COMPUTED_VALUE"""),1.0)</f>
        <v>1</v>
      </c>
      <c r="G1797" s="6">
        <f>IFERROR(__xludf.DUMMYFUNCTION("""COMPUTED_VALUE"""),0.0)</f>
        <v>0</v>
      </c>
      <c r="H1797" s="6" t="str">
        <f>IFERROR(__xludf.DUMMYFUNCTION("""COMPUTED_VALUE"""),"pcs")</f>
        <v>pcs</v>
      </c>
      <c r="I1797" s="6" t="str">
        <f>IFERROR(__xludf.DUMMYFUNCTION("""COMPUTED_VALUE"""),"MFH")</f>
        <v>MFH</v>
      </c>
      <c r="J1797" s="6" t="str">
        <f>IFERROR(__xludf.DUMMYFUNCTION("""COMPUTED_VALUE"""),"Capping")</f>
        <v>Capping</v>
      </c>
      <c r="K1797" s="6" t="str">
        <f>IFERROR(__xludf.DUMMYFUNCTION("""COMPUTED_VALUE"""),"SPR/03/25/021")</f>
        <v>SPR/03/25/021</v>
      </c>
      <c r="L1797" s="13">
        <f>IFERROR(__xludf.DUMMYFUNCTION("""COMPUTED_VALUE"""),45722.0)</f>
        <v>45722</v>
      </c>
    </row>
    <row r="1798">
      <c r="A1798" s="6" t="str">
        <f>IFERROR(__xludf.DUMMYFUNCTION("""COMPUTED_VALUE"""),"ROS")</f>
        <v>ROS</v>
      </c>
      <c r="B1798" s="6" t="str">
        <f>IFERROR(__xludf.DUMMYFUNCTION("""COMPUTED_VALUE"""),"ENG")</f>
        <v>ENG</v>
      </c>
      <c r="C1798" s="6" t="str">
        <f>IFERROR(__xludf.DUMMYFUNCTION("""COMPUTED_VALUE"""),"P-15851-00")</f>
        <v>P-15851-00</v>
      </c>
      <c r="D1798" s="6" t="str">
        <f>IFERROR(__xludf.DUMMYFUNCTION("""COMPUTED_VALUE"""),"AMPLAS EAGLE 100")</f>
        <v>AMPLAS EAGLE 100</v>
      </c>
      <c r="E1798" s="6">
        <f>IFERROR(__xludf.DUMMYFUNCTION("""COMPUTED_VALUE"""),1.0)</f>
        <v>1</v>
      </c>
      <c r="F1798" s="6">
        <f>IFERROR(__xludf.DUMMYFUNCTION("""COMPUTED_VALUE"""),1.0)</f>
        <v>1</v>
      </c>
      <c r="G1798" s="6">
        <f>IFERROR(__xludf.DUMMYFUNCTION("""COMPUTED_VALUE"""),0.0)</f>
        <v>0</v>
      </c>
      <c r="H1798" s="6" t="str">
        <f>IFERROR(__xludf.DUMMYFUNCTION("""COMPUTED_VALUE"""),"pcs")</f>
        <v>pcs</v>
      </c>
      <c r="I1798" s="6" t="str">
        <f>IFERROR(__xludf.DUMMYFUNCTION("""COMPUTED_VALUE"""),"MFH")</f>
        <v>MFH</v>
      </c>
      <c r="J1798" s="6" t="str">
        <f>IFERROR(__xludf.DUMMYFUNCTION("""COMPUTED_VALUE"""),"Capping")</f>
        <v>Capping</v>
      </c>
      <c r="K1798" s="6" t="str">
        <f>IFERROR(__xludf.DUMMYFUNCTION("""COMPUTED_VALUE"""),"SPR/03/25/021")</f>
        <v>SPR/03/25/021</v>
      </c>
      <c r="L1798" s="13">
        <f>IFERROR(__xludf.DUMMYFUNCTION("""COMPUTED_VALUE"""),45722.0)</f>
        <v>45722</v>
      </c>
    </row>
    <row r="1799">
      <c r="A1799" s="6" t="str">
        <f>IFERROR(__xludf.DUMMYFUNCTION("""COMPUTED_VALUE"""),"ROS")</f>
        <v>ROS</v>
      </c>
      <c r="B1799" s="6" t="str">
        <f>IFERROR(__xludf.DUMMYFUNCTION("""COMPUTED_VALUE"""),"ENG")</f>
        <v>ENG</v>
      </c>
      <c r="C1799" s="6" t="str">
        <f>IFERROR(__xludf.DUMMYFUNCTION("""COMPUTED_VALUE"""),"P-15852-00")</f>
        <v>P-15852-00</v>
      </c>
      <c r="D1799" s="6" t="str">
        <f>IFERROR(__xludf.DUMMYFUNCTION("""COMPUTED_VALUE"""),"AMPLAS EAGLE 500")</f>
        <v>AMPLAS EAGLE 500</v>
      </c>
      <c r="E1799" s="6">
        <f>IFERROR(__xludf.DUMMYFUNCTION("""COMPUTED_VALUE"""),1.0)</f>
        <v>1</v>
      </c>
      <c r="F1799" s="6">
        <f>IFERROR(__xludf.DUMMYFUNCTION("""COMPUTED_VALUE"""),1.0)</f>
        <v>1</v>
      </c>
      <c r="G1799" s="6">
        <f>IFERROR(__xludf.DUMMYFUNCTION("""COMPUTED_VALUE"""),0.0)</f>
        <v>0</v>
      </c>
      <c r="H1799" s="6" t="str">
        <f>IFERROR(__xludf.DUMMYFUNCTION("""COMPUTED_VALUE"""),"pcs")</f>
        <v>pcs</v>
      </c>
      <c r="I1799" s="6" t="str">
        <f>IFERROR(__xludf.DUMMYFUNCTION("""COMPUTED_VALUE"""),"MFH")</f>
        <v>MFH</v>
      </c>
      <c r="J1799" s="6" t="str">
        <f>IFERROR(__xludf.DUMMYFUNCTION("""COMPUTED_VALUE"""),"Capping")</f>
        <v>Capping</v>
      </c>
      <c r="K1799" s="6" t="str">
        <f>IFERROR(__xludf.DUMMYFUNCTION("""COMPUTED_VALUE"""),"SPR/03/25/021")</f>
        <v>SPR/03/25/021</v>
      </c>
      <c r="L1799" s="13">
        <f>IFERROR(__xludf.DUMMYFUNCTION("""COMPUTED_VALUE"""),45722.0)</f>
        <v>45722</v>
      </c>
    </row>
    <row r="1800">
      <c r="A1800" s="6" t="str">
        <f>IFERROR(__xludf.DUMMYFUNCTION("""COMPUTED_VALUE"""),"MRN")</f>
        <v>MRN</v>
      </c>
      <c r="B1800" s="6" t="str">
        <f>IFERROR(__xludf.DUMMYFUNCTION("""COMPUTED_VALUE"""),"ENG")</f>
        <v>ENG</v>
      </c>
      <c r="C1800" s="6" t="str">
        <f>IFERROR(__xludf.DUMMYFUNCTION("""COMPUTED_VALUE"""),"P-18504-00")</f>
        <v>P-18504-00</v>
      </c>
      <c r="D1800" s="6" t="str">
        <f>IFERROR(__xludf.DUMMYFUNCTION("""COMPUTED_VALUE"""),"Chemours - Freon 404A;; ; ;")</f>
        <v>Chemours - Freon 404A;; ; ;</v>
      </c>
      <c r="E1800" s="6">
        <f>IFERROR(__xludf.DUMMYFUNCTION("""COMPUTED_VALUE"""),1.0)</f>
        <v>1</v>
      </c>
      <c r="F1800" s="6">
        <f>IFERROR(__xludf.DUMMYFUNCTION("""COMPUTED_VALUE"""),1.0)</f>
        <v>1</v>
      </c>
      <c r="G1800" s="6">
        <f>IFERROR(__xludf.DUMMYFUNCTION("""COMPUTED_VALUE"""),0.0)</f>
        <v>0</v>
      </c>
      <c r="H1800" s="6" t="str">
        <f>IFERROR(__xludf.DUMMYFUNCTION("""COMPUTED_VALUE"""),"Pcs")</f>
        <v>Pcs</v>
      </c>
      <c r="I1800" s="6" t="str">
        <f>IFERROR(__xludf.DUMMYFUNCTION("""COMPUTED_VALUE"""),"MFH")</f>
        <v>MFH</v>
      </c>
      <c r="J1800" s="6" t="str">
        <f>IFERROR(__xludf.DUMMYFUNCTION("""COMPUTED_VALUE"""),"WICC")</f>
        <v>WICC</v>
      </c>
      <c r="K1800" s="6" t="str">
        <f>IFERROR(__xludf.DUMMYFUNCTION("""COMPUTED_VALUE"""),"SPR/03/25/022")</f>
        <v>SPR/03/25/022</v>
      </c>
      <c r="L1800" s="13">
        <f>IFERROR(__xludf.DUMMYFUNCTION("""COMPUTED_VALUE"""),45722.0)</f>
        <v>45722</v>
      </c>
    </row>
    <row r="1801">
      <c r="A1801" s="6" t="str">
        <f>IFERROR(__xludf.DUMMYFUNCTION("""COMPUTED_VALUE"""),"SFH")</f>
        <v>SFH</v>
      </c>
      <c r="B1801" s="6" t="str">
        <f>IFERROR(__xludf.DUMMYFUNCTION("""COMPUTED_VALUE"""),"ENG")</f>
        <v>ENG</v>
      </c>
      <c r="C1801" s="6" t="str">
        <f>IFERROR(__xludf.DUMMYFUNCTION("""COMPUTED_VALUE"""),"-")</f>
        <v>-</v>
      </c>
      <c r="D1801" s="6" t="str">
        <f>IFERROR(__xludf.DUMMYFUNCTION("""COMPUTED_VALUE"""),"Sticker Pintu Dorong Tarik")</f>
        <v>Sticker Pintu Dorong Tarik</v>
      </c>
      <c r="E1801" s="6">
        <f>IFERROR(__xludf.DUMMYFUNCTION("""COMPUTED_VALUE"""),56.0)</f>
        <v>56</v>
      </c>
      <c r="F1801" s="6">
        <f>IFERROR(__xludf.DUMMYFUNCTION("""COMPUTED_VALUE"""),56.0)</f>
        <v>56</v>
      </c>
      <c r="G1801" s="6">
        <f>IFERROR(__xludf.DUMMYFUNCTION("""COMPUTED_VALUE"""),0.0)</f>
        <v>0</v>
      </c>
      <c r="H1801" s="6" t="str">
        <f>IFERROR(__xludf.DUMMYFUNCTION("""COMPUTED_VALUE"""),"Pcs")</f>
        <v>Pcs</v>
      </c>
      <c r="I1801" s="6" t="str">
        <f>IFERROR(__xludf.DUMMYFUNCTION("""COMPUTED_VALUE"""),"MFH")</f>
        <v>MFH</v>
      </c>
      <c r="J1801" s="6" t="str">
        <f>IFERROR(__xludf.DUMMYFUNCTION("""COMPUTED_VALUE"""),"Building")</f>
        <v>Building</v>
      </c>
      <c r="K1801" s="6" t="str">
        <f>IFERROR(__xludf.DUMMYFUNCTION("""COMPUTED_VALUE"""),"SPR/03/25/023")</f>
        <v>SPR/03/25/023</v>
      </c>
      <c r="L1801" s="13">
        <f>IFERROR(__xludf.DUMMYFUNCTION("""COMPUTED_VALUE"""),45722.0)</f>
        <v>45722</v>
      </c>
    </row>
    <row r="1802">
      <c r="A1802" s="6" t="str">
        <f>IFERROR(__xludf.DUMMYFUNCTION("""COMPUTED_VALUE"""),"SFH")</f>
        <v>SFH</v>
      </c>
      <c r="B1802" s="6" t="str">
        <f>IFERROR(__xludf.DUMMYFUNCTION("""COMPUTED_VALUE"""),"ENG")</f>
        <v>ENG</v>
      </c>
      <c r="C1802" s="6" t="str">
        <f>IFERROR(__xludf.DUMMYFUNCTION("""COMPUTED_VALUE"""),"-")</f>
        <v>-</v>
      </c>
      <c r="D1802" s="6" t="str">
        <f>IFERROR(__xludf.DUMMYFUNCTION("""COMPUTED_VALUE"""),"Kunci Slot Pintu Toilet")</f>
        <v>Kunci Slot Pintu Toilet</v>
      </c>
      <c r="E1802" s="6">
        <f>IFERROR(__xludf.DUMMYFUNCTION("""COMPUTED_VALUE"""),4.0)</f>
        <v>4</v>
      </c>
      <c r="F1802" s="6">
        <f>IFERROR(__xludf.DUMMYFUNCTION("""COMPUTED_VALUE"""),4.0)</f>
        <v>4</v>
      </c>
      <c r="G1802" s="6">
        <f>IFERROR(__xludf.DUMMYFUNCTION("""COMPUTED_VALUE"""),0.0)</f>
        <v>0</v>
      </c>
      <c r="H1802" s="6" t="str">
        <f>IFERROR(__xludf.DUMMYFUNCTION("""COMPUTED_VALUE"""),"Pcs")</f>
        <v>Pcs</v>
      </c>
      <c r="I1802" s="6" t="str">
        <f>IFERROR(__xludf.DUMMYFUNCTION("""COMPUTED_VALUE"""),"MFH")</f>
        <v>MFH</v>
      </c>
      <c r="J1802" s="6" t="str">
        <f>IFERROR(__xludf.DUMMYFUNCTION("""COMPUTED_VALUE"""),"Building")</f>
        <v>Building</v>
      </c>
      <c r="K1802" s="6" t="str">
        <f>IFERROR(__xludf.DUMMYFUNCTION("""COMPUTED_VALUE"""),"SPR/03/25/023")</f>
        <v>SPR/03/25/023</v>
      </c>
      <c r="L1802" s="13">
        <f>IFERROR(__xludf.DUMMYFUNCTION("""COMPUTED_VALUE"""),45722.0)</f>
        <v>45722</v>
      </c>
    </row>
    <row r="1803">
      <c r="A1803" s="6" t="str">
        <f>IFERROR(__xludf.DUMMYFUNCTION("""COMPUTED_VALUE"""),"SFH")</f>
        <v>SFH</v>
      </c>
      <c r="B1803" s="6" t="str">
        <f>IFERROR(__xludf.DUMMYFUNCTION("""COMPUTED_VALUE"""),"ENG")</f>
        <v>ENG</v>
      </c>
      <c r="C1803" s="6" t="str">
        <f>IFERROR(__xludf.DUMMYFUNCTION("""COMPUTED_VALUE"""),"-")</f>
        <v>-</v>
      </c>
      <c r="D1803" s="6" t="str">
        <f>IFERROR(__xludf.DUMMYFUNCTION("""COMPUTED_VALUE"""),"Plat SS Sensor FGRM")</f>
        <v>Plat SS Sensor FGRM</v>
      </c>
      <c r="E1803" s="6">
        <f>IFERROR(__xludf.DUMMYFUNCTION("""COMPUTED_VALUE"""),16.0)</f>
        <v>16</v>
      </c>
      <c r="F1803" s="6">
        <f>IFERROR(__xludf.DUMMYFUNCTION("""COMPUTED_VALUE"""),16.0)</f>
        <v>16</v>
      </c>
      <c r="G1803" s="6">
        <f>IFERROR(__xludf.DUMMYFUNCTION("""COMPUTED_VALUE"""),0.0)</f>
        <v>0</v>
      </c>
      <c r="H1803" s="6" t="str">
        <f>IFERROR(__xludf.DUMMYFUNCTION("""COMPUTED_VALUE"""),"Pcs")</f>
        <v>Pcs</v>
      </c>
      <c r="I1803" s="6" t="str">
        <f>IFERROR(__xludf.DUMMYFUNCTION("""COMPUTED_VALUE"""),"MFH")</f>
        <v>MFH</v>
      </c>
      <c r="J1803" s="6" t="str">
        <f>IFERROR(__xludf.DUMMYFUNCTION("""COMPUTED_VALUE"""),"Building")</f>
        <v>Building</v>
      </c>
      <c r="K1803" s="6" t="str">
        <f>IFERROR(__xludf.DUMMYFUNCTION("""COMPUTED_VALUE"""),"SPR/03/25/023")</f>
        <v>SPR/03/25/023</v>
      </c>
      <c r="L1803" s="13">
        <f>IFERROR(__xludf.DUMMYFUNCTION("""COMPUTED_VALUE"""),45722.0)</f>
        <v>45722</v>
      </c>
    </row>
    <row r="1804">
      <c r="A1804" s="6" t="str">
        <f>IFERROR(__xludf.DUMMYFUNCTION("""COMPUTED_VALUE"""),"ANO")</f>
        <v>ANO</v>
      </c>
      <c r="B1804" s="6" t="str">
        <f>IFERROR(__xludf.DUMMYFUNCTION("""COMPUTED_VALUE"""),"ENG")</f>
        <v>ENG</v>
      </c>
      <c r="C1804" s="6" t="str">
        <f>IFERROR(__xludf.DUMMYFUNCTION("""COMPUTED_VALUE"""),"-")</f>
        <v>-</v>
      </c>
      <c r="D1804" s="6" t="str">
        <f>IFERROR(__xludf.DUMMYFUNCTION("""COMPUTED_VALUE"""),"Blind Ferrule 1,5 Inch")</f>
        <v>Blind Ferrule 1,5 Inch</v>
      </c>
      <c r="E1804" s="6">
        <f>IFERROR(__xludf.DUMMYFUNCTION("""COMPUTED_VALUE"""),1.0)</f>
        <v>1</v>
      </c>
      <c r="F1804" s="6">
        <f>IFERROR(__xludf.DUMMYFUNCTION("""COMPUTED_VALUE"""),1.0)</f>
        <v>1</v>
      </c>
      <c r="G1804" s="6">
        <f>IFERROR(__xludf.DUMMYFUNCTION("""COMPUTED_VALUE"""),0.0)</f>
        <v>0</v>
      </c>
      <c r="H1804" s="6" t="str">
        <f>IFERROR(__xludf.DUMMYFUNCTION("""COMPUTED_VALUE"""),"Pcs")</f>
        <v>Pcs</v>
      </c>
      <c r="I1804" s="6" t="str">
        <f>IFERROR(__xludf.DUMMYFUNCTION("""COMPUTED_VALUE"""),"MFH")</f>
        <v>MFH</v>
      </c>
      <c r="J1804" s="6" t="str">
        <f>IFERROR(__xludf.DUMMYFUNCTION("""COMPUTED_VALUE"""),"ISOLATOR Sampling")</f>
        <v>ISOLATOR Sampling</v>
      </c>
      <c r="K1804" s="6" t="str">
        <f>IFERROR(__xludf.DUMMYFUNCTION("""COMPUTED_VALUE"""),"SPR/03/25/024")</f>
        <v>SPR/03/25/024</v>
      </c>
      <c r="L1804" s="13">
        <f>IFERROR(__xludf.DUMMYFUNCTION("""COMPUTED_VALUE"""),45722.0)</f>
        <v>45722</v>
      </c>
    </row>
    <row r="1805">
      <c r="A1805" s="6" t="str">
        <f>IFERROR(__xludf.DUMMYFUNCTION("""COMPUTED_VALUE"""),"ANO")</f>
        <v>ANO</v>
      </c>
      <c r="B1805" s="6" t="str">
        <f>IFERROR(__xludf.DUMMYFUNCTION("""COMPUTED_VALUE"""),"ENG")</f>
        <v>ENG</v>
      </c>
      <c r="C1805" s="6" t="str">
        <f>IFERROR(__xludf.DUMMYFUNCTION("""COMPUTED_VALUE"""),"-")</f>
        <v>-</v>
      </c>
      <c r="D1805" s="6" t="str">
        <f>IFERROR(__xludf.DUMMYFUNCTION("""COMPUTED_VALUE"""),"Gasket 1,5 Inch")</f>
        <v>Gasket 1,5 Inch</v>
      </c>
      <c r="E1805" s="6">
        <f>IFERROR(__xludf.DUMMYFUNCTION("""COMPUTED_VALUE"""),1.0)</f>
        <v>1</v>
      </c>
      <c r="F1805" s="6">
        <f>IFERROR(__xludf.DUMMYFUNCTION("""COMPUTED_VALUE"""),1.0)</f>
        <v>1</v>
      </c>
      <c r="G1805" s="6">
        <f>IFERROR(__xludf.DUMMYFUNCTION("""COMPUTED_VALUE"""),0.0)</f>
        <v>0</v>
      </c>
      <c r="H1805" s="6" t="str">
        <f>IFERROR(__xludf.DUMMYFUNCTION("""COMPUTED_VALUE"""),"Pcs")</f>
        <v>Pcs</v>
      </c>
      <c r="I1805" s="6" t="str">
        <f>IFERROR(__xludf.DUMMYFUNCTION("""COMPUTED_VALUE"""),"MFH")</f>
        <v>MFH</v>
      </c>
      <c r="J1805" s="6" t="str">
        <f>IFERROR(__xludf.DUMMYFUNCTION("""COMPUTED_VALUE"""),"ISOLATOR Sampling")</f>
        <v>ISOLATOR Sampling</v>
      </c>
      <c r="K1805" s="6" t="str">
        <f>IFERROR(__xludf.DUMMYFUNCTION("""COMPUTED_VALUE"""),"SPR/03/25/024")</f>
        <v>SPR/03/25/024</v>
      </c>
      <c r="L1805" s="13">
        <f>IFERROR(__xludf.DUMMYFUNCTION("""COMPUTED_VALUE"""),45722.0)</f>
        <v>45722</v>
      </c>
    </row>
    <row r="1806">
      <c r="A1806" s="6" t="str">
        <f>IFERROR(__xludf.DUMMYFUNCTION("""COMPUTED_VALUE"""),"ANO")</f>
        <v>ANO</v>
      </c>
      <c r="B1806" s="6" t="str">
        <f>IFERROR(__xludf.DUMMYFUNCTION("""COMPUTED_VALUE"""),"ENG")</f>
        <v>ENG</v>
      </c>
      <c r="C1806" s="6" t="str">
        <f>IFERROR(__xludf.DUMMYFUNCTION("""COMPUTED_VALUE"""),"P-51239-00")</f>
        <v>P-51239-00</v>
      </c>
      <c r="D1806" s="6" t="str">
        <f>IFERROR(__xludf.DUMMYFUNCTION("""COMPUTED_VALUE"""),"Skun ( I ) Pin uk.2.5-5 m hitam")</f>
        <v>Skun ( I ) Pin uk.2.5-5 m hitam</v>
      </c>
      <c r="E1806" s="6">
        <f>IFERROR(__xludf.DUMMYFUNCTION("""COMPUTED_VALUE"""),1.0)</f>
        <v>1</v>
      </c>
      <c r="F1806" s="6">
        <f>IFERROR(__xludf.DUMMYFUNCTION("""COMPUTED_VALUE"""),1.0)</f>
        <v>1</v>
      </c>
      <c r="G1806" s="6">
        <f>IFERROR(__xludf.DUMMYFUNCTION("""COMPUTED_VALUE"""),0.0)</f>
        <v>0</v>
      </c>
      <c r="H1806" s="6" t="str">
        <f>IFERROR(__xludf.DUMMYFUNCTION("""COMPUTED_VALUE"""),"Pcs")</f>
        <v>Pcs</v>
      </c>
      <c r="I1806" s="6" t="str">
        <f>IFERROR(__xludf.DUMMYFUNCTION("""COMPUTED_VALUE"""),"MFH")</f>
        <v>MFH</v>
      </c>
      <c r="J1806" s="6" t="str">
        <f>IFERROR(__xludf.DUMMYFUNCTION("""COMPUTED_VALUE"""),"ISOLATOR Sampling")</f>
        <v>ISOLATOR Sampling</v>
      </c>
      <c r="K1806" s="6" t="str">
        <f>IFERROR(__xludf.DUMMYFUNCTION("""COMPUTED_VALUE"""),"SPR/03/25/025")</f>
        <v>SPR/03/25/025</v>
      </c>
      <c r="L1806" s="13">
        <f>IFERROR(__xludf.DUMMYFUNCTION("""COMPUTED_VALUE"""),45722.0)</f>
        <v>45722</v>
      </c>
    </row>
    <row r="1807">
      <c r="A1807" s="6" t="str">
        <f>IFERROR(__xludf.DUMMYFUNCTION("""COMPUTED_VALUE"""),"ANO")</f>
        <v>ANO</v>
      </c>
      <c r="B1807" s="6" t="str">
        <f>IFERROR(__xludf.DUMMYFUNCTION("""COMPUTED_VALUE"""),"ENG")</f>
        <v>ENG</v>
      </c>
      <c r="C1807" s="6" t="str">
        <f>IFERROR(__xludf.DUMMYFUNCTION("""COMPUTED_VALUE"""),"P-54190-00")</f>
        <v>P-54190-00</v>
      </c>
      <c r="D1807" s="6" t="str">
        <f>IFERROR(__xludf.DUMMYFUNCTION("""COMPUTED_VALUE"""),"Stop Kontak IP55 16A; Legrand; ;")</f>
        <v>Stop Kontak IP55 16A; Legrand; ;</v>
      </c>
      <c r="E1807" s="6">
        <f>IFERROR(__xludf.DUMMYFUNCTION("""COMPUTED_VALUE"""),1.0)</f>
        <v>1</v>
      </c>
      <c r="F1807" s="6">
        <f>IFERROR(__xludf.DUMMYFUNCTION("""COMPUTED_VALUE"""),1.0)</f>
        <v>1</v>
      </c>
      <c r="G1807" s="6">
        <f>IFERROR(__xludf.DUMMYFUNCTION("""COMPUTED_VALUE"""),0.0)</f>
        <v>0</v>
      </c>
      <c r="H1807" s="6" t="str">
        <f>IFERROR(__xludf.DUMMYFUNCTION("""COMPUTED_VALUE"""),"Pcs")</f>
        <v>Pcs</v>
      </c>
      <c r="I1807" s="6" t="str">
        <f>IFERROR(__xludf.DUMMYFUNCTION("""COMPUTED_VALUE"""),"MFH")</f>
        <v>MFH</v>
      </c>
      <c r="J1807" s="6" t="str">
        <f>IFERROR(__xludf.DUMMYFUNCTION("""COMPUTED_VALUE"""),"ISOLATOR Sampling")</f>
        <v>ISOLATOR Sampling</v>
      </c>
      <c r="K1807" s="6" t="str">
        <f>IFERROR(__xludf.DUMMYFUNCTION("""COMPUTED_VALUE"""),"SPR/03/25/025")</f>
        <v>SPR/03/25/025</v>
      </c>
      <c r="L1807" s="13">
        <f>IFERROR(__xludf.DUMMYFUNCTION("""COMPUTED_VALUE"""),45722.0)</f>
        <v>45722</v>
      </c>
    </row>
    <row r="1808">
      <c r="A1808" s="6" t="str">
        <f>IFERROR(__xludf.DUMMYFUNCTION("""COMPUTED_VALUE"""),"ANO")</f>
        <v>ANO</v>
      </c>
      <c r="B1808" s="6" t="str">
        <f>IFERROR(__xludf.DUMMYFUNCTION("""COMPUTED_VALUE"""),"ENG")</f>
        <v>ENG</v>
      </c>
      <c r="C1808" s="6" t="str">
        <f>IFERROR(__xludf.DUMMYFUNCTION("""COMPUTED_VALUE"""),"P-14877-00")</f>
        <v>P-14877-00</v>
      </c>
      <c r="D1808" s="6" t="str">
        <f>IFERROR(__xludf.DUMMYFUNCTION("""COMPUTED_VALUE"""),"General - Kabel NYYHY 3 x 2,5mm; Supreme; -; 1 meter")</f>
        <v>General - Kabel NYYHY 3 x 2,5mm; Supreme; -; 1 meter</v>
      </c>
      <c r="E1808" s="6">
        <f>IFERROR(__xludf.DUMMYFUNCTION("""COMPUTED_VALUE"""),4.0)</f>
        <v>4</v>
      </c>
      <c r="F1808" s="6">
        <f>IFERROR(__xludf.DUMMYFUNCTION("""COMPUTED_VALUE"""),4.0)</f>
        <v>4</v>
      </c>
      <c r="G1808" s="6">
        <f>IFERROR(__xludf.DUMMYFUNCTION("""COMPUTED_VALUE"""),0.0)</f>
        <v>0</v>
      </c>
      <c r="H1808" s="6" t="str">
        <f>IFERROR(__xludf.DUMMYFUNCTION("""COMPUTED_VALUE"""),"pcs")</f>
        <v>pcs</v>
      </c>
      <c r="I1808" s="6" t="str">
        <f>IFERROR(__xludf.DUMMYFUNCTION("""COMPUTED_VALUE"""),"MFH")</f>
        <v>MFH</v>
      </c>
      <c r="J1808" s="6" t="str">
        <f>IFERROR(__xludf.DUMMYFUNCTION("""COMPUTED_VALUE"""),"ISOLATOR Sampling")</f>
        <v>ISOLATOR Sampling</v>
      </c>
      <c r="K1808" s="6" t="str">
        <f>IFERROR(__xludf.DUMMYFUNCTION("""COMPUTED_VALUE"""),"SPR/03/25/025")</f>
        <v>SPR/03/25/025</v>
      </c>
      <c r="L1808" s="13">
        <f>IFERROR(__xludf.DUMMYFUNCTION("""COMPUTED_VALUE"""),45722.0)</f>
        <v>45722</v>
      </c>
    </row>
    <row r="1809">
      <c r="A1809" s="6" t="str">
        <f>IFERROR(__xludf.DUMMYFUNCTION("""COMPUTED_VALUE"""),"SHF")</f>
        <v>SHF</v>
      </c>
      <c r="B1809" s="6" t="str">
        <f>IFERROR(__xludf.DUMMYFUNCTION("""COMPUTED_VALUE"""),"ENG")</f>
        <v>ENG</v>
      </c>
      <c r="C1809" s="6" t="str">
        <f>IFERROR(__xludf.DUMMYFUNCTION("""COMPUTED_VALUE"""),"-")</f>
        <v>-</v>
      </c>
      <c r="D1809" s="6" t="str">
        <f>IFERROR(__xludf.DUMMYFUNCTION("""COMPUTED_VALUE"""),"Saklar Lampu")</f>
        <v>Saklar Lampu</v>
      </c>
      <c r="E1809" s="6">
        <f>IFERROR(__xludf.DUMMYFUNCTION("""COMPUTED_VALUE"""),1.0)</f>
        <v>1</v>
      </c>
      <c r="F1809" s="6">
        <f>IFERROR(__xludf.DUMMYFUNCTION("""COMPUTED_VALUE"""),1.0)</f>
        <v>1</v>
      </c>
      <c r="G1809" s="6">
        <f>IFERROR(__xludf.DUMMYFUNCTION("""COMPUTED_VALUE"""),0.0)</f>
        <v>0</v>
      </c>
      <c r="H1809" s="6" t="str">
        <f>IFERROR(__xludf.DUMMYFUNCTION("""COMPUTED_VALUE"""),"Pcs")</f>
        <v>Pcs</v>
      </c>
      <c r="I1809" s="6" t="str">
        <f>IFERROR(__xludf.DUMMYFUNCTION("""COMPUTED_VALUE"""),"MFH")</f>
        <v>MFH</v>
      </c>
      <c r="J1809" s="6" t="str">
        <f>IFERROR(__xludf.DUMMYFUNCTION("""COMPUTED_VALUE"""),"Building")</f>
        <v>Building</v>
      </c>
      <c r="K1809" s="6" t="str">
        <f>IFERROR(__xludf.DUMMYFUNCTION("""COMPUTED_VALUE"""),"SPR/03/25/026")</f>
        <v>SPR/03/25/026</v>
      </c>
      <c r="L1809" s="13">
        <f>IFERROR(__xludf.DUMMYFUNCTION("""COMPUTED_VALUE"""),45722.0)</f>
        <v>45722</v>
      </c>
    </row>
    <row r="1810">
      <c r="A1810" s="6" t="str">
        <f>IFERROR(__xludf.DUMMYFUNCTION("""COMPUTED_VALUE"""),"SHF")</f>
        <v>SHF</v>
      </c>
      <c r="B1810" s="6" t="str">
        <f>IFERROR(__xludf.DUMMYFUNCTION("""COMPUTED_VALUE"""),"ENG")</f>
        <v>ENG</v>
      </c>
      <c r="C1810" s="6" t="str">
        <f>IFERROR(__xludf.DUMMYFUNCTION("""COMPUTED_VALUE"""),"-")</f>
        <v>-</v>
      </c>
      <c r="D1810" s="6" t="str">
        <f>IFERROR(__xludf.DUMMYFUNCTION("""COMPUTED_VALUE"""),"Gasket Ferrule EPDM")</f>
        <v>Gasket Ferrule EPDM</v>
      </c>
      <c r="E1810" s="6">
        <f>IFERROR(__xludf.DUMMYFUNCTION("""COMPUTED_VALUE"""),2.0)</f>
        <v>2</v>
      </c>
      <c r="F1810" s="6">
        <f>IFERROR(__xludf.DUMMYFUNCTION("""COMPUTED_VALUE"""),2.0)</f>
        <v>2</v>
      </c>
      <c r="G1810" s="6">
        <f>IFERROR(__xludf.DUMMYFUNCTION("""COMPUTED_VALUE"""),0.0)</f>
        <v>0</v>
      </c>
      <c r="H1810" s="6" t="str">
        <f>IFERROR(__xludf.DUMMYFUNCTION("""COMPUTED_VALUE"""),"Pcs")</f>
        <v>Pcs</v>
      </c>
      <c r="I1810" s="6" t="str">
        <f>IFERROR(__xludf.DUMMYFUNCTION("""COMPUTED_VALUE"""),"MFH")</f>
        <v>MFH</v>
      </c>
      <c r="J1810" s="6" t="str">
        <f>IFERROR(__xludf.DUMMYFUNCTION("""COMPUTED_VALUE"""),"PSG")</f>
        <v>PSG</v>
      </c>
      <c r="K1810" s="6" t="str">
        <f>IFERROR(__xludf.DUMMYFUNCTION("""COMPUTED_VALUE"""),"SPR/03/25/026")</f>
        <v>SPR/03/25/026</v>
      </c>
      <c r="L1810" s="13">
        <f>IFERROR(__xludf.DUMMYFUNCTION("""COMPUTED_VALUE"""),45722.0)</f>
        <v>45722</v>
      </c>
    </row>
    <row r="1811">
      <c r="A1811" s="6" t="str">
        <f>IFERROR(__xludf.DUMMYFUNCTION("""COMPUTED_VALUE"""),"SHF")</f>
        <v>SHF</v>
      </c>
      <c r="B1811" s="6" t="str">
        <f>IFERROR(__xludf.DUMMYFUNCTION("""COMPUTED_VALUE"""),"ENG")</f>
        <v>ENG</v>
      </c>
      <c r="C1811" s="6" t="str">
        <f>IFERROR(__xludf.DUMMYFUNCTION("""COMPUTED_VALUE"""),"T-80109-00")</f>
        <v>T-80109-00</v>
      </c>
      <c r="D1811" s="6" t="str">
        <f>IFERROR(__xludf.DUMMYFUNCTION("""COMPUTED_VALUE"""),"Cellotape Kertas 1 inch warna Putih")</f>
        <v>Cellotape Kertas 1 inch warna Putih</v>
      </c>
      <c r="E1811" s="6">
        <f>IFERROR(__xludf.DUMMYFUNCTION("""COMPUTED_VALUE"""),5.0)</f>
        <v>5</v>
      </c>
      <c r="F1811" s="6">
        <f>IFERROR(__xludf.DUMMYFUNCTION("""COMPUTED_VALUE"""),5.0)</f>
        <v>5</v>
      </c>
      <c r="G1811" s="6">
        <f>IFERROR(__xludf.DUMMYFUNCTION("""COMPUTED_VALUE"""),0.0)</f>
        <v>0</v>
      </c>
      <c r="H1811" s="6" t="str">
        <f>IFERROR(__xludf.DUMMYFUNCTION("""COMPUTED_VALUE"""),"Pcs")</f>
        <v>Pcs</v>
      </c>
      <c r="I1811" s="6" t="str">
        <f>IFERROR(__xludf.DUMMYFUNCTION("""COMPUTED_VALUE"""),"MFH")</f>
        <v>MFH</v>
      </c>
      <c r="J1811" s="6" t="str">
        <f>IFERROR(__xludf.DUMMYFUNCTION("""COMPUTED_VALUE"""),"Building")</f>
        <v>Building</v>
      </c>
      <c r="K1811" s="6" t="str">
        <f>IFERROR(__xludf.DUMMYFUNCTION("""COMPUTED_VALUE"""),"SPR/03/25/026")</f>
        <v>SPR/03/25/026</v>
      </c>
      <c r="L1811" s="13">
        <f>IFERROR(__xludf.DUMMYFUNCTION("""COMPUTED_VALUE"""),45722.0)</f>
        <v>45722</v>
      </c>
    </row>
    <row r="1812">
      <c r="A1812" s="6" t="str">
        <f>IFERROR(__xludf.DUMMYFUNCTION("""COMPUTED_VALUE"""),"MOB")</f>
        <v>MOB</v>
      </c>
      <c r="B1812" s="6" t="str">
        <f>IFERROR(__xludf.DUMMYFUNCTION("""COMPUTED_VALUE"""),"ENG")</f>
        <v>ENG</v>
      </c>
      <c r="C1812" s="6" t="str">
        <f>IFERROR(__xludf.DUMMYFUNCTION("""COMPUTED_VALUE"""),"P-19304-00")</f>
        <v>P-19304-00</v>
      </c>
      <c r="D1812" s="6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E1812" s="6">
        <f>IFERROR(__xludf.DUMMYFUNCTION("""COMPUTED_VALUE"""),4.0)</f>
        <v>4</v>
      </c>
      <c r="F1812" s="6">
        <f>IFERROR(__xludf.DUMMYFUNCTION("""COMPUTED_VALUE"""),4.0)</f>
        <v>4</v>
      </c>
      <c r="G1812" s="6">
        <f>IFERROR(__xludf.DUMMYFUNCTION("""COMPUTED_VALUE"""),0.0)</f>
        <v>0</v>
      </c>
      <c r="H1812" s="6" t="str">
        <f>IFERROR(__xludf.DUMMYFUNCTION("""COMPUTED_VALUE"""),"Pcs")</f>
        <v>Pcs</v>
      </c>
      <c r="I1812" s="6" t="str">
        <f>IFERROR(__xludf.DUMMYFUNCTION("""COMPUTED_VALUE"""),"MFH")</f>
        <v>MFH</v>
      </c>
      <c r="J1812" s="6" t="str">
        <f>IFERROR(__xludf.DUMMYFUNCTION("""COMPUTED_VALUE"""),"PoU")</f>
        <v>PoU</v>
      </c>
      <c r="K1812" s="6" t="str">
        <f>IFERROR(__xludf.DUMMYFUNCTION("""COMPUTED_VALUE"""),"SPR/03/25/027")</f>
        <v>SPR/03/25/027</v>
      </c>
      <c r="L1812" s="13">
        <f>IFERROR(__xludf.DUMMYFUNCTION("""COMPUTED_VALUE"""),45722.0)</f>
        <v>45722</v>
      </c>
    </row>
    <row r="1813">
      <c r="A1813" s="6" t="str">
        <f>IFERROR(__xludf.DUMMYFUNCTION("""COMPUTED_VALUE"""),"ROS")</f>
        <v>ROS</v>
      </c>
      <c r="B1813" s="6" t="str">
        <f>IFERROR(__xludf.DUMMYFUNCTION("""COMPUTED_VALUE"""),"ENG")</f>
        <v>ENG</v>
      </c>
      <c r="C1813" s="6" t="str">
        <f>IFERROR(__xludf.DUMMYFUNCTION("""COMPUTED_VALUE"""),"-")</f>
        <v>-</v>
      </c>
      <c r="D1813" s="6" t="str">
        <f>IFERROR(__xludf.DUMMYFUNCTION("""COMPUTED_VALUE"""),"Kuas Kecil")</f>
        <v>Kuas Kecil</v>
      </c>
      <c r="E1813" s="6">
        <f>IFERROR(__xludf.DUMMYFUNCTION("""COMPUTED_VALUE"""),1.0)</f>
        <v>1</v>
      </c>
      <c r="F1813" s="6">
        <f>IFERROR(__xludf.DUMMYFUNCTION("""COMPUTED_VALUE"""),1.0)</f>
        <v>1</v>
      </c>
      <c r="G1813" s="6">
        <f>IFERROR(__xludf.DUMMYFUNCTION("""COMPUTED_VALUE"""),0.0)</f>
        <v>0</v>
      </c>
      <c r="H1813" s="6" t="str">
        <f>IFERROR(__xludf.DUMMYFUNCTION("""COMPUTED_VALUE"""),"Pcs")</f>
        <v>Pcs</v>
      </c>
      <c r="I1813" s="6" t="str">
        <f>IFERROR(__xludf.DUMMYFUNCTION("""COMPUTED_VALUE"""),"MFH")</f>
        <v>MFH</v>
      </c>
      <c r="J1813" s="6" t="str">
        <f>IFERROR(__xludf.DUMMYFUNCTION("""COMPUTED_VALUE"""),"Filling")</f>
        <v>Filling</v>
      </c>
      <c r="K1813" s="6" t="str">
        <f>IFERROR(__xludf.DUMMYFUNCTION("""COMPUTED_VALUE"""),"SPR/03/25/028")</f>
        <v>SPR/03/25/028</v>
      </c>
      <c r="L1813" s="13">
        <f>IFERROR(__xludf.DUMMYFUNCTION("""COMPUTED_VALUE"""),45722.0)</f>
        <v>45722</v>
      </c>
    </row>
    <row r="1814">
      <c r="A1814" s="6" t="str">
        <f>IFERROR(__xludf.DUMMYFUNCTION("""COMPUTED_VALUE"""),"ROS")</f>
        <v>ROS</v>
      </c>
      <c r="B1814" s="6" t="str">
        <f>IFERROR(__xludf.DUMMYFUNCTION("""COMPUTED_VALUE"""),"ENG")</f>
        <v>ENG</v>
      </c>
      <c r="C1814" s="6" t="str">
        <f>IFERROR(__xludf.DUMMYFUNCTION("""COMPUTED_VALUE"""),"Q-60503-00")</f>
        <v>Q-60503-00</v>
      </c>
      <c r="D1814" s="6" t="str">
        <f>IFERROR(__xludf.DUMMYFUNCTION("""COMPUTED_VALUE"""),"Silicone Sealant;Silglaze;Type N10 Grey;pack size per pcs")</f>
        <v>Silicone Sealant;Silglaze;Type N10 Grey;pack size per pcs</v>
      </c>
      <c r="E1814" s="6">
        <f>IFERROR(__xludf.DUMMYFUNCTION("""COMPUTED_VALUE"""),1.0)</f>
        <v>1</v>
      </c>
      <c r="F1814" s="6">
        <f>IFERROR(__xludf.DUMMYFUNCTION("""COMPUTED_VALUE"""),1.0)</f>
        <v>1</v>
      </c>
      <c r="G1814" s="6">
        <f>IFERROR(__xludf.DUMMYFUNCTION("""COMPUTED_VALUE"""),0.0)</f>
        <v>0</v>
      </c>
      <c r="H1814" s="6" t="str">
        <f>IFERROR(__xludf.DUMMYFUNCTION("""COMPUTED_VALUE"""),"Pcs")</f>
        <v>Pcs</v>
      </c>
      <c r="I1814" s="6" t="str">
        <f>IFERROR(__xludf.DUMMYFUNCTION("""COMPUTED_VALUE"""),"MFH")</f>
        <v>MFH</v>
      </c>
      <c r="J1814" s="6" t="str">
        <f>IFERROR(__xludf.DUMMYFUNCTION("""COMPUTED_VALUE"""),"Filling")</f>
        <v>Filling</v>
      </c>
      <c r="K1814" s="6" t="str">
        <f>IFERROR(__xludf.DUMMYFUNCTION("""COMPUTED_VALUE"""),"SPR/03/25/028")</f>
        <v>SPR/03/25/028</v>
      </c>
      <c r="L1814" s="13">
        <f>IFERROR(__xludf.DUMMYFUNCTION("""COMPUTED_VALUE"""),45722.0)</f>
        <v>45722</v>
      </c>
    </row>
    <row r="1815">
      <c r="A1815" s="6" t="str">
        <f>IFERROR(__xludf.DUMMYFUNCTION("""COMPUTED_VALUE"""),"ROS")</f>
        <v>ROS</v>
      </c>
      <c r="B1815" s="6" t="str">
        <f>IFERROR(__xludf.DUMMYFUNCTION("""COMPUTED_VALUE"""),"ENG")</f>
        <v>ENG</v>
      </c>
      <c r="C1815" s="6" t="str">
        <f>IFERROR(__xludf.DUMMYFUNCTION("""COMPUTED_VALUE"""),"T-80109-00")</f>
        <v>T-80109-00</v>
      </c>
      <c r="D1815" s="6" t="str">
        <f>IFERROR(__xludf.DUMMYFUNCTION("""COMPUTED_VALUE"""),"Cellotape Kertas 1 inch warna Putih")</f>
        <v>Cellotape Kertas 1 inch warna Putih</v>
      </c>
      <c r="E1815" s="6">
        <f>IFERROR(__xludf.DUMMYFUNCTION("""COMPUTED_VALUE"""),1.0)</f>
        <v>1</v>
      </c>
      <c r="F1815" s="6">
        <f>IFERROR(__xludf.DUMMYFUNCTION("""COMPUTED_VALUE"""),1.0)</f>
        <v>1</v>
      </c>
      <c r="G1815" s="6">
        <f>IFERROR(__xludf.DUMMYFUNCTION("""COMPUTED_VALUE"""),0.0)</f>
        <v>0</v>
      </c>
      <c r="H1815" s="6" t="str">
        <f>IFERROR(__xludf.DUMMYFUNCTION("""COMPUTED_VALUE"""),"Pcs")</f>
        <v>Pcs</v>
      </c>
      <c r="I1815" s="6" t="str">
        <f>IFERROR(__xludf.DUMMYFUNCTION("""COMPUTED_VALUE"""),"MFH")</f>
        <v>MFH</v>
      </c>
      <c r="J1815" s="6" t="str">
        <f>IFERROR(__xludf.DUMMYFUNCTION("""COMPUTED_VALUE"""),"Filling")</f>
        <v>Filling</v>
      </c>
      <c r="K1815" s="6" t="str">
        <f>IFERROR(__xludf.DUMMYFUNCTION("""COMPUTED_VALUE"""),"SPR/03/25/028")</f>
        <v>SPR/03/25/028</v>
      </c>
      <c r="L1815" s="13">
        <f>IFERROR(__xludf.DUMMYFUNCTION("""COMPUTED_VALUE"""),45722.0)</f>
        <v>45722</v>
      </c>
    </row>
    <row r="1816">
      <c r="A1816" s="6" t="str">
        <f>IFERROR(__xludf.DUMMYFUNCTION("""COMPUTED_VALUE"""),"SFH")</f>
        <v>SFH</v>
      </c>
      <c r="B1816" s="6" t="str">
        <f>IFERROR(__xludf.DUMMYFUNCTION("""COMPUTED_VALUE"""),"ENG")</f>
        <v>ENG</v>
      </c>
      <c r="C1816" s="6" t="str">
        <f>IFERROR(__xludf.DUMMYFUNCTION("""COMPUTED_VALUE"""),"P-51560-00")</f>
        <v>P-51560-00</v>
      </c>
      <c r="D1816" s="6" t="str">
        <f>IFERROR(__xludf.DUMMYFUNCTION("""COMPUTED_VALUE"""),"Lampu T5 28watt Putih; Phillips; ;")</f>
        <v>Lampu T5 28watt Putih; Phillips; ;</v>
      </c>
      <c r="E1816" s="6">
        <f>IFERROR(__xludf.DUMMYFUNCTION("""COMPUTED_VALUE"""),2.0)</f>
        <v>2</v>
      </c>
      <c r="F1816" s="6">
        <f>IFERROR(__xludf.DUMMYFUNCTION("""COMPUTED_VALUE"""),2.0)</f>
        <v>2</v>
      </c>
      <c r="G1816" s="6">
        <f>IFERROR(__xludf.DUMMYFUNCTION("""COMPUTED_VALUE"""),0.0)</f>
        <v>0</v>
      </c>
      <c r="H1816" s="6" t="str">
        <f>IFERROR(__xludf.DUMMYFUNCTION("""COMPUTED_VALUE"""),"Pcs")</f>
        <v>Pcs</v>
      </c>
      <c r="I1816" s="6" t="str">
        <f>IFERROR(__xludf.DUMMYFUNCTION("""COMPUTED_VALUE"""),"MFH")</f>
        <v>MFH</v>
      </c>
      <c r="J1816" s="6" t="str">
        <f>IFERROR(__xludf.DUMMYFUNCTION("""COMPUTED_VALUE"""),"Building")</f>
        <v>Building</v>
      </c>
      <c r="K1816" s="6" t="str">
        <f>IFERROR(__xludf.DUMMYFUNCTION("""COMPUTED_VALUE"""),"SPR/03/25/029")</f>
        <v>SPR/03/25/029</v>
      </c>
      <c r="L1816" s="13">
        <f>IFERROR(__xludf.DUMMYFUNCTION("""COMPUTED_VALUE"""),45722.0)</f>
        <v>45722</v>
      </c>
    </row>
    <row r="1817">
      <c r="A1817" s="6" t="str">
        <f>IFERROR(__xludf.DUMMYFUNCTION("""COMPUTED_VALUE"""),"SFH")</f>
        <v>SFH</v>
      </c>
      <c r="B1817" s="6" t="str">
        <f>IFERROR(__xludf.DUMMYFUNCTION("""COMPUTED_VALUE"""),"ENG")</f>
        <v>ENG</v>
      </c>
      <c r="C1817" s="6" t="str">
        <f>IFERROR(__xludf.DUMMYFUNCTION("""COMPUTED_VALUE"""),"P-51559-00")</f>
        <v>P-51559-00</v>
      </c>
      <c r="D1817" s="6" t="str">
        <f>IFERROR(__xludf.DUMMYFUNCTION("""COMPUTED_VALUE"""),"Lampu T5 14watt Putih; Phillips; ;")</f>
        <v>Lampu T5 14watt Putih; Phillips; ;</v>
      </c>
      <c r="E1817" s="6">
        <f>IFERROR(__xludf.DUMMYFUNCTION("""COMPUTED_VALUE"""),2.0)</f>
        <v>2</v>
      </c>
      <c r="F1817" s="6">
        <f>IFERROR(__xludf.DUMMYFUNCTION("""COMPUTED_VALUE"""),2.0)</f>
        <v>2</v>
      </c>
      <c r="G1817" s="6">
        <f>IFERROR(__xludf.DUMMYFUNCTION("""COMPUTED_VALUE"""),0.0)</f>
        <v>0</v>
      </c>
      <c r="H1817" s="6" t="str">
        <f>IFERROR(__xludf.DUMMYFUNCTION("""COMPUTED_VALUE"""),"Pcs")</f>
        <v>Pcs</v>
      </c>
      <c r="I1817" s="6" t="str">
        <f>IFERROR(__xludf.DUMMYFUNCTION("""COMPUTED_VALUE"""),"MFH")</f>
        <v>MFH</v>
      </c>
      <c r="J1817" s="6" t="str">
        <f>IFERROR(__xludf.DUMMYFUNCTION("""COMPUTED_VALUE"""),"Building")</f>
        <v>Building</v>
      </c>
      <c r="K1817" s="6" t="str">
        <f>IFERROR(__xludf.DUMMYFUNCTION("""COMPUTED_VALUE"""),"SPR/03/25/029")</f>
        <v>SPR/03/25/029</v>
      </c>
      <c r="L1817" s="13">
        <f>IFERROR(__xludf.DUMMYFUNCTION("""COMPUTED_VALUE"""),45722.0)</f>
        <v>45722</v>
      </c>
    </row>
    <row r="1818">
      <c r="A1818" s="6" t="str">
        <f>IFERROR(__xludf.DUMMYFUNCTION("""COMPUTED_VALUE"""),"SFH")</f>
        <v>SFH</v>
      </c>
      <c r="B1818" s="6" t="str">
        <f>IFERROR(__xludf.DUMMYFUNCTION("""COMPUTED_VALUE"""),"ENG")</f>
        <v>ENG</v>
      </c>
      <c r="C1818" s="6" t="str">
        <f>IFERROR(__xludf.DUMMYFUNCTION("""COMPUTED_VALUE"""),"Q-60025-00")</f>
        <v>Q-60025-00</v>
      </c>
      <c r="D1818" s="6" t="str">
        <f>IFERROR(__xludf.DUMMYFUNCTION("""COMPUTED_VALUE"""),"Kuas Eterna 1 inchi")</f>
        <v>Kuas Eterna 1 inchi</v>
      </c>
      <c r="E1818" s="6">
        <f>IFERROR(__xludf.DUMMYFUNCTION("""COMPUTED_VALUE"""),1.0)</f>
        <v>1</v>
      </c>
      <c r="F1818" s="6">
        <f>IFERROR(__xludf.DUMMYFUNCTION("""COMPUTED_VALUE"""),1.0)</f>
        <v>1</v>
      </c>
      <c r="G1818" s="6">
        <f>IFERROR(__xludf.DUMMYFUNCTION("""COMPUTED_VALUE"""),0.0)</f>
        <v>0</v>
      </c>
      <c r="H1818" s="6" t="str">
        <f>IFERROR(__xludf.DUMMYFUNCTION("""COMPUTED_VALUE"""),"Pcs")</f>
        <v>Pcs</v>
      </c>
      <c r="I1818" s="6" t="str">
        <f>IFERROR(__xludf.DUMMYFUNCTION("""COMPUTED_VALUE"""),"MFH")</f>
        <v>MFH</v>
      </c>
      <c r="J1818" s="6" t="str">
        <f>IFERROR(__xludf.DUMMYFUNCTION("""COMPUTED_VALUE"""),"Building")</f>
        <v>Building</v>
      </c>
      <c r="K1818" s="6" t="str">
        <f>IFERROR(__xludf.DUMMYFUNCTION("""COMPUTED_VALUE"""),"SPR/03/25/029")</f>
        <v>SPR/03/25/029</v>
      </c>
      <c r="L1818" s="13">
        <f>IFERROR(__xludf.DUMMYFUNCTION("""COMPUTED_VALUE"""),45722.0)</f>
        <v>45722</v>
      </c>
    </row>
    <row r="1819">
      <c r="A1819" s="6" t="str">
        <f>IFERROR(__xludf.DUMMYFUNCTION("""COMPUTED_VALUE"""),"RIA")</f>
        <v>RIA</v>
      </c>
      <c r="B1819" s="6" t="str">
        <f>IFERROR(__xludf.DUMMYFUNCTION("""COMPUTED_VALUE"""),"ENG")</f>
        <v>ENG</v>
      </c>
      <c r="C1819" s="6" t="str">
        <f>IFERROR(__xludf.DUMMYFUNCTION("""COMPUTED_VALUE"""),"P-13370-00")</f>
        <v>P-13370-00</v>
      </c>
      <c r="D1819" s="6" t="str">
        <f>IFERROR(__xludf.DUMMYFUNCTION("""COMPUTED_VALUE"""),"General - Pulser SCR Heater Contoller; Regin; ;")</f>
        <v>General - Pulser SCR Heater Contoller; Regin; ;</v>
      </c>
      <c r="E1819" s="6">
        <f>IFERROR(__xludf.DUMMYFUNCTION("""COMPUTED_VALUE"""),1.0)</f>
        <v>1</v>
      </c>
      <c r="F1819" s="6">
        <f>IFERROR(__xludf.DUMMYFUNCTION("""COMPUTED_VALUE"""),1.0)</f>
        <v>1</v>
      </c>
      <c r="G1819" s="6">
        <f>IFERROR(__xludf.DUMMYFUNCTION("""COMPUTED_VALUE"""),0.0)</f>
        <v>0</v>
      </c>
      <c r="H1819" s="6" t="str">
        <f>IFERROR(__xludf.DUMMYFUNCTION("""COMPUTED_VALUE"""),"Pcs")</f>
        <v>Pcs</v>
      </c>
      <c r="I1819" s="6" t="str">
        <f>IFERROR(__xludf.DUMMYFUNCTION("""COMPUTED_VALUE"""),"MFH")</f>
        <v>MFH</v>
      </c>
      <c r="J1819" s="6" t="str">
        <f>IFERROR(__xludf.DUMMYFUNCTION("""COMPUTED_VALUE"""),"AHU")</f>
        <v>AHU</v>
      </c>
      <c r="K1819" s="6" t="str">
        <f>IFERROR(__xludf.DUMMYFUNCTION("""COMPUTED_VALUE"""),"SPR/03/25/030")</f>
        <v>SPR/03/25/030</v>
      </c>
      <c r="L1819" s="13">
        <f>IFERROR(__xludf.DUMMYFUNCTION("""COMPUTED_VALUE"""),45722.0)</f>
        <v>45722</v>
      </c>
    </row>
    <row r="1820">
      <c r="A1820" s="6" t="str">
        <f>IFERROR(__xludf.DUMMYFUNCTION("""COMPUTED_VALUE"""),"MOB")</f>
        <v>MOB</v>
      </c>
      <c r="B1820" s="6" t="str">
        <f>IFERROR(__xludf.DUMMYFUNCTION("""COMPUTED_VALUE"""),"ENG")</f>
        <v>ENG</v>
      </c>
      <c r="C1820" s="6" t="str">
        <f>IFERROR(__xludf.DUMMYFUNCTION("""COMPUTED_VALUE"""),"S-40645-00")</f>
        <v>S-40645-00</v>
      </c>
      <c r="D1820" s="6" t="str">
        <f>IFERROR(__xludf.DUMMYFUNCTION("""COMPUTED_VALUE"""),"Cable Ties, 200 x 4.8 mm; SIGMA; CS 200L; Putih;100 pcs/pack")</f>
        <v>Cable Ties, 200 x 4.8 mm; SIGMA; CS 200L; Putih;100 pcs/pack</v>
      </c>
      <c r="E1820" s="6">
        <f>IFERROR(__xludf.DUMMYFUNCTION("""COMPUTED_VALUE"""),1.0)</f>
        <v>1</v>
      </c>
      <c r="F1820" s="6">
        <f>IFERROR(__xludf.DUMMYFUNCTION("""COMPUTED_VALUE"""),1.0)</f>
        <v>1</v>
      </c>
      <c r="G1820" s="6">
        <f>IFERROR(__xludf.DUMMYFUNCTION("""COMPUTED_VALUE"""),0.0)</f>
        <v>0</v>
      </c>
      <c r="H1820" s="6" t="str">
        <f>IFERROR(__xludf.DUMMYFUNCTION("""COMPUTED_VALUE"""),"Pcs")</f>
        <v>Pcs</v>
      </c>
      <c r="I1820" s="6" t="str">
        <f>IFERROR(__xludf.DUMMYFUNCTION("""COMPUTED_VALUE"""),"MFH")</f>
        <v>MFH</v>
      </c>
      <c r="J1820" s="6" t="str">
        <f>IFERROR(__xludf.DUMMYFUNCTION("""COMPUTED_VALUE"""),"-")</f>
        <v>-</v>
      </c>
      <c r="K1820" s="6" t="str">
        <f>IFERROR(__xludf.DUMMYFUNCTION("""COMPUTED_VALUE"""),"SPR/03/25/031")</f>
        <v>SPR/03/25/031</v>
      </c>
      <c r="L1820" s="13">
        <f>IFERROR(__xludf.DUMMYFUNCTION("""COMPUTED_VALUE"""),45722.0)</f>
        <v>45722</v>
      </c>
    </row>
    <row r="1821">
      <c r="A1821" s="6" t="str">
        <f>IFERROR(__xludf.DUMMYFUNCTION("""COMPUTED_VALUE"""),"SFH")</f>
        <v>SFH</v>
      </c>
      <c r="B1821" s="6" t="str">
        <f>IFERROR(__xludf.DUMMYFUNCTION("""COMPUTED_VALUE"""),"ENG")</f>
        <v>ENG</v>
      </c>
      <c r="C1821" s="6" t="str">
        <f>IFERROR(__xludf.DUMMYFUNCTION("""COMPUTED_VALUE"""),"P-12433-00")</f>
        <v>P-12433-00</v>
      </c>
      <c r="D1821" s="6" t="str">
        <f>IFERROR(__xludf.DUMMYFUNCTION("""COMPUTED_VALUE"""),"Isolasi AC- Sansui")</f>
        <v>Isolasi AC- Sansui</v>
      </c>
      <c r="E1821" s="6">
        <f>IFERROR(__xludf.DUMMYFUNCTION("""COMPUTED_VALUE"""),1.0)</f>
        <v>1</v>
      </c>
      <c r="F1821" s="6">
        <f>IFERROR(__xludf.DUMMYFUNCTION("""COMPUTED_VALUE"""),1.0)</f>
        <v>1</v>
      </c>
      <c r="G1821" s="6">
        <f>IFERROR(__xludf.DUMMYFUNCTION("""COMPUTED_VALUE"""),0.0)</f>
        <v>0</v>
      </c>
      <c r="H1821" s="6" t="str">
        <f>IFERROR(__xludf.DUMMYFUNCTION("""COMPUTED_VALUE"""),"pcs")</f>
        <v>pcs</v>
      </c>
      <c r="I1821" s="6" t="str">
        <f>IFERROR(__xludf.DUMMYFUNCTION("""COMPUTED_VALUE"""),"MFH")</f>
        <v>MFH</v>
      </c>
      <c r="J1821" s="6" t="str">
        <f>IFERROR(__xludf.DUMMYFUNCTION("""COMPUTED_VALUE"""),"Building")</f>
        <v>Building</v>
      </c>
      <c r="K1821" s="6" t="str">
        <f>IFERROR(__xludf.DUMMYFUNCTION("""COMPUTED_VALUE"""),"SPR/03/25/032")</f>
        <v>SPR/03/25/032</v>
      </c>
      <c r="L1821" s="13">
        <f>IFERROR(__xludf.DUMMYFUNCTION("""COMPUTED_VALUE"""),45722.0)</f>
        <v>45722</v>
      </c>
    </row>
    <row r="1822">
      <c r="A1822" s="6" t="str">
        <f>IFERROR(__xludf.DUMMYFUNCTION("""COMPUTED_VALUE"""),"ROS")</f>
        <v>ROS</v>
      </c>
      <c r="B1822" s="6" t="str">
        <f>IFERROR(__xludf.DUMMYFUNCTION("""COMPUTED_VALUE"""),"ENG")</f>
        <v>ENG</v>
      </c>
      <c r="C1822" s="6" t="str">
        <f>IFERROR(__xludf.DUMMYFUNCTION("""COMPUTED_VALUE"""),"O-16033-00")</f>
        <v>O-16033-00</v>
      </c>
      <c r="D182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822" s="6">
        <f>IFERROR(__xludf.DUMMYFUNCTION("""COMPUTED_VALUE"""),2.0)</f>
        <v>2</v>
      </c>
      <c r="F1822" s="6">
        <f>IFERROR(__xludf.DUMMYFUNCTION("""COMPUTED_VALUE"""),2.0)</f>
        <v>2</v>
      </c>
      <c r="G1822" s="6">
        <f>IFERROR(__xludf.DUMMYFUNCTION("""COMPUTED_VALUE"""),0.0)</f>
        <v>0</v>
      </c>
      <c r="H1822" s="6" t="str">
        <f>IFERROR(__xludf.DUMMYFUNCTION("""COMPUTED_VALUE"""),"Pcs")</f>
        <v>Pcs</v>
      </c>
      <c r="I1822" s="6" t="str">
        <f>IFERROR(__xludf.DUMMYFUNCTION("""COMPUTED_VALUE"""),"MFH")</f>
        <v>MFH</v>
      </c>
      <c r="J1822" s="6" t="str">
        <f>IFERROR(__xludf.DUMMYFUNCTION("""COMPUTED_VALUE"""),"Building")</f>
        <v>Building</v>
      </c>
      <c r="K1822" s="6" t="str">
        <f>IFERROR(__xludf.DUMMYFUNCTION("""COMPUTED_VALUE"""),"SPR/03/25/033")</f>
        <v>SPR/03/25/033</v>
      </c>
      <c r="L1822" s="13">
        <f>IFERROR(__xludf.DUMMYFUNCTION("""COMPUTED_VALUE"""),45722.0)</f>
        <v>45722</v>
      </c>
    </row>
    <row r="1823">
      <c r="A1823" s="6" t="str">
        <f>IFERROR(__xludf.DUMMYFUNCTION("""COMPUTED_VALUE"""),"AAA")</f>
        <v>AAA</v>
      </c>
      <c r="B1823" s="6" t="str">
        <f>IFERROR(__xludf.DUMMYFUNCTION("""COMPUTED_VALUE"""),"ENG")</f>
        <v>ENG</v>
      </c>
      <c r="C1823" s="6" t="str">
        <f>IFERROR(__xludf.DUMMYFUNCTION("""COMPUTED_VALUE"""),"P-52590-00")</f>
        <v>P-52590-00</v>
      </c>
      <c r="D1823" s="6" t="str">
        <f>IFERROR(__xludf.DUMMYFUNCTION("""COMPUTED_VALUE"""),"Heater Duchting DIA.11.2 x 300mm 220 V 5000 W; ; ;")</f>
        <v>Heater Duchting DIA.11.2 x 300mm 220 V 5000 W; ; ;</v>
      </c>
      <c r="E1823" s="6">
        <f>IFERROR(__xludf.DUMMYFUNCTION("""COMPUTED_VALUE"""),2.0)</f>
        <v>2</v>
      </c>
      <c r="F1823" s="6">
        <f>IFERROR(__xludf.DUMMYFUNCTION("""COMPUTED_VALUE"""),2.0)</f>
        <v>2</v>
      </c>
      <c r="G1823" s="6">
        <f>IFERROR(__xludf.DUMMYFUNCTION("""COMPUTED_VALUE"""),0.0)</f>
        <v>0</v>
      </c>
      <c r="H1823" s="6" t="str">
        <f>IFERROR(__xludf.DUMMYFUNCTION("""COMPUTED_VALUE"""),"Pcs")</f>
        <v>Pcs</v>
      </c>
      <c r="I1823" s="6" t="str">
        <f>IFERROR(__xludf.DUMMYFUNCTION("""COMPUTED_VALUE"""),"MFH")</f>
        <v>MFH</v>
      </c>
      <c r="J1823" s="6" t="str">
        <f>IFERROR(__xludf.DUMMYFUNCTION("""COMPUTED_VALUE"""),"Tunnel")</f>
        <v>Tunnel</v>
      </c>
      <c r="K1823" s="6" t="str">
        <f>IFERROR(__xludf.DUMMYFUNCTION("""COMPUTED_VALUE"""),"SPR/03/25/034")</f>
        <v>SPR/03/25/034</v>
      </c>
      <c r="L1823" s="13">
        <f>IFERROR(__xludf.DUMMYFUNCTION("""COMPUTED_VALUE"""),45743.0)</f>
        <v>45743</v>
      </c>
    </row>
    <row r="1824">
      <c r="A1824" s="6" t="str">
        <f>IFERROR(__xludf.DUMMYFUNCTION("""COMPUTED_VALUE"""),"DDN")</f>
        <v>DDN</v>
      </c>
      <c r="B1824" s="6" t="str">
        <f>IFERROR(__xludf.DUMMYFUNCTION("""COMPUTED_VALUE"""),"PRO")</f>
        <v>PRO</v>
      </c>
      <c r="C1824" s="6" t="str">
        <f>IFERROR(__xludf.DUMMYFUNCTION("""COMPUTED_VALUE"""),"O-16033-00")</f>
        <v>O-16033-00</v>
      </c>
      <c r="D182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824" s="6">
        <f>IFERROR(__xludf.DUMMYFUNCTION("""COMPUTED_VALUE"""),2.0)</f>
        <v>2</v>
      </c>
      <c r="F1824" s="6">
        <f>IFERROR(__xludf.DUMMYFUNCTION("""COMPUTED_VALUE"""),2.0)</f>
        <v>2</v>
      </c>
      <c r="G1824" s="6">
        <f>IFERROR(__xludf.DUMMYFUNCTION("""COMPUTED_VALUE"""),0.0)</f>
        <v>0</v>
      </c>
      <c r="H1824" s="6" t="str">
        <f>IFERROR(__xludf.DUMMYFUNCTION("""COMPUTED_VALUE"""),"Pcs")</f>
        <v>Pcs</v>
      </c>
      <c r="I1824" s="6" t="str">
        <f>IFERROR(__xludf.DUMMYFUNCTION("""COMPUTED_VALUE"""),"MFH")</f>
        <v>MFH</v>
      </c>
      <c r="J1824" s="6" t="str">
        <f>IFERROR(__xludf.DUMMYFUNCTION("""COMPUTED_VALUE"""),"-")</f>
        <v>-</v>
      </c>
      <c r="K1824" s="6" t="str">
        <f>IFERROR(__xludf.DUMMYFUNCTION("""COMPUTED_VALUE"""),"SPR/03/25/035")</f>
        <v>SPR/03/25/035</v>
      </c>
      <c r="L1824" s="13">
        <f>IFERROR(__xludf.DUMMYFUNCTION("""COMPUTED_VALUE"""),45743.0)</f>
        <v>45743</v>
      </c>
    </row>
    <row r="1825">
      <c r="A1825" s="6" t="str">
        <f>IFERROR(__xludf.DUMMYFUNCTION("""COMPUTED_VALUE"""),"ROS")</f>
        <v>ROS</v>
      </c>
      <c r="B1825" s="6" t="str">
        <f>IFERROR(__xludf.DUMMYFUNCTION("""COMPUTED_VALUE"""),"ENG")</f>
        <v>ENG</v>
      </c>
      <c r="C1825" s="6" t="str">
        <f>IFERROR(__xludf.DUMMYFUNCTION("""COMPUTED_VALUE"""),"Q-10249-00")</f>
        <v>Q-10249-00</v>
      </c>
      <c r="D1825" s="6" t="str">
        <f>IFERROR(__xludf.DUMMYFUNCTION("""COMPUTED_VALUE"""),"Lem Power Glue")</f>
        <v>Lem Power Glue</v>
      </c>
      <c r="E1825" s="6">
        <f>IFERROR(__xludf.DUMMYFUNCTION("""COMPUTED_VALUE"""),1.0)</f>
        <v>1</v>
      </c>
      <c r="F1825" s="6">
        <f>IFERROR(__xludf.DUMMYFUNCTION("""COMPUTED_VALUE"""),1.0)</f>
        <v>1</v>
      </c>
      <c r="G1825" s="6">
        <f>IFERROR(__xludf.DUMMYFUNCTION("""COMPUTED_VALUE"""),0.0)</f>
        <v>0</v>
      </c>
      <c r="H1825" s="6" t="str">
        <f>IFERROR(__xludf.DUMMYFUNCTION("""COMPUTED_VALUE"""),"Pcs")</f>
        <v>Pcs</v>
      </c>
      <c r="I1825" s="6" t="str">
        <f>IFERROR(__xludf.DUMMYFUNCTION("""COMPUTED_VALUE"""),"MFH")</f>
        <v>MFH</v>
      </c>
      <c r="J1825" s="6" t="str">
        <f>IFERROR(__xludf.DUMMYFUNCTION("""COMPUTED_VALUE"""),"Tableting")</f>
        <v>Tableting</v>
      </c>
      <c r="K1825" s="6" t="str">
        <f>IFERROR(__xludf.DUMMYFUNCTION("""COMPUTED_VALUE"""),"SPR/03/25/036")</f>
        <v>SPR/03/25/036</v>
      </c>
      <c r="L1825" s="13">
        <f>IFERROR(__xludf.DUMMYFUNCTION("""COMPUTED_VALUE"""),45743.0)</f>
        <v>45743</v>
      </c>
    </row>
    <row r="1826">
      <c r="A1826" s="6" t="str">
        <f>IFERROR(__xludf.DUMMYFUNCTION("""COMPUTED_VALUE"""),"MRA")</f>
        <v>MRA</v>
      </c>
      <c r="B1826" s="6" t="str">
        <f>IFERROR(__xludf.DUMMYFUNCTION("""COMPUTED_VALUE"""),"ENG")</f>
        <v>ENG</v>
      </c>
      <c r="C1826" s="6" t="str">
        <f>IFERROR(__xludf.DUMMYFUNCTION("""COMPUTED_VALUE"""),"Q-10984-00")</f>
        <v>Q-10984-00</v>
      </c>
      <c r="D1826" s="6" t="str">
        <f>IFERROR(__xludf.DUMMYFUNCTION("""COMPUTED_VALUE"""),"Door Seal Karet Penutup Bawah Pintu Abu 2,5 cm x 1 M; ; ;")</f>
        <v>Door Seal Karet Penutup Bawah Pintu Abu 2,5 cm x 1 M; ; ;</v>
      </c>
      <c r="E1826" s="6">
        <f>IFERROR(__xludf.DUMMYFUNCTION("""COMPUTED_VALUE"""),1.0)</f>
        <v>1</v>
      </c>
      <c r="F1826" s="6">
        <f>IFERROR(__xludf.DUMMYFUNCTION("""COMPUTED_VALUE"""),1.0)</f>
        <v>1</v>
      </c>
      <c r="G1826" s="6">
        <f>IFERROR(__xludf.DUMMYFUNCTION("""COMPUTED_VALUE"""),0.0)</f>
        <v>0</v>
      </c>
      <c r="H1826" s="6" t="str">
        <f>IFERROR(__xludf.DUMMYFUNCTION("""COMPUTED_VALUE"""),"Pcs")</f>
        <v>Pcs</v>
      </c>
      <c r="I1826" s="6" t="str">
        <f>IFERROR(__xludf.DUMMYFUNCTION("""COMPUTED_VALUE"""),"MFH")</f>
        <v>MFH</v>
      </c>
      <c r="J1826" s="6" t="str">
        <f>IFERROR(__xludf.DUMMYFUNCTION("""COMPUTED_VALUE"""),"Building")</f>
        <v>Building</v>
      </c>
      <c r="K1826" s="6" t="str">
        <f>IFERROR(__xludf.DUMMYFUNCTION("""COMPUTED_VALUE"""),"SPR/03/25/037")</f>
        <v>SPR/03/25/037</v>
      </c>
      <c r="L1826" s="13">
        <f>IFERROR(__xludf.DUMMYFUNCTION("""COMPUTED_VALUE"""),45743.0)</f>
        <v>45743</v>
      </c>
    </row>
    <row r="1827">
      <c r="A1827" s="6" t="str">
        <f>IFERROR(__xludf.DUMMYFUNCTION("""COMPUTED_VALUE"""),"MRM")</f>
        <v>MRM</v>
      </c>
      <c r="B1827" s="6" t="str">
        <f>IFERROR(__xludf.DUMMYFUNCTION("""COMPUTED_VALUE"""),"ENG")</f>
        <v>ENG</v>
      </c>
      <c r="C1827" s="6" t="str">
        <f>IFERROR(__xludf.DUMMYFUNCTION("""COMPUTED_VALUE"""),"O-15931-00")</f>
        <v>O-15931-00</v>
      </c>
      <c r="D1827" s="6" t="str">
        <f>IFERROR(__xludf.DUMMYFUNCTION("""COMPUTED_VALUE"""),"Double Tape 3M 1"" Merah - P/N : - pc")</f>
        <v>Double Tape 3M 1" Merah - P/N : - pc</v>
      </c>
      <c r="E1827" s="6">
        <f>IFERROR(__xludf.DUMMYFUNCTION("""COMPUTED_VALUE"""),1.0)</f>
        <v>1</v>
      </c>
      <c r="F1827" s="6">
        <f>IFERROR(__xludf.DUMMYFUNCTION("""COMPUTED_VALUE"""),1.0)</f>
        <v>1</v>
      </c>
      <c r="G1827" s="6">
        <f>IFERROR(__xludf.DUMMYFUNCTION("""COMPUTED_VALUE"""),0.0)</f>
        <v>0</v>
      </c>
      <c r="H1827" s="6" t="str">
        <f>IFERROR(__xludf.DUMMYFUNCTION("""COMPUTED_VALUE"""),"Pcs")</f>
        <v>Pcs</v>
      </c>
      <c r="I1827" s="6" t="str">
        <f>IFERROR(__xludf.DUMMYFUNCTION("""COMPUTED_VALUE"""),"MFH")</f>
        <v>MFH</v>
      </c>
      <c r="J1827" s="6" t="str">
        <f>IFERROR(__xludf.DUMMYFUNCTION("""COMPUTED_VALUE"""),"Building")</f>
        <v>Building</v>
      </c>
      <c r="K1827" s="6" t="str">
        <f>IFERROR(__xludf.DUMMYFUNCTION("""COMPUTED_VALUE"""),"SPR/03/25/038")</f>
        <v>SPR/03/25/038</v>
      </c>
      <c r="L1827" s="13">
        <f>IFERROR(__xludf.DUMMYFUNCTION("""COMPUTED_VALUE"""),45743.0)</f>
        <v>45743</v>
      </c>
    </row>
    <row r="1828">
      <c r="A1828" s="6" t="str">
        <f>IFERROR(__xludf.DUMMYFUNCTION("""COMPUTED_VALUE"""),"MRM")</f>
        <v>MRM</v>
      </c>
      <c r="B1828" s="6" t="str">
        <f>IFERROR(__xludf.DUMMYFUNCTION("""COMPUTED_VALUE"""),"ENG")</f>
        <v>ENG</v>
      </c>
      <c r="C1828" s="6" t="str">
        <f>IFERROR(__xludf.DUMMYFUNCTION("""COMPUTED_VALUE"""),"P-19484-00")</f>
        <v>P-19484-00</v>
      </c>
      <c r="D1828" s="6" t="str">
        <f>IFERROR(__xludf.DUMMYFUNCTION("""COMPUTED_VALUE"""),"General - Sliding Pintu Lift Barang Uk. 50 x 32 mm; Custom/Lokal; -; 1 Pc")</f>
        <v>General - Sliding Pintu Lift Barang Uk. 50 x 32 mm; Custom/Lokal; -; 1 Pc</v>
      </c>
      <c r="E1828" s="6">
        <f>IFERROR(__xludf.DUMMYFUNCTION("""COMPUTED_VALUE"""),4.0)</f>
        <v>4</v>
      </c>
      <c r="F1828" s="6">
        <f>IFERROR(__xludf.DUMMYFUNCTION("""COMPUTED_VALUE"""),4.0)</f>
        <v>4</v>
      </c>
      <c r="G1828" s="6">
        <f>IFERROR(__xludf.DUMMYFUNCTION("""COMPUTED_VALUE"""),0.0)</f>
        <v>0</v>
      </c>
      <c r="H1828" s="6" t="str">
        <f>IFERROR(__xludf.DUMMYFUNCTION("""COMPUTED_VALUE"""),"Pcs")</f>
        <v>Pcs</v>
      </c>
      <c r="I1828" s="6" t="str">
        <f>IFERROR(__xludf.DUMMYFUNCTION("""COMPUTED_VALUE"""),"MFH")</f>
        <v>MFH</v>
      </c>
      <c r="J1828" s="6" t="str">
        <f>IFERROR(__xludf.DUMMYFUNCTION("""COMPUTED_VALUE"""),"Deep Freezer")</f>
        <v>Deep Freezer</v>
      </c>
      <c r="K1828" s="6" t="str">
        <f>IFERROR(__xludf.DUMMYFUNCTION("""COMPUTED_VALUE"""),"SPR/03/25/038")</f>
        <v>SPR/03/25/038</v>
      </c>
      <c r="L1828" s="13">
        <f>IFERROR(__xludf.DUMMYFUNCTION("""COMPUTED_VALUE"""),45743.0)</f>
        <v>45743</v>
      </c>
    </row>
    <row r="1829">
      <c r="A1829" s="6" t="str">
        <f>IFERROR(__xludf.DUMMYFUNCTION("""COMPUTED_VALUE"""),"CAS")</f>
        <v>CAS</v>
      </c>
      <c r="B1829" s="6" t="str">
        <f>IFERROR(__xludf.DUMMYFUNCTION("""COMPUTED_VALUE"""),"QAS")</f>
        <v>QAS</v>
      </c>
      <c r="C1829" s="6" t="str">
        <f>IFERROR(__xludf.DUMMYFUNCTION("""COMPUTED_VALUE"""),"P-51027-00")</f>
        <v>P-51027-00</v>
      </c>
      <c r="D182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829" s="6">
        <f>IFERROR(__xludf.DUMMYFUNCTION("""COMPUTED_VALUE"""),1.0)</f>
        <v>1</v>
      </c>
      <c r="F1829" s="6">
        <f>IFERROR(__xludf.DUMMYFUNCTION("""COMPUTED_VALUE"""),1.0)</f>
        <v>1</v>
      </c>
      <c r="G1829" s="6">
        <f>IFERROR(__xludf.DUMMYFUNCTION("""COMPUTED_VALUE"""),0.0)</f>
        <v>0</v>
      </c>
      <c r="H1829" s="6" t="str">
        <f>IFERROR(__xludf.DUMMYFUNCTION("""COMPUTED_VALUE"""),"Pcs")</f>
        <v>Pcs</v>
      </c>
      <c r="I1829" s="6" t="str">
        <f>IFERROR(__xludf.DUMMYFUNCTION("""COMPUTED_VALUE"""),"MFH")</f>
        <v>MFH</v>
      </c>
      <c r="J1829" s="6" t="str">
        <f>IFERROR(__xludf.DUMMYFUNCTION("""COMPUTED_VALUE"""),"-")</f>
        <v>-</v>
      </c>
      <c r="K1829" s="6" t="str">
        <f>IFERROR(__xludf.DUMMYFUNCTION("""COMPUTED_VALUE"""),"SPR/03/25/039")</f>
        <v>SPR/03/25/039</v>
      </c>
      <c r="L1829" s="13">
        <f>IFERROR(__xludf.DUMMYFUNCTION("""COMPUTED_VALUE"""),45743.0)</f>
        <v>45743</v>
      </c>
    </row>
    <row r="1830">
      <c r="A1830" s="6" t="str">
        <f>IFERROR(__xludf.DUMMYFUNCTION("""COMPUTED_VALUE"""),"MOB")</f>
        <v>MOB</v>
      </c>
      <c r="B1830" s="6" t="str">
        <f>IFERROR(__xludf.DUMMYFUNCTION("""COMPUTED_VALUE"""),"ENG")</f>
        <v>ENG</v>
      </c>
      <c r="C1830" s="6" t="str">
        <f>IFERROR(__xludf.DUMMYFUNCTION("""COMPUTED_VALUE"""),"P-15862-00")</f>
        <v>P-15862-00</v>
      </c>
      <c r="D1830" s="6" t="str">
        <f>IFERROR(__xludf.DUMMYFUNCTION("""COMPUTED_VALUE"""),"PAPER RECORD YOKOGAWA; FOLDING CHART B9565AW")</f>
        <v>PAPER RECORD YOKOGAWA; FOLDING CHART B9565AW</v>
      </c>
      <c r="E1830" s="6">
        <f>IFERROR(__xludf.DUMMYFUNCTION("""COMPUTED_VALUE"""),1.0)</f>
        <v>1</v>
      </c>
      <c r="F1830" s="6">
        <f>IFERROR(__xludf.DUMMYFUNCTION("""COMPUTED_VALUE"""),1.0)</f>
        <v>1</v>
      </c>
      <c r="G1830" s="6">
        <f>IFERROR(__xludf.DUMMYFUNCTION("""COMPUTED_VALUE"""),0.0)</f>
        <v>0</v>
      </c>
      <c r="H1830" s="6" t="str">
        <f>IFERROR(__xludf.DUMMYFUNCTION("""COMPUTED_VALUE"""),"Pcs")</f>
        <v>Pcs</v>
      </c>
      <c r="I1830" s="6" t="str">
        <f>IFERROR(__xludf.DUMMYFUNCTION("""COMPUTED_VALUE"""),"MFH")</f>
        <v>MFH</v>
      </c>
      <c r="J1830" s="6" t="str">
        <f>IFERROR(__xludf.DUMMYFUNCTION("""COMPUTED_VALUE"""),"PSG")</f>
        <v>PSG</v>
      </c>
      <c r="K1830" s="6" t="str">
        <f>IFERROR(__xludf.DUMMYFUNCTION("""COMPUTED_VALUE"""),"SPR/03/25/040")</f>
        <v>SPR/03/25/040</v>
      </c>
      <c r="L1830" s="13">
        <f>IFERROR(__xludf.DUMMYFUNCTION("""COMPUTED_VALUE"""),45743.0)</f>
        <v>45743</v>
      </c>
    </row>
    <row r="1831">
      <c r="A1831" s="6" t="str">
        <f>IFERROR(__xludf.DUMMYFUNCTION("""COMPUTED_VALUE"""),"ANO")</f>
        <v>ANO</v>
      </c>
      <c r="B1831" s="6" t="str">
        <f>IFERROR(__xludf.DUMMYFUNCTION("""COMPUTED_VALUE"""),"ENG")</f>
        <v>ENG</v>
      </c>
      <c r="C1831" s="6" t="str">
        <f>IFERROR(__xludf.DUMMYFUNCTION("""COMPUTED_VALUE"""),"O-16647-00")</f>
        <v>O-16647-00</v>
      </c>
      <c r="D1831" s="6" t="str">
        <f>IFERROR(__xludf.DUMMYFUNCTION("""COMPUTED_VALUE"""),"Washing RAR4 - Oring Silicone Merah 23x18x2.5 mm; ; ;")</f>
        <v>Washing RAR4 - Oring Silicone Merah 23x18x2.5 mm; ; ;</v>
      </c>
      <c r="E1831" s="6">
        <f>IFERROR(__xludf.DUMMYFUNCTION("""COMPUTED_VALUE"""),10.0)</f>
        <v>10</v>
      </c>
      <c r="F1831" s="6">
        <f>IFERROR(__xludf.DUMMYFUNCTION("""COMPUTED_VALUE"""),10.0)</f>
        <v>10</v>
      </c>
      <c r="G1831" s="6">
        <f>IFERROR(__xludf.DUMMYFUNCTION("""COMPUTED_VALUE"""),0.0)</f>
        <v>0</v>
      </c>
      <c r="H1831" s="6" t="str">
        <f>IFERROR(__xludf.DUMMYFUNCTION("""COMPUTED_VALUE"""),"Pcs")</f>
        <v>Pcs</v>
      </c>
      <c r="I1831" s="6" t="str">
        <f>IFERROR(__xludf.DUMMYFUNCTION("""COMPUTED_VALUE"""),"MFH")</f>
        <v>MFH</v>
      </c>
      <c r="J1831" s="6" t="str">
        <f>IFERROR(__xludf.DUMMYFUNCTION("""COMPUTED_VALUE"""),"Capping")</f>
        <v>Capping</v>
      </c>
      <c r="K1831" s="6" t="str">
        <f>IFERROR(__xludf.DUMMYFUNCTION("""COMPUTED_VALUE"""),"SPR/03/25/041")</f>
        <v>SPR/03/25/041</v>
      </c>
      <c r="L1831" s="13">
        <f>IFERROR(__xludf.DUMMYFUNCTION("""COMPUTED_VALUE"""),45743.0)</f>
        <v>45743</v>
      </c>
    </row>
    <row r="1832">
      <c r="A1832" s="6" t="str">
        <f>IFERROR(__xludf.DUMMYFUNCTION("""COMPUTED_VALUE"""),"ANO")</f>
        <v>ANO</v>
      </c>
      <c r="B1832" s="6" t="str">
        <f>IFERROR(__xludf.DUMMYFUNCTION("""COMPUTED_VALUE"""),"ENG")</f>
        <v>ENG</v>
      </c>
      <c r="C1832" s="6" t="str">
        <f>IFERROR(__xludf.DUMMYFUNCTION("""COMPUTED_VALUE"""),"-")</f>
        <v>-</v>
      </c>
      <c r="D1832" s="6" t="str">
        <f>IFERROR(__xludf.DUMMYFUNCTION("""COMPUTED_VALUE"""),"Neddle EDM CA")</f>
        <v>Neddle EDM CA</v>
      </c>
      <c r="E1832" s="6">
        <f>IFERROR(__xludf.DUMMYFUNCTION("""COMPUTED_VALUE"""),1.0)</f>
        <v>1</v>
      </c>
      <c r="F1832" s="6">
        <f>IFERROR(__xludf.DUMMYFUNCTION("""COMPUTED_VALUE"""),1.0)</f>
        <v>1</v>
      </c>
      <c r="G1832" s="6">
        <f>IFERROR(__xludf.DUMMYFUNCTION("""COMPUTED_VALUE"""),0.0)</f>
        <v>0</v>
      </c>
      <c r="H1832" s="6" t="str">
        <f>IFERROR(__xludf.DUMMYFUNCTION("""COMPUTED_VALUE"""),"Pcs")</f>
        <v>Pcs</v>
      </c>
      <c r="I1832" s="6" t="str">
        <f>IFERROR(__xludf.DUMMYFUNCTION("""COMPUTED_VALUE"""),"MFH")</f>
        <v>MFH</v>
      </c>
      <c r="J1832" s="6" t="str">
        <f>IFERROR(__xludf.DUMMYFUNCTION("""COMPUTED_VALUE"""),"-")</f>
        <v>-</v>
      </c>
      <c r="K1832" s="6" t="str">
        <f>IFERROR(__xludf.DUMMYFUNCTION("""COMPUTED_VALUE"""),"SPR/03/25/041")</f>
        <v>SPR/03/25/041</v>
      </c>
      <c r="L1832" s="13">
        <f>IFERROR(__xludf.DUMMYFUNCTION("""COMPUTED_VALUE"""),45743.0)</f>
        <v>45743</v>
      </c>
    </row>
    <row r="1833">
      <c r="A1833" s="6" t="str">
        <f>IFERROR(__xludf.DUMMYFUNCTION("""COMPUTED_VALUE"""),"ANO")</f>
        <v>ANO</v>
      </c>
      <c r="B1833" s="6" t="str">
        <f>IFERROR(__xludf.DUMMYFUNCTION("""COMPUTED_VALUE"""),"ENG")</f>
        <v>ENG</v>
      </c>
      <c r="C1833" s="6" t="str">
        <f>IFERROR(__xludf.DUMMYFUNCTION("""COMPUTED_VALUE"""),"O-14616-00")</f>
        <v>O-14616-00</v>
      </c>
      <c r="D1833" s="6" t="str">
        <f>IFERROR(__xludf.DUMMYFUNCTION("""COMPUTED_VALUE"""),"Black arm system for Rotating")</f>
        <v>Black arm system for Rotating</v>
      </c>
      <c r="E1833" s="6">
        <f>IFERROR(__xludf.DUMMYFUNCTION("""COMPUTED_VALUE"""),1.0)</f>
        <v>1</v>
      </c>
      <c r="F1833" s="6">
        <f>IFERROR(__xludf.DUMMYFUNCTION("""COMPUTED_VALUE"""),1.0)</f>
        <v>1</v>
      </c>
      <c r="G1833" s="6">
        <f>IFERROR(__xludf.DUMMYFUNCTION("""COMPUTED_VALUE"""),0.0)</f>
        <v>0</v>
      </c>
      <c r="H1833" s="6" t="str">
        <f>IFERROR(__xludf.DUMMYFUNCTION("""COMPUTED_VALUE"""),"Pcs")</f>
        <v>Pcs</v>
      </c>
      <c r="I1833" s="6" t="str">
        <f>IFERROR(__xludf.DUMMYFUNCTION("""COMPUTED_VALUE"""),"MFH")</f>
        <v>MFH</v>
      </c>
      <c r="J1833" s="6" t="str">
        <f>IFERROR(__xludf.DUMMYFUNCTION("""COMPUTED_VALUE"""),"Washing")</f>
        <v>Washing</v>
      </c>
      <c r="K1833" s="6" t="str">
        <f>IFERROR(__xludf.DUMMYFUNCTION("""COMPUTED_VALUE"""),"SPR/03/25/041")</f>
        <v>SPR/03/25/041</v>
      </c>
      <c r="L1833" s="13">
        <f>IFERROR(__xludf.DUMMYFUNCTION("""COMPUTED_VALUE"""),45743.0)</f>
        <v>45743</v>
      </c>
    </row>
    <row r="1834">
      <c r="A1834" s="6" t="str">
        <f>IFERROR(__xludf.DUMMYFUNCTION("""COMPUTED_VALUE"""),"MRN")</f>
        <v>MRN</v>
      </c>
      <c r="B1834" s="6" t="str">
        <f>IFERROR(__xludf.DUMMYFUNCTION("""COMPUTED_VALUE"""),"ENG")</f>
        <v>ENG</v>
      </c>
      <c r="C1834" s="6" t="str">
        <f>IFERROR(__xludf.DUMMYFUNCTION("""COMPUTED_VALUE"""),"P-51559-00")</f>
        <v>P-51559-00</v>
      </c>
      <c r="D1834" s="6" t="str">
        <f>IFERROR(__xludf.DUMMYFUNCTION("""COMPUTED_VALUE"""),"Lampu T5 14watt Putih; Phillips; ;")</f>
        <v>Lampu T5 14watt Putih; Phillips; ;</v>
      </c>
      <c r="E1834" s="6">
        <f>IFERROR(__xludf.DUMMYFUNCTION("""COMPUTED_VALUE"""),6.0)</f>
        <v>6</v>
      </c>
      <c r="F1834" s="6">
        <f>IFERROR(__xludf.DUMMYFUNCTION("""COMPUTED_VALUE"""),6.0)</f>
        <v>6</v>
      </c>
      <c r="G1834" s="6">
        <f>IFERROR(__xludf.DUMMYFUNCTION("""COMPUTED_VALUE"""),0.0)</f>
        <v>0</v>
      </c>
      <c r="H1834" s="6" t="str">
        <f>IFERROR(__xludf.DUMMYFUNCTION("""COMPUTED_VALUE"""),"Pcs")</f>
        <v>Pcs</v>
      </c>
      <c r="I1834" s="6" t="str">
        <f>IFERROR(__xludf.DUMMYFUNCTION("""COMPUTED_VALUE"""),"MFH")</f>
        <v>MFH</v>
      </c>
      <c r="J1834" s="6" t="str">
        <f>IFERROR(__xludf.DUMMYFUNCTION("""COMPUTED_VALUE"""),"Building")</f>
        <v>Building</v>
      </c>
      <c r="K1834" s="6" t="str">
        <f>IFERROR(__xludf.DUMMYFUNCTION("""COMPUTED_VALUE"""),"SPR/03/25/042")</f>
        <v>SPR/03/25/042</v>
      </c>
      <c r="L1834" s="13">
        <f>IFERROR(__xludf.DUMMYFUNCTION("""COMPUTED_VALUE"""),45743.0)</f>
        <v>45743</v>
      </c>
    </row>
    <row r="1835">
      <c r="A1835" s="6" t="str">
        <f>IFERROR(__xludf.DUMMYFUNCTION("""COMPUTED_VALUE"""),"MRN")</f>
        <v>MRN</v>
      </c>
      <c r="B1835" s="6" t="str">
        <f>IFERROR(__xludf.DUMMYFUNCTION("""COMPUTED_VALUE"""),"ENG")</f>
        <v>ENG</v>
      </c>
      <c r="C1835" s="6" t="str">
        <f>IFERROR(__xludf.DUMMYFUNCTION("""COMPUTED_VALUE"""),"P-51560-00")</f>
        <v>P-51560-00</v>
      </c>
      <c r="D1835" s="6" t="str">
        <f>IFERROR(__xludf.DUMMYFUNCTION("""COMPUTED_VALUE"""),"Lampu T5 28watt Putih; Phillips; ;")</f>
        <v>Lampu T5 28watt Putih; Phillips; ;</v>
      </c>
      <c r="E1835" s="6">
        <f>IFERROR(__xludf.DUMMYFUNCTION("""COMPUTED_VALUE"""),4.0)</f>
        <v>4</v>
      </c>
      <c r="F1835" s="6">
        <f>IFERROR(__xludf.DUMMYFUNCTION("""COMPUTED_VALUE"""),4.0)</f>
        <v>4</v>
      </c>
      <c r="G1835" s="6">
        <f>IFERROR(__xludf.DUMMYFUNCTION("""COMPUTED_VALUE"""),0.0)</f>
        <v>0</v>
      </c>
      <c r="H1835" s="6" t="str">
        <f>IFERROR(__xludf.DUMMYFUNCTION("""COMPUTED_VALUE"""),"Pcs")</f>
        <v>Pcs</v>
      </c>
      <c r="I1835" s="6" t="str">
        <f>IFERROR(__xludf.DUMMYFUNCTION("""COMPUTED_VALUE"""),"MFH")</f>
        <v>MFH</v>
      </c>
      <c r="J1835" s="6" t="str">
        <f>IFERROR(__xludf.DUMMYFUNCTION("""COMPUTED_VALUE"""),"Building")</f>
        <v>Building</v>
      </c>
      <c r="K1835" s="6" t="str">
        <f>IFERROR(__xludf.DUMMYFUNCTION("""COMPUTED_VALUE"""),"SPR/03/25/042")</f>
        <v>SPR/03/25/042</v>
      </c>
      <c r="L1835" s="13">
        <f>IFERROR(__xludf.DUMMYFUNCTION("""COMPUTED_VALUE"""),45743.0)</f>
        <v>45743</v>
      </c>
    </row>
    <row r="1836">
      <c r="A1836" s="6" t="str">
        <f>IFERROR(__xludf.DUMMYFUNCTION("""COMPUTED_VALUE"""),"MRN")</f>
        <v>MRN</v>
      </c>
      <c r="B1836" s="6" t="str">
        <f>IFERROR(__xludf.DUMMYFUNCTION("""COMPUTED_VALUE"""),"ENG")</f>
        <v>ENG</v>
      </c>
      <c r="C1836" s="6" t="str">
        <f>IFERROR(__xludf.DUMMYFUNCTION("""COMPUTED_VALUE"""),"P-53102-00")</f>
        <v>P-53102-00</v>
      </c>
      <c r="D1836" s="6" t="str">
        <f>IFERROR(__xludf.DUMMYFUNCTION("""COMPUTED_VALUE"""),"Lampu PLC 13watt/E27 Putih; Phillips; ;")</f>
        <v>Lampu PLC 13watt/E27 Putih; Phillips; ;</v>
      </c>
      <c r="E1836" s="6">
        <f>IFERROR(__xludf.DUMMYFUNCTION("""COMPUTED_VALUE"""),4.0)</f>
        <v>4</v>
      </c>
      <c r="F1836" s="6">
        <f>IFERROR(__xludf.DUMMYFUNCTION("""COMPUTED_VALUE"""),4.0)</f>
        <v>4</v>
      </c>
      <c r="G1836" s="6">
        <f>IFERROR(__xludf.DUMMYFUNCTION("""COMPUTED_VALUE"""),0.0)</f>
        <v>0</v>
      </c>
      <c r="H1836" s="6" t="str">
        <f>IFERROR(__xludf.DUMMYFUNCTION("""COMPUTED_VALUE"""),"Pcs")</f>
        <v>Pcs</v>
      </c>
      <c r="I1836" s="6" t="str">
        <f>IFERROR(__xludf.DUMMYFUNCTION("""COMPUTED_VALUE"""),"MFH")</f>
        <v>MFH</v>
      </c>
      <c r="J1836" s="6" t="str">
        <f>IFERROR(__xludf.DUMMYFUNCTION("""COMPUTED_VALUE"""),"Building")</f>
        <v>Building</v>
      </c>
      <c r="K1836" s="6" t="str">
        <f>IFERROR(__xludf.DUMMYFUNCTION("""COMPUTED_VALUE"""),"SPR/03/25/042")</f>
        <v>SPR/03/25/042</v>
      </c>
      <c r="L1836" s="13">
        <f>IFERROR(__xludf.DUMMYFUNCTION("""COMPUTED_VALUE"""),45743.0)</f>
        <v>45743</v>
      </c>
    </row>
    <row r="1837">
      <c r="A1837" s="6" t="str">
        <f>IFERROR(__xludf.DUMMYFUNCTION("""COMPUTED_VALUE"""),"RPA")</f>
        <v>RPA</v>
      </c>
      <c r="B1837" s="6" t="str">
        <f>IFERROR(__xludf.DUMMYFUNCTION("""COMPUTED_VALUE"""),"PRO")</f>
        <v>PRO</v>
      </c>
      <c r="C1837" s="6" t="str">
        <f>IFERROR(__xludf.DUMMYFUNCTION("""COMPUTED_VALUE"""),"O-15931-00")</f>
        <v>O-15931-00</v>
      </c>
      <c r="D1837" s="6" t="str">
        <f>IFERROR(__xludf.DUMMYFUNCTION("""COMPUTED_VALUE"""),"Double Tape 3M 1"" Merah - P/N : - pc")</f>
        <v>Double Tape 3M 1" Merah - P/N : - pc</v>
      </c>
      <c r="E1837" s="6">
        <f>IFERROR(__xludf.DUMMYFUNCTION("""COMPUTED_VALUE"""),1.0)</f>
        <v>1</v>
      </c>
      <c r="F1837" s="6">
        <f>IFERROR(__xludf.DUMMYFUNCTION("""COMPUTED_VALUE"""),1.0)</f>
        <v>1</v>
      </c>
      <c r="G1837" s="6">
        <f>IFERROR(__xludf.DUMMYFUNCTION("""COMPUTED_VALUE"""),0.0)</f>
        <v>0</v>
      </c>
      <c r="H1837" s="6" t="str">
        <f>IFERROR(__xludf.DUMMYFUNCTION("""COMPUTED_VALUE"""),"Pcs")</f>
        <v>Pcs</v>
      </c>
      <c r="I1837" s="6" t="str">
        <f>IFERROR(__xludf.DUMMYFUNCTION("""COMPUTED_VALUE"""),"MFH")</f>
        <v>MFH</v>
      </c>
      <c r="J1837" s="6" t="str">
        <f>IFERROR(__xludf.DUMMYFUNCTION("""COMPUTED_VALUE"""),"-")</f>
        <v>-</v>
      </c>
      <c r="K1837" s="6" t="str">
        <f>IFERROR(__xludf.DUMMYFUNCTION("""COMPUTED_VALUE"""),"SPR/03/25/043")</f>
        <v>SPR/03/25/043</v>
      </c>
      <c r="L1837" s="13">
        <f>IFERROR(__xludf.DUMMYFUNCTION("""COMPUTED_VALUE"""),45743.0)</f>
        <v>45743</v>
      </c>
    </row>
    <row r="1838">
      <c r="A1838" s="6" t="str">
        <f>IFERROR(__xludf.DUMMYFUNCTION("""COMPUTED_VALUE"""),"SFH")</f>
        <v>SFH</v>
      </c>
      <c r="B1838" s="6" t="str">
        <f>IFERROR(__xludf.DUMMYFUNCTION("""COMPUTED_VALUE"""),"ENG")</f>
        <v>ENG</v>
      </c>
      <c r="C1838" s="6" t="str">
        <f>IFERROR(__xludf.DUMMYFUNCTION("""COMPUTED_VALUE"""),"P-51560-00")</f>
        <v>P-51560-00</v>
      </c>
      <c r="D1838" s="6" t="str">
        <f>IFERROR(__xludf.DUMMYFUNCTION("""COMPUTED_VALUE"""),"Lampu T5 28watt Putih; Phillips; ;")</f>
        <v>Lampu T5 28watt Putih; Phillips; ;</v>
      </c>
      <c r="E1838" s="6">
        <f>IFERROR(__xludf.DUMMYFUNCTION("""COMPUTED_VALUE"""),2.0)</f>
        <v>2</v>
      </c>
      <c r="F1838" s="6">
        <f>IFERROR(__xludf.DUMMYFUNCTION("""COMPUTED_VALUE"""),2.0)</f>
        <v>2</v>
      </c>
      <c r="G1838" s="6">
        <f>IFERROR(__xludf.DUMMYFUNCTION("""COMPUTED_VALUE"""),0.0)</f>
        <v>0</v>
      </c>
      <c r="H1838" s="6" t="str">
        <f>IFERROR(__xludf.DUMMYFUNCTION("""COMPUTED_VALUE"""),"Pcs")</f>
        <v>Pcs</v>
      </c>
      <c r="I1838" s="6" t="str">
        <f>IFERROR(__xludf.DUMMYFUNCTION("""COMPUTED_VALUE"""),"MFH")</f>
        <v>MFH</v>
      </c>
      <c r="J1838" s="6" t="str">
        <f>IFERROR(__xludf.DUMMYFUNCTION("""COMPUTED_VALUE"""),"Building")</f>
        <v>Building</v>
      </c>
      <c r="K1838" s="6" t="str">
        <f>IFERROR(__xludf.DUMMYFUNCTION("""COMPUTED_VALUE"""),"SPR/03/25/044")</f>
        <v>SPR/03/25/044</v>
      </c>
      <c r="L1838" s="13">
        <f>IFERROR(__xludf.DUMMYFUNCTION("""COMPUTED_VALUE"""),45743.0)</f>
        <v>45743</v>
      </c>
    </row>
    <row r="1839">
      <c r="A1839" s="6" t="str">
        <f>IFERROR(__xludf.DUMMYFUNCTION("""COMPUTED_VALUE"""),"SFH")</f>
        <v>SFH</v>
      </c>
      <c r="B1839" s="6" t="str">
        <f>IFERROR(__xludf.DUMMYFUNCTION("""COMPUTED_VALUE"""),"ENG")</f>
        <v>ENG</v>
      </c>
      <c r="C1839" s="6" t="str">
        <f>IFERROR(__xludf.DUMMYFUNCTION("""COMPUTED_VALUE"""),"P-19484-00")</f>
        <v>P-19484-00</v>
      </c>
      <c r="D1839" s="6" t="str">
        <f>IFERROR(__xludf.DUMMYFUNCTION("""COMPUTED_VALUE"""),"General - Sliding Pintu Lift Barang Uk. 50 x 32 mm; Custom/Lokal; -; 1 Pc")</f>
        <v>General - Sliding Pintu Lift Barang Uk. 50 x 32 mm; Custom/Lokal; -; 1 Pc</v>
      </c>
      <c r="E1839" s="6">
        <f>IFERROR(__xludf.DUMMYFUNCTION("""COMPUTED_VALUE"""),4.0)</f>
        <v>4</v>
      </c>
      <c r="F1839" s="6">
        <f>IFERROR(__xludf.DUMMYFUNCTION("""COMPUTED_VALUE"""),4.0)</f>
        <v>4</v>
      </c>
      <c r="G1839" s="6">
        <f>IFERROR(__xludf.DUMMYFUNCTION("""COMPUTED_VALUE"""),0.0)</f>
        <v>0</v>
      </c>
      <c r="H1839" s="6" t="str">
        <f>IFERROR(__xludf.DUMMYFUNCTION("""COMPUTED_VALUE"""),"Pcs")</f>
        <v>Pcs</v>
      </c>
      <c r="I1839" s="6" t="str">
        <f>IFERROR(__xludf.DUMMYFUNCTION("""COMPUTED_VALUE"""),"MFH")</f>
        <v>MFH</v>
      </c>
      <c r="J1839" s="6" t="str">
        <f>IFERROR(__xludf.DUMMYFUNCTION("""COMPUTED_VALUE"""),"Dump Waiter")</f>
        <v>Dump Waiter</v>
      </c>
      <c r="K1839" s="6" t="str">
        <f>IFERROR(__xludf.DUMMYFUNCTION("""COMPUTED_VALUE"""),"SPR/03/25/044")</f>
        <v>SPR/03/25/044</v>
      </c>
      <c r="L1839" s="13">
        <f>IFERROR(__xludf.DUMMYFUNCTION("""COMPUTED_VALUE"""),45743.0)</f>
        <v>45743</v>
      </c>
    </row>
    <row r="1840">
      <c r="A1840" s="6" t="str">
        <f>IFERROR(__xludf.DUMMYFUNCTION("""COMPUTED_VALUE"""),"MOB")</f>
        <v>MOB</v>
      </c>
      <c r="B1840" s="6" t="str">
        <f>IFERROR(__xludf.DUMMYFUNCTION("""COMPUTED_VALUE"""),"ENG")</f>
        <v>ENG</v>
      </c>
      <c r="C1840" s="6" t="str">
        <f>IFERROR(__xludf.DUMMYFUNCTION("""COMPUTED_VALUE"""),"P-19483-00")</f>
        <v>P-19483-00</v>
      </c>
      <c r="D1840" s="6" t="str">
        <f>IFERROR(__xludf.DUMMYFUNCTION("""COMPUTED_VALUE"""),"General - Float Vent 1/2 Inch; Yoshitake; TA-22; 1 Pc")</f>
        <v>General - Float Vent 1/2 Inch; Yoshitake; TA-22; 1 Pc</v>
      </c>
      <c r="E1840" s="6">
        <f>IFERROR(__xludf.DUMMYFUNCTION("""COMPUTED_VALUE"""),2.0)</f>
        <v>2</v>
      </c>
      <c r="F1840" s="6">
        <f>IFERROR(__xludf.DUMMYFUNCTION("""COMPUTED_VALUE"""),2.0)</f>
        <v>2</v>
      </c>
      <c r="G1840" s="6">
        <f>IFERROR(__xludf.DUMMYFUNCTION("""COMPUTED_VALUE"""),0.0)</f>
        <v>0</v>
      </c>
      <c r="H1840" s="6" t="str">
        <f>IFERROR(__xludf.DUMMYFUNCTION("""COMPUTED_VALUE"""),"Pcs")</f>
        <v>Pcs</v>
      </c>
      <c r="I1840" s="6" t="str">
        <f>IFERROR(__xludf.DUMMYFUNCTION("""COMPUTED_VALUE"""),"MFH")</f>
        <v>MFH</v>
      </c>
      <c r="J1840" s="6" t="str">
        <f>IFERROR(__xludf.DUMMYFUNCTION("""COMPUTED_VALUE"""),"Building")</f>
        <v>Building</v>
      </c>
      <c r="K1840" s="6" t="str">
        <f>IFERROR(__xludf.DUMMYFUNCTION("""COMPUTED_VALUE"""),"SPR/03/25/045")</f>
        <v>SPR/03/25/045</v>
      </c>
      <c r="L1840" s="13">
        <f>IFERROR(__xludf.DUMMYFUNCTION("""COMPUTED_VALUE"""),45743.0)</f>
        <v>45743</v>
      </c>
    </row>
    <row r="1841">
      <c r="A1841" s="6" t="str">
        <f>IFERROR(__xludf.DUMMYFUNCTION("""COMPUTED_VALUE"""),"ROS")</f>
        <v>ROS</v>
      </c>
      <c r="B1841" s="6" t="str">
        <f>IFERROR(__xludf.DUMMYFUNCTION("""COMPUTED_VALUE"""),"ENG")</f>
        <v>ENG</v>
      </c>
      <c r="C1841" s="6" t="str">
        <f>IFERROR(__xludf.DUMMYFUNCTION("""COMPUTED_VALUE"""),"O-51698-00")</f>
        <v>O-51698-00</v>
      </c>
      <c r="D1841" s="6" t="str">
        <f>IFERROR(__xludf.DUMMYFUNCTION("""COMPUTED_VALUE"""),"OMRON - Relay MY4Z 24VDC; ; ;")</f>
        <v>OMRON - Relay MY4Z 24VDC; ; ;</v>
      </c>
      <c r="E1841" s="6">
        <f>IFERROR(__xludf.DUMMYFUNCTION("""COMPUTED_VALUE"""),2.0)</f>
        <v>2</v>
      </c>
      <c r="F1841" s="6">
        <f>IFERROR(__xludf.DUMMYFUNCTION("""COMPUTED_VALUE"""),2.0)</f>
        <v>2</v>
      </c>
      <c r="G1841" s="6">
        <f>IFERROR(__xludf.DUMMYFUNCTION("""COMPUTED_VALUE"""),0.0)</f>
        <v>0</v>
      </c>
      <c r="H1841" s="6" t="str">
        <f>IFERROR(__xludf.DUMMYFUNCTION("""COMPUTED_VALUE"""),"Pcs")</f>
        <v>Pcs</v>
      </c>
      <c r="I1841" s="6" t="str">
        <f>IFERROR(__xludf.DUMMYFUNCTION("""COMPUTED_VALUE"""),"MFH")</f>
        <v>MFH</v>
      </c>
      <c r="J1841" s="6" t="str">
        <f>IFERROR(__xludf.DUMMYFUNCTION("""COMPUTED_VALUE"""),"Mixing")</f>
        <v>Mixing</v>
      </c>
      <c r="K1841" s="6" t="str">
        <f>IFERROR(__xludf.DUMMYFUNCTION("""COMPUTED_VALUE"""),"SPR/03/25/046")</f>
        <v>SPR/03/25/046</v>
      </c>
      <c r="L1841" s="13">
        <f>IFERROR(__xludf.DUMMYFUNCTION("""COMPUTED_VALUE"""),45743.0)</f>
        <v>45743</v>
      </c>
    </row>
    <row r="1842">
      <c r="A1842" s="6" t="str">
        <f>IFERROR(__xludf.DUMMYFUNCTION("""COMPUTED_VALUE"""),"ROS")</f>
        <v>ROS</v>
      </c>
      <c r="B1842" s="6" t="str">
        <f>IFERROR(__xludf.DUMMYFUNCTION("""COMPUTED_VALUE"""),"ENG")</f>
        <v>ENG</v>
      </c>
      <c r="C1842" s="6" t="str">
        <f>IFERROR(__xludf.DUMMYFUNCTION("""COMPUTED_VALUE"""),"P-15852-00")</f>
        <v>P-15852-00</v>
      </c>
      <c r="D1842" s="6" t="str">
        <f>IFERROR(__xludf.DUMMYFUNCTION("""COMPUTED_VALUE"""),"AMPLAS EAGLE 500")</f>
        <v>AMPLAS EAGLE 500</v>
      </c>
      <c r="E1842" s="6">
        <f>IFERROR(__xludf.DUMMYFUNCTION("""COMPUTED_VALUE"""),1.0)</f>
        <v>1</v>
      </c>
      <c r="F1842" s="6">
        <f>IFERROR(__xludf.DUMMYFUNCTION("""COMPUTED_VALUE"""),1.0)</f>
        <v>1</v>
      </c>
      <c r="G1842" s="6">
        <f>IFERROR(__xludf.DUMMYFUNCTION("""COMPUTED_VALUE"""),0.0)</f>
        <v>0</v>
      </c>
      <c r="H1842" s="6" t="str">
        <f>IFERROR(__xludf.DUMMYFUNCTION("""COMPUTED_VALUE"""),"Pcs")</f>
        <v>Pcs</v>
      </c>
      <c r="I1842" s="6" t="str">
        <f>IFERROR(__xludf.DUMMYFUNCTION("""COMPUTED_VALUE"""),"MFH")</f>
        <v>MFH</v>
      </c>
      <c r="J1842" s="6" t="str">
        <f>IFERROR(__xludf.DUMMYFUNCTION("""COMPUTED_VALUE"""),"EDM")</f>
        <v>EDM</v>
      </c>
      <c r="K1842" s="6" t="str">
        <f>IFERROR(__xludf.DUMMYFUNCTION("""COMPUTED_VALUE"""),"SPR/03/25/046")</f>
        <v>SPR/03/25/046</v>
      </c>
      <c r="L1842" s="13">
        <f>IFERROR(__xludf.DUMMYFUNCTION("""COMPUTED_VALUE"""),45743.0)</f>
        <v>45743</v>
      </c>
    </row>
    <row r="1843">
      <c r="A1843" s="6" t="str">
        <f>IFERROR(__xludf.DUMMYFUNCTION("""COMPUTED_VALUE"""),"ROS")</f>
        <v>ROS</v>
      </c>
      <c r="B1843" s="6" t="str">
        <f>IFERROR(__xludf.DUMMYFUNCTION("""COMPUTED_VALUE"""),"ENG")</f>
        <v>ENG</v>
      </c>
      <c r="C1843" s="6" t="str">
        <f>IFERROR(__xludf.DUMMYFUNCTION("""COMPUTED_VALUE"""),"P-15851-00")</f>
        <v>P-15851-00</v>
      </c>
      <c r="D1843" s="6" t="str">
        <f>IFERROR(__xludf.DUMMYFUNCTION("""COMPUTED_VALUE"""),"AMPLAS EAGLE 100")</f>
        <v>AMPLAS EAGLE 100</v>
      </c>
      <c r="E1843" s="6">
        <f>IFERROR(__xludf.DUMMYFUNCTION("""COMPUTED_VALUE"""),1.0)</f>
        <v>1</v>
      </c>
      <c r="F1843" s="6">
        <f>IFERROR(__xludf.DUMMYFUNCTION("""COMPUTED_VALUE"""),1.0)</f>
        <v>1</v>
      </c>
      <c r="G1843" s="6">
        <f>IFERROR(__xludf.DUMMYFUNCTION("""COMPUTED_VALUE"""),0.0)</f>
        <v>0</v>
      </c>
      <c r="H1843" s="6" t="str">
        <f>IFERROR(__xludf.DUMMYFUNCTION("""COMPUTED_VALUE"""),"Pcs")</f>
        <v>Pcs</v>
      </c>
      <c r="I1843" s="6" t="str">
        <f>IFERROR(__xludf.DUMMYFUNCTION("""COMPUTED_VALUE"""),"MFH")</f>
        <v>MFH</v>
      </c>
      <c r="J1843" s="6" t="str">
        <f>IFERROR(__xludf.DUMMYFUNCTION("""COMPUTED_VALUE"""),"EDM")</f>
        <v>EDM</v>
      </c>
      <c r="K1843" s="6" t="str">
        <f>IFERROR(__xludf.DUMMYFUNCTION("""COMPUTED_VALUE"""),"SPR/03/25/046")</f>
        <v>SPR/03/25/046</v>
      </c>
      <c r="L1843" s="13">
        <f>IFERROR(__xludf.DUMMYFUNCTION("""COMPUTED_VALUE"""),45743.0)</f>
        <v>45743</v>
      </c>
    </row>
    <row r="1844">
      <c r="A1844" s="6" t="str">
        <f>IFERROR(__xludf.DUMMYFUNCTION("""COMPUTED_VALUE"""),"SFH")</f>
        <v>SFH</v>
      </c>
      <c r="B1844" s="6" t="str">
        <f>IFERROR(__xludf.DUMMYFUNCTION("""COMPUTED_VALUE"""),"ENG")</f>
        <v>ENG</v>
      </c>
      <c r="C1844" s="6" t="str">
        <f>IFERROR(__xludf.DUMMYFUNCTION("""COMPUTED_VALUE"""),"O-15931-00")</f>
        <v>O-15931-00</v>
      </c>
      <c r="D1844" s="6" t="str">
        <f>IFERROR(__xludf.DUMMYFUNCTION("""COMPUTED_VALUE"""),"Double Tape 3M 1"" Merah - P/N : - pc")</f>
        <v>Double Tape 3M 1" Merah - P/N : - pc</v>
      </c>
      <c r="E1844" s="6">
        <f>IFERROR(__xludf.DUMMYFUNCTION("""COMPUTED_VALUE"""),1.0)</f>
        <v>1</v>
      </c>
      <c r="F1844" s="6">
        <f>IFERROR(__xludf.DUMMYFUNCTION("""COMPUTED_VALUE"""),1.0)</f>
        <v>1</v>
      </c>
      <c r="G1844" s="6">
        <f>IFERROR(__xludf.DUMMYFUNCTION("""COMPUTED_VALUE"""),0.0)</f>
        <v>0</v>
      </c>
      <c r="H1844" s="6" t="str">
        <f>IFERROR(__xludf.DUMMYFUNCTION("""COMPUTED_VALUE"""),"Pcs")</f>
        <v>Pcs</v>
      </c>
      <c r="I1844" s="6" t="str">
        <f>IFERROR(__xludf.DUMMYFUNCTION("""COMPUTED_VALUE"""),"MFH")</f>
        <v>MFH</v>
      </c>
      <c r="J1844" s="6" t="str">
        <f>IFERROR(__xludf.DUMMYFUNCTION("""COMPUTED_VALUE"""),"Building")</f>
        <v>Building</v>
      </c>
      <c r="K1844" s="6" t="str">
        <f>IFERROR(__xludf.DUMMYFUNCTION("""COMPUTED_VALUE"""),"SPR/03/25/047")</f>
        <v>SPR/03/25/047</v>
      </c>
      <c r="L1844" s="13">
        <f>IFERROR(__xludf.DUMMYFUNCTION("""COMPUTED_VALUE"""),45743.0)</f>
        <v>45743</v>
      </c>
    </row>
    <row r="1845">
      <c r="A1845" s="6" t="str">
        <f>IFERROR(__xludf.DUMMYFUNCTION("""COMPUTED_VALUE"""),"SFH")</f>
        <v>SFH</v>
      </c>
      <c r="B1845" s="6" t="str">
        <f>IFERROR(__xludf.DUMMYFUNCTION("""COMPUTED_VALUE"""),"ENG")</f>
        <v>ENG</v>
      </c>
      <c r="C1845" s="6" t="str">
        <f>IFERROR(__xludf.DUMMYFUNCTION("""COMPUTED_VALUE"""),"P-51560-00")</f>
        <v>P-51560-00</v>
      </c>
      <c r="D1845" s="6" t="str">
        <f>IFERROR(__xludf.DUMMYFUNCTION("""COMPUTED_VALUE"""),"Lampu T5 28watt Putih; Phillips; ;")</f>
        <v>Lampu T5 28watt Putih; Phillips; ;</v>
      </c>
      <c r="E1845" s="6">
        <f>IFERROR(__xludf.DUMMYFUNCTION("""COMPUTED_VALUE"""),2.0)</f>
        <v>2</v>
      </c>
      <c r="F1845" s="6">
        <f>IFERROR(__xludf.DUMMYFUNCTION("""COMPUTED_VALUE"""),2.0)</f>
        <v>2</v>
      </c>
      <c r="G1845" s="6">
        <f>IFERROR(__xludf.DUMMYFUNCTION("""COMPUTED_VALUE"""),0.0)</f>
        <v>0</v>
      </c>
      <c r="H1845" s="6" t="str">
        <f>IFERROR(__xludf.DUMMYFUNCTION("""COMPUTED_VALUE"""),"Pcs")</f>
        <v>Pcs</v>
      </c>
      <c r="I1845" s="6" t="str">
        <f>IFERROR(__xludf.DUMMYFUNCTION("""COMPUTED_VALUE"""),"MFH")</f>
        <v>MFH</v>
      </c>
      <c r="J1845" s="6" t="str">
        <f>IFERROR(__xludf.DUMMYFUNCTION("""COMPUTED_VALUE"""),"Building")</f>
        <v>Building</v>
      </c>
      <c r="K1845" s="6" t="str">
        <f>IFERROR(__xludf.DUMMYFUNCTION("""COMPUTED_VALUE"""),"SPR/03/25/047")</f>
        <v>SPR/03/25/047</v>
      </c>
      <c r="L1845" s="13">
        <f>IFERROR(__xludf.DUMMYFUNCTION("""COMPUTED_VALUE"""),45743.0)</f>
        <v>45743</v>
      </c>
    </row>
    <row r="1846">
      <c r="A1846" s="6" t="str">
        <f>IFERROR(__xludf.DUMMYFUNCTION("""COMPUTED_VALUE"""),"ROS")</f>
        <v>ROS</v>
      </c>
      <c r="B1846" s="6" t="str">
        <f>IFERROR(__xludf.DUMMYFUNCTION("""COMPUTED_VALUE"""),"ENG")</f>
        <v>ENG</v>
      </c>
      <c r="C1846" s="6" t="str">
        <f>IFERROR(__xludf.DUMMYFUNCTION("""COMPUTED_VALUE"""),"P-53102-00")</f>
        <v>P-53102-00</v>
      </c>
      <c r="D1846" s="6" t="str">
        <f>IFERROR(__xludf.DUMMYFUNCTION("""COMPUTED_VALUE"""),"Lampu PLC 13watt/E27 Putih; Phillips; ;")</f>
        <v>Lampu PLC 13watt/E27 Putih; Phillips; ;</v>
      </c>
      <c r="E1846" s="6">
        <f>IFERROR(__xludf.DUMMYFUNCTION("""COMPUTED_VALUE"""),1.0)</f>
        <v>1</v>
      </c>
      <c r="F1846" s="6">
        <f>IFERROR(__xludf.DUMMYFUNCTION("""COMPUTED_VALUE"""),1.0)</f>
        <v>1</v>
      </c>
      <c r="G1846" s="6">
        <f>IFERROR(__xludf.DUMMYFUNCTION("""COMPUTED_VALUE"""),0.0)</f>
        <v>0</v>
      </c>
      <c r="H1846" s="6" t="str">
        <f>IFERROR(__xludf.DUMMYFUNCTION("""COMPUTED_VALUE"""),"Pcs")</f>
        <v>Pcs</v>
      </c>
      <c r="I1846" s="6" t="str">
        <f>IFERROR(__xludf.DUMMYFUNCTION("""COMPUTED_VALUE"""),"MFH")</f>
        <v>MFH</v>
      </c>
      <c r="J1846" s="6" t="str">
        <f>IFERROR(__xludf.DUMMYFUNCTION("""COMPUTED_VALUE"""),"Building")</f>
        <v>Building</v>
      </c>
      <c r="K1846" s="6" t="str">
        <f>IFERROR(__xludf.DUMMYFUNCTION("""COMPUTED_VALUE"""),"SPR/03/25/048")</f>
        <v>SPR/03/25/048</v>
      </c>
      <c r="L1846" s="13">
        <f>IFERROR(__xludf.DUMMYFUNCTION("""COMPUTED_VALUE"""),45743.0)</f>
        <v>45743</v>
      </c>
    </row>
    <row r="1847">
      <c r="A1847" s="6" t="str">
        <f>IFERROR(__xludf.DUMMYFUNCTION("""COMPUTED_VALUE"""),"ROS")</f>
        <v>ROS</v>
      </c>
      <c r="B1847" s="6" t="str">
        <f>IFERROR(__xludf.DUMMYFUNCTION("""COMPUTED_VALUE"""),"ENG")</f>
        <v>ENG</v>
      </c>
      <c r="C1847" s="6" t="str">
        <f>IFERROR(__xludf.DUMMYFUNCTION("""COMPUTED_VALUE"""),"Q-10249-00")</f>
        <v>Q-10249-00</v>
      </c>
      <c r="D1847" s="6" t="str">
        <f>IFERROR(__xludf.DUMMYFUNCTION("""COMPUTED_VALUE"""),"Lem Power Glue")</f>
        <v>Lem Power Glue</v>
      </c>
      <c r="E1847" s="6">
        <f>IFERROR(__xludf.DUMMYFUNCTION("""COMPUTED_VALUE"""),1.0)</f>
        <v>1</v>
      </c>
      <c r="F1847" s="6">
        <f>IFERROR(__xludf.DUMMYFUNCTION("""COMPUTED_VALUE"""),1.0)</f>
        <v>1</v>
      </c>
      <c r="G1847" s="6">
        <f>IFERROR(__xludf.DUMMYFUNCTION("""COMPUTED_VALUE"""),0.0)</f>
        <v>0</v>
      </c>
      <c r="H1847" s="6" t="str">
        <f>IFERROR(__xludf.DUMMYFUNCTION("""COMPUTED_VALUE"""),"Pcs")</f>
        <v>Pcs</v>
      </c>
      <c r="I1847" s="6" t="str">
        <f>IFERROR(__xludf.DUMMYFUNCTION("""COMPUTED_VALUE"""),"MFH")</f>
        <v>MFH</v>
      </c>
      <c r="J1847" s="6" t="str">
        <f>IFERROR(__xludf.DUMMYFUNCTION("""COMPUTED_VALUE"""),"AHU")</f>
        <v>AHU</v>
      </c>
      <c r="K1847" s="6" t="str">
        <f>IFERROR(__xludf.DUMMYFUNCTION("""COMPUTED_VALUE"""),"SPR/03/25/048")</f>
        <v>SPR/03/25/048</v>
      </c>
      <c r="L1847" s="13">
        <f>IFERROR(__xludf.DUMMYFUNCTION("""COMPUTED_VALUE"""),45743.0)</f>
        <v>45743</v>
      </c>
    </row>
    <row r="1848">
      <c r="A1848" s="6" t="str">
        <f>IFERROR(__xludf.DUMMYFUNCTION("""COMPUTED_VALUE"""),"MOB")</f>
        <v>MOB</v>
      </c>
      <c r="B1848" s="6" t="str">
        <f>IFERROR(__xludf.DUMMYFUNCTION("""COMPUTED_VALUE"""),"ENG")</f>
        <v>ENG</v>
      </c>
      <c r="C1848" s="6" t="str">
        <f>IFERROR(__xludf.DUMMYFUNCTION("""COMPUTED_VALUE"""),"P-14245-00")</f>
        <v>P-14245-00</v>
      </c>
      <c r="D1848" s="6" t="str">
        <f>IFERROR(__xludf.DUMMYFUNCTION("""COMPUTED_VALUE"""),"Manual valve HE-2-QS-8 FESTO; ; ;")</f>
        <v>Manual valve HE-2-QS-8 FESTO; ; ;</v>
      </c>
      <c r="E1848" s="6">
        <f>IFERROR(__xludf.DUMMYFUNCTION("""COMPUTED_VALUE"""),1.0)</f>
        <v>1</v>
      </c>
      <c r="F1848" s="6">
        <f>IFERROR(__xludf.DUMMYFUNCTION("""COMPUTED_VALUE"""),1.0)</f>
        <v>1</v>
      </c>
      <c r="G1848" s="6">
        <f>IFERROR(__xludf.DUMMYFUNCTION("""COMPUTED_VALUE"""),0.0)</f>
        <v>0</v>
      </c>
      <c r="H1848" s="6" t="str">
        <f>IFERROR(__xludf.DUMMYFUNCTION("""COMPUTED_VALUE"""),"Pcs")</f>
        <v>Pcs</v>
      </c>
      <c r="I1848" s="6" t="str">
        <f>IFERROR(__xludf.DUMMYFUNCTION("""COMPUTED_VALUE"""),"MFH")</f>
        <v>MFH</v>
      </c>
      <c r="J1848" s="6" t="str">
        <f>IFERROR(__xludf.DUMMYFUNCTION("""COMPUTED_VALUE"""),"Building")</f>
        <v>Building</v>
      </c>
      <c r="K1848" s="6" t="str">
        <f>IFERROR(__xludf.DUMMYFUNCTION("""COMPUTED_VALUE"""),"SPR/03/25/049")</f>
        <v>SPR/03/25/049</v>
      </c>
      <c r="L1848" s="13">
        <f>IFERROR(__xludf.DUMMYFUNCTION("""COMPUTED_VALUE"""),45743.0)</f>
        <v>45743</v>
      </c>
    </row>
    <row r="1849">
      <c r="A1849" s="6" t="str">
        <f>IFERROR(__xludf.DUMMYFUNCTION("""COMPUTED_VALUE"""),"MOB")</f>
        <v>MOB</v>
      </c>
      <c r="B1849" s="6" t="str">
        <f>IFERROR(__xludf.DUMMYFUNCTION("""COMPUTED_VALUE"""),"ENG")</f>
        <v>ENG</v>
      </c>
      <c r="C1849" s="6" t="str">
        <f>IFERROR(__xludf.DUMMYFUNCTION("""COMPUTED_VALUE"""),"P-15862-00")</f>
        <v>P-15862-00</v>
      </c>
      <c r="D1849" s="6" t="str">
        <f>IFERROR(__xludf.DUMMYFUNCTION("""COMPUTED_VALUE"""),"PAPER RECORD YOKOGAWA; FOLDING CHART B9565AW")</f>
        <v>PAPER RECORD YOKOGAWA; FOLDING CHART B9565AW</v>
      </c>
      <c r="E1849" s="6">
        <f>IFERROR(__xludf.DUMMYFUNCTION("""COMPUTED_VALUE"""),2.0)</f>
        <v>2</v>
      </c>
      <c r="F1849" s="6">
        <f>IFERROR(__xludf.DUMMYFUNCTION("""COMPUTED_VALUE"""),2.0)</f>
        <v>2</v>
      </c>
      <c r="G1849" s="6">
        <f>IFERROR(__xludf.DUMMYFUNCTION("""COMPUTED_VALUE"""),0.0)</f>
        <v>0</v>
      </c>
      <c r="H1849" s="6" t="str">
        <f>IFERROR(__xludf.DUMMYFUNCTION("""COMPUTED_VALUE"""),"Pcs")</f>
        <v>Pcs</v>
      </c>
      <c r="I1849" s="6" t="str">
        <f>IFERROR(__xludf.DUMMYFUNCTION("""COMPUTED_VALUE"""),"MFH")</f>
        <v>MFH</v>
      </c>
      <c r="J1849" s="6" t="str">
        <f>IFERROR(__xludf.DUMMYFUNCTION("""COMPUTED_VALUE"""),"PW SKID")</f>
        <v>PW SKID</v>
      </c>
      <c r="K1849" s="6" t="str">
        <f>IFERROR(__xludf.DUMMYFUNCTION("""COMPUTED_VALUE"""),"SPR/03/25/050")</f>
        <v>SPR/03/25/050</v>
      </c>
      <c r="L1849" s="13">
        <f>IFERROR(__xludf.DUMMYFUNCTION("""COMPUTED_VALUE"""),45743.0)</f>
        <v>45743</v>
      </c>
    </row>
    <row r="1850">
      <c r="A1850" s="6" t="str">
        <f>IFERROR(__xludf.DUMMYFUNCTION("""COMPUTED_VALUE"""),"SHF")</f>
        <v>SHF</v>
      </c>
      <c r="B1850" s="6" t="str">
        <f>IFERROR(__xludf.DUMMYFUNCTION("""COMPUTED_VALUE"""),"ENG")</f>
        <v>ENG</v>
      </c>
      <c r="C1850" s="6" t="str">
        <f>IFERROR(__xludf.DUMMYFUNCTION("""COMPUTED_VALUE"""),"P-11405-00")</f>
        <v>P-11405-00</v>
      </c>
      <c r="D1850" s="6" t="str">
        <f>IFERROR(__xludf.DUMMYFUNCTION("""COMPUTED_VALUE"""),"Seal Ferrule Teflon 1""")</f>
        <v>Seal Ferrule Teflon 1"</v>
      </c>
      <c r="E1850" s="6">
        <f>IFERROR(__xludf.DUMMYFUNCTION("""COMPUTED_VALUE"""),1.0)</f>
        <v>1</v>
      </c>
      <c r="F1850" s="6">
        <f>IFERROR(__xludf.DUMMYFUNCTION("""COMPUTED_VALUE"""),1.0)</f>
        <v>1</v>
      </c>
      <c r="G1850" s="6">
        <f>IFERROR(__xludf.DUMMYFUNCTION("""COMPUTED_VALUE"""),0.0)</f>
        <v>0</v>
      </c>
      <c r="H1850" s="6" t="str">
        <f>IFERROR(__xludf.DUMMYFUNCTION("""COMPUTED_VALUE"""),"Pcs")</f>
        <v>Pcs</v>
      </c>
      <c r="I1850" s="6" t="str">
        <f>IFERROR(__xludf.DUMMYFUNCTION("""COMPUTED_VALUE"""),"MFH")</f>
        <v>MFH</v>
      </c>
      <c r="J1850" s="6" t="str">
        <f>IFERROR(__xludf.DUMMYFUNCTION("""COMPUTED_VALUE"""),"PSG")</f>
        <v>PSG</v>
      </c>
      <c r="K1850" s="6" t="str">
        <f>IFERROR(__xludf.DUMMYFUNCTION("""COMPUTED_VALUE"""),"SPR/03/25/051")</f>
        <v>SPR/03/25/051</v>
      </c>
      <c r="L1850" s="13">
        <f>IFERROR(__xludf.DUMMYFUNCTION("""COMPUTED_VALUE"""),45743.0)</f>
        <v>45743</v>
      </c>
    </row>
    <row r="1851">
      <c r="A1851" s="6" t="str">
        <f>IFERROR(__xludf.DUMMYFUNCTION("""COMPUTED_VALUE"""),"ANO")</f>
        <v>ANO</v>
      </c>
      <c r="B1851" s="6" t="str">
        <f>IFERROR(__xludf.DUMMYFUNCTION("""COMPUTED_VALUE"""),"ENG")</f>
        <v>ENG</v>
      </c>
      <c r="C1851" s="6" t="str">
        <f>IFERROR(__xludf.DUMMYFUNCTION("""COMPUTED_VALUE"""),"P-19540-00")</f>
        <v>P-19540-00</v>
      </c>
      <c r="D1851" s="6" t="str">
        <f>IFERROR(__xludf.DUMMYFUNCTION("""COMPUTED_VALUE"""),"General - Roda Pu 3 Inch Drat 1/2 Inch X 30Mm - -")</f>
        <v>General - Roda Pu 3 Inch Drat 1/2 Inch X 30Mm - -</v>
      </c>
      <c r="E1851" s="6">
        <f>IFERROR(__xludf.DUMMYFUNCTION("""COMPUTED_VALUE"""),4.0)</f>
        <v>4</v>
      </c>
      <c r="F1851" s="6">
        <f>IFERROR(__xludf.DUMMYFUNCTION("""COMPUTED_VALUE"""),4.0)</f>
        <v>4</v>
      </c>
      <c r="G1851" s="6">
        <f>IFERROR(__xludf.DUMMYFUNCTION("""COMPUTED_VALUE"""),0.0)</f>
        <v>0</v>
      </c>
      <c r="H1851" s="6" t="str">
        <f>IFERROR(__xludf.DUMMYFUNCTION("""COMPUTED_VALUE"""),"Pcs")</f>
        <v>Pcs</v>
      </c>
      <c r="I1851" s="6" t="str">
        <f>IFERROR(__xludf.DUMMYFUNCTION("""COMPUTED_VALUE"""),"MFH")</f>
        <v>MFH</v>
      </c>
      <c r="J1851" s="6" t="str">
        <f>IFERROR(__xludf.DUMMYFUNCTION("""COMPUTED_VALUE"""),"-")</f>
        <v>-</v>
      </c>
      <c r="K1851" s="6" t="str">
        <f>IFERROR(__xludf.DUMMYFUNCTION("""COMPUTED_VALUE"""),"SPR/03/25/052")</f>
        <v>SPR/03/25/052</v>
      </c>
      <c r="L1851" s="13">
        <f>IFERROR(__xludf.DUMMYFUNCTION("""COMPUTED_VALUE"""),45743.0)</f>
        <v>45743</v>
      </c>
    </row>
    <row r="1852">
      <c r="A1852" s="6" t="str">
        <f>IFERROR(__xludf.DUMMYFUNCTION("""COMPUTED_VALUE"""),"ANO")</f>
        <v>ANO</v>
      </c>
      <c r="B1852" s="6" t="str">
        <f>IFERROR(__xludf.DUMMYFUNCTION("""COMPUTED_VALUE"""),"ENG")</f>
        <v>ENG</v>
      </c>
      <c r="C1852" s="6" t="str">
        <f>IFERROR(__xludf.DUMMYFUNCTION("""COMPUTED_VALUE"""),"P-19539-00")</f>
        <v>P-19539-00</v>
      </c>
      <c r="D1852" s="6" t="str">
        <f>IFERROR(__xludf.DUMMYFUNCTION("""COMPUTED_VALUE"""),"General - Roda Pu 3 Inch 75X32 Mm Tanpa Bracket - -")</f>
        <v>General - Roda Pu 3 Inch 75X32 Mm Tanpa Bracket - -</v>
      </c>
      <c r="E1852" s="6">
        <f>IFERROR(__xludf.DUMMYFUNCTION("""COMPUTED_VALUE"""),4.0)</f>
        <v>4</v>
      </c>
      <c r="F1852" s="6">
        <f>IFERROR(__xludf.DUMMYFUNCTION("""COMPUTED_VALUE"""),4.0)</f>
        <v>4</v>
      </c>
      <c r="G1852" s="6">
        <f>IFERROR(__xludf.DUMMYFUNCTION("""COMPUTED_VALUE"""),0.0)</f>
        <v>0</v>
      </c>
      <c r="H1852" s="6" t="str">
        <f>IFERROR(__xludf.DUMMYFUNCTION("""COMPUTED_VALUE"""),"Pcs")</f>
        <v>Pcs</v>
      </c>
      <c r="I1852" s="6" t="str">
        <f>IFERROR(__xludf.DUMMYFUNCTION("""COMPUTED_VALUE"""),"MFH")</f>
        <v>MFH</v>
      </c>
      <c r="J1852" s="6" t="str">
        <f>IFERROR(__xludf.DUMMYFUNCTION("""COMPUTED_VALUE"""),"-")</f>
        <v>-</v>
      </c>
      <c r="K1852" s="6" t="str">
        <f>IFERROR(__xludf.DUMMYFUNCTION("""COMPUTED_VALUE"""),"SPR/03/25/052")</f>
        <v>SPR/03/25/052</v>
      </c>
      <c r="L1852" s="13">
        <f>IFERROR(__xludf.DUMMYFUNCTION("""COMPUTED_VALUE"""),45743.0)</f>
        <v>45743</v>
      </c>
    </row>
    <row r="1853">
      <c r="A1853" s="6" t="str">
        <f>IFERROR(__xludf.DUMMYFUNCTION("""COMPUTED_VALUE"""),"INN")</f>
        <v>INN</v>
      </c>
      <c r="B1853" s="6" t="str">
        <f>IFERROR(__xludf.DUMMYFUNCTION("""COMPUTED_VALUE"""),"ENG")</f>
        <v>ENG</v>
      </c>
      <c r="C1853" s="6" t="str">
        <f>IFERROR(__xludf.DUMMYFUNCTION("""COMPUTED_VALUE"""),"P-19539-00")</f>
        <v>P-19539-00</v>
      </c>
      <c r="D1853" s="6" t="str">
        <f>IFERROR(__xludf.DUMMYFUNCTION("""COMPUTED_VALUE"""),"General - Roda Pu 3 Inch 75X32 Mm Tanpa Bracket - -")</f>
        <v>General - Roda Pu 3 Inch 75X32 Mm Tanpa Bracket - -</v>
      </c>
      <c r="E1853" s="6">
        <f>IFERROR(__xludf.DUMMYFUNCTION("""COMPUTED_VALUE"""),4.0)</f>
        <v>4</v>
      </c>
      <c r="F1853" s="6">
        <f>IFERROR(__xludf.DUMMYFUNCTION("""COMPUTED_VALUE"""),4.0)</f>
        <v>4</v>
      </c>
      <c r="G1853" s="6">
        <f>IFERROR(__xludf.DUMMYFUNCTION("""COMPUTED_VALUE"""),0.0)</f>
        <v>0</v>
      </c>
      <c r="H1853" s="6" t="str">
        <f>IFERROR(__xludf.DUMMYFUNCTION("""COMPUTED_VALUE"""),"Pcs")</f>
        <v>Pcs</v>
      </c>
      <c r="I1853" s="6" t="str">
        <f>IFERROR(__xludf.DUMMYFUNCTION("""COMPUTED_VALUE"""),"MFH")</f>
        <v>MFH</v>
      </c>
      <c r="J1853" s="6" t="str">
        <f>IFERROR(__xludf.DUMMYFUNCTION("""COMPUTED_VALUE"""),"Capping")</f>
        <v>Capping</v>
      </c>
      <c r="K1853" s="6" t="str">
        <f>IFERROR(__xludf.DUMMYFUNCTION("""COMPUTED_VALUE"""),"SPR/03/25/053")</f>
        <v>SPR/03/25/053</v>
      </c>
      <c r="L1853" s="13">
        <f>IFERROR(__xludf.DUMMYFUNCTION("""COMPUTED_VALUE"""),45743.0)</f>
        <v>45743</v>
      </c>
    </row>
    <row r="1854">
      <c r="A1854" s="6" t="str">
        <f>IFERROR(__xludf.DUMMYFUNCTION("""COMPUTED_VALUE"""),"INN")</f>
        <v>INN</v>
      </c>
      <c r="B1854" s="6" t="str">
        <f>IFERROR(__xludf.DUMMYFUNCTION("""COMPUTED_VALUE"""),"ENG")</f>
        <v>ENG</v>
      </c>
      <c r="C1854" s="6" t="str">
        <f>IFERROR(__xludf.DUMMYFUNCTION("""COMPUTED_VALUE"""),"P-19540-00")</f>
        <v>P-19540-00</v>
      </c>
      <c r="D1854" s="6" t="str">
        <f>IFERROR(__xludf.DUMMYFUNCTION("""COMPUTED_VALUE"""),"General - Roda Pu 3 Inch Drat 1/2 Inch X 30Mm - -")</f>
        <v>General - Roda Pu 3 Inch Drat 1/2 Inch X 30Mm - -</v>
      </c>
      <c r="E1854" s="6">
        <f>IFERROR(__xludf.DUMMYFUNCTION("""COMPUTED_VALUE"""),4.0)</f>
        <v>4</v>
      </c>
      <c r="F1854" s="6">
        <f>IFERROR(__xludf.DUMMYFUNCTION("""COMPUTED_VALUE"""),4.0)</f>
        <v>4</v>
      </c>
      <c r="G1854" s="6">
        <f>IFERROR(__xludf.DUMMYFUNCTION("""COMPUTED_VALUE"""),0.0)</f>
        <v>0</v>
      </c>
      <c r="H1854" s="6" t="str">
        <f>IFERROR(__xludf.DUMMYFUNCTION("""COMPUTED_VALUE"""),"Pcs")</f>
        <v>Pcs</v>
      </c>
      <c r="I1854" s="6" t="str">
        <f>IFERROR(__xludf.DUMMYFUNCTION("""COMPUTED_VALUE"""),"MFH")</f>
        <v>MFH</v>
      </c>
      <c r="J1854" s="6" t="str">
        <f>IFERROR(__xludf.DUMMYFUNCTION("""COMPUTED_VALUE"""),"Video Jet")</f>
        <v>Video Jet</v>
      </c>
      <c r="K1854" s="6" t="str">
        <f>IFERROR(__xludf.DUMMYFUNCTION("""COMPUTED_VALUE"""),"SPR/03/25/053")</f>
        <v>SPR/03/25/053</v>
      </c>
      <c r="L1854" s="13">
        <f>IFERROR(__xludf.DUMMYFUNCTION("""COMPUTED_VALUE"""),45743.0)</f>
        <v>45743</v>
      </c>
    </row>
    <row r="1855">
      <c r="A1855" s="6" t="str">
        <f>IFERROR(__xludf.DUMMYFUNCTION("""COMPUTED_VALUE"""),"AAA")</f>
        <v>AAA</v>
      </c>
      <c r="B1855" s="6" t="str">
        <f>IFERROR(__xludf.DUMMYFUNCTION("""COMPUTED_VALUE"""),"ENG")</f>
        <v>ENG</v>
      </c>
      <c r="C1855" s="6" t="str">
        <f>IFERROR(__xludf.DUMMYFUNCTION("""COMPUTED_VALUE"""),"T-20055-00")</f>
        <v>T-20055-00</v>
      </c>
      <c r="D1855" s="6" t="str">
        <f>IFERROR(__xludf.DUMMYFUNCTION("""COMPUTED_VALUE"""),"Check Valve HPLC Water")</f>
        <v>Check Valve HPLC Water</v>
      </c>
      <c r="E1855" s="6">
        <f>IFERROR(__xludf.DUMMYFUNCTION("""COMPUTED_VALUE"""),1.0)</f>
        <v>1</v>
      </c>
      <c r="F1855" s="6">
        <f>IFERROR(__xludf.DUMMYFUNCTION("""COMPUTED_VALUE"""),1.0)</f>
        <v>1</v>
      </c>
      <c r="G1855" s="6">
        <f>IFERROR(__xludf.DUMMYFUNCTION("""COMPUTED_VALUE"""),0.0)</f>
        <v>0</v>
      </c>
      <c r="H1855" s="6" t="str">
        <f>IFERROR(__xludf.DUMMYFUNCTION("""COMPUTED_VALUE"""),"Pcs")</f>
        <v>Pcs</v>
      </c>
      <c r="I1855" s="6" t="str">
        <f>IFERROR(__xludf.DUMMYFUNCTION("""COMPUTED_VALUE"""),"MFH")</f>
        <v>MFH</v>
      </c>
      <c r="J1855" s="6" t="str">
        <f>IFERROR(__xludf.DUMMYFUNCTION("""COMPUTED_VALUE"""),"HPLC")</f>
        <v>HPLC</v>
      </c>
      <c r="K1855" s="6" t="str">
        <f>IFERROR(__xludf.DUMMYFUNCTION("""COMPUTED_VALUE"""),"SPR/03/25/054")</f>
        <v>SPR/03/25/054</v>
      </c>
      <c r="L1855" s="13">
        <f>IFERROR(__xludf.DUMMYFUNCTION("""COMPUTED_VALUE"""),45743.0)</f>
        <v>45743</v>
      </c>
    </row>
    <row r="1856">
      <c r="A1856" s="6" t="str">
        <f>IFERROR(__xludf.DUMMYFUNCTION("""COMPUTED_VALUE"""),"ANO")</f>
        <v>ANO</v>
      </c>
      <c r="B1856" s="6" t="str">
        <f>IFERROR(__xludf.DUMMYFUNCTION("""COMPUTED_VALUE"""),"ENG")</f>
        <v>ENG</v>
      </c>
      <c r="C1856" s="6" t="str">
        <f>IFERROR(__xludf.DUMMYFUNCTION("""COMPUTED_VALUE"""),"O-13508-00")</f>
        <v>O-13508-00</v>
      </c>
      <c r="D1856" s="6" t="str">
        <f>IFERROR(__xludf.DUMMYFUNCTION("""COMPUTED_VALUE"""),"Pneumatic Fitting - QS 8-6 FESTO P/N : - pc")</f>
        <v>Pneumatic Fitting - QS 8-6 FESTO P/N : - pc</v>
      </c>
      <c r="E1856" s="6">
        <f>IFERROR(__xludf.DUMMYFUNCTION("""COMPUTED_VALUE"""),1.0)</f>
        <v>1</v>
      </c>
      <c r="F1856" s="6">
        <f>IFERROR(__xludf.DUMMYFUNCTION("""COMPUTED_VALUE"""),1.0)</f>
        <v>1</v>
      </c>
      <c r="G1856" s="6">
        <f>IFERROR(__xludf.DUMMYFUNCTION("""COMPUTED_VALUE"""),0.0)</f>
        <v>0</v>
      </c>
      <c r="H1856" s="6" t="str">
        <f>IFERROR(__xludf.DUMMYFUNCTION("""COMPUTED_VALUE"""),"Pcs")</f>
        <v>Pcs</v>
      </c>
      <c r="I1856" s="6" t="str">
        <f>IFERROR(__xludf.DUMMYFUNCTION("""COMPUTED_VALUE"""),"MFH")</f>
        <v>MFH</v>
      </c>
      <c r="J1856" s="6" t="str">
        <f>IFERROR(__xludf.DUMMYFUNCTION("""COMPUTED_VALUE"""),"-")</f>
        <v>-</v>
      </c>
      <c r="K1856" s="6" t="str">
        <f>IFERROR(__xludf.DUMMYFUNCTION("""COMPUTED_VALUE"""),"SPR/03/25/055")</f>
        <v>SPR/03/25/055</v>
      </c>
      <c r="L1856" s="13">
        <f>IFERROR(__xludf.DUMMYFUNCTION("""COMPUTED_VALUE"""),45743.0)</f>
        <v>45743</v>
      </c>
    </row>
    <row r="1857">
      <c r="A1857" s="6" t="str">
        <f>IFERROR(__xludf.DUMMYFUNCTION("""COMPUTED_VALUE"""),"SFH")</f>
        <v>SFH</v>
      </c>
      <c r="B1857" s="6" t="str">
        <f>IFERROR(__xludf.DUMMYFUNCTION("""COMPUTED_VALUE"""),"ENG")</f>
        <v>ENG</v>
      </c>
      <c r="C1857" s="6" t="str">
        <f>IFERROR(__xludf.DUMMYFUNCTION("""COMPUTED_VALUE"""),"Q-10128-00")</f>
        <v>Q-10128-00</v>
      </c>
      <c r="D1857" s="6" t="str">
        <f>IFERROR(__xludf.DUMMYFUNCTION("""COMPUTED_VALUE"""),"Thinner Super End/Impala")</f>
        <v>Thinner Super End/Impala</v>
      </c>
      <c r="E1857" s="6">
        <f>IFERROR(__xludf.DUMMYFUNCTION("""COMPUTED_VALUE"""),2.0)</f>
        <v>2</v>
      </c>
      <c r="F1857" s="6">
        <f>IFERROR(__xludf.DUMMYFUNCTION("""COMPUTED_VALUE"""),2.0)</f>
        <v>2</v>
      </c>
      <c r="G1857" s="6">
        <f>IFERROR(__xludf.DUMMYFUNCTION("""COMPUTED_VALUE"""),0.0)</f>
        <v>0</v>
      </c>
      <c r="H1857" s="6" t="str">
        <f>IFERROR(__xludf.DUMMYFUNCTION("""COMPUTED_VALUE"""),"Pcs")</f>
        <v>Pcs</v>
      </c>
      <c r="I1857" s="6" t="str">
        <f>IFERROR(__xludf.DUMMYFUNCTION("""COMPUTED_VALUE"""),"MFH")</f>
        <v>MFH</v>
      </c>
      <c r="J1857" s="6" t="str">
        <f>IFERROR(__xludf.DUMMYFUNCTION("""COMPUTED_VALUE"""),"Building")</f>
        <v>Building</v>
      </c>
      <c r="K1857" s="6" t="str">
        <f>IFERROR(__xludf.DUMMYFUNCTION("""COMPUTED_VALUE"""),"SPR/03/25/056")</f>
        <v>SPR/03/25/056</v>
      </c>
      <c r="L1857" s="13">
        <f>IFERROR(__xludf.DUMMYFUNCTION("""COMPUTED_VALUE"""),45743.0)</f>
        <v>45743</v>
      </c>
    </row>
    <row r="1858">
      <c r="A1858" s="6" t="str">
        <f>IFERROR(__xludf.DUMMYFUNCTION("""COMPUTED_VALUE"""),"SFH")</f>
        <v>SFH</v>
      </c>
      <c r="B1858" s="6" t="str">
        <f>IFERROR(__xludf.DUMMYFUNCTION("""COMPUTED_VALUE"""),"ENG")</f>
        <v>ENG</v>
      </c>
      <c r="C1858" s="6" t="str">
        <f>IFERROR(__xludf.DUMMYFUNCTION("""COMPUTED_VALUE"""),"T-80109-00")</f>
        <v>T-80109-00</v>
      </c>
      <c r="D1858" s="6" t="str">
        <f>IFERROR(__xludf.DUMMYFUNCTION("""COMPUTED_VALUE"""),"Cellotape Kertas 1 inch warna Putih")</f>
        <v>Cellotape Kertas 1 inch warna Putih</v>
      </c>
      <c r="E1858" s="6">
        <f>IFERROR(__xludf.DUMMYFUNCTION("""COMPUTED_VALUE"""),5.0)</f>
        <v>5</v>
      </c>
      <c r="F1858" s="6">
        <f>IFERROR(__xludf.DUMMYFUNCTION("""COMPUTED_VALUE"""),5.0)</f>
        <v>5</v>
      </c>
      <c r="G1858" s="6">
        <f>IFERROR(__xludf.DUMMYFUNCTION("""COMPUTED_VALUE"""),0.0)</f>
        <v>0</v>
      </c>
      <c r="H1858" s="6" t="str">
        <f>IFERROR(__xludf.DUMMYFUNCTION("""COMPUTED_VALUE"""),"Pcs")</f>
        <v>Pcs</v>
      </c>
      <c r="I1858" s="6" t="str">
        <f>IFERROR(__xludf.DUMMYFUNCTION("""COMPUTED_VALUE"""),"MFH")</f>
        <v>MFH</v>
      </c>
      <c r="J1858" s="6" t="str">
        <f>IFERROR(__xludf.DUMMYFUNCTION("""COMPUTED_VALUE"""),"Building")</f>
        <v>Building</v>
      </c>
      <c r="K1858" s="6" t="str">
        <f>IFERROR(__xludf.DUMMYFUNCTION("""COMPUTED_VALUE"""),"SPR/03/25/056")</f>
        <v>SPR/03/25/056</v>
      </c>
      <c r="L1858" s="13">
        <f>IFERROR(__xludf.DUMMYFUNCTION("""COMPUTED_VALUE"""),45743.0)</f>
        <v>45743</v>
      </c>
    </row>
    <row r="1859">
      <c r="A1859" s="6" t="str">
        <f>IFERROR(__xludf.DUMMYFUNCTION("""COMPUTED_VALUE"""),"RMA")</f>
        <v>RMA</v>
      </c>
      <c r="B1859" s="6" t="str">
        <f>IFERROR(__xludf.DUMMYFUNCTION("""COMPUTED_VALUE"""),"ENG")</f>
        <v>ENG</v>
      </c>
      <c r="C1859" s="6" t="str">
        <f>IFERROR(__xludf.DUMMYFUNCTION("""COMPUTED_VALUE"""),"T-20055-00")</f>
        <v>T-20055-00</v>
      </c>
      <c r="D1859" s="6" t="str">
        <f>IFERROR(__xludf.DUMMYFUNCTION("""COMPUTED_VALUE"""),"Check valme HPLC")</f>
        <v>Check valme HPLC</v>
      </c>
      <c r="E1859" s="6">
        <f>IFERROR(__xludf.DUMMYFUNCTION("""COMPUTED_VALUE"""),1.0)</f>
        <v>1</v>
      </c>
      <c r="F1859" s="6">
        <f>IFERROR(__xludf.DUMMYFUNCTION("""COMPUTED_VALUE"""),1.0)</f>
        <v>1</v>
      </c>
      <c r="G1859" s="6">
        <f>IFERROR(__xludf.DUMMYFUNCTION("""COMPUTED_VALUE"""),0.0)</f>
        <v>0</v>
      </c>
      <c r="H1859" s="6" t="str">
        <f>IFERROR(__xludf.DUMMYFUNCTION("""COMPUTED_VALUE"""),"Pcs")</f>
        <v>Pcs</v>
      </c>
      <c r="I1859" s="6" t="str">
        <f>IFERROR(__xludf.DUMMYFUNCTION("""COMPUTED_VALUE"""),"MFH")</f>
        <v>MFH</v>
      </c>
      <c r="J1859" s="6" t="str">
        <f>IFERROR(__xludf.DUMMYFUNCTION("""COMPUTED_VALUE"""),"HPLC")</f>
        <v>HPLC</v>
      </c>
      <c r="K1859" s="6" t="str">
        <f>IFERROR(__xludf.DUMMYFUNCTION("""COMPUTED_VALUE"""),"SPR/03/25/057")</f>
        <v>SPR/03/25/057</v>
      </c>
      <c r="L1859" s="13">
        <f>IFERROR(__xludf.DUMMYFUNCTION("""COMPUTED_VALUE"""),45743.0)</f>
        <v>45743</v>
      </c>
    </row>
    <row r="1860">
      <c r="A1860" s="6" t="str">
        <f>IFERROR(__xludf.DUMMYFUNCTION("""COMPUTED_VALUE"""),"ROS")</f>
        <v>ROS</v>
      </c>
      <c r="B1860" s="6" t="str">
        <f>IFERROR(__xludf.DUMMYFUNCTION("""COMPUTED_VALUE"""),"ENG")</f>
        <v>ENG</v>
      </c>
      <c r="C1860" s="6" t="str">
        <f>IFERROR(__xludf.DUMMYFUNCTION("""COMPUTED_VALUE"""),"O-16033-00")</f>
        <v>O-16033-00</v>
      </c>
      <c r="D186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1860" s="6">
        <f>IFERROR(__xludf.DUMMYFUNCTION("""COMPUTED_VALUE"""),1.0)</f>
        <v>1</v>
      </c>
      <c r="F1860" s="6">
        <f>IFERROR(__xludf.DUMMYFUNCTION("""COMPUTED_VALUE"""),1.0)</f>
        <v>1</v>
      </c>
      <c r="G1860" s="6">
        <f>IFERROR(__xludf.DUMMYFUNCTION("""COMPUTED_VALUE"""),0.0)</f>
        <v>0</v>
      </c>
      <c r="H1860" s="6" t="str">
        <f>IFERROR(__xludf.DUMMYFUNCTION("""COMPUTED_VALUE"""),"Pcs")</f>
        <v>Pcs</v>
      </c>
      <c r="I1860" s="6" t="str">
        <f>IFERROR(__xludf.DUMMYFUNCTION("""COMPUTED_VALUE"""),"MFH")</f>
        <v>MFH</v>
      </c>
      <c r="J1860" s="6" t="str">
        <f>IFERROR(__xludf.DUMMYFUNCTION("""COMPUTED_VALUE"""),"Filing")</f>
        <v>Filing</v>
      </c>
      <c r="K1860" s="6" t="str">
        <f>IFERROR(__xludf.DUMMYFUNCTION("""COMPUTED_VALUE"""),"SPR/03/25/058")</f>
        <v>SPR/03/25/058</v>
      </c>
      <c r="L1860" s="13">
        <f>IFERROR(__xludf.DUMMYFUNCTION("""COMPUTED_VALUE"""),45743.0)</f>
        <v>45743</v>
      </c>
    </row>
    <row r="1861">
      <c r="A1861" s="6" t="str">
        <f>IFERROR(__xludf.DUMMYFUNCTION("""COMPUTED_VALUE"""),"ROS")</f>
        <v>ROS</v>
      </c>
      <c r="B1861" s="6" t="str">
        <f>IFERROR(__xludf.DUMMYFUNCTION("""COMPUTED_VALUE"""),"ENG")</f>
        <v>ENG</v>
      </c>
      <c r="C1861" s="6" t="str">
        <f>IFERROR(__xludf.DUMMYFUNCTION("""COMPUTED_VALUE"""),"O-16032-00")</f>
        <v>O-16032-00</v>
      </c>
      <c r="D186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1861" s="6">
        <f>IFERROR(__xludf.DUMMYFUNCTION("""COMPUTED_VALUE"""),1.0)</f>
        <v>1</v>
      </c>
      <c r="F1861" s="6">
        <f>IFERROR(__xludf.DUMMYFUNCTION("""COMPUTED_VALUE"""),1.0)</f>
        <v>1</v>
      </c>
      <c r="G1861" s="6">
        <f>IFERROR(__xludf.DUMMYFUNCTION("""COMPUTED_VALUE"""),0.0)</f>
        <v>0</v>
      </c>
      <c r="H1861" s="6" t="str">
        <f>IFERROR(__xludf.DUMMYFUNCTION("""COMPUTED_VALUE"""),"Pcs")</f>
        <v>Pcs</v>
      </c>
      <c r="I1861" s="6" t="str">
        <f>IFERROR(__xludf.DUMMYFUNCTION("""COMPUTED_VALUE"""),"MFH")</f>
        <v>MFH</v>
      </c>
      <c r="J1861" s="6" t="str">
        <f>IFERROR(__xludf.DUMMYFUNCTION("""COMPUTED_VALUE"""),"Filing")</f>
        <v>Filing</v>
      </c>
      <c r="K1861" s="6" t="str">
        <f>IFERROR(__xludf.DUMMYFUNCTION("""COMPUTED_VALUE"""),"SPR/03/25/058")</f>
        <v>SPR/03/25/058</v>
      </c>
      <c r="L1861" s="13">
        <f>IFERROR(__xludf.DUMMYFUNCTION("""COMPUTED_VALUE"""),45743.0)</f>
        <v>45743</v>
      </c>
    </row>
    <row r="1862">
      <c r="A1862" s="6" t="str">
        <f>IFERROR(__xludf.DUMMYFUNCTION("""COMPUTED_VALUE"""),"MRN")</f>
        <v>MRN</v>
      </c>
      <c r="B1862" s="6" t="str">
        <f>IFERROR(__xludf.DUMMYFUNCTION("""COMPUTED_VALUE"""),"ENG")</f>
        <v>ENG</v>
      </c>
      <c r="C1862" s="6" t="str">
        <f>IFERROR(__xludf.DUMMYFUNCTION("""COMPUTED_VALUE"""),"P-10859-00")</f>
        <v>P-10859-00</v>
      </c>
      <c r="D1862" s="6" t="str">
        <f>IFERROR(__xludf.DUMMYFUNCTION("""COMPUTED_VALUE"""),"Fitting PVC - Elbow PVC 1/2"" Rucika AW")</f>
        <v>Fitting PVC - Elbow PVC 1/2" Rucika AW</v>
      </c>
      <c r="E1862" s="6">
        <f>IFERROR(__xludf.DUMMYFUNCTION("""COMPUTED_VALUE"""),10.0)</f>
        <v>10</v>
      </c>
      <c r="F1862" s="6">
        <f>IFERROR(__xludf.DUMMYFUNCTION("""COMPUTED_VALUE"""),10.0)</f>
        <v>10</v>
      </c>
      <c r="G1862" s="6">
        <f>IFERROR(__xludf.DUMMYFUNCTION("""COMPUTED_VALUE"""),0.0)</f>
        <v>0</v>
      </c>
      <c r="H1862" s="6" t="str">
        <f>IFERROR(__xludf.DUMMYFUNCTION("""COMPUTED_VALUE"""),"Pcs")</f>
        <v>Pcs</v>
      </c>
      <c r="I1862" s="6" t="str">
        <f>IFERROR(__xludf.DUMMYFUNCTION("""COMPUTED_VALUE"""),"MFH")</f>
        <v>MFH</v>
      </c>
      <c r="J1862" s="6" t="str">
        <f>IFERROR(__xludf.DUMMYFUNCTION("""COMPUTED_VALUE"""),"Chamber")</f>
        <v>Chamber</v>
      </c>
      <c r="K1862" s="6" t="str">
        <f>IFERROR(__xludf.DUMMYFUNCTION("""COMPUTED_VALUE"""),"SPR/03/25/059")</f>
        <v>SPR/03/25/059</v>
      </c>
      <c r="L1862" s="13">
        <f>IFERROR(__xludf.DUMMYFUNCTION("""COMPUTED_VALUE"""),45743.0)</f>
        <v>45743</v>
      </c>
    </row>
    <row r="1863">
      <c r="A1863" s="6" t="str">
        <f>IFERROR(__xludf.DUMMYFUNCTION("""COMPUTED_VALUE"""),"MRN")</f>
        <v>MRN</v>
      </c>
      <c r="B1863" s="6" t="str">
        <f>IFERROR(__xludf.DUMMYFUNCTION("""COMPUTED_VALUE"""),"ENG")</f>
        <v>ENG</v>
      </c>
      <c r="C1863" s="6" t="str">
        <f>IFERROR(__xludf.DUMMYFUNCTION("""COMPUTED_VALUE"""),"P-12943-00")</f>
        <v>P-12943-00</v>
      </c>
      <c r="D1863" s="6" t="str">
        <f>IFERROR(__xludf.DUMMYFUNCTION("""COMPUTED_VALUE"""),"Water Mur PVC dia 1/2inch")</f>
        <v>Water Mur PVC dia 1/2inch</v>
      </c>
      <c r="E1863" s="6">
        <f>IFERROR(__xludf.DUMMYFUNCTION("""COMPUTED_VALUE"""),3.0)</f>
        <v>3</v>
      </c>
      <c r="F1863" s="6">
        <f>IFERROR(__xludf.DUMMYFUNCTION("""COMPUTED_VALUE"""),3.0)</f>
        <v>3</v>
      </c>
      <c r="G1863" s="6">
        <f>IFERROR(__xludf.DUMMYFUNCTION("""COMPUTED_VALUE"""),0.0)</f>
        <v>0</v>
      </c>
      <c r="H1863" s="6" t="str">
        <f>IFERROR(__xludf.DUMMYFUNCTION("""COMPUTED_VALUE"""),"Pcs")</f>
        <v>Pcs</v>
      </c>
      <c r="I1863" s="6" t="str">
        <f>IFERROR(__xludf.DUMMYFUNCTION("""COMPUTED_VALUE"""),"MFH")</f>
        <v>MFH</v>
      </c>
      <c r="J1863" s="6" t="str">
        <f>IFERROR(__xludf.DUMMYFUNCTION("""COMPUTED_VALUE"""),"Chamber")</f>
        <v>Chamber</v>
      </c>
      <c r="K1863" s="6" t="str">
        <f>IFERROR(__xludf.DUMMYFUNCTION("""COMPUTED_VALUE"""),"SPR/03/25/059")</f>
        <v>SPR/03/25/059</v>
      </c>
      <c r="L1863" s="13">
        <f>IFERROR(__xludf.DUMMYFUNCTION("""COMPUTED_VALUE"""),45743.0)</f>
        <v>45743</v>
      </c>
    </row>
    <row r="1864">
      <c r="A1864" s="6" t="str">
        <f>IFERROR(__xludf.DUMMYFUNCTION("""COMPUTED_VALUE"""),"MRN")</f>
        <v>MRN</v>
      </c>
      <c r="B1864" s="6" t="str">
        <f>IFERROR(__xludf.DUMMYFUNCTION("""COMPUTED_VALUE"""),"ENG")</f>
        <v>ENG</v>
      </c>
      <c r="C1864" s="6" t="str">
        <f>IFERROR(__xludf.DUMMYFUNCTION("""COMPUTED_VALUE"""),"P-10899-00")</f>
        <v>P-10899-00</v>
      </c>
      <c r="D1864" s="6" t="str">
        <f>IFERROR(__xludf.DUMMYFUNCTION("""COMPUTED_VALUE"""),"Fitting PVC - Sock PVC 3/4""")</f>
        <v>Fitting PVC - Sock PVC 3/4"</v>
      </c>
      <c r="E1864" s="6">
        <f>IFERROR(__xludf.DUMMYFUNCTION("""COMPUTED_VALUE"""),3.0)</f>
        <v>3</v>
      </c>
      <c r="F1864" s="6">
        <f>IFERROR(__xludf.DUMMYFUNCTION("""COMPUTED_VALUE"""),3.0)</f>
        <v>3</v>
      </c>
      <c r="G1864" s="6">
        <f>IFERROR(__xludf.DUMMYFUNCTION("""COMPUTED_VALUE"""),0.0)</f>
        <v>0</v>
      </c>
      <c r="H1864" s="6" t="str">
        <f>IFERROR(__xludf.DUMMYFUNCTION("""COMPUTED_VALUE"""),"Pcs")</f>
        <v>Pcs</v>
      </c>
      <c r="I1864" s="6" t="str">
        <f>IFERROR(__xludf.DUMMYFUNCTION("""COMPUTED_VALUE"""),"MFH")</f>
        <v>MFH</v>
      </c>
      <c r="J1864" s="6" t="str">
        <f>IFERROR(__xludf.DUMMYFUNCTION("""COMPUTED_VALUE"""),"Chamber")</f>
        <v>Chamber</v>
      </c>
      <c r="K1864" s="6" t="str">
        <f>IFERROR(__xludf.DUMMYFUNCTION("""COMPUTED_VALUE"""),"SPR/03/25/059")</f>
        <v>SPR/03/25/059</v>
      </c>
      <c r="L1864" s="13">
        <f>IFERROR(__xludf.DUMMYFUNCTION("""COMPUTED_VALUE"""),45743.0)</f>
        <v>45743</v>
      </c>
    </row>
    <row r="1865">
      <c r="A1865" s="6" t="str">
        <f>IFERROR(__xludf.DUMMYFUNCTION("""COMPUTED_VALUE"""),"INN")</f>
        <v>INN</v>
      </c>
      <c r="B1865" s="6" t="str">
        <f>IFERROR(__xludf.DUMMYFUNCTION("""COMPUTED_VALUE"""),"ENG")</f>
        <v>ENG</v>
      </c>
      <c r="C1865" s="6" t="str">
        <f>IFERROR(__xludf.DUMMYFUNCTION("""COMPUTED_VALUE"""),"O-53032-00")</f>
        <v>O-53032-00</v>
      </c>
      <c r="D1865" s="6" t="str">
        <f>IFERROR(__xludf.DUMMYFUNCTION("""COMPUTED_VALUE"""),"Cable Temperature Sensor Silicone 1,5m PT1000 QAP2012.150")</f>
        <v>Cable Temperature Sensor Silicone 1,5m PT1000 QAP2012.150</v>
      </c>
      <c r="E1865" s="6">
        <f>IFERROR(__xludf.DUMMYFUNCTION("""COMPUTED_VALUE"""),1.0)</f>
        <v>1</v>
      </c>
      <c r="F1865" s="6">
        <f>IFERROR(__xludf.DUMMYFUNCTION("""COMPUTED_VALUE"""),1.0)</f>
        <v>1</v>
      </c>
      <c r="G1865" s="6">
        <f>IFERROR(__xludf.DUMMYFUNCTION("""COMPUTED_VALUE"""),0.0)</f>
        <v>0</v>
      </c>
      <c r="H1865" s="6" t="str">
        <f>IFERROR(__xludf.DUMMYFUNCTION("""COMPUTED_VALUE"""),"Pcs")</f>
        <v>Pcs</v>
      </c>
      <c r="I1865" s="6" t="str">
        <f>IFERROR(__xludf.DUMMYFUNCTION("""COMPUTED_VALUE"""),"MFH")</f>
        <v>MFH</v>
      </c>
      <c r="J1865" s="6" t="str">
        <f>IFERROR(__xludf.DUMMYFUNCTION("""COMPUTED_VALUE"""),"Lab Micro")</f>
        <v>Lab Micro</v>
      </c>
      <c r="K1865" s="6" t="str">
        <f>IFERROR(__xludf.DUMMYFUNCTION("""COMPUTED_VALUE"""),"SPR/03/25/060")</f>
        <v>SPR/03/25/060</v>
      </c>
      <c r="L1865" s="13">
        <f>IFERROR(__xludf.DUMMYFUNCTION("""COMPUTED_VALUE"""),45743.0)</f>
        <v>45743</v>
      </c>
    </row>
    <row r="1866">
      <c r="A1866" s="6" t="str">
        <f>IFERROR(__xludf.DUMMYFUNCTION("""COMPUTED_VALUE"""),"SFH")</f>
        <v>SFH</v>
      </c>
      <c r="B1866" s="6" t="str">
        <f>IFERROR(__xludf.DUMMYFUNCTION("""COMPUTED_VALUE"""),"ENG")</f>
        <v>ENG</v>
      </c>
      <c r="C1866" s="6" t="str">
        <f>IFERROR(__xludf.DUMMYFUNCTION("""COMPUTED_VALUE"""),"Q-10128-00")</f>
        <v>Q-10128-00</v>
      </c>
      <c r="D1866" s="6" t="str">
        <f>IFERROR(__xludf.DUMMYFUNCTION("""COMPUTED_VALUE"""),"Thinner Super End/Impala")</f>
        <v>Thinner Super End/Impala</v>
      </c>
      <c r="E1866" s="6">
        <f>IFERROR(__xludf.DUMMYFUNCTION("""COMPUTED_VALUE"""),1.0)</f>
        <v>1</v>
      </c>
      <c r="F1866" s="6">
        <f>IFERROR(__xludf.DUMMYFUNCTION("""COMPUTED_VALUE"""),1.0)</f>
        <v>1</v>
      </c>
      <c r="G1866" s="6">
        <f>IFERROR(__xludf.DUMMYFUNCTION("""COMPUTED_VALUE"""),0.0)</f>
        <v>0</v>
      </c>
      <c r="H1866" s="6" t="str">
        <f>IFERROR(__xludf.DUMMYFUNCTION("""COMPUTED_VALUE"""),"Pcs")</f>
        <v>Pcs</v>
      </c>
      <c r="I1866" s="6" t="str">
        <f>IFERROR(__xludf.DUMMYFUNCTION("""COMPUTED_VALUE"""),"MFH")</f>
        <v>MFH</v>
      </c>
      <c r="J1866" s="6" t="str">
        <f>IFERROR(__xludf.DUMMYFUNCTION("""COMPUTED_VALUE"""),"Building")</f>
        <v>Building</v>
      </c>
      <c r="K1866" s="6" t="str">
        <f>IFERROR(__xludf.DUMMYFUNCTION("""COMPUTED_VALUE"""),"SPR/03/25/061")</f>
        <v>SPR/03/25/061</v>
      </c>
      <c r="L1866" s="13">
        <f>IFERROR(__xludf.DUMMYFUNCTION("""COMPUTED_VALUE"""),45743.0)</f>
        <v>45743</v>
      </c>
    </row>
    <row r="1867">
      <c r="A1867" s="6" t="str">
        <f>IFERROR(__xludf.DUMMYFUNCTION("""COMPUTED_VALUE"""),"SFH")</f>
        <v>SFH</v>
      </c>
      <c r="B1867" s="6" t="str">
        <f>IFERROR(__xludf.DUMMYFUNCTION("""COMPUTED_VALUE"""),"ENG")</f>
        <v>ENG</v>
      </c>
      <c r="C1867" s="6" t="str">
        <f>IFERROR(__xludf.DUMMYFUNCTION("""COMPUTED_VALUE"""),"Q-60025-00")</f>
        <v>Q-60025-00</v>
      </c>
      <c r="D1867" s="6" t="str">
        <f>IFERROR(__xludf.DUMMYFUNCTION("""COMPUTED_VALUE"""),"Kuas Eterna 1 inchi")</f>
        <v>Kuas Eterna 1 inchi</v>
      </c>
      <c r="E1867" s="6">
        <f>IFERROR(__xludf.DUMMYFUNCTION("""COMPUTED_VALUE"""),1.0)</f>
        <v>1</v>
      </c>
      <c r="F1867" s="6">
        <f>IFERROR(__xludf.DUMMYFUNCTION("""COMPUTED_VALUE"""),1.0)</f>
        <v>1</v>
      </c>
      <c r="G1867" s="6">
        <f>IFERROR(__xludf.DUMMYFUNCTION("""COMPUTED_VALUE"""),0.0)</f>
        <v>0</v>
      </c>
      <c r="H1867" s="6" t="str">
        <f>IFERROR(__xludf.DUMMYFUNCTION("""COMPUTED_VALUE"""),"Pcs")</f>
        <v>Pcs</v>
      </c>
      <c r="I1867" s="6" t="str">
        <f>IFERROR(__xludf.DUMMYFUNCTION("""COMPUTED_VALUE"""),"MFH")</f>
        <v>MFH</v>
      </c>
      <c r="J1867" s="6" t="str">
        <f>IFERROR(__xludf.DUMMYFUNCTION("""COMPUTED_VALUE"""),"Building")</f>
        <v>Building</v>
      </c>
      <c r="K1867" s="6" t="str">
        <f>IFERROR(__xludf.DUMMYFUNCTION("""COMPUTED_VALUE"""),"SPR/03/25/061")</f>
        <v>SPR/03/25/061</v>
      </c>
      <c r="L1867" s="13">
        <f>IFERROR(__xludf.DUMMYFUNCTION("""COMPUTED_VALUE"""),45743.0)</f>
        <v>45743</v>
      </c>
    </row>
    <row r="1868">
      <c r="A1868" s="6" t="str">
        <f>IFERROR(__xludf.DUMMYFUNCTION("""COMPUTED_VALUE"""),"SFH")</f>
        <v>SFH</v>
      </c>
      <c r="B1868" s="6" t="str">
        <f>IFERROR(__xludf.DUMMYFUNCTION("""COMPUTED_VALUE"""),"ENG")</f>
        <v>ENG</v>
      </c>
      <c r="C1868" s="6" t="str">
        <f>IFERROR(__xludf.DUMMYFUNCTION("""COMPUTED_VALUE"""),"Q-60025-00")</f>
        <v>Q-60025-00</v>
      </c>
      <c r="D1868" s="6" t="str">
        <f>IFERROR(__xludf.DUMMYFUNCTION("""COMPUTED_VALUE"""),"Kuas Eterna 1 inchi")</f>
        <v>Kuas Eterna 1 inchi</v>
      </c>
      <c r="E1868" s="6">
        <f>IFERROR(__xludf.DUMMYFUNCTION("""COMPUTED_VALUE"""),1.0)</f>
        <v>1</v>
      </c>
      <c r="F1868" s="6">
        <f>IFERROR(__xludf.DUMMYFUNCTION("""COMPUTED_VALUE"""),1.0)</f>
        <v>1</v>
      </c>
      <c r="G1868" s="6">
        <f>IFERROR(__xludf.DUMMYFUNCTION("""COMPUTED_VALUE"""),0.0)</f>
        <v>0</v>
      </c>
      <c r="H1868" s="6" t="str">
        <f>IFERROR(__xludf.DUMMYFUNCTION("""COMPUTED_VALUE"""),"Pcs")</f>
        <v>Pcs</v>
      </c>
      <c r="I1868" s="6" t="str">
        <f>IFERROR(__xludf.DUMMYFUNCTION("""COMPUTED_VALUE"""),"MFH")</f>
        <v>MFH</v>
      </c>
      <c r="J1868" s="6" t="str">
        <f>IFERROR(__xludf.DUMMYFUNCTION("""COMPUTED_VALUE"""),"Building")</f>
        <v>Building</v>
      </c>
      <c r="K1868" s="6" t="str">
        <f>IFERROR(__xludf.DUMMYFUNCTION("""COMPUTED_VALUE"""),"SPR/03/25/062")</f>
        <v>SPR/03/25/062</v>
      </c>
      <c r="L1868" s="13">
        <f>IFERROR(__xludf.DUMMYFUNCTION("""COMPUTED_VALUE"""),45743.0)</f>
        <v>45743</v>
      </c>
    </row>
    <row r="1869">
      <c r="A1869" s="6" t="str">
        <f>IFERROR(__xludf.DUMMYFUNCTION("""COMPUTED_VALUE"""),"SFH")</f>
        <v>SFH</v>
      </c>
      <c r="B1869" s="6" t="str">
        <f>IFERROR(__xludf.DUMMYFUNCTION("""COMPUTED_VALUE"""),"ENG")</f>
        <v>ENG</v>
      </c>
      <c r="C1869" s="6" t="str">
        <f>IFERROR(__xludf.DUMMYFUNCTION("""COMPUTED_VALUE"""),"Q-10153-00")</f>
        <v>Q-10153-00</v>
      </c>
      <c r="D1869" s="6" t="str">
        <f>IFERROR(__xludf.DUMMYFUNCTION("""COMPUTED_VALUE"""),"Roller cat 110mm")</f>
        <v>Roller cat 110mm</v>
      </c>
      <c r="E1869" s="6">
        <f>IFERROR(__xludf.DUMMYFUNCTION("""COMPUTED_VALUE"""),1.0)</f>
        <v>1</v>
      </c>
      <c r="F1869" s="6">
        <f>IFERROR(__xludf.DUMMYFUNCTION("""COMPUTED_VALUE"""),1.0)</f>
        <v>1</v>
      </c>
      <c r="G1869" s="6">
        <f>IFERROR(__xludf.DUMMYFUNCTION("""COMPUTED_VALUE"""),0.0)</f>
        <v>0</v>
      </c>
      <c r="H1869" s="6" t="str">
        <f>IFERROR(__xludf.DUMMYFUNCTION("""COMPUTED_VALUE"""),"Pcs")</f>
        <v>Pcs</v>
      </c>
      <c r="I1869" s="6" t="str">
        <f>IFERROR(__xludf.DUMMYFUNCTION("""COMPUTED_VALUE"""),"MFH")</f>
        <v>MFH</v>
      </c>
      <c r="J1869" s="6" t="str">
        <f>IFERROR(__xludf.DUMMYFUNCTION("""COMPUTED_VALUE"""),"Building")</f>
        <v>Building</v>
      </c>
      <c r="K1869" s="6" t="str">
        <f>IFERROR(__xludf.DUMMYFUNCTION("""COMPUTED_VALUE"""),"SPR/03/25/062")</f>
        <v>SPR/03/25/062</v>
      </c>
      <c r="L1869" s="13">
        <f>IFERROR(__xludf.DUMMYFUNCTION("""COMPUTED_VALUE"""),45743.0)</f>
        <v>45743</v>
      </c>
    </row>
    <row r="1870">
      <c r="A1870" s="6" t="str">
        <f>IFERROR(__xludf.DUMMYFUNCTION("""COMPUTED_VALUE"""),"SFH")</f>
        <v>SFH</v>
      </c>
      <c r="B1870" s="6" t="str">
        <f>IFERROR(__xludf.DUMMYFUNCTION("""COMPUTED_VALUE"""),"ENG")</f>
        <v>ENG</v>
      </c>
      <c r="C1870" s="6" t="str">
        <f>IFERROR(__xludf.DUMMYFUNCTION("""COMPUTED_VALUE"""),"P-13429-00")</f>
        <v>P-13429-00</v>
      </c>
      <c r="D1870" s="6" t="str">
        <f>IFERROR(__xludf.DUMMYFUNCTION("""COMPUTED_VALUE"""),"Cable Ducting 25x40mm")</f>
        <v>Cable Ducting 25x40mm</v>
      </c>
      <c r="E1870" s="6">
        <f>IFERROR(__xludf.DUMMYFUNCTION("""COMPUTED_VALUE"""),1.0)</f>
        <v>1</v>
      </c>
      <c r="F1870" s="6">
        <f>IFERROR(__xludf.DUMMYFUNCTION("""COMPUTED_VALUE"""),1.0)</f>
        <v>1</v>
      </c>
      <c r="G1870" s="6">
        <f>IFERROR(__xludf.DUMMYFUNCTION("""COMPUTED_VALUE"""),0.0)</f>
        <v>0</v>
      </c>
      <c r="H1870" s="6" t="str">
        <f>IFERROR(__xludf.DUMMYFUNCTION("""COMPUTED_VALUE"""),"Pcs")</f>
        <v>Pcs</v>
      </c>
      <c r="I1870" s="6" t="str">
        <f>IFERROR(__xludf.DUMMYFUNCTION("""COMPUTED_VALUE"""),"MFH")</f>
        <v>MFH</v>
      </c>
      <c r="J1870" s="6" t="str">
        <f>IFERROR(__xludf.DUMMYFUNCTION("""COMPUTED_VALUE"""),"Building")</f>
        <v>Building</v>
      </c>
      <c r="K1870" s="6" t="str">
        <f>IFERROR(__xludf.DUMMYFUNCTION("""COMPUTED_VALUE"""),"SPR/03/25/062")</f>
        <v>SPR/03/25/062</v>
      </c>
      <c r="L1870" s="13">
        <f>IFERROR(__xludf.DUMMYFUNCTION("""COMPUTED_VALUE"""),45743.0)</f>
        <v>45743</v>
      </c>
    </row>
    <row r="1871">
      <c r="A1871" s="6" t="str">
        <f>IFERROR(__xludf.DUMMYFUNCTION("""COMPUTED_VALUE"""),"NDS")</f>
        <v>NDS</v>
      </c>
      <c r="B1871" s="6" t="str">
        <f>IFERROR(__xludf.DUMMYFUNCTION("""COMPUTED_VALUE"""),"ENG")</f>
        <v>ENG</v>
      </c>
      <c r="C1871" s="6" t="str">
        <f>IFERROR(__xludf.DUMMYFUNCTION("""COMPUTED_VALUE"""),"P-18835-00")</f>
        <v>P-18835-00</v>
      </c>
      <c r="D1871" s="6" t="str">
        <f>IFERROR(__xludf.DUMMYFUNCTION("""COMPUTED_VALUE"""),"Solenoid Valve Pneumatic UD08E4 Port 1/4"" 2/2 Way 24VDC; EMC; ;")</f>
        <v>Solenoid Valve Pneumatic UD08E4 Port 1/4" 2/2 Way 24VDC; EMC; ;</v>
      </c>
      <c r="E1871" s="6">
        <f>IFERROR(__xludf.DUMMYFUNCTION("""COMPUTED_VALUE"""),1.0)</f>
        <v>1</v>
      </c>
      <c r="F1871" s="6">
        <f>IFERROR(__xludf.DUMMYFUNCTION("""COMPUTED_VALUE"""),1.0)</f>
        <v>1</v>
      </c>
      <c r="G1871" s="6">
        <f>IFERROR(__xludf.DUMMYFUNCTION("""COMPUTED_VALUE"""),0.0)</f>
        <v>0</v>
      </c>
      <c r="H1871" s="6" t="str">
        <f>IFERROR(__xludf.DUMMYFUNCTION("""COMPUTED_VALUE"""),"Pcs")</f>
        <v>Pcs</v>
      </c>
      <c r="I1871" s="6" t="str">
        <f>IFERROR(__xludf.DUMMYFUNCTION("""COMPUTED_VALUE"""),"MFH")</f>
        <v>MFH</v>
      </c>
      <c r="J1871" s="6" t="str">
        <f>IFERROR(__xludf.DUMMYFUNCTION("""COMPUTED_VALUE"""),"Tunnel")</f>
        <v>Tunnel</v>
      </c>
      <c r="K1871" s="6" t="str">
        <f>IFERROR(__xludf.DUMMYFUNCTION("""COMPUTED_VALUE"""),"SPR/03/25/063")</f>
        <v>SPR/03/25/063</v>
      </c>
      <c r="L1871" s="13">
        <f>IFERROR(__xludf.DUMMYFUNCTION("""COMPUTED_VALUE"""),45743.0)</f>
        <v>45743</v>
      </c>
    </row>
    <row r="1872">
      <c r="A1872" s="6" t="str">
        <f>IFERROR(__xludf.DUMMYFUNCTION("""COMPUTED_VALUE"""),"NDS")</f>
        <v>NDS</v>
      </c>
      <c r="B1872" s="6" t="str">
        <f>IFERROR(__xludf.DUMMYFUNCTION("""COMPUTED_VALUE"""),"ENG")</f>
        <v>ENG</v>
      </c>
      <c r="C1872" s="6" t="str">
        <f>IFERROR(__xludf.DUMMYFUNCTION("""COMPUTED_VALUE"""),"O-19339-00")</f>
        <v>O-19339-00</v>
      </c>
      <c r="D1872" s="6" t="str">
        <f>IFERROR(__xludf.DUMMYFUNCTION("""COMPUTED_VALUE"""),"Oring 2,5x6x11 mm, Material EPDM; ; ;")</f>
        <v>Oring 2,5x6x11 mm, Material EPDM; ; ;</v>
      </c>
      <c r="E1872" s="6">
        <f>IFERROR(__xludf.DUMMYFUNCTION("""COMPUTED_VALUE"""),4.0)</f>
        <v>4</v>
      </c>
      <c r="F1872" s="6">
        <f>IFERROR(__xludf.DUMMYFUNCTION("""COMPUTED_VALUE"""),4.0)</f>
        <v>4</v>
      </c>
      <c r="G1872" s="6">
        <f>IFERROR(__xludf.DUMMYFUNCTION("""COMPUTED_VALUE"""),0.0)</f>
        <v>0</v>
      </c>
      <c r="H1872" s="6" t="str">
        <f>IFERROR(__xludf.DUMMYFUNCTION("""COMPUTED_VALUE"""),"Pcs")</f>
        <v>Pcs</v>
      </c>
      <c r="I1872" s="6" t="str">
        <f>IFERROR(__xludf.DUMMYFUNCTION("""COMPUTED_VALUE"""),"MFH")</f>
        <v>MFH</v>
      </c>
      <c r="J1872" s="6" t="str">
        <f>IFERROR(__xludf.DUMMYFUNCTION("""COMPUTED_VALUE"""),"Stability")</f>
        <v>Stability</v>
      </c>
      <c r="K1872" s="6" t="str">
        <f>IFERROR(__xludf.DUMMYFUNCTION("""COMPUTED_VALUE"""),"SPR/03/25/064")</f>
        <v>SPR/03/25/064</v>
      </c>
      <c r="L1872" s="13">
        <f>IFERROR(__xludf.DUMMYFUNCTION("""COMPUTED_VALUE"""),45743.0)</f>
        <v>45743</v>
      </c>
    </row>
    <row r="1873">
      <c r="A1873" s="6" t="str">
        <f>IFERROR(__xludf.DUMMYFUNCTION("""COMPUTED_VALUE"""),"NDS")</f>
        <v>NDS</v>
      </c>
      <c r="B1873" s="6" t="str">
        <f>IFERROR(__xludf.DUMMYFUNCTION("""COMPUTED_VALUE"""),"ENG")</f>
        <v>ENG</v>
      </c>
      <c r="C1873" s="6" t="str">
        <f>IFERROR(__xludf.DUMMYFUNCTION("""COMPUTED_VALUE"""),"P-18788-00")</f>
        <v>P-18788-00</v>
      </c>
      <c r="D1873" s="6" t="str">
        <f>IFERROR(__xludf.DUMMYFUNCTION("""COMPUTED_VALUE"""),"Baut SS Hexagon SS M6x55mm + Mur")</f>
        <v>Baut SS Hexagon SS M6x55mm + Mur</v>
      </c>
      <c r="E1873" s="6">
        <f>IFERROR(__xludf.DUMMYFUNCTION("""COMPUTED_VALUE"""),4.0)</f>
        <v>4</v>
      </c>
      <c r="F1873" s="6">
        <f>IFERROR(__xludf.DUMMYFUNCTION("""COMPUTED_VALUE"""),4.0)</f>
        <v>4</v>
      </c>
      <c r="G1873" s="6">
        <f>IFERROR(__xludf.DUMMYFUNCTION("""COMPUTED_VALUE"""),0.0)</f>
        <v>0</v>
      </c>
      <c r="H1873" s="6" t="str">
        <f>IFERROR(__xludf.DUMMYFUNCTION("""COMPUTED_VALUE"""),"Pcs")</f>
        <v>Pcs</v>
      </c>
      <c r="I1873" s="6" t="str">
        <f>IFERROR(__xludf.DUMMYFUNCTION("""COMPUTED_VALUE"""),"MFH")</f>
        <v>MFH</v>
      </c>
      <c r="J1873" s="6" t="str">
        <f>IFERROR(__xludf.DUMMYFUNCTION("""COMPUTED_VALUE"""),"Stability")</f>
        <v>Stability</v>
      </c>
      <c r="K1873" s="6" t="str">
        <f>IFERROR(__xludf.DUMMYFUNCTION("""COMPUTED_VALUE"""),"SPR/03/25/064")</f>
        <v>SPR/03/25/064</v>
      </c>
      <c r="L1873" s="13">
        <f>IFERROR(__xludf.DUMMYFUNCTION("""COMPUTED_VALUE"""),45743.0)</f>
        <v>45743</v>
      </c>
    </row>
    <row r="1874">
      <c r="A1874" s="6" t="str">
        <f>IFERROR(__xludf.DUMMYFUNCTION("""COMPUTED_VALUE"""),"NDS")</f>
        <v>NDS</v>
      </c>
      <c r="B1874" s="6" t="str">
        <f>IFERROR(__xludf.DUMMYFUNCTION("""COMPUTED_VALUE"""),"ENG")</f>
        <v>ENG</v>
      </c>
      <c r="C1874" s="6" t="str">
        <f>IFERROR(__xludf.DUMMYFUNCTION("""COMPUTED_VALUE"""),"P-51027-00")</f>
        <v>P-51027-00</v>
      </c>
      <c r="D187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874" s="6">
        <f>IFERROR(__xludf.DUMMYFUNCTION("""COMPUTED_VALUE"""),1.0)</f>
        <v>1</v>
      </c>
      <c r="F1874" s="6">
        <f>IFERROR(__xludf.DUMMYFUNCTION("""COMPUTED_VALUE"""),1.0)</f>
        <v>1</v>
      </c>
      <c r="G1874" s="6">
        <f>IFERROR(__xludf.DUMMYFUNCTION("""COMPUTED_VALUE"""),0.0)</f>
        <v>0</v>
      </c>
      <c r="H1874" s="6" t="str">
        <f>IFERROR(__xludf.DUMMYFUNCTION("""COMPUTED_VALUE"""),"Pcs")</f>
        <v>Pcs</v>
      </c>
      <c r="I1874" s="6" t="str">
        <f>IFERROR(__xludf.DUMMYFUNCTION("""COMPUTED_VALUE"""),"MFH")</f>
        <v>MFH</v>
      </c>
      <c r="J1874" s="6" t="str">
        <f>IFERROR(__xludf.DUMMYFUNCTION("""COMPUTED_VALUE"""),"Stability")</f>
        <v>Stability</v>
      </c>
      <c r="K1874" s="6" t="str">
        <f>IFERROR(__xludf.DUMMYFUNCTION("""COMPUTED_VALUE"""),"SPR/03/25/064")</f>
        <v>SPR/03/25/064</v>
      </c>
      <c r="L1874" s="13">
        <f>IFERROR(__xludf.DUMMYFUNCTION("""COMPUTED_VALUE"""),45743.0)</f>
        <v>45743</v>
      </c>
    </row>
    <row r="1875">
      <c r="A1875" s="6" t="str">
        <f>IFERROR(__xludf.DUMMYFUNCTION("""COMPUTED_VALUE"""),"MRN")</f>
        <v>MRN</v>
      </c>
      <c r="B1875" s="6" t="str">
        <f>IFERROR(__xludf.DUMMYFUNCTION("""COMPUTED_VALUE"""),"ENG")</f>
        <v>ENG</v>
      </c>
      <c r="C1875" s="6" t="str">
        <f>IFERROR(__xludf.DUMMYFUNCTION("""COMPUTED_VALUE"""),"P-53210-00")</f>
        <v>P-53210-00</v>
      </c>
      <c r="D1875" s="6" t="str">
        <f>IFERROR(__xludf.DUMMYFUNCTION("""COMPUTED_VALUE"""),"CAPACITOR 5 uF, 220 V, 2 kutub")</f>
        <v>CAPACITOR 5 uF, 220 V, 2 kutub</v>
      </c>
      <c r="E1875" s="6">
        <f>IFERROR(__xludf.DUMMYFUNCTION("""COMPUTED_VALUE"""),1.0)</f>
        <v>1</v>
      </c>
      <c r="F1875" s="6">
        <f>IFERROR(__xludf.DUMMYFUNCTION("""COMPUTED_VALUE"""),1.0)</f>
        <v>1</v>
      </c>
      <c r="G1875" s="6">
        <f>IFERROR(__xludf.DUMMYFUNCTION("""COMPUTED_VALUE"""),0.0)</f>
        <v>0</v>
      </c>
      <c r="H1875" s="6" t="str">
        <f>IFERROR(__xludf.DUMMYFUNCTION("""COMPUTED_VALUE"""),"Pcs")</f>
        <v>Pcs</v>
      </c>
      <c r="I1875" s="6" t="str">
        <f>IFERROR(__xludf.DUMMYFUNCTION("""COMPUTED_VALUE"""),"MFH")</f>
        <v>MFH</v>
      </c>
      <c r="J1875" s="6" t="str">
        <f>IFERROR(__xludf.DUMMYFUNCTION("""COMPUTED_VALUE"""),"AC")</f>
        <v>AC</v>
      </c>
      <c r="K1875" s="6" t="str">
        <f>IFERROR(__xludf.DUMMYFUNCTION("""COMPUTED_VALUE"""),"SPR/03/25/065")</f>
        <v>SPR/03/25/065</v>
      </c>
      <c r="L1875" s="13">
        <f>IFERROR(__xludf.DUMMYFUNCTION("""COMPUTED_VALUE"""),45743.0)</f>
        <v>45743</v>
      </c>
    </row>
    <row r="1876">
      <c r="A1876" s="6" t="str">
        <f>IFERROR(__xludf.DUMMYFUNCTION("""COMPUTED_VALUE"""),"SFH")</f>
        <v>SFH</v>
      </c>
      <c r="B1876" s="6" t="str">
        <f>IFERROR(__xludf.DUMMYFUNCTION("""COMPUTED_VALUE"""),"ENG")</f>
        <v>ENG</v>
      </c>
      <c r="C1876" s="6" t="str">
        <f>IFERROR(__xludf.DUMMYFUNCTION("""COMPUTED_VALUE"""),"P-12433-00")</f>
        <v>P-12433-00</v>
      </c>
      <c r="D1876" s="6" t="str">
        <f>IFERROR(__xludf.DUMMYFUNCTION("""COMPUTED_VALUE"""),"Roller cat 230mm")</f>
        <v>Roller cat 230mm</v>
      </c>
      <c r="E1876" s="6">
        <f>IFERROR(__xludf.DUMMYFUNCTION("""COMPUTED_VALUE"""),1.0)</f>
        <v>1</v>
      </c>
      <c r="F1876" s="6">
        <f>IFERROR(__xludf.DUMMYFUNCTION("""COMPUTED_VALUE"""),1.0)</f>
        <v>1</v>
      </c>
      <c r="G1876" s="6">
        <f>IFERROR(__xludf.DUMMYFUNCTION("""COMPUTED_VALUE"""),0.0)</f>
        <v>0</v>
      </c>
      <c r="H1876" s="6" t="str">
        <f>IFERROR(__xludf.DUMMYFUNCTION("""COMPUTED_VALUE"""),"Pcs")</f>
        <v>Pcs</v>
      </c>
      <c r="I1876" s="6" t="str">
        <f>IFERROR(__xludf.DUMMYFUNCTION("""COMPUTED_VALUE"""),"MFH")</f>
        <v>MFH</v>
      </c>
      <c r="J1876" s="6" t="str">
        <f>IFERROR(__xludf.DUMMYFUNCTION("""COMPUTED_VALUE"""),"Building")</f>
        <v>Building</v>
      </c>
      <c r="K1876" s="6" t="str">
        <f>IFERROR(__xludf.DUMMYFUNCTION("""COMPUTED_VALUE"""),"SPR/03/25/066")</f>
        <v>SPR/03/25/066</v>
      </c>
      <c r="L1876" s="13">
        <f>IFERROR(__xludf.DUMMYFUNCTION("""COMPUTED_VALUE"""),45743.0)</f>
        <v>45743</v>
      </c>
    </row>
    <row r="1877">
      <c r="A1877" s="6" t="str">
        <f>IFERROR(__xludf.DUMMYFUNCTION("""COMPUTED_VALUE"""),"SFH")</f>
        <v>SFH</v>
      </c>
      <c r="B1877" s="6" t="str">
        <f>IFERROR(__xludf.DUMMYFUNCTION("""COMPUTED_VALUE"""),"ENG")</f>
        <v>ENG</v>
      </c>
      <c r="C1877" s="6" t="str">
        <f>IFERROR(__xludf.DUMMYFUNCTION("""COMPUTED_VALUE"""),"P-51560-00")</f>
        <v>P-51560-00</v>
      </c>
      <c r="D1877" s="6" t="str">
        <f>IFERROR(__xludf.DUMMYFUNCTION("""COMPUTED_VALUE"""),"Lampu T5 28watt Putih; Phillips; ;")</f>
        <v>Lampu T5 28watt Putih; Phillips; ;</v>
      </c>
      <c r="E1877" s="6">
        <f>IFERROR(__xludf.DUMMYFUNCTION("""COMPUTED_VALUE"""),2.0)</f>
        <v>2</v>
      </c>
      <c r="F1877" s="6">
        <f>IFERROR(__xludf.DUMMYFUNCTION("""COMPUTED_VALUE"""),2.0)</f>
        <v>2</v>
      </c>
      <c r="G1877" s="6">
        <f>IFERROR(__xludf.DUMMYFUNCTION("""COMPUTED_VALUE"""),0.0)</f>
        <v>0</v>
      </c>
      <c r="H1877" s="6" t="str">
        <f>IFERROR(__xludf.DUMMYFUNCTION("""COMPUTED_VALUE"""),"Pcs")</f>
        <v>Pcs</v>
      </c>
      <c r="I1877" s="6" t="str">
        <f>IFERROR(__xludf.DUMMYFUNCTION("""COMPUTED_VALUE"""),"MFH")</f>
        <v>MFH</v>
      </c>
      <c r="J1877" s="6" t="str">
        <f>IFERROR(__xludf.DUMMYFUNCTION("""COMPUTED_VALUE"""),"Building")</f>
        <v>Building</v>
      </c>
      <c r="K1877" s="6" t="str">
        <f>IFERROR(__xludf.DUMMYFUNCTION("""COMPUTED_VALUE"""),"SPR/03/25/066")</f>
        <v>SPR/03/25/066</v>
      </c>
      <c r="L1877" s="13">
        <f>IFERROR(__xludf.DUMMYFUNCTION("""COMPUTED_VALUE"""),45743.0)</f>
        <v>45743</v>
      </c>
    </row>
    <row r="1878">
      <c r="A1878" s="6" t="str">
        <f>IFERROR(__xludf.DUMMYFUNCTION("""COMPUTED_VALUE"""),"ROS")</f>
        <v>ROS</v>
      </c>
      <c r="B1878" s="6" t="str">
        <f>IFERROR(__xludf.DUMMYFUNCTION("""COMPUTED_VALUE"""),"ENG")</f>
        <v>ENG</v>
      </c>
      <c r="C1878" s="6" t="str">
        <f>IFERROR(__xludf.DUMMYFUNCTION("""COMPUTED_VALUE"""),"P-10729-00")</f>
        <v>P-10729-00</v>
      </c>
      <c r="D1878" s="6" t="str">
        <f>IFERROR(__xludf.DUMMYFUNCTION("""COMPUTED_VALUE"""),"Contact cleaner WD 40, 382 gr ; Brand : - ; P/N : - ; Pack Size : pcs")</f>
        <v>Contact cleaner WD 40, 382 gr ; Brand : - ; P/N : - ; Pack Size : pcs</v>
      </c>
      <c r="E1878" s="6">
        <f>IFERROR(__xludf.DUMMYFUNCTION("""COMPUTED_VALUE"""),1.0)</f>
        <v>1</v>
      </c>
      <c r="F1878" s="6">
        <f>IFERROR(__xludf.DUMMYFUNCTION("""COMPUTED_VALUE"""),1.0)</f>
        <v>1</v>
      </c>
      <c r="G1878" s="6">
        <f>IFERROR(__xludf.DUMMYFUNCTION("""COMPUTED_VALUE"""),0.0)</f>
        <v>0</v>
      </c>
      <c r="H1878" s="6" t="str">
        <f>IFERROR(__xludf.DUMMYFUNCTION("""COMPUTED_VALUE"""),"Pcs")</f>
        <v>Pcs</v>
      </c>
      <c r="I1878" s="6" t="str">
        <f>IFERROR(__xludf.DUMMYFUNCTION("""COMPUTED_VALUE"""),"MFH")</f>
        <v>MFH</v>
      </c>
      <c r="J1878" s="6" t="str">
        <f>IFERROR(__xludf.DUMMYFUNCTION("""COMPUTED_VALUE"""),"-")</f>
        <v>-</v>
      </c>
      <c r="K1878" s="6" t="str">
        <f>IFERROR(__xludf.DUMMYFUNCTION("""COMPUTED_VALUE"""),"SPR/03/25/067")</f>
        <v>SPR/03/25/067</v>
      </c>
      <c r="L1878" s="13">
        <f>IFERROR(__xludf.DUMMYFUNCTION("""COMPUTED_VALUE"""),45743.0)</f>
        <v>45743</v>
      </c>
    </row>
    <row r="1879">
      <c r="A1879" s="6" t="str">
        <f>IFERROR(__xludf.DUMMYFUNCTION("""COMPUTED_VALUE"""),"ROS")</f>
        <v>ROS</v>
      </c>
      <c r="B1879" s="6" t="str">
        <f>IFERROR(__xludf.DUMMYFUNCTION("""COMPUTED_VALUE"""),"ENG")</f>
        <v>ENG</v>
      </c>
      <c r="C1879" s="6" t="str">
        <f>IFERROR(__xludf.DUMMYFUNCTION("""COMPUTED_VALUE"""),"P-11694-00")</f>
        <v>P-11694-00</v>
      </c>
      <c r="D1879" s="6" t="str">
        <f>IFERROR(__xludf.DUMMYFUNCTION("""COMPUTED_VALUE"""),"Mata Gerinda 4""")</f>
        <v>Mata Gerinda 4"</v>
      </c>
      <c r="E1879" s="6">
        <f>IFERROR(__xludf.DUMMYFUNCTION("""COMPUTED_VALUE"""),1.0)</f>
        <v>1</v>
      </c>
      <c r="F1879" s="6">
        <f>IFERROR(__xludf.DUMMYFUNCTION("""COMPUTED_VALUE"""),1.0)</f>
        <v>1</v>
      </c>
      <c r="G1879" s="6">
        <f>IFERROR(__xludf.DUMMYFUNCTION("""COMPUTED_VALUE"""),0.0)</f>
        <v>0</v>
      </c>
      <c r="H1879" s="6" t="str">
        <f>IFERROR(__xludf.DUMMYFUNCTION("""COMPUTED_VALUE"""),"Pcs")</f>
        <v>Pcs</v>
      </c>
      <c r="I1879" s="6" t="str">
        <f>IFERROR(__xludf.DUMMYFUNCTION("""COMPUTED_VALUE"""),"MFH")</f>
        <v>MFH</v>
      </c>
      <c r="J1879" s="6" t="str">
        <f>IFERROR(__xludf.DUMMYFUNCTION("""COMPUTED_VALUE"""),"-")</f>
        <v>-</v>
      </c>
      <c r="K1879" s="6" t="str">
        <f>IFERROR(__xludf.DUMMYFUNCTION("""COMPUTED_VALUE"""),"SPR/03/25/067")</f>
        <v>SPR/03/25/067</v>
      </c>
      <c r="L1879" s="13">
        <f>IFERROR(__xludf.DUMMYFUNCTION("""COMPUTED_VALUE"""),45743.0)</f>
        <v>45743</v>
      </c>
    </row>
    <row r="1880">
      <c r="A1880" s="6" t="str">
        <f>IFERROR(__xludf.DUMMYFUNCTION("""COMPUTED_VALUE"""),"ROS")</f>
        <v>ROS</v>
      </c>
      <c r="B1880" s="6" t="str">
        <f>IFERROR(__xludf.DUMMYFUNCTION("""COMPUTED_VALUE"""),"ENG")</f>
        <v>ENG</v>
      </c>
      <c r="C1880" s="6" t="str">
        <f>IFERROR(__xludf.DUMMYFUNCTION("""COMPUTED_VALUE"""),"P-15852-00")</f>
        <v>P-15852-00</v>
      </c>
      <c r="D1880" s="6" t="str">
        <f>IFERROR(__xludf.DUMMYFUNCTION("""COMPUTED_VALUE"""),"AMPLAS EAGLE 500")</f>
        <v>AMPLAS EAGLE 500</v>
      </c>
      <c r="E1880" s="6">
        <f>IFERROR(__xludf.DUMMYFUNCTION("""COMPUTED_VALUE"""),1.0)</f>
        <v>1</v>
      </c>
      <c r="F1880" s="6">
        <f>IFERROR(__xludf.DUMMYFUNCTION("""COMPUTED_VALUE"""),1.0)</f>
        <v>1</v>
      </c>
      <c r="G1880" s="6">
        <f>IFERROR(__xludf.DUMMYFUNCTION("""COMPUTED_VALUE"""),0.0)</f>
        <v>0</v>
      </c>
      <c r="H1880" s="6" t="str">
        <f>IFERROR(__xludf.DUMMYFUNCTION("""COMPUTED_VALUE"""),"Pcs")</f>
        <v>Pcs</v>
      </c>
      <c r="I1880" s="6" t="str">
        <f>IFERROR(__xludf.DUMMYFUNCTION("""COMPUTED_VALUE"""),"MFH")</f>
        <v>MFH</v>
      </c>
      <c r="J1880" s="6" t="str">
        <f>IFERROR(__xludf.DUMMYFUNCTION("""COMPUTED_VALUE"""),"-")</f>
        <v>-</v>
      </c>
      <c r="K1880" s="6" t="str">
        <f>IFERROR(__xludf.DUMMYFUNCTION("""COMPUTED_VALUE"""),"SPR/03/25/067")</f>
        <v>SPR/03/25/067</v>
      </c>
      <c r="L1880" s="13">
        <f>IFERROR(__xludf.DUMMYFUNCTION("""COMPUTED_VALUE"""),45743.0)</f>
        <v>45743</v>
      </c>
    </row>
    <row r="1881">
      <c r="A1881" s="6" t="str">
        <f>IFERROR(__xludf.DUMMYFUNCTION("""COMPUTED_VALUE"""),"RMA")</f>
        <v>RMA</v>
      </c>
      <c r="B1881" s="6" t="str">
        <f>IFERROR(__xludf.DUMMYFUNCTION("""COMPUTED_VALUE"""),"ENG")</f>
        <v>ENG</v>
      </c>
      <c r="C1881" s="6" t="str">
        <f>IFERROR(__xludf.DUMMYFUNCTION("""COMPUTED_VALUE"""),"P-13389-00")</f>
        <v>P-13389-00</v>
      </c>
      <c r="D1881" s="6" t="str">
        <f>IFERROR(__xludf.DUMMYFUNCTION("""COMPUTED_VALUE"""),"Scotch Brite 3M; ; ;")</f>
        <v>Scotch Brite 3M; ; ;</v>
      </c>
      <c r="E1881" s="6">
        <f>IFERROR(__xludf.DUMMYFUNCTION("""COMPUTED_VALUE"""),1.0)</f>
        <v>1</v>
      </c>
      <c r="F1881" s="6">
        <f>IFERROR(__xludf.DUMMYFUNCTION("""COMPUTED_VALUE"""),1.0)</f>
        <v>1</v>
      </c>
      <c r="G1881" s="6">
        <f>IFERROR(__xludf.DUMMYFUNCTION("""COMPUTED_VALUE"""),0.0)</f>
        <v>0</v>
      </c>
      <c r="H1881" s="6" t="str">
        <f>IFERROR(__xludf.DUMMYFUNCTION("""COMPUTED_VALUE"""),"Pcs")</f>
        <v>Pcs</v>
      </c>
      <c r="I1881" s="6" t="str">
        <f>IFERROR(__xludf.DUMMYFUNCTION("""COMPUTED_VALUE"""),"MFH")</f>
        <v>MFH</v>
      </c>
      <c r="J1881" s="6" t="str">
        <f>IFERROR(__xludf.DUMMYFUNCTION("""COMPUTED_VALUE"""),"AHU")</f>
        <v>AHU</v>
      </c>
      <c r="K1881" s="6" t="str">
        <f>IFERROR(__xludf.DUMMYFUNCTION("""COMPUTED_VALUE"""),"SPR/03/25/068")</f>
        <v>SPR/03/25/068</v>
      </c>
      <c r="L1881" s="13">
        <f>IFERROR(__xludf.DUMMYFUNCTION("""COMPUTED_VALUE"""),45743.0)</f>
        <v>45743</v>
      </c>
    </row>
    <row r="1882">
      <c r="A1882" s="6" t="str">
        <f>IFERROR(__xludf.DUMMYFUNCTION("""COMPUTED_VALUE"""),"RIA")</f>
        <v>RIA</v>
      </c>
      <c r="B1882" s="6" t="str">
        <f>IFERROR(__xludf.DUMMYFUNCTION("""COMPUTED_VALUE"""),"ENG")</f>
        <v>ENG</v>
      </c>
      <c r="C1882" s="6" t="str">
        <f>IFERROR(__xludf.DUMMYFUNCTION("""COMPUTED_VALUE"""),"P-53133-00")</f>
        <v>P-53133-00</v>
      </c>
      <c r="D1882" s="6" t="str">
        <f>IFERROR(__xludf.DUMMYFUNCTION("""COMPUTED_VALUE"""),"Kabel Belden AWG 22; ; ;")</f>
        <v>Kabel Belden AWG 22; ; ;</v>
      </c>
      <c r="E1882" s="6">
        <f>IFERROR(__xludf.DUMMYFUNCTION("""COMPUTED_VALUE"""),10.0)</f>
        <v>10</v>
      </c>
      <c r="F1882" s="6">
        <f>IFERROR(__xludf.DUMMYFUNCTION("""COMPUTED_VALUE"""),10.0)</f>
        <v>10</v>
      </c>
      <c r="G1882" s="6">
        <f>IFERROR(__xludf.DUMMYFUNCTION("""COMPUTED_VALUE"""),0.0)</f>
        <v>0</v>
      </c>
      <c r="H1882" s="6" t="str">
        <f>IFERROR(__xludf.DUMMYFUNCTION("""COMPUTED_VALUE"""),"Pcs")</f>
        <v>Pcs</v>
      </c>
      <c r="I1882" s="6" t="str">
        <f>IFERROR(__xludf.DUMMYFUNCTION("""COMPUTED_VALUE"""),"MFH")</f>
        <v>MFH</v>
      </c>
      <c r="J1882" s="6" t="str">
        <f>IFERROR(__xludf.DUMMYFUNCTION("""COMPUTED_VALUE"""),"CC API")</f>
        <v>CC API</v>
      </c>
      <c r="K1882" s="6" t="str">
        <f>IFERROR(__xludf.DUMMYFUNCTION("""COMPUTED_VALUE"""),"SPR/03/25/069")</f>
        <v>SPR/03/25/069</v>
      </c>
      <c r="L1882" s="13">
        <f>IFERROR(__xludf.DUMMYFUNCTION("""COMPUTED_VALUE"""),45743.0)</f>
        <v>45743</v>
      </c>
    </row>
    <row r="1883">
      <c r="A1883" s="6" t="str">
        <f>IFERROR(__xludf.DUMMYFUNCTION("""COMPUTED_VALUE"""),"RIA")</f>
        <v>RIA</v>
      </c>
      <c r="B1883" s="6" t="str">
        <f>IFERROR(__xludf.DUMMYFUNCTION("""COMPUTED_VALUE"""),"ENG")</f>
        <v>ENG</v>
      </c>
      <c r="C1883" s="6" t="str">
        <f>IFERROR(__xludf.DUMMYFUNCTION("""COMPUTED_VALUE"""),"P-50286-00")</f>
        <v>P-50286-00</v>
      </c>
      <c r="D1883" s="6" t="str">
        <f>IFERROR(__xludf.DUMMYFUNCTION("""COMPUTED_VALUE"""),"Kabel NYYHY 3 x 1,5 mm")</f>
        <v>Kabel NYYHY 3 x 1,5 mm</v>
      </c>
      <c r="E1883" s="6">
        <f>IFERROR(__xludf.DUMMYFUNCTION("""COMPUTED_VALUE"""),5.0)</f>
        <v>5</v>
      </c>
      <c r="F1883" s="6">
        <f>IFERROR(__xludf.DUMMYFUNCTION("""COMPUTED_VALUE"""),5.0)</f>
        <v>5</v>
      </c>
      <c r="G1883" s="6">
        <f>IFERROR(__xludf.DUMMYFUNCTION("""COMPUTED_VALUE"""),0.0)</f>
        <v>0</v>
      </c>
      <c r="H1883" s="6" t="str">
        <f>IFERROR(__xludf.DUMMYFUNCTION("""COMPUTED_VALUE"""),"Pcs")</f>
        <v>Pcs</v>
      </c>
      <c r="I1883" s="6" t="str">
        <f>IFERROR(__xludf.DUMMYFUNCTION("""COMPUTED_VALUE"""),"MFH")</f>
        <v>MFH</v>
      </c>
      <c r="J1883" s="6" t="str">
        <f>IFERROR(__xludf.DUMMYFUNCTION("""COMPUTED_VALUE"""),"CC API")</f>
        <v>CC API</v>
      </c>
      <c r="K1883" s="6" t="str">
        <f>IFERROR(__xludf.DUMMYFUNCTION("""COMPUTED_VALUE"""),"SPR/03/35/069")</f>
        <v>SPR/03/35/069</v>
      </c>
      <c r="L1883" s="13">
        <f>IFERROR(__xludf.DUMMYFUNCTION("""COMPUTED_VALUE"""),45743.0)</f>
        <v>45743</v>
      </c>
    </row>
    <row r="1884">
      <c r="A1884" s="6" t="str">
        <f>IFERROR(__xludf.DUMMYFUNCTION("""COMPUTED_VALUE"""),"RMA")</f>
        <v>RMA</v>
      </c>
      <c r="B1884" s="6" t="str">
        <f>IFERROR(__xludf.DUMMYFUNCTION("""COMPUTED_VALUE"""),"ENG")</f>
        <v>ENG</v>
      </c>
      <c r="C1884" s="6" t="str">
        <f>IFERROR(__xludf.DUMMYFUNCTION("""COMPUTED_VALUE"""),"Q-10154-00")</f>
        <v>Q-10154-00</v>
      </c>
      <c r="D1884" s="6" t="str">
        <f>IFERROR(__xludf.DUMMYFUNCTION("""COMPUTED_VALUE"""),"Roller cat 230mm")</f>
        <v>Roller cat 230mm</v>
      </c>
      <c r="E1884" s="6">
        <f>IFERROR(__xludf.DUMMYFUNCTION("""COMPUTED_VALUE"""),1.0)</f>
        <v>1</v>
      </c>
      <c r="F1884" s="6">
        <f>IFERROR(__xludf.DUMMYFUNCTION("""COMPUTED_VALUE"""),1.0)</f>
        <v>1</v>
      </c>
      <c r="G1884" s="6">
        <f>IFERROR(__xludf.DUMMYFUNCTION("""COMPUTED_VALUE"""),0.0)</f>
        <v>0</v>
      </c>
      <c r="H1884" s="6" t="str">
        <f>IFERROR(__xludf.DUMMYFUNCTION("""COMPUTED_VALUE"""),"Pcs")</f>
        <v>Pcs</v>
      </c>
      <c r="I1884" s="6" t="str">
        <f>IFERROR(__xludf.DUMMYFUNCTION("""COMPUTED_VALUE"""),"MFH")</f>
        <v>MFH</v>
      </c>
      <c r="J1884" s="6" t="str">
        <f>IFERROR(__xludf.DUMMYFUNCTION("""COMPUTED_VALUE"""),"Building")</f>
        <v>Building</v>
      </c>
      <c r="K1884" s="6" t="str">
        <f>IFERROR(__xludf.DUMMYFUNCTION("""COMPUTED_VALUE"""),"SPR/03/25-070")</f>
        <v>SPR/03/25-070</v>
      </c>
      <c r="L1884" s="13">
        <f>IFERROR(__xludf.DUMMYFUNCTION("""COMPUTED_VALUE"""),45743.0)</f>
        <v>45743</v>
      </c>
    </row>
    <row r="1885">
      <c r="A1885" s="6" t="str">
        <f>IFERROR(__xludf.DUMMYFUNCTION("""COMPUTED_VALUE"""),"SFH")</f>
        <v>SFH</v>
      </c>
      <c r="B1885" s="6" t="str">
        <f>IFERROR(__xludf.DUMMYFUNCTION("""COMPUTED_VALUE"""),"ENG")</f>
        <v>ENG</v>
      </c>
      <c r="C1885" s="6" t="str">
        <f>IFERROR(__xludf.DUMMYFUNCTION("""COMPUTED_VALUE"""),"P-51560-00")</f>
        <v>P-51560-00</v>
      </c>
      <c r="D1885" s="6" t="str">
        <f>IFERROR(__xludf.DUMMYFUNCTION("""COMPUTED_VALUE"""),"Lampu T5 28watt Putih; Phillips; ;")</f>
        <v>Lampu T5 28watt Putih; Phillips; ;</v>
      </c>
      <c r="E1885" s="6">
        <f>IFERROR(__xludf.DUMMYFUNCTION("""COMPUTED_VALUE"""),4.0)</f>
        <v>4</v>
      </c>
      <c r="F1885" s="6">
        <f>IFERROR(__xludf.DUMMYFUNCTION("""COMPUTED_VALUE"""),4.0)</f>
        <v>4</v>
      </c>
      <c r="G1885" s="6">
        <f>IFERROR(__xludf.DUMMYFUNCTION("""COMPUTED_VALUE"""),0.0)</f>
        <v>0</v>
      </c>
      <c r="H1885" s="6" t="str">
        <f>IFERROR(__xludf.DUMMYFUNCTION("""COMPUTED_VALUE"""),"Pcs")</f>
        <v>Pcs</v>
      </c>
      <c r="I1885" s="6" t="str">
        <f>IFERROR(__xludf.DUMMYFUNCTION("""COMPUTED_VALUE"""),"MFH")</f>
        <v>MFH</v>
      </c>
      <c r="J1885" s="6" t="str">
        <f>IFERROR(__xludf.DUMMYFUNCTION("""COMPUTED_VALUE"""),"Building")</f>
        <v>Building</v>
      </c>
      <c r="K1885" s="6" t="str">
        <f>IFERROR(__xludf.DUMMYFUNCTION("""COMPUTED_VALUE"""),"SPR/03/25/071")</f>
        <v>SPR/03/25/071</v>
      </c>
      <c r="L1885" s="13">
        <f>IFERROR(__xludf.DUMMYFUNCTION("""COMPUTED_VALUE"""),45743.0)</f>
        <v>45743</v>
      </c>
    </row>
    <row r="1886">
      <c r="A1886" s="6" t="str">
        <f>IFERROR(__xludf.DUMMYFUNCTION("""COMPUTED_VALUE"""),"SFH")</f>
        <v>SFH</v>
      </c>
      <c r="B1886" s="6" t="str">
        <f>IFERROR(__xludf.DUMMYFUNCTION("""COMPUTED_VALUE"""),"ENG")</f>
        <v>ENG</v>
      </c>
      <c r="C1886" s="6" t="str">
        <f>IFERROR(__xludf.DUMMYFUNCTION("""COMPUTED_VALUE"""),"P-51559-00")</f>
        <v>P-51559-00</v>
      </c>
      <c r="D1886" s="6" t="str">
        <f>IFERROR(__xludf.DUMMYFUNCTION("""COMPUTED_VALUE"""),"Lampu T5 14watt Putih; Phillips; ;")</f>
        <v>Lampu T5 14watt Putih; Phillips; ;</v>
      </c>
      <c r="E1886" s="6">
        <f>IFERROR(__xludf.DUMMYFUNCTION("""COMPUTED_VALUE"""),4.0)</f>
        <v>4</v>
      </c>
      <c r="F1886" s="6">
        <f>IFERROR(__xludf.DUMMYFUNCTION("""COMPUTED_VALUE"""),4.0)</f>
        <v>4</v>
      </c>
      <c r="G1886" s="6">
        <f>IFERROR(__xludf.DUMMYFUNCTION("""COMPUTED_VALUE"""),0.0)</f>
        <v>0</v>
      </c>
      <c r="H1886" s="6" t="str">
        <f>IFERROR(__xludf.DUMMYFUNCTION("""COMPUTED_VALUE"""),"Pcs")</f>
        <v>Pcs</v>
      </c>
      <c r="I1886" s="6" t="str">
        <f>IFERROR(__xludf.DUMMYFUNCTION("""COMPUTED_VALUE"""),"MFH")</f>
        <v>MFH</v>
      </c>
      <c r="J1886" s="6" t="str">
        <f>IFERROR(__xludf.DUMMYFUNCTION("""COMPUTED_VALUE"""),"Building")</f>
        <v>Building</v>
      </c>
      <c r="K1886" s="6" t="str">
        <f>IFERROR(__xludf.DUMMYFUNCTION("""COMPUTED_VALUE"""),"SPR/03/25/071")</f>
        <v>SPR/03/25/071</v>
      </c>
      <c r="L1886" s="13">
        <f>IFERROR(__xludf.DUMMYFUNCTION("""COMPUTED_VALUE"""),45743.0)</f>
        <v>45743</v>
      </c>
    </row>
    <row r="1887">
      <c r="A1887" s="6" t="str">
        <f>IFERROR(__xludf.DUMMYFUNCTION("""COMPUTED_VALUE"""),"SFH")</f>
        <v>SFH</v>
      </c>
      <c r="B1887" s="6" t="str">
        <f>IFERROR(__xludf.DUMMYFUNCTION("""COMPUTED_VALUE"""),"ENG")</f>
        <v>ENG</v>
      </c>
      <c r="C1887" s="6" t="str">
        <f>IFERROR(__xludf.DUMMYFUNCTION("""COMPUTED_VALUE"""),"T-80109-00")</f>
        <v>T-80109-00</v>
      </c>
      <c r="D1887" s="6" t="str">
        <f>IFERROR(__xludf.DUMMYFUNCTION("""COMPUTED_VALUE"""),"Cellotape Kertas 1 inch warna Putih")</f>
        <v>Cellotape Kertas 1 inch warna Putih</v>
      </c>
      <c r="E1887" s="6">
        <f>IFERROR(__xludf.DUMMYFUNCTION("""COMPUTED_VALUE"""),2.0)</f>
        <v>2</v>
      </c>
      <c r="F1887" s="6">
        <f>IFERROR(__xludf.DUMMYFUNCTION("""COMPUTED_VALUE"""),2.0)</f>
        <v>2</v>
      </c>
      <c r="G1887" s="6">
        <f>IFERROR(__xludf.DUMMYFUNCTION("""COMPUTED_VALUE"""),0.0)</f>
        <v>0</v>
      </c>
      <c r="H1887" s="6" t="str">
        <f>IFERROR(__xludf.DUMMYFUNCTION("""COMPUTED_VALUE"""),"Pcs")</f>
        <v>Pcs</v>
      </c>
      <c r="I1887" s="6" t="str">
        <f>IFERROR(__xludf.DUMMYFUNCTION("""COMPUTED_VALUE"""),"MFH")</f>
        <v>MFH</v>
      </c>
      <c r="J1887" s="6" t="str">
        <f>IFERROR(__xludf.DUMMYFUNCTION("""COMPUTED_VALUE"""),"Building")</f>
        <v>Building</v>
      </c>
      <c r="K1887" s="6" t="str">
        <f>IFERROR(__xludf.DUMMYFUNCTION("""COMPUTED_VALUE"""),"SPR/03/25/071")</f>
        <v>SPR/03/25/071</v>
      </c>
      <c r="L1887" s="13">
        <f>IFERROR(__xludf.DUMMYFUNCTION("""COMPUTED_VALUE"""),45743.0)</f>
        <v>45743</v>
      </c>
    </row>
    <row r="1888">
      <c r="A1888" s="6" t="str">
        <f>IFERROR(__xludf.DUMMYFUNCTION("""COMPUTED_VALUE"""),"ROS")</f>
        <v>ROS</v>
      </c>
      <c r="B1888" s="6" t="str">
        <f>IFERROR(__xludf.DUMMYFUNCTION("""COMPUTED_VALUE"""),"ENG")</f>
        <v>ENG</v>
      </c>
      <c r="C1888" s="6" t="str">
        <f>IFERROR(__xludf.DUMMYFUNCTION("""COMPUTED_VALUE"""),"P-19540-00")</f>
        <v>P-19540-00</v>
      </c>
      <c r="D1888" s="6" t="str">
        <f>IFERROR(__xludf.DUMMYFUNCTION("""COMPUTED_VALUE"""),"General - Roda Pu 3 Inch Drat 1/2 Inch X 30Mm - -")</f>
        <v>General - Roda Pu 3 Inch Drat 1/2 Inch X 30Mm - -</v>
      </c>
      <c r="E1888" s="6">
        <f>IFERROR(__xludf.DUMMYFUNCTION("""COMPUTED_VALUE"""),1.0)</f>
        <v>1</v>
      </c>
      <c r="F1888" s="6">
        <f>IFERROR(__xludf.DUMMYFUNCTION("""COMPUTED_VALUE"""),1.0)</f>
        <v>1</v>
      </c>
      <c r="G1888" s="6">
        <f>IFERROR(__xludf.DUMMYFUNCTION("""COMPUTED_VALUE"""),0.0)</f>
        <v>0</v>
      </c>
      <c r="H1888" s="6" t="str">
        <f>IFERROR(__xludf.DUMMYFUNCTION("""COMPUTED_VALUE"""),"Pcs")</f>
        <v>Pcs</v>
      </c>
      <c r="I1888" s="6" t="str">
        <f>IFERROR(__xludf.DUMMYFUNCTION("""COMPUTED_VALUE"""),"MFH")</f>
        <v>MFH</v>
      </c>
      <c r="J1888" s="6" t="str">
        <f>IFERROR(__xludf.DUMMYFUNCTION("""COMPUTED_VALUE"""),"-")</f>
        <v>-</v>
      </c>
      <c r="K1888" s="6" t="str">
        <f>IFERROR(__xludf.DUMMYFUNCTION("""COMPUTED_VALUE"""),"SPR/03/25/072")</f>
        <v>SPR/03/25/072</v>
      </c>
      <c r="L1888" s="13">
        <f>IFERROR(__xludf.DUMMYFUNCTION("""COMPUTED_VALUE"""),45743.0)</f>
        <v>45743</v>
      </c>
    </row>
    <row r="1889">
      <c r="A1889" s="6" t="str">
        <f>IFERROR(__xludf.DUMMYFUNCTION("""COMPUTED_VALUE"""),"ROS")</f>
        <v>ROS</v>
      </c>
      <c r="B1889" s="6" t="str">
        <f>IFERROR(__xludf.DUMMYFUNCTION("""COMPUTED_VALUE"""),"ENG")</f>
        <v>ENG</v>
      </c>
      <c r="C1889" s="6" t="str">
        <f>IFERROR(__xludf.DUMMYFUNCTION("""COMPUTED_VALUE"""),"O-19431-00")</f>
        <v>O-19431-00</v>
      </c>
      <c r="D1889" s="6" t="str">
        <f>IFERROR(__xludf.DUMMYFUNCTION("""COMPUTED_VALUE"""),"Baut SS L M8 x 30 mm + Mur + Ring; ; ;; ; ;; ; ;")</f>
        <v>Baut SS L M8 x 30 mm + Mur + Ring; ; ;; ; ;; ; ;</v>
      </c>
      <c r="E1889" s="6">
        <f>IFERROR(__xludf.DUMMYFUNCTION("""COMPUTED_VALUE"""),16.0)</f>
        <v>16</v>
      </c>
      <c r="F1889" s="6">
        <f>IFERROR(__xludf.DUMMYFUNCTION("""COMPUTED_VALUE"""),16.0)</f>
        <v>16</v>
      </c>
      <c r="G1889" s="6">
        <f>IFERROR(__xludf.DUMMYFUNCTION("""COMPUTED_VALUE"""),0.0)</f>
        <v>0</v>
      </c>
      <c r="H1889" s="6" t="str">
        <f>IFERROR(__xludf.DUMMYFUNCTION("""COMPUTED_VALUE"""),"Pcs")</f>
        <v>Pcs</v>
      </c>
      <c r="I1889" s="6" t="str">
        <f>IFERROR(__xludf.DUMMYFUNCTION("""COMPUTED_VALUE"""),"MFH")</f>
        <v>MFH</v>
      </c>
      <c r="J1889" s="6" t="str">
        <f>IFERROR(__xludf.DUMMYFUNCTION("""COMPUTED_VALUE"""),"-")</f>
        <v>-</v>
      </c>
      <c r="K1889" s="6" t="str">
        <f>IFERROR(__xludf.DUMMYFUNCTION("""COMPUTED_VALUE"""),"SPR/03/25/072")</f>
        <v>SPR/03/25/072</v>
      </c>
      <c r="L1889" s="13">
        <f>IFERROR(__xludf.DUMMYFUNCTION("""COMPUTED_VALUE"""),45743.0)</f>
        <v>45743</v>
      </c>
    </row>
    <row r="1890">
      <c r="A1890" s="6" t="str">
        <f>IFERROR(__xludf.DUMMYFUNCTION("""COMPUTED_VALUE"""),"RIA")</f>
        <v>RIA</v>
      </c>
      <c r="B1890" s="6" t="str">
        <f>IFERROR(__xludf.DUMMYFUNCTION("""COMPUTED_VALUE"""),"ENG")</f>
        <v>ENG</v>
      </c>
      <c r="C1890" s="6" t="str">
        <f>IFERROR(__xludf.DUMMYFUNCTION("""COMPUTED_VALUE"""),"P-51891-00")</f>
        <v>P-51891-00</v>
      </c>
      <c r="D1890" s="6" t="str">
        <f>IFERROR(__xludf.DUMMYFUNCTION("""COMPUTED_VALUE"""),"Exhaust Fan Panel 240VAC")</f>
        <v>Exhaust Fan Panel 240VAC</v>
      </c>
      <c r="E1890" s="6">
        <f>IFERROR(__xludf.DUMMYFUNCTION("""COMPUTED_VALUE"""),2.0)</f>
        <v>2</v>
      </c>
      <c r="F1890" s="6">
        <f>IFERROR(__xludf.DUMMYFUNCTION("""COMPUTED_VALUE"""),2.0)</f>
        <v>2</v>
      </c>
      <c r="G1890" s="6">
        <f>IFERROR(__xludf.DUMMYFUNCTION("""COMPUTED_VALUE"""),0.0)</f>
        <v>0</v>
      </c>
      <c r="H1890" s="6" t="str">
        <f>IFERROR(__xludf.DUMMYFUNCTION("""COMPUTED_VALUE"""),"Pcs")</f>
        <v>Pcs</v>
      </c>
      <c r="I1890" s="6" t="str">
        <f>IFERROR(__xludf.DUMMYFUNCTION("""COMPUTED_VALUE"""),"MFH")</f>
        <v>MFH</v>
      </c>
      <c r="J1890" s="6" t="str">
        <f>IFERROR(__xludf.DUMMYFUNCTION("""COMPUTED_VALUE"""),"Hot Water")</f>
        <v>Hot Water</v>
      </c>
      <c r="K1890" s="6" t="str">
        <f>IFERROR(__xludf.DUMMYFUNCTION("""COMPUTED_VALUE"""),"SPR/03/25/073")</f>
        <v>SPR/03/25/073</v>
      </c>
      <c r="L1890" s="13">
        <f>IFERROR(__xludf.DUMMYFUNCTION("""COMPUTED_VALUE"""),45743.0)</f>
        <v>45743</v>
      </c>
    </row>
    <row r="1891">
      <c r="A1891" s="6" t="str">
        <f>IFERROR(__xludf.DUMMYFUNCTION("""COMPUTED_VALUE"""),"RIA")</f>
        <v>RIA</v>
      </c>
      <c r="B1891" s="6" t="str">
        <f>IFERROR(__xludf.DUMMYFUNCTION("""COMPUTED_VALUE"""),"ENG")</f>
        <v>ENG</v>
      </c>
      <c r="C1891" s="6" t="str">
        <f>IFERROR(__xludf.DUMMYFUNCTION("""COMPUTED_VALUE"""),"O-19866-00")</f>
        <v>O-19866-00</v>
      </c>
      <c r="D1891" s="6" t="str">
        <f>IFERROR(__xludf.DUMMYFUNCTION("""COMPUTED_VALUE"""),"Grill Fan (cover kipas) 12x12 cm")</f>
        <v>Grill Fan (cover kipas) 12x12 cm</v>
      </c>
      <c r="E1891" s="6">
        <f>IFERROR(__xludf.DUMMYFUNCTION("""COMPUTED_VALUE"""),2.0)</f>
        <v>2</v>
      </c>
      <c r="F1891" s="6">
        <f>IFERROR(__xludf.DUMMYFUNCTION("""COMPUTED_VALUE"""),2.0)</f>
        <v>2</v>
      </c>
      <c r="G1891" s="6">
        <f>IFERROR(__xludf.DUMMYFUNCTION("""COMPUTED_VALUE"""),0.0)</f>
        <v>0</v>
      </c>
      <c r="H1891" s="6" t="str">
        <f>IFERROR(__xludf.DUMMYFUNCTION("""COMPUTED_VALUE"""),"Pcs")</f>
        <v>Pcs</v>
      </c>
      <c r="I1891" s="6" t="str">
        <f>IFERROR(__xludf.DUMMYFUNCTION("""COMPUTED_VALUE"""),"MFH")</f>
        <v>MFH</v>
      </c>
      <c r="J1891" s="6" t="str">
        <f>IFERROR(__xludf.DUMMYFUNCTION("""COMPUTED_VALUE"""),"Hot Water")</f>
        <v>Hot Water</v>
      </c>
      <c r="K1891" s="6" t="str">
        <f>IFERROR(__xludf.DUMMYFUNCTION("""COMPUTED_VALUE"""),"SPR/03/25/073")</f>
        <v>SPR/03/25/073</v>
      </c>
      <c r="L1891" s="13">
        <f>IFERROR(__xludf.DUMMYFUNCTION("""COMPUTED_VALUE"""),45743.0)</f>
        <v>45743</v>
      </c>
    </row>
    <row r="1892">
      <c r="A1892" s="6" t="str">
        <f>IFERROR(__xludf.DUMMYFUNCTION("""COMPUTED_VALUE"""),"RIA")</f>
        <v>RIA</v>
      </c>
      <c r="B1892" s="6" t="str">
        <f>IFERROR(__xludf.DUMMYFUNCTION("""COMPUTED_VALUE"""),"ENG")</f>
        <v>ENG</v>
      </c>
      <c r="C1892" s="6" t="str">
        <f>IFERROR(__xludf.DUMMYFUNCTION("""COMPUTED_VALUE"""),"-")</f>
        <v>-</v>
      </c>
      <c r="D1892" s="6" t="str">
        <f>IFERROR(__xludf.DUMMYFUNCTION("""COMPUTED_VALUE"""),"Relay MK2 + Housing")</f>
        <v>Relay MK2 + Housing</v>
      </c>
      <c r="E1892" s="6">
        <f>IFERROR(__xludf.DUMMYFUNCTION("""COMPUTED_VALUE"""),1.0)</f>
        <v>1</v>
      </c>
      <c r="F1892" s="6">
        <f>IFERROR(__xludf.DUMMYFUNCTION("""COMPUTED_VALUE"""),1.0)</f>
        <v>1</v>
      </c>
      <c r="G1892" s="6">
        <f>IFERROR(__xludf.DUMMYFUNCTION("""COMPUTED_VALUE"""),0.0)</f>
        <v>0</v>
      </c>
      <c r="H1892" s="6" t="str">
        <f>IFERROR(__xludf.DUMMYFUNCTION("""COMPUTED_VALUE"""),"Pcs")</f>
        <v>Pcs</v>
      </c>
      <c r="I1892" s="6" t="str">
        <f>IFERROR(__xludf.DUMMYFUNCTION("""COMPUTED_VALUE"""),"MFH")</f>
        <v>MFH</v>
      </c>
      <c r="J1892" s="6" t="str">
        <f>IFERROR(__xludf.DUMMYFUNCTION("""COMPUTED_VALUE"""),"CC API")</f>
        <v>CC API</v>
      </c>
      <c r="K1892" s="6" t="str">
        <f>IFERROR(__xludf.DUMMYFUNCTION("""COMPUTED_VALUE"""),"SPR/03/25/073")</f>
        <v>SPR/03/25/073</v>
      </c>
      <c r="L1892" s="13">
        <f>IFERROR(__xludf.DUMMYFUNCTION("""COMPUTED_VALUE"""),45743.0)</f>
        <v>45743</v>
      </c>
    </row>
    <row r="1893">
      <c r="A1893" s="6" t="str">
        <f>IFERROR(__xludf.DUMMYFUNCTION("""COMPUTED_VALUE"""),"ANO")</f>
        <v>ANO</v>
      </c>
      <c r="B1893" s="6" t="str">
        <f>IFERROR(__xludf.DUMMYFUNCTION("""COMPUTED_VALUE"""),"ENG")</f>
        <v>ENG</v>
      </c>
      <c r="C1893" s="6" t="str">
        <f>IFERROR(__xludf.DUMMYFUNCTION("""COMPUTED_VALUE"""),"P-11694-00")</f>
        <v>P-11694-00</v>
      </c>
      <c r="D1893" s="6" t="str">
        <f>IFERROR(__xludf.DUMMYFUNCTION("""COMPUTED_VALUE"""),"Mata Gerinda 4")</f>
        <v>Mata Gerinda 4</v>
      </c>
      <c r="E1893" s="6">
        <f>IFERROR(__xludf.DUMMYFUNCTION("""COMPUTED_VALUE"""),2.0)</f>
        <v>2</v>
      </c>
      <c r="F1893" s="6">
        <f>IFERROR(__xludf.DUMMYFUNCTION("""COMPUTED_VALUE"""),2.0)</f>
        <v>2</v>
      </c>
      <c r="G1893" s="6">
        <f>IFERROR(__xludf.DUMMYFUNCTION("""COMPUTED_VALUE"""),0.0)</f>
        <v>0</v>
      </c>
      <c r="H1893" s="6" t="str">
        <f>IFERROR(__xludf.DUMMYFUNCTION("""COMPUTED_VALUE"""),"Pcs")</f>
        <v>Pcs</v>
      </c>
      <c r="I1893" s="6" t="str">
        <f>IFERROR(__xludf.DUMMYFUNCTION("""COMPUTED_VALUE"""),"MFH")</f>
        <v>MFH</v>
      </c>
      <c r="J1893" s="6" t="str">
        <f>IFERROR(__xludf.DUMMYFUNCTION("""COMPUTED_VALUE"""),"MLAF")</f>
        <v>MLAF</v>
      </c>
      <c r="K1893" s="6" t="str">
        <f>IFERROR(__xludf.DUMMYFUNCTION("""COMPUTED_VALUE"""),"SPR/03/25/074")</f>
        <v>SPR/03/25/074</v>
      </c>
      <c r="L1893" s="13">
        <f>IFERROR(__xludf.DUMMYFUNCTION("""COMPUTED_VALUE"""),45743.0)</f>
        <v>45743</v>
      </c>
    </row>
    <row r="1894">
      <c r="A1894" s="6" t="str">
        <f>IFERROR(__xludf.DUMMYFUNCTION("""COMPUTED_VALUE"""),"ROS")</f>
        <v>ROS</v>
      </c>
      <c r="B1894" s="6" t="str">
        <f>IFERROR(__xludf.DUMMYFUNCTION("""COMPUTED_VALUE"""),"ENG")</f>
        <v>ENG</v>
      </c>
      <c r="C1894" s="6" t="str">
        <f>IFERROR(__xludf.DUMMYFUNCTION("""COMPUTED_VALUE"""),"P-50122-00")</f>
        <v>P-50122-00</v>
      </c>
      <c r="D1894" s="6" t="str">
        <f>IFERROR(__xludf.DUMMYFUNCTION("""COMPUTED_VALUE"""),"Balast Quitronick Osram 1x18/20/ 220 - 240V")</f>
        <v>Balast Quitronick Osram 1x18/20/ 220 - 240V</v>
      </c>
      <c r="E1894" s="6">
        <f>IFERROR(__xludf.DUMMYFUNCTION("""COMPUTED_VALUE"""),1.0)</f>
        <v>1</v>
      </c>
      <c r="F1894" s="6">
        <f>IFERROR(__xludf.DUMMYFUNCTION("""COMPUTED_VALUE"""),1.0)</f>
        <v>1</v>
      </c>
      <c r="G1894" s="6">
        <f>IFERROR(__xludf.DUMMYFUNCTION("""COMPUTED_VALUE"""),0.0)</f>
        <v>0</v>
      </c>
      <c r="H1894" s="6" t="str">
        <f>IFERROR(__xludf.DUMMYFUNCTION("""COMPUTED_VALUE"""),"Pcs")</f>
        <v>Pcs</v>
      </c>
      <c r="I1894" s="6" t="str">
        <f>IFERROR(__xludf.DUMMYFUNCTION("""COMPUTED_VALUE"""),"MFH")</f>
        <v>MFH</v>
      </c>
      <c r="J1894" s="6" t="str">
        <f>IFERROR(__xludf.DUMMYFUNCTION("""COMPUTED_VALUE"""),"cRABS")</f>
        <v>cRABS</v>
      </c>
      <c r="K1894" s="6" t="str">
        <f>IFERROR(__xludf.DUMMYFUNCTION("""COMPUTED_VALUE"""),"SPR/03/25/075")</f>
        <v>SPR/03/25/075</v>
      </c>
      <c r="L1894" s="13">
        <f>IFERROR(__xludf.DUMMYFUNCTION("""COMPUTED_VALUE"""),45743.0)</f>
        <v>45743</v>
      </c>
    </row>
    <row r="1895">
      <c r="A1895" s="6" t="str">
        <f>IFERROR(__xludf.DUMMYFUNCTION("""COMPUTED_VALUE"""),"SFH")</f>
        <v>SFH</v>
      </c>
      <c r="B1895" s="6" t="str">
        <f>IFERROR(__xludf.DUMMYFUNCTION("""COMPUTED_VALUE"""),"ENG")</f>
        <v>ENG</v>
      </c>
      <c r="C1895" s="6" t="str">
        <f>IFERROR(__xludf.DUMMYFUNCTION("""COMPUTED_VALUE"""),"T-80109-00")</f>
        <v>T-80109-00</v>
      </c>
      <c r="D1895" s="6" t="str">
        <f>IFERROR(__xludf.DUMMYFUNCTION("""COMPUTED_VALUE"""),"Cellotape Kertas 1 inch warna Putih")</f>
        <v>Cellotape Kertas 1 inch warna Putih</v>
      </c>
      <c r="E1895" s="6">
        <f>IFERROR(__xludf.DUMMYFUNCTION("""COMPUTED_VALUE"""),2.0)</f>
        <v>2</v>
      </c>
      <c r="F1895" s="6">
        <f>IFERROR(__xludf.DUMMYFUNCTION("""COMPUTED_VALUE"""),2.0)</f>
        <v>2</v>
      </c>
      <c r="G1895" s="6">
        <f>IFERROR(__xludf.DUMMYFUNCTION("""COMPUTED_VALUE"""),0.0)</f>
        <v>0</v>
      </c>
      <c r="H1895" s="6" t="str">
        <f>IFERROR(__xludf.DUMMYFUNCTION("""COMPUTED_VALUE"""),"Pcs")</f>
        <v>Pcs</v>
      </c>
      <c r="I1895" s="6" t="str">
        <f>IFERROR(__xludf.DUMMYFUNCTION("""COMPUTED_VALUE"""),"MFH")</f>
        <v>MFH</v>
      </c>
      <c r="J1895" s="6" t="str">
        <f>IFERROR(__xludf.DUMMYFUNCTION("""COMPUTED_VALUE"""),"Building")</f>
        <v>Building</v>
      </c>
      <c r="K1895" s="6" t="str">
        <f>IFERROR(__xludf.DUMMYFUNCTION("""COMPUTED_VALUE"""),"SPR/03/25/076")</f>
        <v>SPR/03/25/076</v>
      </c>
      <c r="L1895" s="13">
        <f>IFERROR(__xludf.DUMMYFUNCTION("""COMPUTED_VALUE"""),45743.0)</f>
        <v>45743</v>
      </c>
    </row>
    <row r="1896">
      <c r="A1896" s="6" t="str">
        <f>IFERROR(__xludf.DUMMYFUNCTION("""COMPUTED_VALUE"""),"SFH")</f>
        <v>SFH</v>
      </c>
      <c r="B1896" s="6" t="str">
        <f>IFERROR(__xludf.DUMMYFUNCTION("""COMPUTED_VALUE"""),"ENG")</f>
        <v>ENG</v>
      </c>
      <c r="C1896" s="6" t="str">
        <f>IFERROR(__xludf.DUMMYFUNCTION("""COMPUTED_VALUE"""),"P-17645-00")</f>
        <v>P-17645-00</v>
      </c>
      <c r="D1896" s="6" t="str">
        <f>IFERROR(__xludf.DUMMYFUNCTION("""COMPUTED_VALUE"""),"Sodium Hiphoclorite; ; ; ltr")</f>
        <v>Sodium Hiphoclorite; ; ; ltr</v>
      </c>
      <c r="E1896" s="6">
        <f>IFERROR(__xludf.DUMMYFUNCTION("""COMPUTED_VALUE"""),510.0)</f>
        <v>510</v>
      </c>
      <c r="F1896" s="6">
        <f>IFERROR(__xludf.DUMMYFUNCTION("""COMPUTED_VALUE"""),510.0)</f>
        <v>510</v>
      </c>
      <c r="G1896" s="6">
        <f>IFERROR(__xludf.DUMMYFUNCTION("""COMPUTED_VALUE"""),0.0)</f>
        <v>0</v>
      </c>
      <c r="H1896" s="6" t="str">
        <f>IFERROR(__xludf.DUMMYFUNCTION("""COMPUTED_VALUE"""),"Pcs")</f>
        <v>Pcs</v>
      </c>
      <c r="I1896" s="6" t="str">
        <f>IFERROR(__xludf.DUMMYFUNCTION("""COMPUTED_VALUE"""),"MFH")</f>
        <v>MFH</v>
      </c>
      <c r="J1896" s="6" t="str">
        <f>IFERROR(__xludf.DUMMYFUNCTION("""COMPUTED_VALUE"""),"Building")</f>
        <v>Building</v>
      </c>
      <c r="K1896" s="6" t="str">
        <f>IFERROR(__xludf.DUMMYFUNCTION("""COMPUTED_VALUE"""),"SPR/03/25/076")</f>
        <v>SPR/03/25/076</v>
      </c>
      <c r="L1896" s="13">
        <f>IFERROR(__xludf.DUMMYFUNCTION("""COMPUTED_VALUE"""),45743.0)</f>
        <v>45743</v>
      </c>
    </row>
    <row r="1897">
      <c r="A1897" s="6" t="str">
        <f>IFERROR(__xludf.DUMMYFUNCTION("""COMPUTED_VALUE"""),"RIA")</f>
        <v>RIA</v>
      </c>
      <c r="B1897" s="6" t="str">
        <f>IFERROR(__xludf.DUMMYFUNCTION("""COMPUTED_VALUE"""),"ENG")</f>
        <v>ENG</v>
      </c>
      <c r="C1897" s="6" t="str">
        <f>IFERROR(__xludf.DUMMYFUNCTION("""COMPUTED_VALUE"""),"P-52380-00")</f>
        <v>P-52380-00</v>
      </c>
      <c r="D1897" s="6" t="str">
        <f>IFERROR(__xludf.DUMMYFUNCTION("""COMPUTED_VALUE"""),"Adaptor AC Universal Power Supply 12VDC s/d 24VDC; ; ;")</f>
        <v>Adaptor AC Universal Power Supply 12VDC s/d 24VDC; ; ;</v>
      </c>
      <c r="E1897" s="6">
        <f>IFERROR(__xludf.DUMMYFUNCTION("""COMPUTED_VALUE"""),1.0)</f>
        <v>1</v>
      </c>
      <c r="F1897" s="6">
        <f>IFERROR(__xludf.DUMMYFUNCTION("""COMPUTED_VALUE"""),1.0)</f>
        <v>1</v>
      </c>
      <c r="G1897" s="6">
        <f>IFERROR(__xludf.DUMMYFUNCTION("""COMPUTED_VALUE"""),0.0)</f>
        <v>0</v>
      </c>
      <c r="H1897" s="6" t="str">
        <f>IFERROR(__xludf.DUMMYFUNCTION("""COMPUTED_VALUE"""),"Pcs")</f>
        <v>Pcs</v>
      </c>
      <c r="I1897" s="6" t="str">
        <f>IFERROR(__xludf.DUMMYFUNCTION("""COMPUTED_VALUE"""),"MFH")</f>
        <v>MFH</v>
      </c>
      <c r="J1897" s="6" t="str">
        <f>IFERROR(__xludf.DUMMYFUNCTION("""COMPUTED_VALUE"""),"BSC")</f>
        <v>BSC</v>
      </c>
      <c r="K1897" s="6" t="str">
        <f>IFERROR(__xludf.DUMMYFUNCTION("""COMPUTED_VALUE"""),"SPR/03/25/077")</f>
        <v>SPR/03/25/077</v>
      </c>
      <c r="L1897" s="13">
        <f>IFERROR(__xludf.DUMMYFUNCTION("""COMPUTED_VALUE"""),45743.0)</f>
        <v>45743</v>
      </c>
    </row>
    <row r="1898">
      <c r="A1898" s="6" t="str">
        <f>IFERROR(__xludf.DUMMYFUNCTION("""COMPUTED_VALUE"""),"RIA")</f>
        <v>RIA</v>
      </c>
      <c r="B1898" s="6" t="str">
        <f>IFERROR(__xludf.DUMMYFUNCTION("""COMPUTED_VALUE"""),"ENG")</f>
        <v>ENG</v>
      </c>
      <c r="C1898" s="6" t="str">
        <f>IFERROR(__xludf.DUMMYFUNCTION("""COMPUTED_VALUE"""),"P-14379-00")</f>
        <v>P-14379-00</v>
      </c>
      <c r="D1898" s="6" t="str">
        <f>IFERROR(__xludf.DUMMYFUNCTION("""COMPUTED_VALUE"""),"General - Gasket Ferrule EPDM 3/4inch; Lokal; -; 1 pc")</f>
        <v>General - Gasket Ferrule EPDM 3/4inch; Lokal; -; 1 pc</v>
      </c>
      <c r="E1898" s="6">
        <f>IFERROR(__xludf.DUMMYFUNCTION("""COMPUTED_VALUE"""),4.0)</f>
        <v>4</v>
      </c>
      <c r="F1898" s="6">
        <f>IFERROR(__xludf.DUMMYFUNCTION("""COMPUTED_VALUE"""),4.0)</f>
        <v>4</v>
      </c>
      <c r="G1898" s="6">
        <f>IFERROR(__xludf.DUMMYFUNCTION("""COMPUTED_VALUE"""),0.0)</f>
        <v>0</v>
      </c>
      <c r="H1898" s="6" t="str">
        <f>IFERROR(__xludf.DUMMYFUNCTION("""COMPUTED_VALUE"""),"Pcs")</f>
        <v>Pcs</v>
      </c>
      <c r="I1898" s="6" t="str">
        <f>IFERROR(__xludf.DUMMYFUNCTION("""COMPUTED_VALUE"""),"MFH")</f>
        <v>MFH</v>
      </c>
      <c r="J1898" s="6" t="str">
        <f>IFERROR(__xludf.DUMMYFUNCTION("""COMPUTED_VALUE"""),"PSG")</f>
        <v>PSG</v>
      </c>
      <c r="K1898" s="6" t="str">
        <f>IFERROR(__xludf.DUMMYFUNCTION("""COMPUTED_VALUE"""),"SPR/03/25/077")</f>
        <v>SPR/03/25/077</v>
      </c>
      <c r="L1898" s="13">
        <f>IFERROR(__xludf.DUMMYFUNCTION("""COMPUTED_VALUE"""),45743.0)</f>
        <v>45743</v>
      </c>
    </row>
    <row r="1899">
      <c r="A1899" s="6" t="str">
        <f>IFERROR(__xludf.DUMMYFUNCTION("""COMPUTED_VALUE"""),"NDS")</f>
        <v>NDS</v>
      </c>
      <c r="B1899" s="6" t="str">
        <f>IFERROR(__xludf.DUMMYFUNCTION("""COMPUTED_VALUE"""),"ENG")</f>
        <v>ENG</v>
      </c>
      <c r="C1899" s="6" t="str">
        <f>IFERROR(__xludf.DUMMYFUNCTION("""COMPUTED_VALUE"""),"P-11356-00")</f>
        <v>P-11356-00</v>
      </c>
      <c r="D1899" s="6" t="str">
        <f>IFERROR(__xludf.DUMMYFUNCTION("""COMPUTED_VALUE"""),"Roda Trolly ABUS 4"" ( 100 x 27 ) Without Breake")</f>
        <v>Roda Trolly ABUS 4" ( 100 x 27 ) Without Breake</v>
      </c>
      <c r="E1899" s="6">
        <f>IFERROR(__xludf.DUMMYFUNCTION("""COMPUTED_VALUE"""),1.0)</f>
        <v>1</v>
      </c>
      <c r="F1899" s="6">
        <f>IFERROR(__xludf.DUMMYFUNCTION("""COMPUTED_VALUE"""),1.0)</f>
        <v>1</v>
      </c>
      <c r="G1899" s="6">
        <f>IFERROR(__xludf.DUMMYFUNCTION("""COMPUTED_VALUE"""),0.0)</f>
        <v>0</v>
      </c>
      <c r="H1899" s="6" t="str">
        <f>IFERROR(__xludf.DUMMYFUNCTION("""COMPUTED_VALUE"""),"Pcs")</f>
        <v>Pcs</v>
      </c>
      <c r="I1899" s="6" t="str">
        <f>IFERROR(__xludf.DUMMYFUNCTION("""COMPUTED_VALUE"""),"MFH")</f>
        <v>MFH</v>
      </c>
      <c r="J1899" s="6" t="str">
        <f>IFERROR(__xludf.DUMMYFUNCTION("""COMPUTED_VALUE"""),"BOD")</f>
        <v>BOD</v>
      </c>
      <c r="K1899" s="6" t="str">
        <f>IFERROR(__xludf.DUMMYFUNCTION("""COMPUTED_VALUE"""),"SPR/03/25/078")</f>
        <v>SPR/03/25/078</v>
      </c>
      <c r="L1899" s="13">
        <f>IFERROR(__xludf.DUMMYFUNCTION("""COMPUTED_VALUE"""),45743.0)</f>
        <v>45743</v>
      </c>
    </row>
    <row r="1900">
      <c r="A1900" s="6" t="str">
        <f>IFERROR(__xludf.DUMMYFUNCTION("""COMPUTED_VALUE"""),"NDS")</f>
        <v>NDS</v>
      </c>
      <c r="B1900" s="6" t="str">
        <f>IFERROR(__xludf.DUMMYFUNCTION("""COMPUTED_VALUE"""),"ENG")</f>
        <v>ENG</v>
      </c>
      <c r="C1900" s="6" t="str">
        <f>IFERROR(__xludf.DUMMYFUNCTION("""COMPUTED_VALUE"""),"O-18680-00")</f>
        <v>O-18680-00</v>
      </c>
      <c r="D1900" s="6" t="str">
        <f>IFERROR(__xludf.DUMMYFUNCTION("""COMPUTED_VALUE"""),"-")</f>
        <v>-</v>
      </c>
      <c r="E1900" s="6">
        <f>IFERROR(__xludf.DUMMYFUNCTION("""COMPUTED_VALUE"""),2.0)</f>
        <v>2</v>
      </c>
      <c r="F1900" s="6">
        <f>IFERROR(__xludf.DUMMYFUNCTION("""COMPUTED_VALUE"""),2.0)</f>
        <v>2</v>
      </c>
      <c r="G1900" s="6">
        <f>IFERROR(__xludf.DUMMYFUNCTION("""COMPUTED_VALUE"""),0.0)</f>
        <v>0</v>
      </c>
      <c r="H1900" s="6" t="str">
        <f>IFERROR(__xludf.DUMMYFUNCTION("""COMPUTED_VALUE"""),"Pcs")</f>
        <v>Pcs</v>
      </c>
      <c r="I1900" s="6" t="str">
        <f>IFERROR(__xludf.DUMMYFUNCTION("""COMPUTED_VALUE"""),"MFH")</f>
        <v>MFH</v>
      </c>
      <c r="J1900" s="6" t="str">
        <f>IFERROR(__xludf.DUMMYFUNCTION("""COMPUTED_VALUE"""),"Autoclave")</f>
        <v>Autoclave</v>
      </c>
      <c r="K1900" s="6" t="str">
        <f>IFERROR(__xludf.DUMMYFUNCTION("""COMPUTED_VALUE"""),"SPR/03/25/078")</f>
        <v>SPR/03/25/078</v>
      </c>
      <c r="L1900" s="13">
        <f>IFERROR(__xludf.DUMMYFUNCTION("""COMPUTED_VALUE"""),45743.0)</f>
        <v>45743</v>
      </c>
    </row>
    <row r="1901">
      <c r="A1901" s="6" t="str">
        <f>IFERROR(__xludf.DUMMYFUNCTION("""COMPUTED_VALUE"""),"NDS")</f>
        <v>NDS</v>
      </c>
      <c r="B1901" s="6" t="str">
        <f>IFERROR(__xludf.DUMMYFUNCTION("""COMPUTED_VALUE"""),"ENG")</f>
        <v>ENG</v>
      </c>
      <c r="C1901" s="6" t="str">
        <f>IFERROR(__xludf.DUMMYFUNCTION("""COMPUTED_VALUE"""),"P-17361-00")</f>
        <v>P-17361-00</v>
      </c>
      <c r="D1901" s="6" t="str">
        <f>IFERROR(__xludf.DUMMYFUNCTION("""COMPUTED_VALUE"""),"Oring EPDM 15x9x3 mm")</f>
        <v>Oring EPDM 15x9x3 mm</v>
      </c>
      <c r="E1901" s="6">
        <f>IFERROR(__xludf.DUMMYFUNCTION("""COMPUTED_VALUE"""),2.0)</f>
        <v>2</v>
      </c>
      <c r="F1901" s="6">
        <f>IFERROR(__xludf.DUMMYFUNCTION("""COMPUTED_VALUE"""),2.0)</f>
        <v>2</v>
      </c>
      <c r="G1901" s="6">
        <f>IFERROR(__xludf.DUMMYFUNCTION("""COMPUTED_VALUE"""),0.0)</f>
        <v>0</v>
      </c>
      <c r="H1901" s="6" t="str">
        <f>IFERROR(__xludf.DUMMYFUNCTION("""COMPUTED_VALUE"""),"Pcs")</f>
        <v>Pcs</v>
      </c>
      <c r="I1901" s="6" t="str">
        <f>IFERROR(__xludf.DUMMYFUNCTION("""COMPUTED_VALUE"""),"MFH")</f>
        <v>MFH</v>
      </c>
      <c r="J1901" s="6" t="str">
        <f>IFERROR(__xludf.DUMMYFUNCTION("""COMPUTED_VALUE"""),"Autoclave")</f>
        <v>Autoclave</v>
      </c>
      <c r="K1901" s="6" t="str">
        <f>IFERROR(__xludf.DUMMYFUNCTION("""COMPUTED_VALUE"""),"SPR/03/25/078")</f>
        <v>SPR/03/25/078</v>
      </c>
      <c r="L1901" s="13">
        <f>IFERROR(__xludf.DUMMYFUNCTION("""COMPUTED_VALUE"""),45743.0)</f>
        <v>45743</v>
      </c>
    </row>
    <row r="1902">
      <c r="A1902" s="6" t="str">
        <f>IFERROR(__xludf.DUMMYFUNCTION("""COMPUTED_VALUE"""),"ROS")</f>
        <v>ROS</v>
      </c>
      <c r="B1902" s="6" t="str">
        <f>IFERROR(__xludf.DUMMYFUNCTION("""COMPUTED_VALUE"""),"ENG")</f>
        <v>ENG</v>
      </c>
      <c r="C1902" s="6" t="str">
        <f>IFERROR(__xludf.DUMMYFUNCTION("""COMPUTED_VALUE"""),"O-15918-00")</f>
        <v>O-15918-00</v>
      </c>
      <c r="D1902" s="6" t="str">
        <f>IFERROR(__xludf.DUMMYFUNCTION("""COMPUTED_VALUE"""),"Fedegari FVA2/A1 - O-RING 15.47x3.53 ; Code : CC150170")</f>
        <v>Fedegari FVA2/A1 - O-RING 15.47x3.53 ; Code : CC150170</v>
      </c>
      <c r="E1902" s="6">
        <f>IFERROR(__xludf.DUMMYFUNCTION("""COMPUTED_VALUE"""),2.0)</f>
        <v>2</v>
      </c>
      <c r="F1902" s="6">
        <f>IFERROR(__xludf.DUMMYFUNCTION("""COMPUTED_VALUE"""),2.0)</f>
        <v>2</v>
      </c>
      <c r="G1902" s="6">
        <f>IFERROR(__xludf.DUMMYFUNCTION("""COMPUTED_VALUE"""),0.0)</f>
        <v>0</v>
      </c>
      <c r="H1902" s="6" t="str">
        <f>IFERROR(__xludf.DUMMYFUNCTION("""COMPUTED_VALUE"""),"Pcs")</f>
        <v>Pcs</v>
      </c>
      <c r="I1902" s="6" t="str">
        <f>IFERROR(__xludf.DUMMYFUNCTION("""COMPUTED_VALUE"""),"MFH")</f>
        <v>MFH</v>
      </c>
      <c r="J1902" s="6" t="str">
        <f>IFERROR(__xludf.DUMMYFUNCTION("""COMPUTED_VALUE"""),"Autoclave")</f>
        <v>Autoclave</v>
      </c>
      <c r="K1902" s="6" t="str">
        <f>IFERROR(__xludf.DUMMYFUNCTION("""COMPUTED_VALUE"""),"SPR/03/25/079")</f>
        <v>SPR/03/25/079</v>
      </c>
      <c r="L1902" s="13">
        <f>IFERROR(__xludf.DUMMYFUNCTION("""COMPUTED_VALUE"""),45743.0)</f>
        <v>45743</v>
      </c>
    </row>
    <row r="1903">
      <c r="A1903" s="6" t="str">
        <f>IFERROR(__xludf.DUMMYFUNCTION("""COMPUTED_VALUE"""),"RIA")</f>
        <v>RIA</v>
      </c>
      <c r="B1903" s="6" t="str">
        <f>IFERROR(__xludf.DUMMYFUNCTION("""COMPUTED_VALUE"""),"ENG")</f>
        <v>ENG</v>
      </c>
      <c r="C1903" s="6" t="str">
        <f>IFERROR(__xludf.DUMMYFUNCTION("""COMPUTED_VALUE"""),"P-13735-00")</f>
        <v>P-13735-00</v>
      </c>
      <c r="D1903" s="6" t="str">
        <f>IFERROR(__xludf.DUMMYFUNCTION("""COMPUTED_VALUE"""),"Cable Duct Round Putih 35 x 10 mm; ; ;")</f>
        <v>Cable Duct Round Putih 35 x 10 mm; ; ;</v>
      </c>
      <c r="E1903" s="6">
        <f>IFERROR(__xludf.DUMMYFUNCTION("""COMPUTED_VALUE"""),1.0)</f>
        <v>1</v>
      </c>
      <c r="F1903" s="6">
        <f>IFERROR(__xludf.DUMMYFUNCTION("""COMPUTED_VALUE"""),1.0)</f>
        <v>1</v>
      </c>
      <c r="G1903" s="6">
        <f>IFERROR(__xludf.DUMMYFUNCTION("""COMPUTED_VALUE"""),0.0)</f>
        <v>0</v>
      </c>
      <c r="H1903" s="6" t="str">
        <f>IFERROR(__xludf.DUMMYFUNCTION("""COMPUTED_VALUE"""),"Pcs")</f>
        <v>Pcs</v>
      </c>
      <c r="I1903" s="6" t="str">
        <f>IFERROR(__xludf.DUMMYFUNCTION("""COMPUTED_VALUE"""),"MFH")</f>
        <v>MFH</v>
      </c>
      <c r="J1903" s="6" t="str">
        <f>IFERROR(__xludf.DUMMYFUNCTION("""COMPUTED_VALUE"""),"BOD")</f>
        <v>BOD</v>
      </c>
      <c r="K1903" s="6" t="str">
        <f>IFERROR(__xludf.DUMMYFUNCTION("""COMPUTED_VALUE"""),"SPR/03/25/080")</f>
        <v>SPR/03/25/080</v>
      </c>
      <c r="L1903" s="13">
        <f>IFERROR(__xludf.DUMMYFUNCTION("""COMPUTED_VALUE"""),45743.0)</f>
        <v>45743</v>
      </c>
    </row>
    <row r="1904">
      <c r="A1904" s="6" t="str">
        <f>IFERROR(__xludf.DUMMYFUNCTION("""COMPUTED_VALUE"""),"RIA")</f>
        <v>RIA</v>
      </c>
      <c r="B1904" s="6" t="str">
        <f>IFERROR(__xludf.DUMMYFUNCTION("""COMPUTED_VALUE"""),"ENG")</f>
        <v>ENG</v>
      </c>
      <c r="C1904" s="6" t="str">
        <f>IFERROR(__xludf.DUMMYFUNCTION("""COMPUTED_VALUE"""),"P-15438-00")</f>
        <v>P-15438-00</v>
      </c>
      <c r="D1904" s="6" t="str">
        <f>IFERROR(__xludf.DUMMYFUNCTION("""COMPUTED_VALUE"""),"CABLE SPIRAL WRAPPING, TYPE KS12, BRAND KSS; ; ;")</f>
        <v>CABLE SPIRAL WRAPPING, TYPE KS12, BRAND KSS; ; ;</v>
      </c>
      <c r="E1904" s="6">
        <f>IFERROR(__xludf.DUMMYFUNCTION("""COMPUTED_VALUE"""),1.0)</f>
        <v>1</v>
      </c>
      <c r="F1904" s="6">
        <f>IFERROR(__xludf.DUMMYFUNCTION("""COMPUTED_VALUE"""),1.0)</f>
        <v>1</v>
      </c>
      <c r="G1904" s="6">
        <f>IFERROR(__xludf.DUMMYFUNCTION("""COMPUTED_VALUE"""),0.0)</f>
        <v>0</v>
      </c>
      <c r="H1904" s="6" t="str">
        <f>IFERROR(__xludf.DUMMYFUNCTION("""COMPUTED_VALUE"""),"Pcs")</f>
        <v>Pcs</v>
      </c>
      <c r="I1904" s="6" t="str">
        <f>IFERROR(__xludf.DUMMYFUNCTION("""COMPUTED_VALUE"""),"MFH")</f>
        <v>MFH</v>
      </c>
      <c r="J1904" s="6" t="str">
        <f>IFERROR(__xludf.DUMMYFUNCTION("""COMPUTED_VALUE"""),"BOD")</f>
        <v>BOD</v>
      </c>
      <c r="K1904" s="6" t="str">
        <f>IFERROR(__xludf.DUMMYFUNCTION("""COMPUTED_VALUE"""),"SPR/03/25/080")</f>
        <v>SPR/03/25/080</v>
      </c>
      <c r="L1904" s="13">
        <f>IFERROR(__xludf.DUMMYFUNCTION("""COMPUTED_VALUE"""),45743.0)</f>
        <v>45743</v>
      </c>
    </row>
    <row r="1905">
      <c r="A1905" s="6" t="str">
        <f>IFERROR(__xludf.DUMMYFUNCTION("""COMPUTED_VALUE"""),"NDS")</f>
        <v>NDS</v>
      </c>
      <c r="B1905" s="6" t="str">
        <f>IFERROR(__xludf.DUMMYFUNCTION("""COMPUTED_VALUE"""),"ENG")</f>
        <v>ENG</v>
      </c>
      <c r="C1905" s="6" t="str">
        <f>IFERROR(__xludf.DUMMYFUNCTION("""COMPUTED_VALUE"""),"P-50797-00")</f>
        <v>P-50797-00</v>
      </c>
      <c r="D1905" s="6" t="str">
        <f>IFERROR(__xludf.DUMMYFUNCTION("""COMPUTED_VALUE"""),"Bola lampu 24V 5 Watt")</f>
        <v>Bola lampu 24V 5 Watt</v>
      </c>
      <c r="E1905" s="6">
        <f>IFERROR(__xludf.DUMMYFUNCTION("""COMPUTED_VALUE"""),2.0)</f>
        <v>2</v>
      </c>
      <c r="F1905" s="6">
        <f>IFERROR(__xludf.DUMMYFUNCTION("""COMPUTED_VALUE"""),2.0)</f>
        <v>2</v>
      </c>
      <c r="G1905" s="6">
        <f>IFERROR(__xludf.DUMMYFUNCTION("""COMPUTED_VALUE"""),0.0)</f>
        <v>0</v>
      </c>
      <c r="H1905" s="6" t="str">
        <f>IFERROR(__xludf.DUMMYFUNCTION("""COMPUTED_VALUE"""),"Pcs")</f>
        <v>Pcs</v>
      </c>
      <c r="I1905" s="6" t="str">
        <f>IFERROR(__xludf.DUMMYFUNCTION("""COMPUTED_VALUE"""),"MFH")</f>
        <v>MFH</v>
      </c>
      <c r="J1905" s="6" t="str">
        <f>IFERROR(__xludf.DUMMYFUNCTION("""COMPUTED_VALUE"""),"Conveyor R")</f>
        <v>Conveyor R</v>
      </c>
      <c r="K1905" s="6" t="str">
        <f>IFERROR(__xludf.DUMMYFUNCTION("""COMPUTED_VALUE"""),"SPR/03/25/081")</f>
        <v>SPR/03/25/081</v>
      </c>
      <c r="L1905" s="13">
        <f>IFERROR(__xludf.DUMMYFUNCTION("""COMPUTED_VALUE"""),45743.0)</f>
        <v>45743</v>
      </c>
    </row>
    <row r="1906">
      <c r="A1906" s="6" t="str">
        <f>IFERROR(__xludf.DUMMYFUNCTION("""COMPUTED_VALUE"""),"NDS")</f>
        <v>NDS</v>
      </c>
      <c r="B1906" s="6" t="str">
        <f>IFERROR(__xludf.DUMMYFUNCTION("""COMPUTED_VALUE"""),"ENG")</f>
        <v>ENG</v>
      </c>
      <c r="C1906" s="6" t="str">
        <f>IFERROR(__xludf.DUMMYFUNCTION("""COMPUTED_VALUE"""),"O-19690-00")</f>
        <v>O-19690-00</v>
      </c>
      <c r="D1906" s="6" t="str">
        <f>IFERROR(__xludf.DUMMYFUNCTION("""COMPUTED_VALUE"""),"Per Tekan SS304 ID 3,5 x OD 4,5 x P 53,5 mm")</f>
        <v>Per Tekan SS304 ID 3,5 x OD 4,5 x P 53,5 mm</v>
      </c>
      <c r="E1906" s="6">
        <f>IFERROR(__xludf.DUMMYFUNCTION("""COMPUTED_VALUE"""),1.0)</f>
        <v>1</v>
      </c>
      <c r="F1906" s="6">
        <f>IFERROR(__xludf.DUMMYFUNCTION("""COMPUTED_VALUE"""),1.0)</f>
        <v>1</v>
      </c>
      <c r="G1906" s="6">
        <f>IFERROR(__xludf.DUMMYFUNCTION("""COMPUTED_VALUE"""),0.0)</f>
        <v>0</v>
      </c>
      <c r="H1906" s="6" t="str">
        <f>IFERROR(__xludf.DUMMYFUNCTION("""COMPUTED_VALUE"""),"Pcs")</f>
        <v>Pcs</v>
      </c>
      <c r="I1906" s="6" t="str">
        <f>IFERROR(__xludf.DUMMYFUNCTION("""COMPUTED_VALUE"""),"MFH")</f>
        <v>MFH</v>
      </c>
      <c r="J1906" s="6" t="str">
        <f>IFERROR(__xludf.DUMMYFUNCTION("""COMPUTED_VALUE"""),"Micropipet")</f>
        <v>Micropipet</v>
      </c>
      <c r="K1906" s="6" t="str">
        <f>IFERROR(__xludf.DUMMYFUNCTION("""COMPUTED_VALUE"""),"SPR/03/25/081")</f>
        <v>SPR/03/25/081</v>
      </c>
      <c r="L1906" s="13">
        <f>IFERROR(__xludf.DUMMYFUNCTION("""COMPUTED_VALUE"""),45743.0)</f>
        <v>45743</v>
      </c>
    </row>
    <row r="1907">
      <c r="A1907" s="6" t="str">
        <f>IFERROR(__xludf.DUMMYFUNCTION("""COMPUTED_VALUE"""),"RIA")</f>
        <v>RIA</v>
      </c>
      <c r="B1907" s="6" t="str">
        <f>IFERROR(__xludf.DUMMYFUNCTION("""COMPUTED_VALUE"""),"ENG")</f>
        <v>ENG</v>
      </c>
      <c r="C1907" s="6" t="str">
        <f>IFERROR(__xludf.DUMMYFUNCTION("""COMPUTED_VALUE"""),"O-54015-00")</f>
        <v>O-54015-00</v>
      </c>
      <c r="D1907" s="6" t="str">
        <f>IFERROR(__xludf.DUMMYFUNCTION("""COMPUTED_VALUE"""),"STOP KONTAK LUBANG 4, BROCO")</f>
        <v>STOP KONTAK LUBANG 4, BROCO</v>
      </c>
      <c r="E1907" s="6">
        <f>IFERROR(__xludf.DUMMYFUNCTION("""COMPUTED_VALUE"""),1.0)</f>
        <v>1</v>
      </c>
      <c r="F1907" s="6">
        <f>IFERROR(__xludf.DUMMYFUNCTION("""COMPUTED_VALUE"""),1.0)</f>
        <v>1</v>
      </c>
      <c r="G1907" s="6">
        <f>IFERROR(__xludf.DUMMYFUNCTION("""COMPUTED_VALUE"""),0.0)</f>
        <v>0</v>
      </c>
      <c r="H1907" s="6" t="str">
        <f>IFERROR(__xludf.DUMMYFUNCTION("""COMPUTED_VALUE"""),"Pcs")</f>
        <v>Pcs</v>
      </c>
      <c r="I1907" s="6" t="str">
        <f>IFERROR(__xludf.DUMMYFUNCTION("""COMPUTED_VALUE"""),"MFH")</f>
        <v>MFH</v>
      </c>
      <c r="J1907" s="6" t="str">
        <f>IFERROR(__xludf.DUMMYFUNCTION("""COMPUTED_VALUE"""),"-")</f>
        <v>-</v>
      </c>
      <c r="K1907" s="6" t="str">
        <f>IFERROR(__xludf.DUMMYFUNCTION("""COMPUTED_VALUE"""),"SPR/03/25/082")</f>
        <v>SPR/03/25/082</v>
      </c>
      <c r="L1907" s="13">
        <f>IFERROR(__xludf.DUMMYFUNCTION("""COMPUTED_VALUE"""),45743.0)</f>
        <v>45743</v>
      </c>
    </row>
    <row r="1908">
      <c r="A1908" s="6" t="str">
        <f>IFERROR(__xludf.DUMMYFUNCTION("""COMPUTED_VALUE"""),"RIA")</f>
        <v>RIA</v>
      </c>
      <c r="B1908" s="6" t="str">
        <f>IFERROR(__xludf.DUMMYFUNCTION("""COMPUTED_VALUE"""),"ENG")</f>
        <v>ENG</v>
      </c>
      <c r="C1908" s="6" t="str">
        <f>IFERROR(__xludf.DUMMYFUNCTION("""COMPUTED_VALUE"""),"O-54014-00")</f>
        <v>O-54014-00</v>
      </c>
      <c r="D1908" s="6" t="str">
        <f>IFERROR(__xludf.DUMMYFUNCTION("""COMPUTED_VALUE"""),"STEKER 1 PHASE, BROCO")</f>
        <v>STEKER 1 PHASE, BROCO</v>
      </c>
      <c r="E1908" s="6">
        <f>IFERROR(__xludf.DUMMYFUNCTION("""COMPUTED_VALUE"""),1.0)</f>
        <v>1</v>
      </c>
      <c r="F1908" s="6">
        <f>IFERROR(__xludf.DUMMYFUNCTION("""COMPUTED_VALUE"""),1.0)</f>
        <v>1</v>
      </c>
      <c r="G1908" s="6">
        <f>IFERROR(__xludf.DUMMYFUNCTION("""COMPUTED_VALUE"""),0.0)</f>
        <v>0</v>
      </c>
      <c r="H1908" s="6" t="str">
        <f>IFERROR(__xludf.DUMMYFUNCTION("""COMPUTED_VALUE"""),"Pcs")</f>
        <v>Pcs</v>
      </c>
      <c r="I1908" s="6" t="str">
        <f>IFERROR(__xludf.DUMMYFUNCTION("""COMPUTED_VALUE"""),"MFH")</f>
        <v>MFH</v>
      </c>
      <c r="J1908" s="6" t="str">
        <f>IFERROR(__xludf.DUMMYFUNCTION("""COMPUTED_VALUE"""),"-")</f>
        <v>-</v>
      </c>
      <c r="K1908" s="6" t="str">
        <f>IFERROR(__xludf.DUMMYFUNCTION("""COMPUTED_VALUE"""),"SPR/03/25/082")</f>
        <v>SPR/03/25/082</v>
      </c>
      <c r="L1908" s="13">
        <f>IFERROR(__xludf.DUMMYFUNCTION("""COMPUTED_VALUE"""),45743.0)</f>
        <v>45743</v>
      </c>
    </row>
    <row r="1909">
      <c r="A1909" s="6" t="str">
        <f>IFERROR(__xludf.DUMMYFUNCTION("""COMPUTED_VALUE"""),"ROS")</f>
        <v>ROS</v>
      </c>
      <c r="B1909" s="6" t="str">
        <f>IFERROR(__xludf.DUMMYFUNCTION("""COMPUTED_VALUE"""),"ENG")</f>
        <v>ENG</v>
      </c>
      <c r="C1909" s="6" t="str">
        <f>IFERROR(__xludf.DUMMYFUNCTION("""COMPUTED_VALUE"""),"P-19539-00")</f>
        <v>P-19539-00</v>
      </c>
      <c r="D1909" s="6" t="str">
        <f>IFERROR(__xludf.DUMMYFUNCTION("""COMPUTED_VALUE"""),"General - Roda Pu 3 Inch 75X32 Mm Tanpa Bracket  -  -")</f>
        <v>General - Roda Pu 3 Inch 75X32 Mm Tanpa Bracket  -  -</v>
      </c>
      <c r="E1909" s="6">
        <f>IFERROR(__xludf.DUMMYFUNCTION("""COMPUTED_VALUE"""),1.0)</f>
        <v>1</v>
      </c>
      <c r="F1909" s="6">
        <f>IFERROR(__xludf.DUMMYFUNCTION("""COMPUTED_VALUE"""),1.0)</f>
        <v>1</v>
      </c>
      <c r="G1909" s="6">
        <f>IFERROR(__xludf.DUMMYFUNCTION("""COMPUTED_VALUE"""),0.0)</f>
        <v>0</v>
      </c>
      <c r="H1909" s="6" t="str">
        <f>IFERROR(__xludf.DUMMYFUNCTION("""COMPUTED_VALUE"""),"Pcs")</f>
        <v>Pcs</v>
      </c>
      <c r="I1909" s="6" t="str">
        <f>IFERROR(__xludf.DUMMYFUNCTION("""COMPUTED_VALUE"""),"MFH")</f>
        <v>MFH</v>
      </c>
      <c r="J1909" s="6" t="str">
        <f>IFERROR(__xludf.DUMMYFUNCTION("""COMPUTED_VALUE"""),"-")</f>
        <v>-</v>
      </c>
      <c r="K1909" s="6" t="str">
        <f>IFERROR(__xludf.DUMMYFUNCTION("""COMPUTED_VALUE"""),"SPR/03/25/083")</f>
        <v>SPR/03/25/083</v>
      </c>
      <c r="L1909" s="13">
        <f>IFERROR(__xludf.DUMMYFUNCTION("""COMPUTED_VALUE"""),45743.0)</f>
        <v>45743</v>
      </c>
    </row>
    <row r="1910">
      <c r="A1910" s="6" t="str">
        <f>IFERROR(__xludf.DUMMYFUNCTION("""COMPUTED_VALUE"""),"ROS")</f>
        <v>ROS</v>
      </c>
      <c r="B1910" s="6" t="str">
        <f>IFERROR(__xludf.DUMMYFUNCTION("""COMPUTED_VALUE"""),"ENG")</f>
        <v>ENG</v>
      </c>
      <c r="C1910" s="6" t="str">
        <f>IFERROR(__xludf.DUMMYFUNCTION("""COMPUTED_VALUE"""),"O-16647-00")</f>
        <v>O-16647-00</v>
      </c>
      <c r="D1910" s="6" t="str">
        <f>IFERROR(__xludf.DUMMYFUNCTION("""COMPUTED_VALUE"""),"Washing RAR4 - Oring Silicone Merah 23x18x2.5 mm")</f>
        <v>Washing RAR4 - Oring Silicone Merah 23x18x2.5 mm</v>
      </c>
      <c r="E1910" s="6">
        <f>IFERROR(__xludf.DUMMYFUNCTION("""COMPUTED_VALUE"""),10.0)</f>
        <v>10</v>
      </c>
      <c r="F1910" s="6">
        <f>IFERROR(__xludf.DUMMYFUNCTION("""COMPUTED_VALUE"""),10.0)</f>
        <v>10</v>
      </c>
      <c r="G1910" s="6">
        <f>IFERROR(__xludf.DUMMYFUNCTION("""COMPUTED_VALUE"""),0.0)</f>
        <v>0</v>
      </c>
      <c r="H1910" s="6" t="str">
        <f>IFERROR(__xludf.DUMMYFUNCTION("""COMPUTED_VALUE"""),"Pcs")</f>
        <v>Pcs</v>
      </c>
      <c r="I1910" s="6" t="str">
        <f>IFERROR(__xludf.DUMMYFUNCTION("""COMPUTED_VALUE"""),"MFH")</f>
        <v>MFH</v>
      </c>
      <c r="J1910" s="6" t="str">
        <f>IFERROR(__xludf.DUMMYFUNCTION("""COMPUTED_VALUE"""),"Capping")</f>
        <v>Capping</v>
      </c>
      <c r="K1910" s="6" t="str">
        <f>IFERROR(__xludf.DUMMYFUNCTION("""COMPUTED_VALUE"""),"SPR/03/25/084")</f>
        <v>SPR/03/25/084</v>
      </c>
      <c r="L1910" s="13">
        <f>IFERROR(__xludf.DUMMYFUNCTION("""COMPUTED_VALUE"""),45743.0)</f>
        <v>45743</v>
      </c>
    </row>
    <row r="1911">
      <c r="A1911" s="6" t="str">
        <f>IFERROR(__xludf.DUMMYFUNCTION("""COMPUTED_VALUE"""),"ROS")</f>
        <v>ROS</v>
      </c>
      <c r="B1911" s="6" t="str">
        <f>IFERROR(__xludf.DUMMYFUNCTION("""COMPUTED_VALUE"""),"ENG")</f>
        <v>ENG</v>
      </c>
      <c r="C1911" s="6" t="str">
        <f>IFERROR(__xludf.DUMMYFUNCTION("""COMPUTED_VALUE"""),"O-17376-00")</f>
        <v>O-17376-00</v>
      </c>
      <c r="D1911" s="6" t="str">
        <f>IFERROR(__xludf.DUMMYFUNCTION("""COMPUTED_VALUE"""),"Autoclave Fedegari FOF / 6 AC - Kit DN22 Valve Mod; p/n: KK000310")</f>
        <v>Autoclave Fedegari FOF / 6 AC - Kit DN22 Valve Mod; p/n: KK000310</v>
      </c>
      <c r="E1911" s="6">
        <f>IFERROR(__xludf.DUMMYFUNCTION("""COMPUTED_VALUE"""),1.0)</f>
        <v>1</v>
      </c>
      <c r="F1911" s="6">
        <f>IFERROR(__xludf.DUMMYFUNCTION("""COMPUTED_VALUE"""),1.0)</f>
        <v>1</v>
      </c>
      <c r="G1911" s="6">
        <f>IFERROR(__xludf.DUMMYFUNCTION("""COMPUTED_VALUE"""),0.0)</f>
        <v>0</v>
      </c>
      <c r="H1911" s="6" t="str">
        <f>IFERROR(__xludf.DUMMYFUNCTION("""COMPUTED_VALUE"""),"Pcs")</f>
        <v>Pcs</v>
      </c>
      <c r="I1911" s="6" t="str">
        <f>IFERROR(__xludf.DUMMYFUNCTION("""COMPUTED_VALUE"""),"MFH")</f>
        <v>MFH</v>
      </c>
      <c r="J1911" s="6" t="str">
        <f>IFERROR(__xludf.DUMMYFUNCTION("""COMPUTED_VALUE"""),"Autoclave")</f>
        <v>Autoclave</v>
      </c>
      <c r="K1911" s="6" t="str">
        <f>IFERROR(__xludf.DUMMYFUNCTION("""COMPUTED_VALUE"""),"SPR/03/25/084")</f>
        <v>SPR/03/25/084</v>
      </c>
      <c r="L1911" s="13">
        <f>IFERROR(__xludf.DUMMYFUNCTION("""COMPUTED_VALUE"""),45743.0)</f>
        <v>45743</v>
      </c>
    </row>
    <row r="1912">
      <c r="A1912" s="6" t="str">
        <f>IFERROR(__xludf.DUMMYFUNCTION("""COMPUTED_VALUE"""),"SFH")</f>
        <v>SFH</v>
      </c>
      <c r="B1912" s="6" t="str">
        <f>IFERROR(__xludf.DUMMYFUNCTION("""COMPUTED_VALUE"""),"ENG")</f>
        <v>ENG</v>
      </c>
      <c r="C1912" s="6" t="str">
        <f>IFERROR(__xludf.DUMMYFUNCTION("""COMPUTED_VALUE"""),"P-53051-00")</f>
        <v>P-53051-00</v>
      </c>
      <c r="D1912" s="6" t="str">
        <f>IFERROR(__xludf.DUMMYFUNCTION("""COMPUTED_VALUE"""),"General - Baterai NiCad Emergency TL 6V; Hokistar; BT-006; 1 Pc")</f>
        <v>General - Baterai NiCad Emergency TL 6V; Hokistar; BT-006; 1 Pc</v>
      </c>
      <c r="E1912" s="6">
        <f>IFERROR(__xludf.DUMMYFUNCTION("""COMPUTED_VALUE"""),1.0)</f>
        <v>1</v>
      </c>
      <c r="F1912" s="6">
        <f>IFERROR(__xludf.DUMMYFUNCTION("""COMPUTED_VALUE"""),1.0)</f>
        <v>1</v>
      </c>
      <c r="G1912" s="6">
        <f>IFERROR(__xludf.DUMMYFUNCTION("""COMPUTED_VALUE"""),0.0)</f>
        <v>0</v>
      </c>
      <c r="H1912" s="6" t="str">
        <f>IFERROR(__xludf.DUMMYFUNCTION("""COMPUTED_VALUE"""),"Pcs")</f>
        <v>Pcs</v>
      </c>
      <c r="I1912" s="6" t="str">
        <f>IFERROR(__xludf.DUMMYFUNCTION("""COMPUTED_VALUE"""),"MFH")</f>
        <v>MFH</v>
      </c>
      <c r="J1912" s="6" t="str">
        <f>IFERROR(__xludf.DUMMYFUNCTION("""COMPUTED_VALUE"""),"Building")</f>
        <v>Building</v>
      </c>
      <c r="K1912" s="6" t="str">
        <f>IFERROR(__xludf.DUMMYFUNCTION("""COMPUTED_VALUE"""),"SPR/03/25/085")</f>
        <v>SPR/03/25/085</v>
      </c>
      <c r="L1912" s="13">
        <f>IFERROR(__xludf.DUMMYFUNCTION("""COMPUTED_VALUE"""),45743.0)</f>
        <v>45743</v>
      </c>
    </row>
    <row r="1913">
      <c r="A1913" s="6" t="str">
        <f>IFERROR(__xludf.DUMMYFUNCTION("""COMPUTED_VALUE"""),"MOB")</f>
        <v>MOB</v>
      </c>
      <c r="B1913" s="6" t="str">
        <f>IFERROR(__xludf.DUMMYFUNCTION("""COMPUTED_VALUE"""),"ENG")</f>
        <v>ENG</v>
      </c>
      <c r="C1913" s="6" t="str">
        <f>IFERROR(__xludf.DUMMYFUNCTION("""COMPUTED_VALUE"""),"P-51560-00")</f>
        <v>P-51560-00</v>
      </c>
      <c r="D1913" s="6" t="str">
        <f>IFERROR(__xludf.DUMMYFUNCTION("""COMPUTED_VALUE"""),"Lampu T5 28watt Putih; Phillips; ;")</f>
        <v>Lampu T5 28watt Putih; Phillips; ;</v>
      </c>
      <c r="E1913" s="6">
        <f>IFERROR(__xludf.DUMMYFUNCTION("""COMPUTED_VALUE"""),1.0)</f>
        <v>1</v>
      </c>
      <c r="F1913" s="6">
        <f>IFERROR(__xludf.DUMMYFUNCTION("""COMPUTED_VALUE"""),1.0)</f>
        <v>1</v>
      </c>
      <c r="G1913" s="6">
        <f>IFERROR(__xludf.DUMMYFUNCTION("""COMPUTED_VALUE"""),0.0)</f>
        <v>0</v>
      </c>
      <c r="H1913" s="6" t="str">
        <f>IFERROR(__xludf.DUMMYFUNCTION("""COMPUTED_VALUE"""),"Pcs")</f>
        <v>Pcs</v>
      </c>
      <c r="I1913" s="6" t="str">
        <f>IFERROR(__xludf.DUMMYFUNCTION("""COMPUTED_VALUE"""),"MFH")</f>
        <v>MFH</v>
      </c>
      <c r="J1913" s="6" t="str">
        <f>IFERROR(__xludf.DUMMYFUNCTION("""COMPUTED_VALUE"""),"Building")</f>
        <v>Building</v>
      </c>
      <c r="K1913" s="6" t="str">
        <f>IFERROR(__xludf.DUMMYFUNCTION("""COMPUTED_VALUE"""),"SPR/03/25/086")</f>
        <v>SPR/03/25/086</v>
      </c>
      <c r="L1913" s="13">
        <f>IFERROR(__xludf.DUMMYFUNCTION("""COMPUTED_VALUE"""),45743.0)</f>
        <v>45743</v>
      </c>
    </row>
    <row r="1914">
      <c r="A1914" s="6" t="str">
        <f>IFERROR(__xludf.DUMMYFUNCTION("""COMPUTED_VALUE"""),"RMA")</f>
        <v>RMA</v>
      </c>
      <c r="B1914" s="6" t="str">
        <f>IFERROR(__xludf.DUMMYFUNCTION("""COMPUTED_VALUE"""),"ENG")</f>
        <v>ENG</v>
      </c>
      <c r="C1914" s="6" t="str">
        <f>IFERROR(__xludf.DUMMYFUNCTION("""COMPUTED_VALUE"""),"O-15931-00")</f>
        <v>O-15931-00</v>
      </c>
      <c r="D1914" s="6" t="str">
        <f>IFERROR(__xludf.DUMMYFUNCTION("""COMPUTED_VALUE"""),"Double Tape 3M 1"" Merah")</f>
        <v>Double Tape 3M 1" Merah</v>
      </c>
      <c r="E1914" s="6">
        <f>IFERROR(__xludf.DUMMYFUNCTION("""COMPUTED_VALUE"""),1.0)</f>
        <v>1</v>
      </c>
      <c r="F1914" s="6">
        <f>IFERROR(__xludf.DUMMYFUNCTION("""COMPUTED_VALUE"""),1.0)</f>
        <v>1</v>
      </c>
      <c r="G1914" s="6">
        <f>IFERROR(__xludf.DUMMYFUNCTION("""COMPUTED_VALUE"""),0.0)</f>
        <v>0</v>
      </c>
      <c r="H1914" s="6" t="str">
        <f>IFERROR(__xludf.DUMMYFUNCTION("""COMPUTED_VALUE"""),"Pcs")</f>
        <v>Pcs</v>
      </c>
      <c r="I1914" s="6" t="str">
        <f>IFERROR(__xludf.DUMMYFUNCTION("""COMPUTED_VALUE"""),"MFH")</f>
        <v>MFH</v>
      </c>
      <c r="J1914" s="6" t="str">
        <f>IFERROR(__xludf.DUMMYFUNCTION("""COMPUTED_VALUE"""),"Building")</f>
        <v>Building</v>
      </c>
      <c r="K1914" s="6" t="str">
        <f>IFERROR(__xludf.DUMMYFUNCTION("""COMPUTED_VALUE"""),"SPR/03/25/087")</f>
        <v>SPR/03/25/087</v>
      </c>
      <c r="L1914" s="13">
        <f>IFERROR(__xludf.DUMMYFUNCTION("""COMPUTED_VALUE"""),45743.0)</f>
        <v>45743</v>
      </c>
    </row>
    <row r="1915">
      <c r="A1915" s="6" t="str">
        <f>IFERROR(__xludf.DUMMYFUNCTION("""COMPUTED_VALUE"""),"NDS")</f>
        <v>NDS</v>
      </c>
      <c r="B1915" s="6" t="str">
        <f>IFERROR(__xludf.DUMMYFUNCTION("""COMPUTED_VALUE"""),"ENG")</f>
        <v>ENG</v>
      </c>
      <c r="C1915" s="6" t="str">
        <f>IFERROR(__xludf.DUMMYFUNCTION("""COMPUTED_VALUE"""),"O-13505-00")</f>
        <v>O-13505-00</v>
      </c>
      <c r="D1915" s="6" t="str">
        <f>IFERROR(__xludf.DUMMYFUNCTION("""COMPUTED_VALUE"""),"Pneumatic Fitting - QST 10")</f>
        <v>Pneumatic Fitting - QST 10</v>
      </c>
      <c r="E1915" s="6">
        <f>IFERROR(__xludf.DUMMYFUNCTION("""COMPUTED_VALUE"""),1.0)</f>
        <v>1</v>
      </c>
      <c r="F1915" s="6">
        <f>IFERROR(__xludf.DUMMYFUNCTION("""COMPUTED_VALUE"""),1.0)</f>
        <v>1</v>
      </c>
      <c r="G1915" s="6">
        <f>IFERROR(__xludf.DUMMYFUNCTION("""COMPUTED_VALUE"""),0.0)</f>
        <v>0</v>
      </c>
      <c r="H1915" s="6" t="str">
        <f>IFERROR(__xludf.DUMMYFUNCTION("""COMPUTED_VALUE"""),"Pcs")</f>
        <v>Pcs</v>
      </c>
      <c r="I1915" s="6" t="str">
        <f>IFERROR(__xludf.DUMMYFUNCTION("""COMPUTED_VALUE"""),"MFH")</f>
        <v>MFH</v>
      </c>
      <c r="J1915" s="6" t="str">
        <f>IFERROR(__xludf.DUMMYFUNCTION("""COMPUTED_VALUE"""),"Coating")</f>
        <v>Coating</v>
      </c>
      <c r="K1915" s="6" t="str">
        <f>IFERROR(__xludf.DUMMYFUNCTION("""COMPUTED_VALUE"""),"SPR/03/25/088")</f>
        <v>SPR/03/25/088</v>
      </c>
      <c r="L1915" s="13">
        <f>IFERROR(__xludf.DUMMYFUNCTION("""COMPUTED_VALUE"""),45743.0)</f>
        <v>45743</v>
      </c>
    </row>
    <row r="1916">
      <c r="A1916" s="6" t="str">
        <f>IFERROR(__xludf.DUMMYFUNCTION("""COMPUTED_VALUE"""),"RAS")</f>
        <v>RAS</v>
      </c>
      <c r="B1916" s="6" t="str">
        <f>IFERROR(__xludf.DUMMYFUNCTION("""COMPUTED_VALUE"""),"PRO")</f>
        <v>PRO</v>
      </c>
      <c r="C1916" s="6" t="str">
        <f>IFERROR(__xludf.DUMMYFUNCTION("""COMPUTED_VALUE"""),"O-18055-00")</f>
        <v>O-18055-00</v>
      </c>
      <c r="D1916" s="6" t="str">
        <f>IFERROR(__xludf.DUMMYFUNCTION("""COMPUTED_VALUE""")," Robot Casepacker - Suction cup; VB17. single below; diameter Cup 17 mm.")</f>
        <v> Robot Casepacker - Suction cup; VB17. single below; diameter Cup 17 mm.</v>
      </c>
      <c r="E1916" s="6">
        <f>IFERROR(__xludf.DUMMYFUNCTION("""COMPUTED_VALUE"""),6.0)</f>
        <v>6</v>
      </c>
      <c r="F1916" s="6">
        <f>IFERROR(__xludf.DUMMYFUNCTION("""COMPUTED_VALUE"""),6.0)</f>
        <v>6</v>
      </c>
      <c r="G1916" s="6">
        <f>IFERROR(__xludf.DUMMYFUNCTION("""COMPUTED_VALUE"""),0.0)</f>
        <v>0</v>
      </c>
      <c r="H1916" s="6" t="str">
        <f>IFERROR(__xludf.DUMMYFUNCTION("""COMPUTED_VALUE"""),"Pcs")</f>
        <v>Pcs</v>
      </c>
      <c r="I1916" s="6" t="str">
        <f>IFERROR(__xludf.DUMMYFUNCTION("""COMPUTED_VALUE"""),"MFH")</f>
        <v>MFH</v>
      </c>
      <c r="J1916" s="6" t="str">
        <f>IFERROR(__xludf.DUMMYFUNCTION("""COMPUTED_VALUE"""),"Cartoning")</f>
        <v>Cartoning</v>
      </c>
      <c r="K1916" s="6" t="str">
        <f>IFERROR(__xludf.DUMMYFUNCTION("""COMPUTED_VALUE"""),"SPR/03/25/089")</f>
        <v>SPR/03/25/089</v>
      </c>
      <c r="L1916" s="13">
        <f>IFERROR(__xludf.DUMMYFUNCTION("""COMPUTED_VALUE"""),45743.0)</f>
        <v>45743</v>
      </c>
    </row>
    <row r="1917">
      <c r="A1917" s="6" t="str">
        <f>IFERROR(__xludf.DUMMYFUNCTION("""COMPUTED_VALUE"""),"ANO")</f>
        <v>ANO</v>
      </c>
      <c r="B1917" s="6" t="str">
        <f>IFERROR(__xludf.DUMMYFUNCTION("""COMPUTED_VALUE"""),"ENG")</f>
        <v>ENG</v>
      </c>
      <c r="C1917" s="6" t="str">
        <f>IFERROR(__xludf.DUMMYFUNCTION("""COMPUTED_VALUE"""),"O-14641-00")</f>
        <v>O-14641-00</v>
      </c>
      <c r="D1917" s="6" t="str">
        <f>IFERROR(__xludf.DUMMYFUNCTION("""COMPUTED_VALUE"""),"Silicone Gasket for Ferrule dia. 1""")</f>
        <v>Silicone Gasket for Ferrule dia. 1"</v>
      </c>
      <c r="E1917" s="6">
        <f>IFERROR(__xludf.DUMMYFUNCTION("""COMPUTED_VALUE"""),2.0)</f>
        <v>2</v>
      </c>
      <c r="F1917" s="6">
        <f>IFERROR(__xludf.DUMMYFUNCTION("""COMPUTED_VALUE"""),2.0)</f>
        <v>2</v>
      </c>
      <c r="G1917" s="6">
        <f>IFERROR(__xludf.DUMMYFUNCTION("""COMPUTED_VALUE"""),0.0)</f>
        <v>0</v>
      </c>
      <c r="H1917" s="6" t="str">
        <f>IFERROR(__xludf.DUMMYFUNCTION("""COMPUTED_VALUE"""),"Pcs")</f>
        <v>Pcs</v>
      </c>
      <c r="I1917" s="6" t="str">
        <f>IFERROR(__xludf.DUMMYFUNCTION("""COMPUTED_VALUE"""),"MFH")</f>
        <v>MFH</v>
      </c>
      <c r="J1917" s="6" t="str">
        <f>IFERROR(__xludf.DUMMYFUNCTION("""COMPUTED_VALUE"""),"Dispensing")</f>
        <v>Dispensing</v>
      </c>
      <c r="K1917" s="6" t="str">
        <f>IFERROR(__xludf.DUMMYFUNCTION("""COMPUTED_VALUE"""),"SPR/03/25/090")</f>
        <v>SPR/03/25/090</v>
      </c>
      <c r="L1917" s="13">
        <f>IFERROR(__xludf.DUMMYFUNCTION("""COMPUTED_VALUE"""),45743.0)</f>
        <v>45743</v>
      </c>
    </row>
    <row r="1918">
      <c r="A1918" s="6" t="str">
        <f>IFERROR(__xludf.DUMMYFUNCTION("""COMPUTED_VALUE"""),"MOB")</f>
        <v>MOB</v>
      </c>
      <c r="B1918" s="6" t="str">
        <f>IFERROR(__xludf.DUMMYFUNCTION("""COMPUTED_VALUE"""),"ENG")</f>
        <v>ENG</v>
      </c>
      <c r="C1918" s="6" t="str">
        <f>IFERROR(__xludf.DUMMYFUNCTION("""COMPUTED_VALUE"""),"O-50863-00")</f>
        <v>O-50863-00</v>
      </c>
      <c r="D1918" s="6" t="str">
        <f>IFERROR(__xludf.DUMMYFUNCTION("""COMPUTED_VALUE"""),"Relay/MY4N/220-240 VAC Omron")</f>
        <v>Relay/MY4N/220-240 VAC Omron</v>
      </c>
      <c r="E1918" s="6">
        <f>IFERROR(__xludf.DUMMYFUNCTION("""COMPUTED_VALUE"""),1.0)</f>
        <v>1</v>
      </c>
      <c r="F1918" s="6">
        <f>IFERROR(__xludf.DUMMYFUNCTION("""COMPUTED_VALUE"""),1.0)</f>
        <v>1</v>
      </c>
      <c r="G1918" s="6">
        <f>IFERROR(__xludf.DUMMYFUNCTION("""COMPUTED_VALUE"""),0.0)</f>
        <v>0</v>
      </c>
      <c r="H1918" s="6" t="str">
        <f>IFERROR(__xludf.DUMMYFUNCTION("""COMPUTED_VALUE"""),"Pcs")</f>
        <v>Pcs</v>
      </c>
      <c r="I1918" s="6" t="str">
        <f>IFERROR(__xludf.DUMMYFUNCTION("""COMPUTED_VALUE"""),"MFH")</f>
        <v>MFH</v>
      </c>
      <c r="J1918" s="6" t="str">
        <f>IFERROR(__xludf.DUMMYFUNCTION("""COMPUTED_VALUE"""),"Building")</f>
        <v>Building</v>
      </c>
      <c r="K1918" s="6" t="str">
        <f>IFERROR(__xludf.DUMMYFUNCTION("""COMPUTED_VALUE"""),"SPR/03/25/091")</f>
        <v>SPR/03/25/091</v>
      </c>
      <c r="L1918" s="13">
        <f>IFERROR(__xludf.DUMMYFUNCTION("""COMPUTED_VALUE"""),45743.0)</f>
        <v>45743</v>
      </c>
    </row>
    <row r="1919">
      <c r="A1919" s="6" t="str">
        <f>IFERROR(__xludf.DUMMYFUNCTION("""COMPUTED_VALUE"""),"NDS")</f>
        <v>NDS</v>
      </c>
      <c r="B1919" s="6" t="str">
        <f>IFERROR(__xludf.DUMMYFUNCTION("""COMPUTED_VALUE"""),"ENG")</f>
        <v>ENG</v>
      </c>
      <c r="C1919" s="6" t="str">
        <f>IFERROR(__xludf.DUMMYFUNCTION("""COMPUTED_VALUE"""),"O-16731-00")</f>
        <v>O-16731-00</v>
      </c>
      <c r="D1919" s="6" t="str">
        <f>IFERROR(__xludf.DUMMYFUNCTION("""COMPUTED_VALUE"""),"Autoclave Fedegari FVA2/A1 NB2963AT - KIT Ricambi Valv. DN10 ON-OFF p/n: KK000301")</f>
        <v>Autoclave Fedegari FVA2/A1 NB2963AT - KIT Ricambi Valv. DN10 ON-OFF p/n: KK000301</v>
      </c>
      <c r="E1919" s="6">
        <f>IFERROR(__xludf.DUMMYFUNCTION("""COMPUTED_VALUE"""),3.0)</f>
        <v>3</v>
      </c>
      <c r="F1919" s="6">
        <f>IFERROR(__xludf.DUMMYFUNCTION("""COMPUTED_VALUE"""),3.0)</f>
        <v>3</v>
      </c>
      <c r="G1919" s="6">
        <f>IFERROR(__xludf.DUMMYFUNCTION("""COMPUTED_VALUE"""),0.0)</f>
        <v>0</v>
      </c>
      <c r="H1919" s="6" t="str">
        <f>IFERROR(__xludf.DUMMYFUNCTION("""COMPUTED_VALUE"""),"Pcs")</f>
        <v>Pcs</v>
      </c>
      <c r="I1919" s="6" t="str">
        <f>IFERROR(__xludf.DUMMYFUNCTION("""COMPUTED_VALUE"""),"MFH")</f>
        <v>MFH</v>
      </c>
      <c r="J1919" s="6" t="str">
        <f>IFERROR(__xludf.DUMMYFUNCTION("""COMPUTED_VALUE"""),"Autoclave")</f>
        <v>Autoclave</v>
      </c>
      <c r="K1919" s="6" t="str">
        <f>IFERROR(__xludf.DUMMYFUNCTION("""COMPUTED_VALUE"""),"SPR/03/25/092")</f>
        <v>SPR/03/25/092</v>
      </c>
      <c r="L1919" s="13">
        <f>IFERROR(__xludf.DUMMYFUNCTION("""COMPUTED_VALUE"""),45743.0)</f>
        <v>45743</v>
      </c>
    </row>
    <row r="1920">
      <c r="A1920" s="6" t="str">
        <f>IFERROR(__xludf.DUMMYFUNCTION("""COMPUTED_VALUE"""),"NDS")</f>
        <v>NDS</v>
      </c>
      <c r="B1920" s="6" t="str">
        <f>IFERROR(__xludf.DUMMYFUNCTION("""COMPUTED_VALUE"""),"ENG")</f>
        <v>ENG</v>
      </c>
      <c r="C1920" s="6" t="str">
        <f>IFERROR(__xludf.DUMMYFUNCTION("""COMPUTED_VALUE"""),"P-12300-00")</f>
        <v>P-12300-00</v>
      </c>
      <c r="D1920" s="6" t="str">
        <f>IFERROR(__xludf.DUMMYFUNCTION("""COMPUTED_VALUE"""),"FESTO - QSML-M5-4 part Number 15333")</f>
        <v>FESTO - QSML-M5-4 part Number 15333</v>
      </c>
      <c r="E1920" s="6">
        <f>IFERROR(__xludf.DUMMYFUNCTION("""COMPUTED_VALUE"""),1.0)</f>
        <v>1</v>
      </c>
      <c r="F1920" s="6">
        <f>IFERROR(__xludf.DUMMYFUNCTION("""COMPUTED_VALUE"""),1.0)</f>
        <v>1</v>
      </c>
      <c r="G1920" s="6">
        <f>IFERROR(__xludf.DUMMYFUNCTION("""COMPUTED_VALUE"""),0.0)</f>
        <v>0</v>
      </c>
      <c r="H1920" s="6" t="str">
        <f>IFERROR(__xludf.DUMMYFUNCTION("""COMPUTED_VALUE"""),"Pcs")</f>
        <v>Pcs</v>
      </c>
      <c r="I1920" s="6" t="str">
        <f>IFERROR(__xludf.DUMMYFUNCTION("""COMPUTED_VALUE"""),"MFH")</f>
        <v>MFH</v>
      </c>
      <c r="J1920" s="6" t="str">
        <f>IFERROR(__xludf.DUMMYFUNCTION("""COMPUTED_VALUE"""),"Autoclave")</f>
        <v>Autoclave</v>
      </c>
      <c r="K1920" s="6" t="str">
        <f>IFERROR(__xludf.DUMMYFUNCTION("""COMPUTED_VALUE"""),"SPR/03/25/092")</f>
        <v>SPR/03/25/092</v>
      </c>
      <c r="L1920" s="13">
        <f>IFERROR(__xludf.DUMMYFUNCTION("""COMPUTED_VALUE"""),45743.0)</f>
        <v>45743</v>
      </c>
    </row>
    <row r="1921">
      <c r="A1921" s="6" t="str">
        <f>IFERROR(__xludf.DUMMYFUNCTION("""COMPUTED_VALUE"""),"NDS")</f>
        <v>NDS</v>
      </c>
      <c r="B1921" s="6" t="str">
        <f>IFERROR(__xludf.DUMMYFUNCTION("""COMPUTED_VALUE"""),"ENG")</f>
        <v>ENG</v>
      </c>
      <c r="C1921" s="6" t="str">
        <f>IFERROR(__xludf.DUMMYFUNCTION("""COMPUTED_VALUE"""),"O-19077-00")</f>
        <v>O-19077-00</v>
      </c>
      <c r="D1921" s="6" t="str">
        <f>IFERROR(__xludf.DUMMYFUNCTION("""COMPUTED_VALUE"""),"Autoclave Fedegari FVA2/A1 NB2963AT - Gasket Safety Valve; ; ;")</f>
        <v>Autoclave Fedegari FVA2/A1 NB2963AT - Gasket Safety Valve; ; ;</v>
      </c>
      <c r="E1921" s="6">
        <f>IFERROR(__xludf.DUMMYFUNCTION("""COMPUTED_VALUE"""),1.0)</f>
        <v>1</v>
      </c>
      <c r="F1921" s="6">
        <f>IFERROR(__xludf.DUMMYFUNCTION("""COMPUTED_VALUE"""),1.0)</f>
        <v>1</v>
      </c>
      <c r="G1921" s="6">
        <f>IFERROR(__xludf.DUMMYFUNCTION("""COMPUTED_VALUE"""),0.0)</f>
        <v>0</v>
      </c>
      <c r="H1921" s="6" t="str">
        <f>IFERROR(__xludf.DUMMYFUNCTION("""COMPUTED_VALUE"""),"Pcs")</f>
        <v>Pcs</v>
      </c>
      <c r="I1921" s="6" t="str">
        <f>IFERROR(__xludf.DUMMYFUNCTION("""COMPUTED_VALUE"""),"MFH")</f>
        <v>MFH</v>
      </c>
      <c r="J1921" s="6" t="str">
        <f>IFERROR(__xludf.DUMMYFUNCTION("""COMPUTED_VALUE"""),"Autoclave")</f>
        <v>Autoclave</v>
      </c>
      <c r="K1921" s="6" t="str">
        <f>IFERROR(__xludf.DUMMYFUNCTION("""COMPUTED_VALUE"""),"SPR/03/25/092")</f>
        <v>SPR/03/25/092</v>
      </c>
      <c r="L1921" s="13">
        <f>IFERROR(__xludf.DUMMYFUNCTION("""COMPUTED_VALUE"""),45743.0)</f>
        <v>45743</v>
      </c>
    </row>
    <row r="1922">
      <c r="A1922" s="6" t="str">
        <f>IFERROR(__xludf.DUMMYFUNCTION("""COMPUTED_VALUE"""),"MRA")</f>
        <v>MRA</v>
      </c>
      <c r="B1922" s="6" t="str">
        <f>IFERROR(__xludf.DUMMYFUNCTION("""COMPUTED_VALUE"""),"ENG")</f>
        <v>ENG</v>
      </c>
      <c r="C1922" s="6" t="str">
        <f>IFERROR(__xludf.DUMMYFUNCTION("""COMPUTED_VALUE"""),"P-51560-00")</f>
        <v>P-51560-00</v>
      </c>
      <c r="D1922" s="6" t="str">
        <f>IFERROR(__xludf.DUMMYFUNCTION("""COMPUTED_VALUE"""),"Lampu T5 28watt Putih; Phillips; ;")</f>
        <v>Lampu T5 28watt Putih; Phillips; ;</v>
      </c>
      <c r="E1922" s="6">
        <f>IFERROR(__xludf.DUMMYFUNCTION("""COMPUTED_VALUE"""),2.0)</f>
        <v>2</v>
      </c>
      <c r="F1922" s="6">
        <f>IFERROR(__xludf.DUMMYFUNCTION("""COMPUTED_VALUE"""),2.0)</f>
        <v>2</v>
      </c>
      <c r="G1922" s="6">
        <f>IFERROR(__xludf.DUMMYFUNCTION("""COMPUTED_VALUE"""),0.0)</f>
        <v>0</v>
      </c>
      <c r="H1922" s="6" t="str">
        <f>IFERROR(__xludf.DUMMYFUNCTION("""COMPUTED_VALUE"""),"Pcs")</f>
        <v>Pcs</v>
      </c>
      <c r="I1922" s="6" t="str">
        <f>IFERROR(__xludf.DUMMYFUNCTION("""COMPUTED_VALUE"""),"MFH")</f>
        <v>MFH</v>
      </c>
      <c r="J1922" s="6" t="str">
        <f>IFERROR(__xludf.DUMMYFUNCTION("""COMPUTED_VALUE"""),"Building")</f>
        <v>Building</v>
      </c>
      <c r="K1922" s="6" t="str">
        <f>IFERROR(__xludf.DUMMYFUNCTION("""COMPUTED_VALUE"""),"SPR/03/25/093")</f>
        <v>SPR/03/25/093</v>
      </c>
      <c r="L1922" s="13">
        <f>IFERROR(__xludf.DUMMYFUNCTION("""COMPUTED_VALUE"""),45743.0)</f>
        <v>45743</v>
      </c>
    </row>
    <row r="1923">
      <c r="A1923" s="6" t="str">
        <f>IFERROR(__xludf.DUMMYFUNCTION("""COMPUTED_VALUE"""),"MRN")</f>
        <v>MRN</v>
      </c>
      <c r="B1923" s="6" t="str">
        <f>IFERROR(__xludf.DUMMYFUNCTION("""COMPUTED_VALUE"""),"ENG")</f>
        <v>ENG</v>
      </c>
      <c r="C1923" s="6" t="str">
        <f>IFERROR(__xludf.DUMMYFUNCTION("""COMPUTED_VALUE"""),"P-53050-00")</f>
        <v>P-53050-00</v>
      </c>
      <c r="D1923" s="6" t="str">
        <f>IFERROR(__xludf.DUMMYFUNCTION("""COMPUTED_VALUE"""),"General - Pompa Magnetik 150W 1 phase; Sanso; PMD 1564; 1 Unit")</f>
        <v>General - Pompa Magnetik 150W 1 phase; Sanso; PMD 1564; 1 Unit</v>
      </c>
      <c r="E1923" s="6">
        <f>IFERROR(__xludf.DUMMYFUNCTION("""COMPUTED_VALUE"""),1.0)</f>
        <v>1</v>
      </c>
      <c r="F1923" s="6">
        <f>IFERROR(__xludf.DUMMYFUNCTION("""COMPUTED_VALUE"""),1.0)</f>
        <v>1</v>
      </c>
      <c r="G1923" s="6">
        <f>IFERROR(__xludf.DUMMYFUNCTION("""COMPUTED_VALUE"""),0.0)</f>
        <v>0</v>
      </c>
      <c r="H1923" s="6" t="str">
        <f>IFERROR(__xludf.DUMMYFUNCTION("""COMPUTED_VALUE"""),"Pcs")</f>
        <v>Pcs</v>
      </c>
      <c r="I1923" s="6" t="str">
        <f>IFERROR(__xludf.DUMMYFUNCTION("""COMPUTED_VALUE"""),"MFH")</f>
        <v>MFH</v>
      </c>
      <c r="J1923" s="6" t="str">
        <f>IFERROR(__xludf.DUMMYFUNCTION("""COMPUTED_VALUE"""),"WWTP")</f>
        <v>WWTP</v>
      </c>
      <c r="K1923" s="6" t="str">
        <f>IFERROR(__xludf.DUMMYFUNCTION("""COMPUTED_VALUE"""),"SPR/03/25/094")</f>
        <v>SPR/03/25/094</v>
      </c>
      <c r="L1923" s="13">
        <f>IFERROR(__xludf.DUMMYFUNCTION("""COMPUTED_VALUE"""),45743.0)</f>
        <v>45743</v>
      </c>
    </row>
    <row r="1924">
      <c r="A1924" s="6" t="str">
        <f>IFERROR(__xludf.DUMMYFUNCTION("""COMPUTED_VALUE"""),"MRN")</f>
        <v>MRN</v>
      </c>
      <c r="B1924" s="6" t="str">
        <f>IFERROR(__xludf.DUMMYFUNCTION("""COMPUTED_VALUE"""),"ENG")</f>
        <v>ENG</v>
      </c>
      <c r="C1924" s="6" t="str">
        <f>IFERROR(__xludf.DUMMYFUNCTION("""COMPUTED_VALUE"""),"P-53051-00")</f>
        <v>P-53051-00</v>
      </c>
      <c r="D1924" s="6" t="str">
        <f>IFERROR(__xludf.DUMMYFUNCTION("""COMPUTED_VALUE"""),"General - Baterai NiCad Emergency TL 6V; Hokistar; BT-006; 1 Pc")</f>
        <v>General - Baterai NiCad Emergency TL 6V; Hokistar; BT-006; 1 Pc</v>
      </c>
      <c r="E1924" s="6">
        <f>IFERROR(__xludf.DUMMYFUNCTION("""COMPUTED_VALUE"""),3.0)</f>
        <v>3</v>
      </c>
      <c r="F1924" s="6">
        <f>IFERROR(__xludf.DUMMYFUNCTION("""COMPUTED_VALUE"""),3.0)</f>
        <v>3</v>
      </c>
      <c r="G1924" s="6">
        <f>IFERROR(__xludf.DUMMYFUNCTION("""COMPUTED_VALUE"""),0.0)</f>
        <v>0</v>
      </c>
      <c r="H1924" s="6" t="str">
        <f>IFERROR(__xludf.DUMMYFUNCTION("""COMPUTED_VALUE"""),"Pcs")</f>
        <v>Pcs</v>
      </c>
      <c r="I1924" s="6" t="str">
        <f>IFERROR(__xludf.DUMMYFUNCTION("""COMPUTED_VALUE"""),"MFH")</f>
        <v>MFH</v>
      </c>
      <c r="J1924" s="6" t="str">
        <f>IFERROR(__xludf.DUMMYFUNCTION("""COMPUTED_VALUE"""),"Building")</f>
        <v>Building</v>
      </c>
      <c r="K1924" s="6" t="str">
        <f>IFERROR(__xludf.DUMMYFUNCTION("""COMPUTED_VALUE"""),"SPR/03/25/095")</f>
        <v>SPR/03/25/095</v>
      </c>
      <c r="L1924" s="13">
        <f>IFERROR(__xludf.DUMMYFUNCTION("""COMPUTED_VALUE"""),45743.0)</f>
        <v>45743</v>
      </c>
    </row>
    <row r="1925">
      <c r="A1925" s="6" t="str">
        <f>IFERROR(__xludf.DUMMYFUNCTION("""COMPUTED_VALUE"""),"SHF")</f>
        <v>SHF</v>
      </c>
      <c r="B1925" s="6" t="str">
        <f>IFERROR(__xludf.DUMMYFUNCTION("""COMPUTED_VALUE"""),"ENG")</f>
        <v>ENG</v>
      </c>
      <c r="C1925" s="6" t="str">
        <f>IFERROR(__xludf.DUMMYFUNCTION("""COMPUTED_VALUE"""),"-")</f>
        <v>-</v>
      </c>
      <c r="D1925" s="6" t="str">
        <f>IFERROR(__xludf.DUMMYFUNCTION("""COMPUTED_VALUE"""),"Lampu LED 30W")</f>
        <v>Lampu LED 30W</v>
      </c>
      <c r="E1925" s="6">
        <f>IFERROR(__xludf.DUMMYFUNCTION("""COMPUTED_VALUE"""),2.0)</f>
        <v>2</v>
      </c>
      <c r="F1925" s="6">
        <f>IFERROR(__xludf.DUMMYFUNCTION("""COMPUTED_VALUE"""),2.0)</f>
        <v>2</v>
      </c>
      <c r="G1925" s="6">
        <f>IFERROR(__xludf.DUMMYFUNCTION("""COMPUTED_VALUE"""),0.0)</f>
        <v>0</v>
      </c>
      <c r="H1925" s="6" t="str">
        <f>IFERROR(__xludf.DUMMYFUNCTION("""COMPUTED_VALUE"""),"Pcs")</f>
        <v>Pcs</v>
      </c>
      <c r="I1925" s="6" t="str">
        <f>IFERROR(__xludf.DUMMYFUNCTION("""COMPUTED_VALUE"""),"MFH")</f>
        <v>MFH</v>
      </c>
      <c r="J1925" s="6" t="str">
        <f>IFERROR(__xludf.DUMMYFUNCTION("""COMPUTED_VALUE"""),"Building")</f>
        <v>Building</v>
      </c>
      <c r="K1925" s="6" t="str">
        <f>IFERROR(__xludf.DUMMYFUNCTION("""COMPUTED_VALUE"""),"SPR/04/25/001")</f>
        <v>SPR/04/25/001</v>
      </c>
      <c r="L1925" s="13">
        <f>IFERROR(__xludf.DUMMYFUNCTION("""COMPUTED_VALUE"""),45777.0)</f>
        <v>45777</v>
      </c>
    </row>
    <row r="1926">
      <c r="A1926" s="6" t="str">
        <f>IFERROR(__xludf.DUMMYFUNCTION("""COMPUTED_VALUE"""),"CAS")</f>
        <v>CAS</v>
      </c>
      <c r="B1926" s="6" t="str">
        <f>IFERROR(__xludf.DUMMYFUNCTION("""COMPUTED_VALUE"""),"QAS")</f>
        <v>QAS</v>
      </c>
      <c r="C1926" s="6" t="str">
        <f>IFERROR(__xludf.DUMMYFUNCTION("""COMPUTED_VALUE"""),"O-14640-00")</f>
        <v>O-14640-00</v>
      </c>
      <c r="D1926" s="6" t="str">
        <f>IFERROR(__xludf.DUMMYFUNCTION("""COMPUTED_VALUE"""),"Silicone Gasket for Ferrule dia. 3/4""")</f>
        <v>Silicone Gasket for Ferrule dia. 3/4"</v>
      </c>
      <c r="E1926" s="6">
        <f>IFERROR(__xludf.DUMMYFUNCTION("""COMPUTED_VALUE"""),3.0)</f>
        <v>3</v>
      </c>
      <c r="F1926" s="6">
        <f>IFERROR(__xludf.DUMMYFUNCTION("""COMPUTED_VALUE"""),3.0)</f>
        <v>3</v>
      </c>
      <c r="G1926" s="6">
        <f>IFERROR(__xludf.DUMMYFUNCTION("""COMPUTED_VALUE"""),0.0)</f>
        <v>0</v>
      </c>
      <c r="H1926" s="6" t="str">
        <f>IFERROR(__xludf.DUMMYFUNCTION("""COMPUTED_VALUE"""),"Pcs")</f>
        <v>Pcs</v>
      </c>
      <c r="I1926" s="6" t="str">
        <f>IFERROR(__xludf.DUMMYFUNCTION("""COMPUTED_VALUE"""),"MFH")</f>
        <v>MFH</v>
      </c>
      <c r="J1926" s="6" t="str">
        <f>IFERROR(__xludf.DUMMYFUNCTION("""COMPUTED_VALUE"""),"PW SKID")</f>
        <v>PW SKID</v>
      </c>
      <c r="K1926" s="6" t="str">
        <f>IFERROR(__xludf.DUMMYFUNCTION("""COMPUTED_VALUE"""),"SPR/04/25/002")</f>
        <v>SPR/04/25/002</v>
      </c>
      <c r="L1926" s="13">
        <f>IFERROR(__xludf.DUMMYFUNCTION("""COMPUTED_VALUE"""),45777.0)</f>
        <v>45777</v>
      </c>
    </row>
    <row r="1927">
      <c r="A1927" s="6" t="str">
        <f>IFERROR(__xludf.DUMMYFUNCTION("""COMPUTED_VALUE"""),"RMA")</f>
        <v>RMA</v>
      </c>
      <c r="B1927" s="6" t="str">
        <f>IFERROR(__xludf.DUMMYFUNCTION("""COMPUTED_VALUE"""),"ENG")</f>
        <v>ENG</v>
      </c>
      <c r="C1927" s="6" t="str">
        <f>IFERROR(__xludf.DUMMYFUNCTION("""COMPUTED_VALUE"""),"O-54014-00")</f>
        <v>O-54014-00</v>
      </c>
      <c r="D1927" s="6" t="str">
        <f>IFERROR(__xludf.DUMMYFUNCTION("""COMPUTED_VALUE"""),"STEKER 1 PHASE, BROCO")</f>
        <v>STEKER 1 PHASE, BROCO</v>
      </c>
      <c r="E1927" s="6">
        <f>IFERROR(__xludf.DUMMYFUNCTION("""COMPUTED_VALUE"""),1.0)</f>
        <v>1</v>
      </c>
      <c r="F1927" s="6">
        <f>IFERROR(__xludf.DUMMYFUNCTION("""COMPUTED_VALUE"""),1.0)</f>
        <v>1</v>
      </c>
      <c r="G1927" s="6">
        <f>IFERROR(__xludf.DUMMYFUNCTION("""COMPUTED_VALUE"""),0.0)</f>
        <v>0</v>
      </c>
      <c r="H1927" s="6" t="str">
        <f>IFERROR(__xludf.DUMMYFUNCTION("""COMPUTED_VALUE"""),"Pcs")</f>
        <v>Pcs</v>
      </c>
      <c r="I1927" s="6" t="str">
        <f>IFERROR(__xludf.DUMMYFUNCTION("""COMPUTED_VALUE"""),"MFH")</f>
        <v>MFH</v>
      </c>
      <c r="J1927" s="6" t="str">
        <f>IFERROR(__xludf.DUMMYFUNCTION("""COMPUTED_VALUE"""),"Mixing")</f>
        <v>Mixing</v>
      </c>
      <c r="K1927" s="6" t="str">
        <f>IFERROR(__xludf.DUMMYFUNCTION("""COMPUTED_VALUE"""),"SPR/04/25/003")</f>
        <v>SPR/04/25/003</v>
      </c>
      <c r="L1927" s="13">
        <f>IFERROR(__xludf.DUMMYFUNCTION("""COMPUTED_VALUE"""),45777.0)</f>
        <v>45777</v>
      </c>
    </row>
    <row r="1928">
      <c r="A1928" s="6" t="str">
        <f>IFERROR(__xludf.DUMMYFUNCTION("""COMPUTED_VALUE"""),"MRN")</f>
        <v>MRN</v>
      </c>
      <c r="B1928" s="6" t="str">
        <f>IFERROR(__xludf.DUMMYFUNCTION("""COMPUTED_VALUE"""),"ENG")</f>
        <v>ENG</v>
      </c>
      <c r="C1928" s="6" t="str">
        <f>IFERROR(__xludf.DUMMYFUNCTION("""COMPUTED_VALUE"""),"-")</f>
        <v>-</v>
      </c>
      <c r="D1928" s="6" t="str">
        <f>IFERROR(__xludf.DUMMYFUNCTION("""COMPUTED_VALUE"""),"Lampu TL TED Luxon")</f>
        <v>Lampu TL TED Luxon</v>
      </c>
      <c r="E1928" s="6">
        <f>IFERROR(__xludf.DUMMYFUNCTION("""COMPUTED_VALUE"""),1.0)</f>
        <v>1</v>
      </c>
      <c r="F1928" s="6">
        <f>IFERROR(__xludf.DUMMYFUNCTION("""COMPUTED_VALUE"""),1.0)</f>
        <v>1</v>
      </c>
      <c r="G1928" s="6">
        <f>IFERROR(__xludf.DUMMYFUNCTION("""COMPUTED_VALUE"""),0.0)</f>
        <v>0</v>
      </c>
      <c r="H1928" s="6" t="str">
        <f>IFERROR(__xludf.DUMMYFUNCTION("""COMPUTED_VALUE"""),"Pcs")</f>
        <v>Pcs</v>
      </c>
      <c r="I1928" s="6" t="str">
        <f>IFERROR(__xludf.DUMMYFUNCTION("""COMPUTED_VALUE"""),"MFH")</f>
        <v>MFH</v>
      </c>
      <c r="J1928" s="6" t="str">
        <f>IFERROR(__xludf.DUMMYFUNCTION("""COMPUTED_VALUE"""),"-")</f>
        <v>-</v>
      </c>
      <c r="K1928" s="6" t="str">
        <f>IFERROR(__xludf.DUMMYFUNCTION("""COMPUTED_VALUE"""),"SPR/04/25/004")</f>
        <v>SPR/04/25/004</v>
      </c>
      <c r="L1928" s="13">
        <f>IFERROR(__xludf.DUMMYFUNCTION("""COMPUTED_VALUE"""),45777.0)</f>
        <v>45777</v>
      </c>
    </row>
    <row r="1929">
      <c r="A1929" s="6" t="str">
        <f>IFERROR(__xludf.DUMMYFUNCTION("""COMPUTED_VALUE"""),"ROS")</f>
        <v>ROS</v>
      </c>
      <c r="B1929" s="6" t="str">
        <f>IFERROR(__xludf.DUMMYFUNCTION("""COMPUTED_VALUE"""),"ENG")</f>
        <v>ENG</v>
      </c>
      <c r="C1929" s="6" t="str">
        <f>IFERROR(__xludf.DUMMYFUNCTION("""COMPUTED_VALUE"""),"O-16959-00")</f>
        <v>O-16959-00</v>
      </c>
      <c r="D1929" s="6" t="str">
        <f>IFERROR(__xludf.DUMMYFUNCTION("""COMPUTED_VALUE"""),"Marchesini MA155 - Kit Filter 200 Mesh Saturn M14  P/n: 1045520")</f>
        <v>Marchesini MA155 - Kit Filter 200 Mesh Saturn M14  P/n: 1045520</v>
      </c>
      <c r="E1929" s="6">
        <f>IFERROR(__xludf.DUMMYFUNCTION("""COMPUTED_VALUE"""),2.0)</f>
        <v>2</v>
      </c>
      <c r="F1929" s="6">
        <f>IFERROR(__xludf.DUMMYFUNCTION("""COMPUTED_VALUE"""),2.0)</f>
        <v>2</v>
      </c>
      <c r="G1929" s="6">
        <f>IFERROR(__xludf.DUMMYFUNCTION("""COMPUTED_VALUE"""),0.0)</f>
        <v>0</v>
      </c>
      <c r="H1929" s="6" t="str">
        <f>IFERROR(__xludf.DUMMYFUNCTION("""COMPUTED_VALUE"""),"Pcs")</f>
        <v>Pcs</v>
      </c>
      <c r="I1929" s="6" t="str">
        <f>IFERROR(__xludf.DUMMYFUNCTION("""COMPUTED_VALUE"""),"MFH")</f>
        <v>MFH</v>
      </c>
      <c r="J1929" s="6" t="str">
        <f>IFERROR(__xludf.DUMMYFUNCTION("""COMPUTED_VALUE"""),"Nordson")</f>
        <v>Nordson</v>
      </c>
      <c r="K1929" s="6" t="str">
        <f>IFERROR(__xludf.DUMMYFUNCTION("""COMPUTED_VALUE"""),"SPR/04/25/005")</f>
        <v>SPR/04/25/005</v>
      </c>
      <c r="L1929" s="13">
        <f>IFERROR(__xludf.DUMMYFUNCTION("""COMPUTED_VALUE"""),45777.0)</f>
        <v>45777</v>
      </c>
    </row>
    <row r="1930">
      <c r="A1930" s="6" t="str">
        <f>IFERROR(__xludf.DUMMYFUNCTION("""COMPUTED_VALUE"""),"ROS")</f>
        <v>ROS</v>
      </c>
      <c r="B1930" s="6" t="str">
        <f>IFERROR(__xludf.DUMMYFUNCTION("""COMPUTED_VALUE"""),"ENG")</f>
        <v>ENG</v>
      </c>
      <c r="C1930" s="6" t="str">
        <f>IFERROR(__xludf.DUMMYFUNCTION("""COMPUTED_VALUE"""),"P-10945-00")</f>
        <v>P-10945-00</v>
      </c>
      <c r="D1930" s="6" t="str">
        <f>IFERROR(__xludf.DUMMYFUNCTION("""COMPUTED_VALUE"""),"General - Seal Tape 1 Inch 10 M; Onda; ST 02; 1 pcs")</f>
        <v>General - Seal Tape 1 Inch 10 M; Onda; ST 02; 1 pcs</v>
      </c>
      <c r="E1930" s="6">
        <f>IFERROR(__xludf.DUMMYFUNCTION("""COMPUTED_VALUE"""),1.0)</f>
        <v>1</v>
      </c>
      <c r="F1930" s="6">
        <f>IFERROR(__xludf.DUMMYFUNCTION("""COMPUTED_VALUE"""),1.0)</f>
        <v>1</v>
      </c>
      <c r="G1930" s="6">
        <f>IFERROR(__xludf.DUMMYFUNCTION("""COMPUTED_VALUE"""),0.0)</f>
        <v>0</v>
      </c>
      <c r="H1930" s="6" t="str">
        <f>IFERROR(__xludf.DUMMYFUNCTION("""COMPUTED_VALUE"""),"Pcs")</f>
        <v>Pcs</v>
      </c>
      <c r="I1930" s="6" t="str">
        <f>IFERROR(__xludf.DUMMYFUNCTION("""COMPUTED_VALUE"""),"MFH")</f>
        <v>MFH</v>
      </c>
      <c r="J1930" s="6" t="str">
        <f>IFERROR(__xludf.DUMMYFUNCTION("""COMPUTED_VALUE"""),"Nordson")</f>
        <v>Nordson</v>
      </c>
      <c r="K1930" s="6" t="str">
        <f>IFERROR(__xludf.DUMMYFUNCTION("""COMPUTED_VALUE"""),"SPR/04/25/005")</f>
        <v>SPR/04/25/005</v>
      </c>
      <c r="L1930" s="13">
        <f>IFERROR(__xludf.DUMMYFUNCTION("""COMPUTED_VALUE"""),45777.0)</f>
        <v>45777</v>
      </c>
    </row>
    <row r="1931">
      <c r="A1931" s="6" t="str">
        <f>IFERROR(__xludf.DUMMYFUNCTION("""COMPUTED_VALUE"""),"ROS")</f>
        <v>ROS</v>
      </c>
      <c r="B1931" s="6" t="str">
        <f>IFERROR(__xludf.DUMMYFUNCTION("""COMPUTED_VALUE"""),"ENG")</f>
        <v>ENG</v>
      </c>
      <c r="C1931" s="6" t="str">
        <f>IFERROR(__xludf.DUMMYFUNCTION("""COMPUTED_VALUE"""),"P-12280-00")</f>
        <v>P-12280-00</v>
      </c>
      <c r="D1931" s="6" t="str">
        <f>IFERROR(__xludf.DUMMYFUNCTION("""COMPUTED_VALUE"""),"FESTO - QS-1/8-8 Push-In fitting p/n 153004")</f>
        <v>FESTO - QS-1/8-8 Push-In fitting p/n 153004</v>
      </c>
      <c r="E1931" s="6">
        <f>IFERROR(__xludf.DUMMYFUNCTION("""COMPUTED_VALUE"""),1.0)</f>
        <v>1</v>
      </c>
      <c r="F1931" s="6">
        <f>IFERROR(__xludf.DUMMYFUNCTION("""COMPUTED_VALUE"""),1.0)</f>
        <v>1</v>
      </c>
      <c r="G1931" s="6">
        <f>IFERROR(__xludf.DUMMYFUNCTION("""COMPUTED_VALUE"""),0.0)</f>
        <v>0</v>
      </c>
      <c r="H1931" s="6" t="str">
        <f>IFERROR(__xludf.DUMMYFUNCTION("""COMPUTED_VALUE"""),"Pcs")</f>
        <v>Pcs</v>
      </c>
      <c r="I1931" s="6" t="str">
        <f>IFERROR(__xludf.DUMMYFUNCTION("""COMPUTED_VALUE"""),"MFH")</f>
        <v>MFH</v>
      </c>
      <c r="J1931" s="6" t="str">
        <f>IFERROR(__xludf.DUMMYFUNCTION("""COMPUTED_VALUE"""),"Nordson")</f>
        <v>Nordson</v>
      </c>
      <c r="K1931" s="6" t="str">
        <f>IFERROR(__xludf.DUMMYFUNCTION("""COMPUTED_VALUE"""),"SPR/04/25/005")</f>
        <v>SPR/04/25/005</v>
      </c>
      <c r="L1931" s="13">
        <f>IFERROR(__xludf.DUMMYFUNCTION("""COMPUTED_VALUE"""),45777.0)</f>
        <v>45777</v>
      </c>
    </row>
    <row r="1932">
      <c r="A1932" s="6" t="str">
        <f>IFERROR(__xludf.DUMMYFUNCTION("""COMPUTED_VALUE"""),"AAA")</f>
        <v>AAA</v>
      </c>
      <c r="B1932" s="6" t="str">
        <f>IFERROR(__xludf.DUMMYFUNCTION("""COMPUTED_VALUE"""),"ENG")</f>
        <v>ENG</v>
      </c>
      <c r="C1932" s="6" t="str">
        <f>IFERROR(__xludf.DUMMYFUNCTION("""COMPUTED_VALUE"""),"T-25454-00")</f>
        <v>T-25454-00</v>
      </c>
      <c r="D1932" s="6" t="str">
        <f>IFERROR(__xludf.DUMMYFUNCTION("""COMPUTED_VALUE"""),"Filter Flag, 2998, Classic; Waters; 700003767;")</f>
        <v>Filter Flag, 2998, Classic; Waters; 700003767;</v>
      </c>
      <c r="E1932" s="6">
        <f>IFERROR(__xludf.DUMMYFUNCTION("""COMPUTED_VALUE"""),1.0)</f>
        <v>1</v>
      </c>
      <c r="F1932" s="6">
        <f>IFERROR(__xludf.DUMMYFUNCTION("""COMPUTED_VALUE"""),1.0)</f>
        <v>1</v>
      </c>
      <c r="G1932" s="6">
        <f>IFERROR(__xludf.DUMMYFUNCTION("""COMPUTED_VALUE"""),0.0)</f>
        <v>0</v>
      </c>
      <c r="H1932" s="6" t="str">
        <f>IFERROR(__xludf.DUMMYFUNCTION("""COMPUTED_VALUE"""),"Set")</f>
        <v>Set</v>
      </c>
      <c r="I1932" s="6" t="str">
        <f>IFERROR(__xludf.DUMMYFUNCTION("""COMPUTED_VALUE"""),"RYP")</f>
        <v>RYP</v>
      </c>
      <c r="J1932" s="6" t="str">
        <f>IFERROR(__xludf.DUMMYFUNCTION("""COMPUTED_VALUE"""),"HPLC")</f>
        <v>HPLC</v>
      </c>
      <c r="K1932" s="6" t="str">
        <f>IFERROR(__xludf.DUMMYFUNCTION("""COMPUTED_VALUE"""),"SPR/04/25/006")</f>
        <v>SPR/04/25/006</v>
      </c>
      <c r="L1932" s="13">
        <f>IFERROR(__xludf.DUMMYFUNCTION("""COMPUTED_VALUE"""),45777.0)</f>
        <v>45777</v>
      </c>
    </row>
    <row r="1933">
      <c r="A1933" s="6" t="str">
        <f>IFERROR(__xludf.DUMMYFUNCTION("""COMPUTED_VALUE"""),"ROS")</f>
        <v>ROS</v>
      </c>
      <c r="B1933" s="6" t="str">
        <f>IFERROR(__xludf.DUMMYFUNCTION("""COMPUTED_VALUE"""),"ENG")</f>
        <v>ENG</v>
      </c>
      <c r="C1933" s="6" t="str">
        <f>IFERROR(__xludf.DUMMYFUNCTION("""COMPUTED_VALUE"""),"O-16647-00")</f>
        <v>O-16647-00</v>
      </c>
      <c r="D1933" s="6" t="str">
        <f>IFERROR(__xludf.DUMMYFUNCTION("""COMPUTED_VALUE"""),"Washing RAR4 - Oring Silicone Merah 23x18x2.5 mm")</f>
        <v>Washing RAR4 - Oring Silicone Merah 23x18x2.5 mm</v>
      </c>
      <c r="E1933" s="6">
        <f>IFERROR(__xludf.DUMMYFUNCTION("""COMPUTED_VALUE"""),10.0)</f>
        <v>10</v>
      </c>
      <c r="F1933" s="6">
        <f>IFERROR(__xludf.DUMMYFUNCTION("""COMPUTED_VALUE"""),10.0)</f>
        <v>10</v>
      </c>
      <c r="G1933" s="6">
        <f>IFERROR(__xludf.DUMMYFUNCTION("""COMPUTED_VALUE"""),0.0)</f>
        <v>0</v>
      </c>
      <c r="H1933" s="6" t="str">
        <f>IFERROR(__xludf.DUMMYFUNCTION("""COMPUTED_VALUE"""),"Pcs")</f>
        <v>Pcs</v>
      </c>
      <c r="I1933" s="6" t="str">
        <f>IFERROR(__xludf.DUMMYFUNCTION("""COMPUTED_VALUE"""),"RYP")</f>
        <v>RYP</v>
      </c>
      <c r="J1933" s="6" t="str">
        <f>IFERROR(__xludf.DUMMYFUNCTION("""COMPUTED_VALUE"""),"Capping")</f>
        <v>Capping</v>
      </c>
      <c r="K1933" s="6" t="str">
        <f>IFERROR(__xludf.DUMMYFUNCTION("""COMPUTED_VALUE"""),"SPR/04/25/007")</f>
        <v>SPR/04/25/007</v>
      </c>
      <c r="L1933" s="13">
        <f>IFERROR(__xludf.DUMMYFUNCTION("""COMPUTED_VALUE"""),45777.0)</f>
        <v>45777</v>
      </c>
    </row>
    <row r="1934">
      <c r="A1934" s="6" t="str">
        <f>IFERROR(__xludf.DUMMYFUNCTION("""COMPUTED_VALUE"""),"AAA")</f>
        <v>AAA</v>
      </c>
      <c r="B1934" s="6" t="str">
        <f>IFERROR(__xludf.DUMMYFUNCTION("""COMPUTED_VALUE"""),"ENG")</f>
        <v>ENG</v>
      </c>
      <c r="C1934" s="6" t="str">
        <f>IFERROR(__xludf.DUMMYFUNCTION("""COMPUTED_VALUE"""),"O-54015-00")</f>
        <v>O-54015-00</v>
      </c>
      <c r="D1934" s="6" t="str">
        <f>IFERROR(__xludf.DUMMYFUNCTION("""COMPUTED_VALUE"""),"STOP KONTAK LUBANG 4, BROCO")</f>
        <v>STOP KONTAK LUBANG 4, BROCO</v>
      </c>
      <c r="E1934" s="6">
        <f>IFERROR(__xludf.DUMMYFUNCTION("""COMPUTED_VALUE"""),2.0)</f>
        <v>2</v>
      </c>
      <c r="F1934" s="6">
        <f>IFERROR(__xludf.DUMMYFUNCTION("""COMPUTED_VALUE"""),2.0)</f>
        <v>2</v>
      </c>
      <c r="G1934" s="6">
        <f>IFERROR(__xludf.DUMMYFUNCTION("""COMPUTED_VALUE"""),0.0)</f>
        <v>0</v>
      </c>
      <c r="H1934" s="6" t="str">
        <f>IFERROR(__xludf.DUMMYFUNCTION("""COMPUTED_VALUE"""),"Pcs")</f>
        <v>Pcs</v>
      </c>
      <c r="I1934" s="6" t="str">
        <f>IFERROR(__xludf.DUMMYFUNCTION("""COMPUTED_VALUE"""),"RYP")</f>
        <v>RYP</v>
      </c>
      <c r="J1934" s="6" t="str">
        <f>IFERROR(__xludf.DUMMYFUNCTION("""COMPUTED_VALUE"""),"Ejo")</f>
        <v>Ejo</v>
      </c>
      <c r="K1934" s="6" t="str">
        <f>IFERROR(__xludf.DUMMYFUNCTION("""COMPUTED_VALUE"""),"SPR/04/25/008")</f>
        <v>SPR/04/25/008</v>
      </c>
      <c r="L1934" s="13">
        <f>IFERROR(__xludf.DUMMYFUNCTION("""COMPUTED_VALUE"""),45777.0)</f>
        <v>45777</v>
      </c>
    </row>
    <row r="1935">
      <c r="A1935" s="6" t="str">
        <f>IFERROR(__xludf.DUMMYFUNCTION("""COMPUTED_VALUE"""),"AAA")</f>
        <v>AAA</v>
      </c>
      <c r="B1935" s="6" t="str">
        <f>IFERROR(__xludf.DUMMYFUNCTION("""COMPUTED_VALUE"""),"ENG")</f>
        <v>ENG</v>
      </c>
      <c r="C1935" s="6" t="str">
        <f>IFERROR(__xludf.DUMMYFUNCTION("""COMPUTED_VALUE"""),"O-54014-00")</f>
        <v>O-54014-00</v>
      </c>
      <c r="D1935" s="6" t="str">
        <f>IFERROR(__xludf.DUMMYFUNCTION("""COMPUTED_VALUE"""),"STEKER 1 PHASE, BROCO")</f>
        <v>STEKER 1 PHASE, BROCO</v>
      </c>
      <c r="E1935" s="6">
        <f>IFERROR(__xludf.DUMMYFUNCTION("""COMPUTED_VALUE"""),2.0)</f>
        <v>2</v>
      </c>
      <c r="F1935" s="6">
        <f>IFERROR(__xludf.DUMMYFUNCTION("""COMPUTED_VALUE"""),2.0)</f>
        <v>2</v>
      </c>
      <c r="G1935" s="6">
        <f>IFERROR(__xludf.DUMMYFUNCTION("""COMPUTED_VALUE"""),0.0)</f>
        <v>0</v>
      </c>
      <c r="H1935" s="6" t="str">
        <f>IFERROR(__xludf.DUMMYFUNCTION("""COMPUTED_VALUE"""),"Pcs")</f>
        <v>Pcs</v>
      </c>
      <c r="I1935" s="6" t="str">
        <f>IFERROR(__xludf.DUMMYFUNCTION("""COMPUTED_VALUE"""),"RYP")</f>
        <v>RYP</v>
      </c>
      <c r="J1935" s="6" t="str">
        <f>IFERROR(__xludf.DUMMYFUNCTION("""COMPUTED_VALUE"""),"Ejo")</f>
        <v>Ejo</v>
      </c>
      <c r="K1935" s="6" t="str">
        <f>IFERROR(__xludf.DUMMYFUNCTION("""COMPUTED_VALUE"""),"SPR/04/25/008")</f>
        <v>SPR/04/25/008</v>
      </c>
      <c r="L1935" s="13">
        <f>IFERROR(__xludf.DUMMYFUNCTION("""COMPUTED_VALUE"""),45777.0)</f>
        <v>45777</v>
      </c>
    </row>
    <row r="1936">
      <c r="A1936" s="6" t="str">
        <f>IFERROR(__xludf.DUMMYFUNCTION("""COMPUTED_VALUE"""),"MOB")</f>
        <v>MOB</v>
      </c>
      <c r="B1936" s="6" t="str">
        <f>IFERROR(__xludf.DUMMYFUNCTION("""COMPUTED_VALUE"""),"ENG")</f>
        <v>ENG</v>
      </c>
      <c r="C1936" s="6" t="str">
        <f>IFERROR(__xludf.DUMMYFUNCTION("""COMPUTED_VALUE"""),"P-51027-00")</f>
        <v>P-51027-00</v>
      </c>
      <c r="D193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1936" s="6">
        <f>IFERROR(__xludf.DUMMYFUNCTION("""COMPUTED_VALUE"""),1.0)</f>
        <v>1</v>
      </c>
      <c r="F1936" s="6">
        <f>IFERROR(__xludf.DUMMYFUNCTION("""COMPUTED_VALUE"""),1.0)</f>
        <v>1</v>
      </c>
      <c r="G1936" s="6">
        <f>IFERROR(__xludf.DUMMYFUNCTION("""COMPUTED_VALUE"""),0.0)</f>
        <v>0</v>
      </c>
      <c r="H1936" s="6" t="str">
        <f>IFERROR(__xludf.DUMMYFUNCTION("""COMPUTED_VALUE"""),"Pcs")</f>
        <v>Pcs</v>
      </c>
      <c r="I1936" s="6" t="str">
        <f>IFERROR(__xludf.DUMMYFUNCTION("""COMPUTED_VALUE"""),"RYP")</f>
        <v>RYP</v>
      </c>
      <c r="J1936" s="6" t="str">
        <f>IFERROR(__xludf.DUMMYFUNCTION("""COMPUTED_VALUE"""),"Machine ")</f>
        <v>Machine </v>
      </c>
      <c r="K1936" s="6" t="str">
        <f>IFERROR(__xludf.DUMMYFUNCTION("""COMPUTED_VALUE"""),"SPR/04/25/009")</f>
        <v>SPR/04/25/009</v>
      </c>
      <c r="L1936" s="13">
        <f>IFERROR(__xludf.DUMMYFUNCTION("""COMPUTED_VALUE"""),45777.0)</f>
        <v>45777</v>
      </c>
    </row>
    <row r="1937">
      <c r="A1937" s="6" t="str">
        <f>IFERROR(__xludf.DUMMYFUNCTION("""COMPUTED_VALUE"""),"SFH")</f>
        <v>SFH</v>
      </c>
      <c r="B1937" s="6" t="str">
        <f>IFERROR(__xludf.DUMMYFUNCTION("""COMPUTED_VALUE"""),"ENG")</f>
        <v>ENG</v>
      </c>
      <c r="C1937" s="6" t="str">
        <f>IFERROR(__xludf.DUMMYFUNCTION("""COMPUTED_VALUE"""),"P-15852-00")</f>
        <v>P-15852-00</v>
      </c>
      <c r="D1937" s="6" t="str">
        <f>IFERROR(__xludf.DUMMYFUNCTION("""COMPUTED_VALUE"""),"AMPLAS EAGLE 500")</f>
        <v>AMPLAS EAGLE 500</v>
      </c>
      <c r="E1937" s="6">
        <f>IFERROR(__xludf.DUMMYFUNCTION("""COMPUTED_VALUE"""),1.0)</f>
        <v>1</v>
      </c>
      <c r="F1937" s="6">
        <f>IFERROR(__xludf.DUMMYFUNCTION("""COMPUTED_VALUE"""),1.0)</f>
        <v>1</v>
      </c>
      <c r="G1937" s="6">
        <f>IFERROR(__xludf.DUMMYFUNCTION("""COMPUTED_VALUE"""),0.0)</f>
        <v>0</v>
      </c>
      <c r="H1937" s="6" t="str">
        <f>IFERROR(__xludf.DUMMYFUNCTION("""COMPUTED_VALUE"""),"Pcs")</f>
        <v>Pcs</v>
      </c>
      <c r="I1937" s="6" t="str">
        <f>IFERROR(__xludf.DUMMYFUNCTION("""COMPUTED_VALUE"""),"RYP")</f>
        <v>RYP</v>
      </c>
      <c r="J1937" s="6" t="str">
        <f>IFERROR(__xludf.DUMMYFUNCTION("""COMPUTED_VALUE"""),"Building")</f>
        <v>Building</v>
      </c>
      <c r="K1937" s="6" t="str">
        <f>IFERROR(__xludf.DUMMYFUNCTION("""COMPUTED_VALUE"""),"SPR/04/25/010")</f>
        <v>SPR/04/25/010</v>
      </c>
      <c r="L1937" s="13">
        <f>IFERROR(__xludf.DUMMYFUNCTION("""COMPUTED_VALUE"""),45777.0)</f>
        <v>45777</v>
      </c>
    </row>
    <row r="1938">
      <c r="A1938" s="6" t="str">
        <f>IFERROR(__xludf.DUMMYFUNCTION("""COMPUTED_VALUE"""),"SFH")</f>
        <v>SFH</v>
      </c>
      <c r="B1938" s="6" t="str">
        <f>IFERROR(__xludf.DUMMYFUNCTION("""COMPUTED_VALUE"""),"ENG")</f>
        <v>ENG</v>
      </c>
      <c r="C1938" s="6" t="str">
        <f>IFERROR(__xludf.DUMMYFUNCTION("""COMPUTED_VALUE"""),"P-15851-00")</f>
        <v>P-15851-00</v>
      </c>
      <c r="D1938" s="6" t="str">
        <f>IFERROR(__xludf.DUMMYFUNCTION("""COMPUTED_VALUE"""),"AMPLAS EAGLE 100")</f>
        <v>AMPLAS EAGLE 100</v>
      </c>
      <c r="E1938" s="6">
        <f>IFERROR(__xludf.DUMMYFUNCTION("""COMPUTED_VALUE"""),1.0)</f>
        <v>1</v>
      </c>
      <c r="F1938" s="6">
        <f>IFERROR(__xludf.DUMMYFUNCTION("""COMPUTED_VALUE"""),1.0)</f>
        <v>1</v>
      </c>
      <c r="G1938" s="6">
        <f>IFERROR(__xludf.DUMMYFUNCTION("""COMPUTED_VALUE"""),0.0)</f>
        <v>0</v>
      </c>
      <c r="H1938" s="6" t="str">
        <f>IFERROR(__xludf.DUMMYFUNCTION("""COMPUTED_VALUE"""),"Pcs")</f>
        <v>Pcs</v>
      </c>
      <c r="I1938" s="6" t="str">
        <f>IFERROR(__xludf.DUMMYFUNCTION("""COMPUTED_VALUE"""),"RYP")</f>
        <v>RYP</v>
      </c>
      <c r="J1938" s="6" t="str">
        <f>IFERROR(__xludf.DUMMYFUNCTION("""COMPUTED_VALUE"""),"Building")</f>
        <v>Building</v>
      </c>
      <c r="K1938" s="6" t="str">
        <f>IFERROR(__xludf.DUMMYFUNCTION("""COMPUTED_VALUE"""),"SPR/04/25/010")</f>
        <v>SPR/04/25/010</v>
      </c>
      <c r="L1938" s="13">
        <f>IFERROR(__xludf.DUMMYFUNCTION("""COMPUTED_VALUE"""),45777.0)</f>
        <v>45777</v>
      </c>
    </row>
    <row r="1939">
      <c r="A1939" s="6" t="str">
        <f>IFERROR(__xludf.DUMMYFUNCTION("""COMPUTED_VALUE"""),"SFH")</f>
        <v>SFH</v>
      </c>
      <c r="B1939" s="6" t="str">
        <f>IFERROR(__xludf.DUMMYFUNCTION("""COMPUTED_VALUE"""),"ENG")</f>
        <v>ENG</v>
      </c>
      <c r="C1939" s="6" t="str">
        <f>IFERROR(__xludf.DUMMYFUNCTION("""COMPUTED_VALUE"""),"P-14974-00")</f>
        <v>P-14974-00</v>
      </c>
      <c r="D1939" s="6" t="str">
        <f>IFERROR(__xludf.DUMMYFUNCTION("""COMPUTED_VALUE"""),"PVC - Sock AW 2 1/2""; ; ;")</f>
        <v>PVC - Sock AW 2 1/2"; ; ;</v>
      </c>
      <c r="E1939" s="6">
        <f>IFERROR(__xludf.DUMMYFUNCTION("""COMPUTED_VALUE"""),1.0)</f>
        <v>1</v>
      </c>
      <c r="F1939" s="6">
        <f>IFERROR(__xludf.DUMMYFUNCTION("""COMPUTED_VALUE"""),1.0)</f>
        <v>1</v>
      </c>
      <c r="G1939" s="6">
        <f>IFERROR(__xludf.DUMMYFUNCTION("""COMPUTED_VALUE"""),0.0)</f>
        <v>0</v>
      </c>
      <c r="H1939" s="6" t="str">
        <f>IFERROR(__xludf.DUMMYFUNCTION("""COMPUTED_VALUE"""),"Pcs")</f>
        <v>Pcs</v>
      </c>
      <c r="I1939" s="6" t="str">
        <f>IFERROR(__xludf.DUMMYFUNCTION("""COMPUTED_VALUE"""),"RYP")</f>
        <v>RYP</v>
      </c>
      <c r="J1939" s="6" t="str">
        <f>IFERROR(__xludf.DUMMYFUNCTION("""COMPUTED_VALUE"""),"-")</f>
        <v>-</v>
      </c>
      <c r="K1939" s="6" t="str">
        <f>IFERROR(__xludf.DUMMYFUNCTION("""COMPUTED_VALUE"""),"SPR/04/25/011")</f>
        <v>SPR/04/25/011</v>
      </c>
      <c r="L1939" s="13">
        <f>IFERROR(__xludf.DUMMYFUNCTION("""COMPUTED_VALUE"""),45777.0)</f>
        <v>45777</v>
      </c>
    </row>
    <row r="1940">
      <c r="A1940" s="6" t="str">
        <f>IFERROR(__xludf.DUMMYFUNCTION("""COMPUTED_VALUE"""),"SFH")</f>
        <v>SFH</v>
      </c>
      <c r="B1940" s="6" t="str">
        <f>IFERROR(__xludf.DUMMYFUNCTION("""COMPUTED_VALUE"""),"ENG")</f>
        <v>ENG</v>
      </c>
      <c r="C1940" s="6" t="str">
        <f>IFERROR(__xludf.DUMMYFUNCTION("""COMPUTED_VALUE"""),"-")</f>
        <v>-</v>
      </c>
      <c r="D1940" s="6" t="str">
        <f>IFERROR(__xludf.DUMMYFUNCTION("""COMPUTED_VALUE"""),"PVC  Reducer 2 ke 1 inch")</f>
        <v>PVC  Reducer 2 ke 1 inch</v>
      </c>
      <c r="E1940" s="6">
        <f>IFERROR(__xludf.DUMMYFUNCTION("""COMPUTED_VALUE"""),1.0)</f>
        <v>1</v>
      </c>
      <c r="F1940" s="6">
        <f>IFERROR(__xludf.DUMMYFUNCTION("""COMPUTED_VALUE"""),1.0)</f>
        <v>1</v>
      </c>
      <c r="G1940" s="6">
        <f>IFERROR(__xludf.DUMMYFUNCTION("""COMPUTED_VALUE"""),0.0)</f>
        <v>0</v>
      </c>
      <c r="H1940" s="6" t="str">
        <f>IFERROR(__xludf.DUMMYFUNCTION("""COMPUTED_VALUE"""),"Pcs")</f>
        <v>Pcs</v>
      </c>
      <c r="I1940" s="6" t="str">
        <f>IFERROR(__xludf.DUMMYFUNCTION("""COMPUTED_VALUE"""),"RYP")</f>
        <v>RYP</v>
      </c>
      <c r="J1940" s="6" t="str">
        <f>IFERROR(__xludf.DUMMYFUNCTION("""COMPUTED_VALUE"""),"-")</f>
        <v>-</v>
      </c>
      <c r="K1940" s="6" t="str">
        <f>IFERROR(__xludf.DUMMYFUNCTION("""COMPUTED_VALUE"""),"SPR/04/25/011")</f>
        <v>SPR/04/25/011</v>
      </c>
      <c r="L1940" s="13">
        <f>IFERROR(__xludf.DUMMYFUNCTION("""COMPUTED_VALUE"""),45777.0)</f>
        <v>45777</v>
      </c>
    </row>
    <row r="1941">
      <c r="A1941" s="6" t="str">
        <f>IFERROR(__xludf.DUMMYFUNCTION("""COMPUTED_VALUE"""),"SFH")</f>
        <v>SFH</v>
      </c>
      <c r="B1941" s="6" t="str">
        <f>IFERROR(__xludf.DUMMYFUNCTION("""COMPUTED_VALUE"""),"ENG")</f>
        <v>ENG</v>
      </c>
      <c r="C1941" s="6" t="str">
        <f>IFERROR(__xludf.DUMMYFUNCTION("""COMPUTED_VALUE"""),"-")</f>
        <v>-</v>
      </c>
      <c r="D1941" s="6" t="str">
        <f>IFERROR(__xludf.DUMMYFUNCTION("""COMPUTED_VALUE"""),"PVC Reducer 2 ke 2 1/2")</f>
        <v>PVC Reducer 2 ke 2 1/2</v>
      </c>
      <c r="E1941" s="6">
        <f>IFERROR(__xludf.DUMMYFUNCTION("""COMPUTED_VALUE"""),1.0)</f>
        <v>1</v>
      </c>
      <c r="F1941" s="6">
        <f>IFERROR(__xludf.DUMMYFUNCTION("""COMPUTED_VALUE"""),1.0)</f>
        <v>1</v>
      </c>
      <c r="G1941" s="6">
        <f>IFERROR(__xludf.DUMMYFUNCTION("""COMPUTED_VALUE"""),0.0)</f>
        <v>0</v>
      </c>
      <c r="H1941" s="6" t="str">
        <f>IFERROR(__xludf.DUMMYFUNCTION("""COMPUTED_VALUE"""),"Pcs")</f>
        <v>Pcs</v>
      </c>
      <c r="I1941" s="6" t="str">
        <f>IFERROR(__xludf.DUMMYFUNCTION("""COMPUTED_VALUE"""),"RYP")</f>
        <v>RYP</v>
      </c>
      <c r="J1941" s="6" t="str">
        <f>IFERROR(__xludf.DUMMYFUNCTION("""COMPUTED_VALUE"""),"-")</f>
        <v>-</v>
      </c>
      <c r="K1941" s="6" t="str">
        <f>IFERROR(__xludf.DUMMYFUNCTION("""COMPUTED_VALUE"""),"SPR/04/25/011")</f>
        <v>SPR/04/25/011</v>
      </c>
      <c r="L1941" s="13">
        <f>IFERROR(__xludf.DUMMYFUNCTION("""COMPUTED_VALUE"""),45777.0)</f>
        <v>45777</v>
      </c>
    </row>
    <row r="1942">
      <c r="A1942" s="6" t="str">
        <f>IFERROR(__xludf.DUMMYFUNCTION("""COMPUTED_VALUE"""),"MRN")</f>
        <v>MRN</v>
      </c>
      <c r="B1942" s="6" t="str">
        <f>IFERROR(__xludf.DUMMYFUNCTION("""COMPUTED_VALUE"""),"ENG")</f>
        <v>ENG</v>
      </c>
      <c r="C1942" s="6" t="str">
        <f>IFERROR(__xludf.DUMMYFUNCTION("""COMPUTED_VALUE"""),"Q-60026-00")</f>
        <v>Q-60026-00</v>
      </c>
      <c r="D1942" s="6" t="str">
        <f>IFERROR(__xludf.DUMMYFUNCTION("""COMPUTED_VALUE"""),"Kuas Eterna 2 inchi")</f>
        <v>Kuas Eterna 2 inchi</v>
      </c>
      <c r="E1942" s="6">
        <f>IFERROR(__xludf.DUMMYFUNCTION("""COMPUTED_VALUE"""),1.0)</f>
        <v>1</v>
      </c>
      <c r="F1942" s="6">
        <f>IFERROR(__xludf.DUMMYFUNCTION("""COMPUTED_VALUE"""),1.0)</f>
        <v>1</v>
      </c>
      <c r="G1942" s="6">
        <f>IFERROR(__xludf.DUMMYFUNCTION("""COMPUTED_VALUE"""),0.0)</f>
        <v>0</v>
      </c>
      <c r="H1942" s="6" t="str">
        <f>IFERROR(__xludf.DUMMYFUNCTION("""COMPUTED_VALUE"""),"Pcs")</f>
        <v>Pcs</v>
      </c>
      <c r="I1942" s="6" t="str">
        <f>IFERROR(__xludf.DUMMYFUNCTION("""COMPUTED_VALUE"""),"RYP")</f>
        <v>RYP</v>
      </c>
      <c r="J1942" s="6" t="str">
        <f>IFERROR(__xludf.DUMMYFUNCTION("""COMPUTED_VALUE"""),"-")</f>
        <v>-</v>
      </c>
      <c r="K1942" s="6" t="str">
        <f>IFERROR(__xludf.DUMMYFUNCTION("""COMPUTED_VALUE"""),"SPR/04/25/012")</f>
        <v>SPR/04/25/012</v>
      </c>
      <c r="L1942" s="13">
        <f>IFERROR(__xludf.DUMMYFUNCTION("""COMPUTED_VALUE"""),45777.0)</f>
        <v>45777</v>
      </c>
    </row>
    <row r="1943">
      <c r="A1943" s="6" t="str">
        <f>IFERROR(__xludf.DUMMYFUNCTION("""COMPUTED_VALUE"""),"ANO")</f>
        <v>ANO</v>
      </c>
      <c r="B1943" s="6" t="str">
        <f>IFERROR(__xludf.DUMMYFUNCTION("""COMPUTED_VALUE"""),"ENG")</f>
        <v>ENG</v>
      </c>
      <c r="C1943" s="6" t="str">
        <f>IFERROR(__xludf.DUMMYFUNCTION("""COMPUTED_VALUE"""),"P-18788-00")</f>
        <v>P-18788-00</v>
      </c>
      <c r="D1943" s="6" t="str">
        <f>IFERROR(__xludf.DUMMYFUNCTION("""COMPUTED_VALUE"""),"Baut SS Hexagon SS M6x55mm + Mur; ; ;")</f>
        <v>Baut SS Hexagon SS M6x55mm + Mur; ; ;</v>
      </c>
      <c r="E1943" s="6">
        <f>IFERROR(__xludf.DUMMYFUNCTION("""COMPUTED_VALUE"""),6.0)</f>
        <v>6</v>
      </c>
      <c r="F1943" s="6">
        <f>IFERROR(__xludf.DUMMYFUNCTION("""COMPUTED_VALUE"""),6.0)</f>
        <v>6</v>
      </c>
      <c r="G1943" s="6">
        <f>IFERROR(__xludf.DUMMYFUNCTION("""COMPUTED_VALUE"""),0.0)</f>
        <v>0</v>
      </c>
      <c r="H1943" s="6" t="str">
        <f>IFERROR(__xludf.DUMMYFUNCTION("""COMPUTED_VALUE"""),"Pcs")</f>
        <v>Pcs</v>
      </c>
      <c r="I1943" s="6" t="str">
        <f>IFERROR(__xludf.DUMMYFUNCTION("""COMPUTED_VALUE"""),"RYP")</f>
        <v>RYP</v>
      </c>
      <c r="J1943" s="6" t="str">
        <f>IFERROR(__xludf.DUMMYFUNCTION("""COMPUTED_VALUE"""),"Cartening")</f>
        <v>Cartening</v>
      </c>
      <c r="K1943" s="6" t="str">
        <f>IFERROR(__xludf.DUMMYFUNCTION("""COMPUTED_VALUE"""),"SPR/04/25/013")</f>
        <v>SPR/04/25/013</v>
      </c>
      <c r="L1943" s="13">
        <f>IFERROR(__xludf.DUMMYFUNCTION("""COMPUTED_VALUE"""),45777.0)</f>
        <v>45777</v>
      </c>
    </row>
    <row r="1944">
      <c r="A1944" s="6" t="str">
        <f>IFERROR(__xludf.DUMMYFUNCTION("""COMPUTED_VALUE"""),"NDS")</f>
        <v>NDS</v>
      </c>
      <c r="B1944" s="6" t="str">
        <f>IFERROR(__xludf.DUMMYFUNCTION("""COMPUTED_VALUE"""),"ENG")</f>
        <v>ENG</v>
      </c>
      <c r="C1944" s="6" t="str">
        <f>IFERROR(__xludf.DUMMYFUNCTION("""COMPUTED_VALUE"""),"T-20592-00")</f>
        <v>T-20592-00</v>
      </c>
      <c r="D1944" s="6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E1944" s="6" t="str">
        <f>IFERROR(__xludf.DUMMYFUNCTION("""COMPUTED_VALUE"""),"-")</f>
        <v>-</v>
      </c>
      <c r="F1944" s="6" t="str">
        <f>IFERROR(__xludf.DUMMYFUNCTION("""COMPUTED_VALUE"""),"-")</f>
        <v>-</v>
      </c>
      <c r="G1944" s="6">
        <f>IFERROR(__xludf.DUMMYFUNCTION("""COMPUTED_VALUE"""),0.0)</f>
        <v>0</v>
      </c>
      <c r="H1944" s="6" t="str">
        <f>IFERROR(__xludf.DUMMYFUNCTION("""COMPUTED_VALUE"""),"-")</f>
        <v>-</v>
      </c>
      <c r="I1944" s="6" t="str">
        <f>IFERROR(__xludf.DUMMYFUNCTION("""COMPUTED_VALUE"""),"RYP")</f>
        <v>RYP</v>
      </c>
      <c r="J1944" s="6" t="str">
        <f>IFERROR(__xludf.DUMMYFUNCTION("""COMPUTED_VALUE"""),"GC")</f>
        <v>GC</v>
      </c>
      <c r="K1944" s="6" t="str">
        <f>IFERROR(__xludf.DUMMYFUNCTION("""COMPUTED_VALUE"""),"SPR/04/25/014")</f>
        <v>SPR/04/25/014</v>
      </c>
      <c r="L1944" s="13">
        <f>IFERROR(__xludf.DUMMYFUNCTION("""COMPUTED_VALUE"""),45777.0)</f>
        <v>45777</v>
      </c>
    </row>
    <row r="1945">
      <c r="A1945" s="6" t="str">
        <f>IFERROR(__xludf.DUMMYFUNCTION("""COMPUTED_VALUE"""),"NDS")</f>
        <v>NDS</v>
      </c>
      <c r="B1945" s="6" t="str">
        <f>IFERROR(__xludf.DUMMYFUNCTION("""COMPUTED_VALUE"""),"ENG")</f>
        <v>ENG</v>
      </c>
      <c r="C1945" s="6" t="str">
        <f>IFERROR(__xludf.DUMMYFUNCTION("""COMPUTED_VALUE"""),"P-54199-00")</f>
        <v>P-54199-00</v>
      </c>
      <c r="D1945" s="6" t="str">
        <f>IFERROR(__xludf.DUMMYFUNCTION("""COMPUTED_VALUE"""),"Stop Kontak AC Kaki 3 Broco; Broco; ;")</f>
        <v>Stop Kontak AC Kaki 3 Broco; Broco; ;</v>
      </c>
      <c r="E1945" s="6">
        <f>IFERROR(__xludf.DUMMYFUNCTION("""COMPUTED_VALUE"""),1.0)</f>
        <v>1</v>
      </c>
      <c r="F1945" s="6">
        <f>IFERROR(__xludf.DUMMYFUNCTION("""COMPUTED_VALUE"""),1.0)</f>
        <v>1</v>
      </c>
      <c r="G1945" s="6">
        <f>IFERROR(__xludf.DUMMYFUNCTION("""COMPUTED_VALUE"""),0.0)</f>
        <v>0</v>
      </c>
      <c r="H1945" s="6" t="str">
        <f>IFERROR(__xludf.DUMMYFUNCTION("""COMPUTED_VALUE"""),"-")</f>
        <v>-</v>
      </c>
      <c r="I1945" s="6" t="str">
        <f>IFERROR(__xludf.DUMMYFUNCTION("""COMPUTED_VALUE"""),"RYP")</f>
        <v>RYP</v>
      </c>
      <c r="J1945" s="6" t="str">
        <f>IFERROR(__xludf.DUMMYFUNCTION("""COMPUTED_VALUE"""),"M-laf")</f>
        <v>M-laf</v>
      </c>
      <c r="K1945" s="6" t="str">
        <f>IFERROR(__xludf.DUMMYFUNCTION("""COMPUTED_VALUE"""),"SPR/04/25/015")</f>
        <v>SPR/04/25/015</v>
      </c>
      <c r="L1945" s="13">
        <f>IFERROR(__xludf.DUMMYFUNCTION("""COMPUTED_VALUE"""),45777.0)</f>
        <v>45777</v>
      </c>
    </row>
    <row r="1946">
      <c r="A1946" s="6" t="str">
        <f>IFERROR(__xludf.DUMMYFUNCTION("""COMPUTED_VALUE"""),"NDS")</f>
        <v>NDS</v>
      </c>
      <c r="B1946" s="6" t="str">
        <f>IFERROR(__xludf.DUMMYFUNCTION("""COMPUTED_VALUE"""),"ENG")</f>
        <v>ENG</v>
      </c>
      <c r="C1946" s="6" t="str">
        <f>IFERROR(__xludf.DUMMYFUNCTION("""COMPUTED_VALUE"""),"P-51299-00")</f>
        <v>P-51299-00</v>
      </c>
      <c r="D1946" s="6" t="str">
        <f>IFERROR(__xludf.DUMMYFUNCTION("""COMPUTED_VALUE"""),"Terminal plastik dia 6 mm")</f>
        <v>Terminal plastik dia 6 mm</v>
      </c>
      <c r="E1946" s="6">
        <f>IFERROR(__xludf.DUMMYFUNCTION("""COMPUTED_VALUE"""),1.0)</f>
        <v>1</v>
      </c>
      <c r="F1946" s="6">
        <f>IFERROR(__xludf.DUMMYFUNCTION("""COMPUTED_VALUE"""),1.0)</f>
        <v>1</v>
      </c>
      <c r="G1946" s="6">
        <f>IFERROR(__xludf.DUMMYFUNCTION("""COMPUTED_VALUE"""),0.0)</f>
        <v>0</v>
      </c>
      <c r="H1946" s="6" t="str">
        <f>IFERROR(__xludf.DUMMYFUNCTION("""COMPUTED_VALUE"""),"-")</f>
        <v>-</v>
      </c>
      <c r="I1946" s="6" t="str">
        <f>IFERROR(__xludf.DUMMYFUNCTION("""COMPUTED_VALUE"""),"RYP")</f>
        <v>RYP</v>
      </c>
      <c r="J1946" s="6" t="str">
        <f>IFERROR(__xludf.DUMMYFUNCTION("""COMPUTED_VALUE"""),"M-laf")</f>
        <v>M-laf</v>
      </c>
      <c r="K1946" s="6" t="str">
        <f>IFERROR(__xludf.DUMMYFUNCTION("""COMPUTED_VALUE"""),"SPR/04/25/015")</f>
        <v>SPR/04/25/015</v>
      </c>
      <c r="L1946" s="13">
        <f>IFERROR(__xludf.DUMMYFUNCTION("""COMPUTED_VALUE"""),45777.0)</f>
        <v>45777</v>
      </c>
    </row>
    <row r="1947">
      <c r="A1947" s="6" t="str">
        <f>IFERROR(__xludf.DUMMYFUNCTION("""COMPUTED_VALUE"""),"NDS")</f>
        <v>NDS</v>
      </c>
      <c r="B1947" s="6" t="str">
        <f>IFERROR(__xludf.DUMMYFUNCTION("""COMPUTED_VALUE"""),"ENG")</f>
        <v>ENG</v>
      </c>
      <c r="C1947" s="6" t="str">
        <f>IFERROR(__xludf.DUMMYFUNCTION("""COMPUTED_VALUE"""),"P-10017-00")</f>
        <v>P-10017-00</v>
      </c>
      <c r="D1947" s="6" t="str">
        <f>IFERROR(__xludf.DUMMYFUNCTION("""COMPUTED_VALUE"""),"Pre Filter G4 size : 24X24X2, Washable Aluminium Frame; IAF;")</f>
        <v>Pre Filter G4 size : 24X24X2, Washable Aluminium Frame; IAF;</v>
      </c>
      <c r="E1947" s="6">
        <f>IFERROR(__xludf.DUMMYFUNCTION("""COMPUTED_VALUE"""),2.0)</f>
        <v>2</v>
      </c>
      <c r="F1947" s="6">
        <f>IFERROR(__xludf.DUMMYFUNCTION("""COMPUTED_VALUE"""),2.0)</f>
        <v>2</v>
      </c>
      <c r="G1947" s="6">
        <f>IFERROR(__xludf.DUMMYFUNCTION("""COMPUTED_VALUE"""),0.0)</f>
        <v>0</v>
      </c>
      <c r="H1947" s="6" t="str">
        <f>IFERROR(__xludf.DUMMYFUNCTION("""COMPUTED_VALUE"""),"-")</f>
        <v>-</v>
      </c>
      <c r="I1947" s="6" t="str">
        <f>IFERROR(__xludf.DUMMYFUNCTION("""COMPUTED_VALUE"""),"RYP")</f>
        <v>RYP</v>
      </c>
      <c r="J1947" s="6" t="str">
        <f>IFERROR(__xludf.DUMMYFUNCTION("""COMPUTED_VALUE"""),"Air shower")</f>
        <v>Air shower</v>
      </c>
      <c r="K1947" s="6" t="str">
        <f>IFERROR(__xludf.DUMMYFUNCTION("""COMPUTED_VALUE"""),"SPR/04/25/015")</f>
        <v>SPR/04/25/015</v>
      </c>
      <c r="L1947" s="13">
        <f>IFERROR(__xludf.DUMMYFUNCTION("""COMPUTED_VALUE"""),45777.0)</f>
        <v>45777</v>
      </c>
    </row>
    <row r="1948">
      <c r="A1948" s="6" t="str">
        <f>IFERROR(__xludf.DUMMYFUNCTION("""COMPUTED_VALUE"""),"INN")</f>
        <v>INN</v>
      </c>
      <c r="B1948" s="6" t="str">
        <f>IFERROR(__xludf.DUMMYFUNCTION("""COMPUTED_VALUE"""),"ENG")</f>
        <v>ENG</v>
      </c>
      <c r="C1948" s="6" t="str">
        <f>IFERROR(__xludf.DUMMYFUNCTION("""COMPUTED_VALUE"""),"P-52110-00")</f>
        <v>P-52110-00</v>
      </c>
      <c r="D1948" s="6" t="str">
        <f>IFERROR(__xludf.DUMMYFUNCTION("""COMPUTED_VALUE"""),"CAPACITOR 5 uF, 500 V, 50/60 Hz; ; ;")</f>
        <v>CAPACITOR 5 uF, 500 V, 50/60 Hz; ; ;</v>
      </c>
      <c r="E1948" s="6">
        <f>IFERROR(__xludf.DUMMYFUNCTION("""COMPUTED_VALUE"""),1.0)</f>
        <v>1</v>
      </c>
      <c r="F1948" s="6">
        <f>IFERROR(__xludf.DUMMYFUNCTION("""COMPUTED_VALUE"""),1.0)</f>
        <v>1</v>
      </c>
      <c r="G1948" s="6">
        <f>IFERROR(__xludf.DUMMYFUNCTION("""COMPUTED_VALUE"""),0.0)</f>
        <v>0</v>
      </c>
      <c r="H1948" s="6" t="str">
        <f>IFERROR(__xludf.DUMMYFUNCTION("""COMPUTED_VALUE"""),"Pcs")</f>
        <v>Pcs</v>
      </c>
      <c r="I1948" s="6" t="str">
        <f>IFERROR(__xludf.DUMMYFUNCTION("""COMPUTED_VALUE"""),"RYP")</f>
        <v>RYP</v>
      </c>
      <c r="J1948" s="6" t="str">
        <f>IFERROR(__xludf.DUMMYFUNCTION("""COMPUTED_VALUE"""),"Bod 4")</f>
        <v>Bod 4</v>
      </c>
      <c r="K1948" s="6" t="str">
        <f>IFERROR(__xludf.DUMMYFUNCTION("""COMPUTED_VALUE"""),"SPR/04/25/016")</f>
        <v>SPR/04/25/016</v>
      </c>
      <c r="L1948" s="13">
        <f>IFERROR(__xludf.DUMMYFUNCTION("""COMPUTED_VALUE"""),45777.0)</f>
        <v>45777</v>
      </c>
    </row>
    <row r="1949">
      <c r="A1949" s="6" t="str">
        <f>IFERROR(__xludf.DUMMYFUNCTION("""COMPUTED_VALUE"""),"INN")</f>
        <v>INN</v>
      </c>
      <c r="B1949" s="6" t="str">
        <f>IFERROR(__xludf.DUMMYFUNCTION("""COMPUTED_VALUE"""),"ENG")</f>
        <v>ENG</v>
      </c>
      <c r="C1949" s="6" t="str">
        <f>IFERROR(__xludf.DUMMYFUNCTION("""COMPUTED_VALUE"""),"O-53047-00")</f>
        <v>O-53047-00</v>
      </c>
      <c r="D1949" s="6" t="str">
        <f>IFERROR(__xludf.DUMMYFUNCTION("""COMPUTED_VALUE"""),"MCB 400V 10kA 3Pole; Siemens; 5SL4304-7CC;")</f>
        <v>MCB 400V 10kA 3Pole; Siemens; 5SL4304-7CC;</v>
      </c>
      <c r="E1949" s="6">
        <f>IFERROR(__xludf.DUMMYFUNCTION("""COMPUTED_VALUE"""),1.0)</f>
        <v>1</v>
      </c>
      <c r="F1949" s="6">
        <f>IFERROR(__xludf.DUMMYFUNCTION("""COMPUTED_VALUE"""),1.0)</f>
        <v>1</v>
      </c>
      <c r="G1949" s="6">
        <f>IFERROR(__xludf.DUMMYFUNCTION("""COMPUTED_VALUE"""),0.0)</f>
        <v>0</v>
      </c>
      <c r="H1949" s="6" t="str">
        <f>IFERROR(__xludf.DUMMYFUNCTION("""COMPUTED_VALUE"""),"Pcs")</f>
        <v>Pcs</v>
      </c>
      <c r="I1949" s="6" t="str">
        <f>IFERROR(__xludf.DUMMYFUNCTION("""COMPUTED_VALUE"""),"RYP")</f>
        <v>RYP</v>
      </c>
      <c r="J1949" s="6" t="str">
        <f>IFERROR(__xludf.DUMMYFUNCTION("""COMPUTED_VALUE"""),"Isolator mixing")</f>
        <v>Isolator mixing</v>
      </c>
      <c r="K1949" s="6" t="str">
        <f>IFERROR(__xludf.DUMMYFUNCTION("""COMPUTED_VALUE"""),"SPR/04/25/016")</f>
        <v>SPR/04/25/016</v>
      </c>
      <c r="L1949" s="13">
        <f>IFERROR(__xludf.DUMMYFUNCTION("""COMPUTED_VALUE"""),45777.0)</f>
        <v>45777</v>
      </c>
    </row>
    <row r="1950">
      <c r="A1950" s="6" t="str">
        <f>IFERROR(__xludf.DUMMYFUNCTION("""COMPUTED_VALUE"""),"SFH")</f>
        <v>SFH</v>
      </c>
      <c r="B1950" s="6" t="str">
        <f>IFERROR(__xludf.DUMMYFUNCTION("""COMPUTED_VALUE"""),"ENG")</f>
        <v>ENG</v>
      </c>
      <c r="C1950" s="6" t="str">
        <f>IFERROR(__xludf.DUMMYFUNCTION("""COMPUTED_VALUE"""),"P-12883-00")</f>
        <v>P-12883-00</v>
      </c>
      <c r="D1950" s="6" t="str">
        <f>IFERROR(__xludf.DUMMYFUNCTION("""COMPUTED_VALUE"""),"Tee PVC AW dia 1/2inch X 1/2inch")</f>
        <v>Tee PVC AW dia 1/2inch X 1/2inch</v>
      </c>
      <c r="E1950" s="6">
        <f>IFERROR(__xludf.DUMMYFUNCTION("""COMPUTED_VALUE"""),2.0)</f>
        <v>2</v>
      </c>
      <c r="F1950" s="6">
        <f>IFERROR(__xludf.DUMMYFUNCTION("""COMPUTED_VALUE"""),2.0)</f>
        <v>2</v>
      </c>
      <c r="G1950" s="6">
        <f>IFERROR(__xludf.DUMMYFUNCTION("""COMPUTED_VALUE"""),0.0)</f>
        <v>0</v>
      </c>
      <c r="H1950" s="6" t="str">
        <f>IFERROR(__xludf.DUMMYFUNCTION("""COMPUTED_VALUE"""),"Pcs")</f>
        <v>Pcs</v>
      </c>
      <c r="I1950" s="6" t="str">
        <f>IFERROR(__xludf.DUMMYFUNCTION("""COMPUTED_VALUE"""),"RYP")</f>
        <v>RYP</v>
      </c>
      <c r="J1950" s="6" t="str">
        <f>IFERROR(__xludf.DUMMYFUNCTION("""COMPUTED_VALUE"""),"Building")</f>
        <v>Building</v>
      </c>
      <c r="K1950" s="6" t="str">
        <f>IFERROR(__xludf.DUMMYFUNCTION("""COMPUTED_VALUE"""),"SPR/04/25/017")</f>
        <v>SPR/04/25/017</v>
      </c>
      <c r="L1950" s="13">
        <f>IFERROR(__xludf.DUMMYFUNCTION("""COMPUTED_VALUE"""),45777.0)</f>
        <v>45777</v>
      </c>
    </row>
    <row r="1951">
      <c r="A1951" s="6" t="str">
        <f>IFERROR(__xludf.DUMMYFUNCTION("""COMPUTED_VALUE"""),"RIA")</f>
        <v>RIA</v>
      </c>
      <c r="B1951" s="6" t="str">
        <f>IFERROR(__xludf.DUMMYFUNCTION("""COMPUTED_VALUE"""),"ENG")</f>
        <v>ENG</v>
      </c>
      <c r="C1951" s="6" t="str">
        <f>IFERROR(__xludf.DUMMYFUNCTION("""COMPUTED_VALUE"""),"-")</f>
        <v>-</v>
      </c>
      <c r="D1951" s="6" t="str">
        <f>IFERROR(__xludf.DUMMYFUNCTION("""COMPUTED_VALUE"""),"Kabel Lan Sachet")</f>
        <v>Kabel Lan Sachet</v>
      </c>
      <c r="E1951" s="6">
        <f>IFERROR(__xludf.DUMMYFUNCTION("""COMPUTED_VALUE"""),10.0)</f>
        <v>10</v>
      </c>
      <c r="F1951" s="6">
        <f>IFERROR(__xludf.DUMMYFUNCTION("""COMPUTED_VALUE"""),10.0)</f>
        <v>10</v>
      </c>
      <c r="G1951" s="6">
        <f>IFERROR(__xludf.DUMMYFUNCTION("""COMPUTED_VALUE"""),0.0)</f>
        <v>0</v>
      </c>
      <c r="H1951" s="6" t="str">
        <f>IFERROR(__xludf.DUMMYFUNCTION("""COMPUTED_VALUE"""),"Mtr")</f>
        <v>Mtr</v>
      </c>
      <c r="I1951" s="6" t="str">
        <f>IFERROR(__xludf.DUMMYFUNCTION("""COMPUTED_VALUE"""),"RYP")</f>
        <v>RYP</v>
      </c>
      <c r="J1951" s="6" t="str">
        <f>IFERROR(__xludf.DUMMYFUNCTION("""COMPUTED_VALUE"""),"Hc")</f>
        <v>Hc</v>
      </c>
      <c r="K1951" s="6" t="str">
        <f>IFERROR(__xludf.DUMMYFUNCTION("""COMPUTED_VALUE"""),"SPR/04/25/018")</f>
        <v>SPR/04/25/018</v>
      </c>
      <c r="L1951" s="13">
        <f>IFERROR(__xludf.DUMMYFUNCTION("""COMPUTED_VALUE"""),45777.0)</f>
        <v>45777</v>
      </c>
    </row>
    <row r="1952">
      <c r="A1952" s="6" t="str">
        <f>IFERROR(__xludf.DUMMYFUNCTION("""COMPUTED_VALUE"""),"RIA")</f>
        <v>RIA</v>
      </c>
      <c r="B1952" s="6" t="str">
        <f>IFERROR(__xludf.DUMMYFUNCTION("""COMPUTED_VALUE"""),"ENG")</f>
        <v>ENG</v>
      </c>
      <c r="C1952" s="6" t="str">
        <f>IFERROR(__xludf.DUMMYFUNCTION("""COMPUTED_VALUE"""),"Q-10249-00")</f>
        <v>Q-10249-00</v>
      </c>
      <c r="D1952" s="6" t="str">
        <f>IFERROR(__xludf.DUMMYFUNCTION("""COMPUTED_VALUE"""),"Lem Power Glue")</f>
        <v>Lem Power Glue</v>
      </c>
      <c r="E1952" s="6">
        <f>IFERROR(__xludf.DUMMYFUNCTION("""COMPUTED_VALUE"""),1.0)</f>
        <v>1</v>
      </c>
      <c r="F1952" s="6">
        <f>IFERROR(__xludf.DUMMYFUNCTION("""COMPUTED_VALUE"""),1.0)</f>
        <v>1</v>
      </c>
      <c r="G1952" s="6">
        <f>IFERROR(__xludf.DUMMYFUNCTION("""COMPUTED_VALUE"""),0.0)</f>
        <v>0</v>
      </c>
      <c r="H1952" s="6" t="str">
        <f>IFERROR(__xludf.DUMMYFUNCTION("""COMPUTED_VALUE"""),"Pcs")</f>
        <v>Pcs</v>
      </c>
      <c r="I1952" s="6" t="str">
        <f>IFERROR(__xludf.DUMMYFUNCTION("""COMPUTED_VALUE"""),"RYP")</f>
        <v>RYP</v>
      </c>
      <c r="J1952" s="6" t="str">
        <f>IFERROR(__xludf.DUMMYFUNCTION("""COMPUTED_VALUE"""),"Machine ")</f>
        <v>Machine </v>
      </c>
      <c r="K1952" s="6" t="str">
        <f>IFERROR(__xludf.DUMMYFUNCTION("""COMPUTED_VALUE"""),"SPR/04/25/018")</f>
        <v>SPR/04/25/018</v>
      </c>
      <c r="L1952" s="13">
        <f>IFERROR(__xludf.DUMMYFUNCTION("""COMPUTED_VALUE"""),45777.0)</f>
        <v>45777</v>
      </c>
    </row>
    <row r="1953">
      <c r="A1953" s="6" t="str">
        <f>IFERROR(__xludf.DUMMYFUNCTION("""COMPUTED_VALUE"""),"RIA")</f>
        <v>RIA</v>
      </c>
      <c r="B1953" s="6" t="str">
        <f>IFERROR(__xludf.DUMMYFUNCTION("""COMPUTED_VALUE"""),"ENG")</f>
        <v>ENG</v>
      </c>
      <c r="C1953" s="6" t="str">
        <f>IFERROR(__xludf.DUMMYFUNCTION("""COMPUTED_VALUE"""),"P-51239-00")</f>
        <v>P-51239-00</v>
      </c>
      <c r="D1953" s="6" t="str">
        <f>IFERROR(__xludf.DUMMYFUNCTION("""COMPUTED_VALUE"""),"Skun ( I ) Pin uk.2.5-5 m hitam")</f>
        <v>Skun ( I ) Pin uk.2.5-5 m hitam</v>
      </c>
      <c r="E1953" s="6">
        <f>IFERROR(__xludf.DUMMYFUNCTION("""COMPUTED_VALUE"""),6.0)</f>
        <v>6</v>
      </c>
      <c r="F1953" s="6">
        <f>IFERROR(__xludf.DUMMYFUNCTION("""COMPUTED_VALUE"""),6.0)</f>
        <v>6</v>
      </c>
      <c r="G1953" s="6">
        <f>IFERROR(__xludf.DUMMYFUNCTION("""COMPUTED_VALUE"""),0.0)</f>
        <v>0</v>
      </c>
      <c r="H1953" s="6" t="str">
        <f>IFERROR(__xludf.DUMMYFUNCTION("""COMPUTED_VALUE"""),"Pcs")</f>
        <v>Pcs</v>
      </c>
      <c r="I1953" s="6" t="str">
        <f>IFERROR(__xludf.DUMMYFUNCTION("""COMPUTED_VALUE"""),"RYP")</f>
        <v>RYP</v>
      </c>
      <c r="J1953" s="6" t="str">
        <f>IFERROR(__xludf.DUMMYFUNCTION("""COMPUTED_VALUE"""),"HC")</f>
        <v>HC</v>
      </c>
      <c r="K1953" s="6" t="str">
        <f>IFERROR(__xludf.DUMMYFUNCTION("""COMPUTED_VALUE"""),"SPR/04/25/019")</f>
        <v>SPR/04/25/019</v>
      </c>
      <c r="L1953" s="13">
        <f>IFERROR(__xludf.DUMMYFUNCTION("""COMPUTED_VALUE"""),45777.0)</f>
        <v>45777</v>
      </c>
    </row>
    <row r="1954">
      <c r="A1954" s="6" t="str">
        <f>IFERROR(__xludf.DUMMYFUNCTION("""COMPUTED_VALUE"""),"RIA")</f>
        <v>RIA</v>
      </c>
      <c r="B1954" s="6" t="str">
        <f>IFERROR(__xludf.DUMMYFUNCTION("""COMPUTED_VALUE"""),"ENG")</f>
        <v>ENG</v>
      </c>
      <c r="C1954" s="6" t="str">
        <f>IFERROR(__xludf.DUMMYFUNCTION("""COMPUTED_VALUE"""),"P-18554-00")</f>
        <v>P-18554-00</v>
      </c>
      <c r="D1954" s="6" t="str">
        <f>IFERROR(__xludf.DUMMYFUNCTION("""COMPUTED_VALUE"""),"Baut Hexagonal SS 304 Uk. M4 x 8; ; ;")</f>
        <v>Baut Hexagonal SS 304 Uk. M4 x 8; ; ;</v>
      </c>
      <c r="E1954" s="6">
        <f>IFERROR(__xludf.DUMMYFUNCTION("""COMPUTED_VALUE"""),5.0)</f>
        <v>5</v>
      </c>
      <c r="F1954" s="6">
        <f>IFERROR(__xludf.DUMMYFUNCTION("""COMPUTED_VALUE"""),5.0)</f>
        <v>5</v>
      </c>
      <c r="G1954" s="6">
        <f>IFERROR(__xludf.DUMMYFUNCTION("""COMPUTED_VALUE"""),0.0)</f>
        <v>0</v>
      </c>
      <c r="H1954" s="6" t="str">
        <f>IFERROR(__xludf.DUMMYFUNCTION("""COMPUTED_VALUE"""),"Pcs")</f>
        <v>Pcs</v>
      </c>
      <c r="I1954" s="6" t="str">
        <f>IFERROR(__xludf.DUMMYFUNCTION("""COMPUTED_VALUE"""),"RYP")</f>
        <v>RYP</v>
      </c>
      <c r="J1954" s="6" t="str">
        <f>IFERROR(__xludf.DUMMYFUNCTION("""COMPUTED_VALUE"""),"HC")</f>
        <v>HC</v>
      </c>
      <c r="K1954" s="6" t="str">
        <f>IFERROR(__xludf.DUMMYFUNCTION("""COMPUTED_VALUE"""),"SPR/04/25/019")</f>
        <v>SPR/04/25/019</v>
      </c>
      <c r="L1954" s="13">
        <f>IFERROR(__xludf.DUMMYFUNCTION("""COMPUTED_VALUE"""),45777.0)</f>
        <v>45777</v>
      </c>
    </row>
    <row r="1955">
      <c r="A1955" s="6" t="str">
        <f>IFERROR(__xludf.DUMMYFUNCTION("""COMPUTED_VALUE"""),"RIA")</f>
        <v>RIA</v>
      </c>
      <c r="B1955" s="6" t="str">
        <f>IFERROR(__xludf.DUMMYFUNCTION("""COMPUTED_VALUE"""),"ENG")</f>
        <v>ENG</v>
      </c>
      <c r="C1955" s="6" t="str">
        <f>IFERROR(__xludf.DUMMYFUNCTION("""COMPUTED_VALUE"""),"O-54013-00")</f>
        <v>O-54013-00</v>
      </c>
      <c r="D1955" s="6" t="str">
        <f>IFERROR(__xludf.DUMMYFUNCTION("""COMPUTED_VALUE"""),"SOCKET RJ 45")</f>
        <v>SOCKET RJ 45</v>
      </c>
      <c r="E1955" s="6">
        <f>IFERROR(__xludf.DUMMYFUNCTION("""COMPUTED_VALUE"""),4.0)</f>
        <v>4</v>
      </c>
      <c r="F1955" s="6">
        <f>IFERROR(__xludf.DUMMYFUNCTION("""COMPUTED_VALUE"""),4.0)</f>
        <v>4</v>
      </c>
      <c r="G1955" s="6">
        <f>IFERROR(__xludf.DUMMYFUNCTION("""COMPUTED_VALUE"""),0.0)</f>
        <v>0</v>
      </c>
      <c r="H1955" s="6" t="str">
        <f>IFERROR(__xludf.DUMMYFUNCTION("""COMPUTED_VALUE"""),"Pcs")</f>
        <v>Pcs</v>
      </c>
      <c r="I1955" s="6" t="str">
        <f>IFERROR(__xludf.DUMMYFUNCTION("""COMPUTED_VALUE"""),"RYP")</f>
        <v>RYP</v>
      </c>
      <c r="J1955" s="6" t="str">
        <f>IFERROR(__xludf.DUMMYFUNCTION("""COMPUTED_VALUE"""),"HC")</f>
        <v>HC</v>
      </c>
      <c r="K1955" s="6" t="str">
        <f>IFERROR(__xludf.DUMMYFUNCTION("""COMPUTED_VALUE"""),"SPR/04/25/019")</f>
        <v>SPR/04/25/019</v>
      </c>
      <c r="L1955" s="13">
        <f>IFERROR(__xludf.DUMMYFUNCTION("""COMPUTED_VALUE"""),45777.0)</f>
        <v>45777</v>
      </c>
    </row>
    <row r="1956">
      <c r="A1956" s="6" t="str">
        <f>IFERROR(__xludf.DUMMYFUNCTION("""COMPUTED_VALUE"""),"ANO")</f>
        <v>ANO</v>
      </c>
      <c r="B1956" s="6" t="str">
        <f>IFERROR(__xludf.DUMMYFUNCTION("""COMPUTED_VALUE"""),"ENG")</f>
        <v>ENG</v>
      </c>
      <c r="C1956" s="6" t="str">
        <f>IFERROR(__xludf.DUMMYFUNCTION("""COMPUTED_VALUE"""),"O-15573-00")</f>
        <v>O-15573-00</v>
      </c>
      <c r="D1956" s="6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E1956" s="6">
        <f>IFERROR(__xludf.DUMMYFUNCTION("""COMPUTED_VALUE"""),2.0)</f>
        <v>2</v>
      </c>
      <c r="F1956" s="6">
        <f>IFERROR(__xludf.DUMMYFUNCTION("""COMPUTED_VALUE"""),2.0)</f>
        <v>2</v>
      </c>
      <c r="G1956" s="6">
        <f>IFERROR(__xludf.DUMMYFUNCTION("""COMPUTED_VALUE"""),0.0)</f>
        <v>0</v>
      </c>
      <c r="H1956" s="6" t="str">
        <f>IFERROR(__xludf.DUMMYFUNCTION("""COMPUTED_VALUE"""),"-")</f>
        <v>-</v>
      </c>
      <c r="I1956" s="6" t="str">
        <f>IFERROR(__xludf.DUMMYFUNCTION("""COMPUTED_VALUE"""),"RYP")</f>
        <v>RYP</v>
      </c>
      <c r="J1956" s="6" t="str">
        <f>IFERROR(__xludf.DUMMYFUNCTION("""COMPUTED_VALUE"""),"EDM")</f>
        <v>EDM</v>
      </c>
      <c r="K1956" s="6" t="str">
        <f>IFERROR(__xludf.DUMMYFUNCTION("""COMPUTED_VALUE"""),"SPR/04/25/020")</f>
        <v>SPR/04/25/020</v>
      </c>
      <c r="L1956" s="13">
        <f>IFERROR(__xludf.DUMMYFUNCTION("""COMPUTED_VALUE"""),45777.0)</f>
        <v>45777</v>
      </c>
    </row>
    <row r="1957">
      <c r="A1957" s="6" t="str">
        <f>IFERROR(__xludf.DUMMYFUNCTION("""COMPUTED_VALUE"""),"AAA")</f>
        <v>AAA</v>
      </c>
      <c r="B1957" s="6" t="str">
        <f>IFERROR(__xludf.DUMMYFUNCTION("""COMPUTED_VALUE"""),"ENG")</f>
        <v>ENG</v>
      </c>
      <c r="C1957" s="6" t="str">
        <f>IFERROR(__xludf.DUMMYFUNCTION("""COMPUTED_VALUE"""),"O-53170-00")</f>
        <v>O-53170-00</v>
      </c>
      <c r="D1957" s="6" t="str">
        <f>IFERROR(__xludf.DUMMYFUNCTION("""COMPUTED_VALUE"""),"General - Mini Contactor B6-30-10-80 220...240 Vac ABB GJL1211001R8100")</f>
        <v>General - Mini Contactor B6-30-10-80 220...240 Vac ABB GJL1211001R8100</v>
      </c>
      <c r="E1957" s="6">
        <f>IFERROR(__xludf.DUMMYFUNCTION("""COMPUTED_VALUE"""),1.0)</f>
        <v>1</v>
      </c>
      <c r="F1957" s="6">
        <f>IFERROR(__xludf.DUMMYFUNCTION("""COMPUTED_VALUE"""),1.0)</f>
        <v>1</v>
      </c>
      <c r="G1957" s="6">
        <f>IFERROR(__xludf.DUMMYFUNCTION("""COMPUTED_VALUE"""),0.0)</f>
        <v>0</v>
      </c>
      <c r="H1957" s="6" t="str">
        <f>IFERROR(__xludf.DUMMYFUNCTION("""COMPUTED_VALUE"""),"Pcs")</f>
        <v>Pcs</v>
      </c>
      <c r="I1957" s="6" t="str">
        <f>IFERROR(__xludf.DUMMYFUNCTION("""COMPUTED_VALUE"""),"RYP")</f>
        <v>RYP</v>
      </c>
      <c r="J1957" s="6" t="str">
        <f>IFERROR(__xludf.DUMMYFUNCTION("""COMPUTED_VALUE"""),"Huber")</f>
        <v>Huber</v>
      </c>
      <c r="K1957" s="6" t="str">
        <f>IFERROR(__xludf.DUMMYFUNCTION("""COMPUTED_VALUE"""),"SPR/04/25/021")</f>
        <v>SPR/04/25/021</v>
      </c>
      <c r="L1957" s="13">
        <f>IFERROR(__xludf.DUMMYFUNCTION("""COMPUTED_VALUE"""),45777.0)</f>
        <v>45777</v>
      </c>
    </row>
    <row r="1958">
      <c r="A1958" s="6" t="str">
        <f>IFERROR(__xludf.DUMMYFUNCTION("""COMPUTED_VALUE"""),"AAA")</f>
        <v>AAA</v>
      </c>
      <c r="B1958" s="6" t="str">
        <f>IFERROR(__xludf.DUMMYFUNCTION("""COMPUTED_VALUE"""),"ENG")</f>
        <v>ENG</v>
      </c>
      <c r="C1958" s="6" t="str">
        <f>IFERROR(__xludf.DUMMYFUNCTION("""COMPUTED_VALUE"""),"O-53171-00")</f>
        <v>O-53171-00</v>
      </c>
      <c r="D1958" s="6" t="str">
        <f>IFERROR(__xludf.DUMMYFUNCTION("""COMPUTED_VALUE"""),"General - Three Phase Monitoring Cm-Pfs.S. ABB 1SVR730824R9300")</f>
        <v>General - Three Phase Monitoring Cm-Pfs.S. ABB 1SVR730824R9300</v>
      </c>
      <c r="E1958" s="6">
        <f>IFERROR(__xludf.DUMMYFUNCTION("""COMPUTED_VALUE"""),1.0)</f>
        <v>1</v>
      </c>
      <c r="F1958" s="6">
        <f>IFERROR(__xludf.DUMMYFUNCTION("""COMPUTED_VALUE"""),1.0)</f>
        <v>1</v>
      </c>
      <c r="G1958" s="6">
        <f>IFERROR(__xludf.DUMMYFUNCTION("""COMPUTED_VALUE"""),0.0)</f>
        <v>0</v>
      </c>
      <c r="H1958" s="6" t="str">
        <f>IFERROR(__xludf.DUMMYFUNCTION("""COMPUTED_VALUE"""),"Pcs")</f>
        <v>Pcs</v>
      </c>
      <c r="I1958" s="6" t="str">
        <f>IFERROR(__xludf.DUMMYFUNCTION("""COMPUTED_VALUE"""),"RYP")</f>
        <v>RYP</v>
      </c>
      <c r="J1958" s="6" t="str">
        <f>IFERROR(__xludf.DUMMYFUNCTION("""COMPUTED_VALUE"""),"Huber")</f>
        <v>Huber</v>
      </c>
      <c r="K1958" s="6" t="str">
        <f>IFERROR(__xludf.DUMMYFUNCTION("""COMPUTED_VALUE"""),"SPR/04/25/021")</f>
        <v>SPR/04/25/021</v>
      </c>
      <c r="L1958" s="13">
        <f>IFERROR(__xludf.DUMMYFUNCTION("""COMPUTED_VALUE"""),45777.0)</f>
        <v>45777</v>
      </c>
    </row>
    <row r="1959">
      <c r="A1959" s="6" t="str">
        <f>IFERROR(__xludf.DUMMYFUNCTION("""COMPUTED_VALUE"""),"AAA")</f>
        <v>AAA</v>
      </c>
      <c r="B1959" s="6" t="str">
        <f>IFERROR(__xludf.DUMMYFUNCTION("""COMPUTED_VALUE"""),"ENG")</f>
        <v>ENG</v>
      </c>
      <c r="C1959" s="6" t="str">
        <f>IFERROR(__xludf.DUMMYFUNCTION("""COMPUTED_VALUE"""),"O-53167-00")</f>
        <v>O-53167-00</v>
      </c>
      <c r="D1959" s="6" t="str">
        <f>IFERROR(__xludf.DUMMYFUNCTION("""COMPUTED_VALUE"""),"General - Manual Motor Starter 100 Ka MS 132-10 ABB 1SAM350000R1010")</f>
        <v>General - Manual Motor Starter 100 Ka MS 132-10 ABB 1SAM350000R1010</v>
      </c>
      <c r="E1959" s="6">
        <f>IFERROR(__xludf.DUMMYFUNCTION("""COMPUTED_VALUE"""),1.0)</f>
        <v>1</v>
      </c>
      <c r="F1959" s="6">
        <f>IFERROR(__xludf.DUMMYFUNCTION("""COMPUTED_VALUE"""),1.0)</f>
        <v>1</v>
      </c>
      <c r="G1959" s="6">
        <f>IFERROR(__xludf.DUMMYFUNCTION("""COMPUTED_VALUE"""),0.0)</f>
        <v>0</v>
      </c>
      <c r="H1959" s="6" t="str">
        <f>IFERROR(__xludf.DUMMYFUNCTION("""COMPUTED_VALUE"""),"Pcs")</f>
        <v>Pcs</v>
      </c>
      <c r="I1959" s="6" t="str">
        <f>IFERROR(__xludf.DUMMYFUNCTION("""COMPUTED_VALUE"""),"RYP")</f>
        <v>RYP</v>
      </c>
      <c r="J1959" s="6" t="str">
        <f>IFERROR(__xludf.DUMMYFUNCTION("""COMPUTED_VALUE"""),"Huber")</f>
        <v>Huber</v>
      </c>
      <c r="K1959" s="6" t="str">
        <f>IFERROR(__xludf.DUMMYFUNCTION("""COMPUTED_VALUE"""),"SPR/04/25/021")</f>
        <v>SPR/04/25/021</v>
      </c>
      <c r="L1959" s="13">
        <f>IFERROR(__xludf.DUMMYFUNCTION("""COMPUTED_VALUE"""),45777.0)</f>
        <v>45777</v>
      </c>
    </row>
    <row r="1960">
      <c r="A1960" s="6" t="str">
        <f>IFERROR(__xludf.DUMMYFUNCTION("""COMPUTED_VALUE"""),"AAA")</f>
        <v>AAA</v>
      </c>
      <c r="B1960" s="6" t="str">
        <f>IFERROR(__xludf.DUMMYFUNCTION("""COMPUTED_VALUE"""),"ENG")</f>
        <v>ENG</v>
      </c>
      <c r="C1960" s="6" t="str">
        <f>IFERROR(__xludf.DUMMYFUNCTION("""COMPUTED_VALUE"""),"O-53166-00")</f>
        <v>O-53166-00</v>
      </c>
      <c r="D1960" s="6" t="str">
        <f>IFERROR(__xludf.DUMMYFUNCTION("""COMPUTED_VALUE"""),"General - Contactor AX 12-30-10 220-230 Vac 50Hz ABB 1SBL911074R8010")</f>
        <v>General - Contactor AX 12-30-10 220-230 Vac 50Hz ABB 1SBL911074R8010</v>
      </c>
      <c r="E1960" s="6">
        <f>IFERROR(__xludf.DUMMYFUNCTION("""COMPUTED_VALUE"""),1.0)</f>
        <v>1</v>
      </c>
      <c r="F1960" s="6">
        <f>IFERROR(__xludf.DUMMYFUNCTION("""COMPUTED_VALUE"""),1.0)</f>
        <v>1</v>
      </c>
      <c r="G1960" s="6">
        <f>IFERROR(__xludf.DUMMYFUNCTION("""COMPUTED_VALUE"""),0.0)</f>
        <v>0</v>
      </c>
      <c r="H1960" s="6" t="str">
        <f>IFERROR(__xludf.DUMMYFUNCTION("""COMPUTED_VALUE"""),"Pcs")</f>
        <v>Pcs</v>
      </c>
      <c r="I1960" s="6" t="str">
        <f>IFERROR(__xludf.DUMMYFUNCTION("""COMPUTED_VALUE"""),"RYP")</f>
        <v>RYP</v>
      </c>
      <c r="J1960" s="6" t="str">
        <f>IFERROR(__xludf.DUMMYFUNCTION("""COMPUTED_VALUE"""),"Huber ")</f>
        <v>Huber </v>
      </c>
      <c r="K1960" s="6" t="str">
        <f>IFERROR(__xludf.DUMMYFUNCTION("""COMPUTED_VALUE"""),"SPR/04/25/022")</f>
        <v>SPR/04/25/022</v>
      </c>
      <c r="L1960" s="13">
        <f>IFERROR(__xludf.DUMMYFUNCTION("""COMPUTED_VALUE"""),45777.0)</f>
        <v>45777</v>
      </c>
    </row>
    <row r="1961">
      <c r="A1961" s="6" t="str">
        <f>IFERROR(__xludf.DUMMYFUNCTION("""COMPUTED_VALUE"""),"NDS")</f>
        <v>NDS</v>
      </c>
      <c r="B1961" s="6" t="str">
        <f>IFERROR(__xludf.DUMMYFUNCTION("""COMPUTED_VALUE"""),"ENG")</f>
        <v>ENG</v>
      </c>
      <c r="C1961" s="6" t="str">
        <f>IFERROR(__xludf.DUMMYFUNCTION("""COMPUTED_VALUE"""),"T-80109-00")</f>
        <v>T-80109-00</v>
      </c>
      <c r="D1961" s="6" t="str">
        <f>IFERROR(__xludf.DUMMYFUNCTION("""COMPUTED_VALUE"""),"Cellotape Kertas 1 inch warna Putih")</f>
        <v>Cellotape Kertas 1 inch warna Putih</v>
      </c>
      <c r="E1961" s="6">
        <f>IFERROR(__xludf.DUMMYFUNCTION("""COMPUTED_VALUE"""),2.0)</f>
        <v>2</v>
      </c>
      <c r="F1961" s="6">
        <f>IFERROR(__xludf.DUMMYFUNCTION("""COMPUTED_VALUE"""),2.0)</f>
        <v>2</v>
      </c>
      <c r="G1961" s="6">
        <f>IFERROR(__xludf.DUMMYFUNCTION("""COMPUTED_VALUE"""),0.0)</f>
        <v>0</v>
      </c>
      <c r="H1961" s="6" t="str">
        <f>IFERROR(__xludf.DUMMYFUNCTION("""COMPUTED_VALUE"""),"-")</f>
        <v>-</v>
      </c>
      <c r="I1961" s="6" t="str">
        <f>IFERROR(__xludf.DUMMYFUNCTION("""COMPUTED_VALUE"""),"RYP")</f>
        <v>RYP</v>
      </c>
      <c r="J1961" s="6" t="str">
        <f>IFERROR(__xludf.DUMMYFUNCTION("""COMPUTED_VALUE"""),"Filing")</f>
        <v>Filing</v>
      </c>
      <c r="K1961" s="6" t="str">
        <f>IFERROR(__xludf.DUMMYFUNCTION("""COMPUTED_VALUE"""),"SPR/04/25/023")</f>
        <v>SPR/04/25/023</v>
      </c>
      <c r="L1961" s="13">
        <f>IFERROR(__xludf.DUMMYFUNCTION("""COMPUTED_VALUE"""),45777.0)</f>
        <v>45777</v>
      </c>
    </row>
    <row r="1962">
      <c r="A1962" s="6" t="str">
        <f>IFERROR(__xludf.DUMMYFUNCTION("""COMPUTED_VALUE"""),"NDS")</f>
        <v>NDS</v>
      </c>
      <c r="B1962" s="6" t="str">
        <f>IFERROR(__xludf.DUMMYFUNCTION("""COMPUTED_VALUE"""),"ENG")</f>
        <v>ENG</v>
      </c>
      <c r="C1962" s="6" t="str">
        <f>IFERROR(__xludf.DUMMYFUNCTION("""COMPUTED_VALUE"""),"Q-60503-00")</f>
        <v>Q-60503-00</v>
      </c>
      <c r="D1962" s="6" t="str">
        <f>IFERROR(__xludf.DUMMYFUNCTION("""COMPUTED_VALUE"""),"Silicone Sealant, Silglaze, Type N10 Grey, pack size per pcs")</f>
        <v>Silicone Sealant, Silglaze, Type N10 Grey, pack size per pcs</v>
      </c>
      <c r="E1962" s="6">
        <f>IFERROR(__xludf.DUMMYFUNCTION("""COMPUTED_VALUE"""),1.0)</f>
        <v>1</v>
      </c>
      <c r="F1962" s="6">
        <f>IFERROR(__xludf.DUMMYFUNCTION("""COMPUTED_VALUE"""),1.0)</f>
        <v>1</v>
      </c>
      <c r="G1962" s="6">
        <f>IFERROR(__xludf.DUMMYFUNCTION("""COMPUTED_VALUE"""),0.0)</f>
        <v>0</v>
      </c>
      <c r="H1962" s="6" t="str">
        <f>IFERROR(__xludf.DUMMYFUNCTION("""COMPUTED_VALUE"""),"-")</f>
        <v>-</v>
      </c>
      <c r="I1962" s="6" t="str">
        <f>IFERROR(__xludf.DUMMYFUNCTION("""COMPUTED_VALUE"""),"RYP")</f>
        <v>RYP</v>
      </c>
      <c r="J1962" s="6" t="str">
        <f>IFERROR(__xludf.DUMMYFUNCTION("""COMPUTED_VALUE"""),"Filling")</f>
        <v>Filling</v>
      </c>
      <c r="K1962" s="6" t="str">
        <f>IFERROR(__xludf.DUMMYFUNCTION("""COMPUTED_VALUE"""),"SPR/04/25/023")</f>
        <v>SPR/04/25/023</v>
      </c>
      <c r="L1962" s="13">
        <f>IFERROR(__xludf.DUMMYFUNCTION("""COMPUTED_VALUE"""),45777.0)</f>
        <v>45777</v>
      </c>
    </row>
    <row r="1963">
      <c r="A1963" s="6" t="str">
        <f>IFERROR(__xludf.DUMMYFUNCTION("""COMPUTED_VALUE"""),"ROS")</f>
        <v>ROS</v>
      </c>
      <c r="B1963" s="6" t="str">
        <f>IFERROR(__xludf.DUMMYFUNCTION("""COMPUTED_VALUE"""),"ENG")</f>
        <v>ENG</v>
      </c>
      <c r="C1963" s="6" t="str">
        <f>IFERROR(__xludf.DUMMYFUNCTION("""COMPUTED_VALUE"""),"O-16030-00")</f>
        <v>O-16030-00</v>
      </c>
      <c r="D1963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1963" s="6">
        <f>IFERROR(__xludf.DUMMYFUNCTION("""COMPUTED_VALUE"""),1.0)</f>
        <v>1</v>
      </c>
      <c r="F1963" s="6">
        <f>IFERROR(__xludf.DUMMYFUNCTION("""COMPUTED_VALUE"""),1.0)</f>
        <v>1</v>
      </c>
      <c r="G1963" s="6">
        <f>IFERROR(__xludf.DUMMYFUNCTION("""COMPUTED_VALUE"""),0.0)</f>
        <v>0</v>
      </c>
      <c r="H1963" s="6" t="str">
        <f>IFERROR(__xludf.DUMMYFUNCTION("""COMPUTED_VALUE"""),"Pcs")</f>
        <v>Pcs</v>
      </c>
      <c r="I1963" s="6" t="str">
        <f>IFERROR(__xludf.DUMMYFUNCTION("""COMPUTED_VALUE"""),"RYP")</f>
        <v>RYP</v>
      </c>
      <c r="J1963" s="6" t="str">
        <f>IFERROR(__xludf.DUMMYFUNCTION("""COMPUTED_VALUE"""),"Isolator Api")</f>
        <v>Isolator Api</v>
      </c>
      <c r="K1963" s="6" t="str">
        <f>IFERROR(__xludf.DUMMYFUNCTION("""COMPUTED_VALUE"""),"SPR/04/25/024")</f>
        <v>SPR/04/25/024</v>
      </c>
      <c r="L1963" s="13">
        <f>IFERROR(__xludf.DUMMYFUNCTION("""COMPUTED_VALUE"""),45777.0)</f>
        <v>45777</v>
      </c>
    </row>
    <row r="1964">
      <c r="A1964" s="6" t="str">
        <f>IFERROR(__xludf.DUMMYFUNCTION("""COMPUTED_VALUE"""),"MRN")</f>
        <v>MRN</v>
      </c>
      <c r="B1964" s="6" t="str">
        <f>IFERROR(__xludf.DUMMYFUNCTION("""COMPUTED_VALUE"""),"ENG")</f>
        <v>ENG</v>
      </c>
      <c r="C1964" s="6" t="str">
        <f>IFERROR(__xludf.DUMMYFUNCTION("""COMPUTED_VALUE"""),"P-14453-00")</f>
        <v>P-14453-00</v>
      </c>
      <c r="D1964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1964" s="6">
        <f>IFERROR(__xludf.DUMMYFUNCTION("""COMPUTED_VALUE"""),1.0)</f>
        <v>1</v>
      </c>
      <c r="F1964" s="6">
        <f>IFERROR(__xludf.DUMMYFUNCTION("""COMPUTED_VALUE"""),1.0)</f>
        <v>1</v>
      </c>
      <c r="G1964" s="6">
        <f>IFERROR(__xludf.DUMMYFUNCTION("""COMPUTED_VALUE"""),0.0)</f>
        <v>0</v>
      </c>
      <c r="H1964" s="6" t="str">
        <f>IFERROR(__xludf.DUMMYFUNCTION("""COMPUTED_VALUE"""),"Pcs")</f>
        <v>Pcs</v>
      </c>
      <c r="I1964" s="6" t="str">
        <f>IFERROR(__xludf.DUMMYFUNCTION("""COMPUTED_VALUE"""),"RYP")</f>
        <v>RYP</v>
      </c>
      <c r="J1964" s="6" t="str">
        <f>IFERROR(__xludf.DUMMYFUNCTION("""COMPUTED_VALUE"""),"AHU")</f>
        <v>AHU</v>
      </c>
      <c r="K1964" s="6" t="str">
        <f>IFERROR(__xludf.DUMMYFUNCTION("""COMPUTED_VALUE"""),"SPR/04/25/025")</f>
        <v>SPR/04/25/025</v>
      </c>
      <c r="L1964" s="13">
        <f>IFERROR(__xludf.DUMMYFUNCTION("""COMPUTED_VALUE"""),45777.0)</f>
        <v>45777</v>
      </c>
    </row>
    <row r="1965">
      <c r="A1965" s="6" t="str">
        <f>IFERROR(__xludf.DUMMYFUNCTION("""COMPUTED_VALUE"""),"SHF")</f>
        <v>SHF</v>
      </c>
      <c r="B1965" s="6" t="str">
        <f>IFERROR(__xludf.DUMMYFUNCTION("""COMPUTED_VALUE"""),"ENG")</f>
        <v>ENG</v>
      </c>
      <c r="C1965" s="6" t="str">
        <f>IFERROR(__xludf.DUMMYFUNCTION("""COMPUTED_VALUE"""),"P-53209-00")</f>
        <v>P-53209-00</v>
      </c>
      <c r="D1965" s="6" t="str">
        <f>IFERROR(__xludf.DUMMYFUNCTION("""COMPUTED_VALUE"""),"CAPACITOR 3 uF, 220 V, 2 kutub")</f>
        <v>CAPACITOR 3 uF, 220 V, 2 kutub</v>
      </c>
      <c r="E1965" s="6" t="str">
        <f>IFERROR(__xludf.DUMMYFUNCTION("""COMPUTED_VALUE"""),"-")</f>
        <v>-</v>
      </c>
      <c r="F1965" s="6" t="str">
        <f>IFERROR(__xludf.DUMMYFUNCTION("""COMPUTED_VALUE"""),"-")</f>
        <v>-</v>
      </c>
      <c r="G1965" s="6" t="str">
        <f>IFERROR(__xludf.DUMMYFUNCTION("""COMPUTED_VALUE"""),"-")</f>
        <v>-</v>
      </c>
      <c r="H1965" s="6" t="str">
        <f>IFERROR(__xludf.DUMMYFUNCTION("""COMPUTED_VALUE"""),"Pcs")</f>
        <v>Pcs</v>
      </c>
      <c r="I1965" s="6" t="str">
        <f>IFERROR(__xludf.DUMMYFUNCTION("""COMPUTED_VALUE"""),"RYP")</f>
        <v>RYP</v>
      </c>
      <c r="J1965" s="6" t="str">
        <f>IFERROR(__xludf.DUMMYFUNCTION("""COMPUTED_VALUE"""),"Building")</f>
        <v>Building</v>
      </c>
      <c r="K1965" s="6" t="str">
        <f>IFERROR(__xludf.DUMMYFUNCTION("""COMPUTED_VALUE"""),"SPR/04/25/026")</f>
        <v>SPR/04/25/026</v>
      </c>
      <c r="L1965" s="13">
        <f>IFERROR(__xludf.DUMMYFUNCTION("""COMPUTED_VALUE"""),45777.0)</f>
        <v>45777</v>
      </c>
    </row>
    <row r="1966">
      <c r="A1966" s="6" t="str">
        <f>IFERROR(__xludf.DUMMYFUNCTION("""COMPUTED_VALUE"""),"MRN")</f>
        <v>MRN</v>
      </c>
      <c r="B1966" s="6" t="str">
        <f>IFERROR(__xludf.DUMMYFUNCTION("""COMPUTED_VALUE"""),"ENG")</f>
        <v>ENG</v>
      </c>
      <c r="C1966" s="6" t="str">
        <f>IFERROR(__xludf.DUMMYFUNCTION("""COMPUTED_VALUE"""),"P-54226-00")</f>
        <v>P-54226-00</v>
      </c>
      <c r="D1966" s="6" t="str">
        <f>IFERROR(__xludf.DUMMYFUNCTION("""COMPUTED_VALUE"""),"Pompa Celup SS SE-268 San-Ei; San-Ei; ;")</f>
        <v>Pompa Celup SS SE-268 San-Ei; San-Ei; ;</v>
      </c>
      <c r="E1966" s="6">
        <f>IFERROR(__xludf.DUMMYFUNCTION("""COMPUTED_VALUE"""),1.0)</f>
        <v>1</v>
      </c>
      <c r="F1966" s="6">
        <f>IFERROR(__xludf.DUMMYFUNCTION("""COMPUTED_VALUE"""),1.0)</f>
        <v>1</v>
      </c>
      <c r="G1966" s="6">
        <f>IFERROR(__xludf.DUMMYFUNCTION("""COMPUTED_VALUE"""),0.0)</f>
        <v>0</v>
      </c>
      <c r="H1966" s="6" t="str">
        <f>IFERROR(__xludf.DUMMYFUNCTION("""COMPUTED_VALUE"""),"Pcs")</f>
        <v>Pcs</v>
      </c>
      <c r="I1966" s="6" t="str">
        <f>IFERROR(__xludf.DUMMYFUNCTION("""COMPUTED_VALUE"""),"RYP")</f>
        <v>RYP</v>
      </c>
      <c r="J1966" s="6" t="str">
        <f>IFERROR(__xludf.DUMMYFUNCTION("""COMPUTED_VALUE"""),"WWIP")</f>
        <v>WWIP</v>
      </c>
      <c r="K1966" s="6" t="str">
        <f>IFERROR(__xludf.DUMMYFUNCTION("""COMPUTED_VALUE"""),"SPR/04/25/027")</f>
        <v>SPR/04/25/027</v>
      </c>
      <c r="L1966" s="13">
        <f>IFERROR(__xludf.DUMMYFUNCTION("""COMPUTED_VALUE"""),45777.0)</f>
        <v>45777</v>
      </c>
    </row>
    <row r="1967">
      <c r="A1967" s="6" t="str">
        <f>IFERROR(__xludf.DUMMYFUNCTION("""COMPUTED_VALUE"""),"SFH")</f>
        <v>SFH</v>
      </c>
      <c r="B1967" s="6" t="str">
        <f>IFERROR(__xludf.DUMMYFUNCTION("""COMPUTED_VALUE"""),"ENG")</f>
        <v>ENG</v>
      </c>
      <c r="C1967" s="6" t="str">
        <f>IFERROR(__xludf.DUMMYFUNCTION("""COMPUTED_VALUE"""),"P-51560-00")</f>
        <v>P-51560-00</v>
      </c>
      <c r="D1967" s="6" t="str">
        <f>IFERROR(__xludf.DUMMYFUNCTION("""COMPUTED_VALUE"""),"Lampu T5 28watt Putih; Phillips; ;")</f>
        <v>Lampu T5 28watt Putih; Phillips; ;</v>
      </c>
      <c r="E1967" s="6">
        <f>IFERROR(__xludf.DUMMYFUNCTION("""COMPUTED_VALUE"""),7.0)</f>
        <v>7</v>
      </c>
      <c r="F1967" s="6">
        <f>IFERROR(__xludf.DUMMYFUNCTION("""COMPUTED_VALUE"""),7.0)</f>
        <v>7</v>
      </c>
      <c r="G1967" s="6">
        <f>IFERROR(__xludf.DUMMYFUNCTION("""COMPUTED_VALUE"""),0.0)</f>
        <v>0</v>
      </c>
      <c r="H1967" s="6" t="str">
        <f>IFERROR(__xludf.DUMMYFUNCTION("""COMPUTED_VALUE"""),"Pcs ")</f>
        <v>Pcs </v>
      </c>
      <c r="I1967" s="6" t="str">
        <f>IFERROR(__xludf.DUMMYFUNCTION("""COMPUTED_VALUE"""),"RYP")</f>
        <v>RYP</v>
      </c>
      <c r="J1967" s="6" t="str">
        <f>IFERROR(__xludf.DUMMYFUNCTION("""COMPUTED_VALUE"""),"Building")</f>
        <v>Building</v>
      </c>
      <c r="K1967" s="6" t="str">
        <f>IFERROR(__xludf.DUMMYFUNCTION("""COMPUTED_VALUE"""),"SPR/04/25/028")</f>
        <v>SPR/04/25/028</v>
      </c>
      <c r="L1967" s="13">
        <f>IFERROR(__xludf.DUMMYFUNCTION("""COMPUTED_VALUE"""),45777.0)</f>
        <v>45777</v>
      </c>
    </row>
    <row r="1968">
      <c r="A1968" s="6" t="str">
        <f>IFERROR(__xludf.DUMMYFUNCTION("""COMPUTED_VALUE"""),"SFH")</f>
        <v>SFH</v>
      </c>
      <c r="B1968" s="6" t="str">
        <f>IFERROR(__xludf.DUMMYFUNCTION("""COMPUTED_VALUE"""),"ENG")</f>
        <v>ENG</v>
      </c>
      <c r="C1968" s="6" t="str">
        <f>IFERROR(__xludf.DUMMYFUNCTION("""COMPUTED_VALUE"""),"P-51559-00")</f>
        <v>P-51559-00</v>
      </c>
      <c r="D1968" s="6" t="str">
        <f>IFERROR(__xludf.DUMMYFUNCTION("""COMPUTED_VALUE"""),"Lampu T5 14watt Putih; Phillips; ;")</f>
        <v>Lampu T5 14watt Putih; Phillips; ;</v>
      </c>
      <c r="E1968" s="6">
        <f>IFERROR(__xludf.DUMMYFUNCTION("""COMPUTED_VALUE"""),2.0)</f>
        <v>2</v>
      </c>
      <c r="F1968" s="6">
        <f>IFERROR(__xludf.DUMMYFUNCTION("""COMPUTED_VALUE"""),2.0)</f>
        <v>2</v>
      </c>
      <c r="G1968" s="6">
        <f>IFERROR(__xludf.DUMMYFUNCTION("""COMPUTED_VALUE"""),0.0)</f>
        <v>0</v>
      </c>
      <c r="H1968" s="6" t="str">
        <f>IFERROR(__xludf.DUMMYFUNCTION("""COMPUTED_VALUE"""),"Pcs")</f>
        <v>Pcs</v>
      </c>
      <c r="I1968" s="6" t="str">
        <f>IFERROR(__xludf.DUMMYFUNCTION("""COMPUTED_VALUE"""),"RYP")</f>
        <v>RYP</v>
      </c>
      <c r="J1968" s="6" t="str">
        <f>IFERROR(__xludf.DUMMYFUNCTION("""COMPUTED_VALUE"""),"Building")</f>
        <v>Building</v>
      </c>
      <c r="K1968" s="6" t="str">
        <f>IFERROR(__xludf.DUMMYFUNCTION("""COMPUTED_VALUE"""),"SPR/04/25/028")</f>
        <v>SPR/04/25/028</v>
      </c>
      <c r="L1968" s="13">
        <f>IFERROR(__xludf.DUMMYFUNCTION("""COMPUTED_VALUE"""),45777.0)</f>
        <v>45777</v>
      </c>
    </row>
    <row r="1969">
      <c r="A1969" s="6" t="str">
        <f>IFERROR(__xludf.DUMMYFUNCTION("""COMPUTED_VALUE"""),"SFH")</f>
        <v>SFH</v>
      </c>
      <c r="B1969" s="6" t="str">
        <f>IFERROR(__xludf.DUMMYFUNCTION("""COMPUTED_VALUE"""),"ENG")</f>
        <v>ENG</v>
      </c>
      <c r="C1969" s="6" t="str">
        <f>IFERROR(__xludf.DUMMYFUNCTION("""COMPUTED_VALUE"""),"-")</f>
        <v>-</v>
      </c>
      <c r="D1969" s="6" t="str">
        <f>IFERROR(__xludf.DUMMYFUNCTION("""COMPUTED_VALUE"""),"Bolham tl 5")</f>
        <v>Bolham tl 5</v>
      </c>
      <c r="E1969" s="6">
        <f>IFERROR(__xludf.DUMMYFUNCTION("""COMPUTED_VALUE"""),1.0)</f>
        <v>1</v>
      </c>
      <c r="F1969" s="6">
        <f>IFERROR(__xludf.DUMMYFUNCTION("""COMPUTED_VALUE"""),1.0)</f>
        <v>1</v>
      </c>
      <c r="G1969" s="6">
        <f>IFERROR(__xludf.DUMMYFUNCTION("""COMPUTED_VALUE"""),0.0)</f>
        <v>0</v>
      </c>
      <c r="H1969" s="6" t="str">
        <f>IFERROR(__xludf.DUMMYFUNCTION("""COMPUTED_VALUE"""),"Pcs")</f>
        <v>Pcs</v>
      </c>
      <c r="I1969" s="6" t="str">
        <f>IFERROR(__xludf.DUMMYFUNCTION("""COMPUTED_VALUE"""),"RYP")</f>
        <v>RYP</v>
      </c>
      <c r="J1969" s="6" t="str">
        <f>IFERROR(__xludf.DUMMYFUNCTION("""COMPUTED_VALUE"""),"Building")</f>
        <v>Building</v>
      </c>
      <c r="K1969" s="6" t="str">
        <f>IFERROR(__xludf.DUMMYFUNCTION("""COMPUTED_VALUE"""),"SPR/04/25/028")</f>
        <v>SPR/04/25/028</v>
      </c>
      <c r="L1969" s="13">
        <f>IFERROR(__xludf.DUMMYFUNCTION("""COMPUTED_VALUE"""),45777.0)</f>
        <v>45777</v>
      </c>
    </row>
    <row r="1970">
      <c r="A1970" s="6" t="str">
        <f>IFERROR(__xludf.DUMMYFUNCTION("""COMPUTED_VALUE"""),"SHF")</f>
        <v>SHF</v>
      </c>
      <c r="B1970" s="6" t="str">
        <f>IFERROR(__xludf.DUMMYFUNCTION("""COMPUTED_VALUE"""),"ENG")</f>
        <v>ENG</v>
      </c>
      <c r="C1970" s="6" t="str">
        <f>IFERROR(__xludf.DUMMYFUNCTION("""COMPUTED_VALUE"""),"Q-10249-00")</f>
        <v>Q-10249-00</v>
      </c>
      <c r="D1970" s="6" t="str">
        <f>IFERROR(__xludf.DUMMYFUNCTION("""COMPUTED_VALUE"""),"Lem Power Glue")</f>
        <v>Lem Power Glue</v>
      </c>
      <c r="E1970" s="6">
        <f>IFERROR(__xludf.DUMMYFUNCTION("""COMPUTED_VALUE"""),16.0)</f>
        <v>16</v>
      </c>
      <c r="F1970" s="6">
        <f>IFERROR(__xludf.DUMMYFUNCTION("""COMPUTED_VALUE"""),16.0)</f>
        <v>16</v>
      </c>
      <c r="G1970" s="6" t="str">
        <f>IFERROR(__xludf.DUMMYFUNCTION("""COMPUTED_VALUE"""),"-")</f>
        <v>-</v>
      </c>
      <c r="H1970" s="6" t="str">
        <f>IFERROR(__xludf.DUMMYFUNCTION("""COMPUTED_VALUE"""),"-")</f>
        <v>-</v>
      </c>
      <c r="I1970" s="6" t="str">
        <f>IFERROR(__xludf.DUMMYFUNCTION("""COMPUTED_VALUE"""),"RYP")</f>
        <v>RYP</v>
      </c>
      <c r="J1970" s="6" t="str">
        <f>IFERROR(__xludf.DUMMYFUNCTION("""COMPUTED_VALUE"""),"other")</f>
        <v>other</v>
      </c>
      <c r="K1970" s="6" t="str">
        <f>IFERROR(__xludf.DUMMYFUNCTION("""COMPUTED_VALUE"""),"SPR/04/25/029")</f>
        <v>SPR/04/25/029</v>
      </c>
      <c r="L1970" s="13">
        <f>IFERROR(__xludf.DUMMYFUNCTION("""COMPUTED_VALUE"""),45777.0)</f>
        <v>45777</v>
      </c>
    </row>
    <row r="1971">
      <c r="A1971" s="6" t="str">
        <f>IFERROR(__xludf.DUMMYFUNCTION("""COMPUTED_VALUE"""),"MAP")</f>
        <v>MAP</v>
      </c>
      <c r="B1971" s="6" t="str">
        <f>IFERROR(__xludf.DUMMYFUNCTION("""COMPUTED_VALUE"""),"ENG")</f>
        <v>ENG</v>
      </c>
      <c r="C1971" s="6" t="str">
        <f>IFERROR(__xludf.DUMMYFUNCTION("""COMPUTED_VALUE"""),"P-53169-00")</f>
        <v>P-53169-00</v>
      </c>
      <c r="D1971" s="6" t="str">
        <f>IFERROR(__xludf.DUMMYFUNCTION("""COMPUTED_VALUE"""),"Ballast Electronic EB-C 228 TL5, 2x28W; Phillips; ;")</f>
        <v>Ballast Electronic EB-C 228 TL5, 2x28W; Phillips; ;</v>
      </c>
      <c r="E1971" s="6">
        <f>IFERROR(__xludf.DUMMYFUNCTION("""COMPUTED_VALUE"""),1.0)</f>
        <v>1</v>
      </c>
      <c r="F1971" s="6">
        <f>IFERROR(__xludf.DUMMYFUNCTION("""COMPUTED_VALUE"""),1.0)</f>
        <v>1</v>
      </c>
      <c r="G1971" s="6">
        <f>IFERROR(__xludf.DUMMYFUNCTION("""COMPUTED_VALUE"""),0.0)</f>
        <v>0</v>
      </c>
      <c r="H1971" s="6" t="str">
        <f>IFERROR(__xludf.DUMMYFUNCTION("""COMPUTED_VALUE"""),"Pcs")</f>
        <v>Pcs</v>
      </c>
      <c r="I1971" s="6" t="str">
        <f>IFERROR(__xludf.DUMMYFUNCTION("""COMPUTED_VALUE"""),"RYP")</f>
        <v>RYP</v>
      </c>
      <c r="J1971" s="6" t="str">
        <f>IFERROR(__xludf.DUMMYFUNCTION("""COMPUTED_VALUE"""),"floor GC")</f>
        <v>floor GC</v>
      </c>
      <c r="K1971" s="6" t="str">
        <f>IFERROR(__xludf.DUMMYFUNCTION("""COMPUTED_VALUE"""),"SPR/04/25/030")</f>
        <v>SPR/04/25/030</v>
      </c>
      <c r="L1971" s="13">
        <f>IFERROR(__xludf.DUMMYFUNCTION("""COMPUTED_VALUE"""),45777.0)</f>
        <v>45777</v>
      </c>
    </row>
    <row r="1972">
      <c r="A1972" s="6" t="str">
        <f>IFERROR(__xludf.DUMMYFUNCTION("""COMPUTED_VALUE"""),"MAP")</f>
        <v>MAP</v>
      </c>
      <c r="B1972" s="6" t="str">
        <f>IFERROR(__xludf.DUMMYFUNCTION("""COMPUTED_VALUE"""),"ENG")</f>
        <v>ENG</v>
      </c>
      <c r="C1972" s="6" t="str">
        <f>IFERROR(__xludf.DUMMYFUNCTION("""COMPUTED_VALUE"""),"P-51560-00")</f>
        <v>P-51560-00</v>
      </c>
      <c r="D1972" s="6" t="str">
        <f>IFERROR(__xludf.DUMMYFUNCTION("""COMPUTED_VALUE"""),"Lampu T5 28watt Putih; Phillips; ;")</f>
        <v>Lampu T5 28watt Putih; Phillips; ;</v>
      </c>
      <c r="E1972" s="6">
        <f>IFERROR(__xludf.DUMMYFUNCTION("""COMPUTED_VALUE"""),4.0)</f>
        <v>4</v>
      </c>
      <c r="F1972" s="6">
        <f>IFERROR(__xludf.DUMMYFUNCTION("""COMPUTED_VALUE"""),4.0)</f>
        <v>4</v>
      </c>
      <c r="G1972" s="6">
        <f>IFERROR(__xludf.DUMMYFUNCTION("""COMPUTED_VALUE"""),0.0)</f>
        <v>0</v>
      </c>
      <c r="H1972" s="6" t="str">
        <f>IFERROR(__xludf.DUMMYFUNCTION("""COMPUTED_VALUE"""),"Pcs")</f>
        <v>Pcs</v>
      </c>
      <c r="I1972" s="6" t="str">
        <f>IFERROR(__xludf.DUMMYFUNCTION("""COMPUTED_VALUE"""),"RYP")</f>
        <v>RYP</v>
      </c>
      <c r="J1972" s="6" t="str">
        <f>IFERROR(__xludf.DUMMYFUNCTION("""COMPUTED_VALUE"""),"Floor GC")</f>
        <v>Floor GC</v>
      </c>
      <c r="K1972" s="6" t="str">
        <f>IFERROR(__xludf.DUMMYFUNCTION("""COMPUTED_VALUE"""),"SPR/04/25/030")</f>
        <v>SPR/04/25/030</v>
      </c>
      <c r="L1972" s="13">
        <f>IFERROR(__xludf.DUMMYFUNCTION("""COMPUTED_VALUE"""),45777.0)</f>
        <v>45777</v>
      </c>
    </row>
    <row r="1973">
      <c r="A1973" s="6" t="str">
        <f>IFERROR(__xludf.DUMMYFUNCTION("""COMPUTED_VALUE"""),"AAA")</f>
        <v>AAA</v>
      </c>
      <c r="B1973" s="6" t="str">
        <f>IFERROR(__xludf.DUMMYFUNCTION("""COMPUTED_VALUE"""),"ENG")</f>
        <v>ENG</v>
      </c>
      <c r="C1973" s="6" t="str">
        <f>IFERROR(__xludf.DUMMYFUNCTION("""COMPUTED_VALUE"""),"P-53411-00")</f>
        <v>P-53411-00</v>
      </c>
      <c r="D1973" s="6" t="str">
        <f>IFERROR(__xludf.DUMMYFUNCTION("""COMPUTED_VALUE"""),"General - Power Supply ECO 1-PH 24VDC 5A; Wago; 787-722; 1 pc")</f>
        <v>General - Power Supply ECO 1-PH 24VDC 5A; Wago; 787-722; 1 pc</v>
      </c>
      <c r="E1973" s="6">
        <f>IFERROR(__xludf.DUMMYFUNCTION("""COMPUTED_VALUE"""),2.0)</f>
        <v>2</v>
      </c>
      <c r="F1973" s="6">
        <f>IFERROR(__xludf.DUMMYFUNCTION("""COMPUTED_VALUE"""),2.0)</f>
        <v>2</v>
      </c>
      <c r="G1973" s="6">
        <f>IFERROR(__xludf.DUMMYFUNCTION("""COMPUTED_VALUE"""),0.0)</f>
        <v>0</v>
      </c>
      <c r="H1973" s="6" t="str">
        <f>IFERROR(__xludf.DUMMYFUNCTION("""COMPUTED_VALUE"""),"Pcs")</f>
        <v>Pcs</v>
      </c>
      <c r="I1973" s="6" t="str">
        <f>IFERROR(__xludf.DUMMYFUNCTION("""COMPUTED_VALUE"""),"RYP")</f>
        <v>RYP</v>
      </c>
      <c r="J1973" s="6" t="str">
        <f>IFERROR(__xludf.DUMMYFUNCTION("""COMPUTED_VALUE"""),"Isolator")</f>
        <v>Isolator</v>
      </c>
      <c r="K1973" s="6" t="str">
        <f>IFERROR(__xludf.DUMMYFUNCTION("""COMPUTED_VALUE"""),"SPR/04/25/031")</f>
        <v>SPR/04/25/031</v>
      </c>
      <c r="L1973" s="13">
        <f>IFERROR(__xludf.DUMMYFUNCTION("""COMPUTED_VALUE"""),45777.0)</f>
        <v>45777</v>
      </c>
    </row>
    <row r="1974">
      <c r="A1974" s="6" t="str">
        <f>IFERROR(__xludf.DUMMYFUNCTION("""COMPUTED_VALUE"""),"SFH")</f>
        <v>SFH</v>
      </c>
      <c r="B1974" s="6" t="str">
        <f>IFERROR(__xludf.DUMMYFUNCTION("""COMPUTED_VALUE"""),"ENG")</f>
        <v>ENG</v>
      </c>
      <c r="C1974" s="6" t="str">
        <f>IFERROR(__xludf.DUMMYFUNCTION("""COMPUTED_VALUE"""),"T-80109-00")</f>
        <v>T-80109-00</v>
      </c>
      <c r="D1974" s="6" t="str">
        <f>IFERROR(__xludf.DUMMYFUNCTION("""COMPUTED_VALUE"""),"Cellotape Kertas 1 inch warna Putih")</f>
        <v>Cellotape Kertas 1 inch warna Putih</v>
      </c>
      <c r="E1974" s="6">
        <f>IFERROR(__xludf.DUMMYFUNCTION("""COMPUTED_VALUE"""),4.0)</f>
        <v>4</v>
      </c>
      <c r="F1974" s="6">
        <f>IFERROR(__xludf.DUMMYFUNCTION("""COMPUTED_VALUE"""),4.0)</f>
        <v>4</v>
      </c>
      <c r="G1974" s="6">
        <f>IFERROR(__xludf.DUMMYFUNCTION("""COMPUTED_VALUE"""),0.0)</f>
        <v>0</v>
      </c>
      <c r="H1974" s="6" t="str">
        <f>IFERROR(__xludf.DUMMYFUNCTION("""COMPUTED_VALUE"""),"P4")</f>
        <v>P4</v>
      </c>
      <c r="I1974" s="6" t="str">
        <f>IFERROR(__xludf.DUMMYFUNCTION("""COMPUTED_VALUE"""),"RYP")</f>
        <v>RYP</v>
      </c>
      <c r="J1974" s="6" t="str">
        <f>IFERROR(__xludf.DUMMYFUNCTION("""COMPUTED_VALUE"""),"Floor2")</f>
        <v>Floor2</v>
      </c>
      <c r="K1974" s="6" t="str">
        <f>IFERROR(__xludf.DUMMYFUNCTION("""COMPUTED_VALUE"""),"SPR/04/25/032")</f>
        <v>SPR/04/25/032</v>
      </c>
      <c r="L1974" s="13">
        <f>IFERROR(__xludf.DUMMYFUNCTION("""COMPUTED_VALUE"""),45777.0)</f>
        <v>45777</v>
      </c>
    </row>
    <row r="1975">
      <c r="A1975" s="6" t="str">
        <f>IFERROR(__xludf.DUMMYFUNCTION("""COMPUTED_VALUE"""),"MRN")</f>
        <v>MRN</v>
      </c>
      <c r="B1975" s="6" t="str">
        <f>IFERROR(__xludf.DUMMYFUNCTION("""COMPUTED_VALUE"""),"ENG")</f>
        <v>ENG</v>
      </c>
      <c r="C1975" s="6" t="str">
        <f>IFERROR(__xludf.DUMMYFUNCTION("""COMPUTED_VALUE"""),"O-12733-00")</f>
        <v>O-12733-00</v>
      </c>
      <c r="D1975" s="6" t="str">
        <f>IFERROR(__xludf.DUMMYFUNCTION("""COMPUTED_VALUE"""),"Tubing Polyurethane TU1065 Clear, SMC, roll SINAR MUTIARA CAKRABUANA, PT P/N : X3 pc")</f>
        <v>Tubing Polyurethane TU1065 Clear, SMC, roll SINAR MUTIARA CAKRABUANA, PT P/N : X3 pc</v>
      </c>
      <c r="E1975" s="6">
        <f>IFERROR(__xludf.DUMMYFUNCTION("""COMPUTED_VALUE"""),10.0)</f>
        <v>10</v>
      </c>
      <c r="F1975" s="6">
        <f>IFERROR(__xludf.DUMMYFUNCTION("""COMPUTED_VALUE"""),10.0)</f>
        <v>10</v>
      </c>
      <c r="G1975" s="6">
        <f>IFERROR(__xludf.DUMMYFUNCTION("""COMPUTED_VALUE"""),0.0)</f>
        <v>0</v>
      </c>
      <c r="H1975" s="6" t="str">
        <f>IFERROR(__xludf.DUMMYFUNCTION("""COMPUTED_VALUE"""),"mtr")</f>
        <v>mtr</v>
      </c>
      <c r="I1975" s="6" t="str">
        <f>IFERROR(__xludf.DUMMYFUNCTION("""COMPUTED_VALUE"""),"RYP")</f>
        <v>RYP</v>
      </c>
      <c r="J1975" s="6" t="str">
        <f>IFERROR(__xludf.DUMMYFUNCTION("""COMPUTED_VALUE"""),"Pw Gen")</f>
        <v>Pw Gen</v>
      </c>
      <c r="K1975" s="6" t="str">
        <f>IFERROR(__xludf.DUMMYFUNCTION("""COMPUTED_VALUE"""),"SPR/04/25/033")</f>
        <v>SPR/04/25/033</v>
      </c>
      <c r="L1975" s="13">
        <f>IFERROR(__xludf.DUMMYFUNCTION("""COMPUTED_VALUE"""),45777.0)</f>
        <v>45777</v>
      </c>
    </row>
    <row r="1976">
      <c r="A1976" s="6" t="str">
        <f>IFERROR(__xludf.DUMMYFUNCTION("""COMPUTED_VALUE"""),"MRN")</f>
        <v>MRN</v>
      </c>
      <c r="B1976" s="6" t="str">
        <f>IFERROR(__xludf.DUMMYFUNCTION("""COMPUTED_VALUE"""),"ENG")</f>
        <v>ENG</v>
      </c>
      <c r="C1976" s="6" t="str">
        <f>IFERROR(__xludf.DUMMYFUNCTION("""COMPUTED_VALUE"""),"P-13389-00")</f>
        <v>P-13389-00</v>
      </c>
      <c r="D1976" s="6" t="str">
        <f>IFERROR(__xludf.DUMMYFUNCTION("""COMPUTED_VALUE"""),"Scotch Brite 3M; ; ;")</f>
        <v>Scotch Brite 3M; ; ;</v>
      </c>
      <c r="E1976" s="6">
        <f>IFERROR(__xludf.DUMMYFUNCTION("""COMPUTED_VALUE"""),1.0)</f>
        <v>1</v>
      </c>
      <c r="F1976" s="6">
        <f>IFERROR(__xludf.DUMMYFUNCTION("""COMPUTED_VALUE"""),1.0)</f>
        <v>1</v>
      </c>
      <c r="G1976" s="6">
        <f>IFERROR(__xludf.DUMMYFUNCTION("""COMPUTED_VALUE"""),0.0)</f>
        <v>0</v>
      </c>
      <c r="H1976" s="6" t="str">
        <f>IFERROR(__xludf.DUMMYFUNCTION("""COMPUTED_VALUE"""),"Pcs")</f>
        <v>Pcs</v>
      </c>
      <c r="I1976" s="6" t="str">
        <f>IFERROR(__xludf.DUMMYFUNCTION("""COMPUTED_VALUE"""),"RYP")</f>
        <v>RYP</v>
      </c>
      <c r="J1976" s="6" t="str">
        <f>IFERROR(__xludf.DUMMYFUNCTION("""COMPUTED_VALUE"""),"PW GEN")</f>
        <v>PW GEN</v>
      </c>
      <c r="K1976" s="6" t="str">
        <f>IFERROR(__xludf.DUMMYFUNCTION("""COMPUTED_VALUE"""),"SPR/04/25/033")</f>
        <v>SPR/04/25/033</v>
      </c>
      <c r="L1976" s="13">
        <f>IFERROR(__xludf.DUMMYFUNCTION("""COMPUTED_VALUE"""),45777.0)</f>
        <v>45777</v>
      </c>
    </row>
    <row r="1977">
      <c r="A1977" s="6" t="str">
        <f>IFERROR(__xludf.DUMMYFUNCTION("""COMPUTED_VALUE"""),"ANO")</f>
        <v>ANO</v>
      </c>
      <c r="B1977" s="6" t="str">
        <f>IFERROR(__xludf.DUMMYFUNCTION("""COMPUTED_VALUE"""),"ENG")</f>
        <v>ENG</v>
      </c>
      <c r="C1977" s="6" t="str">
        <f>IFERROR(__xludf.DUMMYFUNCTION("""COMPUTED_VALUE"""),"P-10398-00")</f>
        <v>P-10398-00</v>
      </c>
      <c r="D1977" s="6" t="str">
        <f>IFERROR(__xludf.DUMMYFUNCTION("""COMPUTED_VALUE"""),"Ball Valve SS 316 1/2"" 1000 WOG SANKYO")</f>
        <v>Ball Valve SS 316 1/2" 1000 WOG SANKYO</v>
      </c>
      <c r="E1977" s="6" t="str">
        <f>IFERROR(__xludf.DUMMYFUNCTION("""COMPUTED_VALUE"""),"-")</f>
        <v>-</v>
      </c>
      <c r="F1977" s="6" t="str">
        <f>IFERROR(__xludf.DUMMYFUNCTION("""COMPUTED_VALUE"""),"-")</f>
        <v>-</v>
      </c>
      <c r="G1977" s="6" t="str">
        <f>IFERROR(__xludf.DUMMYFUNCTION("""COMPUTED_VALUE"""),"-")</f>
        <v>-</v>
      </c>
      <c r="H1977" s="6" t="str">
        <f>IFERROR(__xludf.DUMMYFUNCTION("""COMPUTED_VALUE"""),"-")</f>
        <v>-</v>
      </c>
      <c r="I1977" s="6" t="str">
        <f>IFERROR(__xludf.DUMMYFUNCTION("""COMPUTED_VALUE"""),"RYP")</f>
        <v>RYP</v>
      </c>
      <c r="J1977" s="6" t="str">
        <f>IFERROR(__xludf.DUMMYFUNCTION("""COMPUTED_VALUE"""),"Autoclave")</f>
        <v>Autoclave</v>
      </c>
      <c r="K1977" s="6" t="str">
        <f>IFERROR(__xludf.DUMMYFUNCTION("""COMPUTED_VALUE"""),"SPR/04/25/034")</f>
        <v>SPR/04/25/034</v>
      </c>
      <c r="L1977" s="13">
        <f>IFERROR(__xludf.DUMMYFUNCTION("""COMPUTED_VALUE"""),45777.0)</f>
        <v>45777</v>
      </c>
    </row>
    <row r="1978">
      <c r="A1978" s="6" t="str">
        <f>IFERROR(__xludf.DUMMYFUNCTION("""COMPUTED_VALUE"""),"MOB")</f>
        <v>MOB</v>
      </c>
      <c r="B1978" s="6" t="str">
        <f>IFERROR(__xludf.DUMMYFUNCTION("""COMPUTED_VALUE"""),"ENG")</f>
        <v>ENG</v>
      </c>
      <c r="C1978" s="6" t="str">
        <f>IFERROR(__xludf.DUMMYFUNCTION("""COMPUTED_VALUE"""),"Q-10153-00")</f>
        <v>Q-10153-00</v>
      </c>
      <c r="D1978" s="6" t="str">
        <f>IFERROR(__xludf.DUMMYFUNCTION("""COMPUTED_VALUE"""),"Roller cat 110mm")</f>
        <v>Roller cat 110mm</v>
      </c>
      <c r="E1978" s="6">
        <f>IFERROR(__xludf.DUMMYFUNCTION("""COMPUTED_VALUE"""),2.0)</f>
        <v>2</v>
      </c>
      <c r="F1978" s="6">
        <f>IFERROR(__xludf.DUMMYFUNCTION("""COMPUTED_VALUE"""),2.0)</f>
        <v>2</v>
      </c>
      <c r="G1978" s="6">
        <f>IFERROR(__xludf.DUMMYFUNCTION("""COMPUTED_VALUE"""),0.0)</f>
        <v>0</v>
      </c>
      <c r="H1978" s="6" t="str">
        <f>IFERROR(__xludf.DUMMYFUNCTION("""COMPUTED_VALUE"""),"Pcs")</f>
        <v>Pcs</v>
      </c>
      <c r="I1978" s="6" t="str">
        <f>IFERROR(__xludf.DUMMYFUNCTION("""COMPUTED_VALUE"""),"RYP")</f>
        <v>RYP</v>
      </c>
      <c r="J1978" s="6" t="str">
        <f>IFERROR(__xludf.DUMMYFUNCTION("""COMPUTED_VALUE"""),"Machine ")</f>
        <v>Machine </v>
      </c>
      <c r="K1978" s="6" t="str">
        <f>IFERROR(__xludf.DUMMYFUNCTION("""COMPUTED_VALUE"""),"SPR/04/25/035")</f>
        <v>SPR/04/25/035</v>
      </c>
      <c r="L1978" s="13">
        <f>IFERROR(__xludf.DUMMYFUNCTION("""COMPUTED_VALUE"""),45777.0)</f>
        <v>45777</v>
      </c>
    </row>
    <row r="1979">
      <c r="A1979" s="6" t="str">
        <f>IFERROR(__xludf.DUMMYFUNCTION("""COMPUTED_VALUE"""),"MOB")</f>
        <v>MOB</v>
      </c>
      <c r="B1979" s="6" t="str">
        <f>IFERROR(__xludf.DUMMYFUNCTION("""COMPUTED_VALUE"""),"ENG")</f>
        <v>ENG</v>
      </c>
      <c r="C1979" s="6" t="str">
        <f>IFERROR(__xludf.DUMMYFUNCTION("""COMPUTED_VALUE"""),"Q-10128-00")</f>
        <v>Q-10128-00</v>
      </c>
      <c r="D1979" s="6" t="str">
        <f>IFERROR(__xludf.DUMMYFUNCTION("""COMPUTED_VALUE"""),"Thinner;Impala;;pack size per can")</f>
        <v>Thinner;Impala;;pack size per can</v>
      </c>
      <c r="E1979" s="6">
        <f>IFERROR(__xludf.DUMMYFUNCTION("""COMPUTED_VALUE"""),2.0)</f>
        <v>2</v>
      </c>
      <c r="F1979" s="6">
        <f>IFERROR(__xludf.DUMMYFUNCTION("""COMPUTED_VALUE"""),2.0)</f>
        <v>2</v>
      </c>
      <c r="G1979" s="6">
        <f>IFERROR(__xludf.DUMMYFUNCTION("""COMPUTED_VALUE"""),0.0)</f>
        <v>0</v>
      </c>
      <c r="H1979" s="6" t="str">
        <f>IFERROR(__xludf.DUMMYFUNCTION("""COMPUTED_VALUE"""),"Klng")</f>
        <v>Klng</v>
      </c>
      <c r="I1979" s="6" t="str">
        <f>IFERROR(__xludf.DUMMYFUNCTION("""COMPUTED_VALUE"""),"RYP")</f>
        <v>RYP</v>
      </c>
      <c r="J1979" s="6" t="str">
        <f>IFERROR(__xludf.DUMMYFUNCTION("""COMPUTED_VALUE"""),"Machine ")</f>
        <v>Machine </v>
      </c>
      <c r="K1979" s="6" t="str">
        <f>IFERROR(__xludf.DUMMYFUNCTION("""COMPUTED_VALUE"""),"SPR/04/25/035")</f>
        <v>SPR/04/25/035</v>
      </c>
      <c r="L1979" s="13">
        <f>IFERROR(__xludf.DUMMYFUNCTION("""COMPUTED_VALUE"""),45777.0)</f>
        <v>45777</v>
      </c>
    </row>
    <row r="1980">
      <c r="A1980" s="6" t="str">
        <f>IFERROR(__xludf.DUMMYFUNCTION("""COMPUTED_VALUE"""),"MOB")</f>
        <v>MOB</v>
      </c>
      <c r="B1980" s="6" t="str">
        <f>IFERROR(__xludf.DUMMYFUNCTION("""COMPUTED_VALUE"""),"ENG")</f>
        <v>ENG</v>
      </c>
      <c r="C1980" s="6" t="str">
        <f>IFERROR(__xludf.DUMMYFUNCTION("""COMPUTED_VALUE"""),"Q-10656-00")</f>
        <v>Q-10656-00</v>
      </c>
      <c r="D1980" s="6" t="str">
        <f>IFERROR(__xludf.DUMMYFUNCTION("""COMPUTED_VALUE"""),"Kuas Cat Uk. 5 inch;No Brand;;pack size per pcs")</f>
        <v>Kuas Cat Uk. 5 inch;No Brand;;pack size per pcs</v>
      </c>
      <c r="E1980" s="6">
        <f>IFERROR(__xludf.DUMMYFUNCTION("""COMPUTED_VALUE"""),1.0)</f>
        <v>1</v>
      </c>
      <c r="F1980" s="6">
        <f>IFERROR(__xludf.DUMMYFUNCTION("""COMPUTED_VALUE"""),1.0)</f>
        <v>1</v>
      </c>
      <c r="G1980" s="6">
        <f>IFERROR(__xludf.DUMMYFUNCTION("""COMPUTED_VALUE"""),0.0)</f>
        <v>0</v>
      </c>
      <c r="H1980" s="6" t="str">
        <f>IFERROR(__xludf.DUMMYFUNCTION("""COMPUTED_VALUE"""),"Pcs")</f>
        <v>Pcs</v>
      </c>
      <c r="I1980" s="6" t="str">
        <f>IFERROR(__xludf.DUMMYFUNCTION("""COMPUTED_VALUE"""),"RYP")</f>
        <v>RYP</v>
      </c>
      <c r="J1980" s="6" t="str">
        <f>IFERROR(__xludf.DUMMYFUNCTION("""COMPUTED_VALUE"""),"Building")</f>
        <v>Building</v>
      </c>
      <c r="K1980" s="6" t="str">
        <f>IFERROR(__xludf.DUMMYFUNCTION("""COMPUTED_VALUE"""),"SPR/04/25/035")</f>
        <v>SPR/04/25/035</v>
      </c>
      <c r="L1980" s="13">
        <f>IFERROR(__xludf.DUMMYFUNCTION("""COMPUTED_VALUE"""),45777.0)</f>
        <v>45777</v>
      </c>
    </row>
    <row r="1981">
      <c r="A1981" s="6" t="str">
        <f>IFERROR(__xludf.DUMMYFUNCTION("""COMPUTED_VALUE"""),"MOB")</f>
        <v>MOB</v>
      </c>
      <c r="B1981" s="6" t="str">
        <f>IFERROR(__xludf.DUMMYFUNCTION("""COMPUTED_VALUE"""),"ENG")</f>
        <v>ENG</v>
      </c>
      <c r="C1981" s="6" t="str">
        <f>IFERROR(__xludf.DUMMYFUNCTION("""COMPUTED_VALUE"""),"P-13389-00")</f>
        <v>P-13389-00</v>
      </c>
      <c r="D1981" s="6" t="str">
        <f>IFERROR(__xludf.DUMMYFUNCTION("""COMPUTED_VALUE"""),"Scotch Brite 3M; ; ;")</f>
        <v>Scotch Brite 3M; ; ;</v>
      </c>
      <c r="E1981" s="6">
        <f>IFERROR(__xludf.DUMMYFUNCTION("""COMPUTED_VALUE"""),1.0)</f>
        <v>1</v>
      </c>
      <c r="F1981" s="6">
        <f>IFERROR(__xludf.DUMMYFUNCTION("""COMPUTED_VALUE"""),1.0)</f>
        <v>1</v>
      </c>
      <c r="G1981" s="6">
        <f>IFERROR(__xludf.DUMMYFUNCTION("""COMPUTED_VALUE"""),0.0)</f>
        <v>0</v>
      </c>
      <c r="H1981" s="6" t="str">
        <f>IFERROR(__xludf.DUMMYFUNCTION("""COMPUTED_VALUE"""),"Pcs")</f>
        <v>Pcs</v>
      </c>
      <c r="I1981" s="6" t="str">
        <f>IFERROR(__xludf.DUMMYFUNCTION("""COMPUTED_VALUE"""),"RYP")</f>
        <v>RYP</v>
      </c>
      <c r="J1981" s="6" t="str">
        <f>IFERROR(__xludf.DUMMYFUNCTION("""COMPUTED_VALUE"""),"Building")</f>
        <v>Building</v>
      </c>
      <c r="K1981" s="6" t="str">
        <f>IFERROR(__xludf.DUMMYFUNCTION("""COMPUTED_VALUE"""),"SPR/04/25/036")</f>
        <v>SPR/04/25/036</v>
      </c>
      <c r="L1981" s="13">
        <f>IFERROR(__xludf.DUMMYFUNCTION("""COMPUTED_VALUE"""),45777.0)</f>
        <v>45777</v>
      </c>
    </row>
    <row r="1982">
      <c r="A1982" s="6" t="str">
        <f>IFERROR(__xludf.DUMMYFUNCTION("""COMPUTED_VALUE"""),"MOB")</f>
        <v>MOB</v>
      </c>
      <c r="B1982" s="6" t="str">
        <f>IFERROR(__xludf.DUMMYFUNCTION("""COMPUTED_VALUE"""),"ENG")</f>
        <v>ENG</v>
      </c>
      <c r="C1982" s="6" t="str">
        <f>IFERROR(__xludf.DUMMYFUNCTION("""COMPUTED_VALUE"""),"Q-10153-00")</f>
        <v>Q-10153-00</v>
      </c>
      <c r="D1982" s="6" t="str">
        <f>IFERROR(__xludf.DUMMYFUNCTION("""COMPUTED_VALUE"""),"Roller cat 110mm")</f>
        <v>Roller cat 110mm</v>
      </c>
      <c r="E1982" s="6">
        <f>IFERROR(__xludf.DUMMYFUNCTION("""COMPUTED_VALUE"""),2.0)</f>
        <v>2</v>
      </c>
      <c r="F1982" s="6">
        <f>IFERROR(__xludf.DUMMYFUNCTION("""COMPUTED_VALUE"""),2.0)</f>
        <v>2</v>
      </c>
      <c r="G1982" s="6">
        <f>IFERROR(__xludf.DUMMYFUNCTION("""COMPUTED_VALUE"""),0.0)</f>
        <v>0</v>
      </c>
      <c r="H1982" s="6" t="str">
        <f>IFERROR(__xludf.DUMMYFUNCTION("""COMPUTED_VALUE"""),"Pcs")</f>
        <v>Pcs</v>
      </c>
      <c r="I1982" s="6" t="str">
        <f>IFERROR(__xludf.DUMMYFUNCTION("""COMPUTED_VALUE"""),"RYP")</f>
        <v>RYP</v>
      </c>
      <c r="J1982" s="6" t="str">
        <f>IFERROR(__xludf.DUMMYFUNCTION("""COMPUTED_VALUE"""),"Building")</f>
        <v>Building</v>
      </c>
      <c r="K1982" s="6" t="str">
        <f>IFERROR(__xludf.DUMMYFUNCTION("""COMPUTED_VALUE"""),"SPR/04/25/036")</f>
        <v>SPR/04/25/036</v>
      </c>
      <c r="L1982" s="13">
        <f>IFERROR(__xludf.DUMMYFUNCTION("""COMPUTED_VALUE"""),45777.0)</f>
        <v>45777</v>
      </c>
    </row>
    <row r="1983">
      <c r="A1983" s="6" t="str">
        <f>IFERROR(__xludf.DUMMYFUNCTION("""COMPUTED_VALUE"""),"MRN")</f>
        <v>MRN</v>
      </c>
      <c r="B1983" s="6" t="str">
        <f>IFERROR(__xludf.DUMMYFUNCTION("""COMPUTED_VALUE"""),"ENG")</f>
        <v>ENG</v>
      </c>
      <c r="C1983" s="6" t="str">
        <f>IFERROR(__xludf.DUMMYFUNCTION("""COMPUTED_VALUE"""),"P-12433-00")</f>
        <v>P-12433-00</v>
      </c>
      <c r="D1983" s="6" t="str">
        <f>IFERROR(__xludf.DUMMYFUNCTION("""COMPUTED_VALUE"""),"Isolasi AC- Sansui")</f>
        <v>Isolasi AC- Sansui</v>
      </c>
      <c r="E1983" s="6">
        <f>IFERROR(__xludf.DUMMYFUNCTION("""COMPUTED_VALUE"""),1.0)</f>
        <v>1</v>
      </c>
      <c r="F1983" s="6">
        <f>IFERROR(__xludf.DUMMYFUNCTION("""COMPUTED_VALUE"""),1.0)</f>
        <v>1</v>
      </c>
      <c r="G1983" s="6">
        <f>IFERROR(__xludf.DUMMYFUNCTION("""COMPUTED_VALUE"""),0.0)</f>
        <v>0</v>
      </c>
      <c r="H1983" s="6" t="str">
        <f>IFERROR(__xludf.DUMMYFUNCTION("""COMPUTED_VALUE"""),"Pcs")</f>
        <v>Pcs</v>
      </c>
      <c r="I1983" s="6" t="str">
        <f>IFERROR(__xludf.DUMMYFUNCTION("""COMPUTED_VALUE"""),"RYP")</f>
        <v>RYP</v>
      </c>
      <c r="J1983" s="6" t="str">
        <f>IFERROR(__xludf.DUMMYFUNCTION("""COMPUTED_VALUE"""),"Lantai AHU")</f>
        <v>Lantai AHU</v>
      </c>
      <c r="K1983" s="6" t="str">
        <f>IFERROR(__xludf.DUMMYFUNCTION("""COMPUTED_VALUE"""),"SPR/04/25/037")</f>
        <v>SPR/04/25/037</v>
      </c>
      <c r="L1983" s="13">
        <f>IFERROR(__xludf.DUMMYFUNCTION("""COMPUTED_VALUE"""),45777.0)</f>
        <v>45777</v>
      </c>
    </row>
    <row r="1984">
      <c r="A1984" s="6" t="str">
        <f>IFERROR(__xludf.DUMMYFUNCTION("""COMPUTED_VALUE"""),"MRN")</f>
        <v>MRN</v>
      </c>
      <c r="B1984" s="6" t="str">
        <f>IFERROR(__xludf.DUMMYFUNCTION("""COMPUTED_VALUE"""),"ENG")</f>
        <v>ENG</v>
      </c>
      <c r="C1984" s="6" t="str">
        <f>IFERROR(__xludf.DUMMYFUNCTION("""COMPUTED_VALUE"""),"Q-10153-00")</f>
        <v>Q-10153-00</v>
      </c>
      <c r="D1984" s="6" t="str">
        <f>IFERROR(__xludf.DUMMYFUNCTION("""COMPUTED_VALUE"""),"Kuas Cat Roller uk. 110 mm;No Brand;;pack size per set")</f>
        <v>Kuas Cat Roller uk. 110 mm;No Brand;;pack size per set</v>
      </c>
      <c r="E1984" s="6">
        <f>IFERROR(__xludf.DUMMYFUNCTION("""COMPUTED_VALUE"""),1.0)</f>
        <v>1</v>
      </c>
      <c r="F1984" s="6">
        <f>IFERROR(__xludf.DUMMYFUNCTION("""COMPUTED_VALUE"""),1.0)</f>
        <v>1</v>
      </c>
      <c r="G1984" s="6">
        <f>IFERROR(__xludf.DUMMYFUNCTION("""COMPUTED_VALUE"""),0.0)</f>
        <v>0</v>
      </c>
      <c r="H1984" s="6" t="str">
        <f>IFERROR(__xludf.DUMMYFUNCTION("""COMPUTED_VALUE"""),"Pcs")</f>
        <v>Pcs</v>
      </c>
      <c r="I1984" s="6" t="str">
        <f>IFERROR(__xludf.DUMMYFUNCTION("""COMPUTED_VALUE"""),"RYP")</f>
        <v>RYP</v>
      </c>
      <c r="J1984" s="6" t="str">
        <f>IFERROR(__xludf.DUMMYFUNCTION("""COMPUTED_VALUE"""),"Lantai AHU")</f>
        <v>Lantai AHU</v>
      </c>
      <c r="K1984" s="6" t="str">
        <f>IFERROR(__xludf.DUMMYFUNCTION("""COMPUTED_VALUE"""),"SPR/04/25/037")</f>
        <v>SPR/04/25/037</v>
      </c>
      <c r="L1984" s="13">
        <f>IFERROR(__xludf.DUMMYFUNCTION("""COMPUTED_VALUE"""),45777.0)</f>
        <v>45777</v>
      </c>
    </row>
    <row r="1985">
      <c r="A1985" s="6" t="str">
        <f>IFERROR(__xludf.DUMMYFUNCTION("""COMPUTED_VALUE"""),"ANO")</f>
        <v>ANO</v>
      </c>
      <c r="B1985" s="6" t="str">
        <f>IFERROR(__xludf.DUMMYFUNCTION("""COMPUTED_VALUE"""),"ENG")</f>
        <v>ENG</v>
      </c>
      <c r="C1985" s="6" t="str">
        <f>IFERROR(__xludf.DUMMYFUNCTION("""COMPUTED_VALUE"""),"P-12280-00")</f>
        <v>P-12280-00</v>
      </c>
      <c r="D1985" s="6" t="str">
        <f>IFERROR(__xludf.DUMMYFUNCTION("""COMPUTED_VALUE"""),"FESTO - QS-1/8-8 Push-In fitting p/n 153004")</f>
        <v>FESTO - QS-1/8-8 Push-In fitting p/n 153004</v>
      </c>
      <c r="E1985" s="6">
        <f>IFERROR(__xludf.DUMMYFUNCTION("""COMPUTED_VALUE"""),2.0)</f>
        <v>2</v>
      </c>
      <c r="F1985" s="6">
        <f>IFERROR(__xludf.DUMMYFUNCTION("""COMPUTED_VALUE"""),2.0)</f>
        <v>2</v>
      </c>
      <c r="G1985" s="6">
        <f>IFERROR(__xludf.DUMMYFUNCTION("""COMPUTED_VALUE"""),0.0)</f>
        <v>0</v>
      </c>
      <c r="H1985" s="6" t="str">
        <f>IFERROR(__xludf.DUMMYFUNCTION("""COMPUTED_VALUE"""),"Pcs")</f>
        <v>Pcs</v>
      </c>
      <c r="I1985" s="6" t="str">
        <f>IFERROR(__xludf.DUMMYFUNCTION("""COMPUTED_VALUE"""),"RYP")</f>
        <v>RYP</v>
      </c>
      <c r="J1985" s="6" t="str">
        <f>IFERROR(__xludf.DUMMYFUNCTION("""COMPUTED_VALUE"""),"BSC")</f>
        <v>BSC</v>
      </c>
      <c r="K1985" s="6" t="str">
        <f>IFERROR(__xludf.DUMMYFUNCTION("""COMPUTED_VALUE"""),"SPR/04/25/038")</f>
        <v>SPR/04/25/038</v>
      </c>
      <c r="L1985" s="13">
        <f>IFERROR(__xludf.DUMMYFUNCTION("""COMPUTED_VALUE"""),45777.0)</f>
        <v>45777</v>
      </c>
    </row>
    <row r="1986">
      <c r="A1986" s="6" t="str">
        <f>IFERROR(__xludf.DUMMYFUNCTION("""COMPUTED_VALUE"""),"ROS")</f>
        <v>ROS</v>
      </c>
      <c r="B1986" s="6" t="str">
        <f>IFERROR(__xludf.DUMMYFUNCTION("""COMPUTED_VALUE"""),"ENG")</f>
        <v>ENG</v>
      </c>
      <c r="C1986" s="6" t="str">
        <f>IFERROR(__xludf.DUMMYFUNCTION("""COMPUTED_VALUE"""),"O-20298-00")</f>
        <v>O-20298-00</v>
      </c>
      <c r="D1986" s="6" t="str">
        <f>IFERROR(__xludf.DUMMYFUNCTION("""COMPUTED_VALUE"""),"Marchesini Ma155 - Belt  Conveyor PU UOUO 1120 x 75 x 1.1 mmE Custom/Lokal  -")</f>
        <v>Marchesini Ma155 - Belt  Conveyor PU UOUO 1120 x 75 x 1.1 mmE Custom/Lokal  -</v>
      </c>
      <c r="E1986" s="6">
        <f>IFERROR(__xludf.DUMMYFUNCTION("""COMPUTED_VALUE"""),1.0)</f>
        <v>1</v>
      </c>
      <c r="F1986" s="6">
        <f>IFERROR(__xludf.DUMMYFUNCTION("""COMPUTED_VALUE"""),1.0)</f>
        <v>1</v>
      </c>
      <c r="G1986" s="6">
        <f>IFERROR(__xludf.DUMMYFUNCTION("""COMPUTED_VALUE"""),0.0)</f>
        <v>0</v>
      </c>
      <c r="H1986" s="6" t="str">
        <f>IFERROR(__xludf.DUMMYFUNCTION("""COMPUTED_VALUE"""),"Pcs")</f>
        <v>Pcs</v>
      </c>
      <c r="I1986" s="6" t="str">
        <f>IFERROR(__xludf.DUMMYFUNCTION("""COMPUTED_VALUE"""),"RYP")</f>
        <v>RYP</v>
      </c>
      <c r="J1986" s="6" t="str">
        <f>IFERROR(__xludf.DUMMYFUNCTION("""COMPUTED_VALUE"""),"lartoning")</f>
        <v>lartoning</v>
      </c>
      <c r="K1986" s="6" t="str">
        <f>IFERROR(__xludf.DUMMYFUNCTION("""COMPUTED_VALUE"""),"SPR/04/25/039")</f>
        <v>SPR/04/25/039</v>
      </c>
      <c r="L1986" s="13">
        <f>IFERROR(__xludf.DUMMYFUNCTION("""COMPUTED_VALUE"""),45777.0)</f>
        <v>45777</v>
      </c>
    </row>
    <row r="1987">
      <c r="A1987" s="6" t="str">
        <f>IFERROR(__xludf.DUMMYFUNCTION("""COMPUTED_VALUE"""),"ROS")</f>
        <v>ROS</v>
      </c>
      <c r="B1987" s="6" t="str">
        <f>IFERROR(__xludf.DUMMYFUNCTION("""COMPUTED_VALUE"""),"ENG")</f>
        <v>ENG</v>
      </c>
      <c r="C1987" s="6" t="str">
        <f>IFERROR(__xludf.DUMMYFUNCTION("""COMPUTED_VALUE"""),"-")</f>
        <v>-</v>
      </c>
      <c r="D1987" s="6" t="str">
        <f>IFERROR(__xludf.DUMMYFUNCTION("""COMPUTED_VALUE"""),"Lampu T5")</f>
        <v>Lampu T5</v>
      </c>
      <c r="E1987" s="6">
        <f>IFERROR(__xludf.DUMMYFUNCTION("""COMPUTED_VALUE"""),3.0)</f>
        <v>3</v>
      </c>
      <c r="F1987" s="6">
        <f>IFERROR(__xludf.DUMMYFUNCTION("""COMPUTED_VALUE"""),3.0)</f>
        <v>3</v>
      </c>
      <c r="G1987" s="6">
        <f>IFERROR(__xludf.DUMMYFUNCTION("""COMPUTED_VALUE"""),0.0)</f>
        <v>0</v>
      </c>
      <c r="H1987" s="6" t="str">
        <f>IFERROR(__xludf.DUMMYFUNCTION("""COMPUTED_VALUE"""),"Pcs")</f>
        <v>Pcs</v>
      </c>
      <c r="I1987" s="6" t="str">
        <f>IFERROR(__xludf.DUMMYFUNCTION("""COMPUTED_VALUE"""),"RYP")</f>
        <v>RYP</v>
      </c>
      <c r="J1987" s="6" t="str">
        <f>IFERROR(__xludf.DUMMYFUNCTION("""COMPUTED_VALUE"""),"Building")</f>
        <v>Building</v>
      </c>
      <c r="K1987" s="6" t="str">
        <f>IFERROR(__xludf.DUMMYFUNCTION("""COMPUTED_VALUE"""),"SPR/04/25/039")</f>
        <v>SPR/04/25/039</v>
      </c>
      <c r="L1987" s="13">
        <f>IFERROR(__xludf.DUMMYFUNCTION("""COMPUTED_VALUE"""),45777.0)</f>
        <v>45777</v>
      </c>
    </row>
    <row r="1988">
      <c r="A1988" s="6" t="str">
        <f>IFERROR(__xludf.DUMMYFUNCTION("""COMPUTED_VALUE"""),"ROS")</f>
        <v>ROS</v>
      </c>
      <c r="B1988" s="6" t="str">
        <f>IFERROR(__xludf.DUMMYFUNCTION("""COMPUTED_VALUE"""),"ENG")</f>
        <v>ENG</v>
      </c>
      <c r="C1988" s="6" t="str">
        <f>IFERROR(__xludf.DUMMYFUNCTION("""COMPUTED_VALUE"""),"P-53169-00")</f>
        <v>P-53169-00</v>
      </c>
      <c r="D1988" s="6" t="str">
        <f>IFERROR(__xludf.DUMMYFUNCTION("""COMPUTED_VALUE"""),"Ballast Electronic EB-C 228 TL5, 2x28W; Phillips; ;")</f>
        <v>Ballast Electronic EB-C 228 TL5, 2x28W; Phillips; ;</v>
      </c>
      <c r="E1988" s="6">
        <f>IFERROR(__xludf.DUMMYFUNCTION("""COMPUTED_VALUE"""),1.0)</f>
        <v>1</v>
      </c>
      <c r="F1988" s="6">
        <f>IFERROR(__xludf.DUMMYFUNCTION("""COMPUTED_VALUE"""),1.0)</f>
        <v>1</v>
      </c>
      <c r="G1988" s="6">
        <f>IFERROR(__xludf.DUMMYFUNCTION("""COMPUTED_VALUE"""),0.0)</f>
        <v>0</v>
      </c>
      <c r="H1988" s="6" t="str">
        <f>IFERROR(__xludf.DUMMYFUNCTION("""COMPUTED_VALUE"""),"Pcs")</f>
        <v>Pcs</v>
      </c>
      <c r="I1988" s="6" t="str">
        <f>IFERROR(__xludf.DUMMYFUNCTION("""COMPUTED_VALUE"""),"RYP")</f>
        <v>RYP</v>
      </c>
      <c r="J1988" s="6" t="str">
        <f>IFERROR(__xludf.DUMMYFUNCTION("""COMPUTED_VALUE"""),"Building")</f>
        <v>Building</v>
      </c>
      <c r="K1988" s="6" t="str">
        <f>IFERROR(__xludf.DUMMYFUNCTION("""COMPUTED_VALUE"""),"SPR/04/25/039")</f>
        <v>SPR/04/25/039</v>
      </c>
      <c r="L1988" s="13">
        <f>IFERROR(__xludf.DUMMYFUNCTION("""COMPUTED_VALUE"""),45777.0)</f>
        <v>45777</v>
      </c>
    </row>
    <row r="1989">
      <c r="A1989" s="6" t="str">
        <f>IFERROR(__xludf.DUMMYFUNCTION("""COMPUTED_VALUE"""),"AAA")</f>
        <v>AAA</v>
      </c>
      <c r="B1989" s="6" t="str">
        <f>IFERROR(__xludf.DUMMYFUNCTION("""COMPUTED_VALUE"""),"ENG")</f>
        <v>ENG</v>
      </c>
      <c r="C1989" s="6" t="str">
        <f>IFERROR(__xludf.DUMMYFUNCTION("""COMPUTED_VALUE"""),"Q-50013-00")</f>
        <v>Q-50013-00</v>
      </c>
      <c r="D1989" s="6" t="str">
        <f>IFERROR(__xludf.DUMMYFUNCTION("""COMPUTED_VALUE"""),"Frame or Perimeter Seal RP48 White; Raven; R48W6; 6 meter/pck")</f>
        <v>Frame or Perimeter Seal RP48 White; Raven; R48W6; 6 meter/pck</v>
      </c>
      <c r="E1989" s="6">
        <f>IFERROR(__xludf.DUMMYFUNCTION("""COMPUTED_VALUE"""),2.0)</f>
        <v>2</v>
      </c>
      <c r="F1989" s="6">
        <f>IFERROR(__xludf.DUMMYFUNCTION("""COMPUTED_VALUE"""),2.0)</f>
        <v>2</v>
      </c>
      <c r="G1989" s="6">
        <f>IFERROR(__xludf.DUMMYFUNCTION("""COMPUTED_VALUE"""),0.0)</f>
        <v>0</v>
      </c>
      <c r="H1989" s="6" t="str">
        <f>IFERROR(__xludf.DUMMYFUNCTION("""COMPUTED_VALUE"""),"Pack")</f>
        <v>Pack</v>
      </c>
      <c r="I1989" s="6" t="str">
        <f>IFERROR(__xludf.DUMMYFUNCTION("""COMPUTED_VALUE"""),"RYP")</f>
        <v>RYP</v>
      </c>
      <c r="J1989" s="6" t="str">
        <f>IFERROR(__xludf.DUMMYFUNCTION("""COMPUTED_VALUE"""),"PB Mixing 5ND1")</f>
        <v>PB Mixing 5ND1</v>
      </c>
      <c r="K1989" s="6" t="str">
        <f>IFERROR(__xludf.DUMMYFUNCTION("""COMPUTED_VALUE"""),"SPR/04/25/040")</f>
        <v>SPR/04/25/040</v>
      </c>
      <c r="L1989" s="13">
        <f>IFERROR(__xludf.DUMMYFUNCTION("""COMPUTED_VALUE"""),45777.0)</f>
        <v>45777</v>
      </c>
    </row>
    <row r="1990">
      <c r="A1990" s="6" t="str">
        <f>IFERROR(__xludf.DUMMYFUNCTION("""COMPUTED_VALUE"""),"MOB")</f>
        <v>MOB</v>
      </c>
      <c r="B1990" s="6" t="str">
        <f>IFERROR(__xludf.DUMMYFUNCTION("""COMPUTED_VALUE"""),"ENG")</f>
        <v>ENG</v>
      </c>
      <c r="C1990" s="6" t="str">
        <f>IFERROR(__xludf.DUMMYFUNCTION("""COMPUTED_VALUE"""),"Q-10128-00")</f>
        <v>Q-10128-00</v>
      </c>
      <c r="D1990" s="6" t="str">
        <f>IFERROR(__xludf.DUMMYFUNCTION("""COMPUTED_VALUE"""),"Thinner;Impala;;pack size per can")</f>
        <v>Thinner;Impala;;pack size per can</v>
      </c>
      <c r="E1990" s="6">
        <f>IFERROR(__xludf.DUMMYFUNCTION("""COMPUTED_VALUE"""),2.0)</f>
        <v>2</v>
      </c>
      <c r="F1990" s="6">
        <f>IFERROR(__xludf.DUMMYFUNCTION("""COMPUTED_VALUE"""),2.0)</f>
        <v>2</v>
      </c>
      <c r="G1990" s="6">
        <f>IFERROR(__xludf.DUMMYFUNCTION("""COMPUTED_VALUE"""),0.0)</f>
        <v>0</v>
      </c>
      <c r="H1990" s="6" t="str">
        <f>IFERROR(__xludf.DUMMYFUNCTION("""COMPUTED_VALUE"""),"Pcs")</f>
        <v>Pcs</v>
      </c>
      <c r="I1990" s="6" t="str">
        <f>IFERROR(__xludf.DUMMYFUNCTION("""COMPUTED_VALUE"""),"RYP")</f>
        <v>RYP</v>
      </c>
      <c r="J1990" s="6" t="str">
        <f>IFERROR(__xludf.DUMMYFUNCTION("""COMPUTED_VALUE"""),"Building")</f>
        <v>Building</v>
      </c>
      <c r="K1990" s="6" t="str">
        <f>IFERROR(__xludf.DUMMYFUNCTION("""COMPUTED_VALUE"""),"SPR/04/25/041")</f>
        <v>SPR/04/25/041</v>
      </c>
      <c r="L1990" s="13">
        <f>IFERROR(__xludf.DUMMYFUNCTION("""COMPUTED_VALUE"""),45777.0)</f>
        <v>45777</v>
      </c>
    </row>
    <row r="1991">
      <c r="A1991" s="6" t="str">
        <f>IFERROR(__xludf.DUMMYFUNCTION("""COMPUTED_VALUE"""),"ANO")</f>
        <v>ANO</v>
      </c>
      <c r="B1991" s="6" t="str">
        <f>IFERROR(__xludf.DUMMYFUNCTION("""COMPUTED_VALUE"""),"ENG")</f>
        <v>ENG</v>
      </c>
      <c r="C1991" s="6" t="str">
        <f>IFERROR(__xludf.DUMMYFUNCTION("""COMPUTED_VALUE"""),"P-11694-00")</f>
        <v>P-11694-00</v>
      </c>
      <c r="D1991" s="6" t="str">
        <f>IFERROR(__xludf.DUMMYFUNCTION("""COMPUTED_VALUE"""),"Mata Gerinda 4")</f>
        <v>Mata Gerinda 4</v>
      </c>
      <c r="E1991" s="6">
        <f>IFERROR(__xludf.DUMMYFUNCTION("""COMPUTED_VALUE"""),1.0)</f>
        <v>1</v>
      </c>
      <c r="F1991" s="6">
        <f>IFERROR(__xludf.DUMMYFUNCTION("""COMPUTED_VALUE"""),1.0)</f>
        <v>1</v>
      </c>
      <c r="G1991" s="6">
        <f>IFERROR(__xludf.DUMMYFUNCTION("""COMPUTED_VALUE"""),0.0)</f>
        <v>0</v>
      </c>
      <c r="H1991" s="6" t="str">
        <f>IFERROR(__xludf.DUMMYFUNCTION("""COMPUTED_VALUE"""),"Pcs")</f>
        <v>Pcs</v>
      </c>
      <c r="I1991" s="6" t="str">
        <f>IFERROR(__xludf.DUMMYFUNCTION("""COMPUTED_VALUE"""),"RYP")</f>
        <v>RYP</v>
      </c>
      <c r="J1991" s="6" t="str">
        <f>IFERROR(__xludf.DUMMYFUNCTION("""COMPUTED_VALUE"""),"Cartoning")</f>
        <v>Cartoning</v>
      </c>
      <c r="K1991" s="6" t="str">
        <f>IFERROR(__xludf.DUMMYFUNCTION("""COMPUTED_VALUE"""),"SPR/04/25/042")</f>
        <v>SPR/04/25/042</v>
      </c>
      <c r="L1991" s="13">
        <f>IFERROR(__xludf.DUMMYFUNCTION("""COMPUTED_VALUE"""),45777.0)</f>
        <v>45777</v>
      </c>
    </row>
    <row r="1992">
      <c r="A1992" s="6" t="str">
        <f>IFERROR(__xludf.DUMMYFUNCTION("""COMPUTED_VALUE"""),"SFH")</f>
        <v>SFH</v>
      </c>
      <c r="B1992" s="6" t="str">
        <f>IFERROR(__xludf.DUMMYFUNCTION("""COMPUTED_VALUE"""),"ENG")</f>
        <v>ENG</v>
      </c>
      <c r="C1992" s="6" t="str">
        <f>IFERROR(__xludf.DUMMYFUNCTION("""COMPUTED_VALUE"""),"Q-10128-00")</f>
        <v>Q-10128-00</v>
      </c>
      <c r="D1992" s="6" t="str">
        <f>IFERROR(__xludf.DUMMYFUNCTION("""COMPUTED_VALUE"""),"Thinner;Impala;;pack size per can")</f>
        <v>Thinner;Impala;;pack size per can</v>
      </c>
      <c r="E1992" s="6">
        <f>IFERROR(__xludf.DUMMYFUNCTION("""COMPUTED_VALUE"""),4.0)</f>
        <v>4</v>
      </c>
      <c r="F1992" s="6">
        <f>IFERROR(__xludf.DUMMYFUNCTION("""COMPUTED_VALUE"""),4.0)</f>
        <v>4</v>
      </c>
      <c r="G1992" s="6">
        <f>IFERROR(__xludf.DUMMYFUNCTION("""COMPUTED_VALUE"""),0.0)</f>
        <v>0</v>
      </c>
      <c r="H1992" s="6" t="str">
        <f>IFERROR(__xludf.DUMMYFUNCTION("""COMPUTED_VALUE"""),"Lir")</f>
        <v>Lir</v>
      </c>
      <c r="I1992" s="6" t="str">
        <f>IFERROR(__xludf.DUMMYFUNCTION("""COMPUTED_VALUE"""),"RYP")</f>
        <v>RYP</v>
      </c>
      <c r="J1992" s="6" t="str">
        <f>IFERROR(__xludf.DUMMYFUNCTION("""COMPUTED_VALUE"""),"Building")</f>
        <v>Building</v>
      </c>
      <c r="K1992" s="6" t="str">
        <f>IFERROR(__xludf.DUMMYFUNCTION("""COMPUTED_VALUE"""),"SPR/04/25/043")</f>
        <v>SPR/04/25/043</v>
      </c>
      <c r="L1992" s="13">
        <f>IFERROR(__xludf.DUMMYFUNCTION("""COMPUTED_VALUE"""),45777.0)</f>
        <v>45777</v>
      </c>
    </row>
    <row r="1993">
      <c r="A1993" s="6" t="str">
        <f>IFERROR(__xludf.DUMMYFUNCTION("""COMPUTED_VALUE"""),"SFH")</f>
        <v>SFH</v>
      </c>
      <c r="B1993" s="6" t="str">
        <f>IFERROR(__xludf.DUMMYFUNCTION("""COMPUTED_VALUE"""),"ENG")</f>
        <v>ENG</v>
      </c>
      <c r="C1993" s="6" t="str">
        <f>IFERROR(__xludf.DUMMYFUNCTION("""COMPUTED_VALUE"""),"Q-10153-00")</f>
        <v>Q-10153-00</v>
      </c>
      <c r="D1993" s="6" t="str">
        <f>IFERROR(__xludf.DUMMYFUNCTION("""COMPUTED_VALUE"""),"Roller cat 110mm")</f>
        <v>Roller cat 110mm</v>
      </c>
      <c r="E1993" s="6">
        <f>IFERROR(__xludf.DUMMYFUNCTION("""COMPUTED_VALUE"""),5.0)</f>
        <v>5</v>
      </c>
      <c r="F1993" s="6">
        <f>IFERROR(__xludf.DUMMYFUNCTION("""COMPUTED_VALUE"""),5.0)</f>
        <v>5</v>
      </c>
      <c r="G1993" s="6">
        <f>IFERROR(__xludf.DUMMYFUNCTION("""COMPUTED_VALUE"""),0.0)</f>
        <v>0</v>
      </c>
      <c r="H1993" s="6" t="str">
        <f>IFERROR(__xludf.DUMMYFUNCTION("""COMPUTED_VALUE"""),"Pcs")</f>
        <v>Pcs</v>
      </c>
      <c r="I1993" s="6" t="str">
        <f>IFERROR(__xludf.DUMMYFUNCTION("""COMPUTED_VALUE"""),"RYP")</f>
        <v>RYP</v>
      </c>
      <c r="J1993" s="6" t="str">
        <f>IFERROR(__xludf.DUMMYFUNCTION("""COMPUTED_VALUE"""),"Building")</f>
        <v>Building</v>
      </c>
      <c r="K1993" s="6" t="str">
        <f>IFERROR(__xludf.DUMMYFUNCTION("""COMPUTED_VALUE"""),"SPR/04/25/043")</f>
        <v>SPR/04/25/043</v>
      </c>
      <c r="L1993" s="13">
        <f>IFERROR(__xludf.DUMMYFUNCTION("""COMPUTED_VALUE"""),45777.0)</f>
        <v>45777</v>
      </c>
    </row>
    <row r="1994">
      <c r="A1994" s="6" t="str">
        <f>IFERROR(__xludf.DUMMYFUNCTION("""COMPUTED_VALUE"""),"SFH")</f>
        <v>SFH</v>
      </c>
      <c r="B1994" s="6" t="str">
        <f>IFERROR(__xludf.DUMMYFUNCTION("""COMPUTED_VALUE"""),"ENG")</f>
        <v>ENG</v>
      </c>
      <c r="C1994" s="6" t="str">
        <f>IFERROR(__xludf.DUMMYFUNCTION("""COMPUTED_VALUE"""),"Q-10656-00")</f>
        <v>Q-10656-00</v>
      </c>
      <c r="D1994" s="6" t="str">
        <f>IFERROR(__xludf.DUMMYFUNCTION("""COMPUTED_VALUE"""),"Kuas Cat Uk. 5 inch;No Brand;;pack size per pcs")</f>
        <v>Kuas Cat Uk. 5 inch;No Brand;;pack size per pcs</v>
      </c>
      <c r="E1994" s="6">
        <f>IFERROR(__xludf.DUMMYFUNCTION("""COMPUTED_VALUE"""),2.0)</f>
        <v>2</v>
      </c>
      <c r="F1994" s="6">
        <f>IFERROR(__xludf.DUMMYFUNCTION("""COMPUTED_VALUE"""),2.0)</f>
        <v>2</v>
      </c>
      <c r="G1994" s="6">
        <f>IFERROR(__xludf.DUMMYFUNCTION("""COMPUTED_VALUE"""),0.0)</f>
        <v>0</v>
      </c>
      <c r="H1994" s="6" t="str">
        <f>IFERROR(__xludf.DUMMYFUNCTION("""COMPUTED_VALUE"""),"Pcs")</f>
        <v>Pcs</v>
      </c>
      <c r="I1994" s="6" t="str">
        <f>IFERROR(__xludf.DUMMYFUNCTION("""COMPUTED_VALUE"""),"RYP")</f>
        <v>RYP</v>
      </c>
      <c r="J1994" s="6" t="str">
        <f>IFERROR(__xludf.DUMMYFUNCTION("""COMPUTED_VALUE"""),"Building")</f>
        <v>Building</v>
      </c>
      <c r="K1994" s="6" t="str">
        <f>IFERROR(__xludf.DUMMYFUNCTION("""COMPUTED_VALUE"""),"SPR/04/25/043")</f>
        <v>SPR/04/25/043</v>
      </c>
      <c r="L1994" s="13">
        <f>IFERROR(__xludf.DUMMYFUNCTION("""COMPUTED_VALUE"""),45777.0)</f>
        <v>45777</v>
      </c>
    </row>
    <row r="1995">
      <c r="A1995" s="6" t="str">
        <f>IFERROR(__xludf.DUMMYFUNCTION("""COMPUTED_VALUE"""),"SHF")</f>
        <v>SHF</v>
      </c>
      <c r="B1995" s="6" t="str">
        <f>IFERROR(__xludf.DUMMYFUNCTION("""COMPUTED_VALUE"""),"ENG")</f>
        <v>ENG</v>
      </c>
      <c r="C1995" s="6" t="str">
        <f>IFERROR(__xludf.DUMMYFUNCTION("""COMPUTED_VALUE"""),"Q-10249-00")</f>
        <v>Q-10249-00</v>
      </c>
      <c r="D1995" s="6" t="str">
        <f>IFERROR(__xludf.DUMMYFUNCTION("""COMPUTED_VALUE"""),"Lem Power Glue")</f>
        <v>Lem Power Glue</v>
      </c>
      <c r="E1995" s="6">
        <f>IFERROR(__xludf.DUMMYFUNCTION("""COMPUTED_VALUE"""),8.0)</f>
        <v>8</v>
      </c>
      <c r="F1995" s="6">
        <f>IFERROR(__xludf.DUMMYFUNCTION("""COMPUTED_VALUE"""),8.0)</f>
        <v>8</v>
      </c>
      <c r="G1995" s="6">
        <f>IFERROR(__xludf.DUMMYFUNCTION("""COMPUTED_VALUE"""),0.0)</f>
        <v>0</v>
      </c>
      <c r="H1995" s="6" t="str">
        <f>IFERROR(__xludf.DUMMYFUNCTION("""COMPUTED_VALUE"""),"-")</f>
        <v>-</v>
      </c>
      <c r="I1995" s="6" t="str">
        <f>IFERROR(__xludf.DUMMYFUNCTION("""COMPUTED_VALUE"""),"RYP")</f>
        <v>RYP</v>
      </c>
      <c r="J1995" s="6" t="str">
        <f>IFERROR(__xludf.DUMMYFUNCTION("""COMPUTED_VALUE"""),"Building")</f>
        <v>Building</v>
      </c>
      <c r="K1995" s="6" t="str">
        <f>IFERROR(__xludf.DUMMYFUNCTION("""COMPUTED_VALUE"""),"SPR/04/25/044")</f>
        <v>SPR/04/25/044</v>
      </c>
      <c r="L1995" s="13">
        <f>IFERROR(__xludf.DUMMYFUNCTION("""COMPUTED_VALUE"""),45777.0)</f>
        <v>45777</v>
      </c>
    </row>
    <row r="1996">
      <c r="A1996" s="6" t="str">
        <f>IFERROR(__xludf.DUMMYFUNCTION("""COMPUTED_VALUE"""),"SHF")</f>
        <v>SHF</v>
      </c>
      <c r="B1996" s="6" t="str">
        <f>IFERROR(__xludf.DUMMYFUNCTION("""COMPUTED_VALUE"""),"ENG")</f>
        <v>ENG</v>
      </c>
      <c r="C1996" s="6" t="str">
        <f>IFERROR(__xludf.DUMMYFUNCTION("""COMPUTED_VALUE"""),"P-51560-00")</f>
        <v>P-51560-00</v>
      </c>
      <c r="D1996" s="6" t="str">
        <f>IFERROR(__xludf.DUMMYFUNCTION("""COMPUTED_VALUE"""),"Lampu T5 28watt Putih; Phillips; ;")</f>
        <v>Lampu T5 28watt Putih; Phillips; ;</v>
      </c>
      <c r="E1996" s="6">
        <f>IFERROR(__xludf.DUMMYFUNCTION("""COMPUTED_VALUE"""),1.0)</f>
        <v>1</v>
      </c>
      <c r="F1996" s="6">
        <f>IFERROR(__xludf.DUMMYFUNCTION("""COMPUTED_VALUE"""),1.0)</f>
        <v>1</v>
      </c>
      <c r="G1996" s="6">
        <f>IFERROR(__xludf.DUMMYFUNCTION("""COMPUTED_VALUE"""),0.0)</f>
        <v>0</v>
      </c>
      <c r="H1996" s="6" t="str">
        <f>IFERROR(__xludf.DUMMYFUNCTION("""COMPUTED_VALUE"""),"-")</f>
        <v>-</v>
      </c>
      <c r="I1996" s="6" t="str">
        <f>IFERROR(__xludf.DUMMYFUNCTION("""COMPUTED_VALUE"""),"RYP")</f>
        <v>RYP</v>
      </c>
      <c r="J1996" s="6" t="str">
        <f>IFERROR(__xludf.DUMMYFUNCTION("""COMPUTED_VALUE"""),"Building")</f>
        <v>Building</v>
      </c>
      <c r="K1996" s="6" t="str">
        <f>IFERROR(__xludf.DUMMYFUNCTION("""COMPUTED_VALUE"""),"SPR/04/25/044")</f>
        <v>SPR/04/25/044</v>
      </c>
      <c r="L1996" s="13">
        <f>IFERROR(__xludf.DUMMYFUNCTION("""COMPUTED_VALUE"""),45777.0)</f>
        <v>45777</v>
      </c>
    </row>
    <row r="1997">
      <c r="A1997" s="6" t="str">
        <f>IFERROR(__xludf.DUMMYFUNCTION("""COMPUTED_VALUE"""),"MRN")</f>
        <v>MRN</v>
      </c>
      <c r="B1997" s="6" t="str">
        <f>IFERROR(__xludf.DUMMYFUNCTION("""COMPUTED_VALUE"""),"ENG")</f>
        <v>ENG</v>
      </c>
      <c r="C1997" s="6" t="str">
        <f>IFERROR(__xludf.DUMMYFUNCTION("""COMPUTED_VALUE"""),"-")</f>
        <v>-</v>
      </c>
      <c r="D1997" s="6" t="str">
        <f>IFERROR(__xludf.DUMMYFUNCTION("""COMPUTED_VALUE"""),"Lampu TL 5 watt")</f>
        <v>Lampu TL 5 watt</v>
      </c>
      <c r="E1997" s="6">
        <f>IFERROR(__xludf.DUMMYFUNCTION("""COMPUTED_VALUE"""),4.0)</f>
        <v>4</v>
      </c>
      <c r="F1997" s="6">
        <f>IFERROR(__xludf.DUMMYFUNCTION("""COMPUTED_VALUE"""),4.0)</f>
        <v>4</v>
      </c>
      <c r="G1997" s="6">
        <f>IFERROR(__xludf.DUMMYFUNCTION("""COMPUTED_VALUE"""),0.0)</f>
        <v>0</v>
      </c>
      <c r="H1997" s="6" t="str">
        <f>IFERROR(__xludf.DUMMYFUNCTION("""COMPUTED_VALUE"""),"Pcs")</f>
        <v>Pcs</v>
      </c>
      <c r="I1997" s="6" t="str">
        <f>IFERROR(__xludf.DUMMYFUNCTION("""COMPUTED_VALUE"""),"RYP")</f>
        <v>RYP</v>
      </c>
      <c r="J1997" s="6" t="str">
        <f>IFERROR(__xludf.DUMMYFUNCTION("""COMPUTED_VALUE"""),"-")</f>
        <v>-</v>
      </c>
      <c r="K1997" s="6" t="str">
        <f>IFERROR(__xludf.DUMMYFUNCTION("""COMPUTED_VALUE"""),"SPR/04/25/045")</f>
        <v>SPR/04/25/045</v>
      </c>
      <c r="L1997" s="13">
        <f>IFERROR(__xludf.DUMMYFUNCTION("""COMPUTED_VALUE"""),45777.0)</f>
        <v>45777</v>
      </c>
    </row>
    <row r="1998">
      <c r="A1998" s="6" t="str">
        <f>IFERROR(__xludf.DUMMYFUNCTION("""COMPUTED_VALUE"""),"MRN")</f>
        <v>MRN</v>
      </c>
      <c r="B1998" s="6" t="str">
        <f>IFERROR(__xludf.DUMMYFUNCTION("""COMPUTED_VALUE"""),"ENG")</f>
        <v>ENG</v>
      </c>
      <c r="C1998" s="6" t="str">
        <f>IFERROR(__xludf.DUMMYFUNCTION("""COMPUTED_VALUE"""),"T-80047-00")</f>
        <v>T-80047-00</v>
      </c>
      <c r="D1998" s="6" t="str">
        <f>IFERROR(__xludf.DUMMYFUNCTION("""COMPUTED_VALUE"""),"Battery ALKALINE AAA")</f>
        <v>Battery ALKALINE AAA</v>
      </c>
      <c r="E1998" s="6">
        <f>IFERROR(__xludf.DUMMYFUNCTION("""COMPUTED_VALUE"""),1.0)</f>
        <v>1</v>
      </c>
      <c r="F1998" s="6">
        <f>IFERROR(__xludf.DUMMYFUNCTION("""COMPUTED_VALUE"""),1.0)</f>
        <v>1</v>
      </c>
      <c r="G1998" s="6">
        <f>IFERROR(__xludf.DUMMYFUNCTION("""COMPUTED_VALUE"""),0.0)</f>
        <v>0</v>
      </c>
      <c r="H1998" s="6" t="str">
        <f>IFERROR(__xludf.DUMMYFUNCTION("""COMPUTED_VALUE"""),"Pcs")</f>
        <v>Pcs</v>
      </c>
      <c r="I1998" s="6" t="str">
        <f>IFERROR(__xludf.DUMMYFUNCTION("""COMPUTED_VALUE"""),"RYP")</f>
        <v>RYP</v>
      </c>
      <c r="J1998" s="6" t="str">
        <f>IFERROR(__xludf.DUMMYFUNCTION("""COMPUTED_VALUE"""),"-")</f>
        <v>-</v>
      </c>
      <c r="K1998" s="6" t="str">
        <f>IFERROR(__xludf.DUMMYFUNCTION("""COMPUTED_VALUE"""),"SPR/04/25/045")</f>
        <v>SPR/04/25/045</v>
      </c>
      <c r="L1998" s="13">
        <f>IFERROR(__xludf.DUMMYFUNCTION("""COMPUTED_VALUE"""),45777.0)</f>
        <v>45777</v>
      </c>
    </row>
    <row r="1999">
      <c r="A1999" s="6" t="str">
        <f>IFERROR(__xludf.DUMMYFUNCTION("""COMPUTED_VALUE"""),"MRN")</f>
        <v>MRN</v>
      </c>
      <c r="B1999" s="6" t="str">
        <f>IFERROR(__xludf.DUMMYFUNCTION("""COMPUTED_VALUE"""),"ENG")</f>
        <v>ENG</v>
      </c>
      <c r="C1999" s="6" t="str">
        <f>IFERROR(__xludf.DUMMYFUNCTION("""COMPUTED_VALUE"""),"P-53102-00")</f>
        <v>P-53102-00</v>
      </c>
      <c r="D1999" s="6" t="str">
        <f>IFERROR(__xludf.DUMMYFUNCTION("""COMPUTED_VALUE"""),"Lampu PLC 13watt/E27 Putih; Phillips; ;")</f>
        <v>Lampu PLC 13watt/E27 Putih; Phillips; ;</v>
      </c>
      <c r="E1999" s="6">
        <f>IFERROR(__xludf.DUMMYFUNCTION("""COMPUTED_VALUE"""),1.0)</f>
        <v>1</v>
      </c>
      <c r="F1999" s="6">
        <f>IFERROR(__xludf.DUMMYFUNCTION("""COMPUTED_VALUE"""),1.0)</f>
        <v>1</v>
      </c>
      <c r="G1999" s="6">
        <f>IFERROR(__xludf.DUMMYFUNCTION("""COMPUTED_VALUE"""),0.0)</f>
        <v>0</v>
      </c>
      <c r="H1999" s="6" t="str">
        <f>IFERROR(__xludf.DUMMYFUNCTION("""COMPUTED_VALUE"""),"Pcs")</f>
        <v>Pcs</v>
      </c>
      <c r="I1999" s="6" t="str">
        <f>IFERROR(__xludf.DUMMYFUNCTION("""COMPUTED_VALUE"""),"RYP")</f>
        <v>RYP</v>
      </c>
      <c r="J1999" s="6" t="str">
        <f>IFERROR(__xludf.DUMMYFUNCTION("""COMPUTED_VALUE"""),"-")</f>
        <v>-</v>
      </c>
      <c r="K1999" s="6" t="str">
        <f>IFERROR(__xludf.DUMMYFUNCTION("""COMPUTED_VALUE"""),"SPR/04/25/045")</f>
        <v>SPR/04/25/045</v>
      </c>
      <c r="L1999" s="13">
        <f>IFERROR(__xludf.DUMMYFUNCTION("""COMPUTED_VALUE"""),45777.0)</f>
        <v>45777</v>
      </c>
    </row>
    <row r="2000">
      <c r="A2000" s="6" t="str">
        <f>IFERROR(__xludf.DUMMYFUNCTION("""COMPUTED_VALUE"""),"INN")</f>
        <v>INN</v>
      </c>
      <c r="B2000" s="6" t="str">
        <f>IFERROR(__xludf.DUMMYFUNCTION("""COMPUTED_VALUE"""),"ENG")</f>
        <v>ENG</v>
      </c>
      <c r="C2000" s="6" t="str">
        <f>IFERROR(__xludf.DUMMYFUNCTION("""COMPUTED_VALUE"""),"O-18388-00")</f>
        <v>O-18388-00</v>
      </c>
      <c r="D2000" s="6" t="str">
        <f>IFERROR(__xludf.DUMMYFUNCTION("""COMPUTED_VALUE"""),"Membrane Valve PTFE/EPDM DN15 type 612 GEMU; ; ;")</f>
        <v>Membrane Valve PTFE/EPDM DN15 type 612 GEMU; ; ;</v>
      </c>
      <c r="E2000" s="6">
        <f>IFERROR(__xludf.DUMMYFUNCTION("""COMPUTED_VALUE"""),1.0)</f>
        <v>1</v>
      </c>
      <c r="F2000" s="6">
        <f>IFERROR(__xludf.DUMMYFUNCTION("""COMPUTED_VALUE"""),1.0)</f>
        <v>1</v>
      </c>
      <c r="G2000" s="6">
        <f>IFERROR(__xludf.DUMMYFUNCTION("""COMPUTED_VALUE"""),0.0)</f>
        <v>0</v>
      </c>
      <c r="H2000" s="6" t="str">
        <f>IFERROR(__xludf.DUMMYFUNCTION("""COMPUTED_VALUE"""),"Pcs")</f>
        <v>Pcs</v>
      </c>
      <c r="I2000" s="6" t="str">
        <f>IFERROR(__xludf.DUMMYFUNCTION("""COMPUTED_VALUE"""),"RYP")</f>
        <v>RYP</v>
      </c>
      <c r="J2000" s="6" t="str">
        <f>IFERROR(__xludf.DUMMYFUNCTION("""COMPUTED_VALUE"""),"Filling")</f>
        <v>Filling</v>
      </c>
      <c r="K2000" s="6" t="str">
        <f>IFERROR(__xludf.DUMMYFUNCTION("""COMPUTED_VALUE"""),"SPR/04/25/046")</f>
        <v>SPR/04/25/046</v>
      </c>
      <c r="L2000" s="13">
        <f>IFERROR(__xludf.DUMMYFUNCTION("""COMPUTED_VALUE"""),45777.0)</f>
        <v>45777</v>
      </c>
    </row>
    <row r="2001">
      <c r="A2001" s="6" t="str">
        <f>IFERROR(__xludf.DUMMYFUNCTION("""COMPUTED_VALUE"""),"AAA")</f>
        <v>AAA</v>
      </c>
      <c r="B2001" s="6" t="str">
        <f>IFERROR(__xludf.DUMMYFUNCTION("""COMPUTED_VALUE"""),"ENG")</f>
        <v>ENG</v>
      </c>
      <c r="C2001" s="6" t="str">
        <f>IFERROR(__xludf.DUMMYFUNCTION("""COMPUTED_VALUE"""),"P-51559-00")</f>
        <v>P-51559-00</v>
      </c>
      <c r="D2001" s="6" t="str">
        <f>IFERROR(__xludf.DUMMYFUNCTION("""COMPUTED_VALUE"""),"Lampu T5 14watt Putih; Phillips; ;")</f>
        <v>Lampu T5 14watt Putih; Phillips; ;</v>
      </c>
      <c r="E2001" s="6">
        <f>IFERROR(__xludf.DUMMYFUNCTION("""COMPUTED_VALUE"""),1.0)</f>
        <v>1</v>
      </c>
      <c r="F2001" s="6">
        <f>IFERROR(__xludf.DUMMYFUNCTION("""COMPUTED_VALUE"""),1.0)</f>
        <v>1</v>
      </c>
      <c r="G2001" s="6">
        <f>IFERROR(__xludf.DUMMYFUNCTION("""COMPUTED_VALUE"""),0.0)</f>
        <v>0</v>
      </c>
      <c r="H2001" s="6" t="str">
        <f>IFERROR(__xludf.DUMMYFUNCTION("""COMPUTED_VALUE"""),"Pcs")</f>
        <v>Pcs</v>
      </c>
      <c r="I2001" s="6" t="str">
        <f>IFERROR(__xludf.DUMMYFUNCTION("""COMPUTED_VALUE"""),"RYP")</f>
        <v>RYP</v>
      </c>
      <c r="J2001" s="6" t="str">
        <f>IFERROR(__xludf.DUMMYFUNCTION("""COMPUTED_VALUE"""),"-")</f>
        <v>-</v>
      </c>
      <c r="K2001" s="6" t="str">
        <f>IFERROR(__xludf.DUMMYFUNCTION("""COMPUTED_VALUE"""),"SPR/04/25/047")</f>
        <v>SPR/04/25/047</v>
      </c>
      <c r="L2001" s="13">
        <f>IFERROR(__xludf.DUMMYFUNCTION("""COMPUTED_VALUE"""),45777.0)</f>
        <v>45777</v>
      </c>
    </row>
    <row r="2002">
      <c r="A2002" s="6" t="str">
        <f>IFERROR(__xludf.DUMMYFUNCTION("""COMPUTED_VALUE"""),"MRN")</f>
        <v>MRN</v>
      </c>
      <c r="B2002" s="6" t="str">
        <f>IFERROR(__xludf.DUMMYFUNCTION("""COMPUTED_VALUE"""),"ENG")</f>
        <v>ENG</v>
      </c>
      <c r="C2002" s="6" t="str">
        <f>IFERROR(__xludf.DUMMYFUNCTION("""COMPUTED_VALUE"""),"P-51560-00")</f>
        <v>P-51560-00</v>
      </c>
      <c r="D2002" s="6" t="str">
        <f>IFERROR(__xludf.DUMMYFUNCTION("""COMPUTED_VALUE"""),"Lampu T5 28watt Putih; Phillips; ;")</f>
        <v>Lampu T5 28watt Putih; Phillips; ;</v>
      </c>
      <c r="E2002" s="6">
        <f>IFERROR(__xludf.DUMMYFUNCTION("""COMPUTED_VALUE"""),1.0)</f>
        <v>1</v>
      </c>
      <c r="F2002" s="6">
        <f>IFERROR(__xludf.DUMMYFUNCTION("""COMPUTED_VALUE"""),1.0)</f>
        <v>1</v>
      </c>
      <c r="G2002" s="6">
        <f>IFERROR(__xludf.DUMMYFUNCTION("""COMPUTED_VALUE"""),0.0)</f>
        <v>0</v>
      </c>
      <c r="H2002" s="6" t="str">
        <f>IFERROR(__xludf.DUMMYFUNCTION("""COMPUTED_VALUE"""),"Pcs")</f>
        <v>Pcs</v>
      </c>
      <c r="I2002" s="6" t="str">
        <f>IFERROR(__xludf.DUMMYFUNCTION("""COMPUTED_VALUE"""),"RYP")</f>
        <v>RYP</v>
      </c>
      <c r="J2002" s="6" t="str">
        <f>IFERROR(__xludf.DUMMYFUNCTION("""COMPUTED_VALUE"""),"P56")</f>
        <v>P56</v>
      </c>
      <c r="K2002" s="6" t="str">
        <f>IFERROR(__xludf.DUMMYFUNCTION("""COMPUTED_VALUE"""),"SPR/04/25/048")</f>
        <v>SPR/04/25/048</v>
      </c>
      <c r="L2002" s="13">
        <f>IFERROR(__xludf.DUMMYFUNCTION("""COMPUTED_VALUE"""),45777.0)</f>
        <v>45777</v>
      </c>
    </row>
    <row r="2003">
      <c r="A2003" s="6" t="str">
        <f>IFERROR(__xludf.DUMMYFUNCTION("""COMPUTED_VALUE"""),"SFH")</f>
        <v>SFH</v>
      </c>
      <c r="B2003" s="6" t="str">
        <f>IFERROR(__xludf.DUMMYFUNCTION("""COMPUTED_VALUE"""),"ENG")</f>
        <v>ENG</v>
      </c>
      <c r="C2003" s="6" t="str">
        <f>IFERROR(__xludf.DUMMYFUNCTION("""COMPUTED_VALUE"""),"P-15851-00")</f>
        <v>P-15851-00</v>
      </c>
      <c r="D2003" s="6" t="str">
        <f>IFERROR(__xludf.DUMMYFUNCTION("""COMPUTED_VALUE"""),"AMPLAS EAGLE 100")</f>
        <v>AMPLAS EAGLE 100</v>
      </c>
      <c r="E2003" s="6">
        <f>IFERROR(__xludf.DUMMYFUNCTION("""COMPUTED_VALUE"""),3.0)</f>
        <v>3</v>
      </c>
      <c r="F2003" s="6">
        <f>IFERROR(__xludf.DUMMYFUNCTION("""COMPUTED_VALUE"""),3.0)</f>
        <v>3</v>
      </c>
      <c r="G2003" s="6">
        <f>IFERROR(__xludf.DUMMYFUNCTION("""COMPUTED_VALUE"""),0.0)</f>
        <v>0</v>
      </c>
      <c r="H2003" s="6" t="str">
        <f>IFERROR(__xludf.DUMMYFUNCTION("""COMPUTED_VALUE"""),"Pcs")</f>
        <v>Pcs</v>
      </c>
      <c r="I2003" s="6" t="str">
        <f>IFERROR(__xludf.DUMMYFUNCTION("""COMPUTED_VALUE"""),"RYP")</f>
        <v>RYP</v>
      </c>
      <c r="J2003" s="6" t="str">
        <f>IFERROR(__xludf.DUMMYFUNCTION("""COMPUTED_VALUE"""),"Building")</f>
        <v>Building</v>
      </c>
      <c r="K2003" s="6" t="str">
        <f>IFERROR(__xludf.DUMMYFUNCTION("""COMPUTED_VALUE"""),"SPR/04/25/049")</f>
        <v>SPR/04/25/049</v>
      </c>
      <c r="L2003" s="13">
        <f>IFERROR(__xludf.DUMMYFUNCTION("""COMPUTED_VALUE"""),45777.0)</f>
        <v>45777</v>
      </c>
    </row>
    <row r="2004">
      <c r="A2004" s="6" t="str">
        <f>IFERROR(__xludf.DUMMYFUNCTION("""COMPUTED_VALUE"""),"SFH")</f>
        <v>SFH</v>
      </c>
      <c r="B2004" s="6" t="str">
        <f>IFERROR(__xludf.DUMMYFUNCTION("""COMPUTED_VALUE"""),"ENG")</f>
        <v>ENG</v>
      </c>
      <c r="C2004" s="6" t="str">
        <f>IFERROR(__xludf.DUMMYFUNCTION("""COMPUTED_VALUE"""),"P-51560-00")</f>
        <v>P-51560-00</v>
      </c>
      <c r="D2004" s="6" t="str">
        <f>IFERROR(__xludf.DUMMYFUNCTION("""COMPUTED_VALUE"""),"Lampu T5 28watt Putih; Phillips; ;")</f>
        <v>Lampu T5 28watt Putih; Phillips; ;</v>
      </c>
      <c r="E2004" s="6">
        <f>IFERROR(__xludf.DUMMYFUNCTION("""COMPUTED_VALUE"""),6.0)</f>
        <v>6</v>
      </c>
      <c r="F2004" s="6">
        <f>IFERROR(__xludf.DUMMYFUNCTION("""COMPUTED_VALUE"""),6.0)</f>
        <v>6</v>
      </c>
      <c r="G2004" s="6">
        <f>IFERROR(__xludf.DUMMYFUNCTION("""COMPUTED_VALUE"""),0.0)</f>
        <v>0</v>
      </c>
      <c r="H2004" s="6" t="str">
        <f>IFERROR(__xludf.DUMMYFUNCTION("""COMPUTED_VALUE"""),"Pcs")</f>
        <v>Pcs</v>
      </c>
      <c r="I2004" s="6" t="str">
        <f>IFERROR(__xludf.DUMMYFUNCTION("""COMPUTED_VALUE"""),"RYP")</f>
        <v>RYP</v>
      </c>
      <c r="J2004" s="6" t="str">
        <f>IFERROR(__xludf.DUMMYFUNCTION("""COMPUTED_VALUE"""),"Building")</f>
        <v>Building</v>
      </c>
      <c r="K2004" s="6" t="str">
        <f>IFERROR(__xludf.DUMMYFUNCTION("""COMPUTED_VALUE"""),"SPR/04/25/049")</f>
        <v>SPR/04/25/049</v>
      </c>
      <c r="L2004" s="13">
        <f>IFERROR(__xludf.DUMMYFUNCTION("""COMPUTED_VALUE"""),45777.0)</f>
        <v>45777</v>
      </c>
    </row>
    <row r="2005">
      <c r="A2005" s="6" t="str">
        <f>IFERROR(__xludf.DUMMYFUNCTION("""COMPUTED_VALUE"""),"SFH")</f>
        <v>SFH</v>
      </c>
      <c r="B2005" s="6" t="str">
        <f>IFERROR(__xludf.DUMMYFUNCTION("""COMPUTED_VALUE"""),"ENG")</f>
        <v>ENG</v>
      </c>
      <c r="C2005" s="6" t="str">
        <f>IFERROR(__xludf.DUMMYFUNCTION("""COMPUTED_VALUE"""),"P-53169-00")</f>
        <v>P-53169-00</v>
      </c>
      <c r="D2005" s="6" t="str">
        <f>IFERROR(__xludf.DUMMYFUNCTION("""COMPUTED_VALUE"""),"Ballast Electronic EB-C 228 TL5, 2x28W; Phillips; ;")</f>
        <v>Ballast Electronic EB-C 228 TL5, 2x28W; Phillips; ;</v>
      </c>
      <c r="E2005" s="6">
        <f>IFERROR(__xludf.DUMMYFUNCTION("""COMPUTED_VALUE"""),1.0)</f>
        <v>1</v>
      </c>
      <c r="F2005" s="6">
        <f>IFERROR(__xludf.DUMMYFUNCTION("""COMPUTED_VALUE"""),1.0)</f>
        <v>1</v>
      </c>
      <c r="G2005" s="6">
        <f>IFERROR(__xludf.DUMMYFUNCTION("""COMPUTED_VALUE"""),0.0)</f>
        <v>0</v>
      </c>
      <c r="H2005" s="6" t="str">
        <f>IFERROR(__xludf.DUMMYFUNCTION("""COMPUTED_VALUE"""),"Pcs")</f>
        <v>Pcs</v>
      </c>
      <c r="I2005" s="6" t="str">
        <f>IFERROR(__xludf.DUMMYFUNCTION("""COMPUTED_VALUE"""),"RYP")</f>
        <v>RYP</v>
      </c>
      <c r="J2005" s="6" t="str">
        <f>IFERROR(__xludf.DUMMYFUNCTION("""COMPUTED_VALUE"""),"Building")</f>
        <v>Building</v>
      </c>
      <c r="K2005" s="6" t="str">
        <f>IFERROR(__xludf.DUMMYFUNCTION("""COMPUTED_VALUE"""),"SPR/04/25/049")</f>
        <v>SPR/04/25/049</v>
      </c>
      <c r="L2005" s="13">
        <f>IFERROR(__xludf.DUMMYFUNCTION("""COMPUTED_VALUE"""),45777.0)</f>
        <v>45777</v>
      </c>
    </row>
    <row r="2006">
      <c r="A2006" s="6" t="str">
        <f>IFERROR(__xludf.DUMMYFUNCTION("""COMPUTED_VALUE"""),"RIA")</f>
        <v>RIA</v>
      </c>
      <c r="B2006" s="6" t="str">
        <f>IFERROR(__xludf.DUMMYFUNCTION("""COMPUTED_VALUE"""),"ENG")</f>
        <v>ENG</v>
      </c>
      <c r="C2006" s="6" t="str">
        <f>IFERROR(__xludf.DUMMYFUNCTION("""COMPUTED_VALUE"""),"P-53023-00")</f>
        <v>P-53023-00</v>
      </c>
      <c r="D2006" s="6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E2006" s="6">
        <f>IFERROR(__xludf.DUMMYFUNCTION("""COMPUTED_VALUE"""),1.0)</f>
        <v>1</v>
      </c>
      <c r="F2006" s="6">
        <f>IFERROR(__xludf.DUMMYFUNCTION("""COMPUTED_VALUE"""),1.0)</f>
        <v>1</v>
      </c>
      <c r="G2006" s="6">
        <f>IFERROR(__xludf.DUMMYFUNCTION("""COMPUTED_VALUE"""),0.0)</f>
        <v>0</v>
      </c>
      <c r="H2006" s="6" t="str">
        <f>IFERROR(__xludf.DUMMYFUNCTION("""COMPUTED_VALUE"""),"Pcs")</f>
        <v>Pcs</v>
      </c>
      <c r="I2006" s="6" t="str">
        <f>IFERROR(__xludf.DUMMYFUNCTION("""COMPUTED_VALUE"""),"RYP")</f>
        <v>RYP</v>
      </c>
      <c r="J2006" s="6" t="str">
        <f>IFERROR(__xludf.DUMMYFUNCTION("""COMPUTED_VALUE"""),"PWG")</f>
        <v>PWG</v>
      </c>
      <c r="K2006" s="6" t="str">
        <f>IFERROR(__xludf.DUMMYFUNCTION("""COMPUTED_VALUE"""),"SPR/04/25/050")</f>
        <v>SPR/04/25/050</v>
      </c>
      <c r="L2006" s="13">
        <f>IFERROR(__xludf.DUMMYFUNCTION("""COMPUTED_VALUE"""),45777.0)</f>
        <v>45777</v>
      </c>
    </row>
    <row r="2007">
      <c r="A2007" s="6" t="str">
        <f>IFERROR(__xludf.DUMMYFUNCTION("""COMPUTED_VALUE"""),"RIA")</f>
        <v>RIA</v>
      </c>
      <c r="B2007" s="6" t="str">
        <f>IFERROR(__xludf.DUMMYFUNCTION("""COMPUTED_VALUE"""),"ENG")</f>
        <v>ENG</v>
      </c>
      <c r="C2007" s="6" t="str">
        <f>IFERROR(__xludf.DUMMYFUNCTION("""COMPUTED_VALUE"""),"P-53000-00")</f>
        <v>P-53000-00</v>
      </c>
      <c r="D2007" s="6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E2007" s="6">
        <f>IFERROR(__xludf.DUMMYFUNCTION("""COMPUTED_VALUE"""),1.0)</f>
        <v>1</v>
      </c>
      <c r="F2007" s="6">
        <f>IFERROR(__xludf.DUMMYFUNCTION("""COMPUTED_VALUE"""),1.0)</f>
        <v>1</v>
      </c>
      <c r="G2007" s="6">
        <f>IFERROR(__xludf.DUMMYFUNCTION("""COMPUTED_VALUE"""),0.0)</f>
        <v>0</v>
      </c>
      <c r="H2007" s="6" t="str">
        <f>IFERROR(__xludf.DUMMYFUNCTION("""COMPUTED_VALUE"""),"Pcs")</f>
        <v>Pcs</v>
      </c>
      <c r="I2007" s="6" t="str">
        <f>IFERROR(__xludf.DUMMYFUNCTION("""COMPUTED_VALUE"""),"RYP")</f>
        <v>RYP</v>
      </c>
      <c r="J2007" s="6" t="str">
        <f>IFERROR(__xludf.DUMMYFUNCTION("""COMPUTED_VALUE"""),"PWG")</f>
        <v>PWG</v>
      </c>
      <c r="K2007" s="6" t="str">
        <f>IFERROR(__xludf.DUMMYFUNCTION("""COMPUTED_VALUE"""),"SPR/04/25/050")</f>
        <v>SPR/04/25/050</v>
      </c>
      <c r="L2007" s="13">
        <f>IFERROR(__xludf.DUMMYFUNCTION("""COMPUTED_VALUE"""),45777.0)</f>
        <v>45777</v>
      </c>
    </row>
    <row r="2008">
      <c r="A2008" s="6" t="str">
        <f>IFERROR(__xludf.DUMMYFUNCTION("""COMPUTED_VALUE"""),"RIA")</f>
        <v>RIA</v>
      </c>
      <c r="B2008" s="6" t="str">
        <f>IFERROR(__xludf.DUMMYFUNCTION("""COMPUTED_VALUE"""),"ENG")</f>
        <v>ENG</v>
      </c>
      <c r="C2008" s="6" t="str">
        <f>IFERROR(__xludf.DUMMYFUNCTION("""COMPUTED_VALUE"""),"P-53381-00")</f>
        <v>P-53381-00</v>
      </c>
      <c r="D2008" s="6" t="str">
        <f>IFERROR(__xludf.DUMMYFUNCTION("""COMPUTED_VALUE"""),"General - Display Inverter LCP 02; Danfoss; 130B1107; 1 pc")</f>
        <v>General - Display Inverter LCP 02; Danfoss; 130B1107; 1 pc</v>
      </c>
      <c r="E2008" s="6">
        <f>IFERROR(__xludf.DUMMYFUNCTION("""COMPUTED_VALUE"""),3.0)</f>
        <v>3</v>
      </c>
      <c r="F2008" s="6">
        <f>IFERROR(__xludf.DUMMYFUNCTION("""COMPUTED_VALUE"""),3.0)</f>
        <v>3</v>
      </c>
      <c r="G2008" s="6">
        <f>IFERROR(__xludf.DUMMYFUNCTION("""COMPUTED_VALUE"""),0.0)</f>
        <v>0</v>
      </c>
      <c r="H2008" s="6" t="str">
        <f>IFERROR(__xludf.DUMMYFUNCTION("""COMPUTED_VALUE"""),"Pcs")</f>
        <v>Pcs</v>
      </c>
      <c r="I2008" s="6" t="str">
        <f>IFERROR(__xludf.DUMMYFUNCTION("""COMPUTED_VALUE"""),"RYP")</f>
        <v>RYP</v>
      </c>
      <c r="J2008" s="6" t="str">
        <f>IFERROR(__xludf.DUMMYFUNCTION("""COMPUTED_VALUE"""),"PWG")</f>
        <v>PWG</v>
      </c>
      <c r="K2008" s="6" t="str">
        <f>IFERROR(__xludf.DUMMYFUNCTION("""COMPUTED_VALUE"""),"SPR/04/25/050")</f>
        <v>SPR/04/25/050</v>
      </c>
      <c r="L2008" s="13">
        <f>IFERROR(__xludf.DUMMYFUNCTION("""COMPUTED_VALUE"""),45777.0)</f>
        <v>45777</v>
      </c>
    </row>
    <row r="2009">
      <c r="A2009" s="6" t="str">
        <f>IFERROR(__xludf.DUMMYFUNCTION("""COMPUTED_VALUE"""),"MRN")</f>
        <v>MRN</v>
      </c>
      <c r="B2009" s="6" t="str">
        <f>IFERROR(__xludf.DUMMYFUNCTION("""COMPUTED_VALUE"""),"ENG")</f>
        <v>ENG</v>
      </c>
      <c r="C2009" s="6" t="str">
        <f>IFERROR(__xludf.DUMMYFUNCTION("""COMPUTED_VALUE"""),"Q-10134-00")</f>
        <v>Q-10134-00</v>
      </c>
      <c r="D2009" s="6" t="str">
        <f>IFERROR(__xludf.DUMMYFUNCTION("""COMPUTED_VALUE"""),"TOTO - Jet Shower spray TX 403S")</f>
        <v>TOTO - Jet Shower spray TX 403S</v>
      </c>
      <c r="E2009" s="6">
        <f>IFERROR(__xludf.DUMMYFUNCTION("""COMPUTED_VALUE"""),1.0)</f>
        <v>1</v>
      </c>
      <c r="F2009" s="6">
        <f>IFERROR(__xludf.DUMMYFUNCTION("""COMPUTED_VALUE"""),1.0)</f>
        <v>1</v>
      </c>
      <c r="G2009" s="6">
        <f>IFERROR(__xludf.DUMMYFUNCTION("""COMPUTED_VALUE"""),0.0)</f>
        <v>0</v>
      </c>
      <c r="H2009" s="6" t="str">
        <f>IFERROR(__xludf.DUMMYFUNCTION("""COMPUTED_VALUE"""),"Pcs")</f>
        <v>Pcs</v>
      </c>
      <c r="I2009" s="6" t="str">
        <f>IFERROR(__xludf.DUMMYFUNCTION("""COMPUTED_VALUE"""),"MFH")</f>
        <v>MFH</v>
      </c>
      <c r="J2009" s="6" t="str">
        <f>IFERROR(__xludf.DUMMYFUNCTION("""COMPUTED_VALUE"""),"Building")</f>
        <v>Building</v>
      </c>
      <c r="K2009" s="6" t="str">
        <f>IFERROR(__xludf.DUMMYFUNCTION("""COMPUTED_VALUE"""),"SPR/05/25/001")</f>
        <v>SPR/05/25/001</v>
      </c>
      <c r="L2009" s="13">
        <f>IFERROR(__xludf.DUMMYFUNCTION("""COMPUTED_VALUE"""),45808.0)</f>
        <v>45808</v>
      </c>
    </row>
    <row r="2010">
      <c r="A2010" s="6" t="str">
        <f>IFERROR(__xludf.DUMMYFUNCTION("""COMPUTED_VALUE"""),"ROS")</f>
        <v>ROS</v>
      </c>
      <c r="B2010" s="6" t="str">
        <f>IFERROR(__xludf.DUMMYFUNCTION("""COMPUTED_VALUE"""),"ENG")</f>
        <v>ENG</v>
      </c>
      <c r="C2010" s="6" t="str">
        <f>IFERROR(__xludf.DUMMYFUNCTION("""COMPUTED_VALUE"""),"-")</f>
        <v>-</v>
      </c>
      <c r="D2010" s="6" t="str">
        <f>IFERROR(__xludf.DUMMYFUNCTION("""COMPUTED_VALUE"""),"Lampu Havells 27W")</f>
        <v>Lampu Havells 27W</v>
      </c>
      <c r="E2010" s="6">
        <f>IFERROR(__xludf.DUMMYFUNCTION("""COMPUTED_VALUE"""),1.0)</f>
        <v>1</v>
      </c>
      <c r="F2010" s="6">
        <f>IFERROR(__xludf.DUMMYFUNCTION("""COMPUTED_VALUE"""),1.0)</f>
        <v>1</v>
      </c>
      <c r="G2010" s="6">
        <f>IFERROR(__xludf.DUMMYFUNCTION("""COMPUTED_VALUE"""),0.0)</f>
        <v>0</v>
      </c>
      <c r="H2010" s="6" t="str">
        <f>IFERROR(__xludf.DUMMYFUNCTION("""COMPUTED_VALUE"""),"Pcs")</f>
        <v>Pcs</v>
      </c>
      <c r="I2010" s="6" t="str">
        <f>IFERROR(__xludf.DUMMYFUNCTION("""COMPUTED_VALUE"""),"MFH")</f>
        <v>MFH</v>
      </c>
      <c r="J2010" s="6" t="str">
        <f>IFERROR(__xludf.DUMMYFUNCTION("""COMPUTED_VALUE"""),"Mixing")</f>
        <v>Mixing</v>
      </c>
      <c r="K2010" s="6" t="str">
        <f>IFERROR(__xludf.DUMMYFUNCTION("""COMPUTED_VALUE"""),"SPR/05/25/002")</f>
        <v>SPR/05/25/002</v>
      </c>
      <c r="L2010" s="13">
        <f>IFERROR(__xludf.DUMMYFUNCTION("""COMPUTED_VALUE"""),45808.0)</f>
        <v>45808</v>
      </c>
    </row>
    <row r="2011">
      <c r="A2011" s="6" t="str">
        <f>IFERROR(__xludf.DUMMYFUNCTION("""COMPUTED_VALUE"""),"ROS")</f>
        <v>ROS</v>
      </c>
      <c r="B2011" s="6" t="str">
        <f>IFERROR(__xludf.DUMMYFUNCTION("""COMPUTED_VALUE"""),"ENG")</f>
        <v>ENG</v>
      </c>
      <c r="C2011" s="6" t="str">
        <f>IFERROR(__xludf.DUMMYFUNCTION("""COMPUTED_VALUE"""),"Q-10434-00")</f>
        <v>Q-10434-00</v>
      </c>
      <c r="D2011" s="6" t="str">
        <f>IFERROR(__xludf.DUMMYFUNCTION("""COMPUTED_VALUE"""),"Lampu Tornado Philips 27 W Cool Daylight; PHILIPS; 27WATTS;")</f>
        <v>Lampu Tornado Philips 27 W Cool Daylight; PHILIPS; 27WATTS;</v>
      </c>
      <c r="E2011" s="6">
        <f>IFERROR(__xludf.DUMMYFUNCTION("""COMPUTED_VALUE"""),2.0)</f>
        <v>2</v>
      </c>
      <c r="F2011" s="6">
        <f>IFERROR(__xludf.DUMMYFUNCTION("""COMPUTED_VALUE"""),2.0)</f>
        <v>2</v>
      </c>
      <c r="G2011" s="6">
        <f>IFERROR(__xludf.DUMMYFUNCTION("""COMPUTED_VALUE"""),0.0)</f>
        <v>0</v>
      </c>
      <c r="H2011" s="6" t="str">
        <f>IFERROR(__xludf.DUMMYFUNCTION("""COMPUTED_VALUE"""),"Pcs")</f>
        <v>Pcs</v>
      </c>
      <c r="I2011" s="6" t="str">
        <f>IFERROR(__xludf.DUMMYFUNCTION("""COMPUTED_VALUE"""),"MFH")</f>
        <v>MFH</v>
      </c>
      <c r="J2011" s="6" t="str">
        <f>IFERROR(__xludf.DUMMYFUNCTION("""COMPUTED_VALUE"""),"Mixing")</f>
        <v>Mixing</v>
      </c>
      <c r="K2011" s="6" t="str">
        <f>IFERROR(__xludf.DUMMYFUNCTION("""COMPUTED_VALUE"""),"SPR/05/25/002")</f>
        <v>SPR/05/25/002</v>
      </c>
      <c r="L2011" s="13">
        <f>IFERROR(__xludf.DUMMYFUNCTION("""COMPUTED_VALUE"""),45808.0)</f>
        <v>45808</v>
      </c>
    </row>
    <row r="2012">
      <c r="A2012" s="6" t="str">
        <f>IFERROR(__xludf.DUMMYFUNCTION("""COMPUTED_VALUE"""),"SFH")</f>
        <v>SFH</v>
      </c>
      <c r="B2012" s="6" t="str">
        <f>IFERROR(__xludf.DUMMYFUNCTION("""COMPUTED_VALUE"""),"ENG")</f>
        <v>ENG</v>
      </c>
      <c r="C2012" s="6" t="str">
        <f>IFERROR(__xludf.DUMMYFUNCTION("""COMPUTED_VALUE"""),"P-11356-00")</f>
        <v>P-11356-00</v>
      </c>
      <c r="D2012" s="6" t="str">
        <f>IFERROR(__xludf.DUMMYFUNCTION("""COMPUTED_VALUE"""),"Roda Trolly ABUS 4"" ( 100 x 27 ) Without Breake")</f>
        <v>Roda Trolly ABUS 4" ( 100 x 27 ) Without Breake</v>
      </c>
      <c r="E2012" s="6">
        <f>IFERROR(__xludf.DUMMYFUNCTION("""COMPUTED_VALUE"""),1.0)</f>
        <v>1</v>
      </c>
      <c r="F2012" s="6">
        <f>IFERROR(__xludf.DUMMYFUNCTION("""COMPUTED_VALUE"""),1.0)</f>
        <v>1</v>
      </c>
      <c r="G2012" s="6">
        <f>IFERROR(__xludf.DUMMYFUNCTION("""COMPUTED_VALUE"""),0.0)</f>
        <v>0</v>
      </c>
      <c r="H2012" s="6" t="str">
        <f>IFERROR(__xludf.DUMMYFUNCTION("""COMPUTED_VALUE"""),"Pcs")</f>
        <v>Pcs</v>
      </c>
      <c r="I2012" s="6" t="str">
        <f>IFERROR(__xludf.DUMMYFUNCTION("""COMPUTED_VALUE"""),"MFH")</f>
        <v>MFH</v>
      </c>
      <c r="J2012" s="6" t="str">
        <f>IFERROR(__xludf.DUMMYFUNCTION("""COMPUTED_VALUE"""),"Building")</f>
        <v>Building</v>
      </c>
      <c r="K2012" s="6" t="str">
        <f>IFERROR(__xludf.DUMMYFUNCTION("""COMPUTED_VALUE"""),"SPR/05/25/003")</f>
        <v>SPR/05/25/003</v>
      </c>
      <c r="L2012" s="13">
        <f>IFERROR(__xludf.DUMMYFUNCTION("""COMPUTED_VALUE"""),45808.0)</f>
        <v>45808</v>
      </c>
    </row>
    <row r="2013">
      <c r="A2013" s="6" t="str">
        <f>IFERROR(__xludf.DUMMYFUNCTION("""COMPUTED_VALUE"""),"MRN")</f>
        <v>MRN</v>
      </c>
      <c r="B2013" s="6" t="str">
        <f>IFERROR(__xludf.DUMMYFUNCTION("""COMPUTED_VALUE"""),"ENG")</f>
        <v>ENG</v>
      </c>
      <c r="C2013" s="6" t="str">
        <f>IFERROR(__xludf.DUMMYFUNCTION("""COMPUTED_VALUE"""),"P-51560-00")</f>
        <v>P-51560-00</v>
      </c>
      <c r="D2013" s="6" t="str">
        <f>IFERROR(__xludf.DUMMYFUNCTION("""COMPUTED_VALUE"""),"Lampu T5 28watt Putih; Phillips; ;")</f>
        <v>Lampu T5 28watt Putih; Phillips; ;</v>
      </c>
      <c r="E2013" s="6">
        <f>IFERROR(__xludf.DUMMYFUNCTION("""COMPUTED_VALUE"""),4.0)</f>
        <v>4</v>
      </c>
      <c r="F2013" s="6">
        <f>IFERROR(__xludf.DUMMYFUNCTION("""COMPUTED_VALUE"""),4.0)</f>
        <v>4</v>
      </c>
      <c r="G2013" s="6">
        <f>IFERROR(__xludf.DUMMYFUNCTION("""COMPUTED_VALUE"""),0.0)</f>
        <v>0</v>
      </c>
      <c r="H2013" s="6" t="str">
        <f>IFERROR(__xludf.DUMMYFUNCTION("""COMPUTED_VALUE"""),"Pcs")</f>
        <v>Pcs</v>
      </c>
      <c r="I2013" s="6" t="str">
        <f>IFERROR(__xludf.DUMMYFUNCTION("""COMPUTED_VALUE"""),"MFH")</f>
        <v>MFH</v>
      </c>
      <c r="J2013" s="6" t="str">
        <f>IFERROR(__xludf.DUMMYFUNCTION("""COMPUTED_VALUE"""),"Building")</f>
        <v>Building</v>
      </c>
      <c r="K2013" s="6" t="str">
        <f>IFERROR(__xludf.DUMMYFUNCTION("""COMPUTED_VALUE"""),"SPR/05/25/004")</f>
        <v>SPR/05/25/004</v>
      </c>
      <c r="L2013" s="13">
        <f>IFERROR(__xludf.DUMMYFUNCTION("""COMPUTED_VALUE"""),45808.0)</f>
        <v>45808</v>
      </c>
    </row>
    <row r="2014">
      <c r="A2014" s="6" t="str">
        <f>IFERROR(__xludf.DUMMYFUNCTION("""COMPUTED_VALUE"""),"MRN")</f>
        <v>MRN</v>
      </c>
      <c r="B2014" s="6" t="str">
        <f>IFERROR(__xludf.DUMMYFUNCTION("""COMPUTED_VALUE"""),"ENG")</f>
        <v>ENG</v>
      </c>
      <c r="C2014" s="6" t="str">
        <f>IFERROR(__xludf.DUMMYFUNCTION("""COMPUTED_VALUE"""),"P-51559-00")</f>
        <v>P-51559-00</v>
      </c>
      <c r="D2014" s="6" t="str">
        <f>IFERROR(__xludf.DUMMYFUNCTION("""COMPUTED_VALUE"""),"Lampu T5 14watt Putih; Phillips; ;")</f>
        <v>Lampu T5 14watt Putih; Phillips; ;</v>
      </c>
      <c r="E2014" s="6">
        <f>IFERROR(__xludf.DUMMYFUNCTION("""COMPUTED_VALUE"""),4.0)</f>
        <v>4</v>
      </c>
      <c r="F2014" s="6">
        <f>IFERROR(__xludf.DUMMYFUNCTION("""COMPUTED_VALUE"""),4.0)</f>
        <v>4</v>
      </c>
      <c r="G2014" s="6">
        <f>IFERROR(__xludf.DUMMYFUNCTION("""COMPUTED_VALUE"""),0.0)</f>
        <v>0</v>
      </c>
      <c r="H2014" s="6" t="str">
        <f>IFERROR(__xludf.DUMMYFUNCTION("""COMPUTED_VALUE"""),"Pcs")</f>
        <v>Pcs</v>
      </c>
      <c r="I2014" s="6" t="str">
        <f>IFERROR(__xludf.DUMMYFUNCTION("""COMPUTED_VALUE"""),"MFH")</f>
        <v>MFH</v>
      </c>
      <c r="J2014" s="6" t="str">
        <f>IFERROR(__xludf.DUMMYFUNCTION("""COMPUTED_VALUE"""),"Building")</f>
        <v>Building</v>
      </c>
      <c r="K2014" s="6" t="str">
        <f>IFERROR(__xludf.DUMMYFUNCTION("""COMPUTED_VALUE"""),"SPR/05/25/004")</f>
        <v>SPR/05/25/004</v>
      </c>
      <c r="L2014" s="13">
        <f>IFERROR(__xludf.DUMMYFUNCTION("""COMPUTED_VALUE"""),45808.0)</f>
        <v>45808</v>
      </c>
    </row>
    <row r="2015">
      <c r="A2015" s="6" t="str">
        <f>IFERROR(__xludf.DUMMYFUNCTION("""COMPUTED_VALUE"""),"MRN")</f>
        <v>MRN</v>
      </c>
      <c r="B2015" s="6" t="str">
        <f>IFERROR(__xludf.DUMMYFUNCTION("""COMPUTED_VALUE"""),"ENG")</f>
        <v>ENG</v>
      </c>
      <c r="C2015" s="6" t="str">
        <f>IFERROR(__xludf.DUMMYFUNCTION("""COMPUTED_VALUE"""),"Q-10153-00")</f>
        <v>Q-10153-00</v>
      </c>
      <c r="D2015" s="6" t="str">
        <f>IFERROR(__xludf.DUMMYFUNCTION("""COMPUTED_VALUE"""),"Roller cat 110mm")</f>
        <v>Roller cat 110mm</v>
      </c>
      <c r="E2015" s="6">
        <f>IFERROR(__xludf.DUMMYFUNCTION("""COMPUTED_VALUE"""),4.0)</f>
        <v>4</v>
      </c>
      <c r="F2015" s="6">
        <f>IFERROR(__xludf.DUMMYFUNCTION("""COMPUTED_VALUE"""),4.0)</f>
        <v>4</v>
      </c>
      <c r="G2015" s="6">
        <f>IFERROR(__xludf.DUMMYFUNCTION("""COMPUTED_VALUE"""),0.0)</f>
        <v>0</v>
      </c>
      <c r="H2015" s="6" t="str">
        <f>IFERROR(__xludf.DUMMYFUNCTION("""COMPUTED_VALUE"""),"Pcs")</f>
        <v>Pcs</v>
      </c>
      <c r="I2015" s="6" t="str">
        <f>IFERROR(__xludf.DUMMYFUNCTION("""COMPUTED_VALUE"""),"MFH")</f>
        <v>MFH</v>
      </c>
      <c r="J2015" s="6" t="str">
        <f>IFERROR(__xludf.DUMMYFUNCTION("""COMPUTED_VALUE"""),"Building")</f>
        <v>Building</v>
      </c>
      <c r="K2015" s="6" t="str">
        <f>IFERROR(__xludf.DUMMYFUNCTION("""COMPUTED_VALUE"""),"SPR/05/25/004")</f>
        <v>SPR/05/25/004</v>
      </c>
      <c r="L2015" s="13">
        <f>IFERROR(__xludf.DUMMYFUNCTION("""COMPUTED_VALUE"""),45808.0)</f>
        <v>45808</v>
      </c>
    </row>
    <row r="2016">
      <c r="A2016" s="6" t="str">
        <f>IFERROR(__xludf.DUMMYFUNCTION("""COMPUTED_VALUE"""),"RAI")</f>
        <v>RAI</v>
      </c>
      <c r="B2016" s="6" t="str">
        <f>IFERROR(__xludf.DUMMYFUNCTION("""COMPUTED_VALUE"""),"PRO")</f>
        <v>PRO</v>
      </c>
      <c r="C2016" s="6" t="str">
        <f>IFERROR(__xludf.DUMMYFUNCTION("""COMPUTED_VALUE"""),"O-18055-00")</f>
        <v>O-18055-00</v>
      </c>
      <c r="D2016" s="6" t="str">
        <f>IFERROR(__xludf.DUMMYFUNCTION("""COMPUTED_VALUE""")," Robot Casepacker - Suction cup; VB17. single below; diameter Cup 17 mm.")</f>
        <v> Robot Casepacker - Suction cup; VB17. single below; diameter Cup 17 mm.</v>
      </c>
      <c r="E2016" s="6">
        <f>IFERROR(__xludf.DUMMYFUNCTION("""COMPUTED_VALUE"""),2.0)</f>
        <v>2</v>
      </c>
      <c r="F2016" s="6">
        <f>IFERROR(__xludf.DUMMYFUNCTION("""COMPUTED_VALUE"""),2.0)</f>
        <v>2</v>
      </c>
      <c r="G2016" s="6">
        <f>IFERROR(__xludf.DUMMYFUNCTION("""COMPUTED_VALUE"""),0.0)</f>
        <v>0</v>
      </c>
      <c r="H2016" s="6" t="str">
        <f>IFERROR(__xludf.DUMMYFUNCTION("""COMPUTED_VALUE"""),"Pcs")</f>
        <v>Pcs</v>
      </c>
      <c r="I2016" s="6" t="str">
        <f>IFERROR(__xludf.DUMMYFUNCTION("""COMPUTED_VALUE"""),"MFH")</f>
        <v>MFH</v>
      </c>
      <c r="J2016" s="6" t="str">
        <f>IFERROR(__xludf.DUMMYFUNCTION("""COMPUTED_VALUE"""),"Cartoning")</f>
        <v>Cartoning</v>
      </c>
      <c r="K2016" s="6" t="str">
        <f>IFERROR(__xludf.DUMMYFUNCTION("""COMPUTED_VALUE"""),"SPR/05/25/005")</f>
        <v>SPR/05/25/005</v>
      </c>
      <c r="L2016" s="13">
        <f>IFERROR(__xludf.DUMMYFUNCTION("""COMPUTED_VALUE"""),45808.0)</f>
        <v>45808</v>
      </c>
    </row>
    <row r="2017">
      <c r="A2017" s="6" t="str">
        <f>IFERROR(__xludf.DUMMYFUNCTION("""COMPUTED_VALUE"""),"RAI")</f>
        <v>RAI</v>
      </c>
      <c r="B2017" s="6" t="str">
        <f>IFERROR(__xludf.DUMMYFUNCTION("""COMPUTED_VALUE"""),"PRO")</f>
        <v>PRO</v>
      </c>
      <c r="C2017" s="6" t="str">
        <f>IFERROR(__xludf.DUMMYFUNCTION("""COMPUTED_VALUE"""),"P-11968-00")</f>
        <v>P-11968-00</v>
      </c>
      <c r="D2017" s="6" t="str">
        <f>IFERROR(__xludf.DUMMYFUNCTION("""COMPUTED_VALUE"""),"Berusynt FGH Spray H1 - Bechem")</f>
        <v>Berusynt FGH Spray H1 - Bechem</v>
      </c>
      <c r="E2017" s="6">
        <f>IFERROR(__xludf.DUMMYFUNCTION("""COMPUTED_VALUE"""),1.0)</f>
        <v>1</v>
      </c>
      <c r="F2017" s="6">
        <f>IFERROR(__xludf.DUMMYFUNCTION("""COMPUTED_VALUE"""),1.0)</f>
        <v>1</v>
      </c>
      <c r="G2017" s="6">
        <f>IFERROR(__xludf.DUMMYFUNCTION("""COMPUTED_VALUE"""),0.0)</f>
        <v>0</v>
      </c>
      <c r="H2017" s="6" t="str">
        <f>IFERROR(__xludf.DUMMYFUNCTION("""COMPUTED_VALUE"""),"Pcs")</f>
        <v>Pcs</v>
      </c>
      <c r="I2017" s="6" t="str">
        <f>IFERROR(__xludf.DUMMYFUNCTION("""COMPUTED_VALUE"""),"MFH")</f>
        <v>MFH</v>
      </c>
      <c r="J2017" s="6" t="str">
        <f>IFERROR(__xludf.DUMMYFUNCTION("""COMPUTED_VALUE"""),"Cartoning")</f>
        <v>Cartoning</v>
      </c>
      <c r="K2017" s="6" t="str">
        <f>IFERROR(__xludf.DUMMYFUNCTION("""COMPUTED_VALUE"""),"SPR/05/25/005")</f>
        <v>SPR/05/25/005</v>
      </c>
      <c r="L2017" s="13">
        <f>IFERROR(__xludf.DUMMYFUNCTION("""COMPUTED_VALUE"""),45808.0)</f>
        <v>45808</v>
      </c>
    </row>
    <row r="2018">
      <c r="A2018" s="6" t="str">
        <f>IFERROR(__xludf.DUMMYFUNCTION("""COMPUTED_VALUE"""),"SHF")</f>
        <v>SHF</v>
      </c>
      <c r="B2018" s="6" t="str">
        <f>IFERROR(__xludf.DUMMYFUNCTION("""COMPUTED_VALUE"""),"ENG")</f>
        <v>ENG</v>
      </c>
      <c r="C2018" s="6" t="str">
        <f>IFERROR(__xludf.DUMMYFUNCTION("""COMPUTED_VALUE"""),"P-19484-00")</f>
        <v>P-19484-00</v>
      </c>
      <c r="D2018" s="6" t="str">
        <f>IFERROR(__xludf.DUMMYFUNCTION("""COMPUTED_VALUE"""),"General - Sliding Pintu Lift Barang Uk. 50 x 32 mm; Custom/Lokal; -; 1 Pc")</f>
        <v>General - Sliding Pintu Lift Barang Uk. 50 x 32 mm; Custom/Lokal; -; 1 Pc</v>
      </c>
      <c r="E2018" s="6">
        <f>IFERROR(__xludf.DUMMYFUNCTION("""COMPUTED_VALUE"""),2.0)</f>
        <v>2</v>
      </c>
      <c r="F2018" s="6">
        <f>IFERROR(__xludf.DUMMYFUNCTION("""COMPUTED_VALUE"""),2.0)</f>
        <v>2</v>
      </c>
      <c r="G2018" s="6">
        <f>IFERROR(__xludf.DUMMYFUNCTION("""COMPUTED_VALUE"""),0.0)</f>
        <v>0</v>
      </c>
      <c r="H2018" s="6" t="str">
        <f>IFERROR(__xludf.DUMMYFUNCTION("""COMPUTED_VALUE"""),"Pcs")</f>
        <v>Pcs</v>
      </c>
      <c r="I2018" s="6" t="str">
        <f>IFERROR(__xludf.DUMMYFUNCTION("""COMPUTED_VALUE"""),"MFH")</f>
        <v>MFH</v>
      </c>
      <c r="J2018" s="6" t="str">
        <f>IFERROR(__xludf.DUMMYFUNCTION("""COMPUTED_VALUE"""),"Building")</f>
        <v>Building</v>
      </c>
      <c r="K2018" s="6" t="str">
        <f>IFERROR(__xludf.DUMMYFUNCTION("""COMPUTED_VALUE"""),"SPR/05/25/006")</f>
        <v>SPR/05/25/006</v>
      </c>
      <c r="L2018" s="13">
        <f>IFERROR(__xludf.DUMMYFUNCTION("""COMPUTED_VALUE"""),45808.0)</f>
        <v>45808</v>
      </c>
    </row>
    <row r="2019">
      <c r="A2019" s="6" t="str">
        <f>IFERROR(__xludf.DUMMYFUNCTION("""COMPUTED_VALUE"""),"RIA")</f>
        <v>RIA</v>
      </c>
      <c r="B2019" s="6" t="str">
        <f>IFERROR(__xludf.DUMMYFUNCTION("""COMPUTED_VALUE"""),"ENG")</f>
        <v>ENG</v>
      </c>
      <c r="C2019" s="6" t="str">
        <f>IFERROR(__xludf.DUMMYFUNCTION("""COMPUTED_VALUE"""),"P-17645-00")</f>
        <v>P-17645-00</v>
      </c>
      <c r="D2019" s="6" t="str">
        <f>IFERROR(__xludf.DUMMYFUNCTION("""COMPUTED_VALUE"""),"Sodium Hiphoclorite; ; ; ltr")</f>
        <v>Sodium Hiphoclorite; ; ; ltr</v>
      </c>
      <c r="E2019" s="6">
        <f>IFERROR(__xludf.DUMMYFUNCTION("""COMPUTED_VALUE"""),210.0)</f>
        <v>210</v>
      </c>
      <c r="F2019" s="6">
        <f>IFERROR(__xludf.DUMMYFUNCTION("""COMPUTED_VALUE"""),210.0)</f>
        <v>210</v>
      </c>
      <c r="G2019" s="6">
        <f>IFERROR(__xludf.DUMMYFUNCTION("""COMPUTED_VALUE"""),0.0)</f>
        <v>0</v>
      </c>
      <c r="H2019" s="6" t="str">
        <f>IFERROR(__xludf.DUMMYFUNCTION("""COMPUTED_VALUE"""),"Liter")</f>
        <v>Liter</v>
      </c>
      <c r="I2019" s="6" t="str">
        <f>IFERROR(__xludf.DUMMYFUNCTION("""COMPUTED_VALUE"""),"MFH")</f>
        <v>MFH</v>
      </c>
      <c r="J2019" s="6" t="str">
        <f>IFERROR(__xludf.DUMMYFUNCTION("""COMPUTED_VALUE"""),"WWTP")</f>
        <v>WWTP</v>
      </c>
      <c r="K2019" s="6" t="str">
        <f>IFERROR(__xludf.DUMMYFUNCTION("""COMPUTED_VALUE"""),"SPR/05/25/007")</f>
        <v>SPR/05/25/007</v>
      </c>
      <c r="L2019" s="13">
        <f>IFERROR(__xludf.DUMMYFUNCTION("""COMPUTED_VALUE"""),45808.0)</f>
        <v>45808</v>
      </c>
    </row>
    <row r="2020">
      <c r="A2020" s="6" t="str">
        <f>IFERROR(__xludf.DUMMYFUNCTION("""COMPUTED_VALUE"""),"RIA")</f>
        <v>RIA</v>
      </c>
      <c r="B2020" s="6" t="str">
        <f>IFERROR(__xludf.DUMMYFUNCTION("""COMPUTED_VALUE"""),"ENG")</f>
        <v>ENG</v>
      </c>
      <c r="C2020" s="6" t="str">
        <f>IFERROR(__xludf.DUMMYFUNCTION("""COMPUTED_VALUE"""),"P-12830-00")</f>
        <v>P-12830-00</v>
      </c>
      <c r="D2020" s="6" t="str">
        <f>IFERROR(__xludf.DUMMYFUNCTION("""COMPUTED_VALUE"""),"Sodium metabisulfit")</f>
        <v>Sodium metabisulfit</v>
      </c>
      <c r="E2020" s="6">
        <f>IFERROR(__xludf.DUMMYFUNCTION("""COMPUTED_VALUE"""),5.0)</f>
        <v>5</v>
      </c>
      <c r="F2020" s="6">
        <f>IFERROR(__xludf.DUMMYFUNCTION("""COMPUTED_VALUE"""),5.0)</f>
        <v>5</v>
      </c>
      <c r="G2020" s="6">
        <f>IFERROR(__xludf.DUMMYFUNCTION("""COMPUTED_VALUE"""),0.0)</f>
        <v>0</v>
      </c>
      <c r="H2020" s="6" t="str">
        <f>IFERROR(__xludf.DUMMYFUNCTION("""COMPUTED_VALUE"""),"Kg")</f>
        <v>Kg</v>
      </c>
      <c r="I2020" s="6" t="str">
        <f>IFERROR(__xludf.DUMMYFUNCTION("""COMPUTED_VALUE"""),"MFH")</f>
        <v>MFH</v>
      </c>
      <c r="J2020" s="6" t="str">
        <f>IFERROR(__xludf.DUMMYFUNCTION("""COMPUTED_VALUE"""),"WWTP")</f>
        <v>WWTP</v>
      </c>
      <c r="K2020" s="6" t="str">
        <f>IFERROR(__xludf.DUMMYFUNCTION("""COMPUTED_VALUE"""),"SPR/05/25/007")</f>
        <v>SPR/05/25/007</v>
      </c>
      <c r="L2020" s="13">
        <f>IFERROR(__xludf.DUMMYFUNCTION("""COMPUTED_VALUE"""),45808.0)</f>
        <v>45808</v>
      </c>
    </row>
    <row r="2021">
      <c r="A2021" s="6" t="str">
        <f>IFERROR(__xludf.DUMMYFUNCTION("""COMPUTED_VALUE"""),"EPO")</f>
        <v>EPO</v>
      </c>
      <c r="B2021" s="6" t="str">
        <f>IFERROR(__xludf.DUMMYFUNCTION("""COMPUTED_VALUE"""),"ENG")</f>
        <v>ENG</v>
      </c>
      <c r="C2021" s="6" t="str">
        <f>IFERROR(__xludf.DUMMYFUNCTION("""COMPUTED_VALUE"""),"P-13389-00")</f>
        <v>P-13389-00</v>
      </c>
      <c r="D2021" s="6" t="str">
        <f>IFERROR(__xludf.DUMMYFUNCTION("""COMPUTED_VALUE"""),"Scotch Brite 3M; ; ;")</f>
        <v>Scotch Brite 3M; ; ;</v>
      </c>
      <c r="E2021" s="6">
        <f>IFERROR(__xludf.DUMMYFUNCTION("""COMPUTED_VALUE"""),1.0)</f>
        <v>1</v>
      </c>
      <c r="F2021" s="6">
        <f>IFERROR(__xludf.DUMMYFUNCTION("""COMPUTED_VALUE"""),1.0)</f>
        <v>1</v>
      </c>
      <c r="G2021" s="6">
        <f>IFERROR(__xludf.DUMMYFUNCTION("""COMPUTED_VALUE"""),0.0)</f>
        <v>0</v>
      </c>
      <c r="H2021" s="6" t="str">
        <f>IFERROR(__xludf.DUMMYFUNCTION("""COMPUTED_VALUE"""),"Pcs")</f>
        <v>Pcs</v>
      </c>
      <c r="I2021" s="6" t="str">
        <f>IFERROR(__xludf.DUMMYFUNCTION("""COMPUTED_VALUE"""),"MFH")</f>
        <v>MFH</v>
      </c>
      <c r="J2021" s="6" t="str">
        <f>IFERROR(__xludf.DUMMYFUNCTION("""COMPUTED_VALUE"""),"Building")</f>
        <v>Building</v>
      </c>
      <c r="K2021" s="6" t="str">
        <f>IFERROR(__xludf.DUMMYFUNCTION("""COMPUTED_VALUE"""),"SPR/05/25/008")</f>
        <v>SPR/05/25/008</v>
      </c>
      <c r="L2021" s="13">
        <f>IFERROR(__xludf.DUMMYFUNCTION("""COMPUTED_VALUE"""),45808.0)</f>
        <v>45808</v>
      </c>
    </row>
    <row r="2022">
      <c r="A2022" s="6" t="str">
        <f>IFERROR(__xludf.DUMMYFUNCTION("""COMPUTED_VALUE"""),"SFH")</f>
        <v>SFH</v>
      </c>
      <c r="B2022" s="6" t="str">
        <f>IFERROR(__xludf.DUMMYFUNCTION("""COMPUTED_VALUE"""),"ENG")</f>
        <v>ENG</v>
      </c>
      <c r="C2022" s="6" t="str">
        <f>IFERROR(__xludf.DUMMYFUNCTION("""COMPUTED_VALUE"""),"P-51560-00")</f>
        <v>P-51560-00</v>
      </c>
      <c r="D2022" s="6" t="str">
        <f>IFERROR(__xludf.DUMMYFUNCTION("""COMPUTED_VALUE"""),"Lampu T5 28watt Putih; Phillips; ;")</f>
        <v>Lampu T5 28watt Putih; Phillips; ;</v>
      </c>
      <c r="E2022" s="6">
        <f>IFERROR(__xludf.DUMMYFUNCTION("""COMPUTED_VALUE"""),6.0)</f>
        <v>6</v>
      </c>
      <c r="F2022" s="6">
        <f>IFERROR(__xludf.DUMMYFUNCTION("""COMPUTED_VALUE"""),6.0)</f>
        <v>6</v>
      </c>
      <c r="G2022" s="6">
        <f>IFERROR(__xludf.DUMMYFUNCTION("""COMPUTED_VALUE"""),0.0)</f>
        <v>0</v>
      </c>
      <c r="H2022" s="6" t="str">
        <f>IFERROR(__xludf.DUMMYFUNCTION("""COMPUTED_VALUE"""),"Pcs")</f>
        <v>Pcs</v>
      </c>
      <c r="I2022" s="6" t="str">
        <f>IFERROR(__xludf.DUMMYFUNCTION("""COMPUTED_VALUE"""),"MFH")</f>
        <v>MFH</v>
      </c>
      <c r="J2022" s="6" t="str">
        <f>IFERROR(__xludf.DUMMYFUNCTION("""COMPUTED_VALUE"""),"Building")</f>
        <v>Building</v>
      </c>
      <c r="K2022" s="6" t="str">
        <f>IFERROR(__xludf.DUMMYFUNCTION("""COMPUTED_VALUE"""),"SPR/05/25/009")</f>
        <v>SPR/05/25/009</v>
      </c>
      <c r="L2022" s="13">
        <f>IFERROR(__xludf.DUMMYFUNCTION("""COMPUTED_VALUE"""),45808.0)</f>
        <v>45808</v>
      </c>
    </row>
    <row r="2023">
      <c r="A2023" s="6" t="str">
        <f>IFERROR(__xludf.DUMMYFUNCTION("""COMPUTED_VALUE"""),"INN")</f>
        <v>INN</v>
      </c>
      <c r="B2023" s="6" t="str">
        <f>IFERROR(__xludf.DUMMYFUNCTION("""COMPUTED_VALUE"""),"ENG")</f>
        <v>ENG</v>
      </c>
      <c r="C2023" s="6" t="str">
        <f>IFERROR(__xludf.DUMMYFUNCTION("""COMPUTED_VALUE"""),"P-12764-00")</f>
        <v>P-12764-00</v>
      </c>
      <c r="D2023" s="6" t="str">
        <f>IFERROR(__xludf.DUMMYFUNCTION("""COMPUTED_VALUE"""),"Silicone gasket for ferrule dia 1/2inch Taiwan")</f>
        <v>Silicone gasket for ferrule dia 1/2inch Taiwan</v>
      </c>
      <c r="E2023" s="6">
        <f>IFERROR(__xludf.DUMMYFUNCTION("""COMPUTED_VALUE"""),10.0)</f>
        <v>10</v>
      </c>
      <c r="F2023" s="6">
        <f>IFERROR(__xludf.DUMMYFUNCTION("""COMPUTED_VALUE"""),10.0)</f>
        <v>10</v>
      </c>
      <c r="G2023" s="6">
        <f>IFERROR(__xludf.DUMMYFUNCTION("""COMPUTED_VALUE"""),0.0)</f>
        <v>0</v>
      </c>
      <c r="H2023" s="6" t="str">
        <f>IFERROR(__xludf.DUMMYFUNCTION("""COMPUTED_VALUE"""),"Pcs")</f>
        <v>Pcs</v>
      </c>
      <c r="I2023" s="6" t="str">
        <f>IFERROR(__xludf.DUMMYFUNCTION("""COMPUTED_VALUE"""),"MFH")</f>
        <v>MFH</v>
      </c>
      <c r="J2023" s="6" t="str">
        <f>IFERROR(__xludf.DUMMYFUNCTION("""COMPUTED_VALUE"""),"Filling")</f>
        <v>Filling</v>
      </c>
      <c r="K2023" s="6" t="str">
        <f>IFERROR(__xludf.DUMMYFUNCTION("""COMPUTED_VALUE"""),"SPR/05/25/010")</f>
        <v>SPR/05/25/010</v>
      </c>
      <c r="L2023" s="13">
        <f>IFERROR(__xludf.DUMMYFUNCTION("""COMPUTED_VALUE"""),45808.0)</f>
        <v>45808</v>
      </c>
    </row>
    <row r="2024">
      <c r="A2024" s="6" t="str">
        <f>IFERROR(__xludf.DUMMYFUNCTION("""COMPUTED_VALUE"""),"INN")</f>
        <v>INN</v>
      </c>
      <c r="B2024" s="6" t="str">
        <f>IFERROR(__xludf.DUMMYFUNCTION("""COMPUTED_VALUE"""),"ENG")</f>
        <v>ENG</v>
      </c>
      <c r="C2024" s="6" t="str">
        <f>IFERROR(__xludf.DUMMYFUNCTION("""COMPUTED_VALUE"""),"O-16647-00")</f>
        <v>O-16647-00</v>
      </c>
      <c r="D2024" s="6" t="str">
        <f>IFERROR(__xludf.DUMMYFUNCTION("""COMPUTED_VALUE"""),"Washing RAR4 - Oring Silicone Merah 23x18x2.5 mm")</f>
        <v>Washing RAR4 - Oring Silicone Merah 23x18x2.5 mm</v>
      </c>
      <c r="E2024" s="6">
        <f>IFERROR(__xludf.DUMMYFUNCTION("""COMPUTED_VALUE"""),10.0)</f>
        <v>10</v>
      </c>
      <c r="F2024" s="6">
        <f>IFERROR(__xludf.DUMMYFUNCTION("""COMPUTED_VALUE"""),10.0)</f>
        <v>10</v>
      </c>
      <c r="G2024" s="6">
        <f>IFERROR(__xludf.DUMMYFUNCTION("""COMPUTED_VALUE"""),0.0)</f>
        <v>0</v>
      </c>
      <c r="H2024" s="6" t="str">
        <f>IFERROR(__xludf.DUMMYFUNCTION("""COMPUTED_VALUE"""),"Pcs")</f>
        <v>Pcs</v>
      </c>
      <c r="I2024" s="6" t="str">
        <f>IFERROR(__xludf.DUMMYFUNCTION("""COMPUTED_VALUE"""),"MFH")</f>
        <v>MFH</v>
      </c>
      <c r="J2024" s="6" t="str">
        <f>IFERROR(__xludf.DUMMYFUNCTION("""COMPUTED_VALUE"""),"Capping")</f>
        <v>Capping</v>
      </c>
      <c r="K2024" s="6" t="str">
        <f>IFERROR(__xludf.DUMMYFUNCTION("""COMPUTED_VALUE"""),"SPR/05/25/010")</f>
        <v>SPR/05/25/010</v>
      </c>
      <c r="L2024" s="13">
        <f>IFERROR(__xludf.DUMMYFUNCTION("""COMPUTED_VALUE"""),45808.0)</f>
        <v>45808</v>
      </c>
    </row>
    <row r="2025">
      <c r="A2025" s="6" t="str">
        <f>IFERROR(__xludf.DUMMYFUNCTION("""COMPUTED_VALUE"""),"NDS")</f>
        <v>NDS</v>
      </c>
      <c r="B2025" s="6" t="str">
        <f>IFERROR(__xludf.DUMMYFUNCTION("""COMPUTED_VALUE"""),"ENG")</f>
        <v>ENG</v>
      </c>
      <c r="C2025" s="6" t="str">
        <f>IFERROR(__xludf.DUMMYFUNCTION("""COMPUTED_VALUE"""),"O-16032-00")</f>
        <v>O-16032-00</v>
      </c>
      <c r="D2025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025" s="6">
        <f>IFERROR(__xludf.DUMMYFUNCTION("""COMPUTED_VALUE"""),1.0)</f>
        <v>1</v>
      </c>
      <c r="F2025" s="6">
        <f>IFERROR(__xludf.DUMMYFUNCTION("""COMPUTED_VALUE"""),1.0)</f>
        <v>1</v>
      </c>
      <c r="G2025" s="6">
        <f>IFERROR(__xludf.DUMMYFUNCTION("""COMPUTED_VALUE"""),0.0)</f>
        <v>0</v>
      </c>
      <c r="H2025" s="6" t="str">
        <f>IFERROR(__xludf.DUMMYFUNCTION("""COMPUTED_VALUE"""),"Pcs")</f>
        <v>Pcs</v>
      </c>
      <c r="I2025" s="6" t="str">
        <f>IFERROR(__xludf.DUMMYFUNCTION("""COMPUTED_VALUE"""),"MFH")</f>
        <v>MFH</v>
      </c>
      <c r="J2025" s="6" t="str">
        <f>IFERROR(__xludf.DUMMYFUNCTION("""COMPUTED_VALUE"""),"cRABS")</f>
        <v>cRABS</v>
      </c>
      <c r="K2025" s="6" t="str">
        <f>IFERROR(__xludf.DUMMYFUNCTION("""COMPUTED_VALUE"""),"SPR/05/25/011")</f>
        <v>SPR/05/25/011</v>
      </c>
      <c r="L2025" s="13">
        <f>IFERROR(__xludf.DUMMYFUNCTION("""COMPUTED_VALUE"""),45808.0)</f>
        <v>45808</v>
      </c>
    </row>
    <row r="2026">
      <c r="A2026" s="6" t="str">
        <f>IFERROR(__xludf.DUMMYFUNCTION("""COMPUTED_VALUE"""),"NDS")</f>
        <v>NDS</v>
      </c>
      <c r="B2026" s="6" t="str">
        <f>IFERROR(__xludf.DUMMYFUNCTION("""COMPUTED_VALUE"""),"ENG")</f>
        <v>ENG</v>
      </c>
      <c r="C2026" s="6" t="str">
        <f>IFERROR(__xludf.DUMMYFUNCTION("""COMPUTED_VALUE"""),"P-52110-00")</f>
        <v>P-52110-00</v>
      </c>
      <c r="D2026" s="6" t="str">
        <f>IFERROR(__xludf.DUMMYFUNCTION("""COMPUTED_VALUE"""),"CAPACITOR 5 uF, 500 V, 50/60 Hz; ; ;")</f>
        <v>CAPACITOR 5 uF, 500 V, 50/60 Hz; ; ;</v>
      </c>
      <c r="E2026" s="6">
        <f>IFERROR(__xludf.DUMMYFUNCTION("""COMPUTED_VALUE"""),1.0)</f>
        <v>1</v>
      </c>
      <c r="F2026" s="6">
        <f>IFERROR(__xludf.DUMMYFUNCTION("""COMPUTED_VALUE"""),1.0)</f>
        <v>1</v>
      </c>
      <c r="G2026" s="6">
        <f>IFERROR(__xludf.DUMMYFUNCTION("""COMPUTED_VALUE"""),0.0)</f>
        <v>0</v>
      </c>
      <c r="H2026" s="6" t="str">
        <f>IFERROR(__xludf.DUMMYFUNCTION("""COMPUTED_VALUE"""),"Pcs")</f>
        <v>Pcs</v>
      </c>
      <c r="I2026" s="6" t="str">
        <f>IFERROR(__xludf.DUMMYFUNCTION("""COMPUTED_VALUE"""),"MFH")</f>
        <v>MFH</v>
      </c>
      <c r="J2026" s="6" t="str">
        <f>IFERROR(__xludf.DUMMYFUNCTION("""COMPUTED_VALUE"""),"BOD 5")</f>
        <v>BOD 5</v>
      </c>
      <c r="K2026" s="6" t="str">
        <f>IFERROR(__xludf.DUMMYFUNCTION("""COMPUTED_VALUE"""),"SPR/05/25/011")</f>
        <v>SPR/05/25/011</v>
      </c>
      <c r="L2026" s="13">
        <f>IFERROR(__xludf.DUMMYFUNCTION("""COMPUTED_VALUE"""),45808.0)</f>
        <v>45808</v>
      </c>
    </row>
    <row r="2027">
      <c r="A2027" s="6" t="str">
        <f>IFERROR(__xludf.DUMMYFUNCTION("""COMPUTED_VALUE"""),"INN")</f>
        <v>INN</v>
      </c>
      <c r="B2027" s="6" t="str">
        <f>IFERROR(__xludf.DUMMYFUNCTION("""COMPUTED_VALUE"""),"ENG")</f>
        <v>ENG</v>
      </c>
      <c r="C2027" s="6" t="str">
        <f>IFERROR(__xludf.DUMMYFUNCTION("""COMPUTED_VALUE"""),"O-14618-00")</f>
        <v>O-14618-00</v>
      </c>
      <c r="D2027" s="6" t="str">
        <f>IFERROR(__xludf.DUMMYFUNCTION("""COMPUTED_VALUE"""),"Pneumatic pincher silicone cover sleeve; ; c/n 15927;")</f>
        <v>Pneumatic pincher silicone cover sleeve; ; c/n 15927;</v>
      </c>
      <c r="E2027" s="6">
        <f>IFERROR(__xludf.DUMMYFUNCTION("""COMPUTED_VALUE"""),1.0)</f>
        <v>1</v>
      </c>
      <c r="F2027" s="6">
        <f>IFERROR(__xludf.DUMMYFUNCTION("""COMPUTED_VALUE"""),1.0)</f>
        <v>1</v>
      </c>
      <c r="G2027" s="6">
        <f>IFERROR(__xludf.DUMMYFUNCTION("""COMPUTED_VALUE"""),0.0)</f>
        <v>0</v>
      </c>
      <c r="H2027" s="6" t="str">
        <f>IFERROR(__xludf.DUMMYFUNCTION("""COMPUTED_VALUE"""),"Pcs")</f>
        <v>Pcs</v>
      </c>
      <c r="I2027" s="6" t="str">
        <f>IFERROR(__xludf.DUMMYFUNCTION("""COMPUTED_VALUE"""),"MFH")</f>
        <v>MFH</v>
      </c>
      <c r="J2027" s="6" t="str">
        <f>IFERROR(__xludf.DUMMYFUNCTION("""COMPUTED_VALUE"""),"Washing")</f>
        <v>Washing</v>
      </c>
      <c r="K2027" s="6" t="str">
        <f>IFERROR(__xludf.DUMMYFUNCTION("""COMPUTED_VALUE"""),"SPR/05/25/012")</f>
        <v>SPR/05/25/012</v>
      </c>
      <c r="L2027" s="13">
        <f>IFERROR(__xludf.DUMMYFUNCTION("""COMPUTED_VALUE"""),45808.0)</f>
        <v>45808</v>
      </c>
    </row>
    <row r="2028">
      <c r="A2028" s="6" t="str">
        <f>IFERROR(__xludf.DUMMYFUNCTION("""COMPUTED_VALUE"""),"INN")</f>
        <v>INN</v>
      </c>
      <c r="B2028" s="6" t="str">
        <f>IFERROR(__xludf.DUMMYFUNCTION("""COMPUTED_VALUE"""),"ENG")</f>
        <v>ENG</v>
      </c>
      <c r="C2028" s="6" t="str">
        <f>IFERROR(__xludf.DUMMYFUNCTION("""COMPUTED_VALUE"""),"O-52241-00")</f>
        <v>O-52241-00</v>
      </c>
      <c r="D2028" s="6" t="str">
        <f>IFERROR(__xludf.DUMMYFUNCTION("""COMPUTED_VALUE"""),"Tunnel ST1L - Potensio 10K")</f>
        <v>Tunnel ST1L - Potensio 10K</v>
      </c>
      <c r="E2028" s="6">
        <f>IFERROR(__xludf.DUMMYFUNCTION("""COMPUTED_VALUE"""),1.0)</f>
        <v>1</v>
      </c>
      <c r="F2028" s="6">
        <f>IFERROR(__xludf.DUMMYFUNCTION("""COMPUTED_VALUE"""),1.0)</f>
        <v>1</v>
      </c>
      <c r="G2028" s="6">
        <f>IFERROR(__xludf.DUMMYFUNCTION("""COMPUTED_VALUE"""),0.0)</f>
        <v>0</v>
      </c>
      <c r="H2028" s="6" t="str">
        <f>IFERROR(__xludf.DUMMYFUNCTION("""COMPUTED_VALUE"""),"pcs")</f>
        <v>pcs</v>
      </c>
      <c r="I2028" s="6" t="str">
        <f>IFERROR(__xludf.DUMMYFUNCTION("""COMPUTED_VALUE"""),"MFH")</f>
        <v>MFH</v>
      </c>
      <c r="J2028" s="6" t="str">
        <f>IFERROR(__xludf.DUMMYFUNCTION("""COMPUTED_VALUE"""),"Tunnel")</f>
        <v>Tunnel</v>
      </c>
      <c r="K2028" s="6" t="str">
        <f>IFERROR(__xludf.DUMMYFUNCTION("""COMPUTED_VALUE"""),"SPR/05/25/012")</f>
        <v>SPR/05/25/012</v>
      </c>
      <c r="L2028" s="13">
        <f>IFERROR(__xludf.DUMMYFUNCTION("""COMPUTED_VALUE"""),45808.0)</f>
        <v>45808</v>
      </c>
    </row>
    <row r="2029">
      <c r="A2029" s="6" t="str">
        <f>IFERROR(__xludf.DUMMYFUNCTION("""COMPUTED_VALUE"""),"ROS")</f>
        <v>ROS</v>
      </c>
      <c r="B2029" s="6" t="str">
        <f>IFERROR(__xludf.DUMMYFUNCTION("""COMPUTED_VALUE"""),"ENG")</f>
        <v>ENG</v>
      </c>
      <c r="C2029" s="6" t="str">
        <f>IFERROR(__xludf.DUMMYFUNCTION("""COMPUTED_VALUE"""),"S-46129-00")</f>
        <v>S-46129-00</v>
      </c>
      <c r="D2029" s="6" t="str">
        <f>IFERROR(__xludf.DUMMYFUNCTION("""COMPUTED_VALUE"""),"Plastik Wrap Roll,  Size 50 x 200 cm x 17 micron")</f>
        <v>Plastik Wrap Roll,  Size 50 x 200 cm x 17 micron</v>
      </c>
      <c r="E2029" s="6">
        <f>IFERROR(__xludf.DUMMYFUNCTION("""COMPUTED_VALUE"""),1.0)</f>
        <v>1</v>
      </c>
      <c r="F2029" s="6">
        <f>IFERROR(__xludf.DUMMYFUNCTION("""COMPUTED_VALUE"""),1.0)</f>
        <v>1</v>
      </c>
      <c r="G2029" s="6">
        <f>IFERROR(__xludf.DUMMYFUNCTION("""COMPUTED_VALUE"""),0.0)</f>
        <v>0</v>
      </c>
      <c r="H2029" s="6" t="str">
        <f>IFERROR(__xludf.DUMMYFUNCTION("""COMPUTED_VALUE"""),"Pcs")</f>
        <v>Pcs</v>
      </c>
      <c r="I2029" s="6" t="str">
        <f>IFERROR(__xludf.DUMMYFUNCTION("""COMPUTED_VALUE"""),"MFH")</f>
        <v>MFH</v>
      </c>
      <c r="J2029" s="6" t="str">
        <f>IFERROR(__xludf.DUMMYFUNCTION("""COMPUTED_VALUE"""),"BSC")</f>
        <v>BSC</v>
      </c>
      <c r="K2029" s="6" t="str">
        <f>IFERROR(__xludf.DUMMYFUNCTION("""COMPUTED_VALUE"""),"SPR/05/25/013")</f>
        <v>SPR/05/25/013</v>
      </c>
      <c r="L2029" s="13">
        <f>IFERROR(__xludf.DUMMYFUNCTION("""COMPUTED_VALUE"""),45808.0)</f>
        <v>45808</v>
      </c>
    </row>
    <row r="2030">
      <c r="A2030" s="6" t="str">
        <f>IFERROR(__xludf.DUMMYFUNCTION("""COMPUTED_VALUE"""),"ROS")</f>
        <v>ROS</v>
      </c>
      <c r="B2030" s="6" t="str">
        <f>IFERROR(__xludf.DUMMYFUNCTION("""COMPUTED_VALUE"""),"ENG")</f>
        <v>ENG</v>
      </c>
      <c r="C2030" s="6" t="str">
        <f>IFERROR(__xludf.DUMMYFUNCTION("""COMPUTED_VALUE"""),"O-15697-00")</f>
        <v>O-15697-00</v>
      </c>
      <c r="D2030" s="6" t="str">
        <f>IFERROR(__xludf.DUMMYFUNCTION("""COMPUTED_VALUE"""),"SILICONE SUCKER 01.16.20; PART NO :202370")</f>
        <v>SILICONE SUCKER 01.16.20; PART NO :202370</v>
      </c>
      <c r="E2030" s="6">
        <f>IFERROR(__xludf.DUMMYFUNCTION("""COMPUTED_VALUE"""),5.0)</f>
        <v>5</v>
      </c>
      <c r="F2030" s="6">
        <f>IFERROR(__xludf.DUMMYFUNCTION("""COMPUTED_VALUE"""),5.0)</f>
        <v>5</v>
      </c>
      <c r="G2030" s="6">
        <f>IFERROR(__xludf.DUMMYFUNCTION("""COMPUTED_VALUE"""),0.0)</f>
        <v>0</v>
      </c>
      <c r="H2030" s="6" t="str">
        <f>IFERROR(__xludf.DUMMYFUNCTION("""COMPUTED_VALUE"""),"Pcs")</f>
        <v>Pcs</v>
      </c>
      <c r="I2030" s="6" t="str">
        <f>IFERROR(__xludf.DUMMYFUNCTION("""COMPUTED_VALUE"""),"MFH")</f>
        <v>MFH</v>
      </c>
      <c r="J2030" s="6" t="str">
        <f>IFERROR(__xludf.DUMMYFUNCTION("""COMPUTED_VALUE"""),"Capping")</f>
        <v>Capping</v>
      </c>
      <c r="K2030" s="6" t="str">
        <f>IFERROR(__xludf.DUMMYFUNCTION("""COMPUTED_VALUE"""),"SPR/05/25/014")</f>
        <v>SPR/05/25/014</v>
      </c>
      <c r="L2030" s="13">
        <f>IFERROR(__xludf.DUMMYFUNCTION("""COMPUTED_VALUE"""),45808.0)</f>
        <v>45808</v>
      </c>
    </row>
    <row r="2031">
      <c r="A2031" s="6" t="str">
        <f>IFERROR(__xludf.DUMMYFUNCTION("""COMPUTED_VALUE"""),"SHF")</f>
        <v>SHF</v>
      </c>
      <c r="B2031" s="6" t="str">
        <f>IFERROR(__xludf.DUMMYFUNCTION("""COMPUTED_VALUE"""),"ENG")</f>
        <v>ENG</v>
      </c>
      <c r="C2031" s="6" t="str">
        <f>IFERROR(__xludf.DUMMYFUNCTION("""COMPUTED_VALUE"""),"P-51559-00")</f>
        <v>P-51559-00</v>
      </c>
      <c r="D2031" s="6" t="str">
        <f>IFERROR(__xludf.DUMMYFUNCTION("""COMPUTED_VALUE"""),"Lampu T5 14watt Putih; Phillips; ;")</f>
        <v>Lampu T5 14watt Putih; Phillips; ;</v>
      </c>
      <c r="E2031" s="6">
        <f>IFERROR(__xludf.DUMMYFUNCTION("""COMPUTED_VALUE"""),14.0)</f>
        <v>14</v>
      </c>
      <c r="F2031" s="6">
        <f>IFERROR(__xludf.DUMMYFUNCTION("""COMPUTED_VALUE"""),14.0)</f>
        <v>14</v>
      </c>
      <c r="G2031" s="6">
        <f>IFERROR(__xludf.DUMMYFUNCTION("""COMPUTED_VALUE"""),0.0)</f>
        <v>0</v>
      </c>
      <c r="H2031" s="6" t="str">
        <f>IFERROR(__xludf.DUMMYFUNCTION("""COMPUTED_VALUE"""),"Pcs")</f>
        <v>Pcs</v>
      </c>
      <c r="I2031" s="6" t="str">
        <f>IFERROR(__xludf.DUMMYFUNCTION("""COMPUTED_VALUE"""),"MFH")</f>
        <v>MFH</v>
      </c>
      <c r="J2031" s="6" t="str">
        <f>IFERROR(__xludf.DUMMYFUNCTION("""COMPUTED_VALUE"""),"Building")</f>
        <v>Building</v>
      </c>
      <c r="K2031" s="6" t="str">
        <f>IFERROR(__xludf.DUMMYFUNCTION("""COMPUTED_VALUE"""),"SPR/05/25/015")</f>
        <v>SPR/05/25/015</v>
      </c>
      <c r="L2031" s="13">
        <f>IFERROR(__xludf.DUMMYFUNCTION("""COMPUTED_VALUE"""),45808.0)</f>
        <v>45808</v>
      </c>
    </row>
    <row r="2032">
      <c r="A2032" s="6" t="str">
        <f>IFERROR(__xludf.DUMMYFUNCTION("""COMPUTED_VALUE"""),"SHF")</f>
        <v>SHF</v>
      </c>
      <c r="B2032" s="6" t="str">
        <f>IFERROR(__xludf.DUMMYFUNCTION("""COMPUTED_VALUE"""),"ENG")</f>
        <v>ENG</v>
      </c>
      <c r="C2032" s="6" t="str">
        <f>IFERROR(__xludf.DUMMYFUNCTION("""COMPUTED_VALUE"""),"P-53173-00")</f>
        <v>P-53173-00</v>
      </c>
      <c r="D2032" s="6" t="str">
        <f>IFERROR(__xludf.DUMMYFUNCTION("""COMPUTED_VALUE"""),"Ballast Electronic EB-C 214 TL5, 2x14W; Phillips; ;")</f>
        <v>Ballast Electronic EB-C 214 TL5, 2x14W; Phillips; ;</v>
      </c>
      <c r="E2032" s="6">
        <f>IFERROR(__xludf.DUMMYFUNCTION("""COMPUTED_VALUE"""),2.0)</f>
        <v>2</v>
      </c>
      <c r="F2032" s="6">
        <f>IFERROR(__xludf.DUMMYFUNCTION("""COMPUTED_VALUE"""),2.0)</f>
        <v>2</v>
      </c>
      <c r="G2032" s="6">
        <f>IFERROR(__xludf.DUMMYFUNCTION("""COMPUTED_VALUE"""),0.0)</f>
        <v>0</v>
      </c>
      <c r="H2032" s="6" t="str">
        <f>IFERROR(__xludf.DUMMYFUNCTION("""COMPUTED_VALUE"""),"Pcs")</f>
        <v>Pcs</v>
      </c>
      <c r="I2032" s="6" t="str">
        <f>IFERROR(__xludf.DUMMYFUNCTION("""COMPUTED_VALUE"""),"MFH")</f>
        <v>MFH</v>
      </c>
      <c r="J2032" s="6" t="str">
        <f>IFERROR(__xludf.DUMMYFUNCTION("""COMPUTED_VALUE"""),"Building")</f>
        <v>Building</v>
      </c>
      <c r="K2032" s="6" t="str">
        <f>IFERROR(__xludf.DUMMYFUNCTION("""COMPUTED_VALUE"""),"SPR/05/25/015")</f>
        <v>SPR/05/25/015</v>
      </c>
      <c r="L2032" s="13">
        <f>IFERROR(__xludf.DUMMYFUNCTION("""COMPUTED_VALUE"""),45808.0)</f>
        <v>45808</v>
      </c>
    </row>
    <row r="2033">
      <c r="A2033" s="6" t="str">
        <f>IFERROR(__xludf.DUMMYFUNCTION("""COMPUTED_VALUE"""),"RIA")</f>
        <v>RIA</v>
      </c>
      <c r="B2033" s="6" t="str">
        <f>IFERROR(__xludf.DUMMYFUNCTION("""COMPUTED_VALUE"""),"ENG")</f>
        <v>ENG</v>
      </c>
      <c r="C2033" s="6" t="str">
        <f>IFERROR(__xludf.DUMMYFUNCTION("""COMPUTED_VALUE"""),"P-52420-00")</f>
        <v>P-52420-00</v>
      </c>
      <c r="D2033" s="6" t="str">
        <f>IFERROR(__xludf.DUMMYFUNCTION("""COMPUTED_VALUE"""),"Ceiling Exhaust Fan FV-25TGU5; KDK; ;")</f>
        <v>Ceiling Exhaust Fan FV-25TGU5; KDK; ;</v>
      </c>
      <c r="E2033" s="6">
        <f>IFERROR(__xludf.DUMMYFUNCTION("""COMPUTED_VALUE"""),1.0)</f>
        <v>1</v>
      </c>
      <c r="F2033" s="6">
        <f>IFERROR(__xludf.DUMMYFUNCTION("""COMPUTED_VALUE"""),1.0)</f>
        <v>1</v>
      </c>
      <c r="G2033" s="6">
        <f>IFERROR(__xludf.DUMMYFUNCTION("""COMPUTED_VALUE"""),0.0)</f>
        <v>0</v>
      </c>
      <c r="H2033" s="6" t="str">
        <f>IFERROR(__xludf.DUMMYFUNCTION("""COMPUTED_VALUE"""),"Pcs")</f>
        <v>Pcs</v>
      </c>
      <c r="I2033" s="6" t="str">
        <f>IFERROR(__xludf.DUMMYFUNCTION("""COMPUTED_VALUE"""),"MFH")</f>
        <v>MFH</v>
      </c>
      <c r="J2033" s="6" t="str">
        <f>IFERROR(__xludf.DUMMYFUNCTION("""COMPUTED_VALUE"""),"Building")</f>
        <v>Building</v>
      </c>
      <c r="K2033" s="6" t="str">
        <f>IFERROR(__xludf.DUMMYFUNCTION("""COMPUTED_VALUE"""),"SPR/05/25/016")</f>
        <v>SPR/05/25/016</v>
      </c>
      <c r="L2033" s="13">
        <f>IFERROR(__xludf.DUMMYFUNCTION("""COMPUTED_VALUE"""),45808.0)</f>
        <v>45808</v>
      </c>
    </row>
    <row r="2034">
      <c r="A2034" s="6" t="str">
        <f>IFERROR(__xludf.DUMMYFUNCTION("""COMPUTED_VALUE"""),"ROS")</f>
        <v>ROS</v>
      </c>
      <c r="B2034" s="6" t="str">
        <f>IFERROR(__xludf.DUMMYFUNCTION("""COMPUTED_VALUE"""),"ENG")</f>
        <v>ENG</v>
      </c>
      <c r="C2034" s="6" t="str">
        <f>IFERROR(__xludf.DUMMYFUNCTION("""COMPUTED_VALUE"""),"O-20297-00")</f>
        <v>O-20297-00</v>
      </c>
      <c r="D2034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E2034" s="6">
        <f>IFERROR(__xludf.DUMMYFUNCTION("""COMPUTED_VALUE"""),3.0)</f>
        <v>3</v>
      </c>
      <c r="F2034" s="6">
        <f>IFERROR(__xludf.DUMMYFUNCTION("""COMPUTED_VALUE"""),3.0)</f>
        <v>3</v>
      </c>
      <c r="G2034" s="6">
        <f>IFERROR(__xludf.DUMMYFUNCTION("""COMPUTED_VALUE"""),0.0)</f>
        <v>0</v>
      </c>
      <c r="H2034" s="6" t="str">
        <f>IFERROR(__xludf.DUMMYFUNCTION("""COMPUTED_VALUE"""),"Pcs")</f>
        <v>Pcs</v>
      </c>
      <c r="I2034" s="6" t="str">
        <f>IFERROR(__xludf.DUMMYFUNCTION("""COMPUTED_VALUE"""),"MFH")</f>
        <v>MFH</v>
      </c>
      <c r="J2034" s="6" t="str">
        <f>IFERROR(__xludf.DUMMYFUNCTION("""COMPUTED_VALUE"""),"Autoclave")</f>
        <v>Autoclave</v>
      </c>
      <c r="K2034" s="6" t="str">
        <f>IFERROR(__xludf.DUMMYFUNCTION("""COMPUTED_VALUE"""),"SPR/05/25/017")</f>
        <v>SPR/05/25/017</v>
      </c>
      <c r="L2034" s="13">
        <f>IFERROR(__xludf.DUMMYFUNCTION("""COMPUTED_VALUE"""),45808.0)</f>
        <v>45808</v>
      </c>
    </row>
    <row r="2035">
      <c r="A2035" s="6" t="str">
        <f>IFERROR(__xludf.DUMMYFUNCTION("""COMPUTED_VALUE"""),"ROS")</f>
        <v>ROS</v>
      </c>
      <c r="B2035" s="6" t="str">
        <f>IFERROR(__xludf.DUMMYFUNCTION("""COMPUTED_VALUE"""),"ENG")</f>
        <v>ENG</v>
      </c>
      <c r="C2035" s="6" t="str">
        <f>IFERROR(__xludf.DUMMYFUNCTION("""COMPUTED_VALUE"""),"O-16731-00")</f>
        <v>O-16731-00</v>
      </c>
      <c r="D2035" s="6" t="str">
        <f>IFERROR(__xludf.DUMMYFUNCTION("""COMPUTED_VALUE"""),"Autoclave Fedegari FVA2/A1 NB2963AT - KIT Ricambi Valv. DN10 ON-OFF p/n: KK000301")</f>
        <v>Autoclave Fedegari FVA2/A1 NB2963AT - KIT Ricambi Valv. DN10 ON-OFF p/n: KK000301</v>
      </c>
      <c r="E2035" s="6">
        <f>IFERROR(__xludf.DUMMYFUNCTION("""COMPUTED_VALUE"""),1.0)</f>
        <v>1</v>
      </c>
      <c r="F2035" s="6">
        <f>IFERROR(__xludf.DUMMYFUNCTION("""COMPUTED_VALUE"""),1.0)</f>
        <v>1</v>
      </c>
      <c r="G2035" s="6">
        <f>IFERROR(__xludf.DUMMYFUNCTION("""COMPUTED_VALUE"""),0.0)</f>
        <v>0</v>
      </c>
      <c r="H2035" s="6" t="str">
        <f>IFERROR(__xludf.DUMMYFUNCTION("""COMPUTED_VALUE"""),"Pcs")</f>
        <v>Pcs</v>
      </c>
      <c r="I2035" s="6" t="str">
        <f>IFERROR(__xludf.DUMMYFUNCTION("""COMPUTED_VALUE"""),"MFH")</f>
        <v>MFH</v>
      </c>
      <c r="J2035" s="6" t="str">
        <f>IFERROR(__xludf.DUMMYFUNCTION("""COMPUTED_VALUE"""),"Autoclave")</f>
        <v>Autoclave</v>
      </c>
      <c r="K2035" s="6" t="str">
        <f>IFERROR(__xludf.DUMMYFUNCTION("""COMPUTED_VALUE"""),"SPR/05/25/017")</f>
        <v>SPR/05/25/017</v>
      </c>
      <c r="L2035" s="13">
        <f>IFERROR(__xludf.DUMMYFUNCTION("""COMPUTED_VALUE"""),45808.0)</f>
        <v>45808</v>
      </c>
    </row>
    <row r="2036">
      <c r="A2036" s="6" t="str">
        <f>IFERROR(__xludf.DUMMYFUNCTION("""COMPUTED_VALUE"""),"ANO")</f>
        <v>ANO</v>
      </c>
      <c r="B2036" s="6" t="str">
        <f>IFERROR(__xludf.DUMMYFUNCTION("""COMPUTED_VALUE"""),"ENG")</f>
        <v>ENG</v>
      </c>
      <c r="C2036" s="6" t="str">
        <f>IFERROR(__xludf.DUMMYFUNCTION("""COMPUTED_VALUE"""),"P-19512-00")</f>
        <v>P-19512-00</v>
      </c>
      <c r="D2036" s="6" t="str">
        <f>IFERROR(__xludf.DUMMYFUNCTION("""COMPUTED_VALUE"""),"General - Karet Pintu Kaca Strip Silikon H 10mm; Lokal; -; 1 meter")</f>
        <v>General - Karet Pintu Kaca Strip Silikon H 10mm; Lokal; -; 1 meter</v>
      </c>
      <c r="E2036" s="6">
        <f>IFERROR(__xludf.DUMMYFUNCTION("""COMPUTED_VALUE"""),18.0)</f>
        <v>18</v>
      </c>
      <c r="F2036" s="6">
        <f>IFERROR(__xludf.DUMMYFUNCTION("""COMPUTED_VALUE"""),18.0)</f>
        <v>18</v>
      </c>
      <c r="G2036" s="6">
        <f>IFERROR(__xludf.DUMMYFUNCTION("""COMPUTED_VALUE"""),0.0)</f>
        <v>0</v>
      </c>
      <c r="H2036" s="6" t="str">
        <f>IFERROR(__xludf.DUMMYFUNCTION("""COMPUTED_VALUE"""),"Pcs")</f>
        <v>Pcs</v>
      </c>
      <c r="I2036" s="6" t="str">
        <f>IFERROR(__xludf.DUMMYFUNCTION("""COMPUTED_VALUE"""),"MFH")</f>
        <v>MFH</v>
      </c>
      <c r="J2036" s="6" t="str">
        <f>IFERROR(__xludf.DUMMYFUNCTION("""COMPUTED_VALUE"""),"Cartoning")</f>
        <v>Cartoning</v>
      </c>
      <c r="K2036" s="6" t="str">
        <f>IFERROR(__xludf.DUMMYFUNCTION("""COMPUTED_VALUE"""),"SPR/05/25/019")</f>
        <v>SPR/05/25/019</v>
      </c>
      <c r="L2036" s="13">
        <f>IFERROR(__xludf.DUMMYFUNCTION("""COMPUTED_VALUE"""),45808.0)</f>
        <v>45808</v>
      </c>
    </row>
    <row r="2037">
      <c r="A2037" s="6" t="str">
        <f>IFERROR(__xludf.DUMMYFUNCTION("""COMPUTED_VALUE"""),"AAA")</f>
        <v>AAA</v>
      </c>
      <c r="B2037" s="6" t="str">
        <f>IFERROR(__xludf.DUMMYFUNCTION("""COMPUTED_VALUE"""),"ENG")</f>
        <v>ENG</v>
      </c>
      <c r="C2037" s="6" t="str">
        <f>IFERROR(__xludf.DUMMYFUNCTION("""COMPUTED_VALUE"""),"P-52380-00")</f>
        <v>P-52380-00</v>
      </c>
      <c r="D2037" s="6" t="str">
        <f>IFERROR(__xludf.DUMMYFUNCTION("""COMPUTED_VALUE"""),"Adaptor AC Universal Power Supply 12VDC s/d 24VDC; ; ;")</f>
        <v>Adaptor AC Universal Power Supply 12VDC s/d 24VDC; ; ;</v>
      </c>
      <c r="E2037" s="6">
        <f>IFERROR(__xludf.DUMMYFUNCTION("""COMPUTED_VALUE"""),1.0)</f>
        <v>1</v>
      </c>
      <c r="F2037" s="6">
        <f>IFERROR(__xludf.DUMMYFUNCTION("""COMPUTED_VALUE"""),1.0)</f>
        <v>1</v>
      </c>
      <c r="G2037" s="6">
        <f>IFERROR(__xludf.DUMMYFUNCTION("""COMPUTED_VALUE"""),0.0)</f>
        <v>0</v>
      </c>
      <c r="H2037" s="6" t="str">
        <f>IFERROR(__xludf.DUMMYFUNCTION("""COMPUTED_VALUE"""),"Pcs")</f>
        <v>Pcs</v>
      </c>
      <c r="I2037" s="6" t="str">
        <f>IFERROR(__xludf.DUMMYFUNCTION("""COMPUTED_VALUE"""),"MFH")</f>
        <v>MFH</v>
      </c>
      <c r="J2037" s="6" t="str">
        <f>IFERROR(__xludf.DUMMYFUNCTION("""COMPUTED_VALUE"""),"Washing")</f>
        <v>Washing</v>
      </c>
      <c r="K2037" s="6" t="str">
        <f>IFERROR(__xludf.DUMMYFUNCTION("""COMPUTED_VALUE"""),"SPR/05/25/021")</f>
        <v>SPR/05/25/021</v>
      </c>
      <c r="L2037" s="13">
        <f>IFERROR(__xludf.DUMMYFUNCTION("""COMPUTED_VALUE"""),45808.0)</f>
        <v>45808</v>
      </c>
    </row>
    <row r="2038">
      <c r="A2038" s="6" t="str">
        <f>IFERROR(__xludf.DUMMYFUNCTION("""COMPUTED_VALUE"""),"AAA")</f>
        <v>AAA</v>
      </c>
      <c r="B2038" s="6" t="str">
        <f>IFERROR(__xludf.DUMMYFUNCTION("""COMPUTED_VALUE"""),"ENG")</f>
        <v>ENG</v>
      </c>
      <c r="C2038" s="6" t="str">
        <f>IFERROR(__xludf.DUMMYFUNCTION("""COMPUTED_VALUE"""),"O-53134-00")</f>
        <v>O-53134-00</v>
      </c>
      <c r="D2038" s="6" t="str">
        <f>IFERROR(__xludf.DUMMYFUNCTION("""COMPUTED_VALUE"""),"Washing RAR4 - IF92 Programing box with USB connection; Steriline; ; 1 Pc")</f>
        <v>Washing RAR4 - IF92 Programing box with USB connection; Steriline; ; 1 Pc</v>
      </c>
      <c r="E2038" s="6">
        <f>IFERROR(__xludf.DUMMYFUNCTION("""COMPUTED_VALUE"""),1.0)</f>
        <v>1</v>
      </c>
      <c r="F2038" s="6">
        <f>IFERROR(__xludf.DUMMYFUNCTION("""COMPUTED_VALUE"""),1.0)</f>
        <v>1</v>
      </c>
      <c r="G2038" s="6">
        <f>IFERROR(__xludf.DUMMYFUNCTION("""COMPUTED_VALUE"""),0.0)</f>
        <v>0</v>
      </c>
      <c r="H2038" s="6" t="str">
        <f>IFERROR(__xludf.DUMMYFUNCTION("""COMPUTED_VALUE"""),"Pcs")</f>
        <v>Pcs</v>
      </c>
      <c r="I2038" s="6" t="str">
        <f>IFERROR(__xludf.DUMMYFUNCTION("""COMPUTED_VALUE"""),"MFH")</f>
        <v>MFH</v>
      </c>
      <c r="J2038" s="6" t="str">
        <f>IFERROR(__xludf.DUMMYFUNCTION("""COMPUTED_VALUE"""),"Washing")</f>
        <v>Washing</v>
      </c>
      <c r="K2038" s="6" t="str">
        <f>IFERROR(__xludf.DUMMYFUNCTION("""COMPUTED_VALUE"""),"SPR/05/25/021")</f>
        <v>SPR/05/25/021</v>
      </c>
      <c r="L2038" s="13">
        <f>IFERROR(__xludf.DUMMYFUNCTION("""COMPUTED_VALUE"""),45808.0)</f>
        <v>45808</v>
      </c>
    </row>
    <row r="2039">
      <c r="A2039" s="6" t="str">
        <f>IFERROR(__xludf.DUMMYFUNCTION("""COMPUTED_VALUE"""),"AAA")</f>
        <v>AAA</v>
      </c>
      <c r="B2039" s="6" t="str">
        <f>IFERROR(__xludf.DUMMYFUNCTION("""COMPUTED_VALUE"""),"ENG")</f>
        <v>ENG</v>
      </c>
      <c r="C2039" s="6" t="str">
        <f>IFERROR(__xludf.DUMMYFUNCTION("""COMPUTED_VALUE"""),"O-53133-00")</f>
        <v>O-53133-00</v>
      </c>
      <c r="D2039" s="6" t="str">
        <f>IFERROR(__xludf.DUMMYFUNCTION("""COMPUTED_VALUE"""),"Washing RAR4 - Cable; Steriline; EC RD1A M12F8; 1 Pc")</f>
        <v>Washing RAR4 - Cable; Steriline; EC RD1A M12F8; 1 Pc</v>
      </c>
      <c r="E2039" s="6">
        <f>IFERROR(__xludf.DUMMYFUNCTION("""COMPUTED_VALUE"""),1.0)</f>
        <v>1</v>
      </c>
      <c r="F2039" s="6">
        <f>IFERROR(__xludf.DUMMYFUNCTION("""COMPUTED_VALUE"""),1.0)</f>
        <v>1</v>
      </c>
      <c r="G2039" s="6">
        <f>IFERROR(__xludf.DUMMYFUNCTION("""COMPUTED_VALUE"""),0.0)</f>
        <v>0</v>
      </c>
      <c r="H2039" s="6" t="str">
        <f>IFERROR(__xludf.DUMMYFUNCTION("""COMPUTED_VALUE"""),"Pcs")</f>
        <v>Pcs</v>
      </c>
      <c r="I2039" s="6" t="str">
        <f>IFERROR(__xludf.DUMMYFUNCTION("""COMPUTED_VALUE"""),"MFH")</f>
        <v>MFH</v>
      </c>
      <c r="J2039" s="6" t="str">
        <f>IFERROR(__xludf.DUMMYFUNCTION("""COMPUTED_VALUE"""),"Washing")</f>
        <v>Washing</v>
      </c>
      <c r="K2039" s="6" t="str">
        <f>IFERROR(__xludf.DUMMYFUNCTION("""COMPUTED_VALUE"""),"SPR/05/25/021")</f>
        <v>SPR/05/25/021</v>
      </c>
      <c r="L2039" s="13">
        <f>IFERROR(__xludf.DUMMYFUNCTION("""COMPUTED_VALUE"""),45808.0)</f>
        <v>45808</v>
      </c>
    </row>
    <row r="2040">
      <c r="A2040" s="6" t="str">
        <f>IFERROR(__xludf.DUMMYFUNCTION("""COMPUTED_VALUE"""),"ROS")</f>
        <v>ROS</v>
      </c>
      <c r="B2040" s="6" t="str">
        <f>IFERROR(__xludf.DUMMYFUNCTION("""COMPUTED_VALUE"""),"ENG")</f>
        <v>ENG</v>
      </c>
      <c r="C2040" s="6" t="str">
        <f>IFERROR(__xludf.DUMMYFUNCTION("""COMPUTED_VALUE"""),"P-13383-00")</f>
        <v>P-13383-00</v>
      </c>
      <c r="D2040" s="6" t="str">
        <f>IFERROR(__xludf.DUMMYFUNCTION("""COMPUTED_VALUE"""),"Silicone Sealant High Temp Red; ; ;")</f>
        <v>Silicone Sealant High Temp Red; ; ;</v>
      </c>
      <c r="E2040" s="6">
        <f>IFERROR(__xludf.DUMMYFUNCTION("""COMPUTED_VALUE"""),1.0)</f>
        <v>1</v>
      </c>
      <c r="F2040" s="6">
        <f>IFERROR(__xludf.DUMMYFUNCTION("""COMPUTED_VALUE"""),1.0)</f>
        <v>1</v>
      </c>
      <c r="G2040" s="6">
        <f>IFERROR(__xludf.DUMMYFUNCTION("""COMPUTED_VALUE"""),0.0)</f>
        <v>0</v>
      </c>
      <c r="H2040" s="6" t="str">
        <f>IFERROR(__xludf.DUMMYFUNCTION("""COMPUTED_VALUE"""),"Pcs")</f>
        <v>Pcs</v>
      </c>
      <c r="I2040" s="6" t="str">
        <f>IFERROR(__xludf.DUMMYFUNCTION("""COMPUTED_VALUE"""),"MFH")</f>
        <v>MFH</v>
      </c>
      <c r="J2040" s="6" t="str">
        <f>IFERROR(__xludf.DUMMYFUNCTION("""COMPUTED_VALUE"""),"Tunnel")</f>
        <v>Tunnel</v>
      </c>
      <c r="K2040" s="6" t="str">
        <f>IFERROR(__xludf.DUMMYFUNCTION("""COMPUTED_VALUE"""),"SPR/05/25/022")</f>
        <v>SPR/05/25/022</v>
      </c>
      <c r="L2040" s="13">
        <f>IFERROR(__xludf.DUMMYFUNCTION("""COMPUTED_VALUE"""),45808.0)</f>
        <v>45808</v>
      </c>
    </row>
    <row r="2041">
      <c r="A2041" s="6" t="str">
        <f>IFERROR(__xludf.DUMMYFUNCTION("""COMPUTED_VALUE"""),"ROS")</f>
        <v>ROS</v>
      </c>
      <c r="B2041" s="6" t="str">
        <f>IFERROR(__xludf.DUMMYFUNCTION("""COMPUTED_VALUE"""),"ENG")</f>
        <v>ENG</v>
      </c>
      <c r="C2041" s="6" t="str">
        <f>IFERROR(__xludf.DUMMYFUNCTION("""COMPUTED_VALUE"""),"O-15669-00")</f>
        <v>O-15669-00</v>
      </c>
      <c r="D2041" s="6" t="str">
        <f>IFERROR(__xludf.DUMMYFUNCTION("""COMPUTED_VALUE"""),"STERILIZING CHAMBER HEATERS ;NO. 03 RIBBED HEATERS RCU - 1000W - 230VAC -50/60HZ MATERIAL AISI316/304, MECHANICAL DIMENSION:; LENGTH: 397 MM -CENTER DISTANCE: 50 MM HEATING BODY DIAMETER: 10 MM RIBBED")</f>
        <v>STERILIZING CHAMBER HEATERS ;NO. 03 RIBBED HEATERS RCU - 1000W - 230VAC -50/60HZ MATERIAL AISI316/304, MECHANICAL DIMENSION:; LENGTH: 397 MM -CENTER DISTANCE: 50 MM HEATING BODY DIAMETER: 10 MM RIBBED</v>
      </c>
      <c r="E2041" s="6">
        <f>IFERROR(__xludf.DUMMYFUNCTION("""COMPUTED_VALUE"""),1.0)</f>
        <v>1</v>
      </c>
      <c r="F2041" s="6">
        <f>IFERROR(__xludf.DUMMYFUNCTION("""COMPUTED_VALUE"""),1.0)</f>
        <v>1</v>
      </c>
      <c r="G2041" s="6">
        <f>IFERROR(__xludf.DUMMYFUNCTION("""COMPUTED_VALUE"""),0.0)</f>
        <v>0</v>
      </c>
      <c r="H2041" s="6" t="str">
        <f>IFERROR(__xludf.DUMMYFUNCTION("""COMPUTED_VALUE"""),"pcs")</f>
        <v>pcs</v>
      </c>
      <c r="I2041" s="6" t="str">
        <f>IFERROR(__xludf.DUMMYFUNCTION("""COMPUTED_VALUE"""),"MFH")</f>
        <v>MFH</v>
      </c>
      <c r="J2041" s="6" t="str">
        <f>IFERROR(__xludf.DUMMYFUNCTION("""COMPUTED_VALUE"""),"Tunnel")</f>
        <v>Tunnel</v>
      </c>
      <c r="K2041" s="6" t="str">
        <f>IFERROR(__xludf.DUMMYFUNCTION("""COMPUTED_VALUE"""),"SPR/05/25/022")</f>
        <v>SPR/05/25/022</v>
      </c>
      <c r="L2041" s="13">
        <f>IFERROR(__xludf.DUMMYFUNCTION("""COMPUTED_VALUE"""),45808.0)</f>
        <v>45808</v>
      </c>
    </row>
    <row r="2042">
      <c r="A2042" s="6" t="str">
        <f>IFERROR(__xludf.DUMMYFUNCTION("""COMPUTED_VALUE"""),"SFH")</f>
        <v>SFH</v>
      </c>
      <c r="B2042" s="6" t="str">
        <f>IFERROR(__xludf.DUMMYFUNCTION("""COMPUTED_VALUE"""),"ENG")</f>
        <v>ENG</v>
      </c>
      <c r="C2042" s="6" t="str">
        <f>IFERROR(__xludf.DUMMYFUNCTION("""COMPUTED_VALUE"""),"P-51560-00")</f>
        <v>P-51560-00</v>
      </c>
      <c r="D2042" s="6" t="str">
        <f>IFERROR(__xludf.DUMMYFUNCTION("""COMPUTED_VALUE"""),"Lampu T5 28watt Putih; Phillips; ;")</f>
        <v>Lampu T5 28watt Putih; Phillips; ;</v>
      </c>
      <c r="E2042" s="6">
        <f>IFERROR(__xludf.DUMMYFUNCTION("""COMPUTED_VALUE"""),2.0)</f>
        <v>2</v>
      </c>
      <c r="F2042" s="6">
        <f>IFERROR(__xludf.DUMMYFUNCTION("""COMPUTED_VALUE"""),2.0)</f>
        <v>2</v>
      </c>
      <c r="G2042" s="6">
        <f>IFERROR(__xludf.DUMMYFUNCTION("""COMPUTED_VALUE"""),0.0)</f>
        <v>0</v>
      </c>
      <c r="H2042" s="6" t="str">
        <f>IFERROR(__xludf.DUMMYFUNCTION("""COMPUTED_VALUE"""),"Pcs")</f>
        <v>Pcs</v>
      </c>
      <c r="I2042" s="6" t="str">
        <f>IFERROR(__xludf.DUMMYFUNCTION("""COMPUTED_VALUE"""),"MFH")</f>
        <v>MFH</v>
      </c>
      <c r="J2042" s="6" t="str">
        <f>IFERROR(__xludf.DUMMYFUNCTION("""COMPUTED_VALUE"""),"Building")</f>
        <v>Building</v>
      </c>
      <c r="K2042" s="6" t="str">
        <f>IFERROR(__xludf.DUMMYFUNCTION("""COMPUTED_VALUE"""),"SPR/05/25/023")</f>
        <v>SPR/05/25/023</v>
      </c>
      <c r="L2042" s="13">
        <f>IFERROR(__xludf.DUMMYFUNCTION("""COMPUTED_VALUE"""),45808.0)</f>
        <v>45808</v>
      </c>
    </row>
    <row r="2043">
      <c r="A2043" s="6" t="str">
        <f>IFERROR(__xludf.DUMMYFUNCTION("""COMPUTED_VALUE"""),"SFH")</f>
        <v>SFH</v>
      </c>
      <c r="B2043" s="6" t="str">
        <f>IFERROR(__xludf.DUMMYFUNCTION("""COMPUTED_VALUE"""),"ENG")</f>
        <v>ENG</v>
      </c>
      <c r="C2043" s="6" t="str">
        <f>IFERROR(__xludf.DUMMYFUNCTION("""COMPUTED_VALUE"""),"Q-10460-00")</f>
        <v>Q-10460-00</v>
      </c>
      <c r="D2043" s="6" t="str">
        <f>IFERROR(__xludf.DUMMYFUNCTION("""COMPUTED_VALUE"""),"Magnetic door stopper")</f>
        <v>Magnetic door stopper</v>
      </c>
      <c r="E2043" s="6">
        <f>IFERROR(__xludf.DUMMYFUNCTION("""COMPUTED_VALUE"""),29.0)</f>
        <v>29</v>
      </c>
      <c r="F2043" s="6">
        <f>IFERROR(__xludf.DUMMYFUNCTION("""COMPUTED_VALUE"""),29.0)</f>
        <v>29</v>
      </c>
      <c r="G2043" s="6">
        <f>IFERROR(__xludf.DUMMYFUNCTION("""COMPUTED_VALUE"""),0.0)</f>
        <v>0</v>
      </c>
      <c r="H2043" s="6" t="str">
        <f>IFERROR(__xludf.DUMMYFUNCTION("""COMPUTED_VALUE"""),"Pcs")</f>
        <v>Pcs</v>
      </c>
      <c r="I2043" s="6" t="str">
        <f>IFERROR(__xludf.DUMMYFUNCTION("""COMPUTED_VALUE"""),"MFH")</f>
        <v>MFH</v>
      </c>
      <c r="J2043" s="6" t="str">
        <f>IFERROR(__xludf.DUMMYFUNCTION("""COMPUTED_VALUE"""),"Building")</f>
        <v>Building</v>
      </c>
      <c r="K2043" s="6" t="str">
        <f>IFERROR(__xludf.DUMMYFUNCTION("""COMPUTED_VALUE"""),"SPR/05/25/023")</f>
        <v>SPR/05/25/023</v>
      </c>
      <c r="L2043" s="13">
        <f>IFERROR(__xludf.DUMMYFUNCTION("""COMPUTED_VALUE"""),45808.0)</f>
        <v>45808</v>
      </c>
    </row>
    <row r="2044">
      <c r="A2044" s="6" t="str">
        <f>IFERROR(__xludf.DUMMYFUNCTION("""COMPUTED_VALUE"""),"SFH")</f>
        <v>SFH</v>
      </c>
      <c r="B2044" s="6" t="str">
        <f>IFERROR(__xludf.DUMMYFUNCTION("""COMPUTED_VALUE"""),"ENG")</f>
        <v>ENG</v>
      </c>
      <c r="C2044" s="6" t="str">
        <f>IFERROR(__xludf.DUMMYFUNCTION("""COMPUTED_VALUE"""),"P-53293-00")</f>
        <v>P-53293-00</v>
      </c>
      <c r="D2044" s="6" t="str">
        <f>IFERROR(__xludf.DUMMYFUNCTION("""COMPUTED_VALUE"""),"General - Lampu Emergency TL LED 16W Waterproof IP65; Briliant; -; 1 pc")</f>
        <v>General - Lampu Emergency TL LED 16W Waterproof IP65; Briliant; -; 1 pc</v>
      </c>
      <c r="E2044" s="6">
        <f>IFERROR(__xludf.DUMMYFUNCTION("""COMPUTED_VALUE"""),2.0)</f>
        <v>2</v>
      </c>
      <c r="F2044" s="6">
        <f>IFERROR(__xludf.DUMMYFUNCTION("""COMPUTED_VALUE"""),2.0)</f>
        <v>2</v>
      </c>
      <c r="G2044" s="6">
        <f>IFERROR(__xludf.DUMMYFUNCTION("""COMPUTED_VALUE"""),0.0)</f>
        <v>0</v>
      </c>
      <c r="H2044" s="6" t="str">
        <f>IFERROR(__xludf.DUMMYFUNCTION("""COMPUTED_VALUE"""),"Pcs")</f>
        <v>Pcs</v>
      </c>
      <c r="I2044" s="6" t="str">
        <f>IFERROR(__xludf.DUMMYFUNCTION("""COMPUTED_VALUE"""),"MFH")</f>
        <v>MFH</v>
      </c>
      <c r="J2044" s="6" t="str">
        <f>IFERROR(__xludf.DUMMYFUNCTION("""COMPUTED_VALUE"""),"Building")</f>
        <v>Building</v>
      </c>
      <c r="K2044" s="6" t="str">
        <f>IFERROR(__xludf.DUMMYFUNCTION("""COMPUTED_VALUE"""),"SPR/05/25/023")</f>
        <v>SPR/05/25/023</v>
      </c>
      <c r="L2044" s="13">
        <f>IFERROR(__xludf.DUMMYFUNCTION("""COMPUTED_VALUE"""),45808.0)</f>
        <v>45808</v>
      </c>
    </row>
    <row r="2045">
      <c r="A2045" s="6" t="str">
        <f>IFERROR(__xludf.DUMMYFUNCTION("""COMPUTED_VALUE"""),"MRN")</f>
        <v>MRN</v>
      </c>
      <c r="B2045" s="6" t="str">
        <f>IFERROR(__xludf.DUMMYFUNCTION("""COMPUTED_VALUE"""),"ENG")</f>
        <v>ENG</v>
      </c>
      <c r="C2045" s="6" t="str">
        <f>IFERROR(__xludf.DUMMYFUNCTION("""COMPUTED_VALUE"""),"Q-50013-00")</f>
        <v>Q-50013-00</v>
      </c>
      <c r="D2045" s="6" t="str">
        <f>IFERROR(__xludf.DUMMYFUNCTION("""COMPUTED_VALUE"""),"Frame or Perimeter Seal RP48 White; Raven; R48W6; 6 meter/pck")</f>
        <v>Frame or Perimeter Seal RP48 White; Raven; R48W6; 6 meter/pck</v>
      </c>
      <c r="E2045" s="6">
        <f>IFERROR(__xludf.DUMMYFUNCTION("""COMPUTED_VALUE"""),1.0)</f>
        <v>1</v>
      </c>
      <c r="F2045" s="6">
        <f>IFERROR(__xludf.DUMMYFUNCTION("""COMPUTED_VALUE"""),1.0)</f>
        <v>1</v>
      </c>
      <c r="G2045" s="6">
        <f>IFERROR(__xludf.DUMMYFUNCTION("""COMPUTED_VALUE"""),0.0)</f>
        <v>0</v>
      </c>
      <c r="H2045" s="6" t="str">
        <f>IFERROR(__xludf.DUMMYFUNCTION("""COMPUTED_VALUE"""),"Pcs")</f>
        <v>Pcs</v>
      </c>
      <c r="I2045" s="6" t="str">
        <f>IFERROR(__xludf.DUMMYFUNCTION("""COMPUTED_VALUE"""),"MFH")</f>
        <v>MFH</v>
      </c>
      <c r="J2045" s="6" t="str">
        <f>IFERROR(__xludf.DUMMYFUNCTION("""COMPUTED_VALUE"""),"Building")</f>
        <v>Building</v>
      </c>
      <c r="K2045" s="6" t="str">
        <f>IFERROR(__xludf.DUMMYFUNCTION("""COMPUTED_VALUE"""),"SPR/05/25/024")</f>
        <v>SPR/05/25/024</v>
      </c>
      <c r="L2045" s="13">
        <f>IFERROR(__xludf.DUMMYFUNCTION("""COMPUTED_VALUE"""),45808.0)</f>
        <v>45808</v>
      </c>
    </row>
    <row r="2046">
      <c r="A2046" s="6" t="str">
        <f>IFERROR(__xludf.DUMMYFUNCTION("""COMPUTED_VALUE"""),"ROS")</f>
        <v>ROS</v>
      </c>
      <c r="B2046" s="6" t="str">
        <f>IFERROR(__xludf.DUMMYFUNCTION("""COMPUTED_VALUE"""),"ENG")</f>
        <v>ENG</v>
      </c>
      <c r="C2046" s="6" t="str">
        <f>IFERROR(__xludf.DUMMYFUNCTION("""COMPUTED_VALUE"""),"O-16647-00")</f>
        <v>O-16647-00</v>
      </c>
      <c r="D2046" s="6" t="str">
        <f>IFERROR(__xludf.DUMMYFUNCTION("""COMPUTED_VALUE"""),"Washing RAR4 - Oring Silicone Merah 23x18x2.5 mm")</f>
        <v>Washing RAR4 - Oring Silicone Merah 23x18x2.5 mm</v>
      </c>
      <c r="E2046" s="6">
        <f>IFERROR(__xludf.DUMMYFUNCTION("""COMPUTED_VALUE"""),10.0)</f>
        <v>10</v>
      </c>
      <c r="F2046" s="6">
        <f>IFERROR(__xludf.DUMMYFUNCTION("""COMPUTED_VALUE"""),10.0)</f>
        <v>10</v>
      </c>
      <c r="G2046" s="6">
        <f>IFERROR(__xludf.DUMMYFUNCTION("""COMPUTED_VALUE"""),0.0)</f>
        <v>0</v>
      </c>
      <c r="H2046" s="6" t="str">
        <f>IFERROR(__xludf.DUMMYFUNCTION("""COMPUTED_VALUE"""),"Pcs")</f>
        <v>Pcs</v>
      </c>
      <c r="I2046" s="6" t="str">
        <f>IFERROR(__xludf.DUMMYFUNCTION("""COMPUTED_VALUE"""),"MFH")</f>
        <v>MFH</v>
      </c>
      <c r="J2046" s="6" t="str">
        <f>IFERROR(__xludf.DUMMYFUNCTION("""COMPUTED_VALUE"""),"Capping")</f>
        <v>Capping</v>
      </c>
      <c r="K2046" s="6" t="str">
        <f>IFERROR(__xludf.DUMMYFUNCTION("""COMPUTED_VALUE"""),"SPR/05/25/025")</f>
        <v>SPR/05/25/025</v>
      </c>
      <c r="L2046" s="13">
        <f>IFERROR(__xludf.DUMMYFUNCTION("""COMPUTED_VALUE"""),45808.0)</f>
        <v>45808</v>
      </c>
    </row>
    <row r="2047">
      <c r="A2047" s="6" t="str">
        <f>IFERROR(__xludf.DUMMYFUNCTION("""COMPUTED_VALUE"""),"ROS")</f>
        <v>ROS</v>
      </c>
      <c r="B2047" s="6" t="str">
        <f>IFERROR(__xludf.DUMMYFUNCTION("""COMPUTED_VALUE"""),"ENG")</f>
        <v>ENG</v>
      </c>
      <c r="C2047" s="6" t="str">
        <f>IFERROR(__xludf.DUMMYFUNCTION("""COMPUTED_VALUE"""),"-")</f>
        <v>-</v>
      </c>
      <c r="D2047" s="6" t="str">
        <f>IFERROR(__xludf.DUMMYFUNCTION("""COMPUTED_VALUE"""),"Fuse 0,5 A")</f>
        <v>Fuse 0,5 A</v>
      </c>
      <c r="E2047" s="6">
        <f>IFERROR(__xludf.DUMMYFUNCTION("""COMPUTED_VALUE"""),2.0)</f>
        <v>2</v>
      </c>
      <c r="F2047" s="6">
        <f>IFERROR(__xludf.DUMMYFUNCTION("""COMPUTED_VALUE"""),2.0)</f>
        <v>2</v>
      </c>
      <c r="G2047" s="6">
        <f>IFERROR(__xludf.DUMMYFUNCTION("""COMPUTED_VALUE"""),0.0)</f>
        <v>0</v>
      </c>
      <c r="H2047" s="6" t="str">
        <f>IFERROR(__xludf.DUMMYFUNCTION("""COMPUTED_VALUE"""),"Pcs")</f>
        <v>Pcs</v>
      </c>
      <c r="I2047" s="6" t="str">
        <f>IFERROR(__xludf.DUMMYFUNCTION("""COMPUTED_VALUE"""),"MFH")</f>
        <v>MFH</v>
      </c>
      <c r="J2047" s="6" t="str">
        <f>IFERROR(__xludf.DUMMYFUNCTION("""COMPUTED_VALUE"""),"-")</f>
        <v>-</v>
      </c>
      <c r="K2047" s="6" t="str">
        <f>IFERROR(__xludf.DUMMYFUNCTION("""COMPUTED_VALUE"""),"SPR/05/25/025")</f>
        <v>SPR/05/25/025</v>
      </c>
      <c r="L2047" s="13">
        <f>IFERROR(__xludf.DUMMYFUNCTION("""COMPUTED_VALUE"""),45808.0)</f>
        <v>45808</v>
      </c>
    </row>
    <row r="2048">
      <c r="A2048" s="6" t="str">
        <f>IFERROR(__xludf.DUMMYFUNCTION("""COMPUTED_VALUE"""),"MRN")</f>
        <v>MRN</v>
      </c>
      <c r="B2048" s="6" t="str">
        <f>IFERROR(__xludf.DUMMYFUNCTION("""COMPUTED_VALUE"""),"ENG")</f>
        <v>ENG</v>
      </c>
      <c r="C2048" s="6" t="str">
        <f>IFERROR(__xludf.DUMMYFUNCTION("""COMPUTED_VALUE"""),"P-50717-00")</f>
        <v>P-50717-00</v>
      </c>
      <c r="D2048" s="6" t="str">
        <f>IFERROR(__xludf.DUMMYFUNCTION("""COMPUTED_VALUE"""),"Kabel UTP 4 pairs Cat 6 merk BELDEN")</f>
        <v>Kabel UTP 4 pairs Cat 6 merk BELDEN</v>
      </c>
      <c r="E2048" s="6">
        <f>IFERROR(__xludf.DUMMYFUNCTION("""COMPUTED_VALUE"""),100.0)</f>
        <v>100</v>
      </c>
      <c r="F2048" s="6">
        <f>IFERROR(__xludf.DUMMYFUNCTION("""COMPUTED_VALUE"""),100.0)</f>
        <v>100</v>
      </c>
      <c r="G2048" s="6">
        <f>IFERROR(__xludf.DUMMYFUNCTION("""COMPUTED_VALUE"""),0.0)</f>
        <v>0</v>
      </c>
      <c r="H2048" s="6" t="str">
        <f>IFERROR(__xludf.DUMMYFUNCTION("""COMPUTED_VALUE"""),"Pcs")</f>
        <v>Pcs</v>
      </c>
      <c r="I2048" s="6" t="str">
        <f>IFERROR(__xludf.DUMMYFUNCTION("""COMPUTED_VALUE"""),"MFH")</f>
        <v>MFH</v>
      </c>
      <c r="J2048" s="6" t="str">
        <f>IFERROR(__xludf.DUMMYFUNCTION("""COMPUTED_VALUE"""),"OSD")</f>
        <v>OSD</v>
      </c>
      <c r="K2048" s="6" t="str">
        <f>IFERROR(__xludf.DUMMYFUNCTION("""COMPUTED_VALUE"""),"SPR/05/25/026")</f>
        <v>SPR/05/25/026</v>
      </c>
      <c r="L2048" s="13">
        <f>IFERROR(__xludf.DUMMYFUNCTION("""COMPUTED_VALUE"""),45808.0)</f>
        <v>45808</v>
      </c>
    </row>
    <row r="2049">
      <c r="A2049" s="6" t="str">
        <f>IFERROR(__xludf.DUMMYFUNCTION("""COMPUTED_VALUE"""),"ROS")</f>
        <v>ROS</v>
      </c>
      <c r="B2049" s="6" t="str">
        <f>IFERROR(__xludf.DUMMYFUNCTION("""COMPUTED_VALUE"""),"ENG")</f>
        <v>ENG</v>
      </c>
      <c r="C2049" s="6" t="str">
        <f>IFERROR(__xludf.DUMMYFUNCTION("""COMPUTED_VALUE"""),"O-14618-00")</f>
        <v>O-14618-00</v>
      </c>
      <c r="D2049" s="6" t="str">
        <f>IFERROR(__xludf.DUMMYFUNCTION("""COMPUTED_VALUE"""),"Pneumatic pincher silicone cover sleeve; ; c/n 15927;")</f>
        <v>Pneumatic pincher silicone cover sleeve; ; c/n 15927;</v>
      </c>
      <c r="E2049" s="6">
        <f>IFERROR(__xludf.DUMMYFUNCTION("""COMPUTED_VALUE"""),1.0)</f>
        <v>1</v>
      </c>
      <c r="F2049" s="6">
        <f>IFERROR(__xludf.DUMMYFUNCTION("""COMPUTED_VALUE"""),1.0)</f>
        <v>1</v>
      </c>
      <c r="G2049" s="6">
        <f>IFERROR(__xludf.DUMMYFUNCTION("""COMPUTED_VALUE"""),0.0)</f>
        <v>0</v>
      </c>
      <c r="H2049" s="6" t="str">
        <f>IFERROR(__xludf.DUMMYFUNCTION("""COMPUTED_VALUE"""),"Pcs")</f>
        <v>Pcs</v>
      </c>
      <c r="I2049" s="6" t="str">
        <f>IFERROR(__xludf.DUMMYFUNCTION("""COMPUTED_VALUE"""),"MFH")</f>
        <v>MFH</v>
      </c>
      <c r="J2049" s="6" t="str">
        <f>IFERROR(__xludf.DUMMYFUNCTION("""COMPUTED_VALUE"""),"Washing")</f>
        <v>Washing</v>
      </c>
      <c r="K2049" s="6" t="str">
        <f>IFERROR(__xludf.DUMMYFUNCTION("""COMPUTED_VALUE"""),"SPR/05/25/027")</f>
        <v>SPR/05/25/027</v>
      </c>
      <c r="L2049" s="13">
        <f>IFERROR(__xludf.DUMMYFUNCTION("""COMPUTED_VALUE"""),45808.0)</f>
        <v>45808</v>
      </c>
    </row>
    <row r="2050">
      <c r="A2050" s="6" t="str">
        <f>IFERROR(__xludf.DUMMYFUNCTION("""COMPUTED_VALUE"""),"ROS")</f>
        <v>ROS</v>
      </c>
      <c r="B2050" s="6" t="str">
        <f>IFERROR(__xludf.DUMMYFUNCTION("""COMPUTED_VALUE"""),"ENG")</f>
        <v>ENG</v>
      </c>
      <c r="C2050" s="6" t="str">
        <f>IFERROR(__xludf.DUMMYFUNCTION("""COMPUTED_VALUE"""),"O-14616-00")</f>
        <v>O-14616-00</v>
      </c>
      <c r="D2050" s="6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E2050" s="6">
        <f>IFERROR(__xludf.DUMMYFUNCTION("""COMPUTED_VALUE"""),1.0)</f>
        <v>1</v>
      </c>
      <c r="F2050" s="6">
        <f>IFERROR(__xludf.DUMMYFUNCTION("""COMPUTED_VALUE"""),1.0)</f>
        <v>1</v>
      </c>
      <c r="G2050" s="6">
        <f>IFERROR(__xludf.DUMMYFUNCTION("""COMPUTED_VALUE"""),0.0)</f>
        <v>0</v>
      </c>
      <c r="H2050" s="6" t="str">
        <f>IFERROR(__xludf.DUMMYFUNCTION("""COMPUTED_VALUE"""),"Pcs")</f>
        <v>Pcs</v>
      </c>
      <c r="I2050" s="6" t="str">
        <f>IFERROR(__xludf.DUMMYFUNCTION("""COMPUTED_VALUE"""),"MFH")</f>
        <v>MFH</v>
      </c>
      <c r="J2050" s="6" t="str">
        <f>IFERROR(__xludf.DUMMYFUNCTION("""COMPUTED_VALUE"""),"Washing")</f>
        <v>Washing</v>
      </c>
      <c r="K2050" s="6" t="str">
        <f>IFERROR(__xludf.DUMMYFUNCTION("""COMPUTED_VALUE"""),"SPR/05/25/027")</f>
        <v>SPR/05/25/027</v>
      </c>
      <c r="L2050" s="13">
        <f>IFERROR(__xludf.DUMMYFUNCTION("""COMPUTED_VALUE"""),45808.0)</f>
        <v>45808</v>
      </c>
    </row>
    <row r="2051">
      <c r="A2051" s="6" t="str">
        <f>IFERROR(__xludf.DUMMYFUNCTION("""COMPUTED_VALUE"""),"ROS")</f>
        <v>ROS</v>
      </c>
      <c r="B2051" s="6" t="str">
        <f>IFERROR(__xludf.DUMMYFUNCTION("""COMPUTED_VALUE"""),"ENG")</f>
        <v>ENG</v>
      </c>
      <c r="C2051" s="6" t="str">
        <f>IFERROR(__xludf.DUMMYFUNCTION("""COMPUTED_VALUE"""),"P-15852-00")</f>
        <v>P-15852-00</v>
      </c>
      <c r="D2051" s="6" t="str">
        <f>IFERROR(__xludf.DUMMYFUNCTION("""COMPUTED_VALUE"""),"AMPLAS EAGLE 500")</f>
        <v>AMPLAS EAGLE 500</v>
      </c>
      <c r="E2051" s="6">
        <f>IFERROR(__xludf.DUMMYFUNCTION("""COMPUTED_VALUE"""),1.0)</f>
        <v>1</v>
      </c>
      <c r="F2051" s="6">
        <f>IFERROR(__xludf.DUMMYFUNCTION("""COMPUTED_VALUE"""),1.0)</f>
        <v>1</v>
      </c>
      <c r="G2051" s="6">
        <f>IFERROR(__xludf.DUMMYFUNCTION("""COMPUTED_VALUE"""),0.0)</f>
        <v>0</v>
      </c>
      <c r="H2051" s="6" t="str">
        <f>IFERROR(__xludf.DUMMYFUNCTION("""COMPUTED_VALUE"""),"Pcs")</f>
        <v>Pcs</v>
      </c>
      <c r="I2051" s="6" t="str">
        <f>IFERROR(__xludf.DUMMYFUNCTION("""COMPUTED_VALUE"""),"MFH")</f>
        <v>MFH</v>
      </c>
      <c r="J2051" s="6" t="str">
        <f>IFERROR(__xludf.DUMMYFUNCTION("""COMPUTED_VALUE"""),"Autoclave")</f>
        <v>Autoclave</v>
      </c>
      <c r="K2051" s="6" t="str">
        <f>IFERROR(__xludf.DUMMYFUNCTION("""COMPUTED_VALUE"""),"SPR/05/25/027")</f>
        <v>SPR/05/25/027</v>
      </c>
      <c r="L2051" s="13">
        <f>IFERROR(__xludf.DUMMYFUNCTION("""COMPUTED_VALUE"""),45808.0)</f>
        <v>45808</v>
      </c>
    </row>
    <row r="2052">
      <c r="A2052" s="6" t="str">
        <f>IFERROR(__xludf.DUMMYFUNCTION("""COMPUTED_VALUE"""),"ANO")</f>
        <v>ANO</v>
      </c>
      <c r="B2052" s="6" t="str">
        <f>IFERROR(__xludf.DUMMYFUNCTION("""COMPUTED_VALUE"""),"ENG")</f>
        <v>ENG</v>
      </c>
      <c r="C2052" s="6" t="str">
        <f>IFERROR(__xludf.DUMMYFUNCTION("""COMPUTED_VALUE"""),"O-16030-00")</f>
        <v>O-16030-00</v>
      </c>
      <c r="D2052" s="6" t="str">
        <f>IFERROR(__xludf.DUMMYFUNCTION("""COMPUTED_VALUE"""),"001292; Item Type : Dry box; 9")</f>
        <v>001292; Item Type : Dry box; 9</v>
      </c>
      <c r="E2052" s="6">
        <f>IFERROR(__xludf.DUMMYFUNCTION("""COMPUTED_VALUE"""),3.0)</f>
        <v>3</v>
      </c>
      <c r="F2052" s="6">
        <f>IFERROR(__xludf.DUMMYFUNCTION("""COMPUTED_VALUE"""),3.0)</f>
        <v>3</v>
      </c>
      <c r="G2052" s="6">
        <f>IFERROR(__xludf.DUMMYFUNCTION("""COMPUTED_VALUE"""),0.0)</f>
        <v>0</v>
      </c>
      <c r="H2052" s="6" t="str">
        <f>IFERROR(__xludf.DUMMYFUNCTION("""COMPUTED_VALUE"""),"Pcs")</f>
        <v>Pcs</v>
      </c>
      <c r="I2052" s="6" t="str">
        <f>IFERROR(__xludf.DUMMYFUNCTION("""COMPUTED_VALUE"""),"MFH")</f>
        <v>MFH</v>
      </c>
      <c r="J2052" s="6" t="str">
        <f>IFERROR(__xludf.DUMMYFUNCTION("""COMPUTED_VALUE"""),"Mixing")</f>
        <v>Mixing</v>
      </c>
      <c r="K2052" s="6" t="str">
        <f>IFERROR(__xludf.DUMMYFUNCTION("""COMPUTED_VALUE"""),"SPR/05/25/028")</f>
        <v>SPR/05/25/028</v>
      </c>
      <c r="L2052" s="13">
        <f>IFERROR(__xludf.DUMMYFUNCTION("""COMPUTED_VALUE"""),45808.0)</f>
        <v>45808</v>
      </c>
    </row>
    <row r="2053">
      <c r="A2053" s="6" t="str">
        <f>IFERROR(__xludf.DUMMYFUNCTION("""COMPUTED_VALUE"""),"RIA")</f>
        <v>RIA</v>
      </c>
      <c r="B2053" s="6" t="str">
        <f>IFERROR(__xludf.DUMMYFUNCTION("""COMPUTED_VALUE"""),"ENG")</f>
        <v>ENG</v>
      </c>
      <c r="C2053" s="6" t="str">
        <f>IFERROR(__xludf.DUMMYFUNCTION("""COMPUTED_VALUE"""),"P-11424-00")</f>
        <v>P-11424-00</v>
      </c>
      <c r="D2053" s="6" t="str">
        <f>IFERROR(__xludf.DUMMYFUNCTION("""COMPUTED_VALUE"""),"Selang Festo Pun-H-12x2 Blue 2 x 50 m")</f>
        <v>Selang Festo Pun-H-12x2 Blue 2 x 50 m</v>
      </c>
      <c r="E2053" s="6">
        <f>IFERROR(__xludf.DUMMYFUNCTION("""COMPUTED_VALUE"""),3.0)</f>
        <v>3</v>
      </c>
      <c r="F2053" s="6">
        <f>IFERROR(__xludf.DUMMYFUNCTION("""COMPUTED_VALUE"""),3.0)</f>
        <v>3</v>
      </c>
      <c r="G2053" s="6">
        <f>IFERROR(__xludf.DUMMYFUNCTION("""COMPUTED_VALUE"""),0.0)</f>
        <v>0</v>
      </c>
      <c r="H2053" s="6" t="str">
        <f>IFERROR(__xludf.DUMMYFUNCTION("""COMPUTED_VALUE"""),"Mtr")</f>
        <v>Mtr</v>
      </c>
      <c r="I2053" s="6" t="str">
        <f>IFERROR(__xludf.DUMMYFUNCTION("""COMPUTED_VALUE"""),"MFH")</f>
        <v>MFH</v>
      </c>
      <c r="J2053" s="6" t="str">
        <f>IFERROR(__xludf.DUMMYFUNCTION("""COMPUTED_VALUE"""),"PWG")</f>
        <v>PWG</v>
      </c>
      <c r="K2053" s="6" t="str">
        <f>IFERROR(__xludf.DUMMYFUNCTION("""COMPUTED_VALUE"""),"SPR/05/25/029")</f>
        <v>SPR/05/25/029</v>
      </c>
      <c r="L2053" s="13">
        <f>IFERROR(__xludf.DUMMYFUNCTION("""COMPUTED_VALUE"""),45808.0)</f>
        <v>45808</v>
      </c>
    </row>
    <row r="2054">
      <c r="A2054" s="6" t="str">
        <f>IFERROR(__xludf.DUMMYFUNCTION("""COMPUTED_VALUE"""),"RIA")</f>
        <v>RIA</v>
      </c>
      <c r="B2054" s="6" t="str">
        <f>IFERROR(__xludf.DUMMYFUNCTION("""COMPUTED_VALUE"""),"ENG")</f>
        <v>ENG</v>
      </c>
      <c r="C2054" s="6" t="str">
        <f>IFERROR(__xludf.DUMMYFUNCTION("""COMPUTED_VALUE"""),"O-52530-00")</f>
        <v>O-52530-00</v>
      </c>
      <c r="D2054" s="6" t="str">
        <f>IFERROR(__xludf.DUMMYFUNCTION("""COMPUTED_VALUE"""),"Sensor PH Meter Type : InPro3250/120/PT1000 PN. 52002548")</f>
        <v>Sensor PH Meter Type : InPro3250/120/PT1000 PN. 52002548</v>
      </c>
      <c r="E2054" s="6">
        <f>IFERROR(__xludf.DUMMYFUNCTION("""COMPUTED_VALUE"""),1.0)</f>
        <v>1</v>
      </c>
      <c r="F2054" s="6">
        <f>IFERROR(__xludf.DUMMYFUNCTION("""COMPUTED_VALUE"""),1.0)</f>
        <v>1</v>
      </c>
      <c r="G2054" s="6">
        <f>IFERROR(__xludf.DUMMYFUNCTION("""COMPUTED_VALUE"""),0.0)</f>
        <v>0</v>
      </c>
      <c r="H2054" s="6" t="str">
        <f>IFERROR(__xludf.DUMMYFUNCTION("""COMPUTED_VALUE"""),"Pcs")</f>
        <v>Pcs</v>
      </c>
      <c r="I2054" s="6" t="str">
        <f>IFERROR(__xludf.DUMMYFUNCTION("""COMPUTED_VALUE"""),"MFH")</f>
        <v>MFH</v>
      </c>
      <c r="J2054" s="6" t="str">
        <f>IFERROR(__xludf.DUMMYFUNCTION("""COMPUTED_VALUE"""),"Mixing")</f>
        <v>Mixing</v>
      </c>
      <c r="K2054" s="6" t="str">
        <f>IFERROR(__xludf.DUMMYFUNCTION("""COMPUTED_VALUE"""),"SPR/05/25/029")</f>
        <v>SPR/05/25/029</v>
      </c>
      <c r="L2054" s="13">
        <f>IFERROR(__xludf.DUMMYFUNCTION("""COMPUTED_VALUE"""),45808.0)</f>
        <v>45808</v>
      </c>
    </row>
    <row r="2055">
      <c r="A2055" s="6" t="str">
        <f>IFERROR(__xludf.DUMMYFUNCTION("""COMPUTED_VALUE"""),"RIA")</f>
        <v>RIA</v>
      </c>
      <c r="B2055" s="6" t="str">
        <f>IFERROR(__xludf.DUMMYFUNCTION("""COMPUTED_VALUE"""),"ENG")</f>
        <v>ENG</v>
      </c>
      <c r="C2055" s="6" t="str">
        <f>IFERROR(__xludf.DUMMYFUNCTION("""COMPUTED_VALUE"""),"P-15862-00")</f>
        <v>P-15862-00</v>
      </c>
      <c r="D2055" s="6" t="str">
        <f>IFERROR(__xludf.DUMMYFUNCTION("""COMPUTED_VALUE"""),"PAPER RECORD YOKOGAWA; FOLDING CHART B9565AW")</f>
        <v>PAPER RECORD YOKOGAWA; FOLDING CHART B9565AW</v>
      </c>
      <c r="E2055" s="6">
        <f>IFERROR(__xludf.DUMMYFUNCTION("""COMPUTED_VALUE"""),1.0)</f>
        <v>1</v>
      </c>
      <c r="F2055" s="6">
        <f>IFERROR(__xludf.DUMMYFUNCTION("""COMPUTED_VALUE"""),1.0)</f>
        <v>1</v>
      </c>
      <c r="G2055" s="6">
        <f>IFERROR(__xludf.DUMMYFUNCTION("""COMPUTED_VALUE"""),0.0)</f>
        <v>0</v>
      </c>
      <c r="H2055" s="6" t="str">
        <f>IFERROR(__xludf.DUMMYFUNCTION("""COMPUTED_VALUE"""),"Pcs")</f>
        <v>Pcs</v>
      </c>
      <c r="I2055" s="6" t="str">
        <f>IFERROR(__xludf.DUMMYFUNCTION("""COMPUTED_VALUE"""),"MFH")</f>
        <v>MFH</v>
      </c>
      <c r="J2055" s="6" t="str">
        <f>IFERROR(__xludf.DUMMYFUNCTION("""COMPUTED_VALUE"""),"PW SKID")</f>
        <v>PW SKID</v>
      </c>
      <c r="K2055" s="6" t="str">
        <f>IFERROR(__xludf.DUMMYFUNCTION("""COMPUTED_VALUE"""),"SPR/05/25/029")</f>
        <v>SPR/05/25/029</v>
      </c>
      <c r="L2055" s="13">
        <f>IFERROR(__xludf.DUMMYFUNCTION("""COMPUTED_VALUE"""),45808.0)</f>
        <v>45808</v>
      </c>
    </row>
    <row r="2056">
      <c r="A2056" s="6" t="str">
        <f>IFERROR(__xludf.DUMMYFUNCTION("""COMPUTED_VALUE"""),"ROS")</f>
        <v>ROS</v>
      </c>
      <c r="B2056" s="6" t="str">
        <f>IFERROR(__xludf.DUMMYFUNCTION("""COMPUTED_VALUE"""),"ENG")</f>
        <v>ENG</v>
      </c>
      <c r="C2056" s="6" t="str">
        <f>IFERROR(__xludf.DUMMYFUNCTION("""COMPUTED_VALUE"""),"T-80109-00")</f>
        <v>T-80109-00</v>
      </c>
      <c r="D2056" s="6" t="str">
        <f>IFERROR(__xludf.DUMMYFUNCTION("""COMPUTED_VALUE"""),"Cellotape Kertas 1 inch warna Putih")</f>
        <v>Cellotape Kertas 1 inch warna Putih</v>
      </c>
      <c r="E2056" s="6">
        <f>IFERROR(__xludf.DUMMYFUNCTION("""COMPUTED_VALUE"""),1.0)</f>
        <v>1</v>
      </c>
      <c r="F2056" s="6">
        <f>IFERROR(__xludf.DUMMYFUNCTION("""COMPUTED_VALUE"""),1.0)</f>
        <v>1</v>
      </c>
      <c r="G2056" s="6">
        <f>IFERROR(__xludf.DUMMYFUNCTION("""COMPUTED_VALUE"""),0.0)</f>
        <v>0</v>
      </c>
      <c r="H2056" s="6" t="str">
        <f>IFERROR(__xludf.DUMMYFUNCTION("""COMPUTED_VALUE"""),"Pcs")</f>
        <v>Pcs</v>
      </c>
      <c r="I2056" s="6" t="str">
        <f>IFERROR(__xludf.DUMMYFUNCTION("""COMPUTED_VALUE"""),"MFH")</f>
        <v>MFH</v>
      </c>
      <c r="J2056" s="6" t="str">
        <f>IFERROR(__xludf.DUMMYFUNCTION("""COMPUTED_VALUE"""),"FD")</f>
        <v>FD</v>
      </c>
      <c r="K2056" s="6" t="str">
        <f>IFERROR(__xludf.DUMMYFUNCTION("""COMPUTED_VALUE"""),"SPR/05/25/030")</f>
        <v>SPR/05/25/030</v>
      </c>
      <c r="L2056" s="13">
        <f>IFERROR(__xludf.DUMMYFUNCTION("""COMPUTED_VALUE"""),45808.0)</f>
        <v>45808</v>
      </c>
    </row>
    <row r="2057">
      <c r="A2057" s="6" t="str">
        <f>IFERROR(__xludf.DUMMYFUNCTION("""COMPUTED_VALUE"""),"ROS")</f>
        <v>ROS</v>
      </c>
      <c r="B2057" s="6" t="str">
        <f>IFERROR(__xludf.DUMMYFUNCTION("""COMPUTED_VALUE"""),"ENG")</f>
        <v>ENG</v>
      </c>
      <c r="C2057" s="6" t="str">
        <f>IFERROR(__xludf.DUMMYFUNCTION("""COMPUTED_VALUE"""),"P-51027-00")</f>
        <v>P-51027-00</v>
      </c>
      <c r="D2057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057" s="6">
        <f>IFERROR(__xludf.DUMMYFUNCTION("""COMPUTED_VALUE"""),1.0)</f>
        <v>1</v>
      </c>
      <c r="F2057" s="6">
        <f>IFERROR(__xludf.DUMMYFUNCTION("""COMPUTED_VALUE"""),1.0)</f>
        <v>1</v>
      </c>
      <c r="G2057" s="6">
        <f>IFERROR(__xludf.DUMMYFUNCTION("""COMPUTED_VALUE"""),0.0)</f>
        <v>0</v>
      </c>
      <c r="H2057" s="6" t="str">
        <f>IFERROR(__xludf.DUMMYFUNCTION("""COMPUTED_VALUE"""),"pcs")</f>
        <v>pcs</v>
      </c>
      <c r="I2057" s="6" t="str">
        <f>IFERROR(__xludf.DUMMYFUNCTION("""COMPUTED_VALUE"""),"MFH")</f>
        <v>MFH</v>
      </c>
      <c r="J2057" s="6" t="str">
        <f>IFERROR(__xludf.DUMMYFUNCTION("""COMPUTED_VALUE"""),"FD")</f>
        <v>FD</v>
      </c>
      <c r="K2057" s="6" t="str">
        <f>IFERROR(__xludf.DUMMYFUNCTION("""COMPUTED_VALUE"""),"SPR/05/25/030")</f>
        <v>SPR/05/25/030</v>
      </c>
      <c r="L2057" s="13">
        <f>IFERROR(__xludf.DUMMYFUNCTION("""COMPUTED_VALUE"""),45808.0)</f>
        <v>45808</v>
      </c>
    </row>
    <row r="2058">
      <c r="A2058" s="6" t="str">
        <f>IFERROR(__xludf.DUMMYFUNCTION("""COMPUTED_VALUE"""),"RIA")</f>
        <v>RIA</v>
      </c>
      <c r="B2058" s="6" t="str">
        <f>IFERROR(__xludf.DUMMYFUNCTION("""COMPUTED_VALUE"""),"ENG")</f>
        <v>ENG</v>
      </c>
      <c r="C2058" s="6" t="str">
        <f>IFERROR(__xludf.DUMMYFUNCTION("""COMPUTED_VALUE"""),"P-13389-00")</f>
        <v>P-13389-00</v>
      </c>
      <c r="D2058" s="6" t="str">
        <f>IFERROR(__xludf.DUMMYFUNCTION("""COMPUTED_VALUE"""),"Scotch Brite 3M; ; ;")</f>
        <v>Scotch Brite 3M; ; ;</v>
      </c>
      <c r="E2058" s="6">
        <f>IFERROR(__xludf.DUMMYFUNCTION("""COMPUTED_VALUE"""),1.0)</f>
        <v>1</v>
      </c>
      <c r="F2058" s="6">
        <f>IFERROR(__xludf.DUMMYFUNCTION("""COMPUTED_VALUE"""),1.0)</f>
        <v>1</v>
      </c>
      <c r="G2058" s="6">
        <f>IFERROR(__xludf.DUMMYFUNCTION("""COMPUTED_VALUE"""),0.0)</f>
        <v>0</v>
      </c>
      <c r="H2058" s="6" t="str">
        <f>IFERROR(__xludf.DUMMYFUNCTION("""COMPUTED_VALUE"""),"Pcs")</f>
        <v>Pcs</v>
      </c>
      <c r="I2058" s="6" t="str">
        <f>IFERROR(__xludf.DUMMYFUNCTION("""COMPUTED_VALUE"""),"MFH")</f>
        <v>MFH</v>
      </c>
      <c r="J2058" s="6" t="str">
        <f>IFERROR(__xludf.DUMMYFUNCTION("""COMPUTED_VALUE"""),"-")</f>
        <v>-</v>
      </c>
      <c r="K2058" s="6" t="str">
        <f>IFERROR(__xludf.DUMMYFUNCTION("""COMPUTED_VALUE"""),"SPR/05/25/031")</f>
        <v>SPR/05/25/031</v>
      </c>
      <c r="L2058" s="13">
        <f>IFERROR(__xludf.DUMMYFUNCTION("""COMPUTED_VALUE"""),45808.0)</f>
        <v>45808</v>
      </c>
    </row>
    <row r="2059">
      <c r="A2059" s="6" t="str">
        <f>IFERROR(__xludf.DUMMYFUNCTION("""COMPUTED_VALUE"""),"RIA")</f>
        <v>RIA</v>
      </c>
      <c r="B2059" s="6" t="str">
        <f>IFERROR(__xludf.DUMMYFUNCTION("""COMPUTED_VALUE"""),"ENG")</f>
        <v>ENG</v>
      </c>
      <c r="C2059" s="6" t="str">
        <f>IFERROR(__xludf.DUMMYFUNCTION("""COMPUTED_VALUE"""),"P-17830-00")</f>
        <v>P-17830-00</v>
      </c>
      <c r="D2059" s="6" t="str">
        <f>IFERROR(__xludf.DUMMYFUNCTION("""COMPUTED_VALUE"""),"Cleaner Stainless Stell &amp; Polish; 3M; ;")</f>
        <v>Cleaner Stainless Stell &amp; Polish; 3M; ;</v>
      </c>
      <c r="E2059" s="6">
        <f>IFERROR(__xludf.DUMMYFUNCTION("""COMPUTED_VALUE"""),1.0)</f>
        <v>1</v>
      </c>
      <c r="F2059" s="6">
        <f>IFERROR(__xludf.DUMMYFUNCTION("""COMPUTED_VALUE"""),1.0)</f>
        <v>1</v>
      </c>
      <c r="G2059" s="6">
        <f>IFERROR(__xludf.DUMMYFUNCTION("""COMPUTED_VALUE"""),0.0)</f>
        <v>0</v>
      </c>
      <c r="H2059" s="6" t="str">
        <f>IFERROR(__xludf.DUMMYFUNCTION("""COMPUTED_VALUE"""),"Pcs")</f>
        <v>Pcs</v>
      </c>
      <c r="I2059" s="6" t="str">
        <f>IFERROR(__xludf.DUMMYFUNCTION("""COMPUTED_VALUE"""),"MFH")</f>
        <v>MFH</v>
      </c>
      <c r="J2059" s="6" t="str">
        <f>IFERROR(__xludf.DUMMYFUNCTION("""COMPUTED_VALUE"""),"-")</f>
        <v>-</v>
      </c>
      <c r="K2059" s="6" t="str">
        <f>IFERROR(__xludf.DUMMYFUNCTION("""COMPUTED_VALUE"""),"SPR/05/25/031")</f>
        <v>SPR/05/25/031</v>
      </c>
      <c r="L2059" s="13">
        <f>IFERROR(__xludf.DUMMYFUNCTION("""COMPUTED_VALUE"""),45808.0)</f>
        <v>45808</v>
      </c>
    </row>
    <row r="2060">
      <c r="A2060" s="6" t="str">
        <f>IFERROR(__xludf.DUMMYFUNCTION("""COMPUTED_VALUE"""),"RIA")</f>
        <v>RIA</v>
      </c>
      <c r="B2060" s="6" t="str">
        <f>IFERROR(__xludf.DUMMYFUNCTION("""COMPUTED_VALUE"""),"ENG")</f>
        <v>ENG</v>
      </c>
      <c r="C2060" s="6" t="str">
        <f>IFERROR(__xludf.DUMMYFUNCTION("""COMPUTED_VALUE"""),"P-11991-00")</f>
        <v>P-11991-00</v>
      </c>
      <c r="D2060" s="6" t="str">
        <f>IFERROR(__xludf.DUMMYFUNCTION("""COMPUTED_VALUE"""),"Cabble Ties 200L")</f>
        <v>Cabble Ties 200L</v>
      </c>
      <c r="E2060" s="6">
        <f>IFERROR(__xludf.DUMMYFUNCTION("""COMPUTED_VALUE"""),1.0)</f>
        <v>1</v>
      </c>
      <c r="F2060" s="6">
        <f>IFERROR(__xludf.DUMMYFUNCTION("""COMPUTED_VALUE"""),1.0)</f>
        <v>1</v>
      </c>
      <c r="G2060" s="6">
        <f>IFERROR(__xludf.DUMMYFUNCTION("""COMPUTED_VALUE"""),0.0)</f>
        <v>0</v>
      </c>
      <c r="H2060" s="6" t="str">
        <f>IFERROR(__xludf.DUMMYFUNCTION("""COMPUTED_VALUE"""),"pcs")</f>
        <v>pcs</v>
      </c>
      <c r="I2060" s="6" t="str">
        <f>IFERROR(__xludf.DUMMYFUNCTION("""COMPUTED_VALUE"""),"MFH")</f>
        <v>MFH</v>
      </c>
      <c r="J2060" s="6" t="str">
        <f>IFERROR(__xludf.DUMMYFUNCTION("""COMPUTED_VALUE"""),"-")</f>
        <v>-</v>
      </c>
      <c r="K2060" s="6" t="str">
        <f>IFERROR(__xludf.DUMMYFUNCTION("""COMPUTED_VALUE"""),"SPR/05/25/031")</f>
        <v>SPR/05/25/031</v>
      </c>
      <c r="L2060" s="13">
        <f>IFERROR(__xludf.DUMMYFUNCTION("""COMPUTED_VALUE"""),45808.0)</f>
        <v>45808</v>
      </c>
    </row>
    <row r="2061">
      <c r="A2061" s="6" t="str">
        <f>IFERROR(__xludf.DUMMYFUNCTION("""COMPUTED_VALUE"""),"AAA")</f>
        <v>AAA</v>
      </c>
      <c r="B2061" s="6" t="str">
        <f>IFERROR(__xludf.DUMMYFUNCTION("""COMPUTED_VALUE"""),"ENG")</f>
        <v>ENG</v>
      </c>
      <c r="C2061" s="6" t="str">
        <f>IFERROR(__xludf.DUMMYFUNCTION("""COMPUTED_VALUE"""),"T-20591-00")</f>
        <v>T-20591-00</v>
      </c>
      <c r="D2061" s="6" t="str">
        <f>IFERROR(__xludf.DUMMYFUNCTION("""COMPUTED_VALUE"""),"Kit, Performance PLUS seal pack rebuild")</f>
        <v>Kit, Performance PLUS seal pack rebuild</v>
      </c>
      <c r="E2061" s="6">
        <f>IFERROR(__xludf.DUMMYFUNCTION("""COMPUTED_VALUE"""),1.0)</f>
        <v>1</v>
      </c>
      <c r="F2061" s="6">
        <f>IFERROR(__xludf.DUMMYFUNCTION("""COMPUTED_VALUE"""),1.0)</f>
        <v>1</v>
      </c>
      <c r="G2061" s="6">
        <f>IFERROR(__xludf.DUMMYFUNCTION("""COMPUTED_VALUE"""),0.0)</f>
        <v>0</v>
      </c>
      <c r="H2061" s="6" t="str">
        <f>IFERROR(__xludf.DUMMYFUNCTION("""COMPUTED_VALUE"""),"Pcs")</f>
        <v>Pcs</v>
      </c>
      <c r="I2061" s="6" t="str">
        <f>IFERROR(__xludf.DUMMYFUNCTION("""COMPUTED_VALUE"""),"MFH")</f>
        <v>MFH</v>
      </c>
      <c r="J2061" s="6" t="str">
        <f>IFERROR(__xludf.DUMMYFUNCTION("""COMPUTED_VALUE"""),"HPLC")</f>
        <v>HPLC</v>
      </c>
      <c r="K2061" s="6" t="str">
        <f>IFERROR(__xludf.DUMMYFUNCTION("""COMPUTED_VALUE"""),"SPR/05/25/032")</f>
        <v>SPR/05/25/032</v>
      </c>
      <c r="L2061" s="13">
        <f>IFERROR(__xludf.DUMMYFUNCTION("""COMPUTED_VALUE"""),45808.0)</f>
        <v>45808</v>
      </c>
    </row>
    <row r="2062">
      <c r="A2062" s="6" t="str">
        <f>IFERROR(__xludf.DUMMYFUNCTION("""COMPUTED_VALUE"""),"MOB")</f>
        <v>MOB</v>
      </c>
      <c r="B2062" s="6" t="str">
        <f>IFERROR(__xludf.DUMMYFUNCTION("""COMPUTED_VALUE"""),"ENG")</f>
        <v>ENG</v>
      </c>
      <c r="C2062" s="6" t="str">
        <f>IFERROR(__xludf.DUMMYFUNCTION("""COMPUTED_VALUE"""),"Q-10249-00")</f>
        <v>Q-10249-00</v>
      </c>
      <c r="D2062" s="6" t="str">
        <f>IFERROR(__xludf.DUMMYFUNCTION("""COMPUTED_VALUE"""),"Lem Power Glue")</f>
        <v>Lem Power Glue</v>
      </c>
      <c r="E2062" s="6">
        <f>IFERROR(__xludf.DUMMYFUNCTION("""COMPUTED_VALUE"""),2.0)</f>
        <v>2</v>
      </c>
      <c r="F2062" s="6">
        <f>IFERROR(__xludf.DUMMYFUNCTION("""COMPUTED_VALUE"""),2.0)</f>
        <v>2</v>
      </c>
      <c r="G2062" s="6">
        <f>IFERROR(__xludf.DUMMYFUNCTION("""COMPUTED_VALUE"""),0.0)</f>
        <v>0</v>
      </c>
      <c r="H2062" s="6" t="str">
        <f>IFERROR(__xludf.DUMMYFUNCTION("""COMPUTED_VALUE"""),"Pcs")</f>
        <v>Pcs</v>
      </c>
      <c r="I2062" s="6" t="str">
        <f>IFERROR(__xludf.DUMMYFUNCTION("""COMPUTED_VALUE"""),"MFH")</f>
        <v>MFH</v>
      </c>
      <c r="J2062" s="6" t="str">
        <f>IFERROR(__xludf.DUMMYFUNCTION("""COMPUTED_VALUE"""),"-")</f>
        <v>-</v>
      </c>
      <c r="K2062" s="6" t="str">
        <f>IFERROR(__xludf.DUMMYFUNCTION("""COMPUTED_VALUE"""),"SPR/05/25/033")</f>
        <v>SPR/05/25/033</v>
      </c>
      <c r="L2062" s="13">
        <f>IFERROR(__xludf.DUMMYFUNCTION("""COMPUTED_VALUE"""),45808.0)</f>
        <v>45808</v>
      </c>
    </row>
    <row r="2063">
      <c r="A2063" s="6" t="str">
        <f>IFERROR(__xludf.DUMMYFUNCTION("""COMPUTED_VALUE"""),"SFH")</f>
        <v>SFH</v>
      </c>
      <c r="B2063" s="6" t="str">
        <f>IFERROR(__xludf.DUMMYFUNCTION("""COMPUTED_VALUE"""),"ENG")</f>
        <v>ENG</v>
      </c>
      <c r="C2063" s="6" t="str">
        <f>IFERROR(__xludf.DUMMYFUNCTION("""COMPUTED_VALUE"""),"Q-10249-00")</f>
        <v>Q-10249-00</v>
      </c>
      <c r="D2063" s="6" t="str">
        <f>IFERROR(__xludf.DUMMYFUNCTION("""COMPUTED_VALUE"""),"Lem Power Glue")</f>
        <v>Lem Power Glue</v>
      </c>
      <c r="E2063" s="6">
        <f>IFERROR(__xludf.DUMMYFUNCTION("""COMPUTED_VALUE"""),2.0)</f>
        <v>2</v>
      </c>
      <c r="F2063" s="6">
        <f>IFERROR(__xludf.DUMMYFUNCTION("""COMPUTED_VALUE"""),2.0)</f>
        <v>2</v>
      </c>
      <c r="G2063" s="6">
        <f>IFERROR(__xludf.DUMMYFUNCTION("""COMPUTED_VALUE"""),0.0)</f>
        <v>0</v>
      </c>
      <c r="H2063" s="6" t="str">
        <f>IFERROR(__xludf.DUMMYFUNCTION("""COMPUTED_VALUE"""),"Pcs")</f>
        <v>Pcs</v>
      </c>
      <c r="I2063" s="6" t="str">
        <f>IFERROR(__xludf.DUMMYFUNCTION("""COMPUTED_VALUE"""),"MFH")</f>
        <v>MFH</v>
      </c>
      <c r="J2063" s="6" t="str">
        <f>IFERROR(__xludf.DUMMYFUNCTION("""COMPUTED_VALUE"""),"Building")</f>
        <v>Building</v>
      </c>
      <c r="K2063" s="6" t="str">
        <f>IFERROR(__xludf.DUMMYFUNCTION("""COMPUTED_VALUE"""),"SPR/05/25/034")</f>
        <v>SPR/05/25/034</v>
      </c>
      <c r="L2063" s="13">
        <f>IFERROR(__xludf.DUMMYFUNCTION("""COMPUTED_VALUE"""),45808.0)</f>
        <v>45808</v>
      </c>
    </row>
    <row r="2064">
      <c r="A2064" s="6" t="str">
        <f>IFERROR(__xludf.DUMMYFUNCTION("""COMPUTED_VALUE"""),"MRN")</f>
        <v>MRN</v>
      </c>
      <c r="B2064" s="6" t="str">
        <f>IFERROR(__xludf.DUMMYFUNCTION("""COMPUTED_VALUE"""),"ENG")</f>
        <v>ENG</v>
      </c>
      <c r="C2064" s="6" t="str">
        <f>IFERROR(__xludf.DUMMYFUNCTION("""COMPUTED_VALUE"""),"P-53382-00")</f>
        <v>P-53382-00</v>
      </c>
      <c r="D2064" s="6" t="str">
        <f>IFERROR(__xludf.DUMMYFUNCTION("""COMPUTED_VALUE"""),"General - Exhaust Fan; KDK; 24CDQNA; 1 unit")</f>
        <v>General - Exhaust Fan; KDK; 24CDQNA; 1 unit</v>
      </c>
      <c r="E2064" s="6">
        <f>IFERROR(__xludf.DUMMYFUNCTION("""COMPUTED_VALUE"""),2.0)</f>
        <v>2</v>
      </c>
      <c r="F2064" s="6">
        <f>IFERROR(__xludf.DUMMYFUNCTION("""COMPUTED_VALUE"""),2.0)</f>
        <v>2</v>
      </c>
      <c r="G2064" s="6">
        <f>IFERROR(__xludf.DUMMYFUNCTION("""COMPUTED_VALUE"""),0.0)</f>
        <v>0</v>
      </c>
      <c r="H2064" s="6" t="str">
        <f>IFERROR(__xludf.DUMMYFUNCTION("""COMPUTED_VALUE"""),"PCs")</f>
        <v>PCs</v>
      </c>
      <c r="I2064" s="6" t="str">
        <f>IFERROR(__xludf.DUMMYFUNCTION("""COMPUTED_VALUE"""),"MFH")</f>
        <v>MFH</v>
      </c>
      <c r="J2064" s="6" t="str">
        <f>IFERROR(__xludf.DUMMYFUNCTION("""COMPUTED_VALUE"""),"-")</f>
        <v>-</v>
      </c>
      <c r="K2064" s="6" t="str">
        <f>IFERROR(__xludf.DUMMYFUNCTION("""COMPUTED_VALUE"""),"SPR/05/25/035")</f>
        <v>SPR/05/25/035</v>
      </c>
      <c r="L2064" s="13">
        <f>IFERROR(__xludf.DUMMYFUNCTION("""COMPUTED_VALUE"""),45808.0)</f>
        <v>45808</v>
      </c>
    </row>
    <row r="2065">
      <c r="A2065" s="6" t="str">
        <f>IFERROR(__xludf.DUMMYFUNCTION("""COMPUTED_VALUE"""),"DAH")</f>
        <v>DAH</v>
      </c>
      <c r="B2065" s="6" t="str">
        <f>IFERROR(__xludf.DUMMYFUNCTION("""COMPUTED_VALUE"""),"ENG")</f>
        <v>ENG</v>
      </c>
      <c r="C2065" s="6" t="str">
        <f>IFERROR(__xludf.DUMMYFUNCTION("""COMPUTED_VALUE"""),"Q-10249-00")</f>
        <v>Q-10249-00</v>
      </c>
      <c r="D2065" s="6" t="str">
        <f>IFERROR(__xludf.DUMMYFUNCTION("""COMPUTED_VALUE"""),"Lem Power Glue")</f>
        <v>Lem Power Glue</v>
      </c>
      <c r="E2065" s="6">
        <f>IFERROR(__xludf.DUMMYFUNCTION("""COMPUTED_VALUE"""),5.0)</f>
        <v>5</v>
      </c>
      <c r="F2065" s="6">
        <f>IFERROR(__xludf.DUMMYFUNCTION("""COMPUTED_VALUE"""),5.0)</f>
        <v>5</v>
      </c>
      <c r="G2065" s="6">
        <f>IFERROR(__xludf.DUMMYFUNCTION("""COMPUTED_VALUE"""),0.0)</f>
        <v>0</v>
      </c>
      <c r="H2065" s="6" t="str">
        <f>IFERROR(__xludf.DUMMYFUNCTION("""COMPUTED_VALUE"""),"Pcs")</f>
        <v>Pcs</v>
      </c>
      <c r="I2065" s="6" t="str">
        <f>IFERROR(__xludf.DUMMYFUNCTION("""COMPUTED_VALUE"""),"MFH")</f>
        <v>MFH</v>
      </c>
      <c r="J2065" s="6" t="str">
        <f>IFERROR(__xludf.DUMMYFUNCTION("""COMPUTED_VALUE"""),"Building")</f>
        <v>Building</v>
      </c>
      <c r="K2065" s="6" t="str">
        <f>IFERROR(__xludf.DUMMYFUNCTION("""COMPUTED_VALUE"""),"SPR/05/25/036")</f>
        <v>SPR/05/25/036</v>
      </c>
      <c r="L2065" s="13">
        <f>IFERROR(__xludf.DUMMYFUNCTION("""COMPUTED_VALUE"""),45808.0)</f>
        <v>45808</v>
      </c>
    </row>
    <row r="2066">
      <c r="A2066" s="6" t="str">
        <f>IFERROR(__xludf.DUMMYFUNCTION("""COMPUTED_VALUE"""),"MBN")</f>
        <v>MBN</v>
      </c>
      <c r="B2066" s="6" t="str">
        <f>IFERROR(__xludf.DUMMYFUNCTION("""COMPUTED_VALUE"""),"PRO")</f>
        <v>PRO</v>
      </c>
      <c r="C2066" s="6" t="str">
        <f>IFERROR(__xludf.DUMMYFUNCTION("""COMPUTED_VALUE"""),"P-17645-00")</f>
        <v>P-17645-00</v>
      </c>
      <c r="D2066" s="6" t="str">
        <f>IFERROR(__xludf.DUMMYFUNCTION("""COMPUTED_VALUE"""),"Sodium Hiphoclorite; ; ; ltr")</f>
        <v>Sodium Hiphoclorite; ; ; ltr</v>
      </c>
      <c r="E2066" s="6">
        <f>IFERROR(__xludf.DUMMYFUNCTION("""COMPUTED_VALUE"""),30.0)</f>
        <v>30</v>
      </c>
      <c r="F2066" s="6">
        <f>IFERROR(__xludf.DUMMYFUNCTION("""COMPUTED_VALUE"""),30.0)</f>
        <v>30</v>
      </c>
      <c r="G2066" s="6">
        <f>IFERROR(__xludf.DUMMYFUNCTION("""COMPUTED_VALUE"""),0.0)</f>
        <v>0</v>
      </c>
      <c r="H2066" s="6" t="str">
        <f>IFERROR(__xludf.DUMMYFUNCTION("""COMPUTED_VALUE"""),"Pcs")</f>
        <v>Pcs</v>
      </c>
      <c r="I2066" s="6" t="str">
        <f>IFERROR(__xludf.DUMMYFUNCTION("""COMPUTED_VALUE"""),"MFH")</f>
        <v>MFH</v>
      </c>
      <c r="J2066" s="6" t="str">
        <f>IFERROR(__xludf.DUMMYFUNCTION("""COMPUTED_VALUE"""),"-")</f>
        <v>-</v>
      </c>
      <c r="K2066" s="6" t="str">
        <f>IFERROR(__xludf.DUMMYFUNCTION("""COMPUTED_VALUE"""),"SPR/05/25/037")</f>
        <v>SPR/05/25/037</v>
      </c>
      <c r="L2066" s="13">
        <f>IFERROR(__xludf.DUMMYFUNCTION("""COMPUTED_VALUE"""),45808.0)</f>
        <v>45808</v>
      </c>
    </row>
    <row r="2067">
      <c r="A2067" s="6" t="str">
        <f>IFERROR(__xludf.DUMMYFUNCTION("""COMPUTED_VALUE"""),"ROS")</f>
        <v>ROS</v>
      </c>
      <c r="B2067" s="6" t="str">
        <f>IFERROR(__xludf.DUMMYFUNCTION("""COMPUTED_VALUE"""),"ENG")</f>
        <v>ENG</v>
      </c>
      <c r="C2067" s="6" t="str">
        <f>IFERROR(__xludf.DUMMYFUNCTION("""COMPUTED_VALUE"""),"P-17361-00")</f>
        <v>P-17361-00</v>
      </c>
      <c r="D2067" s="6" t="str">
        <f>IFERROR(__xludf.DUMMYFUNCTION("""COMPUTED_VALUE"""),"Oring EPDM 15x9x3 mm")</f>
        <v>Oring EPDM 15x9x3 mm</v>
      </c>
      <c r="E2067" s="6">
        <f>IFERROR(__xludf.DUMMYFUNCTION("""COMPUTED_VALUE"""),1.0)</f>
        <v>1</v>
      </c>
      <c r="F2067" s="6">
        <f>IFERROR(__xludf.DUMMYFUNCTION("""COMPUTED_VALUE"""),1.0)</f>
        <v>1</v>
      </c>
      <c r="G2067" s="6">
        <f>IFERROR(__xludf.DUMMYFUNCTION("""COMPUTED_VALUE"""),0.0)</f>
        <v>0</v>
      </c>
      <c r="H2067" s="6" t="str">
        <f>IFERROR(__xludf.DUMMYFUNCTION("""COMPUTED_VALUE"""),"Pcs")</f>
        <v>Pcs</v>
      </c>
      <c r="I2067" s="6" t="str">
        <f>IFERROR(__xludf.DUMMYFUNCTION("""COMPUTED_VALUE"""),"MFH")</f>
        <v>MFH</v>
      </c>
      <c r="J2067" s="6" t="str">
        <f>IFERROR(__xludf.DUMMYFUNCTION("""COMPUTED_VALUE"""),"Autoclave")</f>
        <v>Autoclave</v>
      </c>
      <c r="K2067" s="6" t="str">
        <f>IFERROR(__xludf.DUMMYFUNCTION("""COMPUTED_VALUE"""),"SPR/05/25/038")</f>
        <v>SPR/05/25/038</v>
      </c>
      <c r="L2067" s="13">
        <f>IFERROR(__xludf.DUMMYFUNCTION("""COMPUTED_VALUE"""),45808.0)</f>
        <v>45808</v>
      </c>
    </row>
    <row r="2068">
      <c r="A2068" s="6" t="str">
        <f>IFERROR(__xludf.DUMMYFUNCTION("""COMPUTED_VALUE"""),"ANO")</f>
        <v>ANO</v>
      </c>
      <c r="B2068" s="6" t="str">
        <f>IFERROR(__xludf.DUMMYFUNCTION("""COMPUTED_VALUE"""),"ENG")</f>
        <v>ENG</v>
      </c>
      <c r="C2068" s="6" t="str">
        <f>IFERROR(__xludf.DUMMYFUNCTION("""COMPUTED_VALUE"""),"P-12920-00")</f>
        <v>P-12920-00</v>
      </c>
      <c r="D2068" s="6" t="str">
        <f>IFERROR(__xludf.DUMMYFUNCTION("""COMPUTED_VALUE"""),"Tungsten Electrodes dia 1.6 mm")</f>
        <v>Tungsten Electrodes dia 1.6 mm</v>
      </c>
      <c r="E2068" s="6">
        <f>IFERROR(__xludf.DUMMYFUNCTION("""COMPUTED_VALUE"""),1.0)</f>
        <v>1</v>
      </c>
      <c r="F2068" s="6">
        <f>IFERROR(__xludf.DUMMYFUNCTION("""COMPUTED_VALUE"""),1.0)</f>
        <v>1</v>
      </c>
      <c r="G2068" s="6">
        <f>IFERROR(__xludf.DUMMYFUNCTION("""COMPUTED_VALUE"""),0.0)</f>
        <v>0</v>
      </c>
      <c r="H2068" s="6" t="str">
        <f>IFERROR(__xludf.DUMMYFUNCTION("""COMPUTED_VALUE"""),"Pcs")</f>
        <v>Pcs</v>
      </c>
      <c r="I2068" s="6" t="str">
        <f>IFERROR(__xludf.DUMMYFUNCTION("""COMPUTED_VALUE"""),"MFH")</f>
        <v>MFH</v>
      </c>
      <c r="J2068" s="6" t="str">
        <f>IFERROR(__xludf.DUMMYFUNCTION("""COMPUTED_VALUE"""),"Workshop")</f>
        <v>Workshop</v>
      </c>
      <c r="K2068" s="6" t="str">
        <f>IFERROR(__xludf.DUMMYFUNCTION("""COMPUTED_VALUE"""),"SPR/05/25/039")</f>
        <v>SPR/05/25/039</v>
      </c>
      <c r="L2068" s="13">
        <f>IFERROR(__xludf.DUMMYFUNCTION("""COMPUTED_VALUE"""),45808.0)</f>
        <v>45808</v>
      </c>
    </row>
    <row r="2069">
      <c r="A2069" s="6" t="str">
        <f>IFERROR(__xludf.DUMMYFUNCTION("""COMPUTED_VALUE"""),"ANO")</f>
        <v>ANO</v>
      </c>
      <c r="B2069" s="6" t="str">
        <f>IFERROR(__xludf.DUMMYFUNCTION("""COMPUTED_VALUE"""),"ENG")</f>
        <v>ENG</v>
      </c>
      <c r="C2069" s="6" t="str">
        <f>IFERROR(__xludf.DUMMYFUNCTION("""COMPUTED_VALUE"""),"P-11694-00")</f>
        <v>P-11694-00</v>
      </c>
      <c r="D2069" s="6" t="str">
        <f>IFERROR(__xludf.DUMMYFUNCTION("""COMPUTED_VALUE"""),"Mata Gerinda 4")</f>
        <v>Mata Gerinda 4</v>
      </c>
      <c r="E2069" s="6">
        <f>IFERROR(__xludf.DUMMYFUNCTION("""COMPUTED_VALUE"""),1.0)</f>
        <v>1</v>
      </c>
      <c r="F2069" s="6">
        <f>IFERROR(__xludf.DUMMYFUNCTION("""COMPUTED_VALUE"""),1.0)</f>
        <v>1</v>
      </c>
      <c r="G2069" s="6">
        <f>IFERROR(__xludf.DUMMYFUNCTION("""COMPUTED_VALUE"""),0.0)</f>
        <v>0</v>
      </c>
      <c r="H2069" s="6" t="str">
        <f>IFERROR(__xludf.DUMMYFUNCTION("""COMPUTED_VALUE"""),"Pcs")</f>
        <v>Pcs</v>
      </c>
      <c r="I2069" s="6" t="str">
        <f>IFERROR(__xludf.DUMMYFUNCTION("""COMPUTED_VALUE"""),"MFH")</f>
        <v>MFH</v>
      </c>
      <c r="J2069" s="6" t="str">
        <f>IFERROR(__xludf.DUMMYFUNCTION("""COMPUTED_VALUE"""),"Workshop")</f>
        <v>Workshop</v>
      </c>
      <c r="K2069" s="6" t="str">
        <f>IFERROR(__xludf.DUMMYFUNCTION("""COMPUTED_VALUE"""),"SPR/05/25/039")</f>
        <v>SPR/05/25/039</v>
      </c>
      <c r="L2069" s="13">
        <f>IFERROR(__xludf.DUMMYFUNCTION("""COMPUTED_VALUE"""),45808.0)</f>
        <v>45808</v>
      </c>
    </row>
    <row r="2070">
      <c r="A2070" s="6" t="str">
        <f>IFERROR(__xludf.DUMMYFUNCTION("""COMPUTED_VALUE"""),"SHF")</f>
        <v>SHF</v>
      </c>
      <c r="B2070" s="6" t="str">
        <f>IFERROR(__xludf.DUMMYFUNCTION("""COMPUTED_VALUE"""),"ENG")</f>
        <v>ENG</v>
      </c>
      <c r="C2070" s="6" t="str">
        <f>IFERROR(__xludf.DUMMYFUNCTION("""COMPUTED_VALUE"""),"P-52369-00")</f>
        <v>P-52369-00</v>
      </c>
      <c r="D2070" s="6" t="str">
        <f>IFERROR(__xludf.DUMMYFUNCTION("""COMPUTED_VALUE"""),"HVAC - Pressure Flow Control MF PFC Ver.3 24 VAC/VDC 0 - 100 Pa Micatrone; ; ;")</f>
        <v>HVAC - Pressure Flow Control MF PFC Ver.3 24 VAC/VDC 0 - 100 Pa Micatrone; ; ;</v>
      </c>
      <c r="E2070" s="6">
        <f>IFERROR(__xludf.DUMMYFUNCTION("""COMPUTED_VALUE"""),3.0)</f>
        <v>3</v>
      </c>
      <c r="F2070" s="6">
        <f>IFERROR(__xludf.DUMMYFUNCTION("""COMPUTED_VALUE"""),3.0)</f>
        <v>3</v>
      </c>
      <c r="G2070" s="6">
        <f>IFERROR(__xludf.DUMMYFUNCTION("""COMPUTED_VALUE"""),0.0)</f>
        <v>0</v>
      </c>
      <c r="H2070" s="6" t="str">
        <f>IFERROR(__xludf.DUMMYFUNCTION("""COMPUTED_VALUE"""),"PCs")</f>
        <v>PCs</v>
      </c>
      <c r="I2070" s="6" t="str">
        <f>IFERROR(__xludf.DUMMYFUNCTION("""COMPUTED_VALUE"""),"MFH")</f>
        <v>MFH</v>
      </c>
      <c r="J2070" s="6" t="str">
        <f>IFERROR(__xludf.DUMMYFUNCTION("""COMPUTED_VALUE"""),"AHU")</f>
        <v>AHU</v>
      </c>
      <c r="K2070" s="6" t="str">
        <f>IFERROR(__xludf.DUMMYFUNCTION("""COMPUTED_VALUE"""),"SPR/05/25/040")</f>
        <v>SPR/05/25/040</v>
      </c>
      <c r="L2070" s="13">
        <f>IFERROR(__xludf.DUMMYFUNCTION("""COMPUTED_VALUE"""),45808.0)</f>
        <v>45808</v>
      </c>
    </row>
    <row r="2071">
      <c r="A2071" s="6" t="str">
        <f>IFERROR(__xludf.DUMMYFUNCTION("""COMPUTED_VALUE"""),"SHF")</f>
        <v>SHF</v>
      </c>
      <c r="B2071" s="6" t="str">
        <f>IFERROR(__xludf.DUMMYFUNCTION("""COMPUTED_VALUE"""),"ENG")</f>
        <v>ENG</v>
      </c>
      <c r="C2071" s="6" t="str">
        <f>IFERROR(__xludf.DUMMYFUNCTION("""COMPUTED_VALUE"""),"Q-10984-00")</f>
        <v>Q-10984-00</v>
      </c>
      <c r="D2071" s="6" t="str">
        <f>IFERROR(__xludf.DUMMYFUNCTION("""COMPUTED_VALUE"""),"Door Seal Karet Penutup Bawah Pintu Abu 2,5 cm x 1 M; ; ;")</f>
        <v>Door Seal Karet Penutup Bawah Pintu Abu 2,5 cm x 1 M; ; ;</v>
      </c>
      <c r="E2071" s="6">
        <f>IFERROR(__xludf.DUMMYFUNCTION("""COMPUTED_VALUE"""),10.0)</f>
        <v>10</v>
      </c>
      <c r="F2071" s="6">
        <f>IFERROR(__xludf.DUMMYFUNCTION("""COMPUTED_VALUE"""),10.0)</f>
        <v>10</v>
      </c>
      <c r="G2071" s="6">
        <f>IFERROR(__xludf.DUMMYFUNCTION("""COMPUTED_VALUE"""),0.0)</f>
        <v>0</v>
      </c>
      <c r="H2071" s="6" t="str">
        <f>IFERROR(__xludf.DUMMYFUNCTION("""COMPUTED_VALUE"""),"Pcs")</f>
        <v>Pcs</v>
      </c>
      <c r="I2071" s="6" t="str">
        <f>IFERROR(__xludf.DUMMYFUNCTION("""COMPUTED_VALUE"""),"MFH")</f>
        <v>MFH</v>
      </c>
      <c r="J2071" s="6" t="str">
        <f>IFERROR(__xludf.DUMMYFUNCTION("""COMPUTED_VALUE"""),"Building")</f>
        <v>Building</v>
      </c>
      <c r="K2071" s="6" t="str">
        <f>IFERROR(__xludf.DUMMYFUNCTION("""COMPUTED_VALUE"""),"SPR/05/25/040")</f>
        <v>SPR/05/25/040</v>
      </c>
      <c r="L2071" s="13">
        <f>IFERROR(__xludf.DUMMYFUNCTION("""COMPUTED_VALUE"""),45808.0)</f>
        <v>45808</v>
      </c>
    </row>
    <row r="2072">
      <c r="A2072" s="6" t="str">
        <f>IFERROR(__xludf.DUMMYFUNCTION("""COMPUTED_VALUE"""),"SFH")</f>
        <v>SFH</v>
      </c>
      <c r="B2072" s="6" t="str">
        <f>IFERROR(__xludf.DUMMYFUNCTION("""COMPUTED_VALUE"""),"ENG")</f>
        <v>ENG</v>
      </c>
      <c r="C2072" s="6" t="str">
        <f>IFERROR(__xludf.DUMMYFUNCTION("""COMPUTED_VALUE"""),"P-51560-00")</f>
        <v>P-51560-00</v>
      </c>
      <c r="D2072" s="6" t="str">
        <f>IFERROR(__xludf.DUMMYFUNCTION("""COMPUTED_VALUE"""),"Lampu T5 28watt Putih; Phillips; ;")</f>
        <v>Lampu T5 28watt Putih; Phillips; ;</v>
      </c>
      <c r="E2072" s="6">
        <f>IFERROR(__xludf.DUMMYFUNCTION("""COMPUTED_VALUE"""),1.0)</f>
        <v>1</v>
      </c>
      <c r="F2072" s="6">
        <f>IFERROR(__xludf.DUMMYFUNCTION("""COMPUTED_VALUE"""),1.0)</f>
        <v>1</v>
      </c>
      <c r="G2072" s="6">
        <f>IFERROR(__xludf.DUMMYFUNCTION("""COMPUTED_VALUE"""),0.0)</f>
        <v>0</v>
      </c>
      <c r="H2072" s="6" t="str">
        <f>IFERROR(__xludf.DUMMYFUNCTION("""COMPUTED_VALUE"""),"Pcs")</f>
        <v>Pcs</v>
      </c>
      <c r="I2072" s="6" t="str">
        <f>IFERROR(__xludf.DUMMYFUNCTION("""COMPUTED_VALUE"""),"MFH")</f>
        <v>MFH</v>
      </c>
      <c r="J2072" s="6" t="str">
        <f>IFERROR(__xludf.DUMMYFUNCTION("""COMPUTED_VALUE"""),"Building")</f>
        <v>Building</v>
      </c>
      <c r="K2072" s="6" t="str">
        <f>IFERROR(__xludf.DUMMYFUNCTION("""COMPUTED_VALUE"""),"SPR/05/25/041")</f>
        <v>SPR/05/25/041</v>
      </c>
      <c r="L2072" s="13">
        <f>IFERROR(__xludf.DUMMYFUNCTION("""COMPUTED_VALUE"""),45808.0)</f>
        <v>45808</v>
      </c>
    </row>
    <row r="2073">
      <c r="A2073" s="6" t="str">
        <f>IFERROR(__xludf.DUMMYFUNCTION("""COMPUTED_VALUE"""),"SFH")</f>
        <v>SFH</v>
      </c>
      <c r="B2073" s="6" t="str">
        <f>IFERROR(__xludf.DUMMYFUNCTION("""COMPUTED_VALUE"""),"ENG")</f>
        <v>ENG</v>
      </c>
      <c r="C2073" s="6" t="str">
        <f>IFERROR(__xludf.DUMMYFUNCTION("""COMPUTED_VALUE"""),"P-53102-00")</f>
        <v>P-53102-00</v>
      </c>
      <c r="D2073" s="6" t="str">
        <f>IFERROR(__xludf.DUMMYFUNCTION("""COMPUTED_VALUE"""),"Lampu PLC 13watt/E27 Putih; Phillips; ;")</f>
        <v>Lampu PLC 13watt/E27 Putih; Phillips; ;</v>
      </c>
      <c r="E2073" s="6">
        <f>IFERROR(__xludf.DUMMYFUNCTION("""COMPUTED_VALUE"""),1.0)</f>
        <v>1</v>
      </c>
      <c r="F2073" s="6">
        <f>IFERROR(__xludf.DUMMYFUNCTION("""COMPUTED_VALUE"""),1.0)</f>
        <v>1</v>
      </c>
      <c r="G2073" s="6">
        <f>IFERROR(__xludf.DUMMYFUNCTION("""COMPUTED_VALUE"""),0.0)</f>
        <v>0</v>
      </c>
      <c r="H2073" s="6" t="str">
        <f>IFERROR(__xludf.DUMMYFUNCTION("""COMPUTED_VALUE"""),"Pcs")</f>
        <v>Pcs</v>
      </c>
      <c r="I2073" s="6" t="str">
        <f>IFERROR(__xludf.DUMMYFUNCTION("""COMPUTED_VALUE"""),"MFH")</f>
        <v>MFH</v>
      </c>
      <c r="J2073" s="6" t="str">
        <f>IFERROR(__xludf.DUMMYFUNCTION("""COMPUTED_VALUE"""),"Building")</f>
        <v>Building</v>
      </c>
      <c r="K2073" s="6" t="str">
        <f>IFERROR(__xludf.DUMMYFUNCTION("""COMPUTED_VALUE"""),"SPR/05/25/041")</f>
        <v>SPR/05/25/041</v>
      </c>
      <c r="L2073" s="13">
        <f>IFERROR(__xludf.DUMMYFUNCTION("""COMPUTED_VALUE"""),45808.0)</f>
        <v>45808</v>
      </c>
    </row>
    <row r="2074">
      <c r="A2074" s="6" t="str">
        <f>IFERROR(__xludf.DUMMYFUNCTION("""COMPUTED_VALUE"""),"SFH")</f>
        <v>SFH</v>
      </c>
      <c r="B2074" s="6" t="str">
        <f>IFERROR(__xludf.DUMMYFUNCTION("""COMPUTED_VALUE"""),"ENG")</f>
        <v>ENG</v>
      </c>
      <c r="C2074" s="6" t="str">
        <f>IFERROR(__xludf.DUMMYFUNCTION("""COMPUTED_VALUE"""),"Q-10475-00")</f>
        <v>Q-10475-00</v>
      </c>
      <c r="D2074" s="6" t="str">
        <f>IFERROR(__xludf.DUMMYFUNCTION("""COMPUTED_VALUE"""),"Cat Tembok; ; ; - Cat Dulux Ambiance Brilliant White @ 20 Ltr")</f>
        <v>Cat Tembok; ; ; - Cat Dulux Ambiance Brilliant White @ 20 Ltr</v>
      </c>
      <c r="E2074" s="6">
        <f>IFERROR(__xludf.DUMMYFUNCTION("""COMPUTED_VALUE"""),1.0)</f>
        <v>1</v>
      </c>
      <c r="F2074" s="6">
        <f>IFERROR(__xludf.DUMMYFUNCTION("""COMPUTED_VALUE"""),1.0)</f>
        <v>1</v>
      </c>
      <c r="G2074" s="6">
        <f>IFERROR(__xludf.DUMMYFUNCTION("""COMPUTED_VALUE"""),0.0)</f>
        <v>0</v>
      </c>
      <c r="H2074" s="6" t="str">
        <f>IFERROR(__xludf.DUMMYFUNCTION("""COMPUTED_VALUE"""),"Pcs")</f>
        <v>Pcs</v>
      </c>
      <c r="I2074" s="6" t="str">
        <f>IFERROR(__xludf.DUMMYFUNCTION("""COMPUTED_VALUE"""),"MFH")</f>
        <v>MFH</v>
      </c>
      <c r="J2074" s="6" t="str">
        <f>IFERROR(__xludf.DUMMYFUNCTION("""COMPUTED_VALUE"""),"Building")</f>
        <v>Building</v>
      </c>
      <c r="K2074" s="6" t="str">
        <f>IFERROR(__xludf.DUMMYFUNCTION("""COMPUTED_VALUE"""),"SPR/05/25/042")</f>
        <v>SPR/05/25/042</v>
      </c>
      <c r="L2074" s="13">
        <f>IFERROR(__xludf.DUMMYFUNCTION("""COMPUTED_VALUE"""),45808.0)</f>
        <v>45808</v>
      </c>
    </row>
    <row r="2075">
      <c r="A2075" s="6" t="str">
        <f>IFERROR(__xludf.DUMMYFUNCTION("""COMPUTED_VALUE"""),"SFH")</f>
        <v>SFH</v>
      </c>
      <c r="B2075" s="6" t="str">
        <f>IFERROR(__xludf.DUMMYFUNCTION("""COMPUTED_VALUE"""),"ENG")</f>
        <v>ENG</v>
      </c>
      <c r="C2075" s="6" t="str">
        <f>IFERROR(__xludf.DUMMYFUNCTION("""COMPUTED_VALUE"""),"Q-10154-00")</f>
        <v>Q-10154-00</v>
      </c>
      <c r="D2075" s="6" t="str">
        <f>IFERROR(__xludf.DUMMYFUNCTION("""COMPUTED_VALUE"""),"Roller cat 230mm")</f>
        <v>Roller cat 230mm</v>
      </c>
      <c r="E2075" s="6">
        <f>IFERROR(__xludf.DUMMYFUNCTION("""COMPUTED_VALUE"""),1.0)</f>
        <v>1</v>
      </c>
      <c r="F2075" s="6">
        <f>IFERROR(__xludf.DUMMYFUNCTION("""COMPUTED_VALUE"""),1.0)</f>
        <v>1</v>
      </c>
      <c r="G2075" s="6">
        <f>IFERROR(__xludf.DUMMYFUNCTION("""COMPUTED_VALUE"""),0.0)</f>
        <v>0</v>
      </c>
      <c r="H2075" s="6" t="str">
        <f>IFERROR(__xludf.DUMMYFUNCTION("""COMPUTED_VALUE"""),"Pcs")</f>
        <v>Pcs</v>
      </c>
      <c r="I2075" s="6" t="str">
        <f>IFERROR(__xludf.DUMMYFUNCTION("""COMPUTED_VALUE"""),"MFH")</f>
        <v>MFH</v>
      </c>
      <c r="J2075" s="6" t="str">
        <f>IFERROR(__xludf.DUMMYFUNCTION("""COMPUTED_VALUE"""),"Building")</f>
        <v>Building</v>
      </c>
      <c r="K2075" s="6" t="str">
        <f>IFERROR(__xludf.DUMMYFUNCTION("""COMPUTED_VALUE"""),"SPR/05/25/042")</f>
        <v>SPR/05/25/042</v>
      </c>
      <c r="L2075" s="13">
        <f>IFERROR(__xludf.DUMMYFUNCTION("""COMPUTED_VALUE"""),45808.0)</f>
        <v>45808</v>
      </c>
    </row>
    <row r="2076">
      <c r="A2076" s="6" t="str">
        <f>IFERROR(__xludf.DUMMYFUNCTION("""COMPUTED_VALUE"""),"SFH")</f>
        <v>SFH</v>
      </c>
      <c r="B2076" s="6" t="str">
        <f>IFERROR(__xludf.DUMMYFUNCTION("""COMPUTED_VALUE"""),"ENG")</f>
        <v>ENG</v>
      </c>
      <c r="C2076" s="6" t="str">
        <f>IFERROR(__xludf.DUMMYFUNCTION("""COMPUTED_VALUE"""),"Q-10817-00")</f>
        <v>Q-10817-00</v>
      </c>
      <c r="D2076" s="6" t="str">
        <f>IFERROR(__xludf.DUMMYFUNCTION("""COMPUTED_VALUE"""),"Door Closer Type: TS77 Hold Open; DORMA; ;")</f>
        <v>Door Closer Type: TS77 Hold Open; DORMA; ;</v>
      </c>
      <c r="E2076" s="6">
        <f>IFERROR(__xludf.DUMMYFUNCTION("""COMPUTED_VALUE"""),1.0)</f>
        <v>1</v>
      </c>
      <c r="F2076" s="6">
        <f>IFERROR(__xludf.DUMMYFUNCTION("""COMPUTED_VALUE"""),1.0)</f>
        <v>1</v>
      </c>
      <c r="G2076" s="6">
        <f>IFERROR(__xludf.DUMMYFUNCTION("""COMPUTED_VALUE"""),0.0)</f>
        <v>0</v>
      </c>
      <c r="H2076" s="6" t="str">
        <f>IFERROR(__xludf.DUMMYFUNCTION("""COMPUTED_VALUE"""),"Pcs")</f>
        <v>Pcs</v>
      </c>
      <c r="I2076" s="6" t="str">
        <f>IFERROR(__xludf.DUMMYFUNCTION("""COMPUTED_VALUE"""),"MFH")</f>
        <v>MFH</v>
      </c>
      <c r="J2076" s="6" t="str">
        <f>IFERROR(__xludf.DUMMYFUNCTION("""COMPUTED_VALUE"""),"Building")</f>
        <v>Building</v>
      </c>
      <c r="K2076" s="6" t="str">
        <f>IFERROR(__xludf.DUMMYFUNCTION("""COMPUTED_VALUE"""),"SPR/05/25/042")</f>
        <v>SPR/05/25/042</v>
      </c>
      <c r="L2076" s="13">
        <f>IFERROR(__xludf.DUMMYFUNCTION("""COMPUTED_VALUE"""),45808.0)</f>
        <v>45808</v>
      </c>
    </row>
    <row r="2077">
      <c r="A2077" s="6" t="str">
        <f>IFERROR(__xludf.DUMMYFUNCTION("""COMPUTED_VALUE"""),"MRN")</f>
        <v>MRN</v>
      </c>
      <c r="B2077" s="6" t="str">
        <f>IFERROR(__xludf.DUMMYFUNCTION("""COMPUTED_VALUE"""),"ENG")</f>
        <v>ENG</v>
      </c>
      <c r="C2077" s="6" t="str">
        <f>IFERROR(__xludf.DUMMYFUNCTION("""COMPUTED_VALUE"""),"P-53293-00")</f>
        <v>P-53293-00</v>
      </c>
      <c r="D2077" s="6" t="str">
        <f>IFERROR(__xludf.DUMMYFUNCTION("""COMPUTED_VALUE"""),"General - Lampu Emergency TL LED 16W Waterproof IP65; Briliant; -; 1 pc")</f>
        <v>General - Lampu Emergency TL LED 16W Waterproof IP65; Briliant; -; 1 pc</v>
      </c>
      <c r="E2077" s="6">
        <f>IFERROR(__xludf.DUMMYFUNCTION("""COMPUTED_VALUE"""),1.0)</f>
        <v>1</v>
      </c>
      <c r="F2077" s="6">
        <f>IFERROR(__xludf.DUMMYFUNCTION("""COMPUTED_VALUE"""),1.0)</f>
        <v>1</v>
      </c>
      <c r="G2077" s="6">
        <f>IFERROR(__xludf.DUMMYFUNCTION("""COMPUTED_VALUE"""),0.0)</f>
        <v>0</v>
      </c>
      <c r="H2077" s="6" t="str">
        <f>IFERROR(__xludf.DUMMYFUNCTION("""COMPUTED_VALUE"""),"Pcs")</f>
        <v>Pcs</v>
      </c>
      <c r="I2077" s="6" t="str">
        <f>IFERROR(__xludf.DUMMYFUNCTION("""COMPUTED_VALUE"""),"MFH")</f>
        <v>MFH</v>
      </c>
      <c r="J2077" s="6" t="str">
        <f>IFERROR(__xludf.DUMMYFUNCTION("""COMPUTED_VALUE"""),"Building")</f>
        <v>Building</v>
      </c>
      <c r="K2077" s="6" t="str">
        <f>IFERROR(__xludf.DUMMYFUNCTION("""COMPUTED_VALUE"""),"SPR/05/25/043")</f>
        <v>SPR/05/25/043</v>
      </c>
      <c r="L2077" s="13">
        <f>IFERROR(__xludf.DUMMYFUNCTION("""COMPUTED_VALUE"""),45808.0)</f>
        <v>45808</v>
      </c>
    </row>
    <row r="2078">
      <c r="A2078" s="6" t="str">
        <f>IFERROR(__xludf.DUMMYFUNCTION("""COMPUTED_VALUE"""),"MRN")</f>
        <v>MRN</v>
      </c>
      <c r="B2078" s="6" t="str">
        <f>IFERROR(__xludf.DUMMYFUNCTION("""COMPUTED_VALUE"""),"ENG")</f>
        <v>ENG</v>
      </c>
      <c r="C2078" s="6" t="str">
        <f>IFERROR(__xludf.DUMMYFUNCTION("""COMPUTED_VALUE"""),"Q-50013-00")</f>
        <v>Q-50013-00</v>
      </c>
      <c r="D2078" s="6" t="str">
        <f>IFERROR(__xludf.DUMMYFUNCTION("""COMPUTED_VALUE"""),"Frame or Perimeter Seal RP48 White; Raven; R48W6; 6 meter/pck")</f>
        <v>Frame or Perimeter Seal RP48 White; Raven; R48W6; 6 meter/pck</v>
      </c>
      <c r="E2078" s="6">
        <f>IFERROR(__xludf.DUMMYFUNCTION("""COMPUTED_VALUE"""),2.0)</f>
        <v>2</v>
      </c>
      <c r="F2078" s="6">
        <f>IFERROR(__xludf.DUMMYFUNCTION("""COMPUTED_VALUE"""),2.0)</f>
        <v>2</v>
      </c>
      <c r="G2078" s="6">
        <f>IFERROR(__xludf.DUMMYFUNCTION("""COMPUTED_VALUE"""),0.0)</f>
        <v>0</v>
      </c>
      <c r="H2078" s="6" t="str">
        <f>IFERROR(__xludf.DUMMYFUNCTION("""COMPUTED_VALUE"""),"Pcs")</f>
        <v>Pcs</v>
      </c>
      <c r="I2078" s="6" t="str">
        <f>IFERROR(__xludf.DUMMYFUNCTION("""COMPUTED_VALUE"""),"MFH")</f>
        <v>MFH</v>
      </c>
      <c r="J2078" s="6" t="str">
        <f>IFERROR(__xludf.DUMMYFUNCTION("""COMPUTED_VALUE"""),"Building")</f>
        <v>Building</v>
      </c>
      <c r="K2078" s="6" t="str">
        <f>IFERROR(__xludf.DUMMYFUNCTION("""COMPUTED_VALUE"""),"SPR/05/25/044")</f>
        <v>SPR/05/25/044</v>
      </c>
      <c r="L2078" s="13">
        <f>IFERROR(__xludf.DUMMYFUNCTION("""COMPUTED_VALUE"""),45808.0)</f>
        <v>45808</v>
      </c>
    </row>
    <row r="2079">
      <c r="A2079" s="6" t="str">
        <f>IFERROR(__xludf.DUMMYFUNCTION("""COMPUTED_VALUE"""),"RIA")</f>
        <v>RIA</v>
      </c>
      <c r="B2079" s="6" t="str">
        <f>IFERROR(__xludf.DUMMYFUNCTION("""COMPUTED_VALUE"""),"ENG")</f>
        <v>ENG</v>
      </c>
      <c r="C2079" s="6" t="str">
        <f>IFERROR(__xludf.DUMMYFUNCTION("""COMPUTED_VALUE"""),"P-54226-00")</f>
        <v>P-54226-00</v>
      </c>
      <c r="D2079" s="6" t="str">
        <f>IFERROR(__xludf.DUMMYFUNCTION("""COMPUTED_VALUE"""),"Pompa Celup SS SE-268 San-Ei; San-Ei; ;")</f>
        <v>Pompa Celup SS SE-268 San-Ei; San-Ei; ;</v>
      </c>
      <c r="E2079" s="6">
        <f>IFERROR(__xludf.DUMMYFUNCTION("""COMPUTED_VALUE"""),1.0)</f>
        <v>1</v>
      </c>
      <c r="F2079" s="6">
        <f>IFERROR(__xludf.DUMMYFUNCTION("""COMPUTED_VALUE"""),1.0)</f>
        <v>1</v>
      </c>
      <c r="G2079" s="6">
        <f>IFERROR(__xludf.DUMMYFUNCTION("""COMPUTED_VALUE"""),0.0)</f>
        <v>0</v>
      </c>
      <c r="H2079" s="6" t="str">
        <f>IFERROR(__xludf.DUMMYFUNCTION("""COMPUTED_VALUE"""),"Pcs")</f>
        <v>Pcs</v>
      </c>
      <c r="I2079" s="6" t="str">
        <f>IFERROR(__xludf.DUMMYFUNCTION("""COMPUTED_VALUE"""),"MFH")</f>
        <v>MFH</v>
      </c>
      <c r="J2079" s="6" t="str">
        <f>IFERROR(__xludf.DUMMYFUNCTION("""COMPUTED_VALUE"""),"WWTP")</f>
        <v>WWTP</v>
      </c>
      <c r="K2079" s="6" t="str">
        <f>IFERROR(__xludf.DUMMYFUNCTION("""COMPUTED_VALUE"""),"SPR/05/25/045")</f>
        <v>SPR/05/25/045</v>
      </c>
      <c r="L2079" s="13">
        <f>IFERROR(__xludf.DUMMYFUNCTION("""COMPUTED_VALUE"""),45808.0)</f>
        <v>45808</v>
      </c>
    </row>
    <row r="2080">
      <c r="A2080" s="6" t="str">
        <f>IFERROR(__xludf.DUMMYFUNCTION("""COMPUTED_VALUE"""),"MRN")</f>
        <v>MRN</v>
      </c>
      <c r="B2080" s="6" t="str">
        <f>IFERROR(__xludf.DUMMYFUNCTION("""COMPUTED_VALUE"""),"ENG")</f>
        <v>ENG</v>
      </c>
      <c r="C2080" s="6" t="str">
        <f>IFERROR(__xludf.DUMMYFUNCTION("""COMPUTED_VALUE"""),"-")</f>
        <v>-</v>
      </c>
      <c r="D2080" s="6" t="str">
        <f>IFERROR(__xludf.DUMMYFUNCTION("""COMPUTED_VALUE"""),"Water Inlet Jet Cleaner")</f>
        <v>Water Inlet Jet Cleaner</v>
      </c>
      <c r="E2080" s="6">
        <f>IFERROR(__xludf.DUMMYFUNCTION("""COMPUTED_VALUE"""),1.0)</f>
        <v>1</v>
      </c>
      <c r="F2080" s="6">
        <f>IFERROR(__xludf.DUMMYFUNCTION("""COMPUTED_VALUE"""),1.0)</f>
        <v>1</v>
      </c>
      <c r="G2080" s="6">
        <f>IFERROR(__xludf.DUMMYFUNCTION("""COMPUTED_VALUE"""),0.0)</f>
        <v>0</v>
      </c>
      <c r="H2080" s="6" t="str">
        <f>IFERROR(__xludf.DUMMYFUNCTION("""COMPUTED_VALUE"""),"PCs")</f>
        <v>PCs</v>
      </c>
      <c r="I2080" s="6" t="str">
        <f>IFERROR(__xludf.DUMMYFUNCTION("""COMPUTED_VALUE"""),"MFH")</f>
        <v>MFH</v>
      </c>
      <c r="J2080" s="6" t="str">
        <f>IFERROR(__xludf.DUMMYFUNCTION("""COMPUTED_VALUE"""),"Tools")</f>
        <v>Tools</v>
      </c>
      <c r="K2080" s="6" t="str">
        <f>IFERROR(__xludf.DUMMYFUNCTION("""COMPUTED_VALUE"""),"SPR/05/25/046")</f>
        <v>SPR/05/25/046</v>
      </c>
      <c r="L2080" s="13">
        <f>IFERROR(__xludf.DUMMYFUNCTION("""COMPUTED_VALUE"""),45808.0)</f>
        <v>45808</v>
      </c>
    </row>
    <row r="2081">
      <c r="A2081" s="6" t="str">
        <f>IFERROR(__xludf.DUMMYFUNCTION("""COMPUTED_VALUE"""),"ROS")</f>
        <v>ROS</v>
      </c>
      <c r="B2081" s="6" t="str">
        <f>IFERROR(__xludf.DUMMYFUNCTION("""COMPUTED_VALUE"""),"ENG")</f>
        <v>ENG</v>
      </c>
      <c r="C2081" s="6" t="str">
        <f>IFERROR(__xludf.DUMMYFUNCTION("""COMPUTED_VALUE"""),"O-17011-00")</f>
        <v>O-17011-00</v>
      </c>
      <c r="D2081" s="6" t="str">
        <f>IFERROR(__xludf.DUMMYFUNCTION("""COMPUTED_VALUE"""),"Parallel Keys MISUMI P/N : KET3 pc")</f>
        <v>Parallel Keys MISUMI P/N : KET3 pc</v>
      </c>
      <c r="E2081" s="6">
        <f>IFERROR(__xludf.DUMMYFUNCTION("""COMPUTED_VALUE"""),1.0)</f>
        <v>1</v>
      </c>
      <c r="F2081" s="6">
        <f>IFERROR(__xludf.DUMMYFUNCTION("""COMPUTED_VALUE"""),1.0)</f>
        <v>1</v>
      </c>
      <c r="G2081" s="6">
        <f>IFERROR(__xludf.DUMMYFUNCTION("""COMPUTED_VALUE"""),0.0)</f>
        <v>0</v>
      </c>
      <c r="H2081" s="6" t="str">
        <f>IFERROR(__xludf.DUMMYFUNCTION("""COMPUTED_VALUE"""),"Pcs")</f>
        <v>Pcs</v>
      </c>
      <c r="I2081" s="6" t="str">
        <f>IFERROR(__xludf.DUMMYFUNCTION("""COMPUTED_VALUE"""),"MFH")</f>
        <v>MFH</v>
      </c>
      <c r="J2081" s="6" t="str">
        <f>IFERROR(__xludf.DUMMYFUNCTION("""COMPUTED_VALUE"""),"Capping")</f>
        <v>Capping</v>
      </c>
      <c r="K2081" s="6" t="str">
        <f>IFERROR(__xludf.DUMMYFUNCTION("""COMPUTED_VALUE"""),"SPR/05/25/047")</f>
        <v>SPR/05/25/047</v>
      </c>
      <c r="L2081" s="13">
        <f>IFERROR(__xludf.DUMMYFUNCTION("""COMPUTED_VALUE"""),45808.0)</f>
        <v>45808</v>
      </c>
    </row>
    <row r="2082">
      <c r="A2082" s="6" t="str">
        <f>IFERROR(__xludf.DUMMYFUNCTION("""COMPUTED_VALUE"""),"ROS")</f>
        <v>ROS</v>
      </c>
      <c r="B2082" s="6" t="str">
        <f>IFERROR(__xludf.DUMMYFUNCTION("""COMPUTED_VALUE"""),"ENG")</f>
        <v>ENG</v>
      </c>
      <c r="C2082" s="6" t="str">
        <f>IFERROR(__xludf.DUMMYFUNCTION("""COMPUTED_VALUE"""),"O-18055-00")</f>
        <v>O-18055-00</v>
      </c>
      <c r="D2082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082" s="6">
        <f>IFERROR(__xludf.DUMMYFUNCTION("""COMPUTED_VALUE"""),2.0)</f>
        <v>2</v>
      </c>
      <c r="F2082" s="6">
        <f>IFERROR(__xludf.DUMMYFUNCTION("""COMPUTED_VALUE"""),2.0)</f>
        <v>2</v>
      </c>
      <c r="G2082" s="6">
        <f>IFERROR(__xludf.DUMMYFUNCTION("""COMPUTED_VALUE"""),0.0)</f>
        <v>0</v>
      </c>
      <c r="H2082" s="6" t="str">
        <f>IFERROR(__xludf.DUMMYFUNCTION("""COMPUTED_VALUE"""),"pcs")</f>
        <v>pcs</v>
      </c>
      <c r="I2082" s="6" t="str">
        <f>IFERROR(__xludf.DUMMYFUNCTION("""COMPUTED_VALUE"""),"MFH")</f>
        <v>MFH</v>
      </c>
      <c r="J2082" s="6" t="str">
        <f>IFERROR(__xludf.DUMMYFUNCTION("""COMPUTED_VALUE"""),"Cartoning")</f>
        <v>Cartoning</v>
      </c>
      <c r="K2082" s="6" t="str">
        <f>IFERROR(__xludf.DUMMYFUNCTION("""COMPUTED_VALUE"""),"SPR/05/25/048")</f>
        <v>SPR/05/25/048</v>
      </c>
      <c r="L2082" s="13">
        <f>IFERROR(__xludf.DUMMYFUNCTION("""COMPUTED_VALUE"""),45808.0)</f>
        <v>45808</v>
      </c>
    </row>
    <row r="2083">
      <c r="A2083" s="6" t="str">
        <f>IFERROR(__xludf.DUMMYFUNCTION("""COMPUTED_VALUE"""),"SFH")</f>
        <v>SFH</v>
      </c>
      <c r="B2083" s="6" t="str">
        <f>IFERROR(__xludf.DUMMYFUNCTION("""COMPUTED_VALUE"""),"ENG")</f>
        <v>ENG</v>
      </c>
      <c r="C2083" s="6" t="str">
        <f>IFERROR(__xludf.DUMMYFUNCTION("""COMPUTED_VALUE"""),"Q-10817-00")</f>
        <v>Q-10817-00</v>
      </c>
      <c r="D2083" s="6" t="str">
        <f>IFERROR(__xludf.DUMMYFUNCTION("""COMPUTED_VALUE"""),"Door Closer Type: TS77 Hold Open; DORMA; ;")</f>
        <v>Door Closer Type: TS77 Hold Open; DORMA; ;</v>
      </c>
      <c r="E2083" s="6">
        <f>IFERROR(__xludf.DUMMYFUNCTION("""COMPUTED_VALUE"""),1.0)</f>
        <v>1</v>
      </c>
      <c r="F2083" s="6">
        <f>IFERROR(__xludf.DUMMYFUNCTION("""COMPUTED_VALUE"""),1.0)</f>
        <v>1</v>
      </c>
      <c r="G2083" s="6">
        <f>IFERROR(__xludf.DUMMYFUNCTION("""COMPUTED_VALUE"""),0.0)</f>
        <v>0</v>
      </c>
      <c r="H2083" s="6" t="str">
        <f>IFERROR(__xludf.DUMMYFUNCTION("""COMPUTED_VALUE"""),"Pcs")</f>
        <v>Pcs</v>
      </c>
      <c r="I2083" s="6" t="str">
        <f>IFERROR(__xludf.DUMMYFUNCTION("""COMPUTED_VALUE"""),"MFH")</f>
        <v>MFH</v>
      </c>
      <c r="J2083" s="6" t="str">
        <f>IFERROR(__xludf.DUMMYFUNCTION("""COMPUTED_VALUE"""),"Building")</f>
        <v>Building</v>
      </c>
      <c r="K2083" s="6" t="str">
        <f>IFERROR(__xludf.DUMMYFUNCTION("""COMPUTED_VALUE"""),"SPR/05/25/049")</f>
        <v>SPR/05/25/049</v>
      </c>
      <c r="L2083" s="13">
        <f>IFERROR(__xludf.DUMMYFUNCTION("""COMPUTED_VALUE"""),45808.0)</f>
        <v>45808</v>
      </c>
    </row>
    <row r="2084">
      <c r="A2084" s="6" t="str">
        <f>IFERROR(__xludf.DUMMYFUNCTION("""COMPUTED_VALUE"""),"MOB")</f>
        <v>MOB</v>
      </c>
      <c r="B2084" s="6" t="str">
        <f>IFERROR(__xludf.DUMMYFUNCTION("""COMPUTED_VALUE"""),"ENG")</f>
        <v>ENG</v>
      </c>
      <c r="C2084" s="6" t="str">
        <f>IFERROR(__xludf.DUMMYFUNCTION("""COMPUTED_VALUE"""),"P-15862-00")</f>
        <v>P-15862-00</v>
      </c>
      <c r="D2084" s="6" t="str">
        <f>IFERROR(__xludf.DUMMYFUNCTION("""COMPUTED_VALUE"""),"PAPER RECORD YOKOGAWA; FOLDING CHART B9565AW")</f>
        <v>PAPER RECORD YOKOGAWA; FOLDING CHART B9565AW</v>
      </c>
      <c r="E2084" s="6">
        <f>IFERROR(__xludf.DUMMYFUNCTION("""COMPUTED_VALUE"""),1.0)</f>
        <v>1</v>
      </c>
      <c r="F2084" s="6">
        <f>IFERROR(__xludf.DUMMYFUNCTION("""COMPUTED_VALUE"""),1.0)</f>
        <v>1</v>
      </c>
      <c r="G2084" s="6">
        <f>IFERROR(__xludf.DUMMYFUNCTION("""COMPUTED_VALUE"""),0.0)</f>
        <v>0</v>
      </c>
      <c r="H2084" s="6" t="str">
        <f>IFERROR(__xludf.DUMMYFUNCTION("""COMPUTED_VALUE"""),"Pcs")</f>
        <v>Pcs</v>
      </c>
      <c r="I2084" s="6" t="str">
        <f>IFERROR(__xludf.DUMMYFUNCTION("""COMPUTED_VALUE"""),"MFH")</f>
        <v>MFH</v>
      </c>
      <c r="J2084" s="6" t="str">
        <f>IFERROR(__xludf.DUMMYFUNCTION("""COMPUTED_VALUE"""),"WFI SKID")</f>
        <v>WFI SKID</v>
      </c>
      <c r="K2084" s="6" t="str">
        <f>IFERROR(__xludf.DUMMYFUNCTION("""COMPUTED_VALUE"""),"SPR/05/25/050")</f>
        <v>SPR/05/25/050</v>
      </c>
      <c r="L2084" s="13">
        <f>IFERROR(__xludf.DUMMYFUNCTION("""COMPUTED_VALUE"""),45808.0)</f>
        <v>45808</v>
      </c>
    </row>
    <row r="2085">
      <c r="A2085" s="6" t="str">
        <f>IFERROR(__xludf.DUMMYFUNCTION("""COMPUTED_VALUE"""),"RIA")</f>
        <v>RIA</v>
      </c>
      <c r="B2085" s="6" t="str">
        <f>IFERROR(__xludf.DUMMYFUNCTION("""COMPUTED_VALUE"""),"ENG")</f>
        <v>ENG</v>
      </c>
      <c r="C2085" s="6" t="str">
        <f>IFERROR(__xludf.DUMMYFUNCTION("""COMPUTED_VALUE"""),"O-54014-00")</f>
        <v>O-54014-00</v>
      </c>
      <c r="D2085" s="6" t="str">
        <f>IFERROR(__xludf.DUMMYFUNCTION("""COMPUTED_VALUE"""),"STEKER 1 PHASE, BROCO")</f>
        <v>STEKER 1 PHASE, BROCO</v>
      </c>
      <c r="E2085" s="6">
        <f>IFERROR(__xludf.DUMMYFUNCTION("""COMPUTED_VALUE"""),1.0)</f>
        <v>1</v>
      </c>
      <c r="F2085" s="6">
        <f>IFERROR(__xludf.DUMMYFUNCTION("""COMPUTED_VALUE"""),1.0)</f>
        <v>1</v>
      </c>
      <c r="G2085" s="6">
        <f>IFERROR(__xludf.DUMMYFUNCTION("""COMPUTED_VALUE"""),0.0)</f>
        <v>0</v>
      </c>
      <c r="H2085" s="6" t="str">
        <f>IFERROR(__xludf.DUMMYFUNCTION("""COMPUTED_VALUE"""),"Pcs")</f>
        <v>Pcs</v>
      </c>
      <c r="I2085" s="6" t="str">
        <f>IFERROR(__xludf.DUMMYFUNCTION("""COMPUTED_VALUE"""),"MFH")</f>
        <v>MFH</v>
      </c>
      <c r="J2085" s="6" t="str">
        <f>IFERROR(__xludf.DUMMYFUNCTION("""COMPUTED_VALUE"""),"WWTP")</f>
        <v>WWTP</v>
      </c>
      <c r="K2085" s="6" t="str">
        <f>IFERROR(__xludf.DUMMYFUNCTION("""COMPUTED_VALUE"""),"SPR/05/25/051")</f>
        <v>SPR/05/25/051</v>
      </c>
      <c r="L2085" s="13">
        <f>IFERROR(__xludf.DUMMYFUNCTION("""COMPUTED_VALUE"""),45808.0)</f>
        <v>45808</v>
      </c>
    </row>
    <row r="2086">
      <c r="A2086" s="6" t="str">
        <f>IFERROR(__xludf.DUMMYFUNCTION("""COMPUTED_VALUE"""),"RIA")</f>
        <v>RIA</v>
      </c>
      <c r="B2086" s="6" t="str">
        <f>IFERROR(__xludf.DUMMYFUNCTION("""COMPUTED_VALUE"""),"ENG")</f>
        <v>ENG</v>
      </c>
      <c r="C2086" s="6" t="str">
        <f>IFERROR(__xludf.DUMMYFUNCTION("""COMPUTED_VALUE"""),"P-53133-00")</f>
        <v>P-53133-00</v>
      </c>
      <c r="D2086" s="6" t="str">
        <f>IFERROR(__xludf.DUMMYFUNCTION("""COMPUTED_VALUE"""),"Kabel Belden AWG 22; ; ;")</f>
        <v>Kabel Belden AWG 22; ; ;</v>
      </c>
      <c r="E2086" s="6">
        <f>IFERROR(__xludf.DUMMYFUNCTION("""COMPUTED_VALUE"""),20.0)</f>
        <v>20</v>
      </c>
      <c r="F2086" s="6">
        <f>IFERROR(__xludf.DUMMYFUNCTION("""COMPUTED_VALUE"""),20.0)</f>
        <v>20</v>
      </c>
      <c r="G2086" s="6">
        <f>IFERROR(__xludf.DUMMYFUNCTION("""COMPUTED_VALUE"""),0.0)</f>
        <v>0</v>
      </c>
      <c r="H2086" s="6" t="str">
        <f>IFERROR(__xludf.DUMMYFUNCTION("""COMPUTED_VALUE"""),"M")</f>
        <v>M</v>
      </c>
      <c r="I2086" s="6" t="str">
        <f>IFERROR(__xludf.DUMMYFUNCTION("""COMPUTED_VALUE"""),"MFH")</f>
        <v>MFH</v>
      </c>
      <c r="J2086" s="6" t="str">
        <f>IFERROR(__xludf.DUMMYFUNCTION("""COMPUTED_VALUE"""),"-")</f>
        <v>-</v>
      </c>
      <c r="K2086" s="6" t="str">
        <f>IFERROR(__xludf.DUMMYFUNCTION("""COMPUTED_VALUE"""),"SPR/05/25/051")</f>
        <v>SPR/05/25/051</v>
      </c>
      <c r="L2086" s="13">
        <f>IFERROR(__xludf.DUMMYFUNCTION("""COMPUTED_VALUE"""),45808.0)</f>
        <v>45808</v>
      </c>
    </row>
    <row r="2087">
      <c r="A2087" s="6" t="str">
        <f>IFERROR(__xludf.DUMMYFUNCTION("""COMPUTED_VALUE"""),"SFH")</f>
        <v>SFH</v>
      </c>
      <c r="B2087" s="6" t="str">
        <f>IFERROR(__xludf.DUMMYFUNCTION("""COMPUTED_VALUE"""),"ENG")</f>
        <v>ENG</v>
      </c>
      <c r="C2087" s="6" t="str">
        <f>IFERROR(__xludf.DUMMYFUNCTION("""COMPUTED_VALUE"""),"Q-10128-00")</f>
        <v>Q-10128-00</v>
      </c>
      <c r="D2087" s="6" t="str">
        <f>IFERROR(__xludf.DUMMYFUNCTION("""COMPUTED_VALUE"""),"Thinner Super End/Impala")</f>
        <v>Thinner Super End/Impala</v>
      </c>
      <c r="E2087" s="6">
        <f>IFERROR(__xludf.DUMMYFUNCTION("""COMPUTED_VALUE"""),3.0)</f>
        <v>3</v>
      </c>
      <c r="F2087" s="6">
        <f>IFERROR(__xludf.DUMMYFUNCTION("""COMPUTED_VALUE"""),3.0)</f>
        <v>3</v>
      </c>
      <c r="G2087" s="6">
        <f>IFERROR(__xludf.DUMMYFUNCTION("""COMPUTED_VALUE"""),0.0)</f>
        <v>0</v>
      </c>
      <c r="H2087" s="6" t="str">
        <f>IFERROR(__xludf.DUMMYFUNCTION("""COMPUTED_VALUE"""),"Pcs")</f>
        <v>Pcs</v>
      </c>
      <c r="I2087" s="6" t="str">
        <f>IFERROR(__xludf.DUMMYFUNCTION("""COMPUTED_VALUE"""),"MFH")</f>
        <v>MFH</v>
      </c>
      <c r="J2087" s="6" t="str">
        <f>IFERROR(__xludf.DUMMYFUNCTION("""COMPUTED_VALUE"""),"Building")</f>
        <v>Building</v>
      </c>
      <c r="K2087" s="6" t="str">
        <f>IFERROR(__xludf.DUMMYFUNCTION("""COMPUTED_VALUE"""),"SPR/05/25/052")</f>
        <v>SPR/05/25/052</v>
      </c>
      <c r="L2087" s="13">
        <f>IFERROR(__xludf.DUMMYFUNCTION("""COMPUTED_VALUE"""),45808.0)</f>
        <v>45808</v>
      </c>
    </row>
    <row r="2088">
      <c r="A2088" s="6" t="str">
        <f>IFERROR(__xludf.DUMMYFUNCTION("""COMPUTED_VALUE"""),"SFH")</f>
        <v>SFH</v>
      </c>
      <c r="B2088" s="6" t="str">
        <f>IFERROR(__xludf.DUMMYFUNCTION("""COMPUTED_VALUE"""),"ENG")</f>
        <v>ENG</v>
      </c>
      <c r="C2088" s="6" t="str">
        <f>IFERROR(__xludf.DUMMYFUNCTION("""COMPUTED_VALUE"""),"P-17645-00")</f>
        <v>P-17645-00</v>
      </c>
      <c r="D2088" s="6" t="str">
        <f>IFERROR(__xludf.DUMMYFUNCTION("""COMPUTED_VALUE"""),"Sodium Hiphoclorite; ; ; ltr")</f>
        <v>Sodium Hiphoclorite; ; ; ltr</v>
      </c>
      <c r="E2088" s="6">
        <f>IFERROR(__xludf.DUMMYFUNCTION("""COMPUTED_VALUE"""),175.0)</f>
        <v>175</v>
      </c>
      <c r="F2088" s="6">
        <f>IFERROR(__xludf.DUMMYFUNCTION("""COMPUTED_VALUE"""),175.0)</f>
        <v>175</v>
      </c>
      <c r="G2088" s="6">
        <f>IFERROR(__xludf.DUMMYFUNCTION("""COMPUTED_VALUE"""),0.0)</f>
        <v>0</v>
      </c>
      <c r="H2088" s="6" t="str">
        <f>IFERROR(__xludf.DUMMYFUNCTION("""COMPUTED_VALUE"""),"L")</f>
        <v>L</v>
      </c>
      <c r="I2088" s="6" t="str">
        <f>IFERROR(__xludf.DUMMYFUNCTION("""COMPUTED_VALUE"""),"MFH")</f>
        <v>MFH</v>
      </c>
      <c r="J2088" s="6" t="str">
        <f>IFERROR(__xludf.DUMMYFUNCTION("""COMPUTED_VALUE"""),"Building")</f>
        <v>Building</v>
      </c>
      <c r="K2088" s="6" t="str">
        <f>IFERROR(__xludf.DUMMYFUNCTION("""COMPUTED_VALUE"""),"SPR/05/25/052")</f>
        <v>SPR/05/25/052</v>
      </c>
      <c r="L2088" s="13">
        <f>IFERROR(__xludf.DUMMYFUNCTION("""COMPUTED_VALUE"""),45808.0)</f>
        <v>45808</v>
      </c>
    </row>
    <row r="2089">
      <c r="A2089" s="6" t="str">
        <f>IFERROR(__xludf.DUMMYFUNCTION("""COMPUTED_VALUE"""),"SFH")</f>
        <v>SFH</v>
      </c>
      <c r="B2089" s="6" t="str">
        <f>IFERROR(__xludf.DUMMYFUNCTION("""COMPUTED_VALUE"""),"ENG")</f>
        <v>ENG</v>
      </c>
      <c r="C2089" s="6" t="str">
        <f>IFERROR(__xludf.DUMMYFUNCTION("""COMPUTED_VALUE"""),"Q-10153-00")</f>
        <v>Q-10153-00</v>
      </c>
      <c r="D2089" s="6" t="str">
        <f>IFERROR(__xludf.DUMMYFUNCTION("""COMPUTED_VALUE"""),"Roller cat 110mm")</f>
        <v>Roller cat 110mm</v>
      </c>
      <c r="E2089" s="6">
        <f>IFERROR(__xludf.DUMMYFUNCTION("""COMPUTED_VALUE"""),3.0)</f>
        <v>3</v>
      </c>
      <c r="F2089" s="6">
        <f>IFERROR(__xludf.DUMMYFUNCTION("""COMPUTED_VALUE"""),3.0)</f>
        <v>3</v>
      </c>
      <c r="G2089" s="6">
        <f>IFERROR(__xludf.DUMMYFUNCTION("""COMPUTED_VALUE"""),0.0)</f>
        <v>0</v>
      </c>
      <c r="H2089" s="6" t="str">
        <f>IFERROR(__xludf.DUMMYFUNCTION("""COMPUTED_VALUE"""),"Pcs")</f>
        <v>Pcs</v>
      </c>
      <c r="I2089" s="6" t="str">
        <f>IFERROR(__xludf.DUMMYFUNCTION("""COMPUTED_VALUE"""),"MFH")</f>
        <v>MFH</v>
      </c>
      <c r="J2089" s="6" t="str">
        <f>IFERROR(__xludf.DUMMYFUNCTION("""COMPUTED_VALUE"""),"Building")</f>
        <v>Building</v>
      </c>
      <c r="K2089" s="6" t="str">
        <f>IFERROR(__xludf.DUMMYFUNCTION("""COMPUTED_VALUE"""),"SPR/05/25/052")</f>
        <v>SPR/05/25/052</v>
      </c>
      <c r="L2089" s="13">
        <f>IFERROR(__xludf.DUMMYFUNCTION("""COMPUTED_VALUE"""),45808.0)</f>
        <v>45808</v>
      </c>
    </row>
    <row r="2090">
      <c r="A2090" s="6" t="str">
        <f>IFERROR(__xludf.DUMMYFUNCTION("""COMPUTED_VALUE"""),"SFH")</f>
        <v>SFH</v>
      </c>
      <c r="B2090" s="6" t="str">
        <f>IFERROR(__xludf.DUMMYFUNCTION("""COMPUTED_VALUE"""),"ENG")</f>
        <v>ENG</v>
      </c>
      <c r="C2090" s="6" t="str">
        <f>IFERROR(__xludf.DUMMYFUNCTION("""COMPUTED_VALUE"""),"Q-60405-00")</f>
        <v>Q-60405-00</v>
      </c>
      <c r="D2090" s="6" t="str">
        <f>IFERROR(__xludf.DUMMYFUNCTION("""COMPUTED_VALUE"""),"Cat Durogloss DR-2000; Propan; Type Spiders Web 90YY 73/040; 0,9 L/can")</f>
        <v>Cat Durogloss DR-2000; Propan; Type Spiders Web 90YY 73/040; 0,9 L/can</v>
      </c>
      <c r="E2090" s="6">
        <f>IFERROR(__xludf.DUMMYFUNCTION("""COMPUTED_VALUE"""),2.0)</f>
        <v>2</v>
      </c>
      <c r="F2090" s="6">
        <f>IFERROR(__xludf.DUMMYFUNCTION("""COMPUTED_VALUE"""),2.0)</f>
        <v>2</v>
      </c>
      <c r="G2090" s="6">
        <f>IFERROR(__xludf.DUMMYFUNCTION("""COMPUTED_VALUE"""),0.0)</f>
        <v>0</v>
      </c>
      <c r="H2090" s="6" t="str">
        <f>IFERROR(__xludf.DUMMYFUNCTION("""COMPUTED_VALUE"""),"Pcs")</f>
        <v>Pcs</v>
      </c>
      <c r="I2090" s="6" t="str">
        <f>IFERROR(__xludf.DUMMYFUNCTION("""COMPUTED_VALUE"""),"MFH")</f>
        <v>MFH</v>
      </c>
      <c r="J2090" s="6" t="str">
        <f>IFERROR(__xludf.DUMMYFUNCTION("""COMPUTED_VALUE"""),"-")</f>
        <v>-</v>
      </c>
      <c r="K2090" s="6" t="str">
        <f>IFERROR(__xludf.DUMMYFUNCTION("""COMPUTED_VALUE"""),"SPR/05/25/053")</f>
        <v>SPR/05/25/053</v>
      </c>
      <c r="L2090" s="13">
        <f>IFERROR(__xludf.DUMMYFUNCTION("""COMPUTED_VALUE"""),45808.0)</f>
        <v>45808</v>
      </c>
    </row>
    <row r="2091">
      <c r="A2091" s="6" t="str">
        <f>IFERROR(__xludf.DUMMYFUNCTION("""COMPUTED_VALUE"""),"SFH")</f>
        <v>SFH</v>
      </c>
      <c r="B2091" s="6" t="str">
        <f>IFERROR(__xludf.DUMMYFUNCTION("""COMPUTED_VALUE"""),"ENG")</f>
        <v>ENG</v>
      </c>
      <c r="C2091" s="6" t="str">
        <f>IFERROR(__xludf.DUMMYFUNCTION("""COMPUTED_VALUE"""),"P-15852-00")</f>
        <v>P-15852-00</v>
      </c>
      <c r="D2091" s="6" t="str">
        <f>IFERROR(__xludf.DUMMYFUNCTION("""COMPUTED_VALUE"""),"AMPLAS EAGLE 500")</f>
        <v>AMPLAS EAGLE 500</v>
      </c>
      <c r="E2091" s="6">
        <f>IFERROR(__xludf.DUMMYFUNCTION("""COMPUTED_VALUE"""),4.0)</f>
        <v>4</v>
      </c>
      <c r="F2091" s="6">
        <f>IFERROR(__xludf.DUMMYFUNCTION("""COMPUTED_VALUE"""),4.0)</f>
        <v>4</v>
      </c>
      <c r="G2091" s="6">
        <f>IFERROR(__xludf.DUMMYFUNCTION("""COMPUTED_VALUE"""),0.0)</f>
        <v>0</v>
      </c>
      <c r="H2091" s="6" t="str">
        <f>IFERROR(__xludf.DUMMYFUNCTION("""COMPUTED_VALUE"""),"Pcs")</f>
        <v>Pcs</v>
      </c>
      <c r="I2091" s="6" t="str">
        <f>IFERROR(__xludf.DUMMYFUNCTION("""COMPUTED_VALUE"""),"MFH")</f>
        <v>MFH</v>
      </c>
      <c r="J2091" s="6" t="str">
        <f>IFERROR(__xludf.DUMMYFUNCTION("""COMPUTED_VALUE"""),"-")</f>
        <v>-</v>
      </c>
      <c r="K2091" s="6" t="str">
        <f>IFERROR(__xludf.DUMMYFUNCTION("""COMPUTED_VALUE"""),"SPR/05/25/053")</f>
        <v>SPR/05/25/053</v>
      </c>
      <c r="L2091" s="13">
        <f>IFERROR(__xludf.DUMMYFUNCTION("""COMPUTED_VALUE"""),45808.0)</f>
        <v>45808</v>
      </c>
    </row>
    <row r="2092">
      <c r="A2092" s="6" t="str">
        <f>IFERROR(__xludf.DUMMYFUNCTION("""COMPUTED_VALUE"""),"SFH")</f>
        <v>SFH</v>
      </c>
      <c r="B2092" s="6" t="str">
        <f>IFERROR(__xludf.DUMMYFUNCTION("""COMPUTED_VALUE"""),"ENG")</f>
        <v>ENG</v>
      </c>
      <c r="C2092" s="6" t="str">
        <f>IFERROR(__xludf.DUMMYFUNCTION("""COMPUTED_VALUE"""),"P-15851-00")</f>
        <v>P-15851-00</v>
      </c>
      <c r="D2092" s="6" t="str">
        <f>IFERROR(__xludf.DUMMYFUNCTION("""COMPUTED_VALUE"""),"AMPLAS EAGLE 100")</f>
        <v>AMPLAS EAGLE 100</v>
      </c>
      <c r="E2092" s="6">
        <f>IFERROR(__xludf.DUMMYFUNCTION("""COMPUTED_VALUE"""),5.0)</f>
        <v>5</v>
      </c>
      <c r="F2092" s="6">
        <f>IFERROR(__xludf.DUMMYFUNCTION("""COMPUTED_VALUE"""),5.0)</f>
        <v>5</v>
      </c>
      <c r="G2092" s="6">
        <f>IFERROR(__xludf.DUMMYFUNCTION("""COMPUTED_VALUE"""),0.0)</f>
        <v>0</v>
      </c>
      <c r="H2092" s="6" t="str">
        <f>IFERROR(__xludf.DUMMYFUNCTION("""COMPUTED_VALUE"""),"Pcs")</f>
        <v>Pcs</v>
      </c>
      <c r="I2092" s="6" t="str">
        <f>IFERROR(__xludf.DUMMYFUNCTION("""COMPUTED_VALUE"""),"MFH")</f>
        <v>MFH</v>
      </c>
      <c r="J2092" s="6" t="str">
        <f>IFERROR(__xludf.DUMMYFUNCTION("""COMPUTED_VALUE"""),"-")</f>
        <v>-</v>
      </c>
      <c r="K2092" s="6" t="str">
        <f>IFERROR(__xludf.DUMMYFUNCTION("""COMPUTED_VALUE"""),"SPR/05/25/053")</f>
        <v>SPR/05/25/053</v>
      </c>
      <c r="L2092" s="13">
        <f>IFERROR(__xludf.DUMMYFUNCTION("""COMPUTED_VALUE"""),45808.0)</f>
        <v>45808</v>
      </c>
    </row>
    <row r="2093">
      <c r="A2093" s="6" t="str">
        <f>IFERROR(__xludf.DUMMYFUNCTION("""COMPUTED_VALUE"""),"SFH")</f>
        <v>SFH</v>
      </c>
      <c r="B2093" s="6" t="str">
        <f>IFERROR(__xludf.DUMMYFUNCTION("""COMPUTED_VALUE"""),"ENG")</f>
        <v>ENG</v>
      </c>
      <c r="C2093" s="6" t="str">
        <f>IFERROR(__xludf.DUMMYFUNCTION("""COMPUTED_VALUE"""),"P-53102-00")</f>
        <v>P-53102-00</v>
      </c>
      <c r="D2093" s="6" t="str">
        <f>IFERROR(__xludf.DUMMYFUNCTION("""COMPUTED_VALUE"""),"Lampu PLC 13watt/E27 Putih; Phillips; ;")</f>
        <v>Lampu PLC 13watt/E27 Putih; Phillips; ;</v>
      </c>
      <c r="E2093" s="6">
        <f>IFERROR(__xludf.DUMMYFUNCTION("""COMPUTED_VALUE"""),2.0)</f>
        <v>2</v>
      </c>
      <c r="F2093" s="6">
        <f>IFERROR(__xludf.DUMMYFUNCTION("""COMPUTED_VALUE"""),2.0)</f>
        <v>2</v>
      </c>
      <c r="G2093" s="6">
        <f>IFERROR(__xludf.DUMMYFUNCTION("""COMPUTED_VALUE"""),0.0)</f>
        <v>0</v>
      </c>
      <c r="H2093" s="6" t="str">
        <f>IFERROR(__xludf.DUMMYFUNCTION("""COMPUTED_VALUE"""),"Pcs")</f>
        <v>Pcs</v>
      </c>
      <c r="I2093" s="6" t="str">
        <f>IFERROR(__xludf.DUMMYFUNCTION("""COMPUTED_VALUE"""),"MFH")</f>
        <v>MFH</v>
      </c>
      <c r="J2093" s="6" t="str">
        <f>IFERROR(__xludf.DUMMYFUNCTION("""COMPUTED_VALUE"""),"Building")</f>
        <v>Building</v>
      </c>
      <c r="K2093" s="6" t="str">
        <f>IFERROR(__xludf.DUMMYFUNCTION("""COMPUTED_VALUE"""),"SPR/05/25/054")</f>
        <v>SPR/05/25/054</v>
      </c>
      <c r="L2093" s="13">
        <f>IFERROR(__xludf.DUMMYFUNCTION("""COMPUTED_VALUE"""),45808.0)</f>
        <v>45808</v>
      </c>
    </row>
    <row r="2094">
      <c r="A2094" s="6" t="str">
        <f>IFERROR(__xludf.DUMMYFUNCTION("""COMPUTED_VALUE"""),"SFH")</f>
        <v>SFH</v>
      </c>
      <c r="B2094" s="6" t="str">
        <f>IFERROR(__xludf.DUMMYFUNCTION("""COMPUTED_VALUE"""),"ENG")</f>
        <v>ENG</v>
      </c>
      <c r="C2094" s="6" t="str">
        <f>IFERROR(__xludf.DUMMYFUNCTION("""COMPUTED_VALUE"""),"Q-10904-00")</f>
        <v>Q-10904-00</v>
      </c>
      <c r="D2094" s="6" t="str">
        <f>IFERROR(__xludf.DUMMYFUNCTION("""COMPUTED_VALUE"""),"Handle Pintu Kaca Deksson DK 82801; ; ;")</f>
        <v>Handle Pintu Kaca Deksson DK 82801; ; ;</v>
      </c>
      <c r="E2094" s="6">
        <f>IFERROR(__xludf.DUMMYFUNCTION("""COMPUTED_VALUE"""),1.0)</f>
        <v>1</v>
      </c>
      <c r="F2094" s="6">
        <f>IFERROR(__xludf.DUMMYFUNCTION("""COMPUTED_VALUE"""),1.0)</f>
        <v>1</v>
      </c>
      <c r="G2094" s="6">
        <f>IFERROR(__xludf.DUMMYFUNCTION("""COMPUTED_VALUE"""),0.0)</f>
        <v>0</v>
      </c>
      <c r="H2094" s="6" t="str">
        <f>IFERROR(__xludf.DUMMYFUNCTION("""COMPUTED_VALUE"""),"Pcs")</f>
        <v>Pcs</v>
      </c>
      <c r="I2094" s="6" t="str">
        <f>IFERROR(__xludf.DUMMYFUNCTION("""COMPUTED_VALUE"""),"MFH")</f>
        <v>MFH</v>
      </c>
      <c r="J2094" s="6" t="str">
        <f>IFERROR(__xludf.DUMMYFUNCTION("""COMPUTED_VALUE"""),"Building")</f>
        <v>Building</v>
      </c>
      <c r="K2094" s="6" t="str">
        <f>IFERROR(__xludf.DUMMYFUNCTION("""COMPUTED_VALUE"""),"SPR/05/25/055")</f>
        <v>SPR/05/25/055</v>
      </c>
      <c r="L2094" s="13">
        <f>IFERROR(__xludf.DUMMYFUNCTION("""COMPUTED_VALUE"""),45808.0)</f>
        <v>45808</v>
      </c>
    </row>
    <row r="2095">
      <c r="A2095" s="6" t="str">
        <f>IFERROR(__xludf.DUMMYFUNCTION("""COMPUTED_VALUE"""),"NDS")</f>
        <v>NDS</v>
      </c>
      <c r="B2095" s="6" t="str">
        <f>IFERROR(__xludf.DUMMYFUNCTION("""COMPUTED_VALUE"""),"ENG")</f>
        <v>ENG</v>
      </c>
      <c r="C2095" s="6" t="str">
        <f>IFERROR(__xludf.DUMMYFUNCTION("""COMPUTED_VALUE"""),"O-18344-00")</f>
        <v>O-18344-00</v>
      </c>
      <c r="D2095" s="6" t="str">
        <f>IFERROR(__xludf.DUMMYFUNCTION("""COMPUTED_VALUE"""),"Capping VCM200 - Roller trimmer D=48X18 inclination=7 for alucap D=20; ; ;")</f>
        <v>Capping VCM200 - Roller trimmer D=48X18 inclination=7 for alucap D=20; ; ;</v>
      </c>
      <c r="E2095" s="6">
        <f>IFERROR(__xludf.DUMMYFUNCTION("""COMPUTED_VALUE"""),10.0)</f>
        <v>10</v>
      </c>
      <c r="F2095" s="6">
        <f>IFERROR(__xludf.DUMMYFUNCTION("""COMPUTED_VALUE"""),10.0)</f>
        <v>10</v>
      </c>
      <c r="G2095" s="6">
        <f>IFERROR(__xludf.DUMMYFUNCTION("""COMPUTED_VALUE"""),10.0)</f>
        <v>10</v>
      </c>
      <c r="H2095" s="6" t="str">
        <f>IFERROR(__xludf.DUMMYFUNCTION("""COMPUTED_VALUE"""),"Pcs")</f>
        <v>Pcs</v>
      </c>
      <c r="I2095" s="6" t="str">
        <f>IFERROR(__xludf.DUMMYFUNCTION("""COMPUTED_VALUE"""),"MFH")</f>
        <v>MFH</v>
      </c>
      <c r="J2095" s="6" t="str">
        <f>IFERROR(__xludf.DUMMYFUNCTION("""COMPUTED_VALUE"""),"Capping")</f>
        <v>Capping</v>
      </c>
      <c r="K2095" s="6" t="str">
        <f>IFERROR(__xludf.DUMMYFUNCTION("""COMPUTED_VALUE"""),"SPR/06/25/001")</f>
        <v>SPR/06/25/001</v>
      </c>
      <c r="L2095" s="13">
        <f>IFERROR(__xludf.DUMMYFUNCTION("""COMPUTED_VALUE"""),45833.0)</f>
        <v>45833</v>
      </c>
    </row>
    <row r="2096">
      <c r="A2096" s="6" t="str">
        <f>IFERROR(__xludf.DUMMYFUNCTION("""COMPUTED_VALUE"""),"ANO")</f>
        <v>ANO</v>
      </c>
      <c r="B2096" s="6" t="str">
        <f>IFERROR(__xludf.DUMMYFUNCTION("""COMPUTED_VALUE"""),"ENG")</f>
        <v>ENG</v>
      </c>
      <c r="C2096" s="6" t="str">
        <f>IFERROR(__xludf.DUMMYFUNCTION("""COMPUTED_VALUE"""),"T-80047-00")</f>
        <v>T-80047-00</v>
      </c>
      <c r="D2096" s="6" t="str">
        <f>IFERROR(__xludf.DUMMYFUNCTION("""COMPUTED_VALUE"""),"Battery ALKALINE AAA")</f>
        <v>Battery ALKALINE AAA</v>
      </c>
      <c r="E2096" s="6">
        <f>IFERROR(__xludf.DUMMYFUNCTION("""COMPUTED_VALUE"""),2.0)</f>
        <v>2</v>
      </c>
      <c r="F2096" s="6">
        <f>IFERROR(__xludf.DUMMYFUNCTION("""COMPUTED_VALUE"""),2.0)</f>
        <v>2</v>
      </c>
      <c r="G2096" s="6">
        <f>IFERROR(__xludf.DUMMYFUNCTION("""COMPUTED_VALUE"""),0.0)</f>
        <v>0</v>
      </c>
      <c r="H2096" s="6" t="str">
        <f>IFERROR(__xludf.DUMMYFUNCTION("""COMPUTED_VALUE"""),"Pcs")</f>
        <v>Pcs</v>
      </c>
      <c r="I2096" s="6" t="str">
        <f>IFERROR(__xludf.DUMMYFUNCTION("""COMPUTED_VALUE"""),"MFH")</f>
        <v>MFH</v>
      </c>
      <c r="J2096" s="6" t="str">
        <f>IFERROR(__xludf.DUMMYFUNCTION("""COMPUTED_VALUE"""),"-")</f>
        <v>-</v>
      </c>
      <c r="K2096" s="6" t="str">
        <f>IFERROR(__xludf.DUMMYFUNCTION("""COMPUTED_VALUE"""),"SPR/06/25/002")</f>
        <v>SPR/06/25/002</v>
      </c>
      <c r="L2096" s="13">
        <f>IFERROR(__xludf.DUMMYFUNCTION("""COMPUTED_VALUE"""),45833.0)</f>
        <v>45833</v>
      </c>
    </row>
    <row r="2097">
      <c r="A2097" s="6" t="str">
        <f>IFERROR(__xludf.DUMMYFUNCTION("""COMPUTED_VALUE"""),"ANO")</f>
        <v>ANO</v>
      </c>
      <c r="B2097" s="6" t="str">
        <f>IFERROR(__xludf.DUMMYFUNCTION("""COMPUTED_VALUE"""),"ENG")</f>
        <v>ENG</v>
      </c>
      <c r="C2097" s="6" t="str">
        <f>IFERROR(__xludf.DUMMYFUNCTION("""COMPUTED_VALUE"""),"Q-50013-00")</f>
        <v>Q-50013-00</v>
      </c>
      <c r="D2097" s="6" t="str">
        <f>IFERROR(__xludf.DUMMYFUNCTION("""COMPUTED_VALUE"""),"Frame or Perimeter Seal RP48 White; Raven; R48W6; 6 meter/pck")</f>
        <v>Frame or Perimeter Seal RP48 White; Raven; R48W6; 6 meter/pck</v>
      </c>
      <c r="E2097" s="6">
        <f>IFERROR(__xludf.DUMMYFUNCTION("""COMPUTED_VALUE"""),1.0)</f>
        <v>1</v>
      </c>
      <c r="F2097" s="6">
        <f>IFERROR(__xludf.DUMMYFUNCTION("""COMPUTED_VALUE"""),1.0)</f>
        <v>1</v>
      </c>
      <c r="G2097" s="6">
        <f>IFERROR(__xludf.DUMMYFUNCTION("""COMPUTED_VALUE"""),0.0)</f>
        <v>0</v>
      </c>
      <c r="H2097" s="6" t="str">
        <f>IFERROR(__xludf.DUMMYFUNCTION("""COMPUTED_VALUE"""),"Pcs")</f>
        <v>Pcs</v>
      </c>
      <c r="I2097" s="6" t="str">
        <f>IFERROR(__xludf.DUMMYFUNCTION("""COMPUTED_VALUE"""),"MFH")</f>
        <v>MFH</v>
      </c>
      <c r="J2097" s="6" t="str">
        <f>IFERROR(__xludf.DUMMYFUNCTION("""COMPUTED_VALUE"""),"FD")</f>
        <v>FD</v>
      </c>
      <c r="K2097" s="6" t="str">
        <f>IFERROR(__xludf.DUMMYFUNCTION("""COMPUTED_VALUE"""),"SPR/06/25/002")</f>
        <v>SPR/06/25/002</v>
      </c>
      <c r="L2097" s="13">
        <f>IFERROR(__xludf.DUMMYFUNCTION("""COMPUTED_VALUE"""),45833.0)</f>
        <v>45833</v>
      </c>
    </row>
    <row r="2098">
      <c r="A2098" s="6" t="str">
        <f>IFERROR(__xludf.DUMMYFUNCTION("""COMPUTED_VALUE"""),"ANO")</f>
        <v>ANO</v>
      </c>
      <c r="B2098" s="6" t="str">
        <f>IFERROR(__xludf.DUMMYFUNCTION("""COMPUTED_VALUE"""),"ENG")</f>
        <v>ENG</v>
      </c>
      <c r="C2098" s="6" t="str">
        <f>IFERROR(__xludf.DUMMYFUNCTION("""COMPUTED_VALUE"""),"O-14618-00")</f>
        <v>O-14618-00</v>
      </c>
      <c r="D2098" s="6" t="str">
        <f>IFERROR(__xludf.DUMMYFUNCTION("""COMPUTED_VALUE"""),"Pneumatic pincher silicone cover sleeve; ; c/n 15927;")</f>
        <v>Pneumatic pincher silicone cover sleeve; ; c/n 15927;</v>
      </c>
      <c r="E2098" s="6">
        <f>IFERROR(__xludf.DUMMYFUNCTION("""COMPUTED_VALUE"""),1.0)</f>
        <v>1</v>
      </c>
      <c r="F2098" s="6">
        <f>IFERROR(__xludf.DUMMYFUNCTION("""COMPUTED_VALUE"""),1.0)</f>
        <v>1</v>
      </c>
      <c r="G2098" s="6">
        <f>IFERROR(__xludf.DUMMYFUNCTION("""COMPUTED_VALUE"""),0.0)</f>
        <v>0</v>
      </c>
      <c r="H2098" s="6" t="str">
        <f>IFERROR(__xludf.DUMMYFUNCTION("""COMPUTED_VALUE"""),"Pcs")</f>
        <v>Pcs</v>
      </c>
      <c r="I2098" s="6" t="str">
        <f>IFERROR(__xludf.DUMMYFUNCTION("""COMPUTED_VALUE"""),"MFH")</f>
        <v>MFH</v>
      </c>
      <c r="J2098" s="6" t="str">
        <f>IFERROR(__xludf.DUMMYFUNCTION("""COMPUTED_VALUE"""),"Washing")</f>
        <v>Washing</v>
      </c>
      <c r="K2098" s="6" t="str">
        <f>IFERROR(__xludf.DUMMYFUNCTION("""COMPUTED_VALUE"""),"SPR/06/25/003")</f>
        <v>SPR/06/25/003</v>
      </c>
      <c r="L2098" s="13">
        <f>IFERROR(__xludf.DUMMYFUNCTION("""COMPUTED_VALUE"""),45833.0)</f>
        <v>45833</v>
      </c>
    </row>
    <row r="2099">
      <c r="A2099" s="6" t="str">
        <f>IFERROR(__xludf.DUMMYFUNCTION("""COMPUTED_VALUE"""),"NDS")</f>
        <v>NDS</v>
      </c>
      <c r="B2099" s="6" t="str">
        <f>IFERROR(__xludf.DUMMYFUNCTION("""COMPUTED_VALUE"""),"ENG")</f>
        <v>ENG</v>
      </c>
      <c r="C2099" s="6" t="str">
        <f>IFERROR(__xludf.DUMMYFUNCTION("""COMPUTED_VALUE"""),"P-10726-00")</f>
        <v>P-10726-00</v>
      </c>
      <c r="D2099" s="6" t="str">
        <f>IFERROR(__xludf.DUMMYFUNCTION("""COMPUTED_VALUE"""),"Cleaner - Contact Cleaner CRC CO 2016 500 ml")</f>
        <v>Cleaner - Contact Cleaner CRC CO 2016 500 ml</v>
      </c>
      <c r="E2099" s="6">
        <f>IFERROR(__xludf.DUMMYFUNCTION("""COMPUTED_VALUE"""),1.0)</f>
        <v>1</v>
      </c>
      <c r="F2099" s="6">
        <f>IFERROR(__xludf.DUMMYFUNCTION("""COMPUTED_VALUE"""),1.0)</f>
        <v>1</v>
      </c>
      <c r="G2099" s="6">
        <f>IFERROR(__xludf.DUMMYFUNCTION("""COMPUTED_VALUE"""),0.0)</f>
        <v>0</v>
      </c>
      <c r="H2099" s="6" t="str">
        <f>IFERROR(__xludf.DUMMYFUNCTION("""COMPUTED_VALUE"""),"pcs")</f>
        <v>pcs</v>
      </c>
      <c r="I2099" s="6" t="str">
        <f>IFERROR(__xludf.DUMMYFUNCTION("""COMPUTED_VALUE"""),"MFH")</f>
        <v>MFH</v>
      </c>
      <c r="J2099" s="6" t="str">
        <f>IFERROR(__xludf.DUMMYFUNCTION("""COMPUTED_VALUE"""),"FD")</f>
        <v>FD</v>
      </c>
      <c r="K2099" s="6" t="str">
        <f>IFERROR(__xludf.DUMMYFUNCTION("""COMPUTED_VALUE"""),"SPR/06/25/004")</f>
        <v>SPR/06/25/004</v>
      </c>
      <c r="L2099" s="13">
        <f>IFERROR(__xludf.DUMMYFUNCTION("""COMPUTED_VALUE"""),45833.0)</f>
        <v>45833</v>
      </c>
    </row>
    <row r="2100">
      <c r="A2100" s="6" t="str">
        <f>IFERROR(__xludf.DUMMYFUNCTION("""COMPUTED_VALUE"""),"NDS")</f>
        <v>NDS</v>
      </c>
      <c r="B2100" s="6" t="str">
        <f>IFERROR(__xludf.DUMMYFUNCTION("""COMPUTED_VALUE"""),"ENG")</f>
        <v>ENG</v>
      </c>
      <c r="C2100" s="6" t="str">
        <f>IFERROR(__xludf.DUMMYFUNCTION("""COMPUTED_VALUE"""),"O-53218-00")</f>
        <v>O-53218-00</v>
      </c>
      <c r="D2100" s="6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E2100" s="6">
        <f>IFERROR(__xludf.DUMMYFUNCTION("""COMPUTED_VALUE"""),1.0)</f>
        <v>1</v>
      </c>
      <c r="F2100" s="6">
        <f>IFERROR(__xludf.DUMMYFUNCTION("""COMPUTED_VALUE"""),1.0)</f>
        <v>1</v>
      </c>
      <c r="G2100" s="6">
        <f>IFERROR(__xludf.DUMMYFUNCTION("""COMPUTED_VALUE"""),0.0)</f>
        <v>0</v>
      </c>
      <c r="H2100" s="6" t="str">
        <f>IFERROR(__xludf.DUMMYFUNCTION("""COMPUTED_VALUE"""),"Pcs")</f>
        <v>Pcs</v>
      </c>
      <c r="I2100" s="6" t="str">
        <f>IFERROR(__xludf.DUMMYFUNCTION("""COMPUTED_VALUE"""),"MFH")</f>
        <v>MFH</v>
      </c>
      <c r="J2100" s="6" t="str">
        <f>IFERROR(__xludf.DUMMYFUNCTION("""COMPUTED_VALUE"""),"Mixing")</f>
        <v>Mixing</v>
      </c>
      <c r="K2100" s="6" t="str">
        <f>IFERROR(__xludf.DUMMYFUNCTION("""COMPUTED_VALUE"""),"SPR/06/25/004")</f>
        <v>SPR/06/25/004</v>
      </c>
      <c r="L2100" s="13">
        <f>IFERROR(__xludf.DUMMYFUNCTION("""COMPUTED_VALUE"""),45833.0)</f>
        <v>45833</v>
      </c>
    </row>
    <row r="2101">
      <c r="A2101" s="6" t="str">
        <f>IFERROR(__xludf.DUMMYFUNCTION("""COMPUTED_VALUE"""),"ROS")</f>
        <v>ROS</v>
      </c>
      <c r="B2101" s="6" t="str">
        <f>IFERROR(__xludf.DUMMYFUNCTION("""COMPUTED_VALUE"""),"ENG")</f>
        <v>ENG</v>
      </c>
      <c r="C2101" s="6" t="str">
        <f>IFERROR(__xludf.DUMMYFUNCTION("""COMPUTED_VALUE"""),"Q-10249-00")</f>
        <v>Q-10249-00</v>
      </c>
      <c r="D2101" s="6" t="str">
        <f>IFERROR(__xludf.DUMMYFUNCTION("""COMPUTED_VALUE"""),"Lem Power Glue")</f>
        <v>Lem Power Glue</v>
      </c>
      <c r="E2101" s="6">
        <f>IFERROR(__xludf.DUMMYFUNCTION("""COMPUTED_VALUE"""),1.0)</f>
        <v>1</v>
      </c>
      <c r="F2101" s="6">
        <f>IFERROR(__xludf.DUMMYFUNCTION("""COMPUTED_VALUE"""),1.0)</f>
        <v>1</v>
      </c>
      <c r="G2101" s="6">
        <f>IFERROR(__xludf.DUMMYFUNCTION("""COMPUTED_VALUE"""),0.0)</f>
        <v>0</v>
      </c>
      <c r="H2101" s="6" t="str">
        <f>IFERROR(__xludf.DUMMYFUNCTION("""COMPUTED_VALUE"""),"Pcs")</f>
        <v>Pcs</v>
      </c>
      <c r="I2101" s="6" t="str">
        <f>IFERROR(__xludf.DUMMYFUNCTION("""COMPUTED_VALUE"""),"MFH")</f>
        <v>MFH</v>
      </c>
      <c r="J2101" s="6" t="str">
        <f>IFERROR(__xludf.DUMMYFUNCTION("""COMPUTED_VALUE"""),"Mixing")</f>
        <v>Mixing</v>
      </c>
      <c r="K2101" s="6" t="str">
        <f>IFERROR(__xludf.DUMMYFUNCTION("""COMPUTED_VALUE"""),"SPR/06/25/005")</f>
        <v>SPR/06/25/005</v>
      </c>
      <c r="L2101" s="13">
        <f>IFERROR(__xludf.DUMMYFUNCTION("""COMPUTED_VALUE"""),45833.0)</f>
        <v>45833</v>
      </c>
    </row>
    <row r="2102">
      <c r="A2102" s="6" t="str">
        <f>IFERROR(__xludf.DUMMYFUNCTION("""COMPUTED_VALUE"""),"ANO")</f>
        <v>ANO</v>
      </c>
      <c r="B2102" s="6" t="str">
        <f>IFERROR(__xludf.DUMMYFUNCTION("""COMPUTED_VALUE"""),"ENG")</f>
        <v>ENG</v>
      </c>
      <c r="C2102" s="6" t="str">
        <f>IFERROR(__xludf.DUMMYFUNCTION("""COMPUTED_VALUE"""),"O-16032-00")</f>
        <v>O-16032-00</v>
      </c>
      <c r="D210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102" s="6">
        <f>IFERROR(__xludf.DUMMYFUNCTION("""COMPUTED_VALUE"""),1.0)</f>
        <v>1</v>
      </c>
      <c r="F2102" s="6">
        <f>IFERROR(__xludf.DUMMYFUNCTION("""COMPUTED_VALUE"""),1.0)</f>
        <v>1</v>
      </c>
      <c r="G2102" s="6">
        <f>IFERROR(__xludf.DUMMYFUNCTION("""COMPUTED_VALUE"""),0.0)</f>
        <v>0</v>
      </c>
      <c r="H2102" s="6" t="str">
        <f>IFERROR(__xludf.DUMMYFUNCTION("""COMPUTED_VALUE"""),"Pcs")</f>
        <v>Pcs</v>
      </c>
      <c r="I2102" s="6" t="str">
        <f>IFERROR(__xludf.DUMMYFUNCTION("""COMPUTED_VALUE"""),"MFH")</f>
        <v>MFH</v>
      </c>
      <c r="J2102" s="6" t="str">
        <f>IFERROR(__xludf.DUMMYFUNCTION("""COMPUTED_VALUE"""),"cRABS")</f>
        <v>cRABS</v>
      </c>
      <c r="K2102" s="6" t="str">
        <f>IFERROR(__xludf.DUMMYFUNCTION("""COMPUTED_VALUE"""),"SPR/06/25/006")</f>
        <v>SPR/06/25/006</v>
      </c>
      <c r="L2102" s="13">
        <f>IFERROR(__xludf.DUMMYFUNCTION("""COMPUTED_VALUE"""),45833.0)</f>
        <v>45833</v>
      </c>
    </row>
    <row r="2103">
      <c r="A2103" s="6" t="str">
        <f>IFERROR(__xludf.DUMMYFUNCTION("""COMPUTED_VALUE"""),"ROS")</f>
        <v>ROS</v>
      </c>
      <c r="B2103" s="6" t="str">
        <f>IFERROR(__xludf.DUMMYFUNCTION("""COMPUTED_VALUE"""),"ENG")</f>
        <v>ENG</v>
      </c>
      <c r="C2103" s="6" t="str">
        <f>IFERROR(__xludf.DUMMYFUNCTION("""COMPUTED_VALUE"""),"P-18725-00")</f>
        <v>P-18725-00</v>
      </c>
      <c r="D2103" s="6" t="str">
        <f>IFERROR(__xludf.DUMMYFUNCTION("""COMPUTED_VALUE"""),"Freon Refrigerant Chemours Suva R507; ; ;")</f>
        <v>Freon Refrigerant Chemours Suva R507; ; ;</v>
      </c>
      <c r="E2103" s="6">
        <f>IFERROR(__xludf.DUMMYFUNCTION("""COMPUTED_VALUE"""),1.0)</f>
        <v>1</v>
      </c>
      <c r="F2103" s="6">
        <f>IFERROR(__xludf.DUMMYFUNCTION("""COMPUTED_VALUE"""),1.0)</f>
        <v>1</v>
      </c>
      <c r="G2103" s="6">
        <f>IFERROR(__xludf.DUMMYFUNCTION("""COMPUTED_VALUE"""),0.0)</f>
        <v>0</v>
      </c>
      <c r="H2103" s="6" t="str">
        <f>IFERROR(__xludf.DUMMYFUNCTION("""COMPUTED_VALUE"""),"Pcs")</f>
        <v>Pcs</v>
      </c>
      <c r="I2103" s="6" t="str">
        <f>IFERROR(__xludf.DUMMYFUNCTION("""COMPUTED_VALUE"""),"MFH")</f>
        <v>MFH</v>
      </c>
      <c r="J2103" s="6" t="str">
        <f>IFERROR(__xludf.DUMMYFUNCTION("""COMPUTED_VALUE"""),"Mixing")</f>
        <v>Mixing</v>
      </c>
      <c r="K2103" s="6" t="str">
        <f>IFERROR(__xludf.DUMMYFUNCTION("""COMPUTED_VALUE"""),"SPR/06/25/007")</f>
        <v>SPR/06/25/007</v>
      </c>
      <c r="L2103" s="13">
        <f>IFERROR(__xludf.DUMMYFUNCTION("""COMPUTED_VALUE"""),45833.0)</f>
        <v>45833</v>
      </c>
    </row>
    <row r="2104">
      <c r="A2104" s="6" t="str">
        <f>IFERROR(__xludf.DUMMYFUNCTION("""COMPUTED_VALUE"""),"NDS")</f>
        <v>NDS</v>
      </c>
      <c r="B2104" s="6" t="str">
        <f>IFERROR(__xludf.DUMMYFUNCTION("""COMPUTED_VALUE"""),"ENG")</f>
        <v>ENG</v>
      </c>
      <c r="C2104" s="6" t="str">
        <f>IFERROR(__xludf.DUMMYFUNCTION("""COMPUTED_VALUE"""),"Q-10249-00")</f>
        <v>Q-10249-00</v>
      </c>
      <c r="D2104" s="6" t="str">
        <f>IFERROR(__xludf.DUMMYFUNCTION("""COMPUTED_VALUE"""),"Lem Power Glue")</f>
        <v>Lem Power Glue</v>
      </c>
      <c r="E2104" s="6">
        <f>IFERROR(__xludf.DUMMYFUNCTION("""COMPUTED_VALUE"""),1.0)</f>
        <v>1</v>
      </c>
      <c r="F2104" s="6">
        <f>IFERROR(__xludf.DUMMYFUNCTION("""COMPUTED_VALUE"""),1.0)</f>
        <v>1</v>
      </c>
      <c r="G2104" s="6">
        <f>IFERROR(__xludf.DUMMYFUNCTION("""COMPUTED_VALUE"""),0.0)</f>
        <v>0</v>
      </c>
      <c r="H2104" s="6" t="str">
        <f>IFERROR(__xludf.DUMMYFUNCTION("""COMPUTED_VALUE"""),"Pcs")</f>
        <v>Pcs</v>
      </c>
      <c r="I2104" s="6" t="str">
        <f>IFERROR(__xludf.DUMMYFUNCTION("""COMPUTED_VALUE"""),"MFH")</f>
        <v>MFH</v>
      </c>
      <c r="J2104" s="6" t="str">
        <f>IFERROR(__xludf.DUMMYFUNCTION("""COMPUTED_VALUE"""),"Conveyor R")</f>
        <v>Conveyor R</v>
      </c>
      <c r="K2104" s="6" t="str">
        <f>IFERROR(__xludf.DUMMYFUNCTION("""COMPUTED_VALUE"""),"SPR/06/25/008")</f>
        <v>SPR/06/25/008</v>
      </c>
      <c r="L2104" s="13">
        <f>IFERROR(__xludf.DUMMYFUNCTION("""COMPUTED_VALUE"""),45833.0)</f>
        <v>45833</v>
      </c>
    </row>
    <row r="2105">
      <c r="A2105" s="6" t="str">
        <f>IFERROR(__xludf.DUMMYFUNCTION("""COMPUTED_VALUE"""),"NDS")</f>
        <v>NDS</v>
      </c>
      <c r="B2105" s="6" t="str">
        <f>IFERROR(__xludf.DUMMYFUNCTION("""COMPUTED_VALUE"""),"ENG")</f>
        <v>ENG</v>
      </c>
      <c r="C2105" s="6" t="str">
        <f>IFERROR(__xludf.DUMMYFUNCTION("""COMPUTED_VALUE"""),"P-18788-00")</f>
        <v>P-18788-00</v>
      </c>
      <c r="D2105" s="6" t="str">
        <f>IFERROR(__xludf.DUMMYFUNCTION("""COMPUTED_VALUE"""),"Baut SS Hexagon SS M6x55mm + Mur; ; ;")</f>
        <v>Baut SS Hexagon SS M6x55mm + Mur; ; ;</v>
      </c>
      <c r="E2105" s="6">
        <f>IFERROR(__xludf.DUMMYFUNCTION("""COMPUTED_VALUE"""),2.0)</f>
        <v>2</v>
      </c>
      <c r="F2105" s="6">
        <f>IFERROR(__xludf.DUMMYFUNCTION("""COMPUTED_VALUE"""),2.0)</f>
        <v>2</v>
      </c>
      <c r="G2105" s="6">
        <f>IFERROR(__xludf.DUMMYFUNCTION("""COMPUTED_VALUE"""),0.0)</f>
        <v>0</v>
      </c>
      <c r="H2105" s="6" t="str">
        <f>IFERROR(__xludf.DUMMYFUNCTION("""COMPUTED_VALUE"""),"Pcs")</f>
        <v>Pcs</v>
      </c>
      <c r="I2105" s="6" t="str">
        <f>IFERROR(__xludf.DUMMYFUNCTION("""COMPUTED_VALUE"""),"MFH")</f>
        <v>MFH</v>
      </c>
      <c r="J2105" s="6" t="str">
        <f>IFERROR(__xludf.DUMMYFUNCTION("""COMPUTED_VALUE"""),"Sartocheck")</f>
        <v>Sartocheck</v>
      </c>
      <c r="K2105" s="6" t="str">
        <f>IFERROR(__xludf.DUMMYFUNCTION("""COMPUTED_VALUE"""),"SPR/06/25/009")</f>
        <v>SPR/06/25/009</v>
      </c>
      <c r="L2105" s="13">
        <f>IFERROR(__xludf.DUMMYFUNCTION("""COMPUTED_VALUE"""),45833.0)</f>
        <v>45833</v>
      </c>
    </row>
    <row r="2106">
      <c r="A2106" s="6" t="str">
        <f>IFERROR(__xludf.DUMMYFUNCTION("""COMPUTED_VALUE"""),"ANO")</f>
        <v>ANO</v>
      </c>
      <c r="B2106" s="6" t="str">
        <f>IFERROR(__xludf.DUMMYFUNCTION("""COMPUTED_VALUE"""),"ENG")</f>
        <v>ENG</v>
      </c>
      <c r="C2106" s="6" t="str">
        <f>IFERROR(__xludf.DUMMYFUNCTION("""COMPUTED_VALUE"""),"-")</f>
        <v>-</v>
      </c>
      <c r="D2106" s="6" t="str">
        <f>IFERROR(__xludf.DUMMYFUNCTION("""COMPUTED_VALUE"""),"Ball Bearing")</f>
        <v>Ball Bearing</v>
      </c>
      <c r="E2106" s="6">
        <f>IFERROR(__xludf.DUMMYFUNCTION("""COMPUTED_VALUE"""),12.0)</f>
        <v>12</v>
      </c>
      <c r="F2106" s="6">
        <f>IFERROR(__xludf.DUMMYFUNCTION("""COMPUTED_VALUE"""),12.0)</f>
        <v>12</v>
      </c>
      <c r="G2106" s="6">
        <f>IFERROR(__xludf.DUMMYFUNCTION("""COMPUTED_VALUE"""),0.0)</f>
        <v>0</v>
      </c>
      <c r="H2106" s="6" t="str">
        <f>IFERROR(__xludf.DUMMYFUNCTION("""COMPUTED_VALUE"""),"Pcs")</f>
        <v>Pcs</v>
      </c>
      <c r="I2106" s="6" t="str">
        <f>IFERROR(__xludf.DUMMYFUNCTION("""COMPUTED_VALUE"""),"MFH")</f>
        <v>MFH</v>
      </c>
      <c r="J2106" s="6" t="str">
        <f>IFERROR(__xludf.DUMMYFUNCTION("""COMPUTED_VALUE"""),"Washing")</f>
        <v>Washing</v>
      </c>
      <c r="K2106" s="6" t="str">
        <f>IFERROR(__xludf.DUMMYFUNCTION("""COMPUTED_VALUE"""),"SPR/06/25/010")</f>
        <v>SPR/06/25/010</v>
      </c>
      <c r="L2106" s="13">
        <f>IFERROR(__xludf.DUMMYFUNCTION("""COMPUTED_VALUE"""),45833.0)</f>
        <v>45833</v>
      </c>
    </row>
    <row r="2107">
      <c r="A2107" s="6" t="str">
        <f>IFERROR(__xludf.DUMMYFUNCTION("""COMPUTED_VALUE"""),"ANO")</f>
        <v>ANO</v>
      </c>
      <c r="B2107" s="6" t="str">
        <f>IFERROR(__xludf.DUMMYFUNCTION("""COMPUTED_VALUE"""),"ENG")</f>
        <v>ENG</v>
      </c>
      <c r="C2107" s="6" t="str">
        <f>IFERROR(__xludf.DUMMYFUNCTION("""COMPUTED_VALUE"""),"O-16030-00")</f>
        <v>O-16030-00</v>
      </c>
      <c r="D2107" s="6" t="str">
        <f>IFERROR(__xludf.DUMMYFUNCTION("""COMPUTED_VALUE"""),"001292; Item Type : Dry box; 9")</f>
        <v>001292; Item Type : Dry box; 9</v>
      </c>
      <c r="E2107" s="6">
        <f>IFERROR(__xludf.DUMMYFUNCTION("""COMPUTED_VALUE"""),3.0)</f>
        <v>3</v>
      </c>
      <c r="F2107" s="6">
        <f>IFERROR(__xludf.DUMMYFUNCTION("""COMPUTED_VALUE"""),3.0)</f>
        <v>3</v>
      </c>
      <c r="G2107" s="6">
        <f>IFERROR(__xludf.DUMMYFUNCTION("""COMPUTED_VALUE"""),0.0)</f>
        <v>0</v>
      </c>
      <c r="H2107" s="6" t="str">
        <f>IFERROR(__xludf.DUMMYFUNCTION("""COMPUTED_VALUE"""),"Pcs")</f>
        <v>Pcs</v>
      </c>
      <c r="I2107" s="6" t="str">
        <f>IFERROR(__xludf.DUMMYFUNCTION("""COMPUTED_VALUE"""),"MFH")</f>
        <v>MFH</v>
      </c>
      <c r="J2107" s="6" t="str">
        <f>IFERROR(__xludf.DUMMYFUNCTION("""COMPUTED_VALUE"""),"Mixing")</f>
        <v>Mixing</v>
      </c>
      <c r="K2107" s="6" t="str">
        <f>IFERROR(__xludf.DUMMYFUNCTION("""COMPUTED_VALUE"""),"SPR/06/25/011")</f>
        <v>SPR/06/25/011</v>
      </c>
      <c r="L2107" s="13">
        <f>IFERROR(__xludf.DUMMYFUNCTION("""COMPUTED_VALUE"""),45833.0)</f>
        <v>45833</v>
      </c>
    </row>
    <row r="2108">
      <c r="A2108" s="6" t="str">
        <f>IFERROR(__xludf.DUMMYFUNCTION("""COMPUTED_VALUE"""),"ANO")</f>
        <v>ANO</v>
      </c>
      <c r="B2108" s="6" t="str">
        <f>IFERROR(__xludf.DUMMYFUNCTION("""COMPUTED_VALUE"""),"ENG")</f>
        <v>ENG</v>
      </c>
      <c r="C2108" s="6" t="str">
        <f>IFERROR(__xludf.DUMMYFUNCTION("""COMPUTED_VALUE"""),"Q-50013-00")</f>
        <v>Q-50013-00</v>
      </c>
      <c r="D2108" s="6" t="str">
        <f>IFERROR(__xludf.DUMMYFUNCTION("""COMPUTED_VALUE"""),"Frame or Perimeter Seal RP48 White; Raven; R48W6; 6 meter/pck")</f>
        <v>Frame or Perimeter Seal RP48 White; Raven; R48W6; 6 meter/pck</v>
      </c>
      <c r="E2108" s="6">
        <f>IFERROR(__xludf.DUMMYFUNCTION("""COMPUTED_VALUE"""),2.0)</f>
        <v>2</v>
      </c>
      <c r="F2108" s="6">
        <f>IFERROR(__xludf.DUMMYFUNCTION("""COMPUTED_VALUE"""),2.0)</f>
        <v>2</v>
      </c>
      <c r="G2108" s="6">
        <f>IFERROR(__xludf.DUMMYFUNCTION("""COMPUTED_VALUE"""),0.0)</f>
        <v>0</v>
      </c>
      <c r="H2108" s="6" t="str">
        <f>IFERROR(__xludf.DUMMYFUNCTION("""COMPUTED_VALUE"""),"Pcs")</f>
        <v>Pcs</v>
      </c>
      <c r="I2108" s="6" t="str">
        <f>IFERROR(__xludf.DUMMYFUNCTION("""COMPUTED_VALUE"""),"MFH")</f>
        <v>MFH</v>
      </c>
      <c r="J2108" s="6" t="str">
        <f>IFERROR(__xludf.DUMMYFUNCTION("""COMPUTED_VALUE"""),"-")</f>
        <v>-</v>
      </c>
      <c r="K2108" s="6" t="str">
        <f>IFERROR(__xludf.DUMMYFUNCTION("""COMPUTED_VALUE"""),"SPR/06/25/011")</f>
        <v>SPR/06/25/011</v>
      </c>
      <c r="L2108" s="13">
        <f>IFERROR(__xludf.DUMMYFUNCTION("""COMPUTED_VALUE"""),45833.0)</f>
        <v>45833</v>
      </c>
    </row>
    <row r="2109">
      <c r="A2109" s="6" t="str">
        <f>IFERROR(__xludf.DUMMYFUNCTION("""COMPUTED_VALUE"""),"ANO")</f>
        <v>ANO</v>
      </c>
      <c r="B2109" s="6" t="str">
        <f>IFERROR(__xludf.DUMMYFUNCTION("""COMPUTED_VALUE"""),"ENG")</f>
        <v>ENG</v>
      </c>
      <c r="C2109" s="6" t="str">
        <f>IFERROR(__xludf.DUMMYFUNCTION("""COMPUTED_VALUE"""),"T-80043-00")</f>
        <v>T-80043-00</v>
      </c>
      <c r="D2109" s="6" t="str">
        <f>IFERROR(__xludf.DUMMYFUNCTION("""COMPUTED_VALUE"""),"Battery Kotak 9V")</f>
        <v>Battery Kotak 9V</v>
      </c>
      <c r="E2109" s="6">
        <f>IFERROR(__xludf.DUMMYFUNCTION("""COMPUTED_VALUE"""),1.0)</f>
        <v>1</v>
      </c>
      <c r="F2109" s="6">
        <f>IFERROR(__xludf.DUMMYFUNCTION("""COMPUTED_VALUE"""),1.0)</f>
        <v>1</v>
      </c>
      <c r="G2109" s="6">
        <f>IFERROR(__xludf.DUMMYFUNCTION("""COMPUTED_VALUE"""),0.0)</f>
        <v>0</v>
      </c>
      <c r="H2109" s="6" t="str">
        <f>IFERROR(__xludf.DUMMYFUNCTION("""COMPUTED_VALUE"""),"pcs")</f>
        <v>pcs</v>
      </c>
      <c r="I2109" s="6" t="str">
        <f>IFERROR(__xludf.DUMMYFUNCTION("""COMPUTED_VALUE"""),"MFH")</f>
        <v>MFH</v>
      </c>
      <c r="J2109" s="6" t="str">
        <f>IFERROR(__xludf.DUMMYFUNCTION("""COMPUTED_VALUE"""),"Lantester")</f>
        <v>Lantester</v>
      </c>
      <c r="K2109" s="6" t="str">
        <f>IFERROR(__xludf.DUMMYFUNCTION("""COMPUTED_VALUE"""),"SPR/06/25/012")</f>
        <v>SPR/06/25/012</v>
      </c>
      <c r="L2109" s="13">
        <f>IFERROR(__xludf.DUMMYFUNCTION("""COMPUTED_VALUE"""),45833.0)</f>
        <v>45833</v>
      </c>
    </row>
    <row r="2110">
      <c r="A2110" s="6" t="str">
        <f>IFERROR(__xludf.DUMMYFUNCTION("""COMPUTED_VALUE"""),"ANO")</f>
        <v>ANO</v>
      </c>
      <c r="B2110" s="6" t="str">
        <f>IFERROR(__xludf.DUMMYFUNCTION("""COMPUTED_VALUE"""),"ENG")</f>
        <v>ENG</v>
      </c>
      <c r="C2110" s="6" t="str">
        <f>IFERROR(__xludf.DUMMYFUNCTION("""COMPUTED_VALUE"""),"Q-60501-00")</f>
        <v>Q-60501-00</v>
      </c>
      <c r="D2110" s="6" t="str">
        <f>IFERROR(__xludf.DUMMYFUNCTION("""COMPUTED_VALUE"""),"Silicone Sealant;Silglaze;Type N10 Clear;pack size per pcs")</f>
        <v>Silicone Sealant;Silglaze;Type N10 Clear;pack size per pcs</v>
      </c>
      <c r="E2110" s="6">
        <f>IFERROR(__xludf.DUMMYFUNCTION("""COMPUTED_VALUE"""),1.0)</f>
        <v>1</v>
      </c>
      <c r="F2110" s="6">
        <f>IFERROR(__xludf.DUMMYFUNCTION("""COMPUTED_VALUE"""),1.0)</f>
        <v>1</v>
      </c>
      <c r="G2110" s="6">
        <f>IFERROR(__xludf.DUMMYFUNCTION("""COMPUTED_VALUE"""),0.0)</f>
        <v>0</v>
      </c>
      <c r="H2110" s="6" t="str">
        <f>IFERROR(__xludf.DUMMYFUNCTION("""COMPUTED_VALUE"""),"Pcs")</f>
        <v>Pcs</v>
      </c>
      <c r="I2110" s="6" t="str">
        <f>IFERROR(__xludf.DUMMYFUNCTION("""COMPUTED_VALUE"""),"MFH")</f>
        <v>MFH</v>
      </c>
      <c r="J2110" s="6" t="str">
        <f>IFERROR(__xludf.DUMMYFUNCTION("""COMPUTED_VALUE"""),"-")</f>
        <v>-</v>
      </c>
      <c r="K2110" s="6" t="str">
        <f>IFERROR(__xludf.DUMMYFUNCTION("""COMPUTED_VALUE"""),"SPR/06/25/013")</f>
        <v>SPR/06/25/013</v>
      </c>
      <c r="L2110" s="13">
        <f>IFERROR(__xludf.DUMMYFUNCTION("""COMPUTED_VALUE"""),45833.0)</f>
        <v>45833</v>
      </c>
    </row>
    <row r="2111">
      <c r="A2111" s="6" t="str">
        <f>IFERROR(__xludf.DUMMYFUNCTION("""COMPUTED_VALUE"""),"ANO")</f>
        <v>ANO</v>
      </c>
      <c r="B2111" s="6" t="str">
        <f>IFERROR(__xludf.DUMMYFUNCTION("""COMPUTED_VALUE"""),"ENG")</f>
        <v>ENG</v>
      </c>
      <c r="C2111" s="6" t="str">
        <f>IFERROR(__xludf.DUMMYFUNCTION("""COMPUTED_VALUE"""),"O-53215-00")</f>
        <v>O-53215-00</v>
      </c>
      <c r="D2111" s="6" t="str">
        <f>IFERROR(__xludf.DUMMYFUNCTION("""COMPUTED_VALUE"""),"General - Exhaust Fan;Ebm-Papst;R3G190-RC05-03;")</f>
        <v>General - Exhaust Fan;Ebm-Papst;R3G190-RC05-03;</v>
      </c>
      <c r="E2111" s="6">
        <f>IFERROR(__xludf.DUMMYFUNCTION("""COMPUTED_VALUE"""),2.0)</f>
        <v>2</v>
      </c>
      <c r="F2111" s="6">
        <f>IFERROR(__xludf.DUMMYFUNCTION("""COMPUTED_VALUE"""),2.0)</f>
        <v>2</v>
      </c>
      <c r="G2111" s="6">
        <f>IFERROR(__xludf.DUMMYFUNCTION("""COMPUTED_VALUE"""),0.0)</f>
        <v>0</v>
      </c>
      <c r="H2111" s="6" t="str">
        <f>IFERROR(__xludf.DUMMYFUNCTION("""COMPUTED_VALUE"""),"Pcs")</f>
        <v>Pcs</v>
      </c>
      <c r="I2111" s="6" t="str">
        <f>IFERROR(__xludf.DUMMYFUNCTION("""COMPUTED_VALUE"""),"MFH")</f>
        <v>MFH</v>
      </c>
      <c r="J2111" s="6" t="str">
        <f>IFERROR(__xludf.DUMMYFUNCTION("""COMPUTED_VALUE"""),"BSC")</f>
        <v>BSC</v>
      </c>
      <c r="K2111" s="6" t="str">
        <f>IFERROR(__xludf.DUMMYFUNCTION("""COMPUTED_VALUE"""),"SPR/06/25/013")</f>
        <v>SPR/06/25/013</v>
      </c>
      <c r="L2111" s="13">
        <f>IFERROR(__xludf.DUMMYFUNCTION("""COMPUTED_VALUE"""),45833.0)</f>
        <v>45833</v>
      </c>
    </row>
    <row r="2112">
      <c r="A2112" s="6" t="str">
        <f>IFERROR(__xludf.DUMMYFUNCTION("""COMPUTED_VALUE"""),"ANO")</f>
        <v>ANO</v>
      </c>
      <c r="B2112" s="6" t="str">
        <f>IFERROR(__xludf.DUMMYFUNCTION("""COMPUTED_VALUE"""),"ENG")</f>
        <v>ENG</v>
      </c>
      <c r="C2112" s="6" t="str">
        <f>IFERROR(__xludf.DUMMYFUNCTION("""COMPUTED_VALUE"""),"-")</f>
        <v>-</v>
      </c>
      <c r="D2112" s="6" t="str">
        <f>IFERROR(__xludf.DUMMYFUNCTION("""COMPUTED_VALUE"""),"Ball Bearing")</f>
        <v>Ball Bearing</v>
      </c>
      <c r="E2112" s="6">
        <f>IFERROR(__xludf.DUMMYFUNCTION("""COMPUTED_VALUE"""),12.0)</f>
        <v>12</v>
      </c>
      <c r="F2112" s="6">
        <f>IFERROR(__xludf.DUMMYFUNCTION("""COMPUTED_VALUE"""),12.0)</f>
        <v>12</v>
      </c>
      <c r="G2112" s="6">
        <f>IFERROR(__xludf.DUMMYFUNCTION("""COMPUTED_VALUE"""),0.0)</f>
        <v>0</v>
      </c>
      <c r="H2112" s="6" t="str">
        <f>IFERROR(__xludf.DUMMYFUNCTION("""COMPUTED_VALUE"""),"Pcs")</f>
        <v>Pcs</v>
      </c>
      <c r="I2112" s="6" t="str">
        <f>IFERROR(__xludf.DUMMYFUNCTION("""COMPUTED_VALUE"""),"MFH")</f>
        <v>MFH</v>
      </c>
      <c r="J2112" s="6" t="str">
        <f>IFERROR(__xludf.DUMMYFUNCTION("""COMPUTED_VALUE"""),"Washing")</f>
        <v>Washing</v>
      </c>
      <c r="K2112" s="6" t="str">
        <f>IFERROR(__xludf.DUMMYFUNCTION("""COMPUTED_VALUE"""),"SPR/06/25/013")</f>
        <v>SPR/06/25/013</v>
      </c>
      <c r="L2112" s="13">
        <f>IFERROR(__xludf.DUMMYFUNCTION("""COMPUTED_VALUE"""),45833.0)</f>
        <v>45833</v>
      </c>
    </row>
    <row r="2113">
      <c r="A2113" s="6" t="str">
        <f>IFERROR(__xludf.DUMMYFUNCTION("""COMPUTED_VALUE"""),"ANO")</f>
        <v>ANO</v>
      </c>
      <c r="B2113" s="6" t="str">
        <f>IFERROR(__xludf.DUMMYFUNCTION("""COMPUTED_VALUE"""),"ENG")</f>
        <v>ENG</v>
      </c>
      <c r="C2113" s="6" t="str">
        <f>IFERROR(__xludf.DUMMYFUNCTION("""COMPUTED_VALUE"""),"O-52854-00")</f>
        <v>O-52854-00</v>
      </c>
      <c r="D2113" s="6" t="str">
        <f>IFERROR(__xludf.DUMMYFUNCTION("""COMPUTED_VALUE"""),"Safety Sensor GG505S GIGA-4015-US; IFM; ;")</f>
        <v>Safety Sensor GG505S GIGA-4015-US; IFM; ;</v>
      </c>
      <c r="E2113" s="6">
        <f>IFERROR(__xludf.DUMMYFUNCTION("""COMPUTED_VALUE"""),1.0)</f>
        <v>1</v>
      </c>
      <c r="F2113" s="6">
        <f>IFERROR(__xludf.DUMMYFUNCTION("""COMPUTED_VALUE"""),1.0)</f>
        <v>1</v>
      </c>
      <c r="G2113" s="6">
        <f>IFERROR(__xludf.DUMMYFUNCTION("""COMPUTED_VALUE"""),0.0)</f>
        <v>0</v>
      </c>
      <c r="H2113" s="6" t="str">
        <f>IFERROR(__xludf.DUMMYFUNCTION("""COMPUTED_VALUE"""),"Pcs")</f>
        <v>Pcs</v>
      </c>
      <c r="I2113" s="6" t="str">
        <f>IFERROR(__xludf.DUMMYFUNCTION("""COMPUTED_VALUE"""),"MFH")</f>
        <v>MFH</v>
      </c>
      <c r="J2113" s="6" t="str">
        <f>IFERROR(__xludf.DUMMYFUNCTION("""COMPUTED_VALUE"""),"Autoclave")</f>
        <v>Autoclave</v>
      </c>
      <c r="K2113" s="6" t="str">
        <f>IFERROR(__xludf.DUMMYFUNCTION("""COMPUTED_VALUE"""),"SPR/06/25/014")</f>
        <v>SPR/06/25/014</v>
      </c>
      <c r="L2113" s="13">
        <f>IFERROR(__xludf.DUMMYFUNCTION("""COMPUTED_VALUE"""),45833.0)</f>
        <v>45833</v>
      </c>
    </row>
    <row r="2114">
      <c r="A2114" s="6" t="str">
        <f>IFERROR(__xludf.DUMMYFUNCTION("""COMPUTED_VALUE"""),"ANO")</f>
        <v>ANO</v>
      </c>
      <c r="B2114" s="6" t="str">
        <f>IFERROR(__xludf.DUMMYFUNCTION("""COMPUTED_VALUE"""),"ENG")</f>
        <v>ENG</v>
      </c>
      <c r="C2114" s="6" t="str">
        <f>IFERROR(__xludf.DUMMYFUNCTION("""COMPUTED_VALUE"""),"P-16474-00")</f>
        <v>P-16474-00</v>
      </c>
      <c r="D2114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E2114" s="6">
        <f>IFERROR(__xludf.DUMMYFUNCTION("""COMPUTED_VALUE"""),1.0)</f>
        <v>1</v>
      </c>
      <c r="F2114" s="6">
        <f>IFERROR(__xludf.DUMMYFUNCTION("""COMPUTED_VALUE"""),1.0)</f>
        <v>1</v>
      </c>
      <c r="G2114" s="6">
        <f>IFERROR(__xludf.DUMMYFUNCTION("""COMPUTED_VALUE"""),0.0)</f>
        <v>0</v>
      </c>
      <c r="H2114" s="6" t="str">
        <f>IFERROR(__xludf.DUMMYFUNCTION("""COMPUTED_VALUE"""),"Pcs")</f>
        <v>Pcs</v>
      </c>
      <c r="I2114" s="6" t="str">
        <f>IFERROR(__xludf.DUMMYFUNCTION("""COMPUTED_VALUE"""),"MFH")</f>
        <v>MFH</v>
      </c>
      <c r="J2114" s="6" t="str">
        <f>IFERROR(__xludf.DUMMYFUNCTION("""COMPUTED_VALUE"""),"-")</f>
        <v>-</v>
      </c>
      <c r="K2114" s="6" t="str">
        <f>IFERROR(__xludf.DUMMYFUNCTION("""COMPUTED_VALUE"""),"SPR/06/25/014")</f>
        <v>SPR/06/25/014</v>
      </c>
      <c r="L2114" s="13">
        <f>IFERROR(__xludf.DUMMYFUNCTION("""COMPUTED_VALUE"""),45833.0)</f>
        <v>45833</v>
      </c>
    </row>
    <row r="2115">
      <c r="A2115" s="6" t="str">
        <f>IFERROR(__xludf.DUMMYFUNCTION("""COMPUTED_VALUE"""),"ANO")</f>
        <v>ANO</v>
      </c>
      <c r="B2115" s="6" t="str">
        <f>IFERROR(__xludf.DUMMYFUNCTION("""COMPUTED_VALUE"""),"ENG")</f>
        <v>ENG</v>
      </c>
      <c r="C2115" s="6" t="str">
        <f>IFERROR(__xludf.DUMMYFUNCTION("""COMPUTED_VALUE"""),"Q-10249-00")</f>
        <v>Q-10249-00</v>
      </c>
      <c r="D2115" s="6" t="str">
        <f>IFERROR(__xludf.DUMMYFUNCTION("""COMPUTED_VALUE"""),"Lem Power Glue")</f>
        <v>Lem Power Glue</v>
      </c>
      <c r="E2115" s="6">
        <f>IFERROR(__xludf.DUMMYFUNCTION("""COMPUTED_VALUE"""),1.0)</f>
        <v>1</v>
      </c>
      <c r="F2115" s="6">
        <f>IFERROR(__xludf.DUMMYFUNCTION("""COMPUTED_VALUE"""),1.0)</f>
        <v>1</v>
      </c>
      <c r="G2115" s="6">
        <f>IFERROR(__xludf.DUMMYFUNCTION("""COMPUTED_VALUE"""),0.0)</f>
        <v>0</v>
      </c>
      <c r="H2115" s="6" t="str">
        <f>IFERROR(__xludf.DUMMYFUNCTION("""COMPUTED_VALUE"""),"Pcs")</f>
        <v>Pcs</v>
      </c>
      <c r="I2115" s="6" t="str">
        <f>IFERROR(__xludf.DUMMYFUNCTION("""COMPUTED_VALUE"""),"MFH")</f>
        <v>MFH</v>
      </c>
      <c r="J2115" s="6" t="str">
        <f>IFERROR(__xludf.DUMMYFUNCTION("""COMPUTED_VALUE"""),"-")</f>
        <v>-</v>
      </c>
      <c r="K2115" s="6" t="str">
        <f>IFERROR(__xludf.DUMMYFUNCTION("""COMPUTED_VALUE"""),"SPR/06/25/014")</f>
        <v>SPR/06/25/014</v>
      </c>
      <c r="L2115" s="13">
        <f>IFERROR(__xludf.DUMMYFUNCTION("""COMPUTED_VALUE"""),45833.0)</f>
        <v>45833</v>
      </c>
    </row>
    <row r="2116">
      <c r="A2116" s="6" t="str">
        <f>IFERROR(__xludf.DUMMYFUNCTION("""COMPUTED_VALUE"""),"MFH")</f>
        <v>MFH</v>
      </c>
      <c r="B2116" s="6" t="str">
        <f>IFERROR(__xludf.DUMMYFUNCTION("""COMPUTED_VALUE"""),"ENG")</f>
        <v>ENG</v>
      </c>
      <c r="C2116" s="6" t="str">
        <f>IFERROR(__xludf.DUMMYFUNCTION("""COMPUTED_VALUE"""),"T-80109-00")</f>
        <v>T-80109-00</v>
      </c>
      <c r="D2116" s="6" t="str">
        <f>IFERROR(__xludf.DUMMYFUNCTION("""COMPUTED_VALUE"""),"Cellotape Kertas 1 inch warna Putih")</f>
        <v>Cellotape Kertas 1 inch warna Putih</v>
      </c>
      <c r="E2116" s="6">
        <f>IFERROR(__xludf.DUMMYFUNCTION("""COMPUTED_VALUE"""),1.0)</f>
        <v>1</v>
      </c>
      <c r="F2116" s="6">
        <f>IFERROR(__xludf.DUMMYFUNCTION("""COMPUTED_VALUE"""),1.0)</f>
        <v>1</v>
      </c>
      <c r="G2116" s="6">
        <f>IFERROR(__xludf.DUMMYFUNCTION("""COMPUTED_VALUE"""),0.0)</f>
        <v>0</v>
      </c>
      <c r="H2116" s="6" t="str">
        <f>IFERROR(__xludf.DUMMYFUNCTION("""COMPUTED_VALUE"""),"Pcs")</f>
        <v>Pcs</v>
      </c>
      <c r="I2116" s="6" t="str">
        <f>IFERROR(__xludf.DUMMYFUNCTION("""COMPUTED_VALUE"""),"MFH")</f>
        <v>MFH</v>
      </c>
      <c r="J2116" s="6" t="str">
        <f>IFERROR(__xludf.DUMMYFUNCTION("""COMPUTED_VALUE"""),"FD")</f>
        <v>FD</v>
      </c>
      <c r="K2116" s="6" t="str">
        <f>IFERROR(__xludf.DUMMYFUNCTION("""COMPUTED_VALUE"""),"SPR/06/25/015")</f>
        <v>SPR/06/25/015</v>
      </c>
      <c r="L2116" s="13">
        <f>IFERROR(__xludf.DUMMYFUNCTION("""COMPUTED_VALUE"""),45833.0)</f>
        <v>45833</v>
      </c>
    </row>
    <row r="2117">
      <c r="A2117" s="6" t="str">
        <f>IFERROR(__xludf.DUMMYFUNCTION("""COMPUTED_VALUE"""),"ROS")</f>
        <v>ROS</v>
      </c>
      <c r="B2117" s="6" t="str">
        <f>IFERROR(__xludf.DUMMYFUNCTION("""COMPUTED_VALUE"""),"ENG")</f>
        <v>ENG</v>
      </c>
      <c r="C2117" s="6" t="str">
        <f>IFERROR(__xludf.DUMMYFUNCTION("""COMPUTED_VALUE"""),"P-19410-00")</f>
        <v>P-19410-00</v>
      </c>
      <c r="D2117" s="6" t="str">
        <f>IFERROR(__xludf.DUMMYFUNCTION("""COMPUTED_VALUE"""),"General - Bearing NATA5902; IKO; -; 1 pc")</f>
        <v>General - Bearing NATA5902; IKO; -; 1 pc</v>
      </c>
      <c r="E2117" s="6">
        <f>IFERROR(__xludf.DUMMYFUNCTION("""COMPUTED_VALUE"""),2.0)</f>
        <v>2</v>
      </c>
      <c r="F2117" s="6">
        <f>IFERROR(__xludf.DUMMYFUNCTION("""COMPUTED_VALUE"""),2.0)</f>
        <v>2</v>
      </c>
      <c r="G2117" s="6">
        <f>IFERROR(__xludf.DUMMYFUNCTION("""COMPUTED_VALUE"""),0.0)</f>
        <v>0</v>
      </c>
      <c r="H2117" s="6" t="str">
        <f>IFERROR(__xludf.DUMMYFUNCTION("""COMPUTED_VALUE"""),"Pcs")</f>
        <v>Pcs</v>
      </c>
      <c r="I2117" s="6" t="str">
        <f>IFERROR(__xludf.DUMMYFUNCTION("""COMPUTED_VALUE"""),"MFH")</f>
        <v>MFH</v>
      </c>
      <c r="J2117" s="6" t="str">
        <f>IFERROR(__xludf.DUMMYFUNCTION("""COMPUTED_VALUE"""),"Capping")</f>
        <v>Capping</v>
      </c>
      <c r="K2117" s="6" t="str">
        <f>IFERROR(__xludf.DUMMYFUNCTION("""COMPUTED_VALUE"""),"SPR/06/25/016")</f>
        <v>SPR/06/25/016</v>
      </c>
      <c r="L2117" s="13">
        <f>IFERROR(__xludf.DUMMYFUNCTION("""COMPUTED_VALUE"""),45833.0)</f>
        <v>45833</v>
      </c>
    </row>
    <row r="2118">
      <c r="A2118" s="6" t="str">
        <f>IFERROR(__xludf.DUMMYFUNCTION("""COMPUTED_VALUE"""),"INN")</f>
        <v>INN</v>
      </c>
      <c r="B2118" s="6" t="str">
        <f>IFERROR(__xludf.DUMMYFUNCTION("""COMPUTED_VALUE"""),"ENG")</f>
        <v>ENG</v>
      </c>
      <c r="C2118" s="6" t="str">
        <f>IFERROR(__xludf.DUMMYFUNCTION("""COMPUTED_VALUE"""),"O-16715-00")</f>
        <v>O-16715-00</v>
      </c>
      <c r="D2118" s="6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E2118" s="6">
        <f>IFERROR(__xludf.DUMMYFUNCTION("""COMPUTED_VALUE"""),1.0)</f>
        <v>1</v>
      </c>
      <c r="F2118" s="6">
        <f>IFERROR(__xludf.DUMMYFUNCTION("""COMPUTED_VALUE"""),1.0)</f>
        <v>1</v>
      </c>
      <c r="G2118" s="6">
        <f>IFERROR(__xludf.DUMMYFUNCTION("""COMPUTED_VALUE"""),0.0)</f>
        <v>0</v>
      </c>
      <c r="H2118" s="6" t="str">
        <f>IFERROR(__xludf.DUMMYFUNCTION("""COMPUTED_VALUE"""),"Pcs")</f>
        <v>Pcs</v>
      </c>
      <c r="I2118" s="6" t="str">
        <f>IFERROR(__xludf.DUMMYFUNCTION("""COMPUTED_VALUE"""),"MFH")</f>
        <v>MFH</v>
      </c>
      <c r="J2118" s="6" t="str">
        <f>IFERROR(__xludf.DUMMYFUNCTION("""COMPUTED_VALUE"""),"Mixing")</f>
        <v>Mixing</v>
      </c>
      <c r="K2118" s="6" t="str">
        <f>IFERROR(__xludf.DUMMYFUNCTION("""COMPUTED_VALUE"""),"SPR/06/25/017")</f>
        <v>SPR/06/25/017</v>
      </c>
      <c r="L2118" s="13">
        <f>IFERROR(__xludf.DUMMYFUNCTION("""COMPUTED_VALUE"""),45833.0)</f>
        <v>45833</v>
      </c>
    </row>
    <row r="2119">
      <c r="A2119" s="6" t="str">
        <f>IFERROR(__xludf.DUMMYFUNCTION("""COMPUTED_VALUE"""),"INN")</f>
        <v>INN</v>
      </c>
      <c r="B2119" s="6" t="str">
        <f>IFERROR(__xludf.DUMMYFUNCTION("""COMPUTED_VALUE"""),"ENG")</f>
        <v>ENG</v>
      </c>
      <c r="C2119" s="6" t="str">
        <f>IFERROR(__xludf.DUMMYFUNCTION("""COMPUTED_VALUE"""),"O-19822-00")</f>
        <v>O-19822-00</v>
      </c>
      <c r="D2119" s="6" t="str">
        <f>IFERROR(__xludf.DUMMYFUNCTION("""COMPUTED_VALUE"""),"Flexible Front End 916 - (125.0 - 125.0)")</f>
        <v>Flexible Front End 916 - (125.0 - 125.0)</v>
      </c>
      <c r="E2119" s="6">
        <f>IFERROR(__xludf.DUMMYFUNCTION("""COMPUTED_VALUE"""),1.0)</f>
        <v>1</v>
      </c>
      <c r="F2119" s="6">
        <f>IFERROR(__xludf.DUMMYFUNCTION("""COMPUTED_VALUE"""),1.0)</f>
        <v>1</v>
      </c>
      <c r="G2119" s="6">
        <f>IFERROR(__xludf.DUMMYFUNCTION("""COMPUTED_VALUE"""),0.0)</f>
        <v>0</v>
      </c>
      <c r="H2119" s="6" t="str">
        <f>IFERROR(__xludf.DUMMYFUNCTION("""COMPUTED_VALUE"""),"Pcs")</f>
        <v>Pcs</v>
      </c>
      <c r="I2119" s="6" t="str">
        <f>IFERROR(__xludf.DUMMYFUNCTION("""COMPUTED_VALUE"""),"MFH")</f>
        <v>MFH</v>
      </c>
      <c r="J2119" s="6" t="str">
        <f>IFERROR(__xludf.DUMMYFUNCTION("""COMPUTED_VALUE"""),"FD")</f>
        <v>FD</v>
      </c>
      <c r="K2119" s="6" t="str">
        <f>IFERROR(__xludf.DUMMYFUNCTION("""COMPUTED_VALUE"""),"SPR/06/25/017")</f>
        <v>SPR/06/25/017</v>
      </c>
      <c r="L2119" s="13">
        <f>IFERROR(__xludf.DUMMYFUNCTION("""COMPUTED_VALUE"""),45833.0)</f>
        <v>45833</v>
      </c>
    </row>
    <row r="2120">
      <c r="A2120" s="6" t="str">
        <f>IFERROR(__xludf.DUMMYFUNCTION("""COMPUTED_VALUE"""),"INN")</f>
        <v>INN</v>
      </c>
      <c r="B2120" s="6" t="str">
        <f>IFERROR(__xludf.DUMMYFUNCTION("""COMPUTED_VALUE"""),"ENG")</f>
        <v>ENG</v>
      </c>
      <c r="C2120" s="6" t="str">
        <f>IFERROR(__xludf.DUMMYFUNCTION("""COMPUTED_VALUE"""),"Q-60501-00")</f>
        <v>Q-60501-00</v>
      </c>
      <c r="D2120" s="6" t="str">
        <f>IFERROR(__xludf.DUMMYFUNCTION("""COMPUTED_VALUE"""),"Silicone Sealant;Silglaze;Type N10 Clear;pack size per pcs")</f>
        <v>Silicone Sealant;Silglaze;Type N10 Clear;pack size per pcs</v>
      </c>
      <c r="E2120" s="6">
        <f>IFERROR(__xludf.DUMMYFUNCTION("""COMPUTED_VALUE"""),2.0)</f>
        <v>2</v>
      </c>
      <c r="F2120" s="6">
        <f>IFERROR(__xludf.DUMMYFUNCTION("""COMPUTED_VALUE"""),2.0)</f>
        <v>2</v>
      </c>
      <c r="G2120" s="6">
        <f>IFERROR(__xludf.DUMMYFUNCTION("""COMPUTED_VALUE"""),0.0)</f>
        <v>0</v>
      </c>
      <c r="H2120" s="6" t="str">
        <f>IFERROR(__xludf.DUMMYFUNCTION("""COMPUTED_VALUE"""),"Pcs")</f>
        <v>Pcs</v>
      </c>
      <c r="I2120" s="6" t="str">
        <f>IFERROR(__xludf.DUMMYFUNCTION("""COMPUTED_VALUE"""),"MFH")</f>
        <v>MFH</v>
      </c>
      <c r="J2120" s="6" t="str">
        <f>IFERROR(__xludf.DUMMYFUNCTION("""COMPUTED_VALUE"""),"-")</f>
        <v>-</v>
      </c>
      <c r="K2120" s="6" t="str">
        <f>IFERROR(__xludf.DUMMYFUNCTION("""COMPUTED_VALUE"""),"SPR/06/25/018")</f>
        <v>SPR/06/25/018</v>
      </c>
      <c r="L2120" s="13">
        <f>IFERROR(__xludf.DUMMYFUNCTION("""COMPUTED_VALUE"""),45833.0)</f>
        <v>45833</v>
      </c>
    </row>
    <row r="2121">
      <c r="A2121" s="6" t="str">
        <f>IFERROR(__xludf.DUMMYFUNCTION("""COMPUTED_VALUE"""),"INN")</f>
        <v>INN</v>
      </c>
      <c r="B2121" s="6" t="str">
        <f>IFERROR(__xludf.DUMMYFUNCTION("""COMPUTED_VALUE"""),"ENG")</f>
        <v>ENG</v>
      </c>
      <c r="C2121" s="6" t="str">
        <f>IFERROR(__xludf.DUMMYFUNCTION("""COMPUTED_VALUE"""),"O-15931-00")</f>
        <v>O-15931-00</v>
      </c>
      <c r="D2121" s="6" t="str">
        <f>IFERROR(__xludf.DUMMYFUNCTION("""COMPUTED_VALUE"""),"Double Tape 3M 1"" Merah")</f>
        <v>Double Tape 3M 1" Merah</v>
      </c>
      <c r="E2121" s="6">
        <f>IFERROR(__xludf.DUMMYFUNCTION("""COMPUTED_VALUE"""),1.0)</f>
        <v>1</v>
      </c>
      <c r="F2121" s="6">
        <f>IFERROR(__xludf.DUMMYFUNCTION("""COMPUTED_VALUE"""),1.0)</f>
        <v>1</v>
      </c>
      <c r="G2121" s="6">
        <f>IFERROR(__xludf.DUMMYFUNCTION("""COMPUTED_VALUE"""),0.0)</f>
        <v>0</v>
      </c>
      <c r="H2121" s="6" t="str">
        <f>IFERROR(__xludf.DUMMYFUNCTION("""COMPUTED_VALUE"""),"Pcs")</f>
        <v>Pcs</v>
      </c>
      <c r="I2121" s="6" t="str">
        <f>IFERROR(__xludf.DUMMYFUNCTION("""COMPUTED_VALUE"""),"MFH")</f>
        <v>MFH</v>
      </c>
      <c r="J2121" s="6" t="str">
        <f>IFERROR(__xludf.DUMMYFUNCTION("""COMPUTED_VALUE"""),"Coating")</f>
        <v>Coating</v>
      </c>
      <c r="K2121" s="6" t="str">
        <f>IFERROR(__xludf.DUMMYFUNCTION("""COMPUTED_VALUE"""),"SPR/06/25/018")</f>
        <v>SPR/06/25/018</v>
      </c>
      <c r="L2121" s="13">
        <f>IFERROR(__xludf.DUMMYFUNCTION("""COMPUTED_VALUE"""),45833.0)</f>
        <v>45833</v>
      </c>
    </row>
    <row r="2122">
      <c r="A2122" s="6" t="str">
        <f>IFERROR(__xludf.DUMMYFUNCTION("""COMPUTED_VALUE"""),"SFH")</f>
        <v>SFH</v>
      </c>
      <c r="B2122" s="6" t="str">
        <f>IFERROR(__xludf.DUMMYFUNCTION("""COMPUTED_VALUE"""),"ENG")</f>
        <v>ENG</v>
      </c>
      <c r="C2122" s="6" t="str">
        <f>IFERROR(__xludf.DUMMYFUNCTION("""COMPUTED_VALUE"""),"Q-10153-00")</f>
        <v>Q-10153-00</v>
      </c>
      <c r="D2122" s="6" t="str">
        <f>IFERROR(__xludf.DUMMYFUNCTION("""COMPUTED_VALUE"""),"Roller cat 110mm")</f>
        <v>Roller cat 110mm</v>
      </c>
      <c r="E2122" s="6">
        <f>IFERROR(__xludf.DUMMYFUNCTION("""COMPUTED_VALUE"""),2.0)</f>
        <v>2</v>
      </c>
      <c r="F2122" s="6">
        <f>IFERROR(__xludf.DUMMYFUNCTION("""COMPUTED_VALUE"""),2.0)</f>
        <v>2</v>
      </c>
      <c r="G2122" s="6">
        <f>IFERROR(__xludf.DUMMYFUNCTION("""COMPUTED_VALUE"""),0.0)</f>
        <v>0</v>
      </c>
      <c r="H2122" s="6" t="str">
        <f>IFERROR(__xludf.DUMMYFUNCTION("""COMPUTED_VALUE"""),"Pcs")</f>
        <v>Pcs</v>
      </c>
      <c r="I2122" s="6" t="str">
        <f>IFERROR(__xludf.DUMMYFUNCTION("""COMPUTED_VALUE"""),"MFH")</f>
        <v>MFH</v>
      </c>
      <c r="J2122" s="6" t="str">
        <f>IFERROR(__xludf.DUMMYFUNCTION("""COMPUTED_VALUE"""),"Building")</f>
        <v>Building</v>
      </c>
      <c r="K2122" s="6" t="str">
        <f>IFERROR(__xludf.DUMMYFUNCTION("""COMPUTED_VALUE"""),"SPR/06/25/019")</f>
        <v>SPR/06/25/019</v>
      </c>
      <c r="L2122" s="13">
        <f>IFERROR(__xludf.DUMMYFUNCTION("""COMPUTED_VALUE"""),45833.0)</f>
        <v>45833</v>
      </c>
    </row>
    <row r="2123">
      <c r="A2123" s="6" t="str">
        <f>IFERROR(__xludf.DUMMYFUNCTION("""COMPUTED_VALUE"""),"SFH")</f>
        <v>SFH</v>
      </c>
      <c r="B2123" s="6" t="str">
        <f>IFERROR(__xludf.DUMMYFUNCTION("""COMPUTED_VALUE"""),"ENG")</f>
        <v>ENG</v>
      </c>
      <c r="C2123" s="6" t="str">
        <f>IFERROR(__xludf.DUMMYFUNCTION("""COMPUTED_VALUE"""),"P-15852-00")</f>
        <v>P-15852-00</v>
      </c>
      <c r="D2123" s="6" t="str">
        <f>IFERROR(__xludf.DUMMYFUNCTION("""COMPUTED_VALUE"""),"AMPLAS EAGLE 500")</f>
        <v>AMPLAS EAGLE 500</v>
      </c>
      <c r="E2123" s="6">
        <f>IFERROR(__xludf.DUMMYFUNCTION("""COMPUTED_VALUE"""),2.0)</f>
        <v>2</v>
      </c>
      <c r="F2123" s="6">
        <f>IFERROR(__xludf.DUMMYFUNCTION("""COMPUTED_VALUE"""),2.0)</f>
        <v>2</v>
      </c>
      <c r="G2123" s="6">
        <f>IFERROR(__xludf.DUMMYFUNCTION("""COMPUTED_VALUE"""),0.0)</f>
        <v>0</v>
      </c>
      <c r="H2123" s="6" t="str">
        <f>IFERROR(__xludf.DUMMYFUNCTION("""COMPUTED_VALUE"""),"Pcs")</f>
        <v>Pcs</v>
      </c>
      <c r="I2123" s="6" t="str">
        <f>IFERROR(__xludf.DUMMYFUNCTION("""COMPUTED_VALUE"""),"MFH")</f>
        <v>MFH</v>
      </c>
      <c r="J2123" s="6" t="str">
        <f>IFERROR(__xludf.DUMMYFUNCTION("""COMPUTED_VALUE"""),"Building")</f>
        <v>Building</v>
      </c>
      <c r="K2123" s="6" t="str">
        <f>IFERROR(__xludf.DUMMYFUNCTION("""COMPUTED_VALUE"""),"SPR/06/25/019")</f>
        <v>SPR/06/25/019</v>
      </c>
      <c r="L2123" s="13">
        <f>IFERROR(__xludf.DUMMYFUNCTION("""COMPUTED_VALUE"""),45833.0)</f>
        <v>45833</v>
      </c>
    </row>
    <row r="2124">
      <c r="A2124" s="6" t="str">
        <f>IFERROR(__xludf.DUMMYFUNCTION("""COMPUTED_VALUE"""),"MOB")</f>
        <v>MOB</v>
      </c>
      <c r="B2124" s="6" t="str">
        <f>IFERROR(__xludf.DUMMYFUNCTION("""COMPUTED_VALUE"""),"ENG")</f>
        <v>ENG</v>
      </c>
      <c r="C2124" s="6" t="str">
        <f>IFERROR(__xludf.DUMMYFUNCTION("""COMPUTED_VALUE"""),"P-15938-00")</f>
        <v>P-15938-00</v>
      </c>
      <c r="D2124" s="6" t="str">
        <f>IFERROR(__xludf.DUMMYFUNCTION("""COMPUTED_VALUE"""),"Water Hardness Test Kit; ; ;")</f>
        <v>Water Hardness Test Kit; ; ;</v>
      </c>
      <c r="E2124" s="6">
        <f>IFERROR(__xludf.DUMMYFUNCTION("""COMPUTED_VALUE"""),1.0)</f>
        <v>1</v>
      </c>
      <c r="F2124" s="6">
        <f>IFERROR(__xludf.DUMMYFUNCTION("""COMPUTED_VALUE"""),1.0)</f>
        <v>1</v>
      </c>
      <c r="G2124" s="6">
        <f>IFERROR(__xludf.DUMMYFUNCTION("""COMPUTED_VALUE"""),0.0)</f>
        <v>0</v>
      </c>
      <c r="H2124" s="6" t="str">
        <f>IFERROR(__xludf.DUMMYFUNCTION("""COMPUTED_VALUE"""),"Pcs")</f>
        <v>Pcs</v>
      </c>
      <c r="I2124" s="6" t="str">
        <f>IFERROR(__xludf.DUMMYFUNCTION("""COMPUTED_VALUE"""),"MFH")</f>
        <v>MFH</v>
      </c>
      <c r="J2124" s="6" t="str">
        <f>IFERROR(__xludf.DUMMYFUNCTION("""COMPUTED_VALUE"""),"PWG")</f>
        <v>PWG</v>
      </c>
      <c r="K2124" s="6" t="str">
        <f>IFERROR(__xludf.DUMMYFUNCTION("""COMPUTED_VALUE"""),"SPR/06/25/020")</f>
        <v>SPR/06/25/020</v>
      </c>
      <c r="L2124" s="13">
        <f>IFERROR(__xludf.DUMMYFUNCTION("""COMPUTED_VALUE"""),45833.0)</f>
        <v>45833</v>
      </c>
    </row>
    <row r="2125">
      <c r="A2125" s="6" t="str">
        <f>IFERROR(__xludf.DUMMYFUNCTION("""COMPUTED_VALUE"""),"ANO")</f>
        <v>ANO</v>
      </c>
      <c r="B2125" s="6" t="str">
        <f>IFERROR(__xludf.DUMMYFUNCTION("""COMPUTED_VALUE"""),"ENG")</f>
        <v>ENG</v>
      </c>
      <c r="C2125" s="6" t="str">
        <f>IFERROR(__xludf.DUMMYFUNCTION("""COMPUTED_VALUE"""),"P-15852-00")</f>
        <v>P-15852-00</v>
      </c>
      <c r="D2125" s="6" t="str">
        <f>IFERROR(__xludf.DUMMYFUNCTION("""COMPUTED_VALUE"""),"AMPLAS EAGLE 500")</f>
        <v>AMPLAS EAGLE 500</v>
      </c>
      <c r="E2125" s="6">
        <f>IFERROR(__xludf.DUMMYFUNCTION("""COMPUTED_VALUE"""),1.0)</f>
        <v>1</v>
      </c>
      <c r="F2125" s="6">
        <f>IFERROR(__xludf.DUMMYFUNCTION("""COMPUTED_VALUE"""),1.0)</f>
        <v>1</v>
      </c>
      <c r="G2125" s="6">
        <f>IFERROR(__xludf.DUMMYFUNCTION("""COMPUTED_VALUE"""),0.0)</f>
        <v>0</v>
      </c>
      <c r="H2125" s="6" t="str">
        <f>IFERROR(__xludf.DUMMYFUNCTION("""COMPUTED_VALUE"""),"Pcs")</f>
        <v>Pcs</v>
      </c>
      <c r="I2125" s="6" t="str">
        <f>IFERROR(__xludf.DUMMYFUNCTION("""COMPUTED_VALUE"""),"MFH")</f>
        <v>MFH</v>
      </c>
      <c r="J2125" s="6" t="str">
        <f>IFERROR(__xludf.DUMMYFUNCTION("""COMPUTED_VALUE"""),"FD")</f>
        <v>FD</v>
      </c>
      <c r="K2125" s="6" t="str">
        <f>IFERROR(__xludf.DUMMYFUNCTION("""COMPUTED_VALUE"""),"SPR/06/25/021")</f>
        <v>SPR/06/25/021</v>
      </c>
      <c r="L2125" s="13">
        <f>IFERROR(__xludf.DUMMYFUNCTION("""COMPUTED_VALUE"""),45833.0)</f>
        <v>45833</v>
      </c>
    </row>
    <row r="2126">
      <c r="A2126" s="6" t="str">
        <f>IFERROR(__xludf.DUMMYFUNCTION("""COMPUTED_VALUE"""),"ANO")</f>
        <v>ANO</v>
      </c>
      <c r="B2126" s="6" t="str">
        <f>IFERROR(__xludf.DUMMYFUNCTION("""COMPUTED_VALUE"""),"ENG")</f>
        <v>ENG</v>
      </c>
      <c r="C2126" s="6" t="str">
        <f>IFERROR(__xludf.DUMMYFUNCTION("""COMPUTED_VALUE"""),"Q-60501-00")</f>
        <v>Q-60501-00</v>
      </c>
      <c r="D2126" s="6" t="str">
        <f>IFERROR(__xludf.DUMMYFUNCTION("""COMPUTED_VALUE"""),"Silicone Sealant;Silglaze;Type N10 Clear;pack size per pcs")</f>
        <v>Silicone Sealant;Silglaze;Type N10 Clear;pack size per pcs</v>
      </c>
      <c r="E2126" s="6">
        <f>IFERROR(__xludf.DUMMYFUNCTION("""COMPUTED_VALUE"""),1.0)</f>
        <v>1</v>
      </c>
      <c r="F2126" s="6">
        <f>IFERROR(__xludf.DUMMYFUNCTION("""COMPUTED_VALUE"""),1.0)</f>
        <v>1</v>
      </c>
      <c r="G2126" s="6">
        <f>IFERROR(__xludf.DUMMYFUNCTION("""COMPUTED_VALUE"""),0.0)</f>
        <v>0</v>
      </c>
      <c r="H2126" s="6" t="str">
        <f>IFERROR(__xludf.DUMMYFUNCTION("""COMPUTED_VALUE"""),"Pcs")</f>
        <v>Pcs</v>
      </c>
      <c r="I2126" s="6" t="str">
        <f>IFERROR(__xludf.DUMMYFUNCTION("""COMPUTED_VALUE"""),"MFH")</f>
        <v>MFH</v>
      </c>
      <c r="J2126" s="6" t="str">
        <f>IFERROR(__xludf.DUMMYFUNCTION("""COMPUTED_VALUE"""),"-")</f>
        <v>-</v>
      </c>
      <c r="K2126" s="6" t="str">
        <f>IFERROR(__xludf.DUMMYFUNCTION("""COMPUTED_VALUE"""),"SPR/06/25/021")</f>
        <v>SPR/06/25/021</v>
      </c>
      <c r="L2126" s="13">
        <f>IFERROR(__xludf.DUMMYFUNCTION("""COMPUTED_VALUE"""),45833.0)</f>
        <v>45833</v>
      </c>
    </row>
    <row r="2127">
      <c r="A2127" s="6" t="str">
        <f>IFERROR(__xludf.DUMMYFUNCTION("""COMPUTED_VALUE"""),"ROS")</f>
        <v>ROS</v>
      </c>
      <c r="B2127" s="6" t="str">
        <f>IFERROR(__xludf.DUMMYFUNCTION("""COMPUTED_VALUE"""),"ENG")</f>
        <v>ENG</v>
      </c>
      <c r="C2127" s="6" t="str">
        <f>IFERROR(__xludf.DUMMYFUNCTION("""COMPUTED_VALUE"""),"Q-10249-00")</f>
        <v>Q-10249-00</v>
      </c>
      <c r="D2127" s="6" t="str">
        <f>IFERROR(__xludf.DUMMYFUNCTION("""COMPUTED_VALUE"""),"Lem Power Glue")</f>
        <v>Lem Power Glue</v>
      </c>
      <c r="E2127" s="6">
        <f>IFERROR(__xludf.DUMMYFUNCTION("""COMPUTED_VALUE"""),2.0)</f>
        <v>2</v>
      </c>
      <c r="F2127" s="6">
        <f>IFERROR(__xludf.DUMMYFUNCTION("""COMPUTED_VALUE"""),1.0)</f>
        <v>1</v>
      </c>
      <c r="G2127" s="6">
        <f>IFERROR(__xludf.DUMMYFUNCTION("""COMPUTED_VALUE"""),0.0)</f>
        <v>0</v>
      </c>
      <c r="H2127" s="6" t="str">
        <f>IFERROR(__xludf.DUMMYFUNCTION("""COMPUTED_VALUE"""),"PCs")</f>
        <v>PCs</v>
      </c>
      <c r="I2127" s="6" t="str">
        <f>IFERROR(__xludf.DUMMYFUNCTION("""COMPUTED_VALUE"""),"MFH")</f>
        <v>MFH</v>
      </c>
      <c r="J2127" s="6" t="str">
        <f>IFERROR(__xludf.DUMMYFUNCTION("""COMPUTED_VALUE"""),"Mlaf")</f>
        <v>Mlaf</v>
      </c>
      <c r="K2127" s="6" t="str">
        <f>IFERROR(__xludf.DUMMYFUNCTION("""COMPUTED_VALUE"""),"SPR/06/25/022")</f>
        <v>SPR/06/25/022</v>
      </c>
      <c r="L2127" s="13">
        <f>IFERROR(__xludf.DUMMYFUNCTION("""COMPUTED_VALUE"""),45833.0)</f>
        <v>45833</v>
      </c>
    </row>
    <row r="2128">
      <c r="A2128" s="6" t="str">
        <f>IFERROR(__xludf.DUMMYFUNCTION("""COMPUTED_VALUE"""),"ROS")</f>
        <v>ROS</v>
      </c>
      <c r="B2128" s="6" t="str">
        <f>IFERROR(__xludf.DUMMYFUNCTION("""COMPUTED_VALUE"""),"ENG")</f>
        <v>ENG</v>
      </c>
      <c r="C2128" s="6" t="str">
        <f>IFERROR(__xludf.DUMMYFUNCTION("""COMPUTED_VALUE"""),"P-19647-00")</f>
        <v>P-19647-00</v>
      </c>
      <c r="D2128" s="6" t="str">
        <f>IFERROR(__xludf.DUMMYFUNCTION("""COMPUTED_VALUE"""),"General - Gasket Ferrule EPDM 6inch; Lokal; -; 1 pc")</f>
        <v>General - Gasket Ferrule EPDM 6inch; Lokal; -; 1 pc</v>
      </c>
      <c r="E2128" s="6">
        <f>IFERROR(__xludf.DUMMYFUNCTION("""COMPUTED_VALUE"""),1.0)</f>
        <v>1</v>
      </c>
      <c r="F2128" s="6">
        <f>IFERROR(__xludf.DUMMYFUNCTION("""COMPUTED_VALUE"""),1.0)</f>
        <v>1</v>
      </c>
      <c r="G2128" s="6">
        <f>IFERROR(__xludf.DUMMYFUNCTION("""COMPUTED_VALUE"""),0.0)</f>
        <v>0</v>
      </c>
      <c r="H2128" s="6" t="str">
        <f>IFERROR(__xludf.DUMMYFUNCTION("""COMPUTED_VALUE"""),"Pcs")</f>
        <v>Pcs</v>
      </c>
      <c r="I2128" s="6" t="str">
        <f>IFERROR(__xludf.DUMMYFUNCTION("""COMPUTED_VALUE"""),"MFH")</f>
        <v>MFH</v>
      </c>
      <c r="J2128" s="6" t="str">
        <f>IFERROR(__xludf.DUMMYFUNCTION("""COMPUTED_VALUE"""),"Mixing")</f>
        <v>Mixing</v>
      </c>
      <c r="K2128" s="6" t="str">
        <f>IFERROR(__xludf.DUMMYFUNCTION("""COMPUTED_VALUE"""),"SPR/06/25/022")</f>
        <v>SPR/06/25/022</v>
      </c>
      <c r="L2128" s="13">
        <f>IFERROR(__xludf.DUMMYFUNCTION("""COMPUTED_VALUE"""),45833.0)</f>
        <v>45833</v>
      </c>
    </row>
    <row r="2129">
      <c r="A2129" s="6" t="str">
        <f>IFERROR(__xludf.DUMMYFUNCTION("""COMPUTED_VALUE"""),"ROS")</f>
        <v>ROS</v>
      </c>
      <c r="B2129" s="6" t="str">
        <f>IFERROR(__xludf.DUMMYFUNCTION("""COMPUTED_VALUE"""),"ENG")</f>
        <v>ENG</v>
      </c>
      <c r="C2129" s="6" t="str">
        <f>IFERROR(__xludf.DUMMYFUNCTION("""COMPUTED_VALUE"""),"P-50288-00")</f>
        <v>P-50288-00</v>
      </c>
      <c r="D2129" s="6" t="str">
        <f>IFERROR(__xludf.DUMMYFUNCTION("""COMPUTED_VALUE"""),"Bola Lampu - Halogen 20 W Osram")</f>
        <v>Bola Lampu - Halogen 20 W Osram</v>
      </c>
      <c r="E2129" s="6">
        <f>IFERROR(__xludf.DUMMYFUNCTION("""COMPUTED_VALUE"""),1.0)</f>
        <v>1</v>
      </c>
      <c r="F2129" s="6">
        <f>IFERROR(__xludf.DUMMYFUNCTION("""COMPUTED_VALUE"""),1.0)</f>
        <v>1</v>
      </c>
      <c r="G2129" s="6">
        <f>IFERROR(__xludf.DUMMYFUNCTION("""COMPUTED_VALUE"""),0.0)</f>
        <v>0</v>
      </c>
      <c r="H2129" s="6" t="str">
        <f>IFERROR(__xludf.DUMMYFUNCTION("""COMPUTED_VALUE"""),"Pcs")</f>
        <v>Pcs</v>
      </c>
      <c r="I2129" s="6" t="str">
        <f>IFERROR(__xludf.DUMMYFUNCTION("""COMPUTED_VALUE"""),"MFH")</f>
        <v>MFH</v>
      </c>
      <c r="J2129" s="6" t="str">
        <f>IFERROR(__xludf.DUMMYFUNCTION("""COMPUTED_VALUE"""),"Mixing")</f>
        <v>Mixing</v>
      </c>
      <c r="K2129" s="6" t="str">
        <f>IFERROR(__xludf.DUMMYFUNCTION("""COMPUTED_VALUE"""),"SPR/06/25/022")</f>
        <v>SPR/06/25/022</v>
      </c>
      <c r="L2129" s="13">
        <f>IFERROR(__xludf.DUMMYFUNCTION("""COMPUTED_VALUE"""),45833.0)</f>
        <v>45833</v>
      </c>
    </row>
    <row r="2130">
      <c r="A2130" s="6" t="str">
        <f>IFERROR(__xludf.DUMMYFUNCTION("""COMPUTED_VALUE"""),"MRN")</f>
        <v>MRN</v>
      </c>
      <c r="B2130" s="6" t="str">
        <f>IFERROR(__xludf.DUMMYFUNCTION("""COMPUTED_VALUE"""),"ENG")</f>
        <v>ENG</v>
      </c>
      <c r="C2130" s="6" t="str">
        <f>IFERROR(__xludf.DUMMYFUNCTION("""COMPUTED_VALUE"""),"P-14458-00")</f>
        <v>P-14458-00</v>
      </c>
      <c r="D2130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2130" s="6">
        <f>IFERROR(__xludf.DUMMYFUNCTION("""COMPUTED_VALUE"""),2.0)</f>
        <v>2</v>
      </c>
      <c r="F2130" s="6">
        <f>IFERROR(__xludf.DUMMYFUNCTION("""COMPUTED_VALUE"""),2.0)</f>
        <v>2</v>
      </c>
      <c r="G2130" s="6">
        <f>IFERROR(__xludf.DUMMYFUNCTION("""COMPUTED_VALUE"""),0.0)</f>
        <v>0</v>
      </c>
      <c r="H2130" s="6" t="str">
        <f>IFERROR(__xludf.DUMMYFUNCTION("""COMPUTED_VALUE"""),"Pcs")</f>
        <v>Pcs</v>
      </c>
      <c r="I2130" s="6" t="str">
        <f>IFERROR(__xludf.DUMMYFUNCTION("""COMPUTED_VALUE"""),"MFH")</f>
        <v>MFH</v>
      </c>
      <c r="J2130" s="6" t="str">
        <f>IFERROR(__xludf.DUMMYFUNCTION("""COMPUTED_VALUE"""),"AHU")</f>
        <v>AHU</v>
      </c>
      <c r="K2130" s="6" t="str">
        <f>IFERROR(__xludf.DUMMYFUNCTION("""COMPUTED_VALUE"""),"SPR/06/25/023")</f>
        <v>SPR/06/25/023</v>
      </c>
      <c r="L2130" s="13">
        <f>IFERROR(__xludf.DUMMYFUNCTION("""COMPUTED_VALUE"""),45833.0)</f>
        <v>45833</v>
      </c>
    </row>
    <row r="2131">
      <c r="A2131" s="6" t="str">
        <f>IFERROR(__xludf.DUMMYFUNCTION("""COMPUTED_VALUE"""),"MRN")</f>
        <v>MRN</v>
      </c>
      <c r="B2131" s="6" t="str">
        <f>IFERROR(__xludf.DUMMYFUNCTION("""COMPUTED_VALUE"""),"ENG")</f>
        <v>ENG</v>
      </c>
      <c r="C2131" s="6" t="str">
        <f>IFERROR(__xludf.DUMMYFUNCTION("""COMPUTED_VALUE"""),"S-40335-00")</f>
        <v>S-40335-00</v>
      </c>
      <c r="D2131" s="6" t="str">
        <f>IFERROR(__xludf.DUMMYFUNCTION("""COMPUTED_VALUE"""),"Lem Insuflex Insulation; ; ;")</f>
        <v>Lem Insuflex Insulation; ; ;</v>
      </c>
      <c r="E2131" s="6">
        <f>IFERROR(__xludf.DUMMYFUNCTION("""COMPUTED_VALUE"""),1.0)</f>
        <v>1</v>
      </c>
      <c r="F2131" s="6">
        <f>IFERROR(__xludf.DUMMYFUNCTION("""COMPUTED_VALUE"""),1.0)</f>
        <v>1</v>
      </c>
      <c r="G2131" s="6">
        <f>IFERROR(__xludf.DUMMYFUNCTION("""COMPUTED_VALUE"""),0.0)</f>
        <v>0</v>
      </c>
      <c r="H2131" s="6" t="str">
        <f>IFERROR(__xludf.DUMMYFUNCTION("""COMPUTED_VALUE"""),"Pcs")</f>
        <v>Pcs</v>
      </c>
      <c r="I2131" s="6" t="str">
        <f>IFERROR(__xludf.DUMMYFUNCTION("""COMPUTED_VALUE"""),"MFH")</f>
        <v>MFH</v>
      </c>
      <c r="J2131" s="6" t="str">
        <f>IFERROR(__xludf.DUMMYFUNCTION("""COMPUTED_VALUE"""),"AHU")</f>
        <v>AHU</v>
      </c>
      <c r="K2131" s="6" t="str">
        <f>IFERROR(__xludf.DUMMYFUNCTION("""COMPUTED_VALUE"""),"SPR/06/25/023")</f>
        <v>SPR/06/25/023</v>
      </c>
      <c r="L2131" s="13">
        <f>IFERROR(__xludf.DUMMYFUNCTION("""COMPUTED_VALUE"""),45833.0)</f>
        <v>45833</v>
      </c>
    </row>
    <row r="2132">
      <c r="A2132" s="6" t="str">
        <f>IFERROR(__xludf.DUMMYFUNCTION("""COMPUTED_VALUE"""),"INN")</f>
        <v>INN</v>
      </c>
      <c r="B2132" s="6" t="str">
        <f>IFERROR(__xludf.DUMMYFUNCTION("""COMPUTED_VALUE"""),"ENG")</f>
        <v>ENG</v>
      </c>
      <c r="C2132" s="6" t="str">
        <f>IFERROR(__xludf.DUMMYFUNCTION("""COMPUTED_VALUE"""),"O-20294-00")</f>
        <v>O-20294-00</v>
      </c>
      <c r="D2132" s="6" t="str">
        <f>IFERROR(__xludf.DUMMYFUNCTION("""COMPUTED_VALUE"""),"Autoclave - Oring 70 x 59 x 5.5 mm Viton Custom/Lokal  -")</f>
        <v>Autoclave - Oring 70 x 59 x 5.5 mm Viton Custom/Lokal  -</v>
      </c>
      <c r="E2132" s="6">
        <f>IFERROR(__xludf.DUMMYFUNCTION("""COMPUTED_VALUE"""),1.0)</f>
        <v>1</v>
      </c>
      <c r="F2132" s="6">
        <f>IFERROR(__xludf.DUMMYFUNCTION("""COMPUTED_VALUE"""),1.0)</f>
        <v>1</v>
      </c>
      <c r="G2132" s="6">
        <f>IFERROR(__xludf.DUMMYFUNCTION("""COMPUTED_VALUE"""),0.0)</f>
        <v>0</v>
      </c>
      <c r="H2132" s="6" t="str">
        <f>IFERROR(__xludf.DUMMYFUNCTION("""COMPUTED_VALUE"""),"Pcs")</f>
        <v>Pcs</v>
      </c>
      <c r="I2132" s="6" t="str">
        <f>IFERROR(__xludf.DUMMYFUNCTION("""COMPUTED_VALUE"""),"MFH")</f>
        <v>MFH</v>
      </c>
      <c r="J2132" s="6" t="str">
        <f>IFERROR(__xludf.DUMMYFUNCTION("""COMPUTED_VALUE"""),"AHU")</f>
        <v>AHU</v>
      </c>
      <c r="K2132" s="6" t="str">
        <f>IFERROR(__xludf.DUMMYFUNCTION("""COMPUTED_VALUE"""),"SPR/06/25/024")</f>
        <v>SPR/06/25/024</v>
      </c>
      <c r="L2132" s="13">
        <f>IFERROR(__xludf.DUMMYFUNCTION("""COMPUTED_VALUE"""),45833.0)</f>
        <v>45833</v>
      </c>
    </row>
    <row r="2133">
      <c r="A2133" s="6" t="str">
        <f>IFERROR(__xludf.DUMMYFUNCTION("""COMPUTED_VALUE"""),"RIA")</f>
        <v>RIA</v>
      </c>
      <c r="B2133" s="6" t="str">
        <f>IFERROR(__xludf.DUMMYFUNCTION("""COMPUTED_VALUE"""),"ENG")</f>
        <v>ENG</v>
      </c>
      <c r="C2133" s="6" t="str">
        <f>IFERROR(__xludf.DUMMYFUNCTION("""COMPUTED_VALUE"""),"O-51967-00")</f>
        <v>O-51967-00</v>
      </c>
      <c r="D2133" s="6" t="str">
        <f>IFERROR(__xludf.DUMMYFUNCTION("""COMPUTED_VALUE"""),"Solid State Relay 3-32 VDC - 330 VAC 25 A; ; ;")</f>
        <v>Solid State Relay 3-32 VDC - 330 VAC 25 A; ; ;</v>
      </c>
      <c r="E2133" s="6">
        <f>IFERROR(__xludf.DUMMYFUNCTION("""COMPUTED_VALUE"""),1.0)</f>
        <v>1</v>
      </c>
      <c r="F2133" s="6">
        <f>IFERROR(__xludf.DUMMYFUNCTION("""COMPUTED_VALUE"""),1.0)</f>
        <v>1</v>
      </c>
      <c r="G2133" s="6">
        <f>IFERROR(__xludf.DUMMYFUNCTION("""COMPUTED_VALUE"""),0.0)</f>
        <v>0</v>
      </c>
      <c r="H2133" s="6" t="str">
        <f>IFERROR(__xludf.DUMMYFUNCTION("""COMPUTED_VALUE"""),"Pcs")</f>
        <v>Pcs</v>
      </c>
      <c r="I2133" s="6" t="str">
        <f>IFERROR(__xludf.DUMMYFUNCTION("""COMPUTED_VALUE"""),"MFH")</f>
        <v>MFH</v>
      </c>
      <c r="J2133" s="6" t="str">
        <f>IFERROR(__xludf.DUMMYFUNCTION("""COMPUTED_VALUE"""),"PW SKID")</f>
        <v>PW SKID</v>
      </c>
      <c r="K2133" s="6" t="str">
        <f>IFERROR(__xludf.DUMMYFUNCTION("""COMPUTED_VALUE"""),"SPR/06/25/025")</f>
        <v>SPR/06/25/025</v>
      </c>
      <c r="L2133" s="13">
        <f>IFERROR(__xludf.DUMMYFUNCTION("""COMPUTED_VALUE"""),45833.0)</f>
        <v>45833</v>
      </c>
    </row>
    <row r="2134">
      <c r="A2134" s="6" t="str">
        <f>IFERROR(__xludf.DUMMYFUNCTION("""COMPUTED_VALUE"""),"RIA")</f>
        <v>RIA</v>
      </c>
      <c r="B2134" s="6" t="str">
        <f>IFERROR(__xludf.DUMMYFUNCTION("""COMPUTED_VALUE"""),"ENG")</f>
        <v>ENG</v>
      </c>
      <c r="C2134" s="6" t="str">
        <f>IFERROR(__xludf.DUMMYFUNCTION("""COMPUTED_VALUE"""),"O-15905-00")</f>
        <v>O-15905-00</v>
      </c>
      <c r="D2134" s="6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E2134" s="6">
        <f>IFERROR(__xludf.DUMMYFUNCTION("""COMPUTED_VALUE"""),2.0)</f>
        <v>2</v>
      </c>
      <c r="F2134" s="6">
        <f>IFERROR(__xludf.DUMMYFUNCTION("""COMPUTED_VALUE"""),2.0)</f>
        <v>2</v>
      </c>
      <c r="G2134" s="6">
        <f>IFERROR(__xludf.DUMMYFUNCTION("""COMPUTED_VALUE"""),0.0)</f>
        <v>0</v>
      </c>
      <c r="H2134" s="6" t="str">
        <f>IFERROR(__xludf.DUMMYFUNCTION("""COMPUTED_VALUE"""),"Pcs")</f>
        <v>Pcs</v>
      </c>
      <c r="I2134" s="6" t="str">
        <f>IFERROR(__xludf.DUMMYFUNCTION("""COMPUTED_VALUE"""),"MFH")</f>
        <v>MFH</v>
      </c>
      <c r="J2134" s="6" t="str">
        <f>IFERROR(__xludf.DUMMYFUNCTION("""COMPUTED_VALUE"""),"Alarm System")</f>
        <v>Alarm System</v>
      </c>
      <c r="K2134" s="6" t="str">
        <f>IFERROR(__xludf.DUMMYFUNCTION("""COMPUTED_VALUE"""),"SPR/06/25/025")</f>
        <v>SPR/06/25/025</v>
      </c>
      <c r="L2134" s="13">
        <f>IFERROR(__xludf.DUMMYFUNCTION("""COMPUTED_VALUE"""),45833.0)</f>
        <v>45833</v>
      </c>
    </row>
    <row r="2135">
      <c r="A2135" s="6" t="str">
        <f>IFERROR(__xludf.DUMMYFUNCTION("""COMPUTED_VALUE"""),"RIA")</f>
        <v>RIA</v>
      </c>
      <c r="B2135" s="6" t="str">
        <f>IFERROR(__xludf.DUMMYFUNCTION("""COMPUTED_VALUE"""),"ENG")</f>
        <v>ENG</v>
      </c>
      <c r="C2135" s="6" t="str">
        <f>IFERROR(__xludf.DUMMYFUNCTION("""COMPUTED_VALUE"""),"P-14244-00")</f>
        <v>P-14244-00</v>
      </c>
      <c r="D2135" s="6" t="str">
        <f>IFERROR(__xludf.DUMMYFUNCTION("""COMPUTED_VALUE"""),"UV lamp, Model HANOVI; AUSTAR; ;")</f>
        <v>UV lamp, Model HANOVI; AUSTAR; ;</v>
      </c>
      <c r="E2135" s="6">
        <f>IFERROR(__xludf.DUMMYFUNCTION("""COMPUTED_VALUE"""),2.0)</f>
        <v>2</v>
      </c>
      <c r="F2135" s="6">
        <f>IFERROR(__xludf.DUMMYFUNCTION("""COMPUTED_VALUE"""),2.0)</f>
        <v>2</v>
      </c>
      <c r="G2135" s="6">
        <f>IFERROR(__xludf.DUMMYFUNCTION("""COMPUTED_VALUE"""),0.0)</f>
        <v>0</v>
      </c>
      <c r="H2135" s="6" t="str">
        <f>IFERROR(__xludf.DUMMYFUNCTION("""COMPUTED_VALUE"""),"Pcs")</f>
        <v>Pcs</v>
      </c>
      <c r="I2135" s="6" t="str">
        <f>IFERROR(__xludf.DUMMYFUNCTION("""COMPUTED_VALUE"""),"MFH")</f>
        <v>MFH</v>
      </c>
      <c r="J2135" s="6" t="str">
        <f>IFERROR(__xludf.DUMMYFUNCTION("""COMPUTED_VALUE"""),"PW SKID")</f>
        <v>PW SKID</v>
      </c>
      <c r="K2135" s="6" t="str">
        <f>IFERROR(__xludf.DUMMYFUNCTION("""COMPUTED_VALUE"""),"SPR/06/25/025")</f>
        <v>SPR/06/25/025</v>
      </c>
      <c r="L2135" s="13">
        <f>IFERROR(__xludf.DUMMYFUNCTION("""COMPUTED_VALUE"""),45833.0)</f>
        <v>45833</v>
      </c>
    </row>
    <row r="2136">
      <c r="A2136" s="6" t="str">
        <f>IFERROR(__xludf.DUMMYFUNCTION("""COMPUTED_VALUE"""),"SFH")</f>
        <v>SFH</v>
      </c>
      <c r="B2136" s="6" t="str">
        <f>IFERROR(__xludf.DUMMYFUNCTION("""COMPUTED_VALUE"""),"ENG")</f>
        <v>ENG</v>
      </c>
      <c r="C2136" s="6" t="str">
        <f>IFERROR(__xludf.DUMMYFUNCTION("""COMPUTED_VALUE"""),"P-53102-00")</f>
        <v>P-53102-00</v>
      </c>
      <c r="D2136" s="6" t="str">
        <f>IFERROR(__xludf.DUMMYFUNCTION("""COMPUTED_VALUE"""),"Lampu PLC 13watt/E27 Putih; Phillips; ;")</f>
        <v>Lampu PLC 13watt/E27 Putih; Phillips; ;</v>
      </c>
      <c r="E2136" s="6">
        <f>IFERROR(__xludf.DUMMYFUNCTION("""COMPUTED_VALUE"""),5.0)</f>
        <v>5</v>
      </c>
      <c r="F2136" s="6">
        <f>IFERROR(__xludf.DUMMYFUNCTION("""COMPUTED_VALUE"""),5.0)</f>
        <v>5</v>
      </c>
      <c r="G2136" s="6">
        <f>IFERROR(__xludf.DUMMYFUNCTION("""COMPUTED_VALUE"""),0.0)</f>
        <v>0</v>
      </c>
      <c r="H2136" s="6" t="str">
        <f>IFERROR(__xludf.DUMMYFUNCTION("""COMPUTED_VALUE"""),"Pcs")</f>
        <v>Pcs</v>
      </c>
      <c r="I2136" s="6" t="str">
        <f>IFERROR(__xludf.DUMMYFUNCTION("""COMPUTED_VALUE"""),"MFH")</f>
        <v>MFH</v>
      </c>
      <c r="J2136" s="6" t="str">
        <f>IFERROR(__xludf.DUMMYFUNCTION("""COMPUTED_VALUE"""),"Building")</f>
        <v>Building</v>
      </c>
      <c r="K2136" s="6" t="str">
        <f>IFERROR(__xludf.DUMMYFUNCTION("""COMPUTED_VALUE"""),"SPR/06/25/026")</f>
        <v>SPR/06/25/026</v>
      </c>
      <c r="L2136" s="13">
        <f>IFERROR(__xludf.DUMMYFUNCTION("""COMPUTED_VALUE"""),45833.0)</f>
        <v>45833</v>
      </c>
    </row>
    <row r="2137">
      <c r="A2137" s="6" t="str">
        <f>IFERROR(__xludf.DUMMYFUNCTION("""COMPUTED_VALUE"""),"SFH")</f>
        <v>SFH</v>
      </c>
      <c r="B2137" s="6" t="str">
        <f>IFERROR(__xludf.DUMMYFUNCTION("""COMPUTED_VALUE"""),"ENG")</f>
        <v>ENG</v>
      </c>
      <c r="C2137" s="6" t="str">
        <f>IFERROR(__xludf.DUMMYFUNCTION("""COMPUTED_VALUE"""),"Q-60405-00")</f>
        <v>Q-60405-00</v>
      </c>
      <c r="D2137" s="6" t="str">
        <f>IFERROR(__xludf.DUMMYFUNCTION("""COMPUTED_VALUE"""),"Cat Durogloss DR-2000; Propan; Type Spiders Web 90YY 73/040; 0,9 L/can")</f>
        <v>Cat Durogloss DR-2000; Propan; Type Spiders Web 90YY 73/040; 0,9 L/can</v>
      </c>
      <c r="E2137" s="6">
        <f>IFERROR(__xludf.DUMMYFUNCTION("""COMPUTED_VALUE"""),6.0)</f>
        <v>6</v>
      </c>
      <c r="F2137" s="6">
        <f>IFERROR(__xludf.DUMMYFUNCTION("""COMPUTED_VALUE"""),6.0)</f>
        <v>6</v>
      </c>
      <c r="G2137" s="6">
        <f>IFERROR(__xludf.DUMMYFUNCTION("""COMPUTED_VALUE"""),0.0)</f>
        <v>0</v>
      </c>
      <c r="H2137" s="6" t="str">
        <f>IFERROR(__xludf.DUMMYFUNCTION("""COMPUTED_VALUE"""),"Pcs")</f>
        <v>Pcs</v>
      </c>
      <c r="I2137" s="6" t="str">
        <f>IFERROR(__xludf.DUMMYFUNCTION("""COMPUTED_VALUE"""),"MFH")</f>
        <v>MFH</v>
      </c>
      <c r="J2137" s="6" t="str">
        <f>IFERROR(__xludf.DUMMYFUNCTION("""COMPUTED_VALUE"""),"Building")</f>
        <v>Building</v>
      </c>
      <c r="K2137" s="6" t="str">
        <f>IFERROR(__xludf.DUMMYFUNCTION("""COMPUTED_VALUE"""),"SPR/06/25/026")</f>
        <v>SPR/06/25/026</v>
      </c>
      <c r="L2137" s="13">
        <f>IFERROR(__xludf.DUMMYFUNCTION("""COMPUTED_VALUE"""),45833.0)</f>
        <v>45833</v>
      </c>
    </row>
    <row r="2138">
      <c r="A2138" s="6" t="str">
        <f>IFERROR(__xludf.DUMMYFUNCTION("""COMPUTED_VALUE"""),"SFH")</f>
        <v>SFH</v>
      </c>
      <c r="B2138" s="6" t="str">
        <f>IFERROR(__xludf.DUMMYFUNCTION("""COMPUTED_VALUE"""),"ENG")</f>
        <v>ENG</v>
      </c>
      <c r="C2138" s="6" t="str">
        <f>IFERROR(__xludf.DUMMYFUNCTION("""COMPUTED_VALUE"""),"P-51741-00")</f>
        <v>P-51741-00</v>
      </c>
      <c r="D2138" s="6" t="str">
        <f>IFERROR(__xludf.DUMMYFUNCTION("""COMPUTED_VALUE"""),"Lampu Phillips PHP LED; 710 7w E27 White 220-240v; ; ;")</f>
        <v>Lampu Phillips PHP LED; 710 7w E27 White 220-240v; ; ;</v>
      </c>
      <c r="E2138" s="6">
        <f>IFERROR(__xludf.DUMMYFUNCTION("""COMPUTED_VALUE"""),2.0)</f>
        <v>2</v>
      </c>
      <c r="F2138" s="6">
        <f>IFERROR(__xludf.DUMMYFUNCTION("""COMPUTED_VALUE"""),2.0)</f>
        <v>2</v>
      </c>
      <c r="G2138" s="6">
        <f>IFERROR(__xludf.DUMMYFUNCTION("""COMPUTED_VALUE"""),0.0)</f>
        <v>0</v>
      </c>
      <c r="H2138" s="6" t="str">
        <f>IFERROR(__xludf.DUMMYFUNCTION("""COMPUTED_VALUE"""),"Pcs")</f>
        <v>Pcs</v>
      </c>
      <c r="I2138" s="6" t="str">
        <f>IFERROR(__xludf.DUMMYFUNCTION("""COMPUTED_VALUE"""),"MFH")</f>
        <v>MFH</v>
      </c>
      <c r="J2138" s="6" t="str">
        <f>IFERROR(__xludf.DUMMYFUNCTION("""COMPUTED_VALUE"""),"Building")</f>
        <v>Building</v>
      </c>
      <c r="K2138" s="6" t="str">
        <f>IFERROR(__xludf.DUMMYFUNCTION("""COMPUTED_VALUE"""),"SPR/06/25/026")</f>
        <v>SPR/06/25/026</v>
      </c>
      <c r="L2138" s="13">
        <f>IFERROR(__xludf.DUMMYFUNCTION("""COMPUTED_VALUE"""),45833.0)</f>
        <v>45833</v>
      </c>
    </row>
    <row r="2139">
      <c r="A2139" s="6" t="str">
        <f>IFERROR(__xludf.DUMMYFUNCTION("""COMPUTED_VALUE"""),"RIA")</f>
        <v>RIA</v>
      </c>
      <c r="B2139" s="6" t="str">
        <f>IFERROR(__xludf.DUMMYFUNCTION("""COMPUTED_VALUE"""),"ENG")</f>
        <v>ENG</v>
      </c>
      <c r="C2139" s="6" t="str">
        <f>IFERROR(__xludf.DUMMYFUNCTION("""COMPUTED_VALUE"""),"P-10726-00")</f>
        <v>P-10726-00</v>
      </c>
      <c r="D2139" s="6" t="str">
        <f>IFERROR(__xludf.DUMMYFUNCTION("""COMPUTED_VALUE"""),"Cleaner - Contact Cleaner CRC CO 2016 500 ml")</f>
        <v>Cleaner - Contact Cleaner CRC CO 2016 500 ml</v>
      </c>
      <c r="E2139" s="6">
        <f>IFERROR(__xludf.DUMMYFUNCTION("""COMPUTED_VALUE"""),3.0)</f>
        <v>3</v>
      </c>
      <c r="F2139" s="6">
        <f>IFERROR(__xludf.DUMMYFUNCTION("""COMPUTED_VALUE"""),3.0)</f>
        <v>3</v>
      </c>
      <c r="G2139" s="6">
        <f>IFERROR(__xludf.DUMMYFUNCTION("""COMPUTED_VALUE"""),0.0)</f>
        <v>0</v>
      </c>
      <c r="H2139" s="6" t="str">
        <f>IFERROR(__xludf.DUMMYFUNCTION("""COMPUTED_VALUE"""),"Pcs")</f>
        <v>Pcs</v>
      </c>
      <c r="I2139" s="6" t="str">
        <f>IFERROR(__xludf.DUMMYFUNCTION("""COMPUTED_VALUE"""),"MFH")</f>
        <v>MFH</v>
      </c>
      <c r="J2139" s="6" t="str">
        <f>IFERROR(__xludf.DUMMYFUNCTION("""COMPUTED_VALUE"""),"Building")</f>
        <v>Building</v>
      </c>
      <c r="K2139" s="6" t="str">
        <f>IFERROR(__xludf.DUMMYFUNCTION("""COMPUTED_VALUE"""),"SPR/06/25/027")</f>
        <v>SPR/06/25/027</v>
      </c>
      <c r="L2139" s="13">
        <f>IFERROR(__xludf.DUMMYFUNCTION("""COMPUTED_VALUE"""),45833.0)</f>
        <v>45833</v>
      </c>
    </row>
    <row r="2140">
      <c r="A2140" s="6" t="str">
        <f>IFERROR(__xludf.DUMMYFUNCTION("""COMPUTED_VALUE"""),"RIA")</f>
        <v>RIA</v>
      </c>
      <c r="B2140" s="6" t="str">
        <f>IFERROR(__xludf.DUMMYFUNCTION("""COMPUTED_VALUE"""),"ENG")</f>
        <v>ENG</v>
      </c>
      <c r="C2140" s="6" t="str">
        <f>IFERROR(__xludf.DUMMYFUNCTION("""COMPUTED_VALUE"""),"P-53214-00")</f>
        <v>P-53214-00</v>
      </c>
      <c r="D2140" s="6" t="str">
        <f>IFERROR(__xludf.DUMMYFUNCTION("""COMPUTED_VALUE"""),"Epoxy Adhesive DEXTONE; ; ;")</f>
        <v>Epoxy Adhesive DEXTONE; ; ;</v>
      </c>
      <c r="E2140" s="6">
        <f>IFERROR(__xludf.DUMMYFUNCTION("""COMPUTED_VALUE"""),1.0)</f>
        <v>1</v>
      </c>
      <c r="F2140" s="6">
        <f>IFERROR(__xludf.DUMMYFUNCTION("""COMPUTED_VALUE"""),1.0)</f>
        <v>1</v>
      </c>
      <c r="G2140" s="6">
        <f>IFERROR(__xludf.DUMMYFUNCTION("""COMPUTED_VALUE"""),0.0)</f>
        <v>0</v>
      </c>
      <c r="H2140" s="6" t="str">
        <f>IFERROR(__xludf.DUMMYFUNCTION("""COMPUTED_VALUE"""),"Set")</f>
        <v>Set</v>
      </c>
      <c r="I2140" s="6" t="str">
        <f>IFERROR(__xludf.DUMMYFUNCTION("""COMPUTED_VALUE"""),"MFH")</f>
        <v>MFH</v>
      </c>
      <c r="J2140" s="6" t="str">
        <f>IFERROR(__xludf.DUMMYFUNCTION("""COMPUTED_VALUE"""),"Building")</f>
        <v>Building</v>
      </c>
      <c r="K2140" s="6" t="str">
        <f>IFERROR(__xludf.DUMMYFUNCTION("""COMPUTED_VALUE"""),"SPR/06/25/027")</f>
        <v>SPR/06/25/027</v>
      </c>
      <c r="L2140" s="13">
        <f>IFERROR(__xludf.DUMMYFUNCTION("""COMPUTED_VALUE"""),45833.0)</f>
        <v>45833</v>
      </c>
    </row>
    <row r="2141">
      <c r="A2141" s="6" t="str">
        <f>IFERROR(__xludf.DUMMYFUNCTION("""COMPUTED_VALUE"""),"ROS")</f>
        <v>ROS</v>
      </c>
      <c r="B2141" s="6" t="str">
        <f>IFERROR(__xludf.DUMMYFUNCTION("""COMPUTED_VALUE"""),"ENG")</f>
        <v>ENG</v>
      </c>
      <c r="C2141" s="6" t="str">
        <f>IFERROR(__xludf.DUMMYFUNCTION("""COMPUTED_VALUE"""),"O-50827-00")</f>
        <v>O-50827-00</v>
      </c>
      <c r="D2141" s="6" t="str">
        <f>IFERROR(__xludf.DUMMYFUNCTION("""COMPUTED_VALUE"""),"OptoCapBT02T Operating Range 8 ppb - 60% O2 Sat P/N 30018857, Measured Pressure Resistance : 0 bar -")</f>
        <v>OptoCapBT02T Operating Range 8 ppb - 60% O2 Sat P/N 30018857, Measured Pressure Resistance : 0 bar -</v>
      </c>
      <c r="E2141" s="6">
        <f>IFERROR(__xludf.DUMMYFUNCTION("""COMPUTED_VALUE"""),1.0)</f>
        <v>1</v>
      </c>
      <c r="F2141" s="6">
        <f>IFERROR(__xludf.DUMMYFUNCTION("""COMPUTED_VALUE"""),1.0)</f>
        <v>1</v>
      </c>
      <c r="G2141" s="6">
        <f>IFERROR(__xludf.DUMMYFUNCTION("""COMPUTED_VALUE"""),0.0)</f>
        <v>0</v>
      </c>
      <c r="H2141" s="6" t="str">
        <f>IFERROR(__xludf.DUMMYFUNCTION("""COMPUTED_VALUE"""),"Pcs")</f>
        <v>Pcs</v>
      </c>
      <c r="I2141" s="6" t="str">
        <f>IFERROR(__xludf.DUMMYFUNCTION("""COMPUTED_VALUE"""),"MFH")</f>
        <v>MFH</v>
      </c>
      <c r="J2141" s="6" t="str">
        <f>IFERROR(__xludf.DUMMYFUNCTION("""COMPUTED_VALUE"""),"Mixing")</f>
        <v>Mixing</v>
      </c>
      <c r="K2141" s="6" t="str">
        <f>IFERROR(__xludf.DUMMYFUNCTION("""COMPUTED_VALUE"""),"SPR/06/25/028")</f>
        <v>SPR/06/25/028</v>
      </c>
      <c r="L2141" s="13">
        <f>IFERROR(__xludf.DUMMYFUNCTION("""COMPUTED_VALUE"""),45833.0)</f>
        <v>45833</v>
      </c>
    </row>
    <row r="2142">
      <c r="A2142" s="6" t="str">
        <f>IFERROR(__xludf.DUMMYFUNCTION("""COMPUTED_VALUE"""),"ROS")</f>
        <v>ROS</v>
      </c>
      <c r="B2142" s="6" t="str">
        <f>IFERROR(__xludf.DUMMYFUNCTION("""COMPUTED_VALUE"""),"ENG")</f>
        <v>ENG</v>
      </c>
      <c r="C2142" s="6" t="str">
        <f>IFERROR(__xludf.DUMMYFUNCTION("""COMPUTED_VALUE"""),"S-40645-00")</f>
        <v>S-40645-00</v>
      </c>
      <c r="D2142" s="6" t="str">
        <f>IFERROR(__xludf.DUMMYFUNCTION("""COMPUTED_VALUE"""),"Cable Ties, 200 x 4.8 mm; SIGMA; CS 200L; Putih;100 pcs/pack")</f>
        <v>Cable Ties, 200 x 4.8 mm; SIGMA; CS 200L; Putih;100 pcs/pack</v>
      </c>
      <c r="E2142" s="6">
        <f>IFERROR(__xludf.DUMMYFUNCTION("""COMPUTED_VALUE"""),1.0)</f>
        <v>1</v>
      </c>
      <c r="F2142" s="6">
        <f>IFERROR(__xludf.DUMMYFUNCTION("""COMPUTED_VALUE"""),1.0)</f>
        <v>1</v>
      </c>
      <c r="G2142" s="6">
        <f>IFERROR(__xludf.DUMMYFUNCTION("""COMPUTED_VALUE"""),0.0)</f>
        <v>0</v>
      </c>
      <c r="H2142" s="6" t="str">
        <f>IFERROR(__xludf.DUMMYFUNCTION("""COMPUTED_VALUE"""),"Pcs")</f>
        <v>Pcs</v>
      </c>
      <c r="I2142" s="6" t="str">
        <f>IFERROR(__xludf.DUMMYFUNCTION("""COMPUTED_VALUE"""),"MFH")</f>
        <v>MFH</v>
      </c>
      <c r="J2142" s="6" t="str">
        <f>IFERROR(__xludf.DUMMYFUNCTION("""COMPUTED_VALUE"""),"Coating")</f>
        <v>Coating</v>
      </c>
      <c r="K2142" s="6" t="str">
        <f>IFERROR(__xludf.DUMMYFUNCTION("""COMPUTED_VALUE"""),"SPR/06/25/029")</f>
        <v>SPR/06/25/029</v>
      </c>
      <c r="L2142" s="13">
        <f>IFERROR(__xludf.DUMMYFUNCTION("""COMPUTED_VALUE"""),45833.0)</f>
        <v>45833</v>
      </c>
    </row>
    <row r="2143">
      <c r="A2143" s="6" t="str">
        <f>IFERROR(__xludf.DUMMYFUNCTION("""COMPUTED_VALUE"""),"SFH")</f>
        <v>SFH</v>
      </c>
      <c r="B2143" s="6" t="str">
        <f>IFERROR(__xludf.DUMMYFUNCTION("""COMPUTED_VALUE"""),"ENG")</f>
        <v>ENG</v>
      </c>
      <c r="C2143" s="6" t="str">
        <f>IFERROR(__xludf.DUMMYFUNCTION("""COMPUTED_VALUE"""),"-")</f>
        <v>-</v>
      </c>
      <c r="D2143" s="6" t="str">
        <f>IFERROR(__xludf.DUMMYFUNCTION("""COMPUTED_VALUE"""),"Dop 1,5 Inch")</f>
        <v>Dop 1,5 Inch</v>
      </c>
      <c r="E2143" s="6">
        <f>IFERROR(__xludf.DUMMYFUNCTION("""COMPUTED_VALUE"""),1.0)</f>
        <v>1</v>
      </c>
      <c r="F2143" s="6">
        <f>IFERROR(__xludf.DUMMYFUNCTION("""COMPUTED_VALUE"""),1.0)</f>
        <v>1</v>
      </c>
      <c r="G2143" s="6">
        <f>IFERROR(__xludf.DUMMYFUNCTION("""COMPUTED_VALUE"""),0.0)</f>
        <v>0</v>
      </c>
      <c r="H2143" s="6" t="str">
        <f>IFERROR(__xludf.DUMMYFUNCTION("""COMPUTED_VALUE"""),"Pcs")</f>
        <v>Pcs</v>
      </c>
      <c r="I2143" s="6" t="str">
        <f>IFERROR(__xludf.DUMMYFUNCTION("""COMPUTED_VALUE"""),"MFH")</f>
        <v>MFH</v>
      </c>
      <c r="J2143" s="6" t="str">
        <f>IFERROR(__xludf.DUMMYFUNCTION("""COMPUTED_VALUE"""),"Building")</f>
        <v>Building</v>
      </c>
      <c r="K2143" s="6" t="str">
        <f>IFERROR(__xludf.DUMMYFUNCTION("""COMPUTED_VALUE"""),"SPR/06/25/030")</f>
        <v>SPR/06/25/030</v>
      </c>
      <c r="L2143" s="13">
        <f>IFERROR(__xludf.DUMMYFUNCTION("""COMPUTED_VALUE"""),45833.0)</f>
        <v>45833</v>
      </c>
    </row>
    <row r="2144">
      <c r="A2144" s="6" t="str">
        <f>IFERROR(__xludf.DUMMYFUNCTION("""COMPUTED_VALUE"""),"RIA")</f>
        <v>RIA</v>
      </c>
      <c r="B2144" s="6" t="str">
        <f>IFERROR(__xludf.DUMMYFUNCTION("""COMPUTED_VALUE"""),"ENG")</f>
        <v>ENG</v>
      </c>
      <c r="C2144" s="6" t="str">
        <f>IFERROR(__xludf.DUMMYFUNCTION("""COMPUTED_VALUE"""),"P-50717-00")</f>
        <v>P-50717-00</v>
      </c>
      <c r="D2144" s="6" t="str">
        <f>IFERROR(__xludf.DUMMYFUNCTION("""COMPUTED_VALUE"""),"Kabel UTP 4 pairs Cat 6 merk BELDEN")</f>
        <v>Kabel UTP 4 pairs Cat 6 merk BELDEN</v>
      </c>
      <c r="E2144" s="6">
        <f>IFERROR(__xludf.DUMMYFUNCTION("""COMPUTED_VALUE"""),50.0)</f>
        <v>50</v>
      </c>
      <c r="F2144" s="6">
        <f>IFERROR(__xludf.DUMMYFUNCTION("""COMPUTED_VALUE"""),50.0)</f>
        <v>50</v>
      </c>
      <c r="G2144" s="6">
        <f>IFERROR(__xludf.DUMMYFUNCTION("""COMPUTED_VALUE"""),0.0)</f>
        <v>0</v>
      </c>
      <c r="H2144" s="6" t="str">
        <f>IFERROR(__xludf.DUMMYFUNCTION("""COMPUTED_VALUE"""),"Pcs")</f>
        <v>Pcs</v>
      </c>
      <c r="I2144" s="6" t="str">
        <f>IFERROR(__xludf.DUMMYFUNCTION("""COMPUTED_VALUE"""),"MFH")</f>
        <v>MFH</v>
      </c>
      <c r="J2144" s="6" t="str">
        <f>IFERROR(__xludf.DUMMYFUNCTION("""COMPUTED_VALUE"""),"IGL")</f>
        <v>IGL</v>
      </c>
      <c r="K2144" s="6" t="str">
        <f>IFERROR(__xludf.DUMMYFUNCTION("""COMPUTED_VALUE"""),"SPR/06/25/031")</f>
        <v>SPR/06/25/031</v>
      </c>
      <c r="L2144" s="13">
        <f>IFERROR(__xludf.DUMMYFUNCTION("""COMPUTED_VALUE"""),45833.0)</f>
        <v>45833</v>
      </c>
    </row>
    <row r="2145">
      <c r="A2145" s="6" t="str">
        <f>IFERROR(__xludf.DUMMYFUNCTION("""COMPUTED_VALUE"""),"RIA")</f>
        <v>RIA</v>
      </c>
      <c r="B2145" s="6" t="str">
        <f>IFERROR(__xludf.DUMMYFUNCTION("""COMPUTED_VALUE"""),"ENG")</f>
        <v>ENG</v>
      </c>
      <c r="C2145" s="6" t="str">
        <f>IFERROR(__xludf.DUMMYFUNCTION("""COMPUTED_VALUE"""),"O-54013-00")</f>
        <v>O-54013-00</v>
      </c>
      <c r="D2145" s="6" t="str">
        <f>IFERROR(__xludf.DUMMYFUNCTION("""COMPUTED_VALUE"""),"SOCKET RJ 45")</f>
        <v>SOCKET RJ 45</v>
      </c>
      <c r="E2145" s="6">
        <f>IFERROR(__xludf.DUMMYFUNCTION("""COMPUTED_VALUE"""),2.0)</f>
        <v>2</v>
      </c>
      <c r="F2145" s="6">
        <f>IFERROR(__xludf.DUMMYFUNCTION("""COMPUTED_VALUE"""),2.0)</f>
        <v>2</v>
      </c>
      <c r="G2145" s="6">
        <f>IFERROR(__xludf.DUMMYFUNCTION("""COMPUTED_VALUE"""),0.0)</f>
        <v>0</v>
      </c>
      <c r="H2145" s="6" t="str">
        <f>IFERROR(__xludf.DUMMYFUNCTION("""COMPUTED_VALUE"""),"Pcs")</f>
        <v>Pcs</v>
      </c>
      <c r="I2145" s="6" t="str">
        <f>IFERROR(__xludf.DUMMYFUNCTION("""COMPUTED_VALUE"""),"MFH")</f>
        <v>MFH</v>
      </c>
      <c r="J2145" s="6" t="str">
        <f>IFERROR(__xludf.DUMMYFUNCTION("""COMPUTED_VALUE"""),"IGL")</f>
        <v>IGL</v>
      </c>
      <c r="K2145" s="6" t="str">
        <f>IFERROR(__xludf.DUMMYFUNCTION("""COMPUTED_VALUE"""),"SPR/06/25/031")</f>
        <v>SPR/06/25/031</v>
      </c>
      <c r="L2145" s="13">
        <f>IFERROR(__xludf.DUMMYFUNCTION("""COMPUTED_VALUE"""),45833.0)</f>
        <v>45833</v>
      </c>
    </row>
    <row r="2146">
      <c r="A2146" s="6" t="str">
        <f>IFERROR(__xludf.DUMMYFUNCTION("""COMPUTED_VALUE"""),"AAA")</f>
        <v>AAA</v>
      </c>
      <c r="B2146" s="6" t="str">
        <f>IFERROR(__xludf.DUMMYFUNCTION("""COMPUTED_VALUE"""),"ENG")</f>
        <v>ENG</v>
      </c>
      <c r="C2146" s="6" t="str">
        <f>IFERROR(__xludf.DUMMYFUNCTION("""COMPUTED_VALUE"""),"O-16033-00")</f>
        <v>O-16033-00</v>
      </c>
      <c r="D214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146" s="6">
        <f>IFERROR(__xludf.DUMMYFUNCTION("""COMPUTED_VALUE"""),1.0)</f>
        <v>1</v>
      </c>
      <c r="F2146" s="6">
        <f>IFERROR(__xludf.DUMMYFUNCTION("""COMPUTED_VALUE"""),1.0)</f>
        <v>1</v>
      </c>
      <c r="G2146" s="6">
        <f>IFERROR(__xludf.DUMMYFUNCTION("""COMPUTED_VALUE"""),0.0)</f>
        <v>0</v>
      </c>
      <c r="H2146" s="6" t="str">
        <f>IFERROR(__xludf.DUMMYFUNCTION("""COMPUTED_VALUE"""),"Pcs")</f>
        <v>Pcs</v>
      </c>
      <c r="I2146" s="6" t="str">
        <f>IFERROR(__xludf.DUMMYFUNCTION("""COMPUTED_VALUE"""),"MFH")</f>
        <v>MFH</v>
      </c>
      <c r="J2146" s="6" t="str">
        <f>IFERROR(__xludf.DUMMYFUNCTION("""COMPUTED_VALUE"""),"cRABS")</f>
        <v>cRABS</v>
      </c>
      <c r="K2146" s="6" t="str">
        <f>IFERROR(__xludf.DUMMYFUNCTION("""COMPUTED_VALUE"""),"SPR/06/25/032")</f>
        <v>SPR/06/25/032</v>
      </c>
      <c r="L2146" s="13">
        <f>IFERROR(__xludf.DUMMYFUNCTION("""COMPUTED_VALUE"""),45833.0)</f>
        <v>45833</v>
      </c>
    </row>
    <row r="2147">
      <c r="A2147" s="6" t="str">
        <f>IFERROR(__xludf.DUMMYFUNCTION("""COMPUTED_VALUE"""),"ANO")</f>
        <v>ANO</v>
      </c>
      <c r="B2147" s="6" t="str">
        <f>IFERROR(__xludf.DUMMYFUNCTION("""COMPUTED_VALUE"""),"ENG")</f>
        <v>ENG</v>
      </c>
      <c r="C2147" s="6" t="str">
        <f>IFERROR(__xludf.DUMMYFUNCTION("""COMPUTED_VALUE"""),"P-18769-00")</f>
        <v>P-18769-00</v>
      </c>
      <c r="D2147" s="6" t="str">
        <f>IFERROR(__xludf.DUMMYFUNCTION("""COMPUTED_VALUE"""),"Mata Gerinda Potong 4"" Merek WD; ; -; 20 pc")</f>
        <v>Mata Gerinda Potong 4" Merek WD; ; -; 20 pc</v>
      </c>
      <c r="E2147" s="6">
        <f>IFERROR(__xludf.DUMMYFUNCTION("""COMPUTED_VALUE"""),1.0)</f>
        <v>1</v>
      </c>
      <c r="F2147" s="6">
        <f>IFERROR(__xludf.DUMMYFUNCTION("""COMPUTED_VALUE"""),1.0)</f>
        <v>1</v>
      </c>
      <c r="G2147" s="6">
        <f>IFERROR(__xludf.DUMMYFUNCTION("""COMPUTED_VALUE"""),0.0)</f>
        <v>0</v>
      </c>
      <c r="H2147" s="6" t="str">
        <f>IFERROR(__xludf.DUMMYFUNCTION("""COMPUTED_VALUE"""),"Pcs")</f>
        <v>Pcs</v>
      </c>
      <c r="I2147" s="6" t="str">
        <f>IFERROR(__xludf.DUMMYFUNCTION("""COMPUTED_VALUE"""),"MFH")</f>
        <v>MFH</v>
      </c>
      <c r="J2147" s="6" t="str">
        <f>IFERROR(__xludf.DUMMYFUNCTION("""COMPUTED_VALUE"""),"Tools")</f>
        <v>Tools</v>
      </c>
      <c r="K2147" s="6" t="str">
        <f>IFERROR(__xludf.DUMMYFUNCTION("""COMPUTED_VALUE"""),"SPR/06/25/033")</f>
        <v>SPR/06/25/033</v>
      </c>
      <c r="L2147" s="13">
        <f>IFERROR(__xludf.DUMMYFUNCTION("""COMPUTED_VALUE"""),45833.0)</f>
        <v>45833</v>
      </c>
    </row>
    <row r="2148">
      <c r="A2148" s="6" t="str">
        <f>IFERROR(__xludf.DUMMYFUNCTION("""COMPUTED_VALUE"""),"ROS")</f>
        <v>ROS</v>
      </c>
      <c r="B2148" s="6" t="str">
        <f>IFERROR(__xludf.DUMMYFUNCTION("""COMPUTED_VALUE"""),"ENG")</f>
        <v>ENG</v>
      </c>
      <c r="C2148" s="6" t="str">
        <f>IFERROR(__xludf.DUMMYFUNCTION("""COMPUTED_VALUE"""),"O-16647-00")</f>
        <v>O-16647-00</v>
      </c>
      <c r="D2148" s="6" t="str">
        <f>IFERROR(__xludf.DUMMYFUNCTION("""COMPUTED_VALUE"""),"Washing RAR4 - Oring Silicone Merah 23x18x2.5 mm")</f>
        <v>Washing RAR4 - Oring Silicone Merah 23x18x2.5 mm</v>
      </c>
      <c r="E2148" s="6">
        <f>IFERROR(__xludf.DUMMYFUNCTION("""COMPUTED_VALUE"""),10.0)</f>
        <v>10</v>
      </c>
      <c r="F2148" s="6">
        <f>IFERROR(__xludf.DUMMYFUNCTION("""COMPUTED_VALUE"""),10.0)</f>
        <v>10</v>
      </c>
      <c r="G2148" s="6">
        <f>IFERROR(__xludf.DUMMYFUNCTION("""COMPUTED_VALUE"""),0.0)</f>
        <v>0</v>
      </c>
      <c r="H2148" s="6" t="str">
        <f>IFERROR(__xludf.DUMMYFUNCTION("""COMPUTED_VALUE"""),"Pcs")</f>
        <v>Pcs</v>
      </c>
      <c r="I2148" s="6" t="str">
        <f>IFERROR(__xludf.DUMMYFUNCTION("""COMPUTED_VALUE"""),"MFH")</f>
        <v>MFH</v>
      </c>
      <c r="J2148" s="6" t="str">
        <f>IFERROR(__xludf.DUMMYFUNCTION("""COMPUTED_VALUE"""),"Capping")</f>
        <v>Capping</v>
      </c>
      <c r="K2148" s="6" t="str">
        <f>IFERROR(__xludf.DUMMYFUNCTION("""COMPUTED_VALUE"""),"SPR/06/25/034")</f>
        <v>SPR/06/25/034</v>
      </c>
      <c r="L2148" s="13">
        <f>IFERROR(__xludf.DUMMYFUNCTION("""COMPUTED_VALUE"""),45833.0)</f>
        <v>45833</v>
      </c>
    </row>
    <row r="2149">
      <c r="A2149" s="6" t="str">
        <f>IFERROR(__xludf.DUMMYFUNCTION("""COMPUTED_VALUE"""),"SFH")</f>
        <v>SFH</v>
      </c>
      <c r="B2149" s="6" t="str">
        <f>IFERROR(__xludf.DUMMYFUNCTION("""COMPUTED_VALUE"""),"ENG")</f>
        <v>ENG</v>
      </c>
      <c r="C2149" s="6" t="str">
        <f>IFERROR(__xludf.DUMMYFUNCTION("""COMPUTED_VALUE"""),"Q-10429-00")</f>
        <v>Q-10429-00</v>
      </c>
      <c r="D2149" s="6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E2149" s="6">
        <f>IFERROR(__xludf.DUMMYFUNCTION("""COMPUTED_VALUE"""),1.0)</f>
        <v>1</v>
      </c>
      <c r="F2149" s="6">
        <f>IFERROR(__xludf.DUMMYFUNCTION("""COMPUTED_VALUE"""),1.0)</f>
        <v>1</v>
      </c>
      <c r="G2149" s="6">
        <f>IFERROR(__xludf.DUMMYFUNCTION("""COMPUTED_VALUE"""),0.0)</f>
        <v>0</v>
      </c>
      <c r="H2149" s="6" t="str">
        <f>IFERROR(__xludf.DUMMYFUNCTION("""COMPUTED_VALUE"""),"Pcs")</f>
        <v>Pcs</v>
      </c>
      <c r="I2149" s="6" t="str">
        <f>IFERROR(__xludf.DUMMYFUNCTION("""COMPUTED_VALUE"""),"MFH")</f>
        <v>MFH</v>
      </c>
      <c r="J2149" s="6" t="str">
        <f>IFERROR(__xludf.DUMMYFUNCTION("""COMPUTED_VALUE"""),"Building")</f>
        <v>Building</v>
      </c>
      <c r="K2149" s="6" t="str">
        <f>IFERROR(__xludf.DUMMYFUNCTION("""COMPUTED_VALUE"""),"SPR/06/25/035")</f>
        <v>SPR/06/25/035</v>
      </c>
      <c r="L2149" s="13">
        <f>IFERROR(__xludf.DUMMYFUNCTION("""COMPUTED_VALUE"""),45833.0)</f>
        <v>45833</v>
      </c>
    </row>
    <row r="2150">
      <c r="A2150" s="6" t="str">
        <f>IFERROR(__xludf.DUMMYFUNCTION("""COMPUTED_VALUE"""),"INN")</f>
        <v>INN</v>
      </c>
      <c r="B2150" s="6" t="str">
        <f>IFERROR(__xludf.DUMMYFUNCTION("""COMPUTED_VALUE"""),"ENG")</f>
        <v>ENG</v>
      </c>
      <c r="C2150" s="6" t="str">
        <f>IFERROR(__xludf.DUMMYFUNCTION("""COMPUTED_VALUE"""),"P-11195-00")</f>
        <v>P-11195-00</v>
      </c>
      <c r="D2150" s="6" t="str">
        <f>IFERROR(__xludf.DUMMYFUNCTION("""COMPUTED_VALUE"""),"General - Push-in Fitting, QSF-1/8-6-B; Festo; 153023; 1 pcs")</f>
        <v>General - Push-in Fitting, QSF-1/8-6-B; Festo; 153023; 1 pcs</v>
      </c>
      <c r="E2150" s="6">
        <f>IFERROR(__xludf.DUMMYFUNCTION("""COMPUTED_VALUE"""),2.0)</f>
        <v>2</v>
      </c>
      <c r="F2150" s="6">
        <f>IFERROR(__xludf.DUMMYFUNCTION("""COMPUTED_VALUE"""),2.0)</f>
        <v>2</v>
      </c>
      <c r="G2150" s="6">
        <f>IFERROR(__xludf.DUMMYFUNCTION("""COMPUTED_VALUE"""),0.0)</f>
        <v>0</v>
      </c>
      <c r="H2150" s="6" t="str">
        <f>IFERROR(__xludf.DUMMYFUNCTION("""COMPUTED_VALUE"""),"Pcs")</f>
        <v>Pcs</v>
      </c>
      <c r="I2150" s="6" t="str">
        <f>IFERROR(__xludf.DUMMYFUNCTION("""COMPUTED_VALUE"""),"MFH")</f>
        <v>MFH</v>
      </c>
      <c r="J2150" s="6" t="str">
        <f>IFERROR(__xludf.DUMMYFUNCTION("""COMPUTED_VALUE"""),"FD")</f>
        <v>FD</v>
      </c>
      <c r="K2150" s="6" t="str">
        <f>IFERROR(__xludf.DUMMYFUNCTION("""COMPUTED_VALUE"""),"SPR/06/25/036")</f>
        <v>SPR/06/25/036</v>
      </c>
      <c r="L2150" s="13">
        <f>IFERROR(__xludf.DUMMYFUNCTION("""COMPUTED_VALUE"""),45833.0)</f>
        <v>45833</v>
      </c>
    </row>
    <row r="2151">
      <c r="A2151" s="6" t="str">
        <f>IFERROR(__xludf.DUMMYFUNCTION("""COMPUTED_VALUE"""),"INN")</f>
        <v>INN</v>
      </c>
      <c r="B2151" s="6" t="str">
        <f>IFERROR(__xludf.DUMMYFUNCTION("""COMPUTED_VALUE"""),"ENG")</f>
        <v>ENG</v>
      </c>
      <c r="C2151" s="6" t="str">
        <f>IFERROR(__xludf.DUMMYFUNCTION("""COMPUTED_VALUE"""),"O-16982-00")</f>
        <v>O-16982-00</v>
      </c>
      <c r="D2151" s="6" t="str">
        <f>IFERROR(__xludf.DUMMYFUNCTION("""COMPUTED_VALUE"""),"Freeze Dryer MBE1207 - Diaphrapm DA008ER M4 Saunders CIPTA SOLUSI ANDALAN, PT P/N : -  pc")</f>
        <v>Freeze Dryer MBE1207 - Diaphrapm DA008ER M4 Saunders CIPTA SOLUSI ANDALAN, PT P/N : -  pc</v>
      </c>
      <c r="E2151" s="6">
        <f>IFERROR(__xludf.DUMMYFUNCTION("""COMPUTED_VALUE"""),1.0)</f>
        <v>1</v>
      </c>
      <c r="F2151" s="6">
        <f>IFERROR(__xludf.DUMMYFUNCTION("""COMPUTED_VALUE"""),1.0)</f>
        <v>1</v>
      </c>
      <c r="G2151" s="6">
        <f>IFERROR(__xludf.DUMMYFUNCTION("""COMPUTED_VALUE"""),0.0)</f>
        <v>0</v>
      </c>
      <c r="H2151" s="6" t="str">
        <f>IFERROR(__xludf.DUMMYFUNCTION("""COMPUTED_VALUE"""),"Pcs")</f>
        <v>Pcs</v>
      </c>
      <c r="I2151" s="6" t="str">
        <f>IFERROR(__xludf.DUMMYFUNCTION("""COMPUTED_VALUE"""),"MFH")</f>
        <v>MFH</v>
      </c>
      <c r="J2151" s="6" t="str">
        <f>IFERROR(__xludf.DUMMYFUNCTION("""COMPUTED_VALUE"""),"FD")</f>
        <v>FD</v>
      </c>
      <c r="K2151" s="6" t="str">
        <f>IFERROR(__xludf.DUMMYFUNCTION("""COMPUTED_VALUE"""),"SPR/06/25/036")</f>
        <v>SPR/06/25/036</v>
      </c>
      <c r="L2151" s="13">
        <f>IFERROR(__xludf.DUMMYFUNCTION("""COMPUTED_VALUE"""),45833.0)</f>
        <v>45833</v>
      </c>
    </row>
    <row r="2152">
      <c r="A2152" s="6" t="str">
        <f>IFERROR(__xludf.DUMMYFUNCTION("""COMPUTED_VALUE"""),"ROS")</f>
        <v>ROS</v>
      </c>
      <c r="B2152" s="6" t="str">
        <f>IFERROR(__xludf.DUMMYFUNCTION("""COMPUTED_VALUE"""),"ENG")</f>
        <v>ENG</v>
      </c>
      <c r="C2152" s="6" t="str">
        <f>IFERROR(__xludf.DUMMYFUNCTION("""COMPUTED_VALUE"""),"O-15587-00")</f>
        <v>O-15587-00</v>
      </c>
      <c r="D2152" s="6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E2152" s="6">
        <f>IFERROR(__xludf.DUMMYFUNCTION("""COMPUTED_VALUE"""),1.0)</f>
        <v>1</v>
      </c>
      <c r="F2152" s="6">
        <f>IFERROR(__xludf.DUMMYFUNCTION("""COMPUTED_VALUE"""),1.0)</f>
        <v>1</v>
      </c>
      <c r="G2152" s="6">
        <f>IFERROR(__xludf.DUMMYFUNCTION("""COMPUTED_VALUE"""),0.0)</f>
        <v>0</v>
      </c>
      <c r="H2152" s="6" t="str">
        <f>IFERROR(__xludf.DUMMYFUNCTION("""COMPUTED_VALUE"""),"Pcs")</f>
        <v>Pcs</v>
      </c>
      <c r="I2152" s="6" t="str">
        <f>IFERROR(__xludf.DUMMYFUNCTION("""COMPUTED_VALUE"""),"MFH")</f>
        <v>MFH</v>
      </c>
      <c r="J2152" s="6" t="str">
        <f>IFERROR(__xludf.DUMMYFUNCTION("""COMPUTED_VALUE"""),"Capping")</f>
        <v>Capping</v>
      </c>
      <c r="K2152" s="6" t="str">
        <f>IFERROR(__xludf.DUMMYFUNCTION("""COMPUTED_VALUE"""),"SPR/06/25/037")</f>
        <v>SPR/06/25/037</v>
      </c>
      <c r="L2152" s="13">
        <f>IFERROR(__xludf.DUMMYFUNCTION("""COMPUTED_VALUE"""),45833.0)</f>
        <v>45833</v>
      </c>
    </row>
    <row r="2153">
      <c r="A2153" s="6" t="str">
        <f>IFERROR(__xludf.DUMMYFUNCTION("""COMPUTED_VALUE"""),"MOB")</f>
        <v>MOB</v>
      </c>
      <c r="B2153" s="6" t="str">
        <f>IFERROR(__xludf.DUMMYFUNCTION("""COMPUTED_VALUE"""),"ENG")</f>
        <v>ENG</v>
      </c>
      <c r="C2153" s="6" t="str">
        <f>IFERROR(__xludf.DUMMYFUNCTION("""COMPUTED_VALUE"""),"T-80037-00")</f>
        <v>T-80037-00</v>
      </c>
      <c r="D2153" s="6" t="str">
        <f>IFERROR(__xludf.DUMMYFUNCTION("""COMPUTED_VALUE"""),"Batterai Size AA")</f>
        <v>Batterai Size AA</v>
      </c>
      <c r="E2153" s="6">
        <f>IFERROR(__xludf.DUMMYFUNCTION("""COMPUTED_VALUE"""),4.0)</f>
        <v>4</v>
      </c>
      <c r="F2153" s="6">
        <f>IFERROR(__xludf.DUMMYFUNCTION("""COMPUTED_VALUE"""),4.0)</f>
        <v>4</v>
      </c>
      <c r="G2153" s="6">
        <f>IFERROR(__xludf.DUMMYFUNCTION("""COMPUTED_VALUE"""),0.0)</f>
        <v>0</v>
      </c>
      <c r="H2153" s="6" t="str">
        <f>IFERROR(__xludf.DUMMYFUNCTION("""COMPUTED_VALUE"""),"Pcs")</f>
        <v>Pcs</v>
      </c>
      <c r="I2153" s="6" t="str">
        <f>IFERROR(__xludf.DUMMYFUNCTION("""COMPUTED_VALUE"""),"MFH")</f>
        <v>MFH</v>
      </c>
      <c r="J2153" s="6" t="str">
        <f>IFERROR(__xludf.DUMMYFUNCTION("""COMPUTED_VALUE"""),"-")</f>
        <v>-</v>
      </c>
      <c r="K2153" s="6" t="str">
        <f>IFERROR(__xludf.DUMMYFUNCTION("""COMPUTED_VALUE"""),"SPR/06/25/038")</f>
        <v>SPR/06/25/038</v>
      </c>
      <c r="L2153" s="13">
        <f>IFERROR(__xludf.DUMMYFUNCTION("""COMPUTED_VALUE"""),45833.0)</f>
        <v>45833</v>
      </c>
    </row>
    <row r="2154">
      <c r="A2154" s="6" t="str">
        <f>IFERROR(__xludf.DUMMYFUNCTION("""COMPUTED_VALUE"""),"MRN")</f>
        <v>MRN</v>
      </c>
      <c r="B2154" s="6" t="str">
        <f>IFERROR(__xludf.DUMMYFUNCTION("""COMPUTED_VALUE"""),"ENG")</f>
        <v>ENG</v>
      </c>
      <c r="C2154" s="6" t="str">
        <f>IFERROR(__xludf.DUMMYFUNCTION("""COMPUTED_VALUE"""),"P-53055-00")</f>
        <v>P-53055-00</v>
      </c>
      <c r="D2154" s="6" t="str">
        <f>IFERROR(__xludf.DUMMYFUNCTION("""COMPUTED_VALUE"""),"General - Fuse Keramik Double 160A 690VAC Bussman FEE160")</f>
        <v>General - Fuse Keramik Double 160A 690VAC Bussman FEE160</v>
      </c>
      <c r="E2154" s="6">
        <f>IFERROR(__xludf.DUMMYFUNCTION("""COMPUTED_VALUE"""),3.0)</f>
        <v>3</v>
      </c>
      <c r="F2154" s="6">
        <f>IFERROR(__xludf.DUMMYFUNCTION("""COMPUTED_VALUE"""),3.0)</f>
        <v>3</v>
      </c>
      <c r="G2154" s="6">
        <f>IFERROR(__xludf.DUMMYFUNCTION("""COMPUTED_VALUE"""),0.0)</f>
        <v>0</v>
      </c>
      <c r="H2154" s="6" t="str">
        <f>IFERROR(__xludf.DUMMYFUNCTION("""COMPUTED_VALUE"""),"Pcs")</f>
        <v>Pcs</v>
      </c>
      <c r="I2154" s="6" t="str">
        <f>IFERROR(__xludf.DUMMYFUNCTION("""COMPUTED_VALUE"""),"MFH")</f>
        <v>MFH</v>
      </c>
      <c r="J2154" s="6" t="str">
        <f>IFERROR(__xludf.DUMMYFUNCTION("""COMPUTED_VALUE"""),"Hot Water")</f>
        <v>Hot Water</v>
      </c>
      <c r="K2154" s="6" t="str">
        <f>IFERROR(__xludf.DUMMYFUNCTION("""COMPUTED_VALUE"""),"SPR/06/25/039")</f>
        <v>SPR/06/25/039</v>
      </c>
      <c r="L2154" s="13">
        <f>IFERROR(__xludf.DUMMYFUNCTION("""COMPUTED_VALUE"""),45833.0)</f>
        <v>45833</v>
      </c>
    </row>
    <row r="2155">
      <c r="A2155" s="6" t="str">
        <f>IFERROR(__xludf.DUMMYFUNCTION("""COMPUTED_VALUE"""),"MRN")</f>
        <v>MRN</v>
      </c>
      <c r="B2155" s="6" t="str">
        <f>IFERROR(__xludf.DUMMYFUNCTION("""COMPUTED_VALUE"""),"ENG")</f>
        <v>ENG</v>
      </c>
      <c r="C2155" s="6" t="str">
        <f>IFERROR(__xludf.DUMMYFUNCTION("""COMPUTED_VALUE"""),"P-54269-00")</f>
        <v>P-54269-00</v>
      </c>
      <c r="D2155" s="6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E2155" s="6">
        <f>IFERROR(__xludf.DUMMYFUNCTION("""COMPUTED_VALUE"""),1.0)</f>
        <v>1</v>
      </c>
      <c r="F2155" s="6">
        <f>IFERROR(__xludf.DUMMYFUNCTION("""COMPUTED_VALUE"""),1.0)</f>
        <v>1</v>
      </c>
      <c r="G2155" s="6">
        <f>IFERROR(__xludf.DUMMYFUNCTION("""COMPUTED_VALUE"""),0.0)</f>
        <v>0</v>
      </c>
      <c r="H2155" s="6" t="str">
        <f>IFERROR(__xludf.DUMMYFUNCTION("""COMPUTED_VALUE"""),"Pcs")</f>
        <v>Pcs</v>
      </c>
      <c r="I2155" s="6" t="str">
        <f>IFERROR(__xludf.DUMMYFUNCTION("""COMPUTED_VALUE"""),"MFH")</f>
        <v>MFH</v>
      </c>
      <c r="J2155" s="6" t="str">
        <f>IFERROR(__xludf.DUMMYFUNCTION("""COMPUTED_VALUE"""),"Hot Water")</f>
        <v>Hot Water</v>
      </c>
      <c r="K2155" s="6" t="str">
        <f>IFERROR(__xludf.DUMMYFUNCTION("""COMPUTED_VALUE"""),"SPR/06/25/039")</f>
        <v>SPR/06/25/039</v>
      </c>
      <c r="L2155" s="13">
        <f>IFERROR(__xludf.DUMMYFUNCTION("""COMPUTED_VALUE"""),45833.0)</f>
        <v>45833</v>
      </c>
    </row>
    <row r="2156">
      <c r="A2156" s="6" t="str">
        <f>IFERROR(__xludf.DUMMYFUNCTION("""COMPUTED_VALUE"""),"ROS")</f>
        <v>ROS</v>
      </c>
      <c r="B2156" s="6" t="str">
        <f>IFERROR(__xludf.DUMMYFUNCTION("""COMPUTED_VALUE"""),"ENG")</f>
        <v>ENG</v>
      </c>
      <c r="C2156" s="6" t="str">
        <f>IFERROR(__xludf.DUMMYFUNCTION("""COMPUTED_VALUE"""),"P-18725-00")</f>
        <v>P-18725-00</v>
      </c>
      <c r="D2156" s="6" t="str">
        <f>IFERROR(__xludf.DUMMYFUNCTION("""COMPUTED_VALUE"""),"Freon Refrigerant Chemours Suva R507; ; ;")</f>
        <v>Freon Refrigerant Chemours Suva R507; ; ;</v>
      </c>
      <c r="E2156" s="6">
        <f>IFERROR(__xludf.DUMMYFUNCTION("""COMPUTED_VALUE"""),1.0)</f>
        <v>1</v>
      </c>
      <c r="F2156" s="6">
        <f>IFERROR(__xludf.DUMMYFUNCTION("""COMPUTED_VALUE"""),1.0)</f>
        <v>1</v>
      </c>
      <c r="G2156" s="6">
        <f>IFERROR(__xludf.DUMMYFUNCTION("""COMPUTED_VALUE"""),0.0)</f>
        <v>0</v>
      </c>
      <c r="H2156" s="6" t="str">
        <f>IFERROR(__xludf.DUMMYFUNCTION("""COMPUTED_VALUE"""),"Pcs")</f>
        <v>Pcs</v>
      </c>
      <c r="I2156" s="6" t="str">
        <f>IFERROR(__xludf.DUMMYFUNCTION("""COMPUTED_VALUE"""),"MFH")</f>
        <v>MFH</v>
      </c>
      <c r="J2156" s="6" t="str">
        <f>IFERROR(__xludf.DUMMYFUNCTION("""COMPUTED_VALUE"""),"Isolator SKAN")</f>
        <v>Isolator SKAN</v>
      </c>
      <c r="K2156" s="6" t="str">
        <f>IFERROR(__xludf.DUMMYFUNCTION("""COMPUTED_VALUE"""),"SPR/06/25/040")</f>
        <v>SPR/06/25/040</v>
      </c>
      <c r="L2156" s="13">
        <f>IFERROR(__xludf.DUMMYFUNCTION("""COMPUTED_VALUE"""),45833.0)</f>
        <v>45833</v>
      </c>
    </row>
    <row r="2157">
      <c r="A2157" s="6" t="str">
        <f>IFERROR(__xludf.DUMMYFUNCTION("""COMPUTED_VALUE"""),"ROS")</f>
        <v>ROS</v>
      </c>
      <c r="B2157" s="6" t="str">
        <f>IFERROR(__xludf.DUMMYFUNCTION("""COMPUTED_VALUE"""),"ENG")</f>
        <v>ENG</v>
      </c>
      <c r="C2157" s="6" t="str">
        <f>IFERROR(__xludf.DUMMYFUNCTION("""COMPUTED_VALUE"""),"O-16033-00")</f>
        <v>O-16033-00</v>
      </c>
      <c r="D215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157" s="6">
        <f>IFERROR(__xludf.DUMMYFUNCTION("""COMPUTED_VALUE"""),1.0)</f>
        <v>1</v>
      </c>
      <c r="F2157" s="6">
        <f>IFERROR(__xludf.DUMMYFUNCTION("""COMPUTED_VALUE"""),1.0)</f>
        <v>1</v>
      </c>
      <c r="G2157" s="6">
        <f>IFERROR(__xludf.DUMMYFUNCTION("""COMPUTED_VALUE"""),0.0)</f>
        <v>0</v>
      </c>
      <c r="H2157" s="6" t="str">
        <f>IFERROR(__xludf.DUMMYFUNCTION("""COMPUTED_VALUE"""),"Pcs")</f>
        <v>Pcs</v>
      </c>
      <c r="I2157" s="6" t="str">
        <f>IFERROR(__xludf.DUMMYFUNCTION("""COMPUTED_VALUE"""),"MFH")</f>
        <v>MFH</v>
      </c>
      <c r="J2157" s="6" t="str">
        <f>IFERROR(__xludf.DUMMYFUNCTION("""COMPUTED_VALUE"""),"Mixing")</f>
        <v>Mixing</v>
      </c>
      <c r="K2157" s="6" t="str">
        <f>IFERROR(__xludf.DUMMYFUNCTION("""COMPUTED_VALUE"""),"SPR/06/25/040")</f>
        <v>SPR/06/25/040</v>
      </c>
      <c r="L2157" s="13">
        <f>IFERROR(__xludf.DUMMYFUNCTION("""COMPUTED_VALUE"""),45833.0)</f>
        <v>45833</v>
      </c>
    </row>
    <row r="2158">
      <c r="A2158" s="6" t="str">
        <f>IFERROR(__xludf.DUMMYFUNCTION("""COMPUTED_VALUE"""),"ROS")</f>
        <v>ROS</v>
      </c>
      <c r="B2158" s="6" t="str">
        <f>IFERROR(__xludf.DUMMYFUNCTION("""COMPUTED_VALUE"""),"ENG")</f>
        <v>ENG</v>
      </c>
      <c r="C2158" s="6" t="str">
        <f>IFERROR(__xludf.DUMMYFUNCTION("""COMPUTED_VALUE"""),"O-54165-00")</f>
        <v>O-54165-00</v>
      </c>
      <c r="D2158" s="6" t="str">
        <f>IFERROR(__xludf.DUMMYFUNCTION("""COMPUTED_VALUE"""),"Electronic Expansion Valve ESS2U; Parker; ;")</f>
        <v>Electronic Expansion Valve ESS2U; Parker; ;</v>
      </c>
      <c r="E2158" s="6">
        <f>IFERROR(__xludf.DUMMYFUNCTION("""COMPUTED_VALUE"""),1.0)</f>
        <v>1</v>
      </c>
      <c r="F2158" s="6">
        <f>IFERROR(__xludf.DUMMYFUNCTION("""COMPUTED_VALUE"""),1.0)</f>
        <v>1</v>
      </c>
      <c r="G2158" s="6">
        <f>IFERROR(__xludf.DUMMYFUNCTION("""COMPUTED_VALUE"""),0.0)</f>
        <v>0</v>
      </c>
      <c r="H2158" s="6" t="str">
        <f>IFERROR(__xludf.DUMMYFUNCTION("""COMPUTED_VALUE"""),"pcs")</f>
        <v>pcs</v>
      </c>
      <c r="I2158" s="6" t="str">
        <f>IFERROR(__xludf.DUMMYFUNCTION("""COMPUTED_VALUE"""),"MFH")</f>
        <v>MFH</v>
      </c>
      <c r="J2158" s="6" t="str">
        <f>IFERROR(__xludf.DUMMYFUNCTION("""COMPUTED_VALUE"""),"Mixing")</f>
        <v>Mixing</v>
      </c>
      <c r="K2158" s="6" t="str">
        <f>IFERROR(__xludf.DUMMYFUNCTION("""COMPUTED_VALUE"""),"SPR/06/25/040")</f>
        <v>SPR/06/25/040</v>
      </c>
      <c r="L2158" s="13">
        <f>IFERROR(__xludf.DUMMYFUNCTION("""COMPUTED_VALUE"""),45833.0)</f>
        <v>45833</v>
      </c>
    </row>
    <row r="2159">
      <c r="A2159" s="6" t="str">
        <f>IFERROR(__xludf.DUMMYFUNCTION("""COMPUTED_VALUE"""),"MOB")</f>
        <v>MOB</v>
      </c>
      <c r="B2159" s="6" t="str">
        <f>IFERROR(__xludf.DUMMYFUNCTION("""COMPUTED_VALUE"""),"ENG")</f>
        <v>ENG</v>
      </c>
      <c r="C2159" s="6" t="str">
        <f>IFERROR(__xludf.DUMMYFUNCTION("""COMPUTED_VALUE"""),"P-14424-00")</f>
        <v>P-14424-00</v>
      </c>
      <c r="D2159" s="6" t="str">
        <f>IFERROR(__xludf.DUMMYFUNCTION("""COMPUTED_VALUE"""),"Garam Kutreat RGN-9800F; ; ; 25Kg/zak")</f>
        <v>Garam Kutreat RGN-9800F; ; ; 25Kg/zak</v>
      </c>
      <c r="E2159" s="6">
        <f>IFERROR(__xludf.DUMMYFUNCTION("""COMPUTED_VALUE"""),25.0)</f>
        <v>25</v>
      </c>
      <c r="F2159" s="6">
        <f>IFERROR(__xludf.DUMMYFUNCTION("""COMPUTED_VALUE"""),25.0)</f>
        <v>25</v>
      </c>
      <c r="G2159" s="6">
        <f>IFERROR(__xludf.DUMMYFUNCTION("""COMPUTED_VALUE"""),0.0)</f>
        <v>0</v>
      </c>
      <c r="H2159" s="6" t="str">
        <f>IFERROR(__xludf.DUMMYFUNCTION("""COMPUTED_VALUE"""),"Pcs")</f>
        <v>Pcs</v>
      </c>
      <c r="I2159" s="6" t="str">
        <f>IFERROR(__xludf.DUMMYFUNCTION("""COMPUTED_VALUE"""),"MFH")</f>
        <v>MFH</v>
      </c>
      <c r="J2159" s="6" t="str">
        <f>IFERROR(__xludf.DUMMYFUNCTION("""COMPUTED_VALUE"""),"PWG")</f>
        <v>PWG</v>
      </c>
      <c r="K2159" s="6" t="str">
        <f>IFERROR(__xludf.DUMMYFUNCTION("""COMPUTED_VALUE"""),"SPR/06/25/041")</f>
        <v>SPR/06/25/041</v>
      </c>
      <c r="L2159" s="13">
        <f>IFERROR(__xludf.DUMMYFUNCTION("""COMPUTED_VALUE"""),45833.0)</f>
        <v>45833</v>
      </c>
    </row>
    <row r="2160">
      <c r="A2160" s="6" t="str">
        <f>IFERROR(__xludf.DUMMYFUNCTION("""COMPUTED_VALUE"""),"NDS")</f>
        <v>NDS</v>
      </c>
      <c r="B2160" s="6" t="str">
        <f>IFERROR(__xludf.DUMMYFUNCTION("""COMPUTED_VALUE"""),"ENG")</f>
        <v>ENG</v>
      </c>
      <c r="C2160" s="6" t="str">
        <f>IFERROR(__xludf.DUMMYFUNCTION("""COMPUTED_VALUE"""),"O-16032-00")</f>
        <v>O-16032-00</v>
      </c>
      <c r="D216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160" s="6">
        <f>IFERROR(__xludf.DUMMYFUNCTION("""COMPUTED_VALUE"""),1.0)</f>
        <v>1</v>
      </c>
      <c r="F2160" s="6">
        <f>IFERROR(__xludf.DUMMYFUNCTION("""COMPUTED_VALUE"""),1.0)</f>
        <v>1</v>
      </c>
      <c r="G2160" s="6">
        <f>IFERROR(__xludf.DUMMYFUNCTION("""COMPUTED_VALUE"""),0.0)</f>
        <v>0</v>
      </c>
      <c r="H2160" s="6" t="str">
        <f>IFERROR(__xludf.DUMMYFUNCTION("""COMPUTED_VALUE"""),"Pcs")</f>
        <v>Pcs</v>
      </c>
      <c r="I2160" s="6" t="str">
        <f>IFERROR(__xludf.DUMMYFUNCTION("""COMPUTED_VALUE"""),"MFH")</f>
        <v>MFH</v>
      </c>
      <c r="J2160" s="6" t="str">
        <f>IFERROR(__xludf.DUMMYFUNCTION("""COMPUTED_VALUE"""),"cRABS")</f>
        <v>cRABS</v>
      </c>
      <c r="K2160" s="6" t="str">
        <f>IFERROR(__xludf.DUMMYFUNCTION("""COMPUTED_VALUE"""),"SPR/06/25/042")</f>
        <v>SPR/06/25/042</v>
      </c>
      <c r="L2160" s="13">
        <f>IFERROR(__xludf.DUMMYFUNCTION("""COMPUTED_VALUE"""),45833.0)</f>
        <v>45833</v>
      </c>
    </row>
    <row r="2161">
      <c r="A2161" s="6" t="str">
        <f>IFERROR(__xludf.DUMMYFUNCTION("""COMPUTED_VALUE"""),"MOB")</f>
        <v>MOB</v>
      </c>
      <c r="B2161" s="6" t="str">
        <f>IFERROR(__xludf.DUMMYFUNCTION("""COMPUTED_VALUE"""),"ENG")</f>
        <v>ENG</v>
      </c>
      <c r="C2161" s="6" t="str">
        <f>IFERROR(__xludf.DUMMYFUNCTION("""COMPUTED_VALUE"""),"P-17645-00")</f>
        <v>P-17645-00</v>
      </c>
      <c r="D2161" s="6" t="str">
        <f>IFERROR(__xludf.DUMMYFUNCTION("""COMPUTED_VALUE"""),"Sodium Hiphoclorite; ; ; ltr")</f>
        <v>Sodium Hiphoclorite; ; ; ltr</v>
      </c>
      <c r="E2161" s="6">
        <f>IFERROR(__xludf.DUMMYFUNCTION("""COMPUTED_VALUE"""),450.0)</f>
        <v>450</v>
      </c>
      <c r="F2161" s="6">
        <f>IFERROR(__xludf.DUMMYFUNCTION("""COMPUTED_VALUE"""),450.0)</f>
        <v>450</v>
      </c>
      <c r="G2161" s="6">
        <f>IFERROR(__xludf.DUMMYFUNCTION("""COMPUTED_VALUE"""),0.0)</f>
        <v>0</v>
      </c>
      <c r="H2161" s="6" t="str">
        <f>IFERROR(__xludf.DUMMYFUNCTION("""COMPUTED_VALUE"""),"Pcs")</f>
        <v>Pcs</v>
      </c>
      <c r="I2161" s="6" t="str">
        <f>IFERROR(__xludf.DUMMYFUNCTION("""COMPUTED_VALUE"""),"MFH")</f>
        <v>MFH</v>
      </c>
      <c r="J2161" s="6" t="str">
        <f>IFERROR(__xludf.DUMMYFUNCTION("""COMPUTED_VALUE"""),"WWTP")</f>
        <v>WWTP</v>
      </c>
      <c r="K2161" s="6" t="str">
        <f>IFERROR(__xludf.DUMMYFUNCTION("""COMPUTED_VALUE"""),"SPR/07/25/001")</f>
        <v>SPR/07/25/001</v>
      </c>
      <c r="L2161" s="13">
        <f>IFERROR(__xludf.DUMMYFUNCTION("""COMPUTED_VALUE"""),45863.0)</f>
        <v>45863</v>
      </c>
    </row>
    <row r="2162">
      <c r="A2162" s="6" t="str">
        <f>IFERROR(__xludf.DUMMYFUNCTION("""COMPUTED_VALUE"""),"AAA")</f>
        <v>AAA</v>
      </c>
      <c r="B2162" s="6" t="str">
        <f>IFERROR(__xludf.DUMMYFUNCTION("""COMPUTED_VALUE"""),"ENG")</f>
        <v>ENG</v>
      </c>
      <c r="C2162" s="6" t="str">
        <f>IFERROR(__xludf.DUMMYFUNCTION("""COMPUTED_VALUE"""),"O-16033-00")</f>
        <v>O-16033-00</v>
      </c>
      <c r="D216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162" s="6">
        <f>IFERROR(__xludf.DUMMYFUNCTION("""COMPUTED_VALUE"""),1.0)</f>
        <v>1</v>
      </c>
      <c r="F2162" s="6">
        <f>IFERROR(__xludf.DUMMYFUNCTION("""COMPUTED_VALUE"""),1.0)</f>
        <v>1</v>
      </c>
      <c r="G2162" s="6">
        <f>IFERROR(__xludf.DUMMYFUNCTION("""COMPUTED_VALUE"""),0.0)</f>
        <v>0</v>
      </c>
      <c r="H2162" s="6" t="str">
        <f>IFERROR(__xludf.DUMMYFUNCTION("""COMPUTED_VALUE"""),"Pcs")</f>
        <v>Pcs</v>
      </c>
      <c r="I2162" s="6" t="str">
        <f>IFERROR(__xludf.DUMMYFUNCTION("""COMPUTED_VALUE"""),"MFH")</f>
        <v>MFH</v>
      </c>
      <c r="J2162" s="6" t="str">
        <f>IFERROR(__xludf.DUMMYFUNCTION("""COMPUTED_VALUE"""),"cRABS")</f>
        <v>cRABS</v>
      </c>
      <c r="K2162" s="6" t="str">
        <f>IFERROR(__xludf.DUMMYFUNCTION("""COMPUTED_VALUE"""),"SPR/07/25/002")</f>
        <v>SPR/07/25/002</v>
      </c>
      <c r="L2162" s="13">
        <f>IFERROR(__xludf.DUMMYFUNCTION("""COMPUTED_VALUE"""),45863.0)</f>
        <v>45863</v>
      </c>
    </row>
    <row r="2163">
      <c r="A2163" s="6" t="str">
        <f>IFERROR(__xludf.DUMMYFUNCTION("""COMPUTED_VALUE"""),"AAA")</f>
        <v>AAA</v>
      </c>
      <c r="B2163" s="6" t="str">
        <f>IFERROR(__xludf.DUMMYFUNCTION("""COMPUTED_VALUE"""),"ENG")</f>
        <v>ENG</v>
      </c>
      <c r="C2163" s="6" t="str">
        <f>IFERROR(__xludf.DUMMYFUNCTION("""COMPUTED_VALUE"""),"P-50138-00")</f>
        <v>P-50138-00</v>
      </c>
      <c r="D2163" s="6" t="str">
        <f>IFERROR(__xludf.DUMMYFUNCTION("""COMPUTED_VALUE"""),"Battery Lithium / Buffer TL-2150 size 1/2 AA")</f>
        <v>Battery Lithium / Buffer TL-2150 size 1/2 AA</v>
      </c>
      <c r="E2163" s="6">
        <f>IFERROR(__xludf.DUMMYFUNCTION("""COMPUTED_VALUE"""),1.0)</f>
        <v>1</v>
      </c>
      <c r="F2163" s="6">
        <f>IFERROR(__xludf.DUMMYFUNCTION("""COMPUTED_VALUE"""),1.0)</f>
        <v>1</v>
      </c>
      <c r="G2163" s="6">
        <f>IFERROR(__xludf.DUMMYFUNCTION("""COMPUTED_VALUE"""),0.0)</f>
        <v>0</v>
      </c>
      <c r="H2163" s="6" t="str">
        <f>IFERROR(__xludf.DUMMYFUNCTION("""COMPUTED_VALUE"""),"Pcs")</f>
        <v>Pcs</v>
      </c>
      <c r="I2163" s="6" t="str">
        <f>IFERROR(__xludf.DUMMYFUNCTION("""COMPUTED_VALUE"""),"MFH")</f>
        <v>MFH</v>
      </c>
      <c r="J2163" s="6" t="str">
        <f>IFERROR(__xludf.DUMMYFUNCTION("""COMPUTED_VALUE"""),"HC")</f>
        <v>HC</v>
      </c>
      <c r="K2163" s="6" t="str">
        <f>IFERROR(__xludf.DUMMYFUNCTION("""COMPUTED_VALUE"""),"SPR/07/25/003")</f>
        <v>SPR/07/25/003</v>
      </c>
      <c r="L2163" s="13">
        <f>IFERROR(__xludf.DUMMYFUNCTION("""COMPUTED_VALUE"""),45863.0)</f>
        <v>45863</v>
      </c>
    </row>
    <row r="2164">
      <c r="A2164" s="6" t="str">
        <f>IFERROR(__xludf.DUMMYFUNCTION("""COMPUTED_VALUE"""),"ROS")</f>
        <v>ROS</v>
      </c>
      <c r="B2164" s="6" t="str">
        <f>IFERROR(__xludf.DUMMYFUNCTION("""COMPUTED_VALUE"""),"ENG")</f>
        <v>ENG</v>
      </c>
      <c r="C2164" s="6" t="str">
        <f>IFERROR(__xludf.DUMMYFUNCTION("""COMPUTED_VALUE"""),"O-16033-00")</f>
        <v>O-16033-00</v>
      </c>
      <c r="D216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164" s="6">
        <f>IFERROR(__xludf.DUMMYFUNCTION("""COMPUTED_VALUE"""),1.0)</f>
        <v>1</v>
      </c>
      <c r="F2164" s="6">
        <f>IFERROR(__xludf.DUMMYFUNCTION("""COMPUTED_VALUE"""),1.0)</f>
        <v>1</v>
      </c>
      <c r="G2164" s="6">
        <f>IFERROR(__xludf.DUMMYFUNCTION("""COMPUTED_VALUE"""),0.0)</f>
        <v>0</v>
      </c>
      <c r="H2164" s="6" t="str">
        <f>IFERROR(__xludf.DUMMYFUNCTION("""COMPUTED_VALUE"""),"Pcs")</f>
        <v>Pcs</v>
      </c>
      <c r="I2164" s="6" t="str">
        <f>IFERROR(__xludf.DUMMYFUNCTION("""COMPUTED_VALUE"""),"MFH")</f>
        <v>MFH</v>
      </c>
      <c r="J2164" s="6" t="str">
        <f>IFERROR(__xludf.DUMMYFUNCTION("""COMPUTED_VALUE"""),"cRABS")</f>
        <v>cRABS</v>
      </c>
      <c r="K2164" s="6" t="str">
        <f>IFERROR(__xludf.DUMMYFUNCTION("""COMPUTED_VALUE"""),"SPR/07/25/004")</f>
        <v>SPR/07/25/004</v>
      </c>
      <c r="L2164" s="13">
        <f>IFERROR(__xludf.DUMMYFUNCTION("""COMPUTED_VALUE"""),45863.0)</f>
        <v>45863</v>
      </c>
    </row>
    <row r="2165">
      <c r="A2165" s="6" t="str">
        <f>IFERROR(__xludf.DUMMYFUNCTION("""COMPUTED_VALUE"""),"INN")</f>
        <v>INN</v>
      </c>
      <c r="B2165" s="6" t="str">
        <f>IFERROR(__xludf.DUMMYFUNCTION("""COMPUTED_VALUE"""),"ENG")</f>
        <v>ENG</v>
      </c>
      <c r="C2165" s="6" t="str">
        <f>IFERROR(__xludf.DUMMYFUNCTION("""COMPUTED_VALUE"""),"O-18055-00")</f>
        <v>O-18055-00</v>
      </c>
      <c r="D2165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165" s="6">
        <f>IFERROR(__xludf.DUMMYFUNCTION("""COMPUTED_VALUE"""),1.0)</f>
        <v>1</v>
      </c>
      <c r="F2165" s="6">
        <f>IFERROR(__xludf.DUMMYFUNCTION("""COMPUTED_VALUE"""),1.0)</f>
        <v>1</v>
      </c>
      <c r="G2165" s="6">
        <f>IFERROR(__xludf.DUMMYFUNCTION("""COMPUTED_VALUE"""),0.0)</f>
        <v>0</v>
      </c>
      <c r="H2165" s="6" t="str">
        <f>IFERROR(__xludf.DUMMYFUNCTION("""COMPUTED_VALUE"""),"Pcs")</f>
        <v>Pcs</v>
      </c>
      <c r="I2165" s="6" t="str">
        <f>IFERROR(__xludf.DUMMYFUNCTION("""COMPUTED_VALUE"""),"MFH")</f>
        <v>MFH</v>
      </c>
      <c r="J2165" s="6" t="str">
        <f>IFERROR(__xludf.DUMMYFUNCTION("""COMPUTED_VALUE"""),"Cartoning")</f>
        <v>Cartoning</v>
      </c>
      <c r="K2165" s="6" t="str">
        <f>IFERROR(__xludf.DUMMYFUNCTION("""COMPUTED_VALUE"""),"SPR/07/25/005")</f>
        <v>SPR/07/25/005</v>
      </c>
      <c r="L2165" s="13">
        <f>IFERROR(__xludf.DUMMYFUNCTION("""COMPUTED_VALUE"""),45863.0)</f>
        <v>45863</v>
      </c>
    </row>
    <row r="2166">
      <c r="A2166" s="6" t="str">
        <f>IFERROR(__xludf.DUMMYFUNCTION("""COMPUTED_VALUE"""),"INN")</f>
        <v>INN</v>
      </c>
      <c r="B2166" s="6" t="str">
        <f>IFERROR(__xludf.DUMMYFUNCTION("""COMPUTED_VALUE"""),"ENG")</f>
        <v>ENG</v>
      </c>
      <c r="C2166" s="6" t="str">
        <f>IFERROR(__xludf.DUMMYFUNCTION("""COMPUTED_VALUE"""),"P-12994-00")</f>
        <v>P-12994-00</v>
      </c>
      <c r="D2166" s="6" t="str">
        <f>IFERROR(__xludf.DUMMYFUNCTION("""COMPUTED_VALUE"""),"Nippon Tape - ASF-110FR")</f>
        <v>Nippon Tape - ASF-110FR</v>
      </c>
      <c r="E2166" s="6">
        <f>IFERROR(__xludf.DUMMYFUNCTION("""COMPUTED_VALUE"""),1.0)</f>
        <v>1</v>
      </c>
      <c r="F2166" s="6">
        <f>IFERROR(__xludf.DUMMYFUNCTION("""COMPUTED_VALUE"""),1.0)</f>
        <v>1</v>
      </c>
      <c r="G2166" s="6">
        <f>IFERROR(__xludf.DUMMYFUNCTION("""COMPUTED_VALUE"""),0.0)</f>
        <v>0</v>
      </c>
      <c r="H2166" s="6" t="str">
        <f>IFERROR(__xludf.DUMMYFUNCTION("""COMPUTED_VALUE"""),"Pcs")</f>
        <v>Pcs</v>
      </c>
      <c r="I2166" s="6" t="str">
        <f>IFERROR(__xludf.DUMMYFUNCTION("""COMPUTED_VALUE"""),"MFH")</f>
        <v>MFH</v>
      </c>
      <c r="J2166" s="6" t="str">
        <f>IFERROR(__xludf.DUMMYFUNCTION("""COMPUTED_VALUE"""),"Capping")</f>
        <v>Capping</v>
      </c>
      <c r="K2166" s="6" t="str">
        <f>IFERROR(__xludf.DUMMYFUNCTION("""COMPUTED_VALUE"""),"SPR/07/25/005")</f>
        <v>SPR/07/25/005</v>
      </c>
      <c r="L2166" s="13">
        <f>IFERROR(__xludf.DUMMYFUNCTION("""COMPUTED_VALUE"""),45863.0)</f>
        <v>45863</v>
      </c>
    </row>
    <row r="2167">
      <c r="A2167" s="6" t="str">
        <f>IFERROR(__xludf.DUMMYFUNCTION("""COMPUTED_VALUE"""),"INN")</f>
        <v>INN</v>
      </c>
      <c r="B2167" s="6" t="str">
        <f>IFERROR(__xludf.DUMMYFUNCTION("""COMPUTED_VALUE"""),"ENG")</f>
        <v>ENG</v>
      </c>
      <c r="C2167" s="6" t="str">
        <f>IFERROR(__xludf.DUMMYFUNCTION("""COMPUTED_VALUE"""),"P-11968-00")</f>
        <v>P-11968-00</v>
      </c>
      <c r="D2167" s="6" t="str">
        <f>IFERROR(__xludf.DUMMYFUNCTION("""COMPUTED_VALUE"""),"Berusynt FGH Spray H1 - Bechem")</f>
        <v>Berusynt FGH Spray H1 - Bechem</v>
      </c>
      <c r="E2167" s="6">
        <f>IFERROR(__xludf.DUMMYFUNCTION("""COMPUTED_VALUE"""),1.0)</f>
        <v>1</v>
      </c>
      <c r="F2167" s="6">
        <f>IFERROR(__xludf.DUMMYFUNCTION("""COMPUTED_VALUE"""),1.0)</f>
        <v>1</v>
      </c>
      <c r="G2167" s="6">
        <f>IFERROR(__xludf.DUMMYFUNCTION("""COMPUTED_VALUE"""),0.0)</f>
        <v>0</v>
      </c>
      <c r="H2167" s="6" t="str">
        <f>IFERROR(__xludf.DUMMYFUNCTION("""COMPUTED_VALUE"""),"pcs")</f>
        <v>pcs</v>
      </c>
      <c r="I2167" s="6" t="str">
        <f>IFERROR(__xludf.DUMMYFUNCTION("""COMPUTED_VALUE"""),"MFH")</f>
        <v>MFH</v>
      </c>
      <c r="J2167" s="6" t="str">
        <f>IFERROR(__xludf.DUMMYFUNCTION("""COMPUTED_VALUE"""),"-")</f>
        <v>-</v>
      </c>
      <c r="K2167" s="6" t="str">
        <f>IFERROR(__xludf.DUMMYFUNCTION("""COMPUTED_VALUE"""),"SPR/07/25/005")</f>
        <v>SPR/07/25/005</v>
      </c>
      <c r="L2167" s="13">
        <f>IFERROR(__xludf.DUMMYFUNCTION("""COMPUTED_VALUE"""),45863.0)</f>
        <v>45863</v>
      </c>
    </row>
    <row r="2168">
      <c r="A2168" s="6" t="str">
        <f>IFERROR(__xludf.DUMMYFUNCTION("""COMPUTED_VALUE"""),"INN")</f>
        <v>INN</v>
      </c>
      <c r="B2168" s="6" t="str">
        <f>IFERROR(__xludf.DUMMYFUNCTION("""COMPUTED_VALUE"""),"ENG")</f>
        <v>ENG</v>
      </c>
      <c r="C2168" s="6" t="str">
        <f>IFERROR(__xludf.DUMMYFUNCTION("""COMPUTED_VALUE"""),"O-16752-00")</f>
        <v>O-16752-00</v>
      </c>
      <c r="D2168" s="6" t="str">
        <f>IFERROR(__xludf.DUMMYFUNCTION("""COMPUTED_VALUE"""),"Marchesini FB220-PN. 7301604 MODULE,E.DOT+, 0,35MM NOZZLE  Nordson; Nordson; ;")</f>
        <v>Marchesini FB220-PN. 7301604 MODULE,E.DOT+, 0,35MM NOZZLE  Nordson; Nordson; ;</v>
      </c>
      <c r="E2168" s="6">
        <f>IFERROR(__xludf.DUMMYFUNCTION("""COMPUTED_VALUE"""),1.0)</f>
        <v>1</v>
      </c>
      <c r="F2168" s="6">
        <f>IFERROR(__xludf.DUMMYFUNCTION("""COMPUTED_VALUE"""),1.0)</f>
        <v>1</v>
      </c>
      <c r="G2168" s="6">
        <f>IFERROR(__xludf.DUMMYFUNCTION("""COMPUTED_VALUE"""),0.0)</f>
        <v>0</v>
      </c>
      <c r="H2168" s="6" t="str">
        <f>IFERROR(__xludf.DUMMYFUNCTION("""COMPUTED_VALUE"""),"pcs")</f>
        <v>pcs</v>
      </c>
      <c r="I2168" s="6" t="str">
        <f>IFERROR(__xludf.DUMMYFUNCTION("""COMPUTED_VALUE"""),"MFH")</f>
        <v>MFH</v>
      </c>
      <c r="J2168" s="6" t="str">
        <f>IFERROR(__xludf.DUMMYFUNCTION("""COMPUTED_VALUE"""),"Cartoning")</f>
        <v>Cartoning</v>
      </c>
      <c r="K2168" s="6" t="str">
        <f>IFERROR(__xludf.DUMMYFUNCTION("""COMPUTED_VALUE"""),"SPR/07/25/006")</f>
        <v>SPR/07/25/006</v>
      </c>
      <c r="L2168" s="13">
        <f>IFERROR(__xludf.DUMMYFUNCTION("""COMPUTED_VALUE"""),45863.0)</f>
        <v>45863</v>
      </c>
    </row>
    <row r="2169">
      <c r="A2169" s="6" t="str">
        <f>IFERROR(__xludf.DUMMYFUNCTION("""COMPUTED_VALUE"""),"INN")</f>
        <v>INN</v>
      </c>
      <c r="B2169" s="6" t="str">
        <f>IFERROR(__xludf.DUMMYFUNCTION("""COMPUTED_VALUE"""),"ENG")</f>
        <v>ENG</v>
      </c>
      <c r="C2169" s="6" t="str">
        <f>IFERROR(__xludf.DUMMYFUNCTION("""COMPUTED_VALUE"""),"P-50288-00")</f>
        <v>P-50288-00</v>
      </c>
      <c r="D2169" s="6" t="str">
        <f>IFERROR(__xludf.DUMMYFUNCTION("""COMPUTED_VALUE"""),"Bola Lampu - Halogen 20 W Osram")</f>
        <v>Bola Lampu - Halogen 20 W Osram</v>
      </c>
      <c r="E2169" s="6">
        <f>IFERROR(__xludf.DUMMYFUNCTION("""COMPUTED_VALUE"""),1.0)</f>
        <v>1</v>
      </c>
      <c r="F2169" s="6">
        <f>IFERROR(__xludf.DUMMYFUNCTION("""COMPUTED_VALUE"""),1.0)</f>
        <v>1</v>
      </c>
      <c r="G2169" s="6">
        <f>IFERROR(__xludf.DUMMYFUNCTION("""COMPUTED_VALUE"""),0.0)</f>
        <v>0</v>
      </c>
      <c r="H2169" s="6" t="str">
        <f>IFERROR(__xludf.DUMMYFUNCTION("""COMPUTED_VALUE"""),"Pcs")</f>
        <v>Pcs</v>
      </c>
      <c r="I2169" s="6" t="str">
        <f>IFERROR(__xludf.DUMMYFUNCTION("""COMPUTED_VALUE"""),"MFH")</f>
        <v>MFH</v>
      </c>
      <c r="J2169" s="6" t="str">
        <f>IFERROR(__xludf.DUMMYFUNCTION("""COMPUTED_VALUE"""),"Mixing")</f>
        <v>Mixing</v>
      </c>
      <c r="K2169" s="6" t="str">
        <f>IFERROR(__xludf.DUMMYFUNCTION("""COMPUTED_VALUE"""),"SPR/07/25/007")</f>
        <v>SPR/07/25/007</v>
      </c>
      <c r="L2169" s="13">
        <f>IFERROR(__xludf.DUMMYFUNCTION("""COMPUTED_VALUE"""),45863.0)</f>
        <v>45863</v>
      </c>
    </row>
    <row r="2170">
      <c r="A2170" s="6" t="str">
        <f>IFERROR(__xludf.DUMMYFUNCTION("""COMPUTED_VALUE"""),"INN")</f>
        <v>INN</v>
      </c>
      <c r="B2170" s="6" t="str">
        <f>IFERROR(__xludf.DUMMYFUNCTION("""COMPUTED_VALUE"""),"ENG")</f>
        <v>ENG</v>
      </c>
      <c r="C2170" s="6" t="str">
        <f>IFERROR(__xludf.DUMMYFUNCTION("""COMPUTED_VALUE"""),"O-20505-00")</f>
        <v>O-20505-00</v>
      </c>
      <c r="D2170" s="6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E2170" s="6">
        <f>IFERROR(__xludf.DUMMYFUNCTION("""COMPUTED_VALUE"""),1.0)</f>
        <v>1</v>
      </c>
      <c r="F2170" s="6">
        <f>IFERROR(__xludf.DUMMYFUNCTION("""COMPUTED_VALUE"""),1.0)</f>
        <v>1</v>
      </c>
      <c r="G2170" s="6">
        <f>IFERROR(__xludf.DUMMYFUNCTION("""COMPUTED_VALUE"""),0.0)</f>
        <v>0</v>
      </c>
      <c r="H2170" s="6" t="str">
        <f>IFERROR(__xludf.DUMMYFUNCTION("""COMPUTED_VALUE"""),"Pcs")</f>
        <v>Pcs</v>
      </c>
      <c r="I2170" s="6" t="str">
        <f>IFERROR(__xludf.DUMMYFUNCTION("""COMPUTED_VALUE"""),"MFH")</f>
        <v>MFH</v>
      </c>
      <c r="J2170" s="6" t="str">
        <f>IFERROR(__xludf.DUMMYFUNCTION("""COMPUTED_VALUE"""),"Mixing")</f>
        <v>Mixing</v>
      </c>
      <c r="K2170" s="6" t="str">
        <f>IFERROR(__xludf.DUMMYFUNCTION("""COMPUTED_VALUE"""),"SPR/07/25/007")</f>
        <v>SPR/07/25/007</v>
      </c>
      <c r="L2170" s="13">
        <f>IFERROR(__xludf.DUMMYFUNCTION("""COMPUTED_VALUE"""),45863.0)</f>
        <v>45863</v>
      </c>
    </row>
    <row r="2171">
      <c r="A2171" s="6" t="str">
        <f>IFERROR(__xludf.DUMMYFUNCTION("""COMPUTED_VALUE"""),"ROS")</f>
        <v>ROS</v>
      </c>
      <c r="B2171" s="6" t="str">
        <f>IFERROR(__xludf.DUMMYFUNCTION("""COMPUTED_VALUE"""),"ENG")</f>
        <v>ENG</v>
      </c>
      <c r="C2171" s="6" t="str">
        <f>IFERROR(__xludf.DUMMYFUNCTION("""COMPUTED_VALUE"""),"O-14644-00")</f>
        <v>O-14644-00</v>
      </c>
      <c r="D2171" s="6" t="str">
        <f>IFERROR(__xludf.DUMMYFUNCTION("""COMPUTED_VALUE"""),"Silicone Gasket for Ferrule dia. 4""; ; ;")</f>
        <v>Silicone Gasket for Ferrule dia. 4"; ; ;</v>
      </c>
      <c r="E2171" s="6">
        <f>IFERROR(__xludf.DUMMYFUNCTION("""COMPUTED_VALUE"""),2.0)</f>
        <v>2</v>
      </c>
      <c r="F2171" s="6">
        <f>IFERROR(__xludf.DUMMYFUNCTION("""COMPUTED_VALUE"""),2.0)</f>
        <v>2</v>
      </c>
      <c r="G2171" s="6">
        <f>IFERROR(__xludf.DUMMYFUNCTION("""COMPUTED_VALUE"""),0.0)</f>
        <v>0</v>
      </c>
      <c r="H2171" s="6" t="str">
        <f>IFERROR(__xludf.DUMMYFUNCTION("""COMPUTED_VALUE"""),"Pcs")</f>
        <v>Pcs</v>
      </c>
      <c r="I2171" s="6" t="str">
        <f>IFERROR(__xludf.DUMMYFUNCTION("""COMPUTED_VALUE"""),"MFH")</f>
        <v>MFH</v>
      </c>
      <c r="J2171" s="6" t="str">
        <f>IFERROR(__xludf.DUMMYFUNCTION("""COMPUTED_VALUE"""),"Autoclave")</f>
        <v>Autoclave</v>
      </c>
      <c r="K2171" s="6" t="str">
        <f>IFERROR(__xludf.DUMMYFUNCTION("""COMPUTED_VALUE"""),"SPR/07/25/008")</f>
        <v>SPR/07/25/008</v>
      </c>
      <c r="L2171" s="13">
        <f>IFERROR(__xludf.DUMMYFUNCTION("""COMPUTED_VALUE"""),45863.0)</f>
        <v>45863</v>
      </c>
    </row>
    <row r="2172">
      <c r="A2172" s="6" t="str">
        <f>IFERROR(__xludf.DUMMYFUNCTION("""COMPUTED_VALUE"""),"MOB")</f>
        <v>MOB</v>
      </c>
      <c r="B2172" s="6" t="str">
        <f>IFERROR(__xludf.DUMMYFUNCTION("""COMPUTED_VALUE"""),"PRO")</f>
        <v>PRO</v>
      </c>
      <c r="C2172" s="6" t="str">
        <f>IFERROR(__xludf.DUMMYFUNCTION("""COMPUTED_VALUE"""),"P-17645-00")</f>
        <v>P-17645-00</v>
      </c>
      <c r="D2172" s="6" t="str">
        <f>IFERROR(__xludf.DUMMYFUNCTION("""COMPUTED_VALUE"""),"Sodium Hiphoclorite; ; ; ltr")</f>
        <v>Sodium Hiphoclorite; ; ; ltr</v>
      </c>
      <c r="E2172" s="6">
        <f>IFERROR(__xludf.DUMMYFUNCTION("""COMPUTED_VALUE"""),50.0)</f>
        <v>50</v>
      </c>
      <c r="F2172" s="6">
        <f>IFERROR(__xludf.DUMMYFUNCTION("""COMPUTED_VALUE"""),50.0)</f>
        <v>50</v>
      </c>
      <c r="G2172" s="6">
        <f>IFERROR(__xludf.DUMMYFUNCTION("""COMPUTED_VALUE"""),0.0)</f>
        <v>0</v>
      </c>
      <c r="H2172" s="6" t="str">
        <f>IFERROR(__xludf.DUMMYFUNCTION("""COMPUTED_VALUE"""),"Pcs")</f>
        <v>Pcs</v>
      </c>
      <c r="I2172" s="6" t="str">
        <f>IFERROR(__xludf.DUMMYFUNCTION("""COMPUTED_VALUE"""),"MFH")</f>
        <v>MFH</v>
      </c>
      <c r="J2172" s="6" t="str">
        <f>IFERROR(__xludf.DUMMYFUNCTION("""COMPUTED_VALUE"""),"Produksi")</f>
        <v>Produksi</v>
      </c>
      <c r="K2172" s="6" t="str">
        <f>IFERROR(__xludf.DUMMYFUNCTION("""COMPUTED_VALUE"""),"SPR/07/25/009")</f>
        <v>SPR/07/25/009</v>
      </c>
      <c r="L2172" s="13">
        <f>IFERROR(__xludf.DUMMYFUNCTION("""COMPUTED_VALUE"""),45863.0)</f>
        <v>45863</v>
      </c>
    </row>
    <row r="2173">
      <c r="A2173" s="6" t="str">
        <f>IFERROR(__xludf.DUMMYFUNCTION("""COMPUTED_VALUE"""),"PHL")</f>
        <v>PHL</v>
      </c>
      <c r="B2173" s="6" t="str">
        <f>IFERROR(__xludf.DUMMYFUNCTION("""COMPUTED_VALUE"""),"ENG")</f>
        <v>ENG</v>
      </c>
      <c r="C2173" s="6" t="str">
        <f>IFERROR(__xludf.DUMMYFUNCTION("""COMPUTED_VALUE"""),"P-17645-00")</f>
        <v>P-17645-00</v>
      </c>
      <c r="D2173" s="6" t="str">
        <f>IFERROR(__xludf.DUMMYFUNCTION("""COMPUTED_VALUE"""),"Sodium Hiphoclorite; ; ; ltr")</f>
        <v>Sodium Hiphoclorite; ; ; ltr</v>
      </c>
      <c r="E2173" s="6">
        <f>IFERROR(__xludf.DUMMYFUNCTION("""COMPUTED_VALUE"""),25.0)</f>
        <v>25</v>
      </c>
      <c r="F2173" s="6">
        <f>IFERROR(__xludf.DUMMYFUNCTION("""COMPUTED_VALUE"""),25.0)</f>
        <v>25</v>
      </c>
      <c r="G2173" s="6">
        <f>IFERROR(__xludf.DUMMYFUNCTION("""COMPUTED_VALUE"""),0.0)</f>
        <v>0</v>
      </c>
      <c r="H2173" s="6" t="str">
        <f>IFERROR(__xludf.DUMMYFUNCTION("""COMPUTED_VALUE"""),"Pcs")</f>
        <v>Pcs</v>
      </c>
      <c r="I2173" s="6" t="str">
        <f>IFERROR(__xludf.DUMMYFUNCTION("""COMPUTED_VALUE"""),"MFH")</f>
        <v>MFH</v>
      </c>
      <c r="J2173" s="6" t="str">
        <f>IFERROR(__xludf.DUMMYFUNCTION("""COMPUTED_VALUE"""),"QCC")</f>
        <v>QCC</v>
      </c>
      <c r="K2173" s="6" t="str">
        <f>IFERROR(__xludf.DUMMYFUNCTION("""COMPUTED_VALUE"""),"SPR/07/25/010")</f>
        <v>SPR/07/25/010</v>
      </c>
      <c r="L2173" s="13">
        <f>IFERROR(__xludf.DUMMYFUNCTION("""COMPUTED_VALUE"""),45863.0)</f>
        <v>45863</v>
      </c>
    </row>
    <row r="2174">
      <c r="A2174" s="6" t="str">
        <f>IFERROR(__xludf.DUMMYFUNCTION("""COMPUTED_VALUE"""),"RIA")</f>
        <v>RIA</v>
      </c>
      <c r="B2174" s="6" t="str">
        <f>IFERROR(__xludf.DUMMYFUNCTION("""COMPUTED_VALUE"""),"ENG")</f>
        <v>ENG</v>
      </c>
      <c r="C2174" s="6" t="str">
        <f>IFERROR(__xludf.DUMMYFUNCTION("""COMPUTED_VALUE"""),"O-53032-00")</f>
        <v>O-53032-00</v>
      </c>
      <c r="D2174" s="6" t="str">
        <f>IFERROR(__xludf.DUMMYFUNCTION("""COMPUTED_VALUE"""),"Cable Temperature Sensor Silicone 1,5m PT1000 QAP2012.150")</f>
        <v>Cable Temperature Sensor Silicone 1,5m PT1000 QAP2012.150</v>
      </c>
      <c r="E2174" s="6">
        <f>IFERROR(__xludf.DUMMYFUNCTION("""COMPUTED_VALUE"""),2.0)</f>
        <v>2</v>
      </c>
      <c r="F2174" s="6">
        <f>IFERROR(__xludf.DUMMYFUNCTION("""COMPUTED_VALUE"""),2.0)</f>
        <v>2</v>
      </c>
      <c r="G2174" s="6">
        <f>IFERROR(__xludf.DUMMYFUNCTION("""COMPUTED_VALUE"""),0.0)</f>
        <v>0</v>
      </c>
      <c r="H2174" s="6" t="str">
        <f>IFERROR(__xludf.DUMMYFUNCTION("""COMPUTED_VALUE"""),"Pcs")</f>
        <v>Pcs</v>
      </c>
      <c r="I2174" s="6" t="str">
        <f>IFERROR(__xludf.DUMMYFUNCTION("""COMPUTED_VALUE"""),"MFH")</f>
        <v>MFH</v>
      </c>
      <c r="J2174" s="6" t="str">
        <f>IFERROR(__xludf.DUMMYFUNCTION("""COMPUTED_VALUE"""),"-")</f>
        <v>-</v>
      </c>
      <c r="K2174" s="6" t="str">
        <f>IFERROR(__xludf.DUMMYFUNCTION("""COMPUTED_VALUE"""),"SPR/07/25/011")</f>
        <v>SPR/07/25/011</v>
      </c>
      <c r="L2174" s="13">
        <f>IFERROR(__xludf.DUMMYFUNCTION("""COMPUTED_VALUE"""),45863.0)</f>
        <v>45863</v>
      </c>
    </row>
    <row r="2175">
      <c r="A2175" s="6" t="str">
        <f>IFERROR(__xludf.DUMMYFUNCTION("""COMPUTED_VALUE"""),"MRN")</f>
        <v>MRN</v>
      </c>
      <c r="B2175" s="6" t="str">
        <f>IFERROR(__xludf.DUMMYFUNCTION("""COMPUTED_VALUE"""),"ENG")</f>
        <v>ENG</v>
      </c>
      <c r="C2175" s="6" t="str">
        <f>IFERROR(__xludf.DUMMYFUNCTION("""COMPUTED_VALUE"""),"P-11968-00")</f>
        <v>P-11968-00</v>
      </c>
      <c r="D2175" s="6" t="str">
        <f>IFERROR(__xludf.DUMMYFUNCTION("""COMPUTED_VALUE"""),"Berusynt FGH Spray H1 - Bechem")</f>
        <v>Berusynt FGH Spray H1 - Bechem</v>
      </c>
      <c r="E2175" s="6">
        <f>IFERROR(__xludf.DUMMYFUNCTION("""COMPUTED_VALUE"""),1.0)</f>
        <v>1</v>
      </c>
      <c r="F2175" s="6">
        <f>IFERROR(__xludf.DUMMYFUNCTION("""COMPUTED_VALUE"""),1.0)</f>
        <v>1</v>
      </c>
      <c r="G2175" s="6">
        <f>IFERROR(__xludf.DUMMYFUNCTION("""COMPUTED_VALUE"""),0.0)</f>
        <v>0</v>
      </c>
      <c r="H2175" s="6" t="str">
        <f>IFERROR(__xludf.DUMMYFUNCTION("""COMPUTED_VALUE"""),"pcs")</f>
        <v>pcs</v>
      </c>
      <c r="I2175" s="6" t="str">
        <f>IFERROR(__xludf.DUMMYFUNCTION("""COMPUTED_VALUE"""),"MFH")</f>
        <v>MFH</v>
      </c>
      <c r="J2175" s="6" t="str">
        <f>IFERROR(__xludf.DUMMYFUNCTION("""COMPUTED_VALUE"""),"Mixing")</f>
        <v>Mixing</v>
      </c>
      <c r="K2175" s="6" t="str">
        <f>IFERROR(__xludf.DUMMYFUNCTION("""COMPUTED_VALUE"""),"SPR/07/25/012")</f>
        <v>SPR/07/25/012</v>
      </c>
      <c r="L2175" s="13">
        <f>IFERROR(__xludf.DUMMYFUNCTION("""COMPUTED_VALUE"""),45863.0)</f>
        <v>45863</v>
      </c>
    </row>
    <row r="2176">
      <c r="A2176" s="6" t="str">
        <f>IFERROR(__xludf.DUMMYFUNCTION("""COMPUTED_VALUE"""),"AAA")</f>
        <v>AAA</v>
      </c>
      <c r="B2176" s="6" t="str">
        <f>IFERROR(__xludf.DUMMYFUNCTION("""COMPUTED_VALUE"""),"ENG")</f>
        <v>ENG</v>
      </c>
      <c r="C2176" s="6" t="str">
        <f>IFERROR(__xludf.DUMMYFUNCTION("""COMPUTED_VALUE"""),"T-12277-00")</f>
        <v>T-12277-00</v>
      </c>
      <c r="D2176" s="6" t="str">
        <f>IFERROR(__xludf.DUMMYFUNCTION("""COMPUTED_VALUE"""),"Seagate One Touch 5TB External Hardisk; ; ;")</f>
        <v>Seagate One Touch 5TB External Hardisk; ; ;</v>
      </c>
      <c r="E2176" s="6">
        <f>IFERROR(__xludf.DUMMYFUNCTION("""COMPUTED_VALUE"""),1.0)</f>
        <v>1</v>
      </c>
      <c r="F2176" s="6">
        <f>IFERROR(__xludf.DUMMYFUNCTION("""COMPUTED_VALUE"""),1.0)</f>
        <v>1</v>
      </c>
      <c r="G2176" s="6">
        <f>IFERROR(__xludf.DUMMYFUNCTION("""COMPUTED_VALUE"""),0.0)</f>
        <v>0</v>
      </c>
      <c r="H2176" s="6" t="str">
        <f>IFERROR(__xludf.DUMMYFUNCTION("""COMPUTED_VALUE"""),"Pcs")</f>
        <v>Pcs</v>
      </c>
      <c r="I2176" s="6" t="str">
        <f>IFERROR(__xludf.DUMMYFUNCTION("""COMPUTED_VALUE"""),"MFH")</f>
        <v>MFH</v>
      </c>
      <c r="J2176" s="6" t="str">
        <f>IFERROR(__xludf.DUMMYFUNCTION("""COMPUTED_VALUE"""),"PC")</f>
        <v>PC</v>
      </c>
      <c r="K2176" s="6" t="str">
        <f>IFERROR(__xludf.DUMMYFUNCTION("""COMPUTED_VALUE"""),"SPR/07/25/013")</f>
        <v>SPR/07/25/013</v>
      </c>
      <c r="L2176" s="13">
        <f>IFERROR(__xludf.DUMMYFUNCTION("""COMPUTED_VALUE"""),45863.0)</f>
        <v>45863</v>
      </c>
    </row>
    <row r="2177">
      <c r="A2177" s="6" t="str">
        <f>IFERROR(__xludf.DUMMYFUNCTION("""COMPUTED_VALUE"""),"RIA")</f>
        <v>RIA</v>
      </c>
      <c r="B2177" s="6" t="str">
        <f>IFERROR(__xludf.DUMMYFUNCTION("""COMPUTED_VALUE"""),"ENG")</f>
        <v>ENG</v>
      </c>
      <c r="C2177" s="6" t="str">
        <f>IFERROR(__xludf.DUMMYFUNCTION("""COMPUTED_VALUE"""),"P-51889-00")</f>
        <v>P-51889-00</v>
      </c>
      <c r="D2177" s="6" t="str">
        <f>IFERROR(__xludf.DUMMYFUNCTION("""COMPUTED_VALUE"""),"Autonics - Power Supply SPA-050-24VDC; ; ;")</f>
        <v>Autonics - Power Supply SPA-050-24VDC; ; ;</v>
      </c>
      <c r="E2177" s="6">
        <f>IFERROR(__xludf.DUMMYFUNCTION("""COMPUTED_VALUE"""),1.0)</f>
        <v>1</v>
      </c>
      <c r="F2177" s="6">
        <f>IFERROR(__xludf.DUMMYFUNCTION("""COMPUTED_VALUE"""),1.0)</f>
        <v>1</v>
      </c>
      <c r="G2177" s="6">
        <f>IFERROR(__xludf.DUMMYFUNCTION("""COMPUTED_VALUE"""),0.0)</f>
        <v>0</v>
      </c>
      <c r="H2177" s="6" t="str">
        <f>IFERROR(__xludf.DUMMYFUNCTION("""COMPUTED_VALUE"""),"Pcs")</f>
        <v>Pcs</v>
      </c>
      <c r="I2177" s="6" t="str">
        <f>IFERROR(__xludf.DUMMYFUNCTION("""COMPUTED_VALUE"""),"MFH")</f>
        <v>MFH</v>
      </c>
      <c r="J2177" s="6" t="str">
        <f>IFERROR(__xludf.DUMMYFUNCTION("""COMPUTED_VALUE"""),"-")</f>
        <v>-</v>
      </c>
      <c r="K2177" s="6" t="str">
        <f>IFERROR(__xludf.DUMMYFUNCTION("""COMPUTED_VALUE"""),"SPR/07/25/014")</f>
        <v>SPR/07/25/014</v>
      </c>
      <c r="L2177" s="13">
        <f>IFERROR(__xludf.DUMMYFUNCTION("""COMPUTED_VALUE"""),45863.0)</f>
        <v>45863</v>
      </c>
    </row>
    <row r="2178">
      <c r="A2178" s="6" t="str">
        <f>IFERROR(__xludf.DUMMYFUNCTION("""COMPUTED_VALUE"""),"RIA")</f>
        <v>RIA</v>
      </c>
      <c r="B2178" s="6" t="str">
        <f>IFERROR(__xludf.DUMMYFUNCTION("""COMPUTED_VALUE"""),"ENG")</f>
        <v>ENG</v>
      </c>
      <c r="C2178" s="6" t="str">
        <f>IFERROR(__xludf.DUMMYFUNCTION("""COMPUTED_VALUE"""),"O-54014-00")</f>
        <v>O-54014-00</v>
      </c>
      <c r="D2178" s="6" t="str">
        <f>IFERROR(__xludf.DUMMYFUNCTION("""COMPUTED_VALUE"""),"STEKER 1 PHASE, BROCO")</f>
        <v>STEKER 1 PHASE, BROCO</v>
      </c>
      <c r="E2178" s="6">
        <f>IFERROR(__xludf.DUMMYFUNCTION("""COMPUTED_VALUE"""),1.0)</f>
        <v>1</v>
      </c>
      <c r="F2178" s="6">
        <f>IFERROR(__xludf.DUMMYFUNCTION("""COMPUTED_VALUE"""),1.0)</f>
        <v>1</v>
      </c>
      <c r="G2178" s="6">
        <f>IFERROR(__xludf.DUMMYFUNCTION("""COMPUTED_VALUE"""),0.0)</f>
        <v>0</v>
      </c>
      <c r="H2178" s="6" t="str">
        <f>IFERROR(__xludf.DUMMYFUNCTION("""COMPUTED_VALUE"""),"Pcs")</f>
        <v>Pcs</v>
      </c>
      <c r="I2178" s="6" t="str">
        <f>IFERROR(__xludf.DUMMYFUNCTION("""COMPUTED_VALUE"""),"MFH")</f>
        <v>MFH</v>
      </c>
      <c r="J2178" s="6" t="str">
        <f>IFERROR(__xludf.DUMMYFUNCTION("""COMPUTED_VALUE"""),"-")</f>
        <v>-</v>
      </c>
      <c r="K2178" s="6" t="str">
        <f>IFERROR(__xludf.DUMMYFUNCTION("""COMPUTED_VALUE"""),"SPR/07/25/014")</f>
        <v>SPR/07/25/014</v>
      </c>
      <c r="L2178" s="13">
        <f>IFERROR(__xludf.DUMMYFUNCTION("""COMPUTED_VALUE"""),45863.0)</f>
        <v>45863</v>
      </c>
    </row>
    <row r="2179">
      <c r="A2179" s="6" t="str">
        <f>IFERROR(__xludf.DUMMYFUNCTION("""COMPUTED_VALUE"""),"NDS")</f>
        <v>NDS</v>
      </c>
      <c r="B2179" s="6" t="str">
        <f>IFERROR(__xludf.DUMMYFUNCTION("""COMPUTED_VALUE"""),"ENG")</f>
        <v>ENG</v>
      </c>
      <c r="C2179" s="6" t="str">
        <f>IFERROR(__xludf.DUMMYFUNCTION("""COMPUTED_VALUE"""),"P-11195-00")</f>
        <v>P-11195-00</v>
      </c>
      <c r="D2179" s="6" t="str">
        <f>IFERROR(__xludf.DUMMYFUNCTION("""COMPUTED_VALUE"""),"General - Push-in Fitting, QSF-1/8-6-B; Festo; 153023; 1 pcs")</f>
        <v>General - Push-in Fitting, QSF-1/8-6-B; Festo; 153023; 1 pcs</v>
      </c>
      <c r="E2179" s="6">
        <f>IFERROR(__xludf.DUMMYFUNCTION("""COMPUTED_VALUE"""),1.0)</f>
        <v>1</v>
      </c>
      <c r="F2179" s="6">
        <f>IFERROR(__xludf.DUMMYFUNCTION("""COMPUTED_VALUE"""),1.0)</f>
        <v>1</v>
      </c>
      <c r="G2179" s="6">
        <f>IFERROR(__xludf.DUMMYFUNCTION("""COMPUTED_VALUE"""),0.0)</f>
        <v>0</v>
      </c>
      <c r="H2179" s="6" t="str">
        <f>IFERROR(__xludf.DUMMYFUNCTION("""COMPUTED_VALUE"""),"Pcs")</f>
        <v>Pcs</v>
      </c>
      <c r="I2179" s="6" t="str">
        <f>IFERROR(__xludf.DUMMYFUNCTION("""COMPUTED_VALUE"""),"MFH")</f>
        <v>MFH</v>
      </c>
      <c r="J2179" s="6" t="str">
        <f>IFERROR(__xludf.DUMMYFUNCTION("""COMPUTED_VALUE"""),"Glove")</f>
        <v>Glove</v>
      </c>
      <c r="K2179" s="6" t="str">
        <f>IFERROR(__xludf.DUMMYFUNCTION("""COMPUTED_VALUE"""),"SPR/07/25/015")</f>
        <v>SPR/07/25/015</v>
      </c>
      <c r="L2179" s="13">
        <f>IFERROR(__xludf.DUMMYFUNCTION("""COMPUTED_VALUE"""),45863.0)</f>
        <v>45863</v>
      </c>
    </row>
    <row r="2180">
      <c r="A2180" s="6" t="str">
        <f>IFERROR(__xludf.DUMMYFUNCTION("""COMPUTED_VALUE"""),"ANO")</f>
        <v>ANO</v>
      </c>
      <c r="B2180" s="6" t="str">
        <f>IFERROR(__xludf.DUMMYFUNCTION("""COMPUTED_VALUE"""),"ENG")</f>
        <v>ENG</v>
      </c>
      <c r="C2180" s="6" t="str">
        <f>IFERROR(__xludf.DUMMYFUNCTION("""COMPUTED_VALUE"""),"P-11694-00")</f>
        <v>P-11694-00</v>
      </c>
      <c r="D2180" s="6" t="str">
        <f>IFERROR(__xludf.DUMMYFUNCTION("""COMPUTED_VALUE"""),"Mata Gerinda 4""")</f>
        <v>Mata Gerinda 4"</v>
      </c>
      <c r="E2180" s="6">
        <f>IFERROR(__xludf.DUMMYFUNCTION("""COMPUTED_VALUE"""),1.0)</f>
        <v>1</v>
      </c>
      <c r="F2180" s="6">
        <f>IFERROR(__xludf.DUMMYFUNCTION("""COMPUTED_VALUE"""),1.0)</f>
        <v>1</v>
      </c>
      <c r="G2180" s="6">
        <f>IFERROR(__xludf.DUMMYFUNCTION("""COMPUTED_VALUE"""),0.0)</f>
        <v>0</v>
      </c>
      <c r="H2180" s="6" t="str">
        <f>IFERROR(__xludf.DUMMYFUNCTION("""COMPUTED_VALUE"""),"pcs")</f>
        <v>pcs</v>
      </c>
      <c r="I2180" s="6" t="str">
        <f>IFERROR(__xludf.DUMMYFUNCTION("""COMPUTED_VALUE"""),"MFH")</f>
        <v>MFH</v>
      </c>
      <c r="J2180" s="6" t="str">
        <f>IFERROR(__xludf.DUMMYFUNCTION("""COMPUTED_VALUE"""),"Workshop")</f>
        <v>Workshop</v>
      </c>
      <c r="K2180" s="6" t="str">
        <f>IFERROR(__xludf.DUMMYFUNCTION("""COMPUTED_VALUE"""),"SPR/07/25/016")</f>
        <v>SPR/07/25/016</v>
      </c>
      <c r="L2180" s="13">
        <f>IFERROR(__xludf.DUMMYFUNCTION("""COMPUTED_VALUE"""),45863.0)</f>
        <v>45863</v>
      </c>
    </row>
    <row r="2181">
      <c r="A2181" s="6" t="str">
        <f>IFERROR(__xludf.DUMMYFUNCTION("""COMPUTED_VALUE"""),"SFH")</f>
        <v>SFH</v>
      </c>
      <c r="B2181" s="6" t="str">
        <f>IFERROR(__xludf.DUMMYFUNCTION("""COMPUTED_VALUE"""),"ENG")</f>
        <v>ENG</v>
      </c>
      <c r="C2181" s="6" t="str">
        <f>IFERROR(__xludf.DUMMYFUNCTION("""COMPUTED_VALUE"""),"P-14424-00")</f>
        <v>P-14424-00</v>
      </c>
      <c r="D2181" s="6" t="str">
        <f>IFERROR(__xludf.DUMMYFUNCTION("""COMPUTED_VALUE"""),"Garam Kutreat RGN-9800F; ; ; 25Kg/zak")</f>
        <v>Garam Kutreat RGN-9800F; ; ; 25Kg/zak</v>
      </c>
      <c r="E2181" s="6">
        <f>IFERROR(__xludf.DUMMYFUNCTION("""COMPUTED_VALUE"""),25.0)</f>
        <v>25</v>
      </c>
      <c r="F2181" s="6">
        <f>IFERROR(__xludf.DUMMYFUNCTION("""COMPUTED_VALUE"""),25.0)</f>
        <v>25</v>
      </c>
      <c r="G2181" s="6">
        <f>IFERROR(__xludf.DUMMYFUNCTION("""COMPUTED_VALUE"""),0.0)</f>
        <v>0</v>
      </c>
      <c r="H2181" s="6" t="str">
        <f>IFERROR(__xludf.DUMMYFUNCTION("""COMPUTED_VALUE"""),"pcs")</f>
        <v>pcs</v>
      </c>
      <c r="I2181" s="6" t="str">
        <f>IFERROR(__xludf.DUMMYFUNCTION("""COMPUTED_VALUE"""),"MFH")</f>
        <v>MFH</v>
      </c>
      <c r="J2181" s="6" t="str">
        <f>IFERROR(__xludf.DUMMYFUNCTION("""COMPUTED_VALUE"""),"PWG")</f>
        <v>PWG</v>
      </c>
      <c r="K2181" s="6" t="str">
        <f>IFERROR(__xludf.DUMMYFUNCTION("""COMPUTED_VALUE"""),"SPR/05725/017")</f>
        <v>SPR/05725/017</v>
      </c>
      <c r="L2181" s="13">
        <f>IFERROR(__xludf.DUMMYFUNCTION("""COMPUTED_VALUE"""),45863.0)</f>
        <v>45863</v>
      </c>
    </row>
    <row r="2182">
      <c r="A2182" s="6" t="str">
        <f>IFERROR(__xludf.DUMMYFUNCTION("""COMPUTED_VALUE"""),"MRN")</f>
        <v>MRN</v>
      </c>
      <c r="B2182" s="6" t="str">
        <f>IFERROR(__xludf.DUMMYFUNCTION("""COMPUTED_VALUE"""),"ENG")</f>
        <v>ENG</v>
      </c>
      <c r="C2182" s="6" t="str">
        <f>IFERROR(__xludf.DUMMYFUNCTION("""COMPUTED_VALUE"""),"-")</f>
        <v>-</v>
      </c>
      <c r="D2182" s="6" t="str">
        <f>IFERROR(__xludf.DUMMYFUNCTION("""COMPUTED_VALUE"""),"Kertas Lakmus")</f>
        <v>Kertas Lakmus</v>
      </c>
      <c r="E2182" s="6">
        <f>IFERROR(__xludf.DUMMYFUNCTION("""COMPUTED_VALUE"""),1.0)</f>
        <v>1</v>
      </c>
      <c r="F2182" s="6">
        <f>IFERROR(__xludf.DUMMYFUNCTION("""COMPUTED_VALUE"""),1.0)</f>
        <v>1</v>
      </c>
      <c r="G2182" s="6">
        <f>IFERROR(__xludf.DUMMYFUNCTION("""COMPUTED_VALUE"""),0.0)</f>
        <v>0</v>
      </c>
      <c r="H2182" s="6" t="str">
        <f>IFERROR(__xludf.DUMMYFUNCTION("""COMPUTED_VALUE"""),"pcs")</f>
        <v>pcs</v>
      </c>
      <c r="I2182" s="6" t="str">
        <f>IFERROR(__xludf.DUMMYFUNCTION("""COMPUTED_VALUE"""),"MFH")</f>
        <v>MFH</v>
      </c>
      <c r="J2182" s="6" t="str">
        <f>IFERROR(__xludf.DUMMYFUNCTION("""COMPUTED_VALUE"""),"Mixing")</f>
        <v>Mixing</v>
      </c>
      <c r="K2182" s="6" t="str">
        <f>IFERROR(__xludf.DUMMYFUNCTION("""COMPUTED_VALUE"""),"SPR/05725/018")</f>
        <v>SPR/05725/018</v>
      </c>
      <c r="L2182" s="13">
        <f>IFERROR(__xludf.DUMMYFUNCTION("""COMPUTED_VALUE"""),45863.0)</f>
        <v>45863</v>
      </c>
    </row>
    <row r="2183">
      <c r="A2183" s="6" t="str">
        <f>IFERROR(__xludf.DUMMYFUNCTION("""COMPUTED_VALUE"""),"ROS")</f>
        <v>ROS</v>
      </c>
      <c r="B2183" s="6" t="str">
        <f>IFERROR(__xludf.DUMMYFUNCTION("""COMPUTED_VALUE"""),"ENG")</f>
        <v>ENG</v>
      </c>
      <c r="C2183" s="6" t="str">
        <f>IFERROR(__xludf.DUMMYFUNCTION("""COMPUTED_VALUE"""),"O-20484-00")</f>
        <v>O-20484-00</v>
      </c>
      <c r="D2183" s="6" t="str">
        <f>IFERROR(__xludf.DUMMYFUNCTION("""COMPUTED_VALUE"""),"Mixing Tank Adam - Tray Kabel 30x50x1000 mm; Custom/Lokal; -; 1 Pc")</f>
        <v>Mixing Tank Adam - Tray Kabel 30x50x1000 mm; Custom/Lokal; -; 1 Pc</v>
      </c>
      <c r="E2183" s="6">
        <f>IFERROR(__xludf.DUMMYFUNCTION("""COMPUTED_VALUE"""),1.0)</f>
        <v>1</v>
      </c>
      <c r="F2183" s="6">
        <f>IFERROR(__xludf.DUMMYFUNCTION("""COMPUTED_VALUE"""),1.0)</f>
        <v>1</v>
      </c>
      <c r="G2183" s="6">
        <f>IFERROR(__xludf.DUMMYFUNCTION("""COMPUTED_VALUE"""),0.0)</f>
        <v>0</v>
      </c>
      <c r="H2183" s="6" t="str">
        <f>IFERROR(__xludf.DUMMYFUNCTION("""COMPUTED_VALUE"""),"pcs")</f>
        <v>pcs</v>
      </c>
      <c r="I2183" s="6" t="str">
        <f>IFERROR(__xludf.DUMMYFUNCTION("""COMPUTED_VALUE"""),"MFH")</f>
        <v>MFH</v>
      </c>
      <c r="J2183" s="6" t="str">
        <f>IFERROR(__xludf.DUMMYFUNCTION("""COMPUTED_VALUE"""),"Mixing")</f>
        <v>Mixing</v>
      </c>
      <c r="K2183" s="6" t="str">
        <f>IFERROR(__xludf.DUMMYFUNCTION("""COMPUTED_VALUE"""),"SPR/07/25/019")</f>
        <v>SPR/07/25/019</v>
      </c>
      <c r="L2183" s="13">
        <f>IFERROR(__xludf.DUMMYFUNCTION("""COMPUTED_VALUE"""),45863.0)</f>
        <v>45863</v>
      </c>
    </row>
    <row r="2184">
      <c r="A2184" s="6" t="str">
        <f>IFERROR(__xludf.DUMMYFUNCTION("""COMPUTED_VALUE"""),"ROS")</f>
        <v>ROS</v>
      </c>
      <c r="B2184" s="6" t="str">
        <f>IFERROR(__xludf.DUMMYFUNCTION("""COMPUTED_VALUE"""),"ENG")</f>
        <v>ENG</v>
      </c>
      <c r="C2184" s="6" t="str">
        <f>IFERROR(__xludf.DUMMYFUNCTION("""COMPUTED_VALUE"""),"O-20484-00")</f>
        <v>O-20484-00</v>
      </c>
      <c r="D2184" s="6" t="str">
        <f>IFERROR(__xludf.DUMMYFUNCTION("""COMPUTED_VALUE"""),"Mixing Tank Adam - Tray Kabel 30x50x1000 mm; Custom/Lokal; -; 1 Pc")</f>
        <v>Mixing Tank Adam - Tray Kabel 30x50x1000 mm; Custom/Lokal; -; 1 Pc</v>
      </c>
      <c r="E2184" s="6">
        <f>IFERROR(__xludf.DUMMYFUNCTION("""COMPUTED_VALUE"""),1.0)</f>
        <v>1</v>
      </c>
      <c r="F2184" s="6">
        <f>IFERROR(__xludf.DUMMYFUNCTION("""COMPUTED_VALUE"""),1.0)</f>
        <v>1</v>
      </c>
      <c r="G2184" s="6">
        <f>IFERROR(__xludf.DUMMYFUNCTION("""COMPUTED_VALUE"""),0.0)</f>
        <v>0</v>
      </c>
      <c r="H2184" s="6" t="str">
        <f>IFERROR(__xludf.DUMMYFUNCTION("""COMPUTED_VALUE"""),"pcs")</f>
        <v>pcs</v>
      </c>
      <c r="I2184" s="6" t="str">
        <f>IFERROR(__xludf.DUMMYFUNCTION("""COMPUTED_VALUE"""),"MFH")</f>
        <v>MFH</v>
      </c>
      <c r="J2184" s="6" t="str">
        <f>IFERROR(__xludf.DUMMYFUNCTION("""COMPUTED_VALUE"""),"Mixing")</f>
        <v>Mixing</v>
      </c>
      <c r="K2184" s="6" t="str">
        <f>IFERROR(__xludf.DUMMYFUNCTION("""COMPUTED_VALUE"""),"SPR/07/25/019")</f>
        <v>SPR/07/25/019</v>
      </c>
      <c r="L2184" s="13">
        <f>IFERROR(__xludf.DUMMYFUNCTION("""COMPUTED_VALUE"""),45863.0)</f>
        <v>45863</v>
      </c>
    </row>
    <row r="2185">
      <c r="A2185" s="6" t="str">
        <f>IFERROR(__xludf.DUMMYFUNCTION("""COMPUTED_VALUE"""),"ROS")</f>
        <v>ROS</v>
      </c>
      <c r="B2185" s="6" t="str">
        <f>IFERROR(__xludf.DUMMYFUNCTION("""COMPUTED_VALUE"""),"ENG")</f>
        <v>ENG</v>
      </c>
      <c r="C2185" s="6" t="str">
        <f>IFERROR(__xludf.DUMMYFUNCTION("""COMPUTED_VALUE"""),"O-20396-00")</f>
        <v>O-20396-00</v>
      </c>
      <c r="D2185" s="6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E2185" s="6">
        <f>IFERROR(__xludf.DUMMYFUNCTION("""COMPUTED_VALUE"""),1.0)</f>
        <v>1</v>
      </c>
      <c r="F2185" s="6">
        <f>IFERROR(__xludf.DUMMYFUNCTION("""COMPUTED_VALUE"""),1.0)</f>
        <v>1</v>
      </c>
      <c r="G2185" s="6">
        <f>IFERROR(__xludf.DUMMYFUNCTION("""COMPUTED_VALUE"""),0.0)</f>
        <v>0</v>
      </c>
      <c r="H2185" s="6" t="str">
        <f>IFERROR(__xludf.DUMMYFUNCTION("""COMPUTED_VALUE"""),"Pcs")</f>
        <v>Pcs</v>
      </c>
      <c r="I2185" s="6" t="str">
        <f>IFERROR(__xludf.DUMMYFUNCTION("""COMPUTED_VALUE"""),"MFH")</f>
        <v>MFH</v>
      </c>
      <c r="J2185" s="6" t="str">
        <f>IFERROR(__xludf.DUMMYFUNCTION("""COMPUTED_VALUE"""),"Autoclave")</f>
        <v>Autoclave</v>
      </c>
      <c r="K2185" s="6" t="str">
        <f>IFERROR(__xludf.DUMMYFUNCTION("""COMPUTED_VALUE"""),"SPR/07/25/019")</f>
        <v>SPR/07/25/019</v>
      </c>
      <c r="L2185" s="13">
        <f>IFERROR(__xludf.DUMMYFUNCTION("""COMPUTED_VALUE"""),45863.0)</f>
        <v>45863</v>
      </c>
    </row>
    <row r="2186">
      <c r="A2186" s="6" t="str">
        <f>IFERROR(__xludf.DUMMYFUNCTION("""COMPUTED_VALUE"""),"ROS")</f>
        <v>ROS</v>
      </c>
      <c r="B2186" s="6" t="str">
        <f>IFERROR(__xludf.DUMMYFUNCTION("""COMPUTED_VALUE"""),"ENG")</f>
        <v>ENG</v>
      </c>
      <c r="C2186" s="6" t="str">
        <f>IFERROR(__xludf.DUMMYFUNCTION("""COMPUTED_VALUE"""),"P-18963-00")</f>
        <v>P-18963-00</v>
      </c>
      <c r="D2186" s="6" t="str">
        <f>IFERROR(__xludf.DUMMYFUNCTION("""COMPUTED_VALUE"""),"Tubing Nylon Putih 6x8; ; ;")</f>
        <v>Tubing Nylon Putih 6x8; ; ;</v>
      </c>
      <c r="E2186" s="6">
        <f>IFERROR(__xludf.DUMMYFUNCTION("""COMPUTED_VALUE"""),30.0)</f>
        <v>30</v>
      </c>
      <c r="F2186" s="6">
        <f>IFERROR(__xludf.DUMMYFUNCTION("""COMPUTED_VALUE"""),30.0)</f>
        <v>30</v>
      </c>
      <c r="G2186" s="6">
        <f>IFERROR(__xludf.DUMMYFUNCTION("""COMPUTED_VALUE"""),0.0)</f>
        <v>0</v>
      </c>
      <c r="H2186" s="6" t="str">
        <f>IFERROR(__xludf.DUMMYFUNCTION("""COMPUTED_VALUE"""),"pcs")</f>
        <v>pcs</v>
      </c>
      <c r="I2186" s="6" t="str">
        <f>IFERROR(__xludf.DUMMYFUNCTION("""COMPUTED_VALUE"""),"MFH")</f>
        <v>MFH</v>
      </c>
      <c r="J2186" s="6" t="str">
        <f>IFERROR(__xludf.DUMMYFUNCTION("""COMPUTED_VALUE"""),"Mixing")</f>
        <v>Mixing</v>
      </c>
      <c r="K2186" s="6" t="str">
        <f>IFERROR(__xludf.DUMMYFUNCTION("""COMPUTED_VALUE"""),"SPR/07/25/020")</f>
        <v>SPR/07/25/020</v>
      </c>
      <c r="L2186" s="13">
        <f>IFERROR(__xludf.DUMMYFUNCTION("""COMPUTED_VALUE"""),45863.0)</f>
        <v>45863</v>
      </c>
    </row>
    <row r="2187">
      <c r="A2187" s="6" t="str">
        <f>IFERROR(__xludf.DUMMYFUNCTION("""COMPUTED_VALUE"""),"ROS")</f>
        <v>ROS</v>
      </c>
      <c r="B2187" s="6" t="str">
        <f>IFERROR(__xludf.DUMMYFUNCTION("""COMPUTED_VALUE"""),"ENG")</f>
        <v>ENG</v>
      </c>
      <c r="C2187" s="6" t="str">
        <f>IFERROR(__xludf.DUMMYFUNCTION("""COMPUTED_VALUE"""),"Q-60503-00")</f>
        <v>Q-60503-00</v>
      </c>
      <c r="D2187" s="6" t="str">
        <f>IFERROR(__xludf.DUMMYFUNCTION("""COMPUTED_VALUE"""),"Silicone Sealant, Silglaze, Type N10 Grey, pack size per pcs")</f>
        <v>Silicone Sealant, Silglaze, Type N10 Grey, pack size per pcs</v>
      </c>
      <c r="E2187" s="6">
        <f>IFERROR(__xludf.DUMMYFUNCTION("""COMPUTED_VALUE"""),1.0)</f>
        <v>1</v>
      </c>
      <c r="F2187" s="6">
        <f>IFERROR(__xludf.DUMMYFUNCTION("""COMPUTED_VALUE"""),1.0)</f>
        <v>1</v>
      </c>
      <c r="G2187" s="6">
        <f>IFERROR(__xludf.DUMMYFUNCTION("""COMPUTED_VALUE"""),0.0)</f>
        <v>0</v>
      </c>
      <c r="H2187" s="6" t="str">
        <f>IFERROR(__xludf.DUMMYFUNCTION("""COMPUTED_VALUE"""),"pcs")</f>
        <v>pcs</v>
      </c>
      <c r="I2187" s="6" t="str">
        <f>IFERROR(__xludf.DUMMYFUNCTION("""COMPUTED_VALUE"""),"MFH")</f>
        <v>MFH</v>
      </c>
      <c r="J2187" s="6" t="str">
        <f>IFERROR(__xludf.DUMMYFUNCTION("""COMPUTED_VALUE"""),"Mixing")</f>
        <v>Mixing</v>
      </c>
      <c r="K2187" s="6" t="str">
        <f>IFERROR(__xludf.DUMMYFUNCTION("""COMPUTED_VALUE"""),"SPR/07/25/020")</f>
        <v>SPR/07/25/020</v>
      </c>
      <c r="L2187" s="13">
        <f>IFERROR(__xludf.DUMMYFUNCTION("""COMPUTED_VALUE"""),45863.0)</f>
        <v>45863</v>
      </c>
    </row>
    <row r="2188">
      <c r="A2188" s="6" t="str">
        <f>IFERROR(__xludf.DUMMYFUNCTION("""COMPUTED_VALUE"""),"ROS")</f>
        <v>ROS</v>
      </c>
      <c r="B2188" s="6" t="str">
        <f>IFERROR(__xludf.DUMMYFUNCTION("""COMPUTED_VALUE"""),"ENG")</f>
        <v>ENG</v>
      </c>
      <c r="C2188" s="6" t="str">
        <f>IFERROR(__xludf.DUMMYFUNCTION("""COMPUTED_VALUE"""),"O-16943-00")</f>
        <v>O-16943-00</v>
      </c>
      <c r="D2188" s="6" t="str">
        <f>IFERROR(__xludf.DUMMYFUNCTION("""COMPUTED_VALUE"""),"Tunnel ST1L - Potentiometer Model 10K 3turns P/n: 3757; ; ;")</f>
        <v>Tunnel ST1L - Potentiometer Model 10K 3turns P/n: 3757; ; ;</v>
      </c>
      <c r="E2188" s="6">
        <f>IFERROR(__xludf.DUMMYFUNCTION("""COMPUTED_VALUE"""),1.0)</f>
        <v>1</v>
      </c>
      <c r="F2188" s="6">
        <f>IFERROR(__xludf.DUMMYFUNCTION("""COMPUTED_VALUE"""),1.0)</f>
        <v>1</v>
      </c>
      <c r="G2188" s="6">
        <f>IFERROR(__xludf.DUMMYFUNCTION("""COMPUTED_VALUE"""),0.0)</f>
        <v>0</v>
      </c>
      <c r="H2188" s="6" t="str">
        <f>IFERROR(__xludf.DUMMYFUNCTION("""COMPUTED_VALUE"""),"pcs")</f>
        <v>pcs</v>
      </c>
      <c r="I2188" s="6" t="str">
        <f>IFERROR(__xludf.DUMMYFUNCTION("""COMPUTED_VALUE"""),"MFH")</f>
        <v>MFH</v>
      </c>
      <c r="J2188" s="6" t="str">
        <f>IFERROR(__xludf.DUMMYFUNCTION("""COMPUTED_VALUE"""),"Tunnel")</f>
        <v>Tunnel</v>
      </c>
      <c r="K2188" s="6" t="str">
        <f>IFERROR(__xludf.DUMMYFUNCTION("""COMPUTED_VALUE"""),"SPR/07/25/020")</f>
        <v>SPR/07/25/020</v>
      </c>
      <c r="L2188" s="13">
        <f>IFERROR(__xludf.DUMMYFUNCTION("""COMPUTED_VALUE"""),45863.0)</f>
        <v>45863</v>
      </c>
    </row>
    <row r="2189">
      <c r="A2189" s="6" t="str">
        <f>IFERROR(__xludf.DUMMYFUNCTION("""COMPUTED_VALUE"""),"ROS")</f>
        <v>ROS</v>
      </c>
      <c r="B2189" s="6" t="str">
        <f>IFERROR(__xludf.DUMMYFUNCTION("""COMPUTED_VALUE"""),"ENG")</f>
        <v>ENG</v>
      </c>
      <c r="C2189" s="6" t="str">
        <f>IFERROR(__xludf.DUMMYFUNCTION("""COMPUTED_VALUE"""),"O-54139-00")</f>
        <v>O-54139-00</v>
      </c>
      <c r="D2189" s="6" t="str">
        <f>IFERROR(__xludf.DUMMYFUNCTION("""COMPUTED_VALUE"""),"Lampu PLC 4U 45W; Hannochs; ;")</f>
        <v>Lampu PLC 4U 45W; Hannochs; ;</v>
      </c>
      <c r="E2189" s="6">
        <f>IFERROR(__xludf.DUMMYFUNCTION("""COMPUTED_VALUE"""),2.0)</f>
        <v>2</v>
      </c>
      <c r="F2189" s="6">
        <f>IFERROR(__xludf.DUMMYFUNCTION("""COMPUTED_VALUE"""),2.0)</f>
        <v>2</v>
      </c>
      <c r="G2189" s="6">
        <f>IFERROR(__xludf.DUMMYFUNCTION("""COMPUTED_VALUE"""),0.0)</f>
        <v>0</v>
      </c>
      <c r="H2189" s="6" t="str">
        <f>IFERROR(__xludf.DUMMYFUNCTION("""COMPUTED_VALUE"""),"Pcs")</f>
        <v>Pcs</v>
      </c>
      <c r="I2189" s="6" t="str">
        <f>IFERROR(__xludf.DUMMYFUNCTION("""COMPUTED_VALUE"""),"MFH")</f>
        <v>MFH</v>
      </c>
      <c r="J2189" s="6" t="str">
        <f>IFERROR(__xludf.DUMMYFUNCTION("""COMPUTED_VALUE"""),"Visual Inspection")</f>
        <v>Visual Inspection</v>
      </c>
      <c r="K2189" s="6" t="str">
        <f>IFERROR(__xludf.DUMMYFUNCTION("""COMPUTED_VALUE"""),"SPR/07/25/021")</f>
        <v>SPR/07/25/021</v>
      </c>
      <c r="L2189" s="13">
        <f>IFERROR(__xludf.DUMMYFUNCTION("""COMPUTED_VALUE"""),45863.0)</f>
        <v>45863</v>
      </c>
    </row>
    <row r="2190">
      <c r="A2190" s="6" t="str">
        <f>IFERROR(__xludf.DUMMYFUNCTION("""COMPUTED_VALUE"""),"ROS")</f>
        <v>ROS</v>
      </c>
      <c r="B2190" s="6" t="str">
        <f>IFERROR(__xludf.DUMMYFUNCTION("""COMPUTED_VALUE"""),"ENG")</f>
        <v>ENG</v>
      </c>
      <c r="C2190" s="6" t="str">
        <f>IFERROR(__xludf.DUMMYFUNCTION("""COMPUTED_VALUE"""),"Q-10434-00")</f>
        <v>Q-10434-00</v>
      </c>
      <c r="D2190" s="6" t="str">
        <f>IFERROR(__xludf.DUMMYFUNCTION("""COMPUTED_VALUE"""),"Lampu Tornado Philips 27 W Cool Daylight; PHILIPS; 27WATTS;")</f>
        <v>Lampu Tornado Philips 27 W Cool Daylight; PHILIPS; 27WATTS;</v>
      </c>
      <c r="E2190" s="6">
        <f>IFERROR(__xludf.DUMMYFUNCTION("""COMPUTED_VALUE"""),2.0)</f>
        <v>2</v>
      </c>
      <c r="F2190" s="6">
        <f>IFERROR(__xludf.DUMMYFUNCTION("""COMPUTED_VALUE"""),2.0)</f>
        <v>2</v>
      </c>
      <c r="G2190" s="6">
        <f>IFERROR(__xludf.DUMMYFUNCTION("""COMPUTED_VALUE"""),0.0)</f>
        <v>0</v>
      </c>
      <c r="H2190" s="6" t="str">
        <f>IFERROR(__xludf.DUMMYFUNCTION("""COMPUTED_VALUE"""),"Pcs")</f>
        <v>Pcs</v>
      </c>
      <c r="I2190" s="6" t="str">
        <f>IFERROR(__xludf.DUMMYFUNCTION("""COMPUTED_VALUE"""),"MFH")</f>
        <v>MFH</v>
      </c>
      <c r="J2190" s="6" t="str">
        <f>IFERROR(__xludf.DUMMYFUNCTION("""COMPUTED_VALUE"""),"Visual Inspection")</f>
        <v>Visual Inspection</v>
      </c>
      <c r="K2190" s="6" t="str">
        <f>IFERROR(__xludf.DUMMYFUNCTION("""COMPUTED_VALUE"""),"SPR/07/25/021")</f>
        <v>SPR/07/25/021</v>
      </c>
      <c r="L2190" s="13">
        <f>IFERROR(__xludf.DUMMYFUNCTION("""COMPUTED_VALUE"""),45863.0)</f>
        <v>45863</v>
      </c>
    </row>
    <row r="2191">
      <c r="A2191" s="6" t="str">
        <f>IFERROR(__xludf.DUMMYFUNCTION("""COMPUTED_VALUE"""),"ROS")</f>
        <v>ROS</v>
      </c>
      <c r="B2191" s="6" t="str">
        <f>IFERROR(__xludf.DUMMYFUNCTION("""COMPUTED_VALUE"""),"ENG")</f>
        <v>ENG</v>
      </c>
      <c r="C2191" s="6" t="str">
        <f>IFERROR(__xludf.DUMMYFUNCTION("""COMPUTED_VALUE"""),"O-20357-00")</f>
        <v>O-20357-00</v>
      </c>
      <c r="D2191" s="6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E2191" s="6">
        <f>IFERROR(__xludf.DUMMYFUNCTION("""COMPUTED_VALUE"""),1.0)</f>
        <v>1</v>
      </c>
      <c r="F2191" s="6">
        <f>IFERROR(__xludf.DUMMYFUNCTION("""COMPUTED_VALUE"""),1.0)</f>
        <v>1</v>
      </c>
      <c r="G2191" s="6">
        <f>IFERROR(__xludf.DUMMYFUNCTION("""COMPUTED_VALUE"""),0.0)</f>
        <v>0</v>
      </c>
      <c r="H2191" s="6" t="str">
        <f>IFERROR(__xludf.DUMMYFUNCTION("""COMPUTED_VALUE"""),"Pcs")</f>
        <v>Pcs</v>
      </c>
      <c r="I2191" s="6" t="str">
        <f>IFERROR(__xludf.DUMMYFUNCTION("""COMPUTED_VALUE"""),"MFH")</f>
        <v>MFH</v>
      </c>
      <c r="J2191" s="6" t="str">
        <f>IFERROR(__xludf.DUMMYFUNCTION("""COMPUTED_VALUE"""),"Dispensing")</f>
        <v>Dispensing</v>
      </c>
      <c r="K2191" s="6" t="str">
        <f>IFERROR(__xludf.DUMMYFUNCTION("""COMPUTED_VALUE"""),"SPR/07/25/022")</f>
        <v>SPR/07/25/022</v>
      </c>
      <c r="L2191" s="13">
        <f>IFERROR(__xludf.DUMMYFUNCTION("""COMPUTED_VALUE"""),45863.0)</f>
        <v>45863</v>
      </c>
    </row>
    <row r="2192">
      <c r="A2192" s="6" t="str">
        <f>IFERROR(__xludf.DUMMYFUNCTION("""COMPUTED_VALUE"""),"NDS")</f>
        <v>NDS</v>
      </c>
      <c r="B2192" s="6" t="str">
        <f>IFERROR(__xludf.DUMMYFUNCTION("""COMPUTED_VALUE"""),"ENG")</f>
        <v>ENG</v>
      </c>
      <c r="C2192" s="6" t="str">
        <f>IFERROR(__xludf.DUMMYFUNCTION("""COMPUTED_VALUE"""),"O-20294-00")</f>
        <v>O-20294-00</v>
      </c>
      <c r="D2192" s="6" t="str">
        <f>IFERROR(__xludf.DUMMYFUNCTION("""COMPUTED_VALUE"""),"Autoclave - Oring 70 x 59 x 5.5 mm Viton Custom/Lokal  -")</f>
        <v>Autoclave - Oring 70 x 59 x 5.5 mm Viton Custom/Lokal  -</v>
      </c>
      <c r="E2192" s="6">
        <f>IFERROR(__xludf.DUMMYFUNCTION("""COMPUTED_VALUE"""),1.0)</f>
        <v>1</v>
      </c>
      <c r="F2192" s="6">
        <f>IFERROR(__xludf.DUMMYFUNCTION("""COMPUTED_VALUE"""),1.0)</f>
        <v>1</v>
      </c>
      <c r="G2192" s="6">
        <f>IFERROR(__xludf.DUMMYFUNCTION("""COMPUTED_VALUE"""),0.0)</f>
        <v>0</v>
      </c>
      <c r="H2192" s="6" t="str">
        <f>IFERROR(__xludf.DUMMYFUNCTION("""COMPUTED_VALUE"""),"Pcs")</f>
        <v>Pcs</v>
      </c>
      <c r="I2192" s="6" t="str">
        <f>IFERROR(__xludf.DUMMYFUNCTION("""COMPUTED_VALUE"""),"MFH")</f>
        <v>MFH</v>
      </c>
      <c r="J2192" s="6" t="str">
        <f>IFERROR(__xludf.DUMMYFUNCTION("""COMPUTED_VALUE"""),"Autoclave")</f>
        <v>Autoclave</v>
      </c>
      <c r="K2192" s="6" t="str">
        <f>IFERROR(__xludf.DUMMYFUNCTION("""COMPUTED_VALUE"""),"SPR/07/25/023")</f>
        <v>SPR/07/25/023</v>
      </c>
      <c r="L2192" s="13">
        <f>IFERROR(__xludf.DUMMYFUNCTION("""COMPUTED_VALUE"""),45863.0)</f>
        <v>45863</v>
      </c>
    </row>
    <row r="2193">
      <c r="A2193" s="6" t="str">
        <f>IFERROR(__xludf.DUMMYFUNCTION("""COMPUTED_VALUE"""),"INN")</f>
        <v>INN</v>
      </c>
      <c r="B2193" s="6" t="str">
        <f>IFERROR(__xludf.DUMMYFUNCTION("""COMPUTED_VALUE"""),"ENG")</f>
        <v>ENG</v>
      </c>
      <c r="C2193" s="6" t="str">
        <f>IFERROR(__xludf.DUMMYFUNCTION("""COMPUTED_VALUE"""),"O-20296-00")</f>
        <v>O-20296-00</v>
      </c>
      <c r="D2193" s="6" t="str">
        <f>IFERROR(__xludf.DUMMYFUNCTION("""COMPUTED_VALUE"""),"General - Rotating Pincer Pneumatik  SMC MRHQ20D-180S-DIN00358")</f>
        <v>General - Rotating Pincer Pneumatik  SMC MRHQ20D-180S-DIN00358</v>
      </c>
      <c r="E2193" s="6">
        <f>IFERROR(__xludf.DUMMYFUNCTION("""COMPUTED_VALUE"""),3.0)</f>
        <v>3</v>
      </c>
      <c r="F2193" s="6">
        <f>IFERROR(__xludf.DUMMYFUNCTION("""COMPUTED_VALUE"""),3.0)</f>
        <v>3</v>
      </c>
      <c r="G2193" s="6">
        <f>IFERROR(__xludf.DUMMYFUNCTION("""COMPUTED_VALUE"""),0.0)</f>
        <v>0</v>
      </c>
      <c r="H2193" s="6" t="str">
        <f>IFERROR(__xludf.DUMMYFUNCTION("""COMPUTED_VALUE"""),"Pcs")</f>
        <v>Pcs</v>
      </c>
      <c r="I2193" s="6" t="str">
        <f>IFERROR(__xludf.DUMMYFUNCTION("""COMPUTED_VALUE"""),"MFH")</f>
        <v>MFH</v>
      </c>
      <c r="J2193" s="6" t="str">
        <f>IFERROR(__xludf.DUMMYFUNCTION("""COMPUTED_VALUE"""),"Washing")</f>
        <v>Washing</v>
      </c>
      <c r="K2193" s="6" t="str">
        <f>IFERROR(__xludf.DUMMYFUNCTION("""COMPUTED_VALUE"""),"SPR/07/25/024")</f>
        <v>SPR/07/25/024</v>
      </c>
      <c r="L2193" s="13">
        <f>IFERROR(__xludf.DUMMYFUNCTION("""COMPUTED_VALUE"""),45863.0)</f>
        <v>45863</v>
      </c>
    </row>
    <row r="2194">
      <c r="A2194" s="6" t="str">
        <f>IFERROR(__xludf.DUMMYFUNCTION("""COMPUTED_VALUE"""),"ROS")</f>
        <v>ROS</v>
      </c>
      <c r="B2194" s="6" t="str">
        <f>IFERROR(__xludf.DUMMYFUNCTION("""COMPUTED_VALUE"""),"ENG")</f>
        <v>ENG</v>
      </c>
      <c r="C2194" s="6" t="str">
        <f>IFERROR(__xludf.DUMMYFUNCTION("""COMPUTED_VALUE"""),"O-16647-00")</f>
        <v>O-16647-00</v>
      </c>
      <c r="D2194" s="6" t="str">
        <f>IFERROR(__xludf.DUMMYFUNCTION("""COMPUTED_VALUE"""),"Washing RAR4 - Oring Silicone Merah 23x18x2.5 mm")</f>
        <v>Washing RAR4 - Oring Silicone Merah 23x18x2.5 mm</v>
      </c>
      <c r="E2194" s="6">
        <f>IFERROR(__xludf.DUMMYFUNCTION("""COMPUTED_VALUE"""),10.0)</f>
        <v>10</v>
      </c>
      <c r="F2194" s="6">
        <f>IFERROR(__xludf.DUMMYFUNCTION("""COMPUTED_VALUE"""),10.0)</f>
        <v>10</v>
      </c>
      <c r="G2194" s="6">
        <f>IFERROR(__xludf.DUMMYFUNCTION("""COMPUTED_VALUE"""),0.0)</f>
        <v>0</v>
      </c>
      <c r="H2194" s="6" t="str">
        <f>IFERROR(__xludf.DUMMYFUNCTION("""COMPUTED_VALUE"""),"Pcs")</f>
        <v>Pcs</v>
      </c>
      <c r="I2194" s="6" t="str">
        <f>IFERROR(__xludf.DUMMYFUNCTION("""COMPUTED_VALUE"""),"MFH")</f>
        <v>MFH</v>
      </c>
      <c r="J2194" s="6" t="str">
        <f>IFERROR(__xludf.DUMMYFUNCTION("""COMPUTED_VALUE"""),"Capping")</f>
        <v>Capping</v>
      </c>
      <c r="K2194" s="6" t="str">
        <f>IFERROR(__xludf.DUMMYFUNCTION("""COMPUTED_VALUE"""),"SPR/07/25/025")</f>
        <v>SPR/07/25/025</v>
      </c>
      <c r="L2194" s="13">
        <f>IFERROR(__xludf.DUMMYFUNCTION("""COMPUTED_VALUE"""),45863.0)</f>
        <v>45863</v>
      </c>
    </row>
    <row r="2195">
      <c r="A2195" s="6" t="str">
        <f>IFERROR(__xludf.DUMMYFUNCTION("""COMPUTED_VALUE"""),"ROS")</f>
        <v>ROS</v>
      </c>
      <c r="B2195" s="6" t="str">
        <f>IFERROR(__xludf.DUMMYFUNCTION("""COMPUTED_VALUE"""),"ENG")</f>
        <v>ENG</v>
      </c>
      <c r="C2195" s="6" t="str">
        <f>IFERROR(__xludf.DUMMYFUNCTION("""COMPUTED_VALUE"""),"O-20506-00")</f>
        <v>O-20506-00</v>
      </c>
      <c r="D2195" s="6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E2195" s="6">
        <f>IFERROR(__xludf.DUMMYFUNCTION("""COMPUTED_VALUE"""),2.0)</f>
        <v>2</v>
      </c>
      <c r="F2195" s="6">
        <f>IFERROR(__xludf.DUMMYFUNCTION("""COMPUTED_VALUE"""),2.0)</f>
        <v>2</v>
      </c>
      <c r="G2195" s="6">
        <f>IFERROR(__xludf.DUMMYFUNCTION("""COMPUTED_VALUE"""),0.0)</f>
        <v>0</v>
      </c>
      <c r="H2195" s="6" t="str">
        <f>IFERROR(__xludf.DUMMYFUNCTION("""COMPUTED_VALUE"""),"Pcs")</f>
        <v>Pcs</v>
      </c>
      <c r="I2195" s="6" t="str">
        <f>IFERROR(__xludf.DUMMYFUNCTION("""COMPUTED_VALUE"""),"MFH")</f>
        <v>MFH</v>
      </c>
      <c r="J2195" s="6" t="str">
        <f>IFERROR(__xludf.DUMMYFUNCTION("""COMPUTED_VALUE"""),"Cartoning")</f>
        <v>Cartoning</v>
      </c>
      <c r="K2195" s="6" t="str">
        <f>IFERROR(__xludf.DUMMYFUNCTION("""COMPUTED_VALUE"""),"SPR/07/25/026")</f>
        <v>SPR/07/25/026</v>
      </c>
      <c r="L2195" s="13">
        <f>IFERROR(__xludf.DUMMYFUNCTION("""COMPUTED_VALUE"""),45863.0)</f>
        <v>45863</v>
      </c>
    </row>
    <row r="2196">
      <c r="A2196" s="6" t="str">
        <f>IFERROR(__xludf.DUMMYFUNCTION("""COMPUTED_VALUE"""),"SFH")</f>
        <v>SFH</v>
      </c>
      <c r="B2196" s="6" t="str">
        <f>IFERROR(__xludf.DUMMYFUNCTION("""COMPUTED_VALUE"""),"ENG")</f>
        <v>ENG</v>
      </c>
      <c r="C2196" s="6" t="str">
        <f>IFERROR(__xludf.DUMMYFUNCTION("""COMPUTED_VALUE"""),"Q-10136-00")</f>
        <v>Q-10136-00</v>
      </c>
      <c r="D2196" s="6" t="str">
        <f>IFERROR(__xludf.DUMMYFUNCTION("""COMPUTED_VALUE"""),"TOTO - Kran T23BQ13N")</f>
        <v>TOTO - Kran T23BQ13N</v>
      </c>
      <c r="E2196" s="6">
        <f>IFERROR(__xludf.DUMMYFUNCTION("""COMPUTED_VALUE"""),1.0)</f>
        <v>1</v>
      </c>
      <c r="F2196" s="6">
        <f>IFERROR(__xludf.DUMMYFUNCTION("""COMPUTED_VALUE"""),1.0)</f>
        <v>1</v>
      </c>
      <c r="G2196" s="6">
        <f>IFERROR(__xludf.DUMMYFUNCTION("""COMPUTED_VALUE"""),0.0)</f>
        <v>0</v>
      </c>
      <c r="H2196" s="6" t="str">
        <f>IFERROR(__xludf.DUMMYFUNCTION("""COMPUTED_VALUE"""),"Pcs")</f>
        <v>Pcs</v>
      </c>
      <c r="I2196" s="6" t="str">
        <f>IFERROR(__xludf.DUMMYFUNCTION("""COMPUTED_VALUE"""),"MFH")</f>
        <v>MFH</v>
      </c>
      <c r="J2196" s="6" t="str">
        <f>IFERROR(__xludf.DUMMYFUNCTION("""COMPUTED_VALUE"""),"Building")</f>
        <v>Building</v>
      </c>
      <c r="K2196" s="6" t="str">
        <f>IFERROR(__xludf.DUMMYFUNCTION("""COMPUTED_VALUE"""),"SPR/07/25/027")</f>
        <v>SPR/07/25/027</v>
      </c>
      <c r="L2196" s="13">
        <f>IFERROR(__xludf.DUMMYFUNCTION("""COMPUTED_VALUE"""),45863.0)</f>
        <v>45863</v>
      </c>
    </row>
    <row r="2197">
      <c r="A2197" s="6" t="str">
        <f>IFERROR(__xludf.DUMMYFUNCTION("""COMPUTED_VALUE"""),"SFH")</f>
        <v>SFH</v>
      </c>
      <c r="B2197" s="6" t="str">
        <f>IFERROR(__xludf.DUMMYFUNCTION("""COMPUTED_VALUE"""),"ENG")</f>
        <v>ENG</v>
      </c>
      <c r="C2197" s="6" t="str">
        <f>IFERROR(__xludf.DUMMYFUNCTION("""COMPUTED_VALUE"""),"-")</f>
        <v>-</v>
      </c>
      <c r="D2197" s="6" t="str">
        <f>IFERROR(__xludf.DUMMYFUNCTION("""COMPUTED_VALUE"""),"Sock Drat 1/2 Inch")</f>
        <v>Sock Drat 1/2 Inch</v>
      </c>
      <c r="E2197" s="6">
        <f>IFERROR(__xludf.DUMMYFUNCTION("""COMPUTED_VALUE"""),1.0)</f>
        <v>1</v>
      </c>
      <c r="F2197" s="6">
        <f>IFERROR(__xludf.DUMMYFUNCTION("""COMPUTED_VALUE"""),1.0)</f>
        <v>1</v>
      </c>
      <c r="G2197" s="6">
        <f>IFERROR(__xludf.DUMMYFUNCTION("""COMPUTED_VALUE"""),0.0)</f>
        <v>0</v>
      </c>
      <c r="H2197" s="6" t="str">
        <f>IFERROR(__xludf.DUMMYFUNCTION("""COMPUTED_VALUE"""),"Pcs")</f>
        <v>Pcs</v>
      </c>
      <c r="I2197" s="6" t="str">
        <f>IFERROR(__xludf.DUMMYFUNCTION("""COMPUTED_VALUE"""),"MFH")</f>
        <v>MFH</v>
      </c>
      <c r="J2197" s="6" t="str">
        <f>IFERROR(__xludf.DUMMYFUNCTION("""COMPUTED_VALUE"""),"Building")</f>
        <v>Building</v>
      </c>
      <c r="K2197" s="6" t="str">
        <f>IFERROR(__xludf.DUMMYFUNCTION("""COMPUTED_VALUE"""),"SPR/07/25/027")</f>
        <v>SPR/07/25/027</v>
      </c>
      <c r="L2197" s="13">
        <f>IFERROR(__xludf.DUMMYFUNCTION("""COMPUTED_VALUE"""),45863.0)</f>
        <v>45863</v>
      </c>
    </row>
    <row r="2198">
      <c r="A2198" s="6" t="str">
        <f>IFERROR(__xludf.DUMMYFUNCTION("""COMPUTED_VALUE"""),"AAA")</f>
        <v>AAA</v>
      </c>
      <c r="B2198" s="6" t="str">
        <f>IFERROR(__xludf.DUMMYFUNCTION("""COMPUTED_VALUE"""),"ENG")</f>
        <v>ENG</v>
      </c>
      <c r="C2198" s="6" t="str">
        <f>IFERROR(__xludf.DUMMYFUNCTION("""COMPUTED_VALUE"""),"O-16980-00")</f>
        <v>O-16980-00</v>
      </c>
      <c r="D2198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2198" s="6">
        <f>IFERROR(__xludf.DUMMYFUNCTION("""COMPUTED_VALUE"""),6.0)</f>
        <v>6</v>
      </c>
      <c r="F2198" s="6">
        <f>IFERROR(__xludf.DUMMYFUNCTION("""COMPUTED_VALUE"""),6.0)</f>
        <v>6</v>
      </c>
      <c r="G2198" s="6">
        <f>IFERROR(__xludf.DUMMYFUNCTION("""COMPUTED_VALUE"""),0.0)</f>
        <v>0</v>
      </c>
      <c r="H2198" s="6" t="str">
        <f>IFERROR(__xludf.DUMMYFUNCTION("""COMPUTED_VALUE"""),"pcs")</f>
        <v>pcs</v>
      </c>
      <c r="I2198" s="6" t="str">
        <f>IFERROR(__xludf.DUMMYFUNCTION("""COMPUTED_VALUE"""),"MFH")</f>
        <v>MFH</v>
      </c>
      <c r="J2198" s="6" t="str">
        <f>IFERROR(__xludf.DUMMYFUNCTION("""COMPUTED_VALUE"""),"FD")</f>
        <v>FD</v>
      </c>
      <c r="K2198" s="6" t="str">
        <f>IFERROR(__xludf.DUMMYFUNCTION("""COMPUTED_VALUE"""),"SPR/07/25/028")</f>
        <v>SPR/07/25/028</v>
      </c>
      <c r="L2198" s="13">
        <f>IFERROR(__xludf.DUMMYFUNCTION("""COMPUTED_VALUE"""),45863.0)</f>
        <v>45863</v>
      </c>
    </row>
    <row r="2199">
      <c r="A2199" s="6" t="str">
        <f>IFERROR(__xludf.DUMMYFUNCTION("""COMPUTED_VALUE"""),"AAA")</f>
        <v>AAA</v>
      </c>
      <c r="B2199" s="6" t="str">
        <f>IFERROR(__xludf.DUMMYFUNCTION("""COMPUTED_VALUE"""),"ENG")</f>
        <v>ENG</v>
      </c>
      <c r="C2199" s="6" t="str">
        <f>IFERROR(__xludf.DUMMYFUNCTION("""COMPUTED_VALUE"""),"O-16981-00")</f>
        <v>O-16981-00</v>
      </c>
      <c r="D2199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2199" s="6">
        <f>IFERROR(__xludf.DUMMYFUNCTION("""COMPUTED_VALUE"""),10.0)</f>
        <v>10</v>
      </c>
      <c r="F2199" s="6">
        <f>IFERROR(__xludf.DUMMYFUNCTION("""COMPUTED_VALUE"""),10.0)</f>
        <v>10</v>
      </c>
      <c r="G2199" s="6">
        <f>IFERROR(__xludf.DUMMYFUNCTION("""COMPUTED_VALUE"""),0.0)</f>
        <v>0</v>
      </c>
      <c r="H2199" s="6" t="str">
        <f>IFERROR(__xludf.DUMMYFUNCTION("""COMPUTED_VALUE"""),"Pcs")</f>
        <v>Pcs</v>
      </c>
      <c r="I2199" s="6" t="str">
        <f>IFERROR(__xludf.DUMMYFUNCTION("""COMPUTED_VALUE"""),"MFH")</f>
        <v>MFH</v>
      </c>
      <c r="J2199" s="6" t="str">
        <f>IFERROR(__xludf.DUMMYFUNCTION("""COMPUTED_VALUE"""),"FD")</f>
        <v>FD</v>
      </c>
      <c r="K2199" s="6" t="str">
        <f>IFERROR(__xludf.DUMMYFUNCTION("""COMPUTED_VALUE"""),"SPR/07/25/028")</f>
        <v>SPR/07/25/028</v>
      </c>
      <c r="L2199" s="13">
        <f>IFERROR(__xludf.DUMMYFUNCTION("""COMPUTED_VALUE"""),45863.0)</f>
        <v>45863</v>
      </c>
    </row>
    <row r="2200">
      <c r="A2200" s="6" t="str">
        <f>IFERROR(__xludf.DUMMYFUNCTION("""COMPUTED_VALUE"""),"AAA")</f>
        <v>AAA</v>
      </c>
      <c r="B2200" s="6" t="str">
        <f>IFERROR(__xludf.DUMMYFUNCTION("""COMPUTED_VALUE"""),"ENG")</f>
        <v>ENG</v>
      </c>
      <c r="C2200" s="6" t="str">
        <f>IFERROR(__xludf.DUMMYFUNCTION("""COMPUTED_VALUE"""),"O-20026-00")</f>
        <v>O-20026-00</v>
      </c>
      <c r="D2200" s="6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E2200" s="6">
        <f>IFERROR(__xludf.DUMMYFUNCTION("""COMPUTED_VALUE"""),2.0)</f>
        <v>2</v>
      </c>
      <c r="F2200" s="6">
        <f>IFERROR(__xludf.DUMMYFUNCTION("""COMPUTED_VALUE"""),2.0)</f>
        <v>2</v>
      </c>
      <c r="G2200" s="6">
        <f>IFERROR(__xludf.DUMMYFUNCTION("""COMPUTED_VALUE"""),0.0)</f>
        <v>0</v>
      </c>
      <c r="H2200" s="6" t="str">
        <f>IFERROR(__xludf.DUMMYFUNCTION("""COMPUTED_VALUE"""),"Pcs")</f>
        <v>Pcs</v>
      </c>
      <c r="I2200" s="6" t="str">
        <f>IFERROR(__xludf.DUMMYFUNCTION("""COMPUTED_VALUE"""),"MFH")</f>
        <v>MFH</v>
      </c>
      <c r="J2200" s="6" t="str">
        <f>IFERROR(__xludf.DUMMYFUNCTION("""COMPUTED_VALUE"""),"FD")</f>
        <v>FD</v>
      </c>
      <c r="K2200" s="6" t="str">
        <f>IFERROR(__xludf.DUMMYFUNCTION("""COMPUTED_VALUE"""),"SPR/07/25/028")</f>
        <v>SPR/07/25/028</v>
      </c>
      <c r="L2200" s="13">
        <f>IFERROR(__xludf.DUMMYFUNCTION("""COMPUTED_VALUE"""),45863.0)</f>
        <v>45863</v>
      </c>
    </row>
    <row r="2201">
      <c r="A2201" s="6" t="str">
        <f>IFERROR(__xludf.DUMMYFUNCTION("""COMPUTED_VALUE"""),"RIA")</f>
        <v>RIA</v>
      </c>
      <c r="B2201" s="6" t="str">
        <f>IFERROR(__xludf.DUMMYFUNCTION("""COMPUTED_VALUE"""),"ENG")</f>
        <v>ENG</v>
      </c>
      <c r="C2201" s="6" t="str">
        <f>IFERROR(__xludf.DUMMYFUNCTION("""COMPUTED_VALUE"""),"Q-60502-00")</f>
        <v>Q-60502-00</v>
      </c>
      <c r="D2201" s="6" t="str">
        <f>IFERROR(__xludf.DUMMYFUNCTION("""COMPUTED_VALUE"""),"Silicone Sealant, Silglaze, Type N10 White, pack size per pcs")</f>
        <v>Silicone Sealant, Silglaze, Type N10 White, pack size per pcs</v>
      </c>
      <c r="E2201" s="6">
        <f>IFERROR(__xludf.DUMMYFUNCTION("""COMPUTED_VALUE"""),1.0)</f>
        <v>1</v>
      </c>
      <c r="F2201" s="6">
        <f>IFERROR(__xludf.DUMMYFUNCTION("""COMPUTED_VALUE"""),1.0)</f>
        <v>1</v>
      </c>
      <c r="G2201" s="6">
        <f>IFERROR(__xludf.DUMMYFUNCTION("""COMPUTED_VALUE"""),0.0)</f>
        <v>0</v>
      </c>
      <c r="H2201" s="6" t="str">
        <f>IFERROR(__xludf.DUMMYFUNCTION("""COMPUTED_VALUE"""),"Pcs")</f>
        <v>Pcs</v>
      </c>
      <c r="I2201" s="6" t="str">
        <f>IFERROR(__xludf.DUMMYFUNCTION("""COMPUTED_VALUE"""),"MFH")</f>
        <v>MFH</v>
      </c>
      <c r="J2201" s="6" t="str">
        <f>IFERROR(__xludf.DUMMYFUNCTION("""COMPUTED_VALUE"""),"-")</f>
        <v>-</v>
      </c>
      <c r="K2201" s="6" t="str">
        <f>IFERROR(__xludf.DUMMYFUNCTION("""COMPUTED_VALUE"""),"SPR/07/25/029")</f>
        <v>SPR/07/25/029</v>
      </c>
      <c r="L2201" s="13">
        <f>IFERROR(__xludf.DUMMYFUNCTION("""COMPUTED_VALUE"""),45863.0)</f>
        <v>45863</v>
      </c>
    </row>
    <row r="2202">
      <c r="A2202" s="6" t="str">
        <f>IFERROR(__xludf.DUMMYFUNCTION("""COMPUTED_VALUE"""),"MRN")</f>
        <v>MRN</v>
      </c>
      <c r="B2202" s="6" t="str">
        <f>IFERROR(__xludf.DUMMYFUNCTION("""COMPUTED_VALUE"""),"ENG")</f>
        <v>ENG</v>
      </c>
      <c r="C2202" s="6" t="str">
        <f>IFERROR(__xludf.DUMMYFUNCTION("""COMPUTED_VALUE"""),"P-10860-00")</f>
        <v>P-10860-00</v>
      </c>
      <c r="D2202" s="6" t="str">
        <f>IFERROR(__xludf.DUMMYFUNCTION("""COMPUTED_VALUE"""),"Fitting PVC - Elbow PVC 1""")</f>
        <v>Fitting PVC - Elbow PVC 1"</v>
      </c>
      <c r="E2202" s="6">
        <f>IFERROR(__xludf.DUMMYFUNCTION("""COMPUTED_VALUE"""),18.0)</f>
        <v>18</v>
      </c>
      <c r="F2202" s="6">
        <f>IFERROR(__xludf.DUMMYFUNCTION("""COMPUTED_VALUE"""),18.0)</f>
        <v>18</v>
      </c>
      <c r="G2202" s="6">
        <f>IFERROR(__xludf.DUMMYFUNCTION("""COMPUTED_VALUE"""),0.0)</f>
        <v>0</v>
      </c>
      <c r="H2202" s="6" t="str">
        <f>IFERROR(__xludf.DUMMYFUNCTION("""COMPUTED_VALUE"""),"Pcs")</f>
        <v>Pcs</v>
      </c>
      <c r="I2202" s="6" t="str">
        <f>IFERROR(__xludf.DUMMYFUNCTION("""COMPUTED_VALUE"""),"MFH")</f>
        <v>MFH</v>
      </c>
      <c r="J2202" s="6" t="str">
        <f>IFERROR(__xludf.DUMMYFUNCTION("""COMPUTED_VALUE"""),"Mixing")</f>
        <v>Mixing</v>
      </c>
      <c r="K2202" s="6" t="str">
        <f>IFERROR(__xludf.DUMMYFUNCTION("""COMPUTED_VALUE"""),"SPR/07/25/030")</f>
        <v>SPR/07/25/030</v>
      </c>
      <c r="L2202" s="13">
        <f>IFERROR(__xludf.DUMMYFUNCTION("""COMPUTED_VALUE"""),45863.0)</f>
        <v>45863</v>
      </c>
    </row>
    <row r="2203">
      <c r="A2203" s="6" t="str">
        <f>IFERROR(__xludf.DUMMYFUNCTION("""COMPUTED_VALUE"""),"MRN")</f>
        <v>MRN</v>
      </c>
      <c r="B2203" s="6" t="str">
        <f>IFERROR(__xludf.DUMMYFUNCTION("""COMPUTED_VALUE"""),"ENG")</f>
        <v>ENG</v>
      </c>
      <c r="C2203" s="6" t="str">
        <f>IFERROR(__xludf.DUMMYFUNCTION("""COMPUTED_VALUE"""),"P-12942-00")</f>
        <v>P-12942-00</v>
      </c>
      <c r="D2203" s="6" t="str">
        <f>IFERROR(__xludf.DUMMYFUNCTION("""COMPUTED_VALUE"""),"Water Mur PVC dia 1inch")</f>
        <v>Water Mur PVC dia 1inch</v>
      </c>
      <c r="E2203" s="6">
        <f>IFERROR(__xludf.DUMMYFUNCTION("""COMPUTED_VALUE"""),4.0)</f>
        <v>4</v>
      </c>
      <c r="F2203" s="6">
        <f>IFERROR(__xludf.DUMMYFUNCTION("""COMPUTED_VALUE"""),4.0)</f>
        <v>4</v>
      </c>
      <c r="G2203" s="6">
        <f>IFERROR(__xludf.DUMMYFUNCTION("""COMPUTED_VALUE"""),0.0)</f>
        <v>0</v>
      </c>
      <c r="H2203" s="6" t="str">
        <f>IFERROR(__xludf.DUMMYFUNCTION("""COMPUTED_VALUE"""),"Pcs")</f>
        <v>Pcs</v>
      </c>
      <c r="I2203" s="6" t="str">
        <f>IFERROR(__xludf.DUMMYFUNCTION("""COMPUTED_VALUE"""),"MFH")</f>
        <v>MFH</v>
      </c>
      <c r="J2203" s="6" t="str">
        <f>IFERROR(__xludf.DUMMYFUNCTION("""COMPUTED_VALUE"""),"Mixing")</f>
        <v>Mixing</v>
      </c>
      <c r="K2203" s="6" t="str">
        <f>IFERROR(__xludf.DUMMYFUNCTION("""COMPUTED_VALUE"""),"SPR/07/25/030")</f>
        <v>SPR/07/25/030</v>
      </c>
      <c r="L2203" s="13">
        <f>IFERROR(__xludf.DUMMYFUNCTION("""COMPUTED_VALUE"""),45863.0)</f>
        <v>45863</v>
      </c>
    </row>
    <row r="2204">
      <c r="A2204" s="6" t="str">
        <f>IFERROR(__xludf.DUMMYFUNCTION("""COMPUTED_VALUE"""),"MRN")</f>
        <v>MRN</v>
      </c>
      <c r="B2204" s="6" t="str">
        <f>IFERROR(__xludf.DUMMYFUNCTION("""COMPUTED_VALUE"""),"ENG")</f>
        <v>ENG</v>
      </c>
      <c r="C2204" s="6" t="str">
        <f>IFERROR(__xludf.DUMMYFUNCTION("""COMPUTED_VALUE"""),"S-40645-00")</f>
        <v>S-40645-00</v>
      </c>
      <c r="D2204" s="6" t="str">
        <f>IFERROR(__xludf.DUMMYFUNCTION("""COMPUTED_VALUE"""),"Cable Ties, 200 x 4.8 mm; SIGMA; CS 200L; Putih;100 pcs/pack")</f>
        <v>Cable Ties, 200 x 4.8 mm; SIGMA; CS 200L; Putih;100 pcs/pack</v>
      </c>
      <c r="E2204" s="6">
        <f>IFERROR(__xludf.DUMMYFUNCTION("""COMPUTED_VALUE"""),1.0)</f>
        <v>1</v>
      </c>
      <c r="F2204" s="6">
        <f>IFERROR(__xludf.DUMMYFUNCTION("""COMPUTED_VALUE"""),1.0)</f>
        <v>1</v>
      </c>
      <c r="G2204" s="6">
        <f>IFERROR(__xludf.DUMMYFUNCTION("""COMPUTED_VALUE"""),0.0)</f>
        <v>0</v>
      </c>
      <c r="H2204" s="6" t="str">
        <f>IFERROR(__xludf.DUMMYFUNCTION("""COMPUTED_VALUE"""),"Pcs")</f>
        <v>Pcs</v>
      </c>
      <c r="I2204" s="6" t="str">
        <f>IFERROR(__xludf.DUMMYFUNCTION("""COMPUTED_VALUE"""),"MFH")</f>
        <v>MFH</v>
      </c>
      <c r="J2204" s="6" t="str">
        <f>IFERROR(__xludf.DUMMYFUNCTION("""COMPUTED_VALUE"""),"Mixing")</f>
        <v>Mixing</v>
      </c>
      <c r="K2204" s="6" t="str">
        <f>IFERROR(__xludf.DUMMYFUNCTION("""COMPUTED_VALUE"""),"SPR/07/25/030")</f>
        <v>SPR/07/25/030</v>
      </c>
      <c r="L2204" s="13">
        <f>IFERROR(__xludf.DUMMYFUNCTION("""COMPUTED_VALUE"""),45863.0)</f>
        <v>45863</v>
      </c>
    </row>
    <row r="2205">
      <c r="A2205" s="6" t="str">
        <f>IFERROR(__xludf.DUMMYFUNCTION("""COMPUTED_VALUE"""),"MRN")</f>
        <v>MRN</v>
      </c>
      <c r="B2205" s="6" t="str">
        <f>IFERROR(__xludf.DUMMYFUNCTION("""COMPUTED_VALUE"""),"ENG")</f>
        <v>ENG</v>
      </c>
      <c r="C2205" s="6" t="str">
        <f>IFERROR(__xludf.DUMMYFUNCTION("""COMPUTED_VALUE"""),"Q-60025-00")</f>
        <v>Q-60025-00</v>
      </c>
      <c r="D2205" s="6" t="str">
        <f>IFERROR(__xludf.DUMMYFUNCTION("""COMPUTED_VALUE"""),"Kuas Eterna 1 inchi")</f>
        <v>Kuas Eterna 1 inchi</v>
      </c>
      <c r="E2205" s="6">
        <f>IFERROR(__xludf.DUMMYFUNCTION("""COMPUTED_VALUE"""),1.0)</f>
        <v>1</v>
      </c>
      <c r="F2205" s="6">
        <f>IFERROR(__xludf.DUMMYFUNCTION("""COMPUTED_VALUE"""),1.0)</f>
        <v>1</v>
      </c>
      <c r="G2205" s="6">
        <f>IFERROR(__xludf.DUMMYFUNCTION("""COMPUTED_VALUE"""),0.0)</f>
        <v>0</v>
      </c>
      <c r="H2205" s="6" t="str">
        <f>IFERROR(__xludf.DUMMYFUNCTION("""COMPUTED_VALUE"""),"Pcs")</f>
        <v>Pcs</v>
      </c>
      <c r="I2205" s="6" t="str">
        <f>IFERROR(__xludf.DUMMYFUNCTION("""COMPUTED_VALUE"""),"MFH")</f>
        <v>MFH</v>
      </c>
      <c r="J2205" s="6" t="str">
        <f>IFERROR(__xludf.DUMMYFUNCTION("""COMPUTED_VALUE"""),"Building")</f>
        <v>Building</v>
      </c>
      <c r="K2205" s="6" t="str">
        <f>IFERROR(__xludf.DUMMYFUNCTION("""COMPUTED_VALUE"""),"SPR/07/25/031")</f>
        <v>SPR/07/25/031</v>
      </c>
      <c r="L2205" s="13">
        <f>IFERROR(__xludf.DUMMYFUNCTION("""COMPUTED_VALUE"""),45863.0)</f>
        <v>45863</v>
      </c>
    </row>
    <row r="2206">
      <c r="A2206" s="6" t="str">
        <f>IFERROR(__xludf.DUMMYFUNCTION("""COMPUTED_VALUE"""),"SJS")</f>
        <v>SJS</v>
      </c>
      <c r="B2206" s="6" t="str">
        <f>IFERROR(__xludf.DUMMYFUNCTION("""COMPUTED_VALUE"""),"HRG")</f>
        <v>HRG</v>
      </c>
      <c r="C2206" s="6" t="str">
        <f>IFERROR(__xludf.DUMMYFUNCTION("""COMPUTED_VALUE"""),"P-13389-00")</f>
        <v>P-13389-00</v>
      </c>
      <c r="D2206" s="6" t="str">
        <f>IFERROR(__xludf.DUMMYFUNCTION("""COMPUTED_VALUE"""),"Scotch Brite 3M; ; ;")</f>
        <v>Scotch Brite 3M; ; ;</v>
      </c>
      <c r="E2206" s="6">
        <f>IFERROR(__xludf.DUMMYFUNCTION("""COMPUTED_VALUE"""),1.0)</f>
        <v>1</v>
      </c>
      <c r="F2206" s="6">
        <f>IFERROR(__xludf.DUMMYFUNCTION("""COMPUTED_VALUE"""),1.0)</f>
        <v>1</v>
      </c>
      <c r="G2206" s="6">
        <f>IFERROR(__xludf.DUMMYFUNCTION("""COMPUTED_VALUE"""),0.0)</f>
        <v>0</v>
      </c>
      <c r="H2206" s="6" t="str">
        <f>IFERROR(__xludf.DUMMYFUNCTION("""COMPUTED_VALUE"""),"Pcs")</f>
        <v>Pcs</v>
      </c>
      <c r="I2206" s="6" t="str">
        <f>IFERROR(__xludf.DUMMYFUNCTION("""COMPUTED_VALUE"""),"MFH")</f>
        <v>MFH</v>
      </c>
      <c r="J2206" s="6" t="str">
        <f>IFERROR(__xludf.DUMMYFUNCTION("""COMPUTED_VALUE"""),"-")</f>
        <v>-</v>
      </c>
      <c r="K2206" s="6" t="str">
        <f>IFERROR(__xludf.DUMMYFUNCTION("""COMPUTED_VALUE"""),"SPR/07/25/032")</f>
        <v>SPR/07/25/032</v>
      </c>
      <c r="L2206" s="13">
        <f>IFERROR(__xludf.DUMMYFUNCTION("""COMPUTED_VALUE"""),45863.0)</f>
        <v>45863</v>
      </c>
    </row>
    <row r="2207">
      <c r="A2207" s="6" t="str">
        <f>IFERROR(__xludf.DUMMYFUNCTION("""COMPUTED_VALUE"""),"RIA")</f>
        <v>RIA</v>
      </c>
      <c r="B2207" s="6" t="str">
        <f>IFERROR(__xludf.DUMMYFUNCTION("""COMPUTED_VALUE"""),"ENG")</f>
        <v>ENG</v>
      </c>
      <c r="C2207" s="6" t="str">
        <f>IFERROR(__xludf.DUMMYFUNCTION("""COMPUTED_VALUE"""),"Q-12060-00")</f>
        <v>Q-12060-00</v>
      </c>
      <c r="D2207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207" s="6">
        <f>IFERROR(__xludf.DUMMYFUNCTION("""COMPUTED_VALUE"""),1.0)</f>
        <v>1</v>
      </c>
      <c r="F2207" s="6">
        <f>IFERROR(__xludf.DUMMYFUNCTION("""COMPUTED_VALUE"""),1.0)</f>
        <v>1</v>
      </c>
      <c r="G2207" s="6">
        <f>IFERROR(__xludf.DUMMYFUNCTION("""COMPUTED_VALUE"""),0.0)</f>
        <v>0</v>
      </c>
      <c r="H2207" s="6" t="str">
        <f>IFERROR(__xludf.DUMMYFUNCTION("""COMPUTED_VALUE"""),"Pcs")</f>
        <v>Pcs</v>
      </c>
      <c r="I2207" s="6" t="str">
        <f>IFERROR(__xludf.DUMMYFUNCTION("""COMPUTED_VALUE"""),"MFH")</f>
        <v>MFH</v>
      </c>
      <c r="J2207" s="6" t="str">
        <f>IFERROR(__xludf.DUMMYFUNCTION("""COMPUTED_VALUE"""),"WICC")</f>
        <v>WICC</v>
      </c>
      <c r="K2207" s="6" t="str">
        <f>IFERROR(__xludf.DUMMYFUNCTION("""COMPUTED_VALUE"""),"SPR/07/25/033")</f>
        <v>SPR/07/25/033</v>
      </c>
      <c r="L2207" s="13">
        <f>IFERROR(__xludf.DUMMYFUNCTION("""COMPUTED_VALUE"""),45863.0)</f>
        <v>45863</v>
      </c>
    </row>
    <row r="2208">
      <c r="A2208" s="6" t="str">
        <f>IFERROR(__xludf.DUMMYFUNCTION("""COMPUTED_VALUE"""),"SFH")</f>
        <v>SFH</v>
      </c>
      <c r="B2208" s="6" t="str">
        <f>IFERROR(__xludf.DUMMYFUNCTION("""COMPUTED_VALUE"""),"ENG")</f>
        <v>ENG</v>
      </c>
      <c r="C2208" s="6" t="str">
        <f>IFERROR(__xludf.DUMMYFUNCTION("""COMPUTED_VALUE"""),"P-51560-00")</f>
        <v>P-51560-00</v>
      </c>
      <c r="D2208" s="6" t="str">
        <f>IFERROR(__xludf.DUMMYFUNCTION("""COMPUTED_VALUE"""),"Lampu T5 28watt Putih; Phillips; ;")</f>
        <v>Lampu T5 28watt Putih; Phillips; ;</v>
      </c>
      <c r="E2208" s="6">
        <f>IFERROR(__xludf.DUMMYFUNCTION("""COMPUTED_VALUE"""),16.0)</f>
        <v>16</v>
      </c>
      <c r="F2208" s="6">
        <f>IFERROR(__xludf.DUMMYFUNCTION("""COMPUTED_VALUE"""),16.0)</f>
        <v>16</v>
      </c>
      <c r="G2208" s="6">
        <f>IFERROR(__xludf.DUMMYFUNCTION("""COMPUTED_VALUE"""),0.0)</f>
        <v>0</v>
      </c>
      <c r="H2208" s="6" t="str">
        <f>IFERROR(__xludf.DUMMYFUNCTION("""COMPUTED_VALUE"""),"Pcs")</f>
        <v>Pcs</v>
      </c>
      <c r="I2208" s="6" t="str">
        <f>IFERROR(__xludf.DUMMYFUNCTION("""COMPUTED_VALUE"""),"MFH")</f>
        <v>MFH</v>
      </c>
      <c r="J2208" s="6" t="str">
        <f>IFERROR(__xludf.DUMMYFUNCTION("""COMPUTED_VALUE"""),"Building")</f>
        <v>Building</v>
      </c>
      <c r="K2208" s="6" t="str">
        <f>IFERROR(__xludf.DUMMYFUNCTION("""COMPUTED_VALUE"""),"SPR/07/25/034")</f>
        <v>SPR/07/25/034</v>
      </c>
      <c r="L2208" s="13">
        <f>IFERROR(__xludf.DUMMYFUNCTION("""COMPUTED_VALUE"""),45863.0)</f>
        <v>45863</v>
      </c>
    </row>
    <row r="2209">
      <c r="A2209" s="6" t="str">
        <f>IFERROR(__xludf.DUMMYFUNCTION("""COMPUTED_VALUE"""),"SFH")</f>
        <v>SFH</v>
      </c>
      <c r="B2209" s="6" t="str">
        <f>IFERROR(__xludf.DUMMYFUNCTION("""COMPUTED_VALUE"""),"ENG")</f>
        <v>ENG</v>
      </c>
      <c r="C2209" s="6" t="str">
        <f>IFERROR(__xludf.DUMMYFUNCTION("""COMPUTED_VALUE"""),"P-51559-00")</f>
        <v>P-51559-00</v>
      </c>
      <c r="D2209" s="6" t="str">
        <f>IFERROR(__xludf.DUMMYFUNCTION("""COMPUTED_VALUE"""),"Lampu T5 14watt Putih; Phillips; ;")</f>
        <v>Lampu T5 14watt Putih; Phillips; ;</v>
      </c>
      <c r="E2209" s="6">
        <f>IFERROR(__xludf.DUMMYFUNCTION("""COMPUTED_VALUE"""),5.0)</f>
        <v>5</v>
      </c>
      <c r="F2209" s="6">
        <f>IFERROR(__xludf.DUMMYFUNCTION("""COMPUTED_VALUE"""),5.0)</f>
        <v>5</v>
      </c>
      <c r="G2209" s="6">
        <f>IFERROR(__xludf.DUMMYFUNCTION("""COMPUTED_VALUE"""),0.0)</f>
        <v>0</v>
      </c>
      <c r="H2209" s="6" t="str">
        <f>IFERROR(__xludf.DUMMYFUNCTION("""COMPUTED_VALUE"""),"Pcs")</f>
        <v>Pcs</v>
      </c>
      <c r="I2209" s="6" t="str">
        <f>IFERROR(__xludf.DUMMYFUNCTION("""COMPUTED_VALUE"""),"MFH")</f>
        <v>MFH</v>
      </c>
      <c r="J2209" s="6" t="str">
        <f>IFERROR(__xludf.DUMMYFUNCTION("""COMPUTED_VALUE"""),"Building")</f>
        <v>Building</v>
      </c>
      <c r="K2209" s="6" t="str">
        <f>IFERROR(__xludf.DUMMYFUNCTION("""COMPUTED_VALUE"""),"SPR/07/25/034")</f>
        <v>SPR/07/25/034</v>
      </c>
      <c r="L2209" s="13">
        <f>IFERROR(__xludf.DUMMYFUNCTION("""COMPUTED_VALUE"""),45863.0)</f>
        <v>45863</v>
      </c>
    </row>
    <row r="2210">
      <c r="A2210" s="6" t="str">
        <f>IFERROR(__xludf.DUMMYFUNCTION("""COMPUTED_VALUE"""),"SFH")</f>
        <v>SFH</v>
      </c>
      <c r="B2210" s="6" t="str">
        <f>IFERROR(__xludf.DUMMYFUNCTION("""COMPUTED_VALUE"""),"ENG")</f>
        <v>ENG</v>
      </c>
      <c r="C2210" s="6" t="str">
        <f>IFERROR(__xludf.DUMMYFUNCTION("""COMPUTED_VALUE"""),"P-53293-00")</f>
        <v>P-53293-00</v>
      </c>
      <c r="D2210" s="6" t="str">
        <f>IFERROR(__xludf.DUMMYFUNCTION("""COMPUTED_VALUE"""),"General - Lampu Emergency TL LED 16W Waterproof IP65; Briliant; -; 1 pc")</f>
        <v>General - Lampu Emergency TL LED 16W Waterproof IP65; Briliant; -; 1 pc</v>
      </c>
      <c r="E2210" s="6">
        <f>IFERROR(__xludf.DUMMYFUNCTION("""COMPUTED_VALUE"""),1.0)</f>
        <v>1</v>
      </c>
      <c r="F2210" s="6">
        <f>IFERROR(__xludf.DUMMYFUNCTION("""COMPUTED_VALUE"""),1.0)</f>
        <v>1</v>
      </c>
      <c r="G2210" s="6">
        <f>IFERROR(__xludf.DUMMYFUNCTION("""COMPUTED_VALUE"""),0.0)</f>
        <v>0</v>
      </c>
      <c r="H2210" s="6" t="str">
        <f>IFERROR(__xludf.DUMMYFUNCTION("""COMPUTED_VALUE"""),"Pcs")</f>
        <v>Pcs</v>
      </c>
      <c r="I2210" s="6" t="str">
        <f>IFERROR(__xludf.DUMMYFUNCTION("""COMPUTED_VALUE"""),"MFH")</f>
        <v>MFH</v>
      </c>
      <c r="J2210" s="6" t="str">
        <f>IFERROR(__xludf.DUMMYFUNCTION("""COMPUTED_VALUE"""),"Building")</f>
        <v>Building</v>
      </c>
      <c r="K2210" s="6" t="str">
        <f>IFERROR(__xludf.DUMMYFUNCTION("""COMPUTED_VALUE"""),"SPR/07/25/034")</f>
        <v>SPR/07/25/034</v>
      </c>
      <c r="L2210" s="13">
        <f>IFERROR(__xludf.DUMMYFUNCTION("""COMPUTED_VALUE"""),45863.0)</f>
        <v>45863</v>
      </c>
    </row>
    <row r="2211">
      <c r="A2211" s="6" t="str">
        <f>IFERROR(__xludf.DUMMYFUNCTION("""COMPUTED_VALUE"""),"MAP")</f>
        <v>MAP</v>
      </c>
      <c r="B2211" s="6" t="str">
        <f>IFERROR(__xludf.DUMMYFUNCTION("""COMPUTED_VALUE"""),"ENG")</f>
        <v>ENG</v>
      </c>
      <c r="C2211" s="6" t="str">
        <f>IFERROR(__xludf.DUMMYFUNCTION("""COMPUTED_VALUE"""),"-")</f>
        <v>-</v>
      </c>
      <c r="D2211" s="6" t="str">
        <f>IFERROR(__xludf.DUMMYFUNCTION("""COMPUTED_VALUE"""),"Lakban Silver Waterproof")</f>
        <v>Lakban Silver Waterproof</v>
      </c>
      <c r="E2211" s="6">
        <f>IFERROR(__xludf.DUMMYFUNCTION("""COMPUTED_VALUE"""),1.0)</f>
        <v>1</v>
      </c>
      <c r="F2211" s="6">
        <f>IFERROR(__xludf.DUMMYFUNCTION("""COMPUTED_VALUE"""),1.0)</f>
        <v>1</v>
      </c>
      <c r="G2211" s="6">
        <f>IFERROR(__xludf.DUMMYFUNCTION("""COMPUTED_VALUE"""),0.0)</f>
        <v>0</v>
      </c>
      <c r="H2211" s="6" t="str">
        <f>IFERROR(__xludf.DUMMYFUNCTION("""COMPUTED_VALUE"""),"Pcs")</f>
        <v>Pcs</v>
      </c>
      <c r="I2211" s="6" t="str">
        <f>IFERROR(__xludf.DUMMYFUNCTION("""COMPUTED_VALUE"""),"MFH")</f>
        <v>MFH</v>
      </c>
      <c r="J2211" s="6" t="str">
        <f>IFERROR(__xludf.DUMMYFUNCTION("""COMPUTED_VALUE"""),"Kalibrasi")</f>
        <v>Kalibrasi</v>
      </c>
      <c r="K2211" s="6" t="str">
        <f>IFERROR(__xludf.DUMMYFUNCTION("""COMPUTED_VALUE"""),"SPR/07/25/035")</f>
        <v>SPR/07/25/035</v>
      </c>
      <c r="L2211" s="13">
        <f>IFERROR(__xludf.DUMMYFUNCTION("""COMPUTED_VALUE"""),45863.0)</f>
        <v>45863</v>
      </c>
    </row>
    <row r="2212">
      <c r="A2212" s="6" t="str">
        <f>IFERROR(__xludf.DUMMYFUNCTION("""COMPUTED_VALUE"""),"SFH")</f>
        <v>SFH</v>
      </c>
      <c r="B2212" s="6" t="str">
        <f>IFERROR(__xludf.DUMMYFUNCTION("""COMPUTED_VALUE"""),"ENG")</f>
        <v>ENG</v>
      </c>
      <c r="C2212" s="6" t="str">
        <f>IFERROR(__xludf.DUMMYFUNCTION("""COMPUTED_VALUE"""),"P-10945-00")</f>
        <v>P-10945-00</v>
      </c>
      <c r="D2212" s="6" t="str">
        <f>IFERROR(__xludf.DUMMYFUNCTION("""COMPUTED_VALUE"""),"General - Seal Tape 1 Inch 10 M; Onda; ST 02; 1 pcs")</f>
        <v>General - Seal Tape 1 Inch 10 M; Onda; ST 02; 1 pcs</v>
      </c>
      <c r="E2212" s="6">
        <f>IFERROR(__xludf.DUMMYFUNCTION("""COMPUTED_VALUE"""),2.0)</f>
        <v>2</v>
      </c>
      <c r="F2212" s="6">
        <f>IFERROR(__xludf.DUMMYFUNCTION("""COMPUTED_VALUE"""),2.0)</f>
        <v>2</v>
      </c>
      <c r="G2212" s="6">
        <f>IFERROR(__xludf.DUMMYFUNCTION("""COMPUTED_VALUE"""),0.0)</f>
        <v>0</v>
      </c>
      <c r="H2212" s="6" t="str">
        <f>IFERROR(__xludf.DUMMYFUNCTION("""COMPUTED_VALUE"""),"Pcs")</f>
        <v>Pcs</v>
      </c>
      <c r="I2212" s="6" t="str">
        <f>IFERROR(__xludf.DUMMYFUNCTION("""COMPUTED_VALUE"""),"MFH")</f>
        <v>MFH</v>
      </c>
      <c r="J2212" s="6" t="str">
        <f>IFERROR(__xludf.DUMMYFUNCTION("""COMPUTED_VALUE"""),"Building")</f>
        <v>Building</v>
      </c>
      <c r="K2212" s="6" t="str">
        <f>IFERROR(__xludf.DUMMYFUNCTION("""COMPUTED_VALUE"""),"SPR/07/25/036")</f>
        <v>SPR/07/25/036</v>
      </c>
      <c r="L2212" s="13">
        <f>IFERROR(__xludf.DUMMYFUNCTION("""COMPUTED_VALUE"""),45863.0)</f>
        <v>45863</v>
      </c>
    </row>
    <row r="2213">
      <c r="A2213" s="6" t="str">
        <f>IFERROR(__xludf.DUMMYFUNCTION("""COMPUTED_VALUE"""),"SFH")</f>
        <v>SFH</v>
      </c>
      <c r="B2213" s="6" t="str">
        <f>IFERROR(__xludf.DUMMYFUNCTION("""COMPUTED_VALUE"""),"ENG")</f>
        <v>ENG</v>
      </c>
      <c r="C2213" s="6" t="str">
        <f>IFERROR(__xludf.DUMMYFUNCTION("""COMPUTED_VALUE"""),"P-10729-00")</f>
        <v>P-10729-00</v>
      </c>
      <c r="D2213" s="6" t="str">
        <f>IFERROR(__xludf.DUMMYFUNCTION("""COMPUTED_VALUE"""),"Contact cleaner WD 40, 382 gr ; Brand : - ; P/N : - ; Pack Size : pcs")</f>
        <v>Contact cleaner WD 40, 382 gr ; Brand : - ; P/N : - ; Pack Size : pcs</v>
      </c>
      <c r="E2213" s="6">
        <f>IFERROR(__xludf.DUMMYFUNCTION("""COMPUTED_VALUE"""),1.0)</f>
        <v>1</v>
      </c>
      <c r="F2213" s="6">
        <f>IFERROR(__xludf.DUMMYFUNCTION("""COMPUTED_VALUE"""),1.0)</f>
        <v>1</v>
      </c>
      <c r="G2213" s="6">
        <f>IFERROR(__xludf.DUMMYFUNCTION("""COMPUTED_VALUE"""),0.0)</f>
        <v>0</v>
      </c>
      <c r="H2213" s="6" t="str">
        <f>IFERROR(__xludf.DUMMYFUNCTION("""COMPUTED_VALUE"""),"Pcs")</f>
        <v>Pcs</v>
      </c>
      <c r="I2213" s="6" t="str">
        <f>IFERROR(__xludf.DUMMYFUNCTION("""COMPUTED_VALUE"""),"MFH")</f>
        <v>MFH</v>
      </c>
      <c r="J2213" s="6" t="str">
        <f>IFERROR(__xludf.DUMMYFUNCTION("""COMPUTED_VALUE"""),"Building")</f>
        <v>Building</v>
      </c>
      <c r="K2213" s="6" t="str">
        <f>IFERROR(__xludf.DUMMYFUNCTION("""COMPUTED_VALUE"""),"SPR/07/25/036")</f>
        <v>SPR/07/25/036</v>
      </c>
      <c r="L2213" s="13">
        <f>IFERROR(__xludf.DUMMYFUNCTION("""COMPUTED_VALUE"""),45863.0)</f>
        <v>45863</v>
      </c>
    </row>
    <row r="2214">
      <c r="A2214" s="6" t="str">
        <f>IFERROR(__xludf.DUMMYFUNCTION("""COMPUTED_VALUE"""),"ANO")</f>
        <v>ANO</v>
      </c>
      <c r="B2214" s="6" t="str">
        <f>IFERROR(__xludf.DUMMYFUNCTION("""COMPUTED_VALUE"""),"ENG")</f>
        <v>ENG</v>
      </c>
      <c r="C2214" s="6" t="str">
        <f>IFERROR(__xludf.DUMMYFUNCTION("""COMPUTED_VALUE"""),"P-18788-00")</f>
        <v>P-18788-00</v>
      </c>
      <c r="D2214" s="6" t="str">
        <f>IFERROR(__xludf.DUMMYFUNCTION("""COMPUTED_VALUE"""),"Baut SS Hexagon SS M6x55mm + Mur; ; ;")</f>
        <v>Baut SS Hexagon SS M6x55mm + Mur; ; ;</v>
      </c>
      <c r="E2214" s="6">
        <f>IFERROR(__xludf.DUMMYFUNCTION("""COMPUTED_VALUE"""),4.0)</f>
        <v>4</v>
      </c>
      <c r="F2214" s="6">
        <f>IFERROR(__xludf.DUMMYFUNCTION("""COMPUTED_VALUE"""),4.0)</f>
        <v>4</v>
      </c>
      <c r="G2214" s="6">
        <f>IFERROR(__xludf.DUMMYFUNCTION("""COMPUTED_VALUE"""),0.0)</f>
        <v>0</v>
      </c>
      <c r="H2214" s="6" t="str">
        <f>IFERROR(__xludf.DUMMYFUNCTION("""COMPUTED_VALUE"""),"Pcs")</f>
        <v>Pcs</v>
      </c>
      <c r="I2214" s="6" t="str">
        <f>IFERROR(__xludf.DUMMYFUNCTION("""COMPUTED_VALUE"""),"MFH")</f>
        <v>MFH</v>
      </c>
      <c r="J2214" s="6" t="str">
        <f>IFERROR(__xludf.DUMMYFUNCTION("""COMPUTED_VALUE"""),"Furnace")</f>
        <v>Furnace</v>
      </c>
      <c r="K2214" s="6" t="str">
        <f>IFERROR(__xludf.DUMMYFUNCTION("""COMPUTED_VALUE"""),"SPR/07/25/037")</f>
        <v>SPR/07/25/037</v>
      </c>
      <c r="L2214" s="13">
        <f>IFERROR(__xludf.DUMMYFUNCTION("""COMPUTED_VALUE"""),45863.0)</f>
        <v>45863</v>
      </c>
    </row>
    <row r="2215">
      <c r="A2215" s="6" t="str">
        <f>IFERROR(__xludf.DUMMYFUNCTION("""COMPUTED_VALUE"""),"ANO")</f>
        <v>ANO</v>
      </c>
      <c r="B2215" s="6" t="str">
        <f>IFERROR(__xludf.DUMMYFUNCTION("""COMPUTED_VALUE"""),"ENG")</f>
        <v>ENG</v>
      </c>
      <c r="C2215" s="6" t="str">
        <f>IFERROR(__xludf.DUMMYFUNCTION("""COMPUTED_VALUE"""),"-")</f>
        <v>-</v>
      </c>
      <c r="D2215" s="6" t="str">
        <f>IFERROR(__xludf.DUMMYFUNCTION("""COMPUTED_VALUE"""),"Kabel Heater")</f>
        <v>Kabel Heater</v>
      </c>
      <c r="E2215" s="6">
        <f>IFERROR(__xludf.DUMMYFUNCTION("""COMPUTED_VALUE"""),1.0)</f>
        <v>1</v>
      </c>
      <c r="F2215" s="6">
        <f>IFERROR(__xludf.DUMMYFUNCTION("""COMPUTED_VALUE"""),1.0)</f>
        <v>1</v>
      </c>
      <c r="G2215" s="6">
        <f>IFERROR(__xludf.DUMMYFUNCTION("""COMPUTED_VALUE"""),0.0)</f>
        <v>0</v>
      </c>
      <c r="H2215" s="6" t="str">
        <f>IFERROR(__xludf.DUMMYFUNCTION("""COMPUTED_VALUE"""),"Pcs")</f>
        <v>Pcs</v>
      </c>
      <c r="I2215" s="6" t="str">
        <f>IFERROR(__xludf.DUMMYFUNCTION("""COMPUTED_VALUE"""),"MFH")</f>
        <v>MFH</v>
      </c>
      <c r="J2215" s="6" t="str">
        <f>IFERROR(__xludf.DUMMYFUNCTION("""COMPUTED_VALUE"""),"Furnace")</f>
        <v>Furnace</v>
      </c>
      <c r="K2215" s="6" t="str">
        <f>IFERROR(__xludf.DUMMYFUNCTION("""COMPUTED_VALUE"""),"SPR/07/25/037")</f>
        <v>SPR/07/25/037</v>
      </c>
      <c r="L2215" s="13">
        <f>IFERROR(__xludf.DUMMYFUNCTION("""COMPUTED_VALUE"""),45863.0)</f>
        <v>45863</v>
      </c>
    </row>
    <row r="2216">
      <c r="A2216" s="6" t="str">
        <f>IFERROR(__xludf.DUMMYFUNCTION("""COMPUTED_VALUE"""),"ANO")</f>
        <v>ANO</v>
      </c>
      <c r="B2216" s="6" t="str">
        <f>IFERROR(__xludf.DUMMYFUNCTION("""COMPUTED_VALUE"""),"ENG")</f>
        <v>ENG</v>
      </c>
      <c r="C2216" s="6" t="str">
        <f>IFERROR(__xludf.DUMMYFUNCTION("""COMPUTED_VALUE"""),"P-51239-00")</f>
        <v>P-51239-00</v>
      </c>
      <c r="D2216" s="6" t="str">
        <f>IFERROR(__xludf.DUMMYFUNCTION("""COMPUTED_VALUE"""),"Skun ( I ) Pin uk.2.5-5 m hitam")</f>
        <v>Skun ( I ) Pin uk.2.5-5 m hitam</v>
      </c>
      <c r="E2216" s="6">
        <f>IFERROR(__xludf.DUMMYFUNCTION("""COMPUTED_VALUE"""),1.0)</f>
        <v>1</v>
      </c>
      <c r="F2216" s="6">
        <f>IFERROR(__xludf.DUMMYFUNCTION("""COMPUTED_VALUE"""),1.0)</f>
        <v>1</v>
      </c>
      <c r="G2216" s="6">
        <f>IFERROR(__xludf.DUMMYFUNCTION("""COMPUTED_VALUE"""),0.0)</f>
        <v>0</v>
      </c>
      <c r="H2216" s="6" t="str">
        <f>IFERROR(__xludf.DUMMYFUNCTION("""COMPUTED_VALUE"""),"Pcs")</f>
        <v>Pcs</v>
      </c>
      <c r="I2216" s="6" t="str">
        <f>IFERROR(__xludf.DUMMYFUNCTION("""COMPUTED_VALUE"""),"MFH")</f>
        <v>MFH</v>
      </c>
      <c r="J2216" s="6" t="str">
        <f>IFERROR(__xludf.DUMMYFUNCTION("""COMPUTED_VALUE"""),"Furnace")</f>
        <v>Furnace</v>
      </c>
      <c r="K2216" s="6" t="str">
        <f>IFERROR(__xludf.DUMMYFUNCTION("""COMPUTED_VALUE"""),"SPR/07/25/037")</f>
        <v>SPR/07/25/037</v>
      </c>
      <c r="L2216" s="13">
        <f>IFERROR(__xludf.DUMMYFUNCTION("""COMPUTED_VALUE"""),45863.0)</f>
        <v>45863</v>
      </c>
    </row>
    <row r="2217">
      <c r="A2217" s="6" t="str">
        <f>IFERROR(__xludf.DUMMYFUNCTION("""COMPUTED_VALUE"""),"NDS")</f>
        <v>NDS</v>
      </c>
      <c r="B2217" s="6" t="str">
        <f>IFERROR(__xludf.DUMMYFUNCTION("""COMPUTED_VALUE"""),"ENG")</f>
        <v>ENG</v>
      </c>
      <c r="C2217" s="6" t="str">
        <f>IFERROR(__xludf.DUMMYFUNCTION("""COMPUTED_VALUE"""),"O-54014-00")</f>
        <v>O-54014-00</v>
      </c>
      <c r="D2217" s="6" t="str">
        <f>IFERROR(__xludf.DUMMYFUNCTION("""COMPUTED_VALUE"""),"STEKER 1 PHASE, BROCO")</f>
        <v>STEKER 1 PHASE, BROCO</v>
      </c>
      <c r="E2217" s="6">
        <f>IFERROR(__xludf.DUMMYFUNCTION("""COMPUTED_VALUE"""),1.0)</f>
        <v>1</v>
      </c>
      <c r="F2217" s="6">
        <f>IFERROR(__xludf.DUMMYFUNCTION("""COMPUTED_VALUE"""),1.0)</f>
        <v>1</v>
      </c>
      <c r="G2217" s="6">
        <f>IFERROR(__xludf.DUMMYFUNCTION("""COMPUTED_VALUE"""),0.0)</f>
        <v>0</v>
      </c>
      <c r="H2217" s="6" t="str">
        <f>IFERROR(__xludf.DUMMYFUNCTION("""COMPUTED_VALUE"""),"Pcs")</f>
        <v>Pcs</v>
      </c>
      <c r="I2217" s="6" t="str">
        <f>IFERROR(__xludf.DUMMYFUNCTION("""COMPUTED_VALUE"""),"MFH")</f>
        <v>MFH</v>
      </c>
      <c r="J2217" s="6" t="str">
        <f>IFERROR(__xludf.DUMMYFUNCTION("""COMPUTED_VALUE"""),"Autoclave")</f>
        <v>Autoclave</v>
      </c>
      <c r="K2217" s="6" t="str">
        <f>IFERROR(__xludf.DUMMYFUNCTION("""COMPUTED_VALUE"""),"SPR/07/25/038")</f>
        <v>SPR/07/25/038</v>
      </c>
      <c r="L2217" s="13">
        <f>IFERROR(__xludf.DUMMYFUNCTION("""COMPUTED_VALUE"""),45863.0)</f>
        <v>45863</v>
      </c>
    </row>
    <row r="2218">
      <c r="A2218" s="6" t="str">
        <f>IFERROR(__xludf.DUMMYFUNCTION("""COMPUTED_VALUE"""),"NDS")</f>
        <v>NDS</v>
      </c>
      <c r="B2218" s="6" t="str">
        <f>IFERROR(__xludf.DUMMYFUNCTION("""COMPUTED_VALUE"""),"ENG")</f>
        <v>ENG</v>
      </c>
      <c r="C2218" s="6" t="str">
        <f>IFERROR(__xludf.DUMMYFUNCTION("""COMPUTED_VALUE"""),"P-50286-00")</f>
        <v>P-50286-00</v>
      </c>
      <c r="D2218" s="6" t="str">
        <f>IFERROR(__xludf.DUMMYFUNCTION("""COMPUTED_VALUE"""),"Kabel NYYHY 3 x 1,5 mm")</f>
        <v>Kabel NYYHY 3 x 1,5 mm</v>
      </c>
      <c r="E2218" s="6">
        <f>IFERROR(__xludf.DUMMYFUNCTION("""COMPUTED_VALUE"""),1.0)</f>
        <v>1</v>
      </c>
      <c r="F2218" s="6">
        <f>IFERROR(__xludf.DUMMYFUNCTION("""COMPUTED_VALUE"""),1.0)</f>
        <v>1</v>
      </c>
      <c r="G2218" s="6">
        <f>IFERROR(__xludf.DUMMYFUNCTION("""COMPUTED_VALUE"""),0.0)</f>
        <v>0</v>
      </c>
      <c r="H2218" s="6" t="str">
        <f>IFERROR(__xludf.DUMMYFUNCTION("""COMPUTED_VALUE"""),"Pcs")</f>
        <v>Pcs</v>
      </c>
      <c r="I2218" s="6" t="str">
        <f>IFERROR(__xludf.DUMMYFUNCTION("""COMPUTED_VALUE"""),"MFH")</f>
        <v>MFH</v>
      </c>
      <c r="J2218" s="6" t="str">
        <f>IFERROR(__xludf.DUMMYFUNCTION("""COMPUTED_VALUE"""),"Autoclave")</f>
        <v>Autoclave</v>
      </c>
      <c r="K2218" s="6" t="str">
        <f>IFERROR(__xludf.DUMMYFUNCTION("""COMPUTED_VALUE"""),"SPR/07/25/038")</f>
        <v>SPR/07/25/038</v>
      </c>
      <c r="L2218" s="13">
        <f>IFERROR(__xludf.DUMMYFUNCTION("""COMPUTED_VALUE"""),45863.0)</f>
        <v>45863</v>
      </c>
    </row>
    <row r="2219">
      <c r="A2219" s="6" t="str">
        <f>IFERROR(__xludf.DUMMYFUNCTION("""COMPUTED_VALUE"""),"INN")</f>
        <v>INN</v>
      </c>
      <c r="B2219" s="6" t="str">
        <f>IFERROR(__xludf.DUMMYFUNCTION("""COMPUTED_VALUE"""),"ENG")</f>
        <v>ENG</v>
      </c>
      <c r="C2219" s="6" t="str">
        <f>IFERROR(__xludf.DUMMYFUNCTION("""COMPUTED_VALUE"""),"P-50491-00")</f>
        <v>P-50491-00</v>
      </c>
      <c r="D2219" s="6" t="str">
        <f>IFERROR(__xludf.DUMMYFUNCTION("""COMPUTED_VALUE"""),"Relay / MY2N / 24 VDC OMRON")</f>
        <v>Relay / MY2N / 24 VDC OMRON</v>
      </c>
      <c r="E2219" s="6">
        <f>IFERROR(__xludf.DUMMYFUNCTION("""COMPUTED_VALUE"""),1.0)</f>
        <v>1</v>
      </c>
      <c r="F2219" s="6">
        <f>IFERROR(__xludf.DUMMYFUNCTION("""COMPUTED_VALUE"""),1.0)</f>
        <v>1</v>
      </c>
      <c r="G2219" s="6">
        <f>IFERROR(__xludf.DUMMYFUNCTION("""COMPUTED_VALUE"""),0.0)</f>
        <v>0</v>
      </c>
      <c r="H2219" s="6" t="str">
        <f>IFERROR(__xludf.DUMMYFUNCTION("""COMPUTED_VALUE"""),"Pcs")</f>
        <v>Pcs</v>
      </c>
      <c r="I2219" s="6" t="str">
        <f>IFERROR(__xludf.DUMMYFUNCTION("""COMPUTED_VALUE"""),"MFH")</f>
        <v>MFH</v>
      </c>
      <c r="J2219" s="6" t="str">
        <f>IFERROR(__xludf.DUMMYFUNCTION("""COMPUTED_VALUE"""),"Labeling")</f>
        <v>Labeling</v>
      </c>
      <c r="K2219" s="6" t="str">
        <f>IFERROR(__xludf.DUMMYFUNCTION("""COMPUTED_VALUE"""),"SPR/07/25/039")</f>
        <v>SPR/07/25/039</v>
      </c>
      <c r="L2219" s="13">
        <f>IFERROR(__xludf.DUMMYFUNCTION("""COMPUTED_VALUE"""),45863.0)</f>
        <v>45863</v>
      </c>
    </row>
    <row r="2220">
      <c r="A2220" s="6" t="str">
        <f>IFERROR(__xludf.DUMMYFUNCTION("""COMPUTED_VALUE"""),"ANO")</f>
        <v>ANO</v>
      </c>
      <c r="B2220" s="6" t="str">
        <f>IFERROR(__xludf.DUMMYFUNCTION("""COMPUTED_VALUE"""),"ENG")</f>
        <v>ENG</v>
      </c>
      <c r="C2220" s="6" t="str">
        <f>IFERROR(__xludf.DUMMYFUNCTION("""COMPUTED_VALUE"""),"-")</f>
        <v>-</v>
      </c>
      <c r="D2220" s="6" t="str">
        <f>IFERROR(__xludf.DUMMYFUNCTION("""COMPUTED_VALUE"""),"Fuse 1 1/2 A")</f>
        <v>Fuse 1 1/2 A</v>
      </c>
      <c r="E2220" s="6">
        <f>IFERROR(__xludf.DUMMYFUNCTION("""COMPUTED_VALUE"""),2.0)</f>
        <v>2</v>
      </c>
      <c r="F2220" s="6">
        <f>IFERROR(__xludf.DUMMYFUNCTION("""COMPUTED_VALUE"""),2.0)</f>
        <v>2</v>
      </c>
      <c r="G2220" s="6">
        <f>IFERROR(__xludf.DUMMYFUNCTION("""COMPUTED_VALUE"""),0.0)</f>
        <v>0</v>
      </c>
      <c r="H2220" s="6" t="str">
        <f>IFERROR(__xludf.DUMMYFUNCTION("""COMPUTED_VALUE"""),"Pcs")</f>
        <v>Pcs</v>
      </c>
      <c r="I2220" s="6" t="str">
        <f>IFERROR(__xludf.DUMMYFUNCTION("""COMPUTED_VALUE"""),"MFH")</f>
        <v>MFH</v>
      </c>
      <c r="J2220" s="6" t="str">
        <f>IFERROR(__xludf.DUMMYFUNCTION("""COMPUTED_VALUE"""),"Sartocheck")</f>
        <v>Sartocheck</v>
      </c>
      <c r="K2220" s="6" t="str">
        <f>IFERROR(__xludf.DUMMYFUNCTION("""COMPUTED_VALUE"""),"SPR/07/25/040")</f>
        <v>SPR/07/25/040</v>
      </c>
      <c r="L2220" s="13">
        <f>IFERROR(__xludf.DUMMYFUNCTION("""COMPUTED_VALUE"""),45863.0)</f>
        <v>45863</v>
      </c>
    </row>
    <row r="2221">
      <c r="A2221" s="6" t="str">
        <f>IFERROR(__xludf.DUMMYFUNCTION("""COMPUTED_VALUE"""),"ROS")</f>
        <v>ROS</v>
      </c>
      <c r="B2221" s="6" t="str">
        <f>IFERROR(__xludf.DUMMYFUNCTION("""COMPUTED_VALUE"""),"ENG")</f>
        <v>ENG</v>
      </c>
      <c r="C2221" s="6" t="str">
        <f>IFERROR(__xludf.DUMMYFUNCTION("""COMPUTED_VALUE"""),"P-51559-00")</f>
        <v>P-51559-00</v>
      </c>
      <c r="D2221" s="6" t="str">
        <f>IFERROR(__xludf.DUMMYFUNCTION("""COMPUTED_VALUE"""),"Lampu T5 14watt Putih; Phillips; ;")</f>
        <v>Lampu T5 14watt Putih; Phillips; ;</v>
      </c>
      <c r="E2221" s="6">
        <f>IFERROR(__xludf.DUMMYFUNCTION("""COMPUTED_VALUE"""),1.0)</f>
        <v>1</v>
      </c>
      <c r="F2221" s="6">
        <f>IFERROR(__xludf.DUMMYFUNCTION("""COMPUTED_VALUE"""),1.0)</f>
        <v>1</v>
      </c>
      <c r="G2221" s="6">
        <f>IFERROR(__xludf.DUMMYFUNCTION("""COMPUTED_VALUE"""),0.0)</f>
        <v>0</v>
      </c>
      <c r="H2221" s="6" t="str">
        <f>IFERROR(__xludf.DUMMYFUNCTION("""COMPUTED_VALUE"""),"Pcs")</f>
        <v>Pcs</v>
      </c>
      <c r="I2221" s="6" t="str">
        <f>IFERROR(__xludf.DUMMYFUNCTION("""COMPUTED_VALUE"""),"MFH")</f>
        <v>MFH</v>
      </c>
      <c r="J2221" s="6" t="str">
        <f>IFERROR(__xludf.DUMMYFUNCTION("""COMPUTED_VALUE"""),"BOD")</f>
        <v>BOD</v>
      </c>
      <c r="K2221" s="6" t="str">
        <f>IFERROR(__xludf.DUMMYFUNCTION("""COMPUTED_VALUE"""),"SPR/07/25/041")</f>
        <v>SPR/07/25/041</v>
      </c>
      <c r="L2221" s="13">
        <f>IFERROR(__xludf.DUMMYFUNCTION("""COMPUTED_VALUE"""),45863.0)</f>
        <v>45863</v>
      </c>
    </row>
    <row r="2222">
      <c r="A2222" s="6" t="str">
        <f>IFERROR(__xludf.DUMMYFUNCTION("""COMPUTED_VALUE"""),"ROS")</f>
        <v>ROS</v>
      </c>
      <c r="B2222" s="6" t="str">
        <f>IFERROR(__xludf.DUMMYFUNCTION("""COMPUTED_VALUE"""),"ENG")</f>
        <v>ENG</v>
      </c>
      <c r="C2222" s="6" t="str">
        <f>IFERROR(__xludf.DUMMYFUNCTION("""COMPUTED_VALUE"""),"P-10564-00")</f>
        <v>P-10564-00</v>
      </c>
      <c r="D2222" s="6" t="str">
        <f>IFERROR(__xludf.DUMMYFUNCTION("""COMPUTED_VALUE"""),"Bearing 6000 2RS H SKF")</f>
        <v>Bearing 6000 2RS H SKF</v>
      </c>
      <c r="E2222" s="6">
        <f>IFERROR(__xludf.DUMMYFUNCTION("""COMPUTED_VALUE"""),2.0)</f>
        <v>2</v>
      </c>
      <c r="F2222" s="6">
        <f>IFERROR(__xludf.DUMMYFUNCTION("""COMPUTED_VALUE"""),2.0)</f>
        <v>2</v>
      </c>
      <c r="G2222" s="6">
        <f>IFERROR(__xludf.DUMMYFUNCTION("""COMPUTED_VALUE"""),0.0)</f>
        <v>0</v>
      </c>
      <c r="H2222" s="6" t="str">
        <f>IFERROR(__xludf.DUMMYFUNCTION("""COMPUTED_VALUE"""),"Pcs")</f>
        <v>Pcs</v>
      </c>
      <c r="I2222" s="6" t="str">
        <f>IFERROR(__xludf.DUMMYFUNCTION("""COMPUTED_VALUE"""),"MFH")</f>
        <v>MFH</v>
      </c>
      <c r="J2222" s="6" t="str">
        <f>IFERROR(__xludf.DUMMYFUNCTION("""COMPUTED_VALUE"""),"Capping")</f>
        <v>Capping</v>
      </c>
      <c r="K2222" s="6" t="str">
        <f>IFERROR(__xludf.DUMMYFUNCTION("""COMPUTED_VALUE"""),"SPR/07/25/041")</f>
        <v>SPR/07/25/041</v>
      </c>
      <c r="L2222" s="13">
        <f>IFERROR(__xludf.DUMMYFUNCTION("""COMPUTED_VALUE"""),45863.0)</f>
        <v>45863</v>
      </c>
    </row>
    <row r="2223">
      <c r="A2223" s="6" t="str">
        <f>IFERROR(__xludf.DUMMYFUNCTION("""COMPUTED_VALUE"""),"AAA")</f>
        <v>AAA</v>
      </c>
      <c r="B2223" s="6" t="str">
        <f>IFERROR(__xludf.DUMMYFUNCTION("""COMPUTED_VALUE"""),"ENG")</f>
        <v>ENG</v>
      </c>
      <c r="C2223" s="6" t="str">
        <f>IFERROR(__xludf.DUMMYFUNCTION("""COMPUTED_VALUE"""),"P-50288-00")</f>
        <v>P-50288-00</v>
      </c>
      <c r="D2223" s="6" t="str">
        <f>IFERROR(__xludf.DUMMYFUNCTION("""COMPUTED_VALUE"""),"Bola Lampu - Halogen 20 W Osram")</f>
        <v>Bola Lampu - Halogen 20 W Osram</v>
      </c>
      <c r="E2223" s="6">
        <f>IFERROR(__xludf.DUMMYFUNCTION("""COMPUTED_VALUE"""),1.0)</f>
        <v>1</v>
      </c>
      <c r="F2223" s="6">
        <f>IFERROR(__xludf.DUMMYFUNCTION("""COMPUTED_VALUE"""),1.0)</f>
        <v>1</v>
      </c>
      <c r="G2223" s="6">
        <f>IFERROR(__xludf.DUMMYFUNCTION("""COMPUTED_VALUE"""),0.0)</f>
        <v>0</v>
      </c>
      <c r="H2223" s="6" t="str">
        <f>IFERROR(__xludf.DUMMYFUNCTION("""COMPUTED_VALUE"""),"Pcs")</f>
        <v>Pcs</v>
      </c>
      <c r="I2223" s="6" t="str">
        <f>IFERROR(__xludf.DUMMYFUNCTION("""COMPUTED_VALUE"""),"MFH")</f>
        <v>MFH</v>
      </c>
      <c r="J2223" s="6" t="str">
        <f>IFERROR(__xludf.DUMMYFUNCTION("""COMPUTED_VALUE"""),"Mixing")</f>
        <v>Mixing</v>
      </c>
      <c r="K2223" s="6" t="str">
        <f>IFERROR(__xludf.DUMMYFUNCTION("""COMPUTED_VALUE"""),"SPR/07/25/042")</f>
        <v>SPR/07/25/042</v>
      </c>
      <c r="L2223" s="13">
        <f>IFERROR(__xludf.DUMMYFUNCTION("""COMPUTED_VALUE"""),45863.0)</f>
        <v>45863</v>
      </c>
    </row>
    <row r="2224">
      <c r="A2224" s="6" t="str">
        <f>IFERROR(__xludf.DUMMYFUNCTION("""COMPUTED_VALUE"""),"SFH")</f>
        <v>SFH</v>
      </c>
      <c r="B2224" s="6" t="str">
        <f>IFERROR(__xludf.DUMMYFUNCTION("""COMPUTED_VALUE"""),"ENG")</f>
        <v>ENG</v>
      </c>
      <c r="C2224" s="6" t="str">
        <f>IFERROR(__xludf.DUMMYFUNCTION("""COMPUTED_VALUE"""),"P-15851-00")</f>
        <v>P-15851-00</v>
      </c>
      <c r="D2224" s="6" t="str">
        <f>IFERROR(__xludf.DUMMYFUNCTION("""COMPUTED_VALUE"""),"AMPLAS EAGLE 100")</f>
        <v>AMPLAS EAGLE 100</v>
      </c>
      <c r="E2224" s="6">
        <f>IFERROR(__xludf.DUMMYFUNCTION("""COMPUTED_VALUE"""),1.0)</f>
        <v>1</v>
      </c>
      <c r="F2224" s="6">
        <f>IFERROR(__xludf.DUMMYFUNCTION("""COMPUTED_VALUE"""),1.0)</f>
        <v>1</v>
      </c>
      <c r="G2224" s="6">
        <f>IFERROR(__xludf.DUMMYFUNCTION("""COMPUTED_VALUE"""),0.0)</f>
        <v>0</v>
      </c>
      <c r="H2224" s="6" t="str">
        <f>IFERROR(__xludf.DUMMYFUNCTION("""COMPUTED_VALUE"""),"Pcs")</f>
        <v>Pcs</v>
      </c>
      <c r="I2224" s="6" t="str">
        <f>IFERROR(__xludf.DUMMYFUNCTION("""COMPUTED_VALUE"""),"MFH")</f>
        <v>MFH</v>
      </c>
      <c r="J2224" s="6" t="str">
        <f>IFERROR(__xludf.DUMMYFUNCTION("""COMPUTED_VALUE"""),"Building")</f>
        <v>Building</v>
      </c>
      <c r="K2224" s="6" t="str">
        <f>IFERROR(__xludf.DUMMYFUNCTION("""COMPUTED_VALUE"""),"SPR/07/25/042")</f>
        <v>SPR/07/25/042</v>
      </c>
      <c r="L2224" s="13">
        <f>IFERROR(__xludf.DUMMYFUNCTION("""COMPUTED_VALUE"""),45863.0)</f>
        <v>45863</v>
      </c>
    </row>
    <row r="2225">
      <c r="A2225" s="6" t="str">
        <f>IFERROR(__xludf.DUMMYFUNCTION("""COMPUTED_VALUE"""),"SFH")</f>
        <v>SFH</v>
      </c>
      <c r="B2225" s="6" t="str">
        <f>IFERROR(__xludf.DUMMYFUNCTION("""COMPUTED_VALUE"""),"ENG")</f>
        <v>ENG</v>
      </c>
      <c r="C2225" s="6" t="str">
        <f>IFERROR(__xludf.DUMMYFUNCTION("""COMPUTED_VALUE"""),"P-10859-00")</f>
        <v>P-10859-00</v>
      </c>
      <c r="D2225" s="6" t="str">
        <f>IFERROR(__xludf.DUMMYFUNCTION("""COMPUTED_VALUE"""),"Fitting PVC - Elbow PVC 1/2"" Rucika AW")</f>
        <v>Fitting PVC - Elbow PVC 1/2" Rucika AW</v>
      </c>
      <c r="E2225" s="6">
        <f>IFERROR(__xludf.DUMMYFUNCTION("""COMPUTED_VALUE"""),3.0)</f>
        <v>3</v>
      </c>
      <c r="F2225" s="6">
        <f>IFERROR(__xludf.DUMMYFUNCTION("""COMPUTED_VALUE"""),3.0)</f>
        <v>3</v>
      </c>
      <c r="G2225" s="6">
        <f>IFERROR(__xludf.DUMMYFUNCTION("""COMPUTED_VALUE"""),0.0)</f>
        <v>0</v>
      </c>
      <c r="H2225" s="6" t="str">
        <f>IFERROR(__xludf.DUMMYFUNCTION("""COMPUTED_VALUE"""),"Pcs")</f>
        <v>Pcs</v>
      </c>
      <c r="I2225" s="6" t="str">
        <f>IFERROR(__xludf.DUMMYFUNCTION("""COMPUTED_VALUE"""),"MFH")</f>
        <v>MFH</v>
      </c>
      <c r="J2225" s="6" t="str">
        <f>IFERROR(__xludf.DUMMYFUNCTION("""COMPUTED_VALUE"""),"Building")</f>
        <v>Building</v>
      </c>
      <c r="K2225" s="6" t="str">
        <f>IFERROR(__xludf.DUMMYFUNCTION("""COMPUTED_VALUE"""),"SPR/07/25/042")</f>
        <v>SPR/07/25/042</v>
      </c>
      <c r="L2225" s="13">
        <f>IFERROR(__xludf.DUMMYFUNCTION("""COMPUTED_VALUE"""),45863.0)</f>
        <v>45863</v>
      </c>
    </row>
    <row r="2226">
      <c r="A2226" s="6" t="str">
        <f>IFERROR(__xludf.DUMMYFUNCTION("""COMPUTED_VALUE"""),"SFH")</f>
        <v>SFH</v>
      </c>
      <c r="B2226" s="6" t="str">
        <f>IFERROR(__xludf.DUMMYFUNCTION("""COMPUTED_VALUE"""),"ENG")</f>
        <v>ENG</v>
      </c>
      <c r="C2226" s="6" t="str">
        <f>IFERROR(__xludf.DUMMYFUNCTION("""COMPUTED_VALUE"""),"P-12883-00")</f>
        <v>P-12883-00</v>
      </c>
      <c r="D2226" s="6" t="str">
        <f>IFERROR(__xludf.DUMMYFUNCTION("""COMPUTED_VALUE"""),"Tee PVC AW dia 1/2inch X 1/2inch")</f>
        <v>Tee PVC AW dia 1/2inch X 1/2inch</v>
      </c>
      <c r="E2226" s="6">
        <f>IFERROR(__xludf.DUMMYFUNCTION("""COMPUTED_VALUE"""),1.0)</f>
        <v>1</v>
      </c>
      <c r="F2226" s="6">
        <f>IFERROR(__xludf.DUMMYFUNCTION("""COMPUTED_VALUE"""),1.0)</f>
        <v>1</v>
      </c>
      <c r="G2226" s="6">
        <f>IFERROR(__xludf.DUMMYFUNCTION("""COMPUTED_VALUE"""),0.0)</f>
        <v>0</v>
      </c>
      <c r="H2226" s="6" t="str">
        <f>IFERROR(__xludf.DUMMYFUNCTION("""COMPUTED_VALUE"""),"Pcs")</f>
        <v>Pcs</v>
      </c>
      <c r="I2226" s="6" t="str">
        <f>IFERROR(__xludf.DUMMYFUNCTION("""COMPUTED_VALUE"""),"MFH")</f>
        <v>MFH</v>
      </c>
      <c r="J2226" s="6" t="str">
        <f>IFERROR(__xludf.DUMMYFUNCTION("""COMPUTED_VALUE"""),"Building")</f>
        <v>Building</v>
      </c>
      <c r="K2226" s="6" t="str">
        <f>IFERROR(__xludf.DUMMYFUNCTION("""COMPUTED_VALUE"""),"SPR/07/25/042")</f>
        <v>SPR/07/25/042</v>
      </c>
      <c r="L2226" s="13">
        <f>IFERROR(__xludf.DUMMYFUNCTION("""COMPUTED_VALUE"""),45863.0)</f>
        <v>45863</v>
      </c>
    </row>
    <row r="2227">
      <c r="A2227" s="6" t="str">
        <f>IFERROR(__xludf.DUMMYFUNCTION("""COMPUTED_VALUE"""),"BDU")</f>
        <v>BDU</v>
      </c>
      <c r="B2227" s="6" t="str">
        <f>IFERROR(__xludf.DUMMYFUNCTION("""COMPUTED_VALUE"""),"ENG")</f>
        <v>ENG</v>
      </c>
      <c r="C2227" s="6" t="str">
        <f>IFERROR(__xludf.DUMMYFUNCTION("""COMPUTED_VALUE"""),"P-53661-00")</f>
        <v>P-53661-00</v>
      </c>
      <c r="D2227" s="6" t="str">
        <f>IFERROR(__xludf.DUMMYFUNCTION("""COMPUTED_VALUE"""),"Heat Shrink dia. 4 mm Warna Hitam (1 roll = 100 mtr)")</f>
        <v>Heat Shrink dia. 4 mm Warna Hitam (1 roll = 100 mtr)</v>
      </c>
      <c r="E2227" s="6">
        <f>IFERROR(__xludf.DUMMYFUNCTION("""COMPUTED_VALUE"""),2.0)</f>
        <v>2</v>
      </c>
      <c r="F2227" s="6">
        <f>IFERROR(__xludf.DUMMYFUNCTION("""COMPUTED_VALUE"""),2.0)</f>
        <v>2</v>
      </c>
      <c r="G2227" s="6">
        <f>IFERROR(__xludf.DUMMYFUNCTION("""COMPUTED_VALUE"""),0.0)</f>
        <v>0</v>
      </c>
      <c r="H2227" s="6" t="str">
        <f>IFERROR(__xludf.DUMMYFUNCTION("""COMPUTED_VALUE"""),"Pcs")</f>
        <v>Pcs</v>
      </c>
      <c r="I2227" s="6" t="str">
        <f>IFERROR(__xludf.DUMMYFUNCTION("""COMPUTED_VALUE"""),"MFH")</f>
        <v>MFH</v>
      </c>
      <c r="J2227" s="6" t="str">
        <f>IFERROR(__xludf.DUMMYFUNCTION("""COMPUTED_VALUE"""),"-")</f>
        <v>-</v>
      </c>
      <c r="K2227" s="6" t="str">
        <f>IFERROR(__xludf.DUMMYFUNCTION("""COMPUTED_VALUE"""),"SPR/07/25/043")</f>
        <v>SPR/07/25/043</v>
      </c>
      <c r="L2227" s="13">
        <f>IFERROR(__xludf.DUMMYFUNCTION("""COMPUTED_VALUE"""),45863.0)</f>
        <v>45863</v>
      </c>
    </row>
    <row r="2228">
      <c r="A2228" s="6" t="str">
        <f>IFERROR(__xludf.DUMMYFUNCTION("""COMPUTED_VALUE"""),"MOB")</f>
        <v>MOB</v>
      </c>
      <c r="B2228" s="6" t="str">
        <f>IFERROR(__xludf.DUMMYFUNCTION("""COMPUTED_VALUE"""),"ENG")</f>
        <v>ENG</v>
      </c>
      <c r="C2228" s="6" t="str">
        <f>IFERROR(__xludf.DUMMYFUNCTION("""COMPUTED_VALUE"""),"P-51560-00")</f>
        <v>P-51560-00</v>
      </c>
      <c r="D2228" s="6" t="str">
        <f>IFERROR(__xludf.DUMMYFUNCTION("""COMPUTED_VALUE"""),"Lampu T5 28watt Putih; Phillips; ;")</f>
        <v>Lampu T5 28watt Putih; Phillips; ;</v>
      </c>
      <c r="E2228" s="6">
        <f>IFERROR(__xludf.DUMMYFUNCTION("""COMPUTED_VALUE"""),5.0)</f>
        <v>5</v>
      </c>
      <c r="F2228" s="6">
        <f>IFERROR(__xludf.DUMMYFUNCTION("""COMPUTED_VALUE"""),5.0)</f>
        <v>5</v>
      </c>
      <c r="G2228" s="6">
        <f>IFERROR(__xludf.DUMMYFUNCTION("""COMPUTED_VALUE"""),0.0)</f>
        <v>0</v>
      </c>
      <c r="H2228" s="6" t="str">
        <f>IFERROR(__xludf.DUMMYFUNCTION("""COMPUTED_VALUE"""),"Pcs")</f>
        <v>Pcs</v>
      </c>
      <c r="I2228" s="6" t="str">
        <f>IFERROR(__xludf.DUMMYFUNCTION("""COMPUTED_VALUE"""),"MFH")</f>
        <v>MFH</v>
      </c>
      <c r="J2228" s="6" t="str">
        <f>IFERROR(__xludf.DUMMYFUNCTION("""COMPUTED_VALUE"""),"Building")</f>
        <v>Building</v>
      </c>
      <c r="K2228" s="6" t="str">
        <f>IFERROR(__xludf.DUMMYFUNCTION("""COMPUTED_VALUE"""),"SPR/07/25/044")</f>
        <v>SPR/07/25/044</v>
      </c>
      <c r="L2228" s="13">
        <f>IFERROR(__xludf.DUMMYFUNCTION("""COMPUTED_VALUE"""),45863.0)</f>
        <v>45863</v>
      </c>
    </row>
    <row r="2229">
      <c r="A2229" s="6" t="str">
        <f>IFERROR(__xludf.DUMMYFUNCTION("""COMPUTED_VALUE"""),"MOB")</f>
        <v>MOB</v>
      </c>
      <c r="B2229" s="6" t="str">
        <f>IFERROR(__xludf.DUMMYFUNCTION("""COMPUTED_VALUE"""),"ENG")</f>
        <v>ENG</v>
      </c>
      <c r="C2229" s="6" t="str">
        <f>IFERROR(__xludf.DUMMYFUNCTION("""COMPUTED_VALUE"""),"P-51559-00")</f>
        <v>P-51559-00</v>
      </c>
      <c r="D2229" s="6" t="str">
        <f>IFERROR(__xludf.DUMMYFUNCTION("""COMPUTED_VALUE"""),"Lampu T5 14watt Putih; Phillips; ;")</f>
        <v>Lampu T5 14watt Putih; Phillips; ;</v>
      </c>
      <c r="E2229" s="6">
        <f>IFERROR(__xludf.DUMMYFUNCTION("""COMPUTED_VALUE"""),4.0)</f>
        <v>4</v>
      </c>
      <c r="F2229" s="6">
        <f>IFERROR(__xludf.DUMMYFUNCTION("""COMPUTED_VALUE"""),4.0)</f>
        <v>4</v>
      </c>
      <c r="G2229" s="6">
        <f>IFERROR(__xludf.DUMMYFUNCTION("""COMPUTED_VALUE"""),0.0)</f>
        <v>0</v>
      </c>
      <c r="H2229" s="6" t="str">
        <f>IFERROR(__xludf.DUMMYFUNCTION("""COMPUTED_VALUE"""),"Pcs")</f>
        <v>Pcs</v>
      </c>
      <c r="I2229" s="6" t="str">
        <f>IFERROR(__xludf.DUMMYFUNCTION("""COMPUTED_VALUE"""),"MFH")</f>
        <v>MFH</v>
      </c>
      <c r="J2229" s="6" t="str">
        <f>IFERROR(__xludf.DUMMYFUNCTION("""COMPUTED_VALUE"""),"Building")</f>
        <v>Building</v>
      </c>
      <c r="K2229" s="6" t="str">
        <f>IFERROR(__xludf.DUMMYFUNCTION("""COMPUTED_VALUE"""),"SPR/07/25/044")</f>
        <v>SPR/07/25/044</v>
      </c>
      <c r="L2229" s="13">
        <f>IFERROR(__xludf.DUMMYFUNCTION("""COMPUTED_VALUE"""),45863.0)</f>
        <v>45863</v>
      </c>
    </row>
    <row r="2230">
      <c r="A2230" s="6" t="str">
        <f>IFERROR(__xludf.DUMMYFUNCTION("""COMPUTED_VALUE"""),"MRN")</f>
        <v>MRN</v>
      </c>
      <c r="B2230" s="6" t="str">
        <f>IFERROR(__xludf.DUMMYFUNCTION("""COMPUTED_VALUE"""),"ENG")</f>
        <v>ENG</v>
      </c>
      <c r="C2230" s="6" t="str">
        <f>IFERROR(__xludf.DUMMYFUNCTION("""COMPUTED_VALUE"""),"P-15834-00")</f>
        <v>P-15834-00</v>
      </c>
      <c r="D2230" s="6" t="str">
        <f>IFERROR(__xludf.DUMMYFUNCTION("""COMPUTED_VALUE"""),"SMC - Pressure Filter Regulator Auto Drain AW40-40DG-A; ; ;")</f>
        <v>SMC - Pressure Filter Regulator Auto Drain AW40-40DG-A; ; ;</v>
      </c>
      <c r="E2230" s="6">
        <f>IFERROR(__xludf.DUMMYFUNCTION("""COMPUTED_VALUE"""),1.0)</f>
        <v>1</v>
      </c>
      <c r="F2230" s="6">
        <f>IFERROR(__xludf.DUMMYFUNCTION("""COMPUTED_VALUE"""),1.0)</f>
        <v>1</v>
      </c>
      <c r="G2230" s="6">
        <f>IFERROR(__xludf.DUMMYFUNCTION("""COMPUTED_VALUE"""),0.0)</f>
        <v>0</v>
      </c>
      <c r="H2230" s="6" t="str">
        <f>IFERROR(__xludf.DUMMYFUNCTION("""COMPUTED_VALUE"""),"Pcs")</f>
        <v>Pcs</v>
      </c>
      <c r="I2230" s="6" t="str">
        <f>IFERROR(__xludf.DUMMYFUNCTION("""COMPUTED_VALUE"""),"MFH")</f>
        <v>MFH</v>
      </c>
      <c r="J2230" s="6" t="str">
        <f>IFERROR(__xludf.DUMMYFUNCTION("""COMPUTED_VALUE"""),"-")</f>
        <v>-</v>
      </c>
      <c r="K2230" s="6" t="str">
        <f>IFERROR(__xludf.DUMMYFUNCTION("""COMPUTED_VALUE"""),"SPR/07/25/045")</f>
        <v>SPR/07/25/045</v>
      </c>
      <c r="L2230" s="13">
        <f>IFERROR(__xludf.DUMMYFUNCTION("""COMPUTED_VALUE"""),45863.0)</f>
        <v>45863</v>
      </c>
    </row>
    <row r="2231">
      <c r="A2231" s="6" t="str">
        <f>IFERROR(__xludf.DUMMYFUNCTION("""COMPUTED_VALUE"""),"MRN")</f>
        <v>MRN</v>
      </c>
      <c r="B2231" s="6" t="str">
        <f>IFERROR(__xludf.DUMMYFUNCTION("""COMPUTED_VALUE"""),"ENG")</f>
        <v>ENG</v>
      </c>
      <c r="C2231" s="6" t="str">
        <f>IFERROR(__xludf.DUMMYFUNCTION("""COMPUTED_VALUE"""),"P-19233-00")</f>
        <v>P-19233-00</v>
      </c>
      <c r="D2231" s="6" t="str">
        <f>IFERROR(__xludf.DUMMYFUNCTION("""COMPUTED_VALUE"""),"Fitting QS 1/2 x 8mm; EMC; ;")</f>
        <v>Fitting QS 1/2 x 8mm; EMC; ;</v>
      </c>
      <c r="E2231" s="6">
        <f>IFERROR(__xludf.DUMMYFUNCTION("""COMPUTED_VALUE"""),1.0)</f>
        <v>1</v>
      </c>
      <c r="F2231" s="6">
        <f>IFERROR(__xludf.DUMMYFUNCTION("""COMPUTED_VALUE"""),1.0)</f>
        <v>1</v>
      </c>
      <c r="G2231" s="6">
        <f>IFERROR(__xludf.DUMMYFUNCTION("""COMPUTED_VALUE"""),0.0)</f>
        <v>0</v>
      </c>
      <c r="H2231" s="6" t="str">
        <f>IFERROR(__xludf.DUMMYFUNCTION("""COMPUTED_VALUE"""),"Pcs")</f>
        <v>Pcs</v>
      </c>
      <c r="I2231" s="6" t="str">
        <f>IFERROR(__xludf.DUMMYFUNCTION("""COMPUTED_VALUE"""),"MFH")</f>
        <v>MFH</v>
      </c>
      <c r="J2231" s="6" t="str">
        <f>IFERROR(__xludf.DUMMYFUNCTION("""COMPUTED_VALUE"""),"-")</f>
        <v>-</v>
      </c>
      <c r="K2231" s="6" t="str">
        <f>IFERROR(__xludf.DUMMYFUNCTION("""COMPUTED_VALUE"""),"SPR/07/25/045")</f>
        <v>SPR/07/25/045</v>
      </c>
      <c r="L2231" s="13">
        <f>IFERROR(__xludf.DUMMYFUNCTION("""COMPUTED_VALUE"""),45863.0)</f>
        <v>45863</v>
      </c>
    </row>
    <row r="2232">
      <c r="A2232" s="6" t="str">
        <f>IFERROR(__xludf.DUMMYFUNCTION("""COMPUTED_VALUE"""),"MRN")</f>
        <v>MRN</v>
      </c>
      <c r="B2232" s="6" t="str">
        <f>IFERROR(__xludf.DUMMYFUNCTION("""COMPUTED_VALUE"""),"ENG")</f>
        <v>ENG</v>
      </c>
      <c r="C2232" s="6" t="str">
        <f>IFERROR(__xludf.DUMMYFUNCTION("""COMPUTED_VALUE"""),"P-12266-00")</f>
        <v>P-12266-00</v>
      </c>
      <c r="D2232" s="6" t="str">
        <f>IFERROR(__xludf.DUMMYFUNCTION("""COMPUTED_VALUE"""),"FESTO - Push In Fitting QS-1/2-10 part number 190646")</f>
        <v>FESTO - Push In Fitting QS-1/2-10 part number 190646</v>
      </c>
      <c r="E2232" s="6">
        <f>IFERROR(__xludf.DUMMYFUNCTION("""COMPUTED_VALUE"""),1.0)</f>
        <v>1</v>
      </c>
      <c r="F2232" s="6">
        <f>IFERROR(__xludf.DUMMYFUNCTION("""COMPUTED_VALUE"""),1.0)</f>
        <v>1</v>
      </c>
      <c r="G2232" s="6">
        <f>IFERROR(__xludf.DUMMYFUNCTION("""COMPUTED_VALUE"""),0.0)</f>
        <v>0</v>
      </c>
      <c r="H2232" s="6" t="str">
        <f>IFERROR(__xludf.DUMMYFUNCTION("""COMPUTED_VALUE"""),"Pcs")</f>
        <v>Pcs</v>
      </c>
      <c r="I2232" s="6" t="str">
        <f>IFERROR(__xludf.DUMMYFUNCTION("""COMPUTED_VALUE"""),"MFH")</f>
        <v>MFH</v>
      </c>
      <c r="J2232" s="6" t="str">
        <f>IFERROR(__xludf.DUMMYFUNCTION("""COMPUTED_VALUE"""),"-")</f>
        <v>-</v>
      </c>
      <c r="K2232" s="6" t="str">
        <f>IFERROR(__xludf.DUMMYFUNCTION("""COMPUTED_VALUE"""),"SPR/07/25/045")</f>
        <v>SPR/07/25/045</v>
      </c>
      <c r="L2232" s="13">
        <f>IFERROR(__xludf.DUMMYFUNCTION("""COMPUTED_VALUE"""),45863.0)</f>
        <v>45863</v>
      </c>
    </row>
    <row r="2233">
      <c r="A2233" s="6" t="str">
        <f>IFERROR(__xludf.DUMMYFUNCTION("""COMPUTED_VALUE"""),"ANO")</f>
        <v>ANO</v>
      </c>
      <c r="B2233" s="6" t="str">
        <f>IFERROR(__xludf.DUMMYFUNCTION("""COMPUTED_VALUE"""),"ENG")</f>
        <v>ENG</v>
      </c>
      <c r="C2233" s="6" t="str">
        <f>IFERROR(__xludf.DUMMYFUNCTION("""COMPUTED_VALUE"""),"O-11181-00")</f>
        <v>O-11181-00</v>
      </c>
      <c r="D2233" s="6" t="str">
        <f>IFERROR(__xludf.DUMMYFUNCTION("""COMPUTED_VALUE"""),"Bearing 626-2Z")</f>
        <v>Bearing 626-2Z</v>
      </c>
      <c r="E2233" s="6">
        <f>IFERROR(__xludf.DUMMYFUNCTION("""COMPUTED_VALUE"""),4.0)</f>
        <v>4</v>
      </c>
      <c r="F2233" s="6">
        <f>IFERROR(__xludf.DUMMYFUNCTION("""COMPUTED_VALUE"""),4.0)</f>
        <v>4</v>
      </c>
      <c r="G2233" s="6">
        <f>IFERROR(__xludf.DUMMYFUNCTION("""COMPUTED_VALUE"""),0.0)</f>
        <v>0</v>
      </c>
      <c r="H2233" s="6" t="str">
        <f>IFERROR(__xludf.DUMMYFUNCTION("""COMPUTED_VALUE"""),"Pcs")</f>
        <v>Pcs</v>
      </c>
      <c r="I2233" s="6" t="str">
        <f>IFERROR(__xludf.DUMMYFUNCTION("""COMPUTED_VALUE"""),"MFH")</f>
        <v>MFH</v>
      </c>
      <c r="J2233" s="6" t="str">
        <f>IFERROR(__xludf.DUMMYFUNCTION("""COMPUTED_VALUE"""),"Capping")</f>
        <v>Capping</v>
      </c>
      <c r="K2233" s="6" t="str">
        <f>IFERROR(__xludf.DUMMYFUNCTION("""COMPUTED_VALUE"""),"SPR/07/25/046")</f>
        <v>SPR/07/25/046</v>
      </c>
      <c r="L2233" s="13">
        <f>IFERROR(__xludf.DUMMYFUNCTION("""COMPUTED_VALUE"""),45863.0)</f>
        <v>45863</v>
      </c>
    </row>
    <row r="2234">
      <c r="A2234" s="6" t="str">
        <f>IFERROR(__xludf.DUMMYFUNCTION("""COMPUTED_VALUE"""),"ANO")</f>
        <v>ANO</v>
      </c>
      <c r="B2234" s="6" t="str">
        <f>IFERROR(__xludf.DUMMYFUNCTION("""COMPUTED_VALUE"""),"ENG")</f>
        <v>ENG</v>
      </c>
      <c r="C2234" s="6" t="str">
        <f>IFERROR(__xludf.DUMMYFUNCTION("""COMPUTED_VALUE"""),"P-13384-00")</f>
        <v>P-13384-00</v>
      </c>
      <c r="D2234" s="6" t="str">
        <f>IFERROR(__xludf.DUMMYFUNCTION("""COMPUTED_VALUE"""),"Sok Drat Luar 2"" Pvc Rucika")</f>
        <v>Sok Drat Luar 2" Pvc Rucika</v>
      </c>
      <c r="E2234" s="6">
        <f>IFERROR(__xludf.DUMMYFUNCTION("""COMPUTED_VALUE"""),1.0)</f>
        <v>1</v>
      </c>
      <c r="F2234" s="6">
        <f>IFERROR(__xludf.DUMMYFUNCTION("""COMPUTED_VALUE"""),1.0)</f>
        <v>1</v>
      </c>
      <c r="G2234" s="6">
        <f>IFERROR(__xludf.DUMMYFUNCTION("""COMPUTED_VALUE"""),0.0)</f>
        <v>0</v>
      </c>
      <c r="H2234" s="6" t="str">
        <f>IFERROR(__xludf.DUMMYFUNCTION("""COMPUTED_VALUE"""),"Pcs")</f>
        <v>Pcs</v>
      </c>
      <c r="I2234" s="6" t="str">
        <f>IFERROR(__xludf.DUMMYFUNCTION("""COMPUTED_VALUE"""),"MFH")</f>
        <v>MFH</v>
      </c>
      <c r="J2234" s="6" t="str">
        <f>IFERROR(__xludf.DUMMYFUNCTION("""COMPUTED_VALUE"""),"Capping")</f>
        <v>Capping</v>
      </c>
      <c r="K2234" s="6" t="str">
        <f>IFERROR(__xludf.DUMMYFUNCTION("""COMPUTED_VALUE"""),"SPR/07/25/046")</f>
        <v>SPR/07/25/046</v>
      </c>
      <c r="L2234" s="13">
        <f>IFERROR(__xludf.DUMMYFUNCTION("""COMPUTED_VALUE"""),45863.0)</f>
        <v>45863</v>
      </c>
    </row>
    <row r="2235">
      <c r="A2235" s="6" t="str">
        <f>IFERROR(__xludf.DUMMYFUNCTION("""COMPUTED_VALUE"""),"RIA")</f>
        <v>RIA</v>
      </c>
      <c r="B2235" s="6" t="str">
        <f>IFERROR(__xludf.DUMMYFUNCTION("""COMPUTED_VALUE"""),"ENG")</f>
        <v>ENG</v>
      </c>
      <c r="C2235" s="6" t="str">
        <f>IFERROR(__xludf.DUMMYFUNCTION("""COMPUTED_VALUE"""),"P-11175-00")</f>
        <v>P-11175-00</v>
      </c>
      <c r="D2235" s="6" t="str">
        <f>IFERROR(__xludf.DUMMYFUNCTION("""COMPUTED_VALUE"""),"Pneumatic  Fitting - QS 10-8 / PN : 153039 / Festo")</f>
        <v>Pneumatic  Fitting - QS 10-8 / PN : 153039 / Festo</v>
      </c>
      <c r="E2235" s="6">
        <f>IFERROR(__xludf.DUMMYFUNCTION("""COMPUTED_VALUE"""),1.0)</f>
        <v>1</v>
      </c>
      <c r="F2235" s="6">
        <f>IFERROR(__xludf.DUMMYFUNCTION("""COMPUTED_VALUE"""),1.0)</f>
        <v>1</v>
      </c>
      <c r="G2235" s="6">
        <f>IFERROR(__xludf.DUMMYFUNCTION("""COMPUTED_VALUE"""),0.0)</f>
        <v>0</v>
      </c>
      <c r="H2235" s="6" t="str">
        <f>IFERROR(__xludf.DUMMYFUNCTION("""COMPUTED_VALUE"""),"Pcs")</f>
        <v>Pcs</v>
      </c>
      <c r="I2235" s="6" t="str">
        <f>IFERROR(__xludf.DUMMYFUNCTION("""COMPUTED_VALUE"""),"MFH")</f>
        <v>MFH</v>
      </c>
      <c r="J2235" s="6" t="str">
        <f>IFERROR(__xludf.DUMMYFUNCTION("""COMPUTED_VALUE"""),"Ahu")</f>
        <v>Ahu</v>
      </c>
      <c r="K2235" s="6" t="str">
        <f>IFERROR(__xludf.DUMMYFUNCTION("""COMPUTED_VALUE"""),"SPR/07/25/047")</f>
        <v>SPR/07/25/047</v>
      </c>
      <c r="L2235" s="13">
        <f>IFERROR(__xludf.DUMMYFUNCTION("""COMPUTED_VALUE"""),45863.0)</f>
        <v>45863</v>
      </c>
    </row>
    <row r="2236">
      <c r="A2236" s="6" t="str">
        <f>IFERROR(__xludf.DUMMYFUNCTION("""COMPUTED_VALUE"""),"RIA")</f>
        <v>RIA</v>
      </c>
      <c r="B2236" s="6" t="str">
        <f>IFERROR(__xludf.DUMMYFUNCTION("""COMPUTED_VALUE"""),"ENG")</f>
        <v>ENG</v>
      </c>
      <c r="C2236" s="6" t="str">
        <f>IFERROR(__xludf.DUMMYFUNCTION("""COMPUTED_VALUE"""),"P-11185-00")</f>
        <v>P-11185-00</v>
      </c>
      <c r="D2236" s="6" t="str">
        <f>IFERROR(__xludf.DUMMYFUNCTION("""COMPUTED_VALUE"""),"Pneumatic Fitting - QS 8-6 / Festo")</f>
        <v>Pneumatic Fitting - QS 8-6 / Festo</v>
      </c>
      <c r="E2236" s="6">
        <f>IFERROR(__xludf.DUMMYFUNCTION("""COMPUTED_VALUE"""),1.0)</f>
        <v>1</v>
      </c>
      <c r="F2236" s="6">
        <f>IFERROR(__xludf.DUMMYFUNCTION("""COMPUTED_VALUE"""),1.0)</f>
        <v>1</v>
      </c>
      <c r="G2236" s="6">
        <f>IFERROR(__xludf.DUMMYFUNCTION("""COMPUTED_VALUE"""),0.0)</f>
        <v>0</v>
      </c>
      <c r="H2236" s="6" t="str">
        <f>IFERROR(__xludf.DUMMYFUNCTION("""COMPUTED_VALUE"""),"Pcs")</f>
        <v>Pcs</v>
      </c>
      <c r="I2236" s="6" t="str">
        <f>IFERROR(__xludf.DUMMYFUNCTION("""COMPUTED_VALUE"""),"MFH")</f>
        <v>MFH</v>
      </c>
      <c r="J2236" s="6" t="str">
        <f>IFERROR(__xludf.DUMMYFUNCTION("""COMPUTED_VALUE"""),"-")</f>
        <v>-</v>
      </c>
      <c r="K2236" s="6" t="str">
        <f>IFERROR(__xludf.DUMMYFUNCTION("""COMPUTED_VALUE"""),"SPR/07/25/047")</f>
        <v>SPR/07/25/047</v>
      </c>
      <c r="L2236" s="13">
        <f>IFERROR(__xludf.DUMMYFUNCTION("""COMPUTED_VALUE"""),45863.0)</f>
        <v>45863</v>
      </c>
    </row>
    <row r="2237">
      <c r="A2237" s="6" t="str">
        <f>IFERROR(__xludf.DUMMYFUNCTION("""COMPUTED_VALUE"""),"RIA")</f>
        <v>RIA</v>
      </c>
      <c r="B2237" s="6" t="str">
        <f>IFERROR(__xludf.DUMMYFUNCTION("""COMPUTED_VALUE"""),"ENG")</f>
        <v>ENG</v>
      </c>
      <c r="C2237" s="6" t="str">
        <f>IFERROR(__xludf.DUMMYFUNCTION("""COMPUTED_VALUE"""),"P-51559-00")</f>
        <v>P-51559-00</v>
      </c>
      <c r="D2237" s="6" t="str">
        <f>IFERROR(__xludf.DUMMYFUNCTION("""COMPUTED_VALUE"""),"Lampu T5 14watt Putih; Phillips; ;")</f>
        <v>Lampu T5 14watt Putih; Phillips; ;</v>
      </c>
      <c r="E2237" s="6">
        <f>IFERROR(__xludf.DUMMYFUNCTION("""COMPUTED_VALUE"""),2.0)</f>
        <v>2</v>
      </c>
      <c r="F2237" s="6">
        <f>IFERROR(__xludf.DUMMYFUNCTION("""COMPUTED_VALUE"""),2.0)</f>
        <v>2</v>
      </c>
      <c r="G2237" s="6">
        <f>IFERROR(__xludf.DUMMYFUNCTION("""COMPUTED_VALUE"""),0.0)</f>
        <v>0</v>
      </c>
      <c r="H2237" s="6" t="str">
        <f>IFERROR(__xludf.DUMMYFUNCTION("""COMPUTED_VALUE"""),"Pcs")</f>
        <v>Pcs</v>
      </c>
      <c r="I2237" s="6" t="str">
        <f>IFERROR(__xludf.DUMMYFUNCTION("""COMPUTED_VALUE"""),"MFH")</f>
        <v>MFH</v>
      </c>
      <c r="J2237" s="6" t="str">
        <f>IFERROR(__xludf.DUMMYFUNCTION("""COMPUTED_VALUE"""),"-")</f>
        <v>-</v>
      </c>
      <c r="K2237" s="6" t="str">
        <f>IFERROR(__xludf.DUMMYFUNCTION("""COMPUTED_VALUE"""),"SPR/07/25/047")</f>
        <v>SPR/07/25/047</v>
      </c>
      <c r="L2237" s="13">
        <f>IFERROR(__xludf.DUMMYFUNCTION("""COMPUTED_VALUE"""),45863.0)</f>
        <v>45863</v>
      </c>
    </row>
    <row r="2238">
      <c r="A2238" s="6" t="str">
        <f>IFERROR(__xludf.DUMMYFUNCTION("""COMPUTED_VALUE"""),"BDU")</f>
        <v>BDU</v>
      </c>
      <c r="B2238" s="6" t="str">
        <f>IFERROR(__xludf.DUMMYFUNCTION("""COMPUTED_VALUE"""),"ENG")</f>
        <v>ENG</v>
      </c>
      <c r="C2238" s="6" t="str">
        <f>IFERROR(__xludf.DUMMYFUNCTION("""COMPUTED_VALUE"""),"P-19484-00")</f>
        <v>P-19484-00</v>
      </c>
      <c r="D2238" s="6" t="str">
        <f>IFERROR(__xludf.DUMMYFUNCTION("""COMPUTED_VALUE"""),"General - Sliding Pintu Lift Barang Uk. 50 x 32 mm; Custom/Lokal; -; 1 Pc")</f>
        <v>General - Sliding Pintu Lift Barang Uk. 50 x 32 mm; Custom/Lokal; -; 1 Pc</v>
      </c>
      <c r="E2238" s="6">
        <f>IFERROR(__xludf.DUMMYFUNCTION("""COMPUTED_VALUE"""),4.0)</f>
        <v>4</v>
      </c>
      <c r="F2238" s="6">
        <f>IFERROR(__xludf.DUMMYFUNCTION("""COMPUTED_VALUE"""),4.0)</f>
        <v>4</v>
      </c>
      <c r="G2238" s="6">
        <f>IFERROR(__xludf.DUMMYFUNCTION("""COMPUTED_VALUE"""),0.0)</f>
        <v>0</v>
      </c>
      <c r="H2238" s="6" t="str">
        <f>IFERROR(__xludf.DUMMYFUNCTION("""COMPUTED_VALUE"""),"Pcs")</f>
        <v>Pcs</v>
      </c>
      <c r="I2238" s="6" t="str">
        <f>IFERROR(__xludf.DUMMYFUNCTION("""COMPUTED_VALUE"""),"MFH")</f>
        <v>MFH</v>
      </c>
      <c r="J2238" s="6" t="str">
        <f>IFERROR(__xludf.DUMMYFUNCTION("""COMPUTED_VALUE"""),"Dumbwaiter")</f>
        <v>Dumbwaiter</v>
      </c>
      <c r="K2238" s="6" t="str">
        <f>IFERROR(__xludf.DUMMYFUNCTION("""COMPUTED_VALUE"""),"SPR/07/25/048")</f>
        <v>SPR/07/25/048</v>
      </c>
      <c r="L2238" s="13">
        <f>IFERROR(__xludf.DUMMYFUNCTION("""COMPUTED_VALUE"""),45863.0)</f>
        <v>45863</v>
      </c>
    </row>
    <row r="2239">
      <c r="A2239" s="6" t="str">
        <f>IFERROR(__xludf.DUMMYFUNCTION("""COMPUTED_VALUE"""),"ANO")</f>
        <v>ANO</v>
      </c>
      <c r="B2239" s="6" t="str">
        <f>IFERROR(__xludf.DUMMYFUNCTION("""COMPUTED_VALUE"""),"ENG")</f>
        <v>ENG</v>
      </c>
      <c r="C2239" s="6" t="str">
        <f>IFERROR(__xludf.DUMMYFUNCTION("""COMPUTED_VALUE"""),"P-11694-00")</f>
        <v>P-11694-00</v>
      </c>
      <c r="D2239" s="6" t="str">
        <f>IFERROR(__xludf.DUMMYFUNCTION("""COMPUTED_VALUE"""),"Mata Gerinda 4""")</f>
        <v>Mata Gerinda 4"</v>
      </c>
      <c r="E2239" s="6">
        <f>IFERROR(__xludf.DUMMYFUNCTION("""COMPUTED_VALUE"""),5.0)</f>
        <v>5</v>
      </c>
      <c r="F2239" s="6">
        <f>IFERROR(__xludf.DUMMYFUNCTION("""COMPUTED_VALUE"""),2.0)</f>
        <v>2</v>
      </c>
      <c r="G2239" s="6">
        <f>IFERROR(__xludf.DUMMYFUNCTION("""COMPUTED_VALUE"""),0.0)</f>
        <v>0</v>
      </c>
      <c r="H2239" s="6" t="str">
        <f>IFERROR(__xludf.DUMMYFUNCTION("""COMPUTED_VALUE"""),"Pcs")</f>
        <v>Pcs</v>
      </c>
      <c r="I2239" s="6" t="str">
        <f>IFERROR(__xludf.DUMMYFUNCTION("""COMPUTED_VALUE"""),"MFH")</f>
        <v>MFH</v>
      </c>
      <c r="J2239" s="6" t="str">
        <f>IFERROR(__xludf.DUMMYFUNCTION("""COMPUTED_VALUE"""),"Trolley")</f>
        <v>Trolley</v>
      </c>
      <c r="K2239" s="6" t="str">
        <f>IFERROR(__xludf.DUMMYFUNCTION("""COMPUTED_VALUE"""),"SPR/07/25/049")</f>
        <v>SPR/07/25/049</v>
      </c>
      <c r="L2239" s="13">
        <f>IFERROR(__xludf.DUMMYFUNCTION("""COMPUTED_VALUE"""),45863.0)</f>
        <v>45863</v>
      </c>
    </row>
    <row r="2240">
      <c r="A2240" s="6" t="str">
        <f>IFERROR(__xludf.DUMMYFUNCTION("""COMPUTED_VALUE"""),"NDS")</f>
        <v>NDS</v>
      </c>
      <c r="B2240" s="6" t="str">
        <f>IFERROR(__xludf.DUMMYFUNCTION("""COMPUTED_VALUE"""),"ENG")</f>
        <v>ENG</v>
      </c>
      <c r="C2240" s="6" t="str">
        <f>IFERROR(__xludf.DUMMYFUNCTION("""COMPUTED_VALUE"""),"P-18468-00")</f>
        <v>P-18468-00</v>
      </c>
      <c r="D2240" s="6" t="str">
        <f>IFERROR(__xludf.DUMMYFUNCTION("""COMPUTED_VALUE"""),"Pass Box Stickers ZC-A; ; ;")</f>
        <v>Pass Box Stickers ZC-A; ; ;</v>
      </c>
      <c r="E2240" s="6">
        <f>IFERROR(__xludf.DUMMYFUNCTION("""COMPUTED_VALUE"""),2.0)</f>
        <v>2</v>
      </c>
      <c r="F2240" s="6">
        <f>IFERROR(__xludf.DUMMYFUNCTION("""COMPUTED_VALUE"""),2.0)</f>
        <v>2</v>
      </c>
      <c r="G2240" s="6">
        <f>IFERROR(__xludf.DUMMYFUNCTION("""COMPUTED_VALUE"""),0.0)</f>
        <v>0</v>
      </c>
      <c r="H2240" s="6" t="str">
        <f>IFERROR(__xludf.DUMMYFUNCTION("""COMPUTED_VALUE"""),"Pcs")</f>
        <v>Pcs</v>
      </c>
      <c r="I2240" s="6" t="str">
        <f>IFERROR(__xludf.DUMMYFUNCTION("""COMPUTED_VALUE"""),"MFH")</f>
        <v>MFH</v>
      </c>
      <c r="J2240" s="6" t="str">
        <f>IFERROR(__xludf.DUMMYFUNCTION("""COMPUTED_VALUE"""),"Pasbox")</f>
        <v>Pasbox</v>
      </c>
      <c r="K2240" s="6" t="str">
        <f>IFERROR(__xludf.DUMMYFUNCTION("""COMPUTED_VALUE"""),"SPR/07/25/050")</f>
        <v>SPR/07/25/050</v>
      </c>
      <c r="L2240" s="13">
        <f>IFERROR(__xludf.DUMMYFUNCTION("""COMPUTED_VALUE"""),45863.0)</f>
        <v>45863</v>
      </c>
    </row>
    <row r="2241">
      <c r="A2241" s="6" t="str">
        <f>IFERROR(__xludf.DUMMYFUNCTION("""COMPUTED_VALUE"""),"KPR")</f>
        <v>KPR</v>
      </c>
      <c r="B2241" s="6" t="str">
        <f>IFERROR(__xludf.DUMMYFUNCTION("""COMPUTED_VALUE"""),"QAS")</f>
        <v>QAS</v>
      </c>
      <c r="C2241" s="6" t="str">
        <f>IFERROR(__xludf.DUMMYFUNCTION("""COMPUTED_VALUE"""),"O-14594-00")</f>
        <v>O-14594-00</v>
      </c>
      <c r="D2241" s="6" t="str">
        <f>IFERROR(__xludf.DUMMYFUNCTION("""COMPUTED_VALUE"""),"Kit, membrane ozone 6510 METTLER TOLEDO INDONESIA, PT P/N : -  pc")</f>
        <v>Kit, membrane ozone 6510 METTLER TOLEDO INDONESIA, PT P/N : -  pc</v>
      </c>
      <c r="E2241" s="6">
        <f>IFERROR(__xludf.DUMMYFUNCTION("""COMPUTED_VALUE"""),1.0)</f>
        <v>1</v>
      </c>
      <c r="F2241" s="6">
        <f>IFERROR(__xludf.DUMMYFUNCTION("""COMPUTED_VALUE"""),1.0)</f>
        <v>1</v>
      </c>
      <c r="G2241" s="6">
        <f>IFERROR(__xludf.DUMMYFUNCTION("""COMPUTED_VALUE"""),0.0)</f>
        <v>0</v>
      </c>
      <c r="H2241" s="6" t="str">
        <f>IFERROR(__xludf.DUMMYFUNCTION("""COMPUTED_VALUE"""),"Pcs")</f>
        <v>Pcs</v>
      </c>
      <c r="I2241" s="6" t="str">
        <f>IFERROR(__xludf.DUMMYFUNCTION("""COMPUTED_VALUE"""),"MFH")</f>
        <v>MFH</v>
      </c>
      <c r="J2241" s="6" t="str">
        <f>IFERROR(__xludf.DUMMYFUNCTION("""COMPUTED_VALUE"""),"Water sistem")</f>
        <v>Water sistem</v>
      </c>
      <c r="K2241" s="6" t="str">
        <f>IFERROR(__xludf.DUMMYFUNCTION("""COMPUTED_VALUE"""),"SPR/07/25/051")</f>
        <v>SPR/07/25/051</v>
      </c>
      <c r="L2241" s="13">
        <f>IFERROR(__xludf.DUMMYFUNCTION("""COMPUTED_VALUE"""),45863.0)</f>
        <v>45863</v>
      </c>
    </row>
    <row r="2242">
      <c r="A2242" s="6" t="str">
        <f>IFERROR(__xludf.DUMMYFUNCTION("""COMPUTED_VALUE"""),"BDU")</f>
        <v>BDU</v>
      </c>
      <c r="B2242" s="6" t="str">
        <f>IFERROR(__xludf.DUMMYFUNCTION("""COMPUTED_VALUE"""),"ENG")</f>
        <v>ENG</v>
      </c>
      <c r="C2242" s="6" t="str">
        <f>IFERROR(__xludf.DUMMYFUNCTION("""COMPUTED_VALUE"""),"P-19028-00")</f>
        <v>P-19028-00</v>
      </c>
      <c r="D2242" s="6" t="str">
        <f>IFERROR(__xludf.DUMMYFUNCTION("""COMPUTED_VALUE"""),"Washable G4 Avg arrestance : 94%. Rec. Final resistance: 250 Pa. Size: 24"" x 24"" x 2""; IAF; ; pcs")</f>
        <v>Washable G4 Avg arrestance : 94%. Rec. Final resistance: 250 Pa. Size: 24" x 24" x 2"; IAF; ; pcs</v>
      </c>
      <c r="E2242" s="6">
        <f>IFERROR(__xludf.DUMMYFUNCTION("""COMPUTED_VALUE"""),4.0)</f>
        <v>4</v>
      </c>
      <c r="F2242" s="6">
        <f>IFERROR(__xludf.DUMMYFUNCTION("""COMPUTED_VALUE"""),4.0)</f>
        <v>4</v>
      </c>
      <c r="G2242" s="6">
        <f>IFERROR(__xludf.DUMMYFUNCTION("""COMPUTED_VALUE"""),0.0)</f>
        <v>0</v>
      </c>
      <c r="H2242" s="6" t="str">
        <f>IFERROR(__xludf.DUMMYFUNCTION("""COMPUTED_VALUE"""),"Pcs")</f>
        <v>Pcs</v>
      </c>
      <c r="I2242" s="6" t="str">
        <f>IFERROR(__xludf.DUMMYFUNCTION("""COMPUTED_VALUE"""),"MFH")</f>
        <v>MFH</v>
      </c>
      <c r="J2242" s="6" t="str">
        <f>IFERROR(__xludf.DUMMYFUNCTION("""COMPUTED_VALUE"""),"Ahu")</f>
        <v>Ahu</v>
      </c>
      <c r="K2242" s="6" t="str">
        <f>IFERROR(__xludf.DUMMYFUNCTION("""COMPUTED_VALUE"""),"SPR/07/25/052")</f>
        <v>SPR/07/25/052</v>
      </c>
      <c r="L2242" s="13">
        <f>IFERROR(__xludf.DUMMYFUNCTION("""COMPUTED_VALUE"""),45863.0)</f>
        <v>45863</v>
      </c>
    </row>
    <row r="2243">
      <c r="A2243" s="6" t="str">
        <f>IFERROR(__xludf.DUMMYFUNCTION("""COMPUTED_VALUE"""),"INN")</f>
        <v>INN</v>
      </c>
      <c r="B2243" s="6" t="str">
        <f>IFERROR(__xludf.DUMMYFUNCTION("""COMPUTED_VALUE"""),"ENG")</f>
        <v>ENG</v>
      </c>
      <c r="C2243" s="6" t="str">
        <f>IFERROR(__xludf.DUMMYFUNCTION("""COMPUTED_VALUE"""),"P-12994-00")</f>
        <v>P-12994-00</v>
      </c>
      <c r="D2243" s="6" t="str">
        <f>IFERROR(__xludf.DUMMYFUNCTION("""COMPUTED_VALUE"""),"Nippon Tape - ASF-110FR")</f>
        <v>Nippon Tape - ASF-110FR</v>
      </c>
      <c r="E2243" s="6">
        <f>IFERROR(__xludf.DUMMYFUNCTION("""COMPUTED_VALUE"""),1.0)</f>
        <v>1</v>
      </c>
      <c r="F2243" s="6">
        <f>IFERROR(__xludf.DUMMYFUNCTION("""COMPUTED_VALUE"""),1.0)</f>
        <v>1</v>
      </c>
      <c r="G2243" s="6">
        <f>IFERROR(__xludf.DUMMYFUNCTION("""COMPUTED_VALUE"""),0.0)</f>
        <v>0</v>
      </c>
      <c r="H2243" s="6" t="str">
        <f>IFERROR(__xludf.DUMMYFUNCTION("""COMPUTED_VALUE"""),"Pcs")</f>
        <v>Pcs</v>
      </c>
      <c r="I2243" s="6" t="str">
        <f>IFERROR(__xludf.DUMMYFUNCTION("""COMPUTED_VALUE"""),"MFH")</f>
        <v>MFH</v>
      </c>
      <c r="J2243" s="6" t="str">
        <f>IFERROR(__xludf.DUMMYFUNCTION("""COMPUTED_VALUE"""),"Capping ")</f>
        <v>Capping </v>
      </c>
      <c r="K2243" s="6" t="str">
        <f>IFERROR(__xludf.DUMMYFUNCTION("""COMPUTED_VALUE"""),"SPR/07/25/053")</f>
        <v>SPR/07/25/053</v>
      </c>
      <c r="L2243" s="13">
        <f>IFERROR(__xludf.DUMMYFUNCTION("""COMPUTED_VALUE"""),45863.0)</f>
        <v>45863</v>
      </c>
    </row>
    <row r="2244">
      <c r="A2244" s="6" t="str">
        <f>IFERROR(__xludf.DUMMYFUNCTION("""COMPUTED_VALUE"""),"ROS")</f>
        <v>ROS</v>
      </c>
      <c r="B2244" s="6" t="str">
        <f>IFERROR(__xludf.DUMMYFUNCTION("""COMPUTED_VALUE"""),"ENG")</f>
        <v>ENG</v>
      </c>
      <c r="C2244" s="6" t="str">
        <f>IFERROR(__xludf.DUMMYFUNCTION("""COMPUTED_VALUE"""),"P-51299-00")</f>
        <v>P-51299-00</v>
      </c>
      <c r="D2244" s="6" t="str">
        <f>IFERROR(__xludf.DUMMYFUNCTION("""COMPUTED_VALUE"""),"Terminal plastik dia 6 mm")</f>
        <v>Terminal plastik dia 6 mm</v>
      </c>
      <c r="E2244" s="6">
        <f>IFERROR(__xludf.DUMMYFUNCTION("""COMPUTED_VALUE"""),3.0)</f>
        <v>3</v>
      </c>
      <c r="F2244" s="6">
        <f>IFERROR(__xludf.DUMMYFUNCTION("""COMPUTED_VALUE"""),3.0)</f>
        <v>3</v>
      </c>
      <c r="G2244" s="6">
        <f>IFERROR(__xludf.DUMMYFUNCTION("""COMPUTED_VALUE"""),0.0)</f>
        <v>0</v>
      </c>
      <c r="H2244" s="6" t="str">
        <f>IFERROR(__xludf.DUMMYFUNCTION("""COMPUTED_VALUE"""),"Pcs")</f>
        <v>Pcs</v>
      </c>
      <c r="I2244" s="6" t="str">
        <f>IFERROR(__xludf.DUMMYFUNCTION("""COMPUTED_VALUE"""),"MFH")</f>
        <v>MFH</v>
      </c>
      <c r="J2244" s="6" t="str">
        <f>IFERROR(__xludf.DUMMYFUNCTION("""COMPUTED_VALUE"""),"Lampu crabs")</f>
        <v>Lampu crabs</v>
      </c>
      <c r="K2244" s="6" t="str">
        <f>IFERROR(__xludf.DUMMYFUNCTION("""COMPUTED_VALUE"""),"SPR/07/25/059")</f>
        <v>SPR/07/25/059</v>
      </c>
      <c r="L2244" s="13">
        <f>IFERROR(__xludf.DUMMYFUNCTION("""COMPUTED_VALUE"""),45863.0)</f>
        <v>45863</v>
      </c>
    </row>
    <row r="2245">
      <c r="A2245" s="6" t="str">
        <f>IFERROR(__xludf.DUMMYFUNCTION("""COMPUTED_VALUE"""),"NDS")</f>
        <v>NDS</v>
      </c>
      <c r="B2245" s="6" t="str">
        <f>IFERROR(__xludf.DUMMYFUNCTION("""COMPUTED_VALUE"""),"ENG")</f>
        <v>ENG</v>
      </c>
      <c r="C2245" s="6" t="str">
        <f>IFERROR(__xludf.DUMMYFUNCTION("""COMPUTED_VALUE"""),"P-13389-00")</f>
        <v>P-13389-00</v>
      </c>
      <c r="D2245" s="6" t="str">
        <f>IFERROR(__xludf.DUMMYFUNCTION("""COMPUTED_VALUE"""),"Scotch Brite 3M; ; ;")</f>
        <v>Scotch Brite 3M; ; ;</v>
      </c>
      <c r="E2245" s="6">
        <f>IFERROR(__xludf.DUMMYFUNCTION("""COMPUTED_VALUE"""),1.0)</f>
        <v>1</v>
      </c>
      <c r="F2245" s="6">
        <f>IFERROR(__xludf.DUMMYFUNCTION("""COMPUTED_VALUE"""),1.0)</f>
        <v>1</v>
      </c>
      <c r="G2245" s="6">
        <f>IFERROR(__xludf.DUMMYFUNCTION("""COMPUTED_VALUE"""),0.0)</f>
        <v>0</v>
      </c>
      <c r="H2245" s="6" t="str">
        <f>IFERROR(__xludf.DUMMYFUNCTION("""COMPUTED_VALUE"""),"Pcs")</f>
        <v>Pcs</v>
      </c>
      <c r="I2245" s="6" t="str">
        <f>IFERROR(__xludf.DUMMYFUNCTION("""COMPUTED_VALUE"""),"MFH")</f>
        <v>MFH</v>
      </c>
      <c r="J2245" s="6" t="str">
        <f>IFERROR(__xludf.DUMMYFUNCTION("""COMPUTED_VALUE"""),"Pasbox")</f>
        <v>Pasbox</v>
      </c>
      <c r="K2245" s="6" t="str">
        <f>IFERROR(__xludf.DUMMYFUNCTION("""COMPUTED_VALUE"""),"SPR/07/25/060")</f>
        <v>SPR/07/25/060</v>
      </c>
      <c r="L2245" s="13">
        <f>IFERROR(__xludf.DUMMYFUNCTION("""COMPUTED_VALUE"""),45863.0)</f>
        <v>45863</v>
      </c>
    </row>
    <row r="2246">
      <c r="A2246" s="6" t="str">
        <f>IFERROR(__xludf.DUMMYFUNCTION("""COMPUTED_VALUE"""),"NDS")</f>
        <v>NDS</v>
      </c>
      <c r="B2246" s="6" t="str">
        <f>IFERROR(__xludf.DUMMYFUNCTION("""COMPUTED_VALUE"""),"ENG")</f>
        <v>ENG</v>
      </c>
      <c r="C2246" s="6" t="str">
        <f>IFERROR(__xludf.DUMMYFUNCTION("""COMPUTED_VALUE"""),"T-80109-00")</f>
        <v>T-80109-00</v>
      </c>
      <c r="D2246" s="6" t="str">
        <f>IFERROR(__xludf.DUMMYFUNCTION("""COMPUTED_VALUE"""),"Cellotape Kertas 1 inch warna Putih")</f>
        <v>Cellotape Kertas 1 inch warna Putih</v>
      </c>
      <c r="E2246" s="6">
        <f>IFERROR(__xludf.DUMMYFUNCTION("""COMPUTED_VALUE"""),1.0)</f>
        <v>1</v>
      </c>
      <c r="F2246" s="6">
        <f>IFERROR(__xludf.DUMMYFUNCTION("""COMPUTED_VALUE"""),1.0)</f>
        <v>1</v>
      </c>
      <c r="G2246" s="6">
        <f>IFERROR(__xludf.DUMMYFUNCTION("""COMPUTED_VALUE"""),0.0)</f>
        <v>0</v>
      </c>
      <c r="H2246" s="6" t="str">
        <f>IFERROR(__xludf.DUMMYFUNCTION("""COMPUTED_VALUE"""),"Pcs")</f>
        <v>Pcs</v>
      </c>
      <c r="I2246" s="6" t="str">
        <f>IFERROR(__xludf.DUMMYFUNCTION("""COMPUTED_VALUE"""),"MFH")</f>
        <v>MFH</v>
      </c>
      <c r="J2246" s="6" t="str">
        <f>IFERROR(__xludf.DUMMYFUNCTION("""COMPUTED_VALUE"""),"Tc")</f>
        <v>Tc</v>
      </c>
      <c r="K2246" s="6" t="str">
        <f>IFERROR(__xludf.DUMMYFUNCTION("""COMPUTED_VALUE"""),"SPR/07/25/060")</f>
        <v>SPR/07/25/060</v>
      </c>
      <c r="L2246" s="13">
        <f>IFERROR(__xludf.DUMMYFUNCTION("""COMPUTED_VALUE"""),45863.0)</f>
        <v>45863</v>
      </c>
    </row>
    <row r="2247">
      <c r="A2247" s="6" t="str">
        <f>IFERROR(__xludf.DUMMYFUNCTION("""COMPUTED_VALUE"""),"MRN")</f>
        <v>MRN</v>
      </c>
      <c r="B2247" s="6" t="str">
        <f>IFERROR(__xludf.DUMMYFUNCTION("""COMPUTED_VALUE"""),"ENG")</f>
        <v>ENG</v>
      </c>
      <c r="C2247" s="6" t="str">
        <f>IFERROR(__xludf.DUMMYFUNCTION("""COMPUTED_VALUE"""),"P-53363-00")</f>
        <v>P-53363-00</v>
      </c>
      <c r="D2247" s="6" t="str">
        <f>IFERROR(__xludf.DUMMYFUNCTION("""COMPUTED_VALUE"""),"Contactor Schneider LC1D12M7 Coil 220 VAC; ; ;")</f>
        <v>Contactor Schneider LC1D12M7 Coil 220 VAC; ; ;</v>
      </c>
      <c r="E2247" s="6">
        <f>IFERROR(__xludf.DUMMYFUNCTION("""COMPUTED_VALUE"""),1.0)</f>
        <v>1</v>
      </c>
      <c r="F2247" s="6">
        <f>IFERROR(__xludf.DUMMYFUNCTION("""COMPUTED_VALUE"""),1.0)</f>
        <v>1</v>
      </c>
      <c r="G2247" s="6">
        <f>IFERROR(__xludf.DUMMYFUNCTION("""COMPUTED_VALUE"""),0.0)</f>
        <v>0</v>
      </c>
      <c r="H2247" s="6" t="str">
        <f>IFERROR(__xludf.DUMMYFUNCTION("""COMPUTED_VALUE"""),"Pcs")</f>
        <v>Pcs</v>
      </c>
      <c r="I2247" s="6" t="str">
        <f>IFERROR(__xludf.DUMMYFUNCTION("""COMPUTED_VALUE"""),"MFH")</f>
        <v>MFH</v>
      </c>
      <c r="J2247" s="6" t="str">
        <f>IFERROR(__xludf.DUMMYFUNCTION("""COMPUTED_VALUE"""),"-")</f>
        <v>-</v>
      </c>
      <c r="K2247" s="6" t="str">
        <f>IFERROR(__xludf.DUMMYFUNCTION("""COMPUTED_VALUE"""),"SPR/07/25/061")</f>
        <v>SPR/07/25/061</v>
      </c>
      <c r="L2247" s="13">
        <f>IFERROR(__xludf.DUMMYFUNCTION("""COMPUTED_VALUE"""),45863.0)</f>
        <v>45863</v>
      </c>
    </row>
    <row r="2248">
      <c r="A2248" s="6" t="str">
        <f>IFERROR(__xludf.DUMMYFUNCTION("""COMPUTED_VALUE"""),"MRN")</f>
        <v>MRN</v>
      </c>
      <c r="B2248" s="6" t="str">
        <f>IFERROR(__xludf.DUMMYFUNCTION("""COMPUTED_VALUE"""),"ENG")</f>
        <v>ENG</v>
      </c>
      <c r="C2248" s="6" t="str">
        <f>IFERROR(__xludf.DUMMYFUNCTION("""COMPUTED_VALUE"""),"P-51560-00")</f>
        <v>P-51560-00</v>
      </c>
      <c r="D2248" s="6" t="str">
        <f>IFERROR(__xludf.DUMMYFUNCTION("""COMPUTED_VALUE"""),"Lampu T5 28watt Putih; Phillips; ;")</f>
        <v>Lampu T5 28watt Putih; Phillips; ;</v>
      </c>
      <c r="E2248" s="6">
        <f>IFERROR(__xludf.DUMMYFUNCTION("""COMPUTED_VALUE"""),1.0)</f>
        <v>1</v>
      </c>
      <c r="F2248" s="6">
        <f>IFERROR(__xludf.DUMMYFUNCTION("""COMPUTED_VALUE"""),1.0)</f>
        <v>1</v>
      </c>
      <c r="G2248" s="6">
        <f>IFERROR(__xludf.DUMMYFUNCTION("""COMPUTED_VALUE"""),0.0)</f>
        <v>0</v>
      </c>
      <c r="H2248" s="6" t="str">
        <f>IFERROR(__xludf.DUMMYFUNCTION("""COMPUTED_VALUE"""),"Pcs")</f>
        <v>Pcs</v>
      </c>
      <c r="I2248" s="6" t="str">
        <f>IFERROR(__xludf.DUMMYFUNCTION("""COMPUTED_VALUE"""),"MFH")</f>
        <v>MFH</v>
      </c>
      <c r="J2248" s="6" t="str">
        <f>IFERROR(__xludf.DUMMYFUNCTION("""COMPUTED_VALUE"""),"-")</f>
        <v>-</v>
      </c>
      <c r="K2248" s="6" t="str">
        <f>IFERROR(__xludf.DUMMYFUNCTION("""COMPUTED_VALUE"""),"SPR/07/25/061")</f>
        <v>SPR/07/25/061</v>
      </c>
      <c r="L2248" s="13">
        <f>IFERROR(__xludf.DUMMYFUNCTION("""COMPUTED_VALUE"""),45863.0)</f>
        <v>45863</v>
      </c>
    </row>
    <row r="2249">
      <c r="A2249" s="6" t="str">
        <f>IFERROR(__xludf.DUMMYFUNCTION("""COMPUTED_VALUE"""),"SFH")</f>
        <v>SFH</v>
      </c>
      <c r="B2249" s="6" t="str">
        <f>IFERROR(__xludf.DUMMYFUNCTION("""COMPUTED_VALUE"""),"ENG")</f>
        <v>ENG</v>
      </c>
      <c r="C2249" s="6" t="str">
        <f>IFERROR(__xludf.DUMMYFUNCTION("""COMPUTED_VALUE"""),"P-51560-00")</f>
        <v>P-51560-00</v>
      </c>
      <c r="D2249" s="6" t="str">
        <f>IFERROR(__xludf.DUMMYFUNCTION("""COMPUTED_VALUE"""),"Lampu T5 28watt Putih; Phillips; ;")</f>
        <v>Lampu T5 28watt Putih; Phillips; ;</v>
      </c>
      <c r="E2249" s="6">
        <f>IFERROR(__xludf.DUMMYFUNCTION("""COMPUTED_VALUE"""),3.0)</f>
        <v>3</v>
      </c>
      <c r="F2249" s="6">
        <f>IFERROR(__xludf.DUMMYFUNCTION("""COMPUTED_VALUE"""),3.0)</f>
        <v>3</v>
      </c>
      <c r="G2249" s="6">
        <f>IFERROR(__xludf.DUMMYFUNCTION("""COMPUTED_VALUE"""),0.0)</f>
        <v>0</v>
      </c>
      <c r="H2249" s="6" t="str">
        <f>IFERROR(__xludf.DUMMYFUNCTION("""COMPUTED_VALUE"""),"Pcs")</f>
        <v>Pcs</v>
      </c>
      <c r="I2249" s="6" t="str">
        <f>IFERROR(__xludf.DUMMYFUNCTION("""COMPUTED_VALUE"""),"MFH")</f>
        <v>MFH</v>
      </c>
      <c r="J2249" s="6" t="str">
        <f>IFERROR(__xludf.DUMMYFUNCTION("""COMPUTED_VALUE"""),"Building")</f>
        <v>Building</v>
      </c>
      <c r="K2249" s="6" t="str">
        <f>IFERROR(__xludf.DUMMYFUNCTION("""COMPUTED_VALUE"""),"SPR/07/25/062")</f>
        <v>SPR/07/25/062</v>
      </c>
      <c r="L2249" s="13">
        <f>IFERROR(__xludf.DUMMYFUNCTION("""COMPUTED_VALUE"""),45863.0)</f>
        <v>45863</v>
      </c>
    </row>
    <row r="2250">
      <c r="A2250" s="6" t="str">
        <f>IFERROR(__xludf.DUMMYFUNCTION("""COMPUTED_VALUE"""),"SFH")</f>
        <v>SFH</v>
      </c>
      <c r="B2250" s="6" t="str">
        <f>IFERROR(__xludf.DUMMYFUNCTION("""COMPUTED_VALUE"""),"ENG")</f>
        <v>ENG</v>
      </c>
      <c r="C2250" s="6" t="str">
        <f>IFERROR(__xludf.DUMMYFUNCTION("""COMPUTED_VALUE"""),"P-51559-00")</f>
        <v>P-51559-00</v>
      </c>
      <c r="D2250" s="6" t="str">
        <f>IFERROR(__xludf.DUMMYFUNCTION("""COMPUTED_VALUE"""),"Lampu T5 14watt Putih; Phillips; ;")</f>
        <v>Lampu T5 14watt Putih; Phillips; ;</v>
      </c>
      <c r="E2250" s="6">
        <f>IFERROR(__xludf.DUMMYFUNCTION("""COMPUTED_VALUE"""),10.0)</f>
        <v>10</v>
      </c>
      <c r="F2250" s="6">
        <f>IFERROR(__xludf.DUMMYFUNCTION("""COMPUTED_VALUE"""),10.0)</f>
        <v>10</v>
      </c>
      <c r="G2250" s="6">
        <f>IFERROR(__xludf.DUMMYFUNCTION("""COMPUTED_VALUE"""),0.0)</f>
        <v>0</v>
      </c>
      <c r="H2250" s="6" t="str">
        <f>IFERROR(__xludf.DUMMYFUNCTION("""COMPUTED_VALUE"""),"Pcs")</f>
        <v>Pcs</v>
      </c>
      <c r="I2250" s="6" t="str">
        <f>IFERROR(__xludf.DUMMYFUNCTION("""COMPUTED_VALUE"""),"MFH")</f>
        <v>MFH</v>
      </c>
      <c r="J2250" s="6" t="str">
        <f>IFERROR(__xludf.DUMMYFUNCTION("""COMPUTED_VALUE"""),"Building")</f>
        <v>Building</v>
      </c>
      <c r="K2250" s="6" t="str">
        <f>IFERROR(__xludf.DUMMYFUNCTION("""COMPUTED_VALUE"""),"SPR/07/25/062")</f>
        <v>SPR/07/25/062</v>
      </c>
      <c r="L2250" s="13">
        <f>IFERROR(__xludf.DUMMYFUNCTION("""COMPUTED_VALUE"""),45863.0)</f>
        <v>45863</v>
      </c>
    </row>
    <row r="2251">
      <c r="A2251" s="6" t="str">
        <f>IFERROR(__xludf.DUMMYFUNCTION("""COMPUTED_VALUE"""),"SFH")</f>
        <v>SFH</v>
      </c>
      <c r="B2251" s="6" t="str">
        <f>IFERROR(__xludf.DUMMYFUNCTION("""COMPUTED_VALUE"""),"ENG")</f>
        <v>ENG</v>
      </c>
      <c r="C2251" s="6" t="str">
        <f>IFERROR(__xludf.DUMMYFUNCTION("""COMPUTED_VALUE"""),"P-53169-00")</f>
        <v>P-53169-00</v>
      </c>
      <c r="D2251" s="6" t="str">
        <f>IFERROR(__xludf.DUMMYFUNCTION("""COMPUTED_VALUE"""),"Ballast Electronic EB-C 228 TL5, 2x28W; Phillips; ;")</f>
        <v>Ballast Electronic EB-C 228 TL5, 2x28W; Phillips; ;</v>
      </c>
      <c r="E2251" s="6">
        <f>IFERROR(__xludf.DUMMYFUNCTION("""COMPUTED_VALUE"""),2.0)</f>
        <v>2</v>
      </c>
      <c r="F2251" s="6">
        <f>IFERROR(__xludf.DUMMYFUNCTION("""COMPUTED_VALUE"""),2.0)</f>
        <v>2</v>
      </c>
      <c r="G2251" s="6">
        <f>IFERROR(__xludf.DUMMYFUNCTION("""COMPUTED_VALUE"""),0.0)</f>
        <v>0</v>
      </c>
      <c r="H2251" s="6" t="str">
        <f>IFERROR(__xludf.DUMMYFUNCTION("""COMPUTED_VALUE"""),"Pcs")</f>
        <v>Pcs</v>
      </c>
      <c r="I2251" s="6" t="str">
        <f>IFERROR(__xludf.DUMMYFUNCTION("""COMPUTED_VALUE"""),"MFH")</f>
        <v>MFH</v>
      </c>
      <c r="J2251" s="6" t="str">
        <f>IFERROR(__xludf.DUMMYFUNCTION("""COMPUTED_VALUE"""),"Building")</f>
        <v>Building</v>
      </c>
      <c r="K2251" s="6" t="str">
        <f>IFERROR(__xludf.DUMMYFUNCTION("""COMPUTED_VALUE"""),"SPR/07/25/062")</f>
        <v>SPR/07/25/062</v>
      </c>
      <c r="L2251" s="13">
        <f>IFERROR(__xludf.DUMMYFUNCTION("""COMPUTED_VALUE"""),45863.0)</f>
        <v>45863</v>
      </c>
    </row>
    <row r="2252">
      <c r="A2252" s="6" t="str">
        <f>IFERROR(__xludf.DUMMYFUNCTION("""COMPUTED_VALUE"""),"ANO")</f>
        <v>ANO</v>
      </c>
      <c r="B2252" s="6" t="str">
        <f>IFERROR(__xludf.DUMMYFUNCTION("""COMPUTED_VALUE"""),"ENG")</f>
        <v>ENG</v>
      </c>
      <c r="C2252" s="6" t="str">
        <f>IFERROR(__xludf.DUMMYFUNCTION("""COMPUTED_VALUE"""),"P-11694-00")</f>
        <v>P-11694-00</v>
      </c>
      <c r="D2252" s="6" t="str">
        <f>IFERROR(__xludf.DUMMYFUNCTION("""COMPUTED_VALUE"""),"Mata Gerinda 4""")</f>
        <v>Mata Gerinda 4"</v>
      </c>
      <c r="E2252" s="6">
        <f>IFERROR(__xludf.DUMMYFUNCTION("""COMPUTED_VALUE"""),5.0)</f>
        <v>5</v>
      </c>
      <c r="F2252" s="6">
        <f>IFERROR(__xludf.DUMMYFUNCTION("""COMPUTED_VALUE"""),5.0)</f>
        <v>5</v>
      </c>
      <c r="G2252" s="6">
        <f>IFERROR(__xludf.DUMMYFUNCTION("""COMPUTED_VALUE"""),0.0)</f>
        <v>0</v>
      </c>
      <c r="H2252" s="6" t="str">
        <f>IFERROR(__xludf.DUMMYFUNCTION("""COMPUTED_VALUE"""),"Pcs")</f>
        <v>Pcs</v>
      </c>
      <c r="I2252" s="6" t="str">
        <f>IFERROR(__xludf.DUMMYFUNCTION("""COMPUTED_VALUE"""),"MFH")</f>
        <v>MFH</v>
      </c>
      <c r="J2252" s="6" t="str">
        <f>IFERROR(__xludf.DUMMYFUNCTION("""COMPUTED_VALUE"""),"Troley")</f>
        <v>Troley</v>
      </c>
      <c r="K2252" s="6" t="str">
        <f>IFERROR(__xludf.DUMMYFUNCTION("""COMPUTED_VALUE"""),"SPR/07/25/063")</f>
        <v>SPR/07/25/063</v>
      </c>
      <c r="L2252" s="13">
        <f>IFERROR(__xludf.DUMMYFUNCTION("""COMPUTED_VALUE"""),45863.0)</f>
        <v>45863</v>
      </c>
    </row>
    <row r="2253">
      <c r="A2253" s="6" t="str">
        <f>IFERROR(__xludf.DUMMYFUNCTION("""COMPUTED_VALUE"""),"ANO")</f>
        <v>ANO</v>
      </c>
      <c r="B2253" s="6" t="str">
        <f>IFERROR(__xludf.DUMMYFUNCTION("""COMPUTED_VALUE"""),"ENG")</f>
        <v>ENG</v>
      </c>
      <c r="C2253" s="6" t="str">
        <f>IFERROR(__xludf.DUMMYFUNCTION("""COMPUTED_VALUE"""),"T-20135-00")</f>
        <v>T-20135-00</v>
      </c>
      <c r="D2253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2253" s="6">
        <f>IFERROR(__xludf.DUMMYFUNCTION("""COMPUTED_VALUE"""),1.0)</f>
        <v>1</v>
      </c>
      <c r="F2253" s="6">
        <f>IFERROR(__xludf.DUMMYFUNCTION("""COMPUTED_VALUE"""),1.0)</f>
        <v>1</v>
      </c>
      <c r="G2253" s="6">
        <f>IFERROR(__xludf.DUMMYFUNCTION("""COMPUTED_VALUE"""),0.0)</f>
        <v>0</v>
      </c>
      <c r="H2253" s="6" t="str">
        <f>IFERROR(__xludf.DUMMYFUNCTION("""COMPUTED_VALUE"""),"Pcs")</f>
        <v>Pcs</v>
      </c>
      <c r="I2253" s="6" t="str">
        <f>IFERROR(__xludf.DUMMYFUNCTION("""COMPUTED_VALUE"""),"MFH")</f>
        <v>MFH</v>
      </c>
      <c r="J2253" s="6" t="str">
        <f>IFERROR(__xludf.DUMMYFUNCTION("""COMPUTED_VALUE"""),"Isolator skan")</f>
        <v>Isolator skan</v>
      </c>
      <c r="K2253" s="6" t="str">
        <f>IFERROR(__xludf.DUMMYFUNCTION("""COMPUTED_VALUE"""),"SPR/07/25/063")</f>
        <v>SPR/07/25/063</v>
      </c>
      <c r="L2253" s="13">
        <f>IFERROR(__xludf.DUMMYFUNCTION("""COMPUTED_VALUE"""),45863.0)</f>
        <v>45863</v>
      </c>
    </row>
    <row r="2254">
      <c r="A2254" s="6" t="str">
        <f>IFERROR(__xludf.DUMMYFUNCTION("""COMPUTED_VALUE"""),"SFH")</f>
        <v>SFH</v>
      </c>
      <c r="B2254" s="6" t="str">
        <f>IFERROR(__xludf.DUMMYFUNCTION("""COMPUTED_VALUE"""),"ENG")</f>
        <v>ENG</v>
      </c>
      <c r="C2254" s="6" t="str">
        <f>IFERROR(__xludf.DUMMYFUNCTION("""COMPUTED_VALUE"""),"P-53293-00")</f>
        <v>P-53293-00</v>
      </c>
      <c r="D2254" s="6" t="str">
        <f>IFERROR(__xludf.DUMMYFUNCTION("""COMPUTED_VALUE"""),"General - Lampu Emergency TL LED 16W Waterproof IP65; Briliant; -; 1 pc")</f>
        <v>General - Lampu Emergency TL LED 16W Waterproof IP65; Briliant; -; 1 pc</v>
      </c>
      <c r="E2254" s="6">
        <f>IFERROR(__xludf.DUMMYFUNCTION("""COMPUTED_VALUE"""),2.0)</f>
        <v>2</v>
      </c>
      <c r="F2254" s="6">
        <f>IFERROR(__xludf.DUMMYFUNCTION("""COMPUTED_VALUE"""),2.0)</f>
        <v>2</v>
      </c>
      <c r="G2254" s="6">
        <f>IFERROR(__xludf.DUMMYFUNCTION("""COMPUTED_VALUE"""),0.0)</f>
        <v>0</v>
      </c>
      <c r="H2254" s="6" t="str">
        <f>IFERROR(__xludf.DUMMYFUNCTION("""COMPUTED_VALUE"""),"Pcs")</f>
        <v>Pcs</v>
      </c>
      <c r="I2254" s="6" t="str">
        <f>IFERROR(__xludf.DUMMYFUNCTION("""COMPUTED_VALUE"""),"MFH")</f>
        <v>MFH</v>
      </c>
      <c r="J2254" s="6" t="str">
        <f>IFERROR(__xludf.DUMMYFUNCTION("""COMPUTED_VALUE"""),"Building")</f>
        <v>Building</v>
      </c>
      <c r="K2254" s="6" t="str">
        <f>IFERROR(__xludf.DUMMYFUNCTION("""COMPUTED_VALUE"""),"SPR/07/25/064")</f>
        <v>SPR/07/25/064</v>
      </c>
      <c r="L2254" s="13">
        <f>IFERROR(__xludf.DUMMYFUNCTION("""COMPUTED_VALUE"""),45863.0)</f>
        <v>45863</v>
      </c>
    </row>
    <row r="2255">
      <c r="A2255" s="6" t="str">
        <f>IFERROR(__xludf.DUMMYFUNCTION("""COMPUTED_VALUE"""),"SFH")</f>
        <v>SFH</v>
      </c>
      <c r="B2255" s="6" t="str">
        <f>IFERROR(__xludf.DUMMYFUNCTION("""COMPUTED_VALUE"""),"ENG")</f>
        <v>ENG</v>
      </c>
      <c r="C2255" s="6" t="str">
        <f>IFERROR(__xludf.DUMMYFUNCTION("""COMPUTED_VALUE"""),"P-51560-00")</f>
        <v>P-51560-00</v>
      </c>
      <c r="D2255" s="6" t="str">
        <f>IFERROR(__xludf.DUMMYFUNCTION("""COMPUTED_VALUE"""),"Lampu T5 28watt Putih; Phillips; ;")</f>
        <v>Lampu T5 28watt Putih; Phillips; ;</v>
      </c>
      <c r="E2255" s="6">
        <f>IFERROR(__xludf.DUMMYFUNCTION("""COMPUTED_VALUE"""),2.0)</f>
        <v>2</v>
      </c>
      <c r="F2255" s="6">
        <f>IFERROR(__xludf.DUMMYFUNCTION("""COMPUTED_VALUE"""),2.0)</f>
        <v>2</v>
      </c>
      <c r="G2255" s="6">
        <f>IFERROR(__xludf.DUMMYFUNCTION("""COMPUTED_VALUE"""),0.0)</f>
        <v>0</v>
      </c>
      <c r="H2255" s="6" t="str">
        <f>IFERROR(__xludf.DUMMYFUNCTION("""COMPUTED_VALUE"""),"Pcs")</f>
        <v>Pcs</v>
      </c>
      <c r="I2255" s="6" t="str">
        <f>IFERROR(__xludf.DUMMYFUNCTION("""COMPUTED_VALUE"""),"MFH")</f>
        <v>MFH</v>
      </c>
      <c r="J2255" s="6" t="str">
        <f>IFERROR(__xludf.DUMMYFUNCTION("""COMPUTED_VALUE"""),"Building")</f>
        <v>Building</v>
      </c>
      <c r="K2255" s="6" t="str">
        <f>IFERROR(__xludf.DUMMYFUNCTION("""COMPUTED_VALUE"""),"SPR/07/25/064")</f>
        <v>SPR/07/25/064</v>
      </c>
      <c r="L2255" s="13">
        <f>IFERROR(__xludf.DUMMYFUNCTION("""COMPUTED_VALUE"""),45863.0)</f>
        <v>45863</v>
      </c>
    </row>
    <row r="2256">
      <c r="A2256" s="6" t="str">
        <f>IFERROR(__xludf.DUMMYFUNCTION("""COMPUTED_VALUE"""),"SFH")</f>
        <v>SFH</v>
      </c>
      <c r="B2256" s="6" t="str">
        <f>IFERROR(__xludf.DUMMYFUNCTION("""COMPUTED_VALUE"""),"ENG")</f>
        <v>ENG</v>
      </c>
      <c r="C2256" s="6" t="str">
        <f>IFERROR(__xludf.DUMMYFUNCTION("""COMPUTED_VALUE"""),"P-51559-00")</f>
        <v>P-51559-00</v>
      </c>
      <c r="D2256" s="6" t="str">
        <f>IFERROR(__xludf.DUMMYFUNCTION("""COMPUTED_VALUE"""),"Lampu T5 14watt Putih; Phillips; ;")</f>
        <v>Lampu T5 14watt Putih; Phillips; ;</v>
      </c>
      <c r="E2256" s="6">
        <f>IFERROR(__xludf.DUMMYFUNCTION("""COMPUTED_VALUE"""),4.0)</f>
        <v>4</v>
      </c>
      <c r="F2256" s="6">
        <f>IFERROR(__xludf.DUMMYFUNCTION("""COMPUTED_VALUE"""),4.0)</f>
        <v>4</v>
      </c>
      <c r="G2256" s="6">
        <f>IFERROR(__xludf.DUMMYFUNCTION("""COMPUTED_VALUE"""),0.0)</f>
        <v>0</v>
      </c>
      <c r="H2256" s="6" t="str">
        <f>IFERROR(__xludf.DUMMYFUNCTION("""COMPUTED_VALUE"""),"Pcs")</f>
        <v>Pcs</v>
      </c>
      <c r="I2256" s="6" t="str">
        <f>IFERROR(__xludf.DUMMYFUNCTION("""COMPUTED_VALUE"""),"MFH")</f>
        <v>MFH</v>
      </c>
      <c r="J2256" s="6" t="str">
        <f>IFERROR(__xludf.DUMMYFUNCTION("""COMPUTED_VALUE"""),"Building")</f>
        <v>Building</v>
      </c>
      <c r="K2256" s="6" t="str">
        <f>IFERROR(__xludf.DUMMYFUNCTION("""COMPUTED_VALUE"""),"SPR/07/25/064")</f>
        <v>SPR/07/25/064</v>
      </c>
      <c r="L2256" s="13">
        <f>IFERROR(__xludf.DUMMYFUNCTION("""COMPUTED_VALUE"""),45863.0)</f>
        <v>45863</v>
      </c>
    </row>
    <row r="2257">
      <c r="A2257" s="6" t="str">
        <f>IFERROR(__xludf.DUMMYFUNCTION("""COMPUTED_VALUE"""),"ROS")</f>
        <v>ROS</v>
      </c>
      <c r="B2257" s="6" t="str">
        <f>IFERROR(__xludf.DUMMYFUNCTION("""COMPUTED_VALUE"""),"ENG")</f>
        <v>ENG</v>
      </c>
      <c r="C2257" s="6" t="str">
        <f>IFERROR(__xludf.DUMMYFUNCTION("""COMPUTED_VALUE"""),"O-16032-00")</f>
        <v>O-16032-00</v>
      </c>
      <c r="D2257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257" s="6">
        <f>IFERROR(__xludf.DUMMYFUNCTION("""COMPUTED_VALUE"""),1.0)</f>
        <v>1</v>
      </c>
      <c r="F2257" s="6">
        <f>IFERROR(__xludf.DUMMYFUNCTION("""COMPUTED_VALUE"""),1.0)</f>
        <v>1</v>
      </c>
      <c r="G2257" s="6">
        <f>IFERROR(__xludf.DUMMYFUNCTION("""COMPUTED_VALUE"""),0.0)</f>
        <v>0</v>
      </c>
      <c r="H2257" s="6" t="str">
        <f>IFERROR(__xludf.DUMMYFUNCTION("""COMPUTED_VALUE"""),"Pcs")</f>
        <v>Pcs</v>
      </c>
      <c r="I2257" s="6" t="str">
        <f>IFERROR(__xludf.DUMMYFUNCTION("""COMPUTED_VALUE"""),"MFH")</f>
        <v>MFH</v>
      </c>
      <c r="J2257" s="6" t="str">
        <f>IFERROR(__xludf.DUMMYFUNCTION("""COMPUTED_VALUE"""),"Crabs")</f>
        <v>Crabs</v>
      </c>
      <c r="K2257" s="6" t="str">
        <f>IFERROR(__xludf.DUMMYFUNCTION("""COMPUTED_VALUE"""),"SPR/07/25/065")</f>
        <v>SPR/07/25/065</v>
      </c>
      <c r="L2257" s="13">
        <f>IFERROR(__xludf.DUMMYFUNCTION("""COMPUTED_VALUE"""),45863.0)</f>
        <v>45863</v>
      </c>
    </row>
    <row r="2258">
      <c r="A2258" s="6" t="str">
        <f>IFERROR(__xludf.DUMMYFUNCTION("""COMPUTED_VALUE"""),"ROS")</f>
        <v>ROS</v>
      </c>
      <c r="B2258" s="6" t="str">
        <f>IFERROR(__xludf.DUMMYFUNCTION("""COMPUTED_VALUE"""),"ENG")</f>
        <v>ENG</v>
      </c>
      <c r="C2258" s="6" t="str">
        <f>IFERROR(__xludf.DUMMYFUNCTION("""COMPUTED_VALUE"""),"P-12764-00")</f>
        <v>P-12764-00</v>
      </c>
      <c r="D2258" s="6" t="str">
        <f>IFERROR(__xludf.DUMMYFUNCTION("""COMPUTED_VALUE"""),"Silicone gasket for ferrule dia 1/2inch Taiwan")</f>
        <v>Silicone gasket for ferrule dia 1/2inch Taiwan</v>
      </c>
      <c r="E2258" s="6">
        <f>IFERROR(__xludf.DUMMYFUNCTION("""COMPUTED_VALUE"""),2.0)</f>
        <v>2</v>
      </c>
      <c r="F2258" s="6">
        <f>IFERROR(__xludf.DUMMYFUNCTION("""COMPUTED_VALUE"""),2.0)</f>
        <v>2</v>
      </c>
      <c r="G2258" s="6">
        <f>IFERROR(__xludf.DUMMYFUNCTION("""COMPUTED_VALUE"""),0.0)</f>
        <v>0</v>
      </c>
      <c r="H2258" s="6" t="str">
        <f>IFERROR(__xludf.DUMMYFUNCTION("""COMPUTED_VALUE"""),"Pcs")</f>
        <v>Pcs</v>
      </c>
      <c r="I2258" s="6" t="str">
        <f>IFERROR(__xludf.DUMMYFUNCTION("""COMPUTED_VALUE"""),"MFH")</f>
        <v>MFH</v>
      </c>
      <c r="J2258" s="6" t="str">
        <f>IFERROR(__xludf.DUMMYFUNCTION("""COMPUTED_VALUE"""),"Mixing")</f>
        <v>Mixing</v>
      </c>
      <c r="K2258" s="6" t="str">
        <f>IFERROR(__xludf.DUMMYFUNCTION("""COMPUTED_VALUE"""),"SPR/07/25/067")</f>
        <v>SPR/07/25/067</v>
      </c>
      <c r="L2258" s="13">
        <f>IFERROR(__xludf.DUMMYFUNCTION("""COMPUTED_VALUE"""),45863.0)</f>
        <v>45863</v>
      </c>
    </row>
    <row r="2259">
      <c r="A2259" s="6" t="str">
        <f>IFERROR(__xludf.DUMMYFUNCTION("""COMPUTED_VALUE"""),"ROS")</f>
        <v>ROS</v>
      </c>
      <c r="B2259" s="6" t="str">
        <f>IFERROR(__xludf.DUMMYFUNCTION("""COMPUTED_VALUE"""),"ENG")</f>
        <v>ENG</v>
      </c>
      <c r="C2259" s="6" t="str">
        <f>IFERROR(__xludf.DUMMYFUNCTION("""COMPUTED_VALUE"""),"O-14639-00")</f>
        <v>O-14639-00</v>
      </c>
      <c r="D2259" s="6" t="str">
        <f>IFERROR(__xludf.DUMMYFUNCTION("""COMPUTED_VALUE"""),"EPDM Gasket for Ferrule dia. 1/2"" - P/N : -  pc")</f>
        <v>EPDM Gasket for Ferrule dia. 1/2" - P/N : -  pc</v>
      </c>
      <c r="E2259" s="6">
        <f>IFERROR(__xludf.DUMMYFUNCTION("""COMPUTED_VALUE"""),2.0)</f>
        <v>2</v>
      </c>
      <c r="F2259" s="6">
        <f>IFERROR(__xludf.DUMMYFUNCTION("""COMPUTED_VALUE"""),2.0)</f>
        <v>2</v>
      </c>
      <c r="G2259" s="6">
        <f>IFERROR(__xludf.DUMMYFUNCTION("""COMPUTED_VALUE"""),0.0)</f>
        <v>0</v>
      </c>
      <c r="H2259" s="6" t="str">
        <f>IFERROR(__xludf.DUMMYFUNCTION("""COMPUTED_VALUE"""),"Pcs")</f>
        <v>Pcs</v>
      </c>
      <c r="I2259" s="6" t="str">
        <f>IFERROR(__xludf.DUMMYFUNCTION("""COMPUTED_VALUE"""),"MFH")</f>
        <v>MFH</v>
      </c>
      <c r="J2259" s="6" t="str">
        <f>IFERROR(__xludf.DUMMYFUNCTION("""COMPUTED_VALUE"""),"Mixing")</f>
        <v>Mixing</v>
      </c>
      <c r="K2259" s="6" t="str">
        <f>IFERROR(__xludf.DUMMYFUNCTION("""COMPUTED_VALUE"""),"SPR/07/25/067")</f>
        <v>SPR/07/25/067</v>
      </c>
      <c r="L2259" s="13">
        <f>IFERROR(__xludf.DUMMYFUNCTION("""COMPUTED_VALUE"""),45863.0)</f>
        <v>45863</v>
      </c>
    </row>
    <row r="2260">
      <c r="A2260" s="6" t="str">
        <f>IFERROR(__xludf.DUMMYFUNCTION("""COMPUTED_VALUE"""),"MRN")</f>
        <v>MRN</v>
      </c>
      <c r="B2260" s="6" t="str">
        <f>IFERROR(__xludf.DUMMYFUNCTION("""COMPUTED_VALUE"""),"ENG")</f>
        <v>ENG</v>
      </c>
      <c r="C2260" s="6" t="str">
        <f>IFERROR(__xludf.DUMMYFUNCTION("""COMPUTED_VALUE"""),"P-51741-00")</f>
        <v>P-51741-00</v>
      </c>
      <c r="D2260" s="6" t="str">
        <f>IFERROR(__xludf.DUMMYFUNCTION("""COMPUTED_VALUE"""),"Lampu Phillips PHP LED; 710 7w E27 White 220-240v; ; ;")</f>
        <v>Lampu Phillips PHP LED; 710 7w E27 White 220-240v; ; ;</v>
      </c>
      <c r="E2260" s="6">
        <f>IFERROR(__xludf.DUMMYFUNCTION("""COMPUTED_VALUE"""),1.0)</f>
        <v>1</v>
      </c>
      <c r="F2260" s="6">
        <f>IFERROR(__xludf.DUMMYFUNCTION("""COMPUTED_VALUE"""),1.0)</f>
        <v>1</v>
      </c>
      <c r="G2260" s="6">
        <f>IFERROR(__xludf.DUMMYFUNCTION("""COMPUTED_VALUE"""),0.0)</f>
        <v>0</v>
      </c>
      <c r="H2260" s="6" t="str">
        <f>IFERROR(__xludf.DUMMYFUNCTION("""COMPUTED_VALUE"""),"Pcs")</f>
        <v>Pcs</v>
      </c>
      <c r="I2260" s="6" t="str">
        <f>IFERROR(__xludf.DUMMYFUNCTION("""COMPUTED_VALUE"""),"MFH")</f>
        <v>MFH</v>
      </c>
      <c r="J2260" s="6" t="str">
        <f>IFERROR(__xludf.DUMMYFUNCTION("""COMPUTED_VALUE"""),"-")</f>
        <v>-</v>
      </c>
      <c r="K2260" s="6" t="str">
        <f>IFERROR(__xludf.DUMMYFUNCTION("""COMPUTED_VALUE"""),"SPR/07/25/068")</f>
        <v>SPR/07/25/068</v>
      </c>
      <c r="L2260" s="13">
        <f>IFERROR(__xludf.DUMMYFUNCTION("""COMPUTED_VALUE"""),45863.0)</f>
        <v>45863</v>
      </c>
    </row>
    <row r="2261">
      <c r="A2261" s="6" t="str">
        <f>IFERROR(__xludf.DUMMYFUNCTION("""COMPUTED_VALUE"""),"MRN")</f>
        <v>MRN</v>
      </c>
      <c r="B2261" s="6" t="str">
        <f>IFERROR(__xludf.DUMMYFUNCTION("""COMPUTED_VALUE"""),"ENG")</f>
        <v>ENG</v>
      </c>
      <c r="C2261" s="6" t="str">
        <f>IFERROR(__xludf.DUMMYFUNCTION("""COMPUTED_VALUE"""),"P-11356-00")</f>
        <v>P-11356-00</v>
      </c>
      <c r="D2261" s="6" t="str">
        <f>IFERROR(__xludf.DUMMYFUNCTION("""COMPUTED_VALUE"""),"Roda Trolly ABUS 4"" ( 100 x 27 ) Without Breake")</f>
        <v>Roda Trolly ABUS 4" ( 100 x 27 ) Without Breake</v>
      </c>
      <c r="E2261" s="6">
        <f>IFERROR(__xludf.DUMMYFUNCTION("""COMPUTED_VALUE"""),4.0)</f>
        <v>4</v>
      </c>
      <c r="F2261" s="6">
        <f>IFERROR(__xludf.DUMMYFUNCTION("""COMPUTED_VALUE"""),4.0)</f>
        <v>4</v>
      </c>
      <c r="G2261" s="6">
        <f>IFERROR(__xludf.DUMMYFUNCTION("""COMPUTED_VALUE"""),0.0)</f>
        <v>0</v>
      </c>
      <c r="H2261" s="6" t="str">
        <f>IFERROR(__xludf.DUMMYFUNCTION("""COMPUTED_VALUE"""),"Pcs")</f>
        <v>Pcs</v>
      </c>
      <c r="I2261" s="6" t="str">
        <f>IFERROR(__xludf.DUMMYFUNCTION("""COMPUTED_VALUE"""),"MFH")</f>
        <v>MFH</v>
      </c>
      <c r="J2261" s="6" t="str">
        <f>IFERROR(__xludf.DUMMYFUNCTION("""COMPUTED_VALUE"""),"-")</f>
        <v>-</v>
      </c>
      <c r="K2261" s="6" t="str">
        <f>IFERROR(__xludf.DUMMYFUNCTION("""COMPUTED_VALUE"""),"SPR/07/25/068")</f>
        <v>SPR/07/25/068</v>
      </c>
      <c r="L2261" s="13">
        <f>IFERROR(__xludf.DUMMYFUNCTION("""COMPUTED_VALUE"""),45863.0)</f>
        <v>45863</v>
      </c>
    </row>
    <row r="2262">
      <c r="A2262" s="6" t="str">
        <f>IFERROR(__xludf.DUMMYFUNCTION("""COMPUTED_VALUE"""),"NDS")</f>
        <v>NDS</v>
      </c>
      <c r="B2262" s="6" t="str">
        <f>IFERROR(__xludf.DUMMYFUNCTION("""COMPUTED_VALUE"""),"ENG")</f>
        <v>ENG</v>
      </c>
      <c r="C2262" s="6" t="str">
        <f>IFERROR(__xludf.DUMMYFUNCTION("""COMPUTED_VALUE"""),"P-50781-00")</f>
        <v>P-50781-00</v>
      </c>
      <c r="D2262" s="6" t="str">
        <f>IFERROR(__xludf.DUMMYFUNCTION("""COMPUTED_VALUE"""),"Battery 12V 18AH merk LONG")</f>
        <v>Battery 12V 18AH merk LONG</v>
      </c>
      <c r="E2262" s="6">
        <f>IFERROR(__xludf.DUMMYFUNCTION("""COMPUTED_VALUE"""),2.0)</f>
        <v>2</v>
      </c>
      <c r="F2262" s="6">
        <f>IFERROR(__xludf.DUMMYFUNCTION("""COMPUTED_VALUE"""),2.0)</f>
        <v>2</v>
      </c>
      <c r="G2262" s="6">
        <f>IFERROR(__xludf.DUMMYFUNCTION("""COMPUTED_VALUE"""),0.0)</f>
        <v>0</v>
      </c>
      <c r="H2262" s="6" t="str">
        <f>IFERROR(__xludf.DUMMYFUNCTION("""COMPUTED_VALUE"""),"Pcs")</f>
        <v>Pcs</v>
      </c>
      <c r="I2262" s="6" t="str">
        <f>IFERROR(__xludf.DUMMYFUNCTION("""COMPUTED_VALUE"""),"MFH")</f>
        <v>MFH</v>
      </c>
      <c r="J2262" s="6" t="str">
        <f>IFERROR(__xludf.DUMMYFUNCTION("""COMPUTED_VALUE"""),"Ms30")</f>
        <v>Ms30</v>
      </c>
      <c r="K2262" s="6" t="str">
        <f>IFERROR(__xludf.DUMMYFUNCTION("""COMPUTED_VALUE"""),"SPR/07/25/069")</f>
        <v>SPR/07/25/069</v>
      </c>
      <c r="L2262" s="13">
        <f>IFERROR(__xludf.DUMMYFUNCTION("""COMPUTED_VALUE"""),45863.0)</f>
        <v>45863</v>
      </c>
    </row>
    <row r="2263">
      <c r="A2263" s="6" t="str">
        <f>IFERROR(__xludf.DUMMYFUNCTION("""COMPUTED_VALUE"""),"NDS")</f>
        <v>NDS</v>
      </c>
      <c r="B2263" s="6" t="str">
        <f>IFERROR(__xludf.DUMMYFUNCTION("""COMPUTED_VALUE"""),"ENG")</f>
        <v>ENG</v>
      </c>
      <c r="C2263" s="6" t="str">
        <f>IFERROR(__xludf.DUMMYFUNCTION("""COMPUTED_VALUE"""),"Q-10249-00")</f>
        <v>Q-10249-00</v>
      </c>
      <c r="D2263" s="6" t="str">
        <f>IFERROR(__xludf.DUMMYFUNCTION("""COMPUTED_VALUE"""),"Lem;Power Glue;;pack size per pcs")</f>
        <v>Lem;Power Glue;;pack size per pcs</v>
      </c>
      <c r="E2263" s="6">
        <f>IFERROR(__xludf.DUMMYFUNCTION("""COMPUTED_VALUE"""),1.0)</f>
        <v>1</v>
      </c>
      <c r="F2263" s="6">
        <f>IFERROR(__xludf.DUMMYFUNCTION("""COMPUTED_VALUE"""),1.0)</f>
        <v>1</v>
      </c>
      <c r="G2263" s="6">
        <f>IFERROR(__xludf.DUMMYFUNCTION("""COMPUTED_VALUE"""),0.0)</f>
        <v>0</v>
      </c>
      <c r="H2263" s="6" t="str">
        <f>IFERROR(__xludf.DUMMYFUNCTION("""COMPUTED_VALUE"""),"Pcs")</f>
        <v>Pcs</v>
      </c>
      <c r="I2263" s="6" t="str">
        <f>IFERROR(__xludf.DUMMYFUNCTION("""COMPUTED_VALUE"""),"MFH")</f>
        <v>MFH</v>
      </c>
      <c r="J2263" s="6" t="str">
        <f>IFERROR(__xludf.DUMMYFUNCTION("""COMPUTED_VALUE"""),"Capping")</f>
        <v>Capping</v>
      </c>
      <c r="K2263" s="6" t="str">
        <f>IFERROR(__xludf.DUMMYFUNCTION("""COMPUTED_VALUE"""),"SPR/07/25/069")</f>
        <v>SPR/07/25/069</v>
      </c>
      <c r="L2263" s="13">
        <f>IFERROR(__xludf.DUMMYFUNCTION("""COMPUTED_VALUE"""),45863.0)</f>
        <v>45863</v>
      </c>
    </row>
    <row r="2264">
      <c r="A2264" s="6" t="str">
        <f>IFERROR(__xludf.DUMMYFUNCTION("""COMPUTED_VALUE"""),"ROS")</f>
        <v>ROS</v>
      </c>
      <c r="B2264" s="6" t="str">
        <f>IFERROR(__xludf.DUMMYFUNCTION("""COMPUTED_VALUE"""),"ENG")</f>
        <v>ENG</v>
      </c>
      <c r="C2264" s="6" t="str">
        <f>IFERROR(__xludf.DUMMYFUNCTION("""COMPUTED_VALUE"""),"O-14640-00")</f>
        <v>O-14640-00</v>
      </c>
      <c r="D2264" s="6" t="str">
        <f>IFERROR(__xludf.DUMMYFUNCTION("""COMPUTED_VALUE"""),"Silicone Gasket for Ferrule dia. 3/4"" - P/N : -  pc")</f>
        <v>Silicone Gasket for Ferrule dia. 3/4" - P/N : -  pc</v>
      </c>
      <c r="E2264" s="6">
        <f>IFERROR(__xludf.DUMMYFUNCTION("""COMPUTED_VALUE"""),2.0)</f>
        <v>2</v>
      </c>
      <c r="F2264" s="6">
        <f>IFERROR(__xludf.DUMMYFUNCTION("""COMPUTED_VALUE"""),2.0)</f>
        <v>2</v>
      </c>
      <c r="G2264" s="6">
        <f>IFERROR(__xludf.DUMMYFUNCTION("""COMPUTED_VALUE"""),0.0)</f>
        <v>0</v>
      </c>
      <c r="H2264" s="6" t="str">
        <f>IFERROR(__xludf.DUMMYFUNCTION("""COMPUTED_VALUE"""),"Pcs")</f>
        <v>Pcs</v>
      </c>
      <c r="I2264" s="6" t="str">
        <f>IFERROR(__xludf.DUMMYFUNCTION("""COMPUTED_VALUE"""),"MFH")</f>
        <v>MFH</v>
      </c>
      <c r="J2264" s="6" t="str">
        <f>IFERROR(__xludf.DUMMYFUNCTION("""COMPUTED_VALUE"""),"Mixing")</f>
        <v>Mixing</v>
      </c>
      <c r="K2264" s="6" t="str">
        <f>IFERROR(__xludf.DUMMYFUNCTION("""COMPUTED_VALUE"""),"SPR/07/25/070")</f>
        <v>SPR/07/25/070</v>
      </c>
      <c r="L2264" s="13">
        <f>IFERROR(__xludf.DUMMYFUNCTION("""COMPUTED_VALUE"""),45863.0)</f>
        <v>45863</v>
      </c>
    </row>
    <row r="2265">
      <c r="A2265" s="6" t="str">
        <f>IFERROR(__xludf.DUMMYFUNCTION("""COMPUTED_VALUE"""),"ANO")</f>
        <v>ANO</v>
      </c>
      <c r="B2265" s="6" t="str">
        <f>IFERROR(__xludf.DUMMYFUNCTION("""COMPUTED_VALUE"""),"ENG")</f>
        <v>ENG</v>
      </c>
      <c r="C2265" s="6" t="str">
        <f>IFERROR(__xludf.DUMMYFUNCTION("""COMPUTED_VALUE"""),"P-52569-00")</f>
        <v>P-52569-00</v>
      </c>
      <c r="D2265" s="6" t="str">
        <f>IFERROR(__xludf.DUMMYFUNCTION("""COMPUTED_VALUE"""),"Limit Switch LX19-001 250 VAC; ; ;")</f>
        <v>Limit Switch LX19-001 250 VAC; ; ;</v>
      </c>
      <c r="E2265" s="6">
        <f>IFERROR(__xludf.DUMMYFUNCTION("""COMPUTED_VALUE"""),1.0)</f>
        <v>1</v>
      </c>
      <c r="F2265" s="6">
        <f>IFERROR(__xludf.DUMMYFUNCTION("""COMPUTED_VALUE"""),1.0)</f>
        <v>1</v>
      </c>
      <c r="G2265" s="6">
        <f>IFERROR(__xludf.DUMMYFUNCTION("""COMPUTED_VALUE"""),0.0)</f>
        <v>0</v>
      </c>
      <c r="H2265" s="6" t="str">
        <f>IFERROR(__xludf.DUMMYFUNCTION("""COMPUTED_VALUE"""),"Pcs")</f>
        <v>Pcs</v>
      </c>
      <c r="I2265" s="6" t="str">
        <f>IFERROR(__xludf.DUMMYFUNCTION("""COMPUTED_VALUE"""),"MFH")</f>
        <v>MFH</v>
      </c>
      <c r="J2265" s="6" t="str">
        <f>IFERROR(__xludf.DUMMYFUNCTION("""COMPUTED_VALUE"""),"Dry lab")</f>
        <v>Dry lab</v>
      </c>
      <c r="K2265" s="6" t="str">
        <f>IFERROR(__xludf.DUMMYFUNCTION("""COMPUTED_VALUE"""),"SPR/07/25/071")</f>
        <v>SPR/07/25/071</v>
      </c>
      <c r="L2265" s="13">
        <f>IFERROR(__xludf.DUMMYFUNCTION("""COMPUTED_VALUE"""),45863.0)</f>
        <v>45863</v>
      </c>
    </row>
    <row r="2266">
      <c r="A2266" s="6" t="str">
        <f>IFERROR(__xludf.DUMMYFUNCTION("""COMPUTED_VALUE"""),"ROS")</f>
        <v>ROS</v>
      </c>
      <c r="B2266" s="6" t="str">
        <f>IFERROR(__xludf.DUMMYFUNCTION("""COMPUTED_VALUE"""),"ENG")</f>
        <v>ENG</v>
      </c>
      <c r="C2266" s="6" t="str">
        <f>IFERROR(__xludf.DUMMYFUNCTION("""COMPUTED_VALUE"""),"-")</f>
        <v>-</v>
      </c>
      <c r="D2266" s="6" t="str">
        <f>IFERROR(__xludf.DUMMYFUNCTION("""COMPUTED_VALUE"""),"MUR UNUT M3")</f>
        <v>MUR UNUT M3</v>
      </c>
      <c r="E2266" s="6">
        <f>IFERROR(__xludf.DUMMYFUNCTION("""COMPUTED_VALUE"""),2.0)</f>
        <v>2</v>
      </c>
      <c r="F2266" s="6">
        <f>IFERROR(__xludf.DUMMYFUNCTION("""COMPUTED_VALUE"""),2.0)</f>
        <v>2</v>
      </c>
      <c r="G2266" s="6">
        <f>IFERROR(__xludf.DUMMYFUNCTION("""COMPUTED_VALUE"""),0.0)</f>
        <v>0</v>
      </c>
      <c r="H2266" s="6" t="str">
        <f>IFERROR(__xludf.DUMMYFUNCTION("""COMPUTED_VALUE"""),"Pcs")</f>
        <v>Pcs</v>
      </c>
      <c r="I2266" s="6" t="str">
        <f>IFERROR(__xludf.DUMMYFUNCTION("""COMPUTED_VALUE"""),"MFH")</f>
        <v>MFH</v>
      </c>
      <c r="J2266" s="6" t="str">
        <f>IFERROR(__xludf.DUMMYFUNCTION("""COMPUTED_VALUE"""),"Capping")</f>
        <v>Capping</v>
      </c>
      <c r="K2266" s="6" t="str">
        <f>IFERROR(__xludf.DUMMYFUNCTION("""COMPUTED_VALUE"""),"SPR/07/25/066")</f>
        <v>SPR/07/25/066</v>
      </c>
      <c r="L2266" s="13">
        <f>IFERROR(__xludf.DUMMYFUNCTION("""COMPUTED_VALUE"""),45863.0)</f>
        <v>45863</v>
      </c>
    </row>
    <row r="2267">
      <c r="A2267" s="6" t="str">
        <f>IFERROR(__xludf.DUMMYFUNCTION("""COMPUTED_VALUE"""),"ROS")</f>
        <v>ROS</v>
      </c>
      <c r="B2267" s="6" t="str">
        <f>IFERROR(__xludf.DUMMYFUNCTION("""COMPUTED_VALUE"""),"ENG")</f>
        <v>ENG</v>
      </c>
      <c r="C2267" s="6" t="str">
        <f>IFERROR(__xludf.DUMMYFUNCTION("""COMPUTED_VALUE"""),"T-12045-00")</f>
        <v>T-12045-00</v>
      </c>
      <c r="D2267" s="6" t="str">
        <f>IFERROR(__xludf.DUMMYFUNCTION("""COMPUTED_VALUE"""),"Hard disk Desktop Internal Seagate 1TB SATA; Seagate; ;")</f>
        <v>Hard disk Desktop Internal Seagate 1TB SATA; Seagate; ;</v>
      </c>
      <c r="E2267" s="6">
        <f>IFERROR(__xludf.DUMMYFUNCTION("""COMPUTED_VALUE"""),1.0)</f>
        <v>1</v>
      </c>
      <c r="F2267" s="6">
        <f>IFERROR(__xludf.DUMMYFUNCTION("""COMPUTED_VALUE"""),1.0)</f>
        <v>1</v>
      </c>
      <c r="G2267" s="6">
        <f>IFERROR(__xludf.DUMMYFUNCTION("""COMPUTED_VALUE"""),0.0)</f>
        <v>0</v>
      </c>
      <c r="H2267" s="6" t="str">
        <f>IFERROR(__xludf.DUMMYFUNCTION("""COMPUTED_VALUE"""),"Pcs")</f>
        <v>Pcs</v>
      </c>
      <c r="I2267" s="6" t="str">
        <f>IFERROR(__xludf.DUMMYFUNCTION("""COMPUTED_VALUE"""),"MFH")</f>
        <v>MFH</v>
      </c>
      <c r="J2267" s="6" t="str">
        <f>IFERROR(__xludf.DUMMYFUNCTION("""COMPUTED_VALUE"""),"Mixing")</f>
        <v>Mixing</v>
      </c>
      <c r="K2267" s="6" t="str">
        <f>IFERROR(__xludf.DUMMYFUNCTION("""COMPUTED_VALUE"""),"SPR/07/25/072")</f>
        <v>SPR/07/25/072</v>
      </c>
      <c r="L2267" s="13">
        <f>IFERROR(__xludf.DUMMYFUNCTION("""COMPUTED_VALUE"""),45863.0)</f>
        <v>45863</v>
      </c>
    </row>
    <row r="2268">
      <c r="A2268" s="6" t="str">
        <f>IFERROR(__xludf.DUMMYFUNCTION("""COMPUTED_VALUE"""),"ROS")</f>
        <v>ROS</v>
      </c>
      <c r="B2268" s="6" t="str">
        <f>IFERROR(__xludf.DUMMYFUNCTION("""COMPUTED_VALUE"""),"ENG")</f>
        <v>ENG</v>
      </c>
      <c r="C2268" s="6" t="str">
        <f>IFERROR(__xludf.DUMMYFUNCTION("""COMPUTED_VALUE"""),"P-11175-00")</f>
        <v>P-11175-00</v>
      </c>
      <c r="D2268" s="6" t="str">
        <f>IFERROR(__xludf.DUMMYFUNCTION("""COMPUTED_VALUE"""),"Pneumatic  Fitting - QS 10-8 / PN : 153039 / Festo")</f>
        <v>Pneumatic  Fitting - QS 10-8 / PN : 153039 / Festo</v>
      </c>
      <c r="E2268" s="6">
        <f>IFERROR(__xludf.DUMMYFUNCTION("""COMPUTED_VALUE"""),2.0)</f>
        <v>2</v>
      </c>
      <c r="F2268" s="6">
        <f>IFERROR(__xludf.DUMMYFUNCTION("""COMPUTED_VALUE"""),2.0)</f>
        <v>2</v>
      </c>
      <c r="G2268" s="6">
        <f>IFERROR(__xludf.DUMMYFUNCTION("""COMPUTED_VALUE"""),0.0)</f>
        <v>0</v>
      </c>
      <c r="H2268" s="6" t="str">
        <f>IFERROR(__xludf.DUMMYFUNCTION("""COMPUTED_VALUE"""),"Pcs")</f>
        <v>Pcs</v>
      </c>
      <c r="I2268" s="6" t="str">
        <f>IFERROR(__xludf.DUMMYFUNCTION("""COMPUTED_VALUE"""),"MFH")</f>
        <v>MFH</v>
      </c>
      <c r="J2268" s="6" t="str">
        <f>IFERROR(__xludf.DUMMYFUNCTION("""COMPUTED_VALUE"""),"Coating")</f>
        <v>Coating</v>
      </c>
      <c r="K2268" s="6" t="str">
        <f>IFERROR(__xludf.DUMMYFUNCTION("""COMPUTED_VALUE"""),"SPR/07/25/072")</f>
        <v>SPR/07/25/072</v>
      </c>
      <c r="L2268" s="13">
        <f>IFERROR(__xludf.DUMMYFUNCTION("""COMPUTED_VALUE"""),45863.0)</f>
        <v>45863</v>
      </c>
    </row>
    <row r="2269">
      <c r="A2269" s="6" t="str">
        <f>IFERROR(__xludf.DUMMYFUNCTION("""COMPUTED_VALUE"""),"RIA")</f>
        <v>RIA</v>
      </c>
      <c r="B2269" s="6" t="str">
        <f>IFERROR(__xludf.DUMMYFUNCTION("""COMPUTED_VALUE"""),"ENG")</f>
        <v>ENG</v>
      </c>
      <c r="C2269" s="6" t="str">
        <f>IFERROR(__xludf.DUMMYFUNCTION("""COMPUTED_VALUE"""),"P-11175-00")</f>
        <v>P-11175-00</v>
      </c>
      <c r="D2269" s="6" t="str">
        <f>IFERROR(__xludf.DUMMYFUNCTION("""COMPUTED_VALUE"""),"Pneumatic  Fitting - QS 10-8 / PN : 153039 / Festo")</f>
        <v>Pneumatic  Fitting - QS 10-8 / PN : 153039 / Festo</v>
      </c>
      <c r="E2269" s="6">
        <f>IFERROR(__xludf.DUMMYFUNCTION("""COMPUTED_VALUE"""),1.0)</f>
        <v>1</v>
      </c>
      <c r="F2269" s="6">
        <f>IFERROR(__xludf.DUMMYFUNCTION("""COMPUTED_VALUE"""),1.0)</f>
        <v>1</v>
      </c>
      <c r="G2269" s="6">
        <f>IFERROR(__xludf.DUMMYFUNCTION("""COMPUTED_VALUE"""),0.0)</f>
        <v>0</v>
      </c>
      <c r="H2269" s="6" t="str">
        <f>IFERROR(__xludf.DUMMYFUNCTION("""COMPUTED_VALUE"""),"Pcs")</f>
        <v>Pcs</v>
      </c>
      <c r="I2269" s="6" t="str">
        <f>IFERROR(__xludf.DUMMYFUNCTION("""COMPUTED_VALUE"""),"MFH")</f>
        <v>MFH</v>
      </c>
      <c r="J2269" s="6" t="str">
        <f>IFERROR(__xludf.DUMMYFUNCTION("""COMPUTED_VALUE"""),"-")</f>
        <v>-</v>
      </c>
      <c r="K2269" s="6" t="str">
        <f>IFERROR(__xludf.DUMMYFUNCTION("""COMPUTED_VALUE"""),"SPR/07/25/073")</f>
        <v>SPR/07/25/073</v>
      </c>
      <c r="L2269" s="13">
        <f>IFERROR(__xludf.DUMMYFUNCTION("""COMPUTED_VALUE"""),45863.0)</f>
        <v>45863</v>
      </c>
    </row>
    <row r="2270">
      <c r="A2270" s="6" t="str">
        <f>IFERROR(__xludf.DUMMYFUNCTION("""COMPUTED_VALUE"""),"RIA")</f>
        <v>RIA</v>
      </c>
      <c r="B2270" s="6" t="str">
        <f>IFERROR(__xludf.DUMMYFUNCTION("""COMPUTED_VALUE"""),"ENG")</f>
        <v>ENG</v>
      </c>
      <c r="C2270" s="6" t="str">
        <f>IFERROR(__xludf.DUMMYFUNCTION("""COMPUTED_VALUE"""),"P-11185-00")</f>
        <v>P-11185-00</v>
      </c>
      <c r="D2270" s="6" t="str">
        <f>IFERROR(__xludf.DUMMYFUNCTION("""COMPUTED_VALUE"""),"Pneumatic Fitting - QS 8-6 / Festo")</f>
        <v>Pneumatic Fitting - QS 8-6 / Festo</v>
      </c>
      <c r="E2270" s="6">
        <f>IFERROR(__xludf.DUMMYFUNCTION("""COMPUTED_VALUE"""),1.0)</f>
        <v>1</v>
      </c>
      <c r="F2270" s="6">
        <f>IFERROR(__xludf.DUMMYFUNCTION("""COMPUTED_VALUE"""),1.0)</f>
        <v>1</v>
      </c>
      <c r="G2270" s="6">
        <f>IFERROR(__xludf.DUMMYFUNCTION("""COMPUTED_VALUE"""),0.0)</f>
        <v>0</v>
      </c>
      <c r="H2270" s="6" t="str">
        <f>IFERROR(__xludf.DUMMYFUNCTION("""COMPUTED_VALUE"""),"Pcs")</f>
        <v>Pcs</v>
      </c>
      <c r="I2270" s="6" t="str">
        <f>IFERROR(__xludf.DUMMYFUNCTION("""COMPUTED_VALUE"""),"MFH")</f>
        <v>MFH</v>
      </c>
      <c r="J2270" s="6" t="str">
        <f>IFERROR(__xludf.DUMMYFUNCTION("""COMPUTED_VALUE"""),"-")</f>
        <v>-</v>
      </c>
      <c r="K2270" s="6" t="str">
        <f>IFERROR(__xludf.DUMMYFUNCTION("""COMPUTED_VALUE"""),"SPR/07/25/073")</f>
        <v>SPR/07/25/073</v>
      </c>
      <c r="L2270" s="13">
        <f>IFERROR(__xludf.DUMMYFUNCTION("""COMPUTED_VALUE"""),45863.0)</f>
        <v>45863</v>
      </c>
    </row>
    <row r="2271">
      <c r="A2271" s="6" t="str">
        <f>IFERROR(__xludf.DUMMYFUNCTION("""COMPUTED_VALUE"""),"ANO")</f>
        <v>ANO</v>
      </c>
      <c r="B2271" s="6" t="str">
        <f>IFERROR(__xludf.DUMMYFUNCTION("""COMPUTED_VALUE"""),"ENG")</f>
        <v>ENG</v>
      </c>
      <c r="C2271" s="6" t="str">
        <f>IFERROR(__xludf.DUMMYFUNCTION("""COMPUTED_VALUE"""),"Q-10249-00")</f>
        <v>Q-10249-00</v>
      </c>
      <c r="D2271" s="6" t="str">
        <f>IFERROR(__xludf.DUMMYFUNCTION("""COMPUTED_VALUE"""),"Lem Power Glue; ; ;")</f>
        <v>Lem Power Glue; ; ;</v>
      </c>
      <c r="E2271" s="6">
        <f>IFERROR(__xludf.DUMMYFUNCTION("""COMPUTED_VALUE"""),2.0)</f>
        <v>2</v>
      </c>
      <c r="F2271" s="6">
        <f>IFERROR(__xludf.DUMMYFUNCTION("""COMPUTED_VALUE"""),2.0)</f>
        <v>2</v>
      </c>
      <c r="G2271" s="6">
        <f>IFERROR(__xludf.DUMMYFUNCTION("""COMPUTED_VALUE"""),0.0)</f>
        <v>0</v>
      </c>
      <c r="H2271" s="6" t="str">
        <f>IFERROR(__xludf.DUMMYFUNCTION("""COMPUTED_VALUE"""),"Pcs")</f>
        <v>Pcs</v>
      </c>
      <c r="I2271" s="6" t="str">
        <f>IFERROR(__xludf.DUMMYFUNCTION("""COMPUTED_VALUE"""),"MFH")</f>
        <v>MFH</v>
      </c>
      <c r="J2271" s="6" t="str">
        <f>IFERROR(__xludf.DUMMYFUNCTION("""COMPUTED_VALUE"""),"Gerinda")</f>
        <v>Gerinda</v>
      </c>
      <c r="K2271" s="6" t="str">
        <f>IFERROR(__xludf.DUMMYFUNCTION("""COMPUTED_VALUE"""),"SPR/07/25/074")</f>
        <v>SPR/07/25/074</v>
      </c>
      <c r="L2271" s="13">
        <f>IFERROR(__xludf.DUMMYFUNCTION("""COMPUTED_VALUE"""),45863.0)</f>
        <v>45863</v>
      </c>
    </row>
    <row r="2272">
      <c r="A2272" s="6" t="str">
        <f>IFERROR(__xludf.DUMMYFUNCTION("""COMPUTED_VALUE"""),"ROS")</f>
        <v>ROS</v>
      </c>
      <c r="B2272" s="6" t="str">
        <f>IFERROR(__xludf.DUMMYFUNCTION("""COMPUTED_VALUE"""),"ENG")</f>
        <v>ENG</v>
      </c>
      <c r="C2272" s="6" t="str">
        <f>IFERROR(__xludf.DUMMYFUNCTION("""COMPUTED_VALUE"""),"P-17361-00")</f>
        <v>P-17361-00</v>
      </c>
      <c r="D2272" s="6" t="str">
        <f>IFERROR(__xludf.DUMMYFUNCTION("""COMPUTED_VALUE"""),"Oring EPDM 15x9x3 mm")</f>
        <v>Oring EPDM 15x9x3 mm</v>
      </c>
      <c r="E2272" s="6">
        <f>IFERROR(__xludf.DUMMYFUNCTION("""COMPUTED_VALUE"""),10.0)</f>
        <v>10</v>
      </c>
      <c r="F2272" s="6">
        <f>IFERROR(__xludf.DUMMYFUNCTION("""COMPUTED_VALUE"""),10.0)</f>
        <v>10</v>
      </c>
      <c r="G2272" s="6">
        <f>IFERROR(__xludf.DUMMYFUNCTION("""COMPUTED_VALUE"""),0.0)</f>
        <v>0</v>
      </c>
      <c r="H2272" s="6" t="str">
        <f>IFERROR(__xludf.DUMMYFUNCTION("""COMPUTED_VALUE"""),"Pcs")</f>
        <v>Pcs</v>
      </c>
      <c r="I2272" s="6" t="str">
        <f>IFERROR(__xludf.DUMMYFUNCTION("""COMPUTED_VALUE"""),"MFH")</f>
        <v>MFH</v>
      </c>
      <c r="J2272" s="6" t="str">
        <f>IFERROR(__xludf.DUMMYFUNCTION("""COMPUTED_VALUE"""),"Autocleve")</f>
        <v>Autocleve</v>
      </c>
      <c r="K2272" s="6" t="str">
        <f>IFERROR(__xludf.DUMMYFUNCTION("""COMPUTED_VALUE"""),"SPR/07/25/075")</f>
        <v>SPR/07/25/075</v>
      </c>
      <c r="L2272" s="13">
        <f>IFERROR(__xludf.DUMMYFUNCTION("""COMPUTED_VALUE"""),45863.0)</f>
        <v>45863</v>
      </c>
    </row>
    <row r="2273">
      <c r="A2273" s="6" t="str">
        <f>IFERROR(__xludf.DUMMYFUNCTION("""COMPUTED_VALUE"""),"ROS")</f>
        <v>ROS</v>
      </c>
      <c r="B2273" s="6" t="str">
        <f>IFERROR(__xludf.DUMMYFUNCTION("""COMPUTED_VALUE"""),"ENG")</f>
        <v>ENG</v>
      </c>
      <c r="C2273" s="6" t="str">
        <f>IFERROR(__xludf.DUMMYFUNCTION("""COMPUTED_VALUE"""),"P-17359-00")</f>
        <v>P-17359-00</v>
      </c>
      <c r="D2273" s="6" t="str">
        <f>IFERROR(__xludf.DUMMYFUNCTION("""COMPUTED_VALUE"""),"O-ring EPDM 41.5 x 35 x 3.5 mm ; Brand : - ; P/N : - ; Pack Size : pcs")</f>
        <v>O-ring EPDM 41.5 x 35 x 3.5 mm ; Brand : - ; P/N : - ; Pack Size : pcs</v>
      </c>
      <c r="E2273" s="6">
        <f>IFERROR(__xludf.DUMMYFUNCTION("""COMPUTED_VALUE"""),1.0)</f>
        <v>1</v>
      </c>
      <c r="F2273" s="6">
        <f>IFERROR(__xludf.DUMMYFUNCTION("""COMPUTED_VALUE"""),1.0)</f>
        <v>1</v>
      </c>
      <c r="G2273" s="6">
        <f>IFERROR(__xludf.DUMMYFUNCTION("""COMPUTED_VALUE"""),0.0)</f>
        <v>0</v>
      </c>
      <c r="H2273" s="6" t="str">
        <f>IFERROR(__xludf.DUMMYFUNCTION("""COMPUTED_VALUE"""),"Pcs")</f>
        <v>Pcs</v>
      </c>
      <c r="I2273" s="6" t="str">
        <f>IFERROR(__xludf.DUMMYFUNCTION("""COMPUTED_VALUE"""),"MFH")</f>
        <v>MFH</v>
      </c>
      <c r="J2273" s="6" t="str">
        <f>IFERROR(__xludf.DUMMYFUNCTION("""COMPUTED_VALUE"""),"Autoclave")</f>
        <v>Autoclave</v>
      </c>
      <c r="K2273" s="6" t="str">
        <f>IFERROR(__xludf.DUMMYFUNCTION("""COMPUTED_VALUE"""),"SPR/07/25/075")</f>
        <v>SPR/07/25/075</v>
      </c>
      <c r="L2273" s="13">
        <f>IFERROR(__xludf.DUMMYFUNCTION("""COMPUTED_VALUE"""),45863.0)</f>
        <v>45863</v>
      </c>
    </row>
    <row r="2274">
      <c r="A2274" s="6" t="str">
        <f>IFERROR(__xludf.DUMMYFUNCTION("""COMPUTED_VALUE"""),"ROS")</f>
        <v>ROS</v>
      </c>
      <c r="B2274" s="6" t="str">
        <f>IFERROR(__xludf.DUMMYFUNCTION("""COMPUTED_VALUE"""),"ENG")</f>
        <v>ENG</v>
      </c>
      <c r="C2274" s="6" t="str">
        <f>IFERROR(__xludf.DUMMYFUNCTION("""COMPUTED_VALUE"""),"O-16731-00")</f>
        <v>O-16731-00</v>
      </c>
      <c r="D2274" s="6" t="str">
        <f>IFERROR(__xludf.DUMMYFUNCTION("""COMPUTED_VALUE"""),"Autoclave Fedegari FVA2/A1 NB2963AT - KIT Ricambi Valv. DN10 ON-OFF p/n: KK000301")</f>
        <v>Autoclave Fedegari FVA2/A1 NB2963AT - KIT Ricambi Valv. DN10 ON-OFF p/n: KK000301</v>
      </c>
      <c r="E2274" s="6">
        <f>IFERROR(__xludf.DUMMYFUNCTION("""COMPUTED_VALUE"""),2.0)</f>
        <v>2</v>
      </c>
      <c r="F2274" s="6">
        <f>IFERROR(__xludf.DUMMYFUNCTION("""COMPUTED_VALUE"""),2.0)</f>
        <v>2</v>
      </c>
      <c r="G2274" s="6">
        <f>IFERROR(__xludf.DUMMYFUNCTION("""COMPUTED_VALUE"""),0.0)</f>
        <v>0</v>
      </c>
      <c r="H2274" s="6" t="str">
        <f>IFERROR(__xludf.DUMMYFUNCTION("""COMPUTED_VALUE"""),"Pcs")</f>
        <v>Pcs</v>
      </c>
      <c r="I2274" s="6" t="str">
        <f>IFERROR(__xludf.DUMMYFUNCTION("""COMPUTED_VALUE"""),"MFH")</f>
        <v>MFH</v>
      </c>
      <c r="J2274" s="6" t="str">
        <f>IFERROR(__xludf.DUMMYFUNCTION("""COMPUTED_VALUE"""),"Autoclave")</f>
        <v>Autoclave</v>
      </c>
      <c r="K2274" s="6" t="str">
        <f>IFERROR(__xludf.DUMMYFUNCTION("""COMPUTED_VALUE"""),"SPR/07/25/075")</f>
        <v>SPR/07/25/075</v>
      </c>
      <c r="L2274" s="13">
        <f>IFERROR(__xludf.DUMMYFUNCTION("""COMPUTED_VALUE"""),45863.0)</f>
        <v>45863</v>
      </c>
    </row>
    <row r="2275">
      <c r="A2275" s="6" t="str">
        <f>IFERROR(__xludf.DUMMYFUNCTION("""COMPUTED_VALUE"""),"ROS")</f>
        <v>ROS</v>
      </c>
      <c r="B2275" s="6" t="str">
        <f>IFERROR(__xludf.DUMMYFUNCTION("""COMPUTED_VALUE"""),"ENG")</f>
        <v>ENG</v>
      </c>
      <c r="C2275" s="6" t="str">
        <f>IFERROR(__xludf.DUMMYFUNCTION("""COMPUTED_VALUE"""),"O-16032-00")</f>
        <v>O-16032-00</v>
      </c>
      <c r="D2275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275" s="6">
        <f>IFERROR(__xludf.DUMMYFUNCTION("""COMPUTED_VALUE"""),1.0)</f>
        <v>1</v>
      </c>
      <c r="F2275" s="6">
        <f>IFERROR(__xludf.DUMMYFUNCTION("""COMPUTED_VALUE"""),1.0)</f>
        <v>1</v>
      </c>
      <c r="G2275" s="6">
        <f>IFERROR(__xludf.DUMMYFUNCTION("""COMPUTED_VALUE"""),0.0)</f>
        <v>0</v>
      </c>
      <c r="H2275" s="6" t="str">
        <f>IFERROR(__xludf.DUMMYFUNCTION("""COMPUTED_VALUE"""),"Pcs")</f>
        <v>Pcs</v>
      </c>
      <c r="I2275" s="6" t="str">
        <f>IFERROR(__xludf.DUMMYFUNCTION("""COMPUTED_VALUE"""),"MFH")</f>
        <v>MFH</v>
      </c>
      <c r="J2275" s="6" t="str">
        <f>IFERROR(__xludf.DUMMYFUNCTION("""COMPUTED_VALUE"""),"Crabs")</f>
        <v>Crabs</v>
      </c>
      <c r="K2275" s="6" t="str">
        <f>IFERROR(__xludf.DUMMYFUNCTION("""COMPUTED_VALUE"""),"SPR/07/25/076")</f>
        <v>SPR/07/25/076</v>
      </c>
      <c r="L2275" s="13">
        <f>IFERROR(__xludf.DUMMYFUNCTION("""COMPUTED_VALUE"""),45863.0)</f>
        <v>45863</v>
      </c>
    </row>
    <row r="2276">
      <c r="A2276" s="6" t="str">
        <f>IFERROR(__xludf.DUMMYFUNCTION("""COMPUTED_VALUE"""),"ROS")</f>
        <v>ROS</v>
      </c>
      <c r="B2276" s="6" t="str">
        <f>IFERROR(__xludf.DUMMYFUNCTION("""COMPUTED_VALUE"""),"ENG")</f>
        <v>ENG</v>
      </c>
      <c r="C2276" s="6" t="str">
        <f>IFERROR(__xludf.DUMMYFUNCTION("""COMPUTED_VALUE"""),"O-15726-00")</f>
        <v>O-15726-00</v>
      </c>
      <c r="D2276" s="6" t="str">
        <f>IFERROR(__xludf.DUMMYFUNCTION("""COMPUTED_VALUE"""),"VACUUM KIT SEAL; part number KK000315")</f>
        <v>VACUUM KIT SEAL; part number KK000315</v>
      </c>
      <c r="E2276" s="6">
        <f>IFERROR(__xludf.DUMMYFUNCTION("""COMPUTED_VALUE"""),1.0)</f>
        <v>1</v>
      </c>
      <c r="F2276" s="6">
        <f>IFERROR(__xludf.DUMMYFUNCTION("""COMPUTED_VALUE"""),1.0)</f>
        <v>1</v>
      </c>
      <c r="G2276" s="6">
        <f>IFERROR(__xludf.DUMMYFUNCTION("""COMPUTED_VALUE"""),0.0)</f>
        <v>0</v>
      </c>
      <c r="H2276" s="6" t="str">
        <f>IFERROR(__xludf.DUMMYFUNCTION("""COMPUTED_VALUE"""),"Pcs")</f>
        <v>Pcs</v>
      </c>
      <c r="I2276" s="6" t="str">
        <f>IFERROR(__xludf.DUMMYFUNCTION("""COMPUTED_VALUE"""),"MFH")</f>
        <v>MFH</v>
      </c>
      <c r="J2276" s="6" t="str">
        <f>IFERROR(__xludf.DUMMYFUNCTION("""COMPUTED_VALUE"""),"Autoclave ")</f>
        <v>Autoclave </v>
      </c>
      <c r="K2276" s="6" t="str">
        <f>IFERROR(__xludf.DUMMYFUNCTION("""COMPUTED_VALUE"""),"SPR/07/25/077")</f>
        <v>SPR/07/25/077</v>
      </c>
      <c r="L2276" s="13">
        <f>IFERROR(__xludf.DUMMYFUNCTION("""COMPUTED_VALUE"""),45863.0)</f>
        <v>45863</v>
      </c>
    </row>
    <row r="2277">
      <c r="A2277" s="6" t="str">
        <f>IFERROR(__xludf.DUMMYFUNCTION("""COMPUTED_VALUE"""),"ROS")</f>
        <v>ROS</v>
      </c>
      <c r="B2277" s="6" t="str">
        <f>IFERROR(__xludf.DUMMYFUNCTION("""COMPUTED_VALUE"""),"ENG")</f>
        <v>ENG</v>
      </c>
      <c r="C2277" s="6" t="str">
        <f>IFERROR(__xludf.DUMMYFUNCTION("""COMPUTED_VALUE"""),"P-51894-00")</f>
        <v>P-51894-00</v>
      </c>
      <c r="D2277" s="6" t="str">
        <f>IFERROR(__xludf.DUMMYFUNCTION("""COMPUTED_VALUE"""),"Philips - Lampu TLD 18W/840 Bright Boost Cool White; ; ;")</f>
        <v>Philips - Lampu TLD 18W/840 Bright Boost Cool White; ; ;</v>
      </c>
      <c r="E2277" s="6">
        <f>IFERROR(__xludf.DUMMYFUNCTION("""COMPUTED_VALUE"""),1.0)</f>
        <v>1</v>
      </c>
      <c r="F2277" s="6">
        <f>IFERROR(__xludf.DUMMYFUNCTION("""COMPUTED_VALUE"""),1.0)</f>
        <v>1</v>
      </c>
      <c r="G2277" s="6">
        <f>IFERROR(__xludf.DUMMYFUNCTION("""COMPUTED_VALUE"""),0.0)</f>
        <v>0</v>
      </c>
      <c r="H2277" s="6" t="str">
        <f>IFERROR(__xludf.DUMMYFUNCTION("""COMPUTED_VALUE"""),"Pcs")</f>
        <v>Pcs</v>
      </c>
      <c r="I2277" s="6" t="str">
        <f>IFERROR(__xludf.DUMMYFUNCTION("""COMPUTED_VALUE"""),"MFH")</f>
        <v>MFH</v>
      </c>
      <c r="J2277" s="6" t="str">
        <f>IFERROR(__xludf.DUMMYFUNCTION("""COMPUTED_VALUE"""),"Edm")</f>
        <v>Edm</v>
      </c>
      <c r="K2277" s="6" t="str">
        <f>IFERROR(__xludf.DUMMYFUNCTION("""COMPUTED_VALUE"""),"SPR/07/25/077")</f>
        <v>SPR/07/25/077</v>
      </c>
      <c r="L2277" s="13">
        <f>IFERROR(__xludf.DUMMYFUNCTION("""COMPUTED_VALUE"""),45863.0)</f>
        <v>45863</v>
      </c>
    </row>
    <row r="2278">
      <c r="A2278" s="6" t="str">
        <f>IFERROR(__xludf.DUMMYFUNCTION("""COMPUTED_VALUE"""),"INN")</f>
        <v>INN</v>
      </c>
      <c r="B2278" s="6" t="str">
        <f>IFERROR(__xludf.DUMMYFUNCTION("""COMPUTED_VALUE"""),"ENG")</f>
        <v>ENG</v>
      </c>
      <c r="C2278" s="6" t="str">
        <f>IFERROR(__xludf.DUMMYFUNCTION("""COMPUTED_VALUE"""),"O-19678-00")</f>
        <v>O-19678-00</v>
      </c>
      <c r="D2278" s="6" t="str">
        <f>IFERROR(__xludf.DUMMYFUNCTION("""COMPUTED_VALUE"""),"Printhead Engine 60 Micron; ; P/N : 399-422;")</f>
        <v>Printhead Engine 60 Micron; ; P/N : 399-422;</v>
      </c>
      <c r="E2278" s="6">
        <f>IFERROR(__xludf.DUMMYFUNCTION("""COMPUTED_VALUE"""),1.0)</f>
        <v>1</v>
      </c>
      <c r="F2278" s="6">
        <f>IFERROR(__xludf.DUMMYFUNCTION("""COMPUTED_VALUE"""),1.0)</f>
        <v>1</v>
      </c>
      <c r="G2278" s="6">
        <f>IFERROR(__xludf.DUMMYFUNCTION("""COMPUTED_VALUE"""),0.0)</f>
        <v>0</v>
      </c>
      <c r="H2278" s="6" t="str">
        <f>IFERROR(__xludf.DUMMYFUNCTION("""COMPUTED_VALUE"""),"Pcs")</f>
        <v>Pcs</v>
      </c>
      <c r="I2278" s="6" t="str">
        <f>IFERROR(__xludf.DUMMYFUNCTION("""COMPUTED_VALUE"""),"MFH")</f>
        <v>MFH</v>
      </c>
      <c r="J2278" s="6" t="str">
        <f>IFERROR(__xludf.DUMMYFUNCTION("""COMPUTED_VALUE"""),"Videojet")</f>
        <v>Videojet</v>
      </c>
      <c r="K2278" s="6" t="str">
        <f>IFERROR(__xludf.DUMMYFUNCTION("""COMPUTED_VALUE"""),"SPR/07/25/078")</f>
        <v>SPR/07/25/078</v>
      </c>
      <c r="L2278" s="13">
        <f>IFERROR(__xludf.DUMMYFUNCTION("""COMPUTED_VALUE"""),45863.0)</f>
        <v>45863</v>
      </c>
    </row>
    <row r="2279">
      <c r="A2279" s="6" t="str">
        <f>IFERROR(__xludf.DUMMYFUNCTION("""COMPUTED_VALUE"""),"ANO")</f>
        <v>ANO</v>
      </c>
      <c r="B2279" s="6" t="str">
        <f>IFERROR(__xludf.DUMMYFUNCTION("""COMPUTED_VALUE"""),"ENG")</f>
        <v>ENG</v>
      </c>
      <c r="C2279" s="6" t="str">
        <f>IFERROR(__xludf.DUMMYFUNCTION("""COMPUTED_VALUE"""),"P-11356-00")</f>
        <v>P-11356-00</v>
      </c>
      <c r="D2279" s="6" t="str">
        <f>IFERROR(__xludf.DUMMYFUNCTION("""COMPUTED_VALUE"""),"Roda Trolly ABUS 4"" ( 100 x 27 ) Without Breake")</f>
        <v>Roda Trolly ABUS 4" ( 100 x 27 ) Without Breake</v>
      </c>
      <c r="E2279" s="6">
        <f>IFERROR(__xludf.DUMMYFUNCTION("""COMPUTED_VALUE"""),4.0)</f>
        <v>4</v>
      </c>
      <c r="F2279" s="6">
        <f>IFERROR(__xludf.DUMMYFUNCTION("""COMPUTED_VALUE"""),4.0)</f>
        <v>4</v>
      </c>
      <c r="G2279" s="6">
        <f>IFERROR(__xludf.DUMMYFUNCTION("""COMPUTED_VALUE"""),0.0)</f>
        <v>0</v>
      </c>
      <c r="H2279" s="6" t="str">
        <f>IFERROR(__xludf.DUMMYFUNCTION("""COMPUTED_VALUE"""),"Pcs")</f>
        <v>Pcs</v>
      </c>
      <c r="I2279" s="6" t="str">
        <f>IFERROR(__xludf.DUMMYFUNCTION("""COMPUTED_VALUE"""),"MFH")</f>
        <v>MFH</v>
      </c>
      <c r="J2279" s="6" t="str">
        <f>IFERROR(__xludf.DUMMYFUNCTION("""COMPUTED_VALUE"""),"Troley poly bottle")</f>
        <v>Troley poly bottle</v>
      </c>
      <c r="K2279" s="6" t="str">
        <f>IFERROR(__xludf.DUMMYFUNCTION("""COMPUTED_VALUE"""),"SPR/08/25/001")</f>
        <v>SPR/08/25/001</v>
      </c>
      <c r="L2279" s="13">
        <f>IFERROR(__xludf.DUMMYFUNCTION("""COMPUTED_VALUE"""),45898.0)</f>
        <v>45898</v>
      </c>
    </row>
    <row r="2280">
      <c r="A2280" s="6" t="str">
        <f>IFERROR(__xludf.DUMMYFUNCTION("""COMPUTED_VALUE"""),"ANO")</f>
        <v>ANO</v>
      </c>
      <c r="B2280" s="6" t="str">
        <f>IFERROR(__xludf.DUMMYFUNCTION("""COMPUTED_VALUE"""),"ENG")</f>
        <v>ENG</v>
      </c>
      <c r="C2280" s="6" t="str">
        <f>IFERROR(__xludf.DUMMYFUNCTION("""COMPUTED_VALUE"""),"P-11694-00")</f>
        <v>P-11694-00</v>
      </c>
      <c r="D2280" s="6" t="str">
        <f>IFERROR(__xludf.DUMMYFUNCTION("""COMPUTED_VALUE"""),"Mata Gerinda 4""")</f>
        <v>Mata Gerinda 4"</v>
      </c>
      <c r="E2280" s="6">
        <f>IFERROR(__xludf.DUMMYFUNCTION("""COMPUTED_VALUE"""),3.0)</f>
        <v>3</v>
      </c>
      <c r="F2280" s="6">
        <f>IFERROR(__xludf.DUMMYFUNCTION("""COMPUTED_VALUE"""),3.0)</f>
        <v>3</v>
      </c>
      <c r="G2280" s="6">
        <f>IFERROR(__xludf.DUMMYFUNCTION("""COMPUTED_VALUE"""),0.0)</f>
        <v>0</v>
      </c>
      <c r="H2280" s="6" t="str">
        <f>IFERROR(__xludf.DUMMYFUNCTION("""COMPUTED_VALUE"""),"Pcs")</f>
        <v>Pcs</v>
      </c>
      <c r="I2280" s="6" t="str">
        <f>IFERROR(__xludf.DUMMYFUNCTION("""COMPUTED_VALUE"""),"MFH")</f>
        <v>MFH</v>
      </c>
      <c r="J2280" s="6" t="str">
        <f>IFERROR(__xludf.DUMMYFUNCTION("""COMPUTED_VALUE"""),"Trolley ")</f>
        <v>Trolley </v>
      </c>
      <c r="K2280" s="6" t="str">
        <f>IFERROR(__xludf.DUMMYFUNCTION("""COMPUTED_VALUE"""),"SPR/08/25/001")</f>
        <v>SPR/08/25/001</v>
      </c>
      <c r="L2280" s="13">
        <f>IFERROR(__xludf.DUMMYFUNCTION("""COMPUTED_VALUE"""),45898.0)</f>
        <v>45898</v>
      </c>
    </row>
    <row r="2281">
      <c r="A2281" s="6" t="str">
        <f>IFERROR(__xludf.DUMMYFUNCTION("""COMPUTED_VALUE"""),"PHL")</f>
        <v>PHL</v>
      </c>
      <c r="B2281" s="6" t="str">
        <f>IFERROR(__xludf.DUMMYFUNCTION("""COMPUTED_VALUE"""),"ENG")</f>
        <v>ENG</v>
      </c>
      <c r="C2281" s="6" t="str">
        <f>IFERROR(__xludf.DUMMYFUNCTION("""COMPUTED_VALUE"""),"P-17645-00")</f>
        <v>P-17645-00</v>
      </c>
      <c r="D2281" s="6" t="str">
        <f>IFERROR(__xludf.DUMMYFUNCTION("""COMPUTED_VALUE"""),"Sodium Hiphoclorite; ; ; ltr")</f>
        <v>Sodium Hiphoclorite; ; ; ltr</v>
      </c>
      <c r="E2281" s="6">
        <f>IFERROR(__xludf.DUMMYFUNCTION("""COMPUTED_VALUE"""),25.0)</f>
        <v>25</v>
      </c>
      <c r="F2281" s="6">
        <f>IFERROR(__xludf.DUMMYFUNCTION("""COMPUTED_VALUE"""),25.0)</f>
        <v>25</v>
      </c>
      <c r="G2281" s="6">
        <f>IFERROR(__xludf.DUMMYFUNCTION("""COMPUTED_VALUE"""),0.0)</f>
        <v>0</v>
      </c>
      <c r="H2281" s="6" t="str">
        <f>IFERROR(__xludf.DUMMYFUNCTION("""COMPUTED_VALUE"""),"L")</f>
        <v>L</v>
      </c>
      <c r="I2281" s="6" t="str">
        <f>IFERROR(__xludf.DUMMYFUNCTION("""COMPUTED_VALUE"""),"MFH")</f>
        <v>MFH</v>
      </c>
      <c r="J2281" s="6" t="str">
        <f>IFERROR(__xludf.DUMMYFUNCTION("""COMPUTED_VALUE"""),"Lab")</f>
        <v>Lab</v>
      </c>
      <c r="K2281" s="6" t="str">
        <f>IFERROR(__xludf.DUMMYFUNCTION("""COMPUTED_VALUE"""),"SPR/08/25/002")</f>
        <v>SPR/08/25/002</v>
      </c>
      <c r="L2281" s="13">
        <f>IFERROR(__xludf.DUMMYFUNCTION("""COMPUTED_VALUE"""),45898.0)</f>
        <v>45898</v>
      </c>
    </row>
    <row r="2282">
      <c r="A2282" s="6" t="str">
        <f>IFERROR(__xludf.DUMMYFUNCTION("""COMPUTED_VALUE"""),"MFH")</f>
        <v>MFH</v>
      </c>
      <c r="B2282" s="6" t="str">
        <f>IFERROR(__xludf.DUMMYFUNCTION("""COMPUTED_VALUE"""),"ENG")</f>
        <v>ENG</v>
      </c>
      <c r="C2282" s="6" t="str">
        <f>IFERROR(__xludf.DUMMYFUNCTION("""COMPUTED_VALUE"""),"P-53059-00")</f>
        <v>P-53059-00</v>
      </c>
      <c r="D2282" s="6" t="str">
        <f>IFERROR(__xludf.DUMMYFUNCTION("""COMPUTED_VALUE"""),"General - Mainboard Photometer 2I SN 23425 ATI P/N : 0400170")</f>
        <v>General - Mainboard Photometer 2I SN 23425 ATI P/N : 0400170</v>
      </c>
      <c r="E2282" s="6">
        <f>IFERROR(__xludf.DUMMYFUNCTION("""COMPUTED_VALUE"""),1.0)</f>
        <v>1</v>
      </c>
      <c r="F2282" s="6">
        <f>IFERROR(__xludf.DUMMYFUNCTION("""COMPUTED_VALUE"""),1.0)</f>
        <v>1</v>
      </c>
      <c r="G2282" s="6">
        <f>IFERROR(__xludf.DUMMYFUNCTION("""COMPUTED_VALUE"""),0.0)</f>
        <v>0</v>
      </c>
      <c r="H2282" s="6" t="str">
        <f>IFERROR(__xludf.DUMMYFUNCTION("""COMPUTED_VALUE"""),"Pcs")</f>
        <v>Pcs</v>
      </c>
      <c r="I2282" s="6" t="str">
        <f>IFERROR(__xludf.DUMMYFUNCTION("""COMPUTED_VALUE"""),"MFH")</f>
        <v>MFH</v>
      </c>
      <c r="J2282" s="6" t="str">
        <f>IFERROR(__xludf.DUMMYFUNCTION("""COMPUTED_VALUE"""),"Photometer")</f>
        <v>Photometer</v>
      </c>
      <c r="K2282" s="6" t="str">
        <f>IFERROR(__xludf.DUMMYFUNCTION("""COMPUTED_VALUE"""),"SPR/08/25/002")</f>
        <v>SPR/08/25/002</v>
      </c>
      <c r="L2282" s="13">
        <f>IFERROR(__xludf.DUMMYFUNCTION("""COMPUTED_VALUE"""),45898.0)</f>
        <v>45898</v>
      </c>
    </row>
    <row r="2283">
      <c r="A2283" s="6" t="str">
        <f>IFERROR(__xludf.DUMMYFUNCTION("""COMPUTED_VALUE"""),"MFH")</f>
        <v>MFH</v>
      </c>
      <c r="B2283" s="6" t="str">
        <f>IFERROR(__xludf.DUMMYFUNCTION("""COMPUTED_VALUE"""),"ENG")</f>
        <v>ENG</v>
      </c>
      <c r="C2283" s="6" t="str">
        <f>IFERROR(__xludf.DUMMYFUNCTION("""COMPUTED_VALUE"""),"O-19981-00")</f>
        <v>O-19981-00</v>
      </c>
      <c r="D2283" s="6" t="str">
        <f>IFERROR(__xludf.DUMMYFUNCTION("""COMPUTED_VALUE"""),"FD S/N MBE1207 - Proportional Directional Valve DSE3F-A08/11N-D12K1")</f>
        <v>FD S/N MBE1207 - Proportional Directional Valve DSE3F-A08/11N-D12K1</v>
      </c>
      <c r="E2283" s="6">
        <f>IFERROR(__xludf.DUMMYFUNCTION("""COMPUTED_VALUE"""),1.0)</f>
        <v>1</v>
      </c>
      <c r="F2283" s="6">
        <f>IFERROR(__xludf.DUMMYFUNCTION("""COMPUTED_VALUE"""),1.0)</f>
        <v>1</v>
      </c>
      <c r="G2283" s="6">
        <f>IFERROR(__xludf.DUMMYFUNCTION("""COMPUTED_VALUE"""),0.0)</f>
        <v>0</v>
      </c>
      <c r="H2283" s="6" t="str">
        <f>IFERROR(__xludf.DUMMYFUNCTION("""COMPUTED_VALUE"""),"Pcs")</f>
        <v>Pcs</v>
      </c>
      <c r="I2283" s="6" t="str">
        <f>IFERROR(__xludf.DUMMYFUNCTION("""COMPUTED_VALUE"""),"MFH")</f>
        <v>MFH</v>
      </c>
      <c r="J2283" s="6" t="str">
        <f>IFERROR(__xludf.DUMMYFUNCTION("""COMPUTED_VALUE"""),"FD")</f>
        <v>FD</v>
      </c>
      <c r="K2283" s="6" t="str">
        <f>IFERROR(__xludf.DUMMYFUNCTION("""COMPUTED_VALUE"""),"SPR/08/25/002")</f>
        <v>SPR/08/25/002</v>
      </c>
      <c r="L2283" s="13">
        <f>IFERROR(__xludf.DUMMYFUNCTION("""COMPUTED_VALUE"""),45898.0)</f>
        <v>45898</v>
      </c>
    </row>
    <row r="2284">
      <c r="A2284" s="6" t="str">
        <f>IFERROR(__xludf.DUMMYFUNCTION("""COMPUTED_VALUE"""),"SFH")</f>
        <v>SFH</v>
      </c>
      <c r="B2284" s="6" t="str">
        <f>IFERROR(__xludf.DUMMYFUNCTION("""COMPUTED_VALUE"""),"ENG")</f>
        <v>ENG</v>
      </c>
      <c r="C2284" s="6" t="str">
        <f>IFERROR(__xludf.DUMMYFUNCTION("""COMPUTED_VALUE"""),"P-53102-00")</f>
        <v>P-53102-00</v>
      </c>
      <c r="D2284" s="6" t="str">
        <f>IFERROR(__xludf.DUMMYFUNCTION("""COMPUTED_VALUE"""),"Lampu PLC 13watt/E27 Putih; Phillips; ;")</f>
        <v>Lampu PLC 13watt/E27 Putih; Phillips; ;</v>
      </c>
      <c r="E2284" s="6">
        <f>IFERROR(__xludf.DUMMYFUNCTION("""COMPUTED_VALUE"""),3.0)</f>
        <v>3</v>
      </c>
      <c r="F2284" s="6">
        <f>IFERROR(__xludf.DUMMYFUNCTION("""COMPUTED_VALUE"""),3.0)</f>
        <v>3</v>
      </c>
      <c r="G2284" s="6">
        <f>IFERROR(__xludf.DUMMYFUNCTION("""COMPUTED_VALUE"""),0.0)</f>
        <v>0</v>
      </c>
      <c r="H2284" s="6" t="str">
        <f>IFERROR(__xludf.DUMMYFUNCTION("""COMPUTED_VALUE"""),"Pcs")</f>
        <v>Pcs</v>
      </c>
      <c r="I2284" s="6" t="str">
        <f>IFERROR(__xludf.DUMMYFUNCTION("""COMPUTED_VALUE"""),"MFH")</f>
        <v>MFH</v>
      </c>
      <c r="J2284" s="6" t="str">
        <f>IFERROR(__xludf.DUMMYFUNCTION("""COMPUTED_VALUE"""),"Building")</f>
        <v>Building</v>
      </c>
      <c r="K2284" s="6" t="str">
        <f>IFERROR(__xludf.DUMMYFUNCTION("""COMPUTED_VALUE"""),"SPR/08/25/003")</f>
        <v>SPR/08/25/003</v>
      </c>
      <c r="L2284" s="13">
        <f>IFERROR(__xludf.DUMMYFUNCTION("""COMPUTED_VALUE"""),45898.0)</f>
        <v>45898</v>
      </c>
    </row>
    <row r="2285">
      <c r="A2285" s="6" t="str">
        <f>IFERROR(__xludf.DUMMYFUNCTION("""COMPUTED_VALUE"""),"ROS")</f>
        <v>ROS</v>
      </c>
      <c r="B2285" s="6" t="str">
        <f>IFERROR(__xludf.DUMMYFUNCTION("""COMPUTED_VALUE"""),"ENG")</f>
        <v>ENG</v>
      </c>
      <c r="C2285" s="6" t="str">
        <f>IFERROR(__xludf.DUMMYFUNCTION("""COMPUTED_VALUE"""),"-")</f>
        <v>-</v>
      </c>
      <c r="D2285" s="6" t="str">
        <f>IFERROR(__xludf.DUMMYFUNCTION("""COMPUTED_VALUE"""),"Seal on off actuator sedogan ")</f>
        <v>Seal on off actuator sedogan </v>
      </c>
      <c r="E2285" s="6">
        <f>IFERROR(__xludf.DUMMYFUNCTION("""COMPUTED_VALUE"""),1.0)</f>
        <v>1</v>
      </c>
      <c r="F2285" s="6">
        <f>IFERROR(__xludf.DUMMYFUNCTION("""COMPUTED_VALUE"""),1.0)</f>
        <v>1</v>
      </c>
      <c r="G2285" s="6">
        <f>IFERROR(__xludf.DUMMYFUNCTION("""COMPUTED_VALUE"""),0.0)</f>
        <v>0</v>
      </c>
      <c r="H2285" s="6" t="str">
        <f>IFERROR(__xludf.DUMMYFUNCTION("""COMPUTED_VALUE"""),"Pcs")</f>
        <v>Pcs</v>
      </c>
      <c r="I2285" s="6" t="str">
        <f>IFERROR(__xludf.DUMMYFUNCTION("""COMPUTED_VALUE"""),"MFH")</f>
        <v>MFH</v>
      </c>
      <c r="J2285" s="6" t="str">
        <f>IFERROR(__xludf.DUMMYFUNCTION("""COMPUTED_VALUE"""),"Service autoclave ")</f>
        <v>Service autoclave </v>
      </c>
      <c r="K2285" s="6" t="str">
        <f>IFERROR(__xludf.DUMMYFUNCTION("""COMPUTED_VALUE"""),"SPR/08/25/004")</f>
        <v>SPR/08/25/004</v>
      </c>
      <c r="L2285" s="13">
        <f>IFERROR(__xludf.DUMMYFUNCTION("""COMPUTED_VALUE"""),45898.0)</f>
        <v>45898</v>
      </c>
    </row>
    <row r="2286">
      <c r="A2286" s="6" t="str">
        <f>IFERROR(__xludf.DUMMYFUNCTION("""COMPUTED_VALUE"""),"SFH")</f>
        <v>SFH</v>
      </c>
      <c r="B2286" s="6" t="str">
        <f>IFERROR(__xludf.DUMMYFUNCTION("""COMPUTED_VALUE"""),"ENG")</f>
        <v>ENG</v>
      </c>
      <c r="C2286" s="6" t="str">
        <f>IFERROR(__xludf.DUMMYFUNCTION("""COMPUTED_VALUE"""),"Q-10134-00")</f>
        <v>Q-10134-00</v>
      </c>
      <c r="D2286" s="6" t="str">
        <f>IFERROR(__xludf.DUMMYFUNCTION("""COMPUTED_VALUE"""),"TOTO - Jet Shower spray TX 403S")</f>
        <v>TOTO - Jet Shower spray TX 403S</v>
      </c>
      <c r="E2286" s="6">
        <f>IFERROR(__xludf.DUMMYFUNCTION("""COMPUTED_VALUE"""),1.0)</f>
        <v>1</v>
      </c>
      <c r="F2286" s="6">
        <f>IFERROR(__xludf.DUMMYFUNCTION("""COMPUTED_VALUE"""),1.0)</f>
        <v>1</v>
      </c>
      <c r="G2286" s="6">
        <f>IFERROR(__xludf.DUMMYFUNCTION("""COMPUTED_VALUE"""),0.0)</f>
        <v>0</v>
      </c>
      <c r="H2286" s="6" t="str">
        <f>IFERROR(__xludf.DUMMYFUNCTION("""COMPUTED_VALUE"""),"Pcs")</f>
        <v>Pcs</v>
      </c>
      <c r="I2286" s="6" t="str">
        <f>IFERROR(__xludf.DUMMYFUNCTION("""COMPUTED_VALUE"""),"MFH")</f>
        <v>MFH</v>
      </c>
      <c r="J2286" s="6" t="str">
        <f>IFERROR(__xludf.DUMMYFUNCTION("""COMPUTED_VALUE"""),"Building")</f>
        <v>Building</v>
      </c>
      <c r="K2286" s="6" t="str">
        <f>IFERROR(__xludf.DUMMYFUNCTION("""COMPUTED_VALUE"""),"SPR/08/25/005")</f>
        <v>SPR/08/25/005</v>
      </c>
      <c r="L2286" s="13">
        <f>IFERROR(__xludf.DUMMYFUNCTION("""COMPUTED_VALUE"""),45898.0)</f>
        <v>45898</v>
      </c>
    </row>
    <row r="2287">
      <c r="A2287" s="6" t="str">
        <f>IFERROR(__xludf.DUMMYFUNCTION("""COMPUTED_VALUE"""),"SFH")</f>
        <v>SFH</v>
      </c>
      <c r="B2287" s="6" t="str">
        <f>IFERROR(__xludf.DUMMYFUNCTION("""COMPUTED_VALUE"""),"ENG")</f>
        <v>ENG</v>
      </c>
      <c r="C2287" s="6" t="str">
        <f>IFERROR(__xludf.DUMMYFUNCTION("""COMPUTED_VALUE"""),"P-51560-00")</f>
        <v>P-51560-00</v>
      </c>
      <c r="D2287" s="6" t="str">
        <f>IFERROR(__xludf.DUMMYFUNCTION("""COMPUTED_VALUE"""),"Lampu T5 28watt Putih; Phillips; ;")</f>
        <v>Lampu T5 28watt Putih; Phillips; ;</v>
      </c>
      <c r="E2287" s="6">
        <f>IFERROR(__xludf.DUMMYFUNCTION("""COMPUTED_VALUE"""),2.0)</f>
        <v>2</v>
      </c>
      <c r="F2287" s="6">
        <f>IFERROR(__xludf.DUMMYFUNCTION("""COMPUTED_VALUE"""),2.0)</f>
        <v>2</v>
      </c>
      <c r="G2287" s="6">
        <f>IFERROR(__xludf.DUMMYFUNCTION("""COMPUTED_VALUE"""),0.0)</f>
        <v>0</v>
      </c>
      <c r="H2287" s="6" t="str">
        <f>IFERROR(__xludf.DUMMYFUNCTION("""COMPUTED_VALUE"""),"Pcs")</f>
        <v>Pcs</v>
      </c>
      <c r="I2287" s="6" t="str">
        <f>IFERROR(__xludf.DUMMYFUNCTION("""COMPUTED_VALUE"""),"MFH")</f>
        <v>MFH</v>
      </c>
      <c r="J2287" s="6" t="str">
        <f>IFERROR(__xludf.DUMMYFUNCTION("""COMPUTED_VALUE"""),"Building ")</f>
        <v>Building </v>
      </c>
      <c r="K2287" s="6" t="str">
        <f>IFERROR(__xludf.DUMMYFUNCTION("""COMPUTED_VALUE"""),"SPR/08/25/005")</f>
        <v>SPR/08/25/005</v>
      </c>
      <c r="L2287" s="13">
        <f>IFERROR(__xludf.DUMMYFUNCTION("""COMPUTED_VALUE"""),45898.0)</f>
        <v>45898</v>
      </c>
    </row>
    <row r="2288">
      <c r="A2288" s="6" t="str">
        <f>IFERROR(__xludf.DUMMYFUNCTION("""COMPUTED_VALUE"""),"SFH ")</f>
        <v>SFH </v>
      </c>
      <c r="B2288" s="6" t="str">
        <f>IFERROR(__xludf.DUMMYFUNCTION("""COMPUTED_VALUE"""),"ENG")</f>
        <v>ENG</v>
      </c>
      <c r="C2288" s="6" t="str">
        <f>IFERROR(__xludf.DUMMYFUNCTION("""COMPUTED_VALUE"""),"P-53102-00")</f>
        <v>P-53102-00</v>
      </c>
      <c r="D2288" s="6" t="str">
        <f>IFERROR(__xludf.DUMMYFUNCTION("""COMPUTED_VALUE"""),"Lampu PLC 13watt/E27 Putih; Phillips; ;")</f>
        <v>Lampu PLC 13watt/E27 Putih; Phillips; ;</v>
      </c>
      <c r="E2288" s="6">
        <f>IFERROR(__xludf.DUMMYFUNCTION("""COMPUTED_VALUE"""),3.0)</f>
        <v>3</v>
      </c>
      <c r="F2288" s="6">
        <f>IFERROR(__xludf.DUMMYFUNCTION("""COMPUTED_VALUE"""),3.0)</f>
        <v>3</v>
      </c>
      <c r="G2288" s="6">
        <f>IFERROR(__xludf.DUMMYFUNCTION("""COMPUTED_VALUE"""),0.0)</f>
        <v>0</v>
      </c>
      <c r="H2288" s="6" t="str">
        <f>IFERROR(__xludf.DUMMYFUNCTION("""COMPUTED_VALUE"""),"Pcs")</f>
        <v>Pcs</v>
      </c>
      <c r="I2288" s="6" t="str">
        <f>IFERROR(__xludf.DUMMYFUNCTION("""COMPUTED_VALUE"""),"MFH")</f>
        <v>MFH</v>
      </c>
      <c r="J2288" s="6" t="str">
        <f>IFERROR(__xludf.DUMMYFUNCTION("""COMPUTED_VALUE"""),"Building ")</f>
        <v>Building </v>
      </c>
      <c r="K2288" s="6" t="str">
        <f>IFERROR(__xludf.DUMMYFUNCTION("""COMPUTED_VALUE"""),"SPR/08/25/005")</f>
        <v>SPR/08/25/005</v>
      </c>
      <c r="L2288" s="13">
        <f>IFERROR(__xludf.DUMMYFUNCTION("""COMPUTED_VALUE"""),45898.0)</f>
        <v>45898</v>
      </c>
    </row>
    <row r="2289">
      <c r="A2289" s="6" t="str">
        <f>IFERROR(__xludf.DUMMYFUNCTION("""COMPUTED_VALUE"""),"ANO")</f>
        <v>ANO</v>
      </c>
      <c r="B2289" s="6" t="str">
        <f>IFERROR(__xludf.DUMMYFUNCTION("""COMPUTED_VALUE"""),"ENG")</f>
        <v>ENG</v>
      </c>
      <c r="C2289" s="6" t="str">
        <f>IFERROR(__xludf.DUMMYFUNCTION("""COMPUTED_VALUE"""),"O-18055-00")</f>
        <v>O-18055-00</v>
      </c>
      <c r="D2289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289" s="6">
        <f>IFERROR(__xludf.DUMMYFUNCTION("""COMPUTED_VALUE"""),2.0)</f>
        <v>2</v>
      </c>
      <c r="F2289" s="6">
        <f>IFERROR(__xludf.DUMMYFUNCTION("""COMPUTED_VALUE"""),2.0)</f>
        <v>2</v>
      </c>
      <c r="G2289" s="6">
        <f>IFERROR(__xludf.DUMMYFUNCTION("""COMPUTED_VALUE"""),0.0)</f>
        <v>0</v>
      </c>
      <c r="H2289" s="6" t="str">
        <f>IFERROR(__xludf.DUMMYFUNCTION("""COMPUTED_VALUE"""),"Pcs")</f>
        <v>Pcs</v>
      </c>
      <c r="I2289" s="6" t="str">
        <f>IFERROR(__xludf.DUMMYFUNCTION("""COMPUTED_VALUE"""),"MFH")</f>
        <v>MFH</v>
      </c>
      <c r="J2289" s="6" t="str">
        <f>IFERROR(__xludf.DUMMYFUNCTION("""COMPUTED_VALUE"""),"Cartaning")</f>
        <v>Cartaning</v>
      </c>
      <c r="K2289" s="6" t="str">
        <f>IFERROR(__xludf.DUMMYFUNCTION("""COMPUTED_VALUE"""),"SPR/08/25/006")</f>
        <v>SPR/08/25/006</v>
      </c>
      <c r="L2289" s="13">
        <f>IFERROR(__xludf.DUMMYFUNCTION("""COMPUTED_VALUE"""),45898.0)</f>
        <v>45898</v>
      </c>
    </row>
    <row r="2290">
      <c r="A2290" s="6" t="str">
        <f>IFERROR(__xludf.DUMMYFUNCTION("""COMPUTED_VALUE"""),"BDU")</f>
        <v>BDU</v>
      </c>
      <c r="B2290" s="6" t="str">
        <f>IFERROR(__xludf.DUMMYFUNCTION("""COMPUTED_VALUE"""),"ENG")</f>
        <v>ENG</v>
      </c>
      <c r="C2290" s="6" t="str">
        <f>IFERROR(__xludf.DUMMYFUNCTION("""COMPUTED_VALUE"""),"P-51741-00")</f>
        <v>P-51741-00</v>
      </c>
      <c r="D2290" s="6" t="str">
        <f>IFERROR(__xludf.DUMMYFUNCTION("""COMPUTED_VALUE"""),"Lampu Phillips PHP LED; 710 7w E27 White 220-240v; ; ;")</f>
        <v>Lampu Phillips PHP LED; 710 7w E27 White 220-240v; ; ;</v>
      </c>
      <c r="E2290" s="6">
        <f>IFERROR(__xludf.DUMMYFUNCTION("""COMPUTED_VALUE"""),1.0)</f>
        <v>1</v>
      </c>
      <c r="F2290" s="6">
        <f>IFERROR(__xludf.DUMMYFUNCTION("""COMPUTED_VALUE"""),1.0)</f>
        <v>1</v>
      </c>
      <c r="G2290" s="6">
        <f>IFERROR(__xludf.DUMMYFUNCTION("""COMPUTED_VALUE"""),0.0)</f>
        <v>0</v>
      </c>
      <c r="H2290" s="6" t="str">
        <f>IFERROR(__xludf.DUMMYFUNCTION("""COMPUTED_VALUE"""),"Pce")</f>
        <v>Pce</v>
      </c>
      <c r="I2290" s="6" t="str">
        <f>IFERROR(__xludf.DUMMYFUNCTION("""COMPUTED_VALUE"""),"MFH")</f>
        <v>MFH</v>
      </c>
      <c r="J2290" s="6" t="str">
        <f>IFERROR(__xludf.DUMMYFUNCTION("""COMPUTED_VALUE"""),"AHU FA B-C")</f>
        <v>AHU FA B-C</v>
      </c>
      <c r="K2290" s="6" t="str">
        <f>IFERROR(__xludf.DUMMYFUNCTION("""COMPUTED_VALUE"""),"SPR/08/25/007")</f>
        <v>SPR/08/25/007</v>
      </c>
      <c r="L2290" s="13">
        <f>IFERROR(__xludf.DUMMYFUNCTION("""COMPUTED_VALUE"""),45898.0)</f>
        <v>45898</v>
      </c>
    </row>
    <row r="2291">
      <c r="A2291" s="6" t="str">
        <f>IFERROR(__xludf.DUMMYFUNCTION("""COMPUTED_VALUE"""),"SFH")</f>
        <v>SFH</v>
      </c>
      <c r="B2291" s="6" t="str">
        <f>IFERROR(__xludf.DUMMYFUNCTION("""COMPUTED_VALUE"""),"ENG")</f>
        <v>ENG</v>
      </c>
      <c r="C2291" s="6" t="str">
        <f>IFERROR(__xludf.DUMMYFUNCTION("""COMPUTED_VALUE"""),"P-53170-00")</f>
        <v>P-53170-00</v>
      </c>
      <c r="D2291" s="6" t="str">
        <f>IFERROR(__xludf.DUMMYFUNCTION("""COMPUTED_VALUE"""),"Ballast Electronic EB-C 128 TL5, 1x28W; Phillips; ;")</f>
        <v>Ballast Electronic EB-C 128 TL5, 1x28W; Phillips; ;</v>
      </c>
      <c r="E2291" s="6">
        <f>IFERROR(__xludf.DUMMYFUNCTION("""COMPUTED_VALUE"""),3.0)</f>
        <v>3</v>
      </c>
      <c r="F2291" s="6">
        <f>IFERROR(__xludf.DUMMYFUNCTION("""COMPUTED_VALUE"""),3.0)</f>
        <v>3</v>
      </c>
      <c r="G2291" s="6">
        <f>IFERROR(__xludf.DUMMYFUNCTION("""COMPUTED_VALUE"""),0.0)</f>
        <v>0</v>
      </c>
      <c r="H2291" s="6" t="str">
        <f>IFERROR(__xludf.DUMMYFUNCTION("""COMPUTED_VALUE"""),"Pcs")</f>
        <v>Pcs</v>
      </c>
      <c r="I2291" s="6" t="str">
        <f>IFERROR(__xludf.DUMMYFUNCTION("""COMPUTED_VALUE"""),"MFH")</f>
        <v>MFH</v>
      </c>
      <c r="J2291" s="6" t="str">
        <f>IFERROR(__xludf.DUMMYFUNCTION("""COMPUTED_VALUE"""),"Building ")</f>
        <v>Building </v>
      </c>
      <c r="K2291" s="6" t="str">
        <f>IFERROR(__xludf.DUMMYFUNCTION("""COMPUTED_VALUE"""),"SPR/08/25/008")</f>
        <v>SPR/08/25/008</v>
      </c>
      <c r="L2291" s="13">
        <f>IFERROR(__xludf.DUMMYFUNCTION("""COMPUTED_VALUE"""),45898.0)</f>
        <v>45898</v>
      </c>
    </row>
    <row r="2292">
      <c r="A2292" s="6" t="str">
        <f>IFERROR(__xludf.DUMMYFUNCTION("""COMPUTED_VALUE"""),"SFH")</f>
        <v>SFH</v>
      </c>
      <c r="B2292" s="6" t="str">
        <f>IFERROR(__xludf.DUMMYFUNCTION("""COMPUTED_VALUE"""),"ENG")</f>
        <v>ENG</v>
      </c>
      <c r="C2292" s="6" t="str">
        <f>IFERROR(__xludf.DUMMYFUNCTION("""COMPUTED_VALUE"""),"P-53174-00")</f>
        <v>P-53174-00</v>
      </c>
      <c r="D2292" s="6" t="str">
        <f>IFERROR(__xludf.DUMMYFUNCTION("""COMPUTED_VALUE"""),"Ballast Electronic EB-C 114 TL5, 1x14W; Phillips; ;")</f>
        <v>Ballast Electronic EB-C 114 TL5, 1x14W; Phillips; ;</v>
      </c>
      <c r="E2292" s="6">
        <f>IFERROR(__xludf.DUMMYFUNCTION("""COMPUTED_VALUE"""),2.0)</f>
        <v>2</v>
      </c>
      <c r="F2292" s="6">
        <f>IFERROR(__xludf.DUMMYFUNCTION("""COMPUTED_VALUE"""),2.0)</f>
        <v>2</v>
      </c>
      <c r="G2292" s="6">
        <f>IFERROR(__xludf.DUMMYFUNCTION("""COMPUTED_VALUE"""),0.0)</f>
        <v>0</v>
      </c>
      <c r="H2292" s="6" t="str">
        <f>IFERROR(__xludf.DUMMYFUNCTION("""COMPUTED_VALUE"""),"Pcs")</f>
        <v>Pcs</v>
      </c>
      <c r="I2292" s="6" t="str">
        <f>IFERROR(__xludf.DUMMYFUNCTION("""COMPUTED_VALUE"""),"MFH")</f>
        <v>MFH</v>
      </c>
      <c r="J2292" s="6" t="str">
        <f>IFERROR(__xludf.DUMMYFUNCTION("""COMPUTED_VALUE"""),"Building ")</f>
        <v>Building </v>
      </c>
      <c r="K2292" s="6" t="str">
        <f>IFERROR(__xludf.DUMMYFUNCTION("""COMPUTED_VALUE"""),"SPR/08/25/008")</f>
        <v>SPR/08/25/008</v>
      </c>
      <c r="L2292" s="13">
        <f>IFERROR(__xludf.DUMMYFUNCTION("""COMPUTED_VALUE"""),45898.0)</f>
        <v>45898</v>
      </c>
    </row>
    <row r="2293">
      <c r="A2293" s="6" t="str">
        <f>IFERROR(__xludf.DUMMYFUNCTION("""COMPUTED_VALUE"""),"MFH")</f>
        <v>MFH</v>
      </c>
      <c r="B2293" s="6" t="str">
        <f>IFERROR(__xludf.DUMMYFUNCTION("""COMPUTED_VALUE"""),"ENG")</f>
        <v>ENG</v>
      </c>
      <c r="C2293" s="6" t="str">
        <f>IFERROR(__xludf.DUMMYFUNCTION("""COMPUTED_VALUE"""),"O-53093-00")</f>
        <v>O-53093-00</v>
      </c>
      <c r="D2293" s="6" t="str">
        <f>IFERROR(__xludf.DUMMYFUNCTION("""COMPUTED_VALUE"""),"FD S/N MBE1207 - Amplifier SE3AN21RS1603; Aron; ;")</f>
        <v>FD S/N MBE1207 - Amplifier SE3AN21RS1603; Aron; ;</v>
      </c>
      <c r="E2293" s="6">
        <f>IFERROR(__xludf.DUMMYFUNCTION("""COMPUTED_VALUE"""),1.0)</f>
        <v>1</v>
      </c>
      <c r="F2293" s="6">
        <f>IFERROR(__xludf.DUMMYFUNCTION("""COMPUTED_VALUE"""),1.0)</f>
        <v>1</v>
      </c>
      <c r="G2293" s="6">
        <f>IFERROR(__xludf.DUMMYFUNCTION("""COMPUTED_VALUE"""),0.0)</f>
        <v>0</v>
      </c>
      <c r="H2293" s="6" t="str">
        <f>IFERROR(__xludf.DUMMYFUNCTION("""COMPUTED_VALUE"""),"Pcs")</f>
        <v>Pcs</v>
      </c>
      <c r="I2293" s="6" t="str">
        <f>IFERROR(__xludf.DUMMYFUNCTION("""COMPUTED_VALUE"""),"MFH")</f>
        <v>MFH</v>
      </c>
      <c r="J2293" s="6" t="str">
        <f>IFERROR(__xludf.DUMMYFUNCTION("""COMPUTED_VALUE"""),"FD")</f>
        <v>FD</v>
      </c>
      <c r="K2293" s="6" t="str">
        <f>IFERROR(__xludf.DUMMYFUNCTION("""COMPUTED_VALUE"""),"SPR/08/25/008")</f>
        <v>SPR/08/25/008</v>
      </c>
      <c r="L2293" s="13">
        <f>IFERROR(__xludf.DUMMYFUNCTION("""COMPUTED_VALUE"""),45898.0)</f>
        <v>45898</v>
      </c>
    </row>
    <row r="2294">
      <c r="A2294" s="6" t="str">
        <f>IFERROR(__xludf.DUMMYFUNCTION("""COMPUTED_VALUE"""),"RIA")</f>
        <v>RIA</v>
      </c>
      <c r="B2294" s="6" t="str">
        <f>IFERROR(__xludf.DUMMYFUNCTION("""COMPUTED_VALUE"""),"ENG")</f>
        <v>ENG</v>
      </c>
      <c r="C2294" s="6" t="str">
        <f>IFERROR(__xludf.DUMMYFUNCTION("""COMPUTED_VALUE"""),"P-53415-00")</f>
        <v>P-53415-00</v>
      </c>
      <c r="D2294" s="6" t="str">
        <f>IFERROR(__xludf.DUMMYFUNCTION("""COMPUTED_VALUE"""),"General - LED Module 5730 SMD; Samsung; -; 1 pc")</f>
        <v>General - LED Module 5730 SMD; Samsung; -; 1 pc</v>
      </c>
      <c r="E2294" s="6">
        <f>IFERROR(__xludf.DUMMYFUNCTION("""COMPUTED_VALUE"""),20.0)</f>
        <v>20</v>
      </c>
      <c r="F2294" s="6">
        <f>IFERROR(__xludf.DUMMYFUNCTION("""COMPUTED_VALUE"""),20.0)</f>
        <v>20</v>
      </c>
      <c r="G2294" s="6">
        <f>IFERROR(__xludf.DUMMYFUNCTION("""COMPUTED_VALUE"""),0.0)</f>
        <v>0</v>
      </c>
      <c r="H2294" s="6" t="str">
        <f>IFERROR(__xludf.DUMMYFUNCTION("""COMPUTED_VALUE"""),"Pcs")</f>
        <v>Pcs</v>
      </c>
      <c r="I2294" s="6" t="str">
        <f>IFERROR(__xludf.DUMMYFUNCTION("""COMPUTED_VALUE"""),"MFH")</f>
        <v>MFH</v>
      </c>
      <c r="J2294" s="6" t="str">
        <f>IFERROR(__xludf.DUMMYFUNCTION("""COMPUTED_VALUE"""),"Building ")</f>
        <v>Building </v>
      </c>
      <c r="K2294" s="6" t="str">
        <f>IFERROR(__xludf.DUMMYFUNCTION("""COMPUTED_VALUE"""),"SPR/08/25/009")</f>
        <v>SPR/08/25/009</v>
      </c>
      <c r="L2294" s="13">
        <f>IFERROR(__xludf.DUMMYFUNCTION("""COMPUTED_VALUE"""),45898.0)</f>
        <v>45898</v>
      </c>
    </row>
    <row r="2295">
      <c r="A2295" s="6" t="str">
        <f>IFERROR(__xludf.DUMMYFUNCTION("""COMPUTED_VALUE"""),"RIA")</f>
        <v>RIA</v>
      </c>
      <c r="B2295" s="6" t="str">
        <f>IFERROR(__xludf.DUMMYFUNCTION("""COMPUTED_VALUE"""),"ENG")</f>
        <v>ENG</v>
      </c>
      <c r="C2295" s="6" t="str">
        <f>IFERROR(__xludf.DUMMYFUNCTION("""COMPUTED_VALUE"""),"P-53416-00")</f>
        <v>P-53416-00</v>
      </c>
      <c r="D2295" s="6" t="str">
        <f>IFERROR(__xludf.DUMMYFUNCTION("""COMPUTED_VALUE"""),"General - Ballast SMPS 300 TLD Driver LED 12VDC IP68; Talled; -; 1 pc")</f>
        <v>General - Ballast SMPS 300 TLD Driver LED 12VDC IP68; Talled; -; 1 pc</v>
      </c>
      <c r="E2295" s="6">
        <f>IFERROR(__xludf.DUMMYFUNCTION("""COMPUTED_VALUE"""),1.0)</f>
        <v>1</v>
      </c>
      <c r="F2295" s="6">
        <f>IFERROR(__xludf.DUMMYFUNCTION("""COMPUTED_VALUE"""),1.0)</f>
        <v>1</v>
      </c>
      <c r="G2295" s="6">
        <f>IFERROR(__xludf.DUMMYFUNCTION("""COMPUTED_VALUE"""),0.0)</f>
        <v>0</v>
      </c>
      <c r="H2295" s="6" t="str">
        <f>IFERROR(__xludf.DUMMYFUNCTION("""COMPUTED_VALUE"""),"Pcs")</f>
        <v>Pcs</v>
      </c>
      <c r="I2295" s="6" t="str">
        <f>IFERROR(__xludf.DUMMYFUNCTION("""COMPUTED_VALUE"""),"MFH")</f>
        <v>MFH</v>
      </c>
      <c r="J2295" s="6" t="str">
        <f>IFERROR(__xludf.DUMMYFUNCTION("""COMPUTED_VALUE"""),"Building")</f>
        <v>Building</v>
      </c>
      <c r="K2295" s="6" t="str">
        <f>IFERROR(__xludf.DUMMYFUNCTION("""COMPUTED_VALUE"""),"SPR/08/25/009")</f>
        <v>SPR/08/25/009</v>
      </c>
      <c r="L2295" s="13">
        <f>IFERROR(__xludf.DUMMYFUNCTION("""COMPUTED_VALUE"""),45898.0)</f>
        <v>45898</v>
      </c>
    </row>
    <row r="2296">
      <c r="A2296" s="6" t="str">
        <f>IFERROR(__xludf.DUMMYFUNCTION("""COMPUTED_VALUE"""),"MFH")</f>
        <v>MFH</v>
      </c>
      <c r="B2296" s="6" t="str">
        <f>IFERROR(__xludf.DUMMYFUNCTION("""COMPUTED_VALUE"""),"ENG")</f>
        <v>ENG</v>
      </c>
      <c r="C2296" s="6" t="str">
        <f>IFERROR(__xludf.DUMMYFUNCTION("""COMPUTED_VALUE"""),"O-14363-00")</f>
        <v>O-14363-00</v>
      </c>
      <c r="D2296" s="6" t="str">
        <f>IFERROR(__xludf.DUMMYFUNCTION("""COMPUTED_VALUE"""),"Membrane Diaphragm Valve EPDM PTFE DN 25 Gemu DUA BERLIAN PILAR P/N : 600 25M5E-221 pc")</f>
        <v>Membrane Diaphragm Valve EPDM PTFE DN 25 Gemu DUA BERLIAN PILAR P/N : 600 25M5E-221 pc</v>
      </c>
      <c r="E2296" s="6">
        <f>IFERROR(__xludf.DUMMYFUNCTION("""COMPUTED_VALUE"""),1.0)</f>
        <v>1</v>
      </c>
      <c r="F2296" s="6">
        <f>IFERROR(__xludf.DUMMYFUNCTION("""COMPUTED_VALUE"""),1.0)</f>
        <v>1</v>
      </c>
      <c r="G2296" s="6">
        <f>IFERROR(__xludf.DUMMYFUNCTION("""COMPUTED_VALUE"""),0.0)</f>
        <v>0</v>
      </c>
      <c r="H2296" s="6" t="str">
        <f>IFERROR(__xludf.DUMMYFUNCTION("""COMPUTED_VALUE"""),"Pcs")</f>
        <v>Pcs</v>
      </c>
      <c r="I2296" s="6" t="str">
        <f>IFERROR(__xludf.DUMMYFUNCTION("""COMPUTED_VALUE"""),"MFH")</f>
        <v>MFH</v>
      </c>
      <c r="J2296" s="6" t="str">
        <f>IFERROR(__xludf.DUMMYFUNCTION("""COMPUTED_VALUE"""),"-")</f>
        <v>-</v>
      </c>
      <c r="K2296" s="6" t="str">
        <f>IFERROR(__xludf.DUMMYFUNCTION("""COMPUTED_VALUE"""),"SPR/08/25/009")</f>
        <v>SPR/08/25/009</v>
      </c>
      <c r="L2296" s="13">
        <f>IFERROR(__xludf.DUMMYFUNCTION("""COMPUTED_VALUE"""),45898.0)</f>
        <v>45898</v>
      </c>
    </row>
    <row r="2297">
      <c r="A2297" s="6" t="str">
        <f>IFERROR(__xludf.DUMMYFUNCTION("""COMPUTED_VALUE"""),"ROS")</f>
        <v>ROS</v>
      </c>
      <c r="B2297" s="6" t="str">
        <f>IFERROR(__xludf.DUMMYFUNCTION("""COMPUTED_VALUE"""),"ENG")</f>
        <v>ENG</v>
      </c>
      <c r="C2297" s="6" t="str">
        <f>IFERROR(__xludf.DUMMYFUNCTION("""COMPUTED_VALUE"""),"O-53155-00")</f>
        <v>O-53155-00</v>
      </c>
      <c r="D2297" s="6" t="str">
        <f>IFERROR(__xludf.DUMMYFUNCTION("""COMPUTED_VALUE"""),"General - Logoscreen 601; JUMO; 706521/08-114-23/000; 1 Pc")</f>
        <v>General - Logoscreen 601; JUMO; 706521/08-114-23/000; 1 Pc</v>
      </c>
      <c r="E2297" s="6">
        <f>IFERROR(__xludf.DUMMYFUNCTION("""COMPUTED_VALUE"""),1.0)</f>
        <v>1</v>
      </c>
      <c r="F2297" s="6">
        <f>IFERROR(__xludf.DUMMYFUNCTION("""COMPUTED_VALUE"""),1.0)</f>
        <v>1</v>
      </c>
      <c r="G2297" s="6">
        <f>IFERROR(__xludf.DUMMYFUNCTION("""COMPUTED_VALUE"""),0.0)</f>
        <v>0</v>
      </c>
      <c r="H2297" s="6" t="str">
        <f>IFERROR(__xludf.DUMMYFUNCTION("""COMPUTED_VALUE"""),"Unet")</f>
        <v>Unet</v>
      </c>
      <c r="I2297" s="6" t="str">
        <f>IFERROR(__xludf.DUMMYFUNCTION("""COMPUTED_VALUE"""),"MFH")</f>
        <v>MFH</v>
      </c>
      <c r="J2297" s="6" t="str">
        <f>IFERROR(__xludf.DUMMYFUNCTION("""COMPUTED_VALUE"""),"Autoclave service ")</f>
        <v>Autoclave service </v>
      </c>
      <c r="K2297" s="6" t="str">
        <f>IFERROR(__xludf.DUMMYFUNCTION("""COMPUTED_VALUE"""),"SPR/08/25/010")</f>
        <v>SPR/08/25/010</v>
      </c>
      <c r="L2297" s="13">
        <f>IFERROR(__xludf.DUMMYFUNCTION("""COMPUTED_VALUE"""),45898.0)</f>
        <v>45898</v>
      </c>
    </row>
    <row r="2298">
      <c r="A2298" s="6" t="str">
        <f>IFERROR(__xludf.DUMMYFUNCTION("""COMPUTED_VALUE"""),"ANO")</f>
        <v>ANO</v>
      </c>
      <c r="B2298" s="6" t="str">
        <f>IFERROR(__xludf.DUMMYFUNCTION("""COMPUTED_VALUE"""),"ENG")</f>
        <v>ENG</v>
      </c>
      <c r="C2298" s="6" t="str">
        <f>IFERROR(__xludf.DUMMYFUNCTION("""COMPUTED_VALUE"""),"T-20725-00")</f>
        <v>T-20725-00</v>
      </c>
      <c r="D2298" s="6" t="str">
        <f>IFERROR(__xludf.DUMMYFUNCTION("""COMPUTED_VALUE"""),"Performance Plus Check Valve Housing; Waters; 700002332;")</f>
        <v>Performance Plus Check Valve Housing; Waters; 700002332;</v>
      </c>
      <c r="E2298" s="6">
        <f>IFERROR(__xludf.DUMMYFUNCTION("""COMPUTED_VALUE"""),1.0)</f>
        <v>1</v>
      </c>
      <c r="F2298" s="6">
        <f>IFERROR(__xludf.DUMMYFUNCTION("""COMPUTED_VALUE"""),1.0)</f>
        <v>1</v>
      </c>
      <c r="G2298" s="6">
        <f>IFERROR(__xludf.DUMMYFUNCTION("""COMPUTED_VALUE"""),0.0)</f>
        <v>0</v>
      </c>
      <c r="H2298" s="6" t="str">
        <f>IFERROR(__xludf.DUMMYFUNCTION("""COMPUTED_VALUE"""),"Pcs")</f>
        <v>Pcs</v>
      </c>
      <c r="I2298" s="6" t="str">
        <f>IFERROR(__xludf.DUMMYFUNCTION("""COMPUTED_VALUE"""),"MFH")</f>
        <v>MFH</v>
      </c>
      <c r="J2298" s="6" t="str">
        <f>IFERROR(__xludf.DUMMYFUNCTION("""COMPUTED_VALUE"""),"HPLC")</f>
        <v>HPLC</v>
      </c>
      <c r="K2298" s="6" t="str">
        <f>IFERROR(__xludf.DUMMYFUNCTION("""COMPUTED_VALUE"""),"SPR/08/25/011")</f>
        <v>SPR/08/25/011</v>
      </c>
      <c r="L2298" s="13">
        <f>IFERROR(__xludf.DUMMYFUNCTION("""COMPUTED_VALUE"""),45898.0)</f>
        <v>45898</v>
      </c>
    </row>
    <row r="2299">
      <c r="A2299" s="6" t="str">
        <f>IFERROR(__xludf.DUMMYFUNCTION("""COMPUTED_VALUE"""),"ANO")</f>
        <v>ANO</v>
      </c>
      <c r="B2299" s="6" t="str">
        <f>IFERROR(__xludf.DUMMYFUNCTION("""COMPUTED_VALUE"""),"ENG")</f>
        <v>ENG</v>
      </c>
      <c r="C2299" s="6" t="str">
        <f>IFERROR(__xludf.DUMMYFUNCTION("""COMPUTED_VALUE"""),"S-50953-00")</f>
        <v>S-50953-00</v>
      </c>
      <c r="D2299" s="6" t="str">
        <f>IFERROR(__xludf.DUMMYFUNCTION("""COMPUTED_VALUE"""),"Silica Gel curah; ; ; pck")</f>
        <v>Silica Gel curah; ; ; pck</v>
      </c>
      <c r="E2299" s="6">
        <f>IFERROR(__xludf.DUMMYFUNCTION("""COMPUTED_VALUE"""),3.0)</f>
        <v>3</v>
      </c>
      <c r="F2299" s="6">
        <f>IFERROR(__xludf.DUMMYFUNCTION("""COMPUTED_VALUE"""),3.0)</f>
        <v>3</v>
      </c>
      <c r="G2299" s="6">
        <f>IFERROR(__xludf.DUMMYFUNCTION("""COMPUTED_VALUE"""),0.0)</f>
        <v>0</v>
      </c>
      <c r="H2299" s="6" t="str">
        <f>IFERROR(__xludf.DUMMYFUNCTION("""COMPUTED_VALUE"""),"Pc")</f>
        <v>Pc</v>
      </c>
      <c r="I2299" s="6" t="str">
        <f>IFERROR(__xludf.DUMMYFUNCTION("""COMPUTED_VALUE"""),"MFH")</f>
        <v>MFH</v>
      </c>
      <c r="J2299" s="6" t="str">
        <f>IFERROR(__xludf.DUMMYFUNCTION("""COMPUTED_VALUE"""),"FD")</f>
        <v>FD</v>
      </c>
      <c r="K2299" s="6" t="str">
        <f>IFERROR(__xludf.DUMMYFUNCTION("""COMPUTED_VALUE"""),"SPR/08/25/012")</f>
        <v>SPR/08/25/012</v>
      </c>
      <c r="L2299" s="13">
        <f>IFERROR(__xludf.DUMMYFUNCTION("""COMPUTED_VALUE"""),45898.0)</f>
        <v>45898</v>
      </c>
    </row>
    <row r="2300">
      <c r="A2300" s="6" t="str">
        <f>IFERROR(__xludf.DUMMYFUNCTION("""COMPUTED_VALUE"""),"RIA")</f>
        <v>RIA</v>
      </c>
      <c r="B2300" s="6" t="str">
        <f>IFERROR(__xludf.DUMMYFUNCTION("""COMPUTED_VALUE"""),"ENG")</f>
        <v>ENG</v>
      </c>
      <c r="C2300" s="6" t="str">
        <f>IFERROR(__xludf.DUMMYFUNCTION("""COMPUTED_VALUE"""),"P-15000-00")</f>
        <v>P-15000-00</v>
      </c>
      <c r="D2300" s="6" t="str">
        <f>IFERROR(__xludf.DUMMYFUNCTION("""COMPUTED_VALUE"""),"Air Diff. Press. Switch, P/N. QBM81; ; ;")</f>
        <v>Air Diff. Press. Switch, P/N. QBM81; ; ;</v>
      </c>
      <c r="E2300" s="6">
        <f>IFERROR(__xludf.DUMMYFUNCTION("""COMPUTED_VALUE"""),1.0)</f>
        <v>1</v>
      </c>
      <c r="F2300" s="6">
        <f>IFERROR(__xludf.DUMMYFUNCTION("""COMPUTED_VALUE"""),1.0)</f>
        <v>1</v>
      </c>
      <c r="G2300" s="6">
        <f>IFERROR(__xludf.DUMMYFUNCTION("""COMPUTED_VALUE"""),0.0)</f>
        <v>0</v>
      </c>
      <c r="H2300" s="6" t="str">
        <f>IFERROR(__xludf.DUMMYFUNCTION("""COMPUTED_VALUE"""),"Pcs")</f>
        <v>Pcs</v>
      </c>
      <c r="I2300" s="6" t="str">
        <f>IFERROR(__xludf.DUMMYFUNCTION("""COMPUTED_VALUE"""),"MFH")</f>
        <v>MFH</v>
      </c>
      <c r="J2300" s="6" t="str">
        <f>IFERROR(__xludf.DUMMYFUNCTION("""COMPUTED_VALUE"""),"Machine")</f>
        <v>Machine</v>
      </c>
      <c r="K2300" s="6" t="str">
        <f>IFERROR(__xludf.DUMMYFUNCTION("""COMPUTED_VALUE"""),"SPR/08/25/013")</f>
        <v>SPR/08/25/013</v>
      </c>
      <c r="L2300" s="13">
        <f>IFERROR(__xludf.DUMMYFUNCTION("""COMPUTED_VALUE"""),45898.0)</f>
        <v>45898</v>
      </c>
    </row>
    <row r="2301">
      <c r="A2301" s="6" t="str">
        <f>IFERROR(__xludf.DUMMYFUNCTION("""COMPUTED_VALUE"""),"MOB")</f>
        <v>MOB</v>
      </c>
      <c r="B2301" s="6" t="str">
        <f>IFERROR(__xludf.DUMMYFUNCTION("""COMPUTED_VALUE"""),"ENG")</f>
        <v>ENG</v>
      </c>
      <c r="C2301" s="6" t="str">
        <f>IFERROR(__xludf.DUMMYFUNCTION("""COMPUTED_VALUE"""),"P-53102-00")</f>
        <v>P-53102-00</v>
      </c>
      <c r="D2301" s="6" t="str">
        <f>IFERROR(__xludf.DUMMYFUNCTION("""COMPUTED_VALUE"""),"Lampu PLC 13watt/E27 Putih; Phillips; ;")</f>
        <v>Lampu PLC 13watt/E27 Putih; Phillips; ;</v>
      </c>
      <c r="E2301" s="6">
        <f>IFERROR(__xludf.DUMMYFUNCTION("""COMPUTED_VALUE"""),7.0)</f>
        <v>7</v>
      </c>
      <c r="F2301" s="6">
        <f>IFERROR(__xludf.DUMMYFUNCTION("""COMPUTED_VALUE"""),7.0)</f>
        <v>7</v>
      </c>
      <c r="G2301" s="6">
        <f>IFERROR(__xludf.DUMMYFUNCTION("""COMPUTED_VALUE"""),0.0)</f>
        <v>0</v>
      </c>
      <c r="H2301" s="6" t="str">
        <f>IFERROR(__xludf.DUMMYFUNCTION("""COMPUTED_VALUE"""),"Pcs")</f>
        <v>Pcs</v>
      </c>
      <c r="I2301" s="6" t="str">
        <f>IFERROR(__xludf.DUMMYFUNCTION("""COMPUTED_VALUE"""),"MFH")</f>
        <v>MFH</v>
      </c>
      <c r="J2301" s="6" t="str">
        <f>IFERROR(__xludf.DUMMYFUNCTION("""COMPUTED_VALUE"""),"Building")</f>
        <v>Building</v>
      </c>
      <c r="K2301" s="6" t="str">
        <f>IFERROR(__xludf.DUMMYFUNCTION("""COMPUTED_VALUE"""),"SPR/08/25/014")</f>
        <v>SPR/08/25/014</v>
      </c>
      <c r="L2301" s="13">
        <f>IFERROR(__xludf.DUMMYFUNCTION("""COMPUTED_VALUE"""),45898.0)</f>
        <v>45898</v>
      </c>
    </row>
    <row r="2302">
      <c r="A2302" s="6" t="str">
        <f>IFERROR(__xludf.DUMMYFUNCTION("""COMPUTED_VALUE"""),"MOB")</f>
        <v>MOB</v>
      </c>
      <c r="B2302" s="6" t="str">
        <f>IFERROR(__xludf.DUMMYFUNCTION("""COMPUTED_VALUE"""),"ENG")</f>
        <v>ENG</v>
      </c>
      <c r="C2302" s="6" t="str">
        <f>IFERROR(__xludf.DUMMYFUNCTION("""COMPUTED_VALUE"""),"P-51741-00")</f>
        <v>P-51741-00</v>
      </c>
      <c r="D2302" s="6" t="str">
        <f>IFERROR(__xludf.DUMMYFUNCTION("""COMPUTED_VALUE"""),"Lampu Phillips PHP LED; 710 7w E27 White 220-240v; ; ;")</f>
        <v>Lampu Phillips PHP LED; 710 7w E27 White 220-240v; ; ;</v>
      </c>
      <c r="E2302" s="6">
        <f>IFERROR(__xludf.DUMMYFUNCTION("""COMPUTED_VALUE"""),1.0)</f>
        <v>1</v>
      </c>
      <c r="F2302" s="6">
        <f>IFERROR(__xludf.DUMMYFUNCTION("""COMPUTED_VALUE"""),1.0)</f>
        <v>1</v>
      </c>
      <c r="G2302" s="6">
        <f>IFERROR(__xludf.DUMMYFUNCTION("""COMPUTED_VALUE"""),0.0)</f>
        <v>0</v>
      </c>
      <c r="H2302" s="6" t="str">
        <f>IFERROR(__xludf.DUMMYFUNCTION("""COMPUTED_VALUE"""),"Pcs")</f>
        <v>Pcs</v>
      </c>
      <c r="I2302" s="6" t="str">
        <f>IFERROR(__xludf.DUMMYFUNCTION("""COMPUTED_VALUE"""),"MFH")</f>
        <v>MFH</v>
      </c>
      <c r="J2302" s="6" t="str">
        <f>IFERROR(__xludf.DUMMYFUNCTION("""COMPUTED_VALUE"""),"Building")</f>
        <v>Building</v>
      </c>
      <c r="K2302" s="6" t="str">
        <f>IFERROR(__xludf.DUMMYFUNCTION("""COMPUTED_VALUE"""),"SPR/08/25/014")</f>
        <v>SPR/08/25/014</v>
      </c>
      <c r="L2302" s="13">
        <f>IFERROR(__xludf.DUMMYFUNCTION("""COMPUTED_VALUE"""),45898.0)</f>
        <v>45898</v>
      </c>
    </row>
    <row r="2303">
      <c r="A2303" s="6" t="str">
        <f>IFERROR(__xludf.DUMMYFUNCTION("""COMPUTED_VALUE"""),"BDU")</f>
        <v>BDU</v>
      </c>
      <c r="B2303" s="6" t="str">
        <f>IFERROR(__xludf.DUMMYFUNCTION("""COMPUTED_VALUE"""),"ENG")</f>
        <v>ENG</v>
      </c>
      <c r="C2303" s="6" t="str">
        <f>IFERROR(__xludf.DUMMYFUNCTION("""COMPUTED_VALUE"""),"T-80109-00")</f>
        <v>T-80109-00</v>
      </c>
      <c r="D2303" s="6" t="str">
        <f>IFERROR(__xludf.DUMMYFUNCTION("""COMPUTED_VALUE"""),"Cellotape Kertas 1 inch warna Putih")</f>
        <v>Cellotape Kertas 1 inch warna Putih</v>
      </c>
      <c r="E2303" s="6">
        <f>IFERROR(__xludf.DUMMYFUNCTION("""COMPUTED_VALUE"""),4.0)</f>
        <v>4</v>
      </c>
      <c r="F2303" s="6">
        <f>IFERROR(__xludf.DUMMYFUNCTION("""COMPUTED_VALUE"""),4.0)</f>
        <v>4</v>
      </c>
      <c r="G2303" s="6">
        <f>IFERROR(__xludf.DUMMYFUNCTION("""COMPUTED_VALUE"""),0.0)</f>
        <v>0</v>
      </c>
      <c r="H2303" s="6" t="str">
        <f>IFERROR(__xludf.DUMMYFUNCTION("""COMPUTED_VALUE"""),"Pcs")</f>
        <v>Pcs</v>
      </c>
      <c r="I2303" s="6" t="str">
        <f>IFERROR(__xludf.DUMMYFUNCTION("""COMPUTED_VALUE"""),"MFH")</f>
        <v>MFH</v>
      </c>
      <c r="J2303" s="6" t="str">
        <f>IFERROR(__xludf.DUMMYFUNCTION("""COMPUTED_VALUE"""),"Building ")</f>
        <v>Building </v>
      </c>
      <c r="K2303" s="6" t="str">
        <f>IFERROR(__xludf.DUMMYFUNCTION("""COMPUTED_VALUE"""),"SPR/08/25/015")</f>
        <v>SPR/08/25/015</v>
      </c>
      <c r="L2303" s="13">
        <f>IFERROR(__xludf.DUMMYFUNCTION("""COMPUTED_VALUE"""),45898.0)</f>
        <v>45898</v>
      </c>
    </row>
    <row r="2304">
      <c r="A2304" s="6" t="str">
        <f>IFERROR(__xludf.DUMMYFUNCTION("""COMPUTED_VALUE"""),"SFH")</f>
        <v>SFH</v>
      </c>
      <c r="B2304" s="6" t="str">
        <f>IFERROR(__xludf.DUMMYFUNCTION("""COMPUTED_VALUE"""),"ENG")</f>
        <v>ENG</v>
      </c>
      <c r="C2304" s="6" t="str">
        <f>IFERROR(__xludf.DUMMYFUNCTION("""COMPUTED_VALUE"""),"P-17645-00")</f>
        <v>P-17645-00</v>
      </c>
      <c r="D2304" s="6" t="str">
        <f>IFERROR(__xludf.DUMMYFUNCTION("""COMPUTED_VALUE"""),"Sodium Hiphoclorite; ; ; ltr")</f>
        <v>Sodium Hiphoclorite; ; ; ltr</v>
      </c>
      <c r="E2304" s="6">
        <f>IFERROR(__xludf.DUMMYFUNCTION("""COMPUTED_VALUE"""),125.0)</f>
        <v>125</v>
      </c>
      <c r="F2304" s="6">
        <f>IFERROR(__xludf.DUMMYFUNCTION("""COMPUTED_VALUE"""),125.0)</f>
        <v>125</v>
      </c>
      <c r="G2304" s="6">
        <f>IFERROR(__xludf.DUMMYFUNCTION("""COMPUTED_VALUE"""),0.0)</f>
        <v>0</v>
      </c>
      <c r="H2304" s="6" t="str">
        <f>IFERROR(__xludf.DUMMYFUNCTION("""COMPUTED_VALUE"""),"Liter")</f>
        <v>Liter</v>
      </c>
      <c r="I2304" s="6" t="str">
        <f>IFERROR(__xludf.DUMMYFUNCTION("""COMPUTED_VALUE"""),"MFH")</f>
        <v>MFH</v>
      </c>
      <c r="J2304" s="6" t="str">
        <f>IFERROR(__xludf.DUMMYFUNCTION("""COMPUTED_VALUE"""),"Building ")</f>
        <v>Building </v>
      </c>
      <c r="K2304" s="6" t="str">
        <f>IFERROR(__xludf.DUMMYFUNCTION("""COMPUTED_VALUE"""),"SPR/08/25/016")</f>
        <v>SPR/08/25/016</v>
      </c>
      <c r="L2304" s="13">
        <f>IFERROR(__xludf.DUMMYFUNCTION("""COMPUTED_VALUE"""),45898.0)</f>
        <v>45898</v>
      </c>
    </row>
    <row r="2305">
      <c r="A2305" s="6" t="str">
        <f>IFERROR(__xludf.DUMMYFUNCTION("""COMPUTED_VALUE"""),"SFH")</f>
        <v>SFH</v>
      </c>
      <c r="B2305" s="6" t="str">
        <f>IFERROR(__xludf.DUMMYFUNCTION("""COMPUTED_VALUE"""),"ENG")</f>
        <v>ENG</v>
      </c>
      <c r="C2305" s="6" t="str">
        <f>IFERROR(__xludf.DUMMYFUNCTION("""COMPUTED_VALUE"""),"P-51560-00")</f>
        <v>P-51560-00</v>
      </c>
      <c r="D2305" s="6" t="str">
        <f>IFERROR(__xludf.DUMMYFUNCTION("""COMPUTED_VALUE"""),"Lampu T5 28watt Putih; Phillips; ;")</f>
        <v>Lampu T5 28watt Putih; Phillips; ;</v>
      </c>
      <c r="E2305" s="6">
        <f>IFERROR(__xludf.DUMMYFUNCTION("""COMPUTED_VALUE"""),5.0)</f>
        <v>5</v>
      </c>
      <c r="F2305" s="6">
        <f>IFERROR(__xludf.DUMMYFUNCTION("""COMPUTED_VALUE"""),5.0)</f>
        <v>5</v>
      </c>
      <c r="G2305" s="6">
        <f>IFERROR(__xludf.DUMMYFUNCTION("""COMPUTED_VALUE"""),0.0)</f>
        <v>0</v>
      </c>
      <c r="H2305" s="6" t="str">
        <f>IFERROR(__xludf.DUMMYFUNCTION("""COMPUTED_VALUE"""),"Pcs")</f>
        <v>Pcs</v>
      </c>
      <c r="I2305" s="6" t="str">
        <f>IFERROR(__xludf.DUMMYFUNCTION("""COMPUTED_VALUE"""),"MFH")</f>
        <v>MFH</v>
      </c>
      <c r="J2305" s="6" t="str">
        <f>IFERROR(__xludf.DUMMYFUNCTION("""COMPUTED_VALUE"""),"Building ")</f>
        <v>Building </v>
      </c>
      <c r="K2305" s="6" t="str">
        <f>IFERROR(__xludf.DUMMYFUNCTION("""COMPUTED_VALUE"""),"SPR/08/25/016")</f>
        <v>SPR/08/25/016</v>
      </c>
      <c r="L2305" s="13">
        <f>IFERROR(__xludf.DUMMYFUNCTION("""COMPUTED_VALUE"""),45898.0)</f>
        <v>45898</v>
      </c>
    </row>
    <row r="2306">
      <c r="A2306" s="6" t="str">
        <f>IFERROR(__xludf.DUMMYFUNCTION("""COMPUTED_VALUE"""),"SFH")</f>
        <v>SFH</v>
      </c>
      <c r="B2306" s="6" t="str">
        <f>IFERROR(__xludf.DUMMYFUNCTION("""COMPUTED_VALUE"""),"ENG")</f>
        <v>ENG</v>
      </c>
      <c r="C2306" s="6" t="str">
        <f>IFERROR(__xludf.DUMMYFUNCTION("""COMPUTED_VALUE"""),"P-51559-00")</f>
        <v>P-51559-00</v>
      </c>
      <c r="D2306" s="6" t="str">
        <f>IFERROR(__xludf.DUMMYFUNCTION("""COMPUTED_VALUE"""),"Lampu T5 14watt Putih; Phillips; ;")</f>
        <v>Lampu T5 14watt Putih; Phillips; ;</v>
      </c>
      <c r="E2306" s="6">
        <f>IFERROR(__xludf.DUMMYFUNCTION("""COMPUTED_VALUE"""),5.0)</f>
        <v>5</v>
      </c>
      <c r="F2306" s="6">
        <f>IFERROR(__xludf.DUMMYFUNCTION("""COMPUTED_VALUE"""),5.0)</f>
        <v>5</v>
      </c>
      <c r="G2306" s="6">
        <f>IFERROR(__xludf.DUMMYFUNCTION("""COMPUTED_VALUE"""),0.0)</f>
        <v>0</v>
      </c>
      <c r="H2306" s="6" t="str">
        <f>IFERROR(__xludf.DUMMYFUNCTION("""COMPUTED_VALUE"""),"Pcs")</f>
        <v>Pcs</v>
      </c>
      <c r="I2306" s="6" t="str">
        <f>IFERROR(__xludf.DUMMYFUNCTION("""COMPUTED_VALUE"""),"MFH")</f>
        <v>MFH</v>
      </c>
      <c r="J2306" s="6" t="str">
        <f>IFERROR(__xludf.DUMMYFUNCTION("""COMPUTED_VALUE"""),"Building ")</f>
        <v>Building </v>
      </c>
      <c r="K2306" s="6" t="str">
        <f>IFERROR(__xludf.DUMMYFUNCTION("""COMPUTED_VALUE"""),"SPR/08/25/016")</f>
        <v>SPR/08/25/016</v>
      </c>
      <c r="L2306" s="13">
        <f>IFERROR(__xludf.DUMMYFUNCTION("""COMPUTED_VALUE"""),45898.0)</f>
        <v>45898</v>
      </c>
    </row>
    <row r="2307">
      <c r="A2307" s="6" t="str">
        <f>IFERROR(__xludf.DUMMYFUNCTION("""COMPUTED_VALUE"""),"SFH")</f>
        <v>SFH</v>
      </c>
      <c r="B2307" s="6" t="str">
        <f>IFERROR(__xludf.DUMMYFUNCTION("""COMPUTED_VALUE"""),"ENG")</f>
        <v>ENG</v>
      </c>
      <c r="C2307" s="6" t="str">
        <f>IFERROR(__xludf.DUMMYFUNCTION("""COMPUTED_VALUE"""),"Q-60405-00")</f>
        <v>Q-60405-00</v>
      </c>
      <c r="D2307" s="6" t="str">
        <f>IFERROR(__xludf.DUMMYFUNCTION("""COMPUTED_VALUE"""),"Cat Durogloss DR-2000; Propan; Type Spiders Web 90YY 73/040; 0,9 L/can")</f>
        <v>Cat Durogloss DR-2000; Propan; Type Spiders Web 90YY 73/040; 0,9 L/can</v>
      </c>
      <c r="E2307" s="6">
        <f>IFERROR(__xludf.DUMMYFUNCTION("""COMPUTED_VALUE"""),6.0)</f>
        <v>6</v>
      </c>
      <c r="F2307" s="6">
        <f>IFERROR(__xludf.DUMMYFUNCTION("""COMPUTED_VALUE"""),6.0)</f>
        <v>6</v>
      </c>
      <c r="G2307" s="6">
        <f>IFERROR(__xludf.DUMMYFUNCTION("""COMPUTED_VALUE"""),0.0)</f>
        <v>0</v>
      </c>
      <c r="H2307" s="6" t="str">
        <f>IFERROR(__xludf.DUMMYFUNCTION("""COMPUTED_VALUE"""),"Pcs")</f>
        <v>Pcs</v>
      </c>
      <c r="I2307" s="6" t="str">
        <f>IFERROR(__xludf.DUMMYFUNCTION("""COMPUTED_VALUE"""),"MFH ")</f>
        <v>MFH </v>
      </c>
      <c r="J2307" s="6" t="str">
        <f>IFERROR(__xludf.DUMMYFUNCTION("""COMPUTED_VALUE"""),"Building ")</f>
        <v>Building </v>
      </c>
      <c r="K2307" s="6" t="str">
        <f>IFERROR(__xludf.DUMMYFUNCTION("""COMPUTED_VALUE"""),"SPR/08/25/017")</f>
        <v>SPR/08/25/017</v>
      </c>
      <c r="L2307" s="13">
        <f>IFERROR(__xludf.DUMMYFUNCTION("""COMPUTED_VALUE"""),45898.0)</f>
        <v>45898</v>
      </c>
    </row>
    <row r="2308">
      <c r="A2308" s="6" t="str">
        <f>IFERROR(__xludf.DUMMYFUNCTION("""COMPUTED_VALUE"""),"SFH")</f>
        <v>SFH</v>
      </c>
      <c r="B2308" s="6" t="str">
        <f>IFERROR(__xludf.DUMMYFUNCTION("""COMPUTED_VALUE"""),"ENG")</f>
        <v>ENG</v>
      </c>
      <c r="C2308" s="6" t="str">
        <f>IFERROR(__xludf.DUMMYFUNCTION("""COMPUTED_VALUE"""),"Q-60406-00")</f>
        <v>Q-60406-00</v>
      </c>
      <c r="D2308" s="6" t="str">
        <f>IFERROR(__xludf.DUMMYFUNCTION("""COMPUTED_VALUE"""),"Stone Coat Pernis pelapis batu alam; Golden Horse; Type Black Gloss ; 1 kg/can")</f>
        <v>Stone Coat Pernis pelapis batu alam; Golden Horse; Type Black Gloss ; 1 kg/can</v>
      </c>
      <c r="E2308" s="6">
        <f>IFERROR(__xludf.DUMMYFUNCTION("""COMPUTED_VALUE"""),3.0)</f>
        <v>3</v>
      </c>
      <c r="F2308" s="6">
        <f>IFERROR(__xludf.DUMMYFUNCTION("""COMPUTED_VALUE"""),3.0)</f>
        <v>3</v>
      </c>
      <c r="G2308" s="6">
        <f>IFERROR(__xludf.DUMMYFUNCTION("""COMPUTED_VALUE"""),0.0)</f>
        <v>0</v>
      </c>
      <c r="H2308" s="6" t="str">
        <f>IFERROR(__xludf.DUMMYFUNCTION("""COMPUTED_VALUE"""),"Liter")</f>
        <v>Liter</v>
      </c>
      <c r="I2308" s="6" t="str">
        <f>IFERROR(__xludf.DUMMYFUNCTION("""COMPUTED_VALUE"""),"MFH")</f>
        <v>MFH</v>
      </c>
      <c r="J2308" s="6" t="str">
        <f>IFERROR(__xludf.DUMMYFUNCTION("""COMPUTED_VALUE"""),"Building")</f>
        <v>Building</v>
      </c>
      <c r="K2308" s="6" t="str">
        <f>IFERROR(__xludf.DUMMYFUNCTION("""COMPUTED_VALUE"""),"SPR/08/25/018")</f>
        <v>SPR/08/25/018</v>
      </c>
      <c r="L2308" s="13">
        <f>IFERROR(__xludf.DUMMYFUNCTION("""COMPUTED_VALUE"""),45898.0)</f>
        <v>45898</v>
      </c>
    </row>
    <row r="2309">
      <c r="A2309" s="6" t="str">
        <f>IFERROR(__xludf.DUMMYFUNCTION("""COMPUTED_VALUE"""),"SFH")</f>
        <v>SFH</v>
      </c>
      <c r="B2309" s="6" t="str">
        <f>IFERROR(__xludf.DUMMYFUNCTION("""COMPUTED_VALUE"""),"ENG")</f>
        <v>ENG</v>
      </c>
      <c r="C2309" s="6" t="str">
        <f>IFERROR(__xludf.DUMMYFUNCTION("""COMPUTED_VALUE"""),"Q-10401-00")</f>
        <v>Q-10401-00</v>
      </c>
      <c r="D2309" s="6" t="str">
        <f>IFERROR(__xludf.DUMMYFUNCTION("""COMPUTED_VALUE"""),"Kuas Cat Uk. 3 inch;Eterna;Tipe 611;pack size per pcs")</f>
        <v>Kuas Cat Uk. 3 inch;Eterna;Tipe 611;pack size per pcs</v>
      </c>
      <c r="E2309" s="6">
        <f>IFERROR(__xludf.DUMMYFUNCTION("""COMPUTED_VALUE"""),3.0)</f>
        <v>3</v>
      </c>
      <c r="F2309" s="6">
        <f>IFERROR(__xludf.DUMMYFUNCTION("""COMPUTED_VALUE"""),3.0)</f>
        <v>3</v>
      </c>
      <c r="G2309" s="6">
        <f>IFERROR(__xludf.DUMMYFUNCTION("""COMPUTED_VALUE"""),0.0)</f>
        <v>0</v>
      </c>
      <c r="H2309" s="6" t="str">
        <f>IFERROR(__xludf.DUMMYFUNCTION("""COMPUTED_VALUE"""),"Pcs")</f>
        <v>Pcs</v>
      </c>
      <c r="I2309" s="6" t="str">
        <f>IFERROR(__xludf.DUMMYFUNCTION("""COMPUTED_VALUE"""),"MFH")</f>
        <v>MFH</v>
      </c>
      <c r="J2309" s="6" t="str">
        <f>IFERROR(__xludf.DUMMYFUNCTION("""COMPUTED_VALUE"""),"Building")</f>
        <v>Building</v>
      </c>
      <c r="K2309" s="6" t="str">
        <f>IFERROR(__xludf.DUMMYFUNCTION("""COMPUTED_VALUE"""),"SPR/08/25/018")</f>
        <v>SPR/08/25/018</v>
      </c>
      <c r="L2309" s="13">
        <f>IFERROR(__xludf.DUMMYFUNCTION("""COMPUTED_VALUE"""),45898.0)</f>
        <v>45898</v>
      </c>
    </row>
    <row r="2310">
      <c r="A2310" s="6" t="str">
        <f>IFERROR(__xludf.DUMMYFUNCTION("""COMPUTED_VALUE"""),"SFH")</f>
        <v>SFH</v>
      </c>
      <c r="B2310" s="6" t="str">
        <f>IFERROR(__xludf.DUMMYFUNCTION("""COMPUTED_VALUE"""),"ENG")</f>
        <v>ENG</v>
      </c>
      <c r="C2310" s="6" t="str">
        <f>IFERROR(__xludf.DUMMYFUNCTION("""COMPUTED_VALUE"""),"Q-60026-00")</f>
        <v>Q-60026-00</v>
      </c>
      <c r="D2310" s="6" t="str">
        <f>IFERROR(__xludf.DUMMYFUNCTION("""COMPUTED_VALUE"""),"Kuas Eterna 2")</f>
        <v>Kuas Eterna 2</v>
      </c>
      <c r="E2310" s="6">
        <f>IFERROR(__xludf.DUMMYFUNCTION("""COMPUTED_VALUE"""),3.0)</f>
        <v>3</v>
      </c>
      <c r="F2310" s="6">
        <f>IFERROR(__xludf.DUMMYFUNCTION("""COMPUTED_VALUE"""),3.0)</f>
        <v>3</v>
      </c>
      <c r="G2310" s="6">
        <f>IFERROR(__xludf.DUMMYFUNCTION("""COMPUTED_VALUE"""),0.0)</f>
        <v>0</v>
      </c>
      <c r="H2310" s="6" t="str">
        <f>IFERROR(__xludf.DUMMYFUNCTION("""COMPUTED_VALUE"""),"Pcs")</f>
        <v>Pcs</v>
      </c>
      <c r="I2310" s="6" t="str">
        <f>IFERROR(__xludf.DUMMYFUNCTION("""COMPUTED_VALUE"""),"MFH")</f>
        <v>MFH</v>
      </c>
      <c r="J2310" s="6" t="str">
        <f>IFERROR(__xludf.DUMMYFUNCTION("""COMPUTED_VALUE"""),"Building")</f>
        <v>Building</v>
      </c>
      <c r="K2310" s="6" t="str">
        <f>IFERROR(__xludf.DUMMYFUNCTION("""COMPUTED_VALUE"""),"SPR/08/25/018")</f>
        <v>SPR/08/25/018</v>
      </c>
      <c r="L2310" s="13">
        <f>IFERROR(__xludf.DUMMYFUNCTION("""COMPUTED_VALUE"""),45898.0)</f>
        <v>45898</v>
      </c>
    </row>
    <row r="2311">
      <c r="A2311" s="6" t="str">
        <f>IFERROR(__xludf.DUMMYFUNCTION("""COMPUTED_VALUE"""),"RIA ")</f>
        <v>RIA </v>
      </c>
      <c r="B2311" s="6" t="str">
        <f>IFERROR(__xludf.DUMMYFUNCTION("""COMPUTED_VALUE"""),"ENG")</f>
        <v>ENG</v>
      </c>
      <c r="C2311" s="6" t="str">
        <f>IFERROR(__xludf.DUMMYFUNCTION("""COMPUTED_VALUE"""),"P-52664-00")</f>
        <v>P-52664-00</v>
      </c>
      <c r="D2311" s="6" t="str">
        <f>IFERROR(__xludf.DUMMYFUNCTION("""COMPUTED_VALUE"""),"Pelampung Air Radar Float Switch 2 Meter; ; ;")</f>
        <v>Pelampung Air Radar Float Switch 2 Meter; ; ;</v>
      </c>
      <c r="E2311" s="6">
        <f>IFERROR(__xludf.DUMMYFUNCTION("""COMPUTED_VALUE"""),2.0)</f>
        <v>2</v>
      </c>
      <c r="F2311" s="6">
        <f>IFERROR(__xludf.DUMMYFUNCTION("""COMPUTED_VALUE"""),2.0)</f>
        <v>2</v>
      </c>
      <c r="G2311" s="6">
        <f>IFERROR(__xludf.DUMMYFUNCTION("""COMPUTED_VALUE"""),0.0)</f>
        <v>0</v>
      </c>
      <c r="H2311" s="6" t="str">
        <f>IFERROR(__xludf.DUMMYFUNCTION("""COMPUTED_VALUE"""),"Pcs")</f>
        <v>Pcs</v>
      </c>
      <c r="I2311" s="6" t="str">
        <f>IFERROR(__xludf.DUMMYFUNCTION("""COMPUTED_VALUE"""),"MFH")</f>
        <v>MFH</v>
      </c>
      <c r="J2311" s="6" t="str">
        <f>IFERROR(__xludf.DUMMYFUNCTION("""COMPUTED_VALUE"""),"WWTP")</f>
        <v>WWTP</v>
      </c>
      <c r="K2311" s="6" t="str">
        <f>IFERROR(__xludf.DUMMYFUNCTION("""COMPUTED_VALUE"""),"SPR/08/25/019")</f>
        <v>SPR/08/25/019</v>
      </c>
      <c r="L2311" s="13">
        <f>IFERROR(__xludf.DUMMYFUNCTION("""COMPUTED_VALUE"""),45898.0)</f>
        <v>45898</v>
      </c>
    </row>
    <row r="2312">
      <c r="A2312" s="6" t="str">
        <f>IFERROR(__xludf.DUMMYFUNCTION("""COMPUTED_VALUE"""),"RIA ")</f>
        <v>RIA </v>
      </c>
      <c r="B2312" s="6" t="str">
        <f>IFERROR(__xludf.DUMMYFUNCTION("""COMPUTED_VALUE"""),"ENG")</f>
        <v>ENG</v>
      </c>
      <c r="C2312" s="6" t="str">
        <f>IFERROR(__xludf.DUMMYFUNCTION("""COMPUTED_VALUE"""),"P-53170-00")</f>
        <v>P-53170-00</v>
      </c>
      <c r="D2312" s="6" t="str">
        <f>IFERROR(__xludf.DUMMYFUNCTION("""COMPUTED_VALUE"""),"Ballast Electronic EB-C 128 TL5, 1x28W; Phillips; ;")</f>
        <v>Ballast Electronic EB-C 128 TL5, 1x28W; Phillips; ;</v>
      </c>
      <c r="E2312" s="6">
        <f>IFERROR(__xludf.DUMMYFUNCTION("""COMPUTED_VALUE"""),2.0)</f>
        <v>2</v>
      </c>
      <c r="F2312" s="6">
        <f>IFERROR(__xludf.DUMMYFUNCTION("""COMPUTED_VALUE"""),2.0)</f>
        <v>2</v>
      </c>
      <c r="G2312" s="6">
        <f>IFERROR(__xludf.DUMMYFUNCTION("""COMPUTED_VALUE"""),0.0)</f>
        <v>0</v>
      </c>
      <c r="H2312" s="6" t="str">
        <f>IFERROR(__xludf.DUMMYFUNCTION("""COMPUTED_VALUE"""),"Pcs")</f>
        <v>Pcs</v>
      </c>
      <c r="I2312" s="6" t="str">
        <f>IFERROR(__xludf.DUMMYFUNCTION("""COMPUTED_VALUE"""),"MFH")</f>
        <v>MFH</v>
      </c>
      <c r="J2312" s="6" t="str">
        <f>IFERROR(__xludf.DUMMYFUNCTION("""COMPUTED_VALUE"""),"Filling")</f>
        <v>Filling</v>
      </c>
      <c r="K2312" s="6" t="str">
        <f>IFERROR(__xludf.DUMMYFUNCTION("""COMPUTED_VALUE"""),"SPR/08/25/019")</f>
        <v>SPR/08/25/019</v>
      </c>
      <c r="L2312" s="13">
        <f>IFERROR(__xludf.DUMMYFUNCTION("""COMPUTED_VALUE"""),45898.0)</f>
        <v>45898</v>
      </c>
    </row>
    <row r="2313">
      <c r="A2313" s="6" t="str">
        <f>IFERROR(__xludf.DUMMYFUNCTION("""COMPUTED_VALUE"""),"NDS ")</f>
        <v>NDS </v>
      </c>
      <c r="B2313" s="6" t="str">
        <f>IFERROR(__xludf.DUMMYFUNCTION("""COMPUTED_VALUE"""),"ENG")</f>
        <v>ENG</v>
      </c>
      <c r="C2313" s="6" t="str">
        <f>IFERROR(__xludf.DUMMYFUNCTION("""COMPUTED_VALUE"""),"P-54327-00")</f>
        <v>P-54327-00</v>
      </c>
      <c r="D2313" s="6" t="str">
        <f>IFERROR(__xludf.DUMMYFUNCTION("""COMPUTED_VALUE"""),"General - Kap Lampu Waterptoof T8 1x18 IP65; No Brand; -; 1 pc")</f>
        <v>General - Kap Lampu Waterptoof T8 1x18 IP65; No Brand; -; 1 pc</v>
      </c>
      <c r="E2313" s="6">
        <f>IFERROR(__xludf.DUMMYFUNCTION("""COMPUTED_VALUE"""),20.0)</f>
        <v>20</v>
      </c>
      <c r="F2313" s="6">
        <f>IFERROR(__xludf.DUMMYFUNCTION("""COMPUTED_VALUE"""),18.0)</f>
        <v>18</v>
      </c>
      <c r="G2313" s="6">
        <f>IFERROR(__xludf.DUMMYFUNCTION("""COMPUTED_VALUE"""),2.0)</f>
        <v>2</v>
      </c>
      <c r="H2313" s="6" t="str">
        <f>IFERROR(__xludf.DUMMYFUNCTION("""COMPUTED_VALUE"""),"Pcs")</f>
        <v>Pcs</v>
      </c>
      <c r="I2313" s="6" t="str">
        <f>IFERROR(__xludf.DUMMYFUNCTION("""COMPUTED_VALUE"""),"MFH")</f>
        <v>MFH</v>
      </c>
      <c r="J2313" s="6" t="str">
        <f>IFERROR(__xludf.DUMMYFUNCTION("""COMPUTED_VALUE"""),"Crabs")</f>
        <v>Crabs</v>
      </c>
      <c r="K2313" s="6" t="str">
        <f>IFERROR(__xludf.DUMMYFUNCTION("""COMPUTED_VALUE"""),"SPR/08/25/020")</f>
        <v>SPR/08/25/020</v>
      </c>
      <c r="L2313" s="13">
        <f>IFERROR(__xludf.DUMMYFUNCTION("""COMPUTED_VALUE"""),45898.0)</f>
        <v>45898</v>
      </c>
    </row>
    <row r="2314">
      <c r="A2314" s="6" t="str">
        <f>IFERROR(__xludf.DUMMYFUNCTION("""COMPUTED_VALUE"""),"NDS")</f>
        <v>NDS</v>
      </c>
      <c r="B2314" s="6" t="str">
        <f>IFERROR(__xludf.DUMMYFUNCTION("""COMPUTED_VALUE"""),"ENG")</f>
        <v>ENG</v>
      </c>
      <c r="C2314" s="6" t="str">
        <f>IFERROR(__xludf.DUMMYFUNCTION("""COMPUTED_VALUE"""),"P-54328-00")</f>
        <v>P-54328-00</v>
      </c>
      <c r="D2314" s="6" t="str">
        <f>IFERROR(__xludf.DUMMYFUNCTION("""COMPUTED_VALUE"""),"General - Lampu LED T8 9W Kuning 3000K; Hannochs; -; 1 pc")</f>
        <v>General - Lampu LED T8 9W Kuning 3000K; Hannochs; -; 1 pc</v>
      </c>
      <c r="E2314" s="6">
        <f>IFERROR(__xludf.DUMMYFUNCTION("""COMPUTED_VALUE"""),20.0)</f>
        <v>20</v>
      </c>
      <c r="F2314" s="6">
        <f>IFERROR(__xludf.DUMMYFUNCTION("""COMPUTED_VALUE"""),19.0)</f>
        <v>19</v>
      </c>
      <c r="G2314" s="6">
        <f>IFERROR(__xludf.DUMMYFUNCTION("""COMPUTED_VALUE"""),1.0)</f>
        <v>1</v>
      </c>
      <c r="H2314" s="6" t="str">
        <f>IFERROR(__xludf.DUMMYFUNCTION("""COMPUTED_VALUE"""),"Pcs")</f>
        <v>Pcs</v>
      </c>
      <c r="I2314" s="6" t="str">
        <f>IFERROR(__xludf.DUMMYFUNCTION("""COMPUTED_VALUE"""),"MFH")</f>
        <v>MFH</v>
      </c>
      <c r="J2314" s="6" t="str">
        <f>IFERROR(__xludf.DUMMYFUNCTION("""COMPUTED_VALUE"""),"Crabs")</f>
        <v>Crabs</v>
      </c>
      <c r="K2314" s="6" t="str">
        <f>IFERROR(__xludf.DUMMYFUNCTION("""COMPUTED_VALUE"""),"SPR/08/25/020")</f>
        <v>SPR/08/25/020</v>
      </c>
      <c r="L2314" s="13">
        <f>IFERROR(__xludf.DUMMYFUNCTION("""COMPUTED_VALUE"""),45898.0)</f>
        <v>45898</v>
      </c>
    </row>
    <row r="2315">
      <c r="A2315" s="6" t="str">
        <f>IFERROR(__xludf.DUMMYFUNCTION("""COMPUTED_VALUE"""),"NDS")</f>
        <v>NDS</v>
      </c>
      <c r="B2315" s="6" t="str">
        <f>IFERROR(__xludf.DUMMYFUNCTION("""COMPUTED_VALUE"""),"ENG")</f>
        <v>ENG</v>
      </c>
      <c r="C2315" s="6" t="str">
        <f>IFERROR(__xludf.DUMMYFUNCTION("""COMPUTED_VALUE"""),"T-80109-00")</f>
        <v>T-80109-00</v>
      </c>
      <c r="D2315" s="6" t="str">
        <f>IFERROR(__xludf.DUMMYFUNCTION("""COMPUTED_VALUE"""),"Cellotape Kertas 1 inch warna Putih")</f>
        <v>Cellotape Kertas 1 inch warna Putih</v>
      </c>
      <c r="E2315" s="6">
        <f>IFERROR(__xludf.DUMMYFUNCTION("""COMPUTED_VALUE"""),1.0)</f>
        <v>1</v>
      </c>
      <c r="F2315" s="6">
        <f>IFERROR(__xludf.DUMMYFUNCTION("""COMPUTED_VALUE"""),1.0)</f>
        <v>1</v>
      </c>
      <c r="G2315" s="6">
        <f>IFERROR(__xludf.DUMMYFUNCTION("""COMPUTED_VALUE"""),0.0)</f>
        <v>0</v>
      </c>
      <c r="H2315" s="6" t="str">
        <f>IFERROR(__xludf.DUMMYFUNCTION("""COMPUTED_VALUE"""),"Pcs")</f>
        <v>Pcs</v>
      </c>
      <c r="I2315" s="6" t="str">
        <f>IFERROR(__xludf.DUMMYFUNCTION("""COMPUTED_VALUE"""),"MFH")</f>
        <v>MFH</v>
      </c>
      <c r="J2315" s="6" t="str">
        <f>IFERROR(__xludf.DUMMYFUNCTION("""COMPUTED_VALUE"""),"Crabs")</f>
        <v>Crabs</v>
      </c>
      <c r="K2315" s="6" t="str">
        <f>IFERROR(__xludf.DUMMYFUNCTION("""COMPUTED_VALUE"""),"SPR/08/25/020")</f>
        <v>SPR/08/25/020</v>
      </c>
      <c r="L2315" s="13">
        <f>IFERROR(__xludf.DUMMYFUNCTION("""COMPUTED_VALUE"""),45898.0)</f>
        <v>45898</v>
      </c>
    </row>
    <row r="2316">
      <c r="A2316" s="6" t="str">
        <f>IFERROR(__xludf.DUMMYFUNCTION("""COMPUTED_VALUE"""),"NDS")</f>
        <v>NDS</v>
      </c>
      <c r="B2316" s="6" t="str">
        <f>IFERROR(__xludf.DUMMYFUNCTION("""COMPUTED_VALUE"""),"ENG")</f>
        <v>ENG</v>
      </c>
      <c r="C2316" s="6" t="str">
        <f>IFERROR(__xludf.DUMMYFUNCTION("""COMPUTED_VALUE"""),"P-19820-00")</f>
        <v>P-19820-00</v>
      </c>
      <c r="D2316" s="6" t="str">
        <f>IFERROR(__xludf.DUMMYFUNCTION("""COMPUTED_VALUE"""),"General - Baut L Tanam M5 x 10 x 0.8 SS 304; No Brand; -; 100pcs/pack")</f>
        <v>General - Baut L Tanam M5 x 10 x 0.8 SS 304; No Brand; -; 100pcs/pack</v>
      </c>
      <c r="E2316" s="6">
        <f>IFERROR(__xludf.DUMMYFUNCTION("""COMPUTED_VALUE"""),5.0)</f>
        <v>5</v>
      </c>
      <c r="F2316" s="6">
        <f>IFERROR(__xludf.DUMMYFUNCTION("""COMPUTED_VALUE"""),5.0)</f>
        <v>5</v>
      </c>
      <c r="G2316" s="6">
        <f>IFERROR(__xludf.DUMMYFUNCTION("""COMPUTED_VALUE"""),0.0)</f>
        <v>0</v>
      </c>
      <c r="H2316" s="6" t="str">
        <f>IFERROR(__xludf.DUMMYFUNCTION("""COMPUTED_VALUE"""),"Pcs")</f>
        <v>Pcs</v>
      </c>
      <c r="I2316" s="6" t="str">
        <f>IFERROR(__xludf.DUMMYFUNCTION("""COMPUTED_VALUE"""),"MFH")</f>
        <v>MFH</v>
      </c>
      <c r="J2316" s="6" t="str">
        <f>IFERROR(__xludf.DUMMYFUNCTION("""COMPUTED_VALUE"""),"Gloove leakrester")</f>
        <v>Gloove leakrester</v>
      </c>
      <c r="K2316" s="6" t="str">
        <f>IFERROR(__xludf.DUMMYFUNCTION("""COMPUTED_VALUE"""),"SPR/08/25/021")</f>
        <v>SPR/08/25/021</v>
      </c>
      <c r="L2316" s="13">
        <f>IFERROR(__xludf.DUMMYFUNCTION("""COMPUTED_VALUE"""),45898.0)</f>
        <v>45898</v>
      </c>
    </row>
    <row r="2317">
      <c r="A2317" s="6" t="str">
        <f>IFERROR(__xludf.DUMMYFUNCTION("""COMPUTED_VALUE"""),"BDU ")</f>
        <v>BDU </v>
      </c>
      <c r="B2317" s="6" t="str">
        <f>IFERROR(__xludf.DUMMYFUNCTION("""COMPUTED_VALUE"""),"ENG")</f>
        <v>ENG</v>
      </c>
      <c r="C2317" s="6" t="str">
        <f>IFERROR(__xludf.DUMMYFUNCTION("""COMPUTED_VALUE"""),"P-51560-00")</f>
        <v>P-51560-00</v>
      </c>
      <c r="D2317" s="6" t="str">
        <f>IFERROR(__xludf.DUMMYFUNCTION("""COMPUTED_VALUE"""),"Lampu T5 28watt Putih; Phillips; ;")</f>
        <v>Lampu T5 28watt Putih; Phillips; ;</v>
      </c>
      <c r="E2317" s="6">
        <f>IFERROR(__xludf.DUMMYFUNCTION("""COMPUTED_VALUE"""),10.0)</f>
        <v>10</v>
      </c>
      <c r="F2317" s="6">
        <f>IFERROR(__xludf.DUMMYFUNCTION("""COMPUTED_VALUE"""),10.0)</f>
        <v>10</v>
      </c>
      <c r="G2317" s="6">
        <f>IFERROR(__xludf.DUMMYFUNCTION("""COMPUTED_VALUE"""),0.0)</f>
        <v>0</v>
      </c>
      <c r="H2317" s="6" t="str">
        <f>IFERROR(__xludf.DUMMYFUNCTION("""COMPUTED_VALUE"""),"Pcs")</f>
        <v>Pcs</v>
      </c>
      <c r="I2317" s="6" t="str">
        <f>IFERROR(__xludf.DUMMYFUNCTION("""COMPUTED_VALUE"""),"MFH")</f>
        <v>MFH</v>
      </c>
      <c r="J2317" s="6" t="str">
        <f>IFERROR(__xludf.DUMMYFUNCTION("""COMPUTED_VALUE"""),"Building ")</f>
        <v>Building </v>
      </c>
      <c r="K2317" s="6" t="str">
        <f>IFERROR(__xludf.DUMMYFUNCTION("""COMPUTED_VALUE"""),"SPR/08/25/022")</f>
        <v>SPR/08/25/022</v>
      </c>
      <c r="L2317" s="13">
        <f>IFERROR(__xludf.DUMMYFUNCTION("""COMPUTED_VALUE"""),45898.0)</f>
        <v>45898</v>
      </c>
    </row>
    <row r="2318">
      <c r="A2318" s="6" t="str">
        <f>IFERROR(__xludf.DUMMYFUNCTION("""COMPUTED_VALUE"""),"MFH")</f>
        <v>MFH</v>
      </c>
      <c r="B2318" s="6" t="str">
        <f>IFERROR(__xludf.DUMMYFUNCTION("""COMPUTED_VALUE"""),"ENG")</f>
        <v>ENG</v>
      </c>
      <c r="C2318" s="6" t="str">
        <f>IFERROR(__xludf.DUMMYFUNCTION("""COMPUTED_VALUE"""),"O-54171-00")</f>
        <v>O-54171-00</v>
      </c>
      <c r="D2318" s="6" t="str">
        <f>IFERROR(__xludf.DUMMYFUNCTION("""COMPUTED_VALUE"""),"Service Push Button With Plug; Melchers; ENG-SEI-42-057679-00;")</f>
        <v>Service Push Button With Plug; Melchers; ENG-SEI-42-057679-00;</v>
      </c>
      <c r="E2318" s="6">
        <f>IFERROR(__xludf.DUMMYFUNCTION("""COMPUTED_VALUE"""),1.0)</f>
        <v>1</v>
      </c>
      <c r="F2318" s="6">
        <f>IFERROR(__xludf.DUMMYFUNCTION("""COMPUTED_VALUE"""),1.0)</f>
        <v>1</v>
      </c>
      <c r="G2318" s="6">
        <f>IFERROR(__xludf.DUMMYFUNCTION("""COMPUTED_VALUE"""),0.0)</f>
        <v>0</v>
      </c>
      <c r="H2318" s="6" t="str">
        <f>IFERROR(__xludf.DUMMYFUNCTION("""COMPUTED_VALUE"""),"Pcs")</f>
        <v>Pcs</v>
      </c>
      <c r="I2318" s="6" t="str">
        <f>IFERROR(__xludf.DUMMYFUNCTION("""COMPUTED_VALUE"""),"MFH")</f>
        <v>MFH</v>
      </c>
      <c r="J2318" s="6" t="str">
        <f>IFERROR(__xludf.DUMMYFUNCTION("""COMPUTED_VALUE"""),"MS30")</f>
        <v>MS30</v>
      </c>
      <c r="K2318" s="6" t="str">
        <f>IFERROR(__xludf.DUMMYFUNCTION("""COMPUTED_VALUE"""),"SPR/08/25/023")</f>
        <v>SPR/08/25/023</v>
      </c>
      <c r="L2318" s="13">
        <f>IFERROR(__xludf.DUMMYFUNCTION("""COMPUTED_VALUE"""),45898.0)</f>
        <v>45898</v>
      </c>
    </row>
    <row r="2319">
      <c r="A2319" s="6" t="str">
        <f>IFERROR(__xludf.DUMMYFUNCTION("""COMPUTED_VALUE"""),"MFH")</f>
        <v>MFH</v>
      </c>
      <c r="B2319" s="6" t="str">
        <f>IFERROR(__xludf.DUMMYFUNCTION("""COMPUTED_VALUE"""),"ENG")</f>
        <v>ENG</v>
      </c>
      <c r="C2319" s="6" t="str">
        <f>IFERROR(__xludf.DUMMYFUNCTION("""COMPUTED_VALUE"""),"O-20504-00")</f>
        <v>O-20504-00</v>
      </c>
      <c r="D2319" s="6" t="str">
        <f>IFERROR(__xludf.DUMMYFUNCTION("""COMPUTED_VALUE"""),"Mixing Tank Adam - Corong Mesin 10x1.5 inch Mat. SS 316; Custom/Lokal; -; 1 Pc")</f>
        <v>Mixing Tank Adam - Corong Mesin 10x1.5 inch Mat. SS 316; Custom/Lokal; -; 1 Pc</v>
      </c>
      <c r="E2319" s="6">
        <f>IFERROR(__xludf.DUMMYFUNCTION("""COMPUTED_VALUE"""),1.0)</f>
        <v>1</v>
      </c>
      <c r="F2319" s="6">
        <f>IFERROR(__xludf.DUMMYFUNCTION("""COMPUTED_VALUE"""),1.0)</f>
        <v>1</v>
      </c>
      <c r="G2319" s="6">
        <f>IFERROR(__xludf.DUMMYFUNCTION("""COMPUTED_VALUE"""),0.0)</f>
        <v>0</v>
      </c>
      <c r="H2319" s="6" t="str">
        <f>IFERROR(__xludf.DUMMYFUNCTION("""COMPUTED_VALUE"""),"Pcs")</f>
        <v>Pcs</v>
      </c>
      <c r="I2319" s="6" t="str">
        <f>IFERROR(__xludf.DUMMYFUNCTION("""COMPUTED_VALUE"""),"MFH")</f>
        <v>MFH</v>
      </c>
      <c r="J2319" s="6" t="str">
        <f>IFERROR(__xludf.DUMMYFUNCTION("""COMPUTED_VALUE"""),"Mixing ")</f>
        <v>Mixing </v>
      </c>
      <c r="K2319" s="6" t="str">
        <f>IFERROR(__xludf.DUMMYFUNCTION("""COMPUTED_VALUE"""),"SPR/08/25/023")</f>
        <v>SPR/08/25/023</v>
      </c>
      <c r="L2319" s="13">
        <f>IFERROR(__xludf.DUMMYFUNCTION("""COMPUTED_VALUE"""),45898.0)</f>
        <v>45898</v>
      </c>
    </row>
    <row r="2320">
      <c r="A2320" s="6" t="str">
        <f>IFERROR(__xludf.DUMMYFUNCTION("""COMPUTED_VALUE"""),"MFH")</f>
        <v>MFH</v>
      </c>
      <c r="B2320" s="6" t="str">
        <f>IFERROR(__xludf.DUMMYFUNCTION("""COMPUTED_VALUE"""),"ENG")</f>
        <v>ENG</v>
      </c>
      <c r="C2320" s="6" t="str">
        <f>IFERROR(__xludf.DUMMYFUNCTION("""COMPUTED_VALUE"""),"O-53238-00")</f>
        <v>O-53238-00</v>
      </c>
      <c r="D2320" s="6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E2320" s="6">
        <f>IFERROR(__xludf.DUMMYFUNCTION("""COMPUTED_VALUE"""),1.0)</f>
        <v>1</v>
      </c>
      <c r="F2320" s="6">
        <f>IFERROR(__xludf.DUMMYFUNCTION("""COMPUTED_VALUE"""),1.0)</f>
        <v>1</v>
      </c>
      <c r="G2320" s="6">
        <f>IFERROR(__xludf.DUMMYFUNCTION("""COMPUTED_VALUE"""),0.0)</f>
        <v>0</v>
      </c>
      <c r="H2320" s="6" t="str">
        <f>IFERROR(__xludf.DUMMYFUNCTION("""COMPUTED_VALUE"""),"Pcs")</f>
        <v>Pcs</v>
      </c>
      <c r="I2320" s="6" t="str">
        <f>IFERROR(__xludf.DUMMYFUNCTION("""COMPUTED_VALUE"""),"MFH")</f>
        <v>MFH</v>
      </c>
      <c r="J2320" s="6" t="str">
        <f>IFERROR(__xludf.DUMMYFUNCTION("""COMPUTED_VALUE"""),"Mixing")</f>
        <v>Mixing</v>
      </c>
      <c r="K2320" s="6" t="str">
        <f>IFERROR(__xludf.DUMMYFUNCTION("""COMPUTED_VALUE"""),"SPR/08/25/023")</f>
        <v>SPR/08/25/023</v>
      </c>
      <c r="L2320" s="13">
        <f>IFERROR(__xludf.DUMMYFUNCTION("""COMPUTED_VALUE"""),45898.0)</f>
        <v>45898</v>
      </c>
    </row>
    <row r="2321">
      <c r="A2321" s="6" t="str">
        <f>IFERROR(__xludf.DUMMYFUNCTION("""COMPUTED_VALUE"""),"ANO ")</f>
        <v>ANO </v>
      </c>
      <c r="B2321" s="6" t="str">
        <f>IFERROR(__xludf.DUMMYFUNCTION("""COMPUTED_VALUE"""),"ENG")</f>
        <v>ENG</v>
      </c>
      <c r="C2321" s="6" t="str">
        <f>IFERROR(__xludf.DUMMYFUNCTION("""COMPUTED_VALUE"""),"P-15852-00")</f>
        <v>P-15852-00</v>
      </c>
      <c r="D2321" s="6" t="str">
        <f>IFERROR(__xludf.DUMMYFUNCTION("""COMPUTED_VALUE"""),"AMPLAS  EAGLE 500")</f>
        <v>AMPLAS  EAGLE 500</v>
      </c>
      <c r="E2321" s="6">
        <f>IFERROR(__xludf.DUMMYFUNCTION("""COMPUTED_VALUE"""),1.0)</f>
        <v>1</v>
      </c>
      <c r="F2321" s="6">
        <f>IFERROR(__xludf.DUMMYFUNCTION("""COMPUTED_VALUE"""),1.0)</f>
        <v>1</v>
      </c>
      <c r="G2321" s="6">
        <f>IFERROR(__xludf.DUMMYFUNCTION("""COMPUTED_VALUE"""),0.0)</f>
        <v>0</v>
      </c>
      <c r="H2321" s="6" t="str">
        <f>IFERROR(__xludf.DUMMYFUNCTION("""COMPUTED_VALUE"""),"Pcs")</f>
        <v>Pcs</v>
      </c>
      <c r="I2321" s="6" t="str">
        <f>IFERROR(__xludf.DUMMYFUNCTION("""COMPUTED_VALUE"""),"MFH")</f>
        <v>MFH</v>
      </c>
      <c r="J2321" s="6" t="str">
        <f>IFERROR(__xludf.DUMMYFUNCTION("""COMPUTED_VALUE"""),"Trolley ")</f>
        <v>Trolley </v>
      </c>
      <c r="K2321" s="6" t="str">
        <f>IFERROR(__xludf.DUMMYFUNCTION("""COMPUTED_VALUE"""),"SPR/08/25/024")</f>
        <v>SPR/08/25/024</v>
      </c>
      <c r="L2321" s="13">
        <f>IFERROR(__xludf.DUMMYFUNCTION("""COMPUTED_VALUE"""),45898.0)</f>
        <v>45898</v>
      </c>
    </row>
    <row r="2322">
      <c r="A2322" s="6" t="str">
        <f>IFERROR(__xludf.DUMMYFUNCTION("""COMPUTED_VALUE"""),"ANO ")</f>
        <v>ANO </v>
      </c>
      <c r="B2322" s="6" t="str">
        <f>IFERROR(__xludf.DUMMYFUNCTION("""COMPUTED_VALUE"""),"ENG")</f>
        <v>ENG</v>
      </c>
      <c r="C2322" s="6" t="str">
        <f>IFERROR(__xludf.DUMMYFUNCTION("""COMPUTED_VALUE"""),"P-15851-00")</f>
        <v>P-15851-00</v>
      </c>
      <c r="D2322" s="6" t="str">
        <f>IFERROR(__xludf.DUMMYFUNCTION("""COMPUTED_VALUE"""),"AMPLAS  EAGLE 100")</f>
        <v>AMPLAS  EAGLE 100</v>
      </c>
      <c r="E2322" s="6">
        <f>IFERROR(__xludf.DUMMYFUNCTION("""COMPUTED_VALUE"""),1.0)</f>
        <v>1</v>
      </c>
      <c r="F2322" s="6">
        <f>IFERROR(__xludf.DUMMYFUNCTION("""COMPUTED_VALUE"""),1.0)</f>
        <v>1</v>
      </c>
      <c r="G2322" s="6">
        <f>IFERROR(__xludf.DUMMYFUNCTION("""COMPUTED_VALUE"""),0.0)</f>
        <v>0</v>
      </c>
      <c r="H2322" s="6" t="str">
        <f>IFERROR(__xludf.DUMMYFUNCTION("""COMPUTED_VALUE"""),"Pcs")</f>
        <v>Pcs</v>
      </c>
      <c r="I2322" s="6" t="str">
        <f>IFERROR(__xludf.DUMMYFUNCTION("""COMPUTED_VALUE"""),"MFH")</f>
        <v>MFH</v>
      </c>
      <c r="J2322" s="6" t="str">
        <f>IFERROR(__xludf.DUMMYFUNCTION("""COMPUTED_VALUE"""),"Trolley")</f>
        <v>Trolley</v>
      </c>
      <c r="K2322" s="6" t="str">
        <f>IFERROR(__xludf.DUMMYFUNCTION("""COMPUTED_VALUE"""),"SPR/08/25/024")</f>
        <v>SPR/08/25/024</v>
      </c>
      <c r="L2322" s="13">
        <f>IFERROR(__xludf.DUMMYFUNCTION("""COMPUTED_VALUE"""),45898.0)</f>
        <v>45898</v>
      </c>
    </row>
    <row r="2323">
      <c r="A2323" s="6" t="str">
        <f>IFERROR(__xludf.DUMMYFUNCTION("""COMPUTED_VALUE"""),"ANO ")</f>
        <v>ANO </v>
      </c>
      <c r="B2323" s="6" t="str">
        <f>IFERROR(__xludf.DUMMYFUNCTION("""COMPUTED_VALUE"""),"ENG")</f>
        <v>ENG</v>
      </c>
      <c r="C2323" s="6" t="str">
        <f>IFERROR(__xludf.DUMMYFUNCTION("""COMPUTED_VALUE"""),"O-19512-00")</f>
        <v>O-19512-00</v>
      </c>
      <c r="D2323" s="6" t="str">
        <f>IFERROR(__xludf.DUMMYFUNCTION("""COMPUTED_VALUE"""),"Gasket Uk. 1,5 mm x 100 cm x 100 cm; Klingersil; C-4400;")</f>
        <v>Gasket Uk. 1,5 mm x 100 cm x 100 cm; Klingersil; C-4400;</v>
      </c>
      <c r="E2323" s="6">
        <f>IFERROR(__xludf.DUMMYFUNCTION("""COMPUTED_VALUE"""),1.0)</f>
        <v>1</v>
      </c>
      <c r="F2323" s="6">
        <f>IFERROR(__xludf.DUMMYFUNCTION("""COMPUTED_VALUE"""),1.0)</f>
        <v>1</v>
      </c>
      <c r="G2323" s="6">
        <f>IFERROR(__xludf.DUMMYFUNCTION("""COMPUTED_VALUE"""),0.0)</f>
        <v>0</v>
      </c>
      <c r="H2323" s="6" t="str">
        <f>IFERROR(__xludf.DUMMYFUNCTION("""COMPUTED_VALUE"""),"Potong ")</f>
        <v>Potong </v>
      </c>
      <c r="I2323" s="6" t="str">
        <f>IFERROR(__xludf.DUMMYFUNCTION("""COMPUTED_VALUE"""),"MFH")</f>
        <v>MFH</v>
      </c>
      <c r="J2323" s="6" t="str">
        <f>IFERROR(__xludf.DUMMYFUNCTION("""COMPUTED_VALUE"""),"Aerosol gen")</f>
        <v>Aerosol gen</v>
      </c>
      <c r="K2323" s="6" t="str">
        <f>IFERROR(__xludf.DUMMYFUNCTION("""COMPUTED_VALUE"""),"SPR/08/25/025")</f>
        <v>SPR/08/25/025</v>
      </c>
      <c r="L2323" s="13">
        <f>IFERROR(__xludf.DUMMYFUNCTION("""COMPUTED_VALUE"""),45898.0)</f>
        <v>45898</v>
      </c>
    </row>
    <row r="2324">
      <c r="A2324" s="6" t="str">
        <f>IFERROR(__xludf.DUMMYFUNCTION("""COMPUTED_VALUE"""),"ANO ")</f>
        <v>ANO </v>
      </c>
      <c r="B2324" s="6" t="str">
        <f>IFERROR(__xludf.DUMMYFUNCTION("""COMPUTED_VALUE"""),"ENG")</f>
        <v>ENG</v>
      </c>
      <c r="C2324" s="6" t="str">
        <f>IFERROR(__xludf.DUMMYFUNCTION("""COMPUTED_VALUE"""),"P-11694-00")</f>
        <v>P-11694-00</v>
      </c>
      <c r="D2324" s="6" t="str">
        <f>IFERROR(__xludf.DUMMYFUNCTION("""COMPUTED_VALUE"""),"Mata Gerinda 4""")</f>
        <v>Mata Gerinda 4"</v>
      </c>
      <c r="E2324" s="6">
        <f>IFERROR(__xludf.DUMMYFUNCTION("""COMPUTED_VALUE"""),1.0)</f>
        <v>1</v>
      </c>
      <c r="F2324" s="6">
        <f>IFERROR(__xludf.DUMMYFUNCTION("""COMPUTED_VALUE"""),1.0)</f>
        <v>1</v>
      </c>
      <c r="G2324" s="6">
        <f>IFERROR(__xludf.DUMMYFUNCTION("""COMPUTED_VALUE"""),0.0)</f>
        <v>0</v>
      </c>
      <c r="H2324" s="6" t="str">
        <f>IFERROR(__xludf.DUMMYFUNCTION("""COMPUTED_VALUE"""),"Pcs")</f>
        <v>Pcs</v>
      </c>
      <c r="I2324" s="6" t="str">
        <f>IFERROR(__xludf.DUMMYFUNCTION("""COMPUTED_VALUE"""),"MFH")</f>
        <v>MFH</v>
      </c>
      <c r="J2324" s="6" t="str">
        <f>IFERROR(__xludf.DUMMYFUNCTION("""COMPUTED_VALUE"""),"Trolley ")</f>
        <v>Trolley </v>
      </c>
      <c r="K2324" s="6" t="str">
        <f>IFERROR(__xludf.DUMMYFUNCTION("""COMPUTED_VALUE"""),"SPR/08/25/025")</f>
        <v>SPR/08/25/025</v>
      </c>
      <c r="L2324" s="13">
        <f>IFERROR(__xludf.DUMMYFUNCTION("""COMPUTED_VALUE"""),45898.0)</f>
        <v>45898</v>
      </c>
    </row>
    <row r="2325">
      <c r="A2325" s="6" t="str">
        <f>IFERROR(__xludf.DUMMYFUNCTION("""COMPUTED_VALUE"""),"NDS")</f>
        <v>NDS</v>
      </c>
      <c r="B2325" s="6" t="str">
        <f>IFERROR(__xludf.DUMMYFUNCTION("""COMPUTED_VALUE"""),"ENG")</f>
        <v>ENG</v>
      </c>
      <c r="C2325" s="6" t="str">
        <f>IFERROR(__xludf.DUMMYFUNCTION("""COMPUTED_VALUE"""),"P-52110-00")</f>
        <v>P-52110-00</v>
      </c>
      <c r="D2325" s="6" t="str">
        <f>IFERROR(__xludf.DUMMYFUNCTION("""COMPUTED_VALUE"""),"CAPACITOR 5 uF, 500 V, 50/60 Hz; ; ;")</f>
        <v>CAPACITOR 5 uF, 500 V, 50/60 Hz; ; ;</v>
      </c>
      <c r="E2325" s="6">
        <f>IFERROR(__xludf.DUMMYFUNCTION("""COMPUTED_VALUE"""),1.0)</f>
        <v>1</v>
      </c>
      <c r="F2325" s="6">
        <f>IFERROR(__xludf.DUMMYFUNCTION("""COMPUTED_VALUE"""),1.0)</f>
        <v>1</v>
      </c>
      <c r="G2325" s="6">
        <f>IFERROR(__xludf.DUMMYFUNCTION("""COMPUTED_VALUE"""),0.0)</f>
        <v>0</v>
      </c>
      <c r="H2325" s="6" t="str">
        <f>IFERROR(__xludf.DUMMYFUNCTION("""COMPUTED_VALUE"""),"Pcs")</f>
        <v>Pcs</v>
      </c>
      <c r="I2325" s="6" t="str">
        <f>IFERROR(__xludf.DUMMYFUNCTION("""COMPUTED_VALUE"""),"MFH")</f>
        <v>MFH</v>
      </c>
      <c r="J2325" s="6" t="str">
        <f>IFERROR(__xludf.DUMMYFUNCTION("""COMPUTED_VALUE"""),"BOD 2")</f>
        <v>BOD 2</v>
      </c>
      <c r="K2325" s="6" t="str">
        <f>IFERROR(__xludf.DUMMYFUNCTION("""COMPUTED_VALUE"""),"SPR/08/25/026")</f>
        <v>SPR/08/25/026</v>
      </c>
      <c r="L2325" s="13">
        <f>IFERROR(__xludf.DUMMYFUNCTION("""COMPUTED_VALUE"""),45898.0)</f>
        <v>45898</v>
      </c>
    </row>
    <row r="2326">
      <c r="A2326" s="6" t="str">
        <f>IFERROR(__xludf.DUMMYFUNCTION("""COMPUTED_VALUE"""),"NDS")</f>
        <v>NDS</v>
      </c>
      <c r="B2326" s="6" t="str">
        <f>IFERROR(__xludf.DUMMYFUNCTION("""COMPUTED_VALUE"""),"ENG")</f>
        <v>ENG</v>
      </c>
      <c r="C2326" s="6" t="str">
        <f>IFERROR(__xludf.DUMMYFUNCTION("""COMPUTED_VALUE"""),"O-51000-00")</f>
        <v>O-51000-00</v>
      </c>
      <c r="D2326" s="6" t="str">
        <f>IFERROR(__xludf.DUMMYFUNCTION("""COMPUTED_VALUE"""),"Colamark - Print Head for Part TTO Domino p/n EPP001359 SP; ; ;")</f>
        <v>Colamark - Print Head for Part TTO Domino p/n EPP001359 SP; ; ;</v>
      </c>
      <c r="E2326" s="6">
        <f>IFERROR(__xludf.DUMMYFUNCTION("""COMPUTED_VALUE"""),1.0)</f>
        <v>1</v>
      </c>
      <c r="F2326" s="6">
        <f>IFERROR(__xludf.DUMMYFUNCTION("""COMPUTED_VALUE"""),1.0)</f>
        <v>1</v>
      </c>
      <c r="G2326" s="6">
        <f>IFERROR(__xludf.DUMMYFUNCTION("""COMPUTED_VALUE"""),0.0)</f>
        <v>0</v>
      </c>
      <c r="H2326" s="6" t="str">
        <f>IFERROR(__xludf.DUMMYFUNCTION("""COMPUTED_VALUE"""),"Set")</f>
        <v>Set</v>
      </c>
      <c r="I2326" s="6" t="str">
        <f>IFERROR(__xludf.DUMMYFUNCTION("""COMPUTED_VALUE"""),"MFH ")</f>
        <v>MFH </v>
      </c>
      <c r="J2326" s="6" t="str">
        <f>IFERROR(__xludf.DUMMYFUNCTION("""COMPUTED_VALUE"""),"Domino ")</f>
        <v>Domino </v>
      </c>
      <c r="K2326" s="6" t="str">
        <f>IFERROR(__xludf.DUMMYFUNCTION("""COMPUTED_VALUE"""),"SPR/08/25/026")</f>
        <v>SPR/08/25/026</v>
      </c>
      <c r="L2326" s="13">
        <f>IFERROR(__xludf.DUMMYFUNCTION("""COMPUTED_VALUE"""),45898.0)</f>
        <v>45898</v>
      </c>
    </row>
    <row r="2327">
      <c r="A2327" s="6" t="str">
        <f>IFERROR(__xludf.DUMMYFUNCTION("""COMPUTED_VALUE"""),"RIA")</f>
        <v>RIA</v>
      </c>
      <c r="B2327" s="6" t="str">
        <f>IFERROR(__xludf.DUMMYFUNCTION("""COMPUTED_VALUE"""),"ENG")</f>
        <v>ENG</v>
      </c>
      <c r="C2327" s="6" t="str">
        <f>IFERROR(__xludf.DUMMYFUNCTION("""COMPUTED_VALUE"""),"P-13370-00")</f>
        <v>P-13370-00</v>
      </c>
      <c r="D2327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E2327" s="6">
        <f>IFERROR(__xludf.DUMMYFUNCTION("""COMPUTED_VALUE"""),2.0)</f>
        <v>2</v>
      </c>
      <c r="F2327" s="6">
        <f>IFERROR(__xludf.DUMMYFUNCTION("""COMPUTED_VALUE"""),2.0)</f>
        <v>2</v>
      </c>
      <c r="G2327" s="6">
        <f>IFERROR(__xludf.DUMMYFUNCTION("""COMPUTED_VALUE"""),0.0)</f>
        <v>0</v>
      </c>
      <c r="H2327" s="6" t="str">
        <f>IFERROR(__xludf.DUMMYFUNCTION("""COMPUTED_VALUE"""),"Pcs")</f>
        <v>Pcs</v>
      </c>
      <c r="I2327" s="6" t="str">
        <f>IFERROR(__xludf.DUMMYFUNCTION("""COMPUTED_VALUE"""),"MFH")</f>
        <v>MFH</v>
      </c>
      <c r="J2327" s="6" t="str">
        <f>IFERROR(__xludf.DUMMYFUNCTION("""COMPUTED_VALUE"""),"Machine ")</f>
        <v>Machine </v>
      </c>
      <c r="K2327" s="6" t="str">
        <f>IFERROR(__xludf.DUMMYFUNCTION("""COMPUTED_VALUE"""),"SPR/08/25/027")</f>
        <v>SPR/08/25/027</v>
      </c>
      <c r="L2327" s="13">
        <f>IFERROR(__xludf.DUMMYFUNCTION("""COMPUTED_VALUE"""),45898.0)</f>
        <v>45898</v>
      </c>
    </row>
    <row r="2328">
      <c r="A2328" s="6" t="str">
        <f>IFERROR(__xludf.DUMMYFUNCTION("""COMPUTED_VALUE"""),"RIA ")</f>
        <v>RIA </v>
      </c>
      <c r="B2328" s="6" t="str">
        <f>IFERROR(__xludf.DUMMYFUNCTION("""COMPUTED_VALUE"""),"ENG")</f>
        <v>ENG</v>
      </c>
      <c r="C2328" s="6" t="str">
        <f>IFERROR(__xludf.DUMMYFUNCTION("""COMPUTED_VALUE"""),"P-52708-00")</f>
        <v>P-52708-00</v>
      </c>
      <c r="D2328" s="6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E2328" s="6">
        <f>IFERROR(__xludf.DUMMYFUNCTION("""COMPUTED_VALUE"""),1.0)</f>
        <v>1</v>
      </c>
      <c r="F2328" s="6">
        <f>IFERROR(__xludf.DUMMYFUNCTION("""COMPUTED_VALUE"""),1.0)</f>
        <v>1</v>
      </c>
      <c r="G2328" s="6">
        <f>IFERROR(__xludf.DUMMYFUNCTION("""COMPUTED_VALUE"""),0.0)</f>
        <v>0</v>
      </c>
      <c r="H2328" s="6" t="str">
        <f>IFERROR(__xludf.DUMMYFUNCTION("""COMPUTED_VALUE"""),"Pcs")</f>
        <v>Pcs</v>
      </c>
      <c r="I2328" s="6" t="str">
        <f>IFERROR(__xludf.DUMMYFUNCTION("""COMPUTED_VALUE"""),"MFH")</f>
        <v>MFH</v>
      </c>
      <c r="J2328" s="6" t="str">
        <f>IFERROR(__xludf.DUMMYFUNCTION("""COMPUTED_VALUE"""),"Machine ")</f>
        <v>Machine </v>
      </c>
      <c r="K2328" s="6" t="str">
        <f>IFERROR(__xludf.DUMMYFUNCTION("""COMPUTED_VALUE"""),"SPR/08/25/027")</f>
        <v>SPR/08/25/027</v>
      </c>
      <c r="L2328" s="13">
        <f>IFERROR(__xludf.DUMMYFUNCTION("""COMPUTED_VALUE"""),45898.0)</f>
        <v>45898</v>
      </c>
    </row>
    <row r="2329">
      <c r="A2329" s="6" t="str">
        <f>IFERROR(__xludf.DUMMYFUNCTION("""COMPUTED_VALUE"""),"SFH")</f>
        <v>SFH</v>
      </c>
      <c r="B2329" s="6" t="str">
        <f>IFERROR(__xludf.DUMMYFUNCTION("""COMPUTED_VALUE"""),"ENG")</f>
        <v>ENG</v>
      </c>
      <c r="C2329" s="6" t="str">
        <f>IFERROR(__xludf.DUMMYFUNCTION("""COMPUTED_VALUE"""),"P-51560-00")</f>
        <v>P-51560-00</v>
      </c>
      <c r="D2329" s="6" t="str">
        <f>IFERROR(__xludf.DUMMYFUNCTION("""COMPUTED_VALUE"""),"Lampu T5 28watt Putih; Phillips; ;")</f>
        <v>Lampu T5 28watt Putih; Phillips; ;</v>
      </c>
      <c r="E2329" s="6">
        <f>IFERROR(__xludf.DUMMYFUNCTION("""COMPUTED_VALUE"""),3.0)</f>
        <v>3</v>
      </c>
      <c r="F2329" s="6">
        <f>IFERROR(__xludf.DUMMYFUNCTION("""COMPUTED_VALUE"""),3.0)</f>
        <v>3</v>
      </c>
      <c r="G2329" s="6">
        <f>IFERROR(__xludf.DUMMYFUNCTION("""COMPUTED_VALUE"""),0.0)</f>
        <v>0</v>
      </c>
      <c r="H2329" s="6" t="str">
        <f>IFERROR(__xludf.DUMMYFUNCTION("""COMPUTED_VALUE"""),"Pcs ")</f>
        <v>Pcs </v>
      </c>
      <c r="I2329" s="6" t="str">
        <f>IFERROR(__xludf.DUMMYFUNCTION("""COMPUTED_VALUE"""),"MFH")</f>
        <v>MFH</v>
      </c>
      <c r="J2329" s="6" t="str">
        <f>IFERROR(__xludf.DUMMYFUNCTION("""COMPUTED_VALUE"""),"floor 3")</f>
        <v>floor 3</v>
      </c>
      <c r="K2329" s="6" t="str">
        <f>IFERROR(__xludf.DUMMYFUNCTION("""COMPUTED_VALUE"""),"SPR/08/25/028")</f>
        <v>SPR/08/25/028</v>
      </c>
      <c r="L2329" s="13">
        <f>IFERROR(__xludf.DUMMYFUNCTION("""COMPUTED_VALUE"""),45898.0)</f>
        <v>45898</v>
      </c>
    </row>
    <row r="2330">
      <c r="A2330" s="6" t="str">
        <f>IFERROR(__xludf.DUMMYFUNCTION("""COMPUTED_VALUE"""),"SFH")</f>
        <v>SFH</v>
      </c>
      <c r="B2330" s="6" t="str">
        <f>IFERROR(__xludf.DUMMYFUNCTION("""COMPUTED_VALUE"""),"ENG")</f>
        <v>ENG</v>
      </c>
      <c r="C2330" s="6" t="str">
        <f>IFERROR(__xludf.DUMMYFUNCTION("""COMPUTED_VALUE"""),"P-10017-00")</f>
        <v>P-10017-00</v>
      </c>
      <c r="D2330" s="6" t="str">
        <f>IFERROR(__xludf.DUMMYFUNCTION("""COMPUTED_VALUE"""),"Pre Filter G4 size : 24X24X2, Washable Aluminium Frame; IAF;")</f>
        <v>Pre Filter G4 size : 24X24X2, Washable Aluminium Frame; IAF;</v>
      </c>
      <c r="E2330" s="6">
        <f>IFERROR(__xludf.DUMMYFUNCTION("""COMPUTED_VALUE"""),16.0)</f>
        <v>16</v>
      </c>
      <c r="F2330" s="6">
        <f>IFERROR(__xludf.DUMMYFUNCTION("""COMPUTED_VALUE"""),16.0)</f>
        <v>16</v>
      </c>
      <c r="G2330" s="6">
        <f>IFERROR(__xludf.DUMMYFUNCTION("""COMPUTED_VALUE"""),0.0)</f>
        <v>0</v>
      </c>
      <c r="H2330" s="6" t="str">
        <f>IFERROR(__xludf.DUMMYFUNCTION("""COMPUTED_VALUE"""),"Pcs ")</f>
        <v>Pcs </v>
      </c>
      <c r="I2330" s="6" t="str">
        <f>IFERROR(__xludf.DUMMYFUNCTION("""COMPUTED_VALUE"""),"MFH")</f>
        <v>MFH</v>
      </c>
      <c r="J2330" s="6" t="str">
        <f>IFERROR(__xludf.DUMMYFUNCTION("""COMPUTED_VALUE"""),"floor 2")</f>
        <v>floor 2</v>
      </c>
      <c r="K2330" s="6" t="str">
        <f>IFERROR(__xludf.DUMMYFUNCTION("""COMPUTED_VALUE"""),"SPR/08/25/028")</f>
        <v>SPR/08/25/028</v>
      </c>
      <c r="L2330" s="13">
        <f>IFERROR(__xludf.DUMMYFUNCTION("""COMPUTED_VALUE"""),45898.0)</f>
        <v>45898</v>
      </c>
    </row>
    <row r="2331">
      <c r="A2331" s="6" t="str">
        <f>IFERROR(__xludf.DUMMYFUNCTION("""COMPUTED_VALUE"""),"SFH")</f>
        <v>SFH</v>
      </c>
      <c r="B2331" s="6" t="str">
        <f>IFERROR(__xludf.DUMMYFUNCTION("""COMPUTED_VALUE"""),"ENG")</f>
        <v>ENG</v>
      </c>
      <c r="C2331" s="6" t="str">
        <f>IFERROR(__xludf.DUMMYFUNCTION("""COMPUTED_VALUE"""),"P-10019-00")</f>
        <v>P-10019-00</v>
      </c>
      <c r="D2331" s="6" t="str">
        <f>IFERROR(__xludf.DUMMYFUNCTION("""COMPUTED_VALUE"""),"Pre Filter G4 size : 12X24X2")</f>
        <v>Pre Filter G4 size : 12X24X2</v>
      </c>
      <c r="E2331" s="6">
        <f>IFERROR(__xludf.DUMMYFUNCTION("""COMPUTED_VALUE"""),10.0)</f>
        <v>10</v>
      </c>
      <c r="F2331" s="6">
        <f>IFERROR(__xludf.DUMMYFUNCTION("""COMPUTED_VALUE"""),10.0)</f>
        <v>10</v>
      </c>
      <c r="G2331" s="6">
        <f>IFERROR(__xludf.DUMMYFUNCTION("""COMPUTED_VALUE"""),0.0)</f>
        <v>0</v>
      </c>
      <c r="H2331" s="6" t="str">
        <f>IFERROR(__xludf.DUMMYFUNCTION("""COMPUTED_VALUE"""),"Pcs ")</f>
        <v>Pcs </v>
      </c>
      <c r="I2331" s="6" t="str">
        <f>IFERROR(__xludf.DUMMYFUNCTION("""COMPUTED_VALUE"""),"MFH")</f>
        <v>MFH</v>
      </c>
      <c r="J2331" s="6" t="str">
        <f>IFERROR(__xludf.DUMMYFUNCTION("""COMPUTED_VALUE"""),"floor 2")</f>
        <v>floor 2</v>
      </c>
      <c r="K2331" s="6" t="str">
        <f>IFERROR(__xludf.DUMMYFUNCTION("""COMPUTED_VALUE"""),"SPR/08/25/028")</f>
        <v>SPR/08/25/028</v>
      </c>
      <c r="L2331" s="13">
        <f>IFERROR(__xludf.DUMMYFUNCTION("""COMPUTED_VALUE"""),45898.0)</f>
        <v>45898</v>
      </c>
    </row>
    <row r="2332">
      <c r="A2332" s="6" t="str">
        <f>IFERROR(__xludf.DUMMYFUNCTION("""COMPUTED_VALUE"""),"BDU ")</f>
        <v>BDU </v>
      </c>
      <c r="B2332" s="6" t="str">
        <f>IFERROR(__xludf.DUMMYFUNCTION("""COMPUTED_VALUE"""),"ENG")</f>
        <v>ENG</v>
      </c>
      <c r="C2332" s="6" t="str">
        <f>IFERROR(__xludf.DUMMYFUNCTION("""COMPUTED_VALUE"""),"Q-10249-00")</f>
        <v>Q-10249-00</v>
      </c>
      <c r="D2332" s="6" t="str">
        <f>IFERROR(__xludf.DUMMYFUNCTION("""COMPUTED_VALUE"""),"Lem Power Glue; ; ;")</f>
        <v>Lem Power Glue; ; ;</v>
      </c>
      <c r="E2332" s="6">
        <f>IFERROR(__xludf.DUMMYFUNCTION("""COMPUTED_VALUE"""),1.0)</f>
        <v>1</v>
      </c>
      <c r="F2332" s="6">
        <f>IFERROR(__xludf.DUMMYFUNCTION("""COMPUTED_VALUE"""),1.0)</f>
        <v>1</v>
      </c>
      <c r="G2332" s="6">
        <f>IFERROR(__xludf.DUMMYFUNCTION("""COMPUTED_VALUE"""),0.0)</f>
        <v>0</v>
      </c>
      <c r="H2332" s="6" t="str">
        <f>IFERROR(__xludf.DUMMYFUNCTION("""COMPUTED_VALUE"""),"Pcs")</f>
        <v>Pcs</v>
      </c>
      <c r="I2332" s="6" t="str">
        <f>IFERROR(__xludf.DUMMYFUNCTION("""COMPUTED_VALUE"""),"MFH")</f>
        <v>MFH</v>
      </c>
      <c r="J2332" s="6" t="str">
        <f>IFERROR(__xludf.DUMMYFUNCTION("""COMPUTED_VALUE"""),"Building ")</f>
        <v>Building </v>
      </c>
      <c r="K2332" s="6" t="str">
        <f>IFERROR(__xludf.DUMMYFUNCTION("""COMPUTED_VALUE"""),"SPR/08/25/029")</f>
        <v>SPR/08/25/029</v>
      </c>
      <c r="L2332" s="13">
        <f>IFERROR(__xludf.DUMMYFUNCTION("""COMPUTED_VALUE"""),45898.0)</f>
        <v>45898</v>
      </c>
    </row>
    <row r="2333">
      <c r="A2333" s="6" t="str">
        <f>IFERROR(__xludf.DUMMYFUNCTION("""COMPUTED_VALUE"""),"BDU ")</f>
        <v>BDU </v>
      </c>
      <c r="B2333" s="6" t="str">
        <f>IFERROR(__xludf.DUMMYFUNCTION("""COMPUTED_VALUE"""),"ENG")</f>
        <v>ENG</v>
      </c>
      <c r="C2333" s="6" t="str">
        <f>IFERROR(__xludf.DUMMYFUNCTION("""COMPUTED_VALUE"""),"P-13370-00")</f>
        <v>P-13370-00</v>
      </c>
      <c r="D2333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E2333" s="6">
        <f>IFERROR(__xludf.DUMMYFUNCTION("""COMPUTED_VALUE"""),2.0)</f>
        <v>2</v>
      </c>
      <c r="F2333" s="6">
        <f>IFERROR(__xludf.DUMMYFUNCTION("""COMPUTED_VALUE"""),2.0)</f>
        <v>2</v>
      </c>
      <c r="G2333" s="6">
        <f>IFERROR(__xludf.DUMMYFUNCTION("""COMPUTED_VALUE"""),0.0)</f>
        <v>0</v>
      </c>
      <c r="H2333" s="6" t="str">
        <f>IFERROR(__xludf.DUMMYFUNCTION("""COMPUTED_VALUE"""),"Pcs")</f>
        <v>Pcs</v>
      </c>
      <c r="I2333" s="6" t="str">
        <f>IFERROR(__xludf.DUMMYFUNCTION("""COMPUTED_VALUE"""),"MFH")</f>
        <v>MFH</v>
      </c>
      <c r="J2333" s="6" t="str">
        <f>IFERROR(__xludf.DUMMYFUNCTION("""COMPUTED_VALUE"""),"Machine")</f>
        <v>Machine</v>
      </c>
      <c r="K2333" s="6" t="str">
        <f>IFERROR(__xludf.DUMMYFUNCTION("""COMPUTED_VALUE"""),"SPR/08/25/029")</f>
        <v>SPR/08/25/029</v>
      </c>
      <c r="L2333" s="13">
        <f>IFERROR(__xludf.DUMMYFUNCTION("""COMPUTED_VALUE"""),45898.0)</f>
        <v>45898</v>
      </c>
    </row>
    <row r="2334">
      <c r="A2334" s="6" t="str">
        <f>IFERROR(__xludf.DUMMYFUNCTION("""COMPUTED_VALUE"""),"BDU")</f>
        <v>BDU</v>
      </c>
      <c r="B2334" s="6" t="str">
        <f>IFERROR(__xludf.DUMMYFUNCTION("""COMPUTED_VALUE"""),"ENG")</f>
        <v>ENG</v>
      </c>
      <c r="C2334" s="6" t="str">
        <f>IFERROR(__xludf.DUMMYFUNCTION("""COMPUTED_VALUE"""),"P-19827-00")</f>
        <v>P-19827-00</v>
      </c>
      <c r="D2334" s="6" t="str">
        <f>IFERROR(__xludf.DUMMYFUNCTION("""COMPUTED_VALUE"""),"General - Valve Aktuator Stroke 40mm; Siemens; SKC62 2800N; 1 pc")</f>
        <v>General - Valve Aktuator Stroke 40mm; Siemens; SKC62 2800N; 1 pc</v>
      </c>
      <c r="E2334" s="6">
        <f>IFERROR(__xludf.DUMMYFUNCTION("""COMPUTED_VALUE"""),1.0)</f>
        <v>1</v>
      </c>
      <c r="F2334" s="6">
        <f>IFERROR(__xludf.DUMMYFUNCTION("""COMPUTED_VALUE"""),1.0)</f>
        <v>1</v>
      </c>
      <c r="G2334" s="6">
        <f>IFERROR(__xludf.DUMMYFUNCTION("""COMPUTED_VALUE"""),0.0)</f>
        <v>0</v>
      </c>
      <c r="H2334" s="6" t="str">
        <f>IFERROR(__xludf.DUMMYFUNCTION("""COMPUTED_VALUE"""),"Pcs ")</f>
        <v>Pcs </v>
      </c>
      <c r="I2334" s="6" t="str">
        <f>IFERROR(__xludf.DUMMYFUNCTION("""COMPUTED_VALUE"""),"MFH")</f>
        <v>MFH</v>
      </c>
      <c r="J2334" s="6" t="str">
        <f>IFERROR(__xludf.DUMMYFUNCTION("""COMPUTED_VALUE"""),"Colling water")</f>
        <v>Colling water</v>
      </c>
      <c r="K2334" s="6" t="str">
        <f>IFERROR(__xludf.DUMMYFUNCTION("""COMPUTED_VALUE"""),"SPR/08/25/029")</f>
        <v>SPR/08/25/029</v>
      </c>
      <c r="L2334" s="13">
        <f>IFERROR(__xludf.DUMMYFUNCTION("""COMPUTED_VALUE"""),45898.0)</f>
        <v>45898</v>
      </c>
    </row>
    <row r="2335">
      <c r="A2335" s="6" t="str">
        <f>IFERROR(__xludf.DUMMYFUNCTION("""COMPUTED_VALUE"""),"MRN")</f>
        <v>MRN</v>
      </c>
      <c r="B2335" s="6" t="str">
        <f>IFERROR(__xludf.DUMMYFUNCTION("""COMPUTED_VALUE"""),"ENG")</f>
        <v>ENG</v>
      </c>
      <c r="C2335" s="6" t="str">
        <f>IFERROR(__xludf.DUMMYFUNCTION("""COMPUTED_VALUE"""),"Q-10153-00")</f>
        <v>Q-10153-00</v>
      </c>
      <c r="D2335" s="6" t="str">
        <f>IFERROR(__xludf.DUMMYFUNCTION("""COMPUTED_VALUE"""),"Kuas Cat Roller uk. 110 mm;No Brand;;pack size per set")</f>
        <v>Kuas Cat Roller uk. 110 mm;No Brand;;pack size per set</v>
      </c>
      <c r="E2335" s="6">
        <f>IFERROR(__xludf.DUMMYFUNCTION("""COMPUTED_VALUE"""),5.0)</f>
        <v>5</v>
      </c>
      <c r="F2335" s="6">
        <f>IFERROR(__xludf.DUMMYFUNCTION("""COMPUTED_VALUE"""),5.0)</f>
        <v>5</v>
      </c>
      <c r="G2335" s="6">
        <f>IFERROR(__xludf.DUMMYFUNCTION("""COMPUTED_VALUE"""),0.0)</f>
        <v>0</v>
      </c>
      <c r="H2335" s="6" t="str">
        <f>IFERROR(__xludf.DUMMYFUNCTION("""COMPUTED_VALUE"""),"Pcs ")</f>
        <v>Pcs </v>
      </c>
      <c r="I2335" s="6" t="str">
        <f>IFERROR(__xludf.DUMMYFUNCTION("""COMPUTED_VALUE"""),"MFH")</f>
        <v>MFH</v>
      </c>
      <c r="J2335" s="6" t="str">
        <f>IFERROR(__xludf.DUMMYFUNCTION("""COMPUTED_VALUE"""),"Building ")</f>
        <v>Building </v>
      </c>
      <c r="K2335" s="6" t="str">
        <f>IFERROR(__xludf.DUMMYFUNCTION("""COMPUTED_VALUE"""),"SPR/08/25/030")</f>
        <v>SPR/08/25/030</v>
      </c>
      <c r="L2335" s="13">
        <f>IFERROR(__xludf.DUMMYFUNCTION("""COMPUTED_VALUE"""),45898.0)</f>
        <v>45898</v>
      </c>
    </row>
    <row r="2336">
      <c r="A2336" s="6" t="str">
        <f>IFERROR(__xludf.DUMMYFUNCTION("""COMPUTED_VALUE"""),"MRN")</f>
        <v>MRN</v>
      </c>
      <c r="B2336" s="6" t="str">
        <f>IFERROR(__xludf.DUMMYFUNCTION("""COMPUTED_VALUE"""),"ENG")</f>
        <v>ENG</v>
      </c>
      <c r="C2336" s="6" t="str">
        <f>IFERROR(__xludf.DUMMYFUNCTION("""COMPUTED_VALUE"""),"Q-10401-00")</f>
        <v>Q-10401-00</v>
      </c>
      <c r="D2336" s="6" t="str">
        <f>IFERROR(__xludf.DUMMYFUNCTION("""COMPUTED_VALUE"""),"Kuas Cat Uk. 3 inch;Eterna;Tipe 611;pack size per pcs")</f>
        <v>Kuas Cat Uk. 3 inch;Eterna;Tipe 611;pack size per pcs</v>
      </c>
      <c r="E2336" s="6">
        <f>IFERROR(__xludf.DUMMYFUNCTION("""COMPUTED_VALUE"""),5.0)</f>
        <v>5</v>
      </c>
      <c r="F2336" s="6">
        <f>IFERROR(__xludf.DUMMYFUNCTION("""COMPUTED_VALUE"""),5.0)</f>
        <v>5</v>
      </c>
      <c r="G2336" s="6">
        <f>IFERROR(__xludf.DUMMYFUNCTION("""COMPUTED_VALUE"""),0.0)</f>
        <v>0</v>
      </c>
      <c r="H2336" s="6" t="str">
        <f>IFERROR(__xludf.DUMMYFUNCTION("""COMPUTED_VALUE"""),"Pcs")</f>
        <v>Pcs</v>
      </c>
      <c r="I2336" s="6" t="str">
        <f>IFERROR(__xludf.DUMMYFUNCTION("""COMPUTED_VALUE"""),"MFH")</f>
        <v>MFH</v>
      </c>
      <c r="J2336" s="6" t="str">
        <f>IFERROR(__xludf.DUMMYFUNCTION("""COMPUTED_VALUE"""),"Building ")</f>
        <v>Building </v>
      </c>
      <c r="K2336" s="6" t="str">
        <f>IFERROR(__xludf.DUMMYFUNCTION("""COMPUTED_VALUE"""),"SPR/08/25/030")</f>
        <v>SPR/08/25/030</v>
      </c>
      <c r="L2336" s="13">
        <f>IFERROR(__xludf.DUMMYFUNCTION("""COMPUTED_VALUE"""),45898.0)</f>
        <v>45898</v>
      </c>
    </row>
    <row r="2337">
      <c r="A2337" s="6" t="str">
        <f>IFERROR(__xludf.DUMMYFUNCTION("""COMPUTED_VALUE"""),"MRN")</f>
        <v>MRN</v>
      </c>
      <c r="B2337" s="6" t="str">
        <f>IFERROR(__xludf.DUMMYFUNCTION("""COMPUTED_VALUE"""),"ENG")</f>
        <v>ENG</v>
      </c>
      <c r="C2337" s="6" t="str">
        <f>IFERROR(__xludf.DUMMYFUNCTION("""COMPUTED_VALUE"""),"P-10729-00")</f>
        <v>P-10729-00</v>
      </c>
      <c r="D2337" s="6" t="str">
        <f>IFERROR(__xludf.DUMMYFUNCTION("""COMPUTED_VALUE"""),"Contact cleaner WD 40, 382 gr ; Brand : - ; P/N : - ; Pack Size : pcs")</f>
        <v>Contact cleaner WD 40, 382 gr ; Brand : - ; P/N : - ; Pack Size : pcs</v>
      </c>
      <c r="E2337" s="6">
        <f>IFERROR(__xludf.DUMMYFUNCTION("""COMPUTED_VALUE"""),1.0)</f>
        <v>1</v>
      </c>
      <c r="F2337" s="6">
        <f>IFERROR(__xludf.DUMMYFUNCTION("""COMPUTED_VALUE"""),1.0)</f>
        <v>1</v>
      </c>
      <c r="G2337" s="6">
        <f>IFERROR(__xludf.DUMMYFUNCTION("""COMPUTED_VALUE"""),0.0)</f>
        <v>0</v>
      </c>
      <c r="H2337" s="6" t="str">
        <f>IFERROR(__xludf.DUMMYFUNCTION("""COMPUTED_VALUE"""),"Pcs ")</f>
        <v>Pcs </v>
      </c>
      <c r="I2337" s="6" t="str">
        <f>IFERROR(__xludf.DUMMYFUNCTION("""COMPUTED_VALUE"""),"MFH")</f>
        <v>MFH</v>
      </c>
      <c r="J2337" s="6" t="str">
        <f>IFERROR(__xludf.DUMMYFUNCTION("""COMPUTED_VALUE"""),"him water")</f>
        <v>him water</v>
      </c>
      <c r="K2337" s="6" t="str">
        <f>IFERROR(__xludf.DUMMYFUNCTION("""COMPUTED_VALUE"""),"SPR/08/25/031")</f>
        <v>SPR/08/25/031</v>
      </c>
      <c r="L2337" s="13">
        <f>IFERROR(__xludf.DUMMYFUNCTION("""COMPUTED_VALUE"""),45898.0)</f>
        <v>45898</v>
      </c>
    </row>
    <row r="2338">
      <c r="A2338" s="6" t="str">
        <f>IFERROR(__xludf.DUMMYFUNCTION("""COMPUTED_VALUE"""),"RIA")</f>
        <v>RIA</v>
      </c>
      <c r="B2338" s="6" t="str">
        <f>IFERROR(__xludf.DUMMYFUNCTION("""COMPUTED_VALUE"""),"ENG")</f>
        <v>ENG</v>
      </c>
      <c r="C2338" s="6" t="str">
        <f>IFERROR(__xludf.DUMMYFUNCTION("""COMPUTED_VALUE"""),"P-52708-00")</f>
        <v>P-52708-00</v>
      </c>
      <c r="D2338" s="6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E2338" s="6">
        <f>IFERROR(__xludf.DUMMYFUNCTION("""COMPUTED_VALUE"""),1.0)</f>
        <v>1</v>
      </c>
      <c r="F2338" s="6">
        <f>IFERROR(__xludf.DUMMYFUNCTION("""COMPUTED_VALUE"""),1.0)</f>
        <v>1</v>
      </c>
      <c r="G2338" s="6">
        <f>IFERROR(__xludf.DUMMYFUNCTION("""COMPUTED_VALUE"""),0.0)</f>
        <v>0</v>
      </c>
      <c r="H2338" s="6" t="str">
        <f>IFERROR(__xludf.DUMMYFUNCTION("""COMPUTED_VALUE"""),"Pcs")</f>
        <v>Pcs</v>
      </c>
      <c r="I2338" s="6" t="str">
        <f>IFERROR(__xludf.DUMMYFUNCTION("""COMPUTED_VALUE"""),"MFH ")</f>
        <v>MFH </v>
      </c>
      <c r="J2338" s="6" t="str">
        <f>IFERROR(__xludf.DUMMYFUNCTION("""COMPUTED_VALUE"""),"EFCI")</f>
        <v>EFCI</v>
      </c>
      <c r="K2338" s="6" t="str">
        <f>IFERROR(__xludf.DUMMYFUNCTION("""COMPUTED_VALUE"""),"SPR/08/25/032")</f>
        <v>SPR/08/25/032</v>
      </c>
      <c r="L2338" s="13">
        <f>IFERROR(__xludf.DUMMYFUNCTION("""COMPUTED_VALUE"""),45898.0)</f>
        <v>45898</v>
      </c>
    </row>
    <row r="2339">
      <c r="A2339" s="6" t="str">
        <f>IFERROR(__xludf.DUMMYFUNCTION("""COMPUTED_VALUE"""),"RIA ")</f>
        <v>RIA </v>
      </c>
      <c r="B2339" s="6" t="str">
        <f>IFERROR(__xludf.DUMMYFUNCTION("""COMPUTED_VALUE"""),"ENG")</f>
        <v>ENG</v>
      </c>
      <c r="C2339" s="6" t="str">
        <f>IFERROR(__xludf.DUMMYFUNCTION("""COMPUTED_VALUE"""),"T-25577-00")</f>
        <v>T-25577-00</v>
      </c>
      <c r="D2339" s="6" t="str">
        <f>IFERROR(__xludf.DUMMYFUNCTION("""COMPUTED_VALUE"""),"UV LAMP FOR M500 TOC Analyzer; Sievers; TOC M500; 1 pc")</f>
        <v>UV LAMP FOR M500 TOC Analyzer; Sievers; TOC M500; 1 pc</v>
      </c>
      <c r="E2339" s="6">
        <f>IFERROR(__xludf.DUMMYFUNCTION("""COMPUTED_VALUE"""),1.0)</f>
        <v>1</v>
      </c>
      <c r="F2339" s="6">
        <f>IFERROR(__xludf.DUMMYFUNCTION("""COMPUTED_VALUE"""),1.0)</f>
        <v>1</v>
      </c>
      <c r="G2339" s="6">
        <f>IFERROR(__xludf.DUMMYFUNCTION("""COMPUTED_VALUE"""),0.0)</f>
        <v>0</v>
      </c>
      <c r="H2339" s="6" t="str">
        <f>IFERROR(__xludf.DUMMYFUNCTION("""COMPUTED_VALUE"""),"Pcs")</f>
        <v>Pcs</v>
      </c>
      <c r="I2339" s="6" t="str">
        <f>IFERROR(__xludf.DUMMYFUNCTION("""COMPUTED_VALUE"""),"MFH")</f>
        <v>MFH</v>
      </c>
      <c r="J2339" s="6" t="str">
        <f>IFERROR(__xludf.DUMMYFUNCTION("""COMPUTED_VALUE"""),"WFI")</f>
        <v>WFI</v>
      </c>
      <c r="K2339" s="6" t="str">
        <f>IFERROR(__xludf.DUMMYFUNCTION("""COMPUTED_VALUE"""),"SPR/08/25/032")</f>
        <v>SPR/08/25/032</v>
      </c>
      <c r="L2339" s="13">
        <f>IFERROR(__xludf.DUMMYFUNCTION("""COMPUTED_VALUE"""),45898.0)</f>
        <v>45898</v>
      </c>
    </row>
    <row r="2340">
      <c r="A2340" s="6" t="str">
        <f>IFERROR(__xludf.DUMMYFUNCTION("""COMPUTED_VALUE"""),"BDU")</f>
        <v>BDU</v>
      </c>
      <c r="B2340" s="6" t="str">
        <f>IFERROR(__xludf.DUMMYFUNCTION("""COMPUTED_VALUE"""),"ENG")</f>
        <v>ENG</v>
      </c>
      <c r="C2340" s="6" t="str">
        <f>IFERROR(__xludf.DUMMYFUNCTION("""COMPUTED_VALUE"""),"O-50863-00")</f>
        <v>O-50863-00</v>
      </c>
      <c r="D2340" s="6" t="str">
        <f>IFERROR(__xludf.DUMMYFUNCTION("""COMPUTED_VALUE"""),"Relay/MY4N/220-240 VAC Omron; ; ;")</f>
        <v>Relay/MY4N/220-240 VAC Omron; ; ;</v>
      </c>
      <c r="E2340" s="6">
        <f>IFERROR(__xludf.DUMMYFUNCTION("""COMPUTED_VALUE"""),1.0)</f>
        <v>1</v>
      </c>
      <c r="F2340" s="6">
        <f>IFERROR(__xludf.DUMMYFUNCTION("""COMPUTED_VALUE"""),1.0)</f>
        <v>1</v>
      </c>
      <c r="G2340" s="6">
        <f>IFERROR(__xludf.DUMMYFUNCTION("""COMPUTED_VALUE"""),0.0)</f>
        <v>0</v>
      </c>
      <c r="H2340" s="6" t="str">
        <f>IFERROR(__xludf.DUMMYFUNCTION("""COMPUTED_VALUE"""),"Pcs")</f>
        <v>Pcs</v>
      </c>
      <c r="I2340" s="6" t="str">
        <f>IFERROR(__xludf.DUMMYFUNCTION("""COMPUTED_VALUE"""),"MFH")</f>
        <v>MFH</v>
      </c>
      <c r="J2340" s="6" t="str">
        <f>IFERROR(__xludf.DUMMYFUNCTION("""COMPUTED_VALUE"""),"-")</f>
        <v>-</v>
      </c>
      <c r="K2340" s="6" t="str">
        <f>IFERROR(__xludf.DUMMYFUNCTION("""COMPUTED_VALUE"""),"SPR/08/25/033")</f>
        <v>SPR/08/25/033</v>
      </c>
      <c r="L2340" s="13">
        <f>IFERROR(__xludf.DUMMYFUNCTION("""COMPUTED_VALUE"""),45898.0)</f>
        <v>45898</v>
      </c>
    </row>
    <row r="2341">
      <c r="A2341" s="6" t="str">
        <f>IFERROR(__xludf.DUMMYFUNCTION("""COMPUTED_VALUE"""),"BDU")</f>
        <v>BDU</v>
      </c>
      <c r="B2341" s="6" t="str">
        <f>IFERROR(__xludf.DUMMYFUNCTION("""COMPUTED_VALUE"""),"ENG")</f>
        <v>ENG</v>
      </c>
      <c r="C2341" s="6" t="str">
        <f>IFERROR(__xludf.DUMMYFUNCTION("""COMPUTED_VALUE"""),"-")</f>
        <v>-</v>
      </c>
      <c r="D2341" s="6" t="str">
        <f>IFERROR(__xludf.DUMMYFUNCTION("""COMPUTED_VALUE"""),"Soket Relay MY4N")</f>
        <v>Soket Relay MY4N</v>
      </c>
      <c r="E2341" s="6">
        <f>IFERROR(__xludf.DUMMYFUNCTION("""COMPUTED_VALUE"""),1.0)</f>
        <v>1</v>
      </c>
      <c r="F2341" s="6">
        <f>IFERROR(__xludf.DUMMYFUNCTION("""COMPUTED_VALUE"""),1.0)</f>
        <v>1</v>
      </c>
      <c r="G2341" s="6">
        <f>IFERROR(__xludf.DUMMYFUNCTION("""COMPUTED_VALUE"""),0.0)</f>
        <v>0</v>
      </c>
      <c r="H2341" s="6" t="str">
        <f>IFERROR(__xludf.DUMMYFUNCTION("""COMPUTED_VALUE"""),"Pcs")</f>
        <v>Pcs</v>
      </c>
      <c r="I2341" s="6" t="str">
        <f>IFERROR(__xludf.DUMMYFUNCTION("""COMPUTED_VALUE"""),"MFH")</f>
        <v>MFH</v>
      </c>
      <c r="J2341" s="6" t="str">
        <f>IFERROR(__xludf.DUMMYFUNCTION("""COMPUTED_VALUE"""),"-")</f>
        <v>-</v>
      </c>
      <c r="K2341" s="6" t="str">
        <f>IFERROR(__xludf.DUMMYFUNCTION("""COMPUTED_VALUE"""),"SPR/08/25/033")</f>
        <v>SPR/08/25/033</v>
      </c>
      <c r="L2341" s="13">
        <f>IFERROR(__xludf.DUMMYFUNCTION("""COMPUTED_VALUE"""),45898.0)</f>
        <v>45898</v>
      </c>
    </row>
    <row r="2342">
      <c r="A2342" s="6" t="str">
        <f>IFERROR(__xludf.DUMMYFUNCTION("""COMPUTED_VALUE"""),"BDU")</f>
        <v>BDU</v>
      </c>
      <c r="B2342" s="6" t="str">
        <f>IFERROR(__xludf.DUMMYFUNCTION("""COMPUTED_VALUE"""),"ENG")</f>
        <v>ENG</v>
      </c>
      <c r="C2342" s="6" t="str">
        <f>IFERROR(__xludf.DUMMYFUNCTION("""COMPUTED_VALUE"""),"P-51843-00")</f>
        <v>P-51843-00</v>
      </c>
      <c r="D2342" s="6" t="str">
        <f>IFERROR(__xludf.DUMMYFUNCTION("""COMPUTED_VALUE"""),"Push Button /XA2EA42/240V/Merah Schneider; ; ;")</f>
        <v>Push Button /XA2EA42/240V/Merah Schneider; ; ;</v>
      </c>
      <c r="E2342" s="6">
        <f>IFERROR(__xludf.DUMMYFUNCTION("""COMPUTED_VALUE"""),1.0)</f>
        <v>1</v>
      </c>
      <c r="F2342" s="6">
        <f>IFERROR(__xludf.DUMMYFUNCTION("""COMPUTED_VALUE"""),1.0)</f>
        <v>1</v>
      </c>
      <c r="G2342" s="6">
        <f>IFERROR(__xludf.DUMMYFUNCTION("""COMPUTED_VALUE"""),0.0)</f>
        <v>0</v>
      </c>
      <c r="H2342" s="6" t="str">
        <f>IFERROR(__xludf.DUMMYFUNCTION("""COMPUTED_VALUE"""),"Pcs")</f>
        <v>Pcs</v>
      </c>
      <c r="I2342" s="6" t="str">
        <f>IFERROR(__xludf.DUMMYFUNCTION("""COMPUTED_VALUE"""),"MFH")</f>
        <v>MFH</v>
      </c>
      <c r="J2342" s="6" t="str">
        <f>IFERROR(__xludf.DUMMYFUNCTION("""COMPUTED_VALUE"""),"-")</f>
        <v>-</v>
      </c>
      <c r="K2342" s="6" t="str">
        <f>IFERROR(__xludf.DUMMYFUNCTION("""COMPUTED_VALUE"""),"SPR/08/25/033")</f>
        <v>SPR/08/25/033</v>
      </c>
      <c r="L2342" s="13">
        <f>IFERROR(__xludf.DUMMYFUNCTION("""COMPUTED_VALUE"""),45898.0)</f>
        <v>45898</v>
      </c>
    </row>
    <row r="2343">
      <c r="A2343" s="6" t="str">
        <f>IFERROR(__xludf.DUMMYFUNCTION("""COMPUTED_VALUE"""),"NDS")</f>
        <v>NDS</v>
      </c>
      <c r="B2343" s="6" t="str">
        <f>IFERROR(__xludf.DUMMYFUNCTION("""COMPUTED_VALUE"""),"ENG")</f>
        <v>ENG</v>
      </c>
      <c r="C2343" s="6" t="str">
        <f>IFERROR(__xludf.DUMMYFUNCTION("""COMPUTED_VALUE"""),"S-40645-00")</f>
        <v>S-40645-00</v>
      </c>
      <c r="D2343" s="6" t="str">
        <f>IFERROR(__xludf.DUMMYFUNCTION("""COMPUTED_VALUE"""),"Cable Ties, 200 x 4.8 mm; SIGMA; CS 200L; Putih;100 pcs/pack")</f>
        <v>Cable Ties, 200 x 4.8 mm; SIGMA; CS 200L; Putih;100 pcs/pack</v>
      </c>
      <c r="E2343" s="6">
        <f>IFERROR(__xludf.DUMMYFUNCTION("""COMPUTED_VALUE"""),1.0)</f>
        <v>1</v>
      </c>
      <c r="F2343" s="6">
        <f>IFERROR(__xludf.DUMMYFUNCTION("""COMPUTED_VALUE"""),1.0)</f>
        <v>1</v>
      </c>
      <c r="G2343" s="6">
        <f>IFERROR(__xludf.DUMMYFUNCTION("""COMPUTED_VALUE"""),0.0)</f>
        <v>0</v>
      </c>
      <c r="H2343" s="6" t="str">
        <f>IFERROR(__xludf.DUMMYFUNCTION("""COMPUTED_VALUE"""),"Pcs")</f>
        <v>Pcs</v>
      </c>
      <c r="I2343" s="6" t="str">
        <f>IFERROR(__xludf.DUMMYFUNCTION("""COMPUTED_VALUE"""),"MFH")</f>
        <v>MFH</v>
      </c>
      <c r="J2343" s="6" t="str">
        <f>IFERROR(__xludf.DUMMYFUNCTION("""COMPUTED_VALUE"""),"Lampu uobs")</f>
        <v>Lampu uobs</v>
      </c>
      <c r="K2343" s="6" t="str">
        <f>IFERROR(__xludf.DUMMYFUNCTION("""COMPUTED_VALUE"""),"SPR/08/25/034")</f>
        <v>SPR/08/25/034</v>
      </c>
      <c r="L2343" s="13">
        <f>IFERROR(__xludf.DUMMYFUNCTION("""COMPUTED_VALUE"""),45898.0)</f>
        <v>45898</v>
      </c>
    </row>
    <row r="2344">
      <c r="A2344" s="6" t="str">
        <f>IFERROR(__xludf.DUMMYFUNCTION("""COMPUTED_VALUE"""),"NDS")</f>
        <v>NDS</v>
      </c>
      <c r="B2344" s="6" t="str">
        <f>IFERROR(__xludf.DUMMYFUNCTION("""COMPUTED_VALUE"""),"ENG")</f>
        <v>ENG</v>
      </c>
      <c r="C2344" s="6" t="str">
        <f>IFERROR(__xludf.DUMMYFUNCTION("""COMPUTED_VALUE"""),"T-80109-00")</f>
        <v>T-80109-00</v>
      </c>
      <c r="D2344" s="6" t="str">
        <f>IFERROR(__xludf.DUMMYFUNCTION("""COMPUTED_VALUE"""),"Cellotape Kertas 1 inch warna Putih")</f>
        <v>Cellotape Kertas 1 inch warna Putih</v>
      </c>
      <c r="E2344" s="6">
        <f>IFERROR(__xludf.DUMMYFUNCTION("""COMPUTED_VALUE"""),1.0)</f>
        <v>1</v>
      </c>
      <c r="F2344" s="6">
        <f>IFERROR(__xludf.DUMMYFUNCTION("""COMPUTED_VALUE"""),1.0)</f>
        <v>1</v>
      </c>
      <c r="G2344" s="6">
        <f>IFERROR(__xludf.DUMMYFUNCTION("""COMPUTED_VALUE"""),0.0)</f>
        <v>0</v>
      </c>
      <c r="H2344" s="6" t="str">
        <f>IFERROR(__xludf.DUMMYFUNCTION("""COMPUTED_VALUE"""),"Pcs")</f>
        <v>Pcs</v>
      </c>
      <c r="I2344" s="6" t="str">
        <f>IFERROR(__xludf.DUMMYFUNCTION("""COMPUTED_VALUE"""),"MFH")</f>
        <v>MFH</v>
      </c>
      <c r="J2344" s="6" t="str">
        <f>IFERROR(__xludf.DUMMYFUNCTION("""COMPUTED_VALUE"""),"FD")</f>
        <v>FD</v>
      </c>
      <c r="K2344" s="6" t="str">
        <f>IFERROR(__xludf.DUMMYFUNCTION("""COMPUTED_VALUE"""),"SPR/08/25/034")</f>
        <v>SPR/08/25/034</v>
      </c>
      <c r="L2344" s="13">
        <f>IFERROR(__xludf.DUMMYFUNCTION("""COMPUTED_VALUE"""),45898.0)</f>
        <v>45898</v>
      </c>
    </row>
    <row r="2345">
      <c r="A2345" s="6" t="str">
        <f>IFERROR(__xludf.DUMMYFUNCTION("""COMPUTED_VALUE"""),"ROS ")</f>
        <v>ROS </v>
      </c>
      <c r="B2345" s="6" t="str">
        <f>IFERROR(__xludf.DUMMYFUNCTION("""COMPUTED_VALUE"""),"ENG")</f>
        <v>ENG</v>
      </c>
      <c r="C2345" s="6" t="str">
        <f>IFERROR(__xludf.DUMMYFUNCTION("""COMPUTED_VALUE"""),"P-15852-00")</f>
        <v>P-15852-00</v>
      </c>
      <c r="D2345" s="6" t="str">
        <f>IFERROR(__xludf.DUMMYFUNCTION("""COMPUTED_VALUE"""),"AMPLAS  EAGLE 500")</f>
        <v>AMPLAS  EAGLE 500</v>
      </c>
      <c r="E2345" s="6">
        <f>IFERROR(__xludf.DUMMYFUNCTION("""COMPUTED_VALUE"""),1.0)</f>
        <v>1</v>
      </c>
      <c r="F2345" s="6">
        <f>IFERROR(__xludf.DUMMYFUNCTION("""COMPUTED_VALUE"""),1.0)</f>
        <v>1</v>
      </c>
      <c r="G2345" s="6">
        <f>IFERROR(__xludf.DUMMYFUNCTION("""COMPUTED_VALUE"""),0.0)</f>
        <v>0</v>
      </c>
      <c r="H2345" s="6" t="str">
        <f>IFERROR(__xludf.DUMMYFUNCTION("""COMPUTED_VALUE"""),"Pcs ")</f>
        <v>Pcs </v>
      </c>
      <c r="I2345" s="6" t="str">
        <f>IFERROR(__xludf.DUMMYFUNCTION("""COMPUTED_VALUE"""),"MFH")</f>
        <v>MFH</v>
      </c>
      <c r="J2345" s="6" t="str">
        <f>IFERROR(__xludf.DUMMYFUNCTION("""COMPUTED_VALUE"""),"Lamp FD")</f>
        <v>Lamp FD</v>
      </c>
      <c r="K2345" s="6" t="str">
        <f>IFERROR(__xludf.DUMMYFUNCTION("""COMPUTED_VALUE"""),"SPR/08/25/035")</f>
        <v>SPR/08/25/035</v>
      </c>
      <c r="L2345" s="13">
        <f>IFERROR(__xludf.DUMMYFUNCTION("""COMPUTED_VALUE"""),45898.0)</f>
        <v>45898</v>
      </c>
    </row>
    <row r="2346">
      <c r="A2346" s="6" t="str">
        <f>IFERROR(__xludf.DUMMYFUNCTION("""COMPUTED_VALUE"""),"ROS ")</f>
        <v>ROS </v>
      </c>
      <c r="B2346" s="6" t="str">
        <f>IFERROR(__xludf.DUMMYFUNCTION("""COMPUTED_VALUE"""),"ENG")</f>
        <v>ENG</v>
      </c>
      <c r="C2346" s="6" t="str">
        <f>IFERROR(__xludf.DUMMYFUNCTION("""COMPUTED_VALUE"""),"P-15851-00")</f>
        <v>P-15851-00</v>
      </c>
      <c r="D2346" s="6" t="str">
        <f>IFERROR(__xludf.DUMMYFUNCTION("""COMPUTED_VALUE"""),"AMPLAS  EAGLE 100")</f>
        <v>AMPLAS  EAGLE 100</v>
      </c>
      <c r="E2346" s="6">
        <f>IFERROR(__xludf.DUMMYFUNCTION("""COMPUTED_VALUE"""),1.0)</f>
        <v>1</v>
      </c>
      <c r="F2346" s="6">
        <f>IFERROR(__xludf.DUMMYFUNCTION("""COMPUTED_VALUE"""),1.0)</f>
        <v>1</v>
      </c>
      <c r="G2346" s="6">
        <f>IFERROR(__xludf.DUMMYFUNCTION("""COMPUTED_VALUE"""),0.0)</f>
        <v>0</v>
      </c>
      <c r="H2346" s="6" t="str">
        <f>IFERROR(__xludf.DUMMYFUNCTION("""COMPUTED_VALUE"""),"Pcs ")</f>
        <v>Pcs </v>
      </c>
      <c r="I2346" s="6" t="str">
        <f>IFERROR(__xludf.DUMMYFUNCTION("""COMPUTED_VALUE"""),"MFH")</f>
        <v>MFH</v>
      </c>
      <c r="J2346" s="6" t="str">
        <f>IFERROR(__xludf.DUMMYFUNCTION("""COMPUTED_VALUE"""),"Lamp FD")</f>
        <v>Lamp FD</v>
      </c>
      <c r="K2346" s="6" t="str">
        <f>IFERROR(__xludf.DUMMYFUNCTION("""COMPUTED_VALUE"""),"SPR/08/25/035")</f>
        <v>SPR/08/25/035</v>
      </c>
      <c r="L2346" s="13">
        <f>IFERROR(__xludf.DUMMYFUNCTION("""COMPUTED_VALUE"""),45898.0)</f>
        <v>45898</v>
      </c>
    </row>
    <row r="2347">
      <c r="A2347" s="6" t="str">
        <f>IFERROR(__xludf.DUMMYFUNCTION("""COMPUTED_VALUE"""),"ROS ")</f>
        <v>ROS </v>
      </c>
      <c r="B2347" s="6" t="str">
        <f>IFERROR(__xludf.DUMMYFUNCTION("""COMPUTED_VALUE"""),"ENG")</f>
        <v>ENG</v>
      </c>
      <c r="C2347" s="6" t="str">
        <f>IFERROR(__xludf.DUMMYFUNCTION("""COMPUTED_VALUE"""),"P-19678-00")</f>
        <v>P-19678-00</v>
      </c>
      <c r="D2347" s="6" t="str">
        <f>IFERROR(__xludf.DUMMYFUNCTION("""COMPUTED_VALUE"""),"General - Kompresor Udara Gun 1/4inch; Lokal; -; 1 pc")</f>
        <v>General - Kompresor Udara Gun 1/4inch; Lokal; -; 1 pc</v>
      </c>
      <c r="E2347" s="6">
        <f>IFERROR(__xludf.DUMMYFUNCTION("""COMPUTED_VALUE"""),1.0)</f>
        <v>1</v>
      </c>
      <c r="F2347" s="6">
        <f>IFERROR(__xludf.DUMMYFUNCTION("""COMPUTED_VALUE"""),1.0)</f>
        <v>1</v>
      </c>
      <c r="G2347" s="6">
        <f>IFERROR(__xludf.DUMMYFUNCTION("""COMPUTED_VALUE"""),0.0)</f>
        <v>0</v>
      </c>
      <c r="H2347" s="6" t="str">
        <f>IFERROR(__xludf.DUMMYFUNCTION("""COMPUTED_VALUE"""),"Set")</f>
        <v>Set</v>
      </c>
      <c r="I2347" s="6" t="str">
        <f>IFERROR(__xludf.DUMMYFUNCTION("""COMPUTED_VALUE"""),"MFH")</f>
        <v>MFH</v>
      </c>
      <c r="J2347" s="6" t="str">
        <f>IFERROR(__xludf.DUMMYFUNCTION("""COMPUTED_VALUE"""),"Washing ")</f>
        <v>Washing </v>
      </c>
      <c r="K2347" s="6" t="str">
        <f>IFERROR(__xludf.DUMMYFUNCTION("""COMPUTED_VALUE"""),"SPR/08/25/035")</f>
        <v>SPR/08/25/035</v>
      </c>
      <c r="L2347" s="13">
        <f>IFERROR(__xludf.DUMMYFUNCTION("""COMPUTED_VALUE"""),45898.0)</f>
        <v>45898</v>
      </c>
    </row>
    <row r="2348">
      <c r="A2348" s="6" t="str">
        <f>IFERROR(__xludf.DUMMYFUNCTION("""COMPUTED_VALUE"""),"MOB")</f>
        <v>MOB</v>
      </c>
      <c r="B2348" s="6" t="str">
        <f>IFERROR(__xludf.DUMMYFUNCTION("""COMPUTED_VALUE"""),"ENG")</f>
        <v>ENG</v>
      </c>
      <c r="C2348" s="6" t="str">
        <f>IFERROR(__xludf.DUMMYFUNCTION("""COMPUTED_VALUE"""),"Q-10401-00")</f>
        <v>Q-10401-00</v>
      </c>
      <c r="D2348" s="6" t="str">
        <f>IFERROR(__xludf.DUMMYFUNCTION("""COMPUTED_VALUE"""),"Kuas Cat Uk. 3 inch;Eterna;Tipe 611;pack size per pcs")</f>
        <v>Kuas Cat Uk. 3 inch;Eterna;Tipe 611;pack size per pcs</v>
      </c>
      <c r="E2348" s="6">
        <f>IFERROR(__xludf.DUMMYFUNCTION("""COMPUTED_VALUE"""),1.0)</f>
        <v>1</v>
      </c>
      <c r="F2348" s="6">
        <f>IFERROR(__xludf.DUMMYFUNCTION("""COMPUTED_VALUE"""),1.0)</f>
        <v>1</v>
      </c>
      <c r="G2348" s="6">
        <f>IFERROR(__xludf.DUMMYFUNCTION("""COMPUTED_VALUE"""),0.0)</f>
        <v>0</v>
      </c>
      <c r="H2348" s="6" t="str">
        <f>IFERROR(__xludf.DUMMYFUNCTION("""COMPUTED_VALUE"""),"Pcs")</f>
        <v>Pcs</v>
      </c>
      <c r="I2348" s="6" t="str">
        <f>IFERROR(__xludf.DUMMYFUNCTION("""COMPUTED_VALUE"""),"MFH")</f>
        <v>MFH</v>
      </c>
      <c r="J2348" s="6" t="str">
        <f>IFERROR(__xludf.DUMMYFUNCTION("""COMPUTED_VALUE"""),"Machine ")</f>
        <v>Machine </v>
      </c>
      <c r="K2348" s="6" t="str">
        <f>IFERROR(__xludf.DUMMYFUNCTION("""COMPUTED_VALUE"""),"SPR/08/25/036")</f>
        <v>SPR/08/25/036</v>
      </c>
      <c r="L2348" s="13">
        <f>IFERROR(__xludf.DUMMYFUNCTION("""COMPUTED_VALUE"""),45898.0)</f>
        <v>45898</v>
      </c>
    </row>
    <row r="2349">
      <c r="A2349" s="6" t="str">
        <f>IFERROR(__xludf.DUMMYFUNCTION("""COMPUTED_VALUE"""),"ASL")</f>
        <v>ASL</v>
      </c>
      <c r="B2349" s="6" t="str">
        <f>IFERROR(__xludf.DUMMYFUNCTION("""COMPUTED_VALUE"""),"ENG")</f>
        <v>ENG</v>
      </c>
      <c r="C2349" s="6" t="str">
        <f>IFERROR(__xludf.DUMMYFUNCTION("""COMPUTED_VALUE"""),"T-21029-00")</f>
        <v>T-21029-00</v>
      </c>
      <c r="D2349" s="6" t="str">
        <f>IFERROR(__xludf.DUMMYFUNCTION("""COMPUTED_VALUE"""),"gas clean filter moistur")</f>
        <v>gas clean filter moistur</v>
      </c>
      <c r="E2349" s="6">
        <f>IFERROR(__xludf.DUMMYFUNCTION("""COMPUTED_VALUE"""),1.0)</f>
        <v>1</v>
      </c>
      <c r="F2349" s="6">
        <f>IFERROR(__xludf.DUMMYFUNCTION("""COMPUTED_VALUE"""),1.0)</f>
        <v>1</v>
      </c>
      <c r="G2349" s="6">
        <f>IFERROR(__xludf.DUMMYFUNCTION("""COMPUTED_VALUE"""),0.0)</f>
        <v>0</v>
      </c>
      <c r="H2349" s="6" t="str">
        <f>IFERROR(__xludf.DUMMYFUNCTION("""COMPUTED_VALUE"""),"Pcs ")</f>
        <v>Pcs </v>
      </c>
      <c r="I2349" s="6" t="str">
        <f>IFERROR(__xludf.DUMMYFUNCTION("""COMPUTED_VALUE"""),"MFH")</f>
        <v>MFH</v>
      </c>
      <c r="J2349" s="6" t="str">
        <f>IFERROR(__xludf.DUMMYFUNCTION("""COMPUTED_VALUE"""),"9c")</f>
        <v>9c</v>
      </c>
      <c r="K2349" s="6" t="str">
        <f>IFERROR(__xludf.DUMMYFUNCTION("""COMPUTED_VALUE"""),"SPR/08/25/037")</f>
        <v>SPR/08/25/037</v>
      </c>
      <c r="L2349" s="13">
        <f>IFERROR(__xludf.DUMMYFUNCTION("""COMPUTED_VALUE"""),45898.0)</f>
        <v>45898</v>
      </c>
    </row>
    <row r="2350">
      <c r="A2350" s="6" t="str">
        <f>IFERROR(__xludf.DUMMYFUNCTION("""COMPUTED_VALUE"""),"ASL")</f>
        <v>ASL</v>
      </c>
      <c r="B2350" s="6" t="str">
        <f>IFERROR(__xludf.DUMMYFUNCTION("""COMPUTED_VALUE"""),"ENG")</f>
        <v>ENG</v>
      </c>
      <c r="C2350" s="6" t="str">
        <f>IFERROR(__xludf.DUMMYFUNCTION("""COMPUTED_VALUE"""),"T-21030-00")</f>
        <v>T-21030-00</v>
      </c>
      <c r="D2350" s="6" t="str">
        <f>IFERROR(__xludf.DUMMYFUNCTION("""COMPUTED_VALUE"""),"gas clean filter ox y gen")</f>
        <v>gas clean filter ox y gen</v>
      </c>
      <c r="E2350" s="6">
        <f>IFERROR(__xludf.DUMMYFUNCTION("""COMPUTED_VALUE"""),1.0)</f>
        <v>1</v>
      </c>
      <c r="F2350" s="6">
        <f>IFERROR(__xludf.DUMMYFUNCTION("""COMPUTED_VALUE"""),1.0)</f>
        <v>1</v>
      </c>
      <c r="G2350" s="6">
        <f>IFERROR(__xludf.DUMMYFUNCTION("""COMPUTED_VALUE"""),0.0)</f>
        <v>0</v>
      </c>
      <c r="H2350" s="6" t="str">
        <f>IFERROR(__xludf.DUMMYFUNCTION("""COMPUTED_VALUE"""),"Pcs ")</f>
        <v>Pcs </v>
      </c>
      <c r="I2350" s="6" t="str">
        <f>IFERROR(__xludf.DUMMYFUNCTION("""COMPUTED_VALUE"""),"MFH")</f>
        <v>MFH</v>
      </c>
      <c r="J2350" s="6" t="str">
        <f>IFERROR(__xludf.DUMMYFUNCTION("""COMPUTED_VALUE"""),"9c")</f>
        <v>9c</v>
      </c>
      <c r="K2350" s="6" t="str">
        <f>IFERROR(__xludf.DUMMYFUNCTION("""COMPUTED_VALUE"""),"SPR/08/25/037")</f>
        <v>SPR/08/25/037</v>
      </c>
      <c r="L2350" s="13">
        <f>IFERROR(__xludf.DUMMYFUNCTION("""COMPUTED_VALUE"""),45898.0)</f>
        <v>45898</v>
      </c>
    </row>
    <row r="2351">
      <c r="A2351" s="6" t="str">
        <f>IFERROR(__xludf.DUMMYFUNCTION("""COMPUTED_VALUE"""),"ASL")</f>
        <v>ASL</v>
      </c>
      <c r="B2351" s="6" t="str">
        <f>IFERROR(__xludf.DUMMYFUNCTION("""COMPUTED_VALUE"""),"ENG")</f>
        <v>ENG</v>
      </c>
      <c r="C2351" s="6" t="str">
        <f>IFERROR(__xludf.DUMMYFUNCTION("""COMPUTED_VALUE"""),"T-21028-00")</f>
        <v>T-21028-00</v>
      </c>
      <c r="D2351" s="6" t="str">
        <f>IFERROR(__xludf.DUMMYFUNCTION("""COMPUTED_VALUE"""),"gas clean fillter hydrocarbon")</f>
        <v>gas clean fillter hydrocarbon</v>
      </c>
      <c r="E2351" s="6">
        <f>IFERROR(__xludf.DUMMYFUNCTION("""COMPUTED_VALUE"""),2.0)</f>
        <v>2</v>
      </c>
      <c r="F2351" s="6">
        <f>IFERROR(__xludf.DUMMYFUNCTION("""COMPUTED_VALUE"""),2.0)</f>
        <v>2</v>
      </c>
      <c r="G2351" s="6">
        <f>IFERROR(__xludf.DUMMYFUNCTION("""COMPUTED_VALUE"""),0.0)</f>
        <v>0</v>
      </c>
      <c r="H2351" s="6" t="str">
        <f>IFERROR(__xludf.DUMMYFUNCTION("""COMPUTED_VALUE"""),"Pcs ")</f>
        <v>Pcs </v>
      </c>
      <c r="I2351" s="6" t="str">
        <f>IFERROR(__xludf.DUMMYFUNCTION("""COMPUTED_VALUE"""),"MFH")</f>
        <v>MFH</v>
      </c>
      <c r="J2351" s="6" t="str">
        <f>IFERROR(__xludf.DUMMYFUNCTION("""COMPUTED_VALUE"""),"9c")</f>
        <v>9c</v>
      </c>
      <c r="K2351" s="6" t="str">
        <f>IFERROR(__xludf.DUMMYFUNCTION("""COMPUTED_VALUE"""),"SPR/08/25/037")</f>
        <v>SPR/08/25/037</v>
      </c>
      <c r="L2351" s="13">
        <f>IFERROR(__xludf.DUMMYFUNCTION("""COMPUTED_VALUE"""),45898.0)</f>
        <v>45898</v>
      </c>
    </row>
    <row r="2352">
      <c r="A2352" s="6" t="str">
        <f>IFERROR(__xludf.DUMMYFUNCTION("""COMPUTED_VALUE"""),"ASL")</f>
        <v>ASL</v>
      </c>
      <c r="B2352" s="6" t="str">
        <f>IFERROR(__xludf.DUMMYFUNCTION("""COMPUTED_VALUE"""),"ENG")</f>
        <v>ENG</v>
      </c>
      <c r="C2352" s="6" t="str">
        <f>IFERROR(__xludf.DUMMYFUNCTION("""COMPUTED_VALUE"""),"T-21034-00")</f>
        <v>T-21034-00</v>
      </c>
      <c r="D2352" s="6" t="str">
        <f>IFERROR(__xludf.DUMMYFUNCTION("""COMPUTED_VALUE"""),"Prosteel Deactivated")</f>
        <v>Prosteel Deactivated</v>
      </c>
      <c r="E2352" s="6">
        <f>IFERROR(__xludf.DUMMYFUNCTION("""COMPUTED_VALUE"""),2.0)</f>
        <v>2</v>
      </c>
      <c r="F2352" s="6">
        <f>IFERROR(__xludf.DUMMYFUNCTION("""COMPUTED_VALUE"""),2.0)</f>
        <v>2</v>
      </c>
      <c r="G2352" s="6">
        <f>IFERROR(__xludf.DUMMYFUNCTION("""COMPUTED_VALUE"""),0.0)</f>
        <v>0</v>
      </c>
      <c r="H2352" s="6" t="str">
        <f>IFERROR(__xludf.DUMMYFUNCTION("""COMPUTED_VALUE"""),"Pcs")</f>
        <v>Pcs</v>
      </c>
      <c r="I2352" s="6" t="str">
        <f>IFERROR(__xludf.DUMMYFUNCTION("""COMPUTED_VALUE"""),"MFH ")</f>
        <v>MFH </v>
      </c>
      <c r="J2352" s="6" t="str">
        <f>IFERROR(__xludf.DUMMYFUNCTION("""COMPUTED_VALUE"""),"9c")</f>
        <v>9c</v>
      </c>
      <c r="K2352" s="6" t="str">
        <f>IFERROR(__xludf.DUMMYFUNCTION("""COMPUTED_VALUE"""),"SPR/08/25/038")</f>
        <v>SPR/08/25/038</v>
      </c>
      <c r="L2352" s="13">
        <f>IFERROR(__xludf.DUMMYFUNCTION("""COMPUTED_VALUE"""),45898.0)</f>
        <v>45898</v>
      </c>
    </row>
    <row r="2353">
      <c r="A2353" s="6" t="str">
        <f>IFERROR(__xludf.DUMMYFUNCTION("""COMPUTED_VALUE"""),"SFH")</f>
        <v>SFH</v>
      </c>
      <c r="B2353" s="6" t="str">
        <f>IFERROR(__xludf.DUMMYFUNCTION("""COMPUTED_VALUE"""),"ENG")</f>
        <v>ENG</v>
      </c>
      <c r="C2353" s="6" t="str">
        <f>IFERROR(__xludf.DUMMYFUNCTION("""COMPUTED_VALUE"""),"Q-60403-00")</f>
        <v>Q-60403-00</v>
      </c>
      <c r="D2353" s="6" t="str">
        <f>IFERROR(__xludf.DUMMYFUNCTION("""COMPUTED_VALUE"""),"Serat Fiber / Fiber Glass Matt; Aquaproof; ; 1 kg/pack")</f>
        <v>Serat Fiber / Fiber Glass Matt; Aquaproof; ; 1 kg/pack</v>
      </c>
      <c r="E2353" s="6">
        <f>IFERROR(__xludf.DUMMYFUNCTION("""COMPUTED_VALUE"""),3.0)</f>
        <v>3</v>
      </c>
      <c r="F2353" s="6">
        <f>IFERROR(__xludf.DUMMYFUNCTION("""COMPUTED_VALUE"""),3.0)</f>
        <v>3</v>
      </c>
      <c r="G2353" s="6">
        <f>IFERROR(__xludf.DUMMYFUNCTION("""COMPUTED_VALUE"""),0.0)</f>
        <v>0</v>
      </c>
      <c r="H2353" s="6" t="str">
        <f>IFERROR(__xludf.DUMMYFUNCTION("""COMPUTED_VALUE"""),"Box")</f>
        <v>Box</v>
      </c>
      <c r="I2353" s="6" t="str">
        <f>IFERROR(__xludf.DUMMYFUNCTION("""COMPUTED_VALUE"""),"MFH ")</f>
        <v>MFH </v>
      </c>
      <c r="J2353" s="6" t="str">
        <f>IFERROR(__xludf.DUMMYFUNCTION("""COMPUTED_VALUE"""),"Floor 4")</f>
        <v>Floor 4</v>
      </c>
      <c r="K2353" s="6" t="str">
        <f>IFERROR(__xludf.DUMMYFUNCTION("""COMPUTED_VALUE"""),"SPR/08/25/039")</f>
        <v>SPR/08/25/039</v>
      </c>
      <c r="L2353" s="13">
        <f>IFERROR(__xludf.DUMMYFUNCTION("""COMPUTED_VALUE"""),45898.0)</f>
        <v>45898</v>
      </c>
    </row>
    <row r="2354">
      <c r="A2354" s="6" t="str">
        <f>IFERROR(__xludf.DUMMYFUNCTION("""COMPUTED_VALUE"""),"SFH")</f>
        <v>SFH</v>
      </c>
      <c r="B2354" s="6" t="str">
        <f>IFERROR(__xludf.DUMMYFUNCTION("""COMPUTED_VALUE"""),"ENG")</f>
        <v>ENG</v>
      </c>
      <c r="C2354" s="6" t="str">
        <f>IFERROR(__xludf.DUMMYFUNCTION("""COMPUTED_VALUE"""),"Q-10154-00")</f>
        <v>Q-10154-00</v>
      </c>
      <c r="D2354" s="6" t="str">
        <f>IFERROR(__xludf.DUMMYFUNCTION("""COMPUTED_VALUE"""),"Kuas Cat Roller uk. 230 mm;No Brand;;pack size per set")</f>
        <v>Kuas Cat Roller uk. 230 mm;No Brand;;pack size per set</v>
      </c>
      <c r="E2354" s="6">
        <f>IFERROR(__xludf.DUMMYFUNCTION("""COMPUTED_VALUE"""),3.0)</f>
        <v>3</v>
      </c>
      <c r="F2354" s="6">
        <f>IFERROR(__xludf.DUMMYFUNCTION("""COMPUTED_VALUE"""),3.0)</f>
        <v>3</v>
      </c>
      <c r="G2354" s="6">
        <f>IFERROR(__xludf.DUMMYFUNCTION("""COMPUTED_VALUE"""),0.0)</f>
        <v>0</v>
      </c>
      <c r="H2354" s="6" t="str">
        <f>IFERROR(__xludf.DUMMYFUNCTION("""COMPUTED_VALUE"""),"Pcs ")</f>
        <v>Pcs </v>
      </c>
      <c r="I2354" s="6" t="str">
        <f>IFERROR(__xludf.DUMMYFUNCTION("""COMPUTED_VALUE"""),"MFH ")</f>
        <v>MFH </v>
      </c>
      <c r="J2354" s="6" t="str">
        <f>IFERROR(__xludf.DUMMYFUNCTION("""COMPUTED_VALUE"""),"Floor 4")</f>
        <v>Floor 4</v>
      </c>
      <c r="K2354" s="6" t="str">
        <f>IFERROR(__xludf.DUMMYFUNCTION("""COMPUTED_VALUE"""),"SPR/08/25/039")</f>
        <v>SPR/08/25/039</v>
      </c>
      <c r="L2354" s="13">
        <f>IFERROR(__xludf.DUMMYFUNCTION("""COMPUTED_VALUE"""),45898.0)</f>
        <v>45898</v>
      </c>
    </row>
    <row r="2355">
      <c r="A2355" s="6" t="str">
        <f>IFERROR(__xludf.DUMMYFUNCTION("""COMPUTED_VALUE"""),"SFH")</f>
        <v>SFH</v>
      </c>
      <c r="B2355" s="6" t="str">
        <f>IFERROR(__xludf.DUMMYFUNCTION("""COMPUTED_VALUE"""),"ENG")</f>
        <v>ENG</v>
      </c>
      <c r="C2355" s="6" t="str">
        <f>IFERROR(__xludf.DUMMYFUNCTION("""COMPUTED_VALUE"""),"Q-10650-00")</f>
        <v>Q-10650-00</v>
      </c>
      <c r="D2355" s="6" t="str">
        <f>IFERROR(__xludf.DUMMYFUNCTION("""COMPUTED_VALUE"""),"Aquaproof Abu-Abu @4 Kg; ; ;")</f>
        <v>Aquaproof Abu-Abu @4 Kg; ; ;</v>
      </c>
      <c r="E2355" s="6">
        <f>IFERROR(__xludf.DUMMYFUNCTION("""COMPUTED_VALUE"""),2.0)</f>
        <v>2</v>
      </c>
      <c r="F2355" s="6">
        <f>IFERROR(__xludf.DUMMYFUNCTION("""COMPUTED_VALUE"""),2.0)</f>
        <v>2</v>
      </c>
      <c r="G2355" s="6">
        <f>IFERROR(__xludf.DUMMYFUNCTION("""COMPUTED_VALUE"""),0.0)</f>
        <v>0</v>
      </c>
      <c r="H2355" s="6" t="str">
        <f>IFERROR(__xludf.DUMMYFUNCTION("""COMPUTED_VALUE"""),"Pcs ")</f>
        <v>Pcs </v>
      </c>
      <c r="I2355" s="6" t="str">
        <f>IFERROR(__xludf.DUMMYFUNCTION("""COMPUTED_VALUE"""),"MFH ")</f>
        <v>MFH </v>
      </c>
      <c r="J2355" s="6" t="str">
        <f>IFERROR(__xludf.DUMMYFUNCTION("""COMPUTED_VALUE"""),"Floor 2")</f>
        <v>Floor 2</v>
      </c>
      <c r="K2355" s="6" t="str">
        <f>IFERROR(__xludf.DUMMYFUNCTION("""COMPUTED_VALUE"""),"SPR/08/25/039")</f>
        <v>SPR/08/25/039</v>
      </c>
      <c r="L2355" s="13">
        <f>IFERROR(__xludf.DUMMYFUNCTION("""COMPUTED_VALUE"""),45898.0)</f>
        <v>45898</v>
      </c>
    </row>
    <row r="2356">
      <c r="A2356" s="6" t="str">
        <f>IFERROR(__xludf.DUMMYFUNCTION("""COMPUTED_VALUE"""),"NDS")</f>
        <v>NDS</v>
      </c>
      <c r="B2356" s="6" t="str">
        <f>IFERROR(__xludf.DUMMYFUNCTION("""COMPUTED_VALUE"""),"ENG")</f>
        <v>ENG</v>
      </c>
      <c r="C2356" s="6" t="str">
        <f>IFERROR(__xludf.DUMMYFUNCTION("""COMPUTED_VALUE"""),"Q-10249-00")</f>
        <v>Q-10249-00</v>
      </c>
      <c r="D2356" s="6" t="str">
        <f>IFERROR(__xludf.DUMMYFUNCTION("""COMPUTED_VALUE"""),"Lem Power Glue; ; ;")</f>
        <v>Lem Power Glue; ; ;</v>
      </c>
      <c r="E2356" s="6">
        <f>IFERROR(__xludf.DUMMYFUNCTION("""COMPUTED_VALUE"""),1.0)</f>
        <v>1</v>
      </c>
      <c r="F2356" s="6">
        <f>IFERROR(__xludf.DUMMYFUNCTION("""COMPUTED_VALUE"""),1.0)</f>
        <v>1</v>
      </c>
      <c r="G2356" s="6">
        <f>IFERROR(__xludf.DUMMYFUNCTION("""COMPUTED_VALUE"""),0.0)</f>
        <v>0</v>
      </c>
      <c r="H2356" s="6" t="str">
        <f>IFERROR(__xludf.DUMMYFUNCTION("""COMPUTED_VALUE"""),"Pcs ")</f>
        <v>Pcs </v>
      </c>
      <c r="I2356" s="6" t="str">
        <f>IFERROR(__xludf.DUMMYFUNCTION("""COMPUTED_VALUE"""),"MFH ")</f>
        <v>MFH </v>
      </c>
      <c r="J2356" s="6" t="str">
        <f>IFERROR(__xludf.DUMMYFUNCTION("""COMPUTED_VALUE"""),"Serialisasi ")</f>
        <v>Serialisasi </v>
      </c>
      <c r="K2356" s="6" t="str">
        <f>IFERROR(__xludf.DUMMYFUNCTION("""COMPUTED_VALUE"""),"SPR/08/25/040")</f>
        <v>SPR/08/25/040</v>
      </c>
      <c r="L2356" s="13">
        <f>IFERROR(__xludf.DUMMYFUNCTION("""COMPUTED_VALUE"""),45898.0)</f>
        <v>45898</v>
      </c>
    </row>
    <row r="2357">
      <c r="A2357" s="6" t="str">
        <f>IFERROR(__xludf.DUMMYFUNCTION("""COMPUTED_VALUE"""),"NDS")</f>
        <v>NDS</v>
      </c>
      <c r="B2357" s="6" t="str">
        <f>IFERROR(__xludf.DUMMYFUNCTION("""COMPUTED_VALUE"""),"ENG")</f>
        <v>ENG</v>
      </c>
      <c r="C2357" s="6" t="str">
        <f>IFERROR(__xludf.DUMMYFUNCTION("""COMPUTED_VALUE"""),"P-11175-00")</f>
        <v>P-11175-00</v>
      </c>
      <c r="D2357" s="6" t="str">
        <f>IFERROR(__xludf.DUMMYFUNCTION("""COMPUTED_VALUE"""),"Pneumatic  Fitting - QS 10-8 / PN : 153039 / Festo")</f>
        <v>Pneumatic  Fitting - QS 10-8 / PN : 153039 / Festo</v>
      </c>
      <c r="E2357" s="6">
        <f>IFERROR(__xludf.DUMMYFUNCTION("""COMPUTED_VALUE"""),2.0)</f>
        <v>2</v>
      </c>
      <c r="F2357" s="6">
        <f>IFERROR(__xludf.DUMMYFUNCTION("""COMPUTED_VALUE"""),2.0)</f>
        <v>2</v>
      </c>
      <c r="G2357" s="6">
        <f>IFERROR(__xludf.DUMMYFUNCTION("""COMPUTED_VALUE"""),0.0)</f>
        <v>0</v>
      </c>
      <c r="H2357" s="6" t="str">
        <f>IFERROR(__xludf.DUMMYFUNCTION("""COMPUTED_VALUE"""),"Pcs ")</f>
        <v>Pcs </v>
      </c>
      <c r="I2357" s="6" t="str">
        <f>IFERROR(__xludf.DUMMYFUNCTION("""COMPUTED_VALUE"""),"MFH ")</f>
        <v>MFH </v>
      </c>
      <c r="J2357" s="6" t="str">
        <f>IFERROR(__xludf.DUMMYFUNCTION("""COMPUTED_VALUE"""),"Washing OSD")</f>
        <v>Washing OSD</v>
      </c>
      <c r="K2357" s="6" t="str">
        <f>IFERROR(__xludf.DUMMYFUNCTION("""COMPUTED_VALUE"""),"SPR/08/25/040")</f>
        <v>SPR/08/25/040</v>
      </c>
      <c r="L2357" s="13">
        <f>IFERROR(__xludf.DUMMYFUNCTION("""COMPUTED_VALUE"""),45898.0)</f>
        <v>45898</v>
      </c>
    </row>
    <row r="2358">
      <c r="A2358" s="6" t="str">
        <f>IFERROR(__xludf.DUMMYFUNCTION("""COMPUTED_VALUE"""),"NDS")</f>
        <v>NDS</v>
      </c>
      <c r="B2358" s="6" t="str">
        <f>IFERROR(__xludf.DUMMYFUNCTION("""COMPUTED_VALUE"""),"ENG")</f>
        <v>ENG</v>
      </c>
      <c r="C2358" s="6" t="str">
        <f>IFERROR(__xludf.DUMMYFUNCTION("""COMPUTED_VALUE"""),"P-14245-00")</f>
        <v>P-14245-00</v>
      </c>
      <c r="D2358" s="6" t="str">
        <f>IFERROR(__xludf.DUMMYFUNCTION("""COMPUTED_VALUE"""),"General - Shut off valve HE-2-QS-8;  FESTO; P/N : 153468; 1 Pc")</f>
        <v>General - Shut off valve HE-2-QS-8;  FESTO; P/N : 153468; 1 Pc</v>
      </c>
      <c r="E2358" s="6">
        <f>IFERROR(__xludf.DUMMYFUNCTION("""COMPUTED_VALUE"""),1.0)</f>
        <v>1</v>
      </c>
      <c r="F2358" s="6">
        <f>IFERROR(__xludf.DUMMYFUNCTION("""COMPUTED_VALUE"""),1.0)</f>
        <v>1</v>
      </c>
      <c r="G2358" s="6">
        <f>IFERROR(__xludf.DUMMYFUNCTION("""COMPUTED_VALUE"""),0.0)</f>
        <v>0</v>
      </c>
      <c r="H2358" s="6" t="str">
        <f>IFERROR(__xludf.DUMMYFUNCTION("""COMPUTED_VALUE"""),"Pcs ")</f>
        <v>Pcs </v>
      </c>
      <c r="I2358" s="6" t="str">
        <f>IFERROR(__xludf.DUMMYFUNCTION("""COMPUTED_VALUE"""),"MFH ")</f>
        <v>MFH </v>
      </c>
      <c r="J2358" s="6" t="str">
        <f>IFERROR(__xludf.DUMMYFUNCTION("""COMPUTED_VALUE"""),"Washing OSD")</f>
        <v>Washing OSD</v>
      </c>
      <c r="K2358" s="6" t="str">
        <f>IFERROR(__xludf.DUMMYFUNCTION("""COMPUTED_VALUE"""),"SPR/08/25/040")</f>
        <v>SPR/08/25/040</v>
      </c>
      <c r="L2358" s="13">
        <f>IFERROR(__xludf.DUMMYFUNCTION("""COMPUTED_VALUE"""),45898.0)</f>
        <v>45898</v>
      </c>
    </row>
    <row r="2359">
      <c r="A2359" s="6" t="str">
        <f>IFERROR(__xludf.DUMMYFUNCTION("""COMPUTED_VALUE"""),"ROS ")</f>
        <v>ROS </v>
      </c>
      <c r="B2359" s="6" t="str">
        <f>IFERROR(__xludf.DUMMYFUNCTION("""COMPUTED_VALUE"""),"ENG")</f>
        <v>ENG</v>
      </c>
      <c r="C2359" s="6" t="str">
        <f>IFERROR(__xludf.DUMMYFUNCTION("""COMPUTED_VALUE"""),"P-15429-00")</f>
        <v>P-15429-00</v>
      </c>
      <c r="D2359" s="6" t="str">
        <f>IFERROR(__xludf.DUMMYFUNCTION("""COMPUTED_VALUE"""),"Fedegari FVA2/A1 S/N : NB2964AT - Cover Seal FVM-A/2 FOB2 (Code: PP600265); ; ;")</f>
        <v>Fedegari FVA2/A1 S/N : NB2964AT - Cover Seal FVM-A/2 FOB2 (Code: PP600265); ; ;</v>
      </c>
      <c r="E2359" s="6">
        <f>IFERROR(__xludf.DUMMYFUNCTION("""COMPUTED_VALUE"""),1.0)</f>
        <v>1</v>
      </c>
      <c r="F2359" s="6">
        <f>IFERROR(__xludf.DUMMYFUNCTION("""COMPUTED_VALUE"""),1.0)</f>
        <v>1</v>
      </c>
      <c r="G2359" s="6">
        <f>IFERROR(__xludf.DUMMYFUNCTION("""COMPUTED_VALUE"""),0.0)</f>
        <v>0</v>
      </c>
      <c r="H2359" s="6" t="str">
        <f>IFERROR(__xludf.DUMMYFUNCTION("""COMPUTED_VALUE"""),"Pcs ")</f>
        <v>Pcs </v>
      </c>
      <c r="I2359" s="6" t="str">
        <f>IFERROR(__xludf.DUMMYFUNCTION("""COMPUTED_VALUE"""),"MFH ")</f>
        <v>MFH </v>
      </c>
      <c r="J2359" s="6" t="str">
        <f>IFERROR(__xludf.DUMMYFUNCTION("""COMPUTED_VALUE"""),"autoclave ")</f>
        <v>autoclave </v>
      </c>
      <c r="K2359" s="6" t="str">
        <f>IFERROR(__xludf.DUMMYFUNCTION("""COMPUTED_VALUE"""),"SPR/08/25/041")</f>
        <v>SPR/08/25/041</v>
      </c>
      <c r="L2359" s="13">
        <f>IFERROR(__xludf.DUMMYFUNCTION("""COMPUTED_VALUE"""),45898.0)</f>
        <v>45898</v>
      </c>
    </row>
    <row r="2360">
      <c r="A2360" s="6" t="str">
        <f>IFERROR(__xludf.DUMMYFUNCTION("""COMPUTED_VALUE"""),"ROS ")</f>
        <v>ROS </v>
      </c>
      <c r="B2360" s="6" t="str">
        <f>IFERROR(__xludf.DUMMYFUNCTION("""COMPUTED_VALUE"""),"ENG")</f>
        <v>ENG</v>
      </c>
      <c r="C2360" s="6" t="str">
        <f>IFERROR(__xludf.DUMMYFUNCTION("""COMPUTED_VALUE"""),"P-14245-00")</f>
        <v>P-14245-00</v>
      </c>
      <c r="D2360" s="6" t="str">
        <f>IFERROR(__xludf.DUMMYFUNCTION("""COMPUTED_VALUE"""),"General - Shut off valve HE-2-QS-8;  FESTO; P/N : 153468; 1 Pc")</f>
        <v>General - Shut off valve HE-2-QS-8;  FESTO; P/N : 153468; 1 Pc</v>
      </c>
      <c r="E2360" s="6">
        <f>IFERROR(__xludf.DUMMYFUNCTION("""COMPUTED_VALUE"""),3.0)</f>
        <v>3</v>
      </c>
      <c r="F2360" s="6">
        <f>IFERROR(__xludf.DUMMYFUNCTION("""COMPUTED_VALUE"""),3.0)</f>
        <v>3</v>
      </c>
      <c r="G2360" s="6">
        <f>IFERROR(__xludf.DUMMYFUNCTION("""COMPUTED_VALUE"""),0.0)</f>
        <v>0</v>
      </c>
      <c r="H2360" s="6" t="str">
        <f>IFERROR(__xludf.DUMMYFUNCTION("""COMPUTED_VALUE"""),"Pcs ")</f>
        <v>Pcs </v>
      </c>
      <c r="I2360" s="6" t="str">
        <f>IFERROR(__xludf.DUMMYFUNCTION("""COMPUTED_VALUE"""),"MFH ")</f>
        <v>MFH </v>
      </c>
      <c r="J2360" s="6" t="str">
        <f>IFERROR(__xludf.DUMMYFUNCTION("""COMPUTED_VALUE"""),"autoclave ")</f>
        <v>autoclave </v>
      </c>
      <c r="K2360" s="6" t="str">
        <f>IFERROR(__xludf.DUMMYFUNCTION("""COMPUTED_VALUE"""),"SPR/08/25/041")</f>
        <v>SPR/08/25/041</v>
      </c>
      <c r="L2360" s="13">
        <f>IFERROR(__xludf.DUMMYFUNCTION("""COMPUTED_VALUE"""),45898.0)</f>
        <v>45898</v>
      </c>
    </row>
    <row r="2361">
      <c r="A2361" s="6" t="str">
        <f>IFERROR(__xludf.DUMMYFUNCTION("""COMPUTED_VALUE"""),"ROS ")</f>
        <v>ROS </v>
      </c>
      <c r="B2361" s="6" t="str">
        <f>IFERROR(__xludf.DUMMYFUNCTION("""COMPUTED_VALUE"""),"ENG")</f>
        <v>ENG</v>
      </c>
      <c r="C2361" s="6" t="str">
        <f>IFERROR(__xludf.DUMMYFUNCTION("""COMPUTED_VALUE"""),"P-11228-00")</f>
        <v>P-11228-00</v>
      </c>
      <c r="D2361" s="6" t="str">
        <f>IFERROR(__xludf.DUMMYFUNCTION("""COMPUTED_VALUE"""),"Pneumatic  Fitting - QST 8 / PN : 153130 / Festo")</f>
        <v>Pneumatic  Fitting - QST 8 / PN : 153130 / Festo</v>
      </c>
      <c r="E2361" s="6">
        <f>IFERROR(__xludf.DUMMYFUNCTION("""COMPUTED_VALUE"""),3.0)</f>
        <v>3</v>
      </c>
      <c r="F2361" s="6">
        <f>IFERROR(__xludf.DUMMYFUNCTION("""COMPUTED_VALUE"""),3.0)</f>
        <v>3</v>
      </c>
      <c r="G2361" s="6">
        <f>IFERROR(__xludf.DUMMYFUNCTION("""COMPUTED_VALUE"""),0.0)</f>
        <v>0</v>
      </c>
      <c r="H2361" s="6" t="str">
        <f>IFERROR(__xludf.DUMMYFUNCTION("""COMPUTED_VALUE"""),"Pcs ")</f>
        <v>Pcs </v>
      </c>
      <c r="I2361" s="6" t="str">
        <f>IFERROR(__xludf.DUMMYFUNCTION("""COMPUTED_VALUE"""),"MFH ")</f>
        <v>MFH </v>
      </c>
      <c r="J2361" s="6" t="str">
        <f>IFERROR(__xludf.DUMMYFUNCTION("""COMPUTED_VALUE"""),"autoclave ")</f>
        <v>autoclave </v>
      </c>
      <c r="K2361" s="6" t="str">
        <f>IFERROR(__xludf.DUMMYFUNCTION("""COMPUTED_VALUE"""),"SPR/08/25/041")</f>
        <v>SPR/08/25/041</v>
      </c>
      <c r="L2361" s="13">
        <f>IFERROR(__xludf.DUMMYFUNCTION("""COMPUTED_VALUE"""),45898.0)</f>
        <v>45898</v>
      </c>
    </row>
    <row r="2362">
      <c r="A2362" s="6" t="str">
        <f>IFERROR(__xludf.DUMMYFUNCTION("""COMPUTED_VALUE"""),"RIA ")</f>
        <v>RIA </v>
      </c>
      <c r="B2362" s="6" t="str">
        <f>IFERROR(__xludf.DUMMYFUNCTION("""COMPUTED_VALUE"""),"ENG")</f>
        <v>ENG</v>
      </c>
      <c r="C2362" s="6" t="str">
        <f>IFERROR(__xludf.DUMMYFUNCTION("""COMPUTED_VALUE"""),"O-54014-00")</f>
        <v>O-54014-00</v>
      </c>
      <c r="D2362" s="6" t="str">
        <f>IFERROR(__xludf.DUMMYFUNCTION("""COMPUTED_VALUE"""),"STEKER 1 PHASE, BROCO")</f>
        <v>STEKER 1 PHASE, BROCO</v>
      </c>
      <c r="E2362" s="6">
        <f>IFERROR(__xludf.DUMMYFUNCTION("""COMPUTED_VALUE"""),1.0)</f>
        <v>1</v>
      </c>
      <c r="F2362" s="6">
        <f>IFERROR(__xludf.DUMMYFUNCTION("""COMPUTED_VALUE"""),1.0)</f>
        <v>1</v>
      </c>
      <c r="G2362" s="6">
        <f>IFERROR(__xludf.DUMMYFUNCTION("""COMPUTED_VALUE"""),0.0)</f>
        <v>0</v>
      </c>
      <c r="H2362" s="6" t="str">
        <f>IFERROR(__xludf.DUMMYFUNCTION("""COMPUTED_VALUE"""),"Pcs")</f>
        <v>Pcs</v>
      </c>
      <c r="I2362" s="6" t="str">
        <f>IFERROR(__xludf.DUMMYFUNCTION("""COMPUTED_VALUE"""),"MFH ")</f>
        <v>MFH </v>
      </c>
      <c r="J2362" s="6" t="str">
        <f>IFERROR(__xludf.DUMMYFUNCTION("""COMPUTED_VALUE"""),"Machine ")</f>
        <v>Machine </v>
      </c>
      <c r="K2362" s="6" t="str">
        <f>IFERROR(__xludf.DUMMYFUNCTION("""COMPUTED_VALUE"""),"SPR/08/25/042")</f>
        <v>SPR/08/25/042</v>
      </c>
      <c r="L2362" s="13">
        <f>IFERROR(__xludf.DUMMYFUNCTION("""COMPUTED_VALUE"""),45898.0)</f>
        <v>45898</v>
      </c>
    </row>
    <row r="2363">
      <c r="A2363" s="6" t="str">
        <f>IFERROR(__xludf.DUMMYFUNCTION("""COMPUTED_VALUE"""),"RIA")</f>
        <v>RIA</v>
      </c>
      <c r="B2363" s="6" t="str">
        <f>IFERROR(__xludf.DUMMYFUNCTION("""COMPUTED_VALUE"""),"ENG")</f>
        <v>ENG</v>
      </c>
      <c r="C2363" s="6" t="str">
        <f>IFERROR(__xludf.DUMMYFUNCTION("""COMPUTED_VALUE"""),"P-14877-00")</f>
        <v>P-14877-00</v>
      </c>
      <c r="D2363" s="6" t="str">
        <f>IFERROR(__xludf.DUMMYFUNCTION("""COMPUTED_VALUE"""),"Kabel NYYHY 3x2,5mm; ; ;")</f>
        <v>Kabel NYYHY 3x2,5mm; ; ;</v>
      </c>
      <c r="E2363" s="6">
        <f>IFERROR(__xludf.DUMMYFUNCTION("""COMPUTED_VALUE"""),20.0)</f>
        <v>20</v>
      </c>
      <c r="F2363" s="6">
        <f>IFERROR(__xludf.DUMMYFUNCTION("""COMPUTED_VALUE"""),20.0)</f>
        <v>20</v>
      </c>
      <c r="G2363" s="6">
        <f>IFERROR(__xludf.DUMMYFUNCTION("""COMPUTED_VALUE"""),0.0)</f>
        <v>0</v>
      </c>
      <c r="H2363" s="6" t="str">
        <f>IFERROR(__xludf.DUMMYFUNCTION("""COMPUTED_VALUE"""),"Mtr")</f>
        <v>Mtr</v>
      </c>
      <c r="I2363" s="6" t="str">
        <f>IFERROR(__xludf.DUMMYFUNCTION("""COMPUTED_VALUE"""),"MFH ")</f>
        <v>MFH </v>
      </c>
      <c r="J2363" s="6" t="str">
        <f>IFERROR(__xludf.DUMMYFUNCTION("""COMPUTED_VALUE"""),"Machine ")</f>
        <v>Machine </v>
      </c>
      <c r="K2363" s="6" t="str">
        <f>IFERROR(__xludf.DUMMYFUNCTION("""COMPUTED_VALUE"""),"SPR/08/25/042")</f>
        <v>SPR/08/25/042</v>
      </c>
      <c r="L2363" s="13">
        <f>IFERROR(__xludf.DUMMYFUNCTION("""COMPUTED_VALUE"""),45898.0)</f>
        <v>45898</v>
      </c>
    </row>
    <row r="2364">
      <c r="A2364" s="6" t="str">
        <f>IFERROR(__xludf.DUMMYFUNCTION("""COMPUTED_VALUE"""),"INN")</f>
        <v>INN</v>
      </c>
      <c r="B2364" s="6" t="str">
        <f>IFERROR(__xludf.DUMMYFUNCTION("""COMPUTED_VALUE"""),"ENG")</f>
        <v>ENG</v>
      </c>
      <c r="C2364" s="6" t="str">
        <f>IFERROR(__xludf.DUMMYFUNCTION("""COMPUTED_VALUE"""),"T-20123-00")</f>
        <v>T-20123-00</v>
      </c>
      <c r="D2364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364" s="6">
        <f>IFERROR(__xludf.DUMMYFUNCTION("""COMPUTED_VALUE"""),1.0)</f>
        <v>1</v>
      </c>
      <c r="F2364" s="6">
        <f>IFERROR(__xludf.DUMMYFUNCTION("""COMPUTED_VALUE"""),1.0)</f>
        <v>1</v>
      </c>
      <c r="G2364" s="6">
        <f>IFERROR(__xludf.DUMMYFUNCTION("""COMPUTED_VALUE"""),0.0)</f>
        <v>0</v>
      </c>
      <c r="H2364" s="6" t="str">
        <f>IFERROR(__xludf.DUMMYFUNCTION("""COMPUTED_VALUE"""),"Pcs")</f>
        <v>Pcs</v>
      </c>
      <c r="I2364" s="6" t="str">
        <f>IFERROR(__xludf.DUMMYFUNCTION("""COMPUTED_VALUE"""),"MFH ")</f>
        <v>MFH </v>
      </c>
      <c r="J2364" s="6" t="str">
        <f>IFERROR(__xludf.DUMMYFUNCTION("""COMPUTED_VALUE"""),"HPLC")</f>
        <v>HPLC</v>
      </c>
      <c r="K2364" s="6" t="str">
        <f>IFERROR(__xludf.DUMMYFUNCTION("""COMPUTED_VALUE"""),"SPR/08/25/043")</f>
        <v>SPR/08/25/043</v>
      </c>
      <c r="L2364" s="13">
        <f>IFERROR(__xludf.DUMMYFUNCTION("""COMPUTED_VALUE"""),45898.0)</f>
        <v>45898</v>
      </c>
    </row>
    <row r="2365">
      <c r="A2365" s="6" t="str">
        <f>IFERROR(__xludf.DUMMYFUNCTION("""COMPUTED_VALUE"""),"INN")</f>
        <v>INN</v>
      </c>
      <c r="B2365" s="6" t="str">
        <f>IFERROR(__xludf.DUMMYFUNCTION("""COMPUTED_VALUE"""),"ENG")</f>
        <v>ENG</v>
      </c>
      <c r="C2365" s="6" t="str">
        <f>IFERROR(__xludf.DUMMYFUNCTION("""COMPUTED_VALUE"""),"O-18055-00")</f>
        <v>O-18055-00</v>
      </c>
      <c r="D2365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365" s="6">
        <f>IFERROR(__xludf.DUMMYFUNCTION("""COMPUTED_VALUE"""),4.0)</f>
        <v>4</v>
      </c>
      <c r="F2365" s="6">
        <f>IFERROR(__xludf.DUMMYFUNCTION("""COMPUTED_VALUE"""),4.0)</f>
        <v>4</v>
      </c>
      <c r="G2365" s="6">
        <f>IFERROR(__xludf.DUMMYFUNCTION("""COMPUTED_VALUE"""),0.0)</f>
        <v>0</v>
      </c>
      <c r="H2365" s="6" t="str">
        <f>IFERROR(__xludf.DUMMYFUNCTION("""COMPUTED_VALUE"""),"Pcs")</f>
        <v>Pcs</v>
      </c>
      <c r="I2365" s="6" t="str">
        <f>IFERROR(__xludf.DUMMYFUNCTION("""COMPUTED_VALUE"""),"MFH ")</f>
        <v>MFH </v>
      </c>
      <c r="J2365" s="6" t="str">
        <f>IFERROR(__xludf.DUMMYFUNCTION("""COMPUTED_VALUE"""),"Csrtoning ")</f>
        <v>Csrtoning </v>
      </c>
      <c r="K2365" s="6" t="str">
        <f>IFERROR(__xludf.DUMMYFUNCTION("""COMPUTED_VALUE"""),"SPR/08/25/043")</f>
        <v>SPR/08/25/043</v>
      </c>
      <c r="L2365" s="13">
        <f>IFERROR(__xludf.DUMMYFUNCTION("""COMPUTED_VALUE"""),45898.0)</f>
        <v>45898</v>
      </c>
    </row>
    <row r="2366">
      <c r="A2366" s="6" t="str">
        <f>IFERROR(__xludf.DUMMYFUNCTION("""COMPUTED_VALUE"""),"INN")</f>
        <v>INN</v>
      </c>
      <c r="B2366" s="6" t="str">
        <f>IFERROR(__xludf.DUMMYFUNCTION("""COMPUTED_VALUE"""),"ENG")</f>
        <v>ENG</v>
      </c>
      <c r="C2366" s="6" t="str">
        <f>IFERROR(__xludf.DUMMYFUNCTION("""COMPUTED_VALUE"""),"O-16033-00")</f>
        <v>O-16033-00</v>
      </c>
      <c r="D236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366" s="6">
        <f>IFERROR(__xludf.DUMMYFUNCTION("""COMPUTED_VALUE"""),2.0)</f>
        <v>2</v>
      </c>
      <c r="F2366" s="6">
        <f>IFERROR(__xludf.DUMMYFUNCTION("""COMPUTED_VALUE"""),1.0)</f>
        <v>1</v>
      </c>
      <c r="G2366" s="6">
        <f>IFERROR(__xludf.DUMMYFUNCTION("""COMPUTED_VALUE"""),0.0)</f>
        <v>0</v>
      </c>
      <c r="H2366" s="6" t="str">
        <f>IFERROR(__xludf.DUMMYFUNCTION("""COMPUTED_VALUE"""),"Pcs")</f>
        <v>Pcs</v>
      </c>
      <c r="I2366" s="6" t="str">
        <f>IFERROR(__xludf.DUMMYFUNCTION("""COMPUTED_VALUE"""),"MFH")</f>
        <v>MFH</v>
      </c>
      <c r="J2366" s="6" t="str">
        <f>IFERROR(__xludf.DUMMYFUNCTION("""COMPUTED_VALUE"""),"Crabs")</f>
        <v>Crabs</v>
      </c>
      <c r="K2366" s="6" t="str">
        <f>IFERROR(__xludf.DUMMYFUNCTION("""COMPUTED_VALUE"""),"SPR/08/25/044")</f>
        <v>SPR/08/25/044</v>
      </c>
      <c r="L2366" s="13">
        <f>IFERROR(__xludf.DUMMYFUNCTION("""COMPUTED_VALUE"""),45898.0)</f>
        <v>45898</v>
      </c>
    </row>
    <row r="2367">
      <c r="A2367" s="6" t="str">
        <f>IFERROR(__xludf.DUMMYFUNCTION("""COMPUTED_VALUE"""),"MRN ")</f>
        <v>MRN </v>
      </c>
      <c r="B2367" s="6" t="str">
        <f>IFERROR(__xludf.DUMMYFUNCTION("""COMPUTED_VALUE"""),"ENG")</f>
        <v>ENG</v>
      </c>
      <c r="C2367" s="6" t="str">
        <f>IFERROR(__xludf.DUMMYFUNCTION("""COMPUTED_VALUE"""),"-")</f>
        <v>-</v>
      </c>
      <c r="D2367" s="6" t="str">
        <f>IFERROR(__xludf.DUMMYFUNCTION("""COMPUTED_VALUE"""),"Fuse koca 10 A")</f>
        <v>Fuse koca 10 A</v>
      </c>
      <c r="E2367" s="6">
        <f>IFERROR(__xludf.DUMMYFUNCTION("""COMPUTED_VALUE"""),1.0)</f>
        <v>1</v>
      </c>
      <c r="F2367" s="6">
        <f>IFERROR(__xludf.DUMMYFUNCTION("""COMPUTED_VALUE"""),1.0)</f>
        <v>1</v>
      </c>
      <c r="G2367" s="6">
        <f>IFERROR(__xludf.DUMMYFUNCTION("""COMPUTED_VALUE"""),0.0)</f>
        <v>0</v>
      </c>
      <c r="H2367" s="6" t="str">
        <f>IFERROR(__xludf.DUMMYFUNCTION("""COMPUTED_VALUE"""),"Pcs")</f>
        <v>Pcs</v>
      </c>
      <c r="I2367" s="6" t="str">
        <f>IFERROR(__xludf.DUMMYFUNCTION("""COMPUTED_VALUE"""),"MFH")</f>
        <v>MFH</v>
      </c>
      <c r="J2367" s="6" t="str">
        <f>IFERROR(__xludf.DUMMYFUNCTION("""COMPUTED_VALUE"""),"-")</f>
        <v>-</v>
      </c>
      <c r="K2367" s="6" t="str">
        <f>IFERROR(__xludf.DUMMYFUNCTION("""COMPUTED_VALUE"""),"SPR/08/25/045")</f>
        <v>SPR/08/25/045</v>
      </c>
      <c r="L2367" s="13">
        <f>IFERROR(__xludf.DUMMYFUNCTION("""COMPUTED_VALUE"""),45898.0)</f>
        <v>45898</v>
      </c>
    </row>
    <row r="2368">
      <c r="A2368" s="6" t="str">
        <f>IFERROR(__xludf.DUMMYFUNCTION("""COMPUTED_VALUE"""),"MRN")</f>
        <v>MRN</v>
      </c>
      <c r="B2368" s="6" t="str">
        <f>IFERROR(__xludf.DUMMYFUNCTION("""COMPUTED_VALUE"""),"ENG")</f>
        <v>ENG</v>
      </c>
      <c r="C2368" s="6" t="str">
        <f>IFERROR(__xludf.DUMMYFUNCTION("""COMPUTED_VALUE"""),"O-54015-00")</f>
        <v>O-54015-00</v>
      </c>
      <c r="D2368" s="6" t="str">
        <f>IFERROR(__xludf.DUMMYFUNCTION("""COMPUTED_VALUE"""),"STOP KONTAK LUBANG 4, BROCO")</f>
        <v>STOP KONTAK LUBANG 4, BROCO</v>
      </c>
      <c r="E2368" s="6">
        <f>IFERROR(__xludf.DUMMYFUNCTION("""COMPUTED_VALUE"""),1.0)</f>
        <v>1</v>
      </c>
      <c r="F2368" s="6">
        <f>IFERROR(__xludf.DUMMYFUNCTION("""COMPUTED_VALUE"""),1.0)</f>
        <v>1</v>
      </c>
      <c r="G2368" s="6">
        <f>IFERROR(__xludf.DUMMYFUNCTION("""COMPUTED_VALUE"""),0.0)</f>
        <v>0</v>
      </c>
      <c r="H2368" s="6" t="str">
        <f>IFERROR(__xludf.DUMMYFUNCTION("""COMPUTED_VALUE"""),"Pcs")</f>
        <v>Pcs</v>
      </c>
      <c r="I2368" s="6" t="str">
        <f>IFERROR(__xludf.DUMMYFUNCTION("""COMPUTED_VALUE"""),"MFH")</f>
        <v>MFH</v>
      </c>
      <c r="J2368" s="6" t="str">
        <f>IFERROR(__xludf.DUMMYFUNCTION("""COMPUTED_VALUE"""),"-")</f>
        <v>-</v>
      </c>
      <c r="K2368" s="6" t="str">
        <f>IFERROR(__xludf.DUMMYFUNCTION("""COMPUTED_VALUE"""),"SPR/08/25/045")</f>
        <v>SPR/08/25/045</v>
      </c>
      <c r="L2368" s="13">
        <f>IFERROR(__xludf.DUMMYFUNCTION("""COMPUTED_VALUE"""),45898.0)</f>
        <v>45898</v>
      </c>
    </row>
    <row r="2369">
      <c r="A2369" s="6" t="str">
        <f>IFERROR(__xludf.DUMMYFUNCTION("""COMPUTED_VALUE"""),"RIA ")</f>
        <v>RIA </v>
      </c>
      <c r="B2369" s="6" t="str">
        <f>IFERROR(__xludf.DUMMYFUNCTION("""COMPUTED_VALUE"""),"ENG")</f>
        <v>ENG</v>
      </c>
      <c r="C2369" s="6" t="str">
        <f>IFERROR(__xludf.DUMMYFUNCTION("""COMPUTED_VALUE"""),"P-17390-00")</f>
        <v>P-17390-00</v>
      </c>
      <c r="D2369" s="6" t="str">
        <f>IFERROR(__xludf.DUMMYFUNCTION("""COMPUTED_VALUE"""),"PALL - AB1PFR7PVH4, 0.2 um; ; ;")</f>
        <v>PALL - AB1PFR7PVH4, 0.2 um; ; ;</v>
      </c>
      <c r="E2369" s="6">
        <f>IFERROR(__xludf.DUMMYFUNCTION("""COMPUTED_VALUE"""),1.0)</f>
        <v>1</v>
      </c>
      <c r="F2369" s="6">
        <f>IFERROR(__xludf.DUMMYFUNCTION("""COMPUTED_VALUE"""),1.0)</f>
        <v>1</v>
      </c>
      <c r="G2369" s="6">
        <f>IFERROR(__xludf.DUMMYFUNCTION("""COMPUTED_VALUE"""),0.0)</f>
        <v>0</v>
      </c>
      <c r="H2369" s="6" t="str">
        <f>IFERROR(__xludf.DUMMYFUNCTION("""COMPUTED_VALUE"""),"Pcs")</f>
        <v>Pcs</v>
      </c>
      <c r="I2369" s="6" t="str">
        <f>IFERROR(__xludf.DUMMYFUNCTION("""COMPUTED_VALUE"""),"MFH")</f>
        <v>MFH</v>
      </c>
      <c r="J2369" s="6" t="str">
        <f>IFERROR(__xludf.DUMMYFUNCTION("""COMPUTED_VALUE"""),"Machine ")</f>
        <v>Machine </v>
      </c>
      <c r="K2369" s="6" t="str">
        <f>IFERROR(__xludf.DUMMYFUNCTION("""COMPUTED_VALUE"""),"SPR/08/25/046")</f>
        <v>SPR/08/25/046</v>
      </c>
      <c r="L2369" s="13">
        <f>IFERROR(__xludf.DUMMYFUNCTION("""COMPUTED_VALUE"""),45898.0)</f>
        <v>45898</v>
      </c>
    </row>
    <row r="2370">
      <c r="A2370" s="6" t="str">
        <f>IFERROR(__xludf.DUMMYFUNCTION("""COMPUTED_VALUE"""),"RIA ")</f>
        <v>RIA </v>
      </c>
      <c r="B2370" s="6" t="str">
        <f>IFERROR(__xludf.DUMMYFUNCTION("""COMPUTED_VALUE"""),"ENG")</f>
        <v>ENG</v>
      </c>
      <c r="C2370" s="6" t="str">
        <f>IFERROR(__xludf.DUMMYFUNCTION("""COMPUTED_VALUE"""),"O-12868-00")</f>
        <v>O-12868-00</v>
      </c>
      <c r="D2370" s="6" t="str">
        <f>IFERROR(__xludf.DUMMYFUNCTION("""COMPUTED_VALUE"""),"Emflon PFR Membrane Filter Cartridges 0.2 um PALL P/N : AB05 PFR2 PVH4 pc")</f>
        <v>Emflon PFR Membrane Filter Cartridges 0.2 um PALL P/N : AB05 PFR2 PVH4 pc</v>
      </c>
      <c r="E2370" s="6">
        <f>IFERROR(__xludf.DUMMYFUNCTION("""COMPUTED_VALUE"""),1.0)</f>
        <v>1</v>
      </c>
      <c r="F2370" s="6">
        <f>IFERROR(__xludf.DUMMYFUNCTION("""COMPUTED_VALUE"""),1.0)</f>
        <v>1</v>
      </c>
      <c r="G2370" s="6">
        <f>IFERROR(__xludf.DUMMYFUNCTION("""COMPUTED_VALUE"""),0.0)</f>
        <v>0</v>
      </c>
      <c r="H2370" s="6" t="str">
        <f>IFERROR(__xludf.DUMMYFUNCTION("""COMPUTED_VALUE"""),"Pcs")</f>
        <v>Pcs</v>
      </c>
      <c r="I2370" s="6" t="str">
        <f>IFERROR(__xludf.DUMMYFUNCTION("""COMPUTED_VALUE"""),"MFH")</f>
        <v>MFH</v>
      </c>
      <c r="J2370" s="6" t="str">
        <f>IFERROR(__xludf.DUMMYFUNCTION("""COMPUTED_VALUE"""),"Machine ")</f>
        <v>Machine </v>
      </c>
      <c r="K2370" s="6" t="str">
        <f>IFERROR(__xludf.DUMMYFUNCTION("""COMPUTED_VALUE"""),"SPR/08/25/046")</f>
        <v>SPR/08/25/046</v>
      </c>
      <c r="L2370" s="13">
        <f>IFERROR(__xludf.DUMMYFUNCTION("""COMPUTED_VALUE"""),45898.0)</f>
        <v>45898</v>
      </c>
    </row>
    <row r="2371">
      <c r="A2371" s="6" t="str">
        <f>IFERROR(__xludf.DUMMYFUNCTION("""COMPUTED_VALUE"""),"AAA")</f>
        <v>AAA</v>
      </c>
      <c r="B2371" s="6" t="str">
        <f>IFERROR(__xludf.DUMMYFUNCTION("""COMPUTED_VALUE"""),"ENG")</f>
        <v>ENG</v>
      </c>
      <c r="C2371" s="6" t="str">
        <f>IFERROR(__xludf.DUMMYFUNCTION("""COMPUTED_VALUE"""),"O-16032-00")</f>
        <v>O-16032-00</v>
      </c>
      <c r="D237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371" s="6">
        <f>IFERROR(__xludf.DUMMYFUNCTION("""COMPUTED_VALUE"""),1.0)</f>
        <v>1</v>
      </c>
      <c r="F2371" s="6">
        <f>IFERROR(__xludf.DUMMYFUNCTION("""COMPUTED_VALUE"""),1.0)</f>
        <v>1</v>
      </c>
      <c r="G2371" s="6">
        <f>IFERROR(__xludf.DUMMYFUNCTION("""COMPUTED_VALUE"""),0.0)</f>
        <v>0</v>
      </c>
      <c r="H2371" s="6" t="str">
        <f>IFERROR(__xludf.DUMMYFUNCTION("""COMPUTED_VALUE"""),"Pcs")</f>
        <v>Pcs</v>
      </c>
      <c r="I2371" s="6" t="str">
        <f>IFERROR(__xludf.DUMMYFUNCTION("""COMPUTED_VALUE"""),"MFH ")</f>
        <v>MFH </v>
      </c>
      <c r="J2371" s="6" t="str">
        <f>IFERROR(__xludf.DUMMYFUNCTION("""COMPUTED_VALUE"""),"Crabs ")</f>
        <v>Crabs </v>
      </c>
      <c r="K2371" s="6" t="str">
        <f>IFERROR(__xludf.DUMMYFUNCTION("""COMPUTED_VALUE"""),"SPR/08/25/047")</f>
        <v>SPR/08/25/047</v>
      </c>
      <c r="L2371" s="13">
        <f>IFERROR(__xludf.DUMMYFUNCTION("""COMPUTED_VALUE"""),45898.0)</f>
        <v>45898</v>
      </c>
    </row>
    <row r="2372">
      <c r="A2372" s="6" t="str">
        <f>IFERROR(__xludf.DUMMYFUNCTION("""COMPUTED_VALUE"""),"RIA ")</f>
        <v>RIA </v>
      </c>
      <c r="B2372" s="6" t="str">
        <f>IFERROR(__xludf.DUMMYFUNCTION("""COMPUTED_VALUE"""),"ENG")</f>
        <v>ENG</v>
      </c>
      <c r="C2372" s="6" t="str">
        <f>IFERROR(__xludf.DUMMYFUNCTION("""COMPUTED_VALUE"""),"S-46129-00")</f>
        <v>S-46129-00</v>
      </c>
      <c r="D2372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E2372" s="6">
        <f>IFERROR(__xludf.DUMMYFUNCTION("""COMPUTED_VALUE"""),3.0)</f>
        <v>3</v>
      </c>
      <c r="F2372" s="6">
        <f>IFERROR(__xludf.DUMMYFUNCTION("""COMPUTED_VALUE"""),3.0)</f>
        <v>3</v>
      </c>
      <c r="G2372" s="6">
        <f>IFERROR(__xludf.DUMMYFUNCTION("""COMPUTED_VALUE"""),0.0)</f>
        <v>0</v>
      </c>
      <c r="H2372" s="6" t="str">
        <f>IFERROR(__xludf.DUMMYFUNCTION("""COMPUTED_VALUE"""),"Pcs ")</f>
        <v>Pcs </v>
      </c>
      <c r="I2372" s="6" t="str">
        <f>IFERROR(__xludf.DUMMYFUNCTION("""COMPUTED_VALUE"""),"MFH ")</f>
        <v>MFH </v>
      </c>
      <c r="J2372" s="6" t="str">
        <f>IFERROR(__xludf.DUMMYFUNCTION("""COMPUTED_VALUE"""),"Building ")</f>
        <v>Building </v>
      </c>
      <c r="K2372" s="6" t="str">
        <f>IFERROR(__xludf.DUMMYFUNCTION("""COMPUTED_VALUE"""),"SPR/08/25/048")</f>
        <v>SPR/08/25/048</v>
      </c>
      <c r="L2372" s="13">
        <f>IFERROR(__xludf.DUMMYFUNCTION("""COMPUTED_VALUE"""),45898.0)</f>
        <v>45898</v>
      </c>
    </row>
    <row r="2373">
      <c r="A2373" s="6" t="str">
        <f>IFERROR(__xludf.DUMMYFUNCTION("""COMPUTED_VALUE"""),"SFH")</f>
        <v>SFH</v>
      </c>
      <c r="B2373" s="6" t="str">
        <f>IFERROR(__xludf.DUMMYFUNCTION("""COMPUTED_VALUE"""),"ENG")</f>
        <v>ENG</v>
      </c>
      <c r="C2373" s="6" t="str">
        <f>IFERROR(__xludf.DUMMYFUNCTION("""COMPUTED_VALUE"""),"Q-60402-00")</f>
        <v>Q-60402-00</v>
      </c>
      <c r="D2373" s="6" t="str">
        <f>IFERROR(__xludf.DUMMYFUNCTION("""COMPUTED_VALUE"""),"Aquaproof Abu Abu; Aquaproof; Type 061 Abu Abu; 20 liter/pail")</f>
        <v>Aquaproof Abu Abu; Aquaproof; Type 061 Abu Abu; 20 liter/pail</v>
      </c>
      <c r="E2373" s="6">
        <f>IFERROR(__xludf.DUMMYFUNCTION("""COMPUTED_VALUE"""),8.0)</f>
        <v>8</v>
      </c>
      <c r="F2373" s="6">
        <f>IFERROR(__xludf.DUMMYFUNCTION("""COMPUTED_VALUE"""),8.0)</f>
        <v>8</v>
      </c>
      <c r="G2373" s="6">
        <f>IFERROR(__xludf.DUMMYFUNCTION("""COMPUTED_VALUE"""),0.0)</f>
        <v>0</v>
      </c>
      <c r="H2373" s="6" t="str">
        <f>IFERROR(__xludf.DUMMYFUNCTION("""COMPUTED_VALUE"""),"Pcs")</f>
        <v>Pcs</v>
      </c>
      <c r="I2373" s="6" t="str">
        <f>IFERROR(__xludf.DUMMYFUNCTION("""COMPUTED_VALUE"""),"MFH ")</f>
        <v>MFH </v>
      </c>
      <c r="J2373" s="6" t="str">
        <f>IFERROR(__xludf.DUMMYFUNCTION("""COMPUTED_VALUE"""),"Floor 4")</f>
        <v>Floor 4</v>
      </c>
      <c r="K2373" s="6" t="str">
        <f>IFERROR(__xludf.DUMMYFUNCTION("""COMPUTED_VALUE"""),"SPR/08/25/049")</f>
        <v>SPR/08/25/049</v>
      </c>
      <c r="L2373" s="13">
        <f>IFERROR(__xludf.DUMMYFUNCTION("""COMPUTED_VALUE"""),45898.0)</f>
        <v>45898</v>
      </c>
    </row>
    <row r="2374">
      <c r="A2374" s="6" t="str">
        <f>IFERROR(__xludf.DUMMYFUNCTION("""COMPUTED_VALUE"""),"SFH")</f>
        <v>SFH</v>
      </c>
      <c r="B2374" s="6" t="str">
        <f>IFERROR(__xludf.DUMMYFUNCTION("""COMPUTED_VALUE"""),"ENG")</f>
        <v>ENG</v>
      </c>
      <c r="C2374" s="6" t="str">
        <f>IFERROR(__xludf.DUMMYFUNCTION("""COMPUTED_VALUE"""),"Q-10154-00")</f>
        <v>Q-10154-00</v>
      </c>
      <c r="D2374" s="6" t="str">
        <f>IFERROR(__xludf.DUMMYFUNCTION("""COMPUTED_VALUE"""),"Roller cat 230mm")</f>
        <v>Roller cat 230mm</v>
      </c>
      <c r="E2374" s="6">
        <f>IFERROR(__xludf.DUMMYFUNCTION("""COMPUTED_VALUE"""),3.0)</f>
        <v>3</v>
      </c>
      <c r="F2374" s="6">
        <f>IFERROR(__xludf.DUMMYFUNCTION("""COMPUTED_VALUE"""),3.0)</f>
        <v>3</v>
      </c>
      <c r="G2374" s="6">
        <f>IFERROR(__xludf.DUMMYFUNCTION("""COMPUTED_VALUE"""),0.0)</f>
        <v>0</v>
      </c>
      <c r="H2374" s="6" t="str">
        <f>IFERROR(__xludf.DUMMYFUNCTION("""COMPUTED_VALUE"""),"Pcs")</f>
        <v>Pcs</v>
      </c>
      <c r="I2374" s="6" t="str">
        <f>IFERROR(__xludf.DUMMYFUNCTION("""COMPUTED_VALUE"""),"MFH ")</f>
        <v>MFH </v>
      </c>
      <c r="J2374" s="6" t="str">
        <f>IFERROR(__xludf.DUMMYFUNCTION("""COMPUTED_VALUE"""),"Floor 4")</f>
        <v>Floor 4</v>
      </c>
      <c r="K2374" s="6" t="str">
        <f>IFERROR(__xludf.DUMMYFUNCTION("""COMPUTED_VALUE"""),"SPR/08/25/049")</f>
        <v>SPR/08/25/049</v>
      </c>
      <c r="L2374" s="13">
        <f>IFERROR(__xludf.DUMMYFUNCTION("""COMPUTED_VALUE"""),45898.0)</f>
        <v>45898</v>
      </c>
    </row>
    <row r="2375">
      <c r="A2375" s="6" t="str">
        <f>IFERROR(__xludf.DUMMYFUNCTION("""COMPUTED_VALUE"""),"SFH")</f>
        <v>SFH</v>
      </c>
      <c r="B2375" s="6" t="str">
        <f>IFERROR(__xludf.DUMMYFUNCTION("""COMPUTED_VALUE"""),"ENG")</f>
        <v>ENG</v>
      </c>
      <c r="C2375" s="6" t="str">
        <f>IFERROR(__xludf.DUMMYFUNCTION("""COMPUTED_VALUE"""),"T-80109-00")</f>
        <v>T-80109-00</v>
      </c>
      <c r="D2375" s="6" t="str">
        <f>IFERROR(__xludf.DUMMYFUNCTION("""COMPUTED_VALUE"""),"Cellotape Kertas 1 inch warna Putih")</f>
        <v>Cellotape Kertas 1 inch warna Putih</v>
      </c>
      <c r="E2375" s="6">
        <f>IFERROR(__xludf.DUMMYFUNCTION("""COMPUTED_VALUE"""),8.0)</f>
        <v>8</v>
      </c>
      <c r="F2375" s="6">
        <f>IFERROR(__xludf.DUMMYFUNCTION("""COMPUTED_VALUE"""),8.0)</f>
        <v>8</v>
      </c>
      <c r="G2375" s="6">
        <f>IFERROR(__xludf.DUMMYFUNCTION("""COMPUTED_VALUE"""),0.0)</f>
        <v>0</v>
      </c>
      <c r="H2375" s="6" t="str">
        <f>IFERROR(__xludf.DUMMYFUNCTION("""COMPUTED_VALUE"""),"Pcs")</f>
        <v>Pcs</v>
      </c>
      <c r="I2375" s="6" t="str">
        <f>IFERROR(__xludf.DUMMYFUNCTION("""COMPUTED_VALUE"""),"MFH ")</f>
        <v>MFH </v>
      </c>
      <c r="J2375" s="6" t="str">
        <f>IFERROR(__xludf.DUMMYFUNCTION("""COMPUTED_VALUE"""),"Floor 2,4")</f>
        <v>Floor 2,4</v>
      </c>
      <c r="K2375" s="6" t="str">
        <f>IFERROR(__xludf.DUMMYFUNCTION("""COMPUTED_VALUE"""),"SPR/08/25/049")</f>
        <v>SPR/08/25/049</v>
      </c>
      <c r="L2375" s="13">
        <f>IFERROR(__xludf.DUMMYFUNCTION("""COMPUTED_VALUE"""),45898.0)</f>
        <v>45898</v>
      </c>
    </row>
    <row r="2376">
      <c r="A2376" s="6" t="str">
        <f>IFERROR(__xludf.DUMMYFUNCTION("""COMPUTED_VALUE"""),"SFH")</f>
        <v>SFH</v>
      </c>
      <c r="B2376" s="6" t="str">
        <f>IFERROR(__xludf.DUMMYFUNCTION("""COMPUTED_VALUE"""),"ENG")</f>
        <v>ENG</v>
      </c>
      <c r="C2376" s="6" t="str">
        <f>IFERROR(__xludf.DUMMYFUNCTION("""COMPUTED_VALUE"""),"P-53174-00")</f>
        <v>P-53174-00</v>
      </c>
      <c r="D2376" s="6" t="str">
        <f>IFERROR(__xludf.DUMMYFUNCTION("""COMPUTED_VALUE"""),"Ballast Electronic EB-C 114 TL5, 1x14W; Phillips; ;")</f>
        <v>Ballast Electronic EB-C 114 TL5, 1x14W; Phillips; ;</v>
      </c>
      <c r="E2376" s="6">
        <f>IFERROR(__xludf.DUMMYFUNCTION("""COMPUTED_VALUE"""),5.0)</f>
        <v>5</v>
      </c>
      <c r="F2376" s="6">
        <f>IFERROR(__xludf.DUMMYFUNCTION("""COMPUTED_VALUE"""),5.0)</f>
        <v>5</v>
      </c>
      <c r="G2376" s="6">
        <f>IFERROR(__xludf.DUMMYFUNCTION("""COMPUTED_VALUE"""),0.0)</f>
        <v>0</v>
      </c>
      <c r="H2376" s="6" t="str">
        <f>IFERROR(__xludf.DUMMYFUNCTION("""COMPUTED_VALUE"""),"Pcs")</f>
        <v>Pcs</v>
      </c>
      <c r="I2376" s="6" t="str">
        <f>IFERROR(__xludf.DUMMYFUNCTION("""COMPUTED_VALUE"""),"MFH")</f>
        <v>MFH</v>
      </c>
      <c r="J2376" s="6" t="str">
        <f>IFERROR(__xludf.DUMMYFUNCTION("""COMPUTED_VALUE"""),"Floor 1")</f>
        <v>Floor 1</v>
      </c>
      <c r="K2376" s="6" t="str">
        <f>IFERROR(__xludf.DUMMYFUNCTION("""COMPUTED_VALUE"""),"SPR/08/25/050")</f>
        <v>SPR/08/25/050</v>
      </c>
      <c r="L2376" s="13">
        <f>IFERROR(__xludf.DUMMYFUNCTION("""COMPUTED_VALUE"""),45898.0)</f>
        <v>45898</v>
      </c>
    </row>
    <row r="2377">
      <c r="A2377" s="6" t="str">
        <f>IFERROR(__xludf.DUMMYFUNCTION("""COMPUTED_VALUE"""),"MRN")</f>
        <v>MRN</v>
      </c>
      <c r="B2377" s="6" t="str">
        <f>IFERROR(__xludf.DUMMYFUNCTION("""COMPUTED_VALUE"""),"ENG")</f>
        <v>ENG</v>
      </c>
      <c r="C2377" s="6" t="str">
        <f>IFERROR(__xludf.DUMMYFUNCTION("""COMPUTED_VALUE"""),"Q-10572-00")</f>
        <v>Q-10572-00</v>
      </c>
      <c r="D2377" s="6" t="str">
        <f>IFERROR(__xludf.DUMMYFUNCTION("""COMPUTED_VALUE"""),"Lampu LED Tube TL T8 16W 1200 mm;Philips;;pack size per pcs")</f>
        <v>Lampu LED Tube TL T8 16W 1200 mm;Philips;;pack size per pcs</v>
      </c>
      <c r="E2377" s="6">
        <f>IFERROR(__xludf.DUMMYFUNCTION("""COMPUTED_VALUE"""),1.0)</f>
        <v>1</v>
      </c>
      <c r="F2377" s="6">
        <f>IFERROR(__xludf.DUMMYFUNCTION("""COMPUTED_VALUE"""),1.0)</f>
        <v>1</v>
      </c>
      <c r="G2377" s="6">
        <f>IFERROR(__xludf.DUMMYFUNCTION("""COMPUTED_VALUE"""),0.0)</f>
        <v>0</v>
      </c>
      <c r="H2377" s="6" t="str">
        <f>IFERROR(__xludf.DUMMYFUNCTION("""COMPUTED_VALUE"""),"Pcs")</f>
        <v>Pcs</v>
      </c>
      <c r="I2377" s="6" t="str">
        <f>IFERROR(__xludf.DUMMYFUNCTION("""COMPUTED_VALUE"""),"MFH")</f>
        <v>MFH</v>
      </c>
      <c r="J2377" s="6" t="str">
        <f>IFERROR(__xludf.DUMMYFUNCTION("""COMPUTED_VALUE"""),"-")</f>
        <v>-</v>
      </c>
      <c r="K2377" s="6" t="str">
        <f>IFERROR(__xludf.DUMMYFUNCTION("""COMPUTED_VALUE"""),"SPR/08/25/051")</f>
        <v>SPR/08/25/051</v>
      </c>
      <c r="L2377" s="13">
        <f>IFERROR(__xludf.DUMMYFUNCTION("""COMPUTED_VALUE"""),45898.0)</f>
        <v>45898</v>
      </c>
    </row>
    <row r="2378">
      <c r="A2378" s="6" t="str">
        <f>IFERROR(__xludf.DUMMYFUNCTION("""COMPUTED_VALUE"""),"MRN")</f>
        <v>MRN</v>
      </c>
      <c r="B2378" s="6" t="str">
        <f>IFERROR(__xludf.DUMMYFUNCTION("""COMPUTED_VALUE"""),"ENG")</f>
        <v>ENG</v>
      </c>
      <c r="C2378" s="6" t="str">
        <f>IFERROR(__xludf.DUMMYFUNCTION("""COMPUTED_VALUE"""),"P-51559-00")</f>
        <v>P-51559-00</v>
      </c>
      <c r="D2378" s="6" t="str">
        <f>IFERROR(__xludf.DUMMYFUNCTION("""COMPUTED_VALUE"""),"Lampu T5 14watt Putih; Phillips; ;")</f>
        <v>Lampu T5 14watt Putih; Phillips; ;</v>
      </c>
      <c r="E2378" s="6">
        <f>IFERROR(__xludf.DUMMYFUNCTION("""COMPUTED_VALUE"""),15.0)</f>
        <v>15</v>
      </c>
      <c r="F2378" s="6">
        <f>IFERROR(__xludf.DUMMYFUNCTION("""COMPUTED_VALUE"""),15.0)</f>
        <v>15</v>
      </c>
      <c r="G2378" s="6">
        <f>IFERROR(__xludf.DUMMYFUNCTION("""COMPUTED_VALUE"""),0.0)</f>
        <v>0</v>
      </c>
      <c r="H2378" s="6" t="str">
        <f>IFERROR(__xludf.DUMMYFUNCTION("""COMPUTED_VALUE"""),"Pcs")</f>
        <v>Pcs</v>
      </c>
      <c r="I2378" s="6" t="str">
        <f>IFERROR(__xludf.DUMMYFUNCTION("""COMPUTED_VALUE"""),"MFH")</f>
        <v>MFH</v>
      </c>
      <c r="J2378" s="6" t="str">
        <f>IFERROR(__xludf.DUMMYFUNCTION("""COMPUTED_VALUE"""),"-")</f>
        <v>-</v>
      </c>
      <c r="K2378" s="6" t="str">
        <f>IFERROR(__xludf.DUMMYFUNCTION("""COMPUTED_VALUE"""),"SPR/08/25/051")</f>
        <v>SPR/08/25/051</v>
      </c>
      <c r="L2378" s="13">
        <f>IFERROR(__xludf.DUMMYFUNCTION("""COMPUTED_VALUE"""),45898.0)</f>
        <v>45898</v>
      </c>
    </row>
    <row r="2379">
      <c r="A2379" s="6" t="str">
        <f>IFERROR(__xludf.DUMMYFUNCTION("""COMPUTED_VALUE"""),"MRN")</f>
        <v>MRN</v>
      </c>
      <c r="B2379" s="6" t="str">
        <f>IFERROR(__xludf.DUMMYFUNCTION("""COMPUTED_VALUE"""),"ENG")</f>
        <v>ENG</v>
      </c>
      <c r="C2379" s="6" t="str">
        <f>IFERROR(__xludf.DUMMYFUNCTION("""COMPUTED_VALUE"""),"P-53102-00")</f>
        <v>P-53102-00</v>
      </c>
      <c r="D2379" s="6" t="str">
        <f>IFERROR(__xludf.DUMMYFUNCTION("""COMPUTED_VALUE"""),"Lampu PLC 13watt/E27 Putih; Phillips; ;")</f>
        <v>Lampu PLC 13watt/E27 Putih; Phillips; ;</v>
      </c>
      <c r="E2379" s="6">
        <f>IFERROR(__xludf.DUMMYFUNCTION("""COMPUTED_VALUE"""),15.0)</f>
        <v>15</v>
      </c>
      <c r="F2379" s="6">
        <f>IFERROR(__xludf.DUMMYFUNCTION("""COMPUTED_VALUE"""),15.0)</f>
        <v>15</v>
      </c>
      <c r="G2379" s="6">
        <f>IFERROR(__xludf.DUMMYFUNCTION("""COMPUTED_VALUE"""),0.0)</f>
        <v>0</v>
      </c>
      <c r="H2379" s="6" t="str">
        <f>IFERROR(__xludf.DUMMYFUNCTION("""COMPUTED_VALUE"""),"Pcs")</f>
        <v>Pcs</v>
      </c>
      <c r="I2379" s="6" t="str">
        <f>IFERROR(__xludf.DUMMYFUNCTION("""COMPUTED_VALUE"""),"MFH")</f>
        <v>MFH</v>
      </c>
      <c r="J2379" s="6"/>
      <c r="K2379" s="6" t="str">
        <f>IFERROR(__xludf.DUMMYFUNCTION("""COMPUTED_VALUE"""),"SPR/08/25/051")</f>
        <v>SPR/08/25/051</v>
      </c>
      <c r="L2379" s="13">
        <f>IFERROR(__xludf.DUMMYFUNCTION("""COMPUTED_VALUE"""),45898.0)</f>
        <v>45898</v>
      </c>
    </row>
    <row r="2380">
      <c r="A2380" s="6" t="str">
        <f>IFERROR(__xludf.DUMMYFUNCTION("""COMPUTED_VALUE"""),"MRN")</f>
        <v>MRN</v>
      </c>
      <c r="B2380" s="6" t="str">
        <f>IFERROR(__xludf.DUMMYFUNCTION("""COMPUTED_VALUE"""),"ENG")</f>
        <v>ENG</v>
      </c>
      <c r="C2380" s="6" t="str">
        <f>IFERROR(__xludf.DUMMYFUNCTION("""COMPUTED_VALUE"""),"O-15489-00")</f>
        <v>O-15489-00</v>
      </c>
      <c r="D2380" s="6" t="str">
        <f>IFERROR(__xludf.DUMMYFUNCTION("""COMPUTED_VALUE"""),"SPA 1120 Brand : Optibelt / Bando Merah; Optibelt; ;")</f>
        <v>SPA 1120 Brand : Optibelt / Bando Merah; Optibelt; ;</v>
      </c>
      <c r="E2380" s="6">
        <f>IFERROR(__xludf.DUMMYFUNCTION("""COMPUTED_VALUE"""),1.0)</f>
        <v>1</v>
      </c>
      <c r="F2380" s="6">
        <f>IFERROR(__xludf.DUMMYFUNCTION("""COMPUTED_VALUE"""),1.0)</f>
        <v>1</v>
      </c>
      <c r="G2380" s="6">
        <f>IFERROR(__xludf.DUMMYFUNCTION("""COMPUTED_VALUE"""),0.0)</f>
        <v>0</v>
      </c>
      <c r="H2380" s="6" t="str">
        <f>IFERROR(__xludf.DUMMYFUNCTION("""COMPUTED_VALUE"""),"Pcs ")</f>
        <v>Pcs </v>
      </c>
      <c r="I2380" s="6" t="str">
        <f>IFERROR(__xludf.DUMMYFUNCTION("""COMPUTED_VALUE"""),"MFH ")</f>
        <v>MFH </v>
      </c>
      <c r="J2380" s="6" t="str">
        <f>IFERROR(__xludf.DUMMYFUNCTION("""COMPUTED_VALUE"""),"E xc1-3")</f>
        <v>E xc1-3</v>
      </c>
      <c r="K2380" s="6" t="str">
        <f>IFERROR(__xludf.DUMMYFUNCTION("""COMPUTED_VALUE"""),"SPR/08/25/052")</f>
        <v>SPR/08/25/052</v>
      </c>
      <c r="L2380" s="13">
        <f>IFERROR(__xludf.DUMMYFUNCTION("""COMPUTED_VALUE"""),45898.0)</f>
        <v>45898</v>
      </c>
    </row>
    <row r="2381">
      <c r="A2381" s="6" t="str">
        <f>IFERROR(__xludf.DUMMYFUNCTION("""COMPUTED_VALUE"""),"MRN ")</f>
        <v>MRN </v>
      </c>
      <c r="B2381" s="6" t="str">
        <f>IFERROR(__xludf.DUMMYFUNCTION("""COMPUTED_VALUE"""),"ENG")</f>
        <v>ENG</v>
      </c>
      <c r="C2381" s="6" t="str">
        <f>IFERROR(__xludf.DUMMYFUNCTION("""COMPUTED_VALUE"""),"P-11169-00")</f>
        <v>P-11169-00</v>
      </c>
      <c r="D2381" s="6" t="str">
        <f>IFERROR(__xludf.DUMMYFUNCTION("""COMPUTED_VALUE"""),"General - Push-in Fitting, QS-1/4-6; Festo; 153003; 1 pcs")</f>
        <v>General - Push-in Fitting, QS-1/4-6; Festo; 153003; 1 pcs</v>
      </c>
      <c r="E2381" s="6">
        <f>IFERROR(__xludf.DUMMYFUNCTION("""COMPUTED_VALUE"""),1.0)</f>
        <v>1</v>
      </c>
      <c r="F2381" s="6">
        <f>IFERROR(__xludf.DUMMYFUNCTION("""COMPUTED_VALUE"""),1.0)</f>
        <v>1</v>
      </c>
      <c r="G2381" s="6">
        <f>IFERROR(__xludf.DUMMYFUNCTION("""COMPUTED_VALUE"""),0.0)</f>
        <v>0</v>
      </c>
      <c r="H2381" s="6" t="str">
        <f>IFERROR(__xludf.DUMMYFUNCTION("""COMPUTED_VALUE"""),"Pcs")</f>
        <v>Pcs</v>
      </c>
      <c r="I2381" s="6" t="str">
        <f>IFERROR(__xludf.DUMMYFUNCTION("""COMPUTED_VALUE"""),"MFH ")</f>
        <v>MFH </v>
      </c>
      <c r="J2381" s="6" t="str">
        <f>IFERROR(__xludf.DUMMYFUNCTION("""COMPUTED_VALUE"""),"-")</f>
        <v>-</v>
      </c>
      <c r="K2381" s="6" t="str">
        <f>IFERROR(__xludf.DUMMYFUNCTION("""COMPUTED_VALUE"""),"SPR/08/25/053")</f>
        <v>SPR/08/25/053</v>
      </c>
      <c r="L2381" s="13">
        <f>IFERROR(__xludf.DUMMYFUNCTION("""COMPUTED_VALUE"""),45898.0)</f>
        <v>45898</v>
      </c>
    </row>
    <row r="2382">
      <c r="A2382" s="6" t="str">
        <f>IFERROR(__xludf.DUMMYFUNCTION("""COMPUTED_VALUE"""),"MRN ")</f>
        <v>MRN </v>
      </c>
      <c r="B2382" s="6" t="str">
        <f>IFERROR(__xludf.DUMMYFUNCTION("""COMPUTED_VALUE"""),"ENG")</f>
        <v>ENG</v>
      </c>
      <c r="C2382" s="6" t="str">
        <f>IFERROR(__xludf.DUMMYFUNCTION("""COMPUTED_VALUE"""),"P-11228-00")</f>
        <v>P-11228-00</v>
      </c>
      <c r="D2382" s="6" t="str">
        <f>IFERROR(__xludf.DUMMYFUNCTION("""COMPUTED_VALUE"""),"General - Push-in T-connector, QST-8; Festo; 153130; 1 pcs")</f>
        <v>General - Push-in T-connector, QST-8; Festo; 153130; 1 pcs</v>
      </c>
      <c r="E2382" s="6">
        <f>IFERROR(__xludf.DUMMYFUNCTION("""COMPUTED_VALUE"""),1.0)</f>
        <v>1</v>
      </c>
      <c r="F2382" s="6">
        <f>IFERROR(__xludf.DUMMYFUNCTION("""COMPUTED_VALUE"""),1.0)</f>
        <v>1</v>
      </c>
      <c r="G2382" s="6">
        <f>IFERROR(__xludf.DUMMYFUNCTION("""COMPUTED_VALUE"""),0.0)</f>
        <v>0</v>
      </c>
      <c r="H2382" s="6" t="str">
        <f>IFERROR(__xludf.DUMMYFUNCTION("""COMPUTED_VALUE"""),"Pcs")</f>
        <v>Pcs</v>
      </c>
      <c r="I2382" s="6" t="str">
        <f>IFERROR(__xludf.DUMMYFUNCTION("""COMPUTED_VALUE"""),"MFH ")</f>
        <v>MFH </v>
      </c>
      <c r="J2382" s="6" t="str">
        <f>IFERROR(__xludf.DUMMYFUNCTION("""COMPUTED_VALUE"""),"-")</f>
        <v>-</v>
      </c>
      <c r="K2382" s="6" t="str">
        <f>IFERROR(__xludf.DUMMYFUNCTION("""COMPUTED_VALUE"""),"SPR/08/25/053")</f>
        <v>SPR/08/25/053</v>
      </c>
      <c r="L2382" s="13">
        <f>IFERROR(__xludf.DUMMYFUNCTION("""COMPUTED_VALUE"""),45898.0)</f>
        <v>45898</v>
      </c>
    </row>
    <row r="2383">
      <c r="A2383" s="6" t="str">
        <f>IFERROR(__xludf.DUMMYFUNCTION("""COMPUTED_VALUE"""),"BDU")</f>
        <v>BDU</v>
      </c>
      <c r="B2383" s="6" t="str">
        <f>IFERROR(__xludf.DUMMYFUNCTION("""COMPUTED_VALUE"""),"ENG")</f>
        <v>ENG</v>
      </c>
      <c r="C2383" s="6" t="str">
        <f>IFERROR(__xludf.DUMMYFUNCTION("""COMPUTED_VALUE"""),"Q-50013-00")</f>
        <v>Q-50013-00</v>
      </c>
      <c r="D2383" s="6" t="str">
        <f>IFERROR(__xludf.DUMMYFUNCTION("""COMPUTED_VALUE"""),"Frame or Perimeter Seal RP48 White; Raven; R48W6; 6 meter/pck")</f>
        <v>Frame or Perimeter Seal RP48 White; Raven; R48W6; 6 meter/pck</v>
      </c>
      <c r="E2383" s="6">
        <f>IFERROR(__xludf.DUMMYFUNCTION("""COMPUTED_VALUE"""),1.0)</f>
        <v>1</v>
      </c>
      <c r="F2383" s="6">
        <f>IFERROR(__xludf.DUMMYFUNCTION("""COMPUTED_VALUE"""),1.0)</f>
        <v>1</v>
      </c>
      <c r="G2383" s="6">
        <f>IFERROR(__xludf.DUMMYFUNCTION("""COMPUTED_VALUE"""),0.0)</f>
        <v>0</v>
      </c>
      <c r="H2383" s="6" t="str">
        <f>IFERROR(__xludf.DUMMYFUNCTION("""COMPUTED_VALUE"""),"Pcs")</f>
        <v>Pcs</v>
      </c>
      <c r="I2383" s="6" t="str">
        <f>IFERROR(__xludf.DUMMYFUNCTION("""COMPUTED_VALUE"""),"MFH ")</f>
        <v>MFH </v>
      </c>
      <c r="J2383" s="6" t="str">
        <f>IFERROR(__xludf.DUMMYFUNCTION("""COMPUTED_VALUE"""),"EM Door Con D ")</f>
        <v>EM Door Con D </v>
      </c>
      <c r="K2383" s="6" t="str">
        <f>IFERROR(__xludf.DUMMYFUNCTION("""COMPUTED_VALUE"""),"SPR/08/25/054")</f>
        <v>SPR/08/25/054</v>
      </c>
      <c r="L2383" s="13">
        <f>IFERROR(__xludf.DUMMYFUNCTION("""COMPUTED_VALUE"""),45898.0)</f>
        <v>45898</v>
      </c>
    </row>
    <row r="2384">
      <c r="A2384" s="6" t="str">
        <f>IFERROR(__xludf.DUMMYFUNCTION("""COMPUTED_VALUE"""),"ROS")</f>
        <v>ROS</v>
      </c>
      <c r="B2384" s="6" t="str">
        <f>IFERROR(__xludf.DUMMYFUNCTION("""COMPUTED_VALUE"""),"ENG")</f>
        <v>ENG</v>
      </c>
      <c r="C2384" s="6" t="str">
        <f>IFERROR(__xludf.DUMMYFUNCTION("""COMPUTED_VALUE"""),"Q-10401-00")</f>
        <v>Q-10401-00</v>
      </c>
      <c r="D2384" s="6" t="str">
        <f>IFERROR(__xludf.DUMMYFUNCTION("""COMPUTED_VALUE"""),"Kuas Cat Uk. 3 inch;Eterna;Tipe 611;pack size per pcs")</f>
        <v>Kuas Cat Uk. 3 inch;Eterna;Tipe 611;pack size per pcs</v>
      </c>
      <c r="E2384" s="6">
        <f>IFERROR(__xludf.DUMMYFUNCTION("""COMPUTED_VALUE"""),1.0)</f>
        <v>1</v>
      </c>
      <c r="F2384" s="6">
        <f>IFERROR(__xludf.DUMMYFUNCTION("""COMPUTED_VALUE"""),1.0)</f>
        <v>1</v>
      </c>
      <c r="G2384" s="6">
        <f>IFERROR(__xludf.DUMMYFUNCTION("""COMPUTED_VALUE"""),0.0)</f>
        <v>0</v>
      </c>
      <c r="H2384" s="6" t="str">
        <f>IFERROR(__xludf.DUMMYFUNCTION("""COMPUTED_VALUE"""),"Pcs")</f>
        <v>Pcs</v>
      </c>
      <c r="I2384" s="6" t="str">
        <f>IFERROR(__xludf.DUMMYFUNCTION("""COMPUTED_VALUE"""),"MFH")</f>
        <v>MFH</v>
      </c>
      <c r="J2384" s="6" t="str">
        <f>IFERROR(__xludf.DUMMYFUNCTION("""COMPUTED_VALUE"""),"Capping ")</f>
        <v>Capping </v>
      </c>
      <c r="K2384" s="6" t="str">
        <f>IFERROR(__xludf.DUMMYFUNCTION("""COMPUTED_VALUE"""),"SPR/08/25/055")</f>
        <v>SPR/08/25/055</v>
      </c>
      <c r="L2384" s="13">
        <f>IFERROR(__xludf.DUMMYFUNCTION("""COMPUTED_VALUE"""),45898.0)</f>
        <v>45898</v>
      </c>
    </row>
    <row r="2385">
      <c r="A2385" s="6" t="str">
        <f>IFERROR(__xludf.DUMMYFUNCTION("""COMPUTED_VALUE"""),"BDU")</f>
        <v>BDU</v>
      </c>
      <c r="B2385" s="6" t="str">
        <f>IFERROR(__xludf.DUMMYFUNCTION("""COMPUTED_VALUE"""),"ENG")</f>
        <v>ENG</v>
      </c>
      <c r="C2385" s="6" t="str">
        <f>IFERROR(__xludf.DUMMYFUNCTION("""COMPUTED_VALUE"""),"Q-10401-00")</f>
        <v>Q-10401-00</v>
      </c>
      <c r="D2385" s="6" t="str">
        <f>IFERROR(__xludf.DUMMYFUNCTION("""COMPUTED_VALUE"""),"Kuas Cat Uk. 3 inch;Eterna;Tipe 611;pack size per pcs")</f>
        <v>Kuas Cat Uk. 3 inch;Eterna;Tipe 611;pack size per pcs</v>
      </c>
      <c r="E2385" s="6">
        <f>IFERROR(__xludf.DUMMYFUNCTION("""COMPUTED_VALUE"""),1.0)</f>
        <v>1</v>
      </c>
      <c r="F2385" s="6">
        <f>IFERROR(__xludf.DUMMYFUNCTION("""COMPUTED_VALUE"""),1.0)</f>
        <v>1</v>
      </c>
      <c r="G2385" s="6">
        <f>IFERROR(__xludf.DUMMYFUNCTION("""COMPUTED_VALUE"""),0.0)</f>
        <v>0</v>
      </c>
      <c r="H2385" s="6" t="str">
        <f>IFERROR(__xludf.DUMMYFUNCTION("""COMPUTED_VALUE"""),"Pcs")</f>
        <v>Pcs</v>
      </c>
      <c r="I2385" s="6" t="str">
        <f>IFERROR(__xludf.DUMMYFUNCTION("""COMPUTED_VALUE"""),"MFH")</f>
        <v>MFH</v>
      </c>
      <c r="J2385" s="6" t="str">
        <f>IFERROR(__xludf.DUMMYFUNCTION("""COMPUTED_VALUE"""),"AHU OSD E1-1")</f>
        <v>AHU OSD E1-1</v>
      </c>
      <c r="K2385" s="6" t="str">
        <f>IFERROR(__xludf.DUMMYFUNCTION("""COMPUTED_VALUE"""),"SPR/08/25/056")</f>
        <v>SPR/08/25/056</v>
      </c>
      <c r="L2385" s="13">
        <f>IFERROR(__xludf.DUMMYFUNCTION("""COMPUTED_VALUE"""),45898.0)</f>
        <v>45898</v>
      </c>
    </row>
    <row r="2386">
      <c r="A2386" s="6" t="str">
        <f>IFERROR(__xludf.DUMMYFUNCTION("""COMPUTED_VALUE"""),"BDU")</f>
        <v>BDU</v>
      </c>
      <c r="B2386" s="6" t="str">
        <f>IFERROR(__xludf.DUMMYFUNCTION("""COMPUTED_VALUE"""),"ENG")</f>
        <v>ENG</v>
      </c>
      <c r="C2386" s="6" t="str">
        <f>IFERROR(__xludf.DUMMYFUNCTION("""COMPUTED_VALUE"""),"S-40645-00")</f>
        <v>S-40645-00</v>
      </c>
      <c r="D2386" s="6" t="str">
        <f>IFERROR(__xludf.DUMMYFUNCTION("""COMPUTED_VALUE"""),"Cable Ties, 200 x 4.8 mm; SIGMA; CS 200L; Putih;100 pcs/pack")</f>
        <v>Cable Ties, 200 x 4.8 mm; SIGMA; CS 200L; Putih;100 pcs/pack</v>
      </c>
      <c r="E2386" s="6">
        <f>IFERROR(__xludf.DUMMYFUNCTION("""COMPUTED_VALUE"""),1.0)</f>
        <v>1</v>
      </c>
      <c r="F2386" s="6">
        <f>IFERROR(__xludf.DUMMYFUNCTION("""COMPUTED_VALUE"""),1.0)</f>
        <v>1</v>
      </c>
      <c r="G2386" s="6">
        <f>IFERROR(__xludf.DUMMYFUNCTION("""COMPUTED_VALUE"""),0.0)</f>
        <v>0</v>
      </c>
      <c r="H2386" s="6" t="str">
        <f>IFERROR(__xludf.DUMMYFUNCTION("""COMPUTED_VALUE"""),"Pcs")</f>
        <v>Pcs</v>
      </c>
      <c r="I2386" s="6" t="str">
        <f>IFERROR(__xludf.DUMMYFUNCTION("""COMPUTED_VALUE"""),"MFH")</f>
        <v>MFH</v>
      </c>
      <c r="J2386" s="6" t="str">
        <f>IFERROR(__xludf.DUMMYFUNCTION("""COMPUTED_VALUE"""),"AHU OSD E1-1")</f>
        <v>AHU OSD E1-1</v>
      </c>
      <c r="K2386" s="6" t="str">
        <f>IFERROR(__xludf.DUMMYFUNCTION("""COMPUTED_VALUE"""),"SPR/08/25/056")</f>
        <v>SPR/08/25/056</v>
      </c>
      <c r="L2386" s="13">
        <f>IFERROR(__xludf.DUMMYFUNCTION("""COMPUTED_VALUE"""),45898.0)</f>
        <v>45898</v>
      </c>
    </row>
    <row r="2387">
      <c r="A2387" s="6" t="str">
        <f>IFERROR(__xludf.DUMMYFUNCTION("""COMPUTED_VALUE"""),"BDU")</f>
        <v>BDU</v>
      </c>
      <c r="B2387" s="6" t="str">
        <f>IFERROR(__xludf.DUMMYFUNCTION("""COMPUTED_VALUE"""),"ENG")</f>
        <v>ENG</v>
      </c>
      <c r="C2387" s="6" t="str">
        <f>IFERROR(__xludf.DUMMYFUNCTION("""COMPUTED_VALUE"""),"P-52278-00")</f>
        <v>P-52278-00</v>
      </c>
      <c r="D2387" s="6" t="str">
        <f>IFERROR(__xludf.DUMMYFUNCTION("""COMPUTED_VALUE"""),"Capacitor 50F 250VAC 25A 5% Screw (KMT) P/N : 6R 01502010; ; ;")</f>
        <v>Capacitor 50F 250VAC 25A 5% Screw (KMT) P/N : 6R 01502010; ; ;</v>
      </c>
      <c r="E2387" s="6">
        <f>IFERROR(__xludf.DUMMYFUNCTION("""COMPUTED_VALUE"""),1.0)</f>
        <v>1</v>
      </c>
      <c r="F2387" s="6">
        <f>IFERROR(__xludf.DUMMYFUNCTION("""COMPUTED_VALUE"""),1.0)</f>
        <v>1</v>
      </c>
      <c r="G2387" s="6">
        <f>IFERROR(__xludf.DUMMYFUNCTION("""COMPUTED_VALUE"""),0.0)</f>
        <v>0</v>
      </c>
      <c r="H2387" s="6" t="str">
        <f>IFERROR(__xludf.DUMMYFUNCTION("""COMPUTED_VALUE"""),"Pcs")</f>
        <v>Pcs</v>
      </c>
      <c r="I2387" s="6" t="str">
        <f>IFERROR(__xludf.DUMMYFUNCTION("""COMPUTED_VALUE"""),"MFH")</f>
        <v>MFH</v>
      </c>
      <c r="J2387" s="6" t="str">
        <f>IFERROR(__xludf.DUMMYFUNCTION("""COMPUTED_VALUE"""),"UPS 40 Watt")</f>
        <v>UPS 40 Watt</v>
      </c>
      <c r="K2387" s="6" t="str">
        <f>IFERROR(__xludf.DUMMYFUNCTION("""COMPUTED_VALUE"""),"SPR/08/25/056")</f>
        <v>SPR/08/25/056</v>
      </c>
      <c r="L2387" s="13">
        <f>IFERROR(__xludf.DUMMYFUNCTION("""COMPUTED_VALUE"""),45898.0)</f>
        <v>45898</v>
      </c>
    </row>
    <row r="2388">
      <c r="A2388" s="6" t="str">
        <f>IFERROR(__xludf.DUMMYFUNCTION("""COMPUTED_VALUE"""),"BDU")</f>
        <v>BDU</v>
      </c>
      <c r="B2388" s="6" t="str">
        <f>IFERROR(__xludf.DUMMYFUNCTION("""COMPUTED_VALUE"""),"ENG")</f>
        <v>ENG</v>
      </c>
      <c r="C2388" s="6" t="str">
        <f>IFERROR(__xludf.DUMMYFUNCTION("""COMPUTED_VALUE"""),"Q-10586-00")</f>
        <v>Q-10586-00</v>
      </c>
      <c r="D2388" s="6" t="str">
        <f>IFERROR(__xludf.DUMMYFUNCTION("""COMPUTED_VALUE"""),"Lampu LED Tube T5 9W 600 mm;No Brand;;pack size per pcs")</f>
        <v>Lampu LED Tube T5 9W 600 mm;No Brand;;pack size per pcs</v>
      </c>
      <c r="E2388" s="6">
        <f>IFERROR(__xludf.DUMMYFUNCTION("""COMPUTED_VALUE"""),1.0)</f>
        <v>1</v>
      </c>
      <c r="F2388" s="6">
        <f>IFERROR(__xludf.DUMMYFUNCTION("""COMPUTED_VALUE"""),1.0)</f>
        <v>1</v>
      </c>
      <c r="G2388" s="6">
        <f>IFERROR(__xludf.DUMMYFUNCTION("""COMPUTED_VALUE"""),0.0)</f>
        <v>0</v>
      </c>
      <c r="H2388" s="6" t="str">
        <f>IFERROR(__xludf.DUMMYFUNCTION("""COMPUTED_VALUE"""),"Pcs")</f>
        <v>Pcs</v>
      </c>
      <c r="I2388" s="6" t="str">
        <f>IFERROR(__xludf.DUMMYFUNCTION("""COMPUTED_VALUE"""),"MFH")</f>
        <v>MFH</v>
      </c>
      <c r="J2388" s="6" t="str">
        <f>IFERROR(__xludf.DUMMYFUNCTION("""COMPUTED_VALUE"""),"AHU C1-2")</f>
        <v>AHU C1-2</v>
      </c>
      <c r="K2388" s="6" t="str">
        <f>IFERROR(__xludf.DUMMYFUNCTION("""COMPUTED_VALUE"""),"SPR/08/25/057")</f>
        <v>SPR/08/25/057</v>
      </c>
      <c r="L2388" s="13">
        <f>IFERROR(__xludf.DUMMYFUNCTION("""COMPUTED_VALUE"""),45898.0)</f>
        <v>45898</v>
      </c>
    </row>
    <row r="2389">
      <c r="A2389" s="6" t="str">
        <f>IFERROR(__xludf.DUMMYFUNCTION("""COMPUTED_VALUE"""),"BDU")</f>
        <v>BDU</v>
      </c>
      <c r="B2389" s="6" t="str">
        <f>IFERROR(__xludf.DUMMYFUNCTION("""COMPUTED_VALUE"""),"ENG")</f>
        <v>ENG</v>
      </c>
      <c r="C2389" s="6" t="str">
        <f>IFERROR(__xludf.DUMMYFUNCTION("""COMPUTED_VALUE"""),"P-52119-00")</f>
        <v>P-52119-00</v>
      </c>
      <c r="D2389" s="6" t="str">
        <f>IFERROR(__xludf.DUMMYFUNCTION("""COMPUTED_VALUE"""),"Battery UPS / 40 AH / 12 V; Panasonic/Vision; ;")</f>
        <v>Battery UPS / 40 AH / 12 V; Panasonic/Vision; ;</v>
      </c>
      <c r="E2389" s="6">
        <f>IFERROR(__xludf.DUMMYFUNCTION("""COMPUTED_VALUE"""),32.0)</f>
        <v>32</v>
      </c>
      <c r="F2389" s="6">
        <f>IFERROR(__xludf.DUMMYFUNCTION("""COMPUTED_VALUE"""),32.0)</f>
        <v>32</v>
      </c>
      <c r="G2389" s="6">
        <f>IFERROR(__xludf.DUMMYFUNCTION("""COMPUTED_VALUE"""),0.0)</f>
        <v>0</v>
      </c>
      <c r="H2389" s="6" t="str">
        <f>IFERROR(__xludf.DUMMYFUNCTION("""COMPUTED_VALUE"""),"Pcs")</f>
        <v>Pcs</v>
      </c>
      <c r="I2389" s="6" t="str">
        <f>IFERROR(__xludf.DUMMYFUNCTION("""COMPUTED_VALUE"""),"MFH")</f>
        <v>MFH</v>
      </c>
      <c r="J2389" s="6" t="str">
        <f>IFERROR(__xludf.DUMMYFUNCTION("""COMPUTED_VALUE"""),"UPS 20 KVA")</f>
        <v>UPS 20 KVA</v>
      </c>
      <c r="K2389" s="6" t="str">
        <f>IFERROR(__xludf.DUMMYFUNCTION("""COMPUTED_VALUE"""),"SPR/08/25/057")</f>
        <v>SPR/08/25/057</v>
      </c>
      <c r="L2389" s="13">
        <f>IFERROR(__xludf.DUMMYFUNCTION("""COMPUTED_VALUE"""),45898.0)</f>
        <v>45898</v>
      </c>
    </row>
    <row r="2390">
      <c r="A2390" s="6" t="str">
        <f>IFERROR(__xludf.DUMMYFUNCTION("""COMPUTED_VALUE"""),"BDU")</f>
        <v>BDU</v>
      </c>
      <c r="B2390" s="6" t="str">
        <f>IFERROR(__xludf.DUMMYFUNCTION("""COMPUTED_VALUE"""),"ENG")</f>
        <v>ENG</v>
      </c>
      <c r="C2390" s="6" t="str">
        <f>IFERROR(__xludf.DUMMYFUNCTION("""COMPUTED_VALUE"""),"P-50140-00")</f>
        <v>P-50140-00</v>
      </c>
      <c r="D2390" s="6" t="str">
        <f>IFERROR(__xludf.DUMMYFUNCTION("""COMPUTED_VALUE"""),"Battery UPS - Battery kering 12V 9 AH")</f>
        <v>Battery UPS - Battery kering 12V 9 AH</v>
      </c>
      <c r="E2390" s="6">
        <f>IFERROR(__xludf.DUMMYFUNCTION("""COMPUTED_VALUE"""),15.0)</f>
        <v>15</v>
      </c>
      <c r="F2390" s="6">
        <f>IFERROR(__xludf.DUMMYFUNCTION("""COMPUTED_VALUE"""),15.0)</f>
        <v>15</v>
      </c>
      <c r="G2390" s="6">
        <f>IFERROR(__xludf.DUMMYFUNCTION("""COMPUTED_VALUE"""),0.0)</f>
        <v>0</v>
      </c>
      <c r="H2390" s="6" t="str">
        <f>IFERROR(__xludf.DUMMYFUNCTION("""COMPUTED_VALUE"""),"Pcs")</f>
        <v>Pcs</v>
      </c>
      <c r="I2390" s="6" t="str">
        <f>IFERROR(__xludf.DUMMYFUNCTION("""COMPUTED_VALUE"""),"MFH")</f>
        <v>MFH</v>
      </c>
      <c r="J2390" s="6" t="str">
        <f>IFERROR(__xludf.DUMMYFUNCTION("""COMPUTED_VALUE"""),"UPS 20 KVA")</f>
        <v>UPS 20 KVA</v>
      </c>
      <c r="K2390" s="6" t="str">
        <f>IFERROR(__xludf.DUMMYFUNCTION("""COMPUTED_VALUE"""),"SPR/08/25/057")</f>
        <v>SPR/08/25/057</v>
      </c>
      <c r="L2390" s="13">
        <f>IFERROR(__xludf.DUMMYFUNCTION("""COMPUTED_VALUE"""),45898.0)</f>
        <v>45898</v>
      </c>
    </row>
    <row r="2391">
      <c r="A2391" s="6" t="str">
        <f>IFERROR(__xludf.DUMMYFUNCTION("""COMPUTED_VALUE"""),"MOB ")</f>
        <v>MOB </v>
      </c>
      <c r="B2391" s="6" t="str">
        <f>IFERROR(__xludf.DUMMYFUNCTION("""COMPUTED_VALUE"""),"ENG")</f>
        <v>ENG</v>
      </c>
      <c r="C2391" s="6" t="str">
        <f>IFERROR(__xludf.DUMMYFUNCTION("""COMPUTED_VALUE"""),"P-15938-00")</f>
        <v>P-15938-00</v>
      </c>
      <c r="D2391" s="6" t="str">
        <f>IFERROR(__xludf.DUMMYFUNCTION("""COMPUTED_VALUE"""),"Water Hardness Test Kit; ; ;")</f>
        <v>Water Hardness Test Kit; ; ;</v>
      </c>
      <c r="E2391" s="6">
        <f>IFERROR(__xludf.DUMMYFUNCTION("""COMPUTED_VALUE"""),1.0)</f>
        <v>1</v>
      </c>
      <c r="F2391" s="6">
        <f>IFERROR(__xludf.DUMMYFUNCTION("""COMPUTED_VALUE"""),1.0)</f>
        <v>1</v>
      </c>
      <c r="G2391" s="6">
        <f>IFERROR(__xludf.DUMMYFUNCTION("""COMPUTED_VALUE"""),0.0)</f>
        <v>0</v>
      </c>
      <c r="H2391" s="6" t="str">
        <f>IFERROR(__xludf.DUMMYFUNCTION("""COMPUTED_VALUE"""),"Pcs")</f>
        <v>Pcs</v>
      </c>
      <c r="I2391" s="6" t="str">
        <f>IFERROR(__xludf.DUMMYFUNCTION("""COMPUTED_VALUE"""),"MFH")</f>
        <v>MFH</v>
      </c>
      <c r="J2391" s="6" t="str">
        <f>IFERROR(__xludf.DUMMYFUNCTION("""COMPUTED_VALUE"""),"Pw 6")</f>
        <v>Pw 6</v>
      </c>
      <c r="K2391" s="6" t="str">
        <f>IFERROR(__xludf.DUMMYFUNCTION("""COMPUTED_VALUE"""),"SPR/08/25/058")</f>
        <v>SPR/08/25/058</v>
      </c>
      <c r="L2391" s="13">
        <f>IFERROR(__xludf.DUMMYFUNCTION("""COMPUTED_VALUE"""),45898.0)</f>
        <v>45898</v>
      </c>
    </row>
    <row r="2392">
      <c r="A2392" s="6" t="str">
        <f>IFERROR(__xludf.DUMMYFUNCTION("""COMPUTED_VALUE"""),"SFH ")</f>
        <v>SFH </v>
      </c>
      <c r="B2392" s="6" t="str">
        <f>IFERROR(__xludf.DUMMYFUNCTION("""COMPUTED_VALUE"""),"ENG")</f>
        <v>ENG</v>
      </c>
      <c r="C2392" s="6" t="str">
        <f>IFERROR(__xludf.DUMMYFUNCTION("""COMPUTED_VALUE"""),"P-12830-00")</f>
        <v>P-12830-00</v>
      </c>
      <c r="D2392" s="6" t="str">
        <f>IFERROR(__xludf.DUMMYFUNCTION("""COMPUTED_VALUE"""),"Sodium metabisulfit")</f>
        <v>Sodium metabisulfit</v>
      </c>
      <c r="E2392" s="6">
        <f>IFERROR(__xludf.DUMMYFUNCTION("""COMPUTED_VALUE"""),1.0)</f>
        <v>1</v>
      </c>
      <c r="F2392" s="6">
        <f>IFERROR(__xludf.DUMMYFUNCTION("""COMPUTED_VALUE"""),1.0)</f>
        <v>1</v>
      </c>
      <c r="G2392" s="6">
        <f>IFERROR(__xludf.DUMMYFUNCTION("""COMPUTED_VALUE"""),0.0)</f>
        <v>0</v>
      </c>
      <c r="H2392" s="6" t="str">
        <f>IFERROR(__xludf.DUMMYFUNCTION("""COMPUTED_VALUE"""),"sak")</f>
        <v>sak</v>
      </c>
      <c r="I2392" s="6" t="str">
        <f>IFERROR(__xludf.DUMMYFUNCTION("""COMPUTED_VALUE"""),"MFH")</f>
        <v>MFH</v>
      </c>
      <c r="J2392" s="6" t="str">
        <f>IFERROR(__xludf.DUMMYFUNCTION("""COMPUTED_VALUE"""),"Floor 1")</f>
        <v>Floor 1</v>
      </c>
      <c r="K2392" s="6" t="str">
        <f>IFERROR(__xludf.DUMMYFUNCTION("""COMPUTED_VALUE"""),"SPR/08/25/059")</f>
        <v>SPR/08/25/059</v>
      </c>
      <c r="L2392" s="13">
        <f>IFERROR(__xludf.DUMMYFUNCTION("""COMPUTED_VALUE"""),45898.0)</f>
        <v>45898</v>
      </c>
    </row>
    <row r="2393">
      <c r="A2393" s="6" t="str">
        <f>IFERROR(__xludf.DUMMYFUNCTION("""COMPUTED_VALUE"""),"SFH ")</f>
        <v>SFH </v>
      </c>
      <c r="B2393" s="6" t="str">
        <f>IFERROR(__xludf.DUMMYFUNCTION("""COMPUTED_VALUE"""),"ENG")</f>
        <v>ENG</v>
      </c>
      <c r="C2393" s="6" t="str">
        <f>IFERROR(__xludf.DUMMYFUNCTION("""COMPUTED_VALUE"""),"Q-60502-00")</f>
        <v>Q-60502-00</v>
      </c>
      <c r="D2393" s="6" t="str">
        <f>IFERROR(__xludf.DUMMYFUNCTION("""COMPUTED_VALUE"""),"Silicone Sealant, Silglaze, Type N10 White, pack size per pcs")</f>
        <v>Silicone Sealant, Silglaze, Type N10 White, pack size per pcs</v>
      </c>
      <c r="E2393" s="6">
        <f>IFERROR(__xludf.DUMMYFUNCTION("""COMPUTED_VALUE"""),1.0)</f>
        <v>1</v>
      </c>
      <c r="F2393" s="6">
        <f>IFERROR(__xludf.DUMMYFUNCTION("""COMPUTED_VALUE"""),1.0)</f>
        <v>1</v>
      </c>
      <c r="G2393" s="6">
        <f>IFERROR(__xludf.DUMMYFUNCTION("""COMPUTED_VALUE"""),0.0)</f>
        <v>0</v>
      </c>
      <c r="H2393" s="6" t="str">
        <f>IFERROR(__xludf.DUMMYFUNCTION("""COMPUTED_VALUE"""),"Pcs")</f>
        <v>Pcs</v>
      </c>
      <c r="I2393" s="6" t="str">
        <f>IFERROR(__xludf.DUMMYFUNCTION("""COMPUTED_VALUE"""),"MFH")</f>
        <v>MFH</v>
      </c>
      <c r="J2393" s="6" t="str">
        <f>IFERROR(__xludf.DUMMYFUNCTION("""COMPUTED_VALUE"""),"Floor 2")</f>
        <v>Floor 2</v>
      </c>
      <c r="K2393" s="6" t="str">
        <f>IFERROR(__xludf.DUMMYFUNCTION("""COMPUTED_VALUE"""),"SPR/08/25/059")</f>
        <v>SPR/08/25/059</v>
      </c>
      <c r="L2393" s="13">
        <f>IFERROR(__xludf.DUMMYFUNCTION("""COMPUTED_VALUE"""),45898.0)</f>
        <v>45898</v>
      </c>
    </row>
    <row r="2394">
      <c r="A2394" s="6" t="str">
        <f>IFERROR(__xludf.DUMMYFUNCTION("""COMPUTED_VALUE"""),"SFH ")</f>
        <v>SFH </v>
      </c>
      <c r="B2394" s="6" t="str">
        <f>IFERROR(__xludf.DUMMYFUNCTION("""COMPUTED_VALUE"""),"ENG")</f>
        <v>ENG</v>
      </c>
      <c r="C2394" s="6" t="str">
        <f>IFERROR(__xludf.DUMMYFUNCTION("""COMPUTED_VALUE"""),"P-17645-00")</f>
        <v>P-17645-00</v>
      </c>
      <c r="D2394" s="6" t="str">
        <f>IFERROR(__xludf.DUMMYFUNCTION("""COMPUTED_VALUE"""),"Sodium Hiphoclorite; ; ; ltr")</f>
        <v>Sodium Hiphoclorite; ; ; ltr</v>
      </c>
      <c r="E2394" s="6">
        <f>IFERROR(__xludf.DUMMYFUNCTION("""COMPUTED_VALUE"""),5.0)</f>
        <v>5</v>
      </c>
      <c r="F2394" s="6">
        <f>IFERROR(__xludf.DUMMYFUNCTION("""COMPUTED_VALUE"""),5.0)</f>
        <v>5</v>
      </c>
      <c r="G2394" s="6">
        <f>IFERROR(__xludf.DUMMYFUNCTION("""COMPUTED_VALUE"""),0.0)</f>
        <v>0</v>
      </c>
      <c r="H2394" s="6" t="str">
        <f>IFERROR(__xludf.DUMMYFUNCTION("""COMPUTED_VALUE"""),"jerycan")</f>
        <v>jerycan</v>
      </c>
      <c r="I2394" s="6" t="str">
        <f>IFERROR(__xludf.DUMMYFUNCTION("""COMPUTED_VALUE"""),"MFH")</f>
        <v>MFH</v>
      </c>
      <c r="J2394" s="6" t="str">
        <f>IFERROR(__xludf.DUMMYFUNCTION("""COMPUTED_VALUE"""),"Floor 1")</f>
        <v>Floor 1</v>
      </c>
      <c r="K2394" s="6" t="str">
        <f>IFERROR(__xludf.DUMMYFUNCTION("""COMPUTED_VALUE"""),"SPR/08/25/059")</f>
        <v>SPR/08/25/059</v>
      </c>
      <c r="L2394" s="13">
        <f>IFERROR(__xludf.DUMMYFUNCTION("""COMPUTED_VALUE"""),45898.0)</f>
        <v>45898</v>
      </c>
    </row>
    <row r="2395">
      <c r="A2395" s="6" t="str">
        <f>IFERROR(__xludf.DUMMYFUNCTION("""COMPUTED_VALUE"""),"SFH")</f>
        <v>SFH</v>
      </c>
      <c r="B2395" s="6" t="str">
        <f>IFERROR(__xludf.DUMMYFUNCTION("""COMPUTED_VALUE"""),"ENG")</f>
        <v>ENG</v>
      </c>
      <c r="C2395" s="6" t="str">
        <f>IFERROR(__xludf.DUMMYFUNCTION("""COMPUTED_VALUE"""),"P-51559-00")</f>
        <v>P-51559-00</v>
      </c>
      <c r="D2395" s="6" t="str">
        <f>IFERROR(__xludf.DUMMYFUNCTION("""COMPUTED_VALUE"""),"Lampu T5 14watt Putih; Phillips; ;")</f>
        <v>Lampu T5 14watt Putih; Phillips; ;</v>
      </c>
      <c r="E2395" s="6">
        <f>IFERROR(__xludf.DUMMYFUNCTION("""COMPUTED_VALUE"""),2.0)</f>
        <v>2</v>
      </c>
      <c r="F2395" s="6">
        <f>IFERROR(__xludf.DUMMYFUNCTION("""COMPUTED_VALUE"""),2.0)</f>
        <v>2</v>
      </c>
      <c r="G2395" s="6">
        <f>IFERROR(__xludf.DUMMYFUNCTION("""COMPUTED_VALUE"""),0.0)</f>
        <v>0</v>
      </c>
      <c r="H2395" s="6" t="str">
        <f>IFERROR(__xludf.DUMMYFUNCTION("""COMPUTED_VALUE"""),"Pcs")</f>
        <v>Pcs</v>
      </c>
      <c r="I2395" s="6" t="str">
        <f>IFERROR(__xludf.DUMMYFUNCTION("""COMPUTED_VALUE"""),"MFH")</f>
        <v>MFH</v>
      </c>
      <c r="J2395" s="6" t="str">
        <f>IFERROR(__xludf.DUMMYFUNCTION("""COMPUTED_VALUE"""),"Floor 1")</f>
        <v>Floor 1</v>
      </c>
      <c r="K2395" s="6" t="str">
        <f>IFERROR(__xludf.DUMMYFUNCTION("""COMPUTED_VALUE"""),"SPR/08/25/060")</f>
        <v>SPR/08/25/060</v>
      </c>
      <c r="L2395" s="13">
        <f>IFERROR(__xludf.DUMMYFUNCTION("""COMPUTED_VALUE"""),45898.0)</f>
        <v>45898</v>
      </c>
    </row>
    <row r="2396">
      <c r="A2396" s="6" t="str">
        <f>IFERROR(__xludf.DUMMYFUNCTION("""COMPUTED_VALUE"""),"SFH")</f>
        <v>SFH</v>
      </c>
      <c r="B2396" s="6" t="str">
        <f>IFERROR(__xludf.DUMMYFUNCTION("""COMPUTED_VALUE"""),"ENG")</f>
        <v>ENG</v>
      </c>
      <c r="C2396" s="6" t="str">
        <f>IFERROR(__xludf.DUMMYFUNCTION("""COMPUTED_VALUE"""),"P-51560-00")</f>
        <v>P-51560-00</v>
      </c>
      <c r="D2396" s="6" t="str">
        <f>IFERROR(__xludf.DUMMYFUNCTION("""COMPUTED_VALUE"""),"Lampu T5 28watt Putih; Phillips; ;")</f>
        <v>Lampu T5 28watt Putih; Phillips; ;</v>
      </c>
      <c r="E2396" s="6">
        <f>IFERROR(__xludf.DUMMYFUNCTION("""COMPUTED_VALUE"""),1.0)</f>
        <v>1</v>
      </c>
      <c r="F2396" s="6">
        <f>IFERROR(__xludf.DUMMYFUNCTION("""COMPUTED_VALUE"""),1.0)</f>
        <v>1</v>
      </c>
      <c r="G2396" s="6">
        <f>IFERROR(__xludf.DUMMYFUNCTION("""COMPUTED_VALUE"""),0.0)</f>
        <v>0</v>
      </c>
      <c r="H2396" s="6" t="str">
        <f>IFERROR(__xludf.DUMMYFUNCTION("""COMPUTED_VALUE"""),"Pcs")</f>
        <v>Pcs</v>
      </c>
      <c r="I2396" s="6" t="str">
        <f>IFERROR(__xludf.DUMMYFUNCTION("""COMPUTED_VALUE"""),"MFH")</f>
        <v>MFH</v>
      </c>
      <c r="J2396" s="6" t="str">
        <f>IFERROR(__xludf.DUMMYFUNCTION("""COMPUTED_VALUE"""),"Floor 1")</f>
        <v>Floor 1</v>
      </c>
      <c r="K2396" s="6" t="str">
        <f>IFERROR(__xludf.DUMMYFUNCTION("""COMPUTED_VALUE"""),"SPR/08/25/060")</f>
        <v>SPR/08/25/060</v>
      </c>
      <c r="L2396" s="13">
        <f>IFERROR(__xludf.DUMMYFUNCTION("""COMPUTED_VALUE"""),45898.0)</f>
        <v>45898</v>
      </c>
    </row>
    <row r="2397">
      <c r="A2397" s="6" t="str">
        <f>IFERROR(__xludf.DUMMYFUNCTION("""COMPUTED_VALUE"""),"PNP")</f>
        <v>PNP</v>
      </c>
      <c r="B2397" s="6" t="str">
        <f>IFERROR(__xludf.DUMMYFUNCTION("""COMPUTED_VALUE"""),"ENG")</f>
        <v>ENG</v>
      </c>
      <c r="C2397" s="6" t="str">
        <f>IFERROR(__xludf.DUMMYFUNCTION("""COMPUTED_VALUE"""),"T-20123-00")</f>
        <v>T-20123-00</v>
      </c>
      <c r="D2397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397" s="6">
        <f>IFERROR(__xludf.DUMMYFUNCTION("""COMPUTED_VALUE"""),1.0)</f>
        <v>1</v>
      </c>
      <c r="F2397" s="6">
        <f>IFERROR(__xludf.DUMMYFUNCTION("""COMPUTED_VALUE"""),1.0)</f>
        <v>1</v>
      </c>
      <c r="G2397" s="6">
        <f>IFERROR(__xludf.DUMMYFUNCTION("""COMPUTED_VALUE"""),0.0)</f>
        <v>0</v>
      </c>
      <c r="H2397" s="6" t="str">
        <f>IFERROR(__xludf.DUMMYFUNCTION("""COMPUTED_VALUE"""),"Pcs")</f>
        <v>Pcs</v>
      </c>
      <c r="I2397" s="6" t="str">
        <f>IFERROR(__xludf.DUMMYFUNCTION("""COMPUTED_VALUE"""),"MFH")</f>
        <v>MFH</v>
      </c>
      <c r="J2397" s="6" t="str">
        <f>IFERROR(__xludf.DUMMYFUNCTION("""COMPUTED_VALUE"""),"HPLC")</f>
        <v>HPLC</v>
      </c>
      <c r="K2397" s="6" t="str">
        <f>IFERROR(__xludf.DUMMYFUNCTION("""COMPUTED_VALUE"""),"SPR/08/25/061")</f>
        <v>SPR/08/25/061</v>
      </c>
      <c r="L2397" s="13">
        <f>IFERROR(__xludf.DUMMYFUNCTION("""COMPUTED_VALUE"""),45898.0)</f>
        <v>45898</v>
      </c>
    </row>
    <row r="2398">
      <c r="A2398" s="6" t="str">
        <f>IFERROR(__xludf.DUMMYFUNCTION("""COMPUTED_VALUE"""),"ROS")</f>
        <v>ROS</v>
      </c>
      <c r="B2398" s="6" t="str">
        <f>IFERROR(__xludf.DUMMYFUNCTION("""COMPUTED_VALUE"""),"ENG")</f>
        <v>ENG</v>
      </c>
      <c r="C2398" s="6" t="str">
        <f>IFERROR(__xludf.DUMMYFUNCTION("""COMPUTED_VALUE"""),"P-51559-00")</f>
        <v>P-51559-00</v>
      </c>
      <c r="D2398" s="6" t="str">
        <f>IFERROR(__xludf.DUMMYFUNCTION("""COMPUTED_VALUE"""),"Lampu T5 14watt Putih; Phillips; ;")</f>
        <v>Lampu T5 14watt Putih; Phillips; ;</v>
      </c>
      <c r="E2398" s="6">
        <f>IFERROR(__xludf.DUMMYFUNCTION("""COMPUTED_VALUE"""),2.0)</f>
        <v>2</v>
      </c>
      <c r="F2398" s="6">
        <f>IFERROR(__xludf.DUMMYFUNCTION("""COMPUTED_VALUE"""),2.0)</f>
        <v>2</v>
      </c>
      <c r="G2398" s="6">
        <f>IFERROR(__xludf.DUMMYFUNCTION("""COMPUTED_VALUE"""),0.0)</f>
        <v>0</v>
      </c>
      <c r="H2398" s="6" t="str">
        <f>IFERROR(__xludf.DUMMYFUNCTION("""COMPUTED_VALUE"""),"Pcs")</f>
        <v>Pcs</v>
      </c>
      <c r="I2398" s="6" t="str">
        <f>IFERROR(__xludf.DUMMYFUNCTION("""COMPUTED_VALUE"""),"MFH")</f>
        <v>MFH</v>
      </c>
      <c r="J2398" s="6" t="str">
        <f>IFERROR(__xludf.DUMMYFUNCTION("""COMPUTED_VALUE"""),"Weighing booth")</f>
        <v>Weighing booth</v>
      </c>
      <c r="K2398" s="6" t="str">
        <f>IFERROR(__xludf.DUMMYFUNCTION("""COMPUTED_VALUE"""),"SPR/08/25/062")</f>
        <v>SPR/08/25/062</v>
      </c>
      <c r="L2398" s="13">
        <f>IFERROR(__xludf.DUMMYFUNCTION("""COMPUTED_VALUE"""),45898.0)</f>
        <v>45898</v>
      </c>
    </row>
    <row r="2399">
      <c r="A2399" s="6" t="str">
        <f>IFERROR(__xludf.DUMMYFUNCTION("""COMPUTED_VALUE"""),"ROS")</f>
        <v>ROS</v>
      </c>
      <c r="B2399" s="6" t="str">
        <f>IFERROR(__xludf.DUMMYFUNCTION("""COMPUTED_VALUE"""),"ENG")</f>
        <v>ENG</v>
      </c>
      <c r="C2399" s="6" t="str">
        <f>IFERROR(__xludf.DUMMYFUNCTION("""COMPUTED_VALUE"""),"P-51560-00")</f>
        <v>P-51560-00</v>
      </c>
      <c r="D2399" s="6" t="str">
        <f>IFERROR(__xludf.DUMMYFUNCTION("""COMPUTED_VALUE"""),"Lampu T5 28watt Putih; Phillips; ;")</f>
        <v>Lampu T5 28watt Putih; Phillips; ;</v>
      </c>
      <c r="E2399" s="6">
        <f>IFERROR(__xludf.DUMMYFUNCTION("""COMPUTED_VALUE"""),1.0)</f>
        <v>1</v>
      </c>
      <c r="F2399" s="6">
        <f>IFERROR(__xludf.DUMMYFUNCTION("""COMPUTED_VALUE"""),1.0)</f>
        <v>1</v>
      </c>
      <c r="G2399" s="6">
        <f>IFERROR(__xludf.DUMMYFUNCTION("""COMPUTED_VALUE"""),0.0)</f>
        <v>0</v>
      </c>
      <c r="H2399" s="6" t="str">
        <f>IFERROR(__xludf.DUMMYFUNCTION("""COMPUTED_VALUE"""),"Pcs")</f>
        <v>Pcs</v>
      </c>
      <c r="I2399" s="6" t="str">
        <f>IFERROR(__xludf.DUMMYFUNCTION("""COMPUTED_VALUE"""),"MFH")</f>
        <v>MFH</v>
      </c>
      <c r="J2399" s="6" t="str">
        <f>IFERROR(__xludf.DUMMYFUNCTION("""COMPUTED_VALUE"""),"Weighing booth ")</f>
        <v>Weighing booth </v>
      </c>
      <c r="K2399" s="6" t="str">
        <f>IFERROR(__xludf.DUMMYFUNCTION("""COMPUTED_VALUE"""),"SPR/08/25/062")</f>
        <v>SPR/08/25/062</v>
      </c>
      <c r="L2399" s="13">
        <f>IFERROR(__xludf.DUMMYFUNCTION("""COMPUTED_VALUE"""),45898.0)</f>
        <v>45898</v>
      </c>
    </row>
    <row r="2400">
      <c r="A2400" s="6" t="str">
        <f>IFERROR(__xludf.DUMMYFUNCTION("""COMPUTED_VALUE"""),"ROS")</f>
        <v>ROS</v>
      </c>
      <c r="B2400" s="6" t="str">
        <f>IFERROR(__xludf.DUMMYFUNCTION("""COMPUTED_VALUE"""),"ENG")</f>
        <v>ENG</v>
      </c>
      <c r="C2400" s="6" t="str">
        <f>IFERROR(__xludf.DUMMYFUNCTION("""COMPUTED_VALUE"""),"-")</f>
        <v>-</v>
      </c>
      <c r="D2400" s="6" t="str">
        <f>IFERROR(__xludf.DUMMYFUNCTION("""COMPUTED_VALUE"""),"Filter udara parcount")</f>
        <v>Filter udara parcount</v>
      </c>
      <c r="E2400" s="6">
        <f>IFERROR(__xludf.DUMMYFUNCTION("""COMPUTED_VALUE"""),2.0)</f>
        <v>2</v>
      </c>
      <c r="F2400" s="6">
        <f>IFERROR(__xludf.DUMMYFUNCTION("""COMPUTED_VALUE"""),2.0)</f>
        <v>2</v>
      </c>
      <c r="G2400" s="6">
        <f>IFERROR(__xludf.DUMMYFUNCTION("""COMPUTED_VALUE"""),0.0)</f>
        <v>0</v>
      </c>
      <c r="H2400" s="6" t="str">
        <f>IFERROR(__xludf.DUMMYFUNCTION("""COMPUTED_VALUE"""),"Pcs")</f>
        <v>Pcs</v>
      </c>
      <c r="I2400" s="6" t="str">
        <f>IFERROR(__xludf.DUMMYFUNCTION("""COMPUTED_VALUE"""),"MFH")</f>
        <v>MFH</v>
      </c>
      <c r="J2400" s="6" t="str">
        <f>IFERROR(__xludf.DUMMYFUNCTION("""COMPUTED_VALUE"""),"Parcount ")</f>
        <v>Parcount </v>
      </c>
      <c r="K2400" s="6" t="str">
        <f>IFERROR(__xludf.DUMMYFUNCTION("""COMPUTED_VALUE"""),"SPR/08/25/062")</f>
        <v>SPR/08/25/062</v>
      </c>
      <c r="L2400" s="13">
        <f>IFERROR(__xludf.DUMMYFUNCTION("""COMPUTED_VALUE"""),45898.0)</f>
        <v>45898</v>
      </c>
    </row>
    <row r="2401">
      <c r="A2401" s="6" t="str">
        <f>IFERROR(__xludf.DUMMYFUNCTION("""COMPUTED_VALUE"""),"ANO ")</f>
        <v>ANO </v>
      </c>
      <c r="B2401" s="6" t="str">
        <f>IFERROR(__xludf.DUMMYFUNCTION("""COMPUTED_VALUE"""),"ENG")</f>
        <v>ENG</v>
      </c>
      <c r="C2401" s="6" t="str">
        <f>IFERROR(__xludf.DUMMYFUNCTION("""COMPUTED_VALUE"""),"O-54015-00")</f>
        <v>O-54015-00</v>
      </c>
      <c r="D2401" s="6" t="str">
        <f>IFERROR(__xludf.DUMMYFUNCTION("""COMPUTED_VALUE"""),"STOP KONTAK LUBANG 4, BROCO")</f>
        <v>STOP KONTAK LUBANG 4, BROCO</v>
      </c>
      <c r="E2401" s="6">
        <f>IFERROR(__xludf.DUMMYFUNCTION("""COMPUTED_VALUE"""),2.0)</f>
        <v>2</v>
      </c>
      <c r="F2401" s="6">
        <f>IFERROR(__xludf.DUMMYFUNCTION("""COMPUTED_VALUE"""),2.0)</f>
        <v>2</v>
      </c>
      <c r="G2401" s="6">
        <f>IFERROR(__xludf.DUMMYFUNCTION("""COMPUTED_VALUE"""),0.0)</f>
        <v>0</v>
      </c>
      <c r="H2401" s="6" t="str">
        <f>IFERROR(__xludf.DUMMYFUNCTION("""COMPUTED_VALUE"""),"Pcs")</f>
        <v>Pcs</v>
      </c>
      <c r="I2401" s="6" t="str">
        <f>IFERROR(__xludf.DUMMYFUNCTION("""COMPUTED_VALUE"""),"MFH")</f>
        <v>MFH</v>
      </c>
      <c r="J2401" s="6" t="str">
        <f>IFERROR(__xludf.DUMMYFUNCTION("""COMPUTED_VALUE"""),"Pindah instrumen lab")</f>
        <v>Pindah instrumen lab</v>
      </c>
      <c r="K2401" s="6" t="str">
        <f>IFERROR(__xludf.DUMMYFUNCTION("""COMPUTED_VALUE"""),"SPR/08/25/063")</f>
        <v>SPR/08/25/063</v>
      </c>
      <c r="L2401" s="13">
        <f>IFERROR(__xludf.DUMMYFUNCTION("""COMPUTED_VALUE"""),45898.0)</f>
        <v>45898</v>
      </c>
    </row>
    <row r="2402">
      <c r="A2402" s="6" t="str">
        <f>IFERROR(__xludf.DUMMYFUNCTION("""COMPUTED_VALUE"""),"ANO ")</f>
        <v>ANO </v>
      </c>
      <c r="B2402" s="6" t="str">
        <f>IFERROR(__xludf.DUMMYFUNCTION("""COMPUTED_VALUE"""),"ENG")</f>
        <v>ENG</v>
      </c>
      <c r="C2402" s="6" t="str">
        <f>IFERROR(__xludf.DUMMYFUNCTION("""COMPUTED_VALUE"""),"O-54014-00")</f>
        <v>O-54014-00</v>
      </c>
      <c r="D2402" s="6" t="str">
        <f>IFERROR(__xludf.DUMMYFUNCTION("""COMPUTED_VALUE"""),"STEKER 1 PHASE, BROCO")</f>
        <v>STEKER 1 PHASE, BROCO</v>
      </c>
      <c r="E2402" s="6">
        <f>IFERROR(__xludf.DUMMYFUNCTION("""COMPUTED_VALUE"""),2.0)</f>
        <v>2</v>
      </c>
      <c r="F2402" s="6">
        <f>IFERROR(__xludf.DUMMYFUNCTION("""COMPUTED_VALUE"""),2.0)</f>
        <v>2</v>
      </c>
      <c r="G2402" s="6">
        <f>IFERROR(__xludf.DUMMYFUNCTION("""COMPUTED_VALUE"""),0.0)</f>
        <v>0</v>
      </c>
      <c r="H2402" s="6" t="str">
        <f>IFERROR(__xludf.DUMMYFUNCTION("""COMPUTED_VALUE"""),"Pcs")</f>
        <v>Pcs</v>
      </c>
      <c r="I2402" s="6" t="str">
        <f>IFERROR(__xludf.DUMMYFUNCTION("""COMPUTED_VALUE"""),"MFH")</f>
        <v>MFH</v>
      </c>
      <c r="J2402" s="6" t="str">
        <f>IFERROR(__xludf.DUMMYFUNCTION("""COMPUTED_VALUE"""),"Pindahan instrumen di lab")</f>
        <v>Pindahan instrumen di lab</v>
      </c>
      <c r="K2402" s="6" t="str">
        <f>IFERROR(__xludf.DUMMYFUNCTION("""COMPUTED_VALUE"""),"SPR/08/25/063")</f>
        <v>SPR/08/25/063</v>
      </c>
      <c r="L2402" s="13">
        <f>IFERROR(__xludf.DUMMYFUNCTION("""COMPUTED_VALUE"""),45898.0)</f>
        <v>45898</v>
      </c>
    </row>
    <row r="2403">
      <c r="A2403" s="6" t="str">
        <f>IFERROR(__xludf.DUMMYFUNCTION("""COMPUTED_VALUE"""),"ROS ")</f>
        <v>ROS </v>
      </c>
      <c r="B2403" s="6" t="str">
        <f>IFERROR(__xludf.DUMMYFUNCTION("""COMPUTED_VALUE"""),"ENG")</f>
        <v>ENG</v>
      </c>
      <c r="C2403" s="6" t="str">
        <f>IFERROR(__xludf.DUMMYFUNCTION("""COMPUTED_VALUE"""),"O-19372-00")</f>
        <v>O-19372-00</v>
      </c>
      <c r="D2403" s="6" t="str">
        <f>IFERROR(__xludf.DUMMYFUNCTION("""COMPUTED_VALUE"""),"Washing RAR4 - Needle PW, OD.15mmx123mm, Material SS 319; ; ;")</f>
        <v>Washing RAR4 - Needle PW, OD.15mmx123mm, Material SS 319; ; ;</v>
      </c>
      <c r="E2403" s="6">
        <f>IFERROR(__xludf.DUMMYFUNCTION("""COMPUTED_VALUE"""),1.0)</f>
        <v>1</v>
      </c>
      <c r="F2403" s="6">
        <f>IFERROR(__xludf.DUMMYFUNCTION("""COMPUTED_VALUE"""),1.0)</f>
        <v>1</v>
      </c>
      <c r="G2403" s="6">
        <f>IFERROR(__xludf.DUMMYFUNCTION("""COMPUTED_VALUE"""),0.0)</f>
        <v>0</v>
      </c>
      <c r="H2403" s="6" t="str">
        <f>IFERROR(__xludf.DUMMYFUNCTION("""COMPUTED_VALUE"""),"Pcs")</f>
        <v>Pcs</v>
      </c>
      <c r="I2403" s="6" t="str">
        <f>IFERROR(__xludf.DUMMYFUNCTION("""COMPUTED_VALUE"""),"MFH")</f>
        <v>MFH</v>
      </c>
      <c r="J2403" s="6" t="str">
        <f>IFERROR(__xludf.DUMMYFUNCTION("""COMPUTED_VALUE"""),"Washing ")</f>
        <v>Washing </v>
      </c>
      <c r="K2403" s="6" t="str">
        <f>IFERROR(__xludf.DUMMYFUNCTION("""COMPUTED_VALUE"""),"SPR/08/25/064")</f>
        <v>SPR/08/25/064</v>
      </c>
      <c r="L2403" s="13">
        <f>IFERROR(__xludf.DUMMYFUNCTION("""COMPUTED_VALUE"""),45898.0)</f>
        <v>45898</v>
      </c>
    </row>
    <row r="2404">
      <c r="A2404" s="6" t="str">
        <f>IFERROR(__xludf.DUMMYFUNCTION("""COMPUTED_VALUE"""),"ROS ")</f>
        <v>ROS </v>
      </c>
      <c r="B2404" s="6" t="str">
        <f>IFERROR(__xludf.DUMMYFUNCTION("""COMPUTED_VALUE"""),"ENG")</f>
        <v>ENG</v>
      </c>
      <c r="C2404" s="6" t="str">
        <f>IFERROR(__xludf.DUMMYFUNCTION("""COMPUTED_VALUE"""),"O-16647-00")</f>
        <v>O-16647-00</v>
      </c>
      <c r="D2404" s="6" t="str">
        <f>IFERROR(__xludf.DUMMYFUNCTION("""COMPUTED_VALUE"""),"Washing RAR4 - Oring Silicone Merah 23x18x2.5 mm; ; ;")</f>
        <v>Washing RAR4 - Oring Silicone Merah 23x18x2.5 mm; ; ;</v>
      </c>
      <c r="E2404" s="6">
        <f>IFERROR(__xludf.DUMMYFUNCTION("""COMPUTED_VALUE"""),10.0)</f>
        <v>10</v>
      </c>
      <c r="F2404" s="6">
        <f>IFERROR(__xludf.DUMMYFUNCTION("""COMPUTED_VALUE"""),10.0)</f>
        <v>10</v>
      </c>
      <c r="G2404" s="6">
        <f>IFERROR(__xludf.DUMMYFUNCTION("""COMPUTED_VALUE"""),0.0)</f>
        <v>0</v>
      </c>
      <c r="H2404" s="6" t="str">
        <f>IFERROR(__xludf.DUMMYFUNCTION("""COMPUTED_VALUE"""),"Pcs")</f>
        <v>Pcs</v>
      </c>
      <c r="I2404" s="6" t="str">
        <f>IFERROR(__xludf.DUMMYFUNCTION("""COMPUTED_VALUE"""),"MFH")</f>
        <v>MFH</v>
      </c>
      <c r="J2404" s="6" t="str">
        <f>IFERROR(__xludf.DUMMYFUNCTION("""COMPUTED_VALUE"""),"Capping ")</f>
        <v>Capping </v>
      </c>
      <c r="K2404" s="6" t="str">
        <f>IFERROR(__xludf.DUMMYFUNCTION("""COMPUTED_VALUE"""),"SPR/08/25/064")</f>
        <v>SPR/08/25/064</v>
      </c>
      <c r="L2404" s="13">
        <f>IFERROR(__xludf.DUMMYFUNCTION("""COMPUTED_VALUE"""),45898.0)</f>
        <v>45898</v>
      </c>
    </row>
    <row r="2405">
      <c r="A2405" s="6" t="str">
        <f>IFERROR(__xludf.DUMMYFUNCTION("""COMPUTED_VALUE"""),"ANO")</f>
        <v>ANO</v>
      </c>
      <c r="B2405" s="6" t="str">
        <f>IFERROR(__xludf.DUMMYFUNCTION("""COMPUTED_VALUE"""),"ENG")</f>
        <v>ENG</v>
      </c>
      <c r="C2405" s="6" t="str">
        <f>IFERROR(__xludf.DUMMYFUNCTION("""COMPUTED_VALUE"""),"P-19255-00")</f>
        <v>P-19255-00</v>
      </c>
      <c r="D2405" s="6" t="str">
        <f>IFERROR(__xludf.DUMMYFUNCTION("""COMPUTED_VALUE"""),"Plastic Tubing PUN-H-14x2-BL; Festo; 570386;")</f>
        <v>Plastic Tubing PUN-H-14x2-BL; Festo; 570386;</v>
      </c>
      <c r="E2405" s="6">
        <f>IFERROR(__xludf.DUMMYFUNCTION("""COMPUTED_VALUE"""),3.0)</f>
        <v>3</v>
      </c>
      <c r="F2405" s="6">
        <f>IFERROR(__xludf.DUMMYFUNCTION("""COMPUTED_VALUE"""),3.0)</f>
        <v>3</v>
      </c>
      <c r="G2405" s="6">
        <f>IFERROR(__xludf.DUMMYFUNCTION("""COMPUTED_VALUE"""),0.0)</f>
        <v>0</v>
      </c>
      <c r="H2405" s="6" t="str">
        <f>IFERROR(__xludf.DUMMYFUNCTION("""COMPUTED_VALUE"""),"Pcs")</f>
        <v>Pcs</v>
      </c>
      <c r="I2405" s="6" t="str">
        <f>IFERROR(__xludf.DUMMYFUNCTION("""COMPUTED_VALUE"""),"MFH")</f>
        <v>MFH</v>
      </c>
      <c r="J2405" s="6" t="str">
        <f>IFERROR(__xludf.DUMMYFUNCTION("""COMPUTED_VALUE"""),"Resulution tester")</f>
        <v>Resulution tester</v>
      </c>
      <c r="K2405" s="6" t="str">
        <f>IFERROR(__xludf.DUMMYFUNCTION("""COMPUTED_VALUE"""),"SPR/08/25/065")</f>
        <v>SPR/08/25/065</v>
      </c>
      <c r="L2405" s="13">
        <f>IFERROR(__xludf.DUMMYFUNCTION("""COMPUTED_VALUE"""),45898.0)</f>
        <v>45898</v>
      </c>
    </row>
    <row r="2406">
      <c r="A2406" s="6" t="str">
        <f>IFERROR(__xludf.DUMMYFUNCTION("""COMPUTED_VALUE"""),"ANO")</f>
        <v>ANO</v>
      </c>
      <c r="B2406" s="6" t="str">
        <f>IFERROR(__xludf.DUMMYFUNCTION("""COMPUTED_VALUE"""),"ENG")</f>
        <v>ENG</v>
      </c>
      <c r="C2406" s="6" t="str">
        <f>IFERROR(__xludf.DUMMYFUNCTION("""COMPUTED_VALUE"""),"P-12083-00")</f>
        <v>P-12083-00</v>
      </c>
      <c r="D2406" s="6" t="str">
        <f>IFERROR(__xludf.DUMMYFUNCTION("""COMPUTED_VALUE"""),"General - Clamp Selang, SS, 1/2""; Tridon; -; 1 pcs")</f>
        <v>General - Clamp Selang, SS, 1/2"; Tridon; -; 1 pcs</v>
      </c>
      <c r="E2406" s="6">
        <f>IFERROR(__xludf.DUMMYFUNCTION("""COMPUTED_VALUE"""),2.0)</f>
        <v>2</v>
      </c>
      <c r="F2406" s="6">
        <f>IFERROR(__xludf.DUMMYFUNCTION("""COMPUTED_VALUE"""),2.0)</f>
        <v>2</v>
      </c>
      <c r="G2406" s="6">
        <f>IFERROR(__xludf.DUMMYFUNCTION("""COMPUTED_VALUE"""),0.0)</f>
        <v>0</v>
      </c>
      <c r="H2406" s="6" t="str">
        <f>IFERROR(__xludf.DUMMYFUNCTION("""COMPUTED_VALUE"""),"Pcs")</f>
        <v>Pcs</v>
      </c>
      <c r="I2406" s="6" t="str">
        <f>IFERROR(__xludf.DUMMYFUNCTION("""COMPUTED_VALUE"""),"MFH")</f>
        <v>MFH</v>
      </c>
      <c r="J2406" s="6" t="str">
        <f>IFERROR(__xludf.DUMMYFUNCTION("""COMPUTED_VALUE"""),"Resulution tester")</f>
        <v>Resulution tester</v>
      </c>
      <c r="K2406" s="6" t="str">
        <f>IFERROR(__xludf.DUMMYFUNCTION("""COMPUTED_VALUE"""),"SPR/08/25/065")</f>
        <v>SPR/08/25/065</v>
      </c>
      <c r="L2406" s="13">
        <f>IFERROR(__xludf.DUMMYFUNCTION("""COMPUTED_VALUE"""),45898.0)</f>
        <v>45898</v>
      </c>
    </row>
    <row r="2407">
      <c r="A2407" s="6" t="str">
        <f>IFERROR(__xludf.DUMMYFUNCTION("""COMPUTED_VALUE"""),"AAA")</f>
        <v>AAA</v>
      </c>
      <c r="B2407" s="6" t="str">
        <f>IFERROR(__xludf.DUMMYFUNCTION("""COMPUTED_VALUE"""),"ENG")</f>
        <v>ENG</v>
      </c>
      <c r="C2407" s="6" t="str">
        <f>IFERROR(__xludf.DUMMYFUNCTION("""COMPUTED_VALUE"""),"P-19678-00")</f>
        <v>P-19678-00</v>
      </c>
      <c r="D2407" s="6" t="str">
        <f>IFERROR(__xludf.DUMMYFUNCTION("""COMPUTED_VALUE"""),"General - Kompresor Udata Gun 1/4inch; Lokal; -; 1 pc")</f>
        <v>General - Kompresor Udata Gun 1/4inch; Lokal; -; 1 pc</v>
      </c>
      <c r="E2407" s="6">
        <f>IFERROR(__xludf.DUMMYFUNCTION("""COMPUTED_VALUE"""),1.0)</f>
        <v>1</v>
      </c>
      <c r="F2407" s="6">
        <f>IFERROR(__xludf.DUMMYFUNCTION("""COMPUTED_VALUE"""),1.0)</f>
        <v>1</v>
      </c>
      <c r="G2407" s="6">
        <f>IFERROR(__xludf.DUMMYFUNCTION("""COMPUTED_VALUE"""),0.0)</f>
        <v>0</v>
      </c>
      <c r="H2407" s="6" t="str">
        <f>IFERROR(__xludf.DUMMYFUNCTION("""COMPUTED_VALUE"""),"Pcs")</f>
        <v>Pcs</v>
      </c>
      <c r="I2407" s="6" t="str">
        <f>IFERROR(__xludf.DUMMYFUNCTION("""COMPUTED_VALUE"""),"MFH")</f>
        <v>MFH</v>
      </c>
      <c r="J2407" s="6" t="str">
        <f>IFERROR(__xludf.DUMMYFUNCTION("""COMPUTED_VALUE"""),"Washing ")</f>
        <v>Washing </v>
      </c>
      <c r="K2407" s="6" t="str">
        <f>IFERROR(__xludf.DUMMYFUNCTION("""COMPUTED_VALUE"""),"SPR/08/25/066")</f>
        <v>SPR/08/25/066</v>
      </c>
      <c r="L2407" s="13">
        <f>IFERROR(__xludf.DUMMYFUNCTION("""COMPUTED_VALUE"""),45898.0)</f>
        <v>45898</v>
      </c>
    </row>
    <row r="2408">
      <c r="A2408" s="6" t="str">
        <f>IFERROR(__xludf.DUMMYFUNCTION("""COMPUTED_VALUE"""),"PPA")</f>
        <v>PPA</v>
      </c>
      <c r="B2408" s="6" t="str">
        <f>IFERROR(__xludf.DUMMYFUNCTION("""COMPUTED_VALUE"""),"ENG")</f>
        <v>ENG</v>
      </c>
      <c r="C2408" s="6" t="str">
        <f>IFERROR(__xludf.DUMMYFUNCTION("""COMPUTED_VALUE"""),"T-20320-00")</f>
        <v>T-20320-00</v>
      </c>
      <c r="D2408" s="6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E2408" s="6">
        <f>IFERROR(__xludf.DUMMYFUNCTION("""COMPUTED_VALUE"""),2.0)</f>
        <v>2</v>
      </c>
      <c r="F2408" s="6">
        <f>IFERROR(__xludf.DUMMYFUNCTION("""COMPUTED_VALUE"""),2.0)</f>
        <v>2</v>
      </c>
      <c r="G2408" s="6">
        <f>IFERROR(__xludf.DUMMYFUNCTION("""COMPUTED_VALUE"""),0.0)</f>
        <v>0</v>
      </c>
      <c r="H2408" s="6" t="str">
        <f>IFERROR(__xludf.DUMMYFUNCTION("""COMPUTED_VALUE"""),"Pcs")</f>
        <v>Pcs</v>
      </c>
      <c r="I2408" s="6" t="str">
        <f>IFERROR(__xludf.DUMMYFUNCTION("""COMPUTED_VALUE"""),"MFH")</f>
        <v>MFH</v>
      </c>
      <c r="J2408" s="6" t="str">
        <f>IFERROR(__xludf.DUMMYFUNCTION("""COMPUTED_VALUE"""),"GC")</f>
        <v>GC</v>
      </c>
      <c r="K2408" s="6" t="str">
        <f>IFERROR(__xludf.DUMMYFUNCTION("""COMPUTED_VALUE"""),"SPR/08/25/067")</f>
        <v>SPR/08/25/067</v>
      </c>
      <c r="L2408" s="13">
        <f>IFERROR(__xludf.DUMMYFUNCTION("""COMPUTED_VALUE"""),45898.0)</f>
        <v>45898</v>
      </c>
    </row>
    <row r="2409">
      <c r="A2409" s="6" t="str">
        <f>IFERROR(__xludf.DUMMYFUNCTION("""COMPUTED_VALUE"""),"PPA ")</f>
        <v>PPA </v>
      </c>
      <c r="B2409" s="6" t="str">
        <f>IFERROR(__xludf.DUMMYFUNCTION("""COMPUTED_VALUE"""),"ENG")</f>
        <v>ENG</v>
      </c>
      <c r="C2409" s="6" t="str">
        <f>IFERROR(__xludf.DUMMYFUNCTION("""COMPUTED_VALUE"""),"T-20287-00")</f>
        <v>T-20287-00</v>
      </c>
      <c r="D2409" s="6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E2409" s="6">
        <f>IFERROR(__xludf.DUMMYFUNCTION("""COMPUTED_VALUE"""),1.0)</f>
        <v>1</v>
      </c>
      <c r="F2409" s="6">
        <f>IFERROR(__xludf.DUMMYFUNCTION("""COMPUTED_VALUE"""),1.0)</f>
        <v>1</v>
      </c>
      <c r="G2409" s="6">
        <f>IFERROR(__xludf.DUMMYFUNCTION("""COMPUTED_VALUE"""),0.0)</f>
        <v>0</v>
      </c>
      <c r="H2409" s="6" t="str">
        <f>IFERROR(__xludf.DUMMYFUNCTION("""COMPUTED_VALUE"""),"Pcs")</f>
        <v>Pcs</v>
      </c>
      <c r="I2409" s="6" t="str">
        <f>IFERROR(__xludf.DUMMYFUNCTION("""COMPUTED_VALUE"""),"MFH")</f>
        <v>MFH</v>
      </c>
      <c r="J2409" s="6" t="str">
        <f>IFERROR(__xludf.DUMMYFUNCTION("""COMPUTED_VALUE"""),"GC")</f>
        <v>GC</v>
      </c>
      <c r="K2409" s="6" t="str">
        <f>IFERROR(__xludf.DUMMYFUNCTION("""COMPUTED_VALUE"""),"SPR/08/25/067")</f>
        <v>SPR/08/25/067</v>
      </c>
      <c r="L2409" s="13">
        <f>IFERROR(__xludf.DUMMYFUNCTION("""COMPUTED_VALUE"""),45898.0)</f>
        <v>45898</v>
      </c>
    </row>
    <row r="2410">
      <c r="A2410" s="6" t="str">
        <f>IFERROR(__xludf.DUMMYFUNCTION("""COMPUTED_VALUE"""),"MOB")</f>
        <v>MOB</v>
      </c>
      <c r="B2410" s="6" t="str">
        <f>IFERROR(__xludf.DUMMYFUNCTION("""COMPUTED_VALUE"""),"ENG")</f>
        <v>ENG</v>
      </c>
      <c r="C2410" s="6" t="str">
        <f>IFERROR(__xludf.DUMMYFUNCTION("""COMPUTED_VALUE"""),"P-14424-00")</f>
        <v>P-14424-00</v>
      </c>
      <c r="D2410" s="6" t="str">
        <f>IFERROR(__xludf.DUMMYFUNCTION("""COMPUTED_VALUE"""),"Garam Kutreat RGN-9800F; ; ; 25Kg/zak")</f>
        <v>Garam Kutreat RGN-9800F; ; ; 25Kg/zak</v>
      </c>
      <c r="E2410" s="6">
        <f>IFERROR(__xludf.DUMMYFUNCTION("""COMPUTED_VALUE"""),250.0)</f>
        <v>250</v>
      </c>
      <c r="F2410" s="6">
        <f>IFERROR(__xludf.DUMMYFUNCTION("""COMPUTED_VALUE"""),250.0)</f>
        <v>250</v>
      </c>
      <c r="G2410" s="6">
        <f>IFERROR(__xludf.DUMMYFUNCTION("""COMPUTED_VALUE"""),0.0)</f>
        <v>0</v>
      </c>
      <c r="H2410" s="6" t="str">
        <f>IFERROR(__xludf.DUMMYFUNCTION("""COMPUTED_VALUE"""),"Pcs")</f>
        <v>Pcs</v>
      </c>
      <c r="I2410" s="6" t="str">
        <f>IFERROR(__xludf.DUMMYFUNCTION("""COMPUTED_VALUE"""),"MFH")</f>
        <v>MFH</v>
      </c>
      <c r="J2410" s="6" t="str">
        <f>IFERROR(__xludf.DUMMYFUNCTION("""COMPUTED_VALUE"""),"PWG")</f>
        <v>PWG</v>
      </c>
      <c r="K2410" s="6" t="str">
        <f>IFERROR(__xludf.DUMMYFUNCTION("""COMPUTED_VALUE"""),"SPR/09/25/001")</f>
        <v>SPR/09/25/001</v>
      </c>
      <c r="L2410" s="13">
        <f>IFERROR(__xludf.DUMMYFUNCTION("""COMPUTED_VALUE"""),45930.0)</f>
        <v>45930</v>
      </c>
    </row>
    <row r="2411">
      <c r="A2411" s="6" t="str">
        <f>IFERROR(__xludf.DUMMYFUNCTION("""COMPUTED_VALUE"""),"BDU")</f>
        <v>BDU</v>
      </c>
      <c r="B2411" s="6" t="str">
        <f>IFERROR(__xludf.DUMMYFUNCTION("""COMPUTED_VALUE"""),"ENG")</f>
        <v>ENG</v>
      </c>
      <c r="C2411" s="6" t="str">
        <f>IFERROR(__xludf.DUMMYFUNCTION("""COMPUTED_VALUE"""),"Q-10656-00")</f>
        <v>Q-10656-00</v>
      </c>
      <c r="D2411" s="6" t="str">
        <f>IFERROR(__xludf.DUMMYFUNCTION("""COMPUTED_VALUE"""),"Kuas Cat Uk. 5 inch;No Brand;;pack size per pcs")</f>
        <v>Kuas Cat Uk. 5 inch;No Brand;;pack size per pcs</v>
      </c>
      <c r="E2411" s="6">
        <f>IFERROR(__xludf.DUMMYFUNCTION("""COMPUTED_VALUE"""),1.0)</f>
        <v>1</v>
      </c>
      <c r="F2411" s="6">
        <f>IFERROR(__xludf.DUMMYFUNCTION("""COMPUTED_VALUE"""),1.0)</f>
        <v>1</v>
      </c>
      <c r="G2411" s="6">
        <f>IFERROR(__xludf.DUMMYFUNCTION("""COMPUTED_VALUE"""),0.0)</f>
        <v>0</v>
      </c>
      <c r="H2411" s="6" t="str">
        <f>IFERROR(__xludf.DUMMYFUNCTION("""COMPUTED_VALUE"""),"Pcs")</f>
        <v>Pcs</v>
      </c>
      <c r="I2411" s="6" t="str">
        <f>IFERROR(__xludf.DUMMYFUNCTION("""COMPUTED_VALUE"""),"MFH")</f>
        <v>MFH</v>
      </c>
      <c r="J2411" s="6" t="str">
        <f>IFERROR(__xludf.DUMMYFUNCTION("""COMPUTED_VALUE"""),"BSC")</f>
        <v>BSC</v>
      </c>
      <c r="K2411" s="6" t="str">
        <f>IFERROR(__xludf.DUMMYFUNCTION("""COMPUTED_VALUE"""),"SPR/09/25/002")</f>
        <v>SPR/09/25/002</v>
      </c>
      <c r="L2411" s="13">
        <f>IFERROR(__xludf.DUMMYFUNCTION("""COMPUTED_VALUE"""),45930.0)</f>
        <v>45930</v>
      </c>
    </row>
    <row r="2412">
      <c r="A2412" s="6" t="str">
        <f>IFERROR(__xludf.DUMMYFUNCTION("""COMPUTED_VALUE"""),"MRN")</f>
        <v>MRN</v>
      </c>
      <c r="B2412" s="6" t="str">
        <f>IFERROR(__xludf.DUMMYFUNCTION("""COMPUTED_VALUE"""),"ENG")</f>
        <v>ENG</v>
      </c>
      <c r="C2412" s="6" t="str">
        <f>IFERROR(__xludf.DUMMYFUNCTION("""COMPUTED_VALUE"""),"O-15489-00")</f>
        <v>O-15489-00</v>
      </c>
      <c r="D2412" s="6" t="str">
        <f>IFERROR(__xludf.DUMMYFUNCTION("""COMPUTED_VALUE"""),"SPA 1120 Brand : Optibelt / Bando Merah; Optibelt; ;")</f>
        <v>SPA 1120 Brand : Optibelt / Bando Merah; Optibelt; ;</v>
      </c>
      <c r="E2412" s="6">
        <f>IFERROR(__xludf.DUMMYFUNCTION("""COMPUTED_VALUE"""),1.0)</f>
        <v>1</v>
      </c>
      <c r="F2412" s="6">
        <f>IFERROR(__xludf.DUMMYFUNCTION("""COMPUTED_VALUE"""),1.0)</f>
        <v>1</v>
      </c>
      <c r="G2412" s="6">
        <f>IFERROR(__xludf.DUMMYFUNCTION("""COMPUTED_VALUE"""),0.0)</f>
        <v>0</v>
      </c>
      <c r="H2412" s="6" t="str">
        <f>IFERROR(__xludf.DUMMYFUNCTION("""COMPUTED_VALUE"""),"Pcs")</f>
        <v>Pcs</v>
      </c>
      <c r="I2412" s="6" t="str">
        <f>IFERROR(__xludf.DUMMYFUNCTION("""COMPUTED_VALUE"""),"MFH")</f>
        <v>MFH</v>
      </c>
      <c r="J2412" s="6" t="str">
        <f>IFERROR(__xludf.DUMMYFUNCTION("""COMPUTED_VALUE"""),"-")</f>
        <v>-</v>
      </c>
      <c r="K2412" s="6" t="str">
        <f>IFERROR(__xludf.DUMMYFUNCTION("""COMPUTED_VALUE"""),"SPR/09/25/003")</f>
        <v>SPR/09/25/003</v>
      </c>
      <c r="L2412" s="13">
        <f>IFERROR(__xludf.DUMMYFUNCTION("""COMPUTED_VALUE"""),45930.0)</f>
        <v>45930</v>
      </c>
    </row>
    <row r="2413">
      <c r="A2413" s="6" t="str">
        <f>IFERROR(__xludf.DUMMYFUNCTION("""COMPUTED_VALUE"""),"SFH")</f>
        <v>SFH</v>
      </c>
      <c r="B2413" s="6" t="str">
        <f>IFERROR(__xludf.DUMMYFUNCTION("""COMPUTED_VALUE"""),"ENG")</f>
        <v>ENG</v>
      </c>
      <c r="C2413" s="6" t="str">
        <f>IFERROR(__xludf.DUMMYFUNCTION("""COMPUTED_VALUE"""),"Q-12060-00")</f>
        <v>Q-12060-00</v>
      </c>
      <c r="D2413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413" s="6">
        <f>IFERROR(__xludf.DUMMYFUNCTION("""COMPUTED_VALUE"""),1.0)</f>
        <v>1</v>
      </c>
      <c r="F2413" s="6">
        <f>IFERROR(__xludf.DUMMYFUNCTION("""COMPUTED_VALUE"""),1.0)</f>
        <v>1</v>
      </c>
      <c r="G2413" s="6">
        <f>IFERROR(__xludf.DUMMYFUNCTION("""COMPUTED_VALUE"""),0.0)</f>
        <v>0</v>
      </c>
      <c r="H2413" s="6" t="str">
        <f>IFERROR(__xludf.DUMMYFUNCTION("""COMPUTED_VALUE"""),"Pcs")</f>
        <v>Pcs</v>
      </c>
      <c r="I2413" s="6" t="str">
        <f>IFERROR(__xludf.DUMMYFUNCTION("""COMPUTED_VALUE"""),"MFH")</f>
        <v>MFH</v>
      </c>
      <c r="J2413" s="6" t="str">
        <f>IFERROR(__xludf.DUMMYFUNCTION("""COMPUTED_VALUE"""),"Building")</f>
        <v>Building</v>
      </c>
      <c r="K2413" s="6" t="str">
        <f>IFERROR(__xludf.DUMMYFUNCTION("""COMPUTED_VALUE"""),"SPR/09/25/004")</f>
        <v>SPR/09/25/004</v>
      </c>
      <c r="L2413" s="13">
        <f>IFERROR(__xludf.DUMMYFUNCTION("""COMPUTED_VALUE"""),45930.0)</f>
        <v>45930</v>
      </c>
    </row>
    <row r="2414">
      <c r="A2414" s="6" t="str">
        <f>IFERROR(__xludf.DUMMYFUNCTION("""COMPUTED_VALUE"""),"SFH")</f>
        <v>SFH</v>
      </c>
      <c r="B2414" s="6" t="str">
        <f>IFERROR(__xludf.DUMMYFUNCTION("""COMPUTED_VALUE"""),"ENG")</f>
        <v>ENG</v>
      </c>
      <c r="C2414" s="6" t="str">
        <f>IFERROR(__xludf.DUMMYFUNCTION("""COMPUTED_VALUE"""),"Q-60502-00")</f>
        <v>Q-60502-00</v>
      </c>
      <c r="D2414" s="6" t="str">
        <f>IFERROR(__xludf.DUMMYFUNCTION("""COMPUTED_VALUE"""),"Silicone Sealant, Silglaze, Type N10 White, pack size per pcs")</f>
        <v>Silicone Sealant, Silglaze, Type N10 White, pack size per pcs</v>
      </c>
      <c r="E2414" s="6">
        <f>IFERROR(__xludf.DUMMYFUNCTION("""COMPUTED_VALUE"""),6.0)</f>
        <v>6</v>
      </c>
      <c r="F2414" s="6">
        <f>IFERROR(__xludf.DUMMYFUNCTION("""COMPUTED_VALUE"""),6.0)</f>
        <v>6</v>
      </c>
      <c r="G2414" s="6">
        <f>IFERROR(__xludf.DUMMYFUNCTION("""COMPUTED_VALUE"""),0.0)</f>
        <v>0</v>
      </c>
      <c r="H2414" s="6" t="str">
        <f>IFERROR(__xludf.DUMMYFUNCTION("""COMPUTED_VALUE"""),"Pcs")</f>
        <v>Pcs</v>
      </c>
      <c r="I2414" s="6" t="str">
        <f>IFERROR(__xludf.DUMMYFUNCTION("""COMPUTED_VALUE"""),"MFH")</f>
        <v>MFH</v>
      </c>
      <c r="J2414" s="6" t="str">
        <f>IFERROR(__xludf.DUMMYFUNCTION("""COMPUTED_VALUE"""),"Building")</f>
        <v>Building</v>
      </c>
      <c r="K2414" s="6" t="str">
        <f>IFERROR(__xludf.DUMMYFUNCTION("""COMPUTED_VALUE"""),"SPR/09/25/004")</f>
        <v>SPR/09/25/004</v>
      </c>
      <c r="L2414" s="13">
        <f>IFERROR(__xludf.DUMMYFUNCTION("""COMPUTED_VALUE"""),45930.0)</f>
        <v>45930</v>
      </c>
    </row>
    <row r="2415">
      <c r="A2415" s="6" t="str">
        <f>IFERROR(__xludf.DUMMYFUNCTION("""COMPUTED_VALUE"""),"BDU")</f>
        <v>BDU</v>
      </c>
      <c r="B2415" s="6" t="str">
        <f>IFERROR(__xludf.DUMMYFUNCTION("""COMPUTED_VALUE"""),"ENG")</f>
        <v>ENG</v>
      </c>
      <c r="C2415" s="6" t="str">
        <f>IFERROR(__xludf.DUMMYFUNCTION("""COMPUTED_VALUE"""),"P-15938-00")</f>
        <v>P-15938-00</v>
      </c>
      <c r="D2415" s="6" t="str">
        <f>IFERROR(__xludf.DUMMYFUNCTION("""COMPUTED_VALUE"""),"Water Hardness Test Kit; ; ;")</f>
        <v>Water Hardness Test Kit; ; ;</v>
      </c>
      <c r="E2415" s="6">
        <f>IFERROR(__xludf.DUMMYFUNCTION("""COMPUTED_VALUE"""),1.0)</f>
        <v>1</v>
      </c>
      <c r="F2415" s="6">
        <f>IFERROR(__xludf.DUMMYFUNCTION("""COMPUTED_VALUE"""),1.0)</f>
        <v>1</v>
      </c>
      <c r="G2415" s="6">
        <f>IFERROR(__xludf.DUMMYFUNCTION("""COMPUTED_VALUE"""),0.0)</f>
        <v>0</v>
      </c>
      <c r="H2415" s="6" t="str">
        <f>IFERROR(__xludf.DUMMYFUNCTION("""COMPUTED_VALUE"""),"Pcs")</f>
        <v>Pcs</v>
      </c>
      <c r="I2415" s="6" t="str">
        <f>IFERROR(__xludf.DUMMYFUNCTION("""COMPUTED_VALUE"""),"MFH")</f>
        <v>MFH</v>
      </c>
      <c r="J2415" s="6" t="str">
        <f>IFERROR(__xludf.DUMMYFUNCTION("""COMPUTED_VALUE"""),"PWG")</f>
        <v>PWG</v>
      </c>
      <c r="K2415" s="6" t="str">
        <f>IFERROR(__xludf.DUMMYFUNCTION("""COMPUTED_VALUE"""),"SPR/09/25/005")</f>
        <v>SPR/09/25/005</v>
      </c>
      <c r="L2415" s="13">
        <f>IFERROR(__xludf.DUMMYFUNCTION("""COMPUTED_VALUE"""),45930.0)</f>
        <v>45930</v>
      </c>
    </row>
    <row r="2416">
      <c r="A2416" s="6" t="str">
        <f>IFERROR(__xludf.DUMMYFUNCTION("""COMPUTED_VALUE"""),"BDU")</f>
        <v>BDU</v>
      </c>
      <c r="B2416" s="6" t="str">
        <f>IFERROR(__xludf.DUMMYFUNCTION("""COMPUTED_VALUE"""),"ENG")</f>
        <v>ENG</v>
      </c>
      <c r="C2416" s="6" t="str">
        <f>IFERROR(__xludf.DUMMYFUNCTION("""COMPUTED_VALUE"""),"Q-12060-00")</f>
        <v>Q-12060-00</v>
      </c>
      <c r="D2416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416" s="6">
        <f>IFERROR(__xludf.DUMMYFUNCTION("""COMPUTED_VALUE"""),1.0)</f>
        <v>1</v>
      </c>
      <c r="F2416" s="6">
        <f>IFERROR(__xludf.DUMMYFUNCTION("""COMPUTED_VALUE"""),1.0)</f>
        <v>1</v>
      </c>
      <c r="G2416" s="6">
        <f>IFERROR(__xludf.DUMMYFUNCTION("""COMPUTED_VALUE"""),0.0)</f>
        <v>0</v>
      </c>
      <c r="H2416" s="6" t="str">
        <f>IFERROR(__xludf.DUMMYFUNCTION("""COMPUTED_VALUE"""),"Pcs")</f>
        <v>Pcs</v>
      </c>
      <c r="I2416" s="6" t="str">
        <f>IFERROR(__xludf.DUMMYFUNCTION("""COMPUTED_VALUE"""),"MFH")</f>
        <v>MFH</v>
      </c>
      <c r="J2416" s="6" t="str">
        <f>IFERROR(__xludf.DUMMYFUNCTION("""COMPUTED_VALUE"""),"Building")</f>
        <v>Building</v>
      </c>
      <c r="K2416" s="6" t="str">
        <f>IFERROR(__xludf.DUMMYFUNCTION("""COMPUTED_VALUE"""),"SPR/09/25/005")</f>
        <v>SPR/09/25/005</v>
      </c>
      <c r="L2416" s="13">
        <f>IFERROR(__xludf.DUMMYFUNCTION("""COMPUTED_VALUE"""),45930.0)</f>
        <v>45930</v>
      </c>
    </row>
    <row r="2417">
      <c r="A2417" s="6" t="str">
        <f>IFERROR(__xludf.DUMMYFUNCTION("""COMPUTED_VALUE"""),"MRN")</f>
        <v>MRN</v>
      </c>
      <c r="B2417" s="6" t="str">
        <f>IFERROR(__xludf.DUMMYFUNCTION("""COMPUTED_VALUE"""),"ENG")</f>
        <v>ENG</v>
      </c>
      <c r="C2417" s="6" t="str">
        <f>IFERROR(__xludf.DUMMYFUNCTION("""COMPUTED_VALUE"""),"P-51559-00")</f>
        <v>P-51559-00</v>
      </c>
      <c r="D2417" s="6" t="str">
        <f>IFERROR(__xludf.DUMMYFUNCTION("""COMPUTED_VALUE"""),"Lampu T5 14watt Putih; Phillips; ;")</f>
        <v>Lampu T5 14watt Putih; Phillips; ;</v>
      </c>
      <c r="E2417" s="6">
        <f>IFERROR(__xludf.DUMMYFUNCTION("""COMPUTED_VALUE"""),6.0)</f>
        <v>6</v>
      </c>
      <c r="F2417" s="6">
        <f>IFERROR(__xludf.DUMMYFUNCTION("""COMPUTED_VALUE"""),6.0)</f>
        <v>6</v>
      </c>
      <c r="G2417" s="6">
        <f>IFERROR(__xludf.DUMMYFUNCTION("""COMPUTED_VALUE"""),0.0)</f>
        <v>0</v>
      </c>
      <c r="H2417" s="6" t="str">
        <f>IFERROR(__xludf.DUMMYFUNCTION("""COMPUTED_VALUE"""),"Pcs")</f>
        <v>Pcs</v>
      </c>
      <c r="I2417" s="6" t="str">
        <f>IFERROR(__xludf.DUMMYFUNCTION("""COMPUTED_VALUE"""),"MFH")</f>
        <v>MFH</v>
      </c>
      <c r="J2417" s="6" t="str">
        <f>IFERROR(__xludf.DUMMYFUNCTION("""COMPUTED_VALUE"""),"Building")</f>
        <v>Building</v>
      </c>
      <c r="K2417" s="6" t="str">
        <f>IFERROR(__xludf.DUMMYFUNCTION("""COMPUTED_VALUE"""),"SPR/09/25/006")</f>
        <v>SPR/09/25/006</v>
      </c>
      <c r="L2417" s="13">
        <f>IFERROR(__xludf.DUMMYFUNCTION("""COMPUTED_VALUE"""),45930.0)</f>
        <v>45930</v>
      </c>
    </row>
    <row r="2418">
      <c r="A2418" s="6" t="str">
        <f>IFERROR(__xludf.DUMMYFUNCTION("""COMPUTED_VALUE"""),"PHL")</f>
        <v>PHL</v>
      </c>
      <c r="B2418" s="6" t="str">
        <f>IFERROR(__xludf.DUMMYFUNCTION("""COMPUTED_VALUE"""),"ENG")</f>
        <v>ENG</v>
      </c>
      <c r="C2418" s="6" t="str">
        <f>IFERROR(__xludf.DUMMYFUNCTION("""COMPUTED_VALUE"""),"P-17645-00")</f>
        <v>P-17645-00</v>
      </c>
      <c r="D2418" s="6" t="str">
        <f>IFERROR(__xludf.DUMMYFUNCTION("""COMPUTED_VALUE"""),"Sodium Hiphoclorite; ; ; ltr")</f>
        <v>Sodium Hiphoclorite; ; ; ltr</v>
      </c>
      <c r="E2418" s="6">
        <f>IFERROR(__xludf.DUMMYFUNCTION("""COMPUTED_VALUE"""),55.0)</f>
        <v>55</v>
      </c>
      <c r="F2418" s="6">
        <f>IFERROR(__xludf.DUMMYFUNCTION("""COMPUTED_VALUE"""),55.0)</f>
        <v>55</v>
      </c>
      <c r="G2418" s="6">
        <f>IFERROR(__xludf.DUMMYFUNCTION("""COMPUTED_VALUE"""),0.0)</f>
        <v>0</v>
      </c>
      <c r="H2418" s="6" t="str">
        <f>IFERROR(__xludf.DUMMYFUNCTION("""COMPUTED_VALUE"""),"Liter")</f>
        <v>Liter</v>
      </c>
      <c r="I2418" s="6" t="str">
        <f>IFERROR(__xludf.DUMMYFUNCTION("""COMPUTED_VALUE"""),"MFH")</f>
        <v>MFH</v>
      </c>
      <c r="J2418" s="6" t="str">
        <f>IFERROR(__xludf.DUMMYFUNCTION("""COMPUTED_VALUE"""),"Lab")</f>
        <v>Lab</v>
      </c>
      <c r="K2418" s="6" t="str">
        <f>IFERROR(__xludf.DUMMYFUNCTION("""COMPUTED_VALUE"""),"SPR/09/25/007")</f>
        <v>SPR/09/25/007</v>
      </c>
      <c r="L2418" s="13">
        <f>IFERROR(__xludf.DUMMYFUNCTION("""COMPUTED_VALUE"""),45930.0)</f>
        <v>45930</v>
      </c>
    </row>
    <row r="2419">
      <c r="A2419" s="6" t="str">
        <f>IFERROR(__xludf.DUMMYFUNCTION("""COMPUTED_VALUE"""),"RPA")</f>
        <v>RPA</v>
      </c>
      <c r="B2419" s="6" t="str">
        <f>IFERROR(__xludf.DUMMYFUNCTION("""COMPUTED_VALUE"""),"PRO")</f>
        <v>PRO</v>
      </c>
      <c r="C2419" s="6" t="str">
        <f>IFERROR(__xludf.DUMMYFUNCTION("""COMPUTED_VALUE"""),"O-15931-00")</f>
        <v>O-15931-00</v>
      </c>
      <c r="D2419" s="6" t="str">
        <f>IFERROR(__xludf.DUMMYFUNCTION("""COMPUTED_VALUE"""),"Double Tape 3M 1"" Merah - P/N : - pc")</f>
        <v>Double Tape 3M 1" Merah - P/N : - pc</v>
      </c>
      <c r="E2419" s="6">
        <f>IFERROR(__xludf.DUMMYFUNCTION("""COMPUTED_VALUE"""),9.0)</f>
        <v>9</v>
      </c>
      <c r="F2419" s="6">
        <f>IFERROR(__xludf.DUMMYFUNCTION("""COMPUTED_VALUE"""),9.0)</f>
        <v>9</v>
      </c>
      <c r="G2419" s="6">
        <f>IFERROR(__xludf.DUMMYFUNCTION("""COMPUTED_VALUE"""),0.0)</f>
        <v>0</v>
      </c>
      <c r="H2419" s="6" t="str">
        <f>IFERROR(__xludf.DUMMYFUNCTION("""COMPUTED_VALUE"""),"pcs")</f>
        <v>pcs</v>
      </c>
      <c r="I2419" s="6" t="str">
        <f>IFERROR(__xludf.DUMMYFUNCTION("""COMPUTED_VALUE"""),"MFH")</f>
        <v>MFH</v>
      </c>
      <c r="J2419" s="6" t="str">
        <f>IFERROR(__xludf.DUMMYFUNCTION("""COMPUTED_VALUE"""),"Packhall")</f>
        <v>Packhall</v>
      </c>
      <c r="K2419" s="6" t="str">
        <f>IFERROR(__xludf.DUMMYFUNCTION("""COMPUTED_VALUE"""),"SPR/09/25/010")</f>
        <v>SPR/09/25/010</v>
      </c>
      <c r="L2419" s="13">
        <f>IFERROR(__xludf.DUMMYFUNCTION("""COMPUTED_VALUE"""),45930.0)</f>
        <v>45930</v>
      </c>
    </row>
    <row r="2420">
      <c r="A2420" s="6" t="str">
        <f>IFERROR(__xludf.DUMMYFUNCTION("""COMPUTED_VALUE"""),"SFH")</f>
        <v>SFH</v>
      </c>
      <c r="B2420" s="6" t="str">
        <f>IFERROR(__xludf.DUMMYFUNCTION("""COMPUTED_VALUE"""),"ENG")</f>
        <v>ENG</v>
      </c>
      <c r="C2420" s="6" t="str">
        <f>IFERROR(__xludf.DUMMYFUNCTION("""COMPUTED_VALUE"""),"P-53102-00")</f>
        <v>P-53102-00</v>
      </c>
      <c r="D2420" s="6" t="str">
        <f>IFERROR(__xludf.DUMMYFUNCTION("""COMPUTED_VALUE"""),"Lampu PLC 13watt/E27 Putih; Phillips; ;")</f>
        <v>Lampu PLC 13watt/E27 Putih; Phillips; ;</v>
      </c>
      <c r="E2420" s="6">
        <f>IFERROR(__xludf.DUMMYFUNCTION("""COMPUTED_VALUE"""),5.0)</f>
        <v>5</v>
      </c>
      <c r="F2420" s="6">
        <f>IFERROR(__xludf.DUMMYFUNCTION("""COMPUTED_VALUE"""),5.0)</f>
        <v>5</v>
      </c>
      <c r="G2420" s="6">
        <f>IFERROR(__xludf.DUMMYFUNCTION("""COMPUTED_VALUE"""),0.0)</f>
        <v>0</v>
      </c>
      <c r="H2420" s="6" t="str">
        <f>IFERROR(__xludf.DUMMYFUNCTION("""COMPUTED_VALUE"""),"Pcs")</f>
        <v>Pcs</v>
      </c>
      <c r="I2420" s="6" t="str">
        <f>IFERROR(__xludf.DUMMYFUNCTION("""COMPUTED_VALUE"""),"MFH")</f>
        <v>MFH</v>
      </c>
      <c r="J2420" s="6" t="str">
        <f>IFERROR(__xludf.DUMMYFUNCTION("""COMPUTED_VALUE"""),"Building")</f>
        <v>Building</v>
      </c>
      <c r="K2420" s="6" t="str">
        <f>IFERROR(__xludf.DUMMYFUNCTION("""COMPUTED_VALUE"""),"SPR/09/25/011")</f>
        <v>SPR/09/25/011</v>
      </c>
      <c r="L2420" s="13">
        <f>IFERROR(__xludf.DUMMYFUNCTION("""COMPUTED_VALUE"""),45930.0)</f>
        <v>45930</v>
      </c>
    </row>
    <row r="2421">
      <c r="A2421" s="6" t="str">
        <f>IFERROR(__xludf.DUMMYFUNCTION("""COMPUTED_VALUE"""),"SFH")</f>
        <v>SFH</v>
      </c>
      <c r="B2421" s="6" t="str">
        <f>IFERROR(__xludf.DUMMYFUNCTION("""COMPUTED_VALUE"""),"ENG")</f>
        <v>ENG</v>
      </c>
      <c r="C2421" s="6" t="str">
        <f>IFERROR(__xludf.DUMMYFUNCTION("""COMPUTED_VALUE"""),"P-51559-00")</f>
        <v>P-51559-00</v>
      </c>
      <c r="D2421" s="6" t="str">
        <f>IFERROR(__xludf.DUMMYFUNCTION("""COMPUTED_VALUE"""),"Lampu T5 14watt Putih; Phillips; ;")</f>
        <v>Lampu T5 14watt Putih; Phillips; ;</v>
      </c>
      <c r="E2421" s="6">
        <f>IFERROR(__xludf.DUMMYFUNCTION("""COMPUTED_VALUE"""),9.0)</f>
        <v>9</v>
      </c>
      <c r="F2421" s="6">
        <f>IFERROR(__xludf.DUMMYFUNCTION("""COMPUTED_VALUE"""),9.0)</f>
        <v>9</v>
      </c>
      <c r="G2421" s="6">
        <f>IFERROR(__xludf.DUMMYFUNCTION("""COMPUTED_VALUE"""),0.0)</f>
        <v>0</v>
      </c>
      <c r="H2421" s="6" t="str">
        <f>IFERROR(__xludf.DUMMYFUNCTION("""COMPUTED_VALUE"""),"Pcs")</f>
        <v>Pcs</v>
      </c>
      <c r="I2421" s="6" t="str">
        <f>IFERROR(__xludf.DUMMYFUNCTION("""COMPUTED_VALUE"""),"MFH")</f>
        <v>MFH</v>
      </c>
      <c r="J2421" s="6" t="str">
        <f>IFERROR(__xludf.DUMMYFUNCTION("""COMPUTED_VALUE"""),"Building")</f>
        <v>Building</v>
      </c>
      <c r="K2421" s="6" t="str">
        <f>IFERROR(__xludf.DUMMYFUNCTION("""COMPUTED_VALUE"""),"SPR/09/25/011")</f>
        <v>SPR/09/25/011</v>
      </c>
      <c r="L2421" s="13">
        <f>IFERROR(__xludf.DUMMYFUNCTION("""COMPUTED_VALUE"""),45930.0)</f>
        <v>45930</v>
      </c>
    </row>
    <row r="2422">
      <c r="A2422" s="6" t="str">
        <f>IFERROR(__xludf.DUMMYFUNCTION("""COMPUTED_VALUE"""),"SFH")</f>
        <v>SFH</v>
      </c>
      <c r="B2422" s="6" t="str">
        <f>IFERROR(__xludf.DUMMYFUNCTION("""COMPUTED_VALUE"""),"ENG")</f>
        <v>ENG</v>
      </c>
      <c r="C2422" s="6" t="str">
        <f>IFERROR(__xludf.DUMMYFUNCTION("""COMPUTED_VALUE"""),"Q-10249-00")</f>
        <v>Q-10249-00</v>
      </c>
      <c r="D2422" s="6" t="str">
        <f>IFERROR(__xludf.DUMMYFUNCTION("""COMPUTED_VALUE"""),"Lem Power Glue")</f>
        <v>Lem Power Glue</v>
      </c>
      <c r="E2422" s="6">
        <f>IFERROR(__xludf.DUMMYFUNCTION("""COMPUTED_VALUE"""),38.0)</f>
        <v>38</v>
      </c>
      <c r="F2422" s="6">
        <f>IFERROR(__xludf.DUMMYFUNCTION("""COMPUTED_VALUE"""),38.0)</f>
        <v>38</v>
      </c>
      <c r="G2422" s="6">
        <f>IFERROR(__xludf.DUMMYFUNCTION("""COMPUTED_VALUE"""),0.0)</f>
        <v>0</v>
      </c>
      <c r="H2422" s="6" t="str">
        <f>IFERROR(__xludf.DUMMYFUNCTION("""COMPUTED_VALUE"""),"Pcs")</f>
        <v>Pcs</v>
      </c>
      <c r="I2422" s="6" t="str">
        <f>IFERROR(__xludf.DUMMYFUNCTION("""COMPUTED_VALUE"""),"MFH")</f>
        <v>MFH</v>
      </c>
      <c r="J2422" s="6" t="str">
        <f>IFERROR(__xludf.DUMMYFUNCTION("""COMPUTED_VALUE"""),"Building")</f>
        <v>Building</v>
      </c>
      <c r="K2422" s="6" t="str">
        <f>IFERROR(__xludf.DUMMYFUNCTION("""COMPUTED_VALUE"""),"SPR/09/25/011")</f>
        <v>SPR/09/25/011</v>
      </c>
      <c r="L2422" s="13">
        <f>IFERROR(__xludf.DUMMYFUNCTION("""COMPUTED_VALUE"""),45930.0)</f>
        <v>45930</v>
      </c>
    </row>
    <row r="2423">
      <c r="A2423" s="6" t="str">
        <f>IFERROR(__xludf.DUMMYFUNCTION("""COMPUTED_VALUE"""),"RIA")</f>
        <v>RIA</v>
      </c>
      <c r="B2423" s="6" t="str">
        <f>IFERROR(__xludf.DUMMYFUNCTION("""COMPUTED_VALUE"""),"ENG")</f>
        <v>ENG</v>
      </c>
      <c r="C2423" s="6" t="str">
        <f>IFERROR(__xludf.DUMMYFUNCTION("""COMPUTED_VALUE"""),"P-12266-00")</f>
        <v>P-12266-00</v>
      </c>
      <c r="D2423" s="6" t="str">
        <f>IFERROR(__xludf.DUMMYFUNCTION("""COMPUTED_VALUE"""),"FESTO - Push In Fitting QS-1/2-10 part number 190646")</f>
        <v>FESTO - Push In Fitting QS-1/2-10 part number 190646</v>
      </c>
      <c r="E2423" s="6">
        <f>IFERROR(__xludf.DUMMYFUNCTION("""COMPUTED_VALUE"""),1.0)</f>
        <v>1</v>
      </c>
      <c r="F2423" s="6">
        <f>IFERROR(__xludf.DUMMYFUNCTION("""COMPUTED_VALUE"""),1.0)</f>
        <v>1</v>
      </c>
      <c r="G2423" s="6">
        <f>IFERROR(__xludf.DUMMYFUNCTION("""COMPUTED_VALUE"""),0.0)</f>
        <v>0</v>
      </c>
      <c r="H2423" s="6" t="str">
        <f>IFERROR(__xludf.DUMMYFUNCTION("""COMPUTED_VALUE"""),"Pcs")</f>
        <v>Pcs</v>
      </c>
      <c r="I2423" s="6" t="str">
        <f>IFERROR(__xludf.DUMMYFUNCTION("""COMPUTED_VALUE"""),"MFH")</f>
        <v>MFH</v>
      </c>
      <c r="J2423" s="6" t="str">
        <f>IFERROR(__xludf.DUMMYFUNCTION("""COMPUTED_VALUE"""),"Building")</f>
        <v>Building</v>
      </c>
      <c r="K2423" s="6" t="str">
        <f>IFERROR(__xludf.DUMMYFUNCTION("""COMPUTED_VALUE"""),"SPR/09/25/012")</f>
        <v>SPR/09/25/012</v>
      </c>
      <c r="L2423" s="13">
        <f>IFERROR(__xludf.DUMMYFUNCTION("""COMPUTED_VALUE"""),45930.0)</f>
        <v>45930</v>
      </c>
    </row>
    <row r="2424">
      <c r="A2424" s="6" t="str">
        <f>IFERROR(__xludf.DUMMYFUNCTION("""COMPUTED_VALUE"""),"RIA")</f>
        <v>RIA</v>
      </c>
      <c r="B2424" s="6" t="str">
        <f>IFERROR(__xludf.DUMMYFUNCTION("""COMPUTED_VALUE"""),"ENG")</f>
        <v>ENG</v>
      </c>
      <c r="C2424" s="6" t="str">
        <f>IFERROR(__xludf.DUMMYFUNCTION("""COMPUTED_VALUE"""),"P-15351-00")</f>
        <v>P-15351-00</v>
      </c>
      <c r="D2424" s="6" t="str">
        <f>IFERROR(__xludf.DUMMYFUNCTION("""COMPUTED_VALUE"""),"FESTO - Plastic tubing PUN-10x1,5-BL (Blue) p/n 159668; ; ;")</f>
        <v>FESTO - Plastic tubing PUN-10x1,5-BL (Blue) p/n 159668; ; ;</v>
      </c>
      <c r="E2424" s="6">
        <f>IFERROR(__xludf.DUMMYFUNCTION("""COMPUTED_VALUE"""),10.0)</f>
        <v>10</v>
      </c>
      <c r="F2424" s="6">
        <f>IFERROR(__xludf.DUMMYFUNCTION("""COMPUTED_VALUE"""),10.0)</f>
        <v>10</v>
      </c>
      <c r="G2424" s="6">
        <f>IFERROR(__xludf.DUMMYFUNCTION("""COMPUTED_VALUE"""),0.0)</f>
        <v>0</v>
      </c>
      <c r="H2424" s="6" t="str">
        <f>IFERROR(__xludf.DUMMYFUNCTION("""COMPUTED_VALUE"""),"Pcs")</f>
        <v>Pcs</v>
      </c>
      <c r="I2424" s="6" t="str">
        <f>IFERROR(__xludf.DUMMYFUNCTION("""COMPUTED_VALUE"""),"MFH")</f>
        <v>MFH</v>
      </c>
      <c r="J2424" s="6" t="str">
        <f>IFERROR(__xludf.DUMMYFUNCTION("""COMPUTED_VALUE"""),"Building")</f>
        <v>Building</v>
      </c>
      <c r="K2424" s="6" t="str">
        <f>IFERROR(__xludf.DUMMYFUNCTION("""COMPUTED_VALUE"""),"SPR/09/25/012")</f>
        <v>SPR/09/25/012</v>
      </c>
      <c r="L2424" s="13">
        <f>IFERROR(__xludf.DUMMYFUNCTION("""COMPUTED_VALUE"""),45930.0)</f>
        <v>45930</v>
      </c>
    </row>
    <row r="2425">
      <c r="A2425" s="6" t="str">
        <f>IFERROR(__xludf.DUMMYFUNCTION("""COMPUTED_VALUE"""),"RIA")</f>
        <v>RIA</v>
      </c>
      <c r="B2425" s="6" t="str">
        <f>IFERROR(__xludf.DUMMYFUNCTION("""COMPUTED_VALUE"""),"ENG")</f>
        <v>ENG</v>
      </c>
      <c r="C2425" s="6" t="str">
        <f>IFERROR(__xludf.DUMMYFUNCTION("""COMPUTED_VALUE"""),"P-11175-00")</f>
        <v>P-11175-00</v>
      </c>
      <c r="D2425" s="6" t="str">
        <f>IFERROR(__xludf.DUMMYFUNCTION("""COMPUTED_VALUE"""),"Pneumatic  Fitting - QS 10-8 / PN : 153039 / Festo")</f>
        <v>Pneumatic  Fitting - QS 10-8 / PN : 153039 / Festo</v>
      </c>
      <c r="E2425" s="6">
        <f>IFERROR(__xludf.DUMMYFUNCTION("""COMPUTED_VALUE"""),1.0)</f>
        <v>1</v>
      </c>
      <c r="F2425" s="6">
        <f>IFERROR(__xludf.DUMMYFUNCTION("""COMPUTED_VALUE"""),1.0)</f>
        <v>1</v>
      </c>
      <c r="G2425" s="6">
        <f>IFERROR(__xludf.DUMMYFUNCTION("""COMPUTED_VALUE"""),0.0)</f>
        <v>0</v>
      </c>
      <c r="H2425" s="6" t="str">
        <f>IFERROR(__xludf.DUMMYFUNCTION("""COMPUTED_VALUE"""),"Pcs")</f>
        <v>Pcs</v>
      </c>
      <c r="I2425" s="6" t="str">
        <f>IFERROR(__xludf.DUMMYFUNCTION("""COMPUTED_VALUE"""),"MFH")</f>
        <v>MFH</v>
      </c>
      <c r="J2425" s="6" t="str">
        <f>IFERROR(__xludf.DUMMYFUNCTION("""COMPUTED_VALUE"""),"Building")</f>
        <v>Building</v>
      </c>
      <c r="K2425" s="6" t="str">
        <f>IFERROR(__xludf.DUMMYFUNCTION("""COMPUTED_VALUE"""),"SPR/09/25/012")</f>
        <v>SPR/09/25/012</v>
      </c>
      <c r="L2425" s="13">
        <f>IFERROR(__xludf.DUMMYFUNCTION("""COMPUTED_VALUE"""),45930.0)</f>
        <v>45930</v>
      </c>
    </row>
    <row r="2426">
      <c r="A2426" s="6" t="str">
        <f>IFERROR(__xludf.DUMMYFUNCTION("""COMPUTED_VALUE"""),"BDU")</f>
        <v>BDU</v>
      </c>
      <c r="B2426" s="6" t="str">
        <f>IFERROR(__xludf.DUMMYFUNCTION("""COMPUTED_VALUE"""),"ENG")</f>
        <v>ENG</v>
      </c>
      <c r="C2426" s="6" t="str">
        <f>IFERROR(__xludf.DUMMYFUNCTION("""COMPUTED_VALUE"""),"P-15862-00")</f>
        <v>P-15862-00</v>
      </c>
      <c r="D2426" s="6" t="str">
        <f>IFERROR(__xludf.DUMMYFUNCTION("""COMPUTED_VALUE"""),"PAPER RECORD YOKOGAWA; FOLDING CHART B9565AW")</f>
        <v>PAPER RECORD YOKOGAWA; FOLDING CHART B9565AW</v>
      </c>
      <c r="E2426" s="6">
        <f>IFERROR(__xludf.DUMMYFUNCTION("""COMPUTED_VALUE"""),2.0)</f>
        <v>2</v>
      </c>
      <c r="F2426" s="6">
        <f>IFERROR(__xludf.DUMMYFUNCTION("""COMPUTED_VALUE"""),2.0)</f>
        <v>2</v>
      </c>
      <c r="G2426" s="6">
        <f>IFERROR(__xludf.DUMMYFUNCTION("""COMPUTED_VALUE"""),0.0)</f>
        <v>0</v>
      </c>
      <c r="H2426" s="6" t="str">
        <f>IFERROR(__xludf.DUMMYFUNCTION("""COMPUTED_VALUE"""),"Pcs")</f>
        <v>Pcs</v>
      </c>
      <c r="I2426" s="6" t="str">
        <f>IFERROR(__xludf.DUMMYFUNCTION("""COMPUTED_VALUE"""),"MFH")</f>
        <v>MFH</v>
      </c>
      <c r="J2426" s="6" t="str">
        <f>IFERROR(__xludf.DUMMYFUNCTION("""COMPUTED_VALUE"""),"WFI SKID")</f>
        <v>WFI SKID</v>
      </c>
      <c r="K2426" s="6" t="str">
        <f>IFERROR(__xludf.DUMMYFUNCTION("""COMPUTED_VALUE"""),"SPR/09/25/013")</f>
        <v>SPR/09/25/013</v>
      </c>
      <c r="L2426" s="13">
        <f>IFERROR(__xludf.DUMMYFUNCTION("""COMPUTED_VALUE"""),45930.0)</f>
        <v>45930</v>
      </c>
    </row>
    <row r="2427">
      <c r="A2427" s="6" t="str">
        <f>IFERROR(__xludf.DUMMYFUNCTION("""COMPUTED_VALUE"""),"MOB")</f>
        <v>MOB</v>
      </c>
      <c r="B2427" s="6" t="str">
        <f>IFERROR(__xludf.DUMMYFUNCTION("""COMPUTED_VALUE"""),"ENG")</f>
        <v>ENG</v>
      </c>
      <c r="C2427" s="6" t="str">
        <f>IFERROR(__xludf.DUMMYFUNCTION("""COMPUTED_VALUE"""),"P-15862-00")</f>
        <v>P-15862-00</v>
      </c>
      <c r="D2427" s="6" t="str">
        <f>IFERROR(__xludf.DUMMYFUNCTION("""COMPUTED_VALUE"""),"PAPER RECORD YOKOGAWA; FOLDING CHART B9565AW")</f>
        <v>PAPER RECORD YOKOGAWA; FOLDING CHART B9565AW</v>
      </c>
      <c r="E2427" s="6">
        <f>IFERROR(__xludf.DUMMYFUNCTION("""COMPUTED_VALUE"""),2.0)</f>
        <v>2</v>
      </c>
      <c r="F2427" s="6">
        <f>IFERROR(__xludf.DUMMYFUNCTION("""COMPUTED_VALUE"""),2.0)</f>
        <v>2</v>
      </c>
      <c r="G2427" s="6">
        <f>IFERROR(__xludf.DUMMYFUNCTION("""COMPUTED_VALUE"""),0.0)</f>
        <v>0</v>
      </c>
      <c r="H2427" s="6" t="str">
        <f>IFERROR(__xludf.DUMMYFUNCTION("""COMPUTED_VALUE"""),"Pcs")</f>
        <v>Pcs</v>
      </c>
      <c r="I2427" s="6" t="str">
        <f>IFERROR(__xludf.DUMMYFUNCTION("""COMPUTED_VALUE"""),"MFH")</f>
        <v>MFH</v>
      </c>
      <c r="J2427" s="6" t="str">
        <f>IFERROR(__xludf.DUMMYFUNCTION("""COMPUTED_VALUE"""),"WFI SKID")</f>
        <v>WFI SKID</v>
      </c>
      <c r="K2427" s="6" t="str">
        <f>IFERROR(__xludf.DUMMYFUNCTION("""COMPUTED_VALUE"""),"SPR/09/25/014")</f>
        <v>SPR/09/25/014</v>
      </c>
      <c r="L2427" s="13">
        <f>IFERROR(__xludf.DUMMYFUNCTION("""COMPUTED_VALUE"""),45930.0)</f>
        <v>45930</v>
      </c>
    </row>
    <row r="2428">
      <c r="A2428" s="6" t="str">
        <f>IFERROR(__xludf.DUMMYFUNCTION("""COMPUTED_VALUE"""),"MOB")</f>
        <v>MOB</v>
      </c>
      <c r="B2428" s="6" t="str">
        <f>IFERROR(__xludf.DUMMYFUNCTION("""COMPUTED_VALUE"""),"ENG")</f>
        <v>ENG</v>
      </c>
      <c r="C2428" s="6" t="str">
        <f>IFERROR(__xludf.DUMMYFUNCTION("""COMPUTED_VALUE"""),"T-12200-00")</f>
        <v>T-12200-00</v>
      </c>
      <c r="D2428" s="6" t="str">
        <f>IFERROR(__xludf.DUMMYFUNCTION("""COMPUTED_VALUE"""),"WD BLUE SSD 500GB 3D NAND SATA SSD; ; ;")</f>
        <v>WD BLUE SSD 500GB 3D NAND SATA SSD; ; ;</v>
      </c>
      <c r="E2428" s="6">
        <f>IFERROR(__xludf.DUMMYFUNCTION("""COMPUTED_VALUE"""),1.0)</f>
        <v>1</v>
      </c>
      <c r="F2428" s="6">
        <f>IFERROR(__xludf.DUMMYFUNCTION("""COMPUTED_VALUE"""),1.0)</f>
        <v>1</v>
      </c>
      <c r="G2428" s="6">
        <f>IFERROR(__xludf.DUMMYFUNCTION("""COMPUTED_VALUE"""),0.0)</f>
        <v>0</v>
      </c>
      <c r="H2428" s="6" t="str">
        <f>IFERROR(__xludf.DUMMYFUNCTION("""COMPUTED_VALUE"""),"Pcs")</f>
        <v>Pcs</v>
      </c>
      <c r="I2428" s="6" t="str">
        <f>IFERROR(__xludf.DUMMYFUNCTION("""COMPUTED_VALUE"""),"MFH")</f>
        <v>MFH</v>
      </c>
      <c r="J2428" s="6" t="str">
        <f>IFERROR(__xludf.DUMMYFUNCTION("""COMPUTED_VALUE"""),"ASRS")</f>
        <v>ASRS</v>
      </c>
      <c r="K2428" s="6" t="str">
        <f>IFERROR(__xludf.DUMMYFUNCTION("""COMPUTED_VALUE"""),"SPR/09/25/014")</f>
        <v>SPR/09/25/014</v>
      </c>
      <c r="L2428" s="13">
        <f>IFERROR(__xludf.DUMMYFUNCTION("""COMPUTED_VALUE"""),45930.0)</f>
        <v>45930</v>
      </c>
    </row>
    <row r="2429">
      <c r="A2429" s="6" t="str">
        <f>IFERROR(__xludf.DUMMYFUNCTION("""COMPUTED_VALUE"""),"RIA")</f>
        <v>RIA</v>
      </c>
      <c r="B2429" s="6" t="str">
        <f>IFERROR(__xludf.DUMMYFUNCTION("""COMPUTED_VALUE"""),"ENG")</f>
        <v>ENG</v>
      </c>
      <c r="C2429" s="6" t="str">
        <f>IFERROR(__xludf.DUMMYFUNCTION("""COMPUTED_VALUE"""),"O-51698-00")</f>
        <v>O-51698-00</v>
      </c>
      <c r="D2429" s="6" t="str">
        <f>IFERROR(__xludf.DUMMYFUNCTION("""COMPUTED_VALUE"""),"OMRON - Relay MY4Z 24VDC; ; ;")</f>
        <v>OMRON - Relay MY4Z 24VDC; ; ;</v>
      </c>
      <c r="E2429" s="6">
        <f>IFERROR(__xludf.DUMMYFUNCTION("""COMPUTED_VALUE"""),4.0)</f>
        <v>4</v>
      </c>
      <c r="F2429" s="6">
        <f>IFERROR(__xludf.DUMMYFUNCTION("""COMPUTED_VALUE"""),4.0)</f>
        <v>4</v>
      </c>
      <c r="G2429" s="6">
        <f>IFERROR(__xludf.DUMMYFUNCTION("""COMPUTED_VALUE"""),0.0)</f>
        <v>0</v>
      </c>
      <c r="H2429" s="6" t="str">
        <f>IFERROR(__xludf.DUMMYFUNCTION("""COMPUTED_VALUE"""),"Pcs")</f>
        <v>Pcs</v>
      </c>
      <c r="I2429" s="6" t="str">
        <f>IFERROR(__xludf.DUMMYFUNCTION("""COMPUTED_VALUE"""),"MFH")</f>
        <v>MFH</v>
      </c>
      <c r="J2429" s="6" t="str">
        <f>IFERROR(__xludf.DUMMYFUNCTION("""COMPUTED_VALUE"""),"BOD")</f>
        <v>BOD</v>
      </c>
      <c r="K2429" s="6" t="str">
        <f>IFERROR(__xludf.DUMMYFUNCTION("""COMPUTED_VALUE"""),"SPR/09/25/015")</f>
        <v>SPR/09/25/015</v>
      </c>
      <c r="L2429" s="13">
        <f>IFERROR(__xludf.DUMMYFUNCTION("""COMPUTED_VALUE"""),45930.0)</f>
        <v>45930</v>
      </c>
    </row>
    <row r="2430">
      <c r="A2430" s="6" t="str">
        <f>IFERROR(__xludf.DUMMYFUNCTION("""COMPUTED_VALUE"""),"RIA")</f>
        <v>RIA</v>
      </c>
      <c r="B2430" s="6" t="str">
        <f>IFERROR(__xludf.DUMMYFUNCTION("""COMPUTED_VALUE"""),"ENG")</f>
        <v>ENG</v>
      </c>
      <c r="C2430" s="6" t="str">
        <f>IFERROR(__xludf.DUMMYFUNCTION("""COMPUTED_VALUE"""),"P-54334-00")</f>
        <v>P-54334-00</v>
      </c>
      <c r="D2430" s="6" t="str">
        <f>IFERROR(__xludf.DUMMYFUNCTION("""COMPUTED_VALUE"""),"General - Socket Relay PYFZ-14-E; Omron; -; 1 pc")</f>
        <v>General - Socket Relay PYFZ-14-E; Omron; -; 1 pc</v>
      </c>
      <c r="E2430" s="6">
        <f>IFERROR(__xludf.DUMMYFUNCTION("""COMPUTED_VALUE"""),3.0)</f>
        <v>3</v>
      </c>
      <c r="F2430" s="6">
        <f>IFERROR(__xludf.DUMMYFUNCTION("""COMPUTED_VALUE"""),3.0)</f>
        <v>3</v>
      </c>
      <c r="G2430" s="6">
        <f>IFERROR(__xludf.DUMMYFUNCTION("""COMPUTED_VALUE"""),0.0)</f>
        <v>0</v>
      </c>
      <c r="H2430" s="6" t="str">
        <f>IFERROR(__xludf.DUMMYFUNCTION("""COMPUTED_VALUE"""),"Pcs")</f>
        <v>Pcs</v>
      </c>
      <c r="I2430" s="6" t="str">
        <f>IFERROR(__xludf.DUMMYFUNCTION("""COMPUTED_VALUE"""),"MFH")</f>
        <v>MFH</v>
      </c>
      <c r="J2430" s="6" t="str">
        <f>IFERROR(__xludf.DUMMYFUNCTION("""COMPUTED_VALUE"""),"BOD")</f>
        <v>BOD</v>
      </c>
      <c r="K2430" s="6" t="str">
        <f>IFERROR(__xludf.DUMMYFUNCTION("""COMPUTED_VALUE"""),"SPR/09/25/015")</f>
        <v>SPR/09/25/015</v>
      </c>
      <c r="L2430" s="13">
        <f>IFERROR(__xludf.DUMMYFUNCTION("""COMPUTED_VALUE"""),45930.0)</f>
        <v>45930</v>
      </c>
    </row>
    <row r="2431">
      <c r="A2431" s="6" t="str">
        <f>IFERROR(__xludf.DUMMYFUNCTION("""COMPUTED_VALUE"""),"RIA")</f>
        <v>RIA</v>
      </c>
      <c r="B2431" s="6" t="str">
        <f>IFERROR(__xludf.DUMMYFUNCTION("""COMPUTED_VALUE"""),"ENG")</f>
        <v>ENG</v>
      </c>
      <c r="C2431" s="6" t="str">
        <f>IFERROR(__xludf.DUMMYFUNCTION("""COMPUTED_VALUE"""),"P-19160-00")</f>
        <v>P-19160-00</v>
      </c>
      <c r="D2431" s="6" t="str">
        <f>IFERROR(__xludf.DUMMYFUNCTION("""COMPUTED_VALUE"""),"General - Cable Duct PVC 65 x 65 x 1700mm; Lokal; -; 1 pcs")</f>
        <v>General - Cable Duct PVC 65 x 65 x 1700mm; Lokal; -; 1 pcs</v>
      </c>
      <c r="E2431" s="6">
        <f>IFERROR(__xludf.DUMMYFUNCTION("""COMPUTED_VALUE"""),1.0)</f>
        <v>1</v>
      </c>
      <c r="F2431" s="6">
        <f>IFERROR(__xludf.DUMMYFUNCTION("""COMPUTED_VALUE"""),1.0)</f>
        <v>1</v>
      </c>
      <c r="G2431" s="6">
        <f>IFERROR(__xludf.DUMMYFUNCTION("""COMPUTED_VALUE"""),0.0)</f>
        <v>0</v>
      </c>
      <c r="H2431" s="6" t="str">
        <f>IFERROR(__xludf.DUMMYFUNCTION("""COMPUTED_VALUE"""),"Pcs")</f>
        <v>Pcs</v>
      </c>
      <c r="I2431" s="6" t="str">
        <f>IFERROR(__xludf.DUMMYFUNCTION("""COMPUTED_VALUE"""),"MFH")</f>
        <v>MFH</v>
      </c>
      <c r="J2431" s="6" t="str">
        <f>IFERROR(__xludf.DUMMYFUNCTION("""COMPUTED_VALUE"""),"BOD")</f>
        <v>BOD</v>
      </c>
      <c r="K2431" s="6" t="str">
        <f>IFERROR(__xludf.DUMMYFUNCTION("""COMPUTED_VALUE"""),"SPR/09/25/015")</f>
        <v>SPR/09/25/015</v>
      </c>
      <c r="L2431" s="13">
        <f>IFERROR(__xludf.DUMMYFUNCTION("""COMPUTED_VALUE"""),45930.0)</f>
        <v>45930</v>
      </c>
    </row>
    <row r="2432">
      <c r="A2432" s="6" t="str">
        <f>IFERROR(__xludf.DUMMYFUNCTION("""COMPUTED_VALUE"""),"SFH")</f>
        <v>SFH</v>
      </c>
      <c r="B2432" s="6" t="str">
        <f>IFERROR(__xludf.DUMMYFUNCTION("""COMPUTED_VALUE"""),"ENG")</f>
        <v>ENG</v>
      </c>
      <c r="C2432" s="6" t="str">
        <f>IFERROR(__xludf.DUMMYFUNCTION("""COMPUTED_VALUE"""),"Q-60401-00")</f>
        <v>Q-60401-00</v>
      </c>
      <c r="D2432" s="6" t="str">
        <f>IFERROR(__xludf.DUMMYFUNCTION("""COMPUTED_VALUE"""),"Handle Pintu Bulat, Elbow Press Lock; Meroni; N13NE TB127;")</f>
        <v>Handle Pintu Bulat, Elbow Press Lock; Meroni; N13NE TB127;</v>
      </c>
      <c r="E2432" s="6">
        <f>IFERROR(__xludf.DUMMYFUNCTION("""COMPUTED_VALUE"""),1.0)</f>
        <v>1</v>
      </c>
      <c r="F2432" s="6">
        <f>IFERROR(__xludf.DUMMYFUNCTION("""COMPUTED_VALUE"""),1.0)</f>
        <v>1</v>
      </c>
      <c r="G2432" s="6">
        <f>IFERROR(__xludf.DUMMYFUNCTION("""COMPUTED_VALUE"""),0.0)</f>
        <v>0</v>
      </c>
      <c r="H2432" s="6" t="str">
        <f>IFERROR(__xludf.DUMMYFUNCTION("""COMPUTED_VALUE"""),"Pcs")</f>
        <v>Pcs</v>
      </c>
      <c r="I2432" s="6" t="str">
        <f>IFERROR(__xludf.DUMMYFUNCTION("""COMPUTED_VALUE"""),"MFH")</f>
        <v>MFH</v>
      </c>
      <c r="J2432" s="6" t="str">
        <f>IFERROR(__xludf.DUMMYFUNCTION("""COMPUTED_VALUE"""),"Building")</f>
        <v>Building</v>
      </c>
      <c r="K2432" s="6" t="str">
        <f>IFERROR(__xludf.DUMMYFUNCTION("""COMPUTED_VALUE"""),"SPR/09/25/016")</f>
        <v>SPR/09/25/016</v>
      </c>
      <c r="L2432" s="13">
        <f>IFERROR(__xludf.DUMMYFUNCTION("""COMPUTED_VALUE"""),45930.0)</f>
        <v>45930</v>
      </c>
    </row>
    <row r="2433">
      <c r="A2433" s="6" t="str">
        <f>IFERROR(__xludf.DUMMYFUNCTION("""COMPUTED_VALUE"""),"SFH")</f>
        <v>SFH</v>
      </c>
      <c r="B2433" s="6" t="str">
        <f>IFERROR(__xludf.DUMMYFUNCTION("""COMPUTED_VALUE"""),"ENG")</f>
        <v>ENG</v>
      </c>
      <c r="C2433" s="6" t="str">
        <f>IFERROR(__xludf.DUMMYFUNCTION("""COMPUTED_VALUE"""),"Q-60502-00")</f>
        <v>Q-60502-00</v>
      </c>
      <c r="D2433" s="6" t="str">
        <f>IFERROR(__xludf.DUMMYFUNCTION("""COMPUTED_VALUE"""),"Silicone Sealant, Silglaze, Type N10 White, pack size per pcs")</f>
        <v>Silicone Sealant, Silglaze, Type N10 White, pack size per pcs</v>
      </c>
      <c r="E2433" s="6">
        <f>IFERROR(__xludf.DUMMYFUNCTION("""COMPUTED_VALUE"""),7.0)</f>
        <v>7</v>
      </c>
      <c r="F2433" s="6">
        <f>IFERROR(__xludf.DUMMYFUNCTION("""COMPUTED_VALUE"""),7.0)</f>
        <v>7</v>
      </c>
      <c r="G2433" s="6">
        <f>IFERROR(__xludf.DUMMYFUNCTION("""COMPUTED_VALUE"""),0.0)</f>
        <v>0</v>
      </c>
      <c r="H2433" s="6" t="str">
        <f>IFERROR(__xludf.DUMMYFUNCTION("""COMPUTED_VALUE"""),"Pcs")</f>
        <v>Pcs</v>
      </c>
      <c r="I2433" s="6" t="str">
        <f>IFERROR(__xludf.DUMMYFUNCTION("""COMPUTED_VALUE"""),"MFH")</f>
        <v>MFH</v>
      </c>
      <c r="J2433" s="6" t="str">
        <f>IFERROR(__xludf.DUMMYFUNCTION("""COMPUTED_VALUE"""),"Building")</f>
        <v>Building</v>
      </c>
      <c r="K2433" s="6" t="str">
        <f>IFERROR(__xludf.DUMMYFUNCTION("""COMPUTED_VALUE"""),"SPR/09/25/016")</f>
        <v>SPR/09/25/016</v>
      </c>
      <c r="L2433" s="13">
        <f>IFERROR(__xludf.DUMMYFUNCTION("""COMPUTED_VALUE"""),45930.0)</f>
        <v>45930</v>
      </c>
    </row>
    <row r="2434">
      <c r="A2434" s="6" t="str">
        <f>IFERROR(__xludf.DUMMYFUNCTION("""COMPUTED_VALUE"""),"SFH")</f>
        <v>SFH</v>
      </c>
      <c r="B2434" s="6" t="str">
        <f>IFERROR(__xludf.DUMMYFUNCTION("""COMPUTED_VALUE"""),"ENG")</f>
        <v>ENG</v>
      </c>
      <c r="C2434" s="6" t="str">
        <f>IFERROR(__xludf.DUMMYFUNCTION("""COMPUTED_VALUE"""),"Q-10128-00")</f>
        <v>Q-10128-00</v>
      </c>
      <c r="D2434" s="6" t="str">
        <f>IFERROR(__xludf.DUMMYFUNCTION("""COMPUTED_VALUE"""),"Thinner Super End/Impala")</f>
        <v>Thinner Super End/Impala</v>
      </c>
      <c r="E2434" s="6">
        <f>IFERROR(__xludf.DUMMYFUNCTION("""COMPUTED_VALUE"""),26.0)</f>
        <v>26</v>
      </c>
      <c r="F2434" s="6">
        <f>IFERROR(__xludf.DUMMYFUNCTION("""COMPUTED_VALUE"""),26.0)</f>
        <v>26</v>
      </c>
      <c r="G2434" s="6">
        <f>IFERROR(__xludf.DUMMYFUNCTION("""COMPUTED_VALUE"""),0.0)</f>
        <v>0</v>
      </c>
      <c r="H2434" s="6" t="str">
        <f>IFERROR(__xludf.DUMMYFUNCTION("""COMPUTED_VALUE"""),"Pcs")</f>
        <v>Pcs</v>
      </c>
      <c r="I2434" s="6" t="str">
        <f>IFERROR(__xludf.DUMMYFUNCTION("""COMPUTED_VALUE"""),"MFH")</f>
        <v>MFH</v>
      </c>
      <c r="J2434" s="6" t="str">
        <f>IFERROR(__xludf.DUMMYFUNCTION("""COMPUTED_VALUE"""),"Building")</f>
        <v>Building</v>
      </c>
      <c r="K2434" s="6" t="str">
        <f>IFERROR(__xludf.DUMMYFUNCTION("""COMPUTED_VALUE"""),"SPR/09/25/016")</f>
        <v>SPR/09/25/016</v>
      </c>
      <c r="L2434" s="13">
        <f>IFERROR(__xludf.DUMMYFUNCTION("""COMPUTED_VALUE"""),45930.0)</f>
        <v>45930</v>
      </c>
    </row>
    <row r="2435">
      <c r="A2435" s="6" t="str">
        <f>IFERROR(__xludf.DUMMYFUNCTION("""COMPUTED_VALUE"""),"AAA")</f>
        <v>AAA</v>
      </c>
      <c r="B2435" s="6" t="str">
        <f>IFERROR(__xludf.DUMMYFUNCTION("""COMPUTED_VALUE"""),"ENG")</f>
        <v>ENG</v>
      </c>
      <c r="C2435" s="6" t="str">
        <f>IFERROR(__xludf.DUMMYFUNCTION("""COMPUTED_VALUE"""),"O-51675-00")</f>
        <v>O-51675-00</v>
      </c>
      <c r="D2435" s="6" t="str">
        <f>IFERROR(__xludf.DUMMYFUNCTION("""COMPUTED_VALUE"""),"General - Pilz PNOZ X2.1 24 VAC/DC 2 n/o; Pilz; ID774306; 1 pc")</f>
        <v>General - Pilz PNOZ X2.1 24 VAC/DC 2 n/o; Pilz; ID774306; 1 pc</v>
      </c>
      <c r="E2435" s="6">
        <f>IFERROR(__xludf.DUMMYFUNCTION("""COMPUTED_VALUE"""),1.0)</f>
        <v>1</v>
      </c>
      <c r="F2435" s="6">
        <f>IFERROR(__xludf.DUMMYFUNCTION("""COMPUTED_VALUE"""),1.0)</f>
        <v>1</v>
      </c>
      <c r="G2435" s="6">
        <f>IFERROR(__xludf.DUMMYFUNCTION("""COMPUTED_VALUE"""),0.0)</f>
        <v>0</v>
      </c>
      <c r="H2435" s="6" t="str">
        <f>IFERROR(__xludf.DUMMYFUNCTION("""COMPUTED_VALUE"""),"Pcs")</f>
        <v>Pcs</v>
      </c>
      <c r="I2435" s="6" t="str">
        <f>IFERROR(__xludf.DUMMYFUNCTION("""COMPUTED_VALUE"""),"MFH")</f>
        <v>MFH</v>
      </c>
      <c r="J2435" s="6" t="str">
        <f>IFERROR(__xludf.DUMMYFUNCTION("""COMPUTED_VALUE"""),"FD")</f>
        <v>FD</v>
      </c>
      <c r="K2435" s="6" t="str">
        <f>IFERROR(__xludf.DUMMYFUNCTION("""COMPUTED_VALUE"""),"SPR/09/25/017")</f>
        <v>SPR/09/25/017</v>
      </c>
      <c r="L2435" s="13">
        <f>IFERROR(__xludf.DUMMYFUNCTION("""COMPUTED_VALUE"""),45930.0)</f>
        <v>45930</v>
      </c>
    </row>
    <row r="2436">
      <c r="A2436" s="6" t="str">
        <f>IFERROR(__xludf.DUMMYFUNCTION("""COMPUTED_VALUE"""),"RIA")</f>
        <v>RIA</v>
      </c>
      <c r="B2436" s="6" t="str">
        <f>IFERROR(__xludf.DUMMYFUNCTION("""COMPUTED_VALUE"""),"ENG")</f>
        <v>ENG</v>
      </c>
      <c r="C2436" s="6" t="str">
        <f>IFERROR(__xludf.DUMMYFUNCTION("""COMPUTED_VALUE"""),"P-53133-00")</f>
        <v>P-53133-00</v>
      </c>
      <c r="D2436" s="6" t="str">
        <f>IFERROR(__xludf.DUMMYFUNCTION("""COMPUTED_VALUE"""),"Kabel Belden AWG 22; ; ;")</f>
        <v>Kabel Belden AWG 22; ; ;</v>
      </c>
      <c r="E2436" s="6">
        <f>IFERROR(__xludf.DUMMYFUNCTION("""COMPUTED_VALUE"""),2.0)</f>
        <v>2</v>
      </c>
      <c r="F2436" s="6">
        <f>IFERROR(__xludf.DUMMYFUNCTION("""COMPUTED_VALUE"""),2.0)</f>
        <v>2</v>
      </c>
      <c r="G2436" s="6">
        <f>IFERROR(__xludf.DUMMYFUNCTION("""COMPUTED_VALUE"""),0.0)</f>
        <v>0</v>
      </c>
      <c r="H2436" s="6" t="str">
        <f>IFERROR(__xludf.DUMMYFUNCTION("""COMPUTED_VALUE"""),"Pcs")</f>
        <v>Pcs</v>
      </c>
      <c r="I2436" s="6" t="str">
        <f>IFERROR(__xludf.DUMMYFUNCTION("""COMPUTED_VALUE"""),"MFH")</f>
        <v>MFH</v>
      </c>
      <c r="J2436" s="6" t="str">
        <f>IFERROR(__xludf.DUMMYFUNCTION("""COMPUTED_VALUE"""),"BOD")</f>
        <v>BOD</v>
      </c>
      <c r="K2436" s="6" t="str">
        <f>IFERROR(__xludf.DUMMYFUNCTION("""COMPUTED_VALUE"""),"SPR/09/25/018")</f>
        <v>SPR/09/25/018</v>
      </c>
      <c r="L2436" s="13">
        <f>IFERROR(__xludf.DUMMYFUNCTION("""COMPUTED_VALUE"""),45930.0)</f>
        <v>45930</v>
      </c>
    </row>
    <row r="2437">
      <c r="A2437" s="6" t="str">
        <f>IFERROR(__xludf.DUMMYFUNCTION("""COMPUTED_VALUE"""),"RIA")</f>
        <v>RIA</v>
      </c>
      <c r="B2437" s="6" t="str">
        <f>IFERROR(__xludf.DUMMYFUNCTION("""COMPUTED_VALUE"""),"ENG")</f>
        <v>ENG</v>
      </c>
      <c r="C2437" s="6" t="str">
        <f>IFERROR(__xludf.DUMMYFUNCTION("""COMPUTED_VALUE"""),"-")</f>
        <v>-</v>
      </c>
      <c r="D2437" s="6" t="str">
        <f>IFERROR(__xludf.DUMMYFUNCTION("""COMPUTED_VALUE"""),"Pipa Ornamen 1 Inch")</f>
        <v>Pipa Ornamen 1 Inch</v>
      </c>
      <c r="E2437" s="6">
        <f>IFERROR(__xludf.DUMMYFUNCTION("""COMPUTED_VALUE"""),1.0)</f>
        <v>1</v>
      </c>
      <c r="F2437" s="6">
        <f>IFERROR(__xludf.DUMMYFUNCTION("""COMPUTED_VALUE"""),1.0)</f>
        <v>1</v>
      </c>
      <c r="G2437" s="6">
        <f>IFERROR(__xludf.DUMMYFUNCTION("""COMPUTED_VALUE"""),0.0)</f>
        <v>0</v>
      </c>
      <c r="H2437" s="6" t="str">
        <f>IFERROR(__xludf.DUMMYFUNCTION("""COMPUTED_VALUE"""),"Pcs")</f>
        <v>Pcs</v>
      </c>
      <c r="I2437" s="6" t="str">
        <f>IFERROR(__xludf.DUMMYFUNCTION("""COMPUTED_VALUE"""),"MFH")</f>
        <v>MFH</v>
      </c>
      <c r="J2437" s="6" t="str">
        <f>IFERROR(__xludf.DUMMYFUNCTION("""COMPUTED_VALUE"""),"Building")</f>
        <v>Building</v>
      </c>
      <c r="K2437" s="6" t="str">
        <f>IFERROR(__xludf.DUMMYFUNCTION("""COMPUTED_VALUE"""),"SPR/09/25/018")</f>
        <v>SPR/09/25/018</v>
      </c>
      <c r="L2437" s="13">
        <f>IFERROR(__xludf.DUMMYFUNCTION("""COMPUTED_VALUE"""),45930.0)</f>
        <v>45930</v>
      </c>
    </row>
    <row r="2438">
      <c r="A2438" s="6" t="str">
        <f>IFERROR(__xludf.DUMMYFUNCTION("""COMPUTED_VALUE"""),"RIA")</f>
        <v>RIA</v>
      </c>
      <c r="B2438" s="6" t="str">
        <f>IFERROR(__xludf.DUMMYFUNCTION("""COMPUTED_VALUE"""),"ENG")</f>
        <v>ENG</v>
      </c>
      <c r="C2438" s="6" t="str">
        <f>IFERROR(__xludf.DUMMYFUNCTION("""COMPUTED_VALUE"""),"P-51559-00")</f>
        <v>P-51559-00</v>
      </c>
      <c r="D2438" s="6" t="str">
        <f>IFERROR(__xludf.DUMMYFUNCTION("""COMPUTED_VALUE"""),"Lampu T5 14watt Putih; Phillips; ;")</f>
        <v>Lampu T5 14watt Putih; Phillips; ;</v>
      </c>
      <c r="E2438" s="6">
        <f>IFERROR(__xludf.DUMMYFUNCTION("""COMPUTED_VALUE"""),6.0)</f>
        <v>6</v>
      </c>
      <c r="F2438" s="6">
        <f>IFERROR(__xludf.DUMMYFUNCTION("""COMPUTED_VALUE"""),6.0)</f>
        <v>6</v>
      </c>
      <c r="G2438" s="6">
        <f>IFERROR(__xludf.DUMMYFUNCTION("""COMPUTED_VALUE"""),0.0)</f>
        <v>0</v>
      </c>
      <c r="H2438" s="6" t="str">
        <f>IFERROR(__xludf.DUMMYFUNCTION("""COMPUTED_VALUE"""),"Pcs")</f>
        <v>Pcs</v>
      </c>
      <c r="I2438" s="6" t="str">
        <f>IFERROR(__xludf.DUMMYFUNCTION("""COMPUTED_VALUE"""),"MFH")</f>
        <v>MFH</v>
      </c>
      <c r="J2438" s="6" t="str">
        <f>IFERROR(__xludf.DUMMYFUNCTION("""COMPUTED_VALUE"""),"Building")</f>
        <v>Building</v>
      </c>
      <c r="K2438" s="6" t="str">
        <f>IFERROR(__xludf.DUMMYFUNCTION("""COMPUTED_VALUE"""),"SPR/09/25/018")</f>
        <v>SPR/09/25/018</v>
      </c>
      <c r="L2438" s="13">
        <f>IFERROR(__xludf.DUMMYFUNCTION("""COMPUTED_VALUE"""),45930.0)</f>
        <v>45930</v>
      </c>
    </row>
    <row r="2439">
      <c r="A2439" s="6" t="str">
        <f>IFERROR(__xludf.DUMMYFUNCTION("""COMPUTED_VALUE"""),"SFH")</f>
        <v>SFH</v>
      </c>
      <c r="B2439" s="6" t="str">
        <f>IFERROR(__xludf.DUMMYFUNCTION("""COMPUTED_VALUE"""),"ENG")</f>
        <v>ENG</v>
      </c>
      <c r="C2439" s="6" t="str">
        <f>IFERROR(__xludf.DUMMYFUNCTION("""COMPUTED_VALUE"""),"Q-12060-00")</f>
        <v>Q-12060-00</v>
      </c>
      <c r="D2439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439" s="6">
        <f>IFERROR(__xludf.DUMMYFUNCTION("""COMPUTED_VALUE"""),2.0)</f>
        <v>2</v>
      </c>
      <c r="F2439" s="6">
        <f>IFERROR(__xludf.DUMMYFUNCTION("""COMPUTED_VALUE"""),2.0)</f>
        <v>2</v>
      </c>
      <c r="G2439" s="6">
        <f>IFERROR(__xludf.DUMMYFUNCTION("""COMPUTED_VALUE"""),0.0)</f>
        <v>0</v>
      </c>
      <c r="H2439" s="6" t="str">
        <f>IFERROR(__xludf.DUMMYFUNCTION("""COMPUTED_VALUE"""),"Pcs")</f>
        <v>Pcs</v>
      </c>
      <c r="I2439" s="6" t="str">
        <f>IFERROR(__xludf.DUMMYFUNCTION("""COMPUTED_VALUE"""),"MFH")</f>
        <v>MFH</v>
      </c>
      <c r="J2439" s="6" t="str">
        <f>IFERROR(__xludf.DUMMYFUNCTION("""COMPUTED_VALUE"""),"Building")</f>
        <v>Building</v>
      </c>
      <c r="K2439" s="6" t="str">
        <f>IFERROR(__xludf.DUMMYFUNCTION("""COMPUTED_VALUE"""),"SPR/09/25/019")</f>
        <v>SPR/09/25/019</v>
      </c>
      <c r="L2439" s="13">
        <f>IFERROR(__xludf.DUMMYFUNCTION("""COMPUTED_VALUE"""),45930.0)</f>
        <v>45930</v>
      </c>
    </row>
    <row r="2440">
      <c r="A2440" s="6" t="str">
        <f>IFERROR(__xludf.DUMMYFUNCTION("""COMPUTED_VALUE"""),"RIA")</f>
        <v>RIA</v>
      </c>
      <c r="B2440" s="6" t="str">
        <f>IFERROR(__xludf.DUMMYFUNCTION("""COMPUTED_VALUE"""),"ENG")</f>
        <v>ENG</v>
      </c>
      <c r="C2440" s="6" t="str">
        <f>IFERROR(__xludf.DUMMYFUNCTION("""COMPUTED_VALUE"""),"P-15438-00")</f>
        <v>P-15438-00</v>
      </c>
      <c r="D2440" s="6" t="str">
        <f>IFERROR(__xludf.DUMMYFUNCTION("""COMPUTED_VALUE"""),"CABLE SPIRAL WRAPPING, TYPE KS12, BRAND KSS; ; ;")</f>
        <v>CABLE SPIRAL WRAPPING, TYPE KS12, BRAND KSS; ; ;</v>
      </c>
      <c r="E2440" s="6">
        <f>IFERROR(__xludf.DUMMYFUNCTION("""COMPUTED_VALUE"""),1.0)</f>
        <v>1</v>
      </c>
      <c r="F2440" s="6">
        <f>IFERROR(__xludf.DUMMYFUNCTION("""COMPUTED_VALUE"""),1.0)</f>
        <v>1</v>
      </c>
      <c r="G2440" s="6">
        <f>IFERROR(__xludf.DUMMYFUNCTION("""COMPUTED_VALUE"""),0.0)</f>
        <v>0</v>
      </c>
      <c r="H2440" s="6" t="str">
        <f>IFERROR(__xludf.DUMMYFUNCTION("""COMPUTED_VALUE"""),"Pck")</f>
        <v>Pck</v>
      </c>
      <c r="I2440" s="6" t="str">
        <f>IFERROR(__xludf.DUMMYFUNCTION("""COMPUTED_VALUE"""),"MFH")</f>
        <v>MFH</v>
      </c>
      <c r="J2440" s="6" t="str">
        <f>IFERROR(__xludf.DUMMYFUNCTION("""COMPUTED_VALUE"""),"-")</f>
        <v>-</v>
      </c>
      <c r="K2440" s="6" t="str">
        <f>IFERROR(__xludf.DUMMYFUNCTION("""COMPUTED_VALUE"""),"SPR/09/25/020")</f>
        <v>SPR/09/25/020</v>
      </c>
      <c r="L2440" s="13">
        <f>IFERROR(__xludf.DUMMYFUNCTION("""COMPUTED_VALUE"""),45930.0)</f>
        <v>45930</v>
      </c>
    </row>
    <row r="2441">
      <c r="A2441" s="6" t="str">
        <f>IFERROR(__xludf.DUMMYFUNCTION("""COMPUTED_VALUE"""),"SFH")</f>
        <v>SFH</v>
      </c>
      <c r="B2441" s="6" t="str">
        <f>IFERROR(__xludf.DUMMYFUNCTION("""COMPUTED_VALUE"""),"ENG")</f>
        <v>ENG</v>
      </c>
      <c r="C2441" s="6" t="str">
        <f>IFERROR(__xludf.DUMMYFUNCTION("""COMPUTED_VALUE"""),"P-51559-00")</f>
        <v>P-51559-00</v>
      </c>
      <c r="D2441" s="6" t="str">
        <f>IFERROR(__xludf.DUMMYFUNCTION("""COMPUTED_VALUE"""),"Lampu T5 14watt Putih; Phillips; ;")</f>
        <v>Lampu T5 14watt Putih; Phillips; ;</v>
      </c>
      <c r="E2441" s="6">
        <f>IFERROR(__xludf.DUMMYFUNCTION("""COMPUTED_VALUE"""),9.0)</f>
        <v>9</v>
      </c>
      <c r="F2441" s="6">
        <f>IFERROR(__xludf.DUMMYFUNCTION("""COMPUTED_VALUE"""),9.0)</f>
        <v>9</v>
      </c>
      <c r="G2441" s="6">
        <f>IFERROR(__xludf.DUMMYFUNCTION("""COMPUTED_VALUE"""),0.0)</f>
        <v>0</v>
      </c>
      <c r="H2441" s="6" t="str">
        <f>IFERROR(__xludf.DUMMYFUNCTION("""COMPUTED_VALUE"""),"Pcs")</f>
        <v>Pcs</v>
      </c>
      <c r="I2441" s="6" t="str">
        <f>IFERROR(__xludf.DUMMYFUNCTION("""COMPUTED_VALUE"""),"MFH")</f>
        <v>MFH</v>
      </c>
      <c r="J2441" s="6" t="str">
        <f>IFERROR(__xludf.DUMMYFUNCTION("""COMPUTED_VALUE"""),"Building")</f>
        <v>Building</v>
      </c>
      <c r="K2441" s="6" t="str">
        <f>IFERROR(__xludf.DUMMYFUNCTION("""COMPUTED_VALUE"""),"SPR/09/25/021")</f>
        <v>SPR/09/25/021</v>
      </c>
      <c r="L2441" s="13">
        <f>IFERROR(__xludf.DUMMYFUNCTION("""COMPUTED_VALUE"""),45930.0)</f>
        <v>45930</v>
      </c>
    </row>
    <row r="2442">
      <c r="A2442" s="6" t="str">
        <f>IFERROR(__xludf.DUMMYFUNCTION("""COMPUTED_VALUE"""),"SFH")</f>
        <v>SFH</v>
      </c>
      <c r="B2442" s="6" t="str">
        <f>IFERROR(__xludf.DUMMYFUNCTION("""COMPUTED_VALUE"""),"ENG")</f>
        <v>ENG</v>
      </c>
      <c r="C2442" s="6" t="str">
        <f>IFERROR(__xludf.DUMMYFUNCTION("""COMPUTED_VALUE"""),"P-51560-00")</f>
        <v>P-51560-00</v>
      </c>
      <c r="D2442" s="6" t="str">
        <f>IFERROR(__xludf.DUMMYFUNCTION("""COMPUTED_VALUE"""),"Lampu T5 28watt Putih; Phillips; ;")</f>
        <v>Lampu T5 28watt Putih; Phillips; ;</v>
      </c>
      <c r="E2442" s="6">
        <f>IFERROR(__xludf.DUMMYFUNCTION("""COMPUTED_VALUE"""),32.0)</f>
        <v>32</v>
      </c>
      <c r="F2442" s="6">
        <f>IFERROR(__xludf.DUMMYFUNCTION("""COMPUTED_VALUE"""),32.0)</f>
        <v>32</v>
      </c>
      <c r="G2442" s="6">
        <f>IFERROR(__xludf.DUMMYFUNCTION("""COMPUTED_VALUE"""),0.0)</f>
        <v>0</v>
      </c>
      <c r="H2442" s="6" t="str">
        <f>IFERROR(__xludf.DUMMYFUNCTION("""COMPUTED_VALUE"""),"Pcs")</f>
        <v>Pcs</v>
      </c>
      <c r="I2442" s="6" t="str">
        <f>IFERROR(__xludf.DUMMYFUNCTION("""COMPUTED_VALUE"""),"MFH")</f>
        <v>MFH</v>
      </c>
      <c r="J2442" s="6" t="str">
        <f>IFERROR(__xludf.DUMMYFUNCTION("""COMPUTED_VALUE"""),"Building")</f>
        <v>Building</v>
      </c>
      <c r="K2442" s="6" t="str">
        <f>IFERROR(__xludf.DUMMYFUNCTION("""COMPUTED_VALUE"""),"SPR/09/25/021")</f>
        <v>SPR/09/25/021</v>
      </c>
      <c r="L2442" s="13">
        <f>IFERROR(__xludf.DUMMYFUNCTION("""COMPUTED_VALUE"""),45930.0)</f>
        <v>45930</v>
      </c>
    </row>
    <row r="2443">
      <c r="A2443" s="6" t="str">
        <f>IFERROR(__xludf.DUMMYFUNCTION("""COMPUTED_VALUE"""),"MRN")</f>
        <v>MRN</v>
      </c>
      <c r="B2443" s="6" t="str">
        <f>IFERROR(__xludf.DUMMYFUNCTION("""COMPUTED_VALUE"""),"ENG")</f>
        <v>ENG</v>
      </c>
      <c r="C2443" s="6" t="str">
        <f>IFERROR(__xludf.DUMMYFUNCTION("""COMPUTED_VALUE"""),"P-51560-00")</f>
        <v>P-51560-00</v>
      </c>
      <c r="D2443" s="6" t="str">
        <f>IFERROR(__xludf.DUMMYFUNCTION("""COMPUTED_VALUE"""),"Lampu T5 28watt Putih; Phillips; ;")</f>
        <v>Lampu T5 28watt Putih; Phillips; ;</v>
      </c>
      <c r="E2443" s="6">
        <f>IFERROR(__xludf.DUMMYFUNCTION("""COMPUTED_VALUE"""),37.0)</f>
        <v>37</v>
      </c>
      <c r="F2443" s="6">
        <f>IFERROR(__xludf.DUMMYFUNCTION("""COMPUTED_VALUE"""),37.0)</f>
        <v>37</v>
      </c>
      <c r="G2443" s="6">
        <f>IFERROR(__xludf.DUMMYFUNCTION("""COMPUTED_VALUE"""),0.0)</f>
        <v>0</v>
      </c>
      <c r="H2443" s="6" t="str">
        <f>IFERROR(__xludf.DUMMYFUNCTION("""COMPUTED_VALUE"""),"Pcs")</f>
        <v>Pcs</v>
      </c>
      <c r="I2443" s="6" t="str">
        <f>IFERROR(__xludf.DUMMYFUNCTION("""COMPUTED_VALUE"""),"MFH")</f>
        <v>MFH</v>
      </c>
      <c r="J2443" s="6" t="str">
        <f>IFERROR(__xludf.DUMMYFUNCTION("""COMPUTED_VALUE"""),"Building")</f>
        <v>Building</v>
      </c>
      <c r="K2443" s="6" t="str">
        <f>IFERROR(__xludf.DUMMYFUNCTION("""COMPUTED_VALUE"""),"SPR/09/25/022")</f>
        <v>SPR/09/25/022</v>
      </c>
      <c r="L2443" s="13">
        <f>IFERROR(__xludf.DUMMYFUNCTION("""COMPUTED_VALUE"""),45930.0)</f>
        <v>45930</v>
      </c>
    </row>
    <row r="2444">
      <c r="A2444" s="6" t="str">
        <f>IFERROR(__xludf.DUMMYFUNCTION("""COMPUTED_VALUE"""),"MRN")</f>
        <v>MRN</v>
      </c>
      <c r="B2444" s="6" t="str">
        <f>IFERROR(__xludf.DUMMYFUNCTION("""COMPUTED_VALUE"""),"ENG")</f>
        <v>ENG</v>
      </c>
      <c r="C2444" s="6" t="str">
        <f>IFERROR(__xludf.DUMMYFUNCTION("""COMPUTED_VALUE"""),"P-53102-00")</f>
        <v>P-53102-00</v>
      </c>
      <c r="D2444" s="6" t="str">
        <f>IFERROR(__xludf.DUMMYFUNCTION("""COMPUTED_VALUE"""),"Lampu PLC 13watt/E27 Putih; Phillips; ;")</f>
        <v>Lampu PLC 13watt/E27 Putih; Phillips; ;</v>
      </c>
      <c r="E2444" s="6">
        <f>IFERROR(__xludf.DUMMYFUNCTION("""COMPUTED_VALUE"""),2.0)</f>
        <v>2</v>
      </c>
      <c r="F2444" s="6">
        <f>IFERROR(__xludf.DUMMYFUNCTION("""COMPUTED_VALUE"""),2.0)</f>
        <v>2</v>
      </c>
      <c r="G2444" s="6">
        <f>IFERROR(__xludf.DUMMYFUNCTION("""COMPUTED_VALUE"""),0.0)</f>
        <v>0</v>
      </c>
      <c r="H2444" s="6" t="str">
        <f>IFERROR(__xludf.DUMMYFUNCTION("""COMPUTED_VALUE"""),"Pcs")</f>
        <v>Pcs</v>
      </c>
      <c r="I2444" s="6" t="str">
        <f>IFERROR(__xludf.DUMMYFUNCTION("""COMPUTED_VALUE"""),"MFH")</f>
        <v>MFH</v>
      </c>
      <c r="J2444" s="6" t="str">
        <f>IFERROR(__xludf.DUMMYFUNCTION("""COMPUTED_VALUE"""),"Building")</f>
        <v>Building</v>
      </c>
      <c r="K2444" s="6" t="str">
        <f>IFERROR(__xludf.DUMMYFUNCTION("""COMPUTED_VALUE"""),"SPR/09/25/022")</f>
        <v>SPR/09/25/022</v>
      </c>
      <c r="L2444" s="13">
        <f>IFERROR(__xludf.DUMMYFUNCTION("""COMPUTED_VALUE"""),45930.0)</f>
        <v>45930</v>
      </c>
    </row>
    <row r="2445">
      <c r="A2445" s="6" t="str">
        <f>IFERROR(__xludf.DUMMYFUNCTION("""COMPUTED_VALUE"""),"MRN")</f>
        <v>MRN</v>
      </c>
      <c r="B2445" s="6" t="str">
        <f>IFERROR(__xludf.DUMMYFUNCTION("""COMPUTED_VALUE"""),"ENG")</f>
        <v>ENG</v>
      </c>
      <c r="C2445" s="6" t="str">
        <f>IFERROR(__xludf.DUMMYFUNCTION("""COMPUTED_VALUE"""),"T-80047-00")</f>
        <v>T-80047-00</v>
      </c>
      <c r="D2445" s="6" t="str">
        <f>IFERROR(__xludf.DUMMYFUNCTION("""COMPUTED_VALUE"""),"Battery ALKALINE AAA")</f>
        <v>Battery ALKALINE AAA</v>
      </c>
      <c r="E2445" s="6">
        <f>IFERROR(__xludf.DUMMYFUNCTION("""COMPUTED_VALUE"""),3.0)</f>
        <v>3</v>
      </c>
      <c r="F2445" s="6">
        <f>IFERROR(__xludf.DUMMYFUNCTION("""COMPUTED_VALUE"""),3.0)</f>
        <v>3</v>
      </c>
      <c r="G2445" s="6">
        <f>IFERROR(__xludf.DUMMYFUNCTION("""COMPUTED_VALUE"""),0.0)</f>
        <v>0</v>
      </c>
      <c r="H2445" s="6" t="str">
        <f>IFERROR(__xludf.DUMMYFUNCTION("""COMPUTED_VALUE"""),"Pcs")</f>
        <v>Pcs</v>
      </c>
      <c r="I2445" s="6" t="str">
        <f>IFERROR(__xludf.DUMMYFUNCTION("""COMPUTED_VALUE"""),"MFH")</f>
        <v>MFH</v>
      </c>
      <c r="J2445" s="6" t="str">
        <f>IFERROR(__xludf.DUMMYFUNCTION("""COMPUTED_VALUE"""),"-")</f>
        <v>-</v>
      </c>
      <c r="K2445" s="6" t="str">
        <f>IFERROR(__xludf.DUMMYFUNCTION("""COMPUTED_VALUE"""),"SPR/09/25/022")</f>
        <v>SPR/09/25/022</v>
      </c>
      <c r="L2445" s="13">
        <f>IFERROR(__xludf.DUMMYFUNCTION("""COMPUTED_VALUE"""),45930.0)</f>
        <v>45930</v>
      </c>
    </row>
    <row r="2446">
      <c r="A2446" s="6" t="str">
        <f>IFERROR(__xludf.DUMMYFUNCTION("""COMPUTED_VALUE"""),"MRN")</f>
        <v>MRN</v>
      </c>
      <c r="B2446" s="6" t="str">
        <f>IFERROR(__xludf.DUMMYFUNCTION("""COMPUTED_VALUE"""),"ENG")</f>
        <v>ENG</v>
      </c>
      <c r="C2446" s="6" t="str">
        <f>IFERROR(__xludf.DUMMYFUNCTION("""COMPUTED_VALUE"""),"Q-60501-00")</f>
        <v>Q-60501-00</v>
      </c>
      <c r="D2446" s="6" t="str">
        <f>IFERROR(__xludf.DUMMYFUNCTION("""COMPUTED_VALUE"""),"Silicone Sealant;Silglaze;Type N10 Clear;pack size per pcs")</f>
        <v>Silicone Sealant;Silglaze;Type N10 Clear;pack size per pcs</v>
      </c>
      <c r="E2446" s="6">
        <f>IFERROR(__xludf.DUMMYFUNCTION("""COMPUTED_VALUE"""),7.0)</f>
        <v>7</v>
      </c>
      <c r="F2446" s="6">
        <f>IFERROR(__xludf.DUMMYFUNCTION("""COMPUTED_VALUE"""),7.0)</f>
        <v>7</v>
      </c>
      <c r="G2446" s="6">
        <f>IFERROR(__xludf.DUMMYFUNCTION("""COMPUTED_VALUE"""),0.0)</f>
        <v>0</v>
      </c>
      <c r="H2446" s="6" t="str">
        <f>IFERROR(__xludf.DUMMYFUNCTION("""COMPUTED_VALUE"""),"Pcs")</f>
        <v>Pcs</v>
      </c>
      <c r="I2446" s="6" t="str">
        <f>IFERROR(__xludf.DUMMYFUNCTION("""COMPUTED_VALUE"""),"MFH")</f>
        <v>MFH</v>
      </c>
      <c r="J2446" s="6" t="str">
        <f>IFERROR(__xludf.DUMMYFUNCTION("""COMPUTED_VALUE"""),"Building")</f>
        <v>Building</v>
      </c>
      <c r="K2446" s="6" t="str">
        <f>IFERROR(__xludf.DUMMYFUNCTION("""COMPUTED_VALUE"""),"SPR/09/25/023")</f>
        <v>SPR/09/25/023</v>
      </c>
      <c r="L2446" s="13">
        <f>IFERROR(__xludf.DUMMYFUNCTION("""COMPUTED_VALUE"""),45930.0)</f>
        <v>45930</v>
      </c>
    </row>
    <row r="2447">
      <c r="A2447" s="6" t="str">
        <f>IFERROR(__xludf.DUMMYFUNCTION("""COMPUTED_VALUE"""),"MRN")</f>
        <v>MRN</v>
      </c>
      <c r="B2447" s="6" t="str">
        <f>IFERROR(__xludf.DUMMYFUNCTION("""COMPUTED_VALUE"""),"ENG")</f>
        <v>ENG</v>
      </c>
      <c r="C2447" s="6" t="str">
        <f>IFERROR(__xludf.DUMMYFUNCTION("""COMPUTED_VALUE"""),"Q-60502-00")</f>
        <v>Q-60502-00</v>
      </c>
      <c r="D2447" s="6" t="str">
        <f>IFERROR(__xludf.DUMMYFUNCTION("""COMPUTED_VALUE"""),"Silicone Sealant, Silglaze, Type N10 White, pack size per pcs")</f>
        <v>Silicone Sealant, Silglaze, Type N10 White, pack size per pcs</v>
      </c>
      <c r="E2447" s="6">
        <f>IFERROR(__xludf.DUMMYFUNCTION("""COMPUTED_VALUE"""),5.0)</f>
        <v>5</v>
      </c>
      <c r="F2447" s="6">
        <f>IFERROR(__xludf.DUMMYFUNCTION("""COMPUTED_VALUE"""),5.0)</f>
        <v>5</v>
      </c>
      <c r="G2447" s="6">
        <f>IFERROR(__xludf.DUMMYFUNCTION("""COMPUTED_VALUE"""),0.0)</f>
        <v>0</v>
      </c>
      <c r="H2447" s="6" t="str">
        <f>IFERROR(__xludf.DUMMYFUNCTION("""COMPUTED_VALUE"""),"Pcs")</f>
        <v>Pcs</v>
      </c>
      <c r="I2447" s="6" t="str">
        <f>IFERROR(__xludf.DUMMYFUNCTION("""COMPUTED_VALUE"""),"MFH")</f>
        <v>MFH</v>
      </c>
      <c r="J2447" s="6" t="str">
        <f>IFERROR(__xludf.DUMMYFUNCTION("""COMPUTED_VALUE"""),"Building")</f>
        <v>Building</v>
      </c>
      <c r="K2447" s="6" t="str">
        <f>IFERROR(__xludf.DUMMYFUNCTION("""COMPUTED_VALUE"""),"SPR/09/25/023")</f>
        <v>SPR/09/25/023</v>
      </c>
      <c r="L2447" s="13">
        <f>IFERROR(__xludf.DUMMYFUNCTION("""COMPUTED_VALUE"""),45930.0)</f>
        <v>45930</v>
      </c>
    </row>
    <row r="2448">
      <c r="A2448" s="6" t="str">
        <f>IFERROR(__xludf.DUMMYFUNCTION("""COMPUTED_VALUE"""),"MRN")</f>
        <v>MRN</v>
      </c>
      <c r="B2448" s="6" t="str">
        <f>IFERROR(__xludf.DUMMYFUNCTION("""COMPUTED_VALUE"""),"ENG")</f>
        <v>ENG</v>
      </c>
      <c r="C2448" s="6" t="str">
        <f>IFERROR(__xludf.DUMMYFUNCTION("""COMPUTED_VALUE"""),"P-19693-00")</f>
        <v>P-19693-00</v>
      </c>
      <c r="D2448" s="6" t="str">
        <f>IFERROR(__xludf.DUMMYFUNCTION("""COMPUTED_VALUE"""),"General - Lem Adhesive; Superlon; -; 1kg/can")</f>
        <v>General - Lem Adhesive; Superlon; -; 1kg/can</v>
      </c>
      <c r="E2448" s="6">
        <f>IFERROR(__xludf.DUMMYFUNCTION("""COMPUTED_VALUE"""),1.0)</f>
        <v>1</v>
      </c>
      <c r="F2448" s="6">
        <f>IFERROR(__xludf.DUMMYFUNCTION("""COMPUTED_VALUE"""),1.0)</f>
        <v>1</v>
      </c>
      <c r="G2448" s="6">
        <f>IFERROR(__xludf.DUMMYFUNCTION("""COMPUTED_VALUE"""),0.0)</f>
        <v>0</v>
      </c>
      <c r="H2448" s="6" t="str">
        <f>IFERROR(__xludf.DUMMYFUNCTION("""COMPUTED_VALUE"""),"Pcs")</f>
        <v>Pcs</v>
      </c>
      <c r="I2448" s="6" t="str">
        <f>IFERROR(__xludf.DUMMYFUNCTION("""COMPUTED_VALUE"""),"MFH")</f>
        <v>MFH</v>
      </c>
      <c r="J2448" s="6" t="str">
        <f>IFERROR(__xludf.DUMMYFUNCTION("""COMPUTED_VALUE"""),"Building")</f>
        <v>Building</v>
      </c>
      <c r="K2448" s="6" t="str">
        <f>IFERROR(__xludf.DUMMYFUNCTION("""COMPUTED_VALUE"""),"SPR/09/25/023")</f>
        <v>SPR/09/25/023</v>
      </c>
      <c r="L2448" s="13">
        <f>IFERROR(__xludf.DUMMYFUNCTION("""COMPUTED_VALUE"""),45930.0)</f>
        <v>45930</v>
      </c>
    </row>
    <row r="2449">
      <c r="A2449" s="6" t="str">
        <f>IFERROR(__xludf.DUMMYFUNCTION("""COMPUTED_VALUE"""),"BDU")</f>
        <v>BDU</v>
      </c>
      <c r="B2449" s="6" t="str">
        <f>IFERROR(__xludf.DUMMYFUNCTION("""COMPUTED_VALUE"""),"ENG")</f>
        <v>ENG</v>
      </c>
      <c r="C2449" s="6" t="str">
        <f>IFERROR(__xludf.DUMMYFUNCTION("""COMPUTED_VALUE"""),"P-12830-00")</f>
        <v>P-12830-00</v>
      </c>
      <c r="D2449" s="6" t="str">
        <f>IFERROR(__xludf.DUMMYFUNCTION("""COMPUTED_VALUE"""),"Sodium metabisulfit")</f>
        <v>Sodium metabisulfit</v>
      </c>
      <c r="E2449" s="6">
        <f>IFERROR(__xludf.DUMMYFUNCTION("""COMPUTED_VALUE"""),1.0)</f>
        <v>1</v>
      </c>
      <c r="F2449" s="6">
        <f>IFERROR(__xludf.DUMMYFUNCTION("""COMPUTED_VALUE"""),1.0)</f>
        <v>1</v>
      </c>
      <c r="G2449" s="6">
        <f>IFERROR(__xludf.DUMMYFUNCTION("""COMPUTED_VALUE"""),0.0)</f>
        <v>0</v>
      </c>
      <c r="H2449" s="6" t="str">
        <f>IFERROR(__xludf.DUMMYFUNCTION("""COMPUTED_VALUE"""),"sak")</f>
        <v>sak</v>
      </c>
      <c r="I2449" s="6" t="str">
        <f>IFERROR(__xludf.DUMMYFUNCTION("""COMPUTED_VALUE"""),"MFH")</f>
        <v>MFH</v>
      </c>
      <c r="J2449" s="6" t="str">
        <f>IFERROR(__xludf.DUMMYFUNCTION("""COMPUTED_VALUE"""),"PWG")</f>
        <v>PWG</v>
      </c>
      <c r="K2449" s="6" t="str">
        <f>IFERROR(__xludf.DUMMYFUNCTION("""COMPUTED_VALUE"""),"SPR/09/25/024")</f>
        <v>SPR/09/25/024</v>
      </c>
      <c r="L2449" s="13">
        <f>IFERROR(__xludf.DUMMYFUNCTION("""COMPUTED_VALUE"""),45930.0)</f>
        <v>45930</v>
      </c>
    </row>
    <row r="2450">
      <c r="A2450" s="6" t="str">
        <f>IFERROR(__xludf.DUMMYFUNCTION("""COMPUTED_VALUE"""),"MBN")</f>
        <v>MBN</v>
      </c>
      <c r="B2450" s="6" t="str">
        <f>IFERROR(__xludf.DUMMYFUNCTION("""COMPUTED_VALUE"""),"ENG")</f>
        <v>ENG</v>
      </c>
      <c r="C2450" s="6" t="str">
        <f>IFERROR(__xludf.DUMMYFUNCTION("""COMPUTED_VALUE"""),"P-17645-00")</f>
        <v>P-17645-00</v>
      </c>
      <c r="D2450" s="6" t="str">
        <f>IFERROR(__xludf.DUMMYFUNCTION("""COMPUTED_VALUE"""),"Sodium Hiphoclorite; ; ; ltr")</f>
        <v>Sodium Hiphoclorite; ; ; ltr</v>
      </c>
      <c r="E2450" s="6">
        <f>IFERROR(__xludf.DUMMYFUNCTION("""COMPUTED_VALUE"""),90.0)</f>
        <v>90</v>
      </c>
      <c r="F2450" s="6">
        <f>IFERROR(__xludf.DUMMYFUNCTION("""COMPUTED_VALUE"""),90.0)</f>
        <v>90</v>
      </c>
      <c r="G2450" s="6">
        <f>IFERROR(__xludf.DUMMYFUNCTION("""COMPUTED_VALUE"""),0.0)</f>
        <v>0</v>
      </c>
      <c r="H2450" s="6" t="str">
        <f>IFERROR(__xludf.DUMMYFUNCTION("""COMPUTED_VALUE"""),"Liter")</f>
        <v>Liter</v>
      </c>
      <c r="I2450" s="6" t="str">
        <f>IFERROR(__xludf.DUMMYFUNCTION("""COMPUTED_VALUE"""),"MFH")</f>
        <v>MFH</v>
      </c>
      <c r="J2450" s="6" t="str">
        <f>IFERROR(__xludf.DUMMYFUNCTION("""COMPUTED_VALUE"""),"PRO")</f>
        <v>PRO</v>
      </c>
      <c r="K2450" s="6" t="str">
        <f>IFERROR(__xludf.DUMMYFUNCTION("""COMPUTED_VALUE"""),"SPR/09/25/025")</f>
        <v>SPR/09/25/025</v>
      </c>
      <c r="L2450" s="13">
        <f>IFERROR(__xludf.DUMMYFUNCTION("""COMPUTED_VALUE"""),45930.0)</f>
        <v>45930</v>
      </c>
    </row>
    <row r="2451">
      <c r="A2451" s="6" t="str">
        <f>IFERROR(__xludf.DUMMYFUNCTION("""COMPUTED_VALUE"""),"MOB")</f>
        <v>MOB</v>
      </c>
      <c r="B2451" s="6" t="str">
        <f>IFERROR(__xludf.DUMMYFUNCTION("""COMPUTED_VALUE"""),"ENG")</f>
        <v>ENG</v>
      </c>
      <c r="C2451" s="6" t="str">
        <f>IFERROR(__xludf.DUMMYFUNCTION("""COMPUTED_VALUE"""),"O-54013-00")</f>
        <v>O-54013-00</v>
      </c>
      <c r="D2451" s="6" t="str">
        <f>IFERROR(__xludf.DUMMYFUNCTION("""COMPUTED_VALUE"""),"SOCKET RJ 45 CAT 5")</f>
        <v>SOCKET RJ 45 CAT 5</v>
      </c>
      <c r="E2451" s="6">
        <f>IFERROR(__xludf.DUMMYFUNCTION("""COMPUTED_VALUE"""),4.0)</f>
        <v>4</v>
      </c>
      <c r="F2451" s="6">
        <f>IFERROR(__xludf.DUMMYFUNCTION("""COMPUTED_VALUE"""),4.0)</f>
        <v>4</v>
      </c>
      <c r="G2451" s="6">
        <f>IFERROR(__xludf.DUMMYFUNCTION("""COMPUTED_VALUE"""),0.0)</f>
        <v>0</v>
      </c>
      <c r="H2451" s="6" t="str">
        <f>IFERROR(__xludf.DUMMYFUNCTION("""COMPUTED_VALUE"""),"Pcs")</f>
        <v>Pcs</v>
      </c>
      <c r="I2451" s="6" t="str">
        <f>IFERROR(__xludf.DUMMYFUNCTION("""COMPUTED_VALUE"""),"MFH")</f>
        <v>MFH</v>
      </c>
      <c r="J2451" s="6" t="str">
        <f>IFERROR(__xludf.DUMMYFUNCTION("""COMPUTED_VALUE"""),"-")</f>
        <v>-</v>
      </c>
      <c r="K2451" s="6" t="str">
        <f>IFERROR(__xludf.DUMMYFUNCTION("""COMPUTED_VALUE"""),"SPR/09/25/026")</f>
        <v>SPR/09/25/026</v>
      </c>
      <c r="L2451" s="13">
        <f>IFERROR(__xludf.DUMMYFUNCTION("""COMPUTED_VALUE"""),45930.0)</f>
        <v>45930</v>
      </c>
    </row>
    <row r="2452">
      <c r="A2452" s="6" t="str">
        <f>IFERROR(__xludf.DUMMYFUNCTION("""COMPUTED_VALUE"""),"MOB")</f>
        <v>MOB</v>
      </c>
      <c r="B2452" s="6" t="str">
        <f>IFERROR(__xludf.DUMMYFUNCTION("""COMPUTED_VALUE"""),"ENG")</f>
        <v>ENG</v>
      </c>
      <c r="C2452" s="6" t="str">
        <f>IFERROR(__xludf.DUMMYFUNCTION("""COMPUTED_VALUE"""),"P-50717-00")</f>
        <v>P-50717-00</v>
      </c>
      <c r="D2452" s="6" t="str">
        <f>IFERROR(__xludf.DUMMYFUNCTION("""COMPUTED_VALUE"""),"Kabel UTP 4 pairs Cat 6 merk BELDEN")</f>
        <v>Kabel UTP 4 pairs Cat 6 merk BELDEN</v>
      </c>
      <c r="E2452" s="6">
        <f>IFERROR(__xludf.DUMMYFUNCTION("""COMPUTED_VALUE"""),10.0)</f>
        <v>10</v>
      </c>
      <c r="F2452" s="6">
        <f>IFERROR(__xludf.DUMMYFUNCTION("""COMPUTED_VALUE"""),10.0)</f>
        <v>10</v>
      </c>
      <c r="G2452" s="6">
        <f>IFERROR(__xludf.DUMMYFUNCTION("""COMPUTED_VALUE"""),0.0)</f>
        <v>0</v>
      </c>
      <c r="H2452" s="6" t="str">
        <f>IFERROR(__xludf.DUMMYFUNCTION("""COMPUTED_VALUE"""),"Mtr")</f>
        <v>Mtr</v>
      </c>
      <c r="I2452" s="6" t="str">
        <f>IFERROR(__xludf.DUMMYFUNCTION("""COMPUTED_VALUE"""),"MFH")</f>
        <v>MFH</v>
      </c>
      <c r="J2452" s="6" t="str">
        <f>IFERROR(__xludf.DUMMYFUNCTION("""COMPUTED_VALUE"""),"-")</f>
        <v>-</v>
      </c>
      <c r="K2452" s="6" t="str">
        <f>IFERROR(__xludf.DUMMYFUNCTION("""COMPUTED_VALUE"""),"SPR/09/25/026")</f>
        <v>SPR/09/25/026</v>
      </c>
      <c r="L2452" s="13">
        <f>IFERROR(__xludf.DUMMYFUNCTION("""COMPUTED_VALUE"""),45930.0)</f>
        <v>45930</v>
      </c>
    </row>
    <row r="2453">
      <c r="A2453" s="6" t="str">
        <f>IFERROR(__xludf.DUMMYFUNCTION("""COMPUTED_VALUE"""),"ANO")</f>
        <v>ANO</v>
      </c>
      <c r="B2453" s="6" t="str">
        <f>IFERROR(__xludf.DUMMYFUNCTION("""COMPUTED_VALUE"""),"ENG")</f>
        <v>ENG</v>
      </c>
      <c r="C2453" s="6" t="str">
        <f>IFERROR(__xludf.DUMMYFUNCTION("""COMPUTED_VALUE"""),"O-20857-00")</f>
        <v>O-20857-00</v>
      </c>
      <c r="D2453" s="6" t="str">
        <f>IFERROR(__xludf.DUMMYFUNCTION("""COMPUTED_VALUE"""),"Washing RAR4 - Needle CA, OD 15 x 168 mm, Mat. SS316; Custom/Lokal; -; 1 Pc")</f>
        <v>Washing RAR4 - Needle CA, OD 15 x 168 mm, Mat. SS316; Custom/Lokal; -; 1 Pc</v>
      </c>
      <c r="E2453" s="6">
        <f>IFERROR(__xludf.DUMMYFUNCTION("""COMPUTED_VALUE"""),1.0)</f>
        <v>1</v>
      </c>
      <c r="F2453" s="6">
        <f>IFERROR(__xludf.DUMMYFUNCTION("""COMPUTED_VALUE"""),1.0)</f>
        <v>1</v>
      </c>
      <c r="G2453" s="6">
        <f>IFERROR(__xludf.DUMMYFUNCTION("""COMPUTED_VALUE"""),0.0)</f>
        <v>0</v>
      </c>
      <c r="H2453" s="6" t="str">
        <f>IFERROR(__xludf.DUMMYFUNCTION("""COMPUTED_VALUE"""),"Pcs")</f>
        <v>Pcs</v>
      </c>
      <c r="I2453" s="6" t="str">
        <f>IFERROR(__xludf.DUMMYFUNCTION("""COMPUTED_VALUE"""),"MFH")</f>
        <v>MFH</v>
      </c>
      <c r="J2453" s="6" t="str">
        <f>IFERROR(__xludf.DUMMYFUNCTION("""COMPUTED_VALUE"""),"Washing ")</f>
        <v>Washing </v>
      </c>
      <c r="K2453" s="6" t="str">
        <f>IFERROR(__xludf.DUMMYFUNCTION("""COMPUTED_VALUE"""),"SPR/09/25/027")</f>
        <v>SPR/09/25/027</v>
      </c>
      <c r="L2453" s="13">
        <f>IFERROR(__xludf.DUMMYFUNCTION("""COMPUTED_VALUE"""),45930.0)</f>
        <v>45930</v>
      </c>
    </row>
    <row r="2454">
      <c r="A2454" s="6" t="str">
        <f>IFERROR(__xludf.DUMMYFUNCTION("""COMPUTED_VALUE"""),"ANO")</f>
        <v>ANO</v>
      </c>
      <c r="B2454" s="6" t="str">
        <f>IFERROR(__xludf.DUMMYFUNCTION("""COMPUTED_VALUE"""),"ENG")</f>
        <v>ENG</v>
      </c>
      <c r="C2454" s="6" t="str">
        <f>IFERROR(__xludf.DUMMYFUNCTION("""COMPUTED_VALUE"""),"P-50286-00")</f>
        <v>P-50286-00</v>
      </c>
      <c r="D2454" s="6" t="str">
        <f>IFERROR(__xludf.DUMMYFUNCTION("""COMPUTED_VALUE"""),"Kabel NYYHY 3 x 1,5 mm")</f>
        <v>Kabel NYYHY 3 x 1,5 mm</v>
      </c>
      <c r="E2454" s="6">
        <f>IFERROR(__xludf.DUMMYFUNCTION("""COMPUTED_VALUE"""),2.0)</f>
        <v>2</v>
      </c>
      <c r="F2454" s="6">
        <f>IFERROR(__xludf.DUMMYFUNCTION("""COMPUTED_VALUE"""),2.0)</f>
        <v>2</v>
      </c>
      <c r="G2454" s="6">
        <f>IFERROR(__xludf.DUMMYFUNCTION("""COMPUTED_VALUE"""),0.0)</f>
        <v>0</v>
      </c>
      <c r="H2454" s="6" t="str">
        <f>IFERROR(__xludf.DUMMYFUNCTION("""COMPUTED_VALUE"""),"Pcs")</f>
        <v>Pcs</v>
      </c>
      <c r="I2454" s="6" t="str">
        <f>IFERROR(__xludf.DUMMYFUNCTION("""COMPUTED_VALUE"""),"MFH")</f>
        <v>MFH</v>
      </c>
      <c r="J2454" s="6" t="str">
        <f>IFERROR(__xludf.DUMMYFUNCTION("""COMPUTED_VALUE"""),"BSC")</f>
        <v>BSC</v>
      </c>
      <c r="K2454" s="6" t="str">
        <f>IFERROR(__xludf.DUMMYFUNCTION("""COMPUTED_VALUE"""),"SPR/09/25/028")</f>
        <v>SPR/09/25/028</v>
      </c>
      <c r="L2454" s="13">
        <f>IFERROR(__xludf.DUMMYFUNCTION("""COMPUTED_VALUE"""),45930.0)</f>
        <v>45930</v>
      </c>
    </row>
    <row r="2455">
      <c r="A2455" s="6" t="str">
        <f>IFERROR(__xludf.DUMMYFUNCTION("""COMPUTED_VALUE"""),"ANO")</f>
        <v>ANO</v>
      </c>
      <c r="B2455" s="6" t="str">
        <f>IFERROR(__xludf.DUMMYFUNCTION("""COMPUTED_VALUE"""),"ENG")</f>
        <v>ENG</v>
      </c>
      <c r="C2455" s="6" t="str">
        <f>IFERROR(__xludf.DUMMYFUNCTION("""COMPUTED_VALUE"""),"P-54190-00")</f>
        <v>P-54190-00</v>
      </c>
      <c r="D2455" s="6" t="str">
        <f>IFERROR(__xludf.DUMMYFUNCTION("""COMPUTED_VALUE"""),"Stop Kontak IP55 16A; Legrand; ;")</f>
        <v>Stop Kontak IP55 16A; Legrand; ;</v>
      </c>
      <c r="E2455" s="6">
        <f>IFERROR(__xludf.DUMMYFUNCTION("""COMPUTED_VALUE"""),1.0)</f>
        <v>1</v>
      </c>
      <c r="F2455" s="6">
        <f>IFERROR(__xludf.DUMMYFUNCTION("""COMPUTED_VALUE"""),1.0)</f>
        <v>1</v>
      </c>
      <c r="G2455" s="6">
        <f>IFERROR(__xludf.DUMMYFUNCTION("""COMPUTED_VALUE"""),0.0)</f>
        <v>0</v>
      </c>
      <c r="H2455" s="6" t="str">
        <f>IFERROR(__xludf.DUMMYFUNCTION("""COMPUTED_VALUE"""),"Pcs")</f>
        <v>Pcs</v>
      </c>
      <c r="I2455" s="6" t="str">
        <f>IFERROR(__xludf.DUMMYFUNCTION("""COMPUTED_VALUE"""),"MFH")</f>
        <v>MFH</v>
      </c>
      <c r="J2455" s="6" t="str">
        <f>IFERROR(__xludf.DUMMYFUNCTION("""COMPUTED_VALUE"""),"BSC")</f>
        <v>BSC</v>
      </c>
      <c r="K2455" s="6" t="str">
        <f>IFERROR(__xludf.DUMMYFUNCTION("""COMPUTED_VALUE"""),"SPR/09/25/028")</f>
        <v>SPR/09/25/028</v>
      </c>
      <c r="L2455" s="13">
        <f>IFERROR(__xludf.DUMMYFUNCTION("""COMPUTED_VALUE"""),45930.0)</f>
        <v>45930</v>
      </c>
    </row>
    <row r="2456">
      <c r="A2456" s="6" t="str">
        <f>IFERROR(__xludf.DUMMYFUNCTION("""COMPUTED_VALUE"""),"ANO")</f>
        <v>ANO</v>
      </c>
      <c r="B2456" s="6" t="str">
        <f>IFERROR(__xludf.DUMMYFUNCTION("""COMPUTED_VALUE"""),"ENG")</f>
        <v>ENG</v>
      </c>
      <c r="C2456" s="6" t="str">
        <f>IFERROR(__xludf.DUMMYFUNCTION("""COMPUTED_VALUE"""),"S-20268-00")</f>
        <v>S-20268-00</v>
      </c>
      <c r="D2456" s="6" t="str">
        <f>IFERROR(__xludf.DUMMYFUNCTION("""COMPUTED_VALUE"""),"Face Shield Head Gear With Clear Visor; KW1000315; ; ;")</f>
        <v>Face Shield Head Gear With Clear Visor; KW1000315; ; ;</v>
      </c>
      <c r="E2456" s="6">
        <f>IFERROR(__xludf.DUMMYFUNCTION("""COMPUTED_VALUE"""),1.0)</f>
        <v>1</v>
      </c>
      <c r="F2456" s="6">
        <f>IFERROR(__xludf.DUMMYFUNCTION("""COMPUTED_VALUE"""),1.0)</f>
        <v>1</v>
      </c>
      <c r="G2456" s="6">
        <f>IFERROR(__xludf.DUMMYFUNCTION("""COMPUTED_VALUE"""),0.0)</f>
        <v>0</v>
      </c>
      <c r="H2456" s="6" t="str">
        <f>IFERROR(__xludf.DUMMYFUNCTION("""COMPUTED_VALUE"""),"Pcs")</f>
        <v>Pcs</v>
      </c>
      <c r="I2456" s="6" t="str">
        <f>IFERROR(__xludf.DUMMYFUNCTION("""COMPUTED_VALUE"""),"MFH")</f>
        <v>MFH</v>
      </c>
      <c r="J2456" s="6" t="str">
        <f>IFERROR(__xludf.DUMMYFUNCTION("""COMPUTED_VALUE"""),"BSC")</f>
        <v>BSC</v>
      </c>
      <c r="K2456" s="6" t="str">
        <f>IFERROR(__xludf.DUMMYFUNCTION("""COMPUTED_VALUE"""),"SPR/09/25/028")</f>
        <v>SPR/09/25/028</v>
      </c>
      <c r="L2456" s="13">
        <f>IFERROR(__xludf.DUMMYFUNCTION("""COMPUTED_VALUE"""),45930.0)</f>
        <v>45930</v>
      </c>
    </row>
    <row r="2457">
      <c r="A2457" s="6" t="str">
        <f>IFERROR(__xludf.DUMMYFUNCTION("""COMPUTED_VALUE"""),"NDS")</f>
        <v>NDS</v>
      </c>
      <c r="B2457" s="6" t="str">
        <f>IFERROR(__xludf.DUMMYFUNCTION("""COMPUTED_VALUE"""),"ENG")</f>
        <v>ENG</v>
      </c>
      <c r="C2457" s="6" t="str">
        <f>IFERROR(__xludf.DUMMYFUNCTION("""COMPUTED_VALUE"""),"P-15437-00")</f>
        <v>P-15437-00</v>
      </c>
      <c r="D2457" s="6" t="str">
        <f>IFERROR(__xludf.DUMMYFUNCTION("""COMPUTED_VALUE"""),"CABLE SPIRAL WRAPPING, TYPE KS24, BRAND KSS; ; ;")</f>
        <v>CABLE SPIRAL WRAPPING, TYPE KS24, BRAND KSS; ; ;</v>
      </c>
      <c r="E2457" s="6">
        <f>IFERROR(__xludf.DUMMYFUNCTION("""COMPUTED_VALUE"""),1.0)</f>
        <v>1</v>
      </c>
      <c r="F2457" s="6">
        <f>IFERROR(__xludf.DUMMYFUNCTION("""COMPUTED_VALUE"""),1.0)</f>
        <v>1</v>
      </c>
      <c r="G2457" s="6">
        <f>IFERROR(__xludf.DUMMYFUNCTION("""COMPUTED_VALUE"""),0.0)</f>
        <v>0</v>
      </c>
      <c r="H2457" s="6" t="str">
        <f>IFERROR(__xludf.DUMMYFUNCTION("""COMPUTED_VALUE"""),"Pcs")</f>
        <v>Pcs</v>
      </c>
      <c r="I2457" s="6" t="str">
        <f>IFERROR(__xludf.DUMMYFUNCTION("""COMPUTED_VALUE"""),"MFH")</f>
        <v>MFH</v>
      </c>
      <c r="J2457" s="6" t="str">
        <f>IFERROR(__xludf.DUMMYFUNCTION("""COMPUTED_VALUE"""),"Capping ")</f>
        <v>Capping </v>
      </c>
      <c r="K2457" s="6" t="str">
        <f>IFERROR(__xludf.DUMMYFUNCTION("""COMPUTED_VALUE"""),"SPR/09/25/029")</f>
        <v>SPR/09/25/029</v>
      </c>
      <c r="L2457" s="13">
        <f>IFERROR(__xludf.DUMMYFUNCTION("""COMPUTED_VALUE"""),45930.0)</f>
        <v>45930</v>
      </c>
    </row>
    <row r="2458">
      <c r="A2458" s="6" t="str">
        <f>IFERROR(__xludf.DUMMYFUNCTION("""COMPUTED_VALUE"""),"NDS")</f>
        <v>NDS</v>
      </c>
      <c r="B2458" s="6" t="str">
        <f>IFERROR(__xludf.DUMMYFUNCTION("""COMPUTED_VALUE"""),"ENG")</f>
        <v>ENG</v>
      </c>
      <c r="C2458" s="6" t="str">
        <f>IFERROR(__xludf.DUMMYFUNCTION("""COMPUTED_VALUE"""),"P-12077-00")</f>
        <v>P-12077-00</v>
      </c>
      <c r="D2458" s="6" t="str">
        <f>IFERROR(__xludf.DUMMYFUNCTION("""COMPUTED_VALUE"""),"Clamp selang ss dia 1 1/4 inch ex TRIDON")</f>
        <v>Clamp selang ss dia 1 1/4 inch ex TRIDON</v>
      </c>
      <c r="E2458" s="6">
        <f>IFERROR(__xludf.DUMMYFUNCTION("""COMPUTED_VALUE"""),14.0)</f>
        <v>14</v>
      </c>
      <c r="F2458" s="6">
        <f>IFERROR(__xludf.DUMMYFUNCTION("""COMPUTED_VALUE"""),14.0)</f>
        <v>14</v>
      </c>
      <c r="G2458" s="6">
        <f>IFERROR(__xludf.DUMMYFUNCTION("""COMPUTED_VALUE"""),0.0)</f>
        <v>0</v>
      </c>
      <c r="H2458" s="6" t="str">
        <f>IFERROR(__xludf.DUMMYFUNCTION("""COMPUTED_VALUE"""),"pcs")</f>
        <v>pcs</v>
      </c>
      <c r="I2458" s="6" t="str">
        <f>IFERROR(__xludf.DUMMYFUNCTION("""COMPUTED_VALUE"""),"MFH")</f>
        <v>MFH</v>
      </c>
      <c r="J2458" s="6" t="str">
        <f>IFERROR(__xludf.DUMMYFUNCTION("""COMPUTED_VALUE"""),"Blister")</f>
        <v>Blister</v>
      </c>
      <c r="K2458" s="6" t="str">
        <f>IFERROR(__xludf.DUMMYFUNCTION("""COMPUTED_VALUE"""),"SPR/09/25/029")</f>
        <v>SPR/09/25/029</v>
      </c>
      <c r="L2458" s="13">
        <f>IFERROR(__xludf.DUMMYFUNCTION("""COMPUTED_VALUE"""),45930.0)</f>
        <v>45930</v>
      </c>
    </row>
    <row r="2459">
      <c r="A2459" s="6" t="str">
        <f>IFERROR(__xludf.DUMMYFUNCTION("""COMPUTED_VALUE"""),"ROS")</f>
        <v>ROS</v>
      </c>
      <c r="B2459" s="6" t="str">
        <f>IFERROR(__xludf.DUMMYFUNCTION("""COMPUTED_VALUE"""),"ENG")</f>
        <v>ENG</v>
      </c>
      <c r="C2459" s="6" t="str">
        <f>IFERROR(__xludf.DUMMYFUNCTION("""COMPUTED_VALUE"""),"O-16033-00")</f>
        <v>O-16033-00</v>
      </c>
      <c r="D245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459" s="6">
        <f>IFERROR(__xludf.DUMMYFUNCTION("""COMPUTED_VALUE"""),1.0)</f>
        <v>1</v>
      </c>
      <c r="F2459" s="6">
        <f>IFERROR(__xludf.DUMMYFUNCTION("""COMPUTED_VALUE"""),1.0)</f>
        <v>1</v>
      </c>
      <c r="G2459" s="6">
        <f>IFERROR(__xludf.DUMMYFUNCTION("""COMPUTED_VALUE"""),0.0)</f>
        <v>0</v>
      </c>
      <c r="H2459" s="6" t="str">
        <f>IFERROR(__xludf.DUMMYFUNCTION("""COMPUTED_VALUE"""),"pcs")</f>
        <v>pcs</v>
      </c>
      <c r="I2459" s="6" t="str">
        <f>IFERROR(__xludf.DUMMYFUNCTION("""COMPUTED_VALUE"""),"MFH")</f>
        <v>MFH</v>
      </c>
      <c r="J2459" s="6" t="str">
        <f>IFERROR(__xludf.DUMMYFUNCTION("""COMPUTED_VALUE"""),"cRABS")</f>
        <v>cRABS</v>
      </c>
      <c r="K2459" s="6" t="str">
        <f>IFERROR(__xludf.DUMMYFUNCTION("""COMPUTED_VALUE"""),"SPR/09/25/030")</f>
        <v>SPR/09/25/030</v>
      </c>
      <c r="L2459" s="13">
        <f>IFERROR(__xludf.DUMMYFUNCTION("""COMPUTED_VALUE"""),45930.0)</f>
        <v>45930</v>
      </c>
    </row>
    <row r="2460">
      <c r="A2460" s="6" t="str">
        <f>IFERROR(__xludf.DUMMYFUNCTION("""COMPUTED_VALUE"""),"ROS")</f>
        <v>ROS</v>
      </c>
      <c r="B2460" s="6" t="str">
        <f>IFERROR(__xludf.DUMMYFUNCTION("""COMPUTED_VALUE"""),"ENG")</f>
        <v>ENG</v>
      </c>
      <c r="C2460" s="6" t="str">
        <f>IFERROR(__xludf.DUMMYFUNCTION("""COMPUTED_VALUE"""),"P-10945-00")</f>
        <v>P-10945-00</v>
      </c>
      <c r="D2460" s="6" t="str">
        <f>IFERROR(__xludf.DUMMYFUNCTION("""COMPUTED_VALUE"""),"General - Seal Tape 1 Inch 10 M; Onda; ST 02; 1 pcs")</f>
        <v>General - Seal Tape 1 Inch 10 M; Onda; ST 02; 1 pcs</v>
      </c>
      <c r="E2460" s="6">
        <f>IFERROR(__xludf.DUMMYFUNCTION("""COMPUTED_VALUE"""),4.0)</f>
        <v>4</v>
      </c>
      <c r="F2460" s="6">
        <f>IFERROR(__xludf.DUMMYFUNCTION("""COMPUTED_VALUE"""),4.0)</f>
        <v>4</v>
      </c>
      <c r="G2460" s="6">
        <f>IFERROR(__xludf.DUMMYFUNCTION("""COMPUTED_VALUE"""),0.0)</f>
        <v>0</v>
      </c>
      <c r="H2460" s="6" t="str">
        <f>IFERROR(__xludf.DUMMYFUNCTION("""COMPUTED_VALUE"""),"pcs")</f>
        <v>pcs</v>
      </c>
      <c r="I2460" s="6" t="str">
        <f>IFERROR(__xludf.DUMMYFUNCTION("""COMPUTED_VALUE"""),"MFH")</f>
        <v>MFH</v>
      </c>
      <c r="J2460" s="6" t="str">
        <f>IFERROR(__xludf.DUMMYFUNCTION("""COMPUTED_VALUE"""),"GMP")</f>
        <v>GMP</v>
      </c>
      <c r="K2460" s="6" t="str">
        <f>IFERROR(__xludf.DUMMYFUNCTION("""COMPUTED_VALUE"""),"SPR/09/25/030")</f>
        <v>SPR/09/25/030</v>
      </c>
      <c r="L2460" s="13">
        <f>IFERROR(__xludf.DUMMYFUNCTION("""COMPUTED_VALUE"""),45930.0)</f>
        <v>45930</v>
      </c>
    </row>
    <row r="2461">
      <c r="A2461" s="6" t="str">
        <f>IFERROR(__xludf.DUMMYFUNCTION("""COMPUTED_VALUE"""),"INN")</f>
        <v>INN</v>
      </c>
      <c r="B2461" s="6" t="str">
        <f>IFERROR(__xludf.DUMMYFUNCTION("""COMPUTED_VALUE"""),"ENG")</f>
        <v>ENG</v>
      </c>
      <c r="C2461" s="6" t="str">
        <f>IFERROR(__xludf.DUMMYFUNCTION("""COMPUTED_VALUE"""),"O-50831-00")</f>
        <v>O-50831-00</v>
      </c>
      <c r="D2461" s="6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E2461" s="6">
        <f>IFERROR(__xludf.DUMMYFUNCTION("""COMPUTED_VALUE"""),1.0)</f>
        <v>1</v>
      </c>
      <c r="F2461" s="6">
        <f>IFERROR(__xludf.DUMMYFUNCTION("""COMPUTED_VALUE"""),1.0)</f>
        <v>1</v>
      </c>
      <c r="G2461" s="6">
        <f>IFERROR(__xludf.DUMMYFUNCTION("""COMPUTED_VALUE"""),0.0)</f>
        <v>0</v>
      </c>
      <c r="H2461" s="6" t="str">
        <f>IFERROR(__xludf.DUMMYFUNCTION("""COMPUTED_VALUE"""),"pcs")</f>
        <v>pcs</v>
      </c>
      <c r="I2461" s="6" t="str">
        <f>IFERROR(__xludf.DUMMYFUNCTION("""COMPUTED_VALUE"""),"MFH")</f>
        <v>MFH</v>
      </c>
      <c r="J2461" s="6" t="str">
        <f>IFERROR(__xludf.DUMMYFUNCTION("""COMPUTED_VALUE"""),"Autoclave")</f>
        <v>Autoclave</v>
      </c>
      <c r="K2461" s="6" t="str">
        <f>IFERROR(__xludf.DUMMYFUNCTION("""COMPUTED_VALUE"""),"SPR/09/25/031")</f>
        <v>SPR/09/25/031</v>
      </c>
      <c r="L2461" s="13">
        <f>IFERROR(__xludf.DUMMYFUNCTION("""COMPUTED_VALUE"""),45930.0)</f>
        <v>45930</v>
      </c>
    </row>
    <row r="2462">
      <c r="A2462" s="6" t="str">
        <f>IFERROR(__xludf.DUMMYFUNCTION("""COMPUTED_VALUE"""),"INN")</f>
        <v>INN</v>
      </c>
      <c r="B2462" s="6" t="str">
        <f>IFERROR(__xludf.DUMMYFUNCTION("""COMPUTED_VALUE"""),"ENG")</f>
        <v>ENG</v>
      </c>
      <c r="C2462" s="6" t="str">
        <f>IFERROR(__xludf.DUMMYFUNCTION("""COMPUTED_VALUE"""),"O-16033-00")</f>
        <v>O-16033-00</v>
      </c>
      <c r="D246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462" s="6">
        <f>IFERROR(__xludf.DUMMYFUNCTION("""COMPUTED_VALUE"""),1.0)</f>
        <v>1</v>
      </c>
      <c r="F2462" s="6">
        <f>IFERROR(__xludf.DUMMYFUNCTION("""COMPUTED_VALUE"""),1.0)</f>
        <v>1</v>
      </c>
      <c r="G2462" s="6">
        <f>IFERROR(__xludf.DUMMYFUNCTION("""COMPUTED_VALUE"""),0.0)</f>
        <v>0</v>
      </c>
      <c r="H2462" s="6" t="str">
        <f>IFERROR(__xludf.DUMMYFUNCTION("""COMPUTED_VALUE"""),"pcs")</f>
        <v>pcs</v>
      </c>
      <c r="I2462" s="6" t="str">
        <f>IFERROR(__xludf.DUMMYFUNCTION("""COMPUTED_VALUE"""),"MFH")</f>
        <v>MFH</v>
      </c>
      <c r="J2462" s="6" t="str">
        <f>IFERROR(__xludf.DUMMYFUNCTION("""COMPUTED_VALUE"""),"cRABS")</f>
        <v>cRABS</v>
      </c>
      <c r="K2462" s="6" t="str">
        <f>IFERROR(__xludf.DUMMYFUNCTION("""COMPUTED_VALUE"""),"SPR/09/25/031")</f>
        <v>SPR/09/25/031</v>
      </c>
      <c r="L2462" s="13">
        <f>IFERROR(__xludf.DUMMYFUNCTION("""COMPUTED_VALUE"""),45930.0)</f>
        <v>45930</v>
      </c>
    </row>
    <row r="2463">
      <c r="A2463" s="6" t="str">
        <f>IFERROR(__xludf.DUMMYFUNCTION("""COMPUTED_VALUE"""),"INN")</f>
        <v>INN</v>
      </c>
      <c r="B2463" s="6" t="str">
        <f>IFERROR(__xludf.DUMMYFUNCTION("""COMPUTED_VALUE"""),"ENG")</f>
        <v>ENG</v>
      </c>
      <c r="C2463" s="6" t="str">
        <f>IFERROR(__xludf.DUMMYFUNCTION("""COMPUTED_VALUE"""),"O-16032-00")</f>
        <v>O-16032-00</v>
      </c>
      <c r="D2463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463" s="6">
        <f>IFERROR(__xludf.DUMMYFUNCTION("""COMPUTED_VALUE"""),1.0)</f>
        <v>1</v>
      </c>
      <c r="F2463" s="6">
        <f>IFERROR(__xludf.DUMMYFUNCTION("""COMPUTED_VALUE"""),1.0)</f>
        <v>1</v>
      </c>
      <c r="G2463" s="6">
        <f>IFERROR(__xludf.DUMMYFUNCTION("""COMPUTED_VALUE"""),0.0)</f>
        <v>0</v>
      </c>
      <c r="H2463" s="6" t="str">
        <f>IFERROR(__xludf.DUMMYFUNCTION("""COMPUTED_VALUE"""),"Pcs")</f>
        <v>Pcs</v>
      </c>
      <c r="I2463" s="6" t="str">
        <f>IFERROR(__xludf.DUMMYFUNCTION("""COMPUTED_VALUE"""),"MFH ")</f>
        <v>MFH </v>
      </c>
      <c r="J2463" s="6" t="str">
        <f>IFERROR(__xludf.DUMMYFUNCTION("""COMPUTED_VALUE"""),"cRABS")</f>
        <v>cRABS</v>
      </c>
      <c r="K2463" s="6" t="str">
        <f>IFERROR(__xludf.DUMMYFUNCTION("""COMPUTED_VALUE"""),"SPR/09/25/031")</f>
        <v>SPR/09/25/031</v>
      </c>
      <c r="L2463" s="13">
        <f>IFERROR(__xludf.DUMMYFUNCTION("""COMPUTED_VALUE"""),45930.0)</f>
        <v>45930</v>
      </c>
    </row>
    <row r="2464">
      <c r="A2464" s="6" t="str">
        <f>IFERROR(__xludf.DUMMYFUNCTION("""COMPUTED_VALUE"""),"INN")</f>
        <v>INN</v>
      </c>
      <c r="B2464" s="6" t="str">
        <f>IFERROR(__xludf.DUMMYFUNCTION("""COMPUTED_VALUE"""),"ENG")</f>
        <v>ENG</v>
      </c>
      <c r="C2464" s="6" t="str">
        <f>IFERROR(__xludf.DUMMYFUNCTION("""COMPUTED_VALUE"""),"O-16033-00")</f>
        <v>O-16033-00</v>
      </c>
      <c r="D246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464" s="6">
        <f>IFERROR(__xludf.DUMMYFUNCTION("""COMPUTED_VALUE"""),1.0)</f>
        <v>1</v>
      </c>
      <c r="F2464" s="6">
        <f>IFERROR(__xludf.DUMMYFUNCTION("""COMPUTED_VALUE"""),1.0)</f>
        <v>1</v>
      </c>
      <c r="G2464" s="6">
        <f>IFERROR(__xludf.DUMMYFUNCTION("""COMPUTED_VALUE"""),0.0)</f>
        <v>0</v>
      </c>
      <c r="H2464" s="6" t="str">
        <f>IFERROR(__xludf.DUMMYFUNCTION("""COMPUTED_VALUE"""),"pcs")</f>
        <v>pcs</v>
      </c>
      <c r="I2464" s="6" t="str">
        <f>IFERROR(__xludf.DUMMYFUNCTION("""COMPUTED_VALUE"""),"MFH")</f>
        <v>MFH</v>
      </c>
      <c r="J2464" s="6" t="str">
        <f>IFERROR(__xludf.DUMMYFUNCTION("""COMPUTED_VALUE"""),"cRABS")</f>
        <v>cRABS</v>
      </c>
      <c r="K2464" s="6" t="str">
        <f>IFERROR(__xludf.DUMMYFUNCTION("""COMPUTED_VALUE"""),"SPR/09/25/032")</f>
        <v>SPR/09/25/032</v>
      </c>
      <c r="L2464" s="13">
        <f>IFERROR(__xludf.DUMMYFUNCTION("""COMPUTED_VALUE"""),45930.0)</f>
        <v>45930</v>
      </c>
    </row>
    <row r="2465">
      <c r="A2465" s="6" t="str">
        <f>IFERROR(__xludf.DUMMYFUNCTION("""COMPUTED_VALUE"""),"INN")</f>
        <v>INN</v>
      </c>
      <c r="B2465" s="6" t="str">
        <f>IFERROR(__xludf.DUMMYFUNCTION("""COMPUTED_VALUE"""),"ENG")</f>
        <v>ENG</v>
      </c>
      <c r="C2465" s="6" t="str">
        <f>IFERROR(__xludf.DUMMYFUNCTION("""COMPUTED_VALUE"""),"O-16033-00")</f>
        <v>O-16033-00</v>
      </c>
      <c r="D246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465" s="6">
        <f>IFERROR(__xludf.DUMMYFUNCTION("""COMPUTED_VALUE"""),1.0)</f>
        <v>1</v>
      </c>
      <c r="F2465" s="6">
        <f>IFERROR(__xludf.DUMMYFUNCTION("""COMPUTED_VALUE"""),1.0)</f>
        <v>1</v>
      </c>
      <c r="G2465" s="6">
        <f>IFERROR(__xludf.DUMMYFUNCTION("""COMPUTED_VALUE"""),0.0)</f>
        <v>0</v>
      </c>
      <c r="H2465" s="6" t="str">
        <f>IFERROR(__xludf.DUMMYFUNCTION("""COMPUTED_VALUE"""),"pcs")</f>
        <v>pcs</v>
      </c>
      <c r="I2465" s="6" t="str">
        <f>IFERROR(__xludf.DUMMYFUNCTION("""COMPUTED_VALUE"""),"MFH")</f>
        <v>MFH</v>
      </c>
      <c r="J2465" s="6" t="str">
        <f>IFERROR(__xludf.DUMMYFUNCTION("""COMPUTED_VALUE"""),"cRABS")</f>
        <v>cRABS</v>
      </c>
      <c r="K2465" s="6" t="str">
        <f>IFERROR(__xludf.DUMMYFUNCTION("""COMPUTED_VALUE"""),"SPR/09/25/033")</f>
        <v>SPR/09/25/033</v>
      </c>
      <c r="L2465" s="13">
        <f>IFERROR(__xludf.DUMMYFUNCTION("""COMPUTED_VALUE"""),45930.0)</f>
        <v>45930</v>
      </c>
    </row>
    <row r="2466">
      <c r="A2466" s="6" t="str">
        <f>IFERROR(__xludf.DUMMYFUNCTION("""COMPUTED_VALUE"""),"ANO")</f>
        <v>ANO</v>
      </c>
      <c r="B2466" s="6" t="str">
        <f>IFERROR(__xludf.DUMMYFUNCTION("""COMPUTED_VALUE"""),"ENG")</f>
        <v>ENG</v>
      </c>
      <c r="C2466" s="6" t="str">
        <f>IFERROR(__xludf.DUMMYFUNCTION("""COMPUTED_VALUE"""),"O-20841-00")</f>
        <v>O-20841-00</v>
      </c>
      <c r="D2466" s="6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E2466" s="6">
        <f>IFERROR(__xludf.DUMMYFUNCTION("""COMPUTED_VALUE"""),1.0)</f>
        <v>1</v>
      </c>
      <c r="F2466" s="6">
        <f>IFERROR(__xludf.DUMMYFUNCTION("""COMPUTED_VALUE"""),1.0)</f>
        <v>1</v>
      </c>
      <c r="G2466" s="6">
        <f>IFERROR(__xludf.DUMMYFUNCTION("""COMPUTED_VALUE"""),0.0)</f>
        <v>0</v>
      </c>
      <c r="H2466" s="6" t="str">
        <f>IFERROR(__xludf.DUMMYFUNCTION("""COMPUTED_VALUE"""),"pcs")</f>
        <v>pcs</v>
      </c>
      <c r="I2466" s="6" t="str">
        <f>IFERROR(__xludf.DUMMYFUNCTION("""COMPUTED_VALUE"""),"MFH")</f>
        <v>MFH</v>
      </c>
      <c r="J2466" s="6" t="str">
        <f>IFERROR(__xludf.DUMMYFUNCTION("""COMPUTED_VALUE"""),"BSC")</f>
        <v>BSC</v>
      </c>
      <c r="K2466" s="6" t="str">
        <f>IFERROR(__xludf.DUMMYFUNCTION("""COMPUTED_VALUE"""),"SPR/09/25/034")</f>
        <v>SPR/09/25/034</v>
      </c>
      <c r="L2466" s="13">
        <f>IFERROR(__xludf.DUMMYFUNCTION("""COMPUTED_VALUE"""),45930.0)</f>
        <v>45930</v>
      </c>
    </row>
    <row r="2467">
      <c r="A2467" s="6" t="str">
        <f>IFERROR(__xludf.DUMMYFUNCTION("""COMPUTED_VALUE"""),"ANO")</f>
        <v>ANO</v>
      </c>
      <c r="B2467" s="6" t="str">
        <f>IFERROR(__xludf.DUMMYFUNCTION("""COMPUTED_VALUE"""),"ENG")</f>
        <v>ENG</v>
      </c>
      <c r="C2467" s="6" t="str">
        <f>IFERROR(__xludf.DUMMYFUNCTION("""COMPUTED_VALUE"""),"O-20842-00")</f>
        <v>O-20842-00</v>
      </c>
      <c r="D2467" s="6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E2467" s="6">
        <f>IFERROR(__xludf.DUMMYFUNCTION("""COMPUTED_VALUE"""),1.0)</f>
        <v>1</v>
      </c>
      <c r="F2467" s="6">
        <f>IFERROR(__xludf.DUMMYFUNCTION("""COMPUTED_VALUE"""),1.0)</f>
        <v>1</v>
      </c>
      <c r="G2467" s="6">
        <f>IFERROR(__xludf.DUMMYFUNCTION("""COMPUTED_VALUE"""),0.0)</f>
        <v>0</v>
      </c>
      <c r="H2467" s="6" t="str">
        <f>IFERROR(__xludf.DUMMYFUNCTION("""COMPUTED_VALUE"""),"pcs")</f>
        <v>pcs</v>
      </c>
      <c r="I2467" s="6" t="str">
        <f>IFERROR(__xludf.DUMMYFUNCTION("""COMPUTED_VALUE"""),"MFH")</f>
        <v>MFH</v>
      </c>
      <c r="J2467" s="6" t="str">
        <f>IFERROR(__xludf.DUMMYFUNCTION("""COMPUTED_VALUE"""),"BSC")</f>
        <v>BSC</v>
      </c>
      <c r="K2467" s="6" t="str">
        <f>IFERROR(__xludf.DUMMYFUNCTION("""COMPUTED_VALUE"""),"SPR/09/25/034")</f>
        <v>SPR/09/25/034</v>
      </c>
      <c r="L2467" s="13">
        <f>IFERROR(__xludf.DUMMYFUNCTION("""COMPUTED_VALUE"""),45930.0)</f>
        <v>45930</v>
      </c>
    </row>
    <row r="2468">
      <c r="A2468" s="6" t="str">
        <f>IFERROR(__xludf.DUMMYFUNCTION("""COMPUTED_VALUE"""),"ANO")</f>
        <v>ANO</v>
      </c>
      <c r="B2468" s="6" t="str">
        <f>IFERROR(__xludf.DUMMYFUNCTION("""COMPUTED_VALUE"""),"ENG")</f>
        <v>ENG</v>
      </c>
      <c r="C2468" s="6" t="str">
        <f>IFERROR(__xludf.DUMMYFUNCTION("""COMPUTED_VALUE"""),"O-20843-00")</f>
        <v>O-20843-00</v>
      </c>
      <c r="D2468" s="6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E2468" s="6">
        <f>IFERROR(__xludf.DUMMYFUNCTION("""COMPUTED_VALUE"""),1.0)</f>
        <v>1</v>
      </c>
      <c r="F2468" s="6">
        <f>IFERROR(__xludf.DUMMYFUNCTION("""COMPUTED_VALUE"""),1.0)</f>
        <v>1</v>
      </c>
      <c r="G2468" s="6">
        <f>IFERROR(__xludf.DUMMYFUNCTION("""COMPUTED_VALUE"""),0.0)</f>
        <v>0</v>
      </c>
      <c r="H2468" s="6" t="str">
        <f>IFERROR(__xludf.DUMMYFUNCTION("""COMPUTED_VALUE"""),"pcs")</f>
        <v>pcs</v>
      </c>
      <c r="I2468" s="6" t="str">
        <f>IFERROR(__xludf.DUMMYFUNCTION("""COMPUTED_VALUE"""),"MFH")</f>
        <v>MFH</v>
      </c>
      <c r="J2468" s="6" t="str">
        <f>IFERROR(__xludf.DUMMYFUNCTION("""COMPUTED_VALUE"""),"BSC")</f>
        <v>BSC</v>
      </c>
      <c r="K2468" s="6" t="str">
        <f>IFERROR(__xludf.DUMMYFUNCTION("""COMPUTED_VALUE"""),"SPR/09/25/034")</f>
        <v>SPR/09/25/034</v>
      </c>
      <c r="L2468" s="13">
        <f>IFERROR(__xludf.DUMMYFUNCTION("""COMPUTED_VALUE"""),45930.0)</f>
        <v>45930</v>
      </c>
    </row>
    <row r="2469">
      <c r="A2469" s="6" t="str">
        <f>IFERROR(__xludf.DUMMYFUNCTION("""COMPUTED_VALUE"""),"ANO")</f>
        <v>ANO</v>
      </c>
      <c r="B2469" s="6" t="str">
        <f>IFERROR(__xludf.DUMMYFUNCTION("""COMPUTED_VALUE"""),"ENG")</f>
        <v>ENG</v>
      </c>
      <c r="C2469" s="6" t="str">
        <f>IFERROR(__xludf.DUMMYFUNCTION("""COMPUTED_VALUE"""),"Q-60503-00")</f>
        <v>Q-60503-00</v>
      </c>
      <c r="D2469" s="6" t="str">
        <f>IFERROR(__xludf.DUMMYFUNCTION("""COMPUTED_VALUE"""),"Silicone Sealant, Silglaze, Type N10 Grey, pack size per pcs")</f>
        <v>Silicone Sealant, Silglaze, Type N10 Grey, pack size per pcs</v>
      </c>
      <c r="E2469" s="6">
        <f>IFERROR(__xludf.DUMMYFUNCTION("""COMPUTED_VALUE"""),8.0)</f>
        <v>8</v>
      </c>
      <c r="F2469" s="6">
        <f>IFERROR(__xludf.DUMMYFUNCTION("""COMPUTED_VALUE"""),8.0)</f>
        <v>8</v>
      </c>
      <c r="G2469" s="6">
        <f>IFERROR(__xludf.DUMMYFUNCTION("""COMPUTED_VALUE"""),0.0)</f>
        <v>0</v>
      </c>
      <c r="H2469" s="6" t="str">
        <f>IFERROR(__xludf.DUMMYFUNCTION("""COMPUTED_VALUE"""),"pcs")</f>
        <v>pcs</v>
      </c>
      <c r="I2469" s="6" t="str">
        <f>IFERROR(__xludf.DUMMYFUNCTION("""COMPUTED_VALUE"""),"MFH")</f>
        <v>MFH</v>
      </c>
      <c r="J2469" s="6" t="str">
        <f>IFERROR(__xludf.DUMMYFUNCTION("""COMPUTED_VALUE"""),"BSC")</f>
        <v>BSC</v>
      </c>
      <c r="K2469" s="6" t="str">
        <f>IFERROR(__xludf.DUMMYFUNCTION("""COMPUTED_VALUE"""),"SPR/09/25/034")</f>
        <v>SPR/09/25/034</v>
      </c>
      <c r="L2469" s="13">
        <f>IFERROR(__xludf.DUMMYFUNCTION("""COMPUTED_VALUE"""),45930.0)</f>
        <v>45930</v>
      </c>
    </row>
    <row r="2470">
      <c r="A2470" s="6" t="str">
        <f>IFERROR(__xludf.DUMMYFUNCTION("""COMPUTED_VALUE"""),"ANO")</f>
        <v>ANO</v>
      </c>
      <c r="B2470" s="6" t="str">
        <f>IFERROR(__xludf.DUMMYFUNCTION("""COMPUTED_VALUE"""),"ENG")</f>
        <v>ENG</v>
      </c>
      <c r="C2470" s="6" t="str">
        <f>IFERROR(__xludf.DUMMYFUNCTION("""COMPUTED_VALUE"""),"P-15851-00")</f>
        <v>P-15851-00</v>
      </c>
      <c r="D2470" s="6" t="str">
        <f>IFERROR(__xludf.DUMMYFUNCTION("""COMPUTED_VALUE"""),"AMPLAS  EAGLE 100")</f>
        <v>AMPLAS  EAGLE 100</v>
      </c>
      <c r="E2470" s="6">
        <f>IFERROR(__xludf.DUMMYFUNCTION("""COMPUTED_VALUE"""),29.0)</f>
        <v>29</v>
      </c>
      <c r="F2470" s="6">
        <f>IFERROR(__xludf.DUMMYFUNCTION("""COMPUTED_VALUE"""),29.0)</f>
        <v>29</v>
      </c>
      <c r="G2470" s="6">
        <f>IFERROR(__xludf.DUMMYFUNCTION("""COMPUTED_VALUE"""),0.0)</f>
        <v>0</v>
      </c>
      <c r="H2470" s="6" t="str">
        <f>IFERROR(__xludf.DUMMYFUNCTION("""COMPUTED_VALUE"""),"pcs")</f>
        <v>pcs</v>
      </c>
      <c r="I2470" s="6" t="str">
        <f>IFERROR(__xludf.DUMMYFUNCTION("""COMPUTED_VALUE"""),"MFH")</f>
        <v>MFH</v>
      </c>
      <c r="J2470" s="6" t="str">
        <f>IFERROR(__xludf.DUMMYFUNCTION("""COMPUTED_VALUE"""),"BSC")</f>
        <v>BSC</v>
      </c>
      <c r="K2470" s="6" t="str">
        <f>IFERROR(__xludf.DUMMYFUNCTION("""COMPUTED_VALUE"""),"SPR/09/25/034")</f>
        <v>SPR/09/25/034</v>
      </c>
      <c r="L2470" s="13">
        <f>IFERROR(__xludf.DUMMYFUNCTION("""COMPUTED_VALUE"""),45930.0)</f>
        <v>45930</v>
      </c>
    </row>
    <row r="2471">
      <c r="A2471" s="6" t="str">
        <f>IFERROR(__xludf.DUMMYFUNCTION("""COMPUTED_VALUE"""),"ANO")</f>
        <v>ANO</v>
      </c>
      <c r="B2471" s="6" t="str">
        <f>IFERROR(__xludf.DUMMYFUNCTION("""COMPUTED_VALUE"""),"ENG")</f>
        <v>ENG</v>
      </c>
      <c r="C2471" s="6" t="str">
        <f>IFERROR(__xludf.DUMMYFUNCTION("""COMPUTED_VALUE"""),"T-80109-00")</f>
        <v>T-80109-00</v>
      </c>
      <c r="D2471" s="6" t="str">
        <f>IFERROR(__xludf.DUMMYFUNCTION("""COMPUTED_VALUE"""),"Cellotape Kertas 1 inch warna Putih")</f>
        <v>Cellotape Kertas 1 inch warna Putih</v>
      </c>
      <c r="E2471" s="6">
        <f>IFERROR(__xludf.DUMMYFUNCTION("""COMPUTED_VALUE"""),3.0)</f>
        <v>3</v>
      </c>
      <c r="F2471" s="6">
        <f>IFERROR(__xludf.DUMMYFUNCTION("""COMPUTED_VALUE"""),3.0)</f>
        <v>3</v>
      </c>
      <c r="G2471" s="6">
        <f>IFERROR(__xludf.DUMMYFUNCTION("""COMPUTED_VALUE"""),0.0)</f>
        <v>0</v>
      </c>
      <c r="H2471" s="6" t="str">
        <f>IFERROR(__xludf.DUMMYFUNCTION("""COMPUTED_VALUE"""),"pcs")</f>
        <v>pcs</v>
      </c>
      <c r="I2471" s="6" t="str">
        <f>IFERROR(__xludf.DUMMYFUNCTION("""COMPUTED_VALUE"""),"MFH")</f>
        <v>MFH</v>
      </c>
      <c r="J2471" s="6" t="str">
        <f>IFERROR(__xludf.DUMMYFUNCTION("""COMPUTED_VALUE"""),"BSC")</f>
        <v>BSC</v>
      </c>
      <c r="K2471" s="6" t="str">
        <f>IFERROR(__xludf.DUMMYFUNCTION("""COMPUTED_VALUE"""),"SPR/09/25/034")</f>
        <v>SPR/09/25/034</v>
      </c>
      <c r="L2471" s="13">
        <f>IFERROR(__xludf.DUMMYFUNCTION("""COMPUTED_VALUE"""),45930.0)</f>
        <v>45930</v>
      </c>
    </row>
    <row r="2472">
      <c r="A2472" s="6" t="str">
        <f>IFERROR(__xludf.DUMMYFUNCTION("""COMPUTED_VALUE"""),"ROS")</f>
        <v>ROS</v>
      </c>
      <c r="B2472" s="6" t="str">
        <f>IFERROR(__xludf.DUMMYFUNCTION("""COMPUTED_VALUE"""),"ENG")</f>
        <v>ENG</v>
      </c>
      <c r="C2472" s="6" t="str">
        <f>IFERROR(__xludf.DUMMYFUNCTION("""COMPUTED_VALUE"""),"P-19410-00")</f>
        <v>P-19410-00</v>
      </c>
      <c r="D2472" s="6" t="str">
        <f>IFERROR(__xludf.DUMMYFUNCTION("""COMPUTED_VALUE"""),"General - Bearing NATA5902; IKO; -; 1 pc")</f>
        <v>General - Bearing NATA5902; IKO; -; 1 pc</v>
      </c>
      <c r="E2472" s="6">
        <f>IFERROR(__xludf.DUMMYFUNCTION("""COMPUTED_VALUE"""),2.0)</f>
        <v>2</v>
      </c>
      <c r="F2472" s="6">
        <f>IFERROR(__xludf.DUMMYFUNCTION("""COMPUTED_VALUE"""),2.0)</f>
        <v>2</v>
      </c>
      <c r="G2472" s="6">
        <f>IFERROR(__xludf.DUMMYFUNCTION("""COMPUTED_VALUE"""),0.0)</f>
        <v>0</v>
      </c>
      <c r="H2472" s="6" t="str">
        <f>IFERROR(__xludf.DUMMYFUNCTION("""COMPUTED_VALUE"""),"Pcs")</f>
        <v>Pcs</v>
      </c>
      <c r="I2472" s="6" t="str">
        <f>IFERROR(__xludf.DUMMYFUNCTION("""COMPUTED_VALUE"""),"MFH")</f>
        <v>MFH</v>
      </c>
      <c r="J2472" s="6" t="str">
        <f>IFERROR(__xludf.DUMMYFUNCTION("""COMPUTED_VALUE"""),"Capping")</f>
        <v>Capping</v>
      </c>
      <c r="K2472" s="6" t="str">
        <f>IFERROR(__xludf.DUMMYFUNCTION("""COMPUTED_VALUE"""),"SPR/09/25/035")</f>
        <v>SPR/09/25/035</v>
      </c>
      <c r="L2472" s="13">
        <f>IFERROR(__xludf.DUMMYFUNCTION("""COMPUTED_VALUE"""),45930.0)</f>
        <v>45930</v>
      </c>
    </row>
    <row r="2473">
      <c r="A2473" s="6" t="str">
        <f>IFERROR(__xludf.DUMMYFUNCTION("""COMPUTED_VALUE"""),"ROS")</f>
        <v>ROS</v>
      </c>
      <c r="B2473" s="6" t="str">
        <f>IFERROR(__xludf.DUMMYFUNCTION("""COMPUTED_VALUE"""),"ENG")</f>
        <v>ENG</v>
      </c>
      <c r="C2473" s="6" t="str">
        <f>IFERROR(__xludf.DUMMYFUNCTION("""COMPUTED_VALUE"""),"Q-60502-00")</f>
        <v>Q-60502-00</v>
      </c>
      <c r="D2473" s="6" t="str">
        <f>IFERROR(__xludf.DUMMYFUNCTION("""COMPUTED_VALUE"""),"Silicone Sealant, Silglaze, Type N10 White, pack size per pcs")</f>
        <v>Silicone Sealant, Silglaze, Type N10 White, pack size per pcs</v>
      </c>
      <c r="E2473" s="6">
        <f>IFERROR(__xludf.DUMMYFUNCTION("""COMPUTED_VALUE"""),5.0)</f>
        <v>5</v>
      </c>
      <c r="F2473" s="6">
        <f>IFERROR(__xludf.DUMMYFUNCTION("""COMPUTED_VALUE"""),5.0)</f>
        <v>5</v>
      </c>
      <c r="G2473" s="6">
        <f>IFERROR(__xludf.DUMMYFUNCTION("""COMPUTED_VALUE"""),0.0)</f>
        <v>0</v>
      </c>
      <c r="H2473" s="6" t="str">
        <f>IFERROR(__xludf.DUMMYFUNCTION("""COMPUTED_VALUE"""),"Pcs")</f>
        <v>Pcs</v>
      </c>
      <c r="I2473" s="6" t="str">
        <f>IFERROR(__xludf.DUMMYFUNCTION("""COMPUTED_VALUE"""),"MFH")</f>
        <v>MFH</v>
      </c>
      <c r="J2473" s="6" t="str">
        <f>IFERROR(__xludf.DUMMYFUNCTION("""COMPUTED_VALUE"""),"OSD")</f>
        <v>OSD</v>
      </c>
      <c r="K2473" s="6" t="str">
        <f>IFERROR(__xludf.DUMMYFUNCTION("""COMPUTED_VALUE"""),"SPR/09/25/035")</f>
        <v>SPR/09/25/035</v>
      </c>
      <c r="L2473" s="13">
        <f>IFERROR(__xludf.DUMMYFUNCTION("""COMPUTED_VALUE"""),45930.0)</f>
        <v>45930</v>
      </c>
    </row>
    <row r="2474">
      <c r="A2474" s="6" t="str">
        <f>IFERROR(__xludf.DUMMYFUNCTION("""COMPUTED_VALUE"""),"ROS")</f>
        <v>ROS</v>
      </c>
      <c r="B2474" s="6" t="str">
        <f>IFERROR(__xludf.DUMMYFUNCTION("""COMPUTED_VALUE"""),"ENG")</f>
        <v>ENG</v>
      </c>
      <c r="C2474" s="6" t="str">
        <f>IFERROR(__xludf.DUMMYFUNCTION("""COMPUTED_VALUE"""),"O-16647-00")</f>
        <v>O-16647-00</v>
      </c>
      <c r="D2474" s="6" t="str">
        <f>IFERROR(__xludf.DUMMYFUNCTION("""COMPUTED_VALUE"""),"Washing RAR4 - Oring Silicone Merah 23x18x2.5 mm")</f>
        <v>Washing RAR4 - Oring Silicone Merah 23x18x2.5 mm</v>
      </c>
      <c r="E2474" s="6">
        <f>IFERROR(__xludf.DUMMYFUNCTION("""COMPUTED_VALUE"""),24.0)</f>
        <v>24</v>
      </c>
      <c r="F2474" s="6">
        <f>IFERROR(__xludf.DUMMYFUNCTION("""COMPUTED_VALUE"""),24.0)</f>
        <v>24</v>
      </c>
      <c r="G2474" s="6">
        <f>IFERROR(__xludf.DUMMYFUNCTION("""COMPUTED_VALUE"""),0.0)</f>
        <v>0</v>
      </c>
      <c r="H2474" s="6" t="str">
        <f>IFERROR(__xludf.DUMMYFUNCTION("""COMPUTED_VALUE"""),"Pcs")</f>
        <v>Pcs</v>
      </c>
      <c r="I2474" s="6" t="str">
        <f>IFERROR(__xludf.DUMMYFUNCTION("""COMPUTED_VALUE"""),"MFH")</f>
        <v>MFH</v>
      </c>
      <c r="J2474" s="6" t="str">
        <f>IFERROR(__xludf.DUMMYFUNCTION("""COMPUTED_VALUE"""),"Capping")</f>
        <v>Capping</v>
      </c>
      <c r="K2474" s="6" t="str">
        <f>IFERROR(__xludf.DUMMYFUNCTION("""COMPUTED_VALUE"""),"SPR/09/25/036")</f>
        <v>SPR/09/25/036</v>
      </c>
      <c r="L2474" s="13">
        <f>IFERROR(__xludf.DUMMYFUNCTION("""COMPUTED_VALUE"""),45930.0)</f>
        <v>45930</v>
      </c>
    </row>
    <row r="2475">
      <c r="A2475" s="6" t="str">
        <f>IFERROR(__xludf.DUMMYFUNCTION("""COMPUTED_VALUE"""),"ANO")</f>
        <v>ANO</v>
      </c>
      <c r="B2475" s="6" t="str">
        <f>IFERROR(__xludf.DUMMYFUNCTION("""COMPUTED_VALUE"""),"ENG")</f>
        <v>ENG</v>
      </c>
      <c r="C2475" s="6" t="str">
        <f>IFERROR(__xludf.DUMMYFUNCTION("""COMPUTED_VALUE"""),"O-15931-00")</f>
        <v>O-15931-00</v>
      </c>
      <c r="D2475" s="6" t="str">
        <f>IFERROR(__xludf.DUMMYFUNCTION("""COMPUTED_VALUE"""),"Double Tape 3M 1"" Merah - P/N : - pc")</f>
        <v>Double Tape 3M 1" Merah - P/N : - pc</v>
      </c>
      <c r="E2475" s="6">
        <f>IFERROR(__xludf.DUMMYFUNCTION("""COMPUTED_VALUE"""),8.0)</f>
        <v>8</v>
      </c>
      <c r="F2475" s="6">
        <f>IFERROR(__xludf.DUMMYFUNCTION("""COMPUTED_VALUE"""),8.0)</f>
        <v>8</v>
      </c>
      <c r="G2475" s="6">
        <f>IFERROR(__xludf.DUMMYFUNCTION("""COMPUTED_VALUE"""),0.0)</f>
        <v>0</v>
      </c>
      <c r="H2475" s="6" t="str">
        <f>IFERROR(__xludf.DUMMYFUNCTION("""COMPUTED_VALUE"""),"pcs")</f>
        <v>pcs</v>
      </c>
      <c r="I2475" s="6" t="str">
        <f>IFERROR(__xludf.DUMMYFUNCTION("""COMPUTED_VALUE"""),"MFH")</f>
        <v>MFH</v>
      </c>
      <c r="J2475" s="6" t="str">
        <f>IFERROR(__xludf.DUMMYFUNCTION("""COMPUTED_VALUE"""),"BSC")</f>
        <v>BSC</v>
      </c>
      <c r="K2475" s="6" t="str">
        <f>IFERROR(__xludf.DUMMYFUNCTION("""COMPUTED_VALUE"""),"SPR/09/25/037")</f>
        <v>SPR/09/25/037</v>
      </c>
      <c r="L2475" s="13">
        <f>IFERROR(__xludf.DUMMYFUNCTION("""COMPUTED_VALUE"""),45930.0)</f>
        <v>45930</v>
      </c>
    </row>
    <row r="2476">
      <c r="A2476" s="6" t="str">
        <f>IFERROR(__xludf.DUMMYFUNCTION("""COMPUTED_VALUE"""),"ANO")</f>
        <v>ANO</v>
      </c>
      <c r="B2476" s="6" t="str">
        <f>IFERROR(__xludf.DUMMYFUNCTION("""COMPUTED_VALUE"""),"ENG")</f>
        <v>ENG</v>
      </c>
      <c r="C2476" s="6" t="str">
        <f>IFERROR(__xludf.DUMMYFUNCTION("""COMPUTED_VALUE"""),"T-80109-00")</f>
        <v>T-80109-00</v>
      </c>
      <c r="D2476" s="6" t="str">
        <f>IFERROR(__xludf.DUMMYFUNCTION("""COMPUTED_VALUE"""),"Cellotape Kertas 1 inch warna Putih")</f>
        <v>Cellotape Kertas 1 inch warna Putih</v>
      </c>
      <c r="E2476" s="6">
        <f>IFERROR(__xludf.DUMMYFUNCTION("""COMPUTED_VALUE"""),1.0)</f>
        <v>1</v>
      </c>
      <c r="F2476" s="6">
        <f>IFERROR(__xludf.DUMMYFUNCTION("""COMPUTED_VALUE"""),1.0)</f>
        <v>1</v>
      </c>
      <c r="G2476" s="6">
        <f>IFERROR(__xludf.DUMMYFUNCTION("""COMPUTED_VALUE"""),0.0)</f>
        <v>0</v>
      </c>
      <c r="H2476" s="6" t="str">
        <f>IFERROR(__xludf.DUMMYFUNCTION("""COMPUTED_VALUE"""),"Pcs")</f>
        <v>Pcs</v>
      </c>
      <c r="I2476" s="6" t="str">
        <f>IFERROR(__xludf.DUMMYFUNCTION("""COMPUTED_VALUE"""),"MFH")</f>
        <v>MFH</v>
      </c>
      <c r="J2476" s="6" t="str">
        <f>IFERROR(__xludf.DUMMYFUNCTION("""COMPUTED_VALUE"""),"BSC")</f>
        <v>BSC</v>
      </c>
      <c r="K2476" s="6" t="str">
        <f>IFERROR(__xludf.DUMMYFUNCTION("""COMPUTED_VALUE"""),"SPR/09/25/037")</f>
        <v>SPR/09/25/037</v>
      </c>
      <c r="L2476" s="13">
        <f>IFERROR(__xludf.DUMMYFUNCTION("""COMPUTED_VALUE"""),45930.0)</f>
        <v>45930</v>
      </c>
    </row>
    <row r="2477">
      <c r="A2477" s="6" t="str">
        <f>IFERROR(__xludf.DUMMYFUNCTION("""COMPUTED_VALUE"""),"ANO")</f>
        <v>ANO</v>
      </c>
      <c r="B2477" s="6" t="str">
        <f>IFERROR(__xludf.DUMMYFUNCTION("""COMPUTED_VALUE"""),"ENG")</f>
        <v>ENG</v>
      </c>
      <c r="C2477" s="6" t="str">
        <f>IFERROR(__xludf.DUMMYFUNCTION("""COMPUTED_VALUE"""),"Q-60501-00")</f>
        <v>Q-60501-00</v>
      </c>
      <c r="D2477" s="6" t="str">
        <f>IFERROR(__xludf.DUMMYFUNCTION("""COMPUTED_VALUE"""),"Silicone Sealant;Silglaze;Type N10 Clear;pack size per pcs")</f>
        <v>Silicone Sealant;Silglaze;Type N10 Clear;pack size per pcs</v>
      </c>
      <c r="E2477" s="6">
        <f>IFERROR(__xludf.DUMMYFUNCTION("""COMPUTED_VALUE"""),6.0)</f>
        <v>6</v>
      </c>
      <c r="F2477" s="6">
        <f>IFERROR(__xludf.DUMMYFUNCTION("""COMPUTED_VALUE"""),6.0)</f>
        <v>6</v>
      </c>
      <c r="G2477" s="6">
        <f>IFERROR(__xludf.DUMMYFUNCTION("""COMPUTED_VALUE"""),0.0)</f>
        <v>0</v>
      </c>
      <c r="H2477" s="6" t="str">
        <f>IFERROR(__xludf.DUMMYFUNCTION("""COMPUTED_VALUE"""),"Pcs")</f>
        <v>Pcs</v>
      </c>
      <c r="I2477" s="6" t="str">
        <f>IFERROR(__xludf.DUMMYFUNCTION("""COMPUTED_VALUE"""),"MFH")</f>
        <v>MFH</v>
      </c>
      <c r="J2477" s="6" t="str">
        <f>IFERROR(__xludf.DUMMYFUNCTION("""COMPUTED_VALUE"""),"BSC")</f>
        <v>BSC</v>
      </c>
      <c r="K2477" s="6" t="str">
        <f>IFERROR(__xludf.DUMMYFUNCTION("""COMPUTED_VALUE"""),"SPR/09/25/037")</f>
        <v>SPR/09/25/037</v>
      </c>
      <c r="L2477" s="13">
        <f>IFERROR(__xludf.DUMMYFUNCTION("""COMPUTED_VALUE"""),45930.0)</f>
        <v>45930</v>
      </c>
    </row>
    <row r="2478">
      <c r="A2478" s="6" t="str">
        <f>IFERROR(__xludf.DUMMYFUNCTION("""COMPUTED_VALUE"""),"ROS")</f>
        <v>ROS</v>
      </c>
      <c r="B2478" s="6" t="str">
        <f>IFERROR(__xludf.DUMMYFUNCTION("""COMPUTED_VALUE"""),"ENG")</f>
        <v>ENG</v>
      </c>
      <c r="C2478" s="6" t="str">
        <f>IFERROR(__xludf.DUMMYFUNCTION("""COMPUTED_VALUE"""),"Q-60503-00")</f>
        <v>Q-60503-00</v>
      </c>
      <c r="D2478" s="6" t="str">
        <f>IFERROR(__xludf.DUMMYFUNCTION("""COMPUTED_VALUE"""),"Silicone Sealant, Silglaze, Type N10 Grey, pack size per pcs")</f>
        <v>Silicone Sealant, Silglaze, Type N10 Grey, pack size per pcs</v>
      </c>
      <c r="E2478" s="6">
        <f>IFERROR(__xludf.DUMMYFUNCTION("""COMPUTED_VALUE"""),8.0)</f>
        <v>8</v>
      </c>
      <c r="F2478" s="6">
        <f>IFERROR(__xludf.DUMMYFUNCTION("""COMPUTED_VALUE"""),8.0)</f>
        <v>8</v>
      </c>
      <c r="G2478" s="6">
        <f>IFERROR(__xludf.DUMMYFUNCTION("""COMPUTED_VALUE"""),0.0)</f>
        <v>0</v>
      </c>
      <c r="H2478" s="6" t="str">
        <f>IFERROR(__xludf.DUMMYFUNCTION("""COMPUTED_VALUE"""),"pcs")</f>
        <v>pcs</v>
      </c>
      <c r="I2478" s="6" t="str">
        <f>IFERROR(__xludf.DUMMYFUNCTION("""COMPUTED_VALUE"""),"MFH")</f>
        <v>MFH</v>
      </c>
      <c r="J2478" s="6" t="str">
        <f>IFERROR(__xludf.DUMMYFUNCTION("""COMPUTED_VALUE"""),"cRABS")</f>
        <v>cRABS</v>
      </c>
      <c r="K2478" s="6" t="str">
        <f>IFERROR(__xludf.DUMMYFUNCTION("""COMPUTED_VALUE"""),"SPR/09/25/038")</f>
        <v>SPR/09/25/038</v>
      </c>
      <c r="L2478" s="13">
        <f>IFERROR(__xludf.DUMMYFUNCTION("""COMPUTED_VALUE"""),45930.0)</f>
        <v>45930</v>
      </c>
    </row>
    <row r="2479">
      <c r="A2479" s="6" t="str">
        <f>IFERROR(__xludf.DUMMYFUNCTION("""COMPUTED_VALUE"""),"ROS")</f>
        <v>ROS</v>
      </c>
      <c r="B2479" s="6" t="str">
        <f>IFERROR(__xludf.DUMMYFUNCTION("""COMPUTED_VALUE"""),"ENG")</f>
        <v>ENG</v>
      </c>
      <c r="C2479" s="6" t="str">
        <f>IFERROR(__xludf.DUMMYFUNCTION("""COMPUTED_VALUE"""),"T-80109-00")</f>
        <v>T-80109-00</v>
      </c>
      <c r="D2479" s="6" t="str">
        <f>IFERROR(__xludf.DUMMYFUNCTION("""COMPUTED_VALUE"""),"Cellotape Kertas 1 inch warna Putih")</f>
        <v>Cellotape Kertas 1 inch warna Putih</v>
      </c>
      <c r="E2479" s="6">
        <f>IFERROR(__xludf.DUMMYFUNCTION("""COMPUTED_VALUE"""),1.0)</f>
        <v>1</v>
      </c>
      <c r="F2479" s="6">
        <f>IFERROR(__xludf.DUMMYFUNCTION("""COMPUTED_VALUE"""),1.0)</f>
        <v>1</v>
      </c>
      <c r="G2479" s="6">
        <f>IFERROR(__xludf.DUMMYFUNCTION("""COMPUTED_VALUE"""),0.0)</f>
        <v>0</v>
      </c>
      <c r="H2479" s="6" t="str">
        <f>IFERROR(__xludf.DUMMYFUNCTION("""COMPUTED_VALUE"""),"Pcs")</f>
        <v>Pcs</v>
      </c>
      <c r="I2479" s="6" t="str">
        <f>IFERROR(__xludf.DUMMYFUNCTION("""COMPUTED_VALUE"""),"MFH")</f>
        <v>MFH</v>
      </c>
      <c r="J2479" s="6" t="str">
        <f>IFERROR(__xludf.DUMMYFUNCTION("""COMPUTED_VALUE"""),"cRABS")</f>
        <v>cRABS</v>
      </c>
      <c r="K2479" s="6" t="str">
        <f>IFERROR(__xludf.DUMMYFUNCTION("""COMPUTED_VALUE"""),"SPR/09/25/038")</f>
        <v>SPR/09/25/038</v>
      </c>
      <c r="L2479" s="13">
        <f>IFERROR(__xludf.DUMMYFUNCTION("""COMPUTED_VALUE"""),45930.0)</f>
        <v>45930</v>
      </c>
    </row>
    <row r="2480">
      <c r="A2480" s="6" t="str">
        <f>IFERROR(__xludf.DUMMYFUNCTION("""COMPUTED_VALUE"""),"INN")</f>
        <v>INN</v>
      </c>
      <c r="B2480" s="6" t="str">
        <f>IFERROR(__xludf.DUMMYFUNCTION("""COMPUTED_VALUE"""),"ENG")</f>
        <v>ENG</v>
      </c>
      <c r="C2480" s="6" t="str">
        <f>IFERROR(__xludf.DUMMYFUNCTION("""COMPUTED_VALUE"""),"O-16647-00")</f>
        <v>O-16647-00</v>
      </c>
      <c r="D2480" s="6" t="str">
        <f>IFERROR(__xludf.DUMMYFUNCTION("""COMPUTED_VALUE"""),"Washing RAR4 - Oring Silicone Merah 23x18x2.5 mm")</f>
        <v>Washing RAR4 - Oring Silicone Merah 23x18x2.5 mm</v>
      </c>
      <c r="E2480" s="6">
        <f>IFERROR(__xludf.DUMMYFUNCTION("""COMPUTED_VALUE"""),24.0)</f>
        <v>24</v>
      </c>
      <c r="F2480" s="6">
        <f>IFERROR(__xludf.DUMMYFUNCTION("""COMPUTED_VALUE"""),24.0)</f>
        <v>24</v>
      </c>
      <c r="G2480" s="6">
        <f>IFERROR(__xludf.DUMMYFUNCTION("""COMPUTED_VALUE"""),0.0)</f>
        <v>0</v>
      </c>
      <c r="H2480" s="6" t="str">
        <f>IFERROR(__xludf.DUMMYFUNCTION("""COMPUTED_VALUE"""),"Pcs")</f>
        <v>Pcs</v>
      </c>
      <c r="I2480" s="6" t="str">
        <f>IFERROR(__xludf.DUMMYFUNCTION("""COMPUTED_VALUE"""),"MFH")</f>
        <v>MFH</v>
      </c>
      <c r="J2480" s="6" t="str">
        <f>IFERROR(__xludf.DUMMYFUNCTION("""COMPUTED_VALUE"""),"Capping")</f>
        <v>Capping</v>
      </c>
      <c r="K2480" s="6" t="str">
        <f>IFERROR(__xludf.DUMMYFUNCTION("""COMPUTED_VALUE"""),"SPR/09/25/039")</f>
        <v>SPR/09/25/039</v>
      </c>
      <c r="L2480" s="13">
        <f>IFERROR(__xludf.DUMMYFUNCTION("""COMPUTED_VALUE"""),45930.0)</f>
        <v>45930</v>
      </c>
    </row>
    <row r="2481">
      <c r="A2481" s="6" t="str">
        <f>IFERROR(__xludf.DUMMYFUNCTION("""COMPUTED_VALUE"""),"INN")</f>
        <v>INN</v>
      </c>
      <c r="B2481" s="6" t="str">
        <f>IFERROR(__xludf.DUMMYFUNCTION("""COMPUTED_VALUE"""),"ENG")</f>
        <v>ENG</v>
      </c>
      <c r="C2481" s="6" t="str">
        <f>IFERROR(__xludf.DUMMYFUNCTION("""COMPUTED_VALUE"""),"P-10945-00")</f>
        <v>P-10945-00</v>
      </c>
      <c r="D2481" s="6" t="str">
        <f>IFERROR(__xludf.DUMMYFUNCTION("""COMPUTED_VALUE"""),"General - Seal Tape 1 Inch 10 M; Onda; ST 02; 1 pcs")</f>
        <v>General - Seal Tape 1 Inch 10 M; Onda; ST 02; 1 pcs</v>
      </c>
      <c r="E2481" s="6">
        <f>IFERROR(__xludf.DUMMYFUNCTION("""COMPUTED_VALUE"""),4.0)</f>
        <v>4</v>
      </c>
      <c r="F2481" s="6">
        <f>IFERROR(__xludf.DUMMYFUNCTION("""COMPUTED_VALUE"""),4.0)</f>
        <v>4</v>
      </c>
      <c r="G2481" s="6">
        <f>IFERROR(__xludf.DUMMYFUNCTION("""COMPUTED_VALUE"""),0.0)</f>
        <v>0</v>
      </c>
      <c r="H2481" s="6" t="str">
        <f>IFERROR(__xludf.DUMMYFUNCTION("""COMPUTED_VALUE"""),"pcs")</f>
        <v>pcs</v>
      </c>
      <c r="I2481" s="6" t="str">
        <f>IFERROR(__xludf.DUMMYFUNCTION("""COMPUTED_VALUE"""),"MFH")</f>
        <v>MFH</v>
      </c>
      <c r="J2481" s="6" t="str">
        <f>IFERROR(__xludf.DUMMYFUNCTION("""COMPUTED_VALUE"""),"-")</f>
        <v>-</v>
      </c>
      <c r="K2481" s="6" t="str">
        <f>IFERROR(__xludf.DUMMYFUNCTION("""COMPUTED_VALUE"""),"SPR/09/25/039")</f>
        <v>SPR/09/25/039</v>
      </c>
      <c r="L2481" s="13">
        <f>IFERROR(__xludf.DUMMYFUNCTION("""COMPUTED_VALUE"""),45930.0)</f>
        <v>45930</v>
      </c>
    </row>
    <row r="2482">
      <c r="A2482" s="6" t="str">
        <f>IFERROR(__xludf.DUMMYFUNCTION("""COMPUTED_VALUE"""),"ROS")</f>
        <v>ROS</v>
      </c>
      <c r="B2482" s="6" t="str">
        <f>IFERROR(__xludf.DUMMYFUNCTION("""COMPUTED_VALUE"""),"ENG")</f>
        <v>ENG</v>
      </c>
      <c r="C2482" s="6" t="str">
        <f>IFERROR(__xludf.DUMMYFUNCTION("""COMPUTED_VALUE"""),"P-15852-00")</f>
        <v>P-15852-00</v>
      </c>
      <c r="D2482" s="6" t="str">
        <f>IFERROR(__xludf.DUMMYFUNCTION("""COMPUTED_VALUE"""),"AMPLAS  EAGLE 500")</f>
        <v>AMPLAS  EAGLE 500</v>
      </c>
      <c r="E2482" s="6">
        <f>IFERROR(__xludf.DUMMYFUNCTION("""COMPUTED_VALUE"""),56.0)</f>
        <v>56</v>
      </c>
      <c r="F2482" s="6">
        <f>IFERROR(__xludf.DUMMYFUNCTION("""COMPUTED_VALUE"""),56.0)</f>
        <v>56</v>
      </c>
      <c r="G2482" s="6">
        <f>IFERROR(__xludf.DUMMYFUNCTION("""COMPUTED_VALUE"""),0.0)</f>
        <v>0</v>
      </c>
      <c r="H2482" s="6" t="str">
        <f>IFERROR(__xludf.DUMMYFUNCTION("""COMPUTED_VALUE"""),"Pcs ")</f>
        <v>Pcs </v>
      </c>
      <c r="I2482" s="6" t="str">
        <f>IFERROR(__xludf.DUMMYFUNCTION("""COMPUTED_VALUE"""),"MFH")</f>
        <v>MFH</v>
      </c>
      <c r="J2482" s="6" t="str">
        <f>IFERROR(__xludf.DUMMYFUNCTION("""COMPUTED_VALUE"""),"Washing ")</f>
        <v>Washing </v>
      </c>
      <c r="K2482" s="6" t="str">
        <f>IFERROR(__xludf.DUMMYFUNCTION("""COMPUTED_VALUE"""),"SPR/09/25/040")</f>
        <v>SPR/09/25/040</v>
      </c>
      <c r="L2482" s="13">
        <f>IFERROR(__xludf.DUMMYFUNCTION("""COMPUTED_VALUE"""),45930.0)</f>
        <v>45930</v>
      </c>
    </row>
    <row r="2483">
      <c r="A2483" s="6" t="str">
        <f>IFERROR(__xludf.DUMMYFUNCTION("""COMPUTED_VALUE"""),"ROS")</f>
        <v>ROS</v>
      </c>
      <c r="B2483" s="6" t="str">
        <f>IFERROR(__xludf.DUMMYFUNCTION("""COMPUTED_VALUE"""),"ENG")</f>
        <v>ENG</v>
      </c>
      <c r="C2483" s="6" t="str">
        <f>IFERROR(__xludf.DUMMYFUNCTION("""COMPUTED_VALUE"""),"P-51559-00")</f>
        <v>P-51559-00</v>
      </c>
      <c r="D2483" s="6" t="str">
        <f>IFERROR(__xludf.DUMMYFUNCTION("""COMPUTED_VALUE"""),"Lampu T5 14watt Putih; Phillips; ;")</f>
        <v>Lampu T5 14watt Putih; Phillips; ;</v>
      </c>
      <c r="E2483" s="6">
        <f>IFERROR(__xludf.DUMMYFUNCTION("""COMPUTED_VALUE"""),5.0)</f>
        <v>5</v>
      </c>
      <c r="F2483" s="6">
        <f>IFERROR(__xludf.DUMMYFUNCTION("""COMPUTED_VALUE"""),5.0)</f>
        <v>5</v>
      </c>
      <c r="G2483" s="6">
        <f>IFERROR(__xludf.DUMMYFUNCTION("""COMPUTED_VALUE"""),0.0)</f>
        <v>0</v>
      </c>
      <c r="H2483" s="6" t="str">
        <f>IFERROR(__xludf.DUMMYFUNCTION("""COMPUTED_VALUE"""),"Pcs")</f>
        <v>Pcs</v>
      </c>
      <c r="I2483" s="6" t="str">
        <f>IFERROR(__xludf.DUMMYFUNCTION("""COMPUTED_VALUE"""),"MFH")</f>
        <v>MFH</v>
      </c>
      <c r="J2483" s="6" t="str">
        <f>IFERROR(__xludf.DUMMYFUNCTION("""COMPUTED_VALUE"""),"Capping")</f>
        <v>Capping</v>
      </c>
      <c r="K2483" s="6" t="str">
        <f>IFERROR(__xludf.DUMMYFUNCTION("""COMPUTED_VALUE"""),"SPR/09/25/041")</f>
        <v>SPR/09/25/041</v>
      </c>
      <c r="L2483" s="13">
        <f>IFERROR(__xludf.DUMMYFUNCTION("""COMPUTED_VALUE"""),45930.0)</f>
        <v>45930</v>
      </c>
    </row>
    <row r="2484">
      <c r="A2484" s="6" t="str">
        <f>IFERROR(__xludf.DUMMYFUNCTION("""COMPUTED_VALUE"""),"ROS")</f>
        <v>ROS</v>
      </c>
      <c r="B2484" s="6" t="str">
        <f>IFERROR(__xludf.DUMMYFUNCTION("""COMPUTED_VALUE"""),"ENG")</f>
        <v>ENG</v>
      </c>
      <c r="C2484" s="6" t="str">
        <f>IFERROR(__xludf.DUMMYFUNCTION("""COMPUTED_VALUE"""),"O-54139-00")</f>
        <v>O-54139-00</v>
      </c>
      <c r="D2484" s="6" t="str">
        <f>IFERROR(__xludf.DUMMYFUNCTION("""COMPUTED_VALUE"""),"Lampu PLC 4U 45W; Hannochs; ;")</f>
        <v>Lampu PLC 4U 45W; Hannochs; ;</v>
      </c>
      <c r="E2484" s="6">
        <f>IFERROR(__xludf.DUMMYFUNCTION("""COMPUTED_VALUE"""),2.0)</f>
        <v>2</v>
      </c>
      <c r="F2484" s="6">
        <f>IFERROR(__xludf.DUMMYFUNCTION("""COMPUTED_VALUE"""),2.0)</f>
        <v>2</v>
      </c>
      <c r="G2484" s="6">
        <f>IFERROR(__xludf.DUMMYFUNCTION("""COMPUTED_VALUE"""),0.0)</f>
        <v>0</v>
      </c>
      <c r="H2484" s="6" t="str">
        <f>IFERROR(__xludf.DUMMYFUNCTION("""COMPUTED_VALUE"""),"Pcs")</f>
        <v>Pcs</v>
      </c>
      <c r="I2484" s="6" t="str">
        <f>IFERROR(__xludf.DUMMYFUNCTION("""COMPUTED_VALUE"""),"MFH")</f>
        <v>MFH</v>
      </c>
      <c r="J2484" s="6" t="str">
        <f>IFERROR(__xludf.DUMMYFUNCTION("""COMPUTED_VALUE"""),"Visual Inspeksi")</f>
        <v>Visual Inspeksi</v>
      </c>
      <c r="K2484" s="6" t="str">
        <f>IFERROR(__xludf.DUMMYFUNCTION("""COMPUTED_VALUE"""),"SPR/09/25/041")</f>
        <v>SPR/09/25/041</v>
      </c>
      <c r="L2484" s="13">
        <f>IFERROR(__xludf.DUMMYFUNCTION("""COMPUTED_VALUE"""),45930.0)</f>
        <v>45930</v>
      </c>
    </row>
    <row r="2485">
      <c r="A2485" s="6" t="str">
        <f>IFERROR(__xludf.DUMMYFUNCTION("""COMPUTED_VALUE"""),"ROS")</f>
        <v>ROS</v>
      </c>
      <c r="B2485" s="6" t="str">
        <f>IFERROR(__xludf.DUMMYFUNCTION("""COMPUTED_VALUE"""),"ENG")</f>
        <v>ENG</v>
      </c>
      <c r="C2485" s="6" t="str">
        <f>IFERROR(__xludf.DUMMYFUNCTION("""COMPUTED_VALUE"""),"O-16647-00")</f>
        <v>O-16647-00</v>
      </c>
      <c r="D2485" s="6" t="str">
        <f>IFERROR(__xludf.DUMMYFUNCTION("""COMPUTED_VALUE"""),"Washing RAR4 - Oring Silicone Merah 23x18x2.5 mm")</f>
        <v>Washing RAR4 - Oring Silicone Merah 23x18x2.5 mm</v>
      </c>
      <c r="E2485" s="6">
        <f>IFERROR(__xludf.DUMMYFUNCTION("""COMPUTED_VALUE"""),24.0)</f>
        <v>24</v>
      </c>
      <c r="F2485" s="6">
        <f>IFERROR(__xludf.DUMMYFUNCTION("""COMPUTED_VALUE"""),24.0)</f>
        <v>24</v>
      </c>
      <c r="G2485" s="6">
        <f>IFERROR(__xludf.DUMMYFUNCTION("""COMPUTED_VALUE"""),0.0)</f>
        <v>0</v>
      </c>
      <c r="H2485" s="6" t="str">
        <f>IFERROR(__xludf.DUMMYFUNCTION("""COMPUTED_VALUE"""),"Pcs")</f>
        <v>Pcs</v>
      </c>
      <c r="I2485" s="6" t="str">
        <f>IFERROR(__xludf.DUMMYFUNCTION("""COMPUTED_VALUE"""),"MFH")</f>
        <v>MFH</v>
      </c>
      <c r="J2485" s="6" t="str">
        <f>IFERROR(__xludf.DUMMYFUNCTION("""COMPUTED_VALUE"""),"Capping")</f>
        <v>Capping</v>
      </c>
      <c r="K2485" s="6" t="str">
        <f>IFERROR(__xludf.DUMMYFUNCTION("""COMPUTED_VALUE"""),"SPR/09/25/042")</f>
        <v>SPR/09/25/042</v>
      </c>
      <c r="L2485" s="13">
        <f>IFERROR(__xludf.DUMMYFUNCTION("""COMPUTED_VALUE"""),45930.0)</f>
        <v>45930</v>
      </c>
    </row>
    <row r="2486">
      <c r="A2486" s="6" t="str">
        <f>IFERROR(__xludf.DUMMYFUNCTION("""COMPUTED_VALUE"""),"ROS")</f>
        <v>ROS</v>
      </c>
      <c r="B2486" s="6" t="str">
        <f>IFERROR(__xludf.DUMMYFUNCTION("""COMPUTED_VALUE"""),"ENG")</f>
        <v>ENG</v>
      </c>
      <c r="C2486" s="6" t="str">
        <f>IFERROR(__xludf.DUMMYFUNCTION("""COMPUTED_VALUE"""),"P-50140-00")</f>
        <v>P-50140-00</v>
      </c>
      <c r="D2486" s="6" t="str">
        <f>IFERROR(__xludf.DUMMYFUNCTION("""COMPUTED_VALUE"""),"Battery UPS - Battery kering 12V 9 AH")</f>
        <v>Battery UPS - Battery kering 12V 9 AH</v>
      </c>
      <c r="E2486" s="6">
        <f>IFERROR(__xludf.DUMMYFUNCTION("""COMPUTED_VALUE"""),2.0)</f>
        <v>2</v>
      </c>
      <c r="F2486" s="6">
        <f>IFERROR(__xludf.DUMMYFUNCTION("""COMPUTED_VALUE"""),2.0)</f>
        <v>2</v>
      </c>
      <c r="G2486" s="6">
        <f>IFERROR(__xludf.DUMMYFUNCTION("""COMPUTED_VALUE"""),0.0)</f>
        <v>0</v>
      </c>
      <c r="H2486" s="6" t="str">
        <f>IFERROR(__xludf.DUMMYFUNCTION("""COMPUTED_VALUE"""),"Pcs")</f>
        <v>Pcs</v>
      </c>
      <c r="I2486" s="6" t="str">
        <f>IFERROR(__xludf.DUMMYFUNCTION("""COMPUTED_VALUE"""),"MFH")</f>
        <v>MFH</v>
      </c>
      <c r="J2486" s="6" t="str">
        <f>IFERROR(__xludf.DUMMYFUNCTION("""COMPUTED_VALUE"""),"UPS")</f>
        <v>UPS</v>
      </c>
      <c r="K2486" s="6" t="str">
        <f>IFERROR(__xludf.DUMMYFUNCTION("""COMPUTED_VALUE"""),"SPR/09/25/042")</f>
        <v>SPR/09/25/042</v>
      </c>
      <c r="L2486" s="13">
        <f>IFERROR(__xludf.DUMMYFUNCTION("""COMPUTED_VALUE"""),45930.0)</f>
        <v>45930</v>
      </c>
    </row>
    <row r="2487">
      <c r="A2487" s="6" t="str">
        <f>IFERROR(__xludf.DUMMYFUNCTION("""COMPUTED_VALUE"""),"AAA")</f>
        <v>AAA</v>
      </c>
      <c r="B2487" s="6" t="str">
        <f>IFERROR(__xludf.DUMMYFUNCTION("""COMPUTED_VALUE"""),"ENG")</f>
        <v>ENG</v>
      </c>
      <c r="C2487" s="6" t="str">
        <f>IFERROR(__xludf.DUMMYFUNCTION("""COMPUTED_VALUE"""),"P-14457-00")</f>
        <v>P-14457-00</v>
      </c>
      <c r="D2487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2487" s="6">
        <f>IFERROR(__xludf.DUMMYFUNCTION("""COMPUTED_VALUE"""),1.0)</f>
        <v>1</v>
      </c>
      <c r="F2487" s="6">
        <f>IFERROR(__xludf.DUMMYFUNCTION("""COMPUTED_VALUE"""),1.0)</f>
        <v>1</v>
      </c>
      <c r="G2487" s="6">
        <f>IFERROR(__xludf.DUMMYFUNCTION("""COMPUTED_VALUE"""),0.0)</f>
        <v>0</v>
      </c>
      <c r="H2487" s="6" t="str">
        <f>IFERROR(__xludf.DUMMYFUNCTION("""COMPUTED_VALUE"""),"Pcs")</f>
        <v>Pcs</v>
      </c>
      <c r="I2487" s="6" t="str">
        <f>IFERROR(__xludf.DUMMYFUNCTION("""COMPUTED_VALUE"""),"MFH")</f>
        <v>MFH</v>
      </c>
      <c r="J2487" s="6" t="str">
        <f>IFERROR(__xludf.DUMMYFUNCTION("""COMPUTED_VALUE"""),"cRABS")</f>
        <v>cRABS</v>
      </c>
      <c r="K2487" s="6" t="str">
        <f>IFERROR(__xludf.DUMMYFUNCTION("""COMPUTED_VALUE"""),"SPR/09/25/043")</f>
        <v>SPR/09/25/043</v>
      </c>
      <c r="L2487" s="13">
        <f>IFERROR(__xludf.DUMMYFUNCTION("""COMPUTED_VALUE"""),45930.0)</f>
        <v>45930</v>
      </c>
    </row>
    <row r="2488">
      <c r="A2488" s="6" t="str">
        <f>IFERROR(__xludf.DUMMYFUNCTION("""COMPUTED_VALUE"""),"ROS")</f>
        <v>ROS</v>
      </c>
      <c r="B2488" s="6" t="str">
        <f>IFERROR(__xludf.DUMMYFUNCTION("""COMPUTED_VALUE"""),"ENG")</f>
        <v>ENG</v>
      </c>
      <c r="C2488" s="6" t="str">
        <f>IFERROR(__xludf.DUMMYFUNCTION("""COMPUTED_VALUE"""),"O-16647-00")</f>
        <v>O-16647-00</v>
      </c>
      <c r="D2488" s="6" t="str">
        <f>IFERROR(__xludf.DUMMYFUNCTION("""COMPUTED_VALUE"""),"Washing RAR4 - Oring Silicone Merah 23x18x2.5 mm")</f>
        <v>Washing RAR4 - Oring Silicone Merah 23x18x2.5 mm</v>
      </c>
      <c r="E2488" s="6">
        <f>IFERROR(__xludf.DUMMYFUNCTION("""COMPUTED_VALUE"""),24.0)</f>
        <v>24</v>
      </c>
      <c r="F2488" s="6">
        <f>IFERROR(__xludf.DUMMYFUNCTION("""COMPUTED_VALUE"""),24.0)</f>
        <v>24</v>
      </c>
      <c r="G2488" s="6">
        <f>IFERROR(__xludf.DUMMYFUNCTION("""COMPUTED_VALUE"""),0.0)</f>
        <v>0</v>
      </c>
      <c r="H2488" s="6" t="str">
        <f>IFERROR(__xludf.DUMMYFUNCTION("""COMPUTED_VALUE"""),"Pcs")</f>
        <v>Pcs</v>
      </c>
      <c r="I2488" s="6" t="str">
        <f>IFERROR(__xludf.DUMMYFUNCTION("""COMPUTED_VALUE"""),"MFH")</f>
        <v>MFH</v>
      </c>
      <c r="J2488" s="6" t="str">
        <f>IFERROR(__xludf.DUMMYFUNCTION("""COMPUTED_VALUE"""),"Capping")</f>
        <v>Capping</v>
      </c>
      <c r="K2488" s="6" t="str">
        <f>IFERROR(__xludf.DUMMYFUNCTION("""COMPUTED_VALUE"""),"SPR/09/25/044")</f>
        <v>SPR/09/25/044</v>
      </c>
      <c r="L2488" s="13">
        <f>IFERROR(__xludf.DUMMYFUNCTION("""COMPUTED_VALUE"""),45930.0)</f>
        <v>45930</v>
      </c>
    </row>
    <row r="2489">
      <c r="A2489" s="6" t="str">
        <f>IFERROR(__xludf.DUMMYFUNCTION("""COMPUTED_VALUE"""),"ROS")</f>
        <v>ROS</v>
      </c>
      <c r="B2489" s="6" t="str">
        <f>IFERROR(__xludf.DUMMYFUNCTION("""COMPUTED_VALUE"""),"ENG")</f>
        <v>ENG</v>
      </c>
      <c r="C2489" s="6" t="str">
        <f>IFERROR(__xludf.DUMMYFUNCTION("""COMPUTED_VALUE"""),"P-10945-00")</f>
        <v>P-10945-00</v>
      </c>
      <c r="D2489" s="6" t="str">
        <f>IFERROR(__xludf.DUMMYFUNCTION("""COMPUTED_VALUE"""),"General - Seal Tape 1 Inch 10 M; Onda; ST 02; 1 pcs")</f>
        <v>General - Seal Tape 1 Inch 10 M; Onda; ST 02; 1 pcs</v>
      </c>
      <c r="E2489" s="6">
        <f>IFERROR(__xludf.DUMMYFUNCTION("""COMPUTED_VALUE"""),4.0)</f>
        <v>4</v>
      </c>
      <c r="F2489" s="6">
        <f>IFERROR(__xludf.DUMMYFUNCTION("""COMPUTED_VALUE"""),4.0)</f>
        <v>4</v>
      </c>
      <c r="G2489" s="6">
        <f>IFERROR(__xludf.DUMMYFUNCTION("""COMPUTED_VALUE"""),0.0)</f>
        <v>0</v>
      </c>
      <c r="H2489" s="6" t="str">
        <f>IFERROR(__xludf.DUMMYFUNCTION("""COMPUTED_VALUE"""),"pcs")</f>
        <v>pcs</v>
      </c>
      <c r="I2489" s="6" t="str">
        <f>IFERROR(__xludf.DUMMYFUNCTION("""COMPUTED_VALUE"""),"MFH")</f>
        <v>MFH</v>
      </c>
      <c r="J2489" s="6" t="str">
        <f>IFERROR(__xludf.DUMMYFUNCTION("""COMPUTED_VALUE"""),"HPLC")</f>
        <v>HPLC</v>
      </c>
      <c r="K2489" s="6" t="str">
        <f>IFERROR(__xludf.DUMMYFUNCTION("""COMPUTED_VALUE"""),"SPR/09/25/044")</f>
        <v>SPR/09/25/044</v>
      </c>
      <c r="L2489" s="13">
        <f>IFERROR(__xludf.DUMMYFUNCTION("""COMPUTED_VALUE"""),45930.0)</f>
        <v>45930</v>
      </c>
    </row>
    <row r="2490">
      <c r="A2490" s="6" t="str">
        <f>IFERROR(__xludf.DUMMYFUNCTION("""COMPUTED_VALUE"""),"SFH")</f>
        <v>SFH</v>
      </c>
      <c r="B2490" s="6" t="str">
        <f>IFERROR(__xludf.DUMMYFUNCTION("""COMPUTED_VALUE"""),"ENG")</f>
        <v>ENG</v>
      </c>
      <c r="C2490" s="6" t="str">
        <f>IFERROR(__xludf.DUMMYFUNCTION("""COMPUTED_VALUE"""),"P-17645-00")</f>
        <v>P-17645-00</v>
      </c>
      <c r="D2490" s="6" t="str">
        <f>IFERROR(__xludf.DUMMYFUNCTION("""COMPUTED_VALUE"""),"Sodium Hiphoclorite; ; ; ltr")</f>
        <v>Sodium Hiphoclorite; ; ; ltr</v>
      </c>
      <c r="E2490" s="6">
        <f>IFERROR(__xludf.DUMMYFUNCTION("""COMPUTED_VALUE"""),130.0)</f>
        <v>130</v>
      </c>
      <c r="F2490" s="6">
        <f>IFERROR(__xludf.DUMMYFUNCTION("""COMPUTED_VALUE"""),130.0)</f>
        <v>130</v>
      </c>
      <c r="G2490" s="6">
        <f>IFERROR(__xludf.DUMMYFUNCTION("""COMPUTED_VALUE"""),0.0)</f>
        <v>0</v>
      </c>
      <c r="H2490" s="6" t="str">
        <f>IFERROR(__xludf.DUMMYFUNCTION("""COMPUTED_VALUE"""),"Pcs")</f>
        <v>Pcs</v>
      </c>
      <c r="I2490" s="6" t="str">
        <f>IFERROR(__xludf.DUMMYFUNCTION("""COMPUTED_VALUE"""),"MFH")</f>
        <v>MFH</v>
      </c>
      <c r="J2490" s="6" t="str">
        <f>IFERROR(__xludf.DUMMYFUNCTION("""COMPUTED_VALUE"""),"WWTP")</f>
        <v>WWTP</v>
      </c>
      <c r="K2490" s="6" t="str">
        <f>IFERROR(__xludf.DUMMYFUNCTION("""COMPUTED_VALUE"""),"SPR/09/25/045")</f>
        <v>SPR/09/25/045</v>
      </c>
      <c r="L2490" s="13">
        <f>IFERROR(__xludf.DUMMYFUNCTION("""COMPUTED_VALUE"""),45930.0)</f>
        <v>45930</v>
      </c>
    </row>
    <row r="2491">
      <c r="A2491" s="6" t="str">
        <f>IFERROR(__xludf.DUMMYFUNCTION("""COMPUTED_VALUE"""),"SFH")</f>
        <v>SFH</v>
      </c>
      <c r="B2491" s="6" t="str">
        <f>IFERROR(__xludf.DUMMYFUNCTION("""COMPUTED_VALUE"""),"ENG")</f>
        <v>ENG</v>
      </c>
      <c r="C2491" s="6" t="str">
        <f>IFERROR(__xludf.DUMMYFUNCTION("""COMPUTED_VALUE"""),"P-12830-00")</f>
        <v>P-12830-00</v>
      </c>
      <c r="D2491" s="6" t="str">
        <f>IFERROR(__xludf.DUMMYFUNCTION("""COMPUTED_VALUE"""),"Sodium metabisulfit")</f>
        <v>Sodium metabisulfit</v>
      </c>
      <c r="E2491" s="6">
        <f>IFERROR(__xludf.DUMMYFUNCTION("""COMPUTED_VALUE"""),1.0)</f>
        <v>1</v>
      </c>
      <c r="F2491" s="6">
        <f>IFERROR(__xludf.DUMMYFUNCTION("""COMPUTED_VALUE"""),1.0)</f>
        <v>1</v>
      </c>
      <c r="G2491" s="6">
        <f>IFERROR(__xludf.DUMMYFUNCTION("""COMPUTED_VALUE"""),0.0)</f>
        <v>0</v>
      </c>
      <c r="H2491" s="6" t="str">
        <f>IFERROR(__xludf.DUMMYFUNCTION("""COMPUTED_VALUE"""),"pcs")</f>
        <v>pcs</v>
      </c>
      <c r="I2491" s="6" t="str">
        <f>IFERROR(__xludf.DUMMYFUNCTION("""COMPUTED_VALUE"""),"MFH")</f>
        <v>MFH</v>
      </c>
      <c r="J2491" s="6" t="str">
        <f>IFERROR(__xludf.DUMMYFUNCTION("""COMPUTED_VALUE"""),"WWTP")</f>
        <v>WWTP</v>
      </c>
      <c r="K2491" s="6" t="str">
        <f>IFERROR(__xludf.DUMMYFUNCTION("""COMPUTED_VALUE"""),"SPR/09/25/045")</f>
        <v>SPR/09/25/045</v>
      </c>
      <c r="L2491" s="13">
        <f>IFERROR(__xludf.DUMMYFUNCTION("""COMPUTED_VALUE"""),45930.0)</f>
        <v>45930</v>
      </c>
    </row>
    <row r="2492">
      <c r="A2492" s="6" t="str">
        <f>IFERROR(__xludf.DUMMYFUNCTION("""COMPUTED_VALUE"""),"SFH")</f>
        <v>SFH</v>
      </c>
      <c r="B2492" s="6" t="str">
        <f>IFERROR(__xludf.DUMMYFUNCTION("""COMPUTED_VALUE"""),"ENG")</f>
        <v>ENG</v>
      </c>
      <c r="C2492" s="6" t="str">
        <f>IFERROR(__xludf.DUMMYFUNCTION("""COMPUTED_VALUE"""),"T-80145-00")</f>
        <v>T-80145-00</v>
      </c>
      <c r="D2492" s="6" t="str">
        <f>IFERROR(__xludf.DUMMYFUNCTION("""COMPUTED_VALUE"""),"Cutter Besar L-500 (18 mm); 5 pc/pck")</f>
        <v>Cutter Besar L-500 (18 mm); 5 pc/pck</v>
      </c>
      <c r="E2492" s="6">
        <f>IFERROR(__xludf.DUMMYFUNCTION("""COMPUTED_VALUE"""),1.0)</f>
        <v>1</v>
      </c>
      <c r="F2492" s="6">
        <f>IFERROR(__xludf.DUMMYFUNCTION("""COMPUTED_VALUE"""),1.0)</f>
        <v>1</v>
      </c>
      <c r="G2492" s="6">
        <f>IFERROR(__xludf.DUMMYFUNCTION("""COMPUTED_VALUE"""),0.0)</f>
        <v>0</v>
      </c>
      <c r="H2492" s="6" t="str">
        <f>IFERROR(__xludf.DUMMYFUNCTION("""COMPUTED_VALUE"""),"Pcs")</f>
        <v>Pcs</v>
      </c>
      <c r="I2492" s="6" t="str">
        <f>IFERROR(__xludf.DUMMYFUNCTION("""COMPUTED_VALUE"""),"MFH")</f>
        <v>MFH</v>
      </c>
      <c r="J2492" s="6" t="str">
        <f>IFERROR(__xludf.DUMMYFUNCTION("""COMPUTED_VALUE"""),"-")</f>
        <v>-</v>
      </c>
      <c r="K2492" s="6" t="str">
        <f>IFERROR(__xludf.DUMMYFUNCTION("""COMPUTED_VALUE"""),"SPR/09/25/045")</f>
        <v>SPR/09/25/045</v>
      </c>
      <c r="L2492" s="13">
        <f>IFERROR(__xludf.DUMMYFUNCTION("""COMPUTED_VALUE"""),45930.0)</f>
        <v>45930</v>
      </c>
    </row>
    <row r="2493">
      <c r="A2493" s="6" t="str">
        <f>IFERROR(__xludf.DUMMYFUNCTION("""COMPUTED_VALUE"""),"SFH")</f>
        <v>SFH</v>
      </c>
      <c r="B2493" s="6" t="str">
        <f>IFERROR(__xludf.DUMMYFUNCTION("""COMPUTED_VALUE"""),"ENG")</f>
        <v>ENG</v>
      </c>
      <c r="C2493" s="6" t="str">
        <f>IFERROR(__xludf.DUMMYFUNCTION("""COMPUTED_VALUE"""),"P-51216-00")</f>
        <v>P-51216-00</v>
      </c>
      <c r="D2493" s="6" t="str">
        <f>IFERROR(__xludf.DUMMYFUNCTION("""COMPUTED_VALUE"""),"Pipa conduit 20mm")</f>
        <v>Pipa conduit 20mm</v>
      </c>
      <c r="E2493" s="6">
        <f>IFERROR(__xludf.DUMMYFUNCTION("""COMPUTED_VALUE"""),1.0)</f>
        <v>1</v>
      </c>
      <c r="F2493" s="6">
        <f>IFERROR(__xludf.DUMMYFUNCTION("""COMPUTED_VALUE"""),1.0)</f>
        <v>1</v>
      </c>
      <c r="G2493" s="6">
        <f>IFERROR(__xludf.DUMMYFUNCTION("""COMPUTED_VALUE"""),0.0)</f>
        <v>0</v>
      </c>
      <c r="H2493" s="6" t="str">
        <f>IFERROR(__xludf.DUMMYFUNCTION("""COMPUTED_VALUE"""),"Pcs")</f>
        <v>Pcs</v>
      </c>
      <c r="I2493" s="6" t="str">
        <f>IFERROR(__xludf.DUMMYFUNCTION("""COMPUTED_VALUE"""),"MFH")</f>
        <v>MFH</v>
      </c>
      <c r="J2493" s="6" t="str">
        <f>IFERROR(__xludf.DUMMYFUNCTION("""COMPUTED_VALUE"""),"Building")</f>
        <v>Building</v>
      </c>
      <c r="K2493" s="6" t="str">
        <f>IFERROR(__xludf.DUMMYFUNCTION("""COMPUTED_VALUE"""),"SPR/09/25/046")</f>
        <v>SPR/09/25/046</v>
      </c>
      <c r="L2493" s="13">
        <f>IFERROR(__xludf.DUMMYFUNCTION("""COMPUTED_VALUE"""),45930.0)</f>
        <v>45930</v>
      </c>
    </row>
    <row r="2494">
      <c r="A2494" s="6" t="str">
        <f>IFERROR(__xludf.DUMMYFUNCTION("""COMPUTED_VALUE"""),"SFH")</f>
        <v>SFH</v>
      </c>
      <c r="B2494" s="6" t="str">
        <f>IFERROR(__xludf.DUMMYFUNCTION("""COMPUTED_VALUE"""),"ENG")</f>
        <v>ENG</v>
      </c>
      <c r="C2494" s="6" t="str">
        <f>IFERROR(__xludf.DUMMYFUNCTION("""COMPUTED_VALUE"""),"T-80109-00")</f>
        <v>T-80109-00</v>
      </c>
      <c r="D2494" s="6" t="str">
        <f>IFERROR(__xludf.DUMMYFUNCTION("""COMPUTED_VALUE"""),"Cellotape Kertas 1 inch warna Putih")</f>
        <v>Cellotape Kertas 1 inch warna Putih</v>
      </c>
      <c r="E2494" s="6">
        <f>IFERROR(__xludf.DUMMYFUNCTION("""COMPUTED_VALUE"""),1.0)</f>
        <v>1</v>
      </c>
      <c r="F2494" s="6">
        <f>IFERROR(__xludf.DUMMYFUNCTION("""COMPUTED_VALUE"""),1.0)</f>
        <v>1</v>
      </c>
      <c r="G2494" s="6">
        <f>IFERROR(__xludf.DUMMYFUNCTION("""COMPUTED_VALUE"""),0.0)</f>
        <v>0</v>
      </c>
      <c r="H2494" s="6" t="str">
        <f>IFERROR(__xludf.DUMMYFUNCTION("""COMPUTED_VALUE"""),"Pcs")</f>
        <v>Pcs</v>
      </c>
      <c r="I2494" s="6" t="str">
        <f>IFERROR(__xludf.DUMMYFUNCTION("""COMPUTED_VALUE"""),"MFH")</f>
        <v>MFH</v>
      </c>
      <c r="J2494" s="6" t="str">
        <f>IFERROR(__xludf.DUMMYFUNCTION("""COMPUTED_VALUE"""),"Building")</f>
        <v>Building</v>
      </c>
      <c r="K2494" s="6" t="str">
        <f>IFERROR(__xludf.DUMMYFUNCTION("""COMPUTED_VALUE"""),"SPR/09/25/046")</f>
        <v>SPR/09/25/046</v>
      </c>
      <c r="L2494" s="13">
        <f>IFERROR(__xludf.DUMMYFUNCTION("""COMPUTED_VALUE"""),45930.0)</f>
        <v>45930</v>
      </c>
    </row>
    <row r="2495">
      <c r="A2495" s="6" t="str">
        <f>IFERROR(__xludf.DUMMYFUNCTION("""COMPUTED_VALUE"""),"MRN")</f>
        <v>MRN</v>
      </c>
      <c r="B2495" s="6" t="str">
        <f>IFERROR(__xludf.DUMMYFUNCTION("""COMPUTED_VALUE"""),"ENG")</f>
        <v>ENG</v>
      </c>
      <c r="C2495" s="6" t="str">
        <f>IFERROR(__xludf.DUMMYFUNCTION("""COMPUTED_VALUE"""),"P-18504-00")</f>
        <v>P-18504-00</v>
      </c>
      <c r="D2495" s="6" t="str">
        <f>IFERROR(__xludf.DUMMYFUNCTION("""COMPUTED_VALUE"""),"Chemours - Freon 404A;; ; ;")</f>
        <v>Chemours - Freon 404A;; ; ;</v>
      </c>
      <c r="E2495" s="6">
        <f>IFERROR(__xludf.DUMMYFUNCTION("""COMPUTED_VALUE"""),1.0)</f>
        <v>1</v>
      </c>
      <c r="F2495" s="6">
        <f>IFERROR(__xludf.DUMMYFUNCTION("""COMPUTED_VALUE"""),1.0)</f>
        <v>1</v>
      </c>
      <c r="G2495" s="6">
        <f>IFERROR(__xludf.DUMMYFUNCTION("""COMPUTED_VALUE"""),0.0)</f>
        <v>0</v>
      </c>
      <c r="H2495" s="6" t="str">
        <f>IFERROR(__xludf.DUMMYFUNCTION("""COMPUTED_VALUE"""),"Pcs")</f>
        <v>Pcs</v>
      </c>
      <c r="I2495" s="6" t="str">
        <f>IFERROR(__xludf.DUMMYFUNCTION("""COMPUTED_VALUE"""),"MFH")</f>
        <v>MFH</v>
      </c>
      <c r="J2495" s="6" t="str">
        <f>IFERROR(__xludf.DUMMYFUNCTION("""COMPUTED_VALUE"""),"Building")</f>
        <v>Building</v>
      </c>
      <c r="K2495" s="6" t="str">
        <f>IFERROR(__xludf.DUMMYFUNCTION("""COMPUTED_VALUE"""),"SPR/09/25/047")</f>
        <v>SPR/09/25/047</v>
      </c>
      <c r="L2495" s="13">
        <f>IFERROR(__xludf.DUMMYFUNCTION("""COMPUTED_VALUE"""),45930.0)</f>
        <v>45930</v>
      </c>
    </row>
    <row r="2496">
      <c r="A2496" s="6" t="str">
        <f>IFERROR(__xludf.DUMMYFUNCTION("""COMPUTED_VALUE"""),"MRN")</f>
        <v>MRN</v>
      </c>
      <c r="B2496" s="6" t="str">
        <f>IFERROR(__xludf.DUMMYFUNCTION("""COMPUTED_VALUE"""),"ENG")</f>
        <v>ENG</v>
      </c>
      <c r="C2496" s="6" t="str">
        <f>IFERROR(__xludf.DUMMYFUNCTION("""COMPUTED_VALUE"""),"Q-60502-00")</f>
        <v>Q-60502-00</v>
      </c>
      <c r="D2496" s="6" t="str">
        <f>IFERROR(__xludf.DUMMYFUNCTION("""COMPUTED_VALUE"""),"Silicone Sealant, Silglaze, Type N10 White, pack size per pcs")</f>
        <v>Silicone Sealant, Silglaze, Type N10 White, pack size per pcs</v>
      </c>
      <c r="E2496" s="6">
        <f>IFERROR(__xludf.DUMMYFUNCTION("""COMPUTED_VALUE"""),9.0)</f>
        <v>9</v>
      </c>
      <c r="F2496" s="6">
        <f>IFERROR(__xludf.DUMMYFUNCTION("""COMPUTED_VALUE"""),9.0)</f>
        <v>9</v>
      </c>
      <c r="G2496" s="6">
        <f>IFERROR(__xludf.DUMMYFUNCTION("""COMPUTED_VALUE"""),0.0)</f>
        <v>0</v>
      </c>
      <c r="H2496" s="6" t="str">
        <f>IFERROR(__xludf.DUMMYFUNCTION("""COMPUTED_VALUE"""),"Pcs")</f>
        <v>Pcs</v>
      </c>
      <c r="I2496" s="6" t="str">
        <f>IFERROR(__xludf.DUMMYFUNCTION("""COMPUTED_VALUE"""),"MFH")</f>
        <v>MFH</v>
      </c>
      <c r="J2496" s="6" t="str">
        <f>IFERROR(__xludf.DUMMYFUNCTION("""COMPUTED_VALUE"""),"Building")</f>
        <v>Building</v>
      </c>
      <c r="K2496" s="6" t="str">
        <f>IFERROR(__xludf.DUMMYFUNCTION("""COMPUTED_VALUE"""),"SPR/09/25/047")</f>
        <v>SPR/09/25/047</v>
      </c>
      <c r="L2496" s="13">
        <f>IFERROR(__xludf.DUMMYFUNCTION("""COMPUTED_VALUE"""),45930.0)</f>
        <v>45930</v>
      </c>
    </row>
    <row r="2497">
      <c r="A2497" s="6" t="str">
        <f>IFERROR(__xludf.DUMMYFUNCTION("""COMPUTED_VALUE"""),"MRN")</f>
        <v>MRN</v>
      </c>
      <c r="B2497" s="6" t="str">
        <f>IFERROR(__xludf.DUMMYFUNCTION("""COMPUTED_VALUE"""),"ENG")</f>
        <v>ENG</v>
      </c>
      <c r="C2497" s="6" t="str">
        <f>IFERROR(__xludf.DUMMYFUNCTION("""COMPUTED_VALUE"""),"Q-60501-00")</f>
        <v>Q-60501-00</v>
      </c>
      <c r="D2497" s="6" t="str">
        <f>IFERROR(__xludf.DUMMYFUNCTION("""COMPUTED_VALUE"""),"Silicone Sealant;Silglaze;Type N10 Clear;pack size per pcs")</f>
        <v>Silicone Sealant;Silglaze;Type N10 Clear;pack size per pcs</v>
      </c>
      <c r="E2497" s="6">
        <f>IFERROR(__xludf.DUMMYFUNCTION("""COMPUTED_VALUE"""),9.0)</f>
        <v>9</v>
      </c>
      <c r="F2497" s="6">
        <f>IFERROR(__xludf.DUMMYFUNCTION("""COMPUTED_VALUE"""),9.0)</f>
        <v>9</v>
      </c>
      <c r="G2497" s="6">
        <f>IFERROR(__xludf.DUMMYFUNCTION("""COMPUTED_VALUE"""),0.0)</f>
        <v>0</v>
      </c>
      <c r="H2497" s="6" t="str">
        <f>IFERROR(__xludf.DUMMYFUNCTION("""COMPUTED_VALUE"""),"Pcs")</f>
        <v>Pcs</v>
      </c>
      <c r="I2497" s="6" t="str">
        <f>IFERROR(__xludf.DUMMYFUNCTION("""COMPUTED_VALUE"""),"MFH")</f>
        <v>MFH</v>
      </c>
      <c r="J2497" s="6" t="str">
        <f>IFERROR(__xludf.DUMMYFUNCTION("""COMPUTED_VALUE"""),"Building")</f>
        <v>Building</v>
      </c>
      <c r="K2497" s="6" t="str">
        <f>IFERROR(__xludf.DUMMYFUNCTION("""COMPUTED_VALUE"""),"SPR/09/25/047")</f>
        <v>SPR/09/25/047</v>
      </c>
      <c r="L2497" s="13">
        <f>IFERROR(__xludf.DUMMYFUNCTION("""COMPUTED_VALUE"""),45930.0)</f>
        <v>45930</v>
      </c>
    </row>
    <row r="2498">
      <c r="A2498" s="6" t="str">
        <f>IFERROR(__xludf.DUMMYFUNCTION("""COMPUTED_VALUE"""),"MRN")</f>
        <v>MRN</v>
      </c>
      <c r="B2498" s="6" t="str">
        <f>IFERROR(__xludf.DUMMYFUNCTION("""COMPUTED_VALUE"""),"ENG")</f>
        <v>ENG</v>
      </c>
      <c r="C2498" s="6" t="str">
        <f>IFERROR(__xludf.DUMMYFUNCTION("""COMPUTED_VALUE"""),"O-20857-00")</f>
        <v>O-20857-00</v>
      </c>
      <c r="D2498" s="6" t="str">
        <f>IFERROR(__xludf.DUMMYFUNCTION("""COMPUTED_VALUE"""),"Washing RAR4 - Needle CA, OD 15 x 168 mm, Mat. SS316; Custom/Lokal; -; 1 Pc")</f>
        <v>Washing RAR4 - Needle CA, OD 15 x 168 mm, Mat. SS316; Custom/Lokal; -; 1 Pc</v>
      </c>
      <c r="E2498" s="6">
        <f>IFERROR(__xludf.DUMMYFUNCTION("""COMPUTED_VALUE"""),1.0)</f>
        <v>1</v>
      </c>
      <c r="F2498" s="6">
        <f>IFERROR(__xludf.DUMMYFUNCTION("""COMPUTED_VALUE"""),1.0)</f>
        <v>1</v>
      </c>
      <c r="G2498" s="6">
        <f>IFERROR(__xludf.DUMMYFUNCTION("""COMPUTED_VALUE"""),0.0)</f>
        <v>0</v>
      </c>
      <c r="H2498" s="6" t="str">
        <f>IFERROR(__xludf.DUMMYFUNCTION("""COMPUTED_VALUE"""),"Pcs")</f>
        <v>Pcs</v>
      </c>
      <c r="I2498" s="6" t="str">
        <f>IFERROR(__xludf.DUMMYFUNCTION("""COMPUTED_VALUE"""),"MFH")</f>
        <v>MFH</v>
      </c>
      <c r="J2498" s="6" t="str">
        <f>IFERROR(__xludf.DUMMYFUNCTION("""COMPUTED_VALUE"""),"EDM")</f>
        <v>EDM</v>
      </c>
      <c r="K2498" s="6" t="str">
        <f>IFERROR(__xludf.DUMMYFUNCTION("""COMPUTED_VALUE"""),"SPR/09/25/048")</f>
        <v>SPR/09/25/048</v>
      </c>
      <c r="L2498" s="13">
        <f>IFERROR(__xludf.DUMMYFUNCTION("""COMPUTED_VALUE"""),45930.0)</f>
        <v>45930</v>
      </c>
    </row>
    <row r="2499">
      <c r="A2499" s="6" t="str">
        <f>IFERROR(__xludf.DUMMYFUNCTION("""COMPUTED_VALUE"""),"MOB")</f>
        <v>MOB</v>
      </c>
      <c r="B2499" s="6" t="str">
        <f>IFERROR(__xludf.DUMMYFUNCTION("""COMPUTED_VALUE"""),"ENG")</f>
        <v>ENG</v>
      </c>
      <c r="C2499" s="6" t="str">
        <f>IFERROR(__xludf.DUMMYFUNCTION("""COMPUTED_VALUE"""),"P-50717-00")</f>
        <v>P-50717-00</v>
      </c>
      <c r="D2499" s="6" t="str">
        <f>IFERROR(__xludf.DUMMYFUNCTION("""COMPUTED_VALUE"""),"Kabel UTP 4 pairs Cat 6 merk BELDEN")</f>
        <v>Kabel UTP 4 pairs Cat 6 merk BELDEN</v>
      </c>
      <c r="E2499" s="6">
        <f>IFERROR(__xludf.DUMMYFUNCTION("""COMPUTED_VALUE"""),20.0)</f>
        <v>20</v>
      </c>
      <c r="F2499" s="6">
        <f>IFERROR(__xludf.DUMMYFUNCTION("""COMPUTED_VALUE"""),20.0)</f>
        <v>20</v>
      </c>
      <c r="G2499" s="6">
        <f>IFERROR(__xludf.DUMMYFUNCTION("""COMPUTED_VALUE"""),0.0)</f>
        <v>0</v>
      </c>
      <c r="H2499" s="6" t="str">
        <f>IFERROR(__xludf.DUMMYFUNCTION("""COMPUTED_VALUE"""),"Pcs")</f>
        <v>Pcs</v>
      </c>
      <c r="I2499" s="6" t="str">
        <f>IFERROR(__xludf.DUMMYFUNCTION("""COMPUTED_VALUE"""),"MFH")</f>
        <v>MFH</v>
      </c>
      <c r="J2499" s="6" t="str">
        <f>IFERROR(__xludf.DUMMYFUNCTION("""COMPUTED_VALUE"""),"Building")</f>
        <v>Building</v>
      </c>
      <c r="K2499" s="6" t="str">
        <f>IFERROR(__xludf.DUMMYFUNCTION("""COMPUTED_VALUE"""),"SPR/09/25/049")</f>
        <v>SPR/09/25/049</v>
      </c>
      <c r="L2499" s="13">
        <f>IFERROR(__xludf.DUMMYFUNCTION("""COMPUTED_VALUE"""),45930.0)</f>
        <v>45930</v>
      </c>
    </row>
    <row r="2500">
      <c r="A2500" s="6" t="str">
        <f>IFERROR(__xludf.DUMMYFUNCTION("""COMPUTED_VALUE"""),"KFF")</f>
        <v>KFF</v>
      </c>
      <c r="B2500" s="6" t="str">
        <f>IFERROR(__xludf.DUMMYFUNCTION("""COMPUTED_VALUE"""),"ENG")</f>
        <v>ENG</v>
      </c>
      <c r="C2500" s="6" t="str">
        <f>IFERROR(__xludf.DUMMYFUNCTION("""COMPUTED_VALUE"""),"P-13389-00")</f>
        <v>P-13389-00</v>
      </c>
      <c r="D2500" s="6" t="str">
        <f>IFERROR(__xludf.DUMMYFUNCTION("""COMPUTED_VALUE"""),"Scotch Brite 3M; ; ;")</f>
        <v>Scotch Brite 3M; ; ;</v>
      </c>
      <c r="E2500" s="6">
        <f>IFERROR(__xludf.DUMMYFUNCTION("""COMPUTED_VALUE"""),14.0)</f>
        <v>14</v>
      </c>
      <c r="F2500" s="6">
        <f>IFERROR(__xludf.DUMMYFUNCTION("""COMPUTED_VALUE"""),14.0)</f>
        <v>14</v>
      </c>
      <c r="G2500" s="6">
        <f>IFERROR(__xludf.DUMMYFUNCTION("""COMPUTED_VALUE"""),0.0)</f>
        <v>0</v>
      </c>
      <c r="H2500" s="6" t="str">
        <f>IFERROR(__xludf.DUMMYFUNCTION("""COMPUTED_VALUE"""),"Pcs")</f>
        <v>Pcs</v>
      </c>
      <c r="I2500" s="6" t="str">
        <f>IFERROR(__xludf.DUMMYFUNCTION("""COMPUTED_VALUE"""),"MFH")</f>
        <v>MFH</v>
      </c>
      <c r="J2500" s="6" t="str">
        <f>IFERROR(__xludf.DUMMYFUNCTION("""COMPUTED_VALUE"""),"Tunnel")</f>
        <v>Tunnel</v>
      </c>
      <c r="K2500" s="6" t="str">
        <f>IFERROR(__xludf.DUMMYFUNCTION("""COMPUTED_VALUE"""),"SPR/09/25/050")</f>
        <v>SPR/09/25/050</v>
      </c>
      <c r="L2500" s="13">
        <f>IFERROR(__xludf.DUMMYFUNCTION("""COMPUTED_VALUE"""),45930.0)</f>
        <v>45930</v>
      </c>
    </row>
    <row r="2501">
      <c r="A2501" s="6" t="str">
        <f>IFERROR(__xludf.DUMMYFUNCTION("""COMPUTED_VALUE"""),"KFF")</f>
        <v>KFF</v>
      </c>
      <c r="B2501" s="6" t="str">
        <f>IFERROR(__xludf.DUMMYFUNCTION("""COMPUTED_VALUE"""),"ENG")</f>
        <v>ENG</v>
      </c>
      <c r="C2501" s="6" t="str">
        <f>IFERROR(__xludf.DUMMYFUNCTION("""COMPUTED_VALUE"""),"P-10729-00")</f>
        <v>P-10729-00</v>
      </c>
      <c r="D2501" s="6" t="str">
        <f>IFERROR(__xludf.DUMMYFUNCTION("""COMPUTED_VALUE"""),"Contact cleaner WD 40, 382 gr ; Brand : - ; P/N : - ; Pack Size : pcs")</f>
        <v>Contact cleaner WD 40, 382 gr ; Brand : - ; P/N : - ; Pack Size : pcs</v>
      </c>
      <c r="E2501" s="6">
        <f>IFERROR(__xludf.DUMMYFUNCTION("""COMPUTED_VALUE"""),1.0)</f>
        <v>1</v>
      </c>
      <c r="F2501" s="6">
        <f>IFERROR(__xludf.DUMMYFUNCTION("""COMPUTED_VALUE"""),1.0)</f>
        <v>1</v>
      </c>
      <c r="G2501" s="6">
        <f>IFERROR(__xludf.DUMMYFUNCTION("""COMPUTED_VALUE"""),0.0)</f>
        <v>0</v>
      </c>
      <c r="H2501" s="6" t="str">
        <f>IFERROR(__xludf.DUMMYFUNCTION("""COMPUTED_VALUE"""),"Pcs ")</f>
        <v>Pcs </v>
      </c>
      <c r="I2501" s="6" t="str">
        <f>IFERROR(__xludf.DUMMYFUNCTION("""COMPUTED_VALUE"""),"MFH")</f>
        <v>MFH</v>
      </c>
      <c r="J2501" s="6" t="str">
        <f>IFERROR(__xludf.DUMMYFUNCTION("""COMPUTED_VALUE"""),"Tunnel")</f>
        <v>Tunnel</v>
      </c>
      <c r="K2501" s="6" t="str">
        <f>IFERROR(__xludf.DUMMYFUNCTION("""COMPUTED_VALUE"""),"SPR/09/25/050")</f>
        <v>SPR/09/25/050</v>
      </c>
      <c r="L2501" s="13">
        <f>IFERROR(__xludf.DUMMYFUNCTION("""COMPUTED_VALUE"""),45930.0)</f>
        <v>45930</v>
      </c>
    </row>
    <row r="2502">
      <c r="A2502" s="6" t="str">
        <f>IFERROR(__xludf.DUMMYFUNCTION("""COMPUTED_VALUE"""),"NDS")</f>
        <v>NDS</v>
      </c>
      <c r="B2502" s="6" t="str">
        <f>IFERROR(__xludf.DUMMYFUNCTION("""COMPUTED_VALUE"""),"ENG")</f>
        <v>ENG</v>
      </c>
      <c r="C2502" s="6" t="str">
        <f>IFERROR(__xludf.DUMMYFUNCTION("""COMPUTED_VALUE"""),"O-18055-00")</f>
        <v>O-18055-00</v>
      </c>
      <c r="D2502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502" s="6">
        <f>IFERROR(__xludf.DUMMYFUNCTION("""COMPUTED_VALUE"""),7.0)</f>
        <v>7</v>
      </c>
      <c r="F2502" s="6">
        <f>IFERROR(__xludf.DUMMYFUNCTION("""COMPUTED_VALUE"""),7.0)</f>
        <v>7</v>
      </c>
      <c r="G2502" s="6">
        <f>IFERROR(__xludf.DUMMYFUNCTION("""COMPUTED_VALUE"""),0.0)</f>
        <v>0</v>
      </c>
      <c r="H2502" s="6" t="str">
        <f>IFERROR(__xludf.DUMMYFUNCTION("""COMPUTED_VALUE"""),"Pcs")</f>
        <v>Pcs</v>
      </c>
      <c r="I2502" s="6" t="str">
        <f>IFERROR(__xludf.DUMMYFUNCTION("""COMPUTED_VALUE"""),"MFH")</f>
        <v>MFH</v>
      </c>
      <c r="J2502" s="6" t="str">
        <f>IFERROR(__xludf.DUMMYFUNCTION("""COMPUTED_VALUE"""),"Cartonning")</f>
        <v>Cartonning</v>
      </c>
      <c r="K2502" s="6" t="str">
        <f>IFERROR(__xludf.DUMMYFUNCTION("""COMPUTED_VALUE"""),"SPR/09/25/051")</f>
        <v>SPR/09/25/051</v>
      </c>
      <c r="L2502" s="13">
        <f>IFERROR(__xludf.DUMMYFUNCTION("""COMPUTED_VALUE"""),45930.0)</f>
        <v>45930</v>
      </c>
    </row>
    <row r="2503">
      <c r="A2503" s="6" t="str">
        <f>IFERROR(__xludf.DUMMYFUNCTION("""COMPUTED_VALUE"""),"NDS")</f>
        <v>NDS</v>
      </c>
      <c r="B2503" s="6" t="str">
        <f>IFERROR(__xludf.DUMMYFUNCTION("""COMPUTED_VALUE"""),"ENG")</f>
        <v>ENG</v>
      </c>
      <c r="C2503" s="6" t="str">
        <f>IFERROR(__xludf.DUMMYFUNCTION("""COMPUTED_VALUE"""),"P-10945-00")</f>
        <v>P-10945-00</v>
      </c>
      <c r="D2503" s="6" t="str">
        <f>IFERROR(__xludf.DUMMYFUNCTION("""COMPUTED_VALUE"""),"General - Seal Tape 1 Inch 10 M; Onda; ST 02; 1 pcs")</f>
        <v>General - Seal Tape 1 Inch 10 M; Onda; ST 02; 1 pcs</v>
      </c>
      <c r="E2503" s="6">
        <f>IFERROR(__xludf.DUMMYFUNCTION("""COMPUTED_VALUE"""),5.0)</f>
        <v>5</v>
      </c>
      <c r="F2503" s="6">
        <f>IFERROR(__xludf.DUMMYFUNCTION("""COMPUTED_VALUE"""),5.0)</f>
        <v>5</v>
      </c>
      <c r="G2503" s="6">
        <f>IFERROR(__xludf.DUMMYFUNCTION("""COMPUTED_VALUE"""),0.0)</f>
        <v>0</v>
      </c>
      <c r="H2503" s="6" t="str">
        <f>IFERROR(__xludf.DUMMYFUNCTION("""COMPUTED_VALUE"""),"pcs")</f>
        <v>pcs</v>
      </c>
      <c r="I2503" s="6" t="str">
        <f>IFERROR(__xludf.DUMMYFUNCTION("""COMPUTED_VALUE"""),"MFH")</f>
        <v>MFH</v>
      </c>
      <c r="J2503" s="6" t="str">
        <f>IFERROR(__xludf.DUMMYFUNCTION("""COMPUTED_VALUE"""),"-")</f>
        <v>-</v>
      </c>
      <c r="K2503" s="6" t="str">
        <f>IFERROR(__xludf.DUMMYFUNCTION("""COMPUTED_VALUE"""),"SPR/09/25/051")</f>
        <v>SPR/09/25/051</v>
      </c>
      <c r="L2503" s="13">
        <f>IFERROR(__xludf.DUMMYFUNCTION("""COMPUTED_VALUE"""),45930.0)</f>
        <v>45930</v>
      </c>
    </row>
    <row r="2504">
      <c r="A2504" s="6" t="str">
        <f>IFERROR(__xludf.DUMMYFUNCTION("""COMPUTED_VALUE"""),"ROS")</f>
        <v>ROS</v>
      </c>
      <c r="B2504" s="6" t="str">
        <f>IFERROR(__xludf.DUMMYFUNCTION("""COMPUTED_VALUE"""),"ENG")</f>
        <v>ENG</v>
      </c>
      <c r="C2504" s="6" t="str">
        <f>IFERROR(__xludf.DUMMYFUNCTION("""COMPUTED_VALUE"""),"P-11185-00")</f>
        <v>P-11185-00</v>
      </c>
      <c r="D2504" s="6" t="str">
        <f>IFERROR(__xludf.DUMMYFUNCTION("""COMPUTED_VALUE"""),"Pneumatic Fitting - QS 8-6 / Festo")</f>
        <v>Pneumatic Fitting - QS 8-6 / Festo</v>
      </c>
      <c r="E2504" s="6">
        <f>IFERROR(__xludf.DUMMYFUNCTION("""COMPUTED_VALUE"""),17.0)</f>
        <v>17</v>
      </c>
      <c r="F2504" s="6">
        <f>IFERROR(__xludf.DUMMYFUNCTION("""COMPUTED_VALUE"""),17.0)</f>
        <v>17</v>
      </c>
      <c r="G2504" s="6">
        <f>IFERROR(__xludf.DUMMYFUNCTION("""COMPUTED_VALUE"""),0.0)</f>
        <v>0</v>
      </c>
      <c r="H2504" s="6" t="str">
        <f>IFERROR(__xludf.DUMMYFUNCTION("""COMPUTED_VALUE"""),"Pcs")</f>
        <v>Pcs</v>
      </c>
      <c r="I2504" s="6" t="str">
        <f>IFERROR(__xludf.DUMMYFUNCTION("""COMPUTED_VALUE"""),"MFH")</f>
        <v>MFH</v>
      </c>
      <c r="J2504" s="6" t="str">
        <f>IFERROR(__xludf.DUMMYFUNCTION("""COMPUTED_VALUE"""),"Pompa mixing ")</f>
        <v>Pompa mixing </v>
      </c>
      <c r="K2504" s="6" t="str">
        <f>IFERROR(__xludf.DUMMYFUNCTION("""COMPUTED_VALUE"""),"SPR/09/25/052")</f>
        <v>SPR/09/25/052</v>
      </c>
      <c r="L2504" s="13">
        <f>IFERROR(__xludf.DUMMYFUNCTION("""COMPUTED_VALUE"""),45930.0)</f>
        <v>45930</v>
      </c>
    </row>
    <row r="2505">
      <c r="A2505" s="6" t="str">
        <f>IFERROR(__xludf.DUMMYFUNCTION("""COMPUTED_VALUE"""),"AAA")</f>
        <v>AAA</v>
      </c>
      <c r="B2505" s="6" t="str">
        <f>IFERROR(__xludf.DUMMYFUNCTION("""COMPUTED_VALUE"""),"ENG")</f>
        <v>ENG</v>
      </c>
      <c r="C2505" s="6" t="str">
        <f>IFERROR(__xludf.DUMMYFUNCTION("""COMPUTED_VALUE"""),"T-80681-00")</f>
        <v>T-80681-00</v>
      </c>
      <c r="D2505" s="6" t="str">
        <f>IFERROR(__xludf.DUMMYFUNCTION("""COMPUTED_VALUE"""),"Baterai CR2032 Energizer 3v")</f>
        <v>Baterai CR2032 Energizer 3v</v>
      </c>
      <c r="E2505" s="6">
        <f>IFERROR(__xludf.DUMMYFUNCTION("""COMPUTED_VALUE"""),2.0)</f>
        <v>2</v>
      </c>
      <c r="F2505" s="6">
        <f>IFERROR(__xludf.DUMMYFUNCTION("""COMPUTED_VALUE"""),2.0)</f>
        <v>2</v>
      </c>
      <c r="G2505" s="6">
        <f>IFERROR(__xludf.DUMMYFUNCTION("""COMPUTED_VALUE"""),0.0)</f>
        <v>0</v>
      </c>
      <c r="H2505" s="6" t="str">
        <f>IFERROR(__xludf.DUMMYFUNCTION("""COMPUTED_VALUE"""),"Pcs")</f>
        <v>Pcs</v>
      </c>
      <c r="I2505" s="6" t="str">
        <f>IFERROR(__xludf.DUMMYFUNCTION("""COMPUTED_VALUE"""),"MFH")</f>
        <v>MFH</v>
      </c>
      <c r="J2505" s="6" t="str">
        <f>IFERROR(__xludf.DUMMYFUNCTION("""COMPUTED_VALUE"""),"WI Incubator ")</f>
        <v>WI Incubator </v>
      </c>
      <c r="K2505" s="6" t="str">
        <f>IFERROR(__xludf.DUMMYFUNCTION("""COMPUTED_VALUE"""),"SPR/09/25/053")</f>
        <v>SPR/09/25/053</v>
      </c>
      <c r="L2505" s="13">
        <f>IFERROR(__xludf.DUMMYFUNCTION("""COMPUTED_VALUE"""),45930.0)</f>
        <v>45930</v>
      </c>
    </row>
    <row r="2506">
      <c r="A2506" s="6" t="str">
        <f>IFERROR(__xludf.DUMMYFUNCTION("""COMPUTED_VALUE"""),"AAA")</f>
        <v>AAA</v>
      </c>
      <c r="B2506" s="6" t="str">
        <f>IFERROR(__xludf.DUMMYFUNCTION("""COMPUTED_VALUE"""),"ENG")</f>
        <v>ENG</v>
      </c>
      <c r="C2506" s="6" t="str">
        <f>IFERROR(__xludf.DUMMYFUNCTION("""COMPUTED_VALUE"""),"O-16647-00")</f>
        <v>O-16647-00</v>
      </c>
      <c r="D2506" s="6" t="str">
        <f>IFERROR(__xludf.DUMMYFUNCTION("""COMPUTED_VALUE"""),"O-ring Capping")</f>
        <v>O-ring Capping</v>
      </c>
      <c r="E2506" s="6">
        <f>IFERROR(__xludf.DUMMYFUNCTION("""COMPUTED_VALUE"""),23.0)</f>
        <v>23</v>
      </c>
      <c r="F2506" s="6">
        <f>IFERROR(__xludf.DUMMYFUNCTION("""COMPUTED_VALUE"""),23.0)</f>
        <v>23</v>
      </c>
      <c r="G2506" s="6">
        <f>IFERROR(__xludf.DUMMYFUNCTION("""COMPUTED_VALUE"""),0.0)</f>
        <v>0</v>
      </c>
      <c r="H2506" s="6" t="str">
        <f>IFERROR(__xludf.DUMMYFUNCTION("""COMPUTED_VALUE"""),"Pcs")</f>
        <v>Pcs</v>
      </c>
      <c r="I2506" s="6" t="str">
        <f>IFERROR(__xludf.DUMMYFUNCTION("""COMPUTED_VALUE"""),"MFH")</f>
        <v>MFH</v>
      </c>
      <c r="J2506" s="6" t="str">
        <f>IFERROR(__xludf.DUMMYFUNCTION("""COMPUTED_VALUE"""),"Capping ")</f>
        <v>Capping </v>
      </c>
      <c r="K2506" s="6" t="str">
        <f>IFERROR(__xludf.DUMMYFUNCTION("""COMPUTED_VALUE"""),"SPR/09/25/053")</f>
        <v>SPR/09/25/053</v>
      </c>
      <c r="L2506" s="13">
        <f>IFERROR(__xludf.DUMMYFUNCTION("""COMPUTED_VALUE"""),45930.0)</f>
        <v>45930</v>
      </c>
    </row>
    <row r="2507">
      <c r="A2507" s="6" t="str">
        <f>IFERROR(__xludf.DUMMYFUNCTION("""COMPUTED_VALUE"""),"AAA")</f>
        <v>AAA</v>
      </c>
      <c r="B2507" s="6" t="str">
        <f>IFERROR(__xludf.DUMMYFUNCTION("""COMPUTED_VALUE"""),"ENG")</f>
        <v>ENG</v>
      </c>
      <c r="C2507" s="6" t="str">
        <f>IFERROR(__xludf.DUMMYFUNCTION("""COMPUTED_VALUE"""),"O-53398-00")</f>
        <v>O-53398-00</v>
      </c>
      <c r="D2507" s="6" t="str">
        <f>IFERROR(__xludf.DUMMYFUNCTION("""COMPUTED_VALUE"""),"Kabel DO sensor VP 8-ST/20M;METTLER TOLEDO 52300358")</f>
        <v>Kabel DO sensor VP 8-ST/20M;METTLER TOLEDO 52300358</v>
      </c>
      <c r="E2507" s="6">
        <f>IFERROR(__xludf.DUMMYFUNCTION("""COMPUTED_VALUE"""),1.0)</f>
        <v>1</v>
      </c>
      <c r="F2507" s="6">
        <f>IFERROR(__xludf.DUMMYFUNCTION("""COMPUTED_VALUE"""),1.0)</f>
        <v>1</v>
      </c>
      <c r="G2507" s="6">
        <f>IFERROR(__xludf.DUMMYFUNCTION("""COMPUTED_VALUE"""),0.0)</f>
        <v>0</v>
      </c>
      <c r="H2507" s="6" t="str">
        <f>IFERROR(__xludf.DUMMYFUNCTION("""COMPUTED_VALUE"""),"Unit")</f>
        <v>Unit</v>
      </c>
      <c r="I2507" s="6" t="str">
        <f>IFERROR(__xludf.DUMMYFUNCTION("""COMPUTED_VALUE"""),"MFH")</f>
        <v>MFH</v>
      </c>
      <c r="J2507" s="6" t="str">
        <f>IFERROR(__xludf.DUMMYFUNCTION("""COMPUTED_VALUE"""),"Mixing ")</f>
        <v>Mixing </v>
      </c>
      <c r="K2507" s="6" t="str">
        <f>IFERROR(__xludf.DUMMYFUNCTION("""COMPUTED_VALUE"""),"SPR/09/25/053")</f>
        <v>SPR/09/25/053</v>
      </c>
      <c r="L2507" s="13">
        <f>IFERROR(__xludf.DUMMYFUNCTION("""COMPUTED_VALUE"""),45930.0)</f>
        <v>45930</v>
      </c>
    </row>
    <row r="2508">
      <c r="A2508" s="6" t="str">
        <f>IFERROR(__xludf.DUMMYFUNCTION("""COMPUTED_VALUE"""),"NDS")</f>
        <v>NDS</v>
      </c>
      <c r="B2508" s="6" t="str">
        <f>IFERROR(__xludf.DUMMYFUNCTION("""COMPUTED_VALUE"""),"ENG")</f>
        <v>ENG</v>
      </c>
      <c r="C2508" s="6" t="str">
        <f>IFERROR(__xludf.DUMMYFUNCTION("""COMPUTED_VALUE"""),"O-16033-00")</f>
        <v>O-16033-00</v>
      </c>
      <c r="D250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508" s="6">
        <f>IFERROR(__xludf.DUMMYFUNCTION("""COMPUTED_VALUE"""),1.0)</f>
        <v>1</v>
      </c>
      <c r="F2508" s="6">
        <f>IFERROR(__xludf.DUMMYFUNCTION("""COMPUTED_VALUE"""),1.0)</f>
        <v>1</v>
      </c>
      <c r="G2508" s="6">
        <f>IFERROR(__xludf.DUMMYFUNCTION("""COMPUTED_VALUE"""),0.0)</f>
        <v>0</v>
      </c>
      <c r="H2508" s="6" t="str">
        <f>IFERROR(__xludf.DUMMYFUNCTION("""COMPUTED_VALUE"""),"Pcs")</f>
        <v>Pcs</v>
      </c>
      <c r="I2508" s="6" t="str">
        <f>IFERROR(__xludf.DUMMYFUNCTION("""COMPUTED_VALUE"""),"MFH")</f>
        <v>MFH</v>
      </c>
      <c r="J2508" s="6" t="str">
        <f>IFERROR(__xludf.DUMMYFUNCTION("""COMPUTED_VALUE"""),"Isolator Skan")</f>
        <v>Isolator Skan</v>
      </c>
      <c r="K2508" s="6" t="str">
        <f>IFERROR(__xludf.DUMMYFUNCTION("""COMPUTED_VALUE"""),"SPR/09/25/054")</f>
        <v>SPR/09/25/054</v>
      </c>
      <c r="L2508" s="13">
        <f>IFERROR(__xludf.DUMMYFUNCTION("""COMPUTED_VALUE"""),45930.0)</f>
        <v>45930</v>
      </c>
    </row>
    <row r="2509">
      <c r="A2509" s="6" t="str">
        <f>IFERROR(__xludf.DUMMYFUNCTION("""COMPUTED_VALUE"""),"NDS ")</f>
        <v>NDS </v>
      </c>
      <c r="B2509" s="6" t="str">
        <f>IFERROR(__xludf.DUMMYFUNCTION("""COMPUTED_VALUE"""),"ENG")</f>
        <v>ENG</v>
      </c>
      <c r="C2509" s="6" t="str">
        <f>IFERROR(__xludf.DUMMYFUNCTION("""COMPUTED_VALUE"""),"O-18055-00")</f>
        <v>O-18055-00</v>
      </c>
      <c r="D2509" s="6" t="str">
        <f>IFERROR(__xludf.DUMMYFUNCTION("""COMPUTED_VALUE"""),"Suction Cup")</f>
        <v>Suction Cup</v>
      </c>
      <c r="E2509" s="6">
        <f>IFERROR(__xludf.DUMMYFUNCTION("""COMPUTED_VALUE"""),7.0)</f>
        <v>7</v>
      </c>
      <c r="F2509" s="6">
        <f>IFERROR(__xludf.DUMMYFUNCTION("""COMPUTED_VALUE"""),7.0)</f>
        <v>7</v>
      </c>
      <c r="G2509" s="6">
        <f>IFERROR(__xludf.DUMMYFUNCTION("""COMPUTED_VALUE"""),0.0)</f>
        <v>0</v>
      </c>
      <c r="H2509" s="6" t="str">
        <f>IFERROR(__xludf.DUMMYFUNCTION("""COMPUTED_VALUE"""),"Pcs")</f>
        <v>Pcs</v>
      </c>
      <c r="I2509" s="6" t="str">
        <f>IFERROR(__xludf.DUMMYFUNCTION("""COMPUTED_VALUE"""),"MFH")</f>
        <v>MFH</v>
      </c>
      <c r="J2509" s="6" t="str">
        <f>IFERROR(__xludf.DUMMYFUNCTION("""COMPUTED_VALUE"""),"Cartoning ")</f>
        <v>Cartoning </v>
      </c>
      <c r="K2509" s="6" t="str">
        <f>IFERROR(__xludf.DUMMYFUNCTION("""COMPUTED_VALUE"""),"SPR/09/25/054")</f>
        <v>SPR/09/25/054</v>
      </c>
      <c r="L2509" s="13">
        <f>IFERROR(__xludf.DUMMYFUNCTION("""COMPUTED_VALUE"""),45930.0)</f>
        <v>45930</v>
      </c>
    </row>
    <row r="2510">
      <c r="A2510" s="6" t="str">
        <f>IFERROR(__xludf.DUMMYFUNCTION("""COMPUTED_VALUE"""),"NDS")</f>
        <v>NDS</v>
      </c>
      <c r="B2510" s="6" t="str">
        <f>IFERROR(__xludf.DUMMYFUNCTION("""COMPUTED_VALUE"""),"ENG")</f>
        <v>ENG</v>
      </c>
      <c r="C2510" s="6" t="str">
        <f>IFERROR(__xludf.DUMMYFUNCTION("""COMPUTED_VALUE"""),"T-20123-00")</f>
        <v>T-20123-00</v>
      </c>
      <c r="D251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510" s="6">
        <f>IFERROR(__xludf.DUMMYFUNCTION("""COMPUTED_VALUE"""),1.0)</f>
        <v>1</v>
      </c>
      <c r="F2510" s="6">
        <f>IFERROR(__xludf.DUMMYFUNCTION("""COMPUTED_VALUE"""),1.0)</f>
        <v>1</v>
      </c>
      <c r="G2510" s="6">
        <f>IFERROR(__xludf.DUMMYFUNCTION("""COMPUTED_VALUE"""),0.0)</f>
        <v>0</v>
      </c>
      <c r="H2510" s="6" t="str">
        <f>IFERROR(__xludf.DUMMYFUNCTION("""COMPUTED_VALUE"""),"Pcs")</f>
        <v>Pcs</v>
      </c>
      <c r="I2510" s="6" t="str">
        <f>IFERROR(__xludf.DUMMYFUNCTION("""COMPUTED_VALUE"""),"MFH")</f>
        <v>MFH</v>
      </c>
      <c r="J2510" s="6" t="str">
        <f>IFERROR(__xludf.DUMMYFUNCTION("""COMPUTED_VALUE"""),"HPLC 3")</f>
        <v>HPLC 3</v>
      </c>
      <c r="K2510" s="6" t="str">
        <f>IFERROR(__xludf.DUMMYFUNCTION("""COMPUTED_VALUE"""),"SPR/09/25/054")</f>
        <v>SPR/09/25/054</v>
      </c>
      <c r="L2510" s="13">
        <f>IFERROR(__xludf.DUMMYFUNCTION("""COMPUTED_VALUE"""),45930.0)</f>
        <v>45930</v>
      </c>
    </row>
    <row r="2511">
      <c r="A2511" s="6" t="str">
        <f>IFERROR(__xludf.DUMMYFUNCTION("""COMPUTED_VALUE"""),"BDU")</f>
        <v>BDU</v>
      </c>
      <c r="B2511" s="6" t="str">
        <f>IFERROR(__xludf.DUMMYFUNCTION("""COMPUTED_VALUE"""),"ENG")</f>
        <v>ENG</v>
      </c>
      <c r="C2511" s="6" t="str">
        <f>IFERROR(__xludf.DUMMYFUNCTION("""COMPUTED_VALUE"""),"T-80046-00")</f>
        <v>T-80046-00</v>
      </c>
      <c r="D2511" s="6" t="str">
        <f>IFERROR(__xludf.DUMMYFUNCTION("""COMPUTED_VALUE"""),"Baterai AA Alkaline ")</f>
        <v>Baterai AA Alkaline </v>
      </c>
      <c r="E2511" s="6">
        <f>IFERROR(__xludf.DUMMYFUNCTION("""COMPUTED_VALUE"""),4.0)</f>
        <v>4</v>
      </c>
      <c r="F2511" s="6">
        <f>IFERROR(__xludf.DUMMYFUNCTION("""COMPUTED_VALUE"""),4.0)</f>
        <v>4</v>
      </c>
      <c r="G2511" s="6">
        <f>IFERROR(__xludf.DUMMYFUNCTION("""COMPUTED_VALUE"""),0.0)</f>
        <v>0</v>
      </c>
      <c r="H2511" s="6" t="str">
        <f>IFERROR(__xludf.DUMMYFUNCTION("""COMPUTED_VALUE"""),"Pcs ")</f>
        <v>Pcs </v>
      </c>
      <c r="I2511" s="6" t="str">
        <f>IFERROR(__xludf.DUMMYFUNCTION("""COMPUTED_VALUE"""),"MFH")</f>
        <v>MFH</v>
      </c>
      <c r="J2511" s="6" t="str">
        <f>IFERROR(__xludf.DUMMYFUNCTION("""COMPUTED_VALUE"""),"Machine BMS EMS")</f>
        <v>Machine BMS EMS</v>
      </c>
      <c r="K2511" s="6" t="str">
        <f>IFERROR(__xludf.DUMMYFUNCTION("""COMPUTED_VALUE"""),"SPR/09/25/055")</f>
        <v>SPR/09/25/055</v>
      </c>
      <c r="L2511" s="13">
        <f>IFERROR(__xludf.DUMMYFUNCTION("""COMPUTED_VALUE"""),45930.0)</f>
        <v>45930</v>
      </c>
    </row>
    <row r="2512">
      <c r="A2512" s="6" t="str">
        <f>IFERROR(__xludf.DUMMYFUNCTION("""COMPUTED_VALUE"""),"BDU")</f>
        <v>BDU</v>
      </c>
      <c r="B2512" s="6" t="str">
        <f>IFERROR(__xludf.DUMMYFUNCTION("""COMPUTED_VALUE"""),"ENG")</f>
        <v>ENG</v>
      </c>
      <c r="C2512" s="6" t="str">
        <f>IFERROR(__xludf.DUMMYFUNCTION("""COMPUTED_VALUE"""),"T-80681-00")</f>
        <v>T-80681-00</v>
      </c>
      <c r="D2512" s="6" t="str">
        <f>IFERROR(__xludf.DUMMYFUNCTION("""COMPUTED_VALUE"""),"Baterai CR2032 Energizer 3v")</f>
        <v>Baterai CR2032 Energizer 3v</v>
      </c>
      <c r="E2512" s="6">
        <f>IFERROR(__xludf.DUMMYFUNCTION("""COMPUTED_VALUE"""),4.0)</f>
        <v>4</v>
      </c>
      <c r="F2512" s="6">
        <f>IFERROR(__xludf.DUMMYFUNCTION("""COMPUTED_VALUE"""),4.0)</f>
        <v>4</v>
      </c>
      <c r="G2512" s="6">
        <f>IFERROR(__xludf.DUMMYFUNCTION("""COMPUTED_VALUE"""),0.0)</f>
        <v>0</v>
      </c>
      <c r="H2512" s="6" t="str">
        <f>IFERROR(__xludf.DUMMYFUNCTION("""COMPUTED_VALUE"""),"Pcs ")</f>
        <v>Pcs </v>
      </c>
      <c r="I2512" s="6" t="str">
        <f>IFERROR(__xludf.DUMMYFUNCTION("""COMPUTED_VALUE"""),"MFH")</f>
        <v>MFH</v>
      </c>
      <c r="J2512" s="6" t="str">
        <f>IFERROR(__xludf.DUMMYFUNCTION("""COMPUTED_VALUE"""),"Machine BMS EMS ")</f>
        <v>Machine BMS EMS </v>
      </c>
      <c r="K2512" s="6" t="str">
        <f>IFERROR(__xludf.DUMMYFUNCTION("""COMPUTED_VALUE"""),"SPR/09/25/055")</f>
        <v>SPR/09/25/055</v>
      </c>
      <c r="L2512" s="13">
        <f>IFERROR(__xludf.DUMMYFUNCTION("""COMPUTED_VALUE"""),45930.0)</f>
        <v>45930</v>
      </c>
    </row>
    <row r="2513">
      <c r="A2513" s="6" t="str">
        <f>IFERROR(__xludf.DUMMYFUNCTION("""COMPUTED_VALUE"""),"SFH")</f>
        <v>SFH</v>
      </c>
      <c r="B2513" s="6" t="str">
        <f>IFERROR(__xludf.DUMMYFUNCTION("""COMPUTED_VALUE"""),"ENG")</f>
        <v>ENG</v>
      </c>
      <c r="C2513" s="6" t="str">
        <f>IFERROR(__xludf.DUMMYFUNCTION("""COMPUTED_VALUE"""),"Q-60434-00")</f>
        <v>Q-60434-00</v>
      </c>
      <c r="D2513" s="6" t="str">
        <f>IFERROR(__xludf.DUMMYFUNCTION("""COMPUTED_VALUE"""),"Semen putih / Acian Putih; Tiga Roda; TR-30; 40 kg/zak")</f>
        <v>Semen putih / Acian Putih; Tiga Roda; TR-30; 40 kg/zak</v>
      </c>
      <c r="E2513" s="6">
        <f>IFERROR(__xludf.DUMMYFUNCTION("""COMPUTED_VALUE"""),1.0)</f>
        <v>1</v>
      </c>
      <c r="F2513" s="6">
        <f>IFERROR(__xludf.DUMMYFUNCTION("""COMPUTED_VALUE"""),1.0)</f>
        <v>1</v>
      </c>
      <c r="G2513" s="6">
        <f>IFERROR(__xludf.DUMMYFUNCTION("""COMPUTED_VALUE"""),0.0)</f>
        <v>0</v>
      </c>
      <c r="H2513" s="6" t="str">
        <f>IFERROR(__xludf.DUMMYFUNCTION("""COMPUTED_VALUE"""),"Sak")</f>
        <v>Sak</v>
      </c>
      <c r="I2513" s="6" t="str">
        <f>IFERROR(__xludf.DUMMYFUNCTION("""COMPUTED_VALUE"""),"MFH")</f>
        <v>MFH</v>
      </c>
      <c r="J2513" s="6" t="str">
        <f>IFERROR(__xludf.DUMMYFUNCTION("""COMPUTED_VALUE"""),"Building, floor 2")</f>
        <v>Building, floor 2</v>
      </c>
      <c r="K2513" s="6" t="str">
        <f>IFERROR(__xludf.DUMMYFUNCTION("""COMPUTED_VALUE"""),"SPR/09/25/056")</f>
        <v>SPR/09/25/056</v>
      </c>
      <c r="L2513" s="13">
        <f>IFERROR(__xludf.DUMMYFUNCTION("""COMPUTED_VALUE"""),45930.0)</f>
        <v>45930</v>
      </c>
    </row>
    <row r="2514">
      <c r="A2514" s="6" t="str">
        <f>IFERROR(__xludf.DUMMYFUNCTION("""COMPUTED_VALUE"""),"SFH")</f>
        <v>SFH</v>
      </c>
      <c r="B2514" s="6" t="str">
        <f>IFERROR(__xludf.DUMMYFUNCTION("""COMPUTED_VALUE"""),"ENG")</f>
        <v>ENG</v>
      </c>
      <c r="C2514" s="6" t="str">
        <f>IFERROR(__xludf.DUMMYFUNCTION("""COMPUTED_VALUE"""),"Q-10475-00")</f>
        <v>Q-10475-00</v>
      </c>
      <c r="D2514" s="6" t="str">
        <f>IFERROR(__xludf.DUMMYFUNCTION("""COMPUTED_VALUE"""),"Cat Tembok; ; ; - Cat Dulux Ambiance Brilliant White @ 20 Ltr")</f>
        <v>Cat Tembok; ; ; - Cat Dulux Ambiance Brilliant White @ 20 Ltr</v>
      </c>
      <c r="E2514" s="6">
        <f>IFERROR(__xludf.DUMMYFUNCTION("""COMPUTED_VALUE"""),1.0)</f>
        <v>1</v>
      </c>
      <c r="F2514" s="6">
        <f>IFERROR(__xludf.DUMMYFUNCTION("""COMPUTED_VALUE"""),1.0)</f>
        <v>1</v>
      </c>
      <c r="G2514" s="6">
        <f>IFERROR(__xludf.DUMMYFUNCTION("""COMPUTED_VALUE"""),0.0)</f>
        <v>0</v>
      </c>
      <c r="H2514" s="6" t="str">
        <f>IFERROR(__xludf.DUMMYFUNCTION("""COMPUTED_VALUE"""),"Pcs")</f>
        <v>Pcs</v>
      </c>
      <c r="I2514" s="6" t="str">
        <f>IFERROR(__xludf.DUMMYFUNCTION("""COMPUTED_VALUE"""),"MFH")</f>
        <v>MFH</v>
      </c>
      <c r="J2514" s="6" t="str">
        <f>IFERROR(__xludf.DUMMYFUNCTION("""COMPUTED_VALUE"""),"Building, floor 2")</f>
        <v>Building, floor 2</v>
      </c>
      <c r="K2514" s="6" t="str">
        <f>IFERROR(__xludf.DUMMYFUNCTION("""COMPUTED_VALUE"""),"SPR/09/25/056")</f>
        <v>SPR/09/25/056</v>
      </c>
      <c r="L2514" s="13">
        <f>IFERROR(__xludf.DUMMYFUNCTION("""COMPUTED_VALUE"""),45930.0)</f>
        <v>45930</v>
      </c>
    </row>
    <row r="2515">
      <c r="A2515" s="6" t="str">
        <f>IFERROR(__xludf.DUMMYFUNCTION("""COMPUTED_VALUE"""),"SFH")</f>
        <v>SFH</v>
      </c>
      <c r="B2515" s="6" t="str">
        <f>IFERROR(__xludf.DUMMYFUNCTION("""COMPUTED_VALUE"""),"ENG")</f>
        <v>ENG</v>
      </c>
      <c r="C2515" s="6" t="str">
        <f>IFERROR(__xludf.DUMMYFUNCTION("""COMPUTED_VALUE"""),"Q-10154-00")</f>
        <v>Q-10154-00</v>
      </c>
      <c r="D2515" s="6" t="str">
        <f>IFERROR(__xludf.DUMMYFUNCTION("""COMPUTED_VALUE"""),"Roller cat 230mm")</f>
        <v>Roller cat 230mm</v>
      </c>
      <c r="E2515" s="6">
        <f>IFERROR(__xludf.DUMMYFUNCTION("""COMPUTED_VALUE"""),4.0)</f>
        <v>4</v>
      </c>
      <c r="F2515" s="6">
        <f>IFERROR(__xludf.DUMMYFUNCTION("""COMPUTED_VALUE"""),4.0)</f>
        <v>4</v>
      </c>
      <c r="G2515" s="6">
        <f>IFERROR(__xludf.DUMMYFUNCTION("""COMPUTED_VALUE"""),0.0)</f>
        <v>0</v>
      </c>
      <c r="H2515" s="6" t="str">
        <f>IFERROR(__xludf.DUMMYFUNCTION("""COMPUTED_VALUE"""),"Pcs")</f>
        <v>Pcs</v>
      </c>
      <c r="I2515" s="6" t="str">
        <f>IFERROR(__xludf.DUMMYFUNCTION("""COMPUTED_VALUE"""),"MFH")</f>
        <v>MFH</v>
      </c>
      <c r="J2515" s="6" t="str">
        <f>IFERROR(__xludf.DUMMYFUNCTION("""COMPUTED_VALUE"""),"Building, floor 1")</f>
        <v>Building, floor 1</v>
      </c>
      <c r="K2515" s="6" t="str">
        <f>IFERROR(__xludf.DUMMYFUNCTION("""COMPUTED_VALUE"""),"SPR/09/25/056")</f>
        <v>SPR/09/25/056</v>
      </c>
      <c r="L2515" s="13">
        <f>IFERROR(__xludf.DUMMYFUNCTION("""COMPUTED_VALUE"""),45930.0)</f>
        <v>45930</v>
      </c>
    </row>
    <row r="2516">
      <c r="A2516" s="6" t="str">
        <f>IFERROR(__xludf.DUMMYFUNCTION("""COMPUTED_VALUE"""),"NDS")</f>
        <v>NDS</v>
      </c>
      <c r="B2516" s="6" t="str">
        <f>IFERROR(__xludf.DUMMYFUNCTION("""COMPUTED_VALUE"""),"ENG")</f>
        <v>ENG</v>
      </c>
      <c r="C2516" s="6" t="str">
        <f>IFERROR(__xludf.DUMMYFUNCTION("""COMPUTED_VALUE"""),"O-11145-00")</f>
        <v>O-11145-00</v>
      </c>
      <c r="D2516" s="6" t="str">
        <f>IFERROR(__xludf.DUMMYFUNCTION("""COMPUTED_VALUE"""),"Bearing 6201 2Z")</f>
        <v>Bearing 6201 2Z</v>
      </c>
      <c r="E2516" s="6">
        <f>IFERROR(__xludf.DUMMYFUNCTION("""COMPUTED_VALUE"""),1.0)</f>
        <v>1</v>
      </c>
      <c r="F2516" s="6">
        <f>IFERROR(__xludf.DUMMYFUNCTION("""COMPUTED_VALUE"""),1.0)</f>
        <v>1</v>
      </c>
      <c r="G2516" s="6">
        <f>IFERROR(__xludf.DUMMYFUNCTION("""COMPUTED_VALUE"""),0.0)</f>
        <v>0</v>
      </c>
      <c r="H2516" s="6" t="str">
        <f>IFERROR(__xludf.DUMMYFUNCTION("""COMPUTED_VALUE"""),"Pcs")</f>
        <v>Pcs</v>
      </c>
      <c r="I2516" s="6" t="str">
        <f>IFERROR(__xludf.DUMMYFUNCTION("""COMPUTED_VALUE"""),"MFH")</f>
        <v>MFH</v>
      </c>
      <c r="J2516" s="6" t="str">
        <f>IFERROR(__xludf.DUMMYFUNCTION("""COMPUTED_VALUE"""),"CC Stability")</f>
        <v>CC Stability</v>
      </c>
      <c r="K2516" s="6" t="str">
        <f>IFERROR(__xludf.DUMMYFUNCTION("""COMPUTED_VALUE"""),"SPR/09/25/057")</f>
        <v>SPR/09/25/057</v>
      </c>
      <c r="L2516" s="13">
        <f>IFERROR(__xludf.DUMMYFUNCTION("""COMPUTED_VALUE"""),45930.0)</f>
        <v>45930</v>
      </c>
    </row>
    <row r="2517">
      <c r="A2517" s="6" t="str">
        <f>IFERROR(__xludf.DUMMYFUNCTION("""COMPUTED_VALUE"""),"NDS ")</f>
        <v>NDS </v>
      </c>
      <c r="B2517" s="6" t="str">
        <f>IFERROR(__xludf.DUMMYFUNCTION("""COMPUTED_VALUE"""),"ENG")</f>
        <v>ENG</v>
      </c>
      <c r="C2517" s="6" t="str">
        <f>IFERROR(__xludf.DUMMYFUNCTION("""COMPUTED_VALUE"""),"O-50863-00")</f>
        <v>O-50863-00</v>
      </c>
      <c r="D2517" s="6" t="str">
        <f>IFERROR(__xludf.DUMMYFUNCTION("""COMPUTED_VALUE"""),"Relay/MY4N/220-240 VAC Omron; ; ;")</f>
        <v>Relay/MY4N/220-240 VAC Omron; ; ;</v>
      </c>
      <c r="E2517" s="6">
        <f>IFERROR(__xludf.DUMMYFUNCTION("""COMPUTED_VALUE"""),1.0)</f>
        <v>1</v>
      </c>
      <c r="F2517" s="6">
        <f>IFERROR(__xludf.DUMMYFUNCTION("""COMPUTED_VALUE"""),1.0)</f>
        <v>1</v>
      </c>
      <c r="G2517" s="6">
        <f>IFERROR(__xludf.DUMMYFUNCTION("""COMPUTED_VALUE"""),0.0)</f>
        <v>0</v>
      </c>
      <c r="H2517" s="6" t="str">
        <f>IFERROR(__xludf.DUMMYFUNCTION("""COMPUTED_VALUE"""),"Pcs")</f>
        <v>Pcs</v>
      </c>
      <c r="I2517" s="6" t="str">
        <f>IFERROR(__xludf.DUMMYFUNCTION("""COMPUTED_VALUE"""),"MFH")</f>
        <v>MFH</v>
      </c>
      <c r="J2517" s="6" t="str">
        <f>IFERROR(__xludf.DUMMYFUNCTION("""COMPUTED_VALUE"""),"BOD 4")</f>
        <v>BOD 4</v>
      </c>
      <c r="K2517" s="6" t="str">
        <f>IFERROR(__xludf.DUMMYFUNCTION("""COMPUTED_VALUE"""),"SPR/09/25/057")</f>
        <v>SPR/09/25/057</v>
      </c>
      <c r="L2517" s="13">
        <f>IFERROR(__xludf.DUMMYFUNCTION("""COMPUTED_VALUE"""),45930.0)</f>
        <v>45930</v>
      </c>
    </row>
    <row r="2518">
      <c r="A2518" s="6" t="str">
        <f>IFERROR(__xludf.DUMMYFUNCTION("""COMPUTED_VALUE"""),"NDS")</f>
        <v>NDS</v>
      </c>
      <c r="B2518" s="6" t="str">
        <f>IFERROR(__xludf.DUMMYFUNCTION("""COMPUTED_VALUE"""),"ENG")</f>
        <v>ENG</v>
      </c>
      <c r="C2518" s="6" t="str">
        <f>IFERROR(__xludf.DUMMYFUNCTION("""COMPUTED_VALUE"""),"P-54334-00")</f>
        <v>P-54334-00</v>
      </c>
      <c r="D2518" s="6" t="str">
        <f>IFERROR(__xludf.DUMMYFUNCTION("""COMPUTED_VALUE"""),"General - Socket Relay PYFZ-14-E; Omron; -; 1 pc")</f>
        <v>General - Socket Relay PYFZ-14-E; Omron; -; 1 pc</v>
      </c>
      <c r="E2518" s="6">
        <f>IFERROR(__xludf.DUMMYFUNCTION("""COMPUTED_VALUE"""),1.0)</f>
        <v>1</v>
      </c>
      <c r="F2518" s="6">
        <f>IFERROR(__xludf.DUMMYFUNCTION("""COMPUTED_VALUE"""),1.0)</f>
        <v>1</v>
      </c>
      <c r="G2518" s="6">
        <f>IFERROR(__xludf.DUMMYFUNCTION("""COMPUTED_VALUE"""),0.0)</f>
        <v>0</v>
      </c>
      <c r="H2518" s="6" t="str">
        <f>IFERROR(__xludf.DUMMYFUNCTION("""COMPUTED_VALUE"""),"Pcs")</f>
        <v>Pcs</v>
      </c>
      <c r="I2518" s="6" t="str">
        <f>IFERROR(__xludf.DUMMYFUNCTION("""COMPUTED_VALUE"""),"MFH")</f>
        <v>MFH</v>
      </c>
      <c r="J2518" s="6" t="str">
        <f>IFERROR(__xludf.DUMMYFUNCTION("""COMPUTED_VALUE"""),"BO4")</f>
        <v>BO4</v>
      </c>
      <c r="K2518" s="6" t="str">
        <f>IFERROR(__xludf.DUMMYFUNCTION("""COMPUTED_VALUE"""),"SPR/09/25/057")</f>
        <v>SPR/09/25/057</v>
      </c>
      <c r="L2518" s="13">
        <f>IFERROR(__xludf.DUMMYFUNCTION("""COMPUTED_VALUE"""),45930.0)</f>
        <v>45930</v>
      </c>
    </row>
    <row r="2519">
      <c r="A2519" s="6" t="str">
        <f>IFERROR(__xludf.DUMMYFUNCTION("""COMPUTED_VALUE"""),"MRN")</f>
        <v>MRN</v>
      </c>
      <c r="B2519" s="6" t="str">
        <f>IFERROR(__xludf.DUMMYFUNCTION("""COMPUTED_VALUE"""),"ENG")</f>
        <v>ENG</v>
      </c>
      <c r="C2519" s="6" t="str">
        <f>IFERROR(__xludf.DUMMYFUNCTION("""COMPUTED_VALUE"""),"P-51559-00")</f>
        <v>P-51559-00</v>
      </c>
      <c r="D2519" s="6" t="str">
        <f>IFERROR(__xludf.DUMMYFUNCTION("""COMPUTED_VALUE"""),"Lampu T5 14watt Putih; Phillips; ;")</f>
        <v>Lampu T5 14watt Putih; Phillips; ;</v>
      </c>
      <c r="E2519" s="6">
        <f>IFERROR(__xludf.DUMMYFUNCTION("""COMPUTED_VALUE"""),5.0)</f>
        <v>5</v>
      </c>
      <c r="F2519" s="6">
        <f>IFERROR(__xludf.DUMMYFUNCTION("""COMPUTED_VALUE"""),5.0)</f>
        <v>5</v>
      </c>
      <c r="G2519" s="6">
        <f>IFERROR(__xludf.DUMMYFUNCTION("""COMPUTED_VALUE"""),0.0)</f>
        <v>0</v>
      </c>
      <c r="H2519" s="6" t="str">
        <f>IFERROR(__xludf.DUMMYFUNCTION("""COMPUTED_VALUE"""),"Pcs")</f>
        <v>Pcs</v>
      </c>
      <c r="I2519" s="6" t="str">
        <f>IFERROR(__xludf.DUMMYFUNCTION("""COMPUTED_VALUE"""),"MFH")</f>
        <v>MFH</v>
      </c>
      <c r="J2519" s="6" t="str">
        <f>IFERROR(__xludf.DUMMYFUNCTION("""COMPUTED_VALUE"""),"QC Incubator ")</f>
        <v>QC Incubator </v>
      </c>
      <c r="K2519" s="6" t="str">
        <f>IFERROR(__xludf.DUMMYFUNCTION("""COMPUTED_VALUE"""),"SPR/09/25/058")</f>
        <v>SPR/09/25/058</v>
      </c>
      <c r="L2519" s="13">
        <f>IFERROR(__xludf.DUMMYFUNCTION("""COMPUTED_VALUE"""),45930.0)</f>
        <v>45930</v>
      </c>
    </row>
    <row r="2520">
      <c r="A2520" s="6" t="str">
        <f>IFERROR(__xludf.DUMMYFUNCTION("""COMPUTED_VALUE"""),"RIA")</f>
        <v>RIA</v>
      </c>
      <c r="B2520" s="6" t="str">
        <f>IFERROR(__xludf.DUMMYFUNCTION("""COMPUTED_VALUE"""),"ENG")</f>
        <v>ENG</v>
      </c>
      <c r="C2520" s="6" t="str">
        <f>IFERROR(__xludf.DUMMYFUNCTION("""COMPUTED_VALUE"""),"P-13370-00")</f>
        <v>P-13370-00</v>
      </c>
      <c r="D2520" s="6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E2520" s="6">
        <f>IFERROR(__xludf.DUMMYFUNCTION("""COMPUTED_VALUE"""),5.0)</f>
        <v>5</v>
      </c>
      <c r="F2520" s="6">
        <f>IFERROR(__xludf.DUMMYFUNCTION("""COMPUTED_VALUE"""),5.0)</f>
        <v>5</v>
      </c>
      <c r="G2520" s="6">
        <f>IFERROR(__xludf.DUMMYFUNCTION("""COMPUTED_VALUE"""),0.0)</f>
        <v>0</v>
      </c>
      <c r="H2520" s="6" t="str">
        <f>IFERROR(__xludf.DUMMYFUNCTION("""COMPUTED_VALUE"""),"Pcs")</f>
        <v>Pcs</v>
      </c>
      <c r="I2520" s="6" t="str">
        <f>IFERROR(__xludf.DUMMYFUNCTION("""COMPUTED_VALUE"""),"MFH")</f>
        <v>MFH</v>
      </c>
      <c r="J2520" s="6" t="str">
        <f>IFERROR(__xludf.DUMMYFUNCTION("""COMPUTED_VALUE"""),"Machine D31")</f>
        <v>Machine D31</v>
      </c>
      <c r="K2520" s="6" t="str">
        <f>IFERROR(__xludf.DUMMYFUNCTION("""COMPUTED_VALUE"""),"SPR/09/25/059")</f>
        <v>SPR/09/25/059</v>
      </c>
      <c r="L2520" s="13">
        <f>IFERROR(__xludf.DUMMYFUNCTION("""COMPUTED_VALUE"""),45930.0)</f>
        <v>45930</v>
      </c>
    </row>
    <row r="2521">
      <c r="A2521" s="6" t="str">
        <f>IFERROR(__xludf.DUMMYFUNCTION("""COMPUTED_VALUE"""),"ROS")</f>
        <v>ROS</v>
      </c>
      <c r="B2521" s="6" t="str">
        <f>IFERROR(__xludf.DUMMYFUNCTION("""COMPUTED_VALUE"""),"ENG")</f>
        <v>ENG</v>
      </c>
      <c r="C2521" s="6" t="str">
        <f>IFERROR(__xludf.DUMMYFUNCTION("""COMPUTED_VALUE"""),"O-16771-00")</f>
        <v>O-16771-00</v>
      </c>
      <c r="D2521" s="6" t="str">
        <f>IFERROR(__xludf.DUMMYFUNCTION("""COMPUTED_VALUE"""),"Oring Silicone Merah 19 x 15.5 x 1.75 mm")</f>
        <v>Oring Silicone Merah 19 x 15.5 x 1.75 mm</v>
      </c>
      <c r="E2521" s="6">
        <f>IFERROR(__xludf.DUMMYFUNCTION("""COMPUTED_VALUE"""),2.0)</f>
        <v>2</v>
      </c>
      <c r="F2521" s="6">
        <f>IFERROR(__xludf.DUMMYFUNCTION("""COMPUTED_VALUE"""),2.0)</f>
        <v>2</v>
      </c>
      <c r="G2521" s="6">
        <f>IFERROR(__xludf.DUMMYFUNCTION("""COMPUTED_VALUE"""),0.0)</f>
        <v>0</v>
      </c>
      <c r="H2521" s="6" t="str">
        <f>IFERROR(__xludf.DUMMYFUNCTION("""COMPUTED_VALUE"""),"Pcs")</f>
        <v>Pcs</v>
      </c>
      <c r="I2521" s="6" t="str">
        <f>IFERROR(__xludf.DUMMYFUNCTION("""COMPUTED_VALUE"""),"MFH")</f>
        <v>MFH</v>
      </c>
      <c r="J2521" s="6" t="str">
        <f>IFERROR(__xludf.DUMMYFUNCTION("""COMPUTED_VALUE"""),"Filling ")</f>
        <v>Filling </v>
      </c>
      <c r="K2521" s="6" t="str">
        <f>IFERROR(__xludf.DUMMYFUNCTION("""COMPUTED_VALUE"""),"SPR/09/25/060")</f>
        <v>SPR/09/25/060</v>
      </c>
      <c r="L2521" s="13">
        <f>IFERROR(__xludf.DUMMYFUNCTION("""COMPUTED_VALUE"""),45930.0)</f>
        <v>45930</v>
      </c>
    </row>
    <row r="2522">
      <c r="A2522" s="6" t="str">
        <f>IFERROR(__xludf.DUMMYFUNCTION("""COMPUTED_VALUE"""),"ROS")</f>
        <v>ROS</v>
      </c>
      <c r="B2522" s="6" t="str">
        <f>IFERROR(__xludf.DUMMYFUNCTION("""COMPUTED_VALUE"""),"ENG")</f>
        <v>ENG</v>
      </c>
      <c r="C2522" s="6" t="str">
        <f>IFERROR(__xludf.DUMMYFUNCTION("""COMPUTED_VALUE"""),"Q-10656-00")</f>
        <v>Q-10656-00</v>
      </c>
      <c r="D2522" s="6" t="str">
        <f>IFERROR(__xludf.DUMMYFUNCTION("""COMPUTED_VALUE"""),"Kuas Cat Uk. 5 inch;No Brand;;pack size per pcs")</f>
        <v>Kuas Cat Uk. 5 inch;No Brand;;pack size per pcs</v>
      </c>
      <c r="E2522" s="6">
        <f>IFERROR(__xludf.DUMMYFUNCTION("""COMPUTED_VALUE"""),1.0)</f>
        <v>1</v>
      </c>
      <c r="F2522" s="6">
        <f>IFERROR(__xludf.DUMMYFUNCTION("""COMPUTED_VALUE"""),1.0)</f>
        <v>1</v>
      </c>
      <c r="G2522" s="6">
        <f>IFERROR(__xludf.DUMMYFUNCTION("""COMPUTED_VALUE"""),0.0)</f>
        <v>0</v>
      </c>
      <c r="H2522" s="6" t="str">
        <f>IFERROR(__xludf.DUMMYFUNCTION("""COMPUTED_VALUE"""),"Pcs")</f>
        <v>Pcs</v>
      </c>
      <c r="I2522" s="6" t="str">
        <f>IFERROR(__xludf.DUMMYFUNCTION("""COMPUTED_VALUE"""),"MFH")</f>
        <v>MFH</v>
      </c>
      <c r="J2522" s="6" t="str">
        <f>IFERROR(__xludf.DUMMYFUNCTION("""COMPUTED_VALUE"""),"Filling ")</f>
        <v>Filling </v>
      </c>
      <c r="K2522" s="6" t="str">
        <f>IFERROR(__xludf.DUMMYFUNCTION("""COMPUTED_VALUE"""),"SPR/09/25/060")</f>
        <v>SPR/09/25/060</v>
      </c>
      <c r="L2522" s="13">
        <f>IFERROR(__xludf.DUMMYFUNCTION("""COMPUTED_VALUE"""),45930.0)</f>
        <v>45930</v>
      </c>
    </row>
    <row r="2523">
      <c r="A2523" s="6" t="str">
        <f>IFERROR(__xludf.DUMMYFUNCTION("""COMPUTED_VALUE"""),"NDS")</f>
        <v>NDS</v>
      </c>
      <c r="B2523" s="6" t="str">
        <f>IFERROR(__xludf.DUMMYFUNCTION("""COMPUTED_VALUE"""),"ENG")</f>
        <v>ENG</v>
      </c>
      <c r="C2523" s="6" t="str">
        <f>IFERROR(__xludf.DUMMYFUNCTION("""COMPUTED_VALUE"""),"O-52825-00")</f>
        <v>O-52825-00</v>
      </c>
      <c r="D2523" s="6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E2523" s="6">
        <f>IFERROR(__xludf.DUMMYFUNCTION("""COMPUTED_VALUE"""),1.0)</f>
        <v>1</v>
      </c>
      <c r="F2523" s="6">
        <f>IFERROR(__xludf.DUMMYFUNCTION("""COMPUTED_VALUE"""),1.0)</f>
        <v>1</v>
      </c>
      <c r="G2523" s="6">
        <f>IFERROR(__xludf.DUMMYFUNCTION("""COMPUTED_VALUE"""),0.0)</f>
        <v>0</v>
      </c>
      <c r="H2523" s="6" t="str">
        <f>IFERROR(__xludf.DUMMYFUNCTION("""COMPUTED_VALUE"""),"Pcs")</f>
        <v>Pcs</v>
      </c>
      <c r="I2523" s="6" t="str">
        <f>IFERROR(__xludf.DUMMYFUNCTION("""COMPUTED_VALUE"""),"MFH")</f>
        <v>MFH</v>
      </c>
      <c r="J2523" s="6" t="str">
        <f>IFERROR(__xludf.DUMMYFUNCTION("""COMPUTED_VALUE"""),"Freeze Dryer ")</f>
        <v>Freeze Dryer </v>
      </c>
      <c r="K2523" s="6" t="str">
        <f>IFERROR(__xludf.DUMMYFUNCTION("""COMPUTED_VALUE"""),"SPR/09/25/061")</f>
        <v>SPR/09/25/061</v>
      </c>
      <c r="L2523" s="13">
        <f>IFERROR(__xludf.DUMMYFUNCTION("""COMPUTED_VALUE"""),45930.0)</f>
        <v>45930</v>
      </c>
    </row>
    <row r="2524">
      <c r="A2524" s="6" t="str">
        <f>IFERROR(__xludf.DUMMYFUNCTION("""COMPUTED_VALUE"""),"NDS")</f>
        <v>NDS</v>
      </c>
      <c r="B2524" s="6" t="str">
        <f>IFERROR(__xludf.DUMMYFUNCTION("""COMPUTED_VALUE"""),"ENG")</f>
        <v>ENG</v>
      </c>
      <c r="C2524" s="6" t="str">
        <f>IFERROR(__xludf.DUMMYFUNCTION("""COMPUTED_VALUE"""),"O-20751-00")</f>
        <v>O-20751-00</v>
      </c>
      <c r="D2524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2524" s="6">
        <f>IFERROR(__xludf.DUMMYFUNCTION("""COMPUTED_VALUE"""),10.0)</f>
        <v>10</v>
      </c>
      <c r="F2524" s="6">
        <f>IFERROR(__xludf.DUMMYFUNCTION("""COMPUTED_VALUE"""),10.0)</f>
        <v>10</v>
      </c>
      <c r="G2524" s="6">
        <f>IFERROR(__xludf.DUMMYFUNCTION("""COMPUTED_VALUE"""),0.0)</f>
        <v>0</v>
      </c>
      <c r="H2524" s="6" t="str">
        <f>IFERROR(__xludf.DUMMYFUNCTION("""COMPUTED_VALUE"""),"Pcs")</f>
        <v>Pcs</v>
      </c>
      <c r="I2524" s="6" t="str">
        <f>IFERROR(__xludf.DUMMYFUNCTION("""COMPUTED_VALUE"""),"MFH")</f>
        <v>MFH</v>
      </c>
      <c r="J2524" s="6" t="str">
        <f>IFERROR(__xludf.DUMMYFUNCTION("""COMPUTED_VALUE"""),"Cartoning ")</f>
        <v>Cartoning </v>
      </c>
      <c r="K2524" s="6" t="str">
        <f>IFERROR(__xludf.DUMMYFUNCTION("""COMPUTED_VALUE"""),"SPR/09/25/061")</f>
        <v>SPR/09/25/061</v>
      </c>
      <c r="L2524" s="13">
        <f>IFERROR(__xludf.DUMMYFUNCTION("""COMPUTED_VALUE"""),45930.0)</f>
        <v>45930</v>
      </c>
    </row>
    <row r="2525">
      <c r="A2525" s="6" t="str">
        <f>IFERROR(__xludf.DUMMYFUNCTION("""COMPUTED_VALUE"""),"BDU")</f>
        <v>BDU</v>
      </c>
      <c r="B2525" s="6" t="str">
        <f>IFERROR(__xludf.DUMMYFUNCTION("""COMPUTED_VALUE"""),"ENG")</f>
        <v>ENG</v>
      </c>
      <c r="C2525" s="6" t="str">
        <f>IFERROR(__xludf.DUMMYFUNCTION("""COMPUTED_VALUE"""),"P-51027-00")</f>
        <v>P-51027-00</v>
      </c>
      <c r="D2525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525" s="6">
        <f>IFERROR(__xludf.DUMMYFUNCTION("""COMPUTED_VALUE"""),5.0)</f>
        <v>5</v>
      </c>
      <c r="F2525" s="6">
        <f>IFERROR(__xludf.DUMMYFUNCTION("""COMPUTED_VALUE"""),5.0)</f>
        <v>5</v>
      </c>
      <c r="G2525" s="6">
        <f>IFERROR(__xludf.DUMMYFUNCTION("""COMPUTED_VALUE"""),0.0)</f>
        <v>0</v>
      </c>
      <c r="H2525" s="6" t="str">
        <f>IFERROR(__xludf.DUMMYFUNCTION("""COMPUTED_VALUE"""),"Pcs")</f>
        <v>Pcs</v>
      </c>
      <c r="I2525" s="6" t="str">
        <f>IFERROR(__xludf.DUMMYFUNCTION("""COMPUTED_VALUE"""),"MFH")</f>
        <v>MFH</v>
      </c>
      <c r="J2525" s="6" t="str">
        <f>IFERROR(__xludf.DUMMYFUNCTION("""COMPUTED_VALUE"""),"-")</f>
        <v>-</v>
      </c>
      <c r="K2525" s="6" t="str">
        <f>IFERROR(__xludf.DUMMYFUNCTION("""COMPUTED_VALUE"""),"SPR/10/25/001")</f>
        <v>SPR/10/25/001</v>
      </c>
      <c r="L2525" s="13">
        <f>IFERROR(__xludf.DUMMYFUNCTION("""COMPUTED_VALUE"""),45955.0)</f>
        <v>45955</v>
      </c>
    </row>
    <row r="2526">
      <c r="A2526" s="6" t="str">
        <f>IFERROR(__xludf.DUMMYFUNCTION("""COMPUTED_VALUE"""),"BDU")</f>
        <v>BDU</v>
      </c>
      <c r="B2526" s="6" t="str">
        <f>IFERROR(__xludf.DUMMYFUNCTION("""COMPUTED_VALUE"""),"ENG")</f>
        <v>ENG</v>
      </c>
      <c r="C2526" s="6" t="str">
        <f>IFERROR(__xludf.DUMMYFUNCTION("""COMPUTED_VALUE"""),"O-15902-00")</f>
        <v>O-15902-00</v>
      </c>
      <c r="D2526" s="6" t="str">
        <f>IFERROR(__xludf.DUMMYFUNCTION("""COMPUTED_VALUE"""),"Suction Cup capping size 6R; P/N : 011010; ; ;")</f>
        <v>Suction Cup capping size 6R; P/N : 011010; ; ;</v>
      </c>
      <c r="E2526" s="6">
        <f>IFERROR(__xludf.DUMMYFUNCTION("""COMPUTED_VALUE"""),40.0)</f>
        <v>40</v>
      </c>
      <c r="F2526" s="6">
        <f>IFERROR(__xludf.DUMMYFUNCTION("""COMPUTED_VALUE"""),40.0)</f>
        <v>40</v>
      </c>
      <c r="G2526" s="6">
        <f>IFERROR(__xludf.DUMMYFUNCTION("""COMPUTED_VALUE"""),0.0)</f>
        <v>0</v>
      </c>
      <c r="H2526" s="6" t="str">
        <f>IFERROR(__xludf.DUMMYFUNCTION("""COMPUTED_VALUE"""),"Pcs")</f>
        <v>Pcs</v>
      </c>
      <c r="I2526" s="6" t="str">
        <f>IFERROR(__xludf.DUMMYFUNCTION("""COMPUTED_VALUE"""),"MFH")</f>
        <v>MFH</v>
      </c>
      <c r="J2526" s="6" t="str">
        <f>IFERROR(__xludf.DUMMYFUNCTION("""COMPUTED_VALUE"""),"-")</f>
        <v>-</v>
      </c>
      <c r="K2526" s="6" t="str">
        <f>IFERROR(__xludf.DUMMYFUNCTION("""COMPUTED_VALUE"""),"SPR/10/25/001")</f>
        <v>SPR/10/25/001</v>
      </c>
      <c r="L2526" s="13">
        <f>IFERROR(__xludf.DUMMYFUNCTION("""COMPUTED_VALUE"""),45955.0)</f>
        <v>45955</v>
      </c>
    </row>
    <row r="2527">
      <c r="A2527" s="6" t="str">
        <f>IFERROR(__xludf.DUMMYFUNCTION("""COMPUTED_VALUE"""),"BDU")</f>
        <v>BDU</v>
      </c>
      <c r="B2527" s="6" t="str">
        <f>IFERROR(__xludf.DUMMYFUNCTION("""COMPUTED_VALUE"""),"ENG")</f>
        <v>ENG</v>
      </c>
      <c r="C2527" s="6" t="str">
        <f>IFERROR(__xludf.DUMMYFUNCTION("""COMPUTED_VALUE"""),"P-17272-00")</f>
        <v>P-17272-00</v>
      </c>
      <c r="D2527" s="6" t="str">
        <f>IFERROR(__xludf.DUMMYFUNCTION("""COMPUTED_VALUE"""),"O-ring Epdm 9 x 4 x 2,5 mm ; Brand : - ; P/N : - ; Pack Size : pcs")</f>
        <v>O-ring Epdm 9 x 4 x 2,5 mm ; Brand : - ; P/N : - ; Pack Size : pcs</v>
      </c>
      <c r="E2527" s="6">
        <f>IFERROR(__xludf.DUMMYFUNCTION("""COMPUTED_VALUE"""),4.0)</f>
        <v>4</v>
      </c>
      <c r="F2527" s="6">
        <f>IFERROR(__xludf.DUMMYFUNCTION("""COMPUTED_VALUE"""),4.0)</f>
        <v>4</v>
      </c>
      <c r="G2527" s="6">
        <f>IFERROR(__xludf.DUMMYFUNCTION("""COMPUTED_VALUE"""),0.0)</f>
        <v>0</v>
      </c>
      <c r="H2527" s="6" t="str">
        <f>IFERROR(__xludf.DUMMYFUNCTION("""COMPUTED_VALUE"""),"Pcs")</f>
        <v>Pcs</v>
      </c>
      <c r="I2527" s="6" t="str">
        <f>IFERROR(__xludf.DUMMYFUNCTION("""COMPUTED_VALUE"""),"MFH")</f>
        <v>MFH</v>
      </c>
      <c r="J2527" s="6" t="str">
        <f>IFERROR(__xludf.DUMMYFUNCTION("""COMPUTED_VALUE"""),"-")</f>
        <v>-</v>
      </c>
      <c r="K2527" s="6" t="str">
        <f>IFERROR(__xludf.DUMMYFUNCTION("""COMPUTED_VALUE"""),"SPR/10/25/001")</f>
        <v>SPR/10/25/001</v>
      </c>
      <c r="L2527" s="13">
        <f>IFERROR(__xludf.DUMMYFUNCTION("""COMPUTED_VALUE"""),45955.0)</f>
        <v>45955</v>
      </c>
    </row>
    <row r="2528">
      <c r="A2528" s="6" t="str">
        <f>IFERROR(__xludf.DUMMYFUNCTION("""COMPUTED_VALUE"""),"MRN")</f>
        <v>MRN</v>
      </c>
      <c r="B2528" s="6" t="str">
        <f>IFERROR(__xludf.DUMMYFUNCTION("""COMPUTED_VALUE"""),"ENG")</f>
        <v>ENG</v>
      </c>
      <c r="C2528" s="6" t="str">
        <f>IFERROR(__xludf.DUMMYFUNCTION("""COMPUTED_VALUE"""),"P-12433-00")</f>
        <v>P-12433-00</v>
      </c>
      <c r="D2528" s="6" t="str">
        <f>IFERROR(__xludf.DUMMYFUNCTION("""COMPUTED_VALUE"""),"Isolasi AC- Sansui")</f>
        <v>Isolasi AC- Sansui</v>
      </c>
      <c r="E2528" s="6">
        <f>IFERROR(__xludf.DUMMYFUNCTION("""COMPUTED_VALUE"""),6.0)</f>
        <v>6</v>
      </c>
      <c r="F2528" s="6">
        <f>IFERROR(__xludf.DUMMYFUNCTION("""COMPUTED_VALUE"""),6.0)</f>
        <v>6</v>
      </c>
      <c r="G2528" s="6">
        <f>IFERROR(__xludf.DUMMYFUNCTION("""COMPUTED_VALUE"""),0.0)</f>
        <v>0</v>
      </c>
      <c r="H2528" s="6" t="str">
        <f>IFERROR(__xludf.DUMMYFUNCTION("""COMPUTED_VALUE"""),"Pcs")</f>
        <v>Pcs</v>
      </c>
      <c r="I2528" s="6" t="str">
        <f>IFERROR(__xludf.DUMMYFUNCTION("""COMPUTED_VALUE"""),"MFH")</f>
        <v>MFH</v>
      </c>
      <c r="J2528" s="6" t="str">
        <f>IFERROR(__xludf.DUMMYFUNCTION("""COMPUTED_VALUE"""),"-")</f>
        <v>-</v>
      </c>
      <c r="K2528" s="6" t="str">
        <f>IFERROR(__xludf.DUMMYFUNCTION("""COMPUTED_VALUE"""),"SPR/10/25/002")</f>
        <v>SPR/10/25/002</v>
      </c>
      <c r="L2528" s="13">
        <f>IFERROR(__xludf.DUMMYFUNCTION("""COMPUTED_VALUE"""),45955.0)</f>
        <v>45955</v>
      </c>
    </row>
    <row r="2529">
      <c r="A2529" s="6" t="str">
        <f>IFERROR(__xludf.DUMMYFUNCTION("""COMPUTED_VALUE"""),"MRN")</f>
        <v>MRN</v>
      </c>
      <c r="B2529" s="6" t="str">
        <f>IFERROR(__xludf.DUMMYFUNCTION("""COMPUTED_VALUE"""),"ENG")</f>
        <v>ENG</v>
      </c>
      <c r="C2529" s="6" t="str">
        <f>IFERROR(__xludf.DUMMYFUNCTION("""COMPUTED_VALUE"""),"O-20297-00")</f>
        <v>O-20297-00</v>
      </c>
      <c r="D2529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E2529" s="6">
        <f>IFERROR(__xludf.DUMMYFUNCTION("""COMPUTED_VALUE"""),17.0)</f>
        <v>17</v>
      </c>
      <c r="F2529" s="6">
        <f>IFERROR(__xludf.DUMMYFUNCTION("""COMPUTED_VALUE"""),17.0)</f>
        <v>17</v>
      </c>
      <c r="G2529" s="6">
        <f>IFERROR(__xludf.DUMMYFUNCTION("""COMPUTED_VALUE"""),0.0)</f>
        <v>0</v>
      </c>
      <c r="H2529" s="6" t="str">
        <f>IFERROR(__xludf.DUMMYFUNCTION("""COMPUTED_VALUE"""),"Pcs")</f>
        <v>Pcs</v>
      </c>
      <c r="I2529" s="6" t="str">
        <f>IFERROR(__xludf.DUMMYFUNCTION("""COMPUTED_VALUE"""),"MFH")</f>
        <v>MFH</v>
      </c>
      <c r="J2529" s="6" t="str">
        <f>IFERROR(__xludf.DUMMYFUNCTION("""COMPUTED_VALUE"""),"-")</f>
        <v>-</v>
      </c>
      <c r="K2529" s="6" t="str">
        <f>IFERROR(__xludf.DUMMYFUNCTION("""COMPUTED_VALUE"""),"SPR/10/25/002")</f>
        <v>SPR/10/25/002</v>
      </c>
      <c r="L2529" s="13">
        <f>IFERROR(__xludf.DUMMYFUNCTION("""COMPUTED_VALUE"""),45955.0)</f>
        <v>45955</v>
      </c>
    </row>
    <row r="2530">
      <c r="A2530" s="6" t="str">
        <f>IFERROR(__xludf.DUMMYFUNCTION("""COMPUTED_VALUE"""),"MRN")</f>
        <v>MRN</v>
      </c>
      <c r="B2530" s="6" t="str">
        <f>IFERROR(__xludf.DUMMYFUNCTION("""COMPUTED_VALUE"""),"ENG")</f>
        <v>ENG</v>
      </c>
      <c r="C2530" s="6" t="str">
        <f>IFERROR(__xludf.DUMMYFUNCTION("""COMPUTED_VALUE"""),"O-17313-00")</f>
        <v>O-17313-00</v>
      </c>
      <c r="D2530" s="6" t="str">
        <f>IFERROR(__xludf.DUMMYFUNCTION("""COMPUTED_VALUE"""),"Breathing Circuit Filter PALL P/N :  BB50T pc")</f>
        <v>Breathing Circuit Filter PALL P/N :  BB50T pc</v>
      </c>
      <c r="E2530" s="6">
        <f>IFERROR(__xludf.DUMMYFUNCTION("""COMPUTED_VALUE"""),4.0)</f>
        <v>4</v>
      </c>
      <c r="F2530" s="6">
        <f>IFERROR(__xludf.DUMMYFUNCTION("""COMPUTED_VALUE"""),4.0)</f>
        <v>4</v>
      </c>
      <c r="G2530" s="6">
        <f>IFERROR(__xludf.DUMMYFUNCTION("""COMPUTED_VALUE"""),0.0)</f>
        <v>0</v>
      </c>
      <c r="H2530" s="6" t="str">
        <f>IFERROR(__xludf.DUMMYFUNCTION("""COMPUTED_VALUE"""),"Pcs")</f>
        <v>Pcs</v>
      </c>
      <c r="I2530" s="6" t="str">
        <f>IFERROR(__xludf.DUMMYFUNCTION("""COMPUTED_VALUE"""),"MFH")</f>
        <v>MFH</v>
      </c>
      <c r="J2530" s="6" t="str">
        <f>IFERROR(__xludf.DUMMYFUNCTION("""COMPUTED_VALUE"""),"-")</f>
        <v>-</v>
      </c>
      <c r="K2530" s="6" t="str">
        <f>IFERROR(__xludf.DUMMYFUNCTION("""COMPUTED_VALUE"""),"SPR/10/25/002")</f>
        <v>SPR/10/25/002</v>
      </c>
      <c r="L2530" s="13">
        <f>IFERROR(__xludf.DUMMYFUNCTION("""COMPUTED_VALUE"""),45955.0)</f>
        <v>45955</v>
      </c>
    </row>
    <row r="2531">
      <c r="A2531" s="6" t="str">
        <f>IFERROR(__xludf.DUMMYFUNCTION("""COMPUTED_VALUE"""),"SFH")</f>
        <v>SFH</v>
      </c>
      <c r="B2531" s="6" t="str">
        <f>IFERROR(__xludf.DUMMYFUNCTION("""COMPUTED_VALUE"""),"ENG")</f>
        <v>ENG</v>
      </c>
      <c r="C2531" s="6" t="str">
        <f>IFERROR(__xludf.DUMMYFUNCTION("""COMPUTED_VALUE"""),"P-51559-00")</f>
        <v>P-51559-00</v>
      </c>
      <c r="D2531" s="6" t="str">
        <f>IFERROR(__xludf.DUMMYFUNCTION("""COMPUTED_VALUE"""),"Lampu T5 14watt Putih; Phillips; ;")</f>
        <v>Lampu T5 14watt Putih; Phillips; ;</v>
      </c>
      <c r="E2531" s="6">
        <f>IFERROR(__xludf.DUMMYFUNCTION("""COMPUTED_VALUE"""),13.0)</f>
        <v>13</v>
      </c>
      <c r="F2531" s="6">
        <f>IFERROR(__xludf.DUMMYFUNCTION("""COMPUTED_VALUE"""),13.0)</f>
        <v>13</v>
      </c>
      <c r="G2531" s="6">
        <f>IFERROR(__xludf.DUMMYFUNCTION("""COMPUTED_VALUE"""),0.0)</f>
        <v>0</v>
      </c>
      <c r="H2531" s="6" t="str">
        <f>IFERROR(__xludf.DUMMYFUNCTION("""COMPUTED_VALUE"""),"Pcs")</f>
        <v>Pcs</v>
      </c>
      <c r="I2531" s="6" t="str">
        <f>IFERROR(__xludf.DUMMYFUNCTION("""COMPUTED_VALUE"""),"MFH")</f>
        <v>MFH</v>
      </c>
      <c r="J2531" s="6" t="str">
        <f>IFERROR(__xludf.DUMMYFUNCTION("""COMPUTED_VALUE"""),"Building")</f>
        <v>Building</v>
      </c>
      <c r="K2531" s="6" t="str">
        <f>IFERROR(__xludf.DUMMYFUNCTION("""COMPUTED_VALUE"""),"SPR/10/25/003")</f>
        <v>SPR/10/25/003</v>
      </c>
      <c r="L2531" s="13">
        <f>IFERROR(__xludf.DUMMYFUNCTION("""COMPUTED_VALUE"""),45955.0)</f>
        <v>45955</v>
      </c>
    </row>
    <row r="2532">
      <c r="A2532" s="6" t="str">
        <f>IFERROR(__xludf.DUMMYFUNCTION("""COMPUTED_VALUE"""),"SFH")</f>
        <v>SFH</v>
      </c>
      <c r="B2532" s="6" t="str">
        <f>IFERROR(__xludf.DUMMYFUNCTION("""COMPUTED_VALUE"""),"ENG")</f>
        <v>ENG</v>
      </c>
      <c r="C2532" s="6" t="str">
        <f>IFERROR(__xludf.DUMMYFUNCTION("""COMPUTED_VALUE"""),"P-51560-00")</f>
        <v>P-51560-00</v>
      </c>
      <c r="D2532" s="6" t="str">
        <f>IFERROR(__xludf.DUMMYFUNCTION("""COMPUTED_VALUE"""),"Lampu T5 28watt Putih; Phillips; ;")</f>
        <v>Lampu T5 28watt Putih; Phillips; ;</v>
      </c>
      <c r="E2532" s="6">
        <f>IFERROR(__xludf.DUMMYFUNCTION("""COMPUTED_VALUE"""),10.0)</f>
        <v>10</v>
      </c>
      <c r="F2532" s="6">
        <f>IFERROR(__xludf.DUMMYFUNCTION("""COMPUTED_VALUE"""),10.0)</f>
        <v>10</v>
      </c>
      <c r="G2532" s="6">
        <f>IFERROR(__xludf.DUMMYFUNCTION("""COMPUTED_VALUE"""),0.0)</f>
        <v>0</v>
      </c>
      <c r="H2532" s="6" t="str">
        <f>IFERROR(__xludf.DUMMYFUNCTION("""COMPUTED_VALUE"""),"Pcs")</f>
        <v>Pcs</v>
      </c>
      <c r="I2532" s="6" t="str">
        <f>IFERROR(__xludf.DUMMYFUNCTION("""COMPUTED_VALUE"""),"MFH")</f>
        <v>MFH</v>
      </c>
      <c r="J2532" s="6" t="str">
        <f>IFERROR(__xludf.DUMMYFUNCTION("""COMPUTED_VALUE"""),"Building")</f>
        <v>Building</v>
      </c>
      <c r="K2532" s="6" t="str">
        <f>IFERROR(__xludf.DUMMYFUNCTION("""COMPUTED_VALUE"""),"SPR/10/25/003")</f>
        <v>SPR/10/25/003</v>
      </c>
      <c r="L2532" s="13">
        <f>IFERROR(__xludf.DUMMYFUNCTION("""COMPUTED_VALUE"""),45955.0)</f>
        <v>45955</v>
      </c>
    </row>
    <row r="2533">
      <c r="A2533" s="6" t="str">
        <f>IFERROR(__xludf.DUMMYFUNCTION("""COMPUTED_VALUE"""),"SFH ")</f>
        <v>SFH </v>
      </c>
      <c r="B2533" s="6" t="str">
        <f>IFERROR(__xludf.DUMMYFUNCTION("""COMPUTED_VALUE"""),"ENG")</f>
        <v>ENG</v>
      </c>
      <c r="C2533" s="6" t="str">
        <f>IFERROR(__xludf.DUMMYFUNCTION("""COMPUTED_VALUE"""),"Q-10249-00")</f>
        <v>Q-10249-00</v>
      </c>
      <c r="D2533" s="6" t="str">
        <f>IFERROR(__xludf.DUMMYFUNCTION("""COMPUTED_VALUE"""),"Lem Power Glue")</f>
        <v>Lem Power Glue</v>
      </c>
      <c r="E2533" s="6">
        <f>IFERROR(__xludf.DUMMYFUNCTION("""COMPUTED_VALUE"""),5.0)</f>
        <v>5</v>
      </c>
      <c r="F2533" s="6">
        <f>IFERROR(__xludf.DUMMYFUNCTION("""COMPUTED_VALUE"""),5.0)</f>
        <v>5</v>
      </c>
      <c r="G2533" s="6">
        <f>IFERROR(__xludf.DUMMYFUNCTION("""COMPUTED_VALUE"""),0.0)</f>
        <v>0</v>
      </c>
      <c r="H2533" s="6" t="str">
        <f>IFERROR(__xludf.DUMMYFUNCTION("""COMPUTED_VALUE"""),"Pcs")</f>
        <v>Pcs</v>
      </c>
      <c r="I2533" s="6" t="str">
        <f>IFERROR(__xludf.DUMMYFUNCTION("""COMPUTED_VALUE"""),"MFH")</f>
        <v>MFH</v>
      </c>
      <c r="J2533" s="6" t="str">
        <f>IFERROR(__xludf.DUMMYFUNCTION("""COMPUTED_VALUE"""),"Building")</f>
        <v>Building</v>
      </c>
      <c r="K2533" s="6" t="str">
        <f>IFERROR(__xludf.DUMMYFUNCTION("""COMPUTED_VALUE"""),"SPR/10/25/003")</f>
        <v>SPR/10/25/003</v>
      </c>
      <c r="L2533" s="13">
        <f>IFERROR(__xludf.DUMMYFUNCTION("""COMPUTED_VALUE"""),45955.0)</f>
        <v>45955</v>
      </c>
    </row>
    <row r="2534">
      <c r="A2534" s="6" t="str">
        <f>IFERROR(__xludf.DUMMYFUNCTION("""COMPUTED_VALUE"""),"KFF")</f>
        <v>KFF</v>
      </c>
      <c r="B2534" s="6" t="str">
        <f>IFERROR(__xludf.DUMMYFUNCTION("""COMPUTED_VALUE"""),"ENG")</f>
        <v>ENG</v>
      </c>
      <c r="C2534" s="6" t="str">
        <f>IFERROR(__xludf.DUMMYFUNCTION("""COMPUTED_VALUE"""),"O-15931-00")</f>
        <v>O-15931-00</v>
      </c>
      <c r="D2534" s="6" t="str">
        <f>IFERROR(__xludf.DUMMYFUNCTION("""COMPUTED_VALUE"""),"Double Tape 3M 1"" Merah - P/N : - pc")</f>
        <v>Double Tape 3M 1" Merah - P/N : - pc</v>
      </c>
      <c r="E2534" s="6">
        <f>IFERROR(__xludf.DUMMYFUNCTION("""COMPUTED_VALUE"""),1.0)</f>
        <v>1</v>
      </c>
      <c r="F2534" s="6">
        <f>IFERROR(__xludf.DUMMYFUNCTION("""COMPUTED_VALUE"""),1.0)</f>
        <v>1</v>
      </c>
      <c r="G2534" s="6">
        <f>IFERROR(__xludf.DUMMYFUNCTION("""COMPUTED_VALUE"""),0.0)</f>
        <v>0</v>
      </c>
      <c r="H2534" s="6" t="str">
        <f>IFERROR(__xludf.DUMMYFUNCTION("""COMPUTED_VALUE"""),"Pc")</f>
        <v>Pc</v>
      </c>
      <c r="I2534" s="6" t="str">
        <f>IFERROR(__xludf.DUMMYFUNCTION("""COMPUTED_VALUE"""),"MFH")</f>
        <v>MFH</v>
      </c>
      <c r="J2534" s="6" t="str">
        <f>IFERROR(__xludf.DUMMYFUNCTION("""COMPUTED_VALUE"""),"Disolution tester")</f>
        <v>Disolution tester</v>
      </c>
      <c r="K2534" s="6" t="str">
        <f>IFERROR(__xludf.DUMMYFUNCTION("""COMPUTED_VALUE"""),"SPR/10/25/004")</f>
        <v>SPR/10/25/004</v>
      </c>
      <c r="L2534" s="13">
        <f>IFERROR(__xludf.DUMMYFUNCTION("""COMPUTED_VALUE"""),45955.0)</f>
        <v>45955</v>
      </c>
    </row>
    <row r="2535">
      <c r="A2535" s="6" t="str">
        <f>IFERROR(__xludf.DUMMYFUNCTION("""COMPUTED_VALUE"""),"KFF")</f>
        <v>KFF</v>
      </c>
      <c r="B2535" s="6" t="str">
        <f>IFERROR(__xludf.DUMMYFUNCTION("""COMPUTED_VALUE"""),"ENG")</f>
        <v>ENG</v>
      </c>
      <c r="C2535" s="6" t="str">
        <f>IFERROR(__xludf.DUMMYFUNCTION("""COMPUTED_VALUE"""),"S-40645-00")</f>
        <v>S-40645-00</v>
      </c>
      <c r="D2535" s="6" t="str">
        <f>IFERROR(__xludf.DUMMYFUNCTION("""COMPUTED_VALUE"""),"Cable Ties, 200 x 4.8 mm; SIGMA; CS 200L; Putih;100 pcs/pack")</f>
        <v>Cable Ties, 200 x 4.8 mm; SIGMA; CS 200L; Putih;100 pcs/pack</v>
      </c>
      <c r="E2535" s="6">
        <f>IFERROR(__xludf.DUMMYFUNCTION("""COMPUTED_VALUE"""),1.0)</f>
        <v>1</v>
      </c>
      <c r="F2535" s="6">
        <f>IFERROR(__xludf.DUMMYFUNCTION("""COMPUTED_VALUE"""),1.0)</f>
        <v>1</v>
      </c>
      <c r="G2535" s="6">
        <f>IFERROR(__xludf.DUMMYFUNCTION("""COMPUTED_VALUE"""),0.0)</f>
        <v>0</v>
      </c>
      <c r="H2535" s="6" t="str">
        <f>IFERROR(__xludf.DUMMYFUNCTION("""COMPUTED_VALUE"""),"Pc")</f>
        <v>Pc</v>
      </c>
      <c r="I2535" s="6" t="str">
        <f>IFERROR(__xludf.DUMMYFUNCTION("""COMPUTED_VALUE"""),"MFH")</f>
        <v>MFH</v>
      </c>
      <c r="J2535" s="6" t="str">
        <f>IFERROR(__xludf.DUMMYFUNCTION("""COMPUTED_VALUE"""),"Disolution tester ")</f>
        <v>Disolution tester </v>
      </c>
      <c r="K2535" s="6" t="str">
        <f>IFERROR(__xludf.DUMMYFUNCTION("""COMPUTED_VALUE"""),"SPR/10/25/004")</f>
        <v>SPR/10/25/004</v>
      </c>
      <c r="L2535" s="13">
        <f>IFERROR(__xludf.DUMMYFUNCTION("""COMPUTED_VALUE"""),45961.0)</f>
        <v>45961</v>
      </c>
    </row>
    <row r="2536">
      <c r="A2536" s="6" t="str">
        <f>IFERROR(__xludf.DUMMYFUNCTION("""COMPUTED_VALUE"""),"KFF")</f>
        <v>KFF</v>
      </c>
      <c r="B2536" s="6" t="str">
        <f>IFERROR(__xludf.DUMMYFUNCTION("""COMPUTED_VALUE"""),"ENG")</f>
        <v>ENG</v>
      </c>
      <c r="C2536" s="6" t="str">
        <f>IFERROR(__xludf.DUMMYFUNCTION("""COMPUTED_VALUE"""),"P-14377-00")</f>
        <v>P-14377-00</v>
      </c>
      <c r="D2536" s="6" t="str">
        <f>IFERROR(__xludf.DUMMYFUNCTION("""COMPUTED_VALUE"""),"General - Gasket Ferrule EPDM 1inch; Lokal; -; 1 pc")</f>
        <v>General - Gasket Ferrule EPDM 1inch; Lokal; -; 1 pc</v>
      </c>
      <c r="E2536" s="6">
        <f>IFERROR(__xludf.DUMMYFUNCTION("""COMPUTED_VALUE"""),60.0)</f>
        <v>60</v>
      </c>
      <c r="F2536" s="6">
        <f>IFERROR(__xludf.DUMMYFUNCTION("""COMPUTED_VALUE"""),60.0)</f>
        <v>60</v>
      </c>
      <c r="G2536" s="6">
        <f>IFERROR(__xludf.DUMMYFUNCTION("""COMPUTED_VALUE"""),0.0)</f>
        <v>0</v>
      </c>
      <c r="H2536" s="6" t="str">
        <f>IFERROR(__xludf.DUMMYFUNCTION("""COMPUTED_VALUE"""),"Pcs")</f>
        <v>Pcs</v>
      </c>
      <c r="I2536" s="6" t="str">
        <f>IFERROR(__xludf.DUMMYFUNCTION("""COMPUTED_VALUE"""),"MFH")</f>
        <v>MFH</v>
      </c>
      <c r="J2536" s="6" t="str">
        <f>IFERROR(__xludf.DUMMYFUNCTION("""COMPUTED_VALUE"""),"-")</f>
        <v>-</v>
      </c>
      <c r="K2536" s="6" t="str">
        <f>IFERROR(__xludf.DUMMYFUNCTION("""COMPUTED_VALUE"""),"SPR/10/25/004")</f>
        <v>SPR/10/25/004</v>
      </c>
      <c r="L2536" s="13">
        <f>IFERROR(__xludf.DUMMYFUNCTION("""COMPUTED_VALUE"""),45955.0)</f>
        <v>45955</v>
      </c>
    </row>
    <row r="2537">
      <c r="A2537" s="6" t="str">
        <f>IFERROR(__xludf.DUMMYFUNCTION("""COMPUTED_VALUE"""),"ROS ")</f>
        <v>ROS </v>
      </c>
      <c r="B2537" s="6" t="str">
        <f>IFERROR(__xludf.DUMMYFUNCTION("""COMPUTED_VALUE"""),"ENG")</f>
        <v>ENG</v>
      </c>
      <c r="C2537" s="6" t="str">
        <f>IFERROR(__xludf.DUMMYFUNCTION("""COMPUTED_VALUE"""),"Q-50013-00")</f>
        <v>Q-50013-00</v>
      </c>
      <c r="D2537" s="6" t="str">
        <f>IFERROR(__xludf.DUMMYFUNCTION("""COMPUTED_VALUE"""),"Frame or Perimeter Seal RP48 White; Raven; R48W6; 6 meter/pck")</f>
        <v>Frame or Perimeter Seal RP48 White; Raven; R48W6; 6 meter/pck</v>
      </c>
      <c r="E2537" s="6">
        <f>IFERROR(__xludf.DUMMYFUNCTION("""COMPUTED_VALUE"""),2.0)</f>
        <v>2</v>
      </c>
      <c r="F2537" s="6">
        <f>IFERROR(__xludf.DUMMYFUNCTION("""COMPUTED_VALUE"""),2.0)</f>
        <v>2</v>
      </c>
      <c r="G2537" s="6">
        <f>IFERROR(__xludf.DUMMYFUNCTION("""COMPUTED_VALUE"""),0.0)</f>
        <v>0</v>
      </c>
      <c r="H2537" s="6" t="str">
        <f>IFERROR(__xludf.DUMMYFUNCTION("""COMPUTED_VALUE"""),"Pcs")</f>
        <v>Pcs</v>
      </c>
      <c r="I2537" s="6" t="str">
        <f>IFERROR(__xludf.DUMMYFUNCTION("""COMPUTED_VALUE"""),"MFH")</f>
        <v>MFH</v>
      </c>
      <c r="J2537" s="6" t="str">
        <f>IFERROR(__xludf.DUMMYFUNCTION("""COMPUTED_VALUE"""),"Pasbox mixing")</f>
        <v>Pasbox mixing</v>
      </c>
      <c r="K2537" s="6" t="str">
        <f>IFERROR(__xludf.DUMMYFUNCTION("""COMPUTED_VALUE"""),"SPR/10/25/005")</f>
        <v>SPR/10/25/005</v>
      </c>
      <c r="L2537" s="13">
        <f>IFERROR(__xludf.DUMMYFUNCTION("""COMPUTED_VALUE"""),45961.0)</f>
        <v>45961</v>
      </c>
    </row>
    <row r="2538">
      <c r="A2538" s="6" t="str">
        <f>IFERROR(__xludf.DUMMYFUNCTION("""COMPUTED_VALUE"""),"NDS")</f>
        <v>NDS</v>
      </c>
      <c r="B2538" s="6" t="str">
        <f>IFERROR(__xludf.DUMMYFUNCTION("""COMPUTED_VALUE"""),"ENG")</f>
        <v>ENG</v>
      </c>
      <c r="C2538" s="6" t="str">
        <f>IFERROR(__xludf.DUMMYFUNCTION("""COMPUTED_VALUE"""),"T-20123-00")</f>
        <v>T-20123-00</v>
      </c>
      <c r="D2538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538" s="6">
        <f>IFERROR(__xludf.DUMMYFUNCTION("""COMPUTED_VALUE"""),1.0)</f>
        <v>1</v>
      </c>
      <c r="F2538" s="6">
        <f>IFERROR(__xludf.DUMMYFUNCTION("""COMPUTED_VALUE"""),1.0)</f>
        <v>1</v>
      </c>
      <c r="G2538" s="6">
        <f>IFERROR(__xludf.DUMMYFUNCTION("""COMPUTED_VALUE"""),0.0)</f>
        <v>0</v>
      </c>
      <c r="H2538" s="6" t="str">
        <f>IFERROR(__xludf.DUMMYFUNCTION("""COMPUTED_VALUE"""),"Pcs ")</f>
        <v>Pcs </v>
      </c>
      <c r="I2538" s="6" t="str">
        <f>IFERROR(__xludf.DUMMYFUNCTION("""COMPUTED_VALUE"""),"MFH ")</f>
        <v>MFH </v>
      </c>
      <c r="J2538" s="6" t="str">
        <f>IFERROR(__xludf.DUMMYFUNCTION("""COMPUTED_VALUE"""),"HPLC")</f>
        <v>HPLC</v>
      </c>
      <c r="K2538" s="6" t="str">
        <f>IFERROR(__xludf.DUMMYFUNCTION("""COMPUTED_VALUE"""),"SPR/10/25/006")</f>
        <v>SPR/10/25/006</v>
      </c>
      <c r="L2538" s="13">
        <f>IFERROR(__xludf.DUMMYFUNCTION("""COMPUTED_VALUE"""),45961.0)</f>
        <v>45961</v>
      </c>
    </row>
    <row r="2539">
      <c r="A2539" s="6" t="str">
        <f>IFERROR(__xludf.DUMMYFUNCTION("""COMPUTED_VALUE"""),"NDS")</f>
        <v>NDS</v>
      </c>
      <c r="B2539" s="6" t="str">
        <f>IFERROR(__xludf.DUMMYFUNCTION("""COMPUTED_VALUE"""),"ENG")</f>
        <v>ENG</v>
      </c>
      <c r="C2539" s="6" t="str">
        <f>IFERROR(__xludf.DUMMYFUNCTION("""COMPUTED_VALUE"""),"O-16647-00")</f>
        <v>O-16647-00</v>
      </c>
      <c r="D2539" s="6" t="str">
        <f>IFERROR(__xludf.DUMMYFUNCTION("""COMPUTED_VALUE"""),"Washing RAR4 - Oring Silicone Merah 23x18x2.5 mm")</f>
        <v>Washing RAR4 - Oring Silicone Merah 23x18x2.5 mm</v>
      </c>
      <c r="E2539" s="6">
        <f>IFERROR(__xludf.DUMMYFUNCTION("""COMPUTED_VALUE"""),30.0)</f>
        <v>30</v>
      </c>
      <c r="F2539" s="6">
        <f>IFERROR(__xludf.DUMMYFUNCTION("""COMPUTED_VALUE"""),30.0)</f>
        <v>30</v>
      </c>
      <c r="G2539" s="6">
        <f>IFERROR(__xludf.DUMMYFUNCTION("""COMPUTED_VALUE"""),0.0)</f>
        <v>0</v>
      </c>
      <c r="H2539" s="6" t="str">
        <f>IFERROR(__xludf.DUMMYFUNCTION("""COMPUTED_VALUE"""),"Pcs ")</f>
        <v>Pcs </v>
      </c>
      <c r="I2539" s="6" t="str">
        <f>IFERROR(__xludf.DUMMYFUNCTION("""COMPUTED_VALUE"""),"MFH ")</f>
        <v>MFH </v>
      </c>
      <c r="J2539" s="6" t="str">
        <f>IFERROR(__xludf.DUMMYFUNCTION("""COMPUTED_VALUE"""),"Capping ")</f>
        <v>Capping </v>
      </c>
      <c r="K2539" s="6" t="str">
        <f>IFERROR(__xludf.DUMMYFUNCTION("""COMPUTED_VALUE"""),"SPR/10/25/006")</f>
        <v>SPR/10/25/006</v>
      </c>
      <c r="L2539" s="13">
        <f>IFERROR(__xludf.DUMMYFUNCTION("""COMPUTED_VALUE"""),45955.0)</f>
        <v>45955</v>
      </c>
    </row>
    <row r="2540">
      <c r="A2540" s="6" t="str">
        <f>IFERROR(__xludf.DUMMYFUNCTION("""COMPUTED_VALUE"""),"ROS ")</f>
        <v>ROS </v>
      </c>
      <c r="B2540" s="6" t="str">
        <f>IFERROR(__xludf.DUMMYFUNCTION("""COMPUTED_VALUE"""),"ENG")</f>
        <v>ENG</v>
      </c>
      <c r="C2540" s="6" t="str">
        <f>IFERROR(__xludf.DUMMYFUNCTION("""COMPUTED_VALUE"""),"P-17273-00")</f>
        <v>P-17273-00</v>
      </c>
      <c r="D2540" s="6" t="str">
        <f>IFERROR(__xludf.DUMMYFUNCTION("""COMPUTED_VALUE"""),"O-ring Epdm 9 x 5 x 2 mm ; Brand : - ; P/N : - ; Pack Size : pcs")</f>
        <v>O-ring Epdm 9 x 5 x 2 mm ; Brand : - ; P/N : - ; Pack Size : pcs</v>
      </c>
      <c r="E2540" s="6">
        <f>IFERROR(__xludf.DUMMYFUNCTION("""COMPUTED_VALUE"""),8.0)</f>
        <v>8</v>
      </c>
      <c r="F2540" s="6">
        <f>IFERROR(__xludf.DUMMYFUNCTION("""COMPUTED_VALUE"""),8.0)</f>
        <v>8</v>
      </c>
      <c r="G2540" s="6">
        <f>IFERROR(__xludf.DUMMYFUNCTION("""COMPUTED_VALUE"""),0.0)</f>
        <v>0</v>
      </c>
      <c r="H2540" s="6" t="str">
        <f>IFERROR(__xludf.DUMMYFUNCTION("""COMPUTED_VALUE"""),"Pcs ")</f>
        <v>Pcs </v>
      </c>
      <c r="I2540" s="6" t="str">
        <f>IFERROR(__xludf.DUMMYFUNCTION("""COMPUTED_VALUE"""),"MFH")</f>
        <v>MFH</v>
      </c>
      <c r="J2540" s="6" t="str">
        <f>IFERROR(__xludf.DUMMYFUNCTION("""COMPUTED_VALUE"""),"Glove LeakTester")</f>
        <v>Glove LeakTester</v>
      </c>
      <c r="K2540" s="6" t="str">
        <f>IFERROR(__xludf.DUMMYFUNCTION("""COMPUTED_VALUE"""),"SPR/10/25/007")</f>
        <v>SPR/10/25/007</v>
      </c>
      <c r="L2540" s="13">
        <f>IFERROR(__xludf.DUMMYFUNCTION("""COMPUTED_VALUE"""),45955.0)</f>
        <v>45955</v>
      </c>
    </row>
    <row r="2541">
      <c r="A2541" s="6" t="str">
        <f>IFERROR(__xludf.DUMMYFUNCTION("""COMPUTED_VALUE"""),"SFH")</f>
        <v>SFH</v>
      </c>
      <c r="B2541" s="6" t="str">
        <f>IFERROR(__xludf.DUMMYFUNCTION("""COMPUTED_VALUE"""),"ENG")</f>
        <v>ENG</v>
      </c>
      <c r="C2541" s="6" t="str">
        <f>IFERROR(__xludf.DUMMYFUNCTION("""COMPUTED_VALUE"""),"P-51560-00")</f>
        <v>P-51560-00</v>
      </c>
      <c r="D2541" s="6" t="str">
        <f>IFERROR(__xludf.DUMMYFUNCTION("""COMPUTED_VALUE"""),"Lampu T5 28watt Putih; Phillips; ;")</f>
        <v>Lampu T5 28watt Putih; Phillips; ;</v>
      </c>
      <c r="E2541" s="6">
        <f>IFERROR(__xludf.DUMMYFUNCTION("""COMPUTED_VALUE"""),7.0)</f>
        <v>7</v>
      </c>
      <c r="F2541" s="6">
        <f>IFERROR(__xludf.DUMMYFUNCTION("""COMPUTED_VALUE"""),7.0)</f>
        <v>7</v>
      </c>
      <c r="G2541" s="6">
        <f>IFERROR(__xludf.DUMMYFUNCTION("""COMPUTED_VALUE"""),0.0)</f>
        <v>0</v>
      </c>
      <c r="H2541" s="6" t="str">
        <f>IFERROR(__xludf.DUMMYFUNCTION("""COMPUTED_VALUE"""),"Pcs")</f>
        <v>Pcs</v>
      </c>
      <c r="I2541" s="6" t="str">
        <f>IFERROR(__xludf.DUMMYFUNCTION("""COMPUTED_VALUE"""),"MFH ")</f>
        <v>MFH </v>
      </c>
      <c r="J2541" s="6" t="str">
        <f>IFERROR(__xludf.DUMMYFUNCTION("""COMPUTED_VALUE"""),"Building")</f>
        <v>Building</v>
      </c>
      <c r="K2541" s="6" t="str">
        <f>IFERROR(__xludf.DUMMYFUNCTION("""COMPUTED_VALUE"""),"SPR/10/25/008")</f>
        <v>SPR/10/25/008</v>
      </c>
      <c r="L2541" s="13">
        <f>IFERROR(__xludf.DUMMYFUNCTION("""COMPUTED_VALUE"""),45961.0)</f>
        <v>45961</v>
      </c>
    </row>
    <row r="2542">
      <c r="A2542" s="6" t="str">
        <f>IFERROR(__xludf.DUMMYFUNCTION("""COMPUTED_VALUE"""),"SFH")</f>
        <v>SFH</v>
      </c>
      <c r="B2542" s="6" t="str">
        <f>IFERROR(__xludf.DUMMYFUNCTION("""COMPUTED_VALUE"""),"ENG")</f>
        <v>ENG</v>
      </c>
      <c r="C2542" s="6" t="str">
        <f>IFERROR(__xludf.DUMMYFUNCTION("""COMPUTED_VALUE"""),"P-53417-00")</f>
        <v>P-53417-00</v>
      </c>
      <c r="D2542" s="6" t="str">
        <f>IFERROR(__xludf.DUMMYFUNCTION("""COMPUTED_VALUE"""),"General - Kabel Audio 8471 Shielded; Belden; -; 1 pc")</f>
        <v>General - Kabel Audio 8471 Shielded; Belden; -; 1 pc</v>
      </c>
      <c r="E2542" s="6">
        <f>IFERROR(__xludf.DUMMYFUNCTION("""COMPUTED_VALUE"""),50.0)</f>
        <v>50</v>
      </c>
      <c r="F2542" s="6">
        <f>IFERROR(__xludf.DUMMYFUNCTION("""COMPUTED_VALUE"""),50.0)</f>
        <v>50</v>
      </c>
      <c r="G2542" s="6">
        <f>IFERROR(__xludf.DUMMYFUNCTION("""COMPUTED_VALUE"""),0.0)</f>
        <v>0</v>
      </c>
      <c r="H2542" s="6" t="str">
        <f>IFERROR(__xludf.DUMMYFUNCTION("""COMPUTED_VALUE"""),"Pcs")</f>
        <v>Pcs</v>
      </c>
      <c r="I2542" s="6" t="str">
        <f>IFERROR(__xludf.DUMMYFUNCTION("""COMPUTED_VALUE"""),"MFH")</f>
        <v>MFH</v>
      </c>
      <c r="J2542" s="6" t="str">
        <f>IFERROR(__xludf.DUMMYFUNCTION("""COMPUTED_VALUE"""),"Building")</f>
        <v>Building</v>
      </c>
      <c r="K2542" s="6" t="str">
        <f>IFERROR(__xludf.DUMMYFUNCTION("""COMPUTED_VALUE"""),"SPR/10/25/008")</f>
        <v>SPR/10/25/008</v>
      </c>
      <c r="L2542" s="13">
        <f>IFERROR(__xludf.DUMMYFUNCTION("""COMPUTED_VALUE"""),45961.0)</f>
        <v>45961</v>
      </c>
    </row>
    <row r="2543">
      <c r="A2543" s="6" t="str">
        <f>IFERROR(__xludf.DUMMYFUNCTION("""COMPUTED_VALUE"""),"SFH")</f>
        <v>SFH</v>
      </c>
      <c r="B2543" s="6" t="str">
        <f>IFERROR(__xludf.DUMMYFUNCTION("""COMPUTED_VALUE"""),"ENG")</f>
        <v>ENG</v>
      </c>
      <c r="C2543" s="6" t="str">
        <f>IFERROR(__xludf.DUMMYFUNCTION("""COMPUTED_VALUE"""),"O-19339-00")</f>
        <v>O-19339-00</v>
      </c>
      <c r="D2543" s="6" t="str">
        <f>IFERROR(__xludf.DUMMYFUNCTION("""COMPUTED_VALUE"""),"Oring 2,5x6x11 mm, Material EPDM; ; ;")</f>
        <v>Oring 2,5x6x11 mm, Material EPDM; ; ;</v>
      </c>
      <c r="E2543" s="6">
        <f>IFERROR(__xludf.DUMMYFUNCTION("""COMPUTED_VALUE"""),9.0)</f>
        <v>9</v>
      </c>
      <c r="F2543" s="6">
        <f>IFERROR(__xludf.DUMMYFUNCTION("""COMPUTED_VALUE"""),9.0)</f>
        <v>9</v>
      </c>
      <c r="G2543" s="6">
        <f>IFERROR(__xludf.DUMMYFUNCTION("""COMPUTED_VALUE"""),0.0)</f>
        <v>0</v>
      </c>
      <c r="H2543" s="6" t="str">
        <f>IFERROR(__xludf.DUMMYFUNCTION("""COMPUTED_VALUE"""),"Pcs")</f>
        <v>Pcs</v>
      </c>
      <c r="I2543" s="6" t="str">
        <f>IFERROR(__xludf.DUMMYFUNCTION("""COMPUTED_VALUE"""),"MFH")</f>
        <v>MFH</v>
      </c>
      <c r="J2543" s="6" t="str">
        <f>IFERROR(__xludf.DUMMYFUNCTION("""COMPUTED_VALUE"""),"-")</f>
        <v>-</v>
      </c>
      <c r="K2543" s="6" t="str">
        <f>IFERROR(__xludf.DUMMYFUNCTION("""COMPUTED_VALUE"""),"SPR/10/25/008")</f>
        <v>SPR/10/25/008</v>
      </c>
      <c r="L2543" s="13">
        <f>IFERROR(__xludf.DUMMYFUNCTION("""COMPUTED_VALUE"""),45961.0)</f>
        <v>45961</v>
      </c>
    </row>
    <row r="2544">
      <c r="A2544" s="6" t="str">
        <f>IFERROR(__xludf.DUMMYFUNCTION("""COMPUTED_VALUE"""),"INN")</f>
        <v>INN</v>
      </c>
      <c r="B2544" s="6" t="str">
        <f>IFERROR(__xludf.DUMMYFUNCTION("""COMPUTED_VALUE"""),"ENG")</f>
        <v>ENG</v>
      </c>
      <c r="C2544" s="6" t="str">
        <f>IFERROR(__xludf.DUMMYFUNCTION("""COMPUTED_VALUE"""),"O-54119-00")</f>
        <v>O-54119-00</v>
      </c>
      <c r="D2544" s="6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E2544" s="6">
        <f>IFERROR(__xludf.DUMMYFUNCTION("""COMPUTED_VALUE"""),1.0)</f>
        <v>1</v>
      </c>
      <c r="F2544" s="6">
        <f>IFERROR(__xludf.DUMMYFUNCTION("""COMPUTED_VALUE"""),1.0)</f>
        <v>1</v>
      </c>
      <c r="G2544" s="6">
        <f>IFERROR(__xludf.DUMMYFUNCTION("""COMPUTED_VALUE"""),0.0)</f>
        <v>0</v>
      </c>
      <c r="H2544" s="6" t="str">
        <f>IFERROR(__xludf.DUMMYFUNCTION("""COMPUTED_VALUE"""),"Unit")</f>
        <v>Unit</v>
      </c>
      <c r="I2544" s="6" t="str">
        <f>IFERROR(__xludf.DUMMYFUNCTION("""COMPUTED_VALUE"""),"MFH ")</f>
        <v>MFH </v>
      </c>
      <c r="J2544" s="6" t="str">
        <f>IFERROR(__xludf.DUMMYFUNCTION("""COMPUTED_VALUE"""),"FD")</f>
        <v>FD</v>
      </c>
      <c r="K2544" s="6" t="str">
        <f>IFERROR(__xludf.DUMMYFUNCTION("""COMPUTED_VALUE"""),"SPR/10/25/009")</f>
        <v>SPR/10/25/009</v>
      </c>
      <c r="L2544" s="13">
        <f>IFERROR(__xludf.DUMMYFUNCTION("""COMPUTED_VALUE"""),45955.0)</f>
        <v>45955</v>
      </c>
    </row>
    <row r="2545">
      <c r="A2545" s="6" t="str">
        <f>IFERROR(__xludf.DUMMYFUNCTION("""COMPUTED_VALUE"""),"INN")</f>
        <v>INN</v>
      </c>
      <c r="B2545" s="6" t="str">
        <f>IFERROR(__xludf.DUMMYFUNCTION("""COMPUTED_VALUE"""),"ENG")</f>
        <v>ENG</v>
      </c>
      <c r="C2545" s="6" t="str">
        <f>IFERROR(__xludf.DUMMYFUNCTION("""COMPUTED_VALUE"""),"O-54123-00")</f>
        <v>O-54123-00</v>
      </c>
      <c r="D2545" s="6" t="str">
        <f>IFERROR(__xludf.DUMMYFUNCTION("""COMPUTED_VALUE"""),"O-RING 132X5.30; Freeze Dryer MBE1207; P/N EB41-00298; pack size per pc")</f>
        <v>O-RING 132X5.30; Freeze Dryer MBE1207; P/N EB41-00298; pack size per pc</v>
      </c>
      <c r="E2545" s="6">
        <f>IFERROR(__xludf.DUMMYFUNCTION("""COMPUTED_VALUE"""),1.0)</f>
        <v>1</v>
      </c>
      <c r="F2545" s="6">
        <f>IFERROR(__xludf.DUMMYFUNCTION("""COMPUTED_VALUE"""),1.0)</f>
        <v>1</v>
      </c>
      <c r="G2545" s="6">
        <f>IFERROR(__xludf.DUMMYFUNCTION("""COMPUTED_VALUE"""),0.0)</f>
        <v>0</v>
      </c>
      <c r="H2545" s="6" t="str">
        <f>IFERROR(__xludf.DUMMYFUNCTION("""COMPUTED_VALUE"""),"Pc ")</f>
        <v>Pc </v>
      </c>
      <c r="I2545" s="6" t="str">
        <f>IFERROR(__xludf.DUMMYFUNCTION("""COMPUTED_VALUE"""),"MFH ")</f>
        <v>MFH </v>
      </c>
      <c r="J2545" s="6" t="str">
        <f>IFERROR(__xludf.DUMMYFUNCTION("""COMPUTED_VALUE"""),"FD")</f>
        <v>FD</v>
      </c>
      <c r="K2545" s="6" t="str">
        <f>IFERROR(__xludf.DUMMYFUNCTION("""COMPUTED_VALUE"""),"SPR/10/25/009")</f>
        <v>SPR/10/25/009</v>
      </c>
      <c r="L2545" s="13">
        <f>IFERROR(__xludf.DUMMYFUNCTION("""COMPUTED_VALUE"""),45955.0)</f>
        <v>45955</v>
      </c>
    </row>
    <row r="2546">
      <c r="A2546" s="6" t="str">
        <f>IFERROR(__xludf.DUMMYFUNCTION("""COMPUTED_VALUE"""),"INN")</f>
        <v>INN</v>
      </c>
      <c r="B2546" s="6" t="str">
        <f>IFERROR(__xludf.DUMMYFUNCTION("""COMPUTED_VALUE"""),"ENG")</f>
        <v>ENG</v>
      </c>
      <c r="C2546" s="6" t="str">
        <f>IFERROR(__xludf.DUMMYFUNCTION("""COMPUTED_VALUE"""),"T-20201-00")</f>
        <v>T-20201-00</v>
      </c>
      <c r="D2546" s="6" t="str">
        <f>IFERROR(__xludf.DUMMYFUNCTION("""COMPUTED_VALUE"""),"ASSY,SOLVENT FILTER., Waters, Part No. WAT025531")</f>
        <v>ASSY,SOLVENT FILTER., Waters, Part No. WAT025531</v>
      </c>
      <c r="E2546" s="6">
        <f>IFERROR(__xludf.DUMMYFUNCTION("""COMPUTED_VALUE"""),2.0)</f>
        <v>2</v>
      </c>
      <c r="F2546" s="6">
        <f>IFERROR(__xludf.DUMMYFUNCTION("""COMPUTED_VALUE"""),2.0)</f>
        <v>2</v>
      </c>
      <c r="G2546" s="6">
        <f>IFERROR(__xludf.DUMMYFUNCTION("""COMPUTED_VALUE"""),0.0)</f>
        <v>0</v>
      </c>
      <c r="H2546" s="6" t="str">
        <f>IFERROR(__xludf.DUMMYFUNCTION("""COMPUTED_VALUE"""),"Pc ")</f>
        <v>Pc </v>
      </c>
      <c r="I2546" s="6" t="str">
        <f>IFERROR(__xludf.DUMMYFUNCTION("""COMPUTED_VALUE"""),"MFH")</f>
        <v>MFH</v>
      </c>
      <c r="J2546" s="6" t="str">
        <f>IFERROR(__xludf.DUMMYFUNCTION("""COMPUTED_VALUE"""),"HPLC")</f>
        <v>HPLC</v>
      </c>
      <c r="K2546" s="6" t="str">
        <f>IFERROR(__xludf.DUMMYFUNCTION("""COMPUTED_VALUE"""),"SPR/10/25/009")</f>
        <v>SPR/10/25/009</v>
      </c>
      <c r="L2546" s="13">
        <f>IFERROR(__xludf.DUMMYFUNCTION("""COMPUTED_VALUE"""),45961.0)</f>
        <v>45961</v>
      </c>
    </row>
    <row r="2547">
      <c r="A2547" s="6" t="str">
        <f>IFERROR(__xludf.DUMMYFUNCTION("""COMPUTED_VALUE"""),"KFF")</f>
        <v>KFF</v>
      </c>
      <c r="B2547" s="6" t="str">
        <f>IFERROR(__xludf.DUMMYFUNCTION("""COMPUTED_VALUE"""),"ENG")</f>
        <v>ENG</v>
      </c>
      <c r="C2547" s="6" t="str">
        <f>IFERROR(__xludf.DUMMYFUNCTION("""COMPUTED_VALUE"""),"-")</f>
        <v>-</v>
      </c>
      <c r="D2547" s="6" t="str">
        <f>IFERROR(__xludf.DUMMYFUNCTION("""COMPUTED_VALUE"""),"Kabel ")</f>
        <v>Kabel </v>
      </c>
      <c r="E2547" s="6">
        <f>IFERROR(__xludf.DUMMYFUNCTION("""COMPUTED_VALUE"""),5.0)</f>
        <v>5</v>
      </c>
      <c r="F2547" s="6">
        <f>IFERROR(__xludf.DUMMYFUNCTION("""COMPUTED_VALUE"""),4.0)</f>
        <v>4</v>
      </c>
      <c r="G2547" s="6">
        <f>IFERROR(__xludf.DUMMYFUNCTION("""COMPUTED_VALUE"""),0.0)</f>
        <v>0</v>
      </c>
      <c r="H2547" s="6" t="str">
        <f>IFERROR(__xludf.DUMMYFUNCTION("""COMPUTED_VALUE"""),"Pc")</f>
        <v>Pc</v>
      </c>
      <c r="I2547" s="6" t="str">
        <f>IFERROR(__xludf.DUMMYFUNCTION("""COMPUTED_VALUE"""),"MFH")</f>
        <v>MFH</v>
      </c>
      <c r="J2547" s="6" t="str">
        <f>IFERROR(__xludf.DUMMYFUNCTION("""COMPUTED_VALUE"""),"-")</f>
        <v>-</v>
      </c>
      <c r="K2547" s="6" t="str">
        <f>IFERROR(__xludf.DUMMYFUNCTION("""COMPUTED_VALUE"""),"SPR/10/25/010")</f>
        <v>SPR/10/25/010</v>
      </c>
      <c r="L2547" s="13">
        <f>IFERROR(__xludf.DUMMYFUNCTION("""COMPUTED_VALUE"""),45961.0)</f>
        <v>45961</v>
      </c>
    </row>
    <row r="2548">
      <c r="A2548" s="6" t="str">
        <f>IFERROR(__xludf.DUMMYFUNCTION("""COMPUTED_VALUE"""),"KFF")</f>
        <v>KFF</v>
      </c>
      <c r="B2548" s="6" t="str">
        <f>IFERROR(__xludf.DUMMYFUNCTION("""COMPUTED_VALUE"""),"ENG")</f>
        <v>ENG</v>
      </c>
      <c r="C2548" s="6" t="str">
        <f>IFERROR(__xludf.DUMMYFUNCTION("""COMPUTED_VALUE"""),"O-54015-00")</f>
        <v>O-54015-00</v>
      </c>
      <c r="D2548" s="6" t="str">
        <f>IFERROR(__xludf.DUMMYFUNCTION("""COMPUTED_VALUE"""),"STOP KONTAK LUBANG 4, BROCO")</f>
        <v>STOP KONTAK LUBANG 4, BROCO</v>
      </c>
      <c r="E2548" s="6">
        <f>IFERROR(__xludf.DUMMYFUNCTION("""COMPUTED_VALUE"""),9.0)</f>
        <v>9</v>
      </c>
      <c r="F2548" s="6">
        <f>IFERROR(__xludf.DUMMYFUNCTION("""COMPUTED_VALUE"""),9.0)</f>
        <v>9</v>
      </c>
      <c r="G2548" s="6">
        <f>IFERROR(__xludf.DUMMYFUNCTION("""COMPUTED_VALUE"""),0.0)</f>
        <v>0</v>
      </c>
      <c r="H2548" s="6" t="str">
        <f>IFERROR(__xludf.DUMMYFUNCTION("""COMPUTED_VALUE"""),"Pc")</f>
        <v>Pc</v>
      </c>
      <c r="I2548" s="6" t="str">
        <f>IFERROR(__xludf.DUMMYFUNCTION("""COMPUTED_VALUE"""),"MFH ")</f>
        <v>MFH </v>
      </c>
      <c r="J2548" s="6" t="str">
        <f>IFERROR(__xludf.DUMMYFUNCTION("""COMPUTED_VALUE"""),"-")</f>
        <v>-</v>
      </c>
      <c r="K2548" s="6" t="str">
        <f>IFERROR(__xludf.DUMMYFUNCTION("""COMPUTED_VALUE"""),"SPR/10/25/010")</f>
        <v>SPR/10/25/010</v>
      </c>
      <c r="L2548" s="13">
        <f>IFERROR(__xludf.DUMMYFUNCTION("""COMPUTED_VALUE"""),45955.0)</f>
        <v>45955</v>
      </c>
    </row>
    <row r="2549">
      <c r="A2549" s="6" t="str">
        <f>IFERROR(__xludf.DUMMYFUNCTION("""COMPUTED_VALUE"""),"KFF")</f>
        <v>KFF</v>
      </c>
      <c r="B2549" s="6" t="str">
        <f>IFERROR(__xludf.DUMMYFUNCTION("""COMPUTED_VALUE"""),"ENG")</f>
        <v>ENG</v>
      </c>
      <c r="C2549" s="6" t="str">
        <f>IFERROR(__xludf.DUMMYFUNCTION("""COMPUTED_VALUE"""),"O-54014-00")</f>
        <v>O-54014-00</v>
      </c>
      <c r="D2549" s="6" t="str">
        <f>IFERROR(__xludf.DUMMYFUNCTION("""COMPUTED_VALUE"""),"STEKER 1 PHASE, BROCO")</f>
        <v>STEKER 1 PHASE, BROCO</v>
      </c>
      <c r="E2549" s="6">
        <f>IFERROR(__xludf.DUMMYFUNCTION("""COMPUTED_VALUE"""),13.0)</f>
        <v>13</v>
      </c>
      <c r="F2549" s="6">
        <f>IFERROR(__xludf.DUMMYFUNCTION("""COMPUTED_VALUE"""),13.0)</f>
        <v>13</v>
      </c>
      <c r="G2549" s="6">
        <f>IFERROR(__xludf.DUMMYFUNCTION("""COMPUTED_VALUE"""),0.0)</f>
        <v>0</v>
      </c>
      <c r="H2549" s="6" t="str">
        <f>IFERROR(__xludf.DUMMYFUNCTION("""COMPUTED_VALUE"""),"Pc")</f>
        <v>Pc</v>
      </c>
      <c r="I2549" s="6" t="str">
        <f>IFERROR(__xludf.DUMMYFUNCTION("""COMPUTED_VALUE"""),"MFH")</f>
        <v>MFH</v>
      </c>
      <c r="J2549" s="6" t="str">
        <f>IFERROR(__xludf.DUMMYFUNCTION("""COMPUTED_VALUE"""),"-")</f>
        <v>-</v>
      </c>
      <c r="K2549" s="6" t="str">
        <f>IFERROR(__xludf.DUMMYFUNCTION("""COMPUTED_VALUE"""),"SPR/10/25/010")</f>
        <v>SPR/10/25/010</v>
      </c>
      <c r="L2549" s="13">
        <f>IFERROR(__xludf.DUMMYFUNCTION("""COMPUTED_VALUE"""),45955.0)</f>
        <v>45955</v>
      </c>
    </row>
    <row r="2550">
      <c r="A2550" s="6" t="str">
        <f>IFERROR(__xludf.DUMMYFUNCTION("""COMPUTED_VALUE"""),"MOB")</f>
        <v>MOB</v>
      </c>
      <c r="B2550" s="6" t="str">
        <f>IFERROR(__xludf.DUMMYFUNCTION("""COMPUTED_VALUE"""),"ENG")</f>
        <v>ENG</v>
      </c>
      <c r="C2550" s="6" t="str">
        <f>IFERROR(__xludf.DUMMYFUNCTION("""COMPUTED_VALUE"""),"P-53051-00")</f>
        <v>P-53051-00</v>
      </c>
      <c r="D2550" s="6" t="str">
        <f>IFERROR(__xludf.DUMMYFUNCTION("""COMPUTED_VALUE"""),"General - Baterai NiCad Emergency TL 6V; Hokistar; BT-006; 1 Pc")</f>
        <v>General - Baterai NiCad Emergency TL 6V; Hokistar; BT-006; 1 Pc</v>
      </c>
      <c r="E2550" s="6">
        <f>IFERROR(__xludf.DUMMYFUNCTION("""COMPUTED_VALUE"""),8.0)</f>
        <v>8</v>
      </c>
      <c r="F2550" s="6">
        <f>IFERROR(__xludf.DUMMYFUNCTION("""COMPUTED_VALUE"""),8.0)</f>
        <v>8</v>
      </c>
      <c r="G2550" s="6">
        <f>IFERROR(__xludf.DUMMYFUNCTION("""COMPUTED_VALUE"""),0.0)</f>
        <v>0</v>
      </c>
      <c r="H2550" s="6" t="str">
        <f>IFERROR(__xludf.DUMMYFUNCTION("""COMPUTED_VALUE"""),"Pcs")</f>
        <v>Pcs</v>
      </c>
      <c r="I2550" s="6" t="str">
        <f>IFERROR(__xludf.DUMMYFUNCTION("""COMPUTED_VALUE"""),"MFH")</f>
        <v>MFH</v>
      </c>
      <c r="J2550" s="6" t="str">
        <f>IFERROR(__xludf.DUMMYFUNCTION("""COMPUTED_VALUE"""),"Building ")</f>
        <v>Building </v>
      </c>
      <c r="K2550" s="6" t="str">
        <f>IFERROR(__xludf.DUMMYFUNCTION("""COMPUTED_VALUE"""),"SPR/10/25/011")</f>
        <v>SPR/10/25/011</v>
      </c>
      <c r="L2550" s="13">
        <f>IFERROR(__xludf.DUMMYFUNCTION("""COMPUTED_VALUE"""),45961.0)</f>
        <v>45961</v>
      </c>
    </row>
    <row r="2551">
      <c r="A2551" s="6" t="str">
        <f>IFERROR(__xludf.DUMMYFUNCTION("""COMPUTED_VALUE"""),"MOB")</f>
        <v>MOB</v>
      </c>
      <c r="B2551" s="6" t="str">
        <f>IFERROR(__xludf.DUMMYFUNCTION("""COMPUTED_VALUE"""),"ENG")</f>
        <v>ENG</v>
      </c>
      <c r="C2551" s="6" t="str">
        <f>IFERROR(__xludf.DUMMYFUNCTION("""COMPUTED_VALUE"""),"O-18388-00")</f>
        <v>O-18388-00</v>
      </c>
      <c r="D2551" s="6" t="str">
        <f>IFERROR(__xludf.DUMMYFUNCTION("""COMPUTED_VALUE"""),"Membrane Valve PTFE/EPDM DN15 type 612 GEMU; ; ;")</f>
        <v>Membrane Valve PTFE/EPDM DN15 type 612 GEMU; ; ;</v>
      </c>
      <c r="E2551" s="6">
        <f>IFERROR(__xludf.DUMMYFUNCTION("""COMPUTED_VALUE"""),1.0)</f>
        <v>1</v>
      </c>
      <c r="F2551" s="6">
        <f>IFERROR(__xludf.DUMMYFUNCTION("""COMPUTED_VALUE"""),1.0)</f>
        <v>1</v>
      </c>
      <c r="G2551" s="6">
        <f>IFERROR(__xludf.DUMMYFUNCTION("""COMPUTED_VALUE"""),0.0)</f>
        <v>0</v>
      </c>
      <c r="H2551" s="6" t="str">
        <f>IFERROR(__xludf.DUMMYFUNCTION("""COMPUTED_VALUE"""),"Pcs")</f>
        <v>Pcs</v>
      </c>
      <c r="I2551" s="6" t="str">
        <f>IFERROR(__xludf.DUMMYFUNCTION("""COMPUTED_VALUE"""),"MFH")</f>
        <v>MFH</v>
      </c>
      <c r="J2551" s="6" t="str">
        <f>IFERROR(__xludf.DUMMYFUNCTION("""COMPUTED_VALUE"""),"-")</f>
        <v>-</v>
      </c>
      <c r="K2551" s="6" t="str">
        <f>IFERROR(__xludf.DUMMYFUNCTION("""COMPUTED_VALUE"""),"SPR/10/25/011")</f>
        <v>SPR/10/25/011</v>
      </c>
      <c r="L2551" s="13">
        <f>IFERROR(__xludf.DUMMYFUNCTION("""COMPUTED_VALUE"""),45961.0)</f>
        <v>45961</v>
      </c>
    </row>
    <row r="2552">
      <c r="A2552" s="6" t="str">
        <f>IFERROR(__xludf.DUMMYFUNCTION("""COMPUTED_VALUE"""),"MOB")</f>
        <v>MOB</v>
      </c>
      <c r="B2552" s="6" t="str">
        <f>IFERROR(__xludf.DUMMYFUNCTION("""COMPUTED_VALUE"""),"ENG")</f>
        <v>ENG</v>
      </c>
      <c r="C2552" s="6" t="str">
        <f>IFERROR(__xludf.DUMMYFUNCTION("""COMPUTED_VALUE"""),"O-12868-00")</f>
        <v>O-12868-00</v>
      </c>
      <c r="D2552" s="6" t="str">
        <f>IFERROR(__xludf.DUMMYFUNCTION("""COMPUTED_VALUE"""),"Emflon PFR Membrane Filter Cartridges 0.2 um PALL P/N : AB05 PFR2 PVH4 pc")</f>
        <v>Emflon PFR Membrane Filter Cartridges 0.2 um PALL P/N : AB05 PFR2 PVH4 pc</v>
      </c>
      <c r="E2552" s="6">
        <f>IFERROR(__xludf.DUMMYFUNCTION("""COMPUTED_VALUE"""),1.0)</f>
        <v>1</v>
      </c>
      <c r="F2552" s="6">
        <f>IFERROR(__xludf.DUMMYFUNCTION("""COMPUTED_VALUE"""),1.0)</f>
        <v>1</v>
      </c>
      <c r="G2552" s="6">
        <f>IFERROR(__xludf.DUMMYFUNCTION("""COMPUTED_VALUE"""),0.0)</f>
        <v>0</v>
      </c>
      <c r="H2552" s="6" t="str">
        <f>IFERROR(__xludf.DUMMYFUNCTION("""COMPUTED_VALUE"""),"Pcs")</f>
        <v>Pcs</v>
      </c>
      <c r="I2552" s="6" t="str">
        <f>IFERROR(__xludf.DUMMYFUNCTION("""COMPUTED_VALUE"""),"MFH")</f>
        <v>MFH</v>
      </c>
      <c r="J2552" s="6" t="str">
        <f>IFERROR(__xludf.DUMMYFUNCTION("""COMPUTED_VALUE"""),"-")</f>
        <v>-</v>
      </c>
      <c r="K2552" s="6" t="str">
        <f>IFERROR(__xludf.DUMMYFUNCTION("""COMPUTED_VALUE"""),"SPR/10/25/011")</f>
        <v>SPR/10/25/011</v>
      </c>
      <c r="L2552" s="13">
        <f>IFERROR(__xludf.DUMMYFUNCTION("""COMPUTED_VALUE"""),45961.0)</f>
        <v>45961</v>
      </c>
    </row>
    <row r="2553">
      <c r="A2553" s="6" t="str">
        <f>IFERROR(__xludf.DUMMYFUNCTION("""COMPUTED_VALUE"""),"SFH")</f>
        <v>SFH</v>
      </c>
      <c r="B2553" s="6" t="str">
        <f>IFERROR(__xludf.DUMMYFUNCTION("""COMPUTED_VALUE"""),"ENG")</f>
        <v>ENG</v>
      </c>
      <c r="C2553" s="6" t="str">
        <f>IFERROR(__xludf.DUMMYFUNCTION("""COMPUTED_VALUE"""),"P-51559-00")</f>
        <v>P-51559-00</v>
      </c>
      <c r="D2553" s="6" t="str">
        <f>IFERROR(__xludf.DUMMYFUNCTION("""COMPUTED_VALUE"""),"Lampu T5 14watt Putih; Phillips; ;")</f>
        <v>Lampu T5 14watt Putih; Phillips; ;</v>
      </c>
      <c r="E2553" s="6">
        <f>IFERROR(__xludf.DUMMYFUNCTION("""COMPUTED_VALUE"""),7.0)</f>
        <v>7</v>
      </c>
      <c r="F2553" s="6">
        <f>IFERROR(__xludf.DUMMYFUNCTION("""COMPUTED_VALUE"""),7.0)</f>
        <v>7</v>
      </c>
      <c r="G2553" s="6">
        <f>IFERROR(__xludf.DUMMYFUNCTION("""COMPUTED_VALUE"""),0.0)</f>
        <v>0</v>
      </c>
      <c r="H2553" s="6" t="str">
        <f>IFERROR(__xludf.DUMMYFUNCTION("""COMPUTED_VALUE"""),"Pcs ")</f>
        <v>Pcs </v>
      </c>
      <c r="I2553" s="6" t="str">
        <f>IFERROR(__xludf.DUMMYFUNCTION("""COMPUTED_VALUE"""),"MFH ")</f>
        <v>MFH </v>
      </c>
      <c r="J2553" s="6" t="str">
        <f>IFERROR(__xludf.DUMMYFUNCTION("""COMPUTED_VALUE"""),"Building ")</f>
        <v>Building </v>
      </c>
      <c r="K2553" s="6" t="str">
        <f>IFERROR(__xludf.DUMMYFUNCTION("""COMPUTED_VALUE"""),"SPR/10/25/012")</f>
        <v>SPR/10/25/012</v>
      </c>
      <c r="L2553" s="13">
        <f>IFERROR(__xludf.DUMMYFUNCTION("""COMPUTED_VALUE"""),45955.0)</f>
        <v>45955</v>
      </c>
    </row>
    <row r="2554">
      <c r="A2554" s="6" t="str">
        <f>IFERROR(__xludf.DUMMYFUNCTION("""COMPUTED_VALUE"""),"SFH")</f>
        <v>SFH</v>
      </c>
      <c r="B2554" s="6" t="str">
        <f>IFERROR(__xludf.DUMMYFUNCTION("""COMPUTED_VALUE"""),"ENG")</f>
        <v>ENG</v>
      </c>
      <c r="C2554" s="6" t="str">
        <f>IFERROR(__xludf.DUMMYFUNCTION("""COMPUTED_VALUE"""),"-")</f>
        <v>-</v>
      </c>
      <c r="D2554" s="6" t="str">
        <f>IFERROR(__xludf.DUMMYFUNCTION("""COMPUTED_VALUE"""),"Slider pintu ")</f>
        <v>Slider pintu </v>
      </c>
      <c r="E2554" s="6">
        <f>IFERROR(__xludf.DUMMYFUNCTION("""COMPUTED_VALUE"""),2.0)</f>
        <v>2</v>
      </c>
      <c r="F2554" s="6">
        <f>IFERROR(__xludf.DUMMYFUNCTION("""COMPUTED_VALUE"""),2.0)</f>
        <v>2</v>
      </c>
      <c r="G2554" s="6">
        <f>IFERROR(__xludf.DUMMYFUNCTION("""COMPUTED_VALUE"""),0.0)</f>
        <v>0</v>
      </c>
      <c r="H2554" s="6" t="str">
        <f>IFERROR(__xludf.DUMMYFUNCTION("""COMPUTED_VALUE"""),"Pcs")</f>
        <v>Pcs</v>
      </c>
      <c r="I2554" s="6" t="str">
        <f>IFERROR(__xludf.DUMMYFUNCTION("""COMPUTED_VALUE"""),"MFH ")</f>
        <v>MFH </v>
      </c>
      <c r="J2554" s="6" t="str">
        <f>IFERROR(__xludf.DUMMYFUNCTION("""COMPUTED_VALUE"""),"Building ")</f>
        <v>Building </v>
      </c>
      <c r="K2554" s="6" t="str">
        <f>IFERROR(__xludf.DUMMYFUNCTION("""COMPUTED_VALUE"""),"SPR/10/25/012")</f>
        <v>SPR/10/25/012</v>
      </c>
      <c r="L2554" s="13">
        <f>IFERROR(__xludf.DUMMYFUNCTION("""COMPUTED_VALUE"""),45961.0)</f>
        <v>45961</v>
      </c>
    </row>
    <row r="2555">
      <c r="A2555" s="6" t="str">
        <f>IFERROR(__xludf.DUMMYFUNCTION("""COMPUTED_VALUE"""),"SFH ")</f>
        <v>SFH </v>
      </c>
      <c r="B2555" s="6" t="str">
        <f>IFERROR(__xludf.DUMMYFUNCTION("""COMPUTED_VALUE"""),"ENG")</f>
        <v>ENG</v>
      </c>
      <c r="C2555" s="6" t="str">
        <f>IFERROR(__xludf.DUMMYFUNCTION("""COMPUTED_VALUE"""),"P-53102-00")</f>
        <v>P-53102-00</v>
      </c>
      <c r="D2555" s="6" t="str">
        <f>IFERROR(__xludf.DUMMYFUNCTION("""COMPUTED_VALUE"""),"Lampu PLC 13watt/E27 Putih; Phillips; ;")</f>
        <v>Lampu PLC 13watt/E27 Putih; Phillips; ;</v>
      </c>
      <c r="E2555" s="6">
        <f>IFERROR(__xludf.DUMMYFUNCTION("""COMPUTED_VALUE"""),4.0)</f>
        <v>4</v>
      </c>
      <c r="F2555" s="6">
        <f>IFERROR(__xludf.DUMMYFUNCTION("""COMPUTED_VALUE"""),4.0)</f>
        <v>4</v>
      </c>
      <c r="G2555" s="6">
        <f>IFERROR(__xludf.DUMMYFUNCTION("""COMPUTED_VALUE"""),0.0)</f>
        <v>0</v>
      </c>
      <c r="H2555" s="6" t="str">
        <f>IFERROR(__xludf.DUMMYFUNCTION("""COMPUTED_VALUE"""),"Pcs")</f>
        <v>Pcs</v>
      </c>
      <c r="I2555" s="6" t="str">
        <f>IFERROR(__xludf.DUMMYFUNCTION("""COMPUTED_VALUE"""),"MFH ")</f>
        <v>MFH </v>
      </c>
      <c r="J2555" s="6" t="str">
        <f>IFERROR(__xludf.DUMMYFUNCTION("""COMPUTED_VALUE"""),"Building ")</f>
        <v>Building </v>
      </c>
      <c r="K2555" s="6" t="str">
        <f>IFERROR(__xludf.DUMMYFUNCTION("""COMPUTED_VALUE"""),"SPR/10/25/012")</f>
        <v>SPR/10/25/012</v>
      </c>
      <c r="L2555" s="13">
        <f>IFERROR(__xludf.DUMMYFUNCTION("""COMPUTED_VALUE"""),45961.0)</f>
        <v>45961</v>
      </c>
    </row>
    <row r="2556">
      <c r="A2556" s="6" t="str">
        <f>IFERROR(__xludf.DUMMYFUNCTION("""COMPUTED_VALUE"""),"BDU")</f>
        <v>BDU</v>
      </c>
      <c r="B2556" s="6" t="str">
        <f>IFERROR(__xludf.DUMMYFUNCTION("""COMPUTED_VALUE"""),"ENG")</f>
        <v>ENG</v>
      </c>
      <c r="C2556" s="6" t="str">
        <f>IFERROR(__xludf.DUMMYFUNCTION("""COMPUTED_VALUE"""),"P-51559-00")</f>
        <v>P-51559-00</v>
      </c>
      <c r="D2556" s="6" t="str">
        <f>IFERROR(__xludf.DUMMYFUNCTION("""COMPUTED_VALUE"""),"Lampu T5 14watt Putih; Phillips; ;")</f>
        <v>Lampu T5 14watt Putih; Phillips; ;</v>
      </c>
      <c r="E2556" s="6">
        <f>IFERROR(__xludf.DUMMYFUNCTION("""COMPUTED_VALUE"""),8.0)</f>
        <v>8</v>
      </c>
      <c r="F2556" s="6">
        <f>IFERROR(__xludf.DUMMYFUNCTION("""COMPUTED_VALUE"""),8.0)</f>
        <v>8</v>
      </c>
      <c r="G2556" s="6">
        <f>IFERROR(__xludf.DUMMYFUNCTION("""COMPUTED_VALUE"""),0.0)</f>
        <v>0</v>
      </c>
      <c r="H2556" s="6" t="str">
        <f>IFERROR(__xludf.DUMMYFUNCTION("""COMPUTED_VALUE"""),"Pcs")</f>
        <v>Pcs</v>
      </c>
      <c r="I2556" s="6" t="str">
        <f>IFERROR(__xludf.DUMMYFUNCTION("""COMPUTED_VALUE"""),"MFH ")</f>
        <v>MFH </v>
      </c>
      <c r="J2556" s="6" t="str">
        <f>IFERROR(__xludf.DUMMYFUNCTION("""COMPUTED_VALUE"""),"Building ")</f>
        <v>Building </v>
      </c>
      <c r="K2556" s="6" t="str">
        <f>IFERROR(__xludf.DUMMYFUNCTION("""COMPUTED_VALUE"""),"SPR/10/25/013")</f>
        <v>SPR/10/25/013</v>
      </c>
      <c r="L2556" s="13">
        <f>IFERROR(__xludf.DUMMYFUNCTION("""COMPUTED_VALUE"""),45961.0)</f>
        <v>45961</v>
      </c>
    </row>
    <row r="2557">
      <c r="A2557" s="6" t="str">
        <f>IFERROR(__xludf.DUMMYFUNCTION("""COMPUTED_VALUE"""),"BDU")</f>
        <v>BDU</v>
      </c>
      <c r="B2557" s="6" t="str">
        <f>IFERROR(__xludf.DUMMYFUNCTION("""COMPUTED_VALUE"""),"ENG")</f>
        <v>ENG</v>
      </c>
      <c r="C2557" s="6" t="str">
        <f>IFERROR(__xludf.DUMMYFUNCTION("""COMPUTED_VALUE"""),"P-51559-00")</f>
        <v>P-51559-00</v>
      </c>
      <c r="D2557" s="6" t="str">
        <f>IFERROR(__xludf.DUMMYFUNCTION("""COMPUTED_VALUE"""),"Lampu T5 14watt Putih; Phillips; ;")</f>
        <v>Lampu T5 14watt Putih; Phillips; ;</v>
      </c>
      <c r="E2557" s="6">
        <f>IFERROR(__xludf.DUMMYFUNCTION("""COMPUTED_VALUE"""),12.0)</f>
        <v>12</v>
      </c>
      <c r="F2557" s="6">
        <f>IFERROR(__xludf.DUMMYFUNCTION("""COMPUTED_VALUE"""),12.0)</f>
        <v>12</v>
      </c>
      <c r="G2557" s="6">
        <f>IFERROR(__xludf.DUMMYFUNCTION("""COMPUTED_VALUE"""),0.0)</f>
        <v>0</v>
      </c>
      <c r="H2557" s="6" t="str">
        <f>IFERROR(__xludf.DUMMYFUNCTION("""COMPUTED_VALUE"""),"Pcs")</f>
        <v>Pcs</v>
      </c>
      <c r="I2557" s="6" t="str">
        <f>IFERROR(__xludf.DUMMYFUNCTION("""COMPUTED_VALUE"""),"MFH")</f>
        <v>MFH</v>
      </c>
      <c r="J2557" s="6" t="str">
        <f>IFERROR(__xludf.DUMMYFUNCTION("""COMPUTED_VALUE"""),"Building ")</f>
        <v>Building </v>
      </c>
      <c r="K2557" s="6" t="str">
        <f>IFERROR(__xludf.DUMMYFUNCTION("""COMPUTED_VALUE"""),"SPR/10/25/013")</f>
        <v>SPR/10/25/013</v>
      </c>
      <c r="L2557" s="13">
        <f>IFERROR(__xludf.DUMMYFUNCTION("""COMPUTED_VALUE"""),45961.0)</f>
        <v>45961</v>
      </c>
    </row>
    <row r="2558">
      <c r="A2558" s="6" t="str">
        <f>IFERROR(__xludf.DUMMYFUNCTION("""COMPUTED_VALUE"""),"BDU")</f>
        <v>BDU</v>
      </c>
      <c r="B2558" s="6" t="str">
        <f>IFERROR(__xludf.DUMMYFUNCTION("""COMPUTED_VALUE"""),"ENG")</f>
        <v>ENG</v>
      </c>
      <c r="C2558" s="6" t="str">
        <f>IFERROR(__xludf.DUMMYFUNCTION("""COMPUTED_VALUE"""),"P-51891-00")</f>
        <v>P-51891-00</v>
      </c>
      <c r="D2558" s="6" t="str">
        <f>IFERROR(__xludf.DUMMYFUNCTION("""COMPUTED_VALUE"""),"General - Exhaust Fan Panel 240VAC; TW; -; 1 pc")</f>
        <v>General - Exhaust Fan Panel 240VAC; TW; -; 1 pc</v>
      </c>
      <c r="E2558" s="6">
        <f>IFERROR(__xludf.DUMMYFUNCTION("""COMPUTED_VALUE"""),6.0)</f>
        <v>6</v>
      </c>
      <c r="F2558" s="6">
        <f>IFERROR(__xludf.DUMMYFUNCTION("""COMPUTED_VALUE"""),6.0)</f>
        <v>6</v>
      </c>
      <c r="G2558" s="6">
        <f>IFERROR(__xludf.DUMMYFUNCTION("""COMPUTED_VALUE"""),0.0)</f>
        <v>0</v>
      </c>
      <c r="H2558" s="6" t="str">
        <f>IFERROR(__xludf.DUMMYFUNCTION("""COMPUTED_VALUE"""),"Pcs")</f>
        <v>Pcs</v>
      </c>
      <c r="I2558" s="6" t="str">
        <f>IFERROR(__xludf.DUMMYFUNCTION("""COMPUTED_VALUE"""),"MFH")</f>
        <v>MFH</v>
      </c>
      <c r="J2558" s="6" t="str">
        <f>IFERROR(__xludf.DUMMYFUNCTION("""COMPUTED_VALUE"""),"-")</f>
        <v>-</v>
      </c>
      <c r="K2558" s="6" t="str">
        <f>IFERROR(__xludf.DUMMYFUNCTION("""COMPUTED_VALUE"""),"SPR/10/25/013")</f>
        <v>SPR/10/25/013</v>
      </c>
      <c r="L2558" s="13">
        <f>IFERROR(__xludf.DUMMYFUNCTION("""COMPUTED_VALUE"""),45961.0)</f>
        <v>45961</v>
      </c>
    </row>
    <row r="2559">
      <c r="A2559" s="6" t="str">
        <f>IFERROR(__xludf.DUMMYFUNCTION("""COMPUTED_VALUE"""),"SFH")</f>
        <v>SFH</v>
      </c>
      <c r="B2559" s="6" t="str">
        <f>IFERROR(__xludf.DUMMYFUNCTION("""COMPUTED_VALUE"""),"ENG")</f>
        <v>ENG</v>
      </c>
      <c r="C2559" s="6" t="str">
        <f>IFERROR(__xludf.DUMMYFUNCTION("""COMPUTED_VALUE"""),"P-53169-00")</f>
        <v>P-53169-00</v>
      </c>
      <c r="D2559" s="6" t="str">
        <f>IFERROR(__xludf.DUMMYFUNCTION("""COMPUTED_VALUE"""),"Ballast Electronic EB-C 228 TL5, 2x28W; Phillips; ;")</f>
        <v>Ballast Electronic EB-C 228 TL5, 2x28W; Phillips; ;</v>
      </c>
      <c r="E2559" s="6">
        <f>IFERROR(__xludf.DUMMYFUNCTION("""COMPUTED_VALUE"""),15.0)</f>
        <v>15</v>
      </c>
      <c r="F2559" s="6">
        <f>IFERROR(__xludf.DUMMYFUNCTION("""COMPUTED_VALUE"""),15.0)</f>
        <v>15</v>
      </c>
      <c r="G2559" s="6">
        <f>IFERROR(__xludf.DUMMYFUNCTION("""COMPUTED_VALUE"""),0.0)</f>
        <v>0</v>
      </c>
      <c r="H2559" s="6" t="str">
        <f>IFERROR(__xludf.DUMMYFUNCTION("""COMPUTED_VALUE"""),"Pcs")</f>
        <v>Pcs</v>
      </c>
      <c r="I2559" s="6" t="str">
        <f>IFERROR(__xludf.DUMMYFUNCTION("""COMPUTED_VALUE"""),"MFH")</f>
        <v>MFH</v>
      </c>
      <c r="J2559" s="6" t="str">
        <f>IFERROR(__xludf.DUMMYFUNCTION("""COMPUTED_VALUE"""),"Building ")</f>
        <v>Building </v>
      </c>
      <c r="K2559" s="6" t="str">
        <f>IFERROR(__xludf.DUMMYFUNCTION("""COMPUTED_VALUE"""),"SPR/10/25/014")</f>
        <v>SPR/10/25/014</v>
      </c>
      <c r="L2559" s="13">
        <f>IFERROR(__xludf.DUMMYFUNCTION("""COMPUTED_VALUE"""),45961.0)</f>
        <v>45961</v>
      </c>
    </row>
    <row r="2560">
      <c r="A2560" s="6" t="str">
        <f>IFERROR(__xludf.DUMMYFUNCTION("""COMPUTED_VALUE"""),"SFH")</f>
        <v>SFH</v>
      </c>
      <c r="B2560" s="6" t="str">
        <f>IFERROR(__xludf.DUMMYFUNCTION("""COMPUTED_VALUE"""),"ENG")</f>
        <v>ENG</v>
      </c>
      <c r="C2560" s="6" t="str">
        <f>IFERROR(__xludf.DUMMYFUNCTION("""COMPUTED_VALUE"""),"P-54190-00")</f>
        <v>P-54190-00</v>
      </c>
      <c r="D2560" s="6" t="str">
        <f>IFERROR(__xludf.DUMMYFUNCTION("""COMPUTED_VALUE"""),"Stop Kontak IP55 16A; Legrand; ;")</f>
        <v>Stop Kontak IP55 16A; Legrand; ;</v>
      </c>
      <c r="E2560" s="6">
        <f>IFERROR(__xludf.DUMMYFUNCTION("""COMPUTED_VALUE"""),1.0)</f>
        <v>1</v>
      </c>
      <c r="F2560" s="6">
        <f>IFERROR(__xludf.DUMMYFUNCTION("""COMPUTED_VALUE"""),1.0)</f>
        <v>1</v>
      </c>
      <c r="G2560" s="6">
        <f>IFERROR(__xludf.DUMMYFUNCTION("""COMPUTED_VALUE"""),0.0)</f>
        <v>0</v>
      </c>
      <c r="H2560" s="6" t="str">
        <f>IFERROR(__xludf.DUMMYFUNCTION("""COMPUTED_VALUE"""),"Pcs")</f>
        <v>Pcs</v>
      </c>
      <c r="I2560" s="6" t="str">
        <f>IFERROR(__xludf.DUMMYFUNCTION("""COMPUTED_VALUE"""),"MFH")</f>
        <v>MFH</v>
      </c>
      <c r="J2560" s="6" t="str">
        <f>IFERROR(__xludf.DUMMYFUNCTION("""COMPUTED_VALUE"""),"-")</f>
        <v>-</v>
      </c>
      <c r="K2560" s="6" t="str">
        <f>IFERROR(__xludf.DUMMYFUNCTION("""COMPUTED_VALUE"""),"SPR/10/25/014")</f>
        <v>SPR/10/25/014</v>
      </c>
      <c r="L2560" s="13">
        <f>IFERROR(__xludf.DUMMYFUNCTION("""COMPUTED_VALUE"""),45961.0)</f>
        <v>45961</v>
      </c>
    </row>
    <row r="2561">
      <c r="A2561" s="6" t="str">
        <f>IFERROR(__xludf.DUMMYFUNCTION("""COMPUTED_VALUE"""),"SFH")</f>
        <v>SFH</v>
      </c>
      <c r="B2561" s="6" t="str">
        <f>IFERROR(__xludf.DUMMYFUNCTION("""COMPUTED_VALUE"""),"ENG")</f>
        <v>ENG</v>
      </c>
      <c r="C2561" s="6" t="str">
        <f>IFERROR(__xludf.DUMMYFUNCTION("""COMPUTED_VALUE"""),"O-14363-00")</f>
        <v>O-14363-00</v>
      </c>
      <c r="D2561" s="6" t="str">
        <f>IFERROR(__xludf.DUMMYFUNCTION("""COMPUTED_VALUE"""),"Membrane Diaphragm Valve EPDM PTFE DN 25 Gemu DUA BERLIAN PILAR P/N : 600 25M5E-221  pc")</f>
        <v>Membrane Diaphragm Valve EPDM PTFE DN 25 Gemu DUA BERLIAN PILAR P/N : 600 25M5E-221  pc</v>
      </c>
      <c r="E2561" s="6">
        <f>IFERROR(__xludf.DUMMYFUNCTION("""COMPUTED_VALUE"""),2.0)</f>
        <v>2</v>
      </c>
      <c r="F2561" s="6">
        <f>IFERROR(__xludf.DUMMYFUNCTION("""COMPUTED_VALUE"""),2.0)</f>
        <v>2</v>
      </c>
      <c r="G2561" s="6">
        <f>IFERROR(__xludf.DUMMYFUNCTION("""COMPUTED_VALUE"""),0.0)</f>
        <v>0</v>
      </c>
      <c r="H2561" s="6" t="str">
        <f>IFERROR(__xludf.DUMMYFUNCTION("""COMPUTED_VALUE"""),"Pcs")</f>
        <v>Pcs</v>
      </c>
      <c r="I2561" s="6" t="str">
        <f>IFERROR(__xludf.DUMMYFUNCTION("""COMPUTED_VALUE"""),"MFH")</f>
        <v>MFH</v>
      </c>
      <c r="J2561" s="6" t="str">
        <f>IFERROR(__xludf.DUMMYFUNCTION("""COMPUTED_VALUE"""),"-")</f>
        <v>-</v>
      </c>
      <c r="K2561" s="6" t="str">
        <f>IFERROR(__xludf.DUMMYFUNCTION("""COMPUTED_VALUE"""),"SPR/10/25/014")</f>
        <v>SPR/10/25/014</v>
      </c>
      <c r="L2561" s="13">
        <f>IFERROR(__xludf.DUMMYFUNCTION("""COMPUTED_VALUE"""),45961.0)</f>
        <v>45961</v>
      </c>
    </row>
    <row r="2562">
      <c r="A2562" s="6" t="str">
        <f>IFERROR(__xludf.DUMMYFUNCTION("""COMPUTED_VALUE"""),"ROS ")</f>
        <v>ROS </v>
      </c>
      <c r="B2562" s="6" t="str">
        <f>IFERROR(__xludf.DUMMYFUNCTION("""COMPUTED_VALUE"""),"ENG")</f>
        <v>ENG</v>
      </c>
      <c r="C2562" s="6" t="str">
        <f>IFERROR(__xludf.DUMMYFUNCTION("""COMPUTED_VALUE"""),"P-15371-00")</f>
        <v>P-15371-00</v>
      </c>
      <c r="D2562" s="6" t="str">
        <f>IFERROR(__xludf.DUMMYFUNCTION("""COMPUTED_VALUE"""),"Fedegari - Seal Door; ; ;")</f>
        <v>Fedegari - Seal Door; ; ;</v>
      </c>
      <c r="E2562" s="6">
        <f>IFERROR(__xludf.DUMMYFUNCTION("""COMPUTED_VALUE"""),1.0)</f>
        <v>1</v>
      </c>
      <c r="F2562" s="6">
        <f>IFERROR(__xludf.DUMMYFUNCTION("""COMPUTED_VALUE"""),1.0)</f>
        <v>1</v>
      </c>
      <c r="G2562" s="6">
        <f>IFERROR(__xludf.DUMMYFUNCTION("""COMPUTED_VALUE"""),0.0)</f>
        <v>0</v>
      </c>
      <c r="H2562" s="6" t="str">
        <f>IFERROR(__xludf.DUMMYFUNCTION("""COMPUTED_VALUE"""),"Set")</f>
        <v>Set</v>
      </c>
      <c r="I2562" s="6" t="str">
        <f>IFERROR(__xludf.DUMMYFUNCTION("""COMPUTED_VALUE"""),"MFH")</f>
        <v>MFH</v>
      </c>
      <c r="J2562" s="6" t="str">
        <f>IFERROR(__xludf.DUMMYFUNCTION("""COMPUTED_VALUE"""),"Autoclave service ")</f>
        <v>Autoclave service </v>
      </c>
      <c r="K2562" s="6" t="str">
        <f>IFERROR(__xludf.DUMMYFUNCTION("""COMPUTED_VALUE"""),"SPR/10/25/015")</f>
        <v>SPR/10/25/015</v>
      </c>
      <c r="L2562" s="13">
        <f>IFERROR(__xludf.DUMMYFUNCTION("""COMPUTED_VALUE"""),45955.0)</f>
        <v>45955</v>
      </c>
    </row>
    <row r="2563">
      <c r="A2563" s="6" t="str">
        <f>IFERROR(__xludf.DUMMYFUNCTION("""COMPUTED_VALUE"""),"NDS")</f>
        <v>NDS</v>
      </c>
      <c r="B2563" s="6" t="str">
        <f>IFERROR(__xludf.DUMMYFUNCTION("""COMPUTED_VALUE"""),"ENG")</f>
        <v>ENG</v>
      </c>
      <c r="C2563" s="6" t="str">
        <f>IFERROR(__xludf.DUMMYFUNCTION("""COMPUTED_VALUE"""),"O-20487-00")</f>
        <v>O-20487-00</v>
      </c>
      <c r="D2563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2563" s="6">
        <f>IFERROR(__xludf.DUMMYFUNCTION("""COMPUTED_VALUE"""),1.0)</f>
        <v>1</v>
      </c>
      <c r="F2563" s="6">
        <f>IFERROR(__xludf.DUMMYFUNCTION("""COMPUTED_VALUE"""),1.0)</f>
        <v>1</v>
      </c>
      <c r="G2563" s="6">
        <f>IFERROR(__xludf.DUMMYFUNCTION("""COMPUTED_VALUE"""),0.0)</f>
        <v>0</v>
      </c>
      <c r="H2563" s="6" t="str">
        <f>IFERROR(__xludf.DUMMYFUNCTION("""COMPUTED_VALUE"""),"Pcs")</f>
        <v>Pcs</v>
      </c>
      <c r="I2563" s="6" t="str">
        <f>IFERROR(__xludf.DUMMYFUNCTION("""COMPUTED_VALUE"""),"MFH")</f>
        <v>MFH</v>
      </c>
      <c r="J2563" s="6" t="str">
        <f>IFERROR(__xludf.DUMMYFUNCTION("""COMPUTED_VALUE"""),"Crabs ")</f>
        <v>Crabs </v>
      </c>
      <c r="K2563" s="6" t="str">
        <f>IFERROR(__xludf.DUMMYFUNCTION("""COMPUTED_VALUE"""),"SPR/10/25/016")</f>
        <v>SPR/10/25/016</v>
      </c>
      <c r="L2563" s="13">
        <f>IFERROR(__xludf.DUMMYFUNCTION("""COMPUTED_VALUE"""),45955.0)</f>
        <v>45955</v>
      </c>
    </row>
    <row r="2564">
      <c r="A2564" s="6" t="str">
        <f>IFERROR(__xludf.DUMMYFUNCTION("""COMPUTED_VALUE"""),"NDS ")</f>
        <v>NDS </v>
      </c>
      <c r="B2564" s="6" t="str">
        <f>IFERROR(__xludf.DUMMYFUNCTION("""COMPUTED_VALUE"""),"ENG")</f>
        <v>ENG</v>
      </c>
      <c r="C2564" s="6" t="str">
        <f>IFERROR(__xludf.DUMMYFUNCTION("""COMPUTED_VALUE"""),"P-50140-00")</f>
        <v>P-50140-00</v>
      </c>
      <c r="D2564" s="6" t="str">
        <f>IFERROR(__xludf.DUMMYFUNCTION("""COMPUTED_VALUE"""),"Battery UPS - Battery kering 12V 9 AH")</f>
        <v>Battery UPS - Battery kering 12V 9 AH</v>
      </c>
      <c r="E2564" s="6">
        <f>IFERROR(__xludf.DUMMYFUNCTION("""COMPUTED_VALUE"""),2.0)</f>
        <v>2</v>
      </c>
      <c r="F2564" s="6">
        <f>IFERROR(__xludf.DUMMYFUNCTION("""COMPUTED_VALUE"""),2.0)</f>
        <v>2</v>
      </c>
      <c r="G2564" s="6">
        <f>IFERROR(__xludf.DUMMYFUNCTION("""COMPUTED_VALUE"""),0.0)</f>
        <v>0</v>
      </c>
      <c r="H2564" s="6" t="str">
        <f>IFERROR(__xludf.DUMMYFUNCTION("""COMPUTED_VALUE"""),"Pcs")</f>
        <v>Pcs</v>
      </c>
      <c r="I2564" s="6" t="str">
        <f>IFERROR(__xludf.DUMMYFUNCTION("""COMPUTED_VALUE"""),"MFH")</f>
        <v>MFH</v>
      </c>
      <c r="J2564" s="6" t="str">
        <f>IFERROR(__xludf.DUMMYFUNCTION("""COMPUTED_VALUE"""),"Ups EMS &amp; Newtronic")</f>
        <v>Ups EMS &amp; Newtronic</v>
      </c>
      <c r="K2564" s="6" t="str">
        <f>IFERROR(__xludf.DUMMYFUNCTION("""COMPUTED_VALUE"""),"SPR/10/25/016")</f>
        <v>SPR/10/25/016</v>
      </c>
      <c r="L2564" s="13">
        <f>IFERROR(__xludf.DUMMYFUNCTION("""COMPUTED_VALUE"""),45955.0)</f>
        <v>45955</v>
      </c>
    </row>
    <row r="2565">
      <c r="A2565" s="6" t="str">
        <f>IFERROR(__xludf.DUMMYFUNCTION("""COMPUTED_VALUE"""),"INN")</f>
        <v>INN</v>
      </c>
      <c r="B2565" s="6" t="str">
        <f>IFERROR(__xludf.DUMMYFUNCTION("""COMPUTED_VALUE"""),"ENG")</f>
        <v>ENG</v>
      </c>
      <c r="C2565" s="6" t="str">
        <f>IFERROR(__xludf.DUMMYFUNCTION("""COMPUTED_VALUE"""),"O-16647-00")</f>
        <v>O-16647-00</v>
      </c>
      <c r="D2565" s="6" t="str">
        <f>IFERROR(__xludf.DUMMYFUNCTION("""COMPUTED_VALUE"""),"Washing RAR4 - Oring Silicone Merah 23x18x2.5 mm")</f>
        <v>Washing RAR4 - Oring Silicone Merah 23x18x2.5 mm</v>
      </c>
      <c r="E2565" s="6">
        <f>IFERROR(__xludf.DUMMYFUNCTION("""COMPUTED_VALUE"""),30.0)</f>
        <v>30</v>
      </c>
      <c r="F2565" s="6">
        <f>IFERROR(__xludf.DUMMYFUNCTION("""COMPUTED_VALUE"""),30.0)</f>
        <v>30</v>
      </c>
      <c r="G2565" s="6">
        <f>IFERROR(__xludf.DUMMYFUNCTION("""COMPUTED_VALUE"""),0.0)</f>
        <v>0</v>
      </c>
      <c r="H2565" s="6" t="str">
        <f>IFERROR(__xludf.DUMMYFUNCTION("""COMPUTED_VALUE"""),"Pcs")</f>
        <v>Pcs</v>
      </c>
      <c r="I2565" s="6" t="str">
        <f>IFERROR(__xludf.DUMMYFUNCTION("""COMPUTED_VALUE"""),"MFH")</f>
        <v>MFH</v>
      </c>
      <c r="J2565" s="6" t="str">
        <f>IFERROR(__xludf.DUMMYFUNCTION("""COMPUTED_VALUE"""),"Capping ")</f>
        <v>Capping </v>
      </c>
      <c r="K2565" s="6" t="str">
        <f>IFERROR(__xludf.DUMMYFUNCTION("""COMPUTED_VALUE"""),"SPR/10/25/017")</f>
        <v>SPR/10/25/017</v>
      </c>
      <c r="L2565" s="13">
        <f>IFERROR(__xludf.DUMMYFUNCTION("""COMPUTED_VALUE"""),45955.0)</f>
        <v>45955</v>
      </c>
    </row>
    <row r="2566">
      <c r="A2566" s="6" t="str">
        <f>IFERROR(__xludf.DUMMYFUNCTION("""COMPUTED_VALUE"""),"BDU")</f>
        <v>BDU</v>
      </c>
      <c r="B2566" s="6" t="str">
        <f>IFERROR(__xludf.DUMMYFUNCTION("""COMPUTED_VALUE"""),"ENG")</f>
        <v>ENG</v>
      </c>
      <c r="C2566" s="6" t="str">
        <f>IFERROR(__xludf.DUMMYFUNCTION("""COMPUTED_VALUE"""),"T-80046-00")</f>
        <v>T-80046-00</v>
      </c>
      <c r="D2566" s="6" t="str">
        <f>IFERROR(__xludf.DUMMYFUNCTION("""COMPUTED_VALUE"""),"Battery ALKALINE AA")</f>
        <v>Battery ALKALINE AA</v>
      </c>
      <c r="E2566" s="6">
        <f>IFERROR(__xludf.DUMMYFUNCTION("""COMPUTED_VALUE"""),1.0)</f>
        <v>1</v>
      </c>
      <c r="F2566" s="6">
        <f>IFERROR(__xludf.DUMMYFUNCTION("""COMPUTED_VALUE"""),1.0)</f>
        <v>1</v>
      </c>
      <c r="G2566" s="6">
        <f>IFERROR(__xludf.DUMMYFUNCTION("""COMPUTED_VALUE"""),0.0)</f>
        <v>0</v>
      </c>
      <c r="H2566" s="6" t="str">
        <f>IFERROR(__xludf.DUMMYFUNCTION("""COMPUTED_VALUE"""),"Pcs")</f>
        <v>Pcs</v>
      </c>
      <c r="I2566" s="6" t="str">
        <f>IFERROR(__xludf.DUMMYFUNCTION("""COMPUTED_VALUE"""),"MFH")</f>
        <v>MFH</v>
      </c>
      <c r="J2566" s="6" t="str">
        <f>IFERROR(__xludf.DUMMYFUNCTION("""COMPUTED_VALUE"""),"-")</f>
        <v>-</v>
      </c>
      <c r="K2566" s="6" t="str">
        <f>IFERROR(__xludf.DUMMYFUNCTION("""COMPUTED_VALUE"""),"SPR/10/25/018")</f>
        <v>SPR/10/25/018</v>
      </c>
      <c r="L2566" s="13">
        <f>IFERROR(__xludf.DUMMYFUNCTION("""COMPUTED_VALUE"""),45961.0)</f>
        <v>45961</v>
      </c>
    </row>
    <row r="2567">
      <c r="A2567" s="6" t="str">
        <f>IFERROR(__xludf.DUMMYFUNCTION("""COMPUTED_VALUE"""),"BDU")</f>
        <v>BDU</v>
      </c>
      <c r="B2567" s="6" t="str">
        <f>IFERROR(__xludf.DUMMYFUNCTION("""COMPUTED_VALUE"""),"ENG")</f>
        <v>ENG</v>
      </c>
      <c r="C2567" s="6" t="str">
        <f>IFERROR(__xludf.DUMMYFUNCTION("""COMPUTED_VALUE"""),"O-17073-00")</f>
        <v>O-17073-00</v>
      </c>
      <c r="D2567" s="6" t="str">
        <f>IFERROR(__xludf.DUMMYFUNCTION("""COMPUTED_VALUE"""),"Capping VCM200 - Plate HARRISA CIPTARINDO ENGINEERING, CV. P/N : 307790 pc")</f>
        <v>Capping VCM200 - Plate HARRISA CIPTARINDO ENGINEERING, CV. P/N : 307790 pc</v>
      </c>
      <c r="E2567" s="6">
        <f>IFERROR(__xludf.DUMMYFUNCTION("""COMPUTED_VALUE"""),3.0)</f>
        <v>3</v>
      </c>
      <c r="F2567" s="6">
        <f>IFERROR(__xludf.DUMMYFUNCTION("""COMPUTED_VALUE"""),3.0)</f>
        <v>3</v>
      </c>
      <c r="G2567" s="6">
        <f>IFERROR(__xludf.DUMMYFUNCTION("""COMPUTED_VALUE"""),0.0)</f>
        <v>0</v>
      </c>
      <c r="H2567" s="6" t="str">
        <f>IFERROR(__xludf.DUMMYFUNCTION("""COMPUTED_VALUE"""),"Pcs")</f>
        <v>Pcs</v>
      </c>
      <c r="I2567" s="6" t="str">
        <f>IFERROR(__xludf.DUMMYFUNCTION("""COMPUTED_VALUE"""),"MFH")</f>
        <v>MFH</v>
      </c>
      <c r="J2567" s="6" t="str">
        <f>IFERROR(__xludf.DUMMYFUNCTION("""COMPUTED_VALUE"""),"-")</f>
        <v>-</v>
      </c>
      <c r="K2567" s="6" t="str">
        <f>IFERROR(__xludf.DUMMYFUNCTION("""COMPUTED_VALUE"""),"SPR/10/25/018")</f>
        <v>SPR/10/25/018</v>
      </c>
      <c r="L2567" s="13">
        <f>IFERROR(__xludf.DUMMYFUNCTION("""COMPUTED_VALUE"""),45961.0)</f>
        <v>45961</v>
      </c>
    </row>
    <row r="2568">
      <c r="A2568" s="6" t="str">
        <f>IFERROR(__xludf.DUMMYFUNCTION("""COMPUTED_VALUE"""),"BDU")</f>
        <v>BDU</v>
      </c>
      <c r="B2568" s="6" t="str">
        <f>IFERROR(__xludf.DUMMYFUNCTION("""COMPUTED_VALUE"""),"ENG")</f>
        <v>ENG</v>
      </c>
      <c r="C2568" s="6" t="str">
        <f>IFERROR(__xludf.DUMMYFUNCTION("""COMPUTED_VALUE"""),"P-53202-00")</f>
        <v>P-53202-00</v>
      </c>
      <c r="D2568" s="6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E2568" s="6">
        <f>IFERROR(__xludf.DUMMYFUNCTION("""COMPUTED_VALUE"""),1.0)</f>
        <v>1</v>
      </c>
      <c r="F2568" s="6">
        <f>IFERROR(__xludf.DUMMYFUNCTION("""COMPUTED_VALUE"""),1.0)</f>
        <v>1</v>
      </c>
      <c r="G2568" s="6">
        <f>IFERROR(__xludf.DUMMYFUNCTION("""COMPUTED_VALUE"""),0.0)</f>
        <v>0</v>
      </c>
      <c r="H2568" s="6" t="str">
        <f>IFERROR(__xludf.DUMMYFUNCTION("""COMPUTED_VALUE"""),"Pcs")</f>
        <v>Pcs</v>
      </c>
      <c r="I2568" s="6" t="str">
        <f>IFERROR(__xludf.DUMMYFUNCTION("""COMPUTED_VALUE"""),"MFH")</f>
        <v>MFH</v>
      </c>
      <c r="J2568" s="6" t="str">
        <f>IFERROR(__xludf.DUMMYFUNCTION("""COMPUTED_VALUE"""),"-")</f>
        <v>-</v>
      </c>
      <c r="K2568" s="6" t="str">
        <f>IFERROR(__xludf.DUMMYFUNCTION("""COMPUTED_VALUE"""),"SPR/10/25/018")</f>
        <v>SPR/10/25/018</v>
      </c>
      <c r="L2568" s="13">
        <f>IFERROR(__xludf.DUMMYFUNCTION("""COMPUTED_VALUE"""),45961.0)</f>
        <v>45961</v>
      </c>
    </row>
    <row r="2569">
      <c r="A2569" s="6" t="str">
        <f>IFERROR(__xludf.DUMMYFUNCTION("""COMPUTED_VALUE"""),"MRN")</f>
        <v>MRN</v>
      </c>
      <c r="B2569" s="6" t="str">
        <f>IFERROR(__xludf.DUMMYFUNCTION("""COMPUTED_VALUE"""),"ENG")</f>
        <v>ENG</v>
      </c>
      <c r="C2569" s="6" t="str">
        <f>IFERROR(__xludf.DUMMYFUNCTION("""COMPUTED_VALUE"""),"P-50426-00")</f>
        <v>P-50426-00</v>
      </c>
      <c r="D2569" s="6" t="str">
        <f>IFERROR(__xludf.DUMMYFUNCTION("""COMPUTED_VALUE"""),"Pilot Lamps / Green / 220 VAC / AD22-22DS / AXLE")</f>
        <v>Pilot Lamps / Green / 220 VAC / AD22-22DS / AXLE</v>
      </c>
      <c r="E2569" s="6">
        <f>IFERROR(__xludf.DUMMYFUNCTION("""COMPUTED_VALUE"""),3.0)</f>
        <v>3</v>
      </c>
      <c r="F2569" s="6">
        <f>IFERROR(__xludf.DUMMYFUNCTION("""COMPUTED_VALUE"""),3.0)</f>
        <v>3</v>
      </c>
      <c r="G2569" s="6">
        <f>IFERROR(__xludf.DUMMYFUNCTION("""COMPUTED_VALUE"""),0.0)</f>
        <v>0</v>
      </c>
      <c r="H2569" s="6" t="str">
        <f>IFERROR(__xludf.DUMMYFUNCTION("""COMPUTED_VALUE"""),"Pcs ")</f>
        <v>Pcs </v>
      </c>
      <c r="I2569" s="6" t="str">
        <f>IFERROR(__xludf.DUMMYFUNCTION("""COMPUTED_VALUE"""),"MFH")</f>
        <v>MFH</v>
      </c>
      <c r="J2569" s="6" t="str">
        <f>IFERROR(__xludf.DUMMYFUNCTION("""COMPUTED_VALUE"""),"Lab")</f>
        <v>Lab</v>
      </c>
      <c r="K2569" s="6" t="str">
        <f>IFERROR(__xludf.DUMMYFUNCTION("""COMPUTED_VALUE"""),"SPR/10/25/019")</f>
        <v>SPR/10/25/019</v>
      </c>
      <c r="L2569" s="13">
        <f>IFERROR(__xludf.DUMMYFUNCTION("""COMPUTED_VALUE"""),45955.0)</f>
        <v>45955</v>
      </c>
    </row>
    <row r="2570">
      <c r="A2570" s="6" t="str">
        <f>IFERROR(__xludf.DUMMYFUNCTION("""COMPUTED_VALUE"""),"MRN")</f>
        <v>MRN</v>
      </c>
      <c r="B2570" s="6" t="str">
        <f>IFERROR(__xludf.DUMMYFUNCTION("""COMPUTED_VALUE"""),"ENG")</f>
        <v>ENG</v>
      </c>
      <c r="C2570" s="6" t="str">
        <f>IFERROR(__xludf.DUMMYFUNCTION("""COMPUTED_VALUE"""),"P-50633-00")</f>
        <v>P-50633-00</v>
      </c>
      <c r="D2570" s="6" t="str">
        <f>IFERROR(__xludf.DUMMYFUNCTION("""COMPUTED_VALUE"""),"General - Timer AC100-240/DC100-125; Omron ; H3CR - A8; 1 pc")</f>
        <v>General - Timer AC100-240/DC100-125; Omron ; H3CR - A8; 1 pc</v>
      </c>
      <c r="E2570" s="6">
        <f>IFERROR(__xludf.DUMMYFUNCTION("""COMPUTED_VALUE"""),1.0)</f>
        <v>1</v>
      </c>
      <c r="F2570" s="6">
        <f>IFERROR(__xludf.DUMMYFUNCTION("""COMPUTED_VALUE"""),2.0)</f>
        <v>2</v>
      </c>
      <c r="G2570" s="6">
        <f>IFERROR(__xludf.DUMMYFUNCTION("""COMPUTED_VALUE"""),0.0)</f>
        <v>0</v>
      </c>
      <c r="H2570" s="6" t="str">
        <f>IFERROR(__xludf.DUMMYFUNCTION("""COMPUTED_VALUE"""),"Pcs ")</f>
        <v>Pcs </v>
      </c>
      <c r="I2570" s="6" t="str">
        <f>IFERROR(__xludf.DUMMYFUNCTION("""COMPUTED_VALUE"""),"MFH")</f>
        <v>MFH</v>
      </c>
      <c r="J2570" s="6" t="str">
        <f>IFERROR(__xludf.DUMMYFUNCTION("""COMPUTED_VALUE"""),"Lab")</f>
        <v>Lab</v>
      </c>
      <c r="K2570" s="6" t="str">
        <f>IFERROR(__xludf.DUMMYFUNCTION("""COMPUTED_VALUE"""),"SPR/10/25/019")</f>
        <v>SPR/10/25/019</v>
      </c>
      <c r="L2570" s="13">
        <f>IFERROR(__xludf.DUMMYFUNCTION("""COMPUTED_VALUE"""),45955.0)</f>
        <v>45955</v>
      </c>
    </row>
    <row r="2571">
      <c r="A2571" s="6" t="str">
        <f>IFERROR(__xludf.DUMMYFUNCTION("""COMPUTED_VALUE"""),"MRN")</f>
        <v>MRN</v>
      </c>
      <c r="B2571" s="6" t="str">
        <f>IFERROR(__xludf.DUMMYFUNCTION("""COMPUTED_VALUE"""),"ENG")</f>
        <v>ENG</v>
      </c>
      <c r="C2571" s="6" t="str">
        <f>IFERROR(__xludf.DUMMYFUNCTION("""COMPUTED_VALUE"""),"P-11175-00")</f>
        <v>P-11175-00</v>
      </c>
      <c r="D2571" s="6" t="str">
        <f>IFERROR(__xludf.DUMMYFUNCTION("""COMPUTED_VALUE"""),"Pneumatic  Fitting - QS 10-8 / PN : 153039 / Festo")</f>
        <v>Pneumatic  Fitting - QS 10-8 / PN : 153039 / Festo</v>
      </c>
      <c r="E2571" s="6">
        <f>IFERROR(__xludf.DUMMYFUNCTION("""COMPUTED_VALUE"""),5.0)</f>
        <v>5</v>
      </c>
      <c r="F2571" s="6">
        <f>IFERROR(__xludf.DUMMYFUNCTION("""COMPUTED_VALUE"""),5.0)</f>
        <v>5</v>
      </c>
      <c r="G2571" s="6">
        <f>IFERROR(__xludf.DUMMYFUNCTION("""COMPUTED_VALUE"""),0.0)</f>
        <v>0</v>
      </c>
      <c r="H2571" s="6" t="str">
        <f>IFERROR(__xludf.DUMMYFUNCTION("""COMPUTED_VALUE"""),"Pcs")</f>
        <v>Pcs</v>
      </c>
      <c r="I2571" s="6" t="str">
        <f>IFERROR(__xludf.DUMMYFUNCTION("""COMPUTED_VALUE"""),"MFH")</f>
        <v>MFH</v>
      </c>
      <c r="J2571" s="6" t="str">
        <f>IFERROR(__xludf.DUMMYFUNCTION("""COMPUTED_VALUE"""),"Lab")</f>
        <v>Lab</v>
      </c>
      <c r="K2571" s="6" t="str">
        <f>IFERROR(__xludf.DUMMYFUNCTION("""COMPUTED_VALUE"""),"SPR/10/25/019")</f>
        <v>SPR/10/25/019</v>
      </c>
      <c r="L2571" s="13">
        <f>IFERROR(__xludf.DUMMYFUNCTION("""COMPUTED_VALUE"""),45955.0)</f>
        <v>45955</v>
      </c>
    </row>
    <row r="2572">
      <c r="A2572" s="6" t="str">
        <f>IFERROR(__xludf.DUMMYFUNCTION("""COMPUTED_VALUE"""),"SFH")</f>
        <v>SFH</v>
      </c>
      <c r="B2572" s="6" t="str">
        <f>IFERROR(__xludf.DUMMYFUNCTION("""COMPUTED_VALUE"""),"ENG")</f>
        <v>ENG</v>
      </c>
      <c r="C2572" s="6" t="str">
        <f>IFERROR(__xludf.DUMMYFUNCTION("""COMPUTED_VALUE"""),"Q-60501-00")</f>
        <v>Q-60501-00</v>
      </c>
      <c r="D2572" s="6" t="str">
        <f>IFERROR(__xludf.DUMMYFUNCTION("""COMPUTED_VALUE"""),"Silicone Sealant;Silglaze;Type N10 Clear;pack size per pcs")</f>
        <v>Silicone Sealant;Silglaze;Type N10 Clear;pack size per pcs</v>
      </c>
      <c r="E2572" s="6">
        <f>IFERROR(__xludf.DUMMYFUNCTION("""COMPUTED_VALUE"""),7.0)</f>
        <v>7</v>
      </c>
      <c r="F2572" s="6">
        <f>IFERROR(__xludf.DUMMYFUNCTION("""COMPUTED_VALUE"""),7.0)</f>
        <v>7</v>
      </c>
      <c r="G2572" s="6">
        <f>IFERROR(__xludf.DUMMYFUNCTION("""COMPUTED_VALUE"""),0.0)</f>
        <v>0</v>
      </c>
      <c r="H2572" s="6" t="str">
        <f>IFERROR(__xludf.DUMMYFUNCTION("""COMPUTED_VALUE"""),"Pcs ")</f>
        <v>Pcs </v>
      </c>
      <c r="I2572" s="6" t="str">
        <f>IFERROR(__xludf.DUMMYFUNCTION("""COMPUTED_VALUE"""),"MFH ")</f>
        <v>MFH </v>
      </c>
      <c r="J2572" s="6" t="str">
        <f>IFERROR(__xludf.DUMMYFUNCTION("""COMPUTED_VALUE"""),"Building")</f>
        <v>Building</v>
      </c>
      <c r="K2572" s="6" t="str">
        <f>IFERROR(__xludf.DUMMYFUNCTION("""COMPUTED_VALUE"""),"SPR/10/25/020")</f>
        <v>SPR/10/25/020</v>
      </c>
      <c r="L2572" s="13">
        <f>IFERROR(__xludf.DUMMYFUNCTION("""COMPUTED_VALUE"""),45955.0)</f>
        <v>45955</v>
      </c>
    </row>
    <row r="2573">
      <c r="A2573" s="6" t="str">
        <f>IFERROR(__xludf.DUMMYFUNCTION("""COMPUTED_VALUE"""),"SFH")</f>
        <v>SFH</v>
      </c>
      <c r="B2573" s="6" t="str">
        <f>IFERROR(__xludf.DUMMYFUNCTION("""COMPUTED_VALUE"""),"ENG")</f>
        <v>ENG</v>
      </c>
      <c r="C2573" s="6" t="str">
        <f>IFERROR(__xludf.DUMMYFUNCTION("""COMPUTED_VALUE"""),"Q-12060-00")</f>
        <v>Q-12060-00</v>
      </c>
      <c r="D2573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573" s="6">
        <f>IFERROR(__xludf.DUMMYFUNCTION("""COMPUTED_VALUE"""),11.0)</f>
        <v>11</v>
      </c>
      <c r="F2573" s="6">
        <f>IFERROR(__xludf.DUMMYFUNCTION("""COMPUTED_VALUE"""),11.0)</f>
        <v>11</v>
      </c>
      <c r="G2573" s="6">
        <f>IFERROR(__xludf.DUMMYFUNCTION("""COMPUTED_VALUE"""),0.0)</f>
        <v>0</v>
      </c>
      <c r="H2573" s="6" t="str">
        <f>IFERROR(__xludf.DUMMYFUNCTION("""COMPUTED_VALUE"""),"Pcs")</f>
        <v>Pcs</v>
      </c>
      <c r="I2573" s="6" t="str">
        <f>IFERROR(__xludf.DUMMYFUNCTION("""COMPUTED_VALUE"""),"MFH")</f>
        <v>MFH</v>
      </c>
      <c r="J2573" s="6" t="str">
        <f>IFERROR(__xludf.DUMMYFUNCTION("""COMPUTED_VALUE"""),"Building")</f>
        <v>Building</v>
      </c>
      <c r="K2573" s="6" t="str">
        <f>IFERROR(__xludf.DUMMYFUNCTION("""COMPUTED_VALUE"""),"SPR/10/25/020")</f>
        <v>SPR/10/25/020</v>
      </c>
      <c r="L2573" s="13">
        <f>IFERROR(__xludf.DUMMYFUNCTION("""COMPUTED_VALUE"""),45955.0)</f>
        <v>45955</v>
      </c>
    </row>
    <row r="2574">
      <c r="A2574" s="6" t="str">
        <f>IFERROR(__xludf.DUMMYFUNCTION("""COMPUTED_VALUE"""),"SFH")</f>
        <v>SFH</v>
      </c>
      <c r="B2574" s="6" t="str">
        <f>IFERROR(__xludf.DUMMYFUNCTION("""COMPUTED_VALUE"""),"ENG")</f>
        <v>ENG</v>
      </c>
      <c r="C2574" s="6" t="str">
        <f>IFERROR(__xludf.DUMMYFUNCTION("""COMPUTED_VALUE"""),"T-80046-00")</f>
        <v>T-80046-00</v>
      </c>
      <c r="D2574" s="6" t="str">
        <f>IFERROR(__xludf.DUMMYFUNCTION("""COMPUTED_VALUE"""),"Battery ALKALINE AA")</f>
        <v>Battery ALKALINE AA</v>
      </c>
      <c r="E2574" s="6">
        <f>IFERROR(__xludf.DUMMYFUNCTION("""COMPUTED_VALUE"""),5.0)</f>
        <v>5</v>
      </c>
      <c r="F2574" s="6">
        <f>IFERROR(__xludf.DUMMYFUNCTION("""COMPUTED_VALUE"""),5.0)</f>
        <v>5</v>
      </c>
      <c r="G2574" s="6">
        <f>IFERROR(__xludf.DUMMYFUNCTION("""COMPUTED_VALUE"""),0.0)</f>
        <v>0</v>
      </c>
      <c r="H2574" s="6" t="str">
        <f>IFERROR(__xludf.DUMMYFUNCTION("""COMPUTED_VALUE"""),"Pcs ")</f>
        <v>Pcs </v>
      </c>
      <c r="I2574" s="6" t="str">
        <f>IFERROR(__xludf.DUMMYFUNCTION("""COMPUTED_VALUE"""),"MFH")</f>
        <v>MFH</v>
      </c>
      <c r="J2574" s="6" t="str">
        <f>IFERROR(__xludf.DUMMYFUNCTION("""COMPUTED_VALUE"""),"Building")</f>
        <v>Building</v>
      </c>
      <c r="K2574" s="6" t="str">
        <f>IFERROR(__xludf.DUMMYFUNCTION("""COMPUTED_VALUE"""),"SPR/10/25/020")</f>
        <v>SPR/10/25/020</v>
      </c>
      <c r="L2574" s="13">
        <f>IFERROR(__xludf.DUMMYFUNCTION("""COMPUTED_VALUE"""),45961.0)</f>
        <v>45961</v>
      </c>
    </row>
    <row r="2575">
      <c r="A2575" s="6" t="str">
        <f>IFERROR(__xludf.DUMMYFUNCTION("""COMPUTED_VALUE"""),"RIA")</f>
        <v>RIA</v>
      </c>
      <c r="B2575" s="6" t="str">
        <f>IFERROR(__xludf.DUMMYFUNCTION("""COMPUTED_VALUE"""),"ENG")</f>
        <v>ENG</v>
      </c>
      <c r="C2575" s="6" t="str">
        <f>IFERROR(__xludf.DUMMYFUNCTION("""COMPUTED_VALUE"""),"Q-10510-00")</f>
        <v>Q-10510-00</v>
      </c>
      <c r="D2575" s="6" t="str">
        <f>IFERROR(__xludf.DUMMYFUNCTION("""COMPUTED_VALUE"""),"Junction Box Plastik 12x12x10 cm; ; ;")</f>
        <v>Junction Box Plastik 12x12x10 cm; ; ;</v>
      </c>
      <c r="E2575" s="6">
        <f>IFERROR(__xludf.DUMMYFUNCTION("""COMPUTED_VALUE"""),4.0)</f>
        <v>4</v>
      </c>
      <c r="F2575" s="6">
        <f>IFERROR(__xludf.DUMMYFUNCTION("""COMPUTED_VALUE"""),4.0)</f>
        <v>4</v>
      </c>
      <c r="G2575" s="6">
        <f>IFERROR(__xludf.DUMMYFUNCTION("""COMPUTED_VALUE"""),0.0)</f>
        <v>0</v>
      </c>
      <c r="H2575" s="6" t="str">
        <f>IFERROR(__xludf.DUMMYFUNCTION("""COMPUTED_VALUE"""),"Pcs ")</f>
        <v>Pcs </v>
      </c>
      <c r="I2575" s="6" t="str">
        <f>IFERROR(__xludf.DUMMYFUNCTION("""COMPUTED_VALUE"""),"MFH ")</f>
        <v>MFH </v>
      </c>
      <c r="J2575" s="6" t="str">
        <f>IFERROR(__xludf.DUMMYFUNCTION("""COMPUTED_VALUE"""),"Alarm System ")</f>
        <v>Alarm System </v>
      </c>
      <c r="K2575" s="6" t="str">
        <f>IFERROR(__xludf.DUMMYFUNCTION("""COMPUTED_VALUE"""),"SPR/10/25/021")</f>
        <v>SPR/10/25/021</v>
      </c>
      <c r="L2575" s="13">
        <f>IFERROR(__xludf.DUMMYFUNCTION("""COMPUTED_VALUE"""),45961.0)</f>
        <v>45961</v>
      </c>
    </row>
    <row r="2576">
      <c r="A2576" s="6" t="str">
        <f>IFERROR(__xludf.DUMMYFUNCTION("""COMPUTED_VALUE"""),"RIA")</f>
        <v>RIA</v>
      </c>
      <c r="B2576" s="6" t="str">
        <f>IFERROR(__xludf.DUMMYFUNCTION("""COMPUTED_VALUE"""),"ENG")</f>
        <v>ENG</v>
      </c>
      <c r="C2576" s="6" t="str">
        <f>IFERROR(__xludf.DUMMYFUNCTION("""COMPUTED_VALUE"""),"O-52859-00")</f>
        <v>O-52859-00</v>
      </c>
      <c r="D2576" s="6" t="str">
        <f>IFERROR(__xludf.DUMMYFUNCTION("""COMPUTED_VALUE"""),"Temperature Controller - TK4S- 24RN 100-240 VAC AUTONICS; ; ;")</f>
        <v>Temperature Controller - TK4S- 24RN 100-240 VAC AUTONICS; ; ;</v>
      </c>
      <c r="E2576" s="6">
        <f>IFERROR(__xludf.DUMMYFUNCTION("""COMPUTED_VALUE"""),5.0)</f>
        <v>5</v>
      </c>
      <c r="F2576" s="6">
        <f>IFERROR(__xludf.DUMMYFUNCTION("""COMPUTED_VALUE"""),5.0)</f>
        <v>5</v>
      </c>
      <c r="G2576" s="6">
        <f>IFERROR(__xludf.DUMMYFUNCTION("""COMPUTED_VALUE"""),0.0)</f>
        <v>0</v>
      </c>
      <c r="H2576" s="6" t="str">
        <f>IFERROR(__xludf.DUMMYFUNCTION("""COMPUTED_VALUE"""),"Pcs ")</f>
        <v>Pcs </v>
      </c>
      <c r="I2576" s="6" t="str">
        <f>IFERROR(__xludf.DUMMYFUNCTION("""COMPUTED_VALUE"""),"MFH")</f>
        <v>MFH</v>
      </c>
      <c r="J2576" s="6" t="str">
        <f>IFERROR(__xludf.DUMMYFUNCTION("""COMPUTED_VALUE"""),"Alarm System ")</f>
        <v>Alarm System </v>
      </c>
      <c r="K2576" s="6" t="str">
        <f>IFERROR(__xludf.DUMMYFUNCTION("""COMPUTED_VALUE"""),"SPR/10/25/021")</f>
        <v>SPR/10/25/021</v>
      </c>
      <c r="L2576" s="13">
        <f>IFERROR(__xludf.DUMMYFUNCTION("""COMPUTED_VALUE"""),45955.0)</f>
        <v>45955</v>
      </c>
    </row>
    <row r="2577">
      <c r="A2577" s="6" t="str">
        <f>IFERROR(__xludf.DUMMYFUNCTION("""COMPUTED_VALUE"""),"RIA")</f>
        <v>RIA</v>
      </c>
      <c r="B2577" s="6" t="str">
        <f>IFERROR(__xludf.DUMMYFUNCTION("""COMPUTED_VALUE"""),"ENG")</f>
        <v>ENG</v>
      </c>
      <c r="C2577" s="6" t="str">
        <f>IFERROR(__xludf.DUMMYFUNCTION("""COMPUTED_VALUE"""),"P-54402-00")</f>
        <v>P-54402-00</v>
      </c>
      <c r="D2577" s="6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E2577" s="6">
        <f>IFERROR(__xludf.DUMMYFUNCTION("""COMPUTED_VALUE"""),4.0)</f>
        <v>4</v>
      </c>
      <c r="F2577" s="6">
        <f>IFERROR(__xludf.DUMMYFUNCTION("""COMPUTED_VALUE"""),4.0)</f>
        <v>4</v>
      </c>
      <c r="G2577" s="6">
        <f>IFERROR(__xludf.DUMMYFUNCTION("""COMPUTED_VALUE"""),0.0)</f>
        <v>0</v>
      </c>
      <c r="H2577" s="6" t="str">
        <f>IFERROR(__xludf.DUMMYFUNCTION("""COMPUTED_VALUE"""),"Pcs ")</f>
        <v>Pcs </v>
      </c>
      <c r="I2577" s="6" t="str">
        <f>IFERROR(__xludf.DUMMYFUNCTION("""COMPUTED_VALUE"""),"MFH ")</f>
        <v>MFH </v>
      </c>
      <c r="J2577" s="6" t="str">
        <f>IFERROR(__xludf.DUMMYFUNCTION("""COMPUTED_VALUE"""),"Alarm System ")</f>
        <v>Alarm System </v>
      </c>
      <c r="K2577" s="6" t="str">
        <f>IFERROR(__xludf.DUMMYFUNCTION("""COMPUTED_VALUE"""),"SPR/10/25/021")</f>
        <v>SPR/10/25/021</v>
      </c>
      <c r="L2577" s="13">
        <f>IFERROR(__xludf.DUMMYFUNCTION("""COMPUTED_VALUE"""),45955.0)</f>
        <v>45955</v>
      </c>
    </row>
    <row r="2578">
      <c r="A2578" s="6" t="str">
        <f>IFERROR(__xludf.DUMMYFUNCTION("""COMPUTED_VALUE"""),"NDS")</f>
        <v>NDS</v>
      </c>
      <c r="B2578" s="6" t="str">
        <f>IFERROR(__xludf.DUMMYFUNCTION("""COMPUTED_VALUE"""),"ENG")</f>
        <v>ENG</v>
      </c>
      <c r="C2578" s="6" t="str">
        <f>IFERROR(__xludf.DUMMYFUNCTION("""COMPUTED_VALUE"""),"P-12265-00")</f>
        <v>P-12265-00</v>
      </c>
      <c r="D2578" s="6" t="str">
        <f>IFERROR(__xludf.DUMMYFUNCTION("""COMPUTED_VALUE"""),"FESTO - Push In Connector QS-8-6 p/n 153038")</f>
        <v>FESTO - Push In Connector QS-8-6 p/n 153038</v>
      </c>
      <c r="E2578" s="6">
        <f>IFERROR(__xludf.DUMMYFUNCTION("""COMPUTED_VALUE"""),9.0)</f>
        <v>9</v>
      </c>
      <c r="F2578" s="6">
        <f>IFERROR(__xludf.DUMMYFUNCTION("""COMPUTED_VALUE"""),9.0)</f>
        <v>9</v>
      </c>
      <c r="G2578" s="6">
        <f>IFERROR(__xludf.DUMMYFUNCTION("""COMPUTED_VALUE"""),0.0)</f>
        <v>0</v>
      </c>
      <c r="H2578" s="6" t="str">
        <f>IFERROR(__xludf.DUMMYFUNCTION("""COMPUTED_VALUE"""),"Pcs ")</f>
        <v>Pcs </v>
      </c>
      <c r="I2578" s="6" t="str">
        <f>IFERROR(__xludf.DUMMYFUNCTION("""COMPUTED_VALUE"""),"MFH ")</f>
        <v>MFH </v>
      </c>
      <c r="J2578" s="6" t="str">
        <f>IFERROR(__xludf.DUMMYFUNCTION("""COMPUTED_VALUE"""),"Vaccum ")</f>
        <v>Vaccum </v>
      </c>
      <c r="K2578" s="6" t="str">
        <f>IFERROR(__xludf.DUMMYFUNCTION("""COMPUTED_VALUE"""),"SPR/10/25/022")</f>
        <v>SPR/10/25/022</v>
      </c>
      <c r="L2578" s="13">
        <f>IFERROR(__xludf.DUMMYFUNCTION("""COMPUTED_VALUE"""),45955.0)</f>
        <v>45955</v>
      </c>
    </row>
    <row r="2579">
      <c r="A2579" s="6" t="str">
        <f>IFERROR(__xludf.DUMMYFUNCTION("""COMPUTED_VALUE"""),"NDS")</f>
        <v>NDS</v>
      </c>
      <c r="B2579" s="6" t="str">
        <f>IFERROR(__xludf.DUMMYFUNCTION("""COMPUTED_VALUE"""),"ENG")</f>
        <v>ENG</v>
      </c>
      <c r="C2579" s="6" t="str">
        <f>IFERROR(__xludf.DUMMYFUNCTION("""COMPUTED_VALUE"""),"P-11431-00")</f>
        <v>P-11431-00</v>
      </c>
      <c r="D2579" s="6" t="str">
        <f>IFERROR(__xludf.DUMMYFUNCTION("""COMPUTED_VALUE"""),"General - Plastic Tubing, PUN-H-8X1,25-BL; Festo; 197385; 1 m")</f>
        <v>General - Plastic Tubing, PUN-H-8X1,25-BL; Festo; 197385; 1 m</v>
      </c>
      <c r="E2579" s="6">
        <f>IFERROR(__xludf.DUMMYFUNCTION("""COMPUTED_VALUE"""),1.0)</f>
        <v>1</v>
      </c>
      <c r="F2579" s="6">
        <f>IFERROR(__xludf.DUMMYFUNCTION("""COMPUTED_VALUE"""),1.0)</f>
        <v>1</v>
      </c>
      <c r="G2579" s="6">
        <f>IFERROR(__xludf.DUMMYFUNCTION("""COMPUTED_VALUE"""),0.0)</f>
        <v>0</v>
      </c>
      <c r="H2579" s="6" t="str">
        <f>IFERROR(__xludf.DUMMYFUNCTION("""COMPUTED_VALUE"""),"Meter ")</f>
        <v>Meter </v>
      </c>
      <c r="I2579" s="6" t="str">
        <f>IFERROR(__xludf.DUMMYFUNCTION("""COMPUTED_VALUE"""),"MFH ")</f>
        <v>MFH </v>
      </c>
      <c r="J2579" s="6" t="str">
        <f>IFERROR(__xludf.DUMMYFUNCTION("""COMPUTED_VALUE"""),"Vaccum ")</f>
        <v>Vaccum </v>
      </c>
      <c r="K2579" s="6" t="str">
        <f>IFERROR(__xludf.DUMMYFUNCTION("""COMPUTED_VALUE"""),"SPR/10/25/022")</f>
        <v>SPR/10/25/022</v>
      </c>
      <c r="L2579" s="13">
        <f>IFERROR(__xludf.DUMMYFUNCTION("""COMPUTED_VALUE"""),45961.0)</f>
        <v>45961</v>
      </c>
    </row>
    <row r="2580">
      <c r="A2580" s="6" t="str">
        <f>IFERROR(__xludf.DUMMYFUNCTION("""COMPUTED_VALUE"""),"MOB")</f>
        <v>MOB</v>
      </c>
      <c r="B2580" s="6" t="str">
        <f>IFERROR(__xludf.DUMMYFUNCTION("""COMPUTED_VALUE"""),"ENG")</f>
        <v>ENG</v>
      </c>
      <c r="C2580" s="6" t="str">
        <f>IFERROR(__xludf.DUMMYFUNCTION("""COMPUTED_VALUE"""),"P-17645-00")</f>
        <v>P-17645-00</v>
      </c>
      <c r="D2580" s="6" t="str">
        <f>IFERROR(__xludf.DUMMYFUNCTION("""COMPUTED_VALUE"""),"Sodium Hiphoclorite; ; ; ltr")</f>
        <v>Sodium Hiphoclorite; ; ; ltr</v>
      </c>
      <c r="E2580" s="6">
        <f>IFERROR(__xludf.DUMMYFUNCTION("""COMPUTED_VALUE"""),320.0)</f>
        <v>320</v>
      </c>
      <c r="F2580" s="6">
        <f>IFERROR(__xludf.DUMMYFUNCTION("""COMPUTED_VALUE"""),320.0)</f>
        <v>320</v>
      </c>
      <c r="G2580" s="6">
        <f>IFERROR(__xludf.DUMMYFUNCTION("""COMPUTED_VALUE"""),0.0)</f>
        <v>0</v>
      </c>
      <c r="H2580" s="6" t="str">
        <f>IFERROR(__xludf.DUMMYFUNCTION("""COMPUTED_VALUE"""),"Liter")</f>
        <v>Liter</v>
      </c>
      <c r="I2580" s="6" t="str">
        <f>IFERROR(__xludf.DUMMYFUNCTION("""COMPUTED_VALUE"""),"MFH")</f>
        <v>MFH</v>
      </c>
      <c r="J2580" s="6" t="str">
        <f>IFERROR(__xludf.DUMMYFUNCTION("""COMPUTED_VALUE"""),"WWTP")</f>
        <v>WWTP</v>
      </c>
      <c r="K2580" s="6" t="str">
        <f>IFERROR(__xludf.DUMMYFUNCTION("""COMPUTED_VALUE"""),"SPR/25/10/023")</f>
        <v>SPR/25/10/023</v>
      </c>
      <c r="L2580" s="13">
        <f>IFERROR(__xludf.DUMMYFUNCTION("""COMPUTED_VALUE"""),45961.0)</f>
        <v>45961</v>
      </c>
    </row>
    <row r="2581">
      <c r="A2581" s="6" t="str">
        <f>IFERROR(__xludf.DUMMYFUNCTION("""COMPUTED_VALUE"""),"MOB")</f>
        <v>MOB</v>
      </c>
      <c r="B2581" s="6" t="str">
        <f>IFERROR(__xludf.DUMMYFUNCTION("""COMPUTED_VALUE"""),"ENG")</f>
        <v>ENG</v>
      </c>
      <c r="C2581" s="6" t="str">
        <f>IFERROR(__xludf.DUMMYFUNCTION("""COMPUTED_VALUE"""),"O-11287-00")</f>
        <v>O-11287-00</v>
      </c>
      <c r="D2581" s="6" t="str">
        <f>IFERROR(__xludf.DUMMYFUNCTION("""COMPUTED_VALUE"""),"F200 - Pall Filter p/n KA3PFRP1")</f>
        <v>F200 - Pall Filter p/n KA3PFRP1</v>
      </c>
      <c r="E2581" s="6">
        <f>IFERROR(__xludf.DUMMYFUNCTION("""COMPUTED_VALUE"""),1.0)</f>
        <v>1</v>
      </c>
      <c r="F2581" s="6">
        <f>IFERROR(__xludf.DUMMYFUNCTION("""COMPUTED_VALUE"""),1.0)</f>
        <v>1</v>
      </c>
      <c r="G2581" s="6">
        <f>IFERROR(__xludf.DUMMYFUNCTION("""COMPUTED_VALUE"""),0.0)</f>
        <v>0</v>
      </c>
      <c r="H2581" s="6" t="str">
        <f>IFERROR(__xludf.DUMMYFUNCTION("""COMPUTED_VALUE"""),"Pcs")</f>
        <v>Pcs</v>
      </c>
      <c r="I2581" s="6" t="str">
        <f>IFERROR(__xludf.DUMMYFUNCTION("""COMPUTED_VALUE"""),"MFH")</f>
        <v>MFH</v>
      </c>
      <c r="J2581" s="6" t="str">
        <f>IFERROR(__xludf.DUMMYFUNCTION("""COMPUTED_VALUE"""),"-")</f>
        <v>-</v>
      </c>
      <c r="K2581" s="6" t="str">
        <f>IFERROR(__xludf.DUMMYFUNCTION("""COMPUTED_VALUE"""),"SPR/25/10/023")</f>
        <v>SPR/25/10/023</v>
      </c>
      <c r="L2581" s="13">
        <f>IFERROR(__xludf.DUMMYFUNCTION("""COMPUTED_VALUE"""),45961.0)</f>
        <v>45961</v>
      </c>
    </row>
    <row r="2582">
      <c r="A2582" s="6" t="str">
        <f>IFERROR(__xludf.DUMMYFUNCTION("""COMPUTED_VALUE"""),"MOB")</f>
        <v>MOB</v>
      </c>
      <c r="B2582" s="6" t="str">
        <f>IFERROR(__xludf.DUMMYFUNCTION("""COMPUTED_VALUE"""),"ENG")</f>
        <v>ENG</v>
      </c>
      <c r="C2582" s="6" t="str">
        <f>IFERROR(__xludf.DUMMYFUNCTION("""COMPUTED_VALUE"""),"O-53047-00")</f>
        <v>O-53047-00</v>
      </c>
      <c r="D2582" s="6" t="str">
        <f>IFERROR(__xludf.DUMMYFUNCTION("""COMPUTED_VALUE"""),"MCB 400V 10kA 3Pole; Siemens; 5SL4304-7CC;")</f>
        <v>MCB 400V 10kA 3Pole; Siemens; 5SL4304-7CC;</v>
      </c>
      <c r="E2582" s="6">
        <f>IFERROR(__xludf.DUMMYFUNCTION("""COMPUTED_VALUE"""),1.0)</f>
        <v>1</v>
      </c>
      <c r="F2582" s="6">
        <f>IFERROR(__xludf.DUMMYFUNCTION("""COMPUTED_VALUE"""),1.0)</f>
        <v>1</v>
      </c>
      <c r="G2582" s="6">
        <f>IFERROR(__xludf.DUMMYFUNCTION("""COMPUTED_VALUE"""),0.0)</f>
        <v>0</v>
      </c>
      <c r="H2582" s="6" t="str">
        <f>IFERROR(__xludf.DUMMYFUNCTION("""COMPUTED_VALUE"""),"Pcs")</f>
        <v>Pcs</v>
      </c>
      <c r="I2582" s="6" t="str">
        <f>IFERROR(__xludf.DUMMYFUNCTION("""COMPUTED_VALUE"""),"MFH")</f>
        <v>MFH</v>
      </c>
      <c r="J2582" s="6" t="str">
        <f>IFERROR(__xludf.DUMMYFUNCTION("""COMPUTED_VALUE"""),"-")</f>
        <v>-</v>
      </c>
      <c r="K2582" s="6" t="str">
        <f>IFERROR(__xludf.DUMMYFUNCTION("""COMPUTED_VALUE"""),"SPR/25/10/023")</f>
        <v>SPR/25/10/023</v>
      </c>
      <c r="L2582" s="13">
        <f>IFERROR(__xludf.DUMMYFUNCTION("""COMPUTED_VALUE"""),45961.0)</f>
        <v>45961</v>
      </c>
    </row>
    <row r="2583">
      <c r="A2583" s="6" t="str">
        <f>IFERROR(__xludf.DUMMYFUNCTION("""COMPUTED_VALUE"""),"ANO")</f>
        <v>ANO</v>
      </c>
      <c r="B2583" s="6" t="str">
        <f>IFERROR(__xludf.DUMMYFUNCTION("""COMPUTED_VALUE"""),"ENG")</f>
        <v>ENG</v>
      </c>
      <c r="C2583" s="6" t="str">
        <f>IFERROR(__xludf.DUMMYFUNCTION("""COMPUTED_VALUE"""),"O-14640-00")</f>
        <v>O-14640-00</v>
      </c>
      <c r="D2583" s="6" t="str">
        <f>IFERROR(__xludf.DUMMYFUNCTION("""COMPUTED_VALUE"""),"General - Silicone Gasket for Ferrule dia. 3/4""; -; -; 1 Pc")</f>
        <v>General - Silicone Gasket for Ferrule dia. 3/4"; -; -; 1 Pc</v>
      </c>
      <c r="E2583" s="6">
        <f>IFERROR(__xludf.DUMMYFUNCTION("""COMPUTED_VALUE"""),25.0)</f>
        <v>25</v>
      </c>
      <c r="F2583" s="6">
        <f>IFERROR(__xludf.DUMMYFUNCTION("""COMPUTED_VALUE"""),25.0)</f>
        <v>25</v>
      </c>
      <c r="G2583" s="6">
        <f>IFERROR(__xludf.DUMMYFUNCTION("""COMPUTED_VALUE"""),0.0)</f>
        <v>0</v>
      </c>
      <c r="H2583" s="6" t="str">
        <f>IFERROR(__xludf.DUMMYFUNCTION("""COMPUTED_VALUE"""),"Pcs")</f>
        <v>Pcs</v>
      </c>
      <c r="I2583" s="6" t="str">
        <f>IFERROR(__xludf.DUMMYFUNCTION("""COMPUTED_VALUE"""),"MFH")</f>
        <v>MFH</v>
      </c>
      <c r="J2583" s="6" t="str">
        <f>IFERROR(__xludf.DUMMYFUNCTION("""COMPUTED_VALUE"""),"Autoclave")</f>
        <v>Autoclave</v>
      </c>
      <c r="K2583" s="6" t="str">
        <f>IFERROR(__xludf.DUMMYFUNCTION("""COMPUTED_VALUE"""),"SPR/25/10/024")</f>
        <v>SPR/25/10/024</v>
      </c>
      <c r="L2583" s="13">
        <f>IFERROR(__xludf.DUMMYFUNCTION("""COMPUTED_VALUE"""),45955.0)</f>
        <v>45955</v>
      </c>
    </row>
    <row r="2584">
      <c r="A2584" s="6" t="str">
        <f>IFERROR(__xludf.DUMMYFUNCTION("""COMPUTED_VALUE"""),"ANO")</f>
        <v>ANO</v>
      </c>
      <c r="B2584" s="6" t="str">
        <f>IFERROR(__xludf.DUMMYFUNCTION("""COMPUTED_VALUE"""),"ENG")</f>
        <v>ENG</v>
      </c>
      <c r="C2584" s="6" t="str">
        <f>IFERROR(__xludf.DUMMYFUNCTION("""COMPUTED_VALUE"""),"O-20748-00")</f>
        <v>O-20748-00</v>
      </c>
      <c r="D2584" s="6" t="str">
        <f>IFERROR(__xludf.DUMMYFUNCTION("""COMPUTED_VALUE"""),"cRABS Z064CR - Cabinet Handle ENUX RAL 9005; Steriline; 1135571; 1 Pc")</f>
        <v>cRABS Z064CR - Cabinet Handle ENUX RAL 9005; Steriline; 1135571; 1 Pc</v>
      </c>
      <c r="E2584" s="6">
        <f>IFERROR(__xludf.DUMMYFUNCTION("""COMPUTED_VALUE"""),2.0)</f>
        <v>2</v>
      </c>
      <c r="F2584" s="6">
        <f>IFERROR(__xludf.DUMMYFUNCTION("""COMPUTED_VALUE"""),2.0)</f>
        <v>2</v>
      </c>
      <c r="G2584" s="6">
        <f>IFERROR(__xludf.DUMMYFUNCTION("""COMPUTED_VALUE"""),0.0)</f>
        <v>0</v>
      </c>
      <c r="H2584" s="6" t="str">
        <f>IFERROR(__xludf.DUMMYFUNCTION("""COMPUTED_VALUE"""),"Pcs")</f>
        <v>Pcs</v>
      </c>
      <c r="I2584" s="6" t="str">
        <f>IFERROR(__xludf.DUMMYFUNCTION("""COMPUTED_VALUE"""),"MFH")</f>
        <v>MFH</v>
      </c>
      <c r="J2584" s="6" t="str">
        <f>IFERROR(__xludf.DUMMYFUNCTION("""COMPUTED_VALUE"""),"cRABS")</f>
        <v>cRABS</v>
      </c>
      <c r="K2584" s="6" t="str">
        <f>IFERROR(__xludf.DUMMYFUNCTION("""COMPUTED_VALUE"""),"SPR/25/10/024")</f>
        <v>SPR/25/10/024</v>
      </c>
      <c r="L2584" s="13">
        <f>IFERROR(__xludf.DUMMYFUNCTION("""COMPUTED_VALUE"""),45955.0)</f>
        <v>45955</v>
      </c>
    </row>
    <row r="2585">
      <c r="A2585" s="6" t="str">
        <f>IFERROR(__xludf.DUMMYFUNCTION("""COMPUTED_VALUE"""),"ANO")</f>
        <v>ANO</v>
      </c>
      <c r="B2585" s="6" t="str">
        <f>IFERROR(__xludf.DUMMYFUNCTION("""COMPUTED_VALUE"""),"ENG")</f>
        <v>ENG</v>
      </c>
      <c r="C2585" s="6" t="str">
        <f>IFERROR(__xludf.DUMMYFUNCTION("""COMPUTED_VALUE"""),"P-18769-00")</f>
        <v>P-18769-00</v>
      </c>
      <c r="D2585" s="6" t="str">
        <f>IFERROR(__xludf.DUMMYFUNCTION("""COMPUTED_VALUE"""),"Mata Gerinda Potong 4"" Merek WD; ; -; 20 pc")</f>
        <v>Mata Gerinda Potong 4" Merek WD; ; -; 20 pc</v>
      </c>
      <c r="E2585" s="6">
        <f>IFERROR(__xludf.DUMMYFUNCTION("""COMPUTED_VALUE"""),1.0)</f>
        <v>1</v>
      </c>
      <c r="F2585" s="6">
        <f>IFERROR(__xludf.DUMMYFUNCTION("""COMPUTED_VALUE"""),1.0)</f>
        <v>1</v>
      </c>
      <c r="G2585" s="6">
        <f>IFERROR(__xludf.DUMMYFUNCTION("""COMPUTED_VALUE"""),0.0)</f>
        <v>0</v>
      </c>
      <c r="H2585" s="6" t="str">
        <f>IFERROR(__xludf.DUMMYFUNCTION("""COMPUTED_VALUE"""),"Pcs")</f>
        <v>Pcs</v>
      </c>
      <c r="I2585" s="6" t="str">
        <f>IFERROR(__xludf.DUMMYFUNCTION("""COMPUTED_VALUE"""),"MFH")</f>
        <v>MFH</v>
      </c>
      <c r="J2585" s="6" t="str">
        <f>IFERROR(__xludf.DUMMYFUNCTION("""COMPUTED_VALUE"""),"Workshop")</f>
        <v>Workshop</v>
      </c>
      <c r="K2585" s="6" t="str">
        <f>IFERROR(__xludf.DUMMYFUNCTION("""COMPUTED_VALUE"""),"SPR/25/10/024")</f>
        <v>SPR/25/10/024</v>
      </c>
      <c r="L2585" s="13">
        <f>IFERROR(__xludf.DUMMYFUNCTION("""COMPUTED_VALUE"""),45961.0)</f>
        <v>45961</v>
      </c>
    </row>
    <row r="2586">
      <c r="A2586" s="6" t="str">
        <f>IFERROR(__xludf.DUMMYFUNCTION("""COMPUTED_VALUE"""),"ROS")</f>
        <v>ROS</v>
      </c>
      <c r="B2586" s="6" t="str">
        <f>IFERROR(__xludf.DUMMYFUNCTION("""COMPUTED_VALUE"""),"ENG")</f>
        <v>ENG</v>
      </c>
      <c r="C2586" s="6" t="str">
        <f>IFERROR(__xludf.DUMMYFUNCTION("""COMPUTED_VALUE"""),"O-16647-00")</f>
        <v>O-16647-00</v>
      </c>
      <c r="D2586" s="6" t="str">
        <f>IFERROR(__xludf.DUMMYFUNCTION("""COMPUTED_VALUE"""),"General - Oring Silicone Merah 23x18x2.5 mm; -; -; 1 Pc")</f>
        <v>General - Oring Silicone Merah 23x18x2.5 mm; -; -; 1 Pc</v>
      </c>
      <c r="E2586" s="6">
        <f>IFERROR(__xludf.DUMMYFUNCTION("""COMPUTED_VALUE"""),30.0)</f>
        <v>30</v>
      </c>
      <c r="F2586" s="6">
        <f>IFERROR(__xludf.DUMMYFUNCTION("""COMPUTED_VALUE"""),30.0)</f>
        <v>30</v>
      </c>
      <c r="G2586" s="6">
        <f>IFERROR(__xludf.DUMMYFUNCTION("""COMPUTED_VALUE"""),0.0)</f>
        <v>0</v>
      </c>
      <c r="H2586" s="6" t="str">
        <f>IFERROR(__xludf.DUMMYFUNCTION("""COMPUTED_VALUE"""),"Pcs")</f>
        <v>Pcs</v>
      </c>
      <c r="I2586" s="6" t="str">
        <f>IFERROR(__xludf.DUMMYFUNCTION("""COMPUTED_VALUE"""),"MFH")</f>
        <v>MFH</v>
      </c>
      <c r="J2586" s="6" t="str">
        <f>IFERROR(__xludf.DUMMYFUNCTION("""COMPUTED_VALUE"""),"Capping")</f>
        <v>Capping</v>
      </c>
      <c r="K2586" s="6" t="str">
        <f>IFERROR(__xludf.DUMMYFUNCTION("""COMPUTED_VALUE"""),"SPR/25/10/025")</f>
        <v>SPR/25/10/025</v>
      </c>
      <c r="L2586" s="13">
        <f>IFERROR(__xludf.DUMMYFUNCTION("""COMPUTED_VALUE"""),45955.0)</f>
        <v>45955</v>
      </c>
    </row>
    <row r="2587">
      <c r="A2587" s="6" t="str">
        <f>IFERROR(__xludf.DUMMYFUNCTION("""COMPUTED_VALUE"""),"SFH")</f>
        <v>SFH</v>
      </c>
      <c r="B2587" s="6" t="str">
        <f>IFERROR(__xludf.DUMMYFUNCTION("""COMPUTED_VALUE"""),"ENG")</f>
        <v>ENG</v>
      </c>
      <c r="C2587" s="6" t="str">
        <f>IFERROR(__xludf.DUMMYFUNCTION("""COMPUTED_VALUE"""),"Q-50013-00")</f>
        <v>Q-50013-00</v>
      </c>
      <c r="D2587" s="6" t="str">
        <f>IFERROR(__xludf.DUMMYFUNCTION("""COMPUTED_VALUE"""),"Frame or Perimeter Seal RP48 White; Raven; R48W6; 6 meter/pck")</f>
        <v>Frame or Perimeter Seal RP48 White; Raven; R48W6; 6 meter/pck</v>
      </c>
      <c r="E2587" s="6">
        <f>IFERROR(__xludf.DUMMYFUNCTION("""COMPUTED_VALUE"""),1.0)</f>
        <v>1</v>
      </c>
      <c r="F2587" s="6">
        <f>IFERROR(__xludf.DUMMYFUNCTION("""COMPUTED_VALUE"""),1.0)</f>
        <v>1</v>
      </c>
      <c r="G2587" s="6">
        <f>IFERROR(__xludf.DUMMYFUNCTION("""COMPUTED_VALUE"""),0.0)</f>
        <v>0</v>
      </c>
      <c r="H2587" s="6" t="str">
        <f>IFERROR(__xludf.DUMMYFUNCTION("""COMPUTED_VALUE"""),"Pcs")</f>
        <v>Pcs</v>
      </c>
      <c r="I2587" s="6" t="str">
        <f>IFERROR(__xludf.DUMMYFUNCTION("""COMPUTED_VALUE"""),"MFH")</f>
        <v>MFH</v>
      </c>
      <c r="J2587" s="6" t="str">
        <f>IFERROR(__xludf.DUMMYFUNCTION("""COMPUTED_VALUE"""),"Building")</f>
        <v>Building</v>
      </c>
      <c r="K2587" s="6" t="str">
        <f>IFERROR(__xludf.DUMMYFUNCTION("""COMPUTED_VALUE"""),"SPR/25/10/026")</f>
        <v>SPR/25/10/026</v>
      </c>
      <c r="L2587" s="13">
        <f>IFERROR(__xludf.DUMMYFUNCTION("""COMPUTED_VALUE"""),45961.0)</f>
        <v>45961</v>
      </c>
    </row>
    <row r="2588">
      <c r="A2588" s="6" t="str">
        <f>IFERROR(__xludf.DUMMYFUNCTION("""COMPUTED_VALUE"""),"SFH")</f>
        <v>SFH</v>
      </c>
      <c r="B2588" s="6" t="str">
        <f>IFERROR(__xludf.DUMMYFUNCTION("""COMPUTED_VALUE"""),"ENG")</f>
        <v>ENG</v>
      </c>
      <c r="C2588" s="6" t="str">
        <f>IFERROR(__xludf.DUMMYFUNCTION("""COMPUTED_VALUE"""),"-")</f>
        <v>-</v>
      </c>
      <c r="D2588" s="6" t="str">
        <f>IFERROR(__xludf.DUMMYFUNCTION("""COMPUTED_VALUE"""),"Duct Tape")</f>
        <v>Duct Tape</v>
      </c>
      <c r="E2588" s="6">
        <f>IFERROR(__xludf.DUMMYFUNCTION("""COMPUTED_VALUE"""),1.0)</f>
        <v>1</v>
      </c>
      <c r="F2588" s="6">
        <f>IFERROR(__xludf.DUMMYFUNCTION("""COMPUTED_VALUE"""),1.0)</f>
        <v>1</v>
      </c>
      <c r="G2588" s="6">
        <f>IFERROR(__xludf.DUMMYFUNCTION("""COMPUTED_VALUE"""),0.0)</f>
        <v>0</v>
      </c>
      <c r="H2588" s="6" t="str">
        <f>IFERROR(__xludf.DUMMYFUNCTION("""COMPUTED_VALUE"""),"Pcs")</f>
        <v>Pcs</v>
      </c>
      <c r="I2588" s="6" t="str">
        <f>IFERROR(__xludf.DUMMYFUNCTION("""COMPUTED_VALUE"""),"MFH")</f>
        <v>MFH</v>
      </c>
      <c r="J2588" s="6" t="str">
        <f>IFERROR(__xludf.DUMMYFUNCTION("""COMPUTED_VALUE"""),"Building")</f>
        <v>Building</v>
      </c>
      <c r="K2588" s="6" t="str">
        <f>IFERROR(__xludf.DUMMYFUNCTION("""COMPUTED_VALUE"""),"SPR/25/10/026")</f>
        <v>SPR/25/10/026</v>
      </c>
      <c r="L2588" s="13">
        <f>IFERROR(__xludf.DUMMYFUNCTION("""COMPUTED_VALUE"""),45961.0)</f>
        <v>45961</v>
      </c>
    </row>
    <row r="2589">
      <c r="A2589" s="6" t="str">
        <f>IFERROR(__xludf.DUMMYFUNCTION("""COMPUTED_VALUE"""),"SFH")</f>
        <v>SFH</v>
      </c>
      <c r="B2589" s="6" t="str">
        <f>IFERROR(__xludf.DUMMYFUNCTION("""COMPUTED_VALUE"""),"ENG")</f>
        <v>ENG</v>
      </c>
      <c r="C2589" s="6" t="str">
        <f>IFERROR(__xludf.DUMMYFUNCTION("""COMPUTED_VALUE"""),"Q-12060-00")</f>
        <v>Q-12060-00</v>
      </c>
      <c r="D2589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589" s="6">
        <f>IFERROR(__xludf.DUMMYFUNCTION("""COMPUTED_VALUE"""),11.0)</f>
        <v>11</v>
      </c>
      <c r="F2589" s="6">
        <f>IFERROR(__xludf.DUMMYFUNCTION("""COMPUTED_VALUE"""),11.0)</f>
        <v>11</v>
      </c>
      <c r="G2589" s="6">
        <f>IFERROR(__xludf.DUMMYFUNCTION("""COMPUTED_VALUE"""),0.0)</f>
        <v>0</v>
      </c>
      <c r="H2589" s="6" t="str">
        <f>IFERROR(__xludf.DUMMYFUNCTION("""COMPUTED_VALUE"""),"Pcs")</f>
        <v>Pcs</v>
      </c>
      <c r="I2589" s="6" t="str">
        <f>IFERROR(__xludf.DUMMYFUNCTION("""COMPUTED_VALUE"""),"MFH")</f>
        <v>MFH</v>
      </c>
      <c r="J2589" s="6" t="str">
        <f>IFERROR(__xludf.DUMMYFUNCTION("""COMPUTED_VALUE"""),"Building")</f>
        <v>Building</v>
      </c>
      <c r="K2589" s="6" t="str">
        <f>IFERROR(__xludf.DUMMYFUNCTION("""COMPUTED_VALUE"""),"SPR/25/10/027")</f>
        <v>SPR/25/10/027</v>
      </c>
      <c r="L2589" s="13">
        <f>IFERROR(__xludf.DUMMYFUNCTION("""COMPUTED_VALUE"""),45961.0)</f>
        <v>45961</v>
      </c>
    </row>
    <row r="2590">
      <c r="A2590" s="6" t="str">
        <f>IFERROR(__xludf.DUMMYFUNCTION("""COMPUTED_VALUE"""),"SFH")</f>
        <v>SFH</v>
      </c>
      <c r="B2590" s="6" t="str">
        <f>IFERROR(__xludf.DUMMYFUNCTION("""COMPUTED_VALUE"""),"ENG")</f>
        <v>ENG</v>
      </c>
      <c r="C2590" s="6" t="str">
        <f>IFERROR(__xludf.DUMMYFUNCTION("""COMPUTED_VALUE"""),"Q-60501-00")</f>
        <v>Q-60501-00</v>
      </c>
      <c r="D2590" s="6" t="str">
        <f>IFERROR(__xludf.DUMMYFUNCTION("""COMPUTED_VALUE"""),"Silicone Sealant, Silglaze, Type N10 Clear, pack size per pcs")</f>
        <v>Silicone Sealant, Silglaze, Type N10 Clear, pack size per pcs</v>
      </c>
      <c r="E2590" s="6">
        <f>IFERROR(__xludf.DUMMYFUNCTION("""COMPUTED_VALUE"""),6.0)</f>
        <v>6</v>
      </c>
      <c r="F2590" s="6">
        <f>IFERROR(__xludf.DUMMYFUNCTION("""COMPUTED_VALUE"""),6.0)</f>
        <v>6</v>
      </c>
      <c r="G2590" s="6">
        <f>IFERROR(__xludf.DUMMYFUNCTION("""COMPUTED_VALUE"""),0.0)</f>
        <v>0</v>
      </c>
      <c r="H2590" s="6" t="str">
        <f>IFERROR(__xludf.DUMMYFUNCTION("""COMPUTED_VALUE"""),"Pcs")</f>
        <v>Pcs</v>
      </c>
      <c r="I2590" s="6" t="str">
        <f>IFERROR(__xludf.DUMMYFUNCTION("""COMPUTED_VALUE"""),"MFH")</f>
        <v>MFH</v>
      </c>
      <c r="J2590" s="6" t="str">
        <f>IFERROR(__xludf.DUMMYFUNCTION("""COMPUTED_VALUE"""),"Building")</f>
        <v>Building</v>
      </c>
      <c r="K2590" s="6" t="str">
        <f>IFERROR(__xludf.DUMMYFUNCTION("""COMPUTED_VALUE"""),"SPR/25/10/027")</f>
        <v>SPR/25/10/027</v>
      </c>
      <c r="L2590" s="13">
        <f>IFERROR(__xludf.DUMMYFUNCTION("""COMPUTED_VALUE"""),45961.0)</f>
        <v>45961</v>
      </c>
    </row>
    <row r="2591">
      <c r="A2591" s="6" t="str">
        <f>IFERROR(__xludf.DUMMYFUNCTION("""COMPUTED_VALUE"""),"MRN")</f>
        <v>MRN</v>
      </c>
      <c r="B2591" s="6" t="str">
        <f>IFERROR(__xludf.DUMMYFUNCTION("""COMPUTED_VALUE"""),"ENG")</f>
        <v>ENG</v>
      </c>
      <c r="C2591" s="6" t="str">
        <f>IFERROR(__xludf.DUMMYFUNCTION("""COMPUTED_VALUE"""),"P-19879-00")</f>
        <v>P-19879-00</v>
      </c>
      <c r="D2591" s="6" t="str">
        <f>IFERROR(__xludf.DUMMYFUNCTION("""COMPUTED_VALUE"""),"General - Clamp Pipa Gantung 2,5inch; No Brand; -; 1 pc")</f>
        <v>General - Clamp Pipa Gantung 2,5inch; No Brand; -; 1 pc</v>
      </c>
      <c r="E2591" s="6">
        <f>IFERROR(__xludf.DUMMYFUNCTION("""COMPUTED_VALUE"""),3.0)</f>
        <v>3</v>
      </c>
      <c r="F2591" s="6">
        <f>IFERROR(__xludf.DUMMYFUNCTION("""COMPUTED_VALUE"""),3.0)</f>
        <v>3</v>
      </c>
      <c r="G2591" s="6">
        <f>IFERROR(__xludf.DUMMYFUNCTION("""COMPUTED_VALUE"""),0.0)</f>
        <v>0</v>
      </c>
      <c r="H2591" s="6" t="str">
        <f>IFERROR(__xludf.DUMMYFUNCTION("""COMPUTED_VALUE"""),"Pcs")</f>
        <v>Pcs</v>
      </c>
      <c r="I2591" s="6" t="str">
        <f>IFERROR(__xludf.DUMMYFUNCTION("""COMPUTED_VALUE"""),"MFH")</f>
        <v>MFH</v>
      </c>
      <c r="J2591" s="6" t="str">
        <f>IFERROR(__xludf.DUMMYFUNCTION("""COMPUTED_VALUE"""),"Building")</f>
        <v>Building</v>
      </c>
      <c r="K2591" s="6" t="str">
        <f>IFERROR(__xludf.DUMMYFUNCTION("""COMPUTED_VALUE"""),"SPR/25/10/028")</f>
        <v>SPR/25/10/028</v>
      </c>
      <c r="L2591" s="13">
        <f>IFERROR(__xludf.DUMMYFUNCTION("""COMPUTED_VALUE"""),45961.0)</f>
        <v>45961</v>
      </c>
    </row>
    <row r="2592">
      <c r="A2592" s="6" t="str">
        <f>IFERROR(__xludf.DUMMYFUNCTION("""COMPUTED_VALUE"""),"MRN")</f>
        <v>MRN</v>
      </c>
      <c r="B2592" s="6" t="str">
        <f>IFERROR(__xludf.DUMMYFUNCTION("""COMPUTED_VALUE"""),"ENG")</f>
        <v>ENG</v>
      </c>
      <c r="C2592" s="6" t="str">
        <f>IFERROR(__xludf.DUMMYFUNCTION("""COMPUTED_VALUE"""),"Q-60501-00")</f>
        <v>Q-60501-00</v>
      </c>
      <c r="D2592" s="6" t="str">
        <f>IFERROR(__xludf.DUMMYFUNCTION("""COMPUTED_VALUE"""),"Silicone Sealant, Silglaze, Type N10 Clear, pack size per pcs")</f>
        <v>Silicone Sealant, Silglaze, Type N10 Clear, pack size per pcs</v>
      </c>
      <c r="E2592" s="6">
        <f>IFERROR(__xludf.DUMMYFUNCTION("""COMPUTED_VALUE"""),7.0)</f>
        <v>7</v>
      </c>
      <c r="F2592" s="6">
        <f>IFERROR(__xludf.DUMMYFUNCTION("""COMPUTED_VALUE"""),7.0)</f>
        <v>7</v>
      </c>
      <c r="G2592" s="6">
        <f>IFERROR(__xludf.DUMMYFUNCTION("""COMPUTED_VALUE"""),0.0)</f>
        <v>0</v>
      </c>
      <c r="H2592" s="6" t="str">
        <f>IFERROR(__xludf.DUMMYFUNCTION("""COMPUTED_VALUE"""),"Pcs")</f>
        <v>Pcs</v>
      </c>
      <c r="I2592" s="6" t="str">
        <f>IFERROR(__xludf.DUMMYFUNCTION("""COMPUTED_VALUE"""),"MFH")</f>
        <v>MFH</v>
      </c>
      <c r="J2592" s="6" t="str">
        <f>IFERROR(__xludf.DUMMYFUNCTION("""COMPUTED_VALUE"""),"Building")</f>
        <v>Building</v>
      </c>
      <c r="K2592" s="6" t="str">
        <f>IFERROR(__xludf.DUMMYFUNCTION("""COMPUTED_VALUE"""),"SPR/25/10/029")</f>
        <v>SPR/25/10/029</v>
      </c>
      <c r="L2592" s="13">
        <f>IFERROR(__xludf.DUMMYFUNCTION("""COMPUTED_VALUE"""),45955.0)</f>
        <v>45955</v>
      </c>
    </row>
    <row r="2593">
      <c r="A2593" s="6" t="str">
        <f>IFERROR(__xludf.DUMMYFUNCTION("""COMPUTED_VALUE"""),"MRN")</f>
        <v>MRN</v>
      </c>
      <c r="B2593" s="6" t="str">
        <f>IFERROR(__xludf.DUMMYFUNCTION("""COMPUTED_VALUE"""),"ENG")</f>
        <v>ENG</v>
      </c>
      <c r="C2593" s="6" t="str">
        <f>IFERROR(__xludf.DUMMYFUNCTION("""COMPUTED_VALUE"""),"Q-12060-00")</f>
        <v>Q-12060-00</v>
      </c>
      <c r="D2593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593" s="6">
        <f>IFERROR(__xludf.DUMMYFUNCTION("""COMPUTED_VALUE"""),17.0)</f>
        <v>17</v>
      </c>
      <c r="F2593" s="6">
        <f>IFERROR(__xludf.DUMMYFUNCTION("""COMPUTED_VALUE"""),17.0)</f>
        <v>17</v>
      </c>
      <c r="G2593" s="6">
        <f>IFERROR(__xludf.DUMMYFUNCTION("""COMPUTED_VALUE"""),0.0)</f>
        <v>0</v>
      </c>
      <c r="H2593" s="6" t="str">
        <f>IFERROR(__xludf.DUMMYFUNCTION("""COMPUTED_VALUE"""),"Pcs")</f>
        <v>Pcs</v>
      </c>
      <c r="I2593" s="6" t="str">
        <f>IFERROR(__xludf.DUMMYFUNCTION("""COMPUTED_VALUE"""),"MFH")</f>
        <v>MFH</v>
      </c>
      <c r="J2593" s="6" t="str">
        <f>IFERROR(__xludf.DUMMYFUNCTION("""COMPUTED_VALUE"""),"Building")</f>
        <v>Building</v>
      </c>
      <c r="K2593" s="6" t="str">
        <f>IFERROR(__xludf.DUMMYFUNCTION("""COMPUTED_VALUE"""),"SPR/25/10/029")</f>
        <v>SPR/25/10/029</v>
      </c>
      <c r="L2593" s="13">
        <f>IFERROR(__xludf.DUMMYFUNCTION("""COMPUTED_VALUE"""),45955.0)</f>
        <v>45955</v>
      </c>
    </row>
    <row r="2594">
      <c r="A2594" s="6" t="str">
        <f>IFERROR(__xludf.DUMMYFUNCTION("""COMPUTED_VALUE"""),"MRN")</f>
        <v>MRN</v>
      </c>
      <c r="B2594" s="6" t="str">
        <f>IFERROR(__xludf.DUMMYFUNCTION("""COMPUTED_VALUE"""),"ENG")</f>
        <v>ENG</v>
      </c>
      <c r="C2594" s="6" t="str">
        <f>IFERROR(__xludf.DUMMYFUNCTION("""COMPUTED_VALUE"""),"T-80047-00")</f>
        <v>T-80047-00</v>
      </c>
      <c r="D2594" s="6" t="str">
        <f>IFERROR(__xludf.DUMMYFUNCTION("""COMPUTED_VALUE"""),"Baterai AAA; Alkaline; Isi 6pc/pck")</f>
        <v>Baterai AAA; Alkaline; Isi 6pc/pck</v>
      </c>
      <c r="E2594" s="6">
        <f>IFERROR(__xludf.DUMMYFUNCTION("""COMPUTED_VALUE"""),1.0)</f>
        <v>1</v>
      </c>
      <c r="F2594" s="6">
        <f>IFERROR(__xludf.DUMMYFUNCTION("""COMPUTED_VALUE"""),1.0)</f>
        <v>1</v>
      </c>
      <c r="G2594" s="6">
        <f>IFERROR(__xludf.DUMMYFUNCTION("""COMPUTED_VALUE"""),0.0)</f>
        <v>0</v>
      </c>
      <c r="H2594" s="6" t="str">
        <f>IFERROR(__xludf.DUMMYFUNCTION("""COMPUTED_VALUE"""),"Pcs")</f>
        <v>Pcs</v>
      </c>
      <c r="I2594" s="6" t="str">
        <f>IFERROR(__xludf.DUMMYFUNCTION("""COMPUTED_VALUE"""),"MFH")</f>
        <v>MFH</v>
      </c>
      <c r="J2594" s="6" t="str">
        <f>IFERROR(__xludf.DUMMYFUNCTION("""COMPUTED_VALUE"""),"Building")</f>
        <v>Building</v>
      </c>
      <c r="K2594" s="6" t="str">
        <f>IFERROR(__xludf.DUMMYFUNCTION("""COMPUTED_VALUE"""),"SPR/25/10/029")</f>
        <v>SPR/25/10/029</v>
      </c>
      <c r="L2594" s="13">
        <f>IFERROR(__xludf.DUMMYFUNCTION("""COMPUTED_VALUE"""),45961.0)</f>
        <v>45961</v>
      </c>
    </row>
    <row r="2595">
      <c r="A2595" s="6" t="str">
        <f>IFERROR(__xludf.DUMMYFUNCTION("""COMPUTED_VALUE"""),"ROS")</f>
        <v>ROS</v>
      </c>
      <c r="B2595" s="6" t="str">
        <f>IFERROR(__xludf.DUMMYFUNCTION("""COMPUTED_VALUE"""),"ENG")</f>
        <v>ENG</v>
      </c>
      <c r="C2595" s="6" t="str">
        <f>IFERROR(__xludf.DUMMYFUNCTION("""COMPUTED_VALUE"""),"T-80109-00")</f>
        <v>T-80109-00</v>
      </c>
      <c r="D2595" s="6" t="str">
        <f>IFERROR(__xludf.DUMMYFUNCTION("""COMPUTED_VALUE"""),"Cellotape / Lakban Kertas 1 inch warna Putih ; No Brand ; pack size per pcs")</f>
        <v>Cellotape / Lakban Kertas 1 inch warna Putih ; No Brand ; pack size per pcs</v>
      </c>
      <c r="E2595" s="6">
        <f>IFERROR(__xludf.DUMMYFUNCTION("""COMPUTED_VALUE"""),1.0)</f>
        <v>1</v>
      </c>
      <c r="F2595" s="6">
        <f>IFERROR(__xludf.DUMMYFUNCTION("""COMPUTED_VALUE"""),1.0)</f>
        <v>1</v>
      </c>
      <c r="G2595" s="6">
        <f>IFERROR(__xludf.DUMMYFUNCTION("""COMPUTED_VALUE"""),0.0)</f>
        <v>0</v>
      </c>
      <c r="H2595" s="6" t="str">
        <f>IFERROR(__xludf.DUMMYFUNCTION("""COMPUTED_VALUE"""),"Pcs")</f>
        <v>Pcs</v>
      </c>
      <c r="I2595" s="6" t="str">
        <f>IFERROR(__xludf.DUMMYFUNCTION("""COMPUTED_VALUE"""),"MFH")</f>
        <v>MFH</v>
      </c>
      <c r="J2595" s="6" t="str">
        <f>IFERROR(__xludf.DUMMYFUNCTION("""COMPUTED_VALUE"""),"Furnice")</f>
        <v>Furnice</v>
      </c>
      <c r="K2595" s="6" t="str">
        <f>IFERROR(__xludf.DUMMYFUNCTION("""COMPUTED_VALUE"""),"SPR/25/10/030")</f>
        <v>SPR/25/10/030</v>
      </c>
      <c r="L2595" s="13">
        <f>IFERROR(__xludf.DUMMYFUNCTION("""COMPUTED_VALUE"""),45961.0)</f>
        <v>45961</v>
      </c>
    </row>
    <row r="2596">
      <c r="A2596" s="6" t="str">
        <f>IFERROR(__xludf.DUMMYFUNCTION("""COMPUTED_VALUE"""),"MRN")</f>
        <v>MRN</v>
      </c>
      <c r="B2596" s="6" t="str">
        <f>IFERROR(__xludf.DUMMYFUNCTION("""COMPUTED_VALUE"""),"ENG")</f>
        <v>ENG</v>
      </c>
      <c r="C2596" s="6" t="str">
        <f>IFERROR(__xludf.DUMMYFUNCTION("""COMPUTED_VALUE"""),"P-19693-00")</f>
        <v>P-19693-00</v>
      </c>
      <c r="D2596" s="6" t="str">
        <f>IFERROR(__xludf.DUMMYFUNCTION("""COMPUTED_VALUE"""),"General - Lem Adhesive; Superlon; -; 1kg/can")</f>
        <v>General - Lem Adhesive; Superlon; -; 1kg/can</v>
      </c>
      <c r="E2596" s="6">
        <f>IFERROR(__xludf.DUMMYFUNCTION("""COMPUTED_VALUE"""),2.0)</f>
        <v>2</v>
      </c>
      <c r="F2596" s="6">
        <f>IFERROR(__xludf.DUMMYFUNCTION("""COMPUTED_VALUE"""),2.0)</f>
        <v>2</v>
      </c>
      <c r="G2596" s="6">
        <f>IFERROR(__xludf.DUMMYFUNCTION("""COMPUTED_VALUE"""),0.0)</f>
        <v>0</v>
      </c>
      <c r="H2596" s="6" t="str">
        <f>IFERROR(__xludf.DUMMYFUNCTION("""COMPUTED_VALUE"""),"Pcs")</f>
        <v>Pcs</v>
      </c>
      <c r="I2596" s="6" t="str">
        <f>IFERROR(__xludf.DUMMYFUNCTION("""COMPUTED_VALUE"""),"MFH")</f>
        <v>MFH</v>
      </c>
      <c r="J2596" s="6" t="str">
        <f>IFERROR(__xludf.DUMMYFUNCTION("""COMPUTED_VALUE"""),"Building")</f>
        <v>Building</v>
      </c>
      <c r="K2596" s="6" t="str">
        <f>IFERROR(__xludf.DUMMYFUNCTION("""COMPUTED_VALUE"""),"SPR/25/10/031")</f>
        <v>SPR/25/10/031</v>
      </c>
      <c r="L2596" s="13">
        <f>IFERROR(__xludf.DUMMYFUNCTION("""COMPUTED_VALUE"""),45955.0)</f>
        <v>45955</v>
      </c>
    </row>
    <row r="2597">
      <c r="A2597" s="6" t="str">
        <f>IFERROR(__xludf.DUMMYFUNCTION("""COMPUTED_VALUE"""),"MRN")</f>
        <v>MRN</v>
      </c>
      <c r="B2597" s="6" t="str">
        <f>IFERROR(__xludf.DUMMYFUNCTION("""COMPUTED_VALUE"""),"ENG")</f>
        <v>ENG</v>
      </c>
      <c r="C2597" s="6" t="str">
        <f>IFERROR(__xludf.DUMMYFUNCTION("""COMPUTED_VALUE"""),"P-51560-00")</f>
        <v>P-51560-00</v>
      </c>
      <c r="D2597" s="6" t="str">
        <f>IFERROR(__xludf.DUMMYFUNCTION("""COMPUTED_VALUE"""),"General - Lampu TL T5 28W White; Philips; -; 1 unt")</f>
        <v>General - Lampu TL T5 28W White; Philips; -; 1 unt</v>
      </c>
      <c r="E2597" s="6">
        <f>IFERROR(__xludf.DUMMYFUNCTION("""COMPUTED_VALUE"""),6.0)</f>
        <v>6</v>
      </c>
      <c r="F2597" s="6">
        <f>IFERROR(__xludf.DUMMYFUNCTION("""COMPUTED_VALUE"""),6.0)</f>
        <v>6</v>
      </c>
      <c r="G2597" s="6">
        <f>IFERROR(__xludf.DUMMYFUNCTION("""COMPUTED_VALUE"""),0.0)</f>
        <v>0</v>
      </c>
      <c r="H2597" s="6" t="str">
        <f>IFERROR(__xludf.DUMMYFUNCTION("""COMPUTED_VALUE"""),"Pcs")</f>
        <v>Pcs</v>
      </c>
      <c r="I2597" s="6" t="str">
        <f>IFERROR(__xludf.DUMMYFUNCTION("""COMPUTED_VALUE"""),"MFH")</f>
        <v>MFH</v>
      </c>
      <c r="J2597" s="6" t="str">
        <f>IFERROR(__xludf.DUMMYFUNCTION("""COMPUTED_VALUE"""),"Building")</f>
        <v>Building</v>
      </c>
      <c r="K2597" s="6" t="str">
        <f>IFERROR(__xludf.DUMMYFUNCTION("""COMPUTED_VALUE"""),"SPR/25/10/031")</f>
        <v>SPR/25/10/031</v>
      </c>
      <c r="L2597" s="13">
        <f>IFERROR(__xludf.DUMMYFUNCTION("""COMPUTED_VALUE"""),45955.0)</f>
        <v>45955</v>
      </c>
    </row>
    <row r="2598">
      <c r="A2598" s="6" t="str">
        <f>IFERROR(__xludf.DUMMYFUNCTION("""COMPUTED_VALUE"""),"MRN")</f>
        <v>MRN</v>
      </c>
      <c r="B2598" s="6" t="str">
        <f>IFERROR(__xludf.DUMMYFUNCTION("""COMPUTED_VALUE"""),"ENG")</f>
        <v>ENG</v>
      </c>
      <c r="C2598" s="6" t="str">
        <f>IFERROR(__xludf.DUMMYFUNCTION("""COMPUTED_VALUE"""),"O-15489-00")</f>
        <v>O-15489-00</v>
      </c>
      <c r="D2598" s="6" t="str">
        <f>IFERROR(__xludf.DUMMYFUNCTION("""COMPUTED_VALUE"""),"SPA 1120 Brand : Optibelt / Bando Merah; Optibelt; ;")</f>
        <v>SPA 1120 Brand : Optibelt / Bando Merah; Optibelt; ;</v>
      </c>
      <c r="E2598" s="6">
        <f>IFERROR(__xludf.DUMMYFUNCTION("""COMPUTED_VALUE"""),1.0)</f>
        <v>1</v>
      </c>
      <c r="F2598" s="6">
        <f>IFERROR(__xludf.DUMMYFUNCTION("""COMPUTED_VALUE"""),1.0)</f>
        <v>1</v>
      </c>
      <c r="G2598" s="6">
        <f>IFERROR(__xludf.DUMMYFUNCTION("""COMPUTED_VALUE"""),0.0)</f>
        <v>0</v>
      </c>
      <c r="H2598" s="6" t="str">
        <f>IFERROR(__xludf.DUMMYFUNCTION("""COMPUTED_VALUE"""),"Pcs")</f>
        <v>Pcs</v>
      </c>
      <c r="I2598" s="6" t="str">
        <f>IFERROR(__xludf.DUMMYFUNCTION("""COMPUTED_VALUE"""),"MFH")</f>
        <v>MFH</v>
      </c>
      <c r="J2598" s="6" t="str">
        <f>IFERROR(__xludf.DUMMYFUNCTION("""COMPUTED_VALUE"""),"Building")</f>
        <v>Building</v>
      </c>
      <c r="K2598" s="6" t="str">
        <f>IFERROR(__xludf.DUMMYFUNCTION("""COMPUTED_VALUE"""),"SPR/25/10/031")</f>
        <v>SPR/25/10/031</v>
      </c>
      <c r="L2598" s="13">
        <f>IFERROR(__xludf.DUMMYFUNCTION("""COMPUTED_VALUE"""),45955.0)</f>
        <v>45955</v>
      </c>
    </row>
    <row r="2599">
      <c r="A2599" s="6" t="str">
        <f>IFERROR(__xludf.DUMMYFUNCTION("""COMPUTED_VALUE"""),"MRN")</f>
        <v>MRN</v>
      </c>
      <c r="B2599" s="6" t="str">
        <f>IFERROR(__xludf.DUMMYFUNCTION("""COMPUTED_VALUE"""),"ENG")</f>
        <v>ENG</v>
      </c>
      <c r="C2599" s="6" t="str">
        <f>IFERROR(__xludf.DUMMYFUNCTION("""COMPUTED_VALUE"""),"Q-60501-00")</f>
        <v>Q-60501-00</v>
      </c>
      <c r="D2599" s="6" t="str">
        <f>IFERROR(__xludf.DUMMYFUNCTION("""COMPUTED_VALUE"""),"Silicone Sealant, Silglaze, Type N10 Clear, pack size per pcs")</f>
        <v>Silicone Sealant, Silglaze, Type N10 Clear, pack size per pcs</v>
      </c>
      <c r="E2599" s="6">
        <f>IFERROR(__xludf.DUMMYFUNCTION("""COMPUTED_VALUE"""),2.0)</f>
        <v>2</v>
      </c>
      <c r="F2599" s="6">
        <f>IFERROR(__xludf.DUMMYFUNCTION("""COMPUTED_VALUE"""),2.0)</f>
        <v>2</v>
      </c>
      <c r="G2599" s="6">
        <f>IFERROR(__xludf.DUMMYFUNCTION("""COMPUTED_VALUE"""),0.0)</f>
        <v>0</v>
      </c>
      <c r="H2599" s="6" t="str">
        <f>IFERROR(__xludf.DUMMYFUNCTION("""COMPUTED_VALUE"""),"Pcs")</f>
        <v>Pcs</v>
      </c>
      <c r="I2599" s="6" t="str">
        <f>IFERROR(__xludf.DUMMYFUNCTION("""COMPUTED_VALUE"""),"MFH")</f>
        <v>MFH</v>
      </c>
      <c r="J2599" s="6" t="str">
        <f>IFERROR(__xludf.DUMMYFUNCTION("""COMPUTED_VALUE"""),"-")</f>
        <v>-</v>
      </c>
      <c r="K2599" s="6" t="str">
        <f>IFERROR(__xludf.DUMMYFUNCTION("""COMPUTED_VALUE"""),"SPR/25/10/032")</f>
        <v>SPR/25/10/032</v>
      </c>
      <c r="L2599" s="13">
        <f>IFERROR(__xludf.DUMMYFUNCTION("""COMPUTED_VALUE"""),45961.0)</f>
        <v>45961</v>
      </c>
    </row>
    <row r="2600">
      <c r="A2600" s="6" t="str">
        <f>IFERROR(__xludf.DUMMYFUNCTION("""COMPUTED_VALUE"""),"NDS")</f>
        <v>NDS</v>
      </c>
      <c r="B2600" s="6" t="str">
        <f>IFERROR(__xludf.DUMMYFUNCTION("""COMPUTED_VALUE"""),"ENG")</f>
        <v>ENG</v>
      </c>
      <c r="C2600" s="6" t="str">
        <f>IFERROR(__xludf.DUMMYFUNCTION("""COMPUTED_VALUE"""),"T-20123-00")</f>
        <v>T-20123-00</v>
      </c>
      <c r="D2600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600" s="6">
        <f>IFERROR(__xludf.DUMMYFUNCTION("""COMPUTED_VALUE"""),2.0)</f>
        <v>2</v>
      </c>
      <c r="F2600" s="6">
        <f>IFERROR(__xludf.DUMMYFUNCTION("""COMPUTED_VALUE"""),2.0)</f>
        <v>2</v>
      </c>
      <c r="G2600" s="6">
        <f>IFERROR(__xludf.DUMMYFUNCTION("""COMPUTED_VALUE"""),0.0)</f>
        <v>0</v>
      </c>
      <c r="H2600" s="6" t="str">
        <f>IFERROR(__xludf.DUMMYFUNCTION("""COMPUTED_VALUE"""),"Pcs")</f>
        <v>Pcs</v>
      </c>
      <c r="I2600" s="6" t="str">
        <f>IFERROR(__xludf.DUMMYFUNCTION("""COMPUTED_VALUE"""),"MFH")</f>
        <v>MFH</v>
      </c>
      <c r="J2600" s="6" t="str">
        <f>IFERROR(__xludf.DUMMYFUNCTION("""COMPUTED_VALUE"""),"HPLC")</f>
        <v>HPLC</v>
      </c>
      <c r="K2600" s="6" t="str">
        <f>IFERROR(__xludf.DUMMYFUNCTION("""COMPUTED_VALUE"""),"SPR/25/10/033")</f>
        <v>SPR/25/10/033</v>
      </c>
      <c r="L2600" s="13">
        <f>IFERROR(__xludf.DUMMYFUNCTION("""COMPUTED_VALUE"""),45961.0)</f>
        <v>45961</v>
      </c>
    </row>
    <row r="2601">
      <c r="A2601" s="6" t="str">
        <f>IFERROR(__xludf.DUMMYFUNCTION("""COMPUTED_VALUE"""),"SFH")</f>
        <v>SFH</v>
      </c>
      <c r="B2601" s="6" t="str">
        <f>IFERROR(__xludf.DUMMYFUNCTION("""COMPUTED_VALUE"""),"ENG")</f>
        <v>ENG</v>
      </c>
      <c r="C2601" s="6" t="str">
        <f>IFERROR(__xludf.DUMMYFUNCTION("""COMPUTED_VALUE"""),"Q-12060-00")</f>
        <v>Q-12060-00</v>
      </c>
      <c r="D2601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601" s="6">
        <f>IFERROR(__xludf.DUMMYFUNCTION("""COMPUTED_VALUE"""),11.0)</f>
        <v>11</v>
      </c>
      <c r="F2601" s="6">
        <f>IFERROR(__xludf.DUMMYFUNCTION("""COMPUTED_VALUE"""),11.0)</f>
        <v>11</v>
      </c>
      <c r="G2601" s="6">
        <f>IFERROR(__xludf.DUMMYFUNCTION("""COMPUTED_VALUE"""),0.0)</f>
        <v>0</v>
      </c>
      <c r="H2601" s="6" t="str">
        <f>IFERROR(__xludf.DUMMYFUNCTION("""COMPUTED_VALUE"""),"Pcs")</f>
        <v>Pcs</v>
      </c>
      <c r="I2601" s="6" t="str">
        <f>IFERROR(__xludf.DUMMYFUNCTION("""COMPUTED_VALUE"""),"MFH")</f>
        <v>MFH</v>
      </c>
      <c r="J2601" s="6" t="str">
        <f>IFERROR(__xludf.DUMMYFUNCTION("""COMPUTED_VALUE"""),"Building")</f>
        <v>Building</v>
      </c>
      <c r="K2601" s="6" t="str">
        <f>IFERROR(__xludf.DUMMYFUNCTION("""COMPUTED_VALUE"""),"SPR/25/10/034")</f>
        <v>SPR/25/10/034</v>
      </c>
      <c r="L2601" s="13">
        <f>IFERROR(__xludf.DUMMYFUNCTION("""COMPUTED_VALUE"""),45955.0)</f>
        <v>45955</v>
      </c>
    </row>
    <row r="2602">
      <c r="A2602" s="6" t="str">
        <f>IFERROR(__xludf.DUMMYFUNCTION("""COMPUTED_VALUE"""),"SFH")</f>
        <v>SFH</v>
      </c>
      <c r="B2602" s="6" t="str">
        <f>IFERROR(__xludf.DUMMYFUNCTION("""COMPUTED_VALUE"""),"ENG")</f>
        <v>ENG</v>
      </c>
      <c r="C2602" s="6" t="str">
        <f>IFERROR(__xludf.DUMMYFUNCTION("""COMPUTED_VALUE"""),"Q-60501-00")</f>
        <v>Q-60501-00</v>
      </c>
      <c r="D2602" s="6" t="str">
        <f>IFERROR(__xludf.DUMMYFUNCTION("""COMPUTED_VALUE"""),"Silicone Sealant, Silglaze, Type N10 Clear, pack size per pcs")</f>
        <v>Silicone Sealant, Silglaze, Type N10 Clear, pack size per pcs</v>
      </c>
      <c r="E2602" s="6">
        <f>IFERROR(__xludf.DUMMYFUNCTION("""COMPUTED_VALUE"""),5.0)</f>
        <v>5</v>
      </c>
      <c r="F2602" s="6">
        <f>IFERROR(__xludf.DUMMYFUNCTION("""COMPUTED_VALUE"""),5.0)</f>
        <v>5</v>
      </c>
      <c r="G2602" s="6">
        <f>IFERROR(__xludf.DUMMYFUNCTION("""COMPUTED_VALUE"""),0.0)</f>
        <v>0</v>
      </c>
      <c r="H2602" s="6" t="str">
        <f>IFERROR(__xludf.DUMMYFUNCTION("""COMPUTED_VALUE"""),"Pcs")</f>
        <v>Pcs</v>
      </c>
      <c r="I2602" s="6" t="str">
        <f>IFERROR(__xludf.DUMMYFUNCTION("""COMPUTED_VALUE"""),"MFH")</f>
        <v>MFH</v>
      </c>
      <c r="J2602" s="6" t="str">
        <f>IFERROR(__xludf.DUMMYFUNCTION("""COMPUTED_VALUE"""),"Building")</f>
        <v>Building</v>
      </c>
      <c r="K2602" s="6" t="str">
        <f>IFERROR(__xludf.DUMMYFUNCTION("""COMPUTED_VALUE"""),"SPR/25/10/034")</f>
        <v>SPR/25/10/034</v>
      </c>
      <c r="L2602" s="13">
        <f>IFERROR(__xludf.DUMMYFUNCTION("""COMPUTED_VALUE"""),45955.0)</f>
        <v>45955</v>
      </c>
    </row>
    <row r="2603">
      <c r="A2603" s="6" t="str">
        <f>IFERROR(__xludf.DUMMYFUNCTION("""COMPUTED_VALUE"""),"SFH")</f>
        <v>SFH</v>
      </c>
      <c r="B2603" s="6" t="str">
        <f>IFERROR(__xludf.DUMMYFUNCTION("""COMPUTED_VALUE"""),"ENG")</f>
        <v>ENG</v>
      </c>
      <c r="C2603" s="6" t="str">
        <f>IFERROR(__xludf.DUMMYFUNCTION("""COMPUTED_VALUE"""),"T-80109-00")</f>
        <v>T-80109-00</v>
      </c>
      <c r="D2603" s="6" t="str">
        <f>IFERROR(__xludf.DUMMYFUNCTION("""COMPUTED_VALUE"""),"Cellotape / Lakban Kertas 1 inch warna Putih ; No Brand ; pack size per pcs")</f>
        <v>Cellotape / Lakban Kertas 1 inch warna Putih ; No Brand ; pack size per pcs</v>
      </c>
      <c r="E2603" s="6">
        <f>IFERROR(__xludf.DUMMYFUNCTION("""COMPUTED_VALUE"""),1.0)</f>
        <v>1</v>
      </c>
      <c r="F2603" s="6">
        <f>IFERROR(__xludf.DUMMYFUNCTION("""COMPUTED_VALUE"""),1.0)</f>
        <v>1</v>
      </c>
      <c r="G2603" s="6">
        <f>IFERROR(__xludf.DUMMYFUNCTION("""COMPUTED_VALUE"""),0.0)</f>
        <v>0</v>
      </c>
      <c r="H2603" s="6" t="str">
        <f>IFERROR(__xludf.DUMMYFUNCTION("""COMPUTED_VALUE"""),"Pcs")</f>
        <v>Pcs</v>
      </c>
      <c r="I2603" s="6" t="str">
        <f>IFERROR(__xludf.DUMMYFUNCTION("""COMPUTED_VALUE"""),"MFH")</f>
        <v>MFH</v>
      </c>
      <c r="J2603" s="6" t="str">
        <f>IFERROR(__xludf.DUMMYFUNCTION("""COMPUTED_VALUE"""),"Building")</f>
        <v>Building</v>
      </c>
      <c r="K2603" s="6" t="str">
        <f>IFERROR(__xludf.DUMMYFUNCTION("""COMPUTED_VALUE"""),"SPR/25/10/034")</f>
        <v>SPR/25/10/034</v>
      </c>
      <c r="L2603" s="13">
        <f>IFERROR(__xludf.DUMMYFUNCTION("""COMPUTED_VALUE"""),45961.0)</f>
        <v>45961</v>
      </c>
    </row>
    <row r="2604">
      <c r="A2604" s="6" t="str">
        <f>IFERROR(__xludf.DUMMYFUNCTION("""COMPUTED_VALUE"""),"ROS")</f>
        <v>ROS</v>
      </c>
      <c r="B2604" s="6" t="str">
        <f>IFERROR(__xludf.DUMMYFUNCTION("""COMPUTED_VALUE"""),"ENG")</f>
        <v>ENG</v>
      </c>
      <c r="C2604" s="6" t="str">
        <f>IFERROR(__xludf.DUMMYFUNCTION("""COMPUTED_VALUE"""),"O-16647-00")</f>
        <v>O-16647-00</v>
      </c>
      <c r="D2604" s="6" t="str">
        <f>IFERROR(__xludf.DUMMYFUNCTION("""COMPUTED_VALUE"""),"General - Oring Silicone Merah 23x18x2.5 mm; -; -; 1 Pc")</f>
        <v>General - Oring Silicone Merah 23x18x2.5 mm; -; -; 1 Pc</v>
      </c>
      <c r="E2604" s="6">
        <f>IFERROR(__xludf.DUMMYFUNCTION("""COMPUTED_VALUE"""),25.0)</f>
        <v>25</v>
      </c>
      <c r="F2604" s="6">
        <f>IFERROR(__xludf.DUMMYFUNCTION("""COMPUTED_VALUE"""),25.0)</f>
        <v>25</v>
      </c>
      <c r="G2604" s="6">
        <f>IFERROR(__xludf.DUMMYFUNCTION("""COMPUTED_VALUE"""),0.0)</f>
        <v>0</v>
      </c>
      <c r="H2604" s="6" t="str">
        <f>IFERROR(__xludf.DUMMYFUNCTION("""COMPUTED_VALUE"""),"Pcs")</f>
        <v>Pcs</v>
      </c>
      <c r="I2604" s="6" t="str">
        <f>IFERROR(__xludf.DUMMYFUNCTION("""COMPUTED_VALUE"""),"MFH")</f>
        <v>MFH</v>
      </c>
      <c r="J2604" s="6" t="str">
        <f>IFERROR(__xludf.DUMMYFUNCTION("""COMPUTED_VALUE"""),"Capping")</f>
        <v>Capping</v>
      </c>
      <c r="K2604" s="6" t="str">
        <f>IFERROR(__xludf.DUMMYFUNCTION("""COMPUTED_VALUE"""),"SPR/25/10/035")</f>
        <v>SPR/25/10/035</v>
      </c>
      <c r="L2604" s="13">
        <f>IFERROR(__xludf.DUMMYFUNCTION("""COMPUTED_VALUE"""),45955.0)</f>
        <v>45955</v>
      </c>
    </row>
    <row r="2605">
      <c r="A2605" s="6" t="str">
        <f>IFERROR(__xludf.DUMMYFUNCTION("""COMPUTED_VALUE"""),"NDS")</f>
        <v>NDS</v>
      </c>
      <c r="B2605" s="6" t="str">
        <f>IFERROR(__xludf.DUMMYFUNCTION("""COMPUTED_VALUE"""),"ENG")</f>
        <v>ENG</v>
      </c>
      <c r="C2605" s="6" t="str">
        <f>IFERROR(__xludf.DUMMYFUNCTION("""COMPUTED_VALUE"""),"O-16030-00")</f>
        <v>O-16030-00</v>
      </c>
      <c r="D2605" s="6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E2605" s="6">
        <f>IFERROR(__xludf.DUMMYFUNCTION("""COMPUTED_VALUE"""),1.0)</f>
        <v>1</v>
      </c>
      <c r="F2605" s="6">
        <f>IFERROR(__xludf.DUMMYFUNCTION("""COMPUTED_VALUE"""),1.0)</f>
        <v>1</v>
      </c>
      <c r="G2605" s="6">
        <f>IFERROR(__xludf.DUMMYFUNCTION("""COMPUTED_VALUE"""),0.0)</f>
        <v>0</v>
      </c>
      <c r="H2605" s="6" t="str">
        <f>IFERROR(__xludf.DUMMYFUNCTION("""COMPUTED_VALUE"""),"Pcs")</f>
        <v>Pcs</v>
      </c>
      <c r="I2605" s="6" t="str">
        <f>IFERROR(__xludf.DUMMYFUNCTION("""COMPUTED_VALUE"""),"MFH")</f>
        <v>MFH</v>
      </c>
      <c r="J2605" s="6" t="str">
        <f>IFERROR(__xludf.DUMMYFUNCTION("""COMPUTED_VALUE"""),"Compounding")</f>
        <v>Compounding</v>
      </c>
      <c r="K2605" s="6" t="str">
        <f>IFERROR(__xludf.DUMMYFUNCTION("""COMPUTED_VALUE"""),"SPR/25/10/036")</f>
        <v>SPR/25/10/036</v>
      </c>
      <c r="L2605" s="13">
        <f>IFERROR(__xludf.DUMMYFUNCTION("""COMPUTED_VALUE"""),45961.0)</f>
        <v>45961</v>
      </c>
    </row>
    <row r="2606">
      <c r="A2606" s="6" t="str">
        <f>IFERROR(__xludf.DUMMYFUNCTION("""COMPUTED_VALUE"""),"SFH")</f>
        <v>SFH</v>
      </c>
      <c r="B2606" s="6" t="str">
        <f>IFERROR(__xludf.DUMMYFUNCTION("""COMPUTED_VALUE"""),"ENG")</f>
        <v>ENG</v>
      </c>
      <c r="C2606" s="6" t="str">
        <f>IFERROR(__xludf.DUMMYFUNCTION("""COMPUTED_VALUE"""),"P-12305-00")</f>
        <v>P-12305-00</v>
      </c>
      <c r="D2606" s="6" t="str">
        <f>IFERROR(__xludf.DUMMYFUNCTION("""COMPUTED_VALUE"""),"FESTO - QST-6 Push in t-connection p/n 153129")</f>
        <v>FESTO - QST-6 Push in t-connection p/n 153129</v>
      </c>
      <c r="E2606" s="6">
        <f>IFERROR(__xludf.DUMMYFUNCTION("""COMPUTED_VALUE"""),8.0)</f>
        <v>8</v>
      </c>
      <c r="F2606" s="6">
        <f>IFERROR(__xludf.DUMMYFUNCTION("""COMPUTED_VALUE"""),8.0)</f>
        <v>8</v>
      </c>
      <c r="G2606" s="6">
        <f>IFERROR(__xludf.DUMMYFUNCTION("""COMPUTED_VALUE"""),0.0)</f>
        <v>0</v>
      </c>
      <c r="H2606" s="6" t="str">
        <f>IFERROR(__xludf.DUMMYFUNCTION("""COMPUTED_VALUE"""),"Pcs")</f>
        <v>Pcs</v>
      </c>
      <c r="I2606" s="6" t="str">
        <f>IFERROR(__xludf.DUMMYFUNCTION("""COMPUTED_VALUE"""),"MFH")</f>
        <v>MFH</v>
      </c>
      <c r="J2606" s="6" t="str">
        <f>IFERROR(__xludf.DUMMYFUNCTION("""COMPUTED_VALUE"""),"Building")</f>
        <v>Building</v>
      </c>
      <c r="K2606" s="6" t="str">
        <f>IFERROR(__xludf.DUMMYFUNCTION("""COMPUTED_VALUE"""),"SPR/25/10/037")</f>
        <v>SPR/25/10/037</v>
      </c>
      <c r="L2606" s="13">
        <f>IFERROR(__xludf.DUMMYFUNCTION("""COMPUTED_VALUE"""),45955.0)</f>
        <v>45955</v>
      </c>
    </row>
    <row r="2607">
      <c r="A2607" s="6" t="str">
        <f>IFERROR(__xludf.DUMMYFUNCTION("""COMPUTED_VALUE"""),"RAS")</f>
        <v>RAS</v>
      </c>
      <c r="B2607" s="6" t="str">
        <f>IFERROR(__xludf.DUMMYFUNCTION("""COMPUTED_VALUE"""),"PRO")</f>
        <v>PRO</v>
      </c>
      <c r="C2607" s="6" t="str">
        <f>IFERROR(__xludf.DUMMYFUNCTION("""COMPUTED_VALUE"""),"O-18055-00")</f>
        <v>O-18055-00</v>
      </c>
      <c r="D2607" s="6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E2607" s="6">
        <f>IFERROR(__xludf.DUMMYFUNCTION("""COMPUTED_VALUE"""),5.0)</f>
        <v>5</v>
      </c>
      <c r="F2607" s="6">
        <f>IFERROR(__xludf.DUMMYFUNCTION("""COMPUTED_VALUE"""),5.0)</f>
        <v>5</v>
      </c>
      <c r="G2607" s="6">
        <f>IFERROR(__xludf.DUMMYFUNCTION("""COMPUTED_VALUE"""),0.0)</f>
        <v>0</v>
      </c>
      <c r="H2607" s="6" t="str">
        <f>IFERROR(__xludf.DUMMYFUNCTION("""COMPUTED_VALUE"""),"Pcs")</f>
        <v>Pcs</v>
      </c>
      <c r="I2607" s="6" t="str">
        <f>IFERROR(__xludf.DUMMYFUNCTION("""COMPUTED_VALUE"""),"MFH")</f>
        <v>MFH</v>
      </c>
      <c r="J2607" s="6" t="str">
        <f>IFERROR(__xludf.DUMMYFUNCTION("""COMPUTED_VALUE"""),"Cartonning")</f>
        <v>Cartonning</v>
      </c>
      <c r="K2607" s="6" t="str">
        <f>IFERROR(__xludf.DUMMYFUNCTION("""COMPUTED_VALUE"""),"SPR/25/10/038")</f>
        <v>SPR/25/10/038</v>
      </c>
      <c r="L2607" s="13">
        <f>IFERROR(__xludf.DUMMYFUNCTION("""COMPUTED_VALUE"""),45955.0)</f>
        <v>45955</v>
      </c>
    </row>
    <row r="2608">
      <c r="A2608" s="6" t="str">
        <f>IFERROR(__xludf.DUMMYFUNCTION("""COMPUTED_VALUE"""),"ANO")</f>
        <v>ANO</v>
      </c>
      <c r="B2608" s="6" t="str">
        <f>IFERROR(__xludf.DUMMYFUNCTION("""COMPUTED_VALUE"""),"ENG")</f>
        <v>ENG</v>
      </c>
      <c r="C2608" s="6" t="str">
        <f>IFERROR(__xludf.DUMMYFUNCTION("""COMPUTED_VALUE"""),"Q-60501-00")</f>
        <v>Q-60501-00</v>
      </c>
      <c r="D2608" s="6" t="str">
        <f>IFERROR(__xludf.DUMMYFUNCTION("""COMPUTED_VALUE"""),"Silicone Sealant, Silglaze, Type N10 Clear, pack size per pcs")</f>
        <v>Silicone Sealant, Silglaze, Type N10 Clear, pack size per pcs</v>
      </c>
      <c r="E2608" s="6">
        <f>IFERROR(__xludf.DUMMYFUNCTION("""COMPUTED_VALUE"""),1.0)</f>
        <v>1</v>
      </c>
      <c r="F2608" s="6">
        <f>IFERROR(__xludf.DUMMYFUNCTION("""COMPUTED_VALUE"""),1.0)</f>
        <v>1</v>
      </c>
      <c r="G2608" s="6">
        <f>IFERROR(__xludf.DUMMYFUNCTION("""COMPUTED_VALUE"""),0.0)</f>
        <v>0</v>
      </c>
      <c r="H2608" s="6" t="str">
        <f>IFERROR(__xludf.DUMMYFUNCTION("""COMPUTED_VALUE"""),"Pcs")</f>
        <v>Pcs</v>
      </c>
      <c r="I2608" s="6" t="str">
        <f>IFERROR(__xludf.DUMMYFUNCTION("""COMPUTED_VALUE"""),"MFH")</f>
        <v>MFH</v>
      </c>
      <c r="J2608" s="6" t="str">
        <f>IFERROR(__xludf.DUMMYFUNCTION("""COMPUTED_VALUE"""),"Building")</f>
        <v>Building</v>
      </c>
      <c r="K2608" s="6" t="str">
        <f>IFERROR(__xludf.DUMMYFUNCTION("""COMPUTED_VALUE"""),"SPR/25/10/039")</f>
        <v>SPR/25/10/039</v>
      </c>
      <c r="L2608" s="13">
        <f>IFERROR(__xludf.DUMMYFUNCTION("""COMPUTED_VALUE"""),45961.0)</f>
        <v>45961</v>
      </c>
    </row>
    <row r="2609">
      <c r="A2609" s="6" t="str">
        <f>IFERROR(__xludf.DUMMYFUNCTION("""COMPUTED_VALUE"""),"ANO")</f>
        <v>ANO</v>
      </c>
      <c r="B2609" s="6" t="str">
        <f>IFERROR(__xludf.DUMMYFUNCTION("""COMPUTED_VALUE"""),"ENG")</f>
        <v>ENG</v>
      </c>
      <c r="C2609" s="6" t="str">
        <f>IFERROR(__xludf.DUMMYFUNCTION("""COMPUTED_VALUE"""),"P-18769-00")</f>
        <v>P-18769-00</v>
      </c>
      <c r="D2609" s="6" t="str">
        <f>IFERROR(__xludf.DUMMYFUNCTION("""COMPUTED_VALUE"""),"Mata Gerinda Potong 4"" Merek WD; ; -; 20 pc")</f>
        <v>Mata Gerinda Potong 4" Merek WD; ; -; 20 pc</v>
      </c>
      <c r="E2609" s="6">
        <f>IFERROR(__xludf.DUMMYFUNCTION("""COMPUTED_VALUE"""),2.0)</f>
        <v>2</v>
      </c>
      <c r="F2609" s="6">
        <f>IFERROR(__xludf.DUMMYFUNCTION("""COMPUTED_VALUE"""),2.0)</f>
        <v>2</v>
      </c>
      <c r="G2609" s="6">
        <f>IFERROR(__xludf.DUMMYFUNCTION("""COMPUTED_VALUE"""),0.0)</f>
        <v>0</v>
      </c>
      <c r="H2609" s="6" t="str">
        <f>IFERROR(__xludf.DUMMYFUNCTION("""COMPUTED_VALUE"""),"Pcs")</f>
        <v>Pcs</v>
      </c>
      <c r="I2609" s="6" t="str">
        <f>IFERROR(__xludf.DUMMYFUNCTION("""COMPUTED_VALUE"""),"MFH")</f>
        <v>MFH</v>
      </c>
      <c r="J2609" s="6" t="str">
        <f>IFERROR(__xludf.DUMMYFUNCTION("""COMPUTED_VALUE"""),"Workshop")</f>
        <v>Workshop</v>
      </c>
      <c r="K2609" s="6" t="str">
        <f>IFERROR(__xludf.DUMMYFUNCTION("""COMPUTED_VALUE"""),"SPR/25/10/039")</f>
        <v>SPR/25/10/039</v>
      </c>
      <c r="L2609" s="13">
        <f>IFERROR(__xludf.DUMMYFUNCTION("""COMPUTED_VALUE"""),45961.0)</f>
        <v>45961</v>
      </c>
    </row>
    <row r="2610">
      <c r="A2610" s="6" t="str">
        <f>IFERROR(__xludf.DUMMYFUNCTION("""COMPUTED_VALUE"""),"SFH")</f>
        <v>SFH</v>
      </c>
      <c r="B2610" s="6" t="str">
        <f>IFERROR(__xludf.DUMMYFUNCTION("""COMPUTED_VALUE"""),"ENG")</f>
        <v>ENG</v>
      </c>
      <c r="C2610" s="6" t="str">
        <f>IFERROR(__xludf.DUMMYFUNCTION("""COMPUTED_VALUE"""),"Q-10128-00")</f>
        <v>Q-10128-00</v>
      </c>
      <c r="D2610" s="6" t="str">
        <f>IFERROR(__xludf.DUMMYFUNCTION("""COMPUTED_VALUE"""),"Thinner Super End/Impala")</f>
        <v>Thinner Super End/Impala</v>
      </c>
      <c r="E2610" s="6">
        <f>IFERROR(__xludf.DUMMYFUNCTION("""COMPUTED_VALUE"""),3.0)</f>
        <v>3</v>
      </c>
      <c r="F2610" s="6">
        <f>IFERROR(__xludf.DUMMYFUNCTION("""COMPUTED_VALUE"""),3.0)</f>
        <v>3</v>
      </c>
      <c r="G2610" s="6">
        <f>IFERROR(__xludf.DUMMYFUNCTION("""COMPUTED_VALUE"""),0.0)</f>
        <v>0</v>
      </c>
      <c r="H2610" s="6" t="str">
        <f>IFERROR(__xludf.DUMMYFUNCTION("""COMPUTED_VALUE"""),"Pcs")</f>
        <v>Pcs</v>
      </c>
      <c r="I2610" s="6" t="str">
        <f>IFERROR(__xludf.DUMMYFUNCTION("""COMPUTED_VALUE"""),"MFH")</f>
        <v>MFH</v>
      </c>
      <c r="J2610" s="6" t="str">
        <f>IFERROR(__xludf.DUMMYFUNCTION("""COMPUTED_VALUE"""),"Building")</f>
        <v>Building</v>
      </c>
      <c r="K2610" s="6" t="str">
        <f>IFERROR(__xludf.DUMMYFUNCTION("""COMPUTED_VALUE"""),"SPR/25/10/040")</f>
        <v>SPR/25/10/040</v>
      </c>
      <c r="L2610" s="13">
        <f>IFERROR(__xludf.DUMMYFUNCTION("""COMPUTED_VALUE"""),45961.0)</f>
        <v>45961</v>
      </c>
    </row>
    <row r="2611">
      <c r="A2611" s="6" t="str">
        <f>IFERROR(__xludf.DUMMYFUNCTION("""COMPUTED_VALUE"""),"SFH")</f>
        <v>SFH</v>
      </c>
      <c r="B2611" s="6" t="str">
        <f>IFERROR(__xludf.DUMMYFUNCTION("""COMPUTED_VALUE"""),"ENG")</f>
        <v>ENG</v>
      </c>
      <c r="C2611" s="6" t="str">
        <f>IFERROR(__xludf.DUMMYFUNCTION("""COMPUTED_VALUE"""),"Q-10752-00")</f>
        <v>Q-10752-00</v>
      </c>
      <c r="D2611" s="6" t="str">
        <f>IFERROR(__xludf.DUMMYFUNCTION("""COMPUTED_VALUE"""),"Cat Duragloss Silver Metalic 9115; Propan; ;")</f>
        <v>Cat Duragloss Silver Metalic 9115; Propan; ;</v>
      </c>
      <c r="E2611" s="6">
        <f>IFERROR(__xludf.DUMMYFUNCTION("""COMPUTED_VALUE"""),6.0)</f>
        <v>6</v>
      </c>
      <c r="F2611" s="6">
        <f>IFERROR(__xludf.DUMMYFUNCTION("""COMPUTED_VALUE"""),6.0)</f>
        <v>6</v>
      </c>
      <c r="G2611" s="6">
        <f>IFERROR(__xludf.DUMMYFUNCTION("""COMPUTED_VALUE"""),0.0)</f>
        <v>0</v>
      </c>
      <c r="H2611" s="6" t="str">
        <f>IFERROR(__xludf.DUMMYFUNCTION("""COMPUTED_VALUE"""),"Pcs")</f>
        <v>Pcs</v>
      </c>
      <c r="I2611" s="6" t="str">
        <f>IFERROR(__xludf.DUMMYFUNCTION("""COMPUTED_VALUE"""),"MFH")</f>
        <v>MFH</v>
      </c>
      <c r="J2611" s="6" t="str">
        <f>IFERROR(__xludf.DUMMYFUNCTION("""COMPUTED_VALUE"""),"Building")</f>
        <v>Building</v>
      </c>
      <c r="K2611" s="6" t="str">
        <f>IFERROR(__xludf.DUMMYFUNCTION("""COMPUTED_VALUE"""),"SPR/25/10/040")</f>
        <v>SPR/25/10/040</v>
      </c>
      <c r="L2611" s="13">
        <f>IFERROR(__xludf.DUMMYFUNCTION("""COMPUTED_VALUE"""),45961.0)</f>
        <v>45961</v>
      </c>
    </row>
    <row r="2612">
      <c r="A2612" s="6" t="str">
        <f>IFERROR(__xludf.DUMMYFUNCTION("""COMPUTED_VALUE"""),"PNP")</f>
        <v>PNP</v>
      </c>
      <c r="B2612" s="6" t="str">
        <f>IFERROR(__xludf.DUMMYFUNCTION("""COMPUTED_VALUE"""),"ENG")</f>
        <v>ENG</v>
      </c>
      <c r="C2612" s="6" t="str">
        <f>IFERROR(__xludf.DUMMYFUNCTION("""COMPUTED_VALUE"""),"T-20055-00")</f>
        <v>T-20055-00</v>
      </c>
      <c r="D2612" s="6" t="str">
        <f>IFERROR(__xludf.DUMMYFUNCTION("""COMPUTED_VALUE"""),"PerformancePlus Check Valve Cartridge; Waters; p/n 700002399;")</f>
        <v>PerformancePlus Check Valve Cartridge; Waters; p/n 700002399;</v>
      </c>
      <c r="E2612" s="6">
        <f>IFERROR(__xludf.DUMMYFUNCTION("""COMPUTED_VALUE"""),1.0)</f>
        <v>1</v>
      </c>
      <c r="F2612" s="6">
        <f>IFERROR(__xludf.DUMMYFUNCTION("""COMPUTED_VALUE"""),1.0)</f>
        <v>1</v>
      </c>
      <c r="G2612" s="6">
        <f>IFERROR(__xludf.DUMMYFUNCTION("""COMPUTED_VALUE"""),0.0)</f>
        <v>0</v>
      </c>
      <c r="H2612" s="6" t="str">
        <f>IFERROR(__xludf.DUMMYFUNCTION("""COMPUTED_VALUE"""),"Pcs")</f>
        <v>Pcs</v>
      </c>
      <c r="I2612" s="6" t="str">
        <f>IFERROR(__xludf.DUMMYFUNCTION("""COMPUTED_VALUE"""),"MFH")</f>
        <v>MFH</v>
      </c>
      <c r="J2612" s="6" t="str">
        <f>IFERROR(__xludf.DUMMYFUNCTION("""COMPUTED_VALUE"""),"HPLC")</f>
        <v>HPLC</v>
      </c>
      <c r="K2612" s="6" t="str">
        <f>IFERROR(__xludf.DUMMYFUNCTION("""COMPUTED_VALUE"""),"SPR/25/10/041")</f>
        <v>SPR/25/10/041</v>
      </c>
      <c r="L2612" s="13">
        <f>IFERROR(__xludf.DUMMYFUNCTION("""COMPUTED_VALUE"""),45961.0)</f>
        <v>45961</v>
      </c>
    </row>
    <row r="2613">
      <c r="A2613" s="6" t="str">
        <f>IFERROR(__xludf.DUMMYFUNCTION("""COMPUTED_VALUE"""),"RIA")</f>
        <v>RIA</v>
      </c>
      <c r="B2613" s="6" t="str">
        <f>IFERROR(__xludf.DUMMYFUNCTION("""COMPUTED_VALUE"""),"ENG")</f>
        <v>ENG</v>
      </c>
      <c r="C2613" s="6" t="str">
        <f>IFERROR(__xludf.DUMMYFUNCTION("""COMPUTED_VALUE"""),"O-15931-00")</f>
        <v>O-15931-00</v>
      </c>
      <c r="D2613" s="6" t="str">
        <f>IFERROR(__xludf.DUMMYFUNCTION("""COMPUTED_VALUE"""),"General - Double Tape 1"" Merah; 3M; -; 1 Pc")</f>
        <v>General - Double Tape 1" Merah; 3M; -; 1 Pc</v>
      </c>
      <c r="E2613" s="6">
        <f>IFERROR(__xludf.DUMMYFUNCTION("""COMPUTED_VALUE"""),1.0)</f>
        <v>1</v>
      </c>
      <c r="F2613" s="6">
        <f>IFERROR(__xludf.DUMMYFUNCTION("""COMPUTED_VALUE"""),1.0)</f>
        <v>1</v>
      </c>
      <c r="G2613" s="6">
        <f>IFERROR(__xludf.DUMMYFUNCTION("""COMPUTED_VALUE"""),0.0)</f>
        <v>0</v>
      </c>
      <c r="H2613" s="6" t="str">
        <f>IFERROR(__xludf.DUMMYFUNCTION("""COMPUTED_VALUE"""),"Pcs")</f>
        <v>Pcs</v>
      </c>
      <c r="I2613" s="6" t="str">
        <f>IFERROR(__xludf.DUMMYFUNCTION("""COMPUTED_VALUE"""),"MFH")</f>
        <v>MFH</v>
      </c>
      <c r="J2613" s="6" t="str">
        <f>IFERROR(__xludf.DUMMYFUNCTION("""COMPUTED_VALUE"""),"Building")</f>
        <v>Building</v>
      </c>
      <c r="K2613" s="6" t="str">
        <f>IFERROR(__xludf.DUMMYFUNCTION("""COMPUTED_VALUE"""),"SPR/25/10/042")</f>
        <v>SPR/25/10/042</v>
      </c>
      <c r="L2613" s="13">
        <f>IFERROR(__xludf.DUMMYFUNCTION("""COMPUTED_VALUE"""),45955.0)</f>
        <v>45955</v>
      </c>
    </row>
    <row r="2614">
      <c r="A2614" s="6" t="str">
        <f>IFERROR(__xludf.DUMMYFUNCTION("""COMPUTED_VALUE"""),"RIA")</f>
        <v>RIA</v>
      </c>
      <c r="B2614" s="6" t="str">
        <f>IFERROR(__xludf.DUMMYFUNCTION("""COMPUTED_VALUE"""),"ENG")</f>
        <v>ENG</v>
      </c>
      <c r="C2614" s="6" t="str">
        <f>IFERROR(__xludf.DUMMYFUNCTION("""COMPUTED_VALUE"""),"T-80109-00")</f>
        <v>T-80109-00</v>
      </c>
      <c r="D2614" s="6" t="str">
        <f>IFERROR(__xludf.DUMMYFUNCTION("""COMPUTED_VALUE"""),"Cellotape / Lakban Kertas 1 inch warna Putih ; No Brand ; pack size per pcs")</f>
        <v>Cellotape / Lakban Kertas 1 inch warna Putih ; No Brand ; pack size per pcs</v>
      </c>
      <c r="E2614" s="6">
        <f>IFERROR(__xludf.DUMMYFUNCTION("""COMPUTED_VALUE"""),1.0)</f>
        <v>1</v>
      </c>
      <c r="F2614" s="6">
        <f>IFERROR(__xludf.DUMMYFUNCTION("""COMPUTED_VALUE"""),1.0)</f>
        <v>1</v>
      </c>
      <c r="G2614" s="6">
        <f>IFERROR(__xludf.DUMMYFUNCTION("""COMPUTED_VALUE"""),0.0)</f>
        <v>0</v>
      </c>
      <c r="H2614" s="6" t="str">
        <f>IFERROR(__xludf.DUMMYFUNCTION("""COMPUTED_VALUE"""),"Pcs")</f>
        <v>Pcs</v>
      </c>
      <c r="I2614" s="6" t="str">
        <f>IFERROR(__xludf.DUMMYFUNCTION("""COMPUTED_VALUE"""),"MFH")</f>
        <v>MFH</v>
      </c>
      <c r="J2614" s="6" t="str">
        <f>IFERROR(__xludf.DUMMYFUNCTION("""COMPUTED_VALUE"""),"Building")</f>
        <v>Building</v>
      </c>
      <c r="K2614" s="6" t="str">
        <f>IFERROR(__xludf.DUMMYFUNCTION("""COMPUTED_VALUE"""),"SPR/25/10/042")</f>
        <v>SPR/25/10/042</v>
      </c>
      <c r="L2614" s="13">
        <f>IFERROR(__xludf.DUMMYFUNCTION("""COMPUTED_VALUE"""),45961.0)</f>
        <v>45961</v>
      </c>
    </row>
    <row r="2615">
      <c r="A2615" s="6" t="str">
        <f>IFERROR(__xludf.DUMMYFUNCTION("""COMPUTED_VALUE"""),"RIA")</f>
        <v>RIA</v>
      </c>
      <c r="B2615" s="6" t="str">
        <f>IFERROR(__xludf.DUMMYFUNCTION("""COMPUTED_VALUE"""),"ENG")</f>
        <v>ENG</v>
      </c>
      <c r="C2615" s="6" t="str">
        <f>IFERROR(__xludf.DUMMYFUNCTION("""COMPUTED_VALUE"""),"P-15851-00")</f>
        <v>P-15851-00</v>
      </c>
      <c r="D2615" s="6" t="str">
        <f>IFERROR(__xludf.DUMMYFUNCTION("""COMPUTED_VALUE"""),"AMPLAS  EAGLE 100")</f>
        <v>AMPLAS  EAGLE 100</v>
      </c>
      <c r="E2615" s="6">
        <f>IFERROR(__xludf.DUMMYFUNCTION("""COMPUTED_VALUE"""),6.0)</f>
        <v>6</v>
      </c>
      <c r="F2615" s="6">
        <f>IFERROR(__xludf.DUMMYFUNCTION("""COMPUTED_VALUE"""),6.0)</f>
        <v>6</v>
      </c>
      <c r="G2615" s="6">
        <f>IFERROR(__xludf.DUMMYFUNCTION("""COMPUTED_VALUE"""),0.0)</f>
        <v>0</v>
      </c>
      <c r="H2615" s="6" t="str">
        <f>IFERROR(__xludf.DUMMYFUNCTION("""COMPUTED_VALUE"""),"Pcs")</f>
        <v>Pcs</v>
      </c>
      <c r="I2615" s="6" t="str">
        <f>IFERROR(__xludf.DUMMYFUNCTION("""COMPUTED_VALUE"""),"MFH")</f>
        <v>MFH</v>
      </c>
      <c r="J2615" s="6" t="str">
        <f>IFERROR(__xludf.DUMMYFUNCTION("""COMPUTED_VALUE"""),"Building")</f>
        <v>Building</v>
      </c>
      <c r="K2615" s="6" t="str">
        <f>IFERROR(__xludf.DUMMYFUNCTION("""COMPUTED_VALUE"""),"SPR/25/10/042")</f>
        <v>SPR/25/10/042</v>
      </c>
      <c r="L2615" s="13">
        <f>IFERROR(__xludf.DUMMYFUNCTION("""COMPUTED_VALUE"""),45955.0)</f>
        <v>45955</v>
      </c>
    </row>
    <row r="2616">
      <c r="A2616" s="6" t="str">
        <f>IFERROR(__xludf.DUMMYFUNCTION("""COMPUTED_VALUE"""),"RIA")</f>
        <v>RIA</v>
      </c>
      <c r="B2616" s="6" t="str">
        <f>IFERROR(__xludf.DUMMYFUNCTION("""COMPUTED_VALUE"""),"ENG")</f>
        <v>ENG</v>
      </c>
      <c r="C2616" s="6" t="str">
        <f>IFERROR(__xludf.DUMMYFUNCTION("""COMPUTED_VALUE"""),"P-51559-00")</f>
        <v>P-51559-00</v>
      </c>
      <c r="D2616" s="6" t="str">
        <f>IFERROR(__xludf.DUMMYFUNCTION("""COMPUTED_VALUE"""),"General - Lampu TL T5 14 W White; Philips; -; 1 unt")</f>
        <v>General - Lampu TL T5 14 W White; Philips; -; 1 unt</v>
      </c>
      <c r="E2616" s="6">
        <f>IFERROR(__xludf.DUMMYFUNCTION("""COMPUTED_VALUE"""),8.0)</f>
        <v>8</v>
      </c>
      <c r="F2616" s="6">
        <f>IFERROR(__xludf.DUMMYFUNCTION("""COMPUTED_VALUE"""),8.0)</f>
        <v>8</v>
      </c>
      <c r="G2616" s="6">
        <f>IFERROR(__xludf.DUMMYFUNCTION("""COMPUTED_VALUE"""),0.0)</f>
        <v>0</v>
      </c>
      <c r="H2616" s="6" t="str">
        <f>IFERROR(__xludf.DUMMYFUNCTION("""COMPUTED_VALUE"""),"Pcs")</f>
        <v>Pcs</v>
      </c>
      <c r="I2616" s="6" t="str">
        <f>IFERROR(__xludf.DUMMYFUNCTION("""COMPUTED_VALUE"""),"MFH")</f>
        <v>MFH</v>
      </c>
      <c r="J2616" s="6" t="str">
        <f>IFERROR(__xludf.DUMMYFUNCTION("""COMPUTED_VALUE"""),"Building")</f>
        <v>Building</v>
      </c>
      <c r="K2616" s="6" t="str">
        <f>IFERROR(__xludf.DUMMYFUNCTION("""COMPUTED_VALUE"""),"SPR/10/25/043")</f>
        <v>SPR/10/25/043</v>
      </c>
      <c r="L2616" s="13">
        <f>IFERROR(__xludf.DUMMYFUNCTION("""COMPUTED_VALUE"""),45955.0)</f>
        <v>45955</v>
      </c>
    </row>
    <row r="2617">
      <c r="A2617" s="6" t="str">
        <f>IFERROR(__xludf.DUMMYFUNCTION("""COMPUTED_VALUE"""),"RIA")</f>
        <v>RIA</v>
      </c>
      <c r="B2617" s="6" t="str">
        <f>IFERROR(__xludf.DUMMYFUNCTION("""COMPUTED_VALUE"""),"ENG")</f>
        <v>ENG</v>
      </c>
      <c r="C2617" s="6" t="str">
        <f>IFERROR(__xludf.DUMMYFUNCTION("""COMPUTED_VALUE"""),"P-16474-00")</f>
        <v>P-16474-00</v>
      </c>
      <c r="D2617" s="6" t="str">
        <f>IFERROR(__xludf.DUMMYFUNCTION("""COMPUTED_VALUE"""),"General - Lem PLastic Steel Epoxy + Hardener 5 menit; Dextone; -; 1 set")</f>
        <v>General - Lem PLastic Steel Epoxy + Hardener 5 menit; Dextone; -; 1 set</v>
      </c>
      <c r="E2617" s="6">
        <f>IFERROR(__xludf.DUMMYFUNCTION("""COMPUTED_VALUE"""),3.0)</f>
        <v>3</v>
      </c>
      <c r="F2617" s="6">
        <f>IFERROR(__xludf.DUMMYFUNCTION("""COMPUTED_VALUE"""),3.0)</f>
        <v>3</v>
      </c>
      <c r="G2617" s="6">
        <f>IFERROR(__xludf.DUMMYFUNCTION("""COMPUTED_VALUE"""),0.0)</f>
        <v>0</v>
      </c>
      <c r="H2617" s="6" t="str">
        <f>IFERROR(__xludf.DUMMYFUNCTION("""COMPUTED_VALUE"""),"Pcs")</f>
        <v>Pcs</v>
      </c>
      <c r="I2617" s="6" t="str">
        <f>IFERROR(__xludf.DUMMYFUNCTION("""COMPUTED_VALUE"""),"MFH")</f>
        <v>MFH</v>
      </c>
      <c r="J2617" s="6" t="str">
        <f>IFERROR(__xludf.DUMMYFUNCTION("""COMPUTED_VALUE"""),"Building")</f>
        <v>Building</v>
      </c>
      <c r="K2617" s="6" t="str">
        <f>IFERROR(__xludf.DUMMYFUNCTION("""COMPUTED_VALUE"""),"SPR/10/25/043")</f>
        <v>SPR/10/25/043</v>
      </c>
      <c r="L2617" s="13">
        <f>IFERROR(__xludf.DUMMYFUNCTION("""COMPUTED_VALUE"""),45955.0)</f>
        <v>45955</v>
      </c>
    </row>
    <row r="2618">
      <c r="A2618" s="6" t="str">
        <f>IFERROR(__xludf.DUMMYFUNCTION("""COMPUTED_VALUE"""),"RIA")</f>
        <v>RIA</v>
      </c>
      <c r="B2618" s="6" t="str">
        <f>IFERROR(__xludf.DUMMYFUNCTION("""COMPUTED_VALUE"""),"ENG")</f>
        <v>ENG</v>
      </c>
      <c r="C2618" s="6" t="str">
        <f>IFERROR(__xludf.DUMMYFUNCTION("""COMPUTED_VALUE"""),"Q-10249-00")</f>
        <v>Q-10249-00</v>
      </c>
      <c r="D2618" s="6" t="str">
        <f>IFERROR(__xludf.DUMMYFUNCTION("""COMPUTED_VALUE"""),"Lem Power Glue; ; ;")</f>
        <v>Lem Power Glue; ; ;</v>
      </c>
      <c r="E2618" s="6">
        <f>IFERROR(__xludf.DUMMYFUNCTION("""COMPUTED_VALUE"""),5.0)</f>
        <v>5</v>
      </c>
      <c r="F2618" s="6">
        <f>IFERROR(__xludf.DUMMYFUNCTION("""COMPUTED_VALUE"""),5.0)</f>
        <v>5</v>
      </c>
      <c r="G2618" s="6">
        <f>IFERROR(__xludf.DUMMYFUNCTION("""COMPUTED_VALUE"""),0.0)</f>
        <v>0</v>
      </c>
      <c r="H2618" s="6" t="str">
        <f>IFERROR(__xludf.DUMMYFUNCTION("""COMPUTED_VALUE"""),"Pcs")</f>
        <v>Pcs</v>
      </c>
      <c r="I2618" s="6" t="str">
        <f>IFERROR(__xludf.DUMMYFUNCTION("""COMPUTED_VALUE"""),"MFH")</f>
        <v>MFH</v>
      </c>
      <c r="J2618" s="6" t="str">
        <f>IFERROR(__xludf.DUMMYFUNCTION("""COMPUTED_VALUE"""),"Building")</f>
        <v>Building</v>
      </c>
      <c r="K2618" s="6" t="str">
        <f>IFERROR(__xludf.DUMMYFUNCTION("""COMPUTED_VALUE"""),"SPR/25/10/043")</f>
        <v>SPR/25/10/043</v>
      </c>
      <c r="L2618" s="13">
        <f>IFERROR(__xludf.DUMMYFUNCTION("""COMPUTED_VALUE"""),45955.0)</f>
        <v>45955</v>
      </c>
    </row>
    <row r="2619">
      <c r="A2619" s="6" t="str">
        <f>IFERROR(__xludf.DUMMYFUNCTION("""COMPUTED_VALUE"""),"RIA")</f>
        <v>RIA</v>
      </c>
      <c r="B2619" s="6" t="str">
        <f>IFERROR(__xludf.DUMMYFUNCTION("""COMPUTED_VALUE"""),"ENG")</f>
        <v>ENG</v>
      </c>
      <c r="C2619" s="6" t="str">
        <f>IFERROR(__xludf.DUMMYFUNCTION("""COMPUTED_VALUE"""),"Q-10656-00")</f>
        <v>Q-10656-00</v>
      </c>
      <c r="D2619" s="6" t="str">
        <f>IFERROR(__xludf.DUMMYFUNCTION("""COMPUTED_VALUE"""),"Kuas Cat Uk. 5 inch;No Brand;;pack size per pcs")</f>
        <v>Kuas Cat Uk. 5 inch;No Brand;;pack size per pcs</v>
      </c>
      <c r="E2619" s="6">
        <f>IFERROR(__xludf.DUMMYFUNCTION("""COMPUTED_VALUE"""),10.0)</f>
        <v>10</v>
      </c>
      <c r="F2619" s="6">
        <f>IFERROR(__xludf.DUMMYFUNCTION("""COMPUTED_VALUE"""),10.0)</f>
        <v>10</v>
      </c>
      <c r="G2619" s="6">
        <f>IFERROR(__xludf.DUMMYFUNCTION("""COMPUTED_VALUE"""),0.0)</f>
        <v>0</v>
      </c>
      <c r="H2619" s="6" t="str">
        <f>IFERROR(__xludf.DUMMYFUNCTION("""COMPUTED_VALUE"""),"Pcs")</f>
        <v>Pcs</v>
      </c>
      <c r="I2619" s="6" t="str">
        <f>IFERROR(__xludf.DUMMYFUNCTION("""COMPUTED_VALUE"""),"MFH")</f>
        <v>MFH</v>
      </c>
      <c r="J2619" s="6" t="str">
        <f>IFERROR(__xludf.DUMMYFUNCTION("""COMPUTED_VALUE"""),"Building")</f>
        <v>Building</v>
      </c>
      <c r="K2619" s="6" t="str">
        <f>IFERROR(__xludf.DUMMYFUNCTION("""COMPUTED_VALUE"""),"SPR/25/10/044")</f>
        <v>SPR/25/10/044</v>
      </c>
      <c r="L2619" s="13">
        <f>IFERROR(__xludf.DUMMYFUNCTION("""COMPUTED_VALUE"""),45955.0)</f>
        <v>45955</v>
      </c>
    </row>
    <row r="2620">
      <c r="A2620" s="6" t="str">
        <f>IFERROR(__xludf.DUMMYFUNCTION("""COMPUTED_VALUE"""),"ROS")</f>
        <v>ROS</v>
      </c>
      <c r="B2620" s="6" t="str">
        <f>IFERROR(__xludf.DUMMYFUNCTION("""COMPUTED_VALUE"""),"ENG")</f>
        <v>ENG</v>
      </c>
      <c r="C2620" s="6" t="str">
        <f>IFERROR(__xludf.DUMMYFUNCTION("""COMPUTED_VALUE"""),"O-52530-00")</f>
        <v>O-52530-00</v>
      </c>
      <c r="D2620" s="6" t="str">
        <f>IFERROR(__xludf.DUMMYFUNCTION("""COMPUTED_VALUE"""),"Sensor PH Meter Type : InPro3250/120/PT1000 PN. 52002548")</f>
        <v>Sensor PH Meter Type : InPro3250/120/PT1000 PN. 52002548</v>
      </c>
      <c r="E2620" s="6">
        <f>IFERROR(__xludf.DUMMYFUNCTION("""COMPUTED_VALUE"""),1.0)</f>
        <v>1</v>
      </c>
      <c r="F2620" s="6">
        <f>IFERROR(__xludf.DUMMYFUNCTION("""COMPUTED_VALUE"""),1.0)</f>
        <v>1</v>
      </c>
      <c r="G2620" s="6">
        <f>IFERROR(__xludf.DUMMYFUNCTION("""COMPUTED_VALUE"""),0.0)</f>
        <v>0</v>
      </c>
      <c r="H2620" s="6" t="str">
        <f>IFERROR(__xludf.DUMMYFUNCTION("""COMPUTED_VALUE"""),"Pcs")</f>
        <v>Pcs</v>
      </c>
      <c r="I2620" s="6" t="str">
        <f>IFERROR(__xludf.DUMMYFUNCTION("""COMPUTED_VALUE"""),"MFH")</f>
        <v>MFH</v>
      </c>
      <c r="J2620" s="6" t="str">
        <f>IFERROR(__xludf.DUMMYFUNCTION("""COMPUTED_VALUE"""),"Mixing ")</f>
        <v>Mixing </v>
      </c>
      <c r="K2620" s="6" t="str">
        <f>IFERROR(__xludf.DUMMYFUNCTION("""COMPUTED_VALUE"""),"SPR/25/10/045")</f>
        <v>SPR/25/10/045</v>
      </c>
      <c r="L2620" s="13">
        <f>IFERROR(__xludf.DUMMYFUNCTION("""COMPUTED_VALUE"""),45961.0)</f>
        <v>45961</v>
      </c>
    </row>
    <row r="2621">
      <c r="A2621" s="6" t="str">
        <f>IFERROR(__xludf.DUMMYFUNCTION("""COMPUTED_VALUE"""),"ROS")</f>
        <v>ROS</v>
      </c>
      <c r="B2621" s="6" t="str">
        <f>IFERROR(__xludf.DUMMYFUNCTION("""COMPUTED_VALUE"""),"ENG")</f>
        <v>ENG</v>
      </c>
      <c r="C2621" s="6" t="str">
        <f>IFERROR(__xludf.DUMMYFUNCTION("""COMPUTED_VALUE"""),"O-18055-00")</f>
        <v>O-18055-00</v>
      </c>
      <c r="D2621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621" s="6">
        <f>IFERROR(__xludf.DUMMYFUNCTION("""COMPUTED_VALUE"""),2.0)</f>
        <v>2</v>
      </c>
      <c r="F2621" s="6">
        <f>IFERROR(__xludf.DUMMYFUNCTION("""COMPUTED_VALUE"""),2.0)</f>
        <v>2</v>
      </c>
      <c r="G2621" s="6">
        <f>IFERROR(__xludf.DUMMYFUNCTION("""COMPUTED_VALUE"""),0.0)</f>
        <v>0</v>
      </c>
      <c r="H2621" s="6" t="str">
        <f>IFERROR(__xludf.DUMMYFUNCTION("""COMPUTED_VALUE"""),"Pcs")</f>
        <v>Pcs</v>
      </c>
      <c r="I2621" s="6" t="str">
        <f>IFERROR(__xludf.DUMMYFUNCTION("""COMPUTED_VALUE"""),"MFH")</f>
        <v>MFH</v>
      </c>
      <c r="J2621" s="6" t="str">
        <f>IFERROR(__xludf.DUMMYFUNCTION("""COMPUTED_VALUE"""),"Cartonning")</f>
        <v>Cartonning</v>
      </c>
      <c r="K2621" s="6" t="str">
        <f>IFERROR(__xludf.DUMMYFUNCTION("""COMPUTED_VALUE"""),"SPR/25/10/046")</f>
        <v>SPR/25/10/046</v>
      </c>
      <c r="L2621" s="13">
        <f>IFERROR(__xludf.DUMMYFUNCTION("""COMPUTED_VALUE"""),45961.0)</f>
        <v>45961</v>
      </c>
    </row>
    <row r="2622">
      <c r="A2622" s="6" t="str">
        <f>IFERROR(__xludf.DUMMYFUNCTION("""COMPUTED_VALUE"""),"SFH")</f>
        <v>SFH</v>
      </c>
      <c r="B2622" s="6" t="str">
        <f>IFERROR(__xludf.DUMMYFUNCTION("""COMPUTED_VALUE"""),"ENG")</f>
        <v>ENG</v>
      </c>
      <c r="C2622" s="6" t="str">
        <f>IFERROR(__xludf.DUMMYFUNCTION("""COMPUTED_VALUE"""),"Q-10153-00")</f>
        <v>Q-10153-00</v>
      </c>
      <c r="D2622" s="6" t="str">
        <f>IFERROR(__xludf.DUMMYFUNCTION("""COMPUTED_VALUE"""),"Roller cat 110mm")</f>
        <v>Roller cat 110mm</v>
      </c>
      <c r="E2622" s="6">
        <f>IFERROR(__xludf.DUMMYFUNCTION("""COMPUTED_VALUE"""),4.0)</f>
        <v>4</v>
      </c>
      <c r="F2622" s="6">
        <f>IFERROR(__xludf.DUMMYFUNCTION("""COMPUTED_VALUE"""),4.0)</f>
        <v>4</v>
      </c>
      <c r="G2622" s="6">
        <f>IFERROR(__xludf.DUMMYFUNCTION("""COMPUTED_VALUE"""),0.0)</f>
        <v>0</v>
      </c>
      <c r="H2622" s="6" t="str">
        <f>IFERROR(__xludf.DUMMYFUNCTION("""COMPUTED_VALUE"""),"Pcs")</f>
        <v>Pcs</v>
      </c>
      <c r="I2622" s="6" t="str">
        <f>IFERROR(__xludf.DUMMYFUNCTION("""COMPUTED_VALUE"""),"MFH")</f>
        <v>MFH</v>
      </c>
      <c r="J2622" s="6" t="str">
        <f>IFERROR(__xludf.DUMMYFUNCTION("""COMPUTED_VALUE"""),"-")</f>
        <v>-</v>
      </c>
      <c r="K2622" s="6" t="str">
        <f>IFERROR(__xludf.DUMMYFUNCTION("""COMPUTED_VALUE"""),"SPR/25/10/047")</f>
        <v>SPR/25/10/047</v>
      </c>
      <c r="L2622" s="13">
        <f>IFERROR(__xludf.DUMMYFUNCTION("""COMPUTED_VALUE"""),45961.0)</f>
        <v>45961</v>
      </c>
    </row>
    <row r="2623">
      <c r="A2623" s="6" t="str">
        <f>IFERROR(__xludf.DUMMYFUNCTION("""COMPUTED_VALUE"""),"SFH")</f>
        <v>SFH</v>
      </c>
      <c r="B2623" s="6" t="str">
        <f>IFERROR(__xludf.DUMMYFUNCTION("""COMPUTED_VALUE"""),"ENG")</f>
        <v>ENG</v>
      </c>
      <c r="C2623" s="6" t="str">
        <f>IFERROR(__xludf.DUMMYFUNCTION("""COMPUTED_VALUE"""),"P-14424-00")</f>
        <v>P-14424-00</v>
      </c>
      <c r="D2623" s="6" t="str">
        <f>IFERROR(__xludf.DUMMYFUNCTION("""COMPUTED_VALUE"""),"Garam Kutreat RGN-9800F; ; ; 25Kg/zak")</f>
        <v>Garam Kutreat RGN-9800F; ; ; 25Kg/zak</v>
      </c>
      <c r="E2623" s="6">
        <f>IFERROR(__xludf.DUMMYFUNCTION("""COMPUTED_VALUE"""),25.0)</f>
        <v>25</v>
      </c>
      <c r="F2623" s="6">
        <f>IFERROR(__xludf.DUMMYFUNCTION("""COMPUTED_VALUE"""),25.0)</f>
        <v>25</v>
      </c>
      <c r="G2623" s="6">
        <f>IFERROR(__xludf.DUMMYFUNCTION("""COMPUTED_VALUE"""),0.0)</f>
        <v>0</v>
      </c>
      <c r="H2623" s="6" t="str">
        <f>IFERROR(__xludf.DUMMYFUNCTION("""COMPUTED_VALUE"""),"Pcs")</f>
        <v>Pcs</v>
      </c>
      <c r="I2623" s="6" t="str">
        <f>IFERROR(__xludf.DUMMYFUNCTION("""COMPUTED_VALUE"""),"MFH")</f>
        <v>MFH</v>
      </c>
      <c r="J2623" s="6" t="str">
        <f>IFERROR(__xludf.DUMMYFUNCTION("""COMPUTED_VALUE"""),"PWG")</f>
        <v>PWG</v>
      </c>
      <c r="K2623" s="6" t="str">
        <f>IFERROR(__xludf.DUMMYFUNCTION("""COMPUTED_VALUE"""),"SPR/25/10/048")</f>
        <v>SPR/25/10/048</v>
      </c>
      <c r="L2623" s="13">
        <f>IFERROR(__xludf.DUMMYFUNCTION("""COMPUTED_VALUE"""),45961.0)</f>
        <v>45961</v>
      </c>
    </row>
    <row r="2624">
      <c r="A2624" s="6" t="str">
        <f>IFERROR(__xludf.DUMMYFUNCTION("""COMPUTED_VALUE"""),"SFH")</f>
        <v>SFH</v>
      </c>
      <c r="B2624" s="6" t="str">
        <f>IFERROR(__xludf.DUMMYFUNCTION("""COMPUTED_VALUE"""),"ENG")</f>
        <v>ENG</v>
      </c>
      <c r="C2624" s="6" t="str">
        <f>IFERROR(__xludf.DUMMYFUNCTION("""COMPUTED_VALUE"""),"Q-10153-00")</f>
        <v>Q-10153-00</v>
      </c>
      <c r="D2624" s="6" t="str">
        <f>IFERROR(__xludf.DUMMYFUNCTION("""COMPUTED_VALUE"""),"Roller cat 110mm")</f>
        <v>Roller cat 110mm</v>
      </c>
      <c r="E2624" s="6">
        <f>IFERROR(__xludf.DUMMYFUNCTION("""COMPUTED_VALUE"""),6.0)</f>
        <v>6</v>
      </c>
      <c r="F2624" s="6">
        <f>IFERROR(__xludf.DUMMYFUNCTION("""COMPUTED_VALUE"""),6.0)</f>
        <v>6</v>
      </c>
      <c r="G2624" s="6">
        <f>IFERROR(__xludf.DUMMYFUNCTION("""COMPUTED_VALUE"""),0.0)</f>
        <v>0</v>
      </c>
      <c r="H2624" s="6" t="str">
        <f>IFERROR(__xludf.DUMMYFUNCTION("""COMPUTED_VALUE"""),"Pcs")</f>
        <v>Pcs</v>
      </c>
      <c r="I2624" s="6" t="str">
        <f>IFERROR(__xludf.DUMMYFUNCTION("""COMPUTED_VALUE"""),"MFH")</f>
        <v>MFH</v>
      </c>
      <c r="J2624" s="6" t="str">
        <f>IFERROR(__xludf.DUMMYFUNCTION("""COMPUTED_VALUE"""),"Building")</f>
        <v>Building</v>
      </c>
      <c r="K2624" s="6" t="str">
        <f>IFERROR(__xludf.DUMMYFUNCTION("""COMPUTED_VALUE"""),"SPR/25/10/048")</f>
        <v>SPR/25/10/048</v>
      </c>
      <c r="L2624" s="13">
        <f>IFERROR(__xludf.DUMMYFUNCTION("""COMPUTED_VALUE"""),45961.0)</f>
        <v>45961</v>
      </c>
    </row>
    <row r="2625">
      <c r="A2625" s="6" t="str">
        <f>IFERROR(__xludf.DUMMYFUNCTION("""COMPUTED_VALUE"""),"SFH")</f>
        <v>SFH</v>
      </c>
      <c r="B2625" s="6" t="str">
        <f>IFERROR(__xludf.DUMMYFUNCTION("""COMPUTED_VALUE"""),"ENG")</f>
        <v>ENG</v>
      </c>
      <c r="C2625" s="6" t="str">
        <f>IFERROR(__xludf.DUMMYFUNCTION("""COMPUTED_VALUE"""),"Q-60502-00")</f>
        <v>Q-60502-00</v>
      </c>
      <c r="D2625" s="6" t="str">
        <f>IFERROR(__xludf.DUMMYFUNCTION("""COMPUTED_VALUE"""),"Silicone Sealant, Silglaze, Type N10 White, pack size per pcs")</f>
        <v>Silicone Sealant, Silglaze, Type N10 White, pack size per pcs</v>
      </c>
      <c r="E2625" s="6">
        <f>IFERROR(__xludf.DUMMYFUNCTION("""COMPUTED_VALUE"""),1.0)</f>
        <v>1</v>
      </c>
      <c r="F2625" s="6">
        <f>IFERROR(__xludf.DUMMYFUNCTION("""COMPUTED_VALUE"""),1.0)</f>
        <v>1</v>
      </c>
      <c r="G2625" s="6">
        <f>IFERROR(__xludf.DUMMYFUNCTION("""COMPUTED_VALUE"""),0.0)</f>
        <v>0</v>
      </c>
      <c r="H2625" s="6" t="str">
        <f>IFERROR(__xludf.DUMMYFUNCTION("""COMPUTED_VALUE"""),"Pcs")</f>
        <v>Pcs</v>
      </c>
      <c r="I2625" s="6" t="str">
        <f>IFERROR(__xludf.DUMMYFUNCTION("""COMPUTED_VALUE"""),"MFH")</f>
        <v>MFH</v>
      </c>
      <c r="J2625" s="6" t="str">
        <f>IFERROR(__xludf.DUMMYFUNCTION("""COMPUTED_VALUE"""),"Building")</f>
        <v>Building</v>
      </c>
      <c r="K2625" s="6" t="str">
        <f>IFERROR(__xludf.DUMMYFUNCTION("""COMPUTED_VALUE"""),"SPR/25/10/048")</f>
        <v>SPR/25/10/048</v>
      </c>
      <c r="L2625" s="13">
        <f>IFERROR(__xludf.DUMMYFUNCTION("""COMPUTED_VALUE"""),45961.0)</f>
        <v>45961</v>
      </c>
    </row>
    <row r="2626">
      <c r="A2626" s="6" t="str">
        <f>IFERROR(__xludf.DUMMYFUNCTION("""COMPUTED_VALUE"""),"RIA")</f>
        <v>RIA</v>
      </c>
      <c r="B2626" s="6" t="str">
        <f>IFERROR(__xludf.DUMMYFUNCTION("""COMPUTED_VALUE"""),"ENG")</f>
        <v>ENG</v>
      </c>
      <c r="C2626" s="6" t="str">
        <f>IFERROR(__xludf.DUMMYFUNCTION("""COMPUTED_VALUE"""),"P-51027-00")</f>
        <v>P-51027-00</v>
      </c>
      <c r="D262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626" s="6">
        <f>IFERROR(__xludf.DUMMYFUNCTION("""COMPUTED_VALUE"""),1.0)</f>
        <v>1</v>
      </c>
      <c r="F2626" s="6">
        <f>IFERROR(__xludf.DUMMYFUNCTION("""COMPUTED_VALUE"""),1.0)</f>
        <v>1</v>
      </c>
      <c r="G2626" s="6">
        <f>IFERROR(__xludf.DUMMYFUNCTION("""COMPUTED_VALUE"""),0.0)</f>
        <v>0</v>
      </c>
      <c r="H2626" s="6" t="str">
        <f>IFERROR(__xludf.DUMMYFUNCTION("""COMPUTED_VALUE"""),"Pcs")</f>
        <v>Pcs</v>
      </c>
      <c r="I2626" s="6" t="str">
        <f>IFERROR(__xludf.DUMMYFUNCTION("""COMPUTED_VALUE"""),"MFH")</f>
        <v>MFH</v>
      </c>
      <c r="J2626" s="6" t="str">
        <f>IFERROR(__xludf.DUMMYFUNCTION("""COMPUTED_VALUE"""),"-")</f>
        <v>-</v>
      </c>
      <c r="K2626" s="6" t="str">
        <f>IFERROR(__xludf.DUMMYFUNCTION("""COMPUTED_VALUE"""),"SPR/25/10/049")</f>
        <v>SPR/25/10/049</v>
      </c>
      <c r="L2626" s="13">
        <f>IFERROR(__xludf.DUMMYFUNCTION("""COMPUTED_VALUE"""),45961.0)</f>
        <v>45961</v>
      </c>
    </row>
    <row r="2627">
      <c r="A2627" s="6" t="str">
        <f>IFERROR(__xludf.DUMMYFUNCTION("""COMPUTED_VALUE"""),"NDS")</f>
        <v>NDS</v>
      </c>
      <c r="B2627" s="6" t="str">
        <f>IFERROR(__xludf.DUMMYFUNCTION("""COMPUTED_VALUE"""),"ENG")</f>
        <v>ENG</v>
      </c>
      <c r="C2627" s="6" t="str">
        <f>IFERROR(__xludf.DUMMYFUNCTION("""COMPUTED_VALUE"""),"T-20591-00")</f>
        <v>T-20591-00</v>
      </c>
      <c r="D2627" s="6" t="str">
        <f>IFERROR(__xludf.DUMMYFUNCTION("""COMPUTED_VALUE"""),"Kit, Performance PLUS seal pack rebuild; Waters; 700011783; 1 pieces / pack")</f>
        <v>Kit, Performance PLUS seal pack rebuild; Waters; 700011783; 1 pieces / pack</v>
      </c>
      <c r="E2627" s="6">
        <f>IFERROR(__xludf.DUMMYFUNCTION("""COMPUTED_VALUE"""),1.0)</f>
        <v>1</v>
      </c>
      <c r="F2627" s="6">
        <f>IFERROR(__xludf.DUMMYFUNCTION("""COMPUTED_VALUE"""),1.0)</f>
        <v>1</v>
      </c>
      <c r="G2627" s="6">
        <f>IFERROR(__xludf.DUMMYFUNCTION("""COMPUTED_VALUE"""),0.0)</f>
        <v>0</v>
      </c>
      <c r="H2627" s="6" t="str">
        <f>IFERROR(__xludf.DUMMYFUNCTION("""COMPUTED_VALUE"""),"Pcs")</f>
        <v>Pcs</v>
      </c>
      <c r="I2627" s="6" t="str">
        <f>IFERROR(__xludf.DUMMYFUNCTION("""COMPUTED_VALUE"""),"MFH")</f>
        <v>MFH</v>
      </c>
      <c r="J2627" s="6" t="str">
        <f>IFERROR(__xludf.DUMMYFUNCTION("""COMPUTED_VALUE"""),"HPLC")</f>
        <v>HPLC</v>
      </c>
      <c r="K2627" s="6" t="str">
        <f>IFERROR(__xludf.DUMMYFUNCTION("""COMPUTED_VALUE"""),"SPR/25/10/050")</f>
        <v>SPR/25/10/050</v>
      </c>
      <c r="L2627" s="13">
        <f>IFERROR(__xludf.DUMMYFUNCTION("""COMPUTED_VALUE"""),45961.0)</f>
        <v>45961</v>
      </c>
    </row>
    <row r="2628">
      <c r="A2628" s="6" t="str">
        <f>IFERROR(__xludf.DUMMYFUNCTION("""COMPUTED_VALUE"""),"ROS")</f>
        <v>ROS</v>
      </c>
      <c r="B2628" s="6" t="str">
        <f>IFERROR(__xludf.DUMMYFUNCTION("""COMPUTED_VALUE"""),"ENG")</f>
        <v>ENG</v>
      </c>
      <c r="C2628" s="6" t="str">
        <f>IFERROR(__xludf.DUMMYFUNCTION("""COMPUTED_VALUE"""),"O-16647-00")</f>
        <v>O-16647-00</v>
      </c>
      <c r="D2628" s="6" t="str">
        <f>IFERROR(__xludf.DUMMYFUNCTION("""COMPUTED_VALUE"""),"Washing RAR4 - Oring Silicone Merah 23x18x2.5 mm; ; ;")</f>
        <v>Washing RAR4 - Oring Silicone Merah 23x18x2.5 mm; ; ;</v>
      </c>
      <c r="E2628" s="6">
        <f>IFERROR(__xludf.DUMMYFUNCTION("""COMPUTED_VALUE"""),10.0)</f>
        <v>10</v>
      </c>
      <c r="F2628" s="6">
        <f>IFERROR(__xludf.DUMMYFUNCTION("""COMPUTED_VALUE"""),10.0)</f>
        <v>10</v>
      </c>
      <c r="G2628" s="6">
        <f>IFERROR(__xludf.DUMMYFUNCTION("""COMPUTED_VALUE"""),0.0)</f>
        <v>0</v>
      </c>
      <c r="H2628" s="6" t="str">
        <f>IFERROR(__xludf.DUMMYFUNCTION("""COMPUTED_VALUE"""),"Pcs")</f>
        <v>Pcs</v>
      </c>
      <c r="I2628" s="6" t="str">
        <f>IFERROR(__xludf.DUMMYFUNCTION("""COMPUTED_VALUE"""),"MFH")</f>
        <v>MFH</v>
      </c>
      <c r="J2628" s="6" t="str">
        <f>IFERROR(__xludf.DUMMYFUNCTION("""COMPUTED_VALUE"""),"Capping")</f>
        <v>Capping</v>
      </c>
      <c r="K2628" s="6" t="str">
        <f>IFERROR(__xludf.DUMMYFUNCTION("""COMPUTED_VALUE"""),"SPR/25/10/051")</f>
        <v>SPR/25/10/051</v>
      </c>
      <c r="L2628" s="13">
        <f>IFERROR(__xludf.DUMMYFUNCTION("""COMPUTED_VALUE"""),45961.0)</f>
        <v>45961</v>
      </c>
    </row>
    <row r="2629">
      <c r="A2629" s="6" t="str">
        <f>IFERROR(__xludf.DUMMYFUNCTION("""COMPUTED_VALUE"""),"ROS")</f>
        <v>ROS</v>
      </c>
      <c r="B2629" s="6" t="str">
        <f>IFERROR(__xludf.DUMMYFUNCTION("""COMPUTED_VALUE"""),"ENG")</f>
        <v>ENG</v>
      </c>
      <c r="C2629" s="6" t="str">
        <f>IFERROR(__xludf.DUMMYFUNCTION("""COMPUTED_VALUE"""),"O-16731-00")</f>
        <v>O-16731-00</v>
      </c>
      <c r="D2629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2629" s="6">
        <f>IFERROR(__xludf.DUMMYFUNCTION("""COMPUTED_VALUE"""),1.0)</f>
        <v>1</v>
      </c>
      <c r="F2629" s="6">
        <f>IFERROR(__xludf.DUMMYFUNCTION("""COMPUTED_VALUE"""),1.0)</f>
        <v>1</v>
      </c>
      <c r="G2629" s="6">
        <f>IFERROR(__xludf.DUMMYFUNCTION("""COMPUTED_VALUE"""),0.0)</f>
        <v>0</v>
      </c>
      <c r="H2629" s="6" t="str">
        <f>IFERROR(__xludf.DUMMYFUNCTION("""COMPUTED_VALUE"""),"Pcs")</f>
        <v>Pcs</v>
      </c>
      <c r="I2629" s="6" t="str">
        <f>IFERROR(__xludf.DUMMYFUNCTION("""COMPUTED_VALUE"""),"MFH")</f>
        <v>MFH</v>
      </c>
      <c r="J2629" s="6" t="str">
        <f>IFERROR(__xludf.DUMMYFUNCTION("""COMPUTED_VALUE"""),"Autoclave")</f>
        <v>Autoclave</v>
      </c>
      <c r="K2629" s="6" t="str">
        <f>IFERROR(__xludf.DUMMYFUNCTION("""COMPUTED_VALUE"""),"SPR/25/10/052")</f>
        <v>SPR/25/10/052</v>
      </c>
      <c r="L2629" s="13">
        <f>IFERROR(__xludf.DUMMYFUNCTION("""COMPUTED_VALUE"""),45961.0)</f>
        <v>45961</v>
      </c>
    </row>
    <row r="2630">
      <c r="A2630" s="6" t="str">
        <f>IFERROR(__xludf.DUMMYFUNCTION("""COMPUTED_VALUE"""),"ROS")</f>
        <v>ROS</v>
      </c>
      <c r="B2630" s="6" t="str">
        <f>IFERROR(__xludf.DUMMYFUNCTION("""COMPUTED_VALUE"""),"ENG")</f>
        <v>ENG</v>
      </c>
      <c r="C2630" s="6" t="str">
        <f>IFERROR(__xludf.DUMMYFUNCTION("""COMPUTED_VALUE"""),"O-51920-00")</f>
        <v>O-51920-00</v>
      </c>
      <c r="D2630" s="6" t="str">
        <f>IFERROR(__xludf.DUMMYFUNCTION("""COMPUTED_VALUE"""),"Temperature sensor PT100, 4 wire, class AA, Duplex, c/w 10m silicon cable Radix RAC241-D-10-PN; ; ;")</f>
        <v>Temperature sensor PT100, 4 wire, class AA, Duplex, c/w 10m silicon cable Radix RAC241-D-10-PN; ; ;</v>
      </c>
      <c r="E2630" s="6">
        <f>IFERROR(__xludf.DUMMYFUNCTION("""COMPUTED_VALUE"""),1.0)</f>
        <v>1</v>
      </c>
      <c r="F2630" s="6">
        <f>IFERROR(__xludf.DUMMYFUNCTION("""COMPUTED_VALUE"""),1.0)</f>
        <v>1</v>
      </c>
      <c r="G2630" s="6">
        <f>IFERROR(__xludf.DUMMYFUNCTION("""COMPUTED_VALUE"""),0.0)</f>
        <v>0</v>
      </c>
      <c r="H2630" s="6" t="str">
        <f>IFERROR(__xludf.DUMMYFUNCTION("""COMPUTED_VALUE"""),"Pcs")</f>
        <v>Pcs</v>
      </c>
      <c r="I2630" s="6" t="str">
        <f>IFERROR(__xludf.DUMMYFUNCTION("""COMPUTED_VALUE"""),"MFH")</f>
        <v>MFH</v>
      </c>
      <c r="J2630" s="6" t="str">
        <f>IFERROR(__xludf.DUMMYFUNCTION("""COMPUTED_VALUE"""),"Autoclave")</f>
        <v>Autoclave</v>
      </c>
      <c r="K2630" s="6" t="str">
        <f>IFERROR(__xludf.DUMMYFUNCTION("""COMPUTED_VALUE"""),"SPR/25/10/052")</f>
        <v>SPR/25/10/052</v>
      </c>
      <c r="L2630" s="13">
        <f>IFERROR(__xludf.DUMMYFUNCTION("""COMPUTED_VALUE"""),45961.0)</f>
        <v>45961</v>
      </c>
    </row>
    <row r="2631">
      <c r="A2631" s="6" t="str">
        <f>IFERROR(__xludf.DUMMYFUNCTION("""COMPUTED_VALUE"""),"ROS")</f>
        <v>ROS</v>
      </c>
      <c r="B2631" s="6" t="str">
        <f>IFERROR(__xludf.DUMMYFUNCTION("""COMPUTED_VALUE"""),"ENG")</f>
        <v>ENG</v>
      </c>
      <c r="C2631" s="6" t="str">
        <f>IFERROR(__xludf.DUMMYFUNCTION("""COMPUTED_VALUE"""),"O-51827-00")</f>
        <v>O-51827-00</v>
      </c>
      <c r="D2631" s="6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E2631" s="6">
        <f>IFERROR(__xludf.DUMMYFUNCTION("""COMPUTED_VALUE"""),1.0)</f>
        <v>1</v>
      </c>
      <c r="F2631" s="6">
        <f>IFERROR(__xludf.DUMMYFUNCTION("""COMPUTED_VALUE"""),1.0)</f>
        <v>1</v>
      </c>
      <c r="G2631" s="6">
        <f>IFERROR(__xludf.DUMMYFUNCTION("""COMPUTED_VALUE"""),0.0)</f>
        <v>0</v>
      </c>
      <c r="H2631" s="6" t="str">
        <f>IFERROR(__xludf.DUMMYFUNCTION("""COMPUTED_VALUE"""),"Pcs")</f>
        <v>Pcs</v>
      </c>
      <c r="I2631" s="6" t="str">
        <f>IFERROR(__xludf.DUMMYFUNCTION("""COMPUTED_VALUE"""),"MFH")</f>
        <v>MFH</v>
      </c>
      <c r="J2631" s="6" t="str">
        <f>IFERROR(__xludf.DUMMYFUNCTION("""COMPUTED_VALUE"""),"Autoclave")</f>
        <v>Autoclave</v>
      </c>
      <c r="K2631" s="6" t="str">
        <f>IFERROR(__xludf.DUMMYFUNCTION("""COMPUTED_VALUE"""),"SPR/25/10/052")</f>
        <v>SPR/25/10/052</v>
      </c>
      <c r="L2631" s="13">
        <f>IFERROR(__xludf.DUMMYFUNCTION("""COMPUTED_VALUE"""),45961.0)</f>
        <v>45961</v>
      </c>
    </row>
    <row r="2632">
      <c r="A2632" s="6" t="str">
        <f>IFERROR(__xludf.DUMMYFUNCTION("""COMPUTED_VALUE"""),"ANO")</f>
        <v>ANO</v>
      </c>
      <c r="B2632" s="6" t="str">
        <f>IFERROR(__xludf.DUMMYFUNCTION("""COMPUTED_VALUE"""),"ENG")</f>
        <v>ENG</v>
      </c>
      <c r="C2632" s="6" t="str">
        <f>IFERROR(__xludf.DUMMYFUNCTION("""COMPUTED_VALUE"""),"P-18769-00")</f>
        <v>P-18769-00</v>
      </c>
      <c r="D2632" s="6" t="str">
        <f>IFERROR(__xludf.DUMMYFUNCTION("""COMPUTED_VALUE"""),"Mata Gerinda Potong 4"" Merek WD; ; -; 20 pc")</f>
        <v>Mata Gerinda Potong 4" Merek WD; ; -; 20 pc</v>
      </c>
      <c r="E2632" s="6">
        <f>IFERROR(__xludf.DUMMYFUNCTION("""COMPUTED_VALUE"""),3.0)</f>
        <v>3</v>
      </c>
      <c r="F2632" s="6">
        <f>IFERROR(__xludf.DUMMYFUNCTION("""COMPUTED_VALUE"""),3.0)</f>
        <v>3</v>
      </c>
      <c r="G2632" s="6">
        <f>IFERROR(__xludf.DUMMYFUNCTION("""COMPUTED_VALUE"""),0.0)</f>
        <v>0</v>
      </c>
      <c r="H2632" s="6" t="str">
        <f>IFERROR(__xludf.DUMMYFUNCTION("""COMPUTED_VALUE"""),"Pcs")</f>
        <v>Pcs</v>
      </c>
      <c r="I2632" s="6" t="str">
        <f>IFERROR(__xludf.DUMMYFUNCTION("""COMPUTED_VALUE"""),"MFH")</f>
        <v>MFH</v>
      </c>
      <c r="J2632" s="6" t="str">
        <f>IFERROR(__xludf.DUMMYFUNCTION("""COMPUTED_VALUE"""),"Drain Pan")</f>
        <v>Drain Pan</v>
      </c>
      <c r="K2632" s="6" t="str">
        <f>IFERROR(__xludf.DUMMYFUNCTION("""COMPUTED_VALUE"""),"SPR/25/10/053")</f>
        <v>SPR/25/10/053</v>
      </c>
      <c r="L2632" s="13">
        <f>IFERROR(__xludf.DUMMYFUNCTION("""COMPUTED_VALUE"""),45961.0)</f>
        <v>45961</v>
      </c>
    </row>
    <row r="2633">
      <c r="A2633" s="6" t="str">
        <f>IFERROR(__xludf.DUMMYFUNCTION("""COMPUTED_VALUE"""),"INN")</f>
        <v>INN</v>
      </c>
      <c r="B2633" s="6" t="str">
        <f>IFERROR(__xludf.DUMMYFUNCTION("""COMPUTED_VALUE"""),"ENG")</f>
        <v>ENG</v>
      </c>
      <c r="C2633" s="6" t="str">
        <f>IFERROR(__xludf.DUMMYFUNCTION("""COMPUTED_VALUE"""),"T-25454-00")</f>
        <v>T-25454-00</v>
      </c>
      <c r="D2633" s="6" t="str">
        <f>IFERROR(__xludf.DUMMYFUNCTION("""COMPUTED_VALUE"""),"Filter Flag, 2998, Classic; Waters; 700003767;")</f>
        <v>Filter Flag, 2998, Classic; Waters; 700003767;</v>
      </c>
      <c r="E2633" s="6">
        <f>IFERROR(__xludf.DUMMYFUNCTION("""COMPUTED_VALUE"""),1.0)</f>
        <v>1</v>
      </c>
      <c r="F2633" s="6">
        <f>IFERROR(__xludf.DUMMYFUNCTION("""COMPUTED_VALUE"""),1.0)</f>
        <v>1</v>
      </c>
      <c r="G2633" s="6">
        <f>IFERROR(__xludf.DUMMYFUNCTION("""COMPUTED_VALUE"""),0.0)</f>
        <v>0</v>
      </c>
      <c r="H2633" s="6" t="str">
        <f>IFERROR(__xludf.DUMMYFUNCTION("""COMPUTED_VALUE"""),"Pcs")</f>
        <v>Pcs</v>
      </c>
      <c r="I2633" s="6" t="str">
        <f>IFERROR(__xludf.DUMMYFUNCTION("""COMPUTED_VALUE"""),"MFH")</f>
        <v>MFH</v>
      </c>
      <c r="J2633" s="6" t="str">
        <f>IFERROR(__xludf.DUMMYFUNCTION("""COMPUTED_VALUE"""),"HPLC")</f>
        <v>HPLC</v>
      </c>
      <c r="K2633" s="6" t="str">
        <f>IFERROR(__xludf.DUMMYFUNCTION("""COMPUTED_VALUE"""),"SPR/25/10/054")</f>
        <v>SPR/25/10/054</v>
      </c>
      <c r="L2633" s="13">
        <f>IFERROR(__xludf.DUMMYFUNCTION("""COMPUTED_VALUE"""),45961.0)</f>
        <v>45961</v>
      </c>
    </row>
    <row r="2634">
      <c r="A2634" s="6" t="str">
        <f>IFERROR(__xludf.DUMMYFUNCTION("""COMPUTED_VALUE"""),"AAA")</f>
        <v>AAA</v>
      </c>
      <c r="B2634" s="6" t="str">
        <f>IFERROR(__xludf.DUMMYFUNCTION("""COMPUTED_VALUE"""),"ENG")</f>
        <v>ENG</v>
      </c>
      <c r="C2634" s="6" t="str">
        <f>IFERROR(__xludf.DUMMYFUNCTION("""COMPUTED_VALUE"""),"T-22069-00")</f>
        <v>T-22069-00</v>
      </c>
      <c r="D2634" s="6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E2634" s="6">
        <f>IFERROR(__xludf.DUMMYFUNCTION("""COMPUTED_VALUE"""),3.0)</f>
        <v>3</v>
      </c>
      <c r="F2634" s="6">
        <f>IFERROR(__xludf.DUMMYFUNCTION("""COMPUTED_VALUE"""),3.0)</f>
        <v>3</v>
      </c>
      <c r="G2634" s="6">
        <f>IFERROR(__xludf.DUMMYFUNCTION("""COMPUTED_VALUE"""),0.0)</f>
        <v>0</v>
      </c>
      <c r="H2634" s="6" t="str">
        <f>IFERROR(__xludf.DUMMYFUNCTION("""COMPUTED_VALUE"""),"Pcs")</f>
        <v>Pcs</v>
      </c>
      <c r="I2634" s="6" t="str">
        <f>IFERROR(__xludf.DUMMYFUNCTION("""COMPUTED_VALUE"""),"MFH")</f>
        <v>MFH</v>
      </c>
      <c r="J2634" s="6" t="str">
        <f>IFERROR(__xludf.DUMMYFUNCTION("""COMPUTED_VALUE"""),"Cytocab")</f>
        <v>Cytocab</v>
      </c>
      <c r="K2634" s="6" t="str">
        <f>IFERROR(__xludf.DUMMYFUNCTION("""COMPUTED_VALUE"""),"SPR/25/10/055")</f>
        <v>SPR/25/10/055</v>
      </c>
      <c r="L2634" s="13">
        <f>IFERROR(__xludf.DUMMYFUNCTION("""COMPUTED_VALUE"""),45961.0)</f>
        <v>45961</v>
      </c>
    </row>
    <row r="2635">
      <c r="A2635" s="6" t="str">
        <f>IFERROR(__xludf.DUMMYFUNCTION("""COMPUTED_VALUE"""),"AAA")</f>
        <v>AAA</v>
      </c>
      <c r="B2635" s="6" t="str">
        <f>IFERROR(__xludf.DUMMYFUNCTION("""COMPUTED_VALUE"""),"ENG")</f>
        <v>ENG</v>
      </c>
      <c r="C2635" s="6" t="str">
        <f>IFERROR(__xludf.DUMMYFUNCTION("""COMPUTED_VALUE"""),"O-16032-00")</f>
        <v>O-16032-00</v>
      </c>
      <c r="D2635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635" s="6">
        <f>IFERROR(__xludf.DUMMYFUNCTION("""COMPUTED_VALUE"""),1.0)</f>
        <v>1</v>
      </c>
      <c r="F2635" s="6">
        <f>IFERROR(__xludf.DUMMYFUNCTION("""COMPUTED_VALUE"""),1.0)</f>
        <v>1</v>
      </c>
      <c r="G2635" s="6">
        <f>IFERROR(__xludf.DUMMYFUNCTION("""COMPUTED_VALUE"""),0.0)</f>
        <v>0</v>
      </c>
      <c r="H2635" s="6" t="str">
        <f>IFERROR(__xludf.DUMMYFUNCTION("""COMPUTED_VALUE"""),"Pcs")</f>
        <v>Pcs</v>
      </c>
      <c r="I2635" s="6" t="str">
        <f>IFERROR(__xludf.DUMMYFUNCTION("""COMPUTED_VALUE"""),"MFH")</f>
        <v>MFH</v>
      </c>
      <c r="J2635" s="6" t="str">
        <f>IFERROR(__xludf.DUMMYFUNCTION("""COMPUTED_VALUE"""),"cRABS")</f>
        <v>cRABS</v>
      </c>
      <c r="K2635" s="6" t="str">
        <f>IFERROR(__xludf.DUMMYFUNCTION("""COMPUTED_VALUE"""),"SPR/25/10/055")</f>
        <v>SPR/25/10/055</v>
      </c>
      <c r="L2635" s="13">
        <f>IFERROR(__xludf.DUMMYFUNCTION("""COMPUTED_VALUE"""),45961.0)</f>
        <v>45961</v>
      </c>
    </row>
    <row r="2636">
      <c r="A2636" s="6" t="str">
        <f>IFERROR(__xludf.DUMMYFUNCTION("""COMPUTED_VALUE"""),"MRN")</f>
        <v>MRN</v>
      </c>
      <c r="B2636" s="6" t="str">
        <f>IFERROR(__xludf.DUMMYFUNCTION("""COMPUTED_VALUE"""),"ENG")</f>
        <v>ENG</v>
      </c>
      <c r="C2636" s="6" t="str">
        <f>IFERROR(__xludf.DUMMYFUNCTION("""COMPUTED_VALUE"""),"P-14454-00")</f>
        <v>P-14454-00</v>
      </c>
      <c r="D2636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2636" s="6">
        <f>IFERROR(__xludf.DUMMYFUNCTION("""COMPUTED_VALUE"""),2.0)</f>
        <v>2</v>
      </c>
      <c r="F2636" s="6">
        <f>IFERROR(__xludf.DUMMYFUNCTION("""COMPUTED_VALUE"""),2.0)</f>
        <v>2</v>
      </c>
      <c r="G2636" s="6">
        <f>IFERROR(__xludf.DUMMYFUNCTION("""COMPUTED_VALUE"""),0.0)</f>
        <v>0</v>
      </c>
      <c r="H2636" s="6" t="str">
        <f>IFERROR(__xludf.DUMMYFUNCTION("""COMPUTED_VALUE"""),"Pcs")</f>
        <v>Pcs</v>
      </c>
      <c r="I2636" s="6" t="str">
        <f>IFERROR(__xludf.DUMMYFUNCTION("""COMPUTED_VALUE"""),"MFH")</f>
        <v>MFH</v>
      </c>
      <c r="J2636" s="6" t="str">
        <f>IFERROR(__xludf.DUMMYFUNCTION("""COMPUTED_VALUE"""),"AHU")</f>
        <v>AHU</v>
      </c>
      <c r="K2636" s="6" t="str">
        <f>IFERROR(__xludf.DUMMYFUNCTION("""COMPUTED_VALUE"""),"SPR/25/10/056")</f>
        <v>SPR/25/10/056</v>
      </c>
      <c r="L2636" s="13">
        <f>IFERROR(__xludf.DUMMYFUNCTION("""COMPUTED_VALUE"""),45961.0)</f>
        <v>45961</v>
      </c>
    </row>
    <row r="2637">
      <c r="A2637" s="6" t="str">
        <f>IFERROR(__xludf.DUMMYFUNCTION("""COMPUTED_VALUE"""),"MRN")</f>
        <v>MRN</v>
      </c>
      <c r="B2637" s="6" t="str">
        <f>IFERROR(__xludf.DUMMYFUNCTION("""COMPUTED_VALUE"""),"ENG")</f>
        <v>ENG</v>
      </c>
      <c r="C2637" s="6" t="str">
        <f>IFERROR(__xludf.DUMMYFUNCTION("""COMPUTED_VALUE"""),"P-14453-00")</f>
        <v>P-14453-00</v>
      </c>
      <c r="D2637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2637" s="6">
        <f>IFERROR(__xludf.DUMMYFUNCTION("""COMPUTED_VALUE"""),2.0)</f>
        <v>2</v>
      </c>
      <c r="F2637" s="6">
        <f>IFERROR(__xludf.DUMMYFUNCTION("""COMPUTED_VALUE"""),2.0)</f>
        <v>2</v>
      </c>
      <c r="G2637" s="6">
        <f>IFERROR(__xludf.DUMMYFUNCTION("""COMPUTED_VALUE"""),0.0)</f>
        <v>0</v>
      </c>
      <c r="H2637" s="6" t="str">
        <f>IFERROR(__xludf.DUMMYFUNCTION("""COMPUTED_VALUE"""),"Pcs")</f>
        <v>Pcs</v>
      </c>
      <c r="I2637" s="6" t="str">
        <f>IFERROR(__xludf.DUMMYFUNCTION("""COMPUTED_VALUE"""),"MFH")</f>
        <v>MFH</v>
      </c>
      <c r="J2637" s="6" t="str">
        <f>IFERROR(__xludf.DUMMYFUNCTION("""COMPUTED_VALUE"""),"AHU")</f>
        <v>AHU</v>
      </c>
      <c r="K2637" s="6" t="str">
        <f>IFERROR(__xludf.DUMMYFUNCTION("""COMPUTED_VALUE"""),"SPR/25/10/056")</f>
        <v>SPR/25/10/056</v>
      </c>
      <c r="L2637" s="13">
        <f>IFERROR(__xludf.DUMMYFUNCTION("""COMPUTED_VALUE"""),45961.0)</f>
        <v>45961</v>
      </c>
    </row>
    <row r="2638">
      <c r="A2638" s="6" t="str">
        <f>IFERROR(__xludf.DUMMYFUNCTION("""COMPUTED_VALUE"""),"MRN")</f>
        <v>MRN</v>
      </c>
      <c r="B2638" s="6" t="str">
        <f>IFERROR(__xludf.DUMMYFUNCTION("""COMPUTED_VALUE"""),"ENG")</f>
        <v>ENG</v>
      </c>
      <c r="C2638" s="6" t="str">
        <f>IFERROR(__xludf.DUMMYFUNCTION("""COMPUTED_VALUE"""),"P-51560-00")</f>
        <v>P-51560-00</v>
      </c>
      <c r="D2638" s="6" t="str">
        <f>IFERROR(__xludf.DUMMYFUNCTION("""COMPUTED_VALUE"""),"Lampu T5 28watt Putih; Phillips; ;")</f>
        <v>Lampu T5 28watt Putih; Phillips; ;</v>
      </c>
      <c r="E2638" s="6">
        <f>IFERROR(__xludf.DUMMYFUNCTION("""COMPUTED_VALUE"""),2.0)</f>
        <v>2</v>
      </c>
      <c r="F2638" s="6">
        <f>IFERROR(__xludf.DUMMYFUNCTION("""COMPUTED_VALUE"""),2.0)</f>
        <v>2</v>
      </c>
      <c r="G2638" s="6">
        <f>IFERROR(__xludf.DUMMYFUNCTION("""COMPUTED_VALUE"""),0.0)</f>
        <v>0</v>
      </c>
      <c r="H2638" s="6" t="str">
        <f>IFERROR(__xludf.DUMMYFUNCTION("""COMPUTED_VALUE"""),"Pcs")</f>
        <v>Pcs</v>
      </c>
      <c r="I2638" s="6" t="str">
        <f>IFERROR(__xludf.DUMMYFUNCTION("""COMPUTED_VALUE"""),"MFH")</f>
        <v>MFH</v>
      </c>
      <c r="J2638" s="6" t="str">
        <f>IFERROR(__xludf.DUMMYFUNCTION("""COMPUTED_VALUE"""),"Building")</f>
        <v>Building</v>
      </c>
      <c r="K2638" s="6" t="str">
        <f>IFERROR(__xludf.DUMMYFUNCTION("""COMPUTED_VALUE"""),"SPR/25/10/056")</f>
        <v>SPR/25/10/056</v>
      </c>
      <c r="L2638" s="13">
        <f>IFERROR(__xludf.DUMMYFUNCTION("""COMPUTED_VALUE"""),45961.0)</f>
        <v>45961</v>
      </c>
    </row>
    <row r="2639">
      <c r="A2639" s="6" t="str">
        <f>IFERROR(__xludf.DUMMYFUNCTION("""COMPUTED_VALUE"""),"MRN")</f>
        <v>MRN</v>
      </c>
      <c r="B2639" s="6" t="str">
        <f>IFERROR(__xludf.DUMMYFUNCTION("""COMPUTED_VALUE"""),"ENG")</f>
        <v>ENG</v>
      </c>
      <c r="C2639" s="6" t="str">
        <f>IFERROR(__xludf.DUMMYFUNCTION("""COMPUTED_VALUE"""),"P-51559-00")</f>
        <v>P-51559-00</v>
      </c>
      <c r="D2639" s="6" t="str">
        <f>IFERROR(__xludf.DUMMYFUNCTION("""COMPUTED_VALUE"""),"Lampu T5 14watt Putih; Phillips; ;")</f>
        <v>Lampu T5 14watt Putih; Phillips; ;</v>
      </c>
      <c r="E2639" s="6">
        <f>IFERROR(__xludf.DUMMYFUNCTION("""COMPUTED_VALUE"""),2.0)</f>
        <v>2</v>
      </c>
      <c r="F2639" s="6">
        <f>IFERROR(__xludf.DUMMYFUNCTION("""COMPUTED_VALUE"""),2.0)</f>
        <v>2</v>
      </c>
      <c r="G2639" s="6">
        <f>IFERROR(__xludf.DUMMYFUNCTION("""COMPUTED_VALUE"""),0.0)</f>
        <v>0</v>
      </c>
      <c r="H2639" s="6" t="str">
        <f>IFERROR(__xludf.DUMMYFUNCTION("""COMPUTED_VALUE"""),"Pcs")</f>
        <v>Pcs</v>
      </c>
      <c r="I2639" s="6" t="str">
        <f>IFERROR(__xludf.DUMMYFUNCTION("""COMPUTED_VALUE"""),"MFH")</f>
        <v>MFH</v>
      </c>
      <c r="J2639" s="6" t="str">
        <f>IFERROR(__xludf.DUMMYFUNCTION("""COMPUTED_VALUE"""),"Building")</f>
        <v>Building</v>
      </c>
      <c r="K2639" s="6" t="str">
        <f>IFERROR(__xludf.DUMMYFUNCTION("""COMPUTED_VALUE"""),"SPR/25/10/057")</f>
        <v>SPR/25/10/057</v>
      </c>
      <c r="L2639" s="13">
        <f>IFERROR(__xludf.DUMMYFUNCTION("""COMPUTED_VALUE"""),45961.0)</f>
        <v>45961</v>
      </c>
    </row>
    <row r="2640">
      <c r="A2640" s="6" t="str">
        <f>IFERROR(__xludf.DUMMYFUNCTION("""COMPUTED_VALUE"""),"SFH")</f>
        <v>SFH</v>
      </c>
      <c r="B2640" s="6" t="str">
        <f>IFERROR(__xludf.DUMMYFUNCTION("""COMPUTED_VALUE"""),"ENG")</f>
        <v>ENG</v>
      </c>
      <c r="C2640" s="6" t="str">
        <f>IFERROR(__xludf.DUMMYFUNCTION("""COMPUTED_VALUE"""),"Q-10153-00")</f>
        <v>Q-10153-00</v>
      </c>
      <c r="D2640" s="6" t="str">
        <f>IFERROR(__xludf.DUMMYFUNCTION("""COMPUTED_VALUE"""),"Roller cat 110mm")</f>
        <v>Roller cat 110mm</v>
      </c>
      <c r="E2640" s="6">
        <f>IFERROR(__xludf.DUMMYFUNCTION("""COMPUTED_VALUE"""),1.0)</f>
        <v>1</v>
      </c>
      <c r="F2640" s="6">
        <f>IFERROR(__xludf.DUMMYFUNCTION("""COMPUTED_VALUE"""),1.0)</f>
        <v>1</v>
      </c>
      <c r="G2640" s="6">
        <f>IFERROR(__xludf.DUMMYFUNCTION("""COMPUTED_VALUE"""),0.0)</f>
        <v>0</v>
      </c>
      <c r="H2640" s="6" t="str">
        <f>IFERROR(__xludf.DUMMYFUNCTION("""COMPUTED_VALUE"""),"Pcs")</f>
        <v>Pcs</v>
      </c>
      <c r="I2640" s="6" t="str">
        <f>IFERROR(__xludf.DUMMYFUNCTION("""COMPUTED_VALUE"""),"MFH")</f>
        <v>MFH</v>
      </c>
      <c r="J2640" s="6" t="str">
        <f>IFERROR(__xludf.DUMMYFUNCTION("""COMPUTED_VALUE"""),"Builidng")</f>
        <v>Builidng</v>
      </c>
      <c r="K2640" s="6" t="str">
        <f>IFERROR(__xludf.DUMMYFUNCTION("""COMPUTED_VALUE"""),"SPR/25/10/058")</f>
        <v>SPR/25/10/058</v>
      </c>
      <c r="L2640" s="13">
        <f>IFERROR(__xludf.DUMMYFUNCTION("""COMPUTED_VALUE"""),45961.0)</f>
        <v>45961</v>
      </c>
    </row>
    <row r="2641">
      <c r="A2641" s="6" t="str">
        <f>IFERROR(__xludf.DUMMYFUNCTION("""COMPUTED_VALUE"""),"SFH")</f>
        <v>SFH</v>
      </c>
      <c r="B2641" s="6" t="str">
        <f>IFERROR(__xludf.DUMMYFUNCTION("""COMPUTED_VALUE"""),"ENG")</f>
        <v>ENG</v>
      </c>
      <c r="C2641" s="6" t="str">
        <f>IFERROR(__xludf.DUMMYFUNCTION("""COMPUTED_VALUE"""),"P-51559-00")</f>
        <v>P-51559-00</v>
      </c>
      <c r="D2641" s="6" t="str">
        <f>IFERROR(__xludf.DUMMYFUNCTION("""COMPUTED_VALUE"""),"Lampu T5 14watt Putih; Phillips; ;")</f>
        <v>Lampu T5 14watt Putih; Phillips; ;</v>
      </c>
      <c r="E2641" s="6">
        <f>IFERROR(__xludf.DUMMYFUNCTION("""COMPUTED_VALUE"""),5.0)</f>
        <v>5</v>
      </c>
      <c r="F2641" s="6">
        <f>IFERROR(__xludf.DUMMYFUNCTION("""COMPUTED_VALUE"""),5.0)</f>
        <v>5</v>
      </c>
      <c r="G2641" s="6">
        <f>IFERROR(__xludf.DUMMYFUNCTION("""COMPUTED_VALUE"""),0.0)</f>
        <v>0</v>
      </c>
      <c r="H2641" s="6" t="str">
        <f>IFERROR(__xludf.DUMMYFUNCTION("""COMPUTED_VALUE"""),"Pcs")</f>
        <v>Pcs</v>
      </c>
      <c r="I2641" s="6" t="str">
        <f>IFERROR(__xludf.DUMMYFUNCTION("""COMPUTED_VALUE"""),"MFH")</f>
        <v>MFH</v>
      </c>
      <c r="J2641" s="6" t="str">
        <f>IFERROR(__xludf.DUMMYFUNCTION("""COMPUTED_VALUE"""),"Building")</f>
        <v>Building</v>
      </c>
      <c r="K2641" s="6" t="str">
        <f>IFERROR(__xludf.DUMMYFUNCTION("""COMPUTED_VALUE"""),"SPR/25/10/058")</f>
        <v>SPR/25/10/058</v>
      </c>
      <c r="L2641" s="13">
        <f>IFERROR(__xludf.DUMMYFUNCTION("""COMPUTED_VALUE"""),45961.0)</f>
        <v>45961</v>
      </c>
    </row>
    <row r="2642">
      <c r="A2642" s="6" t="str">
        <f>IFERROR(__xludf.DUMMYFUNCTION("""COMPUTED_VALUE"""),"SFH")</f>
        <v>SFH</v>
      </c>
      <c r="B2642" s="6" t="str">
        <f>IFERROR(__xludf.DUMMYFUNCTION("""COMPUTED_VALUE"""),"ENG")</f>
        <v>ENG</v>
      </c>
      <c r="C2642" s="6" t="str">
        <f>IFERROR(__xludf.DUMMYFUNCTION("""COMPUTED_VALUE"""),"P-51560-00")</f>
        <v>P-51560-00</v>
      </c>
      <c r="D2642" s="6" t="str">
        <f>IFERROR(__xludf.DUMMYFUNCTION("""COMPUTED_VALUE"""),"Lampu T5 28watt Putih; Phillips; ;")</f>
        <v>Lampu T5 28watt Putih; Phillips; ;</v>
      </c>
      <c r="E2642" s="6">
        <f>IFERROR(__xludf.DUMMYFUNCTION("""COMPUTED_VALUE"""),3.0)</f>
        <v>3</v>
      </c>
      <c r="F2642" s="6">
        <f>IFERROR(__xludf.DUMMYFUNCTION("""COMPUTED_VALUE"""),3.0)</f>
        <v>3</v>
      </c>
      <c r="G2642" s="6">
        <f>IFERROR(__xludf.DUMMYFUNCTION("""COMPUTED_VALUE"""),0.0)</f>
        <v>0</v>
      </c>
      <c r="H2642" s="6" t="str">
        <f>IFERROR(__xludf.DUMMYFUNCTION("""COMPUTED_VALUE"""),"Pcs")</f>
        <v>Pcs</v>
      </c>
      <c r="I2642" s="6" t="str">
        <f>IFERROR(__xludf.DUMMYFUNCTION("""COMPUTED_VALUE"""),"MFH")</f>
        <v>MFH</v>
      </c>
      <c r="J2642" s="6" t="str">
        <f>IFERROR(__xludf.DUMMYFUNCTION("""COMPUTED_VALUE"""),"Building")</f>
        <v>Building</v>
      </c>
      <c r="K2642" s="6" t="str">
        <f>IFERROR(__xludf.DUMMYFUNCTION("""COMPUTED_VALUE"""),"SPR/25/10/058")</f>
        <v>SPR/25/10/058</v>
      </c>
      <c r="L2642" s="13">
        <f>IFERROR(__xludf.DUMMYFUNCTION("""COMPUTED_VALUE"""),45961.0)</f>
        <v>45961</v>
      </c>
    </row>
    <row r="2643">
      <c r="A2643" s="6" t="str">
        <f>IFERROR(__xludf.DUMMYFUNCTION("""COMPUTED_VALUE"""),"BDU")</f>
        <v>BDU</v>
      </c>
      <c r="B2643" s="6" t="str">
        <f>IFERROR(__xludf.DUMMYFUNCTION("""COMPUTED_VALUE"""),"ENG")</f>
        <v>ENG</v>
      </c>
      <c r="C2643" s="6" t="str">
        <f>IFERROR(__xludf.DUMMYFUNCTION("""COMPUTED_VALUE"""),"S-40645-00")</f>
        <v>S-40645-00</v>
      </c>
      <c r="D2643" s="6" t="str">
        <f>IFERROR(__xludf.DUMMYFUNCTION("""COMPUTED_VALUE"""),"Cable Ties, 200 x 4.8 mm; SIGMA; CS 200L; Putih;100 pcs/pack")</f>
        <v>Cable Ties, 200 x 4.8 mm; SIGMA; CS 200L; Putih;100 pcs/pack</v>
      </c>
      <c r="E2643" s="6">
        <f>IFERROR(__xludf.DUMMYFUNCTION("""COMPUTED_VALUE"""),1.0)</f>
        <v>1</v>
      </c>
      <c r="F2643" s="6">
        <f>IFERROR(__xludf.DUMMYFUNCTION("""COMPUTED_VALUE"""),1.0)</f>
        <v>1</v>
      </c>
      <c r="G2643" s="6">
        <f>IFERROR(__xludf.DUMMYFUNCTION("""COMPUTED_VALUE"""),0.0)</f>
        <v>0</v>
      </c>
      <c r="H2643" s="6" t="str">
        <f>IFERROR(__xludf.DUMMYFUNCTION("""COMPUTED_VALUE"""),"Pcs")</f>
        <v>Pcs</v>
      </c>
      <c r="I2643" s="6" t="str">
        <f>IFERROR(__xludf.DUMMYFUNCTION("""COMPUTED_VALUE"""),"MFH")</f>
        <v>MFH</v>
      </c>
      <c r="J2643" s="6" t="str">
        <f>IFERROR(__xludf.DUMMYFUNCTION("""COMPUTED_VALUE"""),"-")</f>
        <v>-</v>
      </c>
      <c r="K2643" s="6" t="str">
        <f>IFERROR(__xludf.DUMMYFUNCTION("""COMPUTED_VALUE"""),"SPR/25/10/059")</f>
        <v>SPR/25/10/059</v>
      </c>
      <c r="L2643" s="13">
        <f>IFERROR(__xludf.DUMMYFUNCTION("""COMPUTED_VALUE"""),45961.0)</f>
        <v>45961</v>
      </c>
    </row>
    <row r="2644">
      <c r="A2644" s="6" t="str">
        <f>IFERROR(__xludf.DUMMYFUNCTION("""COMPUTED_VALUE"""),"BFN")</f>
        <v>BFN</v>
      </c>
      <c r="B2644" s="6" t="str">
        <f>IFERROR(__xludf.DUMMYFUNCTION("""COMPUTED_VALUE"""),"PRO")</f>
        <v>PRO</v>
      </c>
      <c r="C2644" s="6" t="str">
        <f>IFERROR(__xludf.DUMMYFUNCTION("""COMPUTED_VALUE"""),"Q-10249-00")</f>
        <v>Q-10249-00</v>
      </c>
      <c r="D2644" s="6" t="str">
        <f>IFERROR(__xludf.DUMMYFUNCTION("""COMPUTED_VALUE"""),"Lem Power Glue; ; ;")</f>
        <v>Lem Power Glue; ; ;</v>
      </c>
      <c r="E2644" s="6">
        <f>IFERROR(__xludf.DUMMYFUNCTION("""COMPUTED_VALUE"""),1.0)</f>
        <v>1</v>
      </c>
      <c r="F2644" s="6">
        <f>IFERROR(__xludf.DUMMYFUNCTION("""COMPUTED_VALUE"""),1.0)</f>
        <v>1</v>
      </c>
      <c r="G2644" s="6">
        <f>IFERROR(__xludf.DUMMYFUNCTION("""COMPUTED_VALUE"""),0.0)</f>
        <v>0</v>
      </c>
      <c r="H2644" s="6" t="str">
        <f>IFERROR(__xludf.DUMMYFUNCTION("""COMPUTED_VALUE"""),"Pcs")</f>
        <v>Pcs</v>
      </c>
      <c r="I2644" s="6" t="str">
        <f>IFERROR(__xludf.DUMMYFUNCTION("""COMPUTED_VALUE"""),"MFH")</f>
        <v>MFH</v>
      </c>
      <c r="J2644" s="6" t="str">
        <f>IFERROR(__xludf.DUMMYFUNCTION("""COMPUTED_VALUE"""),"-")</f>
        <v>-</v>
      </c>
      <c r="K2644" s="6" t="str">
        <f>IFERROR(__xludf.DUMMYFUNCTION("""COMPUTED_VALUE"""),"SPR/25/10/060")</f>
        <v>SPR/25/10/060</v>
      </c>
      <c r="L2644" s="13">
        <f>IFERROR(__xludf.DUMMYFUNCTION("""COMPUTED_VALUE"""),45961.0)</f>
        <v>45961</v>
      </c>
    </row>
    <row r="2645">
      <c r="A2645" s="6" t="str">
        <f>IFERROR(__xludf.DUMMYFUNCTION("""COMPUTED_VALUE"""),"ROS")</f>
        <v>ROS</v>
      </c>
      <c r="B2645" s="6" t="str">
        <f>IFERROR(__xludf.DUMMYFUNCTION("""COMPUTED_VALUE"""),"ENG")</f>
        <v>ENG</v>
      </c>
      <c r="C2645" s="6" t="str">
        <f>IFERROR(__xludf.DUMMYFUNCTION("""COMPUTED_VALUE"""),"O-16732-00")</f>
        <v>O-16732-00</v>
      </c>
      <c r="D2645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2645" s="6">
        <f>IFERROR(__xludf.DUMMYFUNCTION("""COMPUTED_VALUE"""),1.0)</f>
        <v>1</v>
      </c>
      <c r="F2645" s="6">
        <f>IFERROR(__xludf.DUMMYFUNCTION("""COMPUTED_VALUE"""),1.0)</f>
        <v>1</v>
      </c>
      <c r="G2645" s="6">
        <f>IFERROR(__xludf.DUMMYFUNCTION("""COMPUTED_VALUE"""),0.0)</f>
        <v>0</v>
      </c>
      <c r="H2645" s="6" t="str">
        <f>IFERROR(__xludf.DUMMYFUNCTION("""COMPUTED_VALUE"""),"Pcs")</f>
        <v>Pcs</v>
      </c>
      <c r="I2645" s="6" t="str">
        <f>IFERROR(__xludf.DUMMYFUNCTION("""COMPUTED_VALUE"""),"MFH")</f>
        <v>MFH</v>
      </c>
      <c r="J2645" s="6" t="str">
        <f>IFERROR(__xludf.DUMMYFUNCTION("""COMPUTED_VALUE"""),"Autoclave")</f>
        <v>Autoclave</v>
      </c>
      <c r="K2645" s="6" t="str">
        <f>IFERROR(__xludf.DUMMYFUNCTION("""COMPUTED_VALUE"""),"SPR/25/10/061")</f>
        <v>SPR/25/10/061</v>
      </c>
      <c r="L2645" s="13">
        <f>IFERROR(__xludf.DUMMYFUNCTION("""COMPUTED_VALUE"""),45961.0)</f>
        <v>45961</v>
      </c>
    </row>
    <row r="2646">
      <c r="A2646" s="6" t="str">
        <f>IFERROR(__xludf.DUMMYFUNCTION("""COMPUTED_VALUE"""),"NDS")</f>
        <v>NDS</v>
      </c>
      <c r="B2646" s="6" t="str">
        <f>IFERROR(__xludf.DUMMYFUNCTION("""COMPUTED_VALUE"""),"ENG")</f>
        <v>ENG</v>
      </c>
      <c r="C2646" s="6" t="str">
        <f>IFERROR(__xludf.DUMMYFUNCTION("""COMPUTED_VALUE"""),"O-15902-00")</f>
        <v>O-15902-00</v>
      </c>
      <c r="D2646" s="6" t="str">
        <f>IFERROR(__xludf.DUMMYFUNCTION("""COMPUTED_VALUE"""),"Suction Cup capping size 6R; P/N : 011010; ; ;")</f>
        <v>Suction Cup capping size 6R; P/N : 011010; ; ;</v>
      </c>
      <c r="E2646" s="6">
        <f>IFERROR(__xludf.DUMMYFUNCTION("""COMPUTED_VALUE"""),5.0)</f>
        <v>5</v>
      </c>
      <c r="F2646" s="6">
        <f>IFERROR(__xludf.DUMMYFUNCTION("""COMPUTED_VALUE"""),5.0)</f>
        <v>5</v>
      </c>
      <c r="G2646" s="6">
        <f>IFERROR(__xludf.DUMMYFUNCTION("""COMPUTED_VALUE"""),0.0)</f>
        <v>0</v>
      </c>
      <c r="H2646" s="6" t="str">
        <f>IFERROR(__xludf.DUMMYFUNCTION("""COMPUTED_VALUE"""),"Pcs")</f>
        <v>Pcs</v>
      </c>
      <c r="I2646" s="6" t="str">
        <f>IFERROR(__xludf.DUMMYFUNCTION("""COMPUTED_VALUE"""),"MFH")</f>
        <v>MFH</v>
      </c>
      <c r="J2646" s="6" t="str">
        <f>IFERROR(__xludf.DUMMYFUNCTION("""COMPUTED_VALUE"""),"Capping")</f>
        <v>Capping</v>
      </c>
      <c r="K2646" s="6" t="str">
        <f>IFERROR(__xludf.DUMMYFUNCTION("""COMPUTED_VALUE"""),"SPR/25/10/062")</f>
        <v>SPR/25/10/062</v>
      </c>
      <c r="L2646" s="13">
        <f>IFERROR(__xludf.DUMMYFUNCTION("""COMPUTED_VALUE"""),45961.0)</f>
        <v>45961</v>
      </c>
    </row>
    <row r="2647">
      <c r="A2647" s="6" t="str">
        <f>IFERROR(__xludf.DUMMYFUNCTION("""COMPUTED_VALUE"""),"NDS")</f>
        <v>NDS</v>
      </c>
      <c r="B2647" s="6" t="str">
        <f>IFERROR(__xludf.DUMMYFUNCTION("""COMPUTED_VALUE"""),"ENG")</f>
        <v>ENG</v>
      </c>
      <c r="C2647" s="6" t="str">
        <f>IFERROR(__xludf.DUMMYFUNCTION("""COMPUTED_VALUE"""),"O-15697-00")</f>
        <v>O-15697-00</v>
      </c>
      <c r="D2647" s="6" t="str">
        <f>IFERROR(__xludf.DUMMYFUNCTION("""COMPUTED_VALUE"""),"SILICONE SUCKER 01.16.20; PART NO :202370")</f>
        <v>SILICONE SUCKER 01.16.20; PART NO :202370</v>
      </c>
      <c r="E2647" s="6">
        <f>IFERROR(__xludf.DUMMYFUNCTION("""COMPUTED_VALUE"""),10.0)</f>
        <v>10</v>
      </c>
      <c r="F2647" s="6">
        <f>IFERROR(__xludf.DUMMYFUNCTION("""COMPUTED_VALUE"""),10.0)</f>
        <v>10</v>
      </c>
      <c r="G2647" s="6">
        <f>IFERROR(__xludf.DUMMYFUNCTION("""COMPUTED_VALUE"""),0.0)</f>
        <v>0</v>
      </c>
      <c r="H2647" s="6" t="str">
        <f>IFERROR(__xludf.DUMMYFUNCTION("""COMPUTED_VALUE"""),"Pcs")</f>
        <v>Pcs</v>
      </c>
      <c r="I2647" s="6" t="str">
        <f>IFERROR(__xludf.DUMMYFUNCTION("""COMPUTED_VALUE"""),"MFH")</f>
        <v>MFH</v>
      </c>
      <c r="J2647" s="6" t="str">
        <f>IFERROR(__xludf.DUMMYFUNCTION("""COMPUTED_VALUE"""),"Capping")</f>
        <v>Capping</v>
      </c>
      <c r="K2647" s="6" t="str">
        <f>IFERROR(__xludf.DUMMYFUNCTION("""COMPUTED_VALUE"""),"SPR/25/10/062")</f>
        <v>SPR/25/10/062</v>
      </c>
      <c r="L2647" s="13">
        <f>IFERROR(__xludf.DUMMYFUNCTION("""COMPUTED_VALUE"""),45961.0)</f>
        <v>45961</v>
      </c>
    </row>
    <row r="2648">
      <c r="A2648" s="6" t="str">
        <f>IFERROR(__xludf.DUMMYFUNCTION("""COMPUTED_VALUE"""),"NDS")</f>
        <v>NDS</v>
      </c>
      <c r="B2648" s="6" t="str">
        <f>IFERROR(__xludf.DUMMYFUNCTION("""COMPUTED_VALUE"""),"ENG")</f>
        <v>ENG</v>
      </c>
      <c r="C2648" s="6" t="str">
        <f>IFERROR(__xludf.DUMMYFUNCTION("""COMPUTED_VALUE"""),"O-16647-00")</f>
        <v>O-16647-00</v>
      </c>
      <c r="D2648" s="6" t="str">
        <f>IFERROR(__xludf.DUMMYFUNCTION("""COMPUTED_VALUE"""),"Washing RAR4 - Oring Silicone Merah 23x18x2.5 mm; ; ;")</f>
        <v>Washing RAR4 - Oring Silicone Merah 23x18x2.5 mm; ; ;</v>
      </c>
      <c r="E2648" s="6">
        <f>IFERROR(__xludf.DUMMYFUNCTION("""COMPUTED_VALUE"""),10.0)</f>
        <v>10</v>
      </c>
      <c r="F2648" s="6">
        <f>IFERROR(__xludf.DUMMYFUNCTION("""COMPUTED_VALUE"""),10.0)</f>
        <v>10</v>
      </c>
      <c r="G2648" s="6">
        <f>IFERROR(__xludf.DUMMYFUNCTION("""COMPUTED_VALUE"""),0.0)</f>
        <v>0</v>
      </c>
      <c r="H2648" s="6" t="str">
        <f>IFERROR(__xludf.DUMMYFUNCTION("""COMPUTED_VALUE"""),"Pcs")</f>
        <v>Pcs</v>
      </c>
      <c r="I2648" s="6" t="str">
        <f>IFERROR(__xludf.DUMMYFUNCTION("""COMPUTED_VALUE"""),"MFH")</f>
        <v>MFH</v>
      </c>
      <c r="J2648" s="6" t="str">
        <f>IFERROR(__xludf.DUMMYFUNCTION("""COMPUTED_VALUE"""),"Capping")</f>
        <v>Capping</v>
      </c>
      <c r="K2648" s="6" t="str">
        <f>IFERROR(__xludf.DUMMYFUNCTION("""COMPUTED_VALUE"""),"SPR/25/10/062")</f>
        <v>SPR/25/10/062</v>
      </c>
      <c r="L2648" s="13">
        <f>IFERROR(__xludf.DUMMYFUNCTION("""COMPUTED_VALUE"""),45961.0)</f>
        <v>45961</v>
      </c>
    </row>
    <row r="2649">
      <c r="A2649" s="6" t="str">
        <f>IFERROR(__xludf.DUMMYFUNCTION("""COMPUTED_VALUE"""),"TIA")</f>
        <v>TIA</v>
      </c>
      <c r="B2649" s="6" t="str">
        <f>IFERROR(__xludf.DUMMYFUNCTION("""COMPUTED_VALUE"""),"ENG")</f>
        <v>ENG</v>
      </c>
      <c r="C2649" s="6" t="str">
        <f>IFERROR(__xludf.DUMMYFUNCTION("""COMPUTED_VALUE"""),"T-20055-00")</f>
        <v>T-20055-00</v>
      </c>
      <c r="D2649" s="6" t="str">
        <f>IFERROR(__xludf.DUMMYFUNCTION("""COMPUTED_VALUE"""),"PerformancePlus Check Valve Cartridge; Waters; p/n 700002399")</f>
        <v>PerformancePlus Check Valve Cartridge; Waters; p/n 700002399</v>
      </c>
      <c r="E2649" s="6">
        <f>IFERROR(__xludf.DUMMYFUNCTION("""COMPUTED_VALUE"""),1.0)</f>
        <v>1</v>
      </c>
      <c r="F2649" s="6">
        <f>IFERROR(__xludf.DUMMYFUNCTION("""COMPUTED_VALUE"""),1.0)</f>
        <v>1</v>
      </c>
      <c r="G2649" s="6">
        <f>IFERROR(__xludf.DUMMYFUNCTION("""COMPUTED_VALUE"""),0.0)</f>
        <v>0</v>
      </c>
      <c r="H2649" s="6" t="str">
        <f>IFERROR(__xludf.DUMMYFUNCTION("""COMPUTED_VALUE"""),"Pcs")</f>
        <v>Pcs</v>
      </c>
      <c r="I2649" s="6" t="str">
        <f>IFERROR(__xludf.DUMMYFUNCTION("""COMPUTED_VALUE"""),"MFH")</f>
        <v>MFH</v>
      </c>
      <c r="J2649" s="6" t="str">
        <f>IFERROR(__xludf.DUMMYFUNCTION("""COMPUTED_VALUE"""),"HPLC")</f>
        <v>HPLC</v>
      </c>
      <c r="K2649" s="6" t="str">
        <f>IFERROR(__xludf.DUMMYFUNCTION("""COMPUTED_VALUE"""),"SPR/25/10/063")</f>
        <v>SPR/25/10/063</v>
      </c>
      <c r="L2649" s="13">
        <f>IFERROR(__xludf.DUMMYFUNCTION("""COMPUTED_VALUE"""),45961.0)</f>
        <v>45961</v>
      </c>
    </row>
    <row r="2650">
      <c r="A2650" s="6" t="str">
        <f>IFERROR(__xludf.DUMMYFUNCTION("""COMPUTED_VALUE"""),"KFF")</f>
        <v>KFF</v>
      </c>
      <c r="B2650" s="6" t="str">
        <f>IFERROR(__xludf.DUMMYFUNCTION("""COMPUTED_VALUE"""),"ENG")</f>
        <v>ENG</v>
      </c>
      <c r="C2650" s="6" t="str">
        <f>IFERROR(__xludf.DUMMYFUNCTION("""COMPUTED_VALUE"""),"P-18467-00")</f>
        <v>P-18467-00</v>
      </c>
      <c r="D2650" s="6" t="str">
        <f>IFERROR(__xludf.DUMMYFUNCTION("""COMPUTED_VALUE"""),"Pass Box Stickers JZC-A Kecil")</f>
        <v>Pass Box Stickers JZC-A Kecil</v>
      </c>
      <c r="E2650" s="6">
        <f>IFERROR(__xludf.DUMMYFUNCTION("""COMPUTED_VALUE"""),2.0)</f>
        <v>2</v>
      </c>
      <c r="F2650" s="6">
        <f>IFERROR(__xludf.DUMMYFUNCTION("""COMPUTED_VALUE"""),2.0)</f>
        <v>2</v>
      </c>
      <c r="G2650" s="6">
        <f>IFERROR(__xludf.DUMMYFUNCTION("""COMPUTED_VALUE"""),0.0)</f>
        <v>0</v>
      </c>
      <c r="H2650" s="6" t="str">
        <f>IFERROR(__xludf.DUMMYFUNCTION("""COMPUTED_VALUE"""),"Pcs")</f>
        <v>Pcs</v>
      </c>
      <c r="I2650" s="6" t="str">
        <f>IFERROR(__xludf.DUMMYFUNCTION("""COMPUTED_VALUE"""),"MFH")</f>
        <v>MFH</v>
      </c>
      <c r="J2650" s="6" t="str">
        <f>IFERROR(__xludf.DUMMYFUNCTION("""COMPUTED_VALUE"""),"Passbox")</f>
        <v>Passbox</v>
      </c>
      <c r="K2650" s="6" t="str">
        <f>IFERROR(__xludf.DUMMYFUNCTION("""COMPUTED_VALUE"""),"SPR/25/10/064")</f>
        <v>SPR/25/10/064</v>
      </c>
      <c r="L2650" s="13">
        <f>IFERROR(__xludf.DUMMYFUNCTION("""COMPUTED_VALUE"""),45961.0)</f>
        <v>45961</v>
      </c>
    </row>
    <row r="2651">
      <c r="A2651" s="6" t="str">
        <f>IFERROR(__xludf.DUMMYFUNCTION("""COMPUTED_VALUE"""),"SFH")</f>
        <v>SFH</v>
      </c>
      <c r="B2651" s="6" t="str">
        <f>IFERROR(__xludf.DUMMYFUNCTION("""COMPUTED_VALUE"""),"ENG")</f>
        <v>ENG</v>
      </c>
      <c r="C2651" s="6" t="str">
        <f>IFERROR(__xludf.DUMMYFUNCTION("""COMPUTED_VALUE"""),"Q-10378-00")</f>
        <v>Q-10378-00</v>
      </c>
      <c r="D2651" s="6" t="str">
        <f>IFERROR(__xludf.DUMMYFUNCTION("""COMPUTED_VALUE"""),"Kunci Laci Cam Lock;Huben;PN: HL 103-25 mm;pack size per pcs")</f>
        <v>Kunci Laci Cam Lock;Huben;PN: HL 103-25 mm;pack size per pcs</v>
      </c>
      <c r="E2651" s="6">
        <f>IFERROR(__xludf.DUMMYFUNCTION("""COMPUTED_VALUE"""),2.0)</f>
        <v>2</v>
      </c>
      <c r="F2651" s="6">
        <f>IFERROR(__xludf.DUMMYFUNCTION("""COMPUTED_VALUE"""),2.0)</f>
        <v>2</v>
      </c>
      <c r="G2651" s="6">
        <f>IFERROR(__xludf.DUMMYFUNCTION("""COMPUTED_VALUE"""),0.0)</f>
        <v>0</v>
      </c>
      <c r="H2651" s="6" t="str">
        <f>IFERROR(__xludf.DUMMYFUNCTION("""COMPUTED_VALUE"""),"Pcs")</f>
        <v>Pcs</v>
      </c>
      <c r="I2651" s="6" t="str">
        <f>IFERROR(__xludf.DUMMYFUNCTION("""COMPUTED_VALUE"""),"MFH")</f>
        <v>MFH</v>
      </c>
      <c r="J2651" s="6" t="str">
        <f>IFERROR(__xludf.DUMMYFUNCTION("""COMPUTED_VALUE"""),"Building")</f>
        <v>Building</v>
      </c>
      <c r="K2651" s="6" t="str">
        <f>IFERROR(__xludf.DUMMYFUNCTION("""COMPUTED_VALUE"""),"SPR/25/10/065")</f>
        <v>SPR/25/10/065</v>
      </c>
      <c r="L2651" s="13">
        <f>IFERROR(__xludf.DUMMYFUNCTION("""COMPUTED_VALUE"""),45961.0)</f>
        <v>45961</v>
      </c>
    </row>
    <row r="2652">
      <c r="A2652" s="6" t="str">
        <f>IFERROR(__xludf.DUMMYFUNCTION("""COMPUTED_VALUE"""),"RIA")</f>
        <v>RIA</v>
      </c>
      <c r="B2652" s="6" t="str">
        <f>IFERROR(__xludf.DUMMYFUNCTION("""COMPUTED_VALUE"""),"ENG")</f>
        <v>ENG</v>
      </c>
      <c r="C2652" s="6" t="str">
        <f>IFERROR(__xludf.DUMMYFUNCTION("""COMPUTED_VALUE"""),"P-11431-00")</f>
        <v>P-11431-00</v>
      </c>
      <c r="D2652" s="6" t="str">
        <f>IFERROR(__xludf.DUMMYFUNCTION("""COMPUTED_VALUE"""),"General - Plastic Tubing, PUN-H-8X1,25-BL; Festo; 197385; 1 m")</f>
        <v>General - Plastic Tubing, PUN-H-8X1,25-BL; Festo; 197385; 1 m</v>
      </c>
      <c r="E2652" s="6">
        <f>IFERROR(__xludf.DUMMYFUNCTION("""COMPUTED_VALUE"""),30.0)</f>
        <v>30</v>
      </c>
      <c r="F2652" s="6">
        <f>IFERROR(__xludf.DUMMYFUNCTION("""COMPUTED_VALUE"""),30.0)</f>
        <v>30</v>
      </c>
      <c r="G2652" s="6">
        <f>IFERROR(__xludf.DUMMYFUNCTION("""COMPUTED_VALUE"""),0.0)</f>
        <v>0</v>
      </c>
      <c r="H2652" s="6" t="str">
        <f>IFERROR(__xludf.DUMMYFUNCTION("""COMPUTED_VALUE"""),"Pcs")</f>
        <v>Pcs</v>
      </c>
      <c r="I2652" s="6" t="str">
        <f>IFERROR(__xludf.DUMMYFUNCTION("""COMPUTED_VALUE"""),"MFH")</f>
        <v>MFH</v>
      </c>
      <c r="J2652" s="6" t="str">
        <f>IFERROR(__xludf.DUMMYFUNCTION("""COMPUTED_VALUE"""),"WWTP")</f>
        <v>WWTP</v>
      </c>
      <c r="K2652" s="6" t="str">
        <f>IFERROR(__xludf.DUMMYFUNCTION("""COMPUTED_VALUE"""),"SPR/25/10/066")</f>
        <v>SPR/25/10/066</v>
      </c>
      <c r="L2652" s="13">
        <f>IFERROR(__xludf.DUMMYFUNCTION("""COMPUTED_VALUE"""),45961.0)</f>
        <v>45961</v>
      </c>
    </row>
    <row r="2653">
      <c r="A2653" s="6" t="str">
        <f>IFERROR(__xludf.DUMMYFUNCTION("""COMPUTED_VALUE"""),"RIA")</f>
        <v>RIA</v>
      </c>
      <c r="B2653" s="6" t="str">
        <f>IFERROR(__xludf.DUMMYFUNCTION("""COMPUTED_VALUE"""),"ENG")</f>
        <v>ENG</v>
      </c>
      <c r="C2653" s="6" t="str">
        <f>IFERROR(__xludf.DUMMYFUNCTION("""COMPUTED_VALUE"""),"P-11175-00")</f>
        <v>P-11175-00</v>
      </c>
      <c r="D2653" s="6" t="str">
        <f>IFERROR(__xludf.DUMMYFUNCTION("""COMPUTED_VALUE"""),"Pneumatic  Fitting - QS 10-8 / PN : 153039 / Festo")</f>
        <v>Pneumatic  Fitting - QS 10-8 / PN : 153039 / Festo</v>
      </c>
      <c r="E2653" s="6">
        <f>IFERROR(__xludf.DUMMYFUNCTION("""COMPUTED_VALUE"""),1.0)</f>
        <v>1</v>
      </c>
      <c r="F2653" s="6">
        <f>IFERROR(__xludf.DUMMYFUNCTION("""COMPUTED_VALUE"""),1.0)</f>
        <v>1</v>
      </c>
      <c r="G2653" s="6">
        <f>IFERROR(__xludf.DUMMYFUNCTION("""COMPUTED_VALUE"""),0.0)</f>
        <v>0</v>
      </c>
      <c r="H2653" s="6" t="str">
        <f>IFERROR(__xludf.DUMMYFUNCTION("""COMPUTED_VALUE"""),"Pcs")</f>
        <v>Pcs</v>
      </c>
      <c r="I2653" s="6" t="str">
        <f>IFERROR(__xludf.DUMMYFUNCTION("""COMPUTED_VALUE"""),"MFH")</f>
        <v>MFH</v>
      </c>
      <c r="J2653" s="6" t="str">
        <f>IFERROR(__xludf.DUMMYFUNCTION("""COMPUTED_VALUE"""),"WWTP")</f>
        <v>WWTP</v>
      </c>
      <c r="K2653" s="6" t="str">
        <f>IFERROR(__xludf.DUMMYFUNCTION("""COMPUTED_VALUE"""),"SPR/25/10/066")</f>
        <v>SPR/25/10/066</v>
      </c>
      <c r="L2653" s="13">
        <f>IFERROR(__xludf.DUMMYFUNCTION("""COMPUTED_VALUE"""),45961.0)</f>
        <v>45961</v>
      </c>
    </row>
    <row r="2654">
      <c r="A2654" s="6" t="str">
        <f>IFERROR(__xludf.DUMMYFUNCTION("""COMPUTED_VALUE"""),"RIA")</f>
        <v>RIA</v>
      </c>
      <c r="B2654" s="6" t="str">
        <f>IFERROR(__xludf.DUMMYFUNCTION("""COMPUTED_VALUE"""),"ENG")</f>
        <v>ENG</v>
      </c>
      <c r="C2654" s="6" t="str">
        <f>IFERROR(__xludf.DUMMYFUNCTION("""COMPUTED_VALUE"""),"P-12266-00")</f>
        <v>P-12266-00</v>
      </c>
      <c r="D2654" s="6" t="str">
        <f>IFERROR(__xludf.DUMMYFUNCTION("""COMPUTED_VALUE"""),"FESTO - Push In Fitting QS-1/2-10 part number 190646")</f>
        <v>FESTO - Push In Fitting QS-1/2-10 part number 190646</v>
      </c>
      <c r="E2654" s="6">
        <f>IFERROR(__xludf.DUMMYFUNCTION("""COMPUTED_VALUE"""),1.0)</f>
        <v>1</v>
      </c>
      <c r="F2654" s="6">
        <f>IFERROR(__xludf.DUMMYFUNCTION("""COMPUTED_VALUE"""),1.0)</f>
        <v>1</v>
      </c>
      <c r="G2654" s="6">
        <f>IFERROR(__xludf.DUMMYFUNCTION("""COMPUTED_VALUE"""),0.0)</f>
        <v>0</v>
      </c>
      <c r="H2654" s="6" t="str">
        <f>IFERROR(__xludf.DUMMYFUNCTION("""COMPUTED_VALUE"""),"Pcs")</f>
        <v>Pcs</v>
      </c>
      <c r="I2654" s="6" t="str">
        <f>IFERROR(__xludf.DUMMYFUNCTION("""COMPUTED_VALUE"""),"MFH")</f>
        <v>MFH</v>
      </c>
      <c r="J2654" s="6" t="str">
        <f>IFERROR(__xludf.DUMMYFUNCTION("""COMPUTED_VALUE"""),"WWTP")</f>
        <v>WWTP</v>
      </c>
      <c r="K2654" s="6" t="str">
        <f>IFERROR(__xludf.DUMMYFUNCTION("""COMPUTED_VALUE"""),"SPR/25/10/066")</f>
        <v>SPR/25/10/066</v>
      </c>
      <c r="L2654" s="13">
        <f>IFERROR(__xludf.DUMMYFUNCTION("""COMPUTED_VALUE"""),45961.0)</f>
        <v>45961</v>
      </c>
    </row>
    <row r="2655">
      <c r="A2655" s="6" t="str">
        <f>IFERROR(__xludf.DUMMYFUNCTION("""COMPUTED_VALUE"""),"RIA")</f>
        <v>RIA</v>
      </c>
      <c r="B2655" s="6" t="str">
        <f>IFERROR(__xludf.DUMMYFUNCTION("""COMPUTED_VALUE"""),"ENG")</f>
        <v>ENG</v>
      </c>
      <c r="C2655" s="6" t="str">
        <f>IFERROR(__xludf.DUMMYFUNCTION("""COMPUTED_VALUE"""),"P-50426-00")</f>
        <v>P-50426-00</v>
      </c>
      <c r="D2655" s="6" t="str">
        <f>IFERROR(__xludf.DUMMYFUNCTION("""COMPUTED_VALUE"""),"Pilot Lamps / Green / 220 VAC / AD22-22DS / AXLE")</f>
        <v>Pilot Lamps / Green / 220 VAC / AD22-22DS / AXLE</v>
      </c>
      <c r="E2655" s="6">
        <f>IFERROR(__xludf.DUMMYFUNCTION("""COMPUTED_VALUE"""),4.0)</f>
        <v>4</v>
      </c>
      <c r="F2655" s="6">
        <f>IFERROR(__xludf.DUMMYFUNCTION("""COMPUTED_VALUE"""),4.0)</f>
        <v>4</v>
      </c>
      <c r="G2655" s="6">
        <f>IFERROR(__xludf.DUMMYFUNCTION("""COMPUTED_VALUE"""),0.0)</f>
        <v>0</v>
      </c>
      <c r="H2655" s="6" t="str">
        <f>IFERROR(__xludf.DUMMYFUNCTION("""COMPUTED_VALUE"""),"Pcs")</f>
        <v>Pcs</v>
      </c>
      <c r="I2655" s="6" t="str">
        <f>IFERROR(__xludf.DUMMYFUNCTION("""COMPUTED_VALUE"""),"MFH")</f>
        <v>MFH</v>
      </c>
      <c r="J2655" s="6" t="str">
        <f>IFERROR(__xludf.DUMMYFUNCTION("""COMPUTED_VALUE"""),"WWTP")</f>
        <v>WWTP</v>
      </c>
      <c r="K2655" s="6" t="str">
        <f>IFERROR(__xludf.DUMMYFUNCTION("""COMPUTED_VALUE"""),"SPR/25/10/067")</f>
        <v>SPR/25/10/067</v>
      </c>
      <c r="L2655" s="13">
        <f>IFERROR(__xludf.DUMMYFUNCTION("""COMPUTED_VALUE"""),45961.0)</f>
        <v>45961</v>
      </c>
    </row>
    <row r="2656">
      <c r="A2656" s="6" t="str">
        <f>IFERROR(__xludf.DUMMYFUNCTION("""COMPUTED_VALUE"""),"RIA")</f>
        <v>RIA</v>
      </c>
      <c r="B2656" s="6" t="str">
        <f>IFERROR(__xludf.DUMMYFUNCTION("""COMPUTED_VALUE"""),"ENG")</f>
        <v>ENG</v>
      </c>
      <c r="C2656" s="6" t="str">
        <f>IFERROR(__xludf.DUMMYFUNCTION("""COMPUTED_VALUE"""),"-")</f>
        <v>-</v>
      </c>
      <c r="D2656" s="6" t="str">
        <f>IFERROR(__xludf.DUMMYFUNCTION("""COMPUTED_VALUE"""),"Pilot Lamp Kuning")</f>
        <v>Pilot Lamp Kuning</v>
      </c>
      <c r="E2656" s="6">
        <f>IFERROR(__xludf.DUMMYFUNCTION("""COMPUTED_VALUE"""),1.0)</f>
        <v>1</v>
      </c>
      <c r="F2656" s="6">
        <f>IFERROR(__xludf.DUMMYFUNCTION("""COMPUTED_VALUE"""),1.0)</f>
        <v>1</v>
      </c>
      <c r="G2656" s="6">
        <f>IFERROR(__xludf.DUMMYFUNCTION("""COMPUTED_VALUE"""),0.0)</f>
        <v>0</v>
      </c>
      <c r="H2656" s="6" t="str">
        <f>IFERROR(__xludf.DUMMYFUNCTION("""COMPUTED_VALUE"""),"Pcs")</f>
        <v>Pcs</v>
      </c>
      <c r="I2656" s="6" t="str">
        <f>IFERROR(__xludf.DUMMYFUNCTION("""COMPUTED_VALUE"""),"MFH")</f>
        <v>MFH</v>
      </c>
      <c r="J2656" s="6" t="str">
        <f>IFERROR(__xludf.DUMMYFUNCTION("""COMPUTED_VALUE"""),"WWTP")</f>
        <v>WWTP</v>
      </c>
      <c r="K2656" s="6" t="str">
        <f>IFERROR(__xludf.DUMMYFUNCTION("""COMPUTED_VALUE"""),"SPR/25/10/067")</f>
        <v>SPR/25/10/067</v>
      </c>
      <c r="L2656" s="13">
        <f>IFERROR(__xludf.DUMMYFUNCTION("""COMPUTED_VALUE"""),45961.0)</f>
        <v>45961</v>
      </c>
    </row>
    <row r="2657">
      <c r="A2657" s="6" t="str">
        <f>IFERROR(__xludf.DUMMYFUNCTION("""COMPUTED_VALUE"""),"RIA")</f>
        <v>RIA</v>
      </c>
      <c r="B2657" s="6" t="str">
        <f>IFERROR(__xludf.DUMMYFUNCTION("""COMPUTED_VALUE"""),"ENG")</f>
        <v>ENG</v>
      </c>
      <c r="C2657" s="6" t="str">
        <f>IFERROR(__xludf.DUMMYFUNCTION("""COMPUTED_VALUE"""),"O-15931-00")</f>
        <v>O-15931-00</v>
      </c>
      <c r="D2657" s="6" t="str">
        <f>IFERROR(__xludf.DUMMYFUNCTION("""COMPUTED_VALUE"""),"Double Tape 3M 1"" Merah - P/N : -  pc")</f>
        <v>Double Tape 3M 1" Merah - P/N : -  pc</v>
      </c>
      <c r="E2657" s="6">
        <f>IFERROR(__xludf.DUMMYFUNCTION("""COMPUTED_VALUE"""),1.0)</f>
        <v>1</v>
      </c>
      <c r="F2657" s="6">
        <f>IFERROR(__xludf.DUMMYFUNCTION("""COMPUTED_VALUE"""),1.0)</f>
        <v>1</v>
      </c>
      <c r="G2657" s="6">
        <f>IFERROR(__xludf.DUMMYFUNCTION("""COMPUTED_VALUE"""),0.0)</f>
        <v>0</v>
      </c>
      <c r="H2657" s="6" t="str">
        <f>IFERROR(__xludf.DUMMYFUNCTION("""COMPUTED_VALUE"""),"Pcs")</f>
        <v>Pcs</v>
      </c>
      <c r="I2657" s="6" t="str">
        <f>IFERROR(__xludf.DUMMYFUNCTION("""COMPUTED_VALUE"""),"MFH")</f>
        <v>MFH</v>
      </c>
      <c r="J2657" s="6" t="str">
        <f>IFERROR(__xludf.DUMMYFUNCTION("""COMPUTED_VALUE"""),"WWTP")</f>
        <v>WWTP</v>
      </c>
      <c r="K2657" s="6" t="str">
        <f>IFERROR(__xludf.DUMMYFUNCTION("""COMPUTED_VALUE"""),"SPR/25/10/067")</f>
        <v>SPR/25/10/067</v>
      </c>
      <c r="L2657" s="13">
        <f>IFERROR(__xludf.DUMMYFUNCTION("""COMPUTED_VALUE"""),45961.0)</f>
        <v>45961</v>
      </c>
    </row>
    <row r="2658">
      <c r="A2658" s="6" t="str">
        <f>IFERROR(__xludf.DUMMYFUNCTION("""COMPUTED_VALUE"""),"SFH")</f>
        <v>SFH</v>
      </c>
      <c r="B2658" s="6" t="str">
        <f>IFERROR(__xludf.DUMMYFUNCTION("""COMPUTED_VALUE"""),"ENG")</f>
        <v>ENG</v>
      </c>
      <c r="C2658" s="6" t="str">
        <f>IFERROR(__xludf.DUMMYFUNCTION("""COMPUTED_VALUE"""),"Q-10650-00")</f>
        <v>Q-10650-00</v>
      </c>
      <c r="D2658" s="6" t="str">
        <f>IFERROR(__xludf.DUMMYFUNCTION("""COMPUTED_VALUE"""),"Aquaproof Abu-Abu @4 Kg; ; ;")</f>
        <v>Aquaproof Abu-Abu @4 Kg; ; ;</v>
      </c>
      <c r="E2658" s="6">
        <f>IFERROR(__xludf.DUMMYFUNCTION("""COMPUTED_VALUE"""),1.0)</f>
        <v>1</v>
      </c>
      <c r="F2658" s="6">
        <f>IFERROR(__xludf.DUMMYFUNCTION("""COMPUTED_VALUE"""),1.0)</f>
        <v>1</v>
      </c>
      <c r="G2658" s="6">
        <f>IFERROR(__xludf.DUMMYFUNCTION("""COMPUTED_VALUE"""),0.0)</f>
        <v>0</v>
      </c>
      <c r="H2658" s="6" t="str">
        <f>IFERROR(__xludf.DUMMYFUNCTION("""COMPUTED_VALUE"""),"Pcs")</f>
        <v>Pcs</v>
      </c>
      <c r="I2658" s="6" t="str">
        <f>IFERROR(__xludf.DUMMYFUNCTION("""COMPUTED_VALUE"""),"MFH")</f>
        <v>MFH</v>
      </c>
      <c r="J2658" s="6" t="str">
        <f>IFERROR(__xludf.DUMMYFUNCTION("""COMPUTED_VALUE"""),"Building")</f>
        <v>Building</v>
      </c>
      <c r="K2658" s="6" t="str">
        <f>IFERROR(__xludf.DUMMYFUNCTION("""COMPUTED_VALUE"""),"SPR/25/11/001")</f>
        <v>SPR/25/11/001</v>
      </c>
      <c r="L2658" s="13">
        <f>IFERROR(__xludf.DUMMYFUNCTION("""COMPUTED_VALUE"""),45975.0)</f>
        <v>45975</v>
      </c>
    </row>
    <row r="2659">
      <c r="A2659" s="6" t="str">
        <f>IFERROR(__xludf.DUMMYFUNCTION("""COMPUTED_VALUE"""),"SFH")</f>
        <v>SFH</v>
      </c>
      <c r="B2659" s="6" t="str">
        <f>IFERROR(__xludf.DUMMYFUNCTION("""COMPUTED_VALUE"""),"ENG")</f>
        <v>ENG</v>
      </c>
      <c r="C2659" s="6" t="str">
        <f>IFERROR(__xludf.DUMMYFUNCTION("""COMPUTED_VALUE"""),"Q-60328-00")</f>
        <v>Q-60328-00</v>
      </c>
      <c r="D2659" s="6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E2659" s="6">
        <f>IFERROR(__xludf.DUMMYFUNCTION("""COMPUTED_VALUE"""),1.0)</f>
        <v>1</v>
      </c>
      <c r="F2659" s="6">
        <f>IFERROR(__xludf.DUMMYFUNCTION("""COMPUTED_VALUE"""),1.0)</f>
        <v>1</v>
      </c>
      <c r="G2659" s="6">
        <f>IFERROR(__xludf.DUMMYFUNCTION("""COMPUTED_VALUE"""),0.0)</f>
        <v>0</v>
      </c>
      <c r="H2659" s="6" t="str">
        <f>IFERROR(__xludf.DUMMYFUNCTION("""COMPUTED_VALUE"""),"Pcs")</f>
        <v>Pcs</v>
      </c>
      <c r="I2659" s="6" t="str">
        <f>IFERROR(__xludf.DUMMYFUNCTION("""COMPUTED_VALUE"""),"MFH")</f>
        <v>MFH</v>
      </c>
      <c r="J2659" s="6" t="str">
        <f>IFERROR(__xludf.DUMMYFUNCTION("""COMPUTED_VALUE"""),"Building")</f>
        <v>Building</v>
      </c>
      <c r="K2659" s="6" t="str">
        <f>IFERROR(__xludf.DUMMYFUNCTION("""COMPUTED_VALUE"""),"SPR/25/11/001")</f>
        <v>SPR/25/11/001</v>
      </c>
      <c r="L2659" s="13">
        <f>IFERROR(__xludf.DUMMYFUNCTION("""COMPUTED_VALUE"""),45975.0)</f>
        <v>45975</v>
      </c>
    </row>
    <row r="2660">
      <c r="A2660" s="6" t="str">
        <f>IFERROR(__xludf.DUMMYFUNCTION("""COMPUTED_VALUE"""),"SFH")</f>
        <v>SFH</v>
      </c>
      <c r="B2660" s="6" t="str">
        <f>IFERROR(__xludf.DUMMYFUNCTION("""COMPUTED_VALUE"""),"ENG")</f>
        <v>ENG</v>
      </c>
      <c r="C2660" s="6" t="str">
        <f>IFERROR(__xludf.DUMMYFUNCTION("""COMPUTED_VALUE"""),"P-19410-00")</f>
        <v>P-19410-00</v>
      </c>
      <c r="D2660" s="6" t="str">
        <f>IFERROR(__xludf.DUMMYFUNCTION("""COMPUTED_VALUE"""),"General - Bearing NATA5902; IKO; -; 1 pc")</f>
        <v>General - Bearing NATA5902; IKO; -; 1 pc</v>
      </c>
      <c r="E2660" s="6">
        <f>IFERROR(__xludf.DUMMYFUNCTION("""COMPUTED_VALUE"""),14.0)</f>
        <v>14</v>
      </c>
      <c r="F2660" s="6">
        <f>IFERROR(__xludf.DUMMYFUNCTION("""COMPUTED_VALUE"""),14.0)</f>
        <v>14</v>
      </c>
      <c r="G2660" s="6">
        <f>IFERROR(__xludf.DUMMYFUNCTION("""COMPUTED_VALUE"""),0.0)</f>
        <v>0</v>
      </c>
      <c r="H2660" s="6" t="str">
        <f>IFERROR(__xludf.DUMMYFUNCTION("""COMPUTED_VALUE"""),"Pcs")</f>
        <v>Pcs</v>
      </c>
      <c r="I2660" s="6" t="str">
        <f>IFERROR(__xludf.DUMMYFUNCTION("""COMPUTED_VALUE"""),"MFH")</f>
        <v>MFH</v>
      </c>
      <c r="J2660" s="6" t="str">
        <f>IFERROR(__xludf.DUMMYFUNCTION("""COMPUTED_VALUE"""),"-")</f>
        <v>-</v>
      </c>
      <c r="K2660" s="6" t="str">
        <f>IFERROR(__xludf.DUMMYFUNCTION("""COMPUTED_VALUE"""),"SPR/25/11/001")</f>
        <v>SPR/25/11/001</v>
      </c>
      <c r="L2660" s="13">
        <f>IFERROR(__xludf.DUMMYFUNCTION("""COMPUTED_VALUE"""),45975.0)</f>
        <v>45975</v>
      </c>
    </row>
    <row r="2661">
      <c r="A2661" s="6" t="str">
        <f>IFERROR(__xludf.DUMMYFUNCTION("""COMPUTED_VALUE"""),"SFH")</f>
        <v>SFH</v>
      </c>
      <c r="B2661" s="6" t="str">
        <f>IFERROR(__xludf.DUMMYFUNCTION("""COMPUTED_VALUE"""),"ENG")</f>
        <v>ENG</v>
      </c>
      <c r="C2661" s="6" t="str">
        <f>IFERROR(__xludf.DUMMYFUNCTION("""COMPUTED_VALUE"""),"Q-12060-00")</f>
        <v>Q-12060-00</v>
      </c>
      <c r="D2661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661" s="6">
        <f>IFERROR(__xludf.DUMMYFUNCTION("""COMPUTED_VALUE"""),4.0)</f>
        <v>4</v>
      </c>
      <c r="F2661" s="6">
        <f>IFERROR(__xludf.DUMMYFUNCTION("""COMPUTED_VALUE"""),4.0)</f>
        <v>4</v>
      </c>
      <c r="G2661" s="6">
        <f>IFERROR(__xludf.DUMMYFUNCTION("""COMPUTED_VALUE"""),0.0)</f>
        <v>0</v>
      </c>
      <c r="H2661" s="6" t="str">
        <f>IFERROR(__xludf.DUMMYFUNCTION("""COMPUTED_VALUE"""),"Pcs")</f>
        <v>Pcs</v>
      </c>
      <c r="I2661" s="6" t="str">
        <f>IFERROR(__xludf.DUMMYFUNCTION("""COMPUTED_VALUE"""),"MFH")</f>
        <v>MFH</v>
      </c>
      <c r="J2661" s="6" t="str">
        <f>IFERROR(__xludf.DUMMYFUNCTION("""COMPUTED_VALUE"""),"Building")</f>
        <v>Building</v>
      </c>
      <c r="K2661" s="6" t="str">
        <f>IFERROR(__xludf.DUMMYFUNCTION("""COMPUTED_VALUE"""),"SPR/25/11/002")</f>
        <v>SPR/25/11/002</v>
      </c>
      <c r="L2661" s="13">
        <f>IFERROR(__xludf.DUMMYFUNCTION("""COMPUTED_VALUE"""),45975.0)</f>
        <v>45975</v>
      </c>
    </row>
    <row r="2662">
      <c r="A2662" s="6" t="str">
        <f>IFERROR(__xludf.DUMMYFUNCTION("""COMPUTED_VALUE"""),"SFH")</f>
        <v>SFH</v>
      </c>
      <c r="B2662" s="6" t="str">
        <f>IFERROR(__xludf.DUMMYFUNCTION("""COMPUTED_VALUE"""),"ENG")</f>
        <v>ENG</v>
      </c>
      <c r="C2662" s="6" t="str">
        <f>IFERROR(__xludf.DUMMYFUNCTION("""COMPUTED_VALUE"""),"Q-60501-00")</f>
        <v>Q-60501-00</v>
      </c>
      <c r="D2662" s="6" t="str">
        <f>IFERROR(__xludf.DUMMYFUNCTION("""COMPUTED_VALUE"""),"Silicone Sealant, Silglaze, Type N10 Clear, pack size per pcs")</f>
        <v>Silicone Sealant, Silglaze, Type N10 Clear, pack size per pcs</v>
      </c>
      <c r="E2662" s="6">
        <f>IFERROR(__xludf.DUMMYFUNCTION("""COMPUTED_VALUE"""),4.0)</f>
        <v>4</v>
      </c>
      <c r="F2662" s="6">
        <f>IFERROR(__xludf.DUMMYFUNCTION("""COMPUTED_VALUE"""),4.0)</f>
        <v>4</v>
      </c>
      <c r="G2662" s="6">
        <f>IFERROR(__xludf.DUMMYFUNCTION("""COMPUTED_VALUE"""),0.0)</f>
        <v>0</v>
      </c>
      <c r="H2662" s="6" t="str">
        <f>IFERROR(__xludf.DUMMYFUNCTION("""COMPUTED_VALUE"""),"Pcs")</f>
        <v>Pcs</v>
      </c>
      <c r="I2662" s="6" t="str">
        <f>IFERROR(__xludf.DUMMYFUNCTION("""COMPUTED_VALUE"""),"MFH")</f>
        <v>MFH</v>
      </c>
      <c r="J2662" s="6" t="str">
        <f>IFERROR(__xludf.DUMMYFUNCTION("""COMPUTED_VALUE"""),"Building")</f>
        <v>Building</v>
      </c>
      <c r="K2662" s="6" t="str">
        <f>IFERROR(__xludf.DUMMYFUNCTION("""COMPUTED_VALUE"""),"SPR/25/11/002")</f>
        <v>SPR/25/11/002</v>
      </c>
      <c r="L2662" s="13">
        <f>IFERROR(__xludf.DUMMYFUNCTION("""COMPUTED_VALUE"""),45975.0)</f>
        <v>45975</v>
      </c>
    </row>
    <row r="2663">
      <c r="A2663" s="6" t="str">
        <f>IFERROR(__xludf.DUMMYFUNCTION("""COMPUTED_VALUE"""),"SFH")</f>
        <v>SFH</v>
      </c>
      <c r="B2663" s="6" t="str">
        <f>IFERROR(__xludf.DUMMYFUNCTION("""COMPUTED_VALUE"""),"ENG")</f>
        <v>ENG</v>
      </c>
      <c r="C2663" s="6" t="str">
        <f>IFERROR(__xludf.DUMMYFUNCTION("""COMPUTED_VALUE"""),"P-12920-00")</f>
        <v>P-12920-00</v>
      </c>
      <c r="D2663" s="6" t="str">
        <f>IFERROR(__xludf.DUMMYFUNCTION("""COMPUTED_VALUE"""),"Tungsten Electrodes dia 1.6 mm")</f>
        <v>Tungsten Electrodes dia 1.6 mm</v>
      </c>
      <c r="E2663" s="6">
        <f>IFERROR(__xludf.DUMMYFUNCTION("""COMPUTED_VALUE"""),11.0)</f>
        <v>11</v>
      </c>
      <c r="F2663" s="6">
        <f>IFERROR(__xludf.DUMMYFUNCTION("""COMPUTED_VALUE"""),11.0)</f>
        <v>11</v>
      </c>
      <c r="G2663" s="6">
        <f>IFERROR(__xludf.DUMMYFUNCTION("""COMPUTED_VALUE"""),0.0)</f>
        <v>0</v>
      </c>
      <c r="H2663" s="6" t="str">
        <f>IFERROR(__xludf.DUMMYFUNCTION("""COMPUTED_VALUE"""),"Pcs")</f>
        <v>Pcs</v>
      </c>
      <c r="I2663" s="6" t="str">
        <f>IFERROR(__xludf.DUMMYFUNCTION("""COMPUTED_VALUE"""),"MFH")</f>
        <v>MFH</v>
      </c>
      <c r="J2663" s="6" t="str">
        <f>IFERROR(__xludf.DUMMYFUNCTION("""COMPUTED_VALUE"""),"-")</f>
        <v>-</v>
      </c>
      <c r="K2663" s="6" t="str">
        <f>IFERROR(__xludf.DUMMYFUNCTION("""COMPUTED_VALUE"""),"SPR/25/11/002")</f>
        <v>SPR/25/11/002</v>
      </c>
      <c r="L2663" s="13">
        <f>IFERROR(__xludf.DUMMYFUNCTION("""COMPUTED_VALUE"""),45975.0)</f>
        <v>45975</v>
      </c>
    </row>
    <row r="2664">
      <c r="A2664" s="6" t="str">
        <f>IFERROR(__xludf.DUMMYFUNCTION("""COMPUTED_VALUE"""),"CAS")</f>
        <v>CAS</v>
      </c>
      <c r="B2664" s="6" t="str">
        <f>IFERROR(__xludf.DUMMYFUNCTION("""COMPUTED_VALUE"""),"QAS")</f>
        <v>QAS</v>
      </c>
      <c r="C2664" s="6" t="str">
        <f>IFERROR(__xludf.DUMMYFUNCTION("""COMPUTED_VALUE"""),"P-11185-00")</f>
        <v>P-11185-00</v>
      </c>
      <c r="D2664" s="6" t="str">
        <f>IFERROR(__xludf.DUMMYFUNCTION("""COMPUTED_VALUE"""),"General - Push-in Connector, QS-8-6; Festo; 153038; 1 pcs")</f>
        <v>General - Push-in Connector, QS-8-6; Festo; 153038; 1 pcs</v>
      </c>
      <c r="E2664" s="6">
        <f>IFERROR(__xludf.DUMMYFUNCTION("""COMPUTED_VALUE"""),2.0)</f>
        <v>2</v>
      </c>
      <c r="F2664" s="6">
        <f>IFERROR(__xludf.DUMMYFUNCTION("""COMPUTED_VALUE"""),2.0)</f>
        <v>2</v>
      </c>
      <c r="G2664" s="6">
        <f>IFERROR(__xludf.DUMMYFUNCTION("""COMPUTED_VALUE"""),0.0)</f>
        <v>0</v>
      </c>
      <c r="H2664" s="6" t="str">
        <f>IFERROR(__xludf.DUMMYFUNCTION("""COMPUTED_VALUE"""),"Pcs")</f>
        <v>Pcs</v>
      </c>
      <c r="I2664" s="6" t="str">
        <f>IFERROR(__xludf.DUMMYFUNCTION("""COMPUTED_VALUE"""),"MFH")</f>
        <v>MFH</v>
      </c>
      <c r="J2664" s="6" t="str">
        <f>IFERROR(__xludf.DUMMYFUNCTION("""COMPUTED_VALUE"""),"-")</f>
        <v>-</v>
      </c>
      <c r="K2664" s="6" t="str">
        <f>IFERROR(__xludf.DUMMYFUNCTION("""COMPUTED_VALUE"""),"SPR/25/11/003")</f>
        <v>SPR/25/11/003</v>
      </c>
      <c r="L2664" s="13">
        <f>IFERROR(__xludf.DUMMYFUNCTION("""COMPUTED_VALUE"""),45975.0)</f>
        <v>45975</v>
      </c>
    </row>
    <row r="2665">
      <c r="A2665" s="6" t="str">
        <f>IFERROR(__xludf.DUMMYFUNCTION("""COMPUTED_VALUE"""),"CAS")</f>
        <v>CAS</v>
      </c>
      <c r="B2665" s="6" t="str">
        <f>IFERROR(__xludf.DUMMYFUNCTION("""COMPUTED_VALUE"""),"QAS")</f>
        <v>QAS</v>
      </c>
      <c r="C2665" s="6" t="str">
        <f>IFERROR(__xludf.DUMMYFUNCTION("""COMPUTED_VALUE"""),"O-14640-00")</f>
        <v>O-14640-00</v>
      </c>
      <c r="D2665" s="6" t="str">
        <f>IFERROR(__xludf.DUMMYFUNCTION("""COMPUTED_VALUE"""),"Silicone Gasket for Ferrule dia. 3/4 - P/N : - pc")</f>
        <v>Silicone Gasket for Ferrule dia. 3/4 - P/N : - pc</v>
      </c>
      <c r="E2665" s="6">
        <f>IFERROR(__xludf.DUMMYFUNCTION("""COMPUTED_VALUE"""),5.0)</f>
        <v>5</v>
      </c>
      <c r="F2665" s="6">
        <f>IFERROR(__xludf.DUMMYFUNCTION("""COMPUTED_VALUE"""),5.0)</f>
        <v>5</v>
      </c>
      <c r="G2665" s="6">
        <f>IFERROR(__xludf.DUMMYFUNCTION("""COMPUTED_VALUE"""),0.0)</f>
        <v>0</v>
      </c>
      <c r="H2665" s="6" t="str">
        <f>IFERROR(__xludf.DUMMYFUNCTION("""COMPUTED_VALUE"""),"Pcs")</f>
        <v>Pcs</v>
      </c>
      <c r="I2665" s="6" t="str">
        <f>IFERROR(__xludf.DUMMYFUNCTION("""COMPUTED_VALUE"""),"MFH")</f>
        <v>MFH</v>
      </c>
      <c r="J2665" s="6" t="str">
        <f>IFERROR(__xludf.DUMMYFUNCTION("""COMPUTED_VALUE"""),"-")</f>
        <v>-</v>
      </c>
      <c r="K2665" s="6" t="str">
        <f>IFERROR(__xludf.DUMMYFUNCTION("""COMPUTED_VALUE"""),"SPR/25/11/003")</f>
        <v>SPR/25/11/003</v>
      </c>
      <c r="L2665" s="13">
        <f>IFERROR(__xludf.DUMMYFUNCTION("""COMPUTED_VALUE"""),45975.0)</f>
        <v>45975</v>
      </c>
    </row>
    <row r="2666">
      <c r="A2666" s="6" t="str">
        <f>IFERROR(__xludf.DUMMYFUNCTION("""COMPUTED_VALUE"""),"CAS")</f>
        <v>CAS</v>
      </c>
      <c r="B2666" s="6" t="str">
        <f>IFERROR(__xludf.DUMMYFUNCTION("""COMPUTED_VALUE"""),"QAS")</f>
        <v>QAS</v>
      </c>
      <c r="C2666" s="6" t="str">
        <f>IFERROR(__xludf.DUMMYFUNCTION("""COMPUTED_VALUE"""),"T-80046-00")</f>
        <v>T-80046-00</v>
      </c>
      <c r="D2666" s="6" t="str">
        <f>IFERROR(__xludf.DUMMYFUNCTION("""COMPUTED_VALUE"""),"Battery ALKALINE AA")</f>
        <v>Battery ALKALINE AA</v>
      </c>
      <c r="E2666" s="6">
        <f>IFERROR(__xludf.DUMMYFUNCTION("""COMPUTED_VALUE"""),6.0)</f>
        <v>6</v>
      </c>
      <c r="F2666" s="6">
        <f>IFERROR(__xludf.DUMMYFUNCTION("""COMPUTED_VALUE"""),6.0)</f>
        <v>6</v>
      </c>
      <c r="G2666" s="6">
        <f>IFERROR(__xludf.DUMMYFUNCTION("""COMPUTED_VALUE"""),0.0)</f>
        <v>0</v>
      </c>
      <c r="H2666" s="6" t="str">
        <f>IFERROR(__xludf.DUMMYFUNCTION("""COMPUTED_VALUE"""),"Pcs")</f>
        <v>Pcs</v>
      </c>
      <c r="I2666" s="6" t="str">
        <f>IFERROR(__xludf.DUMMYFUNCTION("""COMPUTED_VALUE"""),"MFH")</f>
        <v>MFH</v>
      </c>
      <c r="J2666" s="6" t="str">
        <f>IFERROR(__xludf.DUMMYFUNCTION("""COMPUTED_VALUE"""),"-")</f>
        <v>-</v>
      </c>
      <c r="K2666" s="6" t="str">
        <f>IFERROR(__xludf.DUMMYFUNCTION("""COMPUTED_VALUE"""),"SPR/25/11/003")</f>
        <v>SPR/25/11/003</v>
      </c>
      <c r="L2666" s="13">
        <f>IFERROR(__xludf.DUMMYFUNCTION("""COMPUTED_VALUE"""),45975.0)</f>
        <v>45975</v>
      </c>
    </row>
    <row r="2667">
      <c r="A2667" s="6" t="str">
        <f>IFERROR(__xludf.DUMMYFUNCTION("""COMPUTED_VALUE"""),"NDS")</f>
        <v>NDS</v>
      </c>
      <c r="B2667" s="6" t="str">
        <f>IFERROR(__xludf.DUMMYFUNCTION("""COMPUTED_VALUE"""),"ENG")</f>
        <v>ENG</v>
      </c>
      <c r="C2667" s="6" t="str">
        <f>IFERROR(__xludf.DUMMYFUNCTION("""COMPUTED_VALUE"""),"P-18788-00")</f>
        <v>P-18788-00</v>
      </c>
      <c r="D2667" s="6" t="str">
        <f>IFERROR(__xludf.DUMMYFUNCTION("""COMPUTED_VALUE"""),"Baut SS Hexagon SS M6x55mm + Mur; ; ;")</f>
        <v>Baut SS Hexagon SS M6x55mm + Mur; ; ;</v>
      </c>
      <c r="E2667" s="6">
        <f>IFERROR(__xludf.DUMMYFUNCTION("""COMPUTED_VALUE"""),4.0)</f>
        <v>4</v>
      </c>
      <c r="F2667" s="6">
        <f>IFERROR(__xludf.DUMMYFUNCTION("""COMPUTED_VALUE"""),4.0)</f>
        <v>4</v>
      </c>
      <c r="G2667" s="6">
        <f>IFERROR(__xludf.DUMMYFUNCTION("""COMPUTED_VALUE"""),0.0)</f>
        <v>0</v>
      </c>
      <c r="H2667" s="6" t="str">
        <f>IFERROR(__xludf.DUMMYFUNCTION("""COMPUTED_VALUE"""),"Pcs")</f>
        <v>Pcs</v>
      </c>
      <c r="I2667" s="6" t="str">
        <f>IFERROR(__xludf.DUMMYFUNCTION("""COMPUTED_VALUE"""),"MFH")</f>
        <v>MFH</v>
      </c>
      <c r="J2667" s="6" t="str">
        <f>IFERROR(__xludf.DUMMYFUNCTION("""COMPUTED_VALUE"""),"Tabletting")</f>
        <v>Tabletting</v>
      </c>
      <c r="K2667" s="6" t="str">
        <f>IFERROR(__xludf.DUMMYFUNCTION("""COMPUTED_VALUE"""),"SPR/25/11/004")</f>
        <v>SPR/25/11/004</v>
      </c>
      <c r="L2667" s="13">
        <f>IFERROR(__xludf.DUMMYFUNCTION("""COMPUTED_VALUE"""),45975.0)</f>
        <v>45975</v>
      </c>
    </row>
    <row r="2668">
      <c r="A2668" s="6" t="str">
        <f>IFERROR(__xludf.DUMMYFUNCTION("""COMPUTED_VALUE"""),"NDS")</f>
        <v>NDS</v>
      </c>
      <c r="B2668" s="6" t="str">
        <f>IFERROR(__xludf.DUMMYFUNCTION("""COMPUTED_VALUE"""),"ENG")</f>
        <v>ENG</v>
      </c>
      <c r="C2668" s="6" t="str">
        <f>IFERROR(__xludf.DUMMYFUNCTION("""COMPUTED_VALUE"""),"P-17360-00")</f>
        <v>P-17360-00</v>
      </c>
      <c r="D2668" s="6" t="str">
        <f>IFERROR(__xludf.DUMMYFUNCTION("""COMPUTED_VALUE"""),"O-ring EPDM 22.5 x 15.5 x 3.5 mm ; Brand : - ; P/N : - ; Pack Size : pcs")</f>
        <v>O-ring EPDM 22.5 x 15.5 x 3.5 mm ; Brand : - ; P/N : - ; Pack Size : pcs</v>
      </c>
      <c r="E2668" s="6">
        <f>IFERROR(__xludf.DUMMYFUNCTION("""COMPUTED_VALUE"""),6.0)</f>
        <v>6</v>
      </c>
      <c r="F2668" s="6">
        <f>IFERROR(__xludf.DUMMYFUNCTION("""COMPUTED_VALUE"""),6.0)</f>
        <v>6</v>
      </c>
      <c r="G2668" s="6">
        <f>IFERROR(__xludf.DUMMYFUNCTION("""COMPUTED_VALUE"""),0.0)</f>
        <v>0</v>
      </c>
      <c r="H2668" s="6" t="str">
        <f>IFERROR(__xludf.DUMMYFUNCTION("""COMPUTED_VALUE"""),"Pcs")</f>
        <v>Pcs</v>
      </c>
      <c r="I2668" s="6" t="str">
        <f>IFERROR(__xludf.DUMMYFUNCTION("""COMPUTED_VALUE"""),"MFH")</f>
        <v>MFH</v>
      </c>
      <c r="J2668" s="6" t="str">
        <f>IFERROR(__xludf.DUMMYFUNCTION("""COMPUTED_VALUE"""),"-")</f>
        <v>-</v>
      </c>
      <c r="K2668" s="6" t="str">
        <f>IFERROR(__xludf.DUMMYFUNCTION("""COMPUTED_VALUE"""),"SPR/25/11/004")</f>
        <v>SPR/25/11/004</v>
      </c>
      <c r="L2668" s="13">
        <f>IFERROR(__xludf.DUMMYFUNCTION("""COMPUTED_VALUE"""),45975.0)</f>
        <v>45975</v>
      </c>
    </row>
    <row r="2669">
      <c r="A2669" s="6" t="str">
        <f>IFERROR(__xludf.DUMMYFUNCTION("""COMPUTED_VALUE"""),"NDS")</f>
        <v>NDS</v>
      </c>
      <c r="B2669" s="6" t="str">
        <f>IFERROR(__xludf.DUMMYFUNCTION("""COMPUTED_VALUE"""),"ENG")</f>
        <v>ENG</v>
      </c>
      <c r="C2669" s="6" t="str">
        <f>IFERROR(__xludf.DUMMYFUNCTION("""COMPUTED_VALUE"""),"O-19690-00")</f>
        <v>O-19690-00</v>
      </c>
      <c r="D2669" s="6" t="str">
        <f>IFERROR(__xludf.DUMMYFUNCTION("""COMPUTED_VALUE"""),"Per Tekan SS304 ID 3,5 x OD 4,5 x P 53,5 mm; Lokal; ;")</f>
        <v>Per Tekan SS304 ID 3,5 x OD 4,5 x P 53,5 mm; Lokal; ;</v>
      </c>
      <c r="E2669" s="6">
        <f>IFERROR(__xludf.DUMMYFUNCTION("""COMPUTED_VALUE"""),4.0)</f>
        <v>4</v>
      </c>
      <c r="F2669" s="6">
        <f>IFERROR(__xludf.DUMMYFUNCTION("""COMPUTED_VALUE"""),4.0)</f>
        <v>4</v>
      </c>
      <c r="G2669" s="6">
        <f>IFERROR(__xludf.DUMMYFUNCTION("""COMPUTED_VALUE"""),0.0)</f>
        <v>0</v>
      </c>
      <c r="H2669" s="6" t="str">
        <f>IFERROR(__xludf.DUMMYFUNCTION("""COMPUTED_VALUE"""),"Pcs")</f>
        <v>Pcs</v>
      </c>
      <c r="I2669" s="6" t="str">
        <f>IFERROR(__xludf.DUMMYFUNCTION("""COMPUTED_VALUE"""),"MFH")</f>
        <v>MFH</v>
      </c>
      <c r="J2669" s="6" t="str">
        <f>IFERROR(__xludf.DUMMYFUNCTION("""COMPUTED_VALUE"""),"-")</f>
        <v>-</v>
      </c>
      <c r="K2669" s="6" t="str">
        <f>IFERROR(__xludf.DUMMYFUNCTION("""COMPUTED_VALUE"""),"SPR/25/11/004")</f>
        <v>SPR/25/11/004</v>
      </c>
      <c r="L2669" s="13">
        <f>IFERROR(__xludf.DUMMYFUNCTION("""COMPUTED_VALUE"""),45975.0)</f>
        <v>45975</v>
      </c>
    </row>
    <row r="2670">
      <c r="A2670" s="6" t="str">
        <f>IFERROR(__xludf.DUMMYFUNCTION("""COMPUTED_VALUE"""),"ANO")</f>
        <v>ANO</v>
      </c>
      <c r="B2670" s="6" t="str">
        <f>IFERROR(__xludf.DUMMYFUNCTION("""COMPUTED_VALUE"""),"ENG")</f>
        <v>ENG</v>
      </c>
      <c r="C2670" s="6" t="str">
        <f>IFERROR(__xludf.DUMMYFUNCTION("""COMPUTED_VALUE"""),"P-16359-00")</f>
        <v>P-16359-00</v>
      </c>
      <c r="D2670" s="6" t="str">
        <f>IFERROR(__xludf.DUMMYFUNCTION("""COMPUTED_VALUE"""),"General - Hand Tap M 6 x 1,0 mm; Yamawa; -; 3pcs/set")</f>
        <v>General - Hand Tap M 6 x 1,0 mm; Yamawa; -; 3pcs/set</v>
      </c>
      <c r="E2670" s="6">
        <f>IFERROR(__xludf.DUMMYFUNCTION("""COMPUTED_VALUE"""),1.0)</f>
        <v>1</v>
      </c>
      <c r="F2670" s="6">
        <f>IFERROR(__xludf.DUMMYFUNCTION("""COMPUTED_VALUE"""),1.0)</f>
        <v>1</v>
      </c>
      <c r="G2670" s="6">
        <f>IFERROR(__xludf.DUMMYFUNCTION("""COMPUTED_VALUE"""),0.0)</f>
        <v>0</v>
      </c>
      <c r="H2670" s="6" t="str">
        <f>IFERROR(__xludf.DUMMYFUNCTION("""COMPUTED_VALUE"""),"Pcs")</f>
        <v>Pcs</v>
      </c>
      <c r="I2670" s="6" t="str">
        <f>IFERROR(__xludf.DUMMYFUNCTION("""COMPUTED_VALUE"""),"MFH")</f>
        <v>MFH</v>
      </c>
      <c r="J2670" s="6" t="str">
        <f>IFERROR(__xludf.DUMMYFUNCTION("""COMPUTED_VALUE"""),"Dispensing")</f>
        <v>Dispensing</v>
      </c>
      <c r="K2670" s="6" t="str">
        <f>IFERROR(__xludf.DUMMYFUNCTION("""COMPUTED_VALUE"""),"SPR/25/11/005")</f>
        <v>SPR/25/11/005</v>
      </c>
      <c r="L2670" s="13">
        <f>IFERROR(__xludf.DUMMYFUNCTION("""COMPUTED_VALUE"""),45975.0)</f>
        <v>45975</v>
      </c>
    </row>
    <row r="2671">
      <c r="A2671" s="6" t="str">
        <f>IFERROR(__xludf.DUMMYFUNCTION("""COMPUTED_VALUE"""),"ANO")</f>
        <v>ANO</v>
      </c>
      <c r="B2671" s="6" t="str">
        <f>IFERROR(__xludf.DUMMYFUNCTION("""COMPUTED_VALUE"""),"ENG")</f>
        <v>ENG</v>
      </c>
      <c r="C2671" s="6" t="str">
        <f>IFERROR(__xludf.DUMMYFUNCTION("""COMPUTED_VALUE"""),"P-51928-00")</f>
        <v>P-51928-00</v>
      </c>
      <c r="D2671" s="6" t="str">
        <f>IFERROR(__xludf.DUMMYFUNCTION("""COMPUTED_VALUE"""),"Battery Lithium 3V CR2477N; ; ;")</f>
        <v>Battery Lithium 3V CR2477N; ; ;</v>
      </c>
      <c r="E2671" s="6">
        <f>IFERROR(__xludf.DUMMYFUNCTION("""COMPUTED_VALUE"""),4.0)</f>
        <v>4</v>
      </c>
      <c r="F2671" s="6">
        <f>IFERROR(__xludf.DUMMYFUNCTION("""COMPUTED_VALUE"""),4.0)</f>
        <v>4</v>
      </c>
      <c r="G2671" s="6">
        <f>IFERROR(__xludf.DUMMYFUNCTION("""COMPUTED_VALUE"""),0.0)</f>
        <v>0</v>
      </c>
      <c r="H2671" s="6" t="str">
        <f>IFERROR(__xludf.DUMMYFUNCTION("""COMPUTED_VALUE"""),"Pcs")</f>
        <v>Pcs</v>
      </c>
      <c r="I2671" s="6" t="str">
        <f>IFERROR(__xludf.DUMMYFUNCTION("""COMPUTED_VALUE"""),"MFH")</f>
        <v>MFH</v>
      </c>
      <c r="J2671" s="6" t="str">
        <f>IFERROR(__xludf.DUMMYFUNCTION("""COMPUTED_VALUE"""),"-")</f>
        <v>-</v>
      </c>
      <c r="K2671" s="6" t="str">
        <f>IFERROR(__xludf.DUMMYFUNCTION("""COMPUTED_VALUE"""),"SPR/25/11/005")</f>
        <v>SPR/25/11/005</v>
      </c>
      <c r="L2671" s="13">
        <f>IFERROR(__xludf.DUMMYFUNCTION("""COMPUTED_VALUE"""),45975.0)</f>
        <v>45975</v>
      </c>
    </row>
    <row r="2672">
      <c r="A2672" s="6" t="str">
        <f>IFERROR(__xludf.DUMMYFUNCTION("""COMPUTED_VALUE"""),"ANO")</f>
        <v>ANO</v>
      </c>
      <c r="B2672" s="6" t="str">
        <f>IFERROR(__xludf.DUMMYFUNCTION("""COMPUTED_VALUE"""),"ENG")</f>
        <v>ENG</v>
      </c>
      <c r="C2672" s="6" t="str">
        <f>IFERROR(__xludf.DUMMYFUNCTION("""COMPUTED_VALUE"""),"P-15862-00")</f>
        <v>P-15862-00</v>
      </c>
      <c r="D2672" s="6" t="str">
        <f>IFERROR(__xludf.DUMMYFUNCTION("""COMPUTED_VALUE"""),"PAPER RECORD YOKOGAWA; FOLDING CHART B9565AW")</f>
        <v>PAPER RECORD YOKOGAWA; FOLDING CHART B9565AW</v>
      </c>
      <c r="E2672" s="6">
        <f>IFERROR(__xludf.DUMMYFUNCTION("""COMPUTED_VALUE"""),3.0)</f>
        <v>3</v>
      </c>
      <c r="F2672" s="6">
        <f>IFERROR(__xludf.DUMMYFUNCTION("""COMPUTED_VALUE"""),3.0)</f>
        <v>3</v>
      </c>
      <c r="G2672" s="6">
        <f>IFERROR(__xludf.DUMMYFUNCTION("""COMPUTED_VALUE"""),0.0)</f>
        <v>0</v>
      </c>
      <c r="H2672" s="6" t="str">
        <f>IFERROR(__xludf.DUMMYFUNCTION("""COMPUTED_VALUE"""),"Pcs")</f>
        <v>Pcs</v>
      </c>
      <c r="I2672" s="6" t="str">
        <f>IFERROR(__xludf.DUMMYFUNCTION("""COMPUTED_VALUE"""),"MFH")</f>
        <v>MFH</v>
      </c>
      <c r="J2672" s="6" t="str">
        <f>IFERROR(__xludf.DUMMYFUNCTION("""COMPUTED_VALUE"""),"-")</f>
        <v>-</v>
      </c>
      <c r="K2672" s="6" t="str">
        <f>IFERROR(__xludf.DUMMYFUNCTION("""COMPUTED_VALUE"""),"SPR/25/11/005")</f>
        <v>SPR/25/11/005</v>
      </c>
      <c r="L2672" s="13">
        <f>IFERROR(__xludf.DUMMYFUNCTION("""COMPUTED_VALUE"""),45975.0)</f>
        <v>45975</v>
      </c>
    </row>
    <row r="2673">
      <c r="A2673" s="6" t="str">
        <f>IFERROR(__xludf.DUMMYFUNCTION("""COMPUTED_VALUE"""),"SFH")</f>
        <v>SFH</v>
      </c>
      <c r="B2673" s="6" t="str">
        <f>IFERROR(__xludf.DUMMYFUNCTION("""COMPUTED_VALUE"""),"ENG")</f>
        <v>ENG</v>
      </c>
      <c r="C2673" s="6" t="str">
        <f>IFERROR(__xludf.DUMMYFUNCTION("""COMPUTED_VALUE"""),"Q-60502-00")</f>
        <v>Q-60502-00</v>
      </c>
      <c r="D2673" s="6" t="str">
        <f>IFERROR(__xludf.DUMMYFUNCTION("""COMPUTED_VALUE"""),"Silicone Sealant, Silglaze, Type N10 White, pack size per pcs")</f>
        <v>Silicone Sealant, Silglaze, Type N10 White, pack size per pcs</v>
      </c>
      <c r="E2673" s="6">
        <f>IFERROR(__xludf.DUMMYFUNCTION("""COMPUTED_VALUE"""),1.0)</f>
        <v>1</v>
      </c>
      <c r="F2673" s="6">
        <f>IFERROR(__xludf.DUMMYFUNCTION("""COMPUTED_VALUE"""),1.0)</f>
        <v>1</v>
      </c>
      <c r="G2673" s="6">
        <f>IFERROR(__xludf.DUMMYFUNCTION("""COMPUTED_VALUE"""),0.0)</f>
        <v>0</v>
      </c>
      <c r="H2673" s="6" t="str">
        <f>IFERROR(__xludf.DUMMYFUNCTION("""COMPUTED_VALUE"""),"Pcs")</f>
        <v>Pcs</v>
      </c>
      <c r="I2673" s="6" t="str">
        <f>IFERROR(__xludf.DUMMYFUNCTION("""COMPUTED_VALUE"""),"MFH")</f>
        <v>MFH</v>
      </c>
      <c r="J2673" s="6" t="str">
        <f>IFERROR(__xludf.DUMMYFUNCTION("""COMPUTED_VALUE"""),"Building")</f>
        <v>Building</v>
      </c>
      <c r="K2673" s="6" t="str">
        <f>IFERROR(__xludf.DUMMYFUNCTION("""COMPUTED_VALUE"""),"SPR/25/11/006")</f>
        <v>SPR/25/11/006</v>
      </c>
      <c r="L2673" s="13">
        <f>IFERROR(__xludf.DUMMYFUNCTION("""COMPUTED_VALUE"""),45975.0)</f>
        <v>45975</v>
      </c>
    </row>
    <row r="2674">
      <c r="A2674" s="6" t="str">
        <f>IFERROR(__xludf.DUMMYFUNCTION("""COMPUTED_VALUE"""),"SFH")</f>
        <v>SFH</v>
      </c>
      <c r="B2674" s="6" t="str">
        <f>IFERROR(__xludf.DUMMYFUNCTION("""COMPUTED_VALUE"""),"ENG")</f>
        <v>ENG</v>
      </c>
      <c r="C2674" s="6" t="str">
        <f>IFERROR(__xludf.DUMMYFUNCTION("""COMPUTED_VALUE"""),"Q-10302-00")</f>
        <v>Q-10302-00</v>
      </c>
      <c r="D2674" s="6" t="str">
        <f>IFERROR(__xludf.DUMMYFUNCTION("""COMPUTED_VALUE"""),"Compound / Kompon Gypsum;No Brand;;pack size 20 kg per pck")</f>
        <v>Compound / Kompon Gypsum;No Brand;;pack size 20 kg per pck</v>
      </c>
      <c r="E2674" s="6">
        <f>IFERROR(__xludf.DUMMYFUNCTION("""COMPUTED_VALUE"""),1.0)</f>
        <v>1</v>
      </c>
      <c r="F2674" s="6">
        <f>IFERROR(__xludf.DUMMYFUNCTION("""COMPUTED_VALUE"""),1.0)</f>
        <v>1</v>
      </c>
      <c r="G2674" s="6">
        <f>IFERROR(__xludf.DUMMYFUNCTION("""COMPUTED_VALUE"""),0.0)</f>
        <v>0</v>
      </c>
      <c r="H2674" s="6" t="str">
        <f>IFERROR(__xludf.DUMMYFUNCTION("""COMPUTED_VALUE"""),"Pcs")</f>
        <v>Pcs</v>
      </c>
      <c r="I2674" s="6" t="str">
        <f>IFERROR(__xludf.DUMMYFUNCTION("""COMPUTED_VALUE"""),"MFH")</f>
        <v>MFH</v>
      </c>
      <c r="J2674" s="6" t="str">
        <f>IFERROR(__xludf.DUMMYFUNCTION("""COMPUTED_VALUE"""),"Building")</f>
        <v>Building</v>
      </c>
      <c r="K2674" s="6" t="str">
        <f>IFERROR(__xludf.DUMMYFUNCTION("""COMPUTED_VALUE"""),"SPR/25/11/006")</f>
        <v>SPR/25/11/006</v>
      </c>
      <c r="L2674" s="13">
        <f>IFERROR(__xludf.DUMMYFUNCTION("""COMPUTED_VALUE"""),45975.0)</f>
        <v>45975</v>
      </c>
    </row>
    <row r="2675">
      <c r="A2675" s="6" t="str">
        <f>IFERROR(__xludf.DUMMYFUNCTION("""COMPUTED_VALUE"""),"SFH")</f>
        <v>SFH</v>
      </c>
      <c r="B2675" s="6" t="str">
        <f>IFERROR(__xludf.DUMMYFUNCTION("""COMPUTED_VALUE"""),"ENG")</f>
        <v>ENG</v>
      </c>
      <c r="C2675" s="6" t="str">
        <f>IFERROR(__xludf.DUMMYFUNCTION("""COMPUTED_VALUE"""),"O-15931-00")</f>
        <v>O-15931-00</v>
      </c>
      <c r="D2675" s="6" t="str">
        <f>IFERROR(__xludf.DUMMYFUNCTION("""COMPUTED_VALUE"""),"Double Tape 3M 1"" Merah - P/N : -  pc")</f>
        <v>Double Tape 3M 1" Merah - P/N : -  pc</v>
      </c>
      <c r="E2675" s="6">
        <f>IFERROR(__xludf.DUMMYFUNCTION("""COMPUTED_VALUE"""),1.0)</f>
        <v>1</v>
      </c>
      <c r="F2675" s="6">
        <f>IFERROR(__xludf.DUMMYFUNCTION("""COMPUTED_VALUE"""),1.0)</f>
        <v>1</v>
      </c>
      <c r="G2675" s="6">
        <f>IFERROR(__xludf.DUMMYFUNCTION("""COMPUTED_VALUE"""),0.0)</f>
        <v>0</v>
      </c>
      <c r="H2675" s="6" t="str">
        <f>IFERROR(__xludf.DUMMYFUNCTION("""COMPUTED_VALUE"""),"Pcs")</f>
        <v>Pcs</v>
      </c>
      <c r="I2675" s="6" t="str">
        <f>IFERROR(__xludf.DUMMYFUNCTION("""COMPUTED_VALUE"""),"MFH")</f>
        <v>MFH</v>
      </c>
      <c r="J2675" s="6" t="str">
        <f>IFERROR(__xludf.DUMMYFUNCTION("""COMPUTED_VALUE"""),"Building")</f>
        <v>Building</v>
      </c>
      <c r="K2675" s="6" t="str">
        <f>IFERROR(__xludf.DUMMYFUNCTION("""COMPUTED_VALUE"""),"SPR/25/11/006")</f>
        <v>SPR/25/11/006</v>
      </c>
      <c r="L2675" s="13">
        <f>IFERROR(__xludf.DUMMYFUNCTION("""COMPUTED_VALUE"""),45975.0)</f>
        <v>45975</v>
      </c>
    </row>
    <row r="2676">
      <c r="A2676" s="6" t="str">
        <f>IFERROR(__xludf.DUMMYFUNCTION("""COMPUTED_VALUE"""),"SFH")</f>
        <v>SFH</v>
      </c>
      <c r="B2676" s="6" t="str">
        <f>IFERROR(__xludf.DUMMYFUNCTION("""COMPUTED_VALUE"""),"ENG")</f>
        <v>ENG</v>
      </c>
      <c r="C2676" s="6" t="str">
        <f>IFERROR(__xludf.DUMMYFUNCTION("""COMPUTED_VALUE"""),"Q-60401-00")</f>
        <v>Q-60401-00</v>
      </c>
      <c r="D2676" s="6" t="str">
        <f>IFERROR(__xludf.DUMMYFUNCTION("""COMPUTED_VALUE"""),"Handle Pintu Bulat, Elbow Press Lock; Meroni; N13NE TB127;")</f>
        <v>Handle Pintu Bulat, Elbow Press Lock; Meroni; N13NE TB127;</v>
      </c>
      <c r="E2676" s="6">
        <f>IFERROR(__xludf.DUMMYFUNCTION("""COMPUTED_VALUE"""),1.0)</f>
        <v>1</v>
      </c>
      <c r="F2676" s="6">
        <f>IFERROR(__xludf.DUMMYFUNCTION("""COMPUTED_VALUE"""),1.0)</f>
        <v>1</v>
      </c>
      <c r="G2676" s="6">
        <f>IFERROR(__xludf.DUMMYFUNCTION("""COMPUTED_VALUE"""),0.0)</f>
        <v>0</v>
      </c>
      <c r="H2676" s="6" t="str">
        <f>IFERROR(__xludf.DUMMYFUNCTION("""COMPUTED_VALUE"""),"Pcs")</f>
        <v>Pcs</v>
      </c>
      <c r="I2676" s="6" t="str">
        <f>IFERROR(__xludf.DUMMYFUNCTION("""COMPUTED_VALUE"""),"MFH")</f>
        <v>MFH</v>
      </c>
      <c r="J2676" s="6" t="str">
        <f>IFERROR(__xludf.DUMMYFUNCTION("""COMPUTED_VALUE"""),"Building")</f>
        <v>Building</v>
      </c>
      <c r="K2676" s="6" t="str">
        <f>IFERROR(__xludf.DUMMYFUNCTION("""COMPUTED_VALUE"""),"SPR/25/11/007")</f>
        <v>SPR/25/11/007</v>
      </c>
      <c r="L2676" s="13">
        <f>IFERROR(__xludf.DUMMYFUNCTION("""COMPUTED_VALUE"""),45975.0)</f>
        <v>45975</v>
      </c>
    </row>
    <row r="2677">
      <c r="A2677" s="6" t="str">
        <f>IFERROR(__xludf.DUMMYFUNCTION("""COMPUTED_VALUE"""),"SFH")</f>
        <v>SFH</v>
      </c>
      <c r="B2677" s="6" t="str">
        <f>IFERROR(__xludf.DUMMYFUNCTION("""COMPUTED_VALUE"""),"ENG")</f>
        <v>ENG</v>
      </c>
      <c r="C2677" s="6" t="str">
        <f>IFERROR(__xludf.DUMMYFUNCTION("""COMPUTED_VALUE"""),"Q-10460-00")</f>
        <v>Q-10460-00</v>
      </c>
      <c r="D2677" s="6" t="str">
        <f>IFERROR(__xludf.DUMMYFUNCTION("""COMPUTED_VALUE"""),"Magnetic door stopper; Dekson; Part No. MDS 889 SN;")</f>
        <v>Magnetic door stopper; Dekson; Part No. MDS 889 SN;</v>
      </c>
      <c r="E2677" s="6">
        <f>IFERROR(__xludf.DUMMYFUNCTION("""COMPUTED_VALUE"""),1.0)</f>
        <v>1</v>
      </c>
      <c r="F2677" s="6">
        <f>IFERROR(__xludf.DUMMYFUNCTION("""COMPUTED_VALUE"""),1.0)</f>
        <v>1</v>
      </c>
      <c r="G2677" s="6">
        <f>IFERROR(__xludf.DUMMYFUNCTION("""COMPUTED_VALUE"""),0.0)</f>
        <v>0</v>
      </c>
      <c r="H2677" s="6" t="str">
        <f>IFERROR(__xludf.DUMMYFUNCTION("""COMPUTED_VALUE"""),"Pcs")</f>
        <v>Pcs</v>
      </c>
      <c r="I2677" s="6" t="str">
        <f>IFERROR(__xludf.DUMMYFUNCTION("""COMPUTED_VALUE"""),"MFH")</f>
        <v>MFH</v>
      </c>
      <c r="J2677" s="6" t="str">
        <f>IFERROR(__xludf.DUMMYFUNCTION("""COMPUTED_VALUE"""),"Building")</f>
        <v>Building</v>
      </c>
      <c r="K2677" s="6" t="str">
        <f>IFERROR(__xludf.DUMMYFUNCTION("""COMPUTED_VALUE"""),"SPR/25/11/007")</f>
        <v>SPR/25/11/007</v>
      </c>
      <c r="L2677" s="13">
        <f>IFERROR(__xludf.DUMMYFUNCTION("""COMPUTED_VALUE"""),45975.0)</f>
        <v>45975</v>
      </c>
    </row>
    <row r="2678">
      <c r="A2678" s="6" t="str">
        <f>IFERROR(__xludf.DUMMYFUNCTION("""COMPUTED_VALUE"""),"SFH")</f>
        <v>SFH</v>
      </c>
      <c r="B2678" s="6" t="str">
        <f>IFERROR(__xludf.DUMMYFUNCTION("""COMPUTED_VALUE"""),"ENG")</f>
        <v>ENG</v>
      </c>
      <c r="C2678" s="6" t="str">
        <f>IFERROR(__xludf.DUMMYFUNCTION("""COMPUTED_VALUE"""),"O-11169-00")</f>
        <v>O-11169-00</v>
      </c>
      <c r="D2678" s="6" t="str">
        <f>IFERROR(__xludf.DUMMYFUNCTION("""COMPUTED_VALUE"""),"Bearing 6207ZZ")</f>
        <v>Bearing 6207ZZ</v>
      </c>
      <c r="E2678" s="6">
        <f>IFERROR(__xludf.DUMMYFUNCTION("""COMPUTED_VALUE"""),3.0)</f>
        <v>3</v>
      </c>
      <c r="F2678" s="6">
        <f>IFERROR(__xludf.DUMMYFUNCTION("""COMPUTED_VALUE"""),3.0)</f>
        <v>3</v>
      </c>
      <c r="G2678" s="6">
        <f>IFERROR(__xludf.DUMMYFUNCTION("""COMPUTED_VALUE"""),0.0)</f>
        <v>0</v>
      </c>
      <c r="H2678" s="6" t="str">
        <f>IFERROR(__xludf.DUMMYFUNCTION("""COMPUTED_VALUE"""),"Pcs")</f>
        <v>Pcs</v>
      </c>
      <c r="I2678" s="6" t="str">
        <f>IFERROR(__xludf.DUMMYFUNCTION("""COMPUTED_VALUE"""),"MFH")</f>
        <v>MFH</v>
      </c>
      <c r="J2678" s="6" t="str">
        <f>IFERROR(__xludf.DUMMYFUNCTION("""COMPUTED_VALUE"""),"-")</f>
        <v>-</v>
      </c>
      <c r="K2678" s="6" t="str">
        <f>IFERROR(__xludf.DUMMYFUNCTION("""COMPUTED_VALUE"""),"SPR/25/11/007")</f>
        <v>SPR/25/11/007</v>
      </c>
      <c r="L2678" s="13">
        <f>IFERROR(__xludf.DUMMYFUNCTION("""COMPUTED_VALUE"""),45975.0)</f>
        <v>45975</v>
      </c>
    </row>
    <row r="2679">
      <c r="A2679" s="6" t="str">
        <f>IFERROR(__xludf.DUMMYFUNCTION("""COMPUTED_VALUE"""),"KFF")</f>
        <v>KFF</v>
      </c>
      <c r="B2679" s="6" t="str">
        <f>IFERROR(__xludf.DUMMYFUNCTION("""COMPUTED_VALUE"""),"ENG")</f>
        <v>ENG</v>
      </c>
      <c r="C2679" s="6" t="str">
        <f>IFERROR(__xludf.DUMMYFUNCTION("""COMPUTED_VALUE"""),"P-11431-00")</f>
        <v>P-11431-00</v>
      </c>
      <c r="D2679" s="6" t="str">
        <f>IFERROR(__xludf.DUMMYFUNCTION("""COMPUTED_VALUE"""),"General - Plastic Tubing, PUN-H-8X1,25-BL; Festo; 197385; 1 m")</f>
        <v>General - Plastic Tubing, PUN-H-8X1,25-BL; Festo; 197385; 1 m</v>
      </c>
      <c r="E2679" s="6">
        <f>IFERROR(__xludf.DUMMYFUNCTION("""COMPUTED_VALUE"""),1.0)</f>
        <v>1</v>
      </c>
      <c r="F2679" s="6">
        <f>IFERROR(__xludf.DUMMYFUNCTION("""COMPUTED_VALUE"""),1.0)</f>
        <v>1</v>
      </c>
      <c r="G2679" s="6">
        <f>IFERROR(__xludf.DUMMYFUNCTION("""COMPUTED_VALUE"""),0.0)</f>
        <v>0</v>
      </c>
      <c r="H2679" s="6" t="str">
        <f>IFERROR(__xludf.DUMMYFUNCTION("""COMPUTED_VALUE"""),"Pcs")</f>
        <v>Pcs</v>
      </c>
      <c r="I2679" s="6" t="str">
        <f>IFERROR(__xludf.DUMMYFUNCTION("""COMPUTED_VALUE"""),"MFH")</f>
        <v>MFH</v>
      </c>
      <c r="J2679" s="6" t="str">
        <f>IFERROR(__xludf.DUMMYFUNCTION("""COMPUTED_VALUE"""),"-")</f>
        <v>-</v>
      </c>
      <c r="K2679" s="6" t="str">
        <f>IFERROR(__xludf.DUMMYFUNCTION("""COMPUTED_VALUE"""),"SPR/25/11/008")</f>
        <v>SPR/25/11/008</v>
      </c>
      <c r="L2679" s="13">
        <f>IFERROR(__xludf.DUMMYFUNCTION("""COMPUTED_VALUE"""),45975.0)</f>
        <v>45975</v>
      </c>
    </row>
    <row r="2680">
      <c r="A2680" s="6" t="str">
        <f>IFERROR(__xludf.DUMMYFUNCTION("""COMPUTED_VALUE"""),"KFF")</f>
        <v>KFF</v>
      </c>
      <c r="B2680" s="6" t="str">
        <f>IFERROR(__xludf.DUMMYFUNCTION("""COMPUTED_VALUE"""),"ENG")</f>
        <v>ENG</v>
      </c>
      <c r="C2680" s="6" t="str">
        <f>IFERROR(__xludf.DUMMYFUNCTION("""COMPUTED_VALUE"""),"P-12287-00")</f>
        <v>P-12287-00</v>
      </c>
      <c r="D2680" s="6" t="str">
        <f>IFERROR(__xludf.DUMMYFUNCTION("""COMPUTED_VALUE"""),"FESTO - QS-3/8-8 Push-In fitting p/n 153006")</f>
        <v>FESTO - QS-3/8-8 Push-In fitting p/n 153006</v>
      </c>
      <c r="E2680" s="6">
        <f>IFERROR(__xludf.DUMMYFUNCTION("""COMPUTED_VALUE"""),1.0)</f>
        <v>1</v>
      </c>
      <c r="F2680" s="6">
        <f>IFERROR(__xludf.DUMMYFUNCTION("""COMPUTED_VALUE"""),1.0)</f>
        <v>1</v>
      </c>
      <c r="G2680" s="6">
        <f>IFERROR(__xludf.DUMMYFUNCTION("""COMPUTED_VALUE"""),0.0)</f>
        <v>0</v>
      </c>
      <c r="H2680" s="6" t="str">
        <f>IFERROR(__xludf.DUMMYFUNCTION("""COMPUTED_VALUE"""),"Pcs")</f>
        <v>Pcs</v>
      </c>
      <c r="I2680" s="6" t="str">
        <f>IFERROR(__xludf.DUMMYFUNCTION("""COMPUTED_VALUE"""),"MFH")</f>
        <v>MFH</v>
      </c>
      <c r="J2680" s="6" t="str">
        <f>IFERROR(__xludf.DUMMYFUNCTION("""COMPUTED_VALUE"""),"-")</f>
        <v>-</v>
      </c>
      <c r="K2680" s="6" t="str">
        <f>IFERROR(__xludf.DUMMYFUNCTION("""COMPUTED_VALUE"""),"SPR/25/11/008")</f>
        <v>SPR/25/11/008</v>
      </c>
      <c r="L2680" s="13">
        <f>IFERROR(__xludf.DUMMYFUNCTION("""COMPUTED_VALUE"""),45975.0)</f>
        <v>45975</v>
      </c>
    </row>
    <row r="2681">
      <c r="A2681" s="6" t="str">
        <f>IFERROR(__xludf.DUMMYFUNCTION("""COMPUTED_VALUE"""),"KFF")</f>
        <v>KFF</v>
      </c>
      <c r="B2681" s="6" t="str">
        <f>IFERROR(__xludf.DUMMYFUNCTION("""COMPUTED_VALUE"""),"ENG")</f>
        <v>ENG</v>
      </c>
      <c r="C2681" s="6" t="str">
        <f>IFERROR(__xludf.DUMMYFUNCTION("""COMPUTED_VALUE"""),"P-50288-00")</f>
        <v>P-50288-00</v>
      </c>
      <c r="D2681" s="6" t="str">
        <f>IFERROR(__xludf.DUMMYFUNCTION("""COMPUTED_VALUE"""),"Bola Lampu - Halogen 20 W Osram")</f>
        <v>Bola Lampu - Halogen 20 W Osram</v>
      </c>
      <c r="E2681" s="6">
        <f>IFERROR(__xludf.DUMMYFUNCTION("""COMPUTED_VALUE"""),3.0)</f>
        <v>3</v>
      </c>
      <c r="F2681" s="6">
        <f>IFERROR(__xludf.DUMMYFUNCTION("""COMPUTED_VALUE"""),3.0)</f>
        <v>3</v>
      </c>
      <c r="G2681" s="6">
        <f>IFERROR(__xludf.DUMMYFUNCTION("""COMPUTED_VALUE"""),0.0)</f>
        <v>0</v>
      </c>
      <c r="H2681" s="6" t="str">
        <f>IFERROR(__xludf.DUMMYFUNCTION("""COMPUTED_VALUE"""),"Pcs")</f>
        <v>Pcs</v>
      </c>
      <c r="I2681" s="6" t="str">
        <f>IFERROR(__xludf.DUMMYFUNCTION("""COMPUTED_VALUE"""),"MFH")</f>
        <v>MFH</v>
      </c>
      <c r="J2681" s="6" t="str">
        <f>IFERROR(__xludf.DUMMYFUNCTION("""COMPUTED_VALUE"""),"-")</f>
        <v>-</v>
      </c>
      <c r="K2681" s="6" t="str">
        <f>IFERROR(__xludf.DUMMYFUNCTION("""COMPUTED_VALUE"""),"SPR/25/11/008")</f>
        <v>SPR/25/11/008</v>
      </c>
      <c r="L2681" s="13">
        <f>IFERROR(__xludf.DUMMYFUNCTION("""COMPUTED_VALUE"""),45975.0)</f>
        <v>45975</v>
      </c>
    </row>
    <row r="2682">
      <c r="A2682" s="6" t="str">
        <f>IFERROR(__xludf.DUMMYFUNCTION("""COMPUTED_VALUE"""),"BDU")</f>
        <v>BDU</v>
      </c>
      <c r="B2682" s="6" t="str">
        <f>IFERROR(__xludf.DUMMYFUNCTION("""COMPUTED_VALUE"""),"ENG")</f>
        <v>ENG</v>
      </c>
      <c r="C2682" s="6" t="str">
        <f>IFERROR(__xludf.DUMMYFUNCTION("""COMPUTED_VALUE"""),"P-14453-00")</f>
        <v>P-14453-00</v>
      </c>
      <c r="D2682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2682" s="6">
        <f>IFERROR(__xludf.DUMMYFUNCTION("""COMPUTED_VALUE"""),3.0)</f>
        <v>3</v>
      </c>
      <c r="F2682" s="6">
        <f>IFERROR(__xludf.DUMMYFUNCTION("""COMPUTED_VALUE"""),3.0)</f>
        <v>3</v>
      </c>
      <c r="G2682" s="6">
        <f>IFERROR(__xludf.DUMMYFUNCTION("""COMPUTED_VALUE"""),0.0)</f>
        <v>0</v>
      </c>
      <c r="H2682" s="6" t="str">
        <f>IFERROR(__xludf.DUMMYFUNCTION("""COMPUTED_VALUE"""),"Pcs")</f>
        <v>Pcs</v>
      </c>
      <c r="I2682" s="6" t="str">
        <f>IFERROR(__xludf.DUMMYFUNCTION("""COMPUTED_VALUE"""),"MFH")</f>
        <v>MFH</v>
      </c>
      <c r="J2682" s="6" t="str">
        <f>IFERROR(__xludf.DUMMYFUNCTION("""COMPUTED_VALUE"""),"AHU")</f>
        <v>AHU</v>
      </c>
      <c r="K2682" s="6" t="str">
        <f>IFERROR(__xludf.DUMMYFUNCTION("""COMPUTED_VALUE"""),"SPR/25/11/009")</f>
        <v>SPR/25/11/009</v>
      </c>
      <c r="L2682" s="13">
        <f>IFERROR(__xludf.DUMMYFUNCTION("""COMPUTED_VALUE"""),45975.0)</f>
        <v>45975</v>
      </c>
    </row>
    <row r="2683">
      <c r="A2683" s="6" t="str">
        <f>IFERROR(__xludf.DUMMYFUNCTION("""COMPUTED_VALUE"""),"BDU")</f>
        <v>BDU</v>
      </c>
      <c r="B2683" s="6" t="str">
        <f>IFERROR(__xludf.DUMMYFUNCTION("""COMPUTED_VALUE"""),"ENG")</f>
        <v>ENG</v>
      </c>
      <c r="C2683" s="6" t="str">
        <f>IFERROR(__xludf.DUMMYFUNCTION("""COMPUTED_VALUE"""),"P-14454-00")</f>
        <v>P-14454-00</v>
      </c>
      <c r="D2683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2683" s="6">
        <f>IFERROR(__xludf.DUMMYFUNCTION("""COMPUTED_VALUE"""),2.0)</f>
        <v>2</v>
      </c>
      <c r="F2683" s="6">
        <f>IFERROR(__xludf.DUMMYFUNCTION("""COMPUTED_VALUE"""),2.0)</f>
        <v>2</v>
      </c>
      <c r="G2683" s="6">
        <f>IFERROR(__xludf.DUMMYFUNCTION("""COMPUTED_VALUE"""),0.0)</f>
        <v>0</v>
      </c>
      <c r="H2683" s="6" t="str">
        <f>IFERROR(__xludf.DUMMYFUNCTION("""COMPUTED_VALUE"""),"Pcs")</f>
        <v>Pcs</v>
      </c>
      <c r="I2683" s="6" t="str">
        <f>IFERROR(__xludf.DUMMYFUNCTION("""COMPUTED_VALUE"""),"MFH")</f>
        <v>MFH</v>
      </c>
      <c r="J2683" s="6" t="str">
        <f>IFERROR(__xludf.DUMMYFUNCTION("""COMPUTED_VALUE"""),"AHU")</f>
        <v>AHU</v>
      </c>
      <c r="K2683" s="6" t="str">
        <f>IFERROR(__xludf.DUMMYFUNCTION("""COMPUTED_VALUE"""),"SPR/25/11/009")</f>
        <v>SPR/25/11/009</v>
      </c>
      <c r="L2683" s="13">
        <f>IFERROR(__xludf.DUMMYFUNCTION("""COMPUTED_VALUE"""),45975.0)</f>
        <v>45975</v>
      </c>
    </row>
    <row r="2684">
      <c r="A2684" s="6" t="str">
        <f>IFERROR(__xludf.DUMMYFUNCTION("""COMPUTED_VALUE"""),"BDU")</f>
        <v>BDU</v>
      </c>
      <c r="B2684" s="6" t="str">
        <f>IFERROR(__xludf.DUMMYFUNCTION("""COMPUTED_VALUE"""),"ENG")</f>
        <v>ENG</v>
      </c>
      <c r="C2684" s="6" t="str">
        <f>IFERROR(__xludf.DUMMYFUNCTION("""COMPUTED_VALUE"""),"P-19898-00")</f>
        <v>P-19898-00</v>
      </c>
      <c r="D2684" s="6" t="str">
        <f>IFERROR(__xludf.DUMMYFUNCTION("""COMPUTED_VALUE"""),"General - Bushing VAV dia. 24 x 26mm; Custom Agru Farma; -; 1 pc")</f>
        <v>General - Bushing VAV dia. 24 x 26mm; Custom Agru Farma; -; 1 pc</v>
      </c>
      <c r="E2684" s="6">
        <f>IFERROR(__xludf.DUMMYFUNCTION("""COMPUTED_VALUE"""),1.0)</f>
        <v>1</v>
      </c>
      <c r="F2684" s="6">
        <f>IFERROR(__xludf.DUMMYFUNCTION("""COMPUTED_VALUE"""),1.0)</f>
        <v>1</v>
      </c>
      <c r="G2684" s="6">
        <f>IFERROR(__xludf.DUMMYFUNCTION("""COMPUTED_VALUE"""),0.0)</f>
        <v>0</v>
      </c>
      <c r="H2684" s="6" t="str">
        <f>IFERROR(__xludf.DUMMYFUNCTION("""COMPUTED_VALUE"""),"Pcs")</f>
        <v>Pcs</v>
      </c>
      <c r="I2684" s="6" t="str">
        <f>IFERROR(__xludf.DUMMYFUNCTION("""COMPUTED_VALUE"""),"MFH")</f>
        <v>MFH</v>
      </c>
      <c r="J2684" s="6" t="str">
        <f>IFERROR(__xludf.DUMMYFUNCTION("""COMPUTED_VALUE"""),"AHU")</f>
        <v>AHU</v>
      </c>
      <c r="K2684" s="6" t="str">
        <f>IFERROR(__xludf.DUMMYFUNCTION("""COMPUTED_VALUE"""),"SPR/25/11/009")</f>
        <v>SPR/25/11/009</v>
      </c>
      <c r="L2684" s="13">
        <f>IFERROR(__xludf.DUMMYFUNCTION("""COMPUTED_VALUE"""),45975.0)</f>
        <v>45975</v>
      </c>
    </row>
    <row r="2685">
      <c r="A2685" s="6" t="str">
        <f>IFERROR(__xludf.DUMMYFUNCTION("""COMPUTED_VALUE"""),"BDU")</f>
        <v>BDU</v>
      </c>
      <c r="B2685" s="6" t="str">
        <f>IFERROR(__xludf.DUMMYFUNCTION("""COMPUTED_VALUE"""),"ENG")</f>
        <v>ENG</v>
      </c>
      <c r="C2685" s="6" t="str">
        <f>IFERROR(__xludf.DUMMYFUNCTION("""COMPUTED_VALUE"""),"P-51560-00")</f>
        <v>P-51560-00</v>
      </c>
      <c r="D2685" s="6" t="str">
        <f>IFERROR(__xludf.DUMMYFUNCTION("""COMPUTED_VALUE"""),"Lampu T5 28watt Putih; Phillips; ;")</f>
        <v>Lampu T5 28watt Putih; Phillips; ;</v>
      </c>
      <c r="E2685" s="6">
        <f>IFERROR(__xludf.DUMMYFUNCTION("""COMPUTED_VALUE"""),1.0)</f>
        <v>1</v>
      </c>
      <c r="F2685" s="6">
        <f>IFERROR(__xludf.DUMMYFUNCTION("""COMPUTED_VALUE"""),1.0)</f>
        <v>1</v>
      </c>
      <c r="G2685" s="6">
        <f>IFERROR(__xludf.DUMMYFUNCTION("""COMPUTED_VALUE"""),0.0)</f>
        <v>0</v>
      </c>
      <c r="H2685" s="6" t="str">
        <f>IFERROR(__xludf.DUMMYFUNCTION("""COMPUTED_VALUE"""),"Pcs")</f>
        <v>Pcs</v>
      </c>
      <c r="I2685" s="6" t="str">
        <f>IFERROR(__xludf.DUMMYFUNCTION("""COMPUTED_VALUE"""),"MFH")</f>
        <v>MFH</v>
      </c>
      <c r="J2685" s="6" t="str">
        <f>IFERROR(__xludf.DUMMYFUNCTION("""COMPUTED_VALUE"""),"Building")</f>
        <v>Building</v>
      </c>
      <c r="K2685" s="6" t="str">
        <f>IFERROR(__xludf.DUMMYFUNCTION("""COMPUTED_VALUE"""),"SPR/25/11/010")</f>
        <v>SPR/25/11/010</v>
      </c>
      <c r="L2685" s="13">
        <f>IFERROR(__xludf.DUMMYFUNCTION("""COMPUTED_VALUE"""),45975.0)</f>
        <v>45975</v>
      </c>
    </row>
    <row r="2686">
      <c r="A2686" s="6" t="str">
        <f>IFERROR(__xludf.DUMMYFUNCTION("""COMPUTED_VALUE"""),"BDU")</f>
        <v>BDU</v>
      </c>
      <c r="B2686" s="6" t="str">
        <f>IFERROR(__xludf.DUMMYFUNCTION("""COMPUTED_VALUE"""),"ENG")</f>
        <v>ENG</v>
      </c>
      <c r="C2686" s="6" t="str">
        <f>IFERROR(__xludf.DUMMYFUNCTION("""COMPUTED_VALUE"""),"Q-60502-00")</f>
        <v>Q-60502-00</v>
      </c>
      <c r="D2686" s="6" t="str">
        <f>IFERROR(__xludf.DUMMYFUNCTION("""COMPUTED_VALUE"""),"Silicone Sealant, Silglaze, Type N10 White, pack size per pcs")</f>
        <v>Silicone Sealant, Silglaze, Type N10 White, pack size per pcs</v>
      </c>
      <c r="E2686" s="6">
        <f>IFERROR(__xludf.DUMMYFUNCTION("""COMPUTED_VALUE"""),1.0)</f>
        <v>1</v>
      </c>
      <c r="F2686" s="6">
        <f>IFERROR(__xludf.DUMMYFUNCTION("""COMPUTED_VALUE"""),1.0)</f>
        <v>1</v>
      </c>
      <c r="G2686" s="6">
        <f>IFERROR(__xludf.DUMMYFUNCTION("""COMPUTED_VALUE"""),0.0)</f>
        <v>0</v>
      </c>
      <c r="H2686" s="6" t="str">
        <f>IFERROR(__xludf.DUMMYFUNCTION("""COMPUTED_VALUE"""),"Pcs")</f>
        <v>Pcs</v>
      </c>
      <c r="I2686" s="6" t="str">
        <f>IFERROR(__xludf.DUMMYFUNCTION("""COMPUTED_VALUE"""),"MFH")</f>
        <v>MFH</v>
      </c>
      <c r="J2686" s="6" t="str">
        <f>IFERROR(__xludf.DUMMYFUNCTION("""COMPUTED_VALUE"""),"Building")</f>
        <v>Building</v>
      </c>
      <c r="K2686" s="6" t="str">
        <f>IFERROR(__xludf.DUMMYFUNCTION("""COMPUTED_VALUE"""),"SPR/25/11/010")</f>
        <v>SPR/25/11/010</v>
      </c>
      <c r="L2686" s="13">
        <f>IFERROR(__xludf.DUMMYFUNCTION("""COMPUTED_VALUE"""),45975.0)</f>
        <v>45975</v>
      </c>
    </row>
    <row r="2687">
      <c r="A2687" s="6" t="str">
        <f>IFERROR(__xludf.DUMMYFUNCTION("""COMPUTED_VALUE"""),"BDU")</f>
        <v>BDU</v>
      </c>
      <c r="B2687" s="6" t="str">
        <f>IFERROR(__xludf.DUMMYFUNCTION("""COMPUTED_VALUE"""),"ENG")</f>
        <v>ENG</v>
      </c>
      <c r="C2687" s="6" t="str">
        <f>IFERROR(__xludf.DUMMYFUNCTION("""COMPUTED_VALUE"""),"-")</f>
        <v>-</v>
      </c>
      <c r="D2687" s="6" t="str">
        <f>IFERROR(__xludf.DUMMYFUNCTION("""COMPUTED_VALUE"""),"Lampu LED")</f>
        <v>Lampu LED</v>
      </c>
      <c r="E2687" s="6">
        <f>IFERROR(__xludf.DUMMYFUNCTION("""COMPUTED_VALUE"""),1.0)</f>
        <v>1</v>
      </c>
      <c r="F2687" s="6">
        <f>IFERROR(__xludf.DUMMYFUNCTION("""COMPUTED_VALUE"""),1.0)</f>
        <v>1</v>
      </c>
      <c r="G2687" s="6">
        <f>IFERROR(__xludf.DUMMYFUNCTION("""COMPUTED_VALUE"""),0.0)</f>
        <v>0</v>
      </c>
      <c r="H2687" s="6" t="str">
        <f>IFERROR(__xludf.DUMMYFUNCTION("""COMPUTED_VALUE"""),"Pcs")</f>
        <v>Pcs</v>
      </c>
      <c r="I2687" s="6" t="str">
        <f>IFERROR(__xludf.DUMMYFUNCTION("""COMPUTED_VALUE"""),"MFH")</f>
        <v>MFH</v>
      </c>
      <c r="J2687" s="6" t="str">
        <f>IFERROR(__xludf.DUMMYFUNCTION("""COMPUTED_VALUE"""),"Building")</f>
        <v>Building</v>
      </c>
      <c r="K2687" s="6" t="str">
        <f>IFERROR(__xludf.DUMMYFUNCTION("""COMPUTED_VALUE"""),"SPR/25/11/010")</f>
        <v>SPR/25/11/010</v>
      </c>
      <c r="L2687" s="13">
        <f>IFERROR(__xludf.DUMMYFUNCTION("""COMPUTED_VALUE"""),45975.0)</f>
        <v>45975</v>
      </c>
    </row>
    <row r="2688">
      <c r="A2688" s="6" t="str">
        <f>IFERROR(__xludf.DUMMYFUNCTION("""COMPUTED_VALUE"""),"MRN")</f>
        <v>MRN</v>
      </c>
      <c r="B2688" s="6" t="str">
        <f>IFERROR(__xludf.DUMMYFUNCTION("""COMPUTED_VALUE"""),"ENG")</f>
        <v>ENG</v>
      </c>
      <c r="C2688" s="6" t="str">
        <f>IFERROR(__xludf.DUMMYFUNCTION("""COMPUTED_VALUE"""),"P-51741-00")</f>
        <v>P-51741-00</v>
      </c>
      <c r="D2688" s="6" t="str">
        <f>IFERROR(__xludf.DUMMYFUNCTION("""COMPUTED_VALUE"""),"Lampu Phillips PHP LED; 710 7w E27 White 220-240v; ; ;")</f>
        <v>Lampu Phillips PHP LED; 710 7w E27 White 220-240v; ; ;</v>
      </c>
      <c r="E2688" s="6">
        <f>IFERROR(__xludf.DUMMYFUNCTION("""COMPUTED_VALUE"""),1.0)</f>
        <v>1</v>
      </c>
      <c r="F2688" s="6">
        <f>IFERROR(__xludf.DUMMYFUNCTION("""COMPUTED_VALUE"""),1.0)</f>
        <v>1</v>
      </c>
      <c r="G2688" s="6">
        <f>IFERROR(__xludf.DUMMYFUNCTION("""COMPUTED_VALUE"""),0.0)</f>
        <v>0</v>
      </c>
      <c r="H2688" s="6" t="str">
        <f>IFERROR(__xludf.DUMMYFUNCTION("""COMPUTED_VALUE"""),"Pcs")</f>
        <v>Pcs</v>
      </c>
      <c r="I2688" s="6" t="str">
        <f>IFERROR(__xludf.DUMMYFUNCTION("""COMPUTED_VALUE"""),"MFH")</f>
        <v>MFH</v>
      </c>
      <c r="J2688" s="6" t="str">
        <f>IFERROR(__xludf.DUMMYFUNCTION("""COMPUTED_VALUE"""),"Building")</f>
        <v>Building</v>
      </c>
      <c r="K2688" s="6" t="str">
        <f>IFERROR(__xludf.DUMMYFUNCTION("""COMPUTED_VALUE"""),"SPR/25/11/011")</f>
        <v>SPR/25/11/011</v>
      </c>
      <c r="L2688" s="13">
        <f>IFERROR(__xludf.DUMMYFUNCTION("""COMPUTED_VALUE"""),45975.0)</f>
        <v>45975</v>
      </c>
    </row>
    <row r="2689">
      <c r="A2689" s="6" t="str">
        <f>IFERROR(__xludf.DUMMYFUNCTION("""COMPUTED_VALUE"""),"MRN")</f>
        <v>MRN</v>
      </c>
      <c r="B2689" s="6" t="str">
        <f>IFERROR(__xludf.DUMMYFUNCTION("""COMPUTED_VALUE"""),"ENG")</f>
        <v>ENG</v>
      </c>
      <c r="C2689" s="6" t="str">
        <f>IFERROR(__xludf.DUMMYFUNCTION("""COMPUTED_VALUE"""),"O-14618-00")</f>
        <v>O-14618-00</v>
      </c>
      <c r="D2689" s="6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E2689" s="6">
        <f>IFERROR(__xludf.DUMMYFUNCTION("""COMPUTED_VALUE"""),2.0)</f>
        <v>2</v>
      </c>
      <c r="F2689" s="6">
        <f>IFERROR(__xludf.DUMMYFUNCTION("""COMPUTED_VALUE"""),2.0)</f>
        <v>2</v>
      </c>
      <c r="G2689" s="6">
        <f>IFERROR(__xludf.DUMMYFUNCTION("""COMPUTED_VALUE"""),0.0)</f>
        <v>0</v>
      </c>
      <c r="H2689" s="6" t="str">
        <f>IFERROR(__xludf.DUMMYFUNCTION("""COMPUTED_VALUE"""),"Pcs")</f>
        <v>Pcs</v>
      </c>
      <c r="I2689" s="6" t="str">
        <f>IFERROR(__xludf.DUMMYFUNCTION("""COMPUTED_VALUE"""),"MFH")</f>
        <v>MFH</v>
      </c>
      <c r="J2689" s="6" t="str">
        <f>IFERROR(__xludf.DUMMYFUNCTION("""COMPUTED_VALUE"""),"-")</f>
        <v>-</v>
      </c>
      <c r="K2689" s="6" t="str">
        <f>IFERROR(__xludf.DUMMYFUNCTION("""COMPUTED_VALUE"""),"SPR/25/11/011")</f>
        <v>SPR/25/11/011</v>
      </c>
      <c r="L2689" s="13">
        <f>IFERROR(__xludf.DUMMYFUNCTION("""COMPUTED_VALUE"""),45975.0)</f>
        <v>45975</v>
      </c>
    </row>
    <row r="2690">
      <c r="A2690" s="6" t="str">
        <f>IFERROR(__xludf.DUMMYFUNCTION("""COMPUTED_VALUE"""),"MRN")</f>
        <v>MRN</v>
      </c>
      <c r="B2690" s="6" t="str">
        <f>IFERROR(__xludf.DUMMYFUNCTION("""COMPUTED_VALUE"""),"ENG")</f>
        <v>ENG</v>
      </c>
      <c r="C2690" s="6" t="str">
        <f>IFERROR(__xludf.DUMMYFUNCTION("""COMPUTED_VALUE"""),"O-11145-00")</f>
        <v>O-11145-00</v>
      </c>
      <c r="D2690" s="6" t="str">
        <f>IFERROR(__xludf.DUMMYFUNCTION("""COMPUTED_VALUE"""),"Bearing 6201 2Z - P/N : -  pc")</f>
        <v>Bearing 6201 2Z - P/N : -  pc</v>
      </c>
      <c r="E2690" s="6">
        <f>IFERROR(__xludf.DUMMYFUNCTION("""COMPUTED_VALUE"""),2.0)</f>
        <v>2</v>
      </c>
      <c r="F2690" s="6">
        <f>IFERROR(__xludf.DUMMYFUNCTION("""COMPUTED_VALUE"""),2.0)</f>
        <v>2</v>
      </c>
      <c r="G2690" s="6">
        <f>IFERROR(__xludf.DUMMYFUNCTION("""COMPUTED_VALUE"""),0.0)</f>
        <v>0</v>
      </c>
      <c r="H2690" s="6" t="str">
        <f>IFERROR(__xludf.DUMMYFUNCTION("""COMPUTED_VALUE"""),"Pcs")</f>
        <v>Pcs</v>
      </c>
      <c r="I2690" s="6" t="str">
        <f>IFERROR(__xludf.DUMMYFUNCTION("""COMPUTED_VALUE"""),"MFH")</f>
        <v>MFH</v>
      </c>
      <c r="J2690" s="6" t="str">
        <f>IFERROR(__xludf.DUMMYFUNCTION("""COMPUTED_VALUE"""),"-")</f>
        <v>-</v>
      </c>
      <c r="K2690" s="6" t="str">
        <f>IFERROR(__xludf.DUMMYFUNCTION("""COMPUTED_VALUE"""),"SPR/25/11/011")</f>
        <v>SPR/25/11/011</v>
      </c>
      <c r="L2690" s="13">
        <f>IFERROR(__xludf.DUMMYFUNCTION("""COMPUTED_VALUE"""),45975.0)</f>
        <v>45975</v>
      </c>
    </row>
    <row r="2691">
      <c r="A2691" s="6" t="str">
        <f>IFERROR(__xludf.DUMMYFUNCTION("""COMPUTED_VALUE"""),"INN")</f>
        <v>INN</v>
      </c>
      <c r="B2691" s="6" t="str">
        <f>IFERROR(__xludf.DUMMYFUNCTION("""COMPUTED_VALUE"""),"ENG")</f>
        <v>ENG</v>
      </c>
      <c r="C2691" s="6" t="str">
        <f>IFERROR(__xludf.DUMMYFUNCTION("""COMPUTED_VALUE"""),"O-16032-00")</f>
        <v>O-16032-00</v>
      </c>
      <c r="D269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691" s="6">
        <f>IFERROR(__xludf.DUMMYFUNCTION("""COMPUTED_VALUE"""),1.0)</f>
        <v>1</v>
      </c>
      <c r="F2691" s="6">
        <f>IFERROR(__xludf.DUMMYFUNCTION("""COMPUTED_VALUE"""),1.0)</f>
        <v>1</v>
      </c>
      <c r="G2691" s="6">
        <f>IFERROR(__xludf.DUMMYFUNCTION("""COMPUTED_VALUE"""),0.0)</f>
        <v>0</v>
      </c>
      <c r="H2691" s="6" t="str">
        <f>IFERROR(__xludf.DUMMYFUNCTION("""COMPUTED_VALUE"""),"Pcs")</f>
        <v>Pcs</v>
      </c>
      <c r="I2691" s="6" t="str">
        <f>IFERROR(__xludf.DUMMYFUNCTION("""COMPUTED_VALUE"""),"MFH")</f>
        <v>MFH</v>
      </c>
      <c r="J2691" s="6" t="str">
        <f>IFERROR(__xludf.DUMMYFUNCTION("""COMPUTED_VALUE"""),"cRABS")</f>
        <v>cRABS</v>
      </c>
      <c r="K2691" s="6" t="str">
        <f>IFERROR(__xludf.DUMMYFUNCTION("""COMPUTED_VALUE"""),"SPR/25/11/012")</f>
        <v>SPR/25/11/012</v>
      </c>
      <c r="L2691" s="13">
        <f>IFERROR(__xludf.DUMMYFUNCTION("""COMPUTED_VALUE"""),45975.0)</f>
        <v>45975</v>
      </c>
    </row>
    <row r="2692">
      <c r="A2692" s="6" t="str">
        <f>IFERROR(__xludf.DUMMYFUNCTION("""COMPUTED_VALUE"""),"INN")</f>
        <v>INN</v>
      </c>
      <c r="B2692" s="6" t="str">
        <f>IFERROR(__xludf.DUMMYFUNCTION("""COMPUTED_VALUE"""),"ENG")</f>
        <v>ENG</v>
      </c>
      <c r="C2692" s="6" t="str">
        <f>IFERROR(__xludf.DUMMYFUNCTION("""COMPUTED_VALUE"""),"T-20791-00")</f>
        <v>T-20791-00</v>
      </c>
      <c r="D2692" s="6" t="str">
        <f>IFERROR(__xludf.DUMMYFUNCTION("""COMPUTED_VALUE"""),"Heater/Cooler Engine 2690; Waters; 700001066;")</f>
        <v>Heater/Cooler Engine 2690; Waters; 700001066;</v>
      </c>
      <c r="E2692" s="6">
        <f>IFERROR(__xludf.DUMMYFUNCTION("""COMPUTED_VALUE"""),1.0)</f>
        <v>1</v>
      </c>
      <c r="F2692" s="6">
        <f>IFERROR(__xludf.DUMMYFUNCTION("""COMPUTED_VALUE"""),1.0)</f>
        <v>1</v>
      </c>
      <c r="G2692" s="6">
        <f>IFERROR(__xludf.DUMMYFUNCTION("""COMPUTED_VALUE"""),0.0)</f>
        <v>0</v>
      </c>
      <c r="H2692" s="6" t="str">
        <f>IFERROR(__xludf.DUMMYFUNCTION("""COMPUTED_VALUE"""),"Pcs")</f>
        <v>Pcs</v>
      </c>
      <c r="I2692" s="6" t="str">
        <f>IFERROR(__xludf.DUMMYFUNCTION("""COMPUTED_VALUE"""),"MFH")</f>
        <v>MFH</v>
      </c>
      <c r="J2692" s="6" t="str">
        <f>IFERROR(__xludf.DUMMYFUNCTION("""COMPUTED_VALUE"""),"HPLC")</f>
        <v>HPLC</v>
      </c>
      <c r="K2692" s="6" t="str">
        <f>IFERROR(__xludf.DUMMYFUNCTION("""COMPUTED_VALUE"""),"SPR/25/11/012")</f>
        <v>SPR/25/11/012</v>
      </c>
      <c r="L2692" s="13">
        <f>IFERROR(__xludf.DUMMYFUNCTION("""COMPUTED_VALUE"""),45975.0)</f>
        <v>45975</v>
      </c>
    </row>
    <row r="2693">
      <c r="A2693" s="6" t="str">
        <f>IFERROR(__xludf.DUMMYFUNCTION("""COMPUTED_VALUE"""),"INN")</f>
        <v>INN</v>
      </c>
      <c r="B2693" s="6" t="str">
        <f>IFERROR(__xludf.DUMMYFUNCTION("""COMPUTED_VALUE"""),"ENG")</f>
        <v>ENG</v>
      </c>
      <c r="C2693" s="6" t="str">
        <f>IFERROR(__xludf.DUMMYFUNCTION("""COMPUTED_VALUE"""),"T-25454-00")</f>
        <v>T-25454-00</v>
      </c>
      <c r="D2693" s="6" t="str">
        <f>IFERROR(__xludf.DUMMYFUNCTION("""COMPUTED_VALUE"""),"Filter Flag, 2998, Classic; Waters; 700003767;")</f>
        <v>Filter Flag, 2998, Classic; Waters; 700003767;</v>
      </c>
      <c r="E2693" s="6">
        <f>IFERROR(__xludf.DUMMYFUNCTION("""COMPUTED_VALUE"""),1.0)</f>
        <v>1</v>
      </c>
      <c r="F2693" s="6">
        <f>IFERROR(__xludf.DUMMYFUNCTION("""COMPUTED_VALUE"""),1.0)</f>
        <v>1</v>
      </c>
      <c r="G2693" s="6">
        <f>IFERROR(__xludf.DUMMYFUNCTION("""COMPUTED_VALUE"""),0.0)</f>
        <v>0</v>
      </c>
      <c r="H2693" s="6" t="str">
        <f>IFERROR(__xludf.DUMMYFUNCTION("""COMPUTED_VALUE"""),"Pcs")</f>
        <v>Pcs</v>
      </c>
      <c r="I2693" s="6" t="str">
        <f>IFERROR(__xludf.DUMMYFUNCTION("""COMPUTED_VALUE"""),"MFH")</f>
        <v>MFH</v>
      </c>
      <c r="J2693" s="6" t="str">
        <f>IFERROR(__xludf.DUMMYFUNCTION("""COMPUTED_VALUE"""),"HPLC")</f>
        <v>HPLC</v>
      </c>
      <c r="K2693" s="6" t="str">
        <f>IFERROR(__xludf.DUMMYFUNCTION("""COMPUTED_VALUE"""),"SPR/25/11/012")</f>
        <v>SPR/25/11/012</v>
      </c>
      <c r="L2693" s="13">
        <f>IFERROR(__xludf.DUMMYFUNCTION("""COMPUTED_VALUE"""),45975.0)</f>
        <v>45975</v>
      </c>
    </row>
    <row r="2694">
      <c r="A2694" s="6" t="str">
        <f>IFERROR(__xludf.DUMMYFUNCTION("""COMPUTED_VALUE"""),"RIA")</f>
        <v>RIA</v>
      </c>
      <c r="B2694" s="6" t="str">
        <f>IFERROR(__xludf.DUMMYFUNCTION("""COMPUTED_VALUE"""),"ENG")</f>
        <v>ENG</v>
      </c>
      <c r="C2694" s="6" t="str">
        <f>IFERROR(__xludf.DUMMYFUNCTION("""COMPUTED_VALUE"""),"T-80043-00")</f>
        <v>T-80043-00</v>
      </c>
      <c r="D2694" s="6" t="str">
        <f>IFERROR(__xludf.DUMMYFUNCTION("""COMPUTED_VALUE"""),"Battery ABC Kotak 9V")</f>
        <v>Battery ABC Kotak 9V</v>
      </c>
      <c r="E2694" s="6">
        <f>IFERROR(__xludf.DUMMYFUNCTION("""COMPUTED_VALUE"""),1.0)</f>
        <v>1</v>
      </c>
      <c r="F2694" s="6">
        <f>IFERROR(__xludf.DUMMYFUNCTION("""COMPUTED_VALUE"""),1.0)</f>
        <v>1</v>
      </c>
      <c r="G2694" s="6">
        <f>IFERROR(__xludf.DUMMYFUNCTION("""COMPUTED_VALUE"""),0.0)</f>
        <v>0</v>
      </c>
      <c r="H2694" s="6" t="str">
        <f>IFERROR(__xludf.DUMMYFUNCTION("""COMPUTED_VALUE"""),"Pcs")</f>
        <v>Pcs</v>
      </c>
      <c r="I2694" s="6" t="str">
        <f>IFERROR(__xludf.DUMMYFUNCTION("""COMPUTED_VALUE"""),"MFH")</f>
        <v>MFH</v>
      </c>
      <c r="J2694" s="6" t="str">
        <f>IFERROR(__xludf.DUMMYFUNCTION("""COMPUTED_VALUE"""),"-")</f>
        <v>-</v>
      </c>
      <c r="K2694" s="6" t="str">
        <f>IFERROR(__xludf.DUMMYFUNCTION("""COMPUTED_VALUE"""),"SPR/25/11/013")</f>
        <v>SPR/25/11/013</v>
      </c>
      <c r="L2694" s="13">
        <f>IFERROR(__xludf.DUMMYFUNCTION("""COMPUTED_VALUE"""),45975.0)</f>
        <v>45975</v>
      </c>
    </row>
    <row r="2695">
      <c r="A2695" s="6" t="str">
        <f>IFERROR(__xludf.DUMMYFUNCTION("""COMPUTED_VALUE"""),"RIA")</f>
        <v>RIA</v>
      </c>
      <c r="B2695" s="6" t="str">
        <f>IFERROR(__xludf.DUMMYFUNCTION("""COMPUTED_VALUE"""),"ENG")</f>
        <v>ENG</v>
      </c>
      <c r="C2695" s="6" t="str">
        <f>IFERROR(__xludf.DUMMYFUNCTION("""COMPUTED_VALUE"""),"P-53133-00")</f>
        <v>P-53133-00</v>
      </c>
      <c r="D2695" s="6" t="str">
        <f>IFERROR(__xludf.DUMMYFUNCTION("""COMPUTED_VALUE"""),"General - Kabel Belden AWG 22 2 Pair; Belden; 8723; 305m/roll")</f>
        <v>General - Kabel Belden AWG 22 2 Pair; Belden; 8723; 305m/roll</v>
      </c>
      <c r="E2695" s="6">
        <f>IFERROR(__xludf.DUMMYFUNCTION("""COMPUTED_VALUE"""),2.0)</f>
        <v>2</v>
      </c>
      <c r="F2695" s="6">
        <f>IFERROR(__xludf.DUMMYFUNCTION("""COMPUTED_VALUE"""),2.0)</f>
        <v>2</v>
      </c>
      <c r="G2695" s="6">
        <f>IFERROR(__xludf.DUMMYFUNCTION("""COMPUTED_VALUE"""),0.0)</f>
        <v>0</v>
      </c>
      <c r="H2695" s="6" t="str">
        <f>IFERROR(__xludf.DUMMYFUNCTION("""COMPUTED_VALUE"""),"Pcs")</f>
        <v>Pcs</v>
      </c>
      <c r="I2695" s="6" t="str">
        <f>IFERROR(__xludf.DUMMYFUNCTION("""COMPUTED_VALUE"""),"MFH")</f>
        <v>MFH</v>
      </c>
      <c r="J2695" s="6" t="str">
        <f>IFERROR(__xludf.DUMMYFUNCTION("""COMPUTED_VALUE"""),"-")</f>
        <v>-</v>
      </c>
      <c r="K2695" s="6" t="str">
        <f>IFERROR(__xludf.DUMMYFUNCTION("""COMPUTED_VALUE"""),"SPR/25/11/013")</f>
        <v>SPR/25/11/013</v>
      </c>
      <c r="L2695" s="13">
        <f>IFERROR(__xludf.DUMMYFUNCTION("""COMPUTED_VALUE"""),45975.0)</f>
        <v>45975</v>
      </c>
    </row>
    <row r="2696">
      <c r="A2696" s="6" t="str">
        <f>IFERROR(__xludf.DUMMYFUNCTION("""COMPUTED_VALUE"""),"RIA")</f>
        <v>RIA</v>
      </c>
      <c r="B2696" s="6" t="str">
        <f>IFERROR(__xludf.DUMMYFUNCTION("""COMPUTED_VALUE"""),"ENG")</f>
        <v>ENG</v>
      </c>
      <c r="C2696" s="6" t="str">
        <f>IFERROR(__xludf.DUMMYFUNCTION("""COMPUTED_VALUE"""),"P-53411-00")</f>
        <v>P-53411-00</v>
      </c>
      <c r="D2696" s="6" t="str">
        <f>IFERROR(__xludf.DUMMYFUNCTION("""COMPUTED_VALUE"""),"General - Power Supply ECO 1-PH 24VDC 5A; Wago; 787-722; 1 pc")</f>
        <v>General - Power Supply ECO 1-PH 24VDC 5A; Wago; 787-722; 1 pc</v>
      </c>
      <c r="E2696" s="6">
        <f>IFERROR(__xludf.DUMMYFUNCTION("""COMPUTED_VALUE"""),2.0)</f>
        <v>2</v>
      </c>
      <c r="F2696" s="6">
        <f>IFERROR(__xludf.DUMMYFUNCTION("""COMPUTED_VALUE"""),2.0)</f>
        <v>2</v>
      </c>
      <c r="G2696" s="6">
        <f>IFERROR(__xludf.DUMMYFUNCTION("""COMPUTED_VALUE"""),0.0)</f>
        <v>0</v>
      </c>
      <c r="H2696" s="6" t="str">
        <f>IFERROR(__xludf.DUMMYFUNCTION("""COMPUTED_VALUE"""),"Pcs")</f>
        <v>Pcs</v>
      </c>
      <c r="I2696" s="6" t="str">
        <f>IFERROR(__xludf.DUMMYFUNCTION("""COMPUTED_VALUE"""),"MFH")</f>
        <v>MFH</v>
      </c>
      <c r="J2696" s="6" t="str">
        <f>IFERROR(__xludf.DUMMYFUNCTION("""COMPUTED_VALUE"""),"-")</f>
        <v>-</v>
      </c>
      <c r="K2696" s="6" t="str">
        <f>IFERROR(__xludf.DUMMYFUNCTION("""COMPUTED_VALUE"""),"SPR/25/11/013")</f>
        <v>SPR/25/11/013</v>
      </c>
      <c r="L2696" s="13">
        <f>IFERROR(__xludf.DUMMYFUNCTION("""COMPUTED_VALUE"""),45975.0)</f>
        <v>45975</v>
      </c>
    </row>
    <row r="2697">
      <c r="A2697" s="6" t="str">
        <f>IFERROR(__xludf.DUMMYFUNCTION("""COMPUTED_VALUE"""),"SFH")</f>
        <v>SFH</v>
      </c>
      <c r="B2697" s="6" t="str">
        <f>IFERROR(__xludf.DUMMYFUNCTION("""COMPUTED_VALUE"""),"ENG")</f>
        <v>ENG</v>
      </c>
      <c r="C2697" s="6" t="str">
        <f>IFERROR(__xludf.DUMMYFUNCTION("""COMPUTED_VALUE"""),"P-53051-00")</f>
        <v>P-53051-00</v>
      </c>
      <c r="D2697" s="6" t="str">
        <f>IFERROR(__xludf.DUMMYFUNCTION("""COMPUTED_VALUE"""),"General - Baterai NiCad Emergency TL 6V; Hokistar; BT-006; 1 Pc")</f>
        <v>General - Baterai NiCad Emergency TL 6V; Hokistar; BT-006; 1 Pc</v>
      </c>
      <c r="E2697" s="6">
        <f>IFERROR(__xludf.DUMMYFUNCTION("""COMPUTED_VALUE"""),1.0)</f>
        <v>1</v>
      </c>
      <c r="F2697" s="6">
        <f>IFERROR(__xludf.DUMMYFUNCTION("""COMPUTED_VALUE"""),1.0)</f>
        <v>1</v>
      </c>
      <c r="G2697" s="6">
        <f>IFERROR(__xludf.DUMMYFUNCTION("""COMPUTED_VALUE"""),0.0)</f>
        <v>0</v>
      </c>
      <c r="H2697" s="6" t="str">
        <f>IFERROR(__xludf.DUMMYFUNCTION("""COMPUTED_VALUE"""),"Pcs")</f>
        <v>Pcs</v>
      </c>
      <c r="I2697" s="6" t="str">
        <f>IFERROR(__xludf.DUMMYFUNCTION("""COMPUTED_VALUE"""),"MFH")</f>
        <v>MFH</v>
      </c>
      <c r="J2697" s="6" t="str">
        <f>IFERROR(__xludf.DUMMYFUNCTION("""COMPUTED_VALUE"""),"Building")</f>
        <v>Building</v>
      </c>
      <c r="K2697" s="6" t="str">
        <f>IFERROR(__xludf.DUMMYFUNCTION("""COMPUTED_VALUE"""),"SPR/25/11/014")</f>
        <v>SPR/25/11/014</v>
      </c>
      <c r="L2697" s="13">
        <f>IFERROR(__xludf.DUMMYFUNCTION("""COMPUTED_VALUE"""),45975.0)</f>
        <v>45975</v>
      </c>
    </row>
    <row r="2698">
      <c r="A2698" s="6" t="str">
        <f>IFERROR(__xludf.DUMMYFUNCTION("""COMPUTED_VALUE"""),"SFH")</f>
        <v>SFH</v>
      </c>
      <c r="B2698" s="6" t="str">
        <f>IFERROR(__xludf.DUMMYFUNCTION("""COMPUTED_VALUE"""),"ENG")</f>
        <v>ENG</v>
      </c>
      <c r="C2698" s="6" t="str">
        <f>IFERROR(__xludf.DUMMYFUNCTION("""COMPUTED_VALUE"""),"Q-60107-00")</f>
        <v>Q-60107-00</v>
      </c>
      <c r="D2698" s="6" t="str">
        <f>IFERROR(__xludf.DUMMYFUNCTION("""COMPUTED_VALUE"""),"Hardener / Obat dempul sanpolac; ; ; pack size per tube")</f>
        <v>Hardener / Obat dempul sanpolac; ; ; pack size per tube</v>
      </c>
      <c r="E2698" s="6">
        <f>IFERROR(__xludf.DUMMYFUNCTION("""COMPUTED_VALUE"""),1.0)</f>
        <v>1</v>
      </c>
      <c r="F2698" s="6">
        <f>IFERROR(__xludf.DUMMYFUNCTION("""COMPUTED_VALUE"""),1.0)</f>
        <v>1</v>
      </c>
      <c r="G2698" s="6">
        <f>IFERROR(__xludf.DUMMYFUNCTION("""COMPUTED_VALUE"""),0.0)</f>
        <v>0</v>
      </c>
      <c r="H2698" s="6" t="str">
        <f>IFERROR(__xludf.DUMMYFUNCTION("""COMPUTED_VALUE"""),"Pcs")</f>
        <v>Pcs</v>
      </c>
      <c r="I2698" s="6" t="str">
        <f>IFERROR(__xludf.DUMMYFUNCTION("""COMPUTED_VALUE"""),"MFH")</f>
        <v>MFH</v>
      </c>
      <c r="J2698" s="6" t="str">
        <f>IFERROR(__xludf.DUMMYFUNCTION("""COMPUTED_VALUE"""),"Building")</f>
        <v>Building</v>
      </c>
      <c r="K2698" s="6" t="str">
        <f>IFERROR(__xludf.DUMMYFUNCTION("""COMPUTED_VALUE"""),"SPR/25/11/014")</f>
        <v>SPR/25/11/014</v>
      </c>
      <c r="L2698" s="13">
        <f>IFERROR(__xludf.DUMMYFUNCTION("""COMPUTED_VALUE"""),45975.0)</f>
        <v>45975</v>
      </c>
    </row>
    <row r="2699">
      <c r="A2699" s="6" t="str">
        <f>IFERROR(__xludf.DUMMYFUNCTION("""COMPUTED_VALUE"""),"SFH")</f>
        <v>SFH</v>
      </c>
      <c r="B2699" s="6" t="str">
        <f>IFERROR(__xludf.DUMMYFUNCTION("""COMPUTED_VALUE"""),"ENG")</f>
        <v>ENG</v>
      </c>
      <c r="C2699" s="6" t="str">
        <f>IFERROR(__xludf.DUMMYFUNCTION("""COMPUTED_VALUE"""),"P-13389-00")</f>
        <v>P-13389-00</v>
      </c>
      <c r="D2699" s="6" t="str">
        <f>IFERROR(__xludf.DUMMYFUNCTION("""COMPUTED_VALUE"""),"Scotch Brite 3M; ; ;")</f>
        <v>Scotch Brite 3M; ; ;</v>
      </c>
      <c r="E2699" s="6">
        <f>IFERROR(__xludf.DUMMYFUNCTION("""COMPUTED_VALUE"""),1.0)</f>
        <v>1</v>
      </c>
      <c r="F2699" s="6">
        <f>IFERROR(__xludf.DUMMYFUNCTION("""COMPUTED_VALUE"""),1.0)</f>
        <v>1</v>
      </c>
      <c r="G2699" s="6">
        <f>IFERROR(__xludf.DUMMYFUNCTION("""COMPUTED_VALUE"""),0.0)</f>
        <v>0</v>
      </c>
      <c r="H2699" s="6" t="str">
        <f>IFERROR(__xludf.DUMMYFUNCTION("""COMPUTED_VALUE"""),"Pcs")</f>
        <v>Pcs</v>
      </c>
      <c r="I2699" s="6" t="str">
        <f>IFERROR(__xludf.DUMMYFUNCTION("""COMPUTED_VALUE"""),"MFH")</f>
        <v>MFH</v>
      </c>
      <c r="J2699" s="6" t="str">
        <f>IFERROR(__xludf.DUMMYFUNCTION("""COMPUTED_VALUE"""),"Building")</f>
        <v>Building</v>
      </c>
      <c r="K2699" s="6" t="str">
        <f>IFERROR(__xludf.DUMMYFUNCTION("""COMPUTED_VALUE"""),"SPR/25/11/014")</f>
        <v>SPR/25/11/014</v>
      </c>
      <c r="L2699" s="13">
        <f>IFERROR(__xludf.DUMMYFUNCTION("""COMPUTED_VALUE"""),45975.0)</f>
        <v>45975</v>
      </c>
    </row>
    <row r="2700">
      <c r="A2700" s="6" t="str">
        <f>IFERROR(__xludf.DUMMYFUNCTION("""COMPUTED_VALUE"""),"ROS")</f>
        <v>ROS</v>
      </c>
      <c r="B2700" s="6" t="str">
        <f>IFERROR(__xludf.DUMMYFUNCTION("""COMPUTED_VALUE"""),"ENG")</f>
        <v>ENG</v>
      </c>
      <c r="C2700" s="6" t="str">
        <f>IFERROR(__xludf.DUMMYFUNCTION("""COMPUTED_VALUE"""),"O-16647-00")</f>
        <v>O-16647-00</v>
      </c>
      <c r="D2700" s="6" t="str">
        <f>IFERROR(__xludf.DUMMYFUNCTION("""COMPUTED_VALUE"""),"Washing RAR4 - Oring Silicone Merah 23x18x2.5 mm; ; ;")</f>
        <v>Washing RAR4 - Oring Silicone Merah 23x18x2.5 mm; ; ;</v>
      </c>
      <c r="E2700" s="6">
        <f>IFERROR(__xludf.DUMMYFUNCTION("""COMPUTED_VALUE"""),10.0)</f>
        <v>10</v>
      </c>
      <c r="F2700" s="6">
        <f>IFERROR(__xludf.DUMMYFUNCTION("""COMPUTED_VALUE"""),10.0)</f>
        <v>10</v>
      </c>
      <c r="G2700" s="6">
        <f>IFERROR(__xludf.DUMMYFUNCTION("""COMPUTED_VALUE"""),0.0)</f>
        <v>0</v>
      </c>
      <c r="H2700" s="6" t="str">
        <f>IFERROR(__xludf.DUMMYFUNCTION("""COMPUTED_VALUE"""),"Pcs")</f>
        <v>Pcs</v>
      </c>
      <c r="I2700" s="6" t="str">
        <f>IFERROR(__xludf.DUMMYFUNCTION("""COMPUTED_VALUE"""),"MFH")</f>
        <v>MFH</v>
      </c>
      <c r="J2700" s="6" t="str">
        <f>IFERROR(__xludf.DUMMYFUNCTION("""COMPUTED_VALUE"""),"Capping")</f>
        <v>Capping</v>
      </c>
      <c r="K2700" s="6" t="str">
        <f>IFERROR(__xludf.DUMMYFUNCTION("""COMPUTED_VALUE"""),"SPR/25/11/015")</f>
        <v>SPR/25/11/015</v>
      </c>
      <c r="L2700" s="13">
        <f>IFERROR(__xludf.DUMMYFUNCTION("""COMPUTED_VALUE"""),45975.0)</f>
        <v>45975</v>
      </c>
    </row>
    <row r="2701">
      <c r="A2701" s="6" t="str">
        <f>IFERROR(__xludf.DUMMYFUNCTION("""COMPUTED_VALUE"""),"ROS")</f>
        <v>ROS</v>
      </c>
      <c r="B2701" s="6" t="str">
        <f>IFERROR(__xludf.DUMMYFUNCTION("""COMPUTED_VALUE"""),"ENG")</f>
        <v>ENG</v>
      </c>
      <c r="C2701" s="6" t="str">
        <f>IFERROR(__xludf.DUMMYFUNCTION("""COMPUTED_VALUE"""),"P-19847-00")</f>
        <v>P-19847-00</v>
      </c>
      <c r="D2701" s="6" t="str">
        <f>IFERROR(__xludf.DUMMYFUNCTION("""COMPUTED_VALUE"""),"General - Baut L Tanam M4x4mm SS304; No Brand; -; 100pcs/pack")</f>
        <v>General - Baut L Tanam M4x4mm SS304; No Brand; -; 100pcs/pack</v>
      </c>
      <c r="E2701" s="6">
        <f>IFERROR(__xludf.DUMMYFUNCTION("""COMPUTED_VALUE"""),1.0)</f>
        <v>1</v>
      </c>
      <c r="F2701" s="6">
        <f>IFERROR(__xludf.DUMMYFUNCTION("""COMPUTED_VALUE"""),1.0)</f>
        <v>1</v>
      </c>
      <c r="G2701" s="6">
        <f>IFERROR(__xludf.DUMMYFUNCTION("""COMPUTED_VALUE"""),0.0)</f>
        <v>0</v>
      </c>
      <c r="H2701" s="6" t="str">
        <f>IFERROR(__xludf.DUMMYFUNCTION("""COMPUTED_VALUE"""),"Pcs")</f>
        <v>Pcs</v>
      </c>
      <c r="I2701" s="6" t="str">
        <f>IFERROR(__xludf.DUMMYFUNCTION("""COMPUTED_VALUE"""),"MFH")</f>
        <v>MFH</v>
      </c>
      <c r="J2701" s="6" t="str">
        <f>IFERROR(__xludf.DUMMYFUNCTION("""COMPUTED_VALUE"""),"Capping")</f>
        <v>Capping</v>
      </c>
      <c r="K2701" s="6" t="str">
        <f>IFERROR(__xludf.DUMMYFUNCTION("""COMPUTED_VALUE"""),"SPR/25/11/015")</f>
        <v>SPR/25/11/015</v>
      </c>
      <c r="L2701" s="13">
        <f>IFERROR(__xludf.DUMMYFUNCTION("""COMPUTED_VALUE"""),45975.0)</f>
        <v>45975</v>
      </c>
    </row>
    <row r="2702">
      <c r="A2702" s="6" t="str">
        <f>IFERROR(__xludf.DUMMYFUNCTION("""COMPUTED_VALUE"""),"ROS")</f>
        <v>ROS</v>
      </c>
      <c r="B2702" s="6" t="str">
        <f>IFERROR(__xludf.DUMMYFUNCTION("""COMPUTED_VALUE"""),"ENG")</f>
        <v>ENG</v>
      </c>
      <c r="C2702" s="6" t="str">
        <f>IFERROR(__xludf.DUMMYFUNCTION("""COMPUTED_VALUE"""),"P-19303-00")</f>
        <v>P-19303-00</v>
      </c>
      <c r="D2702" s="6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E2702" s="6">
        <f>IFERROR(__xludf.DUMMYFUNCTION("""COMPUTED_VALUE"""),2.0)</f>
        <v>2</v>
      </c>
      <c r="F2702" s="6">
        <f>IFERROR(__xludf.DUMMYFUNCTION("""COMPUTED_VALUE"""),2.0)</f>
        <v>2</v>
      </c>
      <c r="G2702" s="6">
        <f>IFERROR(__xludf.DUMMYFUNCTION("""COMPUTED_VALUE"""),0.0)</f>
        <v>0</v>
      </c>
      <c r="H2702" s="6" t="str">
        <f>IFERROR(__xludf.DUMMYFUNCTION("""COMPUTED_VALUE"""),"Pcs")</f>
        <v>Pcs</v>
      </c>
      <c r="I2702" s="6" t="str">
        <f>IFERROR(__xludf.DUMMYFUNCTION("""COMPUTED_VALUE"""),"MFH")</f>
        <v>MFH</v>
      </c>
      <c r="J2702" s="6" t="str">
        <f>IFERROR(__xludf.DUMMYFUNCTION("""COMPUTED_VALUE"""),"-")</f>
        <v>-</v>
      </c>
      <c r="K2702" s="6" t="str">
        <f>IFERROR(__xludf.DUMMYFUNCTION("""COMPUTED_VALUE"""),"SPR/25/11/015")</f>
        <v>SPR/25/11/015</v>
      </c>
      <c r="L2702" s="13">
        <f>IFERROR(__xludf.DUMMYFUNCTION("""COMPUTED_VALUE"""),45975.0)</f>
        <v>45975</v>
      </c>
    </row>
    <row r="2703">
      <c r="A2703" s="6" t="str">
        <f>IFERROR(__xludf.DUMMYFUNCTION("""COMPUTED_VALUE"""),"KFF")</f>
        <v>KFF</v>
      </c>
      <c r="B2703" s="6" t="str">
        <f>IFERROR(__xludf.DUMMYFUNCTION("""COMPUTED_VALUE"""),"ENG")</f>
        <v>ENG</v>
      </c>
      <c r="C2703" s="6" t="str">
        <f>IFERROR(__xludf.DUMMYFUNCTION("""COMPUTED_VALUE"""),"P-18769-00")</f>
        <v>P-18769-00</v>
      </c>
      <c r="D2703" s="6" t="str">
        <f>IFERROR(__xludf.DUMMYFUNCTION("""COMPUTED_VALUE"""),"Mata Gerinda Potong 4"" Merek WD; ; -; 20 pc")</f>
        <v>Mata Gerinda Potong 4" Merek WD; ; -; 20 pc</v>
      </c>
      <c r="E2703" s="6">
        <f>IFERROR(__xludf.DUMMYFUNCTION("""COMPUTED_VALUE"""),2.0)</f>
        <v>2</v>
      </c>
      <c r="F2703" s="6">
        <f>IFERROR(__xludf.DUMMYFUNCTION("""COMPUTED_VALUE"""),2.0)</f>
        <v>2</v>
      </c>
      <c r="G2703" s="6">
        <f>IFERROR(__xludf.DUMMYFUNCTION("""COMPUTED_VALUE"""),0.0)</f>
        <v>0</v>
      </c>
      <c r="H2703" s="6" t="str">
        <f>IFERROR(__xludf.DUMMYFUNCTION("""COMPUTED_VALUE"""),"Pcs")</f>
        <v>Pcs</v>
      </c>
      <c r="I2703" s="6" t="str">
        <f>IFERROR(__xludf.DUMMYFUNCTION("""COMPUTED_VALUE"""),"MFH")</f>
        <v>MFH</v>
      </c>
      <c r="J2703" s="6" t="str">
        <f>IFERROR(__xludf.DUMMYFUNCTION("""COMPUTED_VALUE"""),"-")</f>
        <v>-</v>
      </c>
      <c r="K2703" s="6" t="str">
        <f>IFERROR(__xludf.DUMMYFUNCTION("""COMPUTED_VALUE"""),"SPR/25/11/016")</f>
        <v>SPR/25/11/016</v>
      </c>
      <c r="L2703" s="13">
        <f>IFERROR(__xludf.DUMMYFUNCTION("""COMPUTED_VALUE"""),45975.0)</f>
        <v>45975</v>
      </c>
    </row>
    <row r="2704">
      <c r="A2704" s="6" t="str">
        <f>IFERROR(__xludf.DUMMYFUNCTION("""COMPUTED_VALUE"""),"KFF")</f>
        <v>KFF</v>
      </c>
      <c r="B2704" s="6" t="str">
        <f>IFERROR(__xludf.DUMMYFUNCTION("""COMPUTED_VALUE"""),"ENG")</f>
        <v>ENG</v>
      </c>
      <c r="C2704" s="6" t="str">
        <f>IFERROR(__xludf.DUMMYFUNCTION("""COMPUTED_VALUE"""),"P-15852-00")</f>
        <v>P-15852-00</v>
      </c>
      <c r="D2704" s="6" t="str">
        <f>IFERROR(__xludf.DUMMYFUNCTION("""COMPUTED_VALUE"""),"AMPLAS  EAGLE 500")</f>
        <v>AMPLAS  EAGLE 500</v>
      </c>
      <c r="E2704" s="6">
        <f>IFERROR(__xludf.DUMMYFUNCTION("""COMPUTED_VALUE"""),1.0)</f>
        <v>1</v>
      </c>
      <c r="F2704" s="6">
        <f>IFERROR(__xludf.DUMMYFUNCTION("""COMPUTED_VALUE"""),1.0)</f>
        <v>1</v>
      </c>
      <c r="G2704" s="6">
        <f>IFERROR(__xludf.DUMMYFUNCTION("""COMPUTED_VALUE"""),0.0)</f>
        <v>0</v>
      </c>
      <c r="H2704" s="6" t="str">
        <f>IFERROR(__xludf.DUMMYFUNCTION("""COMPUTED_VALUE"""),"Pcs")</f>
        <v>Pcs</v>
      </c>
      <c r="I2704" s="6" t="str">
        <f>IFERROR(__xludf.DUMMYFUNCTION("""COMPUTED_VALUE"""),"MFH")</f>
        <v>MFH</v>
      </c>
      <c r="J2704" s="6" t="str">
        <f>IFERROR(__xludf.DUMMYFUNCTION("""COMPUTED_VALUE"""),"-")</f>
        <v>-</v>
      </c>
      <c r="K2704" s="6" t="str">
        <f>IFERROR(__xludf.DUMMYFUNCTION("""COMPUTED_VALUE"""),"SPR/25/11/016")</f>
        <v>SPR/25/11/016</v>
      </c>
      <c r="L2704" s="13">
        <f>IFERROR(__xludf.DUMMYFUNCTION("""COMPUTED_VALUE"""),45975.0)</f>
        <v>45975</v>
      </c>
    </row>
    <row r="2705">
      <c r="A2705" s="6" t="str">
        <f>IFERROR(__xludf.DUMMYFUNCTION("""COMPUTED_VALUE"""),"KFF")</f>
        <v>KFF</v>
      </c>
      <c r="B2705" s="6" t="str">
        <f>IFERROR(__xludf.DUMMYFUNCTION("""COMPUTED_VALUE"""),"ENG")</f>
        <v>ENG</v>
      </c>
      <c r="C2705" s="6" t="str">
        <f>IFERROR(__xludf.DUMMYFUNCTION("""COMPUTED_VALUE"""),"P-13389-00")</f>
        <v>P-13389-00</v>
      </c>
      <c r="D2705" s="6" t="str">
        <f>IFERROR(__xludf.DUMMYFUNCTION("""COMPUTED_VALUE"""),"Scotch Brite 3M; ; ;")</f>
        <v>Scotch Brite 3M; ; ;</v>
      </c>
      <c r="E2705" s="6">
        <f>IFERROR(__xludf.DUMMYFUNCTION("""COMPUTED_VALUE"""),1.0)</f>
        <v>1</v>
      </c>
      <c r="F2705" s="6">
        <f>IFERROR(__xludf.DUMMYFUNCTION("""COMPUTED_VALUE"""),1.0)</f>
        <v>1</v>
      </c>
      <c r="G2705" s="6">
        <f>IFERROR(__xludf.DUMMYFUNCTION("""COMPUTED_VALUE"""),0.0)</f>
        <v>0</v>
      </c>
      <c r="H2705" s="6" t="str">
        <f>IFERROR(__xludf.DUMMYFUNCTION("""COMPUTED_VALUE"""),"Pcs")</f>
        <v>Pcs</v>
      </c>
      <c r="I2705" s="6" t="str">
        <f>IFERROR(__xludf.DUMMYFUNCTION("""COMPUTED_VALUE"""),"MFH")</f>
        <v>MFH</v>
      </c>
      <c r="J2705" s="6" t="str">
        <f>IFERROR(__xludf.DUMMYFUNCTION("""COMPUTED_VALUE"""),"-")</f>
        <v>-</v>
      </c>
      <c r="K2705" s="6" t="str">
        <f>IFERROR(__xludf.DUMMYFUNCTION("""COMPUTED_VALUE"""),"SPR/25/11/016")</f>
        <v>SPR/25/11/016</v>
      </c>
      <c r="L2705" s="13">
        <f>IFERROR(__xludf.DUMMYFUNCTION("""COMPUTED_VALUE"""),45975.0)</f>
        <v>45975</v>
      </c>
    </row>
    <row r="2706">
      <c r="A2706" s="6" t="str">
        <f>IFERROR(__xludf.DUMMYFUNCTION("""COMPUTED_VALUE"""),"ROS")</f>
        <v>ROS</v>
      </c>
      <c r="B2706" s="6" t="str">
        <f>IFERROR(__xludf.DUMMYFUNCTION("""COMPUTED_VALUE"""),"ENG")</f>
        <v>ENG</v>
      </c>
      <c r="C2706" s="6" t="str">
        <f>IFERROR(__xludf.DUMMYFUNCTION("""COMPUTED_VALUE"""),"O-15931-00")</f>
        <v>O-15931-00</v>
      </c>
      <c r="D2706" s="6" t="str">
        <f>IFERROR(__xludf.DUMMYFUNCTION("""COMPUTED_VALUE"""),"Double Tape 3M 1"" Merah - P/N : -  pc")</f>
        <v>Double Tape 3M 1" Merah - P/N : -  pc</v>
      </c>
      <c r="E2706" s="6">
        <f>IFERROR(__xludf.DUMMYFUNCTION("""COMPUTED_VALUE"""),1.0)</f>
        <v>1</v>
      </c>
      <c r="F2706" s="6">
        <f>IFERROR(__xludf.DUMMYFUNCTION("""COMPUTED_VALUE"""),1.0)</f>
        <v>1</v>
      </c>
      <c r="G2706" s="6">
        <f>IFERROR(__xludf.DUMMYFUNCTION("""COMPUTED_VALUE"""),0.0)</f>
        <v>0</v>
      </c>
      <c r="H2706" s="6" t="str">
        <f>IFERROR(__xludf.DUMMYFUNCTION("""COMPUTED_VALUE"""),"Pcs")</f>
        <v>Pcs</v>
      </c>
      <c r="I2706" s="6" t="str">
        <f>IFERROR(__xludf.DUMMYFUNCTION("""COMPUTED_VALUE"""),"MFH")</f>
        <v>MFH</v>
      </c>
      <c r="J2706" s="6" t="str">
        <f>IFERROR(__xludf.DUMMYFUNCTION("""COMPUTED_VALUE"""),"Coating")</f>
        <v>Coating</v>
      </c>
      <c r="K2706" s="6" t="str">
        <f>IFERROR(__xludf.DUMMYFUNCTION("""COMPUTED_VALUE"""),"SPR/25/11/017")</f>
        <v>SPR/25/11/017</v>
      </c>
      <c r="L2706" s="13">
        <f>IFERROR(__xludf.DUMMYFUNCTION("""COMPUTED_VALUE"""),45975.0)</f>
        <v>45975</v>
      </c>
    </row>
    <row r="2707">
      <c r="A2707" s="6" t="str">
        <f>IFERROR(__xludf.DUMMYFUNCTION("""COMPUTED_VALUE"""),"ROS")</f>
        <v>ROS</v>
      </c>
      <c r="B2707" s="6" t="str">
        <f>IFERROR(__xludf.DUMMYFUNCTION("""COMPUTED_VALUE"""),"ENG")</f>
        <v>ENG</v>
      </c>
      <c r="C2707" s="6" t="str">
        <f>IFERROR(__xludf.DUMMYFUNCTION("""COMPUTED_VALUE"""),"Q-60502-00")</f>
        <v>Q-60502-00</v>
      </c>
      <c r="D2707" s="6" t="str">
        <f>IFERROR(__xludf.DUMMYFUNCTION("""COMPUTED_VALUE"""),"Silicone Sealant, Silglaze, Type N10 White, pack size per pcs")</f>
        <v>Silicone Sealant, Silglaze, Type N10 White, pack size per pcs</v>
      </c>
      <c r="E2707" s="6">
        <f>IFERROR(__xludf.DUMMYFUNCTION("""COMPUTED_VALUE"""),1.0)</f>
        <v>1</v>
      </c>
      <c r="F2707" s="6">
        <f>IFERROR(__xludf.DUMMYFUNCTION("""COMPUTED_VALUE"""),1.0)</f>
        <v>1</v>
      </c>
      <c r="G2707" s="6">
        <f>IFERROR(__xludf.DUMMYFUNCTION("""COMPUTED_VALUE"""),0.0)</f>
        <v>0</v>
      </c>
      <c r="H2707" s="6" t="str">
        <f>IFERROR(__xludf.DUMMYFUNCTION("""COMPUTED_VALUE"""),"Pcs")</f>
        <v>Pcs</v>
      </c>
      <c r="I2707" s="6" t="str">
        <f>IFERROR(__xludf.DUMMYFUNCTION("""COMPUTED_VALUE"""),"MFH")</f>
        <v>MFH</v>
      </c>
      <c r="J2707" s="6" t="str">
        <f>IFERROR(__xludf.DUMMYFUNCTION("""COMPUTED_VALUE"""),"Coating")</f>
        <v>Coating</v>
      </c>
      <c r="K2707" s="6" t="str">
        <f>IFERROR(__xludf.DUMMYFUNCTION("""COMPUTED_VALUE"""),"SPR/25/11/017")</f>
        <v>SPR/25/11/017</v>
      </c>
      <c r="L2707" s="13">
        <f>IFERROR(__xludf.DUMMYFUNCTION("""COMPUTED_VALUE"""),45975.0)</f>
        <v>45975</v>
      </c>
    </row>
    <row r="2708">
      <c r="A2708" s="6" t="str">
        <f>IFERROR(__xludf.DUMMYFUNCTION("""COMPUTED_VALUE"""),"ROS")</f>
        <v>ROS</v>
      </c>
      <c r="B2708" s="6" t="str">
        <f>IFERROR(__xludf.DUMMYFUNCTION("""COMPUTED_VALUE"""),"ENG")</f>
        <v>ENG</v>
      </c>
      <c r="C2708" s="6" t="str">
        <f>IFERROR(__xludf.DUMMYFUNCTION("""COMPUTED_VALUE"""),"P-19449-00")</f>
        <v>P-19449-00</v>
      </c>
      <c r="D2708" s="6" t="str">
        <f>IFERROR(__xludf.DUMMYFUNCTION("""COMPUTED_VALUE"""),"Mesin Chamber - Coil Evaporator Uk. 52 X 22 X 11; Custom/Lokal; -; 1 Pc")</f>
        <v>Mesin Chamber - Coil Evaporator Uk. 52 X 22 X 11; Custom/Lokal; -; 1 Pc</v>
      </c>
      <c r="E2708" s="6">
        <f>IFERROR(__xludf.DUMMYFUNCTION("""COMPUTED_VALUE"""),2.0)</f>
        <v>2</v>
      </c>
      <c r="F2708" s="6">
        <f>IFERROR(__xludf.DUMMYFUNCTION("""COMPUTED_VALUE"""),2.0)</f>
        <v>2</v>
      </c>
      <c r="G2708" s="6">
        <f>IFERROR(__xludf.DUMMYFUNCTION("""COMPUTED_VALUE"""),0.0)</f>
        <v>0</v>
      </c>
      <c r="H2708" s="6" t="str">
        <f>IFERROR(__xludf.DUMMYFUNCTION("""COMPUTED_VALUE"""),"Pcs")</f>
        <v>Pcs</v>
      </c>
      <c r="I2708" s="6" t="str">
        <f>IFERROR(__xludf.DUMMYFUNCTION("""COMPUTED_VALUE"""),"MFH")</f>
        <v>MFH</v>
      </c>
      <c r="J2708" s="6" t="str">
        <f>IFERROR(__xludf.DUMMYFUNCTION("""COMPUTED_VALUE"""),"-")</f>
        <v>-</v>
      </c>
      <c r="K2708" s="6" t="str">
        <f>IFERROR(__xludf.DUMMYFUNCTION("""COMPUTED_VALUE"""),"SPR/25/11/017")</f>
        <v>SPR/25/11/017</v>
      </c>
      <c r="L2708" s="13">
        <f>IFERROR(__xludf.DUMMYFUNCTION("""COMPUTED_VALUE"""),45975.0)</f>
        <v>45975</v>
      </c>
    </row>
    <row r="2709">
      <c r="A2709" s="6" t="str">
        <f>IFERROR(__xludf.DUMMYFUNCTION("""COMPUTED_VALUE"""),"INN")</f>
        <v>INN</v>
      </c>
      <c r="B2709" s="6" t="str">
        <f>IFERROR(__xludf.DUMMYFUNCTION("""COMPUTED_VALUE"""),"ENG")</f>
        <v>ENG</v>
      </c>
      <c r="C2709" s="6" t="str">
        <f>IFERROR(__xludf.DUMMYFUNCTION("""COMPUTED_VALUE"""),"O-20487-00")</f>
        <v>O-20487-00</v>
      </c>
      <c r="D2709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2709" s="6">
        <f>IFERROR(__xludf.DUMMYFUNCTION("""COMPUTED_VALUE"""),1.0)</f>
        <v>1</v>
      </c>
      <c r="F2709" s="6">
        <f>IFERROR(__xludf.DUMMYFUNCTION("""COMPUTED_VALUE"""),1.0)</f>
        <v>1</v>
      </c>
      <c r="G2709" s="6">
        <f>IFERROR(__xludf.DUMMYFUNCTION("""COMPUTED_VALUE"""),0.0)</f>
        <v>0</v>
      </c>
      <c r="H2709" s="6" t="str">
        <f>IFERROR(__xludf.DUMMYFUNCTION("""COMPUTED_VALUE"""),"Pcs")</f>
        <v>Pcs</v>
      </c>
      <c r="I2709" s="6" t="str">
        <f>IFERROR(__xludf.DUMMYFUNCTION("""COMPUTED_VALUE"""),"MFH")</f>
        <v>MFH</v>
      </c>
      <c r="J2709" s="6" t="str">
        <f>IFERROR(__xludf.DUMMYFUNCTION("""COMPUTED_VALUE"""),"cRABS")</f>
        <v>cRABS</v>
      </c>
      <c r="K2709" s="6" t="str">
        <f>IFERROR(__xludf.DUMMYFUNCTION("""COMPUTED_VALUE"""),"SPR/25/11/018")</f>
        <v>SPR/25/11/018</v>
      </c>
      <c r="L2709" s="13">
        <f>IFERROR(__xludf.DUMMYFUNCTION("""COMPUTED_VALUE"""),45975.0)</f>
        <v>45975</v>
      </c>
    </row>
    <row r="2710">
      <c r="A2710" s="6" t="str">
        <f>IFERROR(__xludf.DUMMYFUNCTION("""COMPUTED_VALUE"""),"INN")</f>
        <v>INN</v>
      </c>
      <c r="B2710" s="6" t="str">
        <f>IFERROR(__xludf.DUMMYFUNCTION("""COMPUTED_VALUE"""),"ENG")</f>
        <v>ENG</v>
      </c>
      <c r="C2710" s="6" t="str">
        <f>IFERROR(__xludf.DUMMYFUNCTION("""COMPUTED_VALUE"""),"O-18165-00")</f>
        <v>O-18165-00</v>
      </c>
      <c r="D2710" s="6" t="str">
        <f>IFERROR(__xludf.DUMMYFUNCTION("""COMPUTED_VALUE"""),"Water Spray Gun (1/4"") SG-1-01; PARKER; ;")</f>
        <v>Water Spray Gun (1/4") SG-1-01; PARKER; ;</v>
      </c>
      <c r="E2710" s="6">
        <f>IFERROR(__xludf.DUMMYFUNCTION("""COMPUTED_VALUE"""),2.0)</f>
        <v>2</v>
      </c>
      <c r="F2710" s="6">
        <f>IFERROR(__xludf.DUMMYFUNCTION("""COMPUTED_VALUE"""),2.0)</f>
        <v>2</v>
      </c>
      <c r="G2710" s="6">
        <f>IFERROR(__xludf.DUMMYFUNCTION("""COMPUTED_VALUE"""),0.0)</f>
        <v>0</v>
      </c>
      <c r="H2710" s="6" t="str">
        <f>IFERROR(__xludf.DUMMYFUNCTION("""COMPUTED_VALUE"""),"Pcs")</f>
        <v>Pcs</v>
      </c>
      <c r="I2710" s="6" t="str">
        <f>IFERROR(__xludf.DUMMYFUNCTION("""COMPUTED_VALUE"""),"MFH")</f>
        <v>MFH</v>
      </c>
      <c r="J2710" s="6" t="str">
        <f>IFERROR(__xludf.DUMMYFUNCTION("""COMPUTED_VALUE"""),"-")</f>
        <v>-</v>
      </c>
      <c r="K2710" s="6" t="str">
        <f>IFERROR(__xludf.DUMMYFUNCTION("""COMPUTED_VALUE"""),"SPR/25/11/018")</f>
        <v>SPR/25/11/018</v>
      </c>
      <c r="L2710" s="13">
        <f>IFERROR(__xludf.DUMMYFUNCTION("""COMPUTED_VALUE"""),45975.0)</f>
        <v>45975</v>
      </c>
    </row>
    <row r="2711">
      <c r="A2711" s="6" t="str">
        <f>IFERROR(__xludf.DUMMYFUNCTION("""COMPUTED_VALUE"""),"INN")</f>
        <v>INN</v>
      </c>
      <c r="B2711" s="6" t="str">
        <f>IFERROR(__xludf.DUMMYFUNCTION("""COMPUTED_VALUE"""),"ENG")</f>
        <v>ENG</v>
      </c>
      <c r="C2711" s="6" t="str">
        <f>IFERROR(__xludf.DUMMYFUNCTION("""COMPUTED_VALUE"""),"O-20505-00")</f>
        <v>O-20505-00</v>
      </c>
      <c r="D2711" s="6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E2711" s="6">
        <f>IFERROR(__xludf.DUMMYFUNCTION("""COMPUTED_VALUE"""),1.0)</f>
        <v>1</v>
      </c>
      <c r="F2711" s="6">
        <f>IFERROR(__xludf.DUMMYFUNCTION("""COMPUTED_VALUE"""),1.0)</f>
        <v>1</v>
      </c>
      <c r="G2711" s="6">
        <f>IFERROR(__xludf.DUMMYFUNCTION("""COMPUTED_VALUE"""),0.0)</f>
        <v>0</v>
      </c>
      <c r="H2711" s="6" t="str">
        <f>IFERROR(__xludf.DUMMYFUNCTION("""COMPUTED_VALUE"""),"Pcs")</f>
        <v>Pcs</v>
      </c>
      <c r="I2711" s="6" t="str">
        <f>IFERROR(__xludf.DUMMYFUNCTION("""COMPUTED_VALUE"""),"MFH")</f>
        <v>MFH</v>
      </c>
      <c r="J2711" s="6" t="str">
        <f>IFERROR(__xludf.DUMMYFUNCTION("""COMPUTED_VALUE"""),"-")</f>
        <v>-</v>
      </c>
      <c r="K2711" s="6" t="str">
        <f>IFERROR(__xludf.DUMMYFUNCTION("""COMPUTED_VALUE"""),"SPR/25/11/018")</f>
        <v>SPR/25/11/018</v>
      </c>
      <c r="L2711" s="13">
        <f>IFERROR(__xludf.DUMMYFUNCTION("""COMPUTED_VALUE"""),45975.0)</f>
        <v>45975</v>
      </c>
    </row>
    <row r="2712">
      <c r="A2712" s="6" t="str">
        <f>IFERROR(__xludf.DUMMYFUNCTION("""COMPUTED_VALUE"""),"BDU")</f>
        <v>BDU</v>
      </c>
      <c r="B2712" s="6" t="str">
        <f>IFERROR(__xludf.DUMMYFUNCTION("""COMPUTED_VALUE"""),"ENG")</f>
        <v>ENG</v>
      </c>
      <c r="C2712" s="6" t="str">
        <f>IFERROR(__xludf.DUMMYFUNCTION("""COMPUTED_VALUE"""),"P-14453-00")</f>
        <v>P-14453-00</v>
      </c>
      <c r="D2712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2712" s="6">
        <f>IFERROR(__xludf.DUMMYFUNCTION("""COMPUTED_VALUE"""),2.0)</f>
        <v>2</v>
      </c>
      <c r="F2712" s="6">
        <f>IFERROR(__xludf.DUMMYFUNCTION("""COMPUTED_VALUE"""),2.0)</f>
        <v>2</v>
      </c>
      <c r="G2712" s="6">
        <f>IFERROR(__xludf.DUMMYFUNCTION("""COMPUTED_VALUE"""),0.0)</f>
        <v>0</v>
      </c>
      <c r="H2712" s="6" t="str">
        <f>IFERROR(__xludf.DUMMYFUNCTION("""COMPUTED_VALUE"""),"Pcs")</f>
        <v>Pcs</v>
      </c>
      <c r="I2712" s="6" t="str">
        <f>IFERROR(__xludf.DUMMYFUNCTION("""COMPUTED_VALUE"""),"MFH")</f>
        <v>MFH</v>
      </c>
      <c r="J2712" s="6" t="str">
        <f>IFERROR(__xludf.DUMMYFUNCTION("""COMPUTED_VALUE"""),"AHU")</f>
        <v>AHU</v>
      </c>
      <c r="K2712" s="6" t="str">
        <f>IFERROR(__xludf.DUMMYFUNCTION("""COMPUTED_VALUE"""),"SPR/25/11/019")</f>
        <v>SPR/25/11/019</v>
      </c>
      <c r="L2712" s="13">
        <f>IFERROR(__xludf.DUMMYFUNCTION("""COMPUTED_VALUE"""),45975.0)</f>
        <v>45975</v>
      </c>
    </row>
    <row r="2713">
      <c r="A2713" s="6" t="str">
        <f>IFERROR(__xludf.DUMMYFUNCTION("""COMPUTED_VALUE"""),"BDU")</f>
        <v>BDU</v>
      </c>
      <c r="B2713" s="6" t="str">
        <f>IFERROR(__xludf.DUMMYFUNCTION("""COMPUTED_VALUE"""),"ENG")</f>
        <v>ENG</v>
      </c>
      <c r="C2713" s="6" t="str">
        <f>IFERROR(__xludf.DUMMYFUNCTION("""COMPUTED_VALUE"""),"P-14454-00")</f>
        <v>P-14454-00</v>
      </c>
      <c r="D2713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2713" s="6">
        <f>IFERROR(__xludf.DUMMYFUNCTION("""COMPUTED_VALUE"""),2.0)</f>
        <v>2</v>
      </c>
      <c r="F2713" s="6">
        <f>IFERROR(__xludf.DUMMYFUNCTION("""COMPUTED_VALUE"""),2.0)</f>
        <v>2</v>
      </c>
      <c r="G2713" s="6">
        <f>IFERROR(__xludf.DUMMYFUNCTION("""COMPUTED_VALUE"""),0.0)</f>
        <v>0</v>
      </c>
      <c r="H2713" s="6" t="str">
        <f>IFERROR(__xludf.DUMMYFUNCTION("""COMPUTED_VALUE"""),"Pcs")</f>
        <v>Pcs</v>
      </c>
      <c r="I2713" s="6" t="str">
        <f>IFERROR(__xludf.DUMMYFUNCTION("""COMPUTED_VALUE"""),"MFH")</f>
        <v>MFH</v>
      </c>
      <c r="J2713" s="6" t="str">
        <f>IFERROR(__xludf.DUMMYFUNCTION("""COMPUTED_VALUE"""),"AHU")</f>
        <v>AHU</v>
      </c>
      <c r="K2713" s="6" t="str">
        <f>IFERROR(__xludf.DUMMYFUNCTION("""COMPUTED_VALUE"""),"SPR/25/11/019")</f>
        <v>SPR/25/11/019</v>
      </c>
      <c r="L2713" s="13">
        <f>IFERROR(__xludf.DUMMYFUNCTION("""COMPUTED_VALUE"""),45975.0)</f>
        <v>45975</v>
      </c>
    </row>
    <row r="2714">
      <c r="A2714" s="6" t="str">
        <f>IFERROR(__xludf.DUMMYFUNCTION("""COMPUTED_VALUE"""),"BDU")</f>
        <v>BDU</v>
      </c>
      <c r="B2714" s="6" t="str">
        <f>IFERROR(__xludf.DUMMYFUNCTION("""COMPUTED_VALUE"""),"ENG")</f>
        <v>ENG</v>
      </c>
      <c r="C2714" s="6" t="str">
        <f>IFERROR(__xludf.DUMMYFUNCTION("""COMPUTED_VALUE"""),"P-50562-00")</f>
        <v>P-50562-00</v>
      </c>
      <c r="D2714" s="6" t="str">
        <f>IFERROR(__xludf.DUMMYFUNCTION("""COMPUTED_VALUE"""),"Socket Relay PF083A-E; Omron; PF083A; 1 pieces")</f>
        <v>Socket Relay PF083A-E; Omron; PF083A; 1 pieces</v>
      </c>
      <c r="E2714" s="6">
        <f>IFERROR(__xludf.DUMMYFUNCTION("""COMPUTED_VALUE"""),1.0)</f>
        <v>1</v>
      </c>
      <c r="F2714" s="6">
        <f>IFERROR(__xludf.DUMMYFUNCTION("""COMPUTED_VALUE"""),1.0)</f>
        <v>1</v>
      </c>
      <c r="G2714" s="6">
        <f>IFERROR(__xludf.DUMMYFUNCTION("""COMPUTED_VALUE"""),0.0)</f>
        <v>0</v>
      </c>
      <c r="H2714" s="6" t="str">
        <f>IFERROR(__xludf.DUMMYFUNCTION("""COMPUTED_VALUE"""),"Pcs")</f>
        <v>Pcs</v>
      </c>
      <c r="I2714" s="6" t="str">
        <f>IFERROR(__xludf.DUMMYFUNCTION("""COMPUTED_VALUE"""),"MFH")</f>
        <v>MFH</v>
      </c>
      <c r="J2714" s="6" t="str">
        <f>IFERROR(__xludf.DUMMYFUNCTION("""COMPUTED_VALUE"""),"-")</f>
        <v>-</v>
      </c>
      <c r="K2714" s="6" t="str">
        <f>IFERROR(__xludf.DUMMYFUNCTION("""COMPUTED_VALUE"""),"SPR/25/11/019")</f>
        <v>SPR/25/11/019</v>
      </c>
      <c r="L2714" s="13">
        <f>IFERROR(__xludf.DUMMYFUNCTION("""COMPUTED_VALUE"""),45975.0)</f>
        <v>45975</v>
      </c>
    </row>
    <row r="2715">
      <c r="A2715" s="6" t="str">
        <f>IFERROR(__xludf.DUMMYFUNCTION("""COMPUTED_VALUE"""),"SFH")</f>
        <v>SFH</v>
      </c>
      <c r="B2715" s="6" t="str">
        <f>IFERROR(__xludf.DUMMYFUNCTION("""COMPUTED_VALUE"""),"ENG")</f>
        <v>ENG</v>
      </c>
      <c r="C2715" s="6" t="str">
        <f>IFERROR(__xludf.DUMMYFUNCTION("""COMPUTED_VALUE"""),"Q-12047-00")</f>
        <v>Q-12047-00</v>
      </c>
      <c r="D2715" s="6" t="str">
        <f>IFERROR(__xludf.DUMMYFUNCTION("""COMPUTED_VALUE"""),"Kape PVC / Scraper / Skrap PVC Ukuran 5 Inch;; Lokal; ; pc")</f>
        <v>Kape PVC / Scraper / Skrap PVC Ukuran 5 Inch;; Lokal; ; pc</v>
      </c>
      <c r="E2715" s="6">
        <f>IFERROR(__xludf.DUMMYFUNCTION("""COMPUTED_VALUE"""),2.0)</f>
        <v>2</v>
      </c>
      <c r="F2715" s="6">
        <f>IFERROR(__xludf.DUMMYFUNCTION("""COMPUTED_VALUE"""),2.0)</f>
        <v>2</v>
      </c>
      <c r="G2715" s="6">
        <f>IFERROR(__xludf.DUMMYFUNCTION("""COMPUTED_VALUE"""),0.0)</f>
        <v>0</v>
      </c>
      <c r="H2715" s="6" t="str">
        <f>IFERROR(__xludf.DUMMYFUNCTION("""COMPUTED_VALUE"""),"Pcs")</f>
        <v>Pcs</v>
      </c>
      <c r="I2715" s="6" t="str">
        <f>IFERROR(__xludf.DUMMYFUNCTION("""COMPUTED_VALUE"""),"MFH")</f>
        <v>MFH</v>
      </c>
      <c r="J2715" s="6" t="str">
        <f>IFERROR(__xludf.DUMMYFUNCTION("""COMPUTED_VALUE"""),"-")</f>
        <v>-</v>
      </c>
      <c r="K2715" s="6" t="str">
        <f>IFERROR(__xludf.DUMMYFUNCTION("""COMPUTED_VALUE"""),"SPR/25/11/020")</f>
        <v>SPR/25/11/020</v>
      </c>
      <c r="L2715" s="13">
        <f>IFERROR(__xludf.DUMMYFUNCTION("""COMPUTED_VALUE"""),45975.0)</f>
        <v>45975</v>
      </c>
    </row>
    <row r="2716">
      <c r="A2716" s="6" t="str">
        <f>IFERROR(__xludf.DUMMYFUNCTION("""COMPUTED_VALUE"""),"SFH")</f>
        <v>SFH</v>
      </c>
      <c r="B2716" s="6" t="str">
        <f>IFERROR(__xludf.DUMMYFUNCTION("""COMPUTED_VALUE"""),"ENG")</f>
        <v>ENG</v>
      </c>
      <c r="C2716" s="6" t="str">
        <f>IFERROR(__xludf.DUMMYFUNCTION("""COMPUTED_VALUE"""),"T-80109-00")</f>
        <v>T-80109-00</v>
      </c>
      <c r="D2716" s="6" t="str">
        <f>IFERROR(__xludf.DUMMYFUNCTION("""COMPUTED_VALUE"""),"Cellotape Kertas 1 inch warna Putih")</f>
        <v>Cellotape Kertas 1 inch warna Putih</v>
      </c>
      <c r="E2716" s="6">
        <f>IFERROR(__xludf.DUMMYFUNCTION("""COMPUTED_VALUE"""),1.0)</f>
        <v>1</v>
      </c>
      <c r="F2716" s="6">
        <f>IFERROR(__xludf.DUMMYFUNCTION("""COMPUTED_VALUE"""),1.0)</f>
        <v>1</v>
      </c>
      <c r="G2716" s="6">
        <f>IFERROR(__xludf.DUMMYFUNCTION("""COMPUTED_VALUE"""),0.0)</f>
        <v>0</v>
      </c>
      <c r="H2716" s="6" t="str">
        <f>IFERROR(__xludf.DUMMYFUNCTION("""COMPUTED_VALUE"""),"Pcs")</f>
        <v>Pcs</v>
      </c>
      <c r="I2716" s="6" t="str">
        <f>IFERROR(__xludf.DUMMYFUNCTION("""COMPUTED_VALUE"""),"MFH")</f>
        <v>MFH</v>
      </c>
      <c r="J2716" s="6" t="str">
        <f>IFERROR(__xludf.DUMMYFUNCTION("""COMPUTED_VALUE"""),"-")</f>
        <v>-</v>
      </c>
      <c r="K2716" s="6" t="str">
        <f>IFERROR(__xludf.DUMMYFUNCTION("""COMPUTED_VALUE"""),"SPR/25/11/020")</f>
        <v>SPR/25/11/020</v>
      </c>
      <c r="L2716" s="13">
        <f>IFERROR(__xludf.DUMMYFUNCTION("""COMPUTED_VALUE"""),45975.0)</f>
        <v>45975</v>
      </c>
    </row>
    <row r="2717">
      <c r="A2717" s="6" t="str">
        <f>IFERROR(__xludf.DUMMYFUNCTION("""COMPUTED_VALUE"""),"SFH")</f>
        <v>SFH</v>
      </c>
      <c r="B2717" s="6" t="str">
        <f>IFERROR(__xludf.DUMMYFUNCTION("""COMPUTED_VALUE"""),"ENG")</f>
        <v>ENG</v>
      </c>
      <c r="C2717" s="6" t="str">
        <f>IFERROR(__xludf.DUMMYFUNCTION("""COMPUTED_VALUE"""),"O-19039-00")</f>
        <v>O-19039-00</v>
      </c>
      <c r="D2717" s="6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E2717" s="6">
        <f>IFERROR(__xludf.DUMMYFUNCTION("""COMPUTED_VALUE"""),1.0)</f>
        <v>1</v>
      </c>
      <c r="F2717" s="6">
        <f>IFERROR(__xludf.DUMMYFUNCTION("""COMPUTED_VALUE"""),1.0)</f>
        <v>1</v>
      </c>
      <c r="G2717" s="6">
        <f>IFERROR(__xludf.DUMMYFUNCTION("""COMPUTED_VALUE"""),0.0)</f>
        <v>0</v>
      </c>
      <c r="H2717" s="6" t="str">
        <f>IFERROR(__xludf.DUMMYFUNCTION("""COMPUTED_VALUE"""),"Pcs")</f>
        <v>Pcs</v>
      </c>
      <c r="I2717" s="6" t="str">
        <f>IFERROR(__xludf.DUMMYFUNCTION("""COMPUTED_VALUE"""),"MFH")</f>
        <v>MFH</v>
      </c>
      <c r="J2717" s="6" t="str">
        <f>IFERROR(__xludf.DUMMYFUNCTION("""COMPUTED_VALUE"""),"-")</f>
        <v>-</v>
      </c>
      <c r="K2717" s="6" t="str">
        <f>IFERROR(__xludf.DUMMYFUNCTION("""COMPUTED_VALUE"""),"SPR/25/11/020")</f>
        <v>SPR/25/11/020</v>
      </c>
      <c r="L2717" s="13">
        <f>IFERROR(__xludf.DUMMYFUNCTION("""COMPUTED_VALUE"""),45975.0)</f>
        <v>45975</v>
      </c>
    </row>
    <row r="2718">
      <c r="A2718" s="6" t="str">
        <f>IFERROR(__xludf.DUMMYFUNCTION("""COMPUTED_VALUE"""),"ROS")</f>
        <v>ROS</v>
      </c>
      <c r="B2718" s="6" t="str">
        <f>IFERROR(__xludf.DUMMYFUNCTION("""COMPUTED_VALUE"""),"ENG")</f>
        <v>ENG</v>
      </c>
      <c r="C2718" s="6" t="str">
        <f>IFERROR(__xludf.DUMMYFUNCTION("""COMPUTED_VALUE"""),"O-16032-00")</f>
        <v>O-16032-00</v>
      </c>
      <c r="D2718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718" s="6">
        <f>IFERROR(__xludf.DUMMYFUNCTION("""COMPUTED_VALUE"""),1.0)</f>
        <v>1</v>
      </c>
      <c r="F2718" s="6">
        <f>IFERROR(__xludf.DUMMYFUNCTION("""COMPUTED_VALUE"""),1.0)</f>
        <v>1</v>
      </c>
      <c r="G2718" s="6">
        <f>IFERROR(__xludf.DUMMYFUNCTION("""COMPUTED_VALUE"""),0.0)</f>
        <v>0</v>
      </c>
      <c r="H2718" s="6" t="str">
        <f>IFERROR(__xludf.DUMMYFUNCTION("""COMPUTED_VALUE"""),"Pcs")</f>
        <v>Pcs</v>
      </c>
      <c r="I2718" s="6" t="str">
        <f>IFERROR(__xludf.DUMMYFUNCTION("""COMPUTED_VALUE"""),"MFH")</f>
        <v>MFH</v>
      </c>
      <c r="J2718" s="6" t="str">
        <f>IFERROR(__xludf.DUMMYFUNCTION("""COMPUTED_VALUE"""),"BSC")</f>
        <v>BSC</v>
      </c>
      <c r="K2718" s="6" t="str">
        <f>IFERROR(__xludf.DUMMYFUNCTION("""COMPUTED_VALUE"""),"SPR/25/11/021")</f>
        <v>SPR/25/11/021</v>
      </c>
      <c r="L2718" s="13">
        <f>IFERROR(__xludf.DUMMYFUNCTION("""COMPUTED_VALUE"""),45975.0)</f>
        <v>45975</v>
      </c>
    </row>
    <row r="2719">
      <c r="A2719" s="6" t="str">
        <f>IFERROR(__xludf.DUMMYFUNCTION("""COMPUTED_VALUE"""),"ROS")</f>
        <v>ROS</v>
      </c>
      <c r="B2719" s="6" t="str">
        <f>IFERROR(__xludf.DUMMYFUNCTION("""COMPUTED_VALUE"""),"ENG")</f>
        <v>ENG</v>
      </c>
      <c r="C2719" s="6" t="str">
        <f>IFERROR(__xludf.DUMMYFUNCTION("""COMPUTED_VALUE"""),"O-20296-00")</f>
        <v>O-20296-00</v>
      </c>
      <c r="D2719" s="6" t="str">
        <f>IFERROR(__xludf.DUMMYFUNCTION("""COMPUTED_VALUE"""),"General - Rotating Pincer Pneumatik  SMC MRHQ20D-180S-DIN00358")</f>
        <v>General - Rotating Pincer Pneumatik  SMC MRHQ20D-180S-DIN00358</v>
      </c>
      <c r="E2719" s="6">
        <f>IFERROR(__xludf.DUMMYFUNCTION("""COMPUTED_VALUE"""),1.0)</f>
        <v>1</v>
      </c>
      <c r="F2719" s="6">
        <f>IFERROR(__xludf.DUMMYFUNCTION("""COMPUTED_VALUE"""),1.0)</f>
        <v>1</v>
      </c>
      <c r="G2719" s="6">
        <f>IFERROR(__xludf.DUMMYFUNCTION("""COMPUTED_VALUE"""),0.0)</f>
        <v>0</v>
      </c>
      <c r="H2719" s="6" t="str">
        <f>IFERROR(__xludf.DUMMYFUNCTION("""COMPUTED_VALUE"""),"Pcs")</f>
        <v>Pcs</v>
      </c>
      <c r="I2719" s="6" t="str">
        <f>IFERROR(__xludf.DUMMYFUNCTION("""COMPUTED_VALUE"""),"MFH")</f>
        <v>MFH</v>
      </c>
      <c r="J2719" s="6" t="str">
        <f>IFERROR(__xludf.DUMMYFUNCTION("""COMPUTED_VALUE"""),"-")</f>
        <v>-</v>
      </c>
      <c r="K2719" s="6" t="str">
        <f>IFERROR(__xludf.DUMMYFUNCTION("""COMPUTED_VALUE"""),"SPR/25/11/021")</f>
        <v>SPR/25/11/021</v>
      </c>
      <c r="L2719" s="13">
        <f>IFERROR(__xludf.DUMMYFUNCTION("""COMPUTED_VALUE"""),45975.0)</f>
        <v>45975</v>
      </c>
    </row>
    <row r="2720">
      <c r="A2720" s="6" t="str">
        <f>IFERROR(__xludf.DUMMYFUNCTION("""COMPUTED_VALUE"""),"ROS")</f>
        <v>ROS</v>
      </c>
      <c r="B2720" s="6" t="str">
        <f>IFERROR(__xludf.DUMMYFUNCTION("""COMPUTED_VALUE"""),"ENG")</f>
        <v>ENG</v>
      </c>
      <c r="C2720" s="6" t="str">
        <f>IFERROR(__xludf.DUMMYFUNCTION("""COMPUTED_VALUE"""),"P-18475-00")</f>
        <v>P-18475-00</v>
      </c>
      <c r="D2720" s="6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E2720" s="6">
        <f>IFERROR(__xludf.DUMMYFUNCTION("""COMPUTED_VALUE"""),1.0)</f>
        <v>1</v>
      </c>
      <c r="F2720" s="6">
        <f>IFERROR(__xludf.DUMMYFUNCTION("""COMPUTED_VALUE"""),1.0)</f>
        <v>1</v>
      </c>
      <c r="G2720" s="6">
        <f>IFERROR(__xludf.DUMMYFUNCTION("""COMPUTED_VALUE"""),0.0)</f>
        <v>0</v>
      </c>
      <c r="H2720" s="6" t="str">
        <f>IFERROR(__xludf.DUMMYFUNCTION("""COMPUTED_VALUE"""),"Pcs")</f>
        <v>Pcs</v>
      </c>
      <c r="I2720" s="6" t="str">
        <f>IFERROR(__xludf.DUMMYFUNCTION("""COMPUTED_VALUE"""),"MFH")</f>
        <v>MFH</v>
      </c>
      <c r="J2720" s="6" t="str">
        <f>IFERROR(__xludf.DUMMYFUNCTION("""COMPUTED_VALUE"""),"-")</f>
        <v>-</v>
      </c>
      <c r="K2720" s="6" t="str">
        <f>IFERROR(__xludf.DUMMYFUNCTION("""COMPUTED_VALUE"""),"SPR/25/11/021")</f>
        <v>SPR/25/11/021</v>
      </c>
      <c r="L2720" s="13">
        <f>IFERROR(__xludf.DUMMYFUNCTION("""COMPUTED_VALUE"""),45975.0)</f>
        <v>45975</v>
      </c>
    </row>
    <row r="2721">
      <c r="A2721" s="6" t="str">
        <f>IFERROR(__xludf.DUMMYFUNCTION("""COMPUTED_VALUE"""),"RIA")</f>
        <v>RIA</v>
      </c>
      <c r="B2721" s="6" t="str">
        <f>IFERROR(__xludf.DUMMYFUNCTION("""COMPUTED_VALUE"""),"ENG")</f>
        <v>ENG</v>
      </c>
      <c r="C2721" s="6" t="str">
        <f>IFERROR(__xludf.DUMMYFUNCTION("""COMPUTED_VALUE"""),"O-50863-00")</f>
        <v>O-50863-00</v>
      </c>
      <c r="D2721" s="6" t="str">
        <f>IFERROR(__xludf.DUMMYFUNCTION("""COMPUTED_VALUE"""),"Relay/MY4N/220-240 VAC Omron; ; ;")</f>
        <v>Relay/MY4N/220-240 VAC Omron; ; ;</v>
      </c>
      <c r="E2721" s="6">
        <f>IFERROR(__xludf.DUMMYFUNCTION("""COMPUTED_VALUE"""),2.0)</f>
        <v>2</v>
      </c>
      <c r="F2721" s="6">
        <f>IFERROR(__xludf.DUMMYFUNCTION("""COMPUTED_VALUE"""),2.0)</f>
        <v>2</v>
      </c>
      <c r="G2721" s="6">
        <f>IFERROR(__xludf.DUMMYFUNCTION("""COMPUTED_VALUE"""),0.0)</f>
        <v>0</v>
      </c>
      <c r="H2721" s="6" t="str">
        <f>IFERROR(__xludf.DUMMYFUNCTION("""COMPUTED_VALUE"""),"Pcs")</f>
        <v>Pcs</v>
      </c>
      <c r="I2721" s="6" t="str">
        <f>IFERROR(__xludf.DUMMYFUNCTION("""COMPUTED_VALUE"""),"MFH")</f>
        <v>MFH</v>
      </c>
      <c r="J2721" s="6" t="str">
        <f>IFERROR(__xludf.DUMMYFUNCTION("""COMPUTED_VALUE"""),"AHU")</f>
        <v>AHU</v>
      </c>
      <c r="K2721" s="6" t="str">
        <f>IFERROR(__xludf.DUMMYFUNCTION("""COMPUTED_VALUE"""),"SPR/25/11/022")</f>
        <v>SPR/25/11/022</v>
      </c>
      <c r="L2721" s="13">
        <f>IFERROR(__xludf.DUMMYFUNCTION("""COMPUTED_VALUE"""),45975.0)</f>
        <v>45975</v>
      </c>
    </row>
    <row r="2722">
      <c r="A2722" s="6" t="str">
        <f>IFERROR(__xludf.DUMMYFUNCTION("""COMPUTED_VALUE"""),"RIA")</f>
        <v>RIA</v>
      </c>
      <c r="B2722" s="6" t="str">
        <f>IFERROR(__xludf.DUMMYFUNCTION("""COMPUTED_VALUE"""),"ENG")</f>
        <v>ENG</v>
      </c>
      <c r="C2722" s="6" t="str">
        <f>IFERROR(__xludf.DUMMYFUNCTION("""COMPUTED_VALUE"""),"P-54334-00")</f>
        <v>P-54334-00</v>
      </c>
      <c r="D2722" s="6" t="str">
        <f>IFERROR(__xludf.DUMMYFUNCTION("""COMPUTED_VALUE"""),"General - Socket Relay PYFZ-14-E; Omron; -; 1 pc")</f>
        <v>General - Socket Relay PYFZ-14-E; Omron; -; 1 pc</v>
      </c>
      <c r="E2722" s="6">
        <f>IFERROR(__xludf.DUMMYFUNCTION("""COMPUTED_VALUE"""),2.0)</f>
        <v>2</v>
      </c>
      <c r="F2722" s="6">
        <f>IFERROR(__xludf.DUMMYFUNCTION("""COMPUTED_VALUE"""),2.0)</f>
        <v>2</v>
      </c>
      <c r="G2722" s="6">
        <f>IFERROR(__xludf.DUMMYFUNCTION("""COMPUTED_VALUE"""),0.0)</f>
        <v>0</v>
      </c>
      <c r="H2722" s="6" t="str">
        <f>IFERROR(__xludf.DUMMYFUNCTION("""COMPUTED_VALUE"""),"Pcs")</f>
        <v>Pcs</v>
      </c>
      <c r="I2722" s="6" t="str">
        <f>IFERROR(__xludf.DUMMYFUNCTION("""COMPUTED_VALUE"""),"MFH")</f>
        <v>MFH</v>
      </c>
      <c r="J2722" s="6" t="str">
        <f>IFERROR(__xludf.DUMMYFUNCTION("""COMPUTED_VALUE"""),"AHU")</f>
        <v>AHU</v>
      </c>
      <c r="K2722" s="6" t="str">
        <f>IFERROR(__xludf.DUMMYFUNCTION("""COMPUTED_VALUE"""),"SPR/25/11/022")</f>
        <v>SPR/25/11/022</v>
      </c>
      <c r="L2722" s="13">
        <f>IFERROR(__xludf.DUMMYFUNCTION("""COMPUTED_VALUE"""),45975.0)</f>
        <v>45975</v>
      </c>
    </row>
    <row r="2723">
      <c r="A2723" s="6" t="str">
        <f>IFERROR(__xludf.DUMMYFUNCTION("""COMPUTED_VALUE"""),"RIA")</f>
        <v>RIA</v>
      </c>
      <c r="B2723" s="6" t="str">
        <f>IFERROR(__xludf.DUMMYFUNCTION("""COMPUTED_VALUE"""),"ENG")</f>
        <v>ENG</v>
      </c>
      <c r="C2723" s="6" t="str">
        <f>IFERROR(__xludf.DUMMYFUNCTION("""COMPUTED_VALUE"""),"P-20117-00")</f>
        <v>P-20117-00</v>
      </c>
      <c r="D2723" s="6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E2723" s="6">
        <f>IFERROR(__xludf.DUMMYFUNCTION("""COMPUTED_VALUE"""),1.0)</f>
        <v>1</v>
      </c>
      <c r="F2723" s="6">
        <f>IFERROR(__xludf.DUMMYFUNCTION("""COMPUTED_VALUE"""),1.0)</f>
        <v>1</v>
      </c>
      <c r="G2723" s="6">
        <f>IFERROR(__xludf.DUMMYFUNCTION("""COMPUTED_VALUE"""),0.0)</f>
        <v>0</v>
      </c>
      <c r="H2723" s="6" t="str">
        <f>IFERROR(__xludf.DUMMYFUNCTION("""COMPUTED_VALUE"""),"Pcs")</f>
        <v>Pcs</v>
      </c>
      <c r="I2723" s="6" t="str">
        <f>IFERROR(__xludf.DUMMYFUNCTION("""COMPUTED_VALUE"""),"MFH")</f>
        <v>MFH</v>
      </c>
      <c r="J2723" s="6" t="str">
        <f>IFERROR(__xludf.DUMMYFUNCTION("""COMPUTED_VALUE"""),"-")</f>
        <v>-</v>
      </c>
      <c r="K2723" s="6" t="str">
        <f>IFERROR(__xludf.DUMMYFUNCTION("""COMPUTED_VALUE"""),"SPR/25/11/022")</f>
        <v>SPR/25/11/022</v>
      </c>
      <c r="L2723" s="13">
        <f>IFERROR(__xludf.DUMMYFUNCTION("""COMPUTED_VALUE"""),45975.0)</f>
        <v>45975</v>
      </c>
    </row>
    <row r="2724">
      <c r="A2724" s="6" t="str">
        <f>IFERROR(__xludf.DUMMYFUNCTION("""COMPUTED_VALUE"""),"KFF")</f>
        <v>KFF</v>
      </c>
      <c r="B2724" s="6" t="str">
        <f>IFERROR(__xludf.DUMMYFUNCTION("""COMPUTED_VALUE"""),"ENG")</f>
        <v>ENG</v>
      </c>
      <c r="C2724" s="6" t="str">
        <f>IFERROR(__xludf.DUMMYFUNCTION("""COMPUTED_VALUE"""),"P-18769-00")</f>
        <v>P-18769-00</v>
      </c>
      <c r="D2724" s="6" t="str">
        <f>IFERROR(__xludf.DUMMYFUNCTION("""COMPUTED_VALUE"""),"Mata Gerinda Potong 4"" Merek WD; ; -; 20 pc")</f>
        <v>Mata Gerinda Potong 4" Merek WD; ; -; 20 pc</v>
      </c>
      <c r="E2724" s="6">
        <f>IFERROR(__xludf.DUMMYFUNCTION("""COMPUTED_VALUE"""),1.0)</f>
        <v>1</v>
      </c>
      <c r="F2724" s="6">
        <f>IFERROR(__xludf.DUMMYFUNCTION("""COMPUTED_VALUE"""),1.0)</f>
        <v>1</v>
      </c>
      <c r="G2724" s="6">
        <f>IFERROR(__xludf.DUMMYFUNCTION("""COMPUTED_VALUE"""),0.0)</f>
        <v>0</v>
      </c>
      <c r="H2724" s="6" t="str">
        <f>IFERROR(__xludf.DUMMYFUNCTION("""COMPUTED_VALUE"""),"Pcs")</f>
        <v>Pcs</v>
      </c>
      <c r="I2724" s="6" t="str">
        <f>IFERROR(__xludf.DUMMYFUNCTION("""COMPUTED_VALUE"""),"MFH")</f>
        <v>MFH</v>
      </c>
      <c r="J2724" s="6" t="str">
        <f>IFERROR(__xludf.DUMMYFUNCTION("""COMPUTED_VALUE"""),"-")</f>
        <v>-</v>
      </c>
      <c r="K2724" s="6" t="str">
        <f>IFERROR(__xludf.DUMMYFUNCTION("""COMPUTED_VALUE"""),"SPR/25/11/023")</f>
        <v>SPR/25/11/023</v>
      </c>
      <c r="L2724" s="13">
        <f>IFERROR(__xludf.DUMMYFUNCTION("""COMPUTED_VALUE"""),45975.0)</f>
        <v>45975</v>
      </c>
    </row>
    <row r="2725">
      <c r="A2725" s="6" t="str">
        <f>IFERROR(__xludf.DUMMYFUNCTION("""COMPUTED_VALUE"""),"KFF")</f>
        <v>KFF</v>
      </c>
      <c r="B2725" s="6" t="str">
        <f>IFERROR(__xludf.DUMMYFUNCTION("""COMPUTED_VALUE"""),"ENG")</f>
        <v>ENG</v>
      </c>
      <c r="C2725" s="6" t="str">
        <f>IFERROR(__xludf.DUMMYFUNCTION("""COMPUTED_VALUE"""),"P-15852-00")</f>
        <v>P-15852-00</v>
      </c>
      <c r="D2725" s="6" t="str">
        <f>IFERROR(__xludf.DUMMYFUNCTION("""COMPUTED_VALUE"""),"AMPLAS  EAGLE 500")</f>
        <v>AMPLAS  EAGLE 500</v>
      </c>
      <c r="E2725" s="6">
        <f>IFERROR(__xludf.DUMMYFUNCTION("""COMPUTED_VALUE"""),1.0)</f>
        <v>1</v>
      </c>
      <c r="F2725" s="6">
        <f>IFERROR(__xludf.DUMMYFUNCTION("""COMPUTED_VALUE"""),1.0)</f>
        <v>1</v>
      </c>
      <c r="G2725" s="6">
        <f>IFERROR(__xludf.DUMMYFUNCTION("""COMPUTED_VALUE"""),0.0)</f>
        <v>0</v>
      </c>
      <c r="H2725" s="6" t="str">
        <f>IFERROR(__xludf.DUMMYFUNCTION("""COMPUTED_VALUE"""),"Pcs")</f>
        <v>Pcs</v>
      </c>
      <c r="I2725" s="6" t="str">
        <f>IFERROR(__xludf.DUMMYFUNCTION("""COMPUTED_VALUE"""),"MFH")</f>
        <v>MFH</v>
      </c>
      <c r="J2725" s="6" t="str">
        <f>IFERROR(__xludf.DUMMYFUNCTION("""COMPUTED_VALUE"""),"-")</f>
        <v>-</v>
      </c>
      <c r="K2725" s="6" t="str">
        <f>IFERROR(__xludf.DUMMYFUNCTION("""COMPUTED_VALUE"""),"SPR/25/11/023")</f>
        <v>SPR/25/11/023</v>
      </c>
      <c r="L2725" s="13">
        <f>IFERROR(__xludf.DUMMYFUNCTION("""COMPUTED_VALUE"""),45975.0)</f>
        <v>45975</v>
      </c>
    </row>
    <row r="2726">
      <c r="A2726" s="6" t="str">
        <f>IFERROR(__xludf.DUMMYFUNCTION("""COMPUTED_VALUE"""),"KFF")</f>
        <v>KFF</v>
      </c>
      <c r="B2726" s="6" t="str">
        <f>IFERROR(__xludf.DUMMYFUNCTION("""COMPUTED_VALUE"""),"ENG")</f>
        <v>ENG</v>
      </c>
      <c r="C2726" s="6" t="str">
        <f>IFERROR(__xludf.DUMMYFUNCTION("""COMPUTED_VALUE"""),"P-11968-00")</f>
        <v>P-11968-00</v>
      </c>
      <c r="D2726" s="6" t="str">
        <f>IFERROR(__xludf.DUMMYFUNCTION("""COMPUTED_VALUE"""),"Berusynt FGH Spray H1 - Bechem")</f>
        <v>Berusynt FGH Spray H1 - Bechem</v>
      </c>
      <c r="E2726" s="6">
        <f>IFERROR(__xludf.DUMMYFUNCTION("""COMPUTED_VALUE"""),1.0)</f>
        <v>1</v>
      </c>
      <c r="F2726" s="6">
        <f>IFERROR(__xludf.DUMMYFUNCTION("""COMPUTED_VALUE"""),1.0)</f>
        <v>1</v>
      </c>
      <c r="G2726" s="6">
        <f>IFERROR(__xludf.DUMMYFUNCTION("""COMPUTED_VALUE"""),0.0)</f>
        <v>0</v>
      </c>
      <c r="H2726" s="6" t="str">
        <f>IFERROR(__xludf.DUMMYFUNCTION("""COMPUTED_VALUE"""),"Pcs")</f>
        <v>Pcs</v>
      </c>
      <c r="I2726" s="6" t="str">
        <f>IFERROR(__xludf.DUMMYFUNCTION("""COMPUTED_VALUE"""),"MFH")</f>
        <v>MFH</v>
      </c>
      <c r="J2726" s="6" t="str">
        <f>IFERROR(__xludf.DUMMYFUNCTION("""COMPUTED_VALUE"""),"-")</f>
        <v>-</v>
      </c>
      <c r="K2726" s="6" t="str">
        <f>IFERROR(__xludf.DUMMYFUNCTION("""COMPUTED_VALUE"""),"SPR/25/11/023")</f>
        <v>SPR/25/11/023</v>
      </c>
      <c r="L2726" s="13">
        <f>IFERROR(__xludf.DUMMYFUNCTION("""COMPUTED_VALUE"""),45975.0)</f>
        <v>45975</v>
      </c>
    </row>
    <row r="2727">
      <c r="A2727" s="6" t="str">
        <f>IFERROR(__xludf.DUMMYFUNCTION("""COMPUTED_VALUE"""),"RIA")</f>
        <v>RIA</v>
      </c>
      <c r="B2727" s="6" t="str">
        <f>IFERROR(__xludf.DUMMYFUNCTION("""COMPUTED_VALUE"""),"ENG")</f>
        <v>ENG</v>
      </c>
      <c r="C2727" s="6" t="str">
        <f>IFERROR(__xludf.DUMMYFUNCTION("""COMPUTED_VALUE"""),"P-52068-00")</f>
        <v>P-52068-00</v>
      </c>
      <c r="D2727" s="6" t="str">
        <f>IFERROR(__xludf.DUMMYFUNCTION("""COMPUTED_VALUE"""),"Regin Pulser Basic SCR Heater Controller 230/400 V 16 A; ; ; unit")</f>
        <v>Regin Pulser Basic SCR Heater Controller 230/400 V 16 A; ; ; unit</v>
      </c>
      <c r="E2727" s="6">
        <f>IFERROR(__xludf.DUMMYFUNCTION("""COMPUTED_VALUE"""),1.0)</f>
        <v>1</v>
      </c>
      <c r="F2727" s="6">
        <f>IFERROR(__xludf.DUMMYFUNCTION("""COMPUTED_VALUE"""),1.0)</f>
        <v>1</v>
      </c>
      <c r="G2727" s="6">
        <f>IFERROR(__xludf.DUMMYFUNCTION("""COMPUTED_VALUE"""),0.0)</f>
        <v>0</v>
      </c>
      <c r="H2727" s="6" t="str">
        <f>IFERROR(__xludf.DUMMYFUNCTION("""COMPUTED_VALUE"""),"Pcs")</f>
        <v>Pcs</v>
      </c>
      <c r="I2727" s="6" t="str">
        <f>IFERROR(__xludf.DUMMYFUNCTION("""COMPUTED_VALUE"""),"MFH")</f>
        <v>MFH</v>
      </c>
      <c r="J2727" s="6" t="str">
        <f>IFERROR(__xludf.DUMMYFUNCTION("""COMPUTED_VALUE"""),"AHU")</f>
        <v>AHU</v>
      </c>
      <c r="K2727" s="6" t="str">
        <f>IFERROR(__xludf.DUMMYFUNCTION("""COMPUTED_VALUE"""),"SPR/25/11/024")</f>
        <v>SPR/25/11/024</v>
      </c>
      <c r="L2727" s="13">
        <f>IFERROR(__xludf.DUMMYFUNCTION("""COMPUTED_VALUE"""),45989.0)</f>
        <v>45989</v>
      </c>
    </row>
    <row r="2728">
      <c r="A2728" s="6" t="str">
        <f>IFERROR(__xludf.DUMMYFUNCTION("""COMPUTED_VALUE"""),"RIA")</f>
        <v>RIA</v>
      </c>
      <c r="B2728" s="6" t="str">
        <f>IFERROR(__xludf.DUMMYFUNCTION("""COMPUTED_VALUE"""),"ENG")</f>
        <v>ENG</v>
      </c>
      <c r="C2728" s="6" t="str">
        <f>IFERROR(__xludf.DUMMYFUNCTION("""COMPUTED_VALUE"""),"T-80046-00")</f>
        <v>T-80046-00</v>
      </c>
      <c r="D2728" s="6" t="str">
        <f>IFERROR(__xludf.DUMMYFUNCTION("""COMPUTED_VALUE"""),"Battery ALKALINE AA")</f>
        <v>Battery ALKALINE AA</v>
      </c>
      <c r="E2728" s="6">
        <f>IFERROR(__xludf.DUMMYFUNCTION("""COMPUTED_VALUE"""),2.0)</f>
        <v>2</v>
      </c>
      <c r="F2728" s="6">
        <f>IFERROR(__xludf.DUMMYFUNCTION("""COMPUTED_VALUE"""),2.0)</f>
        <v>2</v>
      </c>
      <c r="G2728" s="6">
        <f>IFERROR(__xludf.DUMMYFUNCTION("""COMPUTED_VALUE"""),0.0)</f>
        <v>0</v>
      </c>
      <c r="H2728" s="6" t="str">
        <f>IFERROR(__xludf.DUMMYFUNCTION("""COMPUTED_VALUE"""),"Pcs")</f>
        <v>Pcs</v>
      </c>
      <c r="I2728" s="6" t="str">
        <f>IFERROR(__xludf.DUMMYFUNCTION("""COMPUTED_VALUE"""),"MFH")</f>
        <v>MFH</v>
      </c>
      <c r="J2728" s="6" t="str">
        <f>IFERROR(__xludf.DUMMYFUNCTION("""COMPUTED_VALUE"""),"-")</f>
        <v>-</v>
      </c>
      <c r="K2728" s="6" t="str">
        <f>IFERROR(__xludf.DUMMYFUNCTION("""COMPUTED_VALUE"""),"SPR/25/11/024")</f>
        <v>SPR/25/11/024</v>
      </c>
      <c r="L2728" s="13">
        <f>IFERROR(__xludf.DUMMYFUNCTION("""COMPUTED_VALUE"""),45989.0)</f>
        <v>45989</v>
      </c>
    </row>
    <row r="2729">
      <c r="A2729" s="6" t="str">
        <f>IFERROR(__xludf.DUMMYFUNCTION("""COMPUTED_VALUE"""),"RIA")</f>
        <v>RIA</v>
      </c>
      <c r="B2729" s="6" t="str">
        <f>IFERROR(__xludf.DUMMYFUNCTION("""COMPUTED_VALUE"""),"ENG")</f>
        <v>ENG</v>
      </c>
      <c r="C2729" s="6" t="str">
        <f>IFERROR(__xludf.DUMMYFUNCTION("""COMPUTED_VALUE"""),"O-18870-00")</f>
        <v>O-18870-00</v>
      </c>
      <c r="D2729" s="6" t="str">
        <f>IFERROR(__xludf.DUMMYFUNCTION("""COMPUTED_VALUE"""),"Oring Silicone Merah 18.4x13x2.7 mm; ; ;")</f>
        <v>Oring Silicone Merah 18.4x13x2.7 mm; ; ;</v>
      </c>
      <c r="E2729" s="6">
        <f>IFERROR(__xludf.DUMMYFUNCTION("""COMPUTED_VALUE"""),4.0)</f>
        <v>4</v>
      </c>
      <c r="F2729" s="6">
        <f>IFERROR(__xludf.DUMMYFUNCTION("""COMPUTED_VALUE"""),4.0)</f>
        <v>4</v>
      </c>
      <c r="G2729" s="6">
        <f>IFERROR(__xludf.DUMMYFUNCTION("""COMPUTED_VALUE"""),0.0)</f>
        <v>0</v>
      </c>
      <c r="H2729" s="6" t="str">
        <f>IFERROR(__xludf.DUMMYFUNCTION("""COMPUTED_VALUE"""),"Pcs")</f>
        <v>Pcs</v>
      </c>
      <c r="I2729" s="6" t="str">
        <f>IFERROR(__xludf.DUMMYFUNCTION("""COMPUTED_VALUE"""),"MFH")</f>
        <v>MFH</v>
      </c>
      <c r="J2729" s="6" t="str">
        <f>IFERROR(__xludf.DUMMYFUNCTION("""COMPUTED_VALUE"""),"-")</f>
        <v>-</v>
      </c>
      <c r="K2729" s="6" t="str">
        <f>IFERROR(__xludf.DUMMYFUNCTION("""COMPUTED_VALUE"""),"SPR/25/11/024")</f>
        <v>SPR/25/11/024</v>
      </c>
      <c r="L2729" s="13">
        <f>IFERROR(__xludf.DUMMYFUNCTION("""COMPUTED_VALUE"""),45989.0)</f>
        <v>45989</v>
      </c>
    </row>
    <row r="2730">
      <c r="A2730" s="6" t="str">
        <f>IFERROR(__xludf.DUMMYFUNCTION("""COMPUTED_VALUE"""),"BDU")</f>
        <v>BDU</v>
      </c>
      <c r="B2730" s="6" t="str">
        <f>IFERROR(__xludf.DUMMYFUNCTION("""COMPUTED_VALUE"""),"ENG")</f>
        <v>ENG</v>
      </c>
      <c r="C2730" s="6" t="str">
        <f>IFERROR(__xludf.DUMMYFUNCTION("""COMPUTED_VALUE"""),"Q-10378-00")</f>
        <v>Q-10378-00</v>
      </c>
      <c r="D2730" s="6" t="str">
        <f>IFERROR(__xludf.DUMMYFUNCTION("""COMPUTED_VALUE"""),"Kunci Laci Cam Lock;Huben;PN: HL 103-25 mm;pack size per pcs")</f>
        <v>Kunci Laci Cam Lock;Huben;PN: HL 103-25 mm;pack size per pcs</v>
      </c>
      <c r="E2730" s="6">
        <f>IFERROR(__xludf.DUMMYFUNCTION("""COMPUTED_VALUE"""),1.0)</f>
        <v>1</v>
      </c>
      <c r="F2730" s="6">
        <f>IFERROR(__xludf.DUMMYFUNCTION("""COMPUTED_VALUE"""),1.0)</f>
        <v>1</v>
      </c>
      <c r="G2730" s="6">
        <f>IFERROR(__xludf.DUMMYFUNCTION("""COMPUTED_VALUE"""),0.0)</f>
        <v>0</v>
      </c>
      <c r="H2730" s="6" t="str">
        <f>IFERROR(__xludf.DUMMYFUNCTION("""COMPUTED_VALUE"""),"Pcs")</f>
        <v>Pcs</v>
      </c>
      <c r="I2730" s="6" t="str">
        <f>IFERROR(__xludf.DUMMYFUNCTION("""COMPUTED_VALUE"""),"MFH")</f>
        <v>MFH</v>
      </c>
      <c r="J2730" s="6" t="str">
        <f>IFERROR(__xludf.DUMMYFUNCTION("""COMPUTED_VALUE"""),"-")</f>
        <v>-</v>
      </c>
      <c r="K2730" s="6" t="str">
        <f>IFERROR(__xludf.DUMMYFUNCTION("""COMPUTED_VALUE"""),"SPR/25/11/025")</f>
        <v>SPR/25/11/025</v>
      </c>
      <c r="L2730" s="13">
        <f>IFERROR(__xludf.DUMMYFUNCTION("""COMPUTED_VALUE"""),45989.0)</f>
        <v>45989</v>
      </c>
    </row>
    <row r="2731">
      <c r="A2731" s="6" t="str">
        <f>IFERROR(__xludf.DUMMYFUNCTION("""COMPUTED_VALUE"""),"BDU")</f>
        <v>BDU</v>
      </c>
      <c r="B2731" s="6" t="str">
        <f>IFERROR(__xludf.DUMMYFUNCTION("""COMPUTED_VALUE"""),"ENG")</f>
        <v>ENG</v>
      </c>
      <c r="C2731" s="6" t="str">
        <f>IFERROR(__xludf.DUMMYFUNCTION("""COMPUTED_VALUE"""),"O-54014-00")</f>
        <v>O-54014-00</v>
      </c>
      <c r="D2731" s="6" t="str">
        <f>IFERROR(__xludf.DUMMYFUNCTION("""COMPUTED_VALUE"""),"STEKER 1 PHASE, BROCO")</f>
        <v>STEKER 1 PHASE, BROCO</v>
      </c>
      <c r="E2731" s="6">
        <f>IFERROR(__xludf.DUMMYFUNCTION("""COMPUTED_VALUE"""),2.0)</f>
        <v>2</v>
      </c>
      <c r="F2731" s="6">
        <f>IFERROR(__xludf.DUMMYFUNCTION("""COMPUTED_VALUE"""),1.0)</f>
        <v>1</v>
      </c>
      <c r="G2731" s="6">
        <f>IFERROR(__xludf.DUMMYFUNCTION("""COMPUTED_VALUE"""),0.0)</f>
        <v>0</v>
      </c>
      <c r="H2731" s="6" t="str">
        <f>IFERROR(__xludf.DUMMYFUNCTION("""COMPUTED_VALUE"""),"Pcs")</f>
        <v>Pcs</v>
      </c>
      <c r="I2731" s="6" t="str">
        <f>IFERROR(__xludf.DUMMYFUNCTION("""COMPUTED_VALUE"""),"MFH")</f>
        <v>MFH</v>
      </c>
      <c r="J2731" s="6" t="str">
        <f>IFERROR(__xludf.DUMMYFUNCTION("""COMPUTED_VALUE"""),"Building")</f>
        <v>Building</v>
      </c>
      <c r="K2731" s="6" t="str">
        <f>IFERROR(__xludf.DUMMYFUNCTION("""COMPUTED_VALUE"""),"SPR/25/11/025")</f>
        <v>SPR/25/11/025</v>
      </c>
      <c r="L2731" s="13">
        <f>IFERROR(__xludf.DUMMYFUNCTION("""COMPUTED_VALUE"""),45989.0)</f>
        <v>45989</v>
      </c>
    </row>
    <row r="2732">
      <c r="A2732" s="6" t="str">
        <f>IFERROR(__xludf.DUMMYFUNCTION("""COMPUTED_VALUE"""),"BDU")</f>
        <v>BDU</v>
      </c>
      <c r="B2732" s="6" t="str">
        <f>IFERROR(__xludf.DUMMYFUNCTION("""COMPUTED_VALUE"""),"ENG")</f>
        <v>ENG</v>
      </c>
      <c r="C2732" s="6" t="str">
        <f>IFERROR(__xludf.DUMMYFUNCTION("""COMPUTED_VALUE"""),"O-54015-00")</f>
        <v>O-54015-00</v>
      </c>
      <c r="D2732" s="6" t="str">
        <f>IFERROR(__xludf.DUMMYFUNCTION("""COMPUTED_VALUE"""),"STOP KONTAK LUBANG 4, BROCO")</f>
        <v>STOP KONTAK LUBANG 4, BROCO</v>
      </c>
      <c r="E2732" s="6">
        <f>IFERROR(__xludf.DUMMYFUNCTION("""COMPUTED_VALUE"""),1.0)</f>
        <v>1</v>
      </c>
      <c r="F2732" s="6">
        <f>IFERROR(__xludf.DUMMYFUNCTION("""COMPUTED_VALUE"""),1.0)</f>
        <v>1</v>
      </c>
      <c r="G2732" s="6">
        <f>IFERROR(__xludf.DUMMYFUNCTION("""COMPUTED_VALUE"""),0.0)</f>
        <v>0</v>
      </c>
      <c r="H2732" s="6" t="str">
        <f>IFERROR(__xludf.DUMMYFUNCTION("""COMPUTED_VALUE"""),"Pcs")</f>
        <v>Pcs</v>
      </c>
      <c r="I2732" s="6" t="str">
        <f>IFERROR(__xludf.DUMMYFUNCTION("""COMPUTED_VALUE"""),"MFH")</f>
        <v>MFH</v>
      </c>
      <c r="J2732" s="6" t="str">
        <f>IFERROR(__xludf.DUMMYFUNCTION("""COMPUTED_VALUE"""),"Building")</f>
        <v>Building</v>
      </c>
      <c r="K2732" s="6" t="str">
        <f>IFERROR(__xludf.DUMMYFUNCTION("""COMPUTED_VALUE"""),"SPR/25/11/025")</f>
        <v>SPR/25/11/025</v>
      </c>
      <c r="L2732" s="13">
        <f>IFERROR(__xludf.DUMMYFUNCTION("""COMPUTED_VALUE"""),45989.0)</f>
        <v>45989</v>
      </c>
    </row>
    <row r="2733">
      <c r="A2733" s="6" t="str">
        <f>IFERROR(__xludf.DUMMYFUNCTION("""COMPUTED_VALUE"""),"SFH")</f>
        <v>SFH</v>
      </c>
      <c r="B2733" s="6" t="str">
        <f>IFERROR(__xludf.DUMMYFUNCTION("""COMPUTED_VALUE"""),"ENG")</f>
        <v>ENG</v>
      </c>
      <c r="C2733" s="6" t="str">
        <f>IFERROR(__xludf.DUMMYFUNCTION("""COMPUTED_VALUE"""),"P-15851-00")</f>
        <v>P-15851-00</v>
      </c>
      <c r="D2733" s="6" t="str">
        <f>IFERROR(__xludf.DUMMYFUNCTION("""COMPUTED_VALUE"""),"AMPLAS EAGLE 100")</f>
        <v>AMPLAS EAGLE 100</v>
      </c>
      <c r="E2733" s="6" t="str">
        <f>IFERROR(__xludf.DUMMYFUNCTION("""COMPUTED_VALUE"""),"8")</f>
        <v>8</v>
      </c>
      <c r="F2733" s="6">
        <f>IFERROR(__xludf.DUMMYFUNCTION("""COMPUTED_VALUE"""),8.0)</f>
        <v>8</v>
      </c>
      <c r="G2733" s="6">
        <f>IFERROR(__xludf.DUMMYFUNCTION("""COMPUTED_VALUE"""),0.0)</f>
        <v>0</v>
      </c>
      <c r="H2733" s="6" t="str">
        <f>IFERROR(__xludf.DUMMYFUNCTION("""COMPUTED_VALUE"""),"Pcs")</f>
        <v>Pcs</v>
      </c>
      <c r="I2733" s="6" t="str">
        <f>IFERROR(__xludf.DUMMYFUNCTION("""COMPUTED_VALUE"""),"MFH")</f>
        <v>MFH</v>
      </c>
      <c r="J2733" s="6" t="str">
        <f>IFERROR(__xludf.DUMMYFUNCTION("""COMPUTED_VALUE"""),"Building")</f>
        <v>Building</v>
      </c>
      <c r="K2733" s="6" t="str">
        <f>IFERROR(__xludf.DUMMYFUNCTION("""COMPUTED_VALUE"""),"SPR/25/11/026")</f>
        <v>SPR/25/11/026</v>
      </c>
      <c r="L2733" s="13">
        <f>IFERROR(__xludf.DUMMYFUNCTION("""COMPUTED_VALUE"""),45989.0)</f>
        <v>45989</v>
      </c>
    </row>
    <row r="2734">
      <c r="A2734" s="6" t="str">
        <f>IFERROR(__xludf.DUMMYFUNCTION("""COMPUTED_VALUE"""),"SFH")</f>
        <v>SFH</v>
      </c>
      <c r="B2734" s="6" t="str">
        <f>IFERROR(__xludf.DUMMYFUNCTION("""COMPUTED_VALUE"""),"ENG")</f>
        <v>ENG</v>
      </c>
      <c r="C2734" s="6" t="str">
        <f>IFERROR(__xludf.DUMMYFUNCTION("""COMPUTED_VALUE"""),"Q-10154-00")</f>
        <v>Q-10154-00</v>
      </c>
      <c r="D2734" s="6" t="str">
        <f>IFERROR(__xludf.DUMMYFUNCTION("""COMPUTED_VALUE"""),"Roller cat 230mm")</f>
        <v>Roller cat 230mm</v>
      </c>
      <c r="E2734" s="6">
        <f>IFERROR(__xludf.DUMMYFUNCTION("""COMPUTED_VALUE"""),2.0)</f>
        <v>2</v>
      </c>
      <c r="F2734" s="6">
        <f>IFERROR(__xludf.DUMMYFUNCTION("""COMPUTED_VALUE"""),2.0)</f>
        <v>2</v>
      </c>
      <c r="G2734" s="6">
        <f>IFERROR(__xludf.DUMMYFUNCTION("""COMPUTED_VALUE"""),0.0)</f>
        <v>0</v>
      </c>
      <c r="H2734" s="6" t="str">
        <f>IFERROR(__xludf.DUMMYFUNCTION("""COMPUTED_VALUE"""),"Pcs")</f>
        <v>Pcs</v>
      </c>
      <c r="I2734" s="6" t="str">
        <f>IFERROR(__xludf.DUMMYFUNCTION("""COMPUTED_VALUE"""),"MFH")</f>
        <v>MFH</v>
      </c>
      <c r="J2734" s="6" t="str">
        <f>IFERROR(__xludf.DUMMYFUNCTION("""COMPUTED_VALUE"""),"Building")</f>
        <v>Building</v>
      </c>
      <c r="K2734" s="6" t="str">
        <f>IFERROR(__xludf.DUMMYFUNCTION("""COMPUTED_VALUE"""),"SPR/25/11/026")</f>
        <v>SPR/25/11/026</v>
      </c>
      <c r="L2734" s="13">
        <f>IFERROR(__xludf.DUMMYFUNCTION("""COMPUTED_VALUE"""),45989.0)</f>
        <v>45989</v>
      </c>
    </row>
    <row r="2735">
      <c r="A2735" s="6" t="str">
        <f>IFERROR(__xludf.DUMMYFUNCTION("""COMPUTED_VALUE"""),"SFH")</f>
        <v>SFH</v>
      </c>
      <c r="B2735" s="6" t="str">
        <f>IFERROR(__xludf.DUMMYFUNCTION("""COMPUTED_VALUE"""),"ENG")</f>
        <v>ENG</v>
      </c>
      <c r="C2735" s="6" t="str">
        <f>IFERROR(__xludf.DUMMYFUNCTION("""COMPUTED_VALUE"""),"P-14458-00")</f>
        <v>P-14458-00</v>
      </c>
      <c r="D2735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2735" s="6">
        <f>IFERROR(__xludf.DUMMYFUNCTION("""COMPUTED_VALUE"""),1.0)</f>
        <v>1</v>
      </c>
      <c r="F2735" s="6">
        <f>IFERROR(__xludf.DUMMYFUNCTION("""COMPUTED_VALUE"""),1.0)</f>
        <v>1</v>
      </c>
      <c r="G2735" s="6">
        <f>IFERROR(__xludf.DUMMYFUNCTION("""COMPUTED_VALUE"""),0.0)</f>
        <v>0</v>
      </c>
      <c r="H2735" s="6" t="str">
        <f>IFERROR(__xludf.DUMMYFUNCTION("""COMPUTED_VALUE"""),"Pcs")</f>
        <v>Pcs</v>
      </c>
      <c r="I2735" s="6" t="str">
        <f>IFERROR(__xludf.DUMMYFUNCTION("""COMPUTED_VALUE"""),"MFH")</f>
        <v>MFH</v>
      </c>
      <c r="J2735" s="6" t="str">
        <f>IFERROR(__xludf.DUMMYFUNCTION("""COMPUTED_VALUE"""),"-")</f>
        <v>-</v>
      </c>
      <c r="K2735" s="6" t="str">
        <f>IFERROR(__xludf.DUMMYFUNCTION("""COMPUTED_VALUE"""),"SPR/25/11/026")</f>
        <v>SPR/25/11/026</v>
      </c>
      <c r="L2735" s="13">
        <f>IFERROR(__xludf.DUMMYFUNCTION("""COMPUTED_VALUE"""),45989.0)</f>
        <v>45989</v>
      </c>
    </row>
    <row r="2736">
      <c r="A2736" s="6" t="str">
        <f>IFERROR(__xludf.DUMMYFUNCTION("""COMPUTED_VALUE"""),"NDS")</f>
        <v>NDS</v>
      </c>
      <c r="B2736" s="6" t="str">
        <f>IFERROR(__xludf.DUMMYFUNCTION("""COMPUTED_VALUE"""),"ENG")</f>
        <v>ENG</v>
      </c>
      <c r="C2736" s="6" t="str">
        <f>IFERROR(__xludf.DUMMYFUNCTION("""COMPUTED_VALUE"""),"O-11356-00")</f>
        <v>O-11356-00</v>
      </c>
      <c r="D2736" s="6" t="str">
        <f>IFERROR(__xludf.DUMMYFUNCTION("""COMPUTED_VALUE"""),"Lubricant ? Food grade oil Viscolab 150 - Pc=Liter")</f>
        <v>Lubricant ? Food grade oil Viscolab 150 - Pc=Liter</v>
      </c>
      <c r="E2736" s="6">
        <f>IFERROR(__xludf.DUMMYFUNCTION("""COMPUTED_VALUE"""),20.0)</f>
        <v>20</v>
      </c>
      <c r="F2736" s="6">
        <f>IFERROR(__xludf.DUMMYFUNCTION("""COMPUTED_VALUE"""),20.0)</f>
        <v>20</v>
      </c>
      <c r="G2736" s="6">
        <f>IFERROR(__xludf.DUMMYFUNCTION("""COMPUTED_VALUE"""),0.0)</f>
        <v>0</v>
      </c>
      <c r="H2736" s="6" t="str">
        <f>IFERROR(__xludf.DUMMYFUNCTION("""COMPUTED_VALUE"""),"Pcs")</f>
        <v>Pcs</v>
      </c>
      <c r="I2736" s="6" t="str">
        <f>IFERROR(__xludf.DUMMYFUNCTION("""COMPUTED_VALUE"""),"MFH")</f>
        <v>MFH</v>
      </c>
      <c r="J2736" s="6" t="str">
        <f>IFERROR(__xludf.DUMMYFUNCTION("""COMPUTED_VALUE"""),"Tabletting")</f>
        <v>Tabletting</v>
      </c>
      <c r="K2736" s="6" t="str">
        <f>IFERROR(__xludf.DUMMYFUNCTION("""COMPUTED_VALUE"""),"SPR/25/11/027")</f>
        <v>SPR/25/11/027</v>
      </c>
      <c r="L2736" s="13">
        <f>IFERROR(__xludf.DUMMYFUNCTION("""COMPUTED_VALUE"""),45989.0)</f>
        <v>45989</v>
      </c>
    </row>
    <row r="2737">
      <c r="A2737" s="6" t="str">
        <f>IFERROR(__xludf.DUMMYFUNCTION("""COMPUTED_VALUE"""),"NDS")</f>
        <v>NDS</v>
      </c>
      <c r="B2737" s="6" t="str">
        <f>IFERROR(__xludf.DUMMYFUNCTION("""COMPUTED_VALUE"""),"ENG")</f>
        <v>ENG</v>
      </c>
      <c r="C2737" s="6" t="str">
        <f>IFERROR(__xludf.DUMMYFUNCTION("""COMPUTED_VALUE"""),"O-14641-00")</f>
        <v>O-14641-00</v>
      </c>
      <c r="D2737" s="6" t="str">
        <f>IFERROR(__xludf.DUMMYFUNCTION("""COMPUTED_VALUE"""),"Silicone Gasket for Ferrule dia. 1""")</f>
        <v>Silicone Gasket for Ferrule dia. 1"</v>
      </c>
      <c r="E2737" s="6">
        <f>IFERROR(__xludf.DUMMYFUNCTION("""COMPUTED_VALUE"""),23.0)</f>
        <v>23</v>
      </c>
      <c r="F2737" s="6">
        <f>IFERROR(__xludf.DUMMYFUNCTION("""COMPUTED_VALUE"""),23.0)</f>
        <v>23</v>
      </c>
      <c r="G2737" s="6">
        <f>IFERROR(__xludf.DUMMYFUNCTION("""COMPUTED_VALUE"""),0.0)</f>
        <v>0</v>
      </c>
      <c r="H2737" s="6" t="str">
        <f>IFERROR(__xludf.DUMMYFUNCTION("""COMPUTED_VALUE"""),"Pcs")</f>
        <v>Pcs</v>
      </c>
      <c r="I2737" s="6" t="str">
        <f>IFERROR(__xludf.DUMMYFUNCTION("""COMPUTED_VALUE"""),"MFH")</f>
        <v>MFH</v>
      </c>
      <c r="J2737" s="6" t="str">
        <f>IFERROR(__xludf.DUMMYFUNCTION("""COMPUTED_VALUE"""),"-")</f>
        <v>-</v>
      </c>
      <c r="K2737" s="6" t="str">
        <f>IFERROR(__xludf.DUMMYFUNCTION("""COMPUTED_VALUE"""),"SPR/25/11/027")</f>
        <v>SPR/25/11/027</v>
      </c>
      <c r="L2737" s="13">
        <f>IFERROR(__xludf.DUMMYFUNCTION("""COMPUTED_VALUE"""),45989.0)</f>
        <v>45989</v>
      </c>
    </row>
    <row r="2738">
      <c r="A2738" s="6" t="str">
        <f>IFERROR(__xludf.DUMMYFUNCTION("""COMPUTED_VALUE"""),"NDS")</f>
        <v>NDS</v>
      </c>
      <c r="B2738" s="6" t="str">
        <f>IFERROR(__xludf.DUMMYFUNCTION("""COMPUTED_VALUE"""),"ENG")</f>
        <v>ENG</v>
      </c>
      <c r="C2738" s="6" t="str">
        <f>IFERROR(__xludf.DUMMYFUNCTION("""COMPUTED_VALUE"""),"O-17068-00")</f>
        <v>O-17068-00</v>
      </c>
      <c r="D2738" s="6" t="str">
        <f>IFERROR(__xludf.DUMMYFUNCTION("""COMPUTED_VALUE"""),"Washing RAR4 - Pincers Jaws 4 Positions 10R Vial Neck d=15.5 HARRISA CIPTARINDO ENGINEERING, CV. P/N : -  pc")</f>
        <v>Washing RAR4 - Pincers Jaws 4 Positions 10R Vial Neck d=15.5 HARRISA CIPTARINDO ENGINEERING, CV. P/N : -  pc</v>
      </c>
      <c r="E2738" s="6">
        <f>IFERROR(__xludf.DUMMYFUNCTION("""COMPUTED_VALUE"""),1.0)</f>
        <v>1</v>
      </c>
      <c r="F2738" s="6">
        <f>IFERROR(__xludf.DUMMYFUNCTION("""COMPUTED_VALUE"""),1.0)</f>
        <v>1</v>
      </c>
      <c r="G2738" s="6">
        <f>IFERROR(__xludf.DUMMYFUNCTION("""COMPUTED_VALUE"""),0.0)</f>
        <v>0</v>
      </c>
      <c r="H2738" s="6" t="str">
        <f>IFERROR(__xludf.DUMMYFUNCTION("""COMPUTED_VALUE"""),"Pcs")</f>
        <v>Pcs</v>
      </c>
      <c r="I2738" s="6" t="str">
        <f>IFERROR(__xludf.DUMMYFUNCTION("""COMPUTED_VALUE"""),"MFH")</f>
        <v>MFH</v>
      </c>
      <c r="J2738" s="6" t="str">
        <f>IFERROR(__xludf.DUMMYFUNCTION("""COMPUTED_VALUE"""),"-")</f>
        <v>-</v>
      </c>
      <c r="K2738" s="6" t="str">
        <f>IFERROR(__xludf.DUMMYFUNCTION("""COMPUTED_VALUE"""),"SPR/25/11/027")</f>
        <v>SPR/25/11/027</v>
      </c>
      <c r="L2738" s="13">
        <f>IFERROR(__xludf.DUMMYFUNCTION("""COMPUTED_VALUE"""),45989.0)</f>
        <v>45989</v>
      </c>
    </row>
    <row r="2739">
      <c r="A2739" s="6" t="str">
        <f>IFERROR(__xludf.DUMMYFUNCTION("""COMPUTED_VALUE"""),"AAA")</f>
        <v>AAA</v>
      </c>
      <c r="B2739" s="6" t="str">
        <f>IFERROR(__xludf.DUMMYFUNCTION("""COMPUTED_VALUE"""),"ENG")</f>
        <v>ENG</v>
      </c>
      <c r="C2739" s="6" t="str">
        <f>IFERROR(__xludf.DUMMYFUNCTION("""COMPUTED_VALUE"""),"O-16033-00")</f>
        <v>O-16033-00</v>
      </c>
      <c r="D273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739" s="6">
        <f>IFERROR(__xludf.DUMMYFUNCTION("""COMPUTED_VALUE"""),1.0)</f>
        <v>1</v>
      </c>
      <c r="F2739" s="6">
        <f>IFERROR(__xludf.DUMMYFUNCTION("""COMPUTED_VALUE"""),1.0)</f>
        <v>1</v>
      </c>
      <c r="G2739" s="6">
        <f>IFERROR(__xludf.DUMMYFUNCTION("""COMPUTED_VALUE"""),0.0)</f>
        <v>0</v>
      </c>
      <c r="H2739" s="6" t="str">
        <f>IFERROR(__xludf.DUMMYFUNCTION("""COMPUTED_VALUE"""),"Pcs")</f>
        <v>Pcs</v>
      </c>
      <c r="I2739" s="6" t="str">
        <f>IFERROR(__xludf.DUMMYFUNCTION("""COMPUTED_VALUE"""),"MFH")</f>
        <v>MFH</v>
      </c>
      <c r="J2739" s="6" t="str">
        <f>IFERROR(__xludf.DUMMYFUNCTION("""COMPUTED_VALUE"""),"cRABS")</f>
        <v>cRABS</v>
      </c>
      <c r="K2739" s="6" t="str">
        <f>IFERROR(__xludf.DUMMYFUNCTION("""COMPUTED_VALUE"""),"SPR/25/11/028")</f>
        <v>SPR/25/11/028</v>
      </c>
      <c r="L2739" s="13">
        <f>IFERROR(__xludf.DUMMYFUNCTION("""COMPUTED_VALUE"""),45989.0)</f>
        <v>45989</v>
      </c>
    </row>
    <row r="2740">
      <c r="A2740" s="6" t="str">
        <f>IFERROR(__xludf.DUMMYFUNCTION("""COMPUTED_VALUE"""),"AAA")</f>
        <v>AAA</v>
      </c>
      <c r="B2740" s="6" t="str">
        <f>IFERROR(__xludf.DUMMYFUNCTION("""COMPUTED_VALUE"""),"ENG")</f>
        <v>ENG</v>
      </c>
      <c r="C2740" s="6" t="str">
        <f>IFERROR(__xludf.DUMMYFUNCTION("""COMPUTED_VALUE"""),"P-11393-00")</f>
        <v>P-11393-00</v>
      </c>
      <c r="D2740" s="6" t="str">
        <f>IFERROR(__xludf.DUMMYFUNCTION("""COMPUTED_VALUE"""),"General - Gasket Ferrule EPDM 3inch; No Brand; -; 1 pcs")</f>
        <v>General - Gasket Ferrule EPDM 3inch; No Brand; -; 1 pcs</v>
      </c>
      <c r="E2740" s="6">
        <f>IFERROR(__xludf.DUMMYFUNCTION("""COMPUTED_VALUE"""),1.0)</f>
        <v>1</v>
      </c>
      <c r="F2740" s="6">
        <f>IFERROR(__xludf.DUMMYFUNCTION("""COMPUTED_VALUE"""),1.0)</f>
        <v>1</v>
      </c>
      <c r="G2740" s="6">
        <f>IFERROR(__xludf.DUMMYFUNCTION("""COMPUTED_VALUE"""),0.0)</f>
        <v>0</v>
      </c>
      <c r="H2740" s="6" t="str">
        <f>IFERROR(__xludf.DUMMYFUNCTION("""COMPUTED_VALUE"""),"Pcs")</f>
        <v>Pcs</v>
      </c>
      <c r="I2740" s="6" t="str">
        <f>IFERROR(__xludf.DUMMYFUNCTION("""COMPUTED_VALUE"""),"MFH")</f>
        <v>MFH</v>
      </c>
      <c r="J2740" s="6" t="str">
        <f>IFERROR(__xludf.DUMMYFUNCTION("""COMPUTED_VALUE"""),"-")</f>
        <v>-</v>
      </c>
      <c r="K2740" s="6" t="str">
        <f>IFERROR(__xludf.DUMMYFUNCTION("""COMPUTED_VALUE"""),"SPR/25/11/028")</f>
        <v>SPR/25/11/028</v>
      </c>
      <c r="L2740" s="13">
        <f>IFERROR(__xludf.DUMMYFUNCTION("""COMPUTED_VALUE"""),45989.0)</f>
        <v>45989</v>
      </c>
    </row>
    <row r="2741">
      <c r="A2741" s="6" t="str">
        <f>IFERROR(__xludf.DUMMYFUNCTION("""COMPUTED_VALUE"""),"AAA")</f>
        <v>AAA</v>
      </c>
      <c r="B2741" s="6" t="str">
        <f>IFERROR(__xludf.DUMMYFUNCTION("""COMPUTED_VALUE"""),"ENG")</f>
        <v>ENG</v>
      </c>
      <c r="C2741" s="6" t="str">
        <f>IFERROR(__xludf.DUMMYFUNCTION("""COMPUTED_VALUE"""),"O-53033-00")</f>
        <v>O-53033-00</v>
      </c>
      <c r="D2741" s="6" t="str">
        <f>IFERROR(__xludf.DUMMYFUNCTION("""COMPUTED_VALUE"""),"Saklar Switch Lampu ZN On Off Kaki 4 Kaki Pin 15-20ALokal")</f>
        <v>Saklar Switch Lampu ZN On Off Kaki 4 Kaki Pin 15-20ALokal</v>
      </c>
      <c r="E2741" s="6">
        <f>IFERROR(__xludf.DUMMYFUNCTION("""COMPUTED_VALUE"""),1.0)</f>
        <v>1</v>
      </c>
      <c r="F2741" s="6">
        <f>IFERROR(__xludf.DUMMYFUNCTION("""COMPUTED_VALUE"""),1.0)</f>
        <v>1</v>
      </c>
      <c r="G2741" s="6">
        <f>IFERROR(__xludf.DUMMYFUNCTION("""COMPUTED_VALUE"""),0.0)</f>
        <v>0</v>
      </c>
      <c r="H2741" s="6" t="str">
        <f>IFERROR(__xludf.DUMMYFUNCTION("""COMPUTED_VALUE"""),"Pcs")</f>
        <v>Pcs</v>
      </c>
      <c r="I2741" s="6" t="str">
        <f>IFERROR(__xludf.DUMMYFUNCTION("""COMPUTED_VALUE"""),"MFH")</f>
        <v>MFH</v>
      </c>
      <c r="J2741" s="6" t="str">
        <f>IFERROR(__xludf.DUMMYFUNCTION("""COMPUTED_VALUE"""),"-")</f>
        <v>-</v>
      </c>
      <c r="K2741" s="6" t="str">
        <f>IFERROR(__xludf.DUMMYFUNCTION("""COMPUTED_VALUE"""),"SPR/25/11/028")</f>
        <v>SPR/25/11/028</v>
      </c>
      <c r="L2741" s="13">
        <f>IFERROR(__xludf.DUMMYFUNCTION("""COMPUTED_VALUE"""),45989.0)</f>
        <v>45989</v>
      </c>
    </row>
    <row r="2742">
      <c r="A2742" s="6" t="str">
        <f>IFERROR(__xludf.DUMMYFUNCTION("""COMPUTED_VALUE"""),"RIA")</f>
        <v>RIA</v>
      </c>
      <c r="B2742" s="6" t="str">
        <f>IFERROR(__xludf.DUMMYFUNCTION("""COMPUTED_VALUE"""),"ENG")</f>
        <v>ENG</v>
      </c>
      <c r="C2742" s="6" t="str">
        <f>IFERROR(__xludf.DUMMYFUNCTION("""COMPUTED_VALUE"""),"T-80109-00")</f>
        <v>T-80109-00</v>
      </c>
      <c r="D2742" s="6" t="str">
        <f>IFERROR(__xludf.DUMMYFUNCTION("""COMPUTED_VALUE"""),"Cellotape Kertas 1 inch warna Putih")</f>
        <v>Cellotape Kertas 1 inch warna Putih</v>
      </c>
      <c r="E2742" s="6">
        <f>IFERROR(__xludf.DUMMYFUNCTION("""COMPUTED_VALUE"""),10.0)</f>
        <v>10</v>
      </c>
      <c r="F2742" s="6">
        <f>IFERROR(__xludf.DUMMYFUNCTION("""COMPUTED_VALUE"""),10.0)</f>
        <v>10</v>
      </c>
      <c r="G2742" s="6">
        <f>IFERROR(__xludf.DUMMYFUNCTION("""COMPUTED_VALUE"""),0.0)</f>
        <v>0</v>
      </c>
      <c r="H2742" s="6" t="str">
        <f>IFERROR(__xludf.DUMMYFUNCTION("""COMPUTED_VALUE"""),"Pcs")</f>
        <v>Pcs</v>
      </c>
      <c r="I2742" s="6" t="str">
        <f>IFERROR(__xludf.DUMMYFUNCTION("""COMPUTED_VALUE"""),"MFH")</f>
        <v>MFH</v>
      </c>
      <c r="J2742" s="6" t="str">
        <f>IFERROR(__xludf.DUMMYFUNCTION("""COMPUTED_VALUE"""),"-")</f>
        <v>-</v>
      </c>
      <c r="K2742" s="6" t="str">
        <f>IFERROR(__xludf.DUMMYFUNCTION("""COMPUTED_VALUE"""),"SPR/25/11/029")</f>
        <v>SPR/25/11/029</v>
      </c>
      <c r="L2742" s="13">
        <f>IFERROR(__xludf.DUMMYFUNCTION("""COMPUTED_VALUE"""),45989.0)</f>
        <v>45989</v>
      </c>
    </row>
    <row r="2743">
      <c r="A2743" s="6" t="str">
        <f>IFERROR(__xludf.DUMMYFUNCTION("""COMPUTED_VALUE"""),"RIA")</f>
        <v>RIA</v>
      </c>
      <c r="B2743" s="6" t="str">
        <f>IFERROR(__xludf.DUMMYFUNCTION("""COMPUTED_VALUE"""),"ENG")</f>
        <v>ENG</v>
      </c>
      <c r="C2743" s="6" t="str">
        <f>IFERROR(__xludf.DUMMYFUNCTION("""COMPUTED_VALUE"""),"P-50495-00")</f>
        <v>P-50495-00</v>
      </c>
      <c r="D2743" s="6" t="str">
        <f>IFERROR(__xludf.DUMMYFUNCTION("""COMPUTED_VALUE"""),"Relay / RXM 2AB2P7 / 230 V / 50-60 Hz / 12 A / 250 VAC")</f>
        <v>Relay / RXM 2AB2P7 / 230 V / 50-60 Hz / 12 A / 250 VAC</v>
      </c>
      <c r="E2743" s="6">
        <f>IFERROR(__xludf.DUMMYFUNCTION("""COMPUTED_VALUE"""),2.0)</f>
        <v>2</v>
      </c>
      <c r="F2743" s="6">
        <f>IFERROR(__xludf.DUMMYFUNCTION("""COMPUTED_VALUE"""),2.0)</f>
        <v>2</v>
      </c>
      <c r="G2743" s="6">
        <f>IFERROR(__xludf.DUMMYFUNCTION("""COMPUTED_VALUE"""),0.0)</f>
        <v>0</v>
      </c>
      <c r="H2743" s="6" t="str">
        <f>IFERROR(__xludf.DUMMYFUNCTION("""COMPUTED_VALUE"""),"Pcs")</f>
        <v>Pcs</v>
      </c>
      <c r="I2743" s="6" t="str">
        <f>IFERROR(__xludf.DUMMYFUNCTION("""COMPUTED_VALUE"""),"MFH")</f>
        <v>MFH</v>
      </c>
      <c r="J2743" s="6" t="str">
        <f>IFERROR(__xludf.DUMMYFUNCTION("""COMPUTED_VALUE"""),"-")</f>
        <v>-</v>
      </c>
      <c r="K2743" s="6" t="str">
        <f>IFERROR(__xludf.DUMMYFUNCTION("""COMPUTED_VALUE"""),"SPR/25/11/029")</f>
        <v>SPR/25/11/029</v>
      </c>
      <c r="L2743" s="13">
        <f>IFERROR(__xludf.DUMMYFUNCTION("""COMPUTED_VALUE"""),45989.0)</f>
        <v>45989</v>
      </c>
    </row>
    <row r="2744">
      <c r="A2744" s="6" t="str">
        <f>IFERROR(__xludf.DUMMYFUNCTION("""COMPUTED_VALUE"""),"RIA")</f>
        <v>RIA</v>
      </c>
      <c r="B2744" s="6" t="str">
        <f>IFERROR(__xludf.DUMMYFUNCTION("""COMPUTED_VALUE"""),"ENG")</f>
        <v>ENG</v>
      </c>
      <c r="C2744" s="6" t="str">
        <f>IFERROR(__xludf.DUMMYFUNCTION("""COMPUTED_VALUE"""),"O-14643-00")</f>
        <v>O-14643-00</v>
      </c>
      <c r="D2744" s="6" t="str">
        <f>IFERROR(__xludf.DUMMYFUNCTION("""COMPUTED_VALUE"""),"EPDM Gasket for Ferrule dia. 3""; ; ;")</f>
        <v>EPDM Gasket for Ferrule dia. 3"; ; ;</v>
      </c>
      <c r="E2744" s="6">
        <f>IFERROR(__xludf.DUMMYFUNCTION("""COMPUTED_VALUE"""),15.0)</f>
        <v>15</v>
      </c>
      <c r="F2744" s="6">
        <f>IFERROR(__xludf.DUMMYFUNCTION("""COMPUTED_VALUE"""),15.0)</f>
        <v>15</v>
      </c>
      <c r="G2744" s="6">
        <f>IFERROR(__xludf.DUMMYFUNCTION("""COMPUTED_VALUE"""),0.0)</f>
        <v>0</v>
      </c>
      <c r="H2744" s="6" t="str">
        <f>IFERROR(__xludf.DUMMYFUNCTION("""COMPUTED_VALUE"""),"Pcs")</f>
        <v>Pcs</v>
      </c>
      <c r="I2744" s="6" t="str">
        <f>IFERROR(__xludf.DUMMYFUNCTION("""COMPUTED_VALUE"""),"MFH")</f>
        <v>MFH</v>
      </c>
      <c r="J2744" s="6" t="str">
        <f>IFERROR(__xludf.DUMMYFUNCTION("""COMPUTED_VALUE"""),"-")</f>
        <v>-</v>
      </c>
      <c r="K2744" s="6" t="str">
        <f>IFERROR(__xludf.DUMMYFUNCTION("""COMPUTED_VALUE"""),"SPR/25/11/029")</f>
        <v>SPR/25/11/029</v>
      </c>
      <c r="L2744" s="13">
        <f>IFERROR(__xludf.DUMMYFUNCTION("""COMPUTED_VALUE"""),45989.0)</f>
        <v>45989</v>
      </c>
    </row>
    <row r="2745">
      <c r="A2745" s="6" t="str">
        <f>IFERROR(__xludf.DUMMYFUNCTION("""COMPUTED_VALUE"""),"SFH")</f>
        <v>SFH</v>
      </c>
      <c r="B2745" s="6" t="str">
        <f>IFERROR(__xludf.DUMMYFUNCTION("""COMPUTED_VALUE"""),"ENG")</f>
        <v>ENG</v>
      </c>
      <c r="C2745" s="6" t="str">
        <f>IFERROR(__xludf.DUMMYFUNCTION("""COMPUTED_VALUE"""),"Q-10249-00")</f>
        <v>Q-10249-00</v>
      </c>
      <c r="D2745" s="6" t="str">
        <f>IFERROR(__xludf.DUMMYFUNCTION("""COMPUTED_VALUE"""),"Lem;Power Glue;;pack size per pcs")</f>
        <v>Lem;Power Glue;;pack size per pcs</v>
      </c>
      <c r="E2745" s="6">
        <f>IFERROR(__xludf.DUMMYFUNCTION("""COMPUTED_VALUE"""),1.0)</f>
        <v>1</v>
      </c>
      <c r="F2745" s="6">
        <f>IFERROR(__xludf.DUMMYFUNCTION("""COMPUTED_VALUE"""),1.0)</f>
        <v>1</v>
      </c>
      <c r="G2745" s="6">
        <f>IFERROR(__xludf.DUMMYFUNCTION("""COMPUTED_VALUE"""),0.0)</f>
        <v>0</v>
      </c>
      <c r="H2745" s="6" t="str">
        <f>IFERROR(__xludf.DUMMYFUNCTION("""COMPUTED_VALUE"""),"Pcs")</f>
        <v>Pcs</v>
      </c>
      <c r="I2745" s="6" t="str">
        <f>IFERROR(__xludf.DUMMYFUNCTION("""COMPUTED_VALUE"""),"MFH")</f>
        <v>MFH</v>
      </c>
      <c r="J2745" s="6" t="str">
        <f>IFERROR(__xludf.DUMMYFUNCTION("""COMPUTED_VALUE"""),"Building")</f>
        <v>Building</v>
      </c>
      <c r="K2745" s="6" t="str">
        <f>IFERROR(__xludf.DUMMYFUNCTION("""COMPUTED_VALUE"""),"SPR/25/11/030")</f>
        <v>SPR/25/11/030</v>
      </c>
      <c r="L2745" s="13">
        <f>IFERROR(__xludf.DUMMYFUNCTION("""COMPUTED_VALUE"""),45989.0)</f>
        <v>45989</v>
      </c>
    </row>
    <row r="2746">
      <c r="A2746" s="6" t="str">
        <f>IFERROR(__xludf.DUMMYFUNCTION("""COMPUTED_VALUE"""),"SFH")</f>
        <v>SFH</v>
      </c>
      <c r="B2746" s="6" t="str">
        <f>IFERROR(__xludf.DUMMYFUNCTION("""COMPUTED_VALUE"""),"ENG")</f>
        <v>ENG</v>
      </c>
      <c r="C2746" s="6" t="str">
        <f>IFERROR(__xludf.DUMMYFUNCTION("""COMPUTED_VALUE"""),"P-19028-00")</f>
        <v>P-19028-00</v>
      </c>
      <c r="D2746" s="6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E2746" s="6">
        <f>IFERROR(__xludf.DUMMYFUNCTION("""COMPUTED_VALUE"""),11.0)</f>
        <v>11</v>
      </c>
      <c r="F2746" s="6">
        <f>IFERROR(__xludf.DUMMYFUNCTION("""COMPUTED_VALUE"""),11.0)</f>
        <v>11</v>
      </c>
      <c r="G2746" s="6">
        <f>IFERROR(__xludf.DUMMYFUNCTION("""COMPUTED_VALUE"""),0.0)</f>
        <v>0</v>
      </c>
      <c r="H2746" s="6" t="str">
        <f>IFERROR(__xludf.DUMMYFUNCTION("""COMPUTED_VALUE"""),"Pcs")</f>
        <v>Pcs</v>
      </c>
      <c r="I2746" s="6" t="str">
        <f>IFERROR(__xludf.DUMMYFUNCTION("""COMPUTED_VALUE"""),"MFH")</f>
        <v>MFH</v>
      </c>
      <c r="J2746" s="6" t="str">
        <f>IFERROR(__xludf.DUMMYFUNCTION("""COMPUTED_VALUE"""),"-")</f>
        <v>-</v>
      </c>
      <c r="K2746" s="6" t="str">
        <f>IFERROR(__xludf.DUMMYFUNCTION("""COMPUTED_VALUE"""),"SPR/25/11/030")</f>
        <v>SPR/25/11/030</v>
      </c>
      <c r="L2746" s="13">
        <f>IFERROR(__xludf.DUMMYFUNCTION("""COMPUTED_VALUE"""),45989.0)</f>
        <v>45989</v>
      </c>
    </row>
    <row r="2747">
      <c r="A2747" s="6" t="str">
        <f>IFERROR(__xludf.DUMMYFUNCTION("""COMPUTED_VALUE"""),"SFH")</f>
        <v>SFH</v>
      </c>
      <c r="B2747" s="6" t="str">
        <f>IFERROR(__xludf.DUMMYFUNCTION("""COMPUTED_VALUE"""),"ENG")</f>
        <v>ENG</v>
      </c>
      <c r="C2747" s="6" t="str">
        <f>IFERROR(__xludf.DUMMYFUNCTION("""COMPUTED_VALUE"""),"O-19347-00")</f>
        <v>O-19347-00</v>
      </c>
      <c r="D2747" s="6" t="str">
        <f>IFERROR(__xludf.DUMMYFUNCTION("""COMPUTED_VALUE"""),"HEPA filter minipleat, size: 1220X610X93 H13; ; ;")</f>
        <v>HEPA filter minipleat, size: 1220X610X93 H13; ; ;</v>
      </c>
      <c r="E2747" s="6">
        <f>IFERROR(__xludf.DUMMYFUNCTION("""COMPUTED_VALUE"""),1.0)</f>
        <v>1</v>
      </c>
      <c r="F2747" s="6">
        <f>IFERROR(__xludf.DUMMYFUNCTION("""COMPUTED_VALUE"""),1.0)</f>
        <v>1</v>
      </c>
      <c r="G2747" s="6">
        <f>IFERROR(__xludf.DUMMYFUNCTION("""COMPUTED_VALUE"""),0.0)</f>
        <v>0</v>
      </c>
      <c r="H2747" s="6" t="str">
        <f>IFERROR(__xludf.DUMMYFUNCTION("""COMPUTED_VALUE"""),"Pcs")</f>
        <v>Pcs</v>
      </c>
      <c r="I2747" s="6" t="str">
        <f>IFERROR(__xludf.DUMMYFUNCTION("""COMPUTED_VALUE"""),"MFH")</f>
        <v>MFH</v>
      </c>
      <c r="J2747" s="6" t="str">
        <f>IFERROR(__xludf.DUMMYFUNCTION("""COMPUTED_VALUE"""),"-")</f>
        <v>-</v>
      </c>
      <c r="K2747" s="6" t="str">
        <f>IFERROR(__xludf.DUMMYFUNCTION("""COMPUTED_VALUE"""),"SPR/25/11/030")</f>
        <v>SPR/25/11/030</v>
      </c>
      <c r="L2747" s="13">
        <f>IFERROR(__xludf.DUMMYFUNCTION("""COMPUTED_VALUE"""),45989.0)</f>
        <v>45989</v>
      </c>
    </row>
    <row r="2748">
      <c r="A2748" s="6" t="str">
        <f>IFERROR(__xludf.DUMMYFUNCTION("""COMPUTED_VALUE"""),"BDU")</f>
        <v>BDU</v>
      </c>
      <c r="B2748" s="6" t="str">
        <f>IFERROR(__xludf.DUMMYFUNCTION("""COMPUTED_VALUE"""),"ENG")</f>
        <v>ENG</v>
      </c>
      <c r="C2748" s="6" t="str">
        <f>IFERROR(__xludf.DUMMYFUNCTION("""COMPUTED_VALUE"""),"Q-10946-00")</f>
        <v>Q-10946-00</v>
      </c>
      <c r="D2748" s="6" t="str">
        <f>IFERROR(__xludf.DUMMYFUNCTION("""COMPUTED_VALUE"""),"Silicone Sealant;Silglaze;Type N10 Light Grey;pack size per pcs")</f>
        <v>Silicone Sealant;Silglaze;Type N10 Light Grey;pack size per pcs</v>
      </c>
      <c r="E2748" s="6">
        <f>IFERROR(__xludf.DUMMYFUNCTION("""COMPUTED_VALUE"""),1.0)</f>
        <v>1</v>
      </c>
      <c r="F2748" s="6">
        <f>IFERROR(__xludf.DUMMYFUNCTION("""COMPUTED_VALUE"""),1.0)</f>
        <v>1</v>
      </c>
      <c r="G2748" s="6">
        <f>IFERROR(__xludf.DUMMYFUNCTION("""COMPUTED_VALUE"""),0.0)</f>
        <v>0</v>
      </c>
      <c r="H2748" s="6" t="str">
        <f>IFERROR(__xludf.DUMMYFUNCTION("""COMPUTED_VALUE"""),"Pcs")</f>
        <v>Pcs</v>
      </c>
      <c r="I2748" s="6" t="str">
        <f>IFERROR(__xludf.DUMMYFUNCTION("""COMPUTED_VALUE"""),"MFH")</f>
        <v>MFH</v>
      </c>
      <c r="J2748" s="6" t="str">
        <f>IFERROR(__xludf.DUMMYFUNCTION("""COMPUTED_VALUE"""),"-")</f>
        <v>-</v>
      </c>
      <c r="K2748" s="6" t="str">
        <f>IFERROR(__xludf.DUMMYFUNCTION("""COMPUTED_VALUE"""),"SPR/25/11/031")</f>
        <v>SPR/25/11/031</v>
      </c>
      <c r="L2748" s="13">
        <f>IFERROR(__xludf.DUMMYFUNCTION("""COMPUTED_VALUE"""),45989.0)</f>
        <v>45989</v>
      </c>
    </row>
    <row r="2749">
      <c r="A2749" s="6" t="str">
        <f>IFERROR(__xludf.DUMMYFUNCTION("""COMPUTED_VALUE"""),"BDU")</f>
        <v>BDU</v>
      </c>
      <c r="B2749" s="6" t="str">
        <f>IFERROR(__xludf.DUMMYFUNCTION("""COMPUTED_VALUE"""),"ENG")</f>
        <v>ENG</v>
      </c>
      <c r="C2749" s="6" t="str">
        <f>IFERROR(__xludf.DUMMYFUNCTION("""COMPUTED_VALUE"""),"P-11018-00")</f>
        <v>P-11018-00</v>
      </c>
      <c r="D2749" s="6" t="str">
        <f>IFERROR(__xludf.DUMMYFUNCTION("""COMPUTED_VALUE"""),"General - Oil Seal TC 15 x 24 x 7; NOK; -; 1 Pc")</f>
        <v>General - Oil Seal TC 15 x 24 x 7; NOK; -; 1 Pc</v>
      </c>
      <c r="E2749" s="6">
        <f>IFERROR(__xludf.DUMMYFUNCTION("""COMPUTED_VALUE"""),1.0)</f>
        <v>1</v>
      </c>
      <c r="F2749" s="6">
        <f>IFERROR(__xludf.DUMMYFUNCTION("""COMPUTED_VALUE"""),1.0)</f>
        <v>1</v>
      </c>
      <c r="G2749" s="6">
        <f>IFERROR(__xludf.DUMMYFUNCTION("""COMPUTED_VALUE"""),0.0)</f>
        <v>0</v>
      </c>
      <c r="H2749" s="6" t="str">
        <f>IFERROR(__xludf.DUMMYFUNCTION("""COMPUTED_VALUE"""),"Pcs")</f>
        <v>Pcs</v>
      </c>
      <c r="I2749" s="6" t="str">
        <f>IFERROR(__xludf.DUMMYFUNCTION("""COMPUTED_VALUE"""),"MFH")</f>
        <v>MFH</v>
      </c>
      <c r="J2749" s="6" t="str">
        <f>IFERROR(__xludf.DUMMYFUNCTION("""COMPUTED_VALUE"""),"-")</f>
        <v>-</v>
      </c>
      <c r="K2749" s="6" t="str">
        <f>IFERROR(__xludf.DUMMYFUNCTION("""COMPUTED_VALUE"""),"SPR/25/11/031")</f>
        <v>SPR/25/11/031</v>
      </c>
      <c r="L2749" s="13">
        <f>IFERROR(__xludf.DUMMYFUNCTION("""COMPUTED_VALUE"""),45989.0)</f>
        <v>45989</v>
      </c>
    </row>
    <row r="2750">
      <c r="A2750" s="6" t="str">
        <f>IFERROR(__xludf.DUMMYFUNCTION("""COMPUTED_VALUE"""),"BDU")</f>
        <v>BDU</v>
      </c>
      <c r="B2750" s="6" t="str">
        <f>IFERROR(__xludf.DUMMYFUNCTION("""COMPUTED_VALUE"""),"ENG")</f>
        <v>ENG</v>
      </c>
      <c r="C2750" s="6" t="str">
        <f>IFERROR(__xludf.DUMMYFUNCTION("""COMPUTED_VALUE"""),"O-20897-00")</f>
        <v>O-20897-00</v>
      </c>
      <c r="D2750" s="6" t="str">
        <f>IFERROR(__xludf.DUMMYFUNCTION("""COMPUTED_VALUE"""),"Capping VCM200 - Oring Silicone 2.5 x 30.50 x 30.50; Custom/Lokal; -; 1 Pc")</f>
        <v>Capping VCM200 - Oring Silicone 2.5 x 30.50 x 30.50; Custom/Lokal; -; 1 Pc</v>
      </c>
      <c r="E2750" s="6">
        <f>IFERROR(__xludf.DUMMYFUNCTION("""COMPUTED_VALUE"""),1.0)</f>
        <v>1</v>
      </c>
      <c r="F2750" s="6">
        <f>IFERROR(__xludf.DUMMYFUNCTION("""COMPUTED_VALUE"""),1.0)</f>
        <v>1</v>
      </c>
      <c r="G2750" s="6">
        <f>IFERROR(__xludf.DUMMYFUNCTION("""COMPUTED_VALUE"""),0.0)</f>
        <v>0</v>
      </c>
      <c r="H2750" s="6" t="str">
        <f>IFERROR(__xludf.DUMMYFUNCTION("""COMPUTED_VALUE"""),"Pcs")</f>
        <v>Pcs</v>
      </c>
      <c r="I2750" s="6" t="str">
        <f>IFERROR(__xludf.DUMMYFUNCTION("""COMPUTED_VALUE"""),"MFH")</f>
        <v>MFH</v>
      </c>
      <c r="J2750" s="6" t="str">
        <f>IFERROR(__xludf.DUMMYFUNCTION("""COMPUTED_VALUE"""),"-")</f>
        <v>-</v>
      </c>
      <c r="K2750" s="6" t="str">
        <f>IFERROR(__xludf.DUMMYFUNCTION("""COMPUTED_VALUE"""),"SPR/25/11/031")</f>
        <v>SPR/25/11/031</v>
      </c>
      <c r="L2750" s="13">
        <f>IFERROR(__xludf.DUMMYFUNCTION("""COMPUTED_VALUE"""),45989.0)</f>
        <v>45989</v>
      </c>
    </row>
    <row r="2751">
      <c r="A2751" s="6" t="str">
        <f>IFERROR(__xludf.DUMMYFUNCTION("""COMPUTED_VALUE"""),"ANO")</f>
        <v>ANO</v>
      </c>
      <c r="B2751" s="6" t="str">
        <f>IFERROR(__xludf.DUMMYFUNCTION("""COMPUTED_VALUE"""),"ENG")</f>
        <v>ENG</v>
      </c>
      <c r="C2751" s="6" t="str">
        <f>IFERROR(__xludf.DUMMYFUNCTION("""COMPUTED_VALUE"""),"P-12433-00")</f>
        <v>P-12433-00</v>
      </c>
      <c r="D2751" s="6" t="str">
        <f>IFERROR(__xludf.DUMMYFUNCTION("""COMPUTED_VALUE"""),"Isolasi AC- Sansui")</f>
        <v>Isolasi AC- Sansui</v>
      </c>
      <c r="E2751" s="6">
        <f>IFERROR(__xludf.DUMMYFUNCTION("""COMPUTED_VALUE"""),2.0)</f>
        <v>2</v>
      </c>
      <c r="F2751" s="6">
        <f>IFERROR(__xludf.DUMMYFUNCTION("""COMPUTED_VALUE"""),2.0)</f>
        <v>2</v>
      </c>
      <c r="G2751" s="6">
        <f>IFERROR(__xludf.DUMMYFUNCTION("""COMPUTED_VALUE"""),0.0)</f>
        <v>0</v>
      </c>
      <c r="H2751" s="6" t="str">
        <f>IFERROR(__xludf.DUMMYFUNCTION("""COMPUTED_VALUE"""),"Pcs")</f>
        <v>Pcs</v>
      </c>
      <c r="I2751" s="6" t="str">
        <f>IFERROR(__xludf.DUMMYFUNCTION("""COMPUTED_VALUE"""),"MFH")</f>
        <v>MFH</v>
      </c>
      <c r="J2751" s="6" t="str">
        <f>IFERROR(__xludf.DUMMYFUNCTION("""COMPUTED_VALUE"""),"FD")</f>
        <v>FD</v>
      </c>
      <c r="K2751" s="6" t="str">
        <f>IFERROR(__xludf.DUMMYFUNCTION("""COMPUTED_VALUE"""),"SPR/25/11/032")</f>
        <v>SPR/25/11/032</v>
      </c>
      <c r="L2751" s="13">
        <f>IFERROR(__xludf.DUMMYFUNCTION("""COMPUTED_VALUE"""),45989.0)</f>
        <v>45989</v>
      </c>
    </row>
    <row r="2752">
      <c r="A2752" s="6" t="str">
        <f>IFERROR(__xludf.DUMMYFUNCTION("""COMPUTED_VALUE"""),"INN")</f>
        <v>INN</v>
      </c>
      <c r="B2752" s="6" t="str">
        <f>IFERROR(__xludf.DUMMYFUNCTION("""COMPUTED_VALUE"""),"ENG")</f>
        <v>ENG</v>
      </c>
      <c r="C2752" s="6" t="str">
        <f>IFERROR(__xludf.DUMMYFUNCTION("""COMPUTED_VALUE"""),"P-18470-00")</f>
        <v>P-18470-00</v>
      </c>
      <c r="D2752" s="6" t="str">
        <f>IFERROR(__xludf.DUMMYFUNCTION("""COMPUTED_VALUE"""),"Misumi - HXNHFFLT-SUS-M5-10; ; ;")</f>
        <v>Misumi - HXNHFFLT-SUS-M5-10; ; ;</v>
      </c>
      <c r="E2752" s="6">
        <f>IFERROR(__xludf.DUMMYFUNCTION("""COMPUTED_VALUE"""),10.0)</f>
        <v>10</v>
      </c>
      <c r="F2752" s="6">
        <f>IFERROR(__xludf.DUMMYFUNCTION("""COMPUTED_VALUE"""),10.0)</f>
        <v>10</v>
      </c>
      <c r="G2752" s="6">
        <f>IFERROR(__xludf.DUMMYFUNCTION("""COMPUTED_VALUE"""),0.0)</f>
        <v>0</v>
      </c>
      <c r="H2752" s="6" t="str">
        <f>IFERROR(__xludf.DUMMYFUNCTION("""COMPUTED_VALUE"""),"Pcs")</f>
        <v>Pcs</v>
      </c>
      <c r="I2752" s="6" t="str">
        <f>IFERROR(__xludf.DUMMYFUNCTION("""COMPUTED_VALUE"""),"MFH")</f>
        <v>MFH</v>
      </c>
      <c r="J2752" s="6" t="str">
        <f>IFERROR(__xludf.DUMMYFUNCTION("""COMPUTED_VALUE"""),"Washing")</f>
        <v>Washing</v>
      </c>
      <c r="K2752" s="6" t="str">
        <f>IFERROR(__xludf.DUMMYFUNCTION("""COMPUTED_VALUE"""),"SPR/25/11/033")</f>
        <v>SPR/25/11/033</v>
      </c>
      <c r="L2752" s="13">
        <f>IFERROR(__xludf.DUMMYFUNCTION("""COMPUTED_VALUE"""),45989.0)</f>
        <v>45989</v>
      </c>
    </row>
    <row r="2753">
      <c r="A2753" s="6" t="str">
        <f>IFERROR(__xludf.DUMMYFUNCTION("""COMPUTED_VALUE"""),"RSP")</f>
        <v>RSP</v>
      </c>
      <c r="B2753" s="6" t="str">
        <f>IFERROR(__xludf.DUMMYFUNCTION("""COMPUTED_VALUE"""),"PRO")</f>
        <v>PRO</v>
      </c>
      <c r="C2753" s="6" t="str">
        <f>IFERROR(__xludf.DUMMYFUNCTION("""COMPUTED_VALUE"""),"-")</f>
        <v>-</v>
      </c>
      <c r="D2753" s="6" t="str">
        <f>IFERROR(__xludf.DUMMYFUNCTION("""COMPUTED_VALUE"""),"Clamp 4 Inch")</f>
        <v>Clamp 4 Inch</v>
      </c>
      <c r="E2753" s="6">
        <f>IFERROR(__xludf.DUMMYFUNCTION("""COMPUTED_VALUE"""),2.0)</f>
        <v>2</v>
      </c>
      <c r="F2753" s="6">
        <f>IFERROR(__xludf.DUMMYFUNCTION("""COMPUTED_VALUE"""),2.0)</f>
        <v>2</v>
      </c>
      <c r="G2753" s="6">
        <f>IFERROR(__xludf.DUMMYFUNCTION("""COMPUTED_VALUE"""),0.0)</f>
        <v>0</v>
      </c>
      <c r="H2753" s="6" t="str">
        <f>IFERROR(__xludf.DUMMYFUNCTION("""COMPUTED_VALUE"""),"Pcs")</f>
        <v>Pcs</v>
      </c>
      <c r="I2753" s="6" t="str">
        <f>IFERROR(__xludf.DUMMYFUNCTION("""COMPUTED_VALUE"""),"MFH")</f>
        <v>MFH</v>
      </c>
      <c r="J2753" s="6" t="str">
        <f>IFERROR(__xludf.DUMMYFUNCTION("""COMPUTED_VALUE"""),"Filling")</f>
        <v>Filling</v>
      </c>
      <c r="K2753" s="6" t="str">
        <f>IFERROR(__xludf.DUMMYFUNCTION("""COMPUTED_VALUE"""),"SPR/25/11/034")</f>
        <v>SPR/25/11/034</v>
      </c>
      <c r="L2753" s="13">
        <f>IFERROR(__xludf.DUMMYFUNCTION("""COMPUTED_VALUE"""),45989.0)</f>
        <v>45989</v>
      </c>
    </row>
    <row r="2754">
      <c r="A2754" s="6" t="str">
        <f>IFERROR(__xludf.DUMMYFUNCTION("""COMPUTED_VALUE"""),"RSP")</f>
        <v>RSP</v>
      </c>
      <c r="B2754" s="6" t="str">
        <f>IFERROR(__xludf.DUMMYFUNCTION("""COMPUTED_VALUE"""),"PRO")</f>
        <v>PRO</v>
      </c>
      <c r="C2754" s="6" t="str">
        <f>IFERROR(__xludf.DUMMYFUNCTION("""COMPUTED_VALUE"""),"O-14644-00")</f>
        <v>O-14644-00</v>
      </c>
      <c r="D2754" s="6" t="str">
        <f>IFERROR(__xludf.DUMMYFUNCTION("""COMPUTED_VALUE"""),"Silicone Gasket for Ferrule dia. 4""; ; ;")</f>
        <v>Silicone Gasket for Ferrule dia. 4"; ; ;</v>
      </c>
      <c r="E2754" s="6">
        <f>IFERROR(__xludf.DUMMYFUNCTION("""COMPUTED_VALUE"""),1.0)</f>
        <v>1</v>
      </c>
      <c r="F2754" s="6">
        <f>IFERROR(__xludf.DUMMYFUNCTION("""COMPUTED_VALUE"""),1.0)</f>
        <v>1</v>
      </c>
      <c r="G2754" s="6">
        <f>IFERROR(__xludf.DUMMYFUNCTION("""COMPUTED_VALUE"""),0.0)</f>
        <v>0</v>
      </c>
      <c r="H2754" s="6" t="str">
        <f>IFERROR(__xludf.DUMMYFUNCTION("""COMPUTED_VALUE"""),"Pcs")</f>
        <v>Pcs</v>
      </c>
      <c r="I2754" s="6" t="str">
        <f>IFERROR(__xludf.DUMMYFUNCTION("""COMPUTED_VALUE"""),"MFH")</f>
        <v>MFH</v>
      </c>
      <c r="J2754" s="6" t="str">
        <f>IFERROR(__xludf.DUMMYFUNCTION("""COMPUTED_VALUE"""),"Filling")</f>
        <v>Filling</v>
      </c>
      <c r="K2754" s="6" t="str">
        <f>IFERROR(__xludf.DUMMYFUNCTION("""COMPUTED_VALUE"""),"SPR/25/11/034")</f>
        <v>SPR/25/11/034</v>
      </c>
      <c r="L2754" s="13">
        <f>IFERROR(__xludf.DUMMYFUNCTION("""COMPUTED_VALUE"""),45989.0)</f>
        <v>45989</v>
      </c>
    </row>
    <row r="2755">
      <c r="A2755" s="6" t="str">
        <f>IFERROR(__xludf.DUMMYFUNCTION("""COMPUTED_VALUE"""),"RAI")</f>
        <v>RAI</v>
      </c>
      <c r="B2755" s="6" t="str">
        <f>IFERROR(__xludf.DUMMYFUNCTION("""COMPUTED_VALUE"""),"PRO")</f>
        <v>PRO</v>
      </c>
      <c r="C2755" s="6" t="str">
        <f>IFERROR(__xludf.DUMMYFUNCTION("""COMPUTED_VALUE"""),"O-18055-00")</f>
        <v>O-18055-00</v>
      </c>
      <c r="D2755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2755" s="6">
        <f>IFERROR(__xludf.DUMMYFUNCTION("""COMPUTED_VALUE"""),2.0)</f>
        <v>2</v>
      </c>
      <c r="F2755" s="6">
        <f>IFERROR(__xludf.DUMMYFUNCTION("""COMPUTED_VALUE"""),2.0)</f>
        <v>2</v>
      </c>
      <c r="G2755" s="6">
        <f>IFERROR(__xludf.DUMMYFUNCTION("""COMPUTED_VALUE"""),0.0)</f>
        <v>0</v>
      </c>
      <c r="H2755" s="6" t="str">
        <f>IFERROR(__xludf.DUMMYFUNCTION("""COMPUTED_VALUE"""),"Pcs")</f>
        <v>Pcs</v>
      </c>
      <c r="I2755" s="6" t="str">
        <f>IFERROR(__xludf.DUMMYFUNCTION("""COMPUTED_VALUE"""),"MFH")</f>
        <v>MFH</v>
      </c>
      <c r="J2755" s="6" t="str">
        <f>IFERROR(__xludf.DUMMYFUNCTION("""COMPUTED_VALUE"""),"Cartonning")</f>
        <v>Cartonning</v>
      </c>
      <c r="K2755" s="6" t="str">
        <f>IFERROR(__xludf.DUMMYFUNCTION("""COMPUTED_VALUE"""),"SPR/25/11/035")</f>
        <v>SPR/25/11/035</v>
      </c>
      <c r="L2755" s="13">
        <f>IFERROR(__xludf.DUMMYFUNCTION("""COMPUTED_VALUE"""),45989.0)</f>
        <v>45989</v>
      </c>
    </row>
    <row r="2756">
      <c r="A2756" s="6" t="str">
        <f>IFERROR(__xludf.DUMMYFUNCTION("""COMPUTED_VALUE"""),"RAI")</f>
        <v>RAI</v>
      </c>
      <c r="B2756" s="6" t="str">
        <f>IFERROR(__xludf.DUMMYFUNCTION("""COMPUTED_VALUE"""),"PRO")</f>
        <v>PRO</v>
      </c>
      <c r="C2756" s="6" t="str">
        <f>IFERROR(__xludf.DUMMYFUNCTION("""COMPUTED_VALUE"""),"P-50810-00")</f>
        <v>P-50810-00</v>
      </c>
      <c r="D2756" s="6" t="str">
        <f>IFERROR(__xludf.DUMMYFUNCTION("""COMPUTED_VALUE"""),"Buzzer type AD22-22MSD warna merah with lamp; FORT")</f>
        <v>Buzzer type AD22-22MSD warna merah with lamp; FORT</v>
      </c>
      <c r="E2756" s="6">
        <f>IFERROR(__xludf.DUMMYFUNCTION("""COMPUTED_VALUE"""),4.0)</f>
        <v>4</v>
      </c>
      <c r="F2756" s="6">
        <f>IFERROR(__xludf.DUMMYFUNCTION("""COMPUTED_VALUE"""),4.0)</f>
        <v>4</v>
      </c>
      <c r="G2756" s="6">
        <f>IFERROR(__xludf.DUMMYFUNCTION("""COMPUTED_VALUE"""),0.0)</f>
        <v>0</v>
      </c>
      <c r="H2756" s="6" t="str">
        <f>IFERROR(__xludf.DUMMYFUNCTION("""COMPUTED_VALUE"""),"Pcs")</f>
        <v>Pcs</v>
      </c>
      <c r="I2756" s="6" t="str">
        <f>IFERROR(__xludf.DUMMYFUNCTION("""COMPUTED_VALUE"""),"MFH")</f>
        <v>MFH</v>
      </c>
      <c r="J2756" s="6" t="str">
        <f>IFERROR(__xludf.DUMMYFUNCTION("""COMPUTED_VALUE"""),"-")</f>
        <v>-</v>
      </c>
      <c r="K2756" s="6" t="str">
        <f>IFERROR(__xludf.DUMMYFUNCTION("""COMPUTED_VALUE"""),"SPR/25/11/035")</f>
        <v>SPR/25/11/035</v>
      </c>
      <c r="L2756" s="13">
        <f>IFERROR(__xludf.DUMMYFUNCTION("""COMPUTED_VALUE"""),45989.0)</f>
        <v>45989</v>
      </c>
    </row>
    <row r="2757">
      <c r="A2757" s="6" t="str">
        <f>IFERROR(__xludf.DUMMYFUNCTION("""COMPUTED_VALUE"""),"RAI")</f>
        <v>RAI</v>
      </c>
      <c r="B2757" s="6" t="str">
        <f>IFERROR(__xludf.DUMMYFUNCTION("""COMPUTED_VALUE"""),"PRO")</f>
        <v>PRO</v>
      </c>
      <c r="C2757" s="6" t="str">
        <f>IFERROR(__xludf.DUMMYFUNCTION("""COMPUTED_VALUE"""),"P-19811-00")</f>
        <v>P-19811-00</v>
      </c>
      <c r="D2757" s="6" t="str">
        <f>IFERROR(__xludf.DUMMYFUNCTION("""COMPUTED_VALUE"""),"General - Clamp Ferrule Sanitary 3/4 Inch; No Brand; -; 1 pc")</f>
        <v>General - Clamp Ferrule Sanitary 3/4 Inch; No Brand; -; 1 pc</v>
      </c>
      <c r="E2757" s="6">
        <f>IFERROR(__xludf.DUMMYFUNCTION("""COMPUTED_VALUE"""),3.0)</f>
        <v>3</v>
      </c>
      <c r="F2757" s="6">
        <f>IFERROR(__xludf.DUMMYFUNCTION("""COMPUTED_VALUE"""),3.0)</f>
        <v>3</v>
      </c>
      <c r="G2757" s="6">
        <f>IFERROR(__xludf.DUMMYFUNCTION("""COMPUTED_VALUE"""),0.0)</f>
        <v>0</v>
      </c>
      <c r="H2757" s="6" t="str">
        <f>IFERROR(__xludf.DUMMYFUNCTION("""COMPUTED_VALUE"""),"Pcs")</f>
        <v>Pcs</v>
      </c>
      <c r="I2757" s="6" t="str">
        <f>IFERROR(__xludf.DUMMYFUNCTION("""COMPUTED_VALUE"""),"MFH")</f>
        <v>MFH</v>
      </c>
      <c r="J2757" s="6" t="str">
        <f>IFERROR(__xludf.DUMMYFUNCTION("""COMPUTED_VALUE"""),"-")</f>
        <v>-</v>
      </c>
      <c r="K2757" s="6" t="str">
        <f>IFERROR(__xludf.DUMMYFUNCTION("""COMPUTED_VALUE"""),"SPR/25/11/035")</f>
        <v>SPR/25/11/035</v>
      </c>
      <c r="L2757" s="13">
        <f>IFERROR(__xludf.DUMMYFUNCTION("""COMPUTED_VALUE"""),45989.0)</f>
        <v>45989</v>
      </c>
    </row>
    <row r="2758">
      <c r="A2758" s="6" t="str">
        <f>IFERROR(__xludf.DUMMYFUNCTION("""COMPUTED_VALUE"""),"ROS")</f>
        <v>ROS</v>
      </c>
      <c r="B2758" s="6" t="str">
        <f>IFERROR(__xludf.DUMMYFUNCTION("""COMPUTED_VALUE"""),"ENG")</f>
        <v>ENG</v>
      </c>
      <c r="C2758" s="6" t="str">
        <f>IFERROR(__xludf.DUMMYFUNCTION("""COMPUTED_VALUE"""),"O-20487-00")</f>
        <v>O-20487-00</v>
      </c>
      <c r="D2758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2758" s="6">
        <f>IFERROR(__xludf.DUMMYFUNCTION("""COMPUTED_VALUE"""),4.0)</f>
        <v>4</v>
      </c>
      <c r="F2758" s="6">
        <f>IFERROR(__xludf.DUMMYFUNCTION("""COMPUTED_VALUE"""),4.0)</f>
        <v>4</v>
      </c>
      <c r="G2758" s="6">
        <f>IFERROR(__xludf.DUMMYFUNCTION("""COMPUTED_VALUE"""),0.0)</f>
        <v>0</v>
      </c>
      <c r="H2758" s="6" t="str">
        <f>IFERROR(__xludf.DUMMYFUNCTION("""COMPUTED_VALUE"""),"Pcs")</f>
        <v>Pcs</v>
      </c>
      <c r="I2758" s="6" t="str">
        <f>IFERROR(__xludf.DUMMYFUNCTION("""COMPUTED_VALUE"""),"MFH")</f>
        <v>MFH</v>
      </c>
      <c r="J2758" s="6" t="str">
        <f>IFERROR(__xludf.DUMMYFUNCTION("""COMPUTED_VALUE"""),"BSC")</f>
        <v>BSC</v>
      </c>
      <c r="K2758" s="6" t="str">
        <f>IFERROR(__xludf.DUMMYFUNCTION("""COMPUTED_VALUE"""),"SPR/25/11/036")</f>
        <v>SPR/25/11/036</v>
      </c>
      <c r="L2758" s="13">
        <f>IFERROR(__xludf.DUMMYFUNCTION("""COMPUTED_VALUE"""),45989.0)</f>
        <v>45989</v>
      </c>
    </row>
    <row r="2759">
      <c r="A2759" s="6" t="str">
        <f>IFERROR(__xludf.DUMMYFUNCTION("""COMPUTED_VALUE"""),"ROS")</f>
        <v>ROS</v>
      </c>
      <c r="B2759" s="6" t="str">
        <f>IFERROR(__xludf.DUMMYFUNCTION("""COMPUTED_VALUE"""),"ENG")</f>
        <v>ENG</v>
      </c>
      <c r="C2759" s="6" t="str">
        <f>IFERROR(__xludf.DUMMYFUNCTION("""COMPUTED_VALUE"""),"O-16032-00")</f>
        <v>O-16032-00</v>
      </c>
      <c r="D2759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759" s="6">
        <f>IFERROR(__xludf.DUMMYFUNCTION("""COMPUTED_VALUE"""),1.0)</f>
        <v>1</v>
      </c>
      <c r="F2759" s="6">
        <f>IFERROR(__xludf.DUMMYFUNCTION("""COMPUTED_VALUE"""),1.0)</f>
        <v>1</v>
      </c>
      <c r="G2759" s="6">
        <f>IFERROR(__xludf.DUMMYFUNCTION("""COMPUTED_VALUE"""),0.0)</f>
        <v>0</v>
      </c>
      <c r="H2759" s="6" t="str">
        <f>IFERROR(__xludf.DUMMYFUNCTION("""COMPUTED_VALUE"""),"Pcs")</f>
        <v>Pcs</v>
      </c>
      <c r="I2759" s="6" t="str">
        <f>IFERROR(__xludf.DUMMYFUNCTION("""COMPUTED_VALUE"""),"MFH")</f>
        <v>MFH</v>
      </c>
      <c r="J2759" s="6" t="str">
        <f>IFERROR(__xludf.DUMMYFUNCTION("""COMPUTED_VALUE"""),"BSC")</f>
        <v>BSC</v>
      </c>
      <c r="K2759" s="6" t="str">
        <f>IFERROR(__xludf.DUMMYFUNCTION("""COMPUTED_VALUE"""),"SPR/25/11/036")</f>
        <v>SPR/25/11/036</v>
      </c>
      <c r="L2759" s="13">
        <f>IFERROR(__xludf.DUMMYFUNCTION("""COMPUTED_VALUE"""),45989.0)</f>
        <v>45989</v>
      </c>
    </row>
    <row r="2760">
      <c r="A2760" s="6" t="str">
        <f>IFERROR(__xludf.DUMMYFUNCTION("""COMPUTED_VALUE"""),"ANO")</f>
        <v>ANO</v>
      </c>
      <c r="B2760" s="6" t="str">
        <f>IFERROR(__xludf.DUMMYFUNCTION("""COMPUTED_VALUE"""),"ENG")</f>
        <v>ENG</v>
      </c>
      <c r="C2760" s="6" t="str">
        <f>IFERROR(__xludf.DUMMYFUNCTION("""COMPUTED_VALUE"""),"P-11182-00")</f>
        <v>P-11182-00</v>
      </c>
      <c r="D2760" s="6" t="str">
        <f>IFERROR(__xludf.DUMMYFUNCTION("""COMPUTED_VALUE"""),"Pneumatic Fitting - QS 6 / Festo")</f>
        <v>Pneumatic Fitting - QS 6 / Festo</v>
      </c>
      <c r="E2760" s="6">
        <f>IFERROR(__xludf.DUMMYFUNCTION("""COMPUTED_VALUE"""),1.0)</f>
        <v>1</v>
      </c>
      <c r="F2760" s="6">
        <f>IFERROR(__xludf.DUMMYFUNCTION("""COMPUTED_VALUE"""),1.0)</f>
        <v>1</v>
      </c>
      <c r="G2760" s="6">
        <f>IFERROR(__xludf.DUMMYFUNCTION("""COMPUTED_VALUE"""),0.0)</f>
        <v>0</v>
      </c>
      <c r="H2760" s="6" t="str">
        <f>IFERROR(__xludf.DUMMYFUNCTION("""COMPUTED_VALUE"""),"Pcs")</f>
        <v>Pcs</v>
      </c>
      <c r="I2760" s="6" t="str">
        <f>IFERROR(__xludf.DUMMYFUNCTION("""COMPUTED_VALUE"""),"MFH")</f>
        <v>MFH</v>
      </c>
      <c r="J2760" s="6" t="str">
        <f>IFERROR(__xludf.DUMMYFUNCTION("""COMPUTED_VALUE"""),"Autoclave")</f>
        <v>Autoclave</v>
      </c>
      <c r="K2760" s="6" t="str">
        <f>IFERROR(__xludf.DUMMYFUNCTION("""COMPUTED_VALUE"""),"SPR/25/11/037")</f>
        <v>SPR/25/11/037</v>
      </c>
      <c r="L2760" s="13">
        <f>IFERROR(__xludf.DUMMYFUNCTION("""COMPUTED_VALUE"""),45989.0)</f>
        <v>45989</v>
      </c>
    </row>
    <row r="2761">
      <c r="A2761" s="6" t="str">
        <f>IFERROR(__xludf.DUMMYFUNCTION("""COMPUTED_VALUE"""),"ANO")</f>
        <v>ANO</v>
      </c>
      <c r="B2761" s="6" t="str">
        <f>IFERROR(__xludf.DUMMYFUNCTION("""COMPUTED_VALUE"""),"ENG")</f>
        <v>ENG</v>
      </c>
      <c r="C2761" s="6" t="str">
        <f>IFERROR(__xludf.DUMMYFUNCTION("""COMPUTED_VALUE"""),"-")</f>
        <v>-</v>
      </c>
      <c r="D2761" s="6" t="str">
        <f>IFERROR(__xludf.DUMMYFUNCTION("""COMPUTED_VALUE"""),"Tubing 6")</f>
        <v>Tubing 6</v>
      </c>
      <c r="E2761" s="6">
        <f>IFERROR(__xludf.DUMMYFUNCTION("""COMPUTED_VALUE"""),1.0)</f>
        <v>1</v>
      </c>
      <c r="F2761" s="6">
        <f>IFERROR(__xludf.DUMMYFUNCTION("""COMPUTED_VALUE"""),1.0)</f>
        <v>1</v>
      </c>
      <c r="G2761" s="6">
        <f>IFERROR(__xludf.DUMMYFUNCTION("""COMPUTED_VALUE"""),0.0)</f>
        <v>0</v>
      </c>
      <c r="H2761" s="6" t="str">
        <f>IFERROR(__xludf.DUMMYFUNCTION("""COMPUTED_VALUE"""),"Meter ")</f>
        <v>Meter </v>
      </c>
      <c r="I2761" s="6" t="str">
        <f>IFERROR(__xludf.DUMMYFUNCTION("""COMPUTED_VALUE"""),"MFH")</f>
        <v>MFH</v>
      </c>
      <c r="J2761" s="6" t="str">
        <f>IFERROR(__xludf.DUMMYFUNCTION("""COMPUTED_VALUE"""),"Autoclave")</f>
        <v>Autoclave</v>
      </c>
      <c r="K2761" s="6" t="str">
        <f>IFERROR(__xludf.DUMMYFUNCTION("""COMPUTED_VALUE"""),"SPR/25/11/037")</f>
        <v>SPR/25/11/037</v>
      </c>
      <c r="L2761" s="13">
        <f>IFERROR(__xludf.DUMMYFUNCTION("""COMPUTED_VALUE"""),45989.0)</f>
        <v>45989</v>
      </c>
    </row>
    <row r="2762">
      <c r="A2762" s="6" t="str">
        <f>IFERROR(__xludf.DUMMYFUNCTION("""COMPUTED_VALUE"""),"ANO")</f>
        <v>ANO</v>
      </c>
      <c r="B2762" s="6" t="str">
        <f>IFERROR(__xludf.DUMMYFUNCTION("""COMPUTED_VALUE"""),"ENG")</f>
        <v>ENG</v>
      </c>
      <c r="C2762" s="6" t="str">
        <f>IFERROR(__xludf.DUMMYFUNCTION("""COMPUTED_VALUE"""),"O-19339-00")</f>
        <v>O-19339-00</v>
      </c>
      <c r="D2762" s="6" t="str">
        <f>IFERROR(__xludf.DUMMYFUNCTION("""COMPUTED_VALUE"""),"Oring 2,5x6x11 mm, Material EPDM; ; ;")</f>
        <v>Oring 2,5x6x11 mm, Material EPDM; ; ;</v>
      </c>
      <c r="E2762" s="6">
        <f>IFERROR(__xludf.DUMMYFUNCTION("""COMPUTED_VALUE"""),1.0)</f>
        <v>1</v>
      </c>
      <c r="F2762" s="6">
        <f>IFERROR(__xludf.DUMMYFUNCTION("""COMPUTED_VALUE"""),1.0)</f>
        <v>1</v>
      </c>
      <c r="G2762" s="6">
        <f>IFERROR(__xludf.DUMMYFUNCTION("""COMPUTED_VALUE"""),0.0)</f>
        <v>0</v>
      </c>
      <c r="H2762" s="6" t="str">
        <f>IFERROR(__xludf.DUMMYFUNCTION("""COMPUTED_VALUE"""),"Pcs")</f>
        <v>Pcs</v>
      </c>
      <c r="I2762" s="6" t="str">
        <f>IFERROR(__xludf.DUMMYFUNCTION("""COMPUTED_VALUE"""),"MFH")</f>
        <v>MFH</v>
      </c>
      <c r="J2762" s="6" t="str">
        <f>IFERROR(__xludf.DUMMYFUNCTION("""COMPUTED_VALUE"""),"Autoclave")</f>
        <v>Autoclave</v>
      </c>
      <c r="K2762" s="6" t="str">
        <f>IFERROR(__xludf.DUMMYFUNCTION("""COMPUTED_VALUE"""),"SPR/25/11/038")</f>
        <v>SPR/25/11/038</v>
      </c>
      <c r="L2762" s="13">
        <f>IFERROR(__xludf.DUMMYFUNCTION("""COMPUTED_VALUE"""),45989.0)</f>
        <v>45989</v>
      </c>
    </row>
    <row r="2763">
      <c r="A2763" s="6" t="str">
        <f>IFERROR(__xludf.DUMMYFUNCTION("""COMPUTED_VALUE"""),"ANO")</f>
        <v>ANO</v>
      </c>
      <c r="B2763" s="6" t="str">
        <f>IFERROR(__xludf.DUMMYFUNCTION("""COMPUTED_VALUE"""),"ENG")</f>
        <v>ENG</v>
      </c>
      <c r="C2763" s="6" t="str">
        <f>IFERROR(__xludf.DUMMYFUNCTION("""COMPUTED_VALUE"""),"O-20297-00")</f>
        <v>O-20297-00</v>
      </c>
      <c r="D2763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E2763" s="6">
        <f>IFERROR(__xludf.DUMMYFUNCTION("""COMPUTED_VALUE"""),1.0)</f>
        <v>1</v>
      </c>
      <c r="F2763" s="6">
        <f>IFERROR(__xludf.DUMMYFUNCTION("""COMPUTED_VALUE"""),1.0)</f>
        <v>1</v>
      </c>
      <c r="G2763" s="6">
        <f>IFERROR(__xludf.DUMMYFUNCTION("""COMPUTED_VALUE"""),0.0)</f>
        <v>0</v>
      </c>
      <c r="H2763" s="6" t="str">
        <f>IFERROR(__xludf.DUMMYFUNCTION("""COMPUTED_VALUE"""),"Pcs")</f>
        <v>Pcs</v>
      </c>
      <c r="I2763" s="6" t="str">
        <f>IFERROR(__xludf.DUMMYFUNCTION("""COMPUTED_VALUE"""),"MFH")</f>
        <v>MFH</v>
      </c>
      <c r="J2763" s="6" t="str">
        <f>IFERROR(__xludf.DUMMYFUNCTION("""COMPUTED_VALUE"""),"Autoclave")</f>
        <v>Autoclave</v>
      </c>
      <c r="K2763" s="6" t="str">
        <f>IFERROR(__xludf.DUMMYFUNCTION("""COMPUTED_VALUE"""),"SPR/25/11/038")</f>
        <v>SPR/25/11/038</v>
      </c>
      <c r="L2763" s="13">
        <f>IFERROR(__xludf.DUMMYFUNCTION("""COMPUTED_VALUE"""),45989.0)</f>
        <v>45989</v>
      </c>
    </row>
    <row r="2764">
      <c r="A2764" s="6" t="str">
        <f>IFERROR(__xludf.DUMMYFUNCTION("""COMPUTED_VALUE"""),"ANO")</f>
        <v>ANO</v>
      </c>
      <c r="B2764" s="6" t="str">
        <f>IFERROR(__xludf.DUMMYFUNCTION("""COMPUTED_VALUE"""),"ENG")</f>
        <v>ENG</v>
      </c>
      <c r="C2764" s="6" t="str">
        <f>IFERROR(__xludf.DUMMYFUNCTION("""COMPUTED_VALUE"""),"P-17272-00")</f>
        <v>P-17272-00</v>
      </c>
      <c r="D2764" s="6" t="str">
        <f>IFERROR(__xludf.DUMMYFUNCTION("""COMPUTED_VALUE"""),"O-ring Epdm 9 x 4 x 2,5 mm ; Brand : - ; P/N : - ; Pack Size : pcs")</f>
        <v>O-ring Epdm 9 x 4 x 2,5 mm ; Brand : - ; P/N : - ; Pack Size : pcs</v>
      </c>
      <c r="E2764" s="6">
        <f>IFERROR(__xludf.DUMMYFUNCTION("""COMPUTED_VALUE"""),1.0)</f>
        <v>1</v>
      </c>
      <c r="F2764" s="6">
        <f>IFERROR(__xludf.DUMMYFUNCTION("""COMPUTED_VALUE"""),1.0)</f>
        <v>1</v>
      </c>
      <c r="G2764" s="6">
        <f>IFERROR(__xludf.DUMMYFUNCTION("""COMPUTED_VALUE"""),0.0)</f>
        <v>0</v>
      </c>
      <c r="H2764" s="6" t="str">
        <f>IFERROR(__xludf.DUMMYFUNCTION("""COMPUTED_VALUE"""),"Pcs")</f>
        <v>Pcs</v>
      </c>
      <c r="I2764" s="6" t="str">
        <f>IFERROR(__xludf.DUMMYFUNCTION("""COMPUTED_VALUE"""),"MFH")</f>
        <v>MFH</v>
      </c>
      <c r="J2764" s="6" t="str">
        <f>IFERROR(__xludf.DUMMYFUNCTION("""COMPUTED_VALUE"""),"Autoclave")</f>
        <v>Autoclave</v>
      </c>
      <c r="K2764" s="6" t="str">
        <f>IFERROR(__xludf.DUMMYFUNCTION("""COMPUTED_VALUE"""),"SPR/25/11/038")</f>
        <v>SPR/25/11/038</v>
      </c>
      <c r="L2764" s="13">
        <f>IFERROR(__xludf.DUMMYFUNCTION("""COMPUTED_VALUE"""),45989.0)</f>
        <v>45989</v>
      </c>
    </row>
    <row r="2765">
      <c r="A2765" s="6" t="str">
        <f>IFERROR(__xludf.DUMMYFUNCTION("""COMPUTED_VALUE"""),"ANO")</f>
        <v>ANO</v>
      </c>
      <c r="B2765" s="6" t="str">
        <f>IFERROR(__xludf.DUMMYFUNCTION("""COMPUTED_VALUE"""),"ENG")</f>
        <v>ENG</v>
      </c>
      <c r="C2765" s="6" t="str">
        <f>IFERROR(__xludf.DUMMYFUNCTION("""COMPUTED_VALUE"""),"P-17273-00")</f>
        <v>P-17273-00</v>
      </c>
      <c r="D2765" s="6" t="str">
        <f>IFERROR(__xludf.DUMMYFUNCTION("""COMPUTED_VALUE"""),"O-ring Epdm 9 x 5 x 2 mm ; Brand : - ; P/N : - ; Pack Size : pcs")</f>
        <v>O-ring Epdm 9 x 5 x 2 mm ; Brand : - ; P/N : - ; Pack Size : pcs</v>
      </c>
      <c r="E2765" s="6">
        <f>IFERROR(__xludf.DUMMYFUNCTION("""COMPUTED_VALUE"""),1.0)</f>
        <v>1</v>
      </c>
      <c r="F2765" s="6">
        <f>IFERROR(__xludf.DUMMYFUNCTION("""COMPUTED_VALUE"""),1.0)</f>
        <v>1</v>
      </c>
      <c r="G2765" s="6">
        <f>IFERROR(__xludf.DUMMYFUNCTION("""COMPUTED_VALUE"""),0.0)</f>
        <v>0</v>
      </c>
      <c r="H2765" s="6" t="str">
        <f>IFERROR(__xludf.DUMMYFUNCTION("""COMPUTED_VALUE"""),"Pcs")</f>
        <v>Pcs</v>
      </c>
      <c r="I2765" s="6" t="str">
        <f>IFERROR(__xludf.DUMMYFUNCTION("""COMPUTED_VALUE"""),"MFH")</f>
        <v>MFH</v>
      </c>
      <c r="J2765" s="6" t="str">
        <f>IFERROR(__xludf.DUMMYFUNCTION("""COMPUTED_VALUE"""),"Autoclave")</f>
        <v>Autoclave</v>
      </c>
      <c r="K2765" s="6" t="str">
        <f>IFERROR(__xludf.DUMMYFUNCTION("""COMPUTED_VALUE"""),"SPR/25/11/038")</f>
        <v>SPR/25/11/038</v>
      </c>
      <c r="L2765" s="13">
        <f>IFERROR(__xludf.DUMMYFUNCTION("""COMPUTED_VALUE"""),45989.0)</f>
        <v>45989</v>
      </c>
    </row>
    <row r="2766">
      <c r="A2766" s="6" t="str">
        <f>IFERROR(__xludf.DUMMYFUNCTION("""COMPUTED_VALUE"""),"ANO")</f>
        <v>ANO</v>
      </c>
      <c r="B2766" s="6" t="str">
        <f>IFERROR(__xludf.DUMMYFUNCTION("""COMPUTED_VALUE"""),"ENG")</f>
        <v>ENG</v>
      </c>
      <c r="C2766" s="6" t="str">
        <f>IFERROR(__xludf.DUMMYFUNCTION("""COMPUTED_VALUE"""),"O-20294-00")</f>
        <v>O-20294-00</v>
      </c>
      <c r="D2766" s="6" t="str">
        <f>IFERROR(__xludf.DUMMYFUNCTION("""COMPUTED_VALUE"""),"Autoclave - Oring 70 x 59 x 5.5 mm Viton Custom/Lokal  -")</f>
        <v>Autoclave - Oring 70 x 59 x 5.5 mm Viton Custom/Lokal  -</v>
      </c>
      <c r="E2766" s="6">
        <f>IFERROR(__xludf.DUMMYFUNCTION("""COMPUTED_VALUE"""),1.0)</f>
        <v>1</v>
      </c>
      <c r="F2766" s="6">
        <f>IFERROR(__xludf.DUMMYFUNCTION("""COMPUTED_VALUE"""),1.0)</f>
        <v>1</v>
      </c>
      <c r="G2766" s="6">
        <f>IFERROR(__xludf.DUMMYFUNCTION("""COMPUTED_VALUE"""),0.0)</f>
        <v>0</v>
      </c>
      <c r="H2766" s="6" t="str">
        <f>IFERROR(__xludf.DUMMYFUNCTION("""COMPUTED_VALUE"""),"Pcs")</f>
        <v>Pcs</v>
      </c>
      <c r="I2766" s="6" t="str">
        <f>IFERROR(__xludf.DUMMYFUNCTION("""COMPUTED_VALUE"""),"MFH")</f>
        <v>MFH</v>
      </c>
      <c r="J2766" s="6" t="str">
        <f>IFERROR(__xludf.DUMMYFUNCTION("""COMPUTED_VALUE"""),"Autoclave")</f>
        <v>Autoclave</v>
      </c>
      <c r="K2766" s="6" t="str">
        <f>IFERROR(__xludf.DUMMYFUNCTION("""COMPUTED_VALUE"""),"SPR/25/11/038")</f>
        <v>SPR/25/11/038</v>
      </c>
      <c r="L2766" s="13">
        <f>IFERROR(__xludf.DUMMYFUNCTION("""COMPUTED_VALUE"""),45989.0)</f>
        <v>45989</v>
      </c>
    </row>
    <row r="2767">
      <c r="A2767" s="6" t="str">
        <f>IFERROR(__xludf.DUMMYFUNCTION("""COMPUTED_VALUE"""),"BDU")</f>
        <v>BDU</v>
      </c>
      <c r="B2767" s="6" t="str">
        <f>IFERROR(__xludf.DUMMYFUNCTION("""COMPUTED_VALUE"""),"ENG")</f>
        <v>ENG</v>
      </c>
      <c r="C2767" s="6" t="str">
        <f>IFERROR(__xludf.DUMMYFUNCTION("""COMPUTED_VALUE"""),"P-52110-00")</f>
        <v>P-52110-00</v>
      </c>
      <c r="D2767" s="6" t="str">
        <f>IFERROR(__xludf.DUMMYFUNCTION("""COMPUTED_VALUE"""),"CAPACITOR 5 uF, 500 V, 50/60 Hz; ; ;")</f>
        <v>CAPACITOR 5 uF, 500 V, 50/60 Hz; ; ;</v>
      </c>
      <c r="E2767" s="6">
        <f>IFERROR(__xludf.DUMMYFUNCTION("""COMPUTED_VALUE"""),1.0)</f>
        <v>1</v>
      </c>
      <c r="F2767" s="6">
        <f>IFERROR(__xludf.DUMMYFUNCTION("""COMPUTED_VALUE"""),1.0)</f>
        <v>1</v>
      </c>
      <c r="G2767" s="6">
        <f>IFERROR(__xludf.DUMMYFUNCTION("""COMPUTED_VALUE"""),0.0)</f>
        <v>0</v>
      </c>
      <c r="H2767" s="6" t="str">
        <f>IFERROR(__xludf.DUMMYFUNCTION("""COMPUTED_VALUE"""),"Pcs")</f>
        <v>Pcs</v>
      </c>
      <c r="I2767" s="6" t="str">
        <f>IFERROR(__xludf.DUMMYFUNCTION("""COMPUTED_VALUE"""),"MFH")</f>
        <v>MFH</v>
      </c>
      <c r="J2767" s="6" t="str">
        <f>IFERROR(__xludf.DUMMYFUNCTION("""COMPUTED_VALUE"""),"PSG")</f>
        <v>PSG</v>
      </c>
      <c r="K2767" s="6" t="str">
        <f>IFERROR(__xludf.DUMMYFUNCTION("""COMPUTED_VALUE"""),"SPR/25/11/039")</f>
        <v>SPR/25/11/039</v>
      </c>
      <c r="L2767" s="13">
        <f>IFERROR(__xludf.DUMMYFUNCTION("""COMPUTED_VALUE"""),45989.0)</f>
        <v>45989</v>
      </c>
    </row>
    <row r="2768">
      <c r="A2768" s="6" t="str">
        <f>IFERROR(__xludf.DUMMYFUNCTION("""COMPUTED_VALUE"""),"BDU")</f>
        <v>BDU</v>
      </c>
      <c r="B2768" s="6" t="str">
        <f>IFERROR(__xludf.DUMMYFUNCTION("""COMPUTED_VALUE"""),"ENG")</f>
        <v>ENG</v>
      </c>
      <c r="C2768" s="6" t="str">
        <f>IFERROR(__xludf.DUMMYFUNCTION("""COMPUTED_VALUE"""),"O-19389-00")</f>
        <v>O-19389-00</v>
      </c>
      <c r="D2768" s="6" t="str">
        <f>IFERROR(__xludf.DUMMYFUNCTION("""COMPUTED_VALUE"""),"HEPA filter minipleat, size: 610X305X93 H14; Hencolin; ;")</f>
        <v>HEPA filter minipleat, size: 610X305X93 H14; Hencolin; ;</v>
      </c>
      <c r="E2768" s="6">
        <f>IFERROR(__xludf.DUMMYFUNCTION("""COMPUTED_VALUE"""),1.0)</f>
        <v>1</v>
      </c>
      <c r="F2768" s="6">
        <f>IFERROR(__xludf.DUMMYFUNCTION("""COMPUTED_VALUE"""),1.0)</f>
        <v>1</v>
      </c>
      <c r="G2768" s="6">
        <f>IFERROR(__xludf.DUMMYFUNCTION("""COMPUTED_VALUE"""),0.0)</f>
        <v>0</v>
      </c>
      <c r="H2768" s="6" t="str">
        <f>IFERROR(__xludf.DUMMYFUNCTION("""COMPUTED_VALUE"""),"Pcs")</f>
        <v>Pcs</v>
      </c>
      <c r="I2768" s="6" t="str">
        <f>IFERROR(__xludf.DUMMYFUNCTION("""COMPUTED_VALUE"""),"MFH")</f>
        <v>MFH</v>
      </c>
      <c r="J2768" s="6" t="str">
        <f>IFERROR(__xludf.DUMMYFUNCTION("""COMPUTED_VALUE"""),"-")</f>
        <v>-</v>
      </c>
      <c r="K2768" s="6" t="str">
        <f>IFERROR(__xludf.DUMMYFUNCTION("""COMPUTED_VALUE"""),"SPR/25/11/039")</f>
        <v>SPR/25/11/039</v>
      </c>
      <c r="L2768" s="13">
        <f>IFERROR(__xludf.DUMMYFUNCTION("""COMPUTED_VALUE"""),45989.0)</f>
        <v>45989</v>
      </c>
    </row>
    <row r="2769">
      <c r="A2769" s="6" t="str">
        <f>IFERROR(__xludf.DUMMYFUNCTION("""COMPUTED_VALUE"""),"BDU")</f>
        <v>BDU</v>
      </c>
      <c r="B2769" s="6" t="str">
        <f>IFERROR(__xludf.DUMMYFUNCTION("""COMPUTED_VALUE"""),"ENG")</f>
        <v>ENG</v>
      </c>
      <c r="C2769" s="6" t="str">
        <f>IFERROR(__xludf.DUMMYFUNCTION("""COMPUTED_VALUE"""),"O-14642-00")</f>
        <v>O-14642-00</v>
      </c>
      <c r="D2769" s="6" t="str">
        <f>IFERROR(__xludf.DUMMYFUNCTION("""COMPUTED_VALUE"""),"Silicone Gasket for Ferrule dia. 2,5""; ; ;")</f>
        <v>Silicone Gasket for Ferrule dia. 2,5"; ; ;</v>
      </c>
      <c r="E2769" s="6">
        <f>IFERROR(__xludf.DUMMYFUNCTION("""COMPUTED_VALUE"""),28.0)</f>
        <v>28</v>
      </c>
      <c r="F2769" s="6">
        <f>IFERROR(__xludf.DUMMYFUNCTION("""COMPUTED_VALUE"""),28.0)</f>
        <v>28</v>
      </c>
      <c r="G2769" s="6">
        <f>IFERROR(__xludf.DUMMYFUNCTION("""COMPUTED_VALUE"""),0.0)</f>
        <v>0</v>
      </c>
      <c r="H2769" s="6" t="str">
        <f>IFERROR(__xludf.DUMMYFUNCTION("""COMPUTED_VALUE"""),"Pcs")</f>
        <v>Pcs</v>
      </c>
      <c r="I2769" s="6" t="str">
        <f>IFERROR(__xludf.DUMMYFUNCTION("""COMPUTED_VALUE"""),"MFH")</f>
        <v>MFH</v>
      </c>
      <c r="J2769" s="6" t="str">
        <f>IFERROR(__xludf.DUMMYFUNCTION("""COMPUTED_VALUE"""),"-")</f>
        <v>-</v>
      </c>
      <c r="K2769" s="6" t="str">
        <f>IFERROR(__xludf.DUMMYFUNCTION("""COMPUTED_VALUE"""),"SPR/25/11/039")</f>
        <v>SPR/25/11/039</v>
      </c>
      <c r="L2769" s="13">
        <f>IFERROR(__xludf.DUMMYFUNCTION("""COMPUTED_VALUE"""),45989.0)</f>
        <v>45989</v>
      </c>
    </row>
    <row r="2770">
      <c r="A2770" s="6" t="str">
        <f>IFERROR(__xludf.DUMMYFUNCTION("""COMPUTED_VALUE"""),"BDU")</f>
        <v>BDU</v>
      </c>
      <c r="B2770" s="6" t="str">
        <f>IFERROR(__xludf.DUMMYFUNCTION("""COMPUTED_VALUE"""),"ENG")</f>
        <v>ENG</v>
      </c>
      <c r="C2770" s="6" t="str">
        <f>IFERROR(__xludf.DUMMYFUNCTION("""COMPUTED_VALUE"""),"Q-60502-00")</f>
        <v>Q-60502-00</v>
      </c>
      <c r="D2770" s="6" t="str">
        <f>IFERROR(__xludf.DUMMYFUNCTION("""COMPUTED_VALUE"""),"Silicone Sealant, Silglaze, Type N10 White, pack size per pcs")</f>
        <v>Silicone Sealant, Silglaze, Type N10 White, pack size per pcs</v>
      </c>
      <c r="E2770" s="6">
        <f>IFERROR(__xludf.DUMMYFUNCTION("""COMPUTED_VALUE"""),1.0)</f>
        <v>1</v>
      </c>
      <c r="F2770" s="6">
        <f>IFERROR(__xludf.DUMMYFUNCTION("""COMPUTED_VALUE"""),1.0)</f>
        <v>1</v>
      </c>
      <c r="G2770" s="6">
        <f>IFERROR(__xludf.DUMMYFUNCTION("""COMPUTED_VALUE"""),0.0)</f>
        <v>0</v>
      </c>
      <c r="H2770" s="6" t="str">
        <f>IFERROR(__xludf.DUMMYFUNCTION("""COMPUTED_VALUE"""),"Pcs")</f>
        <v>Pcs</v>
      </c>
      <c r="I2770" s="6" t="str">
        <f>IFERROR(__xludf.DUMMYFUNCTION("""COMPUTED_VALUE"""),"MFH")</f>
        <v>MFH</v>
      </c>
      <c r="J2770" s="6" t="str">
        <f>IFERROR(__xludf.DUMMYFUNCTION("""COMPUTED_VALUE"""),"-")</f>
        <v>-</v>
      </c>
      <c r="K2770" s="6" t="str">
        <f>IFERROR(__xludf.DUMMYFUNCTION("""COMPUTED_VALUE"""),"SPR/25/11/040")</f>
        <v>SPR/25/11/040</v>
      </c>
      <c r="L2770" s="13">
        <f>IFERROR(__xludf.DUMMYFUNCTION("""COMPUTED_VALUE"""),45989.0)</f>
        <v>45989</v>
      </c>
    </row>
    <row r="2771">
      <c r="A2771" s="6" t="str">
        <f>IFERROR(__xludf.DUMMYFUNCTION("""COMPUTED_VALUE"""),"BDU")</f>
        <v>BDU</v>
      </c>
      <c r="B2771" s="6" t="str">
        <f>IFERROR(__xludf.DUMMYFUNCTION("""COMPUTED_VALUE"""),"ENG")</f>
        <v>ENG</v>
      </c>
      <c r="C2771" s="6" t="str">
        <f>IFERROR(__xludf.DUMMYFUNCTION("""COMPUTED_VALUE"""),"O-15931-00")</f>
        <v>O-15931-00</v>
      </c>
      <c r="D2771" s="6" t="str">
        <f>IFERROR(__xludf.DUMMYFUNCTION("""COMPUTED_VALUE"""),"Double Tape 3M 1"" Merah - P/N : -  pc")</f>
        <v>Double Tape 3M 1" Merah - P/N : -  pc</v>
      </c>
      <c r="E2771" s="6">
        <f>IFERROR(__xludf.DUMMYFUNCTION("""COMPUTED_VALUE"""),1.0)</f>
        <v>1</v>
      </c>
      <c r="F2771" s="6">
        <f>IFERROR(__xludf.DUMMYFUNCTION("""COMPUTED_VALUE"""),1.0)</f>
        <v>1</v>
      </c>
      <c r="G2771" s="6">
        <f>IFERROR(__xludf.DUMMYFUNCTION("""COMPUTED_VALUE"""),0.0)</f>
        <v>0</v>
      </c>
      <c r="H2771" s="6" t="str">
        <f>IFERROR(__xludf.DUMMYFUNCTION("""COMPUTED_VALUE"""),"Pcs")</f>
        <v>Pcs</v>
      </c>
      <c r="I2771" s="6" t="str">
        <f>IFERROR(__xludf.DUMMYFUNCTION("""COMPUTED_VALUE"""),"MFH")</f>
        <v>MFH</v>
      </c>
      <c r="J2771" s="6" t="str">
        <f>IFERROR(__xludf.DUMMYFUNCTION("""COMPUTED_VALUE"""),"-")</f>
        <v>-</v>
      </c>
      <c r="K2771" s="6" t="str">
        <f>IFERROR(__xludf.DUMMYFUNCTION("""COMPUTED_VALUE"""),"SPR/25/11/040")</f>
        <v>SPR/25/11/040</v>
      </c>
      <c r="L2771" s="13">
        <f>IFERROR(__xludf.DUMMYFUNCTION("""COMPUTED_VALUE"""),45989.0)</f>
        <v>45989</v>
      </c>
    </row>
    <row r="2772">
      <c r="A2772" s="6" t="str">
        <f>IFERROR(__xludf.DUMMYFUNCTION("""COMPUTED_VALUE"""),"BDU")</f>
        <v>BDU</v>
      </c>
      <c r="B2772" s="6" t="str">
        <f>IFERROR(__xludf.DUMMYFUNCTION("""COMPUTED_VALUE"""),"ENG")</f>
        <v>ENG</v>
      </c>
      <c r="C2772" s="6" t="str">
        <f>IFERROR(__xludf.DUMMYFUNCTION("""COMPUTED_VALUE"""),"O-50863-00")</f>
        <v>O-50863-00</v>
      </c>
      <c r="D2772" s="6" t="str">
        <f>IFERROR(__xludf.DUMMYFUNCTION("""COMPUTED_VALUE"""),"Relay/MY4N/220-240 VAC Omron; ; ;")</f>
        <v>Relay/MY4N/220-240 VAC Omron; ; ;</v>
      </c>
      <c r="E2772" s="6">
        <f>IFERROR(__xludf.DUMMYFUNCTION("""COMPUTED_VALUE"""),4.0)</f>
        <v>4</v>
      </c>
      <c r="F2772" s="6">
        <f>IFERROR(__xludf.DUMMYFUNCTION("""COMPUTED_VALUE"""),4.0)</f>
        <v>4</v>
      </c>
      <c r="G2772" s="6">
        <f>IFERROR(__xludf.DUMMYFUNCTION("""COMPUTED_VALUE"""),0.0)</f>
        <v>0</v>
      </c>
      <c r="H2772" s="6" t="str">
        <f>IFERROR(__xludf.DUMMYFUNCTION("""COMPUTED_VALUE"""),"Pcs")</f>
        <v>Pcs</v>
      </c>
      <c r="I2772" s="6" t="str">
        <f>IFERROR(__xludf.DUMMYFUNCTION("""COMPUTED_VALUE"""),"MFH")</f>
        <v>MFH</v>
      </c>
      <c r="J2772" s="6" t="str">
        <f>IFERROR(__xludf.DUMMYFUNCTION("""COMPUTED_VALUE"""),"-")</f>
        <v>-</v>
      </c>
      <c r="K2772" s="6" t="str">
        <f>IFERROR(__xludf.DUMMYFUNCTION("""COMPUTED_VALUE"""),"SPR/25/11/040")</f>
        <v>SPR/25/11/040</v>
      </c>
      <c r="L2772" s="13">
        <f>IFERROR(__xludf.DUMMYFUNCTION("""COMPUTED_VALUE"""),45989.0)</f>
        <v>45989</v>
      </c>
    </row>
    <row r="2773">
      <c r="A2773" s="6" t="str">
        <f>IFERROR(__xludf.DUMMYFUNCTION("""COMPUTED_VALUE"""),"KFF")</f>
        <v>KFF</v>
      </c>
      <c r="B2773" s="6" t="str">
        <f>IFERROR(__xludf.DUMMYFUNCTION("""COMPUTED_VALUE"""),"ENG")</f>
        <v>ENG</v>
      </c>
      <c r="C2773" s="6" t="str">
        <f>IFERROR(__xludf.DUMMYFUNCTION("""COMPUTED_VALUE"""),"P-18468-00")</f>
        <v>P-18468-00</v>
      </c>
      <c r="D2773" s="6" t="str">
        <f>IFERROR(__xludf.DUMMYFUNCTION("""COMPUTED_VALUE"""),"Pass Box Stickers ZC-A; ; ;")</f>
        <v>Pass Box Stickers ZC-A; ; ;</v>
      </c>
      <c r="E2773" s="6">
        <f>IFERROR(__xludf.DUMMYFUNCTION("""COMPUTED_VALUE"""),2.0)</f>
        <v>2</v>
      </c>
      <c r="F2773" s="6">
        <f>IFERROR(__xludf.DUMMYFUNCTION("""COMPUTED_VALUE"""),2.0)</f>
        <v>2</v>
      </c>
      <c r="G2773" s="6">
        <f>IFERROR(__xludf.DUMMYFUNCTION("""COMPUTED_VALUE"""),0.0)</f>
        <v>0</v>
      </c>
      <c r="H2773" s="6" t="str">
        <f>IFERROR(__xludf.DUMMYFUNCTION("""COMPUTED_VALUE"""),"Pcs")</f>
        <v>Pcs</v>
      </c>
      <c r="I2773" s="6" t="str">
        <f>IFERROR(__xludf.DUMMYFUNCTION("""COMPUTED_VALUE"""),"MFH")</f>
        <v>MFH</v>
      </c>
      <c r="J2773" s="6" t="str">
        <f>IFERROR(__xludf.DUMMYFUNCTION("""COMPUTED_VALUE"""),"-")</f>
        <v>-</v>
      </c>
      <c r="K2773" s="6" t="str">
        <f>IFERROR(__xludf.DUMMYFUNCTION("""COMPUTED_VALUE"""),"SPR/25/11/041")</f>
        <v>SPR/25/11/041</v>
      </c>
      <c r="L2773" s="13">
        <f>IFERROR(__xludf.DUMMYFUNCTION("""COMPUTED_VALUE"""),45989.0)</f>
        <v>45989</v>
      </c>
    </row>
    <row r="2774">
      <c r="A2774" s="6" t="str">
        <f>IFERROR(__xludf.DUMMYFUNCTION("""COMPUTED_VALUE"""),"KFF")</f>
        <v>KFF</v>
      </c>
      <c r="B2774" s="6" t="str">
        <f>IFERROR(__xludf.DUMMYFUNCTION("""COMPUTED_VALUE"""),"ENG")</f>
        <v>ENG</v>
      </c>
      <c r="C2774" s="6" t="str">
        <f>IFERROR(__xludf.DUMMYFUNCTION("""COMPUTED_VALUE"""),"Q-10433-00")</f>
        <v>Q-10433-00</v>
      </c>
      <c r="D2774" s="6" t="str">
        <f>IFERROR(__xludf.DUMMYFUNCTION("""COMPUTED_VALUE"""),"Lampu Neon Philips TLD 15W/54-765 Cool Daylight; PHILIPS; TLD15W/54-765;")</f>
        <v>Lampu Neon Philips TLD 15W/54-765 Cool Daylight; PHILIPS; TLD15W/54-765;</v>
      </c>
      <c r="E2774" s="6">
        <f>IFERROR(__xludf.DUMMYFUNCTION("""COMPUTED_VALUE"""),2.0)</f>
        <v>2</v>
      </c>
      <c r="F2774" s="6">
        <f>IFERROR(__xludf.DUMMYFUNCTION("""COMPUTED_VALUE"""),2.0)</f>
        <v>2</v>
      </c>
      <c r="G2774" s="6">
        <f>IFERROR(__xludf.DUMMYFUNCTION("""COMPUTED_VALUE"""),0.0)</f>
        <v>0</v>
      </c>
      <c r="H2774" s="6" t="str">
        <f>IFERROR(__xludf.DUMMYFUNCTION("""COMPUTED_VALUE"""),"Pcs")</f>
        <v>Pcs</v>
      </c>
      <c r="I2774" s="6" t="str">
        <f>IFERROR(__xludf.DUMMYFUNCTION("""COMPUTED_VALUE"""),"MFH")</f>
        <v>MFH</v>
      </c>
      <c r="J2774" s="6" t="str">
        <f>IFERROR(__xludf.DUMMYFUNCTION("""COMPUTED_VALUE"""),"-")</f>
        <v>-</v>
      </c>
      <c r="K2774" s="6" t="str">
        <f>IFERROR(__xludf.DUMMYFUNCTION("""COMPUTED_VALUE"""),"SPR/25/11/041")</f>
        <v>SPR/25/11/041</v>
      </c>
      <c r="L2774" s="13">
        <f>IFERROR(__xludf.DUMMYFUNCTION("""COMPUTED_VALUE"""),45989.0)</f>
        <v>45989</v>
      </c>
    </row>
    <row r="2775">
      <c r="A2775" s="6" t="str">
        <f>IFERROR(__xludf.DUMMYFUNCTION("""COMPUTED_VALUE"""),"BDU")</f>
        <v>BDU</v>
      </c>
      <c r="B2775" s="6" t="str">
        <f>IFERROR(__xludf.DUMMYFUNCTION("""COMPUTED_VALUE"""),"ENG")</f>
        <v>ENG</v>
      </c>
      <c r="C2775" s="6" t="str">
        <f>IFERROR(__xludf.DUMMYFUNCTION("""COMPUTED_VALUE"""),"P-12830-00")</f>
        <v>P-12830-00</v>
      </c>
      <c r="D2775" s="6" t="str">
        <f>IFERROR(__xludf.DUMMYFUNCTION("""COMPUTED_VALUE"""),"Sodium metabisulfit")</f>
        <v>Sodium metabisulfit</v>
      </c>
      <c r="E2775" s="6">
        <f>IFERROR(__xludf.DUMMYFUNCTION("""COMPUTED_VALUE"""),1.0)</f>
        <v>1</v>
      </c>
      <c r="F2775" s="6">
        <f>IFERROR(__xludf.DUMMYFUNCTION("""COMPUTED_VALUE"""),1.0)</f>
        <v>1</v>
      </c>
      <c r="G2775" s="6">
        <f>IFERROR(__xludf.DUMMYFUNCTION("""COMPUTED_VALUE"""),0.0)</f>
        <v>0</v>
      </c>
      <c r="H2775" s="6" t="str">
        <f>IFERROR(__xludf.DUMMYFUNCTION("""COMPUTED_VALUE"""),"pcs")</f>
        <v>pcs</v>
      </c>
      <c r="I2775" s="6" t="str">
        <f>IFERROR(__xludf.DUMMYFUNCTION("""COMPUTED_VALUE"""),"MFH")</f>
        <v>MFH</v>
      </c>
      <c r="J2775" s="6" t="str">
        <f>IFERROR(__xludf.DUMMYFUNCTION("""COMPUTED_VALUE"""),"WWTP")</f>
        <v>WWTP</v>
      </c>
      <c r="K2775" s="6" t="str">
        <f>IFERROR(__xludf.DUMMYFUNCTION("""COMPUTED_VALUE"""),"SPR/25/11/042")</f>
        <v>SPR/25/11/042</v>
      </c>
      <c r="L2775" s="13">
        <f>IFERROR(__xludf.DUMMYFUNCTION("""COMPUTED_VALUE"""),45989.0)</f>
        <v>45989</v>
      </c>
    </row>
    <row r="2776">
      <c r="A2776" s="6" t="str">
        <f>IFERROR(__xludf.DUMMYFUNCTION("""COMPUTED_VALUE"""),"BDU")</f>
        <v>BDU</v>
      </c>
      <c r="B2776" s="6" t="str">
        <f>IFERROR(__xludf.DUMMYFUNCTION("""COMPUTED_VALUE"""),"ENG")</f>
        <v>ENG</v>
      </c>
      <c r="C2776" s="6" t="str">
        <f>IFERROR(__xludf.DUMMYFUNCTION("""COMPUTED_VALUE"""),"P-52569-00")</f>
        <v>P-52569-00</v>
      </c>
      <c r="D2776" s="6" t="str">
        <f>IFERROR(__xludf.DUMMYFUNCTION("""COMPUTED_VALUE"""),"Limit Switch LX19-001  250 VAC; ; ;")</f>
        <v>Limit Switch LX19-001  250 VAC; ; ;</v>
      </c>
      <c r="E2776" s="6">
        <f>IFERROR(__xludf.DUMMYFUNCTION("""COMPUTED_VALUE"""),2.0)</f>
        <v>2</v>
      </c>
      <c r="F2776" s="6">
        <f>IFERROR(__xludf.DUMMYFUNCTION("""COMPUTED_VALUE"""),2.0)</f>
        <v>2</v>
      </c>
      <c r="G2776" s="6">
        <f>IFERROR(__xludf.DUMMYFUNCTION("""COMPUTED_VALUE"""),0.0)</f>
        <v>0</v>
      </c>
      <c r="H2776" s="6" t="str">
        <f>IFERROR(__xludf.DUMMYFUNCTION("""COMPUTED_VALUE"""),"pcs")</f>
        <v>pcs</v>
      </c>
      <c r="I2776" s="6" t="str">
        <f>IFERROR(__xludf.DUMMYFUNCTION("""COMPUTED_VALUE"""),"MFH")</f>
        <v>MFH</v>
      </c>
      <c r="J2776" s="6" t="str">
        <f>IFERROR(__xludf.DUMMYFUNCTION("""COMPUTED_VALUE"""),"-")</f>
        <v>-</v>
      </c>
      <c r="K2776" s="6" t="str">
        <f>IFERROR(__xludf.DUMMYFUNCTION("""COMPUTED_VALUE"""),"SPR/25/11/042")</f>
        <v>SPR/25/11/042</v>
      </c>
      <c r="L2776" s="13">
        <f>IFERROR(__xludf.DUMMYFUNCTION("""COMPUTED_VALUE"""),45989.0)</f>
        <v>45989</v>
      </c>
    </row>
    <row r="2777">
      <c r="A2777" s="6" t="str">
        <f>IFERROR(__xludf.DUMMYFUNCTION("""COMPUTED_VALUE"""),"BDU")</f>
        <v>BDU</v>
      </c>
      <c r="B2777" s="6" t="str">
        <f>IFERROR(__xludf.DUMMYFUNCTION("""COMPUTED_VALUE"""),"ENG")</f>
        <v>ENG</v>
      </c>
      <c r="C2777" s="6" t="str">
        <f>IFERROR(__xludf.DUMMYFUNCTION("""COMPUTED_VALUE"""),"O-53236-00")</f>
        <v>O-53236-00</v>
      </c>
      <c r="D2777" s="6" t="str">
        <f>IFERROR(__xludf.DUMMYFUNCTION("""COMPUTED_VALUE"""),"General - Advanced Control Unit 24VDC 1.25-5A; Schneider; LUCB05BL; 1 Pc")</f>
        <v>General - Advanced Control Unit 24VDC 1.25-5A; Schneider; LUCB05BL; 1 Pc</v>
      </c>
      <c r="E2777" s="6">
        <f>IFERROR(__xludf.DUMMYFUNCTION("""COMPUTED_VALUE"""),1.0)</f>
        <v>1</v>
      </c>
      <c r="F2777" s="6">
        <f>IFERROR(__xludf.DUMMYFUNCTION("""COMPUTED_VALUE"""),1.0)</f>
        <v>1</v>
      </c>
      <c r="G2777" s="6">
        <f>IFERROR(__xludf.DUMMYFUNCTION("""COMPUTED_VALUE"""),0.0)</f>
        <v>0</v>
      </c>
      <c r="H2777" s="6" t="str">
        <f>IFERROR(__xludf.DUMMYFUNCTION("""COMPUTED_VALUE"""),"pcs")</f>
        <v>pcs</v>
      </c>
      <c r="I2777" s="6" t="str">
        <f>IFERROR(__xludf.DUMMYFUNCTION("""COMPUTED_VALUE"""),"MFH")</f>
        <v>MFH</v>
      </c>
      <c r="J2777" s="6" t="str">
        <f>IFERROR(__xludf.DUMMYFUNCTION("""COMPUTED_VALUE"""),"-")</f>
        <v>-</v>
      </c>
      <c r="K2777" s="6" t="str">
        <f>IFERROR(__xludf.DUMMYFUNCTION("""COMPUTED_VALUE"""),"SPR/25/11/042")</f>
        <v>SPR/25/11/042</v>
      </c>
      <c r="L2777" s="13">
        <f>IFERROR(__xludf.DUMMYFUNCTION("""COMPUTED_VALUE"""),45989.0)</f>
        <v>45989</v>
      </c>
    </row>
    <row r="2778">
      <c r="A2778" s="6" t="str">
        <f>IFERROR(__xludf.DUMMYFUNCTION("""COMPUTED_VALUE"""),"NDS")</f>
        <v>NDS</v>
      </c>
      <c r="B2778" s="6" t="str">
        <f>IFERROR(__xludf.DUMMYFUNCTION("""COMPUTED_VALUE"""),"ENG")</f>
        <v>ENG</v>
      </c>
      <c r="C2778" s="6" t="str">
        <f>IFERROR(__xludf.DUMMYFUNCTION("""COMPUTED_VALUE"""),"O-16033-00")</f>
        <v>O-16033-00</v>
      </c>
      <c r="D277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778" s="6">
        <f>IFERROR(__xludf.DUMMYFUNCTION("""COMPUTED_VALUE"""),1.0)</f>
        <v>1</v>
      </c>
      <c r="F2778" s="6">
        <f>IFERROR(__xludf.DUMMYFUNCTION("""COMPUTED_VALUE"""),1.0)</f>
        <v>1</v>
      </c>
      <c r="G2778" s="6">
        <f>IFERROR(__xludf.DUMMYFUNCTION("""COMPUTED_VALUE"""),0.0)</f>
        <v>0</v>
      </c>
      <c r="H2778" s="6" t="str">
        <f>IFERROR(__xludf.DUMMYFUNCTION("""COMPUTED_VALUE"""),"Pcs")</f>
        <v>Pcs</v>
      </c>
      <c r="I2778" s="6" t="str">
        <f>IFERROR(__xludf.DUMMYFUNCTION("""COMPUTED_VALUE"""),"MFH")</f>
        <v>MFH</v>
      </c>
      <c r="J2778" s="6" t="str">
        <f>IFERROR(__xludf.DUMMYFUNCTION("""COMPUTED_VALUE"""),"cRABS")</f>
        <v>cRABS</v>
      </c>
      <c r="K2778" s="6" t="str">
        <f>IFERROR(__xludf.DUMMYFUNCTION("""COMPUTED_VALUE"""),"SPR/25/11/043")</f>
        <v>SPR/25/11/043</v>
      </c>
      <c r="L2778" s="13">
        <f>IFERROR(__xludf.DUMMYFUNCTION("""COMPUTED_VALUE"""),45989.0)</f>
        <v>45989</v>
      </c>
    </row>
    <row r="2779">
      <c r="A2779" s="6" t="str">
        <f>IFERROR(__xludf.DUMMYFUNCTION("""COMPUTED_VALUE"""),"NDS")</f>
        <v>NDS</v>
      </c>
      <c r="B2779" s="6" t="str">
        <f>IFERROR(__xludf.DUMMYFUNCTION("""COMPUTED_VALUE"""),"ENG")</f>
        <v>ENG</v>
      </c>
      <c r="C2779" s="6" t="str">
        <f>IFERROR(__xludf.DUMMYFUNCTION("""COMPUTED_VALUE"""),"P-11431-00")</f>
        <v>P-11431-00</v>
      </c>
      <c r="D2779" s="6" t="str">
        <f>IFERROR(__xludf.DUMMYFUNCTION("""COMPUTED_VALUE"""),"General - Plastic Tubing, PUN-H-8X1,25-BL; Festo; 197385; 1 m")</f>
        <v>General - Plastic Tubing, PUN-H-8X1,25-BL; Festo; 197385; 1 m</v>
      </c>
      <c r="E2779" s="6">
        <f>IFERROR(__xludf.DUMMYFUNCTION("""COMPUTED_VALUE"""),2.0)</f>
        <v>2</v>
      </c>
      <c r="F2779" s="6">
        <f>IFERROR(__xludf.DUMMYFUNCTION("""COMPUTED_VALUE"""),2.0)</f>
        <v>2</v>
      </c>
      <c r="G2779" s="6">
        <f>IFERROR(__xludf.DUMMYFUNCTION("""COMPUTED_VALUE"""),0.0)</f>
        <v>0</v>
      </c>
      <c r="H2779" s="6" t="str">
        <f>IFERROR(__xludf.DUMMYFUNCTION("""COMPUTED_VALUE"""),"Meter ")</f>
        <v>Meter </v>
      </c>
      <c r="I2779" s="6" t="str">
        <f>IFERROR(__xludf.DUMMYFUNCTION("""COMPUTED_VALUE"""),"MFH")</f>
        <v>MFH</v>
      </c>
      <c r="J2779" s="6" t="str">
        <f>IFERROR(__xludf.DUMMYFUNCTION("""COMPUTED_VALUE"""),"Autoclave")</f>
        <v>Autoclave</v>
      </c>
      <c r="K2779" s="6" t="str">
        <f>IFERROR(__xludf.DUMMYFUNCTION("""COMPUTED_VALUE"""),"SPR/25/11/044")</f>
        <v>SPR/25/11/044</v>
      </c>
      <c r="L2779" s="13">
        <f>IFERROR(__xludf.DUMMYFUNCTION("""COMPUTED_VALUE"""),45989.0)</f>
        <v>45989</v>
      </c>
    </row>
    <row r="2780">
      <c r="A2780" s="6" t="str">
        <f>IFERROR(__xludf.DUMMYFUNCTION("""COMPUTED_VALUE"""),"NDS")</f>
        <v>NDS</v>
      </c>
      <c r="B2780" s="6" t="str">
        <f>IFERROR(__xludf.DUMMYFUNCTION("""COMPUTED_VALUE"""),"ENG")</f>
        <v>ENG</v>
      </c>
      <c r="C2780" s="6" t="str">
        <f>IFERROR(__xludf.DUMMYFUNCTION("""COMPUTED_VALUE"""),"P-11228-00")</f>
        <v>P-11228-00</v>
      </c>
      <c r="D2780" s="6" t="str">
        <f>IFERROR(__xludf.DUMMYFUNCTION("""COMPUTED_VALUE"""),"General - Push-in T-connector, QST-8; Festo; 153130; 1 pcs")</f>
        <v>General - Push-in T-connector, QST-8; Festo; 153130; 1 pcs</v>
      </c>
      <c r="E2780" s="6">
        <f>IFERROR(__xludf.DUMMYFUNCTION("""COMPUTED_VALUE"""),1.0)</f>
        <v>1</v>
      </c>
      <c r="F2780" s="6">
        <f>IFERROR(__xludf.DUMMYFUNCTION("""COMPUTED_VALUE"""),1.0)</f>
        <v>1</v>
      </c>
      <c r="G2780" s="6">
        <f>IFERROR(__xludf.DUMMYFUNCTION("""COMPUTED_VALUE"""),0.0)</f>
        <v>0</v>
      </c>
      <c r="H2780" s="6" t="str">
        <f>IFERROR(__xludf.DUMMYFUNCTION("""COMPUTED_VALUE"""),"Pcs")</f>
        <v>Pcs</v>
      </c>
      <c r="I2780" s="6" t="str">
        <f>IFERROR(__xludf.DUMMYFUNCTION("""COMPUTED_VALUE"""),"MFH ")</f>
        <v>MFH </v>
      </c>
      <c r="J2780" s="6" t="str">
        <f>IFERROR(__xludf.DUMMYFUNCTION("""COMPUTED_VALUE"""),"Autoclave")</f>
        <v>Autoclave</v>
      </c>
      <c r="K2780" s="6" t="str">
        <f>IFERROR(__xludf.DUMMYFUNCTION("""COMPUTED_VALUE"""),"SPR/25/11/044")</f>
        <v>SPR/25/11/044</v>
      </c>
      <c r="L2780" s="13">
        <f>IFERROR(__xludf.DUMMYFUNCTION("""COMPUTED_VALUE"""),45989.0)</f>
        <v>45989</v>
      </c>
    </row>
    <row r="2781">
      <c r="A2781" s="6" t="str">
        <f>IFERROR(__xludf.DUMMYFUNCTION("""COMPUTED_VALUE"""),"NDS")</f>
        <v>NDS</v>
      </c>
      <c r="B2781" s="6" t="str">
        <f>IFERROR(__xludf.DUMMYFUNCTION("""COMPUTED_VALUE"""),"ENG")</f>
        <v>ENG</v>
      </c>
      <c r="C2781" s="6" t="str">
        <f>IFERROR(__xludf.DUMMYFUNCTION("""COMPUTED_VALUE"""),"O-13505-00")</f>
        <v>O-13505-00</v>
      </c>
      <c r="D2781" s="6" t="str">
        <f>IFERROR(__xludf.DUMMYFUNCTION("""COMPUTED_VALUE"""),"Pneumatic Fitting - QST 10, FESTO P/N : -  pc")</f>
        <v>Pneumatic Fitting - QST 10, FESTO P/N : -  pc</v>
      </c>
      <c r="E2781" s="6">
        <f>IFERROR(__xludf.DUMMYFUNCTION("""COMPUTED_VALUE"""),1.0)</f>
        <v>1</v>
      </c>
      <c r="F2781" s="6">
        <f>IFERROR(__xludf.DUMMYFUNCTION("""COMPUTED_VALUE"""),1.0)</f>
        <v>1</v>
      </c>
      <c r="G2781" s="6">
        <f>IFERROR(__xludf.DUMMYFUNCTION("""COMPUTED_VALUE"""),0.0)</f>
        <v>0</v>
      </c>
      <c r="H2781" s="6" t="str">
        <f>IFERROR(__xludf.DUMMYFUNCTION("""COMPUTED_VALUE"""),"Pcs")</f>
        <v>Pcs</v>
      </c>
      <c r="I2781" s="6" t="str">
        <f>IFERROR(__xludf.DUMMYFUNCTION("""COMPUTED_VALUE"""),"MFH ")</f>
        <v>MFH </v>
      </c>
      <c r="J2781" s="6" t="str">
        <f>IFERROR(__xludf.DUMMYFUNCTION("""COMPUTED_VALUE"""),"Autoclave")</f>
        <v>Autoclave</v>
      </c>
      <c r="K2781" s="6" t="str">
        <f>IFERROR(__xludf.DUMMYFUNCTION("""COMPUTED_VALUE"""),"SPR/25/11/044")</f>
        <v>SPR/25/11/044</v>
      </c>
      <c r="L2781" s="13">
        <f>IFERROR(__xludf.DUMMYFUNCTION("""COMPUTED_VALUE"""),45989.0)</f>
        <v>45989</v>
      </c>
    </row>
    <row r="2782">
      <c r="A2782" s="6" t="str">
        <f>IFERROR(__xludf.DUMMYFUNCTION("""COMPUTED_VALUE"""),"NDS")</f>
        <v>NDS</v>
      </c>
      <c r="B2782" s="6" t="str">
        <f>IFERROR(__xludf.DUMMYFUNCTION("""COMPUTED_VALUE"""),"ENG")</f>
        <v>ENG</v>
      </c>
      <c r="C2782" s="6" t="str">
        <f>IFERROR(__xludf.DUMMYFUNCTION("""COMPUTED_VALUE"""),"P-11185-00")</f>
        <v>P-11185-00</v>
      </c>
      <c r="D2782" s="6" t="str">
        <f>IFERROR(__xludf.DUMMYFUNCTION("""COMPUTED_VALUE"""),"General - Push-in Connector, QS-8-6; Festo; 153038; 1 pcs")</f>
        <v>General - Push-in Connector, QS-8-6; Festo; 153038; 1 pcs</v>
      </c>
      <c r="E2782" s="6">
        <f>IFERROR(__xludf.DUMMYFUNCTION("""COMPUTED_VALUE"""),1.0)</f>
        <v>1</v>
      </c>
      <c r="F2782" s="6">
        <f>IFERROR(__xludf.DUMMYFUNCTION("""COMPUTED_VALUE"""),1.0)</f>
        <v>1</v>
      </c>
      <c r="G2782" s="6">
        <f>IFERROR(__xludf.DUMMYFUNCTION("""COMPUTED_VALUE"""),0.0)</f>
        <v>0</v>
      </c>
      <c r="H2782" s="6" t="str">
        <f>IFERROR(__xludf.DUMMYFUNCTION("""COMPUTED_VALUE"""),"Pcs")</f>
        <v>Pcs</v>
      </c>
      <c r="I2782" s="6" t="str">
        <f>IFERROR(__xludf.DUMMYFUNCTION("""COMPUTED_VALUE"""),"MFH")</f>
        <v>MFH</v>
      </c>
      <c r="J2782" s="6" t="str">
        <f>IFERROR(__xludf.DUMMYFUNCTION("""COMPUTED_VALUE"""),"Autoclave")</f>
        <v>Autoclave</v>
      </c>
      <c r="K2782" s="6" t="str">
        <f>IFERROR(__xludf.DUMMYFUNCTION("""COMPUTED_VALUE"""),"SPR/25/11/045")</f>
        <v>SPR/25/11/045</v>
      </c>
      <c r="L2782" s="13">
        <f>IFERROR(__xludf.DUMMYFUNCTION("""COMPUTED_VALUE"""),45989.0)</f>
        <v>45989</v>
      </c>
    </row>
    <row r="2783">
      <c r="A2783" s="6" t="str">
        <f>IFERROR(__xludf.DUMMYFUNCTION("""COMPUTED_VALUE"""),"NDS")</f>
        <v>NDS</v>
      </c>
      <c r="B2783" s="6" t="str">
        <f>IFERROR(__xludf.DUMMYFUNCTION("""COMPUTED_VALUE"""),"ENG")</f>
        <v>ENG</v>
      </c>
      <c r="C2783" s="6" t="str">
        <f>IFERROR(__xludf.DUMMYFUNCTION("""COMPUTED_VALUE"""),"-")</f>
        <v>-</v>
      </c>
      <c r="D2783" s="6" t="str">
        <f>IFERROR(__xludf.DUMMYFUNCTION("""COMPUTED_VALUE"""),"Oring 2,5x6x11 mm, Material EPDM; ; ;")</f>
        <v>Oring 2,5x6x11 mm, Material EPDM; ; ;</v>
      </c>
      <c r="E2783" s="6">
        <f>IFERROR(__xludf.DUMMYFUNCTION("""COMPUTED_VALUE"""),1.0)</f>
        <v>1</v>
      </c>
      <c r="F2783" s="6">
        <f>IFERROR(__xludf.DUMMYFUNCTION("""COMPUTED_VALUE"""),1.0)</f>
        <v>1</v>
      </c>
      <c r="G2783" s="6">
        <f>IFERROR(__xludf.DUMMYFUNCTION("""COMPUTED_VALUE"""),0.0)</f>
        <v>0</v>
      </c>
      <c r="H2783" s="6" t="str">
        <f>IFERROR(__xludf.DUMMYFUNCTION("""COMPUTED_VALUE"""),"Pcs")</f>
        <v>Pcs</v>
      </c>
      <c r="I2783" s="6" t="str">
        <f>IFERROR(__xludf.DUMMYFUNCTION("""COMPUTED_VALUE"""),"MFH")</f>
        <v>MFH</v>
      </c>
      <c r="J2783" s="6" t="str">
        <f>IFERROR(__xludf.DUMMYFUNCTION("""COMPUTED_VALUE"""),"Autoclave")</f>
        <v>Autoclave</v>
      </c>
      <c r="K2783" s="6" t="str">
        <f>IFERROR(__xludf.DUMMYFUNCTION("""COMPUTED_VALUE"""),"SPR/25/11/045")</f>
        <v>SPR/25/11/045</v>
      </c>
      <c r="L2783" s="13">
        <f>IFERROR(__xludf.DUMMYFUNCTION("""COMPUTED_VALUE"""),45989.0)</f>
        <v>45989</v>
      </c>
    </row>
    <row r="2784">
      <c r="A2784" s="6" t="str">
        <f>IFERROR(__xludf.DUMMYFUNCTION("""COMPUTED_VALUE"""),"RIA")</f>
        <v>RIA</v>
      </c>
      <c r="B2784" s="6" t="str">
        <f>IFERROR(__xludf.DUMMYFUNCTION("""COMPUTED_VALUE"""),"ENG")</f>
        <v>ENG</v>
      </c>
      <c r="C2784" s="6" t="str">
        <f>IFERROR(__xludf.DUMMYFUNCTION("""COMPUTED_VALUE"""),"P-19955-00")</f>
        <v>P-19955-00</v>
      </c>
      <c r="D2784" s="6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E2784" s="6">
        <f>IFERROR(__xludf.DUMMYFUNCTION("""COMPUTED_VALUE"""),1.0)</f>
        <v>1</v>
      </c>
      <c r="F2784" s="6">
        <f>IFERROR(__xludf.DUMMYFUNCTION("""COMPUTED_VALUE"""),1.0)</f>
        <v>1</v>
      </c>
      <c r="G2784" s="6">
        <f>IFERROR(__xludf.DUMMYFUNCTION("""COMPUTED_VALUE"""),0.0)</f>
        <v>0</v>
      </c>
      <c r="H2784" s="6" t="str">
        <f>IFERROR(__xludf.DUMMYFUNCTION("""COMPUTED_VALUE"""),"Pcs")</f>
        <v>Pcs</v>
      </c>
      <c r="I2784" s="6" t="str">
        <f>IFERROR(__xludf.DUMMYFUNCTION("""COMPUTED_VALUE"""),"MFH")</f>
        <v>MFH</v>
      </c>
      <c r="J2784" s="6" t="str">
        <f>IFERROR(__xludf.DUMMYFUNCTION("""COMPUTED_VALUE"""),"PSG")</f>
        <v>PSG</v>
      </c>
      <c r="K2784" s="6" t="str">
        <f>IFERROR(__xludf.DUMMYFUNCTION("""COMPUTED_VALUE"""),"SPR/25/11/046")</f>
        <v>SPR/25/11/046</v>
      </c>
      <c r="L2784" s="13">
        <f>IFERROR(__xludf.DUMMYFUNCTION("""COMPUTED_VALUE"""),45989.0)</f>
        <v>45989</v>
      </c>
    </row>
    <row r="2785">
      <c r="A2785" s="6" t="str">
        <f>IFERROR(__xludf.DUMMYFUNCTION("""COMPUTED_VALUE"""),"RIA")</f>
        <v>RIA</v>
      </c>
      <c r="B2785" s="6" t="str">
        <f>IFERROR(__xludf.DUMMYFUNCTION("""COMPUTED_VALUE"""),"ENG")</f>
        <v>ENG</v>
      </c>
      <c r="C2785" s="6" t="str">
        <f>IFERROR(__xludf.DUMMYFUNCTION("""COMPUTED_VALUE"""),"P-12994-00")</f>
        <v>P-12994-00</v>
      </c>
      <c r="D2785" s="6" t="str">
        <f>IFERROR(__xludf.DUMMYFUNCTION("""COMPUTED_VALUE"""),"General - Adhesive Tape - ; Nippon; ASF-110FR; 1 pc")</f>
        <v>General - Adhesive Tape - ; Nippon; ASF-110FR; 1 pc</v>
      </c>
      <c r="E2785" s="6">
        <f>IFERROR(__xludf.DUMMYFUNCTION("""COMPUTED_VALUE"""),1.0)</f>
        <v>1</v>
      </c>
      <c r="F2785" s="6">
        <f>IFERROR(__xludf.DUMMYFUNCTION("""COMPUTED_VALUE"""),1.0)</f>
        <v>1</v>
      </c>
      <c r="G2785" s="6">
        <f>IFERROR(__xludf.DUMMYFUNCTION("""COMPUTED_VALUE"""),0.0)</f>
        <v>0</v>
      </c>
      <c r="H2785" s="6" t="str">
        <f>IFERROR(__xludf.DUMMYFUNCTION("""COMPUTED_VALUE"""),"Pcs")</f>
        <v>Pcs</v>
      </c>
      <c r="I2785" s="6" t="str">
        <f>IFERROR(__xludf.DUMMYFUNCTION("""COMPUTED_VALUE"""),"MFH")</f>
        <v>MFH</v>
      </c>
      <c r="J2785" s="6" t="str">
        <f>IFERROR(__xludf.DUMMYFUNCTION("""COMPUTED_VALUE"""),"-")</f>
        <v>-</v>
      </c>
      <c r="K2785" s="6" t="str">
        <f>IFERROR(__xludf.DUMMYFUNCTION("""COMPUTED_VALUE"""),"SPR/25/11/046")</f>
        <v>SPR/25/11/046</v>
      </c>
      <c r="L2785" s="13">
        <f>IFERROR(__xludf.DUMMYFUNCTION("""COMPUTED_VALUE"""),45989.0)</f>
        <v>45989</v>
      </c>
    </row>
    <row r="2786">
      <c r="A2786" s="6" t="str">
        <f>IFERROR(__xludf.DUMMYFUNCTION("""COMPUTED_VALUE"""),"RIA")</f>
        <v>RIA</v>
      </c>
      <c r="B2786" s="6" t="str">
        <f>IFERROR(__xludf.DUMMYFUNCTION("""COMPUTED_VALUE"""),"ENG")</f>
        <v>ENG</v>
      </c>
      <c r="C2786" s="6" t="str">
        <f>IFERROR(__xludf.DUMMYFUNCTION("""COMPUTED_VALUE"""),"O-54170-00")</f>
        <v>O-54170-00</v>
      </c>
      <c r="D2786" s="6" t="str">
        <f>IFERROR(__xludf.DUMMYFUNCTION("""COMPUTED_VALUE"""),"Electronic Expansion Valve ESX24B; Parker; ;")</f>
        <v>Electronic Expansion Valve ESX24B; Parker; ;</v>
      </c>
      <c r="E2786" s="6">
        <f>IFERROR(__xludf.DUMMYFUNCTION("""COMPUTED_VALUE"""),2.0)</f>
        <v>2</v>
      </c>
      <c r="F2786" s="6">
        <f>IFERROR(__xludf.DUMMYFUNCTION("""COMPUTED_VALUE"""),2.0)</f>
        <v>2</v>
      </c>
      <c r="G2786" s="6">
        <f>IFERROR(__xludf.DUMMYFUNCTION("""COMPUTED_VALUE"""),0.0)</f>
        <v>0</v>
      </c>
      <c r="H2786" s="6" t="str">
        <f>IFERROR(__xludf.DUMMYFUNCTION("""COMPUTED_VALUE"""),"Pcs")</f>
        <v>Pcs</v>
      </c>
      <c r="I2786" s="6" t="str">
        <f>IFERROR(__xludf.DUMMYFUNCTION("""COMPUTED_VALUE"""),"MFH")</f>
        <v>MFH</v>
      </c>
      <c r="J2786" s="6" t="str">
        <f>IFERROR(__xludf.DUMMYFUNCTION("""COMPUTED_VALUE"""),"-")</f>
        <v>-</v>
      </c>
      <c r="K2786" s="6" t="str">
        <f>IFERROR(__xludf.DUMMYFUNCTION("""COMPUTED_VALUE"""),"SPR/25/11/046")</f>
        <v>SPR/25/11/046</v>
      </c>
      <c r="L2786" s="13">
        <f>IFERROR(__xludf.DUMMYFUNCTION("""COMPUTED_VALUE"""),45989.0)</f>
        <v>45989</v>
      </c>
    </row>
    <row r="2787">
      <c r="A2787" s="6" t="str">
        <f>IFERROR(__xludf.DUMMYFUNCTION("""COMPUTED_VALUE"""),"PHL")</f>
        <v>PHL</v>
      </c>
      <c r="B2787" s="6" t="str">
        <f>IFERROR(__xludf.DUMMYFUNCTION("""COMPUTED_VALUE"""),"ENG")</f>
        <v>ENG</v>
      </c>
      <c r="C2787" s="6" t="str">
        <f>IFERROR(__xludf.DUMMYFUNCTION("""COMPUTED_VALUE"""),"P-17645-00")</f>
        <v>P-17645-00</v>
      </c>
      <c r="D2787" s="6" t="str">
        <f>IFERROR(__xludf.DUMMYFUNCTION("""COMPUTED_VALUE"""),"Sodium Hiphoclorite; ; ; ltr")</f>
        <v>Sodium Hiphoclorite; ; ; ltr</v>
      </c>
      <c r="E2787" s="6">
        <f>IFERROR(__xludf.DUMMYFUNCTION("""COMPUTED_VALUE"""),25.0)</f>
        <v>25</v>
      </c>
      <c r="F2787" s="6">
        <f>IFERROR(__xludf.DUMMYFUNCTION("""COMPUTED_VALUE"""),25.0)</f>
        <v>25</v>
      </c>
      <c r="G2787" s="6">
        <f>IFERROR(__xludf.DUMMYFUNCTION("""COMPUTED_VALUE"""),0.0)</f>
        <v>0</v>
      </c>
      <c r="H2787" s="6" t="str">
        <f>IFERROR(__xludf.DUMMYFUNCTION("""COMPUTED_VALUE"""),"Liter")</f>
        <v>Liter</v>
      </c>
      <c r="I2787" s="6" t="str">
        <f>IFERROR(__xludf.DUMMYFUNCTION("""COMPUTED_VALUE"""),"MFH")</f>
        <v>MFH</v>
      </c>
      <c r="J2787" s="6" t="str">
        <f>IFERROR(__xludf.DUMMYFUNCTION("""COMPUTED_VALUE"""),"Lab")</f>
        <v>Lab</v>
      </c>
      <c r="K2787" s="6" t="str">
        <f>IFERROR(__xludf.DUMMYFUNCTION("""COMPUTED_VALUE"""),"SPR/25/11/047")</f>
        <v>SPR/25/11/047</v>
      </c>
      <c r="L2787" s="13">
        <f>IFERROR(__xludf.DUMMYFUNCTION("""COMPUTED_VALUE"""),45989.0)</f>
        <v>45989</v>
      </c>
    </row>
    <row r="2788">
      <c r="A2788" s="6" t="str">
        <f>IFERROR(__xludf.DUMMYFUNCTION("""COMPUTED_VALUE"""),"PHL")</f>
        <v>PHL</v>
      </c>
      <c r="B2788" s="6" t="str">
        <f>IFERROR(__xludf.DUMMYFUNCTION("""COMPUTED_VALUE"""),"ENG")</f>
        <v>ENG</v>
      </c>
      <c r="C2788" s="6" t="str">
        <f>IFERROR(__xludf.DUMMYFUNCTION("""COMPUTED_VALUE"""),"P-14454-00")</f>
        <v>P-14454-00</v>
      </c>
      <c r="D2788" s="6" t="str">
        <f>IFERROR(__xludf.DUMMYFUNCTION("""COMPUTED_VALUE"""),"Filter IAF MB Series (Medium Filter), efficiency : 60-65 %, Size: 12 x 24 x 12 inch; IAF; ;")</f>
        <v>Filter IAF MB Series (Medium Filter), efficiency : 60-65 %, Size: 12 x 24 x 12 inch; IAF; ;</v>
      </c>
      <c r="E2788" s="6">
        <f>IFERROR(__xludf.DUMMYFUNCTION("""COMPUTED_VALUE"""),2.0)</f>
        <v>2</v>
      </c>
      <c r="F2788" s="6">
        <f>IFERROR(__xludf.DUMMYFUNCTION("""COMPUTED_VALUE"""),2.0)</f>
        <v>2</v>
      </c>
      <c r="G2788" s="6">
        <f>IFERROR(__xludf.DUMMYFUNCTION("""COMPUTED_VALUE"""),0.0)</f>
        <v>0</v>
      </c>
      <c r="H2788" s="6" t="str">
        <f>IFERROR(__xludf.DUMMYFUNCTION("""COMPUTED_VALUE"""),"Pcs")</f>
        <v>Pcs</v>
      </c>
      <c r="I2788" s="6" t="str">
        <f>IFERROR(__xludf.DUMMYFUNCTION("""COMPUTED_VALUE"""),"MFH")</f>
        <v>MFH</v>
      </c>
      <c r="J2788" s="6" t="str">
        <f>IFERROR(__xludf.DUMMYFUNCTION("""COMPUTED_VALUE"""),"-")</f>
        <v>-</v>
      </c>
      <c r="K2788" s="6" t="str">
        <f>IFERROR(__xludf.DUMMYFUNCTION("""COMPUTED_VALUE"""),"SPR/25/11/047")</f>
        <v>SPR/25/11/047</v>
      </c>
      <c r="L2788" s="13">
        <f>IFERROR(__xludf.DUMMYFUNCTION("""COMPUTED_VALUE"""),45989.0)</f>
        <v>45989</v>
      </c>
    </row>
    <row r="2789">
      <c r="A2789" s="6" t="str">
        <f>IFERROR(__xludf.DUMMYFUNCTION("""COMPUTED_VALUE"""),"PHL")</f>
        <v>PHL</v>
      </c>
      <c r="B2789" s="6" t="str">
        <f>IFERROR(__xludf.DUMMYFUNCTION("""COMPUTED_VALUE"""),"ENG")</f>
        <v>ENG</v>
      </c>
      <c r="C2789" s="6" t="str">
        <f>IFERROR(__xludf.DUMMYFUNCTION("""COMPUTED_VALUE"""),"O-52826-00")</f>
        <v>O-52826-00</v>
      </c>
      <c r="D2789" s="6" t="str">
        <f>IFERROR(__xludf.DUMMYFUNCTION("""COMPUTED_VALUE"""),"Freeze Dryer MBE1207 - SV55 252072 6213 S.S+FKM I/O: NPT1/4 Inch Orifice:10mm Kv=2m3/h  NC DC24V p/n; BURKERT; ;")</f>
        <v>Freeze Dryer MBE1207 - SV55 252072 6213 S.S+FKM I/O: NPT1/4 Inch Orifice:10mm Kv=2m3/h  NC DC24V p/n; BURKERT; ;</v>
      </c>
      <c r="E2789" s="6">
        <f>IFERROR(__xludf.DUMMYFUNCTION("""COMPUTED_VALUE"""),3.0)</f>
        <v>3</v>
      </c>
      <c r="F2789" s="6">
        <f>IFERROR(__xludf.DUMMYFUNCTION("""COMPUTED_VALUE"""),3.0)</f>
        <v>3</v>
      </c>
      <c r="G2789" s="6">
        <f>IFERROR(__xludf.DUMMYFUNCTION("""COMPUTED_VALUE"""),0.0)</f>
        <v>0</v>
      </c>
      <c r="H2789" s="6" t="str">
        <f>IFERROR(__xludf.DUMMYFUNCTION("""COMPUTED_VALUE"""),"Pcs")</f>
        <v>Pcs</v>
      </c>
      <c r="I2789" s="6" t="str">
        <f>IFERROR(__xludf.DUMMYFUNCTION("""COMPUTED_VALUE"""),"MFH")</f>
        <v>MFH</v>
      </c>
      <c r="J2789" s="6" t="str">
        <f>IFERROR(__xludf.DUMMYFUNCTION("""COMPUTED_VALUE"""),"-")</f>
        <v>-</v>
      </c>
      <c r="K2789" s="6" t="str">
        <f>IFERROR(__xludf.DUMMYFUNCTION("""COMPUTED_VALUE"""),"SPR/25/11/047")</f>
        <v>SPR/25/11/047</v>
      </c>
      <c r="L2789" s="13">
        <f>IFERROR(__xludf.DUMMYFUNCTION("""COMPUTED_VALUE"""),45989.0)</f>
        <v>45989</v>
      </c>
    </row>
    <row r="2790">
      <c r="A2790" s="6" t="str">
        <f>IFERROR(__xludf.DUMMYFUNCTION("""COMPUTED_VALUE"""),"BDU")</f>
        <v>BDU</v>
      </c>
      <c r="B2790" s="6" t="str">
        <f>IFERROR(__xludf.DUMMYFUNCTION("""COMPUTED_VALUE"""),"ENG")</f>
        <v>ENG</v>
      </c>
      <c r="C2790" s="6" t="str">
        <f>IFERROR(__xludf.DUMMYFUNCTION("""COMPUTED_VALUE"""),"-")</f>
        <v>-</v>
      </c>
      <c r="D2790" s="6" t="str">
        <f>IFERROR(__xludf.DUMMYFUNCTION("""COMPUTED_VALUE"""),"Kipas PSG")</f>
        <v>Kipas PSG</v>
      </c>
      <c r="E2790" s="6">
        <f>IFERROR(__xludf.DUMMYFUNCTION("""COMPUTED_VALUE"""),1.0)</f>
        <v>1</v>
      </c>
      <c r="F2790" s="6">
        <f>IFERROR(__xludf.DUMMYFUNCTION("""COMPUTED_VALUE"""),1.0)</f>
        <v>1</v>
      </c>
      <c r="G2790" s="6">
        <f>IFERROR(__xludf.DUMMYFUNCTION("""COMPUTED_VALUE"""),0.0)</f>
        <v>0</v>
      </c>
      <c r="H2790" s="6" t="str">
        <f>IFERROR(__xludf.DUMMYFUNCTION("""COMPUTED_VALUE"""),"Pcs")</f>
        <v>Pcs</v>
      </c>
      <c r="I2790" s="6" t="str">
        <f>IFERROR(__xludf.DUMMYFUNCTION("""COMPUTED_VALUE"""),"MFH")</f>
        <v>MFH</v>
      </c>
      <c r="J2790" s="6" t="str">
        <f>IFERROR(__xludf.DUMMYFUNCTION("""COMPUTED_VALUE"""),"PSG")</f>
        <v>PSG</v>
      </c>
      <c r="K2790" s="6" t="str">
        <f>IFERROR(__xludf.DUMMYFUNCTION("""COMPUTED_VALUE"""),"SPR/25/11/048")</f>
        <v>SPR/25/11/048</v>
      </c>
      <c r="L2790" s="13">
        <f>IFERROR(__xludf.DUMMYFUNCTION("""COMPUTED_VALUE"""),45989.0)</f>
        <v>45989</v>
      </c>
    </row>
    <row r="2791">
      <c r="A2791" s="6" t="str">
        <f>IFERROR(__xludf.DUMMYFUNCTION("""COMPUTED_VALUE"""),"BDU")</f>
        <v>BDU</v>
      </c>
      <c r="B2791" s="6" t="str">
        <f>IFERROR(__xludf.DUMMYFUNCTION("""COMPUTED_VALUE"""),"ENG")</f>
        <v>ENG</v>
      </c>
      <c r="C2791" s="6" t="str">
        <f>IFERROR(__xludf.DUMMYFUNCTION("""COMPUTED_VALUE"""),"P-19569-00")</f>
        <v>P-19569-00</v>
      </c>
      <c r="D2791" s="6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E2791" s="6">
        <f>IFERROR(__xludf.DUMMYFUNCTION("""COMPUTED_VALUE"""),1.0)</f>
        <v>1</v>
      </c>
      <c r="F2791" s="6">
        <f>IFERROR(__xludf.DUMMYFUNCTION("""COMPUTED_VALUE"""),1.0)</f>
        <v>1</v>
      </c>
      <c r="G2791" s="6">
        <f>IFERROR(__xludf.DUMMYFUNCTION("""COMPUTED_VALUE"""),0.0)</f>
        <v>0</v>
      </c>
      <c r="H2791" s="6" t="str">
        <f>IFERROR(__xludf.DUMMYFUNCTION("""COMPUTED_VALUE"""),"Pcs")</f>
        <v>Pcs</v>
      </c>
      <c r="I2791" s="6" t="str">
        <f>IFERROR(__xludf.DUMMYFUNCTION("""COMPUTED_VALUE"""),"MFH")</f>
        <v>MFH</v>
      </c>
      <c r="J2791" s="6" t="str">
        <f>IFERROR(__xludf.DUMMYFUNCTION("""COMPUTED_VALUE"""),"-")</f>
        <v>-</v>
      </c>
      <c r="K2791" s="6" t="str">
        <f>IFERROR(__xludf.DUMMYFUNCTION("""COMPUTED_VALUE"""),"SPR/25/11/048")</f>
        <v>SPR/25/11/048</v>
      </c>
      <c r="L2791" s="13">
        <f>IFERROR(__xludf.DUMMYFUNCTION("""COMPUTED_VALUE"""),45989.0)</f>
        <v>45989</v>
      </c>
    </row>
    <row r="2792">
      <c r="A2792" s="6" t="str">
        <f>IFERROR(__xludf.DUMMYFUNCTION("""COMPUTED_VALUE"""),"ANO")</f>
        <v>ANO</v>
      </c>
      <c r="B2792" s="6" t="str">
        <f>IFERROR(__xludf.DUMMYFUNCTION("""COMPUTED_VALUE"""),"ENG")</f>
        <v>ENG</v>
      </c>
      <c r="C2792" s="6" t="str">
        <f>IFERROR(__xludf.DUMMYFUNCTION("""COMPUTED_VALUE"""),"O-51920-00")</f>
        <v>O-51920-00</v>
      </c>
      <c r="D2792" s="6" t="str">
        <f>IFERROR(__xludf.DUMMYFUNCTION("""COMPUTED_VALUE"""),"Temperature sensor PT100, 4 wire, class AA, Duplex, c/w 10m silicon cable Radix RAC241-D-10-PN; ; ;")</f>
        <v>Temperature sensor PT100, 4 wire, class AA, Duplex, c/w 10m silicon cable Radix RAC241-D-10-PN; ; ;</v>
      </c>
      <c r="E2792" s="6">
        <f>IFERROR(__xludf.DUMMYFUNCTION("""COMPUTED_VALUE"""),1.0)</f>
        <v>1</v>
      </c>
      <c r="F2792" s="6">
        <f>IFERROR(__xludf.DUMMYFUNCTION("""COMPUTED_VALUE"""),1.0)</f>
        <v>1</v>
      </c>
      <c r="G2792" s="6">
        <f>IFERROR(__xludf.DUMMYFUNCTION("""COMPUTED_VALUE"""),0.0)</f>
        <v>0</v>
      </c>
      <c r="H2792" s="6" t="str">
        <f>IFERROR(__xludf.DUMMYFUNCTION("""COMPUTED_VALUE"""),"Pcs")</f>
        <v>Pcs</v>
      </c>
      <c r="I2792" s="6" t="str">
        <f>IFERROR(__xludf.DUMMYFUNCTION("""COMPUTED_VALUE"""),"MFH")</f>
        <v>MFH</v>
      </c>
      <c r="J2792" s="6" t="str">
        <f>IFERROR(__xludf.DUMMYFUNCTION("""COMPUTED_VALUE"""),"Autoclave")</f>
        <v>Autoclave</v>
      </c>
      <c r="K2792" s="6" t="str">
        <f>IFERROR(__xludf.DUMMYFUNCTION("""COMPUTED_VALUE"""),"SPR/25/11/049")</f>
        <v>SPR/25/11/049</v>
      </c>
      <c r="L2792" s="13">
        <f>IFERROR(__xludf.DUMMYFUNCTION("""COMPUTED_VALUE"""),45989.0)</f>
        <v>45989</v>
      </c>
    </row>
    <row r="2793">
      <c r="A2793" s="6" t="str">
        <f>IFERROR(__xludf.DUMMYFUNCTION("""COMPUTED_VALUE"""),"ANO")</f>
        <v>ANO</v>
      </c>
      <c r="B2793" s="6" t="str">
        <f>IFERROR(__xludf.DUMMYFUNCTION("""COMPUTED_VALUE"""),"ENG")</f>
        <v>ENG</v>
      </c>
      <c r="C2793" s="6" t="str">
        <f>IFERROR(__xludf.DUMMYFUNCTION("""COMPUTED_VALUE"""),"P-17272-00")</f>
        <v>P-17272-00</v>
      </c>
      <c r="D2793" s="6" t="str">
        <f>IFERROR(__xludf.DUMMYFUNCTION("""COMPUTED_VALUE"""),"General - O-ring EPDM 9 x 4 x 2,5 mm; No Brand; -; 1 pc")</f>
        <v>General - O-ring EPDM 9 x 4 x 2,5 mm; No Brand; -; 1 pc</v>
      </c>
      <c r="E2793" s="6">
        <f>IFERROR(__xludf.DUMMYFUNCTION("""COMPUTED_VALUE"""),1.0)</f>
        <v>1</v>
      </c>
      <c r="F2793" s="6">
        <f>IFERROR(__xludf.DUMMYFUNCTION("""COMPUTED_VALUE"""),1.0)</f>
        <v>1</v>
      </c>
      <c r="G2793" s="6">
        <f>IFERROR(__xludf.DUMMYFUNCTION("""COMPUTED_VALUE"""),0.0)</f>
        <v>0</v>
      </c>
      <c r="H2793" s="6" t="str">
        <f>IFERROR(__xludf.DUMMYFUNCTION("""COMPUTED_VALUE"""),"Pcs")</f>
        <v>Pcs</v>
      </c>
      <c r="I2793" s="6" t="str">
        <f>IFERROR(__xludf.DUMMYFUNCTION("""COMPUTED_VALUE"""),"MFH")</f>
        <v>MFH</v>
      </c>
      <c r="J2793" s="6" t="str">
        <f>IFERROR(__xludf.DUMMYFUNCTION("""COMPUTED_VALUE"""),"Autoclave")</f>
        <v>Autoclave</v>
      </c>
      <c r="K2793" s="6" t="str">
        <f>IFERROR(__xludf.DUMMYFUNCTION("""COMPUTED_VALUE"""),"SPR/25/11/049")</f>
        <v>SPR/25/11/049</v>
      </c>
      <c r="L2793" s="13">
        <f>IFERROR(__xludf.DUMMYFUNCTION("""COMPUTED_VALUE"""),45989.0)</f>
        <v>45989</v>
      </c>
    </row>
    <row r="2794">
      <c r="A2794" s="6" t="str">
        <f>IFERROR(__xludf.DUMMYFUNCTION("""COMPUTED_VALUE"""),"AAA")</f>
        <v>AAA</v>
      </c>
      <c r="B2794" s="6" t="str">
        <f>IFERROR(__xludf.DUMMYFUNCTION("""COMPUTED_VALUE"""),"ENG")</f>
        <v>ENG</v>
      </c>
      <c r="C2794" s="6" t="str">
        <f>IFERROR(__xludf.DUMMYFUNCTION("""COMPUTED_VALUE"""),"O-51698-00")</f>
        <v>O-51698-00</v>
      </c>
      <c r="D2794" s="6" t="str">
        <f>IFERROR(__xludf.DUMMYFUNCTION("""COMPUTED_VALUE"""),"OMRON - Relay MY4Z 24VDC; ; ;")</f>
        <v>OMRON - Relay MY4Z 24VDC; ; ;</v>
      </c>
      <c r="E2794" s="6">
        <f>IFERROR(__xludf.DUMMYFUNCTION("""COMPUTED_VALUE"""),2.0)</f>
        <v>2</v>
      </c>
      <c r="F2794" s="6">
        <f>IFERROR(__xludf.DUMMYFUNCTION("""COMPUTED_VALUE"""),2.0)</f>
        <v>2</v>
      </c>
      <c r="G2794" s="6">
        <f>IFERROR(__xludf.DUMMYFUNCTION("""COMPUTED_VALUE"""),0.0)</f>
        <v>0</v>
      </c>
      <c r="H2794" s="6" t="str">
        <f>IFERROR(__xludf.DUMMYFUNCTION("""COMPUTED_VALUE"""),"Pcs")</f>
        <v>Pcs</v>
      </c>
      <c r="I2794" s="6" t="str">
        <f>IFERROR(__xludf.DUMMYFUNCTION("""COMPUTED_VALUE"""),"MFH")</f>
        <v>MFH</v>
      </c>
      <c r="J2794" s="6" t="str">
        <f>IFERROR(__xludf.DUMMYFUNCTION("""COMPUTED_VALUE"""),"Mixing ")</f>
        <v>Mixing </v>
      </c>
      <c r="K2794" s="6" t="str">
        <f>IFERROR(__xludf.DUMMYFUNCTION("""COMPUTED_VALUE"""),"SPR/25/11/050")</f>
        <v>SPR/25/11/050</v>
      </c>
      <c r="L2794" s="13">
        <f>IFERROR(__xludf.DUMMYFUNCTION("""COMPUTED_VALUE"""),45989.0)</f>
        <v>45989</v>
      </c>
    </row>
    <row r="2795">
      <c r="A2795" s="6" t="str">
        <f>IFERROR(__xludf.DUMMYFUNCTION("""COMPUTED_VALUE"""),"AAA")</f>
        <v>AAA</v>
      </c>
      <c r="B2795" s="6" t="str">
        <f>IFERROR(__xludf.DUMMYFUNCTION("""COMPUTED_VALUE"""),"ENG")</f>
        <v>ENG</v>
      </c>
      <c r="C2795" s="6" t="str">
        <f>IFERROR(__xludf.DUMMYFUNCTION("""COMPUTED_VALUE"""),"T-20123-00")</f>
        <v>T-20123-00</v>
      </c>
      <c r="D2795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2795" s="6">
        <f>IFERROR(__xludf.DUMMYFUNCTION("""COMPUTED_VALUE"""),1.0)</f>
        <v>1</v>
      </c>
      <c r="F2795" s="6">
        <f>IFERROR(__xludf.DUMMYFUNCTION("""COMPUTED_VALUE"""),1.0)</f>
        <v>1</v>
      </c>
      <c r="G2795" s="6">
        <f>IFERROR(__xludf.DUMMYFUNCTION("""COMPUTED_VALUE"""),0.0)</f>
        <v>0</v>
      </c>
      <c r="H2795" s="6" t="str">
        <f>IFERROR(__xludf.DUMMYFUNCTION("""COMPUTED_VALUE"""),"Pcs")</f>
        <v>Pcs</v>
      </c>
      <c r="I2795" s="6" t="str">
        <f>IFERROR(__xludf.DUMMYFUNCTION("""COMPUTED_VALUE"""),"MFH")</f>
        <v>MFH</v>
      </c>
      <c r="J2795" s="6" t="str">
        <f>IFERROR(__xludf.DUMMYFUNCTION("""COMPUTED_VALUE"""),"HPLC")</f>
        <v>HPLC</v>
      </c>
      <c r="K2795" s="6" t="str">
        <f>IFERROR(__xludf.DUMMYFUNCTION("""COMPUTED_VALUE"""),"SPR/25/11/051")</f>
        <v>SPR/25/11/051</v>
      </c>
      <c r="L2795" s="13">
        <f>IFERROR(__xludf.DUMMYFUNCTION("""COMPUTED_VALUE"""),45989.0)</f>
        <v>45989</v>
      </c>
    </row>
    <row r="2796">
      <c r="A2796" s="6" t="str">
        <f>IFERROR(__xludf.DUMMYFUNCTION("""COMPUTED_VALUE"""),"ROS")</f>
        <v>ROS</v>
      </c>
      <c r="B2796" s="6" t="str">
        <f>IFERROR(__xludf.DUMMYFUNCTION("""COMPUTED_VALUE"""),"ENG")</f>
        <v>ENG</v>
      </c>
      <c r="C2796" s="6" t="str">
        <f>IFERROR(__xludf.DUMMYFUNCTION("""COMPUTED_VALUE"""),"O-16647-00")</f>
        <v>O-16647-00</v>
      </c>
      <c r="D2796" s="6" t="str">
        <f>IFERROR(__xludf.DUMMYFUNCTION("""COMPUTED_VALUE"""),"Washing RAR4 - Oring Silicone Merah 23x18x2.5 mm; ; ;")</f>
        <v>Washing RAR4 - Oring Silicone Merah 23x18x2.5 mm; ; ;</v>
      </c>
      <c r="E2796" s="6">
        <f>IFERROR(__xludf.DUMMYFUNCTION("""COMPUTED_VALUE"""),10.0)</f>
        <v>10</v>
      </c>
      <c r="F2796" s="6">
        <f>IFERROR(__xludf.DUMMYFUNCTION("""COMPUTED_VALUE"""),10.0)</f>
        <v>10</v>
      </c>
      <c r="G2796" s="6">
        <f>IFERROR(__xludf.DUMMYFUNCTION("""COMPUTED_VALUE"""),0.0)</f>
        <v>0</v>
      </c>
      <c r="H2796" s="6" t="str">
        <f>IFERROR(__xludf.DUMMYFUNCTION("""COMPUTED_VALUE"""),"Pcs")</f>
        <v>Pcs</v>
      </c>
      <c r="I2796" s="6" t="str">
        <f>IFERROR(__xludf.DUMMYFUNCTION("""COMPUTED_VALUE"""),"MFH")</f>
        <v>MFH</v>
      </c>
      <c r="J2796" s="6" t="str">
        <f>IFERROR(__xludf.DUMMYFUNCTION("""COMPUTED_VALUE"""),"Capping")</f>
        <v>Capping</v>
      </c>
      <c r="K2796" s="6" t="str">
        <f>IFERROR(__xludf.DUMMYFUNCTION("""COMPUTED_VALUE"""),"SPR/25/11/052")</f>
        <v>SPR/25/11/052</v>
      </c>
      <c r="L2796" s="13">
        <f>IFERROR(__xludf.DUMMYFUNCTION("""COMPUTED_VALUE"""),45989.0)</f>
        <v>45989</v>
      </c>
    </row>
    <row r="2797">
      <c r="A2797" s="6" t="str">
        <f>IFERROR(__xludf.DUMMYFUNCTION("""COMPUTED_VALUE"""),"ROS")</f>
        <v>ROS</v>
      </c>
      <c r="B2797" s="6" t="str">
        <f>IFERROR(__xludf.DUMMYFUNCTION("""COMPUTED_VALUE"""),"ENG")</f>
        <v>ENG</v>
      </c>
      <c r="C2797" s="6" t="str">
        <f>IFERROR(__xludf.DUMMYFUNCTION("""COMPUTED_VALUE"""),"P-54348-00")</f>
        <v>P-54348-00</v>
      </c>
      <c r="D2797" s="6" t="str">
        <f>IFERROR(__xludf.DUMMYFUNCTION("""COMPUTED_VALUE"""),"General - Exhaust Fan 4414M; EBMPast; -; 1 pc")</f>
        <v>General - Exhaust Fan 4414M; EBMPast; -; 1 pc</v>
      </c>
      <c r="E2797" s="6">
        <f>IFERROR(__xludf.DUMMYFUNCTION("""COMPUTED_VALUE"""),1.0)</f>
        <v>1</v>
      </c>
      <c r="F2797" s="6">
        <f>IFERROR(__xludf.DUMMYFUNCTION("""COMPUTED_VALUE"""),1.0)</f>
        <v>1</v>
      </c>
      <c r="G2797" s="6">
        <f>IFERROR(__xludf.DUMMYFUNCTION("""COMPUTED_VALUE"""),0.0)</f>
        <v>0</v>
      </c>
      <c r="H2797" s="6" t="str">
        <f>IFERROR(__xludf.DUMMYFUNCTION("""COMPUTED_VALUE"""),"Pcs")</f>
        <v>Pcs</v>
      </c>
      <c r="I2797" s="6" t="str">
        <f>IFERROR(__xludf.DUMMYFUNCTION("""COMPUTED_VALUE"""),"MFH")</f>
        <v>MFH</v>
      </c>
      <c r="J2797" s="6" t="str">
        <f>IFERROR(__xludf.DUMMYFUNCTION("""COMPUTED_VALUE"""),"EDM")</f>
        <v>EDM</v>
      </c>
      <c r="K2797" s="6" t="str">
        <f>IFERROR(__xludf.DUMMYFUNCTION("""COMPUTED_VALUE"""),"SPR/25/11/052")</f>
        <v>SPR/25/11/052</v>
      </c>
      <c r="L2797" s="13">
        <f>IFERROR(__xludf.DUMMYFUNCTION("""COMPUTED_VALUE"""),45989.0)</f>
        <v>45989</v>
      </c>
    </row>
    <row r="2798">
      <c r="A2798" s="6" t="str">
        <f>IFERROR(__xludf.DUMMYFUNCTION("""COMPUTED_VALUE"""),"ANO")</f>
        <v>ANO</v>
      </c>
      <c r="B2798" s="6" t="str">
        <f>IFERROR(__xludf.DUMMYFUNCTION("""COMPUTED_VALUE"""),"ENG")</f>
        <v>ENG</v>
      </c>
      <c r="C2798" s="6" t="str">
        <f>IFERROR(__xludf.DUMMYFUNCTION("""COMPUTED_VALUE"""),"O-16033-00")</f>
        <v>O-16033-00</v>
      </c>
      <c r="D279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798" s="6">
        <f>IFERROR(__xludf.DUMMYFUNCTION("""COMPUTED_VALUE"""),1.0)</f>
        <v>1</v>
      </c>
      <c r="F2798" s="6">
        <f>IFERROR(__xludf.DUMMYFUNCTION("""COMPUTED_VALUE"""),1.0)</f>
        <v>1</v>
      </c>
      <c r="G2798" s="6">
        <f>IFERROR(__xludf.DUMMYFUNCTION("""COMPUTED_VALUE"""),0.0)</f>
        <v>0</v>
      </c>
      <c r="H2798" s="6" t="str">
        <f>IFERROR(__xludf.DUMMYFUNCTION("""COMPUTED_VALUE"""),"Pcs")</f>
        <v>Pcs</v>
      </c>
      <c r="I2798" s="6" t="str">
        <f>IFERROR(__xludf.DUMMYFUNCTION("""COMPUTED_VALUE"""),"MFH")</f>
        <v>MFH</v>
      </c>
      <c r="J2798" s="6" t="str">
        <f>IFERROR(__xludf.DUMMYFUNCTION("""COMPUTED_VALUE"""),"cRABS")</f>
        <v>cRABS</v>
      </c>
      <c r="K2798" s="6" t="str">
        <f>IFERROR(__xludf.DUMMYFUNCTION("""COMPUTED_VALUE"""),"SPR/25/11/053")</f>
        <v>SPR/25/11/053</v>
      </c>
      <c r="L2798" s="13">
        <f>IFERROR(__xludf.DUMMYFUNCTION("""COMPUTED_VALUE"""),45989.0)</f>
        <v>45989</v>
      </c>
    </row>
    <row r="2799">
      <c r="A2799" s="6" t="str">
        <f>IFERROR(__xludf.DUMMYFUNCTION("""COMPUTED_VALUE"""),"ANO")</f>
        <v>ANO</v>
      </c>
      <c r="B2799" s="6" t="str">
        <f>IFERROR(__xludf.DUMMYFUNCTION("""COMPUTED_VALUE"""),"ENG")</f>
        <v>ENG</v>
      </c>
      <c r="C2799" s="6" t="str">
        <f>IFERROR(__xludf.DUMMYFUNCTION("""COMPUTED_VALUE"""),"O-16032-00")</f>
        <v>O-16032-00</v>
      </c>
      <c r="D2799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799" s="6">
        <f>IFERROR(__xludf.DUMMYFUNCTION("""COMPUTED_VALUE"""),1.0)</f>
        <v>1</v>
      </c>
      <c r="F2799" s="6">
        <f>IFERROR(__xludf.DUMMYFUNCTION("""COMPUTED_VALUE"""),1.0)</f>
        <v>1</v>
      </c>
      <c r="G2799" s="6">
        <f>IFERROR(__xludf.DUMMYFUNCTION("""COMPUTED_VALUE"""),0.0)</f>
        <v>0</v>
      </c>
      <c r="H2799" s="6" t="str">
        <f>IFERROR(__xludf.DUMMYFUNCTION("""COMPUTED_VALUE"""),"Pcs")</f>
        <v>Pcs</v>
      </c>
      <c r="I2799" s="6" t="str">
        <f>IFERROR(__xludf.DUMMYFUNCTION("""COMPUTED_VALUE"""),"MFH")</f>
        <v>MFH</v>
      </c>
      <c r="J2799" s="6" t="str">
        <f>IFERROR(__xludf.DUMMYFUNCTION("""COMPUTED_VALUE"""),"cRABS")</f>
        <v>cRABS</v>
      </c>
      <c r="K2799" s="6" t="str">
        <f>IFERROR(__xludf.DUMMYFUNCTION("""COMPUTED_VALUE"""),"SPR/25/11/053")</f>
        <v>SPR/25/11/053</v>
      </c>
      <c r="L2799" s="13">
        <f>IFERROR(__xludf.DUMMYFUNCTION("""COMPUTED_VALUE"""),45989.0)</f>
        <v>45989</v>
      </c>
    </row>
    <row r="2800">
      <c r="A2800" s="6" t="str">
        <f>IFERROR(__xludf.DUMMYFUNCTION("""COMPUTED_VALUE"""),"ANO")</f>
        <v>ANO</v>
      </c>
      <c r="B2800" s="6" t="str">
        <f>IFERROR(__xludf.DUMMYFUNCTION("""COMPUTED_VALUE"""),"ENG")</f>
        <v>ENG</v>
      </c>
      <c r="C2800" s="6" t="str">
        <f>IFERROR(__xludf.DUMMYFUNCTION("""COMPUTED_VALUE"""),"O-20983-00")</f>
        <v>O-20983-00</v>
      </c>
      <c r="D2800" s="6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E2800" s="6">
        <f>IFERROR(__xludf.DUMMYFUNCTION("""COMPUTED_VALUE"""),1.0)</f>
        <v>1</v>
      </c>
      <c r="F2800" s="6">
        <f>IFERROR(__xludf.DUMMYFUNCTION("""COMPUTED_VALUE"""),1.0)</f>
        <v>1</v>
      </c>
      <c r="G2800" s="6">
        <f>IFERROR(__xludf.DUMMYFUNCTION("""COMPUTED_VALUE"""),0.0)</f>
        <v>0</v>
      </c>
      <c r="H2800" s="6" t="str">
        <f>IFERROR(__xludf.DUMMYFUNCTION("""COMPUTED_VALUE"""),"Pcs")</f>
        <v>Pcs</v>
      </c>
      <c r="I2800" s="6" t="str">
        <f>IFERROR(__xludf.DUMMYFUNCTION("""COMPUTED_VALUE"""),"MFH")</f>
        <v>MFH</v>
      </c>
      <c r="J2800" s="6" t="str">
        <f>IFERROR(__xludf.DUMMYFUNCTION("""COMPUTED_VALUE"""),"Presicion Balance")</f>
        <v>Presicion Balance</v>
      </c>
      <c r="K2800" s="6" t="str">
        <f>IFERROR(__xludf.DUMMYFUNCTION("""COMPUTED_VALUE"""),"SPR/25/11/054")</f>
        <v>SPR/25/11/054</v>
      </c>
      <c r="L2800" s="13">
        <f>IFERROR(__xludf.DUMMYFUNCTION("""COMPUTED_VALUE"""),45989.0)</f>
        <v>45989</v>
      </c>
    </row>
    <row r="2801">
      <c r="A2801" s="6" t="str">
        <f>IFERROR(__xludf.DUMMYFUNCTION("""COMPUTED_VALUE"""),"ANO")</f>
        <v>ANO</v>
      </c>
      <c r="B2801" s="6" t="str">
        <f>IFERROR(__xludf.DUMMYFUNCTION("""COMPUTED_VALUE"""),"ENG")</f>
        <v>ENG</v>
      </c>
      <c r="C2801" s="6" t="str">
        <f>IFERROR(__xludf.DUMMYFUNCTION("""COMPUTED_VALUE"""),"O-16033-00")</f>
        <v>O-16033-00</v>
      </c>
      <c r="D2801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801" s="6">
        <f>IFERROR(__xludf.DUMMYFUNCTION("""COMPUTED_VALUE"""),1.0)</f>
        <v>1</v>
      </c>
      <c r="F2801" s="6">
        <f>IFERROR(__xludf.DUMMYFUNCTION("""COMPUTED_VALUE"""),1.0)</f>
        <v>1</v>
      </c>
      <c r="G2801" s="6">
        <f>IFERROR(__xludf.DUMMYFUNCTION("""COMPUTED_VALUE"""),0.0)</f>
        <v>0</v>
      </c>
      <c r="H2801" s="6" t="str">
        <f>IFERROR(__xludf.DUMMYFUNCTION("""COMPUTED_VALUE"""),"Pcs")</f>
        <v>Pcs</v>
      </c>
      <c r="I2801" s="6" t="str">
        <f>IFERROR(__xludf.DUMMYFUNCTION("""COMPUTED_VALUE"""),"MFH")</f>
        <v>MFH</v>
      </c>
      <c r="J2801" s="6" t="str">
        <f>IFERROR(__xludf.DUMMYFUNCTION("""COMPUTED_VALUE"""),"cRABS")</f>
        <v>cRABS</v>
      </c>
      <c r="K2801" s="6" t="str">
        <f>IFERROR(__xludf.DUMMYFUNCTION("""COMPUTED_VALUE"""),"SPR/25/11/054")</f>
        <v>SPR/25/11/054</v>
      </c>
      <c r="L2801" s="13">
        <f>IFERROR(__xludf.DUMMYFUNCTION("""COMPUTED_VALUE"""),45989.0)</f>
        <v>45989</v>
      </c>
    </row>
    <row r="2802">
      <c r="A2802" s="6" t="str">
        <f>IFERROR(__xludf.DUMMYFUNCTION("""COMPUTED_VALUE"""),"ANO")</f>
        <v>ANO</v>
      </c>
      <c r="B2802" s="6" t="str">
        <f>IFERROR(__xludf.DUMMYFUNCTION("""COMPUTED_VALUE"""),"ENG")</f>
        <v>ENG</v>
      </c>
      <c r="C2802" s="6" t="str">
        <f>IFERROR(__xludf.DUMMYFUNCTION("""COMPUTED_VALUE"""),"O-16032-00")</f>
        <v>O-16032-00</v>
      </c>
      <c r="D280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802" s="6">
        <f>IFERROR(__xludf.DUMMYFUNCTION("""COMPUTED_VALUE"""),1.0)</f>
        <v>1</v>
      </c>
      <c r="F2802" s="6">
        <f>IFERROR(__xludf.DUMMYFUNCTION("""COMPUTED_VALUE"""),1.0)</f>
        <v>1</v>
      </c>
      <c r="G2802" s="6">
        <f>IFERROR(__xludf.DUMMYFUNCTION("""COMPUTED_VALUE"""),0.0)</f>
        <v>0</v>
      </c>
      <c r="H2802" s="6" t="str">
        <f>IFERROR(__xludf.DUMMYFUNCTION("""COMPUTED_VALUE"""),"Pcs")</f>
        <v>Pcs</v>
      </c>
      <c r="I2802" s="6" t="str">
        <f>IFERROR(__xludf.DUMMYFUNCTION("""COMPUTED_VALUE"""),"MFH")</f>
        <v>MFH</v>
      </c>
      <c r="J2802" s="6" t="str">
        <f>IFERROR(__xludf.DUMMYFUNCTION("""COMPUTED_VALUE"""),"cRABS")</f>
        <v>cRABS</v>
      </c>
      <c r="K2802" s="6" t="str">
        <f>IFERROR(__xludf.DUMMYFUNCTION("""COMPUTED_VALUE"""),"SPR/25/11/054")</f>
        <v>SPR/25/11/054</v>
      </c>
      <c r="L2802" s="13">
        <f>IFERROR(__xludf.DUMMYFUNCTION("""COMPUTED_VALUE"""),45989.0)</f>
        <v>45989</v>
      </c>
    </row>
    <row r="2803">
      <c r="A2803" s="6" t="str">
        <f>IFERROR(__xludf.DUMMYFUNCTION("""COMPUTED_VALUE"""),"ROS")</f>
        <v>ROS</v>
      </c>
      <c r="B2803" s="6" t="str">
        <f>IFERROR(__xludf.DUMMYFUNCTION("""COMPUTED_VALUE"""),"ENG")</f>
        <v>ENG</v>
      </c>
      <c r="C2803" s="6" t="str">
        <f>IFERROR(__xludf.DUMMYFUNCTION("""COMPUTED_VALUE"""),"O-15912-00")</f>
        <v>O-15912-00</v>
      </c>
      <c r="D2803" s="6" t="str">
        <f>IFERROR(__xludf.DUMMYFUNCTION("""COMPUTED_VALUE"""),"Fedegari FVA2/A1 - CLAMP DN34-DN35 (MICROCASTED); Code : GM100094; ; ;")</f>
        <v>Fedegari FVA2/A1 - CLAMP DN34-DN35 (MICROCASTED); Code : GM100094; ; ;</v>
      </c>
      <c r="E2803" s="6">
        <f>IFERROR(__xludf.DUMMYFUNCTION("""COMPUTED_VALUE"""),1.0)</f>
        <v>1</v>
      </c>
      <c r="F2803" s="6">
        <f>IFERROR(__xludf.DUMMYFUNCTION("""COMPUTED_VALUE"""),1.0)</f>
        <v>1</v>
      </c>
      <c r="G2803" s="6">
        <f>IFERROR(__xludf.DUMMYFUNCTION("""COMPUTED_VALUE"""),0.0)</f>
        <v>0</v>
      </c>
      <c r="H2803" s="6" t="str">
        <f>IFERROR(__xludf.DUMMYFUNCTION("""COMPUTED_VALUE"""),"Pcs")</f>
        <v>Pcs</v>
      </c>
      <c r="I2803" s="6" t="str">
        <f>IFERROR(__xludf.DUMMYFUNCTION("""COMPUTED_VALUE"""),"MFH")</f>
        <v>MFH</v>
      </c>
      <c r="J2803" s="6" t="str">
        <f>IFERROR(__xludf.DUMMYFUNCTION("""COMPUTED_VALUE"""),"Autoclave")</f>
        <v>Autoclave</v>
      </c>
      <c r="K2803" s="6" t="str">
        <f>IFERROR(__xludf.DUMMYFUNCTION("""COMPUTED_VALUE"""),"SPR/25/11/055")</f>
        <v>SPR/25/11/055</v>
      </c>
      <c r="L2803" s="13">
        <f>IFERROR(__xludf.DUMMYFUNCTION("""COMPUTED_VALUE"""),45989.0)</f>
        <v>45989</v>
      </c>
    </row>
    <row r="2804">
      <c r="A2804" s="6" t="str">
        <f>IFERROR(__xludf.DUMMYFUNCTION("""COMPUTED_VALUE"""),"ROS")</f>
        <v>ROS</v>
      </c>
      <c r="B2804" s="6" t="str">
        <f>IFERROR(__xludf.DUMMYFUNCTION("""COMPUTED_VALUE"""),"ENG")</f>
        <v>ENG</v>
      </c>
      <c r="C2804" s="6" t="str">
        <f>IFERROR(__xludf.DUMMYFUNCTION("""COMPUTED_VALUE"""),"O-16731-00")</f>
        <v>O-16731-00</v>
      </c>
      <c r="D2804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2804" s="6">
        <f>IFERROR(__xludf.DUMMYFUNCTION("""COMPUTED_VALUE"""),1.0)</f>
        <v>1</v>
      </c>
      <c r="F2804" s="6">
        <f>IFERROR(__xludf.DUMMYFUNCTION("""COMPUTED_VALUE"""),1.0)</f>
        <v>1</v>
      </c>
      <c r="G2804" s="6">
        <f>IFERROR(__xludf.DUMMYFUNCTION("""COMPUTED_VALUE"""),0.0)</f>
        <v>0</v>
      </c>
      <c r="H2804" s="6" t="str">
        <f>IFERROR(__xludf.DUMMYFUNCTION("""COMPUTED_VALUE"""),"Pcs")</f>
        <v>Pcs</v>
      </c>
      <c r="I2804" s="6" t="str">
        <f>IFERROR(__xludf.DUMMYFUNCTION("""COMPUTED_VALUE"""),"MFH")</f>
        <v>MFH</v>
      </c>
      <c r="J2804" s="6" t="str">
        <f>IFERROR(__xludf.DUMMYFUNCTION("""COMPUTED_VALUE"""),"Autoclave")</f>
        <v>Autoclave</v>
      </c>
      <c r="K2804" s="6" t="str">
        <f>IFERROR(__xludf.DUMMYFUNCTION("""COMPUTED_VALUE"""),"SPR/25/11/055")</f>
        <v>SPR/25/11/055</v>
      </c>
      <c r="L2804" s="13">
        <f>IFERROR(__xludf.DUMMYFUNCTION("""COMPUTED_VALUE"""),45989.0)</f>
        <v>45989</v>
      </c>
    </row>
    <row r="2805">
      <c r="A2805" s="6" t="str">
        <f>IFERROR(__xludf.DUMMYFUNCTION("""COMPUTED_VALUE"""),"ROS")</f>
        <v>ROS</v>
      </c>
      <c r="B2805" s="6" t="str">
        <f>IFERROR(__xludf.DUMMYFUNCTION("""COMPUTED_VALUE"""),"ENG")</f>
        <v>ENG</v>
      </c>
      <c r="C2805" s="6" t="str">
        <f>IFERROR(__xludf.DUMMYFUNCTION("""COMPUTED_VALUE"""),"O-18688-00")</f>
        <v>O-18688-00</v>
      </c>
      <c r="D2805" s="6" t="str">
        <f>IFERROR(__xludf.DUMMYFUNCTION("""COMPUTED_VALUE"""),"Autoclave Fedegari FVA2/A1 NB2963AT - DN20/DN22 CLAMP P/N: GM100067; ; ;")</f>
        <v>Autoclave Fedegari FVA2/A1 NB2963AT - DN20/DN22 CLAMP P/N: GM100067; ; ;</v>
      </c>
      <c r="E2805" s="6">
        <f>IFERROR(__xludf.DUMMYFUNCTION("""COMPUTED_VALUE"""),2.0)</f>
        <v>2</v>
      </c>
      <c r="F2805" s="6">
        <f>IFERROR(__xludf.DUMMYFUNCTION("""COMPUTED_VALUE"""),2.0)</f>
        <v>2</v>
      </c>
      <c r="G2805" s="6">
        <f>IFERROR(__xludf.DUMMYFUNCTION("""COMPUTED_VALUE"""),0.0)</f>
        <v>0</v>
      </c>
      <c r="H2805" s="6" t="str">
        <f>IFERROR(__xludf.DUMMYFUNCTION("""COMPUTED_VALUE"""),"Pcs")</f>
        <v>Pcs</v>
      </c>
      <c r="I2805" s="6" t="str">
        <f>IFERROR(__xludf.DUMMYFUNCTION("""COMPUTED_VALUE"""),"MFH")</f>
        <v>MFH</v>
      </c>
      <c r="J2805" s="6" t="str">
        <f>IFERROR(__xludf.DUMMYFUNCTION("""COMPUTED_VALUE"""),"Autoclave")</f>
        <v>Autoclave</v>
      </c>
      <c r="K2805" s="6" t="str">
        <f>IFERROR(__xludf.DUMMYFUNCTION("""COMPUTED_VALUE"""),"SPR/25/11/055")</f>
        <v>SPR/25/11/055</v>
      </c>
      <c r="L2805" s="13">
        <f>IFERROR(__xludf.DUMMYFUNCTION("""COMPUTED_VALUE"""),45989.0)</f>
        <v>45989</v>
      </c>
    </row>
    <row r="2806">
      <c r="A2806" s="6" t="str">
        <f>IFERROR(__xludf.DUMMYFUNCTION("""COMPUTED_VALUE"""),"NDS")</f>
        <v>NDS</v>
      </c>
      <c r="B2806" s="6" t="str">
        <f>IFERROR(__xludf.DUMMYFUNCTION("""COMPUTED_VALUE"""),"ENG")</f>
        <v>ENG</v>
      </c>
      <c r="C2806" s="6" t="str">
        <f>IFERROR(__xludf.DUMMYFUNCTION("""COMPUTED_VALUE"""),"O-16033-00")</f>
        <v>O-16033-00</v>
      </c>
      <c r="D280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806" s="6">
        <f>IFERROR(__xludf.DUMMYFUNCTION("""COMPUTED_VALUE"""),1.0)</f>
        <v>1</v>
      </c>
      <c r="F2806" s="6">
        <f>IFERROR(__xludf.DUMMYFUNCTION("""COMPUTED_VALUE"""),1.0)</f>
        <v>1</v>
      </c>
      <c r="G2806" s="6">
        <f>IFERROR(__xludf.DUMMYFUNCTION("""COMPUTED_VALUE"""),0.0)</f>
        <v>0</v>
      </c>
      <c r="H2806" s="6" t="str">
        <f>IFERROR(__xludf.DUMMYFUNCTION("""COMPUTED_VALUE"""),"Pcs")</f>
        <v>Pcs</v>
      </c>
      <c r="I2806" s="6" t="str">
        <f>IFERROR(__xludf.DUMMYFUNCTION("""COMPUTED_VALUE"""),"MFH")</f>
        <v>MFH</v>
      </c>
      <c r="J2806" s="6" t="str">
        <f>IFERROR(__xludf.DUMMYFUNCTION("""COMPUTED_VALUE"""),"cRABS")</f>
        <v>cRABS</v>
      </c>
      <c r="K2806" s="6" t="str">
        <f>IFERROR(__xludf.DUMMYFUNCTION("""COMPUTED_VALUE"""),"SPR/25/12/001")</f>
        <v>SPR/25/12/001</v>
      </c>
      <c r="L2806" s="58">
        <f>IFERROR(__xludf.DUMMYFUNCTION("""COMPUTED_VALUE"""),46022.0)</f>
        <v>46022</v>
      </c>
    </row>
    <row r="2807">
      <c r="A2807" s="6" t="str">
        <f>IFERROR(__xludf.DUMMYFUNCTION("""COMPUTED_VALUE"""),"NDS")</f>
        <v>NDS</v>
      </c>
      <c r="B2807" s="6" t="str">
        <f>IFERROR(__xludf.DUMMYFUNCTION("""COMPUTED_VALUE"""),"ENG")</f>
        <v>ENG</v>
      </c>
      <c r="C2807" s="6" t="str">
        <f>IFERROR(__xludf.DUMMYFUNCTION("""COMPUTED_VALUE"""),"S-40645-00")</f>
        <v>S-40645-00</v>
      </c>
      <c r="D2807" s="6" t="str">
        <f>IFERROR(__xludf.DUMMYFUNCTION("""COMPUTED_VALUE"""),"Cable Ties, 200 x 4.8 mm; SIGMA; CS 200L; Putih;100 pcs/pack")</f>
        <v>Cable Ties, 200 x 4.8 mm; SIGMA; CS 200L; Putih;100 pcs/pack</v>
      </c>
      <c r="E2807" s="6">
        <f>IFERROR(__xludf.DUMMYFUNCTION("""COMPUTED_VALUE"""),1.0)</f>
        <v>1</v>
      </c>
      <c r="F2807" s="6">
        <f>IFERROR(__xludf.DUMMYFUNCTION("""COMPUTED_VALUE"""),1.0)</f>
        <v>1</v>
      </c>
      <c r="G2807" s="6">
        <f>IFERROR(__xludf.DUMMYFUNCTION("""COMPUTED_VALUE"""),0.0)</f>
        <v>0</v>
      </c>
      <c r="H2807" s="6" t="str">
        <f>IFERROR(__xludf.DUMMYFUNCTION("""COMPUTED_VALUE"""),"Pcs")</f>
        <v>Pcs</v>
      </c>
      <c r="I2807" s="6" t="str">
        <f>IFERROR(__xludf.DUMMYFUNCTION("""COMPUTED_VALUE"""),"MFH")</f>
        <v>MFH</v>
      </c>
      <c r="J2807" s="6" t="str">
        <f>IFERROR(__xludf.DUMMYFUNCTION("""COMPUTED_VALUE"""),"cRABS")</f>
        <v>cRABS</v>
      </c>
      <c r="K2807" s="6" t="str">
        <f>IFERROR(__xludf.DUMMYFUNCTION("""COMPUTED_VALUE"""),"SPR/25/12/002")</f>
        <v>SPR/25/12/002</v>
      </c>
      <c r="L2807" s="58">
        <f>IFERROR(__xludf.DUMMYFUNCTION("""COMPUTED_VALUE"""),46022.0)</f>
        <v>46022</v>
      </c>
    </row>
    <row r="2808">
      <c r="A2808" s="6" t="str">
        <f>IFERROR(__xludf.DUMMYFUNCTION("""COMPUTED_VALUE"""),"NDS")</f>
        <v>NDS</v>
      </c>
      <c r="B2808" s="6" t="str">
        <f>IFERROR(__xludf.DUMMYFUNCTION("""COMPUTED_VALUE"""),"ENG")</f>
        <v>ENG</v>
      </c>
      <c r="C2808" s="6" t="str">
        <f>IFERROR(__xludf.DUMMYFUNCTION("""COMPUTED_VALUE"""),"O-54014-00")</f>
        <v>O-54014-00</v>
      </c>
      <c r="D2808" s="6" t="str">
        <f>IFERROR(__xludf.DUMMYFUNCTION("""COMPUTED_VALUE"""),"STEKER 1 PHASE, BROCO")</f>
        <v>STEKER 1 PHASE, BROCO</v>
      </c>
      <c r="E2808" s="6">
        <f>IFERROR(__xludf.DUMMYFUNCTION("""COMPUTED_VALUE"""),1.0)</f>
        <v>1</v>
      </c>
      <c r="F2808" s="6">
        <f>IFERROR(__xludf.DUMMYFUNCTION("""COMPUTED_VALUE"""),1.0)</f>
        <v>1</v>
      </c>
      <c r="G2808" s="6">
        <f>IFERROR(__xludf.DUMMYFUNCTION("""COMPUTED_VALUE"""),0.0)</f>
        <v>0</v>
      </c>
      <c r="H2808" s="6" t="str">
        <f>IFERROR(__xludf.DUMMYFUNCTION("""COMPUTED_VALUE"""),"Pcs")</f>
        <v>Pcs</v>
      </c>
      <c r="I2808" s="6" t="str">
        <f>IFERROR(__xludf.DUMMYFUNCTION("""COMPUTED_VALUE"""),"MFH")</f>
        <v>MFH</v>
      </c>
      <c r="J2808" s="6" t="str">
        <f>IFERROR(__xludf.DUMMYFUNCTION("""COMPUTED_VALUE"""),"cRABS")</f>
        <v>cRABS</v>
      </c>
      <c r="K2808" s="6" t="str">
        <f>IFERROR(__xludf.DUMMYFUNCTION("""COMPUTED_VALUE"""),"SPR/25/12/002")</f>
        <v>SPR/25/12/002</v>
      </c>
      <c r="L2808" s="58">
        <f>IFERROR(__xludf.DUMMYFUNCTION("""COMPUTED_VALUE"""),46022.0)</f>
        <v>46022</v>
      </c>
    </row>
    <row r="2809">
      <c r="A2809" s="6" t="str">
        <f>IFERROR(__xludf.DUMMYFUNCTION("""COMPUTED_VALUE"""),"NDS")</f>
        <v>NDS</v>
      </c>
      <c r="B2809" s="6" t="str">
        <f>IFERROR(__xludf.DUMMYFUNCTION("""COMPUTED_VALUE"""),"ENG")</f>
        <v>ENG</v>
      </c>
      <c r="C2809" s="6" t="str">
        <f>IFERROR(__xludf.DUMMYFUNCTION("""COMPUTED_VALUE"""),"-")</f>
        <v>-</v>
      </c>
      <c r="D2809" s="6" t="str">
        <f>IFERROR(__xludf.DUMMYFUNCTION("""COMPUTED_VALUE"""),"204171 Proximity Data Logic")</f>
        <v>204171 Proximity Data Logic</v>
      </c>
      <c r="E2809" s="6">
        <f>IFERROR(__xludf.DUMMYFUNCTION("""COMPUTED_VALUE"""),1.0)</f>
        <v>1</v>
      </c>
      <c r="F2809" s="6">
        <f>IFERROR(__xludf.DUMMYFUNCTION("""COMPUTED_VALUE"""),1.0)</f>
        <v>1</v>
      </c>
      <c r="G2809" s="6">
        <f>IFERROR(__xludf.DUMMYFUNCTION("""COMPUTED_VALUE"""),0.0)</f>
        <v>0</v>
      </c>
      <c r="H2809" s="6" t="str">
        <f>IFERROR(__xludf.DUMMYFUNCTION("""COMPUTED_VALUE"""),"Pcs")</f>
        <v>Pcs</v>
      </c>
      <c r="I2809" s="6" t="str">
        <f>IFERROR(__xludf.DUMMYFUNCTION("""COMPUTED_VALUE"""),"MFH")</f>
        <v>MFH</v>
      </c>
      <c r="J2809" s="6" t="str">
        <f>IFERROR(__xludf.DUMMYFUNCTION("""COMPUTED_VALUE"""),"Capping")</f>
        <v>Capping</v>
      </c>
      <c r="K2809" s="6" t="str">
        <f>IFERROR(__xludf.DUMMYFUNCTION("""COMPUTED_VALUE"""),"SPR/25/12/002")</f>
        <v>SPR/25/12/002</v>
      </c>
      <c r="L2809" s="58">
        <f>IFERROR(__xludf.DUMMYFUNCTION("""COMPUTED_VALUE"""),46022.0)</f>
        <v>46022</v>
      </c>
    </row>
    <row r="2810">
      <c r="A2810" s="6" t="str">
        <f>IFERROR(__xludf.DUMMYFUNCTION("""COMPUTED_VALUE"""),"MUN")</f>
        <v>MUN</v>
      </c>
      <c r="B2810" s="6" t="str">
        <f>IFERROR(__xludf.DUMMYFUNCTION("""COMPUTED_VALUE"""),"ENG")</f>
        <v>ENG</v>
      </c>
      <c r="C2810" s="6" t="str">
        <f>IFERROR(__xludf.DUMMYFUNCTION("""COMPUTED_VALUE"""),"P-10897-00")</f>
        <v>P-10897-00</v>
      </c>
      <c r="D2810" s="6" t="str">
        <f>IFERROR(__xludf.DUMMYFUNCTION("""COMPUTED_VALUE"""),"Fitting PVC - Sock PVC 1""")</f>
        <v>Fitting PVC - Sock PVC 1"</v>
      </c>
      <c r="E2810" s="6">
        <f>IFERROR(__xludf.DUMMYFUNCTION("""COMPUTED_VALUE"""),2.0)</f>
        <v>2</v>
      </c>
      <c r="F2810" s="6">
        <f>IFERROR(__xludf.DUMMYFUNCTION("""COMPUTED_VALUE"""),2.0)</f>
        <v>2</v>
      </c>
      <c r="G2810" s="6">
        <f>IFERROR(__xludf.DUMMYFUNCTION("""COMPUTED_VALUE"""),0.0)</f>
        <v>0</v>
      </c>
      <c r="H2810" s="6" t="str">
        <f>IFERROR(__xludf.DUMMYFUNCTION("""COMPUTED_VALUE"""),"Pcs")</f>
        <v>Pcs</v>
      </c>
      <c r="I2810" s="6" t="str">
        <f>IFERROR(__xludf.DUMMYFUNCTION("""COMPUTED_VALUE"""),"MFH")</f>
        <v>MFH</v>
      </c>
      <c r="J2810" s="6" t="str">
        <f>IFERROR(__xludf.DUMMYFUNCTION("""COMPUTED_VALUE"""),"FD")</f>
        <v>FD</v>
      </c>
      <c r="K2810" s="6" t="str">
        <f>IFERROR(__xludf.DUMMYFUNCTION("""COMPUTED_VALUE"""),"SPR/25/12/003")</f>
        <v>SPR/25/12/003</v>
      </c>
      <c r="L2810" s="58">
        <f>IFERROR(__xludf.DUMMYFUNCTION("""COMPUTED_VALUE"""),46022.0)</f>
        <v>46022</v>
      </c>
    </row>
    <row r="2811">
      <c r="A2811" s="6" t="str">
        <f>IFERROR(__xludf.DUMMYFUNCTION("""COMPUTED_VALUE"""),"BDU")</f>
        <v>BDU</v>
      </c>
      <c r="B2811" s="6" t="str">
        <f>IFERROR(__xludf.DUMMYFUNCTION("""COMPUTED_VALUE"""),"ENG")</f>
        <v>ENG</v>
      </c>
      <c r="C2811" s="6" t="str">
        <f>IFERROR(__xludf.DUMMYFUNCTION("""COMPUTED_VALUE"""),"P-18769-00")</f>
        <v>P-18769-00</v>
      </c>
      <c r="D2811" s="6" t="str">
        <f>IFERROR(__xludf.DUMMYFUNCTION("""COMPUTED_VALUE"""),"Mata Gerinda Potong 4"" Merek WD; ; -; 20 pc")</f>
        <v>Mata Gerinda Potong 4" Merek WD; ; -; 20 pc</v>
      </c>
      <c r="E2811" s="6">
        <f>IFERROR(__xludf.DUMMYFUNCTION("""COMPUTED_VALUE"""),2.0)</f>
        <v>2</v>
      </c>
      <c r="F2811" s="6">
        <f>IFERROR(__xludf.DUMMYFUNCTION("""COMPUTED_VALUE"""),2.0)</f>
        <v>2</v>
      </c>
      <c r="G2811" s="6">
        <f>IFERROR(__xludf.DUMMYFUNCTION("""COMPUTED_VALUE"""),0.0)</f>
        <v>0</v>
      </c>
      <c r="H2811" s="6" t="str">
        <f>IFERROR(__xludf.DUMMYFUNCTION("""COMPUTED_VALUE"""),"Pcs")</f>
        <v>Pcs</v>
      </c>
      <c r="I2811" s="6" t="str">
        <f>IFERROR(__xludf.DUMMYFUNCTION("""COMPUTED_VALUE"""),"MFH")</f>
        <v>MFH</v>
      </c>
      <c r="J2811" s="6" t="str">
        <f>IFERROR(__xludf.DUMMYFUNCTION("""COMPUTED_VALUE"""),"ASRS")</f>
        <v>ASRS</v>
      </c>
      <c r="K2811" s="6" t="str">
        <f>IFERROR(__xludf.DUMMYFUNCTION("""COMPUTED_VALUE"""),"SPR/25/12/004")</f>
        <v>SPR/25/12/004</v>
      </c>
      <c r="L2811" s="58">
        <f>IFERROR(__xludf.DUMMYFUNCTION("""COMPUTED_VALUE"""),46022.0)</f>
        <v>46022</v>
      </c>
    </row>
    <row r="2812">
      <c r="A2812" s="6" t="str">
        <f>IFERROR(__xludf.DUMMYFUNCTION("""COMPUTED_VALUE"""),"BDU")</f>
        <v>BDU</v>
      </c>
      <c r="B2812" s="6" t="str">
        <f>IFERROR(__xludf.DUMMYFUNCTION("""COMPUTED_VALUE"""),"ENG")</f>
        <v>ENG</v>
      </c>
      <c r="C2812" s="6" t="str">
        <f>IFERROR(__xludf.DUMMYFUNCTION("""COMPUTED_VALUE"""),"P-52713-00")</f>
        <v>P-52713-00</v>
      </c>
      <c r="D2812" s="6" t="str">
        <f>IFERROR(__xludf.DUMMYFUNCTION("""COMPUTED_VALUE"""),"Sensor Ammonia 0-50/500 PPM (200 PPM Standard) Type : 00-1010; ATI; ;")</f>
        <v>Sensor Ammonia 0-50/500 PPM (200 PPM Standard) Type : 00-1010; ATI; ;</v>
      </c>
      <c r="E2812" s="6">
        <f>IFERROR(__xludf.DUMMYFUNCTION("""COMPUTED_VALUE"""),1.0)</f>
        <v>1</v>
      </c>
      <c r="F2812" s="6">
        <f>IFERROR(__xludf.DUMMYFUNCTION("""COMPUTED_VALUE"""),1.0)</f>
        <v>1</v>
      </c>
      <c r="G2812" s="6">
        <f>IFERROR(__xludf.DUMMYFUNCTION("""COMPUTED_VALUE"""),0.0)</f>
        <v>0</v>
      </c>
      <c r="H2812" s="6" t="str">
        <f>IFERROR(__xludf.DUMMYFUNCTION("""COMPUTED_VALUE"""),"Pcs")</f>
        <v>Pcs</v>
      </c>
      <c r="I2812" s="6" t="str">
        <f>IFERROR(__xludf.DUMMYFUNCTION("""COMPUTED_VALUE"""),"MFH")</f>
        <v>MFH</v>
      </c>
      <c r="J2812" s="6" t="str">
        <f>IFERROR(__xludf.DUMMYFUNCTION("""COMPUTED_VALUE"""),"-")</f>
        <v>-</v>
      </c>
      <c r="K2812" s="6" t="str">
        <f>IFERROR(__xludf.DUMMYFUNCTION("""COMPUTED_VALUE"""),"SPR/25/12/004")</f>
        <v>SPR/25/12/004</v>
      </c>
      <c r="L2812" s="58">
        <f>IFERROR(__xludf.DUMMYFUNCTION("""COMPUTED_VALUE"""),46022.0)</f>
        <v>46022</v>
      </c>
    </row>
    <row r="2813">
      <c r="A2813" s="6" t="str">
        <f>IFERROR(__xludf.DUMMYFUNCTION("""COMPUTED_VALUE"""),"BDU")</f>
        <v>BDU</v>
      </c>
      <c r="B2813" s="6" t="str">
        <f>IFERROR(__xludf.DUMMYFUNCTION("""COMPUTED_VALUE"""),"ENG")</f>
        <v>ENG</v>
      </c>
      <c r="C2813" s="6" t="str">
        <f>IFERROR(__xludf.DUMMYFUNCTION("""COMPUTED_VALUE"""),"O-53211-00")</f>
        <v>O-53211-00</v>
      </c>
      <c r="D2813" s="6" t="str">
        <f>IFERROR(__xludf.DUMMYFUNCTION("""COMPUTED_VALUE"""),"Filling VFM100 - Flow meter 40-500 NL/H (201787);INOX;Model 1900;")</f>
        <v>Filling VFM100 - Flow meter 40-500 NL/H (201787);INOX;Model 1900;</v>
      </c>
      <c r="E2813" s="6">
        <f>IFERROR(__xludf.DUMMYFUNCTION("""COMPUTED_VALUE"""),1.0)</f>
        <v>1</v>
      </c>
      <c r="F2813" s="6">
        <f>IFERROR(__xludf.DUMMYFUNCTION("""COMPUTED_VALUE"""),1.0)</f>
        <v>1</v>
      </c>
      <c r="G2813" s="6">
        <f>IFERROR(__xludf.DUMMYFUNCTION("""COMPUTED_VALUE"""),0.0)</f>
        <v>0</v>
      </c>
      <c r="H2813" s="6" t="str">
        <f>IFERROR(__xludf.DUMMYFUNCTION("""COMPUTED_VALUE"""),"Pcs")</f>
        <v>Pcs</v>
      </c>
      <c r="I2813" s="6" t="str">
        <f>IFERROR(__xludf.DUMMYFUNCTION("""COMPUTED_VALUE"""),"MFH")</f>
        <v>MFH</v>
      </c>
      <c r="J2813" s="6" t="str">
        <f>IFERROR(__xludf.DUMMYFUNCTION("""COMPUTED_VALUE"""),"-")</f>
        <v>-</v>
      </c>
      <c r="K2813" s="6" t="str">
        <f>IFERROR(__xludf.DUMMYFUNCTION("""COMPUTED_VALUE"""),"SPR/25/12/004")</f>
        <v>SPR/25/12/004</v>
      </c>
      <c r="L2813" s="58">
        <f>IFERROR(__xludf.DUMMYFUNCTION("""COMPUTED_VALUE"""),46022.0)</f>
        <v>46022</v>
      </c>
    </row>
    <row r="2814">
      <c r="A2814" s="6" t="str">
        <f>IFERROR(__xludf.DUMMYFUNCTION("""COMPUTED_VALUE"""),"NDS")</f>
        <v>NDS</v>
      </c>
      <c r="B2814" s="6" t="str">
        <f>IFERROR(__xludf.DUMMYFUNCTION("""COMPUTED_VALUE"""),"ENG")</f>
        <v>ENG</v>
      </c>
      <c r="C2814" s="6" t="str">
        <f>IFERROR(__xludf.DUMMYFUNCTION("""COMPUTED_VALUE"""),"P-20129-00")</f>
        <v>P-20129-00</v>
      </c>
      <c r="D2814" s="6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E2814" s="6">
        <f>IFERROR(__xludf.DUMMYFUNCTION("""COMPUTED_VALUE"""),1.0)</f>
        <v>1</v>
      </c>
      <c r="F2814" s="6">
        <f>IFERROR(__xludf.DUMMYFUNCTION("""COMPUTED_VALUE"""),1.0)</f>
        <v>1</v>
      </c>
      <c r="G2814" s="6">
        <f>IFERROR(__xludf.DUMMYFUNCTION("""COMPUTED_VALUE"""),0.0)</f>
        <v>0</v>
      </c>
      <c r="H2814" s="6" t="str">
        <f>IFERROR(__xludf.DUMMYFUNCTION("""COMPUTED_VALUE"""),"Pcs")</f>
        <v>Pcs</v>
      </c>
      <c r="I2814" s="6" t="str">
        <f>IFERROR(__xludf.DUMMYFUNCTION("""COMPUTED_VALUE"""),"MFH")</f>
        <v>MFH</v>
      </c>
      <c r="J2814" s="6" t="str">
        <f>IFERROR(__xludf.DUMMYFUNCTION("""COMPUTED_VALUE"""),"Sampling")</f>
        <v>Sampling</v>
      </c>
      <c r="K2814" s="6" t="str">
        <f>IFERROR(__xludf.DUMMYFUNCTION("""COMPUTED_VALUE"""),"SPR/25/12/005")</f>
        <v>SPR/25/12/005</v>
      </c>
      <c r="L2814" s="58">
        <f>IFERROR(__xludf.DUMMYFUNCTION("""COMPUTED_VALUE"""),46022.0)</f>
        <v>46022</v>
      </c>
    </row>
    <row r="2815">
      <c r="A2815" s="6" t="str">
        <f>IFERROR(__xludf.DUMMYFUNCTION("""COMPUTED_VALUE"""),"ROS")</f>
        <v>ROS</v>
      </c>
      <c r="B2815" s="6" t="str">
        <f>IFERROR(__xludf.DUMMYFUNCTION("""COMPUTED_VALUE"""),"ENG")</f>
        <v>ENG</v>
      </c>
      <c r="C2815" s="6" t="str">
        <f>IFERROR(__xludf.DUMMYFUNCTION("""COMPUTED_VALUE"""),"Q-10946-00")</f>
        <v>Q-10946-00</v>
      </c>
      <c r="D2815" s="6" t="str">
        <f>IFERROR(__xludf.DUMMYFUNCTION("""COMPUTED_VALUE"""),"Silicone Sealant;Silglaze;Type N10 Light Grey;pack size per pcs")</f>
        <v>Silicone Sealant;Silglaze;Type N10 Light Grey;pack size per pcs</v>
      </c>
      <c r="E2815" s="6">
        <f>IFERROR(__xludf.DUMMYFUNCTION("""COMPUTED_VALUE"""),1.0)</f>
        <v>1</v>
      </c>
      <c r="F2815" s="6">
        <f>IFERROR(__xludf.DUMMYFUNCTION("""COMPUTED_VALUE"""),1.0)</f>
        <v>1</v>
      </c>
      <c r="G2815" s="6">
        <f>IFERROR(__xludf.DUMMYFUNCTION("""COMPUTED_VALUE"""),0.0)</f>
        <v>0</v>
      </c>
      <c r="H2815" s="6" t="str">
        <f>IFERROR(__xludf.DUMMYFUNCTION("""COMPUTED_VALUE"""),"Pcs")</f>
        <v>Pcs</v>
      </c>
      <c r="I2815" s="6" t="str">
        <f>IFERROR(__xludf.DUMMYFUNCTION("""COMPUTED_VALUE"""),"MFH")</f>
        <v>MFH</v>
      </c>
      <c r="J2815" s="6" t="str">
        <f>IFERROR(__xludf.DUMMYFUNCTION("""COMPUTED_VALUE"""),"BSC")</f>
        <v>BSC</v>
      </c>
      <c r="K2815" s="6" t="str">
        <f>IFERROR(__xludf.DUMMYFUNCTION("""COMPUTED_VALUE"""),"SPR/25/12/006")</f>
        <v>SPR/25/12/006</v>
      </c>
      <c r="L2815" s="58">
        <f>IFERROR(__xludf.DUMMYFUNCTION("""COMPUTED_VALUE"""),46022.0)</f>
        <v>46022</v>
      </c>
    </row>
    <row r="2816">
      <c r="A2816" s="6" t="str">
        <f>IFERROR(__xludf.DUMMYFUNCTION("""COMPUTED_VALUE"""),"INN")</f>
        <v>INN</v>
      </c>
      <c r="B2816" s="6" t="str">
        <f>IFERROR(__xludf.DUMMYFUNCTION("""COMPUTED_VALUE"""),"ENG")</f>
        <v>ENG</v>
      </c>
      <c r="C2816" s="6" t="str">
        <f>IFERROR(__xludf.DUMMYFUNCTION("""COMPUTED_VALUE"""),"T-20118-00")</f>
        <v>T-20118-00</v>
      </c>
      <c r="D2816" s="6" t="str">
        <f>IFERROR(__xludf.DUMMYFUNCTION("""COMPUTED_VALUE"""),"FILTER INSERT ASSY; Waters; P/N WAT088084")</f>
        <v>FILTER INSERT ASSY; Waters; P/N WAT088084</v>
      </c>
      <c r="E2816" s="6">
        <f>IFERROR(__xludf.DUMMYFUNCTION("""COMPUTED_VALUE"""),1.0)</f>
        <v>1</v>
      </c>
      <c r="F2816" s="6">
        <f>IFERROR(__xludf.DUMMYFUNCTION("""COMPUTED_VALUE"""),1.0)</f>
        <v>1</v>
      </c>
      <c r="G2816" s="6">
        <f>IFERROR(__xludf.DUMMYFUNCTION("""COMPUTED_VALUE"""),0.0)</f>
        <v>0</v>
      </c>
      <c r="H2816" s="6" t="str">
        <f>IFERROR(__xludf.DUMMYFUNCTION("""COMPUTED_VALUE"""),"Pcs")</f>
        <v>Pcs</v>
      </c>
      <c r="I2816" s="6" t="str">
        <f>IFERROR(__xludf.DUMMYFUNCTION("""COMPUTED_VALUE"""),"MFH")</f>
        <v>MFH</v>
      </c>
      <c r="J2816" s="6" t="str">
        <f>IFERROR(__xludf.DUMMYFUNCTION("""COMPUTED_VALUE"""),"HPLC")</f>
        <v>HPLC</v>
      </c>
      <c r="K2816" s="6" t="str">
        <f>IFERROR(__xludf.DUMMYFUNCTION("""COMPUTED_VALUE"""),"SPR/25/12/007")</f>
        <v>SPR/25/12/007</v>
      </c>
      <c r="L2816" s="58">
        <f>IFERROR(__xludf.DUMMYFUNCTION("""COMPUTED_VALUE"""),46022.0)</f>
        <v>46022</v>
      </c>
    </row>
    <row r="2817">
      <c r="A2817" s="6" t="str">
        <f>IFERROR(__xludf.DUMMYFUNCTION("""COMPUTED_VALUE"""),"INN")</f>
        <v>INN</v>
      </c>
      <c r="B2817" s="6" t="str">
        <f>IFERROR(__xludf.DUMMYFUNCTION("""COMPUTED_VALUE"""),"ENG")</f>
        <v>ENG</v>
      </c>
      <c r="C2817" s="6" t="str">
        <f>IFERROR(__xludf.DUMMYFUNCTION("""COMPUTED_VALUE"""),"P-14380-00")</f>
        <v>P-14380-00</v>
      </c>
      <c r="D2817" s="6" t="str">
        <f>IFERROR(__xludf.DUMMYFUNCTION("""COMPUTED_VALUE"""),"Mechanical Seal Kit untuk Pompa Looping WFI SKID; ; c/n 9611922178;")</f>
        <v>Mechanical Seal Kit untuk Pompa Looping WFI SKID; ; c/n 9611922178;</v>
      </c>
      <c r="E2817" s="6">
        <f>IFERROR(__xludf.DUMMYFUNCTION("""COMPUTED_VALUE"""),1.0)</f>
        <v>1</v>
      </c>
      <c r="F2817" s="6">
        <f>IFERROR(__xludf.DUMMYFUNCTION("""COMPUTED_VALUE"""),1.0)</f>
        <v>1</v>
      </c>
      <c r="G2817" s="6">
        <f>IFERROR(__xludf.DUMMYFUNCTION("""COMPUTED_VALUE"""),0.0)</f>
        <v>0</v>
      </c>
      <c r="H2817" s="6" t="str">
        <f>IFERROR(__xludf.DUMMYFUNCTION("""COMPUTED_VALUE"""),"Pcs")</f>
        <v>Pcs</v>
      </c>
      <c r="I2817" s="6" t="str">
        <f>IFERROR(__xludf.DUMMYFUNCTION("""COMPUTED_VALUE"""),"MFH")</f>
        <v>MFH</v>
      </c>
      <c r="J2817" s="6" t="str">
        <f>IFERROR(__xludf.DUMMYFUNCTION("""COMPUTED_VALUE"""),"-")</f>
        <v>-</v>
      </c>
      <c r="K2817" s="6" t="str">
        <f>IFERROR(__xludf.DUMMYFUNCTION("""COMPUTED_VALUE"""),"SPR/25/12/007")</f>
        <v>SPR/25/12/007</v>
      </c>
      <c r="L2817" s="58">
        <f>IFERROR(__xludf.DUMMYFUNCTION("""COMPUTED_VALUE"""),46022.0)</f>
        <v>46022</v>
      </c>
    </row>
    <row r="2818">
      <c r="A2818" s="6" t="str">
        <f>IFERROR(__xludf.DUMMYFUNCTION("""COMPUTED_VALUE"""),"INN")</f>
        <v>INN</v>
      </c>
      <c r="B2818" s="6" t="str">
        <f>IFERROR(__xludf.DUMMYFUNCTION("""COMPUTED_VALUE"""),"ENG")</f>
        <v>ENG</v>
      </c>
      <c r="C2818" s="6" t="str">
        <f>IFERROR(__xludf.DUMMYFUNCTION("""COMPUTED_VALUE"""),"O-20912-00")</f>
        <v>O-20912-00</v>
      </c>
      <c r="D2818" s="6" t="str">
        <f>IFERROR(__xludf.DUMMYFUNCTION("""COMPUTED_VALUE"""),"Capping VCM200 - Format Part 10R Uk 20x275x478; Custom/Lokal; -; 1 Pc")</f>
        <v>Capping VCM200 - Format Part 10R Uk 20x275x478; Custom/Lokal; -; 1 Pc</v>
      </c>
      <c r="E2818" s="6">
        <f>IFERROR(__xludf.DUMMYFUNCTION("""COMPUTED_VALUE"""),1.0)</f>
        <v>1</v>
      </c>
      <c r="F2818" s="6">
        <f>IFERROR(__xludf.DUMMYFUNCTION("""COMPUTED_VALUE"""),1.0)</f>
        <v>1</v>
      </c>
      <c r="G2818" s="6">
        <f>IFERROR(__xludf.DUMMYFUNCTION("""COMPUTED_VALUE"""),0.0)</f>
        <v>0</v>
      </c>
      <c r="H2818" s="6" t="str">
        <f>IFERROR(__xludf.DUMMYFUNCTION("""COMPUTED_VALUE"""),"Pcs")</f>
        <v>Pcs</v>
      </c>
      <c r="I2818" s="6" t="str">
        <f>IFERROR(__xludf.DUMMYFUNCTION("""COMPUTED_VALUE"""),"MFH")</f>
        <v>MFH</v>
      </c>
      <c r="J2818" s="6" t="str">
        <f>IFERROR(__xludf.DUMMYFUNCTION("""COMPUTED_VALUE"""),"-")</f>
        <v>-</v>
      </c>
      <c r="K2818" s="6" t="str">
        <f>IFERROR(__xludf.DUMMYFUNCTION("""COMPUTED_VALUE"""),"SPR/25/12/007")</f>
        <v>SPR/25/12/007</v>
      </c>
      <c r="L2818" s="58">
        <f>IFERROR(__xludf.DUMMYFUNCTION("""COMPUTED_VALUE"""),46022.0)</f>
        <v>46022</v>
      </c>
    </row>
    <row r="2819">
      <c r="A2819" s="6" t="str">
        <f>IFERROR(__xludf.DUMMYFUNCTION("""COMPUTED_VALUE"""),"ROS")</f>
        <v>ROS</v>
      </c>
      <c r="B2819" s="6" t="str">
        <f>IFERROR(__xludf.DUMMYFUNCTION("""COMPUTED_VALUE"""),"ENG")</f>
        <v>ENG</v>
      </c>
      <c r="C2819" s="6" t="str">
        <f>IFERROR(__xludf.DUMMYFUNCTION("""COMPUTED_VALUE"""),"Q-60501-00")</f>
        <v>Q-60501-00</v>
      </c>
      <c r="D2819" s="6" t="str">
        <f>IFERROR(__xludf.DUMMYFUNCTION("""COMPUTED_VALUE"""),"Silicone Sealant, Silglaze, Type N10 Clear, pack size per pcs")</f>
        <v>Silicone Sealant, Silglaze, Type N10 Clear, pack size per pcs</v>
      </c>
      <c r="E2819" s="6">
        <f>IFERROR(__xludf.DUMMYFUNCTION("""COMPUTED_VALUE"""),1.0)</f>
        <v>1</v>
      </c>
      <c r="F2819" s="6">
        <f>IFERROR(__xludf.DUMMYFUNCTION("""COMPUTED_VALUE"""),1.0)</f>
        <v>1</v>
      </c>
      <c r="G2819" s="6">
        <f>IFERROR(__xludf.DUMMYFUNCTION("""COMPUTED_VALUE"""),0.0)</f>
        <v>0</v>
      </c>
      <c r="H2819" s="6" t="str">
        <f>IFERROR(__xludf.DUMMYFUNCTION("""COMPUTED_VALUE"""),"Pcs")</f>
        <v>Pcs</v>
      </c>
      <c r="I2819" s="6" t="str">
        <f>IFERROR(__xludf.DUMMYFUNCTION("""COMPUTED_VALUE"""),"MFH")</f>
        <v>MFH</v>
      </c>
      <c r="J2819" s="6" t="str">
        <f>IFERROR(__xludf.DUMMYFUNCTION("""COMPUTED_VALUE"""),"BSC")</f>
        <v>BSC</v>
      </c>
      <c r="K2819" s="6" t="str">
        <f>IFERROR(__xludf.DUMMYFUNCTION("""COMPUTED_VALUE"""),"SPR/25/12/008")</f>
        <v>SPR/25/12/008</v>
      </c>
      <c r="L2819" s="58">
        <f>IFERROR(__xludf.DUMMYFUNCTION("""COMPUTED_VALUE"""),46022.0)</f>
        <v>46022</v>
      </c>
    </row>
    <row r="2820">
      <c r="A2820" s="6" t="str">
        <f>IFERROR(__xludf.DUMMYFUNCTION("""COMPUTED_VALUE"""),"ROS")</f>
        <v>ROS</v>
      </c>
      <c r="B2820" s="6" t="str">
        <f>IFERROR(__xludf.DUMMYFUNCTION("""COMPUTED_VALUE"""),"ENG")</f>
        <v>ENG</v>
      </c>
      <c r="C2820" s="6" t="str">
        <f>IFERROR(__xludf.DUMMYFUNCTION("""COMPUTED_VALUE"""),"Q-60502-00")</f>
        <v>Q-60502-00</v>
      </c>
      <c r="D2820" s="6" t="str">
        <f>IFERROR(__xludf.DUMMYFUNCTION("""COMPUTED_VALUE"""),"Silicone Sealant, Silglaze, Type N10 White, pack size per pcs")</f>
        <v>Silicone Sealant, Silglaze, Type N10 White, pack size per pcs</v>
      </c>
      <c r="E2820" s="6">
        <f>IFERROR(__xludf.DUMMYFUNCTION("""COMPUTED_VALUE"""),1.0)</f>
        <v>1</v>
      </c>
      <c r="F2820" s="6">
        <f>IFERROR(__xludf.DUMMYFUNCTION("""COMPUTED_VALUE"""),1.0)</f>
        <v>1</v>
      </c>
      <c r="G2820" s="6">
        <f>IFERROR(__xludf.DUMMYFUNCTION("""COMPUTED_VALUE"""),0.0)</f>
        <v>0</v>
      </c>
      <c r="H2820" s="6" t="str">
        <f>IFERROR(__xludf.DUMMYFUNCTION("""COMPUTED_VALUE"""),"Pcs")</f>
        <v>Pcs</v>
      </c>
      <c r="I2820" s="6" t="str">
        <f>IFERROR(__xludf.DUMMYFUNCTION("""COMPUTED_VALUE"""),"MFH")</f>
        <v>MFH</v>
      </c>
      <c r="J2820" s="6" t="str">
        <f>IFERROR(__xludf.DUMMYFUNCTION("""COMPUTED_VALUE"""),"BSC")</f>
        <v>BSC</v>
      </c>
      <c r="K2820" s="6" t="str">
        <f>IFERROR(__xludf.DUMMYFUNCTION("""COMPUTED_VALUE"""),"SPR/25/12/008")</f>
        <v>SPR/25/12/008</v>
      </c>
      <c r="L2820" s="58">
        <f>IFERROR(__xludf.DUMMYFUNCTION("""COMPUTED_VALUE"""),46022.0)</f>
        <v>46022</v>
      </c>
    </row>
    <row r="2821">
      <c r="A2821" s="6" t="str">
        <f>IFERROR(__xludf.DUMMYFUNCTION("""COMPUTED_VALUE"""),"ROS")</f>
        <v>ROS</v>
      </c>
      <c r="B2821" s="6" t="str">
        <f>IFERROR(__xludf.DUMMYFUNCTION("""COMPUTED_VALUE"""),"ENG")</f>
        <v>ENG</v>
      </c>
      <c r="C2821" s="6" t="str">
        <f>IFERROR(__xludf.DUMMYFUNCTION("""COMPUTED_VALUE"""),"T-80109-00")</f>
        <v>T-80109-00</v>
      </c>
      <c r="D2821" s="6" t="str">
        <f>IFERROR(__xludf.DUMMYFUNCTION("""COMPUTED_VALUE"""),"Cellotape Kertas 1 inch warna Putih")</f>
        <v>Cellotape Kertas 1 inch warna Putih</v>
      </c>
      <c r="E2821" s="6">
        <f>IFERROR(__xludf.DUMMYFUNCTION("""COMPUTED_VALUE"""),1.0)</f>
        <v>1</v>
      </c>
      <c r="F2821" s="6">
        <f>IFERROR(__xludf.DUMMYFUNCTION("""COMPUTED_VALUE"""),1.0)</f>
        <v>1</v>
      </c>
      <c r="G2821" s="6">
        <f>IFERROR(__xludf.DUMMYFUNCTION("""COMPUTED_VALUE"""),0.0)</f>
        <v>0</v>
      </c>
      <c r="H2821" s="6" t="str">
        <f>IFERROR(__xludf.DUMMYFUNCTION("""COMPUTED_VALUE"""),"Pcs")</f>
        <v>Pcs</v>
      </c>
      <c r="I2821" s="6" t="str">
        <f>IFERROR(__xludf.DUMMYFUNCTION("""COMPUTED_VALUE"""),"MFH")</f>
        <v>MFH</v>
      </c>
      <c r="J2821" s="6" t="str">
        <f>IFERROR(__xludf.DUMMYFUNCTION("""COMPUTED_VALUE"""),"BSC")</f>
        <v>BSC</v>
      </c>
      <c r="K2821" s="6" t="str">
        <f>IFERROR(__xludf.DUMMYFUNCTION("""COMPUTED_VALUE"""),"SPR/25/12/008")</f>
        <v>SPR/25/12/008</v>
      </c>
      <c r="L2821" s="58">
        <f>IFERROR(__xludf.DUMMYFUNCTION("""COMPUTED_VALUE"""),46022.0)</f>
        <v>46022</v>
      </c>
    </row>
    <row r="2822">
      <c r="A2822" s="6" t="str">
        <f>IFERROR(__xludf.DUMMYFUNCTION("""COMPUTED_VALUE"""),"RIA")</f>
        <v>RIA</v>
      </c>
      <c r="B2822" s="6" t="str">
        <f>IFERROR(__xludf.DUMMYFUNCTION("""COMPUTED_VALUE"""),"ENG")</f>
        <v>ENG</v>
      </c>
      <c r="C2822" s="6" t="str">
        <f>IFERROR(__xludf.DUMMYFUNCTION("""COMPUTED_VALUE"""),"S-40645-00")</f>
        <v>S-40645-00</v>
      </c>
      <c r="D2822" s="6" t="str">
        <f>IFERROR(__xludf.DUMMYFUNCTION("""COMPUTED_VALUE"""),"Cable Ties, 200 x 4.8 mm; SIGMA; CS 200L; Putih;100 pcs/pack")</f>
        <v>Cable Ties, 200 x 4.8 mm; SIGMA; CS 200L; Putih;100 pcs/pack</v>
      </c>
      <c r="E2822" s="6">
        <f>IFERROR(__xludf.DUMMYFUNCTION("""COMPUTED_VALUE"""),2.0)</f>
        <v>2</v>
      </c>
      <c r="F2822" s="6">
        <f>IFERROR(__xludf.DUMMYFUNCTION("""COMPUTED_VALUE"""),2.0)</f>
        <v>2</v>
      </c>
      <c r="G2822" s="6">
        <f>IFERROR(__xludf.DUMMYFUNCTION("""COMPUTED_VALUE"""),0.0)</f>
        <v>0</v>
      </c>
      <c r="H2822" s="6" t="str">
        <f>IFERROR(__xludf.DUMMYFUNCTION("""COMPUTED_VALUE"""),"Pcs")</f>
        <v>Pcs</v>
      </c>
      <c r="I2822" s="6" t="str">
        <f>IFERROR(__xludf.DUMMYFUNCTION("""COMPUTED_VALUE"""),"MFH")</f>
        <v>MFH</v>
      </c>
      <c r="J2822" s="6" t="str">
        <f>IFERROR(__xludf.DUMMYFUNCTION("""COMPUTED_VALUE"""),"-")</f>
        <v>-</v>
      </c>
      <c r="K2822" s="6" t="str">
        <f>IFERROR(__xludf.DUMMYFUNCTION("""COMPUTED_VALUE"""),"SPR/25/12/009")</f>
        <v>SPR/25/12/009</v>
      </c>
      <c r="L2822" s="58">
        <f>IFERROR(__xludf.DUMMYFUNCTION("""COMPUTED_VALUE"""),46022.0)</f>
        <v>46022</v>
      </c>
    </row>
    <row r="2823">
      <c r="A2823" s="6" t="str">
        <f>IFERROR(__xludf.DUMMYFUNCTION("""COMPUTED_VALUE"""),"RIA")</f>
        <v>RIA</v>
      </c>
      <c r="B2823" s="6" t="str">
        <f>IFERROR(__xludf.DUMMYFUNCTION("""COMPUTED_VALUE"""),"ENG")</f>
        <v>ENG</v>
      </c>
      <c r="C2823" s="6" t="str">
        <f>IFERROR(__xludf.DUMMYFUNCTION("""COMPUTED_VALUE"""),"P-51027-00")</f>
        <v>P-51027-00</v>
      </c>
      <c r="D2823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823" s="6">
        <f>IFERROR(__xludf.DUMMYFUNCTION("""COMPUTED_VALUE"""),1.0)</f>
        <v>1</v>
      </c>
      <c r="F2823" s="6">
        <f>IFERROR(__xludf.DUMMYFUNCTION("""COMPUTED_VALUE"""),1.0)</f>
        <v>1</v>
      </c>
      <c r="G2823" s="6">
        <f>IFERROR(__xludf.DUMMYFUNCTION("""COMPUTED_VALUE"""),0.0)</f>
        <v>0</v>
      </c>
      <c r="H2823" s="6" t="str">
        <f>IFERROR(__xludf.DUMMYFUNCTION("""COMPUTED_VALUE"""),"Pcs")</f>
        <v>Pcs</v>
      </c>
      <c r="I2823" s="6" t="str">
        <f>IFERROR(__xludf.DUMMYFUNCTION("""COMPUTED_VALUE"""),"MFH")</f>
        <v>MFH</v>
      </c>
      <c r="J2823" s="6" t="str">
        <f>IFERROR(__xludf.DUMMYFUNCTION("""COMPUTED_VALUE"""),"-")</f>
        <v>-</v>
      </c>
      <c r="K2823" s="6" t="str">
        <f>IFERROR(__xludf.DUMMYFUNCTION("""COMPUTED_VALUE"""),"SPR/25/12/009")</f>
        <v>SPR/25/12/009</v>
      </c>
      <c r="L2823" s="58">
        <f>IFERROR(__xludf.DUMMYFUNCTION("""COMPUTED_VALUE"""),46022.0)</f>
        <v>46022</v>
      </c>
    </row>
    <row r="2824">
      <c r="A2824" s="6" t="str">
        <f>IFERROR(__xludf.DUMMYFUNCTION("""COMPUTED_VALUE"""),"RIA")</f>
        <v>RIA</v>
      </c>
      <c r="B2824" s="6" t="str">
        <f>IFERROR(__xludf.DUMMYFUNCTION("""COMPUTED_VALUE"""),"ENG")</f>
        <v>ENG</v>
      </c>
      <c r="C2824" s="6" t="str">
        <f>IFERROR(__xludf.DUMMYFUNCTION("""COMPUTED_VALUE"""),"O-15931-00")</f>
        <v>O-15931-00</v>
      </c>
      <c r="D2824" s="6" t="str">
        <f>IFERROR(__xludf.DUMMYFUNCTION("""COMPUTED_VALUE"""),"Double Tape 3M 1"" Merah - P/N : -  pc")</f>
        <v>Double Tape 3M 1" Merah - P/N : -  pc</v>
      </c>
      <c r="E2824" s="6">
        <f>IFERROR(__xludf.DUMMYFUNCTION("""COMPUTED_VALUE"""),1.0)</f>
        <v>1</v>
      </c>
      <c r="F2824" s="6">
        <f>IFERROR(__xludf.DUMMYFUNCTION("""COMPUTED_VALUE"""),1.0)</f>
        <v>1</v>
      </c>
      <c r="G2824" s="6">
        <f>IFERROR(__xludf.DUMMYFUNCTION("""COMPUTED_VALUE"""),0.0)</f>
        <v>0</v>
      </c>
      <c r="H2824" s="6" t="str">
        <f>IFERROR(__xludf.DUMMYFUNCTION("""COMPUTED_VALUE"""),"Pcs")</f>
        <v>Pcs</v>
      </c>
      <c r="I2824" s="6" t="str">
        <f>IFERROR(__xludf.DUMMYFUNCTION("""COMPUTED_VALUE"""),"MFH")</f>
        <v>MFH</v>
      </c>
      <c r="J2824" s="6" t="str">
        <f>IFERROR(__xludf.DUMMYFUNCTION("""COMPUTED_VALUE"""),"-")</f>
        <v>-</v>
      </c>
      <c r="K2824" s="6" t="str">
        <f>IFERROR(__xludf.DUMMYFUNCTION("""COMPUTED_VALUE"""),"SPR/25/12/009")</f>
        <v>SPR/25/12/009</v>
      </c>
      <c r="L2824" s="58">
        <f>IFERROR(__xludf.DUMMYFUNCTION("""COMPUTED_VALUE"""),46022.0)</f>
        <v>46022</v>
      </c>
    </row>
    <row r="2825">
      <c r="A2825" s="6" t="str">
        <f>IFERROR(__xludf.DUMMYFUNCTION("""COMPUTED_VALUE"""),"RIA")</f>
        <v>RIA</v>
      </c>
      <c r="B2825" s="6" t="str">
        <f>IFERROR(__xludf.DUMMYFUNCTION("""COMPUTED_VALUE"""),"ENG")</f>
        <v>ENG</v>
      </c>
      <c r="C2825" s="6" t="str">
        <f>IFERROR(__xludf.DUMMYFUNCTION("""COMPUTED_VALUE"""),"P-54312-00")</f>
        <v>P-54312-00</v>
      </c>
      <c r="D2825" s="6" t="str">
        <f>IFERROR(__xludf.DUMMYFUNCTION("""COMPUTED_VALUE"""),"General - Level Switch ERV 1/8 Inch Steris; Austar; -; 1 pc")</f>
        <v>General - Level Switch ERV 1/8 Inch Steris; Austar; -; 1 pc</v>
      </c>
      <c r="E2825" s="6">
        <f>IFERROR(__xludf.DUMMYFUNCTION("""COMPUTED_VALUE"""),1.0)</f>
        <v>1</v>
      </c>
      <c r="F2825" s="6">
        <f>IFERROR(__xludf.DUMMYFUNCTION("""COMPUTED_VALUE"""),1.0)</f>
        <v>1</v>
      </c>
      <c r="G2825" s="6">
        <f>IFERROR(__xludf.DUMMYFUNCTION("""COMPUTED_VALUE"""),0.0)</f>
        <v>0</v>
      </c>
      <c r="H2825" s="6" t="str">
        <f>IFERROR(__xludf.DUMMYFUNCTION("""COMPUTED_VALUE"""),"Pcs")</f>
        <v>Pcs</v>
      </c>
      <c r="I2825" s="6" t="str">
        <f>IFERROR(__xludf.DUMMYFUNCTION("""COMPUTED_VALUE"""),"MFH")</f>
        <v>MFH</v>
      </c>
      <c r="J2825" s="6" t="str">
        <f>IFERROR(__xludf.DUMMYFUNCTION("""COMPUTED_VALUE"""),"WFIG")</f>
        <v>WFIG</v>
      </c>
      <c r="K2825" s="6" t="str">
        <f>IFERROR(__xludf.DUMMYFUNCTION("""COMPUTED_VALUE"""),"SPR/25/12/010")</f>
        <v>SPR/25/12/010</v>
      </c>
      <c r="L2825" s="58">
        <f>IFERROR(__xludf.DUMMYFUNCTION("""COMPUTED_VALUE"""),46022.0)</f>
        <v>46022</v>
      </c>
    </row>
    <row r="2826">
      <c r="A2826" s="6" t="str">
        <f>IFERROR(__xludf.DUMMYFUNCTION("""COMPUTED_VALUE"""),"RIA")</f>
        <v>RIA</v>
      </c>
      <c r="B2826" s="6" t="str">
        <f>IFERROR(__xludf.DUMMYFUNCTION("""COMPUTED_VALUE"""),"ENG")</f>
        <v>ENG</v>
      </c>
      <c r="C2826" s="6" t="str">
        <f>IFERROR(__xludf.DUMMYFUNCTION("""COMPUTED_VALUE"""),"P-54224-00")</f>
        <v>P-54224-00</v>
      </c>
      <c r="D2826" s="6" t="str">
        <f>IFERROR(__xludf.DUMMYFUNCTION("""COMPUTED_VALUE"""),"Lampu TL Emergency 18W; Custom; ;")</f>
        <v>Lampu TL Emergency 18W; Custom; ;</v>
      </c>
      <c r="E2826" s="6">
        <f>IFERROR(__xludf.DUMMYFUNCTION("""COMPUTED_VALUE"""),2.0)</f>
        <v>2</v>
      </c>
      <c r="F2826" s="6">
        <f>IFERROR(__xludf.DUMMYFUNCTION("""COMPUTED_VALUE"""),2.0)</f>
        <v>2</v>
      </c>
      <c r="G2826" s="6">
        <f>IFERROR(__xludf.DUMMYFUNCTION("""COMPUTED_VALUE"""),0.0)</f>
        <v>0</v>
      </c>
      <c r="H2826" s="6" t="str">
        <f>IFERROR(__xludf.DUMMYFUNCTION("""COMPUTED_VALUE"""),"Pcs")</f>
        <v>Pcs</v>
      </c>
      <c r="I2826" s="6" t="str">
        <f>IFERROR(__xludf.DUMMYFUNCTION("""COMPUTED_VALUE"""),"MFH")</f>
        <v>MFH</v>
      </c>
      <c r="J2826" s="6" t="str">
        <f>IFERROR(__xludf.DUMMYFUNCTION("""COMPUTED_VALUE"""),"-")</f>
        <v>-</v>
      </c>
      <c r="K2826" s="6" t="str">
        <f>IFERROR(__xludf.DUMMYFUNCTION("""COMPUTED_VALUE"""),"SPR/25/12/010")</f>
        <v>SPR/25/12/010</v>
      </c>
      <c r="L2826" s="58">
        <f>IFERROR(__xludf.DUMMYFUNCTION("""COMPUTED_VALUE"""),46022.0)</f>
        <v>46022</v>
      </c>
    </row>
    <row r="2827">
      <c r="A2827" s="6" t="str">
        <f>IFERROR(__xludf.DUMMYFUNCTION("""COMPUTED_VALUE"""),"RIA")</f>
        <v>RIA</v>
      </c>
      <c r="B2827" s="6" t="str">
        <f>IFERROR(__xludf.DUMMYFUNCTION("""COMPUTED_VALUE"""),"ENG")</f>
        <v>ENG</v>
      </c>
      <c r="C2827" s="6" t="str">
        <f>IFERROR(__xludf.DUMMYFUNCTION("""COMPUTED_VALUE"""),"-")</f>
        <v>-</v>
      </c>
      <c r="D2827" s="6" t="str">
        <f>IFERROR(__xludf.DUMMYFUNCTION("""COMPUTED_VALUE"""),"Lampu LED TL")</f>
        <v>Lampu LED TL</v>
      </c>
      <c r="E2827" s="6">
        <f>IFERROR(__xludf.DUMMYFUNCTION("""COMPUTED_VALUE"""),3.0)</f>
        <v>3</v>
      </c>
      <c r="F2827" s="6">
        <f>IFERROR(__xludf.DUMMYFUNCTION("""COMPUTED_VALUE"""),3.0)</f>
        <v>3</v>
      </c>
      <c r="G2827" s="6">
        <f>IFERROR(__xludf.DUMMYFUNCTION("""COMPUTED_VALUE"""),0.0)</f>
        <v>0</v>
      </c>
      <c r="H2827" s="6" t="str">
        <f>IFERROR(__xludf.DUMMYFUNCTION("""COMPUTED_VALUE"""),"Pcs")</f>
        <v>Pcs</v>
      </c>
      <c r="I2827" s="6" t="str">
        <f>IFERROR(__xludf.DUMMYFUNCTION("""COMPUTED_VALUE"""),"MFH")</f>
        <v>MFH</v>
      </c>
      <c r="J2827" s="6" t="str">
        <f>IFERROR(__xludf.DUMMYFUNCTION("""COMPUTED_VALUE"""),"-")</f>
        <v>-</v>
      </c>
      <c r="K2827" s="6" t="str">
        <f>IFERROR(__xludf.DUMMYFUNCTION("""COMPUTED_VALUE"""),"SPR/25/12/010")</f>
        <v>SPR/25/12/010</v>
      </c>
      <c r="L2827" s="58">
        <f>IFERROR(__xludf.DUMMYFUNCTION("""COMPUTED_VALUE"""),46022.0)</f>
        <v>46022</v>
      </c>
    </row>
    <row r="2828">
      <c r="A2828" s="6" t="str">
        <f>IFERROR(__xludf.DUMMYFUNCTION("""COMPUTED_VALUE"""),"RIA")</f>
        <v>RIA</v>
      </c>
      <c r="B2828" s="6" t="str">
        <f>IFERROR(__xludf.DUMMYFUNCTION("""COMPUTED_VALUE"""),"ENG")</f>
        <v>ENG</v>
      </c>
      <c r="C2828" s="6" t="str">
        <f>IFERROR(__xludf.DUMMYFUNCTION("""COMPUTED_VALUE"""),"O-51850-00")</f>
        <v>O-51850-00</v>
      </c>
      <c r="D2828" s="6" t="str">
        <f>IFERROR(__xludf.DUMMYFUNCTION("""COMPUTED_VALUE"""),"Power Supply 220 VAC 12 VDC, 3 Ampere; ; ;")</f>
        <v>Power Supply 220 VAC 12 VDC, 3 Ampere; ; ;</v>
      </c>
      <c r="E2828" s="6">
        <f>IFERROR(__xludf.DUMMYFUNCTION("""COMPUTED_VALUE"""),1.0)</f>
        <v>1</v>
      </c>
      <c r="F2828" s="6">
        <f>IFERROR(__xludf.DUMMYFUNCTION("""COMPUTED_VALUE"""),1.0)</f>
        <v>1</v>
      </c>
      <c r="G2828" s="6">
        <f>IFERROR(__xludf.DUMMYFUNCTION("""COMPUTED_VALUE"""),0.0)</f>
        <v>0</v>
      </c>
      <c r="H2828" s="6" t="str">
        <f>IFERROR(__xludf.DUMMYFUNCTION("""COMPUTED_VALUE"""),"pcs")</f>
        <v>pcs</v>
      </c>
      <c r="I2828" s="6" t="str">
        <f>IFERROR(__xludf.DUMMYFUNCTION("""COMPUTED_VALUE"""),"MFH")</f>
        <v>MFH</v>
      </c>
      <c r="J2828" s="6" t="str">
        <f>IFERROR(__xludf.DUMMYFUNCTION("""COMPUTED_VALUE"""),"-")</f>
        <v>-</v>
      </c>
      <c r="K2828" s="6" t="str">
        <f>IFERROR(__xludf.DUMMYFUNCTION("""COMPUTED_VALUE"""),"SPR/25/12/011")</f>
        <v>SPR/25/12/011</v>
      </c>
      <c r="L2828" s="58">
        <f>IFERROR(__xludf.DUMMYFUNCTION("""COMPUTED_VALUE"""),46022.0)</f>
        <v>46022</v>
      </c>
    </row>
    <row r="2829">
      <c r="A2829" s="6" t="str">
        <f>IFERROR(__xludf.DUMMYFUNCTION("""COMPUTED_VALUE"""),"RIA")</f>
        <v>RIA</v>
      </c>
      <c r="B2829" s="6" t="str">
        <f>IFERROR(__xludf.DUMMYFUNCTION("""COMPUTED_VALUE"""),"ENG")</f>
        <v>ENG</v>
      </c>
      <c r="C2829" s="6" t="str">
        <f>IFERROR(__xludf.DUMMYFUNCTION("""COMPUTED_VALUE"""),"P-54284-00")</f>
        <v>P-54284-00</v>
      </c>
      <c r="D2829" s="6" t="str">
        <f>IFERROR(__xludf.DUMMYFUNCTION("""COMPUTED_VALUE"""),"SCHINDLER ELEVATOR - Interphone; Schindler; -; 1 pc")</f>
        <v>SCHINDLER ELEVATOR - Interphone; Schindler; -; 1 pc</v>
      </c>
      <c r="E2829" s="6">
        <f>IFERROR(__xludf.DUMMYFUNCTION("""COMPUTED_VALUE"""),1.0)</f>
        <v>1</v>
      </c>
      <c r="F2829" s="6">
        <f>IFERROR(__xludf.DUMMYFUNCTION("""COMPUTED_VALUE"""),1.0)</f>
        <v>1</v>
      </c>
      <c r="G2829" s="6">
        <f>IFERROR(__xludf.DUMMYFUNCTION("""COMPUTED_VALUE"""),0.0)</f>
        <v>0</v>
      </c>
      <c r="H2829" s="6" t="str">
        <f>IFERROR(__xludf.DUMMYFUNCTION("""COMPUTED_VALUE"""),"pcs")</f>
        <v>pcs</v>
      </c>
      <c r="I2829" s="6" t="str">
        <f>IFERROR(__xludf.DUMMYFUNCTION("""COMPUTED_VALUE"""),"MFH")</f>
        <v>MFH</v>
      </c>
      <c r="J2829" s="6" t="str">
        <f>IFERROR(__xludf.DUMMYFUNCTION("""COMPUTED_VALUE"""),"-")</f>
        <v>-</v>
      </c>
      <c r="K2829" s="6" t="str">
        <f>IFERROR(__xludf.DUMMYFUNCTION("""COMPUTED_VALUE"""),"SPR/25/12/011")</f>
        <v>SPR/25/12/011</v>
      </c>
      <c r="L2829" s="58">
        <f>IFERROR(__xludf.DUMMYFUNCTION("""COMPUTED_VALUE"""),46022.0)</f>
        <v>46022</v>
      </c>
    </row>
    <row r="2830">
      <c r="A2830" s="6" t="str">
        <f>IFERROR(__xludf.DUMMYFUNCTION("""COMPUTED_VALUE"""),"RIA")</f>
        <v>RIA</v>
      </c>
      <c r="B2830" s="6" t="str">
        <f>IFERROR(__xludf.DUMMYFUNCTION("""COMPUTED_VALUE"""),"ENG")</f>
        <v>ENG</v>
      </c>
      <c r="C2830" s="6" t="str">
        <f>IFERROR(__xludf.DUMMYFUNCTION("""COMPUTED_VALUE"""),"P-19955-00")</f>
        <v>P-19955-00</v>
      </c>
      <c r="D2830" s="6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E2830" s="6">
        <f>IFERROR(__xludf.DUMMYFUNCTION("""COMPUTED_VALUE"""),1.0)</f>
        <v>1</v>
      </c>
      <c r="F2830" s="6">
        <f>IFERROR(__xludf.DUMMYFUNCTION("""COMPUTED_VALUE"""),1.0)</f>
        <v>1</v>
      </c>
      <c r="G2830" s="6">
        <f>IFERROR(__xludf.DUMMYFUNCTION("""COMPUTED_VALUE"""),0.0)</f>
        <v>0</v>
      </c>
      <c r="H2830" s="6" t="str">
        <f>IFERROR(__xludf.DUMMYFUNCTION("""COMPUTED_VALUE"""),"pcs")</f>
        <v>pcs</v>
      </c>
      <c r="I2830" s="6" t="str">
        <f>IFERROR(__xludf.DUMMYFUNCTION("""COMPUTED_VALUE"""),"MFH")</f>
        <v>MFH</v>
      </c>
      <c r="J2830" s="6" t="str">
        <f>IFERROR(__xludf.DUMMYFUNCTION("""COMPUTED_VALUE"""),"-")</f>
        <v>-</v>
      </c>
      <c r="K2830" s="6" t="str">
        <f>IFERROR(__xludf.DUMMYFUNCTION("""COMPUTED_VALUE"""),"SPR/25/12/011")</f>
        <v>SPR/25/12/011</v>
      </c>
      <c r="L2830" s="58">
        <f>IFERROR(__xludf.DUMMYFUNCTION("""COMPUTED_VALUE"""),46022.0)</f>
        <v>46022</v>
      </c>
    </row>
    <row r="2831">
      <c r="A2831" s="6" t="str">
        <f>IFERROR(__xludf.DUMMYFUNCTION("""COMPUTED_VALUE"""),"MRN")</f>
        <v>MRN</v>
      </c>
      <c r="B2831" s="6" t="str">
        <f>IFERROR(__xludf.DUMMYFUNCTION("""COMPUTED_VALUE"""),"ENG")</f>
        <v>ENG</v>
      </c>
      <c r="C2831" s="6" t="str">
        <f>IFERROR(__xludf.DUMMYFUNCTION("""COMPUTED_VALUE"""),"Q-60025-00")</f>
        <v>Q-60025-00</v>
      </c>
      <c r="D2831" s="6" t="str">
        <f>IFERROR(__xludf.DUMMYFUNCTION("""COMPUTED_VALUE"""),"Kuas Eterna 1 inchi")</f>
        <v>Kuas Eterna 1 inchi</v>
      </c>
      <c r="E2831" s="6">
        <f>IFERROR(__xludf.DUMMYFUNCTION("""COMPUTED_VALUE"""),1.0)</f>
        <v>1</v>
      </c>
      <c r="F2831" s="6">
        <f>IFERROR(__xludf.DUMMYFUNCTION("""COMPUTED_VALUE"""),1.0)</f>
        <v>1</v>
      </c>
      <c r="G2831" s="6">
        <f>IFERROR(__xludf.DUMMYFUNCTION("""COMPUTED_VALUE"""),0.0)</f>
        <v>0</v>
      </c>
      <c r="H2831" s="6" t="str">
        <f>IFERROR(__xludf.DUMMYFUNCTION("""COMPUTED_VALUE"""),"Pcs")</f>
        <v>Pcs</v>
      </c>
      <c r="I2831" s="6" t="str">
        <f>IFERROR(__xludf.DUMMYFUNCTION("""COMPUTED_VALUE"""),"MFH")</f>
        <v>MFH</v>
      </c>
      <c r="J2831" s="6" t="str">
        <f>IFERROR(__xludf.DUMMYFUNCTION("""COMPUTED_VALUE"""),"Building")</f>
        <v>Building</v>
      </c>
      <c r="K2831" s="6" t="str">
        <f>IFERROR(__xludf.DUMMYFUNCTION("""COMPUTED_VALUE"""),"SPR/25/12/012")</f>
        <v>SPR/25/12/012</v>
      </c>
      <c r="L2831" s="58">
        <f>IFERROR(__xludf.DUMMYFUNCTION("""COMPUTED_VALUE"""),46022.0)</f>
        <v>46022</v>
      </c>
    </row>
    <row r="2832">
      <c r="A2832" s="6" t="str">
        <f>IFERROR(__xludf.DUMMYFUNCTION("""COMPUTED_VALUE"""),"MRN")</f>
        <v>MRN</v>
      </c>
      <c r="B2832" s="6" t="str">
        <f>IFERROR(__xludf.DUMMYFUNCTION("""COMPUTED_VALUE"""),"ENG")</f>
        <v>ENG</v>
      </c>
      <c r="C2832" s="6" t="str">
        <f>IFERROR(__xludf.DUMMYFUNCTION("""COMPUTED_VALUE"""),"P-11404-00")</f>
        <v>P-11404-00</v>
      </c>
      <c r="D2832" s="6" t="str">
        <f>IFERROR(__xludf.DUMMYFUNCTION("""COMPUTED_VALUE"""),"Seal Ferrule Teflon 1 1/2""")</f>
        <v>Seal Ferrule Teflon 1 1/2"</v>
      </c>
      <c r="E2832" s="6">
        <f>IFERROR(__xludf.DUMMYFUNCTION("""COMPUTED_VALUE"""),1.0)</f>
        <v>1</v>
      </c>
      <c r="F2832" s="6">
        <f>IFERROR(__xludf.DUMMYFUNCTION("""COMPUTED_VALUE"""),1.0)</f>
        <v>1</v>
      </c>
      <c r="G2832" s="6">
        <f>IFERROR(__xludf.DUMMYFUNCTION("""COMPUTED_VALUE"""),0.0)</f>
        <v>0</v>
      </c>
      <c r="H2832" s="6" t="str">
        <f>IFERROR(__xludf.DUMMYFUNCTION("""COMPUTED_VALUE"""),"Pcs")</f>
        <v>Pcs</v>
      </c>
      <c r="I2832" s="6" t="str">
        <f>IFERROR(__xludf.DUMMYFUNCTION("""COMPUTED_VALUE"""),"MFH")</f>
        <v>MFH</v>
      </c>
      <c r="J2832" s="6" t="str">
        <f>IFERROR(__xludf.DUMMYFUNCTION("""COMPUTED_VALUE"""),"-")</f>
        <v>-</v>
      </c>
      <c r="K2832" s="6" t="str">
        <f>IFERROR(__xludf.DUMMYFUNCTION("""COMPUTED_VALUE"""),"SPR/25/12/012")</f>
        <v>SPR/25/12/012</v>
      </c>
      <c r="L2832" s="58">
        <f>IFERROR(__xludf.DUMMYFUNCTION("""COMPUTED_VALUE"""),46022.0)</f>
        <v>46022</v>
      </c>
    </row>
    <row r="2833">
      <c r="A2833" s="6" t="str">
        <f>IFERROR(__xludf.DUMMYFUNCTION("""COMPUTED_VALUE"""),"MRN")</f>
        <v>MRN</v>
      </c>
      <c r="B2833" s="6" t="str">
        <f>IFERROR(__xludf.DUMMYFUNCTION("""COMPUTED_VALUE"""),"ENG")</f>
        <v>ENG</v>
      </c>
      <c r="C2833" s="6" t="str">
        <f>IFERROR(__xludf.DUMMYFUNCTION("""COMPUTED_VALUE"""),"O-53237-00")</f>
        <v>O-53237-00</v>
      </c>
      <c r="D2833" s="6" t="str">
        <f>IFERROR(__xludf.DUMMYFUNCTION("""COMPUTED_VALUE"""),"General - Power Base TeSys 32A; Schneider; LUB32; 1 Pc")</f>
        <v>General - Power Base TeSys 32A; Schneider; LUB32; 1 Pc</v>
      </c>
      <c r="E2833" s="6">
        <f>IFERROR(__xludf.DUMMYFUNCTION("""COMPUTED_VALUE"""),1.0)</f>
        <v>1</v>
      </c>
      <c r="F2833" s="6">
        <f>IFERROR(__xludf.DUMMYFUNCTION("""COMPUTED_VALUE"""),1.0)</f>
        <v>1</v>
      </c>
      <c r="G2833" s="6">
        <f>IFERROR(__xludf.DUMMYFUNCTION("""COMPUTED_VALUE"""),0.0)</f>
        <v>0</v>
      </c>
      <c r="H2833" s="6" t="str">
        <f>IFERROR(__xludf.DUMMYFUNCTION("""COMPUTED_VALUE"""),"Pcs")</f>
        <v>Pcs</v>
      </c>
      <c r="I2833" s="6" t="str">
        <f>IFERROR(__xludf.DUMMYFUNCTION("""COMPUTED_VALUE"""),"MFH")</f>
        <v>MFH</v>
      </c>
      <c r="J2833" s="6" t="str">
        <f>IFERROR(__xludf.DUMMYFUNCTION("""COMPUTED_VALUE"""),"-")</f>
        <v>-</v>
      </c>
      <c r="K2833" s="6" t="str">
        <f>IFERROR(__xludf.DUMMYFUNCTION("""COMPUTED_VALUE"""),"SPR/25/12/012")</f>
        <v>SPR/25/12/012</v>
      </c>
      <c r="L2833" s="58">
        <f>IFERROR(__xludf.DUMMYFUNCTION("""COMPUTED_VALUE"""),46022.0)</f>
        <v>46022</v>
      </c>
    </row>
    <row r="2834">
      <c r="A2834" s="6" t="str">
        <f>IFERROR(__xludf.DUMMYFUNCTION("""COMPUTED_VALUE"""),"SFH")</f>
        <v>SFH</v>
      </c>
      <c r="B2834" s="6" t="str">
        <f>IFERROR(__xludf.DUMMYFUNCTION("""COMPUTED_VALUE"""),"ENG")</f>
        <v>ENG</v>
      </c>
      <c r="C2834" s="6" t="str">
        <f>IFERROR(__xludf.DUMMYFUNCTION("""COMPUTED_VALUE"""),"P-15852-00")</f>
        <v>P-15852-00</v>
      </c>
      <c r="D2834" s="6" t="str">
        <f>IFERROR(__xludf.DUMMYFUNCTION("""COMPUTED_VALUE"""),"AMPLAS  EAGLE 500")</f>
        <v>AMPLAS  EAGLE 500</v>
      </c>
      <c r="E2834" s="6">
        <f>IFERROR(__xludf.DUMMYFUNCTION("""COMPUTED_VALUE"""),6.0)</f>
        <v>6</v>
      </c>
      <c r="F2834" s="6">
        <f>IFERROR(__xludf.DUMMYFUNCTION("""COMPUTED_VALUE"""),6.0)</f>
        <v>6</v>
      </c>
      <c r="G2834" s="6">
        <f>IFERROR(__xludf.DUMMYFUNCTION("""COMPUTED_VALUE"""),0.0)</f>
        <v>0</v>
      </c>
      <c r="H2834" s="6" t="str">
        <f>IFERROR(__xludf.DUMMYFUNCTION("""COMPUTED_VALUE"""),"Pcs")</f>
        <v>Pcs</v>
      </c>
      <c r="I2834" s="6" t="str">
        <f>IFERROR(__xludf.DUMMYFUNCTION("""COMPUTED_VALUE"""),"MFH")</f>
        <v>MFH</v>
      </c>
      <c r="J2834" s="6" t="str">
        <f>IFERROR(__xludf.DUMMYFUNCTION("""COMPUTED_VALUE"""),"-")</f>
        <v>-</v>
      </c>
      <c r="K2834" s="6" t="str">
        <f>IFERROR(__xludf.DUMMYFUNCTION("""COMPUTED_VALUE"""),"SPR/25/12/013")</f>
        <v>SPR/25/12/013</v>
      </c>
      <c r="L2834" s="58">
        <f>IFERROR(__xludf.DUMMYFUNCTION("""COMPUTED_VALUE"""),46022.0)</f>
        <v>46022</v>
      </c>
    </row>
    <row r="2835">
      <c r="A2835" s="6" t="str">
        <f>IFERROR(__xludf.DUMMYFUNCTION("""COMPUTED_VALUE"""),"SFH")</f>
        <v>SFH</v>
      </c>
      <c r="B2835" s="6" t="str">
        <f>IFERROR(__xludf.DUMMYFUNCTION("""COMPUTED_VALUE"""),"ENG")</f>
        <v>ENG</v>
      </c>
      <c r="C2835" s="6" t="str">
        <f>IFERROR(__xludf.DUMMYFUNCTION("""COMPUTED_VALUE"""),"Q-10154-00")</f>
        <v>Q-10154-00</v>
      </c>
      <c r="D2835" s="6" t="str">
        <f>IFERROR(__xludf.DUMMYFUNCTION("""COMPUTED_VALUE"""),"Roller cat 230mm")</f>
        <v>Roller cat 230mm</v>
      </c>
      <c r="E2835" s="6">
        <f>IFERROR(__xludf.DUMMYFUNCTION("""COMPUTED_VALUE"""),3.0)</f>
        <v>3</v>
      </c>
      <c r="F2835" s="6">
        <f>IFERROR(__xludf.DUMMYFUNCTION("""COMPUTED_VALUE"""),3.0)</f>
        <v>3</v>
      </c>
      <c r="G2835" s="6">
        <f>IFERROR(__xludf.DUMMYFUNCTION("""COMPUTED_VALUE"""),0.0)</f>
        <v>0</v>
      </c>
      <c r="H2835" s="6" t="str">
        <f>IFERROR(__xludf.DUMMYFUNCTION("""COMPUTED_VALUE"""),"Pcs")</f>
        <v>Pcs</v>
      </c>
      <c r="I2835" s="6" t="str">
        <f>IFERROR(__xludf.DUMMYFUNCTION("""COMPUTED_VALUE"""),"MFH")</f>
        <v>MFH</v>
      </c>
      <c r="J2835" s="6" t="str">
        <f>IFERROR(__xludf.DUMMYFUNCTION("""COMPUTED_VALUE"""),"-")</f>
        <v>-</v>
      </c>
      <c r="K2835" s="6" t="str">
        <f>IFERROR(__xludf.DUMMYFUNCTION("""COMPUTED_VALUE"""),"SPR/25/12/013")</f>
        <v>SPR/25/12/013</v>
      </c>
      <c r="L2835" s="58">
        <f>IFERROR(__xludf.DUMMYFUNCTION("""COMPUTED_VALUE"""),46022.0)</f>
        <v>46022</v>
      </c>
    </row>
    <row r="2836">
      <c r="A2836" s="6" t="str">
        <f>IFERROR(__xludf.DUMMYFUNCTION("""COMPUTED_VALUE"""),"SFH")</f>
        <v>SFH</v>
      </c>
      <c r="B2836" s="6" t="str">
        <f>IFERROR(__xludf.DUMMYFUNCTION("""COMPUTED_VALUE"""),"ENG")</f>
        <v>ENG</v>
      </c>
      <c r="C2836" s="6" t="str">
        <f>IFERROR(__xludf.DUMMYFUNCTION("""COMPUTED_VALUE"""),"Q-90767-00")</f>
        <v>Q-90767-00</v>
      </c>
      <c r="D2836" s="6" t="str">
        <f>IFERROR(__xludf.DUMMYFUNCTION("""COMPUTED_VALUE"""),"Cat Weathershield Day Break;Dulux;Type 40544M Day Break;pack size per 20L pail")</f>
        <v>Cat Weathershield Day Break;Dulux;Type 40544M Day Break;pack size per 20L pail</v>
      </c>
      <c r="E2836" s="6">
        <f>IFERROR(__xludf.DUMMYFUNCTION("""COMPUTED_VALUE"""),1.0)</f>
        <v>1</v>
      </c>
      <c r="F2836" s="6">
        <f>IFERROR(__xludf.DUMMYFUNCTION("""COMPUTED_VALUE"""),1.0)</f>
        <v>1</v>
      </c>
      <c r="G2836" s="6">
        <f>IFERROR(__xludf.DUMMYFUNCTION("""COMPUTED_VALUE"""),0.0)</f>
        <v>0</v>
      </c>
      <c r="H2836" s="6" t="str">
        <f>IFERROR(__xludf.DUMMYFUNCTION("""COMPUTED_VALUE"""),"Pcs")</f>
        <v>Pcs</v>
      </c>
      <c r="I2836" s="6" t="str">
        <f>IFERROR(__xludf.DUMMYFUNCTION("""COMPUTED_VALUE"""),"MFH")</f>
        <v>MFH</v>
      </c>
      <c r="J2836" s="6" t="str">
        <f>IFERROR(__xludf.DUMMYFUNCTION("""COMPUTED_VALUE"""),"-")</f>
        <v>-</v>
      </c>
      <c r="K2836" s="6" t="str">
        <f>IFERROR(__xludf.DUMMYFUNCTION("""COMPUTED_VALUE"""),"SPR/25/12/013")</f>
        <v>SPR/25/12/013</v>
      </c>
      <c r="L2836" s="58">
        <f>IFERROR(__xludf.DUMMYFUNCTION("""COMPUTED_VALUE"""),46022.0)</f>
        <v>46022</v>
      </c>
    </row>
    <row r="2837">
      <c r="A2837" s="6" t="str">
        <f>IFERROR(__xludf.DUMMYFUNCTION("""COMPUTED_VALUE"""),"MRN")</f>
        <v>MRN</v>
      </c>
      <c r="B2837" s="6" t="str">
        <f>IFERROR(__xludf.DUMMYFUNCTION("""COMPUTED_VALUE"""),"ENG")</f>
        <v>ENG</v>
      </c>
      <c r="C2837" s="6" t="str">
        <f>IFERROR(__xludf.DUMMYFUNCTION("""COMPUTED_VALUE"""),"P-11182-00")</f>
        <v>P-11182-00</v>
      </c>
      <c r="D2837" s="6" t="str">
        <f>IFERROR(__xludf.DUMMYFUNCTION("""COMPUTED_VALUE"""),"Pneumatic Fitting - QS 6 / Festo")</f>
        <v>Pneumatic Fitting - QS 6 / Festo</v>
      </c>
      <c r="E2837" s="6">
        <f>IFERROR(__xludf.DUMMYFUNCTION("""COMPUTED_VALUE"""),1.0)</f>
        <v>1</v>
      </c>
      <c r="F2837" s="6">
        <f>IFERROR(__xludf.DUMMYFUNCTION("""COMPUTED_VALUE"""),1.0)</f>
        <v>1</v>
      </c>
      <c r="G2837" s="6">
        <f>IFERROR(__xludf.DUMMYFUNCTION("""COMPUTED_VALUE"""),0.0)</f>
        <v>0</v>
      </c>
      <c r="H2837" s="6" t="str">
        <f>IFERROR(__xludf.DUMMYFUNCTION("""COMPUTED_VALUE"""),"Pcs")</f>
        <v>Pcs</v>
      </c>
      <c r="I2837" s="6" t="str">
        <f>IFERROR(__xludf.DUMMYFUNCTION("""COMPUTED_VALUE"""),"MFH")</f>
        <v>MFH</v>
      </c>
      <c r="J2837" s="6" t="str">
        <f>IFERROR(__xludf.DUMMYFUNCTION("""COMPUTED_VALUE"""),"WWTP")</f>
        <v>WWTP</v>
      </c>
      <c r="K2837" s="6" t="str">
        <f>IFERROR(__xludf.DUMMYFUNCTION("""COMPUTED_VALUE"""),"SPR/25/12/014")</f>
        <v>SPR/25/12/014</v>
      </c>
      <c r="L2837" s="58">
        <f>IFERROR(__xludf.DUMMYFUNCTION("""COMPUTED_VALUE"""),46022.0)</f>
        <v>46022</v>
      </c>
    </row>
    <row r="2838">
      <c r="A2838" s="6" t="str">
        <f>IFERROR(__xludf.DUMMYFUNCTION("""COMPUTED_VALUE"""),"MRN")</f>
        <v>MRN</v>
      </c>
      <c r="B2838" s="6" t="str">
        <f>IFERROR(__xludf.DUMMYFUNCTION("""COMPUTED_VALUE"""),"ENG")</f>
        <v>ENG</v>
      </c>
      <c r="C2838" s="6" t="str">
        <f>IFERROR(__xludf.DUMMYFUNCTION("""COMPUTED_VALUE"""),"P-11165-00")</f>
        <v>P-11165-00</v>
      </c>
      <c r="D2838" s="6" t="str">
        <f>IFERROR(__xludf.DUMMYFUNCTION("""COMPUTED_VALUE"""),"Pneumatic  Fitting - QS 1/2-12 / PN : 153010 / Festo")</f>
        <v>Pneumatic  Fitting - QS 1/2-12 / PN : 153010 / Festo</v>
      </c>
      <c r="E2838" s="6">
        <f>IFERROR(__xludf.DUMMYFUNCTION("""COMPUTED_VALUE"""),1.0)</f>
        <v>1</v>
      </c>
      <c r="F2838" s="6">
        <f>IFERROR(__xludf.DUMMYFUNCTION("""COMPUTED_VALUE"""),1.0)</f>
        <v>1</v>
      </c>
      <c r="G2838" s="6">
        <f>IFERROR(__xludf.DUMMYFUNCTION("""COMPUTED_VALUE"""),0.0)</f>
        <v>0</v>
      </c>
      <c r="H2838" s="6" t="str">
        <f>IFERROR(__xludf.DUMMYFUNCTION("""COMPUTED_VALUE"""),"pcs")</f>
        <v>pcs</v>
      </c>
      <c r="I2838" s="6" t="str">
        <f>IFERROR(__xludf.DUMMYFUNCTION("""COMPUTED_VALUE"""),"MFH")</f>
        <v>MFH</v>
      </c>
      <c r="J2838" s="6" t="str">
        <f>IFERROR(__xludf.DUMMYFUNCTION("""COMPUTED_VALUE"""),"WWTP")</f>
        <v>WWTP</v>
      </c>
      <c r="K2838" s="6" t="str">
        <f>IFERROR(__xludf.DUMMYFUNCTION("""COMPUTED_VALUE"""),"SPR/25/12/014")</f>
        <v>SPR/25/12/014</v>
      </c>
      <c r="L2838" s="58">
        <f>IFERROR(__xludf.DUMMYFUNCTION("""COMPUTED_VALUE"""),46022.0)</f>
        <v>46022</v>
      </c>
    </row>
    <row r="2839">
      <c r="A2839" s="6" t="str">
        <f>IFERROR(__xludf.DUMMYFUNCTION("""COMPUTED_VALUE"""),"INN")</f>
        <v>INN</v>
      </c>
      <c r="B2839" s="6" t="str">
        <f>IFERROR(__xludf.DUMMYFUNCTION("""COMPUTED_VALUE"""),"ENG")</f>
        <v>ENG</v>
      </c>
      <c r="C2839" s="6" t="str">
        <f>IFERROR(__xludf.DUMMYFUNCTION("""COMPUTED_VALUE"""),"O-16033-00")</f>
        <v>O-16033-00</v>
      </c>
      <c r="D283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839" s="6">
        <f>IFERROR(__xludf.DUMMYFUNCTION("""COMPUTED_VALUE"""),1.0)</f>
        <v>1</v>
      </c>
      <c r="F2839" s="6">
        <f>IFERROR(__xludf.DUMMYFUNCTION("""COMPUTED_VALUE"""),1.0)</f>
        <v>1</v>
      </c>
      <c r="G2839" s="6">
        <f>IFERROR(__xludf.DUMMYFUNCTION("""COMPUTED_VALUE"""),0.0)</f>
        <v>0</v>
      </c>
      <c r="H2839" s="6" t="str">
        <f>IFERROR(__xludf.DUMMYFUNCTION("""COMPUTED_VALUE"""),"Pcsw")</f>
        <v>Pcsw</v>
      </c>
      <c r="I2839" s="6" t="str">
        <f>IFERROR(__xludf.DUMMYFUNCTION("""COMPUTED_VALUE"""),"MFH")</f>
        <v>MFH</v>
      </c>
      <c r="J2839" s="6" t="str">
        <f>IFERROR(__xludf.DUMMYFUNCTION("""COMPUTED_VALUE"""),"cRABS")</f>
        <v>cRABS</v>
      </c>
      <c r="K2839" s="6" t="str">
        <f>IFERROR(__xludf.DUMMYFUNCTION("""COMPUTED_VALUE"""),"SPR/25/12/015")</f>
        <v>SPR/25/12/015</v>
      </c>
      <c r="L2839" s="58">
        <f>IFERROR(__xludf.DUMMYFUNCTION("""COMPUTED_VALUE"""),46022.0)</f>
        <v>46022</v>
      </c>
    </row>
    <row r="2840">
      <c r="A2840" s="6" t="str">
        <f>IFERROR(__xludf.DUMMYFUNCTION("""COMPUTED_VALUE"""),"NDS")</f>
        <v>NDS</v>
      </c>
      <c r="B2840" s="6" t="str">
        <f>IFERROR(__xludf.DUMMYFUNCTION("""COMPUTED_VALUE"""),"ENG")</f>
        <v>ENG</v>
      </c>
      <c r="C2840" s="6" t="str">
        <f>IFERROR(__xludf.DUMMYFUNCTION("""COMPUTED_VALUE"""),"O-16033-00")</f>
        <v>O-16033-00</v>
      </c>
      <c r="D2840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840" s="6">
        <f>IFERROR(__xludf.DUMMYFUNCTION("""COMPUTED_VALUE"""),1.0)</f>
        <v>1</v>
      </c>
      <c r="F2840" s="6">
        <f>IFERROR(__xludf.DUMMYFUNCTION("""COMPUTED_VALUE"""),1.0)</f>
        <v>1</v>
      </c>
      <c r="G2840" s="6">
        <f>IFERROR(__xludf.DUMMYFUNCTION("""COMPUTED_VALUE"""),0.0)</f>
        <v>0</v>
      </c>
      <c r="H2840" s="6" t="str">
        <f>IFERROR(__xludf.DUMMYFUNCTION("""COMPUTED_VALUE"""),"Pcsw")</f>
        <v>Pcsw</v>
      </c>
      <c r="I2840" s="6" t="str">
        <f>IFERROR(__xludf.DUMMYFUNCTION("""COMPUTED_VALUE"""),"MFH")</f>
        <v>MFH</v>
      </c>
      <c r="J2840" s="6" t="str">
        <f>IFERROR(__xludf.DUMMYFUNCTION("""COMPUTED_VALUE"""),"Filling")</f>
        <v>Filling</v>
      </c>
      <c r="K2840" s="6" t="str">
        <f>IFERROR(__xludf.DUMMYFUNCTION("""COMPUTED_VALUE"""),"SPR/25/12/016")</f>
        <v>SPR/25/12/016</v>
      </c>
      <c r="L2840" s="58">
        <f>IFERROR(__xludf.DUMMYFUNCTION("""COMPUTED_VALUE"""),46022.0)</f>
        <v>46022</v>
      </c>
    </row>
    <row r="2841">
      <c r="A2841" s="6" t="str">
        <f>IFERROR(__xludf.DUMMYFUNCTION("""COMPUTED_VALUE"""),"ANO")</f>
        <v>ANO</v>
      </c>
      <c r="B2841" s="6" t="str">
        <f>IFERROR(__xludf.DUMMYFUNCTION("""COMPUTED_VALUE"""),"ENG")</f>
        <v>ENG</v>
      </c>
      <c r="C2841" s="6" t="str">
        <f>IFERROR(__xludf.DUMMYFUNCTION("""COMPUTED_VALUE"""),"O-16647-00")</f>
        <v>O-16647-00</v>
      </c>
      <c r="D2841" s="6" t="str">
        <f>IFERROR(__xludf.DUMMYFUNCTION("""COMPUTED_VALUE"""),"Washing RAR4 - Oring Silicone Merah 23x18x2.5 mm; ; ;")</f>
        <v>Washing RAR4 - Oring Silicone Merah 23x18x2.5 mm; ; ;</v>
      </c>
      <c r="E2841" s="6">
        <f>IFERROR(__xludf.DUMMYFUNCTION("""COMPUTED_VALUE"""),10.0)</f>
        <v>10</v>
      </c>
      <c r="F2841" s="6">
        <f>IFERROR(__xludf.DUMMYFUNCTION("""COMPUTED_VALUE"""),10.0)</f>
        <v>10</v>
      </c>
      <c r="G2841" s="6">
        <f>IFERROR(__xludf.DUMMYFUNCTION("""COMPUTED_VALUE"""),0.0)</f>
        <v>0</v>
      </c>
      <c r="H2841" s="6" t="str">
        <f>IFERROR(__xludf.DUMMYFUNCTION("""COMPUTED_VALUE"""),"Pcs")</f>
        <v>Pcs</v>
      </c>
      <c r="I2841" s="6" t="str">
        <f>IFERROR(__xludf.DUMMYFUNCTION("""COMPUTED_VALUE"""),"MFH")</f>
        <v>MFH</v>
      </c>
      <c r="J2841" s="6" t="str">
        <f>IFERROR(__xludf.DUMMYFUNCTION("""COMPUTED_VALUE"""),"Capping")</f>
        <v>Capping</v>
      </c>
      <c r="K2841" s="6" t="str">
        <f>IFERROR(__xludf.DUMMYFUNCTION("""COMPUTED_VALUE"""),"SPR/25/12/017")</f>
        <v>SPR/25/12/017</v>
      </c>
      <c r="L2841" s="58">
        <f>IFERROR(__xludf.DUMMYFUNCTION("""COMPUTED_VALUE"""),46022.0)</f>
        <v>46022</v>
      </c>
    </row>
    <row r="2842">
      <c r="A2842" s="6" t="str">
        <f>IFERROR(__xludf.DUMMYFUNCTION("""COMPUTED_VALUE"""),"KFF")</f>
        <v>KFF</v>
      </c>
      <c r="B2842" s="6" t="str">
        <f>IFERROR(__xludf.DUMMYFUNCTION("""COMPUTED_VALUE"""),"ENG")</f>
        <v>ENG</v>
      </c>
      <c r="C2842" s="6" t="str">
        <f>IFERROR(__xludf.DUMMYFUNCTION("""COMPUTED_VALUE"""),"O-54015-00")</f>
        <v>O-54015-00</v>
      </c>
      <c r="D2842" s="6" t="str">
        <f>IFERROR(__xludf.DUMMYFUNCTION("""COMPUTED_VALUE"""),"STOP KONTAK LUBANG 4, BROCO")</f>
        <v>STOP KONTAK LUBANG 4, BROCO</v>
      </c>
      <c r="E2842" s="6">
        <f>IFERROR(__xludf.DUMMYFUNCTION("""COMPUTED_VALUE"""),2.0)</f>
        <v>2</v>
      </c>
      <c r="F2842" s="6">
        <f>IFERROR(__xludf.DUMMYFUNCTION("""COMPUTED_VALUE"""),2.0)</f>
        <v>2</v>
      </c>
      <c r="G2842" s="6">
        <f>IFERROR(__xludf.DUMMYFUNCTION("""COMPUTED_VALUE"""),0.0)</f>
        <v>0</v>
      </c>
      <c r="H2842" s="6" t="str">
        <f>IFERROR(__xludf.DUMMYFUNCTION("""COMPUTED_VALUE"""),"Pcs")</f>
        <v>Pcs</v>
      </c>
      <c r="I2842" s="6" t="str">
        <f>IFERROR(__xludf.DUMMYFUNCTION("""COMPUTED_VALUE"""),"MFH")</f>
        <v>MFH</v>
      </c>
      <c r="J2842" s="6" t="str">
        <f>IFERROR(__xludf.DUMMYFUNCTION("""COMPUTED_VALUE"""),"FD")</f>
        <v>FD</v>
      </c>
      <c r="K2842" s="6" t="str">
        <f>IFERROR(__xludf.DUMMYFUNCTION("""COMPUTED_VALUE"""),"SPR/25/12/018")</f>
        <v>SPR/25/12/018</v>
      </c>
      <c r="L2842" s="58">
        <f>IFERROR(__xludf.DUMMYFUNCTION("""COMPUTED_VALUE"""),46022.0)</f>
        <v>46022</v>
      </c>
    </row>
    <row r="2843">
      <c r="A2843" s="6" t="str">
        <f>IFERROR(__xludf.DUMMYFUNCTION("""COMPUTED_VALUE"""),"KFF")</f>
        <v>KFF</v>
      </c>
      <c r="B2843" s="6" t="str">
        <f>IFERROR(__xludf.DUMMYFUNCTION("""COMPUTED_VALUE"""),"ENG")</f>
        <v>ENG</v>
      </c>
      <c r="C2843" s="6" t="str">
        <f>IFERROR(__xludf.DUMMYFUNCTION("""COMPUTED_VALUE"""),"O-54014-00")</f>
        <v>O-54014-00</v>
      </c>
      <c r="D2843" s="6" t="str">
        <f>IFERROR(__xludf.DUMMYFUNCTION("""COMPUTED_VALUE"""),"STEKER 1 PHASE, BROCO")</f>
        <v>STEKER 1 PHASE, BROCO</v>
      </c>
      <c r="E2843" s="6">
        <f>IFERROR(__xludf.DUMMYFUNCTION("""COMPUTED_VALUE"""),2.0)</f>
        <v>2</v>
      </c>
      <c r="F2843" s="6">
        <f>IFERROR(__xludf.DUMMYFUNCTION("""COMPUTED_VALUE"""),2.0)</f>
        <v>2</v>
      </c>
      <c r="G2843" s="6">
        <f>IFERROR(__xludf.DUMMYFUNCTION("""COMPUTED_VALUE"""),0.0)</f>
        <v>0</v>
      </c>
      <c r="H2843" s="6" t="str">
        <f>IFERROR(__xludf.DUMMYFUNCTION("""COMPUTED_VALUE"""),"Pcs")</f>
        <v>Pcs</v>
      </c>
      <c r="I2843" s="6" t="str">
        <f>IFERROR(__xludf.DUMMYFUNCTION("""COMPUTED_VALUE"""),"MFH")</f>
        <v>MFH</v>
      </c>
      <c r="J2843" s="6" t="str">
        <f>IFERROR(__xludf.DUMMYFUNCTION("""COMPUTED_VALUE"""),"FD")</f>
        <v>FD</v>
      </c>
      <c r="K2843" s="6" t="str">
        <f>IFERROR(__xludf.DUMMYFUNCTION("""COMPUTED_VALUE"""),"SPR/25/12/018")</f>
        <v>SPR/25/12/018</v>
      </c>
      <c r="L2843" s="58">
        <f>IFERROR(__xludf.DUMMYFUNCTION("""COMPUTED_VALUE"""),46022.0)</f>
        <v>46022</v>
      </c>
    </row>
    <row r="2844">
      <c r="A2844" s="6" t="str">
        <f>IFERROR(__xludf.DUMMYFUNCTION("""COMPUTED_VALUE"""),"NDS")</f>
        <v>NDS</v>
      </c>
      <c r="B2844" s="6" t="str">
        <f>IFERROR(__xludf.DUMMYFUNCTION("""COMPUTED_VALUE"""),"ENG")</f>
        <v>ENG</v>
      </c>
      <c r="C2844" s="6" t="str">
        <f>IFERROR(__xludf.DUMMYFUNCTION("""COMPUTED_VALUE"""),"P-19954-00")</f>
        <v>P-19954-00</v>
      </c>
      <c r="D2844" s="6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E2844" s="6">
        <f>IFERROR(__xludf.DUMMYFUNCTION("""COMPUTED_VALUE"""),2.0)</f>
        <v>2</v>
      </c>
      <c r="F2844" s="6">
        <f>IFERROR(__xludf.DUMMYFUNCTION("""COMPUTED_VALUE"""),2.0)</f>
        <v>2</v>
      </c>
      <c r="G2844" s="6">
        <f>IFERROR(__xludf.DUMMYFUNCTION("""COMPUTED_VALUE"""),0.0)</f>
        <v>0</v>
      </c>
      <c r="H2844" s="6" t="str">
        <f>IFERROR(__xludf.DUMMYFUNCTION("""COMPUTED_VALUE"""),"Pcs")</f>
        <v>Pcs</v>
      </c>
      <c r="I2844" s="6" t="str">
        <f>IFERROR(__xludf.DUMMYFUNCTION("""COMPUTED_VALUE"""),"MFH")</f>
        <v>MFH</v>
      </c>
      <c r="J2844" s="6" t="str">
        <f>IFERROR(__xludf.DUMMYFUNCTION("""COMPUTED_VALUE"""),"Dispensing")</f>
        <v>Dispensing</v>
      </c>
      <c r="K2844" s="6" t="str">
        <f>IFERROR(__xludf.DUMMYFUNCTION("""COMPUTED_VALUE"""),"SPR/25/12/019")</f>
        <v>SPR/25/12/019</v>
      </c>
      <c r="L2844" s="58">
        <f>IFERROR(__xludf.DUMMYFUNCTION("""COMPUTED_VALUE"""),46022.0)</f>
        <v>46022</v>
      </c>
    </row>
    <row r="2845">
      <c r="A2845" s="6" t="str">
        <f>IFERROR(__xludf.DUMMYFUNCTION("""COMPUTED_VALUE"""),"NDS")</f>
        <v>NDS</v>
      </c>
      <c r="B2845" s="6" t="str">
        <f>IFERROR(__xludf.DUMMYFUNCTION("""COMPUTED_VALUE"""),"ENG")</f>
        <v>ENG</v>
      </c>
      <c r="C2845" s="6" t="str">
        <f>IFERROR(__xludf.DUMMYFUNCTION("""COMPUTED_VALUE"""),"O-14641-00")</f>
        <v>O-14641-00</v>
      </c>
      <c r="D2845" s="6" t="str">
        <f>IFERROR(__xludf.DUMMYFUNCTION("""COMPUTED_VALUE"""),"Silicone Gasket for Ferrule dia. 1""")</f>
        <v>Silicone Gasket for Ferrule dia. 1"</v>
      </c>
      <c r="E2845" s="6">
        <f>IFERROR(__xludf.DUMMYFUNCTION("""COMPUTED_VALUE"""),1.0)</f>
        <v>1</v>
      </c>
      <c r="F2845" s="6">
        <f>IFERROR(__xludf.DUMMYFUNCTION("""COMPUTED_VALUE"""),1.0)</f>
        <v>1</v>
      </c>
      <c r="G2845" s="6">
        <f>IFERROR(__xludf.DUMMYFUNCTION("""COMPUTED_VALUE"""),0.0)</f>
        <v>0</v>
      </c>
      <c r="H2845" s="6" t="str">
        <f>IFERROR(__xludf.DUMMYFUNCTION("""COMPUTED_VALUE"""),"Pcs")</f>
        <v>Pcs</v>
      </c>
      <c r="I2845" s="6" t="str">
        <f>IFERROR(__xludf.DUMMYFUNCTION("""COMPUTED_VALUE"""),"MFH")</f>
        <v>MFH</v>
      </c>
      <c r="J2845" s="6" t="str">
        <f>IFERROR(__xludf.DUMMYFUNCTION("""COMPUTED_VALUE"""),"Dispensing")</f>
        <v>Dispensing</v>
      </c>
      <c r="K2845" s="6" t="str">
        <f>IFERROR(__xludf.DUMMYFUNCTION("""COMPUTED_VALUE"""),"SPR/25/12/019")</f>
        <v>SPR/25/12/019</v>
      </c>
      <c r="L2845" s="58">
        <f>IFERROR(__xludf.DUMMYFUNCTION("""COMPUTED_VALUE"""),46022.0)</f>
        <v>46022</v>
      </c>
    </row>
    <row r="2846">
      <c r="A2846" s="6" t="str">
        <f>IFERROR(__xludf.DUMMYFUNCTION("""COMPUTED_VALUE"""),"ANO")</f>
        <v>ANO</v>
      </c>
      <c r="B2846" s="6" t="str">
        <f>IFERROR(__xludf.DUMMYFUNCTION("""COMPUTED_VALUE"""),"ENG")</f>
        <v>ENG</v>
      </c>
      <c r="C2846" s="6" t="str">
        <f>IFERROR(__xludf.DUMMYFUNCTION("""COMPUTED_VALUE"""),"P-13389-00")</f>
        <v>P-13389-00</v>
      </c>
      <c r="D2846" s="6" t="str">
        <f>IFERROR(__xludf.DUMMYFUNCTION("""COMPUTED_VALUE"""),"Scotch Brite 3M; ; ;")</f>
        <v>Scotch Brite 3M; ; ;</v>
      </c>
      <c r="E2846" s="6">
        <f>IFERROR(__xludf.DUMMYFUNCTION("""COMPUTED_VALUE"""),1.0)</f>
        <v>1</v>
      </c>
      <c r="F2846" s="6">
        <f>IFERROR(__xludf.DUMMYFUNCTION("""COMPUTED_VALUE"""),1.0)</f>
        <v>1</v>
      </c>
      <c r="G2846" s="6">
        <f>IFERROR(__xludf.DUMMYFUNCTION("""COMPUTED_VALUE"""),0.0)</f>
        <v>0</v>
      </c>
      <c r="H2846" s="6" t="str">
        <f>IFERROR(__xludf.DUMMYFUNCTION("""COMPUTED_VALUE"""),"Pcs")</f>
        <v>Pcs</v>
      </c>
      <c r="I2846" s="6" t="str">
        <f>IFERROR(__xludf.DUMMYFUNCTION("""COMPUTED_VALUE"""),"MFH")</f>
        <v>MFH</v>
      </c>
      <c r="J2846" s="6" t="str">
        <f>IFERROR(__xludf.DUMMYFUNCTION("""COMPUTED_VALUE"""),"Workshop")</f>
        <v>Workshop</v>
      </c>
      <c r="K2846" s="6" t="str">
        <f>IFERROR(__xludf.DUMMYFUNCTION("""COMPUTED_VALUE"""),"SPR/25/12/020")</f>
        <v>SPR/25/12/020</v>
      </c>
      <c r="L2846" s="58">
        <f>IFERROR(__xludf.DUMMYFUNCTION("""COMPUTED_VALUE"""),46022.0)</f>
        <v>46022</v>
      </c>
    </row>
    <row r="2847">
      <c r="A2847" s="6" t="str">
        <f>IFERROR(__xludf.DUMMYFUNCTION("""COMPUTED_VALUE"""),"NDS")</f>
        <v>NDS</v>
      </c>
      <c r="B2847" s="6" t="str">
        <f>IFERROR(__xludf.DUMMYFUNCTION("""COMPUTED_VALUE"""),"ENG")</f>
        <v>ENG</v>
      </c>
      <c r="C2847" s="6" t="str">
        <f>IFERROR(__xludf.DUMMYFUNCTION("""COMPUTED_VALUE"""),"T-12348-00")</f>
        <v>T-12348-00</v>
      </c>
      <c r="D2847" s="6" t="str">
        <f>IFERROR(__xludf.DUMMYFUNCTION("""COMPUTED_VALUE"""),"Kabel Power CPU Cord 1,5m; ; ;")</f>
        <v>Kabel Power CPU Cord 1,5m; ; ;</v>
      </c>
      <c r="E2847" s="6">
        <f>IFERROR(__xludf.DUMMYFUNCTION("""COMPUTED_VALUE"""),1.0)</f>
        <v>1</v>
      </c>
      <c r="F2847" s="6">
        <f>IFERROR(__xludf.DUMMYFUNCTION("""COMPUTED_VALUE"""),1.0)</f>
        <v>1</v>
      </c>
      <c r="G2847" s="6">
        <f>IFERROR(__xludf.DUMMYFUNCTION("""COMPUTED_VALUE"""),0.0)</f>
        <v>0</v>
      </c>
      <c r="H2847" s="6" t="str">
        <f>IFERROR(__xludf.DUMMYFUNCTION("""COMPUTED_VALUE"""),"Pcs")</f>
        <v>Pcs</v>
      </c>
      <c r="I2847" s="6" t="str">
        <f>IFERROR(__xludf.DUMMYFUNCTION("""COMPUTED_VALUE"""),"MFH")</f>
        <v>MFH</v>
      </c>
      <c r="J2847" s="6" t="str">
        <f>IFERROR(__xludf.DUMMYFUNCTION("""COMPUTED_VALUE"""),"Fleating")</f>
        <v>Fleating</v>
      </c>
      <c r="K2847" s="6" t="str">
        <f>IFERROR(__xludf.DUMMYFUNCTION("""COMPUTED_VALUE"""),"SPR/25/12/021")</f>
        <v>SPR/25/12/021</v>
      </c>
      <c r="L2847" s="58">
        <f>IFERROR(__xludf.DUMMYFUNCTION("""COMPUTED_VALUE"""),46022.0)</f>
        <v>46022</v>
      </c>
    </row>
    <row r="2848">
      <c r="A2848" s="6" t="str">
        <f>IFERROR(__xludf.DUMMYFUNCTION("""COMPUTED_VALUE"""),"ANO")</f>
        <v>ANO</v>
      </c>
      <c r="B2848" s="6" t="str">
        <f>IFERROR(__xludf.DUMMYFUNCTION("""COMPUTED_VALUE"""),"ENG")</f>
        <v>ENG</v>
      </c>
      <c r="C2848" s="6" t="str">
        <f>IFERROR(__xludf.DUMMYFUNCTION("""COMPUTED_VALUE"""),"P-54354-00")</f>
        <v>P-54354-00</v>
      </c>
      <c r="D2848" s="6" t="str">
        <f>IFERROR(__xludf.DUMMYFUNCTION("""COMPUTED_VALUE"""),"General - UX52 Variable Speed Controller 90W; Houle; -; 1 pc")</f>
        <v>General - UX52 Variable Speed Controller 90W; Houle; -; 1 pc</v>
      </c>
      <c r="E2848" s="6">
        <f>IFERROR(__xludf.DUMMYFUNCTION("""COMPUTED_VALUE"""),1.0)</f>
        <v>1</v>
      </c>
      <c r="F2848" s="6">
        <f>IFERROR(__xludf.DUMMYFUNCTION("""COMPUTED_VALUE"""),1.0)</f>
        <v>1</v>
      </c>
      <c r="G2848" s="6">
        <f>IFERROR(__xludf.DUMMYFUNCTION("""COMPUTED_VALUE"""),0.0)</f>
        <v>0</v>
      </c>
      <c r="H2848" s="6" t="str">
        <f>IFERROR(__xludf.DUMMYFUNCTION("""COMPUTED_VALUE"""),"Pcs")</f>
        <v>Pcs</v>
      </c>
      <c r="I2848" s="6" t="str">
        <f>IFERROR(__xludf.DUMMYFUNCTION("""COMPUTED_VALUE"""),"MFH")</f>
        <v>MFH</v>
      </c>
      <c r="J2848" s="6" t="str">
        <f>IFERROR(__xludf.DUMMYFUNCTION("""COMPUTED_VALUE"""),"Conveyor")</f>
        <v>Conveyor</v>
      </c>
      <c r="K2848" s="6" t="str">
        <f>IFERROR(__xludf.DUMMYFUNCTION("""COMPUTED_VALUE"""),"SPR/25/12/022")</f>
        <v>SPR/25/12/022</v>
      </c>
      <c r="L2848" s="58">
        <f>IFERROR(__xludf.DUMMYFUNCTION("""COMPUTED_VALUE"""),46022.0)</f>
        <v>46022</v>
      </c>
    </row>
    <row r="2849">
      <c r="A2849" s="6" t="str">
        <f>IFERROR(__xludf.DUMMYFUNCTION("""COMPUTED_VALUE"""),"AAA")</f>
        <v>AAA</v>
      </c>
      <c r="B2849" s="6" t="str">
        <f>IFERROR(__xludf.DUMMYFUNCTION("""COMPUTED_VALUE"""),"ENG")</f>
        <v>ENG</v>
      </c>
      <c r="C2849" s="6" t="str">
        <f>IFERROR(__xludf.DUMMYFUNCTION("""COMPUTED_VALUE"""),"O-16980-00")</f>
        <v>O-16980-00</v>
      </c>
      <c r="D2849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2849" s="6">
        <f>IFERROR(__xludf.DUMMYFUNCTION("""COMPUTED_VALUE"""),6.0)</f>
        <v>6</v>
      </c>
      <c r="F2849" s="6">
        <f>IFERROR(__xludf.DUMMYFUNCTION("""COMPUTED_VALUE"""),6.0)</f>
        <v>6</v>
      </c>
      <c r="G2849" s="6">
        <f>IFERROR(__xludf.DUMMYFUNCTION("""COMPUTED_VALUE"""),0.0)</f>
        <v>0</v>
      </c>
      <c r="H2849" s="6" t="str">
        <f>IFERROR(__xludf.DUMMYFUNCTION("""COMPUTED_VALUE"""),"pcs")</f>
        <v>pcs</v>
      </c>
      <c r="I2849" s="6" t="str">
        <f>IFERROR(__xludf.DUMMYFUNCTION("""COMPUTED_VALUE"""),"MFH")</f>
        <v>MFH</v>
      </c>
      <c r="J2849" s="6" t="str">
        <f>IFERROR(__xludf.DUMMYFUNCTION("""COMPUTED_VALUE"""),"FD")</f>
        <v>FD</v>
      </c>
      <c r="K2849" s="6" t="str">
        <f>IFERROR(__xludf.DUMMYFUNCTION("""COMPUTED_VALUE"""),"SPR/25/12/023")</f>
        <v>SPR/25/12/023</v>
      </c>
      <c r="L2849" s="58">
        <f>IFERROR(__xludf.DUMMYFUNCTION("""COMPUTED_VALUE"""),46022.0)</f>
        <v>46022</v>
      </c>
    </row>
    <row r="2850">
      <c r="A2850" s="6" t="str">
        <f>IFERROR(__xludf.DUMMYFUNCTION("""COMPUTED_VALUE"""),"AAA")</f>
        <v>AAA</v>
      </c>
      <c r="B2850" s="6" t="str">
        <f>IFERROR(__xludf.DUMMYFUNCTION("""COMPUTED_VALUE"""),"ENG")</f>
        <v>ENG</v>
      </c>
      <c r="C2850" s="6" t="str">
        <f>IFERROR(__xludf.DUMMYFUNCTION("""COMPUTED_VALUE"""),"O-16981-00")</f>
        <v>O-16981-00</v>
      </c>
      <c r="D2850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2850" s="6">
        <f>IFERROR(__xludf.DUMMYFUNCTION("""COMPUTED_VALUE"""),10.0)</f>
        <v>10</v>
      </c>
      <c r="F2850" s="6">
        <f>IFERROR(__xludf.DUMMYFUNCTION("""COMPUTED_VALUE"""),10.0)</f>
        <v>10</v>
      </c>
      <c r="G2850" s="6">
        <f>IFERROR(__xludf.DUMMYFUNCTION("""COMPUTED_VALUE"""),0.0)</f>
        <v>0</v>
      </c>
      <c r="H2850" s="6" t="str">
        <f>IFERROR(__xludf.DUMMYFUNCTION("""COMPUTED_VALUE"""),"Pcs")</f>
        <v>Pcs</v>
      </c>
      <c r="I2850" s="6" t="str">
        <f>IFERROR(__xludf.DUMMYFUNCTION("""COMPUTED_VALUE"""),"MFH")</f>
        <v>MFH</v>
      </c>
      <c r="J2850" s="6" t="str">
        <f>IFERROR(__xludf.DUMMYFUNCTION("""COMPUTED_VALUE"""),"FD")</f>
        <v>FD</v>
      </c>
      <c r="K2850" s="6" t="str">
        <f>IFERROR(__xludf.DUMMYFUNCTION("""COMPUTED_VALUE"""),"SPR/25/12/023")</f>
        <v>SPR/25/12/023</v>
      </c>
      <c r="L2850" s="58">
        <f>IFERROR(__xludf.DUMMYFUNCTION("""COMPUTED_VALUE"""),46022.0)</f>
        <v>46022</v>
      </c>
    </row>
    <row r="2851">
      <c r="A2851" s="6" t="str">
        <f>IFERROR(__xludf.DUMMYFUNCTION("""COMPUTED_VALUE"""),"KFF")</f>
        <v>KFF</v>
      </c>
      <c r="B2851" s="6" t="str">
        <f>IFERROR(__xludf.DUMMYFUNCTION("""COMPUTED_VALUE"""),"ENG")</f>
        <v>ENG</v>
      </c>
      <c r="C2851" s="6" t="str">
        <f>IFERROR(__xludf.DUMMYFUNCTION("""COMPUTED_VALUE"""),"P-50717-00")</f>
        <v>P-50717-00</v>
      </c>
      <c r="D2851" s="6" t="str">
        <f>IFERROR(__xludf.DUMMYFUNCTION("""COMPUTED_VALUE"""),"Kabel UTP 4 pairs Cat 6 merk BELDEN")</f>
        <v>Kabel UTP 4 pairs Cat 6 merk BELDEN</v>
      </c>
      <c r="E2851" s="6">
        <f>IFERROR(__xludf.DUMMYFUNCTION("""COMPUTED_VALUE"""),15.0)</f>
        <v>15</v>
      </c>
      <c r="F2851" s="6">
        <f>IFERROR(__xludf.DUMMYFUNCTION("""COMPUTED_VALUE"""),15.0)</f>
        <v>15</v>
      </c>
      <c r="G2851" s="6">
        <f>IFERROR(__xludf.DUMMYFUNCTION("""COMPUTED_VALUE"""),0.0)</f>
        <v>0</v>
      </c>
      <c r="H2851" s="6" t="str">
        <f>IFERROR(__xludf.DUMMYFUNCTION("""COMPUTED_VALUE"""),"Pcs")</f>
        <v>Pcs</v>
      </c>
      <c r="I2851" s="6" t="str">
        <f>IFERROR(__xludf.DUMMYFUNCTION("""COMPUTED_VALUE"""),"MFH")</f>
        <v>MFH</v>
      </c>
      <c r="J2851" s="6" t="str">
        <f>IFERROR(__xludf.DUMMYFUNCTION("""COMPUTED_VALUE"""),"-")</f>
        <v>-</v>
      </c>
      <c r="K2851" s="6" t="str">
        <f>IFERROR(__xludf.DUMMYFUNCTION("""COMPUTED_VALUE"""),"SPR/25/12/024")</f>
        <v>SPR/25/12/024</v>
      </c>
      <c r="L2851" s="58">
        <f>IFERROR(__xludf.DUMMYFUNCTION("""COMPUTED_VALUE"""),46022.0)</f>
        <v>46022</v>
      </c>
    </row>
    <row r="2852">
      <c r="A2852" s="6" t="str">
        <f>IFERROR(__xludf.DUMMYFUNCTION("""COMPUTED_VALUE"""),"RIA")</f>
        <v>RIA</v>
      </c>
      <c r="B2852" s="6" t="str">
        <f>IFERROR(__xludf.DUMMYFUNCTION("""COMPUTED_VALUE"""),"ENG")</f>
        <v>ENG</v>
      </c>
      <c r="C2852" s="6" t="str">
        <f>IFERROR(__xludf.DUMMYFUNCTION("""COMPUTED_VALUE"""),"P-19898-00")</f>
        <v>P-19898-00</v>
      </c>
      <c r="D2852" s="6" t="str">
        <f>IFERROR(__xludf.DUMMYFUNCTION("""COMPUTED_VALUE"""),"General - Bushing VAV dia. 24 x 26mm; Custom Agru Farma; -; 1 pc")</f>
        <v>General - Bushing VAV dia. 24 x 26mm; Custom Agru Farma; -; 1 pc</v>
      </c>
      <c r="E2852" s="6">
        <f>IFERROR(__xludf.DUMMYFUNCTION("""COMPUTED_VALUE"""),1.0)</f>
        <v>1</v>
      </c>
      <c r="F2852" s="6">
        <f>IFERROR(__xludf.DUMMYFUNCTION("""COMPUTED_VALUE"""),1.0)</f>
        <v>1</v>
      </c>
      <c r="G2852" s="6">
        <f>IFERROR(__xludf.DUMMYFUNCTION("""COMPUTED_VALUE"""),0.0)</f>
        <v>0</v>
      </c>
      <c r="H2852" s="6" t="str">
        <f>IFERROR(__xludf.DUMMYFUNCTION("""COMPUTED_VALUE"""),"Pcs")</f>
        <v>Pcs</v>
      </c>
      <c r="I2852" s="6" t="str">
        <f>IFERROR(__xludf.DUMMYFUNCTION("""COMPUTED_VALUE"""),"MFH")</f>
        <v>MFH</v>
      </c>
      <c r="J2852" s="6" t="str">
        <f>IFERROR(__xludf.DUMMYFUNCTION("""COMPUTED_VALUE"""),"AHU")</f>
        <v>AHU</v>
      </c>
      <c r="K2852" s="6" t="str">
        <f>IFERROR(__xludf.DUMMYFUNCTION("""COMPUTED_VALUE"""),"SPR/25/12/025")</f>
        <v>SPR/25/12/025</v>
      </c>
      <c r="L2852" s="58">
        <f>IFERROR(__xludf.DUMMYFUNCTION("""COMPUTED_VALUE"""),46022.0)</f>
        <v>46022</v>
      </c>
    </row>
    <row r="2853">
      <c r="A2853" s="6" t="str">
        <f>IFERROR(__xludf.DUMMYFUNCTION("""COMPUTED_VALUE"""),"NDS")</f>
        <v>NDS</v>
      </c>
      <c r="B2853" s="6" t="str">
        <f>IFERROR(__xludf.DUMMYFUNCTION("""COMPUTED_VALUE"""),"ENG")</f>
        <v>ENG</v>
      </c>
      <c r="C2853" s="6" t="str">
        <f>IFERROR(__xludf.DUMMYFUNCTION("""COMPUTED_VALUE"""),"O-16647-00")</f>
        <v>O-16647-00</v>
      </c>
      <c r="D2853" s="6" t="str">
        <f>IFERROR(__xludf.DUMMYFUNCTION("""COMPUTED_VALUE"""),"Washing RAR4 - Oring Silicone Merah 23x18x2.5 mm; ; ;")</f>
        <v>Washing RAR4 - Oring Silicone Merah 23x18x2.5 mm; ; ;</v>
      </c>
      <c r="E2853" s="6">
        <f>IFERROR(__xludf.DUMMYFUNCTION("""COMPUTED_VALUE"""),4.0)</f>
        <v>4</v>
      </c>
      <c r="F2853" s="6">
        <f>IFERROR(__xludf.DUMMYFUNCTION("""COMPUTED_VALUE"""),4.0)</f>
        <v>4</v>
      </c>
      <c r="G2853" s="6">
        <f>IFERROR(__xludf.DUMMYFUNCTION("""COMPUTED_VALUE"""),0.0)</f>
        <v>0</v>
      </c>
      <c r="H2853" s="6" t="str">
        <f>IFERROR(__xludf.DUMMYFUNCTION("""COMPUTED_VALUE"""),"Pcs")</f>
        <v>Pcs</v>
      </c>
      <c r="I2853" s="6" t="str">
        <f>IFERROR(__xludf.DUMMYFUNCTION("""COMPUTED_VALUE"""),"MFH")</f>
        <v>MFH</v>
      </c>
      <c r="J2853" s="6" t="str">
        <f>IFERROR(__xludf.DUMMYFUNCTION("""COMPUTED_VALUE"""),"Capping")</f>
        <v>Capping</v>
      </c>
      <c r="K2853" s="6" t="str">
        <f>IFERROR(__xludf.DUMMYFUNCTION("""COMPUTED_VALUE"""),"SPR/25/12/026")</f>
        <v>SPR/25/12/026</v>
      </c>
      <c r="L2853" s="58">
        <f>IFERROR(__xludf.DUMMYFUNCTION("""COMPUTED_VALUE"""),46022.0)</f>
        <v>46022</v>
      </c>
    </row>
    <row r="2854">
      <c r="A2854" s="6" t="str">
        <f>IFERROR(__xludf.DUMMYFUNCTION("""COMPUTED_VALUE"""),"ROS")</f>
        <v>ROS</v>
      </c>
      <c r="B2854" s="6" t="str">
        <f>IFERROR(__xludf.DUMMYFUNCTION("""COMPUTED_VALUE"""),"ENG")</f>
        <v>ENG</v>
      </c>
      <c r="C2854" s="6" t="str">
        <f>IFERROR(__xludf.DUMMYFUNCTION("""COMPUTED_VALUE"""),"O-16032-00")</f>
        <v>O-16032-00</v>
      </c>
      <c r="D2854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2854" s="6">
        <f>IFERROR(__xludf.DUMMYFUNCTION("""COMPUTED_VALUE"""),1.0)</f>
        <v>1</v>
      </c>
      <c r="F2854" s="6">
        <f>IFERROR(__xludf.DUMMYFUNCTION("""COMPUTED_VALUE"""),1.0)</f>
        <v>1</v>
      </c>
      <c r="G2854" s="6">
        <f>IFERROR(__xludf.DUMMYFUNCTION("""COMPUTED_VALUE"""),0.0)</f>
        <v>0</v>
      </c>
      <c r="H2854" s="6" t="str">
        <f>IFERROR(__xludf.DUMMYFUNCTION("""COMPUTED_VALUE"""),"Pcs")</f>
        <v>Pcs</v>
      </c>
      <c r="I2854" s="6" t="str">
        <f>IFERROR(__xludf.DUMMYFUNCTION("""COMPUTED_VALUE"""),"MFH")</f>
        <v>MFH</v>
      </c>
      <c r="J2854" s="6" t="str">
        <f>IFERROR(__xludf.DUMMYFUNCTION("""COMPUTED_VALUE"""),"cRABS")</f>
        <v>cRABS</v>
      </c>
      <c r="K2854" s="6" t="str">
        <f>IFERROR(__xludf.DUMMYFUNCTION("""COMPUTED_VALUE"""),"SPR/25/12/027")</f>
        <v>SPR/25/12/027</v>
      </c>
      <c r="L2854" s="58">
        <f>IFERROR(__xludf.DUMMYFUNCTION("""COMPUTED_VALUE"""),46022.0)</f>
        <v>46022</v>
      </c>
    </row>
    <row r="2855">
      <c r="A2855" s="6" t="str">
        <f>IFERROR(__xludf.DUMMYFUNCTION("""COMPUTED_VALUE"""),"INN")</f>
        <v>INN</v>
      </c>
      <c r="B2855" s="6" t="str">
        <f>IFERROR(__xludf.DUMMYFUNCTION("""COMPUTED_VALUE"""),"ENG")</f>
        <v>ENG</v>
      </c>
      <c r="C2855" s="6" t="str">
        <f>IFERROR(__xludf.DUMMYFUNCTION("""COMPUTED_VALUE"""),"P-15852-00")</f>
        <v>P-15852-00</v>
      </c>
      <c r="D2855" s="6" t="str">
        <f>IFERROR(__xludf.DUMMYFUNCTION("""COMPUTED_VALUE"""),"AMPLAS  EAGLE 500")</f>
        <v>AMPLAS  EAGLE 500</v>
      </c>
      <c r="E2855" s="6">
        <f>IFERROR(__xludf.DUMMYFUNCTION("""COMPUTED_VALUE"""),1.0)</f>
        <v>1</v>
      </c>
      <c r="F2855" s="6">
        <f>IFERROR(__xludf.DUMMYFUNCTION("""COMPUTED_VALUE"""),1.0)</f>
        <v>1</v>
      </c>
      <c r="G2855" s="6">
        <f>IFERROR(__xludf.DUMMYFUNCTION("""COMPUTED_VALUE"""),0.0)</f>
        <v>0</v>
      </c>
      <c r="H2855" s="6" t="str">
        <f>IFERROR(__xludf.DUMMYFUNCTION("""COMPUTED_VALUE"""),"Pcs")</f>
        <v>Pcs</v>
      </c>
      <c r="I2855" s="6" t="str">
        <f>IFERROR(__xludf.DUMMYFUNCTION("""COMPUTED_VALUE"""),"MFH")</f>
        <v>MFH</v>
      </c>
      <c r="J2855" s="6" t="str">
        <f>IFERROR(__xludf.DUMMYFUNCTION("""COMPUTED_VALUE"""),"MS30")</f>
        <v>MS30</v>
      </c>
      <c r="K2855" s="6" t="str">
        <f>IFERROR(__xludf.DUMMYFUNCTION("""COMPUTED_VALUE"""),"SPR/25/12/028")</f>
        <v>SPR/25/12/028</v>
      </c>
      <c r="L2855" s="58">
        <f>IFERROR(__xludf.DUMMYFUNCTION("""COMPUTED_VALUE"""),46022.0)</f>
        <v>46022</v>
      </c>
    </row>
    <row r="2856">
      <c r="A2856" s="6" t="str">
        <f>IFERROR(__xludf.DUMMYFUNCTION("""COMPUTED_VALUE"""),"NDS")</f>
        <v>NDS</v>
      </c>
      <c r="B2856" s="6" t="str">
        <f>IFERROR(__xludf.DUMMYFUNCTION("""COMPUTED_VALUE"""),"ENG")</f>
        <v>ENG</v>
      </c>
      <c r="C2856" s="6" t="str">
        <f>IFERROR(__xludf.DUMMYFUNCTION("""COMPUTED_VALUE"""),"T-20135-00")</f>
        <v>T-20135-00</v>
      </c>
      <c r="D2856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2856" s="6">
        <f>IFERROR(__xludf.DUMMYFUNCTION("""COMPUTED_VALUE"""),1.0)</f>
        <v>1</v>
      </c>
      <c r="F2856" s="6">
        <f>IFERROR(__xludf.DUMMYFUNCTION("""COMPUTED_VALUE"""),1.0)</f>
        <v>1</v>
      </c>
      <c r="G2856" s="6">
        <f>IFERROR(__xludf.DUMMYFUNCTION("""COMPUTED_VALUE"""),0.0)</f>
        <v>0</v>
      </c>
      <c r="H2856" s="6" t="str">
        <f>IFERROR(__xludf.DUMMYFUNCTION("""COMPUTED_VALUE"""),"pcs")</f>
        <v>pcs</v>
      </c>
      <c r="I2856" s="6" t="str">
        <f>IFERROR(__xludf.DUMMYFUNCTION("""COMPUTED_VALUE"""),"MFH")</f>
        <v>MFH</v>
      </c>
      <c r="J2856" s="6" t="str">
        <f>IFERROR(__xludf.DUMMYFUNCTION("""COMPUTED_VALUE"""),"Isolator SKAN")</f>
        <v>Isolator SKAN</v>
      </c>
      <c r="K2856" s="6" t="str">
        <f>IFERROR(__xludf.DUMMYFUNCTION("""COMPUTED_VALUE"""),"SPR/25/12/029")</f>
        <v>SPR/25/12/029</v>
      </c>
      <c r="L2856" s="58">
        <f>IFERROR(__xludf.DUMMYFUNCTION("""COMPUTED_VALUE"""),46022.0)</f>
        <v>46022</v>
      </c>
    </row>
    <row r="2857">
      <c r="A2857" s="6" t="str">
        <f>IFERROR(__xludf.DUMMYFUNCTION("""COMPUTED_VALUE"""),"ROS")</f>
        <v>ROS</v>
      </c>
      <c r="B2857" s="6" t="str">
        <f>IFERROR(__xludf.DUMMYFUNCTION("""COMPUTED_VALUE"""),"ENG")</f>
        <v>ENG</v>
      </c>
      <c r="C2857" s="6" t="str">
        <f>IFERROR(__xludf.DUMMYFUNCTION("""COMPUTED_VALUE"""),"S-46129-00")</f>
        <v>S-46129-00</v>
      </c>
      <c r="D2857" s="6" t="str">
        <f>IFERROR(__xludf.DUMMYFUNCTION("""COMPUTED_VALUE"""),"Plastik Wrap Roll,  Size 50 x 200 cm x 17 micron")</f>
        <v>Plastik Wrap Roll,  Size 50 x 200 cm x 17 micron</v>
      </c>
      <c r="E2857" s="6">
        <f>IFERROR(__xludf.DUMMYFUNCTION("""COMPUTED_VALUE"""),1.0)</f>
        <v>1</v>
      </c>
      <c r="F2857" s="6">
        <f>IFERROR(__xludf.DUMMYFUNCTION("""COMPUTED_VALUE"""),1.0)</f>
        <v>1</v>
      </c>
      <c r="G2857" s="6">
        <f>IFERROR(__xludf.DUMMYFUNCTION("""COMPUTED_VALUE"""),0.0)</f>
        <v>0</v>
      </c>
      <c r="H2857" s="6" t="str">
        <f>IFERROR(__xludf.DUMMYFUNCTION("""COMPUTED_VALUE"""),"Pcs")</f>
        <v>Pcs</v>
      </c>
      <c r="I2857" s="6" t="str">
        <f>IFERROR(__xludf.DUMMYFUNCTION("""COMPUTED_VALUE"""),"MFH")</f>
        <v>MFH</v>
      </c>
      <c r="J2857" s="6" t="str">
        <f>IFERROR(__xludf.DUMMYFUNCTION("""COMPUTED_VALUE"""),"FD")</f>
        <v>FD</v>
      </c>
      <c r="K2857" s="6" t="str">
        <f>IFERROR(__xludf.DUMMYFUNCTION("""COMPUTED_VALUE"""),"SPR/25/12/030")</f>
        <v>SPR/25/12/030</v>
      </c>
      <c r="L2857" s="58">
        <f>IFERROR(__xludf.DUMMYFUNCTION("""COMPUTED_VALUE"""),46022.0)</f>
        <v>46022</v>
      </c>
    </row>
    <row r="2858">
      <c r="A2858" s="6" t="str">
        <f>IFERROR(__xludf.DUMMYFUNCTION("""COMPUTED_VALUE"""),"SFH")</f>
        <v>SFH</v>
      </c>
      <c r="B2858" s="6" t="str">
        <f>IFERROR(__xludf.DUMMYFUNCTION("""COMPUTED_VALUE"""),"ENG")</f>
        <v>ENG</v>
      </c>
      <c r="C2858" s="6" t="str">
        <f>IFERROR(__xludf.DUMMYFUNCTION("""COMPUTED_VALUE"""),"P-51559-00")</f>
        <v>P-51559-00</v>
      </c>
      <c r="D2858" s="6" t="str">
        <f>IFERROR(__xludf.DUMMYFUNCTION("""COMPUTED_VALUE"""),"Lampu T5 14watt Putih; Phillips; ;")</f>
        <v>Lampu T5 14watt Putih; Phillips; ;</v>
      </c>
      <c r="E2858" s="6">
        <f>IFERROR(__xludf.DUMMYFUNCTION("""COMPUTED_VALUE"""),4.0)</f>
        <v>4</v>
      </c>
      <c r="F2858" s="6">
        <f>IFERROR(__xludf.DUMMYFUNCTION("""COMPUTED_VALUE"""),4.0)</f>
        <v>4</v>
      </c>
      <c r="G2858" s="6">
        <f>IFERROR(__xludf.DUMMYFUNCTION("""COMPUTED_VALUE"""),0.0)</f>
        <v>0</v>
      </c>
      <c r="H2858" s="6" t="str">
        <f>IFERROR(__xludf.DUMMYFUNCTION("""COMPUTED_VALUE"""),"Pcs")</f>
        <v>Pcs</v>
      </c>
      <c r="I2858" s="6" t="str">
        <f>IFERROR(__xludf.DUMMYFUNCTION("""COMPUTED_VALUE"""),"MFH")</f>
        <v>MFH</v>
      </c>
      <c r="J2858" s="6" t="str">
        <f>IFERROR(__xludf.DUMMYFUNCTION("""COMPUTED_VALUE"""),"Building")</f>
        <v>Building</v>
      </c>
      <c r="K2858" s="6" t="str">
        <f>IFERROR(__xludf.DUMMYFUNCTION("""COMPUTED_VALUE"""),"SPR/25/12/031")</f>
        <v>SPR/25/12/031</v>
      </c>
      <c r="L2858" s="58">
        <f>IFERROR(__xludf.DUMMYFUNCTION("""COMPUTED_VALUE"""),46022.0)</f>
        <v>46022</v>
      </c>
    </row>
    <row r="2859">
      <c r="A2859" s="6" t="str">
        <f>IFERROR(__xludf.DUMMYFUNCTION("""COMPUTED_VALUE"""),"SFH")</f>
        <v>SFH</v>
      </c>
      <c r="B2859" s="6" t="str">
        <f>IFERROR(__xludf.DUMMYFUNCTION("""COMPUTED_VALUE"""),"ENG")</f>
        <v>ENG</v>
      </c>
      <c r="C2859" s="6" t="str">
        <f>IFERROR(__xludf.DUMMYFUNCTION("""COMPUTED_VALUE"""),"P-51560-00")</f>
        <v>P-51560-00</v>
      </c>
      <c r="D2859" s="6" t="str">
        <f>IFERROR(__xludf.DUMMYFUNCTION("""COMPUTED_VALUE"""),"Lampu T5 28watt Putih; Phillips; ;")</f>
        <v>Lampu T5 28watt Putih; Phillips; ;</v>
      </c>
      <c r="E2859" s="6">
        <f>IFERROR(__xludf.DUMMYFUNCTION("""COMPUTED_VALUE"""),5.0)</f>
        <v>5</v>
      </c>
      <c r="F2859" s="6">
        <f>IFERROR(__xludf.DUMMYFUNCTION("""COMPUTED_VALUE"""),5.0)</f>
        <v>5</v>
      </c>
      <c r="G2859" s="6">
        <f>IFERROR(__xludf.DUMMYFUNCTION("""COMPUTED_VALUE"""),0.0)</f>
        <v>0</v>
      </c>
      <c r="H2859" s="6" t="str">
        <f>IFERROR(__xludf.DUMMYFUNCTION("""COMPUTED_VALUE"""),"Pcs")</f>
        <v>Pcs</v>
      </c>
      <c r="I2859" s="6" t="str">
        <f>IFERROR(__xludf.DUMMYFUNCTION("""COMPUTED_VALUE"""),"MFH")</f>
        <v>MFH</v>
      </c>
      <c r="J2859" s="6" t="str">
        <f>IFERROR(__xludf.DUMMYFUNCTION("""COMPUTED_VALUE"""),"Building")</f>
        <v>Building</v>
      </c>
      <c r="K2859" s="6" t="str">
        <f>IFERROR(__xludf.DUMMYFUNCTION("""COMPUTED_VALUE"""),"SPR/25/12/031")</f>
        <v>SPR/25/12/031</v>
      </c>
      <c r="L2859" s="58">
        <f>IFERROR(__xludf.DUMMYFUNCTION("""COMPUTED_VALUE"""),46022.0)</f>
        <v>46022</v>
      </c>
    </row>
    <row r="2860">
      <c r="A2860" s="6" t="str">
        <f>IFERROR(__xludf.DUMMYFUNCTION("""COMPUTED_VALUE"""),"KFF")</f>
        <v>KFF</v>
      </c>
      <c r="B2860" s="6" t="str">
        <f>IFERROR(__xludf.DUMMYFUNCTION("""COMPUTED_VALUE"""),"ENG")</f>
        <v>ENG</v>
      </c>
      <c r="C2860" s="6" t="str">
        <f>IFERROR(__xludf.DUMMYFUNCTION("""COMPUTED_VALUE"""),"Q-60340-00")</f>
        <v>Q-60340-00</v>
      </c>
      <c r="D2860" s="6" t="str">
        <f>IFERROR(__xludf.DUMMYFUNCTION("""COMPUTED_VALUE"""),"Cat Semprot Chrome Stainless 360ml; No Brand; ; can")</f>
        <v>Cat Semprot Chrome Stainless 360ml; No Brand; ; can</v>
      </c>
      <c r="E2860" s="6">
        <f>IFERROR(__xludf.DUMMYFUNCTION("""COMPUTED_VALUE"""),1.0)</f>
        <v>1</v>
      </c>
      <c r="F2860" s="6">
        <f>IFERROR(__xludf.DUMMYFUNCTION("""COMPUTED_VALUE"""),1.0)</f>
        <v>1</v>
      </c>
      <c r="G2860" s="6">
        <f>IFERROR(__xludf.DUMMYFUNCTION("""COMPUTED_VALUE"""),0.0)</f>
        <v>0</v>
      </c>
      <c r="H2860" s="6" t="str">
        <f>IFERROR(__xludf.DUMMYFUNCTION("""COMPUTED_VALUE"""),"Pcs")</f>
        <v>Pcs</v>
      </c>
      <c r="I2860" s="6" t="str">
        <f>IFERROR(__xludf.DUMMYFUNCTION("""COMPUTED_VALUE"""),"MFH")</f>
        <v>MFH</v>
      </c>
      <c r="J2860" s="6" t="str">
        <f>IFERROR(__xludf.DUMMYFUNCTION("""COMPUTED_VALUE"""),"-")</f>
        <v>-</v>
      </c>
      <c r="K2860" s="6" t="str">
        <f>IFERROR(__xludf.DUMMYFUNCTION("""COMPUTED_VALUE"""),"SPR/25/12/032")</f>
        <v>SPR/25/12/032</v>
      </c>
      <c r="L2860" s="58">
        <f>IFERROR(__xludf.DUMMYFUNCTION("""COMPUTED_VALUE"""),46022.0)</f>
        <v>46022</v>
      </c>
    </row>
    <row r="2861">
      <c r="A2861" s="6" t="str">
        <f>IFERROR(__xludf.DUMMYFUNCTION("""COMPUTED_VALUE"""),"ANO")</f>
        <v>ANO</v>
      </c>
      <c r="B2861" s="6" t="str">
        <f>IFERROR(__xludf.DUMMYFUNCTION("""COMPUTED_VALUE"""),"ENG")</f>
        <v>ENG</v>
      </c>
      <c r="C2861" s="6" t="str">
        <f>IFERROR(__xludf.DUMMYFUNCTION("""COMPUTED_VALUE"""),"P-10945-00")</f>
        <v>P-10945-00</v>
      </c>
      <c r="D2861" s="6" t="str">
        <f>IFERROR(__xludf.DUMMYFUNCTION("""COMPUTED_VALUE"""),"General - Seal Tape 1 Inch 10 M; Onda; ST 02; 1 pcs")</f>
        <v>General - Seal Tape 1 Inch 10 M; Onda; ST 02; 1 pcs</v>
      </c>
      <c r="E2861" s="6">
        <f>IFERROR(__xludf.DUMMYFUNCTION("""COMPUTED_VALUE"""),2.0)</f>
        <v>2</v>
      </c>
      <c r="F2861" s="6">
        <f>IFERROR(__xludf.DUMMYFUNCTION("""COMPUTED_VALUE"""),2.0)</f>
        <v>2</v>
      </c>
      <c r="G2861" s="6">
        <f>IFERROR(__xludf.DUMMYFUNCTION("""COMPUTED_VALUE"""),0.0)</f>
        <v>0</v>
      </c>
      <c r="H2861" s="6" t="str">
        <f>IFERROR(__xludf.DUMMYFUNCTION("""COMPUTED_VALUE"""),"Pcs")</f>
        <v>Pcs</v>
      </c>
      <c r="I2861" s="6" t="str">
        <f>IFERROR(__xludf.DUMMYFUNCTION("""COMPUTED_VALUE"""),"MFH")</f>
        <v>MFH</v>
      </c>
      <c r="J2861" s="6" t="str">
        <f>IFERROR(__xludf.DUMMYFUNCTION("""COMPUTED_VALUE"""),"BSC")</f>
        <v>BSC</v>
      </c>
      <c r="K2861" s="6" t="str">
        <f>IFERROR(__xludf.DUMMYFUNCTION("""COMPUTED_VALUE"""),"SPR/25/12/033")</f>
        <v>SPR/25/12/033</v>
      </c>
      <c r="L2861" s="58">
        <f>IFERROR(__xludf.DUMMYFUNCTION("""COMPUTED_VALUE"""),46022.0)</f>
        <v>46022</v>
      </c>
    </row>
    <row r="2862">
      <c r="A2862" s="6" t="str">
        <f>IFERROR(__xludf.DUMMYFUNCTION("""COMPUTED_VALUE"""),"ANO")</f>
        <v>ANO</v>
      </c>
      <c r="B2862" s="6" t="str">
        <f>IFERROR(__xludf.DUMMYFUNCTION("""COMPUTED_VALUE"""),"ENG")</f>
        <v>ENG</v>
      </c>
      <c r="C2862" s="6" t="str">
        <f>IFERROR(__xludf.DUMMYFUNCTION("""COMPUTED_VALUE"""),"P-14245-00")</f>
        <v>P-14245-00</v>
      </c>
      <c r="D2862" s="6" t="str">
        <f>IFERROR(__xludf.DUMMYFUNCTION("""COMPUTED_VALUE"""),"General - Shut off valve HE-2-QS-8;  FESTO; P/N : 153468; 1 Pc")</f>
        <v>General - Shut off valve HE-2-QS-8;  FESTO; P/N : 153468; 1 Pc</v>
      </c>
      <c r="E2862" s="6">
        <f>IFERROR(__xludf.DUMMYFUNCTION("""COMPUTED_VALUE"""),2.0)</f>
        <v>2</v>
      </c>
      <c r="F2862" s="6">
        <f>IFERROR(__xludf.DUMMYFUNCTION("""COMPUTED_VALUE"""),2.0)</f>
        <v>2</v>
      </c>
      <c r="G2862" s="6">
        <f>IFERROR(__xludf.DUMMYFUNCTION("""COMPUTED_VALUE"""),0.0)</f>
        <v>0</v>
      </c>
      <c r="H2862" s="6" t="str">
        <f>IFERROR(__xludf.DUMMYFUNCTION("""COMPUTED_VALUE"""),"Pcs")</f>
        <v>Pcs</v>
      </c>
      <c r="I2862" s="6" t="str">
        <f>IFERROR(__xludf.DUMMYFUNCTION("""COMPUTED_VALUE"""),"MFH")</f>
        <v>MFH</v>
      </c>
      <c r="J2862" s="6" t="str">
        <f>IFERROR(__xludf.DUMMYFUNCTION("""COMPUTED_VALUE"""),"BSC")</f>
        <v>BSC</v>
      </c>
      <c r="K2862" s="6" t="str">
        <f>IFERROR(__xludf.DUMMYFUNCTION("""COMPUTED_VALUE"""),"SPR/25/12/033")</f>
        <v>SPR/25/12/033</v>
      </c>
      <c r="L2862" s="58">
        <f>IFERROR(__xludf.DUMMYFUNCTION("""COMPUTED_VALUE"""),46022.0)</f>
        <v>46022</v>
      </c>
    </row>
    <row r="2863">
      <c r="A2863" s="6" t="str">
        <f>IFERROR(__xludf.DUMMYFUNCTION("""COMPUTED_VALUE"""),"ANO")</f>
        <v>ANO</v>
      </c>
      <c r="B2863" s="6" t="str">
        <f>IFERROR(__xludf.DUMMYFUNCTION("""COMPUTED_VALUE"""),"ENG")</f>
        <v>ENG</v>
      </c>
      <c r="C2863" s="6" t="str">
        <f>IFERROR(__xludf.DUMMYFUNCTION("""COMPUTED_VALUE"""),"O-18165-00")</f>
        <v>O-18165-00</v>
      </c>
      <c r="D2863" s="6" t="str">
        <f>IFERROR(__xludf.DUMMYFUNCTION("""COMPUTED_VALUE"""),"Water Spray Gun (1/4"") SG-1-01; PARKER; ;")</f>
        <v>Water Spray Gun (1/4") SG-1-01; PARKER; ;</v>
      </c>
      <c r="E2863" s="6">
        <f>IFERROR(__xludf.DUMMYFUNCTION("""COMPUTED_VALUE"""),1.0)</f>
        <v>1</v>
      </c>
      <c r="F2863" s="6">
        <f>IFERROR(__xludf.DUMMYFUNCTION("""COMPUTED_VALUE"""),1.0)</f>
        <v>1</v>
      </c>
      <c r="G2863" s="6">
        <f>IFERROR(__xludf.DUMMYFUNCTION("""COMPUTED_VALUE"""),0.0)</f>
        <v>0</v>
      </c>
      <c r="H2863" s="6" t="str">
        <f>IFERROR(__xludf.DUMMYFUNCTION("""COMPUTED_VALUE"""),"Pcs")</f>
        <v>Pcs</v>
      </c>
      <c r="I2863" s="6" t="str">
        <f>IFERROR(__xludf.DUMMYFUNCTION("""COMPUTED_VALUE"""),"MFH")</f>
        <v>MFH</v>
      </c>
      <c r="J2863" s="6" t="str">
        <f>IFERROR(__xludf.DUMMYFUNCTION("""COMPUTED_VALUE"""),"BSC")</f>
        <v>BSC</v>
      </c>
      <c r="K2863" s="6" t="str">
        <f>IFERROR(__xludf.DUMMYFUNCTION("""COMPUTED_VALUE"""),"SPR/25/12/033")</f>
        <v>SPR/25/12/033</v>
      </c>
      <c r="L2863" s="58">
        <f>IFERROR(__xludf.DUMMYFUNCTION("""COMPUTED_VALUE"""),46022.0)</f>
        <v>46022</v>
      </c>
    </row>
    <row r="2864">
      <c r="A2864" s="6" t="str">
        <f>IFERROR(__xludf.DUMMYFUNCTION("""COMPUTED_VALUE"""),"INN")</f>
        <v>INN</v>
      </c>
      <c r="B2864" s="6" t="str">
        <f>IFERROR(__xludf.DUMMYFUNCTION("""COMPUTED_VALUE"""),"ENG")</f>
        <v>ENG</v>
      </c>
      <c r="C2864" s="6" t="str">
        <f>IFERROR(__xludf.DUMMYFUNCTION("""COMPUTED_VALUE"""),"O-53449-00")</f>
        <v>O-53449-00</v>
      </c>
      <c r="D2864" s="6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E2864" s="6">
        <f>IFERROR(__xludf.DUMMYFUNCTION("""COMPUTED_VALUE"""),1.0)</f>
        <v>1</v>
      </c>
      <c r="F2864" s="6">
        <f>IFERROR(__xludf.DUMMYFUNCTION("""COMPUTED_VALUE"""),1.0)</f>
        <v>1</v>
      </c>
      <c r="G2864" s="6">
        <f>IFERROR(__xludf.DUMMYFUNCTION("""COMPUTED_VALUE"""),0.0)</f>
        <v>0</v>
      </c>
      <c r="H2864" s="6" t="str">
        <f>IFERROR(__xludf.DUMMYFUNCTION("""COMPUTED_VALUE"""),"Pcs")</f>
        <v>Pcs</v>
      </c>
      <c r="I2864" s="6" t="str">
        <f>IFERROR(__xludf.DUMMYFUNCTION("""COMPUTED_VALUE"""),"MFH")</f>
        <v>MFH</v>
      </c>
      <c r="J2864" s="6" t="str">
        <f>IFERROR(__xludf.DUMMYFUNCTION("""COMPUTED_VALUE"""),"MS30")</f>
        <v>MS30</v>
      </c>
      <c r="K2864" s="6" t="str">
        <f>IFERROR(__xludf.DUMMYFUNCTION("""COMPUTED_VALUE"""),"SPR/25/12/034")</f>
        <v>SPR/25/12/034</v>
      </c>
      <c r="L2864" s="58">
        <f>IFERROR(__xludf.DUMMYFUNCTION("""COMPUTED_VALUE"""),46022.0)</f>
        <v>46022</v>
      </c>
    </row>
    <row r="2865">
      <c r="A2865" s="6" t="str">
        <f>IFERROR(__xludf.DUMMYFUNCTION("""COMPUTED_VALUE"""),"INN")</f>
        <v>INN</v>
      </c>
      <c r="B2865" s="6" t="str">
        <f>IFERROR(__xludf.DUMMYFUNCTION("""COMPUTED_VALUE"""),"ENG")</f>
        <v>ENG</v>
      </c>
      <c r="C2865" s="6" t="str">
        <f>IFERROR(__xludf.DUMMYFUNCTION("""COMPUTED_VALUE"""),"O-53447-00")</f>
        <v>O-53447-00</v>
      </c>
      <c r="D2865" s="6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E2865" s="6">
        <f>IFERROR(__xludf.DUMMYFUNCTION("""COMPUTED_VALUE"""),1.0)</f>
        <v>1</v>
      </c>
      <c r="F2865" s="6">
        <f>IFERROR(__xludf.DUMMYFUNCTION("""COMPUTED_VALUE"""),1.0)</f>
        <v>1</v>
      </c>
      <c r="G2865" s="6">
        <f>IFERROR(__xludf.DUMMYFUNCTION("""COMPUTED_VALUE"""),0.0)</f>
        <v>0</v>
      </c>
      <c r="H2865" s="6" t="str">
        <f>IFERROR(__xludf.DUMMYFUNCTION("""COMPUTED_VALUE"""),"Pcs")</f>
        <v>Pcs</v>
      </c>
      <c r="I2865" s="6" t="str">
        <f>IFERROR(__xludf.DUMMYFUNCTION("""COMPUTED_VALUE"""),"MFH")</f>
        <v>MFH</v>
      </c>
      <c r="J2865" s="6" t="str">
        <f>IFERROR(__xludf.DUMMYFUNCTION("""COMPUTED_VALUE"""),"MS30")</f>
        <v>MS30</v>
      </c>
      <c r="K2865" s="6" t="str">
        <f>IFERROR(__xludf.DUMMYFUNCTION("""COMPUTED_VALUE"""),"SPR/25/12/034")</f>
        <v>SPR/25/12/034</v>
      </c>
      <c r="L2865" s="58">
        <f>IFERROR(__xludf.DUMMYFUNCTION("""COMPUTED_VALUE"""),46022.0)</f>
        <v>46022</v>
      </c>
    </row>
    <row r="2866">
      <c r="A2866" s="6" t="str">
        <f>IFERROR(__xludf.DUMMYFUNCTION("""COMPUTED_VALUE"""),"MFH")</f>
        <v>MFH</v>
      </c>
      <c r="B2866" s="6" t="str">
        <f>IFERROR(__xludf.DUMMYFUNCTION("""COMPUTED_VALUE"""),"ENG")</f>
        <v>ENG</v>
      </c>
      <c r="C2866" s="6" t="str">
        <f>IFERROR(__xludf.DUMMYFUNCTION("""COMPUTED_VALUE"""),"Q-10128-00")</f>
        <v>Q-10128-00</v>
      </c>
      <c r="D2866" s="6" t="str">
        <f>IFERROR(__xludf.DUMMYFUNCTION("""COMPUTED_VALUE"""),"Thinner Super End/Impala")</f>
        <v>Thinner Super End/Impala</v>
      </c>
      <c r="E2866" s="6">
        <f>IFERROR(__xludf.DUMMYFUNCTION("""COMPUTED_VALUE"""),5.0)</f>
        <v>5</v>
      </c>
      <c r="F2866" s="6">
        <f>IFERROR(__xludf.DUMMYFUNCTION("""COMPUTED_VALUE"""),5.0)</f>
        <v>5</v>
      </c>
      <c r="G2866" s="6">
        <f>IFERROR(__xludf.DUMMYFUNCTION("""COMPUTED_VALUE"""),0.0)</f>
        <v>0</v>
      </c>
      <c r="H2866" s="6" t="str">
        <f>IFERROR(__xludf.DUMMYFUNCTION("""COMPUTED_VALUE"""),"Pcs")</f>
        <v>Pcs</v>
      </c>
      <c r="I2866" s="6" t="str">
        <f>IFERROR(__xludf.DUMMYFUNCTION("""COMPUTED_VALUE"""),"MFH")</f>
        <v>MFH</v>
      </c>
      <c r="J2866" s="6" t="str">
        <f>IFERROR(__xludf.DUMMYFUNCTION("""COMPUTED_VALUE"""),"-")</f>
        <v>-</v>
      </c>
      <c r="K2866" s="6" t="str">
        <f>IFERROR(__xludf.DUMMYFUNCTION("""COMPUTED_VALUE"""),"SPR/25/12/035")</f>
        <v>SPR/25/12/035</v>
      </c>
      <c r="L2866" s="58">
        <f>IFERROR(__xludf.DUMMYFUNCTION("""COMPUTED_VALUE"""),46022.0)</f>
        <v>46022</v>
      </c>
    </row>
    <row r="2867">
      <c r="A2867" s="6" t="str">
        <f>IFERROR(__xludf.DUMMYFUNCTION("""COMPUTED_VALUE"""),"MFH")</f>
        <v>MFH</v>
      </c>
      <c r="B2867" s="6" t="str">
        <f>IFERROR(__xludf.DUMMYFUNCTION("""COMPUTED_VALUE"""),"ENG")</f>
        <v>ENG</v>
      </c>
      <c r="C2867" s="6" t="str">
        <f>IFERROR(__xludf.DUMMYFUNCTION("""COMPUTED_VALUE"""),"Q-60025-00")</f>
        <v>Q-60025-00</v>
      </c>
      <c r="D2867" s="6" t="str">
        <f>IFERROR(__xludf.DUMMYFUNCTION("""COMPUTED_VALUE"""),"Kuas Eterna 1 inchi")</f>
        <v>Kuas Eterna 1 inchi</v>
      </c>
      <c r="E2867" s="6">
        <f>IFERROR(__xludf.DUMMYFUNCTION("""COMPUTED_VALUE"""),2.0)</f>
        <v>2</v>
      </c>
      <c r="F2867" s="6">
        <f>IFERROR(__xludf.DUMMYFUNCTION("""COMPUTED_VALUE"""),2.0)</f>
        <v>2</v>
      </c>
      <c r="G2867" s="6">
        <f>IFERROR(__xludf.DUMMYFUNCTION("""COMPUTED_VALUE"""),0.0)</f>
        <v>0</v>
      </c>
      <c r="H2867" s="6" t="str">
        <f>IFERROR(__xludf.DUMMYFUNCTION("""COMPUTED_VALUE"""),"Pcs")</f>
        <v>Pcs</v>
      </c>
      <c r="I2867" s="6" t="str">
        <f>IFERROR(__xludf.DUMMYFUNCTION("""COMPUTED_VALUE"""),"MFH")</f>
        <v>MFH</v>
      </c>
      <c r="J2867" s="6" t="str">
        <f>IFERROR(__xludf.DUMMYFUNCTION("""COMPUTED_VALUE"""),"-")</f>
        <v>-</v>
      </c>
      <c r="K2867" s="6" t="str">
        <f>IFERROR(__xludf.DUMMYFUNCTION("""COMPUTED_VALUE"""),"SPR/25/12/035")</f>
        <v>SPR/25/12/035</v>
      </c>
      <c r="L2867" s="58">
        <f>IFERROR(__xludf.DUMMYFUNCTION("""COMPUTED_VALUE"""),46022.0)</f>
        <v>46022</v>
      </c>
    </row>
    <row r="2868">
      <c r="A2868" s="6" t="str">
        <f>IFERROR(__xludf.DUMMYFUNCTION("""COMPUTED_VALUE"""),"MFH")</f>
        <v>MFH</v>
      </c>
      <c r="B2868" s="6" t="str">
        <f>IFERROR(__xludf.DUMMYFUNCTION("""COMPUTED_VALUE"""),"ENG")</f>
        <v>ENG</v>
      </c>
      <c r="C2868" s="6" t="str">
        <f>IFERROR(__xludf.DUMMYFUNCTION("""COMPUTED_VALUE"""),"Q-10153-00")</f>
        <v>Q-10153-00</v>
      </c>
      <c r="D2868" s="6" t="str">
        <f>IFERROR(__xludf.DUMMYFUNCTION("""COMPUTED_VALUE"""),"Roller cat 110mm")</f>
        <v>Roller cat 110mm</v>
      </c>
      <c r="E2868" s="6">
        <f>IFERROR(__xludf.DUMMYFUNCTION("""COMPUTED_VALUE"""),3.0)</f>
        <v>3</v>
      </c>
      <c r="F2868" s="6">
        <f>IFERROR(__xludf.DUMMYFUNCTION("""COMPUTED_VALUE"""),3.0)</f>
        <v>3</v>
      </c>
      <c r="G2868" s="6">
        <f>IFERROR(__xludf.DUMMYFUNCTION("""COMPUTED_VALUE"""),0.0)</f>
        <v>0</v>
      </c>
      <c r="H2868" s="6" t="str">
        <f>IFERROR(__xludf.DUMMYFUNCTION("""COMPUTED_VALUE"""),"Pcs")</f>
        <v>Pcs</v>
      </c>
      <c r="I2868" s="6" t="str">
        <f>IFERROR(__xludf.DUMMYFUNCTION("""COMPUTED_VALUE"""),"MFH")</f>
        <v>MFH</v>
      </c>
      <c r="J2868" s="6" t="str">
        <f>IFERROR(__xludf.DUMMYFUNCTION("""COMPUTED_VALUE"""),"-")</f>
        <v>-</v>
      </c>
      <c r="K2868" s="6" t="str">
        <f>IFERROR(__xludf.DUMMYFUNCTION("""COMPUTED_VALUE"""),"SPR/25/12/035")</f>
        <v>SPR/25/12/035</v>
      </c>
      <c r="L2868" s="58">
        <f>IFERROR(__xludf.DUMMYFUNCTION("""COMPUTED_VALUE"""),46022.0)</f>
        <v>46022</v>
      </c>
    </row>
    <row r="2869">
      <c r="A2869" s="6" t="str">
        <f>IFERROR(__xludf.DUMMYFUNCTION("""COMPUTED_VALUE"""),"INI")</f>
        <v>INI</v>
      </c>
      <c r="B2869" s="6" t="str">
        <f>IFERROR(__xludf.DUMMYFUNCTION("""COMPUTED_VALUE"""),"QAS")</f>
        <v>QAS</v>
      </c>
      <c r="C2869" s="6" t="str">
        <f>IFERROR(__xludf.DUMMYFUNCTION("""COMPUTED_VALUE"""),"P-14245-00")</f>
        <v>P-14245-00</v>
      </c>
      <c r="D2869" s="6" t="str">
        <f>IFERROR(__xludf.DUMMYFUNCTION("""COMPUTED_VALUE"""),"General - Shut off valve HE-2-QS-8;  FESTO; P/N : 153468; 1 Pc")</f>
        <v>General - Shut off valve HE-2-QS-8;  FESTO; P/N : 153468; 1 Pc</v>
      </c>
      <c r="E2869" s="6">
        <f>IFERROR(__xludf.DUMMYFUNCTION("""COMPUTED_VALUE"""),1.0)</f>
        <v>1</v>
      </c>
      <c r="F2869" s="6">
        <f>IFERROR(__xludf.DUMMYFUNCTION("""COMPUTED_VALUE"""),1.0)</f>
        <v>1</v>
      </c>
      <c r="G2869" s="6">
        <f>IFERROR(__xludf.DUMMYFUNCTION("""COMPUTED_VALUE"""),0.0)</f>
        <v>0</v>
      </c>
      <c r="H2869" s="6" t="str">
        <f>IFERROR(__xludf.DUMMYFUNCTION("""COMPUTED_VALUE"""),"Pcs")</f>
        <v>Pcs</v>
      </c>
      <c r="I2869" s="6" t="str">
        <f>IFERROR(__xludf.DUMMYFUNCTION("""COMPUTED_VALUE"""),"MFH")</f>
        <v>MFH</v>
      </c>
      <c r="J2869" s="6" t="str">
        <f>IFERROR(__xludf.DUMMYFUNCTION("""COMPUTED_VALUE"""),"Autoclave")</f>
        <v>Autoclave</v>
      </c>
      <c r="K2869" s="6" t="str">
        <f>IFERROR(__xludf.DUMMYFUNCTION("""COMPUTED_VALUE"""),"SPR/25/12/036")</f>
        <v>SPR/25/12/036</v>
      </c>
      <c r="L2869" s="58">
        <f>IFERROR(__xludf.DUMMYFUNCTION("""COMPUTED_VALUE"""),46022.0)</f>
        <v>46022</v>
      </c>
    </row>
    <row r="2870">
      <c r="A2870" s="6" t="str">
        <f>IFERROR(__xludf.DUMMYFUNCTION("""COMPUTED_VALUE"""),"INI")</f>
        <v>INI</v>
      </c>
      <c r="B2870" s="6" t="str">
        <f>IFERROR(__xludf.DUMMYFUNCTION("""COMPUTED_VALUE"""),"QAS")</f>
        <v>QAS</v>
      </c>
      <c r="C2870" s="6" t="str">
        <f>IFERROR(__xludf.DUMMYFUNCTION("""COMPUTED_VALUE"""),"P-11185-00")</f>
        <v>P-11185-00</v>
      </c>
      <c r="D2870" s="6" t="str">
        <f>IFERROR(__xludf.DUMMYFUNCTION("""COMPUTED_VALUE"""),"General - Push-in Connector, QS-8-6; Festo; 153038; 1 pcs")</f>
        <v>General - Push-in Connector, QS-8-6; Festo; 153038; 1 pcs</v>
      </c>
      <c r="E2870" s="6">
        <f>IFERROR(__xludf.DUMMYFUNCTION("""COMPUTED_VALUE"""),1.0)</f>
        <v>1</v>
      </c>
      <c r="F2870" s="6">
        <f>IFERROR(__xludf.DUMMYFUNCTION("""COMPUTED_VALUE"""),1.0)</f>
        <v>1</v>
      </c>
      <c r="G2870" s="6">
        <f>IFERROR(__xludf.DUMMYFUNCTION("""COMPUTED_VALUE"""),0.0)</f>
        <v>0</v>
      </c>
      <c r="H2870" s="6" t="str">
        <f>IFERROR(__xludf.DUMMYFUNCTION("""COMPUTED_VALUE"""),"Pcs")</f>
        <v>Pcs</v>
      </c>
      <c r="I2870" s="6" t="str">
        <f>IFERROR(__xludf.DUMMYFUNCTION("""COMPUTED_VALUE"""),"MFH")</f>
        <v>MFH</v>
      </c>
      <c r="J2870" s="6" t="str">
        <f>IFERROR(__xludf.DUMMYFUNCTION("""COMPUTED_VALUE"""),"Autoclave")</f>
        <v>Autoclave</v>
      </c>
      <c r="K2870" s="6" t="str">
        <f>IFERROR(__xludf.DUMMYFUNCTION("""COMPUTED_VALUE"""),"SPR/25/12/036")</f>
        <v>SPR/25/12/036</v>
      </c>
      <c r="L2870" s="58">
        <f>IFERROR(__xludf.DUMMYFUNCTION("""COMPUTED_VALUE"""),46022.0)</f>
        <v>46022</v>
      </c>
    </row>
    <row r="2871">
      <c r="A2871" s="6" t="str">
        <f>IFERROR(__xludf.DUMMYFUNCTION("""COMPUTED_VALUE"""),"RIA")</f>
        <v>RIA</v>
      </c>
      <c r="B2871" s="6" t="str">
        <f>IFERROR(__xludf.DUMMYFUNCTION("""COMPUTED_VALUE"""),"ENG")</f>
        <v>ENG</v>
      </c>
      <c r="C2871" s="6" t="str">
        <f>IFERROR(__xludf.DUMMYFUNCTION("""COMPUTED_VALUE"""),"P-50717-00")</f>
        <v>P-50717-00</v>
      </c>
      <c r="D2871" s="6" t="str">
        <f>IFERROR(__xludf.DUMMYFUNCTION("""COMPUTED_VALUE"""),"Kabel UTP 4 pairs Cat 6 merk BELDEN")</f>
        <v>Kabel UTP 4 pairs Cat 6 merk BELDEN</v>
      </c>
      <c r="E2871" s="6">
        <f>IFERROR(__xludf.DUMMYFUNCTION("""COMPUTED_VALUE"""),50.0)</f>
        <v>50</v>
      </c>
      <c r="F2871" s="6">
        <f>IFERROR(__xludf.DUMMYFUNCTION("""COMPUTED_VALUE"""),50.0)</f>
        <v>50</v>
      </c>
      <c r="G2871" s="6">
        <f>IFERROR(__xludf.DUMMYFUNCTION("""COMPUTED_VALUE"""),0.0)</f>
        <v>0</v>
      </c>
      <c r="H2871" s="6" t="str">
        <f>IFERROR(__xludf.DUMMYFUNCTION("""COMPUTED_VALUE"""),"Meter ")</f>
        <v>Meter </v>
      </c>
      <c r="I2871" s="6" t="str">
        <f>IFERROR(__xludf.DUMMYFUNCTION("""COMPUTED_VALUE"""),"MFH")</f>
        <v>MFH</v>
      </c>
      <c r="J2871" s="6" t="str">
        <f>IFERROR(__xludf.DUMMYFUNCTION("""COMPUTED_VALUE"""),"-")</f>
        <v>-</v>
      </c>
      <c r="K2871" s="6" t="str">
        <f>IFERROR(__xludf.DUMMYFUNCTION("""COMPUTED_VALUE"""),"SPR/25/12/037")</f>
        <v>SPR/25/12/037</v>
      </c>
      <c r="L2871" s="58">
        <f>IFERROR(__xludf.DUMMYFUNCTION("""COMPUTED_VALUE"""),46022.0)</f>
        <v>46022</v>
      </c>
    </row>
    <row r="2872">
      <c r="A2872" s="6" t="str">
        <f>IFERROR(__xludf.DUMMYFUNCTION("""COMPUTED_VALUE"""),"ROS")</f>
        <v>ROS</v>
      </c>
      <c r="B2872" s="6" t="str">
        <f>IFERROR(__xludf.DUMMYFUNCTION("""COMPUTED_VALUE"""),"ENG")</f>
        <v>ENG</v>
      </c>
      <c r="C2872" s="6" t="str">
        <f>IFERROR(__xludf.DUMMYFUNCTION("""COMPUTED_VALUE"""),"O-16647-00")</f>
        <v>O-16647-00</v>
      </c>
      <c r="D2872" s="6" t="str">
        <f>IFERROR(__xludf.DUMMYFUNCTION("""COMPUTED_VALUE"""),"Washing RAR4 - Oring Silicone Merah 23x18x2.5 mm; ; ;")</f>
        <v>Washing RAR4 - Oring Silicone Merah 23x18x2.5 mm; ; ;</v>
      </c>
      <c r="E2872" s="6">
        <f>IFERROR(__xludf.DUMMYFUNCTION("""COMPUTED_VALUE"""),10.0)</f>
        <v>10</v>
      </c>
      <c r="F2872" s="6">
        <f>IFERROR(__xludf.DUMMYFUNCTION("""COMPUTED_VALUE"""),10.0)</f>
        <v>10</v>
      </c>
      <c r="G2872" s="6">
        <f>IFERROR(__xludf.DUMMYFUNCTION("""COMPUTED_VALUE"""),0.0)</f>
        <v>0</v>
      </c>
      <c r="H2872" s="6" t="str">
        <f>IFERROR(__xludf.DUMMYFUNCTION("""COMPUTED_VALUE"""),"Pcs")</f>
        <v>Pcs</v>
      </c>
      <c r="I2872" s="6" t="str">
        <f>IFERROR(__xludf.DUMMYFUNCTION("""COMPUTED_VALUE"""),"MFH")</f>
        <v>MFH</v>
      </c>
      <c r="J2872" s="6" t="str">
        <f>IFERROR(__xludf.DUMMYFUNCTION("""COMPUTED_VALUE"""),"Capping")</f>
        <v>Capping</v>
      </c>
      <c r="K2872" s="6" t="str">
        <f>IFERROR(__xludf.DUMMYFUNCTION("""COMPUTED_VALUE"""),"SPR/25/12/038")</f>
        <v>SPR/25/12/038</v>
      </c>
      <c r="L2872" s="58">
        <f>IFERROR(__xludf.DUMMYFUNCTION("""COMPUTED_VALUE"""),46022.0)</f>
        <v>46022</v>
      </c>
    </row>
    <row r="2873">
      <c r="A2873" s="6" t="str">
        <f>IFERROR(__xludf.DUMMYFUNCTION("""COMPUTED_VALUE"""),"ROS")</f>
        <v>ROS</v>
      </c>
      <c r="B2873" s="6" t="str">
        <f>IFERROR(__xludf.DUMMYFUNCTION("""COMPUTED_VALUE"""),"ENG")</f>
        <v>ENG</v>
      </c>
      <c r="C2873" s="6" t="str">
        <f>IFERROR(__xludf.DUMMYFUNCTION("""COMPUTED_VALUE"""),"O-51698-00")</f>
        <v>O-51698-00</v>
      </c>
      <c r="D2873" s="6" t="str">
        <f>IFERROR(__xludf.DUMMYFUNCTION("""COMPUTED_VALUE"""),"OMRON - Relay MY4Z 24VDC; ; ;")</f>
        <v>OMRON - Relay MY4Z 24VDC; ; ;</v>
      </c>
      <c r="E2873" s="6">
        <f>IFERROR(__xludf.DUMMYFUNCTION("""COMPUTED_VALUE"""),2.0)</f>
        <v>2</v>
      </c>
      <c r="F2873" s="6">
        <f>IFERROR(__xludf.DUMMYFUNCTION("""COMPUTED_VALUE"""),2.0)</f>
        <v>2</v>
      </c>
      <c r="G2873" s="6">
        <f>IFERROR(__xludf.DUMMYFUNCTION("""COMPUTED_VALUE"""),0.0)</f>
        <v>0</v>
      </c>
      <c r="H2873" s="6" t="str">
        <f>IFERROR(__xludf.DUMMYFUNCTION("""COMPUTED_VALUE"""),"Pcs")</f>
        <v>Pcs</v>
      </c>
      <c r="I2873" s="6" t="str">
        <f>IFERROR(__xludf.DUMMYFUNCTION("""COMPUTED_VALUE"""),"MFH")</f>
        <v>MFH</v>
      </c>
      <c r="J2873" s="6" t="str">
        <f>IFERROR(__xludf.DUMMYFUNCTION("""COMPUTED_VALUE"""),"Mixing ")</f>
        <v>Mixing </v>
      </c>
      <c r="K2873" s="6" t="str">
        <f>IFERROR(__xludf.DUMMYFUNCTION("""COMPUTED_VALUE"""),"SPR/25/12/039")</f>
        <v>SPR/25/12/039</v>
      </c>
      <c r="L2873" s="58">
        <f>IFERROR(__xludf.DUMMYFUNCTION("""COMPUTED_VALUE"""),46022.0)</f>
        <v>46022</v>
      </c>
    </row>
    <row r="2874">
      <c r="A2874" s="6" t="str">
        <f>IFERROR(__xludf.DUMMYFUNCTION("""COMPUTED_VALUE"""),"MRN")</f>
        <v>MRN</v>
      </c>
      <c r="B2874" s="6" t="str">
        <f>IFERROR(__xludf.DUMMYFUNCTION("""COMPUTED_VALUE"""),"ENG")</f>
        <v>ENG</v>
      </c>
      <c r="C2874" s="6" t="str">
        <f>IFERROR(__xludf.DUMMYFUNCTION("""COMPUTED_VALUE"""),"P-12258-00")</f>
        <v>P-12258-00</v>
      </c>
      <c r="D2874" s="6" t="str">
        <f>IFERROR(__xludf.DUMMYFUNCTION("""COMPUTED_VALUE"""),"FESTO - Push In Connector QS-10-10")</f>
        <v>FESTO - Push In Connector QS-10-10</v>
      </c>
      <c r="E2874" s="6">
        <f>IFERROR(__xludf.DUMMYFUNCTION("""COMPUTED_VALUE"""),1.0)</f>
        <v>1</v>
      </c>
      <c r="F2874" s="6">
        <f>IFERROR(__xludf.DUMMYFUNCTION("""COMPUTED_VALUE"""),1.0)</f>
        <v>1</v>
      </c>
      <c r="G2874" s="6">
        <f>IFERROR(__xludf.DUMMYFUNCTION("""COMPUTED_VALUE"""),0.0)</f>
        <v>0</v>
      </c>
      <c r="H2874" s="6" t="str">
        <f>IFERROR(__xludf.DUMMYFUNCTION("""COMPUTED_VALUE"""),"Pcs")</f>
        <v>Pcs</v>
      </c>
      <c r="I2874" s="6" t="str">
        <f>IFERROR(__xludf.DUMMYFUNCTION("""COMPUTED_VALUE"""),"MFH")</f>
        <v>MFH</v>
      </c>
      <c r="J2874" s="6" t="str">
        <f>IFERROR(__xludf.DUMMYFUNCTION("""COMPUTED_VALUE"""),"Washing")</f>
        <v>Washing</v>
      </c>
      <c r="K2874" s="6" t="str">
        <f>IFERROR(__xludf.DUMMYFUNCTION("""COMPUTED_VALUE"""),"SPR/25/12/040")</f>
        <v>SPR/25/12/040</v>
      </c>
      <c r="L2874" s="58">
        <f>IFERROR(__xludf.DUMMYFUNCTION("""COMPUTED_VALUE"""),46022.0)</f>
        <v>46022</v>
      </c>
    </row>
    <row r="2875">
      <c r="A2875" s="6" t="str">
        <f>IFERROR(__xludf.DUMMYFUNCTION("""COMPUTED_VALUE"""),"MRN")</f>
        <v>MRN</v>
      </c>
      <c r="B2875" s="6" t="str">
        <f>IFERROR(__xludf.DUMMYFUNCTION("""COMPUTED_VALUE"""),"ENG")</f>
        <v>ENG</v>
      </c>
      <c r="C2875" s="6" t="str">
        <f>IFERROR(__xludf.DUMMYFUNCTION("""COMPUTED_VALUE"""),"P-11182-00")</f>
        <v>P-11182-00</v>
      </c>
      <c r="D2875" s="6" t="str">
        <f>IFERROR(__xludf.DUMMYFUNCTION("""COMPUTED_VALUE"""),"Pneumatic Fitting - QS 6 / Festo")</f>
        <v>Pneumatic Fitting - QS 6 / Festo</v>
      </c>
      <c r="E2875" s="6">
        <f>IFERROR(__xludf.DUMMYFUNCTION("""COMPUTED_VALUE"""),1.0)</f>
        <v>1</v>
      </c>
      <c r="F2875" s="6">
        <f>IFERROR(__xludf.DUMMYFUNCTION("""COMPUTED_VALUE"""),1.0)</f>
        <v>1</v>
      </c>
      <c r="G2875" s="6">
        <f>IFERROR(__xludf.DUMMYFUNCTION("""COMPUTED_VALUE"""),0.0)</f>
        <v>0</v>
      </c>
      <c r="H2875" s="6" t="str">
        <f>IFERROR(__xludf.DUMMYFUNCTION("""COMPUTED_VALUE"""),"Pcs")</f>
        <v>Pcs</v>
      </c>
      <c r="I2875" s="6" t="str">
        <f>IFERROR(__xludf.DUMMYFUNCTION("""COMPUTED_VALUE"""),"MFH")</f>
        <v>MFH</v>
      </c>
      <c r="J2875" s="6" t="str">
        <f>IFERROR(__xludf.DUMMYFUNCTION("""COMPUTED_VALUE"""),"Washing")</f>
        <v>Washing</v>
      </c>
      <c r="K2875" s="6" t="str">
        <f>IFERROR(__xludf.DUMMYFUNCTION("""COMPUTED_VALUE"""),"SPR/25/12/040")</f>
        <v>SPR/25/12/040</v>
      </c>
      <c r="L2875" s="58">
        <f>IFERROR(__xludf.DUMMYFUNCTION("""COMPUTED_VALUE"""),46022.0)</f>
        <v>46022</v>
      </c>
    </row>
    <row r="2876">
      <c r="A2876" s="6" t="str">
        <f>IFERROR(__xludf.DUMMYFUNCTION("""COMPUTED_VALUE"""),"MRN")</f>
        <v>MRN</v>
      </c>
      <c r="B2876" s="6" t="str">
        <f>IFERROR(__xludf.DUMMYFUNCTION("""COMPUTED_VALUE"""),"ENG")</f>
        <v>ENG</v>
      </c>
      <c r="C2876" s="6" t="str">
        <f>IFERROR(__xludf.DUMMYFUNCTION("""COMPUTED_VALUE"""),"P-13641-00")</f>
        <v>P-13641-00</v>
      </c>
      <c r="D2876" s="6" t="str">
        <f>IFERROR(__xludf.DUMMYFUNCTION("""COMPUTED_VALUE"""),"Filter SO 5 micron 30 inch O-ring 222 Bayonet; ; ;")</f>
        <v>Filter SO 5 micron 30 inch O-ring 222 Bayonet; ; ;</v>
      </c>
      <c r="E2876" s="6">
        <f>IFERROR(__xludf.DUMMYFUNCTION("""COMPUTED_VALUE"""),5.0)</f>
        <v>5</v>
      </c>
      <c r="F2876" s="6">
        <f>IFERROR(__xludf.DUMMYFUNCTION("""COMPUTED_VALUE"""),5.0)</f>
        <v>5</v>
      </c>
      <c r="G2876" s="6">
        <f>IFERROR(__xludf.DUMMYFUNCTION("""COMPUTED_VALUE"""),0.0)</f>
        <v>0</v>
      </c>
      <c r="H2876" s="6" t="str">
        <f>IFERROR(__xludf.DUMMYFUNCTION("""COMPUTED_VALUE"""),"Pcs")</f>
        <v>Pcs</v>
      </c>
      <c r="I2876" s="6" t="str">
        <f>IFERROR(__xludf.DUMMYFUNCTION("""COMPUTED_VALUE"""),"MFH")</f>
        <v>MFH</v>
      </c>
      <c r="J2876" s="6" t="str">
        <f>IFERROR(__xludf.DUMMYFUNCTION("""COMPUTED_VALUE"""),"PWG")</f>
        <v>PWG</v>
      </c>
      <c r="K2876" s="6" t="str">
        <f>IFERROR(__xludf.DUMMYFUNCTION("""COMPUTED_VALUE"""),"SPR/25/12/041")</f>
        <v>SPR/25/12/041</v>
      </c>
      <c r="L2876" s="58">
        <f>IFERROR(__xludf.DUMMYFUNCTION("""COMPUTED_VALUE"""),46022.0)</f>
        <v>46022</v>
      </c>
    </row>
    <row r="2877">
      <c r="A2877" s="6" t="str">
        <f>IFERROR(__xludf.DUMMYFUNCTION("""COMPUTED_VALUE"""),"NDS")</f>
        <v>NDS</v>
      </c>
      <c r="B2877" s="6" t="str">
        <f>IFERROR(__xludf.DUMMYFUNCTION("""COMPUTED_VALUE"""),"ENG")</f>
        <v>ENG</v>
      </c>
      <c r="C2877" s="6" t="str">
        <f>IFERROR(__xludf.DUMMYFUNCTION("""COMPUTED_VALUE"""),"O-51698-00")</f>
        <v>O-51698-00</v>
      </c>
      <c r="D2877" s="6" t="str">
        <f>IFERROR(__xludf.DUMMYFUNCTION("""COMPUTED_VALUE"""),"OMRON - Relay MY4Z 24VDC; ; ;")</f>
        <v>OMRON - Relay MY4Z 24VDC; ; ;</v>
      </c>
      <c r="E2877" s="6">
        <f>IFERROR(__xludf.DUMMYFUNCTION("""COMPUTED_VALUE"""),2.0)</f>
        <v>2</v>
      </c>
      <c r="F2877" s="6">
        <f>IFERROR(__xludf.DUMMYFUNCTION("""COMPUTED_VALUE"""),2.0)</f>
        <v>2</v>
      </c>
      <c r="G2877" s="6">
        <f>IFERROR(__xludf.DUMMYFUNCTION("""COMPUTED_VALUE"""),0.0)</f>
        <v>0</v>
      </c>
      <c r="H2877" s="6" t="str">
        <f>IFERROR(__xludf.DUMMYFUNCTION("""COMPUTED_VALUE"""),"Pcs")</f>
        <v>Pcs</v>
      </c>
      <c r="I2877" s="6" t="str">
        <f>IFERROR(__xludf.DUMMYFUNCTION("""COMPUTED_VALUE"""),"MFH")</f>
        <v>MFH</v>
      </c>
      <c r="J2877" s="6" t="str">
        <f>IFERROR(__xludf.DUMMYFUNCTION("""COMPUTED_VALUE"""),"Mixing ")</f>
        <v>Mixing </v>
      </c>
      <c r="K2877" s="6" t="str">
        <f>IFERROR(__xludf.DUMMYFUNCTION("""COMPUTED_VALUE"""),"SPR/25/12/042")</f>
        <v>SPR/25/12/042</v>
      </c>
      <c r="L2877" s="58">
        <f>IFERROR(__xludf.DUMMYFUNCTION("""COMPUTED_VALUE"""),46022.0)</f>
        <v>46022</v>
      </c>
    </row>
    <row r="2878">
      <c r="A2878" s="6" t="str">
        <f>IFERROR(__xludf.DUMMYFUNCTION("""COMPUTED_VALUE"""),"NDS")</f>
        <v>NDS</v>
      </c>
      <c r="B2878" s="6" t="str">
        <f>IFERROR(__xludf.DUMMYFUNCTION("""COMPUTED_VALUE"""),"ENG")</f>
        <v>ENG</v>
      </c>
      <c r="C2878" s="6" t="str">
        <f>IFERROR(__xludf.DUMMYFUNCTION("""COMPUTED_VALUE"""),"P-15351-00")</f>
        <v>P-15351-00</v>
      </c>
      <c r="D2878" s="6" t="str">
        <f>IFERROR(__xludf.DUMMYFUNCTION("""COMPUTED_VALUE"""),"FESTO - Plastic tubing PUN-10x1,5-BL (Blue) p/n 159668; ; ;")</f>
        <v>FESTO - Plastic tubing PUN-10x1,5-BL (Blue) p/n 159668; ; ;</v>
      </c>
      <c r="E2878" s="6">
        <f>IFERROR(__xludf.DUMMYFUNCTION("""COMPUTED_VALUE"""),2.0)</f>
        <v>2</v>
      </c>
      <c r="F2878" s="6">
        <f>IFERROR(__xludf.DUMMYFUNCTION("""COMPUTED_VALUE"""),2.0)</f>
        <v>2</v>
      </c>
      <c r="G2878" s="6">
        <f>IFERROR(__xludf.DUMMYFUNCTION("""COMPUTED_VALUE"""),0.0)</f>
        <v>0</v>
      </c>
      <c r="H2878" s="6" t="str">
        <f>IFERROR(__xludf.DUMMYFUNCTION("""COMPUTED_VALUE"""),"Pcs")</f>
        <v>Pcs</v>
      </c>
      <c r="I2878" s="6" t="str">
        <f>IFERROR(__xludf.DUMMYFUNCTION("""COMPUTED_VALUE"""),"MFH")</f>
        <v>MFH</v>
      </c>
      <c r="J2878" s="6" t="str">
        <f>IFERROR(__xludf.DUMMYFUNCTION("""COMPUTED_VALUE"""),"Mixing ")</f>
        <v>Mixing </v>
      </c>
      <c r="K2878" s="6" t="str">
        <f>IFERROR(__xludf.DUMMYFUNCTION("""COMPUTED_VALUE"""),"SPR/25/12/042")</f>
        <v>SPR/25/12/042</v>
      </c>
      <c r="L2878" s="58">
        <f>IFERROR(__xludf.DUMMYFUNCTION("""COMPUTED_VALUE"""),46022.0)</f>
        <v>46022</v>
      </c>
    </row>
    <row r="2879">
      <c r="A2879" s="6" t="str">
        <f>IFERROR(__xludf.DUMMYFUNCTION("""COMPUTED_VALUE"""),"BDU")</f>
        <v>BDU</v>
      </c>
      <c r="B2879" s="6" t="str">
        <f>IFERROR(__xludf.DUMMYFUNCTION("""COMPUTED_VALUE"""),"ENG")</f>
        <v>ENG</v>
      </c>
      <c r="C2879" s="6" t="str">
        <f>IFERROR(__xludf.DUMMYFUNCTION("""COMPUTED_VALUE"""),"P-13383-00")</f>
        <v>P-13383-00</v>
      </c>
      <c r="D2879" s="6" t="str">
        <f>IFERROR(__xludf.DUMMYFUNCTION("""COMPUTED_VALUE"""),"Silicone Sealant High Temp Red; ; ;")</f>
        <v>Silicone Sealant High Temp Red; ; ;</v>
      </c>
      <c r="E2879" s="6">
        <f>IFERROR(__xludf.DUMMYFUNCTION("""COMPUTED_VALUE"""),1.0)</f>
        <v>1</v>
      </c>
      <c r="F2879" s="6">
        <f>IFERROR(__xludf.DUMMYFUNCTION("""COMPUTED_VALUE"""),1.0)</f>
        <v>1</v>
      </c>
      <c r="G2879" s="6">
        <f>IFERROR(__xludf.DUMMYFUNCTION("""COMPUTED_VALUE"""),0.0)</f>
        <v>0</v>
      </c>
      <c r="H2879" s="6" t="str">
        <f>IFERROR(__xludf.DUMMYFUNCTION("""COMPUTED_VALUE"""),"Pcs")</f>
        <v>Pcs</v>
      </c>
      <c r="I2879" s="6" t="str">
        <f>IFERROR(__xludf.DUMMYFUNCTION("""COMPUTED_VALUE"""),"MFH")</f>
        <v>MFH</v>
      </c>
      <c r="J2879" s="6" t="str">
        <f>IFERROR(__xludf.DUMMYFUNCTION("""COMPUTED_VALUE"""),"WFI SKID")</f>
        <v>WFI SKID</v>
      </c>
      <c r="K2879" s="6" t="str">
        <f>IFERROR(__xludf.DUMMYFUNCTION("""COMPUTED_VALUE"""),"SPR/25/12/043")</f>
        <v>SPR/25/12/043</v>
      </c>
      <c r="L2879" s="58">
        <f>IFERROR(__xludf.DUMMYFUNCTION("""COMPUTED_VALUE"""),46022.0)</f>
        <v>46022</v>
      </c>
    </row>
    <row r="2880">
      <c r="A2880" s="6" t="str">
        <f>IFERROR(__xludf.DUMMYFUNCTION("""COMPUTED_VALUE"""),"BDU")</f>
        <v>BDU</v>
      </c>
      <c r="B2880" s="6" t="str">
        <f>IFERROR(__xludf.DUMMYFUNCTION("""COMPUTED_VALUE"""),"ENG")</f>
        <v>ENG</v>
      </c>
      <c r="C2880" s="6" t="str">
        <f>IFERROR(__xludf.DUMMYFUNCTION("""COMPUTED_VALUE"""),"P-20258-00")</f>
        <v>P-20258-00</v>
      </c>
      <c r="D2880" s="6" t="str">
        <f>IFERROR(__xludf.DUMMYFUNCTION("""COMPUTED_VALUE"""),"PW SKID - Seal Mainhole Tank; Custom Bentala; -; 1 pc")</f>
        <v>PW SKID - Seal Mainhole Tank; Custom Bentala; -; 1 pc</v>
      </c>
      <c r="E2880" s="6">
        <f>IFERROR(__xludf.DUMMYFUNCTION("""COMPUTED_VALUE"""),1.0)</f>
        <v>1</v>
      </c>
      <c r="F2880" s="6">
        <f>IFERROR(__xludf.DUMMYFUNCTION("""COMPUTED_VALUE"""),1.0)</f>
        <v>1</v>
      </c>
      <c r="G2880" s="6">
        <f>IFERROR(__xludf.DUMMYFUNCTION("""COMPUTED_VALUE"""),0.0)</f>
        <v>0</v>
      </c>
      <c r="H2880" s="6" t="str">
        <f>IFERROR(__xludf.DUMMYFUNCTION("""COMPUTED_VALUE"""),"Pcs")</f>
        <v>Pcs</v>
      </c>
      <c r="I2880" s="6" t="str">
        <f>IFERROR(__xludf.DUMMYFUNCTION("""COMPUTED_VALUE"""),"MFH")</f>
        <v>MFH</v>
      </c>
      <c r="J2880" s="6" t="str">
        <f>IFERROR(__xludf.DUMMYFUNCTION("""COMPUTED_VALUE"""),"PW SKID")</f>
        <v>PW SKID</v>
      </c>
      <c r="K2880" s="6" t="str">
        <f>IFERROR(__xludf.DUMMYFUNCTION("""COMPUTED_VALUE"""),"SPR/25/12/043")</f>
        <v>SPR/25/12/043</v>
      </c>
      <c r="L2880" s="58">
        <f>IFERROR(__xludf.DUMMYFUNCTION("""COMPUTED_VALUE"""),46022.0)</f>
        <v>46022</v>
      </c>
    </row>
    <row r="2881">
      <c r="A2881" s="6" t="str">
        <f>IFERROR(__xludf.DUMMYFUNCTION("""COMPUTED_VALUE"""),"ROS")</f>
        <v>ROS</v>
      </c>
      <c r="B2881" s="6" t="str">
        <f>IFERROR(__xludf.DUMMYFUNCTION("""COMPUTED_VALUE"""),"ENG")</f>
        <v>ENG</v>
      </c>
      <c r="C2881" s="6" t="str">
        <f>IFERROR(__xludf.DUMMYFUNCTION("""COMPUTED_VALUE"""),"P-18769-00")</f>
        <v>P-18769-00</v>
      </c>
      <c r="D2881" s="6" t="str">
        <f>IFERROR(__xludf.DUMMYFUNCTION("""COMPUTED_VALUE"""),"Mata Gerinda Potong 4"" Merek WD; ; -; 20 pc")</f>
        <v>Mata Gerinda Potong 4" Merek WD; ; -; 20 pc</v>
      </c>
      <c r="E2881" s="6">
        <f>IFERROR(__xludf.DUMMYFUNCTION("""COMPUTED_VALUE"""),4.0)</f>
        <v>4</v>
      </c>
      <c r="F2881" s="6">
        <f>IFERROR(__xludf.DUMMYFUNCTION("""COMPUTED_VALUE"""),4.0)</f>
        <v>4</v>
      </c>
      <c r="G2881" s="6">
        <f>IFERROR(__xludf.DUMMYFUNCTION("""COMPUTED_VALUE"""),0.0)</f>
        <v>0</v>
      </c>
      <c r="H2881" s="6" t="str">
        <f>IFERROR(__xludf.DUMMYFUNCTION("""COMPUTED_VALUE"""),"Pcs")</f>
        <v>Pcs</v>
      </c>
      <c r="I2881" s="6" t="str">
        <f>IFERROR(__xludf.DUMMYFUNCTION("""COMPUTED_VALUE"""),"MFH")</f>
        <v>MFH</v>
      </c>
      <c r="J2881" s="6" t="str">
        <f>IFERROR(__xludf.DUMMYFUNCTION("""COMPUTED_VALUE"""),"Workshop")</f>
        <v>Workshop</v>
      </c>
      <c r="K2881" s="6" t="str">
        <f>IFERROR(__xludf.DUMMYFUNCTION("""COMPUTED_VALUE"""),"SPR/25/12/044")</f>
        <v>SPR/25/12/044</v>
      </c>
      <c r="L2881" s="58">
        <f>IFERROR(__xludf.DUMMYFUNCTION("""COMPUTED_VALUE"""),46022.0)</f>
        <v>46022</v>
      </c>
    </row>
    <row r="2882">
      <c r="A2882" s="6" t="str">
        <f>IFERROR(__xludf.DUMMYFUNCTION("""COMPUTED_VALUE"""),"NDS")</f>
        <v>NDS</v>
      </c>
      <c r="B2882" s="6" t="str">
        <f>IFERROR(__xludf.DUMMYFUNCTION("""COMPUTED_VALUE"""),"ENG")</f>
        <v>ENG</v>
      </c>
      <c r="C2882" s="6" t="str">
        <f>IFERROR(__xludf.DUMMYFUNCTION("""COMPUTED_VALUE"""),"O-15914-00")</f>
        <v>O-15914-00</v>
      </c>
      <c r="D2882" s="6" t="str">
        <f>IFERROR(__xludf.DUMMYFUNCTION("""COMPUTED_VALUE"""),"Fedegari FVA2/A1 - O-RING 34.52x3.53; Code : CC150171; ; ;")</f>
        <v>Fedegari FVA2/A1 - O-RING 34.52x3.53; Code : CC150171; ; ;</v>
      </c>
      <c r="E2882" s="6">
        <f>IFERROR(__xludf.DUMMYFUNCTION("""COMPUTED_VALUE"""),1.0)</f>
        <v>1</v>
      </c>
      <c r="F2882" s="6">
        <f>IFERROR(__xludf.DUMMYFUNCTION("""COMPUTED_VALUE"""),1.0)</f>
        <v>1</v>
      </c>
      <c r="G2882" s="6">
        <f>IFERROR(__xludf.DUMMYFUNCTION("""COMPUTED_VALUE"""),0.0)</f>
        <v>0</v>
      </c>
      <c r="H2882" s="6" t="str">
        <f>IFERROR(__xludf.DUMMYFUNCTION("""COMPUTED_VALUE"""),"Pcs")</f>
        <v>Pcs</v>
      </c>
      <c r="I2882" s="6" t="str">
        <f>IFERROR(__xludf.DUMMYFUNCTION("""COMPUTED_VALUE"""),"MFH")</f>
        <v>MFH</v>
      </c>
      <c r="J2882" s="6" t="str">
        <f>IFERROR(__xludf.DUMMYFUNCTION("""COMPUTED_VALUE"""),"Autoclave")</f>
        <v>Autoclave</v>
      </c>
      <c r="K2882" s="6" t="str">
        <f>IFERROR(__xludf.DUMMYFUNCTION("""COMPUTED_VALUE"""),"SPR/25/12/045")</f>
        <v>SPR/25/12/045</v>
      </c>
      <c r="L2882" s="58">
        <f>IFERROR(__xludf.DUMMYFUNCTION("""COMPUTED_VALUE"""),46022.0)</f>
        <v>46022</v>
      </c>
    </row>
    <row r="2883">
      <c r="A2883" s="6" t="str">
        <f>IFERROR(__xludf.DUMMYFUNCTION("""COMPUTED_VALUE"""),"NDS")</f>
        <v>NDS</v>
      </c>
      <c r="B2883" s="6" t="str">
        <f>IFERROR(__xludf.DUMMYFUNCTION("""COMPUTED_VALUE"""),"ENG")</f>
        <v>ENG</v>
      </c>
      <c r="C2883" s="6" t="str">
        <f>IFERROR(__xludf.DUMMYFUNCTION("""COMPUTED_VALUE"""),"O-20475-00")</f>
        <v>O-20475-00</v>
      </c>
      <c r="D2883" s="6" t="str">
        <f>IFERROR(__xludf.DUMMYFUNCTION("""COMPUTED_VALUE"""),"Freeze Dryer MBE1207 - Oring Silicone 5x39x49 mm LPRV; Custom/Lokal; -; 1 pc")</f>
        <v>Freeze Dryer MBE1207 - Oring Silicone 5x39x49 mm LPRV; Custom/Lokal; -; 1 pc</v>
      </c>
      <c r="E2883" s="6">
        <f>IFERROR(__xludf.DUMMYFUNCTION("""COMPUTED_VALUE"""),2.0)</f>
        <v>2</v>
      </c>
      <c r="F2883" s="6">
        <f>IFERROR(__xludf.DUMMYFUNCTION("""COMPUTED_VALUE"""),2.0)</f>
        <v>2</v>
      </c>
      <c r="G2883" s="6">
        <f>IFERROR(__xludf.DUMMYFUNCTION("""COMPUTED_VALUE"""),0.0)</f>
        <v>0</v>
      </c>
      <c r="H2883" s="6" t="str">
        <f>IFERROR(__xludf.DUMMYFUNCTION("""COMPUTED_VALUE"""),"Pcs")</f>
        <v>Pcs</v>
      </c>
      <c r="I2883" s="6" t="str">
        <f>IFERROR(__xludf.DUMMYFUNCTION("""COMPUTED_VALUE"""),"MFH")</f>
        <v>MFH</v>
      </c>
      <c r="J2883" s="6" t="str">
        <f>IFERROR(__xludf.DUMMYFUNCTION("""COMPUTED_VALUE"""),"FD")</f>
        <v>FD</v>
      </c>
      <c r="K2883" s="6" t="str">
        <f>IFERROR(__xludf.DUMMYFUNCTION("""COMPUTED_VALUE"""),"SPR/25/12/045")</f>
        <v>SPR/25/12/045</v>
      </c>
      <c r="L2883" s="58">
        <f>IFERROR(__xludf.DUMMYFUNCTION("""COMPUTED_VALUE"""),46022.0)</f>
        <v>46022</v>
      </c>
    </row>
    <row r="2884">
      <c r="A2884" s="6" t="str">
        <f>IFERROR(__xludf.DUMMYFUNCTION("""COMPUTED_VALUE"""),"SFH")</f>
        <v>SFH</v>
      </c>
      <c r="B2884" s="6" t="str">
        <f>IFERROR(__xludf.DUMMYFUNCTION("""COMPUTED_VALUE"""),"ENG")</f>
        <v>ENG</v>
      </c>
      <c r="C2884" s="6" t="str">
        <f>IFERROR(__xludf.DUMMYFUNCTION("""COMPUTED_VALUE"""),"Q-10517-00")</f>
        <v>Q-10517-00</v>
      </c>
      <c r="D2884" s="6" t="str">
        <f>IFERROR(__xludf.DUMMYFUNCTION("""COMPUTED_VALUE"""),"Scraper / Kape Besi; ; ;")</f>
        <v>Scraper / Kape Besi; ; ;</v>
      </c>
      <c r="E2884" s="6">
        <f>IFERROR(__xludf.DUMMYFUNCTION("""COMPUTED_VALUE"""),1.0)</f>
        <v>1</v>
      </c>
      <c r="F2884" s="6">
        <f>IFERROR(__xludf.DUMMYFUNCTION("""COMPUTED_VALUE"""),1.0)</f>
        <v>1</v>
      </c>
      <c r="G2884" s="6">
        <f>IFERROR(__xludf.DUMMYFUNCTION("""COMPUTED_VALUE"""),0.0)</f>
        <v>0</v>
      </c>
      <c r="H2884" s="6" t="str">
        <f>IFERROR(__xludf.DUMMYFUNCTION("""COMPUTED_VALUE"""),"pcs")</f>
        <v>pcs</v>
      </c>
      <c r="I2884" s="6" t="str">
        <f>IFERROR(__xludf.DUMMYFUNCTION("""COMPUTED_VALUE"""),"MFH")</f>
        <v>MFH</v>
      </c>
      <c r="J2884" s="6" t="str">
        <f>IFERROR(__xludf.DUMMYFUNCTION("""COMPUTED_VALUE"""),"Building")</f>
        <v>Building</v>
      </c>
      <c r="K2884" s="6" t="str">
        <f>IFERROR(__xludf.DUMMYFUNCTION("""COMPUTED_VALUE"""),"SPR/25/12/046")</f>
        <v>SPR/25/12/046</v>
      </c>
      <c r="L2884" s="58">
        <f>IFERROR(__xludf.DUMMYFUNCTION("""COMPUTED_VALUE"""),46022.0)</f>
        <v>46022</v>
      </c>
    </row>
    <row r="2885">
      <c r="A2885" s="6" t="str">
        <f>IFERROR(__xludf.DUMMYFUNCTION("""COMPUTED_VALUE"""),"SFH")</f>
        <v>SFH</v>
      </c>
      <c r="B2885" s="6" t="str">
        <f>IFERROR(__xludf.DUMMYFUNCTION("""COMPUTED_VALUE"""),"ENG")</f>
        <v>ENG</v>
      </c>
      <c r="C2885" s="6" t="str">
        <f>IFERROR(__xludf.DUMMYFUNCTION("""COMPUTED_VALUE"""),"Q-12047-00")</f>
        <v>Q-12047-00</v>
      </c>
      <c r="D2885" s="6" t="str">
        <f>IFERROR(__xludf.DUMMYFUNCTION("""COMPUTED_VALUE"""),"Kape PVC / Scraper / Skrap PVC Ukuran 5 Inch;; Lokal; ; pc")</f>
        <v>Kape PVC / Scraper / Skrap PVC Ukuran 5 Inch;; Lokal; ; pc</v>
      </c>
      <c r="E2885" s="6">
        <f>IFERROR(__xludf.DUMMYFUNCTION("""COMPUTED_VALUE"""),1.0)</f>
        <v>1</v>
      </c>
      <c r="F2885" s="6">
        <f>IFERROR(__xludf.DUMMYFUNCTION("""COMPUTED_VALUE"""),1.0)</f>
        <v>1</v>
      </c>
      <c r="G2885" s="6">
        <f>IFERROR(__xludf.DUMMYFUNCTION("""COMPUTED_VALUE"""),0.0)</f>
        <v>0</v>
      </c>
      <c r="H2885" s="6" t="str">
        <f>IFERROR(__xludf.DUMMYFUNCTION("""COMPUTED_VALUE"""),"pcs")</f>
        <v>pcs</v>
      </c>
      <c r="I2885" s="6" t="str">
        <f>IFERROR(__xludf.DUMMYFUNCTION("""COMPUTED_VALUE"""),"MFH")</f>
        <v>MFH</v>
      </c>
      <c r="J2885" s="6" t="str">
        <f>IFERROR(__xludf.DUMMYFUNCTION("""COMPUTED_VALUE"""),"Building")</f>
        <v>Building</v>
      </c>
      <c r="K2885" s="6" t="str">
        <f>IFERROR(__xludf.DUMMYFUNCTION("""COMPUTED_VALUE"""),"SPR/25/12/046")</f>
        <v>SPR/25/12/046</v>
      </c>
      <c r="L2885" s="58">
        <f>IFERROR(__xludf.DUMMYFUNCTION("""COMPUTED_VALUE"""),46022.0)</f>
        <v>46022</v>
      </c>
    </row>
    <row r="2886">
      <c r="A2886" s="6" t="str">
        <f>IFERROR(__xludf.DUMMYFUNCTION("""COMPUTED_VALUE"""),"SFH")</f>
        <v>SFH</v>
      </c>
      <c r="B2886" s="6" t="str">
        <f>IFERROR(__xludf.DUMMYFUNCTION("""COMPUTED_VALUE"""),"ENG")</f>
        <v>ENG</v>
      </c>
      <c r="C2886" s="6" t="str">
        <f>IFERROR(__xludf.DUMMYFUNCTION("""COMPUTED_VALUE"""),"S-13310-00")</f>
        <v>S-13310-00</v>
      </c>
      <c r="D2886" s="6" t="str">
        <f>IFERROR(__xludf.DUMMYFUNCTION("""COMPUTED_VALUE"""),"Rubbing Compound Mobil; Ivory; ; pack size 1 kg per kaleng")</f>
        <v>Rubbing Compound Mobil; Ivory; ; pack size 1 kg per kaleng</v>
      </c>
      <c r="E2886" s="6">
        <f>IFERROR(__xludf.DUMMYFUNCTION("""COMPUTED_VALUE"""),1.0)</f>
        <v>1</v>
      </c>
      <c r="F2886" s="6">
        <f>IFERROR(__xludf.DUMMYFUNCTION("""COMPUTED_VALUE"""),1.0)</f>
        <v>1</v>
      </c>
      <c r="G2886" s="6">
        <f>IFERROR(__xludf.DUMMYFUNCTION("""COMPUTED_VALUE"""),0.0)</f>
        <v>0</v>
      </c>
      <c r="H2886" s="6" t="str">
        <f>IFERROR(__xludf.DUMMYFUNCTION("""COMPUTED_VALUE"""),"pcs")</f>
        <v>pcs</v>
      </c>
      <c r="I2886" s="6" t="str">
        <f>IFERROR(__xludf.DUMMYFUNCTION("""COMPUTED_VALUE"""),"MFH")</f>
        <v>MFH</v>
      </c>
      <c r="J2886" s="6" t="str">
        <f>IFERROR(__xludf.DUMMYFUNCTION("""COMPUTED_VALUE"""),"Building")</f>
        <v>Building</v>
      </c>
      <c r="K2886" s="6" t="str">
        <f>IFERROR(__xludf.DUMMYFUNCTION("""COMPUTED_VALUE"""),"SPR/25/12/046")</f>
        <v>SPR/25/12/046</v>
      </c>
      <c r="L2886" s="58">
        <f>IFERROR(__xludf.DUMMYFUNCTION("""COMPUTED_VALUE"""),46022.0)</f>
        <v>46022</v>
      </c>
    </row>
    <row r="2887">
      <c r="A2887" s="6" t="str">
        <f>IFERROR(__xludf.DUMMYFUNCTION("""COMPUTED_VALUE"""),"RIA")</f>
        <v>RIA</v>
      </c>
      <c r="B2887" s="6" t="str">
        <f>IFERROR(__xludf.DUMMYFUNCTION("""COMPUTED_VALUE"""),"ENG")</f>
        <v>ENG</v>
      </c>
      <c r="C2887" s="6" t="str">
        <f>IFERROR(__xludf.DUMMYFUNCTION("""COMPUTED_VALUE"""),"P-15834-00")</f>
        <v>P-15834-00</v>
      </c>
      <c r="D2887" s="6" t="str">
        <f>IFERROR(__xludf.DUMMYFUNCTION("""COMPUTED_VALUE"""),"SMC - Pressure Filter Regulator Auto Drain AW40-40DG-A; ; ;")</f>
        <v>SMC - Pressure Filter Regulator Auto Drain AW40-40DG-A; ; ;</v>
      </c>
      <c r="E2887" s="6">
        <f>IFERROR(__xludf.DUMMYFUNCTION("""COMPUTED_VALUE"""),1.0)</f>
        <v>1</v>
      </c>
      <c r="F2887" s="6">
        <f>IFERROR(__xludf.DUMMYFUNCTION("""COMPUTED_VALUE"""),1.0)</f>
        <v>1</v>
      </c>
      <c r="G2887" s="6">
        <f>IFERROR(__xludf.DUMMYFUNCTION("""COMPUTED_VALUE"""),0.0)</f>
        <v>0</v>
      </c>
      <c r="H2887" s="6" t="str">
        <f>IFERROR(__xludf.DUMMYFUNCTION("""COMPUTED_VALUE"""),"Pcs")</f>
        <v>Pcs</v>
      </c>
      <c r="I2887" s="6" t="str">
        <f>IFERROR(__xludf.DUMMYFUNCTION("""COMPUTED_VALUE"""),"MFH")</f>
        <v>MFH</v>
      </c>
      <c r="J2887" s="6" t="str">
        <f>IFERROR(__xludf.DUMMYFUNCTION("""COMPUTED_VALUE"""),"N2")</f>
        <v>N2</v>
      </c>
      <c r="K2887" s="6" t="str">
        <f>IFERROR(__xludf.DUMMYFUNCTION("""COMPUTED_VALUE"""),"SPR/25/12/047")</f>
        <v>SPR/25/12/047</v>
      </c>
      <c r="L2887" s="58">
        <f>IFERROR(__xludf.DUMMYFUNCTION("""COMPUTED_VALUE"""),46022.0)</f>
        <v>46022</v>
      </c>
    </row>
    <row r="2888">
      <c r="A2888" s="6" t="str">
        <f>IFERROR(__xludf.DUMMYFUNCTION("""COMPUTED_VALUE"""),"RIA")</f>
        <v>RIA</v>
      </c>
      <c r="B2888" s="6" t="str">
        <f>IFERROR(__xludf.DUMMYFUNCTION("""COMPUTED_VALUE"""),"ENG")</f>
        <v>ENG</v>
      </c>
      <c r="C2888" s="6" t="str">
        <f>IFERROR(__xludf.DUMMYFUNCTION("""COMPUTED_VALUE"""),"P-20258-00")</f>
        <v>P-20258-00</v>
      </c>
      <c r="D2888" s="6" t="str">
        <f>IFERROR(__xludf.DUMMYFUNCTION("""COMPUTED_VALUE"""),"PW SKID - Seal Mainhole Tank; Custom Bentala; -; 1 pc")</f>
        <v>PW SKID - Seal Mainhole Tank; Custom Bentala; -; 1 pc</v>
      </c>
      <c r="E2888" s="6">
        <f>IFERROR(__xludf.DUMMYFUNCTION("""COMPUTED_VALUE"""),1.0)</f>
        <v>1</v>
      </c>
      <c r="F2888" s="6">
        <f>IFERROR(__xludf.DUMMYFUNCTION("""COMPUTED_VALUE"""),1.0)</f>
        <v>1</v>
      </c>
      <c r="G2888" s="6">
        <f>IFERROR(__xludf.DUMMYFUNCTION("""COMPUTED_VALUE"""),0.0)</f>
        <v>0</v>
      </c>
      <c r="H2888" s="6" t="str">
        <f>IFERROR(__xludf.DUMMYFUNCTION("""COMPUTED_VALUE"""),"Pcs")</f>
        <v>Pcs</v>
      </c>
      <c r="I2888" s="6" t="str">
        <f>IFERROR(__xludf.DUMMYFUNCTION("""COMPUTED_VALUE"""),"MFH")</f>
        <v>MFH</v>
      </c>
      <c r="J2888" s="6" t="str">
        <f>IFERROR(__xludf.DUMMYFUNCTION("""COMPUTED_VALUE"""),"PW SKID")</f>
        <v>PW SKID</v>
      </c>
      <c r="K2888" s="6" t="str">
        <f>IFERROR(__xludf.DUMMYFUNCTION("""COMPUTED_VALUE"""),"SPR/25/12/047")</f>
        <v>SPR/25/12/047</v>
      </c>
      <c r="L2888" s="58">
        <f>IFERROR(__xludf.DUMMYFUNCTION("""COMPUTED_VALUE"""),46022.0)</f>
        <v>46022</v>
      </c>
    </row>
    <row r="2889">
      <c r="A2889" s="6" t="str">
        <f>IFERROR(__xludf.DUMMYFUNCTION("""COMPUTED_VALUE"""),"RIA")</f>
        <v>RIA</v>
      </c>
      <c r="B2889" s="6" t="str">
        <f>IFERROR(__xludf.DUMMYFUNCTION("""COMPUTED_VALUE"""),"ENG")</f>
        <v>ENG</v>
      </c>
      <c r="C2889" s="6" t="str">
        <f>IFERROR(__xludf.DUMMYFUNCTION("""COMPUTED_VALUE"""),"O-13521-00")</f>
        <v>O-13521-00</v>
      </c>
      <c r="D2889" s="6" t="str">
        <f>IFERROR(__xludf.DUMMYFUNCTION("""COMPUTED_VALUE"""),"General - Gasket 1 1/2"", EPDM; No Brand; -; 1 pcs")</f>
        <v>General - Gasket 1 1/2", EPDM; No Brand; -; 1 pcs</v>
      </c>
      <c r="E2889" s="6">
        <f>IFERROR(__xludf.DUMMYFUNCTION("""COMPUTED_VALUE"""),1.0)</f>
        <v>1</v>
      </c>
      <c r="F2889" s="6">
        <f>IFERROR(__xludf.DUMMYFUNCTION("""COMPUTED_VALUE"""),1.0)</f>
        <v>1</v>
      </c>
      <c r="G2889" s="6">
        <f>IFERROR(__xludf.DUMMYFUNCTION("""COMPUTED_VALUE"""),0.0)</f>
        <v>0</v>
      </c>
      <c r="H2889" s="6" t="str">
        <f>IFERROR(__xludf.DUMMYFUNCTION("""COMPUTED_VALUE"""),"Pcs")</f>
        <v>Pcs</v>
      </c>
      <c r="I2889" s="6" t="str">
        <f>IFERROR(__xludf.DUMMYFUNCTION("""COMPUTED_VALUE"""),"MFH")</f>
        <v>MFH</v>
      </c>
      <c r="J2889" s="6" t="str">
        <f>IFERROR(__xludf.DUMMYFUNCTION("""COMPUTED_VALUE"""),"WFi SKID")</f>
        <v>WFi SKID</v>
      </c>
      <c r="K2889" s="6" t="str">
        <f>IFERROR(__xludf.DUMMYFUNCTION("""COMPUTED_VALUE"""),"SPR/25/12/047")</f>
        <v>SPR/25/12/047</v>
      </c>
      <c r="L2889" s="58">
        <f>IFERROR(__xludf.DUMMYFUNCTION("""COMPUTED_VALUE"""),46022.0)</f>
        <v>46022</v>
      </c>
    </row>
    <row r="2890">
      <c r="A2890" s="6" t="str">
        <f>IFERROR(__xludf.DUMMYFUNCTION("""COMPUTED_VALUE"""),"ROS")</f>
        <v>ROS</v>
      </c>
      <c r="B2890" s="6" t="str">
        <f>IFERROR(__xludf.DUMMYFUNCTION("""COMPUTED_VALUE"""),"ENG")</f>
        <v>ENG</v>
      </c>
      <c r="C2890" s="6" t="str">
        <f>IFERROR(__xludf.DUMMYFUNCTION("""COMPUTED_VALUE"""),"O-19901-00")</f>
        <v>O-19901-00</v>
      </c>
      <c r="D2890" s="6" t="str">
        <f>IFERROR(__xludf.DUMMYFUNCTION("""COMPUTED_VALUE"""),"Freeze Dryer MBE1207 - New Seat Valve Dia 36x22x7; Custom; ;")</f>
        <v>Freeze Dryer MBE1207 - New Seat Valve Dia 36x22x7; Custom; ;</v>
      </c>
      <c r="E2890" s="6">
        <f>IFERROR(__xludf.DUMMYFUNCTION("""COMPUTED_VALUE"""),2.0)</f>
        <v>2</v>
      </c>
      <c r="F2890" s="6">
        <f>IFERROR(__xludf.DUMMYFUNCTION("""COMPUTED_VALUE"""),2.0)</f>
        <v>2</v>
      </c>
      <c r="G2890" s="6">
        <f>IFERROR(__xludf.DUMMYFUNCTION("""COMPUTED_VALUE"""),0.0)</f>
        <v>0</v>
      </c>
      <c r="H2890" s="6" t="str">
        <f>IFERROR(__xludf.DUMMYFUNCTION("""COMPUTED_VALUE"""),"pcs")</f>
        <v>pcs</v>
      </c>
      <c r="I2890" s="6" t="str">
        <f>IFERROR(__xludf.DUMMYFUNCTION("""COMPUTED_VALUE"""),"MFH")</f>
        <v>MFH</v>
      </c>
      <c r="J2890" s="6" t="str">
        <f>IFERROR(__xludf.DUMMYFUNCTION("""COMPUTED_VALUE"""),"FD IMA")</f>
        <v>FD IMA</v>
      </c>
      <c r="K2890" s="6" t="str">
        <f>IFERROR(__xludf.DUMMYFUNCTION("""COMPUTED_VALUE"""),"SPR/25/12/048")</f>
        <v>SPR/25/12/048</v>
      </c>
      <c r="L2890" s="58">
        <f>IFERROR(__xludf.DUMMYFUNCTION("""COMPUTED_VALUE"""),46022.0)</f>
        <v>46022</v>
      </c>
    </row>
    <row r="2891">
      <c r="A2891" s="6" t="str">
        <f>IFERROR(__xludf.DUMMYFUNCTION("""COMPUTED_VALUE"""),"MRN")</f>
        <v>MRN</v>
      </c>
      <c r="B2891" s="6" t="str">
        <f>IFERROR(__xludf.DUMMYFUNCTION("""COMPUTED_VALUE"""),"ENG")</f>
        <v>ENG</v>
      </c>
      <c r="C2891" s="6" t="str">
        <f>IFERROR(__xludf.DUMMYFUNCTION("""COMPUTED_VALUE"""),"P-13707-00")</f>
        <v>P-13707-00</v>
      </c>
      <c r="D2891" s="6" t="str">
        <f>IFERROR(__xludf.DUMMYFUNCTION("""COMPUTED_VALUE"""),"Gasket Flange DN50; ; ;")</f>
        <v>Gasket Flange DN50; ; ;</v>
      </c>
      <c r="E2891" s="6">
        <f>IFERROR(__xludf.DUMMYFUNCTION("""COMPUTED_VALUE"""),1.0)</f>
        <v>1</v>
      </c>
      <c r="F2891" s="6">
        <f>IFERROR(__xludf.DUMMYFUNCTION("""COMPUTED_VALUE"""),1.0)</f>
        <v>1</v>
      </c>
      <c r="G2891" s="6">
        <f>IFERROR(__xludf.DUMMYFUNCTION("""COMPUTED_VALUE"""),0.0)</f>
        <v>0</v>
      </c>
      <c r="H2891" s="6" t="str">
        <f>IFERROR(__xludf.DUMMYFUNCTION("""COMPUTED_VALUE"""),"Pcs")</f>
        <v>Pcs</v>
      </c>
      <c r="I2891" s="6" t="str">
        <f>IFERROR(__xludf.DUMMYFUNCTION("""COMPUTED_VALUE"""),"MFH")</f>
        <v>MFH</v>
      </c>
      <c r="J2891" s="6" t="str">
        <f>IFERROR(__xludf.DUMMYFUNCTION("""COMPUTED_VALUE"""),"-")</f>
        <v>-</v>
      </c>
      <c r="K2891" s="6" t="str">
        <f>IFERROR(__xludf.DUMMYFUNCTION("""COMPUTED_VALUE"""),"SPR/25/12/049")</f>
        <v>SPR/25/12/049</v>
      </c>
      <c r="L2891" s="58">
        <f>IFERROR(__xludf.DUMMYFUNCTION("""COMPUTED_VALUE"""),46022.0)</f>
        <v>46022</v>
      </c>
    </row>
    <row r="2892">
      <c r="A2892" s="6" t="str">
        <f>IFERROR(__xludf.DUMMYFUNCTION("""COMPUTED_VALUE"""),"KFF")</f>
        <v>KFF</v>
      </c>
      <c r="B2892" s="6" t="str">
        <f>IFERROR(__xludf.DUMMYFUNCTION("""COMPUTED_VALUE"""),"ENG")</f>
        <v>ENG</v>
      </c>
      <c r="C2892" s="6" t="str">
        <f>IFERROR(__xludf.DUMMYFUNCTION("""COMPUTED_VALUE"""),"S-40645-00")</f>
        <v>S-40645-00</v>
      </c>
      <c r="D2892" s="6" t="str">
        <f>IFERROR(__xludf.DUMMYFUNCTION("""COMPUTED_VALUE"""),"Cable Ties, 200 x 4.8 mm; SIGMA; CS 200L; Putih;100 pcs/pack")</f>
        <v>Cable Ties, 200 x 4.8 mm; SIGMA; CS 200L; Putih;100 pcs/pack</v>
      </c>
      <c r="E2892" s="6">
        <f>IFERROR(__xludf.DUMMYFUNCTION("""COMPUTED_VALUE"""),1.0)</f>
        <v>1</v>
      </c>
      <c r="F2892" s="6">
        <f>IFERROR(__xludf.DUMMYFUNCTION("""COMPUTED_VALUE"""),1.0)</f>
        <v>1</v>
      </c>
      <c r="G2892" s="6">
        <f>IFERROR(__xludf.DUMMYFUNCTION("""COMPUTED_VALUE"""),0.0)</f>
        <v>0</v>
      </c>
      <c r="H2892" s="6" t="str">
        <f>IFERROR(__xludf.DUMMYFUNCTION("""COMPUTED_VALUE"""),"Pcs")</f>
        <v>Pcs</v>
      </c>
      <c r="I2892" s="6" t="str">
        <f>IFERROR(__xludf.DUMMYFUNCTION("""COMPUTED_VALUE"""),"MFH")</f>
        <v>MFH</v>
      </c>
      <c r="J2892" s="6" t="str">
        <f>IFERROR(__xludf.DUMMYFUNCTION("""COMPUTED_VALUE"""),"FD")</f>
        <v>FD</v>
      </c>
      <c r="K2892" s="6" t="str">
        <f>IFERROR(__xludf.DUMMYFUNCTION("""COMPUTED_VALUE"""),"SPR/25/12/050")</f>
        <v>SPR/25/12/050</v>
      </c>
      <c r="L2892" s="58">
        <f>IFERROR(__xludf.DUMMYFUNCTION("""COMPUTED_VALUE"""),46022.0)</f>
        <v>46022</v>
      </c>
    </row>
    <row r="2893">
      <c r="A2893" s="6" t="str">
        <f>IFERROR(__xludf.DUMMYFUNCTION("""COMPUTED_VALUE"""),"APN")</f>
        <v>APN</v>
      </c>
      <c r="B2893" s="6" t="str">
        <f>IFERROR(__xludf.DUMMYFUNCTION("""COMPUTED_VALUE"""),"ENG")</f>
        <v>ENG</v>
      </c>
      <c r="C2893" s="6" t="str">
        <f>IFERROR(__xludf.DUMMYFUNCTION("""COMPUTED_VALUE"""),"P-13389-00")</f>
        <v>P-13389-00</v>
      </c>
      <c r="D2893" s="6" t="str">
        <f>IFERROR(__xludf.DUMMYFUNCTION("""COMPUTED_VALUE"""),"Scotch Brite 3M; ; ;")</f>
        <v>Scotch Brite 3M; ; ;</v>
      </c>
      <c r="E2893" s="6">
        <f>IFERROR(__xludf.DUMMYFUNCTION("""COMPUTED_VALUE"""),10.0)</f>
        <v>10</v>
      </c>
      <c r="F2893" s="6">
        <f>IFERROR(__xludf.DUMMYFUNCTION("""COMPUTED_VALUE"""),10.0)</f>
        <v>10</v>
      </c>
      <c r="G2893" s="6">
        <f>IFERROR(__xludf.DUMMYFUNCTION("""COMPUTED_VALUE"""),0.0)</f>
        <v>0</v>
      </c>
      <c r="H2893" s="6" t="str">
        <f>IFERROR(__xludf.DUMMYFUNCTION("""COMPUTED_VALUE"""),"Pcs")</f>
        <v>Pcs</v>
      </c>
      <c r="I2893" s="6" t="str">
        <f>IFERROR(__xludf.DUMMYFUNCTION("""COMPUTED_VALUE"""),"MFH")</f>
        <v>MFH</v>
      </c>
      <c r="J2893" s="6" t="str">
        <f>IFERROR(__xludf.DUMMYFUNCTION("""COMPUTED_VALUE"""),"Filling")</f>
        <v>Filling</v>
      </c>
      <c r="K2893" s="6" t="str">
        <f>IFERROR(__xludf.DUMMYFUNCTION("""COMPUTED_VALUE"""),"SPR/25/12/051")</f>
        <v>SPR/25/12/051</v>
      </c>
      <c r="L2893" s="58">
        <f>IFERROR(__xludf.DUMMYFUNCTION("""COMPUTED_VALUE"""),46022.0)</f>
        <v>46022</v>
      </c>
    </row>
    <row r="2894">
      <c r="A2894" s="6" t="str">
        <f>IFERROR(__xludf.DUMMYFUNCTION("""COMPUTED_VALUE"""),"BDU")</f>
        <v>BDU</v>
      </c>
      <c r="B2894" s="6" t="str">
        <f>IFERROR(__xludf.DUMMYFUNCTION("""COMPUTED_VALUE"""),"ENG")</f>
        <v>ENG</v>
      </c>
      <c r="C2894" s="6" t="str">
        <f>IFERROR(__xludf.DUMMYFUNCTION("""COMPUTED_VALUE"""),"O-11287-00")</f>
        <v>O-11287-00</v>
      </c>
      <c r="D2894" s="6" t="str">
        <f>IFERROR(__xludf.DUMMYFUNCTION("""COMPUTED_VALUE"""),"F200 - Pall Filter p/n KA3PFRP1")</f>
        <v>F200 - Pall Filter p/n KA3PFRP1</v>
      </c>
      <c r="E2894" s="6">
        <f>IFERROR(__xludf.DUMMYFUNCTION("""COMPUTED_VALUE"""),1.0)</f>
        <v>1</v>
      </c>
      <c r="F2894" s="6">
        <f>IFERROR(__xludf.DUMMYFUNCTION("""COMPUTED_VALUE"""),1.0)</f>
        <v>1</v>
      </c>
      <c r="G2894" s="6">
        <f>IFERROR(__xludf.DUMMYFUNCTION("""COMPUTED_VALUE"""),0.0)</f>
        <v>0</v>
      </c>
      <c r="H2894" s="6" t="str">
        <f>IFERROR(__xludf.DUMMYFUNCTION("""COMPUTED_VALUE"""),"Pcs")</f>
        <v>Pcs</v>
      </c>
      <c r="I2894" s="6" t="str">
        <f>IFERROR(__xludf.DUMMYFUNCTION("""COMPUTED_VALUE"""),"MFH")</f>
        <v>MFH</v>
      </c>
      <c r="J2894" s="6" t="str">
        <f>IFERROR(__xludf.DUMMYFUNCTION("""COMPUTED_VALUE"""),"-")</f>
        <v>-</v>
      </c>
      <c r="K2894" s="6" t="str">
        <f>IFERROR(__xludf.DUMMYFUNCTION("""COMPUTED_VALUE"""),"SPR/25/12/052")</f>
        <v>SPR/25/12/052</v>
      </c>
      <c r="L2894" s="58">
        <f>IFERROR(__xludf.DUMMYFUNCTION("""COMPUTED_VALUE"""),46022.0)</f>
        <v>46022</v>
      </c>
    </row>
    <row r="2895">
      <c r="A2895" s="6" t="str">
        <f>IFERROR(__xludf.DUMMYFUNCTION("""COMPUTED_VALUE"""),"BDU")</f>
        <v>BDU</v>
      </c>
      <c r="B2895" s="6" t="str">
        <f>IFERROR(__xludf.DUMMYFUNCTION("""COMPUTED_VALUE"""),"ENG")</f>
        <v>ENG</v>
      </c>
      <c r="C2895" s="6" t="str">
        <f>IFERROR(__xludf.DUMMYFUNCTION("""COMPUTED_VALUE"""),"P-16972-00")</f>
        <v>P-16972-00</v>
      </c>
      <c r="D2895" s="6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E2895" s="6">
        <f>IFERROR(__xludf.DUMMYFUNCTION("""COMPUTED_VALUE"""),1.0)</f>
        <v>1</v>
      </c>
      <c r="F2895" s="6">
        <f>IFERROR(__xludf.DUMMYFUNCTION("""COMPUTED_VALUE"""),1.0)</f>
        <v>1</v>
      </c>
      <c r="G2895" s="6">
        <f>IFERROR(__xludf.DUMMYFUNCTION("""COMPUTED_VALUE"""),0.0)</f>
        <v>0</v>
      </c>
      <c r="H2895" s="6" t="str">
        <f>IFERROR(__xludf.DUMMYFUNCTION("""COMPUTED_VALUE"""),"Pcs")</f>
        <v>Pcs</v>
      </c>
      <c r="I2895" s="6" t="str">
        <f>IFERROR(__xludf.DUMMYFUNCTION("""COMPUTED_VALUE"""),"MFH")</f>
        <v>MFH</v>
      </c>
      <c r="J2895" s="6" t="str">
        <f>IFERROR(__xludf.DUMMYFUNCTION("""COMPUTED_VALUE"""),"-")</f>
        <v>-</v>
      </c>
      <c r="K2895" s="6" t="str">
        <f>IFERROR(__xludf.DUMMYFUNCTION("""COMPUTED_VALUE"""),"SPR/25/12/052")</f>
        <v>SPR/25/12/052</v>
      </c>
      <c r="L2895" s="58">
        <f>IFERROR(__xludf.DUMMYFUNCTION("""COMPUTED_VALUE"""),46022.0)</f>
        <v>46022</v>
      </c>
    </row>
    <row r="2896">
      <c r="A2896" s="6" t="str">
        <f>IFERROR(__xludf.DUMMYFUNCTION("""COMPUTED_VALUE"""),"BDU")</f>
        <v>BDU</v>
      </c>
      <c r="B2896" s="6" t="str">
        <f>IFERROR(__xludf.DUMMYFUNCTION("""COMPUTED_VALUE"""),"ENG")</f>
        <v>ENG</v>
      </c>
      <c r="C2896" s="6" t="str">
        <f>IFERROR(__xludf.DUMMYFUNCTION("""COMPUTED_VALUE"""),"Q-12060-00")</f>
        <v>Q-12060-00</v>
      </c>
      <c r="D2896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896" s="6">
        <f>IFERROR(__xludf.DUMMYFUNCTION("""COMPUTED_VALUE"""),1.0)</f>
        <v>1</v>
      </c>
      <c r="F2896" s="6">
        <f>IFERROR(__xludf.DUMMYFUNCTION("""COMPUTED_VALUE"""),1.0)</f>
        <v>1</v>
      </c>
      <c r="G2896" s="6">
        <f>IFERROR(__xludf.DUMMYFUNCTION("""COMPUTED_VALUE"""),0.0)</f>
        <v>0</v>
      </c>
      <c r="H2896" s="6" t="str">
        <f>IFERROR(__xludf.DUMMYFUNCTION("""COMPUTED_VALUE"""),"Pcs")</f>
        <v>Pcs</v>
      </c>
      <c r="I2896" s="6" t="str">
        <f>IFERROR(__xludf.DUMMYFUNCTION("""COMPUTED_VALUE"""),"MFH")</f>
        <v>MFH</v>
      </c>
      <c r="J2896" s="6" t="str">
        <f>IFERROR(__xludf.DUMMYFUNCTION("""COMPUTED_VALUE"""),"Chiller")</f>
        <v>Chiller</v>
      </c>
      <c r="K2896" s="6" t="str">
        <f>IFERROR(__xludf.DUMMYFUNCTION("""COMPUTED_VALUE"""),"SPR/25/12/052")</f>
        <v>SPR/25/12/052</v>
      </c>
      <c r="L2896" s="58">
        <f>IFERROR(__xludf.DUMMYFUNCTION("""COMPUTED_VALUE"""),46022.0)</f>
        <v>46022</v>
      </c>
    </row>
    <row r="2897">
      <c r="A2897" s="6" t="str">
        <f>IFERROR(__xludf.DUMMYFUNCTION("""COMPUTED_VALUE"""),"BDU")</f>
        <v>BDU</v>
      </c>
      <c r="B2897" s="6" t="str">
        <f>IFERROR(__xludf.DUMMYFUNCTION("""COMPUTED_VALUE"""),"ENG")</f>
        <v>ENG</v>
      </c>
      <c r="C2897" s="6" t="str">
        <f>IFERROR(__xludf.DUMMYFUNCTION("""COMPUTED_VALUE"""),"O-17836-00")</f>
        <v>O-17836-00</v>
      </c>
      <c r="D2897" s="6" t="str">
        <f>IFERROR(__xludf.DUMMYFUNCTION("""COMPUTED_VALUE"""),"Manual Actuator")</f>
        <v>Manual Actuator</v>
      </c>
      <c r="E2897" s="6">
        <f>IFERROR(__xludf.DUMMYFUNCTION("""COMPUTED_VALUE"""),1.0)</f>
        <v>1</v>
      </c>
      <c r="F2897" s="6">
        <f>IFERROR(__xludf.DUMMYFUNCTION("""COMPUTED_VALUE"""),1.0)</f>
        <v>1</v>
      </c>
      <c r="G2897" s="6">
        <f>IFERROR(__xludf.DUMMYFUNCTION("""COMPUTED_VALUE"""),0.0)</f>
        <v>0</v>
      </c>
      <c r="H2897" s="6" t="str">
        <f>IFERROR(__xludf.DUMMYFUNCTION("""COMPUTED_VALUE"""),"Pcs")</f>
        <v>Pcs</v>
      </c>
      <c r="I2897" s="6" t="str">
        <f>IFERROR(__xludf.DUMMYFUNCTION("""COMPUTED_VALUE"""),"MFH")</f>
        <v>MFH</v>
      </c>
      <c r="J2897" s="6" t="str">
        <f>IFERROR(__xludf.DUMMYFUNCTION("""COMPUTED_VALUE"""),"IPC")</f>
        <v>IPC</v>
      </c>
      <c r="K2897" s="6" t="str">
        <f>IFERROR(__xludf.DUMMYFUNCTION("""COMPUTED_VALUE"""),"SPR/25/12/053")</f>
        <v>SPR/25/12/053</v>
      </c>
      <c r="L2897" s="58">
        <f>IFERROR(__xludf.DUMMYFUNCTION("""COMPUTED_VALUE"""),46022.0)</f>
        <v>46022</v>
      </c>
    </row>
    <row r="2898">
      <c r="A2898" s="6" t="str">
        <f>IFERROR(__xludf.DUMMYFUNCTION("""COMPUTED_VALUE"""),"BDU")</f>
        <v>BDU</v>
      </c>
      <c r="B2898" s="6" t="str">
        <f>IFERROR(__xludf.DUMMYFUNCTION("""COMPUTED_VALUE"""),"ENG")</f>
        <v>ENG</v>
      </c>
      <c r="C2898" s="6" t="str">
        <f>IFERROR(__xludf.DUMMYFUNCTION("""COMPUTED_VALUE"""),"P-17390-00")</f>
        <v>P-17390-00</v>
      </c>
      <c r="D2898" s="6" t="str">
        <f>IFERROR(__xludf.DUMMYFUNCTION("""COMPUTED_VALUE"""),"PALL - AB1PFR7PVH4, 0.2 um; ; ;")</f>
        <v>PALL - AB1PFR7PVH4, 0.2 um; ; ;</v>
      </c>
      <c r="E2898" s="6">
        <f>IFERROR(__xludf.DUMMYFUNCTION("""COMPUTED_VALUE"""),1.0)</f>
        <v>1</v>
      </c>
      <c r="F2898" s="6">
        <f>IFERROR(__xludf.DUMMYFUNCTION("""COMPUTED_VALUE"""),1.0)</f>
        <v>1</v>
      </c>
      <c r="G2898" s="6">
        <f>IFERROR(__xludf.DUMMYFUNCTION("""COMPUTED_VALUE"""),0.0)</f>
        <v>0</v>
      </c>
      <c r="H2898" s="6" t="str">
        <f>IFERROR(__xludf.DUMMYFUNCTION("""COMPUTED_VALUE"""),"Pcs")</f>
        <v>Pcs</v>
      </c>
      <c r="I2898" s="6" t="str">
        <f>IFERROR(__xludf.DUMMYFUNCTION("""COMPUTED_VALUE"""),"MFH")</f>
        <v>MFH</v>
      </c>
      <c r="J2898" s="6" t="str">
        <f>IFERROR(__xludf.DUMMYFUNCTION("""COMPUTED_VALUE"""),"-")</f>
        <v>-</v>
      </c>
      <c r="K2898" s="6" t="str">
        <f>IFERROR(__xludf.DUMMYFUNCTION("""COMPUTED_VALUE"""),"SPR/25/12/053")</f>
        <v>SPR/25/12/053</v>
      </c>
      <c r="L2898" s="58">
        <f>IFERROR(__xludf.DUMMYFUNCTION("""COMPUTED_VALUE"""),46022.0)</f>
        <v>46022</v>
      </c>
    </row>
    <row r="2899">
      <c r="A2899" s="6" t="str">
        <f>IFERROR(__xludf.DUMMYFUNCTION("""COMPUTED_VALUE"""),"BDU")</f>
        <v>BDU</v>
      </c>
      <c r="B2899" s="6" t="str">
        <f>IFERROR(__xludf.DUMMYFUNCTION("""COMPUTED_VALUE"""),"ENG")</f>
        <v>ENG</v>
      </c>
      <c r="C2899" s="6" t="str">
        <f>IFERROR(__xludf.DUMMYFUNCTION("""COMPUTED_VALUE"""),"O-12868-00")</f>
        <v>O-12868-00</v>
      </c>
      <c r="D2899" s="6" t="str">
        <f>IFERROR(__xludf.DUMMYFUNCTION("""COMPUTED_VALUE"""),"Emflon PFR Membrane Filter Cartridges 0.2 um PALL P/N : AB05 PFR2 PVH4 pc")</f>
        <v>Emflon PFR Membrane Filter Cartridges 0.2 um PALL P/N : AB05 PFR2 PVH4 pc</v>
      </c>
      <c r="E2899" s="6">
        <f>IFERROR(__xludf.DUMMYFUNCTION("""COMPUTED_VALUE"""),1.0)</f>
        <v>1</v>
      </c>
      <c r="F2899" s="6">
        <f>IFERROR(__xludf.DUMMYFUNCTION("""COMPUTED_VALUE"""),1.0)</f>
        <v>1</v>
      </c>
      <c r="G2899" s="6">
        <f>IFERROR(__xludf.DUMMYFUNCTION("""COMPUTED_VALUE"""),0.0)</f>
        <v>0</v>
      </c>
      <c r="H2899" s="6" t="str">
        <f>IFERROR(__xludf.DUMMYFUNCTION("""COMPUTED_VALUE"""),"Pcs")</f>
        <v>Pcs</v>
      </c>
      <c r="I2899" s="6" t="str">
        <f>IFERROR(__xludf.DUMMYFUNCTION("""COMPUTED_VALUE"""),"MFH")</f>
        <v>MFH</v>
      </c>
      <c r="J2899" s="6" t="str">
        <f>IFERROR(__xludf.DUMMYFUNCTION("""COMPUTED_VALUE"""),"-")</f>
        <v>-</v>
      </c>
      <c r="K2899" s="6" t="str">
        <f>IFERROR(__xludf.DUMMYFUNCTION("""COMPUTED_VALUE"""),"SPR/25/12/053")</f>
        <v>SPR/25/12/053</v>
      </c>
      <c r="L2899" s="58">
        <f>IFERROR(__xludf.DUMMYFUNCTION("""COMPUTED_VALUE"""),46022.0)</f>
        <v>46022</v>
      </c>
    </row>
    <row r="2900">
      <c r="A2900" s="6" t="str">
        <f>IFERROR(__xludf.DUMMYFUNCTION("""COMPUTED_VALUE"""),"SFH")</f>
        <v>SFH</v>
      </c>
      <c r="B2900" s="6" t="str">
        <f>IFERROR(__xludf.DUMMYFUNCTION("""COMPUTED_VALUE"""),"ENG")</f>
        <v>ENG</v>
      </c>
      <c r="C2900" s="6" t="str">
        <f>IFERROR(__xludf.DUMMYFUNCTION("""COMPUTED_VALUE"""),"T-80109-00")</f>
        <v>T-80109-00</v>
      </c>
      <c r="D2900" s="6" t="str">
        <f>IFERROR(__xludf.DUMMYFUNCTION("""COMPUTED_VALUE"""),"Cellotape Kertas 1 inch warna Putih")</f>
        <v>Cellotape Kertas 1 inch warna Putih</v>
      </c>
      <c r="E2900" s="6">
        <f>IFERROR(__xludf.DUMMYFUNCTION("""COMPUTED_VALUE"""),10.0)</f>
        <v>10</v>
      </c>
      <c r="F2900" s="6">
        <f>IFERROR(__xludf.DUMMYFUNCTION("""COMPUTED_VALUE"""),10.0)</f>
        <v>10</v>
      </c>
      <c r="G2900" s="6">
        <f>IFERROR(__xludf.DUMMYFUNCTION("""COMPUTED_VALUE"""),0.0)</f>
        <v>0</v>
      </c>
      <c r="H2900" s="6" t="str">
        <f>IFERROR(__xludf.DUMMYFUNCTION("""COMPUTED_VALUE"""),"Pcs")</f>
        <v>Pcs</v>
      </c>
      <c r="I2900" s="6" t="str">
        <f>IFERROR(__xludf.DUMMYFUNCTION("""COMPUTED_VALUE"""),"MFH")</f>
        <v>MFH</v>
      </c>
      <c r="J2900" s="6" t="str">
        <f>IFERROR(__xludf.DUMMYFUNCTION("""COMPUTED_VALUE"""),"Building")</f>
        <v>Building</v>
      </c>
      <c r="K2900" s="6" t="str">
        <f>IFERROR(__xludf.DUMMYFUNCTION("""COMPUTED_VALUE"""),"SPR/25/12/054")</f>
        <v>SPR/25/12/054</v>
      </c>
      <c r="L2900" s="58">
        <f>IFERROR(__xludf.DUMMYFUNCTION("""COMPUTED_VALUE"""),46022.0)</f>
        <v>46022</v>
      </c>
    </row>
    <row r="2901">
      <c r="A2901" s="6" t="str">
        <f>IFERROR(__xludf.DUMMYFUNCTION("""COMPUTED_VALUE"""),"SFH")</f>
        <v>SFH</v>
      </c>
      <c r="B2901" s="6" t="str">
        <f>IFERROR(__xludf.DUMMYFUNCTION("""COMPUTED_VALUE"""),"ENG")</f>
        <v>ENG</v>
      </c>
      <c r="C2901" s="6" t="str">
        <f>IFERROR(__xludf.DUMMYFUNCTION("""COMPUTED_VALUE"""),"Q-60502-00")</f>
        <v>Q-60502-00</v>
      </c>
      <c r="D2901" s="6" t="str">
        <f>IFERROR(__xludf.DUMMYFUNCTION("""COMPUTED_VALUE"""),"Silicone Sealant, Silglaze, Type N10 White, pack size per pcs")</f>
        <v>Silicone Sealant, Silglaze, Type N10 White, pack size per pcs</v>
      </c>
      <c r="E2901" s="6">
        <f>IFERROR(__xludf.DUMMYFUNCTION("""COMPUTED_VALUE"""),1.0)</f>
        <v>1</v>
      </c>
      <c r="F2901" s="6">
        <f>IFERROR(__xludf.DUMMYFUNCTION("""COMPUTED_VALUE"""),1.0)</f>
        <v>1</v>
      </c>
      <c r="G2901" s="6">
        <f>IFERROR(__xludf.DUMMYFUNCTION("""COMPUTED_VALUE"""),0.0)</f>
        <v>0</v>
      </c>
      <c r="H2901" s="6" t="str">
        <f>IFERROR(__xludf.DUMMYFUNCTION("""COMPUTED_VALUE"""),"Pcs")</f>
        <v>Pcs</v>
      </c>
      <c r="I2901" s="6" t="str">
        <f>IFERROR(__xludf.DUMMYFUNCTION("""COMPUTED_VALUE"""),"MFH")</f>
        <v>MFH</v>
      </c>
      <c r="J2901" s="6" t="str">
        <f>IFERROR(__xludf.DUMMYFUNCTION("""COMPUTED_VALUE"""),"Building")</f>
        <v>Building</v>
      </c>
      <c r="K2901" s="6" t="str">
        <f>IFERROR(__xludf.DUMMYFUNCTION("""COMPUTED_VALUE"""),"SPR/25/12/054")</f>
        <v>SPR/25/12/054</v>
      </c>
      <c r="L2901" s="58">
        <f>IFERROR(__xludf.DUMMYFUNCTION("""COMPUTED_VALUE"""),46022.0)</f>
        <v>46022</v>
      </c>
    </row>
    <row r="2902">
      <c r="A2902" s="6" t="str">
        <f>IFERROR(__xludf.DUMMYFUNCTION("""COMPUTED_VALUE"""),"PHL")</f>
        <v>PHL</v>
      </c>
      <c r="B2902" s="6" t="str">
        <f>IFERROR(__xludf.DUMMYFUNCTION("""COMPUTED_VALUE"""),"ENG")</f>
        <v>ENG</v>
      </c>
      <c r="C2902" s="6" t="str">
        <f>IFERROR(__xludf.DUMMYFUNCTION("""COMPUTED_VALUE"""),"O-15931-00")</f>
        <v>O-15931-00</v>
      </c>
      <c r="D2902" s="6" t="str">
        <f>IFERROR(__xludf.DUMMYFUNCTION("""COMPUTED_VALUE"""),"Double Tape 3M 1"" Merah - P/N : -  pc")</f>
        <v>Double Tape 3M 1" Merah - P/N : -  pc</v>
      </c>
      <c r="E2902" s="6">
        <f>IFERROR(__xludf.DUMMYFUNCTION("""COMPUTED_VALUE"""),1.0)</f>
        <v>1</v>
      </c>
      <c r="F2902" s="6">
        <f>IFERROR(__xludf.DUMMYFUNCTION("""COMPUTED_VALUE"""),1.0)</f>
        <v>1</v>
      </c>
      <c r="G2902" s="6">
        <f>IFERROR(__xludf.DUMMYFUNCTION("""COMPUTED_VALUE"""),0.0)</f>
        <v>0</v>
      </c>
      <c r="H2902" s="6" t="str">
        <f>IFERROR(__xludf.DUMMYFUNCTION("""COMPUTED_VALUE"""),"Pcs")</f>
        <v>Pcs</v>
      </c>
      <c r="I2902" s="6" t="str">
        <f>IFERROR(__xludf.DUMMYFUNCTION("""COMPUTED_VALUE"""),"MFH")</f>
        <v>MFH</v>
      </c>
      <c r="J2902" s="6" t="str">
        <f>IFERROR(__xludf.DUMMYFUNCTION("""COMPUTED_VALUE"""),"-")</f>
        <v>-</v>
      </c>
      <c r="K2902" s="6" t="str">
        <f>IFERROR(__xludf.DUMMYFUNCTION("""COMPUTED_VALUE"""),"SPR/25/12/055")</f>
        <v>SPR/25/12/055</v>
      </c>
      <c r="L2902" s="58">
        <f>IFERROR(__xludf.DUMMYFUNCTION("""COMPUTED_VALUE"""),46022.0)</f>
        <v>46022</v>
      </c>
    </row>
    <row r="2903">
      <c r="A2903" s="6" t="str">
        <f>IFERROR(__xludf.DUMMYFUNCTION("""COMPUTED_VALUE"""),"KFF")</f>
        <v>KFF</v>
      </c>
      <c r="B2903" s="6" t="str">
        <f>IFERROR(__xludf.DUMMYFUNCTION("""COMPUTED_VALUE"""),"ENG")</f>
        <v>ENG</v>
      </c>
      <c r="C2903" s="6" t="str">
        <f>IFERROR(__xludf.DUMMYFUNCTION("""COMPUTED_VALUE"""),"P-10945-00")</f>
        <v>P-10945-00</v>
      </c>
      <c r="D2903" s="6" t="str">
        <f>IFERROR(__xludf.DUMMYFUNCTION("""COMPUTED_VALUE"""),"General - Seal Tape 1 Inch 10 M; Onda; ST 02; 1 pcs")</f>
        <v>General - Seal Tape 1 Inch 10 M; Onda; ST 02; 1 pcs</v>
      </c>
      <c r="E2903" s="6">
        <f>IFERROR(__xludf.DUMMYFUNCTION("""COMPUTED_VALUE"""),2.0)</f>
        <v>2</v>
      </c>
      <c r="F2903" s="6">
        <f>IFERROR(__xludf.DUMMYFUNCTION("""COMPUTED_VALUE"""),2.0)</f>
        <v>2</v>
      </c>
      <c r="G2903" s="6">
        <f>IFERROR(__xludf.DUMMYFUNCTION("""COMPUTED_VALUE"""),0.0)</f>
        <v>0</v>
      </c>
      <c r="H2903" s="6" t="str">
        <f>IFERROR(__xludf.DUMMYFUNCTION("""COMPUTED_VALUE"""),"Pcs")</f>
        <v>Pcs</v>
      </c>
      <c r="I2903" s="6" t="str">
        <f>IFERROR(__xludf.DUMMYFUNCTION("""COMPUTED_VALUE"""),"MFH")</f>
        <v>MFH</v>
      </c>
      <c r="J2903" s="6" t="str">
        <f>IFERROR(__xludf.DUMMYFUNCTION("""COMPUTED_VALUE"""),"FD")</f>
        <v>FD</v>
      </c>
      <c r="K2903" s="6" t="str">
        <f>IFERROR(__xludf.DUMMYFUNCTION("""COMPUTED_VALUE"""),"SPR/25/12/056")</f>
        <v>SPR/25/12/056</v>
      </c>
      <c r="L2903" s="58">
        <f>IFERROR(__xludf.DUMMYFUNCTION("""COMPUTED_VALUE"""),46022.0)</f>
        <v>46022</v>
      </c>
    </row>
    <row r="2904">
      <c r="A2904" s="6" t="str">
        <f>IFERROR(__xludf.DUMMYFUNCTION("""COMPUTED_VALUE"""),"KFF")</f>
        <v>KFF</v>
      </c>
      <c r="B2904" s="6" t="str">
        <f>IFERROR(__xludf.DUMMYFUNCTION("""COMPUTED_VALUE"""),"ENG")</f>
        <v>ENG</v>
      </c>
      <c r="C2904" s="6" t="str">
        <f>IFERROR(__xludf.DUMMYFUNCTION("""COMPUTED_VALUE"""),"P-11422-00")</f>
        <v>P-11422-00</v>
      </c>
      <c r="D2904" s="6" t="str">
        <f>IFERROR(__xludf.DUMMYFUNCTION("""COMPUTED_VALUE"""),"Selang Festo Pun-H-10x1.5 / Blue NR : 197386")</f>
        <v>Selang Festo Pun-H-10x1.5 / Blue NR : 197386</v>
      </c>
      <c r="E2904" s="6">
        <f>IFERROR(__xludf.DUMMYFUNCTION("""COMPUTED_VALUE"""),1.0)</f>
        <v>1</v>
      </c>
      <c r="F2904" s="6">
        <f>IFERROR(__xludf.DUMMYFUNCTION("""COMPUTED_VALUE"""),1.0)</f>
        <v>1</v>
      </c>
      <c r="G2904" s="6">
        <f>IFERROR(__xludf.DUMMYFUNCTION("""COMPUTED_VALUE"""),0.0)</f>
        <v>0</v>
      </c>
      <c r="H2904" s="6" t="str">
        <f>IFERROR(__xludf.DUMMYFUNCTION("""COMPUTED_VALUE"""),"Pcs")</f>
        <v>Pcs</v>
      </c>
      <c r="I2904" s="6" t="str">
        <f>IFERROR(__xludf.DUMMYFUNCTION("""COMPUTED_VALUE"""),"MFH")</f>
        <v>MFH</v>
      </c>
      <c r="J2904" s="6" t="str">
        <f>IFERROR(__xludf.DUMMYFUNCTION("""COMPUTED_VALUE"""),"FD")</f>
        <v>FD</v>
      </c>
      <c r="K2904" s="6" t="str">
        <f>IFERROR(__xludf.DUMMYFUNCTION("""COMPUTED_VALUE"""),"SPR/25/12/056")</f>
        <v>SPR/25/12/056</v>
      </c>
      <c r="L2904" s="58">
        <f>IFERROR(__xludf.DUMMYFUNCTION("""COMPUTED_VALUE"""),46022.0)</f>
        <v>46022</v>
      </c>
    </row>
    <row r="2905">
      <c r="A2905" s="6" t="str">
        <f>IFERROR(__xludf.DUMMYFUNCTION("""COMPUTED_VALUE"""),"KFF")</f>
        <v>KFF</v>
      </c>
      <c r="B2905" s="6" t="str">
        <f>IFERROR(__xludf.DUMMYFUNCTION("""COMPUTED_VALUE"""),"ENG")</f>
        <v>ENG</v>
      </c>
      <c r="C2905" s="6" t="str">
        <f>IFERROR(__xludf.DUMMYFUNCTION("""COMPUTED_VALUE"""),"P-12258-00")</f>
        <v>P-12258-00</v>
      </c>
      <c r="D2905" s="6" t="str">
        <f>IFERROR(__xludf.DUMMYFUNCTION("""COMPUTED_VALUE"""),"FESTO - Push In Connector QS-10-10")</f>
        <v>FESTO - Push In Connector QS-10-10</v>
      </c>
      <c r="E2905" s="6">
        <f>IFERROR(__xludf.DUMMYFUNCTION("""COMPUTED_VALUE"""),1.0)</f>
        <v>1</v>
      </c>
      <c r="F2905" s="6">
        <f>IFERROR(__xludf.DUMMYFUNCTION("""COMPUTED_VALUE"""),1.0)</f>
        <v>1</v>
      </c>
      <c r="G2905" s="6">
        <f>IFERROR(__xludf.DUMMYFUNCTION("""COMPUTED_VALUE"""),0.0)</f>
        <v>0</v>
      </c>
      <c r="H2905" s="6" t="str">
        <f>IFERROR(__xludf.DUMMYFUNCTION("""COMPUTED_VALUE"""),"Pcs")</f>
        <v>Pcs</v>
      </c>
      <c r="I2905" s="6" t="str">
        <f>IFERROR(__xludf.DUMMYFUNCTION("""COMPUTED_VALUE"""),"MFH")</f>
        <v>MFH</v>
      </c>
      <c r="J2905" s="6" t="str">
        <f>IFERROR(__xludf.DUMMYFUNCTION("""COMPUTED_VALUE"""),"FD")</f>
        <v>FD</v>
      </c>
      <c r="K2905" s="6" t="str">
        <f>IFERROR(__xludf.DUMMYFUNCTION("""COMPUTED_VALUE"""),"SPR/25/12/056")</f>
        <v>SPR/25/12/056</v>
      </c>
      <c r="L2905" s="58">
        <f>IFERROR(__xludf.DUMMYFUNCTION("""COMPUTED_VALUE"""),46022.0)</f>
        <v>46022</v>
      </c>
    </row>
    <row r="2906">
      <c r="A2906" s="6" t="str">
        <f>IFERROR(__xludf.DUMMYFUNCTION("""COMPUTED_VALUE"""),"EPO")</f>
        <v>EPO</v>
      </c>
      <c r="B2906" s="6" t="str">
        <f>IFERROR(__xludf.DUMMYFUNCTION("""COMPUTED_VALUE"""),"ENG")</f>
        <v>ENG</v>
      </c>
      <c r="C2906" s="6" t="str">
        <f>IFERROR(__xludf.DUMMYFUNCTION("""COMPUTED_VALUE"""),"P-12287-00")</f>
        <v>P-12287-00</v>
      </c>
      <c r="D2906" s="6" t="str">
        <f>IFERROR(__xludf.DUMMYFUNCTION("""COMPUTED_VALUE"""),"FESTO - QS-3/8-8 Push-In fitting p/n 153006")</f>
        <v>FESTO - QS-3/8-8 Push-In fitting p/n 153006</v>
      </c>
      <c r="E2906" s="6">
        <f>IFERROR(__xludf.DUMMYFUNCTION("""COMPUTED_VALUE"""),1.0)</f>
        <v>1</v>
      </c>
      <c r="F2906" s="6">
        <f>IFERROR(__xludf.DUMMYFUNCTION("""COMPUTED_VALUE"""),1.0)</f>
        <v>1</v>
      </c>
      <c r="G2906" s="6">
        <f>IFERROR(__xludf.DUMMYFUNCTION("""COMPUTED_VALUE"""),0.0)</f>
        <v>0</v>
      </c>
      <c r="H2906" s="6" t="str">
        <f>IFERROR(__xludf.DUMMYFUNCTION("""COMPUTED_VALUE"""),"Pcs")</f>
        <v>Pcs</v>
      </c>
      <c r="I2906" s="6" t="str">
        <f>IFERROR(__xludf.DUMMYFUNCTION("""COMPUTED_VALUE"""),"MFH")</f>
        <v>MFH</v>
      </c>
      <c r="J2906" s="6" t="str">
        <f>IFERROR(__xludf.DUMMYFUNCTION("""COMPUTED_VALUE"""),"-")</f>
        <v>-</v>
      </c>
      <c r="K2906" s="6" t="str">
        <f>IFERROR(__xludf.DUMMYFUNCTION("""COMPUTED_VALUE"""),"SPR/25/12/057")</f>
        <v>SPR/25/12/057</v>
      </c>
      <c r="L2906" s="58">
        <f>IFERROR(__xludf.DUMMYFUNCTION("""COMPUTED_VALUE"""),46022.0)</f>
        <v>46022</v>
      </c>
    </row>
    <row r="2907">
      <c r="A2907" s="6" t="str">
        <f>IFERROR(__xludf.DUMMYFUNCTION("""COMPUTED_VALUE"""),"EPO")</f>
        <v>EPO</v>
      </c>
      <c r="B2907" s="6" t="str">
        <f>IFERROR(__xludf.DUMMYFUNCTION("""COMPUTED_VALUE"""),"ENG")</f>
        <v>ENG</v>
      </c>
      <c r="C2907" s="6" t="str">
        <f>IFERROR(__xludf.DUMMYFUNCTION("""COMPUTED_VALUE"""),"P-11185-00")</f>
        <v>P-11185-00</v>
      </c>
      <c r="D2907" s="6" t="str">
        <f>IFERROR(__xludf.DUMMYFUNCTION("""COMPUTED_VALUE"""),"General - Push-in Connector, QS-8-6; Festo; 153038; 1 pcs")</f>
        <v>General - Push-in Connector, QS-8-6; Festo; 153038; 1 pcs</v>
      </c>
      <c r="E2907" s="6">
        <f>IFERROR(__xludf.DUMMYFUNCTION("""COMPUTED_VALUE"""),1.0)</f>
        <v>1</v>
      </c>
      <c r="F2907" s="6">
        <f>IFERROR(__xludf.DUMMYFUNCTION("""COMPUTED_VALUE"""),1.0)</f>
        <v>1</v>
      </c>
      <c r="G2907" s="6">
        <f>IFERROR(__xludf.DUMMYFUNCTION("""COMPUTED_VALUE"""),0.0)</f>
        <v>0</v>
      </c>
      <c r="H2907" s="6" t="str">
        <f>IFERROR(__xludf.DUMMYFUNCTION("""COMPUTED_VALUE"""),"Pcs")</f>
        <v>Pcs</v>
      </c>
      <c r="I2907" s="6" t="str">
        <f>IFERROR(__xludf.DUMMYFUNCTION("""COMPUTED_VALUE"""),"MFH")</f>
        <v>MFH</v>
      </c>
      <c r="J2907" s="6" t="str">
        <f>IFERROR(__xludf.DUMMYFUNCTION("""COMPUTED_VALUE"""),"-")</f>
        <v>-</v>
      </c>
      <c r="K2907" s="6" t="str">
        <f>IFERROR(__xludf.DUMMYFUNCTION("""COMPUTED_VALUE"""),"SPR/25/12/057")</f>
        <v>SPR/25/12/057</v>
      </c>
      <c r="L2907" s="58">
        <f>IFERROR(__xludf.DUMMYFUNCTION("""COMPUTED_VALUE"""),46022.0)</f>
        <v>46022</v>
      </c>
    </row>
    <row r="2908">
      <c r="A2908" s="6" t="str">
        <f>IFERROR(__xludf.DUMMYFUNCTION("""COMPUTED_VALUE"""),"OMA")</f>
        <v>OMA</v>
      </c>
      <c r="B2908" s="6" t="str">
        <f>IFERROR(__xludf.DUMMYFUNCTION("""COMPUTED_VALUE"""),"ENG")</f>
        <v>ENG</v>
      </c>
      <c r="C2908" s="6" t="str">
        <f>IFERROR(__xludf.DUMMYFUNCTION("""COMPUTED_VALUE"""),"T-20129-00")</f>
        <v>T-20129-00</v>
      </c>
      <c r="D2908" s="6" t="str">
        <f>IFERROR(__xludf.DUMMYFUNCTION("""COMPUTED_VALUE"""),"Deuterium Lamp L6380 80V; Shimadzu; c/n 062-65055-05; 1 pc")</f>
        <v>Deuterium Lamp L6380 80V; Shimadzu; c/n 062-65055-05; 1 pc</v>
      </c>
      <c r="E2908" s="6">
        <f>IFERROR(__xludf.DUMMYFUNCTION("""COMPUTED_VALUE"""),1.0)</f>
        <v>1</v>
      </c>
      <c r="F2908" s="6">
        <f>IFERROR(__xludf.DUMMYFUNCTION("""COMPUTED_VALUE"""),1.0)</f>
        <v>1</v>
      </c>
      <c r="G2908" s="6">
        <f>IFERROR(__xludf.DUMMYFUNCTION("""COMPUTED_VALUE"""),0.0)</f>
        <v>0</v>
      </c>
      <c r="H2908" s="6" t="str">
        <f>IFERROR(__xludf.DUMMYFUNCTION("""COMPUTED_VALUE"""),"Pcs")</f>
        <v>Pcs</v>
      </c>
      <c r="I2908" s="6" t="str">
        <f>IFERROR(__xludf.DUMMYFUNCTION("""COMPUTED_VALUE"""),"MFH")</f>
        <v>MFH</v>
      </c>
      <c r="J2908" s="6" t="str">
        <f>IFERROR(__xludf.DUMMYFUNCTION("""COMPUTED_VALUE"""),"Spectro")</f>
        <v>Spectro</v>
      </c>
      <c r="K2908" s="6" t="str">
        <f>IFERROR(__xludf.DUMMYFUNCTION("""COMPUTED_VALUE"""),"SPR/25/12/058")</f>
        <v>SPR/25/12/058</v>
      </c>
      <c r="L2908" s="58">
        <f>IFERROR(__xludf.DUMMYFUNCTION("""COMPUTED_VALUE"""),46022.0)</f>
        <v>46022</v>
      </c>
    </row>
    <row r="2909">
      <c r="A2909" s="6" t="str">
        <f>IFERROR(__xludf.DUMMYFUNCTION("""COMPUTED_VALUE"""),"OMA")</f>
        <v>OMA</v>
      </c>
      <c r="B2909" s="6" t="str">
        <f>IFERROR(__xludf.DUMMYFUNCTION("""COMPUTED_VALUE"""),"ENG")</f>
        <v>ENG</v>
      </c>
      <c r="C2909" s="6" t="str">
        <f>IFERROR(__xludf.DUMMYFUNCTION("""COMPUTED_VALUE"""),"T-20381-00")</f>
        <v>T-20381-00</v>
      </c>
      <c r="D2909" s="6" t="str">
        <f>IFERROR(__xludf.DUMMYFUNCTION("""COMPUTED_VALUE"""),"Halogen Lamp NA55917 12V; Shimadzu; Part No. 062-65005; 1")</f>
        <v>Halogen Lamp NA55917 12V; Shimadzu; Part No. 062-65005; 1</v>
      </c>
      <c r="E2909" s="6">
        <f>IFERROR(__xludf.DUMMYFUNCTION("""COMPUTED_VALUE"""),1.0)</f>
        <v>1</v>
      </c>
      <c r="F2909" s="6">
        <f>IFERROR(__xludf.DUMMYFUNCTION("""COMPUTED_VALUE"""),1.0)</f>
        <v>1</v>
      </c>
      <c r="G2909" s="6">
        <f>IFERROR(__xludf.DUMMYFUNCTION("""COMPUTED_VALUE"""),0.0)</f>
        <v>0</v>
      </c>
      <c r="H2909" s="6" t="str">
        <f>IFERROR(__xludf.DUMMYFUNCTION("""COMPUTED_VALUE"""),"Pcs")</f>
        <v>Pcs</v>
      </c>
      <c r="I2909" s="6" t="str">
        <f>IFERROR(__xludf.DUMMYFUNCTION("""COMPUTED_VALUE"""),"MFH")</f>
        <v>MFH</v>
      </c>
      <c r="J2909" s="6" t="str">
        <f>IFERROR(__xludf.DUMMYFUNCTION("""COMPUTED_VALUE"""),"Spectro")</f>
        <v>Spectro</v>
      </c>
      <c r="K2909" s="6" t="str">
        <f>IFERROR(__xludf.DUMMYFUNCTION("""COMPUTED_VALUE"""),"SPR/25/12/058")</f>
        <v>SPR/25/12/058</v>
      </c>
      <c r="L2909" s="58">
        <f>IFERROR(__xludf.DUMMYFUNCTION("""COMPUTED_VALUE"""),46022.0)</f>
        <v>46022</v>
      </c>
    </row>
    <row r="2910">
      <c r="A2910" s="6" t="str">
        <f>IFERROR(__xludf.DUMMYFUNCTION("""COMPUTED_VALUE"""),"HMA")</f>
        <v>HMA</v>
      </c>
      <c r="B2910" s="6" t="str">
        <f>IFERROR(__xludf.DUMMYFUNCTION("""COMPUTED_VALUE"""),"QAS")</f>
        <v>QAS</v>
      </c>
      <c r="C2910" s="6" t="str">
        <f>IFERROR(__xludf.DUMMYFUNCTION("""COMPUTED_VALUE"""),"O-17313-00")</f>
        <v>O-17313-00</v>
      </c>
      <c r="D2910" s="6" t="str">
        <f>IFERROR(__xludf.DUMMYFUNCTION("""COMPUTED_VALUE"""),"Breathing Circuit Filter PALL P/N :  BB50T pc")</f>
        <v>Breathing Circuit Filter PALL P/N :  BB50T pc</v>
      </c>
      <c r="E2910" s="6">
        <f>IFERROR(__xludf.DUMMYFUNCTION("""COMPUTED_VALUE"""),2.0)</f>
        <v>2</v>
      </c>
      <c r="F2910" s="6">
        <f>IFERROR(__xludf.DUMMYFUNCTION("""COMPUTED_VALUE"""),2.0)</f>
        <v>2</v>
      </c>
      <c r="G2910" s="6">
        <f>IFERROR(__xludf.DUMMYFUNCTION("""COMPUTED_VALUE"""),0.0)</f>
        <v>0</v>
      </c>
      <c r="H2910" s="6" t="str">
        <f>IFERROR(__xludf.DUMMYFUNCTION("""COMPUTED_VALUE"""),"Pcs")</f>
        <v>Pcs</v>
      </c>
      <c r="I2910" s="6" t="str">
        <f>IFERROR(__xludf.DUMMYFUNCTION("""COMPUTED_VALUE"""),"MFH")</f>
        <v>MFH</v>
      </c>
      <c r="J2910" s="6" t="str">
        <f>IFERROR(__xludf.DUMMYFUNCTION("""COMPUTED_VALUE"""),"-")</f>
        <v>-</v>
      </c>
      <c r="K2910" s="6" t="str">
        <f>IFERROR(__xludf.DUMMYFUNCTION("""COMPUTED_VALUE"""),"SPR/25/12/059")</f>
        <v>SPR/25/12/059</v>
      </c>
      <c r="L2910" s="58">
        <f>IFERROR(__xludf.DUMMYFUNCTION("""COMPUTED_VALUE"""),46022.0)</f>
        <v>46022</v>
      </c>
    </row>
    <row r="2911">
      <c r="A2911" s="6" t="str">
        <f>IFERROR(__xludf.DUMMYFUNCTION("""COMPUTED_VALUE"""),"APN")</f>
        <v>APN</v>
      </c>
      <c r="B2911" s="6" t="str">
        <f>IFERROR(__xludf.DUMMYFUNCTION("""COMPUTED_VALUE"""),"PRO")</f>
        <v>PRO</v>
      </c>
      <c r="C2911" s="6" t="str">
        <f>IFERROR(__xludf.DUMMYFUNCTION("""COMPUTED_VALUE"""),"P-19693-00")</f>
        <v>P-19693-00</v>
      </c>
      <c r="D2911" s="6" t="str">
        <f>IFERROR(__xludf.DUMMYFUNCTION("""COMPUTED_VALUE"""),"General - Lem Adhesive; Superlon; -; 1kg/can")</f>
        <v>General - Lem Adhesive; Superlon; -; 1kg/can</v>
      </c>
      <c r="E2911" s="6">
        <f>IFERROR(__xludf.DUMMYFUNCTION("""COMPUTED_VALUE"""),1.0)</f>
        <v>1</v>
      </c>
      <c r="F2911" s="6">
        <f>IFERROR(__xludf.DUMMYFUNCTION("""COMPUTED_VALUE"""),1.0)</f>
        <v>1</v>
      </c>
      <c r="G2911" s="6">
        <f>IFERROR(__xludf.DUMMYFUNCTION("""COMPUTED_VALUE"""),0.0)</f>
        <v>0</v>
      </c>
      <c r="H2911" s="6" t="str">
        <f>IFERROR(__xludf.DUMMYFUNCTION("""COMPUTED_VALUE"""),"Pcs")</f>
        <v>Pcs</v>
      </c>
      <c r="I2911" s="6" t="str">
        <f>IFERROR(__xludf.DUMMYFUNCTION("""COMPUTED_VALUE"""),"MFH")</f>
        <v>MFH</v>
      </c>
      <c r="J2911" s="6" t="str">
        <f>IFERROR(__xludf.DUMMYFUNCTION("""COMPUTED_VALUE"""),"FD")</f>
        <v>FD</v>
      </c>
      <c r="K2911" s="6" t="str">
        <f>IFERROR(__xludf.DUMMYFUNCTION("""COMPUTED_VALUE"""),"SPR/25/12/060")</f>
        <v>SPR/25/12/060</v>
      </c>
      <c r="L2911" s="58">
        <f>IFERROR(__xludf.DUMMYFUNCTION("""COMPUTED_VALUE"""),46022.0)</f>
        <v>46022</v>
      </c>
    </row>
    <row r="2912">
      <c r="A2912" s="6" t="str">
        <f>IFERROR(__xludf.DUMMYFUNCTION("""COMPUTED_VALUE"""),"MOB")</f>
        <v>MOB</v>
      </c>
      <c r="B2912" s="6" t="str">
        <f>IFERROR(__xludf.DUMMYFUNCTION("""COMPUTED_VALUE"""),"ENG")</f>
        <v>ENG</v>
      </c>
      <c r="C2912" s="6" t="str">
        <f>IFERROR(__xludf.DUMMYFUNCTION("""COMPUTED_VALUE"""),"P-53298-00")</f>
        <v>P-53298-00</v>
      </c>
      <c r="D2912" s="6" t="str">
        <f>IFERROR(__xludf.DUMMYFUNCTION("""COMPUTED_VALUE"""),"General - Solenoid Valve DP-10; Yoshitake; -; 1 pc")</f>
        <v>General - Solenoid Valve DP-10; Yoshitake; -; 1 pc</v>
      </c>
      <c r="E2912" s="6">
        <f>IFERROR(__xludf.DUMMYFUNCTION("""COMPUTED_VALUE"""),1.0)</f>
        <v>1</v>
      </c>
      <c r="F2912" s="6">
        <f>IFERROR(__xludf.DUMMYFUNCTION("""COMPUTED_VALUE"""),1.0)</f>
        <v>1</v>
      </c>
      <c r="G2912" s="6">
        <f>IFERROR(__xludf.DUMMYFUNCTION("""COMPUTED_VALUE"""),0.0)</f>
        <v>0</v>
      </c>
      <c r="H2912" s="6" t="str">
        <f>IFERROR(__xludf.DUMMYFUNCTION("""COMPUTED_VALUE"""),"Pcs")</f>
        <v>Pcs</v>
      </c>
      <c r="I2912" s="6" t="str">
        <f>IFERROR(__xludf.DUMMYFUNCTION("""COMPUTED_VALUE"""),"MFH")</f>
        <v>MFH</v>
      </c>
      <c r="J2912" s="6" t="str">
        <f>IFERROR(__xludf.DUMMYFUNCTION("""COMPUTED_VALUE"""),"WWTP")</f>
        <v>WWTP</v>
      </c>
      <c r="K2912" s="6" t="str">
        <f>IFERROR(__xludf.DUMMYFUNCTION("""COMPUTED_VALUE"""),"SPR/25/12/061")</f>
        <v>SPR/25/12/061</v>
      </c>
      <c r="L2912" s="58">
        <f>IFERROR(__xludf.DUMMYFUNCTION("""COMPUTED_VALUE"""),46022.0)</f>
        <v>46022</v>
      </c>
    </row>
    <row r="2913">
      <c r="A2913" s="6" t="str">
        <f>IFERROR(__xludf.DUMMYFUNCTION("""COMPUTED_VALUE"""),"NDS")</f>
        <v>NDS</v>
      </c>
      <c r="B2913" s="6" t="str">
        <f>IFERROR(__xludf.DUMMYFUNCTION("""COMPUTED_VALUE"""),"ENG")</f>
        <v>ENG</v>
      </c>
      <c r="C2913" s="6" t="str">
        <f>IFERROR(__xludf.DUMMYFUNCTION("""COMPUTED_VALUE"""),"O-19848-00")</f>
        <v>O-19848-00</v>
      </c>
      <c r="D2913" s="6" t="str">
        <f>IFERROR(__xludf.DUMMYFUNCTION("""COMPUTED_VALUE"""),"Pneumatic ball valve_1 inch weldedWORCESTEREDF50-00196")</f>
        <v>Pneumatic ball valve_1 inch weldedWORCESTEREDF50-00196</v>
      </c>
      <c r="E2913" s="6">
        <f>IFERROR(__xludf.DUMMYFUNCTION("""COMPUTED_VALUE"""),1.0)</f>
        <v>1</v>
      </c>
      <c r="F2913" s="6">
        <f>IFERROR(__xludf.DUMMYFUNCTION("""COMPUTED_VALUE"""),1.0)</f>
        <v>1</v>
      </c>
      <c r="G2913" s="6">
        <f>IFERROR(__xludf.DUMMYFUNCTION("""COMPUTED_VALUE"""),0.0)</f>
        <v>0</v>
      </c>
      <c r="H2913" s="6" t="str">
        <f>IFERROR(__xludf.DUMMYFUNCTION("""COMPUTED_VALUE"""),"Pcs")</f>
        <v>Pcs</v>
      </c>
      <c r="I2913" s="6" t="str">
        <f>IFERROR(__xludf.DUMMYFUNCTION("""COMPUTED_VALUE"""),"MFH")</f>
        <v>MFH</v>
      </c>
      <c r="J2913" s="6" t="str">
        <f>IFERROR(__xludf.DUMMYFUNCTION("""COMPUTED_VALUE"""),"FD")</f>
        <v>FD</v>
      </c>
      <c r="K2913" s="6" t="str">
        <f>IFERROR(__xludf.DUMMYFUNCTION("""COMPUTED_VALUE"""),"SPR/25/12/062")</f>
        <v>SPR/25/12/062</v>
      </c>
      <c r="L2913" s="58">
        <f>IFERROR(__xludf.DUMMYFUNCTION("""COMPUTED_VALUE"""),46022.0)</f>
        <v>46022</v>
      </c>
    </row>
    <row r="2914">
      <c r="A2914" s="6" t="str">
        <f>IFERROR(__xludf.DUMMYFUNCTION("""COMPUTED_VALUE"""),"NDS")</f>
        <v>NDS</v>
      </c>
      <c r="B2914" s="6" t="str">
        <f>IFERROR(__xludf.DUMMYFUNCTION("""COMPUTED_VALUE"""),"ENG")</f>
        <v>ENG</v>
      </c>
      <c r="C2914" s="6" t="str">
        <f>IFERROR(__xludf.DUMMYFUNCTION("""COMPUTED_VALUE"""),"O-20751-00")</f>
        <v>O-20751-00</v>
      </c>
      <c r="D2914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2914" s="6">
        <f>IFERROR(__xludf.DUMMYFUNCTION("""COMPUTED_VALUE"""),6.0)</f>
        <v>6</v>
      </c>
      <c r="F2914" s="6">
        <f>IFERROR(__xludf.DUMMYFUNCTION("""COMPUTED_VALUE"""),6.0)</f>
        <v>6</v>
      </c>
      <c r="G2914" s="6">
        <f>IFERROR(__xludf.DUMMYFUNCTION("""COMPUTED_VALUE"""),0.0)</f>
        <v>0</v>
      </c>
      <c r="H2914" s="6" t="str">
        <f>IFERROR(__xludf.DUMMYFUNCTION("""COMPUTED_VALUE"""),"Pcs")</f>
        <v>Pcs</v>
      </c>
      <c r="I2914" s="6" t="str">
        <f>IFERROR(__xludf.DUMMYFUNCTION("""COMPUTED_VALUE"""),"MFH")</f>
        <v>MFH</v>
      </c>
      <c r="J2914" s="6" t="str">
        <f>IFERROR(__xludf.DUMMYFUNCTION("""COMPUTED_VALUE"""),"Cartonning")</f>
        <v>Cartonning</v>
      </c>
      <c r="K2914" s="6" t="str">
        <f>IFERROR(__xludf.DUMMYFUNCTION("""COMPUTED_VALUE"""),"SPR/25/12/062")</f>
        <v>SPR/25/12/062</v>
      </c>
      <c r="L2914" s="58">
        <f>IFERROR(__xludf.DUMMYFUNCTION("""COMPUTED_VALUE"""),46022.0)</f>
        <v>46022</v>
      </c>
    </row>
    <row r="2915">
      <c r="A2915" s="6" t="str">
        <f>IFERROR(__xludf.DUMMYFUNCTION("""COMPUTED_VALUE"""),"NDS")</f>
        <v>NDS</v>
      </c>
      <c r="B2915" s="6" t="str">
        <f>IFERROR(__xludf.DUMMYFUNCTION("""COMPUTED_VALUE"""),"ENG")</f>
        <v>ENG</v>
      </c>
      <c r="C2915" s="6" t="str">
        <f>IFERROR(__xludf.DUMMYFUNCTION("""COMPUTED_VALUE"""),"-")</f>
        <v>-</v>
      </c>
      <c r="D2915" s="6" t="str">
        <f>IFERROR(__xludf.DUMMYFUNCTION("""COMPUTED_VALUE"""),"Belt Sealer")</f>
        <v>Belt Sealer</v>
      </c>
      <c r="E2915" s="6">
        <f>IFERROR(__xludf.DUMMYFUNCTION("""COMPUTED_VALUE"""),1.0)</f>
        <v>1</v>
      </c>
      <c r="F2915" s="6">
        <f>IFERROR(__xludf.DUMMYFUNCTION("""COMPUTED_VALUE"""),1.0)</f>
        <v>1</v>
      </c>
      <c r="G2915" s="6">
        <f>IFERROR(__xludf.DUMMYFUNCTION("""COMPUTED_VALUE"""),0.0)</f>
        <v>0</v>
      </c>
      <c r="H2915" s="6" t="str">
        <f>IFERROR(__xludf.DUMMYFUNCTION("""COMPUTED_VALUE"""),"Pcs")</f>
        <v>Pcs</v>
      </c>
      <c r="I2915" s="6" t="str">
        <f>IFERROR(__xludf.DUMMYFUNCTION("""COMPUTED_VALUE"""),"MFH")</f>
        <v>MFH</v>
      </c>
      <c r="J2915" s="6" t="str">
        <f>IFERROR(__xludf.DUMMYFUNCTION("""COMPUTED_VALUE"""),"Carton Sealer")</f>
        <v>Carton Sealer</v>
      </c>
      <c r="K2915" s="6" t="str">
        <f>IFERROR(__xludf.DUMMYFUNCTION("""COMPUTED_VALUE"""),"SPR/25/12/062")</f>
        <v>SPR/25/12/062</v>
      </c>
      <c r="L2915" s="58">
        <f>IFERROR(__xludf.DUMMYFUNCTION("""COMPUTED_VALUE"""),46022.0)</f>
        <v>46022</v>
      </c>
    </row>
    <row r="2916">
      <c r="A2916" s="6" t="str">
        <f>IFERROR(__xludf.DUMMYFUNCTION("""COMPUTED_VALUE"""),"INN")</f>
        <v>INN</v>
      </c>
      <c r="B2916" s="6" t="str">
        <f>IFERROR(__xludf.DUMMYFUNCTION("""COMPUTED_VALUE"""),"ENG")</f>
        <v>ENG</v>
      </c>
      <c r="C2916" s="6" t="str">
        <f>IFERROR(__xludf.DUMMYFUNCTION("""COMPUTED_VALUE"""),"P-15834-00")</f>
        <v>P-15834-00</v>
      </c>
      <c r="D2916" s="6" t="str">
        <f>IFERROR(__xludf.DUMMYFUNCTION("""COMPUTED_VALUE"""),"SMC - Pressure Filter Regulator Auto Drain AW40-40DG-A; ; ;")</f>
        <v>SMC - Pressure Filter Regulator Auto Drain AW40-40DG-A; ; ;</v>
      </c>
      <c r="E2916" s="6">
        <f>IFERROR(__xludf.DUMMYFUNCTION("""COMPUTED_VALUE"""),1.0)</f>
        <v>1</v>
      </c>
      <c r="F2916" s="6">
        <f>IFERROR(__xludf.DUMMYFUNCTION("""COMPUTED_VALUE"""),1.0)</f>
        <v>1</v>
      </c>
      <c r="G2916" s="6">
        <f>IFERROR(__xludf.DUMMYFUNCTION("""COMPUTED_VALUE"""),0.0)</f>
        <v>0</v>
      </c>
      <c r="H2916" s="6" t="str">
        <f>IFERROR(__xludf.DUMMYFUNCTION("""COMPUTED_VALUE"""),"Pcs")</f>
        <v>Pcs</v>
      </c>
      <c r="I2916" s="6" t="str">
        <f>IFERROR(__xludf.DUMMYFUNCTION("""COMPUTED_VALUE"""),"MFH")</f>
        <v>MFH</v>
      </c>
      <c r="J2916" s="6" t="str">
        <f>IFERROR(__xludf.DUMMYFUNCTION("""COMPUTED_VALUE"""),"FD")</f>
        <v>FD</v>
      </c>
      <c r="K2916" s="6" t="str">
        <f>IFERROR(__xludf.DUMMYFUNCTION("""COMPUTED_VALUE"""),"SPR/25/12/063")</f>
        <v>SPR/25/12/063</v>
      </c>
      <c r="L2916" s="58">
        <f>IFERROR(__xludf.DUMMYFUNCTION("""COMPUTED_VALUE"""),46022.0)</f>
        <v>46022</v>
      </c>
    </row>
    <row r="2917">
      <c r="A2917" s="6" t="str">
        <f>IFERROR(__xludf.DUMMYFUNCTION("""COMPUTED_VALUE"""),"INN")</f>
        <v>INN</v>
      </c>
      <c r="B2917" s="6" t="str">
        <f>IFERROR(__xludf.DUMMYFUNCTION("""COMPUTED_VALUE"""),"ENG")</f>
        <v>ENG</v>
      </c>
      <c r="C2917" s="6" t="str">
        <f>IFERROR(__xludf.DUMMYFUNCTION("""COMPUTED_VALUE"""),"P-11182-00")</f>
        <v>P-11182-00</v>
      </c>
      <c r="D2917" s="6" t="str">
        <f>IFERROR(__xludf.DUMMYFUNCTION("""COMPUTED_VALUE"""),"Pneumatic Fitting - QS 6 / Festo")</f>
        <v>Pneumatic Fitting - QS 6 / Festo</v>
      </c>
      <c r="E2917" s="6">
        <f>IFERROR(__xludf.DUMMYFUNCTION("""COMPUTED_VALUE"""),1.0)</f>
        <v>1</v>
      </c>
      <c r="F2917" s="6">
        <f>IFERROR(__xludf.DUMMYFUNCTION("""COMPUTED_VALUE"""),1.0)</f>
        <v>1</v>
      </c>
      <c r="G2917" s="6">
        <f>IFERROR(__xludf.DUMMYFUNCTION("""COMPUTED_VALUE"""),0.0)</f>
        <v>0</v>
      </c>
      <c r="H2917" s="6" t="str">
        <f>IFERROR(__xludf.DUMMYFUNCTION("""COMPUTED_VALUE"""),"Pcs")</f>
        <v>Pcs</v>
      </c>
      <c r="I2917" s="6" t="str">
        <f>IFERROR(__xludf.DUMMYFUNCTION("""COMPUTED_VALUE"""),"MFH")</f>
        <v>MFH</v>
      </c>
      <c r="J2917" s="6" t="str">
        <f>IFERROR(__xludf.DUMMYFUNCTION("""COMPUTED_VALUE"""),"FD")</f>
        <v>FD</v>
      </c>
      <c r="K2917" s="6" t="str">
        <f>IFERROR(__xludf.DUMMYFUNCTION("""COMPUTED_VALUE"""),"SPR/25/12/063")</f>
        <v>SPR/25/12/063</v>
      </c>
      <c r="L2917" s="58">
        <f>IFERROR(__xludf.DUMMYFUNCTION("""COMPUTED_VALUE"""),46022.0)</f>
        <v>46022</v>
      </c>
    </row>
    <row r="2918">
      <c r="A2918" s="6" t="str">
        <f>IFERROR(__xludf.DUMMYFUNCTION("""COMPUTED_VALUE"""),"BDU")</f>
        <v>BDU</v>
      </c>
      <c r="B2918" s="6" t="str">
        <f>IFERROR(__xludf.DUMMYFUNCTION("""COMPUTED_VALUE"""),"ENG")</f>
        <v>ENG</v>
      </c>
      <c r="C2918" s="6" t="str">
        <f>IFERROR(__xludf.DUMMYFUNCTION("""COMPUTED_VALUE"""),"P-50099-00")</f>
        <v>P-50099-00</v>
      </c>
      <c r="D2918" s="6" t="str">
        <f>IFERROR(__xludf.DUMMYFUNCTION("""COMPUTED_VALUE"""),"General - MCB IC6ON 1P 10A; Schneider; -; 1 pcs")</f>
        <v>General - MCB IC6ON 1P 10A; Schneider; -; 1 pcs</v>
      </c>
      <c r="E2918" s="6">
        <f>IFERROR(__xludf.DUMMYFUNCTION("""COMPUTED_VALUE"""),1.0)</f>
        <v>1</v>
      </c>
      <c r="F2918" s="6">
        <f>IFERROR(__xludf.DUMMYFUNCTION("""COMPUTED_VALUE"""),1.0)</f>
        <v>1</v>
      </c>
      <c r="G2918" s="6">
        <f>IFERROR(__xludf.DUMMYFUNCTION("""COMPUTED_VALUE"""),0.0)</f>
        <v>0</v>
      </c>
      <c r="H2918" s="6" t="str">
        <f>IFERROR(__xludf.DUMMYFUNCTION("""COMPUTED_VALUE"""),"Pcs")</f>
        <v>Pcs</v>
      </c>
      <c r="I2918" s="6" t="str">
        <f>IFERROR(__xludf.DUMMYFUNCTION("""COMPUTED_VALUE"""),"MFH")</f>
        <v>MFH</v>
      </c>
      <c r="J2918" s="6" t="str">
        <f>IFERROR(__xludf.DUMMYFUNCTION("""COMPUTED_VALUE"""),"Lab")</f>
        <v>Lab</v>
      </c>
      <c r="K2918" s="6" t="str">
        <f>IFERROR(__xludf.DUMMYFUNCTION("""COMPUTED_VALUE"""),"SPR/25/12/064")</f>
        <v>SPR/25/12/064</v>
      </c>
      <c r="L2918" s="58">
        <f>IFERROR(__xludf.DUMMYFUNCTION("""COMPUTED_VALUE"""),46022.0)</f>
        <v>46022</v>
      </c>
    </row>
    <row r="2919">
      <c r="A2919" s="6" t="str">
        <f>IFERROR(__xludf.DUMMYFUNCTION("""COMPUTED_VALUE"""),"BDU")</f>
        <v>BDU</v>
      </c>
      <c r="B2919" s="6" t="str">
        <f>IFERROR(__xludf.DUMMYFUNCTION("""COMPUTED_VALUE"""),"ENG")</f>
        <v>ENG</v>
      </c>
      <c r="C2919" s="6" t="str">
        <f>IFERROR(__xludf.DUMMYFUNCTION("""COMPUTED_VALUE"""),"P-20188-00")</f>
        <v>P-20188-00</v>
      </c>
      <c r="D2919" s="6" t="str">
        <f>IFERROR(__xludf.DUMMYFUNCTION("""COMPUTED_VALUE"""),"General - Solenoid 2 Way; EMC; 2V025-08; 1 pc")</f>
        <v>General - Solenoid 2 Way; EMC; 2V025-08; 1 pc</v>
      </c>
      <c r="E2919" s="6">
        <f>IFERROR(__xludf.DUMMYFUNCTION("""COMPUTED_VALUE"""),2.0)</f>
        <v>2</v>
      </c>
      <c r="F2919" s="6">
        <f>IFERROR(__xludf.DUMMYFUNCTION("""COMPUTED_VALUE"""),2.0)</f>
        <v>2</v>
      </c>
      <c r="G2919" s="6">
        <f>IFERROR(__xludf.DUMMYFUNCTION("""COMPUTED_VALUE"""),0.0)</f>
        <v>0</v>
      </c>
      <c r="H2919" s="6" t="str">
        <f>IFERROR(__xludf.DUMMYFUNCTION("""COMPUTED_VALUE"""),"Pcs")</f>
        <v>Pcs</v>
      </c>
      <c r="I2919" s="6" t="str">
        <f>IFERROR(__xludf.DUMMYFUNCTION("""COMPUTED_VALUE"""),"MFH")</f>
        <v>MFH</v>
      </c>
      <c r="J2919" s="6" t="str">
        <f>IFERROR(__xludf.DUMMYFUNCTION("""COMPUTED_VALUE"""),"Lab")</f>
        <v>Lab</v>
      </c>
      <c r="K2919" s="6" t="str">
        <f>IFERROR(__xludf.DUMMYFUNCTION("""COMPUTED_VALUE"""),"SPR/25/12/064")</f>
        <v>SPR/25/12/064</v>
      </c>
      <c r="L2919" s="58">
        <f>IFERROR(__xludf.DUMMYFUNCTION("""COMPUTED_VALUE"""),46022.0)</f>
        <v>46022</v>
      </c>
    </row>
    <row r="2920">
      <c r="A2920" s="6" t="str">
        <f>IFERROR(__xludf.DUMMYFUNCTION("""COMPUTED_VALUE"""),"BDU")</f>
        <v>BDU</v>
      </c>
      <c r="B2920" s="6" t="str">
        <f>IFERROR(__xludf.DUMMYFUNCTION("""COMPUTED_VALUE"""),"ENG")</f>
        <v>ENG</v>
      </c>
      <c r="C2920" s="6" t="str">
        <f>IFERROR(__xludf.DUMMYFUNCTION("""COMPUTED_VALUE"""),"-")</f>
        <v>-</v>
      </c>
      <c r="D2920" s="6" t="str">
        <f>IFERROR(__xludf.DUMMYFUNCTION("""COMPUTED_VALUE"""),"Din Rail")</f>
        <v>Din Rail</v>
      </c>
      <c r="E2920" s="6">
        <f>IFERROR(__xludf.DUMMYFUNCTION("""COMPUTED_VALUE"""),1.0)</f>
        <v>1</v>
      </c>
      <c r="F2920" s="6">
        <f>IFERROR(__xludf.DUMMYFUNCTION("""COMPUTED_VALUE"""),1.0)</f>
        <v>1</v>
      </c>
      <c r="G2920" s="6">
        <f>IFERROR(__xludf.DUMMYFUNCTION("""COMPUTED_VALUE"""),0.0)</f>
        <v>0</v>
      </c>
      <c r="H2920" s="6" t="str">
        <f>IFERROR(__xludf.DUMMYFUNCTION("""COMPUTED_VALUE"""),"Pcs")</f>
        <v>Pcs</v>
      </c>
      <c r="I2920" s="6" t="str">
        <f>IFERROR(__xludf.DUMMYFUNCTION("""COMPUTED_VALUE"""),"MFH")</f>
        <v>MFH</v>
      </c>
      <c r="J2920" s="6" t="str">
        <f>IFERROR(__xludf.DUMMYFUNCTION("""COMPUTED_VALUE"""),"Lab")</f>
        <v>Lab</v>
      </c>
      <c r="K2920" s="6" t="str">
        <f>IFERROR(__xludf.DUMMYFUNCTION("""COMPUTED_VALUE"""),"SPR/25/12/064")</f>
        <v>SPR/25/12/064</v>
      </c>
      <c r="L2920" s="58">
        <f>IFERROR(__xludf.DUMMYFUNCTION("""COMPUTED_VALUE"""),46022.0)</f>
        <v>46022</v>
      </c>
    </row>
    <row r="2921">
      <c r="A2921" s="6" t="str">
        <f>IFERROR(__xludf.DUMMYFUNCTION("""COMPUTED_VALUE"""),"INN")</f>
        <v>INN</v>
      </c>
      <c r="B2921" s="6" t="str">
        <f>IFERROR(__xludf.DUMMYFUNCTION("""COMPUTED_VALUE"""),"ENG")</f>
        <v>ENG</v>
      </c>
      <c r="C2921" s="6" t="str">
        <f>IFERROR(__xludf.DUMMYFUNCTION("""COMPUTED_VALUE"""),"P-11185-00")</f>
        <v>P-11185-00</v>
      </c>
      <c r="D2921" s="6" t="str">
        <f>IFERROR(__xludf.DUMMYFUNCTION("""COMPUTED_VALUE"""),"General - Push-in Connector, QS-8-6; Festo; 153038; 1 pcs")</f>
        <v>General - Push-in Connector, QS-8-6; Festo; 153038; 1 pcs</v>
      </c>
      <c r="E2921" s="6">
        <f>IFERROR(__xludf.DUMMYFUNCTION("""COMPUTED_VALUE"""),2.0)</f>
        <v>2</v>
      </c>
      <c r="F2921" s="6">
        <f>IFERROR(__xludf.DUMMYFUNCTION("""COMPUTED_VALUE"""),2.0)</f>
        <v>2</v>
      </c>
      <c r="G2921" s="6">
        <f>IFERROR(__xludf.DUMMYFUNCTION("""COMPUTED_VALUE"""),0.0)</f>
        <v>0</v>
      </c>
      <c r="H2921" s="6" t="str">
        <f>IFERROR(__xludf.DUMMYFUNCTION("""COMPUTED_VALUE"""),"Pcs")</f>
        <v>Pcs</v>
      </c>
      <c r="I2921" s="6" t="str">
        <f>IFERROR(__xludf.DUMMYFUNCTION("""COMPUTED_VALUE"""),"MFH")</f>
        <v>MFH</v>
      </c>
      <c r="J2921" s="6" t="str">
        <f>IFERROR(__xludf.DUMMYFUNCTION("""COMPUTED_VALUE"""),"FD")</f>
        <v>FD</v>
      </c>
      <c r="K2921" s="6" t="str">
        <f>IFERROR(__xludf.DUMMYFUNCTION("""COMPUTED_VALUE"""),"SPR/25/12/065")</f>
        <v>SPR/25/12/065</v>
      </c>
      <c r="L2921" s="58">
        <f>IFERROR(__xludf.DUMMYFUNCTION("""COMPUTED_VALUE"""),46022.0)</f>
        <v>46022</v>
      </c>
    </row>
    <row r="2922">
      <c r="A2922" s="6" t="str">
        <f>IFERROR(__xludf.DUMMYFUNCTION("""COMPUTED_VALUE"""),"NDS")</f>
        <v>NDS</v>
      </c>
      <c r="B2922" s="6" t="str">
        <f>IFERROR(__xludf.DUMMYFUNCTION("""COMPUTED_VALUE"""),"ENG")</f>
        <v>ENG</v>
      </c>
      <c r="C2922" s="6" t="str">
        <f>IFERROR(__xludf.DUMMYFUNCTION("""COMPUTED_VALUE"""),"O-53033-00")</f>
        <v>O-53033-00</v>
      </c>
      <c r="D2922" s="6" t="str">
        <f>IFERROR(__xludf.DUMMYFUNCTION("""COMPUTED_VALUE"""),"Saklar Switch Lampu ZN On Off Kaki 4 Kaki Pin 15-20ALokal")</f>
        <v>Saklar Switch Lampu ZN On Off Kaki 4 Kaki Pin 15-20ALokal</v>
      </c>
      <c r="E2922" s="6">
        <f>IFERROR(__xludf.DUMMYFUNCTION("""COMPUTED_VALUE"""),3.0)</f>
        <v>3</v>
      </c>
      <c r="F2922" s="6">
        <f>IFERROR(__xludf.DUMMYFUNCTION("""COMPUTED_VALUE"""),3.0)</f>
        <v>3</v>
      </c>
      <c r="G2922" s="6">
        <f>IFERROR(__xludf.DUMMYFUNCTION("""COMPUTED_VALUE"""),0.0)</f>
        <v>0</v>
      </c>
      <c r="H2922" s="6" t="str">
        <f>IFERROR(__xludf.DUMMYFUNCTION("""COMPUTED_VALUE"""),"Pcs")</f>
        <v>Pcs</v>
      </c>
      <c r="I2922" s="6" t="str">
        <f>IFERROR(__xludf.DUMMYFUNCTION("""COMPUTED_VALUE"""),"MFH")</f>
        <v>MFH</v>
      </c>
      <c r="J2922" s="6" t="str">
        <f>IFERROR(__xludf.DUMMYFUNCTION("""COMPUTED_VALUE"""),"-")</f>
        <v>-</v>
      </c>
      <c r="K2922" s="6" t="str">
        <f>IFERROR(__xludf.DUMMYFUNCTION("""COMPUTED_VALUE"""),"SPR/25/12/066")</f>
        <v>SPR/25/12/066</v>
      </c>
      <c r="L2922" s="58">
        <f>IFERROR(__xludf.DUMMYFUNCTION("""COMPUTED_VALUE"""),46022.0)</f>
        <v>46022</v>
      </c>
    </row>
    <row r="2923">
      <c r="A2923" s="6" t="str">
        <f>IFERROR(__xludf.DUMMYFUNCTION("""COMPUTED_VALUE"""),"INN")</f>
        <v>INN</v>
      </c>
      <c r="B2923" s="6" t="str">
        <f>IFERROR(__xludf.DUMMYFUNCTION("""COMPUTED_VALUE"""),"ENG")</f>
        <v>ENG</v>
      </c>
      <c r="C2923" s="6" t="str">
        <f>IFERROR(__xludf.DUMMYFUNCTION("""COMPUTED_VALUE"""),"P-50717-00")</f>
        <v>P-50717-00</v>
      </c>
      <c r="D2923" s="6" t="str">
        <f>IFERROR(__xludf.DUMMYFUNCTION("""COMPUTED_VALUE"""),"Kabel UTP 4 pairs Cat 6 merk BELDEN")</f>
        <v>Kabel UTP 4 pairs Cat 6 merk BELDEN</v>
      </c>
      <c r="E2923" s="6">
        <f>IFERROR(__xludf.DUMMYFUNCTION("""COMPUTED_VALUE"""),1.0)</f>
        <v>1</v>
      </c>
      <c r="F2923" s="6">
        <f>IFERROR(__xludf.DUMMYFUNCTION("""COMPUTED_VALUE"""),1.0)</f>
        <v>1</v>
      </c>
      <c r="G2923" s="6">
        <f>IFERROR(__xludf.DUMMYFUNCTION("""COMPUTED_VALUE"""),0.0)</f>
        <v>0</v>
      </c>
      <c r="H2923" s="6" t="str">
        <f>IFERROR(__xludf.DUMMYFUNCTION("""COMPUTED_VALUE"""),"Roll")</f>
        <v>Roll</v>
      </c>
      <c r="I2923" s="6" t="str">
        <f>IFERROR(__xludf.DUMMYFUNCTION("""COMPUTED_VALUE"""),"MFH")</f>
        <v>MFH</v>
      </c>
      <c r="J2923" s="6" t="str">
        <f>IFERROR(__xludf.DUMMYFUNCTION("""COMPUTED_VALUE"""),"FD")</f>
        <v>FD</v>
      </c>
      <c r="K2923" s="6" t="str">
        <f>IFERROR(__xludf.DUMMYFUNCTION("""COMPUTED_VALUE"""),"SPR/25/12/067")</f>
        <v>SPR/25/12/067</v>
      </c>
      <c r="L2923" s="58">
        <f>IFERROR(__xludf.DUMMYFUNCTION("""COMPUTED_VALUE"""),46022.0)</f>
        <v>46022</v>
      </c>
    </row>
    <row r="2924">
      <c r="A2924" s="6" t="str">
        <f>IFERROR(__xludf.DUMMYFUNCTION("""COMPUTED_VALUE"""),"INN")</f>
        <v>INN</v>
      </c>
      <c r="B2924" s="6" t="str">
        <f>IFERROR(__xludf.DUMMYFUNCTION("""COMPUTED_VALUE"""),"ENG")</f>
        <v>ENG</v>
      </c>
      <c r="C2924" s="6" t="str">
        <f>IFERROR(__xludf.DUMMYFUNCTION("""COMPUTED_VALUE"""),"P-11428-00")</f>
        <v>P-11428-00</v>
      </c>
      <c r="D2924" s="6" t="str">
        <f>IFERROR(__xludf.DUMMYFUNCTION("""COMPUTED_VALUE"""),"Selang Festo Pun-H-6x1 Blue")</f>
        <v>Selang Festo Pun-H-6x1 Blue</v>
      </c>
      <c r="E2924" s="6">
        <f>IFERROR(__xludf.DUMMYFUNCTION("""COMPUTED_VALUE"""),1.0)</f>
        <v>1</v>
      </c>
      <c r="F2924" s="6">
        <f>IFERROR(__xludf.DUMMYFUNCTION("""COMPUTED_VALUE"""),1.0)</f>
        <v>1</v>
      </c>
      <c r="G2924" s="6">
        <f>IFERROR(__xludf.DUMMYFUNCTION("""COMPUTED_VALUE"""),0.0)</f>
        <v>0</v>
      </c>
      <c r="H2924" s="6" t="str">
        <f>IFERROR(__xludf.DUMMYFUNCTION("""COMPUTED_VALUE"""),"Roll")</f>
        <v>Roll</v>
      </c>
      <c r="I2924" s="6" t="str">
        <f>IFERROR(__xludf.DUMMYFUNCTION("""COMPUTED_VALUE"""),"MFH")</f>
        <v>MFH</v>
      </c>
      <c r="J2924" s="6" t="str">
        <f>IFERROR(__xludf.DUMMYFUNCTION("""COMPUTED_VALUE"""),"FD")</f>
        <v>FD</v>
      </c>
      <c r="K2924" s="6" t="str">
        <f>IFERROR(__xludf.DUMMYFUNCTION("""COMPUTED_VALUE"""),"SPR/25/12/067")</f>
        <v>SPR/25/12/067</v>
      </c>
      <c r="L2924" s="58">
        <f>IFERROR(__xludf.DUMMYFUNCTION("""COMPUTED_VALUE"""),46022.0)</f>
        <v>46022</v>
      </c>
    </row>
    <row r="2925">
      <c r="A2925" s="6" t="str">
        <f>IFERROR(__xludf.DUMMYFUNCTION("""COMPUTED_VALUE"""),"ROS")</f>
        <v>ROS</v>
      </c>
      <c r="B2925" s="6" t="str">
        <f>IFERROR(__xludf.DUMMYFUNCTION("""COMPUTED_VALUE"""),"ENG")</f>
        <v>ENG</v>
      </c>
      <c r="C2925" s="6" t="str">
        <f>IFERROR(__xludf.DUMMYFUNCTION("""COMPUTED_VALUE"""),"O-16647-00")</f>
        <v>O-16647-00</v>
      </c>
      <c r="D2925" s="6" t="str">
        <f>IFERROR(__xludf.DUMMYFUNCTION("""COMPUTED_VALUE"""),"Washing RAR4 - Oring Silicone Merah 23x18x2.5 mm; ; ;")</f>
        <v>Washing RAR4 - Oring Silicone Merah 23x18x2.5 mm; ; ;</v>
      </c>
      <c r="E2925" s="6">
        <f>IFERROR(__xludf.DUMMYFUNCTION("""COMPUTED_VALUE"""),10.0)</f>
        <v>10</v>
      </c>
      <c r="F2925" s="6">
        <f>IFERROR(__xludf.DUMMYFUNCTION("""COMPUTED_VALUE"""),10.0)</f>
        <v>10</v>
      </c>
      <c r="G2925" s="6">
        <f>IFERROR(__xludf.DUMMYFUNCTION("""COMPUTED_VALUE"""),0.0)</f>
        <v>0</v>
      </c>
      <c r="H2925" s="6" t="str">
        <f>IFERROR(__xludf.DUMMYFUNCTION("""COMPUTED_VALUE"""),"Pcs")</f>
        <v>Pcs</v>
      </c>
      <c r="I2925" s="6" t="str">
        <f>IFERROR(__xludf.DUMMYFUNCTION("""COMPUTED_VALUE"""),"MFH")</f>
        <v>MFH</v>
      </c>
      <c r="J2925" s="6" t="str">
        <f>IFERROR(__xludf.DUMMYFUNCTION("""COMPUTED_VALUE"""),"Capping")</f>
        <v>Capping</v>
      </c>
      <c r="K2925" s="6" t="str">
        <f>IFERROR(__xludf.DUMMYFUNCTION("""COMPUTED_VALUE"""),"SPR/25/12/068")</f>
        <v>SPR/25/12/068</v>
      </c>
      <c r="L2925" s="58">
        <f>IFERROR(__xludf.DUMMYFUNCTION("""COMPUTED_VALUE"""),46022.0)</f>
        <v>46022</v>
      </c>
    </row>
    <row r="2926">
      <c r="A2926" s="6" t="str">
        <f>IFERROR(__xludf.DUMMYFUNCTION("""COMPUTED_VALUE"""),"ROS")</f>
        <v>ROS</v>
      </c>
      <c r="B2926" s="6" t="str">
        <f>IFERROR(__xludf.DUMMYFUNCTION("""COMPUTED_VALUE"""),"ENG")</f>
        <v>ENG</v>
      </c>
      <c r="C2926" s="6" t="str">
        <f>IFERROR(__xludf.DUMMYFUNCTION("""COMPUTED_VALUE"""),"P-52110-00")</f>
        <v>P-52110-00</v>
      </c>
      <c r="D2926" s="6" t="str">
        <f>IFERROR(__xludf.DUMMYFUNCTION("""COMPUTED_VALUE"""),"CAPACITOR 5 uF, 500 V, 50/60 Hz; ; ;")</f>
        <v>CAPACITOR 5 uF, 500 V, 50/60 Hz; ; ;</v>
      </c>
      <c r="E2926" s="6">
        <f>IFERROR(__xludf.DUMMYFUNCTION("""COMPUTED_VALUE"""),1.0)</f>
        <v>1</v>
      </c>
      <c r="F2926" s="6">
        <f>IFERROR(__xludf.DUMMYFUNCTION("""COMPUTED_VALUE"""),1.0)</f>
        <v>1</v>
      </c>
      <c r="G2926" s="6">
        <f>IFERROR(__xludf.DUMMYFUNCTION("""COMPUTED_VALUE"""),0.0)</f>
        <v>0</v>
      </c>
      <c r="H2926" s="6" t="str">
        <f>IFERROR(__xludf.DUMMYFUNCTION("""COMPUTED_VALUE"""),"Pcs")</f>
        <v>Pcs</v>
      </c>
      <c r="I2926" s="6" t="str">
        <f>IFERROR(__xludf.DUMMYFUNCTION("""COMPUTED_VALUE"""),"MFH")</f>
        <v>MFH</v>
      </c>
      <c r="J2926" s="6" t="str">
        <f>IFERROR(__xludf.DUMMYFUNCTION("""COMPUTED_VALUE"""),"WIHC")</f>
        <v>WIHC</v>
      </c>
      <c r="K2926" s="6" t="str">
        <f>IFERROR(__xludf.DUMMYFUNCTION("""COMPUTED_VALUE"""),"SPR/25/12/068")</f>
        <v>SPR/25/12/068</v>
      </c>
      <c r="L2926" s="58">
        <f>IFERROR(__xludf.DUMMYFUNCTION("""COMPUTED_VALUE"""),46022.0)</f>
        <v>46022</v>
      </c>
    </row>
    <row r="2927">
      <c r="A2927" s="6" t="str">
        <f>IFERROR(__xludf.DUMMYFUNCTION("""COMPUTED_VALUE"""),"ROS")</f>
        <v>ROS</v>
      </c>
      <c r="B2927" s="6" t="str">
        <f>IFERROR(__xludf.DUMMYFUNCTION("""COMPUTED_VALUE"""),"ENG")</f>
        <v>ENG</v>
      </c>
      <c r="C2927" s="6" t="str">
        <f>IFERROR(__xludf.DUMMYFUNCTION("""COMPUTED_VALUE"""),"P-51027-00")</f>
        <v>P-51027-00</v>
      </c>
      <c r="D2927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2927" s="6">
        <f>IFERROR(__xludf.DUMMYFUNCTION("""COMPUTED_VALUE"""),1.0)</f>
        <v>1</v>
      </c>
      <c r="F2927" s="6">
        <f>IFERROR(__xludf.DUMMYFUNCTION("""COMPUTED_VALUE"""),1.0)</f>
        <v>1</v>
      </c>
      <c r="G2927" s="6">
        <f>IFERROR(__xludf.DUMMYFUNCTION("""COMPUTED_VALUE"""),0.0)</f>
        <v>0</v>
      </c>
      <c r="H2927" s="6" t="str">
        <f>IFERROR(__xludf.DUMMYFUNCTION("""COMPUTED_VALUE"""),"Pcs")</f>
        <v>Pcs</v>
      </c>
      <c r="I2927" s="6" t="str">
        <f>IFERROR(__xludf.DUMMYFUNCTION("""COMPUTED_VALUE"""),"MFH")</f>
        <v>MFH</v>
      </c>
      <c r="J2927" s="6" t="str">
        <f>IFERROR(__xludf.DUMMYFUNCTION("""COMPUTED_VALUE"""),"WIHC")</f>
        <v>WIHC</v>
      </c>
      <c r="K2927" s="6" t="str">
        <f>IFERROR(__xludf.DUMMYFUNCTION("""COMPUTED_VALUE"""),"SPR/25/12/068")</f>
        <v>SPR/25/12/068</v>
      </c>
      <c r="L2927" s="58">
        <f>IFERROR(__xludf.DUMMYFUNCTION("""COMPUTED_VALUE"""),46022.0)</f>
        <v>46022</v>
      </c>
    </row>
    <row r="2928">
      <c r="A2928" s="6" t="str">
        <f>IFERROR(__xludf.DUMMYFUNCTION("""COMPUTED_VALUE"""),"ROS")</f>
        <v>ROS</v>
      </c>
      <c r="B2928" s="6" t="str">
        <f>IFERROR(__xludf.DUMMYFUNCTION("""COMPUTED_VALUE"""),"ENG")</f>
        <v>ENG</v>
      </c>
      <c r="C2928" s="6" t="str">
        <f>IFERROR(__xludf.DUMMYFUNCTION("""COMPUTED_VALUE"""),"O-20289-00")</f>
        <v>O-20289-00</v>
      </c>
      <c r="D2928" s="6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E2928" s="6">
        <f>IFERROR(__xludf.DUMMYFUNCTION("""COMPUTED_VALUE"""),1.0)</f>
        <v>1</v>
      </c>
      <c r="F2928" s="6">
        <f>IFERROR(__xludf.DUMMYFUNCTION("""COMPUTED_VALUE"""),1.0)</f>
        <v>1</v>
      </c>
      <c r="G2928" s="6">
        <f>IFERROR(__xludf.DUMMYFUNCTION("""COMPUTED_VALUE"""),0.0)</f>
        <v>0</v>
      </c>
      <c r="H2928" s="6" t="str">
        <f>IFERROR(__xludf.DUMMYFUNCTION("""COMPUTED_VALUE"""),"Pcs")</f>
        <v>Pcs</v>
      </c>
      <c r="I2928" s="6" t="str">
        <f>IFERROR(__xludf.DUMMYFUNCTION("""COMPUTED_VALUE"""),"MFH")</f>
        <v>MFH</v>
      </c>
      <c r="J2928" s="6" t="str">
        <f>IFERROR(__xludf.DUMMYFUNCTION("""COMPUTED_VALUE"""),"Capping")</f>
        <v>Capping</v>
      </c>
      <c r="K2928" s="6" t="str">
        <f>IFERROR(__xludf.DUMMYFUNCTION("""COMPUTED_VALUE"""),"SPR/25/12/069")</f>
        <v>SPR/25/12/069</v>
      </c>
      <c r="L2928" s="58">
        <f>IFERROR(__xludf.DUMMYFUNCTION("""COMPUTED_VALUE"""),46022.0)</f>
        <v>46022</v>
      </c>
    </row>
    <row r="2929">
      <c r="A2929" s="6" t="str">
        <f>IFERROR(__xludf.DUMMYFUNCTION("""COMPUTED_VALUE"""),"RIA")</f>
        <v>RIA</v>
      </c>
      <c r="B2929" s="6" t="str">
        <f>IFERROR(__xludf.DUMMYFUNCTION("""COMPUTED_VALUE"""),"ENG")</f>
        <v>ENG</v>
      </c>
      <c r="C2929" s="6" t="str">
        <f>IFERROR(__xludf.DUMMYFUNCTION("""COMPUTED_VALUE"""),"P-51889-00")</f>
        <v>P-51889-00</v>
      </c>
      <c r="D2929" s="6" t="str">
        <f>IFERROR(__xludf.DUMMYFUNCTION("""COMPUTED_VALUE"""),"Autonics - Power Supply SPA-050-24VDC; ; ;")</f>
        <v>Autonics - Power Supply SPA-050-24VDC; ; ;</v>
      </c>
      <c r="E2929" s="6">
        <f>IFERROR(__xludf.DUMMYFUNCTION("""COMPUTED_VALUE"""),1.0)</f>
        <v>1</v>
      </c>
      <c r="F2929" s="6">
        <f>IFERROR(__xludf.DUMMYFUNCTION("""COMPUTED_VALUE"""),1.0)</f>
        <v>1</v>
      </c>
      <c r="G2929" s="6">
        <f>IFERROR(__xludf.DUMMYFUNCTION("""COMPUTED_VALUE"""),0.0)</f>
        <v>0</v>
      </c>
      <c r="H2929" s="6" t="str">
        <f>IFERROR(__xludf.DUMMYFUNCTION("""COMPUTED_VALUE"""),"Pcs")</f>
        <v>Pcs</v>
      </c>
      <c r="I2929" s="6" t="str">
        <f>IFERROR(__xludf.DUMMYFUNCTION("""COMPUTED_VALUE"""),"MFH")</f>
        <v>MFH</v>
      </c>
      <c r="J2929" s="6" t="str">
        <f>IFERROR(__xludf.DUMMYFUNCTION("""COMPUTED_VALUE"""),"-")</f>
        <v>-</v>
      </c>
      <c r="K2929" s="6" t="str">
        <f>IFERROR(__xludf.DUMMYFUNCTION("""COMPUTED_VALUE"""),"SPR/25/12/070")</f>
        <v>SPR/25/12/070</v>
      </c>
      <c r="L2929" s="58">
        <f>IFERROR(__xludf.DUMMYFUNCTION("""COMPUTED_VALUE"""),46022.0)</f>
        <v>46022</v>
      </c>
    </row>
    <row r="2930">
      <c r="A2930" s="6" t="str">
        <f>IFERROR(__xludf.DUMMYFUNCTION("""COMPUTED_VALUE"""),"RIA")</f>
        <v>RIA</v>
      </c>
      <c r="B2930" s="6" t="str">
        <f>IFERROR(__xludf.DUMMYFUNCTION("""COMPUTED_VALUE"""),"ENG")</f>
        <v>ENG</v>
      </c>
      <c r="C2930" s="6" t="str">
        <f>IFERROR(__xludf.DUMMYFUNCTION("""COMPUTED_VALUE"""),"O-54014-00")</f>
        <v>O-54014-00</v>
      </c>
      <c r="D2930" s="6" t="str">
        <f>IFERROR(__xludf.DUMMYFUNCTION("""COMPUTED_VALUE"""),"STEKER 1 PHASE, BROCO")</f>
        <v>STEKER 1 PHASE, BROCO</v>
      </c>
      <c r="E2930" s="6">
        <f>IFERROR(__xludf.DUMMYFUNCTION("""COMPUTED_VALUE"""),1.0)</f>
        <v>1</v>
      </c>
      <c r="F2930" s="6">
        <f>IFERROR(__xludf.DUMMYFUNCTION("""COMPUTED_VALUE"""),1.0)</f>
        <v>1</v>
      </c>
      <c r="G2930" s="6">
        <f>IFERROR(__xludf.DUMMYFUNCTION("""COMPUTED_VALUE"""),0.0)</f>
        <v>0</v>
      </c>
      <c r="H2930" s="6" t="str">
        <f>IFERROR(__xludf.DUMMYFUNCTION("""COMPUTED_VALUE"""),"Pcs")</f>
        <v>Pcs</v>
      </c>
      <c r="I2930" s="6" t="str">
        <f>IFERROR(__xludf.DUMMYFUNCTION("""COMPUTED_VALUE"""),"MFH")</f>
        <v>MFH</v>
      </c>
      <c r="J2930" s="6" t="str">
        <f>IFERROR(__xludf.DUMMYFUNCTION("""COMPUTED_VALUE"""),"-")</f>
        <v>-</v>
      </c>
      <c r="K2930" s="6" t="str">
        <f>IFERROR(__xludf.DUMMYFUNCTION("""COMPUTED_VALUE"""),"SPR/25/12/070")</f>
        <v>SPR/25/12/070</v>
      </c>
      <c r="L2930" s="58">
        <f>IFERROR(__xludf.DUMMYFUNCTION("""COMPUTED_VALUE"""),46022.0)</f>
        <v>46022</v>
      </c>
    </row>
    <row r="2931">
      <c r="A2931" s="6" t="str">
        <f>IFERROR(__xludf.DUMMYFUNCTION("""COMPUTED_VALUE"""),"MRN")</f>
        <v>MRN</v>
      </c>
      <c r="B2931" s="6" t="str">
        <f>IFERROR(__xludf.DUMMYFUNCTION("""COMPUTED_VALUE"""),"ENG")</f>
        <v>ENG</v>
      </c>
      <c r="C2931" s="6" t="str">
        <f>IFERROR(__xludf.DUMMYFUNCTION("""COMPUTED_VALUE"""),"P-11169-00")</f>
        <v>P-11169-00</v>
      </c>
      <c r="D2931" s="6" t="str">
        <f>IFERROR(__xludf.DUMMYFUNCTION("""COMPUTED_VALUE"""),"General - Push-in Fitting, QS-1/4-6; Festo; 153003; 1 pcs")</f>
        <v>General - Push-in Fitting, QS-1/4-6; Festo; 153003; 1 pcs</v>
      </c>
      <c r="E2931" s="6">
        <f>IFERROR(__xludf.DUMMYFUNCTION("""COMPUTED_VALUE"""),1.0)</f>
        <v>1</v>
      </c>
      <c r="F2931" s="6">
        <f>IFERROR(__xludf.DUMMYFUNCTION("""COMPUTED_VALUE"""),1.0)</f>
        <v>1</v>
      </c>
      <c r="G2931" s="6">
        <f>IFERROR(__xludf.DUMMYFUNCTION("""COMPUTED_VALUE"""),0.0)</f>
        <v>0</v>
      </c>
      <c r="H2931" s="6" t="str">
        <f>IFERROR(__xludf.DUMMYFUNCTION("""COMPUTED_VALUE"""),"Pcs")</f>
        <v>Pcs</v>
      </c>
      <c r="I2931" s="6" t="str">
        <f>IFERROR(__xludf.DUMMYFUNCTION("""COMPUTED_VALUE"""),"MFH ")</f>
        <v>MFH </v>
      </c>
      <c r="J2931" s="6" t="str">
        <f>IFERROR(__xludf.DUMMYFUNCTION("""COMPUTED_VALUE"""),"Lab")</f>
        <v>Lab</v>
      </c>
      <c r="K2931" s="6" t="str">
        <f>IFERROR(__xludf.DUMMYFUNCTION("""COMPUTED_VALUE"""),"SPR/25/12/071")</f>
        <v>SPR/25/12/071</v>
      </c>
      <c r="L2931" s="58">
        <f>IFERROR(__xludf.DUMMYFUNCTION("""COMPUTED_VALUE"""),46022.0)</f>
        <v>46022</v>
      </c>
    </row>
    <row r="2932">
      <c r="A2932" s="6" t="str">
        <f>IFERROR(__xludf.DUMMYFUNCTION("""COMPUTED_VALUE"""),"MRN")</f>
        <v>MRN</v>
      </c>
      <c r="B2932" s="6" t="str">
        <f>IFERROR(__xludf.DUMMYFUNCTION("""COMPUTED_VALUE"""),"ENG")</f>
        <v>ENG</v>
      </c>
      <c r="C2932" s="6" t="str">
        <f>IFERROR(__xludf.DUMMYFUNCTION("""COMPUTED_VALUE"""),"P-14245-00")</f>
        <v>P-14245-00</v>
      </c>
      <c r="D2932" s="6" t="str">
        <f>IFERROR(__xludf.DUMMYFUNCTION("""COMPUTED_VALUE"""),"General - Shut off valve HE-2-QS-8;  FESTO; P/N : 153468; 1 Pc")</f>
        <v>General - Shut off valve HE-2-QS-8;  FESTO; P/N : 153468; 1 Pc</v>
      </c>
      <c r="E2932" s="6">
        <f>IFERROR(__xludf.DUMMYFUNCTION("""COMPUTED_VALUE"""),1.0)</f>
        <v>1</v>
      </c>
      <c r="F2932" s="6">
        <f>IFERROR(__xludf.DUMMYFUNCTION("""COMPUTED_VALUE"""),1.0)</f>
        <v>1</v>
      </c>
      <c r="G2932" s="6">
        <f>IFERROR(__xludf.DUMMYFUNCTION("""COMPUTED_VALUE"""),0.0)</f>
        <v>0</v>
      </c>
      <c r="H2932" s="6" t="str">
        <f>IFERROR(__xludf.DUMMYFUNCTION("""COMPUTED_VALUE"""),"Pcs")</f>
        <v>Pcs</v>
      </c>
      <c r="I2932" s="6" t="str">
        <f>IFERROR(__xludf.DUMMYFUNCTION("""COMPUTED_VALUE"""),"MFH")</f>
        <v>MFH</v>
      </c>
      <c r="J2932" s="6" t="str">
        <f>IFERROR(__xludf.DUMMYFUNCTION("""COMPUTED_VALUE"""),"Lab")</f>
        <v>Lab</v>
      </c>
      <c r="K2932" s="6" t="str">
        <f>IFERROR(__xludf.DUMMYFUNCTION("""COMPUTED_VALUE"""),"SPR/25/12/071")</f>
        <v>SPR/25/12/071</v>
      </c>
      <c r="L2932" s="58">
        <f>IFERROR(__xludf.DUMMYFUNCTION("""COMPUTED_VALUE"""),46022.0)</f>
        <v>46022</v>
      </c>
    </row>
    <row r="2933">
      <c r="A2933" s="6" t="str">
        <f>IFERROR(__xludf.DUMMYFUNCTION("""COMPUTED_VALUE"""),"MRN")</f>
        <v>MRN</v>
      </c>
      <c r="B2933" s="6" t="str">
        <f>IFERROR(__xludf.DUMMYFUNCTION("""COMPUTED_VALUE"""),"ENG")</f>
        <v>ENG</v>
      </c>
      <c r="C2933" s="6" t="str">
        <f>IFERROR(__xludf.DUMMYFUNCTION("""COMPUTED_VALUE"""),"P-11185-00")</f>
        <v>P-11185-00</v>
      </c>
      <c r="D2933" s="6" t="str">
        <f>IFERROR(__xludf.DUMMYFUNCTION("""COMPUTED_VALUE"""),"General - Push-in Connector, QS-8-6; Festo; 153038; 1 pcs")</f>
        <v>General - Push-in Connector, QS-8-6; Festo; 153038; 1 pcs</v>
      </c>
      <c r="E2933" s="6">
        <f>IFERROR(__xludf.DUMMYFUNCTION("""COMPUTED_VALUE"""),1.0)</f>
        <v>1</v>
      </c>
      <c r="F2933" s="6">
        <f>IFERROR(__xludf.DUMMYFUNCTION("""COMPUTED_VALUE"""),1.0)</f>
        <v>1</v>
      </c>
      <c r="G2933" s="6">
        <f>IFERROR(__xludf.DUMMYFUNCTION("""COMPUTED_VALUE"""),0.0)</f>
        <v>0</v>
      </c>
      <c r="H2933" s="6" t="str">
        <f>IFERROR(__xludf.DUMMYFUNCTION("""COMPUTED_VALUE"""),"Pcs")</f>
        <v>Pcs</v>
      </c>
      <c r="I2933" s="6" t="str">
        <f>IFERROR(__xludf.DUMMYFUNCTION("""COMPUTED_VALUE"""),"MFH")</f>
        <v>MFH</v>
      </c>
      <c r="J2933" s="6" t="str">
        <f>IFERROR(__xludf.DUMMYFUNCTION("""COMPUTED_VALUE"""),"Lab")</f>
        <v>Lab</v>
      </c>
      <c r="K2933" s="6" t="str">
        <f>IFERROR(__xludf.DUMMYFUNCTION("""COMPUTED_VALUE"""),"SPR/25/12/071")</f>
        <v>SPR/25/12/071</v>
      </c>
      <c r="L2933" s="58">
        <f>IFERROR(__xludf.DUMMYFUNCTION("""COMPUTED_VALUE"""),46022.0)</f>
        <v>46022</v>
      </c>
    </row>
    <row r="2934">
      <c r="A2934" s="6" t="str">
        <f>IFERROR(__xludf.DUMMYFUNCTION("""COMPUTED_VALUE"""),"RIA")</f>
        <v>RIA</v>
      </c>
      <c r="B2934" s="6" t="str">
        <f>IFERROR(__xludf.DUMMYFUNCTION("""COMPUTED_VALUE"""),"ENG")</f>
        <v>ENG</v>
      </c>
      <c r="C2934" s="6" t="str">
        <f>IFERROR(__xludf.DUMMYFUNCTION("""COMPUTED_VALUE"""),"P-51793-00")</f>
        <v>P-51793-00</v>
      </c>
      <c r="D2934" s="6" t="str">
        <f>IFERROR(__xludf.DUMMYFUNCTION("""COMPUTED_VALUE"""),"Junction Box 20x30x15 cm")</f>
        <v>Junction Box 20x30x15 cm</v>
      </c>
      <c r="E2934" s="6">
        <f>IFERROR(__xludf.DUMMYFUNCTION("""COMPUTED_VALUE"""),1.0)</f>
        <v>1</v>
      </c>
      <c r="F2934" s="6">
        <f>IFERROR(__xludf.DUMMYFUNCTION("""COMPUTED_VALUE"""),1.0)</f>
        <v>1</v>
      </c>
      <c r="G2934" s="6">
        <f>IFERROR(__xludf.DUMMYFUNCTION("""COMPUTED_VALUE"""),0.0)</f>
        <v>0</v>
      </c>
      <c r="H2934" s="6" t="str">
        <f>IFERROR(__xludf.DUMMYFUNCTION("""COMPUTED_VALUE"""),"pcs")</f>
        <v>pcs</v>
      </c>
      <c r="I2934" s="6" t="str">
        <f>IFERROR(__xludf.DUMMYFUNCTION("""COMPUTED_VALUE"""),"MFH")</f>
        <v>MFH</v>
      </c>
      <c r="J2934" s="6" t="str">
        <f>IFERROR(__xludf.DUMMYFUNCTION("""COMPUTED_VALUE"""),"-")</f>
        <v>-</v>
      </c>
      <c r="K2934" s="6" t="str">
        <f>IFERROR(__xludf.DUMMYFUNCTION("""COMPUTED_VALUE"""),"SPR/25/12/072")</f>
        <v>SPR/25/12/072</v>
      </c>
      <c r="L2934" s="58">
        <f>IFERROR(__xludf.DUMMYFUNCTION("""COMPUTED_VALUE"""),46022.0)</f>
        <v>46022</v>
      </c>
    </row>
    <row r="2935">
      <c r="A2935" s="6" t="str">
        <f>IFERROR(__xludf.DUMMYFUNCTION("""COMPUTED_VALUE"""),"RIA")</f>
        <v>RIA</v>
      </c>
      <c r="B2935" s="6" t="str">
        <f>IFERROR(__xludf.DUMMYFUNCTION("""COMPUTED_VALUE"""),"ENG")</f>
        <v>ENG</v>
      </c>
      <c r="C2935" s="6" t="str">
        <f>IFERROR(__xludf.DUMMYFUNCTION("""COMPUTED_VALUE"""),"P-15862-00")</f>
        <v>P-15862-00</v>
      </c>
      <c r="D2935" s="6" t="str">
        <f>IFERROR(__xludf.DUMMYFUNCTION("""COMPUTED_VALUE"""),"PAPER RECORD YOKOGAWA; FOLDING CHART B9565AW")</f>
        <v>PAPER RECORD YOKOGAWA; FOLDING CHART B9565AW</v>
      </c>
      <c r="E2935" s="6">
        <f>IFERROR(__xludf.DUMMYFUNCTION("""COMPUTED_VALUE"""),2.0)</f>
        <v>2</v>
      </c>
      <c r="F2935" s="6">
        <f>IFERROR(__xludf.DUMMYFUNCTION("""COMPUTED_VALUE"""),2.0)</f>
        <v>2</v>
      </c>
      <c r="G2935" s="6">
        <f>IFERROR(__xludf.DUMMYFUNCTION("""COMPUTED_VALUE"""),0.0)</f>
        <v>0</v>
      </c>
      <c r="H2935" s="6" t="str">
        <f>IFERROR(__xludf.DUMMYFUNCTION("""COMPUTED_VALUE"""),"Pcs")</f>
        <v>Pcs</v>
      </c>
      <c r="I2935" s="6" t="str">
        <f>IFERROR(__xludf.DUMMYFUNCTION("""COMPUTED_VALUE"""),"MFH")</f>
        <v>MFH</v>
      </c>
      <c r="J2935" s="6" t="str">
        <f>IFERROR(__xludf.DUMMYFUNCTION("""COMPUTED_VALUE"""),"PW WFI")</f>
        <v>PW WFI</v>
      </c>
      <c r="K2935" s="6" t="str">
        <f>IFERROR(__xludf.DUMMYFUNCTION("""COMPUTED_VALUE"""),"SPR/25/12/073")</f>
        <v>SPR/25/12/073</v>
      </c>
      <c r="L2935" s="58">
        <f>IFERROR(__xludf.DUMMYFUNCTION("""COMPUTED_VALUE"""),46022.0)</f>
        <v>46022</v>
      </c>
    </row>
    <row r="2936">
      <c r="A2936" s="6" t="str">
        <f>IFERROR(__xludf.DUMMYFUNCTION("""COMPUTED_VALUE"""),"RIA")</f>
        <v>RIA</v>
      </c>
      <c r="B2936" s="6" t="str">
        <f>IFERROR(__xludf.DUMMYFUNCTION("""COMPUTED_VALUE"""),"ENG")</f>
        <v>ENG</v>
      </c>
      <c r="C2936" s="6" t="str">
        <f>IFERROR(__xludf.DUMMYFUNCTION("""COMPUTED_VALUE"""),"O-50863-00")</f>
        <v>O-50863-00</v>
      </c>
      <c r="D2936" s="6" t="str">
        <f>IFERROR(__xludf.DUMMYFUNCTION("""COMPUTED_VALUE"""),"Relay/MY4N/220-240 VAC Omron; ; ;")</f>
        <v>Relay/MY4N/220-240 VAC Omron; ; ;</v>
      </c>
      <c r="E2936" s="6">
        <f>IFERROR(__xludf.DUMMYFUNCTION("""COMPUTED_VALUE"""),2.0)</f>
        <v>2</v>
      </c>
      <c r="F2936" s="6">
        <f>IFERROR(__xludf.DUMMYFUNCTION("""COMPUTED_VALUE"""),2.0)</f>
        <v>2</v>
      </c>
      <c r="G2936" s="6">
        <f>IFERROR(__xludf.DUMMYFUNCTION("""COMPUTED_VALUE"""),0.0)</f>
        <v>0</v>
      </c>
      <c r="H2936" s="6" t="str">
        <f>IFERROR(__xludf.DUMMYFUNCTION("""COMPUTED_VALUE"""),"Pcs")</f>
        <v>Pcs</v>
      </c>
      <c r="I2936" s="6" t="str">
        <f>IFERROR(__xludf.DUMMYFUNCTION("""COMPUTED_VALUE"""),"MFH")</f>
        <v>MFH</v>
      </c>
      <c r="J2936" s="6" t="str">
        <f>IFERROR(__xludf.DUMMYFUNCTION("""COMPUTED_VALUE"""),"-")</f>
        <v>-</v>
      </c>
      <c r="K2936" s="6" t="str">
        <f>IFERROR(__xludf.DUMMYFUNCTION("""COMPUTED_VALUE"""),"SPR/25/12/073")</f>
        <v>SPR/25/12/073</v>
      </c>
      <c r="L2936" s="58">
        <f>IFERROR(__xludf.DUMMYFUNCTION("""COMPUTED_VALUE"""),46022.0)</f>
        <v>46022</v>
      </c>
    </row>
    <row r="2937">
      <c r="A2937" s="6" t="str">
        <f>IFERROR(__xludf.DUMMYFUNCTION("""COMPUTED_VALUE"""),"RIA")</f>
        <v>RIA</v>
      </c>
      <c r="B2937" s="6" t="str">
        <f>IFERROR(__xludf.DUMMYFUNCTION("""COMPUTED_VALUE"""),"ENG")</f>
        <v>ENG</v>
      </c>
      <c r="C2937" s="6" t="str">
        <f>IFERROR(__xludf.DUMMYFUNCTION("""COMPUTED_VALUE"""),"P-54334-00")</f>
        <v>P-54334-00</v>
      </c>
      <c r="D2937" s="6" t="str">
        <f>IFERROR(__xludf.DUMMYFUNCTION("""COMPUTED_VALUE"""),"General - Socket Relay PYFZ-14-E; Omron; -; 1 pc")</f>
        <v>General - Socket Relay PYFZ-14-E; Omron; -; 1 pc</v>
      </c>
      <c r="E2937" s="6">
        <f>IFERROR(__xludf.DUMMYFUNCTION("""COMPUTED_VALUE"""),2.0)</f>
        <v>2</v>
      </c>
      <c r="F2937" s="6">
        <f>IFERROR(__xludf.DUMMYFUNCTION("""COMPUTED_VALUE"""),2.0)</f>
        <v>2</v>
      </c>
      <c r="G2937" s="6">
        <f>IFERROR(__xludf.DUMMYFUNCTION("""COMPUTED_VALUE"""),0.0)</f>
        <v>0</v>
      </c>
      <c r="H2937" s="6" t="str">
        <f>IFERROR(__xludf.DUMMYFUNCTION("""COMPUTED_VALUE"""),"Pcs")</f>
        <v>Pcs</v>
      </c>
      <c r="I2937" s="6" t="str">
        <f>IFERROR(__xludf.DUMMYFUNCTION("""COMPUTED_VALUE"""),"MFH")</f>
        <v>MFH</v>
      </c>
      <c r="J2937" s="6" t="str">
        <f>IFERROR(__xludf.DUMMYFUNCTION("""COMPUTED_VALUE"""),"-")</f>
        <v>-</v>
      </c>
      <c r="K2937" s="6" t="str">
        <f>IFERROR(__xludf.DUMMYFUNCTION("""COMPUTED_VALUE"""),"SPR/25/12/073")</f>
        <v>SPR/25/12/073</v>
      </c>
      <c r="L2937" s="58">
        <f>IFERROR(__xludf.DUMMYFUNCTION("""COMPUTED_VALUE"""),46022.0)</f>
        <v>46022</v>
      </c>
    </row>
    <row r="2938">
      <c r="A2938" s="6" t="str">
        <f>IFERROR(__xludf.DUMMYFUNCTION("""COMPUTED_VALUE"""),"RIA")</f>
        <v>RIA</v>
      </c>
      <c r="B2938" s="6" t="str">
        <f>IFERROR(__xludf.DUMMYFUNCTION("""COMPUTED_VALUE"""),"ENG")</f>
        <v>ENG</v>
      </c>
      <c r="C2938" s="6" t="str">
        <f>IFERROR(__xludf.DUMMYFUNCTION("""COMPUTED_VALUE"""),"P-51299-00")</f>
        <v>P-51299-00</v>
      </c>
      <c r="D2938" s="6" t="str">
        <f>IFERROR(__xludf.DUMMYFUNCTION("""COMPUTED_VALUE"""),"Terminal plastik dia 6 mm")</f>
        <v>Terminal plastik dia 6 mm</v>
      </c>
      <c r="E2938" s="6">
        <f>IFERROR(__xludf.DUMMYFUNCTION("""COMPUTED_VALUE"""),10.0)</f>
        <v>10</v>
      </c>
      <c r="F2938" s="6">
        <f>IFERROR(__xludf.DUMMYFUNCTION("""COMPUTED_VALUE"""),10.0)</f>
        <v>10</v>
      </c>
      <c r="G2938" s="6">
        <f>IFERROR(__xludf.DUMMYFUNCTION("""COMPUTED_VALUE"""),0.0)</f>
        <v>0</v>
      </c>
      <c r="H2938" s="6" t="str">
        <f>IFERROR(__xludf.DUMMYFUNCTION("""COMPUTED_VALUE"""),"Pcs")</f>
        <v>Pcs</v>
      </c>
      <c r="I2938" s="6" t="str">
        <f>IFERROR(__xludf.DUMMYFUNCTION("""COMPUTED_VALUE"""),"MFH")</f>
        <v>MFH</v>
      </c>
      <c r="J2938" s="6" t="str">
        <f>IFERROR(__xludf.DUMMYFUNCTION("""COMPUTED_VALUE"""),"-")</f>
        <v>-</v>
      </c>
      <c r="K2938" s="6" t="str">
        <f>IFERROR(__xludf.DUMMYFUNCTION("""COMPUTED_VALUE"""),"SPR/25/12/073")</f>
        <v>SPR/25/12/073</v>
      </c>
      <c r="L2938" s="58">
        <f>IFERROR(__xludf.DUMMYFUNCTION("""COMPUTED_VALUE"""),46022.0)</f>
        <v>46022</v>
      </c>
    </row>
    <row r="2939">
      <c r="A2939" s="6" t="str">
        <f>IFERROR(__xludf.DUMMYFUNCTION("""COMPUTED_VALUE"""),"ROS")</f>
        <v>ROS</v>
      </c>
      <c r="B2939" s="6" t="str">
        <f>IFERROR(__xludf.DUMMYFUNCTION("""COMPUTED_VALUE"""),"ENG")</f>
        <v>ENG</v>
      </c>
      <c r="C2939" s="6" t="str">
        <f>IFERROR(__xludf.DUMMYFUNCTION("""COMPUTED_VALUE"""),"O-15914-00")</f>
        <v>O-15914-00</v>
      </c>
      <c r="D2939" s="6" t="str">
        <f>IFERROR(__xludf.DUMMYFUNCTION("""COMPUTED_VALUE"""),"Fedegari FVA2/A1 - O-RING 34.52x3.53; Code : CC150171; ; ;")</f>
        <v>Fedegari FVA2/A1 - O-RING 34.52x3.53; Code : CC150171; ; ;</v>
      </c>
      <c r="E2939" s="6">
        <f>IFERROR(__xludf.DUMMYFUNCTION("""COMPUTED_VALUE"""),4.0)</f>
        <v>4</v>
      </c>
      <c r="F2939" s="6">
        <f>IFERROR(__xludf.DUMMYFUNCTION("""COMPUTED_VALUE"""),4.0)</f>
        <v>4</v>
      </c>
      <c r="G2939" s="6">
        <f>IFERROR(__xludf.DUMMYFUNCTION("""COMPUTED_VALUE"""),0.0)</f>
        <v>0</v>
      </c>
      <c r="H2939" s="6" t="str">
        <f>IFERROR(__xludf.DUMMYFUNCTION("""COMPUTED_VALUE"""),"Pcs")</f>
        <v>Pcs</v>
      </c>
      <c r="I2939" s="6" t="str">
        <f>IFERROR(__xludf.DUMMYFUNCTION("""COMPUTED_VALUE"""),"MFH")</f>
        <v>MFH</v>
      </c>
      <c r="J2939" s="6" t="str">
        <f>IFERROR(__xludf.DUMMYFUNCTION("""COMPUTED_VALUE"""),"Autoclave")</f>
        <v>Autoclave</v>
      </c>
      <c r="K2939" s="6" t="str">
        <f>IFERROR(__xludf.DUMMYFUNCTION("""COMPUTED_VALUE"""),"SPR/25/12/074")</f>
        <v>SPR/25/12/074</v>
      </c>
      <c r="L2939" s="58">
        <f>IFERROR(__xludf.DUMMYFUNCTION("""COMPUTED_VALUE"""),46022.0)</f>
        <v>46022</v>
      </c>
    </row>
    <row r="2940">
      <c r="A2940" s="6" t="str">
        <f>IFERROR(__xludf.DUMMYFUNCTION("""COMPUTED_VALUE"""),"ROS")</f>
        <v>ROS</v>
      </c>
      <c r="B2940" s="6" t="str">
        <f>IFERROR(__xludf.DUMMYFUNCTION("""COMPUTED_VALUE"""),"ENG")</f>
        <v>ENG</v>
      </c>
      <c r="C2940" s="6" t="str">
        <f>IFERROR(__xludf.DUMMYFUNCTION("""COMPUTED_VALUE"""),"O-16647-00")</f>
        <v>O-16647-00</v>
      </c>
      <c r="D2940" s="6" t="str">
        <f>IFERROR(__xludf.DUMMYFUNCTION("""COMPUTED_VALUE"""),"Washing RAR4 - Oring Silicone Merah 23x18x2.5 mm; ; ;")</f>
        <v>Washing RAR4 - Oring Silicone Merah 23x18x2.5 mm; ; ;</v>
      </c>
      <c r="E2940" s="6">
        <f>IFERROR(__xludf.DUMMYFUNCTION("""COMPUTED_VALUE"""),10.0)</f>
        <v>10</v>
      </c>
      <c r="F2940" s="6">
        <f>IFERROR(__xludf.DUMMYFUNCTION("""COMPUTED_VALUE"""),10.0)</f>
        <v>10</v>
      </c>
      <c r="G2940" s="6">
        <f>IFERROR(__xludf.DUMMYFUNCTION("""COMPUTED_VALUE"""),0.0)</f>
        <v>0</v>
      </c>
      <c r="H2940" s="6" t="str">
        <f>IFERROR(__xludf.DUMMYFUNCTION("""COMPUTED_VALUE"""),"Pcs")</f>
        <v>Pcs</v>
      </c>
      <c r="I2940" s="6" t="str">
        <f>IFERROR(__xludf.DUMMYFUNCTION("""COMPUTED_VALUE"""),"MFH")</f>
        <v>MFH</v>
      </c>
      <c r="J2940" s="6" t="str">
        <f>IFERROR(__xludf.DUMMYFUNCTION("""COMPUTED_VALUE"""),"Capping")</f>
        <v>Capping</v>
      </c>
      <c r="K2940" s="6" t="str">
        <f>IFERROR(__xludf.DUMMYFUNCTION("""COMPUTED_VALUE"""),"SPR/25/12/074")</f>
        <v>SPR/25/12/074</v>
      </c>
      <c r="L2940" s="58">
        <f>IFERROR(__xludf.DUMMYFUNCTION("""COMPUTED_VALUE"""),46022.0)</f>
        <v>46022</v>
      </c>
    </row>
    <row r="2941">
      <c r="A2941" s="6" t="str">
        <f>IFERROR(__xludf.DUMMYFUNCTION("""COMPUTED_VALUE"""),"MFH")</f>
        <v>MFH</v>
      </c>
      <c r="B2941" s="6" t="str">
        <f>IFERROR(__xludf.DUMMYFUNCTION("""COMPUTED_VALUE"""),"ENG")</f>
        <v>ENG</v>
      </c>
      <c r="C2941" s="6" t="str">
        <f>IFERROR(__xludf.DUMMYFUNCTION("""COMPUTED_VALUE"""),"P-19542-00")</f>
        <v>P-19542-00</v>
      </c>
      <c r="D2941" s="6" t="str">
        <f>IFERROR(__xludf.DUMMYFUNCTION("""COMPUTED_VALUE"""),"General - Regulator Gas Helium, 96-15M-He; Morris; -; 1 pc")</f>
        <v>General - Regulator Gas Helium, 96-15M-He; Morris; -; 1 pc</v>
      </c>
      <c r="E2941" s="6">
        <f>IFERROR(__xludf.DUMMYFUNCTION("""COMPUTED_VALUE"""),1.0)</f>
        <v>1</v>
      </c>
      <c r="F2941" s="6">
        <f>IFERROR(__xludf.DUMMYFUNCTION("""COMPUTED_VALUE"""),1.0)</f>
        <v>1</v>
      </c>
      <c r="G2941" s="6">
        <f>IFERROR(__xludf.DUMMYFUNCTION("""COMPUTED_VALUE"""),0.0)</f>
        <v>0</v>
      </c>
      <c r="H2941" s="6" t="str">
        <f>IFERROR(__xludf.DUMMYFUNCTION("""COMPUTED_VALUE"""),"Pcs")</f>
        <v>Pcs</v>
      </c>
      <c r="I2941" s="6" t="str">
        <f>IFERROR(__xludf.DUMMYFUNCTION("""COMPUTED_VALUE"""),"MFH")</f>
        <v>MFH</v>
      </c>
      <c r="J2941" s="6" t="str">
        <f>IFERROR(__xludf.DUMMYFUNCTION("""COMPUTED_VALUE"""),"-")</f>
        <v>-</v>
      </c>
      <c r="K2941" s="6" t="str">
        <f>IFERROR(__xludf.DUMMYFUNCTION("""COMPUTED_VALUE"""),"SPR/25/12/075")</f>
        <v>SPR/25/12/075</v>
      </c>
      <c r="L2941" s="58">
        <f>IFERROR(__xludf.DUMMYFUNCTION("""COMPUTED_VALUE"""),46022.0)</f>
        <v>46022</v>
      </c>
    </row>
    <row r="2942">
      <c r="A2942" s="6" t="str">
        <f>IFERROR(__xludf.DUMMYFUNCTION("""COMPUTED_VALUE"""),"MFH")</f>
        <v>MFH</v>
      </c>
      <c r="B2942" s="6" t="str">
        <f>IFERROR(__xludf.DUMMYFUNCTION("""COMPUTED_VALUE"""),"ENG")</f>
        <v>ENG</v>
      </c>
      <c r="C2942" s="6" t="str">
        <f>IFERROR(__xludf.DUMMYFUNCTION("""COMPUTED_VALUE"""),"O-19783-00")</f>
        <v>O-19783-00</v>
      </c>
      <c r="D2942" s="6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E2942" s="6">
        <f>IFERROR(__xludf.DUMMYFUNCTION("""COMPUTED_VALUE"""),1.0)</f>
        <v>1</v>
      </c>
      <c r="F2942" s="6">
        <f>IFERROR(__xludf.DUMMYFUNCTION("""COMPUTED_VALUE"""),1.0)</f>
        <v>1</v>
      </c>
      <c r="G2942" s="6">
        <f>IFERROR(__xludf.DUMMYFUNCTION("""COMPUTED_VALUE"""),0.0)</f>
        <v>0</v>
      </c>
      <c r="H2942" s="6" t="str">
        <f>IFERROR(__xludf.DUMMYFUNCTION("""COMPUTED_VALUE"""),"Pcs")</f>
        <v>Pcs</v>
      </c>
      <c r="I2942" s="6" t="str">
        <f>IFERROR(__xludf.DUMMYFUNCTION("""COMPUTED_VALUE"""),"MFH")</f>
        <v>MFH</v>
      </c>
      <c r="J2942" s="6" t="str">
        <f>IFERROR(__xludf.DUMMYFUNCTION("""COMPUTED_VALUE"""),"-")</f>
        <v>-</v>
      </c>
      <c r="K2942" s="6" t="str">
        <f>IFERROR(__xludf.DUMMYFUNCTION("""COMPUTED_VALUE"""),"SPR/25/12/075")</f>
        <v>SPR/25/12/075</v>
      </c>
      <c r="L2942" s="58">
        <f>IFERROR(__xludf.DUMMYFUNCTION("""COMPUTED_VALUE"""),46022.0)</f>
        <v>46022</v>
      </c>
    </row>
    <row r="2943">
      <c r="A2943" s="6" t="str">
        <f>IFERROR(__xludf.DUMMYFUNCTION("""COMPUTED_VALUE"""),"MFH")</f>
        <v>MFH</v>
      </c>
      <c r="B2943" s="6" t="str">
        <f>IFERROR(__xludf.DUMMYFUNCTION("""COMPUTED_VALUE"""),"ENG")</f>
        <v>ENG</v>
      </c>
      <c r="C2943" s="6" t="str">
        <f>IFERROR(__xludf.DUMMYFUNCTION("""COMPUTED_VALUE"""),"O-19343-00")</f>
        <v>O-19343-00</v>
      </c>
      <c r="D2943" s="6" t="str">
        <f>IFERROR(__xludf.DUMMYFUNCTION("""COMPUTED_VALUE"""),"HEPA filter minipleat, size: 915x762x69 Class (EN 1822) : H14 - 99,995% MPPS; ; ;")</f>
        <v>HEPA filter minipleat, size: 915x762x69 Class (EN 1822) : H14 - 99,995% MPPS; ; ;</v>
      </c>
      <c r="E2943" s="6">
        <f>IFERROR(__xludf.DUMMYFUNCTION("""COMPUTED_VALUE"""),1.0)</f>
        <v>1</v>
      </c>
      <c r="F2943" s="6">
        <f>IFERROR(__xludf.DUMMYFUNCTION("""COMPUTED_VALUE"""),1.0)</f>
        <v>1</v>
      </c>
      <c r="G2943" s="6">
        <f>IFERROR(__xludf.DUMMYFUNCTION("""COMPUTED_VALUE"""),0.0)</f>
        <v>0</v>
      </c>
      <c r="H2943" s="6" t="str">
        <f>IFERROR(__xludf.DUMMYFUNCTION("""COMPUTED_VALUE"""),"Pcs")</f>
        <v>Pcs</v>
      </c>
      <c r="I2943" s="6" t="str">
        <f>IFERROR(__xludf.DUMMYFUNCTION("""COMPUTED_VALUE"""),"MFH")</f>
        <v>MFH</v>
      </c>
      <c r="J2943" s="6" t="str">
        <f>IFERROR(__xludf.DUMMYFUNCTION("""COMPUTED_VALUE"""),"-")</f>
        <v>-</v>
      </c>
      <c r="K2943" s="6" t="str">
        <f>IFERROR(__xludf.DUMMYFUNCTION("""COMPUTED_VALUE"""),"SPR/25/12/075")</f>
        <v>SPR/25/12/075</v>
      </c>
      <c r="L2943" s="58">
        <f>IFERROR(__xludf.DUMMYFUNCTION("""COMPUTED_VALUE"""),46022.0)</f>
        <v>46022</v>
      </c>
    </row>
    <row r="2944">
      <c r="A2944" s="6" t="str">
        <f>IFERROR(__xludf.DUMMYFUNCTION("""COMPUTED_VALUE"""),"MFH")</f>
        <v>MFH</v>
      </c>
      <c r="B2944" s="6" t="str">
        <f>IFERROR(__xludf.DUMMYFUNCTION("""COMPUTED_VALUE"""),"ENG")</f>
        <v>ENG</v>
      </c>
      <c r="C2944" s="6" t="str">
        <f>IFERROR(__xludf.DUMMYFUNCTION("""COMPUTED_VALUE"""),"P-17062-00")</f>
        <v>P-17062-00</v>
      </c>
      <c r="D2944" s="6" t="str">
        <f>IFERROR(__xludf.DUMMYFUNCTION("""COMPUTED_VALUE"""),"Element Filter for N2 ; Brand : NEXUS ; P/N : NXE-90-Z ; Pack Size : pcs")</f>
        <v>Element Filter for N2 ; Brand : NEXUS ; P/N : NXE-90-Z ; Pack Size : pcs</v>
      </c>
      <c r="E2944" s="6">
        <f>IFERROR(__xludf.DUMMYFUNCTION("""COMPUTED_VALUE"""),1.0)</f>
        <v>1</v>
      </c>
      <c r="F2944" s="6">
        <f>IFERROR(__xludf.DUMMYFUNCTION("""COMPUTED_VALUE"""),1.0)</f>
        <v>1</v>
      </c>
      <c r="G2944" s="6">
        <f>IFERROR(__xludf.DUMMYFUNCTION("""COMPUTED_VALUE"""),0.0)</f>
        <v>0</v>
      </c>
      <c r="H2944" s="6" t="str">
        <f>IFERROR(__xludf.DUMMYFUNCTION("""COMPUTED_VALUE"""),"Pcs")</f>
        <v>Pcs</v>
      </c>
      <c r="I2944" s="6" t="str">
        <f>IFERROR(__xludf.DUMMYFUNCTION("""COMPUTED_VALUE"""),"MFH")</f>
        <v>MFH</v>
      </c>
      <c r="J2944" s="6" t="str">
        <f>IFERROR(__xludf.DUMMYFUNCTION("""COMPUTED_VALUE"""),"-")</f>
        <v>-</v>
      </c>
      <c r="K2944" s="6" t="str">
        <f>IFERROR(__xludf.DUMMYFUNCTION("""COMPUTED_VALUE"""),"SPR/25/12/076")</f>
        <v>SPR/25/12/076</v>
      </c>
      <c r="L2944" s="58">
        <f>IFERROR(__xludf.DUMMYFUNCTION("""COMPUTED_VALUE"""),46022.0)</f>
        <v>46022</v>
      </c>
    </row>
    <row r="2945">
      <c r="A2945" s="6" t="str">
        <f>IFERROR(__xludf.DUMMYFUNCTION("""COMPUTED_VALUE"""),"MFH")</f>
        <v>MFH</v>
      </c>
      <c r="B2945" s="6" t="str">
        <f>IFERROR(__xludf.DUMMYFUNCTION("""COMPUTED_VALUE"""),"ENG")</f>
        <v>ENG</v>
      </c>
      <c r="C2945" s="6" t="str">
        <f>IFERROR(__xludf.DUMMYFUNCTION("""COMPUTED_VALUE"""),"P-15817-00")</f>
        <v>P-15817-00</v>
      </c>
      <c r="D2945" s="6" t="str">
        <f>IFERROR(__xludf.DUMMYFUNCTION("""COMPUTED_VALUE"""),"Gasket Teflon Lembaran, Tebal 5mm, uk.1000x1000mm; ; ;")</f>
        <v>Gasket Teflon Lembaran, Tebal 5mm, uk.1000x1000mm; ; ;</v>
      </c>
      <c r="E2945" s="6">
        <f>IFERROR(__xludf.DUMMYFUNCTION("""COMPUTED_VALUE"""),1.0)</f>
        <v>1</v>
      </c>
      <c r="F2945" s="6">
        <f>IFERROR(__xludf.DUMMYFUNCTION("""COMPUTED_VALUE"""),1.0)</f>
        <v>1</v>
      </c>
      <c r="G2945" s="6">
        <f>IFERROR(__xludf.DUMMYFUNCTION("""COMPUTED_VALUE"""),0.0)</f>
        <v>0</v>
      </c>
      <c r="H2945" s="6" t="str">
        <f>IFERROR(__xludf.DUMMYFUNCTION("""COMPUTED_VALUE"""),"Pcs")</f>
        <v>Pcs</v>
      </c>
      <c r="I2945" s="6" t="str">
        <f>IFERROR(__xludf.DUMMYFUNCTION("""COMPUTED_VALUE"""),"MFH")</f>
        <v>MFH</v>
      </c>
      <c r="J2945" s="6" t="str">
        <f>IFERROR(__xludf.DUMMYFUNCTION("""COMPUTED_VALUE"""),"-")</f>
        <v>-</v>
      </c>
      <c r="K2945" s="6" t="str">
        <f>IFERROR(__xludf.DUMMYFUNCTION("""COMPUTED_VALUE"""),"SPR/25/12/076")</f>
        <v>SPR/25/12/076</v>
      </c>
      <c r="L2945" s="58">
        <f>IFERROR(__xludf.DUMMYFUNCTION("""COMPUTED_VALUE"""),46022.0)</f>
        <v>46022</v>
      </c>
    </row>
    <row r="2946">
      <c r="A2946" s="6" t="str">
        <f>IFERROR(__xludf.DUMMYFUNCTION("""COMPUTED_VALUE"""),"MFH")</f>
        <v>MFH</v>
      </c>
      <c r="B2946" s="6" t="str">
        <f>IFERROR(__xludf.DUMMYFUNCTION("""COMPUTED_VALUE"""),"ENG")</f>
        <v>ENG</v>
      </c>
      <c r="C2946" s="6" t="str">
        <f>IFERROR(__xludf.DUMMYFUNCTION("""COMPUTED_VALUE"""),"P-12830-00")</f>
        <v>P-12830-00</v>
      </c>
      <c r="D2946" s="6" t="str">
        <f>IFERROR(__xludf.DUMMYFUNCTION("""COMPUTED_VALUE"""),"Sodium metabisulfit")</f>
        <v>Sodium metabisulfit</v>
      </c>
      <c r="E2946" s="6">
        <f>IFERROR(__xludf.DUMMYFUNCTION("""COMPUTED_VALUE"""),1.0)</f>
        <v>1</v>
      </c>
      <c r="F2946" s="6">
        <f>IFERROR(__xludf.DUMMYFUNCTION("""COMPUTED_VALUE"""),1.0)</f>
        <v>1</v>
      </c>
      <c r="G2946" s="6">
        <f>IFERROR(__xludf.DUMMYFUNCTION("""COMPUTED_VALUE"""),0.0)</f>
        <v>0</v>
      </c>
      <c r="H2946" s="6" t="str">
        <f>IFERROR(__xludf.DUMMYFUNCTION("""COMPUTED_VALUE"""),"Pcs")</f>
        <v>Pcs</v>
      </c>
      <c r="I2946" s="6" t="str">
        <f>IFERROR(__xludf.DUMMYFUNCTION("""COMPUTED_VALUE"""),"MFH")</f>
        <v>MFH</v>
      </c>
      <c r="J2946" s="6" t="str">
        <f>IFERROR(__xludf.DUMMYFUNCTION("""COMPUTED_VALUE"""),"-")</f>
        <v>-</v>
      </c>
      <c r="K2946" s="6" t="str">
        <f>IFERROR(__xludf.DUMMYFUNCTION("""COMPUTED_VALUE"""),"SPR/25/12/076")</f>
        <v>SPR/25/12/076</v>
      </c>
      <c r="L2946" s="58">
        <f>IFERROR(__xludf.DUMMYFUNCTION("""COMPUTED_VALUE"""),46022.0)</f>
        <v>46022</v>
      </c>
    </row>
    <row r="2947">
      <c r="A2947" s="6" t="str">
        <f>IFERROR(__xludf.DUMMYFUNCTION("""COMPUTED_VALUE"""),"MFH")</f>
        <v>MFH</v>
      </c>
      <c r="B2947" s="6" t="str">
        <f>IFERROR(__xludf.DUMMYFUNCTION("""COMPUTED_VALUE"""),"ENG")</f>
        <v>ENG</v>
      </c>
      <c r="C2947" s="6" t="str">
        <f>IFERROR(__xludf.DUMMYFUNCTION("""COMPUTED_VALUE"""),"O-20299-00")</f>
        <v>O-20299-00</v>
      </c>
      <c r="D2947" s="6" t="str">
        <f>IFERROR(__xludf.DUMMYFUNCTION("""COMPUTED_VALUE"""),"Mixing Tank - Tatakan Sampling Duran 100 57 x 101,6 x 155 mm Custom/Lokal  -")</f>
        <v>Mixing Tank - Tatakan Sampling Duran 100 57 x 101,6 x 155 mm Custom/Lokal  -</v>
      </c>
      <c r="E2947" s="6">
        <f>IFERROR(__xludf.DUMMYFUNCTION("""COMPUTED_VALUE"""),1.0)</f>
        <v>1</v>
      </c>
      <c r="F2947" s="6">
        <f>IFERROR(__xludf.DUMMYFUNCTION("""COMPUTED_VALUE"""),1.0)</f>
        <v>1</v>
      </c>
      <c r="G2947" s="6">
        <f>IFERROR(__xludf.DUMMYFUNCTION("""COMPUTED_VALUE"""),0.0)</f>
        <v>0</v>
      </c>
      <c r="H2947" s="6" t="str">
        <f>IFERROR(__xludf.DUMMYFUNCTION("""COMPUTED_VALUE"""),"Pcs")</f>
        <v>Pcs</v>
      </c>
      <c r="I2947" s="6" t="str">
        <f>IFERROR(__xludf.DUMMYFUNCTION("""COMPUTED_VALUE"""),"MFH")</f>
        <v>MFH</v>
      </c>
      <c r="J2947" s="6" t="str">
        <f>IFERROR(__xludf.DUMMYFUNCTION("""COMPUTED_VALUE"""),"-")</f>
        <v>-</v>
      </c>
      <c r="K2947" s="6" t="str">
        <f>IFERROR(__xludf.DUMMYFUNCTION("""COMPUTED_VALUE"""),"SPR/25/12/077")</f>
        <v>SPR/25/12/077</v>
      </c>
      <c r="L2947" s="58">
        <f>IFERROR(__xludf.DUMMYFUNCTION("""COMPUTED_VALUE"""),46022.0)</f>
        <v>46022</v>
      </c>
    </row>
    <row r="2948">
      <c r="A2948" s="6" t="str">
        <f>IFERROR(__xludf.DUMMYFUNCTION("""COMPUTED_VALUE"""),"MFH")</f>
        <v>MFH</v>
      </c>
      <c r="B2948" s="6" t="str">
        <f>IFERROR(__xludf.DUMMYFUNCTION("""COMPUTED_VALUE"""),"ENG")</f>
        <v>ENG</v>
      </c>
      <c r="C2948" s="6" t="str">
        <f>IFERROR(__xludf.DUMMYFUNCTION("""COMPUTED_VALUE"""),"O-20292-00")</f>
        <v>O-20292-00</v>
      </c>
      <c r="D2948" s="6" t="str">
        <f>IFERROR(__xludf.DUMMYFUNCTION("""COMPUTED_VALUE"""),"Strainer Machine - Strainer Crabs CR4 Capping 18X20 mm Custom/Lokal")</f>
        <v>Strainer Machine - Strainer Crabs CR4 Capping 18X20 mm Custom/Lokal</v>
      </c>
      <c r="E2948" s="6">
        <f>IFERROR(__xludf.DUMMYFUNCTION("""COMPUTED_VALUE"""),1.0)</f>
        <v>1</v>
      </c>
      <c r="F2948" s="6">
        <f>IFERROR(__xludf.DUMMYFUNCTION("""COMPUTED_VALUE"""),1.0)</f>
        <v>1</v>
      </c>
      <c r="G2948" s="6">
        <f>IFERROR(__xludf.DUMMYFUNCTION("""COMPUTED_VALUE"""),0.0)</f>
        <v>0</v>
      </c>
      <c r="H2948" s="6" t="str">
        <f>IFERROR(__xludf.DUMMYFUNCTION("""COMPUTED_VALUE"""),"Pcs")</f>
        <v>Pcs</v>
      </c>
      <c r="I2948" s="6" t="str">
        <f>IFERROR(__xludf.DUMMYFUNCTION("""COMPUTED_VALUE"""),"MFH")</f>
        <v>MFH</v>
      </c>
      <c r="J2948" s="6" t="str">
        <f>IFERROR(__xludf.DUMMYFUNCTION("""COMPUTED_VALUE"""),"-")</f>
        <v>-</v>
      </c>
      <c r="K2948" s="6" t="str">
        <f>IFERROR(__xludf.DUMMYFUNCTION("""COMPUTED_VALUE"""),"SPR/25/12/077")</f>
        <v>SPR/25/12/077</v>
      </c>
      <c r="L2948" s="58">
        <f>IFERROR(__xludf.DUMMYFUNCTION("""COMPUTED_VALUE"""),46022.0)</f>
        <v>46022</v>
      </c>
    </row>
    <row r="2949">
      <c r="A2949" s="6" t="str">
        <f>IFERROR(__xludf.DUMMYFUNCTION("""COMPUTED_VALUE"""),"MFH")</f>
        <v>MFH</v>
      </c>
      <c r="B2949" s="6" t="str">
        <f>IFERROR(__xludf.DUMMYFUNCTION("""COMPUTED_VALUE"""),"ENG")</f>
        <v>ENG</v>
      </c>
      <c r="C2949" s="6" t="str">
        <f>IFERROR(__xludf.DUMMYFUNCTION("""COMPUTED_VALUE"""),"O-20093-00")</f>
        <v>O-20093-00</v>
      </c>
      <c r="D2949" s="6" t="str">
        <f>IFERROR(__xludf.DUMMYFUNCTION("""COMPUTED_VALUE"""),"Washing RAR4 - Dudukan Selang WFI Washing 20x45x35; Custom/Lokal; ; 1 Pc")</f>
        <v>Washing RAR4 - Dudukan Selang WFI Washing 20x45x35; Custom/Lokal; ; 1 Pc</v>
      </c>
      <c r="E2949" s="6">
        <f>IFERROR(__xludf.DUMMYFUNCTION("""COMPUTED_VALUE"""),1.0)</f>
        <v>1</v>
      </c>
      <c r="F2949" s="6">
        <f>IFERROR(__xludf.DUMMYFUNCTION("""COMPUTED_VALUE"""),1.0)</f>
        <v>1</v>
      </c>
      <c r="G2949" s="6">
        <f>IFERROR(__xludf.DUMMYFUNCTION("""COMPUTED_VALUE"""),0.0)</f>
        <v>0</v>
      </c>
      <c r="H2949" s="6" t="str">
        <f>IFERROR(__xludf.DUMMYFUNCTION("""COMPUTED_VALUE"""),"Pcs")</f>
        <v>Pcs</v>
      </c>
      <c r="I2949" s="6" t="str">
        <f>IFERROR(__xludf.DUMMYFUNCTION("""COMPUTED_VALUE"""),"MFH")</f>
        <v>MFH</v>
      </c>
      <c r="J2949" s="6" t="str">
        <f>IFERROR(__xludf.DUMMYFUNCTION("""COMPUTED_VALUE"""),"-")</f>
        <v>-</v>
      </c>
      <c r="K2949" s="6" t="str">
        <f>IFERROR(__xludf.DUMMYFUNCTION("""COMPUTED_VALUE"""),"SPR/25/12/077")</f>
        <v>SPR/25/12/077</v>
      </c>
      <c r="L2949" s="58">
        <f>IFERROR(__xludf.DUMMYFUNCTION("""COMPUTED_VALUE"""),46022.0)</f>
        <v>46022</v>
      </c>
    </row>
    <row r="2950">
      <c r="A2950" s="6" t="str">
        <f>IFERROR(__xludf.DUMMYFUNCTION("""COMPUTED_VALUE"""),"MFH")</f>
        <v>MFH</v>
      </c>
      <c r="B2950" s="6" t="str">
        <f>IFERROR(__xludf.DUMMYFUNCTION("""COMPUTED_VALUE"""),"ENG")</f>
        <v>ENG</v>
      </c>
      <c r="C2950" s="6" t="str">
        <f>IFERROR(__xludf.DUMMYFUNCTION("""COMPUTED_VALUE"""),"O-20300-00")</f>
        <v>O-20300-00</v>
      </c>
      <c r="D2950" s="6" t="str">
        <f>IFERROR(__xludf.DUMMYFUNCTION("""COMPUTED_VALUE"""),"Mixing Tank - Tatakan Sampling Duran 200 70 x 110 x 40 mm Custom/Lokal  -")</f>
        <v>Mixing Tank - Tatakan Sampling Duran 200 70 x 110 x 40 mm Custom/Lokal  -</v>
      </c>
      <c r="E2950" s="6">
        <f>IFERROR(__xludf.DUMMYFUNCTION("""COMPUTED_VALUE"""),1.0)</f>
        <v>1</v>
      </c>
      <c r="F2950" s="6">
        <f>IFERROR(__xludf.DUMMYFUNCTION("""COMPUTED_VALUE"""),1.0)</f>
        <v>1</v>
      </c>
      <c r="G2950" s="6">
        <f>IFERROR(__xludf.DUMMYFUNCTION("""COMPUTED_VALUE"""),0.0)</f>
        <v>0</v>
      </c>
      <c r="H2950" s="6" t="str">
        <f>IFERROR(__xludf.DUMMYFUNCTION("""COMPUTED_VALUE"""),"Pcs")</f>
        <v>Pcs</v>
      </c>
      <c r="I2950" s="6" t="str">
        <f>IFERROR(__xludf.DUMMYFUNCTION("""COMPUTED_VALUE"""),"MFH")</f>
        <v>MFH</v>
      </c>
      <c r="J2950" s="6" t="str">
        <f>IFERROR(__xludf.DUMMYFUNCTION("""COMPUTED_VALUE"""),"-")</f>
        <v>-</v>
      </c>
      <c r="K2950" s="6" t="str">
        <f>IFERROR(__xludf.DUMMYFUNCTION("""COMPUTED_VALUE"""),"SPR/25/12/078")</f>
        <v>SPR/25/12/078</v>
      </c>
      <c r="L2950" s="58">
        <f>IFERROR(__xludf.DUMMYFUNCTION("""COMPUTED_VALUE"""),46022.0)</f>
        <v>46022</v>
      </c>
    </row>
    <row r="2951">
      <c r="A2951" s="6" t="str">
        <f>IFERROR(__xludf.DUMMYFUNCTION("""COMPUTED_VALUE"""),"MFH")</f>
        <v>MFH</v>
      </c>
      <c r="B2951" s="6" t="str">
        <f>IFERROR(__xludf.DUMMYFUNCTION("""COMPUTED_VALUE"""),"ENG")</f>
        <v>ENG</v>
      </c>
      <c r="C2951" s="6" t="str">
        <f>IFERROR(__xludf.DUMMYFUNCTION("""COMPUTED_VALUE"""),"P-53170-00")</f>
        <v>P-53170-00</v>
      </c>
      <c r="D2951" s="6" t="str">
        <f>IFERROR(__xludf.DUMMYFUNCTION("""COMPUTED_VALUE"""),"Ballast Electronic EB-C 128 TL5, 1x28W; Phillips; ;")</f>
        <v>Ballast Electronic EB-C 128 TL5, 1x28W; Phillips; ;</v>
      </c>
      <c r="E2951" s="6">
        <f>IFERROR(__xludf.DUMMYFUNCTION("""COMPUTED_VALUE"""),1.0)</f>
        <v>1</v>
      </c>
      <c r="F2951" s="6">
        <f>IFERROR(__xludf.DUMMYFUNCTION("""COMPUTED_VALUE"""),1.0)</f>
        <v>1</v>
      </c>
      <c r="G2951" s="6">
        <f>IFERROR(__xludf.DUMMYFUNCTION("""COMPUTED_VALUE"""),0.0)</f>
        <v>0</v>
      </c>
      <c r="H2951" s="6" t="str">
        <f>IFERROR(__xludf.DUMMYFUNCTION("""COMPUTED_VALUE"""),"Pcs")</f>
        <v>Pcs</v>
      </c>
      <c r="I2951" s="6" t="str">
        <f>IFERROR(__xludf.DUMMYFUNCTION("""COMPUTED_VALUE"""),"MFH")</f>
        <v>MFH</v>
      </c>
      <c r="J2951" s="6" t="str">
        <f>IFERROR(__xludf.DUMMYFUNCTION("""COMPUTED_VALUE"""),"-")</f>
        <v>-</v>
      </c>
      <c r="K2951" s="6" t="str">
        <f>IFERROR(__xludf.DUMMYFUNCTION("""COMPUTED_VALUE"""),"SPR/25/12/078")</f>
        <v>SPR/25/12/078</v>
      </c>
      <c r="L2951" s="58">
        <f>IFERROR(__xludf.DUMMYFUNCTION("""COMPUTED_VALUE"""),46022.0)</f>
        <v>46022</v>
      </c>
    </row>
    <row r="2952">
      <c r="A2952" s="6" t="str">
        <f>IFERROR(__xludf.DUMMYFUNCTION("""COMPUTED_VALUE"""),"MFH")</f>
        <v>MFH</v>
      </c>
      <c r="B2952" s="6" t="str">
        <f>IFERROR(__xludf.DUMMYFUNCTION("""COMPUTED_VALUE"""),"ENG")</f>
        <v>ENG</v>
      </c>
      <c r="C2952" s="6" t="str">
        <f>IFERROR(__xludf.DUMMYFUNCTION("""COMPUTED_VALUE"""),"O-51850-00")</f>
        <v>O-51850-00</v>
      </c>
      <c r="D2952" s="6" t="str">
        <f>IFERROR(__xludf.DUMMYFUNCTION("""COMPUTED_VALUE"""),"Power Supply 220 VAC 12 VDC, 3 Ampere; ; ;")</f>
        <v>Power Supply 220 VAC 12 VDC, 3 Ampere; ; ;</v>
      </c>
      <c r="E2952" s="6">
        <f>IFERROR(__xludf.DUMMYFUNCTION("""COMPUTED_VALUE"""),1.0)</f>
        <v>1</v>
      </c>
      <c r="F2952" s="6">
        <f>IFERROR(__xludf.DUMMYFUNCTION("""COMPUTED_VALUE"""),1.0)</f>
        <v>1</v>
      </c>
      <c r="G2952" s="6">
        <f>IFERROR(__xludf.DUMMYFUNCTION("""COMPUTED_VALUE"""),0.0)</f>
        <v>0</v>
      </c>
      <c r="H2952" s="6" t="str">
        <f>IFERROR(__xludf.DUMMYFUNCTION("""COMPUTED_VALUE"""),"Pcs")</f>
        <v>Pcs</v>
      </c>
      <c r="I2952" s="6" t="str">
        <f>IFERROR(__xludf.DUMMYFUNCTION("""COMPUTED_VALUE"""),"MFH")</f>
        <v>MFH</v>
      </c>
      <c r="J2952" s="6" t="str">
        <f>IFERROR(__xludf.DUMMYFUNCTION("""COMPUTED_VALUE"""),"-")</f>
        <v>-</v>
      </c>
      <c r="K2952" s="6" t="str">
        <f>IFERROR(__xludf.DUMMYFUNCTION("""COMPUTED_VALUE"""),"SPR/25/12/078")</f>
        <v>SPR/25/12/078</v>
      </c>
      <c r="L2952" s="58">
        <f>IFERROR(__xludf.DUMMYFUNCTION("""COMPUTED_VALUE"""),46022.0)</f>
        <v>46022</v>
      </c>
    </row>
    <row r="2953">
      <c r="A2953" s="6" t="str">
        <f>IFERROR(__xludf.DUMMYFUNCTION("""COMPUTED_VALUE"""),"MFH")</f>
        <v>MFH</v>
      </c>
      <c r="B2953" s="6" t="str">
        <f>IFERROR(__xludf.DUMMYFUNCTION("""COMPUTED_VALUE"""),"ENG")</f>
        <v>ENG</v>
      </c>
      <c r="C2953" s="6" t="str">
        <f>IFERROR(__xludf.DUMMYFUNCTION("""COMPUTED_VALUE"""),"P-53294-00")</f>
        <v>P-53294-00</v>
      </c>
      <c r="D2953" s="6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E2953" s="6">
        <f>IFERROR(__xludf.DUMMYFUNCTION("""COMPUTED_VALUE"""),2.0)</f>
        <v>2</v>
      </c>
      <c r="F2953" s="6">
        <f>IFERROR(__xludf.DUMMYFUNCTION("""COMPUTED_VALUE"""),2.0)</f>
        <v>2</v>
      </c>
      <c r="G2953" s="6">
        <f>IFERROR(__xludf.DUMMYFUNCTION("""COMPUTED_VALUE"""),0.0)</f>
        <v>0</v>
      </c>
      <c r="H2953" s="6" t="str">
        <f>IFERROR(__xludf.DUMMYFUNCTION("""COMPUTED_VALUE"""),"Pcs")</f>
        <v>Pcs</v>
      </c>
      <c r="I2953" s="6" t="str">
        <f>IFERROR(__xludf.DUMMYFUNCTION("""COMPUTED_VALUE"""),"MFH")</f>
        <v>MFH</v>
      </c>
      <c r="J2953" s="6" t="str">
        <f>IFERROR(__xludf.DUMMYFUNCTION("""COMPUTED_VALUE"""),"-")</f>
        <v>-</v>
      </c>
      <c r="K2953" s="6" t="str">
        <f>IFERROR(__xludf.DUMMYFUNCTION("""COMPUTED_VALUE"""),"SPR/25/12/079")</f>
        <v>SPR/25/12/079</v>
      </c>
      <c r="L2953" s="58">
        <f>IFERROR(__xludf.DUMMYFUNCTION("""COMPUTED_VALUE"""),46022.0)</f>
        <v>46022</v>
      </c>
    </row>
    <row r="2954">
      <c r="A2954" s="6" t="str">
        <f>IFERROR(__xludf.DUMMYFUNCTION("""COMPUTED_VALUE"""),"MFH")</f>
        <v>MFH</v>
      </c>
      <c r="B2954" s="6" t="str">
        <f>IFERROR(__xludf.DUMMYFUNCTION("""COMPUTED_VALUE"""),"ENG")</f>
        <v>ENG</v>
      </c>
      <c r="C2954" s="6" t="str">
        <f>IFERROR(__xludf.DUMMYFUNCTION("""COMPUTED_VALUE"""),"P-15834-00")</f>
        <v>P-15834-00</v>
      </c>
      <c r="D2954" s="6" t="str">
        <f>IFERROR(__xludf.DUMMYFUNCTION("""COMPUTED_VALUE"""),"SMC - Pressure Filter Regulator Auto Drain AW40-40DG-A; ; ;")</f>
        <v>SMC - Pressure Filter Regulator Auto Drain AW40-40DG-A; ; ;</v>
      </c>
      <c r="E2954" s="6">
        <f>IFERROR(__xludf.DUMMYFUNCTION("""COMPUTED_VALUE"""),1.0)</f>
        <v>1</v>
      </c>
      <c r="F2954" s="6">
        <f>IFERROR(__xludf.DUMMYFUNCTION("""COMPUTED_VALUE"""),1.0)</f>
        <v>1</v>
      </c>
      <c r="G2954" s="6">
        <f>IFERROR(__xludf.DUMMYFUNCTION("""COMPUTED_VALUE"""),0.0)</f>
        <v>0</v>
      </c>
      <c r="H2954" s="6" t="str">
        <f>IFERROR(__xludf.DUMMYFUNCTION("""COMPUTED_VALUE"""),"Pcs")</f>
        <v>Pcs</v>
      </c>
      <c r="I2954" s="6" t="str">
        <f>IFERROR(__xludf.DUMMYFUNCTION("""COMPUTED_VALUE"""),"MFH")</f>
        <v>MFH</v>
      </c>
      <c r="J2954" s="6" t="str">
        <f>IFERROR(__xludf.DUMMYFUNCTION("""COMPUTED_VALUE"""),"-")</f>
        <v>-</v>
      </c>
      <c r="K2954" s="6" t="str">
        <f>IFERROR(__xludf.DUMMYFUNCTION("""COMPUTED_VALUE"""),"SPR/25/12/079")</f>
        <v>SPR/25/12/079</v>
      </c>
      <c r="L2954" s="58">
        <f>IFERROR(__xludf.DUMMYFUNCTION("""COMPUTED_VALUE"""),46022.0)</f>
        <v>46022</v>
      </c>
    </row>
    <row r="2955">
      <c r="A2955" s="6" t="str">
        <f>IFERROR(__xludf.DUMMYFUNCTION("""COMPUTED_VALUE"""),"MFH")</f>
        <v>MFH</v>
      </c>
      <c r="B2955" s="6" t="str">
        <f>IFERROR(__xludf.DUMMYFUNCTION("""COMPUTED_VALUE"""),"ENG")</f>
        <v>ENG</v>
      </c>
      <c r="C2955" s="6" t="str">
        <f>IFERROR(__xludf.DUMMYFUNCTION("""COMPUTED_VALUE"""),"P-52009-00")</f>
        <v>P-52009-00</v>
      </c>
      <c r="D2955" s="6" t="str">
        <f>IFERROR(__xludf.DUMMYFUNCTION("""COMPUTED_VALUE"""),"Limit Switch;; Omron; Part No. D4MC-1000; 1 pc/pack")</f>
        <v>Limit Switch;; Omron; Part No. D4MC-1000; 1 pc/pack</v>
      </c>
      <c r="E2955" s="6">
        <f>IFERROR(__xludf.DUMMYFUNCTION("""COMPUTED_VALUE"""),3.0)</f>
        <v>3</v>
      </c>
      <c r="F2955" s="6">
        <f>IFERROR(__xludf.DUMMYFUNCTION("""COMPUTED_VALUE"""),3.0)</f>
        <v>3</v>
      </c>
      <c r="G2955" s="6">
        <f>IFERROR(__xludf.DUMMYFUNCTION("""COMPUTED_VALUE"""),0.0)</f>
        <v>0</v>
      </c>
      <c r="H2955" s="6" t="str">
        <f>IFERROR(__xludf.DUMMYFUNCTION("""COMPUTED_VALUE"""),"Pcs")</f>
        <v>Pcs</v>
      </c>
      <c r="I2955" s="6" t="str">
        <f>IFERROR(__xludf.DUMMYFUNCTION("""COMPUTED_VALUE"""),"MFH")</f>
        <v>MFH</v>
      </c>
      <c r="J2955" s="6" t="str">
        <f>IFERROR(__xludf.DUMMYFUNCTION("""COMPUTED_VALUE"""),"-")</f>
        <v>-</v>
      </c>
      <c r="K2955" s="6" t="str">
        <f>IFERROR(__xludf.DUMMYFUNCTION("""COMPUTED_VALUE"""),"SPR/25/12/079")</f>
        <v>SPR/25/12/079</v>
      </c>
      <c r="L2955" s="58">
        <f>IFERROR(__xludf.DUMMYFUNCTION("""COMPUTED_VALUE"""),46022.0)</f>
        <v>46022</v>
      </c>
    </row>
    <row r="2956">
      <c r="A2956" s="6" t="str">
        <f>IFERROR(__xludf.DUMMYFUNCTION("""COMPUTED_VALUE"""),"MFH")</f>
        <v>MFH</v>
      </c>
      <c r="B2956" s="6" t="str">
        <f>IFERROR(__xludf.DUMMYFUNCTION("""COMPUTED_VALUE"""),"ENG")</f>
        <v>ENG</v>
      </c>
      <c r="C2956" s="6" t="str">
        <f>IFERROR(__xludf.DUMMYFUNCTION("""COMPUTED_VALUE"""),"P-10874-00")</f>
        <v>P-10874-00</v>
      </c>
      <c r="D2956" s="6" t="str">
        <f>IFERROR(__xludf.DUMMYFUNCTION("""COMPUTED_VALUE"""),"General - Vlok Sok/Reducer PVC AW 1"" x 1/2""; Rucika; -; 1 pcs")</f>
        <v>General - Vlok Sok/Reducer PVC AW 1" x 1/2"; Rucika; -; 1 pcs</v>
      </c>
      <c r="E2956" s="6">
        <f>IFERROR(__xludf.DUMMYFUNCTION("""COMPUTED_VALUE"""),4.0)</f>
        <v>4</v>
      </c>
      <c r="F2956" s="6">
        <f>IFERROR(__xludf.DUMMYFUNCTION("""COMPUTED_VALUE"""),4.0)</f>
        <v>4</v>
      </c>
      <c r="G2956" s="6">
        <f>IFERROR(__xludf.DUMMYFUNCTION("""COMPUTED_VALUE"""),0.0)</f>
        <v>0</v>
      </c>
      <c r="H2956" s="6" t="str">
        <f>IFERROR(__xludf.DUMMYFUNCTION("""COMPUTED_VALUE"""),"Pcs")</f>
        <v>Pcs</v>
      </c>
      <c r="I2956" s="6" t="str">
        <f>IFERROR(__xludf.DUMMYFUNCTION("""COMPUTED_VALUE"""),"MFH")</f>
        <v>MFH</v>
      </c>
      <c r="J2956" s="6" t="str">
        <f>IFERROR(__xludf.DUMMYFUNCTION("""COMPUTED_VALUE"""),"-")</f>
        <v>-</v>
      </c>
      <c r="K2956" s="6" t="str">
        <f>IFERROR(__xludf.DUMMYFUNCTION("""COMPUTED_VALUE"""),"SPR/25/12/080")</f>
        <v>SPR/25/12/080</v>
      </c>
      <c r="L2956" s="58">
        <f>IFERROR(__xludf.DUMMYFUNCTION("""COMPUTED_VALUE"""),46022.0)</f>
        <v>46022</v>
      </c>
    </row>
    <row r="2957">
      <c r="A2957" s="6" t="str">
        <f>IFERROR(__xludf.DUMMYFUNCTION("""COMPUTED_VALUE"""),"MFH")</f>
        <v>MFH</v>
      </c>
      <c r="B2957" s="6" t="str">
        <f>IFERROR(__xludf.DUMMYFUNCTION("""COMPUTED_VALUE"""),"ENG")</f>
        <v>ENG</v>
      </c>
      <c r="C2957" s="6" t="str">
        <f>IFERROR(__xludf.DUMMYFUNCTION("""COMPUTED_VALUE"""),"O-16033-00")</f>
        <v>O-16033-00</v>
      </c>
      <c r="D2957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2957" s="6">
        <f>IFERROR(__xludf.DUMMYFUNCTION("""COMPUTED_VALUE"""),2.0)</f>
        <v>2</v>
      </c>
      <c r="F2957" s="6">
        <f>IFERROR(__xludf.DUMMYFUNCTION("""COMPUTED_VALUE"""),2.0)</f>
        <v>2</v>
      </c>
      <c r="G2957" s="6">
        <f>IFERROR(__xludf.DUMMYFUNCTION("""COMPUTED_VALUE"""),0.0)</f>
        <v>0</v>
      </c>
      <c r="H2957" s="6" t="str">
        <f>IFERROR(__xludf.DUMMYFUNCTION("""COMPUTED_VALUE"""),"Pcs")</f>
        <v>Pcs</v>
      </c>
      <c r="I2957" s="6" t="str">
        <f>IFERROR(__xludf.DUMMYFUNCTION("""COMPUTED_VALUE"""),"MFH")</f>
        <v>MFH</v>
      </c>
      <c r="J2957" s="6" t="str">
        <f>IFERROR(__xludf.DUMMYFUNCTION("""COMPUTED_VALUE"""),"-")</f>
        <v>-</v>
      </c>
      <c r="K2957" s="6" t="str">
        <f>IFERROR(__xludf.DUMMYFUNCTION("""COMPUTED_VALUE"""),"SPR/25/12/080")</f>
        <v>SPR/25/12/080</v>
      </c>
      <c r="L2957" s="58">
        <f>IFERROR(__xludf.DUMMYFUNCTION("""COMPUTED_VALUE"""),46022.0)</f>
        <v>46022</v>
      </c>
    </row>
    <row r="2958">
      <c r="A2958" s="6" t="str">
        <f>IFERROR(__xludf.DUMMYFUNCTION("""COMPUTED_VALUE"""),"MFH")</f>
        <v>MFH</v>
      </c>
      <c r="B2958" s="6" t="str">
        <f>IFERROR(__xludf.DUMMYFUNCTION("""COMPUTED_VALUE"""),"ENG")</f>
        <v>ENG</v>
      </c>
      <c r="C2958" s="6" t="str">
        <f>IFERROR(__xludf.DUMMYFUNCTION("""COMPUTED_VALUE"""),"O-18870-00")</f>
        <v>O-18870-00</v>
      </c>
      <c r="D2958" s="6" t="str">
        <f>IFERROR(__xludf.DUMMYFUNCTION("""COMPUTED_VALUE"""),"Oring Silicone Merah 18.4x13x2.7 mm; ; ;")</f>
        <v>Oring Silicone Merah 18.4x13x2.7 mm; ; ;</v>
      </c>
      <c r="E2958" s="6">
        <f>IFERROR(__xludf.DUMMYFUNCTION("""COMPUTED_VALUE"""),20.0)</f>
        <v>20</v>
      </c>
      <c r="F2958" s="6">
        <f>IFERROR(__xludf.DUMMYFUNCTION("""COMPUTED_VALUE"""),20.0)</f>
        <v>20</v>
      </c>
      <c r="G2958" s="6">
        <f>IFERROR(__xludf.DUMMYFUNCTION("""COMPUTED_VALUE"""),0.0)</f>
        <v>0</v>
      </c>
      <c r="H2958" s="6" t="str">
        <f>IFERROR(__xludf.DUMMYFUNCTION("""COMPUTED_VALUE"""),"Pcs")</f>
        <v>Pcs</v>
      </c>
      <c r="I2958" s="6" t="str">
        <f>IFERROR(__xludf.DUMMYFUNCTION("""COMPUTED_VALUE"""),"MFH")</f>
        <v>MFH</v>
      </c>
      <c r="J2958" s="6" t="str">
        <f>IFERROR(__xludf.DUMMYFUNCTION("""COMPUTED_VALUE"""),"-")</f>
        <v>-</v>
      </c>
      <c r="K2958" s="6" t="str">
        <f>IFERROR(__xludf.DUMMYFUNCTION("""COMPUTED_VALUE"""),"SPR/25/12/080")</f>
        <v>SPR/25/12/080</v>
      </c>
      <c r="L2958" s="58">
        <f>IFERROR(__xludf.DUMMYFUNCTION("""COMPUTED_VALUE"""),46022.0)</f>
        <v>46022</v>
      </c>
    </row>
    <row r="2959">
      <c r="A2959" s="6" t="str">
        <f>IFERROR(__xludf.DUMMYFUNCTION("""COMPUTED_VALUE"""),"MFH")</f>
        <v>MFH</v>
      </c>
      <c r="B2959" s="6" t="str">
        <f>IFERROR(__xludf.DUMMYFUNCTION("""COMPUTED_VALUE"""),"ENG")</f>
        <v>ENG</v>
      </c>
      <c r="C2959" s="6" t="str">
        <f>IFERROR(__xludf.DUMMYFUNCTION("""COMPUTED_VALUE"""),"Q-10128-00")</f>
        <v>Q-10128-00</v>
      </c>
      <c r="D2959" s="6" t="str">
        <f>IFERROR(__xludf.DUMMYFUNCTION("""COMPUTED_VALUE"""),"Thinner Super End/Impala")</f>
        <v>Thinner Super End/Impala</v>
      </c>
      <c r="E2959" s="6">
        <f>IFERROR(__xludf.DUMMYFUNCTION("""COMPUTED_VALUE"""),17.0)</f>
        <v>17</v>
      </c>
      <c r="F2959" s="6">
        <f>IFERROR(__xludf.DUMMYFUNCTION("""COMPUTED_VALUE"""),17.0)</f>
        <v>17</v>
      </c>
      <c r="G2959" s="6">
        <f>IFERROR(__xludf.DUMMYFUNCTION("""COMPUTED_VALUE"""),0.0)</f>
        <v>0</v>
      </c>
      <c r="H2959" s="6" t="str">
        <f>IFERROR(__xludf.DUMMYFUNCTION("""COMPUTED_VALUE"""),"Pcs")</f>
        <v>Pcs</v>
      </c>
      <c r="I2959" s="6" t="str">
        <f>IFERROR(__xludf.DUMMYFUNCTION("""COMPUTED_VALUE"""),"MFH")</f>
        <v>MFH</v>
      </c>
      <c r="J2959" s="6" t="str">
        <f>IFERROR(__xludf.DUMMYFUNCTION("""COMPUTED_VALUE"""),"-")</f>
        <v>-</v>
      </c>
      <c r="K2959" s="6" t="str">
        <f>IFERROR(__xludf.DUMMYFUNCTION("""COMPUTED_VALUE"""),"SPR/25/12/081")</f>
        <v>SPR/25/12/081</v>
      </c>
      <c r="L2959" s="58">
        <f>IFERROR(__xludf.DUMMYFUNCTION("""COMPUTED_VALUE"""),46022.0)</f>
        <v>46022</v>
      </c>
    </row>
    <row r="2960">
      <c r="A2960" s="6" t="str">
        <f>IFERROR(__xludf.DUMMYFUNCTION("""COMPUTED_VALUE"""),"MFH")</f>
        <v>MFH</v>
      </c>
      <c r="B2960" s="6" t="str">
        <f>IFERROR(__xludf.DUMMYFUNCTION("""COMPUTED_VALUE"""),"ENG")</f>
        <v>ENG</v>
      </c>
      <c r="C2960" s="6" t="str">
        <f>IFERROR(__xludf.DUMMYFUNCTION("""COMPUTED_VALUE"""),"P-17645-00")</f>
        <v>P-17645-00</v>
      </c>
      <c r="D2960" s="6" t="str">
        <f>IFERROR(__xludf.DUMMYFUNCTION("""COMPUTED_VALUE"""),"Sodium Hiphoclorite; ; ; ltr")</f>
        <v>Sodium Hiphoclorite; ; ; ltr</v>
      </c>
      <c r="E2960" s="6">
        <f>IFERROR(__xludf.DUMMYFUNCTION("""COMPUTED_VALUE"""),565.0)</f>
        <v>565</v>
      </c>
      <c r="F2960" s="6">
        <f>IFERROR(__xludf.DUMMYFUNCTION("""COMPUTED_VALUE"""),565.0)</f>
        <v>565</v>
      </c>
      <c r="G2960" s="6">
        <f>IFERROR(__xludf.DUMMYFUNCTION("""COMPUTED_VALUE"""),0.0)</f>
        <v>0</v>
      </c>
      <c r="H2960" s="6" t="str">
        <f>IFERROR(__xludf.DUMMYFUNCTION("""COMPUTED_VALUE"""),"Pcs")</f>
        <v>Pcs</v>
      </c>
      <c r="I2960" s="6" t="str">
        <f>IFERROR(__xludf.DUMMYFUNCTION("""COMPUTED_VALUE"""),"MFH")</f>
        <v>MFH</v>
      </c>
      <c r="J2960" s="6" t="str">
        <f>IFERROR(__xludf.DUMMYFUNCTION("""COMPUTED_VALUE"""),"-")</f>
        <v>-</v>
      </c>
      <c r="K2960" s="6" t="str">
        <f>IFERROR(__xludf.DUMMYFUNCTION("""COMPUTED_VALUE"""),"SPR/25/12/081")</f>
        <v>SPR/25/12/081</v>
      </c>
      <c r="L2960" s="58">
        <f>IFERROR(__xludf.DUMMYFUNCTION("""COMPUTED_VALUE"""),46022.0)</f>
        <v>46022</v>
      </c>
    </row>
    <row r="2961">
      <c r="A2961" s="6" t="str">
        <f>IFERROR(__xludf.DUMMYFUNCTION("""COMPUTED_VALUE"""),"ROS")</f>
        <v>ROS</v>
      </c>
      <c r="B2961" s="6" t="str">
        <f>IFERROR(__xludf.DUMMYFUNCTION("""COMPUTED_VALUE"""),"ENG")</f>
        <v>ENG</v>
      </c>
      <c r="C2961" s="6" t="str">
        <f>IFERROR(__xludf.DUMMYFUNCTION("""COMPUTED_VALUE"""),"P-11182-00")</f>
        <v>P-11182-00</v>
      </c>
      <c r="D2961" s="6" t="str">
        <f>IFERROR(__xludf.DUMMYFUNCTION("""COMPUTED_VALUE"""),"Pneumatic Fitting - QS 6 / Festo")</f>
        <v>Pneumatic Fitting - QS 6 / Festo</v>
      </c>
      <c r="E2961" s="6">
        <f>IFERROR(__xludf.DUMMYFUNCTION("""COMPUTED_VALUE"""),3.0)</f>
        <v>3</v>
      </c>
      <c r="F2961" s="6">
        <f>IFERROR(__xludf.DUMMYFUNCTION("""COMPUTED_VALUE"""),3.0)</f>
        <v>3</v>
      </c>
      <c r="G2961" s="6">
        <f>IFERROR(__xludf.DUMMYFUNCTION("""COMPUTED_VALUE"""),0.0)</f>
        <v>0</v>
      </c>
      <c r="H2961" s="6" t="str">
        <f>IFERROR(__xludf.DUMMYFUNCTION("""COMPUTED_VALUE"""),"Pcs")</f>
        <v>Pcs</v>
      </c>
      <c r="I2961" s="6" t="str">
        <f>IFERROR(__xludf.DUMMYFUNCTION("""COMPUTED_VALUE"""),"MFH")</f>
        <v>MFH</v>
      </c>
      <c r="J2961" s="6" t="str">
        <f>IFERROR(__xludf.DUMMYFUNCTION("""COMPUTED_VALUE"""),"Mixing ")</f>
        <v>Mixing </v>
      </c>
      <c r="K2961" s="6" t="str">
        <f>IFERROR(__xludf.DUMMYFUNCTION("""COMPUTED_VALUE"""),"SPR/25/12/082")</f>
        <v>SPR/25/12/082</v>
      </c>
      <c r="L2961" s="58">
        <f>IFERROR(__xludf.DUMMYFUNCTION("""COMPUTED_VALUE"""),46022.0)</f>
        <v>46022</v>
      </c>
    </row>
    <row r="2962">
      <c r="A2962" s="6" t="str">
        <f>IFERROR(__xludf.DUMMYFUNCTION("""COMPUTED_VALUE"""),"ROS")</f>
        <v>ROS</v>
      </c>
      <c r="B2962" s="6" t="str">
        <f>IFERROR(__xludf.DUMMYFUNCTION("""COMPUTED_VALUE"""),"ENG")</f>
        <v>ENG</v>
      </c>
      <c r="C2962" s="6" t="str">
        <f>IFERROR(__xludf.DUMMYFUNCTION("""COMPUTED_VALUE"""),"O-21007-00")</f>
        <v>O-21007-00</v>
      </c>
      <c r="D2962" s="6" t="str">
        <f>IFERROR(__xludf.DUMMYFUNCTION("""COMPUTED_VALUE"""),"Filling VFM100 - Handle Manual Valve Hexagon 60x27; Custom/Lokal; -; 1 Pc")</f>
        <v>Filling VFM100 - Handle Manual Valve Hexagon 60x27; Custom/Lokal; -; 1 Pc</v>
      </c>
      <c r="E2962" s="6">
        <f>IFERROR(__xludf.DUMMYFUNCTION("""COMPUTED_VALUE"""),1.0)</f>
        <v>1</v>
      </c>
      <c r="F2962" s="6">
        <f>IFERROR(__xludf.DUMMYFUNCTION("""COMPUTED_VALUE"""),1.0)</f>
        <v>1</v>
      </c>
      <c r="G2962" s="6">
        <f>IFERROR(__xludf.DUMMYFUNCTION("""COMPUTED_VALUE"""),0.0)</f>
        <v>0</v>
      </c>
      <c r="H2962" s="6" t="str">
        <f>IFERROR(__xludf.DUMMYFUNCTION("""COMPUTED_VALUE"""),"Pcs")</f>
        <v>Pcs</v>
      </c>
      <c r="I2962" s="6" t="str">
        <f>IFERROR(__xludf.DUMMYFUNCTION("""COMPUTED_VALUE"""),"MFH")</f>
        <v>MFH</v>
      </c>
      <c r="J2962" s="6" t="str">
        <f>IFERROR(__xludf.DUMMYFUNCTION("""COMPUTED_VALUE"""),"-")</f>
        <v>-</v>
      </c>
      <c r="K2962" s="6" t="str">
        <f>IFERROR(__xludf.DUMMYFUNCTION("""COMPUTED_VALUE"""),"SPR/25/12/082")</f>
        <v>SPR/25/12/082</v>
      </c>
      <c r="L2962" s="58">
        <f>IFERROR(__xludf.DUMMYFUNCTION("""COMPUTED_VALUE"""),46022.0)</f>
        <v>46022</v>
      </c>
    </row>
    <row r="2963">
      <c r="A2963" s="6" t="str">
        <f>IFERROR(__xludf.DUMMYFUNCTION("""COMPUTED_VALUE"""),"BDU")</f>
        <v>BDU</v>
      </c>
      <c r="B2963" s="6" t="str">
        <f>IFERROR(__xludf.DUMMYFUNCTION("""COMPUTED_VALUE"""),"ENG")</f>
        <v>ENG</v>
      </c>
      <c r="C2963" s="6" t="str">
        <f>IFERROR(__xludf.DUMMYFUNCTION("""COMPUTED_VALUE"""),"P-14455-00")</f>
        <v>P-14455-00</v>
      </c>
      <c r="D2963" s="6" t="str">
        <f>IFERROR(__xludf.DUMMYFUNCTION("""COMPUTED_VALUE"""),"General - Filter IAF MBV Series (Medium Filter), efficiency : 80-85 %, Size: 24 x 24 x 12 inch; IAF; -; 1 pcs")</f>
        <v>General - Filter IAF MBV Series (Medium Filter), efficiency : 80-85 %, Size: 24 x 24 x 12 inch; IAF; -; 1 pcs</v>
      </c>
      <c r="E2963" s="6">
        <f>IFERROR(__xludf.DUMMYFUNCTION("""COMPUTED_VALUE"""),2.0)</f>
        <v>2</v>
      </c>
      <c r="F2963" s="6">
        <f>IFERROR(__xludf.DUMMYFUNCTION("""COMPUTED_VALUE"""),2.0)</f>
        <v>2</v>
      </c>
      <c r="G2963" s="6">
        <f>IFERROR(__xludf.DUMMYFUNCTION("""COMPUTED_VALUE"""),0.0)</f>
        <v>0</v>
      </c>
      <c r="H2963" s="6" t="str">
        <f>IFERROR(__xludf.DUMMYFUNCTION("""COMPUTED_VALUE"""),"Pcs")</f>
        <v>Pcs</v>
      </c>
      <c r="I2963" s="6" t="str">
        <f>IFERROR(__xludf.DUMMYFUNCTION("""COMPUTED_VALUE"""),"MFH")</f>
        <v>MFH</v>
      </c>
      <c r="J2963" s="6" t="str">
        <f>IFERROR(__xludf.DUMMYFUNCTION("""COMPUTED_VALUE"""),"AHU")</f>
        <v>AHU</v>
      </c>
      <c r="K2963" s="6" t="str">
        <f>IFERROR(__xludf.DUMMYFUNCTION("""COMPUTED_VALUE"""),"SPR/25/12/083")</f>
        <v>SPR/25/12/083</v>
      </c>
      <c r="L2963" s="58">
        <f>IFERROR(__xludf.DUMMYFUNCTION("""COMPUTED_VALUE"""),46022.0)</f>
        <v>46022</v>
      </c>
    </row>
    <row r="2964">
      <c r="A2964" s="6" t="str">
        <f>IFERROR(__xludf.DUMMYFUNCTION("""COMPUTED_VALUE"""),"BDU")</f>
        <v>BDU</v>
      </c>
      <c r="B2964" s="6" t="str">
        <f>IFERROR(__xludf.DUMMYFUNCTION("""COMPUTED_VALUE"""),"ENG")</f>
        <v>ENG</v>
      </c>
      <c r="C2964" s="6" t="str">
        <f>IFERROR(__xludf.DUMMYFUNCTION("""COMPUTED_VALUE"""),"P-14456-00")</f>
        <v>P-14456-00</v>
      </c>
      <c r="D2964" s="6" t="str">
        <f>IFERROR(__xludf.DUMMYFUNCTION("""COMPUTED_VALUE"""),"General - Filter IAF MBV Series (Medium Filter), efficiency : 80-85 %, Size: 12 x 24 x 12 inch; IAF; -; 1 pcs")</f>
        <v>General - Filter IAF MBV Series (Medium Filter), efficiency : 80-85 %, Size: 12 x 24 x 12 inch; IAF; -; 1 pcs</v>
      </c>
      <c r="E2964" s="6">
        <f>IFERROR(__xludf.DUMMYFUNCTION("""COMPUTED_VALUE"""),2.0)</f>
        <v>2</v>
      </c>
      <c r="F2964" s="6">
        <f>IFERROR(__xludf.DUMMYFUNCTION("""COMPUTED_VALUE"""),2.0)</f>
        <v>2</v>
      </c>
      <c r="G2964" s="6">
        <f>IFERROR(__xludf.DUMMYFUNCTION("""COMPUTED_VALUE"""),0.0)</f>
        <v>0</v>
      </c>
      <c r="H2964" s="6" t="str">
        <f>IFERROR(__xludf.DUMMYFUNCTION("""COMPUTED_VALUE"""),"Pcs")</f>
        <v>Pcs</v>
      </c>
      <c r="I2964" s="6" t="str">
        <f>IFERROR(__xludf.DUMMYFUNCTION("""COMPUTED_VALUE"""),"MFH")</f>
        <v>MFH</v>
      </c>
      <c r="J2964" s="6" t="str">
        <f>IFERROR(__xludf.DUMMYFUNCTION("""COMPUTED_VALUE"""),"AHU")</f>
        <v>AHU</v>
      </c>
      <c r="K2964" s="6" t="str">
        <f>IFERROR(__xludf.DUMMYFUNCTION("""COMPUTED_VALUE"""),"SPR/25/12/083")</f>
        <v>SPR/25/12/083</v>
      </c>
      <c r="L2964" s="58">
        <f>IFERROR(__xludf.DUMMYFUNCTION("""COMPUTED_VALUE"""),46022.0)</f>
        <v>46022</v>
      </c>
    </row>
    <row r="2965">
      <c r="A2965" s="6" t="str">
        <f>IFERROR(__xludf.DUMMYFUNCTION("""COMPUTED_VALUE"""),"MRN")</f>
        <v>MRN</v>
      </c>
      <c r="B2965" s="6" t="str">
        <f>IFERROR(__xludf.DUMMYFUNCTION("""COMPUTED_VALUE"""),"ENG")</f>
        <v>ENG</v>
      </c>
      <c r="C2965" s="6" t="str">
        <f>IFERROR(__xludf.DUMMYFUNCTION("""COMPUTED_VALUE"""),"P-50430-00")</f>
        <v>P-50430-00</v>
      </c>
      <c r="D2965" s="6" t="str">
        <f>IFERROR(__xludf.DUMMYFUNCTION("""COMPUTED_VALUE"""),"Pilot Lamps / Red / 24 VDC / AD22-221DSI / AXLE")</f>
        <v>Pilot Lamps / Red / 24 VDC / AD22-221DSI / AXLE</v>
      </c>
      <c r="E2965" s="6">
        <f>IFERROR(__xludf.DUMMYFUNCTION("""COMPUTED_VALUE"""),3.0)</f>
        <v>3</v>
      </c>
      <c r="F2965" s="6">
        <f>IFERROR(__xludf.DUMMYFUNCTION("""COMPUTED_VALUE"""),3.0)</f>
        <v>3</v>
      </c>
      <c r="G2965" s="6">
        <f>IFERROR(__xludf.DUMMYFUNCTION("""COMPUTED_VALUE"""),0.0)</f>
        <v>0</v>
      </c>
      <c r="H2965" s="6" t="str">
        <f>IFERROR(__xludf.DUMMYFUNCTION("""COMPUTED_VALUE"""),"Pcs")</f>
        <v>Pcs</v>
      </c>
      <c r="I2965" s="6" t="str">
        <f>IFERROR(__xludf.DUMMYFUNCTION("""COMPUTED_VALUE"""),"MFH")</f>
        <v>MFH</v>
      </c>
      <c r="J2965" s="6" t="str">
        <f>IFERROR(__xludf.DUMMYFUNCTION("""COMPUTED_VALUE"""),"Lab")</f>
        <v>Lab</v>
      </c>
      <c r="K2965" s="6" t="str">
        <f>IFERROR(__xludf.DUMMYFUNCTION("""COMPUTED_VALUE"""),"SPR/25/12/084")</f>
        <v>SPR/25/12/084</v>
      </c>
      <c r="L2965" s="58">
        <f>IFERROR(__xludf.DUMMYFUNCTION("""COMPUTED_VALUE"""),46022.0)</f>
        <v>46022</v>
      </c>
    </row>
    <row r="2966">
      <c r="A2966" s="6" t="str">
        <f>IFERROR(__xludf.DUMMYFUNCTION("""COMPUTED_VALUE"""),"MRN")</f>
        <v>MRN</v>
      </c>
      <c r="B2966" s="6" t="str">
        <f>IFERROR(__xludf.DUMMYFUNCTION("""COMPUTED_VALUE"""),"ENG")</f>
        <v>ENG</v>
      </c>
      <c r="C2966" s="6" t="str">
        <f>IFERROR(__xludf.DUMMYFUNCTION("""COMPUTED_VALUE"""),"P-11169-00")</f>
        <v>P-11169-00</v>
      </c>
      <c r="D2966" s="6" t="str">
        <f>IFERROR(__xludf.DUMMYFUNCTION("""COMPUTED_VALUE"""),"General - Push-in Fitting, QS-1/4-6; Festo; 153003; 1 pcs")</f>
        <v>General - Push-in Fitting, QS-1/4-6; Festo; 153003; 1 pcs</v>
      </c>
      <c r="E2966" s="6">
        <f>IFERROR(__xludf.DUMMYFUNCTION("""COMPUTED_VALUE"""),3.0)</f>
        <v>3</v>
      </c>
      <c r="F2966" s="6">
        <f>IFERROR(__xludf.DUMMYFUNCTION("""COMPUTED_VALUE"""),3.0)</f>
        <v>3</v>
      </c>
      <c r="G2966" s="6">
        <f>IFERROR(__xludf.DUMMYFUNCTION("""COMPUTED_VALUE"""),0.0)</f>
        <v>0</v>
      </c>
      <c r="H2966" s="6" t="str">
        <f>IFERROR(__xludf.DUMMYFUNCTION("""COMPUTED_VALUE"""),"Pcs")</f>
        <v>Pcs</v>
      </c>
      <c r="I2966" s="6" t="str">
        <f>IFERROR(__xludf.DUMMYFUNCTION("""COMPUTED_VALUE"""),"MFH")</f>
        <v>MFH</v>
      </c>
      <c r="J2966" s="6" t="str">
        <f>IFERROR(__xludf.DUMMYFUNCTION("""COMPUTED_VALUE"""),"Lab")</f>
        <v>Lab</v>
      </c>
      <c r="K2966" s="6" t="str">
        <f>IFERROR(__xludf.DUMMYFUNCTION("""COMPUTED_VALUE"""),"SPR/25/12/084")</f>
        <v>SPR/25/12/084</v>
      </c>
      <c r="L2966" s="58">
        <f>IFERROR(__xludf.DUMMYFUNCTION("""COMPUTED_VALUE"""),46022.0)</f>
        <v>46022</v>
      </c>
    </row>
    <row r="2967">
      <c r="A2967" s="6" t="str">
        <f>IFERROR(__xludf.DUMMYFUNCTION("""COMPUTED_VALUE"""),"MRN")</f>
        <v>MRN</v>
      </c>
      <c r="B2967" s="6" t="str">
        <f>IFERROR(__xludf.DUMMYFUNCTION("""COMPUTED_VALUE"""),"ENG")</f>
        <v>ENG</v>
      </c>
      <c r="C2967" s="6" t="str">
        <f>IFERROR(__xludf.DUMMYFUNCTION("""COMPUTED_VALUE"""),"P-51793-00")</f>
        <v>P-51793-00</v>
      </c>
      <c r="D2967" s="6" t="str">
        <f>IFERROR(__xludf.DUMMYFUNCTION("""COMPUTED_VALUE"""),"Junction Box 20x30x15 cm; ; ;")</f>
        <v>Junction Box 20x30x15 cm; ; ;</v>
      </c>
      <c r="E2967" s="6">
        <f>IFERROR(__xludf.DUMMYFUNCTION("""COMPUTED_VALUE"""),1.0)</f>
        <v>1</v>
      </c>
      <c r="F2967" s="6">
        <f>IFERROR(__xludf.DUMMYFUNCTION("""COMPUTED_VALUE"""),1.0)</f>
        <v>1</v>
      </c>
      <c r="G2967" s="6">
        <f>IFERROR(__xludf.DUMMYFUNCTION("""COMPUTED_VALUE"""),0.0)</f>
        <v>0</v>
      </c>
      <c r="H2967" s="6" t="str">
        <f>IFERROR(__xludf.DUMMYFUNCTION("""COMPUTED_VALUE"""),"Pcs")</f>
        <v>Pcs</v>
      </c>
      <c r="I2967" s="6" t="str">
        <f>IFERROR(__xludf.DUMMYFUNCTION("""COMPUTED_VALUE"""),"MFH")</f>
        <v>MFH</v>
      </c>
      <c r="J2967" s="6" t="str">
        <f>IFERROR(__xludf.DUMMYFUNCTION("""COMPUTED_VALUE"""),"Lab")</f>
        <v>Lab</v>
      </c>
      <c r="K2967" s="6" t="str">
        <f>IFERROR(__xludf.DUMMYFUNCTION("""COMPUTED_VALUE"""),"SPR/25/12/084")</f>
        <v>SPR/25/12/084</v>
      </c>
      <c r="L2967" s="58">
        <f>IFERROR(__xludf.DUMMYFUNCTION("""COMPUTED_VALUE"""),46022.0)</f>
        <v>46022</v>
      </c>
    </row>
    <row r="2968">
      <c r="A2968" s="6" t="str">
        <f>IFERROR(__xludf.DUMMYFUNCTION("""COMPUTED_VALUE"""),"MFH")</f>
        <v>MFH</v>
      </c>
      <c r="B2968" s="6" t="str">
        <f>IFERROR(__xludf.DUMMYFUNCTION("""COMPUTED_VALUE"""),"ENG")</f>
        <v>ENG</v>
      </c>
      <c r="C2968" s="6" t="str">
        <f>IFERROR(__xludf.DUMMYFUNCTION("""COMPUTED_VALUE"""),"P-19987-00")</f>
        <v>P-19987-00</v>
      </c>
      <c r="D2968" s="6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E2968" s="6">
        <f>IFERROR(__xludf.DUMMYFUNCTION("""COMPUTED_VALUE"""),1.0)</f>
        <v>1</v>
      </c>
      <c r="F2968" s="6">
        <f>IFERROR(__xludf.DUMMYFUNCTION("""COMPUTED_VALUE"""),1.0)</f>
        <v>1</v>
      </c>
      <c r="G2968" s="6">
        <f>IFERROR(__xludf.DUMMYFUNCTION("""COMPUTED_VALUE"""),0.0)</f>
        <v>0</v>
      </c>
      <c r="H2968" s="6" t="str">
        <f>IFERROR(__xludf.DUMMYFUNCTION("""COMPUTED_VALUE"""),"Pcs")</f>
        <v>Pcs</v>
      </c>
      <c r="I2968" s="6" t="str">
        <f>IFERROR(__xludf.DUMMYFUNCTION("""COMPUTED_VALUE"""),"MFH")</f>
        <v>MFH</v>
      </c>
      <c r="J2968" s="6" t="str">
        <f>IFERROR(__xludf.DUMMYFUNCTION("""COMPUTED_VALUE"""),"-")</f>
        <v>-</v>
      </c>
      <c r="K2968" s="6" t="str">
        <f>IFERROR(__xludf.DUMMYFUNCTION("""COMPUTED_VALUE"""),"SPR/25/12/085")</f>
        <v>SPR/25/12/085</v>
      </c>
      <c r="L2968" s="58">
        <f>IFERROR(__xludf.DUMMYFUNCTION("""COMPUTED_VALUE"""),46022.0)</f>
        <v>46022</v>
      </c>
    </row>
    <row r="2969">
      <c r="A2969" s="6" t="str">
        <f>IFERROR(__xludf.DUMMYFUNCTION("""COMPUTED_VALUE"""),"MFH")</f>
        <v>MFH</v>
      </c>
      <c r="B2969" s="6" t="str">
        <f>IFERROR(__xludf.DUMMYFUNCTION("""COMPUTED_VALUE"""),"ENG")</f>
        <v>ENG</v>
      </c>
      <c r="C2969" s="6" t="str">
        <f>IFERROR(__xludf.DUMMYFUNCTION("""COMPUTED_VALUE"""),"O-20911-00")</f>
        <v>O-20911-00</v>
      </c>
      <c r="D2969" s="6" t="str">
        <f>IFERROR(__xludf.DUMMYFUNCTION("""COMPUTED_VALUE"""),"Capping VCM200 - Format Part 6R Uk 15x275x478; Custom/Lokal; -; 1 Pc")</f>
        <v>Capping VCM200 - Format Part 6R Uk 15x275x478; Custom/Lokal; -; 1 Pc</v>
      </c>
      <c r="E2969" s="6">
        <f>IFERROR(__xludf.DUMMYFUNCTION("""COMPUTED_VALUE"""),1.0)</f>
        <v>1</v>
      </c>
      <c r="F2969" s="6">
        <f>IFERROR(__xludf.DUMMYFUNCTION("""COMPUTED_VALUE"""),1.0)</f>
        <v>1</v>
      </c>
      <c r="G2969" s="6">
        <f>IFERROR(__xludf.DUMMYFUNCTION("""COMPUTED_VALUE"""),0.0)</f>
        <v>0</v>
      </c>
      <c r="H2969" s="6" t="str">
        <f>IFERROR(__xludf.DUMMYFUNCTION("""COMPUTED_VALUE"""),"Pcs")</f>
        <v>Pcs</v>
      </c>
      <c r="I2969" s="6" t="str">
        <f>IFERROR(__xludf.DUMMYFUNCTION("""COMPUTED_VALUE"""),"MFH")</f>
        <v>MFH</v>
      </c>
      <c r="J2969" s="6" t="str">
        <f>IFERROR(__xludf.DUMMYFUNCTION("""COMPUTED_VALUE"""),"-")</f>
        <v>-</v>
      </c>
      <c r="K2969" s="6" t="str">
        <f>IFERROR(__xludf.DUMMYFUNCTION("""COMPUTED_VALUE"""),"SPR/25/12/085")</f>
        <v>SPR/25/12/085</v>
      </c>
      <c r="L2969" s="58">
        <f>IFERROR(__xludf.DUMMYFUNCTION("""COMPUTED_VALUE"""),46022.0)</f>
        <v>46022</v>
      </c>
    </row>
    <row r="2970">
      <c r="A2970" s="6" t="str">
        <f>IFERROR(__xludf.DUMMYFUNCTION("""COMPUTED_VALUE"""),"MFH")</f>
        <v>MFH</v>
      </c>
      <c r="B2970" s="6" t="str">
        <f>IFERROR(__xludf.DUMMYFUNCTION("""COMPUTED_VALUE"""),"ENG")</f>
        <v>ENG</v>
      </c>
      <c r="C2970" s="6" t="str">
        <f>IFERROR(__xludf.DUMMYFUNCTION("""COMPUTED_VALUE"""),"P-19844-00")</f>
        <v>P-19844-00</v>
      </c>
      <c r="D2970" s="6" t="str">
        <f>IFERROR(__xludf.DUMMYFUNCTION("""COMPUTED_VALUE"""),"General - Drain Pan WIHC; Custom Agru Farma; -; 1 pc")</f>
        <v>General - Drain Pan WIHC; Custom Agru Farma; -; 1 pc</v>
      </c>
      <c r="E2970" s="6">
        <f>IFERROR(__xludf.DUMMYFUNCTION("""COMPUTED_VALUE"""),1.0)</f>
        <v>1</v>
      </c>
      <c r="F2970" s="6">
        <f>IFERROR(__xludf.DUMMYFUNCTION("""COMPUTED_VALUE"""),1.0)</f>
        <v>1</v>
      </c>
      <c r="G2970" s="6">
        <f>IFERROR(__xludf.DUMMYFUNCTION("""COMPUTED_VALUE"""),0.0)</f>
        <v>0</v>
      </c>
      <c r="H2970" s="6" t="str">
        <f>IFERROR(__xludf.DUMMYFUNCTION("""COMPUTED_VALUE"""),"Pcs")</f>
        <v>Pcs</v>
      </c>
      <c r="I2970" s="6" t="str">
        <f>IFERROR(__xludf.DUMMYFUNCTION("""COMPUTED_VALUE"""),"MFH")</f>
        <v>MFH</v>
      </c>
      <c r="J2970" s="6" t="str">
        <f>IFERROR(__xludf.DUMMYFUNCTION("""COMPUTED_VALUE"""),"-")</f>
        <v>-</v>
      </c>
      <c r="K2970" s="6" t="str">
        <f>IFERROR(__xludf.DUMMYFUNCTION("""COMPUTED_VALUE"""),"SPR/25/12/085")</f>
        <v>SPR/25/12/085</v>
      </c>
      <c r="L2970" s="58">
        <f>IFERROR(__xludf.DUMMYFUNCTION("""COMPUTED_VALUE"""),46022.0)</f>
        <v>46022</v>
      </c>
    </row>
    <row r="2971">
      <c r="A2971" s="6" t="str">
        <f>IFERROR(__xludf.DUMMYFUNCTION("""COMPUTED_VALUE"""),"MFH")</f>
        <v>MFH</v>
      </c>
      <c r="B2971" s="6" t="str">
        <f>IFERROR(__xludf.DUMMYFUNCTION("""COMPUTED_VALUE"""),"ENG")</f>
        <v>ENG</v>
      </c>
      <c r="C2971" s="6" t="str">
        <f>IFERROR(__xludf.DUMMYFUNCTION("""COMPUTED_VALUE"""),"P-17034-00")</f>
        <v>P-17034-00</v>
      </c>
      <c r="D2971" s="6" t="str">
        <f>IFERROR(__xludf.DUMMYFUNCTION("""COMPUTED_VALUE"""),"O-ring Gasket packet for 1/2"" BTM7 Thermostatic Steam Trap; ; ;")</f>
        <v>O-ring Gasket packet for 1/2" BTM7 Thermostatic Steam Trap; ; ;</v>
      </c>
      <c r="E2971" s="6">
        <f>IFERROR(__xludf.DUMMYFUNCTION("""COMPUTED_VALUE"""),1.0)</f>
        <v>1</v>
      </c>
      <c r="F2971" s="6">
        <f>IFERROR(__xludf.DUMMYFUNCTION("""COMPUTED_VALUE"""),1.0)</f>
        <v>1</v>
      </c>
      <c r="G2971" s="6">
        <f>IFERROR(__xludf.DUMMYFUNCTION("""COMPUTED_VALUE"""),0.0)</f>
        <v>0</v>
      </c>
      <c r="H2971" s="6" t="str">
        <f>IFERROR(__xludf.DUMMYFUNCTION("""COMPUTED_VALUE"""),"Pcs")</f>
        <v>Pcs</v>
      </c>
      <c r="I2971" s="6" t="str">
        <f>IFERROR(__xludf.DUMMYFUNCTION("""COMPUTED_VALUE"""),"MFH")</f>
        <v>MFH</v>
      </c>
      <c r="J2971" s="6" t="str">
        <f>IFERROR(__xludf.DUMMYFUNCTION("""COMPUTED_VALUE"""),"-")</f>
        <v>-</v>
      </c>
      <c r="K2971" s="6" t="str">
        <f>IFERROR(__xludf.DUMMYFUNCTION("""COMPUTED_VALUE"""),"SPR/25/12/086")</f>
        <v>SPR/25/12/086</v>
      </c>
      <c r="L2971" s="58">
        <f>IFERROR(__xludf.DUMMYFUNCTION("""COMPUTED_VALUE"""),46022.0)</f>
        <v>46022</v>
      </c>
    </row>
    <row r="2972">
      <c r="A2972" s="6" t="str">
        <f>IFERROR(__xludf.DUMMYFUNCTION("""COMPUTED_VALUE"""),"MFH")</f>
        <v>MFH</v>
      </c>
      <c r="B2972" s="6" t="str">
        <f>IFERROR(__xludf.DUMMYFUNCTION("""COMPUTED_VALUE"""),"ENG")</f>
        <v>ENG</v>
      </c>
      <c r="C2972" s="6" t="str">
        <f>IFERROR(__xludf.DUMMYFUNCTION("""COMPUTED_VALUE"""),"P-54225-00")</f>
        <v>P-54225-00</v>
      </c>
      <c r="D2972" s="6" t="str">
        <f>IFERROR(__xludf.DUMMYFUNCTION("""COMPUTED_VALUE"""),"General - Face Plate HDMI to VGA Skrup; AMP; -; 1 pc")</f>
        <v>General - Face Plate HDMI to VGA Skrup; AMP; -; 1 pc</v>
      </c>
      <c r="E2972" s="6">
        <f>IFERROR(__xludf.DUMMYFUNCTION("""COMPUTED_VALUE"""),1.0)</f>
        <v>1</v>
      </c>
      <c r="F2972" s="6">
        <f>IFERROR(__xludf.DUMMYFUNCTION("""COMPUTED_VALUE"""),1.0)</f>
        <v>1</v>
      </c>
      <c r="G2972" s="6">
        <f>IFERROR(__xludf.DUMMYFUNCTION("""COMPUTED_VALUE"""),0.0)</f>
        <v>0</v>
      </c>
      <c r="H2972" s="6" t="str">
        <f>IFERROR(__xludf.DUMMYFUNCTION("""COMPUTED_VALUE"""),"Pcs")</f>
        <v>Pcs</v>
      </c>
      <c r="I2972" s="6" t="str">
        <f>IFERROR(__xludf.DUMMYFUNCTION("""COMPUTED_VALUE"""),"MFH")</f>
        <v>MFH</v>
      </c>
      <c r="J2972" s="6" t="str">
        <f>IFERROR(__xludf.DUMMYFUNCTION("""COMPUTED_VALUE"""),"-")</f>
        <v>-</v>
      </c>
      <c r="K2972" s="6" t="str">
        <f>IFERROR(__xludf.DUMMYFUNCTION("""COMPUTED_VALUE"""),"SPR/25/12/086")</f>
        <v>SPR/25/12/086</v>
      </c>
      <c r="L2972" s="58">
        <f>IFERROR(__xludf.DUMMYFUNCTION("""COMPUTED_VALUE"""),46022.0)</f>
        <v>46022</v>
      </c>
    </row>
    <row r="2973">
      <c r="A2973" s="6" t="str">
        <f>IFERROR(__xludf.DUMMYFUNCTION("""COMPUTED_VALUE"""),"MFH")</f>
        <v>MFH</v>
      </c>
      <c r="B2973" s="6" t="str">
        <f>IFERROR(__xludf.DUMMYFUNCTION("""COMPUTED_VALUE"""),"ENG")</f>
        <v>ENG</v>
      </c>
      <c r="C2973" s="6" t="str">
        <f>IFERROR(__xludf.DUMMYFUNCTION("""COMPUTED_VALUE"""),"Q-10154-00")</f>
        <v>Q-10154-00</v>
      </c>
      <c r="D2973" s="6" t="str">
        <f>IFERROR(__xludf.DUMMYFUNCTION("""COMPUTED_VALUE"""),"Kuas Cat Roller uk. 230 mm;No Brand;;pack size per set")</f>
        <v>Kuas Cat Roller uk. 230 mm;No Brand;;pack size per set</v>
      </c>
      <c r="E2973" s="6">
        <f>IFERROR(__xludf.DUMMYFUNCTION("""COMPUTED_VALUE"""),2.0)</f>
        <v>2</v>
      </c>
      <c r="F2973" s="6">
        <f>IFERROR(__xludf.DUMMYFUNCTION("""COMPUTED_VALUE"""),2.0)</f>
        <v>2</v>
      </c>
      <c r="G2973" s="6">
        <f>IFERROR(__xludf.DUMMYFUNCTION("""COMPUTED_VALUE"""),0.0)</f>
        <v>0</v>
      </c>
      <c r="H2973" s="6" t="str">
        <f>IFERROR(__xludf.DUMMYFUNCTION("""COMPUTED_VALUE"""),"Pcs")</f>
        <v>Pcs</v>
      </c>
      <c r="I2973" s="6" t="str">
        <f>IFERROR(__xludf.DUMMYFUNCTION("""COMPUTED_VALUE"""),"MFH")</f>
        <v>MFH</v>
      </c>
      <c r="J2973" s="6" t="str">
        <f>IFERROR(__xludf.DUMMYFUNCTION("""COMPUTED_VALUE"""),"-")</f>
        <v>-</v>
      </c>
      <c r="K2973" s="6" t="str">
        <f>IFERROR(__xludf.DUMMYFUNCTION("""COMPUTED_VALUE"""),"SPR/25/12/086")</f>
        <v>SPR/25/12/086</v>
      </c>
      <c r="L2973" s="58">
        <f>IFERROR(__xludf.DUMMYFUNCTION("""COMPUTED_VALUE"""),46022.0)</f>
        <v>46022</v>
      </c>
    </row>
    <row r="2974">
      <c r="A2974" s="6" t="str">
        <f>IFERROR(__xludf.DUMMYFUNCTION("""COMPUTED_VALUE"""),"MFH")</f>
        <v>MFH</v>
      </c>
      <c r="B2974" s="6" t="str">
        <f>IFERROR(__xludf.DUMMYFUNCTION("""COMPUTED_VALUE"""),"ENG")</f>
        <v>ENG</v>
      </c>
      <c r="C2974" s="6" t="str">
        <f>IFERROR(__xludf.DUMMYFUNCTION("""COMPUTED_VALUE"""),"O-14640-00")</f>
        <v>O-14640-00</v>
      </c>
      <c r="D2974" s="6" t="str">
        <f>IFERROR(__xludf.DUMMYFUNCTION("""COMPUTED_VALUE"""),"General - Silicone Gasket for Ferrule dia. 3/4""; -; -; 1 Pc")</f>
        <v>General - Silicone Gasket for Ferrule dia. 3/4"; -; -; 1 Pc</v>
      </c>
      <c r="E2974" s="6">
        <f>IFERROR(__xludf.DUMMYFUNCTION("""COMPUTED_VALUE"""),2.0)</f>
        <v>2</v>
      </c>
      <c r="F2974" s="6">
        <f>IFERROR(__xludf.DUMMYFUNCTION("""COMPUTED_VALUE"""),2.0)</f>
        <v>2</v>
      </c>
      <c r="G2974" s="6">
        <f>IFERROR(__xludf.DUMMYFUNCTION("""COMPUTED_VALUE"""),0.0)</f>
        <v>0</v>
      </c>
      <c r="H2974" s="6" t="str">
        <f>IFERROR(__xludf.DUMMYFUNCTION("""COMPUTED_VALUE"""),"Pcs")</f>
        <v>Pcs</v>
      </c>
      <c r="I2974" s="6" t="str">
        <f>IFERROR(__xludf.DUMMYFUNCTION("""COMPUTED_VALUE"""),"MFH")</f>
        <v>MFH</v>
      </c>
      <c r="J2974" s="6" t="str">
        <f>IFERROR(__xludf.DUMMYFUNCTION("""COMPUTED_VALUE"""),"-")</f>
        <v>-</v>
      </c>
      <c r="K2974" s="6" t="str">
        <f>IFERROR(__xludf.DUMMYFUNCTION("""COMPUTED_VALUE"""),"SPR/25/12/087")</f>
        <v>SPR/25/12/087</v>
      </c>
      <c r="L2974" s="58">
        <f>IFERROR(__xludf.DUMMYFUNCTION("""COMPUTED_VALUE"""),46022.0)</f>
        <v>46022</v>
      </c>
    </row>
    <row r="2975">
      <c r="A2975" s="6" t="str">
        <f>IFERROR(__xludf.DUMMYFUNCTION("""COMPUTED_VALUE"""),"MFH")</f>
        <v>MFH</v>
      </c>
      <c r="B2975" s="6" t="str">
        <f>IFERROR(__xludf.DUMMYFUNCTION("""COMPUTED_VALUE"""),"ENG")</f>
        <v>ENG</v>
      </c>
      <c r="C2975" s="6" t="str">
        <f>IFERROR(__xludf.DUMMYFUNCTION("""COMPUTED_VALUE"""),"P-11185-00")</f>
        <v>P-11185-00</v>
      </c>
      <c r="D2975" s="6" t="str">
        <f>IFERROR(__xludf.DUMMYFUNCTION("""COMPUTED_VALUE"""),"General - Push-in Connector, QS-8-6; Festo; 153038; 1 pcs")</f>
        <v>General - Push-in Connector, QS-8-6; Festo; 153038; 1 pcs</v>
      </c>
      <c r="E2975" s="6">
        <f>IFERROR(__xludf.DUMMYFUNCTION("""COMPUTED_VALUE"""),3.0)</f>
        <v>3</v>
      </c>
      <c r="F2975" s="6">
        <f>IFERROR(__xludf.DUMMYFUNCTION("""COMPUTED_VALUE"""),3.0)</f>
        <v>3</v>
      </c>
      <c r="G2975" s="6">
        <f>IFERROR(__xludf.DUMMYFUNCTION("""COMPUTED_VALUE"""),0.0)</f>
        <v>0</v>
      </c>
      <c r="H2975" s="6" t="str">
        <f>IFERROR(__xludf.DUMMYFUNCTION("""COMPUTED_VALUE"""),"Pcs")</f>
        <v>Pcs</v>
      </c>
      <c r="I2975" s="6" t="str">
        <f>IFERROR(__xludf.DUMMYFUNCTION("""COMPUTED_VALUE"""),"MFH")</f>
        <v>MFH</v>
      </c>
      <c r="J2975" s="6" t="str">
        <f>IFERROR(__xludf.DUMMYFUNCTION("""COMPUTED_VALUE"""),"-")</f>
        <v>-</v>
      </c>
      <c r="K2975" s="6" t="str">
        <f>IFERROR(__xludf.DUMMYFUNCTION("""COMPUTED_VALUE"""),"SPR/25/12/087")</f>
        <v>SPR/25/12/087</v>
      </c>
      <c r="L2975" s="58">
        <f>IFERROR(__xludf.DUMMYFUNCTION("""COMPUTED_VALUE"""),46022.0)</f>
        <v>46022</v>
      </c>
    </row>
    <row r="2976">
      <c r="A2976" s="6" t="str">
        <f>IFERROR(__xludf.DUMMYFUNCTION("""COMPUTED_VALUE"""),"MFH")</f>
        <v>MFH</v>
      </c>
      <c r="B2976" s="6" t="str">
        <f>IFERROR(__xludf.DUMMYFUNCTION("""COMPUTED_VALUE"""),"ENG")</f>
        <v>ENG</v>
      </c>
      <c r="C2976" s="6" t="str">
        <f>IFERROR(__xludf.DUMMYFUNCTION("""COMPUTED_VALUE"""),"P-10945-00")</f>
        <v>P-10945-00</v>
      </c>
      <c r="D2976" s="6" t="str">
        <f>IFERROR(__xludf.DUMMYFUNCTION("""COMPUTED_VALUE"""),"General - Seal Tape 1inch; ONDA; -; 1 Pcs")</f>
        <v>General - Seal Tape 1inch; ONDA; -; 1 Pcs</v>
      </c>
      <c r="E2976" s="6">
        <f>IFERROR(__xludf.DUMMYFUNCTION("""COMPUTED_VALUE"""),3.0)</f>
        <v>3</v>
      </c>
      <c r="F2976" s="6">
        <f>IFERROR(__xludf.DUMMYFUNCTION("""COMPUTED_VALUE"""),3.0)</f>
        <v>3</v>
      </c>
      <c r="G2976" s="6">
        <f>IFERROR(__xludf.DUMMYFUNCTION("""COMPUTED_VALUE"""),0.0)</f>
        <v>0</v>
      </c>
      <c r="H2976" s="6" t="str">
        <f>IFERROR(__xludf.DUMMYFUNCTION("""COMPUTED_VALUE"""),"Pcs")</f>
        <v>Pcs</v>
      </c>
      <c r="I2976" s="6" t="str">
        <f>IFERROR(__xludf.DUMMYFUNCTION("""COMPUTED_VALUE"""),"MFH")</f>
        <v>MFH</v>
      </c>
      <c r="J2976" s="6" t="str">
        <f>IFERROR(__xludf.DUMMYFUNCTION("""COMPUTED_VALUE"""),"-")</f>
        <v>-</v>
      </c>
      <c r="K2976" s="6" t="str">
        <f>IFERROR(__xludf.DUMMYFUNCTION("""COMPUTED_VALUE"""),"SPR/25/12/087")</f>
        <v>SPR/25/12/087</v>
      </c>
      <c r="L2976" s="58">
        <f>IFERROR(__xludf.DUMMYFUNCTION("""COMPUTED_VALUE"""),46022.0)</f>
        <v>46022</v>
      </c>
    </row>
    <row r="2977">
      <c r="A2977" s="6" t="str">
        <f>IFERROR(__xludf.DUMMYFUNCTION("""COMPUTED_VALUE"""),"MFH")</f>
        <v>MFH</v>
      </c>
      <c r="B2977" s="6" t="str">
        <f>IFERROR(__xludf.DUMMYFUNCTION("""COMPUTED_VALUE"""),"ENG")</f>
        <v>ENG</v>
      </c>
      <c r="C2977" s="6" t="str">
        <f>IFERROR(__xludf.DUMMYFUNCTION("""COMPUTED_VALUE"""),"O-14641-00")</f>
        <v>O-14641-00</v>
      </c>
      <c r="D2977" s="6" t="str">
        <f>IFERROR(__xludf.DUMMYFUNCTION("""COMPUTED_VALUE"""),"General - Silicone Gasket for Ferrule dia. 1""; -; -; 1 Pc")</f>
        <v>General - Silicone Gasket for Ferrule dia. 1"; -; -; 1 Pc</v>
      </c>
      <c r="E2977" s="6">
        <f>IFERROR(__xludf.DUMMYFUNCTION("""COMPUTED_VALUE"""),4.0)</f>
        <v>4</v>
      </c>
      <c r="F2977" s="6">
        <f>IFERROR(__xludf.DUMMYFUNCTION("""COMPUTED_VALUE"""),4.0)</f>
        <v>4</v>
      </c>
      <c r="G2977" s="6">
        <f>IFERROR(__xludf.DUMMYFUNCTION("""COMPUTED_VALUE"""),0.0)</f>
        <v>0</v>
      </c>
      <c r="H2977" s="6" t="str">
        <f>IFERROR(__xludf.DUMMYFUNCTION("""COMPUTED_VALUE"""),"Pcs")</f>
        <v>Pcs</v>
      </c>
      <c r="I2977" s="6" t="str">
        <f>IFERROR(__xludf.DUMMYFUNCTION("""COMPUTED_VALUE"""),"MFH")</f>
        <v>MFH</v>
      </c>
      <c r="J2977" s="6" t="str">
        <f>IFERROR(__xludf.DUMMYFUNCTION("""COMPUTED_VALUE"""),"-")</f>
        <v>-</v>
      </c>
      <c r="K2977" s="6" t="str">
        <f>IFERROR(__xludf.DUMMYFUNCTION("""COMPUTED_VALUE"""),"SPR/25/12/088")</f>
        <v>SPR/25/12/088</v>
      </c>
      <c r="L2977" s="58">
        <f>IFERROR(__xludf.DUMMYFUNCTION("""COMPUTED_VALUE"""),46022.0)</f>
        <v>46022</v>
      </c>
    </row>
    <row r="2978">
      <c r="A2978" s="6" t="str">
        <f>IFERROR(__xludf.DUMMYFUNCTION("""COMPUTED_VALUE"""),"MFH")</f>
        <v>MFH</v>
      </c>
      <c r="B2978" s="6" t="str">
        <f>IFERROR(__xludf.DUMMYFUNCTION("""COMPUTED_VALUE"""),"ENG")</f>
        <v>ENG</v>
      </c>
      <c r="C2978" s="6" t="str">
        <f>IFERROR(__xludf.DUMMYFUNCTION("""COMPUTED_VALUE"""),"P-12471-00")</f>
        <v>P-12471-00</v>
      </c>
      <c r="D2978" s="6" t="str">
        <f>IFERROR(__xludf.DUMMYFUNCTION("""COMPUTED_VALUE"""),"General - Lem silicone; Elastosil; E41; 90gram/tube")</f>
        <v>General - Lem silicone; Elastosil; E41; 90gram/tube</v>
      </c>
      <c r="E2978" s="6">
        <f>IFERROR(__xludf.DUMMYFUNCTION("""COMPUTED_VALUE"""),5.0)</f>
        <v>5</v>
      </c>
      <c r="F2978" s="6">
        <f>IFERROR(__xludf.DUMMYFUNCTION("""COMPUTED_VALUE"""),5.0)</f>
        <v>5</v>
      </c>
      <c r="G2978" s="6">
        <f>IFERROR(__xludf.DUMMYFUNCTION("""COMPUTED_VALUE"""),0.0)</f>
        <v>0</v>
      </c>
      <c r="H2978" s="6" t="str">
        <f>IFERROR(__xludf.DUMMYFUNCTION("""COMPUTED_VALUE"""),"Pcs")</f>
        <v>Pcs</v>
      </c>
      <c r="I2978" s="6" t="str">
        <f>IFERROR(__xludf.DUMMYFUNCTION("""COMPUTED_VALUE"""),"MFH")</f>
        <v>MFH</v>
      </c>
      <c r="J2978" s="6" t="str">
        <f>IFERROR(__xludf.DUMMYFUNCTION("""COMPUTED_VALUE"""),"-")</f>
        <v>-</v>
      </c>
      <c r="K2978" s="6" t="str">
        <f>IFERROR(__xludf.DUMMYFUNCTION("""COMPUTED_VALUE"""),"SPR/25/12/088")</f>
        <v>SPR/25/12/088</v>
      </c>
      <c r="L2978" s="58">
        <f>IFERROR(__xludf.DUMMYFUNCTION("""COMPUTED_VALUE"""),46022.0)</f>
        <v>46022</v>
      </c>
    </row>
    <row r="2979">
      <c r="A2979" s="6" t="str">
        <f>IFERROR(__xludf.DUMMYFUNCTION("""COMPUTED_VALUE"""),"MFH")</f>
        <v>MFH</v>
      </c>
      <c r="B2979" s="6" t="str">
        <f>IFERROR(__xludf.DUMMYFUNCTION("""COMPUTED_VALUE"""),"ENG")</f>
        <v>ENG</v>
      </c>
      <c r="C2979" s="6" t="str">
        <f>IFERROR(__xludf.DUMMYFUNCTION("""COMPUTED_VALUE"""),"Q-10249-00")</f>
        <v>Q-10249-00</v>
      </c>
      <c r="D2979" s="6" t="str">
        <f>IFERROR(__xludf.DUMMYFUNCTION("""COMPUTED_VALUE"""),"Lem;Power Glue;;pack size per pcs")</f>
        <v>Lem;Power Glue;;pack size per pcs</v>
      </c>
      <c r="E2979" s="6">
        <f>IFERROR(__xludf.DUMMYFUNCTION("""COMPUTED_VALUE"""),5.0)</f>
        <v>5</v>
      </c>
      <c r="F2979" s="6">
        <f>IFERROR(__xludf.DUMMYFUNCTION("""COMPUTED_VALUE"""),5.0)</f>
        <v>5</v>
      </c>
      <c r="G2979" s="6">
        <f>IFERROR(__xludf.DUMMYFUNCTION("""COMPUTED_VALUE"""),0.0)</f>
        <v>0</v>
      </c>
      <c r="H2979" s="6" t="str">
        <f>IFERROR(__xludf.DUMMYFUNCTION("""COMPUTED_VALUE"""),"Pcs")</f>
        <v>Pcs</v>
      </c>
      <c r="I2979" s="6" t="str">
        <f>IFERROR(__xludf.DUMMYFUNCTION("""COMPUTED_VALUE"""),"MFH")</f>
        <v>MFH</v>
      </c>
      <c r="J2979" s="6" t="str">
        <f>IFERROR(__xludf.DUMMYFUNCTION("""COMPUTED_VALUE"""),"-")</f>
        <v>-</v>
      </c>
      <c r="K2979" s="6" t="str">
        <f>IFERROR(__xludf.DUMMYFUNCTION("""COMPUTED_VALUE"""),"SPR/25/12/088")</f>
        <v>SPR/25/12/088</v>
      </c>
      <c r="L2979" s="58">
        <f>IFERROR(__xludf.DUMMYFUNCTION("""COMPUTED_VALUE"""),46022.0)</f>
        <v>46022</v>
      </c>
    </row>
    <row r="2980">
      <c r="A2980" s="6" t="str">
        <f>IFERROR(__xludf.DUMMYFUNCTION("""COMPUTED_VALUE"""),"MFH")</f>
        <v>MFH</v>
      </c>
      <c r="B2980" s="6" t="str">
        <f>IFERROR(__xludf.DUMMYFUNCTION("""COMPUTED_VALUE"""),"ENG")</f>
        <v>ENG</v>
      </c>
      <c r="C2980" s="6" t="str">
        <f>IFERROR(__xludf.DUMMYFUNCTION("""COMPUTED_VALUE"""),"O-14644-00")</f>
        <v>O-14644-00</v>
      </c>
      <c r="D2980" s="6" t="str">
        <f>IFERROR(__xludf.DUMMYFUNCTION("""COMPUTED_VALUE"""),"General - Silicone Gasket for Ferrule dia. 4""; -; -; 1 Pc")</f>
        <v>General - Silicone Gasket for Ferrule dia. 4"; -; -; 1 Pc</v>
      </c>
      <c r="E2980" s="6">
        <f>IFERROR(__xludf.DUMMYFUNCTION("""COMPUTED_VALUE"""),7.0)</f>
        <v>7</v>
      </c>
      <c r="F2980" s="6">
        <f>IFERROR(__xludf.DUMMYFUNCTION("""COMPUTED_VALUE"""),7.0)</f>
        <v>7</v>
      </c>
      <c r="G2980" s="6">
        <f>IFERROR(__xludf.DUMMYFUNCTION("""COMPUTED_VALUE"""),0.0)</f>
        <v>0</v>
      </c>
      <c r="H2980" s="6" t="str">
        <f>IFERROR(__xludf.DUMMYFUNCTION("""COMPUTED_VALUE"""),"Pcs")</f>
        <v>Pcs</v>
      </c>
      <c r="I2980" s="6" t="str">
        <f>IFERROR(__xludf.DUMMYFUNCTION("""COMPUTED_VALUE"""),"MFH")</f>
        <v>MFH</v>
      </c>
      <c r="J2980" s="6" t="str">
        <f>IFERROR(__xludf.DUMMYFUNCTION("""COMPUTED_VALUE"""),"-")</f>
        <v>-</v>
      </c>
      <c r="K2980" s="6" t="str">
        <f>IFERROR(__xludf.DUMMYFUNCTION("""COMPUTED_VALUE"""),"SPR/25/12/089")</f>
        <v>SPR/25/12/089</v>
      </c>
      <c r="L2980" s="58">
        <f>IFERROR(__xludf.DUMMYFUNCTION("""COMPUTED_VALUE"""),46022.0)</f>
        <v>46022</v>
      </c>
    </row>
    <row r="2981">
      <c r="A2981" s="6" t="str">
        <f>IFERROR(__xludf.DUMMYFUNCTION("""COMPUTED_VALUE"""),"MFH")</f>
        <v>MFH</v>
      </c>
      <c r="B2981" s="6" t="str">
        <f>IFERROR(__xludf.DUMMYFUNCTION("""COMPUTED_VALUE"""),"ENG")</f>
        <v>ENG</v>
      </c>
      <c r="C2981" s="6" t="str">
        <f>IFERROR(__xludf.DUMMYFUNCTION("""COMPUTED_VALUE"""),"P-15851-00")</f>
        <v>P-15851-00</v>
      </c>
      <c r="D2981" s="6" t="str">
        <f>IFERROR(__xludf.DUMMYFUNCTION("""COMPUTED_VALUE"""),"General - Ampelas P100; EAGLE; -; 1 pcs")</f>
        <v>General - Ampelas P100; EAGLE; -; 1 pcs</v>
      </c>
      <c r="E2981" s="6">
        <f>IFERROR(__xludf.DUMMYFUNCTION("""COMPUTED_VALUE"""),8.0)</f>
        <v>8</v>
      </c>
      <c r="F2981" s="6">
        <f>IFERROR(__xludf.DUMMYFUNCTION("""COMPUTED_VALUE"""),8.0)</f>
        <v>8</v>
      </c>
      <c r="G2981" s="6">
        <f>IFERROR(__xludf.DUMMYFUNCTION("""COMPUTED_VALUE"""),0.0)</f>
        <v>0</v>
      </c>
      <c r="H2981" s="6" t="str">
        <f>IFERROR(__xludf.DUMMYFUNCTION("""COMPUTED_VALUE"""),"Pcs")</f>
        <v>Pcs</v>
      </c>
      <c r="I2981" s="6" t="str">
        <f>IFERROR(__xludf.DUMMYFUNCTION("""COMPUTED_VALUE"""),"MFH")</f>
        <v>MFH</v>
      </c>
      <c r="J2981" s="6" t="str">
        <f>IFERROR(__xludf.DUMMYFUNCTION("""COMPUTED_VALUE"""),"-")</f>
        <v>-</v>
      </c>
      <c r="K2981" s="6" t="str">
        <f>IFERROR(__xludf.DUMMYFUNCTION("""COMPUTED_VALUE"""),"SPR/25/12/089")</f>
        <v>SPR/25/12/089</v>
      </c>
      <c r="L2981" s="58">
        <f>IFERROR(__xludf.DUMMYFUNCTION("""COMPUTED_VALUE"""),46022.0)</f>
        <v>46022</v>
      </c>
    </row>
    <row r="2982">
      <c r="A2982" s="6" t="str">
        <f>IFERROR(__xludf.DUMMYFUNCTION("""COMPUTED_VALUE"""),"MFH")</f>
        <v>MFH</v>
      </c>
      <c r="B2982" s="6" t="str">
        <f>IFERROR(__xludf.DUMMYFUNCTION("""COMPUTED_VALUE"""),"ENG")</f>
        <v>ENG</v>
      </c>
      <c r="C2982" s="6" t="str">
        <f>IFERROR(__xludf.DUMMYFUNCTION("""COMPUTED_VALUE"""),"P-11391-00")</f>
        <v>P-11391-00</v>
      </c>
      <c r="D2982" s="6" t="str">
        <f>IFERROR(__xludf.DUMMYFUNCTION("""COMPUTED_VALUE"""),"General - Seal Ferrule EPDM 1.5inch; No Brand; -; 1 pcs")</f>
        <v>General - Seal Ferrule EPDM 1.5inch; No Brand; -; 1 pcs</v>
      </c>
      <c r="E2982" s="6">
        <f>IFERROR(__xludf.DUMMYFUNCTION("""COMPUTED_VALUE"""),9.0)</f>
        <v>9</v>
      </c>
      <c r="F2982" s="6">
        <f>IFERROR(__xludf.DUMMYFUNCTION("""COMPUTED_VALUE"""),9.0)</f>
        <v>9</v>
      </c>
      <c r="G2982" s="6">
        <f>IFERROR(__xludf.DUMMYFUNCTION("""COMPUTED_VALUE"""),0.0)</f>
        <v>0</v>
      </c>
      <c r="H2982" s="6" t="str">
        <f>IFERROR(__xludf.DUMMYFUNCTION("""COMPUTED_VALUE"""),"Pcs")</f>
        <v>Pcs</v>
      </c>
      <c r="I2982" s="6" t="str">
        <f>IFERROR(__xludf.DUMMYFUNCTION("""COMPUTED_VALUE"""),"MFH")</f>
        <v>MFH</v>
      </c>
      <c r="J2982" s="6" t="str">
        <f>IFERROR(__xludf.DUMMYFUNCTION("""COMPUTED_VALUE"""),"-")</f>
        <v>-</v>
      </c>
      <c r="K2982" s="6" t="str">
        <f>IFERROR(__xludf.DUMMYFUNCTION("""COMPUTED_VALUE"""),"SPR/25/12/089")</f>
        <v>SPR/25/12/089</v>
      </c>
      <c r="L2982" s="58">
        <f>IFERROR(__xludf.DUMMYFUNCTION("""COMPUTED_VALUE"""),46022.0)</f>
        <v>46022</v>
      </c>
    </row>
    <row r="2983">
      <c r="A2983" s="6" t="str">
        <f>IFERROR(__xludf.DUMMYFUNCTION("""COMPUTED_VALUE"""),"MFH")</f>
        <v>MFH</v>
      </c>
      <c r="B2983" s="6" t="str">
        <f>IFERROR(__xludf.DUMMYFUNCTION("""COMPUTED_VALUE"""),"ENG")</f>
        <v>ENG</v>
      </c>
      <c r="C2983" s="6" t="str">
        <f>IFERROR(__xludf.DUMMYFUNCTION("""COMPUTED_VALUE"""),"O-18961-00")</f>
        <v>O-18961-00</v>
      </c>
      <c r="D2983" s="6" t="str">
        <f>IFERROR(__xludf.DUMMYFUNCTION("""COMPUTED_VALUE"""),"Capping VCM201 - Blade; Custom/Lokal; -; 1 Pc")</f>
        <v>Capping VCM201 - Blade; Custom/Lokal; -; 1 Pc</v>
      </c>
      <c r="E2983" s="6">
        <f>IFERROR(__xludf.DUMMYFUNCTION("""COMPUTED_VALUE"""),10.0)</f>
        <v>10</v>
      </c>
      <c r="F2983" s="6">
        <f>IFERROR(__xludf.DUMMYFUNCTION("""COMPUTED_VALUE"""),10.0)</f>
        <v>10</v>
      </c>
      <c r="G2983" s="6">
        <f>IFERROR(__xludf.DUMMYFUNCTION("""COMPUTED_VALUE"""),0.0)</f>
        <v>0</v>
      </c>
      <c r="H2983" s="6" t="str">
        <f>IFERROR(__xludf.DUMMYFUNCTION("""COMPUTED_VALUE"""),"Pcs")</f>
        <v>Pcs</v>
      </c>
      <c r="I2983" s="6" t="str">
        <f>IFERROR(__xludf.DUMMYFUNCTION("""COMPUTED_VALUE"""),"MFH")</f>
        <v>MFH</v>
      </c>
      <c r="J2983" s="6" t="str">
        <f>IFERROR(__xludf.DUMMYFUNCTION("""COMPUTED_VALUE"""),"-")</f>
        <v>-</v>
      </c>
      <c r="K2983" s="6" t="str">
        <f>IFERROR(__xludf.DUMMYFUNCTION("""COMPUTED_VALUE"""),"SPR/25/12/090")</f>
        <v>SPR/25/12/090</v>
      </c>
      <c r="L2983" s="58">
        <f>IFERROR(__xludf.DUMMYFUNCTION("""COMPUTED_VALUE"""),46022.0)</f>
        <v>46022</v>
      </c>
    </row>
    <row r="2984">
      <c r="A2984" s="6" t="str">
        <f>IFERROR(__xludf.DUMMYFUNCTION("""COMPUTED_VALUE"""),"MFH")</f>
        <v>MFH</v>
      </c>
      <c r="B2984" s="6" t="str">
        <f>IFERROR(__xludf.DUMMYFUNCTION("""COMPUTED_VALUE"""),"ENG")</f>
        <v>ENG</v>
      </c>
      <c r="C2984" s="6" t="str">
        <f>IFERROR(__xludf.DUMMYFUNCTION("""COMPUTED_VALUE"""),"O-19861-00")</f>
        <v>O-19861-00</v>
      </c>
      <c r="D2984" s="6" t="str">
        <f>IFERROR(__xludf.DUMMYFUNCTION("""COMPUTED_VALUE"""),"General - Cam Follower KR16-PP-A; INA; -; 1 pcs")</f>
        <v>General - Cam Follower KR16-PP-A; INA; -; 1 pcs</v>
      </c>
      <c r="E2984" s="6">
        <f>IFERROR(__xludf.DUMMYFUNCTION("""COMPUTED_VALUE"""),10.0)</f>
        <v>10</v>
      </c>
      <c r="F2984" s="6">
        <f>IFERROR(__xludf.DUMMYFUNCTION("""COMPUTED_VALUE"""),10.0)</f>
        <v>10</v>
      </c>
      <c r="G2984" s="6">
        <f>IFERROR(__xludf.DUMMYFUNCTION("""COMPUTED_VALUE"""),0.0)</f>
        <v>0</v>
      </c>
      <c r="H2984" s="6" t="str">
        <f>IFERROR(__xludf.DUMMYFUNCTION("""COMPUTED_VALUE"""),"Pcs")</f>
        <v>Pcs</v>
      </c>
      <c r="I2984" s="6" t="str">
        <f>IFERROR(__xludf.DUMMYFUNCTION("""COMPUTED_VALUE"""),"MFH")</f>
        <v>MFH</v>
      </c>
      <c r="J2984" s="6" t="str">
        <f>IFERROR(__xludf.DUMMYFUNCTION("""COMPUTED_VALUE"""),"-")</f>
        <v>-</v>
      </c>
      <c r="K2984" s="6" t="str">
        <f>IFERROR(__xludf.DUMMYFUNCTION("""COMPUTED_VALUE"""),"SPR/25/12/090")</f>
        <v>SPR/25/12/090</v>
      </c>
      <c r="L2984" s="58">
        <f>IFERROR(__xludf.DUMMYFUNCTION("""COMPUTED_VALUE"""),46022.0)</f>
        <v>46022</v>
      </c>
    </row>
    <row r="2985">
      <c r="A2985" s="6" t="str">
        <f>IFERROR(__xludf.DUMMYFUNCTION("""COMPUTED_VALUE"""),"MFH")</f>
        <v>MFH</v>
      </c>
      <c r="B2985" s="6" t="str">
        <f>IFERROR(__xludf.DUMMYFUNCTION("""COMPUTED_VALUE"""),"ENG")</f>
        <v>ENG</v>
      </c>
      <c r="C2985" s="6" t="str">
        <f>IFERROR(__xludf.DUMMYFUNCTION("""COMPUTED_VALUE"""),"P-12077-00")</f>
        <v>P-12077-00</v>
      </c>
      <c r="D2985" s="6" t="str">
        <f>IFERROR(__xludf.DUMMYFUNCTION("""COMPUTED_VALUE"""),"General - Clamp Selang, SS 1 1/4""; Tridon; -; 1 pcs")</f>
        <v>General - Clamp Selang, SS 1 1/4"; Tridon; -; 1 pcs</v>
      </c>
      <c r="E2985" s="6">
        <f>IFERROR(__xludf.DUMMYFUNCTION("""COMPUTED_VALUE"""),10.0)</f>
        <v>10</v>
      </c>
      <c r="F2985" s="6">
        <f>IFERROR(__xludf.DUMMYFUNCTION("""COMPUTED_VALUE"""),10.0)</f>
        <v>10</v>
      </c>
      <c r="G2985" s="6">
        <f>IFERROR(__xludf.DUMMYFUNCTION("""COMPUTED_VALUE"""),0.0)</f>
        <v>0</v>
      </c>
      <c r="H2985" s="6" t="str">
        <f>IFERROR(__xludf.DUMMYFUNCTION("""COMPUTED_VALUE"""),"Pcs")</f>
        <v>Pcs</v>
      </c>
      <c r="I2985" s="6" t="str">
        <f>IFERROR(__xludf.DUMMYFUNCTION("""COMPUTED_VALUE"""),"MFH")</f>
        <v>MFH</v>
      </c>
      <c r="J2985" s="6" t="str">
        <f>IFERROR(__xludf.DUMMYFUNCTION("""COMPUTED_VALUE"""),"-")</f>
        <v>-</v>
      </c>
      <c r="K2985" s="6" t="str">
        <f>IFERROR(__xludf.DUMMYFUNCTION("""COMPUTED_VALUE"""),"SPR/25/12/090")</f>
        <v>SPR/25/12/090</v>
      </c>
      <c r="L2985" s="58">
        <f>IFERROR(__xludf.DUMMYFUNCTION("""COMPUTED_VALUE"""),46022.0)</f>
        <v>46022</v>
      </c>
    </row>
    <row r="2986">
      <c r="A2986" s="6" t="str">
        <f>IFERROR(__xludf.DUMMYFUNCTION("""COMPUTED_VALUE"""),"MFH")</f>
        <v>MFH</v>
      </c>
      <c r="B2986" s="6" t="str">
        <f>IFERROR(__xludf.DUMMYFUNCTION("""COMPUTED_VALUE"""),"ENG")</f>
        <v>ENG</v>
      </c>
      <c r="C2986" s="6" t="str">
        <f>IFERROR(__xludf.DUMMYFUNCTION("""COMPUTED_VALUE"""),"P-12765-00")</f>
        <v>P-12765-00</v>
      </c>
      <c r="D2986" s="6" t="str">
        <f>IFERROR(__xludf.DUMMYFUNCTION("""COMPUTED_VALUE"""),"General - Silicone Gasket for Ferrule dia. 2inch; Custom; -; 1 pcs")</f>
        <v>General - Silicone Gasket for Ferrule dia. 2inch; Custom; -; 1 pcs</v>
      </c>
      <c r="E2986" s="6">
        <f>IFERROR(__xludf.DUMMYFUNCTION("""COMPUTED_VALUE"""),19.0)</f>
        <v>19</v>
      </c>
      <c r="F2986" s="6">
        <f>IFERROR(__xludf.DUMMYFUNCTION("""COMPUTED_VALUE"""),19.0)</f>
        <v>19</v>
      </c>
      <c r="G2986" s="6">
        <f>IFERROR(__xludf.DUMMYFUNCTION("""COMPUTED_VALUE"""),0.0)</f>
        <v>0</v>
      </c>
      <c r="H2986" s="6" t="str">
        <f>IFERROR(__xludf.DUMMYFUNCTION("""COMPUTED_VALUE"""),"Pcs")</f>
        <v>Pcs</v>
      </c>
      <c r="I2986" s="6" t="str">
        <f>IFERROR(__xludf.DUMMYFUNCTION("""COMPUTED_VALUE"""),"MFH")</f>
        <v>MFH</v>
      </c>
      <c r="J2986" s="6" t="str">
        <f>IFERROR(__xludf.DUMMYFUNCTION("""COMPUTED_VALUE"""),"-")</f>
        <v>-</v>
      </c>
      <c r="K2986" s="6" t="str">
        <f>IFERROR(__xludf.DUMMYFUNCTION("""COMPUTED_VALUE"""),"SPR/25/12/091")</f>
        <v>SPR/25/12/091</v>
      </c>
      <c r="L2986" s="58">
        <f>IFERROR(__xludf.DUMMYFUNCTION("""COMPUTED_VALUE"""),46022.0)</f>
        <v>46022</v>
      </c>
    </row>
    <row r="2987">
      <c r="A2987" s="6" t="str">
        <f>IFERROR(__xludf.DUMMYFUNCTION("""COMPUTED_VALUE"""),"MFH")</f>
        <v>MFH</v>
      </c>
      <c r="B2987" s="6" t="str">
        <f>IFERROR(__xludf.DUMMYFUNCTION("""COMPUTED_VALUE"""),"ENG")</f>
        <v>ENG</v>
      </c>
      <c r="C2987" s="6" t="str">
        <f>IFERROR(__xludf.DUMMYFUNCTION("""COMPUTED_VALUE"""),"P-12764-00")</f>
        <v>P-12764-00</v>
      </c>
      <c r="D2987" s="6" t="str">
        <f>IFERROR(__xludf.DUMMYFUNCTION("""COMPUTED_VALUE"""),"General - Silicone Gasket for Ferrule dia. 1/2inch; Custom; -; 1 pcs")</f>
        <v>General - Silicone Gasket for Ferrule dia. 1/2inch; Custom; -; 1 pcs</v>
      </c>
      <c r="E2987" s="6">
        <f>IFERROR(__xludf.DUMMYFUNCTION("""COMPUTED_VALUE"""),34.0)</f>
        <v>34</v>
      </c>
      <c r="F2987" s="6">
        <f>IFERROR(__xludf.DUMMYFUNCTION("""COMPUTED_VALUE"""),34.0)</f>
        <v>34</v>
      </c>
      <c r="G2987" s="6">
        <f>IFERROR(__xludf.DUMMYFUNCTION("""COMPUTED_VALUE"""),0.0)</f>
        <v>0</v>
      </c>
      <c r="H2987" s="6" t="str">
        <f>IFERROR(__xludf.DUMMYFUNCTION("""COMPUTED_VALUE"""),"Pcs")</f>
        <v>Pcs</v>
      </c>
      <c r="I2987" s="6" t="str">
        <f>IFERROR(__xludf.DUMMYFUNCTION("""COMPUTED_VALUE"""),"MFH")</f>
        <v>MFH</v>
      </c>
      <c r="J2987" s="6" t="str">
        <f>IFERROR(__xludf.DUMMYFUNCTION("""COMPUTED_VALUE"""),"-")</f>
        <v>-</v>
      </c>
      <c r="K2987" s="6" t="str">
        <f>IFERROR(__xludf.DUMMYFUNCTION("""COMPUTED_VALUE"""),"SPR/25/12/091")</f>
        <v>SPR/25/12/091</v>
      </c>
      <c r="L2987" s="58">
        <f>IFERROR(__xludf.DUMMYFUNCTION("""COMPUTED_VALUE"""),46022.0)</f>
        <v>46022</v>
      </c>
    </row>
    <row r="2988">
      <c r="A2988" s="6" t="str">
        <f>IFERROR(__xludf.DUMMYFUNCTION("""COMPUTED_VALUE"""),"AAA")</f>
        <v>AAA</v>
      </c>
      <c r="B2988" s="6" t="str">
        <f>IFERROR(__xludf.DUMMYFUNCTION("""COMPUTED_VALUE"""),"ENG")</f>
        <v>ENG</v>
      </c>
      <c r="C2988" s="6" t="str">
        <f>IFERROR(__xludf.DUMMYFUNCTION("""COMPUTED_VALUE"""),"O-20298-00")</f>
        <v>O-20298-00</v>
      </c>
      <c r="D2988" s="6" t="str">
        <f>IFERROR(__xludf.DUMMYFUNCTION("""COMPUTED_VALUE"""),"Marchesini Ma155 - Belt  Conveyor PU UOUO 1120 x 75 x 1.1 mmE Custom/Lokal  -")</f>
        <v>Marchesini Ma155 - Belt  Conveyor PU UOUO 1120 x 75 x 1.1 mmE Custom/Lokal  -</v>
      </c>
      <c r="E2988" s="6">
        <f>IFERROR(__xludf.DUMMYFUNCTION("""COMPUTED_VALUE"""),1.0)</f>
        <v>1</v>
      </c>
      <c r="F2988" s="6">
        <f>IFERROR(__xludf.DUMMYFUNCTION("""COMPUTED_VALUE"""),1.0)</f>
        <v>1</v>
      </c>
      <c r="G2988" s="6">
        <f>IFERROR(__xludf.DUMMYFUNCTION("""COMPUTED_VALUE"""),0.0)</f>
        <v>0</v>
      </c>
      <c r="H2988" s="6" t="str">
        <f>IFERROR(__xludf.DUMMYFUNCTION("""COMPUTED_VALUE"""),"Pcs")</f>
        <v>Pcs</v>
      </c>
      <c r="I2988" s="6" t="str">
        <f>IFERROR(__xludf.DUMMYFUNCTION("""COMPUTED_VALUE"""),"MFH")</f>
        <v>MFH</v>
      </c>
      <c r="J2988" s="6" t="str">
        <f>IFERROR(__xludf.DUMMYFUNCTION("""COMPUTED_VALUE"""),"Cartonning")</f>
        <v>Cartonning</v>
      </c>
      <c r="K2988" s="6" t="str">
        <f>IFERROR(__xludf.DUMMYFUNCTION("""COMPUTED_VALUE"""),"SPR/25/12/092")</f>
        <v>SPR/25/12/092</v>
      </c>
      <c r="L2988" s="58">
        <f>IFERROR(__xludf.DUMMYFUNCTION("""COMPUTED_VALUE"""),46022.0)</f>
        <v>46022</v>
      </c>
    </row>
    <row r="2989">
      <c r="A2989" s="6" t="str">
        <f>IFERROR(__xludf.DUMMYFUNCTION("""COMPUTED_VALUE"""),"AAA")</f>
        <v>AAA</v>
      </c>
      <c r="B2989" s="6" t="str">
        <f>IFERROR(__xludf.DUMMYFUNCTION("""COMPUTED_VALUE"""),"ENG")</f>
        <v>ENG</v>
      </c>
      <c r="C2989" s="6" t="str">
        <f>IFERROR(__xludf.DUMMYFUNCTION("""COMPUTED_VALUE"""),"P-13389-00")</f>
        <v>P-13389-00</v>
      </c>
      <c r="D2989" s="6" t="str">
        <f>IFERROR(__xludf.DUMMYFUNCTION("""COMPUTED_VALUE"""),"Scotch Brite 3M; ; ;")</f>
        <v>Scotch Brite 3M; ; ;</v>
      </c>
      <c r="E2989" s="6">
        <f>IFERROR(__xludf.DUMMYFUNCTION("""COMPUTED_VALUE"""),1.0)</f>
        <v>1</v>
      </c>
      <c r="F2989" s="6">
        <f>IFERROR(__xludf.DUMMYFUNCTION("""COMPUTED_VALUE"""),1.0)</f>
        <v>1</v>
      </c>
      <c r="G2989" s="6">
        <f>IFERROR(__xludf.DUMMYFUNCTION("""COMPUTED_VALUE"""),0.0)</f>
        <v>0</v>
      </c>
      <c r="H2989" s="6" t="str">
        <f>IFERROR(__xludf.DUMMYFUNCTION("""COMPUTED_VALUE"""),"Pcs")</f>
        <v>Pcs</v>
      </c>
      <c r="I2989" s="6" t="str">
        <f>IFERROR(__xludf.DUMMYFUNCTION("""COMPUTED_VALUE"""),"MFH")</f>
        <v>MFH</v>
      </c>
      <c r="J2989" s="6" t="str">
        <f>IFERROR(__xludf.DUMMYFUNCTION("""COMPUTED_VALUE"""),"Cartonning")</f>
        <v>Cartonning</v>
      </c>
      <c r="K2989" s="6" t="str">
        <f>IFERROR(__xludf.DUMMYFUNCTION("""COMPUTED_VALUE"""),"SPR/25/12/092")</f>
        <v>SPR/25/12/092</v>
      </c>
      <c r="L2989" s="58">
        <f>IFERROR(__xludf.DUMMYFUNCTION("""COMPUTED_VALUE"""),46022.0)</f>
        <v>46022</v>
      </c>
    </row>
    <row r="2990">
      <c r="A2990" s="6" t="str">
        <f>IFERROR(__xludf.DUMMYFUNCTION("""COMPUTED_VALUE"""),"SFH")</f>
        <v>SFH</v>
      </c>
      <c r="B2990" s="6" t="str">
        <f>IFERROR(__xludf.DUMMYFUNCTION("""COMPUTED_VALUE"""),"ENG")</f>
        <v>ENG</v>
      </c>
      <c r="C2990" s="6" t="str">
        <f>IFERROR(__xludf.DUMMYFUNCTION("""COMPUTED_VALUE"""),"Q-12060-00")</f>
        <v>Q-12060-00</v>
      </c>
      <c r="D2990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2990" s="6">
        <f>IFERROR(__xludf.DUMMYFUNCTION("""COMPUTED_VALUE"""),21.0)</f>
        <v>21</v>
      </c>
      <c r="F2990" s="6">
        <f>IFERROR(__xludf.DUMMYFUNCTION("""COMPUTED_VALUE"""),20.0)</f>
        <v>20</v>
      </c>
      <c r="G2990" s="6">
        <f>IFERROR(__xludf.DUMMYFUNCTION("""COMPUTED_VALUE"""),0.0)</f>
        <v>0</v>
      </c>
      <c r="H2990" s="6" t="str">
        <f>IFERROR(__xludf.DUMMYFUNCTION("""COMPUTED_VALUE"""),"Pcs")</f>
        <v>Pcs</v>
      </c>
      <c r="I2990" s="6" t="str">
        <f>IFERROR(__xludf.DUMMYFUNCTION("""COMPUTED_VALUE"""),"MFH")</f>
        <v>MFH</v>
      </c>
      <c r="J2990" s="6" t="str">
        <f>IFERROR(__xludf.DUMMYFUNCTION("""COMPUTED_VALUE"""),"Building")</f>
        <v>Building</v>
      </c>
      <c r="K2990" s="6" t="str">
        <f>IFERROR(__xludf.DUMMYFUNCTION("""COMPUTED_VALUE"""),"SPR/25/12/093")</f>
        <v>SPR/25/12/093</v>
      </c>
      <c r="L2990" s="58">
        <f>IFERROR(__xludf.DUMMYFUNCTION("""COMPUTED_VALUE"""),46022.0)</f>
        <v>46022</v>
      </c>
    </row>
    <row r="2991">
      <c r="A2991" s="6" t="str">
        <f>IFERROR(__xludf.DUMMYFUNCTION("""COMPUTED_VALUE"""),"SFH")</f>
        <v>SFH</v>
      </c>
      <c r="B2991" s="6" t="str">
        <f>IFERROR(__xludf.DUMMYFUNCTION("""COMPUTED_VALUE"""),"ENG")</f>
        <v>ENG</v>
      </c>
      <c r="C2991" s="6" t="str">
        <f>IFERROR(__xludf.DUMMYFUNCTION("""COMPUTED_VALUE"""),"Q-60502-00")</f>
        <v>Q-60502-00</v>
      </c>
      <c r="D2991" s="6" t="str">
        <f>IFERROR(__xludf.DUMMYFUNCTION("""COMPUTED_VALUE"""),"Silicone Sealant, Silglaze, Type N10 White, pack size per pcs")</f>
        <v>Silicone Sealant, Silglaze, Type N10 White, pack size per pcs</v>
      </c>
      <c r="E2991" s="6">
        <f>IFERROR(__xludf.DUMMYFUNCTION("""COMPUTED_VALUE"""),4.0)</f>
        <v>4</v>
      </c>
      <c r="F2991" s="6">
        <f>IFERROR(__xludf.DUMMYFUNCTION("""COMPUTED_VALUE"""),4.0)</f>
        <v>4</v>
      </c>
      <c r="G2991" s="6">
        <f>IFERROR(__xludf.DUMMYFUNCTION("""COMPUTED_VALUE"""),0.0)</f>
        <v>0</v>
      </c>
      <c r="H2991" s="6" t="str">
        <f>IFERROR(__xludf.DUMMYFUNCTION("""COMPUTED_VALUE"""),"Pcs")</f>
        <v>Pcs</v>
      </c>
      <c r="I2991" s="6" t="str">
        <f>IFERROR(__xludf.DUMMYFUNCTION("""COMPUTED_VALUE"""),"MFH")</f>
        <v>MFH</v>
      </c>
      <c r="J2991" s="6" t="str">
        <f>IFERROR(__xludf.DUMMYFUNCTION("""COMPUTED_VALUE"""),"Building")</f>
        <v>Building</v>
      </c>
      <c r="K2991" s="6" t="str">
        <f>IFERROR(__xludf.DUMMYFUNCTION("""COMPUTED_VALUE"""),"SPR/25/12/093")</f>
        <v>SPR/25/12/093</v>
      </c>
      <c r="L2991" s="58">
        <f>IFERROR(__xludf.DUMMYFUNCTION("""COMPUTED_VALUE"""),46022.0)</f>
        <v>46022</v>
      </c>
    </row>
    <row r="2992">
      <c r="A2992" s="6" t="str">
        <f>IFERROR(__xludf.DUMMYFUNCTION("""COMPUTED_VALUE"""),"SFH")</f>
        <v>SFH</v>
      </c>
      <c r="B2992" s="6" t="str">
        <f>IFERROR(__xludf.DUMMYFUNCTION("""COMPUTED_VALUE"""),"ENG")</f>
        <v>ENG</v>
      </c>
      <c r="C2992" s="6" t="str">
        <f>IFERROR(__xludf.DUMMYFUNCTION("""COMPUTED_VALUE"""),"Q-10207-00")</f>
        <v>Q-10207-00</v>
      </c>
      <c r="D2992" s="6" t="str">
        <f>IFERROR(__xludf.DUMMYFUNCTION("""COMPUTED_VALUE"""),"Keramik Roman Warna Putih 40 x 40 cm;Roman;CN: 447106;pack size per pack")</f>
        <v>Keramik Roman Warna Putih 40 x 40 cm;Roman;CN: 447106;pack size per pack</v>
      </c>
      <c r="E2992" s="6">
        <f>IFERROR(__xludf.DUMMYFUNCTION("""COMPUTED_VALUE"""),8.0)</f>
        <v>8</v>
      </c>
      <c r="F2992" s="6">
        <f>IFERROR(__xludf.DUMMYFUNCTION("""COMPUTED_VALUE"""),11.0)</f>
        <v>11</v>
      </c>
      <c r="G2992" s="6">
        <f>IFERROR(__xludf.DUMMYFUNCTION("""COMPUTED_VALUE"""),0.0)</f>
        <v>0</v>
      </c>
      <c r="H2992" s="6" t="str">
        <f>IFERROR(__xludf.DUMMYFUNCTION("""COMPUTED_VALUE"""),"Pcs")</f>
        <v>Pcs</v>
      </c>
      <c r="I2992" s="6" t="str">
        <f>IFERROR(__xludf.DUMMYFUNCTION("""COMPUTED_VALUE"""),"MFH")</f>
        <v>MFH</v>
      </c>
      <c r="J2992" s="6" t="str">
        <f>IFERROR(__xludf.DUMMYFUNCTION("""COMPUTED_VALUE"""),"Building")</f>
        <v>Building</v>
      </c>
      <c r="K2992" s="6" t="str">
        <f>IFERROR(__xludf.DUMMYFUNCTION("""COMPUTED_VALUE"""),"SPR/25/12/093")</f>
        <v>SPR/25/12/093</v>
      </c>
      <c r="L2992" s="58">
        <f>IFERROR(__xludf.DUMMYFUNCTION("""COMPUTED_VALUE"""),46022.0)</f>
        <v>46022</v>
      </c>
    </row>
    <row r="2993">
      <c r="A2993" s="6" t="str">
        <f>IFERROR(__xludf.DUMMYFUNCTION("""COMPUTED_VALUE"""),"MFH")</f>
        <v>MFH</v>
      </c>
      <c r="B2993" s="6" t="str">
        <f>IFERROR(__xludf.DUMMYFUNCTION("""COMPUTED_VALUE"""),"ENG")</f>
        <v>ENG</v>
      </c>
      <c r="C2993" s="6" t="str">
        <f>IFERROR(__xludf.DUMMYFUNCTION("""COMPUTED_VALUE"""),"P-51559-00")</f>
        <v>P-51559-00</v>
      </c>
      <c r="D2993" s="6" t="str">
        <f>IFERROR(__xludf.DUMMYFUNCTION("""COMPUTED_VALUE"""),"Lampu T5 14watt Putih; Phillips; ;")</f>
        <v>Lampu T5 14watt Putih; Phillips; ;</v>
      </c>
      <c r="E2993" s="6">
        <f>IFERROR(__xludf.DUMMYFUNCTION("""COMPUTED_VALUE"""),4.0)</f>
        <v>4</v>
      </c>
      <c r="F2993" s="6">
        <f>IFERROR(__xludf.DUMMYFUNCTION("""COMPUTED_VALUE"""),4.0)</f>
        <v>4</v>
      </c>
      <c r="G2993" s="6">
        <f>IFERROR(__xludf.DUMMYFUNCTION("""COMPUTED_VALUE"""),0.0)</f>
        <v>0</v>
      </c>
      <c r="H2993" s="6" t="str">
        <f>IFERROR(__xludf.DUMMYFUNCTION("""COMPUTED_VALUE"""),"Pcs")</f>
        <v>Pcs</v>
      </c>
      <c r="I2993" s="6" t="str">
        <f>IFERROR(__xludf.DUMMYFUNCTION("""COMPUTED_VALUE"""),"MFH")</f>
        <v>MFH</v>
      </c>
      <c r="J2993" s="6" t="str">
        <f>IFERROR(__xludf.DUMMYFUNCTION("""COMPUTED_VALUE"""),"Building")</f>
        <v>Building</v>
      </c>
      <c r="K2993" s="6" t="str">
        <f>IFERROR(__xludf.DUMMYFUNCTION("""COMPUTED_VALUE"""),"SPR/25/12/094")</f>
        <v>SPR/25/12/094</v>
      </c>
      <c r="L2993" s="58">
        <f>IFERROR(__xludf.DUMMYFUNCTION("""COMPUTED_VALUE"""),46022.0)</f>
        <v>46022</v>
      </c>
    </row>
    <row r="2994">
      <c r="A2994" s="6" t="str">
        <f>IFERROR(__xludf.DUMMYFUNCTION("""COMPUTED_VALUE"""),"MFH")</f>
        <v>MFH</v>
      </c>
      <c r="B2994" s="6" t="str">
        <f>IFERROR(__xludf.DUMMYFUNCTION("""COMPUTED_VALUE"""),"ENG")</f>
        <v>ENG</v>
      </c>
      <c r="C2994" s="6" t="str">
        <f>IFERROR(__xludf.DUMMYFUNCTION("""COMPUTED_VALUE"""),"O-18446-00")</f>
        <v>O-18446-00</v>
      </c>
      <c r="D2994" s="6" t="str">
        <f>IFERROR(__xludf.DUMMYFUNCTION("""COMPUTED_VALUE"""),"General - Silicone Guide Infeed; Custom/Lokal; -; 1 Pc")</f>
        <v>General - Silicone Guide Infeed; Custom/Lokal; -; 1 Pc</v>
      </c>
      <c r="E2994" s="6">
        <f>IFERROR(__xludf.DUMMYFUNCTION("""COMPUTED_VALUE"""),1.0)</f>
        <v>1</v>
      </c>
      <c r="F2994" s="6">
        <f>IFERROR(__xludf.DUMMYFUNCTION("""COMPUTED_VALUE"""),1.0)</f>
        <v>1</v>
      </c>
      <c r="G2994" s="6">
        <f>IFERROR(__xludf.DUMMYFUNCTION("""COMPUTED_VALUE"""),0.0)</f>
        <v>0</v>
      </c>
      <c r="H2994" s="6" t="str">
        <f>IFERROR(__xludf.DUMMYFUNCTION("""COMPUTED_VALUE"""),"Pcs")</f>
        <v>Pcs</v>
      </c>
      <c r="I2994" s="6" t="str">
        <f>IFERROR(__xludf.DUMMYFUNCTION("""COMPUTED_VALUE"""),"MFH")</f>
        <v>MFH</v>
      </c>
      <c r="J2994" s="6" t="str">
        <f>IFERROR(__xludf.DUMMYFUNCTION("""COMPUTED_VALUE"""),"-")</f>
        <v>-</v>
      </c>
      <c r="K2994" s="6" t="str">
        <f>IFERROR(__xludf.DUMMYFUNCTION("""COMPUTED_VALUE"""),"SPR/25/12/095")</f>
        <v>SPR/25/12/095</v>
      </c>
      <c r="L2994" s="58">
        <f>IFERROR(__xludf.DUMMYFUNCTION("""COMPUTED_VALUE"""),46022.0)</f>
        <v>46022</v>
      </c>
    </row>
    <row r="2995">
      <c r="A2995" s="6" t="str">
        <f>IFERROR(__xludf.DUMMYFUNCTION("""COMPUTED_VALUE"""),"MFH")</f>
        <v>MFH</v>
      </c>
      <c r="B2995" s="6" t="str">
        <f>IFERROR(__xludf.DUMMYFUNCTION("""COMPUTED_VALUE"""),"ENG")</f>
        <v>ENG</v>
      </c>
      <c r="C2995" s="6" t="str">
        <f>IFERROR(__xludf.DUMMYFUNCTION("""COMPUTED_VALUE"""),"O-18447-00")</f>
        <v>O-18447-00</v>
      </c>
      <c r="D2995" s="6" t="str">
        <f>IFERROR(__xludf.DUMMYFUNCTION("""COMPUTED_VALUE"""),"General - Silicone Guide Outfeed; Custom/Lokal; -; 1 Pc")</f>
        <v>General - Silicone Guide Outfeed; Custom/Lokal; -; 1 Pc</v>
      </c>
      <c r="E2995" s="6">
        <f>IFERROR(__xludf.DUMMYFUNCTION("""COMPUTED_VALUE"""),1.0)</f>
        <v>1</v>
      </c>
      <c r="F2995" s="6">
        <f>IFERROR(__xludf.DUMMYFUNCTION("""COMPUTED_VALUE"""),1.0)</f>
        <v>1</v>
      </c>
      <c r="G2995" s="6">
        <f>IFERROR(__xludf.DUMMYFUNCTION("""COMPUTED_VALUE"""),0.0)</f>
        <v>0</v>
      </c>
      <c r="H2995" s="6" t="str">
        <f>IFERROR(__xludf.DUMMYFUNCTION("""COMPUTED_VALUE"""),"Pcs")</f>
        <v>Pcs</v>
      </c>
      <c r="I2995" s="6" t="str">
        <f>IFERROR(__xludf.DUMMYFUNCTION("""COMPUTED_VALUE"""),"MFH")</f>
        <v>MFH</v>
      </c>
      <c r="J2995" s="6" t="str">
        <f>IFERROR(__xludf.DUMMYFUNCTION("""COMPUTED_VALUE"""),"-")</f>
        <v>-</v>
      </c>
      <c r="K2995" s="6" t="str">
        <f>IFERROR(__xludf.DUMMYFUNCTION("""COMPUTED_VALUE"""),"SPR/25/12/095")</f>
        <v>SPR/25/12/095</v>
      </c>
      <c r="L2995" s="58">
        <f>IFERROR(__xludf.DUMMYFUNCTION("""COMPUTED_VALUE"""),46022.0)</f>
        <v>46022</v>
      </c>
    </row>
    <row r="2996">
      <c r="A2996" s="6" t="str">
        <f>IFERROR(__xludf.DUMMYFUNCTION("""COMPUTED_VALUE"""),"MFH")</f>
        <v>MFH</v>
      </c>
      <c r="B2996" s="6" t="str">
        <f>IFERROR(__xludf.DUMMYFUNCTION("""COMPUTED_VALUE"""),"ENG")</f>
        <v>ENG</v>
      </c>
      <c r="C2996" s="6" t="str">
        <f>IFERROR(__xludf.DUMMYFUNCTION("""COMPUTED_VALUE"""),"O-14616-00")</f>
        <v>O-14616-00</v>
      </c>
      <c r="D2996" s="6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E2996" s="6">
        <f>IFERROR(__xludf.DUMMYFUNCTION("""COMPUTED_VALUE"""),1.0)</f>
        <v>1</v>
      </c>
      <c r="F2996" s="6">
        <f>IFERROR(__xludf.DUMMYFUNCTION("""COMPUTED_VALUE"""),1.0)</f>
        <v>1</v>
      </c>
      <c r="G2996" s="6">
        <f>IFERROR(__xludf.DUMMYFUNCTION("""COMPUTED_VALUE"""),0.0)</f>
        <v>0</v>
      </c>
      <c r="H2996" s="6" t="str">
        <f>IFERROR(__xludf.DUMMYFUNCTION("""COMPUTED_VALUE"""),"Pcs")</f>
        <v>Pcs</v>
      </c>
      <c r="I2996" s="6" t="str">
        <f>IFERROR(__xludf.DUMMYFUNCTION("""COMPUTED_VALUE"""),"MFH")</f>
        <v>MFH</v>
      </c>
      <c r="J2996" s="6" t="str">
        <f>IFERROR(__xludf.DUMMYFUNCTION("""COMPUTED_VALUE"""),"-")</f>
        <v>-</v>
      </c>
      <c r="K2996" s="6" t="str">
        <f>IFERROR(__xludf.DUMMYFUNCTION("""COMPUTED_VALUE"""),"SPR/25/12/095")</f>
        <v>SPR/25/12/095</v>
      </c>
      <c r="L2996" s="58">
        <f>IFERROR(__xludf.DUMMYFUNCTION("""COMPUTED_VALUE"""),46022.0)</f>
        <v>46022</v>
      </c>
    </row>
    <row r="2997">
      <c r="A2997" s="6" t="str">
        <f>IFERROR(__xludf.DUMMYFUNCTION("""COMPUTED_VALUE"""),"MFH")</f>
        <v>MFH</v>
      </c>
      <c r="B2997" s="6" t="str">
        <f>IFERROR(__xludf.DUMMYFUNCTION("""COMPUTED_VALUE"""),"ENG")</f>
        <v>ENG</v>
      </c>
      <c r="C2997" s="6" t="str">
        <f>IFERROR(__xludf.DUMMYFUNCTION("""COMPUTED_VALUE"""),"P-14516-00")</f>
        <v>P-14516-00</v>
      </c>
      <c r="D2997" s="6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E2997" s="6">
        <f>IFERROR(__xludf.DUMMYFUNCTION("""COMPUTED_VALUE"""),1.0)</f>
        <v>1</v>
      </c>
      <c r="F2997" s="6">
        <f>IFERROR(__xludf.DUMMYFUNCTION("""COMPUTED_VALUE"""),1.0)</f>
        <v>1</v>
      </c>
      <c r="G2997" s="6">
        <f>IFERROR(__xludf.DUMMYFUNCTION("""COMPUTED_VALUE"""),0.0)</f>
        <v>0</v>
      </c>
      <c r="H2997" s="6" t="str">
        <f>IFERROR(__xludf.DUMMYFUNCTION("""COMPUTED_VALUE"""),"Pcs")</f>
        <v>Pcs</v>
      </c>
      <c r="I2997" s="6" t="str">
        <f>IFERROR(__xludf.DUMMYFUNCTION("""COMPUTED_VALUE"""),"MFH")</f>
        <v>MFH</v>
      </c>
      <c r="J2997" s="6" t="str">
        <f>IFERROR(__xludf.DUMMYFUNCTION("""COMPUTED_VALUE"""),"-")</f>
        <v>-</v>
      </c>
      <c r="K2997" s="6" t="str">
        <f>IFERROR(__xludf.DUMMYFUNCTION("""COMPUTED_VALUE"""),"SPR/25/12/096")</f>
        <v>SPR/25/12/096</v>
      </c>
      <c r="L2997" s="58">
        <f>IFERROR(__xludf.DUMMYFUNCTION("""COMPUTED_VALUE"""),46022.0)</f>
        <v>46022</v>
      </c>
    </row>
    <row r="2998">
      <c r="A2998" s="6" t="str">
        <f>IFERROR(__xludf.DUMMYFUNCTION("""COMPUTED_VALUE"""),"MFH")</f>
        <v>MFH</v>
      </c>
      <c r="B2998" s="6" t="str">
        <f>IFERROR(__xludf.DUMMYFUNCTION("""COMPUTED_VALUE"""),"ENG")</f>
        <v>ENG</v>
      </c>
      <c r="C2998" s="6" t="str">
        <f>IFERROR(__xludf.DUMMYFUNCTION("""COMPUTED_VALUE"""),"P-19826-00")</f>
        <v>P-19826-00</v>
      </c>
      <c r="D2998" s="6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E2998" s="6">
        <f>IFERROR(__xludf.DUMMYFUNCTION("""COMPUTED_VALUE"""),1.0)</f>
        <v>1</v>
      </c>
      <c r="F2998" s="6">
        <f>IFERROR(__xludf.DUMMYFUNCTION("""COMPUTED_VALUE"""),1.0)</f>
        <v>1</v>
      </c>
      <c r="G2998" s="6">
        <f>IFERROR(__xludf.DUMMYFUNCTION("""COMPUTED_VALUE"""),0.0)</f>
        <v>0</v>
      </c>
      <c r="H2998" s="6" t="str">
        <f>IFERROR(__xludf.DUMMYFUNCTION("""COMPUTED_VALUE"""),"Pcs")</f>
        <v>Pcs</v>
      </c>
      <c r="I2998" s="6" t="str">
        <f>IFERROR(__xludf.DUMMYFUNCTION("""COMPUTED_VALUE"""),"MFH")</f>
        <v>MFH</v>
      </c>
      <c r="J2998" s="6" t="str">
        <f>IFERROR(__xludf.DUMMYFUNCTION("""COMPUTED_VALUE"""),"-")</f>
        <v>-</v>
      </c>
      <c r="K2998" s="6" t="str">
        <f>IFERROR(__xludf.DUMMYFUNCTION("""COMPUTED_VALUE"""),"SPR/25/12/096")</f>
        <v>SPR/25/12/096</v>
      </c>
      <c r="L2998" s="58">
        <f>IFERROR(__xludf.DUMMYFUNCTION("""COMPUTED_VALUE"""),46022.0)</f>
        <v>46022</v>
      </c>
    </row>
    <row r="2999">
      <c r="A2999" s="6" t="str">
        <f>IFERROR(__xludf.DUMMYFUNCTION("""COMPUTED_VALUE"""),"MFH")</f>
        <v>MFH</v>
      </c>
      <c r="B2999" s="6" t="str">
        <f>IFERROR(__xludf.DUMMYFUNCTION("""COMPUTED_VALUE"""),"ENG")</f>
        <v>ENG</v>
      </c>
      <c r="C2999" s="6" t="str">
        <f>IFERROR(__xludf.DUMMYFUNCTION("""COMPUTED_VALUE"""),"O-19345-00")</f>
        <v>O-19345-00</v>
      </c>
      <c r="D2999" s="6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E2999" s="6">
        <f>IFERROR(__xludf.DUMMYFUNCTION("""COMPUTED_VALUE"""),1.0)</f>
        <v>1</v>
      </c>
      <c r="F2999" s="6">
        <f>IFERROR(__xludf.DUMMYFUNCTION("""COMPUTED_VALUE"""),1.0)</f>
        <v>1</v>
      </c>
      <c r="G2999" s="6">
        <f>IFERROR(__xludf.DUMMYFUNCTION("""COMPUTED_VALUE"""),0.0)</f>
        <v>0</v>
      </c>
      <c r="H2999" s="6" t="str">
        <f>IFERROR(__xludf.DUMMYFUNCTION("""COMPUTED_VALUE"""),"Pcs")</f>
        <v>Pcs</v>
      </c>
      <c r="I2999" s="6" t="str">
        <f>IFERROR(__xludf.DUMMYFUNCTION("""COMPUTED_VALUE"""),"MFH")</f>
        <v>MFH</v>
      </c>
      <c r="J2999" s="6" t="str">
        <f>IFERROR(__xludf.DUMMYFUNCTION("""COMPUTED_VALUE"""),"-")</f>
        <v>-</v>
      </c>
      <c r="K2999" s="6" t="str">
        <f>IFERROR(__xludf.DUMMYFUNCTION("""COMPUTED_VALUE"""),"SPR/25/12/096")</f>
        <v>SPR/25/12/096</v>
      </c>
      <c r="L2999" s="58">
        <f>IFERROR(__xludf.DUMMYFUNCTION("""COMPUTED_VALUE"""),46022.0)</f>
        <v>46022</v>
      </c>
    </row>
    <row r="3000">
      <c r="A3000" s="6" t="str">
        <f>IFERROR(__xludf.DUMMYFUNCTION("""COMPUTED_VALUE"""),"ANO")</f>
        <v>ANO</v>
      </c>
      <c r="B3000" s="6" t="str">
        <f>IFERROR(__xludf.DUMMYFUNCTION("""COMPUTED_VALUE"""),"ENG")</f>
        <v>ENG</v>
      </c>
      <c r="C3000" s="6" t="str">
        <f>IFERROR(__xludf.DUMMYFUNCTION("""COMPUTED_VALUE"""),"O-51827-00")</f>
        <v>O-51827-00</v>
      </c>
      <c r="D3000" s="6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E3000" s="6">
        <f>IFERROR(__xludf.DUMMYFUNCTION("""COMPUTED_VALUE"""),1.0)</f>
        <v>1</v>
      </c>
      <c r="F3000" s="6">
        <f>IFERROR(__xludf.DUMMYFUNCTION("""COMPUTED_VALUE"""),1.0)</f>
        <v>1</v>
      </c>
      <c r="G3000" s="6">
        <f>IFERROR(__xludf.DUMMYFUNCTION("""COMPUTED_VALUE"""),0.0)</f>
        <v>0</v>
      </c>
      <c r="H3000" s="6" t="str">
        <f>IFERROR(__xludf.DUMMYFUNCTION("""COMPUTED_VALUE"""),"Pcs")</f>
        <v>Pcs</v>
      </c>
      <c r="I3000" s="6" t="str">
        <f>IFERROR(__xludf.DUMMYFUNCTION("""COMPUTED_VALUE"""),"MFH")</f>
        <v>MFH</v>
      </c>
      <c r="J3000" s="6" t="str">
        <f>IFERROR(__xludf.DUMMYFUNCTION("""COMPUTED_VALUE"""),"Autoclave")</f>
        <v>Autoclave</v>
      </c>
      <c r="K3000" s="6" t="str">
        <f>IFERROR(__xludf.DUMMYFUNCTION("""COMPUTED_VALUE"""),"SPR/25/12/097")</f>
        <v>SPR/25/12/097</v>
      </c>
      <c r="L3000" s="58">
        <f>IFERROR(__xludf.DUMMYFUNCTION("""COMPUTED_VALUE"""),46022.0)</f>
        <v>46022</v>
      </c>
    </row>
    <row r="3001">
      <c r="A3001" s="6" t="str">
        <f>IFERROR(__xludf.DUMMYFUNCTION("""COMPUTED_VALUE"""),"ANO")</f>
        <v>ANO</v>
      </c>
      <c r="B3001" s="6" t="str">
        <f>IFERROR(__xludf.DUMMYFUNCTION("""COMPUTED_VALUE"""),"ENG")</f>
        <v>ENG</v>
      </c>
      <c r="C3001" s="6" t="str">
        <f>IFERROR(__xludf.DUMMYFUNCTION("""COMPUTED_VALUE"""),"O-51920-00")</f>
        <v>O-51920-00</v>
      </c>
      <c r="D3001" s="6" t="str">
        <f>IFERROR(__xludf.DUMMYFUNCTION("""COMPUTED_VALUE"""),"Temperature sensor PT100, 4 wire, class AA, Duplex, c/w 10m silicon cable Radix RAC241-D-10-PN; ; ;")</f>
        <v>Temperature sensor PT100, 4 wire, class AA, Duplex, c/w 10m silicon cable Radix RAC241-D-10-PN; ; ;</v>
      </c>
      <c r="E3001" s="6">
        <f>IFERROR(__xludf.DUMMYFUNCTION("""COMPUTED_VALUE"""),1.0)</f>
        <v>1</v>
      </c>
      <c r="F3001" s="6">
        <f>IFERROR(__xludf.DUMMYFUNCTION("""COMPUTED_VALUE"""),1.0)</f>
        <v>1</v>
      </c>
      <c r="G3001" s="6">
        <f>IFERROR(__xludf.DUMMYFUNCTION("""COMPUTED_VALUE"""),0.0)</f>
        <v>0</v>
      </c>
      <c r="H3001" s="6" t="str">
        <f>IFERROR(__xludf.DUMMYFUNCTION("""COMPUTED_VALUE"""),"Pcs")</f>
        <v>Pcs</v>
      </c>
      <c r="I3001" s="6" t="str">
        <f>IFERROR(__xludf.DUMMYFUNCTION("""COMPUTED_VALUE"""),"MFH")</f>
        <v>MFH</v>
      </c>
      <c r="J3001" s="6" t="str">
        <f>IFERROR(__xludf.DUMMYFUNCTION("""COMPUTED_VALUE"""),"Autoclave")</f>
        <v>Autoclave</v>
      </c>
      <c r="K3001" s="6" t="str">
        <f>IFERROR(__xludf.DUMMYFUNCTION("""COMPUTED_VALUE"""),"SPR/25/12/097")</f>
        <v>SPR/25/12/097</v>
      </c>
      <c r="L3001" s="58">
        <f>IFERROR(__xludf.DUMMYFUNCTION("""COMPUTED_VALUE"""),46022.0)</f>
        <v>46022</v>
      </c>
    </row>
    <row r="3002">
      <c r="A3002" s="6" t="str">
        <f>IFERROR(__xludf.DUMMYFUNCTION("""COMPUTED_VALUE"""),"ANO")</f>
        <v>ANO</v>
      </c>
      <c r="B3002" s="6" t="str">
        <f>IFERROR(__xludf.DUMMYFUNCTION("""COMPUTED_VALUE"""),"ENG")</f>
        <v>ENG</v>
      </c>
      <c r="C3002" s="6" t="str">
        <f>IFERROR(__xludf.DUMMYFUNCTION("""COMPUTED_VALUE"""),"P-19819-00")</f>
        <v>P-19819-00</v>
      </c>
      <c r="D3002" s="6" t="str">
        <f>IFERROR(__xludf.DUMMYFUNCTION("""COMPUTED_VALUE"""),"General - Drain Pan Humidity Chamber SS304; Custom; -; 1 unit")</f>
        <v>General - Drain Pan Humidity Chamber SS304; Custom; -; 1 unit</v>
      </c>
      <c r="E3002" s="6">
        <f>IFERROR(__xludf.DUMMYFUNCTION("""COMPUTED_VALUE"""),1.0)</f>
        <v>1</v>
      </c>
      <c r="F3002" s="6">
        <f>IFERROR(__xludf.DUMMYFUNCTION("""COMPUTED_VALUE"""),1.0)</f>
        <v>1</v>
      </c>
      <c r="G3002" s="6">
        <f>IFERROR(__xludf.DUMMYFUNCTION("""COMPUTED_VALUE"""),0.0)</f>
        <v>0</v>
      </c>
      <c r="H3002" s="6" t="str">
        <f>IFERROR(__xludf.DUMMYFUNCTION("""COMPUTED_VALUE"""),"Pcs")</f>
        <v>Pcs</v>
      </c>
      <c r="I3002" s="6" t="str">
        <f>IFERROR(__xludf.DUMMYFUNCTION("""COMPUTED_VALUE"""),"MFH")</f>
        <v>MFH</v>
      </c>
      <c r="J3002" s="6" t="str">
        <f>IFERROR(__xludf.DUMMYFUNCTION("""COMPUTED_VALUE"""),"WIHC")</f>
        <v>WIHC</v>
      </c>
      <c r="K3002" s="6" t="str">
        <f>IFERROR(__xludf.DUMMYFUNCTION("""COMPUTED_VALUE"""),"SPR/25/12/097")</f>
        <v>SPR/25/12/097</v>
      </c>
      <c r="L3002" s="58">
        <f>IFERROR(__xludf.DUMMYFUNCTION("""COMPUTED_VALUE"""),46022.0)</f>
        <v>46022</v>
      </c>
    </row>
    <row r="3003">
      <c r="A3003" s="6" t="str">
        <f>IFERROR(__xludf.DUMMYFUNCTION("""COMPUTED_VALUE"""),"MOB")</f>
        <v>MOB</v>
      </c>
      <c r="B3003" s="6" t="str">
        <f>IFERROR(__xludf.DUMMYFUNCTION("""COMPUTED_VALUE"""),"ENG")</f>
        <v>ENG</v>
      </c>
      <c r="C3003" s="6" t="str">
        <f>IFERROR(__xludf.DUMMYFUNCTION("""COMPUTED_VALUE"""),"P-53050-00")</f>
        <v>P-53050-00</v>
      </c>
      <c r="D3003" s="6" t="str">
        <f>IFERROR(__xludf.DUMMYFUNCTION("""COMPUTED_VALUE"""),"General - Pompa Magnetik 150W 1 phase; Sanso; PMD 1564; 1 Unit")</f>
        <v>General - Pompa Magnetik 150W 1 phase; Sanso; PMD 1564; 1 Unit</v>
      </c>
      <c r="E3003" s="6">
        <f>IFERROR(__xludf.DUMMYFUNCTION("""COMPUTED_VALUE"""),1.0)</f>
        <v>1</v>
      </c>
      <c r="F3003" s="6">
        <f>IFERROR(__xludf.DUMMYFUNCTION("""COMPUTED_VALUE"""),1.0)</f>
        <v>1</v>
      </c>
      <c r="G3003" s="6">
        <f>IFERROR(__xludf.DUMMYFUNCTION("""COMPUTED_VALUE"""),0.0)</f>
        <v>0</v>
      </c>
      <c r="H3003" s="6" t="str">
        <f>IFERROR(__xludf.DUMMYFUNCTION("""COMPUTED_VALUE"""),"Unit")</f>
        <v>Unit</v>
      </c>
      <c r="I3003" s="6" t="str">
        <f>IFERROR(__xludf.DUMMYFUNCTION("""COMPUTED_VALUE"""),"MFH")</f>
        <v>MFH</v>
      </c>
      <c r="J3003" s="6" t="str">
        <f>IFERROR(__xludf.DUMMYFUNCTION("""COMPUTED_VALUE"""),"-")</f>
        <v>-</v>
      </c>
      <c r="K3003" s="6" t="str">
        <f>IFERROR(__xludf.DUMMYFUNCTION("""COMPUTED_VALUE"""),"SPR/25/12/098")</f>
        <v>SPR/25/12/098</v>
      </c>
      <c r="L3003" s="58">
        <f>IFERROR(__xludf.DUMMYFUNCTION("""COMPUTED_VALUE"""),46022.0)</f>
        <v>46022</v>
      </c>
    </row>
    <row r="3004">
      <c r="A3004" s="6" t="str">
        <f>IFERROR(__xludf.DUMMYFUNCTION("""COMPUTED_VALUE"""),"MOB")</f>
        <v>MOB</v>
      </c>
      <c r="B3004" s="6" t="str">
        <f>IFERROR(__xludf.DUMMYFUNCTION("""COMPUTED_VALUE"""),"ENG")</f>
        <v>ENG</v>
      </c>
      <c r="C3004" s="6" t="str">
        <f>IFERROR(__xludf.DUMMYFUNCTION("""COMPUTED_VALUE"""),"P-52228-00")</f>
        <v>P-52228-00</v>
      </c>
      <c r="D3004" s="6" t="str">
        <f>IFERROR(__xludf.DUMMYFUNCTION("""COMPUTED_VALUE"""),"Inline Fan 6"" CDI-150 CKE; ; ;")</f>
        <v>Inline Fan 6" CDI-150 CKE; ; ;</v>
      </c>
      <c r="E3004" s="6">
        <f>IFERROR(__xludf.DUMMYFUNCTION("""COMPUTED_VALUE"""),1.0)</f>
        <v>1</v>
      </c>
      <c r="F3004" s="6">
        <f>IFERROR(__xludf.DUMMYFUNCTION("""COMPUTED_VALUE"""),1.0)</f>
        <v>1</v>
      </c>
      <c r="G3004" s="6">
        <f>IFERROR(__xludf.DUMMYFUNCTION("""COMPUTED_VALUE"""),0.0)</f>
        <v>0</v>
      </c>
      <c r="H3004" s="6" t="str">
        <f>IFERROR(__xludf.DUMMYFUNCTION("""COMPUTED_VALUE"""),"Pcs")</f>
        <v>Pcs</v>
      </c>
      <c r="I3004" s="6" t="str">
        <f>IFERROR(__xludf.DUMMYFUNCTION("""COMPUTED_VALUE"""),"MFH")</f>
        <v>MFH</v>
      </c>
      <c r="J3004" s="6" t="str">
        <f>IFERROR(__xludf.DUMMYFUNCTION("""COMPUTED_VALUE"""),"-")</f>
        <v>-</v>
      </c>
      <c r="K3004" s="6" t="str">
        <f>IFERROR(__xludf.DUMMYFUNCTION("""COMPUTED_VALUE"""),"SPR/25/12/098")</f>
        <v>SPR/25/12/098</v>
      </c>
      <c r="L3004" s="58">
        <f>IFERROR(__xludf.DUMMYFUNCTION("""COMPUTED_VALUE"""),46022.0)</f>
        <v>46022</v>
      </c>
    </row>
    <row r="3005">
      <c r="A3005" s="6" t="str">
        <f>IFERROR(__xludf.DUMMYFUNCTION("""COMPUTED_VALUE"""),"MOB")</f>
        <v>MOB</v>
      </c>
      <c r="B3005" s="6" t="str">
        <f>IFERROR(__xludf.DUMMYFUNCTION("""COMPUTED_VALUE"""),"ENG")</f>
        <v>ENG</v>
      </c>
      <c r="C3005" s="6" t="str">
        <f>IFERROR(__xludf.DUMMYFUNCTION("""COMPUTED_VALUE"""),"P-52228-00")</f>
        <v>P-52228-00</v>
      </c>
      <c r="D3005" s="6" t="str">
        <f>IFERROR(__xludf.DUMMYFUNCTION("""COMPUTED_VALUE"""),"General - Regulator Gas Hydrogen; Harris; 25GX-15-H2; 1 pcs")</f>
        <v>General - Regulator Gas Hydrogen; Harris; 25GX-15-H2; 1 pcs</v>
      </c>
      <c r="E3005" s="6">
        <f>IFERROR(__xludf.DUMMYFUNCTION("""COMPUTED_VALUE"""),1.0)</f>
        <v>1</v>
      </c>
      <c r="F3005" s="6">
        <f>IFERROR(__xludf.DUMMYFUNCTION("""COMPUTED_VALUE"""),1.0)</f>
        <v>1</v>
      </c>
      <c r="G3005" s="6">
        <f>IFERROR(__xludf.DUMMYFUNCTION("""COMPUTED_VALUE"""),0.0)</f>
        <v>0</v>
      </c>
      <c r="H3005" s="6" t="str">
        <f>IFERROR(__xludf.DUMMYFUNCTION("""COMPUTED_VALUE"""),"Pcs")</f>
        <v>Pcs</v>
      </c>
      <c r="I3005" s="6" t="str">
        <f>IFERROR(__xludf.DUMMYFUNCTION("""COMPUTED_VALUE"""),"MFH")</f>
        <v>MFH</v>
      </c>
      <c r="J3005" s="6" t="str">
        <f>IFERROR(__xludf.DUMMYFUNCTION("""COMPUTED_VALUE"""),"-")</f>
        <v>-</v>
      </c>
      <c r="K3005" s="6" t="str">
        <f>IFERROR(__xludf.DUMMYFUNCTION("""COMPUTED_VALUE"""),"SPR/25/12/098")</f>
        <v>SPR/25/12/098</v>
      </c>
      <c r="L3005" s="58">
        <f>IFERROR(__xludf.DUMMYFUNCTION("""COMPUTED_VALUE"""),46022.0)</f>
        <v>46022</v>
      </c>
    </row>
    <row r="3006">
      <c r="A3006" s="6" t="str">
        <f>IFERROR(__xludf.DUMMYFUNCTION("""COMPUTED_VALUE"""),"AAA")</f>
        <v>AAA</v>
      </c>
      <c r="B3006" s="6" t="str">
        <f>IFERROR(__xludf.DUMMYFUNCTION("""COMPUTED_VALUE"""),"ENG")</f>
        <v>ENG</v>
      </c>
      <c r="C3006" s="6" t="str">
        <f>IFERROR(__xludf.DUMMYFUNCTION("""COMPUTED_VALUE"""),"P-51889-00")</f>
        <v>P-51889-00</v>
      </c>
      <c r="D3006" s="6" t="str">
        <f>IFERROR(__xludf.DUMMYFUNCTION("""COMPUTED_VALUE"""),"Autonics - Power Supply SPA-050-24VDC; ; ;")</f>
        <v>Autonics - Power Supply SPA-050-24VDC; ; ;</v>
      </c>
      <c r="E3006" s="6">
        <f>IFERROR(__xludf.DUMMYFUNCTION("""COMPUTED_VALUE"""),1.0)</f>
        <v>1</v>
      </c>
      <c r="F3006" s="6">
        <f>IFERROR(__xludf.DUMMYFUNCTION("""COMPUTED_VALUE"""),1.0)</f>
        <v>1</v>
      </c>
      <c r="G3006" s="6">
        <f>IFERROR(__xludf.DUMMYFUNCTION("""COMPUTED_VALUE"""),0.0)</f>
        <v>0</v>
      </c>
      <c r="H3006" s="6" t="str">
        <f>IFERROR(__xludf.DUMMYFUNCTION("""COMPUTED_VALUE"""),"Pcs")</f>
        <v>Pcs</v>
      </c>
      <c r="I3006" s="6" t="str">
        <f>IFERROR(__xludf.DUMMYFUNCTION("""COMPUTED_VALUE"""),"MFH")</f>
        <v>MFH</v>
      </c>
      <c r="J3006" s="6" t="str">
        <f>IFERROR(__xludf.DUMMYFUNCTION("""COMPUTED_VALUE"""),"WIHC")</f>
        <v>WIHC</v>
      </c>
      <c r="K3006" s="6" t="str">
        <f>IFERROR(__xludf.DUMMYFUNCTION("""COMPUTED_VALUE"""),"SPR/26/01/001")</f>
        <v>SPR/26/01/001</v>
      </c>
      <c r="L3006" s="58">
        <f>IFERROR(__xludf.DUMMYFUNCTION("""COMPUTED_VALUE"""),46030.0)</f>
        <v>46030</v>
      </c>
    </row>
    <row r="3007">
      <c r="A3007" s="6" t="str">
        <f>IFERROR(__xludf.DUMMYFUNCTION("""COMPUTED_VALUE"""),"ANO")</f>
        <v>ANO</v>
      </c>
      <c r="B3007" s="6" t="str">
        <f>IFERROR(__xludf.DUMMYFUNCTION("""COMPUTED_VALUE"""),"ENG")</f>
        <v>ENG</v>
      </c>
      <c r="C3007" s="6" t="str">
        <f>IFERROR(__xludf.DUMMYFUNCTION("""COMPUTED_VALUE"""),"P-54348-00")</f>
        <v>P-54348-00</v>
      </c>
      <c r="D3007" s="6" t="str">
        <f>IFERROR(__xludf.DUMMYFUNCTION("""COMPUTED_VALUE"""),"General - Exhaust Fan 4414M; EBMPast; -; 1 pc")</f>
        <v>General - Exhaust Fan 4414M; EBMPast; -; 1 pc</v>
      </c>
      <c r="E3007" s="6">
        <f>IFERROR(__xludf.DUMMYFUNCTION("""COMPUTED_VALUE"""),1.0)</f>
        <v>1</v>
      </c>
      <c r="F3007" s="6">
        <f>IFERROR(__xludf.DUMMYFUNCTION("""COMPUTED_VALUE"""),1.0)</f>
        <v>1</v>
      </c>
      <c r="G3007" s="6">
        <f>IFERROR(__xludf.DUMMYFUNCTION("""COMPUTED_VALUE"""),0.0)</f>
        <v>0</v>
      </c>
      <c r="H3007" s="6" t="str">
        <f>IFERROR(__xludf.DUMMYFUNCTION("""COMPUTED_VALUE"""),"Pcs")</f>
        <v>Pcs</v>
      </c>
      <c r="I3007" s="6" t="str">
        <f>IFERROR(__xludf.DUMMYFUNCTION("""COMPUTED_VALUE"""),"MFH")</f>
        <v>MFH</v>
      </c>
      <c r="J3007" s="6" t="str">
        <f>IFERROR(__xludf.DUMMYFUNCTION("""COMPUTED_VALUE"""),"-")</f>
        <v>-</v>
      </c>
      <c r="K3007" s="6" t="str">
        <f>IFERROR(__xludf.DUMMYFUNCTION("""COMPUTED_VALUE"""),"SPR/26/01/002")</f>
        <v>SPR/26/01/002</v>
      </c>
      <c r="L3007" s="58">
        <f>IFERROR(__xludf.DUMMYFUNCTION("""COMPUTED_VALUE"""),46030.0)</f>
        <v>46030</v>
      </c>
    </row>
    <row r="3008">
      <c r="A3008" s="6" t="str">
        <f>IFERROR(__xludf.DUMMYFUNCTION("""COMPUTED_VALUE"""),"ANO")</f>
        <v>ANO</v>
      </c>
      <c r="B3008" s="6" t="str">
        <f>IFERROR(__xludf.DUMMYFUNCTION("""COMPUTED_VALUE"""),"ENG")</f>
        <v>ENG</v>
      </c>
      <c r="C3008" s="6" t="str">
        <f>IFERROR(__xludf.DUMMYFUNCTION("""COMPUTED_VALUE"""),"Q-60107-00")</f>
        <v>Q-60107-00</v>
      </c>
      <c r="D3008" s="6" t="str">
        <f>IFERROR(__xludf.DUMMYFUNCTION("""COMPUTED_VALUE"""),"Hardener / Obat dempul sanpolac; ; ; pack size per tube")</f>
        <v>Hardener / Obat dempul sanpolac; ; ; pack size per tube</v>
      </c>
      <c r="E3008" s="6">
        <f>IFERROR(__xludf.DUMMYFUNCTION("""COMPUTED_VALUE"""),1.0)</f>
        <v>1</v>
      </c>
      <c r="F3008" s="6">
        <f>IFERROR(__xludf.DUMMYFUNCTION("""COMPUTED_VALUE"""),1.0)</f>
        <v>1</v>
      </c>
      <c r="G3008" s="6">
        <f>IFERROR(__xludf.DUMMYFUNCTION("""COMPUTED_VALUE"""),0.0)</f>
        <v>0</v>
      </c>
      <c r="H3008" s="6" t="str">
        <f>IFERROR(__xludf.DUMMYFUNCTION("""COMPUTED_VALUE"""),"Pcs")</f>
        <v>Pcs</v>
      </c>
      <c r="I3008" s="6" t="str">
        <f>IFERROR(__xludf.DUMMYFUNCTION("""COMPUTED_VALUE"""),"MFH")</f>
        <v>MFH</v>
      </c>
      <c r="J3008" s="6" t="str">
        <f>IFERROR(__xludf.DUMMYFUNCTION("""COMPUTED_VALUE"""),"Building")</f>
        <v>Building</v>
      </c>
      <c r="K3008" s="6" t="str">
        <f>IFERROR(__xludf.DUMMYFUNCTION("""COMPUTED_VALUE"""),"SPR/26/01/003")</f>
        <v>SPR/26/01/003</v>
      </c>
      <c r="L3008" s="58">
        <f>IFERROR(__xludf.DUMMYFUNCTION("""COMPUTED_VALUE"""),46030.0)</f>
        <v>46030</v>
      </c>
    </row>
    <row r="3009">
      <c r="A3009" s="6" t="str">
        <f>IFERROR(__xludf.DUMMYFUNCTION("""COMPUTED_VALUE"""),"ANO")</f>
        <v>ANO</v>
      </c>
      <c r="B3009" s="6" t="str">
        <f>IFERROR(__xludf.DUMMYFUNCTION("""COMPUTED_VALUE"""),"ENG")</f>
        <v>ENG</v>
      </c>
      <c r="C3009" s="6" t="str">
        <f>IFERROR(__xludf.DUMMYFUNCTION("""COMPUTED_VALUE"""),"P-15852-00")</f>
        <v>P-15852-00</v>
      </c>
      <c r="D3009" s="6" t="str">
        <f>IFERROR(__xludf.DUMMYFUNCTION("""COMPUTED_VALUE"""),"AMPLAS  EAGLE 500")</f>
        <v>AMPLAS  EAGLE 500</v>
      </c>
      <c r="E3009" s="6">
        <f>IFERROR(__xludf.DUMMYFUNCTION("""COMPUTED_VALUE"""),1.0)</f>
        <v>1</v>
      </c>
      <c r="F3009" s="6">
        <f>IFERROR(__xludf.DUMMYFUNCTION("""COMPUTED_VALUE"""),1.0)</f>
        <v>1</v>
      </c>
      <c r="G3009" s="6">
        <f>IFERROR(__xludf.DUMMYFUNCTION("""COMPUTED_VALUE"""),0.0)</f>
        <v>0</v>
      </c>
      <c r="H3009" s="6" t="str">
        <f>IFERROR(__xludf.DUMMYFUNCTION("""COMPUTED_VALUE"""),"Pcs")</f>
        <v>Pcs</v>
      </c>
      <c r="I3009" s="6" t="str">
        <f>IFERROR(__xludf.DUMMYFUNCTION("""COMPUTED_VALUE"""),"MFH")</f>
        <v>MFH</v>
      </c>
      <c r="J3009" s="6" t="str">
        <f>IFERROR(__xludf.DUMMYFUNCTION("""COMPUTED_VALUE"""),"Building")</f>
        <v>Building</v>
      </c>
      <c r="K3009" s="6" t="str">
        <f>IFERROR(__xludf.DUMMYFUNCTION("""COMPUTED_VALUE"""),"SPR/26/01/003")</f>
        <v>SPR/26/01/003</v>
      </c>
      <c r="L3009" s="58">
        <f>IFERROR(__xludf.DUMMYFUNCTION("""COMPUTED_VALUE"""),46030.0)</f>
        <v>46030</v>
      </c>
    </row>
    <row r="3010">
      <c r="A3010" s="6" t="str">
        <f>IFERROR(__xludf.DUMMYFUNCTION("""COMPUTED_VALUE"""),"ANO")</f>
        <v>ANO</v>
      </c>
      <c r="B3010" s="6" t="str">
        <f>IFERROR(__xludf.DUMMYFUNCTION("""COMPUTED_VALUE"""),"ENG")</f>
        <v>ENG</v>
      </c>
      <c r="C3010" s="6" t="str">
        <f>IFERROR(__xludf.DUMMYFUNCTION("""COMPUTED_VALUE"""),"P-15851-00")</f>
        <v>P-15851-00</v>
      </c>
      <c r="D3010" s="6" t="str">
        <f>IFERROR(__xludf.DUMMYFUNCTION("""COMPUTED_VALUE"""),"AMPLAS  EAGLE 100")</f>
        <v>AMPLAS  EAGLE 100</v>
      </c>
      <c r="E3010" s="6">
        <f>IFERROR(__xludf.DUMMYFUNCTION("""COMPUTED_VALUE"""),1.0)</f>
        <v>1</v>
      </c>
      <c r="F3010" s="6">
        <f>IFERROR(__xludf.DUMMYFUNCTION("""COMPUTED_VALUE"""),1.0)</f>
        <v>1</v>
      </c>
      <c r="G3010" s="6">
        <f>IFERROR(__xludf.DUMMYFUNCTION("""COMPUTED_VALUE"""),0.0)</f>
        <v>0</v>
      </c>
      <c r="H3010" s="6" t="str">
        <f>IFERROR(__xludf.DUMMYFUNCTION("""COMPUTED_VALUE"""),"Pcs")</f>
        <v>Pcs</v>
      </c>
      <c r="I3010" s="6" t="str">
        <f>IFERROR(__xludf.DUMMYFUNCTION("""COMPUTED_VALUE"""),"MFH")</f>
        <v>MFH</v>
      </c>
      <c r="J3010" s="6" t="str">
        <f>IFERROR(__xludf.DUMMYFUNCTION("""COMPUTED_VALUE"""),"Building")</f>
        <v>Building</v>
      </c>
      <c r="K3010" s="6" t="str">
        <f>IFERROR(__xludf.DUMMYFUNCTION("""COMPUTED_VALUE"""),"SPR/26/01/003")</f>
        <v>SPR/26/01/003</v>
      </c>
      <c r="L3010" s="58">
        <f>IFERROR(__xludf.DUMMYFUNCTION("""COMPUTED_VALUE"""),46030.0)</f>
        <v>46030</v>
      </c>
    </row>
    <row r="3011">
      <c r="A3011" s="6" t="str">
        <f>IFERROR(__xludf.DUMMYFUNCTION("""COMPUTED_VALUE"""),"KFF")</f>
        <v>KFF</v>
      </c>
      <c r="B3011" s="6" t="str">
        <f>IFERROR(__xludf.DUMMYFUNCTION("""COMPUTED_VALUE"""),"ENG")</f>
        <v>ENG</v>
      </c>
      <c r="C3011" s="6" t="str">
        <f>IFERROR(__xludf.DUMMYFUNCTION("""COMPUTED_VALUE"""),"P-13389-00")</f>
        <v>P-13389-00</v>
      </c>
      <c r="D3011" s="6" t="str">
        <f>IFERROR(__xludf.DUMMYFUNCTION("""COMPUTED_VALUE"""),"Scotch Brite 3M; ; ;")</f>
        <v>Scotch Brite 3M; ; ;</v>
      </c>
      <c r="E3011" s="6">
        <f>IFERROR(__xludf.DUMMYFUNCTION("""COMPUTED_VALUE"""),1.0)</f>
        <v>1</v>
      </c>
      <c r="F3011" s="6">
        <f>IFERROR(__xludf.DUMMYFUNCTION("""COMPUTED_VALUE"""),1.0)</f>
        <v>1</v>
      </c>
      <c r="G3011" s="6">
        <f>IFERROR(__xludf.DUMMYFUNCTION("""COMPUTED_VALUE"""),0.0)</f>
        <v>0</v>
      </c>
      <c r="H3011" s="6" t="str">
        <f>IFERROR(__xludf.DUMMYFUNCTION("""COMPUTED_VALUE"""),"Pcs")</f>
        <v>Pcs</v>
      </c>
      <c r="I3011" s="6" t="str">
        <f>IFERROR(__xludf.DUMMYFUNCTION("""COMPUTED_VALUE"""),"MFH")</f>
        <v>MFH</v>
      </c>
      <c r="J3011" s="6" t="str">
        <f>IFERROR(__xludf.DUMMYFUNCTION("""COMPUTED_VALUE"""),"-")</f>
        <v>-</v>
      </c>
      <c r="K3011" s="6" t="str">
        <f>IFERROR(__xludf.DUMMYFUNCTION("""COMPUTED_VALUE"""),"SPR/26/01/004")</f>
        <v>SPR/26/01/004</v>
      </c>
      <c r="L3011" s="58">
        <f>IFERROR(__xludf.DUMMYFUNCTION("""COMPUTED_VALUE"""),46030.0)</f>
        <v>46030</v>
      </c>
    </row>
    <row r="3012">
      <c r="A3012" s="6" t="str">
        <f>IFERROR(__xludf.DUMMYFUNCTION("""COMPUTED_VALUE"""),"KFF")</f>
        <v>KFF</v>
      </c>
      <c r="B3012" s="6" t="str">
        <f>IFERROR(__xludf.DUMMYFUNCTION("""COMPUTED_VALUE"""),"ENG")</f>
        <v>ENG</v>
      </c>
      <c r="C3012" s="6" t="str">
        <f>IFERROR(__xludf.DUMMYFUNCTION("""COMPUTED_VALUE"""),"Q-12047-00")</f>
        <v>Q-12047-00</v>
      </c>
      <c r="D3012" s="6" t="str">
        <f>IFERROR(__xludf.DUMMYFUNCTION("""COMPUTED_VALUE"""),"Kape PVC / Scraper / Skrap PVC Ukuran 5 Inch;; Lokal; ; pc")</f>
        <v>Kape PVC / Scraper / Skrap PVC Ukuran 5 Inch;; Lokal; ; pc</v>
      </c>
      <c r="E3012" s="6">
        <f>IFERROR(__xludf.DUMMYFUNCTION("""COMPUTED_VALUE"""),1.0)</f>
        <v>1</v>
      </c>
      <c r="F3012" s="6">
        <f>IFERROR(__xludf.DUMMYFUNCTION("""COMPUTED_VALUE"""),1.0)</f>
        <v>1</v>
      </c>
      <c r="G3012" s="6">
        <f>IFERROR(__xludf.DUMMYFUNCTION("""COMPUTED_VALUE"""),0.0)</f>
        <v>0</v>
      </c>
      <c r="H3012" s="6" t="str">
        <f>IFERROR(__xludf.DUMMYFUNCTION("""COMPUTED_VALUE"""),"Pcs")</f>
        <v>Pcs</v>
      </c>
      <c r="I3012" s="6" t="str">
        <f>IFERROR(__xludf.DUMMYFUNCTION("""COMPUTED_VALUE"""),"MFH")</f>
        <v>MFH</v>
      </c>
      <c r="J3012" s="6" t="str">
        <f>IFERROR(__xludf.DUMMYFUNCTION("""COMPUTED_VALUE"""),"-")</f>
        <v>-</v>
      </c>
      <c r="K3012" s="6" t="str">
        <f>IFERROR(__xludf.DUMMYFUNCTION("""COMPUTED_VALUE"""),"SPR/26/01/004")</f>
        <v>SPR/26/01/004</v>
      </c>
      <c r="L3012" s="58">
        <f>IFERROR(__xludf.DUMMYFUNCTION("""COMPUTED_VALUE"""),46030.0)</f>
        <v>46030</v>
      </c>
    </row>
    <row r="3013">
      <c r="A3013" s="6" t="str">
        <f>IFERROR(__xludf.DUMMYFUNCTION("""COMPUTED_VALUE"""),"ROS")</f>
        <v>ROS</v>
      </c>
      <c r="B3013" s="6" t="str">
        <f>IFERROR(__xludf.DUMMYFUNCTION("""COMPUTED_VALUE"""),"ENG")</f>
        <v>ENG</v>
      </c>
      <c r="C3013" s="6" t="str">
        <f>IFERROR(__xludf.DUMMYFUNCTION("""COMPUTED_VALUE"""),"Q-10128-00")</f>
        <v>Q-10128-00</v>
      </c>
      <c r="D3013" s="6" t="str">
        <f>IFERROR(__xludf.DUMMYFUNCTION("""COMPUTED_VALUE"""),"Thinner Super End/Impala")</f>
        <v>Thinner Super End/Impala</v>
      </c>
      <c r="E3013" s="6">
        <f>IFERROR(__xludf.DUMMYFUNCTION("""COMPUTED_VALUE"""),1.0)</f>
        <v>1</v>
      </c>
      <c r="F3013" s="6">
        <f>IFERROR(__xludf.DUMMYFUNCTION("""COMPUTED_VALUE"""),1.0)</f>
        <v>1</v>
      </c>
      <c r="G3013" s="6">
        <f>IFERROR(__xludf.DUMMYFUNCTION("""COMPUTED_VALUE"""),0.0)</f>
        <v>0</v>
      </c>
      <c r="H3013" s="6" t="str">
        <f>IFERROR(__xludf.DUMMYFUNCTION("""COMPUTED_VALUE"""),"Pcs")</f>
        <v>Pcs</v>
      </c>
      <c r="I3013" s="6" t="str">
        <f>IFERROR(__xludf.DUMMYFUNCTION("""COMPUTED_VALUE"""),"MFH")</f>
        <v>MFH</v>
      </c>
      <c r="J3013" s="6" t="str">
        <f>IFERROR(__xludf.DUMMYFUNCTION("""COMPUTED_VALUE"""),"Building")</f>
        <v>Building</v>
      </c>
      <c r="K3013" s="6" t="str">
        <f>IFERROR(__xludf.DUMMYFUNCTION("""COMPUTED_VALUE"""),"SPR/26/01/005")</f>
        <v>SPR/26/01/005</v>
      </c>
      <c r="L3013" s="58">
        <f>IFERROR(__xludf.DUMMYFUNCTION("""COMPUTED_VALUE"""),46030.0)</f>
        <v>46030</v>
      </c>
    </row>
    <row r="3014">
      <c r="A3014" s="6" t="str">
        <f>IFERROR(__xludf.DUMMYFUNCTION("""COMPUTED_VALUE"""),"SFH")</f>
        <v>SFH</v>
      </c>
      <c r="B3014" s="6" t="str">
        <f>IFERROR(__xludf.DUMMYFUNCTION("""COMPUTED_VALUE"""),"ENG")</f>
        <v>ENG</v>
      </c>
      <c r="C3014" s="6" t="str">
        <f>IFERROR(__xludf.DUMMYFUNCTION("""COMPUTED_VALUE"""),"Q-10752-00")</f>
        <v>Q-10752-00</v>
      </c>
      <c r="D3014" s="6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E3014" s="6">
        <f>IFERROR(__xludf.DUMMYFUNCTION("""COMPUTED_VALUE"""),12.0)</f>
        <v>12</v>
      </c>
      <c r="F3014" s="6">
        <f>IFERROR(__xludf.DUMMYFUNCTION("""COMPUTED_VALUE"""),12.0)</f>
        <v>12</v>
      </c>
      <c r="G3014" s="6">
        <f>IFERROR(__xludf.DUMMYFUNCTION("""COMPUTED_VALUE"""),0.0)</f>
        <v>0</v>
      </c>
      <c r="H3014" s="6" t="str">
        <f>IFERROR(__xludf.DUMMYFUNCTION("""COMPUTED_VALUE"""),"Pcs")</f>
        <v>Pcs</v>
      </c>
      <c r="I3014" s="6" t="str">
        <f>IFERROR(__xludf.DUMMYFUNCTION("""COMPUTED_VALUE"""),"MFH")</f>
        <v>MFH</v>
      </c>
      <c r="J3014" s="6" t="str">
        <f>IFERROR(__xludf.DUMMYFUNCTION("""COMPUTED_VALUE"""),"Building")</f>
        <v>Building</v>
      </c>
      <c r="K3014" s="6" t="str">
        <f>IFERROR(__xludf.DUMMYFUNCTION("""COMPUTED_VALUE"""),"SPR/26/01/006")</f>
        <v>SPR/26/01/006</v>
      </c>
      <c r="L3014" s="58">
        <f>IFERROR(__xludf.DUMMYFUNCTION("""COMPUTED_VALUE"""),46030.0)</f>
        <v>46030</v>
      </c>
    </row>
    <row r="3015">
      <c r="A3015" s="6" t="str">
        <f>IFERROR(__xludf.DUMMYFUNCTION("""COMPUTED_VALUE"""),"SFH")</f>
        <v>SFH</v>
      </c>
      <c r="B3015" s="6" t="str">
        <f>IFERROR(__xludf.DUMMYFUNCTION("""COMPUTED_VALUE"""),"ENG")</f>
        <v>ENG</v>
      </c>
      <c r="C3015" s="6" t="str">
        <f>IFERROR(__xludf.DUMMYFUNCTION("""COMPUTED_VALUE"""),"P-13389-00")</f>
        <v>P-13389-00</v>
      </c>
      <c r="D3015" s="6" t="str">
        <f>IFERROR(__xludf.DUMMYFUNCTION("""COMPUTED_VALUE"""),"Scotch Brite 3M; ; ;")</f>
        <v>Scotch Brite 3M; ; ;</v>
      </c>
      <c r="E3015" s="6">
        <f>IFERROR(__xludf.DUMMYFUNCTION("""COMPUTED_VALUE"""),10.0)</f>
        <v>10</v>
      </c>
      <c r="F3015" s="6">
        <f>IFERROR(__xludf.DUMMYFUNCTION("""COMPUTED_VALUE"""),10.0)</f>
        <v>10</v>
      </c>
      <c r="G3015" s="6">
        <f>IFERROR(__xludf.DUMMYFUNCTION("""COMPUTED_VALUE"""),0.0)</f>
        <v>0</v>
      </c>
      <c r="H3015" s="6" t="str">
        <f>IFERROR(__xludf.DUMMYFUNCTION("""COMPUTED_VALUE"""),"Pcs")</f>
        <v>Pcs</v>
      </c>
      <c r="I3015" s="6" t="str">
        <f>IFERROR(__xludf.DUMMYFUNCTION("""COMPUTED_VALUE"""),"MFH")</f>
        <v>MFH</v>
      </c>
      <c r="J3015" s="6" t="str">
        <f>IFERROR(__xludf.DUMMYFUNCTION("""COMPUTED_VALUE"""),"Building")</f>
        <v>Building</v>
      </c>
      <c r="K3015" s="6" t="str">
        <f>IFERROR(__xludf.DUMMYFUNCTION("""COMPUTED_VALUE"""),"SPR/26/01/006")</f>
        <v>SPR/26/01/006</v>
      </c>
      <c r="L3015" s="58">
        <f>IFERROR(__xludf.DUMMYFUNCTION("""COMPUTED_VALUE"""),46030.0)</f>
        <v>46030</v>
      </c>
    </row>
    <row r="3016">
      <c r="A3016" s="6" t="str">
        <f>IFERROR(__xludf.DUMMYFUNCTION("""COMPUTED_VALUE"""),"SFH")</f>
        <v>SFH</v>
      </c>
      <c r="B3016" s="6" t="str">
        <f>IFERROR(__xludf.DUMMYFUNCTION("""COMPUTED_VALUE"""),"ENG")</f>
        <v>ENG</v>
      </c>
      <c r="C3016" s="6" t="str">
        <f>IFERROR(__xludf.DUMMYFUNCTION("""COMPUTED_VALUE"""),"Q-60502-00")</f>
        <v>Q-60502-00</v>
      </c>
      <c r="D3016" s="6" t="str">
        <f>IFERROR(__xludf.DUMMYFUNCTION("""COMPUTED_VALUE"""),"Silicone Sealant, Silglaze, Type N10 White, pack size per pcs")</f>
        <v>Silicone Sealant, Silglaze, Type N10 White, pack size per pcs</v>
      </c>
      <c r="E3016" s="6">
        <f>IFERROR(__xludf.DUMMYFUNCTION("""COMPUTED_VALUE"""),2.0)</f>
        <v>2</v>
      </c>
      <c r="F3016" s="6">
        <f>IFERROR(__xludf.DUMMYFUNCTION("""COMPUTED_VALUE"""),2.0)</f>
        <v>2</v>
      </c>
      <c r="G3016" s="6">
        <f>IFERROR(__xludf.DUMMYFUNCTION("""COMPUTED_VALUE"""),0.0)</f>
        <v>0</v>
      </c>
      <c r="H3016" s="6" t="str">
        <f>IFERROR(__xludf.DUMMYFUNCTION("""COMPUTED_VALUE"""),"Pcs")</f>
        <v>Pcs</v>
      </c>
      <c r="I3016" s="6" t="str">
        <f>IFERROR(__xludf.DUMMYFUNCTION("""COMPUTED_VALUE"""),"MFH")</f>
        <v>MFH</v>
      </c>
      <c r="J3016" s="6" t="str">
        <f>IFERROR(__xludf.DUMMYFUNCTION("""COMPUTED_VALUE"""),"Building")</f>
        <v>Building</v>
      </c>
      <c r="K3016" s="6" t="str">
        <f>IFERROR(__xludf.DUMMYFUNCTION("""COMPUTED_VALUE"""),"SPR/26/01/006")</f>
        <v>SPR/26/01/006</v>
      </c>
      <c r="L3016" s="58">
        <f>IFERROR(__xludf.DUMMYFUNCTION("""COMPUTED_VALUE"""),46030.0)</f>
        <v>46030</v>
      </c>
    </row>
    <row r="3017">
      <c r="A3017" s="6" t="str">
        <f>IFERROR(__xludf.DUMMYFUNCTION("""COMPUTED_VALUE"""),"KFF")</f>
        <v>KFF</v>
      </c>
      <c r="B3017" s="6" t="str">
        <f>IFERROR(__xludf.DUMMYFUNCTION("""COMPUTED_VALUE"""),"ENG")</f>
        <v>ENG</v>
      </c>
      <c r="C3017" s="6" t="str">
        <f>IFERROR(__xludf.DUMMYFUNCTION("""COMPUTED_VALUE"""),"O-15931-00")</f>
        <v>O-15931-00</v>
      </c>
      <c r="D3017" s="6" t="str">
        <f>IFERROR(__xludf.DUMMYFUNCTION("""COMPUTED_VALUE"""),"Double Tape 3M 1"" Merah - P/N : - pc")</f>
        <v>Double Tape 3M 1" Merah - P/N : - pc</v>
      </c>
      <c r="E3017" s="6">
        <f>IFERROR(__xludf.DUMMYFUNCTION("""COMPUTED_VALUE"""),2.0)</f>
        <v>2</v>
      </c>
      <c r="F3017" s="6">
        <f>IFERROR(__xludf.DUMMYFUNCTION("""COMPUTED_VALUE"""),2.0)</f>
        <v>2</v>
      </c>
      <c r="G3017" s="6">
        <f>IFERROR(__xludf.DUMMYFUNCTION("""COMPUTED_VALUE"""),0.0)</f>
        <v>0</v>
      </c>
      <c r="H3017" s="6" t="str">
        <f>IFERROR(__xludf.DUMMYFUNCTION("""COMPUTED_VALUE"""),"Pcs")</f>
        <v>Pcs</v>
      </c>
      <c r="I3017" s="6" t="str">
        <f>IFERROR(__xludf.DUMMYFUNCTION("""COMPUTED_VALUE"""),"MFH")</f>
        <v>MFH</v>
      </c>
      <c r="J3017" s="6" t="str">
        <f>IFERROR(__xludf.DUMMYFUNCTION("""COMPUTED_VALUE"""),"-")</f>
        <v>-</v>
      </c>
      <c r="K3017" s="6" t="str">
        <f>IFERROR(__xludf.DUMMYFUNCTION("""COMPUTED_VALUE"""),"SPR/26/01/007")</f>
        <v>SPR/26/01/007</v>
      </c>
      <c r="L3017" s="58">
        <f>IFERROR(__xludf.DUMMYFUNCTION("""COMPUTED_VALUE"""),46030.0)</f>
        <v>46030</v>
      </c>
    </row>
    <row r="3018">
      <c r="A3018" s="6" t="str">
        <f>IFERROR(__xludf.DUMMYFUNCTION("""COMPUTED_VALUE"""),"ROS")</f>
        <v>ROS</v>
      </c>
      <c r="B3018" s="6" t="str">
        <f>IFERROR(__xludf.DUMMYFUNCTION("""COMPUTED_VALUE"""),"ENG")</f>
        <v>ENG</v>
      </c>
      <c r="C3018" s="6" t="str">
        <f>IFERROR(__xludf.DUMMYFUNCTION("""COMPUTED_VALUE"""),"P-15851-00")</f>
        <v>P-15851-00</v>
      </c>
      <c r="D3018" s="6" t="str">
        <f>IFERROR(__xludf.DUMMYFUNCTION("""COMPUTED_VALUE"""),"AMPLAS  EAGLE 100")</f>
        <v>AMPLAS  EAGLE 100</v>
      </c>
      <c r="E3018" s="6">
        <f>IFERROR(__xludf.DUMMYFUNCTION("""COMPUTED_VALUE"""),1.0)</f>
        <v>1</v>
      </c>
      <c r="F3018" s="6">
        <f>IFERROR(__xludf.DUMMYFUNCTION("""COMPUTED_VALUE"""),1.0)</f>
        <v>1</v>
      </c>
      <c r="G3018" s="6">
        <f>IFERROR(__xludf.DUMMYFUNCTION("""COMPUTED_VALUE"""),0.0)</f>
        <v>0</v>
      </c>
      <c r="H3018" s="6" t="str">
        <f>IFERROR(__xludf.DUMMYFUNCTION("""COMPUTED_VALUE"""),"Pcs")</f>
        <v>Pcs</v>
      </c>
      <c r="I3018" s="6" t="str">
        <f>IFERROR(__xludf.DUMMYFUNCTION("""COMPUTED_VALUE"""),"MFH")</f>
        <v>MFH</v>
      </c>
      <c r="J3018" s="6" t="str">
        <f>IFERROR(__xludf.DUMMYFUNCTION("""COMPUTED_VALUE"""),"OSD")</f>
        <v>OSD</v>
      </c>
      <c r="K3018" s="6" t="str">
        <f>IFERROR(__xludf.DUMMYFUNCTION("""COMPUTED_VALUE"""),"SPR/26/01/008")</f>
        <v>SPR/26/01/008</v>
      </c>
      <c r="L3018" s="58">
        <f>IFERROR(__xludf.DUMMYFUNCTION("""COMPUTED_VALUE"""),46030.0)</f>
        <v>46030</v>
      </c>
    </row>
    <row r="3019">
      <c r="A3019" s="6" t="str">
        <f>IFERROR(__xludf.DUMMYFUNCTION("""COMPUTED_VALUE"""),"ROS")</f>
        <v>ROS</v>
      </c>
      <c r="B3019" s="6" t="str">
        <f>IFERROR(__xludf.DUMMYFUNCTION("""COMPUTED_VALUE"""),"ENG")</f>
        <v>ENG</v>
      </c>
      <c r="C3019" s="6" t="str">
        <f>IFERROR(__xludf.DUMMYFUNCTION("""COMPUTED_VALUE"""),"P-13389-00")</f>
        <v>P-13389-00</v>
      </c>
      <c r="D3019" s="6" t="str">
        <f>IFERROR(__xludf.DUMMYFUNCTION("""COMPUTED_VALUE"""),"Scotch Brite 3M; ; ;")</f>
        <v>Scotch Brite 3M; ; ;</v>
      </c>
      <c r="E3019" s="6">
        <f>IFERROR(__xludf.DUMMYFUNCTION("""COMPUTED_VALUE"""),1.0)</f>
        <v>1</v>
      </c>
      <c r="F3019" s="6">
        <f>IFERROR(__xludf.DUMMYFUNCTION("""COMPUTED_VALUE"""),1.0)</f>
        <v>1</v>
      </c>
      <c r="G3019" s="6">
        <f>IFERROR(__xludf.DUMMYFUNCTION("""COMPUTED_VALUE"""),0.0)</f>
        <v>0</v>
      </c>
      <c r="H3019" s="6" t="str">
        <f>IFERROR(__xludf.DUMMYFUNCTION("""COMPUTED_VALUE"""),"Pcs")</f>
        <v>Pcs</v>
      </c>
      <c r="I3019" s="6" t="str">
        <f>IFERROR(__xludf.DUMMYFUNCTION("""COMPUTED_VALUE"""),"MFH")</f>
        <v>MFH</v>
      </c>
      <c r="J3019" s="6" t="str">
        <f>IFERROR(__xludf.DUMMYFUNCTION("""COMPUTED_VALUE"""),"OSD")</f>
        <v>OSD</v>
      </c>
      <c r="K3019" s="6" t="str">
        <f>IFERROR(__xludf.DUMMYFUNCTION("""COMPUTED_VALUE"""),"SPR/26/01/008")</f>
        <v>SPR/26/01/008</v>
      </c>
      <c r="L3019" s="58">
        <f>IFERROR(__xludf.DUMMYFUNCTION("""COMPUTED_VALUE"""),46030.0)</f>
        <v>46030</v>
      </c>
    </row>
    <row r="3020">
      <c r="A3020" s="6" t="str">
        <f>IFERROR(__xludf.DUMMYFUNCTION("""COMPUTED_VALUE"""),"ROS")</f>
        <v>ROS</v>
      </c>
      <c r="B3020" s="6" t="str">
        <f>IFERROR(__xludf.DUMMYFUNCTION("""COMPUTED_VALUE"""),"ENG")</f>
        <v>ENG</v>
      </c>
      <c r="C3020" s="6" t="str">
        <f>IFERROR(__xludf.DUMMYFUNCTION("""COMPUTED_VALUE"""),"Q-10154-00")</f>
        <v>Q-10154-00</v>
      </c>
      <c r="D3020" s="6" t="str">
        <f>IFERROR(__xludf.DUMMYFUNCTION("""COMPUTED_VALUE"""),"Roller cat 230mm")</f>
        <v>Roller cat 230mm</v>
      </c>
      <c r="E3020" s="6">
        <f>IFERROR(__xludf.DUMMYFUNCTION("""COMPUTED_VALUE"""),1.0)</f>
        <v>1</v>
      </c>
      <c r="F3020" s="6">
        <f>IFERROR(__xludf.DUMMYFUNCTION("""COMPUTED_VALUE"""),1.0)</f>
        <v>1</v>
      </c>
      <c r="G3020" s="6">
        <f>IFERROR(__xludf.DUMMYFUNCTION("""COMPUTED_VALUE"""),0.0)</f>
        <v>0</v>
      </c>
      <c r="H3020" s="6" t="str">
        <f>IFERROR(__xludf.DUMMYFUNCTION("""COMPUTED_VALUE"""),"Pcs")</f>
        <v>Pcs</v>
      </c>
      <c r="I3020" s="6" t="str">
        <f>IFERROR(__xludf.DUMMYFUNCTION("""COMPUTED_VALUE"""),"MFH")</f>
        <v>MFH</v>
      </c>
      <c r="J3020" s="6" t="str">
        <f>IFERROR(__xludf.DUMMYFUNCTION("""COMPUTED_VALUE"""),"Building")</f>
        <v>Building</v>
      </c>
      <c r="K3020" s="6" t="str">
        <f>IFERROR(__xludf.DUMMYFUNCTION("""COMPUTED_VALUE"""),"SPR/26/01/009")</f>
        <v>SPR/26/01/009</v>
      </c>
      <c r="L3020" s="58">
        <f>IFERROR(__xludf.DUMMYFUNCTION("""COMPUTED_VALUE"""),46030.0)</f>
        <v>46030</v>
      </c>
    </row>
    <row r="3021">
      <c r="A3021" s="6" t="str">
        <f>IFERROR(__xludf.DUMMYFUNCTION("""COMPUTED_VALUE"""),"ROS")</f>
        <v>ROS</v>
      </c>
      <c r="B3021" s="6" t="str">
        <f>IFERROR(__xludf.DUMMYFUNCTION("""COMPUTED_VALUE"""),"ENG")</f>
        <v>ENG</v>
      </c>
      <c r="C3021" s="6" t="str">
        <f>IFERROR(__xludf.DUMMYFUNCTION("""COMPUTED_VALUE"""),"Q-60025-00")</f>
        <v>Q-60025-00</v>
      </c>
      <c r="D3021" s="6" t="str">
        <f>IFERROR(__xludf.DUMMYFUNCTION("""COMPUTED_VALUE"""),"Kuas Eterna 1")</f>
        <v>Kuas Eterna 1</v>
      </c>
      <c r="E3021" s="6">
        <f>IFERROR(__xludf.DUMMYFUNCTION("""COMPUTED_VALUE"""),1.0)</f>
        <v>1</v>
      </c>
      <c r="F3021" s="6">
        <f>IFERROR(__xludf.DUMMYFUNCTION("""COMPUTED_VALUE"""),1.0)</f>
        <v>1</v>
      </c>
      <c r="G3021" s="6">
        <f>IFERROR(__xludf.DUMMYFUNCTION("""COMPUTED_VALUE"""),0.0)</f>
        <v>0</v>
      </c>
      <c r="H3021" s="6" t="str">
        <f>IFERROR(__xludf.DUMMYFUNCTION("""COMPUTED_VALUE"""),"Pcs")</f>
        <v>Pcs</v>
      </c>
      <c r="I3021" s="6" t="str">
        <f>IFERROR(__xludf.DUMMYFUNCTION("""COMPUTED_VALUE"""),"MFH")</f>
        <v>MFH</v>
      </c>
      <c r="J3021" s="6" t="str">
        <f>IFERROR(__xludf.DUMMYFUNCTION("""COMPUTED_VALUE"""),"Building")</f>
        <v>Building</v>
      </c>
      <c r="K3021" s="6" t="str">
        <f>IFERROR(__xludf.DUMMYFUNCTION("""COMPUTED_VALUE"""),"SPR/26/01/009")</f>
        <v>SPR/26/01/009</v>
      </c>
      <c r="L3021" s="58">
        <f>IFERROR(__xludf.DUMMYFUNCTION("""COMPUTED_VALUE"""),46030.0)</f>
        <v>46030</v>
      </c>
    </row>
    <row r="3022">
      <c r="A3022" s="6" t="str">
        <f>IFERROR(__xludf.DUMMYFUNCTION("""COMPUTED_VALUE"""),"ROS")</f>
        <v>ROS</v>
      </c>
      <c r="B3022" s="6" t="str">
        <f>IFERROR(__xludf.DUMMYFUNCTION("""COMPUTED_VALUE"""),"ENG")</f>
        <v>ENG</v>
      </c>
      <c r="C3022" s="6" t="str">
        <f>IFERROR(__xludf.DUMMYFUNCTION("""COMPUTED_VALUE"""),"T-80109-00")</f>
        <v>T-80109-00</v>
      </c>
      <c r="D3022" s="6" t="str">
        <f>IFERROR(__xludf.DUMMYFUNCTION("""COMPUTED_VALUE"""),"Cellotape / Lakban Kertas 1 inch warna Putih")</f>
        <v>Cellotape / Lakban Kertas 1 inch warna Putih</v>
      </c>
      <c r="E3022" s="6">
        <f>IFERROR(__xludf.DUMMYFUNCTION("""COMPUTED_VALUE"""),2.0)</f>
        <v>2</v>
      </c>
      <c r="F3022" s="6">
        <f>IFERROR(__xludf.DUMMYFUNCTION("""COMPUTED_VALUE"""),2.0)</f>
        <v>2</v>
      </c>
      <c r="G3022" s="6">
        <f>IFERROR(__xludf.DUMMYFUNCTION("""COMPUTED_VALUE"""),0.0)</f>
        <v>0</v>
      </c>
      <c r="H3022" s="6" t="str">
        <f>IFERROR(__xludf.DUMMYFUNCTION("""COMPUTED_VALUE"""),"Pcs")</f>
        <v>Pcs</v>
      </c>
      <c r="I3022" s="6" t="str">
        <f>IFERROR(__xludf.DUMMYFUNCTION("""COMPUTED_VALUE"""),"MFH")</f>
        <v>MFH</v>
      </c>
      <c r="J3022" s="6" t="str">
        <f>IFERROR(__xludf.DUMMYFUNCTION("""COMPUTED_VALUE"""),"Building")</f>
        <v>Building</v>
      </c>
      <c r="K3022" s="6" t="str">
        <f>IFERROR(__xludf.DUMMYFUNCTION("""COMPUTED_VALUE"""),"SPR/26/01/009")</f>
        <v>SPR/26/01/009</v>
      </c>
      <c r="L3022" s="58">
        <f>IFERROR(__xludf.DUMMYFUNCTION("""COMPUTED_VALUE"""),46030.0)</f>
        <v>46030</v>
      </c>
    </row>
    <row r="3023">
      <c r="A3023" s="6" t="str">
        <f>IFERROR(__xludf.DUMMYFUNCTION("""COMPUTED_VALUE"""),"ANO")</f>
        <v>ANO</v>
      </c>
      <c r="B3023" s="6" t="str">
        <f>IFERROR(__xludf.DUMMYFUNCTION("""COMPUTED_VALUE"""),"ENG")</f>
        <v>ENG</v>
      </c>
      <c r="C3023" s="6" t="str">
        <f>IFERROR(__xludf.DUMMYFUNCTION("""COMPUTED_VALUE"""),"Q-10249-00")</f>
        <v>Q-10249-00</v>
      </c>
      <c r="D3023" s="6" t="str">
        <f>IFERROR(__xludf.DUMMYFUNCTION("""COMPUTED_VALUE"""),"Lem Power Glue; ; ;")</f>
        <v>Lem Power Glue; ; ;</v>
      </c>
      <c r="E3023" s="6">
        <f>IFERROR(__xludf.DUMMYFUNCTION("""COMPUTED_VALUE"""),1.0)</f>
        <v>1</v>
      </c>
      <c r="F3023" s="6">
        <f>IFERROR(__xludf.DUMMYFUNCTION("""COMPUTED_VALUE"""),1.0)</f>
        <v>1</v>
      </c>
      <c r="G3023" s="6">
        <f>IFERROR(__xludf.DUMMYFUNCTION("""COMPUTED_VALUE"""),0.0)</f>
        <v>0</v>
      </c>
      <c r="H3023" s="6" t="str">
        <f>IFERROR(__xludf.DUMMYFUNCTION("""COMPUTED_VALUE"""),"Pcs")</f>
        <v>Pcs</v>
      </c>
      <c r="I3023" s="6" t="str">
        <f>IFERROR(__xludf.DUMMYFUNCTION("""COMPUTED_VALUE"""),"MFH")</f>
        <v>MFH</v>
      </c>
      <c r="J3023" s="6" t="str">
        <f>IFERROR(__xludf.DUMMYFUNCTION("""COMPUTED_VALUE"""),"BSC")</f>
        <v>BSC</v>
      </c>
      <c r="K3023" s="6" t="str">
        <f>IFERROR(__xludf.DUMMYFUNCTION("""COMPUTED_VALUE"""),"SPR/26/01/010")</f>
        <v>SPR/26/01/010</v>
      </c>
      <c r="L3023" s="58">
        <f>IFERROR(__xludf.DUMMYFUNCTION("""COMPUTED_VALUE"""),46030.0)</f>
        <v>46030</v>
      </c>
    </row>
    <row r="3024">
      <c r="A3024" s="6" t="str">
        <f>IFERROR(__xludf.DUMMYFUNCTION("""COMPUTED_VALUE"""),"ROS")</f>
        <v>ROS</v>
      </c>
      <c r="B3024" s="6" t="str">
        <f>IFERROR(__xludf.DUMMYFUNCTION("""COMPUTED_VALUE"""),"ENG")</f>
        <v>ENG</v>
      </c>
      <c r="C3024" s="6" t="str">
        <f>IFERROR(__xludf.DUMMYFUNCTION("""COMPUTED_VALUE"""),"T-80043-00")</f>
        <v>T-80043-00</v>
      </c>
      <c r="D3024" s="6" t="str">
        <f>IFERROR(__xludf.DUMMYFUNCTION("""COMPUTED_VALUE"""),"Battery ABC Kotak 9V")</f>
        <v>Battery ABC Kotak 9V</v>
      </c>
      <c r="E3024" s="6">
        <f>IFERROR(__xludf.DUMMYFUNCTION("""COMPUTED_VALUE"""),2.0)</f>
        <v>2</v>
      </c>
      <c r="F3024" s="6">
        <f>IFERROR(__xludf.DUMMYFUNCTION("""COMPUTED_VALUE"""),2.0)</f>
        <v>2</v>
      </c>
      <c r="G3024" s="6">
        <f>IFERROR(__xludf.DUMMYFUNCTION("""COMPUTED_VALUE"""),0.0)</f>
        <v>0</v>
      </c>
      <c r="H3024" s="6" t="str">
        <f>IFERROR(__xludf.DUMMYFUNCTION("""COMPUTED_VALUE"""),"Pcs")</f>
        <v>Pcs</v>
      </c>
      <c r="I3024" s="6" t="str">
        <f>IFERROR(__xludf.DUMMYFUNCTION("""COMPUTED_VALUE"""),"MFH")</f>
        <v>MFH</v>
      </c>
      <c r="J3024" s="6" t="str">
        <f>IFERROR(__xludf.DUMMYFUNCTION("""COMPUTED_VALUE"""),"Tools")</f>
        <v>Tools</v>
      </c>
      <c r="K3024" s="6" t="str">
        <f>IFERROR(__xludf.DUMMYFUNCTION("""COMPUTED_VALUE"""),"SPR/26/01/011")</f>
        <v>SPR/26/01/011</v>
      </c>
      <c r="L3024" s="58">
        <f>IFERROR(__xludf.DUMMYFUNCTION("""COMPUTED_VALUE"""),46030.0)</f>
        <v>46030</v>
      </c>
    </row>
    <row r="3025">
      <c r="A3025" s="6" t="str">
        <f>IFERROR(__xludf.DUMMYFUNCTION("""COMPUTED_VALUE"""),"ROS")</f>
        <v>ROS</v>
      </c>
      <c r="B3025" s="6" t="str">
        <f>IFERROR(__xludf.DUMMYFUNCTION("""COMPUTED_VALUE"""),"ENG")</f>
        <v>ENG</v>
      </c>
      <c r="C3025" s="6" t="str">
        <f>IFERROR(__xludf.DUMMYFUNCTION("""COMPUTED_VALUE"""),"P-16474-00")</f>
        <v>P-16474-00</v>
      </c>
      <c r="D3025" s="6" t="str">
        <f>IFERROR(__xludf.DUMMYFUNCTION("""COMPUTED_VALUE"""),"General - Lem PLastic Steel Epoxy + Hardener 5 menit; Dextone; -; 1 set")</f>
        <v>General - Lem PLastic Steel Epoxy + Hardener 5 menit; Dextone; -; 1 set</v>
      </c>
      <c r="E3025" s="6">
        <f>IFERROR(__xludf.DUMMYFUNCTION("""COMPUTED_VALUE"""),1.0)</f>
        <v>1</v>
      </c>
      <c r="F3025" s="6">
        <f>IFERROR(__xludf.DUMMYFUNCTION("""COMPUTED_VALUE"""),1.0)</f>
        <v>1</v>
      </c>
      <c r="G3025" s="6">
        <f>IFERROR(__xludf.DUMMYFUNCTION("""COMPUTED_VALUE"""),0.0)</f>
        <v>0</v>
      </c>
      <c r="H3025" s="6" t="str">
        <f>IFERROR(__xludf.DUMMYFUNCTION("""COMPUTED_VALUE"""),"Pcs")</f>
        <v>Pcs</v>
      </c>
      <c r="I3025" s="6" t="str">
        <f>IFERROR(__xludf.DUMMYFUNCTION("""COMPUTED_VALUE"""),"MFH")</f>
        <v>MFH</v>
      </c>
      <c r="J3025" s="6" t="str">
        <f>IFERROR(__xludf.DUMMYFUNCTION("""COMPUTED_VALUE"""),"Tunnel")</f>
        <v>Tunnel</v>
      </c>
      <c r="K3025" s="6" t="str">
        <f>IFERROR(__xludf.DUMMYFUNCTION("""COMPUTED_VALUE"""),"SPR/26/01/011")</f>
        <v>SPR/26/01/011</v>
      </c>
      <c r="L3025" s="58">
        <f>IFERROR(__xludf.DUMMYFUNCTION("""COMPUTED_VALUE"""),46030.0)</f>
        <v>46030</v>
      </c>
    </row>
    <row r="3026">
      <c r="A3026" s="6" t="str">
        <f>IFERROR(__xludf.DUMMYFUNCTION("""COMPUTED_VALUE"""),"ROS")</f>
        <v>ROS</v>
      </c>
      <c r="B3026" s="6" t="str">
        <f>IFERROR(__xludf.DUMMYFUNCTION("""COMPUTED_VALUE"""),"ENG")</f>
        <v>ENG</v>
      </c>
      <c r="C3026" s="6" t="str">
        <f>IFERROR(__xludf.DUMMYFUNCTION("""COMPUTED_VALUE"""),"Q-60503-00")</f>
        <v>Q-60503-00</v>
      </c>
      <c r="D3026" s="6" t="str">
        <f>IFERROR(__xludf.DUMMYFUNCTION("""COMPUTED_VALUE"""),"Silicone Sealant, Silglaze, Type N10 Grey, pack size per pcs")</f>
        <v>Silicone Sealant, Silglaze, Type N10 Grey, pack size per pcs</v>
      </c>
      <c r="E3026" s="6">
        <f>IFERROR(__xludf.DUMMYFUNCTION("""COMPUTED_VALUE"""),1.0)</f>
        <v>1</v>
      </c>
      <c r="F3026" s="6">
        <f>IFERROR(__xludf.DUMMYFUNCTION("""COMPUTED_VALUE"""),1.0)</f>
        <v>1</v>
      </c>
      <c r="G3026" s="6">
        <f>IFERROR(__xludf.DUMMYFUNCTION("""COMPUTED_VALUE"""),0.0)</f>
        <v>0</v>
      </c>
      <c r="H3026" s="6" t="str">
        <f>IFERROR(__xludf.DUMMYFUNCTION("""COMPUTED_VALUE"""),"Pcs")</f>
        <v>Pcs</v>
      </c>
      <c r="I3026" s="6" t="str">
        <f>IFERROR(__xludf.DUMMYFUNCTION("""COMPUTED_VALUE"""),"MFH")</f>
        <v>MFH</v>
      </c>
      <c r="J3026" s="6" t="str">
        <f>IFERROR(__xludf.DUMMYFUNCTION("""COMPUTED_VALUE"""),"Washing")</f>
        <v>Washing</v>
      </c>
      <c r="K3026" s="6" t="str">
        <f>IFERROR(__xludf.DUMMYFUNCTION("""COMPUTED_VALUE"""),"SPR/26/01/011")</f>
        <v>SPR/26/01/011</v>
      </c>
      <c r="L3026" s="58">
        <f>IFERROR(__xludf.DUMMYFUNCTION("""COMPUTED_VALUE"""),46030.0)</f>
        <v>46030</v>
      </c>
    </row>
    <row r="3027">
      <c r="A3027" s="6" t="str">
        <f>IFERROR(__xludf.DUMMYFUNCTION("""COMPUTED_VALUE"""),"MOB")</f>
        <v>MOB</v>
      </c>
      <c r="B3027" s="6" t="str">
        <f>IFERROR(__xludf.DUMMYFUNCTION("""COMPUTED_VALUE"""),"ENG")</f>
        <v>ENG</v>
      </c>
      <c r="C3027" s="6" t="str">
        <f>IFERROR(__xludf.DUMMYFUNCTION("""COMPUTED_VALUE"""),"O-15931-00")</f>
        <v>O-15931-00</v>
      </c>
      <c r="D3027" s="6" t="str">
        <f>IFERROR(__xludf.DUMMYFUNCTION("""COMPUTED_VALUE"""),"Double Tape 3M 1"" Merah - P/N : - pc")</f>
        <v>Double Tape 3M 1" Merah - P/N : - pc</v>
      </c>
      <c r="E3027" s="6">
        <f>IFERROR(__xludf.DUMMYFUNCTION("""COMPUTED_VALUE"""),1.0)</f>
        <v>1</v>
      </c>
      <c r="F3027" s="6">
        <f>IFERROR(__xludf.DUMMYFUNCTION("""COMPUTED_VALUE"""),1.0)</f>
        <v>1</v>
      </c>
      <c r="G3027" s="6">
        <f>IFERROR(__xludf.DUMMYFUNCTION("""COMPUTED_VALUE"""),0.0)</f>
        <v>0</v>
      </c>
      <c r="H3027" s="6" t="str">
        <f>IFERROR(__xludf.DUMMYFUNCTION("""COMPUTED_VALUE"""),"Pcs")</f>
        <v>Pcs</v>
      </c>
      <c r="I3027" s="6" t="str">
        <f>IFERROR(__xludf.DUMMYFUNCTION("""COMPUTED_VALUE"""),"MFH")</f>
        <v>MFH</v>
      </c>
      <c r="J3027" s="6" t="str">
        <f>IFERROR(__xludf.DUMMYFUNCTION("""COMPUTED_VALUE"""),"Building")</f>
        <v>Building</v>
      </c>
      <c r="K3027" s="6" t="str">
        <f>IFERROR(__xludf.DUMMYFUNCTION("""COMPUTED_VALUE"""),"SPR/26/01/012")</f>
        <v>SPR/26/01/012</v>
      </c>
      <c r="L3027" s="58">
        <f>IFERROR(__xludf.DUMMYFUNCTION("""COMPUTED_VALUE"""),46030.0)</f>
        <v>46030</v>
      </c>
    </row>
    <row r="3028">
      <c r="A3028" s="6" t="str">
        <f>IFERROR(__xludf.DUMMYFUNCTION("""COMPUTED_VALUE"""),"MRN")</f>
        <v>MRN</v>
      </c>
      <c r="B3028" s="6" t="str">
        <f>IFERROR(__xludf.DUMMYFUNCTION("""COMPUTED_VALUE"""),"ENG")</f>
        <v>ENG</v>
      </c>
      <c r="C3028" s="6" t="str">
        <f>IFERROR(__xludf.DUMMYFUNCTION("""COMPUTED_VALUE"""),"Q-60502-00")</f>
        <v>Q-60502-00</v>
      </c>
      <c r="D3028" s="6" t="str">
        <f>IFERROR(__xludf.DUMMYFUNCTION("""COMPUTED_VALUE"""),"Silicone Sealant, Silglaze, Type N10 White, pack size per pcs")</f>
        <v>Silicone Sealant, Silglaze, Type N10 White, pack size per pcs</v>
      </c>
      <c r="E3028" s="6">
        <f>IFERROR(__xludf.DUMMYFUNCTION("""COMPUTED_VALUE"""),1.0)</f>
        <v>1</v>
      </c>
      <c r="F3028" s="6">
        <f>IFERROR(__xludf.DUMMYFUNCTION("""COMPUTED_VALUE"""),1.0)</f>
        <v>1</v>
      </c>
      <c r="G3028" s="6">
        <f>IFERROR(__xludf.DUMMYFUNCTION("""COMPUTED_VALUE"""),0.0)</f>
        <v>0</v>
      </c>
      <c r="H3028" s="6" t="str">
        <f>IFERROR(__xludf.DUMMYFUNCTION("""COMPUTED_VALUE"""),"Pcs")</f>
        <v>Pcs</v>
      </c>
      <c r="I3028" s="6" t="str">
        <f>IFERROR(__xludf.DUMMYFUNCTION("""COMPUTED_VALUE"""),"MFH")</f>
        <v>MFH</v>
      </c>
      <c r="J3028" s="6" t="str">
        <f>IFERROR(__xludf.DUMMYFUNCTION("""COMPUTED_VALUE"""),"-")</f>
        <v>-</v>
      </c>
      <c r="K3028" s="6" t="str">
        <f>IFERROR(__xludf.DUMMYFUNCTION("""COMPUTED_VALUE"""),"SPR/26/01/013")</f>
        <v>SPR/26/01/013</v>
      </c>
      <c r="L3028" s="58">
        <f>IFERROR(__xludf.DUMMYFUNCTION("""COMPUTED_VALUE"""),46030.0)</f>
        <v>46030</v>
      </c>
    </row>
    <row r="3029">
      <c r="A3029" s="6" t="str">
        <f>IFERROR(__xludf.DUMMYFUNCTION("""COMPUTED_VALUE"""),"BDU")</f>
        <v>BDU</v>
      </c>
      <c r="B3029" s="6" t="str">
        <f>IFERROR(__xludf.DUMMYFUNCTION("""COMPUTED_VALUE"""),"ENG")</f>
        <v>ENG</v>
      </c>
      <c r="C3029" s="6" t="str">
        <f>IFERROR(__xludf.DUMMYFUNCTION("""COMPUTED_VALUE"""),"P-15851-00")</f>
        <v>P-15851-00</v>
      </c>
      <c r="D3029" s="6" t="str">
        <f>IFERROR(__xludf.DUMMYFUNCTION("""COMPUTED_VALUE"""),"AMPLAS  EAGLE 100")</f>
        <v>AMPLAS  EAGLE 100</v>
      </c>
      <c r="E3029" s="6">
        <f>IFERROR(__xludf.DUMMYFUNCTION("""COMPUTED_VALUE"""),1.0)</f>
        <v>1</v>
      </c>
      <c r="F3029" s="6">
        <f>IFERROR(__xludf.DUMMYFUNCTION("""COMPUTED_VALUE"""),1.0)</f>
        <v>1</v>
      </c>
      <c r="G3029" s="6">
        <f>IFERROR(__xludf.DUMMYFUNCTION("""COMPUTED_VALUE"""),0.0)</f>
        <v>0</v>
      </c>
      <c r="H3029" s="6" t="str">
        <f>IFERROR(__xludf.DUMMYFUNCTION("""COMPUTED_VALUE"""),"Pcs")</f>
        <v>Pcs</v>
      </c>
      <c r="I3029" s="6" t="str">
        <f>IFERROR(__xludf.DUMMYFUNCTION("""COMPUTED_VALUE"""),"MFH")</f>
        <v>MFH</v>
      </c>
      <c r="J3029" s="6" t="str">
        <f>IFERROR(__xludf.DUMMYFUNCTION("""COMPUTED_VALUE"""),"OSD")</f>
        <v>OSD</v>
      </c>
      <c r="K3029" s="6" t="str">
        <f>IFERROR(__xludf.DUMMYFUNCTION("""COMPUTED_VALUE"""),"SPR/26/01/014")</f>
        <v>SPR/26/01/014</v>
      </c>
      <c r="L3029" s="58">
        <f>IFERROR(__xludf.DUMMYFUNCTION("""COMPUTED_VALUE"""),46030.0)</f>
        <v>46030</v>
      </c>
    </row>
    <row r="3030">
      <c r="A3030" s="6" t="str">
        <f>IFERROR(__xludf.DUMMYFUNCTION("""COMPUTED_VALUE"""),"BDU")</f>
        <v>BDU</v>
      </c>
      <c r="B3030" s="6" t="str">
        <f>IFERROR(__xludf.DUMMYFUNCTION("""COMPUTED_VALUE"""),"ENG")</f>
        <v>ENG</v>
      </c>
      <c r="C3030" s="6" t="str">
        <f>IFERROR(__xludf.DUMMYFUNCTION("""COMPUTED_VALUE"""),"Q-60025-00")</f>
        <v>Q-60025-00</v>
      </c>
      <c r="D3030" s="6" t="str">
        <f>IFERROR(__xludf.DUMMYFUNCTION("""COMPUTED_VALUE"""),"Kuas Eterna 1")</f>
        <v>Kuas Eterna 1</v>
      </c>
      <c r="E3030" s="6">
        <f>IFERROR(__xludf.DUMMYFUNCTION("""COMPUTED_VALUE"""),1.0)</f>
        <v>1</v>
      </c>
      <c r="F3030" s="6">
        <f>IFERROR(__xludf.DUMMYFUNCTION("""COMPUTED_VALUE"""),1.0)</f>
        <v>1</v>
      </c>
      <c r="G3030" s="6">
        <f>IFERROR(__xludf.DUMMYFUNCTION("""COMPUTED_VALUE"""),0.0)</f>
        <v>0</v>
      </c>
      <c r="H3030" s="6" t="str">
        <f>IFERROR(__xludf.DUMMYFUNCTION("""COMPUTED_VALUE"""),"Pcs")</f>
        <v>Pcs</v>
      </c>
      <c r="I3030" s="6" t="str">
        <f>IFERROR(__xludf.DUMMYFUNCTION("""COMPUTED_VALUE"""),"MFH")</f>
        <v>MFH</v>
      </c>
      <c r="J3030" s="6" t="str">
        <f>IFERROR(__xludf.DUMMYFUNCTION("""COMPUTED_VALUE"""),"OSD")</f>
        <v>OSD</v>
      </c>
      <c r="K3030" s="6" t="str">
        <f>IFERROR(__xludf.DUMMYFUNCTION("""COMPUTED_VALUE"""),"SPR/26/01/014")</f>
        <v>SPR/26/01/014</v>
      </c>
      <c r="L3030" s="58">
        <f>IFERROR(__xludf.DUMMYFUNCTION("""COMPUTED_VALUE"""),46030.0)</f>
        <v>46030</v>
      </c>
    </row>
    <row r="3031">
      <c r="A3031" s="6" t="str">
        <f>IFERROR(__xludf.DUMMYFUNCTION("""COMPUTED_VALUE"""),"BDU")</f>
        <v>BDU</v>
      </c>
      <c r="B3031" s="6" t="str">
        <f>IFERROR(__xludf.DUMMYFUNCTION("""COMPUTED_VALUE"""),"ENG")</f>
        <v>ENG</v>
      </c>
      <c r="C3031" s="6" t="str">
        <f>IFERROR(__xludf.DUMMYFUNCTION("""COMPUTED_VALUE"""),"Q-60107-00")</f>
        <v>Q-60107-00</v>
      </c>
      <c r="D3031" s="6" t="str">
        <f>IFERROR(__xludf.DUMMYFUNCTION("""COMPUTED_VALUE"""),"Hardener / Obat dempul sanpolac; ; ; pack size per tube")</f>
        <v>Hardener / Obat dempul sanpolac; ; ; pack size per tube</v>
      </c>
      <c r="E3031" s="6">
        <f>IFERROR(__xludf.DUMMYFUNCTION("""COMPUTED_VALUE"""),1.0)</f>
        <v>1</v>
      </c>
      <c r="F3031" s="6">
        <f>IFERROR(__xludf.DUMMYFUNCTION("""COMPUTED_VALUE"""),1.0)</f>
        <v>1</v>
      </c>
      <c r="G3031" s="6">
        <f>IFERROR(__xludf.DUMMYFUNCTION("""COMPUTED_VALUE"""),0.0)</f>
        <v>0</v>
      </c>
      <c r="H3031" s="6" t="str">
        <f>IFERROR(__xludf.DUMMYFUNCTION("""COMPUTED_VALUE"""),"Pcs")</f>
        <v>Pcs</v>
      </c>
      <c r="I3031" s="6" t="str">
        <f>IFERROR(__xludf.DUMMYFUNCTION("""COMPUTED_VALUE"""),"MFH")</f>
        <v>MFH</v>
      </c>
      <c r="J3031" s="6" t="str">
        <f>IFERROR(__xludf.DUMMYFUNCTION("""COMPUTED_VALUE"""),"OSD")</f>
        <v>OSD</v>
      </c>
      <c r="K3031" s="6" t="str">
        <f>IFERROR(__xludf.DUMMYFUNCTION("""COMPUTED_VALUE"""),"SPR/26/01/014")</f>
        <v>SPR/26/01/014</v>
      </c>
      <c r="L3031" s="58">
        <f>IFERROR(__xludf.DUMMYFUNCTION("""COMPUTED_VALUE"""),46030.0)</f>
        <v>46030</v>
      </c>
    </row>
    <row r="3032">
      <c r="A3032" s="6" t="str">
        <f>IFERROR(__xludf.DUMMYFUNCTION("""COMPUTED_VALUE"""),"ROS")</f>
        <v>ROS</v>
      </c>
      <c r="B3032" s="6" t="str">
        <f>IFERROR(__xludf.DUMMYFUNCTION("""COMPUTED_VALUE"""),"ENG")</f>
        <v>ENG</v>
      </c>
      <c r="C3032" s="6" t="str">
        <f>IFERROR(__xludf.DUMMYFUNCTION("""COMPUTED_VALUE"""),"O-16647-00")</f>
        <v>O-16647-00</v>
      </c>
      <c r="D3032" s="6" t="str">
        <f>IFERROR(__xludf.DUMMYFUNCTION("""COMPUTED_VALUE"""),"Washing RAR4 - Oring Silicone Merah 23x18x2.5 mm; ; ;")</f>
        <v>Washing RAR4 - Oring Silicone Merah 23x18x2.5 mm; ; ;</v>
      </c>
      <c r="E3032" s="6">
        <f>IFERROR(__xludf.DUMMYFUNCTION("""COMPUTED_VALUE"""),10.0)</f>
        <v>10</v>
      </c>
      <c r="F3032" s="6">
        <f>IFERROR(__xludf.DUMMYFUNCTION("""COMPUTED_VALUE"""),10.0)</f>
        <v>10</v>
      </c>
      <c r="G3032" s="6">
        <f>IFERROR(__xludf.DUMMYFUNCTION("""COMPUTED_VALUE"""),0.0)</f>
        <v>0</v>
      </c>
      <c r="H3032" s="6" t="str">
        <f>IFERROR(__xludf.DUMMYFUNCTION("""COMPUTED_VALUE"""),"Pcs")</f>
        <v>Pcs</v>
      </c>
      <c r="I3032" s="6" t="str">
        <f>IFERROR(__xludf.DUMMYFUNCTION("""COMPUTED_VALUE"""),"MFH")</f>
        <v>MFH</v>
      </c>
      <c r="J3032" s="6" t="str">
        <f>IFERROR(__xludf.DUMMYFUNCTION("""COMPUTED_VALUE"""),"Capping")</f>
        <v>Capping</v>
      </c>
      <c r="K3032" s="6" t="str">
        <f>IFERROR(__xludf.DUMMYFUNCTION("""COMPUTED_VALUE"""),"SPR/26/01/015")</f>
        <v>SPR/26/01/015</v>
      </c>
      <c r="L3032" s="58">
        <f>IFERROR(__xludf.DUMMYFUNCTION("""COMPUTED_VALUE"""),46030.0)</f>
        <v>46030</v>
      </c>
    </row>
    <row r="3033">
      <c r="A3033" s="6" t="str">
        <f>IFERROR(__xludf.DUMMYFUNCTION("""COMPUTED_VALUE"""),"MRN")</f>
        <v>MRN</v>
      </c>
      <c r="B3033" s="6" t="str">
        <f>IFERROR(__xludf.DUMMYFUNCTION("""COMPUTED_VALUE"""),"ENG")</f>
        <v>ENG</v>
      </c>
      <c r="C3033" s="6" t="str">
        <f>IFERROR(__xludf.DUMMYFUNCTION("""COMPUTED_VALUE"""),"Q-10136-00")</f>
        <v>Q-10136-00</v>
      </c>
      <c r="D3033" s="6" t="str">
        <f>IFERROR(__xludf.DUMMYFUNCTION("""COMPUTED_VALUE"""),"TOTO - Kran T23BQ13N")</f>
        <v>TOTO - Kran T23BQ13N</v>
      </c>
      <c r="E3033" s="6">
        <f>IFERROR(__xludf.DUMMYFUNCTION("""COMPUTED_VALUE"""),1.0)</f>
        <v>1</v>
      </c>
      <c r="F3033" s="6">
        <f>IFERROR(__xludf.DUMMYFUNCTION("""COMPUTED_VALUE"""),1.0)</f>
        <v>1</v>
      </c>
      <c r="G3033" s="6">
        <f>IFERROR(__xludf.DUMMYFUNCTION("""COMPUTED_VALUE"""),0.0)</f>
        <v>0</v>
      </c>
      <c r="H3033" s="6" t="str">
        <f>IFERROR(__xludf.DUMMYFUNCTION("""COMPUTED_VALUE"""),"Pcs")</f>
        <v>Pcs</v>
      </c>
      <c r="I3033" s="6" t="str">
        <f>IFERROR(__xludf.DUMMYFUNCTION("""COMPUTED_VALUE"""),"MFH")</f>
        <v>MFH</v>
      </c>
      <c r="J3033" s="6" t="str">
        <f>IFERROR(__xludf.DUMMYFUNCTION("""COMPUTED_VALUE"""),"Building")</f>
        <v>Building</v>
      </c>
      <c r="K3033" s="6" t="str">
        <f>IFERROR(__xludf.DUMMYFUNCTION("""COMPUTED_VALUE"""),"SPR/26/01/016")</f>
        <v>SPR/26/01/016</v>
      </c>
      <c r="L3033" s="58">
        <f>IFERROR(__xludf.DUMMYFUNCTION("""COMPUTED_VALUE"""),46030.0)</f>
        <v>46030</v>
      </c>
    </row>
    <row r="3034">
      <c r="A3034" s="6" t="str">
        <f>IFERROR(__xludf.DUMMYFUNCTION("""COMPUTED_VALUE"""),"MRN")</f>
        <v>MRN</v>
      </c>
      <c r="B3034" s="6" t="str">
        <f>IFERROR(__xludf.DUMMYFUNCTION("""COMPUTED_VALUE"""),"ENG")</f>
        <v>ENG</v>
      </c>
      <c r="C3034" s="6" t="str">
        <f>IFERROR(__xludf.DUMMYFUNCTION("""COMPUTED_VALUE"""),"Q-10130-00")</f>
        <v>Q-10130-00</v>
      </c>
      <c r="D3034" s="6" t="str">
        <f>IFERROR(__xludf.DUMMYFUNCTION("""COMPUTED_VALUE"""),"TOTO - Kran Wastafel Faucet TX 126 LE")</f>
        <v>TOTO - Kran Wastafel Faucet TX 126 LE</v>
      </c>
      <c r="E3034" s="6">
        <f>IFERROR(__xludf.DUMMYFUNCTION("""COMPUTED_VALUE"""),1.0)</f>
        <v>1</v>
      </c>
      <c r="F3034" s="6">
        <f>IFERROR(__xludf.DUMMYFUNCTION("""COMPUTED_VALUE"""),1.0)</f>
        <v>1</v>
      </c>
      <c r="G3034" s="6">
        <f>IFERROR(__xludf.DUMMYFUNCTION("""COMPUTED_VALUE"""),0.0)</f>
        <v>0</v>
      </c>
      <c r="H3034" s="6" t="str">
        <f>IFERROR(__xludf.DUMMYFUNCTION("""COMPUTED_VALUE"""),"Pcs")</f>
        <v>Pcs</v>
      </c>
      <c r="I3034" s="6" t="str">
        <f>IFERROR(__xludf.DUMMYFUNCTION("""COMPUTED_VALUE"""),"MFH")</f>
        <v>MFH</v>
      </c>
      <c r="J3034" s="6" t="str">
        <f>IFERROR(__xludf.DUMMYFUNCTION("""COMPUTED_VALUE"""),"Building")</f>
        <v>Building</v>
      </c>
      <c r="K3034" s="6" t="str">
        <f>IFERROR(__xludf.DUMMYFUNCTION("""COMPUTED_VALUE"""),"SPR/26/01/016")</f>
        <v>SPR/26/01/016</v>
      </c>
      <c r="L3034" s="58">
        <f>IFERROR(__xludf.DUMMYFUNCTION("""COMPUTED_VALUE"""),46030.0)</f>
        <v>46030</v>
      </c>
    </row>
    <row r="3035">
      <c r="A3035" s="6" t="str">
        <f>IFERROR(__xludf.DUMMYFUNCTION("""COMPUTED_VALUE"""),"INN")</f>
        <v>INN</v>
      </c>
      <c r="B3035" s="6" t="str">
        <f>IFERROR(__xludf.DUMMYFUNCTION("""COMPUTED_VALUE"""),"ENG")</f>
        <v>ENG</v>
      </c>
      <c r="C3035" s="6" t="str">
        <f>IFERROR(__xludf.DUMMYFUNCTION("""COMPUTED_VALUE"""),"P-11228-00")</f>
        <v>P-11228-00</v>
      </c>
      <c r="D3035" s="6" t="str">
        <f>IFERROR(__xludf.DUMMYFUNCTION("""COMPUTED_VALUE"""),"Pneumatic  Fitting - QST 8 / PN : 153130 / Festo")</f>
        <v>Pneumatic  Fitting - QST 8 / PN : 153130 / Festo</v>
      </c>
      <c r="E3035" s="6">
        <f>IFERROR(__xludf.DUMMYFUNCTION("""COMPUTED_VALUE"""),1.0)</f>
        <v>1</v>
      </c>
      <c r="F3035" s="6">
        <f>IFERROR(__xludf.DUMMYFUNCTION("""COMPUTED_VALUE"""),1.0)</f>
        <v>1</v>
      </c>
      <c r="G3035" s="6">
        <f>IFERROR(__xludf.DUMMYFUNCTION("""COMPUTED_VALUE"""),0.0)</f>
        <v>0</v>
      </c>
      <c r="H3035" s="6" t="str">
        <f>IFERROR(__xludf.DUMMYFUNCTION("""COMPUTED_VALUE"""),"Pcs")</f>
        <v>Pcs</v>
      </c>
      <c r="I3035" s="6" t="str">
        <f>IFERROR(__xludf.DUMMYFUNCTION("""COMPUTED_VALUE"""),"MFH")</f>
        <v>MFH</v>
      </c>
      <c r="J3035" s="6" t="str">
        <f>IFERROR(__xludf.DUMMYFUNCTION("""COMPUTED_VALUE"""),"FD")</f>
        <v>FD</v>
      </c>
      <c r="K3035" s="6" t="str">
        <f>IFERROR(__xludf.DUMMYFUNCTION("""COMPUTED_VALUE"""),"SPR/26/01/017")</f>
        <v>SPR/26/01/017</v>
      </c>
      <c r="L3035" s="58">
        <f>IFERROR(__xludf.DUMMYFUNCTION("""COMPUTED_VALUE"""),46030.0)</f>
        <v>46030</v>
      </c>
    </row>
    <row r="3036">
      <c r="A3036" s="6" t="str">
        <f>IFERROR(__xludf.DUMMYFUNCTION("""COMPUTED_VALUE"""),"INN")</f>
        <v>INN</v>
      </c>
      <c r="B3036" s="6" t="str">
        <f>IFERROR(__xludf.DUMMYFUNCTION("""COMPUTED_VALUE"""),"ENG")</f>
        <v>ENG</v>
      </c>
      <c r="C3036" s="6" t="str">
        <f>IFERROR(__xludf.DUMMYFUNCTION("""COMPUTED_VALUE"""),"O-19796-00")</f>
        <v>O-19796-00</v>
      </c>
      <c r="D3036" s="6" t="str">
        <f>IFERROR(__xludf.DUMMYFUNCTION("""COMPUTED_VALUE"""),"Blind Plate for Clamp KF16 SS304; ; ;")</f>
        <v>Blind Plate for Clamp KF16 SS304; ; ;</v>
      </c>
      <c r="E3036" s="6">
        <f>IFERROR(__xludf.DUMMYFUNCTION("""COMPUTED_VALUE"""),1.0)</f>
        <v>1</v>
      </c>
      <c r="F3036" s="6">
        <f>IFERROR(__xludf.DUMMYFUNCTION("""COMPUTED_VALUE"""),1.0)</f>
        <v>1</v>
      </c>
      <c r="G3036" s="6">
        <f>IFERROR(__xludf.DUMMYFUNCTION("""COMPUTED_VALUE"""),0.0)</f>
        <v>0</v>
      </c>
      <c r="H3036" s="6" t="str">
        <f>IFERROR(__xludf.DUMMYFUNCTION("""COMPUTED_VALUE"""),"Pcs")</f>
        <v>Pcs</v>
      </c>
      <c r="I3036" s="6" t="str">
        <f>IFERROR(__xludf.DUMMYFUNCTION("""COMPUTED_VALUE"""),"MFH")</f>
        <v>MFH</v>
      </c>
      <c r="J3036" s="6" t="str">
        <f>IFERROR(__xludf.DUMMYFUNCTION("""COMPUTED_VALUE"""),"FD")</f>
        <v>FD</v>
      </c>
      <c r="K3036" s="6" t="str">
        <f>IFERROR(__xludf.DUMMYFUNCTION("""COMPUTED_VALUE"""),"SPR/26/01/017")</f>
        <v>SPR/26/01/017</v>
      </c>
      <c r="L3036" s="58">
        <f>IFERROR(__xludf.DUMMYFUNCTION("""COMPUTED_VALUE"""),46030.0)</f>
        <v>46030</v>
      </c>
    </row>
    <row r="3037">
      <c r="A3037" s="6" t="str">
        <f>IFERROR(__xludf.DUMMYFUNCTION("""COMPUTED_VALUE"""),"KFF")</f>
        <v>KFF</v>
      </c>
      <c r="B3037" s="6" t="str">
        <f>IFERROR(__xludf.DUMMYFUNCTION("""COMPUTED_VALUE"""),"ENG")</f>
        <v>ENG</v>
      </c>
      <c r="C3037" s="6" t="str">
        <f>IFERROR(__xludf.DUMMYFUNCTION("""COMPUTED_VALUE"""),"P-12994-00")</f>
        <v>P-12994-00</v>
      </c>
      <c r="D3037" s="6" t="str">
        <f>IFERROR(__xludf.DUMMYFUNCTION("""COMPUTED_VALUE"""),"Nippon Tape - ASF-110FR")</f>
        <v>Nippon Tape - ASF-110FR</v>
      </c>
      <c r="E3037" s="6">
        <f>IFERROR(__xludf.DUMMYFUNCTION("""COMPUTED_VALUE"""),1.0)</f>
        <v>1</v>
      </c>
      <c r="F3037" s="6">
        <f>IFERROR(__xludf.DUMMYFUNCTION("""COMPUTED_VALUE"""),1.0)</f>
        <v>1</v>
      </c>
      <c r="G3037" s="6">
        <f>IFERROR(__xludf.DUMMYFUNCTION("""COMPUTED_VALUE"""),0.0)</f>
        <v>0</v>
      </c>
      <c r="H3037" s="6" t="str">
        <f>IFERROR(__xludf.DUMMYFUNCTION("""COMPUTED_VALUE"""),"Pcs")</f>
        <v>Pcs</v>
      </c>
      <c r="I3037" s="6" t="str">
        <f>IFERROR(__xludf.DUMMYFUNCTION("""COMPUTED_VALUE"""),"MFH")</f>
        <v>MFH</v>
      </c>
      <c r="J3037" s="6" t="str">
        <f>IFERROR(__xludf.DUMMYFUNCTION("""COMPUTED_VALUE"""),"-")</f>
        <v>-</v>
      </c>
      <c r="K3037" s="6" t="str">
        <f>IFERROR(__xludf.DUMMYFUNCTION("""COMPUTED_VALUE"""),"SPR/26/01/018")</f>
        <v>SPR/26/01/018</v>
      </c>
      <c r="L3037" s="58">
        <f>IFERROR(__xludf.DUMMYFUNCTION("""COMPUTED_VALUE"""),46030.0)</f>
        <v>46030</v>
      </c>
    </row>
    <row r="3038">
      <c r="A3038" s="6" t="str">
        <f>IFERROR(__xludf.DUMMYFUNCTION("""COMPUTED_VALUE"""),"SFH")</f>
        <v>SFH</v>
      </c>
      <c r="B3038" s="6" t="str">
        <f>IFERROR(__xludf.DUMMYFUNCTION("""COMPUTED_VALUE"""),"ENG")</f>
        <v>ENG</v>
      </c>
      <c r="C3038" s="6" t="str">
        <f>IFERROR(__xludf.DUMMYFUNCTION("""COMPUTED_VALUE"""),"Q-10207-00")</f>
        <v>Q-10207-00</v>
      </c>
      <c r="D3038" s="6" t="str">
        <f>IFERROR(__xludf.DUMMYFUNCTION("""COMPUTED_VALUE"""),"Keramik Roman Warna Putih 40 x 40 cm;Roman;CN: 447106;pack size per pack")</f>
        <v>Keramik Roman Warna Putih 40 x 40 cm;Roman;CN: 447106;pack size per pack</v>
      </c>
      <c r="E3038" s="6">
        <f>IFERROR(__xludf.DUMMYFUNCTION("""COMPUTED_VALUE"""),10.0)</f>
        <v>10</v>
      </c>
      <c r="F3038" s="6">
        <f>IFERROR(__xludf.DUMMYFUNCTION("""COMPUTED_VALUE"""),10.0)</f>
        <v>10</v>
      </c>
      <c r="G3038" s="6">
        <f>IFERROR(__xludf.DUMMYFUNCTION("""COMPUTED_VALUE"""),0.0)</f>
        <v>0</v>
      </c>
      <c r="H3038" s="6" t="str">
        <f>IFERROR(__xludf.DUMMYFUNCTION("""COMPUTED_VALUE"""),"Pcs")</f>
        <v>Pcs</v>
      </c>
      <c r="I3038" s="6" t="str">
        <f>IFERROR(__xludf.DUMMYFUNCTION("""COMPUTED_VALUE"""),"MFH")</f>
        <v>MFH</v>
      </c>
      <c r="J3038" s="6" t="str">
        <f>IFERROR(__xludf.DUMMYFUNCTION("""COMPUTED_VALUE"""),"Building")</f>
        <v>Building</v>
      </c>
      <c r="K3038" s="6" t="str">
        <f>IFERROR(__xludf.DUMMYFUNCTION("""COMPUTED_VALUE"""),"SPR/26/01/019")</f>
        <v>SPR/26/01/019</v>
      </c>
      <c r="L3038" s="58">
        <f>IFERROR(__xludf.DUMMYFUNCTION("""COMPUTED_VALUE"""),46030.0)</f>
        <v>46030</v>
      </c>
    </row>
    <row r="3039">
      <c r="A3039" s="6" t="str">
        <f>IFERROR(__xludf.DUMMYFUNCTION("""COMPUTED_VALUE"""),"SFH")</f>
        <v>SFH</v>
      </c>
      <c r="B3039" s="6" t="str">
        <f>IFERROR(__xludf.DUMMYFUNCTION("""COMPUTED_VALUE"""),"ENG")</f>
        <v>ENG</v>
      </c>
      <c r="C3039" s="6" t="str">
        <f>IFERROR(__xludf.DUMMYFUNCTION("""COMPUTED_VALUE"""),"Q-10153-00")</f>
        <v>Q-10153-00</v>
      </c>
      <c r="D3039" s="6" t="str">
        <f>IFERROR(__xludf.DUMMYFUNCTION("""COMPUTED_VALUE"""),"Kuas Cat Roller uk. 110 mm;No Brand;;pack size per set")</f>
        <v>Kuas Cat Roller uk. 110 mm;No Brand;;pack size per set</v>
      </c>
      <c r="E3039" s="6">
        <f>IFERROR(__xludf.DUMMYFUNCTION("""COMPUTED_VALUE"""),2.0)</f>
        <v>2</v>
      </c>
      <c r="F3039" s="6">
        <f>IFERROR(__xludf.DUMMYFUNCTION("""COMPUTED_VALUE"""),2.0)</f>
        <v>2</v>
      </c>
      <c r="G3039" s="6">
        <f>IFERROR(__xludf.DUMMYFUNCTION("""COMPUTED_VALUE"""),0.0)</f>
        <v>0</v>
      </c>
      <c r="H3039" s="6" t="str">
        <f>IFERROR(__xludf.DUMMYFUNCTION("""COMPUTED_VALUE"""),"Pcs")</f>
        <v>Pcs</v>
      </c>
      <c r="I3039" s="6" t="str">
        <f>IFERROR(__xludf.DUMMYFUNCTION("""COMPUTED_VALUE"""),"MFH")</f>
        <v>MFH</v>
      </c>
      <c r="J3039" s="6" t="str">
        <f>IFERROR(__xludf.DUMMYFUNCTION("""COMPUTED_VALUE"""),"Building")</f>
        <v>Building</v>
      </c>
      <c r="K3039" s="6" t="str">
        <f>IFERROR(__xludf.DUMMYFUNCTION("""COMPUTED_VALUE"""),"SPR/26/01/020")</f>
        <v>SPR/26/01/020</v>
      </c>
      <c r="L3039" s="58">
        <f>IFERROR(__xludf.DUMMYFUNCTION("""COMPUTED_VALUE"""),46030.0)</f>
        <v>46030</v>
      </c>
    </row>
    <row r="3040">
      <c r="A3040" s="6" t="str">
        <f>IFERROR(__xludf.DUMMYFUNCTION("""COMPUTED_VALUE"""),"SFH")</f>
        <v>SFH</v>
      </c>
      <c r="B3040" s="6" t="str">
        <f>IFERROR(__xludf.DUMMYFUNCTION("""COMPUTED_VALUE"""),"ENG")</f>
        <v>ENG</v>
      </c>
      <c r="C3040" s="6" t="str">
        <f>IFERROR(__xludf.DUMMYFUNCTION("""COMPUTED_VALUE"""),"Q-60025-00")</f>
        <v>Q-60025-00</v>
      </c>
      <c r="D3040" s="6" t="str">
        <f>IFERROR(__xludf.DUMMYFUNCTION("""COMPUTED_VALUE"""),"Kuas Eterna 1")</f>
        <v>Kuas Eterna 1</v>
      </c>
      <c r="E3040" s="6">
        <f>IFERROR(__xludf.DUMMYFUNCTION("""COMPUTED_VALUE"""),3.0)</f>
        <v>3</v>
      </c>
      <c r="F3040" s="6">
        <f>IFERROR(__xludf.DUMMYFUNCTION("""COMPUTED_VALUE"""),3.0)</f>
        <v>3</v>
      </c>
      <c r="G3040" s="6">
        <f>IFERROR(__xludf.DUMMYFUNCTION("""COMPUTED_VALUE"""),0.0)</f>
        <v>0</v>
      </c>
      <c r="H3040" s="6" t="str">
        <f>IFERROR(__xludf.DUMMYFUNCTION("""COMPUTED_VALUE"""),"Pcs")</f>
        <v>Pcs</v>
      </c>
      <c r="I3040" s="6" t="str">
        <f>IFERROR(__xludf.DUMMYFUNCTION("""COMPUTED_VALUE"""),"MFH")</f>
        <v>MFH</v>
      </c>
      <c r="J3040" s="6" t="str">
        <f>IFERROR(__xludf.DUMMYFUNCTION("""COMPUTED_VALUE"""),"Building")</f>
        <v>Building</v>
      </c>
      <c r="K3040" s="6" t="str">
        <f>IFERROR(__xludf.DUMMYFUNCTION("""COMPUTED_VALUE"""),"SPR/26/01/020")</f>
        <v>SPR/26/01/020</v>
      </c>
      <c r="L3040" s="58">
        <f>IFERROR(__xludf.DUMMYFUNCTION("""COMPUTED_VALUE"""),46030.0)</f>
        <v>46030</v>
      </c>
    </row>
    <row r="3041">
      <c r="A3041" s="6" t="str">
        <f>IFERROR(__xludf.DUMMYFUNCTION("""COMPUTED_VALUE"""),"MFH")</f>
        <v>MFH</v>
      </c>
      <c r="B3041" s="6" t="str">
        <f>IFERROR(__xludf.DUMMYFUNCTION("""COMPUTED_VALUE"""),"ENG")</f>
        <v>ENG</v>
      </c>
      <c r="C3041" s="6" t="str">
        <f>IFERROR(__xludf.DUMMYFUNCTION("""COMPUTED_VALUE"""),"Q-60502-00")</f>
        <v>Q-60502-00</v>
      </c>
      <c r="D3041" s="6" t="str">
        <f>IFERROR(__xludf.DUMMYFUNCTION("""COMPUTED_VALUE"""),"Silicone Sealant, Silglaze, Type N10 White, pack size per pcs")</f>
        <v>Silicone Sealant, Silglaze, Type N10 White, pack size per pcs</v>
      </c>
      <c r="E3041" s="6">
        <f>IFERROR(__xludf.DUMMYFUNCTION("""COMPUTED_VALUE"""),1.0)</f>
        <v>1</v>
      </c>
      <c r="F3041" s="6">
        <f>IFERROR(__xludf.DUMMYFUNCTION("""COMPUTED_VALUE"""),1.0)</f>
        <v>1</v>
      </c>
      <c r="G3041" s="6">
        <f>IFERROR(__xludf.DUMMYFUNCTION("""COMPUTED_VALUE"""),0.0)</f>
        <v>0</v>
      </c>
      <c r="H3041" s="6" t="str">
        <f>IFERROR(__xludf.DUMMYFUNCTION("""COMPUTED_VALUE"""),"Pcs")</f>
        <v>Pcs</v>
      </c>
      <c r="I3041" s="6" t="str">
        <f>IFERROR(__xludf.DUMMYFUNCTION("""COMPUTED_VALUE"""),"MFH")</f>
        <v>MFH</v>
      </c>
      <c r="J3041" s="6" t="str">
        <f>IFERROR(__xludf.DUMMYFUNCTION("""COMPUTED_VALUE"""),"Building")</f>
        <v>Building</v>
      </c>
      <c r="K3041" s="6" t="str">
        <f>IFERROR(__xludf.DUMMYFUNCTION("""COMPUTED_VALUE"""),"SPR/26/01/021")</f>
        <v>SPR/26/01/021</v>
      </c>
      <c r="L3041" s="58">
        <f>IFERROR(__xludf.DUMMYFUNCTION("""COMPUTED_VALUE"""),46030.0)</f>
        <v>46030</v>
      </c>
    </row>
    <row r="3042">
      <c r="A3042" s="6" t="str">
        <f>IFERROR(__xludf.DUMMYFUNCTION("""COMPUTED_VALUE"""),"BDU")</f>
        <v>BDU</v>
      </c>
      <c r="B3042" s="6" t="str">
        <f>IFERROR(__xludf.DUMMYFUNCTION("""COMPUTED_VALUE"""),"ENG")</f>
        <v>ENG</v>
      </c>
      <c r="C3042" s="6" t="str">
        <f>IFERROR(__xludf.DUMMYFUNCTION("""COMPUTED_VALUE"""),"P-51741-00")</f>
        <v>P-51741-00</v>
      </c>
      <c r="D3042" s="6" t="str">
        <f>IFERROR(__xludf.DUMMYFUNCTION("""COMPUTED_VALUE"""),"Lampu Phillips PHP LED; 710 7w E27 White 220-240v; ; ;")</f>
        <v>Lampu Phillips PHP LED; 710 7w E27 White 220-240v; ; ;</v>
      </c>
      <c r="E3042" s="6">
        <f>IFERROR(__xludf.DUMMYFUNCTION("""COMPUTED_VALUE"""),2.0)</f>
        <v>2</v>
      </c>
      <c r="F3042" s="6">
        <f>IFERROR(__xludf.DUMMYFUNCTION("""COMPUTED_VALUE"""),2.0)</f>
        <v>2</v>
      </c>
      <c r="G3042" s="6">
        <f>IFERROR(__xludf.DUMMYFUNCTION("""COMPUTED_VALUE"""),0.0)</f>
        <v>0</v>
      </c>
      <c r="H3042" s="6" t="str">
        <f>IFERROR(__xludf.DUMMYFUNCTION("""COMPUTED_VALUE"""),"Pcs")</f>
        <v>Pcs</v>
      </c>
      <c r="I3042" s="6" t="str">
        <f>IFERROR(__xludf.DUMMYFUNCTION("""COMPUTED_VALUE"""),"MFH")</f>
        <v>MFH</v>
      </c>
      <c r="J3042" s="6" t="str">
        <f>IFERROR(__xludf.DUMMYFUNCTION("""COMPUTED_VALUE"""),"AHU")</f>
        <v>AHU</v>
      </c>
      <c r="K3042" s="6" t="str">
        <f>IFERROR(__xludf.DUMMYFUNCTION("""COMPUTED_VALUE"""),"SPR/26/01/022")</f>
        <v>SPR/26/01/022</v>
      </c>
      <c r="L3042" s="58">
        <f>IFERROR(__xludf.DUMMYFUNCTION("""COMPUTED_VALUE"""),46030.0)</f>
        <v>46030</v>
      </c>
    </row>
    <row r="3043">
      <c r="A3043" s="6" t="str">
        <f>IFERROR(__xludf.DUMMYFUNCTION("""COMPUTED_VALUE"""),"BDU")</f>
        <v>BDU</v>
      </c>
      <c r="B3043" s="6" t="str">
        <f>IFERROR(__xludf.DUMMYFUNCTION("""COMPUTED_VALUE"""),"ENG")</f>
        <v>ENG</v>
      </c>
      <c r="C3043" s="6" t="str">
        <f>IFERROR(__xludf.DUMMYFUNCTION("""COMPUTED_VALUE"""),"P-51560-00")</f>
        <v>P-51560-00</v>
      </c>
      <c r="D3043" s="6" t="str">
        <f>IFERROR(__xludf.DUMMYFUNCTION("""COMPUTED_VALUE"""),"General - Lampu TL LED T5 28 W White; Philips; -; 1 unt")</f>
        <v>General - Lampu TL LED T5 28 W White; Philips; -; 1 unt</v>
      </c>
      <c r="E3043" s="6">
        <f>IFERROR(__xludf.DUMMYFUNCTION("""COMPUTED_VALUE"""),2.0)</f>
        <v>2</v>
      </c>
      <c r="F3043" s="6">
        <f>IFERROR(__xludf.DUMMYFUNCTION("""COMPUTED_VALUE"""),2.0)</f>
        <v>2</v>
      </c>
      <c r="G3043" s="6">
        <f>IFERROR(__xludf.DUMMYFUNCTION("""COMPUTED_VALUE"""),0.0)</f>
        <v>0</v>
      </c>
      <c r="H3043" s="6" t="str">
        <f>IFERROR(__xludf.DUMMYFUNCTION("""COMPUTED_VALUE"""),"Pcs")</f>
        <v>Pcs</v>
      </c>
      <c r="I3043" s="6" t="str">
        <f>IFERROR(__xludf.DUMMYFUNCTION("""COMPUTED_VALUE"""),"MFH")</f>
        <v>MFH</v>
      </c>
      <c r="J3043" s="6" t="str">
        <f>IFERROR(__xludf.DUMMYFUNCTION("""COMPUTED_VALUE"""),"Building")</f>
        <v>Building</v>
      </c>
      <c r="K3043" s="6" t="str">
        <f>IFERROR(__xludf.DUMMYFUNCTION("""COMPUTED_VALUE"""),"SPR/26/01/022")</f>
        <v>SPR/26/01/022</v>
      </c>
      <c r="L3043" s="58">
        <f>IFERROR(__xludf.DUMMYFUNCTION("""COMPUTED_VALUE"""),46030.0)</f>
        <v>46030</v>
      </c>
    </row>
    <row r="3044">
      <c r="A3044" s="6" t="str">
        <f>IFERROR(__xludf.DUMMYFUNCTION("""COMPUTED_VALUE"""),"SFH")</f>
        <v>SFH</v>
      </c>
      <c r="B3044" s="6" t="str">
        <f>IFERROR(__xludf.DUMMYFUNCTION("""COMPUTED_VALUE"""),"ENG")</f>
        <v>ENG</v>
      </c>
      <c r="C3044" s="6" t="str">
        <f>IFERROR(__xludf.DUMMYFUNCTION("""COMPUTED_VALUE"""),"P-51560-00")</f>
        <v>P-51560-00</v>
      </c>
      <c r="D3044" s="6" t="str">
        <f>IFERROR(__xludf.DUMMYFUNCTION("""COMPUTED_VALUE"""),"General - Lampu TL LED T5 28 W White; Philips; -; 1 unt")</f>
        <v>General - Lampu TL LED T5 28 W White; Philips; -; 1 unt</v>
      </c>
      <c r="E3044" s="6">
        <f>IFERROR(__xludf.DUMMYFUNCTION("""COMPUTED_VALUE"""),8.0)</f>
        <v>8</v>
      </c>
      <c r="F3044" s="6">
        <f>IFERROR(__xludf.DUMMYFUNCTION("""COMPUTED_VALUE"""),8.0)</f>
        <v>8</v>
      </c>
      <c r="G3044" s="6">
        <f>IFERROR(__xludf.DUMMYFUNCTION("""COMPUTED_VALUE"""),0.0)</f>
        <v>0</v>
      </c>
      <c r="H3044" s="6" t="str">
        <f>IFERROR(__xludf.DUMMYFUNCTION("""COMPUTED_VALUE"""),"Pcs")</f>
        <v>Pcs</v>
      </c>
      <c r="I3044" s="6" t="str">
        <f>IFERROR(__xludf.DUMMYFUNCTION("""COMPUTED_VALUE"""),"MFH")</f>
        <v>MFH</v>
      </c>
      <c r="J3044" s="6" t="str">
        <f>IFERROR(__xludf.DUMMYFUNCTION("""COMPUTED_VALUE"""),"Building")</f>
        <v>Building</v>
      </c>
      <c r="K3044" s="6" t="str">
        <f>IFERROR(__xludf.DUMMYFUNCTION("""COMPUTED_VALUE"""),"SPR/26/01/023")</f>
        <v>SPR/26/01/023</v>
      </c>
      <c r="L3044" s="58">
        <f>IFERROR(__xludf.DUMMYFUNCTION("""COMPUTED_VALUE"""),46030.0)</f>
        <v>46030</v>
      </c>
    </row>
    <row r="3045">
      <c r="A3045" s="6" t="str">
        <f>IFERROR(__xludf.DUMMYFUNCTION("""COMPUTED_VALUE"""),"SFH")</f>
        <v>SFH</v>
      </c>
      <c r="B3045" s="6" t="str">
        <f>IFERROR(__xludf.DUMMYFUNCTION("""COMPUTED_VALUE"""),"ENG")</f>
        <v>ENG</v>
      </c>
      <c r="C3045" s="6" t="str">
        <f>IFERROR(__xludf.DUMMYFUNCTION("""COMPUTED_VALUE"""),"P-51559-00")</f>
        <v>P-51559-00</v>
      </c>
      <c r="D3045" s="6" t="str">
        <f>IFERROR(__xludf.DUMMYFUNCTION("""COMPUTED_VALUE"""),"General - Lampu TL LED T5 14 W White; Philips; -; 1 unt")</f>
        <v>General - Lampu TL LED T5 14 W White; Philips; -; 1 unt</v>
      </c>
      <c r="E3045" s="6">
        <f>IFERROR(__xludf.DUMMYFUNCTION("""COMPUTED_VALUE"""),10.0)</f>
        <v>10</v>
      </c>
      <c r="F3045" s="6">
        <f>IFERROR(__xludf.DUMMYFUNCTION("""COMPUTED_VALUE"""),10.0)</f>
        <v>10</v>
      </c>
      <c r="G3045" s="6">
        <f>IFERROR(__xludf.DUMMYFUNCTION("""COMPUTED_VALUE"""),0.0)</f>
        <v>0</v>
      </c>
      <c r="H3045" s="6" t="str">
        <f>IFERROR(__xludf.DUMMYFUNCTION("""COMPUTED_VALUE"""),"Pcs")</f>
        <v>Pcs</v>
      </c>
      <c r="I3045" s="6" t="str">
        <f>IFERROR(__xludf.DUMMYFUNCTION("""COMPUTED_VALUE"""),"MFH")</f>
        <v>MFH</v>
      </c>
      <c r="J3045" s="6" t="str">
        <f>IFERROR(__xludf.DUMMYFUNCTION("""COMPUTED_VALUE"""),"Building")</f>
        <v>Building</v>
      </c>
      <c r="K3045" s="6" t="str">
        <f>IFERROR(__xludf.DUMMYFUNCTION("""COMPUTED_VALUE"""),"SPR/26/01/023")</f>
        <v>SPR/26/01/023</v>
      </c>
      <c r="L3045" s="58">
        <f>IFERROR(__xludf.DUMMYFUNCTION("""COMPUTED_VALUE"""),46030.0)</f>
        <v>46030</v>
      </c>
    </row>
    <row r="3046">
      <c r="A3046" s="6" t="str">
        <f>IFERROR(__xludf.DUMMYFUNCTION("""COMPUTED_VALUE"""),"SFH")</f>
        <v>SFH</v>
      </c>
      <c r="B3046" s="6" t="str">
        <f>IFERROR(__xludf.DUMMYFUNCTION("""COMPUTED_VALUE"""),"ENG")</f>
        <v>ENG</v>
      </c>
      <c r="C3046" s="6" t="str">
        <f>IFERROR(__xludf.DUMMYFUNCTION("""COMPUTED_VALUE"""),"Q-10572-00")</f>
        <v>Q-10572-00</v>
      </c>
      <c r="D3046" s="6" t="str">
        <f>IFERROR(__xludf.DUMMYFUNCTION("""COMPUTED_VALUE"""),"Lampu LED Tube TL T8 16W 1200 mm;Philips;;pack size per pcs")</f>
        <v>Lampu LED Tube TL T8 16W 1200 mm;Philips;;pack size per pcs</v>
      </c>
      <c r="E3046" s="6">
        <f>IFERROR(__xludf.DUMMYFUNCTION("""COMPUTED_VALUE"""),3.0)</f>
        <v>3</v>
      </c>
      <c r="F3046" s="6">
        <f>IFERROR(__xludf.DUMMYFUNCTION("""COMPUTED_VALUE"""),3.0)</f>
        <v>3</v>
      </c>
      <c r="G3046" s="6">
        <f>IFERROR(__xludf.DUMMYFUNCTION("""COMPUTED_VALUE"""),0.0)</f>
        <v>0</v>
      </c>
      <c r="H3046" s="6" t="str">
        <f>IFERROR(__xludf.DUMMYFUNCTION("""COMPUTED_VALUE"""),"Pcs")</f>
        <v>Pcs</v>
      </c>
      <c r="I3046" s="6" t="str">
        <f>IFERROR(__xludf.DUMMYFUNCTION("""COMPUTED_VALUE"""),"MFH")</f>
        <v>MFH</v>
      </c>
      <c r="J3046" s="6" t="str">
        <f>IFERROR(__xludf.DUMMYFUNCTION("""COMPUTED_VALUE"""),"Building")</f>
        <v>Building</v>
      </c>
      <c r="K3046" s="6" t="str">
        <f>IFERROR(__xludf.DUMMYFUNCTION("""COMPUTED_VALUE"""),"SPR/26/01/023")</f>
        <v>SPR/26/01/023</v>
      </c>
      <c r="L3046" s="58">
        <f>IFERROR(__xludf.DUMMYFUNCTION("""COMPUTED_VALUE"""),46030.0)</f>
        <v>46030</v>
      </c>
    </row>
    <row r="3047">
      <c r="A3047" s="6" t="str">
        <f>IFERROR(__xludf.DUMMYFUNCTION("""COMPUTED_VALUE"""),"KFF")</f>
        <v>KFF</v>
      </c>
      <c r="B3047" s="6" t="str">
        <f>IFERROR(__xludf.DUMMYFUNCTION("""COMPUTED_VALUE"""),"ENG")</f>
        <v>ENG</v>
      </c>
      <c r="C3047" s="6" t="str">
        <f>IFERROR(__xludf.DUMMYFUNCTION("""COMPUTED_VALUE"""),"P-12471-00")</f>
        <v>P-12471-00</v>
      </c>
      <c r="D3047" s="6" t="str">
        <f>IFERROR(__xludf.DUMMYFUNCTION("""COMPUTED_VALUE"""),"General - Lem silicone; Elastosil; E41; 90gram/tube")</f>
        <v>General - Lem silicone; Elastosil; E41; 90gram/tube</v>
      </c>
      <c r="E3047" s="6">
        <f>IFERROR(__xludf.DUMMYFUNCTION("""COMPUTED_VALUE"""),1.0)</f>
        <v>1</v>
      </c>
      <c r="F3047" s="6">
        <f>IFERROR(__xludf.DUMMYFUNCTION("""COMPUTED_VALUE"""),1.0)</f>
        <v>1</v>
      </c>
      <c r="G3047" s="6">
        <f>IFERROR(__xludf.DUMMYFUNCTION("""COMPUTED_VALUE"""),0.0)</f>
        <v>0</v>
      </c>
      <c r="H3047" s="6" t="str">
        <f>IFERROR(__xludf.DUMMYFUNCTION("""COMPUTED_VALUE"""),"Pcs")</f>
        <v>Pcs</v>
      </c>
      <c r="I3047" s="6" t="str">
        <f>IFERROR(__xludf.DUMMYFUNCTION("""COMPUTED_VALUE"""),"MFH")</f>
        <v>MFH</v>
      </c>
      <c r="J3047" s="6" t="str">
        <f>IFERROR(__xludf.DUMMYFUNCTION("""COMPUTED_VALUE"""),"-")</f>
        <v>-</v>
      </c>
      <c r="K3047" s="6" t="str">
        <f>IFERROR(__xludf.DUMMYFUNCTION("""COMPUTED_VALUE"""),"SPR/26/01/024")</f>
        <v>SPR/26/01/024</v>
      </c>
      <c r="L3047" s="58">
        <f>IFERROR(__xludf.DUMMYFUNCTION("""COMPUTED_VALUE"""),46030.0)</f>
        <v>46030</v>
      </c>
    </row>
    <row r="3048">
      <c r="A3048" s="6" t="str">
        <f>IFERROR(__xludf.DUMMYFUNCTION("""COMPUTED_VALUE"""),"KFF")</f>
        <v>KFF</v>
      </c>
      <c r="B3048" s="6" t="str">
        <f>IFERROR(__xludf.DUMMYFUNCTION("""COMPUTED_VALUE"""),"ENG")</f>
        <v>ENG</v>
      </c>
      <c r="C3048" s="6" t="str">
        <f>IFERROR(__xludf.DUMMYFUNCTION("""COMPUTED_VALUE"""),"Q-10249-00")</f>
        <v>Q-10249-00</v>
      </c>
      <c r="D3048" s="6" t="str">
        <f>IFERROR(__xludf.DUMMYFUNCTION("""COMPUTED_VALUE"""),"Lem Power Glue; ; ;")</f>
        <v>Lem Power Glue; ; ;</v>
      </c>
      <c r="E3048" s="6">
        <f>IFERROR(__xludf.DUMMYFUNCTION("""COMPUTED_VALUE"""),1.0)</f>
        <v>1</v>
      </c>
      <c r="F3048" s="6">
        <f>IFERROR(__xludf.DUMMYFUNCTION("""COMPUTED_VALUE"""),1.0)</f>
        <v>1</v>
      </c>
      <c r="G3048" s="6">
        <f>IFERROR(__xludf.DUMMYFUNCTION("""COMPUTED_VALUE"""),0.0)</f>
        <v>0</v>
      </c>
      <c r="H3048" s="6" t="str">
        <f>IFERROR(__xludf.DUMMYFUNCTION("""COMPUTED_VALUE"""),"Pcs")</f>
        <v>Pcs</v>
      </c>
      <c r="I3048" s="6" t="str">
        <f>IFERROR(__xludf.DUMMYFUNCTION("""COMPUTED_VALUE"""),"MFH")</f>
        <v>MFH</v>
      </c>
      <c r="J3048" s="6" t="str">
        <f>IFERROR(__xludf.DUMMYFUNCTION("""COMPUTED_VALUE"""),"-")</f>
        <v>-</v>
      </c>
      <c r="K3048" s="6" t="str">
        <f>IFERROR(__xludf.DUMMYFUNCTION("""COMPUTED_VALUE"""),"SPR/26/01/024")</f>
        <v>SPR/26/01/024</v>
      </c>
      <c r="L3048" s="58">
        <f>IFERROR(__xludf.DUMMYFUNCTION("""COMPUTED_VALUE"""),46030.0)</f>
        <v>46030</v>
      </c>
    </row>
    <row r="3049">
      <c r="A3049" s="6" t="str">
        <f>IFERROR(__xludf.DUMMYFUNCTION("""COMPUTED_VALUE"""),"KFF")</f>
        <v>KFF</v>
      </c>
      <c r="B3049" s="6" t="str">
        <f>IFERROR(__xludf.DUMMYFUNCTION("""COMPUTED_VALUE"""),"ENG")</f>
        <v>ENG</v>
      </c>
      <c r="C3049" s="6" t="str">
        <f>IFERROR(__xludf.DUMMYFUNCTION("""COMPUTED_VALUE"""),"P-10859-00")</f>
        <v>P-10859-00</v>
      </c>
      <c r="D3049" s="6" t="str">
        <f>IFERROR(__xludf.DUMMYFUNCTION("""COMPUTED_VALUE"""),"Fitting PVC - Elbow PVC 1/2"" Rucika AW")</f>
        <v>Fitting PVC - Elbow PVC 1/2" Rucika AW</v>
      </c>
      <c r="E3049" s="6">
        <f>IFERROR(__xludf.DUMMYFUNCTION("""COMPUTED_VALUE"""),1.0)</f>
        <v>1</v>
      </c>
      <c r="F3049" s="6">
        <f>IFERROR(__xludf.DUMMYFUNCTION("""COMPUTED_VALUE"""),1.0)</f>
        <v>1</v>
      </c>
      <c r="G3049" s="6">
        <f>IFERROR(__xludf.DUMMYFUNCTION("""COMPUTED_VALUE"""),0.0)</f>
        <v>0</v>
      </c>
      <c r="H3049" s="6" t="str">
        <f>IFERROR(__xludf.DUMMYFUNCTION("""COMPUTED_VALUE"""),"Pcs")</f>
        <v>Pcs</v>
      </c>
      <c r="I3049" s="6" t="str">
        <f>IFERROR(__xludf.DUMMYFUNCTION("""COMPUTED_VALUE"""),"MFH")</f>
        <v>MFH</v>
      </c>
      <c r="J3049" s="6" t="str">
        <f>IFERROR(__xludf.DUMMYFUNCTION("""COMPUTED_VALUE"""),"-")</f>
        <v>-</v>
      </c>
      <c r="K3049" s="6" t="str">
        <f>IFERROR(__xludf.DUMMYFUNCTION("""COMPUTED_VALUE"""),"SPR/26/01/024")</f>
        <v>SPR/26/01/024</v>
      </c>
      <c r="L3049" s="58">
        <f>IFERROR(__xludf.DUMMYFUNCTION("""COMPUTED_VALUE"""),46030.0)</f>
        <v>46030</v>
      </c>
    </row>
    <row r="3050">
      <c r="A3050" s="6" t="str">
        <f>IFERROR(__xludf.DUMMYFUNCTION("""COMPUTED_VALUE"""),"ANO")</f>
        <v>ANO</v>
      </c>
      <c r="B3050" s="6" t="str">
        <f>IFERROR(__xludf.DUMMYFUNCTION("""COMPUTED_VALUE"""),"ENG")</f>
        <v>ENG</v>
      </c>
      <c r="C3050" s="6" t="str">
        <f>IFERROR(__xludf.DUMMYFUNCTION("""COMPUTED_VALUE"""),"O-11181-00")</f>
        <v>O-11181-00</v>
      </c>
      <c r="D3050" s="6" t="str">
        <f>IFERROR(__xludf.DUMMYFUNCTION("""COMPUTED_VALUE"""),"Bearing 626-2Z")</f>
        <v>Bearing 626-2Z</v>
      </c>
      <c r="E3050" s="6">
        <f>IFERROR(__xludf.DUMMYFUNCTION("""COMPUTED_VALUE"""),2.0)</f>
        <v>2</v>
      </c>
      <c r="F3050" s="6">
        <f>IFERROR(__xludf.DUMMYFUNCTION("""COMPUTED_VALUE"""),2.0)</f>
        <v>2</v>
      </c>
      <c r="G3050" s="6">
        <f>IFERROR(__xludf.DUMMYFUNCTION("""COMPUTED_VALUE"""),0.0)</f>
        <v>0</v>
      </c>
      <c r="H3050" s="6" t="str">
        <f>IFERROR(__xludf.DUMMYFUNCTION("""COMPUTED_VALUE"""),"Pcs")</f>
        <v>Pcs</v>
      </c>
      <c r="I3050" s="6" t="str">
        <f>IFERROR(__xludf.DUMMYFUNCTION("""COMPUTED_VALUE"""),"MFH")</f>
        <v>MFH</v>
      </c>
      <c r="J3050" s="6" t="str">
        <f>IFERROR(__xludf.DUMMYFUNCTION("""COMPUTED_VALUE"""),"Capping")</f>
        <v>Capping</v>
      </c>
      <c r="K3050" s="6" t="str">
        <f>IFERROR(__xludf.DUMMYFUNCTION("""COMPUTED_VALUE"""),"SPR/26/01/025")</f>
        <v>SPR/26/01/025</v>
      </c>
      <c r="L3050" s="58">
        <f>IFERROR(__xludf.DUMMYFUNCTION("""COMPUTED_VALUE"""),46030.0)</f>
        <v>46030</v>
      </c>
    </row>
    <row r="3051">
      <c r="A3051" s="6" t="str">
        <f>IFERROR(__xludf.DUMMYFUNCTION("""COMPUTED_VALUE"""),"ANO")</f>
        <v>ANO</v>
      </c>
      <c r="B3051" s="6" t="str">
        <f>IFERROR(__xludf.DUMMYFUNCTION("""COMPUTED_VALUE"""),"ENG")</f>
        <v>ENG</v>
      </c>
      <c r="C3051" s="6" t="str">
        <f>IFERROR(__xludf.DUMMYFUNCTION("""COMPUTED_VALUE"""),"Q-60503-00")</f>
        <v>Q-60503-00</v>
      </c>
      <c r="D3051" s="6" t="str">
        <f>IFERROR(__xludf.DUMMYFUNCTION("""COMPUTED_VALUE"""),"Silicone Sealant, Silglaze, Type N10 Grey, pack size per pcs")</f>
        <v>Silicone Sealant, Silglaze, Type N10 Grey, pack size per pcs</v>
      </c>
      <c r="E3051" s="6">
        <f>IFERROR(__xludf.DUMMYFUNCTION("""COMPUTED_VALUE"""),2.0)</f>
        <v>2</v>
      </c>
      <c r="F3051" s="6">
        <f>IFERROR(__xludf.DUMMYFUNCTION("""COMPUTED_VALUE"""),2.0)</f>
        <v>2</v>
      </c>
      <c r="G3051" s="6">
        <f>IFERROR(__xludf.DUMMYFUNCTION("""COMPUTED_VALUE"""),0.0)</f>
        <v>0</v>
      </c>
      <c r="H3051" s="6" t="str">
        <f>IFERROR(__xludf.DUMMYFUNCTION("""COMPUTED_VALUE"""),"Pcs")</f>
        <v>Pcs</v>
      </c>
      <c r="I3051" s="6" t="str">
        <f>IFERROR(__xludf.DUMMYFUNCTION("""COMPUTED_VALUE"""),"MFH")</f>
        <v>MFH</v>
      </c>
      <c r="J3051" s="6" t="str">
        <f>IFERROR(__xludf.DUMMYFUNCTION("""COMPUTED_VALUE"""),"BSC")</f>
        <v>BSC</v>
      </c>
      <c r="K3051" s="6" t="str">
        <f>IFERROR(__xludf.DUMMYFUNCTION("""COMPUTED_VALUE"""),"SPR/26/01/025")</f>
        <v>SPR/26/01/025</v>
      </c>
      <c r="L3051" s="58">
        <f>IFERROR(__xludf.DUMMYFUNCTION("""COMPUTED_VALUE"""),46030.0)</f>
        <v>46030</v>
      </c>
    </row>
    <row r="3052">
      <c r="A3052" s="6" t="str">
        <f>IFERROR(__xludf.DUMMYFUNCTION("""COMPUTED_VALUE"""),"INN")</f>
        <v>INN</v>
      </c>
      <c r="B3052" s="6" t="str">
        <f>IFERROR(__xludf.DUMMYFUNCTION("""COMPUTED_VALUE"""),"ENG")</f>
        <v>ENG</v>
      </c>
      <c r="C3052" s="6" t="str">
        <f>IFERROR(__xludf.DUMMYFUNCTION("""COMPUTED_VALUE"""),"O-14619-00")</f>
        <v>O-14619-00</v>
      </c>
      <c r="D3052" s="6" t="str">
        <f>IFERROR(__xludf.DUMMYFUNCTION("""COMPUTED_VALUE"""),"Pressure reducer 1/2"" Gas connection, with manometer 0-12 bar")</f>
        <v>Pressure reducer 1/2" Gas connection, with manometer 0-12 bar</v>
      </c>
      <c r="E3052" s="6">
        <f>IFERROR(__xludf.DUMMYFUNCTION("""COMPUTED_VALUE"""),1.0)</f>
        <v>1</v>
      </c>
      <c r="F3052" s="6">
        <f>IFERROR(__xludf.DUMMYFUNCTION("""COMPUTED_VALUE"""),1.0)</f>
        <v>1</v>
      </c>
      <c r="G3052" s="6">
        <f>IFERROR(__xludf.DUMMYFUNCTION("""COMPUTED_VALUE"""),0.0)</f>
        <v>0</v>
      </c>
      <c r="H3052" s="6" t="str">
        <f>IFERROR(__xludf.DUMMYFUNCTION("""COMPUTED_VALUE"""),"Pcs")</f>
        <v>Pcs</v>
      </c>
      <c r="I3052" s="6" t="str">
        <f>IFERROR(__xludf.DUMMYFUNCTION("""COMPUTED_VALUE"""),"MFH")</f>
        <v>MFH</v>
      </c>
      <c r="J3052" s="6" t="str">
        <f>IFERROR(__xludf.DUMMYFUNCTION("""COMPUTED_VALUE"""),"FD")</f>
        <v>FD</v>
      </c>
      <c r="K3052" s="6" t="str">
        <f>IFERROR(__xludf.DUMMYFUNCTION("""COMPUTED_VALUE"""),"SPR/26/01/026")</f>
        <v>SPR/26/01/026</v>
      </c>
      <c r="L3052" s="58">
        <f>IFERROR(__xludf.DUMMYFUNCTION("""COMPUTED_VALUE"""),46030.0)</f>
        <v>46030</v>
      </c>
    </row>
    <row r="3053">
      <c r="A3053" s="6" t="str">
        <f>IFERROR(__xludf.DUMMYFUNCTION("""COMPUTED_VALUE"""),"INN")</f>
        <v>INN</v>
      </c>
      <c r="B3053" s="6" t="str">
        <f>IFERROR(__xludf.DUMMYFUNCTION("""COMPUTED_VALUE"""),"ENG")</f>
        <v>ENG</v>
      </c>
      <c r="C3053" s="6" t="str">
        <f>IFERROR(__xludf.DUMMYFUNCTION("""COMPUTED_VALUE"""),"P-11169-00")</f>
        <v>P-11169-00</v>
      </c>
      <c r="D3053" s="6" t="str">
        <f>IFERROR(__xludf.DUMMYFUNCTION("""COMPUTED_VALUE"""),"General - Push-in Fitting, QS-1/4-6; Festo; 153003; 1 pcs")</f>
        <v>General - Push-in Fitting, QS-1/4-6; Festo; 153003; 1 pcs</v>
      </c>
      <c r="E3053" s="6">
        <f>IFERROR(__xludf.DUMMYFUNCTION("""COMPUTED_VALUE"""),2.0)</f>
        <v>2</v>
      </c>
      <c r="F3053" s="6">
        <f>IFERROR(__xludf.DUMMYFUNCTION("""COMPUTED_VALUE"""),2.0)</f>
        <v>2</v>
      </c>
      <c r="G3053" s="6">
        <f>IFERROR(__xludf.DUMMYFUNCTION("""COMPUTED_VALUE"""),0.0)</f>
        <v>0</v>
      </c>
      <c r="H3053" s="6" t="str">
        <f>IFERROR(__xludf.DUMMYFUNCTION("""COMPUTED_VALUE"""),"Pcs")</f>
        <v>Pcs</v>
      </c>
      <c r="I3053" s="6" t="str">
        <f>IFERROR(__xludf.DUMMYFUNCTION("""COMPUTED_VALUE"""),"MFH")</f>
        <v>MFH</v>
      </c>
      <c r="J3053" s="6" t="str">
        <f>IFERROR(__xludf.DUMMYFUNCTION("""COMPUTED_VALUE"""),"FD")</f>
        <v>FD</v>
      </c>
      <c r="K3053" s="6" t="str">
        <f>IFERROR(__xludf.DUMMYFUNCTION("""COMPUTED_VALUE"""),"SPR/26/01/026")</f>
        <v>SPR/26/01/026</v>
      </c>
      <c r="L3053" s="58">
        <f>IFERROR(__xludf.DUMMYFUNCTION("""COMPUTED_VALUE"""),46030.0)</f>
        <v>46030</v>
      </c>
    </row>
    <row r="3054">
      <c r="A3054" s="6" t="str">
        <f>IFERROR(__xludf.DUMMYFUNCTION("""COMPUTED_VALUE"""),"INN")</f>
        <v>INN</v>
      </c>
      <c r="B3054" s="6" t="str">
        <f>IFERROR(__xludf.DUMMYFUNCTION("""COMPUTED_VALUE"""),"ENG")</f>
        <v>ENG</v>
      </c>
      <c r="C3054" s="6" t="str">
        <f>IFERROR(__xludf.DUMMYFUNCTION("""COMPUTED_VALUE"""),"P-13650-00")</f>
        <v>P-13650-00</v>
      </c>
      <c r="D3054" s="6" t="str">
        <f>IFERROR(__xludf.DUMMYFUNCTION("""COMPUTED_VALUE"""),"Manual Valve HE-2-QS-6; FESTO; ;")</f>
        <v>Manual Valve HE-2-QS-6; FESTO; ;</v>
      </c>
      <c r="E3054" s="6">
        <f>IFERROR(__xludf.DUMMYFUNCTION("""COMPUTED_VALUE"""),1.0)</f>
        <v>1</v>
      </c>
      <c r="F3054" s="6">
        <f>IFERROR(__xludf.DUMMYFUNCTION("""COMPUTED_VALUE"""),1.0)</f>
        <v>1</v>
      </c>
      <c r="G3054" s="6">
        <f>IFERROR(__xludf.DUMMYFUNCTION("""COMPUTED_VALUE"""),0.0)</f>
        <v>0</v>
      </c>
      <c r="H3054" s="6" t="str">
        <f>IFERROR(__xludf.DUMMYFUNCTION("""COMPUTED_VALUE"""),"Pcs")</f>
        <v>Pcs</v>
      </c>
      <c r="I3054" s="6" t="str">
        <f>IFERROR(__xludf.DUMMYFUNCTION("""COMPUTED_VALUE"""),"MFH")</f>
        <v>MFH</v>
      </c>
      <c r="J3054" s="6" t="str">
        <f>IFERROR(__xludf.DUMMYFUNCTION("""COMPUTED_VALUE"""),"FD")</f>
        <v>FD</v>
      </c>
      <c r="K3054" s="6" t="str">
        <f>IFERROR(__xludf.DUMMYFUNCTION("""COMPUTED_VALUE"""),"SPR/26/01/026")</f>
        <v>SPR/26/01/026</v>
      </c>
      <c r="L3054" s="58">
        <f>IFERROR(__xludf.DUMMYFUNCTION("""COMPUTED_VALUE"""),46030.0)</f>
        <v>46030</v>
      </c>
    </row>
    <row r="3055">
      <c r="A3055" s="6" t="str">
        <f>IFERROR(__xludf.DUMMYFUNCTION("""COMPUTED_VALUE"""),"INN")</f>
        <v>INN</v>
      </c>
      <c r="B3055" s="6" t="str">
        <f>IFERROR(__xludf.DUMMYFUNCTION("""COMPUTED_VALUE"""),"ENG")</f>
        <v>ENG</v>
      </c>
      <c r="C3055" s="6" t="str">
        <f>IFERROR(__xludf.DUMMYFUNCTION("""COMPUTED_VALUE"""),"O-16647-00")</f>
        <v>O-16647-00</v>
      </c>
      <c r="D3055" s="6" t="str">
        <f>IFERROR(__xludf.DUMMYFUNCTION("""COMPUTED_VALUE"""),"Washing RAR4 - Oring Silicone Merah 23x18x2.5 mm; ; ;")</f>
        <v>Washing RAR4 - Oring Silicone Merah 23x18x2.5 mm; ; ;</v>
      </c>
      <c r="E3055" s="6">
        <f>IFERROR(__xludf.DUMMYFUNCTION("""COMPUTED_VALUE"""),10.0)</f>
        <v>10</v>
      </c>
      <c r="F3055" s="6">
        <f>IFERROR(__xludf.DUMMYFUNCTION("""COMPUTED_VALUE"""),10.0)</f>
        <v>10</v>
      </c>
      <c r="G3055" s="6">
        <f>IFERROR(__xludf.DUMMYFUNCTION("""COMPUTED_VALUE"""),0.0)</f>
        <v>0</v>
      </c>
      <c r="H3055" s="6" t="str">
        <f>IFERROR(__xludf.DUMMYFUNCTION("""COMPUTED_VALUE"""),"Pcs")</f>
        <v>Pcs</v>
      </c>
      <c r="I3055" s="6" t="str">
        <f>IFERROR(__xludf.DUMMYFUNCTION("""COMPUTED_VALUE"""),"MFH")</f>
        <v>MFH</v>
      </c>
      <c r="J3055" s="6" t="str">
        <f>IFERROR(__xludf.DUMMYFUNCTION("""COMPUTED_VALUE"""),"Capping")</f>
        <v>Capping</v>
      </c>
      <c r="K3055" s="6" t="str">
        <f>IFERROR(__xludf.DUMMYFUNCTION("""COMPUTED_VALUE"""),"SPR/26/01/027")</f>
        <v>SPR/26/01/027</v>
      </c>
      <c r="L3055" s="58">
        <f>IFERROR(__xludf.DUMMYFUNCTION("""COMPUTED_VALUE"""),46030.0)</f>
        <v>46030</v>
      </c>
    </row>
    <row r="3056">
      <c r="A3056" s="6" t="str">
        <f>IFERROR(__xludf.DUMMYFUNCTION("""COMPUTED_VALUE"""),"INN")</f>
        <v>INN</v>
      </c>
      <c r="B3056" s="6" t="str">
        <f>IFERROR(__xludf.DUMMYFUNCTION("""COMPUTED_VALUE"""),"ENG")</f>
        <v>ENG</v>
      </c>
      <c r="C3056" s="6" t="str">
        <f>IFERROR(__xludf.DUMMYFUNCTION("""COMPUTED_VALUE"""),"P-11195-00")</f>
        <v>P-11195-00</v>
      </c>
      <c r="D3056" s="6" t="str">
        <f>IFERROR(__xludf.DUMMYFUNCTION("""COMPUTED_VALUE"""),"General - Push-in Fitting, QSF-1/8-6-B; Festo; 153023; 1 pcs")</f>
        <v>General - Push-in Fitting, QSF-1/8-6-B; Festo; 153023; 1 pcs</v>
      </c>
      <c r="E3056" s="6">
        <f>IFERROR(__xludf.DUMMYFUNCTION("""COMPUTED_VALUE"""),1.0)</f>
        <v>1</v>
      </c>
      <c r="F3056" s="6">
        <f>IFERROR(__xludf.DUMMYFUNCTION("""COMPUTED_VALUE"""),1.0)</f>
        <v>1</v>
      </c>
      <c r="G3056" s="6">
        <f>IFERROR(__xludf.DUMMYFUNCTION("""COMPUTED_VALUE"""),0.0)</f>
        <v>0</v>
      </c>
      <c r="H3056" s="6" t="str">
        <f>IFERROR(__xludf.DUMMYFUNCTION("""COMPUTED_VALUE"""),"Pcs")</f>
        <v>Pcs</v>
      </c>
      <c r="I3056" s="6" t="str">
        <f>IFERROR(__xludf.DUMMYFUNCTION("""COMPUTED_VALUE"""),"MFH")</f>
        <v>MFH</v>
      </c>
      <c r="J3056" s="6" t="str">
        <f>IFERROR(__xludf.DUMMYFUNCTION("""COMPUTED_VALUE"""),"Washing")</f>
        <v>Washing</v>
      </c>
      <c r="K3056" s="6" t="str">
        <f>IFERROR(__xludf.DUMMYFUNCTION("""COMPUTED_VALUE"""),"SPR/26/01/027")</f>
        <v>SPR/26/01/027</v>
      </c>
      <c r="L3056" s="58">
        <f>IFERROR(__xludf.DUMMYFUNCTION("""COMPUTED_VALUE"""),46030.0)</f>
        <v>46030</v>
      </c>
    </row>
    <row r="3057">
      <c r="A3057" s="6" t="str">
        <f>IFERROR(__xludf.DUMMYFUNCTION("""COMPUTED_VALUE"""),"ROS")</f>
        <v>ROS</v>
      </c>
      <c r="B3057" s="6" t="str">
        <f>IFERROR(__xludf.DUMMYFUNCTION("""COMPUTED_VALUE"""),"ENG")</f>
        <v>ENG</v>
      </c>
      <c r="C3057" s="6" t="str">
        <f>IFERROR(__xludf.DUMMYFUNCTION("""COMPUTED_VALUE"""),"O-16030-00")</f>
        <v>O-16030-00</v>
      </c>
      <c r="D3057" s="6" t="str">
        <f>IFERROR(__xludf.DUMMYFUNCTION("""COMPUTED_VALUE"""),"001292; Item Type : Dry box; 97800 Y 8.5 E4 5; Material : CSM; Shape : 97; Size : 8.5; Thickness (mm; ; ;")</f>
        <v>001292; Item Type : Dry box; 97800 Y 8.5 E4 5; Material : CSM; Shape : 97; Size : 8.5; Thickness (mm; ; ;</v>
      </c>
      <c r="E3057" s="6">
        <f>IFERROR(__xludf.DUMMYFUNCTION("""COMPUTED_VALUE"""),2.0)</f>
        <v>2</v>
      </c>
      <c r="F3057" s="6">
        <f>IFERROR(__xludf.DUMMYFUNCTION("""COMPUTED_VALUE"""),2.0)</f>
        <v>2</v>
      </c>
      <c r="G3057" s="6">
        <f>IFERROR(__xludf.DUMMYFUNCTION("""COMPUTED_VALUE"""),0.0)</f>
        <v>0</v>
      </c>
      <c r="H3057" s="6" t="str">
        <f>IFERROR(__xludf.DUMMYFUNCTION("""COMPUTED_VALUE"""),"Pcs")</f>
        <v>Pcs</v>
      </c>
      <c r="I3057" s="6" t="str">
        <f>IFERROR(__xludf.DUMMYFUNCTION("""COMPUTED_VALUE"""),"MFH")</f>
        <v>MFH</v>
      </c>
      <c r="J3057" s="6" t="str">
        <f>IFERROR(__xludf.DUMMYFUNCTION("""COMPUTED_VALUE"""),"SKAN")</f>
        <v>SKAN</v>
      </c>
      <c r="K3057" s="6" t="str">
        <f>IFERROR(__xludf.DUMMYFUNCTION("""COMPUTED_VALUE"""),"SPR/26/01/028")</f>
        <v>SPR/26/01/028</v>
      </c>
      <c r="L3057" s="58">
        <f>IFERROR(__xludf.DUMMYFUNCTION("""COMPUTED_VALUE"""),46030.0)</f>
        <v>46030</v>
      </c>
    </row>
    <row r="3058">
      <c r="A3058" s="6" t="str">
        <f>IFERROR(__xludf.DUMMYFUNCTION("""COMPUTED_VALUE"""),"ROS")</f>
        <v>ROS</v>
      </c>
      <c r="B3058" s="6" t="str">
        <f>IFERROR(__xludf.DUMMYFUNCTION("""COMPUTED_VALUE"""),"ENG")</f>
        <v>ENG</v>
      </c>
      <c r="C3058" s="6" t="str">
        <f>IFERROR(__xludf.DUMMYFUNCTION("""COMPUTED_VALUE"""),"O-16032-00")</f>
        <v>O-16032-00</v>
      </c>
      <c r="D3058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058" s="6">
        <f>IFERROR(__xludf.DUMMYFUNCTION("""COMPUTED_VALUE"""),1.0)</f>
        <v>1</v>
      </c>
      <c r="F3058" s="6">
        <f>IFERROR(__xludf.DUMMYFUNCTION("""COMPUTED_VALUE"""),1.0)</f>
        <v>1</v>
      </c>
      <c r="G3058" s="6">
        <f>IFERROR(__xludf.DUMMYFUNCTION("""COMPUTED_VALUE"""),0.0)</f>
        <v>0</v>
      </c>
      <c r="H3058" s="6" t="str">
        <f>IFERROR(__xludf.DUMMYFUNCTION("""COMPUTED_VALUE"""),"Pcs")</f>
        <v>Pcs</v>
      </c>
      <c r="I3058" s="6" t="str">
        <f>IFERROR(__xludf.DUMMYFUNCTION("""COMPUTED_VALUE"""),"MFH")</f>
        <v>MFH</v>
      </c>
      <c r="J3058" s="6" t="str">
        <f>IFERROR(__xludf.DUMMYFUNCTION("""COMPUTED_VALUE"""),"cRABS")</f>
        <v>cRABS</v>
      </c>
      <c r="K3058" s="6" t="str">
        <f>IFERROR(__xludf.DUMMYFUNCTION("""COMPUTED_VALUE"""),"SPR/26/01/028")</f>
        <v>SPR/26/01/028</v>
      </c>
      <c r="L3058" s="58">
        <f>IFERROR(__xludf.DUMMYFUNCTION("""COMPUTED_VALUE"""),46030.0)</f>
        <v>46030</v>
      </c>
    </row>
    <row r="3059">
      <c r="A3059" s="6" t="str">
        <f>IFERROR(__xludf.DUMMYFUNCTION("""COMPUTED_VALUE"""),"ROS")</f>
        <v>ROS</v>
      </c>
      <c r="B3059" s="6" t="str">
        <f>IFERROR(__xludf.DUMMYFUNCTION("""COMPUTED_VALUE"""),"ENG")</f>
        <v>ENG</v>
      </c>
      <c r="C3059" s="6" t="str">
        <f>IFERROR(__xludf.DUMMYFUNCTION("""COMPUTED_VALUE"""),"P-20283-00")</f>
        <v>P-20283-00</v>
      </c>
      <c r="D3059" s="6" t="str">
        <f>IFERROR(__xludf.DUMMYFUNCTION("""COMPUTED_VALUE"""),"General - Filter Regulator AW30-03-A; SMC; -; 1 pc")</f>
        <v>General - Filter Regulator AW30-03-A; SMC; -; 1 pc</v>
      </c>
      <c r="E3059" s="6">
        <f>IFERROR(__xludf.DUMMYFUNCTION("""COMPUTED_VALUE"""),1.0)</f>
        <v>1</v>
      </c>
      <c r="F3059" s="6">
        <f>IFERROR(__xludf.DUMMYFUNCTION("""COMPUTED_VALUE"""),1.0)</f>
        <v>1</v>
      </c>
      <c r="G3059" s="6">
        <f>IFERROR(__xludf.DUMMYFUNCTION("""COMPUTED_VALUE"""),0.0)</f>
        <v>0</v>
      </c>
      <c r="H3059" s="6" t="str">
        <f>IFERROR(__xludf.DUMMYFUNCTION("""COMPUTED_VALUE"""),"Set")</f>
        <v>Set</v>
      </c>
      <c r="I3059" s="6" t="str">
        <f>IFERROR(__xludf.DUMMYFUNCTION("""COMPUTED_VALUE"""),"MFH")</f>
        <v>MFH</v>
      </c>
      <c r="J3059" s="6" t="str">
        <f>IFERROR(__xludf.DUMMYFUNCTION("""COMPUTED_VALUE"""),"Aerosol")</f>
        <v>Aerosol</v>
      </c>
      <c r="K3059" s="6" t="str">
        <f>IFERROR(__xludf.DUMMYFUNCTION("""COMPUTED_VALUE"""),"SPR/26/01/028")</f>
        <v>SPR/26/01/028</v>
      </c>
      <c r="L3059" s="58">
        <f>IFERROR(__xludf.DUMMYFUNCTION("""COMPUTED_VALUE"""),46030.0)</f>
        <v>46030</v>
      </c>
    </row>
    <row r="3060">
      <c r="A3060" s="6" t="str">
        <f>IFERROR(__xludf.DUMMYFUNCTION("""COMPUTED_VALUE"""),"ANO")</f>
        <v>ANO</v>
      </c>
      <c r="B3060" s="6" t="str">
        <f>IFERROR(__xludf.DUMMYFUNCTION("""COMPUTED_VALUE"""),"ENG")</f>
        <v>ENG</v>
      </c>
      <c r="C3060" s="6" t="str">
        <f>IFERROR(__xludf.DUMMYFUNCTION("""COMPUTED_VALUE"""),"T-20725-00")</f>
        <v>T-20725-00</v>
      </c>
      <c r="D3060" s="6" t="str">
        <f>IFERROR(__xludf.DUMMYFUNCTION("""COMPUTED_VALUE"""),"Performance Plus Check Valve Housing; Waters; 700002332;")</f>
        <v>Performance Plus Check Valve Housing; Waters; 700002332;</v>
      </c>
      <c r="E3060" s="6">
        <f>IFERROR(__xludf.DUMMYFUNCTION("""COMPUTED_VALUE"""),1.0)</f>
        <v>1</v>
      </c>
      <c r="F3060" s="6">
        <f>IFERROR(__xludf.DUMMYFUNCTION("""COMPUTED_VALUE"""),1.0)</f>
        <v>1</v>
      </c>
      <c r="G3060" s="6">
        <f>IFERROR(__xludf.DUMMYFUNCTION("""COMPUTED_VALUE"""),0.0)</f>
        <v>0</v>
      </c>
      <c r="H3060" s="6" t="str">
        <f>IFERROR(__xludf.DUMMYFUNCTION("""COMPUTED_VALUE"""),"Pcs")</f>
        <v>Pcs</v>
      </c>
      <c r="I3060" s="6" t="str">
        <f>IFERROR(__xludf.DUMMYFUNCTION("""COMPUTED_VALUE"""),"MFH")</f>
        <v>MFH</v>
      </c>
      <c r="J3060" s="6" t="str">
        <f>IFERROR(__xludf.DUMMYFUNCTION("""COMPUTED_VALUE"""),"HPLC")</f>
        <v>HPLC</v>
      </c>
      <c r="K3060" s="6" t="str">
        <f>IFERROR(__xludf.DUMMYFUNCTION("""COMPUTED_VALUE"""),"SPR/26/01/029")</f>
        <v>SPR/26/01/029</v>
      </c>
      <c r="L3060" s="58">
        <f>IFERROR(__xludf.DUMMYFUNCTION("""COMPUTED_VALUE"""),46030.0)</f>
        <v>46030</v>
      </c>
    </row>
    <row r="3061">
      <c r="A3061" s="6" t="str">
        <f>IFERROR(__xludf.DUMMYFUNCTION("""COMPUTED_VALUE"""),"ANO")</f>
        <v>ANO</v>
      </c>
      <c r="B3061" s="6" t="str">
        <f>IFERROR(__xludf.DUMMYFUNCTION("""COMPUTED_VALUE"""),"ENG")</f>
        <v>ENG</v>
      </c>
      <c r="C3061" s="6" t="str">
        <f>IFERROR(__xludf.DUMMYFUNCTION("""COMPUTED_VALUE"""),"-")</f>
        <v>-</v>
      </c>
      <c r="D3061" s="6" t="str">
        <f>IFERROR(__xludf.DUMMYFUNCTION("""COMPUTED_VALUE"""),"Check Valve Kecil")</f>
        <v>Check Valve Kecil</v>
      </c>
      <c r="E3061" s="6">
        <f>IFERROR(__xludf.DUMMYFUNCTION("""COMPUTED_VALUE"""),1.0)</f>
        <v>1</v>
      </c>
      <c r="F3061" s="6">
        <f>IFERROR(__xludf.DUMMYFUNCTION("""COMPUTED_VALUE"""),1.0)</f>
        <v>1</v>
      </c>
      <c r="G3061" s="6">
        <f>IFERROR(__xludf.DUMMYFUNCTION("""COMPUTED_VALUE"""),0.0)</f>
        <v>0</v>
      </c>
      <c r="H3061" s="6" t="str">
        <f>IFERROR(__xludf.DUMMYFUNCTION("""COMPUTED_VALUE"""),"Pcs")</f>
        <v>Pcs</v>
      </c>
      <c r="I3061" s="6" t="str">
        <f>IFERROR(__xludf.DUMMYFUNCTION("""COMPUTED_VALUE"""),"MFH")</f>
        <v>MFH</v>
      </c>
      <c r="J3061" s="6" t="str">
        <f>IFERROR(__xludf.DUMMYFUNCTION("""COMPUTED_VALUE"""),"HPLC")</f>
        <v>HPLC</v>
      </c>
      <c r="K3061" s="6" t="str">
        <f>IFERROR(__xludf.DUMMYFUNCTION("""COMPUTED_VALUE"""),"SPR/26/01/029")</f>
        <v>SPR/26/01/029</v>
      </c>
      <c r="L3061" s="58">
        <f>IFERROR(__xludf.DUMMYFUNCTION("""COMPUTED_VALUE"""),46030.0)</f>
        <v>46030</v>
      </c>
    </row>
    <row r="3062">
      <c r="A3062" s="6" t="str">
        <f>IFERROR(__xludf.DUMMYFUNCTION("""COMPUTED_VALUE"""),"NDS")</f>
        <v>NDS</v>
      </c>
      <c r="B3062" s="6" t="str">
        <f>IFERROR(__xludf.DUMMYFUNCTION("""COMPUTED_VALUE"""),"ENG")</f>
        <v>ENG</v>
      </c>
      <c r="C3062" s="6" t="str">
        <f>IFERROR(__xludf.DUMMYFUNCTION("""COMPUTED_VALUE"""),"P-20233-00")</f>
        <v>P-20233-00</v>
      </c>
      <c r="D3062" s="6" t="str">
        <f>IFERROR(__xludf.DUMMYFUNCTION("""COMPUTED_VALUE"""),"General - Baut + Mur Tembaga M10 x 20 Kunci 17; No Brand; -; 20pcs/pack")</f>
        <v>General - Baut + Mur Tembaga M10 x 20 Kunci 17; No Brand; -; 20pcs/pack</v>
      </c>
      <c r="E3062" s="6">
        <f>IFERROR(__xludf.DUMMYFUNCTION("""COMPUTED_VALUE"""),1.0)</f>
        <v>1</v>
      </c>
      <c r="F3062" s="6">
        <f>IFERROR(__xludf.DUMMYFUNCTION("""COMPUTED_VALUE"""),1.0)</f>
        <v>1</v>
      </c>
      <c r="G3062" s="6">
        <f>IFERROR(__xludf.DUMMYFUNCTION("""COMPUTED_VALUE"""),0.0)</f>
        <v>0</v>
      </c>
      <c r="H3062" s="6" t="str">
        <f>IFERROR(__xludf.DUMMYFUNCTION("""COMPUTED_VALUE"""),"Pcs")</f>
        <v>Pcs</v>
      </c>
      <c r="I3062" s="6" t="str">
        <f>IFERROR(__xludf.DUMMYFUNCTION("""COMPUTED_VALUE"""),"MFH")</f>
        <v>MFH</v>
      </c>
      <c r="J3062" s="6" t="str">
        <f>IFERROR(__xludf.DUMMYFUNCTION("""COMPUTED_VALUE"""),"Granulasi")</f>
        <v>Granulasi</v>
      </c>
      <c r="K3062" s="6" t="str">
        <f>IFERROR(__xludf.DUMMYFUNCTION("""COMPUTED_VALUE"""),"SPR/26/01/030")</f>
        <v>SPR/26/01/030</v>
      </c>
      <c r="L3062" s="58">
        <f>IFERROR(__xludf.DUMMYFUNCTION("""COMPUTED_VALUE"""),46030.0)</f>
        <v>46030</v>
      </c>
    </row>
    <row r="3063">
      <c r="A3063" s="6" t="str">
        <f>IFERROR(__xludf.DUMMYFUNCTION("""COMPUTED_VALUE"""),"NDS")</f>
        <v>NDS</v>
      </c>
      <c r="B3063" s="6" t="str">
        <f>IFERROR(__xludf.DUMMYFUNCTION("""COMPUTED_VALUE"""),"ENG")</f>
        <v>ENG</v>
      </c>
      <c r="C3063" s="6" t="str">
        <f>IFERROR(__xludf.DUMMYFUNCTION("""COMPUTED_VALUE"""),"P-20039-00")</f>
        <v>P-20039-00</v>
      </c>
      <c r="D3063" s="6" t="str">
        <f>IFERROR(__xludf.DUMMYFUNCTION("""COMPUTED_VALUE"""),"General - Baut Button Flange M5 x 10mm x 1.5mm; No Brand; -; 100pcs/pack")</f>
        <v>General - Baut Button Flange M5 x 10mm x 1.5mm; No Brand; -; 100pcs/pack</v>
      </c>
      <c r="E3063" s="6">
        <f>IFERROR(__xludf.DUMMYFUNCTION("""COMPUTED_VALUE"""),1.0)</f>
        <v>1</v>
      </c>
      <c r="F3063" s="6">
        <f>IFERROR(__xludf.DUMMYFUNCTION("""COMPUTED_VALUE"""),1.0)</f>
        <v>1</v>
      </c>
      <c r="G3063" s="6">
        <f>IFERROR(__xludf.DUMMYFUNCTION("""COMPUTED_VALUE"""),0.0)</f>
        <v>0</v>
      </c>
      <c r="H3063" s="6" t="str">
        <f>IFERROR(__xludf.DUMMYFUNCTION("""COMPUTED_VALUE"""),"Pcs")</f>
        <v>Pcs</v>
      </c>
      <c r="I3063" s="6" t="str">
        <f>IFERROR(__xludf.DUMMYFUNCTION("""COMPUTED_VALUE"""),"MFH")</f>
        <v>MFH</v>
      </c>
      <c r="J3063" s="6" t="str">
        <f>IFERROR(__xludf.DUMMYFUNCTION("""COMPUTED_VALUE"""),"Granulasi")</f>
        <v>Granulasi</v>
      </c>
      <c r="K3063" s="6" t="str">
        <f>IFERROR(__xludf.DUMMYFUNCTION("""COMPUTED_VALUE"""),"SPR/26/01/030")</f>
        <v>SPR/26/01/030</v>
      </c>
      <c r="L3063" s="58">
        <f>IFERROR(__xludf.DUMMYFUNCTION("""COMPUTED_VALUE"""),46030.0)</f>
        <v>46030</v>
      </c>
    </row>
    <row r="3064">
      <c r="A3064" s="6" t="str">
        <f>IFERROR(__xludf.DUMMYFUNCTION("""COMPUTED_VALUE"""),"BDU")</f>
        <v>BDU</v>
      </c>
      <c r="B3064" s="6" t="str">
        <f>IFERROR(__xludf.DUMMYFUNCTION("""COMPUTED_VALUE"""),"ENG")</f>
        <v>ENG</v>
      </c>
      <c r="C3064" s="6" t="str">
        <f>IFERROR(__xludf.DUMMYFUNCTION("""COMPUTED_VALUE"""),"P-50717-00")</f>
        <v>P-50717-00</v>
      </c>
      <c r="D3064" s="6" t="str">
        <f>IFERROR(__xludf.DUMMYFUNCTION("""COMPUTED_VALUE"""),"General - Kabel UTP 4 Pairs Cat 6; Belden; -; 305m/roll")</f>
        <v>General - Kabel UTP 4 Pairs Cat 6; Belden; -; 305m/roll</v>
      </c>
      <c r="E3064" s="6">
        <f>IFERROR(__xludf.DUMMYFUNCTION("""COMPUTED_VALUE"""),35.0)</f>
        <v>35</v>
      </c>
      <c r="F3064" s="6">
        <f>IFERROR(__xludf.DUMMYFUNCTION("""COMPUTED_VALUE"""),35.0)</f>
        <v>35</v>
      </c>
      <c r="G3064" s="6">
        <f>IFERROR(__xludf.DUMMYFUNCTION("""COMPUTED_VALUE"""),0.0)</f>
        <v>0</v>
      </c>
      <c r="H3064" s="6" t="str">
        <f>IFERROR(__xludf.DUMMYFUNCTION("""COMPUTED_VALUE"""),"Pcs")</f>
        <v>Pcs</v>
      </c>
      <c r="I3064" s="6" t="str">
        <f>IFERROR(__xludf.DUMMYFUNCTION("""COMPUTED_VALUE"""),"MFH")</f>
        <v>MFH</v>
      </c>
      <c r="J3064" s="6" t="str">
        <f>IFERROR(__xludf.DUMMYFUNCTION("""COMPUTED_VALUE"""),"Building")</f>
        <v>Building</v>
      </c>
      <c r="K3064" s="6" t="str">
        <f>IFERROR(__xludf.DUMMYFUNCTION("""COMPUTED_VALUE"""),"SPR/26/01/031")</f>
        <v>SPR/26/01/031</v>
      </c>
      <c r="L3064" s="58">
        <f>IFERROR(__xludf.DUMMYFUNCTION("""COMPUTED_VALUE"""),46030.0)</f>
        <v>46030</v>
      </c>
    </row>
    <row r="3065">
      <c r="A3065" s="6" t="str">
        <f>IFERROR(__xludf.DUMMYFUNCTION("""COMPUTED_VALUE"""),"BDU")</f>
        <v>BDU</v>
      </c>
      <c r="B3065" s="6" t="str">
        <f>IFERROR(__xludf.DUMMYFUNCTION("""COMPUTED_VALUE"""),"ENG")</f>
        <v>ENG</v>
      </c>
      <c r="C3065" s="6" t="str">
        <f>IFERROR(__xludf.DUMMYFUNCTION("""COMPUTED_VALUE"""),"P-50286-00")</f>
        <v>P-50286-00</v>
      </c>
      <c r="D3065" s="6" t="str">
        <f>IFERROR(__xludf.DUMMYFUNCTION("""COMPUTED_VALUE"""),"Kabel NYYHY 3 x 1,5 mm")</f>
        <v>Kabel NYYHY 3 x 1,5 mm</v>
      </c>
      <c r="E3065" s="6">
        <f>IFERROR(__xludf.DUMMYFUNCTION("""COMPUTED_VALUE"""),6.0)</f>
        <v>6</v>
      </c>
      <c r="F3065" s="6">
        <f>IFERROR(__xludf.DUMMYFUNCTION("""COMPUTED_VALUE"""),6.0)</f>
        <v>6</v>
      </c>
      <c r="G3065" s="6">
        <f>IFERROR(__xludf.DUMMYFUNCTION("""COMPUTED_VALUE"""),0.0)</f>
        <v>0</v>
      </c>
      <c r="H3065" s="6" t="str">
        <f>IFERROR(__xludf.DUMMYFUNCTION("""COMPUTED_VALUE"""),"Pcs")</f>
        <v>Pcs</v>
      </c>
      <c r="I3065" s="6" t="str">
        <f>IFERROR(__xludf.DUMMYFUNCTION("""COMPUTED_VALUE"""),"MFH")</f>
        <v>MFH</v>
      </c>
      <c r="J3065" s="6" t="str">
        <f>IFERROR(__xludf.DUMMYFUNCTION("""COMPUTED_VALUE"""),"Building")</f>
        <v>Building</v>
      </c>
      <c r="K3065" s="6" t="str">
        <f>IFERROR(__xludf.DUMMYFUNCTION("""COMPUTED_VALUE"""),"SPR/26/01/031")</f>
        <v>SPR/26/01/031</v>
      </c>
      <c r="L3065" s="58">
        <f>IFERROR(__xludf.DUMMYFUNCTION("""COMPUTED_VALUE"""),46030.0)</f>
        <v>46030</v>
      </c>
    </row>
    <row r="3066">
      <c r="A3066" s="6" t="str">
        <f>IFERROR(__xludf.DUMMYFUNCTION("""COMPUTED_VALUE"""),"BDU")</f>
        <v>BDU</v>
      </c>
      <c r="B3066" s="6" t="str">
        <f>IFERROR(__xludf.DUMMYFUNCTION("""COMPUTED_VALUE"""),"ENG")</f>
        <v>ENG</v>
      </c>
      <c r="C3066" s="6" t="str">
        <f>IFERROR(__xludf.DUMMYFUNCTION("""COMPUTED_VALUE"""),"O-54014-00")</f>
        <v>O-54014-00</v>
      </c>
      <c r="D3066" s="6" t="str">
        <f>IFERROR(__xludf.DUMMYFUNCTION("""COMPUTED_VALUE"""),"STEKER 1 PHASE, BROCO")</f>
        <v>STEKER 1 PHASE, BROCO</v>
      </c>
      <c r="E3066" s="6">
        <f>IFERROR(__xludf.DUMMYFUNCTION("""COMPUTED_VALUE"""),1.0)</f>
        <v>1</v>
      </c>
      <c r="F3066" s="6">
        <f>IFERROR(__xludf.DUMMYFUNCTION("""COMPUTED_VALUE"""),1.0)</f>
        <v>1</v>
      </c>
      <c r="G3066" s="6">
        <f>IFERROR(__xludf.DUMMYFUNCTION("""COMPUTED_VALUE"""),0.0)</f>
        <v>0</v>
      </c>
      <c r="H3066" s="6" t="str">
        <f>IFERROR(__xludf.DUMMYFUNCTION("""COMPUTED_VALUE"""),"Pcs")</f>
        <v>Pcs</v>
      </c>
      <c r="I3066" s="6" t="str">
        <f>IFERROR(__xludf.DUMMYFUNCTION("""COMPUTED_VALUE"""),"MFH")</f>
        <v>MFH</v>
      </c>
      <c r="J3066" s="6" t="str">
        <f>IFERROR(__xludf.DUMMYFUNCTION("""COMPUTED_VALUE"""),"Building")</f>
        <v>Building</v>
      </c>
      <c r="K3066" s="6" t="str">
        <f>IFERROR(__xludf.DUMMYFUNCTION("""COMPUTED_VALUE"""),"SPR/26/01/031")</f>
        <v>SPR/26/01/031</v>
      </c>
      <c r="L3066" s="58">
        <f>IFERROR(__xludf.DUMMYFUNCTION("""COMPUTED_VALUE"""),46030.0)</f>
        <v>46030</v>
      </c>
    </row>
    <row r="3067">
      <c r="A3067" s="6" t="str">
        <f>IFERROR(__xludf.DUMMYFUNCTION("""COMPUTED_VALUE"""),"MRN")</f>
        <v>MRN</v>
      </c>
      <c r="B3067" s="6" t="str">
        <f>IFERROR(__xludf.DUMMYFUNCTION("""COMPUTED_VALUE"""),"ENG")</f>
        <v>ENG</v>
      </c>
      <c r="C3067" s="6" t="str">
        <f>IFERROR(__xludf.DUMMYFUNCTION("""COMPUTED_VALUE"""),"Q-10128-00")</f>
        <v>Q-10128-00</v>
      </c>
      <c r="D3067" s="6" t="str">
        <f>IFERROR(__xludf.DUMMYFUNCTION("""COMPUTED_VALUE"""),"Thinner Super End/Impala")</f>
        <v>Thinner Super End/Impala</v>
      </c>
      <c r="E3067" s="6">
        <f>IFERROR(__xludf.DUMMYFUNCTION("""COMPUTED_VALUE"""),2.0)</f>
        <v>2</v>
      </c>
      <c r="F3067" s="6">
        <f>IFERROR(__xludf.DUMMYFUNCTION("""COMPUTED_VALUE"""),2.0)</f>
        <v>2</v>
      </c>
      <c r="G3067" s="6">
        <f>IFERROR(__xludf.DUMMYFUNCTION("""COMPUTED_VALUE"""),0.0)</f>
        <v>0</v>
      </c>
      <c r="H3067" s="6" t="str">
        <f>IFERROR(__xludf.DUMMYFUNCTION("""COMPUTED_VALUE"""),"Pcs")</f>
        <v>Pcs</v>
      </c>
      <c r="I3067" s="6" t="str">
        <f>IFERROR(__xludf.DUMMYFUNCTION("""COMPUTED_VALUE"""),"MFH")</f>
        <v>MFH</v>
      </c>
      <c r="J3067" s="6" t="str">
        <f>IFERROR(__xludf.DUMMYFUNCTION("""COMPUTED_VALUE"""),"Building")</f>
        <v>Building</v>
      </c>
      <c r="K3067" s="6" t="str">
        <f>IFERROR(__xludf.DUMMYFUNCTION("""COMPUTED_VALUE"""),"SPR/26/01/032")</f>
        <v>SPR/26/01/032</v>
      </c>
      <c r="L3067" s="58">
        <f>IFERROR(__xludf.DUMMYFUNCTION("""COMPUTED_VALUE"""),46030.0)</f>
        <v>46030</v>
      </c>
    </row>
    <row r="3068">
      <c r="A3068" s="6" t="str">
        <f>IFERROR(__xludf.DUMMYFUNCTION("""COMPUTED_VALUE"""),"MRN")</f>
        <v>MRN</v>
      </c>
      <c r="B3068" s="6" t="str">
        <f>IFERROR(__xludf.DUMMYFUNCTION("""COMPUTED_VALUE"""),"ENG")</f>
        <v>ENG</v>
      </c>
      <c r="C3068" s="6" t="str">
        <f>IFERROR(__xludf.DUMMYFUNCTION("""COMPUTED_VALUE"""),"Q-10153-00")</f>
        <v>Q-10153-00</v>
      </c>
      <c r="D3068" s="6" t="str">
        <f>IFERROR(__xludf.DUMMYFUNCTION("""COMPUTED_VALUE"""),"Kuas Cat Roller uk. 110 mm;No Brand;;pack size per set")</f>
        <v>Kuas Cat Roller uk. 110 mm;No Brand;;pack size per set</v>
      </c>
      <c r="E3068" s="6">
        <f>IFERROR(__xludf.DUMMYFUNCTION("""COMPUTED_VALUE"""),2.0)</f>
        <v>2</v>
      </c>
      <c r="F3068" s="6">
        <f>IFERROR(__xludf.DUMMYFUNCTION("""COMPUTED_VALUE"""),2.0)</f>
        <v>2</v>
      </c>
      <c r="G3068" s="6">
        <f>IFERROR(__xludf.DUMMYFUNCTION("""COMPUTED_VALUE"""),0.0)</f>
        <v>0</v>
      </c>
      <c r="H3068" s="6" t="str">
        <f>IFERROR(__xludf.DUMMYFUNCTION("""COMPUTED_VALUE"""),"Pcs")</f>
        <v>Pcs</v>
      </c>
      <c r="I3068" s="6" t="str">
        <f>IFERROR(__xludf.DUMMYFUNCTION("""COMPUTED_VALUE"""),"MFH")</f>
        <v>MFH</v>
      </c>
      <c r="J3068" s="6" t="str">
        <f>IFERROR(__xludf.DUMMYFUNCTION("""COMPUTED_VALUE"""),"Building")</f>
        <v>Building</v>
      </c>
      <c r="K3068" s="6" t="str">
        <f>IFERROR(__xludf.DUMMYFUNCTION("""COMPUTED_VALUE"""),"SPR/26/01/032")</f>
        <v>SPR/26/01/032</v>
      </c>
      <c r="L3068" s="58">
        <f>IFERROR(__xludf.DUMMYFUNCTION("""COMPUTED_VALUE"""),46030.0)</f>
        <v>46030</v>
      </c>
    </row>
    <row r="3069">
      <c r="A3069" s="6" t="str">
        <f>IFERROR(__xludf.DUMMYFUNCTION("""COMPUTED_VALUE"""),"MOB")</f>
        <v>MOB</v>
      </c>
      <c r="B3069" s="6" t="str">
        <f>IFERROR(__xludf.DUMMYFUNCTION("""COMPUTED_VALUE"""),"ENG")</f>
        <v>ENG</v>
      </c>
      <c r="C3069" s="6" t="str">
        <f>IFERROR(__xludf.DUMMYFUNCTION("""COMPUTED_VALUE"""),"P-10945-00")</f>
        <v>P-10945-00</v>
      </c>
      <c r="D3069" s="6" t="str">
        <f>IFERROR(__xludf.DUMMYFUNCTION("""COMPUTED_VALUE"""),"General - Seal Tape 1inch; ONDA; -; 1 Pcs")</f>
        <v>General - Seal Tape 1inch; ONDA; -; 1 Pcs</v>
      </c>
      <c r="E3069" s="6">
        <f>IFERROR(__xludf.DUMMYFUNCTION("""COMPUTED_VALUE"""),2.0)</f>
        <v>2</v>
      </c>
      <c r="F3069" s="6">
        <f>IFERROR(__xludf.DUMMYFUNCTION("""COMPUTED_VALUE"""),2.0)</f>
        <v>2</v>
      </c>
      <c r="G3069" s="6">
        <f>IFERROR(__xludf.DUMMYFUNCTION("""COMPUTED_VALUE"""),0.0)</f>
        <v>0</v>
      </c>
      <c r="H3069" s="6" t="str">
        <f>IFERROR(__xludf.DUMMYFUNCTION("""COMPUTED_VALUE"""),"Pcs")</f>
        <v>Pcs</v>
      </c>
      <c r="I3069" s="6" t="str">
        <f>IFERROR(__xludf.DUMMYFUNCTION("""COMPUTED_VALUE"""),"MFH")</f>
        <v>MFH</v>
      </c>
      <c r="J3069" s="6" t="str">
        <f>IFERROR(__xludf.DUMMYFUNCTION("""COMPUTED_VALUE"""),"-")</f>
        <v>-</v>
      </c>
      <c r="K3069" s="6" t="str">
        <f>IFERROR(__xludf.DUMMYFUNCTION("""COMPUTED_VALUE"""),"SPR/26/01/033")</f>
        <v>SPR/26/01/033</v>
      </c>
      <c r="L3069" s="58">
        <f>IFERROR(__xludf.DUMMYFUNCTION("""COMPUTED_VALUE"""),46030.0)</f>
        <v>46030</v>
      </c>
    </row>
    <row r="3070">
      <c r="A3070" s="6" t="str">
        <f>IFERROR(__xludf.DUMMYFUNCTION("""COMPUTED_VALUE"""),"BDU")</f>
        <v>BDU</v>
      </c>
      <c r="B3070" s="6" t="str">
        <f>IFERROR(__xludf.DUMMYFUNCTION("""COMPUTED_VALUE"""),"ENG")</f>
        <v>ENG</v>
      </c>
      <c r="C3070" s="6" t="str">
        <f>IFERROR(__xludf.DUMMYFUNCTION("""COMPUTED_VALUE"""),"O-54015-00")</f>
        <v>O-54015-00</v>
      </c>
      <c r="D3070" s="6" t="str">
        <f>IFERROR(__xludf.DUMMYFUNCTION("""COMPUTED_VALUE"""),"STOP KONTAK LUBANG 4, BROCO")</f>
        <v>STOP KONTAK LUBANG 4, BROCO</v>
      </c>
      <c r="E3070" s="6">
        <f>IFERROR(__xludf.DUMMYFUNCTION("""COMPUTED_VALUE"""),1.0)</f>
        <v>1</v>
      </c>
      <c r="F3070" s="6">
        <f>IFERROR(__xludf.DUMMYFUNCTION("""COMPUTED_VALUE"""),1.0)</f>
        <v>1</v>
      </c>
      <c r="G3070" s="6">
        <f>IFERROR(__xludf.DUMMYFUNCTION("""COMPUTED_VALUE"""),0.0)</f>
        <v>0</v>
      </c>
      <c r="H3070" s="6" t="str">
        <f>IFERROR(__xludf.DUMMYFUNCTION("""COMPUTED_VALUE"""),"Pcs")</f>
        <v>Pcs</v>
      </c>
      <c r="I3070" s="6" t="str">
        <f>IFERROR(__xludf.DUMMYFUNCTION("""COMPUTED_VALUE"""),"MFH")</f>
        <v>MFH</v>
      </c>
      <c r="J3070" s="6" t="str">
        <f>IFERROR(__xludf.DUMMYFUNCTION("""COMPUTED_VALUE"""),"Building")</f>
        <v>Building</v>
      </c>
      <c r="K3070" s="6" t="str">
        <f>IFERROR(__xludf.DUMMYFUNCTION("""COMPUTED_VALUE"""),"SPR/26/01/034")</f>
        <v>SPR/26/01/034</v>
      </c>
      <c r="L3070" s="58">
        <f>IFERROR(__xludf.DUMMYFUNCTION("""COMPUTED_VALUE"""),46030.0)</f>
        <v>46030</v>
      </c>
    </row>
    <row r="3071">
      <c r="A3071" s="6" t="str">
        <f>IFERROR(__xludf.DUMMYFUNCTION("""COMPUTED_VALUE"""),"ROS")</f>
        <v>ROS</v>
      </c>
      <c r="B3071" s="6" t="str">
        <f>IFERROR(__xludf.DUMMYFUNCTION("""COMPUTED_VALUE"""),"ENG")</f>
        <v>ENG</v>
      </c>
      <c r="C3071" s="6" t="str">
        <f>IFERROR(__xludf.DUMMYFUNCTION("""COMPUTED_VALUE"""),"O-16647-00")</f>
        <v>O-16647-00</v>
      </c>
      <c r="D3071" s="6" t="str">
        <f>IFERROR(__xludf.DUMMYFUNCTION("""COMPUTED_VALUE"""),"Washing RAR4 - Oring Silicone Merah 23x18x2.5 mm; ; ;")</f>
        <v>Washing RAR4 - Oring Silicone Merah 23x18x2.5 mm; ; ;</v>
      </c>
      <c r="E3071" s="6">
        <f>IFERROR(__xludf.DUMMYFUNCTION("""COMPUTED_VALUE"""),10.0)</f>
        <v>10</v>
      </c>
      <c r="F3071" s="6">
        <f>IFERROR(__xludf.DUMMYFUNCTION("""COMPUTED_VALUE"""),10.0)</f>
        <v>10</v>
      </c>
      <c r="G3071" s="6">
        <f>IFERROR(__xludf.DUMMYFUNCTION("""COMPUTED_VALUE"""),0.0)</f>
        <v>0</v>
      </c>
      <c r="H3071" s="6" t="str">
        <f>IFERROR(__xludf.DUMMYFUNCTION("""COMPUTED_VALUE"""),"Pcs")</f>
        <v>Pcs</v>
      </c>
      <c r="I3071" s="6" t="str">
        <f>IFERROR(__xludf.DUMMYFUNCTION("""COMPUTED_VALUE"""),"MFH")</f>
        <v>MFH</v>
      </c>
      <c r="J3071" s="6" t="str">
        <f>IFERROR(__xludf.DUMMYFUNCTION("""COMPUTED_VALUE"""),"Capping")</f>
        <v>Capping</v>
      </c>
      <c r="K3071" s="6" t="str">
        <f>IFERROR(__xludf.DUMMYFUNCTION("""COMPUTED_VALUE"""),"SPR/26/01/035")</f>
        <v>SPR/26/01/035</v>
      </c>
      <c r="L3071" s="58">
        <f>IFERROR(__xludf.DUMMYFUNCTION("""COMPUTED_VALUE"""),46030.0)</f>
        <v>46030</v>
      </c>
    </row>
    <row r="3072">
      <c r="A3072" s="6" t="str">
        <f>IFERROR(__xludf.DUMMYFUNCTION("""COMPUTED_VALUE"""),"EPO")</f>
        <v>EPO</v>
      </c>
      <c r="B3072" s="6" t="str">
        <f>IFERROR(__xludf.DUMMYFUNCTION("""COMPUTED_VALUE"""),"QCC")</f>
        <v>QCC</v>
      </c>
      <c r="C3072" s="6" t="str">
        <f>IFERROR(__xludf.DUMMYFUNCTION("""COMPUTED_VALUE"""),"P-12077-00")</f>
        <v>P-12077-00</v>
      </c>
      <c r="D3072" s="6" t="str">
        <f>IFERROR(__xludf.DUMMYFUNCTION("""COMPUTED_VALUE"""),"General - Clamp Selang, SS 1 1/4""; Tridon; -; 1 pcs")</f>
        <v>General - Clamp Selang, SS 1 1/4"; Tridon; -; 1 pcs</v>
      </c>
      <c r="E3072" s="6">
        <f>IFERROR(__xludf.DUMMYFUNCTION("""COMPUTED_VALUE"""),1.0)</f>
        <v>1</v>
      </c>
      <c r="F3072" s="6">
        <f>IFERROR(__xludf.DUMMYFUNCTION("""COMPUTED_VALUE"""),2.0)</f>
        <v>2</v>
      </c>
      <c r="G3072" s="6">
        <f>IFERROR(__xludf.DUMMYFUNCTION("""COMPUTED_VALUE"""),0.0)</f>
        <v>0</v>
      </c>
      <c r="H3072" s="6" t="str">
        <f>IFERROR(__xludf.DUMMYFUNCTION("""COMPUTED_VALUE"""),"Pcs")</f>
        <v>Pcs</v>
      </c>
      <c r="I3072" s="6" t="str">
        <f>IFERROR(__xludf.DUMMYFUNCTION("""COMPUTED_VALUE"""),"MFH")</f>
        <v>MFH</v>
      </c>
      <c r="J3072" s="6" t="str">
        <f>IFERROR(__xludf.DUMMYFUNCTION("""COMPUTED_VALUE"""),"-")</f>
        <v>-</v>
      </c>
      <c r="K3072" s="6" t="str">
        <f>IFERROR(__xludf.DUMMYFUNCTION("""COMPUTED_VALUE"""),"SPR/26/01/036")</f>
        <v>SPR/26/01/036</v>
      </c>
      <c r="L3072" s="58">
        <f>IFERROR(__xludf.DUMMYFUNCTION("""COMPUTED_VALUE"""),46030.0)</f>
        <v>46030</v>
      </c>
    </row>
    <row r="3073">
      <c r="A3073" s="6" t="str">
        <f>IFERROR(__xludf.DUMMYFUNCTION("""COMPUTED_VALUE"""),"MRN")</f>
        <v>MRN</v>
      </c>
      <c r="B3073" s="6" t="str">
        <f>IFERROR(__xludf.DUMMYFUNCTION("""COMPUTED_VALUE"""),"ENG")</f>
        <v>ENG</v>
      </c>
      <c r="C3073" s="6" t="str">
        <f>IFERROR(__xludf.DUMMYFUNCTION("""COMPUTED_VALUE"""),"Q-60025-00")</f>
        <v>Q-60025-00</v>
      </c>
      <c r="D3073" s="6" t="str">
        <f>IFERROR(__xludf.DUMMYFUNCTION("""COMPUTED_VALUE"""),"Kuas Eterna 1")</f>
        <v>Kuas Eterna 1</v>
      </c>
      <c r="E3073" s="6">
        <f>IFERROR(__xludf.DUMMYFUNCTION("""COMPUTED_VALUE"""),5.0)</f>
        <v>5</v>
      </c>
      <c r="F3073" s="6">
        <f>IFERROR(__xludf.DUMMYFUNCTION("""COMPUTED_VALUE"""),5.0)</f>
        <v>5</v>
      </c>
      <c r="G3073" s="6">
        <f>IFERROR(__xludf.DUMMYFUNCTION("""COMPUTED_VALUE"""),0.0)</f>
        <v>0</v>
      </c>
      <c r="H3073" s="6" t="str">
        <f>IFERROR(__xludf.DUMMYFUNCTION("""COMPUTED_VALUE"""),"Pcs")</f>
        <v>Pcs</v>
      </c>
      <c r="I3073" s="6" t="str">
        <f>IFERROR(__xludf.DUMMYFUNCTION("""COMPUTED_VALUE"""),"MFH")</f>
        <v>MFH</v>
      </c>
      <c r="J3073" s="6" t="str">
        <f>IFERROR(__xludf.DUMMYFUNCTION("""COMPUTED_VALUE"""),"Building")</f>
        <v>Building</v>
      </c>
      <c r="K3073" s="6" t="str">
        <f>IFERROR(__xludf.DUMMYFUNCTION("""COMPUTED_VALUE"""),"SPR/26/01/037")</f>
        <v>SPR/26/01/037</v>
      </c>
      <c r="L3073" s="58">
        <f>IFERROR(__xludf.DUMMYFUNCTION("""COMPUTED_VALUE"""),46030.0)</f>
        <v>46030</v>
      </c>
    </row>
    <row r="3074">
      <c r="A3074" s="6" t="str">
        <f>IFERROR(__xludf.DUMMYFUNCTION("""COMPUTED_VALUE"""),"MRN")</f>
        <v>MRN</v>
      </c>
      <c r="B3074" s="6" t="str">
        <f>IFERROR(__xludf.DUMMYFUNCTION("""COMPUTED_VALUE"""),"ENG")</f>
        <v>ENG</v>
      </c>
      <c r="C3074" s="6" t="str">
        <f>IFERROR(__xludf.DUMMYFUNCTION("""COMPUTED_VALUE"""),"Q-10154-00")</f>
        <v>Q-10154-00</v>
      </c>
      <c r="D3074" s="6" t="str">
        <f>IFERROR(__xludf.DUMMYFUNCTION("""COMPUTED_VALUE"""),"Roller cat 230mm")</f>
        <v>Roller cat 230mm</v>
      </c>
      <c r="E3074" s="6">
        <f>IFERROR(__xludf.DUMMYFUNCTION("""COMPUTED_VALUE"""),5.0)</f>
        <v>5</v>
      </c>
      <c r="F3074" s="6">
        <f>IFERROR(__xludf.DUMMYFUNCTION("""COMPUTED_VALUE"""),5.0)</f>
        <v>5</v>
      </c>
      <c r="G3074" s="6">
        <f>IFERROR(__xludf.DUMMYFUNCTION("""COMPUTED_VALUE"""),0.0)</f>
        <v>0</v>
      </c>
      <c r="H3074" s="6" t="str">
        <f>IFERROR(__xludf.DUMMYFUNCTION("""COMPUTED_VALUE"""),"Pcs")</f>
        <v>Pcs</v>
      </c>
      <c r="I3074" s="6" t="str">
        <f>IFERROR(__xludf.DUMMYFUNCTION("""COMPUTED_VALUE"""),"MFH")</f>
        <v>MFH</v>
      </c>
      <c r="J3074" s="6" t="str">
        <f>IFERROR(__xludf.DUMMYFUNCTION("""COMPUTED_VALUE"""),"Building")</f>
        <v>Building</v>
      </c>
      <c r="K3074" s="6" t="str">
        <f>IFERROR(__xludf.DUMMYFUNCTION("""COMPUTED_VALUE"""),"SPR/26/01/037")</f>
        <v>SPR/26/01/037</v>
      </c>
      <c r="L3074" s="58">
        <f>IFERROR(__xludf.DUMMYFUNCTION("""COMPUTED_VALUE"""),46030.0)</f>
        <v>46030</v>
      </c>
    </row>
    <row r="3075">
      <c r="A3075" s="6" t="str">
        <f>IFERROR(__xludf.DUMMYFUNCTION("""COMPUTED_VALUE"""),"ANO")</f>
        <v>ANO</v>
      </c>
      <c r="B3075" s="6" t="str">
        <f>IFERROR(__xludf.DUMMYFUNCTION("""COMPUTED_VALUE"""),"ENG")</f>
        <v>ENG</v>
      </c>
      <c r="C3075" s="6" t="str">
        <f>IFERROR(__xludf.DUMMYFUNCTION("""COMPUTED_VALUE"""),"T-20055-00")</f>
        <v>T-20055-00</v>
      </c>
      <c r="D3075" s="6" t="str">
        <f>IFERROR(__xludf.DUMMYFUNCTION("""COMPUTED_VALUE"""),"PerformancePlus Check Valve Cartridge; Waters; p/n 700002399")</f>
        <v>PerformancePlus Check Valve Cartridge; Waters; p/n 700002399</v>
      </c>
      <c r="E3075" s="6">
        <f>IFERROR(__xludf.DUMMYFUNCTION("""COMPUTED_VALUE"""),1.0)</f>
        <v>1</v>
      </c>
      <c r="F3075" s="6">
        <f>IFERROR(__xludf.DUMMYFUNCTION("""COMPUTED_VALUE"""),1.0)</f>
        <v>1</v>
      </c>
      <c r="G3075" s="6">
        <f>IFERROR(__xludf.DUMMYFUNCTION("""COMPUTED_VALUE"""),0.0)</f>
        <v>0</v>
      </c>
      <c r="H3075" s="6" t="str">
        <f>IFERROR(__xludf.DUMMYFUNCTION("""COMPUTED_VALUE"""),"Pcs")</f>
        <v>Pcs</v>
      </c>
      <c r="I3075" s="6" t="str">
        <f>IFERROR(__xludf.DUMMYFUNCTION("""COMPUTED_VALUE"""),"MFH")</f>
        <v>MFH</v>
      </c>
      <c r="J3075" s="6" t="str">
        <f>IFERROR(__xludf.DUMMYFUNCTION("""COMPUTED_VALUE"""),"HPLC")</f>
        <v>HPLC</v>
      </c>
      <c r="K3075" s="6" t="str">
        <f>IFERROR(__xludf.DUMMYFUNCTION("""COMPUTED_VALUE"""),"SPR/26/01/038")</f>
        <v>SPR/26/01/038</v>
      </c>
      <c r="L3075" s="58">
        <f>IFERROR(__xludf.DUMMYFUNCTION("""COMPUTED_VALUE"""),46030.0)</f>
        <v>46030</v>
      </c>
    </row>
    <row r="3076">
      <c r="A3076" s="6" t="str">
        <f>IFERROR(__xludf.DUMMYFUNCTION("""COMPUTED_VALUE"""),"ANO")</f>
        <v>ANO</v>
      </c>
      <c r="B3076" s="6" t="str">
        <f>IFERROR(__xludf.DUMMYFUNCTION("""COMPUTED_VALUE"""),"ENG")</f>
        <v>ENG</v>
      </c>
      <c r="C3076" s="6" t="str">
        <f>IFERROR(__xludf.DUMMYFUNCTION("""COMPUTED_VALUE"""),"P-10945-00")</f>
        <v>P-10945-00</v>
      </c>
      <c r="D3076" s="6" t="str">
        <f>IFERROR(__xludf.DUMMYFUNCTION("""COMPUTED_VALUE"""),"General - Seal Tape 1inch; ONDA; -; 1 Pcs")</f>
        <v>General - Seal Tape 1inch; ONDA; -; 1 Pcs</v>
      </c>
      <c r="E3076" s="6">
        <f>IFERROR(__xludf.DUMMYFUNCTION("""COMPUTED_VALUE"""),1.0)</f>
        <v>1</v>
      </c>
      <c r="F3076" s="6">
        <f>IFERROR(__xludf.DUMMYFUNCTION("""COMPUTED_VALUE"""),1.0)</f>
        <v>1</v>
      </c>
      <c r="G3076" s="6">
        <f>IFERROR(__xludf.DUMMYFUNCTION("""COMPUTED_VALUE"""),0.0)</f>
        <v>0</v>
      </c>
      <c r="H3076" s="6" t="str">
        <f>IFERROR(__xludf.DUMMYFUNCTION("""COMPUTED_VALUE"""),"Pcs")</f>
        <v>Pcs</v>
      </c>
      <c r="I3076" s="6" t="str">
        <f>IFERROR(__xludf.DUMMYFUNCTION("""COMPUTED_VALUE"""),"MFH")</f>
        <v>MFH</v>
      </c>
      <c r="J3076" s="6" t="str">
        <f>IFERROR(__xludf.DUMMYFUNCTION("""COMPUTED_VALUE"""),"Aerosol")</f>
        <v>Aerosol</v>
      </c>
      <c r="K3076" s="6" t="str">
        <f>IFERROR(__xludf.DUMMYFUNCTION("""COMPUTED_VALUE"""),"SPR/26/01/038")</f>
        <v>SPR/26/01/038</v>
      </c>
      <c r="L3076" s="58">
        <f>IFERROR(__xludf.DUMMYFUNCTION("""COMPUTED_VALUE"""),46030.0)</f>
        <v>46030</v>
      </c>
    </row>
    <row r="3077">
      <c r="A3077" s="6" t="str">
        <f>IFERROR(__xludf.DUMMYFUNCTION("""COMPUTED_VALUE"""),"ROS")</f>
        <v>ROS</v>
      </c>
      <c r="B3077" s="6" t="str">
        <f>IFERROR(__xludf.DUMMYFUNCTION("""COMPUTED_VALUE"""),"ENG")</f>
        <v>ENG</v>
      </c>
      <c r="C3077" s="6" t="str">
        <f>IFERROR(__xludf.DUMMYFUNCTION("""COMPUTED_VALUE"""),"P-10945-00")</f>
        <v>P-10945-00</v>
      </c>
      <c r="D3077" s="6" t="str">
        <f>IFERROR(__xludf.DUMMYFUNCTION("""COMPUTED_VALUE"""),"General - Seal Tape 1inch; ONDA; -; 1 Pcs")</f>
        <v>General - Seal Tape 1inch; ONDA; -; 1 Pcs</v>
      </c>
      <c r="E3077" s="6">
        <f>IFERROR(__xludf.DUMMYFUNCTION("""COMPUTED_VALUE"""),1.0)</f>
        <v>1</v>
      </c>
      <c r="F3077" s="6">
        <f>IFERROR(__xludf.DUMMYFUNCTION("""COMPUTED_VALUE"""),1.0)</f>
        <v>1</v>
      </c>
      <c r="G3077" s="6">
        <f>IFERROR(__xludf.DUMMYFUNCTION("""COMPUTED_VALUE"""),0.0)</f>
        <v>0</v>
      </c>
      <c r="H3077" s="6" t="str">
        <f>IFERROR(__xludf.DUMMYFUNCTION("""COMPUTED_VALUE"""),"Pcs")</f>
        <v>Pcs</v>
      </c>
      <c r="I3077" s="6" t="str">
        <f>IFERROR(__xludf.DUMMYFUNCTION("""COMPUTED_VALUE"""),"MFH")</f>
        <v>MFH</v>
      </c>
      <c r="J3077" s="6" t="str">
        <f>IFERROR(__xludf.DUMMYFUNCTION("""COMPUTED_VALUE"""),"Aerosol")</f>
        <v>Aerosol</v>
      </c>
      <c r="K3077" s="6" t="str">
        <f>IFERROR(__xludf.DUMMYFUNCTION("""COMPUTED_VALUE"""),"SPR/26/01/039")</f>
        <v>SPR/26/01/039</v>
      </c>
      <c r="L3077" s="58">
        <f>IFERROR(__xludf.DUMMYFUNCTION("""COMPUTED_VALUE"""),46030.0)</f>
        <v>46030</v>
      </c>
    </row>
    <row r="3078">
      <c r="A3078" s="6" t="str">
        <f>IFERROR(__xludf.DUMMYFUNCTION("""COMPUTED_VALUE"""),"ROS")</f>
        <v>ROS</v>
      </c>
      <c r="B3078" s="6" t="str">
        <f>IFERROR(__xludf.DUMMYFUNCTION("""COMPUTED_VALUE"""),"ENG")</f>
        <v>ENG</v>
      </c>
      <c r="C3078" s="6" t="str">
        <f>IFERROR(__xludf.DUMMYFUNCTION("""COMPUTED_VALUE"""),"O-16647-00")</f>
        <v>O-16647-00</v>
      </c>
      <c r="D3078" s="6" t="str">
        <f>IFERROR(__xludf.DUMMYFUNCTION("""COMPUTED_VALUE"""),"Washing RAR4 - Oring Silicone Merah 23x18x2.5 mm; ; ;")</f>
        <v>Washing RAR4 - Oring Silicone Merah 23x18x2.5 mm; ; ;</v>
      </c>
      <c r="E3078" s="6">
        <f>IFERROR(__xludf.DUMMYFUNCTION("""COMPUTED_VALUE"""),10.0)</f>
        <v>10</v>
      </c>
      <c r="F3078" s="6">
        <f>IFERROR(__xludf.DUMMYFUNCTION("""COMPUTED_VALUE"""),10.0)</f>
        <v>10</v>
      </c>
      <c r="G3078" s="6">
        <f>IFERROR(__xludf.DUMMYFUNCTION("""COMPUTED_VALUE"""),0.0)</f>
        <v>0</v>
      </c>
      <c r="H3078" s="6" t="str">
        <f>IFERROR(__xludf.DUMMYFUNCTION("""COMPUTED_VALUE"""),"Pcs")</f>
        <v>Pcs</v>
      </c>
      <c r="I3078" s="6" t="str">
        <f>IFERROR(__xludf.DUMMYFUNCTION("""COMPUTED_VALUE"""),"MFH")</f>
        <v>MFH</v>
      </c>
      <c r="J3078" s="6" t="str">
        <f>IFERROR(__xludf.DUMMYFUNCTION("""COMPUTED_VALUE"""),"Capping")</f>
        <v>Capping</v>
      </c>
      <c r="K3078" s="6" t="str">
        <f>IFERROR(__xludf.DUMMYFUNCTION("""COMPUTED_VALUE"""),"SPR/26/01/039")</f>
        <v>SPR/26/01/039</v>
      </c>
      <c r="L3078" s="58">
        <f>IFERROR(__xludf.DUMMYFUNCTION("""COMPUTED_VALUE"""),46030.0)</f>
        <v>46030</v>
      </c>
    </row>
    <row r="3079">
      <c r="A3079" s="6" t="str">
        <f>IFERROR(__xludf.DUMMYFUNCTION("""COMPUTED_VALUE"""),"ROS")</f>
        <v>ROS</v>
      </c>
      <c r="B3079" s="6" t="str">
        <f>IFERROR(__xludf.DUMMYFUNCTION("""COMPUTED_VALUE"""),"ENG")</f>
        <v>ENG</v>
      </c>
      <c r="C3079" s="6" t="str">
        <f>IFERROR(__xludf.DUMMYFUNCTION("""COMPUTED_VALUE"""),"O-18870-00")</f>
        <v>O-18870-00</v>
      </c>
      <c r="D3079" s="6" t="str">
        <f>IFERROR(__xludf.DUMMYFUNCTION("""COMPUTED_VALUE"""),"Oring Silicone Merah 18.4x13x2.7 mm; ; ;")</f>
        <v>Oring Silicone Merah 18.4x13x2.7 mm; ; ;</v>
      </c>
      <c r="E3079" s="6">
        <f>IFERROR(__xludf.DUMMYFUNCTION("""COMPUTED_VALUE"""),2.0)</f>
        <v>2</v>
      </c>
      <c r="F3079" s="6">
        <f>IFERROR(__xludf.DUMMYFUNCTION("""COMPUTED_VALUE"""),2.0)</f>
        <v>2</v>
      </c>
      <c r="G3079" s="6">
        <f>IFERROR(__xludf.DUMMYFUNCTION("""COMPUTED_VALUE"""),0.0)</f>
        <v>0</v>
      </c>
      <c r="H3079" s="6" t="str">
        <f>IFERROR(__xludf.DUMMYFUNCTION("""COMPUTED_VALUE"""),"Pcs")</f>
        <v>Pcs</v>
      </c>
      <c r="I3079" s="6" t="str">
        <f>IFERROR(__xludf.DUMMYFUNCTION("""COMPUTED_VALUE"""),"MFH")</f>
        <v>MFH</v>
      </c>
      <c r="J3079" s="6" t="str">
        <f>IFERROR(__xludf.DUMMYFUNCTION("""COMPUTED_VALUE"""),"Filling")</f>
        <v>Filling</v>
      </c>
      <c r="K3079" s="6" t="str">
        <f>IFERROR(__xludf.DUMMYFUNCTION("""COMPUTED_VALUE"""),"SPR/26/01/039")</f>
        <v>SPR/26/01/039</v>
      </c>
      <c r="L3079" s="58">
        <f>IFERROR(__xludf.DUMMYFUNCTION("""COMPUTED_VALUE"""),46030.0)</f>
        <v>46030</v>
      </c>
    </row>
    <row r="3080">
      <c r="A3080" s="6" t="str">
        <f>IFERROR(__xludf.DUMMYFUNCTION("""COMPUTED_VALUE"""),"AAA")</f>
        <v>AAA</v>
      </c>
      <c r="B3080" s="6" t="str">
        <f>IFERROR(__xludf.DUMMYFUNCTION("""COMPUTED_VALUE"""),"ENG")</f>
        <v>ENG</v>
      </c>
      <c r="C3080" s="6" t="str">
        <f>IFERROR(__xludf.DUMMYFUNCTION("""COMPUTED_VALUE"""),"O-20487-00")</f>
        <v>O-20487-00</v>
      </c>
      <c r="D3080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080" s="6">
        <f>IFERROR(__xludf.DUMMYFUNCTION("""COMPUTED_VALUE"""),2.0)</f>
        <v>2</v>
      </c>
      <c r="F3080" s="6">
        <f>IFERROR(__xludf.DUMMYFUNCTION("""COMPUTED_VALUE"""),2.0)</f>
        <v>2</v>
      </c>
      <c r="G3080" s="6">
        <f>IFERROR(__xludf.DUMMYFUNCTION("""COMPUTED_VALUE"""),0.0)</f>
        <v>0</v>
      </c>
      <c r="H3080" s="6" t="str">
        <f>IFERROR(__xludf.DUMMYFUNCTION("""COMPUTED_VALUE"""),"Pcs")</f>
        <v>Pcs</v>
      </c>
      <c r="I3080" s="6" t="str">
        <f>IFERROR(__xludf.DUMMYFUNCTION("""COMPUTED_VALUE"""),"MFH")</f>
        <v>MFH</v>
      </c>
      <c r="J3080" s="6" t="str">
        <f>IFERROR(__xludf.DUMMYFUNCTION("""COMPUTED_VALUE"""),"cRABS")</f>
        <v>cRABS</v>
      </c>
      <c r="K3080" s="6" t="str">
        <f>IFERROR(__xludf.DUMMYFUNCTION("""COMPUTED_VALUE"""),"SPR/26/01/040")</f>
        <v>SPR/26/01/040</v>
      </c>
      <c r="L3080" s="58">
        <f>IFERROR(__xludf.DUMMYFUNCTION("""COMPUTED_VALUE"""),46030.0)</f>
        <v>46030</v>
      </c>
    </row>
    <row r="3081">
      <c r="A3081" s="6" t="str">
        <f>IFERROR(__xludf.DUMMYFUNCTION("""COMPUTED_VALUE"""),"ROS")</f>
        <v>ROS</v>
      </c>
      <c r="B3081" s="6" t="str">
        <f>IFERROR(__xludf.DUMMYFUNCTION("""COMPUTED_VALUE"""),"ENG")</f>
        <v>ENG</v>
      </c>
      <c r="C3081" s="6" t="str">
        <f>IFERROR(__xludf.DUMMYFUNCTION("""COMPUTED_VALUE"""),"O-53454-00")</f>
        <v>O-53454-00</v>
      </c>
      <c r="D3081" s="6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E3081" s="6">
        <f>IFERROR(__xludf.DUMMYFUNCTION("""COMPUTED_VALUE"""),1.0)</f>
        <v>1</v>
      </c>
      <c r="F3081" s="6">
        <f>IFERROR(__xludf.DUMMYFUNCTION("""COMPUTED_VALUE"""),1.0)</f>
        <v>1</v>
      </c>
      <c r="G3081" s="6">
        <f>IFERROR(__xludf.DUMMYFUNCTION("""COMPUTED_VALUE"""),0.0)</f>
        <v>0</v>
      </c>
      <c r="H3081" s="6" t="str">
        <f>IFERROR(__xludf.DUMMYFUNCTION("""COMPUTED_VALUE"""),"Pcs")</f>
        <v>Pcs</v>
      </c>
      <c r="I3081" s="6" t="str">
        <f>IFERROR(__xludf.DUMMYFUNCTION("""COMPUTED_VALUE"""),"MFH")</f>
        <v>MFH</v>
      </c>
      <c r="J3081" s="6" t="str">
        <f>IFERROR(__xludf.DUMMYFUNCTION("""COMPUTED_VALUE"""),"Coating")</f>
        <v>Coating</v>
      </c>
      <c r="K3081" s="6" t="str">
        <f>IFERROR(__xludf.DUMMYFUNCTION("""COMPUTED_VALUE"""),"SPR/26/01/041")</f>
        <v>SPR/26/01/041</v>
      </c>
      <c r="L3081" s="58">
        <f>IFERROR(__xludf.DUMMYFUNCTION("""COMPUTED_VALUE"""),46030.0)</f>
        <v>46030</v>
      </c>
    </row>
    <row r="3082">
      <c r="A3082" s="6" t="str">
        <f>IFERROR(__xludf.DUMMYFUNCTION("""COMPUTED_VALUE"""),"SFH")</f>
        <v>SFH</v>
      </c>
      <c r="B3082" s="6" t="str">
        <f>IFERROR(__xludf.DUMMYFUNCTION("""COMPUTED_VALUE"""),"ENG")</f>
        <v>ENG</v>
      </c>
      <c r="C3082" s="6" t="str">
        <f>IFERROR(__xludf.DUMMYFUNCTION("""COMPUTED_VALUE"""),"O-15931-00")</f>
        <v>O-15931-00</v>
      </c>
      <c r="D3082" s="6" t="str">
        <f>IFERROR(__xludf.DUMMYFUNCTION("""COMPUTED_VALUE"""),"Double Tape 3M 1"" Merah - P/N : - pc")</f>
        <v>Double Tape 3M 1" Merah - P/N : - pc</v>
      </c>
      <c r="E3082" s="6">
        <f>IFERROR(__xludf.DUMMYFUNCTION("""COMPUTED_VALUE"""),1.0)</f>
        <v>1</v>
      </c>
      <c r="F3082" s="6">
        <f>IFERROR(__xludf.DUMMYFUNCTION("""COMPUTED_VALUE"""),1.0)</f>
        <v>1</v>
      </c>
      <c r="G3082" s="6">
        <f>IFERROR(__xludf.DUMMYFUNCTION("""COMPUTED_VALUE"""),0.0)</f>
        <v>0</v>
      </c>
      <c r="H3082" s="6" t="str">
        <f>IFERROR(__xludf.DUMMYFUNCTION("""COMPUTED_VALUE"""),"Pcs")</f>
        <v>Pcs</v>
      </c>
      <c r="I3082" s="6" t="str">
        <f>IFERROR(__xludf.DUMMYFUNCTION("""COMPUTED_VALUE"""),"MFH")</f>
        <v>MFH</v>
      </c>
      <c r="J3082" s="6" t="str">
        <f>IFERROR(__xludf.DUMMYFUNCTION("""COMPUTED_VALUE"""),"Building")</f>
        <v>Building</v>
      </c>
      <c r="K3082" s="6" t="str">
        <f>IFERROR(__xludf.DUMMYFUNCTION("""COMPUTED_VALUE"""),"SPR/26/01/042")</f>
        <v>SPR/26/01/042</v>
      </c>
      <c r="L3082" s="58">
        <f>IFERROR(__xludf.DUMMYFUNCTION("""COMPUTED_VALUE"""),46030.0)</f>
        <v>46030</v>
      </c>
    </row>
    <row r="3083">
      <c r="A3083" s="6" t="str">
        <f>IFERROR(__xludf.DUMMYFUNCTION("""COMPUTED_VALUE"""),"SFH")</f>
        <v>SFH</v>
      </c>
      <c r="B3083" s="6" t="str">
        <f>IFERROR(__xludf.DUMMYFUNCTION("""COMPUTED_VALUE"""),"ENG")</f>
        <v>ENG</v>
      </c>
      <c r="C3083" s="6" t="str">
        <f>IFERROR(__xludf.DUMMYFUNCTION("""COMPUTED_VALUE"""),"P-51559-00")</f>
        <v>P-51559-00</v>
      </c>
      <c r="D3083" s="6" t="str">
        <f>IFERROR(__xludf.DUMMYFUNCTION("""COMPUTED_VALUE"""),"Lampu T5 14watt Putih; Phillips; ;")</f>
        <v>Lampu T5 14watt Putih; Phillips; ;</v>
      </c>
      <c r="E3083" s="6">
        <f>IFERROR(__xludf.DUMMYFUNCTION("""COMPUTED_VALUE"""),4.0)</f>
        <v>4</v>
      </c>
      <c r="F3083" s="6">
        <f>IFERROR(__xludf.DUMMYFUNCTION("""COMPUTED_VALUE"""),4.0)</f>
        <v>4</v>
      </c>
      <c r="G3083" s="6">
        <f>IFERROR(__xludf.DUMMYFUNCTION("""COMPUTED_VALUE"""),0.0)</f>
        <v>0</v>
      </c>
      <c r="H3083" s="6" t="str">
        <f>IFERROR(__xludf.DUMMYFUNCTION("""COMPUTED_VALUE"""),"Pcs")</f>
        <v>Pcs</v>
      </c>
      <c r="I3083" s="6" t="str">
        <f>IFERROR(__xludf.DUMMYFUNCTION("""COMPUTED_VALUE"""),"MFH")</f>
        <v>MFH</v>
      </c>
      <c r="J3083" s="6" t="str">
        <f>IFERROR(__xludf.DUMMYFUNCTION("""COMPUTED_VALUE"""),"Building")</f>
        <v>Building</v>
      </c>
      <c r="K3083" s="6" t="str">
        <f>IFERROR(__xludf.DUMMYFUNCTION("""COMPUTED_VALUE"""),"SPR/26/01/042")</f>
        <v>SPR/26/01/042</v>
      </c>
      <c r="L3083" s="58">
        <f>IFERROR(__xludf.DUMMYFUNCTION("""COMPUTED_VALUE"""),46030.0)</f>
        <v>46030</v>
      </c>
    </row>
    <row r="3084">
      <c r="A3084" s="6" t="str">
        <f>IFERROR(__xludf.DUMMYFUNCTION("""COMPUTED_VALUE"""),"SFH")</f>
        <v>SFH</v>
      </c>
      <c r="B3084" s="6" t="str">
        <f>IFERROR(__xludf.DUMMYFUNCTION("""COMPUTED_VALUE"""),"ENG")</f>
        <v>ENG</v>
      </c>
      <c r="C3084" s="6" t="str">
        <f>IFERROR(__xludf.DUMMYFUNCTION("""COMPUTED_VALUE"""),"Q-10128-00")</f>
        <v>Q-10128-00</v>
      </c>
      <c r="D3084" s="6" t="str">
        <f>IFERROR(__xludf.DUMMYFUNCTION("""COMPUTED_VALUE"""),"Thinner Super End/Impala")</f>
        <v>Thinner Super End/Impala</v>
      </c>
      <c r="E3084" s="6">
        <f>IFERROR(__xludf.DUMMYFUNCTION("""COMPUTED_VALUE"""),1.0)</f>
        <v>1</v>
      </c>
      <c r="F3084" s="6">
        <f>IFERROR(__xludf.DUMMYFUNCTION("""COMPUTED_VALUE"""),1.0)</f>
        <v>1</v>
      </c>
      <c r="G3084" s="6">
        <f>IFERROR(__xludf.DUMMYFUNCTION("""COMPUTED_VALUE"""),0.0)</f>
        <v>0</v>
      </c>
      <c r="H3084" s="6" t="str">
        <f>IFERROR(__xludf.DUMMYFUNCTION("""COMPUTED_VALUE"""),"Pcs")</f>
        <v>Pcs</v>
      </c>
      <c r="I3084" s="6" t="str">
        <f>IFERROR(__xludf.DUMMYFUNCTION("""COMPUTED_VALUE"""),"MFH")</f>
        <v>MFH</v>
      </c>
      <c r="J3084" s="6" t="str">
        <f>IFERROR(__xludf.DUMMYFUNCTION("""COMPUTED_VALUE"""),"Building")</f>
        <v>Building</v>
      </c>
      <c r="K3084" s="6" t="str">
        <f>IFERROR(__xludf.DUMMYFUNCTION("""COMPUTED_VALUE"""),"SPR/26/01/042")</f>
        <v>SPR/26/01/042</v>
      </c>
      <c r="L3084" s="58">
        <f>IFERROR(__xludf.DUMMYFUNCTION("""COMPUTED_VALUE"""),46030.0)</f>
        <v>46030</v>
      </c>
    </row>
    <row r="3085">
      <c r="A3085" s="6" t="str">
        <f>IFERROR(__xludf.DUMMYFUNCTION("""COMPUTED_VALUE"""),"RPA")</f>
        <v>RPA</v>
      </c>
      <c r="B3085" s="6" t="str">
        <f>IFERROR(__xludf.DUMMYFUNCTION("""COMPUTED_VALUE"""),"PRO")</f>
        <v>PRO</v>
      </c>
      <c r="C3085" s="6" t="str">
        <f>IFERROR(__xludf.DUMMYFUNCTION("""COMPUTED_VALUE"""),"O-15931-00")</f>
        <v>O-15931-00</v>
      </c>
      <c r="D3085" s="6" t="str">
        <f>IFERROR(__xludf.DUMMYFUNCTION("""COMPUTED_VALUE"""),"Double Tape 3M 1"" Merah - P/N : - pc")</f>
        <v>Double Tape 3M 1" Merah - P/N : - pc</v>
      </c>
      <c r="E3085" s="6">
        <f>IFERROR(__xludf.DUMMYFUNCTION("""COMPUTED_VALUE"""),1.0)</f>
        <v>1</v>
      </c>
      <c r="F3085" s="6">
        <f>IFERROR(__xludf.DUMMYFUNCTION("""COMPUTED_VALUE"""),1.0)</f>
        <v>1</v>
      </c>
      <c r="G3085" s="6">
        <f>IFERROR(__xludf.DUMMYFUNCTION("""COMPUTED_VALUE"""),0.0)</f>
        <v>0</v>
      </c>
      <c r="H3085" s="6" t="str">
        <f>IFERROR(__xludf.DUMMYFUNCTION("""COMPUTED_VALUE"""),"Pcs")</f>
        <v>Pcs</v>
      </c>
      <c r="I3085" s="6" t="str">
        <f>IFERROR(__xludf.DUMMYFUNCTION("""COMPUTED_VALUE"""),"MFH")</f>
        <v>MFH</v>
      </c>
      <c r="J3085" s="6" t="str">
        <f>IFERROR(__xludf.DUMMYFUNCTION("""COMPUTED_VALUE"""),"-")</f>
        <v>-</v>
      </c>
      <c r="K3085" s="6" t="str">
        <f>IFERROR(__xludf.DUMMYFUNCTION("""COMPUTED_VALUE"""),"SPR/26/01/043")</f>
        <v>SPR/26/01/043</v>
      </c>
      <c r="L3085" s="58">
        <f>IFERROR(__xludf.DUMMYFUNCTION("""COMPUTED_VALUE"""),46030.0)</f>
        <v>46030</v>
      </c>
    </row>
    <row r="3086">
      <c r="A3086" s="6" t="str">
        <f>IFERROR(__xludf.DUMMYFUNCTION("""COMPUTED_VALUE"""),"INN")</f>
        <v>INN</v>
      </c>
      <c r="B3086" s="6" t="str">
        <f>IFERROR(__xludf.DUMMYFUNCTION("""COMPUTED_VALUE"""),"ENG")</f>
        <v>ENG</v>
      </c>
      <c r="C3086" s="6" t="str">
        <f>IFERROR(__xludf.DUMMYFUNCTION("""COMPUTED_VALUE"""),"O-50964-00")</f>
        <v>O-50964-00</v>
      </c>
      <c r="D3086" s="6" t="str">
        <f>IFERROR(__xludf.DUMMYFUNCTION("""COMPUTED_VALUE"""),"General - Safety Relay PNOZ X3 24 VAC 24VDC 3n/o 1n/c 1so; PILZ; 774310; 1 Pc")</f>
        <v>General - Safety Relay PNOZ X3 24 VAC 24VDC 3n/o 1n/c 1so; PILZ; 774310; 1 Pc</v>
      </c>
      <c r="E3086" s="6">
        <f>IFERROR(__xludf.DUMMYFUNCTION("""COMPUTED_VALUE"""),1.0)</f>
        <v>1</v>
      </c>
      <c r="F3086" s="6">
        <f>IFERROR(__xludf.DUMMYFUNCTION("""COMPUTED_VALUE"""),1.0)</f>
        <v>1</v>
      </c>
      <c r="G3086" s="6">
        <f>IFERROR(__xludf.DUMMYFUNCTION("""COMPUTED_VALUE"""),0.0)</f>
        <v>0</v>
      </c>
      <c r="H3086" s="6" t="str">
        <f>IFERROR(__xludf.DUMMYFUNCTION("""COMPUTED_VALUE"""),"Pcs")</f>
        <v>Pcs</v>
      </c>
      <c r="I3086" s="6" t="str">
        <f>IFERROR(__xludf.DUMMYFUNCTION("""COMPUTED_VALUE"""),"MFH")</f>
        <v>MFH</v>
      </c>
      <c r="J3086" s="6" t="str">
        <f>IFERROR(__xludf.DUMMYFUNCTION("""COMPUTED_VALUE"""),"Washing")</f>
        <v>Washing</v>
      </c>
      <c r="K3086" s="6" t="str">
        <f>IFERROR(__xludf.DUMMYFUNCTION("""COMPUTED_VALUE"""),"SPR/26/01/044")</f>
        <v>SPR/26/01/044</v>
      </c>
      <c r="L3086" s="58">
        <f>IFERROR(__xludf.DUMMYFUNCTION("""COMPUTED_VALUE"""),46030.0)</f>
        <v>46030</v>
      </c>
    </row>
    <row r="3087">
      <c r="A3087" s="6" t="str">
        <f>IFERROR(__xludf.DUMMYFUNCTION("""COMPUTED_VALUE"""),"INN")</f>
        <v>INN</v>
      </c>
      <c r="B3087" s="6" t="str">
        <f>IFERROR(__xludf.DUMMYFUNCTION("""COMPUTED_VALUE"""),"ENG")</f>
        <v>ENG</v>
      </c>
      <c r="C3087" s="6" t="str">
        <f>IFERROR(__xludf.DUMMYFUNCTION("""COMPUTED_VALUE"""),"O-52316-00")</f>
        <v>O-52316-00</v>
      </c>
      <c r="D3087" s="6" t="str">
        <f>IFERROR(__xludf.DUMMYFUNCTION("""COMPUTED_VALUE"""),"Socket Sensor 4 Pin Drat M8 DOS-0804-G; Sick; ;")</f>
        <v>Socket Sensor 4 Pin Drat M8 DOS-0804-G; Sick; ;</v>
      </c>
      <c r="E3087" s="6">
        <f>IFERROR(__xludf.DUMMYFUNCTION("""COMPUTED_VALUE"""),1.0)</f>
        <v>1</v>
      </c>
      <c r="F3087" s="6">
        <f>IFERROR(__xludf.DUMMYFUNCTION("""COMPUTED_VALUE"""),1.0)</f>
        <v>1</v>
      </c>
      <c r="G3087" s="6">
        <f>IFERROR(__xludf.DUMMYFUNCTION("""COMPUTED_VALUE"""),0.0)</f>
        <v>0</v>
      </c>
      <c r="H3087" s="6" t="str">
        <f>IFERROR(__xludf.DUMMYFUNCTION("""COMPUTED_VALUE"""),"Pcs")</f>
        <v>Pcs</v>
      </c>
      <c r="I3087" s="6" t="str">
        <f>IFERROR(__xludf.DUMMYFUNCTION("""COMPUTED_VALUE"""),"MFH")</f>
        <v>MFH</v>
      </c>
      <c r="J3087" s="6" t="str">
        <f>IFERROR(__xludf.DUMMYFUNCTION("""COMPUTED_VALUE"""),"cRABS")</f>
        <v>cRABS</v>
      </c>
      <c r="K3087" s="6" t="str">
        <f>IFERROR(__xludf.DUMMYFUNCTION("""COMPUTED_VALUE"""),"SPR/26/01/044")</f>
        <v>SPR/26/01/044</v>
      </c>
      <c r="L3087" s="58">
        <f>IFERROR(__xludf.DUMMYFUNCTION("""COMPUTED_VALUE"""),46030.0)</f>
        <v>46030</v>
      </c>
    </row>
    <row r="3088">
      <c r="A3088" s="6" t="str">
        <f>IFERROR(__xludf.DUMMYFUNCTION("""COMPUTED_VALUE"""),"ROS")</f>
        <v>ROS</v>
      </c>
      <c r="B3088" s="6" t="str">
        <f>IFERROR(__xludf.DUMMYFUNCTION("""COMPUTED_VALUE"""),"ENG")</f>
        <v>ENG</v>
      </c>
      <c r="C3088" s="6" t="str">
        <f>IFERROR(__xludf.DUMMYFUNCTION("""COMPUTED_VALUE"""),"P-14245-00")</f>
        <v>P-14245-00</v>
      </c>
      <c r="D3088" s="6" t="str">
        <f>IFERROR(__xludf.DUMMYFUNCTION("""COMPUTED_VALUE"""),"General - Shut-off Valve, HE-2-QS-8; Festo; 153468; 1 pcs")</f>
        <v>General - Shut-off Valve, HE-2-QS-8; Festo; 153468; 1 pcs</v>
      </c>
      <c r="E3088" s="6">
        <f>IFERROR(__xludf.DUMMYFUNCTION("""COMPUTED_VALUE"""),1.0)</f>
        <v>1</v>
      </c>
      <c r="F3088" s="6">
        <f>IFERROR(__xludf.DUMMYFUNCTION("""COMPUTED_VALUE"""),1.0)</f>
        <v>1</v>
      </c>
      <c r="G3088" s="6">
        <f>IFERROR(__xludf.DUMMYFUNCTION("""COMPUTED_VALUE"""),0.0)</f>
        <v>0</v>
      </c>
      <c r="H3088" s="6" t="str">
        <f>IFERROR(__xludf.DUMMYFUNCTION("""COMPUTED_VALUE"""),"Pcs")</f>
        <v>Pcs</v>
      </c>
      <c r="I3088" s="6" t="str">
        <f>IFERROR(__xludf.DUMMYFUNCTION("""COMPUTED_VALUE"""),"MFH")</f>
        <v>MFH</v>
      </c>
      <c r="J3088" s="6" t="str">
        <f>IFERROR(__xludf.DUMMYFUNCTION("""COMPUTED_VALUE"""),"-")</f>
        <v>-</v>
      </c>
      <c r="K3088" s="6" t="str">
        <f>IFERROR(__xludf.DUMMYFUNCTION("""COMPUTED_VALUE"""),"SPR/26/01/045")</f>
        <v>SPR/26/01/045</v>
      </c>
      <c r="L3088" s="58">
        <f>IFERROR(__xludf.DUMMYFUNCTION("""COMPUTED_VALUE"""),46030.0)</f>
        <v>46030</v>
      </c>
    </row>
    <row r="3089">
      <c r="A3089" s="6" t="str">
        <f>IFERROR(__xludf.DUMMYFUNCTION("""COMPUTED_VALUE"""),"ROS")</f>
        <v>ROS</v>
      </c>
      <c r="B3089" s="6" t="str">
        <f>IFERROR(__xludf.DUMMYFUNCTION("""COMPUTED_VALUE"""),"ENG")</f>
        <v>ENG</v>
      </c>
      <c r="C3089" s="6" t="str">
        <f>IFERROR(__xludf.DUMMYFUNCTION("""COMPUTED_VALUE"""),"P-11431-00")</f>
        <v>P-11431-00</v>
      </c>
      <c r="D3089" s="6" t="str">
        <f>IFERROR(__xludf.DUMMYFUNCTION("""COMPUTED_VALUE"""),"General - Plastic Tubing, PUN-H-8X1,25-BL; Festo; 197385; 1 m")</f>
        <v>General - Plastic Tubing, PUN-H-8X1,25-BL; Festo; 197385; 1 m</v>
      </c>
      <c r="E3089" s="6">
        <f>IFERROR(__xludf.DUMMYFUNCTION("""COMPUTED_VALUE"""),10.0)</f>
        <v>10</v>
      </c>
      <c r="F3089" s="6">
        <f>IFERROR(__xludf.DUMMYFUNCTION("""COMPUTED_VALUE"""),10.0)</f>
        <v>10</v>
      </c>
      <c r="G3089" s="6">
        <f>IFERROR(__xludf.DUMMYFUNCTION("""COMPUTED_VALUE"""),0.0)</f>
        <v>0</v>
      </c>
      <c r="H3089" s="6" t="str">
        <f>IFERROR(__xludf.DUMMYFUNCTION("""COMPUTED_VALUE"""),"Pcs")</f>
        <v>Pcs</v>
      </c>
      <c r="I3089" s="6" t="str">
        <f>IFERROR(__xludf.DUMMYFUNCTION("""COMPUTED_VALUE"""),"MFH")</f>
        <v>MFH</v>
      </c>
      <c r="J3089" s="6" t="str">
        <f>IFERROR(__xludf.DUMMYFUNCTION("""COMPUTED_VALUE"""),"-")</f>
        <v>-</v>
      </c>
      <c r="K3089" s="6" t="str">
        <f>IFERROR(__xludf.DUMMYFUNCTION("""COMPUTED_VALUE"""),"SPR/26/01/045")</f>
        <v>SPR/26/01/045</v>
      </c>
      <c r="L3089" s="58">
        <f>IFERROR(__xludf.DUMMYFUNCTION("""COMPUTED_VALUE"""),46030.0)</f>
        <v>46030</v>
      </c>
    </row>
    <row r="3090">
      <c r="A3090" s="6" t="str">
        <f>IFERROR(__xludf.DUMMYFUNCTION("""COMPUTED_VALUE"""),"ROS")</f>
        <v>ROS</v>
      </c>
      <c r="B3090" s="6" t="str">
        <f>IFERROR(__xludf.DUMMYFUNCTION("""COMPUTED_VALUE"""),"ENG")</f>
        <v>ENG</v>
      </c>
      <c r="C3090" s="6" t="str">
        <f>IFERROR(__xludf.DUMMYFUNCTION("""COMPUTED_VALUE"""),"T-80109-00")</f>
        <v>T-80109-00</v>
      </c>
      <c r="D3090" s="6" t="str">
        <f>IFERROR(__xludf.DUMMYFUNCTION("""COMPUTED_VALUE"""),"Cellotape / Lakban Kertas 1 inch warna Putih")</f>
        <v>Cellotape / Lakban Kertas 1 inch warna Putih</v>
      </c>
      <c r="E3090" s="6">
        <f>IFERROR(__xludf.DUMMYFUNCTION("""COMPUTED_VALUE"""),1.0)</f>
        <v>1</v>
      </c>
      <c r="F3090" s="6">
        <f>IFERROR(__xludf.DUMMYFUNCTION("""COMPUTED_VALUE"""),1.0)</f>
        <v>1</v>
      </c>
      <c r="G3090" s="6">
        <f>IFERROR(__xludf.DUMMYFUNCTION("""COMPUTED_VALUE"""),0.0)</f>
        <v>0</v>
      </c>
      <c r="H3090" s="6" t="str">
        <f>IFERROR(__xludf.DUMMYFUNCTION("""COMPUTED_VALUE"""),"Pcs")</f>
        <v>Pcs</v>
      </c>
      <c r="I3090" s="6" t="str">
        <f>IFERROR(__xludf.DUMMYFUNCTION("""COMPUTED_VALUE"""),"MFH")</f>
        <v>MFH</v>
      </c>
      <c r="J3090" s="6" t="str">
        <f>IFERROR(__xludf.DUMMYFUNCTION("""COMPUTED_VALUE"""),"Aerosol")</f>
        <v>Aerosol</v>
      </c>
      <c r="K3090" s="6" t="str">
        <f>IFERROR(__xludf.DUMMYFUNCTION("""COMPUTED_VALUE"""),"SPR/26/01/045")</f>
        <v>SPR/26/01/045</v>
      </c>
      <c r="L3090" s="58">
        <f>IFERROR(__xludf.DUMMYFUNCTION("""COMPUTED_VALUE"""),46030.0)</f>
        <v>46030</v>
      </c>
    </row>
    <row r="3091">
      <c r="A3091" s="6" t="str">
        <f>IFERROR(__xludf.DUMMYFUNCTION("""COMPUTED_VALUE"""),"KFF")</f>
        <v>KFF</v>
      </c>
      <c r="B3091" s="6" t="str">
        <f>IFERROR(__xludf.DUMMYFUNCTION("""COMPUTED_VALUE"""),"ENG")</f>
        <v>ENG</v>
      </c>
      <c r="C3091" s="6" t="str">
        <f>IFERROR(__xludf.DUMMYFUNCTION("""COMPUTED_VALUE"""),"O-14639-00")</f>
        <v>O-14639-00</v>
      </c>
      <c r="D3091" s="6" t="str">
        <f>IFERROR(__xludf.DUMMYFUNCTION("""COMPUTED_VALUE"""),"EPDM Gasket for Ferrule dia. 1/2"" - P/N : -  pc")</f>
        <v>EPDM Gasket for Ferrule dia. 1/2" - P/N : -  pc</v>
      </c>
      <c r="E3091" s="6">
        <f>IFERROR(__xludf.DUMMYFUNCTION("""COMPUTED_VALUE"""),5.0)</f>
        <v>5</v>
      </c>
      <c r="F3091" s="6">
        <f>IFERROR(__xludf.DUMMYFUNCTION("""COMPUTED_VALUE"""),5.0)</f>
        <v>5</v>
      </c>
      <c r="G3091" s="6">
        <f>IFERROR(__xludf.DUMMYFUNCTION("""COMPUTED_VALUE"""),0.0)</f>
        <v>0</v>
      </c>
      <c r="H3091" s="6" t="str">
        <f>IFERROR(__xludf.DUMMYFUNCTION("""COMPUTED_VALUE"""),"Pcs")</f>
        <v>Pcs</v>
      </c>
      <c r="I3091" s="6" t="str">
        <f>IFERROR(__xludf.DUMMYFUNCTION("""COMPUTED_VALUE"""),"MFH")</f>
        <v>MFH</v>
      </c>
      <c r="J3091" s="6" t="str">
        <f>IFERROR(__xludf.DUMMYFUNCTION("""COMPUTED_VALUE"""),"-")</f>
        <v>-</v>
      </c>
      <c r="K3091" s="6" t="str">
        <f>IFERROR(__xludf.DUMMYFUNCTION("""COMPUTED_VALUE"""),"SPR/26/01/046")</f>
        <v>SPR/26/01/046</v>
      </c>
      <c r="L3091" s="58">
        <f>IFERROR(__xludf.DUMMYFUNCTION("""COMPUTED_VALUE"""),46030.0)</f>
        <v>46030</v>
      </c>
    </row>
    <row r="3092">
      <c r="A3092" s="6" t="str">
        <f>IFERROR(__xludf.DUMMYFUNCTION("""COMPUTED_VALUE"""),"KFF")</f>
        <v>KFF</v>
      </c>
      <c r="B3092" s="6" t="str">
        <f>IFERROR(__xludf.DUMMYFUNCTION("""COMPUTED_VALUE"""),"ENG")</f>
        <v>ENG</v>
      </c>
      <c r="C3092" s="6" t="str">
        <f>IFERROR(__xludf.DUMMYFUNCTION("""COMPUTED_VALUE"""),"O-14641-00")</f>
        <v>O-14641-00</v>
      </c>
      <c r="D3092" s="6" t="str">
        <f>IFERROR(__xludf.DUMMYFUNCTION("""COMPUTED_VALUE"""),"General - Silicone Gasket for Ferrule dia. 1""; -; -; 1 Pc")</f>
        <v>General - Silicone Gasket for Ferrule dia. 1"; -; -; 1 Pc</v>
      </c>
      <c r="E3092" s="6">
        <f>IFERROR(__xludf.DUMMYFUNCTION("""COMPUTED_VALUE"""),3.0)</f>
        <v>3</v>
      </c>
      <c r="F3092" s="6">
        <f>IFERROR(__xludf.DUMMYFUNCTION("""COMPUTED_VALUE"""),3.0)</f>
        <v>3</v>
      </c>
      <c r="G3092" s="6">
        <f>IFERROR(__xludf.DUMMYFUNCTION("""COMPUTED_VALUE"""),0.0)</f>
        <v>0</v>
      </c>
      <c r="H3092" s="6" t="str">
        <f>IFERROR(__xludf.DUMMYFUNCTION("""COMPUTED_VALUE"""),"Pcs")</f>
        <v>Pcs</v>
      </c>
      <c r="I3092" s="6" t="str">
        <f>IFERROR(__xludf.DUMMYFUNCTION("""COMPUTED_VALUE"""),"MFH")</f>
        <v>MFH</v>
      </c>
      <c r="J3092" s="6" t="str">
        <f>IFERROR(__xludf.DUMMYFUNCTION("""COMPUTED_VALUE"""),"-")</f>
        <v>-</v>
      </c>
      <c r="K3092" s="6" t="str">
        <f>IFERROR(__xludf.DUMMYFUNCTION("""COMPUTED_VALUE"""),"SPR/26/01/046")</f>
        <v>SPR/26/01/046</v>
      </c>
      <c r="L3092" s="58">
        <f>IFERROR(__xludf.DUMMYFUNCTION("""COMPUTED_VALUE"""),46030.0)</f>
        <v>46030</v>
      </c>
    </row>
    <row r="3093">
      <c r="A3093" s="6" t="str">
        <f>IFERROR(__xludf.DUMMYFUNCTION("""COMPUTED_VALUE"""),"SFH")</f>
        <v>SFH</v>
      </c>
      <c r="B3093" s="6" t="str">
        <f>IFERROR(__xludf.DUMMYFUNCTION("""COMPUTED_VALUE"""),"ENG")</f>
        <v>ENG</v>
      </c>
      <c r="C3093" s="6" t="str">
        <f>IFERROR(__xludf.DUMMYFUNCTION("""COMPUTED_VALUE"""),"Q-60502-00")</f>
        <v>Q-60502-00</v>
      </c>
      <c r="D3093" s="6" t="str">
        <f>IFERROR(__xludf.DUMMYFUNCTION("""COMPUTED_VALUE"""),"Silicone Sealant, Silglaze, Type N10 White, pack size per pcs")</f>
        <v>Silicone Sealant, Silglaze, Type N10 White, pack size per pcs</v>
      </c>
      <c r="E3093" s="6">
        <f>IFERROR(__xludf.DUMMYFUNCTION("""COMPUTED_VALUE"""),1.0)</f>
        <v>1</v>
      </c>
      <c r="F3093" s="6">
        <f>IFERROR(__xludf.DUMMYFUNCTION("""COMPUTED_VALUE"""),1.0)</f>
        <v>1</v>
      </c>
      <c r="G3093" s="6">
        <f>IFERROR(__xludf.DUMMYFUNCTION("""COMPUTED_VALUE"""),0.0)</f>
        <v>0</v>
      </c>
      <c r="H3093" s="6" t="str">
        <f>IFERROR(__xludf.DUMMYFUNCTION("""COMPUTED_VALUE"""),"Pcs")</f>
        <v>Pcs</v>
      </c>
      <c r="I3093" s="6" t="str">
        <f>IFERROR(__xludf.DUMMYFUNCTION("""COMPUTED_VALUE"""),"MFH")</f>
        <v>MFH</v>
      </c>
      <c r="J3093" s="6" t="str">
        <f>IFERROR(__xludf.DUMMYFUNCTION("""COMPUTED_VALUE"""),"Building")</f>
        <v>Building</v>
      </c>
      <c r="K3093" s="6" t="str">
        <f>IFERROR(__xludf.DUMMYFUNCTION("""COMPUTED_VALUE"""),"SPR/26/01/047")</f>
        <v>SPR/26/01/047</v>
      </c>
      <c r="L3093" s="58">
        <f>IFERROR(__xludf.DUMMYFUNCTION("""COMPUTED_VALUE"""),46030.0)</f>
        <v>46030</v>
      </c>
    </row>
    <row r="3094">
      <c r="A3094" s="6" t="str">
        <f>IFERROR(__xludf.DUMMYFUNCTION("""COMPUTED_VALUE"""),"SFH")</f>
        <v>SFH</v>
      </c>
      <c r="B3094" s="6" t="str">
        <f>IFERROR(__xludf.DUMMYFUNCTION("""COMPUTED_VALUE"""),"ENG")</f>
        <v>ENG</v>
      </c>
      <c r="C3094" s="6" t="str">
        <f>IFERROR(__xludf.DUMMYFUNCTION("""COMPUTED_VALUE"""),"O-54015-00")</f>
        <v>O-54015-00</v>
      </c>
      <c r="D3094" s="6" t="str">
        <f>IFERROR(__xludf.DUMMYFUNCTION("""COMPUTED_VALUE"""),"STOP KONTAK LUBANG 4, BROCO")</f>
        <v>STOP KONTAK LUBANG 4, BROCO</v>
      </c>
      <c r="E3094" s="6">
        <f>IFERROR(__xludf.DUMMYFUNCTION("""COMPUTED_VALUE"""),4.0)</f>
        <v>4</v>
      </c>
      <c r="F3094" s="6">
        <f>IFERROR(__xludf.DUMMYFUNCTION("""COMPUTED_VALUE"""),4.0)</f>
        <v>4</v>
      </c>
      <c r="G3094" s="6">
        <f>IFERROR(__xludf.DUMMYFUNCTION("""COMPUTED_VALUE"""),0.0)</f>
        <v>0</v>
      </c>
      <c r="H3094" s="6" t="str">
        <f>IFERROR(__xludf.DUMMYFUNCTION("""COMPUTED_VALUE"""),"Pcs")</f>
        <v>Pcs</v>
      </c>
      <c r="I3094" s="6" t="str">
        <f>IFERROR(__xludf.DUMMYFUNCTION("""COMPUTED_VALUE"""),"MFH")</f>
        <v>MFH</v>
      </c>
      <c r="J3094" s="6" t="str">
        <f>IFERROR(__xludf.DUMMYFUNCTION("""COMPUTED_VALUE"""),"Building")</f>
        <v>Building</v>
      </c>
      <c r="K3094" s="6" t="str">
        <f>IFERROR(__xludf.DUMMYFUNCTION("""COMPUTED_VALUE"""),"SPR/26/01/047")</f>
        <v>SPR/26/01/047</v>
      </c>
      <c r="L3094" s="58">
        <f>IFERROR(__xludf.DUMMYFUNCTION("""COMPUTED_VALUE"""),46030.0)</f>
        <v>46030</v>
      </c>
    </row>
    <row r="3095">
      <c r="A3095" s="6" t="str">
        <f>IFERROR(__xludf.DUMMYFUNCTION("""COMPUTED_VALUE"""),"SFH")</f>
        <v>SFH</v>
      </c>
      <c r="B3095" s="6" t="str">
        <f>IFERROR(__xludf.DUMMYFUNCTION("""COMPUTED_VALUE"""),"ENG")</f>
        <v>ENG</v>
      </c>
      <c r="C3095" s="6" t="str">
        <f>IFERROR(__xludf.DUMMYFUNCTION("""COMPUTED_VALUE"""),"P-53102-00")</f>
        <v>P-53102-00</v>
      </c>
      <c r="D3095" s="6" t="str">
        <f>IFERROR(__xludf.DUMMYFUNCTION("""COMPUTED_VALUE"""),"Lampu PLC 13watt/E27 Putih; Phillips; ;")</f>
        <v>Lampu PLC 13watt/E27 Putih; Phillips; ;</v>
      </c>
      <c r="E3095" s="6">
        <f>IFERROR(__xludf.DUMMYFUNCTION("""COMPUTED_VALUE"""),1.0)</f>
        <v>1</v>
      </c>
      <c r="F3095" s="6">
        <f>IFERROR(__xludf.DUMMYFUNCTION("""COMPUTED_VALUE"""),1.0)</f>
        <v>1</v>
      </c>
      <c r="G3095" s="6">
        <f>IFERROR(__xludf.DUMMYFUNCTION("""COMPUTED_VALUE"""),0.0)</f>
        <v>0</v>
      </c>
      <c r="H3095" s="6" t="str">
        <f>IFERROR(__xludf.DUMMYFUNCTION("""COMPUTED_VALUE"""),"Pcs")</f>
        <v>Pcs</v>
      </c>
      <c r="I3095" s="6" t="str">
        <f>IFERROR(__xludf.DUMMYFUNCTION("""COMPUTED_VALUE"""),"MFH")</f>
        <v>MFH</v>
      </c>
      <c r="J3095" s="6" t="str">
        <f>IFERROR(__xludf.DUMMYFUNCTION("""COMPUTED_VALUE"""),"Building")</f>
        <v>Building</v>
      </c>
      <c r="K3095" s="6" t="str">
        <f>IFERROR(__xludf.DUMMYFUNCTION("""COMPUTED_VALUE"""),"SPR/26/01/047")</f>
        <v>SPR/26/01/047</v>
      </c>
      <c r="L3095" s="58">
        <f>IFERROR(__xludf.DUMMYFUNCTION("""COMPUTED_VALUE"""),46030.0)</f>
        <v>46030</v>
      </c>
    </row>
    <row r="3096">
      <c r="A3096" s="6" t="str">
        <f>IFERROR(__xludf.DUMMYFUNCTION("""COMPUTED_VALUE"""),"AAA")</f>
        <v>AAA</v>
      </c>
      <c r="B3096" s="6" t="str">
        <f>IFERROR(__xludf.DUMMYFUNCTION("""COMPUTED_VALUE"""),"ENG")</f>
        <v>ENG</v>
      </c>
      <c r="C3096" s="6" t="str">
        <f>IFERROR(__xludf.DUMMYFUNCTION("""COMPUTED_VALUE"""),"O-52478-00")</f>
        <v>O-52478-00</v>
      </c>
      <c r="D3096" s="6" t="str">
        <f>IFERROR(__xludf.DUMMYFUNCTION("""COMPUTED_VALUE"""),"CRABS Z064CR-Proximity Sensor; Schmersal; BNS260-11ZG-ST-R;")</f>
        <v>CRABS Z064CR-Proximity Sensor; Schmersal; BNS260-11ZG-ST-R;</v>
      </c>
      <c r="E3096" s="6">
        <f>IFERROR(__xludf.DUMMYFUNCTION("""COMPUTED_VALUE"""),1.0)</f>
        <v>1</v>
      </c>
      <c r="F3096" s="6">
        <f>IFERROR(__xludf.DUMMYFUNCTION("""COMPUTED_VALUE"""),1.0)</f>
        <v>1</v>
      </c>
      <c r="G3096" s="6">
        <f>IFERROR(__xludf.DUMMYFUNCTION("""COMPUTED_VALUE"""),0.0)</f>
        <v>0</v>
      </c>
      <c r="H3096" s="6" t="str">
        <f>IFERROR(__xludf.DUMMYFUNCTION("""COMPUTED_VALUE"""),"Pcs")</f>
        <v>Pcs</v>
      </c>
      <c r="I3096" s="6" t="str">
        <f>IFERROR(__xludf.DUMMYFUNCTION("""COMPUTED_VALUE"""),"MFH")</f>
        <v>MFH</v>
      </c>
      <c r="J3096" s="6" t="str">
        <f>IFERROR(__xludf.DUMMYFUNCTION("""COMPUTED_VALUE"""),"Washing")</f>
        <v>Washing</v>
      </c>
      <c r="K3096" s="6" t="str">
        <f>IFERROR(__xludf.DUMMYFUNCTION("""COMPUTED_VALUE"""),"SPR/26/01/048")</f>
        <v>SPR/26/01/048</v>
      </c>
      <c r="L3096" s="58">
        <f>IFERROR(__xludf.DUMMYFUNCTION("""COMPUTED_VALUE"""),46030.0)</f>
        <v>46030</v>
      </c>
    </row>
    <row r="3097">
      <c r="A3097" s="6" t="str">
        <f>IFERROR(__xludf.DUMMYFUNCTION("""COMPUTED_VALUE"""),"MFH")</f>
        <v>MFH</v>
      </c>
      <c r="B3097" s="6" t="str">
        <f>IFERROR(__xludf.DUMMYFUNCTION("""COMPUTED_VALUE"""),"ENG")</f>
        <v>ENG</v>
      </c>
      <c r="C3097" s="6" t="str">
        <f>IFERROR(__xludf.DUMMYFUNCTION("""COMPUTED_VALUE"""),"Q-10153-00")</f>
        <v>Q-10153-00</v>
      </c>
      <c r="D3097" s="6" t="str">
        <f>IFERROR(__xludf.DUMMYFUNCTION("""COMPUTED_VALUE"""),"Kuas Cat Roller uk. 110 mm;No Brand;;pack size per set")</f>
        <v>Kuas Cat Roller uk. 110 mm;No Brand;;pack size per set</v>
      </c>
      <c r="E3097" s="6">
        <f>IFERROR(__xludf.DUMMYFUNCTION("""COMPUTED_VALUE"""),2.0)</f>
        <v>2</v>
      </c>
      <c r="F3097" s="6">
        <f>IFERROR(__xludf.DUMMYFUNCTION("""COMPUTED_VALUE"""),2.0)</f>
        <v>2</v>
      </c>
      <c r="G3097" s="6">
        <f>IFERROR(__xludf.DUMMYFUNCTION("""COMPUTED_VALUE"""),0.0)</f>
        <v>0</v>
      </c>
      <c r="H3097" s="6" t="str">
        <f>IFERROR(__xludf.DUMMYFUNCTION("""COMPUTED_VALUE"""),"Pcs")</f>
        <v>Pcs</v>
      </c>
      <c r="I3097" s="6" t="str">
        <f>IFERROR(__xludf.DUMMYFUNCTION("""COMPUTED_VALUE"""),"MFH")</f>
        <v>MFH</v>
      </c>
      <c r="J3097" s="6" t="str">
        <f>IFERROR(__xludf.DUMMYFUNCTION("""COMPUTED_VALUE"""),"Building")</f>
        <v>Building</v>
      </c>
      <c r="K3097" s="6" t="str">
        <f>IFERROR(__xludf.DUMMYFUNCTION("""COMPUTED_VALUE"""),"SPR/26/01/049")</f>
        <v>SPR/26/01/049</v>
      </c>
      <c r="L3097" s="58">
        <f>IFERROR(__xludf.DUMMYFUNCTION("""COMPUTED_VALUE"""),46030.0)</f>
        <v>46030</v>
      </c>
    </row>
    <row r="3098">
      <c r="A3098" s="6" t="str">
        <f>IFERROR(__xludf.DUMMYFUNCTION("""COMPUTED_VALUE"""),"INN")</f>
        <v>INN</v>
      </c>
      <c r="B3098" s="6" t="str">
        <f>IFERROR(__xludf.DUMMYFUNCTION("""COMPUTED_VALUE"""),"ENG")</f>
        <v>ENG</v>
      </c>
      <c r="C3098" s="6" t="str">
        <f>IFERROR(__xludf.DUMMYFUNCTION("""COMPUTED_VALUE"""),"O-54014-00")</f>
        <v>O-54014-00</v>
      </c>
      <c r="D3098" s="6" t="str">
        <f>IFERROR(__xludf.DUMMYFUNCTION("""COMPUTED_VALUE"""),"STEKER 1 PHASE, BROCO")</f>
        <v>STEKER 1 PHASE, BROCO</v>
      </c>
      <c r="E3098" s="6">
        <f>IFERROR(__xludf.DUMMYFUNCTION("""COMPUTED_VALUE"""),1.0)</f>
        <v>1</v>
      </c>
      <c r="F3098" s="6">
        <f>IFERROR(__xludf.DUMMYFUNCTION("""COMPUTED_VALUE"""),1.0)</f>
        <v>1</v>
      </c>
      <c r="G3098" s="6">
        <f>IFERROR(__xludf.DUMMYFUNCTION("""COMPUTED_VALUE"""),0.0)</f>
        <v>0</v>
      </c>
      <c r="H3098" s="6" t="str">
        <f>IFERROR(__xludf.DUMMYFUNCTION("""COMPUTED_VALUE"""),"Pcs")</f>
        <v>Pcs</v>
      </c>
      <c r="I3098" s="6" t="str">
        <f>IFERROR(__xludf.DUMMYFUNCTION("""COMPUTED_VALUE"""),"MFH")</f>
        <v>MFH</v>
      </c>
      <c r="J3098" s="6" t="str">
        <f>IFERROR(__xludf.DUMMYFUNCTION("""COMPUTED_VALUE"""),"Washing")</f>
        <v>Washing</v>
      </c>
      <c r="K3098" s="6" t="str">
        <f>IFERROR(__xludf.DUMMYFUNCTION("""COMPUTED_VALUE"""),"SPR/26/01/050")</f>
        <v>SPR/26/01/050</v>
      </c>
      <c r="L3098" s="58">
        <f>IFERROR(__xludf.DUMMYFUNCTION("""COMPUTED_VALUE"""),46030.0)</f>
        <v>46030</v>
      </c>
    </row>
    <row r="3099">
      <c r="A3099" s="6" t="str">
        <f>IFERROR(__xludf.DUMMYFUNCTION("""COMPUTED_VALUE"""),"MOB")</f>
        <v>MOB</v>
      </c>
      <c r="B3099" s="6" t="str">
        <f>IFERROR(__xludf.DUMMYFUNCTION("""COMPUTED_VALUE"""),"ENG")</f>
        <v>ENG</v>
      </c>
      <c r="C3099" s="6" t="str">
        <f>IFERROR(__xludf.DUMMYFUNCTION("""COMPUTED_VALUE"""),"P-50140-00")</f>
        <v>P-50140-00</v>
      </c>
      <c r="D3099" s="6" t="str">
        <f>IFERROR(__xludf.DUMMYFUNCTION("""COMPUTED_VALUE"""),"Battery UPS - Battery kering 12V 9 AH")</f>
        <v>Battery UPS - Battery kering 12V 9 AH</v>
      </c>
      <c r="E3099" s="6">
        <f>IFERROR(__xludf.DUMMYFUNCTION("""COMPUTED_VALUE"""),1.0)</f>
        <v>1</v>
      </c>
      <c r="F3099" s="6">
        <f>IFERROR(__xludf.DUMMYFUNCTION("""COMPUTED_VALUE"""),1.0)</f>
        <v>1</v>
      </c>
      <c r="G3099" s="6">
        <f>IFERROR(__xludf.DUMMYFUNCTION("""COMPUTED_VALUE"""),0.0)</f>
        <v>0</v>
      </c>
      <c r="H3099" s="6" t="str">
        <f>IFERROR(__xludf.DUMMYFUNCTION("""COMPUTED_VALUE"""),"Pcs")</f>
        <v>Pcs</v>
      </c>
      <c r="I3099" s="6" t="str">
        <f>IFERROR(__xludf.DUMMYFUNCTION("""COMPUTED_VALUE"""),"MFH")</f>
        <v>MFH</v>
      </c>
      <c r="J3099" s="6" t="str">
        <f>IFERROR(__xludf.DUMMYFUNCTION("""COMPUTED_VALUE"""),"UPS")</f>
        <v>UPS</v>
      </c>
      <c r="K3099" s="6" t="str">
        <f>IFERROR(__xludf.DUMMYFUNCTION("""COMPUTED_VALUE"""),"SPR/26/01/051")</f>
        <v>SPR/26/01/051</v>
      </c>
      <c r="L3099" s="58">
        <f>IFERROR(__xludf.DUMMYFUNCTION("""COMPUTED_VALUE"""),46030.0)</f>
        <v>46030</v>
      </c>
    </row>
    <row r="3100">
      <c r="A3100" s="6" t="str">
        <f>IFERROR(__xludf.DUMMYFUNCTION("""COMPUTED_VALUE"""),"ROS")</f>
        <v>ROS</v>
      </c>
      <c r="B3100" s="6" t="str">
        <f>IFERROR(__xludf.DUMMYFUNCTION("""COMPUTED_VALUE"""),"ENG")</f>
        <v>ENG</v>
      </c>
      <c r="C3100" s="6" t="str">
        <f>IFERROR(__xludf.DUMMYFUNCTION("""COMPUTED_VALUE"""),"O-18055-00")</f>
        <v>O-18055-00</v>
      </c>
      <c r="D3100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100" s="6">
        <f>IFERROR(__xludf.DUMMYFUNCTION("""COMPUTED_VALUE"""),2.0)</f>
        <v>2</v>
      </c>
      <c r="F3100" s="6">
        <f>IFERROR(__xludf.DUMMYFUNCTION("""COMPUTED_VALUE"""),2.0)</f>
        <v>2</v>
      </c>
      <c r="G3100" s="6">
        <f>IFERROR(__xludf.DUMMYFUNCTION("""COMPUTED_VALUE"""),0.0)</f>
        <v>0</v>
      </c>
      <c r="H3100" s="6" t="str">
        <f>IFERROR(__xludf.DUMMYFUNCTION("""COMPUTED_VALUE"""),"Pcs")</f>
        <v>Pcs</v>
      </c>
      <c r="I3100" s="6" t="str">
        <f>IFERROR(__xludf.DUMMYFUNCTION("""COMPUTED_VALUE"""),"MFH")</f>
        <v>MFH</v>
      </c>
      <c r="J3100" s="6" t="str">
        <f>IFERROR(__xludf.DUMMYFUNCTION("""COMPUTED_VALUE"""),"Cartonning")</f>
        <v>Cartonning</v>
      </c>
      <c r="K3100" s="6" t="str">
        <f>IFERROR(__xludf.DUMMYFUNCTION("""COMPUTED_VALUE"""),"SPR/26/01/052")</f>
        <v>SPR/26/01/052</v>
      </c>
      <c r="L3100" s="58">
        <f>IFERROR(__xludf.DUMMYFUNCTION("""COMPUTED_VALUE"""),46030.0)</f>
        <v>46030</v>
      </c>
    </row>
    <row r="3101">
      <c r="A3101" s="6" t="str">
        <f>IFERROR(__xludf.DUMMYFUNCTION("""COMPUTED_VALUE"""),"SFH")</f>
        <v>SFH</v>
      </c>
      <c r="B3101" s="6" t="str">
        <f>IFERROR(__xludf.DUMMYFUNCTION("""COMPUTED_VALUE"""),"ENG")</f>
        <v>ENG</v>
      </c>
      <c r="C3101" s="6" t="str">
        <f>IFERROR(__xludf.DUMMYFUNCTION("""COMPUTED_VALUE"""),"S-40622-00")</f>
        <v>S-40622-00</v>
      </c>
      <c r="D3101" s="6" t="str">
        <f>IFERROR(__xludf.DUMMYFUNCTION("""COMPUTED_VALUE"""),"Kaca film; ; ; - Kaca Film Technoguard Premium USA, Black 80% 152 cm x 35 Mtr Tebal 1,2 Plt, Kegelapan 80%; IR 75%, UV 99%, VLT 3% / Roll")</f>
        <v>Kaca film; ; ; - Kaca Film Technoguard Premium USA, Black 80% 152 cm x 35 Mtr Tebal 1,2 Plt, Kegelapan 80%; IR 75%, UV 99%, VLT 3% / Roll</v>
      </c>
      <c r="E3101" s="6">
        <f>IFERROR(__xludf.DUMMYFUNCTION("""COMPUTED_VALUE"""),3.0)</f>
        <v>3</v>
      </c>
      <c r="F3101" s="6">
        <f>IFERROR(__xludf.DUMMYFUNCTION("""COMPUTED_VALUE"""),3.0)</f>
        <v>3</v>
      </c>
      <c r="G3101" s="6">
        <f>IFERROR(__xludf.DUMMYFUNCTION("""COMPUTED_VALUE"""),0.0)</f>
        <v>0</v>
      </c>
      <c r="H3101" s="6" t="str">
        <f>IFERROR(__xludf.DUMMYFUNCTION("""COMPUTED_VALUE"""),"Pcs")</f>
        <v>Pcs</v>
      </c>
      <c r="I3101" s="6" t="str">
        <f>IFERROR(__xludf.DUMMYFUNCTION("""COMPUTED_VALUE"""),"MFH")</f>
        <v>MFH</v>
      </c>
      <c r="J3101" s="6" t="str">
        <f>IFERROR(__xludf.DUMMYFUNCTION("""COMPUTED_VALUE"""),"Building")</f>
        <v>Building</v>
      </c>
      <c r="K3101" s="6" t="str">
        <f>IFERROR(__xludf.DUMMYFUNCTION("""COMPUTED_VALUE"""),"SPR/26/01/053")</f>
        <v>SPR/26/01/053</v>
      </c>
      <c r="L3101" s="58">
        <f>IFERROR(__xludf.DUMMYFUNCTION("""COMPUTED_VALUE"""),46030.0)</f>
        <v>46030</v>
      </c>
    </row>
    <row r="3102">
      <c r="A3102" s="6" t="str">
        <f>IFERROR(__xludf.DUMMYFUNCTION("""COMPUTED_VALUE"""),"SFH")</f>
        <v>SFH</v>
      </c>
      <c r="B3102" s="6" t="str">
        <f>IFERROR(__xludf.DUMMYFUNCTION("""COMPUTED_VALUE"""),"ENG")</f>
        <v>ENG</v>
      </c>
      <c r="C3102" s="6" t="str">
        <f>IFERROR(__xludf.DUMMYFUNCTION("""COMPUTED_VALUE"""),"P-51027-00")</f>
        <v>P-51027-00</v>
      </c>
      <c r="D3102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102" s="6">
        <f>IFERROR(__xludf.DUMMYFUNCTION("""COMPUTED_VALUE"""),1.0)</f>
        <v>1</v>
      </c>
      <c r="F3102" s="6">
        <f>IFERROR(__xludf.DUMMYFUNCTION("""COMPUTED_VALUE"""),1.0)</f>
        <v>1</v>
      </c>
      <c r="G3102" s="6">
        <f>IFERROR(__xludf.DUMMYFUNCTION("""COMPUTED_VALUE"""),0.0)</f>
        <v>0</v>
      </c>
      <c r="H3102" s="6" t="str">
        <f>IFERROR(__xludf.DUMMYFUNCTION("""COMPUTED_VALUE"""),"Pcs")</f>
        <v>Pcs</v>
      </c>
      <c r="I3102" s="6" t="str">
        <f>IFERROR(__xludf.DUMMYFUNCTION("""COMPUTED_VALUE"""),"MFH")</f>
        <v>MFH</v>
      </c>
      <c r="J3102" s="6" t="str">
        <f>IFERROR(__xludf.DUMMYFUNCTION("""COMPUTED_VALUE"""),"Building")</f>
        <v>Building</v>
      </c>
      <c r="K3102" s="6" t="str">
        <f>IFERROR(__xludf.DUMMYFUNCTION("""COMPUTED_VALUE"""),"SPR/26/01/053")</f>
        <v>SPR/26/01/053</v>
      </c>
      <c r="L3102" s="58">
        <f>IFERROR(__xludf.DUMMYFUNCTION("""COMPUTED_VALUE"""),46030.0)</f>
        <v>46030</v>
      </c>
    </row>
    <row r="3103">
      <c r="A3103" s="6" t="str">
        <f>IFERROR(__xludf.DUMMYFUNCTION("""COMPUTED_VALUE"""),"MRN")</f>
        <v>MRN</v>
      </c>
      <c r="B3103" s="6" t="str">
        <f>IFERROR(__xludf.DUMMYFUNCTION("""COMPUTED_VALUE"""),"ENG")</f>
        <v>ENG</v>
      </c>
      <c r="C3103" s="6" t="str">
        <f>IFERROR(__xludf.DUMMYFUNCTION("""COMPUTED_VALUE"""),"P-53102-00")</f>
        <v>P-53102-00</v>
      </c>
      <c r="D3103" s="6" t="str">
        <f>IFERROR(__xludf.DUMMYFUNCTION("""COMPUTED_VALUE"""),"Lampu PLC 13watt/E27 Putih; Phillips; ;")</f>
        <v>Lampu PLC 13watt/E27 Putih; Phillips; ;</v>
      </c>
      <c r="E3103" s="6">
        <f>IFERROR(__xludf.DUMMYFUNCTION("""COMPUTED_VALUE"""),1.0)</f>
        <v>1</v>
      </c>
      <c r="F3103" s="6">
        <f>IFERROR(__xludf.DUMMYFUNCTION("""COMPUTED_VALUE"""),1.0)</f>
        <v>1</v>
      </c>
      <c r="G3103" s="6">
        <f>IFERROR(__xludf.DUMMYFUNCTION("""COMPUTED_VALUE"""),0.0)</f>
        <v>0</v>
      </c>
      <c r="H3103" s="6" t="str">
        <f>IFERROR(__xludf.DUMMYFUNCTION("""COMPUTED_VALUE"""),"Pcs")</f>
        <v>Pcs</v>
      </c>
      <c r="I3103" s="6" t="str">
        <f>IFERROR(__xludf.DUMMYFUNCTION("""COMPUTED_VALUE"""),"MFH")</f>
        <v>MFH</v>
      </c>
      <c r="J3103" s="6" t="str">
        <f>IFERROR(__xludf.DUMMYFUNCTION("""COMPUTED_VALUE"""),"Building")</f>
        <v>Building</v>
      </c>
      <c r="K3103" s="6" t="str">
        <f>IFERROR(__xludf.DUMMYFUNCTION("""COMPUTED_VALUE"""),"SPR/26/01/054")</f>
        <v>SPR/26/01/054</v>
      </c>
      <c r="L3103" s="58">
        <f>IFERROR(__xludf.DUMMYFUNCTION("""COMPUTED_VALUE"""),46030.0)</f>
        <v>46030</v>
      </c>
    </row>
    <row r="3104">
      <c r="A3104" s="6" t="str">
        <f>IFERROR(__xludf.DUMMYFUNCTION("""COMPUTED_VALUE"""),"MRN")</f>
        <v>MRN</v>
      </c>
      <c r="B3104" s="6" t="str">
        <f>IFERROR(__xludf.DUMMYFUNCTION("""COMPUTED_VALUE"""),"ENG")</f>
        <v>ENG</v>
      </c>
      <c r="C3104" s="6" t="str">
        <f>IFERROR(__xludf.DUMMYFUNCTION("""COMPUTED_VALUE"""),"P-51559-00")</f>
        <v>P-51559-00</v>
      </c>
      <c r="D3104" s="6" t="str">
        <f>IFERROR(__xludf.DUMMYFUNCTION("""COMPUTED_VALUE"""),"Lampu T5 14watt Putih; Phillips; ;")</f>
        <v>Lampu T5 14watt Putih; Phillips; ;</v>
      </c>
      <c r="E3104" s="6">
        <f>IFERROR(__xludf.DUMMYFUNCTION("""COMPUTED_VALUE"""),1.0)</f>
        <v>1</v>
      </c>
      <c r="F3104" s="6">
        <f>IFERROR(__xludf.DUMMYFUNCTION("""COMPUTED_VALUE"""),1.0)</f>
        <v>1</v>
      </c>
      <c r="G3104" s="6">
        <f>IFERROR(__xludf.DUMMYFUNCTION("""COMPUTED_VALUE"""),0.0)</f>
        <v>0</v>
      </c>
      <c r="H3104" s="6" t="str">
        <f>IFERROR(__xludf.DUMMYFUNCTION("""COMPUTED_VALUE"""),"Pcs")</f>
        <v>Pcs</v>
      </c>
      <c r="I3104" s="6" t="str">
        <f>IFERROR(__xludf.DUMMYFUNCTION("""COMPUTED_VALUE"""),"MFH")</f>
        <v>MFH</v>
      </c>
      <c r="J3104" s="6" t="str">
        <f>IFERROR(__xludf.DUMMYFUNCTION("""COMPUTED_VALUE"""),"Building")</f>
        <v>Building</v>
      </c>
      <c r="K3104" s="6" t="str">
        <f>IFERROR(__xludf.DUMMYFUNCTION("""COMPUTED_VALUE"""),"SPR/26/01/054")</f>
        <v>SPR/26/01/054</v>
      </c>
      <c r="L3104" s="58">
        <f>IFERROR(__xludf.DUMMYFUNCTION("""COMPUTED_VALUE"""),46030.0)</f>
        <v>46030</v>
      </c>
    </row>
    <row r="3105">
      <c r="A3105" s="6" t="str">
        <f>IFERROR(__xludf.DUMMYFUNCTION("""COMPUTED_VALUE"""),"RIA")</f>
        <v>RIA</v>
      </c>
      <c r="B3105" s="6" t="str">
        <f>IFERROR(__xludf.DUMMYFUNCTION("""COMPUTED_VALUE"""),"ENG")</f>
        <v>ENG</v>
      </c>
      <c r="C3105" s="6" t="str">
        <f>IFERROR(__xludf.DUMMYFUNCTION("""COMPUTED_VALUE"""),"T-25579-00")</f>
        <v>T-25579-00</v>
      </c>
      <c r="D3105" s="6" t="str">
        <f>IFERROR(__xludf.DUMMYFUNCTION("""COMPUTED_VALUE"""),"RESIN BED REPLACEMENT FOR M500 TOC Analyzer; Sievers; TOC M500; 1 pc")</f>
        <v>RESIN BED REPLACEMENT FOR M500 TOC Analyzer; Sievers; TOC M500; 1 pc</v>
      </c>
      <c r="E3105" s="6">
        <f>IFERROR(__xludf.DUMMYFUNCTION("""COMPUTED_VALUE"""),1.0)</f>
        <v>1</v>
      </c>
      <c r="F3105" s="6">
        <f>IFERROR(__xludf.DUMMYFUNCTION("""COMPUTED_VALUE"""),1.0)</f>
        <v>1</v>
      </c>
      <c r="G3105" s="6">
        <f>IFERROR(__xludf.DUMMYFUNCTION("""COMPUTED_VALUE"""),0.0)</f>
        <v>0</v>
      </c>
      <c r="H3105" s="6" t="str">
        <f>IFERROR(__xludf.DUMMYFUNCTION("""COMPUTED_VALUE"""),"Pcs")</f>
        <v>Pcs</v>
      </c>
      <c r="I3105" s="6" t="str">
        <f>IFERROR(__xludf.DUMMYFUNCTION("""COMPUTED_VALUE"""),"MFH")</f>
        <v>MFH</v>
      </c>
      <c r="J3105" s="6" t="str">
        <f>IFERROR(__xludf.DUMMYFUNCTION("""COMPUTED_VALUE"""),"WFI SKID")</f>
        <v>WFI SKID</v>
      </c>
      <c r="K3105" s="6" t="str">
        <f>IFERROR(__xludf.DUMMYFUNCTION("""COMPUTED_VALUE"""),"SPR/26/01/055")</f>
        <v>SPR/26/01/055</v>
      </c>
      <c r="L3105" s="58">
        <f>IFERROR(__xludf.DUMMYFUNCTION("""COMPUTED_VALUE"""),46030.0)</f>
        <v>46030</v>
      </c>
    </row>
    <row r="3106">
      <c r="A3106" s="6" t="str">
        <f>IFERROR(__xludf.DUMMYFUNCTION("""COMPUTED_VALUE"""),"RIA")</f>
        <v>RIA</v>
      </c>
      <c r="B3106" s="6" t="str">
        <f>IFERROR(__xludf.DUMMYFUNCTION("""COMPUTED_VALUE"""),"ENG")</f>
        <v>ENG</v>
      </c>
      <c r="C3106" s="6" t="str">
        <f>IFERROR(__xludf.DUMMYFUNCTION("""COMPUTED_VALUE"""),"T-25577-00")</f>
        <v>T-25577-00</v>
      </c>
      <c r="D3106" s="6" t="str">
        <f>IFERROR(__xludf.DUMMYFUNCTION("""COMPUTED_VALUE"""),"UV LAMP FOR M500 TOC Analyzer; Sievers; TOC M500; 1 pc")</f>
        <v>UV LAMP FOR M500 TOC Analyzer; Sievers; TOC M500; 1 pc</v>
      </c>
      <c r="E3106" s="6">
        <f>IFERROR(__xludf.DUMMYFUNCTION("""COMPUTED_VALUE"""),1.0)</f>
        <v>1</v>
      </c>
      <c r="F3106" s="6">
        <f>IFERROR(__xludf.DUMMYFUNCTION("""COMPUTED_VALUE"""),1.0)</f>
        <v>1</v>
      </c>
      <c r="G3106" s="6">
        <f>IFERROR(__xludf.DUMMYFUNCTION("""COMPUTED_VALUE"""),0.0)</f>
        <v>0</v>
      </c>
      <c r="H3106" s="6" t="str">
        <f>IFERROR(__xludf.DUMMYFUNCTION("""COMPUTED_VALUE"""),"Pcs")</f>
        <v>Pcs</v>
      </c>
      <c r="I3106" s="6" t="str">
        <f>IFERROR(__xludf.DUMMYFUNCTION("""COMPUTED_VALUE"""),"MFH")</f>
        <v>MFH</v>
      </c>
      <c r="J3106" s="6" t="str">
        <f>IFERROR(__xludf.DUMMYFUNCTION("""COMPUTED_VALUE"""),"WFI SKID")</f>
        <v>WFI SKID</v>
      </c>
      <c r="K3106" s="6" t="str">
        <f>IFERROR(__xludf.DUMMYFUNCTION("""COMPUTED_VALUE"""),"SPR/26/01/055")</f>
        <v>SPR/26/01/055</v>
      </c>
      <c r="L3106" s="58">
        <f>IFERROR(__xludf.DUMMYFUNCTION("""COMPUTED_VALUE"""),46030.0)</f>
        <v>46030</v>
      </c>
    </row>
    <row r="3107">
      <c r="A3107" s="6" t="str">
        <f>IFERROR(__xludf.DUMMYFUNCTION("""COMPUTED_VALUE"""),"RIA")</f>
        <v>RIA</v>
      </c>
      <c r="B3107" s="6" t="str">
        <f>IFERROR(__xludf.DUMMYFUNCTION("""COMPUTED_VALUE"""),"ENG")</f>
        <v>ENG</v>
      </c>
      <c r="C3107" s="6" t="str">
        <f>IFERROR(__xludf.DUMMYFUNCTION("""COMPUTED_VALUE"""),"P-51560-00")</f>
        <v>P-51560-00</v>
      </c>
      <c r="D3107" s="6" t="str">
        <f>IFERROR(__xludf.DUMMYFUNCTION("""COMPUTED_VALUE"""),"General - Lampu TL LED T5 28 W White; Philips; -; 1 unt")</f>
        <v>General - Lampu TL LED T5 28 W White; Philips; -; 1 unt</v>
      </c>
      <c r="E3107" s="6">
        <f>IFERROR(__xludf.DUMMYFUNCTION("""COMPUTED_VALUE"""),2.0)</f>
        <v>2</v>
      </c>
      <c r="F3107" s="6">
        <f>IFERROR(__xludf.DUMMYFUNCTION("""COMPUTED_VALUE"""),2.0)</f>
        <v>2</v>
      </c>
      <c r="G3107" s="6">
        <f>IFERROR(__xludf.DUMMYFUNCTION("""COMPUTED_VALUE"""),0.0)</f>
        <v>0</v>
      </c>
      <c r="H3107" s="6" t="str">
        <f>IFERROR(__xludf.DUMMYFUNCTION("""COMPUTED_VALUE"""),"pcs")</f>
        <v>pcs</v>
      </c>
      <c r="I3107" s="6" t="str">
        <f>IFERROR(__xludf.DUMMYFUNCTION("""COMPUTED_VALUE"""),"MFH")</f>
        <v>MFH</v>
      </c>
      <c r="J3107" s="6" t="str">
        <f>IFERROR(__xludf.DUMMYFUNCTION("""COMPUTED_VALUE"""),"Building")</f>
        <v>Building</v>
      </c>
      <c r="K3107" s="6" t="str">
        <f>IFERROR(__xludf.DUMMYFUNCTION("""COMPUTED_VALUE"""),"SPR/26/01/056")</f>
        <v>SPR/26/01/056</v>
      </c>
      <c r="L3107" s="58">
        <f>IFERROR(__xludf.DUMMYFUNCTION("""COMPUTED_VALUE"""),46030.0)</f>
        <v>46030</v>
      </c>
    </row>
    <row r="3108">
      <c r="A3108" s="6" t="str">
        <f>IFERROR(__xludf.DUMMYFUNCTION("""COMPUTED_VALUE"""),"BDU")</f>
        <v>BDU</v>
      </c>
      <c r="B3108" s="6" t="str">
        <f>IFERROR(__xludf.DUMMYFUNCTION("""COMPUTED_VALUE"""),"ENG")</f>
        <v>ENG</v>
      </c>
      <c r="C3108" s="6" t="str">
        <f>IFERROR(__xludf.DUMMYFUNCTION("""COMPUTED_VALUE"""),"P-14453-00")</f>
        <v>P-14453-00</v>
      </c>
      <c r="D3108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3108" s="6">
        <f>IFERROR(__xludf.DUMMYFUNCTION("""COMPUTED_VALUE"""),1.0)</f>
        <v>1</v>
      </c>
      <c r="F3108" s="6">
        <f>IFERROR(__xludf.DUMMYFUNCTION("""COMPUTED_VALUE"""),1.0)</f>
        <v>1</v>
      </c>
      <c r="G3108" s="6">
        <f>IFERROR(__xludf.DUMMYFUNCTION("""COMPUTED_VALUE"""),0.0)</f>
        <v>0</v>
      </c>
      <c r="H3108" s="6" t="str">
        <f>IFERROR(__xludf.DUMMYFUNCTION("""COMPUTED_VALUE"""),"Pcs")</f>
        <v>Pcs</v>
      </c>
      <c r="I3108" s="6" t="str">
        <f>IFERROR(__xludf.DUMMYFUNCTION("""COMPUTED_VALUE"""),"MFH")</f>
        <v>MFH</v>
      </c>
      <c r="J3108" s="6" t="str">
        <f>IFERROR(__xludf.DUMMYFUNCTION("""COMPUTED_VALUE"""),"AHU")</f>
        <v>AHU</v>
      </c>
      <c r="K3108" s="6" t="str">
        <f>IFERROR(__xludf.DUMMYFUNCTION("""COMPUTED_VALUE"""),"SPR/26/01/057")</f>
        <v>SPR/26/01/057</v>
      </c>
      <c r="L3108" s="58">
        <f>IFERROR(__xludf.DUMMYFUNCTION("""COMPUTED_VALUE"""),46030.0)</f>
        <v>46030</v>
      </c>
    </row>
    <row r="3109">
      <c r="A3109" s="6" t="str">
        <f>IFERROR(__xludf.DUMMYFUNCTION("""COMPUTED_VALUE"""),"BDU")</f>
        <v>BDU</v>
      </c>
      <c r="B3109" s="6" t="str">
        <f>IFERROR(__xludf.DUMMYFUNCTION("""COMPUTED_VALUE"""),"ENG")</f>
        <v>ENG</v>
      </c>
      <c r="C3109" s="6" t="str">
        <f>IFERROR(__xludf.DUMMYFUNCTION("""COMPUTED_VALUE"""),"P-14454-00")</f>
        <v>P-14454-00</v>
      </c>
      <c r="D3109" s="6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E3109" s="6">
        <f>IFERROR(__xludf.DUMMYFUNCTION("""COMPUTED_VALUE"""),1.0)</f>
        <v>1</v>
      </c>
      <c r="F3109" s="6">
        <f>IFERROR(__xludf.DUMMYFUNCTION("""COMPUTED_VALUE"""),1.0)</f>
        <v>1</v>
      </c>
      <c r="G3109" s="6">
        <f>IFERROR(__xludf.DUMMYFUNCTION("""COMPUTED_VALUE"""),0.0)</f>
        <v>0</v>
      </c>
      <c r="H3109" s="6" t="str">
        <f>IFERROR(__xludf.DUMMYFUNCTION("""COMPUTED_VALUE"""),"Pcs")</f>
        <v>Pcs</v>
      </c>
      <c r="I3109" s="6" t="str">
        <f>IFERROR(__xludf.DUMMYFUNCTION("""COMPUTED_VALUE"""),"MFH")</f>
        <v>MFH</v>
      </c>
      <c r="J3109" s="6" t="str">
        <f>IFERROR(__xludf.DUMMYFUNCTION("""COMPUTED_VALUE"""),"AHU")</f>
        <v>AHU</v>
      </c>
      <c r="K3109" s="6" t="str">
        <f>IFERROR(__xludf.DUMMYFUNCTION("""COMPUTED_VALUE"""),"SPR/26/01/057")</f>
        <v>SPR/26/01/057</v>
      </c>
      <c r="L3109" s="58">
        <f>IFERROR(__xludf.DUMMYFUNCTION("""COMPUTED_VALUE"""),46030.0)</f>
        <v>46030</v>
      </c>
    </row>
    <row r="3110">
      <c r="A3110" s="6" t="str">
        <f>IFERROR(__xludf.DUMMYFUNCTION("""COMPUTED_VALUE"""),"BDU")</f>
        <v>BDU</v>
      </c>
      <c r="B3110" s="6" t="str">
        <f>IFERROR(__xludf.DUMMYFUNCTION("""COMPUTED_VALUE"""),"ENG")</f>
        <v>ENG</v>
      </c>
      <c r="C3110" s="6" t="str">
        <f>IFERROR(__xludf.DUMMYFUNCTION("""COMPUTED_VALUE"""),"T-80046-00")</f>
        <v>T-80046-00</v>
      </c>
      <c r="D3110" s="6" t="str">
        <f>IFERROR(__xludf.DUMMYFUNCTION("""COMPUTED_VALUE"""),"Battery ALKALINE AA")</f>
        <v>Battery ALKALINE AA</v>
      </c>
      <c r="E3110" s="6">
        <f>IFERROR(__xludf.DUMMYFUNCTION("""COMPUTED_VALUE"""),4.0)</f>
        <v>4</v>
      </c>
      <c r="F3110" s="6">
        <f>IFERROR(__xludf.DUMMYFUNCTION("""COMPUTED_VALUE"""),4.0)</f>
        <v>4</v>
      </c>
      <c r="G3110" s="6">
        <f>IFERROR(__xludf.DUMMYFUNCTION("""COMPUTED_VALUE"""),0.0)</f>
        <v>0</v>
      </c>
      <c r="H3110" s="6" t="str">
        <f>IFERROR(__xludf.DUMMYFUNCTION("""COMPUTED_VALUE"""),"Pcs")</f>
        <v>Pcs</v>
      </c>
      <c r="I3110" s="6" t="str">
        <f>IFERROR(__xludf.DUMMYFUNCTION("""COMPUTED_VALUE"""),"MFH")</f>
        <v>MFH</v>
      </c>
      <c r="J3110" s="6" t="str">
        <f>IFERROR(__xludf.DUMMYFUNCTION("""COMPUTED_VALUE"""),"-")</f>
        <v>-</v>
      </c>
      <c r="K3110" s="6" t="str">
        <f>IFERROR(__xludf.DUMMYFUNCTION("""COMPUTED_VALUE"""),"SPR/26/01/058")</f>
        <v>SPR/26/01/058</v>
      </c>
      <c r="L3110" s="58">
        <f>IFERROR(__xludf.DUMMYFUNCTION("""COMPUTED_VALUE"""),46030.0)</f>
        <v>46030</v>
      </c>
    </row>
    <row r="3111">
      <c r="A3111" s="6" t="str">
        <f>IFERROR(__xludf.DUMMYFUNCTION("""COMPUTED_VALUE"""),"MRN")</f>
        <v>MRN</v>
      </c>
      <c r="B3111" s="6" t="str">
        <f>IFERROR(__xludf.DUMMYFUNCTION("""COMPUTED_VALUE"""),"ENG")</f>
        <v>ENG</v>
      </c>
      <c r="C3111" s="6" t="str">
        <f>IFERROR(__xludf.DUMMYFUNCTION("""COMPUTED_VALUE"""),"Q-10984-00")</f>
        <v>Q-10984-00</v>
      </c>
      <c r="D3111" s="6" t="str">
        <f>IFERROR(__xludf.DUMMYFUNCTION("""COMPUTED_VALUE"""),"Door Seal Karet Penutup Bawah Pintu Abu 2,5 cm x 1 M; ; ;")</f>
        <v>Door Seal Karet Penutup Bawah Pintu Abu 2,5 cm x 1 M; ; ;</v>
      </c>
      <c r="E3111" s="6">
        <f>IFERROR(__xludf.DUMMYFUNCTION("""COMPUTED_VALUE"""),1.0)</f>
        <v>1</v>
      </c>
      <c r="F3111" s="6">
        <f>IFERROR(__xludf.DUMMYFUNCTION("""COMPUTED_VALUE"""),1.0)</f>
        <v>1</v>
      </c>
      <c r="G3111" s="6">
        <f>IFERROR(__xludf.DUMMYFUNCTION("""COMPUTED_VALUE"""),0.0)</f>
        <v>0</v>
      </c>
      <c r="H3111" s="6" t="str">
        <f>IFERROR(__xludf.DUMMYFUNCTION("""COMPUTED_VALUE"""),"Pcs")</f>
        <v>Pcs</v>
      </c>
      <c r="I3111" s="6" t="str">
        <f>IFERROR(__xludf.DUMMYFUNCTION("""COMPUTED_VALUE"""),"MFH")</f>
        <v>MFH</v>
      </c>
      <c r="J3111" s="6" t="str">
        <f>IFERROR(__xludf.DUMMYFUNCTION("""COMPUTED_VALUE"""),"AHU")</f>
        <v>AHU</v>
      </c>
      <c r="K3111" s="6" t="str">
        <f>IFERROR(__xludf.DUMMYFUNCTION("""COMPUTED_VALUE"""),"SPR/26/01/059")</f>
        <v>SPR/26/01/059</v>
      </c>
      <c r="L3111" s="58">
        <f>IFERROR(__xludf.DUMMYFUNCTION("""COMPUTED_VALUE"""),46030.0)</f>
        <v>46030</v>
      </c>
    </row>
    <row r="3112">
      <c r="A3112" s="6" t="str">
        <f>IFERROR(__xludf.DUMMYFUNCTION("""COMPUTED_VALUE"""),"SFH")</f>
        <v>SFH</v>
      </c>
      <c r="B3112" s="6" t="str">
        <f>IFERROR(__xludf.DUMMYFUNCTION("""COMPUTED_VALUE"""),"ENG")</f>
        <v>ENG</v>
      </c>
      <c r="C3112" s="6" t="str">
        <f>IFERROR(__xludf.DUMMYFUNCTION("""COMPUTED_VALUE"""),"Q-10586-00")</f>
        <v>Q-10586-00</v>
      </c>
      <c r="D3112" s="6" t="str">
        <f>IFERROR(__xludf.DUMMYFUNCTION("""COMPUTED_VALUE"""),"Lampu LED Tube T5 9W 600 mm;No Brand;;pack size per pcs")</f>
        <v>Lampu LED Tube T5 9W 600 mm;No Brand;;pack size per pcs</v>
      </c>
      <c r="E3112" s="6">
        <f>IFERROR(__xludf.DUMMYFUNCTION("""COMPUTED_VALUE"""),1.0)</f>
        <v>1</v>
      </c>
      <c r="F3112" s="6">
        <f>IFERROR(__xludf.DUMMYFUNCTION("""COMPUTED_VALUE"""),1.0)</f>
        <v>1</v>
      </c>
      <c r="G3112" s="6">
        <f>IFERROR(__xludf.DUMMYFUNCTION("""COMPUTED_VALUE"""),0.0)</f>
        <v>0</v>
      </c>
      <c r="H3112" s="6" t="str">
        <f>IFERROR(__xludf.DUMMYFUNCTION("""COMPUTED_VALUE"""),"Pcs")</f>
        <v>Pcs</v>
      </c>
      <c r="I3112" s="6" t="str">
        <f>IFERROR(__xludf.DUMMYFUNCTION("""COMPUTED_VALUE"""),"MFH")</f>
        <v>MFH</v>
      </c>
      <c r="J3112" s="6" t="str">
        <f>IFERROR(__xludf.DUMMYFUNCTION("""COMPUTED_VALUE"""),"Building")</f>
        <v>Building</v>
      </c>
      <c r="K3112" s="6" t="str">
        <f>IFERROR(__xludf.DUMMYFUNCTION("""COMPUTED_VALUE"""),"SPR/26/01/060")</f>
        <v>SPR/26/01/060</v>
      </c>
      <c r="L3112" s="13">
        <f>IFERROR(__xludf.DUMMYFUNCTION("""COMPUTED_VALUE"""),46045.0)</f>
        <v>46045</v>
      </c>
    </row>
    <row r="3113">
      <c r="A3113" s="6" t="str">
        <f>IFERROR(__xludf.DUMMYFUNCTION("""COMPUTED_VALUE"""),"ROS")</f>
        <v>ROS</v>
      </c>
      <c r="B3113" s="6" t="str">
        <f>IFERROR(__xludf.DUMMYFUNCTION("""COMPUTED_VALUE"""),"ENG")</f>
        <v>ENG</v>
      </c>
      <c r="C3113" s="6" t="str">
        <f>IFERROR(__xludf.DUMMYFUNCTION("""COMPUTED_VALUE"""),"P-11431-00")</f>
        <v>P-11431-00</v>
      </c>
      <c r="D3113" s="6" t="str">
        <f>IFERROR(__xludf.DUMMYFUNCTION("""COMPUTED_VALUE"""),"General - Plastic Tubing, PUN-H-8X1,25-BL; Festo; 197385; 1 m")</f>
        <v>General - Plastic Tubing, PUN-H-8X1,25-BL; Festo; 197385; 1 m</v>
      </c>
      <c r="E3113" s="6">
        <f>IFERROR(__xludf.DUMMYFUNCTION("""COMPUTED_VALUE"""),3.0)</f>
        <v>3</v>
      </c>
      <c r="F3113" s="6">
        <f>IFERROR(__xludf.DUMMYFUNCTION("""COMPUTED_VALUE"""),3.0)</f>
        <v>3</v>
      </c>
      <c r="G3113" s="6">
        <f>IFERROR(__xludf.DUMMYFUNCTION("""COMPUTED_VALUE"""),0.0)</f>
        <v>0</v>
      </c>
      <c r="H3113" s="6" t="str">
        <f>IFERROR(__xludf.DUMMYFUNCTION("""COMPUTED_VALUE"""),"Pcs")</f>
        <v>Pcs</v>
      </c>
      <c r="I3113" s="6" t="str">
        <f>IFERROR(__xludf.DUMMYFUNCTION("""COMPUTED_VALUE"""),"MFH")</f>
        <v>MFH</v>
      </c>
      <c r="J3113" s="6" t="str">
        <f>IFERROR(__xludf.DUMMYFUNCTION("""COMPUTED_VALUE"""),"Coating")</f>
        <v>Coating</v>
      </c>
      <c r="K3113" s="6" t="str">
        <f>IFERROR(__xludf.DUMMYFUNCTION("""COMPUTED_VALUE"""),"SPR/26/01/061")</f>
        <v>SPR/26/01/061</v>
      </c>
      <c r="L3113" s="13">
        <f>IFERROR(__xludf.DUMMYFUNCTION("""COMPUTED_VALUE"""),46045.0)</f>
        <v>46045</v>
      </c>
    </row>
    <row r="3114">
      <c r="A3114" s="6" t="str">
        <f>IFERROR(__xludf.DUMMYFUNCTION("""COMPUTED_VALUE"""),"BDU")</f>
        <v>BDU</v>
      </c>
      <c r="B3114" s="6" t="str">
        <f>IFERROR(__xludf.DUMMYFUNCTION("""COMPUTED_VALUE"""),"ENG")</f>
        <v>ENG</v>
      </c>
      <c r="C3114" s="6" t="str">
        <f>IFERROR(__xludf.DUMMYFUNCTION("""COMPUTED_VALUE"""),"O-15931-00")</f>
        <v>O-15931-00</v>
      </c>
      <c r="D3114" s="6" t="str">
        <f>IFERROR(__xludf.DUMMYFUNCTION("""COMPUTED_VALUE"""),"Double Tape 3M 1"" Merah - P/N : - pc")</f>
        <v>Double Tape 3M 1" Merah - P/N : - pc</v>
      </c>
      <c r="E3114" s="6">
        <f>IFERROR(__xludf.DUMMYFUNCTION("""COMPUTED_VALUE"""),1.0)</f>
        <v>1</v>
      </c>
      <c r="F3114" s="6">
        <f>IFERROR(__xludf.DUMMYFUNCTION("""COMPUTED_VALUE"""),1.0)</f>
        <v>1</v>
      </c>
      <c r="G3114" s="6">
        <f>IFERROR(__xludf.DUMMYFUNCTION("""COMPUTED_VALUE"""),0.0)</f>
        <v>0</v>
      </c>
      <c r="H3114" s="6" t="str">
        <f>IFERROR(__xludf.DUMMYFUNCTION("""COMPUTED_VALUE"""),"Pcs")</f>
        <v>Pcs</v>
      </c>
      <c r="I3114" s="6" t="str">
        <f>IFERROR(__xludf.DUMMYFUNCTION("""COMPUTED_VALUE"""),"MFH")</f>
        <v>MFH</v>
      </c>
      <c r="J3114" s="6" t="str">
        <f>IFERROR(__xludf.DUMMYFUNCTION("""COMPUTED_VALUE"""),"Building")</f>
        <v>Building</v>
      </c>
      <c r="K3114" s="6" t="str">
        <f>IFERROR(__xludf.DUMMYFUNCTION("""COMPUTED_VALUE"""),"SPR/26/01/062")</f>
        <v>SPR/26/01/062</v>
      </c>
      <c r="L3114" s="13">
        <f>IFERROR(__xludf.DUMMYFUNCTION("""COMPUTED_VALUE"""),46045.0)</f>
        <v>46045</v>
      </c>
    </row>
    <row r="3115">
      <c r="A3115" s="6" t="str">
        <f>IFERROR(__xludf.DUMMYFUNCTION("""COMPUTED_VALUE"""),"ROS")</f>
        <v>ROS</v>
      </c>
      <c r="B3115" s="6" t="str">
        <f>IFERROR(__xludf.DUMMYFUNCTION("""COMPUTED_VALUE"""),"ENG")</f>
        <v>ENG</v>
      </c>
      <c r="C3115" s="6" t="str">
        <f>IFERROR(__xludf.DUMMYFUNCTION("""COMPUTED_VALUE"""),"O-16731-00")</f>
        <v>O-16731-00</v>
      </c>
      <c r="D3115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115" s="6">
        <f>IFERROR(__xludf.DUMMYFUNCTION("""COMPUTED_VALUE"""),1.0)</f>
        <v>1</v>
      </c>
      <c r="F3115" s="6">
        <f>IFERROR(__xludf.DUMMYFUNCTION("""COMPUTED_VALUE"""),1.0)</f>
        <v>1</v>
      </c>
      <c r="G3115" s="6">
        <f>IFERROR(__xludf.DUMMYFUNCTION("""COMPUTED_VALUE"""),0.0)</f>
        <v>0</v>
      </c>
      <c r="H3115" s="6" t="str">
        <f>IFERROR(__xludf.DUMMYFUNCTION("""COMPUTED_VALUE"""),"Pcs")</f>
        <v>Pcs</v>
      </c>
      <c r="I3115" s="6" t="str">
        <f>IFERROR(__xludf.DUMMYFUNCTION("""COMPUTED_VALUE"""),"MFH")</f>
        <v>MFH</v>
      </c>
      <c r="J3115" s="6" t="str">
        <f>IFERROR(__xludf.DUMMYFUNCTION("""COMPUTED_VALUE"""),"Autoclave")</f>
        <v>Autoclave</v>
      </c>
      <c r="K3115" s="6" t="str">
        <f>IFERROR(__xludf.DUMMYFUNCTION("""COMPUTED_VALUE"""),"SPR/26/01/063")</f>
        <v>SPR/26/01/063</v>
      </c>
      <c r="L3115" s="13">
        <f>IFERROR(__xludf.DUMMYFUNCTION("""COMPUTED_VALUE"""),46045.0)</f>
        <v>46045</v>
      </c>
    </row>
    <row r="3116">
      <c r="A3116" s="6" t="str">
        <f>IFERROR(__xludf.DUMMYFUNCTION("""COMPUTED_VALUE"""),"BDU")</f>
        <v>BDU</v>
      </c>
      <c r="B3116" s="6" t="str">
        <f>IFERROR(__xludf.DUMMYFUNCTION("""COMPUTED_VALUE"""),"ENG")</f>
        <v>ENG</v>
      </c>
      <c r="C3116" s="6" t="str">
        <f>IFERROR(__xludf.DUMMYFUNCTION("""COMPUTED_VALUE"""),"P-51027-00")</f>
        <v>P-51027-00</v>
      </c>
      <c r="D311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116" s="6">
        <f>IFERROR(__xludf.DUMMYFUNCTION("""COMPUTED_VALUE"""),1.0)</f>
        <v>1</v>
      </c>
      <c r="F3116" s="6">
        <f>IFERROR(__xludf.DUMMYFUNCTION("""COMPUTED_VALUE"""),1.0)</f>
        <v>1</v>
      </c>
      <c r="G3116" s="6">
        <f>IFERROR(__xludf.DUMMYFUNCTION("""COMPUTED_VALUE"""),0.0)</f>
        <v>0</v>
      </c>
      <c r="H3116" s="6" t="str">
        <f>IFERROR(__xludf.DUMMYFUNCTION("""COMPUTED_VALUE"""),"Pcs")</f>
        <v>Pcs</v>
      </c>
      <c r="I3116" s="6" t="str">
        <f>IFERROR(__xludf.DUMMYFUNCTION("""COMPUTED_VALUE"""),"MFH")</f>
        <v>MFH</v>
      </c>
      <c r="J3116" s="6" t="str">
        <f>IFERROR(__xludf.DUMMYFUNCTION("""COMPUTED_VALUE"""),"Autoclave")</f>
        <v>Autoclave</v>
      </c>
      <c r="K3116" s="6" t="str">
        <f>IFERROR(__xludf.DUMMYFUNCTION("""COMPUTED_VALUE"""),"SPR/26/01/064")</f>
        <v>SPR/26/01/064</v>
      </c>
      <c r="L3116" s="13">
        <f>IFERROR(__xludf.DUMMYFUNCTION("""COMPUTED_VALUE"""),46045.0)</f>
        <v>46045</v>
      </c>
    </row>
    <row r="3117">
      <c r="A3117" s="6" t="str">
        <f>IFERROR(__xludf.DUMMYFUNCTION("""COMPUTED_VALUE"""),"BDU")</f>
        <v>BDU</v>
      </c>
      <c r="B3117" s="6" t="str">
        <f>IFERROR(__xludf.DUMMYFUNCTION("""COMPUTED_VALUE"""),"ENG")</f>
        <v>ENG</v>
      </c>
      <c r="C3117" s="6" t="str">
        <f>IFERROR(__xludf.DUMMYFUNCTION("""COMPUTED_VALUE"""),"O-15931-00")</f>
        <v>O-15931-00</v>
      </c>
      <c r="D3117" s="6" t="str">
        <f>IFERROR(__xludf.DUMMYFUNCTION("""COMPUTED_VALUE"""),"Double Tape 3M 1"" Merah - P/N : - pc")</f>
        <v>Double Tape 3M 1" Merah - P/N : - pc</v>
      </c>
      <c r="E3117" s="6">
        <f>IFERROR(__xludf.DUMMYFUNCTION("""COMPUTED_VALUE"""),1.0)</f>
        <v>1</v>
      </c>
      <c r="F3117" s="6">
        <f>IFERROR(__xludf.DUMMYFUNCTION("""COMPUTED_VALUE"""),1.0)</f>
        <v>1</v>
      </c>
      <c r="G3117" s="6">
        <f>IFERROR(__xludf.DUMMYFUNCTION("""COMPUTED_VALUE"""),0.0)</f>
        <v>0</v>
      </c>
      <c r="H3117" s="6" t="str">
        <f>IFERROR(__xludf.DUMMYFUNCTION("""COMPUTED_VALUE"""),"Pcs")</f>
        <v>Pcs</v>
      </c>
      <c r="I3117" s="6" t="str">
        <f>IFERROR(__xludf.DUMMYFUNCTION("""COMPUTED_VALUE"""),"MFH")</f>
        <v>MFH</v>
      </c>
      <c r="J3117" s="6" t="str">
        <f>IFERROR(__xludf.DUMMYFUNCTION("""COMPUTED_VALUE"""),"Autoclave")</f>
        <v>Autoclave</v>
      </c>
      <c r="K3117" s="6" t="str">
        <f>IFERROR(__xludf.DUMMYFUNCTION("""COMPUTED_VALUE"""),"SPR/26/01/064")</f>
        <v>SPR/26/01/064</v>
      </c>
      <c r="L3117" s="13">
        <f>IFERROR(__xludf.DUMMYFUNCTION("""COMPUTED_VALUE"""),46045.0)</f>
        <v>46045</v>
      </c>
    </row>
    <row r="3118">
      <c r="A3118" s="6" t="str">
        <f>IFERROR(__xludf.DUMMYFUNCTION("""COMPUTED_VALUE"""),"SFH")</f>
        <v>SFH</v>
      </c>
      <c r="B3118" s="6" t="str">
        <f>IFERROR(__xludf.DUMMYFUNCTION("""COMPUTED_VALUE"""),"ENG")</f>
        <v>ENG</v>
      </c>
      <c r="C3118" s="6" t="str">
        <f>IFERROR(__xludf.DUMMYFUNCTION("""COMPUTED_VALUE"""),"Q-60502-00")</f>
        <v>Q-60502-00</v>
      </c>
      <c r="D3118" s="6" t="str">
        <f>IFERROR(__xludf.DUMMYFUNCTION("""COMPUTED_VALUE"""),"Silicone Sealant, Silglaze, Type N10 White, pack size per pcs")</f>
        <v>Silicone Sealant, Silglaze, Type N10 White, pack size per pcs</v>
      </c>
      <c r="E3118" s="6">
        <f>IFERROR(__xludf.DUMMYFUNCTION("""COMPUTED_VALUE"""),1.0)</f>
        <v>1</v>
      </c>
      <c r="F3118" s="6">
        <f>IFERROR(__xludf.DUMMYFUNCTION("""COMPUTED_VALUE"""),1.0)</f>
        <v>1</v>
      </c>
      <c r="G3118" s="6">
        <f>IFERROR(__xludf.DUMMYFUNCTION("""COMPUTED_VALUE"""),0.0)</f>
        <v>0</v>
      </c>
      <c r="H3118" s="6" t="str">
        <f>IFERROR(__xludf.DUMMYFUNCTION("""COMPUTED_VALUE"""),"Pcs")</f>
        <v>Pcs</v>
      </c>
      <c r="I3118" s="6" t="str">
        <f>IFERROR(__xludf.DUMMYFUNCTION("""COMPUTED_VALUE"""),"MFH")</f>
        <v>MFH</v>
      </c>
      <c r="J3118" s="6" t="str">
        <f>IFERROR(__xludf.DUMMYFUNCTION("""COMPUTED_VALUE"""),"Building")</f>
        <v>Building</v>
      </c>
      <c r="K3118" s="6" t="str">
        <f>IFERROR(__xludf.DUMMYFUNCTION("""COMPUTED_VALUE"""),"SPR/26/01/065")</f>
        <v>SPR/26/01/065</v>
      </c>
      <c r="L3118" s="13">
        <f>IFERROR(__xludf.DUMMYFUNCTION("""COMPUTED_VALUE"""),46045.0)</f>
        <v>46045</v>
      </c>
    </row>
    <row r="3119">
      <c r="A3119" s="6" t="str">
        <f>IFERROR(__xludf.DUMMYFUNCTION("""COMPUTED_VALUE"""),"ANO")</f>
        <v>ANO</v>
      </c>
      <c r="B3119" s="6" t="str">
        <f>IFERROR(__xludf.DUMMYFUNCTION("""COMPUTED_VALUE"""),"ENG")</f>
        <v>ENG</v>
      </c>
      <c r="C3119" s="6" t="str">
        <f>IFERROR(__xludf.DUMMYFUNCTION("""COMPUTED_VALUE"""),"O-16647-00")</f>
        <v>O-16647-00</v>
      </c>
      <c r="D3119" s="6" t="str">
        <f>IFERROR(__xludf.DUMMYFUNCTION("""COMPUTED_VALUE"""),"Washing RAR4 - Oring Silicone Merah 23x18x2.5 mm; ; ;")</f>
        <v>Washing RAR4 - Oring Silicone Merah 23x18x2.5 mm; ; ;</v>
      </c>
      <c r="E3119" s="6">
        <f>IFERROR(__xludf.DUMMYFUNCTION("""COMPUTED_VALUE"""),10.0)</f>
        <v>10</v>
      </c>
      <c r="F3119" s="6">
        <f>IFERROR(__xludf.DUMMYFUNCTION("""COMPUTED_VALUE"""),10.0)</f>
        <v>10</v>
      </c>
      <c r="G3119" s="6">
        <f>IFERROR(__xludf.DUMMYFUNCTION("""COMPUTED_VALUE"""),0.0)</f>
        <v>0</v>
      </c>
      <c r="H3119" s="6" t="str">
        <f>IFERROR(__xludf.DUMMYFUNCTION("""COMPUTED_VALUE"""),"Pcs")</f>
        <v>Pcs</v>
      </c>
      <c r="I3119" s="6" t="str">
        <f>IFERROR(__xludf.DUMMYFUNCTION("""COMPUTED_VALUE"""),"MFH")</f>
        <v>MFH</v>
      </c>
      <c r="J3119" s="6" t="str">
        <f>IFERROR(__xludf.DUMMYFUNCTION("""COMPUTED_VALUE"""),"Capping")</f>
        <v>Capping</v>
      </c>
      <c r="K3119" s="6" t="str">
        <f>IFERROR(__xludf.DUMMYFUNCTION("""COMPUTED_VALUE"""),"SPR/26/01/066")</f>
        <v>SPR/26/01/066</v>
      </c>
      <c r="L3119" s="13">
        <f>IFERROR(__xludf.DUMMYFUNCTION("""COMPUTED_VALUE"""),46045.0)</f>
        <v>46045</v>
      </c>
    </row>
    <row r="3120">
      <c r="A3120" s="6" t="str">
        <f>IFERROR(__xludf.DUMMYFUNCTION("""COMPUTED_VALUE"""),"ANO")</f>
        <v>ANO</v>
      </c>
      <c r="B3120" s="6" t="str">
        <f>IFERROR(__xludf.DUMMYFUNCTION("""COMPUTED_VALUE"""),"ENG")</f>
        <v>ENG</v>
      </c>
      <c r="C3120" s="6" t="str">
        <f>IFERROR(__xludf.DUMMYFUNCTION("""COMPUTED_VALUE"""),"O-15931-00")</f>
        <v>O-15931-00</v>
      </c>
      <c r="D3120" s="6" t="str">
        <f>IFERROR(__xludf.DUMMYFUNCTION("""COMPUTED_VALUE"""),"Double Tape 3M 1"" Merah - P/N : - pc")</f>
        <v>Double Tape 3M 1" Merah - P/N : - pc</v>
      </c>
      <c r="E3120" s="6">
        <f>IFERROR(__xludf.DUMMYFUNCTION("""COMPUTED_VALUE"""),1.0)</f>
        <v>1</v>
      </c>
      <c r="F3120" s="6">
        <f>IFERROR(__xludf.DUMMYFUNCTION("""COMPUTED_VALUE"""),1.0)</f>
        <v>1</v>
      </c>
      <c r="G3120" s="6">
        <f>IFERROR(__xludf.DUMMYFUNCTION("""COMPUTED_VALUE"""),0.0)</f>
        <v>0</v>
      </c>
      <c r="H3120" s="6" t="str">
        <f>IFERROR(__xludf.DUMMYFUNCTION("""COMPUTED_VALUE"""),"Pcs")</f>
        <v>Pcs</v>
      </c>
      <c r="I3120" s="6" t="str">
        <f>IFERROR(__xludf.DUMMYFUNCTION("""COMPUTED_VALUE"""),"MFH")</f>
        <v>MFH</v>
      </c>
      <c r="J3120" s="6" t="str">
        <f>IFERROR(__xludf.DUMMYFUNCTION("""COMPUTED_VALUE"""),"Capping")</f>
        <v>Capping</v>
      </c>
      <c r="K3120" s="6" t="str">
        <f>IFERROR(__xludf.DUMMYFUNCTION("""COMPUTED_VALUE"""),"SPR/26/01/067")</f>
        <v>SPR/26/01/067</v>
      </c>
      <c r="L3120" s="13">
        <f>IFERROR(__xludf.DUMMYFUNCTION("""COMPUTED_VALUE"""),46045.0)</f>
        <v>46045</v>
      </c>
    </row>
    <row r="3121">
      <c r="A3121" s="6" t="str">
        <f>IFERROR(__xludf.DUMMYFUNCTION("""COMPUTED_VALUE"""),"ANO")</f>
        <v>ANO</v>
      </c>
      <c r="B3121" s="6" t="str">
        <f>IFERROR(__xludf.DUMMYFUNCTION("""COMPUTED_VALUE"""),"ENG")</f>
        <v>ENG</v>
      </c>
      <c r="C3121" s="6" t="str">
        <f>IFERROR(__xludf.DUMMYFUNCTION("""COMPUTED_VALUE"""),"Q-10249-00")</f>
        <v>Q-10249-00</v>
      </c>
      <c r="D3121" s="6" t="str">
        <f>IFERROR(__xludf.DUMMYFUNCTION("""COMPUTED_VALUE"""),"Lem Power Glue; ; ;")</f>
        <v>Lem Power Glue; ; ;</v>
      </c>
      <c r="E3121" s="6">
        <f>IFERROR(__xludf.DUMMYFUNCTION("""COMPUTED_VALUE"""),1.0)</f>
        <v>1</v>
      </c>
      <c r="F3121" s="6">
        <f>IFERROR(__xludf.DUMMYFUNCTION("""COMPUTED_VALUE"""),1.0)</f>
        <v>1</v>
      </c>
      <c r="G3121" s="6">
        <f>IFERROR(__xludf.DUMMYFUNCTION("""COMPUTED_VALUE"""),0.0)</f>
        <v>0</v>
      </c>
      <c r="H3121" s="6" t="str">
        <f>IFERROR(__xludf.DUMMYFUNCTION("""COMPUTED_VALUE"""),"Pcs")</f>
        <v>Pcs</v>
      </c>
      <c r="I3121" s="6" t="str">
        <f>IFERROR(__xludf.DUMMYFUNCTION("""COMPUTED_VALUE"""),"MFH")</f>
        <v>MFH</v>
      </c>
      <c r="J3121" s="6" t="str">
        <f>IFERROR(__xludf.DUMMYFUNCTION("""COMPUTED_VALUE"""),"Capping")</f>
        <v>Capping</v>
      </c>
      <c r="K3121" s="6" t="str">
        <f>IFERROR(__xludf.DUMMYFUNCTION("""COMPUTED_VALUE"""),"SPR/26/01/067")</f>
        <v>SPR/26/01/067</v>
      </c>
      <c r="L3121" s="13">
        <f>IFERROR(__xludf.DUMMYFUNCTION("""COMPUTED_VALUE"""),46045.0)</f>
        <v>46045</v>
      </c>
    </row>
    <row r="3122">
      <c r="A3122" s="6" t="str">
        <f>IFERROR(__xludf.DUMMYFUNCTION("""COMPUTED_VALUE"""),"NDS")</f>
        <v>NDS</v>
      </c>
      <c r="B3122" s="6" t="str">
        <f>IFERROR(__xludf.DUMMYFUNCTION("""COMPUTED_VALUE"""),"ENG")</f>
        <v>ENG</v>
      </c>
      <c r="C3122" s="6" t="str">
        <f>IFERROR(__xludf.DUMMYFUNCTION("""COMPUTED_VALUE"""),"O-20487-00")</f>
        <v>O-20487-00</v>
      </c>
      <c r="D3122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122" s="6">
        <f>IFERROR(__xludf.DUMMYFUNCTION("""COMPUTED_VALUE"""),1.0)</f>
        <v>1</v>
      </c>
      <c r="F3122" s="6">
        <f>IFERROR(__xludf.DUMMYFUNCTION("""COMPUTED_VALUE"""),1.0)</f>
        <v>1</v>
      </c>
      <c r="G3122" s="6">
        <f>IFERROR(__xludf.DUMMYFUNCTION("""COMPUTED_VALUE"""),0.0)</f>
        <v>0</v>
      </c>
      <c r="H3122" s="6" t="str">
        <f>IFERROR(__xludf.DUMMYFUNCTION("""COMPUTED_VALUE"""),"Pcs")</f>
        <v>Pcs</v>
      </c>
      <c r="I3122" s="6" t="str">
        <f>IFERROR(__xludf.DUMMYFUNCTION("""COMPUTED_VALUE"""),"MFH")</f>
        <v>MFH</v>
      </c>
      <c r="J3122" s="6" t="str">
        <f>IFERROR(__xludf.DUMMYFUNCTION("""COMPUTED_VALUE"""),"Filling")</f>
        <v>Filling</v>
      </c>
      <c r="K3122" s="6" t="str">
        <f>IFERROR(__xludf.DUMMYFUNCTION("""COMPUTED_VALUE"""),"SPR/26/01/068")</f>
        <v>SPR/26/01/068</v>
      </c>
      <c r="L3122" s="13">
        <f>IFERROR(__xludf.DUMMYFUNCTION("""COMPUTED_VALUE"""),46045.0)</f>
        <v>46045</v>
      </c>
    </row>
    <row r="3123">
      <c r="A3123" s="6" t="str">
        <f>IFERROR(__xludf.DUMMYFUNCTION("""COMPUTED_VALUE"""),"NDS")</f>
        <v>NDS</v>
      </c>
      <c r="B3123" s="6" t="str">
        <f>IFERROR(__xludf.DUMMYFUNCTION("""COMPUTED_VALUE"""),"ENG")</f>
        <v>ENG</v>
      </c>
      <c r="C3123" s="6" t="str">
        <f>IFERROR(__xludf.DUMMYFUNCTION("""COMPUTED_VALUE"""),"P-10945-00")</f>
        <v>P-10945-00</v>
      </c>
      <c r="D3123" s="6" t="str">
        <f>IFERROR(__xludf.DUMMYFUNCTION("""COMPUTED_VALUE"""),"General - Seal Tape 1inch; ONDA; -; 1 Pcs")</f>
        <v>General - Seal Tape 1inch; ONDA; -; 1 Pcs</v>
      </c>
      <c r="E3123" s="6">
        <f>IFERROR(__xludf.DUMMYFUNCTION("""COMPUTED_VALUE"""),2.0)</f>
        <v>2</v>
      </c>
      <c r="F3123" s="6">
        <f>IFERROR(__xludf.DUMMYFUNCTION("""COMPUTED_VALUE"""),2.0)</f>
        <v>2</v>
      </c>
      <c r="G3123" s="6">
        <f>IFERROR(__xludf.DUMMYFUNCTION("""COMPUTED_VALUE"""),0.0)</f>
        <v>0</v>
      </c>
      <c r="H3123" s="6" t="str">
        <f>IFERROR(__xludf.DUMMYFUNCTION("""COMPUTED_VALUE"""),"Pcs")</f>
        <v>Pcs</v>
      </c>
      <c r="I3123" s="6" t="str">
        <f>IFERROR(__xludf.DUMMYFUNCTION("""COMPUTED_VALUE"""),"MFH")</f>
        <v>MFH</v>
      </c>
      <c r="J3123" s="6" t="str">
        <f>IFERROR(__xludf.DUMMYFUNCTION("""COMPUTED_VALUE"""),"Building")</f>
        <v>Building</v>
      </c>
      <c r="K3123" s="6" t="str">
        <f>IFERROR(__xludf.DUMMYFUNCTION("""COMPUTED_VALUE"""),"SPR/26/01/068")</f>
        <v>SPR/26/01/068</v>
      </c>
      <c r="L3123" s="13">
        <f>IFERROR(__xludf.DUMMYFUNCTION("""COMPUTED_VALUE"""),46045.0)</f>
        <v>46045</v>
      </c>
    </row>
    <row r="3124">
      <c r="A3124" s="6" t="str">
        <f>IFERROR(__xludf.DUMMYFUNCTION("""COMPUTED_VALUE"""),"NDS")</f>
        <v>NDS</v>
      </c>
      <c r="B3124" s="6" t="str">
        <f>IFERROR(__xludf.DUMMYFUNCTION("""COMPUTED_VALUE"""),"ENG")</f>
        <v>ENG</v>
      </c>
      <c r="C3124" s="6" t="str">
        <f>IFERROR(__xludf.DUMMYFUNCTION("""COMPUTED_VALUE"""),"O-14639-00")</f>
        <v>O-14639-00</v>
      </c>
      <c r="D3124" s="6" t="str">
        <f>IFERROR(__xludf.DUMMYFUNCTION("""COMPUTED_VALUE"""),"EPDM Gasket for Ferrule dia. 1/2"" - P/N : -  pc")</f>
        <v>EPDM Gasket for Ferrule dia. 1/2" - P/N : -  pc</v>
      </c>
      <c r="E3124" s="6">
        <f>IFERROR(__xludf.DUMMYFUNCTION("""COMPUTED_VALUE"""),4.0)</f>
        <v>4</v>
      </c>
      <c r="F3124" s="6">
        <f>IFERROR(__xludf.DUMMYFUNCTION("""COMPUTED_VALUE"""),4.0)</f>
        <v>4</v>
      </c>
      <c r="G3124" s="6">
        <f>IFERROR(__xludf.DUMMYFUNCTION("""COMPUTED_VALUE"""),0.0)</f>
        <v>0</v>
      </c>
      <c r="H3124" s="6" t="str">
        <f>IFERROR(__xludf.DUMMYFUNCTION("""COMPUTED_VALUE"""),"Pcs")</f>
        <v>Pcs</v>
      </c>
      <c r="I3124" s="6" t="str">
        <f>IFERROR(__xludf.DUMMYFUNCTION("""COMPUTED_VALUE"""),"MFH")</f>
        <v>MFH</v>
      </c>
      <c r="J3124" s="6" t="str">
        <f>IFERROR(__xludf.DUMMYFUNCTION("""COMPUTED_VALUE"""),"FIlling")</f>
        <v>FIlling</v>
      </c>
      <c r="K3124" s="6" t="str">
        <f>IFERROR(__xludf.DUMMYFUNCTION("""COMPUTED_VALUE"""),"SPR/26/01/068")</f>
        <v>SPR/26/01/068</v>
      </c>
      <c r="L3124" s="13">
        <f>IFERROR(__xludf.DUMMYFUNCTION("""COMPUTED_VALUE"""),46045.0)</f>
        <v>46045</v>
      </c>
    </row>
    <row r="3125">
      <c r="A3125" s="6" t="str">
        <f>IFERROR(__xludf.DUMMYFUNCTION("""COMPUTED_VALUE"""),"SFH")</f>
        <v>SFH</v>
      </c>
      <c r="B3125" s="6" t="str">
        <f>IFERROR(__xludf.DUMMYFUNCTION("""COMPUTED_VALUE"""),"ENG")</f>
        <v>ENG</v>
      </c>
      <c r="C3125" s="6" t="str">
        <f>IFERROR(__xludf.DUMMYFUNCTION("""COMPUTED_VALUE"""),"P-17645-00")</f>
        <v>P-17645-00</v>
      </c>
      <c r="D3125" s="6" t="str">
        <f>IFERROR(__xludf.DUMMYFUNCTION("""COMPUTED_VALUE"""),"Sodium Hiphoclorite; ; ; ltr")</f>
        <v>Sodium Hiphoclorite; ; ; ltr</v>
      </c>
      <c r="E3125" s="6">
        <f>IFERROR(__xludf.DUMMYFUNCTION("""COMPUTED_VALUE"""),75.0)</f>
        <v>75</v>
      </c>
      <c r="F3125" s="6">
        <f>IFERROR(__xludf.DUMMYFUNCTION("""COMPUTED_VALUE"""),75.0)</f>
        <v>75</v>
      </c>
      <c r="G3125" s="6">
        <f>IFERROR(__xludf.DUMMYFUNCTION("""COMPUTED_VALUE"""),0.0)</f>
        <v>0</v>
      </c>
      <c r="H3125" s="6" t="str">
        <f>IFERROR(__xludf.DUMMYFUNCTION("""COMPUTED_VALUE"""),"Pcs")</f>
        <v>Pcs</v>
      </c>
      <c r="I3125" s="6" t="str">
        <f>IFERROR(__xludf.DUMMYFUNCTION("""COMPUTED_VALUE"""),"MFH")</f>
        <v>MFH</v>
      </c>
      <c r="J3125" s="6" t="str">
        <f>IFERROR(__xludf.DUMMYFUNCTION("""COMPUTED_VALUE"""),"WWTP")</f>
        <v>WWTP</v>
      </c>
      <c r="K3125" s="6" t="str">
        <f>IFERROR(__xludf.DUMMYFUNCTION("""COMPUTED_VALUE"""),"SPR/26/01/069")</f>
        <v>SPR/26/01/069</v>
      </c>
      <c r="L3125" s="13">
        <f>IFERROR(__xludf.DUMMYFUNCTION("""COMPUTED_VALUE"""),46045.0)</f>
        <v>46045</v>
      </c>
    </row>
    <row r="3126">
      <c r="A3126" s="6" t="str">
        <f>IFERROR(__xludf.DUMMYFUNCTION("""COMPUTED_VALUE"""),"SFH")</f>
        <v>SFH</v>
      </c>
      <c r="B3126" s="6" t="str">
        <f>IFERROR(__xludf.DUMMYFUNCTION("""COMPUTED_VALUE"""),"ENG")</f>
        <v>ENG</v>
      </c>
      <c r="C3126" s="6" t="str">
        <f>IFERROR(__xludf.DUMMYFUNCTION("""COMPUTED_VALUE"""),"P-51560-00")</f>
        <v>P-51560-00</v>
      </c>
      <c r="D3126" s="6" t="str">
        <f>IFERROR(__xludf.DUMMYFUNCTION("""COMPUTED_VALUE"""),"General - Lampu TL LED T5 28 W White; Philips; -; 1 unt")</f>
        <v>General - Lampu TL LED T5 28 W White; Philips; -; 1 unt</v>
      </c>
      <c r="E3126" s="6">
        <f>IFERROR(__xludf.DUMMYFUNCTION("""COMPUTED_VALUE"""),2.0)</f>
        <v>2</v>
      </c>
      <c r="F3126" s="6">
        <f>IFERROR(__xludf.DUMMYFUNCTION("""COMPUTED_VALUE"""),2.0)</f>
        <v>2</v>
      </c>
      <c r="G3126" s="6">
        <f>IFERROR(__xludf.DUMMYFUNCTION("""COMPUTED_VALUE"""),0.0)</f>
        <v>0</v>
      </c>
      <c r="H3126" s="6" t="str">
        <f>IFERROR(__xludf.DUMMYFUNCTION("""COMPUTED_VALUE"""),"Pcs")</f>
        <v>Pcs</v>
      </c>
      <c r="I3126" s="6" t="str">
        <f>IFERROR(__xludf.DUMMYFUNCTION("""COMPUTED_VALUE"""),"MFH")</f>
        <v>MFH</v>
      </c>
      <c r="J3126" s="6" t="str">
        <f>IFERROR(__xludf.DUMMYFUNCTION("""COMPUTED_VALUE"""),"Building")</f>
        <v>Building</v>
      </c>
      <c r="K3126" s="6" t="str">
        <f>IFERROR(__xludf.DUMMYFUNCTION("""COMPUTED_VALUE"""),"SPR/26/01/069")</f>
        <v>SPR/26/01/069</v>
      </c>
      <c r="L3126" s="13">
        <f>IFERROR(__xludf.DUMMYFUNCTION("""COMPUTED_VALUE"""),46045.0)</f>
        <v>46045</v>
      </c>
    </row>
    <row r="3127">
      <c r="A3127" s="6" t="str">
        <f>IFERROR(__xludf.DUMMYFUNCTION("""COMPUTED_VALUE"""),"SFH")</f>
        <v>SFH</v>
      </c>
      <c r="B3127" s="6" t="str">
        <f>IFERROR(__xludf.DUMMYFUNCTION("""COMPUTED_VALUE"""),"ENG")</f>
        <v>ENG</v>
      </c>
      <c r="C3127" s="6" t="str">
        <f>IFERROR(__xludf.DUMMYFUNCTION("""COMPUTED_VALUE"""),"P-53169-00")</f>
        <v>P-53169-00</v>
      </c>
      <c r="D3127" s="6" t="str">
        <f>IFERROR(__xludf.DUMMYFUNCTION("""COMPUTED_VALUE"""),"General - Trafo BalLast EBC 2x28W; Phillips; EB-C 228; 1 pcs")</f>
        <v>General - Trafo BalLast EBC 2x28W; Phillips; EB-C 228; 1 pcs</v>
      </c>
      <c r="E3127" s="6">
        <f>IFERROR(__xludf.DUMMYFUNCTION("""COMPUTED_VALUE"""),2.0)</f>
        <v>2</v>
      </c>
      <c r="F3127" s="6">
        <f>IFERROR(__xludf.DUMMYFUNCTION("""COMPUTED_VALUE"""),2.0)</f>
        <v>2</v>
      </c>
      <c r="G3127" s="6">
        <f>IFERROR(__xludf.DUMMYFUNCTION("""COMPUTED_VALUE"""),0.0)</f>
        <v>0</v>
      </c>
      <c r="H3127" s="6" t="str">
        <f>IFERROR(__xludf.DUMMYFUNCTION("""COMPUTED_VALUE"""),"Pcs")</f>
        <v>Pcs</v>
      </c>
      <c r="I3127" s="6" t="str">
        <f>IFERROR(__xludf.DUMMYFUNCTION("""COMPUTED_VALUE"""),"MFH")</f>
        <v>MFH</v>
      </c>
      <c r="J3127" s="6" t="str">
        <f>IFERROR(__xludf.DUMMYFUNCTION("""COMPUTED_VALUE"""),"Building")</f>
        <v>Building</v>
      </c>
      <c r="K3127" s="6" t="str">
        <f>IFERROR(__xludf.DUMMYFUNCTION("""COMPUTED_VALUE"""),"SPR/26/01/069")</f>
        <v>SPR/26/01/069</v>
      </c>
      <c r="L3127" s="13">
        <f>IFERROR(__xludf.DUMMYFUNCTION("""COMPUTED_VALUE"""),46045.0)</f>
        <v>46045</v>
      </c>
    </row>
    <row r="3128">
      <c r="A3128" s="6" t="str">
        <f>IFERROR(__xludf.DUMMYFUNCTION("""COMPUTED_VALUE"""),"SFH")</f>
        <v>SFH</v>
      </c>
      <c r="B3128" s="6" t="str">
        <f>IFERROR(__xludf.DUMMYFUNCTION("""COMPUTED_VALUE"""),"ENG")</f>
        <v>ENG</v>
      </c>
      <c r="C3128" s="6" t="str">
        <f>IFERROR(__xludf.DUMMYFUNCTION("""COMPUTED_VALUE"""),"P-50717-00")</f>
        <v>P-50717-00</v>
      </c>
      <c r="D3128" s="6" t="str">
        <f>IFERROR(__xludf.DUMMYFUNCTION("""COMPUTED_VALUE"""),"General - Kabel UTP 4 Pairs Cat 6; Belden; -; 305m/roll")</f>
        <v>General - Kabel UTP 4 Pairs Cat 6; Belden; -; 305m/roll</v>
      </c>
      <c r="E3128" s="6">
        <f>IFERROR(__xludf.DUMMYFUNCTION("""COMPUTED_VALUE"""),270.0)</f>
        <v>270</v>
      </c>
      <c r="F3128" s="6">
        <f>IFERROR(__xludf.DUMMYFUNCTION("""COMPUTED_VALUE"""),305.0)</f>
        <v>305</v>
      </c>
      <c r="G3128" s="6">
        <f>IFERROR(__xludf.DUMMYFUNCTION("""COMPUTED_VALUE"""),0.0)</f>
        <v>0</v>
      </c>
      <c r="H3128" s="6" t="str">
        <f>IFERROR(__xludf.DUMMYFUNCTION("""COMPUTED_VALUE"""),"Pcs")</f>
        <v>Pcs</v>
      </c>
      <c r="I3128" s="6" t="str">
        <f>IFERROR(__xludf.DUMMYFUNCTION("""COMPUTED_VALUE"""),"MFH")</f>
        <v>MFH</v>
      </c>
      <c r="J3128" s="6" t="str">
        <f>IFERROR(__xludf.DUMMYFUNCTION("""COMPUTED_VALUE"""),"Building")</f>
        <v>Building</v>
      </c>
      <c r="K3128" s="6" t="str">
        <f>IFERROR(__xludf.DUMMYFUNCTION("""COMPUTED_VALUE"""),"SPR/26/01/070")</f>
        <v>SPR/26/01/070</v>
      </c>
      <c r="L3128" s="13">
        <f>IFERROR(__xludf.DUMMYFUNCTION("""COMPUTED_VALUE"""),46045.0)</f>
        <v>46045</v>
      </c>
    </row>
    <row r="3129">
      <c r="A3129" s="6" t="str">
        <f>IFERROR(__xludf.DUMMYFUNCTION("""COMPUTED_VALUE"""),"SFH")</f>
        <v>SFH</v>
      </c>
      <c r="B3129" s="6" t="str">
        <f>IFERROR(__xludf.DUMMYFUNCTION("""COMPUTED_VALUE"""),"ENG")</f>
        <v>ENG</v>
      </c>
      <c r="C3129" s="6" t="str">
        <f>IFERROR(__xludf.DUMMYFUNCTION("""COMPUTED_VALUE"""),"S-20055-00")</f>
        <v>S-20055-00</v>
      </c>
      <c r="D3129" s="6" t="str">
        <f>IFERROR(__xludf.DUMMYFUNCTION("""COMPUTED_VALUE"""),"Safety Gloves; Promaster; pack size 10 pcs per box")</f>
        <v>Safety Gloves; Promaster; pack size 10 pcs per box</v>
      </c>
      <c r="E3129" s="6">
        <f>IFERROR(__xludf.DUMMYFUNCTION("""COMPUTED_VALUE"""),1.0)</f>
        <v>1</v>
      </c>
      <c r="F3129" s="6">
        <f>IFERROR(__xludf.DUMMYFUNCTION("""COMPUTED_VALUE"""),1.0)</f>
        <v>1</v>
      </c>
      <c r="G3129" s="6">
        <f>IFERROR(__xludf.DUMMYFUNCTION("""COMPUTED_VALUE"""),0.0)</f>
        <v>0</v>
      </c>
      <c r="H3129" s="6" t="str">
        <f>IFERROR(__xludf.DUMMYFUNCTION("""COMPUTED_VALUE"""),"Pcs")</f>
        <v>Pcs</v>
      </c>
      <c r="I3129" s="6" t="str">
        <f>IFERROR(__xludf.DUMMYFUNCTION("""COMPUTED_VALUE"""),"MFH")</f>
        <v>MFH</v>
      </c>
      <c r="J3129" s="6" t="str">
        <f>IFERROR(__xludf.DUMMYFUNCTION("""COMPUTED_VALUE"""),"Building")</f>
        <v>Building</v>
      </c>
      <c r="K3129" s="6" t="str">
        <f>IFERROR(__xludf.DUMMYFUNCTION("""COMPUTED_VALUE"""),"SPR/26/01/070")</f>
        <v>SPR/26/01/070</v>
      </c>
      <c r="L3129" s="13">
        <f>IFERROR(__xludf.DUMMYFUNCTION("""COMPUTED_VALUE"""),46045.0)</f>
        <v>46045</v>
      </c>
    </row>
    <row r="3130">
      <c r="A3130" s="6" t="str">
        <f>IFERROR(__xludf.DUMMYFUNCTION("""COMPUTED_VALUE"""),"SFH")</f>
        <v>SFH</v>
      </c>
      <c r="B3130" s="6" t="str">
        <f>IFERROR(__xludf.DUMMYFUNCTION("""COMPUTED_VALUE"""),"ENG")</f>
        <v>ENG</v>
      </c>
      <c r="C3130" s="6" t="str">
        <f>IFERROR(__xludf.DUMMYFUNCTION("""COMPUTED_VALUE"""),"Q-12047-00")</f>
        <v>Q-12047-00</v>
      </c>
      <c r="D3130" s="6" t="str">
        <f>IFERROR(__xludf.DUMMYFUNCTION("""COMPUTED_VALUE"""),"Kape PVC / Scraper / Skrap PVC Ukuran 5 Inch;; Lokal; ; pc")</f>
        <v>Kape PVC / Scraper / Skrap PVC Ukuran 5 Inch;; Lokal; ; pc</v>
      </c>
      <c r="E3130" s="6">
        <f>IFERROR(__xludf.DUMMYFUNCTION("""COMPUTED_VALUE"""),1.0)</f>
        <v>1</v>
      </c>
      <c r="F3130" s="6">
        <f>IFERROR(__xludf.DUMMYFUNCTION("""COMPUTED_VALUE"""),1.0)</f>
        <v>1</v>
      </c>
      <c r="G3130" s="6">
        <f>IFERROR(__xludf.DUMMYFUNCTION("""COMPUTED_VALUE"""),0.0)</f>
        <v>0</v>
      </c>
      <c r="H3130" s="6" t="str">
        <f>IFERROR(__xludf.DUMMYFUNCTION("""COMPUTED_VALUE"""),"Pcs")</f>
        <v>Pcs</v>
      </c>
      <c r="I3130" s="6" t="str">
        <f>IFERROR(__xludf.DUMMYFUNCTION("""COMPUTED_VALUE"""),"MFH")</f>
        <v>MFH</v>
      </c>
      <c r="J3130" s="6" t="str">
        <f>IFERROR(__xludf.DUMMYFUNCTION("""COMPUTED_VALUE"""),"Building")</f>
        <v>Building</v>
      </c>
      <c r="K3130" s="6" t="str">
        <f>IFERROR(__xludf.DUMMYFUNCTION("""COMPUTED_VALUE"""),"SPR/26/01/070")</f>
        <v>SPR/26/01/070</v>
      </c>
      <c r="L3130" s="13">
        <f>IFERROR(__xludf.DUMMYFUNCTION("""COMPUTED_VALUE"""),46045.0)</f>
        <v>46045</v>
      </c>
    </row>
    <row r="3131">
      <c r="A3131" s="6" t="str">
        <f>IFERROR(__xludf.DUMMYFUNCTION("""COMPUTED_VALUE"""),"SFH")</f>
        <v>SFH</v>
      </c>
      <c r="B3131" s="6" t="str">
        <f>IFERROR(__xludf.DUMMYFUNCTION("""COMPUTED_VALUE"""),"ENG")</f>
        <v>ENG</v>
      </c>
      <c r="C3131" s="6" t="str">
        <f>IFERROR(__xludf.DUMMYFUNCTION("""COMPUTED_VALUE"""),"P-51894-00")</f>
        <v>P-51894-00</v>
      </c>
      <c r="D3131" s="6" t="str">
        <f>IFERROR(__xludf.DUMMYFUNCTION("""COMPUTED_VALUE"""),"General - Lampu TL LED Bright Boost 18 W; Philips; -; 1 unt")</f>
        <v>General - Lampu TL LED Bright Boost 18 W; Philips; -; 1 unt</v>
      </c>
      <c r="E3131" s="6">
        <f>IFERROR(__xludf.DUMMYFUNCTION("""COMPUTED_VALUE"""),1.0)</f>
        <v>1</v>
      </c>
      <c r="F3131" s="6">
        <f>IFERROR(__xludf.DUMMYFUNCTION("""COMPUTED_VALUE"""),1.0)</f>
        <v>1</v>
      </c>
      <c r="G3131" s="6">
        <f>IFERROR(__xludf.DUMMYFUNCTION("""COMPUTED_VALUE"""),0.0)</f>
        <v>0</v>
      </c>
      <c r="H3131" s="6" t="str">
        <f>IFERROR(__xludf.DUMMYFUNCTION("""COMPUTED_VALUE"""),"Pcs")</f>
        <v>Pcs</v>
      </c>
      <c r="I3131" s="6" t="str">
        <f>IFERROR(__xludf.DUMMYFUNCTION("""COMPUTED_VALUE"""),"MFH")</f>
        <v>MFH</v>
      </c>
      <c r="J3131" s="6" t="str">
        <f>IFERROR(__xludf.DUMMYFUNCTION("""COMPUTED_VALUE"""),"Building")</f>
        <v>Building</v>
      </c>
      <c r="K3131" s="6" t="str">
        <f>IFERROR(__xludf.DUMMYFUNCTION("""COMPUTED_VALUE"""),"SPR/26/01/071")</f>
        <v>SPR/26/01/071</v>
      </c>
      <c r="L3131" s="13">
        <f>IFERROR(__xludf.DUMMYFUNCTION("""COMPUTED_VALUE"""),46045.0)</f>
        <v>46045</v>
      </c>
    </row>
    <row r="3132">
      <c r="A3132" s="6" t="str">
        <f>IFERROR(__xludf.DUMMYFUNCTION("""COMPUTED_VALUE"""),"MUN")</f>
        <v>MUN</v>
      </c>
      <c r="B3132" s="6" t="str">
        <f>IFERROR(__xludf.DUMMYFUNCTION("""COMPUTED_VALUE"""),"ENG")</f>
        <v>ENG</v>
      </c>
      <c r="C3132" s="6" t="str">
        <f>IFERROR(__xludf.DUMMYFUNCTION("""COMPUTED_VALUE"""),"P-19951-00")</f>
        <v>P-19951-00</v>
      </c>
      <c r="D3132" s="6" t="str">
        <f>IFERROR(__xludf.DUMMYFUNCTION("""COMPUTED_VALUE"""),"General - Check Valve SMC; -; AKH08A-025; 1 pc")</f>
        <v>General - Check Valve SMC; -; AKH08A-025; 1 pc</v>
      </c>
      <c r="E3132" s="6">
        <f>IFERROR(__xludf.DUMMYFUNCTION("""COMPUTED_VALUE"""),2.0)</f>
        <v>2</v>
      </c>
      <c r="F3132" s="6">
        <f>IFERROR(__xludf.DUMMYFUNCTION("""COMPUTED_VALUE"""),2.0)</f>
        <v>2</v>
      </c>
      <c r="G3132" s="6">
        <f>IFERROR(__xludf.DUMMYFUNCTION("""COMPUTED_VALUE"""),0.0)</f>
        <v>0</v>
      </c>
      <c r="H3132" s="6" t="str">
        <f>IFERROR(__xludf.DUMMYFUNCTION("""COMPUTED_VALUE"""),"Pcs")</f>
        <v>Pcs</v>
      </c>
      <c r="I3132" s="6" t="str">
        <f>IFERROR(__xludf.DUMMYFUNCTION("""COMPUTED_VALUE"""),"MFH")</f>
        <v>MFH</v>
      </c>
      <c r="J3132" s="6" t="str">
        <f>IFERROR(__xludf.DUMMYFUNCTION("""COMPUTED_VALUE"""),"Mixing ")</f>
        <v>Mixing </v>
      </c>
      <c r="K3132" s="6" t="str">
        <f>IFERROR(__xludf.DUMMYFUNCTION("""COMPUTED_VALUE"""),"SPR/26/01/072")</f>
        <v>SPR/26/01/072</v>
      </c>
      <c r="L3132" s="13">
        <f>IFERROR(__xludf.DUMMYFUNCTION("""COMPUTED_VALUE"""),46045.0)</f>
        <v>46045</v>
      </c>
    </row>
    <row r="3133">
      <c r="A3133" s="6" t="str">
        <f>IFERROR(__xludf.DUMMYFUNCTION("""COMPUTED_VALUE"""),"MUN")</f>
        <v>MUN</v>
      </c>
      <c r="B3133" s="6" t="str">
        <f>IFERROR(__xludf.DUMMYFUNCTION("""COMPUTED_VALUE"""),"ENG")</f>
        <v>ENG</v>
      </c>
      <c r="C3133" s="6" t="str">
        <f>IFERROR(__xludf.DUMMYFUNCTION("""COMPUTED_VALUE"""),"P-19952-00")</f>
        <v>P-19952-00</v>
      </c>
      <c r="D3133" s="6" t="str">
        <f>IFERROR(__xludf.DUMMYFUNCTION("""COMPUTED_VALUE"""),"General - Fitting SMC; SMC; KQ2U08-00A; 1 pc")</f>
        <v>General - Fitting SMC; SMC; KQ2U08-00A; 1 pc</v>
      </c>
      <c r="E3133" s="6">
        <f>IFERROR(__xludf.DUMMYFUNCTION("""COMPUTED_VALUE"""),1.0)</f>
        <v>1</v>
      </c>
      <c r="F3133" s="6">
        <f>IFERROR(__xludf.DUMMYFUNCTION("""COMPUTED_VALUE"""),1.0)</f>
        <v>1</v>
      </c>
      <c r="G3133" s="6">
        <f>IFERROR(__xludf.DUMMYFUNCTION("""COMPUTED_VALUE"""),0.0)</f>
        <v>0</v>
      </c>
      <c r="H3133" s="6" t="str">
        <f>IFERROR(__xludf.DUMMYFUNCTION("""COMPUTED_VALUE"""),"Pcs")</f>
        <v>Pcs</v>
      </c>
      <c r="I3133" s="6" t="str">
        <f>IFERROR(__xludf.DUMMYFUNCTION("""COMPUTED_VALUE"""),"MFH")</f>
        <v>MFH</v>
      </c>
      <c r="J3133" s="6" t="str">
        <f>IFERROR(__xludf.DUMMYFUNCTION("""COMPUTED_VALUE"""),"Mixing ")</f>
        <v>Mixing </v>
      </c>
      <c r="K3133" s="6" t="str">
        <f>IFERROR(__xludf.DUMMYFUNCTION("""COMPUTED_VALUE"""),"SPR/26/01/072")</f>
        <v>SPR/26/01/072</v>
      </c>
      <c r="L3133" s="13">
        <f>IFERROR(__xludf.DUMMYFUNCTION("""COMPUTED_VALUE"""),46045.0)</f>
        <v>46045</v>
      </c>
    </row>
    <row r="3134">
      <c r="A3134" s="6" t="str">
        <f>IFERROR(__xludf.DUMMYFUNCTION("""COMPUTED_VALUE"""),"MUN")</f>
        <v>MUN</v>
      </c>
      <c r="B3134" s="6" t="str">
        <f>IFERROR(__xludf.DUMMYFUNCTION("""COMPUTED_VALUE"""),"ENG")</f>
        <v>ENG</v>
      </c>
      <c r="C3134" s="6" t="str">
        <f>IFERROR(__xludf.DUMMYFUNCTION("""COMPUTED_VALUE"""),"P-19953-00")</f>
        <v>P-19953-00</v>
      </c>
      <c r="D3134" s="6" t="str">
        <f>IFERROR(__xludf.DUMMYFUNCTION("""COMPUTED_VALUE"""),"General - Plug 1/4inch; SMC; -; 1 pc")</f>
        <v>General - Plug 1/4inch; SMC; -; 1 pc</v>
      </c>
      <c r="E3134" s="6">
        <f>IFERROR(__xludf.DUMMYFUNCTION("""COMPUTED_VALUE"""),1.0)</f>
        <v>1</v>
      </c>
      <c r="F3134" s="6">
        <f>IFERROR(__xludf.DUMMYFUNCTION("""COMPUTED_VALUE"""),1.0)</f>
        <v>1</v>
      </c>
      <c r="G3134" s="6">
        <f>IFERROR(__xludf.DUMMYFUNCTION("""COMPUTED_VALUE"""),0.0)</f>
        <v>0</v>
      </c>
      <c r="H3134" s="6" t="str">
        <f>IFERROR(__xludf.DUMMYFUNCTION("""COMPUTED_VALUE"""),"Pcs")</f>
        <v>Pcs</v>
      </c>
      <c r="I3134" s="6" t="str">
        <f>IFERROR(__xludf.DUMMYFUNCTION("""COMPUTED_VALUE"""),"MFH")</f>
        <v>MFH</v>
      </c>
      <c r="J3134" s="6" t="str">
        <f>IFERROR(__xludf.DUMMYFUNCTION("""COMPUTED_VALUE"""),"Mixing ")</f>
        <v>Mixing </v>
      </c>
      <c r="K3134" s="6" t="str">
        <f>IFERROR(__xludf.DUMMYFUNCTION("""COMPUTED_VALUE"""),"SPR/26/01/072")</f>
        <v>SPR/26/01/072</v>
      </c>
      <c r="L3134" s="13">
        <f>IFERROR(__xludf.DUMMYFUNCTION("""COMPUTED_VALUE"""),46045.0)</f>
        <v>46045</v>
      </c>
    </row>
    <row r="3135">
      <c r="A3135" s="6" t="str">
        <f>IFERROR(__xludf.DUMMYFUNCTION("""COMPUTED_VALUE"""),"MUN")</f>
        <v>MUN</v>
      </c>
      <c r="B3135" s="6" t="str">
        <f>IFERROR(__xludf.DUMMYFUNCTION("""COMPUTED_VALUE"""),"ENG")</f>
        <v>ENG</v>
      </c>
      <c r="C3135" s="6" t="str">
        <f>IFERROR(__xludf.DUMMYFUNCTION("""COMPUTED_VALUE"""),"P-19950-00")</f>
        <v>P-19950-00</v>
      </c>
      <c r="D3135" s="6" t="str">
        <f>IFERROR(__xludf.DUMMYFUNCTION("""COMPUTED_VALUE"""),"General - Directional Valve Pin Lock; SMC; VHL210W-02; 1 pc")</f>
        <v>General - Directional Valve Pin Lock; SMC; VHL210W-02; 1 pc</v>
      </c>
      <c r="E3135" s="6">
        <f>IFERROR(__xludf.DUMMYFUNCTION("""COMPUTED_VALUE"""),1.0)</f>
        <v>1</v>
      </c>
      <c r="F3135" s="6">
        <f>IFERROR(__xludf.DUMMYFUNCTION("""COMPUTED_VALUE"""),1.0)</f>
        <v>1</v>
      </c>
      <c r="G3135" s="6">
        <f>IFERROR(__xludf.DUMMYFUNCTION("""COMPUTED_VALUE"""),0.0)</f>
        <v>0</v>
      </c>
      <c r="H3135" s="6" t="str">
        <f>IFERROR(__xludf.DUMMYFUNCTION("""COMPUTED_VALUE"""),"Pcs")</f>
        <v>Pcs</v>
      </c>
      <c r="I3135" s="6" t="str">
        <f>IFERROR(__xludf.DUMMYFUNCTION("""COMPUTED_VALUE"""),"MFH")</f>
        <v>MFH</v>
      </c>
      <c r="J3135" s="6" t="str">
        <f>IFERROR(__xludf.DUMMYFUNCTION("""COMPUTED_VALUE"""),"Mixing ")</f>
        <v>Mixing </v>
      </c>
      <c r="K3135" s="6" t="str">
        <f>IFERROR(__xludf.DUMMYFUNCTION("""COMPUTED_VALUE"""),"SPR/26/01/073")</f>
        <v>SPR/26/01/073</v>
      </c>
      <c r="L3135" s="13">
        <f>IFERROR(__xludf.DUMMYFUNCTION("""COMPUTED_VALUE"""),46045.0)</f>
        <v>46045</v>
      </c>
    </row>
    <row r="3136">
      <c r="A3136" s="6" t="str">
        <f>IFERROR(__xludf.DUMMYFUNCTION("""COMPUTED_VALUE"""),"MUN")</f>
        <v>MUN</v>
      </c>
      <c r="B3136" s="6" t="str">
        <f>IFERROR(__xludf.DUMMYFUNCTION("""COMPUTED_VALUE"""),"ENG")</f>
        <v>ENG</v>
      </c>
      <c r="C3136" s="6" t="str">
        <f>IFERROR(__xludf.DUMMYFUNCTION("""COMPUTED_VALUE"""),"P-20368-00")</f>
        <v>P-20368-00</v>
      </c>
      <c r="D3136" s="6" t="str">
        <f>IFERROR(__xludf.DUMMYFUNCTION("""COMPUTED_VALUE"""),"General - Junction Box 220 x 150 x 75mm; No Brand; -; 1 pc")</f>
        <v>General - Junction Box 220 x 150 x 75mm; No Brand; -; 1 pc</v>
      </c>
      <c r="E3136" s="6">
        <f>IFERROR(__xludf.DUMMYFUNCTION("""COMPUTED_VALUE"""),1.0)</f>
        <v>1</v>
      </c>
      <c r="F3136" s="6">
        <f>IFERROR(__xludf.DUMMYFUNCTION("""COMPUTED_VALUE"""),1.0)</f>
        <v>1</v>
      </c>
      <c r="G3136" s="6">
        <f>IFERROR(__xludf.DUMMYFUNCTION("""COMPUTED_VALUE"""),0.0)</f>
        <v>0</v>
      </c>
      <c r="H3136" s="6" t="str">
        <f>IFERROR(__xludf.DUMMYFUNCTION("""COMPUTED_VALUE"""),"Pcs")</f>
        <v>Pcs</v>
      </c>
      <c r="I3136" s="6" t="str">
        <f>IFERROR(__xludf.DUMMYFUNCTION("""COMPUTED_VALUE"""),"MFH")</f>
        <v>MFH</v>
      </c>
      <c r="J3136" s="6" t="str">
        <f>IFERROR(__xludf.DUMMYFUNCTION("""COMPUTED_VALUE"""),"Mixing ")</f>
        <v>Mixing </v>
      </c>
      <c r="K3136" s="6" t="str">
        <f>IFERROR(__xludf.DUMMYFUNCTION("""COMPUTED_VALUE"""),"SPR/26/01/073")</f>
        <v>SPR/26/01/073</v>
      </c>
      <c r="L3136" s="13">
        <f>IFERROR(__xludf.DUMMYFUNCTION("""COMPUTED_VALUE"""),46045.0)</f>
        <v>46045</v>
      </c>
    </row>
    <row r="3137">
      <c r="A3137" s="6" t="str">
        <f>IFERROR(__xludf.DUMMYFUNCTION("""COMPUTED_VALUE"""),"MUN")</f>
        <v>MUN</v>
      </c>
      <c r="B3137" s="6" t="str">
        <f>IFERROR(__xludf.DUMMYFUNCTION("""COMPUTED_VALUE"""),"ENG")</f>
        <v>ENG</v>
      </c>
      <c r="C3137" s="6" t="str">
        <f>IFERROR(__xludf.DUMMYFUNCTION("""COMPUTED_VALUE"""),"-")</f>
        <v>-</v>
      </c>
      <c r="D3137" s="6" t="str">
        <f>IFERROR(__xludf.DUMMYFUNCTION("""COMPUTED_VALUE"""),"Hole Saw 28 mm")</f>
        <v>Hole Saw 28 mm</v>
      </c>
      <c r="E3137" s="6">
        <f>IFERROR(__xludf.DUMMYFUNCTION("""COMPUTED_VALUE"""),1.0)</f>
        <v>1</v>
      </c>
      <c r="F3137" s="6">
        <f>IFERROR(__xludf.DUMMYFUNCTION("""COMPUTED_VALUE"""),1.0)</f>
        <v>1</v>
      </c>
      <c r="G3137" s="6">
        <f>IFERROR(__xludf.DUMMYFUNCTION("""COMPUTED_VALUE"""),0.0)</f>
        <v>0</v>
      </c>
      <c r="H3137" s="6" t="str">
        <f>IFERROR(__xludf.DUMMYFUNCTION("""COMPUTED_VALUE"""),"Pcs")</f>
        <v>Pcs</v>
      </c>
      <c r="I3137" s="6" t="str">
        <f>IFERROR(__xludf.DUMMYFUNCTION("""COMPUTED_VALUE"""),"MFH")</f>
        <v>MFH</v>
      </c>
      <c r="J3137" s="6" t="str">
        <f>IFERROR(__xludf.DUMMYFUNCTION("""COMPUTED_VALUE"""),"Mixing ")</f>
        <v>Mixing </v>
      </c>
      <c r="K3137" s="6" t="str">
        <f>IFERROR(__xludf.DUMMYFUNCTION("""COMPUTED_VALUE"""),"SPR/26/01/073")</f>
        <v>SPR/26/01/073</v>
      </c>
      <c r="L3137" s="13">
        <f>IFERROR(__xludf.DUMMYFUNCTION("""COMPUTED_VALUE"""),46045.0)</f>
        <v>46045</v>
      </c>
    </row>
    <row r="3138">
      <c r="A3138" s="6" t="str">
        <f>IFERROR(__xludf.DUMMYFUNCTION("""COMPUTED_VALUE"""),"ROS")</f>
        <v>ROS</v>
      </c>
      <c r="B3138" s="6" t="str">
        <f>IFERROR(__xludf.DUMMYFUNCTION("""COMPUTED_VALUE"""),"ENG")</f>
        <v>ENG</v>
      </c>
      <c r="C3138" s="6" t="str">
        <f>IFERROR(__xludf.DUMMYFUNCTION("""COMPUTED_VALUE"""),"O-53414-00")</f>
        <v>O-53414-00</v>
      </c>
      <c r="D3138" s="6" t="str">
        <f>IFERROR(__xludf.DUMMYFUNCTION("""COMPUTED_VALUE"""),"Fedegari FVA2/A1 - Transition joint RTD Sensor PT100 4Wire, Sx, 1/3 DIN, 5x70mm, SSL, 0-150 C 10M; Radix; RTJ201-1-C-S-3-0-NA-XNA-05-0070-10-Si-PN; 1 Pc")</f>
        <v>Fedegari FVA2/A1 - Transition joint RTD Sensor PT100 4Wire, Sx, 1/3 DIN, 5x70mm, SSL, 0-150 C 10M; Radix; RTJ201-1-C-S-3-0-NA-XNA-05-0070-10-Si-PN; 1 Pc</v>
      </c>
      <c r="E3138" s="6">
        <f>IFERROR(__xludf.DUMMYFUNCTION("""COMPUTED_VALUE"""),1.0)</f>
        <v>1</v>
      </c>
      <c r="F3138" s="6">
        <f>IFERROR(__xludf.DUMMYFUNCTION("""COMPUTED_VALUE"""),1.0)</f>
        <v>1</v>
      </c>
      <c r="G3138" s="6">
        <f>IFERROR(__xludf.DUMMYFUNCTION("""COMPUTED_VALUE"""),0.0)</f>
        <v>0</v>
      </c>
      <c r="H3138" s="6" t="str">
        <f>IFERROR(__xludf.DUMMYFUNCTION("""COMPUTED_VALUE"""),"Pcs")</f>
        <v>Pcs</v>
      </c>
      <c r="I3138" s="6" t="str">
        <f>IFERROR(__xludf.DUMMYFUNCTION("""COMPUTED_VALUE"""),"MFH")</f>
        <v>MFH</v>
      </c>
      <c r="J3138" s="6" t="str">
        <f>IFERROR(__xludf.DUMMYFUNCTION("""COMPUTED_VALUE"""),"Autoclave")</f>
        <v>Autoclave</v>
      </c>
      <c r="K3138" s="6" t="str">
        <f>IFERROR(__xludf.DUMMYFUNCTION("""COMPUTED_VALUE"""),"SPR/26/01/074")</f>
        <v>SPR/26/01/074</v>
      </c>
      <c r="L3138" s="13">
        <f>IFERROR(__xludf.DUMMYFUNCTION("""COMPUTED_VALUE"""),46045.0)</f>
        <v>46045</v>
      </c>
    </row>
    <row r="3139">
      <c r="A3139" s="6" t="str">
        <f>IFERROR(__xludf.DUMMYFUNCTION("""COMPUTED_VALUE"""),"ROS")</f>
        <v>ROS</v>
      </c>
      <c r="B3139" s="6" t="str">
        <f>IFERROR(__xludf.DUMMYFUNCTION("""COMPUTED_VALUE"""),"ENG")</f>
        <v>ENG</v>
      </c>
      <c r="C3139" s="6" t="str">
        <f>IFERROR(__xludf.DUMMYFUNCTION("""COMPUTED_VALUE"""),"O-16647-00")</f>
        <v>O-16647-00</v>
      </c>
      <c r="D3139" s="6" t="str">
        <f>IFERROR(__xludf.DUMMYFUNCTION("""COMPUTED_VALUE"""),"Washing RAR4 - Oring Silicone Merah 23x18x2.5 mm; ; ;")</f>
        <v>Washing RAR4 - Oring Silicone Merah 23x18x2.5 mm; ; ;</v>
      </c>
      <c r="E3139" s="6">
        <f>IFERROR(__xludf.DUMMYFUNCTION("""COMPUTED_VALUE"""),10.0)</f>
        <v>10</v>
      </c>
      <c r="F3139" s="6">
        <f>IFERROR(__xludf.DUMMYFUNCTION("""COMPUTED_VALUE"""),10.0)</f>
        <v>10</v>
      </c>
      <c r="G3139" s="6">
        <f>IFERROR(__xludf.DUMMYFUNCTION("""COMPUTED_VALUE"""),0.0)</f>
        <v>0</v>
      </c>
      <c r="H3139" s="6" t="str">
        <f>IFERROR(__xludf.DUMMYFUNCTION("""COMPUTED_VALUE"""),"Pcs")</f>
        <v>Pcs</v>
      </c>
      <c r="I3139" s="6" t="str">
        <f>IFERROR(__xludf.DUMMYFUNCTION("""COMPUTED_VALUE"""),"MFH")</f>
        <v>MFH</v>
      </c>
      <c r="J3139" s="6" t="str">
        <f>IFERROR(__xludf.DUMMYFUNCTION("""COMPUTED_VALUE"""),"Capping")</f>
        <v>Capping</v>
      </c>
      <c r="K3139" s="6" t="str">
        <f>IFERROR(__xludf.DUMMYFUNCTION("""COMPUTED_VALUE"""),"SPR/26/01/075")</f>
        <v>SPR/26/01/075</v>
      </c>
      <c r="L3139" s="13">
        <f>IFERROR(__xludf.DUMMYFUNCTION("""COMPUTED_VALUE"""),46045.0)</f>
        <v>46045</v>
      </c>
    </row>
    <row r="3140">
      <c r="A3140" s="6" t="str">
        <f>IFERROR(__xludf.DUMMYFUNCTION("""COMPUTED_VALUE"""),"ASR")</f>
        <v>ASR</v>
      </c>
      <c r="B3140" s="6" t="str">
        <f>IFERROR(__xludf.DUMMYFUNCTION("""COMPUTED_VALUE"""),"PRO")</f>
        <v>PRO</v>
      </c>
      <c r="C3140" s="6" t="str">
        <f>IFERROR(__xludf.DUMMYFUNCTION("""COMPUTED_VALUE"""),"O-14639-00")</f>
        <v>O-14639-00</v>
      </c>
      <c r="D3140" s="6" t="str">
        <f>IFERROR(__xludf.DUMMYFUNCTION("""COMPUTED_VALUE"""),"EPDM Gasket for Ferrule dia. 1/2"" - P/N : -  pc")</f>
        <v>EPDM Gasket for Ferrule dia. 1/2" - P/N : -  pc</v>
      </c>
      <c r="E3140" s="6">
        <f>IFERROR(__xludf.DUMMYFUNCTION("""COMPUTED_VALUE"""),10.0)</f>
        <v>10</v>
      </c>
      <c r="F3140" s="6">
        <f>IFERROR(__xludf.DUMMYFUNCTION("""COMPUTED_VALUE"""),10.0)</f>
        <v>10</v>
      </c>
      <c r="G3140" s="6">
        <f>IFERROR(__xludf.DUMMYFUNCTION("""COMPUTED_VALUE"""),0.0)</f>
        <v>0</v>
      </c>
      <c r="H3140" s="6" t="str">
        <f>IFERROR(__xludf.DUMMYFUNCTION("""COMPUTED_VALUE"""),"Pcs")</f>
        <v>Pcs</v>
      </c>
      <c r="I3140" s="6" t="str">
        <f>IFERROR(__xludf.DUMMYFUNCTION("""COMPUTED_VALUE"""),"MFH")</f>
        <v>MFH</v>
      </c>
      <c r="J3140" s="6" t="str">
        <f>IFERROR(__xludf.DUMMYFUNCTION("""COMPUTED_VALUE"""),"FIlling")</f>
        <v>FIlling</v>
      </c>
      <c r="K3140" s="6" t="str">
        <f>IFERROR(__xludf.DUMMYFUNCTION("""COMPUTED_VALUE"""),"SPR/26/01/076")</f>
        <v>SPR/26/01/076</v>
      </c>
      <c r="L3140" s="13">
        <f>IFERROR(__xludf.DUMMYFUNCTION("""COMPUTED_VALUE"""),46045.0)</f>
        <v>46045</v>
      </c>
    </row>
    <row r="3141">
      <c r="A3141" s="6" t="str">
        <f>IFERROR(__xludf.DUMMYFUNCTION("""COMPUTED_VALUE"""),"ROS")</f>
        <v>ROS</v>
      </c>
      <c r="B3141" s="6" t="str">
        <f>IFERROR(__xludf.DUMMYFUNCTION("""COMPUTED_VALUE"""),"ENG")</f>
        <v>ENG</v>
      </c>
      <c r="C3141" s="6" t="str">
        <f>IFERROR(__xludf.DUMMYFUNCTION("""COMPUTED_VALUE"""),"S-20499-00")</f>
        <v>S-20499-00</v>
      </c>
      <c r="D3141" s="6" t="str">
        <f>IFERROR(__xludf.DUMMYFUNCTION("""COMPUTED_VALUE"""),"Filter Retainer 501 (Plastik Penutup Prefilter 5N11); 3M; 501; 10 pc/pck")</f>
        <v>Filter Retainer 501 (Plastik Penutup Prefilter 5N11); 3M; 501; 10 pc/pck</v>
      </c>
      <c r="E3141" s="6">
        <f>IFERROR(__xludf.DUMMYFUNCTION("""COMPUTED_VALUE"""),4.0)</f>
        <v>4</v>
      </c>
      <c r="F3141" s="6">
        <f>IFERROR(__xludf.DUMMYFUNCTION("""COMPUTED_VALUE"""),4.0)</f>
        <v>4</v>
      </c>
      <c r="G3141" s="6">
        <f>IFERROR(__xludf.DUMMYFUNCTION("""COMPUTED_VALUE"""),0.0)</f>
        <v>0</v>
      </c>
      <c r="H3141" s="6" t="str">
        <f>IFERROR(__xludf.DUMMYFUNCTION("""COMPUTED_VALUE"""),"Pcs")</f>
        <v>Pcs</v>
      </c>
      <c r="I3141" s="6" t="str">
        <f>IFERROR(__xludf.DUMMYFUNCTION("""COMPUTED_VALUE"""),"MFH")</f>
        <v>MFH</v>
      </c>
      <c r="J3141" s="6" t="str">
        <f>IFERROR(__xludf.DUMMYFUNCTION("""COMPUTED_VALUE"""),"Dust Collector")</f>
        <v>Dust Collector</v>
      </c>
      <c r="K3141" s="6" t="str">
        <f>IFERROR(__xludf.DUMMYFUNCTION("""COMPUTED_VALUE"""),"SPR/26/01/077")</f>
        <v>SPR/26/01/077</v>
      </c>
      <c r="L3141" s="13">
        <f>IFERROR(__xludf.DUMMYFUNCTION("""COMPUTED_VALUE"""),46045.0)</f>
        <v>46045</v>
      </c>
    </row>
    <row r="3142">
      <c r="A3142" s="6" t="str">
        <f>IFERROR(__xludf.DUMMYFUNCTION("""COMPUTED_VALUE"""),"ROS")</f>
        <v>ROS</v>
      </c>
      <c r="B3142" s="6" t="str">
        <f>IFERROR(__xludf.DUMMYFUNCTION("""COMPUTED_VALUE"""),"ENG")</f>
        <v>ENG</v>
      </c>
      <c r="C3142" s="6" t="str">
        <f>IFERROR(__xludf.DUMMYFUNCTION("""COMPUTED_VALUE"""),"S-20105-00")</f>
        <v>S-20105-00</v>
      </c>
      <c r="D3142" s="6" t="str">
        <f>IFERROR(__xludf.DUMMYFUNCTION("""COMPUTED_VALUE"""),"Full Facepiece Reusable Respirator; 3M; 6800 Medium; pc")</f>
        <v>Full Facepiece Reusable Respirator; 3M; 6800 Medium; pc</v>
      </c>
      <c r="E3142" s="6">
        <f>IFERROR(__xludf.DUMMYFUNCTION("""COMPUTED_VALUE"""),2.0)</f>
        <v>2</v>
      </c>
      <c r="F3142" s="6">
        <f>IFERROR(__xludf.DUMMYFUNCTION("""COMPUTED_VALUE"""),2.0)</f>
        <v>2</v>
      </c>
      <c r="G3142" s="6">
        <f>IFERROR(__xludf.DUMMYFUNCTION("""COMPUTED_VALUE"""),0.0)</f>
        <v>0</v>
      </c>
      <c r="H3142" s="6" t="str">
        <f>IFERROR(__xludf.DUMMYFUNCTION("""COMPUTED_VALUE"""),"Pcs")</f>
        <v>Pcs</v>
      </c>
      <c r="I3142" s="6" t="str">
        <f>IFERROR(__xludf.DUMMYFUNCTION("""COMPUTED_VALUE"""),"MFH")</f>
        <v>MFH</v>
      </c>
      <c r="J3142" s="6" t="str">
        <f>IFERROR(__xludf.DUMMYFUNCTION("""COMPUTED_VALUE"""),"Dust Collector")</f>
        <v>Dust Collector</v>
      </c>
      <c r="K3142" s="6" t="str">
        <f>IFERROR(__xludf.DUMMYFUNCTION("""COMPUTED_VALUE"""),"SPR/26/01/077")</f>
        <v>SPR/26/01/077</v>
      </c>
      <c r="L3142" s="13">
        <f>IFERROR(__xludf.DUMMYFUNCTION("""COMPUTED_VALUE"""),46045.0)</f>
        <v>46045</v>
      </c>
    </row>
    <row r="3143">
      <c r="A3143" s="6" t="str">
        <f>IFERROR(__xludf.DUMMYFUNCTION("""COMPUTED_VALUE"""),"ROS")</f>
        <v>ROS</v>
      </c>
      <c r="B3143" s="6" t="str">
        <f>IFERROR(__xludf.DUMMYFUNCTION("""COMPUTED_VALUE"""),"ENG")</f>
        <v>ENG</v>
      </c>
      <c r="C3143" s="6" t="str">
        <f>IFERROR(__xludf.DUMMYFUNCTION("""COMPUTED_VALUE"""),"S-20669-00")</f>
        <v>S-20669-00</v>
      </c>
      <c r="D3143" s="6" t="str">
        <f>IFERROR(__xludf.DUMMYFUNCTION("""COMPUTED_VALUE"""),"Multi Gas &amp; Vapor Cartridge; 3M; 6006M; pc")</f>
        <v>Multi Gas &amp; Vapor Cartridge; 3M; 6006M; pc</v>
      </c>
      <c r="E3143" s="6">
        <f>IFERROR(__xludf.DUMMYFUNCTION("""COMPUTED_VALUE"""),2.0)</f>
        <v>2</v>
      </c>
      <c r="F3143" s="6">
        <f>IFERROR(__xludf.DUMMYFUNCTION("""COMPUTED_VALUE"""),2.0)</f>
        <v>2</v>
      </c>
      <c r="G3143" s="6">
        <f>IFERROR(__xludf.DUMMYFUNCTION("""COMPUTED_VALUE"""),0.0)</f>
        <v>0</v>
      </c>
      <c r="H3143" s="6" t="str">
        <f>IFERROR(__xludf.DUMMYFUNCTION("""COMPUTED_VALUE"""),"Pcs")</f>
        <v>Pcs</v>
      </c>
      <c r="I3143" s="6" t="str">
        <f>IFERROR(__xludf.DUMMYFUNCTION("""COMPUTED_VALUE"""),"MFH")</f>
        <v>MFH</v>
      </c>
      <c r="J3143" s="6" t="str">
        <f>IFERROR(__xludf.DUMMYFUNCTION("""COMPUTED_VALUE"""),"Dust Collector")</f>
        <v>Dust Collector</v>
      </c>
      <c r="K3143" s="6" t="str">
        <f>IFERROR(__xludf.DUMMYFUNCTION("""COMPUTED_VALUE"""),"SPR/26/01/077")</f>
        <v>SPR/26/01/077</v>
      </c>
      <c r="L3143" s="13">
        <f>IFERROR(__xludf.DUMMYFUNCTION("""COMPUTED_VALUE"""),46045.0)</f>
        <v>46045</v>
      </c>
    </row>
    <row r="3144">
      <c r="A3144" s="6" t="str">
        <f>IFERROR(__xludf.DUMMYFUNCTION("""COMPUTED_VALUE"""),"ROS")</f>
        <v>ROS</v>
      </c>
      <c r="B3144" s="6" t="str">
        <f>IFERROR(__xludf.DUMMYFUNCTION("""COMPUTED_VALUE"""),"ENG")</f>
        <v>ENG</v>
      </c>
      <c r="C3144" s="6" t="str">
        <f>IFERROR(__xludf.DUMMYFUNCTION("""COMPUTED_VALUE"""),"O-53414-00")</f>
        <v>O-53414-00</v>
      </c>
      <c r="D3144" s="6" t="str">
        <f>IFERROR(__xludf.DUMMYFUNCTION("""COMPUTED_VALUE"""),"Fedegari FVA2/A1 - Transition joint RTD Sensor PT100 4Wire, Sx, 1/3 DIN, 5x70mm, SSL, 0-150 C 10M; Radix; RTJ201-1-C-S-3-0-NA-XNA-05-0070-10-Si-PN; 1 Pc")</f>
        <v>Fedegari FVA2/A1 - Transition joint RTD Sensor PT100 4Wire, Sx, 1/3 DIN, 5x70mm, SSL, 0-150 C 10M; Radix; RTJ201-1-C-S-3-0-NA-XNA-05-0070-10-Si-PN; 1 Pc</v>
      </c>
      <c r="E3144" s="6">
        <f>IFERROR(__xludf.DUMMYFUNCTION("""COMPUTED_VALUE"""),1.0)</f>
        <v>1</v>
      </c>
      <c r="F3144" s="6">
        <f>IFERROR(__xludf.DUMMYFUNCTION("""COMPUTED_VALUE"""),1.0)</f>
        <v>1</v>
      </c>
      <c r="G3144" s="6">
        <f>IFERROR(__xludf.DUMMYFUNCTION("""COMPUTED_VALUE"""),0.0)</f>
        <v>0</v>
      </c>
      <c r="H3144" s="6" t="str">
        <f>IFERROR(__xludf.DUMMYFUNCTION("""COMPUTED_VALUE"""),"Pcs")</f>
        <v>Pcs</v>
      </c>
      <c r="I3144" s="6" t="str">
        <f>IFERROR(__xludf.DUMMYFUNCTION("""COMPUTED_VALUE"""),"MFH")</f>
        <v>MFH</v>
      </c>
      <c r="J3144" s="6" t="str">
        <f>IFERROR(__xludf.DUMMYFUNCTION("""COMPUTED_VALUE"""),"Autoclave")</f>
        <v>Autoclave</v>
      </c>
      <c r="K3144" s="6" t="str">
        <f>IFERROR(__xludf.DUMMYFUNCTION("""COMPUTED_VALUE"""),"SPR/26/01/078")</f>
        <v>SPR/26/01/078</v>
      </c>
      <c r="L3144" s="13">
        <f>IFERROR(__xludf.DUMMYFUNCTION("""COMPUTED_VALUE"""),46045.0)</f>
        <v>46045</v>
      </c>
    </row>
    <row r="3145">
      <c r="A3145" s="6" t="str">
        <f>IFERROR(__xludf.DUMMYFUNCTION("""COMPUTED_VALUE"""),"ROS")</f>
        <v>ROS</v>
      </c>
      <c r="B3145" s="6" t="str">
        <f>IFERROR(__xludf.DUMMYFUNCTION("""COMPUTED_VALUE"""),"ENG")</f>
        <v>ENG</v>
      </c>
      <c r="C3145" s="6" t="str">
        <f>IFERROR(__xludf.DUMMYFUNCTION("""COMPUTED_VALUE"""),"O-54161-00")</f>
        <v>O-54161-00</v>
      </c>
      <c r="D3145" s="6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E3145" s="6">
        <f>IFERROR(__xludf.DUMMYFUNCTION("""COMPUTED_VALUE"""),1.0)</f>
        <v>1</v>
      </c>
      <c r="F3145" s="6">
        <f>IFERROR(__xludf.DUMMYFUNCTION("""COMPUTED_VALUE"""),1.0)</f>
        <v>1</v>
      </c>
      <c r="G3145" s="6">
        <f>IFERROR(__xludf.DUMMYFUNCTION("""COMPUTED_VALUE"""),0.0)</f>
        <v>0</v>
      </c>
      <c r="H3145" s="6" t="str">
        <f>IFERROR(__xludf.DUMMYFUNCTION("""COMPUTED_VALUE"""),"Pcs")</f>
        <v>Pcs</v>
      </c>
      <c r="I3145" s="6" t="str">
        <f>IFERROR(__xludf.DUMMYFUNCTION("""COMPUTED_VALUE"""),"MFH")</f>
        <v>MFH</v>
      </c>
      <c r="J3145" s="6" t="str">
        <f>IFERROR(__xludf.DUMMYFUNCTION("""COMPUTED_VALUE"""),"Autoclave")</f>
        <v>Autoclave</v>
      </c>
      <c r="K3145" s="6" t="str">
        <f>IFERROR(__xludf.DUMMYFUNCTION("""COMPUTED_VALUE"""),"SPR/26/01/078")</f>
        <v>SPR/26/01/078</v>
      </c>
      <c r="L3145" s="13">
        <f>IFERROR(__xludf.DUMMYFUNCTION("""COMPUTED_VALUE"""),46045.0)</f>
        <v>46045</v>
      </c>
    </row>
    <row r="3146">
      <c r="A3146" s="6" t="str">
        <f>IFERROR(__xludf.DUMMYFUNCTION("""COMPUTED_VALUE"""),"ROS")</f>
        <v>ROS</v>
      </c>
      <c r="B3146" s="6" t="str">
        <f>IFERROR(__xludf.DUMMYFUNCTION("""COMPUTED_VALUE"""),"ENG")</f>
        <v>ENG</v>
      </c>
      <c r="C3146" s="6" t="str">
        <f>IFERROR(__xludf.DUMMYFUNCTION("""COMPUTED_VALUE"""),"O-53451-00")</f>
        <v>O-53451-00</v>
      </c>
      <c r="D3146" s="6" t="str">
        <f>IFERROR(__xludf.DUMMYFUNCTION("""COMPUTED_VALUE"""),"Capping VCM200 - Eco Position Indicators; Misumi; E-DSNR1-14; 1 Pc")</f>
        <v>Capping VCM200 - Eco Position Indicators; Misumi; E-DSNR1-14; 1 Pc</v>
      </c>
      <c r="E3146" s="6">
        <f>IFERROR(__xludf.DUMMYFUNCTION("""COMPUTED_VALUE"""),1.0)</f>
        <v>1</v>
      </c>
      <c r="F3146" s="6">
        <f>IFERROR(__xludf.DUMMYFUNCTION("""COMPUTED_VALUE"""),1.0)</f>
        <v>1</v>
      </c>
      <c r="G3146" s="6">
        <f>IFERROR(__xludf.DUMMYFUNCTION("""COMPUTED_VALUE"""),0.0)</f>
        <v>0</v>
      </c>
      <c r="H3146" s="6" t="str">
        <f>IFERROR(__xludf.DUMMYFUNCTION("""COMPUTED_VALUE"""),"Pcs")</f>
        <v>Pcs</v>
      </c>
      <c r="I3146" s="6" t="str">
        <f>IFERROR(__xludf.DUMMYFUNCTION("""COMPUTED_VALUE"""),"MFH")</f>
        <v>MFH</v>
      </c>
      <c r="J3146" s="6" t="str">
        <f>IFERROR(__xludf.DUMMYFUNCTION("""COMPUTED_VALUE"""),"Autoclave")</f>
        <v>Autoclave</v>
      </c>
      <c r="K3146" s="6" t="str">
        <f>IFERROR(__xludf.DUMMYFUNCTION("""COMPUTED_VALUE"""),"SPR/26/01/078")</f>
        <v>SPR/26/01/078</v>
      </c>
      <c r="L3146" s="13">
        <f>IFERROR(__xludf.DUMMYFUNCTION("""COMPUTED_VALUE"""),46045.0)</f>
        <v>46045</v>
      </c>
    </row>
    <row r="3147">
      <c r="A3147" s="6" t="str">
        <f>IFERROR(__xludf.DUMMYFUNCTION("""COMPUTED_VALUE"""),"AAA")</f>
        <v>AAA</v>
      </c>
      <c r="B3147" s="6" t="str">
        <f>IFERROR(__xludf.DUMMYFUNCTION("""COMPUTED_VALUE"""),"ENG")</f>
        <v>ENG</v>
      </c>
      <c r="C3147" s="6" t="str">
        <f>IFERROR(__xludf.DUMMYFUNCTION("""COMPUTED_VALUE"""),"P-11018-00")</f>
        <v>P-11018-00</v>
      </c>
      <c r="D3147" s="6" t="str">
        <f>IFERROR(__xludf.DUMMYFUNCTION("""COMPUTED_VALUE"""),"General - Oil Seal TC 15 x 24 x 7; NOK; -; 1 Pc")</f>
        <v>General - Oil Seal TC 15 x 24 x 7; NOK; -; 1 Pc</v>
      </c>
      <c r="E3147" s="6">
        <f>IFERROR(__xludf.DUMMYFUNCTION("""COMPUTED_VALUE"""),2.0)</f>
        <v>2</v>
      </c>
      <c r="F3147" s="6">
        <f>IFERROR(__xludf.DUMMYFUNCTION("""COMPUTED_VALUE"""),2.0)</f>
        <v>2</v>
      </c>
      <c r="G3147" s="6">
        <f>IFERROR(__xludf.DUMMYFUNCTION("""COMPUTED_VALUE"""),0.0)</f>
        <v>0</v>
      </c>
      <c r="H3147" s="6" t="str">
        <f>IFERROR(__xludf.DUMMYFUNCTION("""COMPUTED_VALUE"""),"Pcs")</f>
        <v>Pcs</v>
      </c>
      <c r="I3147" s="6" t="str">
        <f>IFERROR(__xludf.DUMMYFUNCTION("""COMPUTED_VALUE"""),"MFH")</f>
        <v>MFH</v>
      </c>
      <c r="J3147" s="6" t="str">
        <f>IFERROR(__xludf.DUMMYFUNCTION("""COMPUTED_VALUE"""),"Washing")</f>
        <v>Washing</v>
      </c>
      <c r="K3147" s="6" t="str">
        <f>IFERROR(__xludf.DUMMYFUNCTION("""COMPUTED_VALUE"""),"SPR/26/01/079")</f>
        <v>SPR/26/01/079</v>
      </c>
      <c r="L3147" s="13">
        <f>IFERROR(__xludf.DUMMYFUNCTION("""COMPUTED_VALUE"""),46045.0)</f>
        <v>46045</v>
      </c>
    </row>
    <row r="3148">
      <c r="A3148" s="6" t="str">
        <f>IFERROR(__xludf.DUMMYFUNCTION("""COMPUTED_VALUE"""),"ANO")</f>
        <v>ANO</v>
      </c>
      <c r="B3148" s="6" t="str">
        <f>IFERROR(__xludf.DUMMYFUNCTION("""COMPUTED_VALUE"""),"ENG")</f>
        <v>ENG</v>
      </c>
      <c r="C3148" s="6" t="str">
        <f>IFERROR(__xludf.DUMMYFUNCTION("""COMPUTED_VALUE"""),"O-21152-00")</f>
        <v>O-21152-00</v>
      </c>
      <c r="D3148" s="6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E3148" s="6">
        <f>IFERROR(__xludf.DUMMYFUNCTION("""COMPUTED_VALUE"""),1.0)</f>
        <v>1</v>
      </c>
      <c r="F3148" s="6">
        <f>IFERROR(__xludf.DUMMYFUNCTION("""COMPUTED_VALUE"""),1.0)</f>
        <v>1</v>
      </c>
      <c r="G3148" s="6">
        <f>IFERROR(__xludf.DUMMYFUNCTION("""COMPUTED_VALUE"""),0.0)</f>
        <v>0</v>
      </c>
      <c r="H3148" s="6" t="str">
        <f>IFERROR(__xludf.DUMMYFUNCTION("""COMPUTED_VALUE"""),"Pcs")</f>
        <v>Pcs</v>
      </c>
      <c r="I3148" s="6" t="str">
        <f>IFERROR(__xludf.DUMMYFUNCTION("""COMPUTED_VALUE"""),"MFH")</f>
        <v>MFH</v>
      </c>
      <c r="J3148" s="6" t="str">
        <f>IFERROR(__xludf.DUMMYFUNCTION("""COMPUTED_VALUE"""),"BSC")</f>
        <v>BSC</v>
      </c>
      <c r="K3148" s="6" t="str">
        <f>IFERROR(__xludf.DUMMYFUNCTION("""COMPUTED_VALUE"""),"SPR/26/02/001")</f>
        <v>SPR/26/02/001</v>
      </c>
      <c r="L3148" s="58">
        <f>IFERROR(__xludf.DUMMYFUNCTION("""COMPUTED_VALUE"""),46080.0)</f>
        <v>46080</v>
      </c>
    </row>
    <row r="3149">
      <c r="A3149" s="6" t="str">
        <f>IFERROR(__xludf.DUMMYFUNCTION("""COMPUTED_VALUE"""),"SFH")</f>
        <v>SFH</v>
      </c>
      <c r="B3149" s="6" t="str">
        <f>IFERROR(__xludf.DUMMYFUNCTION("""COMPUTED_VALUE"""),"ENG")</f>
        <v>ENG</v>
      </c>
      <c r="C3149" s="6" t="str">
        <f>IFERROR(__xludf.DUMMYFUNCTION("""COMPUTED_VALUE"""),"P-52854-00")</f>
        <v>P-52854-00</v>
      </c>
      <c r="D3149" s="6" t="str">
        <f>IFERROR(__xludf.DUMMYFUNCTION("""COMPUTED_VALUE"""),"General - Socket RJ45 Cat 6; Belden; -; 50pcs/pack")</f>
        <v>General - Socket RJ45 Cat 6; Belden; -; 50pcs/pack</v>
      </c>
      <c r="E3149" s="6">
        <f>IFERROR(__xludf.DUMMYFUNCTION("""COMPUTED_VALUE"""),1.0)</f>
        <v>1</v>
      </c>
      <c r="F3149" s="6">
        <f>IFERROR(__xludf.DUMMYFUNCTION("""COMPUTED_VALUE"""),5.0)</f>
        <v>5</v>
      </c>
      <c r="G3149" s="6">
        <f>IFERROR(__xludf.DUMMYFUNCTION("""COMPUTED_VALUE"""),0.0)</f>
        <v>0</v>
      </c>
      <c r="H3149" s="6" t="str">
        <f>IFERROR(__xludf.DUMMYFUNCTION("""COMPUTED_VALUE"""),"Pcs")</f>
        <v>Pcs</v>
      </c>
      <c r="I3149" s="6" t="str">
        <f>IFERROR(__xludf.DUMMYFUNCTION("""COMPUTED_VALUE"""),"MFH")</f>
        <v>MFH</v>
      </c>
      <c r="J3149" s="6" t="str">
        <f>IFERROR(__xludf.DUMMYFUNCTION("""COMPUTED_VALUE"""),"Building")</f>
        <v>Building</v>
      </c>
      <c r="K3149" s="6" t="str">
        <f>IFERROR(__xludf.DUMMYFUNCTION("""COMPUTED_VALUE"""),"SPR/26/02/002")</f>
        <v>SPR/26/02/002</v>
      </c>
      <c r="L3149" s="58">
        <f>IFERROR(__xludf.DUMMYFUNCTION("""COMPUTED_VALUE"""),46080.0)</f>
        <v>46080</v>
      </c>
    </row>
    <row r="3150">
      <c r="A3150" s="6" t="str">
        <f>IFERROR(__xludf.DUMMYFUNCTION("""COMPUTED_VALUE"""),"MRN")</f>
        <v>MRN</v>
      </c>
      <c r="B3150" s="6" t="str">
        <f>IFERROR(__xludf.DUMMYFUNCTION("""COMPUTED_VALUE"""),"ENG")</f>
        <v>ENG</v>
      </c>
      <c r="C3150" s="6" t="str">
        <f>IFERROR(__xludf.DUMMYFUNCTION("""COMPUTED_VALUE"""),"P-18788-00")</f>
        <v>P-18788-00</v>
      </c>
      <c r="D3150" s="6" t="str">
        <f>IFERROR(__xludf.DUMMYFUNCTION("""COMPUTED_VALUE"""),"General - Baut Hexagonal, SS, M6 x 55 mm + Mur; No Brand; -; 1 pcs")</f>
        <v>General - Baut Hexagonal, SS, M6 x 55 mm + Mur; No Brand; -; 1 pcs</v>
      </c>
      <c r="E3150" s="6">
        <f>IFERROR(__xludf.DUMMYFUNCTION("""COMPUTED_VALUE"""),8.0)</f>
        <v>8</v>
      </c>
      <c r="F3150" s="6">
        <f>IFERROR(__xludf.DUMMYFUNCTION("""COMPUTED_VALUE"""),8.0)</f>
        <v>8</v>
      </c>
      <c r="G3150" s="6">
        <f>IFERROR(__xludf.DUMMYFUNCTION("""COMPUTED_VALUE"""),0.0)</f>
        <v>0</v>
      </c>
      <c r="H3150" s="6" t="str">
        <f>IFERROR(__xludf.DUMMYFUNCTION("""COMPUTED_VALUE"""),"Pcs")</f>
        <v>Pcs</v>
      </c>
      <c r="I3150" s="6" t="str">
        <f>IFERROR(__xludf.DUMMYFUNCTION("""COMPUTED_VALUE"""),"MFH")</f>
        <v>MFH</v>
      </c>
      <c r="J3150" s="6" t="str">
        <f>IFERROR(__xludf.DUMMYFUNCTION("""COMPUTED_VALUE"""),"-")</f>
        <v>-</v>
      </c>
      <c r="K3150" s="6" t="str">
        <f>IFERROR(__xludf.DUMMYFUNCTION("""COMPUTED_VALUE"""),"SPR/26/02/003")</f>
        <v>SPR/26/02/003</v>
      </c>
      <c r="L3150" s="58">
        <f>IFERROR(__xludf.DUMMYFUNCTION("""COMPUTED_VALUE"""),46080.0)</f>
        <v>46080</v>
      </c>
    </row>
    <row r="3151">
      <c r="A3151" s="6" t="str">
        <f>IFERROR(__xludf.DUMMYFUNCTION("""COMPUTED_VALUE"""),"MRN")</f>
        <v>MRN</v>
      </c>
      <c r="B3151" s="6" t="str">
        <f>IFERROR(__xludf.DUMMYFUNCTION("""COMPUTED_VALUE"""),"ENG")</f>
        <v>ENG</v>
      </c>
      <c r="C3151" s="6" t="str">
        <f>IFERROR(__xludf.DUMMYFUNCTION("""COMPUTED_VALUE"""),"P-18788-00")</f>
        <v>P-18788-00</v>
      </c>
      <c r="D3151" s="6" t="str">
        <f>IFERROR(__xludf.DUMMYFUNCTION("""COMPUTED_VALUE"""),"General - Baut Hexagonal, SS, M6 x 55 mm + Mur; No Brand; -; 1 pcs")</f>
        <v>General - Baut Hexagonal, SS, M6 x 55 mm + Mur; No Brand; -; 1 pcs</v>
      </c>
      <c r="E3151" s="6">
        <f>IFERROR(__xludf.DUMMYFUNCTION("""COMPUTED_VALUE"""),8.0)</f>
        <v>8</v>
      </c>
      <c r="F3151" s="6">
        <f>IFERROR(__xludf.DUMMYFUNCTION("""COMPUTED_VALUE"""),8.0)</f>
        <v>8</v>
      </c>
      <c r="G3151" s="6">
        <f>IFERROR(__xludf.DUMMYFUNCTION("""COMPUTED_VALUE"""),0.0)</f>
        <v>0</v>
      </c>
      <c r="H3151" s="6" t="str">
        <f>IFERROR(__xludf.DUMMYFUNCTION("""COMPUTED_VALUE"""),"Pcs")</f>
        <v>Pcs</v>
      </c>
      <c r="I3151" s="6" t="str">
        <f>IFERROR(__xludf.DUMMYFUNCTION("""COMPUTED_VALUE"""),"MFH")</f>
        <v>MFH</v>
      </c>
      <c r="J3151" s="6" t="str">
        <f>IFERROR(__xludf.DUMMYFUNCTION("""COMPUTED_VALUE"""),"-")</f>
        <v>-</v>
      </c>
      <c r="K3151" s="6" t="str">
        <f>IFERROR(__xludf.DUMMYFUNCTION("""COMPUTED_VALUE"""),"SPR/26/02/003")</f>
        <v>SPR/26/02/003</v>
      </c>
      <c r="L3151" s="58">
        <f>IFERROR(__xludf.DUMMYFUNCTION("""COMPUTED_VALUE"""),46080.0)</f>
        <v>46080</v>
      </c>
    </row>
    <row r="3152">
      <c r="A3152" s="6" t="str">
        <f>IFERROR(__xludf.DUMMYFUNCTION("""COMPUTED_VALUE"""),"SFH")</f>
        <v>SFH</v>
      </c>
      <c r="B3152" s="6" t="str">
        <f>IFERROR(__xludf.DUMMYFUNCTION("""COMPUTED_VALUE"""),"ENG")</f>
        <v>ENG</v>
      </c>
      <c r="C3152" s="6" t="str">
        <f>IFERROR(__xludf.DUMMYFUNCTION("""COMPUTED_VALUE"""),"Q-12060-00")</f>
        <v>Q-12060-00</v>
      </c>
      <c r="D3152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3152" s="6">
        <f>IFERROR(__xludf.DUMMYFUNCTION("""COMPUTED_VALUE"""),1.0)</f>
        <v>1</v>
      </c>
      <c r="F3152" s="6">
        <f>IFERROR(__xludf.DUMMYFUNCTION("""COMPUTED_VALUE"""),1.0)</f>
        <v>1</v>
      </c>
      <c r="G3152" s="6">
        <f>IFERROR(__xludf.DUMMYFUNCTION("""COMPUTED_VALUE"""),0.0)</f>
        <v>0</v>
      </c>
      <c r="H3152" s="6" t="str">
        <f>IFERROR(__xludf.DUMMYFUNCTION("""COMPUTED_VALUE"""),"Pcs")</f>
        <v>Pcs</v>
      </c>
      <c r="I3152" s="6" t="str">
        <f>IFERROR(__xludf.DUMMYFUNCTION("""COMPUTED_VALUE"""),"MFH")</f>
        <v>MFH</v>
      </c>
      <c r="J3152" s="6" t="str">
        <f>IFERROR(__xludf.DUMMYFUNCTION("""COMPUTED_VALUE"""),"Building")</f>
        <v>Building</v>
      </c>
      <c r="K3152" s="6" t="str">
        <f>IFERROR(__xludf.DUMMYFUNCTION("""COMPUTED_VALUE"""),"SPR/26/02/004")</f>
        <v>SPR/26/02/004</v>
      </c>
      <c r="L3152" s="58">
        <f>IFERROR(__xludf.DUMMYFUNCTION("""COMPUTED_VALUE"""),46080.0)</f>
        <v>46080</v>
      </c>
    </row>
    <row r="3153">
      <c r="A3153" s="6" t="str">
        <f>IFERROR(__xludf.DUMMYFUNCTION("""COMPUTED_VALUE"""),"SFH")</f>
        <v>SFH</v>
      </c>
      <c r="B3153" s="6" t="str">
        <f>IFERROR(__xludf.DUMMYFUNCTION("""COMPUTED_VALUE"""),"ENG")</f>
        <v>ENG</v>
      </c>
      <c r="C3153" s="6" t="str">
        <f>IFERROR(__xludf.DUMMYFUNCTION("""COMPUTED_VALUE"""),"Q-10249-00")</f>
        <v>Q-10249-00</v>
      </c>
      <c r="D3153" s="6" t="str">
        <f>IFERROR(__xludf.DUMMYFUNCTION("""COMPUTED_VALUE"""),"Lem Power Glue; ; ;")</f>
        <v>Lem Power Glue; ; ;</v>
      </c>
      <c r="E3153" s="6">
        <f>IFERROR(__xludf.DUMMYFUNCTION("""COMPUTED_VALUE"""),1.0)</f>
        <v>1</v>
      </c>
      <c r="F3153" s="6">
        <f>IFERROR(__xludf.DUMMYFUNCTION("""COMPUTED_VALUE"""),1.0)</f>
        <v>1</v>
      </c>
      <c r="G3153" s="6">
        <f>IFERROR(__xludf.DUMMYFUNCTION("""COMPUTED_VALUE"""),0.0)</f>
        <v>0</v>
      </c>
      <c r="H3153" s="6" t="str">
        <f>IFERROR(__xludf.DUMMYFUNCTION("""COMPUTED_VALUE"""),"Pcs")</f>
        <v>Pcs</v>
      </c>
      <c r="I3153" s="6" t="str">
        <f>IFERROR(__xludf.DUMMYFUNCTION("""COMPUTED_VALUE"""),"MFH")</f>
        <v>MFH</v>
      </c>
      <c r="J3153" s="6" t="str">
        <f>IFERROR(__xludf.DUMMYFUNCTION("""COMPUTED_VALUE"""),"Building")</f>
        <v>Building</v>
      </c>
      <c r="K3153" s="6" t="str">
        <f>IFERROR(__xludf.DUMMYFUNCTION("""COMPUTED_VALUE"""),"SPR/26/02/004")</f>
        <v>SPR/26/02/004</v>
      </c>
      <c r="L3153" s="58">
        <f>IFERROR(__xludf.DUMMYFUNCTION("""COMPUTED_VALUE"""),46080.0)</f>
        <v>46080</v>
      </c>
    </row>
    <row r="3154">
      <c r="A3154" s="6" t="str">
        <f>IFERROR(__xludf.DUMMYFUNCTION("""COMPUTED_VALUE"""),"KFF")</f>
        <v>KFF</v>
      </c>
      <c r="B3154" s="6" t="str">
        <f>IFERROR(__xludf.DUMMYFUNCTION("""COMPUTED_VALUE"""),"ENG")</f>
        <v>ENG</v>
      </c>
      <c r="C3154" s="6" t="str">
        <f>IFERROR(__xludf.DUMMYFUNCTION("""COMPUTED_VALUE"""),"P-12749-00")</f>
        <v>P-12749-00</v>
      </c>
      <c r="D3154" s="6" t="str">
        <f>IFERROR(__xludf.DUMMYFUNCTION("""COMPUTED_VALUE"""),"General - Pipa PVC AW dia. 1inch, Warna Abu-Abu; Rucika; -; 1 pcs")</f>
        <v>General - Pipa PVC AW dia. 1inch, Warna Abu-Abu; Rucika; -; 1 pcs</v>
      </c>
      <c r="E3154" s="6">
        <f>IFERROR(__xludf.DUMMYFUNCTION("""COMPUTED_VALUE"""),1.0)</f>
        <v>1</v>
      </c>
      <c r="F3154" s="6">
        <f>IFERROR(__xludf.DUMMYFUNCTION("""COMPUTED_VALUE"""),1.0)</f>
        <v>1</v>
      </c>
      <c r="G3154" s="6">
        <f>IFERROR(__xludf.DUMMYFUNCTION("""COMPUTED_VALUE"""),0.0)</f>
        <v>0</v>
      </c>
      <c r="H3154" s="6" t="str">
        <f>IFERROR(__xludf.DUMMYFUNCTION("""COMPUTED_VALUE"""),"Pcs")</f>
        <v>Pcs</v>
      </c>
      <c r="I3154" s="6" t="str">
        <f>IFERROR(__xludf.DUMMYFUNCTION("""COMPUTED_VALUE"""),"MFH")</f>
        <v>MFH</v>
      </c>
      <c r="J3154" s="6" t="str">
        <f>IFERROR(__xludf.DUMMYFUNCTION("""COMPUTED_VALUE"""),"Building")</f>
        <v>Building</v>
      </c>
      <c r="K3154" s="6" t="str">
        <f>IFERROR(__xludf.DUMMYFUNCTION("""COMPUTED_VALUE"""),"SPR/26/02/005")</f>
        <v>SPR/26/02/005</v>
      </c>
      <c r="L3154" s="58">
        <f>IFERROR(__xludf.DUMMYFUNCTION("""COMPUTED_VALUE"""),46080.0)</f>
        <v>46080</v>
      </c>
    </row>
    <row r="3155">
      <c r="A3155" s="6" t="str">
        <f>IFERROR(__xludf.DUMMYFUNCTION("""COMPUTED_VALUE"""),"NDS")</f>
        <v>NDS</v>
      </c>
      <c r="B3155" s="6" t="str">
        <f>IFERROR(__xludf.DUMMYFUNCTION("""COMPUTED_VALUE"""),"ENG")</f>
        <v>ENG</v>
      </c>
      <c r="C3155" s="6" t="str">
        <f>IFERROR(__xludf.DUMMYFUNCTION("""COMPUTED_VALUE"""),"O-16032-00")</f>
        <v>O-16032-00</v>
      </c>
      <c r="D3155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155" s="6">
        <f>IFERROR(__xludf.DUMMYFUNCTION("""COMPUTED_VALUE"""),1.0)</f>
        <v>1</v>
      </c>
      <c r="F3155" s="6">
        <f>IFERROR(__xludf.DUMMYFUNCTION("""COMPUTED_VALUE"""),1.0)</f>
        <v>1</v>
      </c>
      <c r="G3155" s="6">
        <f>IFERROR(__xludf.DUMMYFUNCTION("""COMPUTED_VALUE"""),0.0)</f>
        <v>0</v>
      </c>
      <c r="H3155" s="6" t="str">
        <f>IFERROR(__xludf.DUMMYFUNCTION("""COMPUTED_VALUE"""),"Pcs")</f>
        <v>Pcs</v>
      </c>
      <c r="I3155" s="6" t="str">
        <f>IFERROR(__xludf.DUMMYFUNCTION("""COMPUTED_VALUE"""),"MFH")</f>
        <v>MFH</v>
      </c>
      <c r="J3155" s="6" t="str">
        <f>IFERROR(__xludf.DUMMYFUNCTION("""COMPUTED_VALUE"""),"cRABS")</f>
        <v>cRABS</v>
      </c>
      <c r="K3155" s="6" t="str">
        <f>IFERROR(__xludf.DUMMYFUNCTION("""COMPUTED_VALUE"""),"SPR/26/02/006")</f>
        <v>SPR/26/02/006</v>
      </c>
      <c r="L3155" s="58">
        <f>IFERROR(__xludf.DUMMYFUNCTION("""COMPUTED_VALUE"""),46080.0)</f>
        <v>46080</v>
      </c>
    </row>
    <row r="3156">
      <c r="A3156" s="6" t="str">
        <f>IFERROR(__xludf.DUMMYFUNCTION("""COMPUTED_VALUE"""),"ROS")</f>
        <v>ROS</v>
      </c>
      <c r="B3156" s="6" t="str">
        <f>IFERROR(__xludf.DUMMYFUNCTION("""COMPUTED_VALUE"""),"ENG")</f>
        <v>ENG</v>
      </c>
      <c r="C3156" s="6" t="str">
        <f>IFERROR(__xludf.DUMMYFUNCTION("""COMPUTED_VALUE"""),"P-11968-00")</f>
        <v>P-11968-00</v>
      </c>
      <c r="D3156" s="6" t="str">
        <f>IFERROR(__xludf.DUMMYFUNCTION("""COMPUTED_VALUE"""),"Berusynt FGH Spray H1 - Bechem")</f>
        <v>Berusynt FGH Spray H1 - Bechem</v>
      </c>
      <c r="E3156" s="6">
        <f>IFERROR(__xludf.DUMMYFUNCTION("""COMPUTED_VALUE"""),1.0)</f>
        <v>1</v>
      </c>
      <c r="F3156" s="6">
        <f>IFERROR(__xludf.DUMMYFUNCTION("""COMPUTED_VALUE"""),1.0)</f>
        <v>1</v>
      </c>
      <c r="G3156" s="6">
        <f>IFERROR(__xludf.DUMMYFUNCTION("""COMPUTED_VALUE"""),0.0)</f>
        <v>0</v>
      </c>
      <c r="H3156" s="6" t="str">
        <f>IFERROR(__xludf.DUMMYFUNCTION("""COMPUTED_VALUE"""),"Pcs")</f>
        <v>Pcs</v>
      </c>
      <c r="I3156" s="6" t="str">
        <f>IFERROR(__xludf.DUMMYFUNCTION("""COMPUTED_VALUE"""),"MFH")</f>
        <v>MFH</v>
      </c>
      <c r="J3156" s="6" t="str">
        <f>IFERROR(__xludf.DUMMYFUNCTION("""COMPUTED_VALUE"""),"Dispensing")</f>
        <v>Dispensing</v>
      </c>
      <c r="K3156" s="6" t="str">
        <f>IFERROR(__xludf.DUMMYFUNCTION("""COMPUTED_VALUE"""),"SPR/26/02/007")</f>
        <v>SPR/26/02/007</v>
      </c>
      <c r="L3156" s="58">
        <f>IFERROR(__xludf.DUMMYFUNCTION("""COMPUTED_VALUE"""),46080.0)</f>
        <v>46080</v>
      </c>
    </row>
    <row r="3157">
      <c r="A3157" s="6" t="str">
        <f>IFERROR(__xludf.DUMMYFUNCTION("""COMPUTED_VALUE"""),"RIA")</f>
        <v>RIA</v>
      </c>
      <c r="B3157" s="6" t="str">
        <f>IFERROR(__xludf.DUMMYFUNCTION("""COMPUTED_VALUE"""),"ENG")</f>
        <v>ENG</v>
      </c>
      <c r="C3157" s="6" t="str">
        <f>IFERROR(__xludf.DUMMYFUNCTION("""COMPUTED_VALUE"""),"P-10945-00")</f>
        <v>P-10945-00</v>
      </c>
      <c r="D3157" s="6" t="str">
        <f>IFERROR(__xludf.DUMMYFUNCTION("""COMPUTED_VALUE"""),"General - Seal Tape 1/2inch 10 M; Onda; ST 01; 1 pcs")</f>
        <v>General - Seal Tape 1/2inch 10 M; Onda; ST 01; 1 pcs</v>
      </c>
      <c r="E3157" s="6">
        <f>IFERROR(__xludf.DUMMYFUNCTION("""COMPUTED_VALUE"""),1.0)</f>
        <v>1</v>
      </c>
      <c r="F3157" s="6">
        <f>IFERROR(__xludf.DUMMYFUNCTION("""COMPUTED_VALUE"""),1.0)</f>
        <v>1</v>
      </c>
      <c r="G3157" s="6">
        <f>IFERROR(__xludf.DUMMYFUNCTION("""COMPUTED_VALUE"""),0.0)</f>
        <v>0</v>
      </c>
      <c r="H3157" s="6" t="str">
        <f>IFERROR(__xludf.DUMMYFUNCTION("""COMPUTED_VALUE"""),"Pcs")</f>
        <v>Pcs</v>
      </c>
      <c r="I3157" s="6" t="str">
        <f>IFERROR(__xludf.DUMMYFUNCTION("""COMPUTED_VALUE"""),"MFH")</f>
        <v>MFH</v>
      </c>
      <c r="J3157" s="6" t="str">
        <f>IFERROR(__xludf.DUMMYFUNCTION("""COMPUTED_VALUE"""),"-")</f>
        <v>-</v>
      </c>
      <c r="K3157" s="6" t="str">
        <f>IFERROR(__xludf.DUMMYFUNCTION("""COMPUTED_VALUE"""),"SPR/26/02/008")</f>
        <v>SPR/26/02/008</v>
      </c>
      <c r="L3157" s="58">
        <f>IFERROR(__xludf.DUMMYFUNCTION("""COMPUTED_VALUE"""),46080.0)</f>
        <v>46080</v>
      </c>
    </row>
    <row r="3158">
      <c r="A3158" s="6" t="str">
        <f>IFERROR(__xludf.DUMMYFUNCTION("""COMPUTED_VALUE"""),"RIA")</f>
        <v>RIA</v>
      </c>
      <c r="B3158" s="6" t="str">
        <f>IFERROR(__xludf.DUMMYFUNCTION("""COMPUTED_VALUE"""),"ENG")</f>
        <v>ENG</v>
      </c>
      <c r="C3158" s="6" t="str">
        <f>IFERROR(__xludf.DUMMYFUNCTION("""COMPUTED_VALUE"""),"O-50863-00")</f>
        <v>O-50863-00</v>
      </c>
      <c r="D3158" s="6" t="str">
        <f>IFERROR(__xludf.DUMMYFUNCTION("""COMPUTED_VALUE"""),"General - Relay 220-240 VAC; Omron; MY4N; 1 Pc")</f>
        <v>General - Relay 220-240 VAC; Omron; MY4N; 1 Pc</v>
      </c>
      <c r="E3158" s="6">
        <f>IFERROR(__xludf.DUMMYFUNCTION("""COMPUTED_VALUE"""),2.0)</f>
        <v>2</v>
      </c>
      <c r="F3158" s="6">
        <f>IFERROR(__xludf.DUMMYFUNCTION("""COMPUTED_VALUE"""),2.0)</f>
        <v>2</v>
      </c>
      <c r="G3158" s="6">
        <f>IFERROR(__xludf.DUMMYFUNCTION("""COMPUTED_VALUE"""),0.0)</f>
        <v>0</v>
      </c>
      <c r="H3158" s="6" t="str">
        <f>IFERROR(__xludf.DUMMYFUNCTION("""COMPUTED_VALUE"""),"Pcs")</f>
        <v>Pcs</v>
      </c>
      <c r="I3158" s="6" t="str">
        <f>IFERROR(__xludf.DUMMYFUNCTION("""COMPUTED_VALUE"""),"MFH")</f>
        <v>MFH</v>
      </c>
      <c r="J3158" s="6" t="str">
        <f>IFERROR(__xludf.DUMMYFUNCTION("""COMPUTED_VALUE"""),"-")</f>
        <v>-</v>
      </c>
      <c r="K3158" s="6" t="str">
        <f>IFERROR(__xludf.DUMMYFUNCTION("""COMPUTED_VALUE"""),"SPR/26/02/009")</f>
        <v>SPR/26/02/009</v>
      </c>
      <c r="L3158" s="58">
        <f>IFERROR(__xludf.DUMMYFUNCTION("""COMPUTED_VALUE"""),46080.0)</f>
        <v>46080</v>
      </c>
    </row>
    <row r="3159">
      <c r="A3159" s="6" t="str">
        <f>IFERROR(__xludf.DUMMYFUNCTION("""COMPUTED_VALUE"""),"ROS")</f>
        <v>ROS</v>
      </c>
      <c r="B3159" s="6" t="str">
        <f>IFERROR(__xludf.DUMMYFUNCTION("""COMPUTED_VALUE"""),"ENG")</f>
        <v>ENG</v>
      </c>
      <c r="C3159" s="6" t="str">
        <f>IFERROR(__xludf.DUMMYFUNCTION("""COMPUTED_VALUE"""),"P-14955-00")</f>
        <v>P-14955-00</v>
      </c>
      <c r="D3159" s="6" t="str">
        <f>IFERROR(__xludf.DUMMYFUNCTION("""COMPUTED_VALUE"""),"Straight Union KQ2H04-00A; ; ;")</f>
        <v>Straight Union KQ2H04-00A; ; ;</v>
      </c>
      <c r="E3159" s="6">
        <f>IFERROR(__xludf.DUMMYFUNCTION("""COMPUTED_VALUE"""),1.0)</f>
        <v>1</v>
      </c>
      <c r="F3159" s="6">
        <f>IFERROR(__xludf.DUMMYFUNCTION("""COMPUTED_VALUE"""),1.0)</f>
        <v>1</v>
      </c>
      <c r="G3159" s="6">
        <f>IFERROR(__xludf.DUMMYFUNCTION("""COMPUTED_VALUE"""),0.0)</f>
        <v>0</v>
      </c>
      <c r="H3159" s="6" t="str">
        <f>IFERROR(__xludf.DUMMYFUNCTION("""COMPUTED_VALUE"""),"Pcs")</f>
        <v>Pcs</v>
      </c>
      <c r="I3159" s="6" t="str">
        <f>IFERROR(__xludf.DUMMYFUNCTION("""COMPUTED_VALUE"""),"MFH")</f>
        <v>MFH</v>
      </c>
      <c r="J3159" s="6" t="str">
        <f>IFERROR(__xludf.DUMMYFUNCTION("""COMPUTED_VALUE"""),"Washing")</f>
        <v>Washing</v>
      </c>
      <c r="K3159" s="6" t="str">
        <f>IFERROR(__xludf.DUMMYFUNCTION("""COMPUTED_VALUE"""),"SPR/26/02/010")</f>
        <v>SPR/26/02/010</v>
      </c>
      <c r="L3159" s="58">
        <f>IFERROR(__xludf.DUMMYFUNCTION("""COMPUTED_VALUE"""),46080.0)</f>
        <v>46080</v>
      </c>
    </row>
    <row r="3160">
      <c r="A3160" s="6" t="str">
        <f>IFERROR(__xludf.DUMMYFUNCTION("""COMPUTED_VALUE"""),"BDU")</f>
        <v>BDU</v>
      </c>
      <c r="B3160" s="6" t="str">
        <f>IFERROR(__xludf.DUMMYFUNCTION("""COMPUTED_VALUE"""),"ENG")</f>
        <v>ENG</v>
      </c>
      <c r="C3160" s="6" t="str">
        <f>IFERROR(__xludf.DUMMYFUNCTION("""COMPUTED_VALUE"""),"P-51559-00")</f>
        <v>P-51559-00</v>
      </c>
      <c r="D3160" s="6" t="str">
        <f>IFERROR(__xludf.DUMMYFUNCTION("""COMPUTED_VALUE"""),"General - Lampu TL LED T5 14 W White; Philips; -; 1 unt")</f>
        <v>General - Lampu TL LED T5 14 W White; Philips; -; 1 unt</v>
      </c>
      <c r="E3160" s="6">
        <f>IFERROR(__xludf.DUMMYFUNCTION("""COMPUTED_VALUE"""),6.0)</f>
        <v>6</v>
      </c>
      <c r="F3160" s="6">
        <f>IFERROR(__xludf.DUMMYFUNCTION("""COMPUTED_VALUE"""),7.0)</f>
        <v>7</v>
      </c>
      <c r="G3160" s="6">
        <f>IFERROR(__xludf.DUMMYFUNCTION("""COMPUTED_VALUE"""),0.0)</f>
        <v>0</v>
      </c>
      <c r="H3160" s="6" t="str">
        <f>IFERROR(__xludf.DUMMYFUNCTION("""COMPUTED_VALUE"""),"Pcs")</f>
        <v>Pcs</v>
      </c>
      <c r="I3160" s="6" t="str">
        <f>IFERROR(__xludf.DUMMYFUNCTION("""COMPUTED_VALUE"""),"MFH")</f>
        <v>MFH</v>
      </c>
      <c r="J3160" s="6" t="str">
        <f>IFERROR(__xludf.DUMMYFUNCTION("""COMPUTED_VALUE"""),"Building")</f>
        <v>Building</v>
      </c>
      <c r="K3160" s="6" t="str">
        <f>IFERROR(__xludf.DUMMYFUNCTION("""COMPUTED_VALUE"""),"SPR/26/02/011")</f>
        <v>SPR/26/02/011</v>
      </c>
      <c r="L3160" s="58">
        <f>IFERROR(__xludf.DUMMYFUNCTION("""COMPUTED_VALUE"""),46080.0)</f>
        <v>46080</v>
      </c>
    </row>
    <row r="3161">
      <c r="A3161" s="6" t="str">
        <f>IFERROR(__xludf.DUMMYFUNCTION("""COMPUTED_VALUE"""),"BDU")</f>
        <v>BDU</v>
      </c>
      <c r="B3161" s="6" t="str">
        <f>IFERROR(__xludf.DUMMYFUNCTION("""COMPUTED_VALUE"""),"ENG")</f>
        <v>ENG</v>
      </c>
      <c r="C3161" s="6" t="str">
        <f>IFERROR(__xludf.DUMMYFUNCTION("""COMPUTED_VALUE"""),"P-51559-00")</f>
        <v>P-51559-00</v>
      </c>
      <c r="D3161" s="6" t="str">
        <f>IFERROR(__xludf.DUMMYFUNCTION("""COMPUTED_VALUE"""),"General - Lampu TL LED T5 14 W White; Philips; -; 1 unt")</f>
        <v>General - Lampu TL LED T5 14 W White; Philips; -; 1 unt</v>
      </c>
      <c r="E3161" s="6">
        <f>IFERROR(__xludf.DUMMYFUNCTION("""COMPUTED_VALUE"""),6.0)</f>
        <v>6</v>
      </c>
      <c r="F3161" s="6">
        <f>IFERROR(__xludf.DUMMYFUNCTION("""COMPUTED_VALUE"""),7.0)</f>
        <v>7</v>
      </c>
      <c r="G3161" s="6">
        <f>IFERROR(__xludf.DUMMYFUNCTION("""COMPUTED_VALUE"""),0.0)</f>
        <v>0</v>
      </c>
      <c r="H3161" s="6" t="str">
        <f>IFERROR(__xludf.DUMMYFUNCTION("""COMPUTED_VALUE"""),"Pcs")</f>
        <v>Pcs</v>
      </c>
      <c r="I3161" s="6" t="str">
        <f>IFERROR(__xludf.DUMMYFUNCTION("""COMPUTED_VALUE"""),"MFH")</f>
        <v>MFH</v>
      </c>
      <c r="J3161" s="6" t="str">
        <f>IFERROR(__xludf.DUMMYFUNCTION("""COMPUTED_VALUE"""),"Building")</f>
        <v>Building</v>
      </c>
      <c r="K3161" s="6" t="str">
        <f>IFERROR(__xludf.DUMMYFUNCTION("""COMPUTED_VALUE"""),"SPR/26/02/011")</f>
        <v>SPR/26/02/011</v>
      </c>
      <c r="L3161" s="58">
        <f>IFERROR(__xludf.DUMMYFUNCTION("""COMPUTED_VALUE"""),46080.0)</f>
        <v>46080</v>
      </c>
    </row>
    <row r="3162">
      <c r="A3162" s="6" t="str">
        <f>IFERROR(__xludf.DUMMYFUNCTION("""COMPUTED_VALUE"""),"BDU")</f>
        <v>BDU</v>
      </c>
      <c r="B3162" s="6" t="str">
        <f>IFERROR(__xludf.DUMMYFUNCTION("""COMPUTED_VALUE"""),"ENG")</f>
        <v>ENG</v>
      </c>
      <c r="C3162" s="6" t="str">
        <f>IFERROR(__xludf.DUMMYFUNCTION("""COMPUTED_VALUE"""),"P-51560-00")</f>
        <v>P-51560-00</v>
      </c>
      <c r="D3162" s="6" t="str">
        <f>IFERROR(__xludf.DUMMYFUNCTION("""COMPUTED_VALUE"""),"General - Lampu TL LED T5 28 W White; Philips; -; 1 unt")</f>
        <v>General - Lampu TL LED T5 28 W White; Philips; -; 1 unt</v>
      </c>
      <c r="E3162" s="6">
        <f>IFERROR(__xludf.DUMMYFUNCTION("""COMPUTED_VALUE"""),6.0)</f>
        <v>6</v>
      </c>
      <c r="F3162" s="6">
        <f>IFERROR(__xludf.DUMMYFUNCTION("""COMPUTED_VALUE"""),6.0)</f>
        <v>6</v>
      </c>
      <c r="G3162" s="6">
        <f>IFERROR(__xludf.DUMMYFUNCTION("""COMPUTED_VALUE"""),0.0)</f>
        <v>0</v>
      </c>
      <c r="H3162" s="6" t="str">
        <f>IFERROR(__xludf.DUMMYFUNCTION("""COMPUTED_VALUE"""),"Pcs")</f>
        <v>Pcs</v>
      </c>
      <c r="I3162" s="6" t="str">
        <f>IFERROR(__xludf.DUMMYFUNCTION("""COMPUTED_VALUE"""),"MFH")</f>
        <v>MFH</v>
      </c>
      <c r="J3162" s="6" t="str">
        <f>IFERROR(__xludf.DUMMYFUNCTION("""COMPUTED_VALUE"""),"Building")</f>
        <v>Building</v>
      </c>
      <c r="K3162" s="6" t="str">
        <f>IFERROR(__xludf.DUMMYFUNCTION("""COMPUTED_VALUE"""),"SPR/26/02/011")</f>
        <v>SPR/26/02/011</v>
      </c>
      <c r="L3162" s="58">
        <f>IFERROR(__xludf.DUMMYFUNCTION("""COMPUTED_VALUE"""),46080.0)</f>
        <v>46080</v>
      </c>
    </row>
    <row r="3163">
      <c r="A3163" s="6" t="str">
        <f>IFERROR(__xludf.DUMMYFUNCTION("""COMPUTED_VALUE"""),"BDU")</f>
        <v>BDU</v>
      </c>
      <c r="B3163" s="6" t="str">
        <f>IFERROR(__xludf.DUMMYFUNCTION("""COMPUTED_VALUE"""),"ENG")</f>
        <v>ENG</v>
      </c>
      <c r="C3163" s="6" t="str">
        <f>IFERROR(__xludf.DUMMYFUNCTION("""COMPUTED_VALUE"""),"P-53169-00")</f>
        <v>P-53169-00</v>
      </c>
      <c r="D3163" s="6" t="str">
        <f>IFERROR(__xludf.DUMMYFUNCTION("""COMPUTED_VALUE"""),"General - Trafo BalLast EBC 2x28W; Phillips; EB-C 228; 1 pcs")</f>
        <v>General - Trafo BalLast EBC 2x28W; Phillips; EB-C 228; 1 pcs</v>
      </c>
      <c r="E3163" s="6">
        <f>IFERROR(__xludf.DUMMYFUNCTION("""COMPUTED_VALUE"""),2.0)</f>
        <v>2</v>
      </c>
      <c r="F3163" s="6">
        <f>IFERROR(__xludf.DUMMYFUNCTION("""COMPUTED_VALUE"""),2.0)</f>
        <v>2</v>
      </c>
      <c r="G3163" s="6">
        <f>IFERROR(__xludf.DUMMYFUNCTION("""COMPUTED_VALUE"""),0.0)</f>
        <v>0</v>
      </c>
      <c r="H3163" s="6" t="str">
        <f>IFERROR(__xludf.DUMMYFUNCTION("""COMPUTED_VALUE"""),"Pcs")</f>
        <v>Pcs</v>
      </c>
      <c r="I3163" s="6" t="str">
        <f>IFERROR(__xludf.DUMMYFUNCTION("""COMPUTED_VALUE"""),"MFH")</f>
        <v>MFH</v>
      </c>
      <c r="J3163" s="6" t="str">
        <f>IFERROR(__xludf.DUMMYFUNCTION("""COMPUTED_VALUE"""),"Building")</f>
        <v>Building</v>
      </c>
      <c r="K3163" s="6" t="str">
        <f>IFERROR(__xludf.DUMMYFUNCTION("""COMPUTED_VALUE"""),"SPR/26/02/012")</f>
        <v>SPR/26/02/012</v>
      </c>
      <c r="L3163" s="58">
        <f>IFERROR(__xludf.DUMMYFUNCTION("""COMPUTED_VALUE"""),46080.0)</f>
        <v>46080</v>
      </c>
    </row>
    <row r="3164">
      <c r="A3164" s="6" t="str">
        <f>IFERROR(__xludf.DUMMYFUNCTION("""COMPUTED_VALUE"""),"MRN")</f>
        <v>MRN</v>
      </c>
      <c r="B3164" s="6" t="str">
        <f>IFERROR(__xludf.DUMMYFUNCTION("""COMPUTED_VALUE"""),"ENG")</f>
        <v>ENG</v>
      </c>
      <c r="C3164" s="6" t="str">
        <f>IFERROR(__xludf.DUMMYFUNCTION("""COMPUTED_VALUE"""),"P-19381-00")</f>
        <v>P-19381-00</v>
      </c>
      <c r="D3164" s="6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E3164" s="6">
        <f>IFERROR(__xludf.DUMMYFUNCTION("""COMPUTED_VALUE"""),1.0)</f>
        <v>1</v>
      </c>
      <c r="F3164" s="6">
        <f>IFERROR(__xludf.DUMMYFUNCTION("""COMPUTED_VALUE"""),1.0)</f>
        <v>1</v>
      </c>
      <c r="G3164" s="6">
        <f>IFERROR(__xludf.DUMMYFUNCTION("""COMPUTED_VALUE"""),0.0)</f>
        <v>0</v>
      </c>
      <c r="H3164" s="6" t="str">
        <f>IFERROR(__xludf.DUMMYFUNCTION("""COMPUTED_VALUE"""),"Pcs")</f>
        <v>Pcs</v>
      </c>
      <c r="I3164" s="6" t="str">
        <f>IFERROR(__xludf.DUMMYFUNCTION("""COMPUTED_VALUE"""),"MFH")</f>
        <v>MFH</v>
      </c>
      <c r="J3164" s="6" t="str">
        <f>IFERROR(__xludf.DUMMYFUNCTION("""COMPUTED_VALUE"""),"Building")</f>
        <v>Building</v>
      </c>
      <c r="K3164" s="6" t="str">
        <f>IFERROR(__xludf.DUMMYFUNCTION("""COMPUTED_VALUE"""),"SPR/26/02/013")</f>
        <v>SPR/26/02/013</v>
      </c>
      <c r="L3164" s="58">
        <f>IFERROR(__xludf.DUMMYFUNCTION("""COMPUTED_VALUE"""),46080.0)</f>
        <v>46080</v>
      </c>
    </row>
    <row r="3165">
      <c r="A3165" s="6" t="str">
        <f>IFERROR(__xludf.DUMMYFUNCTION("""COMPUTED_VALUE"""),"ANO")</f>
        <v>ANO</v>
      </c>
      <c r="B3165" s="6" t="str">
        <f>IFERROR(__xludf.DUMMYFUNCTION("""COMPUTED_VALUE"""),"ENG")</f>
        <v>ENG</v>
      </c>
      <c r="C3165" s="6" t="str">
        <f>IFERROR(__xludf.DUMMYFUNCTION("""COMPUTED_VALUE"""),"P-20431-00")</f>
        <v>P-20431-00</v>
      </c>
      <c r="D3165" s="6" t="str">
        <f>IFERROR(__xludf.DUMMYFUNCTION("""COMPUTED_VALUE"""),"General - Elbow Ornamen SS201 dia. 4 inch; No Brand; -; 1 pc")</f>
        <v>General - Elbow Ornamen SS201 dia. 4 inch; No Brand; -; 1 pc</v>
      </c>
      <c r="E3165" s="6">
        <f>IFERROR(__xludf.DUMMYFUNCTION("""COMPUTED_VALUE"""),2.0)</f>
        <v>2</v>
      </c>
      <c r="F3165" s="6">
        <f>IFERROR(__xludf.DUMMYFUNCTION("""COMPUTED_VALUE"""),2.0)</f>
        <v>2</v>
      </c>
      <c r="G3165" s="6">
        <f>IFERROR(__xludf.DUMMYFUNCTION("""COMPUTED_VALUE"""),0.0)</f>
        <v>0</v>
      </c>
      <c r="H3165" s="6" t="str">
        <f>IFERROR(__xludf.DUMMYFUNCTION("""COMPUTED_VALUE"""),"Pcs")</f>
        <v>Pcs</v>
      </c>
      <c r="I3165" s="6" t="str">
        <f>IFERROR(__xludf.DUMMYFUNCTION("""COMPUTED_VALUE"""),"MFH")</f>
        <v>MFH</v>
      </c>
      <c r="J3165" s="6" t="str">
        <f>IFERROR(__xludf.DUMMYFUNCTION("""COMPUTED_VALUE"""),"Blistering")</f>
        <v>Blistering</v>
      </c>
      <c r="K3165" s="6" t="str">
        <f>IFERROR(__xludf.DUMMYFUNCTION("""COMPUTED_VALUE"""),"SPR/26/02/014")</f>
        <v>SPR/26/02/014</v>
      </c>
      <c r="L3165" s="58">
        <f>IFERROR(__xludf.DUMMYFUNCTION("""COMPUTED_VALUE"""),46080.0)</f>
        <v>46080</v>
      </c>
    </row>
    <row r="3166">
      <c r="A3166" s="6" t="str">
        <f>IFERROR(__xludf.DUMMYFUNCTION("""COMPUTED_VALUE"""),"ANO")</f>
        <v>ANO</v>
      </c>
      <c r="B3166" s="6" t="str">
        <f>IFERROR(__xludf.DUMMYFUNCTION("""COMPUTED_VALUE"""),"ENG")</f>
        <v>ENG</v>
      </c>
      <c r="C3166" s="6" t="str">
        <f>IFERROR(__xludf.DUMMYFUNCTION("""COMPUTED_VALUE"""),"P-20432-00")</f>
        <v>P-20432-00</v>
      </c>
      <c r="D3166" s="6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E3166" s="6">
        <f>IFERROR(__xludf.DUMMYFUNCTION("""COMPUTED_VALUE"""),3.0)</f>
        <v>3</v>
      </c>
      <c r="F3166" s="6">
        <f>IFERROR(__xludf.DUMMYFUNCTION("""COMPUTED_VALUE"""),3.0)</f>
        <v>3</v>
      </c>
      <c r="G3166" s="6">
        <f>IFERROR(__xludf.DUMMYFUNCTION("""COMPUTED_VALUE"""),0.0)</f>
        <v>0</v>
      </c>
      <c r="H3166" s="6" t="str">
        <f>IFERROR(__xludf.DUMMYFUNCTION("""COMPUTED_VALUE"""),"Pcs")</f>
        <v>Pcs</v>
      </c>
      <c r="I3166" s="6" t="str">
        <f>IFERROR(__xludf.DUMMYFUNCTION("""COMPUTED_VALUE"""),"MFH")</f>
        <v>MFH</v>
      </c>
      <c r="J3166" s="6" t="str">
        <f>IFERROR(__xludf.DUMMYFUNCTION("""COMPUTED_VALUE"""),"Blistering")</f>
        <v>Blistering</v>
      </c>
      <c r="K3166" s="6" t="str">
        <f>IFERROR(__xludf.DUMMYFUNCTION("""COMPUTED_VALUE"""),"SPR/26/02/015")</f>
        <v>SPR/26/02/015</v>
      </c>
      <c r="L3166" s="58">
        <f>IFERROR(__xludf.DUMMYFUNCTION("""COMPUTED_VALUE"""),46080.0)</f>
        <v>46080</v>
      </c>
    </row>
    <row r="3167">
      <c r="A3167" s="6" t="str">
        <f>IFERROR(__xludf.DUMMYFUNCTION("""COMPUTED_VALUE"""),"MOB")</f>
        <v>MOB</v>
      </c>
      <c r="B3167" s="6" t="str">
        <f>IFERROR(__xludf.DUMMYFUNCTION("""COMPUTED_VALUE"""),"ENG")</f>
        <v>ENG</v>
      </c>
      <c r="C3167" s="6" t="str">
        <f>IFERROR(__xludf.DUMMYFUNCTION("""COMPUTED_VALUE"""),"S-50264-00")</f>
        <v>S-50264-00</v>
      </c>
      <c r="D3167" s="6" t="str">
        <f>IFERROR(__xludf.DUMMYFUNCTION("""COMPUTED_VALUE"""),"Gelas Ukur 1000 ml Class A ; Brand : Iwaki ; CN : 3022-1000-N")</f>
        <v>Gelas Ukur 1000 ml Class A ; Brand : Iwaki ; CN : 3022-1000-N</v>
      </c>
      <c r="E3167" s="6">
        <f>IFERROR(__xludf.DUMMYFUNCTION("""COMPUTED_VALUE"""),1.0)</f>
        <v>1</v>
      </c>
      <c r="F3167" s="6">
        <f>IFERROR(__xludf.DUMMYFUNCTION("""COMPUTED_VALUE"""),1.0)</f>
        <v>1</v>
      </c>
      <c r="G3167" s="6">
        <f>IFERROR(__xludf.DUMMYFUNCTION("""COMPUTED_VALUE"""),0.0)</f>
        <v>0</v>
      </c>
      <c r="H3167" s="6" t="str">
        <f>IFERROR(__xludf.DUMMYFUNCTION("""COMPUTED_VALUE"""),"Pcs")</f>
        <v>Pcs</v>
      </c>
      <c r="I3167" s="6" t="str">
        <f>IFERROR(__xludf.DUMMYFUNCTION("""COMPUTED_VALUE"""),"MFH")</f>
        <v>MFH</v>
      </c>
      <c r="J3167" s="6" t="str">
        <f>IFERROR(__xludf.DUMMYFUNCTION("""COMPUTED_VALUE"""),"Lab")</f>
        <v>Lab</v>
      </c>
      <c r="K3167" s="6" t="str">
        <f>IFERROR(__xludf.DUMMYFUNCTION("""COMPUTED_VALUE"""),"SPR/26/02/015")</f>
        <v>SPR/26/02/015</v>
      </c>
      <c r="L3167" s="58">
        <f>IFERROR(__xludf.DUMMYFUNCTION("""COMPUTED_VALUE"""),46080.0)</f>
        <v>46080</v>
      </c>
    </row>
    <row r="3168">
      <c r="A3168" s="6" t="str">
        <f>IFERROR(__xludf.DUMMYFUNCTION("""COMPUTED_VALUE"""),"KFF")</f>
        <v>KFF</v>
      </c>
      <c r="B3168" s="6" t="str">
        <f>IFERROR(__xludf.DUMMYFUNCTION("""COMPUTED_VALUE"""),"ENG")</f>
        <v>ENG</v>
      </c>
      <c r="C3168" s="6" t="str">
        <f>IFERROR(__xludf.DUMMYFUNCTION("""COMPUTED_VALUE"""),"-")</f>
        <v>-</v>
      </c>
      <c r="D3168" s="6" t="str">
        <f>IFERROR(__xludf.DUMMYFUNCTION("""COMPUTED_VALUE"""),"PCB Passbox")</f>
        <v>PCB Passbox</v>
      </c>
      <c r="E3168" s="6">
        <f>IFERROR(__xludf.DUMMYFUNCTION("""COMPUTED_VALUE"""),1.0)</f>
        <v>1</v>
      </c>
      <c r="F3168" s="6">
        <f>IFERROR(__xludf.DUMMYFUNCTION("""COMPUTED_VALUE"""),1.0)</f>
        <v>1</v>
      </c>
      <c r="G3168" s="6">
        <f>IFERROR(__xludf.DUMMYFUNCTION("""COMPUTED_VALUE"""),0.0)</f>
        <v>0</v>
      </c>
      <c r="H3168" s="6" t="str">
        <f>IFERROR(__xludf.DUMMYFUNCTION("""COMPUTED_VALUE"""),"Pcs")</f>
        <v>Pcs</v>
      </c>
      <c r="I3168" s="6" t="str">
        <f>IFERROR(__xludf.DUMMYFUNCTION("""COMPUTED_VALUE"""),"MFH")</f>
        <v>MFH</v>
      </c>
      <c r="J3168" s="6" t="str">
        <f>IFERROR(__xludf.DUMMYFUNCTION("""COMPUTED_VALUE"""),"Dispensing")</f>
        <v>Dispensing</v>
      </c>
      <c r="K3168" s="6" t="str">
        <f>IFERROR(__xludf.DUMMYFUNCTION("""COMPUTED_VALUE"""),"SPR/26/02/016")</f>
        <v>SPR/26/02/016</v>
      </c>
      <c r="L3168" s="58">
        <f>IFERROR(__xludf.DUMMYFUNCTION("""COMPUTED_VALUE"""),46080.0)</f>
        <v>46080</v>
      </c>
    </row>
    <row r="3169">
      <c r="A3169" s="6" t="str">
        <f>IFERROR(__xludf.DUMMYFUNCTION("""COMPUTED_VALUE"""),"KFF")</f>
        <v>KFF</v>
      </c>
      <c r="B3169" s="6" t="str">
        <f>IFERROR(__xludf.DUMMYFUNCTION("""COMPUTED_VALUE"""),"ENG")</f>
        <v>ENG</v>
      </c>
      <c r="C3169" s="6" t="str">
        <f>IFERROR(__xludf.DUMMYFUNCTION("""COMPUTED_VALUE"""),"P-51027-00")</f>
        <v>P-51027-00</v>
      </c>
      <c r="D3169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169" s="6">
        <f>IFERROR(__xludf.DUMMYFUNCTION("""COMPUTED_VALUE"""),1.0)</f>
        <v>1</v>
      </c>
      <c r="F3169" s="6">
        <f>IFERROR(__xludf.DUMMYFUNCTION("""COMPUTED_VALUE"""),1.0)</f>
        <v>1</v>
      </c>
      <c r="G3169" s="6">
        <f>IFERROR(__xludf.DUMMYFUNCTION("""COMPUTED_VALUE"""),0.0)</f>
        <v>0</v>
      </c>
      <c r="H3169" s="6" t="str">
        <f>IFERROR(__xludf.DUMMYFUNCTION("""COMPUTED_VALUE"""),"Pcs")</f>
        <v>Pcs</v>
      </c>
      <c r="I3169" s="6" t="str">
        <f>IFERROR(__xludf.DUMMYFUNCTION("""COMPUTED_VALUE"""),"MFH")</f>
        <v>MFH</v>
      </c>
      <c r="J3169" s="6" t="str">
        <f>IFERROR(__xludf.DUMMYFUNCTION("""COMPUTED_VALUE"""),"FD")</f>
        <v>FD</v>
      </c>
      <c r="K3169" s="6" t="str">
        <f>IFERROR(__xludf.DUMMYFUNCTION("""COMPUTED_VALUE"""),"SPR/26/02/016")</f>
        <v>SPR/26/02/016</v>
      </c>
      <c r="L3169" s="58">
        <f>IFERROR(__xludf.DUMMYFUNCTION("""COMPUTED_VALUE"""),46080.0)</f>
        <v>46080</v>
      </c>
    </row>
    <row r="3170">
      <c r="A3170" s="6" t="str">
        <f>IFERROR(__xludf.DUMMYFUNCTION("""COMPUTED_VALUE"""),"MRN")</f>
        <v>MRN</v>
      </c>
      <c r="B3170" s="6" t="str">
        <f>IFERROR(__xludf.DUMMYFUNCTION("""COMPUTED_VALUE"""),"ENG")</f>
        <v>ENG</v>
      </c>
      <c r="C3170" s="6" t="str">
        <f>IFERROR(__xludf.DUMMYFUNCTION("""COMPUTED_VALUE"""),"P-11348-00")</f>
        <v>P-11348-00</v>
      </c>
      <c r="D3170" s="6" t="str">
        <f>IFERROR(__xludf.DUMMYFUNCTION("""COMPUTED_VALUE"""),"Roda Caster Supo Dia : 3"" ( 75 x 38 mm) / Swivel Flange / With Breake")</f>
        <v>Roda Caster Supo Dia : 3" ( 75 x 38 mm) / Swivel Flange / With Breake</v>
      </c>
      <c r="E3170" s="6">
        <f>IFERROR(__xludf.DUMMYFUNCTION("""COMPUTED_VALUE"""),1.0)</f>
        <v>1</v>
      </c>
      <c r="F3170" s="6">
        <f>IFERROR(__xludf.DUMMYFUNCTION("""COMPUTED_VALUE"""),1.0)</f>
        <v>1</v>
      </c>
      <c r="G3170" s="6">
        <f>IFERROR(__xludf.DUMMYFUNCTION("""COMPUTED_VALUE"""),0.0)</f>
        <v>0</v>
      </c>
      <c r="H3170" s="6" t="str">
        <f>IFERROR(__xludf.DUMMYFUNCTION("""COMPUTED_VALUE"""),"Pcs")</f>
        <v>Pcs</v>
      </c>
      <c r="I3170" s="6" t="str">
        <f>IFERROR(__xludf.DUMMYFUNCTION("""COMPUTED_VALUE"""),"MFH")</f>
        <v>MFH</v>
      </c>
      <c r="J3170" s="6" t="str">
        <f>IFERROR(__xludf.DUMMYFUNCTION("""COMPUTED_VALUE"""),"AHU")</f>
        <v>AHU</v>
      </c>
      <c r="K3170" s="6" t="str">
        <f>IFERROR(__xludf.DUMMYFUNCTION("""COMPUTED_VALUE"""),"SPR/26/02/017")</f>
        <v>SPR/26/02/017</v>
      </c>
      <c r="L3170" s="58">
        <f>IFERROR(__xludf.DUMMYFUNCTION("""COMPUTED_VALUE"""),46080.0)</f>
        <v>46080</v>
      </c>
    </row>
    <row r="3171">
      <c r="A3171" s="6" t="str">
        <f>IFERROR(__xludf.DUMMYFUNCTION("""COMPUTED_VALUE"""),"ROS")</f>
        <v>ROS</v>
      </c>
      <c r="B3171" s="6" t="str">
        <f>IFERROR(__xludf.DUMMYFUNCTION("""COMPUTED_VALUE"""),"ENG")</f>
        <v>ENG</v>
      </c>
      <c r="C3171" s="6" t="str">
        <f>IFERROR(__xludf.DUMMYFUNCTION("""COMPUTED_VALUE"""),"O-16731-00")</f>
        <v>O-16731-00</v>
      </c>
      <c r="D3171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171" s="6">
        <f>IFERROR(__xludf.DUMMYFUNCTION("""COMPUTED_VALUE"""),1.0)</f>
        <v>1</v>
      </c>
      <c r="F3171" s="6">
        <f>IFERROR(__xludf.DUMMYFUNCTION("""COMPUTED_VALUE"""),1.0)</f>
        <v>1</v>
      </c>
      <c r="G3171" s="6">
        <f>IFERROR(__xludf.DUMMYFUNCTION("""COMPUTED_VALUE"""),0.0)</f>
        <v>0</v>
      </c>
      <c r="H3171" s="6" t="str">
        <f>IFERROR(__xludf.DUMMYFUNCTION("""COMPUTED_VALUE"""),"Pcs")</f>
        <v>Pcs</v>
      </c>
      <c r="I3171" s="6" t="str">
        <f>IFERROR(__xludf.DUMMYFUNCTION("""COMPUTED_VALUE"""),"MFH")</f>
        <v>MFH</v>
      </c>
      <c r="J3171" s="6" t="str">
        <f>IFERROR(__xludf.DUMMYFUNCTION("""COMPUTED_VALUE"""),"Autoclave")</f>
        <v>Autoclave</v>
      </c>
      <c r="K3171" s="6" t="str">
        <f>IFERROR(__xludf.DUMMYFUNCTION("""COMPUTED_VALUE"""),"SPR/26/02/018")</f>
        <v>SPR/26/02/018</v>
      </c>
      <c r="L3171" s="58">
        <f>IFERROR(__xludf.DUMMYFUNCTION("""COMPUTED_VALUE"""),46080.0)</f>
        <v>46080</v>
      </c>
    </row>
    <row r="3172">
      <c r="A3172" s="6" t="str">
        <f>IFERROR(__xludf.DUMMYFUNCTION("""COMPUTED_VALUE"""),"ROS")</f>
        <v>ROS</v>
      </c>
      <c r="B3172" s="6" t="str">
        <f>IFERROR(__xludf.DUMMYFUNCTION("""COMPUTED_VALUE"""),"ENG")</f>
        <v>ENG</v>
      </c>
      <c r="C3172" s="6" t="str">
        <f>IFERROR(__xludf.DUMMYFUNCTION("""COMPUTED_VALUE"""),"P-17361-00")</f>
        <v>P-17361-00</v>
      </c>
      <c r="D3172" s="6" t="str">
        <f>IFERROR(__xludf.DUMMYFUNCTION("""COMPUTED_VALUE"""),"Oring EPDM 15x9x3 mm")</f>
        <v>Oring EPDM 15x9x3 mm</v>
      </c>
      <c r="E3172" s="6">
        <f>IFERROR(__xludf.DUMMYFUNCTION("""COMPUTED_VALUE"""),2.0)</f>
        <v>2</v>
      </c>
      <c r="F3172" s="6">
        <f>IFERROR(__xludf.DUMMYFUNCTION("""COMPUTED_VALUE"""),2.0)</f>
        <v>2</v>
      </c>
      <c r="G3172" s="6">
        <f>IFERROR(__xludf.DUMMYFUNCTION("""COMPUTED_VALUE"""),0.0)</f>
        <v>0</v>
      </c>
      <c r="H3172" s="6" t="str">
        <f>IFERROR(__xludf.DUMMYFUNCTION("""COMPUTED_VALUE"""),"Pcs")</f>
        <v>Pcs</v>
      </c>
      <c r="I3172" s="6" t="str">
        <f>IFERROR(__xludf.DUMMYFUNCTION("""COMPUTED_VALUE"""),"MFH")</f>
        <v>MFH</v>
      </c>
      <c r="J3172" s="6" t="str">
        <f>IFERROR(__xludf.DUMMYFUNCTION("""COMPUTED_VALUE"""),"Autoclave")</f>
        <v>Autoclave</v>
      </c>
      <c r="K3172" s="6" t="str">
        <f>IFERROR(__xludf.DUMMYFUNCTION("""COMPUTED_VALUE"""),"SPR/26/02/018")</f>
        <v>SPR/26/02/018</v>
      </c>
      <c r="L3172" s="58">
        <f>IFERROR(__xludf.DUMMYFUNCTION("""COMPUTED_VALUE"""),46080.0)</f>
        <v>46080</v>
      </c>
    </row>
    <row r="3173">
      <c r="A3173" s="6" t="str">
        <f>IFERROR(__xludf.DUMMYFUNCTION("""COMPUTED_VALUE"""),"BDU")</f>
        <v>BDU</v>
      </c>
      <c r="B3173" s="6" t="str">
        <f>IFERROR(__xludf.DUMMYFUNCTION("""COMPUTED_VALUE"""),"ENG")</f>
        <v>ENG</v>
      </c>
      <c r="C3173" s="6" t="str">
        <f>IFERROR(__xludf.DUMMYFUNCTION("""COMPUTED_VALUE"""),"P-51741-00")</f>
        <v>P-51741-00</v>
      </c>
      <c r="D3173" s="6" t="str">
        <f>IFERROR(__xludf.DUMMYFUNCTION("""COMPUTED_VALUE"""),"Lampu Phillips PHP LED; 710 7w E27 White 220-240v; ; ;")</f>
        <v>Lampu Phillips PHP LED; 710 7w E27 White 220-240v; ; ;</v>
      </c>
      <c r="E3173" s="6">
        <f>IFERROR(__xludf.DUMMYFUNCTION("""COMPUTED_VALUE"""),1.0)</f>
        <v>1</v>
      </c>
      <c r="F3173" s="6">
        <f>IFERROR(__xludf.DUMMYFUNCTION("""COMPUTED_VALUE"""),1.0)</f>
        <v>1</v>
      </c>
      <c r="G3173" s="6">
        <f>IFERROR(__xludf.DUMMYFUNCTION("""COMPUTED_VALUE"""),0.0)</f>
        <v>0</v>
      </c>
      <c r="H3173" s="6" t="str">
        <f>IFERROR(__xludf.DUMMYFUNCTION("""COMPUTED_VALUE"""),"Pcs")</f>
        <v>Pcs</v>
      </c>
      <c r="I3173" s="6" t="str">
        <f>IFERROR(__xludf.DUMMYFUNCTION("""COMPUTED_VALUE"""),"MFH")</f>
        <v>MFH</v>
      </c>
      <c r="J3173" s="6" t="str">
        <f>IFERROR(__xludf.DUMMYFUNCTION("""COMPUTED_VALUE"""),"AHU")</f>
        <v>AHU</v>
      </c>
      <c r="K3173" s="6" t="str">
        <f>IFERROR(__xludf.DUMMYFUNCTION("""COMPUTED_VALUE"""),"SPR/26/02/019")</f>
        <v>SPR/26/02/019</v>
      </c>
      <c r="L3173" s="58">
        <f>IFERROR(__xludf.DUMMYFUNCTION("""COMPUTED_VALUE"""),46080.0)</f>
        <v>46080</v>
      </c>
    </row>
    <row r="3174">
      <c r="A3174" s="6" t="str">
        <f>IFERROR(__xludf.DUMMYFUNCTION("""COMPUTED_VALUE"""),"RIA")</f>
        <v>RIA</v>
      </c>
      <c r="B3174" s="6" t="str">
        <f>IFERROR(__xludf.DUMMYFUNCTION("""COMPUTED_VALUE"""),"ENG")</f>
        <v>ENG</v>
      </c>
      <c r="C3174" s="6" t="str">
        <f>IFERROR(__xludf.DUMMYFUNCTION("""COMPUTED_VALUE"""),"Q-60502-00")</f>
        <v>Q-60502-00</v>
      </c>
      <c r="D3174" s="6" t="str">
        <f>IFERROR(__xludf.DUMMYFUNCTION("""COMPUTED_VALUE"""),"Silicone Sealant, Silglaze, Type N10 White, pack size per pcs")</f>
        <v>Silicone Sealant, Silglaze, Type N10 White, pack size per pcs</v>
      </c>
      <c r="E3174" s="6">
        <f>IFERROR(__xludf.DUMMYFUNCTION("""COMPUTED_VALUE"""),1.0)</f>
        <v>1</v>
      </c>
      <c r="F3174" s="6">
        <f>IFERROR(__xludf.DUMMYFUNCTION("""COMPUTED_VALUE"""),1.0)</f>
        <v>1</v>
      </c>
      <c r="G3174" s="6">
        <f>IFERROR(__xludf.DUMMYFUNCTION("""COMPUTED_VALUE"""),0.0)</f>
        <v>0</v>
      </c>
      <c r="H3174" s="6" t="str">
        <f>IFERROR(__xludf.DUMMYFUNCTION("""COMPUTED_VALUE"""),"Pcs")</f>
        <v>Pcs</v>
      </c>
      <c r="I3174" s="6" t="str">
        <f>IFERROR(__xludf.DUMMYFUNCTION("""COMPUTED_VALUE"""),"MFH")</f>
        <v>MFH</v>
      </c>
      <c r="J3174" s="6" t="str">
        <f>IFERROR(__xludf.DUMMYFUNCTION("""COMPUTED_VALUE"""),"Building")</f>
        <v>Building</v>
      </c>
      <c r="K3174" s="6" t="str">
        <f>IFERROR(__xludf.DUMMYFUNCTION("""COMPUTED_VALUE"""),"SPR/26/02/020")</f>
        <v>SPR/26/02/020</v>
      </c>
      <c r="L3174" s="58">
        <f>IFERROR(__xludf.DUMMYFUNCTION("""COMPUTED_VALUE"""),46080.0)</f>
        <v>46080</v>
      </c>
    </row>
    <row r="3175">
      <c r="A3175" s="6" t="str">
        <f>IFERROR(__xludf.DUMMYFUNCTION("""COMPUTED_VALUE"""),"RIA")</f>
        <v>RIA</v>
      </c>
      <c r="B3175" s="6" t="str">
        <f>IFERROR(__xludf.DUMMYFUNCTION("""COMPUTED_VALUE"""),"ENG")</f>
        <v>ENG</v>
      </c>
      <c r="C3175" s="6" t="str">
        <f>IFERROR(__xludf.DUMMYFUNCTION("""COMPUTED_VALUE"""),"Q-60501-00")</f>
        <v>Q-60501-00</v>
      </c>
      <c r="D3175" s="6" t="str">
        <f>IFERROR(__xludf.DUMMYFUNCTION("""COMPUTED_VALUE"""),"Silicone Sealant, Silglaze, Type N10 Clear, pack size per pcs")</f>
        <v>Silicone Sealant, Silglaze, Type N10 Clear, pack size per pcs</v>
      </c>
      <c r="E3175" s="6">
        <f>IFERROR(__xludf.DUMMYFUNCTION("""COMPUTED_VALUE"""),1.0)</f>
        <v>1</v>
      </c>
      <c r="F3175" s="6">
        <f>IFERROR(__xludf.DUMMYFUNCTION("""COMPUTED_VALUE"""),1.0)</f>
        <v>1</v>
      </c>
      <c r="G3175" s="6">
        <f>IFERROR(__xludf.DUMMYFUNCTION("""COMPUTED_VALUE"""),0.0)</f>
        <v>0</v>
      </c>
      <c r="H3175" s="6" t="str">
        <f>IFERROR(__xludf.DUMMYFUNCTION("""COMPUTED_VALUE"""),"pcs")</f>
        <v>pcs</v>
      </c>
      <c r="I3175" s="6" t="str">
        <f>IFERROR(__xludf.DUMMYFUNCTION("""COMPUTED_VALUE"""),"MFH")</f>
        <v>MFH</v>
      </c>
      <c r="J3175" s="6" t="str">
        <f>IFERROR(__xludf.DUMMYFUNCTION("""COMPUTED_VALUE"""),"Building")</f>
        <v>Building</v>
      </c>
      <c r="K3175" s="6" t="str">
        <f>IFERROR(__xludf.DUMMYFUNCTION("""COMPUTED_VALUE"""),"SPR/26/02/020")</f>
        <v>SPR/26/02/020</v>
      </c>
      <c r="L3175" s="58">
        <f>IFERROR(__xludf.DUMMYFUNCTION("""COMPUTED_VALUE"""),46080.0)</f>
        <v>46080</v>
      </c>
    </row>
    <row r="3176">
      <c r="A3176" s="6" t="str">
        <f>IFERROR(__xludf.DUMMYFUNCTION("""COMPUTED_VALUE"""),"RIA")</f>
        <v>RIA</v>
      </c>
      <c r="B3176" s="6" t="str">
        <f>IFERROR(__xludf.DUMMYFUNCTION("""COMPUTED_VALUE"""),"ENG")</f>
        <v>ENG</v>
      </c>
      <c r="C3176" s="6" t="str">
        <f>IFERROR(__xludf.DUMMYFUNCTION("""COMPUTED_VALUE"""),"Q-50013-00")</f>
        <v>Q-50013-00</v>
      </c>
      <c r="D3176" s="6" t="str">
        <f>IFERROR(__xludf.DUMMYFUNCTION("""COMPUTED_VALUE"""),"Frame or Perimeter Seal RP48 White; Raven; R48W6; 6 meter/pck")</f>
        <v>Frame or Perimeter Seal RP48 White; Raven; R48W6; 6 meter/pck</v>
      </c>
      <c r="E3176" s="6">
        <f>IFERROR(__xludf.DUMMYFUNCTION("""COMPUTED_VALUE"""),1.0)</f>
        <v>1</v>
      </c>
      <c r="F3176" s="6">
        <f>IFERROR(__xludf.DUMMYFUNCTION("""COMPUTED_VALUE"""),1.0)</f>
        <v>1</v>
      </c>
      <c r="G3176" s="6">
        <f>IFERROR(__xludf.DUMMYFUNCTION("""COMPUTED_VALUE"""),0.0)</f>
        <v>0</v>
      </c>
      <c r="H3176" s="6" t="str">
        <f>IFERROR(__xludf.DUMMYFUNCTION("""COMPUTED_VALUE"""),"Pcs")</f>
        <v>Pcs</v>
      </c>
      <c r="I3176" s="6" t="str">
        <f>IFERROR(__xludf.DUMMYFUNCTION("""COMPUTED_VALUE"""),"MFH")</f>
        <v>MFH</v>
      </c>
      <c r="J3176" s="6" t="str">
        <f>IFERROR(__xludf.DUMMYFUNCTION("""COMPUTED_VALUE"""),"Building")</f>
        <v>Building</v>
      </c>
      <c r="K3176" s="6" t="str">
        <f>IFERROR(__xludf.DUMMYFUNCTION("""COMPUTED_VALUE"""),"SPR/26/02/020")</f>
        <v>SPR/26/02/020</v>
      </c>
      <c r="L3176" s="58">
        <f>IFERROR(__xludf.DUMMYFUNCTION("""COMPUTED_VALUE"""),46080.0)</f>
        <v>46080</v>
      </c>
    </row>
    <row r="3177">
      <c r="A3177" s="6" t="str">
        <f>IFERROR(__xludf.DUMMYFUNCTION("""COMPUTED_VALUE"""),"NDS")</f>
        <v>NDS</v>
      </c>
      <c r="B3177" s="6" t="str">
        <f>IFERROR(__xludf.DUMMYFUNCTION("""COMPUTED_VALUE"""),"ENG")</f>
        <v>ENG</v>
      </c>
      <c r="C3177" s="6" t="str">
        <f>IFERROR(__xludf.DUMMYFUNCTION("""COMPUTED_VALUE"""),"T-20725-00")</f>
        <v>T-20725-00</v>
      </c>
      <c r="D3177" s="6" t="str">
        <f>IFERROR(__xludf.DUMMYFUNCTION("""COMPUTED_VALUE"""),"Performance Plus Check Valve Housing; Waters; 700002332;")</f>
        <v>Performance Plus Check Valve Housing; Waters; 700002332;</v>
      </c>
      <c r="E3177" s="6">
        <f>IFERROR(__xludf.DUMMYFUNCTION("""COMPUTED_VALUE"""),1.0)</f>
        <v>1</v>
      </c>
      <c r="F3177" s="6">
        <f>IFERROR(__xludf.DUMMYFUNCTION("""COMPUTED_VALUE"""),1.0)</f>
        <v>1</v>
      </c>
      <c r="G3177" s="6">
        <f>IFERROR(__xludf.DUMMYFUNCTION("""COMPUTED_VALUE"""),0.0)</f>
        <v>0</v>
      </c>
      <c r="H3177" s="6" t="str">
        <f>IFERROR(__xludf.DUMMYFUNCTION("""COMPUTED_VALUE"""),"Pcs")</f>
        <v>Pcs</v>
      </c>
      <c r="I3177" s="6" t="str">
        <f>IFERROR(__xludf.DUMMYFUNCTION("""COMPUTED_VALUE"""),"MFH")</f>
        <v>MFH</v>
      </c>
      <c r="J3177" s="6" t="str">
        <f>IFERROR(__xludf.DUMMYFUNCTION("""COMPUTED_VALUE"""),"HPLC")</f>
        <v>HPLC</v>
      </c>
      <c r="K3177" s="6" t="str">
        <f>IFERROR(__xludf.DUMMYFUNCTION("""COMPUTED_VALUE"""),"SPR/26/02/021")</f>
        <v>SPR/26/02/021</v>
      </c>
      <c r="L3177" s="58">
        <f>IFERROR(__xludf.DUMMYFUNCTION("""COMPUTED_VALUE"""),46080.0)</f>
        <v>46080</v>
      </c>
    </row>
    <row r="3178">
      <c r="A3178" s="6" t="str">
        <f>IFERROR(__xludf.DUMMYFUNCTION("""COMPUTED_VALUE"""),"SFH")</f>
        <v>SFH</v>
      </c>
      <c r="B3178" s="6" t="str">
        <f>IFERROR(__xludf.DUMMYFUNCTION("""COMPUTED_VALUE"""),"ENG")</f>
        <v>ENG</v>
      </c>
      <c r="C3178" s="6" t="str">
        <f>IFERROR(__xludf.DUMMYFUNCTION("""COMPUTED_VALUE"""),"Q-10154-00")</f>
        <v>Q-10154-00</v>
      </c>
      <c r="D3178" s="6" t="str">
        <f>IFERROR(__xludf.DUMMYFUNCTION("""COMPUTED_VALUE"""),"Roller cat 230mm")</f>
        <v>Roller cat 230mm</v>
      </c>
      <c r="E3178" s="6">
        <f>IFERROR(__xludf.DUMMYFUNCTION("""COMPUTED_VALUE"""),1.0)</f>
        <v>1</v>
      </c>
      <c r="F3178" s="6">
        <f>IFERROR(__xludf.DUMMYFUNCTION("""COMPUTED_VALUE"""),1.0)</f>
        <v>1</v>
      </c>
      <c r="G3178" s="6">
        <f>IFERROR(__xludf.DUMMYFUNCTION("""COMPUTED_VALUE"""),0.0)</f>
        <v>0</v>
      </c>
      <c r="H3178" s="6" t="str">
        <f>IFERROR(__xludf.DUMMYFUNCTION("""COMPUTED_VALUE"""),"Pcs")</f>
        <v>Pcs</v>
      </c>
      <c r="I3178" s="6" t="str">
        <f>IFERROR(__xludf.DUMMYFUNCTION("""COMPUTED_VALUE"""),"MFH")</f>
        <v>MFH</v>
      </c>
      <c r="J3178" s="6" t="str">
        <f>IFERROR(__xludf.DUMMYFUNCTION("""COMPUTED_VALUE"""),"Building")</f>
        <v>Building</v>
      </c>
      <c r="K3178" s="6" t="str">
        <f>IFERROR(__xludf.DUMMYFUNCTION("""COMPUTED_VALUE"""),"SPR/26/02/022")</f>
        <v>SPR/26/02/022</v>
      </c>
      <c r="L3178" s="58">
        <f>IFERROR(__xludf.DUMMYFUNCTION("""COMPUTED_VALUE"""),46080.0)</f>
        <v>46080</v>
      </c>
    </row>
    <row r="3179">
      <c r="A3179" s="6" t="str">
        <f>IFERROR(__xludf.DUMMYFUNCTION("""COMPUTED_VALUE"""),"SFH")</f>
        <v>SFH</v>
      </c>
      <c r="B3179" s="6" t="str">
        <f>IFERROR(__xludf.DUMMYFUNCTION("""COMPUTED_VALUE"""),"ENG")</f>
        <v>ENG</v>
      </c>
      <c r="C3179" s="6" t="str">
        <f>IFERROR(__xludf.DUMMYFUNCTION("""COMPUTED_VALUE"""),"P-11694-00")</f>
        <v>P-11694-00</v>
      </c>
      <c r="D3179" s="6" t="str">
        <f>IFERROR(__xludf.DUMMYFUNCTION("""COMPUTED_VALUE"""),"Mata Gerinda 4""")</f>
        <v>Mata Gerinda 4"</v>
      </c>
      <c r="E3179" s="6">
        <f>IFERROR(__xludf.DUMMYFUNCTION("""COMPUTED_VALUE"""),1.0)</f>
        <v>1</v>
      </c>
      <c r="F3179" s="6">
        <f>IFERROR(__xludf.DUMMYFUNCTION("""COMPUTED_VALUE"""),1.0)</f>
        <v>1</v>
      </c>
      <c r="G3179" s="6">
        <f>IFERROR(__xludf.DUMMYFUNCTION("""COMPUTED_VALUE"""),0.0)</f>
        <v>0</v>
      </c>
      <c r="H3179" s="6" t="str">
        <f>IFERROR(__xludf.DUMMYFUNCTION("""COMPUTED_VALUE"""),"Pcs")</f>
        <v>Pcs</v>
      </c>
      <c r="I3179" s="6" t="str">
        <f>IFERROR(__xludf.DUMMYFUNCTION("""COMPUTED_VALUE"""),"MFH")</f>
        <v>MFH</v>
      </c>
      <c r="J3179" s="6" t="str">
        <f>IFERROR(__xludf.DUMMYFUNCTION("""COMPUTED_VALUE"""),"Building")</f>
        <v>Building</v>
      </c>
      <c r="K3179" s="6" t="str">
        <f>IFERROR(__xludf.DUMMYFUNCTION("""COMPUTED_VALUE"""),"SPR/26/02/022")</f>
        <v>SPR/26/02/022</v>
      </c>
      <c r="L3179" s="58">
        <f>IFERROR(__xludf.DUMMYFUNCTION("""COMPUTED_VALUE"""),46080.0)</f>
        <v>46080</v>
      </c>
    </row>
    <row r="3180">
      <c r="A3180" s="6" t="str">
        <f>IFERROR(__xludf.DUMMYFUNCTION("""COMPUTED_VALUE"""),"INN")</f>
        <v>INN</v>
      </c>
      <c r="B3180" s="6" t="str">
        <f>IFERROR(__xludf.DUMMYFUNCTION("""COMPUTED_VALUE"""),"ENG")</f>
        <v>ENG</v>
      </c>
      <c r="C3180" s="6" t="str">
        <f>IFERROR(__xludf.DUMMYFUNCTION("""COMPUTED_VALUE"""),"P-20283-00")</f>
        <v>P-20283-00</v>
      </c>
      <c r="D3180" s="6" t="str">
        <f>IFERROR(__xludf.DUMMYFUNCTION("""COMPUTED_VALUE"""),"General - Filter Regulator AW30-03-A; SMC; -; 1 pc")</f>
        <v>General - Filter Regulator AW30-03-A; SMC; -; 1 pc</v>
      </c>
      <c r="E3180" s="6">
        <f>IFERROR(__xludf.DUMMYFUNCTION("""COMPUTED_VALUE"""),1.0)</f>
        <v>1</v>
      </c>
      <c r="F3180" s="6">
        <f>IFERROR(__xludf.DUMMYFUNCTION("""COMPUTED_VALUE"""),1.0)</f>
        <v>1</v>
      </c>
      <c r="G3180" s="6">
        <f>IFERROR(__xludf.DUMMYFUNCTION("""COMPUTED_VALUE"""),0.0)</f>
        <v>0</v>
      </c>
      <c r="H3180" s="6" t="str">
        <f>IFERROR(__xludf.DUMMYFUNCTION("""COMPUTED_VALUE"""),"Pcs")</f>
        <v>Pcs</v>
      </c>
      <c r="I3180" s="6" t="str">
        <f>IFERROR(__xludf.DUMMYFUNCTION("""COMPUTED_VALUE"""),"MFH")</f>
        <v>MFH</v>
      </c>
      <c r="J3180" s="6" t="str">
        <f>IFERROR(__xludf.DUMMYFUNCTION("""COMPUTED_VALUE"""),"FD")</f>
        <v>FD</v>
      </c>
      <c r="K3180" s="6" t="str">
        <f>IFERROR(__xludf.DUMMYFUNCTION("""COMPUTED_VALUE"""),"SPR/26/02/023")</f>
        <v>SPR/26/02/023</v>
      </c>
      <c r="L3180" s="58">
        <f>IFERROR(__xludf.DUMMYFUNCTION("""COMPUTED_VALUE"""),46080.0)</f>
        <v>46080</v>
      </c>
    </row>
    <row r="3181">
      <c r="A3181" s="6" t="str">
        <f>IFERROR(__xludf.DUMMYFUNCTION("""COMPUTED_VALUE"""),"INN")</f>
        <v>INN</v>
      </c>
      <c r="B3181" s="6" t="str">
        <f>IFERROR(__xludf.DUMMYFUNCTION("""COMPUTED_VALUE"""),"ENG")</f>
        <v>ENG</v>
      </c>
      <c r="C3181" s="6" t="str">
        <f>IFERROR(__xludf.DUMMYFUNCTION("""COMPUTED_VALUE"""),"P-11169-00")</f>
        <v>P-11169-00</v>
      </c>
      <c r="D3181" s="6" t="str">
        <f>IFERROR(__xludf.DUMMYFUNCTION("""COMPUTED_VALUE"""),"General - Push-in Fitting, QS-1/4-6; Festo; 153003; 1 pcs")</f>
        <v>General - Push-in Fitting, QS-1/4-6; Festo; 153003; 1 pcs</v>
      </c>
      <c r="E3181" s="6">
        <f>IFERROR(__xludf.DUMMYFUNCTION("""COMPUTED_VALUE"""),2.0)</f>
        <v>2</v>
      </c>
      <c r="F3181" s="6">
        <f>IFERROR(__xludf.DUMMYFUNCTION("""COMPUTED_VALUE"""),2.0)</f>
        <v>2</v>
      </c>
      <c r="G3181" s="6">
        <f>IFERROR(__xludf.DUMMYFUNCTION("""COMPUTED_VALUE"""),0.0)</f>
        <v>0</v>
      </c>
      <c r="H3181" s="6" t="str">
        <f>IFERROR(__xludf.DUMMYFUNCTION("""COMPUTED_VALUE"""),"Pcs")</f>
        <v>Pcs</v>
      </c>
      <c r="I3181" s="6" t="str">
        <f>IFERROR(__xludf.DUMMYFUNCTION("""COMPUTED_VALUE"""),"MFH")</f>
        <v>MFH</v>
      </c>
      <c r="J3181" s="6" t="str">
        <f>IFERROR(__xludf.DUMMYFUNCTION("""COMPUTED_VALUE"""),"FD")</f>
        <v>FD</v>
      </c>
      <c r="K3181" s="6" t="str">
        <f>IFERROR(__xludf.DUMMYFUNCTION("""COMPUTED_VALUE"""),"SPR/26/02/023")</f>
        <v>SPR/26/02/023</v>
      </c>
      <c r="L3181" s="58">
        <f>IFERROR(__xludf.DUMMYFUNCTION("""COMPUTED_VALUE"""),46080.0)</f>
        <v>46080</v>
      </c>
    </row>
    <row r="3182">
      <c r="A3182" s="6" t="str">
        <f>IFERROR(__xludf.DUMMYFUNCTION("""COMPUTED_VALUE"""),"ANO")</f>
        <v>ANO</v>
      </c>
      <c r="B3182" s="6" t="str">
        <f>IFERROR(__xludf.DUMMYFUNCTION("""COMPUTED_VALUE"""),"ENG")</f>
        <v>ENG</v>
      </c>
      <c r="C3182" s="6" t="str">
        <f>IFERROR(__xludf.DUMMYFUNCTION("""COMPUTED_VALUE"""),"Q-10249-00")</f>
        <v>Q-10249-00</v>
      </c>
      <c r="D3182" s="6" t="str">
        <f>IFERROR(__xludf.DUMMYFUNCTION("""COMPUTED_VALUE"""),"Lem Power Glue; ; ;")</f>
        <v>Lem Power Glue; ; ;</v>
      </c>
      <c r="E3182" s="6">
        <f>IFERROR(__xludf.DUMMYFUNCTION("""COMPUTED_VALUE"""),1.0)</f>
        <v>1</v>
      </c>
      <c r="F3182" s="6">
        <f>IFERROR(__xludf.DUMMYFUNCTION("""COMPUTED_VALUE"""),1.0)</f>
        <v>1</v>
      </c>
      <c r="G3182" s="6">
        <f>IFERROR(__xludf.DUMMYFUNCTION("""COMPUTED_VALUE"""),0.0)</f>
        <v>0</v>
      </c>
      <c r="H3182" s="6" t="str">
        <f>IFERROR(__xludf.DUMMYFUNCTION("""COMPUTED_VALUE"""),"Pcs")</f>
        <v>Pcs</v>
      </c>
      <c r="I3182" s="6" t="str">
        <f>IFERROR(__xludf.DUMMYFUNCTION("""COMPUTED_VALUE"""),"MFH")</f>
        <v>MFH</v>
      </c>
      <c r="J3182" s="6" t="str">
        <f>IFERROR(__xludf.DUMMYFUNCTION("""COMPUTED_VALUE"""),"Dispensing")</f>
        <v>Dispensing</v>
      </c>
      <c r="K3182" s="6" t="str">
        <f>IFERROR(__xludf.DUMMYFUNCTION("""COMPUTED_VALUE"""),"SPR/26/02/024")</f>
        <v>SPR/26/02/024</v>
      </c>
      <c r="L3182" s="58">
        <f>IFERROR(__xludf.DUMMYFUNCTION("""COMPUTED_VALUE"""),46080.0)</f>
        <v>46080</v>
      </c>
    </row>
    <row r="3183">
      <c r="A3183" s="6" t="str">
        <f>IFERROR(__xludf.DUMMYFUNCTION("""COMPUTED_VALUE"""),"ROS")</f>
        <v>ROS</v>
      </c>
      <c r="B3183" s="6" t="str">
        <f>IFERROR(__xludf.DUMMYFUNCTION("""COMPUTED_VALUE"""),"ENG")</f>
        <v>ENG</v>
      </c>
      <c r="C3183" s="6" t="str">
        <f>IFERROR(__xludf.DUMMYFUNCTION("""COMPUTED_VALUE"""),"T-80681-00")</f>
        <v>T-80681-00</v>
      </c>
      <c r="D3183" s="6" t="str">
        <f>IFERROR(__xludf.DUMMYFUNCTION("""COMPUTED_VALUE"""),"Battery Kancing Energizer CR2032  3V Lithium; ; ;")</f>
        <v>Battery Kancing Energizer CR2032  3V Lithium; ; ;</v>
      </c>
      <c r="E3183" s="6">
        <f>IFERROR(__xludf.DUMMYFUNCTION("""COMPUTED_VALUE"""),1.0)</f>
        <v>1</v>
      </c>
      <c r="F3183" s="6">
        <f>IFERROR(__xludf.DUMMYFUNCTION("""COMPUTED_VALUE"""),1.0)</f>
        <v>1</v>
      </c>
      <c r="G3183" s="6">
        <f>IFERROR(__xludf.DUMMYFUNCTION("""COMPUTED_VALUE"""),0.0)</f>
        <v>0</v>
      </c>
      <c r="H3183" s="6" t="str">
        <f>IFERROR(__xludf.DUMMYFUNCTION("""COMPUTED_VALUE"""),"Pcs")</f>
        <v>Pcs</v>
      </c>
      <c r="I3183" s="6" t="str">
        <f>IFERROR(__xludf.DUMMYFUNCTION("""COMPUTED_VALUE"""),"MFH")</f>
        <v>MFH</v>
      </c>
      <c r="J3183" s="6" t="str">
        <f>IFERROR(__xludf.DUMMYFUNCTION("""COMPUTED_VALUE"""),"Tools")</f>
        <v>Tools</v>
      </c>
      <c r="K3183" s="6" t="str">
        <f>IFERROR(__xludf.DUMMYFUNCTION("""COMPUTED_VALUE"""),"SPR/26/02/025")</f>
        <v>SPR/26/02/025</v>
      </c>
      <c r="L3183" s="58">
        <f>IFERROR(__xludf.DUMMYFUNCTION("""COMPUTED_VALUE"""),46080.0)</f>
        <v>46080</v>
      </c>
    </row>
    <row r="3184">
      <c r="A3184" s="6" t="str">
        <f>IFERROR(__xludf.DUMMYFUNCTION("""COMPUTED_VALUE"""),"KFF")</f>
        <v>KFF</v>
      </c>
      <c r="B3184" s="6" t="str">
        <f>IFERROR(__xludf.DUMMYFUNCTION("""COMPUTED_VALUE"""),"ENG")</f>
        <v>ENG</v>
      </c>
      <c r="C3184" s="6" t="str">
        <f>IFERROR(__xludf.DUMMYFUNCTION("""COMPUTED_VALUE"""),"-")</f>
        <v>-</v>
      </c>
      <c r="D3184" s="6" t="str">
        <f>IFERROR(__xludf.DUMMYFUNCTION("""COMPUTED_VALUE"""),"PCB Passbox")</f>
        <v>PCB Passbox</v>
      </c>
      <c r="E3184" s="6">
        <f>IFERROR(__xludf.DUMMYFUNCTION("""COMPUTED_VALUE"""),1.0)</f>
        <v>1</v>
      </c>
      <c r="F3184" s="6">
        <f>IFERROR(__xludf.DUMMYFUNCTION("""COMPUTED_VALUE"""),1.0)</f>
        <v>1</v>
      </c>
      <c r="G3184" s="6">
        <f>IFERROR(__xludf.DUMMYFUNCTION("""COMPUTED_VALUE"""),0.0)</f>
        <v>0</v>
      </c>
      <c r="H3184" s="6" t="str">
        <f>IFERROR(__xludf.DUMMYFUNCTION("""COMPUTED_VALUE"""),"Pcs")</f>
        <v>Pcs</v>
      </c>
      <c r="I3184" s="6" t="str">
        <f>IFERROR(__xludf.DUMMYFUNCTION("""COMPUTED_VALUE"""),"MFH")</f>
        <v>MFH</v>
      </c>
      <c r="J3184" s="6" t="str">
        <f>IFERROR(__xludf.DUMMYFUNCTION("""COMPUTED_VALUE"""),"Dispensing")</f>
        <v>Dispensing</v>
      </c>
      <c r="K3184" s="6" t="str">
        <f>IFERROR(__xludf.DUMMYFUNCTION("""COMPUTED_VALUE"""),"SPR/26/02/026")</f>
        <v>SPR/26/02/026</v>
      </c>
      <c r="L3184" s="58">
        <f>IFERROR(__xludf.DUMMYFUNCTION("""COMPUTED_VALUE"""),46080.0)</f>
        <v>46080</v>
      </c>
    </row>
    <row r="3185">
      <c r="A3185" s="6" t="str">
        <f>IFERROR(__xludf.DUMMYFUNCTION("""COMPUTED_VALUE"""),"KFF")</f>
        <v>KFF</v>
      </c>
      <c r="B3185" s="6" t="str">
        <f>IFERROR(__xludf.DUMMYFUNCTION("""COMPUTED_VALUE"""),"ENG")</f>
        <v>ENG</v>
      </c>
      <c r="C3185" s="6" t="str">
        <f>IFERROR(__xludf.DUMMYFUNCTION("""COMPUTED_VALUE"""),"P-18468-00")</f>
        <v>P-18468-00</v>
      </c>
      <c r="D3185" s="6" t="str">
        <f>IFERROR(__xludf.DUMMYFUNCTION("""COMPUTED_VALUE"""),"Pass Box Stickers ZC-A; ; ;")</f>
        <v>Pass Box Stickers ZC-A; ; ;</v>
      </c>
      <c r="E3185" s="6">
        <f>IFERROR(__xludf.DUMMYFUNCTION("""COMPUTED_VALUE"""),1.0)</f>
        <v>1</v>
      </c>
      <c r="F3185" s="6">
        <f>IFERROR(__xludf.DUMMYFUNCTION("""COMPUTED_VALUE"""),1.0)</f>
        <v>1</v>
      </c>
      <c r="G3185" s="6">
        <f>IFERROR(__xludf.DUMMYFUNCTION("""COMPUTED_VALUE"""),0.0)</f>
        <v>0</v>
      </c>
      <c r="H3185" s="6" t="str">
        <f>IFERROR(__xludf.DUMMYFUNCTION("""COMPUTED_VALUE"""),"Pcs")</f>
        <v>Pcs</v>
      </c>
      <c r="I3185" s="6" t="str">
        <f>IFERROR(__xludf.DUMMYFUNCTION("""COMPUTED_VALUE"""),"MFH")</f>
        <v>MFH</v>
      </c>
      <c r="J3185" s="6" t="str">
        <f>IFERROR(__xludf.DUMMYFUNCTION("""COMPUTED_VALUE"""),"Dispensing")</f>
        <v>Dispensing</v>
      </c>
      <c r="K3185" s="6" t="str">
        <f>IFERROR(__xludf.DUMMYFUNCTION("""COMPUTED_VALUE"""),"SPR/26/02/026")</f>
        <v>SPR/26/02/026</v>
      </c>
      <c r="L3185" s="58">
        <f>IFERROR(__xludf.DUMMYFUNCTION("""COMPUTED_VALUE"""),46080.0)</f>
        <v>46080</v>
      </c>
    </row>
    <row r="3186">
      <c r="A3186" s="6" t="str">
        <f>IFERROR(__xludf.DUMMYFUNCTION("""COMPUTED_VALUE"""),"KFF")</f>
        <v>KFF</v>
      </c>
      <c r="B3186" s="6" t="str">
        <f>IFERROR(__xludf.DUMMYFUNCTION("""COMPUTED_VALUE"""),"ENG")</f>
        <v>ENG</v>
      </c>
      <c r="C3186" s="6" t="str">
        <f>IFERROR(__xludf.DUMMYFUNCTION("""COMPUTED_VALUE"""),"P-12983-00")</f>
        <v>P-12983-00</v>
      </c>
      <c r="D3186" s="6" t="str">
        <f>IFERROR(__xludf.DUMMYFUNCTION("""COMPUTED_VALUE"""),"Helicoil dia. M6x6mm")</f>
        <v>Helicoil dia. M6x6mm</v>
      </c>
      <c r="E3186" s="6">
        <f>IFERROR(__xludf.DUMMYFUNCTION("""COMPUTED_VALUE"""),1.0)</f>
        <v>1</v>
      </c>
      <c r="F3186" s="6">
        <f>IFERROR(__xludf.DUMMYFUNCTION("""COMPUTED_VALUE"""),1.0)</f>
        <v>1</v>
      </c>
      <c r="G3186" s="6">
        <f>IFERROR(__xludf.DUMMYFUNCTION("""COMPUTED_VALUE"""),0.0)</f>
        <v>0</v>
      </c>
      <c r="H3186" s="6" t="str">
        <f>IFERROR(__xludf.DUMMYFUNCTION("""COMPUTED_VALUE"""),"Pcs")</f>
        <v>Pcs</v>
      </c>
      <c r="I3186" s="6" t="str">
        <f>IFERROR(__xludf.DUMMYFUNCTION("""COMPUTED_VALUE"""),"MFH")</f>
        <v>MFH</v>
      </c>
      <c r="J3186" s="6" t="str">
        <f>IFERROR(__xludf.DUMMYFUNCTION("""COMPUTED_VALUE"""),"Capping")</f>
        <v>Capping</v>
      </c>
      <c r="K3186" s="6" t="str">
        <f>IFERROR(__xludf.DUMMYFUNCTION("""COMPUTED_VALUE"""),"SPR/26/02/027")</f>
        <v>SPR/26/02/027</v>
      </c>
      <c r="L3186" s="58">
        <f>IFERROR(__xludf.DUMMYFUNCTION("""COMPUTED_VALUE"""),46080.0)</f>
        <v>46080</v>
      </c>
    </row>
    <row r="3187">
      <c r="A3187" s="6" t="str">
        <f>IFERROR(__xludf.DUMMYFUNCTION("""COMPUTED_VALUE"""),"KFF")</f>
        <v>KFF</v>
      </c>
      <c r="B3187" s="6" t="str">
        <f>IFERROR(__xludf.DUMMYFUNCTION("""COMPUTED_VALUE"""),"ENG")</f>
        <v>ENG</v>
      </c>
      <c r="C3187" s="6" t="str">
        <f>IFERROR(__xludf.DUMMYFUNCTION("""COMPUTED_VALUE"""),"P-18712-00")</f>
        <v>P-18712-00</v>
      </c>
      <c r="D3187" s="6" t="str">
        <f>IFERROR(__xludf.DUMMYFUNCTION("""COMPUTED_VALUE"""),"General - Hand Taps M 5 x 0.8 mm Made In Japan ; Yamawa; -; 1 set = 3 pcs")</f>
        <v>General - Hand Taps M 5 x 0.8 mm Made In Japan ; Yamawa; -; 1 set = 3 pcs</v>
      </c>
      <c r="E3187" s="6">
        <f>IFERROR(__xludf.DUMMYFUNCTION("""COMPUTED_VALUE"""),1.0)</f>
        <v>1</v>
      </c>
      <c r="F3187" s="6">
        <f>IFERROR(__xludf.DUMMYFUNCTION("""COMPUTED_VALUE"""),1.0)</f>
        <v>1</v>
      </c>
      <c r="G3187" s="6">
        <f>IFERROR(__xludf.DUMMYFUNCTION("""COMPUTED_VALUE"""),0.0)</f>
        <v>0</v>
      </c>
      <c r="H3187" s="6" t="str">
        <f>IFERROR(__xludf.DUMMYFUNCTION("""COMPUTED_VALUE"""),"Pcs")</f>
        <v>Pcs</v>
      </c>
      <c r="I3187" s="6" t="str">
        <f>IFERROR(__xludf.DUMMYFUNCTION("""COMPUTED_VALUE"""),"MFH")</f>
        <v>MFH</v>
      </c>
      <c r="J3187" s="6" t="str">
        <f>IFERROR(__xludf.DUMMYFUNCTION("""COMPUTED_VALUE"""),"-")</f>
        <v>-</v>
      </c>
      <c r="K3187" s="6" t="str">
        <f>IFERROR(__xludf.DUMMYFUNCTION("""COMPUTED_VALUE"""),"SPR/26/02/027")</f>
        <v>SPR/26/02/027</v>
      </c>
      <c r="L3187" s="58">
        <f>IFERROR(__xludf.DUMMYFUNCTION("""COMPUTED_VALUE"""),46080.0)</f>
        <v>46080</v>
      </c>
    </row>
    <row r="3188">
      <c r="A3188" s="6" t="str">
        <f>IFERROR(__xludf.DUMMYFUNCTION("""COMPUTED_VALUE"""),"BDU")</f>
        <v>BDU</v>
      </c>
      <c r="B3188" s="6" t="str">
        <f>IFERROR(__xludf.DUMMYFUNCTION("""COMPUTED_VALUE"""),"ENG")</f>
        <v>ENG</v>
      </c>
      <c r="C3188" s="6" t="str">
        <f>IFERROR(__xludf.DUMMYFUNCTION("""COMPUTED_VALUE"""),"P-13365-00")</f>
        <v>P-13365-00</v>
      </c>
      <c r="D3188" s="6" t="str">
        <f>IFERROR(__xludf.DUMMYFUNCTION("""COMPUTED_VALUE"""),"Cutting Wheel 14"" nippon resibon; ; ;")</f>
        <v>Cutting Wheel 14" nippon resibon; ; ;</v>
      </c>
      <c r="E3188" s="6">
        <f>IFERROR(__xludf.DUMMYFUNCTION("""COMPUTED_VALUE"""),1.0)</f>
        <v>1</v>
      </c>
      <c r="F3188" s="6">
        <f>IFERROR(__xludf.DUMMYFUNCTION("""COMPUTED_VALUE"""),1.0)</f>
        <v>1</v>
      </c>
      <c r="G3188" s="6">
        <f>IFERROR(__xludf.DUMMYFUNCTION("""COMPUTED_VALUE"""),0.0)</f>
        <v>0</v>
      </c>
      <c r="H3188" s="6" t="str">
        <f>IFERROR(__xludf.DUMMYFUNCTION("""COMPUTED_VALUE"""),"Pcs")</f>
        <v>Pcs</v>
      </c>
      <c r="I3188" s="6" t="str">
        <f>IFERROR(__xludf.DUMMYFUNCTION("""COMPUTED_VALUE"""),"MFH")</f>
        <v>MFH</v>
      </c>
      <c r="J3188" s="6" t="str">
        <f>IFERROR(__xludf.DUMMYFUNCTION("""COMPUTED_VALUE"""),"Tools")</f>
        <v>Tools</v>
      </c>
      <c r="K3188" s="6" t="str">
        <f>IFERROR(__xludf.DUMMYFUNCTION("""COMPUTED_VALUE"""),"SPR/26/02/028")</f>
        <v>SPR/26/02/028</v>
      </c>
      <c r="L3188" s="58">
        <f>IFERROR(__xludf.DUMMYFUNCTION("""COMPUTED_VALUE"""),46080.0)</f>
        <v>46080</v>
      </c>
    </row>
    <row r="3189">
      <c r="A3189" s="6" t="str">
        <f>IFERROR(__xludf.DUMMYFUNCTION("""COMPUTED_VALUE"""),"SFH")</f>
        <v>SFH</v>
      </c>
      <c r="B3189" s="6" t="str">
        <f>IFERROR(__xludf.DUMMYFUNCTION("""COMPUTED_VALUE"""),"ENG")</f>
        <v>ENG</v>
      </c>
      <c r="C3189" s="6" t="str">
        <f>IFERROR(__xludf.DUMMYFUNCTION("""COMPUTED_VALUE"""),"Q-10985-00")</f>
        <v>Q-10985-00</v>
      </c>
      <c r="D3189" s="6" t="str">
        <f>IFERROR(__xludf.DUMMYFUNCTION("""COMPUTED_VALUE"""),"Keramik Granito Warna Crystal White Sand 60x60; Granito; ;")</f>
        <v>Keramik Granito Warna Crystal White Sand 60x60; Granito; ;</v>
      </c>
      <c r="E3189" s="6">
        <f>IFERROR(__xludf.DUMMYFUNCTION("""COMPUTED_VALUE"""),9.0)</f>
        <v>9</v>
      </c>
      <c r="F3189" s="6">
        <f>IFERROR(__xludf.DUMMYFUNCTION("""COMPUTED_VALUE"""),9.0)</f>
        <v>9</v>
      </c>
      <c r="G3189" s="6">
        <f>IFERROR(__xludf.DUMMYFUNCTION("""COMPUTED_VALUE"""),0.0)</f>
        <v>0</v>
      </c>
      <c r="H3189" s="6" t="str">
        <f>IFERROR(__xludf.DUMMYFUNCTION("""COMPUTED_VALUE"""),"Pcs")</f>
        <v>Pcs</v>
      </c>
      <c r="I3189" s="6" t="str">
        <f>IFERROR(__xludf.DUMMYFUNCTION("""COMPUTED_VALUE"""),"MFH")</f>
        <v>MFH</v>
      </c>
      <c r="J3189" s="6" t="str">
        <f>IFERROR(__xludf.DUMMYFUNCTION("""COMPUTED_VALUE"""),"Building")</f>
        <v>Building</v>
      </c>
      <c r="K3189" s="6" t="str">
        <f>IFERROR(__xludf.DUMMYFUNCTION("""COMPUTED_VALUE"""),"SPR/26/02/029")</f>
        <v>SPR/26/02/029</v>
      </c>
      <c r="L3189" s="58">
        <f>IFERROR(__xludf.DUMMYFUNCTION("""COMPUTED_VALUE"""),46080.0)</f>
        <v>46080</v>
      </c>
    </row>
    <row r="3190">
      <c r="A3190" s="6" t="str">
        <f>IFERROR(__xludf.DUMMYFUNCTION("""COMPUTED_VALUE"""),"SFH")</f>
        <v>SFH</v>
      </c>
      <c r="B3190" s="6" t="str">
        <f>IFERROR(__xludf.DUMMYFUNCTION("""COMPUTED_VALUE"""),"ENG")</f>
        <v>ENG</v>
      </c>
      <c r="C3190" s="6" t="str">
        <f>IFERROR(__xludf.DUMMYFUNCTION("""COMPUTED_VALUE"""),"Q-10207-00")</f>
        <v>Q-10207-00</v>
      </c>
      <c r="D3190" s="6" t="str">
        <f>IFERROR(__xludf.DUMMYFUNCTION("""COMPUTED_VALUE"""),"Keramik Roman Warna Putih 40 x 40 cm;Roman;CN: 447106;pack size per pack")</f>
        <v>Keramik Roman Warna Putih 40 x 40 cm;Roman;CN: 447106;pack size per pack</v>
      </c>
      <c r="E3190" s="6">
        <f>IFERROR(__xludf.DUMMYFUNCTION("""COMPUTED_VALUE"""),4.0)</f>
        <v>4</v>
      </c>
      <c r="F3190" s="6">
        <f>IFERROR(__xludf.DUMMYFUNCTION("""COMPUTED_VALUE"""),4.0)</f>
        <v>4</v>
      </c>
      <c r="G3190" s="6">
        <f>IFERROR(__xludf.DUMMYFUNCTION("""COMPUTED_VALUE"""),0.0)</f>
        <v>0</v>
      </c>
      <c r="H3190" s="6" t="str">
        <f>IFERROR(__xludf.DUMMYFUNCTION("""COMPUTED_VALUE"""),"Pcs")</f>
        <v>Pcs</v>
      </c>
      <c r="I3190" s="6" t="str">
        <f>IFERROR(__xludf.DUMMYFUNCTION("""COMPUTED_VALUE"""),"MFH")</f>
        <v>MFH</v>
      </c>
      <c r="J3190" s="6" t="str">
        <f>IFERROR(__xludf.DUMMYFUNCTION("""COMPUTED_VALUE"""),"Building")</f>
        <v>Building</v>
      </c>
      <c r="K3190" s="6" t="str">
        <f>IFERROR(__xludf.DUMMYFUNCTION("""COMPUTED_VALUE"""),"SPR/26/02/029")</f>
        <v>SPR/26/02/029</v>
      </c>
      <c r="L3190" s="58">
        <f>IFERROR(__xludf.DUMMYFUNCTION("""COMPUTED_VALUE"""),46080.0)</f>
        <v>46080</v>
      </c>
    </row>
    <row r="3191">
      <c r="A3191" s="6" t="str">
        <f>IFERROR(__xludf.DUMMYFUNCTION("""COMPUTED_VALUE"""),"BDU")</f>
        <v>BDU</v>
      </c>
      <c r="B3191" s="6" t="str">
        <f>IFERROR(__xludf.DUMMYFUNCTION("""COMPUTED_VALUE"""),"ENG")</f>
        <v>ENG</v>
      </c>
      <c r="C3191" s="6" t="str">
        <f>IFERROR(__xludf.DUMMYFUNCTION("""COMPUTED_VALUE"""),"P-52664-00")</f>
        <v>P-52664-00</v>
      </c>
      <c r="D3191" s="6" t="str">
        <f>IFERROR(__xludf.DUMMYFUNCTION("""COMPUTED_VALUE"""),"Pelampung Air Radar Float Switch 2 Meter; ; ;")</f>
        <v>Pelampung Air Radar Float Switch 2 Meter; ; ;</v>
      </c>
      <c r="E3191" s="6">
        <f>IFERROR(__xludf.DUMMYFUNCTION("""COMPUTED_VALUE"""),1.0)</f>
        <v>1</v>
      </c>
      <c r="F3191" s="6">
        <f>IFERROR(__xludf.DUMMYFUNCTION("""COMPUTED_VALUE"""),1.0)</f>
        <v>1</v>
      </c>
      <c r="G3191" s="6">
        <f>IFERROR(__xludf.DUMMYFUNCTION("""COMPUTED_VALUE"""),0.0)</f>
        <v>0</v>
      </c>
      <c r="H3191" s="6" t="str">
        <f>IFERROR(__xludf.DUMMYFUNCTION("""COMPUTED_VALUE"""),"Pcs")</f>
        <v>Pcs</v>
      </c>
      <c r="I3191" s="6" t="str">
        <f>IFERROR(__xludf.DUMMYFUNCTION("""COMPUTED_VALUE"""),"MFH")</f>
        <v>MFH</v>
      </c>
      <c r="J3191" s="6" t="str">
        <f>IFERROR(__xludf.DUMMYFUNCTION("""COMPUTED_VALUE"""),"WWTP")</f>
        <v>WWTP</v>
      </c>
      <c r="K3191" s="6" t="str">
        <f>IFERROR(__xludf.DUMMYFUNCTION("""COMPUTED_VALUE"""),"SPR/26/02/030")</f>
        <v>SPR/26/02/030</v>
      </c>
      <c r="L3191" s="58">
        <f>IFERROR(__xludf.DUMMYFUNCTION("""COMPUTED_VALUE"""),46080.0)</f>
        <v>46080</v>
      </c>
    </row>
    <row r="3192">
      <c r="A3192" s="6" t="str">
        <f>IFERROR(__xludf.DUMMYFUNCTION("""COMPUTED_VALUE"""),"KFF")</f>
        <v>KFF</v>
      </c>
      <c r="B3192" s="6" t="str">
        <f>IFERROR(__xludf.DUMMYFUNCTION("""COMPUTED_VALUE"""),"ENG")</f>
        <v>ENG</v>
      </c>
      <c r="C3192" s="6" t="str">
        <f>IFERROR(__xludf.DUMMYFUNCTION("""COMPUTED_VALUE"""),"O-19372-00")</f>
        <v>O-19372-00</v>
      </c>
      <c r="D3192" s="6" t="str">
        <f>IFERROR(__xludf.DUMMYFUNCTION("""COMPUTED_VALUE"""),"Washing RAR4 - Needle PW, OD.15mmx123mm, Material SS 319; ; ;")</f>
        <v>Washing RAR4 - Needle PW, OD.15mmx123mm, Material SS 319; ; ;</v>
      </c>
      <c r="E3192" s="6">
        <f>IFERROR(__xludf.DUMMYFUNCTION("""COMPUTED_VALUE"""),1.0)</f>
        <v>1</v>
      </c>
      <c r="F3192" s="6">
        <f>IFERROR(__xludf.DUMMYFUNCTION("""COMPUTED_VALUE"""),1.0)</f>
        <v>1</v>
      </c>
      <c r="G3192" s="6">
        <f>IFERROR(__xludf.DUMMYFUNCTION("""COMPUTED_VALUE"""),0.0)</f>
        <v>0</v>
      </c>
      <c r="H3192" s="6" t="str">
        <f>IFERROR(__xludf.DUMMYFUNCTION("""COMPUTED_VALUE"""),"Pcs")</f>
        <v>Pcs</v>
      </c>
      <c r="I3192" s="6" t="str">
        <f>IFERROR(__xludf.DUMMYFUNCTION("""COMPUTED_VALUE"""),"MFH")</f>
        <v>MFH</v>
      </c>
      <c r="J3192" s="6" t="str">
        <f>IFERROR(__xludf.DUMMYFUNCTION("""COMPUTED_VALUE"""),"Washing")</f>
        <v>Washing</v>
      </c>
      <c r="K3192" s="6" t="str">
        <f>IFERROR(__xludf.DUMMYFUNCTION("""COMPUTED_VALUE"""),"SPR/26/02/031")</f>
        <v>SPR/26/02/031</v>
      </c>
      <c r="L3192" s="58">
        <f>IFERROR(__xludf.DUMMYFUNCTION("""COMPUTED_VALUE"""),46080.0)</f>
        <v>46080</v>
      </c>
    </row>
    <row r="3193">
      <c r="A3193" s="6" t="str">
        <f>IFERROR(__xludf.DUMMYFUNCTION("""COMPUTED_VALUE"""),"RIA")</f>
        <v>RIA</v>
      </c>
      <c r="B3193" s="6" t="str">
        <f>IFERROR(__xludf.DUMMYFUNCTION("""COMPUTED_VALUE"""),"ENG")</f>
        <v>ENG</v>
      </c>
      <c r="C3193" s="6" t="str">
        <f>IFERROR(__xludf.DUMMYFUNCTION("""COMPUTED_VALUE"""),"P-54465-00")</f>
        <v>P-54465-00</v>
      </c>
      <c r="D3193" s="6" t="str">
        <f>IFERROR(__xludf.DUMMYFUNCTION("""COMPUTED_VALUE"""),"General - MCB 6A 3Phase C 6000A Domae; Schneider; -; 1 pc")</f>
        <v>General - MCB 6A 3Phase C 6000A Domae; Schneider; -; 1 pc</v>
      </c>
      <c r="E3193" s="6">
        <f>IFERROR(__xludf.DUMMYFUNCTION("""COMPUTED_VALUE"""),1.0)</f>
        <v>1</v>
      </c>
      <c r="F3193" s="6">
        <f>IFERROR(__xludf.DUMMYFUNCTION("""COMPUTED_VALUE"""),1.0)</f>
        <v>1</v>
      </c>
      <c r="G3193" s="6">
        <f>IFERROR(__xludf.DUMMYFUNCTION("""COMPUTED_VALUE"""),0.0)</f>
        <v>0</v>
      </c>
      <c r="H3193" s="6" t="str">
        <f>IFERROR(__xludf.DUMMYFUNCTION("""COMPUTED_VALUE"""),"Pcs")</f>
        <v>Pcs</v>
      </c>
      <c r="I3193" s="6" t="str">
        <f>IFERROR(__xludf.DUMMYFUNCTION("""COMPUTED_VALUE"""),"MFH")</f>
        <v>MFH</v>
      </c>
      <c r="J3193" s="6" t="str">
        <f>IFERROR(__xludf.DUMMYFUNCTION("""COMPUTED_VALUE"""),"Building")</f>
        <v>Building</v>
      </c>
      <c r="K3193" s="6" t="str">
        <f>IFERROR(__xludf.DUMMYFUNCTION("""COMPUTED_VALUE"""),"SPR/26/02/032")</f>
        <v>SPR/26/02/032</v>
      </c>
      <c r="L3193" s="58">
        <f>IFERROR(__xludf.DUMMYFUNCTION("""COMPUTED_VALUE"""),46080.0)</f>
        <v>46080</v>
      </c>
    </row>
    <row r="3194">
      <c r="A3194" s="6" t="str">
        <f>IFERROR(__xludf.DUMMYFUNCTION("""COMPUTED_VALUE"""),"RIA")</f>
        <v>RIA</v>
      </c>
      <c r="B3194" s="6" t="str">
        <f>IFERROR(__xludf.DUMMYFUNCTION("""COMPUTED_VALUE"""),"ENG")</f>
        <v>ENG</v>
      </c>
      <c r="C3194" s="6" t="str">
        <f>IFERROR(__xludf.DUMMYFUNCTION("""COMPUTED_VALUE"""),"P-53363-00")</f>
        <v>P-53363-00</v>
      </c>
      <c r="D3194" s="6" t="str">
        <f>IFERROR(__xludf.DUMMYFUNCTION("""COMPUTED_VALUE"""),"Contactor Schneider LC1D12M7 Coil 220 VAC; ; ;")</f>
        <v>Contactor Schneider LC1D12M7 Coil 220 VAC; ; ;</v>
      </c>
      <c r="E3194" s="6">
        <f>IFERROR(__xludf.DUMMYFUNCTION("""COMPUTED_VALUE"""),1.0)</f>
        <v>1</v>
      </c>
      <c r="F3194" s="6">
        <f>IFERROR(__xludf.DUMMYFUNCTION("""COMPUTED_VALUE"""),1.0)</f>
        <v>1</v>
      </c>
      <c r="G3194" s="6">
        <f>IFERROR(__xludf.DUMMYFUNCTION("""COMPUTED_VALUE"""),0.0)</f>
        <v>0</v>
      </c>
      <c r="H3194" s="6" t="str">
        <f>IFERROR(__xludf.DUMMYFUNCTION("""COMPUTED_VALUE"""),"Pcs")</f>
        <v>Pcs</v>
      </c>
      <c r="I3194" s="6" t="str">
        <f>IFERROR(__xludf.DUMMYFUNCTION("""COMPUTED_VALUE"""),"MFH")</f>
        <v>MFH</v>
      </c>
      <c r="J3194" s="6" t="str">
        <f>IFERROR(__xludf.DUMMYFUNCTION("""COMPUTED_VALUE"""),"Building")</f>
        <v>Building</v>
      </c>
      <c r="K3194" s="6" t="str">
        <f>IFERROR(__xludf.DUMMYFUNCTION("""COMPUTED_VALUE"""),"SPR/26/02/032")</f>
        <v>SPR/26/02/032</v>
      </c>
      <c r="L3194" s="58">
        <f>IFERROR(__xludf.DUMMYFUNCTION("""COMPUTED_VALUE"""),46080.0)</f>
        <v>46080</v>
      </c>
    </row>
    <row r="3195">
      <c r="A3195" s="6" t="str">
        <f>IFERROR(__xludf.DUMMYFUNCTION("""COMPUTED_VALUE"""),"RIA")</f>
        <v>RIA</v>
      </c>
      <c r="B3195" s="6" t="str">
        <f>IFERROR(__xludf.DUMMYFUNCTION("""COMPUTED_VALUE"""),"ENG")</f>
        <v>ENG</v>
      </c>
      <c r="C3195" s="6" t="str">
        <f>IFERROR(__xludf.DUMMYFUNCTION("""COMPUTED_VALUE"""),"P-50286-00")</f>
        <v>P-50286-00</v>
      </c>
      <c r="D3195" s="6" t="str">
        <f>IFERROR(__xludf.DUMMYFUNCTION("""COMPUTED_VALUE"""),"Kabel NYYHY 3 x 1,5 mm")</f>
        <v>Kabel NYYHY 3 x 1,5 mm</v>
      </c>
      <c r="E3195" s="6">
        <f>IFERROR(__xludf.DUMMYFUNCTION("""COMPUTED_VALUE"""),20.0)</f>
        <v>20</v>
      </c>
      <c r="F3195" s="6">
        <f>IFERROR(__xludf.DUMMYFUNCTION("""COMPUTED_VALUE"""),20.0)</f>
        <v>20</v>
      </c>
      <c r="G3195" s="6">
        <f>IFERROR(__xludf.DUMMYFUNCTION("""COMPUTED_VALUE"""),0.0)</f>
        <v>0</v>
      </c>
      <c r="H3195" s="6" t="str">
        <f>IFERROR(__xludf.DUMMYFUNCTION("""COMPUTED_VALUE"""),"Pcs")</f>
        <v>Pcs</v>
      </c>
      <c r="I3195" s="6" t="str">
        <f>IFERROR(__xludf.DUMMYFUNCTION("""COMPUTED_VALUE"""),"MFH")</f>
        <v>MFH</v>
      </c>
      <c r="J3195" s="6" t="str">
        <f>IFERROR(__xludf.DUMMYFUNCTION("""COMPUTED_VALUE"""),"Building")</f>
        <v>Building</v>
      </c>
      <c r="K3195" s="6" t="str">
        <f>IFERROR(__xludf.DUMMYFUNCTION("""COMPUTED_VALUE"""),"SPR/26/02/032")</f>
        <v>SPR/26/02/032</v>
      </c>
      <c r="L3195" s="58">
        <f>IFERROR(__xludf.DUMMYFUNCTION("""COMPUTED_VALUE"""),46080.0)</f>
        <v>46080</v>
      </c>
    </row>
    <row r="3196">
      <c r="A3196" s="6" t="str">
        <f>IFERROR(__xludf.DUMMYFUNCTION("""COMPUTED_VALUE"""),"BDU")</f>
        <v>BDU</v>
      </c>
      <c r="B3196" s="6" t="str">
        <f>IFERROR(__xludf.DUMMYFUNCTION("""COMPUTED_VALUE"""),"ENG")</f>
        <v>ENG</v>
      </c>
      <c r="C3196" s="6" t="str">
        <f>IFERROR(__xludf.DUMMYFUNCTION("""COMPUTED_VALUE"""),"P-11431-00")</f>
        <v>P-11431-00</v>
      </c>
      <c r="D3196" s="6" t="str">
        <f>IFERROR(__xludf.DUMMYFUNCTION("""COMPUTED_VALUE"""),"General - Plastic Tubing, PUN-H-8X1,25-BL; Festo; 197385; 1 m")</f>
        <v>General - Plastic Tubing, PUN-H-8X1,25-BL; Festo; 197385; 1 m</v>
      </c>
      <c r="E3196" s="6">
        <f>IFERROR(__xludf.DUMMYFUNCTION("""COMPUTED_VALUE"""),40.0)</f>
        <v>40</v>
      </c>
      <c r="F3196" s="6">
        <f>IFERROR(__xludf.DUMMYFUNCTION("""COMPUTED_VALUE"""),40.0)</f>
        <v>40</v>
      </c>
      <c r="G3196" s="6">
        <f>IFERROR(__xludf.DUMMYFUNCTION("""COMPUTED_VALUE"""),0.0)</f>
        <v>0</v>
      </c>
      <c r="H3196" s="6" t="str">
        <f>IFERROR(__xludf.DUMMYFUNCTION("""COMPUTED_VALUE"""),"Pcs")</f>
        <v>Pcs</v>
      </c>
      <c r="I3196" s="6" t="str">
        <f>IFERROR(__xludf.DUMMYFUNCTION("""COMPUTED_VALUE"""),"MFH")</f>
        <v>MFH</v>
      </c>
      <c r="J3196" s="6" t="str">
        <f>IFERROR(__xludf.DUMMYFUNCTION("""COMPUTED_VALUE"""),"AHU")</f>
        <v>AHU</v>
      </c>
      <c r="K3196" s="6" t="str">
        <f>IFERROR(__xludf.DUMMYFUNCTION("""COMPUTED_VALUE"""),"SPR/26/02/033")</f>
        <v>SPR/26/02/033</v>
      </c>
      <c r="L3196" s="58">
        <f>IFERROR(__xludf.DUMMYFUNCTION("""COMPUTED_VALUE"""),46080.0)</f>
        <v>46080</v>
      </c>
    </row>
    <row r="3197">
      <c r="A3197" s="6" t="str">
        <f>IFERROR(__xludf.DUMMYFUNCTION("""COMPUTED_VALUE"""),"MRN")</f>
        <v>MRN</v>
      </c>
      <c r="B3197" s="6" t="str">
        <f>IFERROR(__xludf.DUMMYFUNCTION("""COMPUTED_VALUE"""),"ENG")</f>
        <v>ENG</v>
      </c>
      <c r="C3197" s="6" t="str">
        <f>IFERROR(__xludf.DUMMYFUNCTION("""COMPUTED_VALUE"""),"P-12881-00")</f>
        <v>P-12881-00</v>
      </c>
      <c r="D3197" s="6" t="str">
        <f>IFERROR(__xludf.DUMMYFUNCTION("""COMPUTED_VALUE"""),"Tee PVC AW dia 1 1/2inch x 1 1/2inch")</f>
        <v>Tee PVC AW dia 1 1/2inch x 1 1/2inch</v>
      </c>
      <c r="E3197" s="6">
        <f>IFERROR(__xludf.DUMMYFUNCTION("""COMPUTED_VALUE"""),1.0)</f>
        <v>1</v>
      </c>
      <c r="F3197" s="6">
        <f>IFERROR(__xludf.DUMMYFUNCTION("""COMPUTED_VALUE"""),1.0)</f>
        <v>1</v>
      </c>
      <c r="G3197" s="6">
        <f>IFERROR(__xludf.DUMMYFUNCTION("""COMPUTED_VALUE"""),0.0)</f>
        <v>0</v>
      </c>
      <c r="H3197" s="6" t="str">
        <f>IFERROR(__xludf.DUMMYFUNCTION("""COMPUTED_VALUE"""),"Pcs")</f>
        <v>Pcs</v>
      </c>
      <c r="I3197" s="6" t="str">
        <f>IFERROR(__xludf.DUMMYFUNCTION("""COMPUTED_VALUE"""),"MFH")</f>
        <v>MFH</v>
      </c>
      <c r="J3197" s="6" t="str">
        <f>IFERROR(__xludf.DUMMYFUNCTION("""COMPUTED_VALUE"""),"-")</f>
        <v>-</v>
      </c>
      <c r="K3197" s="6" t="str">
        <f>IFERROR(__xludf.DUMMYFUNCTION("""COMPUTED_VALUE"""),"SPR/26/02/034")</f>
        <v>SPR/26/02/034</v>
      </c>
      <c r="L3197" s="58">
        <f>IFERROR(__xludf.DUMMYFUNCTION("""COMPUTED_VALUE"""),46080.0)</f>
        <v>46080</v>
      </c>
    </row>
    <row r="3198">
      <c r="A3198" s="6" t="str">
        <f>IFERROR(__xludf.DUMMYFUNCTION("""COMPUTED_VALUE"""),"MRN")</f>
        <v>MRN</v>
      </c>
      <c r="B3198" s="6" t="str">
        <f>IFERROR(__xludf.DUMMYFUNCTION("""COMPUTED_VALUE"""),"ENG")</f>
        <v>ENG</v>
      </c>
      <c r="C3198" s="6" t="str">
        <f>IFERROR(__xludf.DUMMYFUNCTION("""COMPUTED_VALUE"""),"P-10883-00")</f>
        <v>P-10883-00</v>
      </c>
      <c r="D3198" s="6" t="str">
        <f>IFERROR(__xludf.DUMMYFUNCTION("""COMPUTED_VALUE"""),"Fitting PVC - SDD PVC 1 1/2")</f>
        <v>Fitting PVC - SDD PVC 1 1/2</v>
      </c>
      <c r="E3198" s="6">
        <f>IFERROR(__xludf.DUMMYFUNCTION("""COMPUTED_VALUE"""),1.0)</f>
        <v>1</v>
      </c>
      <c r="F3198" s="6">
        <f>IFERROR(__xludf.DUMMYFUNCTION("""COMPUTED_VALUE"""),1.0)</f>
        <v>1</v>
      </c>
      <c r="G3198" s="6">
        <f>IFERROR(__xludf.DUMMYFUNCTION("""COMPUTED_VALUE"""),0.0)</f>
        <v>0</v>
      </c>
      <c r="H3198" s="6" t="str">
        <f>IFERROR(__xludf.DUMMYFUNCTION("""COMPUTED_VALUE"""),"Pcs")</f>
        <v>Pcs</v>
      </c>
      <c r="I3198" s="6" t="str">
        <f>IFERROR(__xludf.DUMMYFUNCTION("""COMPUTED_VALUE"""),"MFH")</f>
        <v>MFH</v>
      </c>
      <c r="J3198" s="6" t="str">
        <f>IFERROR(__xludf.DUMMYFUNCTION("""COMPUTED_VALUE"""),"-")</f>
        <v>-</v>
      </c>
      <c r="K3198" s="6" t="str">
        <f>IFERROR(__xludf.DUMMYFUNCTION("""COMPUTED_VALUE"""),"SPR/26/02/034")</f>
        <v>SPR/26/02/034</v>
      </c>
      <c r="L3198" s="58">
        <f>IFERROR(__xludf.DUMMYFUNCTION("""COMPUTED_VALUE"""),46080.0)</f>
        <v>46080</v>
      </c>
    </row>
    <row r="3199">
      <c r="A3199" s="6" t="str">
        <f>IFERROR(__xludf.DUMMYFUNCTION("""COMPUTED_VALUE"""),"MRN")</f>
        <v>MRN</v>
      </c>
      <c r="B3199" s="6" t="str">
        <f>IFERROR(__xludf.DUMMYFUNCTION("""COMPUTED_VALUE"""),"ENG")</f>
        <v>ENG</v>
      </c>
      <c r="C3199" s="6" t="str">
        <f>IFERROR(__xludf.DUMMYFUNCTION("""COMPUTED_VALUE"""),"P-10890-00")</f>
        <v>P-10890-00</v>
      </c>
      <c r="D3199" s="6" t="str">
        <f>IFERROR(__xludf.DUMMYFUNCTION("""COMPUTED_VALUE"""),"Fitting PVC - SDL PVC 1 1/2")</f>
        <v>Fitting PVC - SDL PVC 1 1/2</v>
      </c>
      <c r="E3199" s="6">
        <f>IFERROR(__xludf.DUMMYFUNCTION("""COMPUTED_VALUE"""),1.0)</f>
        <v>1</v>
      </c>
      <c r="F3199" s="6">
        <f>IFERROR(__xludf.DUMMYFUNCTION("""COMPUTED_VALUE"""),1.0)</f>
        <v>1</v>
      </c>
      <c r="G3199" s="6">
        <f>IFERROR(__xludf.DUMMYFUNCTION("""COMPUTED_VALUE"""),0.0)</f>
        <v>0</v>
      </c>
      <c r="H3199" s="6" t="str">
        <f>IFERROR(__xludf.DUMMYFUNCTION("""COMPUTED_VALUE"""),"Pcs")</f>
        <v>Pcs</v>
      </c>
      <c r="I3199" s="6" t="str">
        <f>IFERROR(__xludf.DUMMYFUNCTION("""COMPUTED_VALUE"""),"MFH")</f>
        <v>MFH</v>
      </c>
      <c r="J3199" s="6" t="str">
        <f>IFERROR(__xludf.DUMMYFUNCTION("""COMPUTED_VALUE"""),"-")</f>
        <v>-</v>
      </c>
      <c r="K3199" s="6" t="str">
        <f>IFERROR(__xludf.DUMMYFUNCTION("""COMPUTED_VALUE"""),"SPR/26/02/034")</f>
        <v>SPR/26/02/034</v>
      </c>
      <c r="L3199" s="58">
        <f>IFERROR(__xludf.DUMMYFUNCTION("""COMPUTED_VALUE"""),46080.0)</f>
        <v>46080</v>
      </c>
    </row>
    <row r="3200">
      <c r="A3200" s="6" t="str">
        <f>IFERROR(__xludf.DUMMYFUNCTION("""COMPUTED_VALUE"""),"ANO")</f>
        <v>ANO</v>
      </c>
      <c r="B3200" s="6" t="str">
        <f>IFERROR(__xludf.DUMMYFUNCTION("""COMPUTED_VALUE"""),"ENG")</f>
        <v>ENG</v>
      </c>
      <c r="C3200" s="6" t="str">
        <f>IFERROR(__xludf.DUMMYFUNCTION("""COMPUTED_VALUE"""),"Q-10249-00")</f>
        <v>Q-10249-00</v>
      </c>
      <c r="D3200" s="6" t="str">
        <f>IFERROR(__xludf.DUMMYFUNCTION("""COMPUTED_VALUE"""),"Lem Power Glue; ; ;")</f>
        <v>Lem Power Glue; ; ;</v>
      </c>
      <c r="E3200" s="6">
        <f>IFERROR(__xludf.DUMMYFUNCTION("""COMPUTED_VALUE"""),1.0)</f>
        <v>1</v>
      </c>
      <c r="F3200" s="6">
        <f>IFERROR(__xludf.DUMMYFUNCTION("""COMPUTED_VALUE"""),1.0)</f>
        <v>1</v>
      </c>
      <c r="G3200" s="6">
        <f>IFERROR(__xludf.DUMMYFUNCTION("""COMPUTED_VALUE"""),0.0)</f>
        <v>0</v>
      </c>
      <c r="H3200" s="6" t="str">
        <f>IFERROR(__xludf.DUMMYFUNCTION("""COMPUTED_VALUE"""),"Pcs")</f>
        <v>Pcs</v>
      </c>
      <c r="I3200" s="6" t="str">
        <f>IFERROR(__xludf.DUMMYFUNCTION("""COMPUTED_VALUE"""),"MFH")</f>
        <v>MFH</v>
      </c>
      <c r="J3200" s="6" t="str">
        <f>IFERROR(__xludf.DUMMYFUNCTION("""COMPUTED_VALUE"""),"Capping")</f>
        <v>Capping</v>
      </c>
      <c r="K3200" s="6" t="str">
        <f>IFERROR(__xludf.DUMMYFUNCTION("""COMPUTED_VALUE"""),"SPR/26/02/035")</f>
        <v>SPR/26/02/035</v>
      </c>
      <c r="L3200" s="58">
        <f>IFERROR(__xludf.DUMMYFUNCTION("""COMPUTED_VALUE"""),46080.0)</f>
        <v>46080</v>
      </c>
    </row>
    <row r="3201">
      <c r="A3201" s="6" t="str">
        <f>IFERROR(__xludf.DUMMYFUNCTION("""COMPUTED_VALUE"""),"ANO")</f>
        <v>ANO</v>
      </c>
      <c r="B3201" s="6" t="str">
        <f>IFERROR(__xludf.DUMMYFUNCTION("""COMPUTED_VALUE"""),"ENG")</f>
        <v>ENG</v>
      </c>
      <c r="C3201" s="6" t="str">
        <f>IFERROR(__xludf.DUMMYFUNCTION("""COMPUTED_VALUE"""),"O-16731-00")</f>
        <v>O-16731-00</v>
      </c>
      <c r="D3201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201" s="6">
        <f>IFERROR(__xludf.DUMMYFUNCTION("""COMPUTED_VALUE"""),1.0)</f>
        <v>1</v>
      </c>
      <c r="F3201" s="6">
        <f>IFERROR(__xludf.DUMMYFUNCTION("""COMPUTED_VALUE"""),1.0)</f>
        <v>1</v>
      </c>
      <c r="G3201" s="6">
        <f>IFERROR(__xludf.DUMMYFUNCTION("""COMPUTED_VALUE"""),0.0)</f>
        <v>0</v>
      </c>
      <c r="H3201" s="6" t="str">
        <f>IFERROR(__xludf.DUMMYFUNCTION("""COMPUTED_VALUE"""),"Pcs")</f>
        <v>Pcs</v>
      </c>
      <c r="I3201" s="6" t="str">
        <f>IFERROR(__xludf.DUMMYFUNCTION("""COMPUTED_VALUE"""),"MFH")</f>
        <v>MFH</v>
      </c>
      <c r="J3201" s="6" t="str">
        <f>IFERROR(__xludf.DUMMYFUNCTION("""COMPUTED_VALUE"""),"Autoclave")</f>
        <v>Autoclave</v>
      </c>
      <c r="K3201" s="6" t="str">
        <f>IFERROR(__xludf.DUMMYFUNCTION("""COMPUTED_VALUE"""),"SPR/26/02/035")</f>
        <v>SPR/26/02/035</v>
      </c>
      <c r="L3201" s="58">
        <f>IFERROR(__xludf.DUMMYFUNCTION("""COMPUTED_VALUE"""),46080.0)</f>
        <v>46080</v>
      </c>
    </row>
    <row r="3202">
      <c r="A3202" s="6" t="str">
        <f>IFERROR(__xludf.DUMMYFUNCTION("""COMPUTED_VALUE"""),"SFH")</f>
        <v>SFH</v>
      </c>
      <c r="B3202" s="6" t="str">
        <f>IFERROR(__xludf.DUMMYFUNCTION("""COMPUTED_VALUE"""),"ENG")</f>
        <v>ENG</v>
      </c>
      <c r="C3202" s="6" t="str">
        <f>IFERROR(__xludf.DUMMYFUNCTION("""COMPUTED_VALUE"""),"P-51560-00")</f>
        <v>P-51560-00</v>
      </c>
      <c r="D3202" s="6" t="str">
        <f>IFERROR(__xludf.DUMMYFUNCTION("""COMPUTED_VALUE"""),"General - Lampu TL LED T5 28 W White; Philips; -; 1 unt")</f>
        <v>General - Lampu TL LED T5 28 W White; Philips; -; 1 unt</v>
      </c>
      <c r="E3202" s="6">
        <f>IFERROR(__xludf.DUMMYFUNCTION("""COMPUTED_VALUE"""),6.0)</f>
        <v>6</v>
      </c>
      <c r="F3202" s="6">
        <f>IFERROR(__xludf.DUMMYFUNCTION("""COMPUTED_VALUE"""),6.0)</f>
        <v>6</v>
      </c>
      <c r="G3202" s="6">
        <f>IFERROR(__xludf.DUMMYFUNCTION("""COMPUTED_VALUE"""),0.0)</f>
        <v>0</v>
      </c>
      <c r="H3202" s="6" t="str">
        <f>IFERROR(__xludf.DUMMYFUNCTION("""COMPUTED_VALUE"""),"Pcs")</f>
        <v>Pcs</v>
      </c>
      <c r="I3202" s="6" t="str">
        <f>IFERROR(__xludf.DUMMYFUNCTION("""COMPUTED_VALUE"""),"MFH")</f>
        <v>MFH</v>
      </c>
      <c r="J3202" s="6" t="str">
        <f>IFERROR(__xludf.DUMMYFUNCTION("""COMPUTED_VALUE"""),"Building")</f>
        <v>Building</v>
      </c>
      <c r="K3202" s="6" t="str">
        <f>IFERROR(__xludf.DUMMYFUNCTION("""COMPUTED_VALUE"""),"SPR/26/02/036")</f>
        <v>SPR/26/02/036</v>
      </c>
      <c r="L3202" s="58">
        <f>IFERROR(__xludf.DUMMYFUNCTION("""COMPUTED_VALUE"""),46080.0)</f>
        <v>46080</v>
      </c>
    </row>
    <row r="3203">
      <c r="A3203" s="6" t="str">
        <f>IFERROR(__xludf.DUMMYFUNCTION("""COMPUTED_VALUE"""),"SFH")</f>
        <v>SFH</v>
      </c>
      <c r="B3203" s="6" t="str">
        <f>IFERROR(__xludf.DUMMYFUNCTION("""COMPUTED_VALUE"""),"ENG")</f>
        <v>ENG</v>
      </c>
      <c r="C3203" s="6" t="str">
        <f>IFERROR(__xludf.DUMMYFUNCTION("""COMPUTED_VALUE"""),"P-51559-00")</f>
        <v>P-51559-00</v>
      </c>
      <c r="D3203" s="6" t="str">
        <f>IFERROR(__xludf.DUMMYFUNCTION("""COMPUTED_VALUE"""),"General - Lampu TL LED T5 14 W White; Philips; -; 1 unt")</f>
        <v>General - Lampu TL LED T5 14 W White; Philips; -; 1 unt</v>
      </c>
      <c r="E3203" s="6">
        <f>IFERROR(__xludf.DUMMYFUNCTION("""COMPUTED_VALUE"""),14.0)</f>
        <v>14</v>
      </c>
      <c r="F3203" s="6">
        <f>IFERROR(__xludf.DUMMYFUNCTION("""COMPUTED_VALUE"""),15.0)</f>
        <v>15</v>
      </c>
      <c r="G3203" s="6">
        <f>IFERROR(__xludf.DUMMYFUNCTION("""COMPUTED_VALUE"""),0.0)</f>
        <v>0</v>
      </c>
      <c r="H3203" s="6" t="str">
        <f>IFERROR(__xludf.DUMMYFUNCTION("""COMPUTED_VALUE"""),"Pcs")</f>
        <v>Pcs</v>
      </c>
      <c r="I3203" s="6" t="str">
        <f>IFERROR(__xludf.DUMMYFUNCTION("""COMPUTED_VALUE"""),"MFH")</f>
        <v>MFH</v>
      </c>
      <c r="J3203" s="6" t="str">
        <f>IFERROR(__xludf.DUMMYFUNCTION("""COMPUTED_VALUE"""),"Building")</f>
        <v>Building</v>
      </c>
      <c r="K3203" s="6" t="str">
        <f>IFERROR(__xludf.DUMMYFUNCTION("""COMPUTED_VALUE"""),"SPR/26/02/036")</f>
        <v>SPR/26/02/036</v>
      </c>
      <c r="L3203" s="58">
        <f>IFERROR(__xludf.DUMMYFUNCTION("""COMPUTED_VALUE"""),46080.0)</f>
        <v>46080</v>
      </c>
    </row>
    <row r="3204">
      <c r="A3204" s="6" t="str">
        <f>IFERROR(__xludf.DUMMYFUNCTION("""COMPUTED_VALUE"""),"SFH")</f>
        <v>SFH</v>
      </c>
      <c r="B3204" s="6" t="str">
        <f>IFERROR(__xludf.DUMMYFUNCTION("""COMPUTED_VALUE"""),"ENG")</f>
        <v>ENG</v>
      </c>
      <c r="C3204" s="6" t="str">
        <f>IFERROR(__xludf.DUMMYFUNCTION("""COMPUTED_VALUE"""),"P-53102-00")</f>
        <v>P-53102-00</v>
      </c>
      <c r="D3204" s="6" t="str">
        <f>IFERROR(__xludf.DUMMYFUNCTION("""COMPUTED_VALUE"""),"Lampu PLC 13watt/E27 Putih; Phillips; ;")</f>
        <v>Lampu PLC 13watt/E27 Putih; Phillips; ;</v>
      </c>
      <c r="E3204" s="6">
        <f>IFERROR(__xludf.DUMMYFUNCTION("""COMPUTED_VALUE"""),2.0)</f>
        <v>2</v>
      </c>
      <c r="F3204" s="6">
        <f>IFERROR(__xludf.DUMMYFUNCTION("""COMPUTED_VALUE"""),2.0)</f>
        <v>2</v>
      </c>
      <c r="G3204" s="6">
        <f>IFERROR(__xludf.DUMMYFUNCTION("""COMPUTED_VALUE"""),0.0)</f>
        <v>0</v>
      </c>
      <c r="H3204" s="6" t="str">
        <f>IFERROR(__xludf.DUMMYFUNCTION("""COMPUTED_VALUE"""),"Pcs")</f>
        <v>Pcs</v>
      </c>
      <c r="I3204" s="6" t="str">
        <f>IFERROR(__xludf.DUMMYFUNCTION("""COMPUTED_VALUE"""),"MFH")</f>
        <v>MFH</v>
      </c>
      <c r="J3204" s="6" t="str">
        <f>IFERROR(__xludf.DUMMYFUNCTION("""COMPUTED_VALUE"""),"Building")</f>
        <v>Building</v>
      </c>
      <c r="K3204" s="6" t="str">
        <f>IFERROR(__xludf.DUMMYFUNCTION("""COMPUTED_VALUE"""),"SPR/26/02/036")</f>
        <v>SPR/26/02/036</v>
      </c>
      <c r="L3204" s="58">
        <f>IFERROR(__xludf.DUMMYFUNCTION("""COMPUTED_VALUE"""),46080.0)</f>
        <v>46080</v>
      </c>
    </row>
    <row r="3205">
      <c r="A3205" s="6" t="str">
        <f>IFERROR(__xludf.DUMMYFUNCTION("""COMPUTED_VALUE"""),"ROS")</f>
        <v>ROS</v>
      </c>
      <c r="B3205" s="6" t="str">
        <f>IFERROR(__xludf.DUMMYFUNCTION("""COMPUTED_VALUE"""),"ENG")</f>
        <v>ENG</v>
      </c>
      <c r="C3205" s="6" t="str">
        <f>IFERROR(__xludf.DUMMYFUNCTION("""COMPUTED_VALUE"""),"O-20913-00")</f>
        <v>O-20913-00</v>
      </c>
      <c r="D3205" s="6" t="str">
        <f>IFERROR(__xludf.DUMMYFUNCTION("""COMPUTED_VALUE"""),"General - Air Gripper; SMC; MHZJ2 20DS X43 X81B; 1 Pc")</f>
        <v>General - Air Gripper; SMC; MHZJ2 20DS X43 X81B; 1 Pc</v>
      </c>
      <c r="E3205" s="6">
        <f>IFERROR(__xludf.DUMMYFUNCTION("""COMPUTED_VALUE"""),2.0)</f>
        <v>2</v>
      </c>
      <c r="F3205" s="6">
        <f>IFERROR(__xludf.DUMMYFUNCTION("""COMPUTED_VALUE"""),2.0)</f>
        <v>2</v>
      </c>
      <c r="G3205" s="6">
        <f>IFERROR(__xludf.DUMMYFUNCTION("""COMPUTED_VALUE"""),0.0)</f>
        <v>0</v>
      </c>
      <c r="H3205" s="6" t="str">
        <f>IFERROR(__xludf.DUMMYFUNCTION("""COMPUTED_VALUE"""),"Pcs")</f>
        <v>Pcs</v>
      </c>
      <c r="I3205" s="6" t="str">
        <f>IFERROR(__xludf.DUMMYFUNCTION("""COMPUTED_VALUE"""),"MFH")</f>
        <v>MFH</v>
      </c>
      <c r="J3205" s="6" t="str">
        <f>IFERROR(__xludf.DUMMYFUNCTION("""COMPUTED_VALUE"""),"Washing")</f>
        <v>Washing</v>
      </c>
      <c r="K3205" s="6" t="str">
        <f>IFERROR(__xludf.DUMMYFUNCTION("""COMPUTED_VALUE"""),"SPR/26/02/037")</f>
        <v>SPR/26/02/037</v>
      </c>
      <c r="L3205" s="58">
        <f>IFERROR(__xludf.DUMMYFUNCTION("""COMPUTED_VALUE"""),46080.0)</f>
        <v>46080</v>
      </c>
    </row>
    <row r="3206">
      <c r="A3206" s="6" t="str">
        <f>IFERROR(__xludf.DUMMYFUNCTION("""COMPUTED_VALUE"""),"ROS")</f>
        <v>ROS</v>
      </c>
      <c r="B3206" s="6" t="str">
        <f>IFERROR(__xludf.DUMMYFUNCTION("""COMPUTED_VALUE"""),"ENG")</f>
        <v>ENG</v>
      </c>
      <c r="C3206" s="6" t="str">
        <f>IFERROR(__xludf.DUMMYFUNCTION("""COMPUTED_VALUE"""),"O-14618-00")</f>
        <v>O-14618-00</v>
      </c>
      <c r="D3206" s="6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E3206" s="6">
        <f>IFERROR(__xludf.DUMMYFUNCTION("""COMPUTED_VALUE"""),1.0)</f>
        <v>1</v>
      </c>
      <c r="F3206" s="6">
        <f>IFERROR(__xludf.DUMMYFUNCTION("""COMPUTED_VALUE"""),1.0)</f>
        <v>1</v>
      </c>
      <c r="G3206" s="6">
        <f>IFERROR(__xludf.DUMMYFUNCTION("""COMPUTED_VALUE"""),0.0)</f>
        <v>0</v>
      </c>
      <c r="H3206" s="6" t="str">
        <f>IFERROR(__xludf.DUMMYFUNCTION("""COMPUTED_VALUE"""),"Pcs")</f>
        <v>Pcs</v>
      </c>
      <c r="I3206" s="6" t="str">
        <f>IFERROR(__xludf.DUMMYFUNCTION("""COMPUTED_VALUE"""),"MFH")</f>
        <v>MFH</v>
      </c>
      <c r="J3206" s="6" t="str">
        <f>IFERROR(__xludf.DUMMYFUNCTION("""COMPUTED_VALUE"""),"Washing")</f>
        <v>Washing</v>
      </c>
      <c r="K3206" s="6" t="str">
        <f>IFERROR(__xludf.DUMMYFUNCTION("""COMPUTED_VALUE"""),"SPR/26/02/037")</f>
        <v>SPR/26/02/037</v>
      </c>
      <c r="L3206" s="58">
        <f>IFERROR(__xludf.DUMMYFUNCTION("""COMPUTED_VALUE"""),46080.0)</f>
        <v>46080</v>
      </c>
    </row>
    <row r="3207">
      <c r="A3207" s="6" t="str">
        <f>IFERROR(__xludf.DUMMYFUNCTION("""COMPUTED_VALUE"""),"ROS")</f>
        <v>ROS</v>
      </c>
      <c r="B3207" s="6" t="str">
        <f>IFERROR(__xludf.DUMMYFUNCTION("""COMPUTED_VALUE"""),"ENG")</f>
        <v>ENG</v>
      </c>
      <c r="C3207" s="6" t="str">
        <f>IFERROR(__xludf.DUMMYFUNCTION("""COMPUTED_VALUE"""),"O-20487-00")</f>
        <v>O-20487-00</v>
      </c>
      <c r="D3207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207" s="6">
        <f>IFERROR(__xludf.DUMMYFUNCTION("""COMPUTED_VALUE"""),1.0)</f>
        <v>1</v>
      </c>
      <c r="F3207" s="6">
        <f>IFERROR(__xludf.DUMMYFUNCTION("""COMPUTED_VALUE"""),1.0)</f>
        <v>1</v>
      </c>
      <c r="G3207" s="6">
        <f>IFERROR(__xludf.DUMMYFUNCTION("""COMPUTED_VALUE"""),0.0)</f>
        <v>0</v>
      </c>
      <c r="H3207" s="6" t="str">
        <f>IFERROR(__xludf.DUMMYFUNCTION("""COMPUTED_VALUE"""),"Pcs")</f>
        <v>Pcs</v>
      </c>
      <c r="I3207" s="6" t="str">
        <f>IFERROR(__xludf.DUMMYFUNCTION("""COMPUTED_VALUE"""),"MFH")</f>
        <v>MFH</v>
      </c>
      <c r="J3207" s="6" t="str">
        <f>IFERROR(__xludf.DUMMYFUNCTION("""COMPUTED_VALUE"""),"cRABS")</f>
        <v>cRABS</v>
      </c>
      <c r="K3207" s="6" t="str">
        <f>IFERROR(__xludf.DUMMYFUNCTION("""COMPUTED_VALUE"""),"SPR/26/02/037")</f>
        <v>SPR/26/02/037</v>
      </c>
      <c r="L3207" s="58">
        <f>IFERROR(__xludf.DUMMYFUNCTION("""COMPUTED_VALUE"""),46080.0)</f>
        <v>46080</v>
      </c>
    </row>
    <row r="3208">
      <c r="A3208" s="6" t="str">
        <f>IFERROR(__xludf.DUMMYFUNCTION("""COMPUTED_VALUE"""),"MRN")</f>
        <v>MRN</v>
      </c>
      <c r="B3208" s="6" t="str">
        <f>IFERROR(__xludf.DUMMYFUNCTION("""COMPUTED_VALUE"""),"ENG")</f>
        <v>ENG</v>
      </c>
      <c r="C3208" s="6" t="str">
        <f>IFERROR(__xludf.DUMMYFUNCTION("""COMPUTED_VALUE"""),"P-20365-00")</f>
        <v>P-20365-00</v>
      </c>
      <c r="D3208" s="6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E3208" s="6">
        <f>IFERROR(__xludf.DUMMYFUNCTION("""COMPUTED_VALUE"""),6.0)</f>
        <v>6</v>
      </c>
      <c r="F3208" s="6">
        <f>IFERROR(__xludf.DUMMYFUNCTION("""COMPUTED_VALUE"""),6.0)</f>
        <v>6</v>
      </c>
      <c r="G3208" s="6">
        <f>IFERROR(__xludf.DUMMYFUNCTION("""COMPUTED_VALUE"""),0.0)</f>
        <v>0</v>
      </c>
      <c r="H3208" s="6" t="str">
        <f>IFERROR(__xludf.DUMMYFUNCTION("""COMPUTED_VALUE"""),"Pcs")</f>
        <v>Pcs</v>
      </c>
      <c r="I3208" s="6" t="str">
        <f>IFERROR(__xludf.DUMMYFUNCTION("""COMPUTED_VALUE"""),"MFH")</f>
        <v>MFH</v>
      </c>
      <c r="J3208" s="6" t="str">
        <f>IFERROR(__xludf.DUMMYFUNCTION("""COMPUTED_VALUE"""),"-")</f>
        <v>-</v>
      </c>
      <c r="K3208" s="6" t="str">
        <f>IFERROR(__xludf.DUMMYFUNCTION("""COMPUTED_VALUE"""),"SPR/26/02/038")</f>
        <v>SPR/26/02/038</v>
      </c>
      <c r="L3208" s="58">
        <f>IFERROR(__xludf.DUMMYFUNCTION("""COMPUTED_VALUE"""),46080.0)</f>
        <v>46080</v>
      </c>
    </row>
    <row r="3209">
      <c r="A3209" s="6" t="str">
        <f>IFERROR(__xludf.DUMMYFUNCTION("""COMPUTED_VALUE"""),"MRN")</f>
        <v>MRN</v>
      </c>
      <c r="B3209" s="6" t="str">
        <f>IFERROR(__xludf.DUMMYFUNCTION("""COMPUTED_VALUE"""),"ENG")</f>
        <v>ENG</v>
      </c>
      <c r="C3209" s="6" t="str">
        <f>IFERROR(__xludf.DUMMYFUNCTION("""COMPUTED_VALUE"""),"P-20362-00")</f>
        <v>P-20362-00</v>
      </c>
      <c r="D3209" s="6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E3209" s="6">
        <f>IFERROR(__xludf.DUMMYFUNCTION("""COMPUTED_VALUE"""),11.0)</f>
        <v>11</v>
      </c>
      <c r="F3209" s="6">
        <f>IFERROR(__xludf.DUMMYFUNCTION("""COMPUTED_VALUE"""),11.0)</f>
        <v>11</v>
      </c>
      <c r="G3209" s="6">
        <f>IFERROR(__xludf.DUMMYFUNCTION("""COMPUTED_VALUE"""),0.0)</f>
        <v>0</v>
      </c>
      <c r="H3209" s="6" t="str">
        <f>IFERROR(__xludf.DUMMYFUNCTION("""COMPUTED_VALUE"""),"Pcs")</f>
        <v>Pcs</v>
      </c>
      <c r="I3209" s="6" t="str">
        <f>IFERROR(__xludf.DUMMYFUNCTION("""COMPUTED_VALUE"""),"MFH")</f>
        <v>MFH</v>
      </c>
      <c r="J3209" s="6" t="str">
        <f>IFERROR(__xludf.DUMMYFUNCTION("""COMPUTED_VALUE"""),"-")</f>
        <v>-</v>
      </c>
      <c r="K3209" s="6" t="str">
        <f>IFERROR(__xludf.DUMMYFUNCTION("""COMPUTED_VALUE"""),"SPR/26/02/038")</f>
        <v>SPR/26/02/038</v>
      </c>
      <c r="L3209" s="58">
        <f>IFERROR(__xludf.DUMMYFUNCTION("""COMPUTED_VALUE"""),46080.0)</f>
        <v>46080</v>
      </c>
    </row>
    <row r="3210">
      <c r="A3210" s="6" t="str">
        <f>IFERROR(__xludf.DUMMYFUNCTION("""COMPUTED_VALUE"""),"MRN")</f>
        <v>MRN</v>
      </c>
      <c r="B3210" s="6" t="str">
        <f>IFERROR(__xludf.DUMMYFUNCTION("""COMPUTED_VALUE"""),"ENG")</f>
        <v>ENG</v>
      </c>
      <c r="C3210" s="6" t="str">
        <f>IFERROR(__xludf.DUMMYFUNCTION("""COMPUTED_VALUE"""),"O-20487-00")</f>
        <v>O-20487-00</v>
      </c>
      <c r="D3210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210" s="6">
        <f>IFERROR(__xludf.DUMMYFUNCTION("""COMPUTED_VALUE"""),1.0)</f>
        <v>1</v>
      </c>
      <c r="F3210" s="6">
        <f>IFERROR(__xludf.DUMMYFUNCTION("""COMPUTED_VALUE"""),1.0)</f>
        <v>1</v>
      </c>
      <c r="G3210" s="6">
        <f>IFERROR(__xludf.DUMMYFUNCTION("""COMPUTED_VALUE"""),0.0)</f>
        <v>0</v>
      </c>
      <c r="H3210" s="6" t="str">
        <f>IFERROR(__xludf.DUMMYFUNCTION("""COMPUTED_VALUE"""),"Pcs")</f>
        <v>Pcs</v>
      </c>
      <c r="I3210" s="6" t="str">
        <f>IFERROR(__xludf.DUMMYFUNCTION("""COMPUTED_VALUE"""),"MFH")</f>
        <v>MFH</v>
      </c>
      <c r="J3210" s="6" t="str">
        <f>IFERROR(__xludf.DUMMYFUNCTION("""COMPUTED_VALUE"""),"cRABS")</f>
        <v>cRABS</v>
      </c>
      <c r="K3210" s="6" t="str">
        <f>IFERROR(__xludf.DUMMYFUNCTION("""COMPUTED_VALUE"""),"SPR/26/02/038")</f>
        <v>SPR/26/02/038</v>
      </c>
      <c r="L3210" s="58">
        <f>IFERROR(__xludf.DUMMYFUNCTION("""COMPUTED_VALUE"""),46080.0)</f>
        <v>46080</v>
      </c>
    </row>
    <row r="3211">
      <c r="A3211" s="6" t="str">
        <f>IFERROR(__xludf.DUMMYFUNCTION("""COMPUTED_VALUE"""),"RIA")</f>
        <v>RIA</v>
      </c>
      <c r="B3211" s="6" t="str">
        <f>IFERROR(__xludf.DUMMYFUNCTION("""COMPUTED_VALUE"""),"ENG")</f>
        <v>ENG</v>
      </c>
      <c r="C3211" s="6" t="str">
        <f>IFERROR(__xludf.DUMMYFUNCTION("""COMPUTED_VALUE"""),"P-19898-00")</f>
        <v>P-19898-00</v>
      </c>
      <c r="D3211" s="6" t="str">
        <f>IFERROR(__xludf.DUMMYFUNCTION("""COMPUTED_VALUE"""),"General - Bushing VAV dia. 24 x 26mm; Custom Agru; -; 1 pc")</f>
        <v>General - Bushing VAV dia. 24 x 26mm; Custom Agru; -; 1 pc</v>
      </c>
      <c r="E3211" s="6">
        <f>IFERROR(__xludf.DUMMYFUNCTION("""COMPUTED_VALUE"""),1.0)</f>
        <v>1</v>
      </c>
      <c r="F3211" s="6">
        <f>IFERROR(__xludf.DUMMYFUNCTION("""COMPUTED_VALUE"""),1.0)</f>
        <v>1</v>
      </c>
      <c r="G3211" s="6">
        <f>IFERROR(__xludf.DUMMYFUNCTION("""COMPUTED_VALUE"""),0.0)</f>
        <v>0</v>
      </c>
      <c r="H3211" s="6" t="str">
        <f>IFERROR(__xludf.DUMMYFUNCTION("""COMPUTED_VALUE"""),"Pcs")</f>
        <v>Pcs</v>
      </c>
      <c r="I3211" s="6" t="str">
        <f>IFERROR(__xludf.DUMMYFUNCTION("""COMPUTED_VALUE"""),"MFH")</f>
        <v>MFH</v>
      </c>
      <c r="J3211" s="6" t="str">
        <f>IFERROR(__xludf.DUMMYFUNCTION("""COMPUTED_VALUE"""),"AHU")</f>
        <v>AHU</v>
      </c>
      <c r="K3211" s="6" t="str">
        <f>IFERROR(__xludf.DUMMYFUNCTION("""COMPUTED_VALUE"""),"SPR/26/02/039")</f>
        <v>SPR/26/02/039</v>
      </c>
      <c r="L3211" s="58">
        <f>IFERROR(__xludf.DUMMYFUNCTION("""COMPUTED_VALUE"""),46080.0)</f>
        <v>46080</v>
      </c>
    </row>
    <row r="3212">
      <c r="A3212" s="6" t="str">
        <f>IFERROR(__xludf.DUMMYFUNCTION("""COMPUTED_VALUE"""),"MRN")</f>
        <v>MRN</v>
      </c>
      <c r="B3212" s="6" t="str">
        <f>IFERROR(__xludf.DUMMYFUNCTION("""COMPUTED_VALUE"""),"ENG")</f>
        <v>ENG</v>
      </c>
      <c r="C3212" s="6" t="str">
        <f>IFERROR(__xludf.DUMMYFUNCTION("""COMPUTED_VALUE"""),"S-46129-00")</f>
        <v>S-46129-00</v>
      </c>
      <c r="D3212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E3212" s="6">
        <f>IFERROR(__xludf.DUMMYFUNCTION("""COMPUTED_VALUE"""),1.0)</f>
        <v>1</v>
      </c>
      <c r="F3212" s="6">
        <f>IFERROR(__xludf.DUMMYFUNCTION("""COMPUTED_VALUE"""),1.0)</f>
        <v>1</v>
      </c>
      <c r="G3212" s="6">
        <f>IFERROR(__xludf.DUMMYFUNCTION("""COMPUTED_VALUE"""),0.0)</f>
        <v>0</v>
      </c>
      <c r="H3212" s="6" t="str">
        <f>IFERROR(__xludf.DUMMYFUNCTION("""COMPUTED_VALUE"""),"Roll")</f>
        <v>Roll</v>
      </c>
      <c r="I3212" s="6" t="str">
        <f>IFERROR(__xludf.DUMMYFUNCTION("""COMPUTED_VALUE"""),"MFH")</f>
        <v>MFH</v>
      </c>
      <c r="J3212" s="6" t="str">
        <f>IFERROR(__xludf.DUMMYFUNCTION("""COMPUTED_VALUE"""),"AHU")</f>
        <v>AHU</v>
      </c>
      <c r="K3212" s="6" t="str">
        <f>IFERROR(__xludf.DUMMYFUNCTION("""COMPUTED_VALUE"""),"SPR/26/02/040")</f>
        <v>SPR/26/02/040</v>
      </c>
      <c r="L3212" s="58">
        <f>IFERROR(__xludf.DUMMYFUNCTION("""COMPUTED_VALUE"""),46080.0)</f>
        <v>46080</v>
      </c>
    </row>
    <row r="3213">
      <c r="A3213" s="6" t="str">
        <f>IFERROR(__xludf.DUMMYFUNCTION("""COMPUTED_VALUE"""),"MRN")</f>
        <v>MRN</v>
      </c>
      <c r="B3213" s="6" t="str">
        <f>IFERROR(__xludf.DUMMYFUNCTION("""COMPUTED_VALUE"""),"ENG")</f>
        <v>ENG</v>
      </c>
      <c r="C3213" s="6" t="str">
        <f>IFERROR(__xludf.DUMMYFUNCTION("""COMPUTED_VALUE"""),"S-46149-00")</f>
        <v>S-46149-00</v>
      </c>
      <c r="D3213" s="6" t="str">
        <f>IFERROR(__xludf.DUMMYFUNCTION("""COMPUTED_VALUE"""),"Plastik PE Murni Polos 75 cmx100cmx 0.08mm; No Brand; ; pack size per kg")</f>
        <v>Plastik PE Murni Polos 75 cmx100cmx 0.08mm; No Brand; ; pack size per kg</v>
      </c>
      <c r="E3213" s="6">
        <f>IFERROR(__xludf.DUMMYFUNCTION("""COMPUTED_VALUE"""),10.0)</f>
        <v>10</v>
      </c>
      <c r="F3213" s="6">
        <f>IFERROR(__xludf.DUMMYFUNCTION("""COMPUTED_VALUE"""),10.0)</f>
        <v>10</v>
      </c>
      <c r="G3213" s="6">
        <f>IFERROR(__xludf.DUMMYFUNCTION("""COMPUTED_VALUE"""),0.0)</f>
        <v>0</v>
      </c>
      <c r="H3213" s="6" t="str">
        <f>IFERROR(__xludf.DUMMYFUNCTION("""COMPUTED_VALUE"""),"Pcs")</f>
        <v>Pcs</v>
      </c>
      <c r="I3213" s="6" t="str">
        <f>IFERROR(__xludf.DUMMYFUNCTION("""COMPUTED_VALUE"""),"MFH")</f>
        <v>MFH</v>
      </c>
      <c r="J3213" s="6" t="str">
        <f>IFERROR(__xludf.DUMMYFUNCTION("""COMPUTED_VALUE"""),"AHU")</f>
        <v>AHU</v>
      </c>
      <c r="K3213" s="6" t="str">
        <f>IFERROR(__xludf.DUMMYFUNCTION("""COMPUTED_VALUE"""),"SPR/26/02/040")</f>
        <v>SPR/26/02/040</v>
      </c>
      <c r="L3213" s="58">
        <f>IFERROR(__xludf.DUMMYFUNCTION("""COMPUTED_VALUE"""),46080.0)</f>
        <v>46080</v>
      </c>
    </row>
    <row r="3214">
      <c r="A3214" s="6" t="str">
        <f>IFERROR(__xludf.DUMMYFUNCTION("""COMPUTED_VALUE"""),"MRN")</f>
        <v>MRN</v>
      </c>
      <c r="B3214" s="6" t="str">
        <f>IFERROR(__xludf.DUMMYFUNCTION("""COMPUTED_VALUE"""),"ENG")</f>
        <v>ENG</v>
      </c>
      <c r="C3214" s="6" t="str">
        <f>IFERROR(__xludf.DUMMYFUNCTION("""COMPUTED_VALUE"""),"Q-10947-00")</f>
        <v>Q-10947-00</v>
      </c>
      <c r="D3214" s="6" t="str">
        <f>IFERROR(__xludf.DUMMYFUNCTION("""COMPUTED_VALUE"""),"Plastik Cor Bagunan; ; ;")</f>
        <v>Plastik Cor Bagunan; ; ;</v>
      </c>
      <c r="E3214" s="6">
        <f>IFERROR(__xludf.DUMMYFUNCTION("""COMPUTED_VALUE"""),1.0)</f>
        <v>1</v>
      </c>
      <c r="F3214" s="6">
        <f>IFERROR(__xludf.DUMMYFUNCTION("""COMPUTED_VALUE"""),1.0)</f>
        <v>1</v>
      </c>
      <c r="G3214" s="6">
        <f>IFERROR(__xludf.DUMMYFUNCTION("""COMPUTED_VALUE"""),0.0)</f>
        <v>0</v>
      </c>
      <c r="H3214" s="6" t="str">
        <f>IFERROR(__xludf.DUMMYFUNCTION("""COMPUTED_VALUE"""),"Roll")</f>
        <v>Roll</v>
      </c>
      <c r="I3214" s="6" t="str">
        <f>IFERROR(__xludf.DUMMYFUNCTION("""COMPUTED_VALUE"""),"MFH")</f>
        <v>MFH</v>
      </c>
      <c r="J3214" s="6" t="str">
        <f>IFERROR(__xludf.DUMMYFUNCTION("""COMPUTED_VALUE"""),"AHU")</f>
        <v>AHU</v>
      </c>
      <c r="K3214" s="6" t="str">
        <f>IFERROR(__xludf.DUMMYFUNCTION("""COMPUTED_VALUE"""),"SPR/26/02/040")</f>
        <v>SPR/26/02/040</v>
      </c>
      <c r="L3214" s="58">
        <f>IFERROR(__xludf.DUMMYFUNCTION("""COMPUTED_VALUE"""),46080.0)</f>
        <v>46080</v>
      </c>
    </row>
    <row r="3215">
      <c r="A3215" s="6" t="str">
        <f>IFERROR(__xludf.DUMMYFUNCTION("""COMPUTED_VALUE"""),"MOB")</f>
        <v>MOB</v>
      </c>
      <c r="B3215" s="6" t="str">
        <f>IFERROR(__xludf.DUMMYFUNCTION("""COMPUTED_VALUE"""),"ENG")</f>
        <v>ENG</v>
      </c>
      <c r="C3215" s="6" t="str">
        <f>IFERROR(__xludf.DUMMYFUNCTION("""COMPUTED_VALUE"""),"P-11175-00")</f>
        <v>P-11175-00</v>
      </c>
      <c r="D3215" s="6" t="str">
        <f>IFERROR(__xludf.DUMMYFUNCTION("""COMPUTED_VALUE"""),"General - Push-in Connector, QS-10-8; Festo; 153039; 1 pcs")</f>
        <v>General - Push-in Connector, QS-10-8; Festo; 153039; 1 pcs</v>
      </c>
      <c r="E3215" s="6">
        <f>IFERROR(__xludf.DUMMYFUNCTION("""COMPUTED_VALUE"""),2.0)</f>
        <v>2</v>
      </c>
      <c r="F3215" s="6">
        <f>IFERROR(__xludf.DUMMYFUNCTION("""COMPUTED_VALUE"""),2.0)</f>
        <v>2</v>
      </c>
      <c r="G3215" s="6">
        <f>IFERROR(__xludf.DUMMYFUNCTION("""COMPUTED_VALUE"""),0.0)</f>
        <v>0</v>
      </c>
      <c r="H3215" s="6" t="str">
        <f>IFERROR(__xludf.DUMMYFUNCTION("""COMPUTED_VALUE"""),"Pcs")</f>
        <v>Pcs</v>
      </c>
      <c r="I3215" s="6" t="str">
        <f>IFERROR(__xludf.DUMMYFUNCTION("""COMPUTED_VALUE"""),"MFH")</f>
        <v>MFH</v>
      </c>
      <c r="J3215" s="6" t="str">
        <f>IFERROR(__xludf.DUMMYFUNCTION("""COMPUTED_VALUE"""),"-")</f>
        <v>-</v>
      </c>
      <c r="K3215" s="6" t="str">
        <f>IFERROR(__xludf.DUMMYFUNCTION("""COMPUTED_VALUE"""),"SPR/26/02/041")</f>
        <v>SPR/26/02/041</v>
      </c>
      <c r="L3215" s="58">
        <f>IFERROR(__xludf.DUMMYFUNCTION("""COMPUTED_VALUE"""),46080.0)</f>
        <v>46080</v>
      </c>
    </row>
    <row r="3216">
      <c r="A3216" s="6" t="str">
        <f>IFERROR(__xludf.DUMMYFUNCTION("""COMPUTED_VALUE"""),"MOB")</f>
        <v>MOB</v>
      </c>
      <c r="B3216" s="6" t="str">
        <f>IFERROR(__xludf.DUMMYFUNCTION("""COMPUTED_VALUE"""),"ENG")</f>
        <v>ENG</v>
      </c>
      <c r="C3216" s="6" t="str">
        <f>IFERROR(__xludf.DUMMYFUNCTION("""COMPUTED_VALUE"""),"P-11185-00")</f>
        <v>P-11185-00</v>
      </c>
      <c r="D3216" s="6" t="str">
        <f>IFERROR(__xludf.DUMMYFUNCTION("""COMPUTED_VALUE"""),"General - Push-in Connector, QS-8-6; Festo; 153038; 1 pcs")</f>
        <v>General - Push-in Connector, QS-8-6; Festo; 153038; 1 pcs</v>
      </c>
      <c r="E3216" s="6">
        <f>IFERROR(__xludf.DUMMYFUNCTION("""COMPUTED_VALUE"""),1.0)</f>
        <v>1</v>
      </c>
      <c r="F3216" s="6">
        <f>IFERROR(__xludf.DUMMYFUNCTION("""COMPUTED_VALUE"""),1.0)</f>
        <v>1</v>
      </c>
      <c r="G3216" s="6">
        <f>IFERROR(__xludf.DUMMYFUNCTION("""COMPUTED_VALUE"""),0.0)</f>
        <v>0</v>
      </c>
      <c r="H3216" s="6" t="str">
        <f>IFERROR(__xludf.DUMMYFUNCTION("""COMPUTED_VALUE"""),"Pcs")</f>
        <v>Pcs</v>
      </c>
      <c r="I3216" s="6" t="str">
        <f>IFERROR(__xludf.DUMMYFUNCTION("""COMPUTED_VALUE"""),"MFH")</f>
        <v>MFH</v>
      </c>
      <c r="J3216" s="6" t="str">
        <f>IFERROR(__xludf.DUMMYFUNCTION("""COMPUTED_VALUE"""),"-")</f>
        <v>-</v>
      </c>
      <c r="K3216" s="6" t="str">
        <f>IFERROR(__xludf.DUMMYFUNCTION("""COMPUTED_VALUE"""),"SPR/26/02/041")</f>
        <v>SPR/26/02/041</v>
      </c>
      <c r="L3216" s="58">
        <f>IFERROR(__xludf.DUMMYFUNCTION("""COMPUTED_VALUE"""),46080.0)</f>
        <v>46080</v>
      </c>
    </row>
    <row r="3217">
      <c r="A3217" s="6" t="str">
        <f>IFERROR(__xludf.DUMMYFUNCTION("""COMPUTED_VALUE"""),"MOB")</f>
        <v>MOB</v>
      </c>
      <c r="B3217" s="6" t="str">
        <f>IFERROR(__xludf.DUMMYFUNCTION("""COMPUTED_VALUE"""),"ENG")</f>
        <v>ENG</v>
      </c>
      <c r="C3217" s="6" t="str">
        <f>IFERROR(__xludf.DUMMYFUNCTION("""COMPUTED_VALUE"""),"P-12305-00")</f>
        <v>P-12305-00</v>
      </c>
      <c r="D3217" s="6" t="str">
        <f>IFERROR(__xludf.DUMMYFUNCTION("""COMPUTED_VALUE"""),"FESTO - QST-6 Push in t-connection p/n 153129")</f>
        <v>FESTO - QST-6 Push in t-connection p/n 153129</v>
      </c>
      <c r="E3217" s="6">
        <f>IFERROR(__xludf.DUMMYFUNCTION("""COMPUTED_VALUE"""),1.0)</f>
        <v>1</v>
      </c>
      <c r="F3217" s="6">
        <f>IFERROR(__xludf.DUMMYFUNCTION("""COMPUTED_VALUE"""),1.0)</f>
        <v>1</v>
      </c>
      <c r="G3217" s="6">
        <f>IFERROR(__xludf.DUMMYFUNCTION("""COMPUTED_VALUE"""),0.0)</f>
        <v>0</v>
      </c>
      <c r="H3217" s="6" t="str">
        <f>IFERROR(__xludf.DUMMYFUNCTION("""COMPUTED_VALUE"""),"Pcs")</f>
        <v>Pcs</v>
      </c>
      <c r="I3217" s="6" t="str">
        <f>IFERROR(__xludf.DUMMYFUNCTION("""COMPUTED_VALUE"""),"MFH")</f>
        <v>MFH</v>
      </c>
      <c r="J3217" s="6" t="str">
        <f>IFERROR(__xludf.DUMMYFUNCTION("""COMPUTED_VALUE"""),"-")</f>
        <v>-</v>
      </c>
      <c r="K3217" s="6" t="str">
        <f>IFERROR(__xludf.DUMMYFUNCTION("""COMPUTED_VALUE"""),"SPR/26/02/041")</f>
        <v>SPR/26/02/041</v>
      </c>
      <c r="L3217" s="58">
        <f>IFERROR(__xludf.DUMMYFUNCTION("""COMPUTED_VALUE"""),46080.0)</f>
        <v>46080</v>
      </c>
    </row>
    <row r="3218">
      <c r="A3218" s="6" t="str">
        <f>IFERROR(__xludf.DUMMYFUNCTION("""COMPUTED_VALUE"""),"MFH")</f>
        <v>MFH</v>
      </c>
      <c r="B3218" s="6" t="str">
        <f>IFERROR(__xludf.DUMMYFUNCTION("""COMPUTED_VALUE"""),"ENG")</f>
        <v>ENG</v>
      </c>
      <c r="C3218" s="6" t="str">
        <f>IFERROR(__xludf.DUMMYFUNCTION("""COMPUTED_VALUE"""),"P-12080-00")</f>
        <v>P-12080-00</v>
      </c>
      <c r="D3218" s="6" t="str">
        <f>IFERROR(__xludf.DUMMYFUNCTION("""COMPUTED_VALUE"""),"General - Clamp Selang, SS, 1""; Tridon; -; 1 pcs")</f>
        <v>General - Clamp Selang, SS, 1"; Tridon; -; 1 pcs</v>
      </c>
      <c r="E3218" s="6">
        <f>IFERROR(__xludf.DUMMYFUNCTION("""COMPUTED_VALUE"""),10.0)</f>
        <v>10</v>
      </c>
      <c r="F3218" s="6">
        <f>IFERROR(__xludf.DUMMYFUNCTION("""COMPUTED_VALUE"""),10.0)</f>
        <v>10</v>
      </c>
      <c r="G3218" s="6">
        <f>IFERROR(__xludf.DUMMYFUNCTION("""COMPUTED_VALUE"""),0.0)</f>
        <v>0</v>
      </c>
      <c r="H3218" s="6" t="str">
        <f>IFERROR(__xludf.DUMMYFUNCTION("""COMPUTED_VALUE"""),"Pcs")</f>
        <v>Pcs</v>
      </c>
      <c r="I3218" s="6" t="str">
        <f>IFERROR(__xludf.DUMMYFUNCTION("""COMPUTED_VALUE"""),"MFH")</f>
        <v>MFH</v>
      </c>
      <c r="J3218" s="6" t="str">
        <f>IFERROR(__xludf.DUMMYFUNCTION("""COMPUTED_VALUE"""),"HLD")</f>
        <v>HLD</v>
      </c>
      <c r="K3218" s="6" t="str">
        <f>IFERROR(__xludf.DUMMYFUNCTION("""COMPUTED_VALUE"""),"SPR/26/02/042")</f>
        <v>SPR/26/02/042</v>
      </c>
      <c r="L3218" s="58">
        <f>IFERROR(__xludf.DUMMYFUNCTION("""COMPUTED_VALUE"""),46080.0)</f>
        <v>46080</v>
      </c>
    </row>
    <row r="3219">
      <c r="A3219" s="6" t="str">
        <f>IFERROR(__xludf.DUMMYFUNCTION("""COMPUTED_VALUE"""),"MFH")</f>
        <v>MFH</v>
      </c>
      <c r="B3219" s="6" t="str">
        <f>IFERROR(__xludf.DUMMYFUNCTION("""COMPUTED_VALUE"""),"ENG")</f>
        <v>ENG</v>
      </c>
      <c r="C3219" s="6" t="str">
        <f>IFERROR(__xludf.DUMMYFUNCTION("""COMPUTED_VALUE"""),"O-14099-00")</f>
        <v>O-14099-00</v>
      </c>
      <c r="D3219" s="6" t="str">
        <f>IFERROR(__xludf.DUMMYFUNCTION("""COMPUTED_VALUE"""),"Selang TS-25 (25x33) TOYOX P/N : -  pc")</f>
        <v>Selang TS-25 (25x33) TOYOX P/N : -  pc</v>
      </c>
      <c r="E3219" s="6">
        <f>IFERROR(__xludf.DUMMYFUNCTION("""COMPUTED_VALUE"""),5.0)</f>
        <v>5</v>
      </c>
      <c r="F3219" s="6">
        <f>IFERROR(__xludf.DUMMYFUNCTION("""COMPUTED_VALUE"""),5.0)</f>
        <v>5</v>
      </c>
      <c r="G3219" s="6">
        <f>IFERROR(__xludf.DUMMYFUNCTION("""COMPUTED_VALUE"""),0.0)</f>
        <v>0</v>
      </c>
      <c r="H3219" s="6" t="str">
        <f>IFERROR(__xludf.DUMMYFUNCTION("""COMPUTED_VALUE"""),"Pcs")</f>
        <v>Pcs</v>
      </c>
      <c r="I3219" s="6" t="str">
        <f>IFERROR(__xludf.DUMMYFUNCTION("""COMPUTED_VALUE"""),"MFH")</f>
        <v>MFH</v>
      </c>
      <c r="J3219" s="6" t="str">
        <f>IFERROR(__xludf.DUMMYFUNCTION("""COMPUTED_VALUE"""),"HLD")</f>
        <v>HLD</v>
      </c>
      <c r="K3219" s="6" t="str">
        <f>IFERROR(__xludf.DUMMYFUNCTION("""COMPUTED_VALUE"""),"SPR/26/02/042")</f>
        <v>SPR/26/02/042</v>
      </c>
      <c r="L3219" s="58">
        <f>IFERROR(__xludf.DUMMYFUNCTION("""COMPUTED_VALUE"""),46080.0)</f>
        <v>46080</v>
      </c>
    </row>
    <row r="3220">
      <c r="A3220" s="6" t="str">
        <f>IFERROR(__xludf.DUMMYFUNCTION("""COMPUTED_VALUE"""),"MFH")</f>
        <v>MFH</v>
      </c>
      <c r="B3220" s="6" t="str">
        <f>IFERROR(__xludf.DUMMYFUNCTION("""COMPUTED_VALUE"""),"ENG")</f>
        <v>ENG</v>
      </c>
      <c r="C3220" s="6" t="str">
        <f>IFERROR(__xludf.DUMMYFUNCTION("""COMPUTED_VALUE"""),"P-19896-00")</f>
        <v>P-19896-00</v>
      </c>
      <c r="D3220" s="6" t="str">
        <f>IFERROR(__xludf.DUMMYFUNCTION("""COMPUTED_VALUE"""),"General - Quick Coupler 3/8inch to Female Drat Dalam 3/8inch; No Brand; -; 1 pc")</f>
        <v>General - Quick Coupler 3/8inch to Female Drat Dalam 3/8inch; No Brand; -; 1 pc</v>
      </c>
      <c r="E3220" s="6">
        <f>IFERROR(__xludf.DUMMYFUNCTION("""COMPUTED_VALUE"""),1.0)</f>
        <v>1</v>
      </c>
      <c r="F3220" s="6">
        <f>IFERROR(__xludf.DUMMYFUNCTION("""COMPUTED_VALUE"""),1.0)</f>
        <v>1</v>
      </c>
      <c r="G3220" s="6">
        <f>IFERROR(__xludf.DUMMYFUNCTION("""COMPUTED_VALUE"""),0.0)</f>
        <v>0</v>
      </c>
      <c r="H3220" s="6" t="str">
        <f>IFERROR(__xludf.DUMMYFUNCTION("""COMPUTED_VALUE"""),"Pcs")</f>
        <v>Pcs</v>
      </c>
      <c r="I3220" s="6" t="str">
        <f>IFERROR(__xludf.DUMMYFUNCTION("""COMPUTED_VALUE"""),"MFH")</f>
        <v>MFH</v>
      </c>
      <c r="J3220" s="6" t="str">
        <f>IFERROR(__xludf.DUMMYFUNCTION("""COMPUTED_VALUE"""),"HLD")</f>
        <v>HLD</v>
      </c>
      <c r="K3220" s="6" t="str">
        <f>IFERROR(__xludf.DUMMYFUNCTION("""COMPUTED_VALUE"""),"SPR/26/02/043")</f>
        <v>SPR/26/02/043</v>
      </c>
      <c r="L3220" s="58">
        <f>IFERROR(__xludf.DUMMYFUNCTION("""COMPUTED_VALUE"""),46080.0)</f>
        <v>46080</v>
      </c>
    </row>
    <row r="3221">
      <c r="A3221" s="6" t="str">
        <f>IFERROR(__xludf.DUMMYFUNCTION("""COMPUTED_VALUE"""),"MFH")</f>
        <v>MFH</v>
      </c>
      <c r="B3221" s="6" t="str">
        <f>IFERROR(__xludf.DUMMYFUNCTION("""COMPUTED_VALUE"""),"ENG")</f>
        <v>ENG</v>
      </c>
      <c r="C3221" s="6" t="str">
        <f>IFERROR(__xludf.DUMMYFUNCTION("""COMPUTED_VALUE"""),"P-19897-00")</f>
        <v>P-19897-00</v>
      </c>
      <c r="D3221" s="6" t="str">
        <f>IFERROR(__xludf.DUMMYFUNCTION("""COMPUTED_VALUE"""),"General - Quick Coupler 3/8inch to Male Drat Luar 1/4inch; No Brand; -;  1 pc")</f>
        <v>General - Quick Coupler 3/8inch to Male Drat Luar 1/4inch; No Brand; -;  1 pc</v>
      </c>
      <c r="E3221" s="6">
        <f>IFERROR(__xludf.DUMMYFUNCTION("""COMPUTED_VALUE"""),1.0)</f>
        <v>1</v>
      </c>
      <c r="F3221" s="6">
        <f>IFERROR(__xludf.DUMMYFUNCTION("""COMPUTED_VALUE"""),1.0)</f>
        <v>1</v>
      </c>
      <c r="G3221" s="6">
        <f>IFERROR(__xludf.DUMMYFUNCTION("""COMPUTED_VALUE"""),0.0)</f>
        <v>0</v>
      </c>
      <c r="H3221" s="6" t="str">
        <f>IFERROR(__xludf.DUMMYFUNCTION("""COMPUTED_VALUE"""),"Pcs")</f>
        <v>Pcs</v>
      </c>
      <c r="I3221" s="6" t="str">
        <f>IFERROR(__xludf.DUMMYFUNCTION("""COMPUTED_VALUE"""),"MFH")</f>
        <v>MFH</v>
      </c>
      <c r="J3221" s="6" t="str">
        <f>IFERROR(__xludf.DUMMYFUNCTION("""COMPUTED_VALUE"""),"HLD")</f>
        <v>HLD</v>
      </c>
      <c r="K3221" s="6" t="str">
        <f>IFERROR(__xludf.DUMMYFUNCTION("""COMPUTED_VALUE"""),"SPR/26/02/043")</f>
        <v>SPR/26/02/043</v>
      </c>
      <c r="L3221" s="58">
        <f>IFERROR(__xludf.DUMMYFUNCTION("""COMPUTED_VALUE"""),46080.0)</f>
        <v>46080</v>
      </c>
    </row>
    <row r="3222">
      <c r="A3222" s="6" t="str">
        <f>IFERROR(__xludf.DUMMYFUNCTION("""COMPUTED_VALUE"""),"MFH")</f>
        <v>MFH</v>
      </c>
      <c r="B3222" s="6" t="str">
        <f>IFERROR(__xludf.DUMMYFUNCTION("""COMPUTED_VALUE"""),"ENG")</f>
        <v>ENG</v>
      </c>
      <c r="C3222" s="6" t="str">
        <f>IFERROR(__xludf.DUMMYFUNCTION("""COMPUTED_VALUE"""),"P-14995-00")</f>
        <v>P-14995-00</v>
      </c>
      <c r="D3222" s="6" t="str">
        <f>IFERROR(__xludf.DUMMYFUNCTION("""COMPUTED_VALUE"""),"General - Reducer SS316 Sanitary dia. 1inch x 3/4inch; No Brand; -; 1 pc")</f>
        <v>General - Reducer SS316 Sanitary dia. 1inch x 3/4inch; No Brand; -; 1 pc</v>
      </c>
      <c r="E3222" s="6">
        <f>IFERROR(__xludf.DUMMYFUNCTION("""COMPUTED_VALUE"""),2.0)</f>
        <v>2</v>
      </c>
      <c r="F3222" s="6">
        <f>IFERROR(__xludf.DUMMYFUNCTION("""COMPUTED_VALUE"""),2.0)</f>
        <v>2</v>
      </c>
      <c r="G3222" s="6">
        <f>IFERROR(__xludf.DUMMYFUNCTION("""COMPUTED_VALUE"""),0.0)</f>
        <v>0</v>
      </c>
      <c r="H3222" s="6" t="str">
        <f>IFERROR(__xludf.DUMMYFUNCTION("""COMPUTED_VALUE"""),"Pcs")</f>
        <v>Pcs</v>
      </c>
      <c r="I3222" s="6" t="str">
        <f>IFERROR(__xludf.DUMMYFUNCTION("""COMPUTED_VALUE"""),"MFH")</f>
        <v>MFH</v>
      </c>
      <c r="J3222" s="6" t="str">
        <f>IFERROR(__xludf.DUMMYFUNCTION("""COMPUTED_VALUE"""),"HLD")</f>
        <v>HLD</v>
      </c>
      <c r="K3222" s="6" t="str">
        <f>IFERROR(__xludf.DUMMYFUNCTION("""COMPUTED_VALUE"""),"SPR/26/02/043")</f>
        <v>SPR/26/02/043</v>
      </c>
      <c r="L3222" s="58">
        <f>IFERROR(__xludf.DUMMYFUNCTION("""COMPUTED_VALUE"""),46080.0)</f>
        <v>46080</v>
      </c>
    </row>
    <row r="3223">
      <c r="A3223" s="6" t="str">
        <f>IFERROR(__xludf.DUMMYFUNCTION("""COMPUTED_VALUE"""),"MFH")</f>
        <v>MFH</v>
      </c>
      <c r="B3223" s="6" t="str">
        <f>IFERROR(__xludf.DUMMYFUNCTION("""COMPUTED_VALUE"""),"ENG")</f>
        <v>ENG</v>
      </c>
      <c r="C3223" s="6" t="str">
        <f>IFERROR(__xludf.DUMMYFUNCTION("""COMPUTED_VALUE"""),"P-19771-00")</f>
        <v>P-19771-00</v>
      </c>
      <c r="D3223" s="6" t="str">
        <f>IFERROR(__xludf.DUMMYFUNCTION("""COMPUTED_VALUE"""),"General - Clamping Ring DN20-25 ISO-KF; No Brand; -; 1 pc")</f>
        <v>General - Clamping Ring DN20-25 ISO-KF; No Brand; -; 1 pc</v>
      </c>
      <c r="E3223" s="6">
        <f>IFERROR(__xludf.DUMMYFUNCTION("""COMPUTED_VALUE"""),2.0)</f>
        <v>2</v>
      </c>
      <c r="F3223" s="6">
        <f>IFERROR(__xludf.DUMMYFUNCTION("""COMPUTED_VALUE"""),2.0)</f>
        <v>2</v>
      </c>
      <c r="G3223" s="6">
        <f>IFERROR(__xludf.DUMMYFUNCTION("""COMPUTED_VALUE"""),0.0)</f>
        <v>0</v>
      </c>
      <c r="H3223" s="6" t="str">
        <f>IFERROR(__xludf.DUMMYFUNCTION("""COMPUTED_VALUE"""),"Pcs")</f>
        <v>Pcs</v>
      </c>
      <c r="I3223" s="6" t="str">
        <f>IFERROR(__xludf.DUMMYFUNCTION("""COMPUTED_VALUE"""),"MFH")</f>
        <v>MFH</v>
      </c>
      <c r="J3223" s="6" t="str">
        <f>IFERROR(__xludf.DUMMYFUNCTION("""COMPUTED_VALUE"""),"HLD")</f>
        <v>HLD</v>
      </c>
      <c r="K3223" s="6" t="str">
        <f>IFERROR(__xludf.DUMMYFUNCTION("""COMPUTED_VALUE"""),"SPR/26/02/044")</f>
        <v>SPR/26/02/044</v>
      </c>
      <c r="L3223" s="58">
        <f>IFERROR(__xludf.DUMMYFUNCTION("""COMPUTED_VALUE"""),46080.0)</f>
        <v>46080</v>
      </c>
    </row>
    <row r="3224">
      <c r="A3224" s="6" t="str">
        <f>IFERROR(__xludf.DUMMYFUNCTION("""COMPUTED_VALUE"""),"MFH")</f>
        <v>MFH</v>
      </c>
      <c r="B3224" s="6" t="str">
        <f>IFERROR(__xludf.DUMMYFUNCTION("""COMPUTED_VALUE"""),"ENG")</f>
        <v>ENG</v>
      </c>
      <c r="C3224" s="6" t="str">
        <f>IFERROR(__xludf.DUMMYFUNCTION("""COMPUTED_VALUE"""),"P-19957-00")</f>
        <v>P-19957-00</v>
      </c>
      <c r="D3224" s="6" t="str">
        <f>IFERROR(__xludf.DUMMYFUNCTION("""COMPUTED_VALUE"""),"General - Vacuum Ferrule KF25; No Brand; -; 1 pc")</f>
        <v>General - Vacuum Ferrule KF25; No Brand; -; 1 pc</v>
      </c>
      <c r="E3224" s="6">
        <f>IFERROR(__xludf.DUMMYFUNCTION("""COMPUTED_VALUE"""),4.0)</f>
        <v>4</v>
      </c>
      <c r="F3224" s="6">
        <f>IFERROR(__xludf.DUMMYFUNCTION("""COMPUTED_VALUE"""),4.0)</f>
        <v>4</v>
      </c>
      <c r="G3224" s="6">
        <f>IFERROR(__xludf.DUMMYFUNCTION("""COMPUTED_VALUE"""),0.0)</f>
        <v>0</v>
      </c>
      <c r="H3224" s="6" t="str">
        <f>IFERROR(__xludf.DUMMYFUNCTION("""COMPUTED_VALUE"""),"Pcs")</f>
        <v>Pcs</v>
      </c>
      <c r="I3224" s="6" t="str">
        <f>IFERROR(__xludf.DUMMYFUNCTION("""COMPUTED_VALUE"""),"MFH")</f>
        <v>MFH</v>
      </c>
      <c r="J3224" s="6" t="str">
        <f>IFERROR(__xludf.DUMMYFUNCTION("""COMPUTED_VALUE"""),"HLD")</f>
        <v>HLD</v>
      </c>
      <c r="K3224" s="6" t="str">
        <f>IFERROR(__xludf.DUMMYFUNCTION("""COMPUTED_VALUE"""),"SPR/26/02/044")</f>
        <v>SPR/26/02/044</v>
      </c>
      <c r="L3224" s="58">
        <f>IFERROR(__xludf.DUMMYFUNCTION("""COMPUTED_VALUE"""),46080.0)</f>
        <v>46080</v>
      </c>
    </row>
    <row r="3225">
      <c r="A3225" s="6" t="str">
        <f>IFERROR(__xludf.DUMMYFUNCTION("""COMPUTED_VALUE"""),"MFH")</f>
        <v>MFH</v>
      </c>
      <c r="B3225" s="6" t="str">
        <f>IFERROR(__xludf.DUMMYFUNCTION("""COMPUTED_VALUE"""),"ENG")</f>
        <v>ENG</v>
      </c>
      <c r="C3225" s="6" t="str">
        <f>IFERROR(__xludf.DUMMYFUNCTION("""COMPUTED_VALUE"""),"P-19958-00")</f>
        <v>P-19958-00</v>
      </c>
      <c r="D3225" s="6" t="str">
        <f>IFERROR(__xludf.DUMMYFUNCTION("""COMPUTED_VALUE"""),"General - Vacuum Ferrule KF16; No Brand; -; 1 pc")</f>
        <v>General - Vacuum Ferrule KF16; No Brand; -; 1 pc</v>
      </c>
      <c r="E3225" s="6">
        <f>IFERROR(__xludf.DUMMYFUNCTION("""COMPUTED_VALUE"""),4.0)</f>
        <v>4</v>
      </c>
      <c r="F3225" s="6">
        <f>IFERROR(__xludf.DUMMYFUNCTION("""COMPUTED_VALUE"""),4.0)</f>
        <v>4</v>
      </c>
      <c r="G3225" s="6">
        <f>IFERROR(__xludf.DUMMYFUNCTION("""COMPUTED_VALUE"""),0.0)</f>
        <v>0</v>
      </c>
      <c r="H3225" s="6" t="str">
        <f>IFERROR(__xludf.DUMMYFUNCTION("""COMPUTED_VALUE"""),"Pcs")</f>
        <v>Pcs</v>
      </c>
      <c r="I3225" s="6" t="str">
        <f>IFERROR(__xludf.DUMMYFUNCTION("""COMPUTED_VALUE"""),"MFH")</f>
        <v>MFH</v>
      </c>
      <c r="J3225" s="6" t="str">
        <f>IFERROR(__xludf.DUMMYFUNCTION("""COMPUTED_VALUE"""),"HLD")</f>
        <v>HLD</v>
      </c>
      <c r="K3225" s="6" t="str">
        <f>IFERROR(__xludf.DUMMYFUNCTION("""COMPUTED_VALUE"""),"SPR/26/02/044")</f>
        <v>SPR/26/02/044</v>
      </c>
      <c r="L3225" s="58">
        <f>IFERROR(__xludf.DUMMYFUNCTION("""COMPUTED_VALUE"""),46080.0)</f>
        <v>46080</v>
      </c>
    </row>
    <row r="3226">
      <c r="A3226" s="6" t="str">
        <f>IFERROR(__xludf.DUMMYFUNCTION("""COMPUTED_VALUE"""),"MFH")</f>
        <v>MFH</v>
      </c>
      <c r="B3226" s="6" t="str">
        <f>IFERROR(__xludf.DUMMYFUNCTION("""COMPUTED_VALUE"""),"ENG")</f>
        <v>ENG</v>
      </c>
      <c r="C3226" s="6" t="str">
        <f>IFERROR(__xludf.DUMMYFUNCTION("""COMPUTED_VALUE"""),"P-52375-00")</f>
        <v>P-52375-00</v>
      </c>
      <c r="D3226" s="6" t="str">
        <f>IFERROR(__xludf.DUMMYFUNCTION("""COMPUTED_VALUE"""),"SCHNEIDER - MCB 4A 1Phase; ; ;")</f>
        <v>SCHNEIDER - MCB 4A 1Phase; ; ;</v>
      </c>
      <c r="E3226" s="6">
        <f>IFERROR(__xludf.DUMMYFUNCTION("""COMPUTED_VALUE"""),1.0)</f>
        <v>1</v>
      </c>
      <c r="F3226" s="6">
        <f>IFERROR(__xludf.DUMMYFUNCTION("""COMPUTED_VALUE"""),1.0)</f>
        <v>1</v>
      </c>
      <c r="G3226" s="6">
        <f>IFERROR(__xludf.DUMMYFUNCTION("""COMPUTED_VALUE"""),0.0)</f>
        <v>0</v>
      </c>
      <c r="H3226" s="6" t="str">
        <f>IFERROR(__xludf.DUMMYFUNCTION("""COMPUTED_VALUE"""),"Pcs")</f>
        <v>Pcs</v>
      </c>
      <c r="I3226" s="6" t="str">
        <f>IFERROR(__xludf.DUMMYFUNCTION("""COMPUTED_VALUE"""),"MFH")</f>
        <v>MFH</v>
      </c>
      <c r="J3226" s="6" t="str">
        <f>IFERROR(__xludf.DUMMYFUNCTION("""COMPUTED_VALUE"""),"Washbay")</f>
        <v>Washbay</v>
      </c>
      <c r="K3226" s="6" t="str">
        <f>IFERROR(__xludf.DUMMYFUNCTION("""COMPUTED_VALUE"""),"SPR/26/02/045")</f>
        <v>SPR/26/02/045</v>
      </c>
      <c r="L3226" s="58">
        <f>IFERROR(__xludf.DUMMYFUNCTION("""COMPUTED_VALUE"""),46080.0)</f>
        <v>46080</v>
      </c>
    </row>
    <row r="3227">
      <c r="A3227" s="6" t="str">
        <f>IFERROR(__xludf.DUMMYFUNCTION("""COMPUTED_VALUE"""),"MFH")</f>
        <v>MFH</v>
      </c>
      <c r="B3227" s="6" t="str">
        <f>IFERROR(__xludf.DUMMYFUNCTION("""COMPUTED_VALUE"""),"ENG")</f>
        <v>ENG</v>
      </c>
      <c r="C3227" s="6" t="str">
        <f>IFERROR(__xludf.DUMMYFUNCTION("""COMPUTED_VALUE"""),"P-51706-00")</f>
        <v>P-51706-00</v>
      </c>
      <c r="D3227" s="6" t="str">
        <f>IFERROR(__xludf.DUMMYFUNCTION("""COMPUTED_VALUE"""),"Terminal Blok 4 Pin; ; ;")</f>
        <v>Terminal Blok 4 Pin; ; ;</v>
      </c>
      <c r="E3227" s="6">
        <f>IFERROR(__xludf.DUMMYFUNCTION("""COMPUTED_VALUE"""),4.0)</f>
        <v>4</v>
      </c>
      <c r="F3227" s="6">
        <f>IFERROR(__xludf.DUMMYFUNCTION("""COMPUTED_VALUE"""),4.0)</f>
        <v>4</v>
      </c>
      <c r="G3227" s="6">
        <f>IFERROR(__xludf.DUMMYFUNCTION("""COMPUTED_VALUE"""),0.0)</f>
        <v>0</v>
      </c>
      <c r="H3227" s="6" t="str">
        <f>IFERROR(__xludf.DUMMYFUNCTION("""COMPUTED_VALUE"""),"Pcs")</f>
        <v>Pcs</v>
      </c>
      <c r="I3227" s="6" t="str">
        <f>IFERROR(__xludf.DUMMYFUNCTION("""COMPUTED_VALUE"""),"MFH")</f>
        <v>MFH</v>
      </c>
      <c r="J3227" s="6" t="str">
        <f>IFERROR(__xludf.DUMMYFUNCTION("""COMPUTED_VALUE"""),"Washbay")</f>
        <v>Washbay</v>
      </c>
      <c r="K3227" s="6" t="str">
        <f>IFERROR(__xludf.DUMMYFUNCTION("""COMPUTED_VALUE"""),"SPR/26/02/045")</f>
        <v>SPR/26/02/045</v>
      </c>
      <c r="L3227" s="58">
        <f>IFERROR(__xludf.DUMMYFUNCTION("""COMPUTED_VALUE"""),46080.0)</f>
        <v>46080</v>
      </c>
    </row>
    <row r="3228">
      <c r="A3228" s="6" t="str">
        <f>IFERROR(__xludf.DUMMYFUNCTION("""COMPUTED_VALUE"""),"MFH")</f>
        <v>MFH</v>
      </c>
      <c r="B3228" s="6" t="str">
        <f>IFERROR(__xludf.DUMMYFUNCTION("""COMPUTED_VALUE"""),"ENG")</f>
        <v>ENG</v>
      </c>
      <c r="C3228" s="6" t="str">
        <f>IFERROR(__xludf.DUMMYFUNCTION("""COMPUTED_VALUE"""),"P-50277-00")</f>
        <v>P-50277-00</v>
      </c>
      <c r="D3228" s="6" t="str">
        <f>IFERROR(__xludf.DUMMYFUNCTION("""COMPUTED_VALUE"""),"Kabel NYAF 1.5 Hitam")</f>
        <v>Kabel NYAF 1.5 Hitam</v>
      </c>
      <c r="E3228" s="6">
        <f>IFERROR(__xludf.DUMMYFUNCTION("""COMPUTED_VALUE"""),1.0)</f>
        <v>1</v>
      </c>
      <c r="F3228" s="6">
        <f>IFERROR(__xludf.DUMMYFUNCTION("""COMPUTED_VALUE"""),1.0)</f>
        <v>1</v>
      </c>
      <c r="G3228" s="6">
        <f>IFERROR(__xludf.DUMMYFUNCTION("""COMPUTED_VALUE"""),0.0)</f>
        <v>0</v>
      </c>
      <c r="H3228" s="6" t="str">
        <f>IFERROR(__xludf.DUMMYFUNCTION("""COMPUTED_VALUE"""),"Pcs")</f>
        <v>Pcs</v>
      </c>
      <c r="I3228" s="6" t="str">
        <f>IFERROR(__xludf.DUMMYFUNCTION("""COMPUTED_VALUE"""),"MFH")</f>
        <v>MFH</v>
      </c>
      <c r="J3228" s="6" t="str">
        <f>IFERROR(__xludf.DUMMYFUNCTION("""COMPUTED_VALUE"""),"Washbay")</f>
        <v>Washbay</v>
      </c>
      <c r="K3228" s="6" t="str">
        <f>IFERROR(__xludf.DUMMYFUNCTION("""COMPUTED_VALUE"""),"SPR/26/02/045")</f>
        <v>SPR/26/02/045</v>
      </c>
      <c r="L3228" s="58">
        <f>IFERROR(__xludf.DUMMYFUNCTION("""COMPUTED_VALUE"""),46080.0)</f>
        <v>46080</v>
      </c>
    </row>
    <row r="3229">
      <c r="A3229" s="6" t="str">
        <f>IFERROR(__xludf.DUMMYFUNCTION("""COMPUTED_VALUE"""),"MFH")</f>
        <v>MFH</v>
      </c>
      <c r="B3229" s="6" t="str">
        <f>IFERROR(__xludf.DUMMYFUNCTION("""COMPUTED_VALUE"""),"ENG")</f>
        <v>ENG</v>
      </c>
      <c r="C3229" s="6" t="str">
        <f>IFERROR(__xludf.DUMMYFUNCTION("""COMPUTED_VALUE"""),"O-15931-00")</f>
        <v>O-15931-00</v>
      </c>
      <c r="D3229" s="6" t="str">
        <f>IFERROR(__xludf.DUMMYFUNCTION("""COMPUTED_VALUE"""),"Double Tape 3M 1"" Merah - P/N : - pc")</f>
        <v>Double Tape 3M 1" Merah - P/N : - pc</v>
      </c>
      <c r="E3229" s="6">
        <f>IFERROR(__xludf.DUMMYFUNCTION("""COMPUTED_VALUE"""),1.0)</f>
        <v>1</v>
      </c>
      <c r="F3229" s="6">
        <f>IFERROR(__xludf.DUMMYFUNCTION("""COMPUTED_VALUE"""),1.0)</f>
        <v>1</v>
      </c>
      <c r="G3229" s="6">
        <f>IFERROR(__xludf.DUMMYFUNCTION("""COMPUTED_VALUE"""),0.0)</f>
        <v>0</v>
      </c>
      <c r="H3229" s="6" t="str">
        <f>IFERROR(__xludf.DUMMYFUNCTION("""COMPUTED_VALUE"""),"Pcs")</f>
        <v>Pcs</v>
      </c>
      <c r="I3229" s="6" t="str">
        <f>IFERROR(__xludf.DUMMYFUNCTION("""COMPUTED_VALUE"""),"MFH")</f>
        <v>MFH</v>
      </c>
      <c r="J3229" s="6" t="str">
        <f>IFERROR(__xludf.DUMMYFUNCTION("""COMPUTED_VALUE"""),"Washbay")</f>
        <v>Washbay</v>
      </c>
      <c r="K3229" s="6" t="str">
        <f>IFERROR(__xludf.DUMMYFUNCTION("""COMPUTED_VALUE"""),"SPR/26/02/046")</f>
        <v>SPR/26/02/046</v>
      </c>
      <c r="L3229" s="58">
        <f>IFERROR(__xludf.DUMMYFUNCTION("""COMPUTED_VALUE"""),46080.0)</f>
        <v>46080</v>
      </c>
    </row>
    <row r="3230">
      <c r="A3230" s="6" t="str">
        <f>IFERROR(__xludf.DUMMYFUNCTION("""COMPUTED_VALUE"""),"MFH")</f>
        <v>MFH</v>
      </c>
      <c r="B3230" s="6" t="str">
        <f>IFERROR(__xludf.DUMMYFUNCTION("""COMPUTED_VALUE"""),"ENG")</f>
        <v>ENG</v>
      </c>
      <c r="C3230" s="6" t="str">
        <f>IFERROR(__xludf.DUMMYFUNCTION("""COMPUTED_VALUE"""),"P-19895-00")</f>
        <v>P-19895-00</v>
      </c>
      <c r="D3230" s="6" t="str">
        <f>IFERROR(__xludf.DUMMYFUNCTION("""COMPUTED_VALUE"""),"General - Baut M4 x 60mm + Mur + Ring; No Brand; -; 1 pc")</f>
        <v>General - Baut M4 x 60mm + Mur + Ring; No Brand; -; 1 pc</v>
      </c>
      <c r="E3230" s="6">
        <f>IFERROR(__xludf.DUMMYFUNCTION("""COMPUTED_VALUE"""),4.0)</f>
        <v>4</v>
      </c>
      <c r="F3230" s="6">
        <f>IFERROR(__xludf.DUMMYFUNCTION("""COMPUTED_VALUE"""),8.0)</f>
        <v>8</v>
      </c>
      <c r="G3230" s="6">
        <f>IFERROR(__xludf.DUMMYFUNCTION("""COMPUTED_VALUE"""),0.0)</f>
        <v>0</v>
      </c>
      <c r="H3230" s="6" t="str">
        <f>IFERROR(__xludf.DUMMYFUNCTION("""COMPUTED_VALUE"""),"Pcs")</f>
        <v>Pcs</v>
      </c>
      <c r="I3230" s="6" t="str">
        <f>IFERROR(__xludf.DUMMYFUNCTION("""COMPUTED_VALUE"""),"MFH")</f>
        <v>MFH</v>
      </c>
      <c r="J3230" s="6" t="str">
        <f>IFERROR(__xludf.DUMMYFUNCTION("""COMPUTED_VALUE"""),"Washbay")</f>
        <v>Washbay</v>
      </c>
      <c r="K3230" s="6" t="str">
        <f>IFERROR(__xludf.DUMMYFUNCTION("""COMPUTED_VALUE"""),"SPR/26/02/046")</f>
        <v>SPR/26/02/046</v>
      </c>
      <c r="L3230" s="58">
        <f>IFERROR(__xludf.DUMMYFUNCTION("""COMPUTED_VALUE"""),46080.0)</f>
        <v>46080</v>
      </c>
    </row>
    <row r="3231">
      <c r="A3231" s="6" t="str">
        <f>IFERROR(__xludf.DUMMYFUNCTION("""COMPUTED_VALUE"""),"MFH")</f>
        <v>MFH</v>
      </c>
      <c r="B3231" s="6" t="str">
        <f>IFERROR(__xludf.DUMMYFUNCTION("""COMPUTED_VALUE"""),"ENG")</f>
        <v>ENG</v>
      </c>
      <c r="C3231" s="6" t="str">
        <f>IFERROR(__xludf.DUMMYFUNCTION("""COMPUTED_VALUE"""),"P-50426-00")</f>
        <v>P-50426-00</v>
      </c>
      <c r="D3231" s="6" t="str">
        <f>IFERROR(__xludf.DUMMYFUNCTION("""COMPUTED_VALUE"""),"Pilot Lamps / Green / 220 VAC / AD22-22DS / AXLE")</f>
        <v>Pilot Lamps / Green / 220 VAC / AD22-22DS / AXLE</v>
      </c>
      <c r="E3231" s="6">
        <f>IFERROR(__xludf.DUMMYFUNCTION("""COMPUTED_VALUE"""),2.0)</f>
        <v>2</v>
      </c>
      <c r="F3231" s="6">
        <f>IFERROR(__xludf.DUMMYFUNCTION("""COMPUTED_VALUE"""),2.0)</f>
        <v>2</v>
      </c>
      <c r="G3231" s="6">
        <f>IFERROR(__xludf.DUMMYFUNCTION("""COMPUTED_VALUE"""),0.0)</f>
        <v>0</v>
      </c>
      <c r="H3231" s="6" t="str">
        <f>IFERROR(__xludf.DUMMYFUNCTION("""COMPUTED_VALUE"""),"Pcs")</f>
        <v>Pcs</v>
      </c>
      <c r="I3231" s="6" t="str">
        <f>IFERROR(__xludf.DUMMYFUNCTION("""COMPUTED_VALUE"""),"MFH")</f>
        <v>MFH</v>
      </c>
      <c r="J3231" s="6" t="str">
        <f>IFERROR(__xludf.DUMMYFUNCTION("""COMPUTED_VALUE"""),"Washbay")</f>
        <v>Washbay</v>
      </c>
      <c r="K3231" s="6" t="str">
        <f>IFERROR(__xludf.DUMMYFUNCTION("""COMPUTED_VALUE"""),"SPR/26/02/046")</f>
        <v>SPR/26/02/046</v>
      </c>
      <c r="L3231" s="58">
        <f>IFERROR(__xludf.DUMMYFUNCTION("""COMPUTED_VALUE"""),46080.0)</f>
        <v>46080</v>
      </c>
    </row>
    <row r="3232">
      <c r="A3232" s="6" t="str">
        <f>IFERROR(__xludf.DUMMYFUNCTION("""COMPUTED_VALUE"""),"MFH")</f>
        <v>MFH</v>
      </c>
      <c r="B3232" s="6" t="str">
        <f>IFERROR(__xludf.DUMMYFUNCTION("""COMPUTED_VALUE"""),"ENG")</f>
        <v>ENG</v>
      </c>
      <c r="C3232" s="6" t="str">
        <f>IFERROR(__xludf.DUMMYFUNCTION("""COMPUTED_VALUE"""),"P-54311-00")</f>
        <v>P-54311-00</v>
      </c>
      <c r="D3232" s="6" t="str">
        <f>IFERROR(__xludf.DUMMYFUNCTION("""COMPUTED_VALUE"""),"General - Selenoid 1/8inch, 24VDC; Airtac; 4V210-06; 1 pc")</f>
        <v>General - Selenoid 1/8inch, 24VDC; Airtac; 4V210-06; 1 pc</v>
      </c>
      <c r="E3232" s="6">
        <f>IFERROR(__xludf.DUMMYFUNCTION("""COMPUTED_VALUE"""),3.0)</f>
        <v>3</v>
      </c>
      <c r="F3232" s="6">
        <f>IFERROR(__xludf.DUMMYFUNCTION("""COMPUTED_VALUE"""),3.0)</f>
        <v>3</v>
      </c>
      <c r="G3232" s="6">
        <f>IFERROR(__xludf.DUMMYFUNCTION("""COMPUTED_VALUE"""),0.0)</f>
        <v>0</v>
      </c>
      <c r="H3232" s="6" t="str">
        <f>IFERROR(__xludf.DUMMYFUNCTION("""COMPUTED_VALUE"""),"Pcs")</f>
        <v>Pcs</v>
      </c>
      <c r="I3232" s="6" t="str">
        <f>IFERROR(__xludf.DUMMYFUNCTION("""COMPUTED_VALUE"""),"MFH")</f>
        <v>MFH</v>
      </c>
      <c r="J3232" s="6" t="str">
        <f>IFERROR(__xludf.DUMMYFUNCTION("""COMPUTED_VALUE"""),"Washbay")</f>
        <v>Washbay</v>
      </c>
      <c r="K3232" s="6" t="str">
        <f>IFERROR(__xludf.DUMMYFUNCTION("""COMPUTED_VALUE"""),"SPR/26/02/047")</f>
        <v>SPR/26/02/047</v>
      </c>
      <c r="L3232" s="58">
        <f>IFERROR(__xludf.DUMMYFUNCTION("""COMPUTED_VALUE"""),46080.0)</f>
        <v>46080</v>
      </c>
    </row>
    <row r="3233">
      <c r="A3233" s="6" t="str">
        <f>IFERROR(__xludf.DUMMYFUNCTION("""COMPUTED_VALUE"""),"MFH")</f>
        <v>MFH</v>
      </c>
      <c r="B3233" s="6" t="str">
        <f>IFERROR(__xludf.DUMMYFUNCTION("""COMPUTED_VALUE"""),"ENG")</f>
        <v>ENG</v>
      </c>
      <c r="C3233" s="6" t="str">
        <f>IFERROR(__xludf.DUMMYFUNCTION("""COMPUTED_VALUE"""),"P-19894-00")</f>
        <v>P-19894-00</v>
      </c>
      <c r="D3233" s="6" t="str">
        <f>IFERROR(__xludf.DUMMYFUNCTION("""COMPUTED_VALUE"""),"General - Fitting QS 1/8 x 6mm; EMC; -; 1 pc")</f>
        <v>General - Fitting QS 1/8 x 6mm; EMC; -; 1 pc</v>
      </c>
      <c r="E3233" s="6">
        <f>IFERROR(__xludf.DUMMYFUNCTION("""COMPUTED_VALUE"""),10.0)</f>
        <v>10</v>
      </c>
      <c r="F3233" s="6">
        <f>IFERROR(__xludf.DUMMYFUNCTION("""COMPUTED_VALUE"""),10.0)</f>
        <v>10</v>
      </c>
      <c r="G3233" s="6">
        <f>IFERROR(__xludf.DUMMYFUNCTION("""COMPUTED_VALUE"""),0.0)</f>
        <v>0</v>
      </c>
      <c r="H3233" s="6" t="str">
        <f>IFERROR(__xludf.DUMMYFUNCTION("""COMPUTED_VALUE"""),"Pcs")</f>
        <v>Pcs</v>
      </c>
      <c r="I3233" s="6" t="str">
        <f>IFERROR(__xludf.DUMMYFUNCTION("""COMPUTED_VALUE"""),"MFH")</f>
        <v>MFH</v>
      </c>
      <c r="J3233" s="6" t="str">
        <f>IFERROR(__xludf.DUMMYFUNCTION("""COMPUTED_VALUE"""),"Washbay")</f>
        <v>Washbay</v>
      </c>
      <c r="K3233" s="6" t="str">
        <f>IFERROR(__xludf.DUMMYFUNCTION("""COMPUTED_VALUE"""),"SPR/26/02/047")</f>
        <v>SPR/26/02/047</v>
      </c>
      <c r="L3233" s="58">
        <f>IFERROR(__xludf.DUMMYFUNCTION("""COMPUTED_VALUE"""),46080.0)</f>
        <v>46080</v>
      </c>
    </row>
    <row r="3234">
      <c r="A3234" s="6" t="str">
        <f>IFERROR(__xludf.DUMMYFUNCTION("""COMPUTED_VALUE"""),"MFH")</f>
        <v>MFH</v>
      </c>
      <c r="B3234" s="6" t="str">
        <f>IFERROR(__xludf.DUMMYFUNCTION("""COMPUTED_VALUE"""),"ENG")</f>
        <v>ENG</v>
      </c>
      <c r="C3234" s="6" t="str">
        <f>IFERROR(__xludf.DUMMYFUNCTION("""COMPUTED_VALUE"""),"P-19893-00")</f>
        <v>P-19893-00</v>
      </c>
      <c r="D3234" s="6" t="str">
        <f>IFERROR(__xludf.DUMMYFUNCTION("""COMPUTED_VALUE"""),"General - Plug Silincer 1/8inch SS304; No Brand; -; 1 pc")</f>
        <v>General - Plug Silincer 1/8inch SS304; No Brand; -; 1 pc</v>
      </c>
      <c r="E3234" s="6">
        <f>IFERROR(__xludf.DUMMYFUNCTION("""COMPUTED_VALUE"""),3.0)</f>
        <v>3</v>
      </c>
      <c r="F3234" s="6">
        <f>IFERROR(__xludf.DUMMYFUNCTION("""COMPUTED_VALUE"""),3.0)</f>
        <v>3</v>
      </c>
      <c r="G3234" s="6">
        <f>IFERROR(__xludf.DUMMYFUNCTION("""COMPUTED_VALUE"""),0.0)</f>
        <v>0</v>
      </c>
      <c r="H3234" s="6" t="str">
        <f>IFERROR(__xludf.DUMMYFUNCTION("""COMPUTED_VALUE"""),"Pcs")</f>
        <v>Pcs</v>
      </c>
      <c r="I3234" s="6" t="str">
        <f>IFERROR(__xludf.DUMMYFUNCTION("""COMPUTED_VALUE"""),"MFH")</f>
        <v>MFH</v>
      </c>
      <c r="J3234" s="6" t="str">
        <f>IFERROR(__xludf.DUMMYFUNCTION("""COMPUTED_VALUE"""),"Washbay")</f>
        <v>Washbay</v>
      </c>
      <c r="K3234" s="6" t="str">
        <f>IFERROR(__xludf.DUMMYFUNCTION("""COMPUTED_VALUE"""),"SPR/26/02/047")</f>
        <v>SPR/26/02/047</v>
      </c>
      <c r="L3234" s="58">
        <f>IFERROR(__xludf.DUMMYFUNCTION("""COMPUTED_VALUE"""),46080.0)</f>
        <v>46080</v>
      </c>
    </row>
    <row r="3235">
      <c r="A3235" s="6" t="str">
        <f>IFERROR(__xludf.DUMMYFUNCTION("""COMPUTED_VALUE"""),"MFH")</f>
        <v>MFH</v>
      </c>
      <c r="B3235" s="6" t="str">
        <f>IFERROR(__xludf.DUMMYFUNCTION("""COMPUTED_VALUE"""),"ENG")</f>
        <v>ENG</v>
      </c>
      <c r="C3235" s="6" t="str">
        <f>IFERROR(__xludf.DUMMYFUNCTION("""COMPUTED_VALUE"""),"P-51840-00")</f>
        <v>P-51840-00</v>
      </c>
      <c r="D3235" s="6" t="str">
        <f>IFERROR(__xludf.DUMMYFUNCTION("""COMPUTED_VALUE"""),"Button Box 3 hole dia 22 mm; ; ;")</f>
        <v>Button Box 3 hole dia 22 mm; ; ;</v>
      </c>
      <c r="E3235" s="6">
        <f>IFERROR(__xludf.DUMMYFUNCTION("""COMPUTED_VALUE"""),1.0)</f>
        <v>1</v>
      </c>
      <c r="F3235" s="6">
        <f>IFERROR(__xludf.DUMMYFUNCTION("""COMPUTED_VALUE"""),1.0)</f>
        <v>1</v>
      </c>
      <c r="G3235" s="6">
        <f>IFERROR(__xludf.DUMMYFUNCTION("""COMPUTED_VALUE"""),0.0)</f>
        <v>0</v>
      </c>
      <c r="H3235" s="6" t="str">
        <f>IFERROR(__xludf.DUMMYFUNCTION("""COMPUTED_VALUE"""),"Pcs")</f>
        <v>Pcs</v>
      </c>
      <c r="I3235" s="6" t="str">
        <f>IFERROR(__xludf.DUMMYFUNCTION("""COMPUTED_VALUE"""),"MFH")</f>
        <v>MFH</v>
      </c>
      <c r="J3235" s="6" t="str">
        <f>IFERROR(__xludf.DUMMYFUNCTION("""COMPUTED_VALUE"""),"Washbay")</f>
        <v>Washbay</v>
      </c>
      <c r="K3235" s="6" t="str">
        <f>IFERROR(__xludf.DUMMYFUNCTION("""COMPUTED_VALUE"""),"SPR/26/02/048")</f>
        <v>SPR/26/02/048</v>
      </c>
      <c r="L3235" s="58">
        <f>IFERROR(__xludf.DUMMYFUNCTION("""COMPUTED_VALUE"""),46080.0)</f>
        <v>46080</v>
      </c>
    </row>
    <row r="3236">
      <c r="A3236" s="6" t="str">
        <f>IFERROR(__xludf.DUMMYFUNCTION("""COMPUTED_VALUE"""),"MFH")</f>
        <v>MFH</v>
      </c>
      <c r="B3236" s="6" t="str">
        <f>IFERROR(__xludf.DUMMYFUNCTION("""COMPUTED_VALUE"""),"ENG")</f>
        <v>ENG</v>
      </c>
      <c r="C3236" s="6" t="str">
        <f>IFERROR(__xludf.DUMMYFUNCTION("""COMPUTED_VALUE"""),"P-19892-00")</f>
        <v>P-19892-00</v>
      </c>
      <c r="D3236" s="6" t="str">
        <f>IFERROR(__xludf.DUMMYFUNCTION("""COMPUTED_VALUE"""),"General - Plug Silincer 1/4inch; No Brand; -; 1 pc")</f>
        <v>General - Plug Silincer 1/4inch; No Brand; -; 1 pc</v>
      </c>
      <c r="E3236" s="6">
        <f>IFERROR(__xludf.DUMMYFUNCTION("""COMPUTED_VALUE"""),1.0)</f>
        <v>1</v>
      </c>
      <c r="F3236" s="6">
        <f>IFERROR(__xludf.DUMMYFUNCTION("""COMPUTED_VALUE"""),1.0)</f>
        <v>1</v>
      </c>
      <c r="G3236" s="6">
        <f>IFERROR(__xludf.DUMMYFUNCTION("""COMPUTED_VALUE"""),0.0)</f>
        <v>0</v>
      </c>
      <c r="H3236" s="6" t="str">
        <f>IFERROR(__xludf.DUMMYFUNCTION("""COMPUTED_VALUE"""),"Pcs")</f>
        <v>Pcs</v>
      </c>
      <c r="I3236" s="6" t="str">
        <f>IFERROR(__xludf.DUMMYFUNCTION("""COMPUTED_VALUE"""),"MFH")</f>
        <v>MFH</v>
      </c>
      <c r="J3236" s="6" t="str">
        <f>IFERROR(__xludf.DUMMYFUNCTION("""COMPUTED_VALUE"""),"Washbay")</f>
        <v>Washbay</v>
      </c>
      <c r="K3236" s="6" t="str">
        <f>IFERROR(__xludf.DUMMYFUNCTION("""COMPUTED_VALUE"""),"SPR/26/02/048")</f>
        <v>SPR/26/02/048</v>
      </c>
      <c r="L3236" s="58">
        <f>IFERROR(__xludf.DUMMYFUNCTION("""COMPUTED_VALUE"""),46080.0)</f>
        <v>46080</v>
      </c>
    </row>
    <row r="3237">
      <c r="A3237" s="6" t="str">
        <f>IFERROR(__xludf.DUMMYFUNCTION("""COMPUTED_VALUE"""),"MFH")</f>
        <v>MFH</v>
      </c>
      <c r="B3237" s="6" t="str">
        <f>IFERROR(__xludf.DUMMYFUNCTION("""COMPUTED_VALUE"""),"ENG")</f>
        <v>ENG</v>
      </c>
      <c r="C3237" s="6" t="str">
        <f>IFERROR(__xludf.DUMMYFUNCTION("""COMPUTED_VALUE"""),"P-13558-00")</f>
        <v>P-13558-00</v>
      </c>
      <c r="D3237" s="6" t="str">
        <f>IFERROR(__xludf.DUMMYFUNCTION("""COMPUTED_VALUE"""),"Selenoid Valve  4V210-08 24 VDC; ; ;")</f>
        <v>Selenoid Valve  4V210-08 24 VDC; ; ;</v>
      </c>
      <c r="E3237" s="6">
        <f>IFERROR(__xludf.DUMMYFUNCTION("""COMPUTED_VALUE"""),1.0)</f>
        <v>1</v>
      </c>
      <c r="F3237" s="6">
        <f>IFERROR(__xludf.DUMMYFUNCTION("""COMPUTED_VALUE"""),1.0)</f>
        <v>1</v>
      </c>
      <c r="G3237" s="6">
        <f>IFERROR(__xludf.DUMMYFUNCTION("""COMPUTED_VALUE"""),0.0)</f>
        <v>0</v>
      </c>
      <c r="H3237" s="6" t="str">
        <f>IFERROR(__xludf.DUMMYFUNCTION("""COMPUTED_VALUE"""),"Pcs")</f>
        <v>Pcs</v>
      </c>
      <c r="I3237" s="6" t="str">
        <f>IFERROR(__xludf.DUMMYFUNCTION("""COMPUTED_VALUE"""),"MFH")</f>
        <v>MFH</v>
      </c>
      <c r="J3237" s="6" t="str">
        <f>IFERROR(__xludf.DUMMYFUNCTION("""COMPUTED_VALUE"""),"Washbay")</f>
        <v>Washbay</v>
      </c>
      <c r="K3237" s="6" t="str">
        <f>IFERROR(__xludf.DUMMYFUNCTION("""COMPUTED_VALUE"""),"SPR/26/02/048")</f>
        <v>SPR/26/02/048</v>
      </c>
      <c r="L3237" s="58">
        <f>IFERROR(__xludf.DUMMYFUNCTION("""COMPUTED_VALUE"""),46080.0)</f>
        <v>46080</v>
      </c>
    </row>
    <row r="3238">
      <c r="A3238" s="6" t="str">
        <f>IFERROR(__xludf.DUMMYFUNCTION("""COMPUTED_VALUE"""),"BDU")</f>
        <v>BDU</v>
      </c>
      <c r="B3238" s="6" t="str">
        <f>IFERROR(__xludf.DUMMYFUNCTION("""COMPUTED_VALUE"""),"ENG")</f>
        <v>ENG</v>
      </c>
      <c r="C3238" s="6" t="str">
        <f>IFERROR(__xludf.DUMMYFUNCTION("""COMPUTED_VALUE"""),"S-40645-00")</f>
        <v>S-40645-00</v>
      </c>
      <c r="D3238" s="6" t="str">
        <f>IFERROR(__xludf.DUMMYFUNCTION("""COMPUTED_VALUE"""),"Cable Ties, 200 x 4.8 mm; SIGMA; CS 200L; Putih;100 pcs/pack")</f>
        <v>Cable Ties, 200 x 4.8 mm; SIGMA; CS 200L; Putih;100 pcs/pack</v>
      </c>
      <c r="E3238" s="6">
        <f>IFERROR(__xludf.DUMMYFUNCTION("""COMPUTED_VALUE"""),1.0)</f>
        <v>1</v>
      </c>
      <c r="F3238" s="6">
        <f>IFERROR(__xludf.DUMMYFUNCTION("""COMPUTED_VALUE"""),1.0)</f>
        <v>1</v>
      </c>
      <c r="G3238" s="6">
        <f>IFERROR(__xludf.DUMMYFUNCTION("""COMPUTED_VALUE"""),0.0)</f>
        <v>0</v>
      </c>
      <c r="H3238" s="6" t="str">
        <f>IFERROR(__xludf.DUMMYFUNCTION("""COMPUTED_VALUE"""),"Pcs")</f>
        <v>Pcs</v>
      </c>
      <c r="I3238" s="6" t="str">
        <f>IFERROR(__xludf.DUMMYFUNCTION("""COMPUTED_VALUE"""),"MFH")</f>
        <v>MFH</v>
      </c>
      <c r="J3238" s="6" t="str">
        <f>IFERROR(__xludf.DUMMYFUNCTION("""COMPUTED_VALUE"""),"-")</f>
        <v>-</v>
      </c>
      <c r="K3238" s="6" t="str">
        <f>IFERROR(__xludf.DUMMYFUNCTION("""COMPUTED_VALUE"""),"SPR/26/02/049")</f>
        <v>SPR/26/02/049</v>
      </c>
      <c r="L3238" s="58">
        <f>IFERROR(__xludf.DUMMYFUNCTION("""COMPUTED_VALUE"""),46080.0)</f>
        <v>46080</v>
      </c>
    </row>
    <row r="3239">
      <c r="A3239" s="6" t="str">
        <f>IFERROR(__xludf.DUMMYFUNCTION("""COMPUTED_VALUE"""),"SFH")</f>
        <v>SFH</v>
      </c>
      <c r="B3239" s="6" t="str">
        <f>IFERROR(__xludf.DUMMYFUNCTION("""COMPUTED_VALUE"""),"ENG")</f>
        <v>ENG</v>
      </c>
      <c r="C3239" s="6" t="str">
        <f>IFERROR(__xludf.DUMMYFUNCTION("""COMPUTED_VALUE"""),"P-53169-00")</f>
        <v>P-53169-00</v>
      </c>
      <c r="D3239" s="6" t="str">
        <f>IFERROR(__xludf.DUMMYFUNCTION("""COMPUTED_VALUE"""),"General - Trafo BalLast EBC 2x28W; Phillips; EB-C 228; 1 pcs")</f>
        <v>General - Trafo BalLast EBC 2x28W; Phillips; EB-C 228; 1 pcs</v>
      </c>
      <c r="E3239" s="6">
        <f>IFERROR(__xludf.DUMMYFUNCTION("""COMPUTED_VALUE"""),4.0)</f>
        <v>4</v>
      </c>
      <c r="F3239" s="6">
        <f>IFERROR(__xludf.DUMMYFUNCTION("""COMPUTED_VALUE"""),4.0)</f>
        <v>4</v>
      </c>
      <c r="G3239" s="6">
        <f>IFERROR(__xludf.DUMMYFUNCTION("""COMPUTED_VALUE"""),0.0)</f>
        <v>0</v>
      </c>
      <c r="H3239" s="6" t="str">
        <f>IFERROR(__xludf.DUMMYFUNCTION("""COMPUTED_VALUE"""),"Pcs")</f>
        <v>Pcs</v>
      </c>
      <c r="I3239" s="6" t="str">
        <f>IFERROR(__xludf.DUMMYFUNCTION("""COMPUTED_VALUE"""),"MFH")</f>
        <v>MFH</v>
      </c>
      <c r="J3239" s="6" t="str">
        <f>IFERROR(__xludf.DUMMYFUNCTION("""COMPUTED_VALUE"""),"Building")</f>
        <v>Building</v>
      </c>
      <c r="K3239" s="6" t="str">
        <f>IFERROR(__xludf.DUMMYFUNCTION("""COMPUTED_VALUE"""),"SPR/26/02/050")</f>
        <v>SPR/26/02/050</v>
      </c>
      <c r="L3239" s="58">
        <f>IFERROR(__xludf.DUMMYFUNCTION("""COMPUTED_VALUE"""),46080.0)</f>
        <v>46080</v>
      </c>
    </row>
    <row r="3240">
      <c r="A3240" s="6" t="str">
        <f>IFERROR(__xludf.DUMMYFUNCTION("""COMPUTED_VALUE"""),"KFF")</f>
        <v>KFF</v>
      </c>
      <c r="B3240" s="6" t="str">
        <f>IFERROR(__xludf.DUMMYFUNCTION("""COMPUTED_VALUE"""),"ENG")</f>
        <v>ENG</v>
      </c>
      <c r="C3240" s="6" t="str">
        <f>IFERROR(__xludf.DUMMYFUNCTION("""COMPUTED_VALUE"""),"P-13389-00")</f>
        <v>P-13389-00</v>
      </c>
      <c r="D3240" s="6" t="str">
        <f>IFERROR(__xludf.DUMMYFUNCTION("""COMPUTED_VALUE"""),"Scotch Brite 3M; ; ;")</f>
        <v>Scotch Brite 3M; ; ;</v>
      </c>
      <c r="E3240" s="6">
        <f>IFERROR(__xludf.DUMMYFUNCTION("""COMPUTED_VALUE"""),1.0)</f>
        <v>1</v>
      </c>
      <c r="F3240" s="6">
        <f>IFERROR(__xludf.DUMMYFUNCTION("""COMPUTED_VALUE"""),1.0)</f>
        <v>1</v>
      </c>
      <c r="G3240" s="6">
        <f>IFERROR(__xludf.DUMMYFUNCTION("""COMPUTED_VALUE"""),0.0)</f>
        <v>0</v>
      </c>
      <c r="H3240" s="6" t="str">
        <f>IFERROR(__xludf.DUMMYFUNCTION("""COMPUTED_VALUE"""),"Pcs")</f>
        <v>Pcs</v>
      </c>
      <c r="I3240" s="6" t="str">
        <f>IFERROR(__xludf.DUMMYFUNCTION("""COMPUTED_VALUE"""),"MFH")</f>
        <v>MFH</v>
      </c>
      <c r="J3240" s="6" t="str">
        <f>IFERROR(__xludf.DUMMYFUNCTION("""COMPUTED_VALUE"""),"-")</f>
        <v>-</v>
      </c>
      <c r="K3240" s="6" t="str">
        <f>IFERROR(__xludf.DUMMYFUNCTION("""COMPUTED_VALUE"""),"SPR/26/02/051")</f>
        <v>SPR/26/02/051</v>
      </c>
      <c r="L3240" s="58">
        <f>IFERROR(__xludf.DUMMYFUNCTION("""COMPUTED_VALUE"""),46080.0)</f>
        <v>46080</v>
      </c>
    </row>
    <row r="3241">
      <c r="A3241" s="6" t="str">
        <f>IFERROR(__xludf.DUMMYFUNCTION("""COMPUTED_VALUE"""),"ROS")</f>
        <v>ROS</v>
      </c>
      <c r="B3241" s="6" t="str">
        <f>IFERROR(__xludf.DUMMYFUNCTION("""COMPUTED_VALUE"""),"ENG")</f>
        <v>ENG</v>
      </c>
      <c r="C3241" s="6" t="str">
        <f>IFERROR(__xludf.DUMMYFUNCTION("""COMPUTED_VALUE"""),"O-51827-00")</f>
        <v>O-51827-00</v>
      </c>
      <c r="D3241" s="6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E3241" s="6">
        <f>IFERROR(__xludf.DUMMYFUNCTION("""COMPUTED_VALUE"""),1.0)</f>
        <v>1</v>
      </c>
      <c r="F3241" s="6">
        <f>IFERROR(__xludf.DUMMYFUNCTION("""COMPUTED_VALUE"""),1.0)</f>
        <v>1</v>
      </c>
      <c r="G3241" s="6">
        <f>IFERROR(__xludf.DUMMYFUNCTION("""COMPUTED_VALUE"""),0.0)</f>
        <v>0</v>
      </c>
      <c r="H3241" s="6" t="str">
        <f>IFERROR(__xludf.DUMMYFUNCTION("""COMPUTED_VALUE"""),"Pcs")</f>
        <v>Pcs</v>
      </c>
      <c r="I3241" s="6" t="str">
        <f>IFERROR(__xludf.DUMMYFUNCTION("""COMPUTED_VALUE"""),"MFH")</f>
        <v>MFH</v>
      </c>
      <c r="J3241" s="6" t="str">
        <f>IFERROR(__xludf.DUMMYFUNCTION("""COMPUTED_VALUE"""),"Autoclave")</f>
        <v>Autoclave</v>
      </c>
      <c r="K3241" s="6" t="str">
        <f>IFERROR(__xludf.DUMMYFUNCTION("""COMPUTED_VALUE"""),"SPR/26/02/052")</f>
        <v>SPR/26/02/052</v>
      </c>
      <c r="L3241" s="58">
        <f>IFERROR(__xludf.DUMMYFUNCTION("""COMPUTED_VALUE"""),46080.0)</f>
        <v>46080</v>
      </c>
    </row>
    <row r="3242">
      <c r="A3242" s="6" t="str">
        <f>IFERROR(__xludf.DUMMYFUNCTION("""COMPUTED_VALUE"""),"ROS")</f>
        <v>ROS</v>
      </c>
      <c r="B3242" s="6" t="str">
        <f>IFERROR(__xludf.DUMMYFUNCTION("""COMPUTED_VALUE"""),"ENG")</f>
        <v>ENG</v>
      </c>
      <c r="C3242" s="6" t="str">
        <f>IFERROR(__xludf.DUMMYFUNCTION("""COMPUTED_VALUE"""),"P-11431-00")</f>
        <v>P-11431-00</v>
      </c>
      <c r="D3242" s="6" t="str">
        <f>IFERROR(__xludf.DUMMYFUNCTION("""COMPUTED_VALUE"""),"General - Plastic Tubing, PUN-H-8X1,25-BL; Festo; 197385; 1 m")</f>
        <v>General - Plastic Tubing, PUN-H-8X1,25-BL; Festo; 197385; 1 m</v>
      </c>
      <c r="E3242" s="6">
        <f>IFERROR(__xludf.DUMMYFUNCTION("""COMPUTED_VALUE"""),5.0)</f>
        <v>5</v>
      </c>
      <c r="F3242" s="6">
        <f>IFERROR(__xludf.DUMMYFUNCTION("""COMPUTED_VALUE"""),5.0)</f>
        <v>5</v>
      </c>
      <c r="G3242" s="6">
        <f>IFERROR(__xludf.DUMMYFUNCTION("""COMPUTED_VALUE"""),0.0)</f>
        <v>0</v>
      </c>
      <c r="H3242" s="6" t="str">
        <f>IFERROR(__xludf.DUMMYFUNCTION("""COMPUTED_VALUE"""),"Pcs")</f>
        <v>Pcs</v>
      </c>
      <c r="I3242" s="6" t="str">
        <f>IFERROR(__xludf.DUMMYFUNCTION("""COMPUTED_VALUE"""),"MFH")</f>
        <v>MFH</v>
      </c>
      <c r="J3242" s="6" t="str">
        <f>IFERROR(__xludf.DUMMYFUNCTION("""COMPUTED_VALUE"""),"Autoclave")</f>
        <v>Autoclave</v>
      </c>
      <c r="K3242" s="6" t="str">
        <f>IFERROR(__xludf.DUMMYFUNCTION("""COMPUTED_VALUE"""),"SPR/26/02/052")</f>
        <v>SPR/26/02/052</v>
      </c>
      <c r="L3242" s="58">
        <f>IFERROR(__xludf.DUMMYFUNCTION("""COMPUTED_VALUE"""),46080.0)</f>
        <v>46080</v>
      </c>
    </row>
    <row r="3243">
      <c r="A3243" s="6" t="str">
        <f>IFERROR(__xludf.DUMMYFUNCTION("""COMPUTED_VALUE"""),"MOB")</f>
        <v>MOB</v>
      </c>
      <c r="B3243" s="6" t="str">
        <f>IFERROR(__xludf.DUMMYFUNCTION("""COMPUTED_VALUE"""),"ENG")</f>
        <v>ENG</v>
      </c>
      <c r="C3243" s="6" t="str">
        <f>IFERROR(__xludf.DUMMYFUNCTION("""COMPUTED_VALUE"""),"Q-10946-00")</f>
        <v>Q-10946-00</v>
      </c>
      <c r="D3243" s="6" t="str">
        <f>IFERROR(__xludf.DUMMYFUNCTION("""COMPUTED_VALUE"""),"Silicone Sealant;Silglaze;Type N10 Light Grey;pack size per pcs")</f>
        <v>Silicone Sealant;Silglaze;Type N10 Light Grey;pack size per pcs</v>
      </c>
      <c r="E3243" s="6">
        <f>IFERROR(__xludf.DUMMYFUNCTION("""COMPUTED_VALUE"""),1.0)</f>
        <v>1</v>
      </c>
      <c r="F3243" s="6">
        <f>IFERROR(__xludf.DUMMYFUNCTION("""COMPUTED_VALUE"""),1.0)</f>
        <v>1</v>
      </c>
      <c r="G3243" s="6">
        <f>IFERROR(__xludf.DUMMYFUNCTION("""COMPUTED_VALUE"""),0.0)</f>
        <v>0</v>
      </c>
      <c r="H3243" s="6" t="str">
        <f>IFERROR(__xludf.DUMMYFUNCTION("""COMPUTED_VALUE"""),"Pcs")</f>
        <v>Pcs</v>
      </c>
      <c r="I3243" s="6" t="str">
        <f>IFERROR(__xludf.DUMMYFUNCTION("""COMPUTED_VALUE"""),"MFH")</f>
        <v>MFH</v>
      </c>
      <c r="J3243" s="6" t="str">
        <f>IFERROR(__xludf.DUMMYFUNCTION("""COMPUTED_VALUE"""),"-")</f>
        <v>-</v>
      </c>
      <c r="K3243" s="6" t="str">
        <f>IFERROR(__xludf.DUMMYFUNCTION("""COMPUTED_VALUE"""),"SPR/26/02/053")</f>
        <v>SPR/26/02/053</v>
      </c>
      <c r="L3243" s="58">
        <f>IFERROR(__xludf.DUMMYFUNCTION("""COMPUTED_VALUE"""),46080.0)</f>
        <v>46080</v>
      </c>
    </row>
    <row r="3244">
      <c r="A3244" s="6" t="str">
        <f>IFERROR(__xludf.DUMMYFUNCTION("""COMPUTED_VALUE"""),"NDS")</f>
        <v>NDS</v>
      </c>
      <c r="B3244" s="6" t="str">
        <f>IFERROR(__xludf.DUMMYFUNCTION("""COMPUTED_VALUE"""),"ENG")</f>
        <v>ENG</v>
      </c>
      <c r="C3244" s="6" t="str">
        <f>IFERROR(__xludf.DUMMYFUNCTION("""COMPUTED_VALUE"""),"O-20297-00")</f>
        <v>O-20297-00</v>
      </c>
      <c r="D3244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E3244" s="6">
        <f>IFERROR(__xludf.DUMMYFUNCTION("""COMPUTED_VALUE"""),1.0)</f>
        <v>1</v>
      </c>
      <c r="F3244" s="6">
        <f>IFERROR(__xludf.DUMMYFUNCTION("""COMPUTED_VALUE"""),1.0)</f>
        <v>1</v>
      </c>
      <c r="G3244" s="6">
        <f>IFERROR(__xludf.DUMMYFUNCTION("""COMPUTED_VALUE"""),0.0)</f>
        <v>0</v>
      </c>
      <c r="H3244" s="6" t="str">
        <f>IFERROR(__xludf.DUMMYFUNCTION("""COMPUTED_VALUE"""),"Pcs")</f>
        <v>Pcs</v>
      </c>
      <c r="I3244" s="6" t="str">
        <f>IFERROR(__xludf.DUMMYFUNCTION("""COMPUTED_VALUE"""),"MFH")</f>
        <v>MFH</v>
      </c>
      <c r="J3244" s="6" t="str">
        <f>IFERROR(__xludf.DUMMYFUNCTION("""COMPUTED_VALUE"""),"FD")</f>
        <v>FD</v>
      </c>
      <c r="K3244" s="6" t="str">
        <f>IFERROR(__xludf.DUMMYFUNCTION("""COMPUTED_VALUE"""),"SPR/26/02/054")</f>
        <v>SPR/26/02/054</v>
      </c>
      <c r="L3244" s="58">
        <f>IFERROR(__xludf.DUMMYFUNCTION("""COMPUTED_VALUE"""),46080.0)</f>
        <v>46080</v>
      </c>
    </row>
    <row r="3245">
      <c r="A3245" s="6" t="str">
        <f>IFERROR(__xludf.DUMMYFUNCTION("""COMPUTED_VALUE"""),"ROS")</f>
        <v>ROS</v>
      </c>
      <c r="B3245" s="6" t="str">
        <f>IFERROR(__xludf.DUMMYFUNCTION("""COMPUTED_VALUE"""),"ENG")</f>
        <v>ENG</v>
      </c>
      <c r="C3245" s="6" t="str">
        <f>IFERROR(__xludf.DUMMYFUNCTION("""COMPUTED_VALUE"""),"O-14639-00")</f>
        <v>O-14639-00</v>
      </c>
      <c r="D3245" s="6" t="str">
        <f>IFERROR(__xludf.DUMMYFUNCTION("""COMPUTED_VALUE"""),"General - EPDM Gasket for Ferrule dia. 1/2""; -; -; 1 pc")</f>
        <v>General - EPDM Gasket for Ferrule dia. 1/2"; -; -; 1 pc</v>
      </c>
      <c r="E3245" s="6">
        <f>IFERROR(__xludf.DUMMYFUNCTION("""COMPUTED_VALUE"""),1.0)</f>
        <v>1</v>
      </c>
      <c r="F3245" s="6">
        <f>IFERROR(__xludf.DUMMYFUNCTION("""COMPUTED_VALUE"""),1.0)</f>
        <v>1</v>
      </c>
      <c r="G3245" s="6">
        <f>IFERROR(__xludf.DUMMYFUNCTION("""COMPUTED_VALUE"""),0.0)</f>
        <v>0</v>
      </c>
      <c r="H3245" s="6" t="str">
        <f>IFERROR(__xludf.DUMMYFUNCTION("""COMPUTED_VALUE"""),"Pcs")</f>
        <v>Pcs</v>
      </c>
      <c r="I3245" s="6" t="str">
        <f>IFERROR(__xludf.DUMMYFUNCTION("""COMPUTED_VALUE"""),"MFH")</f>
        <v>MFH</v>
      </c>
      <c r="J3245" s="6" t="str">
        <f>IFERROR(__xludf.DUMMYFUNCTION("""COMPUTED_VALUE"""),"Autoclave")</f>
        <v>Autoclave</v>
      </c>
      <c r="K3245" s="6" t="str">
        <f>IFERROR(__xludf.DUMMYFUNCTION("""COMPUTED_VALUE"""),"SPR/26/02/055")</f>
        <v>SPR/26/02/055</v>
      </c>
      <c r="L3245" s="58">
        <f>IFERROR(__xludf.DUMMYFUNCTION("""COMPUTED_VALUE"""),46080.0)</f>
        <v>46080</v>
      </c>
    </row>
    <row r="3246">
      <c r="A3246" s="6" t="str">
        <f>IFERROR(__xludf.DUMMYFUNCTION("""COMPUTED_VALUE"""),"KFF")</f>
        <v>KFF</v>
      </c>
      <c r="B3246" s="6" t="str">
        <f>IFERROR(__xludf.DUMMYFUNCTION("""COMPUTED_VALUE"""),"ENG")</f>
        <v>ENG</v>
      </c>
      <c r="C3246" s="6" t="str">
        <f>IFERROR(__xludf.DUMMYFUNCTION("""COMPUTED_VALUE"""),"T-25372-00")</f>
        <v>T-25372-00</v>
      </c>
      <c r="D3246" s="6" t="str">
        <f>IFERROR(__xludf.DUMMYFUNCTION("""COMPUTED_VALUE"""),"Electrode holder uPlace; Mettler Toledo; 30019823;")</f>
        <v>Electrode holder uPlace; Mettler Toledo; 30019823;</v>
      </c>
      <c r="E3246" s="6">
        <f>IFERROR(__xludf.DUMMYFUNCTION("""COMPUTED_VALUE"""),1.0)</f>
        <v>1</v>
      </c>
      <c r="F3246" s="6">
        <f>IFERROR(__xludf.DUMMYFUNCTION("""COMPUTED_VALUE"""),1.0)</f>
        <v>1</v>
      </c>
      <c r="G3246" s="6">
        <f>IFERROR(__xludf.DUMMYFUNCTION("""COMPUTED_VALUE"""),0.0)</f>
        <v>0</v>
      </c>
      <c r="H3246" s="6" t="str">
        <f>IFERROR(__xludf.DUMMYFUNCTION("""COMPUTED_VALUE"""),"Pcs")</f>
        <v>Pcs</v>
      </c>
      <c r="I3246" s="6" t="str">
        <f>IFERROR(__xludf.DUMMYFUNCTION("""COMPUTED_VALUE"""),"MFH")</f>
        <v>MFH</v>
      </c>
      <c r="J3246" s="6" t="str">
        <f>IFERROR(__xludf.DUMMYFUNCTION("""COMPUTED_VALUE"""),"-")</f>
        <v>-</v>
      </c>
      <c r="K3246" s="6" t="str">
        <f>IFERROR(__xludf.DUMMYFUNCTION("""COMPUTED_VALUE"""),"SPR/26/02/056")</f>
        <v>SPR/26/02/056</v>
      </c>
      <c r="L3246" s="58">
        <f>IFERROR(__xludf.DUMMYFUNCTION("""COMPUTED_VALUE"""),46080.0)</f>
        <v>46080</v>
      </c>
    </row>
    <row r="3247">
      <c r="A3247" s="6" t="str">
        <f>IFERROR(__xludf.DUMMYFUNCTION("""COMPUTED_VALUE"""),"MRN")</f>
        <v>MRN</v>
      </c>
      <c r="B3247" s="6" t="str">
        <f>IFERROR(__xludf.DUMMYFUNCTION("""COMPUTED_VALUE"""),"ENG")</f>
        <v>ENG</v>
      </c>
      <c r="C3247" s="6" t="str">
        <f>IFERROR(__xludf.DUMMYFUNCTION("""COMPUTED_VALUE"""),"P-20364-00")</f>
        <v>P-20364-00</v>
      </c>
      <c r="D3247" s="6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E3247" s="6">
        <f>IFERROR(__xludf.DUMMYFUNCTION("""COMPUTED_VALUE"""),6.0)</f>
        <v>6</v>
      </c>
      <c r="F3247" s="6">
        <f>IFERROR(__xludf.DUMMYFUNCTION("""COMPUTED_VALUE"""),6.0)</f>
        <v>6</v>
      </c>
      <c r="G3247" s="6">
        <f>IFERROR(__xludf.DUMMYFUNCTION("""COMPUTED_VALUE"""),0.0)</f>
        <v>0</v>
      </c>
      <c r="H3247" s="6" t="str">
        <f>IFERROR(__xludf.DUMMYFUNCTION("""COMPUTED_VALUE"""),"Pcs")</f>
        <v>Pcs</v>
      </c>
      <c r="I3247" s="6" t="str">
        <f>IFERROR(__xludf.DUMMYFUNCTION("""COMPUTED_VALUE"""),"MFH")</f>
        <v>MFH</v>
      </c>
      <c r="J3247" s="6" t="str">
        <f>IFERROR(__xludf.DUMMYFUNCTION("""COMPUTED_VALUE"""),"AHU")</f>
        <v>AHU</v>
      </c>
      <c r="K3247" s="6" t="str">
        <f>IFERROR(__xludf.DUMMYFUNCTION("""COMPUTED_VALUE"""),"SPR/26/02/057")</f>
        <v>SPR/26/02/057</v>
      </c>
      <c r="L3247" s="58">
        <f>IFERROR(__xludf.DUMMYFUNCTION("""COMPUTED_VALUE"""),46080.0)</f>
        <v>46080</v>
      </c>
    </row>
    <row r="3248">
      <c r="A3248" s="6" t="str">
        <f>IFERROR(__xludf.DUMMYFUNCTION("""COMPUTED_VALUE"""),"MRN")</f>
        <v>MRN</v>
      </c>
      <c r="B3248" s="6" t="str">
        <f>IFERROR(__xludf.DUMMYFUNCTION("""COMPUTED_VALUE"""),"ENG")</f>
        <v>ENG</v>
      </c>
      <c r="C3248" s="6" t="str">
        <f>IFERROR(__xludf.DUMMYFUNCTION("""COMPUTED_VALUE"""),"P-20362-00")</f>
        <v>P-20362-00</v>
      </c>
      <c r="D3248" s="6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E3248" s="6">
        <f>IFERROR(__xludf.DUMMYFUNCTION("""COMPUTED_VALUE"""),7.0)</f>
        <v>7</v>
      </c>
      <c r="F3248" s="6">
        <f>IFERROR(__xludf.DUMMYFUNCTION("""COMPUTED_VALUE"""),7.0)</f>
        <v>7</v>
      </c>
      <c r="G3248" s="6">
        <f>IFERROR(__xludf.DUMMYFUNCTION("""COMPUTED_VALUE"""),0.0)</f>
        <v>0</v>
      </c>
      <c r="H3248" s="6" t="str">
        <f>IFERROR(__xludf.DUMMYFUNCTION("""COMPUTED_VALUE"""),"Pcs")</f>
        <v>Pcs</v>
      </c>
      <c r="I3248" s="6" t="str">
        <f>IFERROR(__xludf.DUMMYFUNCTION("""COMPUTED_VALUE"""),"MFH")</f>
        <v>MFH</v>
      </c>
      <c r="J3248" s="6" t="str">
        <f>IFERROR(__xludf.DUMMYFUNCTION("""COMPUTED_VALUE"""),"AHU")</f>
        <v>AHU</v>
      </c>
      <c r="K3248" s="6" t="str">
        <f>IFERROR(__xludf.DUMMYFUNCTION("""COMPUTED_VALUE"""),"SPR/26/02/057")</f>
        <v>SPR/26/02/057</v>
      </c>
      <c r="L3248" s="58">
        <f>IFERROR(__xludf.DUMMYFUNCTION("""COMPUTED_VALUE"""),46080.0)</f>
        <v>46080</v>
      </c>
    </row>
    <row r="3249">
      <c r="A3249" s="6" t="str">
        <f>IFERROR(__xludf.DUMMYFUNCTION("""COMPUTED_VALUE"""),"MRN")</f>
        <v>MRN</v>
      </c>
      <c r="B3249" s="6" t="str">
        <f>IFERROR(__xludf.DUMMYFUNCTION("""COMPUTED_VALUE"""),"ENG")</f>
        <v>ENG</v>
      </c>
      <c r="C3249" s="6" t="str">
        <f>IFERROR(__xludf.DUMMYFUNCTION("""COMPUTED_VALUE"""),"P-20365-00")</f>
        <v>P-20365-00</v>
      </c>
      <c r="D3249" s="6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E3249" s="6">
        <f>IFERROR(__xludf.DUMMYFUNCTION("""COMPUTED_VALUE"""),6.0)</f>
        <v>6</v>
      </c>
      <c r="F3249" s="6">
        <f>IFERROR(__xludf.DUMMYFUNCTION("""COMPUTED_VALUE"""),6.0)</f>
        <v>6</v>
      </c>
      <c r="G3249" s="6">
        <f>IFERROR(__xludf.DUMMYFUNCTION("""COMPUTED_VALUE"""),0.0)</f>
        <v>0</v>
      </c>
      <c r="H3249" s="6" t="str">
        <f>IFERROR(__xludf.DUMMYFUNCTION("""COMPUTED_VALUE"""),"Pcs")</f>
        <v>Pcs</v>
      </c>
      <c r="I3249" s="6" t="str">
        <f>IFERROR(__xludf.DUMMYFUNCTION("""COMPUTED_VALUE"""),"MFH")</f>
        <v>MFH</v>
      </c>
      <c r="J3249" s="6" t="str">
        <f>IFERROR(__xludf.DUMMYFUNCTION("""COMPUTED_VALUE"""),"AHU")</f>
        <v>AHU</v>
      </c>
      <c r="K3249" s="6" t="str">
        <f>IFERROR(__xludf.DUMMYFUNCTION("""COMPUTED_VALUE"""),"SPR/26/02/057")</f>
        <v>SPR/26/02/057</v>
      </c>
      <c r="L3249" s="58">
        <f>IFERROR(__xludf.DUMMYFUNCTION("""COMPUTED_VALUE"""),46080.0)</f>
        <v>46080</v>
      </c>
    </row>
    <row r="3250">
      <c r="A3250" s="6" t="str">
        <f>IFERROR(__xludf.DUMMYFUNCTION("""COMPUTED_VALUE"""),"RIA")</f>
        <v>RIA</v>
      </c>
      <c r="B3250" s="6" t="str">
        <f>IFERROR(__xludf.DUMMYFUNCTION("""COMPUTED_VALUE"""),"ENG")</f>
        <v>ENG</v>
      </c>
      <c r="C3250" s="6" t="str">
        <f>IFERROR(__xludf.DUMMYFUNCTION("""COMPUTED_VALUE"""),"P-13388-00")</f>
        <v>P-13388-00</v>
      </c>
      <c r="D3250" s="6" t="str">
        <f>IFERROR(__xludf.DUMMYFUNCTION("""COMPUTED_VALUE"""),"General - Ball Valve 1/2inch; KITZ; -; 1 pcs")</f>
        <v>General - Ball Valve 1/2inch; KITZ; -; 1 pcs</v>
      </c>
      <c r="E3250" s="6">
        <f>IFERROR(__xludf.DUMMYFUNCTION("""COMPUTED_VALUE"""),1.0)</f>
        <v>1</v>
      </c>
      <c r="F3250" s="6">
        <f>IFERROR(__xludf.DUMMYFUNCTION("""COMPUTED_VALUE"""),1.0)</f>
        <v>1</v>
      </c>
      <c r="G3250" s="6">
        <f>IFERROR(__xludf.DUMMYFUNCTION("""COMPUTED_VALUE"""),0.0)</f>
        <v>0</v>
      </c>
      <c r="H3250" s="6" t="str">
        <f>IFERROR(__xludf.DUMMYFUNCTION("""COMPUTED_VALUE"""),"Pcs")</f>
        <v>Pcs</v>
      </c>
      <c r="I3250" s="6" t="str">
        <f>IFERROR(__xludf.DUMMYFUNCTION("""COMPUTED_VALUE"""),"MFH")</f>
        <v>MFH</v>
      </c>
      <c r="J3250" s="6" t="str">
        <f>IFERROR(__xludf.DUMMYFUNCTION("""COMPUTED_VALUE"""),"AHU")</f>
        <v>AHU</v>
      </c>
      <c r="K3250" s="6" t="str">
        <f>IFERROR(__xludf.DUMMYFUNCTION("""COMPUTED_VALUE"""),"SPR/26/02/058")</f>
        <v>SPR/26/02/058</v>
      </c>
      <c r="L3250" s="58">
        <f>IFERROR(__xludf.DUMMYFUNCTION("""COMPUTED_VALUE"""),46080.0)</f>
        <v>46080</v>
      </c>
    </row>
    <row r="3251">
      <c r="A3251" s="6" t="str">
        <f>IFERROR(__xludf.DUMMYFUNCTION("""COMPUTED_VALUE"""),"BDU")</f>
        <v>BDU</v>
      </c>
      <c r="B3251" s="6" t="str">
        <f>IFERROR(__xludf.DUMMYFUNCTION("""COMPUTED_VALUE"""),"ENG")</f>
        <v>ENG</v>
      </c>
      <c r="C3251" s="6" t="str">
        <f>IFERROR(__xludf.DUMMYFUNCTION("""COMPUTED_VALUE"""),"P-50717-00")</f>
        <v>P-50717-00</v>
      </c>
      <c r="D3251" s="6" t="str">
        <f>IFERROR(__xludf.DUMMYFUNCTION("""COMPUTED_VALUE"""),"General - Kabel UTP 4 Pairs Cat 6; Belden; -; 305m/roll")</f>
        <v>General - Kabel UTP 4 Pairs Cat 6; Belden; -; 305m/roll</v>
      </c>
      <c r="E3251" s="6">
        <f>IFERROR(__xludf.DUMMYFUNCTION("""COMPUTED_VALUE"""),10.0)</f>
        <v>10</v>
      </c>
      <c r="F3251" s="6">
        <f>IFERROR(__xludf.DUMMYFUNCTION("""COMPUTED_VALUE"""),10.0)</f>
        <v>10</v>
      </c>
      <c r="G3251" s="6">
        <f>IFERROR(__xludf.DUMMYFUNCTION("""COMPUTED_VALUE"""),0.0)</f>
        <v>0</v>
      </c>
      <c r="H3251" s="6" t="str">
        <f>IFERROR(__xludf.DUMMYFUNCTION("""COMPUTED_VALUE"""),"Pcs")</f>
        <v>Pcs</v>
      </c>
      <c r="I3251" s="6" t="str">
        <f>IFERROR(__xludf.DUMMYFUNCTION("""COMPUTED_VALUE"""),"MFH")</f>
        <v>MFH</v>
      </c>
      <c r="J3251" s="6" t="str">
        <f>IFERROR(__xludf.DUMMYFUNCTION("""COMPUTED_VALUE"""),"Building")</f>
        <v>Building</v>
      </c>
      <c r="K3251" s="6" t="str">
        <f>IFERROR(__xludf.DUMMYFUNCTION("""COMPUTED_VALUE"""),"SPR/26/02/059")</f>
        <v>SPR/26/02/059</v>
      </c>
      <c r="L3251" s="58">
        <f>IFERROR(__xludf.DUMMYFUNCTION("""COMPUTED_VALUE"""),46080.0)</f>
        <v>46080</v>
      </c>
    </row>
    <row r="3252">
      <c r="A3252" s="6" t="str">
        <f>IFERROR(__xludf.DUMMYFUNCTION("""COMPUTED_VALUE"""),"BDU")</f>
        <v>BDU</v>
      </c>
      <c r="B3252" s="6" t="str">
        <f>IFERROR(__xludf.DUMMYFUNCTION("""COMPUTED_VALUE"""),"ENG")</f>
        <v>ENG</v>
      </c>
      <c r="C3252" s="6" t="str">
        <f>IFERROR(__xludf.DUMMYFUNCTION("""COMPUTED_VALUE"""),"P-52854-00")</f>
        <v>P-52854-00</v>
      </c>
      <c r="D3252" s="6" t="str">
        <f>IFERROR(__xludf.DUMMYFUNCTION("""COMPUTED_VALUE"""),"General - Socket RJ45 Cat 6; Belden; -; 50pcs/pack")</f>
        <v>General - Socket RJ45 Cat 6; Belden; -; 50pcs/pack</v>
      </c>
      <c r="E3252" s="6">
        <f>IFERROR(__xludf.DUMMYFUNCTION("""COMPUTED_VALUE"""),1.0)</f>
        <v>1</v>
      </c>
      <c r="F3252" s="6">
        <f>IFERROR(__xludf.DUMMYFUNCTION("""COMPUTED_VALUE"""),5.0)</f>
        <v>5</v>
      </c>
      <c r="G3252" s="6">
        <f>IFERROR(__xludf.DUMMYFUNCTION("""COMPUTED_VALUE"""),0.0)</f>
        <v>0</v>
      </c>
      <c r="H3252" s="6" t="str">
        <f>IFERROR(__xludf.DUMMYFUNCTION("""COMPUTED_VALUE"""),"Pcs")</f>
        <v>Pcs</v>
      </c>
      <c r="I3252" s="6" t="str">
        <f>IFERROR(__xludf.DUMMYFUNCTION("""COMPUTED_VALUE"""),"MFH")</f>
        <v>MFH</v>
      </c>
      <c r="J3252" s="6" t="str">
        <f>IFERROR(__xludf.DUMMYFUNCTION("""COMPUTED_VALUE"""),"Building")</f>
        <v>Building</v>
      </c>
      <c r="K3252" s="6" t="str">
        <f>IFERROR(__xludf.DUMMYFUNCTION("""COMPUTED_VALUE"""),"SPR/26/02/059")</f>
        <v>SPR/26/02/059</v>
      </c>
      <c r="L3252" s="58">
        <f>IFERROR(__xludf.DUMMYFUNCTION("""COMPUTED_VALUE"""),46080.0)</f>
        <v>46080</v>
      </c>
    </row>
    <row r="3253">
      <c r="A3253" s="6" t="str">
        <f>IFERROR(__xludf.DUMMYFUNCTION("""COMPUTED_VALUE"""),"SFH")</f>
        <v>SFH</v>
      </c>
      <c r="B3253" s="6" t="str">
        <f>IFERROR(__xludf.DUMMYFUNCTION("""COMPUTED_VALUE"""),"ENG")</f>
        <v>ENG</v>
      </c>
      <c r="C3253" s="6" t="str">
        <f>IFERROR(__xludf.DUMMYFUNCTION("""COMPUTED_VALUE"""),"T-80046-00")</f>
        <v>T-80046-00</v>
      </c>
      <c r="D3253" s="6" t="str">
        <f>IFERROR(__xludf.DUMMYFUNCTION("""COMPUTED_VALUE"""),"Battery ALKALINE AA")</f>
        <v>Battery ALKALINE AA</v>
      </c>
      <c r="E3253" s="6">
        <f>IFERROR(__xludf.DUMMYFUNCTION("""COMPUTED_VALUE"""),4.0)</f>
        <v>4</v>
      </c>
      <c r="F3253" s="6">
        <f>IFERROR(__xludf.DUMMYFUNCTION("""COMPUTED_VALUE"""),4.0)</f>
        <v>4</v>
      </c>
      <c r="G3253" s="6">
        <f>IFERROR(__xludf.DUMMYFUNCTION("""COMPUTED_VALUE"""),0.0)</f>
        <v>0</v>
      </c>
      <c r="H3253" s="6" t="str">
        <f>IFERROR(__xludf.DUMMYFUNCTION("""COMPUTED_VALUE"""),"Pcs")</f>
        <v>Pcs</v>
      </c>
      <c r="I3253" s="6" t="str">
        <f>IFERROR(__xludf.DUMMYFUNCTION("""COMPUTED_VALUE"""),"MFH")</f>
        <v>MFH</v>
      </c>
      <c r="J3253" s="6" t="str">
        <f>IFERROR(__xludf.DUMMYFUNCTION("""COMPUTED_VALUE"""),"Building")</f>
        <v>Building</v>
      </c>
      <c r="K3253" s="6" t="str">
        <f>IFERROR(__xludf.DUMMYFUNCTION("""COMPUTED_VALUE"""),"SPR/26/02/060")</f>
        <v>SPR/26/02/060</v>
      </c>
      <c r="L3253" s="58">
        <f>IFERROR(__xludf.DUMMYFUNCTION("""COMPUTED_VALUE"""),46080.0)</f>
        <v>46080</v>
      </c>
    </row>
    <row r="3254">
      <c r="A3254" s="6" t="str">
        <f>IFERROR(__xludf.DUMMYFUNCTION("""COMPUTED_VALUE"""),"RIA")</f>
        <v>RIA</v>
      </c>
      <c r="B3254" s="6" t="str">
        <f>IFERROR(__xludf.DUMMYFUNCTION("""COMPUTED_VALUE"""),"ENG")</f>
        <v>ENG</v>
      </c>
      <c r="C3254" s="6" t="str">
        <f>IFERROR(__xludf.DUMMYFUNCTION("""COMPUTED_VALUE"""),"T-80047-00")</f>
        <v>T-80047-00</v>
      </c>
      <c r="D3254" s="6" t="str">
        <f>IFERROR(__xludf.DUMMYFUNCTION("""COMPUTED_VALUE"""),"Battery ALKALINE AAA")</f>
        <v>Battery ALKALINE AAA</v>
      </c>
      <c r="E3254" s="6">
        <f>IFERROR(__xludf.DUMMYFUNCTION("""COMPUTED_VALUE"""),6.0)</f>
        <v>6</v>
      </c>
      <c r="F3254" s="6">
        <f>IFERROR(__xludf.DUMMYFUNCTION("""COMPUTED_VALUE"""),6.0)</f>
        <v>6</v>
      </c>
      <c r="G3254" s="6">
        <f>IFERROR(__xludf.DUMMYFUNCTION("""COMPUTED_VALUE"""),0.0)</f>
        <v>0</v>
      </c>
      <c r="H3254" s="6" t="str">
        <f>IFERROR(__xludf.DUMMYFUNCTION("""COMPUTED_VALUE"""),"Pcs")</f>
        <v>Pcs</v>
      </c>
      <c r="I3254" s="6" t="str">
        <f>IFERROR(__xludf.DUMMYFUNCTION("""COMPUTED_VALUE"""),"MFH")</f>
        <v>MFH</v>
      </c>
      <c r="J3254" s="6" t="str">
        <f>IFERROR(__xludf.DUMMYFUNCTION("""COMPUTED_VALUE"""),"Tools")</f>
        <v>Tools</v>
      </c>
      <c r="K3254" s="6" t="str">
        <f>IFERROR(__xludf.DUMMYFUNCTION("""COMPUTED_VALUE"""),"SPR/26/02/061")</f>
        <v>SPR/26/02/061</v>
      </c>
      <c r="L3254" s="58">
        <f>IFERROR(__xludf.DUMMYFUNCTION("""COMPUTED_VALUE"""),46080.0)</f>
        <v>46080</v>
      </c>
    </row>
    <row r="3255">
      <c r="A3255" s="6" t="str">
        <f>IFERROR(__xludf.DUMMYFUNCTION("""COMPUTED_VALUE"""),"KFF")</f>
        <v>KFF</v>
      </c>
      <c r="B3255" s="6" t="str">
        <f>IFERROR(__xludf.DUMMYFUNCTION("""COMPUTED_VALUE"""),"ENG")</f>
        <v>ENG</v>
      </c>
      <c r="C3255" s="6" t="str">
        <f>IFERROR(__xludf.DUMMYFUNCTION("""COMPUTED_VALUE"""),"O-18388-00")</f>
        <v>O-18388-00</v>
      </c>
      <c r="D3255" s="6" t="str">
        <f>IFERROR(__xludf.DUMMYFUNCTION("""COMPUTED_VALUE"""),"Membrane Valve PTFE/EPDM DN15 type 612 GEMU; ; ;")</f>
        <v>Membrane Valve PTFE/EPDM DN15 type 612 GEMU; ; ;</v>
      </c>
      <c r="E3255" s="6">
        <f>IFERROR(__xludf.DUMMYFUNCTION("""COMPUTED_VALUE"""),1.0)</f>
        <v>1</v>
      </c>
      <c r="F3255" s="6">
        <f>IFERROR(__xludf.DUMMYFUNCTION("""COMPUTED_VALUE"""),1.0)</f>
        <v>1</v>
      </c>
      <c r="G3255" s="6">
        <f>IFERROR(__xludf.DUMMYFUNCTION("""COMPUTED_VALUE"""),0.0)</f>
        <v>0</v>
      </c>
      <c r="H3255" s="6" t="str">
        <f>IFERROR(__xludf.DUMMYFUNCTION("""COMPUTED_VALUE"""),"Pcs")</f>
        <v>Pcs</v>
      </c>
      <c r="I3255" s="6" t="str">
        <f>IFERROR(__xludf.DUMMYFUNCTION("""COMPUTED_VALUE"""),"MFH")</f>
        <v>MFH</v>
      </c>
      <c r="J3255" s="6" t="str">
        <f>IFERROR(__xludf.DUMMYFUNCTION("""COMPUTED_VALUE"""),"PW SKID")</f>
        <v>PW SKID</v>
      </c>
      <c r="K3255" s="6" t="str">
        <f>IFERROR(__xludf.DUMMYFUNCTION("""COMPUTED_VALUE"""),"SPR/26/02/062")</f>
        <v>SPR/26/02/062</v>
      </c>
      <c r="L3255" s="58">
        <f>IFERROR(__xludf.DUMMYFUNCTION("""COMPUTED_VALUE"""),46080.0)</f>
        <v>46080</v>
      </c>
    </row>
    <row r="3256">
      <c r="A3256" s="6" t="str">
        <f>IFERROR(__xludf.DUMMYFUNCTION("""COMPUTED_VALUE"""),"ANO")</f>
        <v>ANO</v>
      </c>
      <c r="B3256" s="6" t="str">
        <f>IFERROR(__xludf.DUMMYFUNCTION("""COMPUTED_VALUE"""),"ENG")</f>
        <v>ENG</v>
      </c>
      <c r="C3256" s="6" t="str">
        <f>IFERROR(__xludf.DUMMYFUNCTION("""COMPUTED_VALUE"""),"O-20505-00")</f>
        <v>O-20505-00</v>
      </c>
      <c r="D3256" s="6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E3256" s="6">
        <f>IFERROR(__xludf.DUMMYFUNCTION("""COMPUTED_VALUE"""),1.0)</f>
        <v>1</v>
      </c>
      <c r="F3256" s="6">
        <f>IFERROR(__xludf.DUMMYFUNCTION("""COMPUTED_VALUE"""),1.0)</f>
        <v>1</v>
      </c>
      <c r="G3256" s="6">
        <f>IFERROR(__xludf.DUMMYFUNCTION("""COMPUTED_VALUE"""),0.0)</f>
        <v>0</v>
      </c>
      <c r="H3256" s="6" t="str">
        <f>IFERROR(__xludf.DUMMYFUNCTION("""COMPUTED_VALUE"""),"Pcs")</f>
        <v>Pcs</v>
      </c>
      <c r="I3256" s="6" t="str">
        <f>IFERROR(__xludf.DUMMYFUNCTION("""COMPUTED_VALUE"""),"MFH")</f>
        <v>MFH</v>
      </c>
      <c r="J3256" s="6" t="str">
        <f>IFERROR(__xludf.DUMMYFUNCTION("""COMPUTED_VALUE"""),"Mixing ")</f>
        <v>Mixing </v>
      </c>
      <c r="K3256" s="6" t="str">
        <f>IFERROR(__xludf.DUMMYFUNCTION("""COMPUTED_VALUE"""),"SPR/26/02/063")</f>
        <v>SPR/26/02/063</v>
      </c>
      <c r="L3256" s="58">
        <f>IFERROR(__xludf.DUMMYFUNCTION("""COMPUTED_VALUE"""),46080.0)</f>
        <v>46080</v>
      </c>
    </row>
    <row r="3257">
      <c r="A3257" s="6" t="str">
        <f>IFERROR(__xludf.DUMMYFUNCTION("""COMPUTED_VALUE"""),"ANO")</f>
        <v>ANO</v>
      </c>
      <c r="B3257" s="6" t="str">
        <f>IFERROR(__xludf.DUMMYFUNCTION("""COMPUTED_VALUE"""),"ENG")</f>
        <v>ENG</v>
      </c>
      <c r="C3257" s="6" t="str">
        <f>IFERROR(__xludf.DUMMYFUNCTION("""COMPUTED_VALUE"""),"O-16030-00")</f>
        <v>O-16030-00</v>
      </c>
      <c r="D3257" s="6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E3257" s="6">
        <f>IFERROR(__xludf.DUMMYFUNCTION("""COMPUTED_VALUE"""),1.0)</f>
        <v>1</v>
      </c>
      <c r="F3257" s="6">
        <f>IFERROR(__xludf.DUMMYFUNCTION("""COMPUTED_VALUE"""),1.0)</f>
        <v>1</v>
      </c>
      <c r="G3257" s="6">
        <f>IFERROR(__xludf.DUMMYFUNCTION("""COMPUTED_VALUE"""),0.0)</f>
        <v>0</v>
      </c>
      <c r="H3257" s="6" t="str">
        <f>IFERROR(__xludf.DUMMYFUNCTION("""COMPUTED_VALUE"""),"Pcs")</f>
        <v>Pcs</v>
      </c>
      <c r="I3257" s="6" t="str">
        <f>IFERROR(__xludf.DUMMYFUNCTION("""COMPUTED_VALUE"""),"MFH")</f>
        <v>MFH</v>
      </c>
      <c r="J3257" s="6" t="str">
        <f>IFERROR(__xludf.DUMMYFUNCTION("""COMPUTED_VALUE"""),"Blistering")</f>
        <v>Blistering</v>
      </c>
      <c r="K3257" s="6" t="str">
        <f>IFERROR(__xludf.DUMMYFUNCTION("""COMPUTED_VALUE"""),"SPR/26/02/064")</f>
        <v>SPR/26/02/064</v>
      </c>
      <c r="L3257" s="58">
        <f>IFERROR(__xludf.DUMMYFUNCTION("""COMPUTED_VALUE"""),46080.0)</f>
        <v>46080</v>
      </c>
    </row>
    <row r="3258">
      <c r="A3258" s="6" t="str">
        <f>IFERROR(__xludf.DUMMYFUNCTION("""COMPUTED_VALUE"""),"NDS")</f>
        <v>NDS</v>
      </c>
      <c r="B3258" s="6" t="str">
        <f>IFERROR(__xludf.DUMMYFUNCTION("""COMPUTED_VALUE"""),"ENG")</f>
        <v>ENG</v>
      </c>
      <c r="C3258" s="6" t="str">
        <f>IFERROR(__xludf.DUMMYFUNCTION("""COMPUTED_VALUE"""),"O-18055-00")</f>
        <v>O-18055-00</v>
      </c>
      <c r="D3258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258" s="6">
        <f>IFERROR(__xludf.DUMMYFUNCTION("""COMPUTED_VALUE"""),4.0)</f>
        <v>4</v>
      </c>
      <c r="F3258" s="6">
        <f>IFERROR(__xludf.DUMMYFUNCTION("""COMPUTED_VALUE"""),4.0)</f>
        <v>4</v>
      </c>
      <c r="G3258" s="6">
        <f>IFERROR(__xludf.DUMMYFUNCTION("""COMPUTED_VALUE"""),0.0)</f>
        <v>0</v>
      </c>
      <c r="H3258" s="6" t="str">
        <f>IFERROR(__xludf.DUMMYFUNCTION("""COMPUTED_VALUE"""),"Pcs")</f>
        <v>Pcs</v>
      </c>
      <c r="I3258" s="6" t="str">
        <f>IFERROR(__xludf.DUMMYFUNCTION("""COMPUTED_VALUE"""),"MFH")</f>
        <v>MFH</v>
      </c>
      <c r="J3258" s="6" t="str">
        <f>IFERROR(__xludf.DUMMYFUNCTION("""COMPUTED_VALUE"""),"Cartonning")</f>
        <v>Cartonning</v>
      </c>
      <c r="K3258" s="6" t="str">
        <f>IFERROR(__xludf.DUMMYFUNCTION("""COMPUTED_VALUE"""),"SPR/26/02/065")</f>
        <v>SPR/26/02/065</v>
      </c>
      <c r="L3258" s="58">
        <f>IFERROR(__xludf.DUMMYFUNCTION("""COMPUTED_VALUE"""),46080.0)</f>
        <v>46080</v>
      </c>
    </row>
    <row r="3259">
      <c r="A3259" s="6" t="str">
        <f>IFERROR(__xludf.DUMMYFUNCTION("""COMPUTED_VALUE"""),"MOB")</f>
        <v>MOB</v>
      </c>
      <c r="B3259" s="6" t="str">
        <f>IFERROR(__xludf.DUMMYFUNCTION("""COMPUTED_VALUE"""),"ENG")</f>
        <v>ENG</v>
      </c>
      <c r="C3259" s="6" t="str">
        <f>IFERROR(__xludf.DUMMYFUNCTION("""COMPUTED_VALUE"""),"P-12764-00")</f>
        <v>P-12764-00</v>
      </c>
      <c r="D3259" s="6" t="str">
        <f>IFERROR(__xludf.DUMMYFUNCTION("""COMPUTED_VALUE"""),"General - Silicone Gasket for Ferrule dia. 1/2inch; Custom; -; 1 pcs")</f>
        <v>General - Silicone Gasket for Ferrule dia. 1/2inch; Custom; -; 1 pcs</v>
      </c>
      <c r="E3259" s="6">
        <f>IFERROR(__xludf.DUMMYFUNCTION("""COMPUTED_VALUE"""),1.0)</f>
        <v>1</v>
      </c>
      <c r="F3259" s="6">
        <f>IFERROR(__xludf.DUMMYFUNCTION("""COMPUTED_VALUE"""),1.0)</f>
        <v>1</v>
      </c>
      <c r="G3259" s="6">
        <f>IFERROR(__xludf.DUMMYFUNCTION("""COMPUTED_VALUE"""),0.0)</f>
        <v>0</v>
      </c>
      <c r="H3259" s="6" t="str">
        <f>IFERROR(__xludf.DUMMYFUNCTION("""COMPUTED_VALUE"""),"Pcs")</f>
        <v>Pcs</v>
      </c>
      <c r="I3259" s="6" t="str">
        <f>IFERROR(__xludf.DUMMYFUNCTION("""COMPUTED_VALUE"""),"MFH")</f>
        <v>MFH</v>
      </c>
      <c r="J3259" s="6" t="str">
        <f>IFERROR(__xludf.DUMMYFUNCTION("""COMPUTED_VALUE"""),"FD")</f>
        <v>FD</v>
      </c>
      <c r="K3259" s="6" t="str">
        <f>IFERROR(__xludf.DUMMYFUNCTION("""COMPUTED_VALUE"""),"SPR/26/02/066")</f>
        <v>SPR/26/02/066</v>
      </c>
      <c r="L3259" s="58">
        <f>IFERROR(__xludf.DUMMYFUNCTION("""COMPUTED_VALUE"""),46080.0)</f>
        <v>46080</v>
      </c>
    </row>
    <row r="3260">
      <c r="A3260" s="6" t="str">
        <f>IFERROR(__xludf.DUMMYFUNCTION("""COMPUTED_VALUE"""),"MOB")</f>
        <v>MOB</v>
      </c>
      <c r="B3260" s="6" t="str">
        <f>IFERROR(__xludf.DUMMYFUNCTION("""COMPUTED_VALUE"""),"ENG")</f>
        <v>ENG</v>
      </c>
      <c r="C3260" s="6" t="str">
        <f>IFERROR(__xludf.DUMMYFUNCTION("""COMPUTED_VALUE"""),"-")</f>
        <v>-</v>
      </c>
      <c r="D3260" s="6" t="str">
        <f>IFERROR(__xludf.DUMMYFUNCTION("""COMPUTED_VALUE"""),"Clamp Ferrule 1/2 inch")</f>
        <v>Clamp Ferrule 1/2 inch</v>
      </c>
      <c r="E3260" s="6">
        <f>IFERROR(__xludf.DUMMYFUNCTION("""COMPUTED_VALUE"""),1.0)</f>
        <v>1</v>
      </c>
      <c r="F3260" s="6">
        <f>IFERROR(__xludf.DUMMYFUNCTION("""COMPUTED_VALUE"""),1.0)</f>
        <v>1</v>
      </c>
      <c r="G3260" s="6">
        <f>IFERROR(__xludf.DUMMYFUNCTION("""COMPUTED_VALUE"""),0.0)</f>
        <v>0</v>
      </c>
      <c r="H3260" s="6" t="str">
        <f>IFERROR(__xludf.DUMMYFUNCTION("""COMPUTED_VALUE"""),"Pcs")</f>
        <v>Pcs</v>
      </c>
      <c r="I3260" s="6" t="str">
        <f>IFERROR(__xludf.DUMMYFUNCTION("""COMPUTED_VALUE"""),"MFH")</f>
        <v>MFH</v>
      </c>
      <c r="J3260" s="6" t="str">
        <f>IFERROR(__xludf.DUMMYFUNCTION("""COMPUTED_VALUE"""),"FD")</f>
        <v>FD</v>
      </c>
      <c r="K3260" s="6" t="str">
        <f>IFERROR(__xludf.DUMMYFUNCTION("""COMPUTED_VALUE"""),"SPR/26/02/066")</f>
        <v>SPR/26/02/066</v>
      </c>
      <c r="L3260" s="58">
        <f>IFERROR(__xludf.DUMMYFUNCTION("""COMPUTED_VALUE"""),46080.0)</f>
        <v>46080</v>
      </c>
    </row>
    <row r="3261">
      <c r="A3261" s="6" t="str">
        <f>IFERROR(__xludf.DUMMYFUNCTION("""COMPUTED_VALUE"""),"BDU")</f>
        <v>BDU</v>
      </c>
      <c r="B3261" s="6" t="str">
        <f>IFERROR(__xludf.DUMMYFUNCTION("""COMPUTED_VALUE"""),"ENG")</f>
        <v>ENG</v>
      </c>
      <c r="C3261" s="6" t="str">
        <f>IFERROR(__xludf.DUMMYFUNCTION("""COMPUTED_VALUE"""),"P-15862-00")</f>
        <v>P-15862-00</v>
      </c>
      <c r="D3261" s="6" t="str">
        <f>IFERROR(__xludf.DUMMYFUNCTION("""COMPUTED_VALUE"""),"PAPER RECORD YOKOGAWA; FOLDING CHART B9565AW")</f>
        <v>PAPER RECORD YOKOGAWA; FOLDING CHART B9565AW</v>
      </c>
      <c r="E3261" s="6">
        <f>IFERROR(__xludf.DUMMYFUNCTION("""COMPUTED_VALUE"""),1.0)</f>
        <v>1</v>
      </c>
      <c r="F3261" s="6">
        <f>IFERROR(__xludf.DUMMYFUNCTION("""COMPUTED_VALUE"""),1.0)</f>
        <v>1</v>
      </c>
      <c r="G3261" s="6">
        <f>IFERROR(__xludf.DUMMYFUNCTION("""COMPUTED_VALUE"""),0.0)</f>
        <v>0</v>
      </c>
      <c r="H3261" s="6" t="str">
        <f>IFERROR(__xludf.DUMMYFUNCTION("""COMPUTED_VALUE"""),"Pcs")</f>
        <v>Pcs</v>
      </c>
      <c r="I3261" s="6" t="str">
        <f>IFERROR(__xludf.DUMMYFUNCTION("""COMPUTED_VALUE"""),"MFH")</f>
        <v>MFH</v>
      </c>
      <c r="J3261" s="6" t="str">
        <f>IFERROR(__xludf.DUMMYFUNCTION("""COMPUTED_VALUE"""),"PSG")</f>
        <v>PSG</v>
      </c>
      <c r="K3261" s="6" t="str">
        <f>IFERROR(__xludf.DUMMYFUNCTION("""COMPUTED_VALUE"""),"SPR/26/02/067")</f>
        <v>SPR/26/02/067</v>
      </c>
      <c r="L3261" s="58">
        <f>IFERROR(__xludf.DUMMYFUNCTION("""COMPUTED_VALUE"""),46080.0)</f>
        <v>46080</v>
      </c>
    </row>
    <row r="3262">
      <c r="A3262" s="6" t="str">
        <f>IFERROR(__xludf.DUMMYFUNCTION("""COMPUTED_VALUE"""),"MRN")</f>
        <v>MRN</v>
      </c>
      <c r="B3262" s="6" t="str">
        <f>IFERROR(__xludf.DUMMYFUNCTION("""COMPUTED_VALUE"""),"ENG")</f>
        <v>ENG</v>
      </c>
      <c r="C3262" s="6" t="str">
        <f>IFERROR(__xludf.DUMMYFUNCTION("""COMPUTED_VALUE"""),"P-20041-00")</f>
        <v>P-20041-00</v>
      </c>
      <c r="D3262" s="6" t="str">
        <f>IFERROR(__xludf.DUMMYFUNCTION("""COMPUTED_VALUE"""),"General - Cable Duct 15 x 30mm; No Brand; -; 1,7meter/pc")</f>
        <v>General - Cable Duct 15 x 30mm; No Brand; -; 1,7meter/pc</v>
      </c>
      <c r="E3262" s="6">
        <f>IFERROR(__xludf.DUMMYFUNCTION("""COMPUTED_VALUE"""),2.0)</f>
        <v>2</v>
      </c>
      <c r="F3262" s="6">
        <f>IFERROR(__xludf.DUMMYFUNCTION("""COMPUTED_VALUE"""),2.0)</f>
        <v>2</v>
      </c>
      <c r="G3262" s="6">
        <f>IFERROR(__xludf.DUMMYFUNCTION("""COMPUTED_VALUE"""),0.0)</f>
        <v>0</v>
      </c>
      <c r="H3262" s="6" t="str">
        <f>IFERROR(__xludf.DUMMYFUNCTION("""COMPUTED_VALUE"""),"Pcs")</f>
        <v>Pcs</v>
      </c>
      <c r="I3262" s="6" t="str">
        <f>IFERROR(__xludf.DUMMYFUNCTION("""COMPUTED_VALUE"""),"MFH")</f>
        <v>MFH</v>
      </c>
      <c r="J3262" s="6" t="str">
        <f>IFERROR(__xludf.DUMMYFUNCTION("""COMPUTED_VALUE"""),"Building")</f>
        <v>Building</v>
      </c>
      <c r="K3262" s="6" t="str">
        <f>IFERROR(__xludf.DUMMYFUNCTION("""COMPUTED_VALUE"""),"SPR/26/02/068")</f>
        <v>SPR/26/02/068</v>
      </c>
      <c r="L3262" s="58">
        <f>IFERROR(__xludf.DUMMYFUNCTION("""COMPUTED_VALUE"""),46080.0)</f>
        <v>46080</v>
      </c>
    </row>
    <row r="3263">
      <c r="A3263" s="6" t="str">
        <f>IFERROR(__xludf.DUMMYFUNCTION("""COMPUTED_VALUE"""),"MAP")</f>
        <v>MAP</v>
      </c>
      <c r="B3263" s="6" t="str">
        <f>IFERROR(__xludf.DUMMYFUNCTION("""COMPUTED_VALUE"""),"ENG")</f>
        <v>ENG</v>
      </c>
      <c r="C3263" s="6" t="str">
        <f>IFERROR(__xludf.DUMMYFUNCTION("""COMPUTED_VALUE"""),"T-80047-00")</f>
        <v>T-80047-00</v>
      </c>
      <c r="D3263" s="6" t="str">
        <f>IFERROR(__xludf.DUMMYFUNCTION("""COMPUTED_VALUE"""),"Battery ALKALINE AAA")</f>
        <v>Battery ALKALINE AAA</v>
      </c>
      <c r="E3263" s="6">
        <f>IFERROR(__xludf.DUMMYFUNCTION("""COMPUTED_VALUE"""),6.0)</f>
        <v>6</v>
      </c>
      <c r="F3263" s="6">
        <f>IFERROR(__xludf.DUMMYFUNCTION("""COMPUTED_VALUE"""),6.0)</f>
        <v>6</v>
      </c>
      <c r="G3263" s="6">
        <f>IFERROR(__xludf.DUMMYFUNCTION("""COMPUTED_VALUE"""),0.0)</f>
        <v>0</v>
      </c>
      <c r="H3263" s="6" t="str">
        <f>IFERROR(__xludf.DUMMYFUNCTION("""COMPUTED_VALUE"""),"Pcs")</f>
        <v>Pcs</v>
      </c>
      <c r="I3263" s="6" t="str">
        <f>IFERROR(__xludf.DUMMYFUNCTION("""COMPUTED_VALUE"""),"MFH")</f>
        <v>MFH</v>
      </c>
      <c r="J3263" s="6" t="str">
        <f>IFERROR(__xludf.DUMMYFUNCTION("""COMPUTED_VALUE"""),"Building")</f>
        <v>Building</v>
      </c>
      <c r="K3263" s="6" t="str">
        <f>IFERROR(__xludf.DUMMYFUNCTION("""COMPUTED_VALUE"""),"SPR/26/02/069")</f>
        <v>SPR/26/02/069</v>
      </c>
      <c r="L3263" s="58">
        <f>IFERROR(__xludf.DUMMYFUNCTION("""COMPUTED_VALUE"""),46080.0)</f>
        <v>46080</v>
      </c>
    </row>
    <row r="3264">
      <c r="A3264" s="6" t="str">
        <f>IFERROR(__xludf.DUMMYFUNCTION("""COMPUTED_VALUE"""),"ANO")</f>
        <v>ANO</v>
      </c>
      <c r="B3264" s="6" t="str">
        <f>IFERROR(__xludf.DUMMYFUNCTION("""COMPUTED_VALUE"""),"ENG")</f>
        <v>ENG</v>
      </c>
      <c r="C3264" s="6" t="str">
        <f>IFERROR(__xludf.DUMMYFUNCTION("""COMPUTED_VALUE"""),"Q-10249-00")</f>
        <v>Q-10249-00</v>
      </c>
      <c r="D3264" s="6" t="str">
        <f>IFERROR(__xludf.DUMMYFUNCTION("""COMPUTED_VALUE"""),"Lem Power Glue; ; ;")</f>
        <v>Lem Power Glue; ; ;</v>
      </c>
      <c r="E3264" s="6">
        <f>IFERROR(__xludf.DUMMYFUNCTION("""COMPUTED_VALUE"""),1.0)</f>
        <v>1</v>
      </c>
      <c r="F3264" s="6">
        <f>IFERROR(__xludf.DUMMYFUNCTION("""COMPUTED_VALUE"""),1.0)</f>
        <v>1</v>
      </c>
      <c r="G3264" s="6">
        <f>IFERROR(__xludf.DUMMYFUNCTION("""COMPUTED_VALUE"""),0.0)</f>
        <v>0</v>
      </c>
      <c r="H3264" s="6" t="str">
        <f>IFERROR(__xludf.DUMMYFUNCTION("""COMPUTED_VALUE"""),"Pcs")</f>
        <v>Pcs</v>
      </c>
      <c r="I3264" s="6" t="str">
        <f>IFERROR(__xludf.DUMMYFUNCTION("""COMPUTED_VALUE"""),"MFH")</f>
        <v>MFH</v>
      </c>
      <c r="J3264" s="6" t="str">
        <f>IFERROR(__xludf.DUMMYFUNCTION("""COMPUTED_VALUE"""),"EDM")</f>
        <v>EDM</v>
      </c>
      <c r="K3264" s="6" t="str">
        <f>IFERROR(__xludf.DUMMYFUNCTION("""COMPUTED_VALUE"""),"SPR/26/02/070")</f>
        <v>SPR/26/02/070</v>
      </c>
      <c r="L3264" s="58">
        <f>IFERROR(__xludf.DUMMYFUNCTION("""COMPUTED_VALUE"""),46080.0)</f>
        <v>46080</v>
      </c>
    </row>
    <row r="3265">
      <c r="A3265" s="6" t="str">
        <f>IFERROR(__xludf.DUMMYFUNCTION("""COMPUTED_VALUE"""),"ANO")</f>
        <v>ANO</v>
      </c>
      <c r="B3265" s="6" t="str">
        <f>IFERROR(__xludf.DUMMYFUNCTION("""COMPUTED_VALUE"""),"ENG")</f>
        <v>ENG</v>
      </c>
      <c r="C3265" s="6" t="str">
        <f>IFERROR(__xludf.DUMMYFUNCTION("""COMPUTED_VALUE"""),"P-19895-00")</f>
        <v>P-19895-00</v>
      </c>
      <c r="D3265" s="6" t="str">
        <f>IFERROR(__xludf.DUMMYFUNCTION("""COMPUTED_VALUE"""),"General - Baut M4 x 60mm + Mur + Ring; No Brand; -; 1 pc")</f>
        <v>General - Baut M4 x 60mm + Mur + Ring; No Brand; -; 1 pc</v>
      </c>
      <c r="E3265" s="6">
        <f>IFERROR(__xludf.DUMMYFUNCTION("""COMPUTED_VALUE"""),1.0)</f>
        <v>1</v>
      </c>
      <c r="F3265" s="6">
        <f>IFERROR(__xludf.DUMMYFUNCTION("""COMPUTED_VALUE"""),5.0)</f>
        <v>5</v>
      </c>
      <c r="G3265" s="6">
        <f>IFERROR(__xludf.DUMMYFUNCTION("""COMPUTED_VALUE"""),0.0)</f>
        <v>0</v>
      </c>
      <c r="H3265" s="6" t="str">
        <f>IFERROR(__xludf.DUMMYFUNCTION("""COMPUTED_VALUE"""),"Pcs")</f>
        <v>Pcs</v>
      </c>
      <c r="I3265" s="6" t="str">
        <f>IFERROR(__xludf.DUMMYFUNCTION("""COMPUTED_VALUE"""),"MFH")</f>
        <v>MFH</v>
      </c>
      <c r="J3265" s="6" t="str">
        <f>IFERROR(__xludf.DUMMYFUNCTION("""COMPUTED_VALUE"""),"Aerosol")</f>
        <v>Aerosol</v>
      </c>
      <c r="K3265" s="6" t="str">
        <f>IFERROR(__xludf.DUMMYFUNCTION("""COMPUTED_VALUE"""),"SPR/26/02/071")</f>
        <v>SPR/26/02/071</v>
      </c>
      <c r="L3265" s="58">
        <f>IFERROR(__xludf.DUMMYFUNCTION("""COMPUTED_VALUE"""),46080.0)</f>
        <v>46080</v>
      </c>
    </row>
    <row r="3266">
      <c r="A3266" s="6" t="str">
        <f>IFERROR(__xludf.DUMMYFUNCTION("""COMPUTED_VALUE"""),"MRN")</f>
        <v>MRN</v>
      </c>
      <c r="B3266" s="6" t="str">
        <f>IFERROR(__xludf.DUMMYFUNCTION("""COMPUTED_VALUE"""),"ENG")</f>
        <v>ENG</v>
      </c>
      <c r="C3266" s="6" t="str">
        <f>IFERROR(__xludf.DUMMYFUNCTION("""COMPUTED_VALUE"""),"P-10874-00")</f>
        <v>P-10874-00</v>
      </c>
      <c r="D3266" s="6" t="str">
        <f>IFERROR(__xludf.DUMMYFUNCTION("""COMPUTED_VALUE"""),"General - Vlok Sok/Reducer PVC AW 1"" x 1/2""; Rucika; -; 1 pcs")</f>
        <v>General - Vlok Sok/Reducer PVC AW 1" x 1/2"; Rucika; -; 1 pcs</v>
      </c>
      <c r="E3266" s="6">
        <f>IFERROR(__xludf.DUMMYFUNCTION("""COMPUTED_VALUE"""),2.0)</f>
        <v>2</v>
      </c>
      <c r="F3266" s="6">
        <f>IFERROR(__xludf.DUMMYFUNCTION("""COMPUTED_VALUE"""),2.0)</f>
        <v>2</v>
      </c>
      <c r="G3266" s="6">
        <f>IFERROR(__xludf.DUMMYFUNCTION("""COMPUTED_VALUE"""),0.0)</f>
        <v>0</v>
      </c>
      <c r="H3266" s="6" t="str">
        <f>IFERROR(__xludf.DUMMYFUNCTION("""COMPUTED_VALUE"""),"Pcs")</f>
        <v>Pcs</v>
      </c>
      <c r="I3266" s="6" t="str">
        <f>IFERROR(__xludf.DUMMYFUNCTION("""COMPUTED_VALUE"""),"MFH")</f>
        <v>MFH</v>
      </c>
      <c r="J3266" s="6" t="str">
        <f>IFERROR(__xludf.DUMMYFUNCTION("""COMPUTED_VALUE"""),"-")</f>
        <v>-</v>
      </c>
      <c r="K3266" s="6" t="str">
        <f>IFERROR(__xludf.DUMMYFUNCTION("""COMPUTED_VALUE"""),"SPR/26/02/072")</f>
        <v>SPR/26/02/072</v>
      </c>
      <c r="L3266" s="58">
        <f>IFERROR(__xludf.DUMMYFUNCTION("""COMPUTED_VALUE"""),46080.0)</f>
        <v>46080</v>
      </c>
    </row>
    <row r="3267">
      <c r="A3267" s="6" t="str">
        <f>IFERROR(__xludf.DUMMYFUNCTION("""COMPUTED_VALUE"""),"MUN")</f>
        <v>MUN</v>
      </c>
      <c r="B3267" s="6" t="str">
        <f>IFERROR(__xludf.DUMMYFUNCTION("""COMPUTED_VALUE"""),"ENG")</f>
        <v>ENG</v>
      </c>
      <c r="C3267" s="6" t="str">
        <f>IFERROR(__xludf.DUMMYFUNCTION("""COMPUTED_VALUE"""),"T-20123-00")</f>
        <v>T-20123-00</v>
      </c>
      <c r="D3267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3267" s="6">
        <f>IFERROR(__xludf.DUMMYFUNCTION("""COMPUTED_VALUE"""),1.0)</f>
        <v>1</v>
      </c>
      <c r="F3267" s="6">
        <f>IFERROR(__xludf.DUMMYFUNCTION("""COMPUTED_VALUE"""),1.0)</f>
        <v>1</v>
      </c>
      <c r="G3267" s="6">
        <f>IFERROR(__xludf.DUMMYFUNCTION("""COMPUTED_VALUE"""),0.0)</f>
        <v>0</v>
      </c>
      <c r="H3267" s="6" t="str">
        <f>IFERROR(__xludf.DUMMYFUNCTION("""COMPUTED_VALUE"""),"Pcs")</f>
        <v>Pcs</v>
      </c>
      <c r="I3267" s="6" t="str">
        <f>IFERROR(__xludf.DUMMYFUNCTION("""COMPUTED_VALUE"""),"MFH")</f>
        <v>MFH</v>
      </c>
      <c r="J3267" s="6" t="str">
        <f>IFERROR(__xludf.DUMMYFUNCTION("""COMPUTED_VALUE"""),"HPLC")</f>
        <v>HPLC</v>
      </c>
      <c r="K3267" s="6" t="str">
        <f>IFERROR(__xludf.DUMMYFUNCTION("""COMPUTED_VALUE"""),"SPR/26/02/073")</f>
        <v>SPR/26/02/073</v>
      </c>
      <c r="L3267" s="58">
        <f>IFERROR(__xludf.DUMMYFUNCTION("""COMPUTED_VALUE"""),46080.0)</f>
        <v>46080</v>
      </c>
    </row>
    <row r="3268">
      <c r="A3268" s="6" t="str">
        <f>IFERROR(__xludf.DUMMYFUNCTION("""COMPUTED_VALUE"""),"ROS")</f>
        <v>ROS</v>
      </c>
      <c r="B3268" s="6" t="str">
        <f>IFERROR(__xludf.DUMMYFUNCTION("""COMPUTED_VALUE"""),"ENG")</f>
        <v>ENG</v>
      </c>
      <c r="C3268" s="6" t="str">
        <f>IFERROR(__xludf.DUMMYFUNCTION("""COMPUTED_VALUE"""),"O-20487-00")</f>
        <v>O-20487-00</v>
      </c>
      <c r="D3268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268" s="6">
        <f>IFERROR(__xludf.DUMMYFUNCTION("""COMPUTED_VALUE"""),2.0)</f>
        <v>2</v>
      </c>
      <c r="F3268" s="6">
        <f>IFERROR(__xludf.DUMMYFUNCTION("""COMPUTED_VALUE"""),2.0)</f>
        <v>2</v>
      </c>
      <c r="G3268" s="6">
        <f>IFERROR(__xludf.DUMMYFUNCTION("""COMPUTED_VALUE"""),0.0)</f>
        <v>0</v>
      </c>
      <c r="H3268" s="6" t="str">
        <f>IFERROR(__xludf.DUMMYFUNCTION("""COMPUTED_VALUE"""),"Pcs")</f>
        <v>Pcs</v>
      </c>
      <c r="I3268" s="6" t="str">
        <f>IFERROR(__xludf.DUMMYFUNCTION("""COMPUTED_VALUE"""),"MFH")</f>
        <v>MFH</v>
      </c>
      <c r="J3268" s="6" t="str">
        <f>IFERROR(__xludf.DUMMYFUNCTION("""COMPUTED_VALUE"""),"cRABS")</f>
        <v>cRABS</v>
      </c>
      <c r="K3268" s="6" t="str">
        <f>IFERROR(__xludf.DUMMYFUNCTION("""COMPUTED_VALUE"""),"SPR/26/02/074")</f>
        <v>SPR/26/02/074</v>
      </c>
      <c r="L3268" s="58">
        <f>IFERROR(__xludf.DUMMYFUNCTION("""COMPUTED_VALUE"""),46080.0)</f>
        <v>46080</v>
      </c>
    </row>
    <row r="3269">
      <c r="A3269" s="6" t="str">
        <f>IFERROR(__xludf.DUMMYFUNCTION("""COMPUTED_VALUE"""),"ROS")</f>
        <v>ROS</v>
      </c>
      <c r="B3269" s="6" t="str">
        <f>IFERROR(__xludf.DUMMYFUNCTION("""COMPUTED_VALUE"""),"ENG")</f>
        <v>ENG</v>
      </c>
      <c r="C3269" s="6" t="str">
        <f>IFERROR(__xludf.DUMMYFUNCTION("""COMPUTED_VALUE"""),"O-16032-00")</f>
        <v>O-16032-00</v>
      </c>
      <c r="D3269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269" s="6">
        <f>IFERROR(__xludf.DUMMYFUNCTION("""COMPUTED_VALUE"""),1.0)</f>
        <v>1</v>
      </c>
      <c r="F3269" s="6">
        <f>IFERROR(__xludf.DUMMYFUNCTION("""COMPUTED_VALUE"""),1.0)</f>
        <v>1</v>
      </c>
      <c r="G3269" s="6">
        <f>IFERROR(__xludf.DUMMYFUNCTION("""COMPUTED_VALUE"""),0.0)</f>
        <v>0</v>
      </c>
      <c r="H3269" s="6" t="str">
        <f>IFERROR(__xludf.DUMMYFUNCTION("""COMPUTED_VALUE"""),"Pcs")</f>
        <v>Pcs</v>
      </c>
      <c r="I3269" s="6" t="str">
        <f>IFERROR(__xludf.DUMMYFUNCTION("""COMPUTED_VALUE"""),"MFH")</f>
        <v>MFH</v>
      </c>
      <c r="J3269" s="6" t="str">
        <f>IFERROR(__xludf.DUMMYFUNCTION("""COMPUTED_VALUE"""),"cRABS")</f>
        <v>cRABS</v>
      </c>
      <c r="K3269" s="6" t="str">
        <f>IFERROR(__xludf.DUMMYFUNCTION("""COMPUTED_VALUE"""),"SPR/26/02/074")</f>
        <v>SPR/26/02/074</v>
      </c>
      <c r="L3269" s="58">
        <f>IFERROR(__xludf.DUMMYFUNCTION("""COMPUTED_VALUE"""),46080.0)</f>
        <v>46080</v>
      </c>
    </row>
    <row r="3270">
      <c r="A3270" s="6" t="str">
        <f>IFERROR(__xludf.DUMMYFUNCTION("""COMPUTED_VALUE"""),"ROS")</f>
        <v>ROS</v>
      </c>
      <c r="B3270" s="6" t="str">
        <f>IFERROR(__xludf.DUMMYFUNCTION("""COMPUTED_VALUE"""),"ENG")</f>
        <v>ENG</v>
      </c>
      <c r="C3270" s="6" t="str">
        <f>IFERROR(__xludf.DUMMYFUNCTION("""COMPUTED_VALUE"""),"O-20913-00")</f>
        <v>O-20913-00</v>
      </c>
      <c r="D3270" s="6" t="str">
        <f>IFERROR(__xludf.DUMMYFUNCTION("""COMPUTED_VALUE"""),"General - Air Gripper; SMC; MHZJ2 20DS X43 X81B; 1 Pc")</f>
        <v>General - Air Gripper; SMC; MHZJ2 20DS X43 X81B; 1 Pc</v>
      </c>
      <c r="E3270" s="6">
        <f>IFERROR(__xludf.DUMMYFUNCTION("""COMPUTED_VALUE"""),2.0)</f>
        <v>2</v>
      </c>
      <c r="F3270" s="6">
        <f>IFERROR(__xludf.DUMMYFUNCTION("""COMPUTED_VALUE"""),2.0)</f>
        <v>2</v>
      </c>
      <c r="G3270" s="6">
        <f>IFERROR(__xludf.DUMMYFUNCTION("""COMPUTED_VALUE"""),0.0)</f>
        <v>0</v>
      </c>
      <c r="H3270" s="6" t="str">
        <f>IFERROR(__xludf.DUMMYFUNCTION("""COMPUTED_VALUE"""),"Pcs")</f>
        <v>Pcs</v>
      </c>
      <c r="I3270" s="6" t="str">
        <f>IFERROR(__xludf.DUMMYFUNCTION("""COMPUTED_VALUE"""),"MFH")</f>
        <v>MFH</v>
      </c>
      <c r="J3270" s="6" t="str">
        <f>IFERROR(__xludf.DUMMYFUNCTION("""COMPUTED_VALUE"""),"Washing")</f>
        <v>Washing</v>
      </c>
      <c r="K3270" s="6" t="str">
        <f>IFERROR(__xludf.DUMMYFUNCTION("""COMPUTED_VALUE"""),"SPR/26/02/075")</f>
        <v>SPR/26/02/075</v>
      </c>
      <c r="L3270" s="58">
        <f>IFERROR(__xludf.DUMMYFUNCTION("""COMPUTED_VALUE"""),46080.0)</f>
        <v>46080</v>
      </c>
    </row>
    <row r="3271">
      <c r="A3271" s="6" t="str">
        <f>IFERROR(__xludf.DUMMYFUNCTION("""COMPUTED_VALUE"""),"ROS")</f>
        <v>ROS</v>
      </c>
      <c r="B3271" s="6" t="str">
        <f>IFERROR(__xludf.DUMMYFUNCTION("""COMPUTED_VALUE"""),"ENG")</f>
        <v>ENG</v>
      </c>
      <c r="C3271" s="6" t="str">
        <f>IFERROR(__xludf.DUMMYFUNCTION("""COMPUTED_VALUE"""),"P-13389-00")</f>
        <v>P-13389-00</v>
      </c>
      <c r="D3271" s="6" t="str">
        <f>IFERROR(__xludf.DUMMYFUNCTION("""COMPUTED_VALUE"""),"Scotch Brite 3M; ; ;")</f>
        <v>Scotch Brite 3M; ; ;</v>
      </c>
      <c r="E3271" s="6">
        <f>IFERROR(__xludf.DUMMYFUNCTION("""COMPUTED_VALUE"""),1.0)</f>
        <v>1</v>
      </c>
      <c r="F3271" s="6">
        <f>IFERROR(__xludf.DUMMYFUNCTION("""COMPUTED_VALUE"""),1.0)</f>
        <v>1</v>
      </c>
      <c r="G3271" s="6">
        <f>IFERROR(__xludf.DUMMYFUNCTION("""COMPUTED_VALUE"""),0.0)</f>
        <v>0</v>
      </c>
      <c r="H3271" s="6" t="str">
        <f>IFERROR(__xludf.DUMMYFUNCTION("""COMPUTED_VALUE"""),"pcs")</f>
        <v>pcs</v>
      </c>
      <c r="I3271" s="6" t="str">
        <f>IFERROR(__xludf.DUMMYFUNCTION("""COMPUTED_VALUE"""),"MFH")</f>
        <v>MFH</v>
      </c>
      <c r="J3271" s="6" t="str">
        <f>IFERROR(__xludf.DUMMYFUNCTION("""COMPUTED_VALUE"""),"Washing")</f>
        <v>Washing</v>
      </c>
      <c r="K3271" s="6" t="str">
        <f>IFERROR(__xludf.DUMMYFUNCTION("""COMPUTED_VALUE"""),"SPR/26/02/075")</f>
        <v>SPR/26/02/075</v>
      </c>
      <c r="L3271" s="58">
        <f>IFERROR(__xludf.DUMMYFUNCTION("""COMPUTED_VALUE"""),46080.0)</f>
        <v>46080</v>
      </c>
    </row>
    <row r="3272">
      <c r="A3272" s="6" t="str">
        <f>IFERROR(__xludf.DUMMYFUNCTION("""COMPUTED_VALUE"""),"ROS")</f>
        <v>ROS</v>
      </c>
      <c r="B3272" s="6" t="str">
        <f>IFERROR(__xludf.DUMMYFUNCTION("""COMPUTED_VALUE"""),"ENG")</f>
        <v>ENG</v>
      </c>
      <c r="C3272" s="6" t="str">
        <f>IFERROR(__xludf.DUMMYFUNCTION("""COMPUTED_VALUE"""),"O-16647-00")</f>
        <v>O-16647-00</v>
      </c>
      <c r="D3272" s="6" t="str">
        <f>IFERROR(__xludf.DUMMYFUNCTION("""COMPUTED_VALUE"""),"Washing RAR4 - Oring Silicone Merah 23x18x2.5 mm; ; ;")</f>
        <v>Washing RAR4 - Oring Silicone Merah 23x18x2.5 mm; ; ;</v>
      </c>
      <c r="E3272" s="6">
        <f>IFERROR(__xludf.DUMMYFUNCTION("""COMPUTED_VALUE"""),10.0)</f>
        <v>10</v>
      </c>
      <c r="F3272" s="6">
        <f>IFERROR(__xludf.DUMMYFUNCTION("""COMPUTED_VALUE"""),10.0)</f>
        <v>10</v>
      </c>
      <c r="G3272" s="6">
        <f>IFERROR(__xludf.DUMMYFUNCTION("""COMPUTED_VALUE"""),0.0)</f>
        <v>0</v>
      </c>
      <c r="H3272" s="6" t="str">
        <f>IFERROR(__xludf.DUMMYFUNCTION("""COMPUTED_VALUE"""),"Pcs")</f>
        <v>Pcs</v>
      </c>
      <c r="I3272" s="6" t="str">
        <f>IFERROR(__xludf.DUMMYFUNCTION("""COMPUTED_VALUE"""),"MFH")</f>
        <v>MFH</v>
      </c>
      <c r="J3272" s="6" t="str">
        <f>IFERROR(__xludf.DUMMYFUNCTION("""COMPUTED_VALUE"""),"Capping")</f>
        <v>Capping</v>
      </c>
      <c r="K3272" s="6" t="str">
        <f>IFERROR(__xludf.DUMMYFUNCTION("""COMPUTED_VALUE"""),"SPR/26/02/075")</f>
        <v>SPR/26/02/075</v>
      </c>
      <c r="L3272" s="58">
        <f>IFERROR(__xludf.DUMMYFUNCTION("""COMPUTED_VALUE"""),46080.0)</f>
        <v>46080</v>
      </c>
    </row>
    <row r="3273">
      <c r="A3273" s="6" t="str">
        <f>IFERROR(__xludf.DUMMYFUNCTION("""COMPUTED_VALUE"""),"SFH")</f>
        <v>SFH</v>
      </c>
      <c r="B3273" s="6" t="str">
        <f>IFERROR(__xludf.DUMMYFUNCTION("""COMPUTED_VALUE"""),"ENG")</f>
        <v>ENG</v>
      </c>
      <c r="C3273" s="6" t="str">
        <f>IFERROR(__xludf.DUMMYFUNCTION("""COMPUTED_VALUE"""),"Q-10475-00")</f>
        <v>Q-10475-00</v>
      </c>
      <c r="D3273" s="6" t="str">
        <f>IFERROR(__xludf.DUMMYFUNCTION("""COMPUTED_VALUE"""),"Cat Tembok; ; ; - Cat Dulux Ambiance Brilliant White @ 20 Ltr")</f>
        <v>Cat Tembok; ; ; - Cat Dulux Ambiance Brilliant White @ 20 Ltr</v>
      </c>
      <c r="E3273" s="6">
        <f>IFERROR(__xludf.DUMMYFUNCTION("""COMPUTED_VALUE"""),1.0)</f>
        <v>1</v>
      </c>
      <c r="F3273" s="6">
        <f>IFERROR(__xludf.DUMMYFUNCTION("""COMPUTED_VALUE"""),1.0)</f>
        <v>1</v>
      </c>
      <c r="G3273" s="6">
        <f>IFERROR(__xludf.DUMMYFUNCTION("""COMPUTED_VALUE"""),0.0)</f>
        <v>0</v>
      </c>
      <c r="H3273" s="6" t="str">
        <f>IFERROR(__xludf.DUMMYFUNCTION("""COMPUTED_VALUE"""),"Pail")</f>
        <v>Pail</v>
      </c>
      <c r="I3273" s="6" t="str">
        <f>IFERROR(__xludf.DUMMYFUNCTION("""COMPUTED_VALUE"""),"MFH")</f>
        <v>MFH</v>
      </c>
      <c r="J3273" s="6" t="str">
        <f>IFERROR(__xludf.DUMMYFUNCTION("""COMPUTED_VALUE"""),"Building")</f>
        <v>Building</v>
      </c>
      <c r="K3273" s="6" t="str">
        <f>IFERROR(__xludf.DUMMYFUNCTION("""COMPUTED_VALUE"""),"SPR/26/02/076")</f>
        <v>SPR/26/02/076</v>
      </c>
      <c r="L3273" s="58">
        <f>IFERROR(__xludf.DUMMYFUNCTION("""COMPUTED_VALUE"""),46080.0)</f>
        <v>46080</v>
      </c>
    </row>
    <row r="3274">
      <c r="A3274" s="6" t="str">
        <f>IFERROR(__xludf.DUMMYFUNCTION("""COMPUTED_VALUE"""),"SFH")</f>
        <v>SFH</v>
      </c>
      <c r="B3274" s="6" t="str">
        <f>IFERROR(__xludf.DUMMYFUNCTION("""COMPUTED_VALUE"""),"ENG")</f>
        <v>ENG</v>
      </c>
      <c r="C3274" s="6" t="str">
        <f>IFERROR(__xludf.DUMMYFUNCTION("""COMPUTED_VALUE"""),"Q-10401-00")</f>
        <v>Q-10401-00</v>
      </c>
      <c r="D3274" s="6" t="str">
        <f>IFERROR(__xludf.DUMMYFUNCTION("""COMPUTED_VALUE"""),"Kuas Cat Uk. 3 inch;Eterna;Tipe 611;pack size per pcs")</f>
        <v>Kuas Cat Uk. 3 inch;Eterna;Tipe 611;pack size per pcs</v>
      </c>
      <c r="E3274" s="6">
        <f>IFERROR(__xludf.DUMMYFUNCTION("""COMPUTED_VALUE"""),1.0)</f>
        <v>1</v>
      </c>
      <c r="F3274" s="6">
        <f>IFERROR(__xludf.DUMMYFUNCTION("""COMPUTED_VALUE"""),1.0)</f>
        <v>1</v>
      </c>
      <c r="G3274" s="6">
        <f>IFERROR(__xludf.DUMMYFUNCTION("""COMPUTED_VALUE"""),0.0)</f>
        <v>0</v>
      </c>
      <c r="H3274" s="6" t="str">
        <f>IFERROR(__xludf.DUMMYFUNCTION("""COMPUTED_VALUE"""),"Pcs")</f>
        <v>Pcs</v>
      </c>
      <c r="I3274" s="6" t="str">
        <f>IFERROR(__xludf.DUMMYFUNCTION("""COMPUTED_VALUE"""),"MFH")</f>
        <v>MFH</v>
      </c>
      <c r="J3274" s="6" t="str">
        <f>IFERROR(__xludf.DUMMYFUNCTION("""COMPUTED_VALUE"""),"Building")</f>
        <v>Building</v>
      </c>
      <c r="K3274" s="6" t="str">
        <f>IFERROR(__xludf.DUMMYFUNCTION("""COMPUTED_VALUE"""),"SPR/26/02/076")</f>
        <v>SPR/26/02/076</v>
      </c>
      <c r="L3274" s="58">
        <f>IFERROR(__xludf.DUMMYFUNCTION("""COMPUTED_VALUE"""),46080.0)</f>
        <v>46080</v>
      </c>
    </row>
    <row r="3275">
      <c r="A3275" s="6" t="str">
        <f>IFERROR(__xludf.DUMMYFUNCTION("""COMPUTED_VALUE"""),"SFH")</f>
        <v>SFH</v>
      </c>
      <c r="B3275" s="6" t="str">
        <f>IFERROR(__xludf.DUMMYFUNCTION("""COMPUTED_VALUE"""),"ENG")</f>
        <v>ENG</v>
      </c>
      <c r="C3275" s="6" t="str">
        <f>IFERROR(__xludf.DUMMYFUNCTION("""COMPUTED_VALUE"""),"Q-10154-00")</f>
        <v>Q-10154-00</v>
      </c>
      <c r="D3275" s="6" t="str">
        <f>IFERROR(__xludf.DUMMYFUNCTION("""COMPUTED_VALUE"""),"Kuas Cat Roller uk. 230 mm;No Brand;;pack size per set")</f>
        <v>Kuas Cat Roller uk. 230 mm;No Brand;;pack size per set</v>
      </c>
      <c r="E3275" s="6">
        <f>IFERROR(__xludf.DUMMYFUNCTION("""COMPUTED_VALUE"""),1.0)</f>
        <v>1</v>
      </c>
      <c r="F3275" s="6">
        <f>IFERROR(__xludf.DUMMYFUNCTION("""COMPUTED_VALUE"""),1.0)</f>
        <v>1</v>
      </c>
      <c r="G3275" s="6">
        <f>IFERROR(__xludf.DUMMYFUNCTION("""COMPUTED_VALUE"""),0.0)</f>
        <v>0</v>
      </c>
      <c r="H3275" s="6" t="str">
        <f>IFERROR(__xludf.DUMMYFUNCTION("""COMPUTED_VALUE"""),"Pcs")</f>
        <v>Pcs</v>
      </c>
      <c r="I3275" s="6" t="str">
        <f>IFERROR(__xludf.DUMMYFUNCTION("""COMPUTED_VALUE"""),"MFH")</f>
        <v>MFH</v>
      </c>
      <c r="J3275" s="6" t="str">
        <f>IFERROR(__xludf.DUMMYFUNCTION("""COMPUTED_VALUE"""),"Building")</f>
        <v>Building</v>
      </c>
      <c r="K3275" s="6" t="str">
        <f>IFERROR(__xludf.DUMMYFUNCTION("""COMPUTED_VALUE"""),"SPR/26/02/076")</f>
        <v>SPR/26/02/076</v>
      </c>
      <c r="L3275" s="58">
        <f>IFERROR(__xludf.DUMMYFUNCTION("""COMPUTED_VALUE"""),46080.0)</f>
        <v>46080</v>
      </c>
    </row>
    <row r="3276">
      <c r="A3276" s="6" t="str">
        <f>IFERROR(__xludf.DUMMYFUNCTION("""COMPUTED_VALUE"""),"MOB")</f>
        <v>MOB</v>
      </c>
      <c r="B3276" s="6" t="str">
        <f>IFERROR(__xludf.DUMMYFUNCTION("""COMPUTED_VALUE"""),"ENG")</f>
        <v>ENG</v>
      </c>
      <c r="C3276" s="6" t="str">
        <f>IFERROR(__xludf.DUMMYFUNCTION("""COMPUTED_VALUE"""),"J-10205-02")</f>
        <v>J-10205-02</v>
      </c>
      <c r="D3276" s="6" t="str">
        <f>IFERROR(__xludf.DUMMYFUNCTION("""COMPUTED_VALUE"""),"Chlorine Test; Merck; c/n 1.14978.0001; 600 tests/pack")</f>
        <v>Chlorine Test; Merck; c/n 1.14978.0001; 600 tests/pack</v>
      </c>
      <c r="E3276" s="6">
        <f>IFERROR(__xludf.DUMMYFUNCTION("""COMPUTED_VALUE"""),1.0)</f>
        <v>1</v>
      </c>
      <c r="F3276" s="6">
        <f>IFERROR(__xludf.DUMMYFUNCTION("""COMPUTED_VALUE"""),1.0)</f>
        <v>1</v>
      </c>
      <c r="G3276" s="6">
        <f>IFERROR(__xludf.DUMMYFUNCTION("""COMPUTED_VALUE"""),0.0)</f>
        <v>0</v>
      </c>
      <c r="H3276" s="6" t="str">
        <f>IFERROR(__xludf.DUMMYFUNCTION("""COMPUTED_VALUE"""),"Pcs")</f>
        <v>Pcs</v>
      </c>
      <c r="I3276" s="6" t="str">
        <f>IFERROR(__xludf.DUMMYFUNCTION("""COMPUTED_VALUE"""),"MFH")</f>
        <v>MFH</v>
      </c>
      <c r="J3276" s="6" t="str">
        <f>IFERROR(__xludf.DUMMYFUNCTION("""COMPUTED_VALUE"""),"-")</f>
        <v>-</v>
      </c>
      <c r="K3276" s="6" t="str">
        <f>IFERROR(__xludf.DUMMYFUNCTION("""COMPUTED_VALUE"""),"SPR/26/02/077")</f>
        <v>SPR/26/02/077</v>
      </c>
      <c r="L3276" s="58">
        <f>IFERROR(__xludf.DUMMYFUNCTION("""COMPUTED_VALUE"""),46080.0)</f>
        <v>46080</v>
      </c>
    </row>
    <row r="3277">
      <c r="A3277" s="6" t="str">
        <f>IFERROR(__xludf.DUMMYFUNCTION("""COMPUTED_VALUE"""),"BDU")</f>
        <v>BDU</v>
      </c>
      <c r="B3277" s="6" t="str">
        <f>IFERROR(__xludf.DUMMYFUNCTION("""COMPUTED_VALUE"""),"ENG")</f>
        <v>ENG</v>
      </c>
      <c r="C3277" s="6" t="str">
        <f>IFERROR(__xludf.DUMMYFUNCTION("""COMPUTED_VALUE"""),"P-51559-00")</f>
        <v>P-51559-00</v>
      </c>
      <c r="D3277" s="6" t="str">
        <f>IFERROR(__xludf.DUMMYFUNCTION("""COMPUTED_VALUE"""),"General - Lampu TL LED T5 14 W White; Philips; -; 1 unt")</f>
        <v>General - Lampu TL LED T5 14 W White; Philips; -; 1 unt</v>
      </c>
      <c r="E3277" s="6">
        <f>IFERROR(__xludf.DUMMYFUNCTION("""COMPUTED_VALUE"""),1.0)</f>
        <v>1</v>
      </c>
      <c r="F3277" s="6">
        <f>IFERROR(__xludf.DUMMYFUNCTION("""COMPUTED_VALUE"""),2.0)</f>
        <v>2</v>
      </c>
      <c r="G3277" s="6">
        <f>IFERROR(__xludf.DUMMYFUNCTION("""COMPUTED_VALUE"""),0.0)</f>
        <v>0</v>
      </c>
      <c r="H3277" s="6" t="str">
        <f>IFERROR(__xludf.DUMMYFUNCTION("""COMPUTED_VALUE"""),"Pcs")</f>
        <v>Pcs</v>
      </c>
      <c r="I3277" s="6" t="str">
        <f>IFERROR(__xludf.DUMMYFUNCTION("""COMPUTED_VALUE"""),"MFH")</f>
        <v>MFH</v>
      </c>
      <c r="J3277" s="6" t="str">
        <f>IFERROR(__xludf.DUMMYFUNCTION("""COMPUTED_VALUE"""),"Building")</f>
        <v>Building</v>
      </c>
      <c r="K3277" s="6" t="str">
        <f>IFERROR(__xludf.DUMMYFUNCTION("""COMPUTED_VALUE"""),"SPR/26/02/078")</f>
        <v>SPR/26/02/078</v>
      </c>
      <c r="L3277" s="58">
        <f>IFERROR(__xludf.DUMMYFUNCTION("""COMPUTED_VALUE"""),46080.0)</f>
        <v>46080</v>
      </c>
    </row>
    <row r="3278">
      <c r="A3278" s="6" t="str">
        <f>IFERROR(__xludf.DUMMYFUNCTION("""COMPUTED_VALUE"""),"ROS")</f>
        <v>ROS</v>
      </c>
      <c r="B3278" s="6" t="str">
        <f>IFERROR(__xludf.DUMMYFUNCTION("""COMPUTED_VALUE"""),"ENG")</f>
        <v>ENG</v>
      </c>
      <c r="C3278" s="6" t="str">
        <f>IFERROR(__xludf.DUMMYFUNCTION("""COMPUTED_VALUE"""),"O-16647-00")</f>
        <v>O-16647-00</v>
      </c>
      <c r="D3278" s="6" t="str">
        <f>IFERROR(__xludf.DUMMYFUNCTION("""COMPUTED_VALUE"""),"Washing RAR4 - Oring Silicone Merah 23x18x2.5 mm; ; ;")</f>
        <v>Washing RAR4 - Oring Silicone Merah 23x18x2.5 mm; ; ;</v>
      </c>
      <c r="E3278" s="6">
        <f>IFERROR(__xludf.DUMMYFUNCTION("""COMPUTED_VALUE"""),10.0)</f>
        <v>10</v>
      </c>
      <c r="F3278" s="6">
        <f>IFERROR(__xludf.DUMMYFUNCTION("""COMPUTED_VALUE"""),10.0)</f>
        <v>10</v>
      </c>
      <c r="G3278" s="6">
        <f>IFERROR(__xludf.DUMMYFUNCTION("""COMPUTED_VALUE"""),0.0)</f>
        <v>0</v>
      </c>
      <c r="H3278" s="6" t="str">
        <f>IFERROR(__xludf.DUMMYFUNCTION("""COMPUTED_VALUE"""),"Pcs")</f>
        <v>Pcs</v>
      </c>
      <c r="I3278" s="6" t="str">
        <f>IFERROR(__xludf.DUMMYFUNCTION("""COMPUTED_VALUE"""),"MFH")</f>
        <v>MFH</v>
      </c>
      <c r="J3278" s="6" t="str">
        <f>IFERROR(__xludf.DUMMYFUNCTION("""COMPUTED_VALUE"""),"Capping")</f>
        <v>Capping</v>
      </c>
      <c r="K3278" s="6" t="str">
        <f>IFERROR(__xludf.DUMMYFUNCTION("""COMPUTED_VALUE"""),"SPR/26/02/079")</f>
        <v>SPR/26/02/079</v>
      </c>
      <c r="L3278" s="58">
        <f>IFERROR(__xludf.DUMMYFUNCTION("""COMPUTED_VALUE"""),46080.0)</f>
        <v>46080</v>
      </c>
    </row>
    <row r="3279">
      <c r="A3279" s="6" t="str">
        <f>IFERROR(__xludf.DUMMYFUNCTION("""COMPUTED_VALUE"""),"ROS")</f>
        <v>ROS</v>
      </c>
      <c r="B3279" s="6" t="str">
        <f>IFERROR(__xludf.DUMMYFUNCTION("""COMPUTED_VALUE"""),"ENG")</f>
        <v>ENG</v>
      </c>
      <c r="C3279" s="6" t="str">
        <f>IFERROR(__xludf.DUMMYFUNCTION("""COMPUTED_VALUE"""),"P-19895-00")</f>
        <v>P-19895-00</v>
      </c>
      <c r="D3279" s="6" t="str">
        <f>IFERROR(__xludf.DUMMYFUNCTION("""COMPUTED_VALUE"""),"General - Baut M4 x 60mm + Mur + Ring; No Brand; -; 1 pc")</f>
        <v>General - Baut M4 x 60mm + Mur + Ring; No Brand; -; 1 pc</v>
      </c>
      <c r="E3279" s="6">
        <f>IFERROR(__xludf.DUMMYFUNCTION("""COMPUTED_VALUE"""),3.0)</f>
        <v>3</v>
      </c>
      <c r="F3279" s="6">
        <f>IFERROR(__xludf.DUMMYFUNCTION("""COMPUTED_VALUE"""),8.0)</f>
        <v>8</v>
      </c>
      <c r="G3279" s="6">
        <f>IFERROR(__xludf.DUMMYFUNCTION("""COMPUTED_VALUE"""),0.0)</f>
        <v>0</v>
      </c>
      <c r="H3279" s="6" t="str">
        <f>IFERROR(__xludf.DUMMYFUNCTION("""COMPUTED_VALUE"""),"Pcs")</f>
        <v>Pcs</v>
      </c>
      <c r="I3279" s="6" t="str">
        <f>IFERROR(__xludf.DUMMYFUNCTION("""COMPUTED_VALUE"""),"MFH")</f>
        <v>MFH</v>
      </c>
      <c r="J3279" s="6" t="str">
        <f>IFERROR(__xludf.DUMMYFUNCTION("""COMPUTED_VALUE"""),"Aerosol")</f>
        <v>Aerosol</v>
      </c>
      <c r="K3279" s="6" t="str">
        <f>IFERROR(__xludf.DUMMYFUNCTION("""COMPUTED_VALUE"""),"SPR/26/02/079")</f>
        <v>SPR/26/02/079</v>
      </c>
      <c r="L3279" s="58">
        <f>IFERROR(__xludf.DUMMYFUNCTION("""COMPUTED_VALUE"""),46080.0)</f>
        <v>46080</v>
      </c>
    </row>
    <row r="3280">
      <c r="A3280" s="6" t="str">
        <f>IFERROR(__xludf.DUMMYFUNCTION("""COMPUTED_VALUE"""),"BDU")</f>
        <v>BDU</v>
      </c>
      <c r="B3280" s="6" t="str">
        <f>IFERROR(__xludf.DUMMYFUNCTION("""COMPUTED_VALUE"""),"ENG")</f>
        <v>ENG</v>
      </c>
      <c r="C3280" s="6" t="str">
        <f>IFERROR(__xludf.DUMMYFUNCTION("""COMPUTED_VALUE"""),"P-51560-00")</f>
        <v>P-51560-00</v>
      </c>
      <c r="D3280" s="6" t="str">
        <f>IFERROR(__xludf.DUMMYFUNCTION("""COMPUTED_VALUE"""),"General - Lampu TL LED T5 28 W White; Philips; -; 1 unt")</f>
        <v>General - Lampu TL LED T5 28 W White; Philips; -; 1 unt</v>
      </c>
      <c r="E3280" s="6">
        <f>IFERROR(__xludf.DUMMYFUNCTION("""COMPUTED_VALUE"""),1.0)</f>
        <v>1</v>
      </c>
      <c r="F3280" s="6">
        <f>IFERROR(__xludf.DUMMYFUNCTION("""COMPUTED_VALUE"""),1.0)</f>
        <v>1</v>
      </c>
      <c r="G3280" s="6">
        <f>IFERROR(__xludf.DUMMYFUNCTION("""COMPUTED_VALUE"""),0.0)</f>
        <v>0</v>
      </c>
      <c r="H3280" s="6" t="str">
        <f>IFERROR(__xludf.DUMMYFUNCTION("""COMPUTED_VALUE"""),"Pcs")</f>
        <v>Pcs</v>
      </c>
      <c r="I3280" s="6" t="str">
        <f>IFERROR(__xludf.DUMMYFUNCTION("""COMPUTED_VALUE"""),"MFH")</f>
        <v>MFH</v>
      </c>
      <c r="J3280" s="6" t="str">
        <f>IFERROR(__xludf.DUMMYFUNCTION("""COMPUTED_VALUE"""),"Building")</f>
        <v>Building</v>
      </c>
      <c r="K3280" s="6" t="str">
        <f>IFERROR(__xludf.DUMMYFUNCTION("""COMPUTED_VALUE"""),"SPR/26/02/080")</f>
        <v>SPR/26/02/080</v>
      </c>
      <c r="L3280" s="58">
        <f>IFERROR(__xludf.DUMMYFUNCTION("""COMPUTED_VALUE"""),46080.0)</f>
        <v>46080</v>
      </c>
    </row>
    <row r="3281">
      <c r="A3281" s="6" t="str">
        <f>IFERROR(__xludf.DUMMYFUNCTION("""COMPUTED_VALUE"""),"BDU")</f>
        <v>BDU</v>
      </c>
      <c r="B3281" s="6" t="str">
        <f>IFERROR(__xludf.DUMMYFUNCTION("""COMPUTED_VALUE"""),"ENG")</f>
        <v>ENG</v>
      </c>
      <c r="C3281" s="6" t="str">
        <f>IFERROR(__xludf.DUMMYFUNCTION("""COMPUTED_VALUE"""),"P-53102-00")</f>
        <v>P-53102-00</v>
      </c>
      <c r="D3281" s="6" t="str">
        <f>IFERROR(__xludf.DUMMYFUNCTION("""COMPUTED_VALUE"""),"Lampu PLC 13watt/E27 Putih; Phillips; ;")</f>
        <v>Lampu PLC 13watt/E27 Putih; Phillips; ;</v>
      </c>
      <c r="E3281" s="6">
        <f>IFERROR(__xludf.DUMMYFUNCTION("""COMPUTED_VALUE"""),2.0)</f>
        <v>2</v>
      </c>
      <c r="F3281" s="6">
        <f>IFERROR(__xludf.DUMMYFUNCTION("""COMPUTED_VALUE"""),2.0)</f>
        <v>2</v>
      </c>
      <c r="G3281" s="6">
        <f>IFERROR(__xludf.DUMMYFUNCTION("""COMPUTED_VALUE"""),0.0)</f>
        <v>0</v>
      </c>
      <c r="H3281" s="6" t="str">
        <f>IFERROR(__xludf.DUMMYFUNCTION("""COMPUTED_VALUE"""),"Pcs")</f>
        <v>Pcs</v>
      </c>
      <c r="I3281" s="6" t="str">
        <f>IFERROR(__xludf.DUMMYFUNCTION("""COMPUTED_VALUE"""),"MFH")</f>
        <v>MFH</v>
      </c>
      <c r="J3281" s="6" t="str">
        <f>IFERROR(__xludf.DUMMYFUNCTION("""COMPUTED_VALUE"""),"Building")</f>
        <v>Building</v>
      </c>
      <c r="K3281" s="6" t="str">
        <f>IFERROR(__xludf.DUMMYFUNCTION("""COMPUTED_VALUE"""),"SPR/26/02/080")</f>
        <v>SPR/26/02/080</v>
      </c>
      <c r="L3281" s="58">
        <f>IFERROR(__xludf.DUMMYFUNCTION("""COMPUTED_VALUE"""),46080.0)</f>
        <v>46080</v>
      </c>
    </row>
    <row r="3282">
      <c r="A3282" s="6" t="str">
        <f>IFERROR(__xludf.DUMMYFUNCTION("""COMPUTED_VALUE"""),"ROS")</f>
        <v>ROS</v>
      </c>
      <c r="B3282" s="6" t="str">
        <f>IFERROR(__xludf.DUMMYFUNCTION("""COMPUTED_VALUE"""),"ENG")</f>
        <v>ENG</v>
      </c>
      <c r="C3282" s="6" t="str">
        <f>IFERROR(__xludf.DUMMYFUNCTION("""COMPUTED_VALUE"""),"-")</f>
        <v>-</v>
      </c>
      <c r="D3282" s="6" t="str">
        <f>IFERROR(__xludf.DUMMYFUNCTION("""COMPUTED_VALUE"""),"Strainer Autoclave")</f>
        <v>Strainer Autoclave</v>
      </c>
      <c r="E3282" s="6">
        <f>IFERROR(__xludf.DUMMYFUNCTION("""COMPUTED_VALUE"""),1.0)</f>
        <v>1</v>
      </c>
      <c r="F3282" s="6">
        <f>IFERROR(__xludf.DUMMYFUNCTION("""COMPUTED_VALUE"""),1.0)</f>
        <v>1</v>
      </c>
      <c r="G3282" s="6">
        <f>IFERROR(__xludf.DUMMYFUNCTION("""COMPUTED_VALUE"""),0.0)</f>
        <v>0</v>
      </c>
      <c r="H3282" s="6" t="str">
        <f>IFERROR(__xludf.DUMMYFUNCTION("""COMPUTED_VALUE"""),"Pcs")</f>
        <v>Pcs</v>
      </c>
      <c r="I3282" s="6" t="str">
        <f>IFERROR(__xludf.DUMMYFUNCTION("""COMPUTED_VALUE"""),"MFH")</f>
        <v>MFH</v>
      </c>
      <c r="J3282" s="6" t="str">
        <f>IFERROR(__xludf.DUMMYFUNCTION("""COMPUTED_VALUE"""),"Autoclave")</f>
        <v>Autoclave</v>
      </c>
      <c r="K3282" s="6" t="str">
        <f>IFERROR(__xludf.DUMMYFUNCTION("""COMPUTED_VALUE"""),"SPR/26/02/081")</f>
        <v>SPR/26/02/081</v>
      </c>
      <c r="L3282" s="58">
        <f>IFERROR(__xludf.DUMMYFUNCTION("""COMPUTED_VALUE"""),46080.0)</f>
        <v>46080</v>
      </c>
    </row>
    <row r="3283">
      <c r="A3283" s="6" t="str">
        <f>IFERROR(__xludf.DUMMYFUNCTION("""COMPUTED_VALUE"""),"ROS")</f>
        <v>ROS</v>
      </c>
      <c r="B3283" s="6" t="str">
        <f>IFERROR(__xludf.DUMMYFUNCTION("""COMPUTED_VALUE"""),"ENG")</f>
        <v>ENG</v>
      </c>
      <c r="C3283" s="6" t="str">
        <f>IFERROR(__xludf.DUMMYFUNCTION("""COMPUTED_VALUE"""),"O-16647-00")</f>
        <v>O-16647-00</v>
      </c>
      <c r="D3283" s="6" t="str">
        <f>IFERROR(__xludf.DUMMYFUNCTION("""COMPUTED_VALUE"""),"Washing RAR4 - Oring Silicone Merah 23x18x2.5 mm; ; ;")</f>
        <v>Washing RAR4 - Oring Silicone Merah 23x18x2.5 mm; ; ;</v>
      </c>
      <c r="E3283" s="6">
        <f>IFERROR(__xludf.DUMMYFUNCTION("""COMPUTED_VALUE"""),10.0)</f>
        <v>10</v>
      </c>
      <c r="F3283" s="6">
        <f>IFERROR(__xludf.DUMMYFUNCTION("""COMPUTED_VALUE"""),10.0)</f>
        <v>10</v>
      </c>
      <c r="G3283" s="6">
        <f>IFERROR(__xludf.DUMMYFUNCTION("""COMPUTED_VALUE"""),0.0)</f>
        <v>0</v>
      </c>
      <c r="H3283" s="6" t="str">
        <f>IFERROR(__xludf.DUMMYFUNCTION("""COMPUTED_VALUE"""),"Pcs")</f>
        <v>Pcs</v>
      </c>
      <c r="I3283" s="6" t="str">
        <f>IFERROR(__xludf.DUMMYFUNCTION("""COMPUTED_VALUE"""),"MFH")</f>
        <v>MFH</v>
      </c>
      <c r="J3283" s="6" t="str">
        <f>IFERROR(__xludf.DUMMYFUNCTION("""COMPUTED_VALUE"""),"Capping")</f>
        <v>Capping</v>
      </c>
      <c r="K3283" s="6" t="str">
        <f>IFERROR(__xludf.DUMMYFUNCTION("""COMPUTED_VALUE"""),"SPR/26/02/081")</f>
        <v>SPR/26/02/081</v>
      </c>
      <c r="L3283" s="58">
        <f>IFERROR(__xludf.DUMMYFUNCTION("""COMPUTED_VALUE"""),46080.0)</f>
        <v>46080</v>
      </c>
    </row>
    <row r="3284">
      <c r="A3284" s="6" t="str">
        <f>IFERROR(__xludf.DUMMYFUNCTION("""COMPUTED_VALUE"""),"ANO")</f>
        <v>ANO</v>
      </c>
      <c r="B3284" s="6" t="str">
        <f>IFERROR(__xludf.DUMMYFUNCTION("""COMPUTED_VALUE"""),"ENG")</f>
        <v>ENG</v>
      </c>
      <c r="C3284" s="6" t="str">
        <f>IFERROR(__xludf.DUMMYFUNCTION("""COMPUTED_VALUE"""),"O-17279-00")</f>
        <v>O-17279-00</v>
      </c>
      <c r="D3284" s="6" t="str">
        <f>IFERROR(__xludf.DUMMYFUNCTION("""COMPUTED_VALUE"""),"General - Compact Cylinder, ADVULQ-20-110-P-A; Festo; 156102; 1 pcs")</f>
        <v>General - Compact Cylinder, ADVULQ-20-110-P-A; Festo; 156102; 1 pcs</v>
      </c>
      <c r="E3284" s="6">
        <f>IFERROR(__xludf.DUMMYFUNCTION("""COMPUTED_VALUE"""),1.0)</f>
        <v>1</v>
      </c>
      <c r="F3284" s="6">
        <f>IFERROR(__xludf.DUMMYFUNCTION("""COMPUTED_VALUE"""),1.0)</f>
        <v>1</v>
      </c>
      <c r="G3284" s="6">
        <f>IFERROR(__xludf.DUMMYFUNCTION("""COMPUTED_VALUE"""),0.0)</f>
        <v>0</v>
      </c>
      <c r="H3284" s="6" t="str">
        <f>IFERROR(__xludf.DUMMYFUNCTION("""COMPUTED_VALUE"""),"Pcs")</f>
        <v>Pcs</v>
      </c>
      <c r="I3284" s="6" t="str">
        <f>IFERROR(__xludf.DUMMYFUNCTION("""COMPUTED_VALUE"""),"MFH")</f>
        <v>MFH</v>
      </c>
      <c r="J3284" s="6" t="str">
        <f>IFERROR(__xludf.DUMMYFUNCTION("""COMPUTED_VALUE"""),"Washing")</f>
        <v>Washing</v>
      </c>
      <c r="K3284" s="6" t="str">
        <f>IFERROR(__xludf.DUMMYFUNCTION("""COMPUTED_VALUE"""),"SPR/26/02/082")</f>
        <v>SPR/26/02/082</v>
      </c>
      <c r="L3284" s="58">
        <f>IFERROR(__xludf.DUMMYFUNCTION("""COMPUTED_VALUE"""),46080.0)</f>
        <v>46080</v>
      </c>
    </row>
    <row r="3285">
      <c r="A3285" s="6" t="str">
        <f>IFERROR(__xludf.DUMMYFUNCTION("""COMPUTED_VALUE"""),"ROS")</f>
        <v>ROS</v>
      </c>
      <c r="B3285" s="6" t="str">
        <f>IFERROR(__xludf.DUMMYFUNCTION("""COMPUTED_VALUE"""),"ENG")</f>
        <v>ENG</v>
      </c>
      <c r="C3285" s="6" t="str">
        <f>IFERROR(__xludf.DUMMYFUNCTION("""COMPUTED_VALUE"""),"P-17361-00")</f>
        <v>P-17361-00</v>
      </c>
      <c r="D3285" s="6" t="str">
        <f>IFERROR(__xludf.DUMMYFUNCTION("""COMPUTED_VALUE"""),"General - O-ring EPDM 15 x 9 x 3 mm; No Brand; -; 1 pc")</f>
        <v>General - O-ring EPDM 15 x 9 x 3 mm; No Brand; -; 1 pc</v>
      </c>
      <c r="E3285" s="6">
        <f>IFERROR(__xludf.DUMMYFUNCTION("""COMPUTED_VALUE"""),2.0)</f>
        <v>2</v>
      </c>
      <c r="F3285" s="6">
        <f>IFERROR(__xludf.DUMMYFUNCTION("""COMPUTED_VALUE"""),2.0)</f>
        <v>2</v>
      </c>
      <c r="G3285" s="6">
        <f>IFERROR(__xludf.DUMMYFUNCTION("""COMPUTED_VALUE"""),0.0)</f>
        <v>0</v>
      </c>
      <c r="H3285" s="6" t="str">
        <f>IFERROR(__xludf.DUMMYFUNCTION("""COMPUTED_VALUE"""),"Pcs")</f>
        <v>Pcs</v>
      </c>
      <c r="I3285" s="6" t="str">
        <f>IFERROR(__xludf.DUMMYFUNCTION("""COMPUTED_VALUE"""),"MFH")</f>
        <v>MFH</v>
      </c>
      <c r="J3285" s="6" t="str">
        <f>IFERROR(__xludf.DUMMYFUNCTION("""COMPUTED_VALUE"""),"Autoclave")</f>
        <v>Autoclave</v>
      </c>
      <c r="K3285" s="6" t="str">
        <f>IFERROR(__xludf.DUMMYFUNCTION("""COMPUTED_VALUE"""),"SPR/26/02/083")</f>
        <v>SPR/26/02/083</v>
      </c>
      <c r="L3285" s="58">
        <f>IFERROR(__xludf.DUMMYFUNCTION("""COMPUTED_VALUE"""),46080.0)</f>
        <v>46080</v>
      </c>
    </row>
    <row r="3286">
      <c r="A3286" s="6" t="str">
        <f>IFERROR(__xludf.DUMMYFUNCTION("""COMPUTED_VALUE"""),"ROS")</f>
        <v>ROS</v>
      </c>
      <c r="B3286" s="6" t="str">
        <f>IFERROR(__xludf.DUMMYFUNCTION("""COMPUTED_VALUE"""),"ENG")</f>
        <v>ENG</v>
      </c>
      <c r="C3286" s="6" t="str">
        <f>IFERROR(__xludf.DUMMYFUNCTION("""COMPUTED_VALUE"""),"P-12764-00")</f>
        <v>P-12764-00</v>
      </c>
      <c r="D3286" s="6" t="str">
        <f>IFERROR(__xludf.DUMMYFUNCTION("""COMPUTED_VALUE"""),"General - Silicone Gasket for Ferrule dia. 1/2inch; Custom; -; 1 pcs")</f>
        <v>General - Silicone Gasket for Ferrule dia. 1/2inch; Custom; -; 1 pcs</v>
      </c>
      <c r="E3286" s="6">
        <f>IFERROR(__xludf.DUMMYFUNCTION("""COMPUTED_VALUE"""),1.0)</f>
        <v>1</v>
      </c>
      <c r="F3286" s="6">
        <f>IFERROR(__xludf.DUMMYFUNCTION("""COMPUTED_VALUE"""),1.0)</f>
        <v>1</v>
      </c>
      <c r="G3286" s="6">
        <f>IFERROR(__xludf.DUMMYFUNCTION("""COMPUTED_VALUE"""),0.0)</f>
        <v>0</v>
      </c>
      <c r="H3286" s="6" t="str">
        <f>IFERROR(__xludf.DUMMYFUNCTION("""COMPUTED_VALUE"""),"Pcs")</f>
        <v>Pcs</v>
      </c>
      <c r="I3286" s="6" t="str">
        <f>IFERROR(__xludf.DUMMYFUNCTION("""COMPUTED_VALUE"""),"MFH")</f>
        <v>MFH</v>
      </c>
      <c r="J3286" s="6" t="str">
        <f>IFERROR(__xludf.DUMMYFUNCTION("""COMPUTED_VALUE"""),"Autoclave")</f>
        <v>Autoclave</v>
      </c>
      <c r="K3286" s="6" t="str">
        <f>IFERROR(__xludf.DUMMYFUNCTION("""COMPUTED_VALUE"""),"SPR/26/02/083")</f>
        <v>SPR/26/02/083</v>
      </c>
      <c r="L3286" s="58">
        <f>IFERROR(__xludf.DUMMYFUNCTION("""COMPUTED_VALUE"""),46080.0)</f>
        <v>46080</v>
      </c>
    </row>
    <row r="3287">
      <c r="A3287" s="6" t="str">
        <f>IFERROR(__xludf.DUMMYFUNCTION("""COMPUTED_VALUE"""),"SFH")</f>
        <v>SFH</v>
      </c>
      <c r="B3287" s="6" t="str">
        <f>IFERROR(__xludf.DUMMYFUNCTION("""COMPUTED_VALUE"""),"ENG")</f>
        <v>ENG</v>
      </c>
      <c r="C3287" s="6" t="str">
        <f>IFERROR(__xludf.DUMMYFUNCTION("""COMPUTED_VALUE"""),"Q-10572-00")</f>
        <v>Q-10572-00</v>
      </c>
      <c r="D3287" s="6" t="str">
        <f>IFERROR(__xludf.DUMMYFUNCTION("""COMPUTED_VALUE"""),"Lampu LED Tube TL T8 16W 1200 mm;Philips;;pack size per pcs")</f>
        <v>Lampu LED Tube TL T8 16W 1200 mm;Philips;;pack size per pcs</v>
      </c>
      <c r="E3287" s="6">
        <f>IFERROR(__xludf.DUMMYFUNCTION("""COMPUTED_VALUE"""),3.0)</f>
        <v>3</v>
      </c>
      <c r="F3287" s="6">
        <f>IFERROR(__xludf.DUMMYFUNCTION("""COMPUTED_VALUE"""),3.0)</f>
        <v>3</v>
      </c>
      <c r="G3287" s="6">
        <f>IFERROR(__xludf.DUMMYFUNCTION("""COMPUTED_VALUE"""),0.0)</f>
        <v>0</v>
      </c>
      <c r="H3287" s="6" t="str">
        <f>IFERROR(__xludf.DUMMYFUNCTION("""COMPUTED_VALUE"""),"Pcs")</f>
        <v>Pcs</v>
      </c>
      <c r="I3287" s="6" t="str">
        <f>IFERROR(__xludf.DUMMYFUNCTION("""COMPUTED_VALUE"""),"MFH")</f>
        <v>MFH</v>
      </c>
      <c r="J3287" s="6" t="str">
        <f>IFERROR(__xludf.DUMMYFUNCTION("""COMPUTED_VALUE"""),"Building")</f>
        <v>Building</v>
      </c>
      <c r="K3287" s="6" t="str">
        <f>IFERROR(__xludf.DUMMYFUNCTION("""COMPUTED_VALUE"""),"SPR/26/02/084")</f>
        <v>SPR/26/02/084</v>
      </c>
      <c r="L3287" s="58">
        <f>IFERROR(__xludf.DUMMYFUNCTION("""COMPUTED_VALUE"""),46080.0)</f>
        <v>46080</v>
      </c>
    </row>
    <row r="3288">
      <c r="A3288" s="6" t="str">
        <f>IFERROR(__xludf.DUMMYFUNCTION("""COMPUTED_VALUE"""),"SFH")</f>
        <v>SFH</v>
      </c>
      <c r="B3288" s="6" t="str">
        <f>IFERROR(__xludf.DUMMYFUNCTION("""COMPUTED_VALUE"""),"ENG")</f>
        <v>ENG</v>
      </c>
      <c r="C3288" s="6" t="str">
        <f>IFERROR(__xludf.DUMMYFUNCTION("""COMPUTED_VALUE"""),"P-51559-00")</f>
        <v>P-51559-00</v>
      </c>
      <c r="D3288" s="6" t="str">
        <f>IFERROR(__xludf.DUMMYFUNCTION("""COMPUTED_VALUE"""),"General - Lampu TL LED T5 14 W White; Philips; -; 1 unt")</f>
        <v>General - Lampu TL LED T5 14 W White; Philips; -; 1 unt</v>
      </c>
      <c r="E3288" s="6">
        <f>IFERROR(__xludf.DUMMYFUNCTION("""COMPUTED_VALUE"""),1.0)</f>
        <v>1</v>
      </c>
      <c r="F3288" s="6">
        <f>IFERROR(__xludf.DUMMYFUNCTION("""COMPUTED_VALUE"""),2.0)</f>
        <v>2</v>
      </c>
      <c r="G3288" s="6">
        <f>IFERROR(__xludf.DUMMYFUNCTION("""COMPUTED_VALUE"""),0.0)</f>
        <v>0</v>
      </c>
      <c r="H3288" s="6" t="str">
        <f>IFERROR(__xludf.DUMMYFUNCTION("""COMPUTED_VALUE"""),"Pcs")</f>
        <v>Pcs</v>
      </c>
      <c r="I3288" s="6" t="str">
        <f>IFERROR(__xludf.DUMMYFUNCTION("""COMPUTED_VALUE"""),"MFH")</f>
        <v>MFH</v>
      </c>
      <c r="J3288" s="6" t="str">
        <f>IFERROR(__xludf.DUMMYFUNCTION("""COMPUTED_VALUE"""),"Building")</f>
        <v>Building</v>
      </c>
      <c r="K3288" s="6" t="str">
        <f>IFERROR(__xludf.DUMMYFUNCTION("""COMPUTED_VALUE"""),"SPR/26/02/084")</f>
        <v>SPR/26/02/084</v>
      </c>
      <c r="L3288" s="58">
        <f>IFERROR(__xludf.DUMMYFUNCTION("""COMPUTED_VALUE"""),46080.0)</f>
        <v>46080</v>
      </c>
    </row>
    <row r="3289">
      <c r="A3289" s="6" t="str">
        <f>IFERROR(__xludf.DUMMYFUNCTION("""COMPUTED_VALUE"""),"ROS")</f>
        <v>ROS</v>
      </c>
      <c r="B3289" s="6" t="str">
        <f>IFERROR(__xludf.DUMMYFUNCTION("""COMPUTED_VALUE"""),"ENG")</f>
        <v>ENG</v>
      </c>
      <c r="C3289" s="6" t="str">
        <f>IFERROR(__xludf.DUMMYFUNCTION("""COMPUTED_VALUE"""),"O-14639-00")</f>
        <v>O-14639-00</v>
      </c>
      <c r="D3289" s="6" t="str">
        <f>IFERROR(__xludf.DUMMYFUNCTION("""COMPUTED_VALUE"""),"General - EPDM Gasket for Ferrule dia. 1/2""; -; -; 1 pc")</f>
        <v>General - EPDM Gasket for Ferrule dia. 1/2"; -; -; 1 pc</v>
      </c>
      <c r="E3289" s="6">
        <f>IFERROR(__xludf.DUMMYFUNCTION("""COMPUTED_VALUE"""),5.0)</f>
        <v>5</v>
      </c>
      <c r="F3289" s="6">
        <f>IFERROR(__xludf.DUMMYFUNCTION("""COMPUTED_VALUE"""),5.0)</f>
        <v>5</v>
      </c>
      <c r="G3289" s="6">
        <f>IFERROR(__xludf.DUMMYFUNCTION("""COMPUTED_VALUE"""),0.0)</f>
        <v>0</v>
      </c>
      <c r="H3289" s="6" t="str">
        <f>IFERROR(__xludf.DUMMYFUNCTION("""COMPUTED_VALUE"""),"Pcs")</f>
        <v>Pcs</v>
      </c>
      <c r="I3289" s="6" t="str">
        <f>IFERROR(__xludf.DUMMYFUNCTION("""COMPUTED_VALUE"""),"MFH")</f>
        <v>MFH</v>
      </c>
      <c r="J3289" s="6" t="str">
        <f>IFERROR(__xludf.DUMMYFUNCTION("""COMPUTED_VALUE"""),"Mixing ")</f>
        <v>Mixing </v>
      </c>
      <c r="K3289" s="6" t="str">
        <f>IFERROR(__xludf.DUMMYFUNCTION("""COMPUTED_VALUE"""),"SPR/26/02/085")</f>
        <v>SPR/26/02/085</v>
      </c>
      <c r="L3289" s="58">
        <f>IFERROR(__xludf.DUMMYFUNCTION("""COMPUTED_VALUE"""),46080.0)</f>
        <v>46080</v>
      </c>
    </row>
    <row r="3290">
      <c r="A3290" s="6" t="str">
        <f>IFERROR(__xludf.DUMMYFUNCTION("""COMPUTED_VALUE"""),"ROS")</f>
        <v>ROS</v>
      </c>
      <c r="B3290" s="6" t="str">
        <f>IFERROR(__xludf.DUMMYFUNCTION("""COMPUTED_VALUE"""),"ENG")</f>
        <v>ENG</v>
      </c>
      <c r="C3290" s="6" t="str">
        <f>IFERROR(__xludf.DUMMYFUNCTION("""COMPUTED_VALUE"""),"O-14641-00")</f>
        <v>O-14641-00</v>
      </c>
      <c r="D3290" s="6" t="str">
        <f>IFERROR(__xludf.DUMMYFUNCTION("""COMPUTED_VALUE"""),"General - Silicone Gasket for Ferrule dia. 1""; -; -; 1 Pc")</f>
        <v>General - Silicone Gasket for Ferrule dia. 1"; -; -; 1 Pc</v>
      </c>
      <c r="E3290" s="6">
        <f>IFERROR(__xludf.DUMMYFUNCTION("""COMPUTED_VALUE"""),2.0)</f>
        <v>2</v>
      </c>
      <c r="F3290" s="6">
        <f>IFERROR(__xludf.DUMMYFUNCTION("""COMPUTED_VALUE"""),2.0)</f>
        <v>2</v>
      </c>
      <c r="G3290" s="6">
        <f>IFERROR(__xludf.DUMMYFUNCTION("""COMPUTED_VALUE"""),0.0)</f>
        <v>0</v>
      </c>
      <c r="H3290" s="6" t="str">
        <f>IFERROR(__xludf.DUMMYFUNCTION("""COMPUTED_VALUE"""),"Pcs")</f>
        <v>Pcs</v>
      </c>
      <c r="I3290" s="6" t="str">
        <f>IFERROR(__xludf.DUMMYFUNCTION("""COMPUTED_VALUE"""),"MFH")</f>
        <v>MFH</v>
      </c>
      <c r="J3290" s="6" t="str">
        <f>IFERROR(__xludf.DUMMYFUNCTION("""COMPUTED_VALUE"""),"Mixing ")</f>
        <v>Mixing </v>
      </c>
      <c r="K3290" s="6" t="str">
        <f>IFERROR(__xludf.DUMMYFUNCTION("""COMPUTED_VALUE"""),"SPR/26/02/085")</f>
        <v>SPR/26/02/085</v>
      </c>
      <c r="L3290" s="58">
        <f>IFERROR(__xludf.DUMMYFUNCTION("""COMPUTED_VALUE"""),46080.0)</f>
        <v>46080</v>
      </c>
    </row>
    <row r="3291">
      <c r="A3291" s="6" t="str">
        <f>IFERROR(__xludf.DUMMYFUNCTION("""COMPUTED_VALUE"""),"SFH")</f>
        <v>SFH</v>
      </c>
      <c r="B3291" s="6" t="str">
        <f>IFERROR(__xludf.DUMMYFUNCTION("""COMPUTED_VALUE"""),"ENG")</f>
        <v>ENG</v>
      </c>
      <c r="C3291" s="6" t="str">
        <f>IFERROR(__xludf.DUMMYFUNCTION("""COMPUTED_VALUE"""),"Q-10249-00")</f>
        <v>Q-10249-00</v>
      </c>
      <c r="D3291" s="6" t="str">
        <f>IFERROR(__xludf.DUMMYFUNCTION("""COMPUTED_VALUE"""),"Lem Power Glue; ; ;")</f>
        <v>Lem Power Glue; ; ;</v>
      </c>
      <c r="E3291" s="6">
        <f>IFERROR(__xludf.DUMMYFUNCTION("""COMPUTED_VALUE"""),3.0)</f>
        <v>3</v>
      </c>
      <c r="F3291" s="6">
        <f>IFERROR(__xludf.DUMMYFUNCTION("""COMPUTED_VALUE"""),3.0)</f>
        <v>3</v>
      </c>
      <c r="G3291" s="6">
        <f>IFERROR(__xludf.DUMMYFUNCTION("""COMPUTED_VALUE"""),0.0)</f>
        <v>0</v>
      </c>
      <c r="H3291" s="6" t="str">
        <f>IFERROR(__xludf.DUMMYFUNCTION("""COMPUTED_VALUE"""),"Pcs")</f>
        <v>Pcs</v>
      </c>
      <c r="I3291" s="6" t="str">
        <f>IFERROR(__xludf.DUMMYFUNCTION("""COMPUTED_VALUE"""),"MFH")</f>
        <v>MFH</v>
      </c>
      <c r="J3291" s="6" t="str">
        <f>IFERROR(__xludf.DUMMYFUNCTION("""COMPUTED_VALUE"""),"Building")</f>
        <v>Building</v>
      </c>
      <c r="K3291" s="6" t="str">
        <f>IFERROR(__xludf.DUMMYFUNCTION("""COMPUTED_VALUE"""),"SPR/26/02/086")</f>
        <v>SPR/26/02/086</v>
      </c>
      <c r="L3291" s="58">
        <f>IFERROR(__xludf.DUMMYFUNCTION("""COMPUTED_VALUE"""),46080.0)</f>
        <v>46080</v>
      </c>
    </row>
    <row r="3292">
      <c r="A3292" s="6" t="str">
        <f>IFERROR(__xludf.DUMMYFUNCTION("""COMPUTED_VALUE"""),"SFH")</f>
        <v>SFH</v>
      </c>
      <c r="B3292" s="6" t="str">
        <f>IFERROR(__xludf.DUMMYFUNCTION("""COMPUTED_VALUE"""),"ENG")</f>
        <v>ENG</v>
      </c>
      <c r="C3292" s="6" t="str">
        <f>IFERROR(__xludf.DUMMYFUNCTION("""COMPUTED_VALUE"""),"Q-60025-00")</f>
        <v>Q-60025-00</v>
      </c>
      <c r="D3292" s="6" t="str">
        <f>IFERROR(__xludf.DUMMYFUNCTION("""COMPUTED_VALUE"""),"Kuas Cat Uk. 1 inch;Eterna;Tipe 611;pack size per pcs")</f>
        <v>Kuas Cat Uk. 1 inch;Eterna;Tipe 611;pack size per pcs</v>
      </c>
      <c r="E3292" s="6">
        <f>IFERROR(__xludf.DUMMYFUNCTION("""COMPUTED_VALUE"""),1.0)</f>
        <v>1</v>
      </c>
      <c r="F3292" s="6">
        <f>IFERROR(__xludf.DUMMYFUNCTION("""COMPUTED_VALUE"""),1.0)</f>
        <v>1</v>
      </c>
      <c r="G3292" s="6">
        <f>IFERROR(__xludf.DUMMYFUNCTION("""COMPUTED_VALUE"""),0.0)</f>
        <v>0</v>
      </c>
      <c r="H3292" s="6" t="str">
        <f>IFERROR(__xludf.DUMMYFUNCTION("""COMPUTED_VALUE"""),"Pcs")</f>
        <v>Pcs</v>
      </c>
      <c r="I3292" s="6" t="str">
        <f>IFERROR(__xludf.DUMMYFUNCTION("""COMPUTED_VALUE"""),"MFH")</f>
        <v>MFH</v>
      </c>
      <c r="J3292" s="6" t="str">
        <f>IFERROR(__xludf.DUMMYFUNCTION("""COMPUTED_VALUE"""),"Building")</f>
        <v>Building</v>
      </c>
      <c r="K3292" s="6" t="str">
        <f>IFERROR(__xludf.DUMMYFUNCTION("""COMPUTED_VALUE"""),"SPR/26/02/086")</f>
        <v>SPR/26/02/086</v>
      </c>
      <c r="L3292" s="58">
        <f>IFERROR(__xludf.DUMMYFUNCTION("""COMPUTED_VALUE"""),46080.0)</f>
        <v>46080</v>
      </c>
    </row>
    <row r="3293">
      <c r="A3293" s="6" t="str">
        <f>IFERROR(__xludf.DUMMYFUNCTION("""COMPUTED_VALUE"""),"MRN")</f>
        <v>MRN</v>
      </c>
      <c r="B3293" s="6" t="str">
        <f>IFERROR(__xludf.DUMMYFUNCTION("""COMPUTED_VALUE"""),"ENG")</f>
        <v>ENG</v>
      </c>
      <c r="C3293" s="6" t="str">
        <f>IFERROR(__xludf.DUMMYFUNCTION("""COMPUTED_VALUE"""),"T-80043-00")</f>
        <v>T-80043-00</v>
      </c>
      <c r="D3293" s="6" t="str">
        <f>IFERROR(__xludf.DUMMYFUNCTION("""COMPUTED_VALUE"""),"Battery ABC Kotak 9V")</f>
        <v>Battery ABC Kotak 9V</v>
      </c>
      <c r="E3293" s="6">
        <f>IFERROR(__xludf.DUMMYFUNCTION("""COMPUTED_VALUE"""),1.0)</f>
        <v>1</v>
      </c>
      <c r="F3293" s="6">
        <f>IFERROR(__xludf.DUMMYFUNCTION("""COMPUTED_VALUE"""),1.0)</f>
        <v>1</v>
      </c>
      <c r="G3293" s="6">
        <f>IFERROR(__xludf.DUMMYFUNCTION("""COMPUTED_VALUE"""),0.0)</f>
        <v>0</v>
      </c>
      <c r="H3293" s="6" t="str">
        <f>IFERROR(__xludf.DUMMYFUNCTION("""COMPUTED_VALUE"""),"Pcs")</f>
        <v>Pcs</v>
      </c>
      <c r="I3293" s="6" t="str">
        <f>IFERROR(__xludf.DUMMYFUNCTION("""COMPUTED_VALUE"""),"MFH")</f>
        <v>MFH</v>
      </c>
      <c r="J3293" s="6" t="str">
        <f>IFERROR(__xludf.DUMMYFUNCTION("""COMPUTED_VALUE"""),"-")</f>
        <v>-</v>
      </c>
      <c r="K3293" s="6" t="str">
        <f>IFERROR(__xludf.DUMMYFUNCTION("""COMPUTED_VALUE"""),"SPR/26/02/087")</f>
        <v>SPR/26/02/087</v>
      </c>
      <c r="L3293" s="58">
        <f>IFERROR(__xludf.DUMMYFUNCTION("""COMPUTED_VALUE"""),46080.0)</f>
        <v>46080</v>
      </c>
    </row>
    <row r="3294">
      <c r="A3294" s="6" t="str">
        <f>IFERROR(__xludf.DUMMYFUNCTION("""COMPUTED_VALUE"""),"SFH")</f>
        <v>SFH</v>
      </c>
      <c r="B3294" s="6" t="str">
        <f>IFERROR(__xludf.DUMMYFUNCTION("""COMPUTED_VALUE"""),"ENG")</f>
        <v>ENG</v>
      </c>
      <c r="C3294" s="6" t="str">
        <f>IFERROR(__xludf.DUMMYFUNCTION("""COMPUTED_VALUE"""),"Q-12060-00")</f>
        <v>Q-12060-00</v>
      </c>
      <c r="D3294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3294" s="6">
        <f>IFERROR(__xludf.DUMMYFUNCTION("""COMPUTED_VALUE"""),1.0)</f>
        <v>1</v>
      </c>
      <c r="F3294" s="6">
        <f>IFERROR(__xludf.DUMMYFUNCTION("""COMPUTED_VALUE"""),1.0)</f>
        <v>1</v>
      </c>
      <c r="G3294" s="6">
        <f>IFERROR(__xludf.DUMMYFUNCTION("""COMPUTED_VALUE"""),0.0)</f>
        <v>0</v>
      </c>
      <c r="H3294" s="6" t="str">
        <f>IFERROR(__xludf.DUMMYFUNCTION("""COMPUTED_VALUE"""),"Pcs")</f>
        <v>Pcs</v>
      </c>
      <c r="I3294" s="6" t="str">
        <f>IFERROR(__xludf.DUMMYFUNCTION("""COMPUTED_VALUE"""),"MFH")</f>
        <v>MFH</v>
      </c>
      <c r="J3294" s="6" t="str">
        <f>IFERROR(__xludf.DUMMYFUNCTION("""COMPUTED_VALUE"""),"Building")</f>
        <v>Building</v>
      </c>
      <c r="K3294" s="6" t="str">
        <f>IFERROR(__xludf.DUMMYFUNCTION("""COMPUTED_VALUE"""),"SPR/26/02/088")</f>
        <v>SPR/26/02/088</v>
      </c>
      <c r="L3294" s="58">
        <f>IFERROR(__xludf.DUMMYFUNCTION("""COMPUTED_VALUE"""),46080.0)</f>
        <v>46080</v>
      </c>
    </row>
    <row r="3295">
      <c r="A3295" s="6" t="str">
        <f>IFERROR(__xludf.DUMMYFUNCTION("""COMPUTED_VALUE"""),"SFH")</f>
        <v>SFH</v>
      </c>
      <c r="B3295" s="6" t="str">
        <f>IFERROR(__xludf.DUMMYFUNCTION("""COMPUTED_VALUE"""),"ENG")</f>
        <v>ENG</v>
      </c>
      <c r="C3295" s="6" t="str">
        <f>IFERROR(__xludf.DUMMYFUNCTION("""COMPUTED_VALUE"""),"P-15851-00")</f>
        <v>P-15851-00</v>
      </c>
      <c r="D3295" s="6" t="str">
        <f>IFERROR(__xludf.DUMMYFUNCTION("""COMPUTED_VALUE"""),"General - Ampelas P100; EAGLE; -; 1 pcs")</f>
        <v>General - Ampelas P100; EAGLE; -; 1 pcs</v>
      </c>
      <c r="E3295" s="6">
        <f>IFERROR(__xludf.DUMMYFUNCTION("""COMPUTED_VALUE"""),4.0)</f>
        <v>4</v>
      </c>
      <c r="F3295" s="6">
        <f>IFERROR(__xludf.DUMMYFUNCTION("""COMPUTED_VALUE"""),4.0)</f>
        <v>4</v>
      </c>
      <c r="G3295" s="6">
        <f>IFERROR(__xludf.DUMMYFUNCTION("""COMPUTED_VALUE"""),0.0)</f>
        <v>0</v>
      </c>
      <c r="H3295" s="6" t="str">
        <f>IFERROR(__xludf.DUMMYFUNCTION("""COMPUTED_VALUE"""),"Pcs")</f>
        <v>Pcs</v>
      </c>
      <c r="I3295" s="6" t="str">
        <f>IFERROR(__xludf.DUMMYFUNCTION("""COMPUTED_VALUE"""),"MFH")</f>
        <v>MFH</v>
      </c>
      <c r="J3295" s="6" t="str">
        <f>IFERROR(__xludf.DUMMYFUNCTION("""COMPUTED_VALUE"""),"Building")</f>
        <v>Building</v>
      </c>
      <c r="K3295" s="6" t="str">
        <f>IFERROR(__xludf.DUMMYFUNCTION("""COMPUTED_VALUE"""),"SPR/26/02/089")</f>
        <v>SPR/26/02/089</v>
      </c>
      <c r="L3295" s="58">
        <f>IFERROR(__xludf.DUMMYFUNCTION("""COMPUTED_VALUE"""),46080.0)</f>
        <v>46080</v>
      </c>
    </row>
    <row r="3296">
      <c r="A3296" s="6" t="str">
        <f>IFERROR(__xludf.DUMMYFUNCTION("""COMPUTED_VALUE"""),"ROS")</f>
        <v>ROS</v>
      </c>
      <c r="B3296" s="6" t="str">
        <f>IFERROR(__xludf.DUMMYFUNCTION("""COMPUTED_VALUE"""),"ENG")</f>
        <v>ENG</v>
      </c>
      <c r="C3296" s="6" t="str">
        <f>IFERROR(__xludf.DUMMYFUNCTION("""COMPUTED_VALUE"""),"O-20487-00")</f>
        <v>O-20487-00</v>
      </c>
      <c r="D3296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296" s="6">
        <f>IFERROR(__xludf.DUMMYFUNCTION("""COMPUTED_VALUE"""),1.0)</f>
        <v>1</v>
      </c>
      <c r="F3296" s="6">
        <f>IFERROR(__xludf.DUMMYFUNCTION("""COMPUTED_VALUE"""),1.0)</f>
        <v>1</v>
      </c>
      <c r="G3296" s="6">
        <f>IFERROR(__xludf.DUMMYFUNCTION("""COMPUTED_VALUE"""),0.0)</f>
        <v>0</v>
      </c>
      <c r="H3296" s="6" t="str">
        <f>IFERROR(__xludf.DUMMYFUNCTION("""COMPUTED_VALUE"""),"Pcs")</f>
        <v>Pcs</v>
      </c>
      <c r="I3296" s="6" t="str">
        <f>IFERROR(__xludf.DUMMYFUNCTION("""COMPUTED_VALUE"""),"MFH")</f>
        <v>MFH</v>
      </c>
      <c r="J3296" s="6" t="str">
        <f>IFERROR(__xludf.DUMMYFUNCTION("""COMPUTED_VALUE"""),"FIlling")</f>
        <v>FIlling</v>
      </c>
      <c r="K3296" s="6" t="str">
        <f>IFERROR(__xludf.DUMMYFUNCTION("""COMPUTED_VALUE"""),"SPR/26/02/090")</f>
        <v>SPR/26/02/090</v>
      </c>
      <c r="L3296" s="58">
        <f>IFERROR(__xludf.DUMMYFUNCTION("""COMPUTED_VALUE"""),46080.0)</f>
        <v>46080</v>
      </c>
    </row>
    <row r="3297">
      <c r="A3297" s="6" t="str">
        <f>IFERROR(__xludf.DUMMYFUNCTION("""COMPUTED_VALUE"""),"ROS")</f>
        <v>ROS</v>
      </c>
      <c r="B3297" s="6" t="str">
        <f>IFERROR(__xludf.DUMMYFUNCTION("""COMPUTED_VALUE"""),"ENG")</f>
        <v>ENG</v>
      </c>
      <c r="C3297" s="6" t="str">
        <f>IFERROR(__xludf.DUMMYFUNCTION("""COMPUTED_VALUE"""),"P-18665-00")</f>
        <v>P-18665-00</v>
      </c>
      <c r="D3297" s="6" t="str">
        <f>IFERROR(__xludf.DUMMYFUNCTION("""COMPUTED_VALUE"""),"General - Clamp Ferrule, Heavy Duty, SS 304L, 1"" - 1 1/2""; No Brand; -; 1 pcs")</f>
        <v>General - Clamp Ferrule, Heavy Duty, SS 304L, 1" - 1 1/2"; No Brand; -; 1 pcs</v>
      </c>
      <c r="E3297" s="6">
        <f>IFERROR(__xludf.DUMMYFUNCTION("""COMPUTED_VALUE"""),4.0)</f>
        <v>4</v>
      </c>
      <c r="F3297" s="6">
        <f>IFERROR(__xludf.DUMMYFUNCTION("""COMPUTED_VALUE"""),4.0)</f>
        <v>4</v>
      </c>
      <c r="G3297" s="6">
        <f>IFERROR(__xludf.DUMMYFUNCTION("""COMPUTED_VALUE"""),0.0)</f>
        <v>0</v>
      </c>
      <c r="H3297" s="6" t="str">
        <f>IFERROR(__xludf.DUMMYFUNCTION("""COMPUTED_VALUE"""),"Pcs")</f>
        <v>Pcs</v>
      </c>
      <c r="I3297" s="6" t="str">
        <f>IFERROR(__xludf.DUMMYFUNCTION("""COMPUTED_VALUE"""),"MFH")</f>
        <v>MFH</v>
      </c>
      <c r="J3297" s="6" t="str">
        <f>IFERROR(__xludf.DUMMYFUNCTION("""COMPUTED_VALUE"""),"Hubber")</f>
        <v>Hubber</v>
      </c>
      <c r="K3297" s="6" t="str">
        <f>IFERROR(__xludf.DUMMYFUNCTION("""COMPUTED_VALUE"""),"SPR/26/02/099")</f>
        <v>SPR/26/02/099</v>
      </c>
      <c r="L3297" s="58">
        <f>IFERROR(__xludf.DUMMYFUNCTION("""COMPUTED_VALUE"""),46080.0)</f>
        <v>46080</v>
      </c>
    </row>
    <row r="3298">
      <c r="A3298" s="6" t="str">
        <f>IFERROR(__xludf.DUMMYFUNCTION("""COMPUTED_VALUE"""),"ROS")</f>
        <v>ROS</v>
      </c>
      <c r="B3298" s="6" t="str">
        <f>IFERROR(__xludf.DUMMYFUNCTION("""COMPUTED_VALUE"""),"ENG")</f>
        <v>ENG</v>
      </c>
      <c r="C3298" s="6" t="str">
        <f>IFERROR(__xludf.DUMMYFUNCTION("""COMPUTED_VALUE"""),"O-14641-00")</f>
        <v>O-14641-00</v>
      </c>
      <c r="D3298" s="6" t="str">
        <f>IFERROR(__xludf.DUMMYFUNCTION("""COMPUTED_VALUE"""),"General - Silicone Gasket for Ferrule dia. 1""; -; -; 1 Pc")</f>
        <v>General - Silicone Gasket for Ferrule dia. 1"; -; -; 1 Pc</v>
      </c>
      <c r="E3298" s="6">
        <f>IFERROR(__xludf.DUMMYFUNCTION("""COMPUTED_VALUE"""),4.0)</f>
        <v>4</v>
      </c>
      <c r="F3298" s="6">
        <f>IFERROR(__xludf.DUMMYFUNCTION("""COMPUTED_VALUE"""),4.0)</f>
        <v>4</v>
      </c>
      <c r="G3298" s="6">
        <f>IFERROR(__xludf.DUMMYFUNCTION("""COMPUTED_VALUE"""),0.0)</f>
        <v>0</v>
      </c>
      <c r="H3298" s="6" t="str">
        <f>IFERROR(__xludf.DUMMYFUNCTION("""COMPUTED_VALUE"""),"Pcs")</f>
        <v>Pcs</v>
      </c>
      <c r="I3298" s="6" t="str">
        <f>IFERROR(__xludf.DUMMYFUNCTION("""COMPUTED_VALUE"""),"MFH")</f>
        <v>MFH</v>
      </c>
      <c r="J3298" s="6" t="str">
        <f>IFERROR(__xludf.DUMMYFUNCTION("""COMPUTED_VALUE"""),"Hubber")</f>
        <v>Hubber</v>
      </c>
      <c r="K3298" s="6" t="str">
        <f>IFERROR(__xludf.DUMMYFUNCTION("""COMPUTED_VALUE"""),"SPR/26/02/099")</f>
        <v>SPR/26/02/099</v>
      </c>
      <c r="L3298" s="58">
        <f>IFERROR(__xludf.DUMMYFUNCTION("""COMPUTED_VALUE"""),46080.0)</f>
        <v>46080</v>
      </c>
    </row>
    <row r="3299">
      <c r="A3299" s="6" t="str">
        <f>IFERROR(__xludf.DUMMYFUNCTION("""COMPUTED_VALUE"""),"SHN")</f>
        <v>SHN</v>
      </c>
      <c r="B3299" s="6" t="str">
        <f>IFERROR(__xludf.DUMMYFUNCTION("""COMPUTED_VALUE"""),"PRO")</f>
        <v>PRO</v>
      </c>
      <c r="C3299" s="6" t="str">
        <f>IFERROR(__xludf.DUMMYFUNCTION("""COMPUTED_VALUE"""),"P-12994-00")</f>
        <v>P-12994-00</v>
      </c>
      <c r="D3299" s="6" t="str">
        <f>IFERROR(__xludf.DUMMYFUNCTION("""COMPUTED_VALUE"""),"Nippon Tape - ASF-110FR")</f>
        <v>Nippon Tape - ASF-110FR</v>
      </c>
      <c r="E3299" s="6">
        <f>IFERROR(__xludf.DUMMYFUNCTION("""COMPUTED_VALUE"""),1.0)</f>
        <v>1</v>
      </c>
      <c r="F3299" s="6">
        <f>IFERROR(__xludf.DUMMYFUNCTION("""COMPUTED_VALUE"""),1.0)</f>
        <v>1</v>
      </c>
      <c r="G3299" s="6">
        <f>IFERROR(__xludf.DUMMYFUNCTION("""COMPUTED_VALUE"""),0.0)</f>
        <v>0</v>
      </c>
      <c r="H3299" s="6" t="str">
        <f>IFERROR(__xludf.DUMMYFUNCTION("""COMPUTED_VALUE"""),"Pcs")</f>
        <v>Pcs</v>
      </c>
      <c r="I3299" s="6" t="str">
        <f>IFERROR(__xludf.DUMMYFUNCTION("""COMPUTED_VALUE"""),"MFH")</f>
        <v>MFH</v>
      </c>
      <c r="J3299" s="6" t="str">
        <f>IFERROR(__xludf.DUMMYFUNCTION("""COMPUTED_VALUE"""),"Capping")</f>
        <v>Capping</v>
      </c>
      <c r="K3299" s="6" t="str">
        <f>IFERROR(__xludf.DUMMYFUNCTION("""COMPUTED_VALUE"""),"SPR/26/02/100")</f>
        <v>SPR/26/02/100</v>
      </c>
      <c r="L3299" s="58">
        <f>IFERROR(__xludf.DUMMYFUNCTION("""COMPUTED_VALUE"""),46080.0)</f>
        <v>46080</v>
      </c>
    </row>
    <row r="3300">
      <c r="A3300" s="6" t="str">
        <f>IFERROR(__xludf.DUMMYFUNCTION("""COMPUTED_VALUE"""),"SHN")</f>
        <v>SHN</v>
      </c>
      <c r="B3300" s="6" t="str">
        <f>IFERROR(__xludf.DUMMYFUNCTION("""COMPUTED_VALUE"""),"PRO")</f>
        <v>PRO</v>
      </c>
      <c r="C3300" s="6" t="str">
        <f>IFERROR(__xludf.DUMMYFUNCTION("""COMPUTED_VALUE"""),"P-11968-00")</f>
        <v>P-11968-00</v>
      </c>
      <c r="D3300" s="6" t="str">
        <f>IFERROR(__xludf.DUMMYFUNCTION("""COMPUTED_VALUE"""),"Berusynt FGH Spray H1 - Bechem")</f>
        <v>Berusynt FGH Spray H1 - Bechem</v>
      </c>
      <c r="E3300" s="6">
        <f>IFERROR(__xludf.DUMMYFUNCTION("""COMPUTED_VALUE"""),1.0)</f>
        <v>1</v>
      </c>
      <c r="F3300" s="6">
        <f>IFERROR(__xludf.DUMMYFUNCTION("""COMPUTED_VALUE"""),1.0)</f>
        <v>1</v>
      </c>
      <c r="G3300" s="6">
        <f>IFERROR(__xludf.DUMMYFUNCTION("""COMPUTED_VALUE"""),0.0)</f>
        <v>0</v>
      </c>
      <c r="H3300" s="6" t="str">
        <f>IFERROR(__xludf.DUMMYFUNCTION("""COMPUTED_VALUE"""),"Pcs")</f>
        <v>Pcs</v>
      </c>
      <c r="I3300" s="6" t="str">
        <f>IFERROR(__xludf.DUMMYFUNCTION("""COMPUTED_VALUE"""),"MFH")</f>
        <v>MFH</v>
      </c>
      <c r="J3300" s="6" t="str">
        <f>IFERROR(__xludf.DUMMYFUNCTION("""COMPUTED_VALUE"""),"Capping")</f>
        <v>Capping</v>
      </c>
      <c r="K3300" s="6" t="str">
        <f>IFERROR(__xludf.DUMMYFUNCTION("""COMPUTED_VALUE"""),"SPR/26/02/100")</f>
        <v>SPR/26/02/100</v>
      </c>
      <c r="L3300" s="58">
        <f>IFERROR(__xludf.DUMMYFUNCTION("""COMPUTED_VALUE"""),46080.0)</f>
        <v>46080</v>
      </c>
    </row>
    <row r="3301">
      <c r="A3301" s="6" t="str">
        <f>IFERROR(__xludf.DUMMYFUNCTION("""COMPUTED_VALUE"""),"BDU")</f>
        <v>BDU</v>
      </c>
      <c r="B3301" s="6" t="str">
        <f>IFERROR(__xludf.DUMMYFUNCTION("""COMPUTED_VALUE"""),"ENG")</f>
        <v>ENG</v>
      </c>
      <c r="C3301" s="6" t="str">
        <f>IFERROR(__xludf.DUMMYFUNCTION("""COMPUTED_VALUE"""),"O-16030-00")</f>
        <v>O-16030-00</v>
      </c>
      <c r="D3301" s="6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E3301" s="6">
        <f>IFERROR(__xludf.DUMMYFUNCTION("""COMPUTED_VALUE"""),1.0)</f>
        <v>1</v>
      </c>
      <c r="F3301" s="6">
        <f>IFERROR(__xludf.DUMMYFUNCTION("""COMPUTED_VALUE"""),1.0)</f>
        <v>1</v>
      </c>
      <c r="G3301" s="6">
        <f>IFERROR(__xludf.DUMMYFUNCTION("""COMPUTED_VALUE"""),0.0)</f>
        <v>0</v>
      </c>
      <c r="H3301" s="6" t="str">
        <f>IFERROR(__xludf.DUMMYFUNCTION("""COMPUTED_VALUE"""),"Pcs")</f>
        <v>Pcs</v>
      </c>
      <c r="I3301" s="6" t="str">
        <f>IFERROR(__xludf.DUMMYFUNCTION("""COMPUTED_VALUE"""),"MFH")</f>
        <v>MFH</v>
      </c>
      <c r="J3301" s="6" t="str">
        <f>IFERROR(__xludf.DUMMYFUNCTION("""COMPUTED_VALUE"""),"Isolator Sampling")</f>
        <v>Isolator Sampling</v>
      </c>
      <c r="K3301" s="6" t="str">
        <f>IFERROR(__xludf.DUMMYFUNCTION("""COMPUTED_VALUE"""),"SPR/26/02/101")</f>
        <v>SPR/26/02/101</v>
      </c>
      <c r="L3301" s="58">
        <f>IFERROR(__xludf.DUMMYFUNCTION("""COMPUTED_VALUE"""),46080.0)</f>
        <v>46080</v>
      </c>
    </row>
    <row r="3302">
      <c r="A3302" s="6" t="str">
        <f>IFERROR(__xludf.DUMMYFUNCTION("""COMPUTED_VALUE"""),"NDS")</f>
        <v>NDS</v>
      </c>
      <c r="B3302" s="6" t="str">
        <f>IFERROR(__xludf.DUMMYFUNCTION("""COMPUTED_VALUE"""),"ENG")</f>
        <v>ENG</v>
      </c>
      <c r="C3302" s="6" t="str">
        <f>IFERROR(__xludf.DUMMYFUNCTION("""COMPUTED_VALUE"""),"O-21153-00")</f>
        <v>O-21153-00</v>
      </c>
      <c r="D3302" s="6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E3302" s="6">
        <f>IFERROR(__xludf.DUMMYFUNCTION("""COMPUTED_VALUE"""),1.0)</f>
        <v>1</v>
      </c>
      <c r="F3302" s="6">
        <f>IFERROR(__xludf.DUMMYFUNCTION("""COMPUTED_VALUE"""),1.0)</f>
        <v>1</v>
      </c>
      <c r="G3302" s="6">
        <f>IFERROR(__xludf.DUMMYFUNCTION("""COMPUTED_VALUE"""),0.0)</f>
        <v>0</v>
      </c>
      <c r="H3302" s="6" t="str">
        <f>IFERROR(__xludf.DUMMYFUNCTION("""COMPUTED_VALUE"""),"Pcs")</f>
        <v>Pcs</v>
      </c>
      <c r="I3302" s="6" t="str">
        <f>IFERROR(__xludf.DUMMYFUNCTION("""COMPUTED_VALUE"""),"MFH")</f>
        <v>MFH</v>
      </c>
      <c r="J3302" s="6" t="str">
        <f>IFERROR(__xludf.DUMMYFUNCTION("""COMPUTED_VALUE"""),"Blistering")</f>
        <v>Blistering</v>
      </c>
      <c r="K3302" s="6" t="str">
        <f>IFERROR(__xludf.DUMMYFUNCTION("""COMPUTED_VALUE"""),"SPR/26/02/102")</f>
        <v>SPR/26/02/102</v>
      </c>
      <c r="L3302" s="58">
        <f>IFERROR(__xludf.DUMMYFUNCTION("""COMPUTED_VALUE"""),46080.0)</f>
        <v>46080</v>
      </c>
    </row>
    <row r="3303">
      <c r="A3303" s="6" t="str">
        <f>IFERROR(__xludf.DUMMYFUNCTION("""COMPUTED_VALUE"""),"NDS")</f>
        <v>NDS</v>
      </c>
      <c r="B3303" s="6" t="str">
        <f>IFERROR(__xludf.DUMMYFUNCTION("""COMPUTED_VALUE"""),"ENG")</f>
        <v>ENG</v>
      </c>
      <c r="C3303" s="6" t="str">
        <f>IFERROR(__xludf.DUMMYFUNCTION("""COMPUTED_VALUE"""),"O-21154-00")</f>
        <v>O-21154-00</v>
      </c>
      <c r="D3303" s="6" t="str">
        <f>IFERROR(__xludf.DUMMYFUNCTION("""COMPUTED_VALUE"""),"Blister TR100LT - Dudukan Forming 40x10 mm, Mat. VCN; Custom /Lokal; -; 1 Pc")</f>
        <v>Blister TR100LT - Dudukan Forming 40x10 mm, Mat. VCN; Custom /Lokal; -; 1 Pc</v>
      </c>
      <c r="E3303" s="6">
        <f>IFERROR(__xludf.DUMMYFUNCTION("""COMPUTED_VALUE"""),2.0)</f>
        <v>2</v>
      </c>
      <c r="F3303" s="6">
        <f>IFERROR(__xludf.DUMMYFUNCTION("""COMPUTED_VALUE"""),2.0)</f>
        <v>2</v>
      </c>
      <c r="G3303" s="6">
        <f>IFERROR(__xludf.DUMMYFUNCTION("""COMPUTED_VALUE"""),0.0)</f>
        <v>0</v>
      </c>
      <c r="H3303" s="6" t="str">
        <f>IFERROR(__xludf.DUMMYFUNCTION("""COMPUTED_VALUE"""),"Pcs")</f>
        <v>Pcs</v>
      </c>
      <c r="I3303" s="6" t="str">
        <f>IFERROR(__xludf.DUMMYFUNCTION("""COMPUTED_VALUE"""),"MFH")</f>
        <v>MFH</v>
      </c>
      <c r="J3303" s="6" t="str">
        <f>IFERROR(__xludf.DUMMYFUNCTION("""COMPUTED_VALUE"""),"Blistering")</f>
        <v>Blistering</v>
      </c>
      <c r="K3303" s="6" t="str">
        <f>IFERROR(__xludf.DUMMYFUNCTION("""COMPUTED_VALUE"""),"SPR/26/02/102")</f>
        <v>SPR/26/02/102</v>
      </c>
      <c r="L3303" s="58">
        <f>IFERROR(__xludf.DUMMYFUNCTION("""COMPUTED_VALUE"""),46080.0)</f>
        <v>46080</v>
      </c>
    </row>
    <row r="3304">
      <c r="A3304" s="6" t="str">
        <f>IFERROR(__xludf.DUMMYFUNCTION("""COMPUTED_VALUE"""),"NDS")</f>
        <v>NDS</v>
      </c>
      <c r="B3304" s="6" t="str">
        <f>IFERROR(__xludf.DUMMYFUNCTION("""COMPUTED_VALUE"""),"ENG")</f>
        <v>ENG</v>
      </c>
      <c r="C3304" s="6" t="str">
        <f>IFERROR(__xludf.DUMMYFUNCTION("""COMPUTED_VALUE"""),"O-20746-00")</f>
        <v>O-20746-00</v>
      </c>
      <c r="D3304" s="6" t="str">
        <f>IFERROR(__xludf.DUMMYFUNCTION("""COMPUTED_VALUE"""),"Autoclave FOF5/9A - Oring Silicone 1.7x11x15 mm; Custom/Lokal; -; 1 Pc")</f>
        <v>Autoclave FOF5/9A - Oring Silicone 1.7x11x15 mm; Custom/Lokal; -; 1 Pc</v>
      </c>
      <c r="E3304" s="6">
        <f>IFERROR(__xludf.DUMMYFUNCTION("""COMPUTED_VALUE"""),1.0)</f>
        <v>1</v>
      </c>
      <c r="F3304" s="6">
        <f>IFERROR(__xludf.DUMMYFUNCTION("""COMPUTED_VALUE"""),1.0)</f>
        <v>1</v>
      </c>
      <c r="G3304" s="6">
        <f>IFERROR(__xludf.DUMMYFUNCTION("""COMPUTED_VALUE"""),0.0)</f>
        <v>0</v>
      </c>
      <c r="H3304" s="6" t="str">
        <f>IFERROR(__xludf.DUMMYFUNCTION("""COMPUTED_VALUE"""),"Pcs")</f>
        <v>Pcs</v>
      </c>
      <c r="I3304" s="6" t="str">
        <f>IFERROR(__xludf.DUMMYFUNCTION("""COMPUTED_VALUE"""),"MFH")</f>
        <v>MFH</v>
      </c>
      <c r="J3304" s="6" t="str">
        <f>IFERROR(__xludf.DUMMYFUNCTION("""COMPUTED_VALUE"""),"Autoclave")</f>
        <v>Autoclave</v>
      </c>
      <c r="K3304" s="6" t="str">
        <f>IFERROR(__xludf.DUMMYFUNCTION("""COMPUTED_VALUE"""),"SPR/26/02/102")</f>
        <v>SPR/26/02/102</v>
      </c>
      <c r="L3304" s="58">
        <f>IFERROR(__xludf.DUMMYFUNCTION("""COMPUTED_VALUE"""),46080.0)</f>
        <v>46080</v>
      </c>
    </row>
    <row r="3305">
      <c r="A3305" s="6" t="str">
        <f>IFERROR(__xludf.DUMMYFUNCTION("""COMPUTED_VALUE"""),"AAA")</f>
        <v>AAA</v>
      </c>
      <c r="B3305" s="6" t="str">
        <f>IFERROR(__xludf.DUMMYFUNCTION("""COMPUTED_VALUE"""),"ENG")</f>
        <v>ENG</v>
      </c>
      <c r="C3305" s="6" t="str">
        <f>IFERROR(__xludf.DUMMYFUNCTION("""COMPUTED_VALUE"""),"O-16032-00")</f>
        <v>O-16032-00</v>
      </c>
      <c r="D3305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305" s="6">
        <f>IFERROR(__xludf.DUMMYFUNCTION("""COMPUTED_VALUE"""),1.0)</f>
        <v>1</v>
      </c>
      <c r="F3305" s="6">
        <f>IFERROR(__xludf.DUMMYFUNCTION("""COMPUTED_VALUE"""),1.0)</f>
        <v>1</v>
      </c>
      <c r="G3305" s="6">
        <f>IFERROR(__xludf.DUMMYFUNCTION("""COMPUTED_VALUE"""),0.0)</f>
        <v>0</v>
      </c>
      <c r="H3305" s="6" t="str">
        <f>IFERROR(__xludf.DUMMYFUNCTION("""COMPUTED_VALUE"""),"Pcs")</f>
        <v>Pcs</v>
      </c>
      <c r="I3305" s="6" t="str">
        <f>IFERROR(__xludf.DUMMYFUNCTION("""COMPUTED_VALUE"""),"MFH")</f>
        <v>MFH</v>
      </c>
      <c r="J3305" s="6" t="str">
        <f>IFERROR(__xludf.DUMMYFUNCTION("""COMPUTED_VALUE"""),"cRABS")</f>
        <v>cRABS</v>
      </c>
      <c r="K3305" s="6" t="str">
        <f>IFERROR(__xludf.DUMMYFUNCTION("""COMPUTED_VALUE"""),"SPR/26/02/103")</f>
        <v>SPR/26/02/103</v>
      </c>
      <c r="L3305" s="58">
        <f>IFERROR(__xludf.DUMMYFUNCTION("""COMPUTED_VALUE"""),46080.0)</f>
        <v>46080</v>
      </c>
    </row>
    <row r="3306">
      <c r="A3306" s="6" t="str">
        <f>IFERROR(__xludf.DUMMYFUNCTION("""COMPUTED_VALUE"""),"MOB")</f>
        <v>MOB</v>
      </c>
      <c r="B3306" s="6" t="str">
        <f>IFERROR(__xludf.DUMMYFUNCTION("""COMPUTED_VALUE"""),"ENG")</f>
        <v>ENG</v>
      </c>
      <c r="C3306" s="6" t="str">
        <f>IFERROR(__xludf.DUMMYFUNCTION("""COMPUTED_VALUE"""),"P-54468-00")</f>
        <v>P-54468-00</v>
      </c>
      <c r="D3306" s="6" t="str">
        <f>IFERROR(__xludf.DUMMYFUNCTION("""COMPUTED_VALUE"""),"General - Temperature Sensor Duct PT TMP 100K Ohm 4 inch; Siemens; 536-811; 1pc")</f>
        <v>General - Temperature Sensor Duct PT TMP 100K Ohm 4 inch; Siemens; 536-811; 1pc</v>
      </c>
      <c r="E3306" s="6">
        <f>IFERROR(__xludf.DUMMYFUNCTION("""COMPUTED_VALUE"""),1.0)</f>
        <v>1</v>
      </c>
      <c r="F3306" s="6">
        <f>IFERROR(__xludf.DUMMYFUNCTION("""COMPUTED_VALUE"""),1.0)</f>
        <v>1</v>
      </c>
      <c r="G3306" s="6">
        <f>IFERROR(__xludf.DUMMYFUNCTION("""COMPUTED_VALUE"""),0.0)</f>
        <v>0</v>
      </c>
      <c r="H3306" s="6" t="str">
        <f>IFERROR(__xludf.DUMMYFUNCTION("""COMPUTED_VALUE"""),"Pcs")</f>
        <v>Pcs</v>
      </c>
      <c r="I3306" s="6" t="str">
        <f>IFERROR(__xludf.DUMMYFUNCTION("""COMPUTED_VALUE"""),"MFH")</f>
        <v>MFH</v>
      </c>
      <c r="J3306" s="6" t="str">
        <f>IFERROR(__xludf.DUMMYFUNCTION("""COMPUTED_VALUE"""),"AHU")</f>
        <v>AHU</v>
      </c>
      <c r="K3306" s="6" t="str">
        <f>IFERROR(__xludf.DUMMYFUNCTION("""COMPUTED_VALUE"""),"SPR/26/02/104")</f>
        <v>SPR/26/02/104</v>
      </c>
      <c r="L3306" s="58">
        <f>IFERROR(__xludf.DUMMYFUNCTION("""COMPUTED_VALUE"""),46080.0)</f>
        <v>46080</v>
      </c>
    </row>
    <row r="3307">
      <c r="A3307" s="6" t="str">
        <f>IFERROR(__xludf.DUMMYFUNCTION("""COMPUTED_VALUE"""),"RIA")</f>
        <v>RIA</v>
      </c>
      <c r="B3307" s="6" t="str">
        <f>IFERROR(__xludf.DUMMYFUNCTION("""COMPUTED_VALUE"""),"ENG")</f>
        <v>ENG</v>
      </c>
      <c r="C3307" s="6" t="str">
        <f>IFERROR(__xludf.DUMMYFUNCTION("""COMPUTED_VALUE"""),"O-53033-00")</f>
        <v>O-53033-00</v>
      </c>
      <c r="D3307" s="6" t="str">
        <f>IFERROR(__xludf.DUMMYFUNCTION("""COMPUTED_VALUE"""),"Saklar Switch Lampu ZN On Off Kaki 4 Kaki Pin 15-20ALokal")</f>
        <v>Saklar Switch Lampu ZN On Off Kaki 4 Kaki Pin 15-20ALokal</v>
      </c>
      <c r="E3307" s="6">
        <f>IFERROR(__xludf.DUMMYFUNCTION("""COMPUTED_VALUE"""),1.0)</f>
        <v>1</v>
      </c>
      <c r="F3307" s="6">
        <f>IFERROR(__xludf.DUMMYFUNCTION("""COMPUTED_VALUE"""),1.0)</f>
        <v>1</v>
      </c>
      <c r="G3307" s="6">
        <f>IFERROR(__xludf.DUMMYFUNCTION("""COMPUTED_VALUE"""),0.0)</f>
        <v>0</v>
      </c>
      <c r="H3307" s="6" t="str">
        <f>IFERROR(__xludf.DUMMYFUNCTION("""COMPUTED_VALUE"""),"Pcs")</f>
        <v>Pcs</v>
      </c>
      <c r="I3307" s="6" t="str">
        <f>IFERROR(__xludf.DUMMYFUNCTION("""COMPUTED_VALUE"""),"MFH")</f>
        <v>MFH</v>
      </c>
      <c r="J3307" s="6" t="str">
        <f>IFERROR(__xludf.DUMMYFUNCTION("""COMPUTED_VALUE"""),"-")</f>
        <v>-</v>
      </c>
      <c r="K3307" s="6" t="str">
        <f>IFERROR(__xludf.DUMMYFUNCTION("""COMPUTED_VALUE"""),"SPR/26/02/105")</f>
        <v>SPR/26/02/105</v>
      </c>
      <c r="L3307" s="58">
        <f>IFERROR(__xludf.DUMMYFUNCTION("""COMPUTED_VALUE"""),46080.0)</f>
        <v>46080</v>
      </c>
    </row>
    <row r="3308">
      <c r="A3308" s="6" t="str">
        <f>IFERROR(__xludf.DUMMYFUNCTION("""COMPUTED_VALUE"""),"RIA")</f>
        <v>RIA</v>
      </c>
      <c r="B3308" s="6" t="str">
        <f>IFERROR(__xludf.DUMMYFUNCTION("""COMPUTED_VALUE"""),"ENG")</f>
        <v>ENG</v>
      </c>
      <c r="C3308" s="6" t="str">
        <f>IFERROR(__xludf.DUMMYFUNCTION("""COMPUTED_VALUE"""),"O-52859-00")</f>
        <v>O-52859-00</v>
      </c>
      <c r="D3308" s="6" t="str">
        <f>IFERROR(__xludf.DUMMYFUNCTION("""COMPUTED_VALUE"""),"Temperature Controller - TK4S- 24RN 100-240 VAC AUTONICS; ; ;")</f>
        <v>Temperature Controller - TK4S- 24RN 100-240 VAC AUTONICS; ; ;</v>
      </c>
      <c r="E3308" s="6">
        <f>IFERROR(__xludf.DUMMYFUNCTION("""COMPUTED_VALUE"""),1.0)</f>
        <v>1</v>
      </c>
      <c r="F3308" s="6">
        <f>IFERROR(__xludf.DUMMYFUNCTION("""COMPUTED_VALUE"""),1.0)</f>
        <v>1</v>
      </c>
      <c r="G3308" s="6">
        <f>IFERROR(__xludf.DUMMYFUNCTION("""COMPUTED_VALUE"""),0.0)</f>
        <v>0</v>
      </c>
      <c r="H3308" s="6" t="str">
        <f>IFERROR(__xludf.DUMMYFUNCTION("""COMPUTED_VALUE"""),"Pcs")</f>
        <v>Pcs</v>
      </c>
      <c r="I3308" s="6" t="str">
        <f>IFERROR(__xludf.DUMMYFUNCTION("""COMPUTED_VALUE"""),"MFH")</f>
        <v>MFH</v>
      </c>
      <c r="J3308" s="6" t="str">
        <f>IFERROR(__xludf.DUMMYFUNCTION("""COMPUTED_VALUE"""),"-")</f>
        <v>-</v>
      </c>
      <c r="K3308" s="6" t="str">
        <f>IFERROR(__xludf.DUMMYFUNCTION("""COMPUTED_VALUE"""),"SPR/26/02/106")</f>
        <v>SPR/26/02/106</v>
      </c>
      <c r="L3308" s="58">
        <f>IFERROR(__xludf.DUMMYFUNCTION("""COMPUTED_VALUE"""),46080.0)</f>
        <v>46080</v>
      </c>
    </row>
    <row r="3309">
      <c r="A3309" s="6" t="str">
        <f>IFERROR(__xludf.DUMMYFUNCTION("""COMPUTED_VALUE"""),"RIA")</f>
        <v>RIA</v>
      </c>
      <c r="B3309" s="6" t="str">
        <f>IFERROR(__xludf.DUMMYFUNCTION("""COMPUTED_VALUE"""),"ENG")</f>
        <v>ENG</v>
      </c>
      <c r="C3309" s="6" t="str">
        <f>IFERROR(__xludf.DUMMYFUNCTION("""COMPUTED_VALUE"""),"P-54402-00")</f>
        <v>P-54402-00</v>
      </c>
      <c r="D3309" s="6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E3309" s="6">
        <f>IFERROR(__xludf.DUMMYFUNCTION("""COMPUTED_VALUE"""),1.0)</f>
        <v>1</v>
      </c>
      <c r="F3309" s="6">
        <f>IFERROR(__xludf.DUMMYFUNCTION("""COMPUTED_VALUE"""),1.0)</f>
        <v>1</v>
      </c>
      <c r="G3309" s="6">
        <f>IFERROR(__xludf.DUMMYFUNCTION("""COMPUTED_VALUE"""),0.0)</f>
        <v>0</v>
      </c>
      <c r="H3309" s="6" t="str">
        <f>IFERROR(__xludf.DUMMYFUNCTION("""COMPUTED_VALUE"""),"Pcs")</f>
        <v>Pcs</v>
      </c>
      <c r="I3309" s="6" t="str">
        <f>IFERROR(__xludf.DUMMYFUNCTION("""COMPUTED_VALUE"""),"MFH")</f>
        <v>MFH</v>
      </c>
      <c r="J3309" s="6" t="str">
        <f>IFERROR(__xludf.DUMMYFUNCTION("""COMPUTED_VALUE"""),"-")</f>
        <v>-</v>
      </c>
      <c r="K3309" s="6" t="str">
        <f>IFERROR(__xludf.DUMMYFUNCTION("""COMPUTED_VALUE"""),"SPR/26/02/106")</f>
        <v>SPR/26/02/106</v>
      </c>
      <c r="L3309" s="58">
        <f>IFERROR(__xludf.DUMMYFUNCTION("""COMPUTED_VALUE"""),46080.0)</f>
        <v>46080</v>
      </c>
    </row>
    <row r="3310">
      <c r="A3310" s="6" t="str">
        <f>IFERROR(__xludf.DUMMYFUNCTION("""COMPUTED_VALUE"""),"RIA")</f>
        <v>RIA</v>
      </c>
      <c r="B3310" s="6" t="str">
        <f>IFERROR(__xludf.DUMMYFUNCTION("""COMPUTED_VALUE"""),"ENG")</f>
        <v>ENG</v>
      </c>
      <c r="C3310" s="6" t="str">
        <f>IFERROR(__xludf.DUMMYFUNCTION("""COMPUTED_VALUE"""),"P-53363-00")</f>
        <v>P-53363-00</v>
      </c>
      <c r="D3310" s="6" t="str">
        <f>IFERROR(__xludf.DUMMYFUNCTION("""COMPUTED_VALUE"""),"Contactor Schneider LC1D12M7 Coil 220 VAC; ; ;")</f>
        <v>Contactor Schneider LC1D12M7 Coil 220 VAC; ; ;</v>
      </c>
      <c r="E3310" s="6">
        <f>IFERROR(__xludf.DUMMYFUNCTION("""COMPUTED_VALUE"""),1.0)</f>
        <v>1</v>
      </c>
      <c r="F3310" s="6">
        <f>IFERROR(__xludf.DUMMYFUNCTION("""COMPUTED_VALUE"""),1.0)</f>
        <v>1</v>
      </c>
      <c r="G3310" s="6">
        <f>IFERROR(__xludf.DUMMYFUNCTION("""COMPUTED_VALUE"""),0.0)</f>
        <v>0</v>
      </c>
      <c r="H3310" s="6" t="str">
        <f>IFERROR(__xludf.DUMMYFUNCTION("""COMPUTED_VALUE"""),"Pcs")</f>
        <v>Pcs</v>
      </c>
      <c r="I3310" s="6" t="str">
        <f>IFERROR(__xludf.DUMMYFUNCTION("""COMPUTED_VALUE"""),"MFH")</f>
        <v>MFH</v>
      </c>
      <c r="J3310" s="6" t="str">
        <f>IFERROR(__xludf.DUMMYFUNCTION("""COMPUTED_VALUE"""),"-")</f>
        <v>-</v>
      </c>
      <c r="K3310" s="6" t="str">
        <f>IFERROR(__xludf.DUMMYFUNCTION("""COMPUTED_VALUE"""),"SPR/26/02/106")</f>
        <v>SPR/26/02/106</v>
      </c>
      <c r="L3310" s="58">
        <f>IFERROR(__xludf.DUMMYFUNCTION("""COMPUTED_VALUE"""),46080.0)</f>
        <v>46080</v>
      </c>
    </row>
    <row r="3311">
      <c r="A3311" s="6" t="str">
        <f>IFERROR(__xludf.DUMMYFUNCTION("""COMPUTED_VALUE"""),"RIA")</f>
        <v>RIA</v>
      </c>
      <c r="B3311" s="6" t="str">
        <f>IFERROR(__xludf.DUMMYFUNCTION("""COMPUTED_VALUE"""),"ENG")</f>
        <v>ENG</v>
      </c>
      <c r="C3311" s="6" t="str">
        <f>IFERROR(__xludf.DUMMYFUNCTION("""COMPUTED_VALUE"""),"O-54015-00")</f>
        <v>O-54015-00</v>
      </c>
      <c r="D3311" s="6" t="str">
        <f>IFERROR(__xludf.DUMMYFUNCTION("""COMPUTED_VALUE"""),"STOP KONTAK LUBANG 4, BROCO")</f>
        <v>STOP KONTAK LUBANG 4, BROCO</v>
      </c>
      <c r="E3311" s="6">
        <f>IFERROR(__xludf.DUMMYFUNCTION("""COMPUTED_VALUE"""),3.0)</f>
        <v>3</v>
      </c>
      <c r="F3311" s="6">
        <f>IFERROR(__xludf.DUMMYFUNCTION("""COMPUTED_VALUE"""),3.0)</f>
        <v>3</v>
      </c>
      <c r="G3311" s="6">
        <f>IFERROR(__xludf.DUMMYFUNCTION("""COMPUTED_VALUE"""),0.0)</f>
        <v>0</v>
      </c>
      <c r="H3311" s="6" t="str">
        <f>IFERROR(__xludf.DUMMYFUNCTION("""COMPUTED_VALUE"""),"Pcs")</f>
        <v>Pcs</v>
      </c>
      <c r="I3311" s="6" t="str">
        <f>IFERROR(__xludf.DUMMYFUNCTION("""COMPUTED_VALUE"""),"MFH")</f>
        <v>MFH</v>
      </c>
      <c r="J3311" s="6" t="str">
        <f>IFERROR(__xludf.DUMMYFUNCTION("""COMPUTED_VALUE"""),"-")</f>
        <v>-</v>
      </c>
      <c r="K3311" s="6" t="str">
        <f>IFERROR(__xludf.DUMMYFUNCTION("""COMPUTED_VALUE"""),"SPR/26/02/107")</f>
        <v>SPR/26/02/107</v>
      </c>
      <c r="L3311" s="58">
        <f>IFERROR(__xludf.DUMMYFUNCTION("""COMPUTED_VALUE"""),46080.0)</f>
        <v>46080</v>
      </c>
    </row>
    <row r="3312">
      <c r="A3312" s="6" t="str">
        <f>IFERROR(__xludf.DUMMYFUNCTION("""COMPUTED_VALUE"""),"RIA")</f>
        <v>RIA</v>
      </c>
      <c r="B3312" s="6" t="str">
        <f>IFERROR(__xludf.DUMMYFUNCTION("""COMPUTED_VALUE"""),"ENG")</f>
        <v>ENG</v>
      </c>
      <c r="C3312" s="6" t="str">
        <f>IFERROR(__xludf.DUMMYFUNCTION("""COMPUTED_VALUE"""),"O-54014-00")</f>
        <v>O-54014-00</v>
      </c>
      <c r="D3312" s="6" t="str">
        <f>IFERROR(__xludf.DUMMYFUNCTION("""COMPUTED_VALUE"""),"STEKER 1 PHASE, BROCO")</f>
        <v>STEKER 1 PHASE, BROCO</v>
      </c>
      <c r="E3312" s="6">
        <f>IFERROR(__xludf.DUMMYFUNCTION("""COMPUTED_VALUE"""),3.0)</f>
        <v>3</v>
      </c>
      <c r="F3312" s="6">
        <f>IFERROR(__xludf.DUMMYFUNCTION("""COMPUTED_VALUE"""),3.0)</f>
        <v>3</v>
      </c>
      <c r="G3312" s="6">
        <f>IFERROR(__xludf.DUMMYFUNCTION("""COMPUTED_VALUE"""),0.0)</f>
        <v>0</v>
      </c>
      <c r="H3312" s="6" t="str">
        <f>IFERROR(__xludf.DUMMYFUNCTION("""COMPUTED_VALUE"""),"Pcs")</f>
        <v>Pcs</v>
      </c>
      <c r="I3312" s="6" t="str">
        <f>IFERROR(__xludf.DUMMYFUNCTION("""COMPUTED_VALUE"""),"MFH")</f>
        <v>MFH</v>
      </c>
      <c r="J3312" s="6" t="str">
        <f>IFERROR(__xludf.DUMMYFUNCTION("""COMPUTED_VALUE"""),"-")</f>
        <v>-</v>
      </c>
      <c r="K3312" s="6" t="str">
        <f>IFERROR(__xludf.DUMMYFUNCTION("""COMPUTED_VALUE"""),"SPR/26/02/107")</f>
        <v>SPR/26/02/107</v>
      </c>
      <c r="L3312" s="58">
        <f>IFERROR(__xludf.DUMMYFUNCTION("""COMPUTED_VALUE"""),46080.0)</f>
        <v>46080</v>
      </c>
    </row>
    <row r="3313">
      <c r="A3313" s="6" t="str">
        <f>IFERROR(__xludf.DUMMYFUNCTION("""COMPUTED_VALUE"""),"RIA")</f>
        <v>RIA</v>
      </c>
      <c r="B3313" s="6" t="str">
        <f>IFERROR(__xludf.DUMMYFUNCTION("""COMPUTED_VALUE"""),"ENG")</f>
        <v>ENG</v>
      </c>
      <c r="C3313" s="6" t="str">
        <f>IFERROR(__xludf.DUMMYFUNCTION("""COMPUTED_VALUE"""),"P-50286-00")</f>
        <v>P-50286-00</v>
      </c>
      <c r="D3313" s="6" t="str">
        <f>IFERROR(__xludf.DUMMYFUNCTION("""COMPUTED_VALUE"""),"Kabel NYYHY 3 x 1,5 mm")</f>
        <v>Kabel NYYHY 3 x 1,5 mm</v>
      </c>
      <c r="E3313" s="6">
        <f>IFERROR(__xludf.DUMMYFUNCTION("""COMPUTED_VALUE"""),10.0)</f>
        <v>10</v>
      </c>
      <c r="F3313" s="6">
        <f>IFERROR(__xludf.DUMMYFUNCTION("""COMPUTED_VALUE"""),10.0)</f>
        <v>10</v>
      </c>
      <c r="G3313" s="6">
        <f>IFERROR(__xludf.DUMMYFUNCTION("""COMPUTED_VALUE"""),0.0)</f>
        <v>0</v>
      </c>
      <c r="H3313" s="6" t="str">
        <f>IFERROR(__xludf.DUMMYFUNCTION("""COMPUTED_VALUE"""),"Pcs")</f>
        <v>Pcs</v>
      </c>
      <c r="I3313" s="6" t="str">
        <f>IFERROR(__xludf.DUMMYFUNCTION("""COMPUTED_VALUE"""),"MFH")</f>
        <v>MFH</v>
      </c>
      <c r="J3313" s="6" t="str">
        <f>IFERROR(__xludf.DUMMYFUNCTION("""COMPUTED_VALUE"""),"-")</f>
        <v>-</v>
      </c>
      <c r="K3313" s="6" t="str">
        <f>IFERROR(__xludf.DUMMYFUNCTION("""COMPUTED_VALUE"""),"SPR/26/02/107")</f>
        <v>SPR/26/02/107</v>
      </c>
      <c r="L3313" s="58">
        <f>IFERROR(__xludf.DUMMYFUNCTION("""COMPUTED_VALUE"""),46080.0)</f>
        <v>46080</v>
      </c>
    </row>
    <row r="3314">
      <c r="A3314" s="6" t="str">
        <f>IFERROR(__xludf.DUMMYFUNCTION("""COMPUTED_VALUE"""),"RIA")</f>
        <v>RIA</v>
      </c>
      <c r="B3314" s="6" t="str">
        <f>IFERROR(__xludf.DUMMYFUNCTION("""COMPUTED_VALUE"""),"ENG")</f>
        <v>ENG</v>
      </c>
      <c r="C3314" s="6" t="str">
        <f>IFERROR(__xludf.DUMMYFUNCTION("""COMPUTED_VALUE"""),"P-17645-00")</f>
        <v>P-17645-00</v>
      </c>
      <c r="D3314" s="6" t="str">
        <f>IFERROR(__xludf.DUMMYFUNCTION("""COMPUTED_VALUE"""),"Sodium Hiphoclorite; ; ; ltr")</f>
        <v>Sodium Hiphoclorite; ; ; ltr</v>
      </c>
      <c r="E3314" s="6">
        <f>IFERROR(__xludf.DUMMYFUNCTION("""COMPUTED_VALUE"""),180.0)</f>
        <v>180</v>
      </c>
      <c r="F3314" s="6">
        <f>IFERROR(__xludf.DUMMYFUNCTION("""COMPUTED_VALUE"""),180.0)</f>
        <v>180</v>
      </c>
      <c r="G3314" s="6">
        <f>IFERROR(__xludf.DUMMYFUNCTION("""COMPUTED_VALUE"""),0.0)</f>
        <v>0</v>
      </c>
      <c r="H3314" s="6" t="str">
        <f>IFERROR(__xludf.DUMMYFUNCTION("""COMPUTED_VALUE"""),"Pcs")</f>
        <v>Pcs</v>
      </c>
      <c r="I3314" s="6" t="str">
        <f>IFERROR(__xludf.DUMMYFUNCTION("""COMPUTED_VALUE"""),"MFH")</f>
        <v>MFH</v>
      </c>
      <c r="J3314" s="6" t="str">
        <f>IFERROR(__xludf.DUMMYFUNCTION("""COMPUTED_VALUE"""),"-")</f>
        <v>-</v>
      </c>
      <c r="K3314" s="6" t="str">
        <f>IFERROR(__xludf.DUMMYFUNCTION("""COMPUTED_VALUE"""),"SPR/26/02/108")</f>
        <v>SPR/26/02/108</v>
      </c>
      <c r="L3314" s="58">
        <f>IFERROR(__xludf.DUMMYFUNCTION("""COMPUTED_VALUE"""),46080.0)</f>
        <v>46080</v>
      </c>
    </row>
    <row r="3315">
      <c r="A3315" s="6" t="str">
        <f>IFERROR(__xludf.DUMMYFUNCTION("""COMPUTED_VALUE"""),"RIA")</f>
        <v>RIA</v>
      </c>
      <c r="B3315" s="6" t="str">
        <f>IFERROR(__xludf.DUMMYFUNCTION("""COMPUTED_VALUE"""),"ENG")</f>
        <v>ENG</v>
      </c>
      <c r="C3315" s="6" t="str">
        <f>IFERROR(__xludf.DUMMYFUNCTION("""COMPUTED_VALUE"""),"P-53382-00")</f>
        <v>P-53382-00</v>
      </c>
      <c r="D3315" s="6" t="str">
        <f>IFERROR(__xludf.DUMMYFUNCTION("""COMPUTED_VALUE"""),"General - Exhaust Fan; KDK; 24CDQNA; 1 unit")</f>
        <v>General - Exhaust Fan; KDK; 24CDQNA; 1 unit</v>
      </c>
      <c r="E3315" s="6">
        <f>IFERROR(__xludf.DUMMYFUNCTION("""COMPUTED_VALUE"""),1.0)</f>
        <v>1</v>
      </c>
      <c r="F3315" s="6">
        <f>IFERROR(__xludf.DUMMYFUNCTION("""COMPUTED_VALUE"""),1.0)</f>
        <v>1</v>
      </c>
      <c r="G3315" s="6">
        <f>IFERROR(__xludf.DUMMYFUNCTION("""COMPUTED_VALUE"""),0.0)</f>
        <v>0</v>
      </c>
      <c r="H3315" s="6" t="str">
        <f>IFERROR(__xludf.DUMMYFUNCTION("""COMPUTED_VALUE"""),"Pcs")</f>
        <v>Pcs</v>
      </c>
      <c r="I3315" s="6" t="str">
        <f>IFERROR(__xludf.DUMMYFUNCTION("""COMPUTED_VALUE"""),"MFH")</f>
        <v>MFH</v>
      </c>
      <c r="J3315" s="6" t="str">
        <f>IFERROR(__xludf.DUMMYFUNCTION("""COMPUTED_VALUE"""),"-")</f>
        <v>-</v>
      </c>
      <c r="K3315" s="6" t="str">
        <f>IFERROR(__xludf.DUMMYFUNCTION("""COMPUTED_VALUE"""),"SPR/26/02/108")</f>
        <v>SPR/26/02/108</v>
      </c>
      <c r="L3315" s="58">
        <f>IFERROR(__xludf.DUMMYFUNCTION("""COMPUTED_VALUE"""),46080.0)</f>
        <v>46080</v>
      </c>
    </row>
    <row r="3316">
      <c r="A3316" s="6" t="str">
        <f>IFERROR(__xludf.DUMMYFUNCTION("""COMPUTED_VALUE"""),"RIA")</f>
        <v>RIA</v>
      </c>
      <c r="B3316" s="6" t="str">
        <f>IFERROR(__xludf.DUMMYFUNCTION("""COMPUTED_VALUE"""),"ENG")</f>
        <v>ENG</v>
      </c>
      <c r="C3316" s="6" t="str">
        <f>IFERROR(__xludf.DUMMYFUNCTION("""COMPUTED_VALUE"""),"P-52975-00")</f>
        <v>P-52975-00</v>
      </c>
      <c r="D3316" s="6" t="str">
        <f>IFERROR(__xludf.DUMMYFUNCTION("""COMPUTED_VALUE"""),"General - Limit Switch IP65; EWIG; E8108; 1 pc")</f>
        <v>General - Limit Switch IP65; EWIG; E8108; 1 pc</v>
      </c>
      <c r="E3316" s="6">
        <f>IFERROR(__xludf.DUMMYFUNCTION("""COMPUTED_VALUE"""),1.0)</f>
        <v>1</v>
      </c>
      <c r="F3316" s="6">
        <f>IFERROR(__xludf.DUMMYFUNCTION("""COMPUTED_VALUE"""),1.0)</f>
        <v>1</v>
      </c>
      <c r="G3316" s="6">
        <f>IFERROR(__xludf.DUMMYFUNCTION("""COMPUTED_VALUE"""),0.0)</f>
        <v>0</v>
      </c>
      <c r="H3316" s="6" t="str">
        <f>IFERROR(__xludf.DUMMYFUNCTION("""COMPUTED_VALUE"""),"Pcs")</f>
        <v>Pcs</v>
      </c>
      <c r="I3316" s="6" t="str">
        <f>IFERROR(__xludf.DUMMYFUNCTION("""COMPUTED_VALUE"""),"MFH")</f>
        <v>MFH</v>
      </c>
      <c r="J3316" s="6" t="str">
        <f>IFERROR(__xludf.DUMMYFUNCTION("""COMPUTED_VALUE"""),"-")</f>
        <v>-</v>
      </c>
      <c r="K3316" s="6" t="str">
        <f>IFERROR(__xludf.DUMMYFUNCTION("""COMPUTED_VALUE"""),"SPR/26/02/108")</f>
        <v>SPR/26/02/108</v>
      </c>
      <c r="L3316" s="58">
        <f>IFERROR(__xludf.DUMMYFUNCTION("""COMPUTED_VALUE"""),46080.0)</f>
        <v>46080</v>
      </c>
    </row>
    <row r="3317">
      <c r="A3317" s="6" t="str">
        <f>IFERROR(__xludf.DUMMYFUNCTION("""COMPUTED_VALUE"""),"MIP")</f>
        <v>MIP</v>
      </c>
      <c r="B3317" s="6" t="str">
        <f>IFERROR(__xludf.DUMMYFUNCTION("""COMPUTED_VALUE"""),"HRG")</f>
        <v>HRG</v>
      </c>
      <c r="C3317" s="6" t="str">
        <f>IFERROR(__xludf.DUMMYFUNCTION("""COMPUTED_VALUE"""),"Q-10580-00")</f>
        <v>Q-10580-00</v>
      </c>
      <c r="D3317" s="6" t="str">
        <f>IFERROR(__xludf.DUMMYFUNCTION("""COMPUTED_VALUE"""),"Cat Ftalit 444 Banana Yellow; ; ; 1 Kg per Can")</f>
        <v>Cat Ftalit 444 Banana Yellow; ; ; 1 Kg per Can</v>
      </c>
      <c r="E3317" s="6">
        <f>IFERROR(__xludf.DUMMYFUNCTION("""COMPUTED_VALUE"""),2.0)</f>
        <v>2</v>
      </c>
      <c r="F3317" s="6">
        <f>IFERROR(__xludf.DUMMYFUNCTION("""COMPUTED_VALUE"""),2.0)</f>
        <v>2</v>
      </c>
      <c r="G3317" s="6">
        <f>IFERROR(__xludf.DUMMYFUNCTION("""COMPUTED_VALUE"""),0.0)</f>
        <v>0</v>
      </c>
      <c r="H3317" s="6" t="str">
        <f>IFERROR(__xludf.DUMMYFUNCTION("""COMPUTED_VALUE"""),"Pcs")</f>
        <v>Pcs</v>
      </c>
      <c r="I3317" s="6" t="str">
        <f>IFERROR(__xludf.DUMMYFUNCTION("""COMPUTED_VALUE"""),"MFH")</f>
        <v>MFH</v>
      </c>
      <c r="J3317" s="6" t="str">
        <f>IFERROR(__xludf.DUMMYFUNCTION("""COMPUTED_VALUE"""),"Building")</f>
        <v>Building</v>
      </c>
      <c r="K3317" s="6" t="str">
        <f>IFERROR(__xludf.DUMMYFUNCTION("""COMPUTED_VALUE"""),"SPR/26/02/109")</f>
        <v>SPR/26/02/109</v>
      </c>
      <c r="L3317" s="58">
        <f>IFERROR(__xludf.DUMMYFUNCTION("""COMPUTED_VALUE"""),46080.0)</f>
        <v>46080</v>
      </c>
    </row>
    <row r="3318">
      <c r="A3318" s="6" t="str">
        <f>IFERROR(__xludf.DUMMYFUNCTION("""COMPUTED_VALUE"""),"MIP")</f>
        <v>MIP</v>
      </c>
      <c r="B3318" s="6" t="str">
        <f>IFERROR(__xludf.DUMMYFUNCTION("""COMPUTED_VALUE"""),"HRG")</f>
        <v>HRG</v>
      </c>
      <c r="C3318" s="6" t="str">
        <f>IFERROR(__xludf.DUMMYFUNCTION("""COMPUTED_VALUE"""),"Q-10128-00")</f>
        <v>Q-10128-00</v>
      </c>
      <c r="D3318" s="6" t="str">
        <f>IFERROR(__xludf.DUMMYFUNCTION("""COMPUTED_VALUE"""),"Thinner Super End/Impala")</f>
        <v>Thinner Super End/Impala</v>
      </c>
      <c r="E3318" s="6">
        <f>IFERROR(__xludf.DUMMYFUNCTION("""COMPUTED_VALUE"""),2.0)</f>
        <v>2</v>
      </c>
      <c r="F3318" s="6">
        <f>IFERROR(__xludf.DUMMYFUNCTION("""COMPUTED_VALUE"""),2.0)</f>
        <v>2</v>
      </c>
      <c r="G3318" s="6">
        <f>IFERROR(__xludf.DUMMYFUNCTION("""COMPUTED_VALUE"""),0.0)</f>
        <v>0</v>
      </c>
      <c r="H3318" s="6" t="str">
        <f>IFERROR(__xludf.DUMMYFUNCTION("""COMPUTED_VALUE"""),"Pcs")</f>
        <v>Pcs</v>
      </c>
      <c r="I3318" s="6" t="str">
        <f>IFERROR(__xludf.DUMMYFUNCTION("""COMPUTED_VALUE"""),"MFH")</f>
        <v>MFH</v>
      </c>
      <c r="J3318" s="6" t="str">
        <f>IFERROR(__xludf.DUMMYFUNCTION("""COMPUTED_VALUE"""),"Building")</f>
        <v>Building</v>
      </c>
      <c r="K3318" s="6" t="str">
        <f>IFERROR(__xludf.DUMMYFUNCTION("""COMPUTED_VALUE"""),"SPR/26/02/109")</f>
        <v>SPR/26/02/109</v>
      </c>
      <c r="L3318" s="58">
        <f>IFERROR(__xludf.DUMMYFUNCTION("""COMPUTED_VALUE"""),46080.0)</f>
        <v>46080</v>
      </c>
    </row>
    <row r="3319">
      <c r="A3319" s="6" t="str">
        <f>IFERROR(__xludf.DUMMYFUNCTION("""COMPUTED_VALUE"""),"MIP")</f>
        <v>MIP</v>
      </c>
      <c r="B3319" s="6" t="str">
        <f>IFERROR(__xludf.DUMMYFUNCTION("""COMPUTED_VALUE"""),"HRG")</f>
        <v>HRG</v>
      </c>
      <c r="C3319" s="6" t="str">
        <f>IFERROR(__xludf.DUMMYFUNCTION("""COMPUTED_VALUE"""),"Q-10656-00")</f>
        <v>Q-10656-00</v>
      </c>
      <c r="D3319" s="6" t="str">
        <f>IFERROR(__xludf.DUMMYFUNCTION("""COMPUTED_VALUE"""),"Kuas Cat Uk. 5 inch;No Brand;;pack size per pcs")</f>
        <v>Kuas Cat Uk. 5 inch;No Brand;;pack size per pcs</v>
      </c>
      <c r="E3319" s="6">
        <f>IFERROR(__xludf.DUMMYFUNCTION("""COMPUTED_VALUE"""),2.0)</f>
        <v>2</v>
      </c>
      <c r="F3319" s="6">
        <f>IFERROR(__xludf.DUMMYFUNCTION("""COMPUTED_VALUE"""),2.0)</f>
        <v>2</v>
      </c>
      <c r="G3319" s="6">
        <f>IFERROR(__xludf.DUMMYFUNCTION("""COMPUTED_VALUE"""),0.0)</f>
        <v>0</v>
      </c>
      <c r="H3319" s="6" t="str">
        <f>IFERROR(__xludf.DUMMYFUNCTION("""COMPUTED_VALUE"""),"Pcs")</f>
        <v>Pcs</v>
      </c>
      <c r="I3319" s="6" t="str">
        <f>IFERROR(__xludf.DUMMYFUNCTION("""COMPUTED_VALUE"""),"MFH")</f>
        <v>MFH</v>
      </c>
      <c r="J3319" s="6" t="str">
        <f>IFERROR(__xludf.DUMMYFUNCTION("""COMPUTED_VALUE"""),"Building")</f>
        <v>Building</v>
      </c>
      <c r="K3319" s="6" t="str">
        <f>IFERROR(__xludf.DUMMYFUNCTION("""COMPUTED_VALUE"""),"SPR/26/02/109")</f>
        <v>SPR/26/02/109</v>
      </c>
      <c r="L3319" s="58">
        <f>IFERROR(__xludf.DUMMYFUNCTION("""COMPUTED_VALUE"""),46080.0)</f>
        <v>46080</v>
      </c>
    </row>
    <row r="3320">
      <c r="A3320" s="6" t="str">
        <f>IFERROR(__xludf.DUMMYFUNCTION("""COMPUTED_VALUE"""),"SFH")</f>
        <v>SFH</v>
      </c>
      <c r="B3320" s="6" t="str">
        <f>IFERROR(__xludf.DUMMYFUNCTION("""COMPUTED_VALUE"""),"ENG")</f>
        <v>ENG</v>
      </c>
      <c r="C3320" s="6" t="str">
        <f>IFERROR(__xludf.DUMMYFUNCTION("""COMPUTED_VALUE"""),"S-40645-00")</f>
        <v>S-40645-00</v>
      </c>
      <c r="D3320" s="6" t="str">
        <f>IFERROR(__xludf.DUMMYFUNCTION("""COMPUTED_VALUE"""),"Cable Ties, 200 x 4.8 mm; SIGMA; CS 200L; Putih;100 pcs/pack")</f>
        <v>Cable Ties, 200 x 4.8 mm; SIGMA; CS 200L; Putih;100 pcs/pack</v>
      </c>
      <c r="E3320" s="6">
        <f>IFERROR(__xludf.DUMMYFUNCTION("""COMPUTED_VALUE"""),1.0)</f>
        <v>1</v>
      </c>
      <c r="F3320" s="6">
        <f>IFERROR(__xludf.DUMMYFUNCTION("""COMPUTED_VALUE"""),1.0)</f>
        <v>1</v>
      </c>
      <c r="G3320" s="6">
        <f>IFERROR(__xludf.DUMMYFUNCTION("""COMPUTED_VALUE"""),0.0)</f>
        <v>0</v>
      </c>
      <c r="H3320" s="6" t="str">
        <f>IFERROR(__xludf.DUMMYFUNCTION("""COMPUTED_VALUE"""),"Pcs")</f>
        <v>Pcs</v>
      </c>
      <c r="I3320" s="6" t="str">
        <f>IFERROR(__xludf.DUMMYFUNCTION("""COMPUTED_VALUE"""),"MFH")</f>
        <v>MFH</v>
      </c>
      <c r="J3320" s="6" t="str">
        <f>IFERROR(__xludf.DUMMYFUNCTION("""COMPUTED_VALUE"""),"Building")</f>
        <v>Building</v>
      </c>
      <c r="K3320" s="6" t="str">
        <f>IFERROR(__xludf.DUMMYFUNCTION("""COMPUTED_VALUE"""),"SPR/26/02/110")</f>
        <v>SPR/26/02/110</v>
      </c>
      <c r="L3320" s="58">
        <f>IFERROR(__xludf.DUMMYFUNCTION("""COMPUTED_VALUE"""),46080.0)</f>
        <v>46080</v>
      </c>
    </row>
    <row r="3321">
      <c r="A3321" s="6" t="str">
        <f>IFERROR(__xludf.DUMMYFUNCTION("""COMPUTED_VALUE"""),"SFH")</f>
        <v>SFH</v>
      </c>
      <c r="B3321" s="6" t="str">
        <f>IFERROR(__xludf.DUMMYFUNCTION("""COMPUTED_VALUE"""),"ENG")</f>
        <v>ENG</v>
      </c>
      <c r="C3321" s="6" t="str">
        <f>IFERROR(__xludf.DUMMYFUNCTION("""COMPUTED_VALUE"""),"Q-10302-00")</f>
        <v>Q-10302-00</v>
      </c>
      <c r="D3321" s="6" t="str">
        <f>IFERROR(__xludf.DUMMYFUNCTION("""COMPUTED_VALUE"""),"Compound / Kompon Gypsum;No Brand;;pack size 20 kg per pck")</f>
        <v>Compound / Kompon Gypsum;No Brand;;pack size 20 kg per pck</v>
      </c>
      <c r="E3321" s="6">
        <f>IFERROR(__xludf.DUMMYFUNCTION("""COMPUTED_VALUE"""),1.0)</f>
        <v>1</v>
      </c>
      <c r="F3321" s="6">
        <f>IFERROR(__xludf.DUMMYFUNCTION("""COMPUTED_VALUE"""),1.0)</f>
        <v>1</v>
      </c>
      <c r="G3321" s="6">
        <f>IFERROR(__xludf.DUMMYFUNCTION("""COMPUTED_VALUE"""),0.0)</f>
        <v>0</v>
      </c>
      <c r="H3321" s="6" t="str">
        <f>IFERROR(__xludf.DUMMYFUNCTION("""COMPUTED_VALUE"""),"Pcs")</f>
        <v>Pcs</v>
      </c>
      <c r="I3321" s="6" t="str">
        <f>IFERROR(__xludf.DUMMYFUNCTION("""COMPUTED_VALUE"""),"MFH")</f>
        <v>MFH</v>
      </c>
      <c r="J3321" s="6" t="str">
        <f>IFERROR(__xludf.DUMMYFUNCTION("""COMPUTED_VALUE"""),"Building")</f>
        <v>Building</v>
      </c>
      <c r="K3321" s="6" t="str">
        <f>IFERROR(__xludf.DUMMYFUNCTION("""COMPUTED_VALUE"""),"SPR/26/02/110")</f>
        <v>SPR/26/02/110</v>
      </c>
      <c r="L3321" s="58">
        <f>IFERROR(__xludf.DUMMYFUNCTION("""COMPUTED_VALUE"""),46080.0)</f>
        <v>46080</v>
      </c>
    </row>
    <row r="3322">
      <c r="A3322" s="6" t="str">
        <f>IFERROR(__xludf.DUMMYFUNCTION("""COMPUTED_VALUE"""),"SFH")</f>
        <v>SFH</v>
      </c>
      <c r="B3322" s="6" t="str">
        <f>IFERROR(__xludf.DUMMYFUNCTION("""COMPUTED_VALUE"""),"ENG")</f>
        <v>ENG</v>
      </c>
      <c r="C3322" s="6" t="str">
        <f>IFERROR(__xludf.DUMMYFUNCTION("""COMPUTED_VALUE"""),"Q-10153-00")</f>
        <v>Q-10153-00</v>
      </c>
      <c r="D3322" s="6" t="str">
        <f>IFERROR(__xludf.DUMMYFUNCTION("""COMPUTED_VALUE"""),"Kuas Cat Roller uk. 110 mm;No Brand;;pack size per set")</f>
        <v>Kuas Cat Roller uk. 110 mm;No Brand;;pack size per set</v>
      </c>
      <c r="E3322" s="6">
        <f>IFERROR(__xludf.DUMMYFUNCTION("""COMPUTED_VALUE"""),1.0)</f>
        <v>1</v>
      </c>
      <c r="F3322" s="6">
        <f>IFERROR(__xludf.DUMMYFUNCTION("""COMPUTED_VALUE"""),1.0)</f>
        <v>1</v>
      </c>
      <c r="G3322" s="6">
        <f>IFERROR(__xludf.DUMMYFUNCTION("""COMPUTED_VALUE"""),0.0)</f>
        <v>0</v>
      </c>
      <c r="H3322" s="6" t="str">
        <f>IFERROR(__xludf.DUMMYFUNCTION("""COMPUTED_VALUE"""),"Pcs")</f>
        <v>Pcs</v>
      </c>
      <c r="I3322" s="6" t="str">
        <f>IFERROR(__xludf.DUMMYFUNCTION("""COMPUTED_VALUE"""),"MFH")</f>
        <v>MFH</v>
      </c>
      <c r="J3322" s="6" t="str">
        <f>IFERROR(__xludf.DUMMYFUNCTION("""COMPUTED_VALUE"""),"Building")</f>
        <v>Building</v>
      </c>
      <c r="K3322" s="6" t="str">
        <f>IFERROR(__xludf.DUMMYFUNCTION("""COMPUTED_VALUE"""),"SPR/26/02/110")</f>
        <v>SPR/26/02/110</v>
      </c>
      <c r="L3322" s="58">
        <f>IFERROR(__xludf.DUMMYFUNCTION("""COMPUTED_VALUE"""),46080.0)</f>
        <v>46080</v>
      </c>
    </row>
    <row r="3323">
      <c r="A3323" s="6" t="str">
        <f>IFERROR(__xludf.DUMMYFUNCTION("""COMPUTED_VALUE"""),"RIA")</f>
        <v>RIA</v>
      </c>
      <c r="B3323" s="6" t="str">
        <f>IFERROR(__xludf.DUMMYFUNCTION("""COMPUTED_VALUE"""),"ENG")</f>
        <v>ENG</v>
      </c>
      <c r="C3323" s="6" t="str">
        <f>IFERROR(__xludf.DUMMYFUNCTION("""COMPUTED_VALUE"""),"O-54015-00")</f>
        <v>O-54015-00</v>
      </c>
      <c r="D3323" s="6" t="str">
        <f>IFERROR(__xludf.DUMMYFUNCTION("""COMPUTED_VALUE"""),"STOP KONTAK LUBANG 4, BROCO")</f>
        <v>STOP KONTAK LUBANG 4, BROCO</v>
      </c>
      <c r="E3323" s="6">
        <f>IFERROR(__xludf.DUMMYFUNCTION("""COMPUTED_VALUE"""),1.0)</f>
        <v>1</v>
      </c>
      <c r="F3323" s="6">
        <f>IFERROR(__xludf.DUMMYFUNCTION("""COMPUTED_VALUE"""),1.0)</f>
        <v>1</v>
      </c>
      <c r="G3323" s="6">
        <f>IFERROR(__xludf.DUMMYFUNCTION("""COMPUTED_VALUE"""),0.0)</f>
        <v>0</v>
      </c>
      <c r="H3323" s="6" t="str">
        <f>IFERROR(__xludf.DUMMYFUNCTION("""COMPUTED_VALUE"""),"Pcs")</f>
        <v>Pcs</v>
      </c>
      <c r="I3323" s="6" t="str">
        <f>IFERROR(__xludf.DUMMYFUNCTION("""COMPUTED_VALUE"""),"MFH")</f>
        <v>MFH</v>
      </c>
      <c r="J3323" s="6" t="str">
        <f>IFERROR(__xludf.DUMMYFUNCTION("""COMPUTED_VALUE"""),"Building")</f>
        <v>Building</v>
      </c>
      <c r="K3323" s="6" t="str">
        <f>IFERROR(__xludf.DUMMYFUNCTION("""COMPUTED_VALUE"""),"SPR/26/02/111")</f>
        <v>SPR/26/02/111</v>
      </c>
      <c r="L3323" s="58">
        <f>IFERROR(__xludf.DUMMYFUNCTION("""COMPUTED_VALUE"""),46080.0)</f>
        <v>46080</v>
      </c>
    </row>
    <row r="3324">
      <c r="A3324" s="6" t="str">
        <f>IFERROR(__xludf.DUMMYFUNCTION("""COMPUTED_VALUE"""),"RIA")</f>
        <v>RIA</v>
      </c>
      <c r="B3324" s="6" t="str">
        <f>IFERROR(__xludf.DUMMYFUNCTION("""COMPUTED_VALUE"""),"ENG")</f>
        <v>ENG</v>
      </c>
      <c r="C3324" s="6" t="str">
        <f>IFERROR(__xludf.DUMMYFUNCTION("""COMPUTED_VALUE"""),"O-54014-00")</f>
        <v>O-54014-00</v>
      </c>
      <c r="D3324" s="6" t="str">
        <f>IFERROR(__xludf.DUMMYFUNCTION("""COMPUTED_VALUE"""),"STEKER 1 PHASE, BROCO")</f>
        <v>STEKER 1 PHASE, BROCO</v>
      </c>
      <c r="E3324" s="6">
        <f>IFERROR(__xludf.DUMMYFUNCTION("""COMPUTED_VALUE"""),1.0)</f>
        <v>1</v>
      </c>
      <c r="F3324" s="6">
        <f>IFERROR(__xludf.DUMMYFUNCTION("""COMPUTED_VALUE"""),1.0)</f>
        <v>1</v>
      </c>
      <c r="G3324" s="6">
        <f>IFERROR(__xludf.DUMMYFUNCTION("""COMPUTED_VALUE"""),0.0)</f>
        <v>0</v>
      </c>
      <c r="H3324" s="6" t="str">
        <f>IFERROR(__xludf.DUMMYFUNCTION("""COMPUTED_VALUE"""),"Pcs")</f>
        <v>Pcs</v>
      </c>
      <c r="I3324" s="6" t="str">
        <f>IFERROR(__xludf.DUMMYFUNCTION("""COMPUTED_VALUE"""),"MFH")</f>
        <v>MFH</v>
      </c>
      <c r="J3324" s="6" t="str">
        <f>IFERROR(__xludf.DUMMYFUNCTION("""COMPUTED_VALUE"""),"Building")</f>
        <v>Building</v>
      </c>
      <c r="K3324" s="6" t="str">
        <f>IFERROR(__xludf.DUMMYFUNCTION("""COMPUTED_VALUE"""),"SPR/26/02/111")</f>
        <v>SPR/26/02/111</v>
      </c>
      <c r="L3324" s="58">
        <f>IFERROR(__xludf.DUMMYFUNCTION("""COMPUTED_VALUE"""),46080.0)</f>
        <v>46080</v>
      </c>
    </row>
    <row r="3325">
      <c r="A3325" s="6" t="str">
        <f>IFERROR(__xludf.DUMMYFUNCTION("""COMPUTED_VALUE"""),"RIA")</f>
        <v>RIA</v>
      </c>
      <c r="B3325" s="6" t="str">
        <f>IFERROR(__xludf.DUMMYFUNCTION("""COMPUTED_VALUE"""),"ENG")</f>
        <v>ENG</v>
      </c>
      <c r="C3325" s="6" t="str">
        <f>IFERROR(__xludf.DUMMYFUNCTION("""COMPUTED_VALUE"""),"O-15931-00")</f>
        <v>O-15931-00</v>
      </c>
      <c r="D3325" s="6" t="str">
        <f>IFERROR(__xludf.DUMMYFUNCTION("""COMPUTED_VALUE"""),"Double Tape 3M 1"" Merah - P/N : - pc")</f>
        <v>Double Tape 3M 1" Merah - P/N : - pc</v>
      </c>
      <c r="E3325" s="6">
        <f>IFERROR(__xludf.DUMMYFUNCTION("""COMPUTED_VALUE"""),1.0)</f>
        <v>1</v>
      </c>
      <c r="F3325" s="6">
        <f>IFERROR(__xludf.DUMMYFUNCTION("""COMPUTED_VALUE"""),1.0)</f>
        <v>1</v>
      </c>
      <c r="G3325" s="6">
        <f>IFERROR(__xludf.DUMMYFUNCTION("""COMPUTED_VALUE"""),0.0)</f>
        <v>0</v>
      </c>
      <c r="H3325" s="6" t="str">
        <f>IFERROR(__xludf.DUMMYFUNCTION("""COMPUTED_VALUE"""),"Pcs")</f>
        <v>Pcs</v>
      </c>
      <c r="I3325" s="6" t="str">
        <f>IFERROR(__xludf.DUMMYFUNCTION("""COMPUTED_VALUE"""),"MFH")</f>
        <v>MFH</v>
      </c>
      <c r="J3325" s="6" t="str">
        <f>IFERROR(__xludf.DUMMYFUNCTION("""COMPUTED_VALUE"""),"Building")</f>
        <v>Building</v>
      </c>
      <c r="K3325" s="6" t="str">
        <f>IFERROR(__xludf.DUMMYFUNCTION("""COMPUTED_VALUE"""),"SPR/26/02/111")</f>
        <v>SPR/26/02/111</v>
      </c>
      <c r="L3325" s="58">
        <f>IFERROR(__xludf.DUMMYFUNCTION("""COMPUTED_VALUE"""),46080.0)</f>
        <v>46080</v>
      </c>
    </row>
    <row r="3326">
      <c r="A3326" s="6" t="str">
        <f>IFERROR(__xludf.DUMMYFUNCTION("""COMPUTED_VALUE"""),"RIA")</f>
        <v>RIA</v>
      </c>
      <c r="B3326" s="6" t="str">
        <f>IFERROR(__xludf.DUMMYFUNCTION("""COMPUTED_VALUE"""),"ENG")</f>
        <v>ENG</v>
      </c>
      <c r="C3326" s="6" t="str">
        <f>IFERROR(__xludf.DUMMYFUNCTION("""COMPUTED_VALUE"""),"P-19160-00")</f>
        <v>P-19160-00</v>
      </c>
      <c r="D3326" s="6" t="str">
        <f>IFERROR(__xludf.DUMMYFUNCTION("""COMPUTED_VALUE"""),"General - Cable Duct PVC 65 x 65 x 2900mm; Lokal; -; 1 pcs")</f>
        <v>General - Cable Duct PVC 65 x 65 x 2900mm; Lokal; -; 1 pcs</v>
      </c>
      <c r="E3326" s="6">
        <f>IFERROR(__xludf.DUMMYFUNCTION("""COMPUTED_VALUE"""),2.0)</f>
        <v>2</v>
      </c>
      <c r="F3326" s="6">
        <f>IFERROR(__xludf.DUMMYFUNCTION("""COMPUTED_VALUE"""),2.0)</f>
        <v>2</v>
      </c>
      <c r="G3326" s="6">
        <f>IFERROR(__xludf.DUMMYFUNCTION("""COMPUTED_VALUE"""),0.0)</f>
        <v>0</v>
      </c>
      <c r="H3326" s="6" t="str">
        <f>IFERROR(__xludf.DUMMYFUNCTION("""COMPUTED_VALUE"""),"Pcs")</f>
        <v>Pcs</v>
      </c>
      <c r="I3326" s="6" t="str">
        <f>IFERROR(__xludf.DUMMYFUNCTION("""COMPUTED_VALUE"""),"MFH")</f>
        <v>MFH</v>
      </c>
      <c r="J3326" s="6" t="str">
        <f>IFERROR(__xludf.DUMMYFUNCTION("""COMPUTED_VALUE"""),"Building")</f>
        <v>Building</v>
      </c>
      <c r="K3326" s="6" t="str">
        <f>IFERROR(__xludf.DUMMYFUNCTION("""COMPUTED_VALUE"""),"SPR/26/02/112")</f>
        <v>SPR/26/02/112</v>
      </c>
      <c r="L3326" s="58">
        <f>IFERROR(__xludf.DUMMYFUNCTION("""COMPUTED_VALUE"""),46080.0)</f>
        <v>46080</v>
      </c>
    </row>
    <row r="3327">
      <c r="A3327" s="6" t="str">
        <f>IFERROR(__xludf.DUMMYFUNCTION("""COMPUTED_VALUE"""),"RIA")</f>
        <v>RIA</v>
      </c>
      <c r="B3327" s="6" t="str">
        <f>IFERROR(__xludf.DUMMYFUNCTION("""COMPUTED_VALUE"""),"ENG")</f>
        <v>ENG</v>
      </c>
      <c r="C3327" s="6" t="str">
        <f>IFERROR(__xludf.DUMMYFUNCTION("""COMPUTED_VALUE"""),"Q-60502-00")</f>
        <v>Q-60502-00</v>
      </c>
      <c r="D3327" s="6" t="str">
        <f>IFERROR(__xludf.DUMMYFUNCTION("""COMPUTED_VALUE"""),"Silicone Sealant, Silglaze, Type N10 White, pack size per pcs")</f>
        <v>Silicone Sealant, Silglaze, Type N10 White, pack size per pcs</v>
      </c>
      <c r="E3327" s="6">
        <f>IFERROR(__xludf.DUMMYFUNCTION("""COMPUTED_VALUE"""),1.0)</f>
        <v>1</v>
      </c>
      <c r="F3327" s="6">
        <f>IFERROR(__xludf.DUMMYFUNCTION("""COMPUTED_VALUE"""),1.0)</f>
        <v>1</v>
      </c>
      <c r="G3327" s="6">
        <f>IFERROR(__xludf.DUMMYFUNCTION("""COMPUTED_VALUE"""),0.0)</f>
        <v>0</v>
      </c>
      <c r="H3327" s="6" t="str">
        <f>IFERROR(__xludf.DUMMYFUNCTION("""COMPUTED_VALUE"""),"Pcs")</f>
        <v>Pcs</v>
      </c>
      <c r="I3327" s="6" t="str">
        <f>IFERROR(__xludf.DUMMYFUNCTION("""COMPUTED_VALUE"""),"MFH")</f>
        <v>MFH</v>
      </c>
      <c r="J3327" s="6" t="str">
        <f>IFERROR(__xludf.DUMMYFUNCTION("""COMPUTED_VALUE"""),"Building")</f>
        <v>Building</v>
      </c>
      <c r="K3327" s="6" t="str">
        <f>IFERROR(__xludf.DUMMYFUNCTION("""COMPUTED_VALUE"""),"SPR/26/02/112")</f>
        <v>SPR/26/02/112</v>
      </c>
      <c r="L3327" s="58">
        <f>IFERROR(__xludf.DUMMYFUNCTION("""COMPUTED_VALUE"""),46080.0)</f>
        <v>46080</v>
      </c>
    </row>
    <row r="3328">
      <c r="A3328" s="6" t="str">
        <f>IFERROR(__xludf.DUMMYFUNCTION("""COMPUTED_VALUE"""),"RIA")</f>
        <v>RIA</v>
      </c>
      <c r="B3328" s="6" t="str">
        <f>IFERROR(__xludf.DUMMYFUNCTION("""COMPUTED_VALUE"""),"ENG")</f>
        <v>ENG</v>
      </c>
      <c r="C3328" s="6" t="str">
        <f>IFERROR(__xludf.DUMMYFUNCTION("""COMPUTED_VALUE"""),"O-15931-00")</f>
        <v>O-15931-00</v>
      </c>
      <c r="D3328" s="6" t="str">
        <f>IFERROR(__xludf.DUMMYFUNCTION("""COMPUTED_VALUE"""),"Double Tape 3M 1"" Merah - P/N : - pc")</f>
        <v>Double Tape 3M 1" Merah - P/N : - pc</v>
      </c>
      <c r="E3328" s="6">
        <f>IFERROR(__xludf.DUMMYFUNCTION("""COMPUTED_VALUE"""),1.0)</f>
        <v>1</v>
      </c>
      <c r="F3328" s="6">
        <f>IFERROR(__xludf.DUMMYFUNCTION("""COMPUTED_VALUE"""),1.0)</f>
        <v>1</v>
      </c>
      <c r="G3328" s="6">
        <f>IFERROR(__xludf.DUMMYFUNCTION("""COMPUTED_VALUE"""),0.0)</f>
        <v>0</v>
      </c>
      <c r="H3328" s="6" t="str">
        <f>IFERROR(__xludf.DUMMYFUNCTION("""COMPUTED_VALUE"""),"Pcs")</f>
        <v>Pcs</v>
      </c>
      <c r="I3328" s="6" t="str">
        <f>IFERROR(__xludf.DUMMYFUNCTION("""COMPUTED_VALUE"""),"MFH")</f>
        <v>MFH</v>
      </c>
      <c r="J3328" s="6" t="str">
        <f>IFERROR(__xludf.DUMMYFUNCTION("""COMPUTED_VALUE"""),"Building")</f>
        <v>Building</v>
      </c>
      <c r="K3328" s="6" t="str">
        <f>IFERROR(__xludf.DUMMYFUNCTION("""COMPUTED_VALUE"""),"SPR/26/02/112")</f>
        <v>SPR/26/02/112</v>
      </c>
      <c r="L3328" s="58">
        <f>IFERROR(__xludf.DUMMYFUNCTION("""COMPUTED_VALUE"""),46080.0)</f>
        <v>46080</v>
      </c>
    </row>
    <row r="3329">
      <c r="A3329" s="6" t="str">
        <f>IFERROR(__xludf.DUMMYFUNCTION("""COMPUTED_VALUE"""),"RIA")</f>
        <v>RIA</v>
      </c>
      <c r="B3329" s="6" t="str">
        <f>IFERROR(__xludf.DUMMYFUNCTION("""COMPUTED_VALUE"""),"ENG")</f>
        <v>ENG</v>
      </c>
      <c r="C3329" s="6" t="str">
        <f>IFERROR(__xludf.DUMMYFUNCTION("""COMPUTED_VALUE"""),"Q-10946-00")</f>
        <v>Q-10946-00</v>
      </c>
      <c r="D3329" s="6" t="str">
        <f>IFERROR(__xludf.DUMMYFUNCTION("""COMPUTED_VALUE"""),"Silicone Sealant;Silglaze;Type N10 Light Grey;pack size per pcs")</f>
        <v>Silicone Sealant;Silglaze;Type N10 Light Grey;pack size per pcs</v>
      </c>
      <c r="E3329" s="6">
        <f>IFERROR(__xludf.DUMMYFUNCTION("""COMPUTED_VALUE"""),1.0)</f>
        <v>1</v>
      </c>
      <c r="F3329" s="6">
        <f>IFERROR(__xludf.DUMMYFUNCTION("""COMPUTED_VALUE"""),1.0)</f>
        <v>1</v>
      </c>
      <c r="G3329" s="6">
        <f>IFERROR(__xludf.DUMMYFUNCTION("""COMPUTED_VALUE"""),0.0)</f>
        <v>0</v>
      </c>
      <c r="H3329" s="6" t="str">
        <f>IFERROR(__xludf.DUMMYFUNCTION("""COMPUTED_VALUE"""),"Pcs")</f>
        <v>Pcs</v>
      </c>
      <c r="I3329" s="6" t="str">
        <f>IFERROR(__xludf.DUMMYFUNCTION("""COMPUTED_VALUE"""),"MFH")</f>
        <v>MFH</v>
      </c>
      <c r="J3329" s="6" t="str">
        <f>IFERROR(__xludf.DUMMYFUNCTION("""COMPUTED_VALUE"""),"Dispensing")</f>
        <v>Dispensing</v>
      </c>
      <c r="K3329" s="6" t="str">
        <f>IFERROR(__xludf.DUMMYFUNCTION("""COMPUTED_VALUE"""),"SPR/26/02/113")</f>
        <v>SPR/26/02/113</v>
      </c>
      <c r="L3329" s="58">
        <f>IFERROR(__xludf.DUMMYFUNCTION("""COMPUTED_VALUE"""),46080.0)</f>
        <v>46080</v>
      </c>
    </row>
    <row r="3330">
      <c r="A3330" s="6" t="str">
        <f>IFERROR(__xludf.DUMMYFUNCTION("""COMPUTED_VALUE"""),"ANO")</f>
        <v>ANO</v>
      </c>
      <c r="B3330" s="6" t="str">
        <f>IFERROR(__xludf.DUMMYFUNCTION("""COMPUTED_VALUE"""),"ENG")</f>
        <v>ENG</v>
      </c>
      <c r="C3330" s="6" t="str">
        <f>IFERROR(__xludf.DUMMYFUNCTION("""COMPUTED_VALUE"""),"T-80681-00")</f>
        <v>T-80681-00</v>
      </c>
      <c r="D3330" s="6" t="str">
        <f>IFERROR(__xludf.DUMMYFUNCTION("""COMPUTED_VALUE"""),"Battery Kancing Energizer CR2032  3V Lithium; ; ;")</f>
        <v>Battery Kancing Energizer CR2032  3V Lithium; ; ;</v>
      </c>
      <c r="E3330" s="6">
        <f>IFERROR(__xludf.DUMMYFUNCTION("""COMPUTED_VALUE"""),1.0)</f>
        <v>1</v>
      </c>
      <c r="F3330" s="6">
        <f>IFERROR(__xludf.DUMMYFUNCTION("""COMPUTED_VALUE"""),1.0)</f>
        <v>1</v>
      </c>
      <c r="G3330" s="6">
        <f>IFERROR(__xludf.DUMMYFUNCTION("""COMPUTED_VALUE"""),0.0)</f>
        <v>0</v>
      </c>
      <c r="H3330" s="6" t="str">
        <f>IFERROR(__xludf.DUMMYFUNCTION("""COMPUTED_VALUE"""),"Pcs")</f>
        <v>Pcs</v>
      </c>
      <c r="I3330" s="6" t="str">
        <f>IFERROR(__xludf.DUMMYFUNCTION("""COMPUTED_VALUE"""),"MFH")</f>
        <v>MFH</v>
      </c>
      <c r="J3330" s="6" t="str">
        <f>IFERROR(__xludf.DUMMYFUNCTION("""COMPUTED_VALUE"""),"Walk In Incubator")</f>
        <v>Walk In Incubator</v>
      </c>
      <c r="K3330" s="6" t="str">
        <f>IFERROR(__xludf.DUMMYFUNCTION("""COMPUTED_VALUE"""),"SPR/26/02/114")</f>
        <v>SPR/26/02/114</v>
      </c>
      <c r="L3330" s="58">
        <f>IFERROR(__xludf.DUMMYFUNCTION("""COMPUTED_VALUE"""),46080.0)</f>
        <v>46080</v>
      </c>
    </row>
    <row r="3331">
      <c r="A3331" s="6" t="str">
        <f>IFERROR(__xludf.DUMMYFUNCTION("""COMPUTED_VALUE"""),"ANO")</f>
        <v>ANO</v>
      </c>
      <c r="B3331" s="6" t="str">
        <f>IFERROR(__xludf.DUMMYFUNCTION("""COMPUTED_VALUE"""),"ENG")</f>
        <v>ENG</v>
      </c>
      <c r="C3331" s="6" t="str">
        <f>IFERROR(__xludf.DUMMYFUNCTION("""COMPUTED_VALUE"""),"O-16647-00")</f>
        <v>O-16647-00</v>
      </c>
      <c r="D3331" s="6" t="str">
        <f>IFERROR(__xludf.DUMMYFUNCTION("""COMPUTED_VALUE"""),"Washing RAR4 - Oring Silicone Merah 23x18x2.5 mm; ; ;")</f>
        <v>Washing RAR4 - Oring Silicone Merah 23x18x2.5 mm; ; ;</v>
      </c>
      <c r="E3331" s="6">
        <f>IFERROR(__xludf.DUMMYFUNCTION("""COMPUTED_VALUE"""),10.0)</f>
        <v>10</v>
      </c>
      <c r="F3331" s="6">
        <f>IFERROR(__xludf.DUMMYFUNCTION("""COMPUTED_VALUE"""),10.0)</f>
        <v>10</v>
      </c>
      <c r="G3331" s="6">
        <f>IFERROR(__xludf.DUMMYFUNCTION("""COMPUTED_VALUE"""),0.0)</f>
        <v>0</v>
      </c>
      <c r="H3331" s="6" t="str">
        <f>IFERROR(__xludf.DUMMYFUNCTION("""COMPUTED_VALUE"""),"Pcs")</f>
        <v>Pcs</v>
      </c>
      <c r="I3331" s="6" t="str">
        <f>IFERROR(__xludf.DUMMYFUNCTION("""COMPUTED_VALUE"""),"MFH")</f>
        <v>MFH</v>
      </c>
      <c r="J3331" s="6" t="str">
        <f>IFERROR(__xludf.DUMMYFUNCTION("""COMPUTED_VALUE"""),"Capping")</f>
        <v>Capping</v>
      </c>
      <c r="K3331" s="6" t="str">
        <f>IFERROR(__xludf.DUMMYFUNCTION("""COMPUTED_VALUE"""),"SPR/26/02/115")</f>
        <v>SPR/26/02/115</v>
      </c>
      <c r="L3331" s="58">
        <f>IFERROR(__xludf.DUMMYFUNCTION("""COMPUTED_VALUE"""),46080.0)</f>
        <v>46080</v>
      </c>
    </row>
    <row r="3332">
      <c r="A3332" s="6" t="str">
        <f>IFERROR(__xludf.DUMMYFUNCTION("""COMPUTED_VALUE"""),"RIA")</f>
        <v>RIA</v>
      </c>
      <c r="B3332" s="6" t="str">
        <f>IFERROR(__xludf.DUMMYFUNCTION("""COMPUTED_VALUE"""),"ENG")</f>
        <v>ENG</v>
      </c>
      <c r="C3332" s="6" t="str">
        <f>IFERROR(__xludf.DUMMYFUNCTION("""COMPUTED_VALUE"""),"P-50562-00")</f>
        <v>P-50562-00</v>
      </c>
      <c r="D3332" s="6" t="str">
        <f>IFERROR(__xludf.DUMMYFUNCTION("""COMPUTED_VALUE"""),"Socket Relay PF083A-E; Omron; PF083A; 1 pieces")</f>
        <v>Socket Relay PF083A-E; Omron; PF083A; 1 pieces</v>
      </c>
      <c r="E3332" s="6">
        <f>IFERROR(__xludf.DUMMYFUNCTION("""COMPUTED_VALUE"""),1.0)</f>
        <v>1</v>
      </c>
      <c r="F3332" s="6">
        <f>IFERROR(__xludf.DUMMYFUNCTION("""COMPUTED_VALUE"""),1.0)</f>
        <v>1</v>
      </c>
      <c r="G3332" s="6">
        <f>IFERROR(__xludf.DUMMYFUNCTION("""COMPUTED_VALUE"""),0.0)</f>
        <v>0</v>
      </c>
      <c r="H3332" s="6" t="str">
        <f>IFERROR(__xludf.DUMMYFUNCTION("""COMPUTED_VALUE"""),"Pcs")</f>
        <v>Pcs</v>
      </c>
      <c r="I3332" s="6" t="str">
        <f>IFERROR(__xludf.DUMMYFUNCTION("""COMPUTED_VALUE"""),"MFH")</f>
        <v>MFH</v>
      </c>
      <c r="J3332" s="6" t="str">
        <f>IFERROR(__xludf.DUMMYFUNCTION("""COMPUTED_VALUE"""),"-")</f>
        <v>-</v>
      </c>
      <c r="K3332" s="6" t="str">
        <f>IFERROR(__xludf.DUMMYFUNCTION("""COMPUTED_VALUE"""),"SPR/26/02/116")</f>
        <v>SPR/26/02/116</v>
      </c>
      <c r="L3332" s="58">
        <f>IFERROR(__xludf.DUMMYFUNCTION("""COMPUTED_VALUE"""),46080.0)</f>
        <v>46080</v>
      </c>
    </row>
    <row r="3333">
      <c r="A3333" s="6" t="str">
        <f>IFERROR(__xludf.DUMMYFUNCTION("""COMPUTED_VALUE"""),"RIA")</f>
        <v>RIA</v>
      </c>
      <c r="B3333" s="6" t="str">
        <f>IFERROR(__xludf.DUMMYFUNCTION("""COMPUTED_VALUE"""),"ENG")</f>
        <v>ENG</v>
      </c>
      <c r="C3333" s="6" t="str">
        <f>IFERROR(__xludf.DUMMYFUNCTION("""COMPUTED_VALUE"""),"O-50863-00")</f>
        <v>O-50863-00</v>
      </c>
      <c r="D3333" s="6" t="str">
        <f>IFERROR(__xludf.DUMMYFUNCTION("""COMPUTED_VALUE"""),"General - Relay 220-240 VAC; Omron; MY4N; 1 Pc")</f>
        <v>General - Relay 220-240 VAC; Omron; MY4N; 1 Pc</v>
      </c>
      <c r="E3333" s="6">
        <f>IFERROR(__xludf.DUMMYFUNCTION("""COMPUTED_VALUE"""),1.0)</f>
        <v>1</v>
      </c>
      <c r="F3333" s="6">
        <f>IFERROR(__xludf.DUMMYFUNCTION("""COMPUTED_VALUE"""),1.0)</f>
        <v>1</v>
      </c>
      <c r="G3333" s="6">
        <f>IFERROR(__xludf.DUMMYFUNCTION("""COMPUTED_VALUE"""),0.0)</f>
        <v>0</v>
      </c>
      <c r="H3333" s="6" t="str">
        <f>IFERROR(__xludf.DUMMYFUNCTION("""COMPUTED_VALUE"""),"Pcs")</f>
        <v>Pcs</v>
      </c>
      <c r="I3333" s="6" t="str">
        <f>IFERROR(__xludf.DUMMYFUNCTION("""COMPUTED_VALUE"""),"MFH")</f>
        <v>MFH</v>
      </c>
      <c r="J3333" s="6" t="str">
        <f>IFERROR(__xludf.DUMMYFUNCTION("""COMPUTED_VALUE"""),"-")</f>
        <v>-</v>
      </c>
      <c r="K3333" s="6" t="str">
        <f>IFERROR(__xludf.DUMMYFUNCTION("""COMPUTED_VALUE"""),"SPR/26/02/116")</f>
        <v>SPR/26/02/116</v>
      </c>
      <c r="L3333" s="58">
        <f>IFERROR(__xludf.DUMMYFUNCTION("""COMPUTED_VALUE"""),46080.0)</f>
        <v>46080</v>
      </c>
    </row>
    <row r="3334">
      <c r="A3334" s="6" t="str">
        <f>IFERROR(__xludf.DUMMYFUNCTION("""COMPUTED_VALUE"""),"RIA")</f>
        <v>RIA</v>
      </c>
      <c r="B3334" s="6" t="str">
        <f>IFERROR(__xludf.DUMMYFUNCTION("""COMPUTED_VALUE"""),"ENG")</f>
        <v>ENG</v>
      </c>
      <c r="C3334" s="6" t="str">
        <f>IFERROR(__xludf.DUMMYFUNCTION("""COMPUTED_VALUE"""),"P-50810-00")</f>
        <v>P-50810-00</v>
      </c>
      <c r="D3334" s="6" t="str">
        <f>IFERROR(__xludf.DUMMYFUNCTION("""COMPUTED_VALUE"""),"General - Buzzer AD22-22MSD red with lamp; FORT; -; 1 pcs")</f>
        <v>General - Buzzer AD22-22MSD red with lamp; FORT; -; 1 pcs</v>
      </c>
      <c r="E3334" s="6">
        <f>IFERROR(__xludf.DUMMYFUNCTION("""COMPUTED_VALUE"""),1.0)</f>
        <v>1</v>
      </c>
      <c r="F3334" s="6">
        <f>IFERROR(__xludf.DUMMYFUNCTION("""COMPUTED_VALUE"""),1.0)</f>
        <v>1</v>
      </c>
      <c r="G3334" s="6">
        <f>IFERROR(__xludf.DUMMYFUNCTION("""COMPUTED_VALUE"""),0.0)</f>
        <v>0</v>
      </c>
      <c r="H3334" s="6" t="str">
        <f>IFERROR(__xludf.DUMMYFUNCTION("""COMPUTED_VALUE"""),"Pcs")</f>
        <v>Pcs</v>
      </c>
      <c r="I3334" s="6" t="str">
        <f>IFERROR(__xludf.DUMMYFUNCTION("""COMPUTED_VALUE"""),"MFH")</f>
        <v>MFH</v>
      </c>
      <c r="J3334" s="6" t="str">
        <f>IFERROR(__xludf.DUMMYFUNCTION("""COMPUTED_VALUE"""),"-")</f>
        <v>-</v>
      </c>
      <c r="K3334" s="6" t="str">
        <f>IFERROR(__xludf.DUMMYFUNCTION("""COMPUTED_VALUE"""),"SPR/26/02/116")</f>
        <v>SPR/26/02/116</v>
      </c>
      <c r="L3334" s="58">
        <f>IFERROR(__xludf.DUMMYFUNCTION("""COMPUTED_VALUE"""),46080.0)</f>
        <v>46080</v>
      </c>
    </row>
    <row r="3335">
      <c r="A3335" s="6" t="str">
        <f>IFERROR(__xludf.DUMMYFUNCTION("""COMPUTED_VALUE"""),"RIA")</f>
        <v>RIA</v>
      </c>
      <c r="B3335" s="6" t="str">
        <f>IFERROR(__xludf.DUMMYFUNCTION("""COMPUTED_VALUE"""),"ENG")</f>
        <v>ENG</v>
      </c>
      <c r="C3335" s="6" t="str">
        <f>IFERROR(__xludf.DUMMYFUNCTION("""COMPUTED_VALUE"""),"P-51216-00")</f>
        <v>P-51216-00</v>
      </c>
      <c r="D3335" s="6" t="str">
        <f>IFERROR(__xludf.DUMMYFUNCTION("""COMPUTED_VALUE"""),"Pipa conduit 20mm")</f>
        <v>Pipa conduit 20mm</v>
      </c>
      <c r="E3335" s="6">
        <f>IFERROR(__xludf.DUMMYFUNCTION("""COMPUTED_VALUE"""),3.0)</f>
        <v>3</v>
      </c>
      <c r="F3335" s="6">
        <f>IFERROR(__xludf.DUMMYFUNCTION("""COMPUTED_VALUE"""),3.0)</f>
        <v>3</v>
      </c>
      <c r="G3335" s="6">
        <f>IFERROR(__xludf.DUMMYFUNCTION("""COMPUTED_VALUE"""),0.0)</f>
        <v>0</v>
      </c>
      <c r="H3335" s="6" t="str">
        <f>IFERROR(__xludf.DUMMYFUNCTION("""COMPUTED_VALUE"""),"Pcs")</f>
        <v>Pcs</v>
      </c>
      <c r="I3335" s="6" t="str">
        <f>IFERROR(__xludf.DUMMYFUNCTION("""COMPUTED_VALUE"""),"MFH")</f>
        <v>MFH</v>
      </c>
      <c r="J3335" s="6" t="str">
        <f>IFERROR(__xludf.DUMMYFUNCTION("""COMPUTED_VALUE"""),"Hot Water")</f>
        <v>Hot Water</v>
      </c>
      <c r="K3335" s="6" t="str">
        <f>IFERROR(__xludf.DUMMYFUNCTION("""COMPUTED_VALUE"""),"SPR/26/02/117")</f>
        <v>SPR/26/02/117</v>
      </c>
      <c r="L3335" s="58">
        <f>IFERROR(__xludf.DUMMYFUNCTION("""COMPUTED_VALUE"""),46080.0)</f>
        <v>46080</v>
      </c>
    </row>
    <row r="3336">
      <c r="A3336" s="6" t="str">
        <f>IFERROR(__xludf.DUMMYFUNCTION("""COMPUTED_VALUE"""),"RIA")</f>
        <v>RIA</v>
      </c>
      <c r="B3336" s="6" t="str">
        <f>IFERROR(__xludf.DUMMYFUNCTION("""COMPUTED_VALUE"""),"ENG")</f>
        <v>ENG</v>
      </c>
      <c r="C3336" s="6" t="str">
        <f>IFERROR(__xludf.DUMMYFUNCTION("""COMPUTED_VALUE"""),"P-10945-00")</f>
        <v>P-10945-00</v>
      </c>
      <c r="D3336" s="6" t="str">
        <f>IFERROR(__xludf.DUMMYFUNCTION("""COMPUTED_VALUE"""),"General - Seal Tape 1/2inch 10 M; Onda; ST 01; 1 pcs")</f>
        <v>General - Seal Tape 1/2inch 10 M; Onda; ST 01; 1 pcs</v>
      </c>
      <c r="E3336" s="6">
        <f>IFERROR(__xludf.DUMMYFUNCTION("""COMPUTED_VALUE"""),2.0)</f>
        <v>2</v>
      </c>
      <c r="F3336" s="6">
        <f>IFERROR(__xludf.DUMMYFUNCTION("""COMPUTED_VALUE"""),2.0)</f>
        <v>2</v>
      </c>
      <c r="G3336" s="6">
        <f>IFERROR(__xludf.DUMMYFUNCTION("""COMPUTED_VALUE"""),0.0)</f>
        <v>0</v>
      </c>
      <c r="H3336" s="6" t="str">
        <f>IFERROR(__xludf.DUMMYFUNCTION("""COMPUTED_VALUE"""),"Pcs")</f>
        <v>Pcs</v>
      </c>
      <c r="I3336" s="6" t="str">
        <f>IFERROR(__xludf.DUMMYFUNCTION("""COMPUTED_VALUE"""),"MFH")</f>
        <v>MFH</v>
      </c>
      <c r="J3336" s="6" t="str">
        <f>IFERROR(__xludf.DUMMYFUNCTION("""COMPUTED_VALUE"""),"Hot Water")</f>
        <v>Hot Water</v>
      </c>
      <c r="K3336" s="6" t="str">
        <f>IFERROR(__xludf.DUMMYFUNCTION("""COMPUTED_VALUE"""),"SPR/26/02/117")</f>
        <v>SPR/26/02/117</v>
      </c>
      <c r="L3336" s="58">
        <f>IFERROR(__xludf.DUMMYFUNCTION("""COMPUTED_VALUE"""),46080.0)</f>
        <v>46080</v>
      </c>
    </row>
    <row r="3337">
      <c r="A3337" s="6" t="str">
        <f>IFERROR(__xludf.DUMMYFUNCTION("""COMPUTED_VALUE"""),"RIA")</f>
        <v>RIA</v>
      </c>
      <c r="B3337" s="6" t="str">
        <f>IFERROR(__xludf.DUMMYFUNCTION("""COMPUTED_VALUE"""),"ENG")</f>
        <v>ENG</v>
      </c>
      <c r="C3337" s="6" t="str">
        <f>IFERROR(__xludf.DUMMYFUNCTION("""COMPUTED_VALUE"""),"-")</f>
        <v>-</v>
      </c>
      <c r="D3337" s="6" t="str">
        <f>IFERROR(__xludf.DUMMYFUNCTION("""COMPUTED_VALUE"""),"Sock Conduit")</f>
        <v>Sock Conduit</v>
      </c>
      <c r="E3337" s="6">
        <f>IFERROR(__xludf.DUMMYFUNCTION("""COMPUTED_VALUE"""),6.0)</f>
        <v>6</v>
      </c>
      <c r="F3337" s="6">
        <f>IFERROR(__xludf.DUMMYFUNCTION("""COMPUTED_VALUE"""),6.0)</f>
        <v>6</v>
      </c>
      <c r="G3337" s="6">
        <f>IFERROR(__xludf.DUMMYFUNCTION("""COMPUTED_VALUE"""),0.0)</f>
        <v>0</v>
      </c>
      <c r="H3337" s="6" t="str">
        <f>IFERROR(__xludf.DUMMYFUNCTION("""COMPUTED_VALUE"""),"Pcs")</f>
        <v>Pcs</v>
      </c>
      <c r="I3337" s="6" t="str">
        <f>IFERROR(__xludf.DUMMYFUNCTION("""COMPUTED_VALUE"""),"MFH")</f>
        <v>MFH</v>
      </c>
      <c r="J3337" s="6" t="str">
        <f>IFERROR(__xludf.DUMMYFUNCTION("""COMPUTED_VALUE"""),"Hot Water")</f>
        <v>Hot Water</v>
      </c>
      <c r="K3337" s="6" t="str">
        <f>IFERROR(__xludf.DUMMYFUNCTION("""COMPUTED_VALUE"""),"SPR/26/02/117")</f>
        <v>SPR/26/02/117</v>
      </c>
      <c r="L3337" s="58">
        <f>IFERROR(__xludf.DUMMYFUNCTION("""COMPUTED_VALUE"""),46080.0)</f>
        <v>46080</v>
      </c>
    </row>
    <row r="3338">
      <c r="A3338" s="6" t="str">
        <f>IFERROR(__xludf.DUMMYFUNCTION("""COMPUTED_VALUE"""),"RIA")</f>
        <v>RIA</v>
      </c>
      <c r="B3338" s="6" t="str">
        <f>IFERROR(__xludf.DUMMYFUNCTION("""COMPUTED_VALUE"""),"ENG")</f>
        <v>ENG</v>
      </c>
      <c r="C3338" s="6" t="str">
        <f>IFERROR(__xludf.DUMMYFUNCTION("""COMPUTED_VALUE"""),"P-50810-00")</f>
        <v>P-50810-00</v>
      </c>
      <c r="D3338" s="6" t="str">
        <f>IFERROR(__xludf.DUMMYFUNCTION("""COMPUTED_VALUE"""),"General - Buzzer AD22-22MSD red with lamp; FORT; -; 1 pcs")</f>
        <v>General - Buzzer AD22-22MSD red with lamp; FORT; -; 1 pcs</v>
      </c>
      <c r="E3338" s="6">
        <f>IFERROR(__xludf.DUMMYFUNCTION("""COMPUTED_VALUE"""),1.0)</f>
        <v>1</v>
      </c>
      <c r="F3338" s="6">
        <f>IFERROR(__xludf.DUMMYFUNCTION("""COMPUTED_VALUE"""),1.0)</f>
        <v>1</v>
      </c>
      <c r="G3338" s="6">
        <f>IFERROR(__xludf.DUMMYFUNCTION("""COMPUTED_VALUE"""),0.0)</f>
        <v>0</v>
      </c>
      <c r="H3338" s="6" t="str">
        <f>IFERROR(__xludf.DUMMYFUNCTION("""COMPUTED_VALUE"""),"Pcs")</f>
        <v>Pcs</v>
      </c>
      <c r="I3338" s="6" t="str">
        <f>IFERROR(__xludf.DUMMYFUNCTION("""COMPUTED_VALUE"""),"MFH")</f>
        <v>MFH</v>
      </c>
      <c r="J3338" s="6" t="str">
        <f>IFERROR(__xludf.DUMMYFUNCTION("""COMPUTED_VALUE"""),"Hot Water")</f>
        <v>Hot Water</v>
      </c>
      <c r="K3338" s="6" t="str">
        <f>IFERROR(__xludf.DUMMYFUNCTION("""COMPUTED_VALUE"""),"SPR/26/02/118")</f>
        <v>SPR/26/02/118</v>
      </c>
      <c r="L3338" s="58">
        <f>IFERROR(__xludf.DUMMYFUNCTION("""COMPUTED_VALUE"""),46080.0)</f>
        <v>46080</v>
      </c>
    </row>
    <row r="3339">
      <c r="A3339" s="6" t="str">
        <f>IFERROR(__xludf.DUMMYFUNCTION("""COMPUTED_VALUE"""),"ANO")</f>
        <v>ANO</v>
      </c>
      <c r="B3339" s="6" t="str">
        <f>IFERROR(__xludf.DUMMYFUNCTION("""COMPUTED_VALUE"""),"ENG")</f>
        <v>ENG</v>
      </c>
      <c r="C3339" s="6" t="str">
        <f>IFERROR(__xludf.DUMMYFUNCTION("""COMPUTED_VALUE"""),"T-20851-00")</f>
        <v>T-20851-00</v>
      </c>
      <c r="D3339" s="6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E3339" s="6">
        <f>IFERROR(__xludf.DUMMYFUNCTION("""COMPUTED_VALUE"""),2.0)</f>
        <v>2</v>
      </c>
      <c r="F3339" s="6">
        <f>IFERROR(__xludf.DUMMYFUNCTION("""COMPUTED_VALUE"""),2.0)</f>
        <v>2</v>
      </c>
      <c r="G3339" s="6">
        <f>IFERROR(__xludf.DUMMYFUNCTION("""COMPUTED_VALUE"""),0.0)</f>
        <v>0</v>
      </c>
      <c r="H3339" s="6" t="str">
        <f>IFERROR(__xludf.DUMMYFUNCTION("""COMPUTED_VALUE"""),"Pcs")</f>
        <v>Pcs</v>
      </c>
      <c r="I3339" s="6" t="str">
        <f>IFERROR(__xludf.DUMMYFUNCTION("""COMPUTED_VALUE"""),"MFH")</f>
        <v>MFH</v>
      </c>
      <c r="J3339" s="6" t="str">
        <f>IFERROR(__xludf.DUMMYFUNCTION("""COMPUTED_VALUE"""),"HPLC")</f>
        <v>HPLC</v>
      </c>
      <c r="K3339" s="6" t="str">
        <f>IFERROR(__xludf.DUMMYFUNCTION("""COMPUTED_VALUE"""),"SPR/26/03/001")</f>
        <v>SPR/26/03/001</v>
      </c>
      <c r="L3339" s="13">
        <f>IFERROR(__xludf.DUMMYFUNCTION("""COMPUTED_VALUE"""),46112.0)</f>
        <v>46112</v>
      </c>
    </row>
    <row r="3340">
      <c r="A3340" s="6" t="str">
        <f>IFERROR(__xludf.DUMMYFUNCTION("""COMPUTED_VALUE"""),"ANO")</f>
        <v>ANO</v>
      </c>
      <c r="B3340" s="6" t="str">
        <f>IFERROR(__xludf.DUMMYFUNCTION("""COMPUTED_VALUE"""),"ENG")</f>
        <v>ENG</v>
      </c>
      <c r="C3340" s="6" t="str">
        <f>IFERROR(__xludf.DUMMYFUNCTION("""COMPUTED_VALUE"""),"O-19430-00")</f>
        <v>O-19430-00</v>
      </c>
      <c r="D3340" s="6" t="str">
        <f>IFERROR(__xludf.DUMMYFUNCTION("""COMPUTED_VALUE"""),"Baut SS L M5 x 20 mm + Mur + Ring; ; ;; ; ;; ; ;")</f>
        <v>Baut SS L M5 x 20 mm + Mur + Ring; ; ;; ; ;; ; ;</v>
      </c>
      <c r="E3340" s="6">
        <f>IFERROR(__xludf.DUMMYFUNCTION("""COMPUTED_VALUE"""),2.0)</f>
        <v>2</v>
      </c>
      <c r="F3340" s="6">
        <f>IFERROR(__xludf.DUMMYFUNCTION("""COMPUTED_VALUE"""),2.0)</f>
        <v>2</v>
      </c>
      <c r="G3340" s="6">
        <f>IFERROR(__xludf.DUMMYFUNCTION("""COMPUTED_VALUE"""),0.0)</f>
        <v>0</v>
      </c>
      <c r="H3340" s="6" t="str">
        <f>IFERROR(__xludf.DUMMYFUNCTION("""COMPUTED_VALUE"""),"Pcs")</f>
        <v>Pcs</v>
      </c>
      <c r="I3340" s="6" t="str">
        <f>IFERROR(__xludf.DUMMYFUNCTION("""COMPUTED_VALUE"""),"MFH")</f>
        <v>MFH</v>
      </c>
      <c r="J3340" s="6" t="str">
        <f>IFERROR(__xludf.DUMMYFUNCTION("""COMPUTED_VALUE"""),"HPLC")</f>
        <v>HPLC</v>
      </c>
      <c r="K3340" s="6" t="str">
        <f>IFERROR(__xludf.DUMMYFUNCTION("""COMPUTED_VALUE"""),"SPR/26/03/001")</f>
        <v>SPR/26/03/001</v>
      </c>
      <c r="L3340" s="13">
        <f>IFERROR(__xludf.DUMMYFUNCTION("""COMPUTED_VALUE"""),46112.0)</f>
        <v>46112</v>
      </c>
    </row>
    <row r="3341">
      <c r="A3341" s="6" t="str">
        <f>IFERROR(__xludf.DUMMYFUNCTION("""COMPUTED_VALUE"""),"SFH")</f>
        <v>SFH</v>
      </c>
      <c r="B3341" s="6" t="str">
        <f>IFERROR(__xludf.DUMMYFUNCTION("""COMPUTED_VALUE"""),"ENG")</f>
        <v>ENG</v>
      </c>
      <c r="C3341" s="6" t="str">
        <f>IFERROR(__xludf.DUMMYFUNCTION("""COMPUTED_VALUE"""),"Q-10153-00")</f>
        <v>Q-10153-00</v>
      </c>
      <c r="D3341" s="6" t="str">
        <f>IFERROR(__xludf.DUMMYFUNCTION("""COMPUTED_VALUE"""),"Kuas Cat Roller uk. 110 mm;No Brand;;pack size per set")</f>
        <v>Kuas Cat Roller uk. 110 mm;No Brand;;pack size per set</v>
      </c>
      <c r="E3341" s="6">
        <f>IFERROR(__xludf.DUMMYFUNCTION("""COMPUTED_VALUE"""),1.0)</f>
        <v>1</v>
      </c>
      <c r="F3341" s="6">
        <f>IFERROR(__xludf.DUMMYFUNCTION("""COMPUTED_VALUE"""),1.0)</f>
        <v>1</v>
      </c>
      <c r="G3341" s="6">
        <f>IFERROR(__xludf.DUMMYFUNCTION("""COMPUTED_VALUE"""),0.0)</f>
        <v>0</v>
      </c>
      <c r="H3341" s="6" t="str">
        <f>IFERROR(__xludf.DUMMYFUNCTION("""COMPUTED_VALUE"""),"Pcs")</f>
        <v>Pcs</v>
      </c>
      <c r="I3341" s="6" t="str">
        <f>IFERROR(__xludf.DUMMYFUNCTION("""COMPUTED_VALUE"""),"MFH")</f>
        <v>MFH</v>
      </c>
      <c r="J3341" s="6" t="str">
        <f>IFERROR(__xludf.DUMMYFUNCTION("""COMPUTED_VALUE"""),"Building")</f>
        <v>Building</v>
      </c>
      <c r="K3341" s="6" t="str">
        <f>IFERROR(__xludf.DUMMYFUNCTION("""COMPUTED_VALUE"""),"SPR/26/03/002")</f>
        <v>SPR/26/03/002</v>
      </c>
      <c r="L3341" s="13">
        <f>IFERROR(__xludf.DUMMYFUNCTION("""COMPUTED_VALUE"""),46112.0)</f>
        <v>46112</v>
      </c>
    </row>
    <row r="3342">
      <c r="A3342" s="6" t="str">
        <f>IFERROR(__xludf.DUMMYFUNCTION("""COMPUTED_VALUE"""),"SFH")</f>
        <v>SFH</v>
      </c>
      <c r="B3342" s="6" t="str">
        <f>IFERROR(__xludf.DUMMYFUNCTION("""COMPUTED_VALUE"""),"ENG")</f>
        <v>ENG</v>
      </c>
      <c r="C3342" s="6" t="str">
        <f>IFERROR(__xludf.DUMMYFUNCTION("""COMPUTED_VALUE"""),"Q-10128-00")</f>
        <v>Q-10128-00</v>
      </c>
      <c r="D3342" s="6" t="str">
        <f>IFERROR(__xludf.DUMMYFUNCTION("""COMPUTED_VALUE"""),"Thinner Super End/Impala")</f>
        <v>Thinner Super End/Impala</v>
      </c>
      <c r="E3342" s="6">
        <f>IFERROR(__xludf.DUMMYFUNCTION("""COMPUTED_VALUE"""),1.0)</f>
        <v>1</v>
      </c>
      <c r="F3342" s="6">
        <f>IFERROR(__xludf.DUMMYFUNCTION("""COMPUTED_VALUE"""),1.0)</f>
        <v>1</v>
      </c>
      <c r="G3342" s="6">
        <f>IFERROR(__xludf.DUMMYFUNCTION("""COMPUTED_VALUE"""),0.0)</f>
        <v>0</v>
      </c>
      <c r="H3342" s="6" t="str">
        <f>IFERROR(__xludf.DUMMYFUNCTION("""COMPUTED_VALUE"""),"Pcs")</f>
        <v>Pcs</v>
      </c>
      <c r="I3342" s="6" t="str">
        <f>IFERROR(__xludf.DUMMYFUNCTION("""COMPUTED_VALUE"""),"MFH")</f>
        <v>MFH</v>
      </c>
      <c r="J3342" s="6" t="str">
        <f>IFERROR(__xludf.DUMMYFUNCTION("""COMPUTED_VALUE"""),"Building")</f>
        <v>Building</v>
      </c>
      <c r="K3342" s="6" t="str">
        <f>IFERROR(__xludf.DUMMYFUNCTION("""COMPUTED_VALUE"""),"SPR/26/03/002")</f>
        <v>SPR/26/03/002</v>
      </c>
      <c r="L3342" s="13">
        <f>IFERROR(__xludf.DUMMYFUNCTION("""COMPUTED_VALUE"""),46112.0)</f>
        <v>46112</v>
      </c>
    </row>
    <row r="3343">
      <c r="A3343" s="6" t="str">
        <f>IFERROR(__xludf.DUMMYFUNCTION("""COMPUTED_VALUE"""),"NDS")</f>
        <v>NDS</v>
      </c>
      <c r="B3343" s="6" t="str">
        <f>IFERROR(__xludf.DUMMYFUNCTION("""COMPUTED_VALUE"""),"ENG")</f>
        <v>ENG</v>
      </c>
      <c r="C3343" s="6" t="str">
        <f>IFERROR(__xludf.DUMMYFUNCTION("""COMPUTED_VALUE"""),"O-17831-00")</f>
        <v>O-17831-00</v>
      </c>
      <c r="D3343" s="6" t="str">
        <f>IFERROR(__xludf.DUMMYFUNCTION("""COMPUTED_VALUE"""),"Gear Door Autoclave")</f>
        <v>Gear Door Autoclave</v>
      </c>
      <c r="E3343" s="6">
        <f>IFERROR(__xludf.DUMMYFUNCTION("""COMPUTED_VALUE"""),1.0)</f>
        <v>1</v>
      </c>
      <c r="F3343" s="6">
        <f>IFERROR(__xludf.DUMMYFUNCTION("""COMPUTED_VALUE"""),1.0)</f>
        <v>1</v>
      </c>
      <c r="G3343" s="6">
        <f>IFERROR(__xludf.DUMMYFUNCTION("""COMPUTED_VALUE"""),0.0)</f>
        <v>0</v>
      </c>
      <c r="H3343" s="6" t="str">
        <f>IFERROR(__xludf.DUMMYFUNCTION("""COMPUTED_VALUE"""),"Pcs")</f>
        <v>Pcs</v>
      </c>
      <c r="I3343" s="6" t="str">
        <f>IFERROR(__xludf.DUMMYFUNCTION("""COMPUTED_VALUE"""),"MFH")</f>
        <v>MFH</v>
      </c>
      <c r="J3343" s="6" t="str">
        <f>IFERROR(__xludf.DUMMYFUNCTION("""COMPUTED_VALUE"""),"Autoclave")</f>
        <v>Autoclave</v>
      </c>
      <c r="K3343" s="6" t="str">
        <f>IFERROR(__xludf.DUMMYFUNCTION("""COMPUTED_VALUE"""),"SPR/26/03/003")</f>
        <v>SPR/26/03/003</v>
      </c>
      <c r="L3343" s="13">
        <f>IFERROR(__xludf.DUMMYFUNCTION("""COMPUTED_VALUE"""),46112.0)</f>
        <v>46112</v>
      </c>
    </row>
    <row r="3344">
      <c r="A3344" s="6" t="str">
        <f>IFERROR(__xludf.DUMMYFUNCTION("""COMPUTED_VALUE"""),"SFH")</f>
        <v>SFH</v>
      </c>
      <c r="B3344" s="6" t="str">
        <f>IFERROR(__xludf.DUMMYFUNCTION("""COMPUTED_VALUE"""),"ENG")</f>
        <v>ENG</v>
      </c>
      <c r="C3344" s="6" t="str">
        <f>IFERROR(__xludf.DUMMYFUNCTION("""COMPUTED_VALUE"""),"Q-60405-00")</f>
        <v>Q-60405-00</v>
      </c>
      <c r="D3344" s="6" t="str">
        <f>IFERROR(__xludf.DUMMYFUNCTION("""COMPUTED_VALUE"""),"Cat Durogloss DR-2000; Propan; Type Spiders Web 90YY 73/040; 0,9 L/can")</f>
        <v>Cat Durogloss DR-2000; Propan; Type Spiders Web 90YY 73/040; 0,9 L/can</v>
      </c>
      <c r="E3344" s="6">
        <f>IFERROR(__xludf.DUMMYFUNCTION("""COMPUTED_VALUE"""),3.0)</f>
        <v>3</v>
      </c>
      <c r="F3344" s="6">
        <f>IFERROR(__xludf.DUMMYFUNCTION("""COMPUTED_VALUE"""),3.0)</f>
        <v>3</v>
      </c>
      <c r="G3344" s="6">
        <f>IFERROR(__xludf.DUMMYFUNCTION("""COMPUTED_VALUE"""),0.0)</f>
        <v>0</v>
      </c>
      <c r="H3344" s="6" t="str">
        <f>IFERROR(__xludf.DUMMYFUNCTION("""COMPUTED_VALUE"""),"Pcs")</f>
        <v>Pcs</v>
      </c>
      <c r="I3344" s="6" t="str">
        <f>IFERROR(__xludf.DUMMYFUNCTION("""COMPUTED_VALUE"""),"MFH")</f>
        <v>MFH</v>
      </c>
      <c r="J3344" s="6" t="str">
        <f>IFERROR(__xludf.DUMMYFUNCTION("""COMPUTED_VALUE"""),"Building")</f>
        <v>Building</v>
      </c>
      <c r="K3344" s="6" t="str">
        <f>IFERROR(__xludf.DUMMYFUNCTION("""COMPUTED_VALUE"""),"SPR/26/03/004")</f>
        <v>SPR/26/03/004</v>
      </c>
      <c r="L3344" s="13">
        <f>IFERROR(__xludf.DUMMYFUNCTION("""COMPUTED_VALUE"""),46112.0)</f>
        <v>46112</v>
      </c>
    </row>
    <row r="3345">
      <c r="A3345" s="6" t="str">
        <f>IFERROR(__xludf.DUMMYFUNCTION("""COMPUTED_VALUE"""),"SFH")</f>
        <v>SFH</v>
      </c>
      <c r="B3345" s="6" t="str">
        <f>IFERROR(__xludf.DUMMYFUNCTION("""COMPUTED_VALUE"""),"ENG")</f>
        <v>ENG</v>
      </c>
      <c r="C3345" s="6" t="str">
        <f>IFERROR(__xludf.DUMMYFUNCTION("""COMPUTED_VALUE"""),"Q-10128-00")</f>
        <v>Q-10128-00</v>
      </c>
      <c r="D3345" s="6" t="str">
        <f>IFERROR(__xludf.DUMMYFUNCTION("""COMPUTED_VALUE"""),"Thinner Super End/Impala")</f>
        <v>Thinner Super End/Impala</v>
      </c>
      <c r="E3345" s="6">
        <f>IFERROR(__xludf.DUMMYFUNCTION("""COMPUTED_VALUE"""),1.0)</f>
        <v>1</v>
      </c>
      <c r="F3345" s="6">
        <f>IFERROR(__xludf.DUMMYFUNCTION("""COMPUTED_VALUE"""),3.0)</f>
        <v>3</v>
      </c>
      <c r="G3345" s="6">
        <f>IFERROR(__xludf.DUMMYFUNCTION("""COMPUTED_VALUE"""),0.0)</f>
        <v>0</v>
      </c>
      <c r="H3345" s="6" t="str">
        <f>IFERROR(__xludf.DUMMYFUNCTION("""COMPUTED_VALUE"""),"Pcs")</f>
        <v>Pcs</v>
      </c>
      <c r="I3345" s="6" t="str">
        <f>IFERROR(__xludf.DUMMYFUNCTION("""COMPUTED_VALUE"""),"MFH")</f>
        <v>MFH</v>
      </c>
      <c r="J3345" s="6" t="str">
        <f>IFERROR(__xludf.DUMMYFUNCTION("""COMPUTED_VALUE"""),"Building")</f>
        <v>Building</v>
      </c>
      <c r="K3345" s="6" t="str">
        <f>IFERROR(__xludf.DUMMYFUNCTION("""COMPUTED_VALUE"""),"SPR/26/03/004")</f>
        <v>SPR/26/03/004</v>
      </c>
      <c r="L3345" s="13">
        <f>IFERROR(__xludf.DUMMYFUNCTION("""COMPUTED_VALUE"""),46112.0)</f>
        <v>46112</v>
      </c>
    </row>
    <row r="3346">
      <c r="A3346" s="6" t="str">
        <f>IFERROR(__xludf.DUMMYFUNCTION("""COMPUTED_VALUE"""),"SFH")</f>
        <v>SFH</v>
      </c>
      <c r="B3346" s="6" t="str">
        <f>IFERROR(__xludf.DUMMYFUNCTION("""COMPUTED_VALUE"""),"ENG")</f>
        <v>ENG</v>
      </c>
      <c r="C3346" s="6" t="str">
        <f>IFERROR(__xludf.DUMMYFUNCTION("""COMPUTED_VALUE"""),"Q-10153-00")</f>
        <v>Q-10153-00</v>
      </c>
      <c r="D3346" s="6" t="str">
        <f>IFERROR(__xludf.DUMMYFUNCTION("""COMPUTED_VALUE"""),"Kuas Cat Roller uk. 110 mm;No Brand;;pack size per set")</f>
        <v>Kuas Cat Roller uk. 110 mm;No Brand;;pack size per set</v>
      </c>
      <c r="E3346" s="6">
        <f>IFERROR(__xludf.DUMMYFUNCTION("""COMPUTED_VALUE"""),3.0)</f>
        <v>3</v>
      </c>
      <c r="F3346" s="6">
        <f>IFERROR(__xludf.DUMMYFUNCTION("""COMPUTED_VALUE"""),3.0)</f>
        <v>3</v>
      </c>
      <c r="G3346" s="6">
        <f>IFERROR(__xludf.DUMMYFUNCTION("""COMPUTED_VALUE"""),0.0)</f>
        <v>0</v>
      </c>
      <c r="H3346" s="6" t="str">
        <f>IFERROR(__xludf.DUMMYFUNCTION("""COMPUTED_VALUE"""),"Pcs")</f>
        <v>Pcs</v>
      </c>
      <c r="I3346" s="6" t="str">
        <f>IFERROR(__xludf.DUMMYFUNCTION("""COMPUTED_VALUE"""),"MFH")</f>
        <v>MFH</v>
      </c>
      <c r="J3346" s="6" t="str">
        <f>IFERROR(__xludf.DUMMYFUNCTION("""COMPUTED_VALUE"""),"Building")</f>
        <v>Building</v>
      </c>
      <c r="K3346" s="6" t="str">
        <f>IFERROR(__xludf.DUMMYFUNCTION("""COMPUTED_VALUE"""),"SPR/26/03/004")</f>
        <v>SPR/26/03/004</v>
      </c>
      <c r="L3346" s="13">
        <f>IFERROR(__xludf.DUMMYFUNCTION("""COMPUTED_VALUE"""),46112.0)</f>
        <v>46112</v>
      </c>
    </row>
    <row r="3347">
      <c r="A3347" s="6" t="str">
        <f>IFERROR(__xludf.DUMMYFUNCTION("""COMPUTED_VALUE"""),"SFH")</f>
        <v>SFH</v>
      </c>
      <c r="B3347" s="6" t="str">
        <f>IFERROR(__xludf.DUMMYFUNCTION("""COMPUTED_VALUE"""),"ENG")</f>
        <v>ENG</v>
      </c>
      <c r="C3347" s="6" t="str">
        <f>IFERROR(__xludf.DUMMYFUNCTION("""COMPUTED_VALUE"""),"Q-12060-00")</f>
        <v>Q-12060-00</v>
      </c>
      <c r="D3347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3347" s="6">
        <f>IFERROR(__xludf.DUMMYFUNCTION("""COMPUTED_VALUE"""),1.0)</f>
        <v>1</v>
      </c>
      <c r="F3347" s="6">
        <f>IFERROR(__xludf.DUMMYFUNCTION("""COMPUTED_VALUE"""),1.0)</f>
        <v>1</v>
      </c>
      <c r="G3347" s="6">
        <f>IFERROR(__xludf.DUMMYFUNCTION("""COMPUTED_VALUE"""),0.0)</f>
        <v>0</v>
      </c>
      <c r="H3347" s="6" t="str">
        <f>IFERROR(__xludf.DUMMYFUNCTION("""COMPUTED_VALUE"""),"Pcs")</f>
        <v>Pcs</v>
      </c>
      <c r="I3347" s="6" t="str">
        <f>IFERROR(__xludf.DUMMYFUNCTION("""COMPUTED_VALUE"""),"MFH")</f>
        <v>MFH</v>
      </c>
      <c r="J3347" s="6" t="str">
        <f>IFERROR(__xludf.DUMMYFUNCTION("""COMPUTED_VALUE"""),"Building")</f>
        <v>Building</v>
      </c>
      <c r="K3347" s="6" t="str">
        <f>IFERROR(__xludf.DUMMYFUNCTION("""COMPUTED_VALUE"""),"SPR/26/03/005")</f>
        <v>SPR/26/03/005</v>
      </c>
      <c r="L3347" s="13">
        <f>IFERROR(__xludf.DUMMYFUNCTION("""COMPUTED_VALUE"""),46112.0)</f>
        <v>46112</v>
      </c>
    </row>
    <row r="3348">
      <c r="A3348" s="6" t="str">
        <f>IFERROR(__xludf.DUMMYFUNCTION("""COMPUTED_VALUE"""),"SFH")</f>
        <v>SFH</v>
      </c>
      <c r="B3348" s="6" t="str">
        <f>IFERROR(__xludf.DUMMYFUNCTION("""COMPUTED_VALUE"""),"ENG")</f>
        <v>ENG</v>
      </c>
      <c r="C3348" s="6" t="str">
        <f>IFERROR(__xludf.DUMMYFUNCTION("""COMPUTED_VALUE"""),"P-15852-00")</f>
        <v>P-15852-00</v>
      </c>
      <c r="D3348" s="6" t="str">
        <f>IFERROR(__xludf.DUMMYFUNCTION("""COMPUTED_VALUE"""),"AMPLAS  EAGLE 500")</f>
        <v>AMPLAS  EAGLE 500</v>
      </c>
      <c r="E3348" s="6">
        <f>IFERROR(__xludf.DUMMYFUNCTION("""COMPUTED_VALUE"""),4.0)</f>
        <v>4</v>
      </c>
      <c r="F3348" s="6">
        <f>IFERROR(__xludf.DUMMYFUNCTION("""COMPUTED_VALUE"""),4.0)</f>
        <v>4</v>
      </c>
      <c r="G3348" s="6">
        <f>IFERROR(__xludf.DUMMYFUNCTION("""COMPUTED_VALUE"""),0.0)</f>
        <v>0</v>
      </c>
      <c r="H3348" s="6" t="str">
        <f>IFERROR(__xludf.DUMMYFUNCTION("""COMPUTED_VALUE"""),"Pcs")</f>
        <v>Pcs</v>
      </c>
      <c r="I3348" s="6" t="str">
        <f>IFERROR(__xludf.DUMMYFUNCTION("""COMPUTED_VALUE"""),"MFH")</f>
        <v>MFH</v>
      </c>
      <c r="J3348" s="6" t="str">
        <f>IFERROR(__xludf.DUMMYFUNCTION("""COMPUTED_VALUE"""),"Building")</f>
        <v>Building</v>
      </c>
      <c r="K3348" s="6" t="str">
        <f>IFERROR(__xludf.DUMMYFUNCTION("""COMPUTED_VALUE"""),"SPR/26/03/005")</f>
        <v>SPR/26/03/005</v>
      </c>
      <c r="L3348" s="13">
        <f>IFERROR(__xludf.DUMMYFUNCTION("""COMPUTED_VALUE"""),46112.0)</f>
        <v>46112</v>
      </c>
    </row>
    <row r="3349">
      <c r="A3349" s="6" t="str">
        <f>IFERROR(__xludf.DUMMYFUNCTION("""COMPUTED_VALUE"""),"SFH")</f>
        <v>SFH</v>
      </c>
      <c r="B3349" s="6" t="str">
        <f>IFERROR(__xludf.DUMMYFUNCTION("""COMPUTED_VALUE"""),"ENG")</f>
        <v>ENG</v>
      </c>
      <c r="C3349" s="6" t="str">
        <f>IFERROR(__xludf.DUMMYFUNCTION("""COMPUTED_VALUE"""),"T-80109-00")</f>
        <v>T-80109-00</v>
      </c>
      <c r="D3349" s="6" t="str">
        <f>IFERROR(__xludf.DUMMYFUNCTION("""COMPUTED_VALUE"""),"Cellotape / Lakban Kertas 1 inch warna Putih")</f>
        <v>Cellotape / Lakban Kertas 1 inch warna Putih</v>
      </c>
      <c r="E3349" s="6">
        <f>IFERROR(__xludf.DUMMYFUNCTION("""COMPUTED_VALUE"""),7.0)</f>
        <v>7</v>
      </c>
      <c r="F3349" s="6">
        <f>IFERROR(__xludf.DUMMYFUNCTION("""COMPUTED_VALUE"""),7.0)</f>
        <v>7</v>
      </c>
      <c r="G3349" s="6">
        <f>IFERROR(__xludf.DUMMYFUNCTION("""COMPUTED_VALUE"""),0.0)</f>
        <v>0</v>
      </c>
      <c r="H3349" s="6" t="str">
        <f>IFERROR(__xludf.DUMMYFUNCTION("""COMPUTED_VALUE"""),"Pcs")</f>
        <v>Pcs</v>
      </c>
      <c r="I3349" s="6" t="str">
        <f>IFERROR(__xludf.DUMMYFUNCTION("""COMPUTED_VALUE"""),"MFH")</f>
        <v>MFH</v>
      </c>
      <c r="J3349" s="6" t="str">
        <f>IFERROR(__xludf.DUMMYFUNCTION("""COMPUTED_VALUE"""),"Building")</f>
        <v>Building</v>
      </c>
      <c r="K3349" s="6" t="str">
        <f>IFERROR(__xludf.DUMMYFUNCTION("""COMPUTED_VALUE"""),"SPR/26/03/005")</f>
        <v>SPR/26/03/005</v>
      </c>
      <c r="L3349" s="13">
        <f>IFERROR(__xludf.DUMMYFUNCTION("""COMPUTED_VALUE"""),46112.0)</f>
        <v>46112</v>
      </c>
    </row>
    <row r="3350">
      <c r="A3350" s="6" t="str">
        <f>IFERROR(__xludf.DUMMYFUNCTION("""COMPUTED_VALUE"""),"SFH")</f>
        <v>SFH</v>
      </c>
      <c r="B3350" s="6" t="str">
        <f>IFERROR(__xludf.DUMMYFUNCTION("""COMPUTED_VALUE"""),"ENG")</f>
        <v>ENG</v>
      </c>
      <c r="C3350" s="6" t="str">
        <f>IFERROR(__xludf.DUMMYFUNCTION("""COMPUTED_VALUE"""),"P-51741-00")</f>
        <v>P-51741-00</v>
      </c>
      <c r="D3350" s="6" t="str">
        <f>IFERROR(__xludf.DUMMYFUNCTION("""COMPUTED_VALUE"""),"Lampu Phillips PHP LED; 710 7w E27 White 220-240v; ; ;")</f>
        <v>Lampu Phillips PHP LED; 710 7w E27 White 220-240v; ; ;</v>
      </c>
      <c r="E3350" s="6">
        <f>IFERROR(__xludf.DUMMYFUNCTION("""COMPUTED_VALUE"""),4.0)</f>
        <v>4</v>
      </c>
      <c r="F3350" s="6">
        <f>IFERROR(__xludf.DUMMYFUNCTION("""COMPUTED_VALUE"""),4.0)</f>
        <v>4</v>
      </c>
      <c r="G3350" s="6">
        <f>IFERROR(__xludf.DUMMYFUNCTION("""COMPUTED_VALUE"""),0.0)</f>
        <v>0</v>
      </c>
      <c r="H3350" s="6" t="str">
        <f>IFERROR(__xludf.DUMMYFUNCTION("""COMPUTED_VALUE"""),"Pcs")</f>
        <v>Pcs</v>
      </c>
      <c r="I3350" s="6" t="str">
        <f>IFERROR(__xludf.DUMMYFUNCTION("""COMPUTED_VALUE"""),"MFH")</f>
        <v>MFH</v>
      </c>
      <c r="J3350" s="6" t="str">
        <f>IFERROR(__xludf.DUMMYFUNCTION("""COMPUTED_VALUE"""),"Building")</f>
        <v>Building</v>
      </c>
      <c r="K3350" s="6" t="str">
        <f>IFERROR(__xludf.DUMMYFUNCTION("""COMPUTED_VALUE"""),"SPR/26/03/006")</f>
        <v>SPR/26/03/006</v>
      </c>
      <c r="L3350" s="13">
        <f>IFERROR(__xludf.DUMMYFUNCTION("""COMPUTED_VALUE"""),46112.0)</f>
        <v>46112</v>
      </c>
    </row>
    <row r="3351">
      <c r="A3351" s="6" t="str">
        <f>IFERROR(__xludf.DUMMYFUNCTION("""COMPUTED_VALUE"""),"SFH")</f>
        <v>SFH</v>
      </c>
      <c r="B3351" s="6" t="str">
        <f>IFERROR(__xludf.DUMMYFUNCTION("""COMPUTED_VALUE"""),"ENG")</f>
        <v>ENG</v>
      </c>
      <c r="C3351" s="6" t="str">
        <f>IFERROR(__xludf.DUMMYFUNCTION("""COMPUTED_VALUE"""),"Q-60501-00")</f>
        <v>Q-60501-00</v>
      </c>
      <c r="D3351" s="6" t="str">
        <f>IFERROR(__xludf.DUMMYFUNCTION("""COMPUTED_VALUE"""),"Silicone Sealant, Silglaze, Type N10 Clear, pack size per pcs")</f>
        <v>Silicone Sealant, Silglaze, Type N10 Clear, pack size per pcs</v>
      </c>
      <c r="E3351" s="6">
        <f>IFERROR(__xludf.DUMMYFUNCTION("""COMPUTED_VALUE"""),1.0)</f>
        <v>1</v>
      </c>
      <c r="F3351" s="6">
        <f>IFERROR(__xludf.DUMMYFUNCTION("""COMPUTED_VALUE"""),1.0)</f>
        <v>1</v>
      </c>
      <c r="G3351" s="6">
        <f>IFERROR(__xludf.DUMMYFUNCTION("""COMPUTED_VALUE"""),0.0)</f>
        <v>0</v>
      </c>
      <c r="H3351" s="6" t="str">
        <f>IFERROR(__xludf.DUMMYFUNCTION("""COMPUTED_VALUE"""),"Pcs")</f>
        <v>Pcs</v>
      </c>
      <c r="I3351" s="6" t="str">
        <f>IFERROR(__xludf.DUMMYFUNCTION("""COMPUTED_VALUE"""),"MFH")</f>
        <v>MFH</v>
      </c>
      <c r="J3351" s="6" t="str">
        <f>IFERROR(__xludf.DUMMYFUNCTION("""COMPUTED_VALUE"""),"Building")</f>
        <v>Building</v>
      </c>
      <c r="K3351" s="6" t="str">
        <f>IFERROR(__xludf.DUMMYFUNCTION("""COMPUTED_VALUE"""),"SPR/26/03/006")</f>
        <v>SPR/26/03/006</v>
      </c>
      <c r="L3351" s="13">
        <f>IFERROR(__xludf.DUMMYFUNCTION("""COMPUTED_VALUE"""),46112.0)</f>
        <v>46112</v>
      </c>
    </row>
    <row r="3352">
      <c r="A3352" s="6" t="str">
        <f>IFERROR(__xludf.DUMMYFUNCTION("""COMPUTED_VALUE"""),"SFH")</f>
        <v>SFH</v>
      </c>
      <c r="B3352" s="6" t="str">
        <f>IFERROR(__xludf.DUMMYFUNCTION("""COMPUTED_VALUE"""),"ENG")</f>
        <v>ENG</v>
      </c>
      <c r="C3352" s="6" t="str">
        <f>IFERROR(__xludf.DUMMYFUNCTION("""COMPUTED_VALUE"""),"P-53169-00")</f>
        <v>P-53169-00</v>
      </c>
      <c r="D3352" s="6" t="str">
        <f>IFERROR(__xludf.DUMMYFUNCTION("""COMPUTED_VALUE"""),"General - Trafo BalLast EBC 2x28W; Phillips; EB-C 228; 1 pcs")</f>
        <v>General - Trafo BalLast EBC 2x28W; Phillips; EB-C 228; 1 pcs</v>
      </c>
      <c r="E3352" s="6">
        <f>IFERROR(__xludf.DUMMYFUNCTION("""COMPUTED_VALUE"""),2.0)</f>
        <v>2</v>
      </c>
      <c r="F3352" s="6">
        <f>IFERROR(__xludf.DUMMYFUNCTION("""COMPUTED_VALUE"""),2.0)</f>
        <v>2</v>
      </c>
      <c r="G3352" s="6">
        <f>IFERROR(__xludf.DUMMYFUNCTION("""COMPUTED_VALUE"""),0.0)</f>
        <v>0</v>
      </c>
      <c r="H3352" s="6" t="str">
        <f>IFERROR(__xludf.DUMMYFUNCTION("""COMPUTED_VALUE"""),"Pcs")</f>
        <v>Pcs</v>
      </c>
      <c r="I3352" s="6" t="str">
        <f>IFERROR(__xludf.DUMMYFUNCTION("""COMPUTED_VALUE"""),"MFH")</f>
        <v>MFH</v>
      </c>
      <c r="J3352" s="6" t="str">
        <f>IFERROR(__xludf.DUMMYFUNCTION("""COMPUTED_VALUE"""),"Building")</f>
        <v>Building</v>
      </c>
      <c r="K3352" s="6" t="str">
        <f>IFERROR(__xludf.DUMMYFUNCTION("""COMPUTED_VALUE"""),"SPR/26/03/006")</f>
        <v>SPR/26/03/006</v>
      </c>
      <c r="L3352" s="13">
        <f>IFERROR(__xludf.DUMMYFUNCTION("""COMPUTED_VALUE"""),46112.0)</f>
        <v>46112</v>
      </c>
    </row>
    <row r="3353">
      <c r="A3353" s="6" t="str">
        <f>IFERROR(__xludf.DUMMYFUNCTION("""COMPUTED_VALUE"""),"ANO")</f>
        <v>ANO</v>
      </c>
      <c r="B3353" s="6" t="str">
        <f>IFERROR(__xludf.DUMMYFUNCTION("""COMPUTED_VALUE"""),"ENG")</f>
        <v>ENG</v>
      </c>
      <c r="C3353" s="6" t="str">
        <f>IFERROR(__xludf.DUMMYFUNCTION("""COMPUTED_VALUE"""),"P-11431-00")</f>
        <v>P-11431-00</v>
      </c>
      <c r="D3353" s="6" t="str">
        <f>IFERROR(__xludf.DUMMYFUNCTION("""COMPUTED_VALUE"""),"General - Plastic Tubing, PUN-H-8X1,25-BL; Festo; 197385; 1 m")</f>
        <v>General - Plastic Tubing, PUN-H-8X1,25-BL; Festo; 197385; 1 m</v>
      </c>
      <c r="E3353" s="6">
        <f>IFERROR(__xludf.DUMMYFUNCTION("""COMPUTED_VALUE"""),4.0)</f>
        <v>4</v>
      </c>
      <c r="F3353" s="6">
        <f>IFERROR(__xludf.DUMMYFUNCTION("""COMPUTED_VALUE"""),4.0)</f>
        <v>4</v>
      </c>
      <c r="G3353" s="6">
        <f>IFERROR(__xludf.DUMMYFUNCTION("""COMPUTED_VALUE"""),0.0)</f>
        <v>0</v>
      </c>
      <c r="H3353" s="6" t="str">
        <f>IFERROR(__xludf.DUMMYFUNCTION("""COMPUTED_VALUE"""),"Pcs")</f>
        <v>Pcs</v>
      </c>
      <c r="I3353" s="6" t="str">
        <f>IFERROR(__xludf.DUMMYFUNCTION("""COMPUTED_VALUE"""),"MFH")</f>
        <v>MFH</v>
      </c>
      <c r="J3353" s="6" t="str">
        <f>IFERROR(__xludf.DUMMYFUNCTION("""COMPUTED_VALUE"""),"Mixing ")</f>
        <v>Mixing </v>
      </c>
      <c r="K3353" s="6" t="str">
        <f>IFERROR(__xludf.DUMMYFUNCTION("""COMPUTED_VALUE"""),"SPR/26/03/007")</f>
        <v>SPR/26/03/007</v>
      </c>
      <c r="L3353" s="13">
        <f>IFERROR(__xludf.DUMMYFUNCTION("""COMPUTED_VALUE"""),46112.0)</f>
        <v>46112</v>
      </c>
    </row>
    <row r="3354">
      <c r="A3354" s="6" t="str">
        <f>IFERROR(__xludf.DUMMYFUNCTION("""COMPUTED_VALUE"""),"MOB")</f>
        <v>MOB</v>
      </c>
      <c r="B3354" s="6" t="str">
        <f>IFERROR(__xludf.DUMMYFUNCTION("""COMPUTED_VALUE"""),"ENG")</f>
        <v>ENG</v>
      </c>
      <c r="C3354" s="6" t="str">
        <f>IFERROR(__xludf.DUMMYFUNCTION("""COMPUTED_VALUE"""),"O-19346-00")</f>
        <v>O-19346-00</v>
      </c>
      <c r="D3354" s="6" t="str">
        <f>IFERROR(__xludf.DUMMYFUNCTION("""COMPUTED_VALUE"""),"HEPA filter minipleat, size: 1220X610X93 H14; ; ;")</f>
        <v>HEPA filter minipleat, size: 1220X610X93 H14; ; ;</v>
      </c>
      <c r="E3354" s="6">
        <f>IFERROR(__xludf.DUMMYFUNCTION("""COMPUTED_VALUE"""),3.0)</f>
        <v>3</v>
      </c>
      <c r="F3354" s="6">
        <f>IFERROR(__xludf.DUMMYFUNCTION("""COMPUTED_VALUE"""),3.0)</f>
        <v>3</v>
      </c>
      <c r="G3354" s="6">
        <f>IFERROR(__xludf.DUMMYFUNCTION("""COMPUTED_VALUE"""),0.0)</f>
        <v>0</v>
      </c>
      <c r="H3354" s="6" t="str">
        <f>IFERROR(__xludf.DUMMYFUNCTION("""COMPUTED_VALUE"""),"Pcs")</f>
        <v>Pcs</v>
      </c>
      <c r="I3354" s="6" t="str">
        <f>IFERROR(__xludf.DUMMYFUNCTION("""COMPUTED_VALUE"""),"MFH")</f>
        <v>MFH</v>
      </c>
      <c r="J3354" s="6" t="str">
        <f>IFERROR(__xludf.DUMMYFUNCTION("""COMPUTED_VALUE"""),"AHU")</f>
        <v>AHU</v>
      </c>
      <c r="K3354" s="6" t="str">
        <f>IFERROR(__xludf.DUMMYFUNCTION("""COMPUTED_VALUE"""),"SPR/26/03/008")</f>
        <v>SPR/26/03/008</v>
      </c>
      <c r="L3354" s="13">
        <f>IFERROR(__xludf.DUMMYFUNCTION("""COMPUTED_VALUE"""),46112.0)</f>
        <v>46112</v>
      </c>
    </row>
    <row r="3355">
      <c r="A3355" s="6" t="str">
        <f>IFERROR(__xludf.DUMMYFUNCTION("""COMPUTED_VALUE"""),"MOB")</f>
        <v>MOB</v>
      </c>
      <c r="B3355" s="6" t="str">
        <f>IFERROR(__xludf.DUMMYFUNCTION("""COMPUTED_VALUE"""),"ENG")</f>
        <v>ENG</v>
      </c>
      <c r="C3355" s="6" t="str">
        <f>IFERROR(__xludf.DUMMYFUNCTION("""COMPUTED_VALUE"""),"P-15438-00")</f>
        <v>P-15438-00</v>
      </c>
      <c r="D3355" s="6" t="str">
        <f>IFERROR(__xludf.DUMMYFUNCTION("""COMPUTED_VALUE"""),"CABLE SPIRAL WRAPPING, TYPE KS12, BRAND KSS; ; ;")</f>
        <v>CABLE SPIRAL WRAPPING, TYPE KS12, BRAND KSS; ; ;</v>
      </c>
      <c r="E3355" s="6">
        <f>IFERROR(__xludf.DUMMYFUNCTION("""COMPUTED_VALUE"""),1.0)</f>
        <v>1</v>
      </c>
      <c r="F3355" s="6">
        <f>IFERROR(__xludf.DUMMYFUNCTION("""COMPUTED_VALUE"""),1.0)</f>
        <v>1</v>
      </c>
      <c r="G3355" s="6">
        <f>IFERROR(__xludf.DUMMYFUNCTION("""COMPUTED_VALUE"""),0.0)</f>
        <v>0</v>
      </c>
      <c r="H3355" s="6" t="str">
        <f>IFERROR(__xludf.DUMMYFUNCTION("""COMPUTED_VALUE"""),"Pck")</f>
        <v>Pck</v>
      </c>
      <c r="I3355" s="6" t="str">
        <f>IFERROR(__xludf.DUMMYFUNCTION("""COMPUTED_VALUE"""),"MFH")</f>
        <v>MFH</v>
      </c>
      <c r="J3355" s="6" t="str">
        <f>IFERROR(__xludf.DUMMYFUNCTION("""COMPUTED_VALUE"""),"PWG")</f>
        <v>PWG</v>
      </c>
      <c r="K3355" s="6" t="str">
        <f>IFERROR(__xludf.DUMMYFUNCTION("""COMPUTED_VALUE"""),"SPR/26/03/009")</f>
        <v>SPR/26/03/009</v>
      </c>
      <c r="L3355" s="13">
        <f>IFERROR(__xludf.DUMMYFUNCTION("""COMPUTED_VALUE"""),46112.0)</f>
        <v>46112</v>
      </c>
    </row>
    <row r="3356">
      <c r="A3356" s="6" t="str">
        <f>IFERROR(__xludf.DUMMYFUNCTION("""COMPUTED_VALUE"""),"SFH")</f>
        <v>SFH</v>
      </c>
      <c r="B3356" s="6" t="str">
        <f>IFERROR(__xludf.DUMMYFUNCTION("""COMPUTED_VALUE"""),"ENG")</f>
        <v>ENG</v>
      </c>
      <c r="C3356" s="6" t="str">
        <f>IFERROR(__xludf.DUMMYFUNCTION("""COMPUTED_VALUE"""),"O-19346-00")</f>
        <v>O-19346-00</v>
      </c>
      <c r="D3356" s="6" t="str">
        <f>IFERROR(__xludf.DUMMYFUNCTION("""COMPUTED_VALUE"""),"HEPA filter minipleat, size: 1220X610X93 H14; ; ;")</f>
        <v>HEPA filter minipleat, size: 1220X610X93 H14; ; ;</v>
      </c>
      <c r="E3356" s="6">
        <f>IFERROR(__xludf.DUMMYFUNCTION("""COMPUTED_VALUE"""),1.0)</f>
        <v>1</v>
      </c>
      <c r="F3356" s="6">
        <f>IFERROR(__xludf.DUMMYFUNCTION("""COMPUTED_VALUE"""),1.0)</f>
        <v>1</v>
      </c>
      <c r="G3356" s="6">
        <f>IFERROR(__xludf.DUMMYFUNCTION("""COMPUTED_VALUE"""),0.0)</f>
        <v>0</v>
      </c>
      <c r="H3356" s="6" t="str">
        <f>IFERROR(__xludf.DUMMYFUNCTION("""COMPUTED_VALUE"""),"Pcs")</f>
        <v>Pcs</v>
      </c>
      <c r="I3356" s="6" t="str">
        <f>IFERROR(__xludf.DUMMYFUNCTION("""COMPUTED_VALUE"""),"MFH")</f>
        <v>MFH</v>
      </c>
      <c r="J3356" s="6" t="str">
        <f>IFERROR(__xludf.DUMMYFUNCTION("""COMPUTED_VALUE"""),"Building")</f>
        <v>Building</v>
      </c>
      <c r="K3356" s="6" t="str">
        <f>IFERROR(__xludf.DUMMYFUNCTION("""COMPUTED_VALUE"""),"SPR/26/03/010")</f>
        <v>SPR/26/03/010</v>
      </c>
      <c r="L3356" s="13">
        <f>IFERROR(__xludf.DUMMYFUNCTION("""COMPUTED_VALUE"""),46112.0)</f>
        <v>46112</v>
      </c>
    </row>
    <row r="3357">
      <c r="A3357" s="6" t="str">
        <f>IFERROR(__xludf.DUMMYFUNCTION("""COMPUTED_VALUE"""),"SFH")</f>
        <v>SFH</v>
      </c>
      <c r="B3357" s="6" t="str">
        <f>IFERROR(__xludf.DUMMYFUNCTION("""COMPUTED_VALUE"""),"ENG")</f>
        <v>ENG</v>
      </c>
      <c r="C3357" s="6" t="str">
        <f>IFERROR(__xludf.DUMMYFUNCTION("""COMPUTED_VALUE"""),"Q-60405-00")</f>
        <v>Q-60405-00</v>
      </c>
      <c r="D3357" s="6" t="str">
        <f>IFERROR(__xludf.DUMMYFUNCTION("""COMPUTED_VALUE"""),"Cat Durogloss DR-2000; Propan; Type Spiders Web 90YY 73/040; 0,9 L/can")</f>
        <v>Cat Durogloss DR-2000; Propan; Type Spiders Web 90YY 73/040; 0,9 L/can</v>
      </c>
      <c r="E3357" s="6">
        <f>IFERROR(__xludf.DUMMYFUNCTION("""COMPUTED_VALUE"""),1.0)</f>
        <v>1</v>
      </c>
      <c r="F3357" s="6">
        <f>IFERROR(__xludf.DUMMYFUNCTION("""COMPUTED_VALUE"""),1.0)</f>
        <v>1</v>
      </c>
      <c r="G3357" s="6">
        <f>IFERROR(__xludf.DUMMYFUNCTION("""COMPUTED_VALUE"""),0.0)</f>
        <v>0</v>
      </c>
      <c r="H3357" s="6" t="str">
        <f>IFERROR(__xludf.DUMMYFUNCTION("""COMPUTED_VALUE"""),"Pcs")</f>
        <v>Pcs</v>
      </c>
      <c r="I3357" s="6" t="str">
        <f>IFERROR(__xludf.DUMMYFUNCTION("""COMPUTED_VALUE"""),"MFH")</f>
        <v>MFH</v>
      </c>
      <c r="J3357" s="6" t="str">
        <f>IFERROR(__xludf.DUMMYFUNCTION("""COMPUTED_VALUE"""),"Building")</f>
        <v>Building</v>
      </c>
      <c r="K3357" s="6" t="str">
        <f>IFERROR(__xludf.DUMMYFUNCTION("""COMPUTED_VALUE"""),"SPR/26/03/010")</f>
        <v>SPR/26/03/010</v>
      </c>
      <c r="L3357" s="13">
        <f>IFERROR(__xludf.DUMMYFUNCTION("""COMPUTED_VALUE"""),46112.0)</f>
        <v>46112</v>
      </c>
    </row>
    <row r="3358">
      <c r="A3358" s="6" t="str">
        <f>IFERROR(__xludf.DUMMYFUNCTION("""COMPUTED_VALUE"""),"ROS")</f>
        <v>ROS</v>
      </c>
      <c r="B3358" s="6" t="str">
        <f>IFERROR(__xludf.DUMMYFUNCTION("""COMPUTED_VALUE"""),"ENG")</f>
        <v>ENG</v>
      </c>
      <c r="C3358" s="6" t="str">
        <f>IFERROR(__xludf.DUMMYFUNCTION("""COMPUTED_VALUE"""),"P-10945-00")</f>
        <v>P-10945-00</v>
      </c>
      <c r="D3358" s="6" t="str">
        <f>IFERROR(__xludf.DUMMYFUNCTION("""COMPUTED_VALUE"""),"General - Seal Tape 1/2inch 10 M; Onda; ST 01; 1 pcs")</f>
        <v>General - Seal Tape 1/2inch 10 M; Onda; ST 01; 1 pcs</v>
      </c>
      <c r="E3358" s="6">
        <f>IFERROR(__xludf.DUMMYFUNCTION("""COMPUTED_VALUE"""),1.0)</f>
        <v>1</v>
      </c>
      <c r="F3358" s="6">
        <f>IFERROR(__xludf.DUMMYFUNCTION("""COMPUTED_VALUE"""),1.0)</f>
        <v>1</v>
      </c>
      <c r="G3358" s="6">
        <f>IFERROR(__xludf.DUMMYFUNCTION("""COMPUTED_VALUE"""),0.0)</f>
        <v>0</v>
      </c>
      <c r="H3358" s="6" t="str">
        <f>IFERROR(__xludf.DUMMYFUNCTION("""COMPUTED_VALUE"""),"Pcs")</f>
        <v>Pcs</v>
      </c>
      <c r="I3358" s="6" t="str">
        <f>IFERROR(__xludf.DUMMYFUNCTION("""COMPUTED_VALUE"""),"MFH")</f>
        <v>MFH</v>
      </c>
      <c r="J3358" s="6" t="str">
        <f>IFERROR(__xludf.DUMMYFUNCTION("""COMPUTED_VALUE"""),"Autoclave")</f>
        <v>Autoclave</v>
      </c>
      <c r="K3358" s="6" t="str">
        <f>IFERROR(__xludf.DUMMYFUNCTION("""COMPUTED_VALUE"""),"SPR/26/03/011")</f>
        <v>SPR/26/03/011</v>
      </c>
      <c r="L3358" s="13">
        <f>IFERROR(__xludf.DUMMYFUNCTION("""COMPUTED_VALUE"""),46112.0)</f>
        <v>46112</v>
      </c>
    </row>
    <row r="3359">
      <c r="A3359" s="6" t="str">
        <f>IFERROR(__xludf.DUMMYFUNCTION("""COMPUTED_VALUE"""),"ROS")</f>
        <v>ROS</v>
      </c>
      <c r="B3359" s="6" t="str">
        <f>IFERROR(__xludf.DUMMYFUNCTION("""COMPUTED_VALUE"""),"ENG")</f>
        <v>ENG</v>
      </c>
      <c r="C3359" s="6" t="str">
        <f>IFERROR(__xludf.DUMMYFUNCTION("""COMPUTED_VALUE"""),"O-16647-00")</f>
        <v>O-16647-00</v>
      </c>
      <c r="D3359" s="6" t="str">
        <f>IFERROR(__xludf.DUMMYFUNCTION("""COMPUTED_VALUE"""),"Washing RAR4 - Oring Silicone Merah 23x18x2.5 mm; ; ;")</f>
        <v>Washing RAR4 - Oring Silicone Merah 23x18x2.5 mm; ; ;</v>
      </c>
      <c r="E3359" s="6">
        <f>IFERROR(__xludf.DUMMYFUNCTION("""COMPUTED_VALUE"""),10.0)</f>
        <v>10</v>
      </c>
      <c r="F3359" s="6">
        <f>IFERROR(__xludf.DUMMYFUNCTION("""COMPUTED_VALUE"""),10.0)</f>
        <v>10</v>
      </c>
      <c r="G3359" s="6">
        <f>IFERROR(__xludf.DUMMYFUNCTION("""COMPUTED_VALUE"""),0.0)</f>
        <v>0</v>
      </c>
      <c r="H3359" s="6" t="str">
        <f>IFERROR(__xludf.DUMMYFUNCTION("""COMPUTED_VALUE"""),"Pcs")</f>
        <v>Pcs</v>
      </c>
      <c r="I3359" s="6" t="str">
        <f>IFERROR(__xludf.DUMMYFUNCTION("""COMPUTED_VALUE"""),"MFH")</f>
        <v>MFH</v>
      </c>
      <c r="J3359" s="6" t="str">
        <f>IFERROR(__xludf.DUMMYFUNCTION("""COMPUTED_VALUE"""),"Capping")</f>
        <v>Capping</v>
      </c>
      <c r="K3359" s="6" t="str">
        <f>IFERROR(__xludf.DUMMYFUNCTION("""COMPUTED_VALUE"""),"SPR/26/03/011")</f>
        <v>SPR/26/03/011</v>
      </c>
      <c r="L3359" s="13">
        <f>IFERROR(__xludf.DUMMYFUNCTION("""COMPUTED_VALUE"""),46112.0)</f>
        <v>46112</v>
      </c>
    </row>
    <row r="3360">
      <c r="A3360" s="6" t="str">
        <f>IFERROR(__xludf.DUMMYFUNCTION("""COMPUTED_VALUE"""),"MOB")</f>
        <v>MOB</v>
      </c>
      <c r="B3360" s="6" t="str">
        <f>IFERROR(__xludf.DUMMYFUNCTION("""COMPUTED_VALUE"""),"ENG")</f>
        <v>ENG</v>
      </c>
      <c r="C3360" s="6" t="str">
        <f>IFERROR(__xludf.DUMMYFUNCTION("""COMPUTED_VALUE"""),"P-15862-00")</f>
        <v>P-15862-00</v>
      </c>
      <c r="D3360" s="6" t="str">
        <f>IFERROR(__xludf.DUMMYFUNCTION("""COMPUTED_VALUE"""),"PAPER RECORD YOKOGAWA; FOLDING CHART B9565AW")</f>
        <v>PAPER RECORD YOKOGAWA; FOLDING CHART B9565AW</v>
      </c>
      <c r="E3360" s="6">
        <f>IFERROR(__xludf.DUMMYFUNCTION("""COMPUTED_VALUE"""),1.0)</f>
        <v>1</v>
      </c>
      <c r="F3360" s="6">
        <f>IFERROR(__xludf.DUMMYFUNCTION("""COMPUTED_VALUE"""),1.0)</f>
        <v>1</v>
      </c>
      <c r="G3360" s="6">
        <f>IFERROR(__xludf.DUMMYFUNCTION("""COMPUTED_VALUE"""),0.0)</f>
        <v>0</v>
      </c>
      <c r="H3360" s="6" t="str">
        <f>IFERROR(__xludf.DUMMYFUNCTION("""COMPUTED_VALUE"""),"Pcs")</f>
        <v>Pcs</v>
      </c>
      <c r="I3360" s="6" t="str">
        <f>IFERROR(__xludf.DUMMYFUNCTION("""COMPUTED_VALUE"""),"MFH")</f>
        <v>MFH</v>
      </c>
      <c r="J3360" s="6" t="str">
        <f>IFERROR(__xludf.DUMMYFUNCTION("""COMPUTED_VALUE"""),"WFI SKID")</f>
        <v>WFI SKID</v>
      </c>
      <c r="K3360" s="6" t="str">
        <f>IFERROR(__xludf.DUMMYFUNCTION("""COMPUTED_VALUE"""),"SPR/26/03/012")</f>
        <v>SPR/26/03/012</v>
      </c>
      <c r="L3360" s="13">
        <f>IFERROR(__xludf.DUMMYFUNCTION("""COMPUTED_VALUE"""),46112.0)</f>
        <v>46112</v>
      </c>
    </row>
    <row r="3361">
      <c r="A3361" s="6" t="str">
        <f>IFERROR(__xludf.DUMMYFUNCTION("""COMPUTED_VALUE"""),"MOB")</f>
        <v>MOB</v>
      </c>
      <c r="B3361" s="6" t="str">
        <f>IFERROR(__xludf.DUMMYFUNCTION("""COMPUTED_VALUE"""),"ENG")</f>
        <v>ENG</v>
      </c>
      <c r="C3361" s="6" t="str">
        <f>IFERROR(__xludf.DUMMYFUNCTION("""COMPUTED_VALUE"""),"P-15862-00")</f>
        <v>P-15862-00</v>
      </c>
      <c r="D3361" s="6" t="str">
        <f>IFERROR(__xludf.DUMMYFUNCTION("""COMPUTED_VALUE"""),"PAPER RECORD YOKOGAWA; FOLDING CHART B9565AW")</f>
        <v>PAPER RECORD YOKOGAWA; FOLDING CHART B9565AW</v>
      </c>
      <c r="E3361" s="6">
        <f>IFERROR(__xludf.DUMMYFUNCTION("""COMPUTED_VALUE"""),1.0)</f>
        <v>1</v>
      </c>
      <c r="F3361" s="6">
        <f>IFERROR(__xludf.DUMMYFUNCTION("""COMPUTED_VALUE"""),1.0)</f>
        <v>1</v>
      </c>
      <c r="G3361" s="6">
        <f>IFERROR(__xludf.DUMMYFUNCTION("""COMPUTED_VALUE"""),0.0)</f>
        <v>0</v>
      </c>
      <c r="H3361" s="6" t="str">
        <f>IFERROR(__xludf.DUMMYFUNCTION("""COMPUTED_VALUE"""),"Pcs")</f>
        <v>Pcs</v>
      </c>
      <c r="I3361" s="6" t="str">
        <f>IFERROR(__xludf.DUMMYFUNCTION("""COMPUTED_VALUE"""),"MFH")</f>
        <v>MFH</v>
      </c>
      <c r="J3361" s="6" t="str">
        <f>IFERROR(__xludf.DUMMYFUNCTION("""COMPUTED_VALUE"""),"PW SKID")</f>
        <v>PW SKID</v>
      </c>
      <c r="K3361" s="6" t="str">
        <f>IFERROR(__xludf.DUMMYFUNCTION("""COMPUTED_VALUE"""),"SPR/26/03/013")</f>
        <v>SPR/26/03/013</v>
      </c>
      <c r="L3361" s="13">
        <f>IFERROR(__xludf.DUMMYFUNCTION("""COMPUTED_VALUE"""),46112.0)</f>
        <v>46112</v>
      </c>
    </row>
    <row r="3362">
      <c r="A3362" s="6" t="str">
        <f>IFERROR(__xludf.DUMMYFUNCTION("""COMPUTED_VALUE"""),"KFF")</f>
        <v>KFF</v>
      </c>
      <c r="B3362" s="6" t="str">
        <f>IFERROR(__xludf.DUMMYFUNCTION("""COMPUTED_VALUE"""),"ENG")</f>
        <v>ENG</v>
      </c>
      <c r="C3362" s="6" t="str">
        <f>IFERROR(__xludf.DUMMYFUNCTION("""COMPUTED_VALUE"""),"P-18788-00")</f>
        <v>P-18788-00</v>
      </c>
      <c r="D3362" s="6" t="str">
        <f>IFERROR(__xludf.DUMMYFUNCTION("""COMPUTED_VALUE"""),"General - Baut Hexagonal, SS, M6 x 55 mm + Mur; No Brand; -; 1 pcs")</f>
        <v>General - Baut Hexagonal, SS, M6 x 55 mm + Mur; No Brand; -; 1 pcs</v>
      </c>
      <c r="E3362" s="6">
        <f>IFERROR(__xludf.DUMMYFUNCTION("""COMPUTED_VALUE"""),10.0)</f>
        <v>10</v>
      </c>
      <c r="F3362" s="6">
        <f>IFERROR(__xludf.DUMMYFUNCTION("""COMPUTED_VALUE"""),10.0)</f>
        <v>10</v>
      </c>
      <c r="G3362" s="6">
        <f>IFERROR(__xludf.DUMMYFUNCTION("""COMPUTED_VALUE"""),0.0)</f>
        <v>0</v>
      </c>
      <c r="H3362" s="6" t="str">
        <f>IFERROR(__xludf.DUMMYFUNCTION("""COMPUTED_VALUE"""),"Pcs")</f>
        <v>Pcs</v>
      </c>
      <c r="I3362" s="6" t="str">
        <f>IFERROR(__xludf.DUMMYFUNCTION("""COMPUTED_VALUE"""),"MFH")</f>
        <v>MFH</v>
      </c>
      <c r="J3362" s="6" t="str">
        <f>IFERROR(__xludf.DUMMYFUNCTION("""COMPUTED_VALUE"""),"Blistering")</f>
        <v>Blistering</v>
      </c>
      <c r="K3362" s="6" t="str">
        <f>IFERROR(__xludf.DUMMYFUNCTION("""COMPUTED_VALUE"""),"SPR/26/03/014")</f>
        <v>SPR/26/03/014</v>
      </c>
      <c r="L3362" s="13">
        <f>IFERROR(__xludf.DUMMYFUNCTION("""COMPUTED_VALUE"""),46112.0)</f>
        <v>46112</v>
      </c>
    </row>
    <row r="3363">
      <c r="A3363" s="6" t="str">
        <f>IFERROR(__xludf.DUMMYFUNCTION("""COMPUTED_VALUE"""),"SFH")</f>
        <v>SFH</v>
      </c>
      <c r="B3363" s="6" t="str">
        <f>IFERROR(__xludf.DUMMYFUNCTION("""COMPUTED_VALUE"""),"ENG")</f>
        <v>ENG</v>
      </c>
      <c r="C3363" s="6" t="str">
        <f>IFERROR(__xludf.DUMMYFUNCTION("""COMPUTED_VALUE"""),"O-15931-00")</f>
        <v>O-15931-00</v>
      </c>
      <c r="D3363" s="6" t="str">
        <f>IFERROR(__xludf.DUMMYFUNCTION("""COMPUTED_VALUE"""),"Double Tape 3M 1"" Merah - P/N : - pc")</f>
        <v>Double Tape 3M 1" Merah - P/N : - pc</v>
      </c>
      <c r="E3363" s="6">
        <f>IFERROR(__xludf.DUMMYFUNCTION("""COMPUTED_VALUE"""),1.0)</f>
        <v>1</v>
      </c>
      <c r="F3363" s="6">
        <f>IFERROR(__xludf.DUMMYFUNCTION("""COMPUTED_VALUE"""),1.0)</f>
        <v>1</v>
      </c>
      <c r="G3363" s="6">
        <f>IFERROR(__xludf.DUMMYFUNCTION("""COMPUTED_VALUE"""),0.0)</f>
        <v>0</v>
      </c>
      <c r="H3363" s="6" t="str">
        <f>IFERROR(__xludf.DUMMYFUNCTION("""COMPUTED_VALUE"""),"Pcs")</f>
        <v>Pcs</v>
      </c>
      <c r="I3363" s="6" t="str">
        <f>IFERROR(__xludf.DUMMYFUNCTION("""COMPUTED_VALUE"""),"MFH")</f>
        <v>MFH</v>
      </c>
      <c r="J3363" s="6" t="str">
        <f>IFERROR(__xludf.DUMMYFUNCTION("""COMPUTED_VALUE"""),"Building")</f>
        <v>Building</v>
      </c>
      <c r="K3363" s="6" t="str">
        <f>IFERROR(__xludf.DUMMYFUNCTION("""COMPUTED_VALUE"""),"SPR/26/03/015")</f>
        <v>SPR/26/03/015</v>
      </c>
      <c r="L3363" s="13">
        <f>IFERROR(__xludf.DUMMYFUNCTION("""COMPUTED_VALUE"""),46112.0)</f>
        <v>46112</v>
      </c>
    </row>
    <row r="3364">
      <c r="A3364" s="6" t="str">
        <f>IFERROR(__xludf.DUMMYFUNCTION("""COMPUTED_VALUE"""),"SFH")</f>
        <v>SFH</v>
      </c>
      <c r="B3364" s="6" t="str">
        <f>IFERROR(__xludf.DUMMYFUNCTION("""COMPUTED_VALUE"""),"ENG")</f>
        <v>ENG</v>
      </c>
      <c r="C3364" s="6" t="str">
        <f>IFERROR(__xludf.DUMMYFUNCTION("""COMPUTED_VALUE"""),"P-12495-00")</f>
        <v>P-12495-00</v>
      </c>
      <c r="D3364" s="6" t="str">
        <f>IFERROR(__xludf.DUMMYFUNCTION("""COMPUTED_VALUE"""),"Mata Bor besi dia 7.5 mm ex NACHI")</f>
        <v>Mata Bor besi dia 7.5 mm ex NACHI</v>
      </c>
      <c r="E3364" s="6">
        <f>IFERROR(__xludf.DUMMYFUNCTION("""COMPUTED_VALUE"""),1.0)</f>
        <v>1</v>
      </c>
      <c r="F3364" s="6">
        <f>IFERROR(__xludf.DUMMYFUNCTION("""COMPUTED_VALUE"""),1.0)</f>
        <v>1</v>
      </c>
      <c r="G3364" s="6">
        <f>IFERROR(__xludf.DUMMYFUNCTION("""COMPUTED_VALUE"""),0.0)</f>
        <v>0</v>
      </c>
      <c r="H3364" s="6" t="str">
        <f>IFERROR(__xludf.DUMMYFUNCTION("""COMPUTED_VALUE"""),"pcs")</f>
        <v>pcs</v>
      </c>
      <c r="I3364" s="6" t="str">
        <f>IFERROR(__xludf.DUMMYFUNCTION("""COMPUTED_VALUE"""),"MFH")</f>
        <v>MFH</v>
      </c>
      <c r="J3364" s="6" t="str">
        <f>IFERROR(__xludf.DUMMYFUNCTION("""COMPUTED_VALUE"""),"Building")</f>
        <v>Building</v>
      </c>
      <c r="K3364" s="6" t="str">
        <f>IFERROR(__xludf.DUMMYFUNCTION("""COMPUTED_VALUE"""),"SPR/26/03/015")</f>
        <v>SPR/26/03/015</v>
      </c>
      <c r="L3364" s="13">
        <f>IFERROR(__xludf.DUMMYFUNCTION("""COMPUTED_VALUE"""),46112.0)</f>
        <v>46112</v>
      </c>
    </row>
    <row r="3365">
      <c r="A3365" s="6" t="str">
        <f>IFERROR(__xludf.DUMMYFUNCTION("""COMPUTED_VALUE"""),"BDU")</f>
        <v>BDU</v>
      </c>
      <c r="B3365" s="6" t="str">
        <f>IFERROR(__xludf.DUMMYFUNCTION("""COMPUTED_VALUE"""),"ENG")</f>
        <v>ENG</v>
      </c>
      <c r="C3365" s="6" t="str">
        <f>IFERROR(__xludf.DUMMYFUNCTION("""COMPUTED_VALUE"""),"S-40645-00")</f>
        <v>S-40645-00</v>
      </c>
      <c r="D3365" s="6" t="str">
        <f>IFERROR(__xludf.DUMMYFUNCTION("""COMPUTED_VALUE"""),"Cable Ties, 200 x 4.8 mm; SIGMA; CS 200L; Putih;100 pcs/pack")</f>
        <v>Cable Ties, 200 x 4.8 mm; SIGMA; CS 200L; Putih;100 pcs/pack</v>
      </c>
      <c r="E3365" s="6">
        <f>IFERROR(__xludf.DUMMYFUNCTION("""COMPUTED_VALUE"""),1.0)</f>
        <v>1</v>
      </c>
      <c r="F3365" s="6">
        <f>IFERROR(__xludf.DUMMYFUNCTION("""COMPUTED_VALUE"""),1.0)</f>
        <v>1</v>
      </c>
      <c r="G3365" s="6">
        <f>IFERROR(__xludf.DUMMYFUNCTION("""COMPUTED_VALUE"""),0.0)</f>
        <v>0</v>
      </c>
      <c r="H3365" s="6" t="str">
        <f>IFERROR(__xludf.DUMMYFUNCTION("""COMPUTED_VALUE"""),"Pcs")</f>
        <v>Pcs</v>
      </c>
      <c r="I3365" s="6" t="str">
        <f>IFERROR(__xludf.DUMMYFUNCTION("""COMPUTED_VALUE"""),"MFH")</f>
        <v>MFH</v>
      </c>
      <c r="J3365" s="6" t="str">
        <f>IFERROR(__xludf.DUMMYFUNCTION("""COMPUTED_VALUE"""),"Furnance")</f>
        <v>Furnance</v>
      </c>
      <c r="K3365" s="6" t="str">
        <f>IFERROR(__xludf.DUMMYFUNCTION("""COMPUTED_VALUE"""),"SPR/26/03/016")</f>
        <v>SPR/26/03/016</v>
      </c>
      <c r="L3365" s="13">
        <f>IFERROR(__xludf.DUMMYFUNCTION("""COMPUTED_VALUE"""),46112.0)</f>
        <v>46112</v>
      </c>
    </row>
    <row r="3366">
      <c r="A3366" s="6" t="str">
        <f>IFERROR(__xludf.DUMMYFUNCTION("""COMPUTED_VALUE"""),"BDU")</f>
        <v>BDU</v>
      </c>
      <c r="B3366" s="6" t="str">
        <f>IFERROR(__xludf.DUMMYFUNCTION("""COMPUTED_VALUE"""),"ENG")</f>
        <v>ENG</v>
      </c>
      <c r="C3366" s="6" t="str">
        <f>IFERROR(__xludf.DUMMYFUNCTION("""COMPUTED_VALUE"""),"P-15851-00")</f>
        <v>P-15851-00</v>
      </c>
      <c r="D3366" s="6" t="str">
        <f>IFERROR(__xludf.DUMMYFUNCTION("""COMPUTED_VALUE"""),"General - Ampelas P100; EAGLE; -; 1 pcs")</f>
        <v>General - Ampelas P100; EAGLE; -; 1 pcs</v>
      </c>
      <c r="E3366" s="6">
        <f>IFERROR(__xludf.DUMMYFUNCTION("""COMPUTED_VALUE"""),1.0)</f>
        <v>1</v>
      </c>
      <c r="F3366" s="6">
        <f>IFERROR(__xludf.DUMMYFUNCTION("""COMPUTED_VALUE"""),1.0)</f>
        <v>1</v>
      </c>
      <c r="G3366" s="6">
        <f>IFERROR(__xludf.DUMMYFUNCTION("""COMPUTED_VALUE"""),0.0)</f>
        <v>0</v>
      </c>
      <c r="H3366" s="6" t="str">
        <f>IFERROR(__xludf.DUMMYFUNCTION("""COMPUTED_VALUE"""),"Pcs")</f>
        <v>Pcs</v>
      </c>
      <c r="I3366" s="6" t="str">
        <f>IFERROR(__xludf.DUMMYFUNCTION("""COMPUTED_VALUE"""),"MFH")</f>
        <v>MFH</v>
      </c>
      <c r="J3366" s="6" t="str">
        <f>IFERROR(__xludf.DUMMYFUNCTION("""COMPUTED_VALUE"""),"Produksi")</f>
        <v>Produksi</v>
      </c>
      <c r="K3366" s="6" t="str">
        <f>IFERROR(__xludf.DUMMYFUNCTION("""COMPUTED_VALUE"""),"SPR/26/03/016")</f>
        <v>SPR/26/03/016</v>
      </c>
      <c r="L3366" s="13">
        <f>IFERROR(__xludf.DUMMYFUNCTION("""COMPUTED_VALUE"""),46112.0)</f>
        <v>46112</v>
      </c>
    </row>
    <row r="3367">
      <c r="A3367" s="6" t="str">
        <f>IFERROR(__xludf.DUMMYFUNCTION("""COMPUTED_VALUE"""),"BDU")</f>
        <v>BDU</v>
      </c>
      <c r="B3367" s="6" t="str">
        <f>IFERROR(__xludf.DUMMYFUNCTION("""COMPUTED_VALUE"""),"ENG")</f>
        <v>ENG</v>
      </c>
      <c r="C3367" s="6" t="str">
        <f>IFERROR(__xludf.DUMMYFUNCTION("""COMPUTED_VALUE"""),"P-19080-00")</f>
        <v>P-19080-00</v>
      </c>
      <c r="D3367" s="6" t="str">
        <f>IFERROR(__xludf.DUMMYFUNCTION("""COMPUTED_VALUE"""),"Cabel Tie Mount 30 x 30 mm; Sigma; ;")</f>
        <v>Cabel Tie Mount 30 x 30 mm; Sigma; ;</v>
      </c>
      <c r="E3367" s="6">
        <f>IFERROR(__xludf.DUMMYFUNCTION("""COMPUTED_VALUE"""),1.0)</f>
        <v>1</v>
      </c>
      <c r="F3367" s="6">
        <f>IFERROR(__xludf.DUMMYFUNCTION("""COMPUTED_VALUE"""),1.0)</f>
        <v>1</v>
      </c>
      <c r="G3367" s="6">
        <f>IFERROR(__xludf.DUMMYFUNCTION("""COMPUTED_VALUE"""),0.0)</f>
        <v>0</v>
      </c>
      <c r="H3367" s="6" t="str">
        <f>IFERROR(__xludf.DUMMYFUNCTION("""COMPUTED_VALUE"""),"pack")</f>
        <v>pack</v>
      </c>
      <c r="I3367" s="6" t="str">
        <f>IFERROR(__xludf.DUMMYFUNCTION("""COMPUTED_VALUE"""),"MFH")</f>
        <v>MFH</v>
      </c>
      <c r="J3367" s="6" t="str">
        <f>IFERROR(__xludf.DUMMYFUNCTION("""COMPUTED_VALUE"""),"Furnance")</f>
        <v>Furnance</v>
      </c>
      <c r="K3367" s="6" t="str">
        <f>IFERROR(__xludf.DUMMYFUNCTION("""COMPUTED_VALUE"""),"SPR/26/03/016")</f>
        <v>SPR/26/03/016</v>
      </c>
      <c r="L3367" s="13">
        <f>IFERROR(__xludf.DUMMYFUNCTION("""COMPUTED_VALUE"""),46112.0)</f>
        <v>46112</v>
      </c>
    </row>
    <row r="3368">
      <c r="A3368" s="6" t="str">
        <f>IFERROR(__xludf.DUMMYFUNCTION("""COMPUTED_VALUE"""),"KFF")</f>
        <v>KFF</v>
      </c>
      <c r="B3368" s="6" t="str">
        <f>IFERROR(__xludf.DUMMYFUNCTION("""COMPUTED_VALUE"""),"ENG")</f>
        <v>ENG</v>
      </c>
      <c r="C3368" s="6" t="str">
        <f>IFERROR(__xludf.DUMMYFUNCTION("""COMPUTED_VALUE"""),"P-19908-00")</f>
        <v>P-19908-00</v>
      </c>
      <c r="D3368" s="6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E3368" s="6">
        <f>IFERROR(__xludf.DUMMYFUNCTION("""COMPUTED_VALUE"""),1.0)</f>
        <v>1</v>
      </c>
      <c r="F3368" s="6">
        <f>IFERROR(__xludf.DUMMYFUNCTION("""COMPUTED_VALUE"""),1.0)</f>
        <v>1</v>
      </c>
      <c r="G3368" s="6">
        <f>IFERROR(__xludf.DUMMYFUNCTION("""COMPUTED_VALUE"""),0.0)</f>
        <v>0</v>
      </c>
      <c r="H3368" s="6" t="str">
        <f>IFERROR(__xludf.DUMMYFUNCTION("""COMPUTED_VALUE"""),"Set")</f>
        <v>Set</v>
      </c>
      <c r="I3368" s="6" t="str">
        <f>IFERROR(__xludf.DUMMYFUNCTION("""COMPUTED_VALUE"""),"MFH")</f>
        <v>MFH</v>
      </c>
      <c r="J3368" s="6" t="str">
        <f>IFERROR(__xludf.DUMMYFUNCTION("""COMPUTED_VALUE"""),"Blistering")</f>
        <v>Blistering</v>
      </c>
      <c r="K3368" s="6" t="str">
        <f>IFERROR(__xludf.DUMMYFUNCTION("""COMPUTED_VALUE"""),"SPR/26/03/017")</f>
        <v>SPR/26/03/017</v>
      </c>
      <c r="L3368" s="13">
        <f>IFERROR(__xludf.DUMMYFUNCTION("""COMPUTED_VALUE"""),46112.0)</f>
        <v>46112</v>
      </c>
    </row>
    <row r="3369">
      <c r="A3369" s="6" t="str">
        <f>IFERROR(__xludf.DUMMYFUNCTION("""COMPUTED_VALUE"""),"KFF")</f>
        <v>KFF</v>
      </c>
      <c r="B3369" s="6" t="str">
        <f>IFERROR(__xludf.DUMMYFUNCTION("""COMPUTED_VALUE"""),"ENG")</f>
        <v>ENG</v>
      </c>
      <c r="C3369" s="6" t="str">
        <f>IFERROR(__xludf.DUMMYFUNCTION("""COMPUTED_VALUE"""),"P-16402-00")</f>
        <v>P-16402-00</v>
      </c>
      <c r="D3369" s="6" t="str">
        <f>IFERROR(__xludf.DUMMYFUNCTION("""COMPUTED_VALUE"""),"Kaca Las Warna Hitam No. 10")</f>
        <v>Kaca Las Warna Hitam No. 10</v>
      </c>
      <c r="E3369" s="6">
        <f>IFERROR(__xludf.DUMMYFUNCTION("""COMPUTED_VALUE"""),1.0)</f>
        <v>1</v>
      </c>
      <c r="F3369" s="6">
        <f>IFERROR(__xludf.DUMMYFUNCTION("""COMPUTED_VALUE"""),1.0)</f>
        <v>1</v>
      </c>
      <c r="G3369" s="6">
        <f>IFERROR(__xludf.DUMMYFUNCTION("""COMPUTED_VALUE"""),0.0)</f>
        <v>0</v>
      </c>
      <c r="H3369" s="6" t="str">
        <f>IFERROR(__xludf.DUMMYFUNCTION("""COMPUTED_VALUE"""),"Pcs")</f>
        <v>Pcs</v>
      </c>
      <c r="I3369" s="6" t="str">
        <f>IFERROR(__xludf.DUMMYFUNCTION("""COMPUTED_VALUE"""),"MFH")</f>
        <v>MFH</v>
      </c>
      <c r="J3369" s="6" t="str">
        <f>IFERROR(__xludf.DUMMYFUNCTION("""COMPUTED_VALUE"""),"Blistering")</f>
        <v>Blistering</v>
      </c>
      <c r="K3369" s="6" t="str">
        <f>IFERROR(__xludf.DUMMYFUNCTION("""COMPUTED_VALUE"""),"SPR/26/03/017")</f>
        <v>SPR/26/03/017</v>
      </c>
      <c r="L3369" s="13">
        <f>IFERROR(__xludf.DUMMYFUNCTION("""COMPUTED_VALUE"""),46112.0)</f>
        <v>46112</v>
      </c>
    </row>
    <row r="3370">
      <c r="A3370" s="6" t="str">
        <f>IFERROR(__xludf.DUMMYFUNCTION("""COMPUTED_VALUE"""),"KFF")</f>
        <v>KFF</v>
      </c>
      <c r="B3370" s="6" t="str">
        <f>IFERROR(__xludf.DUMMYFUNCTION("""COMPUTED_VALUE"""),"ENG")</f>
        <v>ENG</v>
      </c>
      <c r="C3370" s="6" t="str">
        <f>IFERROR(__xludf.DUMMYFUNCTION("""COMPUTED_VALUE"""),"P-18788-00")</f>
        <v>P-18788-00</v>
      </c>
      <c r="D3370" s="6" t="str">
        <f>IFERROR(__xludf.DUMMYFUNCTION("""COMPUTED_VALUE"""),"General - Baut Hexagonal, SS, M6 x 55 mm + Mur; No Brand; -; 1 pcs")</f>
        <v>General - Baut Hexagonal, SS, M6 x 55 mm + Mur; No Brand; -; 1 pcs</v>
      </c>
      <c r="E3370" s="6">
        <f>IFERROR(__xludf.DUMMYFUNCTION("""COMPUTED_VALUE"""),14.0)</f>
        <v>14</v>
      </c>
      <c r="F3370" s="6">
        <f>IFERROR(__xludf.DUMMYFUNCTION("""COMPUTED_VALUE"""),14.0)</f>
        <v>14</v>
      </c>
      <c r="G3370" s="6">
        <f>IFERROR(__xludf.DUMMYFUNCTION("""COMPUTED_VALUE"""),0.0)</f>
        <v>0</v>
      </c>
      <c r="H3370" s="6" t="str">
        <f>IFERROR(__xludf.DUMMYFUNCTION("""COMPUTED_VALUE"""),"Pcs")</f>
        <v>Pcs</v>
      </c>
      <c r="I3370" s="6" t="str">
        <f>IFERROR(__xludf.DUMMYFUNCTION("""COMPUTED_VALUE"""),"MFH")</f>
        <v>MFH</v>
      </c>
      <c r="J3370" s="6" t="str">
        <f>IFERROR(__xludf.DUMMYFUNCTION("""COMPUTED_VALUE"""),"Blistering")</f>
        <v>Blistering</v>
      </c>
      <c r="K3370" s="6" t="str">
        <f>IFERROR(__xludf.DUMMYFUNCTION("""COMPUTED_VALUE"""),"SPR/26/03/017")</f>
        <v>SPR/26/03/017</v>
      </c>
      <c r="L3370" s="13">
        <f>IFERROR(__xludf.DUMMYFUNCTION("""COMPUTED_VALUE"""),46112.0)</f>
        <v>46112</v>
      </c>
    </row>
    <row r="3371">
      <c r="A3371" s="6" t="str">
        <f>IFERROR(__xludf.DUMMYFUNCTION("""COMPUTED_VALUE"""),"NDS")</f>
        <v>NDS</v>
      </c>
      <c r="B3371" s="6" t="str">
        <f>IFERROR(__xludf.DUMMYFUNCTION("""COMPUTED_VALUE"""),"ENG")</f>
        <v>ENG</v>
      </c>
      <c r="C3371" s="6" t="str">
        <f>IFERROR(__xludf.DUMMYFUNCTION("""COMPUTED_VALUE"""),"P-11968-00")</f>
        <v>P-11968-00</v>
      </c>
      <c r="D3371" s="6" t="str">
        <f>IFERROR(__xludf.DUMMYFUNCTION("""COMPUTED_VALUE"""),"Berusynt FGH Spray H1 - Bechem")</f>
        <v>Berusynt FGH Spray H1 - Bechem</v>
      </c>
      <c r="E3371" s="6">
        <f>IFERROR(__xludf.DUMMYFUNCTION("""COMPUTED_VALUE"""),1.0)</f>
        <v>1</v>
      </c>
      <c r="F3371" s="6">
        <f>IFERROR(__xludf.DUMMYFUNCTION("""COMPUTED_VALUE"""),1.0)</f>
        <v>1</v>
      </c>
      <c r="G3371" s="6">
        <f>IFERROR(__xludf.DUMMYFUNCTION("""COMPUTED_VALUE"""),0.0)</f>
        <v>0</v>
      </c>
      <c r="H3371" s="6" t="str">
        <f>IFERROR(__xludf.DUMMYFUNCTION("""COMPUTED_VALUE"""),"Pcs")</f>
        <v>Pcs</v>
      </c>
      <c r="I3371" s="6" t="str">
        <f>IFERROR(__xludf.DUMMYFUNCTION("""COMPUTED_VALUE"""),"MFH")</f>
        <v>MFH</v>
      </c>
      <c r="J3371" s="6" t="str">
        <f>IFERROR(__xludf.DUMMYFUNCTION("""COMPUTED_VALUE"""),"Cartonning")</f>
        <v>Cartonning</v>
      </c>
      <c r="K3371" s="6" t="str">
        <f>IFERROR(__xludf.DUMMYFUNCTION("""COMPUTED_VALUE"""),"SPR/26/03/018")</f>
        <v>SPR/26/03/018</v>
      </c>
      <c r="L3371" s="13">
        <f>IFERROR(__xludf.DUMMYFUNCTION("""COMPUTED_VALUE"""),46112.0)</f>
        <v>46112</v>
      </c>
    </row>
    <row r="3372">
      <c r="A3372" s="6" t="str">
        <f>IFERROR(__xludf.DUMMYFUNCTION("""COMPUTED_VALUE"""),"NDS")</f>
        <v>NDS</v>
      </c>
      <c r="B3372" s="6" t="str">
        <f>IFERROR(__xludf.DUMMYFUNCTION("""COMPUTED_VALUE"""),"ENG")</f>
        <v>ENG</v>
      </c>
      <c r="C3372" s="6" t="str">
        <f>IFERROR(__xludf.DUMMYFUNCTION("""COMPUTED_VALUE"""),"P-11694-00")</f>
        <v>P-11694-00</v>
      </c>
      <c r="D3372" s="6" t="str">
        <f>IFERROR(__xludf.DUMMYFUNCTION("""COMPUTED_VALUE"""),"Mata Gerinda 4""")</f>
        <v>Mata Gerinda 4"</v>
      </c>
      <c r="E3372" s="6">
        <f>IFERROR(__xludf.DUMMYFUNCTION("""COMPUTED_VALUE"""),2.0)</f>
        <v>2</v>
      </c>
      <c r="F3372" s="6">
        <f>IFERROR(__xludf.DUMMYFUNCTION("""COMPUTED_VALUE"""),2.0)</f>
        <v>2</v>
      </c>
      <c r="G3372" s="6">
        <f>IFERROR(__xludf.DUMMYFUNCTION("""COMPUTED_VALUE"""),0.0)</f>
        <v>0</v>
      </c>
      <c r="H3372" s="6" t="str">
        <f>IFERROR(__xludf.DUMMYFUNCTION("""COMPUTED_VALUE"""),"Pcs")</f>
        <v>Pcs</v>
      </c>
      <c r="I3372" s="6" t="str">
        <f>IFERROR(__xludf.DUMMYFUNCTION("""COMPUTED_VALUE"""),"MFH")</f>
        <v>MFH</v>
      </c>
      <c r="J3372" s="6" t="str">
        <f>IFERROR(__xludf.DUMMYFUNCTION("""COMPUTED_VALUE"""),"Building")</f>
        <v>Building</v>
      </c>
      <c r="K3372" s="6" t="str">
        <f>IFERROR(__xludf.DUMMYFUNCTION("""COMPUTED_VALUE"""),"SPR/26/03/018")</f>
        <v>SPR/26/03/018</v>
      </c>
      <c r="L3372" s="13">
        <f>IFERROR(__xludf.DUMMYFUNCTION("""COMPUTED_VALUE"""),46112.0)</f>
        <v>46112</v>
      </c>
    </row>
    <row r="3373">
      <c r="A3373" s="6" t="str">
        <f>IFERROR(__xludf.DUMMYFUNCTION("""COMPUTED_VALUE"""),"BDU")</f>
        <v>BDU</v>
      </c>
      <c r="B3373" s="6" t="str">
        <f>IFERROR(__xludf.DUMMYFUNCTION("""COMPUTED_VALUE"""),"ENG")</f>
        <v>ENG</v>
      </c>
      <c r="C3373" s="6" t="str">
        <f>IFERROR(__xludf.DUMMYFUNCTION("""COMPUTED_VALUE"""),"P-17358-00")</f>
        <v>P-17358-00</v>
      </c>
      <c r="D3373" s="6" t="str">
        <f>IFERROR(__xludf.DUMMYFUNCTION("""COMPUTED_VALUE"""),"Oring EPDM 41.5x35x3.5 mm")</f>
        <v>Oring EPDM 41.5x35x3.5 mm</v>
      </c>
      <c r="E3373" s="6">
        <f>IFERROR(__xludf.DUMMYFUNCTION("""COMPUTED_VALUE"""),9.0)</f>
        <v>9</v>
      </c>
      <c r="F3373" s="6">
        <f>IFERROR(__xludf.DUMMYFUNCTION("""COMPUTED_VALUE"""),10.0)</f>
        <v>10</v>
      </c>
      <c r="G3373" s="6">
        <f>IFERROR(__xludf.DUMMYFUNCTION("""COMPUTED_VALUE"""),0.0)</f>
        <v>0</v>
      </c>
      <c r="H3373" s="6" t="str">
        <f>IFERROR(__xludf.DUMMYFUNCTION("""COMPUTED_VALUE"""),"Pcs")</f>
        <v>Pcs</v>
      </c>
      <c r="I3373" s="6" t="str">
        <f>IFERROR(__xludf.DUMMYFUNCTION("""COMPUTED_VALUE"""),"MFH")</f>
        <v>MFH</v>
      </c>
      <c r="J3373" s="6" t="str">
        <f>IFERROR(__xludf.DUMMYFUNCTION("""COMPUTED_VALUE"""),"Capping")</f>
        <v>Capping</v>
      </c>
      <c r="K3373" s="6" t="str">
        <f>IFERROR(__xludf.DUMMYFUNCTION("""COMPUTED_VALUE"""),"SPR/26/03/019")</f>
        <v>SPR/26/03/019</v>
      </c>
      <c r="L3373" s="13">
        <f>IFERROR(__xludf.DUMMYFUNCTION("""COMPUTED_VALUE"""),46112.0)</f>
        <v>46112</v>
      </c>
    </row>
    <row r="3374">
      <c r="A3374" s="6" t="str">
        <f>IFERROR(__xludf.DUMMYFUNCTION("""COMPUTED_VALUE"""),"ROS")</f>
        <v>ROS</v>
      </c>
      <c r="B3374" s="6" t="str">
        <f>IFERROR(__xludf.DUMMYFUNCTION("""COMPUTED_VALUE"""),"ENG")</f>
        <v>ENG</v>
      </c>
      <c r="C3374" s="6" t="str">
        <f>IFERROR(__xludf.DUMMYFUNCTION("""COMPUTED_VALUE"""),"O-51000-00")</f>
        <v>O-51000-00</v>
      </c>
      <c r="D3374" s="6" t="str">
        <f>IFERROR(__xludf.DUMMYFUNCTION("""COMPUTED_VALUE"""),"Colamark - Print Head for Part TTO Domino p/n EPP001359 SP")</f>
        <v>Colamark - Print Head for Part TTO Domino p/n EPP001359 SP</v>
      </c>
      <c r="E3374" s="6">
        <f>IFERROR(__xludf.DUMMYFUNCTION("""COMPUTED_VALUE"""),1.0)</f>
        <v>1</v>
      </c>
      <c r="F3374" s="6">
        <f>IFERROR(__xludf.DUMMYFUNCTION("""COMPUTED_VALUE"""),1.0)</f>
        <v>1</v>
      </c>
      <c r="G3374" s="6">
        <f>IFERROR(__xludf.DUMMYFUNCTION("""COMPUTED_VALUE"""),0.0)</f>
        <v>0</v>
      </c>
      <c r="H3374" s="6" t="str">
        <f>IFERROR(__xludf.DUMMYFUNCTION("""COMPUTED_VALUE"""),"Pcs")</f>
        <v>Pcs</v>
      </c>
      <c r="I3374" s="6" t="str">
        <f>IFERROR(__xludf.DUMMYFUNCTION("""COMPUTED_VALUE"""),"MFH")</f>
        <v>MFH</v>
      </c>
      <c r="J3374" s="6" t="str">
        <f>IFERROR(__xludf.DUMMYFUNCTION("""COMPUTED_VALUE"""),"Labelling")</f>
        <v>Labelling</v>
      </c>
      <c r="K3374" s="6" t="str">
        <f>IFERROR(__xludf.DUMMYFUNCTION("""COMPUTED_VALUE"""),"SPR/26/03/020")</f>
        <v>SPR/26/03/020</v>
      </c>
      <c r="L3374" s="13">
        <f>IFERROR(__xludf.DUMMYFUNCTION("""COMPUTED_VALUE"""),46112.0)</f>
        <v>46112</v>
      </c>
    </row>
    <row r="3375">
      <c r="A3375" s="6" t="str">
        <f>IFERROR(__xludf.DUMMYFUNCTION("""COMPUTED_VALUE"""),"SFH")</f>
        <v>SFH</v>
      </c>
      <c r="B3375" s="6" t="str">
        <f>IFERROR(__xludf.DUMMYFUNCTION("""COMPUTED_VALUE"""),"ENG")</f>
        <v>ENG</v>
      </c>
      <c r="C3375" s="6" t="str">
        <f>IFERROR(__xludf.DUMMYFUNCTION("""COMPUTED_VALUE"""),"P-51559-00")</f>
        <v>P-51559-00</v>
      </c>
      <c r="D3375" s="6" t="str">
        <f>IFERROR(__xludf.DUMMYFUNCTION("""COMPUTED_VALUE"""),"General - Lampu TL LED T5 14 W White; Philips; -; 1 unt")</f>
        <v>General - Lampu TL LED T5 14 W White; Philips; -; 1 unt</v>
      </c>
      <c r="E3375" s="6">
        <f>IFERROR(__xludf.DUMMYFUNCTION("""COMPUTED_VALUE"""),1.0)</f>
        <v>1</v>
      </c>
      <c r="F3375" s="6">
        <f>IFERROR(__xludf.DUMMYFUNCTION("""COMPUTED_VALUE"""),1.0)</f>
        <v>1</v>
      </c>
      <c r="G3375" s="6">
        <f>IFERROR(__xludf.DUMMYFUNCTION("""COMPUTED_VALUE"""),0.0)</f>
        <v>0</v>
      </c>
      <c r="H3375" s="6" t="str">
        <f>IFERROR(__xludf.DUMMYFUNCTION("""COMPUTED_VALUE"""),"Pcs")</f>
        <v>Pcs</v>
      </c>
      <c r="I3375" s="6" t="str">
        <f>IFERROR(__xludf.DUMMYFUNCTION("""COMPUTED_VALUE"""),"MFH")</f>
        <v>MFH</v>
      </c>
      <c r="J3375" s="6" t="str">
        <f>IFERROR(__xludf.DUMMYFUNCTION("""COMPUTED_VALUE"""),"Building")</f>
        <v>Building</v>
      </c>
      <c r="K3375" s="6" t="str">
        <f>IFERROR(__xludf.DUMMYFUNCTION("""COMPUTED_VALUE"""),"SPR/26/03/021")</f>
        <v>SPR/26/03/021</v>
      </c>
      <c r="L3375" s="13">
        <f>IFERROR(__xludf.DUMMYFUNCTION("""COMPUTED_VALUE"""),46112.0)</f>
        <v>46112</v>
      </c>
    </row>
    <row r="3376">
      <c r="A3376" s="6" t="str">
        <f>IFERROR(__xludf.DUMMYFUNCTION("""COMPUTED_VALUE"""),"SFH")</f>
        <v>SFH</v>
      </c>
      <c r="B3376" s="6" t="str">
        <f>IFERROR(__xludf.DUMMYFUNCTION("""COMPUTED_VALUE"""),"ENG")</f>
        <v>ENG</v>
      </c>
      <c r="C3376" s="6" t="str">
        <f>IFERROR(__xludf.DUMMYFUNCTION("""COMPUTED_VALUE"""),"P-51560-00")</f>
        <v>P-51560-00</v>
      </c>
      <c r="D3376" s="6" t="str">
        <f>IFERROR(__xludf.DUMMYFUNCTION("""COMPUTED_VALUE"""),"General - Lampu TL LED T5 28 W White; Philips; -; 1 unt")</f>
        <v>General - Lampu TL LED T5 28 W White; Philips; -; 1 unt</v>
      </c>
      <c r="E3376" s="6">
        <f>IFERROR(__xludf.DUMMYFUNCTION("""COMPUTED_VALUE"""),3.0)</f>
        <v>3</v>
      </c>
      <c r="F3376" s="6">
        <f>IFERROR(__xludf.DUMMYFUNCTION("""COMPUTED_VALUE"""),3.0)</f>
        <v>3</v>
      </c>
      <c r="G3376" s="6">
        <f>IFERROR(__xludf.DUMMYFUNCTION("""COMPUTED_VALUE"""),0.0)</f>
        <v>0</v>
      </c>
      <c r="H3376" s="6" t="str">
        <f>IFERROR(__xludf.DUMMYFUNCTION("""COMPUTED_VALUE"""),"Pcs")</f>
        <v>Pcs</v>
      </c>
      <c r="I3376" s="6" t="str">
        <f>IFERROR(__xludf.DUMMYFUNCTION("""COMPUTED_VALUE"""),"MFH")</f>
        <v>MFH</v>
      </c>
      <c r="J3376" s="6" t="str">
        <f>IFERROR(__xludf.DUMMYFUNCTION("""COMPUTED_VALUE"""),"Building")</f>
        <v>Building</v>
      </c>
      <c r="K3376" s="6" t="str">
        <f>IFERROR(__xludf.DUMMYFUNCTION("""COMPUTED_VALUE"""),"SPR/26/03/021")</f>
        <v>SPR/26/03/021</v>
      </c>
      <c r="L3376" s="13">
        <f>IFERROR(__xludf.DUMMYFUNCTION("""COMPUTED_VALUE"""),46112.0)</f>
        <v>46112</v>
      </c>
    </row>
    <row r="3377">
      <c r="A3377" s="6" t="str">
        <f>IFERROR(__xludf.DUMMYFUNCTION("""COMPUTED_VALUE"""),"SFH")</f>
        <v>SFH</v>
      </c>
      <c r="B3377" s="6" t="str">
        <f>IFERROR(__xludf.DUMMYFUNCTION("""COMPUTED_VALUE"""),"ENG")</f>
        <v>ENG</v>
      </c>
      <c r="C3377" s="6" t="str">
        <f>IFERROR(__xludf.DUMMYFUNCTION("""COMPUTED_VALUE"""),"P-54210-00")</f>
        <v>P-54210-00</v>
      </c>
      <c r="D3377" s="6" t="str">
        <f>IFERROR(__xludf.DUMMYFUNCTION("""COMPUTED_VALUE"""),"Tutup stop kontak; IEC 60529 BS5733;; Schneider; ;")</f>
        <v>Tutup stop kontak; IEC 60529 BS5733;; Schneider; ;</v>
      </c>
      <c r="E3377" s="6">
        <f>IFERROR(__xludf.DUMMYFUNCTION("""COMPUTED_VALUE"""),1.0)</f>
        <v>1</v>
      </c>
      <c r="F3377" s="6">
        <f>IFERROR(__xludf.DUMMYFUNCTION("""COMPUTED_VALUE"""),1.0)</f>
        <v>1</v>
      </c>
      <c r="G3377" s="6">
        <f>IFERROR(__xludf.DUMMYFUNCTION("""COMPUTED_VALUE"""),0.0)</f>
        <v>0</v>
      </c>
      <c r="H3377" s="6" t="str">
        <f>IFERROR(__xludf.DUMMYFUNCTION("""COMPUTED_VALUE"""),"Pcs")</f>
        <v>Pcs</v>
      </c>
      <c r="I3377" s="6" t="str">
        <f>IFERROR(__xludf.DUMMYFUNCTION("""COMPUTED_VALUE"""),"MFH")</f>
        <v>MFH</v>
      </c>
      <c r="J3377" s="6" t="str">
        <f>IFERROR(__xludf.DUMMYFUNCTION("""COMPUTED_VALUE"""),"Building")</f>
        <v>Building</v>
      </c>
      <c r="K3377" s="6" t="str">
        <f>IFERROR(__xludf.DUMMYFUNCTION("""COMPUTED_VALUE"""),"SPR/26/03/021")</f>
        <v>SPR/26/03/021</v>
      </c>
      <c r="L3377" s="13">
        <f>IFERROR(__xludf.DUMMYFUNCTION("""COMPUTED_VALUE"""),46112.0)</f>
        <v>46112</v>
      </c>
    </row>
    <row r="3378">
      <c r="A3378" s="6" t="str">
        <f>IFERROR(__xludf.DUMMYFUNCTION("""COMPUTED_VALUE"""),"RIA")</f>
        <v>RIA</v>
      </c>
      <c r="B3378" s="6" t="str">
        <f>IFERROR(__xludf.DUMMYFUNCTION("""COMPUTED_VALUE"""),"ENG")</f>
        <v>ENG</v>
      </c>
      <c r="C3378" s="6" t="str">
        <f>IFERROR(__xludf.DUMMYFUNCTION("""COMPUTED_VALUE"""),"P-11228-00")</f>
        <v>P-11228-00</v>
      </c>
      <c r="D3378" s="6" t="str">
        <f>IFERROR(__xludf.DUMMYFUNCTION("""COMPUTED_VALUE"""),"Pneumatic  Fitting - QST 8 / PN : 153130 / Festo")</f>
        <v>Pneumatic  Fitting - QST 8 / PN : 153130 / Festo</v>
      </c>
      <c r="E3378" s="6">
        <f>IFERROR(__xludf.DUMMYFUNCTION("""COMPUTED_VALUE"""),2.0)</f>
        <v>2</v>
      </c>
      <c r="F3378" s="6">
        <f>IFERROR(__xludf.DUMMYFUNCTION("""COMPUTED_VALUE"""),2.0)</f>
        <v>2</v>
      </c>
      <c r="G3378" s="6">
        <f>IFERROR(__xludf.DUMMYFUNCTION("""COMPUTED_VALUE"""),0.0)</f>
        <v>0</v>
      </c>
      <c r="H3378" s="6" t="str">
        <f>IFERROR(__xludf.DUMMYFUNCTION("""COMPUTED_VALUE"""),"Pcs")</f>
        <v>Pcs</v>
      </c>
      <c r="I3378" s="6" t="str">
        <f>IFERROR(__xludf.DUMMYFUNCTION("""COMPUTED_VALUE"""),"MFH")</f>
        <v>MFH</v>
      </c>
      <c r="J3378" s="6" t="str">
        <f>IFERROR(__xludf.DUMMYFUNCTION("""COMPUTED_VALUE"""),"-")</f>
        <v>-</v>
      </c>
      <c r="K3378" s="6" t="str">
        <f>IFERROR(__xludf.DUMMYFUNCTION("""COMPUTED_VALUE"""),"SPR/26/03/022")</f>
        <v>SPR/26/03/022</v>
      </c>
      <c r="L3378" s="13">
        <f>IFERROR(__xludf.DUMMYFUNCTION("""COMPUTED_VALUE"""),46112.0)</f>
        <v>46112</v>
      </c>
    </row>
    <row r="3379">
      <c r="A3379" s="6" t="str">
        <f>IFERROR(__xludf.DUMMYFUNCTION("""COMPUTED_VALUE"""),"RIA")</f>
        <v>RIA</v>
      </c>
      <c r="B3379" s="6" t="str">
        <f>IFERROR(__xludf.DUMMYFUNCTION("""COMPUTED_VALUE"""),"ENG")</f>
        <v>ENG</v>
      </c>
      <c r="C3379" s="6" t="str">
        <f>IFERROR(__xludf.DUMMYFUNCTION("""COMPUTED_VALUE"""),"P-53055-00")</f>
        <v>P-53055-00</v>
      </c>
      <c r="D3379" s="6" t="str">
        <f>IFERROR(__xludf.DUMMYFUNCTION("""COMPUTED_VALUE"""),"General - Fuse Keramik Double 160A 690VAC Bussman FEE160")</f>
        <v>General - Fuse Keramik Double 160A 690VAC Bussman FEE160</v>
      </c>
      <c r="E3379" s="6">
        <f>IFERROR(__xludf.DUMMYFUNCTION("""COMPUTED_VALUE"""),1.0)</f>
        <v>1</v>
      </c>
      <c r="F3379" s="6">
        <f>IFERROR(__xludf.DUMMYFUNCTION("""COMPUTED_VALUE"""),1.0)</f>
        <v>1</v>
      </c>
      <c r="G3379" s="6">
        <f>IFERROR(__xludf.DUMMYFUNCTION("""COMPUTED_VALUE"""),0.0)</f>
        <v>0</v>
      </c>
      <c r="H3379" s="6" t="str">
        <f>IFERROR(__xludf.DUMMYFUNCTION("""COMPUTED_VALUE"""),"Pcs")</f>
        <v>Pcs</v>
      </c>
      <c r="I3379" s="6" t="str">
        <f>IFERROR(__xludf.DUMMYFUNCTION("""COMPUTED_VALUE"""),"MFH")</f>
        <v>MFH</v>
      </c>
      <c r="J3379" s="6" t="str">
        <f>IFERROR(__xludf.DUMMYFUNCTION("""COMPUTED_VALUE"""),"-")</f>
        <v>-</v>
      </c>
      <c r="K3379" s="6" t="str">
        <f>IFERROR(__xludf.DUMMYFUNCTION("""COMPUTED_VALUE"""),"SPR/26/03/022")</f>
        <v>SPR/26/03/022</v>
      </c>
      <c r="L3379" s="13">
        <f>IFERROR(__xludf.DUMMYFUNCTION("""COMPUTED_VALUE"""),46112.0)</f>
        <v>46112</v>
      </c>
    </row>
    <row r="3380">
      <c r="A3380" s="6" t="str">
        <f>IFERROR(__xludf.DUMMYFUNCTION("""COMPUTED_VALUE"""),"KFF")</f>
        <v>KFF</v>
      </c>
      <c r="B3380" s="6" t="str">
        <f>IFERROR(__xludf.DUMMYFUNCTION("""COMPUTED_VALUE"""),"ENG")</f>
        <v>ENG</v>
      </c>
      <c r="C3380" s="6" t="str">
        <f>IFERROR(__xludf.DUMMYFUNCTION("""COMPUTED_VALUE"""),"Q-60503-00")</f>
        <v>Q-60503-00</v>
      </c>
      <c r="D3380" s="6" t="str">
        <f>IFERROR(__xludf.DUMMYFUNCTION("""COMPUTED_VALUE"""),"Silicone Sealant, Silglaze, Type N10 Grey, pack size per pcs")</f>
        <v>Silicone Sealant, Silglaze, Type N10 Grey, pack size per pcs</v>
      </c>
      <c r="E3380" s="6">
        <f>IFERROR(__xludf.DUMMYFUNCTION("""COMPUTED_VALUE"""),1.0)</f>
        <v>1</v>
      </c>
      <c r="F3380" s="6">
        <f>IFERROR(__xludf.DUMMYFUNCTION("""COMPUTED_VALUE"""),1.0)</f>
        <v>1</v>
      </c>
      <c r="G3380" s="6">
        <f>IFERROR(__xludf.DUMMYFUNCTION("""COMPUTED_VALUE"""),0.0)</f>
        <v>0</v>
      </c>
      <c r="H3380" s="6" t="str">
        <f>IFERROR(__xludf.DUMMYFUNCTION("""COMPUTED_VALUE"""),"Pcs")</f>
        <v>Pcs</v>
      </c>
      <c r="I3380" s="6" t="str">
        <f>IFERROR(__xludf.DUMMYFUNCTION("""COMPUTED_VALUE"""),"MFH")</f>
        <v>MFH</v>
      </c>
      <c r="J3380" s="6" t="str">
        <f>IFERROR(__xludf.DUMMYFUNCTION("""COMPUTED_VALUE"""),"Dispensing")</f>
        <v>Dispensing</v>
      </c>
      <c r="K3380" s="6" t="str">
        <f>IFERROR(__xludf.DUMMYFUNCTION("""COMPUTED_VALUE"""),"SPR/26/03/023")</f>
        <v>SPR/26/03/023</v>
      </c>
      <c r="L3380" s="13">
        <f>IFERROR(__xludf.DUMMYFUNCTION("""COMPUTED_VALUE"""),46112.0)</f>
        <v>46112</v>
      </c>
    </row>
    <row r="3381">
      <c r="A3381" s="6" t="str">
        <f>IFERROR(__xludf.DUMMYFUNCTION("""COMPUTED_VALUE"""),"KFF")</f>
        <v>KFF</v>
      </c>
      <c r="B3381" s="6" t="str">
        <f>IFERROR(__xludf.DUMMYFUNCTION("""COMPUTED_VALUE"""),"ENG")</f>
        <v>ENG</v>
      </c>
      <c r="C3381" s="6" t="str">
        <f>IFERROR(__xludf.DUMMYFUNCTION("""COMPUTED_VALUE"""),"T-80109-00")</f>
        <v>T-80109-00</v>
      </c>
      <c r="D3381" s="6" t="str">
        <f>IFERROR(__xludf.DUMMYFUNCTION("""COMPUTED_VALUE"""),"Cellotape / Lakban Kertas 1 inch warna Putih")</f>
        <v>Cellotape / Lakban Kertas 1 inch warna Putih</v>
      </c>
      <c r="E3381" s="6">
        <f>IFERROR(__xludf.DUMMYFUNCTION("""COMPUTED_VALUE"""),1.0)</f>
        <v>1</v>
      </c>
      <c r="F3381" s="6">
        <f>IFERROR(__xludf.DUMMYFUNCTION("""COMPUTED_VALUE"""),1.0)</f>
        <v>1</v>
      </c>
      <c r="G3381" s="6">
        <f>IFERROR(__xludf.DUMMYFUNCTION("""COMPUTED_VALUE"""),0.0)</f>
        <v>0</v>
      </c>
      <c r="H3381" s="6" t="str">
        <f>IFERROR(__xludf.DUMMYFUNCTION("""COMPUTED_VALUE"""),"Pcs")</f>
        <v>Pcs</v>
      </c>
      <c r="I3381" s="6" t="str">
        <f>IFERROR(__xludf.DUMMYFUNCTION("""COMPUTED_VALUE"""),"MFH")</f>
        <v>MFH</v>
      </c>
      <c r="J3381" s="6" t="str">
        <f>IFERROR(__xludf.DUMMYFUNCTION("""COMPUTED_VALUE"""),"Dispensing")</f>
        <v>Dispensing</v>
      </c>
      <c r="K3381" s="6" t="str">
        <f>IFERROR(__xludf.DUMMYFUNCTION("""COMPUTED_VALUE"""),"SPR/26/03/023")</f>
        <v>SPR/26/03/023</v>
      </c>
      <c r="L3381" s="13">
        <f>IFERROR(__xludf.DUMMYFUNCTION("""COMPUTED_VALUE"""),46112.0)</f>
        <v>46112</v>
      </c>
    </row>
    <row r="3382">
      <c r="A3382" s="6" t="str">
        <f>IFERROR(__xludf.DUMMYFUNCTION("""COMPUTED_VALUE"""),"ROS")</f>
        <v>ROS</v>
      </c>
      <c r="B3382" s="6" t="str">
        <f>IFERROR(__xludf.DUMMYFUNCTION("""COMPUTED_VALUE"""),"ENG")</f>
        <v>ENG</v>
      </c>
      <c r="C3382" s="6" t="str">
        <f>IFERROR(__xludf.DUMMYFUNCTION("""COMPUTED_VALUE"""),"S-40645-00")</f>
        <v>S-40645-00</v>
      </c>
      <c r="D3382" s="6" t="str">
        <f>IFERROR(__xludf.DUMMYFUNCTION("""COMPUTED_VALUE"""),"Cable Ties, 200 x 4.8 mm; SIGMA; CS 200L; Putih;100 pcs/pack")</f>
        <v>Cable Ties, 200 x 4.8 mm; SIGMA; CS 200L; Putih;100 pcs/pack</v>
      </c>
      <c r="E3382" s="6">
        <f>IFERROR(__xludf.DUMMYFUNCTION("""COMPUTED_VALUE"""),1.0)</f>
        <v>1</v>
      </c>
      <c r="F3382" s="6">
        <f>IFERROR(__xludf.DUMMYFUNCTION("""COMPUTED_VALUE"""),1.0)</f>
        <v>1</v>
      </c>
      <c r="G3382" s="6">
        <f>IFERROR(__xludf.DUMMYFUNCTION("""COMPUTED_VALUE"""),0.0)</f>
        <v>0</v>
      </c>
      <c r="H3382" s="6" t="str">
        <f>IFERROR(__xludf.DUMMYFUNCTION("""COMPUTED_VALUE"""),"Pcs")</f>
        <v>Pcs</v>
      </c>
      <c r="I3382" s="6" t="str">
        <f>IFERROR(__xludf.DUMMYFUNCTION("""COMPUTED_VALUE"""),"MFH")</f>
        <v>MFH</v>
      </c>
      <c r="J3382" s="6" t="str">
        <f>IFERROR(__xludf.DUMMYFUNCTION("""COMPUTED_VALUE"""),"FD")</f>
        <v>FD</v>
      </c>
      <c r="K3382" s="6" t="str">
        <f>IFERROR(__xludf.DUMMYFUNCTION("""COMPUTED_VALUE"""),"SPR/26/03/024")</f>
        <v>SPR/26/03/024</v>
      </c>
      <c r="L3382" s="13">
        <f>IFERROR(__xludf.DUMMYFUNCTION("""COMPUTED_VALUE"""),46112.0)</f>
        <v>46112</v>
      </c>
    </row>
    <row r="3383">
      <c r="A3383" s="6" t="str">
        <f>IFERROR(__xludf.DUMMYFUNCTION("""COMPUTED_VALUE"""),"BDU")</f>
        <v>BDU</v>
      </c>
      <c r="B3383" s="6" t="str">
        <f>IFERROR(__xludf.DUMMYFUNCTION("""COMPUTED_VALUE"""),"ENG")</f>
        <v>ENG</v>
      </c>
      <c r="C3383" s="6" t="str">
        <f>IFERROR(__xludf.DUMMYFUNCTION("""COMPUTED_VALUE"""),"T-80109-00")</f>
        <v>T-80109-00</v>
      </c>
      <c r="D3383" s="6" t="str">
        <f>IFERROR(__xludf.DUMMYFUNCTION("""COMPUTED_VALUE"""),"Cellotape / Lakban Kertas 1 inch warna Putih")</f>
        <v>Cellotape / Lakban Kertas 1 inch warna Putih</v>
      </c>
      <c r="E3383" s="6">
        <f>IFERROR(__xludf.DUMMYFUNCTION("""COMPUTED_VALUE"""),4.0)</f>
        <v>4</v>
      </c>
      <c r="F3383" s="6">
        <f>IFERROR(__xludf.DUMMYFUNCTION("""COMPUTED_VALUE"""),4.0)</f>
        <v>4</v>
      </c>
      <c r="G3383" s="6">
        <f>IFERROR(__xludf.DUMMYFUNCTION("""COMPUTED_VALUE"""),0.0)</f>
        <v>0</v>
      </c>
      <c r="H3383" s="6" t="str">
        <f>IFERROR(__xludf.DUMMYFUNCTION("""COMPUTED_VALUE"""),"Pcs")</f>
        <v>Pcs</v>
      </c>
      <c r="I3383" s="6" t="str">
        <f>IFERROR(__xludf.DUMMYFUNCTION("""COMPUTED_VALUE"""),"MFH")</f>
        <v>MFH</v>
      </c>
      <c r="J3383" s="6" t="str">
        <f>IFERROR(__xludf.DUMMYFUNCTION("""COMPUTED_VALUE"""),"Building")</f>
        <v>Building</v>
      </c>
      <c r="K3383" s="6" t="str">
        <f>IFERROR(__xludf.DUMMYFUNCTION("""COMPUTED_VALUE"""),"SPR/26/03/025")</f>
        <v>SPR/26/03/025</v>
      </c>
      <c r="L3383" s="13">
        <f>IFERROR(__xludf.DUMMYFUNCTION("""COMPUTED_VALUE"""),46112.0)</f>
        <v>46112</v>
      </c>
    </row>
    <row r="3384">
      <c r="A3384" s="6" t="str">
        <f>IFERROR(__xludf.DUMMYFUNCTION("""COMPUTED_VALUE"""),"BDU")</f>
        <v>BDU</v>
      </c>
      <c r="B3384" s="6" t="str">
        <f>IFERROR(__xludf.DUMMYFUNCTION("""COMPUTED_VALUE"""),"ENG")</f>
        <v>ENG</v>
      </c>
      <c r="C3384" s="6" t="str">
        <f>IFERROR(__xludf.DUMMYFUNCTION("""COMPUTED_VALUE"""),"Q-60502-00")</f>
        <v>Q-60502-00</v>
      </c>
      <c r="D3384" s="6" t="str">
        <f>IFERROR(__xludf.DUMMYFUNCTION("""COMPUTED_VALUE"""),"Silicone Sealant, Silglaze, Type N10 White, pack size per pcs")</f>
        <v>Silicone Sealant, Silglaze, Type N10 White, pack size per pcs</v>
      </c>
      <c r="E3384" s="6">
        <f>IFERROR(__xludf.DUMMYFUNCTION("""COMPUTED_VALUE"""),4.0)</f>
        <v>4</v>
      </c>
      <c r="F3384" s="6">
        <f>IFERROR(__xludf.DUMMYFUNCTION("""COMPUTED_VALUE"""),4.0)</f>
        <v>4</v>
      </c>
      <c r="G3384" s="6">
        <f>IFERROR(__xludf.DUMMYFUNCTION("""COMPUTED_VALUE"""),0.0)</f>
        <v>0</v>
      </c>
      <c r="H3384" s="6" t="str">
        <f>IFERROR(__xludf.DUMMYFUNCTION("""COMPUTED_VALUE"""),"Pcs")</f>
        <v>Pcs</v>
      </c>
      <c r="I3384" s="6" t="str">
        <f>IFERROR(__xludf.DUMMYFUNCTION("""COMPUTED_VALUE"""),"MFH")</f>
        <v>MFH</v>
      </c>
      <c r="J3384" s="6" t="str">
        <f>IFERROR(__xludf.DUMMYFUNCTION("""COMPUTED_VALUE"""),"Building")</f>
        <v>Building</v>
      </c>
      <c r="K3384" s="6" t="str">
        <f>IFERROR(__xludf.DUMMYFUNCTION("""COMPUTED_VALUE"""),"SPR/26/03/025")</f>
        <v>SPR/26/03/025</v>
      </c>
      <c r="L3384" s="13">
        <f>IFERROR(__xludf.DUMMYFUNCTION("""COMPUTED_VALUE"""),46112.0)</f>
        <v>46112</v>
      </c>
    </row>
    <row r="3385">
      <c r="A3385" s="6" t="str">
        <f>IFERROR(__xludf.DUMMYFUNCTION("""COMPUTED_VALUE"""),"NDS")</f>
        <v>NDS</v>
      </c>
      <c r="B3385" s="6" t="str">
        <f>IFERROR(__xludf.DUMMYFUNCTION("""COMPUTED_VALUE"""),"ENG")</f>
        <v>ENG</v>
      </c>
      <c r="C3385" s="6" t="str">
        <f>IFERROR(__xludf.DUMMYFUNCTION("""COMPUTED_VALUE"""),"Q-60502-00")</f>
        <v>Q-60502-00</v>
      </c>
      <c r="D3385" s="6" t="str">
        <f>IFERROR(__xludf.DUMMYFUNCTION("""COMPUTED_VALUE"""),"Silicone Sealant, Silglaze, Type N10 Grey, pack size per pcs")</f>
        <v>Silicone Sealant, Silglaze, Type N10 Grey, pack size per pcs</v>
      </c>
      <c r="E3385" s="6">
        <f>IFERROR(__xludf.DUMMYFUNCTION("""COMPUTED_VALUE"""),1.0)</f>
        <v>1</v>
      </c>
      <c r="F3385" s="6">
        <f>IFERROR(__xludf.DUMMYFUNCTION("""COMPUTED_VALUE"""),1.0)</f>
        <v>1</v>
      </c>
      <c r="G3385" s="6">
        <f>IFERROR(__xludf.DUMMYFUNCTION("""COMPUTED_VALUE"""),0.0)</f>
        <v>0</v>
      </c>
      <c r="H3385" s="6" t="str">
        <f>IFERROR(__xludf.DUMMYFUNCTION("""COMPUTED_VALUE"""),"Pcs")</f>
        <v>Pcs</v>
      </c>
      <c r="I3385" s="6" t="str">
        <f>IFERROR(__xludf.DUMMYFUNCTION("""COMPUTED_VALUE"""),"MFH")</f>
        <v>MFH</v>
      </c>
      <c r="J3385" s="6" t="str">
        <f>IFERROR(__xludf.DUMMYFUNCTION("""COMPUTED_VALUE"""),"Blistering")</f>
        <v>Blistering</v>
      </c>
      <c r="K3385" s="6" t="str">
        <f>IFERROR(__xludf.DUMMYFUNCTION("""COMPUTED_VALUE"""),"SPR/26/03/026")</f>
        <v>SPR/26/03/026</v>
      </c>
      <c r="L3385" s="13">
        <f>IFERROR(__xludf.DUMMYFUNCTION("""COMPUTED_VALUE"""),46112.0)</f>
        <v>46112</v>
      </c>
    </row>
    <row r="3386">
      <c r="A3386" s="6" t="str">
        <f>IFERROR(__xludf.DUMMYFUNCTION("""COMPUTED_VALUE"""),"ROS")</f>
        <v>ROS</v>
      </c>
      <c r="B3386" s="6" t="str">
        <f>IFERROR(__xludf.DUMMYFUNCTION("""COMPUTED_VALUE"""),"ENG")</f>
        <v>ENG</v>
      </c>
      <c r="C3386" s="6" t="str">
        <f>IFERROR(__xludf.DUMMYFUNCTION("""COMPUTED_VALUE"""),"O-18055-00")</f>
        <v>O-18055-00</v>
      </c>
      <c r="D3386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386" s="6">
        <f>IFERROR(__xludf.DUMMYFUNCTION("""COMPUTED_VALUE"""),2.0)</f>
        <v>2</v>
      </c>
      <c r="F3386" s="6">
        <f>IFERROR(__xludf.DUMMYFUNCTION("""COMPUTED_VALUE"""),2.0)</f>
        <v>2</v>
      </c>
      <c r="G3386" s="6">
        <f>IFERROR(__xludf.DUMMYFUNCTION("""COMPUTED_VALUE"""),0.0)</f>
        <v>0</v>
      </c>
      <c r="H3386" s="6" t="str">
        <f>IFERROR(__xludf.DUMMYFUNCTION("""COMPUTED_VALUE"""),"Pcs")</f>
        <v>Pcs</v>
      </c>
      <c r="I3386" s="6" t="str">
        <f>IFERROR(__xludf.DUMMYFUNCTION("""COMPUTED_VALUE"""),"MFH")</f>
        <v>MFH</v>
      </c>
      <c r="J3386" s="6" t="str">
        <f>IFERROR(__xludf.DUMMYFUNCTION("""COMPUTED_VALUE"""),"Cartonning")</f>
        <v>Cartonning</v>
      </c>
      <c r="K3386" s="6" t="str">
        <f>IFERROR(__xludf.DUMMYFUNCTION("""COMPUTED_VALUE"""),"SPR/26/03/027")</f>
        <v>SPR/26/03/027</v>
      </c>
      <c r="L3386" s="13">
        <f>IFERROR(__xludf.DUMMYFUNCTION("""COMPUTED_VALUE"""),46112.0)</f>
        <v>46112</v>
      </c>
    </row>
    <row r="3387">
      <c r="A3387" s="6" t="str">
        <f>IFERROR(__xludf.DUMMYFUNCTION("""COMPUTED_VALUE"""),"AAA")</f>
        <v>AAA</v>
      </c>
      <c r="B3387" s="6" t="str">
        <f>IFERROR(__xludf.DUMMYFUNCTION("""COMPUTED_VALUE"""),"ENG")</f>
        <v>ENG</v>
      </c>
      <c r="C3387" s="6" t="str">
        <f>IFERROR(__xludf.DUMMYFUNCTION("""COMPUTED_VALUE"""),"P-50288-00")</f>
        <v>P-50288-00</v>
      </c>
      <c r="D3387" s="6" t="str">
        <f>IFERROR(__xludf.DUMMYFUNCTION("""COMPUTED_VALUE"""),"Bola Lampu - Halogen 20 W Osram")</f>
        <v>Bola Lampu - Halogen 20 W Osram</v>
      </c>
      <c r="E3387" s="6">
        <f>IFERROR(__xludf.DUMMYFUNCTION("""COMPUTED_VALUE"""),1.0)</f>
        <v>1</v>
      </c>
      <c r="F3387" s="6">
        <f>IFERROR(__xludf.DUMMYFUNCTION("""COMPUTED_VALUE"""),1.0)</f>
        <v>1</v>
      </c>
      <c r="G3387" s="6">
        <f>IFERROR(__xludf.DUMMYFUNCTION("""COMPUTED_VALUE"""),0.0)</f>
        <v>0</v>
      </c>
      <c r="H3387" s="6" t="str">
        <f>IFERROR(__xludf.DUMMYFUNCTION("""COMPUTED_VALUE"""),"Pcs")</f>
        <v>Pcs</v>
      </c>
      <c r="I3387" s="6" t="str">
        <f>IFERROR(__xludf.DUMMYFUNCTION("""COMPUTED_VALUE"""),"MFH")</f>
        <v>MFH</v>
      </c>
      <c r="J3387" s="6" t="str">
        <f>IFERROR(__xludf.DUMMYFUNCTION("""COMPUTED_VALUE"""),"Mixing ")</f>
        <v>Mixing </v>
      </c>
      <c r="K3387" s="6" t="str">
        <f>IFERROR(__xludf.DUMMYFUNCTION("""COMPUTED_VALUE"""),"SPR/26/03/028")</f>
        <v>SPR/26/03/028</v>
      </c>
      <c r="L3387" s="13">
        <f>IFERROR(__xludf.DUMMYFUNCTION("""COMPUTED_VALUE"""),46112.0)</f>
        <v>46112</v>
      </c>
    </row>
    <row r="3388">
      <c r="A3388" s="6" t="str">
        <f>IFERROR(__xludf.DUMMYFUNCTION("""COMPUTED_VALUE"""),"ROS")</f>
        <v>ROS</v>
      </c>
      <c r="B3388" s="6" t="str">
        <f>IFERROR(__xludf.DUMMYFUNCTION("""COMPUTED_VALUE"""),"ENG")</f>
        <v>ENG</v>
      </c>
      <c r="C3388" s="6" t="str">
        <f>IFERROR(__xludf.DUMMYFUNCTION("""COMPUTED_VALUE"""),"O-16980-00")</f>
        <v>O-16980-00</v>
      </c>
      <c r="D3388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3388" s="6">
        <f>IFERROR(__xludf.DUMMYFUNCTION("""COMPUTED_VALUE"""),6.0)</f>
        <v>6</v>
      </c>
      <c r="F3388" s="6">
        <f>IFERROR(__xludf.DUMMYFUNCTION("""COMPUTED_VALUE"""),6.0)</f>
        <v>6</v>
      </c>
      <c r="G3388" s="6">
        <f>IFERROR(__xludf.DUMMYFUNCTION("""COMPUTED_VALUE"""),0.0)</f>
        <v>0</v>
      </c>
      <c r="H3388" s="6" t="str">
        <f>IFERROR(__xludf.DUMMYFUNCTION("""COMPUTED_VALUE"""),"pcs")</f>
        <v>pcs</v>
      </c>
      <c r="I3388" s="6" t="str">
        <f>IFERROR(__xludf.DUMMYFUNCTION("""COMPUTED_VALUE"""),"MFH")</f>
        <v>MFH</v>
      </c>
      <c r="J3388" s="6" t="str">
        <f>IFERROR(__xludf.DUMMYFUNCTION("""COMPUTED_VALUE"""),"FD")</f>
        <v>FD</v>
      </c>
      <c r="K3388" s="6" t="str">
        <f>IFERROR(__xludf.DUMMYFUNCTION("""COMPUTED_VALUE"""),"SPR/26/03/029")</f>
        <v>SPR/26/03/029</v>
      </c>
      <c r="L3388" s="13">
        <f>IFERROR(__xludf.DUMMYFUNCTION("""COMPUTED_VALUE"""),46112.0)</f>
        <v>46112</v>
      </c>
    </row>
    <row r="3389">
      <c r="A3389" s="6" t="str">
        <f>IFERROR(__xludf.DUMMYFUNCTION("""COMPUTED_VALUE"""),"ROS")</f>
        <v>ROS</v>
      </c>
      <c r="B3389" s="6" t="str">
        <f>IFERROR(__xludf.DUMMYFUNCTION("""COMPUTED_VALUE"""),"ENG")</f>
        <v>ENG</v>
      </c>
      <c r="C3389" s="6" t="str">
        <f>IFERROR(__xludf.DUMMYFUNCTION("""COMPUTED_VALUE"""),"O-16981-00")</f>
        <v>O-16981-00</v>
      </c>
      <c r="D3389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3389" s="6">
        <f>IFERROR(__xludf.DUMMYFUNCTION("""COMPUTED_VALUE"""),10.0)</f>
        <v>10</v>
      </c>
      <c r="F3389" s="6">
        <f>IFERROR(__xludf.DUMMYFUNCTION("""COMPUTED_VALUE"""),10.0)</f>
        <v>10</v>
      </c>
      <c r="G3389" s="6">
        <f>IFERROR(__xludf.DUMMYFUNCTION("""COMPUTED_VALUE"""),0.0)</f>
        <v>0</v>
      </c>
      <c r="H3389" s="6" t="str">
        <f>IFERROR(__xludf.DUMMYFUNCTION("""COMPUTED_VALUE"""),"Pcs")</f>
        <v>Pcs</v>
      </c>
      <c r="I3389" s="6" t="str">
        <f>IFERROR(__xludf.DUMMYFUNCTION("""COMPUTED_VALUE"""),"MFH")</f>
        <v>MFH</v>
      </c>
      <c r="J3389" s="6" t="str">
        <f>IFERROR(__xludf.DUMMYFUNCTION("""COMPUTED_VALUE"""),"FD")</f>
        <v>FD</v>
      </c>
      <c r="K3389" s="6" t="str">
        <f>IFERROR(__xludf.DUMMYFUNCTION("""COMPUTED_VALUE"""),"SPR/26/03/029")</f>
        <v>SPR/26/03/029</v>
      </c>
      <c r="L3389" s="13">
        <f>IFERROR(__xludf.DUMMYFUNCTION("""COMPUTED_VALUE"""),46112.0)</f>
        <v>46112</v>
      </c>
    </row>
    <row r="3390">
      <c r="A3390" s="6" t="str">
        <f>IFERROR(__xludf.DUMMYFUNCTION("""COMPUTED_VALUE"""),"ROS")</f>
        <v>ROS</v>
      </c>
      <c r="B3390" s="6" t="str">
        <f>IFERROR(__xludf.DUMMYFUNCTION("""COMPUTED_VALUE"""),"ENG")</f>
        <v>ENG</v>
      </c>
      <c r="C3390" s="6" t="str">
        <f>IFERROR(__xludf.DUMMYFUNCTION("""COMPUTED_VALUE"""),"O-11181-00")</f>
        <v>O-11181-00</v>
      </c>
      <c r="D3390" s="6" t="str">
        <f>IFERROR(__xludf.DUMMYFUNCTION("""COMPUTED_VALUE"""),"Bearing 626-2Z")</f>
        <v>Bearing 626-2Z</v>
      </c>
      <c r="E3390" s="6">
        <f>IFERROR(__xludf.DUMMYFUNCTION("""COMPUTED_VALUE"""),2.0)</f>
        <v>2</v>
      </c>
      <c r="F3390" s="6">
        <f>IFERROR(__xludf.DUMMYFUNCTION("""COMPUTED_VALUE"""),2.0)</f>
        <v>2</v>
      </c>
      <c r="G3390" s="6">
        <f>IFERROR(__xludf.DUMMYFUNCTION("""COMPUTED_VALUE"""),0.0)</f>
        <v>0</v>
      </c>
      <c r="H3390" s="6" t="str">
        <f>IFERROR(__xludf.DUMMYFUNCTION("""COMPUTED_VALUE"""),"Pcs")</f>
        <v>Pcs</v>
      </c>
      <c r="I3390" s="6" t="str">
        <f>IFERROR(__xludf.DUMMYFUNCTION("""COMPUTED_VALUE"""),"MFH")</f>
        <v>MFH</v>
      </c>
      <c r="J3390" s="6" t="str">
        <f>IFERROR(__xludf.DUMMYFUNCTION("""COMPUTED_VALUE"""),"Capping")</f>
        <v>Capping</v>
      </c>
      <c r="K3390" s="6" t="str">
        <f>IFERROR(__xludf.DUMMYFUNCTION("""COMPUTED_VALUE"""),"SPR/26/03/030")</f>
        <v>SPR/26/03/030</v>
      </c>
      <c r="L3390" s="13">
        <f>IFERROR(__xludf.DUMMYFUNCTION("""COMPUTED_VALUE"""),46112.0)</f>
        <v>46112</v>
      </c>
    </row>
    <row r="3391">
      <c r="A3391" s="6" t="str">
        <f>IFERROR(__xludf.DUMMYFUNCTION("""COMPUTED_VALUE"""),"MRN")</f>
        <v>MRN</v>
      </c>
      <c r="B3391" s="6" t="str">
        <f>IFERROR(__xludf.DUMMYFUNCTION("""COMPUTED_VALUE"""),"ENG")</f>
        <v>ENG</v>
      </c>
      <c r="C3391" s="6" t="str">
        <f>IFERROR(__xludf.DUMMYFUNCTION("""COMPUTED_VALUE"""),"P-14457-00")</f>
        <v>P-14457-00</v>
      </c>
      <c r="D3391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3391" s="6">
        <f>IFERROR(__xludf.DUMMYFUNCTION("""COMPUTED_VALUE"""),2.0)</f>
        <v>2</v>
      </c>
      <c r="F3391" s="6">
        <f>IFERROR(__xludf.DUMMYFUNCTION("""COMPUTED_VALUE"""),2.0)</f>
        <v>2</v>
      </c>
      <c r="G3391" s="6">
        <f>IFERROR(__xludf.DUMMYFUNCTION("""COMPUTED_VALUE"""),0.0)</f>
        <v>0</v>
      </c>
      <c r="H3391" s="6" t="str">
        <f>IFERROR(__xludf.DUMMYFUNCTION("""COMPUTED_VALUE"""),"Pcs")</f>
        <v>Pcs</v>
      </c>
      <c r="I3391" s="6" t="str">
        <f>IFERROR(__xludf.DUMMYFUNCTION("""COMPUTED_VALUE"""),"MFH")</f>
        <v>MFH</v>
      </c>
      <c r="J3391" s="6" t="str">
        <f>IFERROR(__xludf.DUMMYFUNCTION("""COMPUTED_VALUE"""),"AHU")</f>
        <v>AHU</v>
      </c>
      <c r="K3391" s="6" t="str">
        <f>IFERROR(__xludf.DUMMYFUNCTION("""COMPUTED_VALUE"""),"SPR/26/03/031")</f>
        <v>SPR/26/03/031</v>
      </c>
      <c r="L3391" s="13">
        <f>IFERROR(__xludf.DUMMYFUNCTION("""COMPUTED_VALUE"""),46112.0)</f>
        <v>46112</v>
      </c>
    </row>
    <row r="3392">
      <c r="A3392" s="6" t="str">
        <f>IFERROR(__xludf.DUMMYFUNCTION("""COMPUTED_VALUE"""),"MRN")</f>
        <v>MRN</v>
      </c>
      <c r="B3392" s="6" t="str">
        <f>IFERROR(__xludf.DUMMYFUNCTION("""COMPUTED_VALUE"""),"ENG")</f>
        <v>ENG</v>
      </c>
      <c r="C3392" s="6" t="str">
        <f>IFERROR(__xludf.DUMMYFUNCTION("""COMPUTED_VALUE"""),"P-14458-00")</f>
        <v>P-14458-00</v>
      </c>
      <c r="D3392" s="6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E3392" s="6">
        <f>IFERROR(__xludf.DUMMYFUNCTION("""COMPUTED_VALUE"""),1.0)</f>
        <v>1</v>
      </c>
      <c r="F3392" s="6">
        <f>IFERROR(__xludf.DUMMYFUNCTION("""COMPUTED_VALUE"""),1.0)</f>
        <v>1</v>
      </c>
      <c r="G3392" s="6">
        <f>IFERROR(__xludf.DUMMYFUNCTION("""COMPUTED_VALUE"""),0.0)</f>
        <v>0</v>
      </c>
      <c r="H3392" s="6" t="str">
        <f>IFERROR(__xludf.DUMMYFUNCTION("""COMPUTED_VALUE"""),"Pcs")</f>
        <v>Pcs</v>
      </c>
      <c r="I3392" s="6" t="str">
        <f>IFERROR(__xludf.DUMMYFUNCTION("""COMPUTED_VALUE"""),"MFH")</f>
        <v>MFH</v>
      </c>
      <c r="J3392" s="6" t="str">
        <f>IFERROR(__xludf.DUMMYFUNCTION("""COMPUTED_VALUE"""),"AHU")</f>
        <v>AHU</v>
      </c>
      <c r="K3392" s="6" t="str">
        <f>IFERROR(__xludf.DUMMYFUNCTION("""COMPUTED_VALUE"""),"SPR/26/03/031")</f>
        <v>SPR/26/03/031</v>
      </c>
      <c r="L3392" s="13">
        <f>IFERROR(__xludf.DUMMYFUNCTION("""COMPUTED_VALUE"""),46112.0)</f>
        <v>46112</v>
      </c>
    </row>
    <row r="3393">
      <c r="A3393" s="6" t="str">
        <f>IFERROR(__xludf.DUMMYFUNCTION("""COMPUTED_VALUE"""),"MRN")</f>
        <v>MRN</v>
      </c>
      <c r="B3393" s="6" t="str">
        <f>IFERROR(__xludf.DUMMYFUNCTION("""COMPUTED_VALUE"""),"ENG")</f>
        <v>ENG</v>
      </c>
      <c r="C3393" s="6" t="str">
        <f>IFERROR(__xludf.DUMMYFUNCTION("""COMPUTED_VALUE"""),"O-53041-00")</f>
        <v>O-53041-00</v>
      </c>
      <c r="D3393" s="6" t="str">
        <f>IFERROR(__xludf.DUMMYFUNCTION("""COMPUTED_VALUE"""),"Bola Lampu 24-30v 5-10W 16x28mm")</f>
        <v>Bola Lampu 24-30v 5-10W 16x28mm</v>
      </c>
      <c r="E3393" s="6">
        <f>IFERROR(__xludf.DUMMYFUNCTION("""COMPUTED_VALUE"""),2.0)</f>
        <v>2</v>
      </c>
      <c r="F3393" s="6">
        <f>IFERROR(__xludf.DUMMYFUNCTION("""COMPUTED_VALUE"""),2.0)</f>
        <v>2</v>
      </c>
      <c r="G3393" s="6">
        <f>IFERROR(__xludf.DUMMYFUNCTION("""COMPUTED_VALUE"""),0.0)</f>
        <v>0</v>
      </c>
      <c r="H3393" s="6" t="str">
        <f>IFERROR(__xludf.DUMMYFUNCTION("""COMPUTED_VALUE"""),"Pcs")</f>
        <v>Pcs</v>
      </c>
      <c r="I3393" s="6" t="str">
        <f>IFERROR(__xludf.DUMMYFUNCTION("""COMPUTED_VALUE"""),"MFH")</f>
        <v>MFH</v>
      </c>
      <c r="J3393" s="6" t="str">
        <f>IFERROR(__xludf.DUMMYFUNCTION("""COMPUTED_VALUE"""),"Mixing ")</f>
        <v>Mixing </v>
      </c>
      <c r="K3393" s="6" t="str">
        <f>IFERROR(__xludf.DUMMYFUNCTION("""COMPUTED_VALUE"""),"SPR/26/03/031")</f>
        <v>SPR/26/03/031</v>
      </c>
      <c r="L3393" s="13">
        <f>IFERROR(__xludf.DUMMYFUNCTION("""COMPUTED_VALUE"""),46112.0)</f>
        <v>46112</v>
      </c>
    </row>
    <row r="3394">
      <c r="A3394" s="6" t="str">
        <f>IFERROR(__xludf.DUMMYFUNCTION("""COMPUTED_VALUE"""),"SFH")</f>
        <v>SFH</v>
      </c>
      <c r="B3394" s="6" t="str">
        <f>IFERROR(__xludf.DUMMYFUNCTION("""COMPUTED_VALUE"""),"ENG")</f>
        <v>ENG</v>
      </c>
      <c r="C3394" s="6" t="str">
        <f>IFERROR(__xludf.DUMMYFUNCTION("""COMPUTED_VALUE"""),"T-80109-00")</f>
        <v>T-80109-00</v>
      </c>
      <c r="D3394" s="6" t="str">
        <f>IFERROR(__xludf.DUMMYFUNCTION("""COMPUTED_VALUE"""),"Cellotape / Lakban Kertas 1 inch warna Putih")</f>
        <v>Cellotape / Lakban Kertas 1 inch warna Putih</v>
      </c>
      <c r="E3394" s="6">
        <f>IFERROR(__xludf.DUMMYFUNCTION("""COMPUTED_VALUE"""),5.0)</f>
        <v>5</v>
      </c>
      <c r="F3394" s="6">
        <f>IFERROR(__xludf.DUMMYFUNCTION("""COMPUTED_VALUE"""),5.0)</f>
        <v>5</v>
      </c>
      <c r="G3394" s="6">
        <f>IFERROR(__xludf.DUMMYFUNCTION("""COMPUTED_VALUE"""),0.0)</f>
        <v>0</v>
      </c>
      <c r="H3394" s="6" t="str">
        <f>IFERROR(__xludf.DUMMYFUNCTION("""COMPUTED_VALUE"""),"Pcs")</f>
        <v>Pcs</v>
      </c>
      <c r="I3394" s="6" t="str">
        <f>IFERROR(__xludf.DUMMYFUNCTION("""COMPUTED_VALUE"""),"MFH")</f>
        <v>MFH</v>
      </c>
      <c r="J3394" s="6" t="str">
        <f>IFERROR(__xludf.DUMMYFUNCTION("""COMPUTED_VALUE"""),"Building")</f>
        <v>Building</v>
      </c>
      <c r="K3394" s="6" t="str">
        <f>IFERROR(__xludf.DUMMYFUNCTION("""COMPUTED_VALUE"""),"SPR/26/03/032")</f>
        <v>SPR/26/03/032</v>
      </c>
      <c r="L3394" s="13">
        <f>IFERROR(__xludf.DUMMYFUNCTION("""COMPUTED_VALUE"""),46112.0)</f>
        <v>46112</v>
      </c>
    </row>
    <row r="3395">
      <c r="A3395" s="6" t="str">
        <f>IFERROR(__xludf.DUMMYFUNCTION("""COMPUTED_VALUE"""),"SFH")</f>
        <v>SFH</v>
      </c>
      <c r="B3395" s="6" t="str">
        <f>IFERROR(__xludf.DUMMYFUNCTION("""COMPUTED_VALUE"""),"ENG")</f>
        <v>ENG</v>
      </c>
      <c r="C3395" s="6" t="str">
        <f>IFERROR(__xludf.DUMMYFUNCTION("""COMPUTED_VALUE"""),"Q-60502-00")</f>
        <v>Q-60502-00</v>
      </c>
      <c r="D3395" s="6" t="str">
        <f>IFERROR(__xludf.DUMMYFUNCTION("""COMPUTED_VALUE"""),"Silicone Sealant, Silglaze, Type N10 White, pack size per pcs")</f>
        <v>Silicone Sealant, Silglaze, Type N10 White, pack size per pcs</v>
      </c>
      <c r="E3395" s="6">
        <f>IFERROR(__xludf.DUMMYFUNCTION("""COMPUTED_VALUE"""),1.0)</f>
        <v>1</v>
      </c>
      <c r="F3395" s="6">
        <f>IFERROR(__xludf.DUMMYFUNCTION("""COMPUTED_VALUE"""),1.0)</f>
        <v>1</v>
      </c>
      <c r="G3395" s="6">
        <f>IFERROR(__xludf.DUMMYFUNCTION("""COMPUTED_VALUE"""),0.0)</f>
        <v>0</v>
      </c>
      <c r="H3395" s="6" t="str">
        <f>IFERROR(__xludf.DUMMYFUNCTION("""COMPUTED_VALUE"""),"Pcs")</f>
        <v>Pcs</v>
      </c>
      <c r="I3395" s="6" t="str">
        <f>IFERROR(__xludf.DUMMYFUNCTION("""COMPUTED_VALUE"""),"MFH")</f>
        <v>MFH</v>
      </c>
      <c r="J3395" s="6" t="str">
        <f>IFERROR(__xludf.DUMMYFUNCTION("""COMPUTED_VALUE"""),"Building")</f>
        <v>Building</v>
      </c>
      <c r="K3395" s="6" t="str">
        <f>IFERROR(__xludf.DUMMYFUNCTION("""COMPUTED_VALUE"""),"SPR/26/03/032")</f>
        <v>SPR/26/03/032</v>
      </c>
      <c r="L3395" s="13">
        <f>IFERROR(__xludf.DUMMYFUNCTION("""COMPUTED_VALUE"""),46112.0)</f>
        <v>46112</v>
      </c>
    </row>
    <row r="3396">
      <c r="A3396" s="6" t="str">
        <f>IFERROR(__xludf.DUMMYFUNCTION("""COMPUTED_VALUE"""),"SFH")</f>
        <v>SFH</v>
      </c>
      <c r="B3396" s="6" t="str">
        <f>IFERROR(__xludf.DUMMYFUNCTION("""COMPUTED_VALUE"""),"ENG")</f>
        <v>ENG</v>
      </c>
      <c r="C3396" s="6" t="str">
        <f>IFERROR(__xludf.DUMMYFUNCTION("""COMPUTED_VALUE"""),"Q-10128-00")</f>
        <v>Q-10128-00</v>
      </c>
      <c r="D3396" s="6" t="str">
        <f>IFERROR(__xludf.DUMMYFUNCTION("""COMPUTED_VALUE"""),"Thinner Super End/Impala")</f>
        <v>Thinner Super End/Impala</v>
      </c>
      <c r="E3396" s="6">
        <f>IFERROR(__xludf.DUMMYFUNCTION("""COMPUTED_VALUE"""),2.0)</f>
        <v>2</v>
      </c>
      <c r="F3396" s="6">
        <f>IFERROR(__xludf.DUMMYFUNCTION("""COMPUTED_VALUE"""),2.0)</f>
        <v>2</v>
      </c>
      <c r="G3396" s="6">
        <f>IFERROR(__xludf.DUMMYFUNCTION("""COMPUTED_VALUE"""),0.0)</f>
        <v>0</v>
      </c>
      <c r="H3396" s="6" t="str">
        <f>IFERROR(__xludf.DUMMYFUNCTION("""COMPUTED_VALUE"""),"Pcs")</f>
        <v>Pcs</v>
      </c>
      <c r="I3396" s="6" t="str">
        <f>IFERROR(__xludf.DUMMYFUNCTION("""COMPUTED_VALUE"""),"MFH")</f>
        <v>MFH</v>
      </c>
      <c r="J3396" s="6" t="str">
        <f>IFERROR(__xludf.DUMMYFUNCTION("""COMPUTED_VALUE"""),"Building")</f>
        <v>Building</v>
      </c>
      <c r="K3396" s="6" t="str">
        <f>IFERROR(__xludf.DUMMYFUNCTION("""COMPUTED_VALUE"""),"SPR/26/03/032")</f>
        <v>SPR/26/03/032</v>
      </c>
      <c r="L3396" s="13">
        <f>IFERROR(__xludf.DUMMYFUNCTION("""COMPUTED_VALUE"""),46112.0)</f>
        <v>46112</v>
      </c>
    </row>
    <row r="3397">
      <c r="A3397" s="6" t="str">
        <f>IFERROR(__xludf.DUMMYFUNCTION("""COMPUTED_VALUE"""),"MRN")</f>
        <v>MRN</v>
      </c>
      <c r="B3397" s="6" t="str">
        <f>IFERROR(__xludf.DUMMYFUNCTION("""COMPUTED_VALUE"""),"ENG")</f>
        <v>ENG</v>
      </c>
      <c r="C3397" s="6" t="str">
        <f>IFERROR(__xludf.DUMMYFUNCTION("""COMPUTED_VALUE"""),"P-50288-00")</f>
        <v>P-50288-00</v>
      </c>
      <c r="D3397" s="6" t="str">
        <f>IFERROR(__xludf.DUMMYFUNCTION("""COMPUTED_VALUE"""),"Bola Lampu - Halogen 20 W Osram")</f>
        <v>Bola Lampu - Halogen 20 W Osram</v>
      </c>
      <c r="E3397" s="6">
        <f>IFERROR(__xludf.DUMMYFUNCTION("""COMPUTED_VALUE"""),1.0)</f>
        <v>1</v>
      </c>
      <c r="F3397" s="6">
        <f>IFERROR(__xludf.DUMMYFUNCTION("""COMPUTED_VALUE"""),1.0)</f>
        <v>1</v>
      </c>
      <c r="G3397" s="6">
        <f>IFERROR(__xludf.DUMMYFUNCTION("""COMPUTED_VALUE"""),0.0)</f>
        <v>0</v>
      </c>
      <c r="H3397" s="6" t="str">
        <f>IFERROR(__xludf.DUMMYFUNCTION("""COMPUTED_VALUE"""),"Pcs")</f>
        <v>Pcs</v>
      </c>
      <c r="I3397" s="6" t="str">
        <f>IFERROR(__xludf.DUMMYFUNCTION("""COMPUTED_VALUE"""),"MFH")</f>
        <v>MFH</v>
      </c>
      <c r="J3397" s="6" t="str">
        <f>IFERROR(__xludf.DUMMYFUNCTION("""COMPUTED_VALUE"""),"Mixing ")</f>
        <v>Mixing </v>
      </c>
      <c r="K3397" s="6" t="str">
        <f>IFERROR(__xludf.DUMMYFUNCTION("""COMPUTED_VALUE"""),"SPR/26/03/033")</f>
        <v>SPR/26/03/033</v>
      </c>
      <c r="L3397" s="13">
        <f>IFERROR(__xludf.DUMMYFUNCTION("""COMPUTED_VALUE"""),46112.0)</f>
        <v>46112</v>
      </c>
    </row>
    <row r="3398">
      <c r="A3398" s="6" t="str">
        <f>IFERROR(__xludf.DUMMYFUNCTION("""COMPUTED_VALUE"""),"SFH")</f>
        <v>SFH</v>
      </c>
      <c r="B3398" s="6" t="str">
        <f>IFERROR(__xludf.DUMMYFUNCTION("""COMPUTED_VALUE"""),"ENG")</f>
        <v>ENG</v>
      </c>
      <c r="C3398" s="6" t="str">
        <f>IFERROR(__xludf.DUMMYFUNCTION("""COMPUTED_VALUE"""),"O-54015-00")</f>
        <v>O-54015-00</v>
      </c>
      <c r="D3398" s="6" t="str">
        <f>IFERROR(__xludf.DUMMYFUNCTION("""COMPUTED_VALUE"""),"STOP KONTAK LUBANG 4, BROCO")</f>
        <v>STOP KONTAK LUBANG 4, BROCO</v>
      </c>
      <c r="E3398" s="6">
        <f>IFERROR(__xludf.DUMMYFUNCTION("""COMPUTED_VALUE"""),1.0)</f>
        <v>1</v>
      </c>
      <c r="F3398" s="6">
        <f>IFERROR(__xludf.DUMMYFUNCTION("""COMPUTED_VALUE"""),1.0)</f>
        <v>1</v>
      </c>
      <c r="G3398" s="6">
        <f>IFERROR(__xludf.DUMMYFUNCTION("""COMPUTED_VALUE"""),0.0)</f>
        <v>0</v>
      </c>
      <c r="H3398" s="6" t="str">
        <f>IFERROR(__xludf.DUMMYFUNCTION("""COMPUTED_VALUE"""),"Pcs")</f>
        <v>Pcs</v>
      </c>
      <c r="I3398" s="6" t="str">
        <f>IFERROR(__xludf.DUMMYFUNCTION("""COMPUTED_VALUE"""),"MFH")</f>
        <v>MFH</v>
      </c>
      <c r="J3398" s="6" t="str">
        <f>IFERROR(__xludf.DUMMYFUNCTION("""COMPUTED_VALUE"""),"Building")</f>
        <v>Building</v>
      </c>
      <c r="K3398" s="6" t="str">
        <f>IFERROR(__xludf.DUMMYFUNCTION("""COMPUTED_VALUE"""),"SPR/26/03/034")</f>
        <v>SPR/26/03/034</v>
      </c>
      <c r="L3398" s="13">
        <f>IFERROR(__xludf.DUMMYFUNCTION("""COMPUTED_VALUE"""),46112.0)</f>
        <v>46112</v>
      </c>
    </row>
    <row r="3399">
      <c r="A3399" s="6" t="str">
        <f>IFERROR(__xludf.DUMMYFUNCTION("""COMPUTED_VALUE"""),"SFH")</f>
        <v>SFH</v>
      </c>
      <c r="B3399" s="6" t="str">
        <f>IFERROR(__xludf.DUMMYFUNCTION("""COMPUTED_VALUE"""),"ENG")</f>
        <v>ENG</v>
      </c>
      <c r="C3399" s="6" t="str">
        <f>IFERROR(__xludf.DUMMYFUNCTION("""COMPUTED_VALUE"""),"O-54014-00")</f>
        <v>O-54014-00</v>
      </c>
      <c r="D3399" s="6" t="str">
        <f>IFERROR(__xludf.DUMMYFUNCTION("""COMPUTED_VALUE"""),"STEKER 1 PHASE, BROCO")</f>
        <v>STEKER 1 PHASE, BROCO</v>
      </c>
      <c r="E3399" s="6">
        <f>IFERROR(__xludf.DUMMYFUNCTION("""COMPUTED_VALUE"""),1.0)</f>
        <v>1</v>
      </c>
      <c r="F3399" s="6">
        <f>IFERROR(__xludf.DUMMYFUNCTION("""COMPUTED_VALUE"""),1.0)</f>
        <v>1</v>
      </c>
      <c r="G3399" s="6">
        <f>IFERROR(__xludf.DUMMYFUNCTION("""COMPUTED_VALUE"""),0.0)</f>
        <v>0</v>
      </c>
      <c r="H3399" s="6" t="str">
        <f>IFERROR(__xludf.DUMMYFUNCTION("""COMPUTED_VALUE"""),"Pcs")</f>
        <v>Pcs</v>
      </c>
      <c r="I3399" s="6" t="str">
        <f>IFERROR(__xludf.DUMMYFUNCTION("""COMPUTED_VALUE"""),"MFH")</f>
        <v>MFH</v>
      </c>
      <c r="J3399" s="6" t="str">
        <f>IFERROR(__xludf.DUMMYFUNCTION("""COMPUTED_VALUE"""),"Building")</f>
        <v>Building</v>
      </c>
      <c r="K3399" s="6" t="str">
        <f>IFERROR(__xludf.DUMMYFUNCTION("""COMPUTED_VALUE"""),"SPR/26/03/034")</f>
        <v>SPR/26/03/034</v>
      </c>
      <c r="L3399" s="13">
        <f>IFERROR(__xludf.DUMMYFUNCTION("""COMPUTED_VALUE"""),46112.0)</f>
        <v>46112</v>
      </c>
    </row>
    <row r="3400">
      <c r="A3400" s="6" t="str">
        <f>IFERROR(__xludf.DUMMYFUNCTION("""COMPUTED_VALUE"""),"SFH")</f>
        <v>SFH</v>
      </c>
      <c r="B3400" s="6" t="str">
        <f>IFERROR(__xludf.DUMMYFUNCTION("""COMPUTED_VALUE"""),"ENG")</f>
        <v>ENG</v>
      </c>
      <c r="C3400" s="6" t="str">
        <f>IFERROR(__xludf.DUMMYFUNCTION("""COMPUTED_VALUE"""),"S-40645-00")</f>
        <v>S-40645-00</v>
      </c>
      <c r="D3400" s="6" t="str">
        <f>IFERROR(__xludf.DUMMYFUNCTION("""COMPUTED_VALUE"""),"Cable Ties, 200 x 4.8 mm; SIGMA; CS 200L; Putih;100 pcs/pack")</f>
        <v>Cable Ties, 200 x 4.8 mm; SIGMA; CS 200L; Putih;100 pcs/pack</v>
      </c>
      <c r="E3400" s="6">
        <f>IFERROR(__xludf.DUMMYFUNCTION("""COMPUTED_VALUE"""),1.0)</f>
        <v>1</v>
      </c>
      <c r="F3400" s="6">
        <f>IFERROR(__xludf.DUMMYFUNCTION("""COMPUTED_VALUE"""),1.0)</f>
        <v>1</v>
      </c>
      <c r="G3400" s="6">
        <f>IFERROR(__xludf.DUMMYFUNCTION("""COMPUTED_VALUE"""),0.0)</f>
        <v>0</v>
      </c>
      <c r="H3400" s="6" t="str">
        <f>IFERROR(__xludf.DUMMYFUNCTION("""COMPUTED_VALUE"""),"Pcs")</f>
        <v>Pcs</v>
      </c>
      <c r="I3400" s="6" t="str">
        <f>IFERROR(__xludf.DUMMYFUNCTION("""COMPUTED_VALUE"""),"MFH")</f>
        <v>MFH</v>
      </c>
      <c r="J3400" s="6" t="str">
        <f>IFERROR(__xludf.DUMMYFUNCTION("""COMPUTED_VALUE"""),"Building")</f>
        <v>Building</v>
      </c>
      <c r="K3400" s="6" t="str">
        <f>IFERROR(__xludf.DUMMYFUNCTION("""COMPUTED_VALUE"""),"SPR/26/03/034")</f>
        <v>SPR/26/03/034</v>
      </c>
      <c r="L3400" s="13">
        <f>IFERROR(__xludf.DUMMYFUNCTION("""COMPUTED_VALUE"""),46112.0)</f>
        <v>46112</v>
      </c>
    </row>
    <row r="3401">
      <c r="A3401" s="6" t="str">
        <f>IFERROR(__xludf.DUMMYFUNCTION("""COMPUTED_VALUE"""),"KFF")</f>
        <v>KFF</v>
      </c>
      <c r="B3401" s="6" t="str">
        <f>IFERROR(__xludf.DUMMYFUNCTION("""COMPUTED_VALUE"""),"ENG")</f>
        <v>ENG</v>
      </c>
      <c r="C3401" s="6" t="str">
        <f>IFERROR(__xludf.DUMMYFUNCTION("""COMPUTED_VALUE"""),"Q-60025-00")</f>
        <v>Q-60025-00</v>
      </c>
      <c r="D3401" s="6" t="str">
        <f>IFERROR(__xludf.DUMMYFUNCTION("""COMPUTED_VALUE"""),"Kuas Cat Uk. 1 inch;Eterna;Tipe 611;pack size per pcs")</f>
        <v>Kuas Cat Uk. 1 inch;Eterna;Tipe 611;pack size per pcs</v>
      </c>
      <c r="E3401" s="6">
        <f>IFERROR(__xludf.DUMMYFUNCTION("""COMPUTED_VALUE"""),1.0)</f>
        <v>1</v>
      </c>
      <c r="F3401" s="6">
        <f>IFERROR(__xludf.DUMMYFUNCTION("""COMPUTED_VALUE"""),1.0)</f>
        <v>1</v>
      </c>
      <c r="G3401" s="6">
        <f>IFERROR(__xludf.DUMMYFUNCTION("""COMPUTED_VALUE"""),0.0)</f>
        <v>0</v>
      </c>
      <c r="H3401" s="6" t="str">
        <f>IFERROR(__xludf.DUMMYFUNCTION("""COMPUTED_VALUE"""),"Pcs")</f>
        <v>Pcs</v>
      </c>
      <c r="I3401" s="6" t="str">
        <f>IFERROR(__xludf.DUMMYFUNCTION("""COMPUTED_VALUE"""),"MFH")</f>
        <v>MFH</v>
      </c>
      <c r="J3401" s="6" t="str">
        <f>IFERROR(__xludf.DUMMYFUNCTION("""COMPUTED_VALUE"""),"-")</f>
        <v>-</v>
      </c>
      <c r="K3401" s="6" t="str">
        <f>IFERROR(__xludf.DUMMYFUNCTION("""COMPUTED_VALUE"""),"SPR/26/03/035")</f>
        <v>SPR/26/03/035</v>
      </c>
      <c r="L3401" s="13">
        <f>IFERROR(__xludf.DUMMYFUNCTION("""COMPUTED_VALUE"""),46112.0)</f>
        <v>46112</v>
      </c>
    </row>
    <row r="3402">
      <c r="A3402" s="6" t="str">
        <f>IFERROR(__xludf.DUMMYFUNCTION("""COMPUTED_VALUE"""),"NDS")</f>
        <v>NDS</v>
      </c>
      <c r="B3402" s="6" t="str">
        <f>IFERROR(__xludf.DUMMYFUNCTION("""COMPUTED_VALUE"""),"ENG")</f>
        <v>ENG</v>
      </c>
      <c r="C3402" s="6" t="str">
        <f>IFERROR(__xludf.DUMMYFUNCTION("""COMPUTED_VALUE"""),"Q-10434-00")</f>
        <v>Q-10434-00</v>
      </c>
      <c r="D3402" s="6" t="str">
        <f>IFERROR(__xludf.DUMMYFUNCTION("""COMPUTED_VALUE"""),"Lampu Tornado Philips 27 W Cool Daylight; PHILIPS; 27WATTS;")</f>
        <v>Lampu Tornado Philips 27 W Cool Daylight; PHILIPS; 27WATTS;</v>
      </c>
      <c r="E3402" s="6">
        <f>IFERROR(__xludf.DUMMYFUNCTION("""COMPUTED_VALUE"""),2.0)</f>
        <v>2</v>
      </c>
      <c r="F3402" s="6">
        <f>IFERROR(__xludf.DUMMYFUNCTION("""COMPUTED_VALUE"""),2.0)</f>
        <v>2</v>
      </c>
      <c r="G3402" s="6">
        <f>IFERROR(__xludf.DUMMYFUNCTION("""COMPUTED_VALUE"""),0.0)</f>
        <v>0</v>
      </c>
      <c r="H3402" s="6" t="str">
        <f>IFERROR(__xludf.DUMMYFUNCTION("""COMPUTED_VALUE"""),"Pcs")</f>
        <v>Pcs</v>
      </c>
      <c r="I3402" s="6" t="str">
        <f>IFERROR(__xludf.DUMMYFUNCTION("""COMPUTED_VALUE"""),"MFH")</f>
        <v>MFH</v>
      </c>
      <c r="J3402" s="6" t="str">
        <f>IFERROR(__xludf.DUMMYFUNCTION("""COMPUTED_VALUE"""),"Mixing ")</f>
        <v>Mixing </v>
      </c>
      <c r="K3402" s="6" t="str">
        <f>IFERROR(__xludf.DUMMYFUNCTION("""COMPUTED_VALUE"""),"SPR/26/03/036")</f>
        <v>SPR/26/03/036</v>
      </c>
      <c r="L3402" s="13">
        <f>IFERROR(__xludf.DUMMYFUNCTION("""COMPUTED_VALUE"""),46112.0)</f>
        <v>46112</v>
      </c>
    </row>
    <row r="3403">
      <c r="A3403" s="6" t="str">
        <f>IFERROR(__xludf.DUMMYFUNCTION("""COMPUTED_VALUE"""),"ROS")</f>
        <v>ROS</v>
      </c>
      <c r="B3403" s="6" t="str">
        <f>IFERROR(__xludf.DUMMYFUNCTION("""COMPUTED_VALUE"""),"ENG")</f>
        <v>ENG</v>
      </c>
      <c r="C3403" s="6" t="str">
        <f>IFERROR(__xludf.DUMMYFUNCTION("""COMPUTED_VALUE"""),"O-16032-00")</f>
        <v>O-16032-00</v>
      </c>
      <c r="D3403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403" s="6">
        <f>IFERROR(__xludf.DUMMYFUNCTION("""COMPUTED_VALUE"""),1.0)</f>
        <v>1</v>
      </c>
      <c r="F3403" s="6">
        <f>IFERROR(__xludf.DUMMYFUNCTION("""COMPUTED_VALUE"""),1.0)</f>
        <v>1</v>
      </c>
      <c r="G3403" s="6">
        <f>IFERROR(__xludf.DUMMYFUNCTION("""COMPUTED_VALUE"""),0.0)</f>
        <v>0</v>
      </c>
      <c r="H3403" s="6" t="str">
        <f>IFERROR(__xludf.DUMMYFUNCTION("""COMPUTED_VALUE"""),"Pcs")</f>
        <v>Pcs</v>
      </c>
      <c r="I3403" s="6" t="str">
        <f>IFERROR(__xludf.DUMMYFUNCTION("""COMPUTED_VALUE"""),"MFH")</f>
        <v>MFH</v>
      </c>
      <c r="J3403" s="6" t="str">
        <f>IFERROR(__xludf.DUMMYFUNCTION("""COMPUTED_VALUE"""),"cRABS")</f>
        <v>cRABS</v>
      </c>
      <c r="K3403" s="6" t="str">
        <f>IFERROR(__xludf.DUMMYFUNCTION("""COMPUTED_VALUE"""),"SPR/26/03/037")</f>
        <v>SPR/26/03/037</v>
      </c>
      <c r="L3403" s="13">
        <f>IFERROR(__xludf.DUMMYFUNCTION("""COMPUTED_VALUE"""),46112.0)</f>
        <v>46112</v>
      </c>
    </row>
    <row r="3404">
      <c r="A3404" s="6" t="str">
        <f>IFERROR(__xludf.DUMMYFUNCTION("""COMPUTED_VALUE"""),"ROS")</f>
        <v>ROS</v>
      </c>
      <c r="B3404" s="6" t="str">
        <f>IFERROR(__xludf.DUMMYFUNCTION("""COMPUTED_VALUE"""),"ENG")</f>
        <v>ENG</v>
      </c>
      <c r="C3404" s="6" t="str">
        <f>IFERROR(__xludf.DUMMYFUNCTION("""COMPUTED_VALUE"""),"T-80109-00")</f>
        <v>T-80109-00</v>
      </c>
      <c r="D3404" s="6" t="str">
        <f>IFERROR(__xludf.DUMMYFUNCTION("""COMPUTED_VALUE"""),"Cellotape / Lakban Kertas 1 inch warna Putih")</f>
        <v>Cellotape / Lakban Kertas 1 inch warna Putih</v>
      </c>
      <c r="E3404" s="6">
        <f>IFERROR(__xludf.DUMMYFUNCTION("""COMPUTED_VALUE"""),1.0)</f>
        <v>1</v>
      </c>
      <c r="F3404" s="6">
        <f>IFERROR(__xludf.DUMMYFUNCTION("""COMPUTED_VALUE"""),1.0)</f>
        <v>1</v>
      </c>
      <c r="G3404" s="6">
        <f>IFERROR(__xludf.DUMMYFUNCTION("""COMPUTED_VALUE"""),0.0)</f>
        <v>0</v>
      </c>
      <c r="H3404" s="6" t="str">
        <f>IFERROR(__xludf.DUMMYFUNCTION("""COMPUTED_VALUE"""),"Pcs")</f>
        <v>Pcs</v>
      </c>
      <c r="I3404" s="6" t="str">
        <f>IFERROR(__xludf.DUMMYFUNCTION("""COMPUTED_VALUE"""),"MFH")</f>
        <v>MFH</v>
      </c>
      <c r="J3404" s="6" t="str">
        <f>IFERROR(__xludf.DUMMYFUNCTION("""COMPUTED_VALUE"""),"Aerosol")</f>
        <v>Aerosol</v>
      </c>
      <c r="K3404" s="6" t="str">
        <f>IFERROR(__xludf.DUMMYFUNCTION("""COMPUTED_VALUE"""),"SPR/26/03/038")</f>
        <v>SPR/26/03/038</v>
      </c>
      <c r="L3404" s="13">
        <f>IFERROR(__xludf.DUMMYFUNCTION("""COMPUTED_VALUE"""),46112.0)</f>
        <v>46112</v>
      </c>
    </row>
    <row r="3405">
      <c r="A3405" s="6" t="str">
        <f>IFERROR(__xludf.DUMMYFUNCTION("""COMPUTED_VALUE"""),"NDS")</f>
        <v>NDS</v>
      </c>
      <c r="B3405" s="6" t="str">
        <f>IFERROR(__xludf.DUMMYFUNCTION("""COMPUTED_VALUE"""),"ENG")</f>
        <v>ENG</v>
      </c>
      <c r="C3405" s="6" t="str">
        <f>IFERROR(__xludf.DUMMYFUNCTION("""COMPUTED_VALUE"""),"O-20751-00")</f>
        <v>O-20751-00</v>
      </c>
      <c r="D3405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3405" s="6">
        <f>IFERROR(__xludf.DUMMYFUNCTION("""COMPUTED_VALUE"""),1.0)</f>
        <v>1</v>
      </c>
      <c r="F3405" s="6">
        <f>IFERROR(__xludf.DUMMYFUNCTION("""COMPUTED_VALUE"""),1.0)</f>
        <v>1</v>
      </c>
      <c r="G3405" s="6">
        <f>IFERROR(__xludf.DUMMYFUNCTION("""COMPUTED_VALUE"""),0.0)</f>
        <v>0</v>
      </c>
      <c r="H3405" s="6" t="str">
        <f>IFERROR(__xludf.DUMMYFUNCTION("""COMPUTED_VALUE"""),"Pcs")</f>
        <v>Pcs</v>
      </c>
      <c r="I3405" s="6" t="str">
        <f>IFERROR(__xludf.DUMMYFUNCTION("""COMPUTED_VALUE"""),"MFH")</f>
        <v>MFH</v>
      </c>
      <c r="J3405" s="6" t="str">
        <f>IFERROR(__xludf.DUMMYFUNCTION("""COMPUTED_VALUE"""),"Cartonning")</f>
        <v>Cartonning</v>
      </c>
      <c r="K3405" s="6" t="str">
        <f>IFERROR(__xludf.DUMMYFUNCTION("""COMPUTED_VALUE"""),"SPR/26/03/039")</f>
        <v>SPR/26/03/039</v>
      </c>
      <c r="L3405" s="13">
        <f>IFERROR(__xludf.DUMMYFUNCTION("""COMPUTED_VALUE"""),46112.0)</f>
        <v>46112</v>
      </c>
    </row>
    <row r="3406">
      <c r="A3406" s="6" t="str">
        <f>IFERROR(__xludf.DUMMYFUNCTION("""COMPUTED_VALUE"""),"KFF")</f>
        <v>KFF</v>
      </c>
      <c r="B3406" s="6" t="str">
        <f>IFERROR(__xludf.DUMMYFUNCTION("""COMPUTED_VALUE"""),"ENG")</f>
        <v>ENG</v>
      </c>
      <c r="C3406" s="6" t="str">
        <f>IFERROR(__xludf.DUMMYFUNCTION("""COMPUTED_VALUE"""),"O-19372-00")</f>
        <v>O-19372-00</v>
      </c>
      <c r="D3406" s="6" t="str">
        <f>IFERROR(__xludf.DUMMYFUNCTION("""COMPUTED_VALUE"""),"Washing RAR4 - Needle PW, OD.15mmx123mm, Material SS 319; ; ;")</f>
        <v>Washing RAR4 - Needle PW, OD.15mmx123mm, Material SS 319; ; ;</v>
      </c>
      <c r="E3406" s="6">
        <f>IFERROR(__xludf.DUMMYFUNCTION("""COMPUTED_VALUE"""),1.0)</f>
        <v>1</v>
      </c>
      <c r="F3406" s="6">
        <f>IFERROR(__xludf.DUMMYFUNCTION("""COMPUTED_VALUE"""),1.0)</f>
        <v>1</v>
      </c>
      <c r="G3406" s="6">
        <f>IFERROR(__xludf.DUMMYFUNCTION("""COMPUTED_VALUE"""),0.0)</f>
        <v>0</v>
      </c>
      <c r="H3406" s="6" t="str">
        <f>IFERROR(__xludf.DUMMYFUNCTION("""COMPUTED_VALUE"""),"Pcs")</f>
        <v>Pcs</v>
      </c>
      <c r="I3406" s="6" t="str">
        <f>IFERROR(__xludf.DUMMYFUNCTION("""COMPUTED_VALUE"""),"MFH")</f>
        <v>MFH</v>
      </c>
      <c r="J3406" s="6" t="str">
        <f>IFERROR(__xludf.DUMMYFUNCTION("""COMPUTED_VALUE"""),"Washing")</f>
        <v>Washing</v>
      </c>
      <c r="K3406" s="6" t="str">
        <f>IFERROR(__xludf.DUMMYFUNCTION("""COMPUTED_VALUE"""),"SPR/26/03/040")</f>
        <v>SPR/26/03/040</v>
      </c>
      <c r="L3406" s="13">
        <f>IFERROR(__xludf.DUMMYFUNCTION("""COMPUTED_VALUE"""),46112.0)</f>
        <v>46112</v>
      </c>
    </row>
    <row r="3407">
      <c r="A3407" s="6" t="str">
        <f>IFERROR(__xludf.DUMMYFUNCTION("""COMPUTED_VALUE"""),"NDS")</f>
        <v>NDS</v>
      </c>
      <c r="B3407" s="6" t="str">
        <f>IFERROR(__xludf.DUMMYFUNCTION("""COMPUTED_VALUE"""),"ENG")</f>
        <v>ENG</v>
      </c>
      <c r="C3407" s="6" t="str">
        <f>IFERROR(__xludf.DUMMYFUNCTION("""COMPUTED_VALUE"""),"O-14644-00")</f>
        <v>O-14644-00</v>
      </c>
      <c r="D3407" s="6" t="str">
        <f>IFERROR(__xludf.DUMMYFUNCTION("""COMPUTED_VALUE"""),"General - Silicone Gasket for Ferrule dia. 4""; -; -; 1 Pc")</f>
        <v>General - Silicone Gasket for Ferrule dia. 4"; -; -; 1 Pc</v>
      </c>
      <c r="E3407" s="6">
        <f>IFERROR(__xludf.DUMMYFUNCTION("""COMPUTED_VALUE"""),2.0)</f>
        <v>2</v>
      </c>
      <c r="F3407" s="6">
        <f>IFERROR(__xludf.DUMMYFUNCTION("""COMPUTED_VALUE"""),2.0)</f>
        <v>2</v>
      </c>
      <c r="G3407" s="6">
        <f>IFERROR(__xludf.DUMMYFUNCTION("""COMPUTED_VALUE"""),0.0)</f>
        <v>0</v>
      </c>
      <c r="H3407" s="6" t="str">
        <f>IFERROR(__xludf.DUMMYFUNCTION("""COMPUTED_VALUE"""),"Pcs")</f>
        <v>Pcs</v>
      </c>
      <c r="I3407" s="6" t="str">
        <f>IFERROR(__xludf.DUMMYFUNCTION("""COMPUTED_VALUE"""),"MFH")</f>
        <v>MFH</v>
      </c>
      <c r="J3407" s="6" t="str">
        <f>IFERROR(__xludf.DUMMYFUNCTION("""COMPUTED_VALUE"""),"FIlling")</f>
        <v>FIlling</v>
      </c>
      <c r="K3407" s="6" t="str">
        <f>IFERROR(__xludf.DUMMYFUNCTION("""COMPUTED_VALUE"""),"SPR/26/03/041")</f>
        <v>SPR/26/03/041</v>
      </c>
      <c r="L3407" s="13">
        <f>IFERROR(__xludf.DUMMYFUNCTION("""COMPUTED_VALUE"""),46112.0)</f>
        <v>46112</v>
      </c>
    </row>
    <row r="3408">
      <c r="A3408" s="6" t="str">
        <f>IFERROR(__xludf.DUMMYFUNCTION("""COMPUTED_VALUE"""),"ROS")</f>
        <v>ROS</v>
      </c>
      <c r="B3408" s="6" t="str">
        <f>IFERROR(__xludf.DUMMYFUNCTION("""COMPUTED_VALUE"""),"ENG")</f>
        <v>ENG</v>
      </c>
      <c r="C3408" s="6" t="str">
        <f>IFERROR(__xludf.DUMMYFUNCTION("""COMPUTED_VALUE"""),"P-18725-00")</f>
        <v>P-18725-00</v>
      </c>
      <c r="D3408" s="6" t="str">
        <f>IFERROR(__xludf.DUMMYFUNCTION("""COMPUTED_VALUE"""),"Freon Refrigerant Chemours Suva R507; ; ;")</f>
        <v>Freon Refrigerant Chemours Suva R507; ; ;</v>
      </c>
      <c r="E3408" s="6">
        <f>IFERROR(__xludf.DUMMYFUNCTION("""COMPUTED_VALUE"""),1.0)</f>
        <v>1</v>
      </c>
      <c r="F3408" s="6">
        <f>IFERROR(__xludf.DUMMYFUNCTION("""COMPUTED_VALUE"""),1.0)</f>
        <v>1</v>
      </c>
      <c r="G3408" s="6">
        <f>IFERROR(__xludf.DUMMYFUNCTION("""COMPUTED_VALUE"""),0.0)</f>
        <v>0</v>
      </c>
      <c r="H3408" s="6" t="str">
        <f>IFERROR(__xludf.DUMMYFUNCTION("""COMPUTED_VALUE"""),"Pcs")</f>
        <v>Pcs</v>
      </c>
      <c r="I3408" s="6" t="str">
        <f>IFERROR(__xludf.DUMMYFUNCTION("""COMPUTED_VALUE"""),"MFH")</f>
        <v>MFH</v>
      </c>
      <c r="J3408" s="6" t="str">
        <f>IFERROR(__xludf.DUMMYFUNCTION("""COMPUTED_VALUE"""),"Hubber")</f>
        <v>Hubber</v>
      </c>
      <c r="K3408" s="6" t="str">
        <f>IFERROR(__xludf.DUMMYFUNCTION("""COMPUTED_VALUE"""),"SPR/26/03/042")</f>
        <v>SPR/26/03/042</v>
      </c>
      <c r="L3408" s="13">
        <f>IFERROR(__xludf.DUMMYFUNCTION("""COMPUTED_VALUE"""),46112.0)</f>
        <v>46112</v>
      </c>
    </row>
    <row r="3409">
      <c r="A3409" s="6" t="str">
        <f>IFERROR(__xludf.DUMMYFUNCTION("""COMPUTED_VALUE"""),"ANO")</f>
        <v>ANO</v>
      </c>
      <c r="B3409" s="6" t="str">
        <f>IFERROR(__xludf.DUMMYFUNCTION("""COMPUTED_VALUE"""),"ENG")</f>
        <v>ENG</v>
      </c>
      <c r="C3409" s="6" t="str">
        <f>IFERROR(__xludf.DUMMYFUNCTION("""COMPUTED_VALUE"""),"P-12764-00")</f>
        <v>P-12764-00</v>
      </c>
      <c r="D3409" s="6" t="str">
        <f>IFERROR(__xludf.DUMMYFUNCTION("""COMPUTED_VALUE"""),"General - Silicone Gasket for Ferrule dia. 1/2inch; Custom; -; 1 pcs")</f>
        <v>General - Silicone Gasket for Ferrule dia. 1/2inch; Custom; -; 1 pcs</v>
      </c>
      <c r="E3409" s="6">
        <f>IFERROR(__xludf.DUMMYFUNCTION("""COMPUTED_VALUE"""),1.0)</f>
        <v>1</v>
      </c>
      <c r="F3409" s="6">
        <f>IFERROR(__xludf.DUMMYFUNCTION("""COMPUTED_VALUE"""),1.0)</f>
        <v>1</v>
      </c>
      <c r="G3409" s="6">
        <f>IFERROR(__xludf.DUMMYFUNCTION("""COMPUTED_VALUE"""),0.0)</f>
        <v>0</v>
      </c>
      <c r="H3409" s="6" t="str">
        <f>IFERROR(__xludf.DUMMYFUNCTION("""COMPUTED_VALUE"""),"Pcs")</f>
        <v>Pcs</v>
      </c>
      <c r="I3409" s="6" t="str">
        <f>IFERROR(__xludf.DUMMYFUNCTION("""COMPUTED_VALUE"""),"MFH")</f>
        <v>MFH</v>
      </c>
      <c r="J3409" s="6" t="str">
        <f>IFERROR(__xludf.DUMMYFUNCTION("""COMPUTED_VALUE"""),"Dispensing")</f>
        <v>Dispensing</v>
      </c>
      <c r="K3409" s="6" t="str">
        <f>IFERROR(__xludf.DUMMYFUNCTION("""COMPUTED_VALUE"""),"SPR/26/03/043")</f>
        <v>SPR/26/03/043</v>
      </c>
      <c r="L3409" s="13">
        <f>IFERROR(__xludf.DUMMYFUNCTION("""COMPUTED_VALUE"""),46112.0)</f>
        <v>46112</v>
      </c>
    </row>
    <row r="3410">
      <c r="A3410" s="6" t="str">
        <f>IFERROR(__xludf.DUMMYFUNCTION("""COMPUTED_VALUE"""),"ANO")</f>
        <v>ANO</v>
      </c>
      <c r="B3410" s="6" t="str">
        <f>IFERROR(__xludf.DUMMYFUNCTION("""COMPUTED_VALUE"""),"ENG")</f>
        <v>ENG</v>
      </c>
      <c r="C3410" s="6" t="str">
        <f>IFERROR(__xludf.DUMMYFUNCTION("""COMPUTED_VALUE"""),"P-11694-00")</f>
        <v>P-11694-00</v>
      </c>
      <c r="D3410" s="6" t="str">
        <f>IFERROR(__xludf.DUMMYFUNCTION("""COMPUTED_VALUE"""),"Mata Gerinda 4""")</f>
        <v>Mata Gerinda 4"</v>
      </c>
      <c r="E3410" s="6">
        <f>IFERROR(__xludf.DUMMYFUNCTION("""COMPUTED_VALUE"""),3.0)</f>
        <v>3</v>
      </c>
      <c r="F3410" s="6">
        <f>IFERROR(__xludf.DUMMYFUNCTION("""COMPUTED_VALUE"""),3.0)</f>
        <v>3</v>
      </c>
      <c r="G3410" s="6">
        <f>IFERROR(__xludf.DUMMYFUNCTION("""COMPUTED_VALUE"""),0.0)</f>
        <v>0</v>
      </c>
      <c r="H3410" s="6" t="str">
        <f>IFERROR(__xludf.DUMMYFUNCTION("""COMPUTED_VALUE"""),"Pcs")</f>
        <v>Pcs</v>
      </c>
      <c r="I3410" s="6" t="str">
        <f>IFERROR(__xludf.DUMMYFUNCTION("""COMPUTED_VALUE"""),"MFH")</f>
        <v>MFH</v>
      </c>
      <c r="J3410" s="6" t="str">
        <f>IFERROR(__xludf.DUMMYFUNCTION("""COMPUTED_VALUE"""),"Dehum")</f>
        <v>Dehum</v>
      </c>
      <c r="K3410" s="6" t="str">
        <f>IFERROR(__xludf.DUMMYFUNCTION("""COMPUTED_VALUE"""),"SPR/26/03/044")</f>
        <v>SPR/26/03/044</v>
      </c>
      <c r="L3410" s="13">
        <f>IFERROR(__xludf.DUMMYFUNCTION("""COMPUTED_VALUE"""),46112.0)</f>
        <v>46112</v>
      </c>
    </row>
    <row r="3411">
      <c r="A3411" s="6" t="str">
        <f>IFERROR(__xludf.DUMMYFUNCTION("""COMPUTED_VALUE"""),"ROS")</f>
        <v>ROS</v>
      </c>
      <c r="B3411" s="6" t="str">
        <f>IFERROR(__xludf.DUMMYFUNCTION("""COMPUTED_VALUE"""),"ENG")</f>
        <v>ENG</v>
      </c>
      <c r="C3411" s="6" t="str">
        <f>IFERROR(__xludf.DUMMYFUNCTION("""COMPUTED_VALUE"""),"O-16943-00")</f>
        <v>O-16943-00</v>
      </c>
      <c r="D3411" s="6" t="str">
        <f>IFERROR(__xludf.DUMMYFUNCTION("""COMPUTED_VALUE"""),"Tunnel ST1L - Potentiometer Model 10K 3turns P/n: 3757; ; ;")</f>
        <v>Tunnel ST1L - Potentiometer Model 10K 3turns P/n: 3757; ; ;</v>
      </c>
      <c r="E3411" s="6">
        <f>IFERROR(__xludf.DUMMYFUNCTION("""COMPUTED_VALUE"""),1.0)</f>
        <v>1</v>
      </c>
      <c r="F3411" s="6">
        <f>IFERROR(__xludf.DUMMYFUNCTION("""COMPUTED_VALUE"""),1.0)</f>
        <v>1</v>
      </c>
      <c r="G3411" s="6">
        <f>IFERROR(__xludf.DUMMYFUNCTION("""COMPUTED_VALUE"""),0.0)</f>
        <v>0</v>
      </c>
      <c r="H3411" s="6" t="str">
        <f>IFERROR(__xludf.DUMMYFUNCTION("""COMPUTED_VALUE"""),"Pcs")</f>
        <v>Pcs</v>
      </c>
      <c r="I3411" s="6" t="str">
        <f>IFERROR(__xludf.DUMMYFUNCTION("""COMPUTED_VALUE"""),"MFH")</f>
        <v>MFH</v>
      </c>
      <c r="J3411" s="6" t="str">
        <f>IFERROR(__xludf.DUMMYFUNCTION("""COMPUTED_VALUE"""),"Tunnel")</f>
        <v>Tunnel</v>
      </c>
      <c r="K3411" s="6" t="str">
        <f>IFERROR(__xludf.DUMMYFUNCTION("""COMPUTED_VALUE"""),"SPR/26/03/045")</f>
        <v>SPR/26/03/045</v>
      </c>
      <c r="L3411" s="13">
        <f>IFERROR(__xludf.DUMMYFUNCTION("""COMPUTED_VALUE"""),46112.0)</f>
        <v>46112</v>
      </c>
    </row>
    <row r="3412">
      <c r="A3412" s="6" t="str">
        <f>IFERROR(__xludf.DUMMYFUNCTION("""COMPUTED_VALUE"""),"MOB")</f>
        <v>MOB</v>
      </c>
      <c r="B3412" s="6" t="str">
        <f>IFERROR(__xludf.DUMMYFUNCTION("""COMPUTED_VALUE"""),"ENG")</f>
        <v>ENG</v>
      </c>
      <c r="C3412" s="6" t="str">
        <f>IFERROR(__xludf.DUMMYFUNCTION("""COMPUTED_VALUE"""),"P-15437-00")</f>
        <v>P-15437-00</v>
      </c>
      <c r="D3412" s="6" t="str">
        <f>IFERROR(__xludf.DUMMYFUNCTION("""COMPUTED_VALUE"""),"CABLE SPIRAL WRAPPING, TYPE KS24, BRAND KSS; ; ;")</f>
        <v>CABLE SPIRAL WRAPPING, TYPE KS24, BRAND KSS; ; ;</v>
      </c>
      <c r="E3412" s="6">
        <f>IFERROR(__xludf.DUMMYFUNCTION("""COMPUTED_VALUE"""),1.0)</f>
        <v>1</v>
      </c>
      <c r="F3412" s="6">
        <f>IFERROR(__xludf.DUMMYFUNCTION("""COMPUTED_VALUE"""),1.0)</f>
        <v>1</v>
      </c>
      <c r="G3412" s="6">
        <f>IFERROR(__xludf.DUMMYFUNCTION("""COMPUTED_VALUE"""),0.0)</f>
        <v>0</v>
      </c>
      <c r="H3412" s="6" t="str">
        <f>IFERROR(__xludf.DUMMYFUNCTION("""COMPUTED_VALUE"""),"Pcs")</f>
        <v>Pcs</v>
      </c>
      <c r="I3412" s="6" t="str">
        <f>IFERROR(__xludf.DUMMYFUNCTION("""COMPUTED_VALUE"""),"MFH")</f>
        <v>MFH</v>
      </c>
      <c r="J3412" s="6" t="str">
        <f>IFERROR(__xludf.DUMMYFUNCTION("""COMPUTED_VALUE"""),"-")</f>
        <v>-</v>
      </c>
      <c r="K3412" s="6" t="str">
        <f>IFERROR(__xludf.DUMMYFUNCTION("""COMPUTED_VALUE"""),"SPR/26/03/046")</f>
        <v>SPR/26/03/046</v>
      </c>
      <c r="L3412" s="13">
        <f>IFERROR(__xludf.DUMMYFUNCTION("""COMPUTED_VALUE"""),46112.0)</f>
        <v>46112</v>
      </c>
    </row>
    <row r="3413">
      <c r="A3413" s="6" t="str">
        <f>IFERROR(__xludf.DUMMYFUNCTION("""COMPUTED_VALUE"""),"MOB")</f>
        <v>MOB</v>
      </c>
      <c r="B3413" s="6" t="str">
        <f>IFERROR(__xludf.DUMMYFUNCTION("""COMPUTED_VALUE"""),"ENG")</f>
        <v>ENG</v>
      </c>
      <c r="C3413" s="6" t="str">
        <f>IFERROR(__xludf.DUMMYFUNCTION("""COMPUTED_VALUE"""),"P-11175-00")</f>
        <v>P-11175-00</v>
      </c>
      <c r="D3413" s="6" t="str">
        <f>IFERROR(__xludf.DUMMYFUNCTION("""COMPUTED_VALUE"""),"General - Push-in Connector, QS-10-8; Festo; 153039; 1 pcs")</f>
        <v>General - Push-in Connector, QS-10-8; Festo; 153039; 1 pcs</v>
      </c>
      <c r="E3413" s="6">
        <f>IFERROR(__xludf.DUMMYFUNCTION("""COMPUTED_VALUE"""),1.0)</f>
        <v>1</v>
      </c>
      <c r="F3413" s="6">
        <f>IFERROR(__xludf.DUMMYFUNCTION("""COMPUTED_VALUE"""),1.0)</f>
        <v>1</v>
      </c>
      <c r="G3413" s="6">
        <f>IFERROR(__xludf.DUMMYFUNCTION("""COMPUTED_VALUE"""),0.0)</f>
        <v>0</v>
      </c>
      <c r="H3413" s="6" t="str">
        <f>IFERROR(__xludf.DUMMYFUNCTION("""COMPUTED_VALUE"""),"Pcs")</f>
        <v>Pcs</v>
      </c>
      <c r="I3413" s="6" t="str">
        <f>IFERROR(__xludf.DUMMYFUNCTION("""COMPUTED_VALUE"""),"MFH")</f>
        <v>MFH</v>
      </c>
      <c r="J3413" s="6" t="str">
        <f>IFERROR(__xludf.DUMMYFUNCTION("""COMPUTED_VALUE"""),"-")</f>
        <v>-</v>
      </c>
      <c r="K3413" s="6" t="str">
        <f>IFERROR(__xludf.DUMMYFUNCTION("""COMPUTED_VALUE"""),"SPR/26/03/046")</f>
        <v>SPR/26/03/046</v>
      </c>
      <c r="L3413" s="13">
        <f>IFERROR(__xludf.DUMMYFUNCTION("""COMPUTED_VALUE"""),46112.0)</f>
        <v>46112</v>
      </c>
    </row>
    <row r="3414">
      <c r="A3414" s="6" t="str">
        <f>IFERROR(__xludf.DUMMYFUNCTION("""COMPUTED_VALUE"""),"MOB")</f>
        <v>MOB</v>
      </c>
      <c r="B3414" s="6" t="str">
        <f>IFERROR(__xludf.DUMMYFUNCTION("""COMPUTED_VALUE"""),"ENG")</f>
        <v>ENG</v>
      </c>
      <c r="C3414" s="6" t="str">
        <f>IFERROR(__xludf.DUMMYFUNCTION("""COMPUTED_VALUE"""),"P-10945-00")</f>
        <v>P-10945-00</v>
      </c>
      <c r="D3414" s="6" t="str">
        <f>IFERROR(__xludf.DUMMYFUNCTION("""COMPUTED_VALUE"""),"General - Seal Tape 1/2inch 10 M; Onda; ST 01; 1 pcs")</f>
        <v>General - Seal Tape 1/2inch 10 M; Onda; ST 01; 1 pcs</v>
      </c>
      <c r="E3414" s="6">
        <f>IFERROR(__xludf.DUMMYFUNCTION("""COMPUTED_VALUE"""),1.0)</f>
        <v>1</v>
      </c>
      <c r="F3414" s="6">
        <f>IFERROR(__xludf.DUMMYFUNCTION("""COMPUTED_VALUE"""),1.0)</f>
        <v>1</v>
      </c>
      <c r="G3414" s="6">
        <f>IFERROR(__xludf.DUMMYFUNCTION("""COMPUTED_VALUE"""),0.0)</f>
        <v>0</v>
      </c>
      <c r="H3414" s="6" t="str">
        <f>IFERROR(__xludf.DUMMYFUNCTION("""COMPUTED_VALUE"""),"Pcs")</f>
        <v>Pcs</v>
      </c>
      <c r="I3414" s="6" t="str">
        <f>IFERROR(__xludf.DUMMYFUNCTION("""COMPUTED_VALUE"""),"MFH")</f>
        <v>MFH</v>
      </c>
      <c r="J3414" s="6" t="str">
        <f>IFERROR(__xludf.DUMMYFUNCTION("""COMPUTED_VALUE"""),"-")</f>
        <v>-</v>
      </c>
      <c r="K3414" s="6" t="str">
        <f>IFERROR(__xludf.DUMMYFUNCTION("""COMPUTED_VALUE"""),"SPR/26/03/046")</f>
        <v>SPR/26/03/046</v>
      </c>
      <c r="L3414" s="13">
        <f>IFERROR(__xludf.DUMMYFUNCTION("""COMPUTED_VALUE"""),46112.0)</f>
        <v>46112</v>
      </c>
    </row>
    <row r="3415">
      <c r="A3415" s="6" t="str">
        <f>IFERROR(__xludf.DUMMYFUNCTION("""COMPUTED_VALUE"""),"MOB")</f>
        <v>MOB</v>
      </c>
      <c r="B3415" s="6" t="str">
        <f>IFERROR(__xludf.DUMMYFUNCTION("""COMPUTED_VALUE"""),"ENG")</f>
        <v>ENG</v>
      </c>
      <c r="C3415" s="6" t="str">
        <f>IFERROR(__xludf.DUMMYFUNCTION("""COMPUTED_VALUE"""),"P-51027-00")</f>
        <v>P-51027-00</v>
      </c>
      <c r="D3415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415" s="6">
        <f>IFERROR(__xludf.DUMMYFUNCTION("""COMPUTED_VALUE"""),1.0)</f>
        <v>1</v>
      </c>
      <c r="F3415" s="6">
        <f>IFERROR(__xludf.DUMMYFUNCTION("""COMPUTED_VALUE"""),1.0)</f>
        <v>1</v>
      </c>
      <c r="G3415" s="6">
        <f>IFERROR(__xludf.DUMMYFUNCTION("""COMPUTED_VALUE"""),0.0)</f>
        <v>0</v>
      </c>
      <c r="H3415" s="6" t="str">
        <f>IFERROR(__xludf.DUMMYFUNCTION("""COMPUTED_VALUE"""),"Pcs")</f>
        <v>Pcs</v>
      </c>
      <c r="I3415" s="6" t="str">
        <f>IFERROR(__xludf.DUMMYFUNCTION("""COMPUTED_VALUE"""),"MFH")</f>
        <v>MFH</v>
      </c>
      <c r="J3415" s="6" t="str">
        <f>IFERROR(__xludf.DUMMYFUNCTION("""COMPUTED_VALUE"""),"-")</f>
        <v>-</v>
      </c>
      <c r="K3415" s="6" t="str">
        <f>IFERROR(__xludf.DUMMYFUNCTION("""COMPUTED_VALUE"""),"SPR/26/03/047")</f>
        <v>SPR/26/03/047</v>
      </c>
      <c r="L3415" s="13">
        <f>IFERROR(__xludf.DUMMYFUNCTION("""COMPUTED_VALUE"""),46112.0)</f>
        <v>46112</v>
      </c>
    </row>
    <row r="3416">
      <c r="A3416" s="6" t="str">
        <f>IFERROR(__xludf.DUMMYFUNCTION("""COMPUTED_VALUE"""),"MOB")</f>
        <v>MOB</v>
      </c>
      <c r="B3416" s="6" t="str">
        <f>IFERROR(__xludf.DUMMYFUNCTION("""COMPUTED_VALUE"""),"ENG")</f>
        <v>ENG</v>
      </c>
      <c r="C3416" s="6" t="str">
        <f>IFERROR(__xludf.DUMMYFUNCTION("""COMPUTED_VALUE"""),"Q-10715-00")</f>
        <v>Q-10715-00</v>
      </c>
      <c r="D3416" s="6" t="str">
        <f>IFERROR(__xludf.DUMMYFUNCTION("""COMPUTED_VALUE"""),"Lem PVC Isarplas Kuas @400gr; ; ;")</f>
        <v>Lem PVC Isarplas Kuas @400gr; ; ;</v>
      </c>
      <c r="E3416" s="6">
        <f>IFERROR(__xludf.DUMMYFUNCTION("""COMPUTED_VALUE"""),1.0)</f>
        <v>1</v>
      </c>
      <c r="F3416" s="6">
        <f>IFERROR(__xludf.DUMMYFUNCTION("""COMPUTED_VALUE"""),1.0)</f>
        <v>1</v>
      </c>
      <c r="G3416" s="6">
        <f>IFERROR(__xludf.DUMMYFUNCTION("""COMPUTED_VALUE"""),0.0)</f>
        <v>0</v>
      </c>
      <c r="H3416" s="6" t="str">
        <f>IFERROR(__xludf.DUMMYFUNCTION("""COMPUTED_VALUE"""),"Pcs")</f>
        <v>Pcs</v>
      </c>
      <c r="I3416" s="6" t="str">
        <f>IFERROR(__xludf.DUMMYFUNCTION("""COMPUTED_VALUE"""),"MFH")</f>
        <v>MFH</v>
      </c>
      <c r="J3416" s="6" t="str">
        <f>IFERROR(__xludf.DUMMYFUNCTION("""COMPUTED_VALUE"""),"-")</f>
        <v>-</v>
      </c>
      <c r="K3416" s="6" t="str">
        <f>IFERROR(__xludf.DUMMYFUNCTION("""COMPUTED_VALUE"""),"SPR/26/03/047")</f>
        <v>SPR/26/03/047</v>
      </c>
      <c r="L3416" s="13">
        <f>IFERROR(__xludf.DUMMYFUNCTION("""COMPUTED_VALUE"""),46112.0)</f>
        <v>46112</v>
      </c>
    </row>
    <row r="3417">
      <c r="A3417" s="6" t="str">
        <f>IFERROR(__xludf.DUMMYFUNCTION("""COMPUTED_VALUE"""),"MOB")</f>
        <v>MOB</v>
      </c>
      <c r="B3417" s="6" t="str">
        <f>IFERROR(__xludf.DUMMYFUNCTION("""COMPUTED_VALUE"""),"ENG")</f>
        <v>ENG</v>
      </c>
      <c r="C3417" s="6" t="str">
        <f>IFERROR(__xludf.DUMMYFUNCTION("""COMPUTED_VALUE"""),"P-12266-00")</f>
        <v>P-12266-00</v>
      </c>
      <c r="D3417" s="6" t="str">
        <f>IFERROR(__xludf.DUMMYFUNCTION("""COMPUTED_VALUE"""),"FESTO - Push In Fitting QS-1/2-10 part number 190646")</f>
        <v>FESTO - Push In Fitting QS-1/2-10 part number 190646</v>
      </c>
      <c r="E3417" s="6">
        <f>IFERROR(__xludf.DUMMYFUNCTION("""COMPUTED_VALUE"""),1.0)</f>
        <v>1</v>
      </c>
      <c r="F3417" s="6">
        <f>IFERROR(__xludf.DUMMYFUNCTION("""COMPUTED_VALUE"""),1.0)</f>
        <v>1</v>
      </c>
      <c r="G3417" s="6">
        <f>IFERROR(__xludf.DUMMYFUNCTION("""COMPUTED_VALUE"""),0.0)</f>
        <v>0</v>
      </c>
      <c r="H3417" s="6" t="str">
        <f>IFERROR(__xludf.DUMMYFUNCTION("""COMPUTED_VALUE"""),"Pcs")</f>
        <v>Pcs</v>
      </c>
      <c r="I3417" s="6" t="str">
        <f>IFERROR(__xludf.DUMMYFUNCTION("""COMPUTED_VALUE"""),"MFH")</f>
        <v>MFH</v>
      </c>
      <c r="J3417" s="6" t="str">
        <f>IFERROR(__xludf.DUMMYFUNCTION("""COMPUTED_VALUE"""),"-")</f>
        <v>-</v>
      </c>
      <c r="K3417" s="6" t="str">
        <f>IFERROR(__xludf.DUMMYFUNCTION("""COMPUTED_VALUE"""),"SPR/26/03/047")</f>
        <v>SPR/26/03/047</v>
      </c>
      <c r="L3417" s="13">
        <f>IFERROR(__xludf.DUMMYFUNCTION("""COMPUTED_VALUE"""),46112.0)</f>
        <v>46112</v>
      </c>
    </row>
    <row r="3418">
      <c r="A3418" s="6" t="str">
        <f>IFERROR(__xludf.DUMMYFUNCTION("""COMPUTED_VALUE"""),"MOB")</f>
        <v>MOB</v>
      </c>
      <c r="B3418" s="6" t="str">
        <f>IFERROR(__xludf.DUMMYFUNCTION("""COMPUTED_VALUE"""),"ENG")</f>
        <v>ENG</v>
      </c>
      <c r="C3418" s="6" t="str">
        <f>IFERROR(__xludf.DUMMYFUNCTION("""COMPUTED_VALUE"""),"P-10390-00")</f>
        <v>P-10390-00</v>
      </c>
      <c r="D3418" s="6" t="str">
        <f>IFERROR(__xludf.DUMMYFUNCTION("""COMPUTED_VALUE"""),"Ball Valve PVC 1""")</f>
        <v>Ball Valve PVC 1"</v>
      </c>
      <c r="E3418" s="6">
        <f>IFERROR(__xludf.DUMMYFUNCTION("""COMPUTED_VALUE"""),1.0)</f>
        <v>1</v>
      </c>
      <c r="F3418" s="6">
        <f>IFERROR(__xludf.DUMMYFUNCTION("""COMPUTED_VALUE"""),1.0)</f>
        <v>1</v>
      </c>
      <c r="G3418" s="6">
        <f>IFERROR(__xludf.DUMMYFUNCTION("""COMPUTED_VALUE"""),0.0)</f>
        <v>0</v>
      </c>
      <c r="H3418" s="6" t="str">
        <f>IFERROR(__xludf.DUMMYFUNCTION("""COMPUTED_VALUE"""),"Pcs")</f>
        <v>Pcs</v>
      </c>
      <c r="I3418" s="6" t="str">
        <f>IFERROR(__xludf.DUMMYFUNCTION("""COMPUTED_VALUE"""),"MFH")</f>
        <v>MFH</v>
      </c>
      <c r="J3418" s="6" t="str">
        <f>IFERROR(__xludf.DUMMYFUNCTION("""COMPUTED_VALUE"""),"-")</f>
        <v>-</v>
      </c>
      <c r="K3418" s="6" t="str">
        <f>IFERROR(__xludf.DUMMYFUNCTION("""COMPUTED_VALUE"""),"SPR/26/03/048")</f>
        <v>SPR/26/03/048</v>
      </c>
      <c r="L3418" s="13">
        <f>IFERROR(__xludf.DUMMYFUNCTION("""COMPUTED_VALUE"""),46112.0)</f>
        <v>46112</v>
      </c>
    </row>
    <row r="3419">
      <c r="A3419" s="6" t="str">
        <f>IFERROR(__xludf.DUMMYFUNCTION("""COMPUTED_VALUE"""),"MOB")</f>
        <v>MOB</v>
      </c>
      <c r="B3419" s="6" t="str">
        <f>IFERROR(__xludf.DUMMYFUNCTION("""COMPUTED_VALUE"""),"ENG")</f>
        <v>ENG</v>
      </c>
      <c r="C3419" s="6" t="str">
        <f>IFERROR(__xludf.DUMMYFUNCTION("""COMPUTED_VALUE"""),"P-10874-00")</f>
        <v>P-10874-00</v>
      </c>
      <c r="D3419" s="6" t="str">
        <f>IFERROR(__xludf.DUMMYFUNCTION("""COMPUTED_VALUE"""),"General - Vlok Sok/Reducer PVC AW 1"" x 1/2""; Rucika; -; 1 pcs")</f>
        <v>General - Vlok Sok/Reducer PVC AW 1" x 1/2"; Rucika; -; 1 pcs</v>
      </c>
      <c r="E3419" s="6">
        <f>IFERROR(__xludf.DUMMYFUNCTION("""COMPUTED_VALUE"""),2.0)</f>
        <v>2</v>
      </c>
      <c r="F3419" s="6">
        <f>IFERROR(__xludf.DUMMYFUNCTION("""COMPUTED_VALUE"""),2.0)</f>
        <v>2</v>
      </c>
      <c r="G3419" s="6">
        <f>IFERROR(__xludf.DUMMYFUNCTION("""COMPUTED_VALUE"""),0.0)</f>
        <v>0</v>
      </c>
      <c r="H3419" s="6" t="str">
        <f>IFERROR(__xludf.DUMMYFUNCTION("""COMPUTED_VALUE"""),"Pcs")</f>
        <v>Pcs</v>
      </c>
      <c r="I3419" s="6" t="str">
        <f>IFERROR(__xludf.DUMMYFUNCTION("""COMPUTED_VALUE"""),"MFH")</f>
        <v>MFH</v>
      </c>
      <c r="J3419" s="6" t="str">
        <f>IFERROR(__xludf.DUMMYFUNCTION("""COMPUTED_VALUE"""),"-")</f>
        <v>-</v>
      </c>
      <c r="K3419" s="6" t="str">
        <f>IFERROR(__xludf.DUMMYFUNCTION("""COMPUTED_VALUE"""),"SPR/26/03/048")</f>
        <v>SPR/26/03/048</v>
      </c>
      <c r="L3419" s="13">
        <f>IFERROR(__xludf.DUMMYFUNCTION("""COMPUTED_VALUE"""),46112.0)</f>
        <v>46112</v>
      </c>
    </row>
    <row r="3420">
      <c r="A3420" s="6" t="str">
        <f>IFERROR(__xludf.DUMMYFUNCTION("""COMPUTED_VALUE"""),"MOB")</f>
        <v>MOB</v>
      </c>
      <c r="B3420" s="6" t="str">
        <f>IFERROR(__xludf.DUMMYFUNCTION("""COMPUTED_VALUE"""),"ENG")</f>
        <v>ENG</v>
      </c>
      <c r="C3420" s="6" t="str">
        <f>IFERROR(__xludf.DUMMYFUNCTION("""COMPUTED_VALUE"""),"P-12749-00")</f>
        <v>P-12749-00</v>
      </c>
      <c r="D3420" s="6" t="str">
        <f>IFERROR(__xludf.DUMMYFUNCTION("""COMPUTED_VALUE"""),"General - Pipa PVC AW dia. 1inch, Warna Abu-Abu; Rucika; -; 1 pcs")</f>
        <v>General - Pipa PVC AW dia. 1inch, Warna Abu-Abu; Rucika; -; 1 pcs</v>
      </c>
      <c r="E3420" s="6">
        <f>IFERROR(__xludf.DUMMYFUNCTION("""COMPUTED_VALUE"""),1.0)</f>
        <v>1</v>
      </c>
      <c r="F3420" s="6">
        <f>IFERROR(__xludf.DUMMYFUNCTION("""COMPUTED_VALUE"""),1.0)</f>
        <v>1</v>
      </c>
      <c r="G3420" s="6">
        <f>IFERROR(__xludf.DUMMYFUNCTION("""COMPUTED_VALUE"""),0.0)</f>
        <v>0</v>
      </c>
      <c r="H3420" s="6" t="str">
        <f>IFERROR(__xludf.DUMMYFUNCTION("""COMPUTED_VALUE"""),"Pcs")</f>
        <v>Pcs</v>
      </c>
      <c r="I3420" s="6" t="str">
        <f>IFERROR(__xludf.DUMMYFUNCTION("""COMPUTED_VALUE"""),"MFH")</f>
        <v>MFH</v>
      </c>
      <c r="J3420" s="6" t="str">
        <f>IFERROR(__xludf.DUMMYFUNCTION("""COMPUTED_VALUE"""),"-")</f>
        <v>-</v>
      </c>
      <c r="K3420" s="6" t="str">
        <f>IFERROR(__xludf.DUMMYFUNCTION("""COMPUTED_VALUE"""),"SPR/26/03/048")</f>
        <v>SPR/26/03/048</v>
      </c>
      <c r="L3420" s="13">
        <f>IFERROR(__xludf.DUMMYFUNCTION("""COMPUTED_VALUE"""),46112.0)</f>
        <v>46112</v>
      </c>
    </row>
    <row r="3421">
      <c r="A3421" s="6" t="str">
        <f>IFERROR(__xludf.DUMMYFUNCTION("""COMPUTED_VALUE"""),"RIA")</f>
        <v>RIA</v>
      </c>
      <c r="B3421" s="6" t="str">
        <f>IFERROR(__xludf.DUMMYFUNCTION("""COMPUTED_VALUE"""),"ENG")</f>
        <v>ENG</v>
      </c>
      <c r="C3421" s="6" t="str">
        <f>IFERROR(__xludf.DUMMYFUNCTION("""COMPUTED_VALUE"""),"P-14424-00")</f>
        <v>P-14424-00</v>
      </c>
      <c r="D3421" s="6" t="str">
        <f>IFERROR(__xludf.DUMMYFUNCTION("""COMPUTED_VALUE"""),"Garam Kutreat RGN-9800F; ; ; 25Kg/zak")</f>
        <v>Garam Kutreat RGN-9800F; ; ; 25Kg/zak</v>
      </c>
      <c r="E3421" s="6">
        <f>IFERROR(__xludf.DUMMYFUNCTION("""COMPUTED_VALUE"""),125.0)</f>
        <v>125</v>
      </c>
      <c r="F3421" s="6">
        <f>IFERROR(__xludf.DUMMYFUNCTION("""COMPUTED_VALUE"""),125.0)</f>
        <v>125</v>
      </c>
      <c r="G3421" s="6">
        <f>IFERROR(__xludf.DUMMYFUNCTION("""COMPUTED_VALUE"""),0.0)</f>
        <v>0</v>
      </c>
      <c r="H3421" s="6" t="str">
        <f>IFERROR(__xludf.DUMMYFUNCTION("""COMPUTED_VALUE"""),"Pcs")</f>
        <v>Pcs</v>
      </c>
      <c r="I3421" s="6" t="str">
        <f>IFERROR(__xludf.DUMMYFUNCTION("""COMPUTED_VALUE"""),"MFH")</f>
        <v>MFH</v>
      </c>
      <c r="J3421" s="6" t="str">
        <f>IFERROR(__xludf.DUMMYFUNCTION("""COMPUTED_VALUE"""),"PWG")</f>
        <v>PWG</v>
      </c>
      <c r="K3421" s="6" t="str">
        <f>IFERROR(__xludf.DUMMYFUNCTION("""COMPUTED_VALUE"""),"SPR/26/03/049")</f>
        <v>SPR/26/03/049</v>
      </c>
      <c r="L3421" s="13">
        <f>IFERROR(__xludf.DUMMYFUNCTION("""COMPUTED_VALUE"""),46112.0)</f>
        <v>46112</v>
      </c>
    </row>
    <row r="3422">
      <c r="A3422" s="6" t="str">
        <f>IFERROR(__xludf.DUMMYFUNCTION("""COMPUTED_VALUE"""),"KPR")</f>
        <v>KPR</v>
      </c>
      <c r="B3422" s="6" t="str">
        <f>IFERROR(__xludf.DUMMYFUNCTION("""COMPUTED_VALUE"""),"QAS")</f>
        <v>QAS</v>
      </c>
      <c r="C3422" s="6" t="str">
        <f>IFERROR(__xludf.DUMMYFUNCTION("""COMPUTED_VALUE"""),"T-25579-00")</f>
        <v>T-25579-00</v>
      </c>
      <c r="D3422" s="6" t="str">
        <f>IFERROR(__xludf.DUMMYFUNCTION("""COMPUTED_VALUE"""),"RESIN BED REPLACEMENT FOR M500 TOC Analyzer; Sievers; TOC M500; 1 pc")</f>
        <v>RESIN BED REPLACEMENT FOR M500 TOC Analyzer; Sievers; TOC M500; 1 pc</v>
      </c>
      <c r="E3422" s="6">
        <f>IFERROR(__xludf.DUMMYFUNCTION("""COMPUTED_VALUE"""),1.0)</f>
        <v>1</v>
      </c>
      <c r="F3422" s="6">
        <f>IFERROR(__xludf.DUMMYFUNCTION("""COMPUTED_VALUE"""),1.0)</f>
        <v>1</v>
      </c>
      <c r="G3422" s="6">
        <f>IFERROR(__xludf.DUMMYFUNCTION("""COMPUTED_VALUE"""),0.0)</f>
        <v>0</v>
      </c>
      <c r="H3422" s="6" t="str">
        <f>IFERROR(__xludf.DUMMYFUNCTION("""COMPUTED_VALUE"""),"Pcs")</f>
        <v>Pcs</v>
      </c>
      <c r="I3422" s="6" t="str">
        <f>IFERROR(__xludf.DUMMYFUNCTION("""COMPUTED_VALUE"""),"MFH")</f>
        <v>MFH</v>
      </c>
      <c r="J3422" s="6" t="str">
        <f>IFERROR(__xludf.DUMMYFUNCTION("""COMPUTED_VALUE"""),"WFI SKID")</f>
        <v>WFI SKID</v>
      </c>
      <c r="K3422" s="6" t="str">
        <f>IFERROR(__xludf.DUMMYFUNCTION("""COMPUTED_VALUE"""),"SPR/26/03/050")</f>
        <v>SPR/26/03/050</v>
      </c>
      <c r="L3422" s="13">
        <f>IFERROR(__xludf.DUMMYFUNCTION("""COMPUTED_VALUE"""),46112.0)</f>
        <v>46112</v>
      </c>
    </row>
    <row r="3423">
      <c r="A3423" s="6" t="str">
        <f>IFERROR(__xludf.DUMMYFUNCTION("""COMPUTED_VALUE"""),"KPR")</f>
        <v>KPR</v>
      </c>
      <c r="B3423" s="6" t="str">
        <f>IFERROR(__xludf.DUMMYFUNCTION("""COMPUTED_VALUE"""),"QAS")</f>
        <v>QAS</v>
      </c>
      <c r="C3423" s="6" t="str">
        <f>IFERROR(__xludf.DUMMYFUNCTION("""COMPUTED_VALUE"""),"T-25578-00")</f>
        <v>T-25578-00</v>
      </c>
      <c r="D3423" s="6" t="str">
        <f>IFERROR(__xludf.DUMMYFUNCTION("""COMPUTED_VALUE"""),"SAMPLE PUMP HEAD FOR M500 TOC Analyzer; Sievers; TOC M500; 1 pc")</f>
        <v>SAMPLE PUMP HEAD FOR M500 TOC Analyzer; Sievers; TOC M500; 1 pc</v>
      </c>
      <c r="E3423" s="6">
        <f>IFERROR(__xludf.DUMMYFUNCTION("""COMPUTED_VALUE"""),1.0)</f>
        <v>1</v>
      </c>
      <c r="F3423" s="6">
        <f>IFERROR(__xludf.DUMMYFUNCTION("""COMPUTED_VALUE"""),1.0)</f>
        <v>1</v>
      </c>
      <c r="G3423" s="6">
        <f>IFERROR(__xludf.DUMMYFUNCTION("""COMPUTED_VALUE"""),0.0)</f>
        <v>0</v>
      </c>
      <c r="H3423" s="6" t="str">
        <f>IFERROR(__xludf.DUMMYFUNCTION("""COMPUTED_VALUE"""),"Pcs")</f>
        <v>Pcs</v>
      </c>
      <c r="I3423" s="6" t="str">
        <f>IFERROR(__xludf.DUMMYFUNCTION("""COMPUTED_VALUE"""),"MFH")</f>
        <v>MFH</v>
      </c>
      <c r="J3423" s="6" t="str">
        <f>IFERROR(__xludf.DUMMYFUNCTION("""COMPUTED_VALUE"""),"WFI SKID")</f>
        <v>WFI SKID</v>
      </c>
      <c r="K3423" s="6" t="str">
        <f>IFERROR(__xludf.DUMMYFUNCTION("""COMPUTED_VALUE"""),"SPR/26/03/050")</f>
        <v>SPR/26/03/050</v>
      </c>
      <c r="L3423" s="13">
        <f>IFERROR(__xludf.DUMMYFUNCTION("""COMPUTED_VALUE"""),46112.0)</f>
        <v>46112</v>
      </c>
    </row>
    <row r="3424">
      <c r="A3424" s="6" t="str">
        <f>IFERROR(__xludf.DUMMYFUNCTION("""COMPUTED_VALUE"""),"KPR")</f>
        <v>KPR</v>
      </c>
      <c r="B3424" s="6" t="str">
        <f>IFERROR(__xludf.DUMMYFUNCTION("""COMPUTED_VALUE"""),"QAS")</f>
        <v>QAS</v>
      </c>
      <c r="C3424" s="6" t="str">
        <f>IFERROR(__xludf.DUMMYFUNCTION("""COMPUTED_VALUE"""),"T-20860-00")</f>
        <v>T-20860-00</v>
      </c>
      <c r="D3424" s="6" t="str">
        <f>IFERROR(__xludf.DUMMYFUNCTION("""COMPUTED_VALUE"""),"OQ/PV headspace sample ;Agilent; PN : 5182-9733; Agilent; 5182-9733; 1 pcs/pack")</f>
        <v>OQ/PV headspace sample ;Agilent; PN : 5182-9733; Agilent; 5182-9733; 1 pcs/pack</v>
      </c>
      <c r="E3424" s="6">
        <f>IFERROR(__xludf.DUMMYFUNCTION("""COMPUTED_VALUE"""),1.0)</f>
        <v>1</v>
      </c>
      <c r="F3424" s="6">
        <f>IFERROR(__xludf.DUMMYFUNCTION("""COMPUTED_VALUE"""),1.0)</f>
        <v>1</v>
      </c>
      <c r="G3424" s="6">
        <f>IFERROR(__xludf.DUMMYFUNCTION("""COMPUTED_VALUE"""),0.0)</f>
        <v>0</v>
      </c>
      <c r="H3424" s="6" t="str">
        <f>IFERROR(__xludf.DUMMYFUNCTION("""COMPUTED_VALUE"""),"Pcs")</f>
        <v>Pcs</v>
      </c>
      <c r="I3424" s="6" t="str">
        <f>IFERROR(__xludf.DUMMYFUNCTION("""COMPUTED_VALUE"""),"MFH")</f>
        <v>MFH</v>
      </c>
      <c r="J3424" s="6" t="str">
        <f>IFERROR(__xludf.DUMMYFUNCTION("""COMPUTED_VALUE"""),"Labelling")</f>
        <v>Labelling</v>
      </c>
      <c r="K3424" s="6" t="str">
        <f>IFERROR(__xludf.DUMMYFUNCTION("""COMPUTED_VALUE"""),"SPR/26/03/050")</f>
        <v>SPR/26/03/050</v>
      </c>
      <c r="L3424" s="13">
        <f>IFERROR(__xludf.DUMMYFUNCTION("""COMPUTED_VALUE"""),46112.0)</f>
        <v>46112</v>
      </c>
    </row>
    <row r="3425">
      <c r="A3425" s="6" t="str">
        <f>IFERROR(__xludf.DUMMYFUNCTION("""COMPUTED_VALUE"""),"NDS")</f>
        <v>NDS</v>
      </c>
      <c r="B3425" s="6" t="str">
        <f>IFERROR(__xludf.DUMMYFUNCTION("""COMPUTED_VALUE"""),"ENG")</f>
        <v>ENG</v>
      </c>
      <c r="C3425" s="6" t="str">
        <f>IFERROR(__xludf.DUMMYFUNCTION("""COMPUTED_VALUE"""),"P-20367-00")</f>
        <v>P-20367-00</v>
      </c>
      <c r="D3425" s="6" t="str">
        <f>IFERROR(__xludf.DUMMYFUNCTION("""COMPUTED_VALUE"""),"General - Oring 8 x 400 x 416mm NBR; Custom Trenade; -; 1 pc")</f>
        <v>General - Oring 8 x 400 x 416mm NBR; Custom Trenade; -; 1 pc</v>
      </c>
      <c r="E3425" s="6">
        <f>IFERROR(__xludf.DUMMYFUNCTION("""COMPUTED_VALUE"""),2.0)</f>
        <v>2</v>
      </c>
      <c r="F3425" s="6">
        <f>IFERROR(__xludf.DUMMYFUNCTION("""COMPUTED_VALUE"""),2.0)</f>
        <v>2</v>
      </c>
      <c r="G3425" s="6">
        <f>IFERROR(__xludf.DUMMYFUNCTION("""COMPUTED_VALUE"""),0.0)</f>
        <v>0</v>
      </c>
      <c r="H3425" s="6" t="str">
        <f>IFERROR(__xludf.DUMMYFUNCTION("""COMPUTED_VALUE"""),"Pcs")</f>
        <v>Pcs</v>
      </c>
      <c r="I3425" s="6" t="str">
        <f>IFERROR(__xludf.DUMMYFUNCTION("""COMPUTED_VALUE"""),"MFH")</f>
        <v>MFH</v>
      </c>
      <c r="J3425" s="6" t="str">
        <f>IFERROR(__xludf.DUMMYFUNCTION("""COMPUTED_VALUE"""),"Dispensing")</f>
        <v>Dispensing</v>
      </c>
      <c r="K3425" s="6" t="str">
        <f>IFERROR(__xludf.DUMMYFUNCTION("""COMPUTED_VALUE"""),"SPR/26/03/051")</f>
        <v>SPR/26/03/051</v>
      </c>
      <c r="L3425" s="13">
        <f>IFERROR(__xludf.DUMMYFUNCTION("""COMPUTED_VALUE"""),46112.0)</f>
        <v>46112</v>
      </c>
    </row>
    <row r="3426">
      <c r="A3426" s="6" t="str">
        <f>IFERROR(__xludf.DUMMYFUNCTION("""COMPUTED_VALUE"""),"NDS")</f>
        <v>NDS</v>
      </c>
      <c r="B3426" s="6" t="str">
        <f>IFERROR(__xludf.DUMMYFUNCTION("""COMPUTED_VALUE"""),"ENG")</f>
        <v>ENG</v>
      </c>
      <c r="C3426" s="6" t="str">
        <f>IFERROR(__xludf.DUMMYFUNCTION("""COMPUTED_VALUE"""),"P-51704-00")</f>
        <v>P-51704-00</v>
      </c>
      <c r="D3426" s="6" t="str">
        <f>IFERROR(__xludf.DUMMYFUNCTION("""COMPUTED_VALUE"""),"Terminal Krustin 6 Terminal")</f>
        <v>Terminal Krustin 6 Terminal</v>
      </c>
      <c r="E3426" s="6">
        <f>IFERROR(__xludf.DUMMYFUNCTION("""COMPUTED_VALUE"""),1.0)</f>
        <v>1</v>
      </c>
      <c r="F3426" s="6">
        <f>IFERROR(__xludf.DUMMYFUNCTION("""COMPUTED_VALUE"""),1.0)</f>
        <v>1</v>
      </c>
      <c r="G3426" s="6">
        <f>IFERROR(__xludf.DUMMYFUNCTION("""COMPUTED_VALUE"""),0.0)</f>
        <v>0</v>
      </c>
      <c r="H3426" s="6" t="str">
        <f>IFERROR(__xludf.DUMMYFUNCTION("""COMPUTED_VALUE"""),"pcs")</f>
        <v>pcs</v>
      </c>
      <c r="I3426" s="6" t="str">
        <f>IFERROR(__xludf.DUMMYFUNCTION("""COMPUTED_VALUE"""),"MFH")</f>
        <v>MFH</v>
      </c>
      <c r="J3426" s="6" t="str">
        <f>IFERROR(__xludf.DUMMYFUNCTION("""COMPUTED_VALUE"""),"Capping")</f>
        <v>Capping</v>
      </c>
      <c r="K3426" s="6" t="str">
        <f>IFERROR(__xludf.DUMMYFUNCTION("""COMPUTED_VALUE"""),"SPR/26/03/051")</f>
        <v>SPR/26/03/051</v>
      </c>
      <c r="L3426" s="13">
        <f>IFERROR(__xludf.DUMMYFUNCTION("""COMPUTED_VALUE"""),46112.0)</f>
        <v>46112</v>
      </c>
    </row>
    <row r="3427">
      <c r="A3427" s="6" t="str">
        <f>IFERROR(__xludf.DUMMYFUNCTION("""COMPUTED_VALUE"""),"MRN")</f>
        <v>MRN</v>
      </c>
      <c r="B3427" s="6" t="str">
        <f>IFERROR(__xludf.DUMMYFUNCTION("""COMPUTED_VALUE"""),"ENG")</f>
        <v>ENG</v>
      </c>
      <c r="C3427" s="6" t="str">
        <f>IFERROR(__xludf.DUMMYFUNCTION("""COMPUTED_VALUE"""),"P-19381-00")</f>
        <v>P-19381-00</v>
      </c>
      <c r="D3427" s="6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E3427" s="6">
        <f>IFERROR(__xludf.DUMMYFUNCTION("""COMPUTED_VALUE"""),1.0)</f>
        <v>1</v>
      </c>
      <c r="F3427" s="6">
        <f>IFERROR(__xludf.DUMMYFUNCTION("""COMPUTED_VALUE"""),1.0)</f>
        <v>1</v>
      </c>
      <c r="G3427" s="6">
        <f>IFERROR(__xludf.DUMMYFUNCTION("""COMPUTED_VALUE"""),0.0)</f>
        <v>0</v>
      </c>
      <c r="H3427" s="6" t="str">
        <f>IFERROR(__xludf.DUMMYFUNCTION("""COMPUTED_VALUE"""),"Pcs")</f>
        <v>Pcs</v>
      </c>
      <c r="I3427" s="6" t="str">
        <f>IFERROR(__xludf.DUMMYFUNCTION("""COMPUTED_VALUE"""),"MFH")</f>
        <v>MFH</v>
      </c>
      <c r="J3427" s="6" t="str">
        <f>IFERROR(__xludf.DUMMYFUNCTION("""COMPUTED_VALUE"""),"AC")</f>
        <v>AC</v>
      </c>
      <c r="K3427" s="6" t="str">
        <f>IFERROR(__xludf.DUMMYFUNCTION("""COMPUTED_VALUE"""),"SPR/26/03/052")</f>
        <v>SPR/26/03/052</v>
      </c>
      <c r="L3427" s="13">
        <f>IFERROR(__xludf.DUMMYFUNCTION("""COMPUTED_VALUE"""),46112.0)</f>
        <v>46112</v>
      </c>
    </row>
    <row r="3428">
      <c r="A3428" s="6" t="str">
        <f>IFERROR(__xludf.DUMMYFUNCTION("""COMPUTED_VALUE"""),"MRN")</f>
        <v>MRN</v>
      </c>
      <c r="B3428" s="6" t="str">
        <f>IFERROR(__xludf.DUMMYFUNCTION("""COMPUTED_VALUE"""),"ENG")</f>
        <v>ENG</v>
      </c>
      <c r="C3428" s="6" t="str">
        <f>IFERROR(__xludf.DUMMYFUNCTION("""COMPUTED_VALUE"""),"P-52519-00")</f>
        <v>P-52519-00</v>
      </c>
      <c r="D3428" s="6" t="str">
        <f>IFERROR(__xludf.DUMMYFUNCTION("""COMPUTED_VALUE"""),"CAPACITOR 3.5 uF, 450V, 2 kutub; ; ;")</f>
        <v>CAPACITOR 3.5 uF, 450V, 2 kutub; ; ;</v>
      </c>
      <c r="E3428" s="6">
        <f>IFERROR(__xludf.DUMMYFUNCTION("""COMPUTED_VALUE"""),2.0)</f>
        <v>2</v>
      </c>
      <c r="F3428" s="6">
        <f>IFERROR(__xludf.DUMMYFUNCTION("""COMPUTED_VALUE"""),2.0)</f>
        <v>2</v>
      </c>
      <c r="G3428" s="6">
        <f>IFERROR(__xludf.DUMMYFUNCTION("""COMPUTED_VALUE"""),0.0)</f>
        <v>0</v>
      </c>
      <c r="H3428" s="6" t="str">
        <f>IFERROR(__xludf.DUMMYFUNCTION("""COMPUTED_VALUE"""),"Pcs")</f>
        <v>Pcs</v>
      </c>
      <c r="I3428" s="6" t="str">
        <f>IFERROR(__xludf.DUMMYFUNCTION("""COMPUTED_VALUE"""),"MFH")</f>
        <v>MFH</v>
      </c>
      <c r="J3428" s="6" t="str">
        <f>IFERROR(__xludf.DUMMYFUNCTION("""COMPUTED_VALUE"""),"AC")</f>
        <v>AC</v>
      </c>
      <c r="K3428" s="6" t="str">
        <f>IFERROR(__xludf.DUMMYFUNCTION("""COMPUTED_VALUE"""),"SPR/26/03/052")</f>
        <v>SPR/26/03/052</v>
      </c>
      <c r="L3428" s="13">
        <f>IFERROR(__xludf.DUMMYFUNCTION("""COMPUTED_VALUE"""),46112.0)</f>
        <v>46112</v>
      </c>
    </row>
    <row r="3429">
      <c r="A3429" s="6" t="str">
        <f>IFERROR(__xludf.DUMMYFUNCTION("""COMPUTED_VALUE"""),"MOB")</f>
        <v>MOB</v>
      </c>
      <c r="B3429" s="6" t="str">
        <f>IFERROR(__xludf.DUMMYFUNCTION("""COMPUTED_VALUE"""),"ENG")</f>
        <v>ENG</v>
      </c>
      <c r="C3429" s="6" t="str">
        <f>IFERROR(__xludf.DUMMYFUNCTION("""COMPUTED_VALUE"""),"P-12083-00")</f>
        <v>P-12083-00</v>
      </c>
      <c r="D3429" s="6" t="str">
        <f>IFERROR(__xludf.DUMMYFUNCTION("""COMPUTED_VALUE"""),"General - Clamp Selang, SS, 1/2""; Tridon; -; 1 pcs")</f>
        <v>General - Clamp Selang, SS, 1/2"; Tridon; -; 1 pcs</v>
      </c>
      <c r="E3429" s="6">
        <f>IFERROR(__xludf.DUMMYFUNCTION("""COMPUTED_VALUE"""),2.0)</f>
        <v>2</v>
      </c>
      <c r="F3429" s="6">
        <f>IFERROR(__xludf.DUMMYFUNCTION("""COMPUTED_VALUE"""),2.0)</f>
        <v>2</v>
      </c>
      <c r="G3429" s="6">
        <f>IFERROR(__xludf.DUMMYFUNCTION("""COMPUTED_VALUE"""),0.0)</f>
        <v>0</v>
      </c>
      <c r="H3429" s="6" t="str">
        <f>IFERROR(__xludf.DUMMYFUNCTION("""COMPUTED_VALUE"""),"Pcs")</f>
        <v>Pcs</v>
      </c>
      <c r="I3429" s="6" t="str">
        <f>IFERROR(__xludf.DUMMYFUNCTION("""COMPUTED_VALUE"""),"MFH")</f>
        <v>MFH</v>
      </c>
      <c r="J3429" s="6" t="str">
        <f>IFERROR(__xludf.DUMMYFUNCTION("""COMPUTED_VALUE"""),"-")</f>
        <v>-</v>
      </c>
      <c r="K3429" s="6" t="str">
        <f>IFERROR(__xludf.DUMMYFUNCTION("""COMPUTED_VALUE"""),"SPR/26/03/053")</f>
        <v>SPR/26/03/053</v>
      </c>
      <c r="L3429" s="13">
        <f>IFERROR(__xludf.DUMMYFUNCTION("""COMPUTED_VALUE"""),46112.0)</f>
        <v>46112</v>
      </c>
    </row>
    <row r="3430">
      <c r="A3430" s="6" t="str">
        <f>IFERROR(__xludf.DUMMYFUNCTION("""COMPUTED_VALUE"""),"MOB")</f>
        <v>MOB</v>
      </c>
      <c r="B3430" s="6" t="str">
        <f>IFERROR(__xludf.DUMMYFUNCTION("""COMPUTED_VALUE"""),"ENG")</f>
        <v>ENG</v>
      </c>
      <c r="C3430" s="6" t="str">
        <f>IFERROR(__xludf.DUMMYFUNCTION("""COMPUTED_VALUE"""),"-")</f>
        <v>-</v>
      </c>
      <c r="D3430" s="6" t="str">
        <f>IFERROR(__xludf.DUMMYFUNCTION("""COMPUTED_VALUE"""),"Ferrule 1/2")</f>
        <v>Ferrule 1/2</v>
      </c>
      <c r="E3430" s="6">
        <f>IFERROR(__xludf.DUMMYFUNCTION("""COMPUTED_VALUE"""),2.0)</f>
        <v>2</v>
      </c>
      <c r="F3430" s="6">
        <f>IFERROR(__xludf.DUMMYFUNCTION("""COMPUTED_VALUE"""),2.0)</f>
        <v>2</v>
      </c>
      <c r="G3430" s="6">
        <f>IFERROR(__xludf.DUMMYFUNCTION("""COMPUTED_VALUE"""),0.0)</f>
        <v>0</v>
      </c>
      <c r="H3430" s="6" t="str">
        <f>IFERROR(__xludf.DUMMYFUNCTION("""COMPUTED_VALUE"""),"Pcs")</f>
        <v>Pcs</v>
      </c>
      <c r="I3430" s="6" t="str">
        <f>IFERROR(__xludf.DUMMYFUNCTION("""COMPUTED_VALUE"""),"MFH")</f>
        <v>MFH</v>
      </c>
      <c r="J3430" s="6" t="str">
        <f>IFERROR(__xludf.DUMMYFUNCTION("""COMPUTED_VALUE"""),"-")</f>
        <v>-</v>
      </c>
      <c r="K3430" s="6" t="str">
        <f>IFERROR(__xludf.DUMMYFUNCTION("""COMPUTED_VALUE"""),"SPR/26/03/053")</f>
        <v>SPR/26/03/053</v>
      </c>
      <c r="L3430" s="13">
        <f>IFERROR(__xludf.DUMMYFUNCTION("""COMPUTED_VALUE"""),46112.0)</f>
        <v>46112</v>
      </c>
    </row>
    <row r="3431">
      <c r="A3431" s="6" t="str">
        <f>IFERROR(__xludf.DUMMYFUNCTION("""COMPUTED_VALUE"""),"ROS")</f>
        <v>ROS</v>
      </c>
      <c r="B3431" s="6" t="str">
        <f>IFERROR(__xludf.DUMMYFUNCTION("""COMPUTED_VALUE"""),"ENG")</f>
        <v>ENG</v>
      </c>
      <c r="C3431" s="6" t="str">
        <f>IFERROR(__xludf.DUMMYFUNCTION("""COMPUTED_VALUE"""),"O-16032-00")</f>
        <v>O-16032-00</v>
      </c>
      <c r="D3431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431" s="6">
        <f>IFERROR(__xludf.DUMMYFUNCTION("""COMPUTED_VALUE"""),1.0)</f>
        <v>1</v>
      </c>
      <c r="F3431" s="6">
        <f>IFERROR(__xludf.DUMMYFUNCTION("""COMPUTED_VALUE"""),1.0)</f>
        <v>1</v>
      </c>
      <c r="G3431" s="6">
        <f>IFERROR(__xludf.DUMMYFUNCTION("""COMPUTED_VALUE"""),0.0)</f>
        <v>0</v>
      </c>
      <c r="H3431" s="6" t="str">
        <f>IFERROR(__xludf.DUMMYFUNCTION("""COMPUTED_VALUE"""),"Pcs")</f>
        <v>Pcs</v>
      </c>
      <c r="I3431" s="6" t="str">
        <f>IFERROR(__xludf.DUMMYFUNCTION("""COMPUTED_VALUE"""),"MFH")</f>
        <v>MFH</v>
      </c>
      <c r="J3431" s="6" t="str">
        <f>IFERROR(__xludf.DUMMYFUNCTION("""COMPUTED_VALUE"""),"cRABS")</f>
        <v>cRABS</v>
      </c>
      <c r="K3431" s="6" t="str">
        <f>IFERROR(__xludf.DUMMYFUNCTION("""COMPUTED_VALUE"""),"SPR/26/03/054")</f>
        <v>SPR/26/03/054</v>
      </c>
      <c r="L3431" s="13">
        <f>IFERROR(__xludf.DUMMYFUNCTION("""COMPUTED_VALUE"""),46112.0)</f>
        <v>46112</v>
      </c>
    </row>
    <row r="3432">
      <c r="A3432" s="6" t="str">
        <f>IFERROR(__xludf.DUMMYFUNCTION("""COMPUTED_VALUE"""),"KPR")</f>
        <v>KPR</v>
      </c>
      <c r="B3432" s="6" t="str">
        <f>IFERROR(__xludf.DUMMYFUNCTION("""COMPUTED_VALUE"""),"QAS")</f>
        <v>QAS</v>
      </c>
      <c r="C3432" s="6" t="str">
        <f>IFERROR(__xludf.DUMMYFUNCTION("""COMPUTED_VALUE"""),"O-21327-00")</f>
        <v>O-21327-00</v>
      </c>
      <c r="D3432" s="6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E3432" s="6">
        <f>IFERROR(__xludf.DUMMYFUNCTION("""COMPUTED_VALUE"""),27.0)</f>
        <v>27</v>
      </c>
      <c r="F3432" s="6">
        <f>IFERROR(__xludf.DUMMYFUNCTION("""COMPUTED_VALUE"""),27.0)</f>
        <v>27</v>
      </c>
      <c r="G3432" s="6">
        <f>IFERROR(__xludf.DUMMYFUNCTION("""COMPUTED_VALUE"""),0.0)</f>
        <v>0</v>
      </c>
      <c r="H3432" s="6" t="str">
        <f>IFERROR(__xludf.DUMMYFUNCTION("""COMPUTED_VALUE"""),"Pcs")</f>
        <v>Pcs</v>
      </c>
      <c r="I3432" s="6" t="str">
        <f>IFERROR(__xludf.DUMMYFUNCTION("""COMPUTED_VALUE"""),"MFH")</f>
        <v>MFH</v>
      </c>
      <c r="J3432" s="6" t="str">
        <f>IFERROR(__xludf.DUMMYFUNCTION("""COMPUTED_VALUE"""),"FD")</f>
        <v>FD</v>
      </c>
      <c r="K3432" s="6" t="str">
        <f>IFERROR(__xludf.DUMMYFUNCTION("""COMPUTED_VALUE"""),"SPR/26/03/055")</f>
        <v>SPR/26/03/055</v>
      </c>
      <c r="L3432" s="13">
        <f>IFERROR(__xludf.DUMMYFUNCTION("""COMPUTED_VALUE"""),46112.0)</f>
        <v>46112</v>
      </c>
    </row>
    <row r="3433">
      <c r="A3433" s="6" t="str">
        <f>IFERROR(__xludf.DUMMYFUNCTION("""COMPUTED_VALUE"""),"ROS")</f>
        <v>ROS</v>
      </c>
      <c r="B3433" s="6" t="str">
        <f>IFERROR(__xludf.DUMMYFUNCTION("""COMPUTED_VALUE"""),"ENG")</f>
        <v>ENG</v>
      </c>
      <c r="C3433" s="6" t="str">
        <f>IFERROR(__xludf.DUMMYFUNCTION("""COMPUTED_VALUE"""),"P-18963-00")</f>
        <v>P-18963-00</v>
      </c>
      <c r="D3433" s="6" t="str">
        <f>IFERROR(__xludf.DUMMYFUNCTION("""COMPUTED_VALUE"""),"Tubing Nylon Putih 6x8; ; ;")</f>
        <v>Tubing Nylon Putih 6x8; ; ;</v>
      </c>
      <c r="E3433" s="6">
        <f>IFERROR(__xludf.DUMMYFUNCTION("""COMPUTED_VALUE"""),30.0)</f>
        <v>30</v>
      </c>
      <c r="F3433" s="6">
        <f>IFERROR(__xludf.DUMMYFUNCTION("""COMPUTED_VALUE"""),30.0)</f>
        <v>30</v>
      </c>
      <c r="G3433" s="6">
        <f>IFERROR(__xludf.DUMMYFUNCTION("""COMPUTED_VALUE"""),0.0)</f>
        <v>0</v>
      </c>
      <c r="H3433" s="6" t="str">
        <f>IFERROR(__xludf.DUMMYFUNCTION("""COMPUTED_VALUE"""),"pcs")</f>
        <v>pcs</v>
      </c>
      <c r="I3433" s="6" t="str">
        <f>IFERROR(__xludf.DUMMYFUNCTION("""COMPUTED_VALUE"""),"MFH")</f>
        <v>MFH</v>
      </c>
      <c r="J3433" s="6" t="str">
        <f>IFERROR(__xludf.DUMMYFUNCTION("""COMPUTED_VALUE"""),"Autoclave")</f>
        <v>Autoclave</v>
      </c>
      <c r="K3433" s="6" t="str">
        <f>IFERROR(__xludf.DUMMYFUNCTION("""COMPUTED_VALUE"""),"SPR/26/03/056")</f>
        <v>SPR/26/03/056</v>
      </c>
      <c r="L3433" s="13">
        <f>IFERROR(__xludf.DUMMYFUNCTION("""COMPUTED_VALUE"""),46112.0)</f>
        <v>46112</v>
      </c>
    </row>
    <row r="3434">
      <c r="A3434" s="6" t="str">
        <f>IFERROR(__xludf.DUMMYFUNCTION("""COMPUTED_VALUE"""),"ROS")</f>
        <v>ROS</v>
      </c>
      <c r="B3434" s="6" t="str">
        <f>IFERROR(__xludf.DUMMYFUNCTION("""COMPUTED_VALUE"""),"ENG")</f>
        <v>ENG</v>
      </c>
      <c r="C3434" s="6" t="str">
        <f>IFERROR(__xludf.DUMMYFUNCTION("""COMPUTED_VALUE"""),"P-11185-00")</f>
        <v>P-11185-00</v>
      </c>
      <c r="D3434" s="6" t="str">
        <f>IFERROR(__xludf.DUMMYFUNCTION("""COMPUTED_VALUE"""),"General - Push-in Connector, QS-8-6; Festo; 153038; 1 pcs")</f>
        <v>General - Push-in Connector, QS-8-6; Festo; 153038; 1 pcs</v>
      </c>
      <c r="E3434" s="6">
        <f>IFERROR(__xludf.DUMMYFUNCTION("""COMPUTED_VALUE"""),1.0)</f>
        <v>1</v>
      </c>
      <c r="F3434" s="6">
        <f>IFERROR(__xludf.DUMMYFUNCTION("""COMPUTED_VALUE"""),1.0)</f>
        <v>1</v>
      </c>
      <c r="G3434" s="6">
        <f>IFERROR(__xludf.DUMMYFUNCTION("""COMPUTED_VALUE"""),0.0)</f>
        <v>0</v>
      </c>
      <c r="H3434" s="6" t="str">
        <f>IFERROR(__xludf.DUMMYFUNCTION("""COMPUTED_VALUE"""),"Pcs")</f>
        <v>Pcs</v>
      </c>
      <c r="I3434" s="6" t="str">
        <f>IFERROR(__xludf.DUMMYFUNCTION("""COMPUTED_VALUE"""),"MFH")</f>
        <v>MFH</v>
      </c>
      <c r="J3434" s="6" t="str">
        <f>IFERROR(__xludf.DUMMYFUNCTION("""COMPUTED_VALUE"""),"Autoclave")</f>
        <v>Autoclave</v>
      </c>
      <c r="K3434" s="6" t="str">
        <f>IFERROR(__xludf.DUMMYFUNCTION("""COMPUTED_VALUE"""),"SPR/26/03/056")</f>
        <v>SPR/26/03/056</v>
      </c>
      <c r="L3434" s="13">
        <f>IFERROR(__xludf.DUMMYFUNCTION("""COMPUTED_VALUE"""),46112.0)</f>
        <v>46112</v>
      </c>
    </row>
    <row r="3435">
      <c r="A3435" s="6" t="str">
        <f>IFERROR(__xludf.DUMMYFUNCTION("""COMPUTED_VALUE"""),"NDS")</f>
        <v>NDS</v>
      </c>
      <c r="B3435" s="6" t="str">
        <f>IFERROR(__xludf.DUMMYFUNCTION("""COMPUTED_VALUE"""),"ENG")</f>
        <v>ENG</v>
      </c>
      <c r="C3435" s="6" t="str">
        <f>IFERROR(__xludf.DUMMYFUNCTION("""COMPUTED_VALUE"""),"P-11968-00")</f>
        <v>P-11968-00</v>
      </c>
      <c r="D3435" s="6" t="str">
        <f>IFERROR(__xludf.DUMMYFUNCTION("""COMPUTED_VALUE"""),"Berusynt FGH Spray H1 - Bechem")</f>
        <v>Berusynt FGH Spray H1 - Bechem</v>
      </c>
      <c r="E3435" s="6">
        <f>IFERROR(__xludf.DUMMYFUNCTION("""COMPUTED_VALUE"""),1.0)</f>
        <v>1</v>
      </c>
      <c r="F3435" s="6">
        <f>IFERROR(__xludf.DUMMYFUNCTION("""COMPUTED_VALUE"""),1.0)</f>
        <v>1</v>
      </c>
      <c r="G3435" s="6">
        <f>IFERROR(__xludf.DUMMYFUNCTION("""COMPUTED_VALUE"""),0.0)</f>
        <v>0</v>
      </c>
      <c r="H3435" s="6" t="str">
        <f>IFERROR(__xludf.DUMMYFUNCTION("""COMPUTED_VALUE"""),"Pcs")</f>
        <v>Pcs</v>
      </c>
      <c r="I3435" s="6" t="str">
        <f>IFERROR(__xludf.DUMMYFUNCTION("""COMPUTED_VALUE"""),"MFH")</f>
        <v>MFH</v>
      </c>
      <c r="J3435" s="6" t="str">
        <f>IFERROR(__xludf.DUMMYFUNCTION("""COMPUTED_VALUE"""),"Blistering")</f>
        <v>Blistering</v>
      </c>
      <c r="K3435" s="6" t="str">
        <f>IFERROR(__xludf.DUMMYFUNCTION("""COMPUTED_VALUE"""),"SPR/26/03/057")</f>
        <v>SPR/26/03/057</v>
      </c>
      <c r="L3435" s="13">
        <f>IFERROR(__xludf.DUMMYFUNCTION("""COMPUTED_VALUE"""),46112.0)</f>
        <v>46112</v>
      </c>
    </row>
    <row r="3436">
      <c r="A3436" s="6" t="str">
        <f>IFERROR(__xludf.DUMMYFUNCTION("""COMPUTED_VALUE"""),"ROS")</f>
        <v>ROS</v>
      </c>
      <c r="B3436" s="6" t="str">
        <f>IFERROR(__xludf.DUMMYFUNCTION("""COMPUTED_VALUE"""),"ENG")</f>
        <v>ENG</v>
      </c>
      <c r="C3436" s="6" t="str">
        <f>IFERROR(__xludf.DUMMYFUNCTION("""COMPUTED_VALUE"""),"O-16647-00")</f>
        <v>O-16647-00</v>
      </c>
      <c r="D3436" s="6" t="str">
        <f>IFERROR(__xludf.DUMMYFUNCTION("""COMPUTED_VALUE"""),"Washing RAR4 - Oring Silicone Merah 23x18x2.5 mm; ; ;")</f>
        <v>Washing RAR4 - Oring Silicone Merah 23x18x2.5 mm; ; ;</v>
      </c>
      <c r="E3436" s="6">
        <f>IFERROR(__xludf.DUMMYFUNCTION("""COMPUTED_VALUE"""),10.0)</f>
        <v>10</v>
      </c>
      <c r="F3436" s="6">
        <f>IFERROR(__xludf.DUMMYFUNCTION("""COMPUTED_VALUE"""),10.0)</f>
        <v>10</v>
      </c>
      <c r="G3436" s="6">
        <f>IFERROR(__xludf.DUMMYFUNCTION("""COMPUTED_VALUE"""),0.0)</f>
        <v>0</v>
      </c>
      <c r="H3436" s="6" t="str">
        <f>IFERROR(__xludf.DUMMYFUNCTION("""COMPUTED_VALUE"""),"Pcs")</f>
        <v>Pcs</v>
      </c>
      <c r="I3436" s="6" t="str">
        <f>IFERROR(__xludf.DUMMYFUNCTION("""COMPUTED_VALUE"""),"MFH")</f>
        <v>MFH</v>
      </c>
      <c r="J3436" s="6" t="str">
        <f>IFERROR(__xludf.DUMMYFUNCTION("""COMPUTED_VALUE"""),"Capping")</f>
        <v>Capping</v>
      </c>
      <c r="K3436" s="6" t="str">
        <f>IFERROR(__xludf.DUMMYFUNCTION("""COMPUTED_VALUE"""),"SPR/26/03/058")</f>
        <v>SPR/26/03/058</v>
      </c>
      <c r="L3436" s="13">
        <f>IFERROR(__xludf.DUMMYFUNCTION("""COMPUTED_VALUE"""),46112.0)</f>
        <v>46112</v>
      </c>
    </row>
    <row r="3437">
      <c r="A3437" s="6" t="str">
        <f>IFERROR(__xludf.DUMMYFUNCTION("""COMPUTED_VALUE"""),"SFH")</f>
        <v>SFH</v>
      </c>
      <c r="B3437" s="6" t="str">
        <f>IFERROR(__xludf.DUMMYFUNCTION("""COMPUTED_VALUE"""),"ENG")</f>
        <v>ENG</v>
      </c>
      <c r="C3437" s="6" t="str">
        <f>IFERROR(__xludf.DUMMYFUNCTION("""COMPUTED_VALUE"""),"P-54447-00")</f>
        <v>P-54447-00</v>
      </c>
      <c r="D3437" s="6" t="str">
        <f>IFERROR(__xludf.DUMMYFUNCTION("""COMPUTED_VALUE"""),"General - Lampu LED Downlight DN027B G3 D125 9W, 900 lm, 65k, Putih; Philips; -; 1 pc")</f>
        <v>General - Lampu LED Downlight DN027B G3 D125 9W, 900 lm, 65k, Putih; Philips; -; 1 pc</v>
      </c>
      <c r="E3437" s="6">
        <f>IFERROR(__xludf.DUMMYFUNCTION("""COMPUTED_VALUE"""),48.0)</f>
        <v>48</v>
      </c>
      <c r="F3437" s="6">
        <f>IFERROR(__xludf.DUMMYFUNCTION("""COMPUTED_VALUE"""),48.0)</f>
        <v>48</v>
      </c>
      <c r="G3437" s="6">
        <f>IFERROR(__xludf.DUMMYFUNCTION("""COMPUTED_VALUE"""),0.0)</f>
        <v>0</v>
      </c>
      <c r="H3437" s="6" t="str">
        <f>IFERROR(__xludf.DUMMYFUNCTION("""COMPUTED_VALUE"""),"Pcs")</f>
        <v>Pcs</v>
      </c>
      <c r="I3437" s="6" t="str">
        <f>IFERROR(__xludf.DUMMYFUNCTION("""COMPUTED_VALUE"""),"MFH")</f>
        <v>MFH</v>
      </c>
      <c r="J3437" s="6" t="str">
        <f>IFERROR(__xludf.DUMMYFUNCTION("""COMPUTED_VALUE"""),"Building")</f>
        <v>Building</v>
      </c>
      <c r="K3437" s="6" t="str">
        <f>IFERROR(__xludf.DUMMYFUNCTION("""COMPUTED_VALUE"""),"SPR/26/03/059")</f>
        <v>SPR/26/03/059</v>
      </c>
      <c r="L3437" s="13">
        <f>IFERROR(__xludf.DUMMYFUNCTION("""COMPUTED_VALUE"""),46112.0)</f>
        <v>46112</v>
      </c>
    </row>
    <row r="3438">
      <c r="A3438" s="6" t="str">
        <f>IFERROR(__xludf.DUMMYFUNCTION("""COMPUTED_VALUE"""),"BDU")</f>
        <v>BDU</v>
      </c>
      <c r="B3438" s="6" t="str">
        <f>IFERROR(__xludf.DUMMYFUNCTION("""COMPUTED_VALUE"""),"ENG")</f>
        <v>ENG</v>
      </c>
      <c r="C3438" s="6" t="str">
        <f>IFERROR(__xludf.DUMMYFUNCTION("""COMPUTED_VALUE"""),"Q-10845-00")</f>
        <v>Q-10845-00</v>
      </c>
      <c r="D3438" s="6" t="str">
        <f>IFERROR(__xludf.DUMMYFUNCTION("""COMPUTED_VALUE"""),"Fitting Lampu Bholam E27; ; ; pcs")</f>
        <v>Fitting Lampu Bholam E27; ; ; pcs</v>
      </c>
      <c r="E3438" s="6">
        <f>IFERROR(__xludf.DUMMYFUNCTION("""COMPUTED_VALUE"""),1.0)</f>
        <v>1</v>
      </c>
      <c r="F3438" s="6">
        <f>IFERROR(__xludf.DUMMYFUNCTION("""COMPUTED_VALUE"""),1.0)</f>
        <v>1</v>
      </c>
      <c r="G3438" s="6">
        <f>IFERROR(__xludf.DUMMYFUNCTION("""COMPUTED_VALUE"""),0.0)</f>
        <v>0</v>
      </c>
      <c r="H3438" s="6" t="str">
        <f>IFERROR(__xludf.DUMMYFUNCTION("""COMPUTED_VALUE"""),"Pcs")</f>
        <v>Pcs</v>
      </c>
      <c r="I3438" s="6" t="str">
        <f>IFERROR(__xludf.DUMMYFUNCTION("""COMPUTED_VALUE"""),"MFH")</f>
        <v>MFH</v>
      </c>
      <c r="J3438" s="6" t="str">
        <f>IFERROR(__xludf.DUMMYFUNCTION("""COMPUTED_VALUE"""),"Fumehood")</f>
        <v>Fumehood</v>
      </c>
      <c r="K3438" s="6" t="str">
        <f>IFERROR(__xludf.DUMMYFUNCTION("""COMPUTED_VALUE"""),"SPR/26/03/060")</f>
        <v>SPR/26/03/060</v>
      </c>
      <c r="L3438" s="13">
        <f>IFERROR(__xludf.DUMMYFUNCTION("""COMPUTED_VALUE"""),46112.0)</f>
        <v>46112</v>
      </c>
    </row>
    <row r="3439">
      <c r="A3439" s="6" t="str">
        <f>IFERROR(__xludf.DUMMYFUNCTION("""COMPUTED_VALUE"""),"BDU")</f>
        <v>BDU</v>
      </c>
      <c r="B3439" s="6" t="str">
        <f>IFERROR(__xludf.DUMMYFUNCTION("""COMPUTED_VALUE"""),"ENG")</f>
        <v>ENG</v>
      </c>
      <c r="C3439" s="6" t="str">
        <f>IFERROR(__xludf.DUMMYFUNCTION("""COMPUTED_VALUE"""),"P-11694-00")</f>
        <v>P-11694-00</v>
      </c>
      <c r="D3439" s="6" t="str">
        <f>IFERROR(__xludf.DUMMYFUNCTION("""COMPUTED_VALUE"""),"Mata Gerinda 4""")</f>
        <v>Mata Gerinda 4"</v>
      </c>
      <c r="E3439" s="6">
        <f>IFERROR(__xludf.DUMMYFUNCTION("""COMPUTED_VALUE"""),1.0)</f>
        <v>1</v>
      </c>
      <c r="F3439" s="6">
        <f>IFERROR(__xludf.DUMMYFUNCTION("""COMPUTED_VALUE"""),1.0)</f>
        <v>1</v>
      </c>
      <c r="G3439" s="6">
        <f>IFERROR(__xludf.DUMMYFUNCTION("""COMPUTED_VALUE"""),0.0)</f>
        <v>0</v>
      </c>
      <c r="H3439" s="6" t="str">
        <f>IFERROR(__xludf.DUMMYFUNCTION("""COMPUTED_VALUE"""),"Pcs")</f>
        <v>Pcs</v>
      </c>
      <c r="I3439" s="6" t="str">
        <f>IFERROR(__xludf.DUMMYFUNCTION("""COMPUTED_VALUE"""),"MFH")</f>
        <v>MFH</v>
      </c>
      <c r="J3439" s="6" t="str">
        <f>IFERROR(__xludf.DUMMYFUNCTION("""COMPUTED_VALUE"""),"Blistering")</f>
        <v>Blistering</v>
      </c>
      <c r="K3439" s="6" t="str">
        <f>IFERROR(__xludf.DUMMYFUNCTION("""COMPUTED_VALUE"""),"SPR/26/03/060")</f>
        <v>SPR/26/03/060</v>
      </c>
      <c r="L3439" s="13">
        <f>IFERROR(__xludf.DUMMYFUNCTION("""COMPUTED_VALUE"""),46112.0)</f>
        <v>46112</v>
      </c>
    </row>
    <row r="3440">
      <c r="A3440" s="6" t="str">
        <f>IFERROR(__xludf.DUMMYFUNCTION("""COMPUTED_VALUE"""),"ANO")</f>
        <v>ANO</v>
      </c>
      <c r="B3440" s="6" t="str">
        <f>IFERROR(__xludf.DUMMYFUNCTION("""COMPUTED_VALUE"""),"ENG")</f>
        <v>ENG</v>
      </c>
      <c r="C3440" s="6" t="str">
        <f>IFERROR(__xludf.DUMMYFUNCTION("""COMPUTED_VALUE"""),"P-53050-00")</f>
        <v>P-53050-00</v>
      </c>
      <c r="D3440" s="6" t="str">
        <f>IFERROR(__xludf.DUMMYFUNCTION("""COMPUTED_VALUE"""),"General - Pompa Magnetik 150W 1 phase; Sanso; PMD 1564; 1 Unit")</f>
        <v>General - Pompa Magnetik 150W 1 phase; Sanso; PMD 1564; 1 Unit</v>
      </c>
      <c r="E3440" s="6">
        <f>IFERROR(__xludf.DUMMYFUNCTION("""COMPUTED_VALUE"""),1.0)</f>
        <v>1</v>
      </c>
      <c r="F3440" s="6">
        <f>IFERROR(__xludf.DUMMYFUNCTION("""COMPUTED_VALUE"""),1.0)</f>
        <v>1</v>
      </c>
      <c r="G3440" s="6">
        <f>IFERROR(__xludf.DUMMYFUNCTION("""COMPUTED_VALUE"""),0.0)</f>
        <v>0</v>
      </c>
      <c r="H3440" s="6" t="str">
        <f>IFERROR(__xludf.DUMMYFUNCTION("""COMPUTED_VALUE"""),"Unit")</f>
        <v>Unit</v>
      </c>
      <c r="I3440" s="6" t="str">
        <f>IFERROR(__xludf.DUMMYFUNCTION("""COMPUTED_VALUE"""),"MFH")</f>
        <v>MFH</v>
      </c>
      <c r="J3440" s="6" t="str">
        <f>IFERROR(__xludf.DUMMYFUNCTION("""COMPUTED_VALUE"""),"WWTP")</f>
        <v>WWTP</v>
      </c>
      <c r="K3440" s="6" t="str">
        <f>IFERROR(__xludf.DUMMYFUNCTION("""COMPUTED_VALUE"""),"SPR/26/03/061")</f>
        <v>SPR/26/03/061</v>
      </c>
      <c r="L3440" s="13">
        <f>IFERROR(__xludf.DUMMYFUNCTION("""COMPUTED_VALUE"""),46112.0)</f>
        <v>46112</v>
      </c>
    </row>
    <row r="3441">
      <c r="A3441" s="6" t="str">
        <f>IFERROR(__xludf.DUMMYFUNCTION("""COMPUTED_VALUE"""),"MRN")</f>
        <v>MRN</v>
      </c>
      <c r="B3441" s="6" t="str">
        <f>IFERROR(__xludf.DUMMYFUNCTION("""COMPUTED_VALUE"""),"ENG")</f>
        <v>ENG</v>
      </c>
      <c r="C3441" s="6" t="str">
        <f>IFERROR(__xludf.DUMMYFUNCTION("""COMPUTED_VALUE"""),"Q-60213-00")</f>
        <v>Q-60213-00</v>
      </c>
      <c r="D3441" s="6" t="str">
        <f>IFERROR(__xludf.DUMMYFUNCTION("""COMPUTED_VALUE"""),"Cat F-Talit KF 125, F-Talit, Type Grass Green, pack size per 1 kg")</f>
        <v>Cat F-Talit KF 125, F-Talit, Type Grass Green, pack size per 1 kg</v>
      </c>
      <c r="E3441" s="6">
        <f>IFERROR(__xludf.DUMMYFUNCTION("""COMPUTED_VALUE"""),1.0)</f>
        <v>1</v>
      </c>
      <c r="F3441" s="6">
        <f>IFERROR(__xludf.DUMMYFUNCTION("""COMPUTED_VALUE"""),1.0)</f>
        <v>1</v>
      </c>
      <c r="G3441" s="6">
        <f>IFERROR(__xludf.DUMMYFUNCTION("""COMPUTED_VALUE"""),0.0)</f>
        <v>0</v>
      </c>
      <c r="H3441" s="6" t="str">
        <f>IFERROR(__xludf.DUMMYFUNCTION("""COMPUTED_VALUE"""),"Can")</f>
        <v>Can</v>
      </c>
      <c r="I3441" s="6" t="str">
        <f>IFERROR(__xludf.DUMMYFUNCTION("""COMPUTED_VALUE"""),"MFH")</f>
        <v>MFH</v>
      </c>
      <c r="J3441" s="6" t="str">
        <f>IFERROR(__xludf.DUMMYFUNCTION("""COMPUTED_VALUE"""),"AHU")</f>
        <v>AHU</v>
      </c>
      <c r="K3441" s="6" t="str">
        <f>IFERROR(__xludf.DUMMYFUNCTION("""COMPUTED_VALUE"""),"SPR/26/03/062")</f>
        <v>SPR/26/03/062</v>
      </c>
      <c r="L3441" s="13">
        <f>IFERROR(__xludf.DUMMYFUNCTION("""COMPUTED_VALUE"""),46112.0)</f>
        <v>46112</v>
      </c>
    </row>
    <row r="3442">
      <c r="A3442" s="6" t="str">
        <f>IFERROR(__xludf.DUMMYFUNCTION("""COMPUTED_VALUE"""),"MRN")</f>
        <v>MRN</v>
      </c>
      <c r="B3442" s="6" t="str">
        <f>IFERROR(__xludf.DUMMYFUNCTION("""COMPUTED_VALUE"""),"ENG")</f>
        <v>ENG</v>
      </c>
      <c r="C3442" s="6" t="str">
        <f>IFERROR(__xludf.DUMMYFUNCTION("""COMPUTED_VALUE"""),"-")</f>
        <v>-</v>
      </c>
      <c r="D3442" s="6" t="str">
        <f>IFERROR(__xludf.DUMMYFUNCTION("""COMPUTED_VALUE"""),"Pilox Merah")</f>
        <v>Pilox Merah</v>
      </c>
      <c r="E3442" s="6">
        <f>IFERROR(__xludf.DUMMYFUNCTION("""COMPUTED_VALUE"""),1.0)</f>
        <v>1</v>
      </c>
      <c r="F3442" s="6">
        <f>IFERROR(__xludf.DUMMYFUNCTION("""COMPUTED_VALUE"""),1.0)</f>
        <v>1</v>
      </c>
      <c r="G3442" s="6">
        <f>IFERROR(__xludf.DUMMYFUNCTION("""COMPUTED_VALUE"""),0.0)</f>
        <v>0</v>
      </c>
      <c r="H3442" s="6" t="str">
        <f>IFERROR(__xludf.DUMMYFUNCTION("""COMPUTED_VALUE"""),"Can")</f>
        <v>Can</v>
      </c>
      <c r="I3442" s="6" t="str">
        <f>IFERROR(__xludf.DUMMYFUNCTION("""COMPUTED_VALUE"""),"MFH")</f>
        <v>MFH</v>
      </c>
      <c r="J3442" s="6" t="str">
        <f>IFERROR(__xludf.DUMMYFUNCTION("""COMPUTED_VALUE"""),"AHU")</f>
        <v>AHU</v>
      </c>
      <c r="K3442" s="6" t="str">
        <f>IFERROR(__xludf.DUMMYFUNCTION("""COMPUTED_VALUE"""),"SPR/26/03/062")</f>
        <v>SPR/26/03/062</v>
      </c>
      <c r="L3442" s="13">
        <f>IFERROR(__xludf.DUMMYFUNCTION("""COMPUTED_VALUE"""),46112.0)</f>
        <v>46112</v>
      </c>
    </row>
    <row r="3443">
      <c r="A3443" s="6" t="str">
        <f>IFERROR(__xludf.DUMMYFUNCTION("""COMPUTED_VALUE"""),"MRN")</f>
        <v>MRN</v>
      </c>
      <c r="B3443" s="6" t="str">
        <f>IFERROR(__xludf.DUMMYFUNCTION("""COMPUTED_VALUE"""),"ENG")</f>
        <v>ENG</v>
      </c>
      <c r="C3443" s="6" t="str">
        <f>IFERROR(__xludf.DUMMYFUNCTION("""COMPUTED_VALUE"""),"-")</f>
        <v>-</v>
      </c>
      <c r="D3443" s="6" t="str">
        <f>IFERROR(__xludf.DUMMYFUNCTION("""COMPUTED_VALUE"""),"Pilox Biru")</f>
        <v>Pilox Biru</v>
      </c>
      <c r="E3443" s="6">
        <f>IFERROR(__xludf.DUMMYFUNCTION("""COMPUTED_VALUE"""),1.0)</f>
        <v>1</v>
      </c>
      <c r="F3443" s="6">
        <f>IFERROR(__xludf.DUMMYFUNCTION("""COMPUTED_VALUE"""),1.0)</f>
        <v>1</v>
      </c>
      <c r="G3443" s="6">
        <f>IFERROR(__xludf.DUMMYFUNCTION("""COMPUTED_VALUE"""),0.0)</f>
        <v>0</v>
      </c>
      <c r="H3443" s="6" t="str">
        <f>IFERROR(__xludf.DUMMYFUNCTION("""COMPUTED_VALUE"""),"Can")</f>
        <v>Can</v>
      </c>
      <c r="I3443" s="6" t="str">
        <f>IFERROR(__xludf.DUMMYFUNCTION("""COMPUTED_VALUE"""),"MFH")</f>
        <v>MFH</v>
      </c>
      <c r="J3443" s="6" t="str">
        <f>IFERROR(__xludf.DUMMYFUNCTION("""COMPUTED_VALUE"""),"AHU")</f>
        <v>AHU</v>
      </c>
      <c r="K3443" s="6" t="str">
        <f>IFERROR(__xludf.DUMMYFUNCTION("""COMPUTED_VALUE"""),"SPR/26/03/062")</f>
        <v>SPR/26/03/062</v>
      </c>
      <c r="L3443" s="13">
        <f>IFERROR(__xludf.DUMMYFUNCTION("""COMPUTED_VALUE"""),46112.0)</f>
        <v>46112</v>
      </c>
    </row>
    <row r="3444">
      <c r="A3444" s="6" t="str">
        <f>IFERROR(__xludf.DUMMYFUNCTION("""COMPUTED_VALUE"""),"RSP")</f>
        <v>RSP</v>
      </c>
      <c r="B3444" s="6" t="str">
        <f>IFERROR(__xludf.DUMMYFUNCTION("""COMPUTED_VALUE"""),"PRO")</f>
        <v>PRO</v>
      </c>
      <c r="C3444" s="6" t="str">
        <f>IFERROR(__xludf.DUMMYFUNCTION("""COMPUTED_VALUE"""),"P-15852-00")</f>
        <v>P-15852-00</v>
      </c>
      <c r="D3444" s="6" t="str">
        <f>IFERROR(__xludf.DUMMYFUNCTION("""COMPUTED_VALUE"""),"AMPLAS  EAGLE 500")</f>
        <v>AMPLAS  EAGLE 500</v>
      </c>
      <c r="E3444" s="6">
        <f>IFERROR(__xludf.DUMMYFUNCTION("""COMPUTED_VALUE"""),2.0)</f>
        <v>2</v>
      </c>
      <c r="F3444" s="6">
        <f>IFERROR(__xludf.DUMMYFUNCTION("""COMPUTED_VALUE"""),2.0)</f>
        <v>2</v>
      </c>
      <c r="G3444" s="6">
        <f>IFERROR(__xludf.DUMMYFUNCTION("""COMPUTED_VALUE"""),0.0)</f>
        <v>0</v>
      </c>
      <c r="H3444" s="6" t="str">
        <f>IFERROR(__xludf.DUMMYFUNCTION("""COMPUTED_VALUE"""),"Pcs")</f>
        <v>Pcs</v>
      </c>
      <c r="I3444" s="6" t="str">
        <f>IFERROR(__xludf.DUMMYFUNCTION("""COMPUTED_VALUE"""),"MFH")</f>
        <v>MFH</v>
      </c>
      <c r="J3444" s="6" t="str">
        <f>IFERROR(__xludf.DUMMYFUNCTION("""COMPUTED_VALUE"""),"-")</f>
        <v>-</v>
      </c>
      <c r="K3444" s="6" t="str">
        <f>IFERROR(__xludf.DUMMYFUNCTION("""COMPUTED_VALUE"""),"SPR/26/03/063")</f>
        <v>SPR/26/03/063</v>
      </c>
      <c r="L3444" s="13">
        <f>IFERROR(__xludf.DUMMYFUNCTION("""COMPUTED_VALUE"""),46112.0)</f>
        <v>46112</v>
      </c>
    </row>
    <row r="3445">
      <c r="A3445" s="6" t="str">
        <f>IFERROR(__xludf.DUMMYFUNCTION("""COMPUTED_VALUE"""),"RSP")</f>
        <v>RSP</v>
      </c>
      <c r="B3445" s="6" t="str">
        <f>IFERROR(__xludf.DUMMYFUNCTION("""COMPUTED_VALUE"""),"PRO")</f>
        <v>PRO</v>
      </c>
      <c r="C3445" s="6" t="str">
        <f>IFERROR(__xludf.DUMMYFUNCTION("""COMPUTED_VALUE"""),"P-15851-00")</f>
        <v>P-15851-00</v>
      </c>
      <c r="D3445" s="6" t="str">
        <f>IFERROR(__xludf.DUMMYFUNCTION("""COMPUTED_VALUE"""),"General - Ampelas P100; EAGLE; -; 1 pcs")</f>
        <v>General - Ampelas P100; EAGLE; -; 1 pcs</v>
      </c>
      <c r="E3445" s="6">
        <f>IFERROR(__xludf.DUMMYFUNCTION("""COMPUTED_VALUE"""),1.0)</f>
        <v>1</v>
      </c>
      <c r="F3445" s="6">
        <f>IFERROR(__xludf.DUMMYFUNCTION("""COMPUTED_VALUE"""),1.0)</f>
        <v>1</v>
      </c>
      <c r="G3445" s="6">
        <f>IFERROR(__xludf.DUMMYFUNCTION("""COMPUTED_VALUE"""),0.0)</f>
        <v>0</v>
      </c>
      <c r="H3445" s="6" t="str">
        <f>IFERROR(__xludf.DUMMYFUNCTION("""COMPUTED_VALUE"""),"Pcs")</f>
        <v>Pcs</v>
      </c>
      <c r="I3445" s="6" t="str">
        <f>IFERROR(__xludf.DUMMYFUNCTION("""COMPUTED_VALUE"""),"MFH")</f>
        <v>MFH</v>
      </c>
      <c r="J3445" s="6" t="str">
        <f>IFERROR(__xludf.DUMMYFUNCTION("""COMPUTED_VALUE"""),"-")</f>
        <v>-</v>
      </c>
      <c r="K3445" s="6" t="str">
        <f>IFERROR(__xludf.DUMMYFUNCTION("""COMPUTED_VALUE"""),"SPR/26/03/063")</f>
        <v>SPR/26/03/063</v>
      </c>
      <c r="L3445" s="13">
        <f>IFERROR(__xludf.DUMMYFUNCTION("""COMPUTED_VALUE"""),46112.0)</f>
        <v>46112</v>
      </c>
    </row>
    <row r="3446">
      <c r="A3446" s="6" t="str">
        <f>IFERROR(__xludf.DUMMYFUNCTION("""COMPUTED_VALUE"""),"NDS")</f>
        <v>NDS</v>
      </c>
      <c r="B3446" s="6" t="str">
        <f>IFERROR(__xludf.DUMMYFUNCTION("""COMPUTED_VALUE"""),"ENG")</f>
        <v>ENG</v>
      </c>
      <c r="C3446" s="6" t="str">
        <f>IFERROR(__xludf.DUMMYFUNCTION("""COMPUTED_VALUE"""),"P-13389-00")</f>
        <v>P-13389-00</v>
      </c>
      <c r="D3446" s="6" t="str">
        <f>IFERROR(__xludf.DUMMYFUNCTION("""COMPUTED_VALUE"""),"Scotch Brite 3M; ; ;")</f>
        <v>Scotch Brite 3M; ; ;</v>
      </c>
      <c r="E3446" s="6">
        <f>IFERROR(__xludf.DUMMYFUNCTION("""COMPUTED_VALUE"""),1.0)</f>
        <v>1</v>
      </c>
      <c r="F3446" s="6">
        <f>IFERROR(__xludf.DUMMYFUNCTION("""COMPUTED_VALUE"""),1.0)</f>
        <v>1</v>
      </c>
      <c r="G3446" s="6">
        <f>IFERROR(__xludf.DUMMYFUNCTION("""COMPUTED_VALUE"""),0.0)</f>
        <v>0</v>
      </c>
      <c r="H3446" s="6" t="str">
        <f>IFERROR(__xludf.DUMMYFUNCTION("""COMPUTED_VALUE"""),"Pcs")</f>
        <v>Pcs</v>
      </c>
      <c r="I3446" s="6" t="str">
        <f>IFERROR(__xludf.DUMMYFUNCTION("""COMPUTED_VALUE"""),"MFH")</f>
        <v>MFH</v>
      </c>
      <c r="J3446" s="6" t="str">
        <f>IFERROR(__xludf.DUMMYFUNCTION("""COMPUTED_VALUE"""),"-")</f>
        <v>-</v>
      </c>
      <c r="K3446" s="6" t="str">
        <f>IFERROR(__xludf.DUMMYFUNCTION("""COMPUTED_VALUE"""),"SPR/26/03/064")</f>
        <v>SPR/26/03/064</v>
      </c>
      <c r="L3446" s="13">
        <f>IFERROR(__xludf.DUMMYFUNCTION("""COMPUTED_VALUE"""),46112.0)</f>
        <v>46112</v>
      </c>
    </row>
    <row r="3447">
      <c r="A3447" s="6" t="str">
        <f>IFERROR(__xludf.DUMMYFUNCTION("""COMPUTED_VALUE"""),"RIA")</f>
        <v>RIA</v>
      </c>
      <c r="B3447" s="6" t="str">
        <f>IFERROR(__xludf.DUMMYFUNCTION("""COMPUTED_VALUE"""),"ENG")</f>
        <v>ENG</v>
      </c>
      <c r="C3447" s="6" t="str">
        <f>IFERROR(__xludf.DUMMYFUNCTION("""COMPUTED_VALUE"""),"P-53055-00")</f>
        <v>P-53055-00</v>
      </c>
      <c r="D3447" s="6" t="str">
        <f>IFERROR(__xludf.DUMMYFUNCTION("""COMPUTED_VALUE"""),"General - Fuse Keramik Double 160A 690VAC Bussman FEE160")</f>
        <v>General - Fuse Keramik Double 160A 690VAC Bussman FEE160</v>
      </c>
      <c r="E3447" s="6">
        <f>IFERROR(__xludf.DUMMYFUNCTION("""COMPUTED_VALUE"""),3.0)</f>
        <v>3</v>
      </c>
      <c r="F3447" s="6">
        <f>IFERROR(__xludf.DUMMYFUNCTION("""COMPUTED_VALUE"""),3.0)</f>
        <v>3</v>
      </c>
      <c r="G3447" s="6">
        <f>IFERROR(__xludf.DUMMYFUNCTION("""COMPUTED_VALUE"""),0.0)</f>
        <v>0</v>
      </c>
      <c r="H3447" s="6" t="str">
        <f>IFERROR(__xludf.DUMMYFUNCTION("""COMPUTED_VALUE"""),"Pcs")</f>
        <v>Pcs</v>
      </c>
      <c r="I3447" s="6" t="str">
        <f>IFERROR(__xludf.DUMMYFUNCTION("""COMPUTED_VALUE"""),"MFH")</f>
        <v>MFH</v>
      </c>
      <c r="J3447" s="6" t="str">
        <f>IFERROR(__xludf.DUMMYFUNCTION("""COMPUTED_VALUE"""),"Hot Water")</f>
        <v>Hot Water</v>
      </c>
      <c r="K3447" s="6" t="str">
        <f>IFERROR(__xludf.DUMMYFUNCTION("""COMPUTED_VALUE"""),"SPR/26/03/065")</f>
        <v>SPR/26/03/065</v>
      </c>
      <c r="L3447" s="13">
        <f>IFERROR(__xludf.DUMMYFUNCTION("""COMPUTED_VALUE"""),46112.0)</f>
        <v>46112</v>
      </c>
    </row>
    <row r="3448">
      <c r="A3448" s="6" t="str">
        <f>IFERROR(__xludf.DUMMYFUNCTION("""COMPUTED_VALUE"""),"ROS")</f>
        <v>ROS</v>
      </c>
      <c r="B3448" s="6" t="str">
        <f>IFERROR(__xludf.DUMMYFUNCTION("""COMPUTED_VALUE"""),"ENG")</f>
        <v>ENG</v>
      </c>
      <c r="C3448" s="6" t="str">
        <f>IFERROR(__xludf.DUMMYFUNCTION("""COMPUTED_VALUE"""),"P-54348-00")</f>
        <v>P-54348-00</v>
      </c>
      <c r="D3448" s="6" t="str">
        <f>IFERROR(__xludf.DUMMYFUNCTION("""COMPUTED_VALUE"""),"General - Exhaust Fan 4414M; EBMPast; -; 1 pc")</f>
        <v>General - Exhaust Fan 4414M; EBMPast; -; 1 pc</v>
      </c>
      <c r="E3448" s="6">
        <f>IFERROR(__xludf.DUMMYFUNCTION("""COMPUTED_VALUE"""),1.0)</f>
        <v>1</v>
      </c>
      <c r="F3448" s="6">
        <f>IFERROR(__xludf.DUMMYFUNCTION("""COMPUTED_VALUE"""),1.0)</f>
        <v>1</v>
      </c>
      <c r="G3448" s="6">
        <f>IFERROR(__xludf.DUMMYFUNCTION("""COMPUTED_VALUE"""),0.0)</f>
        <v>0</v>
      </c>
      <c r="H3448" s="6" t="str">
        <f>IFERROR(__xludf.DUMMYFUNCTION("""COMPUTED_VALUE"""),"Pcs")</f>
        <v>Pcs</v>
      </c>
      <c r="I3448" s="6" t="str">
        <f>IFERROR(__xludf.DUMMYFUNCTION("""COMPUTED_VALUE"""),"MFH")</f>
        <v>MFH</v>
      </c>
      <c r="J3448" s="6" t="str">
        <f>IFERROR(__xludf.DUMMYFUNCTION("""COMPUTED_VALUE"""),"Dispensing")</f>
        <v>Dispensing</v>
      </c>
      <c r="K3448" s="6" t="str">
        <f>IFERROR(__xludf.DUMMYFUNCTION("""COMPUTED_VALUE"""),"SPR/26/03/066")</f>
        <v>SPR/26/03/066</v>
      </c>
      <c r="L3448" s="13">
        <f>IFERROR(__xludf.DUMMYFUNCTION("""COMPUTED_VALUE"""),46112.0)</f>
        <v>46112</v>
      </c>
    </row>
    <row r="3449">
      <c r="A3449" s="6" t="str">
        <f>IFERROR(__xludf.DUMMYFUNCTION("""COMPUTED_VALUE"""),"SFH")</f>
        <v>SFH</v>
      </c>
      <c r="B3449" s="6" t="str">
        <f>IFERROR(__xludf.DUMMYFUNCTION("""COMPUTED_VALUE"""),"ENG")</f>
        <v>ENG</v>
      </c>
      <c r="C3449" s="6" t="str">
        <f>IFERROR(__xludf.DUMMYFUNCTION("""COMPUTED_VALUE"""),"O-54014-00")</f>
        <v>O-54014-00</v>
      </c>
      <c r="D3449" s="6" t="str">
        <f>IFERROR(__xludf.DUMMYFUNCTION("""COMPUTED_VALUE"""),"STEKER 1 PHASE, BROCO")</f>
        <v>STEKER 1 PHASE, BROCO</v>
      </c>
      <c r="E3449" s="6">
        <f>IFERROR(__xludf.DUMMYFUNCTION("""COMPUTED_VALUE"""),1.0)</f>
        <v>1</v>
      </c>
      <c r="F3449" s="6">
        <f>IFERROR(__xludf.DUMMYFUNCTION("""COMPUTED_VALUE"""),1.0)</f>
        <v>1</v>
      </c>
      <c r="G3449" s="6">
        <f>IFERROR(__xludf.DUMMYFUNCTION("""COMPUTED_VALUE"""),0.0)</f>
        <v>0</v>
      </c>
      <c r="H3449" s="6" t="str">
        <f>IFERROR(__xludf.DUMMYFUNCTION("""COMPUTED_VALUE"""),"Pcs")</f>
        <v>Pcs</v>
      </c>
      <c r="I3449" s="6" t="str">
        <f>IFERROR(__xludf.DUMMYFUNCTION("""COMPUTED_VALUE"""),"MFH")</f>
        <v>MFH</v>
      </c>
      <c r="J3449" s="6" t="str">
        <f>IFERROR(__xludf.DUMMYFUNCTION("""COMPUTED_VALUE"""),"Building")</f>
        <v>Building</v>
      </c>
      <c r="K3449" s="6" t="str">
        <f>IFERROR(__xludf.DUMMYFUNCTION("""COMPUTED_VALUE"""),"SPR/26/03/067")</f>
        <v>SPR/26/03/067</v>
      </c>
      <c r="L3449" s="13">
        <f>IFERROR(__xludf.DUMMYFUNCTION("""COMPUTED_VALUE"""),46112.0)</f>
        <v>46112</v>
      </c>
    </row>
    <row r="3450">
      <c r="A3450" s="6" t="str">
        <f>IFERROR(__xludf.DUMMYFUNCTION("""COMPUTED_VALUE"""),"SFH")</f>
        <v>SFH</v>
      </c>
      <c r="B3450" s="6" t="str">
        <f>IFERROR(__xludf.DUMMYFUNCTION("""COMPUTED_VALUE"""),"ENG")</f>
        <v>ENG</v>
      </c>
      <c r="C3450" s="6" t="str">
        <f>IFERROR(__xludf.DUMMYFUNCTION("""COMPUTED_VALUE"""),"O-54015-00")</f>
        <v>O-54015-00</v>
      </c>
      <c r="D3450" s="6" t="str">
        <f>IFERROR(__xludf.DUMMYFUNCTION("""COMPUTED_VALUE"""),"STOP KONTAK LUBANG 4, BROCO")</f>
        <v>STOP KONTAK LUBANG 4, BROCO</v>
      </c>
      <c r="E3450" s="6">
        <f>IFERROR(__xludf.DUMMYFUNCTION("""COMPUTED_VALUE"""),1.0)</f>
        <v>1</v>
      </c>
      <c r="F3450" s="6">
        <f>IFERROR(__xludf.DUMMYFUNCTION("""COMPUTED_VALUE"""),1.0)</f>
        <v>1</v>
      </c>
      <c r="G3450" s="6">
        <f>IFERROR(__xludf.DUMMYFUNCTION("""COMPUTED_VALUE"""),0.0)</f>
        <v>0</v>
      </c>
      <c r="H3450" s="6" t="str">
        <f>IFERROR(__xludf.DUMMYFUNCTION("""COMPUTED_VALUE"""),"Pcs")</f>
        <v>Pcs</v>
      </c>
      <c r="I3450" s="6" t="str">
        <f>IFERROR(__xludf.DUMMYFUNCTION("""COMPUTED_VALUE"""),"MFH")</f>
        <v>MFH</v>
      </c>
      <c r="J3450" s="6" t="str">
        <f>IFERROR(__xludf.DUMMYFUNCTION("""COMPUTED_VALUE"""),"Building")</f>
        <v>Building</v>
      </c>
      <c r="K3450" s="6" t="str">
        <f>IFERROR(__xludf.DUMMYFUNCTION("""COMPUTED_VALUE"""),"SPR/26/03/067")</f>
        <v>SPR/26/03/067</v>
      </c>
      <c r="L3450" s="13">
        <f>IFERROR(__xludf.DUMMYFUNCTION("""COMPUTED_VALUE"""),46112.0)</f>
        <v>46112</v>
      </c>
    </row>
    <row r="3451">
      <c r="A3451" s="6" t="str">
        <f>IFERROR(__xludf.DUMMYFUNCTION("""COMPUTED_VALUE"""),"ANO")</f>
        <v>ANO</v>
      </c>
      <c r="B3451" s="6" t="str">
        <f>IFERROR(__xludf.DUMMYFUNCTION("""COMPUTED_VALUE"""),"ENG")</f>
        <v>ENG</v>
      </c>
      <c r="C3451" s="6" t="str">
        <f>IFERROR(__xludf.DUMMYFUNCTION("""COMPUTED_VALUE"""),"T-80043-00")</f>
        <v>T-80043-00</v>
      </c>
      <c r="D3451" s="6" t="str">
        <f>IFERROR(__xludf.DUMMYFUNCTION("""COMPUTED_VALUE"""),"Battery ABC Kotak 9V")</f>
        <v>Battery ABC Kotak 9V</v>
      </c>
      <c r="E3451" s="6">
        <f>IFERROR(__xludf.DUMMYFUNCTION("""COMPUTED_VALUE"""),1.0)</f>
        <v>1</v>
      </c>
      <c r="F3451" s="6">
        <f>IFERROR(__xludf.DUMMYFUNCTION("""COMPUTED_VALUE"""),1.0)</f>
        <v>1</v>
      </c>
      <c r="G3451" s="6">
        <f>IFERROR(__xludf.DUMMYFUNCTION("""COMPUTED_VALUE"""),0.0)</f>
        <v>0</v>
      </c>
      <c r="H3451" s="6" t="str">
        <f>IFERROR(__xludf.DUMMYFUNCTION("""COMPUTED_VALUE"""),"Pcs")</f>
        <v>Pcs</v>
      </c>
      <c r="I3451" s="6" t="str">
        <f>IFERROR(__xludf.DUMMYFUNCTION("""COMPUTED_VALUE"""),"MFH")</f>
        <v>MFH</v>
      </c>
      <c r="J3451" s="6" t="str">
        <f>IFERROR(__xludf.DUMMYFUNCTION("""COMPUTED_VALUE"""),"Tools")</f>
        <v>Tools</v>
      </c>
      <c r="K3451" s="6" t="str">
        <f>IFERROR(__xludf.DUMMYFUNCTION("""COMPUTED_VALUE"""),"SPR/26/03/068")</f>
        <v>SPR/26/03/068</v>
      </c>
      <c r="L3451" s="13">
        <f>IFERROR(__xludf.DUMMYFUNCTION("""COMPUTED_VALUE"""),46112.0)</f>
        <v>46112</v>
      </c>
    </row>
    <row r="3452">
      <c r="A3452" s="6" t="str">
        <f>IFERROR(__xludf.DUMMYFUNCTION("""COMPUTED_VALUE"""),"ROS")</f>
        <v>ROS</v>
      </c>
      <c r="B3452" s="6" t="str">
        <f>IFERROR(__xludf.DUMMYFUNCTION("""COMPUTED_VALUE"""),"ENG")</f>
        <v>ENG</v>
      </c>
      <c r="C3452" s="6" t="str">
        <f>IFERROR(__xludf.DUMMYFUNCTION("""COMPUTED_VALUE"""),"O-21157-00")</f>
        <v>O-21157-00</v>
      </c>
      <c r="D3452" s="6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E3452" s="6">
        <f>IFERROR(__xludf.DUMMYFUNCTION("""COMPUTED_VALUE"""),1.0)</f>
        <v>1</v>
      </c>
      <c r="F3452" s="6">
        <f>IFERROR(__xludf.DUMMYFUNCTION("""COMPUTED_VALUE"""),1.0)</f>
        <v>1</v>
      </c>
      <c r="G3452" s="6">
        <f>IFERROR(__xludf.DUMMYFUNCTION("""COMPUTED_VALUE"""),0.0)</f>
        <v>0</v>
      </c>
      <c r="H3452" s="6" t="str">
        <f>IFERROR(__xludf.DUMMYFUNCTION("""COMPUTED_VALUE"""),"Pcs")</f>
        <v>Pcs</v>
      </c>
      <c r="I3452" s="6" t="str">
        <f>IFERROR(__xludf.DUMMYFUNCTION("""COMPUTED_VALUE"""),"MFH")</f>
        <v>MFH</v>
      </c>
      <c r="J3452" s="6" t="str">
        <f>IFERROR(__xludf.DUMMYFUNCTION("""COMPUTED_VALUE"""),"Capsule")</f>
        <v>Capsule</v>
      </c>
      <c r="K3452" s="6" t="str">
        <f>IFERROR(__xludf.DUMMYFUNCTION("""COMPUTED_VALUE"""),"SPR/26/03/069")</f>
        <v>SPR/26/03/069</v>
      </c>
      <c r="L3452" s="13">
        <f>IFERROR(__xludf.DUMMYFUNCTION("""COMPUTED_VALUE"""),46112.0)</f>
        <v>46112</v>
      </c>
    </row>
    <row r="3453">
      <c r="A3453" s="6" t="str">
        <f>IFERROR(__xludf.DUMMYFUNCTION("""COMPUTED_VALUE"""),"KFF")</f>
        <v>KFF</v>
      </c>
      <c r="B3453" s="6" t="str">
        <f>IFERROR(__xludf.DUMMYFUNCTION("""COMPUTED_VALUE"""),"ENG")</f>
        <v>ENG</v>
      </c>
      <c r="C3453" s="6" t="str">
        <f>IFERROR(__xludf.DUMMYFUNCTION("""COMPUTED_VALUE"""),"P-13389-00")</f>
        <v>P-13389-00</v>
      </c>
      <c r="D3453" s="6" t="str">
        <f>IFERROR(__xludf.DUMMYFUNCTION("""COMPUTED_VALUE"""),"Scotch Brite 3M; ; ;")</f>
        <v>Scotch Brite 3M; ; ;</v>
      </c>
      <c r="E3453" s="6">
        <f>IFERROR(__xludf.DUMMYFUNCTION("""COMPUTED_VALUE"""),1.0)</f>
        <v>1</v>
      </c>
      <c r="F3453" s="6">
        <f>IFERROR(__xludf.DUMMYFUNCTION("""COMPUTED_VALUE"""),1.0)</f>
        <v>1</v>
      </c>
      <c r="G3453" s="6">
        <f>IFERROR(__xludf.DUMMYFUNCTION("""COMPUTED_VALUE"""),0.0)</f>
        <v>0</v>
      </c>
      <c r="H3453" s="6" t="str">
        <f>IFERROR(__xludf.DUMMYFUNCTION("""COMPUTED_VALUE"""),"Pcs")</f>
        <v>Pcs</v>
      </c>
      <c r="I3453" s="6" t="str">
        <f>IFERROR(__xludf.DUMMYFUNCTION("""COMPUTED_VALUE"""),"MFH")</f>
        <v>MFH</v>
      </c>
      <c r="J3453" s="6" t="str">
        <f>IFERROR(__xludf.DUMMYFUNCTION("""COMPUTED_VALUE"""),"Fumehood")</f>
        <v>Fumehood</v>
      </c>
      <c r="K3453" s="6" t="str">
        <f>IFERROR(__xludf.DUMMYFUNCTION("""COMPUTED_VALUE"""),"SPR/26/03/070")</f>
        <v>SPR/26/03/070</v>
      </c>
      <c r="L3453" s="13">
        <f>IFERROR(__xludf.DUMMYFUNCTION("""COMPUTED_VALUE"""),46112.0)</f>
        <v>46112</v>
      </c>
    </row>
    <row r="3454">
      <c r="A3454" s="6" t="str">
        <f>IFERROR(__xludf.DUMMYFUNCTION("""COMPUTED_VALUE"""),"KFF")</f>
        <v>KFF</v>
      </c>
      <c r="B3454" s="6" t="str">
        <f>IFERROR(__xludf.DUMMYFUNCTION("""COMPUTED_VALUE"""),"ENG")</f>
        <v>ENG</v>
      </c>
      <c r="C3454" s="6" t="str">
        <f>IFERROR(__xludf.DUMMYFUNCTION("""COMPUTED_VALUE"""),"T-80109-00")</f>
        <v>T-80109-00</v>
      </c>
      <c r="D3454" s="6" t="str">
        <f>IFERROR(__xludf.DUMMYFUNCTION("""COMPUTED_VALUE"""),"Cellotape / Lakban Kertas 1 inch warna Putih")</f>
        <v>Cellotape / Lakban Kertas 1 inch warna Putih</v>
      </c>
      <c r="E3454" s="6">
        <f>IFERROR(__xludf.DUMMYFUNCTION("""COMPUTED_VALUE"""),1.0)</f>
        <v>1</v>
      </c>
      <c r="F3454" s="6">
        <f>IFERROR(__xludf.DUMMYFUNCTION("""COMPUTED_VALUE"""),1.0)</f>
        <v>1</v>
      </c>
      <c r="G3454" s="6">
        <f>IFERROR(__xludf.DUMMYFUNCTION("""COMPUTED_VALUE"""),0.0)</f>
        <v>0</v>
      </c>
      <c r="H3454" s="6" t="str">
        <f>IFERROR(__xludf.DUMMYFUNCTION("""COMPUTED_VALUE"""),"Pcs")</f>
        <v>Pcs</v>
      </c>
      <c r="I3454" s="6" t="str">
        <f>IFERROR(__xludf.DUMMYFUNCTION("""COMPUTED_VALUE"""),"MFH")</f>
        <v>MFH</v>
      </c>
      <c r="J3454" s="6" t="str">
        <f>IFERROR(__xludf.DUMMYFUNCTION("""COMPUTED_VALUE"""),"-")</f>
        <v>-</v>
      </c>
      <c r="K3454" s="6" t="str">
        <f>IFERROR(__xludf.DUMMYFUNCTION("""COMPUTED_VALUE"""),"SPR/26/03/070")</f>
        <v>SPR/26/03/070</v>
      </c>
      <c r="L3454" s="13">
        <f>IFERROR(__xludf.DUMMYFUNCTION("""COMPUTED_VALUE"""),46112.0)</f>
        <v>46112</v>
      </c>
    </row>
    <row r="3455">
      <c r="A3455" s="6" t="str">
        <f>IFERROR(__xludf.DUMMYFUNCTION("""COMPUTED_VALUE"""),"RON")</f>
        <v>RON</v>
      </c>
      <c r="B3455" s="6" t="str">
        <f>IFERROR(__xludf.DUMMYFUNCTION("""COMPUTED_VALUE"""),"ENG")</f>
        <v>ENG</v>
      </c>
      <c r="C3455" s="6" t="str">
        <f>IFERROR(__xludf.DUMMYFUNCTION("""COMPUTED_VALUE"""),"O-13501-00")</f>
        <v>O-13501-00</v>
      </c>
      <c r="D3455" s="6" t="str">
        <f>IFERROR(__xludf.DUMMYFUNCTION("""COMPUTED_VALUE"""),"Pneumatic Fitting - QST 12 FESTO P/N : - pc")</f>
        <v>Pneumatic Fitting - QST 12 FESTO P/N : - pc</v>
      </c>
      <c r="E3455" s="6">
        <f>IFERROR(__xludf.DUMMYFUNCTION("""COMPUTED_VALUE"""),2.0)</f>
        <v>2</v>
      </c>
      <c r="F3455" s="6">
        <f>IFERROR(__xludf.DUMMYFUNCTION("""COMPUTED_VALUE"""),2.0)</f>
        <v>2</v>
      </c>
      <c r="G3455" s="6">
        <f>IFERROR(__xludf.DUMMYFUNCTION("""COMPUTED_VALUE"""),0.0)</f>
        <v>0</v>
      </c>
      <c r="H3455" s="6" t="str">
        <f>IFERROR(__xludf.DUMMYFUNCTION("""COMPUTED_VALUE"""),"Pcs")</f>
        <v>Pcs</v>
      </c>
      <c r="I3455" s="6" t="str">
        <f>IFERROR(__xludf.DUMMYFUNCTION("""COMPUTED_VALUE"""),"MFH")</f>
        <v>MFH</v>
      </c>
      <c r="J3455" s="6" t="str">
        <f>IFERROR(__xludf.DUMMYFUNCTION("""COMPUTED_VALUE"""),"-")</f>
        <v>-</v>
      </c>
      <c r="K3455" s="6" t="str">
        <f>IFERROR(__xludf.DUMMYFUNCTION("""COMPUTED_VALUE"""),"SPR/26/03/071")</f>
        <v>SPR/26/03/071</v>
      </c>
      <c r="L3455" s="13">
        <f>IFERROR(__xludf.DUMMYFUNCTION("""COMPUTED_VALUE"""),46112.0)</f>
        <v>46112</v>
      </c>
    </row>
    <row r="3456">
      <c r="A3456" s="6" t="str">
        <f>IFERROR(__xludf.DUMMYFUNCTION("""COMPUTED_VALUE"""),"RON")</f>
        <v>RON</v>
      </c>
      <c r="B3456" s="6" t="str">
        <f>IFERROR(__xludf.DUMMYFUNCTION("""COMPUTED_VALUE"""),"ENG")</f>
        <v>ENG</v>
      </c>
      <c r="C3456" s="6" t="str">
        <f>IFERROR(__xludf.DUMMYFUNCTION("""COMPUTED_VALUE"""),"O-13505-00")</f>
        <v>O-13505-00</v>
      </c>
      <c r="D3456" s="6" t="str">
        <f>IFERROR(__xludf.DUMMYFUNCTION("""COMPUTED_VALUE"""),"Pneumatic Fitting - QST 10, FESTO P/N : -  pc")</f>
        <v>Pneumatic Fitting - QST 10, FESTO P/N : -  pc</v>
      </c>
      <c r="E3456" s="6">
        <f>IFERROR(__xludf.DUMMYFUNCTION("""COMPUTED_VALUE"""),1.0)</f>
        <v>1</v>
      </c>
      <c r="F3456" s="6">
        <f>IFERROR(__xludf.DUMMYFUNCTION("""COMPUTED_VALUE"""),1.0)</f>
        <v>1</v>
      </c>
      <c r="G3456" s="6">
        <f>IFERROR(__xludf.DUMMYFUNCTION("""COMPUTED_VALUE"""),0.0)</f>
        <v>0</v>
      </c>
      <c r="H3456" s="6" t="str">
        <f>IFERROR(__xludf.DUMMYFUNCTION("""COMPUTED_VALUE"""),"Pcs")</f>
        <v>Pcs</v>
      </c>
      <c r="I3456" s="6" t="str">
        <f>IFERROR(__xludf.DUMMYFUNCTION("""COMPUTED_VALUE"""),"MFH ")</f>
        <v>MFH </v>
      </c>
      <c r="J3456" s="6" t="str">
        <f>IFERROR(__xludf.DUMMYFUNCTION("""COMPUTED_VALUE"""),"-")</f>
        <v>-</v>
      </c>
      <c r="K3456" s="6" t="str">
        <f>IFERROR(__xludf.DUMMYFUNCTION("""COMPUTED_VALUE"""),"SPR/26/03/071")</f>
        <v>SPR/26/03/071</v>
      </c>
      <c r="L3456" s="13">
        <f>IFERROR(__xludf.DUMMYFUNCTION("""COMPUTED_VALUE"""),46112.0)</f>
        <v>46112</v>
      </c>
    </row>
    <row r="3457">
      <c r="A3457" s="6" t="str">
        <f>IFERROR(__xludf.DUMMYFUNCTION("""COMPUTED_VALUE"""),"ANO")</f>
        <v>ANO</v>
      </c>
      <c r="B3457" s="6" t="str">
        <f>IFERROR(__xludf.DUMMYFUNCTION("""COMPUTED_VALUE"""),"ENG")</f>
        <v>ENG</v>
      </c>
      <c r="C3457" s="6" t="str">
        <f>IFERROR(__xludf.DUMMYFUNCTION("""COMPUTED_VALUE"""),"Q-60502-00")</f>
        <v>Q-60502-00</v>
      </c>
      <c r="D3457" s="6" t="str">
        <f>IFERROR(__xludf.DUMMYFUNCTION("""COMPUTED_VALUE"""),"Silicone Sealant, Silglaze, Type N10 White, pack size per pcs")</f>
        <v>Silicone Sealant, Silglaze, Type N10 White, pack size per pcs</v>
      </c>
      <c r="E3457" s="6">
        <f>IFERROR(__xludf.DUMMYFUNCTION("""COMPUTED_VALUE"""),1.0)</f>
        <v>1</v>
      </c>
      <c r="F3457" s="6">
        <f>IFERROR(__xludf.DUMMYFUNCTION("""COMPUTED_VALUE"""),1.0)</f>
        <v>1</v>
      </c>
      <c r="G3457" s="6">
        <f>IFERROR(__xludf.DUMMYFUNCTION("""COMPUTED_VALUE"""),0.0)</f>
        <v>0</v>
      </c>
      <c r="H3457" s="6" t="str">
        <f>IFERROR(__xludf.DUMMYFUNCTION("""COMPUTED_VALUE"""),"Pcs")</f>
        <v>Pcs</v>
      </c>
      <c r="I3457" s="6" t="str">
        <f>IFERROR(__xludf.DUMMYFUNCTION("""COMPUTED_VALUE"""),"MFH")</f>
        <v>MFH</v>
      </c>
      <c r="J3457" s="6" t="str">
        <f>IFERROR(__xludf.DUMMYFUNCTION("""COMPUTED_VALUE"""),"Building")</f>
        <v>Building</v>
      </c>
      <c r="K3457" s="6" t="str">
        <f>IFERROR(__xludf.DUMMYFUNCTION("""COMPUTED_VALUE"""),"SPR/26/03/072")</f>
        <v>SPR/26/03/072</v>
      </c>
      <c r="L3457" s="13">
        <f>IFERROR(__xludf.DUMMYFUNCTION("""COMPUTED_VALUE"""),46112.0)</f>
        <v>46112</v>
      </c>
    </row>
    <row r="3458">
      <c r="A3458" s="6" t="str">
        <f>IFERROR(__xludf.DUMMYFUNCTION("""COMPUTED_VALUE"""),"ANO")</f>
        <v>ANO</v>
      </c>
      <c r="B3458" s="6" t="str">
        <f>IFERROR(__xludf.DUMMYFUNCTION("""COMPUTED_VALUE"""),"ENG")</f>
        <v>ENG</v>
      </c>
      <c r="C3458" s="6" t="str">
        <f>IFERROR(__xludf.DUMMYFUNCTION("""COMPUTED_VALUE"""),"T-80109-00")</f>
        <v>T-80109-00</v>
      </c>
      <c r="D3458" s="6" t="str">
        <f>IFERROR(__xludf.DUMMYFUNCTION("""COMPUTED_VALUE"""),"Cellotape / Lakban Kertas 1 inch warna Putih")</f>
        <v>Cellotape / Lakban Kertas 1 inch warna Putih</v>
      </c>
      <c r="E3458" s="6">
        <f>IFERROR(__xludf.DUMMYFUNCTION("""COMPUTED_VALUE"""),1.0)</f>
        <v>1</v>
      </c>
      <c r="F3458" s="6">
        <f>IFERROR(__xludf.DUMMYFUNCTION("""COMPUTED_VALUE"""),1.0)</f>
        <v>1</v>
      </c>
      <c r="G3458" s="6">
        <f>IFERROR(__xludf.DUMMYFUNCTION("""COMPUTED_VALUE"""),0.0)</f>
        <v>0</v>
      </c>
      <c r="H3458" s="6" t="str">
        <f>IFERROR(__xludf.DUMMYFUNCTION("""COMPUTED_VALUE"""),"Pcs")</f>
        <v>Pcs</v>
      </c>
      <c r="I3458" s="6" t="str">
        <f>IFERROR(__xludf.DUMMYFUNCTION("""COMPUTED_VALUE"""),"MFH")</f>
        <v>MFH</v>
      </c>
      <c r="J3458" s="6" t="str">
        <f>IFERROR(__xludf.DUMMYFUNCTION("""COMPUTED_VALUE"""),"Building")</f>
        <v>Building</v>
      </c>
      <c r="K3458" s="6" t="str">
        <f>IFERROR(__xludf.DUMMYFUNCTION("""COMPUTED_VALUE"""),"SPR/26/03/072")</f>
        <v>SPR/26/03/072</v>
      </c>
      <c r="L3458" s="13">
        <f>IFERROR(__xludf.DUMMYFUNCTION("""COMPUTED_VALUE"""),46112.0)</f>
        <v>46112</v>
      </c>
    </row>
    <row r="3459">
      <c r="A3459" s="6" t="str">
        <f>IFERROR(__xludf.DUMMYFUNCTION("""COMPUTED_VALUE"""),"SFH")</f>
        <v>SFH</v>
      </c>
      <c r="B3459" s="6" t="str">
        <f>IFERROR(__xludf.DUMMYFUNCTION("""COMPUTED_VALUE"""),"ENG")</f>
        <v>ENG</v>
      </c>
      <c r="C3459" s="6" t="str">
        <f>IFERROR(__xludf.DUMMYFUNCTION("""COMPUTED_VALUE"""),"Q-10153-00")</f>
        <v>Q-10153-00</v>
      </c>
      <c r="D3459" s="6" t="str">
        <f>IFERROR(__xludf.DUMMYFUNCTION("""COMPUTED_VALUE"""),"Kuas Cat Roller uk. 110 mm;No Brand;;pack size per set")</f>
        <v>Kuas Cat Roller uk. 110 mm;No Brand;;pack size per set</v>
      </c>
      <c r="E3459" s="6">
        <f>IFERROR(__xludf.DUMMYFUNCTION("""COMPUTED_VALUE"""),2.0)</f>
        <v>2</v>
      </c>
      <c r="F3459" s="6">
        <f>IFERROR(__xludf.DUMMYFUNCTION("""COMPUTED_VALUE"""),2.0)</f>
        <v>2</v>
      </c>
      <c r="G3459" s="6">
        <f>IFERROR(__xludf.DUMMYFUNCTION("""COMPUTED_VALUE"""),0.0)</f>
        <v>0</v>
      </c>
      <c r="H3459" s="6" t="str">
        <f>IFERROR(__xludf.DUMMYFUNCTION("""COMPUTED_VALUE"""),"Pcs")</f>
        <v>Pcs</v>
      </c>
      <c r="I3459" s="6" t="str">
        <f>IFERROR(__xludf.DUMMYFUNCTION("""COMPUTED_VALUE"""),"MFH")</f>
        <v>MFH</v>
      </c>
      <c r="J3459" s="6" t="str">
        <f>IFERROR(__xludf.DUMMYFUNCTION("""COMPUTED_VALUE"""),"Building")</f>
        <v>Building</v>
      </c>
      <c r="K3459" s="6" t="str">
        <f>IFERROR(__xludf.DUMMYFUNCTION("""COMPUTED_VALUE"""),"SPR/26/03/073")</f>
        <v>SPR/26/03/073</v>
      </c>
      <c r="L3459" s="13">
        <f>IFERROR(__xludf.DUMMYFUNCTION("""COMPUTED_VALUE"""),46112.0)</f>
        <v>46112</v>
      </c>
    </row>
    <row r="3460">
      <c r="A3460" s="6" t="str">
        <f>IFERROR(__xludf.DUMMYFUNCTION("""COMPUTED_VALUE"""),"BDU")</f>
        <v>BDU</v>
      </c>
      <c r="B3460" s="6" t="str">
        <f>IFERROR(__xludf.DUMMYFUNCTION("""COMPUTED_VALUE"""),"ENG")</f>
        <v>ENG</v>
      </c>
      <c r="C3460" s="6" t="str">
        <f>IFERROR(__xludf.DUMMYFUNCTION("""COMPUTED_VALUE"""),"O-11762-00")</f>
        <v>O-11762-00</v>
      </c>
      <c r="D3460" s="6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E3460" s="6">
        <f>IFERROR(__xludf.DUMMYFUNCTION("""COMPUTED_VALUE"""),1.0)</f>
        <v>1</v>
      </c>
      <c r="F3460" s="6">
        <f>IFERROR(__xludf.DUMMYFUNCTION("""COMPUTED_VALUE"""),1.0)</f>
        <v>1</v>
      </c>
      <c r="G3460" s="6">
        <f>IFERROR(__xludf.DUMMYFUNCTION("""COMPUTED_VALUE"""),0.0)</f>
        <v>0</v>
      </c>
      <c r="H3460" s="6" t="str">
        <f>IFERROR(__xludf.DUMMYFUNCTION("""COMPUTED_VALUE"""),"Pcs")</f>
        <v>Pcs</v>
      </c>
      <c r="I3460" s="6" t="str">
        <f>IFERROR(__xludf.DUMMYFUNCTION("""COMPUTED_VALUE"""),"MFH")</f>
        <v>MFH</v>
      </c>
      <c r="J3460" s="6" t="str">
        <f>IFERROR(__xludf.DUMMYFUNCTION("""COMPUTED_VALUE"""),"Cartonning")</f>
        <v>Cartonning</v>
      </c>
      <c r="K3460" s="6" t="str">
        <f>IFERROR(__xludf.DUMMYFUNCTION("""COMPUTED_VALUE"""),"SPR/26/03/074")</f>
        <v>SPR/26/03/074</v>
      </c>
      <c r="L3460" s="13">
        <f>IFERROR(__xludf.DUMMYFUNCTION("""COMPUTED_VALUE"""),46112.0)</f>
        <v>46112</v>
      </c>
    </row>
    <row r="3461">
      <c r="A3461" s="6" t="str">
        <f>IFERROR(__xludf.DUMMYFUNCTION("""COMPUTED_VALUE"""),"BDU")</f>
        <v>BDU</v>
      </c>
      <c r="B3461" s="6" t="str">
        <f>IFERROR(__xludf.DUMMYFUNCTION("""COMPUTED_VALUE"""),"ENG")</f>
        <v>ENG</v>
      </c>
      <c r="C3461" s="6" t="str">
        <f>IFERROR(__xludf.DUMMYFUNCTION("""COMPUTED_VALUE"""),"O-11761-00")</f>
        <v>O-11761-00</v>
      </c>
      <c r="D3461" s="6" t="str">
        <f>IFERROR(__xludf.DUMMYFUNCTION("""COMPUTED_VALUE"""),"MARCHESINI MA 255 - Conveyor belt Nastro transporto FNB-8E 1380 X 40 HA; Marchesini; C720713840 pc")</f>
        <v>MARCHESINI MA 255 - Conveyor belt Nastro transporto FNB-8E 1380 X 40 HA; Marchesini; C720713840 pc</v>
      </c>
      <c r="E3461" s="6">
        <f>IFERROR(__xludf.DUMMYFUNCTION("""COMPUTED_VALUE"""),1.0)</f>
        <v>1</v>
      </c>
      <c r="F3461" s="6">
        <f>IFERROR(__xludf.DUMMYFUNCTION("""COMPUTED_VALUE"""),1.0)</f>
        <v>1</v>
      </c>
      <c r="G3461" s="6">
        <f>IFERROR(__xludf.DUMMYFUNCTION("""COMPUTED_VALUE"""),0.0)</f>
        <v>0</v>
      </c>
      <c r="H3461" s="6" t="str">
        <f>IFERROR(__xludf.DUMMYFUNCTION("""COMPUTED_VALUE"""),"Pcs")</f>
        <v>Pcs</v>
      </c>
      <c r="I3461" s="6" t="str">
        <f>IFERROR(__xludf.DUMMYFUNCTION("""COMPUTED_VALUE"""),"MFH")</f>
        <v>MFH</v>
      </c>
      <c r="J3461" s="6" t="str">
        <f>IFERROR(__xludf.DUMMYFUNCTION("""COMPUTED_VALUE"""),"Cartonning")</f>
        <v>Cartonning</v>
      </c>
      <c r="K3461" s="6" t="str">
        <f>IFERROR(__xludf.DUMMYFUNCTION("""COMPUTED_VALUE"""),"SPR/26/03/074")</f>
        <v>SPR/26/03/074</v>
      </c>
      <c r="L3461" s="13">
        <f>IFERROR(__xludf.DUMMYFUNCTION("""COMPUTED_VALUE"""),46112.0)</f>
        <v>46112</v>
      </c>
    </row>
    <row r="3462">
      <c r="A3462" s="6" t="str">
        <f>IFERROR(__xludf.DUMMYFUNCTION("""COMPUTED_VALUE"""),"INS")</f>
        <v>INS</v>
      </c>
      <c r="B3462" s="6" t="str">
        <f>IFERROR(__xludf.DUMMYFUNCTION("""COMPUTED_VALUE"""),"PRO")</f>
        <v>PRO</v>
      </c>
      <c r="C3462" s="6" t="str">
        <f>IFERROR(__xludf.DUMMYFUNCTION("""COMPUTED_VALUE"""),"P-11183-00")</f>
        <v>P-11183-00</v>
      </c>
      <c r="D3462" s="6" t="str">
        <f>IFERROR(__xludf.DUMMYFUNCTION("""COMPUTED_VALUE"""),"General - Push-in Connector, QS-6-4; Festo; 153037; 1 pcs")</f>
        <v>General - Push-in Connector, QS-6-4; Festo; 153037; 1 pcs</v>
      </c>
      <c r="E3462" s="6">
        <f>IFERROR(__xludf.DUMMYFUNCTION("""COMPUTED_VALUE"""),2.0)</f>
        <v>2</v>
      </c>
      <c r="F3462" s="6">
        <f>IFERROR(__xludf.DUMMYFUNCTION("""COMPUTED_VALUE"""),2.0)</f>
        <v>2</v>
      </c>
      <c r="G3462" s="6">
        <f>IFERROR(__xludf.DUMMYFUNCTION("""COMPUTED_VALUE"""),0.0)</f>
        <v>0</v>
      </c>
      <c r="H3462" s="6" t="str">
        <f>IFERROR(__xludf.DUMMYFUNCTION("""COMPUTED_VALUE"""),"Pcs")</f>
        <v>Pcs</v>
      </c>
      <c r="I3462" s="6" t="str">
        <f>IFERROR(__xludf.DUMMYFUNCTION("""COMPUTED_VALUE"""),"MFH")</f>
        <v>MFH</v>
      </c>
      <c r="J3462" s="6" t="str">
        <f>IFERROR(__xludf.DUMMYFUNCTION("""COMPUTED_VALUE"""),"Capsule")</f>
        <v>Capsule</v>
      </c>
      <c r="K3462" s="6" t="str">
        <f>IFERROR(__xludf.DUMMYFUNCTION("""COMPUTED_VALUE"""),"SPR/26/03/075")</f>
        <v>SPR/26/03/075</v>
      </c>
      <c r="L3462" s="13">
        <f>IFERROR(__xludf.DUMMYFUNCTION("""COMPUTED_VALUE"""),46112.0)</f>
        <v>46112</v>
      </c>
    </row>
    <row r="3463">
      <c r="A3463" s="6" t="str">
        <f>IFERROR(__xludf.DUMMYFUNCTION("""COMPUTED_VALUE"""),"INS")</f>
        <v>INS</v>
      </c>
      <c r="B3463" s="6" t="str">
        <f>IFERROR(__xludf.DUMMYFUNCTION("""COMPUTED_VALUE"""),"PRO")</f>
        <v>PRO</v>
      </c>
      <c r="C3463" s="6" t="str">
        <f>IFERROR(__xludf.DUMMYFUNCTION("""COMPUTED_VALUE"""),"P-14955-00")</f>
        <v>P-14955-00</v>
      </c>
      <c r="D3463" s="6" t="str">
        <f>IFERROR(__xludf.DUMMYFUNCTION("""COMPUTED_VALUE"""),"Straight Union KQ2H04-00A; ; ;")</f>
        <v>Straight Union KQ2H04-00A; ; ;</v>
      </c>
      <c r="E3463" s="6">
        <f>IFERROR(__xludf.DUMMYFUNCTION("""COMPUTED_VALUE"""),1.0)</f>
        <v>1</v>
      </c>
      <c r="F3463" s="6">
        <f>IFERROR(__xludf.DUMMYFUNCTION("""COMPUTED_VALUE"""),1.0)</f>
        <v>1</v>
      </c>
      <c r="G3463" s="6">
        <f>IFERROR(__xludf.DUMMYFUNCTION("""COMPUTED_VALUE"""),0.0)</f>
        <v>0</v>
      </c>
      <c r="H3463" s="6" t="str">
        <f>IFERROR(__xludf.DUMMYFUNCTION("""COMPUTED_VALUE"""),"Pcs")</f>
        <v>Pcs</v>
      </c>
      <c r="I3463" s="6" t="str">
        <f>IFERROR(__xludf.DUMMYFUNCTION("""COMPUTED_VALUE"""),"MFH")</f>
        <v>MFH</v>
      </c>
      <c r="J3463" s="6" t="str">
        <f>IFERROR(__xludf.DUMMYFUNCTION("""COMPUTED_VALUE"""),"Capsule")</f>
        <v>Capsule</v>
      </c>
      <c r="K3463" s="6" t="str">
        <f>IFERROR(__xludf.DUMMYFUNCTION("""COMPUTED_VALUE"""),"SPR/26/03/075")</f>
        <v>SPR/26/03/075</v>
      </c>
      <c r="L3463" s="13">
        <f>IFERROR(__xludf.DUMMYFUNCTION("""COMPUTED_VALUE"""),46112.0)</f>
        <v>46112</v>
      </c>
    </row>
    <row r="3464">
      <c r="A3464" s="6" t="str">
        <f>IFERROR(__xludf.DUMMYFUNCTION("""COMPUTED_VALUE"""),"INS")</f>
        <v>INS</v>
      </c>
      <c r="B3464" s="6" t="str">
        <f>IFERROR(__xludf.DUMMYFUNCTION("""COMPUTED_VALUE"""),"PRO")</f>
        <v>PRO</v>
      </c>
      <c r="C3464" s="6" t="str">
        <f>IFERROR(__xludf.DUMMYFUNCTION("""COMPUTED_VALUE"""),"P-11227-00")</f>
        <v>P-11227-00</v>
      </c>
      <c r="D3464" s="6" t="str">
        <f>IFERROR(__xludf.DUMMYFUNCTION("""COMPUTED_VALUE"""),"General - Push-in T-connector, QST-6; Festo; 153129; 1 pcs")</f>
        <v>General - Push-in T-connector, QST-6; Festo; 153129; 1 pcs</v>
      </c>
      <c r="E3464" s="6">
        <f>IFERROR(__xludf.DUMMYFUNCTION("""COMPUTED_VALUE"""),1.0)</f>
        <v>1</v>
      </c>
      <c r="F3464" s="6">
        <f>IFERROR(__xludf.DUMMYFUNCTION("""COMPUTED_VALUE"""),1.0)</f>
        <v>1</v>
      </c>
      <c r="G3464" s="6">
        <f>IFERROR(__xludf.DUMMYFUNCTION("""COMPUTED_VALUE"""),0.0)</f>
        <v>0</v>
      </c>
      <c r="H3464" s="6" t="str">
        <f>IFERROR(__xludf.DUMMYFUNCTION("""COMPUTED_VALUE"""),"Pcs")</f>
        <v>Pcs</v>
      </c>
      <c r="I3464" s="6" t="str">
        <f>IFERROR(__xludf.DUMMYFUNCTION("""COMPUTED_VALUE"""),"MFH")</f>
        <v>MFH</v>
      </c>
      <c r="J3464" s="6" t="str">
        <f>IFERROR(__xludf.DUMMYFUNCTION("""COMPUTED_VALUE"""),"Capsule")</f>
        <v>Capsule</v>
      </c>
      <c r="K3464" s="6" t="str">
        <f>IFERROR(__xludf.DUMMYFUNCTION("""COMPUTED_VALUE"""),"SPR/26/03/075")</f>
        <v>SPR/26/03/075</v>
      </c>
      <c r="L3464" s="13">
        <f>IFERROR(__xludf.DUMMYFUNCTION("""COMPUTED_VALUE"""),46112.0)</f>
        <v>46112</v>
      </c>
    </row>
    <row r="3465">
      <c r="A3465" s="6" t="str">
        <f>IFERROR(__xludf.DUMMYFUNCTION("""COMPUTED_VALUE"""),"MRN")</f>
        <v>MRN</v>
      </c>
      <c r="B3465" s="6" t="str">
        <f>IFERROR(__xludf.DUMMYFUNCTION("""COMPUTED_VALUE"""),"ENG")</f>
        <v>ENG</v>
      </c>
      <c r="C3465" s="6" t="str">
        <f>IFERROR(__xludf.DUMMYFUNCTION("""COMPUTED_VALUE"""),"Q-10817-00")</f>
        <v>Q-10817-00</v>
      </c>
      <c r="D3465" s="6" t="str">
        <f>IFERROR(__xludf.DUMMYFUNCTION("""COMPUTED_VALUE"""),"Door Closer Type: TS77 Hold Open; DORMA; ;")</f>
        <v>Door Closer Type: TS77 Hold Open; DORMA; ;</v>
      </c>
      <c r="E3465" s="6">
        <f>IFERROR(__xludf.DUMMYFUNCTION("""COMPUTED_VALUE"""),1.0)</f>
        <v>1</v>
      </c>
      <c r="F3465" s="6">
        <f>IFERROR(__xludf.DUMMYFUNCTION("""COMPUTED_VALUE"""),1.0)</f>
        <v>1</v>
      </c>
      <c r="G3465" s="6">
        <f>IFERROR(__xludf.DUMMYFUNCTION("""COMPUTED_VALUE"""),0.0)</f>
        <v>0</v>
      </c>
      <c r="H3465" s="6" t="str">
        <f>IFERROR(__xludf.DUMMYFUNCTION("""COMPUTED_VALUE"""),"Pcs")</f>
        <v>Pcs</v>
      </c>
      <c r="I3465" s="6" t="str">
        <f>IFERROR(__xludf.DUMMYFUNCTION("""COMPUTED_VALUE"""),"MFH")</f>
        <v>MFH</v>
      </c>
      <c r="J3465" s="6" t="str">
        <f>IFERROR(__xludf.DUMMYFUNCTION("""COMPUTED_VALUE"""),"-")</f>
        <v>-</v>
      </c>
      <c r="K3465" s="6" t="str">
        <f>IFERROR(__xludf.DUMMYFUNCTION("""COMPUTED_VALUE"""),"SPR/26/03/076")</f>
        <v>SPR/26/03/076</v>
      </c>
      <c r="L3465" s="13">
        <f>IFERROR(__xludf.DUMMYFUNCTION("""COMPUTED_VALUE"""),46112.0)</f>
        <v>46112</v>
      </c>
    </row>
    <row r="3466">
      <c r="A3466" s="6" t="str">
        <f>IFERROR(__xludf.DUMMYFUNCTION("""COMPUTED_VALUE"""),"MRN")</f>
        <v>MRN</v>
      </c>
      <c r="B3466" s="6" t="str">
        <f>IFERROR(__xludf.DUMMYFUNCTION("""COMPUTED_VALUE"""),"ENG")</f>
        <v>ENG</v>
      </c>
      <c r="C3466" s="6" t="str">
        <f>IFERROR(__xludf.DUMMYFUNCTION("""COMPUTED_VALUE"""),"Q-10130-00")</f>
        <v>Q-10130-00</v>
      </c>
      <c r="D3466" s="6" t="str">
        <f>IFERROR(__xludf.DUMMYFUNCTION("""COMPUTED_VALUE"""),"TOTO - Kran Wastafel Faucet TX 126 LE")</f>
        <v>TOTO - Kran Wastafel Faucet TX 126 LE</v>
      </c>
      <c r="E3466" s="6">
        <f>IFERROR(__xludf.DUMMYFUNCTION("""COMPUTED_VALUE"""),1.0)</f>
        <v>1</v>
      </c>
      <c r="F3466" s="6">
        <f>IFERROR(__xludf.DUMMYFUNCTION("""COMPUTED_VALUE"""),1.0)</f>
        <v>1</v>
      </c>
      <c r="G3466" s="6">
        <f>IFERROR(__xludf.DUMMYFUNCTION("""COMPUTED_VALUE"""),0.0)</f>
        <v>0</v>
      </c>
      <c r="H3466" s="6" t="str">
        <f>IFERROR(__xludf.DUMMYFUNCTION("""COMPUTED_VALUE"""),"Pcs")</f>
        <v>Pcs</v>
      </c>
      <c r="I3466" s="6" t="str">
        <f>IFERROR(__xludf.DUMMYFUNCTION("""COMPUTED_VALUE"""),"MFH")</f>
        <v>MFH</v>
      </c>
      <c r="J3466" s="6" t="str">
        <f>IFERROR(__xludf.DUMMYFUNCTION("""COMPUTED_VALUE"""),"Building")</f>
        <v>Building</v>
      </c>
      <c r="K3466" s="6" t="str">
        <f>IFERROR(__xludf.DUMMYFUNCTION("""COMPUTED_VALUE"""),"SPR/26/03/077")</f>
        <v>SPR/26/03/077</v>
      </c>
      <c r="L3466" s="13">
        <f>IFERROR(__xludf.DUMMYFUNCTION("""COMPUTED_VALUE"""),46112.0)</f>
        <v>46112</v>
      </c>
    </row>
    <row r="3467">
      <c r="A3467" s="6" t="str">
        <f>IFERROR(__xludf.DUMMYFUNCTION("""COMPUTED_VALUE"""),"MRN")</f>
        <v>MRN</v>
      </c>
      <c r="B3467" s="6" t="str">
        <f>IFERROR(__xludf.DUMMYFUNCTION("""COMPUTED_VALUE"""),"ENG")</f>
        <v>ENG</v>
      </c>
      <c r="C3467" s="6" t="str">
        <f>IFERROR(__xludf.DUMMYFUNCTION("""COMPUTED_VALUE"""),"P-52110-00")</f>
        <v>P-52110-00</v>
      </c>
      <c r="D3467" s="6" t="str">
        <f>IFERROR(__xludf.DUMMYFUNCTION("""COMPUTED_VALUE"""),"CAPACITOR 5 uF, 500 V, 50/60 Hz; ; ;")</f>
        <v>CAPACITOR 5 uF, 500 V, 50/60 Hz; ; ;</v>
      </c>
      <c r="E3467" s="6">
        <f>IFERROR(__xludf.DUMMYFUNCTION("""COMPUTED_VALUE"""),1.0)</f>
        <v>1</v>
      </c>
      <c r="F3467" s="6">
        <f>IFERROR(__xludf.DUMMYFUNCTION("""COMPUTED_VALUE"""),1.0)</f>
        <v>1</v>
      </c>
      <c r="G3467" s="6">
        <f>IFERROR(__xludf.DUMMYFUNCTION("""COMPUTED_VALUE"""),0.0)</f>
        <v>0</v>
      </c>
      <c r="H3467" s="6" t="str">
        <f>IFERROR(__xludf.DUMMYFUNCTION("""COMPUTED_VALUE"""),"Pcs")</f>
        <v>Pcs</v>
      </c>
      <c r="I3467" s="6" t="str">
        <f>IFERROR(__xludf.DUMMYFUNCTION("""COMPUTED_VALUE"""),"MFH")</f>
        <v>MFH</v>
      </c>
      <c r="J3467" s="6" t="str">
        <f>IFERROR(__xludf.DUMMYFUNCTION("""COMPUTED_VALUE"""),"AHU")</f>
        <v>AHU</v>
      </c>
      <c r="K3467" s="6" t="str">
        <f>IFERROR(__xludf.DUMMYFUNCTION("""COMPUTED_VALUE"""),"SPR/26/03/077")</f>
        <v>SPR/26/03/077</v>
      </c>
      <c r="L3467" s="13">
        <f>IFERROR(__xludf.DUMMYFUNCTION("""COMPUTED_VALUE"""),46112.0)</f>
        <v>46112</v>
      </c>
    </row>
    <row r="3468">
      <c r="A3468" s="6" t="str">
        <f>IFERROR(__xludf.DUMMYFUNCTION("""COMPUTED_VALUE"""),"KFF")</f>
        <v>KFF</v>
      </c>
      <c r="B3468" s="6" t="str">
        <f>IFERROR(__xludf.DUMMYFUNCTION("""COMPUTED_VALUE"""),"ENG")</f>
        <v>ENG</v>
      </c>
      <c r="C3468" s="6" t="str">
        <f>IFERROR(__xludf.DUMMYFUNCTION("""COMPUTED_VALUE"""),"T-80109-00")</f>
        <v>T-80109-00</v>
      </c>
      <c r="D3468" s="6" t="str">
        <f>IFERROR(__xludf.DUMMYFUNCTION("""COMPUTED_VALUE"""),"Cellotape / Lakban Kertas 1 inch warna Putih")</f>
        <v>Cellotape / Lakban Kertas 1 inch warna Putih</v>
      </c>
      <c r="E3468" s="6">
        <f>IFERROR(__xludf.DUMMYFUNCTION("""COMPUTED_VALUE"""),1.0)</f>
        <v>1</v>
      </c>
      <c r="F3468" s="6">
        <f>IFERROR(__xludf.DUMMYFUNCTION("""COMPUTED_VALUE"""),1.0)</f>
        <v>1</v>
      </c>
      <c r="G3468" s="6">
        <f>IFERROR(__xludf.DUMMYFUNCTION("""COMPUTED_VALUE"""),0.0)</f>
        <v>0</v>
      </c>
      <c r="H3468" s="6" t="str">
        <f>IFERROR(__xludf.DUMMYFUNCTION("""COMPUTED_VALUE"""),"Pcs")</f>
        <v>Pcs</v>
      </c>
      <c r="I3468" s="6" t="str">
        <f>IFERROR(__xludf.DUMMYFUNCTION("""COMPUTED_VALUE"""),"MFH")</f>
        <v>MFH</v>
      </c>
      <c r="J3468" s="6" t="str">
        <f>IFERROR(__xludf.DUMMYFUNCTION("""COMPUTED_VALUE"""),"-")</f>
        <v>-</v>
      </c>
      <c r="K3468" s="6" t="str">
        <f>IFERROR(__xludf.DUMMYFUNCTION("""COMPUTED_VALUE"""),"SPR/26/03/078")</f>
        <v>SPR/26/03/078</v>
      </c>
      <c r="L3468" s="13">
        <f>IFERROR(__xludf.DUMMYFUNCTION("""COMPUTED_VALUE"""),46112.0)</f>
        <v>46112</v>
      </c>
    </row>
    <row r="3469">
      <c r="A3469" s="6" t="str">
        <f>IFERROR(__xludf.DUMMYFUNCTION("""COMPUTED_VALUE"""),"MOB")</f>
        <v>MOB</v>
      </c>
      <c r="B3469" s="6" t="str">
        <f>IFERROR(__xludf.DUMMYFUNCTION("""COMPUTED_VALUE"""),"ENG")</f>
        <v>ENG</v>
      </c>
      <c r="C3469" s="6" t="str">
        <f>IFERROR(__xludf.DUMMYFUNCTION("""COMPUTED_VALUE"""),"P-10729-00")</f>
        <v>P-10729-00</v>
      </c>
      <c r="D3469" s="6" t="str">
        <f>IFERROR(__xludf.DUMMYFUNCTION("""COMPUTED_VALUE"""),"Contact cleaner WD 40, 382 gr ; Brand : - ; P/N : - ; Pack Size : pcs")</f>
        <v>Contact cleaner WD 40, 382 gr ; Brand : - ; P/N : - ; Pack Size : pcs</v>
      </c>
      <c r="E3469" s="6">
        <f>IFERROR(__xludf.DUMMYFUNCTION("""COMPUTED_VALUE"""),1.0)</f>
        <v>1</v>
      </c>
      <c r="F3469" s="6">
        <f>IFERROR(__xludf.DUMMYFUNCTION("""COMPUTED_VALUE"""),1.0)</f>
        <v>1</v>
      </c>
      <c r="G3469" s="6">
        <f>IFERROR(__xludf.DUMMYFUNCTION("""COMPUTED_VALUE"""),0.0)</f>
        <v>0</v>
      </c>
      <c r="H3469" s="6" t="str">
        <f>IFERROR(__xludf.DUMMYFUNCTION("""COMPUTED_VALUE"""),"Pcs ")</f>
        <v>Pcs </v>
      </c>
      <c r="I3469" s="6" t="str">
        <f>IFERROR(__xludf.DUMMYFUNCTION("""COMPUTED_VALUE"""),"MFH")</f>
        <v>MFH</v>
      </c>
      <c r="J3469" s="6" t="str">
        <f>IFERROR(__xludf.DUMMYFUNCTION("""COMPUTED_VALUE"""),"-")</f>
        <v>-</v>
      </c>
      <c r="K3469" s="6" t="str">
        <f>IFERROR(__xludf.DUMMYFUNCTION("""COMPUTED_VALUE"""),"SPR/26/03/079")</f>
        <v>SPR/26/03/079</v>
      </c>
      <c r="L3469" s="13">
        <f>IFERROR(__xludf.DUMMYFUNCTION("""COMPUTED_VALUE"""),46112.0)</f>
        <v>46112</v>
      </c>
    </row>
    <row r="3470">
      <c r="A3470" s="6" t="str">
        <f>IFERROR(__xludf.DUMMYFUNCTION("""COMPUTED_VALUE"""),"AAA")</f>
        <v>AAA</v>
      </c>
      <c r="B3470" s="6" t="str">
        <f>IFERROR(__xludf.DUMMYFUNCTION("""COMPUTED_VALUE"""),"ENG")</f>
        <v>ENG</v>
      </c>
      <c r="C3470" s="6" t="str">
        <f>IFERROR(__xludf.DUMMYFUNCTION("""COMPUTED_VALUE"""),"O-50863-00")</f>
        <v>O-50863-00</v>
      </c>
      <c r="D3470" s="6" t="str">
        <f>IFERROR(__xludf.DUMMYFUNCTION("""COMPUTED_VALUE"""),"General - Relay 220-240 VAC; Omron; MY4N; 1 Pc")</f>
        <v>General - Relay 220-240 VAC; Omron; MY4N; 1 Pc</v>
      </c>
      <c r="E3470" s="6">
        <f>IFERROR(__xludf.DUMMYFUNCTION("""COMPUTED_VALUE"""),1.0)</f>
        <v>1</v>
      </c>
      <c r="F3470" s="6">
        <f>IFERROR(__xludf.DUMMYFUNCTION("""COMPUTED_VALUE"""),1.0)</f>
        <v>1</v>
      </c>
      <c r="G3470" s="6">
        <f>IFERROR(__xludf.DUMMYFUNCTION("""COMPUTED_VALUE"""),0.0)</f>
        <v>0</v>
      </c>
      <c r="H3470" s="6" t="str">
        <f>IFERROR(__xludf.DUMMYFUNCTION("""COMPUTED_VALUE"""),"Pcs")</f>
        <v>Pcs</v>
      </c>
      <c r="I3470" s="6" t="str">
        <f>IFERROR(__xludf.DUMMYFUNCTION("""COMPUTED_VALUE"""),"MFH")</f>
        <v>MFH</v>
      </c>
      <c r="J3470" s="6" t="str">
        <f>IFERROR(__xludf.DUMMYFUNCTION("""COMPUTED_VALUE"""),"Deep Freezer")</f>
        <v>Deep Freezer</v>
      </c>
      <c r="K3470" s="6" t="str">
        <f>IFERROR(__xludf.DUMMYFUNCTION("""COMPUTED_VALUE"""),"SPR/26/03/080")</f>
        <v>SPR/26/03/080</v>
      </c>
      <c r="L3470" s="13">
        <f>IFERROR(__xludf.DUMMYFUNCTION("""COMPUTED_VALUE"""),46112.0)</f>
        <v>46112</v>
      </c>
    </row>
    <row r="3471">
      <c r="A3471" s="6" t="str">
        <f>IFERROR(__xludf.DUMMYFUNCTION("""COMPUTED_VALUE"""),"AAA")</f>
        <v>AAA</v>
      </c>
      <c r="B3471" s="6" t="str">
        <f>IFERROR(__xludf.DUMMYFUNCTION("""COMPUTED_VALUE"""),"ENG")</f>
        <v>ENG</v>
      </c>
      <c r="C3471" s="6" t="str">
        <f>IFERROR(__xludf.DUMMYFUNCTION("""COMPUTED_VALUE"""),"P-54334-00")</f>
        <v>P-54334-00</v>
      </c>
      <c r="D3471" s="6" t="str">
        <f>IFERROR(__xludf.DUMMYFUNCTION("""COMPUTED_VALUE"""),"General - Socket Relay PYFZ-14-E; Omron; -; 1 pc")</f>
        <v>General - Socket Relay PYFZ-14-E; Omron; -; 1 pc</v>
      </c>
      <c r="E3471" s="6">
        <f>IFERROR(__xludf.DUMMYFUNCTION("""COMPUTED_VALUE"""),1.0)</f>
        <v>1</v>
      </c>
      <c r="F3471" s="6">
        <f>IFERROR(__xludf.DUMMYFUNCTION("""COMPUTED_VALUE"""),1.0)</f>
        <v>1</v>
      </c>
      <c r="G3471" s="6">
        <f>IFERROR(__xludf.DUMMYFUNCTION("""COMPUTED_VALUE"""),0.0)</f>
        <v>0</v>
      </c>
      <c r="H3471" s="6" t="str">
        <f>IFERROR(__xludf.DUMMYFUNCTION("""COMPUTED_VALUE"""),"Pcs")</f>
        <v>Pcs</v>
      </c>
      <c r="I3471" s="6" t="str">
        <f>IFERROR(__xludf.DUMMYFUNCTION("""COMPUTED_VALUE"""),"MFH")</f>
        <v>MFH</v>
      </c>
      <c r="J3471" s="6" t="str">
        <f>IFERROR(__xludf.DUMMYFUNCTION("""COMPUTED_VALUE"""),"Deep Freezer")</f>
        <v>Deep Freezer</v>
      </c>
      <c r="K3471" s="6" t="str">
        <f>IFERROR(__xludf.DUMMYFUNCTION("""COMPUTED_VALUE"""),"SPR/26/03/080")</f>
        <v>SPR/26/03/080</v>
      </c>
      <c r="L3471" s="13">
        <f>IFERROR(__xludf.DUMMYFUNCTION("""COMPUTED_VALUE"""),46112.0)</f>
        <v>46112</v>
      </c>
    </row>
    <row r="3472">
      <c r="A3472" s="6" t="str">
        <f>IFERROR(__xludf.DUMMYFUNCTION("""COMPUTED_VALUE"""),"AAA")</f>
        <v>AAA</v>
      </c>
      <c r="B3472" s="6" t="str">
        <f>IFERROR(__xludf.DUMMYFUNCTION("""COMPUTED_VALUE"""),"ENG")</f>
        <v>ENG</v>
      </c>
      <c r="C3472" s="6" t="str">
        <f>IFERROR(__xludf.DUMMYFUNCTION("""COMPUTED_VALUE"""),"P-50810-00")</f>
        <v>P-50810-00</v>
      </c>
      <c r="D3472" s="6" t="str">
        <f>IFERROR(__xludf.DUMMYFUNCTION("""COMPUTED_VALUE"""),"General - Buzzer AD22-22MSD red with lamp; FORT; -; 1 pcs")</f>
        <v>General - Buzzer AD22-22MSD red with lamp; FORT; -; 1 pcs</v>
      </c>
      <c r="E3472" s="6">
        <f>IFERROR(__xludf.DUMMYFUNCTION("""COMPUTED_VALUE"""),1.0)</f>
        <v>1</v>
      </c>
      <c r="F3472" s="6">
        <f>IFERROR(__xludf.DUMMYFUNCTION("""COMPUTED_VALUE"""),1.0)</f>
        <v>1</v>
      </c>
      <c r="G3472" s="6">
        <f>IFERROR(__xludf.DUMMYFUNCTION("""COMPUTED_VALUE"""),0.0)</f>
        <v>0</v>
      </c>
      <c r="H3472" s="6" t="str">
        <f>IFERROR(__xludf.DUMMYFUNCTION("""COMPUTED_VALUE"""),"Pcs")</f>
        <v>Pcs</v>
      </c>
      <c r="I3472" s="6" t="str">
        <f>IFERROR(__xludf.DUMMYFUNCTION("""COMPUTED_VALUE"""),"MFH")</f>
        <v>MFH</v>
      </c>
      <c r="J3472" s="6" t="str">
        <f>IFERROR(__xludf.DUMMYFUNCTION("""COMPUTED_VALUE"""),"Deep Freezer")</f>
        <v>Deep Freezer</v>
      </c>
      <c r="K3472" s="6" t="str">
        <f>IFERROR(__xludf.DUMMYFUNCTION("""COMPUTED_VALUE"""),"SPR/26/03/080")</f>
        <v>SPR/26/03/080</v>
      </c>
      <c r="L3472" s="13">
        <f>IFERROR(__xludf.DUMMYFUNCTION("""COMPUTED_VALUE"""),46112.0)</f>
        <v>46112</v>
      </c>
    </row>
    <row r="3473">
      <c r="A3473" s="6" t="str">
        <f>IFERROR(__xludf.DUMMYFUNCTION("""COMPUTED_VALUE"""),"MRN")</f>
        <v>MRN</v>
      </c>
      <c r="B3473" s="6" t="str">
        <f>IFERROR(__xludf.DUMMYFUNCTION("""COMPUTED_VALUE"""),"ENG")</f>
        <v>ENG</v>
      </c>
      <c r="C3473" s="6" t="str">
        <f>IFERROR(__xludf.DUMMYFUNCTION("""COMPUTED_VALUE"""),"P-15960-00")</f>
        <v>P-15960-00</v>
      </c>
      <c r="D3473" s="6" t="str">
        <f>IFERROR(__xludf.DUMMYFUNCTION("""COMPUTED_VALUE"""),"General - Freon R32; Dupont; -; 1 pcs")</f>
        <v>General - Freon R32; Dupont; -; 1 pcs</v>
      </c>
      <c r="E3473" s="6">
        <f>IFERROR(__xludf.DUMMYFUNCTION("""COMPUTED_VALUE"""),1.0)</f>
        <v>1</v>
      </c>
      <c r="F3473" s="6">
        <f>IFERROR(__xludf.DUMMYFUNCTION("""COMPUTED_VALUE"""),1.0)</f>
        <v>1</v>
      </c>
      <c r="G3473" s="6">
        <f>IFERROR(__xludf.DUMMYFUNCTION("""COMPUTED_VALUE"""),0.0)</f>
        <v>0</v>
      </c>
      <c r="H3473" s="6" t="str">
        <f>IFERROR(__xludf.DUMMYFUNCTION("""COMPUTED_VALUE"""),"Pcs")</f>
        <v>Pcs</v>
      </c>
      <c r="I3473" s="6" t="str">
        <f>IFERROR(__xludf.DUMMYFUNCTION("""COMPUTED_VALUE"""),"MFH")</f>
        <v>MFH</v>
      </c>
      <c r="J3473" s="6" t="str">
        <f>IFERROR(__xludf.DUMMYFUNCTION("""COMPUTED_VALUE"""),"-")</f>
        <v>-</v>
      </c>
      <c r="K3473" s="6" t="str">
        <f>IFERROR(__xludf.DUMMYFUNCTION("""COMPUTED_VALUE"""),"SPR/26/03/081")</f>
        <v>SPR/26/03/081</v>
      </c>
      <c r="L3473" s="13">
        <f>IFERROR(__xludf.DUMMYFUNCTION("""COMPUTED_VALUE"""),46112.0)</f>
        <v>46112</v>
      </c>
    </row>
    <row r="3474">
      <c r="A3474" s="6" t="str">
        <f>IFERROR(__xludf.DUMMYFUNCTION("""COMPUTED_VALUE"""),"NDS")</f>
        <v>NDS</v>
      </c>
      <c r="B3474" s="6" t="str">
        <f>IFERROR(__xludf.DUMMYFUNCTION("""COMPUTED_VALUE"""),"ENG")</f>
        <v>ENG</v>
      </c>
      <c r="C3474" s="6" t="str">
        <f>IFERROR(__xludf.DUMMYFUNCTION("""COMPUTED_VALUE"""),"O-16647-00")</f>
        <v>O-16647-00</v>
      </c>
      <c r="D3474" s="6" t="str">
        <f>IFERROR(__xludf.DUMMYFUNCTION("""COMPUTED_VALUE"""),"Washing RAR4 - Oring Silicone Merah 23x18x2.5 mm; ; ;")</f>
        <v>Washing RAR4 - Oring Silicone Merah 23x18x2.5 mm; ; ;</v>
      </c>
      <c r="E3474" s="6">
        <f>IFERROR(__xludf.DUMMYFUNCTION("""COMPUTED_VALUE"""),10.0)</f>
        <v>10</v>
      </c>
      <c r="F3474" s="6">
        <f>IFERROR(__xludf.DUMMYFUNCTION("""COMPUTED_VALUE"""),10.0)</f>
        <v>10</v>
      </c>
      <c r="G3474" s="6">
        <f>IFERROR(__xludf.DUMMYFUNCTION("""COMPUTED_VALUE"""),0.0)</f>
        <v>0</v>
      </c>
      <c r="H3474" s="6" t="str">
        <f>IFERROR(__xludf.DUMMYFUNCTION("""COMPUTED_VALUE"""),"Pcs")</f>
        <v>Pcs</v>
      </c>
      <c r="I3474" s="6" t="str">
        <f>IFERROR(__xludf.DUMMYFUNCTION("""COMPUTED_VALUE"""),"MFH")</f>
        <v>MFH</v>
      </c>
      <c r="J3474" s="6" t="str">
        <f>IFERROR(__xludf.DUMMYFUNCTION("""COMPUTED_VALUE"""),"Capping")</f>
        <v>Capping</v>
      </c>
      <c r="K3474" s="6" t="str">
        <f>IFERROR(__xludf.DUMMYFUNCTION("""COMPUTED_VALUE"""),"SPR/26/03/082")</f>
        <v>SPR/26/03/082</v>
      </c>
      <c r="L3474" s="13">
        <f>IFERROR(__xludf.DUMMYFUNCTION("""COMPUTED_VALUE"""),46112.0)</f>
        <v>46112</v>
      </c>
    </row>
    <row r="3475">
      <c r="A3475" s="6" t="str">
        <f>IFERROR(__xludf.DUMMYFUNCTION("""COMPUTED_VALUE"""),"NDS")</f>
        <v>NDS</v>
      </c>
      <c r="B3475" s="6" t="str">
        <f>IFERROR(__xludf.DUMMYFUNCTION("""COMPUTED_VALUE"""),"ENG")</f>
        <v>ENG</v>
      </c>
      <c r="C3475" s="6" t="str">
        <f>IFERROR(__xludf.DUMMYFUNCTION("""COMPUTED_VALUE"""),"P-18555-00")</f>
        <v>P-18555-00</v>
      </c>
      <c r="D3475" s="6" t="str">
        <f>IFERROR(__xludf.DUMMYFUNCTION("""COMPUTED_VALUE"""),"Baut L SS 304 Uk. M3 x 6 mm")</f>
        <v>Baut L SS 304 Uk. M3 x 6 mm</v>
      </c>
      <c r="E3475" s="6">
        <f>IFERROR(__xludf.DUMMYFUNCTION("""COMPUTED_VALUE"""),1.0)</f>
        <v>1</v>
      </c>
      <c r="F3475" s="6">
        <f>IFERROR(__xludf.DUMMYFUNCTION("""COMPUTED_VALUE"""),1.0)</f>
        <v>1</v>
      </c>
      <c r="G3475" s="6">
        <f>IFERROR(__xludf.DUMMYFUNCTION("""COMPUTED_VALUE"""),0.0)</f>
        <v>0</v>
      </c>
      <c r="H3475" s="6" t="str">
        <f>IFERROR(__xludf.DUMMYFUNCTION("""COMPUTED_VALUE"""),"Pcs")</f>
        <v>Pcs</v>
      </c>
      <c r="I3475" s="6" t="str">
        <f>IFERROR(__xludf.DUMMYFUNCTION("""COMPUTED_VALUE"""),"MFH")</f>
        <v>MFH</v>
      </c>
      <c r="J3475" s="6" t="str">
        <f>IFERROR(__xludf.DUMMYFUNCTION("""COMPUTED_VALUE"""),"Washing")</f>
        <v>Washing</v>
      </c>
      <c r="K3475" s="6" t="str">
        <f>IFERROR(__xludf.DUMMYFUNCTION("""COMPUTED_VALUE"""),"SPR/26/03/083")</f>
        <v>SPR/26/03/083</v>
      </c>
      <c r="L3475" s="13">
        <f>IFERROR(__xludf.DUMMYFUNCTION("""COMPUTED_VALUE"""),46112.0)</f>
        <v>46112</v>
      </c>
    </row>
    <row r="3476">
      <c r="A3476" s="6" t="str">
        <f>IFERROR(__xludf.DUMMYFUNCTION("""COMPUTED_VALUE"""),"ROS")</f>
        <v>ROS</v>
      </c>
      <c r="B3476" s="6" t="str">
        <f>IFERROR(__xludf.DUMMYFUNCTION("""COMPUTED_VALUE"""),"ENG")</f>
        <v>ENG</v>
      </c>
      <c r="C3476" s="6" t="str">
        <f>IFERROR(__xludf.DUMMYFUNCTION("""COMPUTED_VALUE"""),"O-21007-00")</f>
        <v>O-21007-00</v>
      </c>
      <c r="D3476" s="6" t="str">
        <f>IFERROR(__xludf.DUMMYFUNCTION("""COMPUTED_VALUE"""),"Filling VFM100 - Handle Manual Valve Hexagon 60x27; Custom/Lokal; -; 1 Pc")</f>
        <v>Filling VFM100 - Handle Manual Valve Hexagon 60x27; Custom/Lokal; -; 1 Pc</v>
      </c>
      <c r="E3476" s="6">
        <f>IFERROR(__xludf.DUMMYFUNCTION("""COMPUTED_VALUE"""),1.0)</f>
        <v>1</v>
      </c>
      <c r="F3476" s="6">
        <f>IFERROR(__xludf.DUMMYFUNCTION("""COMPUTED_VALUE"""),1.0)</f>
        <v>1</v>
      </c>
      <c r="G3476" s="6">
        <f>IFERROR(__xludf.DUMMYFUNCTION("""COMPUTED_VALUE"""),0.0)</f>
        <v>0</v>
      </c>
      <c r="H3476" s="6" t="str">
        <f>IFERROR(__xludf.DUMMYFUNCTION("""COMPUTED_VALUE"""),"Pcs")</f>
        <v>Pcs</v>
      </c>
      <c r="I3476" s="6" t="str">
        <f>IFERROR(__xludf.DUMMYFUNCTION("""COMPUTED_VALUE"""),"MFH")</f>
        <v>MFH</v>
      </c>
      <c r="J3476" s="6" t="str">
        <f>IFERROR(__xludf.DUMMYFUNCTION("""COMPUTED_VALUE"""),"FIlling")</f>
        <v>FIlling</v>
      </c>
      <c r="K3476" s="6" t="str">
        <f>IFERROR(__xludf.DUMMYFUNCTION("""COMPUTED_VALUE"""),"SPR/26/03/084")</f>
        <v>SPR/26/03/084</v>
      </c>
      <c r="L3476" s="13">
        <f>IFERROR(__xludf.DUMMYFUNCTION("""COMPUTED_VALUE"""),46112.0)</f>
        <v>46112</v>
      </c>
    </row>
    <row r="3477">
      <c r="A3477" s="6" t="str">
        <f>IFERROR(__xludf.DUMMYFUNCTION("""COMPUTED_VALUE"""),"KFF")</f>
        <v>KFF</v>
      </c>
      <c r="B3477" s="6" t="str">
        <f>IFERROR(__xludf.DUMMYFUNCTION("""COMPUTED_VALUE"""),"ENG")</f>
        <v>ENG</v>
      </c>
      <c r="C3477" s="6" t="str">
        <f>IFERROR(__xludf.DUMMYFUNCTION("""COMPUTED_VALUE"""),"O-15931-00")</f>
        <v>O-15931-00</v>
      </c>
      <c r="D3477" s="6" t="str">
        <f>IFERROR(__xludf.DUMMYFUNCTION("""COMPUTED_VALUE"""),"Double Tape 3M 1"" Merah - P/N : - pc")</f>
        <v>Double Tape 3M 1" Merah - P/N : - pc</v>
      </c>
      <c r="E3477" s="6">
        <f>IFERROR(__xludf.DUMMYFUNCTION("""COMPUTED_VALUE"""),1.0)</f>
        <v>1</v>
      </c>
      <c r="F3477" s="6">
        <f>IFERROR(__xludf.DUMMYFUNCTION("""COMPUTED_VALUE"""),1.0)</f>
        <v>1</v>
      </c>
      <c r="G3477" s="6">
        <f>IFERROR(__xludf.DUMMYFUNCTION("""COMPUTED_VALUE"""),0.0)</f>
        <v>0</v>
      </c>
      <c r="H3477" s="6" t="str">
        <f>IFERROR(__xludf.DUMMYFUNCTION("""COMPUTED_VALUE"""),"Pcs")</f>
        <v>Pcs</v>
      </c>
      <c r="I3477" s="6" t="str">
        <f>IFERROR(__xludf.DUMMYFUNCTION("""COMPUTED_VALUE"""),"MFH")</f>
        <v>MFH</v>
      </c>
      <c r="J3477" s="6" t="str">
        <f>IFERROR(__xludf.DUMMYFUNCTION("""COMPUTED_VALUE"""),"-")</f>
        <v>-</v>
      </c>
      <c r="K3477" s="6" t="str">
        <f>IFERROR(__xludf.DUMMYFUNCTION("""COMPUTED_VALUE"""),"SPR/26/03/085")</f>
        <v>SPR/26/03/085</v>
      </c>
      <c r="L3477" s="13">
        <f>IFERROR(__xludf.DUMMYFUNCTION("""COMPUTED_VALUE"""),46112.0)</f>
        <v>46112</v>
      </c>
    </row>
    <row r="3478">
      <c r="A3478" s="6" t="str">
        <f>IFERROR(__xludf.DUMMYFUNCTION("""COMPUTED_VALUE"""),"KFF")</f>
        <v>KFF</v>
      </c>
      <c r="B3478" s="6" t="str">
        <f>IFERROR(__xludf.DUMMYFUNCTION("""COMPUTED_VALUE"""),"ENG")</f>
        <v>ENG</v>
      </c>
      <c r="C3478" s="6" t="str">
        <f>IFERROR(__xludf.DUMMYFUNCTION("""COMPUTED_VALUE"""),"Q-60503-00")</f>
        <v>Q-60503-00</v>
      </c>
      <c r="D3478" s="6" t="str">
        <f>IFERROR(__xludf.DUMMYFUNCTION("""COMPUTED_VALUE"""),"Silicone Sealant, Silglaze, Type N10 Grey, pack size per pcs")</f>
        <v>Silicone Sealant, Silglaze, Type N10 Grey, pack size per pcs</v>
      </c>
      <c r="E3478" s="6">
        <f>IFERROR(__xludf.DUMMYFUNCTION("""COMPUTED_VALUE"""),1.0)</f>
        <v>1</v>
      </c>
      <c r="F3478" s="6">
        <f>IFERROR(__xludf.DUMMYFUNCTION("""COMPUTED_VALUE"""),1.0)</f>
        <v>1</v>
      </c>
      <c r="G3478" s="6">
        <f>IFERROR(__xludf.DUMMYFUNCTION("""COMPUTED_VALUE"""),0.0)</f>
        <v>0</v>
      </c>
      <c r="H3478" s="6" t="str">
        <f>IFERROR(__xludf.DUMMYFUNCTION("""COMPUTED_VALUE"""),"Pcs")</f>
        <v>Pcs</v>
      </c>
      <c r="I3478" s="6" t="str">
        <f>IFERROR(__xludf.DUMMYFUNCTION("""COMPUTED_VALUE"""),"MFH")</f>
        <v>MFH</v>
      </c>
      <c r="J3478" s="6" t="str">
        <f>IFERROR(__xludf.DUMMYFUNCTION("""COMPUTED_VALUE"""),"-")</f>
        <v>-</v>
      </c>
      <c r="K3478" s="6" t="str">
        <f>IFERROR(__xludf.DUMMYFUNCTION("""COMPUTED_VALUE"""),"SPR/26/03/085")</f>
        <v>SPR/26/03/085</v>
      </c>
      <c r="L3478" s="13">
        <f>IFERROR(__xludf.DUMMYFUNCTION("""COMPUTED_VALUE"""),46112.0)</f>
        <v>46112</v>
      </c>
    </row>
    <row r="3479">
      <c r="A3479" s="6" t="str">
        <f>IFERROR(__xludf.DUMMYFUNCTION("""COMPUTED_VALUE"""),"ANO")</f>
        <v>ANO</v>
      </c>
      <c r="B3479" s="6" t="str">
        <f>IFERROR(__xludf.DUMMYFUNCTION("""COMPUTED_VALUE"""),"ENG")</f>
        <v>ENG</v>
      </c>
      <c r="C3479" s="6" t="str">
        <f>IFERROR(__xludf.DUMMYFUNCTION("""COMPUTED_VALUE"""),"Q-60502-00")</f>
        <v>Q-60502-00</v>
      </c>
      <c r="D3479" s="6" t="str">
        <f>IFERROR(__xludf.DUMMYFUNCTION("""COMPUTED_VALUE"""),"Silicone Sealant, Silglaze, Type N10 White, pack size per pcs")</f>
        <v>Silicone Sealant, Silglaze, Type N10 White, pack size per pcs</v>
      </c>
      <c r="E3479" s="6">
        <f>IFERROR(__xludf.DUMMYFUNCTION("""COMPUTED_VALUE"""),1.0)</f>
        <v>1</v>
      </c>
      <c r="F3479" s="6">
        <f>IFERROR(__xludf.DUMMYFUNCTION("""COMPUTED_VALUE"""),1.0)</f>
        <v>1</v>
      </c>
      <c r="G3479" s="6">
        <f>IFERROR(__xludf.DUMMYFUNCTION("""COMPUTED_VALUE"""),0.0)</f>
        <v>0</v>
      </c>
      <c r="H3479" s="6" t="str">
        <f>IFERROR(__xludf.DUMMYFUNCTION("""COMPUTED_VALUE"""),"Pcs")</f>
        <v>Pcs</v>
      </c>
      <c r="I3479" s="6" t="str">
        <f>IFERROR(__xludf.DUMMYFUNCTION("""COMPUTED_VALUE"""),"MFH")</f>
        <v>MFH</v>
      </c>
      <c r="J3479" s="6" t="str">
        <f>IFERROR(__xludf.DUMMYFUNCTION("""COMPUTED_VALUE"""),"Building")</f>
        <v>Building</v>
      </c>
      <c r="K3479" s="6" t="str">
        <f>IFERROR(__xludf.DUMMYFUNCTION("""COMPUTED_VALUE"""),"SPR/26/03/086")</f>
        <v>SPR/26/03/086</v>
      </c>
      <c r="L3479" s="13">
        <f>IFERROR(__xludf.DUMMYFUNCTION("""COMPUTED_VALUE"""),46112.0)</f>
        <v>46112</v>
      </c>
    </row>
    <row r="3480">
      <c r="A3480" s="6" t="str">
        <f>IFERROR(__xludf.DUMMYFUNCTION("""COMPUTED_VALUE"""),"MRN")</f>
        <v>MRN</v>
      </c>
      <c r="B3480" s="6" t="str">
        <f>IFERROR(__xludf.DUMMYFUNCTION("""COMPUTED_VALUE"""),"ENG")</f>
        <v>ENG</v>
      </c>
      <c r="C3480" s="6" t="str">
        <f>IFERROR(__xludf.DUMMYFUNCTION("""COMPUTED_VALUE"""),"P-11018-00")</f>
        <v>P-11018-00</v>
      </c>
      <c r="D3480" s="6" t="str">
        <f>IFERROR(__xludf.DUMMYFUNCTION("""COMPUTED_VALUE"""),"General - Oil Seal TC 15 x 24 x 7; NOK; -; 1 Pc")</f>
        <v>General - Oil Seal TC 15 x 24 x 7; NOK; -; 1 Pc</v>
      </c>
      <c r="E3480" s="6">
        <f>IFERROR(__xludf.DUMMYFUNCTION("""COMPUTED_VALUE"""),2.0)</f>
        <v>2</v>
      </c>
      <c r="F3480" s="6">
        <f>IFERROR(__xludf.DUMMYFUNCTION("""COMPUTED_VALUE"""),2.0)</f>
        <v>2</v>
      </c>
      <c r="G3480" s="6">
        <f>IFERROR(__xludf.DUMMYFUNCTION("""COMPUTED_VALUE"""),0.0)</f>
        <v>0</v>
      </c>
      <c r="H3480" s="6" t="str">
        <f>IFERROR(__xludf.DUMMYFUNCTION("""COMPUTED_VALUE"""),"Pcs")</f>
        <v>Pcs</v>
      </c>
      <c r="I3480" s="6" t="str">
        <f>IFERROR(__xludf.DUMMYFUNCTION("""COMPUTED_VALUE"""),"MFH")</f>
        <v>MFH</v>
      </c>
      <c r="J3480" s="6" t="str">
        <f>IFERROR(__xludf.DUMMYFUNCTION("""COMPUTED_VALUE"""),"Washing")</f>
        <v>Washing</v>
      </c>
      <c r="K3480" s="6" t="str">
        <f>IFERROR(__xludf.DUMMYFUNCTION("""COMPUTED_VALUE"""),"SPR/26/03/087")</f>
        <v>SPR/26/03/087</v>
      </c>
      <c r="L3480" s="13">
        <f>IFERROR(__xludf.DUMMYFUNCTION("""COMPUTED_VALUE"""),46112.0)</f>
        <v>46112</v>
      </c>
    </row>
    <row r="3481">
      <c r="A3481" s="6" t="str">
        <f>IFERROR(__xludf.DUMMYFUNCTION("""COMPUTED_VALUE"""),"MFH")</f>
        <v>MFH</v>
      </c>
      <c r="B3481" s="6" t="str">
        <f>IFERROR(__xludf.DUMMYFUNCTION("""COMPUTED_VALUE"""),"ENG")</f>
        <v>ENG</v>
      </c>
      <c r="C3481" s="6" t="str">
        <f>IFERROR(__xludf.DUMMYFUNCTION("""COMPUTED_VALUE"""),"O-50863-00")</f>
        <v>O-50863-00</v>
      </c>
      <c r="D3481" s="6" t="str">
        <f>IFERROR(__xludf.DUMMYFUNCTION("""COMPUTED_VALUE"""),"General - Relay 220-240 VAC; Omron; MY4N; 1 Pc")</f>
        <v>General - Relay 220-240 VAC; Omron; MY4N; 1 Pc</v>
      </c>
      <c r="E3481" s="6">
        <f>IFERROR(__xludf.DUMMYFUNCTION("""COMPUTED_VALUE"""),5.0)</f>
        <v>5</v>
      </c>
      <c r="F3481" s="6">
        <f>IFERROR(__xludf.DUMMYFUNCTION("""COMPUTED_VALUE"""),5.0)</f>
        <v>5</v>
      </c>
      <c r="G3481" s="6">
        <f>IFERROR(__xludf.DUMMYFUNCTION("""COMPUTED_VALUE"""),0.0)</f>
        <v>0</v>
      </c>
      <c r="H3481" s="6" t="str">
        <f>IFERROR(__xludf.DUMMYFUNCTION("""COMPUTED_VALUE"""),"Pcs")</f>
        <v>Pcs</v>
      </c>
      <c r="I3481" s="6" t="str">
        <f>IFERROR(__xludf.DUMMYFUNCTION("""COMPUTED_VALUE"""),"MFH")</f>
        <v>MFH</v>
      </c>
      <c r="J3481" s="6" t="str">
        <f>IFERROR(__xludf.DUMMYFUNCTION("""COMPUTED_VALUE"""),"-")</f>
        <v>-</v>
      </c>
      <c r="K3481" s="6" t="str">
        <f>IFERROR(__xludf.DUMMYFUNCTION("""COMPUTED_VALUE"""),"SPR/26/03/088")</f>
        <v>SPR/26/03/088</v>
      </c>
      <c r="L3481" s="13">
        <f>IFERROR(__xludf.DUMMYFUNCTION("""COMPUTED_VALUE"""),46112.0)</f>
        <v>46112</v>
      </c>
    </row>
    <row r="3482">
      <c r="A3482" s="6" t="str">
        <f>IFERROR(__xludf.DUMMYFUNCTION("""COMPUTED_VALUE"""),"MFH")</f>
        <v>MFH</v>
      </c>
      <c r="B3482" s="6" t="str">
        <f>IFERROR(__xludf.DUMMYFUNCTION("""COMPUTED_VALUE"""),"ENG")</f>
        <v>ENG</v>
      </c>
      <c r="C3482" s="6" t="str">
        <f>IFERROR(__xludf.DUMMYFUNCTION("""COMPUTED_VALUE"""),"O-51967-00")</f>
        <v>O-51967-00</v>
      </c>
      <c r="D3482" s="6" t="str">
        <f>IFERROR(__xludf.DUMMYFUNCTION("""COMPUTED_VALUE"""),"Solid State Relay 3-32 VDC - 330 VAC 25 A; ; ;")</f>
        <v>Solid State Relay 3-32 VDC - 330 VAC 25 A; ; ;</v>
      </c>
      <c r="E3482" s="6">
        <f>IFERROR(__xludf.DUMMYFUNCTION("""COMPUTED_VALUE"""),2.0)</f>
        <v>2</v>
      </c>
      <c r="F3482" s="6">
        <f>IFERROR(__xludf.DUMMYFUNCTION("""COMPUTED_VALUE"""),2.0)</f>
        <v>2</v>
      </c>
      <c r="G3482" s="6">
        <f>IFERROR(__xludf.DUMMYFUNCTION("""COMPUTED_VALUE"""),0.0)</f>
        <v>0</v>
      </c>
      <c r="H3482" s="6" t="str">
        <f>IFERROR(__xludf.DUMMYFUNCTION("""COMPUTED_VALUE"""),"Pcs")</f>
        <v>Pcs</v>
      </c>
      <c r="I3482" s="6" t="str">
        <f>IFERROR(__xludf.DUMMYFUNCTION("""COMPUTED_VALUE"""),"MFH")</f>
        <v>MFH</v>
      </c>
      <c r="J3482" s="6" t="str">
        <f>IFERROR(__xludf.DUMMYFUNCTION("""COMPUTED_VALUE"""),"-")</f>
        <v>-</v>
      </c>
      <c r="K3482" s="6" t="str">
        <f>IFERROR(__xludf.DUMMYFUNCTION("""COMPUTED_VALUE"""),"SPR/26/03/088")</f>
        <v>SPR/26/03/088</v>
      </c>
      <c r="L3482" s="13">
        <f>IFERROR(__xludf.DUMMYFUNCTION("""COMPUTED_VALUE"""),46112.0)</f>
        <v>46112</v>
      </c>
    </row>
    <row r="3483">
      <c r="A3483" s="6" t="str">
        <f>IFERROR(__xludf.DUMMYFUNCTION("""COMPUTED_VALUE"""),"MFH")</f>
        <v>MFH</v>
      </c>
      <c r="B3483" s="6" t="str">
        <f>IFERROR(__xludf.DUMMYFUNCTION("""COMPUTED_VALUE"""),"ENG")</f>
        <v>ENG</v>
      </c>
      <c r="C3483" s="6" t="str">
        <f>IFERROR(__xludf.DUMMYFUNCTION("""COMPUTED_VALUE"""),"P-51793-00")</f>
        <v>P-51793-00</v>
      </c>
      <c r="D3483" s="6" t="str">
        <f>IFERROR(__xludf.DUMMYFUNCTION("""COMPUTED_VALUE"""),"Junction Box 20x30x15 cm; ; ;")</f>
        <v>Junction Box 20x30x15 cm; ; ;</v>
      </c>
      <c r="E3483" s="6">
        <f>IFERROR(__xludf.DUMMYFUNCTION("""COMPUTED_VALUE"""),1.0)</f>
        <v>1</v>
      </c>
      <c r="F3483" s="6">
        <f>IFERROR(__xludf.DUMMYFUNCTION("""COMPUTED_VALUE"""),1.0)</f>
        <v>1</v>
      </c>
      <c r="G3483" s="6">
        <f>IFERROR(__xludf.DUMMYFUNCTION("""COMPUTED_VALUE"""),0.0)</f>
        <v>0</v>
      </c>
      <c r="H3483" s="6" t="str">
        <f>IFERROR(__xludf.DUMMYFUNCTION("""COMPUTED_VALUE"""),"Pcs")</f>
        <v>Pcs</v>
      </c>
      <c r="I3483" s="6" t="str">
        <f>IFERROR(__xludf.DUMMYFUNCTION("""COMPUTED_VALUE"""),"MFH")</f>
        <v>MFH</v>
      </c>
      <c r="J3483" s="6" t="str">
        <f>IFERROR(__xludf.DUMMYFUNCTION("""COMPUTED_VALUE"""),"-")</f>
        <v>-</v>
      </c>
      <c r="K3483" s="6" t="str">
        <f>IFERROR(__xludf.DUMMYFUNCTION("""COMPUTED_VALUE"""),"SPR/26/03/088")</f>
        <v>SPR/26/03/088</v>
      </c>
      <c r="L3483" s="13">
        <f>IFERROR(__xludf.DUMMYFUNCTION("""COMPUTED_VALUE"""),46112.0)</f>
        <v>46112</v>
      </c>
    </row>
    <row r="3484">
      <c r="A3484" s="6" t="str">
        <f>IFERROR(__xludf.DUMMYFUNCTION("""COMPUTED_VALUE"""),"MFH")</f>
        <v>MFH</v>
      </c>
      <c r="B3484" s="6" t="str">
        <f>IFERROR(__xludf.DUMMYFUNCTION("""COMPUTED_VALUE"""),"ENG")</f>
        <v>ENG</v>
      </c>
      <c r="C3484" s="6" t="str">
        <f>IFERROR(__xludf.DUMMYFUNCTION("""COMPUTED_VALUE"""),"P-51030-00")</f>
        <v>P-51030-00</v>
      </c>
      <c r="D3484" s="6" t="str">
        <f>IFERROR(__xludf.DUMMYFUNCTION("""COMPUTED_VALUE"""),"General - Kabel NYAF 1x0.75mm, Warna Biru; JEMBO; -; 1 meter")</f>
        <v>General - Kabel NYAF 1x0.75mm, Warna Biru; JEMBO; -; 1 meter</v>
      </c>
      <c r="E3484" s="6">
        <f>IFERROR(__xludf.DUMMYFUNCTION("""COMPUTED_VALUE"""),1.0)</f>
        <v>1</v>
      </c>
      <c r="F3484" s="6">
        <f>IFERROR(__xludf.DUMMYFUNCTION("""COMPUTED_VALUE"""),1.0)</f>
        <v>1</v>
      </c>
      <c r="G3484" s="6">
        <f>IFERROR(__xludf.DUMMYFUNCTION("""COMPUTED_VALUE"""),0.0)</f>
        <v>0</v>
      </c>
      <c r="H3484" s="6" t="str">
        <f>IFERROR(__xludf.DUMMYFUNCTION("""COMPUTED_VALUE"""),"Pcs")</f>
        <v>Pcs</v>
      </c>
      <c r="I3484" s="6" t="str">
        <f>IFERROR(__xludf.DUMMYFUNCTION("""COMPUTED_VALUE"""),"MFH")</f>
        <v>MFH</v>
      </c>
      <c r="J3484" s="6" t="str">
        <f>IFERROR(__xludf.DUMMYFUNCTION("""COMPUTED_VALUE"""),"-")</f>
        <v>-</v>
      </c>
      <c r="K3484" s="6" t="str">
        <f>IFERROR(__xludf.DUMMYFUNCTION("""COMPUTED_VALUE"""),"SPR/26/03/089")</f>
        <v>SPR/26/03/089</v>
      </c>
      <c r="L3484" s="13">
        <f>IFERROR(__xludf.DUMMYFUNCTION("""COMPUTED_VALUE"""),46112.0)</f>
        <v>46112</v>
      </c>
    </row>
    <row r="3485">
      <c r="A3485" s="6" t="str">
        <f>IFERROR(__xludf.DUMMYFUNCTION("""COMPUTED_VALUE"""),"MFH")</f>
        <v>MFH</v>
      </c>
      <c r="B3485" s="6" t="str">
        <f>IFERROR(__xludf.DUMMYFUNCTION("""COMPUTED_VALUE"""),"ENG")</f>
        <v>ENG</v>
      </c>
      <c r="C3485" s="6" t="str">
        <f>IFERROR(__xludf.DUMMYFUNCTION("""COMPUTED_VALUE"""),"P-50274-00")</f>
        <v>P-50274-00</v>
      </c>
      <c r="D3485" s="6" t="str">
        <f>IFERROR(__xludf.DUMMYFUNCTION("""COMPUTED_VALUE"""),"Kabel NYAF 0.75 Merah")</f>
        <v>Kabel NYAF 0.75 Merah</v>
      </c>
      <c r="E3485" s="6">
        <f>IFERROR(__xludf.DUMMYFUNCTION("""COMPUTED_VALUE"""),1.0)</f>
        <v>1</v>
      </c>
      <c r="F3485" s="6">
        <f>IFERROR(__xludf.DUMMYFUNCTION("""COMPUTED_VALUE"""),1.0)</f>
        <v>1</v>
      </c>
      <c r="G3485" s="6">
        <f>IFERROR(__xludf.DUMMYFUNCTION("""COMPUTED_VALUE"""),0.0)</f>
        <v>0</v>
      </c>
      <c r="H3485" s="6" t="str">
        <f>IFERROR(__xludf.DUMMYFUNCTION("""COMPUTED_VALUE"""),"Pcs")</f>
        <v>Pcs</v>
      </c>
      <c r="I3485" s="6" t="str">
        <f>IFERROR(__xludf.DUMMYFUNCTION("""COMPUTED_VALUE"""),"MFH")</f>
        <v>MFH</v>
      </c>
      <c r="J3485" s="6" t="str">
        <f>IFERROR(__xludf.DUMMYFUNCTION("""COMPUTED_VALUE"""),"-")</f>
        <v>-</v>
      </c>
      <c r="K3485" s="6" t="str">
        <f>IFERROR(__xludf.DUMMYFUNCTION("""COMPUTED_VALUE"""),"SPR/26/03/089")</f>
        <v>SPR/26/03/089</v>
      </c>
      <c r="L3485" s="13">
        <f>IFERROR(__xludf.DUMMYFUNCTION("""COMPUTED_VALUE"""),46112.0)</f>
        <v>46112</v>
      </c>
    </row>
    <row r="3486">
      <c r="A3486" s="6" t="str">
        <f>IFERROR(__xludf.DUMMYFUNCTION("""COMPUTED_VALUE"""),"MFH")</f>
        <v>MFH</v>
      </c>
      <c r="B3486" s="6" t="str">
        <f>IFERROR(__xludf.DUMMYFUNCTION("""COMPUTED_VALUE"""),"ENG")</f>
        <v>ENG</v>
      </c>
      <c r="C3486" s="6" t="str">
        <f>IFERROR(__xludf.DUMMYFUNCTION("""COMPUTED_VALUE"""),"P-51253-00")</f>
        <v>P-51253-00</v>
      </c>
      <c r="D3486" s="6" t="str">
        <f>IFERROR(__xludf.DUMMYFUNCTION("""COMPUTED_VALUE"""),"General - Skun Y 0.75mm; No Brand; -; 100pcs/pack")</f>
        <v>General - Skun Y 0.75mm; No Brand; -; 100pcs/pack</v>
      </c>
      <c r="E3486" s="6">
        <f>IFERROR(__xludf.DUMMYFUNCTION("""COMPUTED_VALUE"""),1.0)</f>
        <v>1</v>
      </c>
      <c r="F3486" s="6">
        <f>IFERROR(__xludf.DUMMYFUNCTION("""COMPUTED_VALUE"""),1.0)</f>
        <v>1</v>
      </c>
      <c r="G3486" s="6">
        <f>IFERROR(__xludf.DUMMYFUNCTION("""COMPUTED_VALUE"""),0.0)</f>
        <v>0</v>
      </c>
      <c r="H3486" s="6" t="str">
        <f>IFERROR(__xludf.DUMMYFUNCTION("""COMPUTED_VALUE"""),"Pcs")</f>
        <v>Pcs</v>
      </c>
      <c r="I3486" s="6" t="str">
        <f>IFERROR(__xludf.DUMMYFUNCTION("""COMPUTED_VALUE"""),"MFH")</f>
        <v>MFH</v>
      </c>
      <c r="J3486" s="6" t="str">
        <f>IFERROR(__xludf.DUMMYFUNCTION("""COMPUTED_VALUE"""),"-")</f>
        <v>-</v>
      </c>
      <c r="K3486" s="6" t="str">
        <f>IFERROR(__xludf.DUMMYFUNCTION("""COMPUTED_VALUE"""),"SPR/26/03/089")</f>
        <v>SPR/26/03/089</v>
      </c>
      <c r="L3486" s="13">
        <f>IFERROR(__xludf.DUMMYFUNCTION("""COMPUTED_VALUE"""),46112.0)</f>
        <v>46112</v>
      </c>
    </row>
    <row r="3487">
      <c r="A3487" s="6" t="str">
        <f>IFERROR(__xludf.DUMMYFUNCTION("""COMPUTED_VALUE"""),"MFH")</f>
        <v>MFH</v>
      </c>
      <c r="B3487" s="6" t="str">
        <f>IFERROR(__xludf.DUMMYFUNCTION("""COMPUTED_VALUE"""),"ENG")</f>
        <v>ENG</v>
      </c>
      <c r="C3487" s="6" t="str">
        <f>IFERROR(__xludf.DUMMYFUNCTION("""COMPUTED_VALUE"""),"P-50248-00")</f>
        <v>P-50248-00</v>
      </c>
      <c r="D3487" s="6" t="str">
        <f>IFERROR(__xludf.DUMMYFUNCTION("""COMPUTED_VALUE"""),"Fuse Keramik 13 A 250 V")</f>
        <v>Fuse Keramik 13 A 250 V</v>
      </c>
      <c r="E3487" s="6">
        <f>IFERROR(__xludf.DUMMYFUNCTION("""COMPUTED_VALUE"""),2.0)</f>
        <v>2</v>
      </c>
      <c r="F3487" s="6">
        <f>IFERROR(__xludf.DUMMYFUNCTION("""COMPUTED_VALUE"""),2.0)</f>
        <v>2</v>
      </c>
      <c r="G3487" s="6">
        <f>IFERROR(__xludf.DUMMYFUNCTION("""COMPUTED_VALUE"""),0.0)</f>
        <v>0</v>
      </c>
      <c r="H3487" s="6" t="str">
        <f>IFERROR(__xludf.DUMMYFUNCTION("""COMPUTED_VALUE"""),"Pcs")</f>
        <v>Pcs</v>
      </c>
      <c r="I3487" s="6" t="str">
        <f>IFERROR(__xludf.DUMMYFUNCTION("""COMPUTED_VALUE"""),"MFH")</f>
        <v>MFH</v>
      </c>
      <c r="J3487" s="6" t="str">
        <f>IFERROR(__xludf.DUMMYFUNCTION("""COMPUTED_VALUE"""),"Furnance")</f>
        <v>Furnance</v>
      </c>
      <c r="K3487" s="6" t="str">
        <f>IFERROR(__xludf.DUMMYFUNCTION("""COMPUTED_VALUE"""),"SPR/26/03/090")</f>
        <v>SPR/26/03/090</v>
      </c>
      <c r="L3487" s="13">
        <f>IFERROR(__xludf.DUMMYFUNCTION("""COMPUTED_VALUE"""),46112.0)</f>
        <v>46112</v>
      </c>
    </row>
    <row r="3488">
      <c r="A3488" s="6" t="str">
        <f>IFERROR(__xludf.DUMMYFUNCTION("""COMPUTED_VALUE"""),"BDU")</f>
        <v>BDU</v>
      </c>
      <c r="B3488" s="6" t="str">
        <f>IFERROR(__xludf.DUMMYFUNCTION("""COMPUTED_VALUE"""),"ENG")</f>
        <v>ENG</v>
      </c>
      <c r="C3488" s="6" t="str">
        <f>IFERROR(__xludf.DUMMYFUNCTION("""COMPUTED_VALUE"""),"Q-12060-00")</f>
        <v>Q-12060-00</v>
      </c>
      <c r="D3488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3488" s="6">
        <f>IFERROR(__xludf.DUMMYFUNCTION("""COMPUTED_VALUE"""),1.0)</f>
        <v>1</v>
      </c>
      <c r="F3488" s="6">
        <f>IFERROR(__xludf.DUMMYFUNCTION("""COMPUTED_VALUE"""),1.0)</f>
        <v>1</v>
      </c>
      <c r="G3488" s="6">
        <f>IFERROR(__xludf.DUMMYFUNCTION("""COMPUTED_VALUE"""),0.0)</f>
        <v>0</v>
      </c>
      <c r="H3488" s="6" t="str">
        <f>IFERROR(__xludf.DUMMYFUNCTION("""COMPUTED_VALUE"""),"Pcs")</f>
        <v>Pcs</v>
      </c>
      <c r="I3488" s="6" t="str">
        <f>IFERROR(__xludf.DUMMYFUNCTION("""COMPUTED_VALUE"""),"MFH")</f>
        <v>MFH</v>
      </c>
      <c r="J3488" s="6" t="str">
        <f>IFERROR(__xludf.DUMMYFUNCTION("""COMPUTED_VALUE"""),"AHU")</f>
        <v>AHU</v>
      </c>
      <c r="K3488" s="6" t="str">
        <f>IFERROR(__xludf.DUMMYFUNCTION("""COMPUTED_VALUE"""),"SPR/26/03/091")</f>
        <v>SPR/26/03/091</v>
      </c>
      <c r="L3488" s="13">
        <f>IFERROR(__xludf.DUMMYFUNCTION("""COMPUTED_VALUE"""),46112.0)</f>
        <v>46112</v>
      </c>
    </row>
    <row r="3489">
      <c r="A3489" s="6" t="str">
        <f>IFERROR(__xludf.DUMMYFUNCTION("""COMPUTED_VALUE"""),"ROS")</f>
        <v>ROS</v>
      </c>
      <c r="B3489" s="6" t="str">
        <f>IFERROR(__xludf.DUMMYFUNCTION("""COMPUTED_VALUE"""),"ENG")</f>
        <v>ENG</v>
      </c>
      <c r="C3489" s="6" t="str">
        <f>IFERROR(__xludf.DUMMYFUNCTION("""COMPUTED_VALUE"""),"O-19429-00")</f>
        <v>O-19429-00</v>
      </c>
      <c r="D3489" s="6" t="str">
        <f>IFERROR(__xludf.DUMMYFUNCTION("""COMPUTED_VALUE"""),"Baut SS L M4 x 10 mm + Mur + Ring; ; ;; ; ;; ; ;")</f>
        <v>Baut SS L M4 x 10 mm + Mur + Ring; ; ;; ; ;; ; ;</v>
      </c>
      <c r="E3489" s="6">
        <f>IFERROR(__xludf.DUMMYFUNCTION("""COMPUTED_VALUE"""),1.0)</f>
        <v>1</v>
      </c>
      <c r="F3489" s="6">
        <f>IFERROR(__xludf.DUMMYFUNCTION("""COMPUTED_VALUE"""),1.0)</f>
        <v>1</v>
      </c>
      <c r="G3489" s="6">
        <f>IFERROR(__xludf.DUMMYFUNCTION("""COMPUTED_VALUE"""),0.0)</f>
        <v>0</v>
      </c>
      <c r="H3489" s="6" t="str">
        <f>IFERROR(__xludf.DUMMYFUNCTION("""COMPUTED_VALUE"""),"Pcs")</f>
        <v>Pcs</v>
      </c>
      <c r="I3489" s="6" t="str">
        <f>IFERROR(__xludf.DUMMYFUNCTION("""COMPUTED_VALUE"""),"MFH")</f>
        <v>MFH</v>
      </c>
      <c r="J3489" s="6" t="str">
        <f>IFERROR(__xludf.DUMMYFUNCTION("""COMPUTED_VALUE"""),"FIlling")</f>
        <v>FIlling</v>
      </c>
      <c r="K3489" s="6" t="str">
        <f>IFERROR(__xludf.DUMMYFUNCTION("""COMPUTED_VALUE"""),"SPR/26/03/092")</f>
        <v>SPR/26/03/092</v>
      </c>
      <c r="L3489" s="13">
        <f>IFERROR(__xludf.DUMMYFUNCTION("""COMPUTED_VALUE"""),46112.0)</f>
        <v>46112</v>
      </c>
    </row>
    <row r="3490">
      <c r="A3490" s="6" t="str">
        <f>IFERROR(__xludf.DUMMYFUNCTION("""COMPUTED_VALUE"""),"ROS")</f>
        <v>ROS</v>
      </c>
      <c r="B3490" s="6" t="str">
        <f>IFERROR(__xludf.DUMMYFUNCTION("""COMPUTED_VALUE"""),"ENG")</f>
        <v>ENG</v>
      </c>
      <c r="C3490" s="6" t="str">
        <f>IFERROR(__xludf.DUMMYFUNCTION("""COMPUTED_VALUE"""),"O-19344-00")</f>
        <v>O-19344-00</v>
      </c>
      <c r="D3490" s="6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E3490" s="6">
        <f>IFERROR(__xludf.DUMMYFUNCTION("""COMPUTED_VALUE"""),2.0)</f>
        <v>2</v>
      </c>
      <c r="F3490" s="6">
        <f>IFERROR(__xludf.DUMMYFUNCTION("""COMPUTED_VALUE"""),2.0)</f>
        <v>2</v>
      </c>
      <c r="G3490" s="6">
        <f>IFERROR(__xludf.DUMMYFUNCTION("""COMPUTED_VALUE"""),0.0)</f>
        <v>0</v>
      </c>
      <c r="H3490" s="6" t="str">
        <f>IFERROR(__xludf.DUMMYFUNCTION("""COMPUTED_VALUE"""),"Pcs")</f>
        <v>Pcs</v>
      </c>
      <c r="I3490" s="6" t="str">
        <f>IFERROR(__xludf.DUMMYFUNCTION("""COMPUTED_VALUE"""),"MFH")</f>
        <v>MFH</v>
      </c>
      <c r="J3490" s="6" t="str">
        <f>IFERROR(__xludf.DUMMYFUNCTION("""COMPUTED_VALUE"""),"cRABS")</f>
        <v>cRABS</v>
      </c>
      <c r="K3490" s="6" t="str">
        <f>IFERROR(__xludf.DUMMYFUNCTION("""COMPUTED_VALUE"""),"SPR/26/03/093")</f>
        <v>SPR/26/03/093</v>
      </c>
      <c r="L3490" s="13">
        <f>IFERROR(__xludf.DUMMYFUNCTION("""COMPUTED_VALUE"""),46112.0)</f>
        <v>46112</v>
      </c>
    </row>
    <row r="3491">
      <c r="A3491" s="6" t="str">
        <f>IFERROR(__xludf.DUMMYFUNCTION("""COMPUTED_VALUE"""),"RIA")</f>
        <v>RIA</v>
      </c>
      <c r="B3491" s="6" t="str">
        <f>IFERROR(__xludf.DUMMYFUNCTION("""COMPUTED_VALUE"""),"ENG")</f>
        <v>ENG</v>
      </c>
      <c r="C3491" s="6" t="str">
        <f>IFERROR(__xludf.DUMMYFUNCTION("""COMPUTED_VALUE"""),"Q-10249-00")</f>
        <v>Q-10249-00</v>
      </c>
      <c r="D3491" s="6" t="str">
        <f>IFERROR(__xludf.DUMMYFUNCTION("""COMPUTED_VALUE"""),"Lem Power Glue; ; ;")</f>
        <v>Lem Power Glue; ; ;</v>
      </c>
      <c r="E3491" s="6">
        <f>IFERROR(__xludf.DUMMYFUNCTION("""COMPUTED_VALUE"""),4.0)</f>
        <v>4</v>
      </c>
      <c r="F3491" s="6">
        <f>IFERROR(__xludf.DUMMYFUNCTION("""COMPUTED_VALUE"""),4.0)</f>
        <v>4</v>
      </c>
      <c r="G3491" s="6">
        <f>IFERROR(__xludf.DUMMYFUNCTION("""COMPUTED_VALUE"""),0.0)</f>
        <v>0</v>
      </c>
      <c r="H3491" s="6" t="str">
        <f>IFERROR(__xludf.DUMMYFUNCTION("""COMPUTED_VALUE"""),"Pcs")</f>
        <v>Pcs</v>
      </c>
      <c r="I3491" s="6" t="str">
        <f>IFERROR(__xludf.DUMMYFUNCTION("""COMPUTED_VALUE"""),"MFH")</f>
        <v>MFH</v>
      </c>
      <c r="J3491" s="6" t="str">
        <f>IFERROR(__xludf.DUMMYFUNCTION("""COMPUTED_VALUE"""),"Building")</f>
        <v>Building</v>
      </c>
      <c r="K3491" s="6" t="str">
        <f>IFERROR(__xludf.DUMMYFUNCTION("""COMPUTED_VALUE"""),"SPR/26/03/094")</f>
        <v>SPR/26/03/094</v>
      </c>
      <c r="L3491" s="13">
        <f>IFERROR(__xludf.DUMMYFUNCTION("""COMPUTED_VALUE"""),46112.0)</f>
        <v>46112</v>
      </c>
    </row>
    <row r="3492">
      <c r="A3492" s="6" t="str">
        <f>IFERROR(__xludf.DUMMYFUNCTION("""COMPUTED_VALUE"""),"RIA")</f>
        <v>RIA</v>
      </c>
      <c r="B3492" s="6" t="str">
        <f>IFERROR(__xludf.DUMMYFUNCTION("""COMPUTED_VALUE"""),"ENG")</f>
        <v>ENG</v>
      </c>
      <c r="C3492" s="6" t="str">
        <f>IFERROR(__xludf.DUMMYFUNCTION("""COMPUTED_VALUE"""),"P-20408-00")</f>
        <v>P-20408-00</v>
      </c>
      <c r="D3492" s="6" t="str">
        <f>IFERROR(__xludf.DUMMYFUNCTION("""COMPUTED_VALUE"""),"General - Pressure Gauge 10 Bar 3/4 Inch; GMT; -; 1 pc")</f>
        <v>General - Pressure Gauge 10 Bar 3/4 Inch; GMT; -; 1 pc</v>
      </c>
      <c r="E3492" s="6">
        <f>IFERROR(__xludf.DUMMYFUNCTION("""COMPUTED_VALUE"""),1.0)</f>
        <v>1</v>
      </c>
      <c r="F3492" s="6">
        <f>IFERROR(__xludf.DUMMYFUNCTION("""COMPUTED_VALUE"""),1.0)</f>
        <v>1</v>
      </c>
      <c r="G3492" s="6">
        <f>IFERROR(__xludf.DUMMYFUNCTION("""COMPUTED_VALUE"""),0.0)</f>
        <v>0</v>
      </c>
      <c r="H3492" s="6" t="str">
        <f>IFERROR(__xludf.DUMMYFUNCTION("""COMPUTED_VALUE"""),"Pcs")</f>
        <v>Pcs</v>
      </c>
      <c r="I3492" s="6" t="str">
        <f>IFERROR(__xludf.DUMMYFUNCTION("""COMPUTED_VALUE"""),"MFH")</f>
        <v>MFH</v>
      </c>
      <c r="J3492" s="6" t="str">
        <f>IFERROR(__xludf.DUMMYFUNCTION("""COMPUTED_VALUE"""),"PWG")</f>
        <v>PWG</v>
      </c>
      <c r="K3492" s="6" t="str">
        <f>IFERROR(__xludf.DUMMYFUNCTION("""COMPUTED_VALUE"""),"SPR/26/03/094")</f>
        <v>SPR/26/03/094</v>
      </c>
      <c r="L3492" s="13">
        <f>IFERROR(__xludf.DUMMYFUNCTION("""COMPUTED_VALUE"""),46112.0)</f>
        <v>46112</v>
      </c>
    </row>
    <row r="3493">
      <c r="A3493" s="6" t="str">
        <f>IFERROR(__xludf.DUMMYFUNCTION("""COMPUTED_VALUE"""),"KFF")</f>
        <v>KFF</v>
      </c>
      <c r="B3493" s="6" t="str">
        <f>IFERROR(__xludf.DUMMYFUNCTION("""COMPUTED_VALUE"""),"ENG")</f>
        <v>ENG</v>
      </c>
      <c r="C3493" s="6" t="str">
        <f>IFERROR(__xludf.DUMMYFUNCTION("""COMPUTED_VALUE"""),"T-20135-00")</f>
        <v>T-20135-00</v>
      </c>
      <c r="D3493" s="6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E3493" s="6">
        <f>IFERROR(__xludf.DUMMYFUNCTION("""COMPUTED_VALUE"""),1.0)</f>
        <v>1</v>
      </c>
      <c r="F3493" s="6">
        <f>IFERROR(__xludf.DUMMYFUNCTION("""COMPUTED_VALUE"""),1.0)</f>
        <v>1</v>
      </c>
      <c r="G3493" s="6">
        <f>IFERROR(__xludf.DUMMYFUNCTION("""COMPUTED_VALUE"""),0.0)</f>
        <v>0</v>
      </c>
      <c r="H3493" s="6" t="str">
        <f>IFERROR(__xludf.DUMMYFUNCTION("""COMPUTED_VALUE"""),"pcs")</f>
        <v>pcs</v>
      </c>
      <c r="I3493" s="6" t="str">
        <f>IFERROR(__xludf.DUMMYFUNCTION("""COMPUTED_VALUE"""),"MFH")</f>
        <v>MFH</v>
      </c>
      <c r="J3493" s="6" t="str">
        <f>IFERROR(__xludf.DUMMYFUNCTION("""COMPUTED_VALUE"""),"Isolator SKAN")</f>
        <v>Isolator SKAN</v>
      </c>
      <c r="K3493" s="6" t="str">
        <f>IFERROR(__xludf.DUMMYFUNCTION("""COMPUTED_VALUE"""),"SPR/26/03/095")</f>
        <v>SPR/26/03/095</v>
      </c>
      <c r="L3493" s="13">
        <f>IFERROR(__xludf.DUMMYFUNCTION("""COMPUTED_VALUE"""),46112.0)</f>
        <v>46112</v>
      </c>
    </row>
    <row r="3494">
      <c r="A3494" s="6" t="str">
        <f>IFERROR(__xludf.DUMMYFUNCTION("""COMPUTED_VALUE"""),"ROS")</f>
        <v>ROS</v>
      </c>
      <c r="B3494" s="6" t="str">
        <f>IFERROR(__xludf.DUMMYFUNCTION("""COMPUTED_VALUE"""),"ENG")</f>
        <v>ENG</v>
      </c>
      <c r="C3494" s="6" t="str">
        <f>IFERROR(__xludf.DUMMYFUNCTION("""COMPUTED_VALUE"""),"O-18055-00")</f>
        <v>O-18055-00</v>
      </c>
      <c r="D349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494" s="6">
        <f>IFERROR(__xludf.DUMMYFUNCTION("""COMPUTED_VALUE"""),2.0)</f>
        <v>2</v>
      </c>
      <c r="F3494" s="6">
        <f>IFERROR(__xludf.DUMMYFUNCTION("""COMPUTED_VALUE"""),2.0)</f>
        <v>2</v>
      </c>
      <c r="G3494" s="6">
        <f>IFERROR(__xludf.DUMMYFUNCTION("""COMPUTED_VALUE"""),0.0)</f>
        <v>0</v>
      </c>
      <c r="H3494" s="6" t="str">
        <f>IFERROR(__xludf.DUMMYFUNCTION("""COMPUTED_VALUE"""),"Pcs")</f>
        <v>Pcs</v>
      </c>
      <c r="I3494" s="6" t="str">
        <f>IFERROR(__xludf.DUMMYFUNCTION("""COMPUTED_VALUE"""),"MFH")</f>
        <v>MFH</v>
      </c>
      <c r="J3494" s="6" t="str">
        <f>IFERROR(__xludf.DUMMYFUNCTION("""COMPUTED_VALUE"""),"-")</f>
        <v>-</v>
      </c>
      <c r="K3494" s="6" t="str">
        <f>IFERROR(__xludf.DUMMYFUNCTION("""COMPUTED_VALUE"""),"SPR/26/03/096")</f>
        <v>SPR/26/03/096</v>
      </c>
      <c r="L3494" s="13">
        <f>IFERROR(__xludf.DUMMYFUNCTION("""COMPUTED_VALUE"""),46112.0)</f>
        <v>46112</v>
      </c>
    </row>
    <row r="3495">
      <c r="A3495" s="6" t="str">
        <f>IFERROR(__xludf.DUMMYFUNCTION("""COMPUTED_VALUE"""),"ROS")</f>
        <v>ROS</v>
      </c>
      <c r="B3495" s="6" t="str">
        <f>IFERROR(__xludf.DUMMYFUNCTION("""COMPUTED_VALUE"""),"ENG")</f>
        <v>ENG</v>
      </c>
      <c r="C3495" s="6" t="str">
        <f>IFERROR(__xludf.DUMMYFUNCTION("""COMPUTED_VALUE"""),"O-20487-00")</f>
        <v>O-20487-00</v>
      </c>
      <c r="D3495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495" s="6">
        <f>IFERROR(__xludf.DUMMYFUNCTION("""COMPUTED_VALUE"""),2.0)</f>
        <v>2</v>
      </c>
      <c r="F3495" s="6">
        <f>IFERROR(__xludf.DUMMYFUNCTION("""COMPUTED_VALUE"""),2.0)</f>
        <v>2</v>
      </c>
      <c r="G3495" s="6">
        <f>IFERROR(__xludf.DUMMYFUNCTION("""COMPUTED_VALUE"""),0.0)</f>
        <v>0</v>
      </c>
      <c r="H3495" s="6" t="str">
        <f>IFERROR(__xludf.DUMMYFUNCTION("""COMPUTED_VALUE"""),"Pcs")</f>
        <v>Pcs</v>
      </c>
      <c r="I3495" s="6" t="str">
        <f>IFERROR(__xludf.DUMMYFUNCTION("""COMPUTED_VALUE"""),"MFH")</f>
        <v>MFH</v>
      </c>
      <c r="J3495" s="6" t="str">
        <f>IFERROR(__xludf.DUMMYFUNCTION("""COMPUTED_VALUE"""),"Isolator SKAN")</f>
        <v>Isolator SKAN</v>
      </c>
      <c r="K3495" s="6" t="str">
        <f>IFERROR(__xludf.DUMMYFUNCTION("""COMPUTED_VALUE"""),"SPR/26/03/097")</f>
        <v>SPR/26/03/097</v>
      </c>
      <c r="L3495" s="13">
        <f>IFERROR(__xludf.DUMMYFUNCTION("""COMPUTED_VALUE"""),46112.0)</f>
        <v>46112</v>
      </c>
    </row>
    <row r="3496">
      <c r="A3496" s="6" t="str">
        <f>IFERROR(__xludf.DUMMYFUNCTION("""COMPUTED_VALUE"""),"MFH")</f>
        <v>MFH</v>
      </c>
      <c r="B3496" s="6" t="str">
        <f>IFERROR(__xludf.DUMMYFUNCTION("""COMPUTED_VALUE"""),"ENG")</f>
        <v>ENG</v>
      </c>
      <c r="C3496" s="6" t="str">
        <f>IFERROR(__xludf.DUMMYFUNCTION("""COMPUTED_VALUE"""),"P-51236-00")</f>
        <v>P-51236-00</v>
      </c>
      <c r="D3496" s="6" t="str">
        <f>IFERROR(__xludf.DUMMYFUNCTION("""COMPUTED_VALUE"""),"Skun ( I ) pin dia 0.75 mm")</f>
        <v>Skun ( I ) pin dia 0.75 mm</v>
      </c>
      <c r="E3496" s="6">
        <f>IFERROR(__xludf.DUMMYFUNCTION("""COMPUTED_VALUE"""),2.0)</f>
        <v>2</v>
      </c>
      <c r="F3496" s="6">
        <f>IFERROR(__xludf.DUMMYFUNCTION("""COMPUTED_VALUE"""),2.0)</f>
        <v>2</v>
      </c>
      <c r="G3496" s="6">
        <f>IFERROR(__xludf.DUMMYFUNCTION("""COMPUTED_VALUE"""),0.0)</f>
        <v>0</v>
      </c>
      <c r="H3496" s="6" t="str">
        <f>IFERROR(__xludf.DUMMYFUNCTION("""COMPUTED_VALUE"""),"Pcs")</f>
        <v>Pcs</v>
      </c>
      <c r="I3496" s="6" t="str">
        <f>IFERROR(__xludf.DUMMYFUNCTION("""COMPUTED_VALUE"""),"MFH")</f>
        <v>MFH</v>
      </c>
      <c r="J3496" s="6" t="str">
        <f>IFERROR(__xludf.DUMMYFUNCTION("""COMPUTED_VALUE"""),"-")</f>
        <v>-</v>
      </c>
      <c r="K3496" s="6" t="str">
        <f>IFERROR(__xludf.DUMMYFUNCTION("""COMPUTED_VALUE"""),"SPR/26/03/098")</f>
        <v>SPR/26/03/098</v>
      </c>
      <c r="L3496" s="13">
        <f>IFERROR(__xludf.DUMMYFUNCTION("""COMPUTED_VALUE"""),46112.0)</f>
        <v>46112</v>
      </c>
    </row>
    <row r="3497">
      <c r="A3497" s="6" t="str">
        <f>IFERROR(__xludf.DUMMYFUNCTION("""COMPUTED_VALUE"""),"ROS")</f>
        <v>ROS</v>
      </c>
      <c r="B3497" s="6" t="str">
        <f>IFERROR(__xludf.DUMMYFUNCTION("""COMPUTED_VALUE"""),"ENG")</f>
        <v>ENG</v>
      </c>
      <c r="C3497" s="6" t="str">
        <f>IFERROR(__xludf.DUMMYFUNCTION("""COMPUTED_VALUE"""),"P-19693-00")</f>
        <v>P-19693-00</v>
      </c>
      <c r="D3497" s="6" t="str">
        <f>IFERROR(__xludf.DUMMYFUNCTION("""COMPUTED_VALUE"""),"General - Lem Adhesive; Superlon; -; 1kg/can")</f>
        <v>General - Lem Adhesive; Superlon; -; 1kg/can</v>
      </c>
      <c r="E3497" s="6">
        <f>IFERROR(__xludf.DUMMYFUNCTION("""COMPUTED_VALUE"""),1.0)</f>
        <v>1</v>
      </c>
      <c r="F3497" s="6">
        <f>IFERROR(__xludf.DUMMYFUNCTION("""COMPUTED_VALUE"""),1.0)</f>
        <v>1</v>
      </c>
      <c r="G3497" s="6">
        <f>IFERROR(__xludf.DUMMYFUNCTION("""COMPUTED_VALUE"""),0.0)</f>
        <v>0</v>
      </c>
      <c r="H3497" s="6" t="str">
        <f>IFERROR(__xludf.DUMMYFUNCTION("""COMPUTED_VALUE"""),"Can")</f>
        <v>Can</v>
      </c>
      <c r="I3497" s="6" t="str">
        <f>IFERROR(__xludf.DUMMYFUNCTION("""COMPUTED_VALUE"""),"MFH")</f>
        <v>MFH</v>
      </c>
      <c r="J3497" s="6" t="str">
        <f>IFERROR(__xludf.DUMMYFUNCTION("""COMPUTED_VALUE"""),"Tunnel")</f>
        <v>Tunnel</v>
      </c>
      <c r="K3497" s="6" t="str">
        <f>IFERROR(__xludf.DUMMYFUNCTION("""COMPUTED_VALUE"""),"SPR/04/26/001")</f>
        <v>SPR/04/26/001</v>
      </c>
      <c r="L3497" s="13">
        <f>IFERROR(__xludf.DUMMYFUNCTION("""COMPUTED_VALUE"""),46142.0)</f>
        <v>46142</v>
      </c>
    </row>
    <row r="3498">
      <c r="A3498" s="6" t="str">
        <f>IFERROR(__xludf.DUMMYFUNCTION("""COMPUTED_VALUE"""),"ROS")</f>
        <v>ROS</v>
      </c>
      <c r="B3498" s="6" t="str">
        <f>IFERROR(__xludf.DUMMYFUNCTION("""COMPUTED_VALUE"""),"ENG")</f>
        <v>ENG</v>
      </c>
      <c r="C3498" s="6" t="str">
        <f>IFERROR(__xludf.DUMMYFUNCTION("""COMPUTED_VALUE"""),"Q-60503-00")</f>
        <v>Q-60503-00</v>
      </c>
      <c r="D3498" s="6" t="str">
        <f>IFERROR(__xludf.DUMMYFUNCTION("""COMPUTED_VALUE"""),"Silicone Sealant;Silglaze;Type N10 Grey;pack size per pcs")</f>
        <v>Silicone Sealant;Silglaze;Type N10 Grey;pack size per pcs</v>
      </c>
      <c r="E3498" s="6">
        <f>IFERROR(__xludf.DUMMYFUNCTION("""COMPUTED_VALUE"""),1.0)</f>
        <v>1</v>
      </c>
      <c r="F3498" s="6">
        <f>IFERROR(__xludf.DUMMYFUNCTION("""COMPUTED_VALUE"""),1.0)</f>
        <v>1</v>
      </c>
      <c r="G3498" s="6">
        <f>IFERROR(__xludf.DUMMYFUNCTION("""COMPUTED_VALUE"""),0.0)</f>
        <v>0</v>
      </c>
      <c r="H3498" s="6" t="str">
        <f>IFERROR(__xludf.DUMMYFUNCTION("""COMPUTED_VALUE"""),"Pcs")</f>
        <v>Pcs</v>
      </c>
      <c r="I3498" s="6" t="str">
        <f>IFERROR(__xludf.DUMMYFUNCTION("""COMPUTED_VALUE"""),"MFH")</f>
        <v>MFH</v>
      </c>
      <c r="J3498" s="6" t="str">
        <f>IFERROR(__xludf.DUMMYFUNCTION("""COMPUTED_VALUE"""),"Tunnel")</f>
        <v>Tunnel</v>
      </c>
      <c r="K3498" s="6" t="str">
        <f>IFERROR(__xludf.DUMMYFUNCTION("""COMPUTED_VALUE"""),"SPR/04/26/001")</f>
        <v>SPR/04/26/001</v>
      </c>
      <c r="L3498" s="13">
        <f>IFERROR(__xludf.DUMMYFUNCTION("""COMPUTED_VALUE"""),46142.0)</f>
        <v>46142</v>
      </c>
    </row>
    <row r="3499">
      <c r="A3499" s="6" t="str">
        <f>IFERROR(__xludf.DUMMYFUNCTION("""COMPUTED_VALUE"""),"ROS")</f>
        <v>ROS</v>
      </c>
      <c r="B3499" s="6" t="str">
        <f>IFERROR(__xludf.DUMMYFUNCTION("""COMPUTED_VALUE"""),"ENG")</f>
        <v>ENG</v>
      </c>
      <c r="C3499" s="6" t="str">
        <f>IFERROR(__xludf.DUMMYFUNCTION("""COMPUTED_VALUE"""),"T-80109-00")</f>
        <v>T-80109-00</v>
      </c>
      <c r="D3499" s="6" t="str">
        <f>IFERROR(__xludf.DUMMYFUNCTION("""COMPUTED_VALUE"""),"Cellotape / Lakban Kertas 1 inch warna Putih ; No Brand ; pack size per pcs")</f>
        <v>Cellotape / Lakban Kertas 1 inch warna Putih ; No Brand ; pack size per pcs</v>
      </c>
      <c r="E3499" s="6">
        <f>IFERROR(__xludf.DUMMYFUNCTION("""COMPUTED_VALUE"""),1.0)</f>
        <v>1</v>
      </c>
      <c r="F3499" s="6">
        <f>IFERROR(__xludf.DUMMYFUNCTION("""COMPUTED_VALUE"""),1.0)</f>
        <v>1</v>
      </c>
      <c r="G3499" s="6">
        <f>IFERROR(__xludf.DUMMYFUNCTION("""COMPUTED_VALUE"""),0.0)</f>
        <v>0</v>
      </c>
      <c r="H3499" s="6" t="str">
        <f>IFERROR(__xludf.DUMMYFUNCTION("""COMPUTED_VALUE"""),"Pcs")</f>
        <v>Pcs</v>
      </c>
      <c r="I3499" s="6" t="str">
        <f>IFERROR(__xludf.DUMMYFUNCTION("""COMPUTED_VALUE"""),"MFH")</f>
        <v>MFH</v>
      </c>
      <c r="J3499" s="6" t="str">
        <f>IFERROR(__xludf.DUMMYFUNCTION("""COMPUTED_VALUE"""),"Tunnel")</f>
        <v>Tunnel</v>
      </c>
      <c r="K3499" s="6" t="str">
        <f>IFERROR(__xludf.DUMMYFUNCTION("""COMPUTED_VALUE"""),"SPR/04/26/001")</f>
        <v>SPR/04/26/001</v>
      </c>
      <c r="L3499" s="13">
        <f>IFERROR(__xludf.DUMMYFUNCTION("""COMPUTED_VALUE"""),46142.0)</f>
        <v>46142</v>
      </c>
    </row>
    <row r="3500">
      <c r="A3500" s="6" t="str">
        <f>IFERROR(__xludf.DUMMYFUNCTION("""COMPUTED_VALUE"""),"KFF")</f>
        <v>KFF</v>
      </c>
      <c r="B3500" s="6" t="str">
        <f>IFERROR(__xludf.DUMMYFUNCTION("""COMPUTED_VALUE"""),"ENG")</f>
        <v>ENG</v>
      </c>
      <c r="C3500" s="6" t="str">
        <f>IFERROR(__xludf.DUMMYFUNCTION("""COMPUTED_VALUE"""),"O-21063-00")</f>
        <v>O-21063-00</v>
      </c>
      <c r="D3500" s="6" t="str">
        <f>IFERROR(__xludf.DUMMYFUNCTION("""COMPUTED_VALUE"""),"General - POS10 Rod End Bearing Ulir kanan; -; -; 1 Pc")</f>
        <v>General - POS10 Rod End Bearing Ulir kanan; -; -; 1 Pc</v>
      </c>
      <c r="E3500" s="6">
        <f>IFERROR(__xludf.DUMMYFUNCTION("""COMPUTED_VALUE"""),1.0)</f>
        <v>1</v>
      </c>
      <c r="F3500" s="6">
        <f>IFERROR(__xludf.DUMMYFUNCTION("""COMPUTED_VALUE"""),1.0)</f>
        <v>1</v>
      </c>
      <c r="G3500" s="6">
        <f>IFERROR(__xludf.DUMMYFUNCTION("""COMPUTED_VALUE"""),0.0)</f>
        <v>0</v>
      </c>
      <c r="H3500" s="6" t="str">
        <f>IFERROR(__xludf.DUMMYFUNCTION("""COMPUTED_VALUE"""),"Pcs")</f>
        <v>Pcs</v>
      </c>
      <c r="I3500" s="6" t="str">
        <f>IFERROR(__xludf.DUMMYFUNCTION("""COMPUTED_VALUE"""),"MFH")</f>
        <v>MFH</v>
      </c>
      <c r="J3500" s="6" t="str">
        <f>IFERROR(__xludf.DUMMYFUNCTION("""COMPUTED_VALUE"""),"Blistering")</f>
        <v>Blistering</v>
      </c>
      <c r="K3500" s="6" t="str">
        <f>IFERROR(__xludf.DUMMYFUNCTION("""COMPUTED_VALUE"""),"SPR/04/26/002")</f>
        <v>SPR/04/26/002</v>
      </c>
      <c r="L3500" s="13">
        <f>IFERROR(__xludf.DUMMYFUNCTION("""COMPUTED_VALUE"""),46142.0)</f>
        <v>46142</v>
      </c>
    </row>
    <row r="3501">
      <c r="A3501" s="6" t="str">
        <f>IFERROR(__xludf.DUMMYFUNCTION("""COMPUTED_VALUE"""),"MRN")</f>
        <v>MRN</v>
      </c>
      <c r="B3501" s="6" t="str">
        <f>IFERROR(__xludf.DUMMYFUNCTION("""COMPUTED_VALUE"""),"ENG")</f>
        <v>ENG</v>
      </c>
      <c r="C3501" s="6" t="str">
        <f>IFERROR(__xludf.DUMMYFUNCTION("""COMPUTED_VALUE"""),"P-19693-00")</f>
        <v>P-19693-00</v>
      </c>
      <c r="D3501" s="6" t="str">
        <f>IFERROR(__xludf.DUMMYFUNCTION("""COMPUTED_VALUE"""),"General - Lem Adhesive; Superlon; -; 1kg/can")</f>
        <v>General - Lem Adhesive; Superlon; -; 1kg/can</v>
      </c>
      <c r="E3501" s="6">
        <f>IFERROR(__xludf.DUMMYFUNCTION("""COMPUTED_VALUE"""),1.0)</f>
        <v>1</v>
      </c>
      <c r="F3501" s="6">
        <f>IFERROR(__xludf.DUMMYFUNCTION("""COMPUTED_VALUE"""),1.0)</f>
        <v>1</v>
      </c>
      <c r="G3501" s="6">
        <f>IFERROR(__xludf.DUMMYFUNCTION("""COMPUTED_VALUE"""),0.0)</f>
        <v>0</v>
      </c>
      <c r="H3501" s="6" t="str">
        <f>IFERROR(__xludf.DUMMYFUNCTION("""COMPUTED_VALUE"""),"Pcs")</f>
        <v>Pcs</v>
      </c>
      <c r="I3501" s="6" t="str">
        <f>IFERROR(__xludf.DUMMYFUNCTION("""COMPUTED_VALUE"""),"MFH")</f>
        <v>MFH</v>
      </c>
      <c r="J3501" s="6" t="str">
        <f>IFERROR(__xludf.DUMMYFUNCTION("""COMPUTED_VALUE"""),"Building")</f>
        <v>Building</v>
      </c>
      <c r="K3501" s="6" t="str">
        <f>IFERROR(__xludf.DUMMYFUNCTION("""COMPUTED_VALUE"""),"SPR/04/26/003")</f>
        <v>SPR/04/26/003</v>
      </c>
      <c r="L3501" s="13">
        <f>IFERROR(__xludf.DUMMYFUNCTION("""COMPUTED_VALUE"""),46142.0)</f>
        <v>46142</v>
      </c>
    </row>
    <row r="3502">
      <c r="A3502" s="6" t="str">
        <f>IFERROR(__xludf.DUMMYFUNCTION("""COMPUTED_VALUE"""),"BDU")</f>
        <v>BDU</v>
      </c>
      <c r="B3502" s="6" t="str">
        <f>IFERROR(__xludf.DUMMYFUNCTION("""COMPUTED_VALUE"""),"ENG")</f>
        <v>ENG</v>
      </c>
      <c r="C3502" s="6" t="str">
        <f>IFERROR(__xludf.DUMMYFUNCTION("""COMPUTED_VALUE"""),"Q-10249-00")</f>
        <v>Q-10249-00</v>
      </c>
      <c r="D3502" s="6" t="str">
        <f>IFERROR(__xludf.DUMMYFUNCTION("""COMPUTED_VALUE"""),"Lem Power Glue; ; ;")</f>
        <v>Lem Power Glue; ; ;</v>
      </c>
      <c r="E3502" s="6">
        <f>IFERROR(__xludf.DUMMYFUNCTION("""COMPUTED_VALUE"""),1.0)</f>
        <v>1</v>
      </c>
      <c r="F3502" s="6">
        <f>IFERROR(__xludf.DUMMYFUNCTION("""COMPUTED_VALUE"""),1.0)</f>
        <v>1</v>
      </c>
      <c r="G3502" s="6">
        <f>IFERROR(__xludf.DUMMYFUNCTION("""COMPUTED_VALUE"""),0.0)</f>
        <v>0</v>
      </c>
      <c r="H3502" s="6" t="str">
        <f>IFERROR(__xludf.DUMMYFUNCTION("""COMPUTED_VALUE"""),"Pcs")</f>
        <v>Pcs</v>
      </c>
      <c r="I3502" s="6" t="str">
        <f>IFERROR(__xludf.DUMMYFUNCTION("""COMPUTED_VALUE"""),"MFH")</f>
        <v>MFH</v>
      </c>
      <c r="J3502" s="6" t="str">
        <f>IFERROR(__xludf.DUMMYFUNCTION("""COMPUTED_VALUE"""),"-")</f>
        <v>-</v>
      </c>
      <c r="K3502" s="6" t="str">
        <f>IFERROR(__xludf.DUMMYFUNCTION("""COMPUTED_VALUE"""),"SPR/04/26/004")</f>
        <v>SPR/04/26/004</v>
      </c>
      <c r="L3502" s="13">
        <f>IFERROR(__xludf.DUMMYFUNCTION("""COMPUTED_VALUE"""),46142.0)</f>
        <v>46142</v>
      </c>
    </row>
    <row r="3503">
      <c r="A3503" s="6" t="str">
        <f>IFERROR(__xludf.DUMMYFUNCTION("""COMPUTED_VALUE"""),"MOB")</f>
        <v>MOB</v>
      </c>
      <c r="B3503" s="6" t="str">
        <f>IFERROR(__xludf.DUMMYFUNCTION("""COMPUTED_VALUE"""),"ENG")</f>
        <v>ENG</v>
      </c>
      <c r="C3503" s="6" t="str">
        <f>IFERROR(__xludf.DUMMYFUNCTION("""COMPUTED_VALUE"""),"Q-50013-00")</f>
        <v>Q-50013-00</v>
      </c>
      <c r="D3503" s="6" t="str">
        <f>IFERROR(__xludf.DUMMYFUNCTION("""COMPUTED_VALUE"""),"Frame or Perimeter Seal RP48 White; Raven; R48W6; 6 meter/pck")</f>
        <v>Frame or Perimeter Seal RP48 White; Raven; R48W6; 6 meter/pck</v>
      </c>
      <c r="E3503" s="6">
        <f>IFERROR(__xludf.DUMMYFUNCTION("""COMPUTED_VALUE"""),2.0)</f>
        <v>2</v>
      </c>
      <c r="F3503" s="6">
        <f>IFERROR(__xludf.DUMMYFUNCTION("""COMPUTED_VALUE"""),2.0)</f>
        <v>2</v>
      </c>
      <c r="G3503" s="6">
        <f>IFERROR(__xludf.DUMMYFUNCTION("""COMPUTED_VALUE"""),0.0)</f>
        <v>0</v>
      </c>
      <c r="H3503" s="6" t="str">
        <f>IFERROR(__xludf.DUMMYFUNCTION("""COMPUTED_VALUE"""),"Pcs")</f>
        <v>Pcs</v>
      </c>
      <c r="I3503" s="6" t="str">
        <f>IFERROR(__xludf.DUMMYFUNCTION("""COMPUTED_VALUE"""),"MFH")</f>
        <v>MFH</v>
      </c>
      <c r="J3503" s="6" t="str">
        <f>IFERROR(__xludf.DUMMYFUNCTION("""COMPUTED_VALUE"""),"-")</f>
        <v>-</v>
      </c>
      <c r="K3503" s="6" t="str">
        <f>IFERROR(__xludf.DUMMYFUNCTION("""COMPUTED_VALUE"""),"SPR/04/26/005")</f>
        <v>SPR/04/26/005</v>
      </c>
      <c r="L3503" s="13">
        <f>IFERROR(__xludf.DUMMYFUNCTION("""COMPUTED_VALUE"""),46142.0)</f>
        <v>46142</v>
      </c>
    </row>
    <row r="3504">
      <c r="A3504" s="6" t="str">
        <f>IFERROR(__xludf.DUMMYFUNCTION("""COMPUTED_VALUE"""),"ANO")</f>
        <v>ANO</v>
      </c>
      <c r="B3504" s="6" t="str">
        <f>IFERROR(__xludf.DUMMYFUNCTION("""COMPUTED_VALUE"""),"ENG")</f>
        <v>ENG</v>
      </c>
      <c r="C3504" s="6" t="str">
        <f>IFERROR(__xludf.DUMMYFUNCTION("""COMPUTED_VALUE"""),"P-51560-00")</f>
        <v>P-51560-00</v>
      </c>
      <c r="D3504" s="6" t="str">
        <f>IFERROR(__xludf.DUMMYFUNCTION("""COMPUTED_VALUE"""),"General - Lampu TL T5 28W White; Philips; -; 1 unt")</f>
        <v>General - Lampu TL T5 28W White; Philips; -; 1 unt</v>
      </c>
      <c r="E3504" s="6">
        <f>IFERROR(__xludf.DUMMYFUNCTION("""COMPUTED_VALUE"""),4.0)</f>
        <v>4</v>
      </c>
      <c r="F3504" s="6">
        <f>IFERROR(__xludf.DUMMYFUNCTION("""COMPUTED_VALUE"""),4.0)</f>
        <v>4</v>
      </c>
      <c r="G3504" s="6">
        <f>IFERROR(__xludf.DUMMYFUNCTION("""COMPUTED_VALUE"""),0.0)</f>
        <v>0</v>
      </c>
      <c r="H3504" s="6" t="str">
        <f>IFERROR(__xludf.DUMMYFUNCTION("""COMPUTED_VALUE"""),"Pcs")</f>
        <v>Pcs</v>
      </c>
      <c r="I3504" s="6" t="str">
        <f>IFERROR(__xludf.DUMMYFUNCTION("""COMPUTED_VALUE"""),"MFH")</f>
        <v>MFH</v>
      </c>
      <c r="J3504" s="6" t="str">
        <f>IFERROR(__xludf.DUMMYFUNCTION("""COMPUTED_VALUE"""),"Building")</f>
        <v>Building</v>
      </c>
      <c r="K3504" s="6" t="str">
        <f>IFERROR(__xludf.DUMMYFUNCTION("""COMPUTED_VALUE"""),"SPR/04/26/006")</f>
        <v>SPR/04/26/006</v>
      </c>
      <c r="L3504" s="13">
        <f>IFERROR(__xludf.DUMMYFUNCTION("""COMPUTED_VALUE"""),46142.0)</f>
        <v>46142</v>
      </c>
    </row>
    <row r="3505">
      <c r="A3505" s="6" t="str">
        <f>IFERROR(__xludf.DUMMYFUNCTION("""COMPUTED_VALUE"""),"SFH")</f>
        <v>SFH</v>
      </c>
      <c r="B3505" s="6" t="str">
        <f>IFERROR(__xludf.DUMMYFUNCTION("""COMPUTED_VALUE"""),"ENG")</f>
        <v>ENG</v>
      </c>
      <c r="C3505" s="6" t="str">
        <f>IFERROR(__xludf.DUMMYFUNCTION("""COMPUTED_VALUE"""),"P-15852-00")</f>
        <v>P-15852-00</v>
      </c>
      <c r="D3505" s="6" t="str">
        <f>IFERROR(__xludf.DUMMYFUNCTION("""COMPUTED_VALUE"""),"General - Ampelas P500; EAGLE; -; 1 pcs")</f>
        <v>General - Ampelas P500; EAGLE; -; 1 pcs</v>
      </c>
      <c r="E3505" s="6">
        <f>IFERROR(__xludf.DUMMYFUNCTION("""COMPUTED_VALUE"""),5.0)</f>
        <v>5</v>
      </c>
      <c r="F3505" s="6">
        <f>IFERROR(__xludf.DUMMYFUNCTION("""COMPUTED_VALUE"""),5.0)</f>
        <v>5</v>
      </c>
      <c r="G3505" s="6">
        <f>IFERROR(__xludf.DUMMYFUNCTION("""COMPUTED_VALUE"""),0.0)</f>
        <v>0</v>
      </c>
      <c r="H3505" s="6" t="str">
        <f>IFERROR(__xludf.DUMMYFUNCTION("""COMPUTED_VALUE"""),"Pcs")</f>
        <v>Pcs</v>
      </c>
      <c r="I3505" s="6" t="str">
        <f>IFERROR(__xludf.DUMMYFUNCTION("""COMPUTED_VALUE"""),"MFH")</f>
        <v>MFH</v>
      </c>
      <c r="J3505" s="6" t="str">
        <f>IFERROR(__xludf.DUMMYFUNCTION("""COMPUTED_VALUE"""),"Building")</f>
        <v>Building</v>
      </c>
      <c r="K3505" s="6" t="str">
        <f>IFERROR(__xludf.DUMMYFUNCTION("""COMPUTED_VALUE"""),"SPR/04/26/007")</f>
        <v>SPR/04/26/007</v>
      </c>
      <c r="L3505" s="13">
        <f>IFERROR(__xludf.DUMMYFUNCTION("""COMPUTED_VALUE"""),46142.0)</f>
        <v>46142</v>
      </c>
    </row>
    <row r="3506">
      <c r="A3506" s="6" t="str">
        <f>IFERROR(__xludf.DUMMYFUNCTION("""COMPUTED_VALUE"""),"SFH")</f>
        <v>SFH</v>
      </c>
      <c r="B3506" s="6" t="str">
        <f>IFERROR(__xludf.DUMMYFUNCTION("""COMPUTED_VALUE"""),"ENG")</f>
        <v>ENG</v>
      </c>
      <c r="C3506" s="6" t="str">
        <f>IFERROR(__xludf.DUMMYFUNCTION("""COMPUTED_VALUE"""),"Q-10128-00")</f>
        <v>Q-10128-00</v>
      </c>
      <c r="D3506" s="6" t="str">
        <f>IFERROR(__xludf.DUMMYFUNCTION("""COMPUTED_VALUE"""),"Thinner Super End/Impala @ 1 Liter")</f>
        <v>Thinner Super End/Impala @ 1 Liter</v>
      </c>
      <c r="E3506" s="6">
        <f>IFERROR(__xludf.DUMMYFUNCTION("""COMPUTED_VALUE"""),3.0)</f>
        <v>3</v>
      </c>
      <c r="F3506" s="6">
        <f>IFERROR(__xludf.DUMMYFUNCTION("""COMPUTED_VALUE"""),3.0)</f>
        <v>3</v>
      </c>
      <c r="G3506" s="6">
        <f>IFERROR(__xludf.DUMMYFUNCTION("""COMPUTED_VALUE"""),0.0)</f>
        <v>0</v>
      </c>
      <c r="H3506" s="6" t="str">
        <f>IFERROR(__xludf.DUMMYFUNCTION("""COMPUTED_VALUE"""),"Pcs")</f>
        <v>Pcs</v>
      </c>
      <c r="I3506" s="6" t="str">
        <f>IFERROR(__xludf.DUMMYFUNCTION("""COMPUTED_VALUE"""),"MFH")</f>
        <v>MFH</v>
      </c>
      <c r="J3506" s="6" t="str">
        <f>IFERROR(__xludf.DUMMYFUNCTION("""COMPUTED_VALUE"""),"Building")</f>
        <v>Building</v>
      </c>
      <c r="K3506" s="6" t="str">
        <f>IFERROR(__xludf.DUMMYFUNCTION("""COMPUTED_VALUE"""),"SPR/04/26/007")</f>
        <v>SPR/04/26/007</v>
      </c>
      <c r="L3506" s="13">
        <f>IFERROR(__xludf.DUMMYFUNCTION("""COMPUTED_VALUE"""),46142.0)</f>
        <v>46142</v>
      </c>
    </row>
    <row r="3507">
      <c r="A3507" s="6" t="str">
        <f>IFERROR(__xludf.DUMMYFUNCTION("""COMPUTED_VALUE"""),"SFH")</f>
        <v>SFH</v>
      </c>
      <c r="B3507" s="6" t="str">
        <f>IFERROR(__xludf.DUMMYFUNCTION("""COMPUTED_VALUE"""),"ENG")</f>
        <v>ENG</v>
      </c>
      <c r="C3507" s="6" t="str">
        <f>IFERROR(__xludf.DUMMYFUNCTION("""COMPUTED_VALUE"""),"Q-60405-00")</f>
        <v>Q-60405-00</v>
      </c>
      <c r="D3507" s="6" t="str">
        <f>IFERROR(__xludf.DUMMYFUNCTION("""COMPUTED_VALUE"""),"Cat Durogloss DR-2000; Propan; Type Spiders Web 90YY 73/040; 0,9 L/can")</f>
        <v>Cat Durogloss DR-2000; Propan; Type Spiders Web 90YY 73/040; 0,9 L/can</v>
      </c>
      <c r="E3507" s="6">
        <f>IFERROR(__xludf.DUMMYFUNCTION("""COMPUTED_VALUE"""),2.0)</f>
        <v>2</v>
      </c>
      <c r="F3507" s="6">
        <f>IFERROR(__xludf.DUMMYFUNCTION("""COMPUTED_VALUE"""),2.0)</f>
        <v>2</v>
      </c>
      <c r="G3507" s="6">
        <f>IFERROR(__xludf.DUMMYFUNCTION("""COMPUTED_VALUE"""),0.0)</f>
        <v>0</v>
      </c>
      <c r="H3507" s="6" t="str">
        <f>IFERROR(__xludf.DUMMYFUNCTION("""COMPUTED_VALUE"""),"Pcs")</f>
        <v>Pcs</v>
      </c>
      <c r="I3507" s="6" t="str">
        <f>IFERROR(__xludf.DUMMYFUNCTION("""COMPUTED_VALUE"""),"MFH")</f>
        <v>MFH</v>
      </c>
      <c r="J3507" s="6" t="str">
        <f>IFERROR(__xludf.DUMMYFUNCTION("""COMPUTED_VALUE"""),"Building")</f>
        <v>Building</v>
      </c>
      <c r="K3507" s="6" t="str">
        <f>IFERROR(__xludf.DUMMYFUNCTION("""COMPUTED_VALUE"""),"SPR/04/26/007")</f>
        <v>SPR/04/26/007</v>
      </c>
      <c r="L3507" s="13">
        <f>IFERROR(__xludf.DUMMYFUNCTION("""COMPUTED_VALUE"""),46142.0)</f>
        <v>46142</v>
      </c>
    </row>
    <row r="3508">
      <c r="A3508" s="6" t="str">
        <f>IFERROR(__xludf.DUMMYFUNCTION("""COMPUTED_VALUE"""),"EOO")</f>
        <v>EOO</v>
      </c>
      <c r="B3508" s="6" t="str">
        <f>IFERROR(__xludf.DUMMYFUNCTION("""COMPUTED_VALUE"""),"ENG")</f>
        <v>ENG</v>
      </c>
      <c r="C3508" s="6" t="str">
        <f>IFERROR(__xludf.DUMMYFUNCTION("""COMPUTED_VALUE"""),"T-20148-00")</f>
        <v>T-20148-00</v>
      </c>
      <c r="D3508" s="6" t="str">
        <f>IFERROR(__xludf.DUMMYFUNCTION("""COMPUTED_VALUE"""),"Replacement Filter 60 Micron; Sievers; c/n CHTF94402; 1 pc")</f>
        <v>Replacement Filter 60 Micron; Sievers; c/n CHTF94402; 1 pc</v>
      </c>
      <c r="E3508" s="6">
        <f>IFERROR(__xludf.DUMMYFUNCTION("""COMPUTED_VALUE"""),1.0)</f>
        <v>1</v>
      </c>
      <c r="F3508" s="6">
        <f>IFERROR(__xludf.DUMMYFUNCTION("""COMPUTED_VALUE"""),1.0)</f>
        <v>1</v>
      </c>
      <c r="G3508" s="6">
        <f>IFERROR(__xludf.DUMMYFUNCTION("""COMPUTED_VALUE"""),0.0)</f>
        <v>0</v>
      </c>
      <c r="H3508" s="6" t="str">
        <f>IFERROR(__xludf.DUMMYFUNCTION("""COMPUTED_VALUE"""),"Pcs")</f>
        <v>Pcs</v>
      </c>
      <c r="I3508" s="6" t="str">
        <f>IFERROR(__xludf.DUMMYFUNCTION("""COMPUTED_VALUE"""),"MFH")</f>
        <v>MFH</v>
      </c>
      <c r="J3508" s="6" t="str">
        <f>IFERROR(__xludf.DUMMYFUNCTION("""COMPUTED_VALUE"""),"M500")</f>
        <v>M500</v>
      </c>
      <c r="K3508" s="6" t="str">
        <f>IFERROR(__xludf.DUMMYFUNCTION("""COMPUTED_VALUE"""),"SPR/04/26/008")</f>
        <v>SPR/04/26/008</v>
      </c>
      <c r="L3508" s="13">
        <f>IFERROR(__xludf.DUMMYFUNCTION("""COMPUTED_VALUE"""),46142.0)</f>
        <v>46142</v>
      </c>
    </row>
    <row r="3509">
      <c r="A3509" s="6" t="str">
        <f>IFERROR(__xludf.DUMMYFUNCTION("""COMPUTED_VALUE"""),"ERA")</f>
        <v>ERA</v>
      </c>
      <c r="B3509" s="6" t="str">
        <f>IFERROR(__xludf.DUMMYFUNCTION("""COMPUTED_VALUE"""),"ENG")</f>
        <v>ENG</v>
      </c>
      <c r="C3509" s="6" t="str">
        <f>IFERROR(__xludf.DUMMYFUNCTION("""COMPUTED_VALUE"""),"O-54014-00")</f>
        <v>O-54014-00</v>
      </c>
      <c r="D3509" s="6" t="str">
        <f>IFERROR(__xludf.DUMMYFUNCTION("""COMPUTED_VALUE"""),"STEKER 1 PHASE, BROCO")</f>
        <v>STEKER 1 PHASE, BROCO</v>
      </c>
      <c r="E3509" s="6">
        <f>IFERROR(__xludf.DUMMYFUNCTION("""COMPUTED_VALUE"""),1.0)</f>
        <v>1</v>
      </c>
      <c r="F3509" s="6">
        <f>IFERROR(__xludf.DUMMYFUNCTION("""COMPUTED_VALUE"""),1.0)</f>
        <v>1</v>
      </c>
      <c r="G3509" s="6">
        <f>IFERROR(__xludf.DUMMYFUNCTION("""COMPUTED_VALUE"""),0.0)</f>
        <v>0</v>
      </c>
      <c r="H3509" s="6" t="str">
        <f>IFERROR(__xludf.DUMMYFUNCTION("""COMPUTED_VALUE"""),"Pcs")</f>
        <v>Pcs</v>
      </c>
      <c r="I3509" s="6" t="str">
        <f>IFERROR(__xludf.DUMMYFUNCTION("""COMPUTED_VALUE"""),"MFH")</f>
        <v>MFH</v>
      </c>
      <c r="J3509" s="6" t="str">
        <f>IFERROR(__xludf.DUMMYFUNCTION("""COMPUTED_VALUE"""),"Building")</f>
        <v>Building</v>
      </c>
      <c r="K3509" s="6" t="str">
        <f>IFERROR(__xludf.DUMMYFUNCTION("""COMPUTED_VALUE"""),"SPR/04/26/009")</f>
        <v>SPR/04/26/009</v>
      </c>
      <c r="L3509" s="13">
        <f>IFERROR(__xludf.DUMMYFUNCTION("""COMPUTED_VALUE"""),46142.0)</f>
        <v>46142</v>
      </c>
    </row>
    <row r="3510">
      <c r="A3510" s="6" t="str">
        <f>IFERROR(__xludf.DUMMYFUNCTION("""COMPUTED_VALUE"""),"ERA")</f>
        <v>ERA</v>
      </c>
      <c r="B3510" s="6" t="str">
        <f>IFERROR(__xludf.DUMMYFUNCTION("""COMPUTED_VALUE"""),"ENG")</f>
        <v>ENG</v>
      </c>
      <c r="C3510" s="6" t="str">
        <f>IFERROR(__xludf.DUMMYFUNCTION("""COMPUTED_VALUE"""),"O-54015-00")</f>
        <v>O-54015-00</v>
      </c>
      <c r="D3510" s="6" t="str">
        <f>IFERROR(__xludf.DUMMYFUNCTION("""COMPUTED_VALUE"""),"STOP KONTAK LUBANG 4, BROCO")</f>
        <v>STOP KONTAK LUBANG 4, BROCO</v>
      </c>
      <c r="E3510" s="6">
        <f>IFERROR(__xludf.DUMMYFUNCTION("""COMPUTED_VALUE"""),1.0)</f>
        <v>1</v>
      </c>
      <c r="F3510" s="6">
        <f>IFERROR(__xludf.DUMMYFUNCTION("""COMPUTED_VALUE"""),1.0)</f>
        <v>1</v>
      </c>
      <c r="G3510" s="6">
        <f>IFERROR(__xludf.DUMMYFUNCTION("""COMPUTED_VALUE"""),0.0)</f>
        <v>0</v>
      </c>
      <c r="H3510" s="6" t="str">
        <f>IFERROR(__xludf.DUMMYFUNCTION("""COMPUTED_VALUE"""),"Pcs")</f>
        <v>Pcs</v>
      </c>
      <c r="I3510" s="6" t="str">
        <f>IFERROR(__xludf.DUMMYFUNCTION("""COMPUTED_VALUE"""),"MFH")</f>
        <v>MFH</v>
      </c>
      <c r="J3510" s="6" t="str">
        <f>IFERROR(__xludf.DUMMYFUNCTION("""COMPUTED_VALUE"""),"Building")</f>
        <v>Building</v>
      </c>
      <c r="K3510" s="6" t="str">
        <f>IFERROR(__xludf.DUMMYFUNCTION("""COMPUTED_VALUE"""),"SPR/04/26/009")</f>
        <v>SPR/04/26/009</v>
      </c>
      <c r="L3510" s="13">
        <f>IFERROR(__xludf.DUMMYFUNCTION("""COMPUTED_VALUE"""),46142.0)</f>
        <v>46142</v>
      </c>
    </row>
    <row r="3511">
      <c r="A3511" s="6" t="str">
        <f>IFERROR(__xludf.DUMMYFUNCTION("""COMPUTED_VALUE"""),"ERA")</f>
        <v>ERA</v>
      </c>
      <c r="B3511" s="6" t="str">
        <f>IFERROR(__xludf.DUMMYFUNCTION("""COMPUTED_VALUE"""),"ENG")</f>
        <v>ENG</v>
      </c>
      <c r="C3511" s="6" t="str">
        <f>IFERROR(__xludf.DUMMYFUNCTION("""COMPUTED_VALUE"""),"P-50286-00")</f>
        <v>P-50286-00</v>
      </c>
      <c r="D3511" s="6" t="str">
        <f>IFERROR(__xludf.DUMMYFUNCTION("""COMPUTED_VALUE"""),"General - Kabel NYYHY 3 x 1.5mm; SUPREME; -; 1 meter")</f>
        <v>General - Kabel NYYHY 3 x 1.5mm; SUPREME; -; 1 meter</v>
      </c>
      <c r="E3511" s="6">
        <f>IFERROR(__xludf.DUMMYFUNCTION("""COMPUTED_VALUE"""),1.0)</f>
        <v>1</v>
      </c>
      <c r="F3511" s="6">
        <f>IFERROR(__xludf.DUMMYFUNCTION("""COMPUTED_VALUE"""),1.0)</f>
        <v>1</v>
      </c>
      <c r="G3511" s="6">
        <f>IFERROR(__xludf.DUMMYFUNCTION("""COMPUTED_VALUE"""),0.0)</f>
        <v>0</v>
      </c>
      <c r="H3511" s="6" t="str">
        <f>IFERROR(__xludf.DUMMYFUNCTION("""COMPUTED_VALUE"""),"Pcs")</f>
        <v>Pcs</v>
      </c>
      <c r="I3511" s="6" t="str">
        <f>IFERROR(__xludf.DUMMYFUNCTION("""COMPUTED_VALUE"""),"MFH")</f>
        <v>MFH</v>
      </c>
      <c r="J3511" s="6" t="str">
        <f>IFERROR(__xludf.DUMMYFUNCTION("""COMPUTED_VALUE"""),"Building")</f>
        <v>Building</v>
      </c>
      <c r="K3511" s="6" t="str">
        <f>IFERROR(__xludf.DUMMYFUNCTION("""COMPUTED_VALUE"""),"SPR/04/26/009")</f>
        <v>SPR/04/26/009</v>
      </c>
      <c r="L3511" s="13">
        <f>IFERROR(__xludf.DUMMYFUNCTION("""COMPUTED_VALUE"""),46142.0)</f>
        <v>46142</v>
      </c>
    </row>
    <row r="3512">
      <c r="A3512" s="6" t="str">
        <f>IFERROR(__xludf.DUMMYFUNCTION("""COMPUTED_VALUE"""),"BDU")</f>
        <v>BDU</v>
      </c>
      <c r="B3512" s="6" t="str">
        <f>IFERROR(__xludf.DUMMYFUNCTION("""COMPUTED_VALUE"""),"ENG")</f>
        <v>ENG</v>
      </c>
      <c r="C3512" s="6" t="str">
        <f>IFERROR(__xludf.DUMMYFUNCTION("""COMPUTED_VALUE"""),"T-20123-00")</f>
        <v>T-20123-00</v>
      </c>
      <c r="D3512" s="6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E3512" s="6">
        <f>IFERROR(__xludf.DUMMYFUNCTION("""COMPUTED_VALUE"""),1.0)</f>
        <v>1</v>
      </c>
      <c r="F3512" s="6">
        <f>IFERROR(__xludf.DUMMYFUNCTION("""COMPUTED_VALUE"""),1.0)</f>
        <v>1</v>
      </c>
      <c r="G3512" s="6">
        <f>IFERROR(__xludf.DUMMYFUNCTION("""COMPUTED_VALUE"""),0.0)</f>
        <v>0</v>
      </c>
      <c r="H3512" s="6" t="str">
        <f>IFERROR(__xludf.DUMMYFUNCTION("""COMPUTED_VALUE"""),"Pcs")</f>
        <v>Pcs</v>
      </c>
      <c r="I3512" s="6" t="str">
        <f>IFERROR(__xludf.DUMMYFUNCTION("""COMPUTED_VALUE"""),"MFH")</f>
        <v>MFH</v>
      </c>
      <c r="J3512" s="6" t="str">
        <f>IFERROR(__xludf.DUMMYFUNCTION("""COMPUTED_VALUE"""),"HPLC")</f>
        <v>HPLC</v>
      </c>
      <c r="K3512" s="6" t="str">
        <f>IFERROR(__xludf.DUMMYFUNCTION("""COMPUTED_VALUE"""),"SPR/04/26/010")</f>
        <v>SPR/04/26/010</v>
      </c>
      <c r="L3512" s="13">
        <f>IFERROR(__xludf.DUMMYFUNCTION("""COMPUTED_VALUE"""),46142.0)</f>
        <v>46142</v>
      </c>
    </row>
    <row r="3513">
      <c r="A3513" s="6" t="str">
        <f>IFERROR(__xludf.DUMMYFUNCTION("""COMPUTED_VALUE"""),"MRN")</f>
        <v>MRN</v>
      </c>
      <c r="B3513" s="6" t="str">
        <f>IFERROR(__xludf.DUMMYFUNCTION("""COMPUTED_VALUE"""),"ENG")</f>
        <v>ENG</v>
      </c>
      <c r="C3513" s="6" t="str">
        <f>IFERROR(__xludf.DUMMYFUNCTION("""COMPUTED_VALUE"""),"P-13389-00")</f>
        <v>P-13389-00</v>
      </c>
      <c r="D3513" s="6" t="str">
        <f>IFERROR(__xludf.DUMMYFUNCTION("""COMPUTED_VALUE"""),"Scotch Brite 3M; ; ;")</f>
        <v>Scotch Brite 3M; ; ;</v>
      </c>
      <c r="E3513" s="6">
        <f>IFERROR(__xludf.DUMMYFUNCTION("""COMPUTED_VALUE"""),1.0)</f>
        <v>1</v>
      </c>
      <c r="F3513" s="6">
        <f>IFERROR(__xludf.DUMMYFUNCTION("""COMPUTED_VALUE"""),1.0)</f>
        <v>1</v>
      </c>
      <c r="G3513" s="6">
        <f>IFERROR(__xludf.DUMMYFUNCTION("""COMPUTED_VALUE"""),0.0)</f>
        <v>0</v>
      </c>
      <c r="H3513" s="6" t="str">
        <f>IFERROR(__xludf.DUMMYFUNCTION("""COMPUTED_VALUE"""),"Pcs")</f>
        <v>Pcs</v>
      </c>
      <c r="I3513" s="6" t="str">
        <f>IFERROR(__xludf.DUMMYFUNCTION("""COMPUTED_VALUE"""),"MFH")</f>
        <v>MFH</v>
      </c>
      <c r="J3513" s="6" t="str">
        <f>IFERROR(__xludf.DUMMYFUNCTION("""COMPUTED_VALUE"""),"-")</f>
        <v>-</v>
      </c>
      <c r="K3513" s="6" t="str">
        <f>IFERROR(__xludf.DUMMYFUNCTION("""COMPUTED_VALUE"""),"SPR/04/26/011")</f>
        <v>SPR/04/26/011</v>
      </c>
      <c r="L3513" s="13">
        <f>IFERROR(__xludf.DUMMYFUNCTION("""COMPUTED_VALUE"""),46142.0)</f>
        <v>46142</v>
      </c>
    </row>
    <row r="3514">
      <c r="A3514" s="6" t="str">
        <f>IFERROR(__xludf.DUMMYFUNCTION("""COMPUTED_VALUE"""),"MRN")</f>
        <v>MRN</v>
      </c>
      <c r="B3514" s="6" t="str">
        <f>IFERROR(__xludf.DUMMYFUNCTION("""COMPUTED_VALUE"""),"ENG")</f>
        <v>ENG</v>
      </c>
      <c r="C3514" s="6" t="str">
        <f>IFERROR(__xludf.DUMMYFUNCTION("""COMPUTED_VALUE"""),"P-10729-00")</f>
        <v>P-10729-00</v>
      </c>
      <c r="D3514" s="6" t="str">
        <f>IFERROR(__xludf.DUMMYFUNCTION("""COMPUTED_VALUE"""),"General - Contact cleaner WD 40; No Brand; -; 382gr/can")</f>
        <v>General - Contact cleaner WD 40; No Brand; -; 382gr/can</v>
      </c>
      <c r="E3514" s="6">
        <f>IFERROR(__xludf.DUMMYFUNCTION("""COMPUTED_VALUE"""),1.0)</f>
        <v>1</v>
      </c>
      <c r="F3514" s="6">
        <f>IFERROR(__xludf.DUMMYFUNCTION("""COMPUTED_VALUE"""),1.0)</f>
        <v>1</v>
      </c>
      <c r="G3514" s="6">
        <f>IFERROR(__xludf.DUMMYFUNCTION("""COMPUTED_VALUE"""),0.0)</f>
        <v>0</v>
      </c>
      <c r="H3514" s="6" t="str">
        <f>IFERROR(__xludf.DUMMYFUNCTION("""COMPUTED_VALUE"""),"Pcs")</f>
        <v>Pcs</v>
      </c>
      <c r="I3514" s="6" t="str">
        <f>IFERROR(__xludf.DUMMYFUNCTION("""COMPUTED_VALUE"""),"MFH")</f>
        <v>MFH</v>
      </c>
      <c r="J3514" s="6" t="str">
        <f>IFERROR(__xludf.DUMMYFUNCTION("""COMPUTED_VALUE"""),"ASRS")</f>
        <v>ASRS</v>
      </c>
      <c r="K3514" s="6" t="str">
        <f>IFERROR(__xludf.DUMMYFUNCTION("""COMPUTED_VALUE"""),"SPR/04/26/012")</f>
        <v>SPR/04/26/012</v>
      </c>
      <c r="L3514" s="13">
        <f>IFERROR(__xludf.DUMMYFUNCTION("""COMPUTED_VALUE"""),46142.0)</f>
        <v>46142</v>
      </c>
    </row>
    <row r="3515">
      <c r="A3515" s="6" t="str">
        <f>IFERROR(__xludf.DUMMYFUNCTION("""COMPUTED_VALUE"""),"ANO")</f>
        <v>ANO</v>
      </c>
      <c r="B3515" s="6" t="str">
        <f>IFERROR(__xludf.DUMMYFUNCTION("""COMPUTED_VALUE"""),"ENG")</f>
        <v>ENG</v>
      </c>
      <c r="C3515" s="6" t="str">
        <f>IFERROR(__xludf.DUMMYFUNCTION("""COMPUTED_VALUE"""),"P-13389-00")</f>
        <v>P-13389-00</v>
      </c>
      <c r="D3515" s="6" t="str">
        <f>IFERROR(__xludf.DUMMYFUNCTION("""COMPUTED_VALUE"""),"Scotch Brite 3M; ; ;")</f>
        <v>Scotch Brite 3M; ; ;</v>
      </c>
      <c r="E3515" s="6">
        <f>IFERROR(__xludf.DUMMYFUNCTION("""COMPUTED_VALUE"""),1.0)</f>
        <v>1</v>
      </c>
      <c r="F3515" s="6">
        <f>IFERROR(__xludf.DUMMYFUNCTION("""COMPUTED_VALUE"""),1.0)</f>
        <v>1</v>
      </c>
      <c r="G3515" s="6">
        <f>IFERROR(__xludf.DUMMYFUNCTION("""COMPUTED_VALUE"""),0.0)</f>
        <v>0</v>
      </c>
      <c r="H3515" s="6" t="str">
        <f>IFERROR(__xludf.DUMMYFUNCTION("""COMPUTED_VALUE"""),"Pcs")</f>
        <v>Pcs</v>
      </c>
      <c r="I3515" s="6" t="str">
        <f>IFERROR(__xludf.DUMMYFUNCTION("""COMPUTED_VALUE"""),"MFH")</f>
        <v>MFH</v>
      </c>
      <c r="J3515" s="6" t="str">
        <f>IFERROR(__xludf.DUMMYFUNCTION("""COMPUTED_VALUE"""),"AHU")</f>
        <v>AHU</v>
      </c>
      <c r="K3515" s="6" t="str">
        <f>IFERROR(__xludf.DUMMYFUNCTION("""COMPUTED_VALUE"""),"SPR/04/26/013")</f>
        <v>SPR/04/26/013</v>
      </c>
      <c r="L3515" s="13">
        <f>IFERROR(__xludf.DUMMYFUNCTION("""COMPUTED_VALUE"""),46142.0)</f>
        <v>46142</v>
      </c>
    </row>
    <row r="3516">
      <c r="A3516" s="6" t="str">
        <f>IFERROR(__xludf.DUMMYFUNCTION("""COMPUTED_VALUE"""),"ANO")</f>
        <v>ANO</v>
      </c>
      <c r="B3516" s="6" t="str">
        <f>IFERROR(__xludf.DUMMYFUNCTION("""COMPUTED_VALUE"""),"ENG")</f>
        <v>ENG</v>
      </c>
      <c r="C3516" s="6" t="str">
        <f>IFERROR(__xludf.DUMMYFUNCTION("""COMPUTED_VALUE"""),"P-15851-00")</f>
        <v>P-15851-00</v>
      </c>
      <c r="D3516" s="6" t="str">
        <f>IFERROR(__xludf.DUMMYFUNCTION("""COMPUTED_VALUE"""),"AMPLAS  EAGLE 100")</f>
        <v>AMPLAS  EAGLE 100</v>
      </c>
      <c r="E3516" s="6">
        <f>IFERROR(__xludf.DUMMYFUNCTION("""COMPUTED_VALUE"""),1.0)</f>
        <v>1</v>
      </c>
      <c r="F3516" s="6">
        <f>IFERROR(__xludf.DUMMYFUNCTION("""COMPUTED_VALUE"""),1.0)</f>
        <v>1</v>
      </c>
      <c r="G3516" s="6">
        <f>IFERROR(__xludf.DUMMYFUNCTION("""COMPUTED_VALUE"""),0.0)</f>
        <v>0</v>
      </c>
      <c r="H3516" s="6" t="str">
        <f>IFERROR(__xludf.DUMMYFUNCTION("""COMPUTED_VALUE"""),"Pcs")</f>
        <v>Pcs</v>
      </c>
      <c r="I3516" s="6" t="str">
        <f>IFERROR(__xludf.DUMMYFUNCTION("""COMPUTED_VALUE"""),"MFH")</f>
        <v>MFH</v>
      </c>
      <c r="J3516" s="6" t="str">
        <f>IFERROR(__xludf.DUMMYFUNCTION("""COMPUTED_VALUE"""),"AHU")</f>
        <v>AHU</v>
      </c>
      <c r="K3516" s="6" t="str">
        <f>IFERROR(__xludf.DUMMYFUNCTION("""COMPUTED_VALUE"""),"SPR/04/26/013")</f>
        <v>SPR/04/26/013</v>
      </c>
      <c r="L3516" s="13">
        <f>IFERROR(__xludf.DUMMYFUNCTION("""COMPUTED_VALUE"""),46142.0)</f>
        <v>46142</v>
      </c>
    </row>
    <row r="3517">
      <c r="A3517" s="6" t="str">
        <f>IFERROR(__xludf.DUMMYFUNCTION("""COMPUTED_VALUE"""),"ROS")</f>
        <v>ROS</v>
      </c>
      <c r="B3517" s="6" t="str">
        <f>IFERROR(__xludf.DUMMYFUNCTION("""COMPUTED_VALUE"""),"ENG")</f>
        <v>ENG</v>
      </c>
      <c r="C3517" s="6" t="str">
        <f>IFERROR(__xludf.DUMMYFUNCTION("""COMPUTED_VALUE"""),"O-21305-00")</f>
        <v>O-21305-00</v>
      </c>
      <c r="D3517" s="6" t="str">
        <f>IFERROR(__xludf.DUMMYFUNCTION("""COMPUTED_VALUE"""),"Coating PLAB - Directional Control Valve; SMC; VNA101A-F6A; 1 Pc")</f>
        <v>Coating PLAB - Directional Control Valve; SMC; VNA101A-F6A; 1 Pc</v>
      </c>
      <c r="E3517" s="6">
        <f>IFERROR(__xludf.DUMMYFUNCTION("""COMPUTED_VALUE"""),2.0)</f>
        <v>2</v>
      </c>
      <c r="F3517" s="6">
        <f>IFERROR(__xludf.DUMMYFUNCTION("""COMPUTED_VALUE"""),2.0)</f>
        <v>2</v>
      </c>
      <c r="G3517" s="6">
        <f>IFERROR(__xludf.DUMMYFUNCTION("""COMPUTED_VALUE"""),0.0)</f>
        <v>0</v>
      </c>
      <c r="H3517" s="6" t="str">
        <f>IFERROR(__xludf.DUMMYFUNCTION("""COMPUTED_VALUE"""),"Pcs")</f>
        <v>Pcs</v>
      </c>
      <c r="I3517" s="6" t="str">
        <f>IFERROR(__xludf.DUMMYFUNCTION("""COMPUTED_VALUE"""),"MFH")</f>
        <v>MFH</v>
      </c>
      <c r="J3517" s="6" t="str">
        <f>IFERROR(__xludf.DUMMYFUNCTION("""COMPUTED_VALUE"""),"Coating")</f>
        <v>Coating</v>
      </c>
      <c r="K3517" s="6" t="str">
        <f>IFERROR(__xludf.DUMMYFUNCTION("""COMPUTED_VALUE"""),"SPR/04/26/014")</f>
        <v>SPR/04/26/014</v>
      </c>
      <c r="L3517" s="13">
        <f>IFERROR(__xludf.DUMMYFUNCTION("""COMPUTED_VALUE"""),46142.0)</f>
        <v>46142</v>
      </c>
    </row>
    <row r="3518">
      <c r="A3518" s="6" t="str">
        <f>IFERROR(__xludf.DUMMYFUNCTION("""COMPUTED_VALUE"""),"ROS")</f>
        <v>ROS</v>
      </c>
      <c r="B3518" s="6" t="str">
        <f>IFERROR(__xludf.DUMMYFUNCTION("""COMPUTED_VALUE"""),"ENG")</f>
        <v>ENG</v>
      </c>
      <c r="C3518" s="6" t="str">
        <f>IFERROR(__xludf.DUMMYFUNCTION("""COMPUTED_VALUE"""),"P-10945-00")</f>
        <v>P-10945-00</v>
      </c>
      <c r="D3518" s="6" t="str">
        <f>IFERROR(__xludf.DUMMYFUNCTION("""COMPUTED_VALUE"""),"General - Seal Tape 1inch; ONDA; -; 1 Pcs")</f>
        <v>General - Seal Tape 1inch; ONDA; -; 1 Pcs</v>
      </c>
      <c r="E3518" s="6">
        <f>IFERROR(__xludf.DUMMYFUNCTION("""COMPUTED_VALUE"""),1.0)</f>
        <v>1</v>
      </c>
      <c r="F3518" s="6">
        <f>IFERROR(__xludf.DUMMYFUNCTION("""COMPUTED_VALUE"""),1.0)</f>
        <v>1</v>
      </c>
      <c r="G3518" s="6">
        <f>IFERROR(__xludf.DUMMYFUNCTION("""COMPUTED_VALUE"""),0.0)</f>
        <v>0</v>
      </c>
      <c r="H3518" s="6" t="str">
        <f>IFERROR(__xludf.DUMMYFUNCTION("""COMPUTED_VALUE"""),"Pcs")</f>
        <v>Pcs</v>
      </c>
      <c r="I3518" s="6" t="str">
        <f>IFERROR(__xludf.DUMMYFUNCTION("""COMPUTED_VALUE"""),"MFH")</f>
        <v>MFH</v>
      </c>
      <c r="J3518" s="6" t="str">
        <f>IFERROR(__xludf.DUMMYFUNCTION("""COMPUTED_VALUE"""),"Coating")</f>
        <v>Coating</v>
      </c>
      <c r="K3518" s="6" t="str">
        <f>IFERROR(__xludf.DUMMYFUNCTION("""COMPUTED_VALUE"""),"SPR/04/26/014")</f>
        <v>SPR/04/26/014</v>
      </c>
      <c r="L3518" s="13">
        <f>IFERROR(__xludf.DUMMYFUNCTION("""COMPUTED_VALUE"""),46142.0)</f>
        <v>46142</v>
      </c>
    </row>
    <row r="3519">
      <c r="A3519" s="6" t="str">
        <f>IFERROR(__xludf.DUMMYFUNCTION("""COMPUTED_VALUE"""),"SFH")</f>
        <v>SFH</v>
      </c>
      <c r="B3519" s="6" t="str">
        <f>IFERROR(__xludf.DUMMYFUNCTION("""COMPUTED_VALUE"""),"ENG")</f>
        <v>ENG</v>
      </c>
      <c r="C3519" s="6" t="str">
        <f>IFERROR(__xludf.DUMMYFUNCTION("""COMPUTED_VALUE"""),"P-51560-00")</f>
        <v>P-51560-00</v>
      </c>
      <c r="D3519" s="6" t="str">
        <f>IFERROR(__xludf.DUMMYFUNCTION("""COMPUTED_VALUE"""),"General - Lampu TL T5 28W White; Philips; -; 1 unt")</f>
        <v>General - Lampu TL T5 28W White; Philips; -; 1 unt</v>
      </c>
      <c r="E3519" s="6">
        <f>IFERROR(__xludf.DUMMYFUNCTION("""COMPUTED_VALUE"""),2.0)</f>
        <v>2</v>
      </c>
      <c r="F3519" s="6">
        <f>IFERROR(__xludf.DUMMYFUNCTION("""COMPUTED_VALUE"""),2.0)</f>
        <v>2</v>
      </c>
      <c r="G3519" s="6">
        <f>IFERROR(__xludf.DUMMYFUNCTION("""COMPUTED_VALUE"""),0.0)</f>
        <v>0</v>
      </c>
      <c r="H3519" s="6" t="str">
        <f>IFERROR(__xludf.DUMMYFUNCTION("""COMPUTED_VALUE"""),"Pcs")</f>
        <v>Pcs</v>
      </c>
      <c r="I3519" s="6" t="str">
        <f>IFERROR(__xludf.DUMMYFUNCTION("""COMPUTED_VALUE"""),"MFH")</f>
        <v>MFH</v>
      </c>
      <c r="J3519" s="6" t="str">
        <f>IFERROR(__xludf.DUMMYFUNCTION("""COMPUTED_VALUE"""),"Building")</f>
        <v>Building</v>
      </c>
      <c r="K3519" s="6" t="str">
        <f>IFERROR(__xludf.DUMMYFUNCTION("""COMPUTED_VALUE"""),"SPR/04/26/015")</f>
        <v>SPR/04/26/015</v>
      </c>
      <c r="L3519" s="13">
        <f>IFERROR(__xludf.DUMMYFUNCTION("""COMPUTED_VALUE"""),46142.0)</f>
        <v>46142</v>
      </c>
    </row>
    <row r="3520">
      <c r="A3520" s="6" t="str">
        <f>IFERROR(__xludf.DUMMYFUNCTION("""COMPUTED_VALUE"""),"SFH")</f>
        <v>SFH</v>
      </c>
      <c r="B3520" s="6" t="str">
        <f>IFERROR(__xludf.DUMMYFUNCTION("""COMPUTED_VALUE"""),"ENG")</f>
        <v>ENG</v>
      </c>
      <c r="C3520" s="6" t="str">
        <f>IFERROR(__xludf.DUMMYFUNCTION("""COMPUTED_VALUE"""),"P-53169-00")</f>
        <v>P-53169-00</v>
      </c>
      <c r="D3520" s="6" t="str">
        <f>IFERROR(__xludf.DUMMYFUNCTION("""COMPUTED_VALUE"""),"Ballast Electronic EB-C 228 TL5, 2x28W; Phillips; ;")</f>
        <v>Ballast Electronic EB-C 228 TL5, 2x28W; Phillips; ;</v>
      </c>
      <c r="E3520" s="6">
        <f>IFERROR(__xludf.DUMMYFUNCTION("""COMPUTED_VALUE"""),1.0)</f>
        <v>1</v>
      </c>
      <c r="F3520" s="6">
        <f>IFERROR(__xludf.DUMMYFUNCTION("""COMPUTED_VALUE"""),1.0)</f>
        <v>1</v>
      </c>
      <c r="G3520" s="6">
        <f>IFERROR(__xludf.DUMMYFUNCTION("""COMPUTED_VALUE"""),0.0)</f>
        <v>0</v>
      </c>
      <c r="H3520" s="6" t="str">
        <f>IFERROR(__xludf.DUMMYFUNCTION("""COMPUTED_VALUE"""),"Pcs")</f>
        <v>Pcs</v>
      </c>
      <c r="I3520" s="6" t="str">
        <f>IFERROR(__xludf.DUMMYFUNCTION("""COMPUTED_VALUE"""),"MFH")</f>
        <v>MFH</v>
      </c>
      <c r="J3520" s="6" t="str">
        <f>IFERROR(__xludf.DUMMYFUNCTION("""COMPUTED_VALUE"""),"Building")</f>
        <v>Building</v>
      </c>
      <c r="K3520" s="6" t="str">
        <f>IFERROR(__xludf.DUMMYFUNCTION("""COMPUTED_VALUE"""),"SPR/04/26/015")</f>
        <v>SPR/04/26/015</v>
      </c>
      <c r="L3520" s="13">
        <f>IFERROR(__xludf.DUMMYFUNCTION("""COMPUTED_VALUE"""),46142.0)</f>
        <v>46142</v>
      </c>
    </row>
    <row r="3521">
      <c r="A3521" s="6" t="str">
        <f>IFERROR(__xludf.DUMMYFUNCTION("""COMPUTED_VALUE"""),"MOB")</f>
        <v>MOB</v>
      </c>
      <c r="B3521" s="6" t="str">
        <f>IFERROR(__xludf.DUMMYFUNCTION("""COMPUTED_VALUE"""),"ENG")</f>
        <v>ENG</v>
      </c>
      <c r="C3521" s="6" t="str">
        <f>IFERROR(__xludf.DUMMYFUNCTION("""COMPUTED_VALUE"""),"O-15489-00")</f>
        <v>O-15489-00</v>
      </c>
      <c r="D3521" s="6" t="str">
        <f>IFERROR(__xludf.DUMMYFUNCTION("""COMPUTED_VALUE"""),"SPA 1120 Brand : Optibelt / Bando Merah; Optibelt; ;")</f>
        <v>SPA 1120 Brand : Optibelt / Bando Merah; Optibelt; ;</v>
      </c>
      <c r="E3521" s="6">
        <f>IFERROR(__xludf.DUMMYFUNCTION("""COMPUTED_VALUE"""),1.0)</f>
        <v>1</v>
      </c>
      <c r="F3521" s="6">
        <f>IFERROR(__xludf.DUMMYFUNCTION("""COMPUTED_VALUE"""),1.0)</f>
        <v>1</v>
      </c>
      <c r="G3521" s="6">
        <f>IFERROR(__xludf.DUMMYFUNCTION("""COMPUTED_VALUE"""),0.0)</f>
        <v>0</v>
      </c>
      <c r="H3521" s="6" t="str">
        <f>IFERROR(__xludf.DUMMYFUNCTION("""COMPUTED_VALUE"""),"Pcs")</f>
        <v>Pcs</v>
      </c>
      <c r="I3521" s="6" t="str">
        <f>IFERROR(__xludf.DUMMYFUNCTION("""COMPUTED_VALUE"""),"MFH")</f>
        <v>MFH</v>
      </c>
      <c r="J3521" s="6" t="str">
        <f>IFERROR(__xludf.DUMMYFUNCTION("""COMPUTED_VALUE"""),"AHU")</f>
        <v>AHU</v>
      </c>
      <c r="K3521" s="6" t="str">
        <f>IFERROR(__xludf.DUMMYFUNCTION("""COMPUTED_VALUE"""),"SPR/04/26/016")</f>
        <v>SPR/04/26/016</v>
      </c>
      <c r="L3521" s="13">
        <f>IFERROR(__xludf.DUMMYFUNCTION("""COMPUTED_VALUE"""),46142.0)</f>
        <v>46142</v>
      </c>
    </row>
    <row r="3522">
      <c r="A3522" s="6" t="str">
        <f>IFERROR(__xludf.DUMMYFUNCTION("""COMPUTED_VALUE"""),"MOB")</f>
        <v>MOB</v>
      </c>
      <c r="B3522" s="6" t="str">
        <f>IFERROR(__xludf.DUMMYFUNCTION("""COMPUTED_VALUE"""),"ENG")</f>
        <v>ENG</v>
      </c>
      <c r="C3522" s="6" t="str">
        <f>IFERROR(__xludf.DUMMYFUNCTION("""COMPUTED_VALUE"""),"T-80046-00")</f>
        <v>T-80046-00</v>
      </c>
      <c r="D3522" s="6" t="str">
        <f>IFERROR(__xludf.DUMMYFUNCTION("""COMPUTED_VALUE"""),"Baterai AA; Alkaline; Isi 6pc/pck")</f>
        <v>Baterai AA; Alkaline; Isi 6pc/pck</v>
      </c>
      <c r="E3522" s="6">
        <f>IFERROR(__xludf.DUMMYFUNCTION("""COMPUTED_VALUE"""),3.0)</f>
        <v>3</v>
      </c>
      <c r="F3522" s="6">
        <f>IFERROR(__xludf.DUMMYFUNCTION("""COMPUTED_VALUE"""),3.0)</f>
        <v>3</v>
      </c>
      <c r="G3522" s="6">
        <f>IFERROR(__xludf.DUMMYFUNCTION("""COMPUTED_VALUE"""),0.0)</f>
        <v>0</v>
      </c>
      <c r="H3522" s="6" t="str">
        <f>IFERROR(__xludf.DUMMYFUNCTION("""COMPUTED_VALUE"""),"Pcs")</f>
        <v>Pcs</v>
      </c>
      <c r="I3522" s="6" t="str">
        <f>IFERROR(__xludf.DUMMYFUNCTION("""COMPUTED_VALUE"""),"MFH")</f>
        <v>MFH</v>
      </c>
      <c r="J3522" s="6" t="str">
        <f>IFERROR(__xludf.DUMMYFUNCTION("""COMPUTED_VALUE"""),"AHU")</f>
        <v>AHU</v>
      </c>
      <c r="K3522" s="6" t="str">
        <f>IFERROR(__xludf.DUMMYFUNCTION("""COMPUTED_VALUE"""),"SPR/04/26/017")</f>
        <v>SPR/04/26/017</v>
      </c>
      <c r="L3522" s="13">
        <f>IFERROR(__xludf.DUMMYFUNCTION("""COMPUTED_VALUE"""),46142.0)</f>
        <v>46142</v>
      </c>
    </row>
    <row r="3523">
      <c r="A3523" s="6" t="str">
        <f>IFERROR(__xludf.DUMMYFUNCTION("""COMPUTED_VALUE"""),"MOB")</f>
        <v>MOB</v>
      </c>
      <c r="B3523" s="6" t="str">
        <f>IFERROR(__xludf.DUMMYFUNCTION("""COMPUTED_VALUE"""),"ENG")</f>
        <v>ENG</v>
      </c>
      <c r="C3523" s="6" t="str">
        <f>IFERROR(__xludf.DUMMYFUNCTION("""COMPUTED_VALUE"""),"T-80681-00")</f>
        <v>T-80681-00</v>
      </c>
      <c r="D3523" s="6" t="str">
        <f>IFERROR(__xludf.DUMMYFUNCTION("""COMPUTED_VALUE"""),"Battery Kancing Energizer CR2032  3V Lithium; ; ;")</f>
        <v>Battery Kancing Energizer CR2032  3V Lithium; ; ;</v>
      </c>
      <c r="E3523" s="6">
        <f>IFERROR(__xludf.DUMMYFUNCTION("""COMPUTED_VALUE"""),3.0)</f>
        <v>3</v>
      </c>
      <c r="F3523" s="6">
        <f>IFERROR(__xludf.DUMMYFUNCTION("""COMPUTED_VALUE"""),3.0)</f>
        <v>3</v>
      </c>
      <c r="G3523" s="6">
        <f>IFERROR(__xludf.DUMMYFUNCTION("""COMPUTED_VALUE"""),0.0)</f>
        <v>0</v>
      </c>
      <c r="H3523" s="6" t="str">
        <f>IFERROR(__xludf.DUMMYFUNCTION("""COMPUTED_VALUE"""),"Pcs")</f>
        <v>Pcs</v>
      </c>
      <c r="I3523" s="6" t="str">
        <f>IFERROR(__xludf.DUMMYFUNCTION("""COMPUTED_VALUE"""),"MFH")</f>
        <v>MFH</v>
      </c>
      <c r="J3523" s="6" t="str">
        <f>IFERROR(__xludf.DUMMYFUNCTION("""COMPUTED_VALUE"""),"AHU")</f>
        <v>AHU</v>
      </c>
      <c r="K3523" s="6" t="str">
        <f>IFERROR(__xludf.DUMMYFUNCTION("""COMPUTED_VALUE"""),"SPR/04/26/017")</f>
        <v>SPR/04/26/017</v>
      </c>
      <c r="L3523" s="13">
        <f>IFERROR(__xludf.DUMMYFUNCTION("""COMPUTED_VALUE"""),46142.0)</f>
        <v>46142</v>
      </c>
    </row>
    <row r="3524">
      <c r="A3524" s="6" t="str">
        <f>IFERROR(__xludf.DUMMYFUNCTION("""COMPUTED_VALUE"""),"NDS")</f>
        <v>NDS</v>
      </c>
      <c r="B3524" s="6" t="str">
        <f>IFERROR(__xludf.DUMMYFUNCTION("""COMPUTED_VALUE"""),"ENG")</f>
        <v>ENG</v>
      </c>
      <c r="C3524" s="6" t="str">
        <f>IFERROR(__xludf.DUMMYFUNCTION("""COMPUTED_VALUE"""),"O-20487-00")</f>
        <v>O-20487-00</v>
      </c>
      <c r="D3524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524" s="6">
        <f>IFERROR(__xludf.DUMMYFUNCTION("""COMPUTED_VALUE"""),1.0)</f>
        <v>1</v>
      </c>
      <c r="F3524" s="6">
        <f>IFERROR(__xludf.DUMMYFUNCTION("""COMPUTED_VALUE"""),1.0)</f>
        <v>1</v>
      </c>
      <c r="G3524" s="6" t="str">
        <f>IFERROR(__xludf.DUMMYFUNCTION("""COMPUTED_VALUE"""),"Pcs")</f>
        <v>Pcs</v>
      </c>
      <c r="H3524" s="6" t="str">
        <f>IFERROR(__xludf.DUMMYFUNCTION("""COMPUTED_VALUE"""),"Pcs")</f>
        <v>Pcs</v>
      </c>
      <c r="I3524" s="6" t="str">
        <f>IFERROR(__xludf.DUMMYFUNCTION("""COMPUTED_VALUE"""),"MFH")</f>
        <v>MFH</v>
      </c>
      <c r="J3524" s="6" t="str">
        <f>IFERROR(__xludf.DUMMYFUNCTION("""COMPUTED_VALUE"""),"FIlling")</f>
        <v>FIlling</v>
      </c>
      <c r="K3524" s="6" t="str">
        <f>IFERROR(__xludf.DUMMYFUNCTION("""COMPUTED_VALUE"""),"SPR/04/26/018")</f>
        <v>SPR/04/26/018</v>
      </c>
      <c r="L3524" s="13">
        <f>IFERROR(__xludf.DUMMYFUNCTION("""COMPUTED_VALUE"""),46142.0)</f>
        <v>46142</v>
      </c>
    </row>
    <row r="3525">
      <c r="A3525" s="6" t="str">
        <f>IFERROR(__xludf.DUMMYFUNCTION("""COMPUTED_VALUE"""),"NDS")</f>
        <v>NDS</v>
      </c>
      <c r="B3525" s="6" t="str">
        <f>IFERROR(__xludf.DUMMYFUNCTION("""COMPUTED_VALUE"""),"ENG")</f>
        <v>ENG</v>
      </c>
      <c r="C3525" s="6" t="str">
        <f>IFERROR(__xludf.DUMMYFUNCTION("""COMPUTED_VALUE"""),"O-16032-00")</f>
        <v>O-16032-00</v>
      </c>
      <c r="D3525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525" s="6">
        <f>IFERROR(__xludf.DUMMYFUNCTION("""COMPUTED_VALUE"""),1.0)</f>
        <v>1</v>
      </c>
      <c r="F3525" s="6">
        <f>IFERROR(__xludf.DUMMYFUNCTION("""COMPUTED_VALUE"""),1.0)</f>
        <v>1</v>
      </c>
      <c r="G3525" s="6">
        <f>IFERROR(__xludf.DUMMYFUNCTION("""COMPUTED_VALUE"""),0.0)</f>
        <v>0</v>
      </c>
      <c r="H3525" s="6"/>
      <c r="I3525" s="6" t="str">
        <f>IFERROR(__xludf.DUMMYFUNCTION("""COMPUTED_VALUE"""),"MFH")</f>
        <v>MFH</v>
      </c>
      <c r="J3525" s="6" t="str">
        <f>IFERROR(__xludf.DUMMYFUNCTION("""COMPUTED_VALUE"""),"FIlling")</f>
        <v>FIlling</v>
      </c>
      <c r="K3525" s="6" t="str">
        <f>IFERROR(__xludf.DUMMYFUNCTION("""COMPUTED_VALUE"""),"SPR/04/26/018")</f>
        <v>SPR/04/26/018</v>
      </c>
      <c r="L3525" s="13">
        <f>IFERROR(__xludf.DUMMYFUNCTION("""COMPUTED_VALUE"""),46142.0)</f>
        <v>46142</v>
      </c>
    </row>
    <row r="3526">
      <c r="A3526" s="6" t="str">
        <f>IFERROR(__xludf.DUMMYFUNCTION("""COMPUTED_VALUE"""),"NDS")</f>
        <v>NDS</v>
      </c>
      <c r="B3526" s="6" t="str">
        <f>IFERROR(__xludf.DUMMYFUNCTION("""COMPUTED_VALUE"""),"ENG")</f>
        <v>ENG</v>
      </c>
      <c r="C3526" s="6" t="str">
        <f>IFERROR(__xludf.DUMMYFUNCTION("""COMPUTED_VALUE"""),"O-16647-00")</f>
        <v>O-16647-00</v>
      </c>
      <c r="D3526" s="6" t="str">
        <f>IFERROR(__xludf.DUMMYFUNCTION("""COMPUTED_VALUE"""),"General - Oring Silicone Merah 23x18x2.5 mm; -; -; 1 Pc")</f>
        <v>General - Oring Silicone Merah 23x18x2.5 mm; -; -; 1 Pc</v>
      </c>
      <c r="E3526" s="6">
        <f>IFERROR(__xludf.DUMMYFUNCTION("""COMPUTED_VALUE"""),1.0)</f>
        <v>1</v>
      </c>
      <c r="F3526" s="6">
        <f>IFERROR(__xludf.DUMMYFUNCTION("""COMPUTED_VALUE"""),1.0)</f>
        <v>1</v>
      </c>
      <c r="G3526" s="6">
        <f>IFERROR(__xludf.DUMMYFUNCTION("""COMPUTED_VALUE"""),0.0)</f>
        <v>0</v>
      </c>
      <c r="H3526" s="6" t="str">
        <f>IFERROR(__xludf.DUMMYFUNCTION("""COMPUTED_VALUE"""),"Pcs")</f>
        <v>Pcs</v>
      </c>
      <c r="I3526" s="6" t="str">
        <f>IFERROR(__xludf.DUMMYFUNCTION("""COMPUTED_VALUE"""),"MFH")</f>
        <v>MFH</v>
      </c>
      <c r="J3526" s="6" t="str">
        <f>IFERROR(__xludf.DUMMYFUNCTION("""COMPUTED_VALUE"""),"FIlling")</f>
        <v>FIlling</v>
      </c>
      <c r="K3526" s="6" t="str">
        <f>IFERROR(__xludf.DUMMYFUNCTION("""COMPUTED_VALUE"""),"SPR/04/26/018")</f>
        <v>SPR/04/26/018</v>
      </c>
      <c r="L3526" s="13">
        <f>IFERROR(__xludf.DUMMYFUNCTION("""COMPUTED_VALUE"""),46142.0)</f>
        <v>46142</v>
      </c>
    </row>
    <row r="3527">
      <c r="A3527" s="6" t="str">
        <f>IFERROR(__xludf.DUMMYFUNCTION("""COMPUTED_VALUE"""),"SFH")</f>
        <v>SFH</v>
      </c>
      <c r="B3527" s="6" t="str">
        <f>IFERROR(__xludf.DUMMYFUNCTION("""COMPUTED_VALUE"""),"ENG")</f>
        <v>ENG</v>
      </c>
      <c r="C3527" s="6" t="str">
        <f>IFERROR(__xludf.DUMMYFUNCTION("""COMPUTED_VALUE"""),"P-17645-00")</f>
        <v>P-17645-00</v>
      </c>
      <c r="D3527" s="6" t="str">
        <f>IFERROR(__xludf.DUMMYFUNCTION("""COMPUTED_VALUE"""),"Sodium Hiphoclorite; ; ; ltr")</f>
        <v>Sodium Hiphoclorite; ; ; ltr</v>
      </c>
      <c r="E3527" s="6">
        <f>IFERROR(__xludf.DUMMYFUNCTION("""COMPUTED_VALUE"""),225.0)</f>
        <v>225</v>
      </c>
      <c r="F3527" s="6">
        <f>IFERROR(__xludf.DUMMYFUNCTION("""COMPUTED_VALUE"""),225.0)</f>
        <v>225</v>
      </c>
      <c r="G3527" s="6">
        <f>IFERROR(__xludf.DUMMYFUNCTION("""COMPUTED_VALUE"""),0.0)</f>
        <v>0</v>
      </c>
      <c r="H3527" s="6" t="str">
        <f>IFERROR(__xludf.DUMMYFUNCTION("""COMPUTED_VALUE"""),"Pcs")</f>
        <v>Pcs</v>
      </c>
      <c r="I3527" s="6" t="str">
        <f>IFERROR(__xludf.DUMMYFUNCTION("""COMPUTED_VALUE"""),"MFH")</f>
        <v>MFH</v>
      </c>
      <c r="J3527" s="6" t="str">
        <f>IFERROR(__xludf.DUMMYFUNCTION("""COMPUTED_VALUE"""),"Building")</f>
        <v>Building</v>
      </c>
      <c r="K3527" s="6" t="str">
        <f>IFERROR(__xludf.DUMMYFUNCTION("""COMPUTED_VALUE"""),"SPR/04/26/019")</f>
        <v>SPR/04/26/019</v>
      </c>
      <c r="L3527" s="13">
        <f>IFERROR(__xludf.DUMMYFUNCTION("""COMPUTED_VALUE"""),46142.0)</f>
        <v>46142</v>
      </c>
    </row>
    <row r="3528">
      <c r="A3528" s="6" t="str">
        <f>IFERROR(__xludf.DUMMYFUNCTION("""COMPUTED_VALUE"""),"SFH")</f>
        <v>SFH</v>
      </c>
      <c r="B3528" s="6" t="str">
        <f>IFERROR(__xludf.DUMMYFUNCTION("""COMPUTED_VALUE"""),"ENG")</f>
        <v>ENG</v>
      </c>
      <c r="C3528" s="6" t="str">
        <f>IFERROR(__xludf.DUMMYFUNCTION("""COMPUTED_VALUE"""),"P-12830-00")</f>
        <v>P-12830-00</v>
      </c>
      <c r="D3528" s="6" t="str">
        <f>IFERROR(__xludf.DUMMYFUNCTION("""COMPUTED_VALUE"""),"Sodium metabisulfit")</f>
        <v>Sodium metabisulfit</v>
      </c>
      <c r="E3528" s="6">
        <f>IFERROR(__xludf.DUMMYFUNCTION("""COMPUTED_VALUE"""),6.0)</f>
        <v>6</v>
      </c>
      <c r="F3528" s="6">
        <f>IFERROR(__xludf.DUMMYFUNCTION("""COMPUTED_VALUE"""),6.0)</f>
        <v>6</v>
      </c>
      <c r="G3528" s="6">
        <f>IFERROR(__xludf.DUMMYFUNCTION("""COMPUTED_VALUE"""),0.0)</f>
        <v>0</v>
      </c>
      <c r="H3528" s="6" t="str">
        <f>IFERROR(__xludf.DUMMYFUNCTION("""COMPUTED_VALUE"""),"Pcs")</f>
        <v>Pcs</v>
      </c>
      <c r="I3528" s="6" t="str">
        <f>IFERROR(__xludf.DUMMYFUNCTION("""COMPUTED_VALUE"""),"MFH")</f>
        <v>MFH</v>
      </c>
      <c r="J3528" s="6" t="str">
        <f>IFERROR(__xludf.DUMMYFUNCTION("""COMPUTED_VALUE"""),"Building")</f>
        <v>Building</v>
      </c>
      <c r="K3528" s="6" t="str">
        <f>IFERROR(__xludf.DUMMYFUNCTION("""COMPUTED_VALUE"""),"SPR/04/26/019")</f>
        <v>SPR/04/26/019</v>
      </c>
      <c r="L3528" s="13">
        <f>IFERROR(__xludf.DUMMYFUNCTION("""COMPUTED_VALUE"""),46142.0)</f>
        <v>46142</v>
      </c>
    </row>
    <row r="3529">
      <c r="A3529" s="6" t="str">
        <f>IFERROR(__xludf.DUMMYFUNCTION("""COMPUTED_VALUE"""),"PPA")</f>
        <v>PPA</v>
      </c>
      <c r="B3529" s="6" t="str">
        <f>IFERROR(__xludf.DUMMYFUNCTION("""COMPUTED_VALUE"""),"ENG")</f>
        <v>ENG</v>
      </c>
      <c r="C3529" s="6" t="str">
        <f>IFERROR(__xludf.DUMMYFUNCTION("""COMPUTED_VALUE"""),"S-51937-00")</f>
        <v>S-51937-00</v>
      </c>
      <c r="D3529" s="6" t="str">
        <f>IFERROR(__xludf.DUMMYFUNCTION("""COMPUTED_VALUE"""),"Lid for Desicator, with Stopcock, dor ID 200mm; Normax; 4906324; pieces")</f>
        <v>Lid for Desicator, with Stopcock, dor ID 200mm; Normax; 4906324; pieces</v>
      </c>
      <c r="E3529" s="6">
        <f>IFERROR(__xludf.DUMMYFUNCTION("""COMPUTED_VALUE"""),1.0)</f>
        <v>1</v>
      </c>
      <c r="F3529" s="6">
        <f>IFERROR(__xludf.DUMMYFUNCTION("""COMPUTED_VALUE"""),1.0)</f>
        <v>1</v>
      </c>
      <c r="G3529" s="6">
        <f>IFERROR(__xludf.DUMMYFUNCTION("""COMPUTED_VALUE"""),0.0)</f>
        <v>0</v>
      </c>
      <c r="H3529" s="6" t="str">
        <f>IFERROR(__xludf.DUMMYFUNCTION("""COMPUTED_VALUE"""),"Pcs")</f>
        <v>Pcs</v>
      </c>
      <c r="I3529" s="6" t="str">
        <f>IFERROR(__xludf.DUMMYFUNCTION("""COMPUTED_VALUE"""),"MFH")</f>
        <v>MFH</v>
      </c>
      <c r="J3529" s="6" t="str">
        <f>IFERROR(__xludf.DUMMYFUNCTION("""COMPUTED_VALUE"""),"Labelling")</f>
        <v>Labelling</v>
      </c>
      <c r="K3529" s="6" t="str">
        <f>IFERROR(__xludf.DUMMYFUNCTION("""COMPUTED_VALUE"""),"SPR/04/26/020")</f>
        <v>SPR/04/26/020</v>
      </c>
      <c r="L3529" s="13">
        <f>IFERROR(__xludf.DUMMYFUNCTION("""COMPUTED_VALUE"""),46142.0)</f>
        <v>46142</v>
      </c>
    </row>
    <row r="3530">
      <c r="A3530" s="6" t="str">
        <f>IFERROR(__xludf.DUMMYFUNCTION("""COMPUTED_VALUE"""),"BDU")</f>
        <v>BDU</v>
      </c>
      <c r="B3530" s="6" t="str">
        <f>IFERROR(__xludf.DUMMYFUNCTION("""COMPUTED_VALUE"""),"ENG")</f>
        <v>ENG</v>
      </c>
      <c r="C3530" s="6" t="str">
        <f>IFERROR(__xludf.DUMMYFUNCTION("""COMPUTED_VALUE"""),"P-11694-00")</f>
        <v>P-11694-00</v>
      </c>
      <c r="D3530" s="6" t="str">
        <f>IFERROR(__xludf.DUMMYFUNCTION("""COMPUTED_VALUE"""),"General - Mata Gerinda 4inch; No Brand; -; 1 pcs")</f>
        <v>General - Mata Gerinda 4inch; No Brand; -; 1 pcs</v>
      </c>
      <c r="E3530" s="6">
        <f>IFERROR(__xludf.DUMMYFUNCTION("""COMPUTED_VALUE"""),1.0)</f>
        <v>1</v>
      </c>
      <c r="F3530" s="6">
        <f>IFERROR(__xludf.DUMMYFUNCTION("""COMPUTED_VALUE"""),1.0)</f>
        <v>1</v>
      </c>
      <c r="G3530" s="6">
        <f>IFERROR(__xludf.DUMMYFUNCTION("""COMPUTED_VALUE"""),0.0)</f>
        <v>0</v>
      </c>
      <c r="H3530" s="6" t="str">
        <f>IFERROR(__xludf.DUMMYFUNCTION("""COMPUTED_VALUE"""),"Pcs")</f>
        <v>Pcs</v>
      </c>
      <c r="I3530" s="6" t="str">
        <f>IFERROR(__xludf.DUMMYFUNCTION("""COMPUTED_VALUE"""),"MFH")</f>
        <v>MFH</v>
      </c>
      <c r="J3530" s="6" t="str">
        <f>IFERROR(__xludf.DUMMYFUNCTION("""COMPUTED_VALUE"""),"WWTP")</f>
        <v>WWTP</v>
      </c>
      <c r="K3530" s="6" t="str">
        <f>IFERROR(__xludf.DUMMYFUNCTION("""COMPUTED_VALUE"""),"SPR/04/26/021")</f>
        <v>SPR/04/26/021</v>
      </c>
      <c r="L3530" s="13">
        <f>IFERROR(__xludf.DUMMYFUNCTION("""COMPUTED_VALUE"""),46142.0)</f>
        <v>46142</v>
      </c>
    </row>
    <row r="3531">
      <c r="A3531" s="6" t="str">
        <f>IFERROR(__xludf.DUMMYFUNCTION("""COMPUTED_VALUE"""),"BDU")</f>
        <v>BDU</v>
      </c>
      <c r="B3531" s="6" t="str">
        <f>IFERROR(__xludf.DUMMYFUNCTION("""COMPUTED_VALUE"""),"ENG")</f>
        <v>ENG</v>
      </c>
      <c r="C3531" s="6" t="str">
        <f>IFERROR(__xludf.DUMMYFUNCTION("""COMPUTED_VALUE"""),"P-53262-00")</f>
        <v>P-53262-00</v>
      </c>
      <c r="D3531" s="6" t="str">
        <f>IFERROR(__xludf.DUMMYFUNCTION("""COMPUTED_VALUE"""),"General - Din Rail MCB; No Brand; -; 1 pc")</f>
        <v>General - Din Rail MCB; No Brand; -; 1 pc</v>
      </c>
      <c r="E3531" s="6">
        <f>IFERROR(__xludf.DUMMYFUNCTION("""COMPUTED_VALUE"""),15.0)</f>
        <v>15</v>
      </c>
      <c r="F3531" s="6">
        <f>IFERROR(__xludf.DUMMYFUNCTION("""COMPUTED_VALUE"""),15.0)</f>
        <v>15</v>
      </c>
      <c r="G3531" s="6">
        <f>IFERROR(__xludf.DUMMYFUNCTION("""COMPUTED_VALUE"""),0.0)</f>
        <v>0</v>
      </c>
      <c r="H3531" s="6" t="str">
        <f>IFERROR(__xludf.DUMMYFUNCTION("""COMPUTED_VALUE"""),"Pcs")</f>
        <v>Pcs</v>
      </c>
      <c r="I3531" s="6" t="str">
        <f>IFERROR(__xludf.DUMMYFUNCTION("""COMPUTED_VALUE"""),"MFH")</f>
        <v>MFH</v>
      </c>
      <c r="J3531" s="6" t="str">
        <f>IFERROR(__xludf.DUMMYFUNCTION("""COMPUTED_VALUE"""),"WWTP")</f>
        <v>WWTP</v>
      </c>
      <c r="K3531" s="6" t="str">
        <f>IFERROR(__xludf.DUMMYFUNCTION("""COMPUTED_VALUE"""),"SPR/04/26/021")</f>
        <v>SPR/04/26/021</v>
      </c>
      <c r="L3531" s="13">
        <f>IFERROR(__xludf.DUMMYFUNCTION("""COMPUTED_VALUE"""),46142.0)</f>
        <v>46142</v>
      </c>
    </row>
    <row r="3532">
      <c r="A3532" s="6" t="str">
        <f>IFERROR(__xludf.DUMMYFUNCTION("""COMPUTED_VALUE"""),"SFH")</f>
        <v>SFH</v>
      </c>
      <c r="B3532" s="6" t="str">
        <f>IFERROR(__xludf.DUMMYFUNCTION("""COMPUTED_VALUE"""),"ENG")</f>
        <v>ENG</v>
      </c>
      <c r="C3532" s="6" t="str">
        <f>IFERROR(__xludf.DUMMYFUNCTION("""COMPUTED_VALUE"""),"P-51560-00")</f>
        <v>P-51560-00</v>
      </c>
      <c r="D3532" s="6" t="str">
        <f>IFERROR(__xludf.DUMMYFUNCTION("""COMPUTED_VALUE"""),"General - Lampu TL T5 28W White; Philips; -; 1 unt")</f>
        <v>General - Lampu TL T5 28W White; Philips; -; 1 unt</v>
      </c>
      <c r="E3532" s="6">
        <f>IFERROR(__xludf.DUMMYFUNCTION("""COMPUTED_VALUE"""),8.0)</f>
        <v>8</v>
      </c>
      <c r="F3532" s="6">
        <f>IFERROR(__xludf.DUMMYFUNCTION("""COMPUTED_VALUE"""),8.0)</f>
        <v>8</v>
      </c>
      <c r="G3532" s="6">
        <f>IFERROR(__xludf.DUMMYFUNCTION("""COMPUTED_VALUE"""),0.0)</f>
        <v>0</v>
      </c>
      <c r="H3532" s="6" t="str">
        <f>IFERROR(__xludf.DUMMYFUNCTION("""COMPUTED_VALUE"""),"Pcs")</f>
        <v>Pcs</v>
      </c>
      <c r="I3532" s="6" t="str">
        <f>IFERROR(__xludf.DUMMYFUNCTION("""COMPUTED_VALUE"""),"MFH")</f>
        <v>MFH</v>
      </c>
      <c r="J3532" s="6" t="str">
        <f>IFERROR(__xludf.DUMMYFUNCTION("""COMPUTED_VALUE"""),"Building")</f>
        <v>Building</v>
      </c>
      <c r="K3532" s="6" t="str">
        <f>IFERROR(__xludf.DUMMYFUNCTION("""COMPUTED_VALUE"""),"SPR/04/26/022")</f>
        <v>SPR/04/26/022</v>
      </c>
      <c r="L3532" s="13">
        <f>IFERROR(__xludf.DUMMYFUNCTION("""COMPUTED_VALUE"""),46142.0)</f>
        <v>46142</v>
      </c>
    </row>
    <row r="3533">
      <c r="A3533" s="6" t="str">
        <f>IFERROR(__xludf.DUMMYFUNCTION("""COMPUTED_VALUE"""),"SFH")</f>
        <v>SFH</v>
      </c>
      <c r="B3533" s="6" t="str">
        <f>IFERROR(__xludf.DUMMYFUNCTION("""COMPUTED_VALUE"""),"ENG")</f>
        <v>ENG</v>
      </c>
      <c r="C3533" s="6" t="str">
        <f>IFERROR(__xludf.DUMMYFUNCTION("""COMPUTED_VALUE"""),"P-53174-00")</f>
        <v>P-53174-00</v>
      </c>
      <c r="D3533" s="6" t="str">
        <f>IFERROR(__xludf.DUMMYFUNCTION("""COMPUTED_VALUE"""),"Ballast Electronic EB-C 114 TL5, 1x14W; Phillips; ;")</f>
        <v>Ballast Electronic EB-C 114 TL5, 1x14W; Phillips; ;</v>
      </c>
      <c r="E3533" s="6">
        <f>IFERROR(__xludf.DUMMYFUNCTION("""COMPUTED_VALUE"""),3.0)</f>
        <v>3</v>
      </c>
      <c r="F3533" s="6">
        <f>IFERROR(__xludf.DUMMYFUNCTION("""COMPUTED_VALUE"""),3.0)</f>
        <v>3</v>
      </c>
      <c r="G3533" s="6">
        <f>IFERROR(__xludf.DUMMYFUNCTION("""COMPUTED_VALUE"""),0.0)</f>
        <v>0</v>
      </c>
      <c r="H3533" s="6" t="str">
        <f>IFERROR(__xludf.DUMMYFUNCTION("""COMPUTED_VALUE"""),"Pcs")</f>
        <v>Pcs</v>
      </c>
      <c r="I3533" s="6" t="str">
        <f>IFERROR(__xludf.DUMMYFUNCTION("""COMPUTED_VALUE"""),"MFH")</f>
        <v>MFH</v>
      </c>
      <c r="J3533" s="6" t="str">
        <f>IFERROR(__xludf.DUMMYFUNCTION("""COMPUTED_VALUE"""),"Building")</f>
        <v>Building</v>
      </c>
      <c r="K3533" s="6" t="str">
        <f>IFERROR(__xludf.DUMMYFUNCTION("""COMPUTED_VALUE"""),"SPR/04/26/022")</f>
        <v>SPR/04/26/022</v>
      </c>
      <c r="L3533" s="13">
        <f>IFERROR(__xludf.DUMMYFUNCTION("""COMPUTED_VALUE"""),46142.0)</f>
        <v>46142</v>
      </c>
    </row>
    <row r="3534">
      <c r="A3534" s="6" t="str">
        <f>IFERROR(__xludf.DUMMYFUNCTION("""COMPUTED_VALUE"""),"BDU")</f>
        <v>BDU</v>
      </c>
      <c r="B3534" s="6" t="str">
        <f>IFERROR(__xludf.DUMMYFUNCTION("""COMPUTED_VALUE"""),"ENG")</f>
        <v>ENG</v>
      </c>
      <c r="C3534" s="6" t="str">
        <f>IFERROR(__xludf.DUMMYFUNCTION("""COMPUTED_VALUE"""),"O-50863-00")</f>
        <v>O-50863-00</v>
      </c>
      <c r="D3534" s="6" t="str">
        <f>IFERROR(__xludf.DUMMYFUNCTION("""COMPUTED_VALUE"""),"General - Relay 220-240 VAC; Omron; MY4N; 1 Pc")</f>
        <v>General - Relay 220-240 VAC; Omron; MY4N; 1 Pc</v>
      </c>
      <c r="E3534" s="6">
        <f>IFERROR(__xludf.DUMMYFUNCTION("""COMPUTED_VALUE"""),6.0)</f>
        <v>6</v>
      </c>
      <c r="F3534" s="6">
        <f>IFERROR(__xludf.DUMMYFUNCTION("""COMPUTED_VALUE"""),6.0)</f>
        <v>6</v>
      </c>
      <c r="G3534" s="6">
        <f>IFERROR(__xludf.DUMMYFUNCTION("""COMPUTED_VALUE"""),0.0)</f>
        <v>0</v>
      </c>
      <c r="H3534" s="6" t="str">
        <f>IFERROR(__xludf.DUMMYFUNCTION("""COMPUTED_VALUE"""),"Pcs")</f>
        <v>Pcs</v>
      </c>
      <c r="I3534" s="6" t="str">
        <f>IFERROR(__xludf.DUMMYFUNCTION("""COMPUTED_VALUE"""),"MFH")</f>
        <v>MFH</v>
      </c>
      <c r="J3534" s="6" t="str">
        <f>IFERROR(__xludf.DUMMYFUNCTION("""COMPUTED_VALUE"""),"WWTP")</f>
        <v>WWTP</v>
      </c>
      <c r="K3534" s="6" t="str">
        <f>IFERROR(__xludf.DUMMYFUNCTION("""COMPUTED_VALUE"""),"SPR/04/26/023")</f>
        <v>SPR/04/26/023</v>
      </c>
      <c r="L3534" s="13">
        <f>IFERROR(__xludf.DUMMYFUNCTION("""COMPUTED_VALUE"""),46142.0)</f>
        <v>46142</v>
      </c>
    </row>
    <row r="3535">
      <c r="A3535" s="6" t="str">
        <f>IFERROR(__xludf.DUMMYFUNCTION("""COMPUTED_VALUE"""),"BDU")</f>
        <v>BDU</v>
      </c>
      <c r="B3535" s="6" t="str">
        <f>IFERROR(__xludf.DUMMYFUNCTION("""COMPUTED_VALUE"""),"ENG")</f>
        <v>ENG</v>
      </c>
      <c r="C3535" s="6" t="str">
        <f>IFERROR(__xludf.DUMMYFUNCTION("""COMPUTED_VALUE"""),"P-54334-00")</f>
        <v>P-54334-00</v>
      </c>
      <c r="D3535" s="6" t="str">
        <f>IFERROR(__xludf.DUMMYFUNCTION("""COMPUTED_VALUE"""),"General - Socket Relay PYFZ-14-E; Omron; -; 1 pc")</f>
        <v>General - Socket Relay PYFZ-14-E; Omron; -; 1 pc</v>
      </c>
      <c r="E3535" s="6">
        <f>IFERROR(__xludf.DUMMYFUNCTION("""COMPUTED_VALUE"""),6.0)</f>
        <v>6</v>
      </c>
      <c r="F3535" s="6">
        <f>IFERROR(__xludf.DUMMYFUNCTION("""COMPUTED_VALUE"""),6.0)</f>
        <v>6</v>
      </c>
      <c r="G3535" s="6">
        <f>IFERROR(__xludf.DUMMYFUNCTION("""COMPUTED_VALUE"""),0.0)</f>
        <v>0</v>
      </c>
      <c r="H3535" s="6" t="str">
        <f>IFERROR(__xludf.DUMMYFUNCTION("""COMPUTED_VALUE"""),"Pcs")</f>
        <v>Pcs</v>
      </c>
      <c r="I3535" s="6" t="str">
        <f>IFERROR(__xludf.DUMMYFUNCTION("""COMPUTED_VALUE"""),"MFH")</f>
        <v>MFH</v>
      </c>
      <c r="J3535" s="6" t="str">
        <f>IFERROR(__xludf.DUMMYFUNCTION("""COMPUTED_VALUE"""),"WWTP")</f>
        <v>WWTP</v>
      </c>
      <c r="K3535" s="6" t="str">
        <f>IFERROR(__xludf.DUMMYFUNCTION("""COMPUTED_VALUE"""),"SPR/04/26/023")</f>
        <v>SPR/04/26/023</v>
      </c>
      <c r="L3535" s="13">
        <f>IFERROR(__xludf.DUMMYFUNCTION("""COMPUTED_VALUE"""),46142.0)</f>
        <v>46142</v>
      </c>
    </row>
    <row r="3536">
      <c r="A3536" s="6" t="str">
        <f>IFERROR(__xludf.DUMMYFUNCTION("""COMPUTED_VALUE"""),"BDU")</f>
        <v>BDU</v>
      </c>
      <c r="B3536" s="6" t="str">
        <f>IFERROR(__xludf.DUMMYFUNCTION("""COMPUTED_VALUE"""),"ENG")</f>
        <v>ENG</v>
      </c>
      <c r="C3536" s="6" t="str">
        <f>IFERROR(__xludf.DUMMYFUNCTION("""COMPUTED_VALUE"""),"P-50427-00")</f>
        <v>P-50427-00</v>
      </c>
      <c r="D3536" s="6" t="str">
        <f>IFERROR(__xludf.DUMMYFUNCTION("""COMPUTED_VALUE"""),"Pilot Lamps / Red / 220 VAC / AD22-221DS / AXLE")</f>
        <v>Pilot Lamps / Red / 220 VAC / AD22-221DS / AXLE</v>
      </c>
      <c r="E3536" s="6">
        <f>IFERROR(__xludf.DUMMYFUNCTION("""COMPUTED_VALUE"""),1.0)</f>
        <v>1</v>
      </c>
      <c r="F3536" s="6">
        <f>IFERROR(__xludf.DUMMYFUNCTION("""COMPUTED_VALUE"""),1.0)</f>
        <v>1</v>
      </c>
      <c r="G3536" s="6">
        <f>IFERROR(__xludf.DUMMYFUNCTION("""COMPUTED_VALUE"""),0.0)</f>
        <v>0</v>
      </c>
      <c r="H3536" s="6" t="str">
        <f>IFERROR(__xludf.DUMMYFUNCTION("""COMPUTED_VALUE"""),"Pcs")</f>
        <v>Pcs</v>
      </c>
      <c r="I3536" s="6" t="str">
        <f>IFERROR(__xludf.DUMMYFUNCTION("""COMPUTED_VALUE"""),"MFH")</f>
        <v>MFH</v>
      </c>
      <c r="J3536" s="6" t="str">
        <f>IFERROR(__xludf.DUMMYFUNCTION("""COMPUTED_VALUE"""),"WWTP")</f>
        <v>WWTP</v>
      </c>
      <c r="K3536" s="6" t="str">
        <f>IFERROR(__xludf.DUMMYFUNCTION("""COMPUTED_VALUE"""),"SPR/04/26/023")</f>
        <v>SPR/04/26/023</v>
      </c>
      <c r="L3536" s="13">
        <f>IFERROR(__xludf.DUMMYFUNCTION("""COMPUTED_VALUE"""),46142.0)</f>
        <v>46142</v>
      </c>
    </row>
    <row r="3537">
      <c r="A3537" s="6" t="str">
        <f>IFERROR(__xludf.DUMMYFUNCTION("""COMPUTED_VALUE"""),"BDU")</f>
        <v>BDU</v>
      </c>
      <c r="B3537" s="6" t="str">
        <f>IFERROR(__xludf.DUMMYFUNCTION("""COMPUTED_VALUE"""),"ENG")</f>
        <v>ENG</v>
      </c>
      <c r="C3537" s="6" t="str">
        <f>IFERROR(__xludf.DUMMYFUNCTION("""COMPUTED_VALUE"""),"P-53411-00")</f>
        <v>P-53411-00</v>
      </c>
      <c r="D3537" s="6" t="str">
        <f>IFERROR(__xludf.DUMMYFUNCTION("""COMPUTED_VALUE"""),"General - Power Supply ECO 1-PH 24VDC 5A; Wago; 787-722; 1 pc")</f>
        <v>General - Power Supply ECO 1-PH 24VDC 5A; Wago; 787-722; 1 pc</v>
      </c>
      <c r="E3537" s="6">
        <f>IFERROR(__xludf.DUMMYFUNCTION("""COMPUTED_VALUE"""),1.0)</f>
        <v>1</v>
      </c>
      <c r="F3537" s="6">
        <f>IFERROR(__xludf.DUMMYFUNCTION("""COMPUTED_VALUE"""),1.0)</f>
        <v>1</v>
      </c>
      <c r="G3537" s="6">
        <f>IFERROR(__xludf.DUMMYFUNCTION("""COMPUTED_VALUE"""),0.0)</f>
        <v>0</v>
      </c>
      <c r="H3537" s="6" t="str">
        <f>IFERROR(__xludf.DUMMYFUNCTION("""COMPUTED_VALUE"""),"Pcs")</f>
        <v>Pcs</v>
      </c>
      <c r="I3537" s="6" t="str">
        <f>IFERROR(__xludf.DUMMYFUNCTION("""COMPUTED_VALUE"""),"MFH")</f>
        <v>MFH</v>
      </c>
      <c r="J3537" s="6" t="str">
        <f>IFERROR(__xludf.DUMMYFUNCTION("""COMPUTED_VALUE"""),"Mixing ")</f>
        <v>Mixing </v>
      </c>
      <c r="K3537" s="6" t="str">
        <f>IFERROR(__xludf.DUMMYFUNCTION("""COMPUTED_VALUE"""),"SPR/04/26/024")</f>
        <v>SPR/04/26/024</v>
      </c>
      <c r="L3537" s="13">
        <f>IFERROR(__xludf.DUMMYFUNCTION("""COMPUTED_VALUE"""),46142.0)</f>
        <v>46142</v>
      </c>
    </row>
    <row r="3538">
      <c r="A3538" s="6" t="str">
        <f>IFERROR(__xludf.DUMMYFUNCTION("""COMPUTED_VALUE"""),"ANO")</f>
        <v>ANO</v>
      </c>
      <c r="B3538" s="6" t="str">
        <f>IFERROR(__xludf.DUMMYFUNCTION("""COMPUTED_VALUE"""),"ENG")</f>
        <v>ENG</v>
      </c>
      <c r="C3538" s="6" t="str">
        <f>IFERROR(__xludf.DUMMYFUNCTION("""COMPUTED_VALUE"""),"P-51560-00")</f>
        <v>P-51560-00</v>
      </c>
      <c r="D3538" s="6" t="str">
        <f>IFERROR(__xludf.DUMMYFUNCTION("""COMPUTED_VALUE"""),"General - Lampu TL T5 28W White; Philips; -; 1 unt")</f>
        <v>General - Lampu TL T5 28W White; Philips; -; 1 unt</v>
      </c>
      <c r="E3538" s="6">
        <f>IFERROR(__xludf.DUMMYFUNCTION("""COMPUTED_VALUE"""),4.0)</f>
        <v>4</v>
      </c>
      <c r="F3538" s="6">
        <f>IFERROR(__xludf.DUMMYFUNCTION("""COMPUTED_VALUE"""),4.0)</f>
        <v>4</v>
      </c>
      <c r="G3538" s="6">
        <f>IFERROR(__xludf.DUMMYFUNCTION("""COMPUTED_VALUE"""),0.0)</f>
        <v>0</v>
      </c>
      <c r="H3538" s="6" t="str">
        <f>IFERROR(__xludf.DUMMYFUNCTION("""COMPUTED_VALUE"""),"Pcs")</f>
        <v>Pcs</v>
      </c>
      <c r="I3538" s="6" t="str">
        <f>IFERROR(__xludf.DUMMYFUNCTION("""COMPUTED_VALUE"""),"MFH")</f>
        <v>MFH</v>
      </c>
      <c r="J3538" s="6" t="str">
        <f>IFERROR(__xludf.DUMMYFUNCTION("""COMPUTED_VALUE"""),"Building")</f>
        <v>Building</v>
      </c>
      <c r="K3538" s="6" t="str">
        <f>IFERROR(__xludf.DUMMYFUNCTION("""COMPUTED_VALUE"""),"SPR/04/26/025")</f>
        <v>SPR/04/26/025</v>
      </c>
      <c r="L3538" s="13">
        <f>IFERROR(__xludf.DUMMYFUNCTION("""COMPUTED_VALUE"""),46142.0)</f>
        <v>46142</v>
      </c>
    </row>
    <row r="3539">
      <c r="A3539" s="6" t="str">
        <f>IFERROR(__xludf.DUMMYFUNCTION("""COMPUTED_VALUE"""),"MOB")</f>
        <v>MOB</v>
      </c>
      <c r="B3539" s="6" t="str">
        <f>IFERROR(__xludf.DUMMYFUNCTION("""COMPUTED_VALUE"""),"ENG")</f>
        <v>ENG</v>
      </c>
      <c r="C3539" s="6" t="str">
        <f>IFERROR(__xludf.DUMMYFUNCTION("""COMPUTED_VALUE"""),"P-51560-00")</f>
        <v>P-51560-00</v>
      </c>
      <c r="D3539" s="6" t="str">
        <f>IFERROR(__xludf.DUMMYFUNCTION("""COMPUTED_VALUE"""),"General - Lampu TL T5 28W White; Philips; -; 1 unt")</f>
        <v>General - Lampu TL T5 28W White; Philips; -; 1 unt</v>
      </c>
      <c r="E3539" s="6">
        <f>IFERROR(__xludf.DUMMYFUNCTION("""COMPUTED_VALUE"""),2.0)</f>
        <v>2</v>
      </c>
      <c r="F3539" s="6">
        <f>IFERROR(__xludf.DUMMYFUNCTION("""COMPUTED_VALUE"""),2.0)</f>
        <v>2</v>
      </c>
      <c r="G3539" s="6">
        <f>IFERROR(__xludf.DUMMYFUNCTION("""COMPUTED_VALUE"""),0.0)</f>
        <v>0</v>
      </c>
      <c r="H3539" s="6" t="str">
        <f>IFERROR(__xludf.DUMMYFUNCTION("""COMPUTED_VALUE"""),"Pcs")</f>
        <v>Pcs</v>
      </c>
      <c r="I3539" s="6" t="str">
        <f>IFERROR(__xludf.DUMMYFUNCTION("""COMPUTED_VALUE"""),"MFH")</f>
        <v>MFH</v>
      </c>
      <c r="J3539" s="6" t="str">
        <f>IFERROR(__xludf.DUMMYFUNCTION("""COMPUTED_VALUE"""),"Building")</f>
        <v>Building</v>
      </c>
      <c r="K3539" s="6" t="str">
        <f>IFERROR(__xludf.DUMMYFUNCTION("""COMPUTED_VALUE"""),"SPR/04/26/026")</f>
        <v>SPR/04/26/026</v>
      </c>
      <c r="L3539" s="13">
        <f>IFERROR(__xludf.DUMMYFUNCTION("""COMPUTED_VALUE"""),46142.0)</f>
        <v>46142</v>
      </c>
    </row>
    <row r="3540">
      <c r="A3540" s="6" t="str">
        <f>IFERROR(__xludf.DUMMYFUNCTION("""COMPUTED_VALUE"""),"MOB")</f>
        <v>MOB</v>
      </c>
      <c r="B3540" s="6" t="str">
        <f>IFERROR(__xludf.DUMMYFUNCTION("""COMPUTED_VALUE"""),"ENG")</f>
        <v>ENG</v>
      </c>
      <c r="C3540" s="6" t="str">
        <f>IFERROR(__xludf.DUMMYFUNCTION("""COMPUTED_VALUE"""),"P-18965-00")</f>
        <v>P-18965-00</v>
      </c>
      <c r="D3540" s="6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E3540" s="6">
        <f>IFERROR(__xludf.DUMMYFUNCTION("""COMPUTED_VALUE"""),1.0)</f>
        <v>1</v>
      </c>
      <c r="F3540" s="6">
        <f>IFERROR(__xludf.DUMMYFUNCTION("""COMPUTED_VALUE"""),1.0)</f>
        <v>1</v>
      </c>
      <c r="G3540" s="6">
        <f>IFERROR(__xludf.DUMMYFUNCTION("""COMPUTED_VALUE"""),0.0)</f>
        <v>0</v>
      </c>
      <c r="H3540" s="6" t="str">
        <f>IFERROR(__xludf.DUMMYFUNCTION("""COMPUTED_VALUE"""),"Pcs")</f>
        <v>Pcs</v>
      </c>
      <c r="I3540" s="6" t="str">
        <f>IFERROR(__xludf.DUMMYFUNCTION("""COMPUTED_VALUE"""),"MFH")</f>
        <v>MFH</v>
      </c>
      <c r="J3540" s="6" t="str">
        <f>IFERROR(__xludf.DUMMYFUNCTION("""COMPUTED_VALUE"""),"FD")</f>
        <v>FD</v>
      </c>
      <c r="K3540" s="6" t="str">
        <f>IFERROR(__xludf.DUMMYFUNCTION("""COMPUTED_VALUE"""),"SPR/04/26/026")</f>
        <v>SPR/04/26/026</v>
      </c>
      <c r="L3540" s="13">
        <f>IFERROR(__xludf.DUMMYFUNCTION("""COMPUTED_VALUE"""),46142.0)</f>
        <v>46142</v>
      </c>
    </row>
    <row r="3541">
      <c r="A3541" s="6" t="str">
        <f>IFERROR(__xludf.DUMMYFUNCTION("""COMPUTED_VALUE"""),"MOB")</f>
        <v>MOB</v>
      </c>
      <c r="B3541" s="6" t="str">
        <f>IFERROR(__xludf.DUMMYFUNCTION("""COMPUTED_VALUE"""),"ENG")</f>
        <v>ENG</v>
      </c>
      <c r="C3541" s="6" t="str">
        <f>IFERROR(__xludf.DUMMYFUNCTION("""COMPUTED_VALUE"""),"P-54306-00")</f>
        <v>P-54306-00</v>
      </c>
      <c r="D3541" s="6" t="str">
        <f>IFERROR(__xludf.DUMMYFUNCTION("""COMPUTED_VALUE"""),"General - Kapacitor AC 40+2uF; Philips; 3PN15960-4; 1 pc")</f>
        <v>General - Kapacitor AC 40+2uF; Philips; 3PN15960-4; 1 pc</v>
      </c>
      <c r="E3541" s="6">
        <f>IFERROR(__xludf.DUMMYFUNCTION("""COMPUTED_VALUE"""),1.0)</f>
        <v>1</v>
      </c>
      <c r="F3541" s="6">
        <f>IFERROR(__xludf.DUMMYFUNCTION("""COMPUTED_VALUE"""),1.0)</f>
        <v>1</v>
      </c>
      <c r="G3541" s="6">
        <f>IFERROR(__xludf.DUMMYFUNCTION("""COMPUTED_VALUE"""),0.0)</f>
        <v>0</v>
      </c>
      <c r="H3541" s="6" t="str">
        <f>IFERROR(__xludf.DUMMYFUNCTION("""COMPUTED_VALUE"""),"Pcs")</f>
        <v>Pcs</v>
      </c>
      <c r="I3541" s="6" t="str">
        <f>IFERROR(__xludf.DUMMYFUNCTION("""COMPUTED_VALUE"""),"MFH")</f>
        <v>MFH</v>
      </c>
      <c r="J3541" s="6" t="str">
        <f>IFERROR(__xludf.DUMMYFUNCTION("""COMPUTED_VALUE"""),"-")</f>
        <v>-</v>
      </c>
      <c r="K3541" s="6" t="str">
        <f>IFERROR(__xludf.DUMMYFUNCTION("""COMPUTED_VALUE"""),"SPR/04/26/026")</f>
        <v>SPR/04/26/026</v>
      </c>
      <c r="L3541" s="13">
        <f>IFERROR(__xludf.DUMMYFUNCTION("""COMPUTED_VALUE"""),46142.0)</f>
        <v>46142</v>
      </c>
    </row>
    <row r="3542">
      <c r="A3542" s="6" t="str">
        <f>IFERROR(__xludf.DUMMYFUNCTION("""COMPUTED_VALUE"""),"MOB")</f>
        <v>MOB</v>
      </c>
      <c r="B3542" s="6" t="str">
        <f>IFERROR(__xludf.DUMMYFUNCTION("""COMPUTED_VALUE"""),"ENG")</f>
        <v>ENG</v>
      </c>
      <c r="C3542" s="6" t="str">
        <f>IFERROR(__xludf.DUMMYFUNCTION("""COMPUTED_VALUE"""),"Q-12060-00")</f>
        <v>Q-12060-00</v>
      </c>
      <c r="D3542" s="6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E3542" s="6">
        <f>IFERROR(__xludf.DUMMYFUNCTION("""COMPUTED_VALUE"""),1.0)</f>
        <v>1</v>
      </c>
      <c r="F3542" s="6">
        <f>IFERROR(__xludf.DUMMYFUNCTION("""COMPUTED_VALUE"""),1.0)</f>
        <v>1</v>
      </c>
      <c r="G3542" s="6">
        <f>IFERROR(__xludf.DUMMYFUNCTION("""COMPUTED_VALUE"""),0.0)</f>
        <v>0</v>
      </c>
      <c r="H3542" s="6" t="str">
        <f>IFERROR(__xludf.DUMMYFUNCTION("""COMPUTED_VALUE"""),"Pcs")</f>
        <v>Pcs</v>
      </c>
      <c r="I3542" s="6" t="str">
        <f>IFERROR(__xludf.DUMMYFUNCTION("""COMPUTED_VALUE"""),"MFH")</f>
        <v>MFH</v>
      </c>
      <c r="J3542" s="6" t="str">
        <f>IFERROR(__xludf.DUMMYFUNCTION("""COMPUTED_VALUE"""),"-")</f>
        <v>-</v>
      </c>
      <c r="K3542" s="6" t="str">
        <f>IFERROR(__xludf.DUMMYFUNCTION("""COMPUTED_VALUE"""),"SPR/04/26/027")</f>
        <v>SPR/04/26/027</v>
      </c>
      <c r="L3542" s="13">
        <f>IFERROR(__xludf.DUMMYFUNCTION("""COMPUTED_VALUE"""),46142.0)</f>
        <v>46142</v>
      </c>
    </row>
    <row r="3543">
      <c r="A3543" s="6" t="str">
        <f>IFERROR(__xludf.DUMMYFUNCTION("""COMPUTED_VALUE"""),"NDS")</f>
        <v>NDS</v>
      </c>
      <c r="B3543" s="6" t="str">
        <f>IFERROR(__xludf.DUMMYFUNCTION("""COMPUTED_VALUE"""),"ENG")</f>
        <v>ENG</v>
      </c>
      <c r="C3543" s="6" t="str">
        <f>IFERROR(__xludf.DUMMYFUNCTION("""COMPUTED_VALUE"""),"O-20487-00")</f>
        <v>O-20487-00</v>
      </c>
      <c r="D3543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543" s="6">
        <f>IFERROR(__xludf.DUMMYFUNCTION("""COMPUTED_VALUE"""),1.0)</f>
        <v>1</v>
      </c>
      <c r="F3543" s="6">
        <f>IFERROR(__xludf.DUMMYFUNCTION("""COMPUTED_VALUE"""),1.0)</f>
        <v>1</v>
      </c>
      <c r="G3543" s="6">
        <f>IFERROR(__xludf.DUMMYFUNCTION("""COMPUTED_VALUE"""),0.0)</f>
        <v>0</v>
      </c>
      <c r="H3543" s="6" t="str">
        <f>IFERROR(__xludf.DUMMYFUNCTION("""COMPUTED_VALUE"""),"Pcs")</f>
        <v>Pcs</v>
      </c>
      <c r="I3543" s="6" t="str">
        <f>IFERROR(__xludf.DUMMYFUNCTION("""COMPUTED_VALUE"""),"MFH")</f>
        <v>MFH</v>
      </c>
      <c r="J3543" s="6" t="str">
        <f>IFERROR(__xludf.DUMMYFUNCTION("""COMPUTED_VALUE"""),"-")</f>
        <v>-</v>
      </c>
      <c r="K3543" s="6" t="str">
        <f>IFERROR(__xludf.DUMMYFUNCTION("""COMPUTED_VALUE"""),"SPR/04/26/028")</f>
        <v>SPR/04/26/028</v>
      </c>
      <c r="L3543" s="13">
        <f>IFERROR(__xludf.DUMMYFUNCTION("""COMPUTED_VALUE"""),46142.0)</f>
        <v>46142</v>
      </c>
    </row>
    <row r="3544">
      <c r="A3544" s="6" t="str">
        <f>IFERROR(__xludf.DUMMYFUNCTION("""COMPUTED_VALUE"""),"ERA")</f>
        <v>ERA</v>
      </c>
      <c r="B3544" s="6" t="str">
        <f>IFERROR(__xludf.DUMMYFUNCTION("""COMPUTED_VALUE"""),"ENG")</f>
        <v>ENG</v>
      </c>
      <c r="C3544" s="6" t="str">
        <f>IFERROR(__xludf.DUMMYFUNCTION("""COMPUTED_VALUE"""),"P-51027-00")</f>
        <v>P-51027-00</v>
      </c>
      <c r="D3544" s="6" t="str">
        <f>IFERROR(__xludf.DUMMYFUNCTION("""COMPUTED_VALUE"""),"General - IsoLasi Kabel Hitam 33 (19mm x 20mm x 0.177mm); Scotch; -; 1 Pcs")</f>
        <v>General - IsoLasi Kabel Hitam 33 (19mm x 20mm x 0.177mm); Scotch; -; 1 Pcs</v>
      </c>
      <c r="E3544" s="6">
        <f>IFERROR(__xludf.DUMMYFUNCTION("""COMPUTED_VALUE"""),1.0)</f>
        <v>1</v>
      </c>
      <c r="F3544" s="6">
        <f>IFERROR(__xludf.DUMMYFUNCTION("""COMPUTED_VALUE"""),1.0)</f>
        <v>1</v>
      </c>
      <c r="G3544" s="6">
        <f>IFERROR(__xludf.DUMMYFUNCTION("""COMPUTED_VALUE"""),0.0)</f>
        <v>0</v>
      </c>
      <c r="H3544" s="6" t="str">
        <f>IFERROR(__xludf.DUMMYFUNCTION("""COMPUTED_VALUE"""),"Pcs")</f>
        <v>Pcs</v>
      </c>
      <c r="I3544" s="6" t="str">
        <f>IFERROR(__xludf.DUMMYFUNCTION("""COMPUTED_VALUE"""),"MFH")</f>
        <v>MFH</v>
      </c>
      <c r="J3544" s="6" t="str">
        <f>IFERROR(__xludf.DUMMYFUNCTION("""COMPUTED_VALUE"""),"-")</f>
        <v>-</v>
      </c>
      <c r="K3544" s="6" t="str">
        <f>IFERROR(__xludf.DUMMYFUNCTION("""COMPUTED_VALUE"""),"SPR/04/26/029")</f>
        <v>SPR/04/26/029</v>
      </c>
      <c r="L3544" s="13">
        <f>IFERROR(__xludf.DUMMYFUNCTION("""COMPUTED_VALUE"""),46142.0)</f>
        <v>46142</v>
      </c>
    </row>
    <row r="3545">
      <c r="A3545" s="6" t="str">
        <f>IFERROR(__xludf.DUMMYFUNCTION("""COMPUTED_VALUE"""),"ERA")</f>
        <v>ERA</v>
      </c>
      <c r="B3545" s="6" t="str">
        <f>IFERROR(__xludf.DUMMYFUNCTION("""COMPUTED_VALUE"""),"ENG")</f>
        <v>ENG</v>
      </c>
      <c r="C3545" s="6" t="str">
        <f>IFERROR(__xludf.DUMMYFUNCTION("""COMPUTED_VALUE"""),"O-54014-00")</f>
        <v>O-54014-00</v>
      </c>
      <c r="D3545" s="6" t="str">
        <f>IFERROR(__xludf.DUMMYFUNCTION("""COMPUTED_VALUE"""),"STEKER 1 PHASE, BROCO")</f>
        <v>STEKER 1 PHASE, BROCO</v>
      </c>
      <c r="E3545" s="6">
        <f>IFERROR(__xludf.DUMMYFUNCTION("""COMPUTED_VALUE"""),1.0)</f>
        <v>1</v>
      </c>
      <c r="F3545" s="6">
        <f>IFERROR(__xludf.DUMMYFUNCTION("""COMPUTED_VALUE"""),1.0)</f>
        <v>1</v>
      </c>
      <c r="G3545" s="6">
        <f>IFERROR(__xludf.DUMMYFUNCTION("""COMPUTED_VALUE"""),0.0)</f>
        <v>0</v>
      </c>
      <c r="H3545" s="6" t="str">
        <f>IFERROR(__xludf.DUMMYFUNCTION("""COMPUTED_VALUE"""),"Pcs")</f>
        <v>Pcs</v>
      </c>
      <c r="I3545" s="6" t="str">
        <f>IFERROR(__xludf.DUMMYFUNCTION("""COMPUTED_VALUE"""),"MFH")</f>
        <v>MFH</v>
      </c>
      <c r="J3545" s="6" t="str">
        <f>IFERROR(__xludf.DUMMYFUNCTION("""COMPUTED_VALUE"""),"-")</f>
        <v>-</v>
      </c>
      <c r="K3545" s="6" t="str">
        <f>IFERROR(__xludf.DUMMYFUNCTION("""COMPUTED_VALUE"""),"SPR/04/26/029")</f>
        <v>SPR/04/26/029</v>
      </c>
      <c r="L3545" s="13">
        <f>IFERROR(__xludf.DUMMYFUNCTION("""COMPUTED_VALUE"""),46142.0)</f>
        <v>46142</v>
      </c>
    </row>
    <row r="3546">
      <c r="A3546" s="6" t="str">
        <f>IFERROR(__xludf.DUMMYFUNCTION("""COMPUTED_VALUE"""),"NDS")</f>
        <v>NDS</v>
      </c>
      <c r="B3546" s="6" t="str">
        <f>IFERROR(__xludf.DUMMYFUNCTION("""COMPUTED_VALUE"""),"ENG")</f>
        <v>ENG</v>
      </c>
      <c r="C3546" s="6" t="str">
        <f>IFERROR(__xludf.DUMMYFUNCTION("""COMPUTED_VALUE"""),"O-19430-00")</f>
        <v>O-19430-00</v>
      </c>
      <c r="D3546" s="6" t="str">
        <f>IFERROR(__xludf.DUMMYFUNCTION("""COMPUTED_VALUE"""),"General - Baut L, SS, M5 x 20 mm + Mur + Ring; No Brand; -; 1 pcs")</f>
        <v>General - Baut L, SS, M5 x 20 mm + Mur + Ring; No Brand; -; 1 pcs</v>
      </c>
      <c r="E3546" s="6">
        <f>IFERROR(__xludf.DUMMYFUNCTION("""COMPUTED_VALUE"""),3.0)</f>
        <v>3</v>
      </c>
      <c r="F3546" s="6">
        <f>IFERROR(__xludf.DUMMYFUNCTION("""COMPUTED_VALUE"""),3.0)</f>
        <v>3</v>
      </c>
      <c r="G3546" s="6">
        <f>IFERROR(__xludf.DUMMYFUNCTION("""COMPUTED_VALUE"""),0.0)</f>
        <v>0</v>
      </c>
      <c r="H3546" s="6" t="str">
        <f>IFERROR(__xludf.DUMMYFUNCTION("""COMPUTED_VALUE"""),"Pcs")</f>
        <v>Pcs</v>
      </c>
      <c r="I3546" s="6" t="str">
        <f>IFERROR(__xludf.DUMMYFUNCTION("""COMPUTED_VALUE"""),"MFH")</f>
        <v>MFH</v>
      </c>
      <c r="J3546" s="6" t="str">
        <f>IFERROR(__xludf.DUMMYFUNCTION("""COMPUTED_VALUE"""),"-")</f>
        <v>-</v>
      </c>
      <c r="K3546" s="6" t="str">
        <f>IFERROR(__xludf.DUMMYFUNCTION("""COMPUTED_VALUE"""),"SPR/04/26/030")</f>
        <v>SPR/04/26/030</v>
      </c>
      <c r="L3546" s="13">
        <f>IFERROR(__xludf.DUMMYFUNCTION("""COMPUTED_VALUE"""),46142.0)</f>
        <v>46142</v>
      </c>
    </row>
    <row r="3547">
      <c r="A3547" s="6" t="str">
        <f>IFERROR(__xludf.DUMMYFUNCTION("""COMPUTED_VALUE"""),"KFF")</f>
        <v>KFF</v>
      </c>
      <c r="B3547" s="6" t="str">
        <f>IFERROR(__xludf.DUMMYFUNCTION("""COMPUTED_VALUE"""),"ENG")</f>
        <v>ENG</v>
      </c>
      <c r="C3547" s="6" t="str">
        <f>IFERROR(__xludf.DUMMYFUNCTION("""COMPUTED_VALUE"""),"P-12920-00")</f>
        <v>P-12920-00</v>
      </c>
      <c r="D3547" s="6" t="str">
        <f>IFERROR(__xludf.DUMMYFUNCTION("""COMPUTED_VALUE"""),"General - Tungsten Electrodes dia 1.6 mm; No Brand; -; 1 pc")</f>
        <v>General - Tungsten Electrodes dia 1.6 mm; No Brand; -; 1 pc</v>
      </c>
      <c r="E3547" s="6">
        <f>IFERROR(__xludf.DUMMYFUNCTION("""COMPUTED_VALUE"""),1.0)</f>
        <v>1</v>
      </c>
      <c r="F3547" s="6">
        <f>IFERROR(__xludf.DUMMYFUNCTION("""COMPUTED_VALUE"""),1.0)</f>
        <v>1</v>
      </c>
      <c r="G3547" s="6">
        <f>IFERROR(__xludf.DUMMYFUNCTION("""COMPUTED_VALUE"""),0.0)</f>
        <v>0</v>
      </c>
      <c r="H3547" s="6" t="str">
        <f>IFERROR(__xludf.DUMMYFUNCTION("""COMPUTED_VALUE"""),"Pcs")</f>
        <v>Pcs</v>
      </c>
      <c r="I3547" s="6" t="str">
        <f>IFERROR(__xludf.DUMMYFUNCTION("""COMPUTED_VALUE"""),"MFH")</f>
        <v>MFH</v>
      </c>
      <c r="J3547" s="6" t="str">
        <f>IFERROR(__xludf.DUMMYFUNCTION("""COMPUTED_VALUE"""),"Blistering")</f>
        <v>Blistering</v>
      </c>
      <c r="K3547" s="6" t="str">
        <f>IFERROR(__xludf.DUMMYFUNCTION("""COMPUTED_VALUE"""),"SPR/04/26/031")</f>
        <v>SPR/04/26/031</v>
      </c>
      <c r="L3547" s="13">
        <f>IFERROR(__xludf.DUMMYFUNCTION("""COMPUTED_VALUE"""),46142.0)</f>
        <v>46142</v>
      </c>
    </row>
    <row r="3548">
      <c r="A3548" s="6" t="str">
        <f>IFERROR(__xludf.DUMMYFUNCTION("""COMPUTED_VALUE"""),"RIA")</f>
        <v>RIA</v>
      </c>
      <c r="B3548" s="6" t="str">
        <f>IFERROR(__xludf.DUMMYFUNCTION("""COMPUTED_VALUE"""),"ENG")</f>
        <v>ENG</v>
      </c>
      <c r="C3548" s="6" t="str">
        <f>IFERROR(__xludf.DUMMYFUNCTION("""COMPUTED_VALUE"""),"P-54584-00")</f>
        <v>P-54584-00</v>
      </c>
      <c r="D3548" s="6" t="str">
        <f>IFERROR(__xludf.DUMMYFUNCTION("""COMPUTED_VALUE"""),"AHU - Centrifugal Duct Inline Blower 8inch; Nicotra; GCIL 200; 1 unit")</f>
        <v>AHU - Centrifugal Duct Inline Blower 8inch; Nicotra; GCIL 200; 1 unit</v>
      </c>
      <c r="E3548" s="6">
        <f>IFERROR(__xludf.DUMMYFUNCTION("""COMPUTED_VALUE"""),1.0)</f>
        <v>1</v>
      </c>
      <c r="F3548" s="6">
        <f>IFERROR(__xludf.DUMMYFUNCTION("""COMPUTED_VALUE"""),1.0)</f>
        <v>1</v>
      </c>
      <c r="G3548" s="6">
        <f>IFERROR(__xludf.DUMMYFUNCTION("""COMPUTED_VALUE"""),0.0)</f>
        <v>0</v>
      </c>
      <c r="H3548" s="6" t="str">
        <f>IFERROR(__xludf.DUMMYFUNCTION("""COMPUTED_VALUE"""),"Pcs")</f>
        <v>Pcs</v>
      </c>
      <c r="I3548" s="6" t="str">
        <f>IFERROR(__xludf.DUMMYFUNCTION("""COMPUTED_VALUE"""),"MFH")</f>
        <v>MFH</v>
      </c>
      <c r="J3548" s="6" t="str">
        <f>IFERROR(__xludf.DUMMYFUNCTION("""COMPUTED_VALUE"""),"-")</f>
        <v>-</v>
      </c>
      <c r="K3548" s="6" t="str">
        <f>IFERROR(__xludf.DUMMYFUNCTION("""COMPUTED_VALUE"""),"SPR/04/26/032")</f>
        <v>SPR/04/26/032</v>
      </c>
      <c r="L3548" s="13">
        <f>IFERROR(__xludf.DUMMYFUNCTION("""COMPUTED_VALUE"""),46142.0)</f>
        <v>46142</v>
      </c>
    </row>
    <row r="3549">
      <c r="A3549" s="6" t="str">
        <f>IFERROR(__xludf.DUMMYFUNCTION("""COMPUTED_VALUE"""),"ERA")</f>
        <v>ERA</v>
      </c>
      <c r="B3549" s="6" t="str">
        <f>IFERROR(__xludf.DUMMYFUNCTION("""COMPUTED_VALUE"""),"ENG")</f>
        <v>ENG</v>
      </c>
      <c r="C3549" s="6" t="str">
        <f>IFERROR(__xludf.DUMMYFUNCTION("""COMPUTED_VALUE"""),"O-18055-00")</f>
        <v>O-18055-00</v>
      </c>
      <c r="D3549" s="6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E3549" s="6">
        <f>IFERROR(__xludf.DUMMYFUNCTION("""COMPUTED_VALUE"""),1.0)</f>
        <v>1</v>
      </c>
      <c r="F3549" s="6">
        <f>IFERROR(__xludf.DUMMYFUNCTION("""COMPUTED_VALUE"""),1.0)</f>
        <v>1</v>
      </c>
      <c r="G3549" s="6">
        <f>IFERROR(__xludf.DUMMYFUNCTION("""COMPUTED_VALUE"""),0.0)</f>
        <v>0</v>
      </c>
      <c r="H3549" s="6" t="str">
        <f>IFERROR(__xludf.DUMMYFUNCTION("""COMPUTED_VALUE"""),"Pcs")</f>
        <v>Pcs</v>
      </c>
      <c r="I3549" s="6" t="str">
        <f>IFERROR(__xludf.DUMMYFUNCTION("""COMPUTED_VALUE"""),"MFH")</f>
        <v>MFH</v>
      </c>
      <c r="J3549" s="6" t="str">
        <f>IFERROR(__xludf.DUMMYFUNCTION("""COMPUTED_VALUE"""),"Cartonning")</f>
        <v>Cartonning</v>
      </c>
      <c r="K3549" s="6" t="str">
        <f>IFERROR(__xludf.DUMMYFUNCTION("""COMPUTED_VALUE"""),"SPR/04/26/033")</f>
        <v>SPR/04/26/033</v>
      </c>
      <c r="L3549" s="13">
        <f>IFERROR(__xludf.DUMMYFUNCTION("""COMPUTED_VALUE"""),46142.0)</f>
        <v>46142</v>
      </c>
    </row>
    <row r="3550">
      <c r="A3550" s="6" t="str">
        <f>IFERROR(__xludf.DUMMYFUNCTION("""COMPUTED_VALUE"""),"ROS")</f>
        <v>ROS</v>
      </c>
      <c r="B3550" s="6" t="str">
        <f>IFERROR(__xludf.DUMMYFUNCTION("""COMPUTED_VALUE"""),"ENG")</f>
        <v>ENG</v>
      </c>
      <c r="C3550" s="6" t="str">
        <f>IFERROR(__xludf.DUMMYFUNCTION("""COMPUTED_VALUE"""),"O-16032-00")</f>
        <v>O-16032-00</v>
      </c>
      <c r="D3550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550" s="6">
        <f>IFERROR(__xludf.DUMMYFUNCTION("""COMPUTED_VALUE"""),1.0)</f>
        <v>1</v>
      </c>
      <c r="F3550" s="6">
        <f>IFERROR(__xludf.DUMMYFUNCTION("""COMPUTED_VALUE"""),1.0)</f>
        <v>1</v>
      </c>
      <c r="G3550" s="6">
        <f>IFERROR(__xludf.DUMMYFUNCTION("""COMPUTED_VALUE"""),0.0)</f>
        <v>0</v>
      </c>
      <c r="H3550" s="6" t="str">
        <f>IFERROR(__xludf.DUMMYFUNCTION("""COMPUTED_VALUE"""),"Pcs")</f>
        <v>Pcs</v>
      </c>
      <c r="I3550" s="6" t="str">
        <f>IFERROR(__xludf.DUMMYFUNCTION("""COMPUTED_VALUE"""),"MFH")</f>
        <v>MFH</v>
      </c>
      <c r="J3550" s="6" t="str">
        <f>IFERROR(__xludf.DUMMYFUNCTION("""COMPUTED_VALUE"""),"cRABS")</f>
        <v>cRABS</v>
      </c>
      <c r="K3550" s="6" t="str">
        <f>IFERROR(__xludf.DUMMYFUNCTION("""COMPUTED_VALUE"""),"SPR/04/26/034")</f>
        <v>SPR/04/26/034</v>
      </c>
      <c r="L3550" s="13">
        <f>IFERROR(__xludf.DUMMYFUNCTION("""COMPUTED_VALUE"""),46142.0)</f>
        <v>46142</v>
      </c>
    </row>
    <row r="3551">
      <c r="A3551" s="6" t="str">
        <f>IFERROR(__xludf.DUMMYFUNCTION("""COMPUTED_VALUE"""),"ROS")</f>
        <v>ROS</v>
      </c>
      <c r="B3551" s="6" t="str">
        <f>IFERROR(__xludf.DUMMYFUNCTION("""COMPUTED_VALUE"""),"ENG")</f>
        <v>ENG</v>
      </c>
      <c r="C3551" s="6" t="str">
        <f>IFERROR(__xludf.DUMMYFUNCTION("""COMPUTED_VALUE"""),"O-14618-00")</f>
        <v>O-14618-00</v>
      </c>
      <c r="D3551" s="6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E3551" s="6">
        <f>IFERROR(__xludf.DUMMYFUNCTION("""COMPUTED_VALUE"""),2.0)</f>
        <v>2</v>
      </c>
      <c r="F3551" s="6">
        <f>IFERROR(__xludf.DUMMYFUNCTION("""COMPUTED_VALUE"""),2.0)</f>
        <v>2</v>
      </c>
      <c r="G3551" s="6">
        <f>IFERROR(__xludf.DUMMYFUNCTION("""COMPUTED_VALUE"""),0.0)</f>
        <v>0</v>
      </c>
      <c r="H3551" s="6" t="str">
        <f>IFERROR(__xludf.DUMMYFUNCTION("""COMPUTED_VALUE"""),"Pcs")</f>
        <v>Pcs</v>
      </c>
      <c r="I3551" s="6" t="str">
        <f>IFERROR(__xludf.DUMMYFUNCTION("""COMPUTED_VALUE"""),"MFH")</f>
        <v>MFH</v>
      </c>
      <c r="J3551" s="6" t="str">
        <f>IFERROR(__xludf.DUMMYFUNCTION("""COMPUTED_VALUE"""),"Washing")</f>
        <v>Washing</v>
      </c>
      <c r="K3551" s="6" t="str">
        <f>IFERROR(__xludf.DUMMYFUNCTION("""COMPUTED_VALUE"""),"SPR/04/26/035")</f>
        <v>SPR/04/26/035</v>
      </c>
      <c r="L3551" s="13">
        <f>IFERROR(__xludf.DUMMYFUNCTION("""COMPUTED_VALUE"""),46142.0)</f>
        <v>46142</v>
      </c>
    </row>
    <row r="3552">
      <c r="A3552" s="6" t="str">
        <f>IFERROR(__xludf.DUMMYFUNCTION("""COMPUTED_VALUE"""),"MFH")</f>
        <v>MFH</v>
      </c>
      <c r="B3552" s="6" t="str">
        <f>IFERROR(__xludf.DUMMYFUNCTION("""COMPUTED_VALUE"""),"ENG")</f>
        <v>ENG</v>
      </c>
      <c r="C3552" s="6" t="str">
        <f>IFERROR(__xludf.DUMMYFUNCTION("""COMPUTED_VALUE"""),"P-10183-00")</f>
        <v>P-10183-00</v>
      </c>
      <c r="D3552" s="6" t="str">
        <f>IFERROR(__xludf.DUMMYFUNCTION("""COMPUTED_VALUE"""),"General - Drain Sewerage Opener GL-10; No Brand; -; 1 pc")</f>
        <v>General - Drain Sewerage Opener GL-10; No Brand; -; 1 pc</v>
      </c>
      <c r="E3552" s="6">
        <f>IFERROR(__xludf.DUMMYFUNCTION("""COMPUTED_VALUE"""),2.0)</f>
        <v>2</v>
      </c>
      <c r="F3552" s="6">
        <f>IFERROR(__xludf.DUMMYFUNCTION("""COMPUTED_VALUE"""),2.0)</f>
        <v>2</v>
      </c>
      <c r="G3552" s="6">
        <f>IFERROR(__xludf.DUMMYFUNCTION("""COMPUTED_VALUE"""),0.0)</f>
        <v>0</v>
      </c>
      <c r="H3552" s="6" t="str">
        <f>IFERROR(__xludf.DUMMYFUNCTION("""COMPUTED_VALUE"""),"Pcs")</f>
        <v>Pcs</v>
      </c>
      <c r="I3552" s="6" t="str">
        <f>IFERROR(__xludf.DUMMYFUNCTION("""COMPUTED_VALUE"""),"MFH")</f>
        <v>MFH</v>
      </c>
      <c r="J3552" s="6" t="str">
        <f>IFERROR(__xludf.DUMMYFUNCTION("""COMPUTED_VALUE"""),"-")</f>
        <v>-</v>
      </c>
      <c r="K3552" s="6" t="str">
        <f>IFERROR(__xludf.DUMMYFUNCTION("""COMPUTED_VALUE"""),"SPR/04/26/036")</f>
        <v>SPR/04/26/036</v>
      </c>
      <c r="L3552" s="13">
        <f>IFERROR(__xludf.DUMMYFUNCTION("""COMPUTED_VALUE"""),46142.0)</f>
        <v>46142</v>
      </c>
    </row>
    <row r="3553">
      <c r="A3553" s="6" t="str">
        <f>IFERROR(__xludf.DUMMYFUNCTION("""COMPUTED_VALUE"""),"ERA")</f>
        <v>ERA</v>
      </c>
      <c r="B3553" s="6" t="str">
        <f>IFERROR(__xludf.DUMMYFUNCTION("""COMPUTED_VALUE"""),"ENG")</f>
        <v>ENG</v>
      </c>
      <c r="C3553" s="6" t="str">
        <f>IFERROR(__xludf.DUMMYFUNCTION("""COMPUTED_VALUE"""),"Q-10249-00")</f>
        <v>Q-10249-00</v>
      </c>
      <c r="D3553" s="6" t="str">
        <f>IFERROR(__xludf.DUMMYFUNCTION("""COMPUTED_VALUE"""),"Lem Power Glue; ; ;")</f>
        <v>Lem Power Glue; ; ;</v>
      </c>
      <c r="E3553" s="6">
        <f>IFERROR(__xludf.DUMMYFUNCTION("""COMPUTED_VALUE"""),1.0)</f>
        <v>1</v>
      </c>
      <c r="F3553" s="6">
        <f>IFERROR(__xludf.DUMMYFUNCTION("""COMPUTED_VALUE"""),1.0)</f>
        <v>1</v>
      </c>
      <c r="G3553" s="6">
        <f>IFERROR(__xludf.DUMMYFUNCTION("""COMPUTED_VALUE"""),0.0)</f>
        <v>0</v>
      </c>
      <c r="H3553" s="6" t="str">
        <f>IFERROR(__xludf.DUMMYFUNCTION("""COMPUTED_VALUE"""),"Pcs")</f>
        <v>Pcs</v>
      </c>
      <c r="I3553" s="6" t="str">
        <f>IFERROR(__xludf.DUMMYFUNCTION("""COMPUTED_VALUE"""),"MFH")</f>
        <v>MFH</v>
      </c>
      <c r="J3553" s="6" t="str">
        <f>IFERROR(__xludf.DUMMYFUNCTION("""COMPUTED_VALUE"""),"Blistering")</f>
        <v>Blistering</v>
      </c>
      <c r="K3553" s="6" t="str">
        <f>IFERROR(__xludf.DUMMYFUNCTION("""COMPUTED_VALUE"""),"SPR/04/26/037")</f>
        <v>SPR/04/26/037</v>
      </c>
      <c r="L3553" s="13">
        <f>IFERROR(__xludf.DUMMYFUNCTION("""COMPUTED_VALUE"""),46142.0)</f>
        <v>46142</v>
      </c>
    </row>
    <row r="3554">
      <c r="A3554" s="6" t="str">
        <f>IFERROR(__xludf.DUMMYFUNCTION("""COMPUTED_VALUE"""),"MFH")</f>
        <v>MFH</v>
      </c>
      <c r="B3554" s="6" t="str">
        <f>IFERROR(__xludf.DUMMYFUNCTION("""COMPUTED_VALUE"""),"ENG")</f>
        <v>ENG</v>
      </c>
      <c r="C3554" s="6" t="str">
        <f>IFERROR(__xludf.DUMMYFUNCTION("""COMPUTED_VALUE"""),"P-20369-00")</f>
        <v>P-20369-00</v>
      </c>
      <c r="D3554" s="6" t="str">
        <f>IFERROR(__xludf.DUMMYFUNCTION("""COMPUTED_VALUE"""),"General - Terminal Viking Grounding 4mm; Legrand; -; 1 pc")</f>
        <v>General - Terminal Viking Grounding 4mm; Legrand; -; 1 pc</v>
      </c>
      <c r="E3554" s="6">
        <f>IFERROR(__xludf.DUMMYFUNCTION("""COMPUTED_VALUE"""),10.0)</f>
        <v>10</v>
      </c>
      <c r="F3554" s="6">
        <f>IFERROR(__xludf.DUMMYFUNCTION("""COMPUTED_VALUE"""),10.0)</f>
        <v>10</v>
      </c>
      <c r="G3554" s="6">
        <f>IFERROR(__xludf.DUMMYFUNCTION("""COMPUTED_VALUE"""),0.0)</f>
        <v>0</v>
      </c>
      <c r="H3554" s="6" t="str">
        <f>IFERROR(__xludf.DUMMYFUNCTION("""COMPUTED_VALUE"""),"Pcs")</f>
        <v>Pcs</v>
      </c>
      <c r="I3554" s="6" t="str">
        <f>IFERROR(__xludf.DUMMYFUNCTION("""COMPUTED_VALUE"""),"MFH")</f>
        <v>MFH</v>
      </c>
      <c r="J3554" s="6" t="str">
        <f>IFERROR(__xludf.DUMMYFUNCTION("""COMPUTED_VALUE"""),"-")</f>
        <v>-</v>
      </c>
      <c r="K3554" s="6" t="str">
        <f>IFERROR(__xludf.DUMMYFUNCTION("""COMPUTED_VALUE"""),"SPR/04/26/038")</f>
        <v>SPR/04/26/038</v>
      </c>
      <c r="L3554" s="13">
        <f>IFERROR(__xludf.DUMMYFUNCTION("""COMPUTED_VALUE"""),46142.0)</f>
        <v>46142</v>
      </c>
    </row>
    <row r="3555">
      <c r="A3555" s="6" t="str">
        <f>IFERROR(__xludf.DUMMYFUNCTION("""COMPUTED_VALUE"""),"MFH")</f>
        <v>MFH</v>
      </c>
      <c r="B3555" s="6" t="str">
        <f>IFERROR(__xludf.DUMMYFUNCTION("""COMPUTED_VALUE"""),"ENG")</f>
        <v>ENG</v>
      </c>
      <c r="C3555" s="6" t="str">
        <f>IFERROR(__xludf.DUMMYFUNCTION("""COMPUTED_VALUE"""),"P-53262-00")</f>
        <v>P-53262-00</v>
      </c>
      <c r="D3555" s="6" t="str">
        <f>IFERROR(__xludf.DUMMYFUNCTION("""COMPUTED_VALUE"""),"General - Din Rail MCB; No Brand; -; 1 pc")</f>
        <v>General - Din Rail MCB; No Brand; -; 1 pc</v>
      </c>
      <c r="E3555" s="6">
        <f>IFERROR(__xludf.DUMMYFUNCTION("""COMPUTED_VALUE"""),2.0)</f>
        <v>2</v>
      </c>
      <c r="F3555" s="6">
        <f>IFERROR(__xludf.DUMMYFUNCTION("""COMPUTED_VALUE"""),2.0)</f>
        <v>2</v>
      </c>
      <c r="G3555" s="6">
        <f>IFERROR(__xludf.DUMMYFUNCTION("""COMPUTED_VALUE"""),0.0)</f>
        <v>0</v>
      </c>
      <c r="H3555" s="6" t="str">
        <f>IFERROR(__xludf.DUMMYFUNCTION("""COMPUTED_VALUE"""),"Pcs")</f>
        <v>Pcs</v>
      </c>
      <c r="I3555" s="6" t="str">
        <f>IFERROR(__xludf.DUMMYFUNCTION("""COMPUTED_VALUE"""),"MFH")</f>
        <v>MFH</v>
      </c>
      <c r="J3555" s="6" t="str">
        <f>IFERROR(__xludf.DUMMYFUNCTION("""COMPUTED_VALUE"""),"-")</f>
        <v>-</v>
      </c>
      <c r="K3555" s="6" t="str">
        <f>IFERROR(__xludf.DUMMYFUNCTION("""COMPUTED_VALUE"""),"SPR/04/26/038")</f>
        <v>SPR/04/26/038</v>
      </c>
      <c r="L3555" s="13">
        <f>IFERROR(__xludf.DUMMYFUNCTION("""COMPUTED_VALUE"""),46142.0)</f>
        <v>46142</v>
      </c>
    </row>
    <row r="3556">
      <c r="A3556" s="6" t="str">
        <f>IFERROR(__xludf.DUMMYFUNCTION("""COMPUTED_VALUE"""),"MFH")</f>
        <v>MFH</v>
      </c>
      <c r="B3556" s="6" t="str">
        <f>IFERROR(__xludf.DUMMYFUNCTION("""COMPUTED_VALUE"""),"ENG")</f>
        <v>ENG</v>
      </c>
      <c r="C3556" s="6" t="str">
        <f>IFERROR(__xludf.DUMMYFUNCTION("""COMPUTED_VALUE"""),"P-53263-00")</f>
        <v>P-53263-00</v>
      </c>
      <c r="D3556" s="6" t="str">
        <f>IFERROR(__xludf.DUMMYFUNCTION("""COMPUTED_VALUE"""),"General - Terminal Block, 4 mm; No Brand; -; 1 pcs")</f>
        <v>General - Terminal Block, 4 mm; No Brand; -; 1 pcs</v>
      </c>
      <c r="E3556" s="6">
        <f>IFERROR(__xludf.DUMMYFUNCTION("""COMPUTED_VALUE"""),70.0)</f>
        <v>70</v>
      </c>
      <c r="F3556" s="6">
        <f>IFERROR(__xludf.DUMMYFUNCTION("""COMPUTED_VALUE"""),70.0)</f>
        <v>70</v>
      </c>
      <c r="G3556" s="6">
        <f>IFERROR(__xludf.DUMMYFUNCTION("""COMPUTED_VALUE"""),0.0)</f>
        <v>0</v>
      </c>
      <c r="H3556" s="6" t="str">
        <f>IFERROR(__xludf.DUMMYFUNCTION("""COMPUTED_VALUE"""),"Pcs")</f>
        <v>Pcs</v>
      </c>
      <c r="I3556" s="6" t="str">
        <f>IFERROR(__xludf.DUMMYFUNCTION("""COMPUTED_VALUE"""),"MFH")</f>
        <v>MFH</v>
      </c>
      <c r="J3556" s="6" t="str">
        <f>IFERROR(__xludf.DUMMYFUNCTION("""COMPUTED_VALUE"""),"-")</f>
        <v>-</v>
      </c>
      <c r="K3556" s="6" t="str">
        <f>IFERROR(__xludf.DUMMYFUNCTION("""COMPUTED_VALUE"""),"SPR/04/26/038")</f>
        <v>SPR/04/26/038</v>
      </c>
      <c r="L3556" s="13">
        <f>IFERROR(__xludf.DUMMYFUNCTION("""COMPUTED_VALUE"""),46142.0)</f>
        <v>46142</v>
      </c>
    </row>
    <row r="3557">
      <c r="A3557" s="6" t="str">
        <f>IFERROR(__xludf.DUMMYFUNCTION("""COMPUTED_VALUE"""),"MFH")</f>
        <v>MFH</v>
      </c>
      <c r="B3557" s="6" t="str">
        <f>IFERROR(__xludf.DUMMYFUNCTION("""COMPUTED_VALUE"""),"ENG")</f>
        <v>ENG</v>
      </c>
      <c r="C3557" s="6" t="str">
        <f>IFERROR(__xludf.DUMMYFUNCTION("""COMPUTED_VALUE"""),"O-21372-00")</f>
        <v>O-21372-00</v>
      </c>
      <c r="D3557" s="6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E3557" s="6">
        <f>IFERROR(__xludf.DUMMYFUNCTION("""COMPUTED_VALUE"""),6.0)</f>
        <v>6</v>
      </c>
      <c r="F3557" s="6">
        <f>IFERROR(__xludf.DUMMYFUNCTION("""COMPUTED_VALUE"""),6.0)</f>
        <v>6</v>
      </c>
      <c r="G3557" s="6">
        <f>IFERROR(__xludf.DUMMYFUNCTION("""COMPUTED_VALUE"""),0.0)</f>
        <v>0</v>
      </c>
      <c r="H3557" s="6" t="str">
        <f>IFERROR(__xludf.DUMMYFUNCTION("""COMPUTED_VALUE"""),"Pcs")</f>
        <v>Pcs</v>
      </c>
      <c r="I3557" s="6" t="str">
        <f>IFERROR(__xludf.DUMMYFUNCTION("""COMPUTED_VALUE"""),"MFH")</f>
        <v>MFH</v>
      </c>
      <c r="J3557" s="6" t="str">
        <f>IFERROR(__xludf.DUMMYFUNCTION("""COMPUTED_VALUE"""),"-")</f>
        <v>-</v>
      </c>
      <c r="K3557" s="6" t="str">
        <f>IFERROR(__xludf.DUMMYFUNCTION("""COMPUTED_VALUE"""),"SPR/04/26/039")</f>
        <v>SPR/04/26/039</v>
      </c>
      <c r="L3557" s="13">
        <f>IFERROR(__xludf.DUMMYFUNCTION("""COMPUTED_VALUE"""),46142.0)</f>
        <v>46142</v>
      </c>
    </row>
    <row r="3558">
      <c r="A3558" s="6" t="str">
        <f>IFERROR(__xludf.DUMMYFUNCTION("""COMPUTED_VALUE"""),"MFH")</f>
        <v>MFH</v>
      </c>
      <c r="B3558" s="6" t="str">
        <f>IFERROR(__xludf.DUMMYFUNCTION("""COMPUTED_VALUE"""),"ENG")</f>
        <v>ENG</v>
      </c>
      <c r="C3558" s="6" t="str">
        <f>IFERROR(__xludf.DUMMYFUNCTION("""COMPUTED_VALUE"""),"O-18775-00")</f>
        <v>O-18775-00</v>
      </c>
      <c r="D3558" s="6" t="str">
        <f>IFERROR(__xludf.DUMMYFUNCTION("""COMPUTED_VALUE"""),"General - Round Bar SS 8 MM; ; ;; -; -; 1 Pc")</f>
        <v>General - Round Bar SS 8 MM; ; ;; -; -; 1 Pc</v>
      </c>
      <c r="E3558" s="6">
        <f>IFERROR(__xludf.DUMMYFUNCTION("""COMPUTED_VALUE"""),8.0)</f>
        <v>8</v>
      </c>
      <c r="F3558" s="6">
        <f>IFERROR(__xludf.DUMMYFUNCTION("""COMPUTED_VALUE"""),8.0)</f>
        <v>8</v>
      </c>
      <c r="G3558" s="6">
        <f>IFERROR(__xludf.DUMMYFUNCTION("""COMPUTED_VALUE"""),0.0)</f>
        <v>0</v>
      </c>
      <c r="H3558" s="6" t="str">
        <f>IFERROR(__xludf.DUMMYFUNCTION("""COMPUTED_VALUE"""),"Pcs")</f>
        <v>Pcs</v>
      </c>
      <c r="I3558" s="6" t="str">
        <f>IFERROR(__xludf.DUMMYFUNCTION("""COMPUTED_VALUE"""),"MFH")</f>
        <v>MFH</v>
      </c>
      <c r="J3558" s="6" t="str">
        <f>IFERROR(__xludf.DUMMYFUNCTION("""COMPUTED_VALUE"""),"-")</f>
        <v>-</v>
      </c>
      <c r="K3558" s="6" t="str">
        <f>IFERROR(__xludf.DUMMYFUNCTION("""COMPUTED_VALUE"""),"SPR/04/26/039")</f>
        <v>SPR/04/26/039</v>
      </c>
      <c r="L3558" s="13">
        <f>IFERROR(__xludf.DUMMYFUNCTION("""COMPUTED_VALUE"""),46142.0)</f>
        <v>46142</v>
      </c>
    </row>
    <row r="3559">
      <c r="A3559" s="6" t="str">
        <f>IFERROR(__xludf.DUMMYFUNCTION("""COMPUTED_VALUE"""),"MFH")</f>
        <v>MFH</v>
      </c>
      <c r="B3559" s="6" t="str">
        <f>IFERROR(__xludf.DUMMYFUNCTION("""COMPUTED_VALUE"""),"ENG")</f>
        <v>ENG</v>
      </c>
      <c r="C3559" s="6" t="str">
        <f>IFERROR(__xludf.DUMMYFUNCTION("""COMPUTED_VALUE"""),"P-20368-00")</f>
        <v>P-20368-00</v>
      </c>
      <c r="D3559" s="6" t="str">
        <f>IFERROR(__xludf.DUMMYFUNCTION("""COMPUTED_VALUE"""),"General - Junction Box 220 x 150 x 75mm; No Brand; -; 1 pc")</f>
        <v>General - Junction Box 220 x 150 x 75mm; No Brand; -; 1 pc</v>
      </c>
      <c r="E3559" s="6">
        <f>IFERROR(__xludf.DUMMYFUNCTION("""COMPUTED_VALUE"""),5.0)</f>
        <v>5</v>
      </c>
      <c r="F3559" s="6">
        <f>IFERROR(__xludf.DUMMYFUNCTION("""COMPUTED_VALUE"""),5.0)</f>
        <v>5</v>
      </c>
      <c r="G3559" s="6">
        <f>IFERROR(__xludf.DUMMYFUNCTION("""COMPUTED_VALUE"""),0.0)</f>
        <v>0</v>
      </c>
      <c r="H3559" s="6" t="str">
        <f>IFERROR(__xludf.DUMMYFUNCTION("""COMPUTED_VALUE"""),"Pcs")</f>
        <v>Pcs</v>
      </c>
      <c r="I3559" s="6" t="str">
        <f>IFERROR(__xludf.DUMMYFUNCTION("""COMPUTED_VALUE"""),"MFH")</f>
        <v>MFH</v>
      </c>
      <c r="J3559" s="6" t="str">
        <f>IFERROR(__xludf.DUMMYFUNCTION("""COMPUTED_VALUE"""),"-")</f>
        <v>-</v>
      </c>
      <c r="K3559" s="6" t="str">
        <f>IFERROR(__xludf.DUMMYFUNCTION("""COMPUTED_VALUE"""),"SPR/04/26/039")</f>
        <v>SPR/04/26/039</v>
      </c>
      <c r="L3559" s="13">
        <f>IFERROR(__xludf.DUMMYFUNCTION("""COMPUTED_VALUE"""),46142.0)</f>
        <v>46142</v>
      </c>
    </row>
    <row r="3560">
      <c r="A3560" s="6" t="str">
        <f>IFERROR(__xludf.DUMMYFUNCTION("""COMPUTED_VALUE"""),"AAA")</f>
        <v>AAA</v>
      </c>
      <c r="B3560" s="6" t="str">
        <f>IFERROR(__xludf.DUMMYFUNCTION("""COMPUTED_VALUE"""),"ENG")</f>
        <v>ENG</v>
      </c>
      <c r="C3560" s="6" t="str">
        <f>IFERROR(__xludf.DUMMYFUNCTION("""COMPUTED_VALUE"""),"T-22314-00")</f>
        <v>T-22314-00</v>
      </c>
      <c r="D3560" s="6" t="str">
        <f>IFERROR(__xludf.DUMMYFUNCTION("""COMPUTED_VALUE"""),"Refill Board DSR Autosampler.; Pharma Test; 317-0133; unit")</f>
        <v>Refill Board DSR Autosampler.; Pharma Test; 317-0133; unit</v>
      </c>
      <c r="E3560" s="6">
        <f>IFERROR(__xludf.DUMMYFUNCTION("""COMPUTED_VALUE"""),1.0)</f>
        <v>1</v>
      </c>
      <c r="F3560" s="6">
        <f>IFERROR(__xludf.DUMMYFUNCTION("""COMPUTED_VALUE"""),1.0)</f>
        <v>1</v>
      </c>
      <c r="G3560" s="6">
        <f>IFERROR(__xludf.DUMMYFUNCTION("""COMPUTED_VALUE"""),0.0)</f>
        <v>0</v>
      </c>
      <c r="H3560" s="6" t="str">
        <f>IFERROR(__xludf.DUMMYFUNCTION("""COMPUTED_VALUE"""),"Pcs")</f>
        <v>Pcs</v>
      </c>
      <c r="I3560" s="6" t="str">
        <f>IFERROR(__xludf.DUMMYFUNCTION("""COMPUTED_VALUE"""),"MFH")</f>
        <v>MFH</v>
      </c>
      <c r="J3560" s="6" t="str">
        <f>IFERROR(__xludf.DUMMYFUNCTION("""COMPUTED_VALUE"""),"Autosampler")</f>
        <v>Autosampler</v>
      </c>
      <c r="K3560" s="6" t="str">
        <f>IFERROR(__xludf.DUMMYFUNCTION("""COMPUTED_VALUE"""),"SPR/04/26/040")</f>
        <v>SPR/04/26/040</v>
      </c>
      <c r="L3560" s="13">
        <f>IFERROR(__xludf.DUMMYFUNCTION("""COMPUTED_VALUE"""),46142.0)</f>
        <v>46142</v>
      </c>
    </row>
    <row r="3561">
      <c r="A3561" s="6" t="str">
        <f>IFERROR(__xludf.DUMMYFUNCTION("""COMPUTED_VALUE"""),"ROS")</f>
        <v>ROS</v>
      </c>
      <c r="B3561" s="6" t="str">
        <f>IFERROR(__xludf.DUMMYFUNCTION("""COMPUTED_VALUE"""),"ENG")</f>
        <v>ENG</v>
      </c>
      <c r="C3561" s="6" t="str">
        <f>IFERROR(__xludf.DUMMYFUNCTION("""COMPUTED_VALUE"""),"O-20487-00")</f>
        <v>O-20487-00</v>
      </c>
      <c r="D3561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561" s="6">
        <f>IFERROR(__xludf.DUMMYFUNCTION("""COMPUTED_VALUE"""),1.0)</f>
        <v>1</v>
      </c>
      <c r="F3561" s="6">
        <f>IFERROR(__xludf.DUMMYFUNCTION("""COMPUTED_VALUE"""),1.0)</f>
        <v>1</v>
      </c>
      <c r="G3561" s="6">
        <f>IFERROR(__xludf.DUMMYFUNCTION("""COMPUTED_VALUE"""),0.0)</f>
        <v>0</v>
      </c>
      <c r="H3561" s="6" t="str">
        <f>IFERROR(__xludf.DUMMYFUNCTION("""COMPUTED_VALUE"""),"Pcs")</f>
        <v>Pcs</v>
      </c>
      <c r="I3561" s="6" t="str">
        <f>IFERROR(__xludf.DUMMYFUNCTION("""COMPUTED_VALUE"""),"MFH")</f>
        <v>MFH</v>
      </c>
      <c r="J3561" s="6" t="str">
        <f>IFERROR(__xludf.DUMMYFUNCTION("""COMPUTED_VALUE"""),"cRABS")</f>
        <v>cRABS</v>
      </c>
      <c r="K3561" s="6" t="str">
        <f>IFERROR(__xludf.DUMMYFUNCTION("""COMPUTED_VALUE"""),"SPR/04/26/041")</f>
        <v>SPR/04/26/041</v>
      </c>
      <c r="L3561" s="13">
        <f>IFERROR(__xludf.DUMMYFUNCTION("""COMPUTED_VALUE"""),46142.0)</f>
        <v>46142</v>
      </c>
    </row>
    <row r="3562">
      <c r="A3562" s="6" t="str">
        <f>IFERROR(__xludf.DUMMYFUNCTION("""COMPUTED_VALUE"""),"KFF")</f>
        <v>KFF</v>
      </c>
      <c r="B3562" s="6" t="str">
        <f>IFERROR(__xludf.DUMMYFUNCTION("""COMPUTED_VALUE"""),"ENG")</f>
        <v>ENG</v>
      </c>
      <c r="C3562" s="6" t="str">
        <f>IFERROR(__xludf.DUMMYFUNCTION("""COMPUTED_VALUE"""),"O-16647-00")</f>
        <v>O-16647-00</v>
      </c>
      <c r="D3562" s="6" t="str">
        <f>IFERROR(__xludf.DUMMYFUNCTION("""COMPUTED_VALUE"""),"General - Oring Silicone Merah 23x18x2.5 mm; -; -; 1 Pc")</f>
        <v>General - Oring Silicone Merah 23x18x2.5 mm; -; -; 1 Pc</v>
      </c>
      <c r="E3562" s="6">
        <f>IFERROR(__xludf.DUMMYFUNCTION("""COMPUTED_VALUE"""),10.0)</f>
        <v>10</v>
      </c>
      <c r="F3562" s="6">
        <f>IFERROR(__xludf.DUMMYFUNCTION("""COMPUTED_VALUE"""),10.0)</f>
        <v>10</v>
      </c>
      <c r="G3562" s="6">
        <f>IFERROR(__xludf.DUMMYFUNCTION("""COMPUTED_VALUE"""),0.0)</f>
        <v>0</v>
      </c>
      <c r="H3562" s="6" t="str">
        <f>IFERROR(__xludf.DUMMYFUNCTION("""COMPUTED_VALUE"""),"Pcs")</f>
        <v>Pcs</v>
      </c>
      <c r="I3562" s="6" t="str">
        <f>IFERROR(__xludf.DUMMYFUNCTION("""COMPUTED_VALUE"""),"MFH")</f>
        <v>MFH</v>
      </c>
      <c r="J3562" s="6" t="str">
        <f>IFERROR(__xludf.DUMMYFUNCTION("""COMPUTED_VALUE"""),"Capping")</f>
        <v>Capping</v>
      </c>
      <c r="K3562" s="6" t="str">
        <f>IFERROR(__xludf.DUMMYFUNCTION("""COMPUTED_VALUE"""),"SPR/04/26/042")</f>
        <v>SPR/04/26/042</v>
      </c>
      <c r="L3562" s="13">
        <f>IFERROR(__xludf.DUMMYFUNCTION("""COMPUTED_VALUE"""),46142.0)</f>
        <v>46142</v>
      </c>
    </row>
    <row r="3563">
      <c r="A3563" s="6" t="str">
        <f>IFERROR(__xludf.DUMMYFUNCTION("""COMPUTED_VALUE"""),"MRN")</f>
        <v>MRN</v>
      </c>
      <c r="B3563" s="6" t="str">
        <f>IFERROR(__xludf.DUMMYFUNCTION("""COMPUTED_VALUE"""),"ENG")</f>
        <v>ENG</v>
      </c>
      <c r="C3563" s="6" t="str">
        <f>IFERROR(__xludf.DUMMYFUNCTION("""COMPUTED_VALUE"""),"P-18255-00")</f>
        <v>P-18255-00</v>
      </c>
      <c r="D3563" s="6" t="str">
        <f>IFERROR(__xludf.DUMMYFUNCTION("""COMPUTED_VALUE"""),"KITZ - Gate Valve dia 2 1/2 inch; ; ;")</f>
        <v>KITZ - Gate Valve dia 2 1/2 inch; ; ;</v>
      </c>
      <c r="E3563" s="6">
        <f>IFERROR(__xludf.DUMMYFUNCTION("""COMPUTED_VALUE"""),2.0)</f>
        <v>2</v>
      </c>
      <c r="F3563" s="6">
        <f>IFERROR(__xludf.DUMMYFUNCTION("""COMPUTED_VALUE"""),2.0)</f>
        <v>2</v>
      </c>
      <c r="G3563" s="6">
        <f>IFERROR(__xludf.DUMMYFUNCTION("""COMPUTED_VALUE"""),0.0)</f>
        <v>0</v>
      </c>
      <c r="H3563" s="6" t="str">
        <f>IFERROR(__xludf.DUMMYFUNCTION("""COMPUTED_VALUE"""),"Pcs")</f>
        <v>Pcs</v>
      </c>
      <c r="I3563" s="6" t="str">
        <f>IFERROR(__xludf.DUMMYFUNCTION("""COMPUTED_VALUE"""),"MFH")</f>
        <v>MFH</v>
      </c>
      <c r="J3563" s="6" t="str">
        <f>IFERROR(__xludf.DUMMYFUNCTION("""COMPUTED_VALUE"""),"Building")</f>
        <v>Building</v>
      </c>
      <c r="K3563" s="6" t="str">
        <f>IFERROR(__xludf.DUMMYFUNCTION("""COMPUTED_VALUE"""),"SPR/04/26/043")</f>
        <v>SPR/04/26/043</v>
      </c>
      <c r="L3563" s="13">
        <f>IFERROR(__xludf.DUMMYFUNCTION("""COMPUTED_VALUE"""),46142.0)</f>
        <v>46142</v>
      </c>
    </row>
    <row r="3564">
      <c r="A3564" s="6" t="str">
        <f>IFERROR(__xludf.DUMMYFUNCTION("""COMPUTED_VALUE"""),"MRN")</f>
        <v>MRN</v>
      </c>
      <c r="B3564" s="6" t="str">
        <f>IFERROR(__xludf.DUMMYFUNCTION("""COMPUTED_VALUE"""),"ENG")</f>
        <v>ENG</v>
      </c>
      <c r="C3564" s="6" t="str">
        <f>IFERROR(__xludf.DUMMYFUNCTION("""COMPUTED_VALUE"""),"P-20144-00")</f>
        <v>P-20144-00</v>
      </c>
      <c r="D3564" s="6" t="str">
        <f>IFERROR(__xludf.DUMMYFUNCTION("""COMPUTED_VALUE"""),"General - Flange SS304 JIS 10K STD 2,5inch; No Brand; -; 1 pc")</f>
        <v>General - Flange SS304 JIS 10K STD 2,5inch; No Brand; -; 1 pc</v>
      </c>
      <c r="E3564" s="6">
        <f>IFERROR(__xludf.DUMMYFUNCTION("""COMPUTED_VALUE"""),4.0)</f>
        <v>4</v>
      </c>
      <c r="F3564" s="6">
        <f>IFERROR(__xludf.DUMMYFUNCTION("""COMPUTED_VALUE"""),4.0)</f>
        <v>4</v>
      </c>
      <c r="G3564" s="6">
        <f>IFERROR(__xludf.DUMMYFUNCTION("""COMPUTED_VALUE"""),0.0)</f>
        <v>0</v>
      </c>
      <c r="H3564" s="6" t="str">
        <f>IFERROR(__xludf.DUMMYFUNCTION("""COMPUTED_VALUE"""),"Pcs")</f>
        <v>Pcs</v>
      </c>
      <c r="I3564" s="6" t="str">
        <f>IFERROR(__xludf.DUMMYFUNCTION("""COMPUTED_VALUE"""),"MFH")</f>
        <v>MFH</v>
      </c>
      <c r="J3564" s="6" t="str">
        <f>IFERROR(__xludf.DUMMYFUNCTION("""COMPUTED_VALUE"""),"Building")</f>
        <v>Building</v>
      </c>
      <c r="K3564" s="6" t="str">
        <f>IFERROR(__xludf.DUMMYFUNCTION("""COMPUTED_VALUE"""),"SPR/04/26/043")</f>
        <v>SPR/04/26/043</v>
      </c>
      <c r="L3564" s="13">
        <f>IFERROR(__xludf.DUMMYFUNCTION("""COMPUTED_VALUE"""),46142.0)</f>
        <v>46142</v>
      </c>
    </row>
    <row r="3565">
      <c r="A3565" s="6" t="str">
        <f>IFERROR(__xludf.DUMMYFUNCTION("""COMPUTED_VALUE"""),"RIA")</f>
        <v>RIA</v>
      </c>
      <c r="B3565" s="6" t="str">
        <f>IFERROR(__xludf.DUMMYFUNCTION("""COMPUTED_VALUE"""),"ENG")</f>
        <v>ENG</v>
      </c>
      <c r="C3565" s="6" t="str">
        <f>IFERROR(__xludf.DUMMYFUNCTION("""COMPUTED_VALUE"""),"P-20517-00")</f>
        <v>P-20517-00</v>
      </c>
      <c r="D3565" s="6" t="str">
        <f>IFERROR(__xludf.DUMMYFUNCTION("""COMPUTED_VALUE"""),"General - Hole Saw SS TCT 23mm; Kugel; -; 1 pc")</f>
        <v>General - Hole Saw SS TCT 23mm; Kugel; -; 1 pc</v>
      </c>
      <c r="E3565" s="6">
        <f>IFERROR(__xludf.DUMMYFUNCTION("""COMPUTED_VALUE"""),1.0)</f>
        <v>1</v>
      </c>
      <c r="F3565" s="6">
        <f>IFERROR(__xludf.DUMMYFUNCTION("""COMPUTED_VALUE"""),1.0)</f>
        <v>1</v>
      </c>
      <c r="G3565" s="6">
        <f>IFERROR(__xludf.DUMMYFUNCTION("""COMPUTED_VALUE"""),0.0)</f>
        <v>0</v>
      </c>
      <c r="H3565" s="6" t="str">
        <f>IFERROR(__xludf.DUMMYFUNCTION("""COMPUTED_VALUE"""),"Pcs")</f>
        <v>Pcs</v>
      </c>
      <c r="I3565" s="6" t="str">
        <f>IFERROR(__xludf.DUMMYFUNCTION("""COMPUTED_VALUE"""),"MFH")</f>
        <v>MFH</v>
      </c>
      <c r="J3565" s="6" t="str">
        <f>IFERROR(__xludf.DUMMYFUNCTION("""COMPUTED_VALUE"""),"Building")</f>
        <v>Building</v>
      </c>
      <c r="K3565" s="6" t="str">
        <f>IFERROR(__xludf.DUMMYFUNCTION("""COMPUTED_VALUE"""),"SPR/04/26/044")</f>
        <v>SPR/04/26/044</v>
      </c>
      <c r="L3565" s="13">
        <f>IFERROR(__xludf.DUMMYFUNCTION("""COMPUTED_VALUE"""),46142.0)</f>
        <v>46142</v>
      </c>
    </row>
    <row r="3566">
      <c r="A3566" s="6" t="str">
        <f>IFERROR(__xludf.DUMMYFUNCTION("""COMPUTED_VALUE"""),"RIA")</f>
        <v>RIA</v>
      </c>
      <c r="B3566" s="6" t="str">
        <f>IFERROR(__xludf.DUMMYFUNCTION("""COMPUTED_VALUE"""),"ENG")</f>
        <v>ENG</v>
      </c>
      <c r="C3566" s="6" t="str">
        <f>IFERROR(__xludf.DUMMYFUNCTION("""COMPUTED_VALUE"""),"P-54554-00")</f>
        <v>P-54554-00</v>
      </c>
      <c r="D3566" s="6" t="str">
        <f>IFERROR(__xludf.DUMMYFUNCTION("""COMPUTED_VALUE"""),"General - Lampu Tl LED Slimliner II T5 10W Cool Light; Hannoch; -; 1 pc")</f>
        <v>General - Lampu Tl LED Slimliner II T5 10W Cool Light; Hannoch; -; 1 pc</v>
      </c>
      <c r="E3566" s="6">
        <f>IFERROR(__xludf.DUMMYFUNCTION("""COMPUTED_VALUE"""),28.0)</f>
        <v>28</v>
      </c>
      <c r="F3566" s="6">
        <f>IFERROR(__xludf.DUMMYFUNCTION("""COMPUTED_VALUE"""),28.0)</f>
        <v>28</v>
      </c>
      <c r="G3566" s="6">
        <f>IFERROR(__xludf.DUMMYFUNCTION("""COMPUTED_VALUE"""),0.0)</f>
        <v>0</v>
      </c>
      <c r="H3566" s="6" t="str">
        <f>IFERROR(__xludf.DUMMYFUNCTION("""COMPUTED_VALUE"""),"Pcs")</f>
        <v>Pcs</v>
      </c>
      <c r="I3566" s="6" t="str">
        <f>IFERROR(__xludf.DUMMYFUNCTION("""COMPUTED_VALUE"""),"MFH")</f>
        <v>MFH</v>
      </c>
      <c r="J3566" s="6" t="str">
        <f>IFERROR(__xludf.DUMMYFUNCTION("""COMPUTED_VALUE"""),"Building")</f>
        <v>Building</v>
      </c>
      <c r="K3566" s="6" t="str">
        <f>IFERROR(__xludf.DUMMYFUNCTION("""COMPUTED_VALUE"""),"SPR/04/26/044")</f>
        <v>SPR/04/26/044</v>
      </c>
      <c r="L3566" s="13">
        <f>IFERROR(__xludf.DUMMYFUNCTION("""COMPUTED_VALUE"""),46142.0)</f>
        <v>46142</v>
      </c>
    </row>
    <row r="3567">
      <c r="A3567" s="6" t="str">
        <f>IFERROR(__xludf.DUMMYFUNCTION("""COMPUTED_VALUE"""),"RIA")</f>
        <v>RIA</v>
      </c>
      <c r="B3567" s="6" t="str">
        <f>IFERROR(__xludf.DUMMYFUNCTION("""COMPUTED_VALUE"""),"ENG")</f>
        <v>ENG</v>
      </c>
      <c r="C3567" s="6" t="str">
        <f>IFERROR(__xludf.DUMMYFUNCTION("""COMPUTED_VALUE"""),"P-11694-00")</f>
        <v>P-11694-00</v>
      </c>
      <c r="D3567" s="6" t="str">
        <f>IFERROR(__xludf.DUMMYFUNCTION("""COMPUTED_VALUE"""),"General - Mata Gerinda 4inch; No Brand; -; 1 pcs")</f>
        <v>General - Mata Gerinda 4inch; No Brand; -; 1 pcs</v>
      </c>
      <c r="E3567" s="6">
        <f>IFERROR(__xludf.DUMMYFUNCTION("""COMPUTED_VALUE"""),2.0)</f>
        <v>2</v>
      </c>
      <c r="F3567" s="6">
        <f>IFERROR(__xludf.DUMMYFUNCTION("""COMPUTED_VALUE"""),2.0)</f>
        <v>2</v>
      </c>
      <c r="G3567" s="6">
        <f>IFERROR(__xludf.DUMMYFUNCTION("""COMPUTED_VALUE"""),0.0)</f>
        <v>0</v>
      </c>
      <c r="H3567" s="6" t="str">
        <f>IFERROR(__xludf.DUMMYFUNCTION("""COMPUTED_VALUE"""),"Pcs")</f>
        <v>Pcs</v>
      </c>
      <c r="I3567" s="6" t="str">
        <f>IFERROR(__xludf.DUMMYFUNCTION("""COMPUTED_VALUE"""),"MFH")</f>
        <v>MFH</v>
      </c>
      <c r="J3567" s="6" t="str">
        <f>IFERROR(__xludf.DUMMYFUNCTION("""COMPUTED_VALUE"""),"Building")</f>
        <v>Building</v>
      </c>
      <c r="K3567" s="6" t="str">
        <f>IFERROR(__xludf.DUMMYFUNCTION("""COMPUTED_VALUE"""),"SPR/04/26/044")</f>
        <v>SPR/04/26/044</v>
      </c>
      <c r="L3567" s="13">
        <f>IFERROR(__xludf.DUMMYFUNCTION("""COMPUTED_VALUE"""),46142.0)</f>
        <v>46142</v>
      </c>
    </row>
    <row r="3568">
      <c r="A3568" s="6" t="str">
        <f>IFERROR(__xludf.DUMMYFUNCTION("""COMPUTED_VALUE"""),"KFF")</f>
        <v>KFF</v>
      </c>
      <c r="B3568" s="6" t="str">
        <f>IFERROR(__xludf.DUMMYFUNCTION("""COMPUTED_VALUE"""),"ENG")</f>
        <v>ENG</v>
      </c>
      <c r="C3568" s="6" t="str">
        <f>IFERROR(__xludf.DUMMYFUNCTION("""COMPUTED_VALUE"""),"O-16732-00")</f>
        <v>O-16732-00</v>
      </c>
      <c r="D3568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568" s="6">
        <f>IFERROR(__xludf.DUMMYFUNCTION("""COMPUTED_VALUE"""),2.0)</f>
        <v>2</v>
      </c>
      <c r="F3568" s="6">
        <f>IFERROR(__xludf.DUMMYFUNCTION("""COMPUTED_VALUE"""),2.0)</f>
        <v>2</v>
      </c>
      <c r="G3568" s="6">
        <f>IFERROR(__xludf.DUMMYFUNCTION("""COMPUTED_VALUE"""),0.0)</f>
        <v>0</v>
      </c>
      <c r="H3568" s="6" t="str">
        <f>IFERROR(__xludf.DUMMYFUNCTION("""COMPUTED_VALUE"""),"Pcs")</f>
        <v>Pcs</v>
      </c>
      <c r="I3568" s="6" t="str">
        <f>IFERROR(__xludf.DUMMYFUNCTION("""COMPUTED_VALUE"""),"MFH")</f>
        <v>MFH</v>
      </c>
      <c r="J3568" s="6" t="str">
        <f>IFERROR(__xludf.DUMMYFUNCTION("""COMPUTED_VALUE"""),"Autoclave")</f>
        <v>Autoclave</v>
      </c>
      <c r="K3568" s="6" t="str">
        <f>IFERROR(__xludf.DUMMYFUNCTION("""COMPUTED_VALUE"""),"SPR/04/26/045")</f>
        <v>SPR/04/26/045</v>
      </c>
      <c r="L3568" s="13">
        <f>IFERROR(__xludf.DUMMYFUNCTION("""COMPUTED_VALUE"""),46142.0)</f>
        <v>46142</v>
      </c>
    </row>
    <row r="3569">
      <c r="A3569" s="6" t="str">
        <f>IFERROR(__xludf.DUMMYFUNCTION("""COMPUTED_VALUE"""),"ROS")</f>
        <v>ROS</v>
      </c>
      <c r="B3569" s="6" t="str">
        <f>IFERROR(__xludf.DUMMYFUNCTION("""COMPUTED_VALUE"""),"ENG")</f>
        <v>ENG</v>
      </c>
      <c r="C3569" s="6" t="str">
        <f>IFERROR(__xludf.DUMMYFUNCTION("""COMPUTED_VALUE"""),"O-16731-00")</f>
        <v>O-16731-00</v>
      </c>
      <c r="D3569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569" s="6">
        <f>IFERROR(__xludf.DUMMYFUNCTION("""COMPUTED_VALUE"""),2.0)</f>
        <v>2</v>
      </c>
      <c r="F3569" s="6">
        <f>IFERROR(__xludf.DUMMYFUNCTION("""COMPUTED_VALUE"""),2.0)</f>
        <v>2</v>
      </c>
      <c r="G3569" s="6">
        <f>IFERROR(__xludf.DUMMYFUNCTION("""COMPUTED_VALUE"""),0.0)</f>
        <v>0</v>
      </c>
      <c r="H3569" s="6" t="str">
        <f>IFERROR(__xludf.DUMMYFUNCTION("""COMPUTED_VALUE"""),"Pcs")</f>
        <v>Pcs</v>
      </c>
      <c r="I3569" s="6" t="str">
        <f>IFERROR(__xludf.DUMMYFUNCTION("""COMPUTED_VALUE"""),"MFH")</f>
        <v>MFH</v>
      </c>
      <c r="J3569" s="6" t="str">
        <f>IFERROR(__xludf.DUMMYFUNCTION("""COMPUTED_VALUE"""),"Autoclave")</f>
        <v>Autoclave</v>
      </c>
      <c r="K3569" s="6" t="str">
        <f>IFERROR(__xludf.DUMMYFUNCTION("""COMPUTED_VALUE"""),"SPR/04/26/046")</f>
        <v>SPR/04/26/046</v>
      </c>
      <c r="L3569" s="13">
        <f>IFERROR(__xludf.DUMMYFUNCTION("""COMPUTED_VALUE"""),46142.0)</f>
        <v>46142</v>
      </c>
    </row>
    <row r="3570">
      <c r="A3570" s="6" t="str">
        <f>IFERROR(__xludf.DUMMYFUNCTION("""COMPUTED_VALUE"""),"ROS")</f>
        <v>ROS</v>
      </c>
      <c r="B3570" s="6" t="str">
        <f>IFERROR(__xludf.DUMMYFUNCTION("""COMPUTED_VALUE"""),"ENG")</f>
        <v>ENG</v>
      </c>
      <c r="C3570" s="6" t="str">
        <f>IFERROR(__xludf.DUMMYFUNCTION("""COMPUTED_VALUE"""),"O-16732-00")</f>
        <v>O-16732-00</v>
      </c>
      <c r="D3570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570" s="6">
        <f>IFERROR(__xludf.DUMMYFUNCTION("""COMPUTED_VALUE"""),1.0)</f>
        <v>1</v>
      </c>
      <c r="F3570" s="6">
        <f>IFERROR(__xludf.DUMMYFUNCTION("""COMPUTED_VALUE"""),1.0)</f>
        <v>1</v>
      </c>
      <c r="G3570" s="6">
        <f>IFERROR(__xludf.DUMMYFUNCTION("""COMPUTED_VALUE"""),0.0)</f>
        <v>0</v>
      </c>
      <c r="H3570" s="6" t="str">
        <f>IFERROR(__xludf.DUMMYFUNCTION("""COMPUTED_VALUE"""),"Pcs")</f>
        <v>Pcs</v>
      </c>
      <c r="I3570" s="6" t="str">
        <f>IFERROR(__xludf.DUMMYFUNCTION("""COMPUTED_VALUE"""),"MFH")</f>
        <v>MFH</v>
      </c>
      <c r="J3570" s="6" t="str">
        <f>IFERROR(__xludf.DUMMYFUNCTION("""COMPUTED_VALUE"""),"Autoclave")</f>
        <v>Autoclave</v>
      </c>
      <c r="K3570" s="6" t="str">
        <f>IFERROR(__xludf.DUMMYFUNCTION("""COMPUTED_VALUE"""),"SPR/04/26/046")</f>
        <v>SPR/04/26/046</v>
      </c>
      <c r="L3570" s="13">
        <f>IFERROR(__xludf.DUMMYFUNCTION("""COMPUTED_VALUE"""),46142.0)</f>
        <v>46142</v>
      </c>
    </row>
    <row r="3571">
      <c r="A3571" s="6" t="str">
        <f>IFERROR(__xludf.DUMMYFUNCTION("""COMPUTED_VALUE"""),"RIA")</f>
        <v>RIA</v>
      </c>
      <c r="B3571" s="6" t="str">
        <f>IFERROR(__xludf.DUMMYFUNCTION("""COMPUTED_VALUE"""),"ENG")</f>
        <v>ENG</v>
      </c>
      <c r="C3571" s="6" t="str">
        <f>IFERROR(__xludf.DUMMYFUNCTION("""COMPUTED_VALUE"""),"P-11968-00")</f>
        <v>P-11968-00</v>
      </c>
      <c r="D3571" s="6" t="str">
        <f>IFERROR(__xludf.DUMMYFUNCTION("""COMPUTED_VALUE"""),"Berusynt FGH Spray H1 - Bechem")</f>
        <v>Berusynt FGH Spray H1 - Bechem</v>
      </c>
      <c r="E3571" s="6">
        <f>IFERROR(__xludf.DUMMYFUNCTION("""COMPUTED_VALUE"""),1.0)</f>
        <v>1</v>
      </c>
      <c r="F3571" s="6">
        <f>IFERROR(__xludf.DUMMYFUNCTION("""COMPUTED_VALUE"""),1.0)</f>
        <v>1</v>
      </c>
      <c r="G3571" s="6">
        <f>IFERROR(__xludf.DUMMYFUNCTION("""COMPUTED_VALUE"""),0.0)</f>
        <v>0</v>
      </c>
      <c r="H3571" s="6" t="str">
        <f>IFERROR(__xludf.DUMMYFUNCTION("""COMPUTED_VALUE"""),"Pcs")</f>
        <v>Pcs</v>
      </c>
      <c r="I3571" s="6" t="str">
        <f>IFERROR(__xludf.DUMMYFUNCTION("""COMPUTED_VALUE"""),"MFH")</f>
        <v>MFH</v>
      </c>
      <c r="J3571" s="6" t="str">
        <f>IFERROR(__xludf.DUMMYFUNCTION("""COMPUTED_VALUE"""),"Building")</f>
        <v>Building</v>
      </c>
      <c r="K3571" s="6" t="str">
        <f>IFERROR(__xludf.DUMMYFUNCTION("""COMPUTED_VALUE"""),"SPR/04/26/047")</f>
        <v>SPR/04/26/047</v>
      </c>
      <c r="L3571" s="13">
        <f>IFERROR(__xludf.DUMMYFUNCTION("""COMPUTED_VALUE"""),46142.0)</f>
        <v>46142</v>
      </c>
    </row>
    <row r="3572">
      <c r="A3572" s="6" t="str">
        <f>IFERROR(__xludf.DUMMYFUNCTION("""COMPUTED_VALUE"""),"INN")</f>
        <v>INN</v>
      </c>
      <c r="B3572" s="6" t="str">
        <f>IFERROR(__xludf.DUMMYFUNCTION("""COMPUTED_VALUE"""),"ENG")</f>
        <v>ENG</v>
      </c>
      <c r="C3572" s="6" t="str">
        <f>IFERROR(__xludf.DUMMYFUNCTION("""COMPUTED_VALUE"""),"O-16032-00")</f>
        <v>O-16032-00</v>
      </c>
      <c r="D3572" s="6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E3572" s="6">
        <f>IFERROR(__xludf.DUMMYFUNCTION("""COMPUTED_VALUE"""),2.0)</f>
        <v>2</v>
      </c>
      <c r="F3572" s="6">
        <f>IFERROR(__xludf.DUMMYFUNCTION("""COMPUTED_VALUE"""),2.0)</f>
        <v>2</v>
      </c>
      <c r="G3572" s="6">
        <f>IFERROR(__xludf.DUMMYFUNCTION("""COMPUTED_VALUE"""),0.0)</f>
        <v>0</v>
      </c>
      <c r="H3572" s="6" t="str">
        <f>IFERROR(__xludf.DUMMYFUNCTION("""COMPUTED_VALUE"""),"Pcs")</f>
        <v>Pcs</v>
      </c>
      <c r="I3572" s="6" t="str">
        <f>IFERROR(__xludf.DUMMYFUNCTION("""COMPUTED_VALUE"""),"MFH")</f>
        <v>MFH</v>
      </c>
      <c r="J3572" s="6" t="str">
        <f>IFERROR(__xludf.DUMMYFUNCTION("""COMPUTED_VALUE"""),"cRABS")</f>
        <v>cRABS</v>
      </c>
      <c r="K3572" s="6" t="str">
        <f>IFERROR(__xludf.DUMMYFUNCTION("""COMPUTED_VALUE"""),"SPR/04/26/048")</f>
        <v>SPR/04/26/048</v>
      </c>
      <c r="L3572" s="13">
        <f>IFERROR(__xludf.DUMMYFUNCTION("""COMPUTED_VALUE"""),46142.0)</f>
        <v>46142</v>
      </c>
    </row>
    <row r="3573">
      <c r="A3573" s="6" t="str">
        <f>IFERROR(__xludf.DUMMYFUNCTION("""COMPUTED_VALUE"""),"RPA")</f>
        <v>RPA</v>
      </c>
      <c r="B3573" s="6" t="str">
        <f>IFERROR(__xludf.DUMMYFUNCTION("""COMPUTED_VALUE"""),"ENG")</f>
        <v>ENG</v>
      </c>
      <c r="C3573" s="6" t="str">
        <f>IFERROR(__xludf.DUMMYFUNCTION("""COMPUTED_VALUE"""),"O-18055-00")</f>
        <v>O-18055-00</v>
      </c>
      <c r="D3573" s="6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E3573" s="6">
        <f>IFERROR(__xludf.DUMMYFUNCTION("""COMPUTED_VALUE"""),6.0)</f>
        <v>6</v>
      </c>
      <c r="F3573" s="6">
        <f>IFERROR(__xludf.DUMMYFUNCTION("""COMPUTED_VALUE"""),6.0)</f>
        <v>6</v>
      </c>
      <c r="G3573" s="6">
        <f>IFERROR(__xludf.DUMMYFUNCTION("""COMPUTED_VALUE"""),0.0)</f>
        <v>0</v>
      </c>
      <c r="H3573" s="6" t="str">
        <f>IFERROR(__xludf.DUMMYFUNCTION("""COMPUTED_VALUE"""),"Pcs")</f>
        <v>Pcs</v>
      </c>
      <c r="I3573" s="6" t="str">
        <f>IFERROR(__xludf.DUMMYFUNCTION("""COMPUTED_VALUE"""),"MFH")</f>
        <v>MFH</v>
      </c>
      <c r="J3573" s="6" t="str">
        <f>IFERROR(__xludf.DUMMYFUNCTION("""COMPUTED_VALUE"""),"-")</f>
        <v>-</v>
      </c>
      <c r="K3573" s="6" t="str">
        <f>IFERROR(__xludf.DUMMYFUNCTION("""COMPUTED_VALUE"""),"SPR/04/26/049")</f>
        <v>SPR/04/26/049</v>
      </c>
      <c r="L3573" s="13">
        <f>IFERROR(__xludf.DUMMYFUNCTION("""COMPUTED_VALUE"""),46142.0)</f>
        <v>46142</v>
      </c>
    </row>
    <row r="3574">
      <c r="A3574" s="6" t="str">
        <f>IFERROR(__xludf.DUMMYFUNCTION("""COMPUTED_VALUE"""),"KFF")</f>
        <v>KFF</v>
      </c>
      <c r="B3574" s="6" t="str">
        <f>IFERROR(__xludf.DUMMYFUNCTION("""COMPUTED_VALUE"""),"ENG")</f>
        <v>ENG</v>
      </c>
      <c r="C3574" s="6" t="str">
        <f>IFERROR(__xludf.DUMMYFUNCTION("""COMPUTED_VALUE"""),"O-53032-00")</f>
        <v>O-53032-00</v>
      </c>
      <c r="D3574" s="6" t="str">
        <f>IFERROR(__xludf.DUMMYFUNCTION("""COMPUTED_VALUE"""),"Cable Temperature Sensor Silicone 1,5m PT1000 QAP2012.150")</f>
        <v>Cable Temperature Sensor Silicone 1,5m PT1000 QAP2012.150</v>
      </c>
      <c r="E3574" s="6">
        <f>IFERROR(__xludf.DUMMYFUNCTION("""COMPUTED_VALUE"""),1.0)</f>
        <v>1</v>
      </c>
      <c r="F3574" s="6">
        <f>IFERROR(__xludf.DUMMYFUNCTION("""COMPUTED_VALUE"""),1.0)</f>
        <v>1</v>
      </c>
      <c r="G3574" s="6">
        <f>IFERROR(__xludf.DUMMYFUNCTION("""COMPUTED_VALUE"""),0.0)</f>
        <v>0</v>
      </c>
      <c r="H3574" s="6" t="str">
        <f>IFERROR(__xludf.DUMMYFUNCTION("""COMPUTED_VALUE"""),"Pcs")</f>
        <v>Pcs</v>
      </c>
      <c r="I3574" s="6" t="str">
        <f>IFERROR(__xludf.DUMMYFUNCTION("""COMPUTED_VALUE"""),"MFH")</f>
        <v>MFH</v>
      </c>
      <c r="J3574" s="6" t="str">
        <f>IFERROR(__xludf.DUMMYFUNCTION("""COMPUTED_VALUE"""),"FD")</f>
        <v>FD</v>
      </c>
      <c r="K3574" s="6" t="str">
        <f>IFERROR(__xludf.DUMMYFUNCTION("""COMPUTED_VALUE"""),"SPR/04/26/050")</f>
        <v>SPR/04/26/050</v>
      </c>
      <c r="L3574" s="13">
        <f>IFERROR(__xludf.DUMMYFUNCTION("""COMPUTED_VALUE"""),46142.0)</f>
        <v>46142</v>
      </c>
    </row>
    <row r="3575">
      <c r="A3575" s="6" t="str">
        <f>IFERROR(__xludf.DUMMYFUNCTION("""COMPUTED_VALUE"""),"AAA")</f>
        <v>AAA</v>
      </c>
      <c r="B3575" s="6" t="str">
        <f>IFERROR(__xludf.DUMMYFUNCTION("""COMPUTED_VALUE"""),"ENG")</f>
        <v>ENG</v>
      </c>
      <c r="C3575" s="6" t="str">
        <f>IFERROR(__xludf.DUMMYFUNCTION("""COMPUTED_VALUE"""),"P-19885-00")</f>
        <v>P-19885-00</v>
      </c>
      <c r="D3575" s="6" t="str">
        <f>IFERROR(__xludf.DUMMYFUNCTION("""COMPUTED_VALUE"""),"General - Kabel Duct Oval, Size: 50x15, Panjang 2.9meter; Stindo; -; 1 pc")</f>
        <v>General - Kabel Duct Oval, Size: 50x15, Panjang 2.9meter; Stindo; -; 1 pc</v>
      </c>
      <c r="E3575" s="6">
        <f>IFERROR(__xludf.DUMMYFUNCTION("""COMPUTED_VALUE"""),1.0)</f>
        <v>1</v>
      </c>
      <c r="F3575" s="6">
        <f>IFERROR(__xludf.DUMMYFUNCTION("""COMPUTED_VALUE"""),1.0)</f>
        <v>1</v>
      </c>
      <c r="G3575" s="6">
        <f>IFERROR(__xludf.DUMMYFUNCTION("""COMPUTED_VALUE"""),0.0)</f>
        <v>0</v>
      </c>
      <c r="H3575" s="6" t="str">
        <f>IFERROR(__xludf.DUMMYFUNCTION("""COMPUTED_VALUE"""),"Pcs")</f>
        <v>Pcs</v>
      </c>
      <c r="I3575" s="6" t="str">
        <f>IFERROR(__xludf.DUMMYFUNCTION("""COMPUTED_VALUE"""),"MFH")</f>
        <v>MFH</v>
      </c>
      <c r="J3575" s="6" t="str">
        <f>IFERROR(__xludf.DUMMYFUNCTION("""COMPUTED_VALUE"""),"Meja Inspeksi")</f>
        <v>Meja Inspeksi</v>
      </c>
      <c r="K3575" s="6" t="str">
        <f>IFERROR(__xludf.DUMMYFUNCTION("""COMPUTED_VALUE"""),"SPR/04/26/051")</f>
        <v>SPR/04/26/051</v>
      </c>
      <c r="L3575" s="13">
        <f>IFERROR(__xludf.DUMMYFUNCTION("""COMPUTED_VALUE"""),46142.0)</f>
        <v>46142</v>
      </c>
    </row>
    <row r="3576">
      <c r="A3576" s="6" t="str">
        <f>IFERROR(__xludf.DUMMYFUNCTION("""COMPUTED_VALUE"""),"AAA")</f>
        <v>AAA</v>
      </c>
      <c r="B3576" s="6" t="str">
        <f>IFERROR(__xludf.DUMMYFUNCTION("""COMPUTED_VALUE"""),"ENG")</f>
        <v>ENG</v>
      </c>
      <c r="C3576" s="6" t="str">
        <f>IFERROR(__xludf.DUMMYFUNCTION("""COMPUTED_VALUE"""),"P-14877-00")</f>
        <v>P-14877-00</v>
      </c>
      <c r="D3576" s="6" t="str">
        <f>IFERROR(__xludf.DUMMYFUNCTION("""COMPUTED_VALUE"""),"General - Kabel NYYHY 3 x 2.5mm; SUPREME; -; 1 meter")</f>
        <v>General - Kabel NYYHY 3 x 2.5mm; SUPREME; -; 1 meter</v>
      </c>
      <c r="E3576" s="6">
        <f>IFERROR(__xludf.DUMMYFUNCTION("""COMPUTED_VALUE"""),6.0)</f>
        <v>6</v>
      </c>
      <c r="F3576" s="6">
        <f>IFERROR(__xludf.DUMMYFUNCTION("""COMPUTED_VALUE"""),6.0)</f>
        <v>6</v>
      </c>
      <c r="G3576" s="6">
        <f>IFERROR(__xludf.DUMMYFUNCTION("""COMPUTED_VALUE"""),0.0)</f>
        <v>0</v>
      </c>
      <c r="H3576" s="6" t="str">
        <f>IFERROR(__xludf.DUMMYFUNCTION("""COMPUTED_VALUE"""),"Pcs")</f>
        <v>Pcs</v>
      </c>
      <c r="I3576" s="6" t="str">
        <f>IFERROR(__xludf.DUMMYFUNCTION("""COMPUTED_VALUE"""),"MFH")</f>
        <v>MFH</v>
      </c>
      <c r="J3576" s="6" t="str">
        <f>IFERROR(__xludf.DUMMYFUNCTION("""COMPUTED_VALUE"""),"Meja Inspeksi")</f>
        <v>Meja Inspeksi</v>
      </c>
      <c r="K3576" s="6" t="str">
        <f>IFERROR(__xludf.DUMMYFUNCTION("""COMPUTED_VALUE"""),"SPR/04/26/051")</f>
        <v>SPR/04/26/051</v>
      </c>
      <c r="L3576" s="13">
        <f>IFERROR(__xludf.DUMMYFUNCTION("""COMPUTED_VALUE"""),46142.0)</f>
        <v>46142</v>
      </c>
    </row>
    <row r="3577">
      <c r="A3577" s="6" t="str">
        <f>IFERROR(__xludf.DUMMYFUNCTION("""COMPUTED_VALUE"""),"AAA")</f>
        <v>AAA</v>
      </c>
      <c r="B3577" s="6" t="str">
        <f>IFERROR(__xludf.DUMMYFUNCTION("""COMPUTED_VALUE"""),"ENG")</f>
        <v>ENG</v>
      </c>
      <c r="C3577" s="6" t="str">
        <f>IFERROR(__xludf.DUMMYFUNCTION("""COMPUTED_VALUE"""),"O-54015-00")</f>
        <v>O-54015-00</v>
      </c>
      <c r="D3577" s="6" t="str">
        <f>IFERROR(__xludf.DUMMYFUNCTION("""COMPUTED_VALUE"""),"STOP KONTAK LUBANG 4, BROCO")</f>
        <v>STOP KONTAK LUBANG 4, BROCO</v>
      </c>
      <c r="E3577" s="6">
        <f>IFERROR(__xludf.DUMMYFUNCTION("""COMPUTED_VALUE"""),1.0)</f>
        <v>1</v>
      </c>
      <c r="F3577" s="6">
        <f>IFERROR(__xludf.DUMMYFUNCTION("""COMPUTED_VALUE"""),1.0)</f>
        <v>1</v>
      </c>
      <c r="G3577" s="6">
        <f>IFERROR(__xludf.DUMMYFUNCTION("""COMPUTED_VALUE"""),0.0)</f>
        <v>0</v>
      </c>
      <c r="H3577" s="6" t="str">
        <f>IFERROR(__xludf.DUMMYFUNCTION("""COMPUTED_VALUE"""),"Pcs")</f>
        <v>Pcs</v>
      </c>
      <c r="I3577" s="6" t="str">
        <f>IFERROR(__xludf.DUMMYFUNCTION("""COMPUTED_VALUE"""),"MFH")</f>
        <v>MFH</v>
      </c>
      <c r="J3577" s="6" t="str">
        <f>IFERROR(__xludf.DUMMYFUNCTION("""COMPUTED_VALUE"""),"Meja Inspeksi")</f>
        <v>Meja Inspeksi</v>
      </c>
      <c r="K3577" s="6" t="str">
        <f>IFERROR(__xludf.DUMMYFUNCTION("""COMPUTED_VALUE"""),"SPR/04/26/052")</f>
        <v>SPR/04/26/052</v>
      </c>
      <c r="L3577" s="13">
        <f>IFERROR(__xludf.DUMMYFUNCTION("""COMPUTED_VALUE"""),46142.0)</f>
        <v>46142</v>
      </c>
    </row>
    <row r="3578">
      <c r="A3578" s="6" t="str">
        <f>IFERROR(__xludf.DUMMYFUNCTION("""COMPUTED_VALUE"""),"AAA")</f>
        <v>AAA</v>
      </c>
      <c r="B3578" s="6" t="str">
        <f>IFERROR(__xludf.DUMMYFUNCTION("""COMPUTED_VALUE"""),"ENG")</f>
        <v>ENG</v>
      </c>
      <c r="C3578" s="6" t="str">
        <f>IFERROR(__xludf.DUMMYFUNCTION("""COMPUTED_VALUE"""),"O-54014-00")</f>
        <v>O-54014-00</v>
      </c>
      <c r="D3578" s="6" t="str">
        <f>IFERROR(__xludf.DUMMYFUNCTION("""COMPUTED_VALUE"""),"STEKER 1 PHASE, BROCO")</f>
        <v>STEKER 1 PHASE, BROCO</v>
      </c>
      <c r="E3578" s="6">
        <f>IFERROR(__xludf.DUMMYFUNCTION("""COMPUTED_VALUE"""),1.0)</f>
        <v>1</v>
      </c>
      <c r="F3578" s="6">
        <f>IFERROR(__xludf.DUMMYFUNCTION("""COMPUTED_VALUE"""),1.0)</f>
        <v>1</v>
      </c>
      <c r="G3578" s="6">
        <f>IFERROR(__xludf.DUMMYFUNCTION("""COMPUTED_VALUE"""),0.0)</f>
        <v>0</v>
      </c>
      <c r="H3578" s="6" t="str">
        <f>IFERROR(__xludf.DUMMYFUNCTION("""COMPUTED_VALUE"""),"Pcs")</f>
        <v>Pcs</v>
      </c>
      <c r="I3578" s="6" t="str">
        <f>IFERROR(__xludf.DUMMYFUNCTION("""COMPUTED_VALUE"""),"MFH")</f>
        <v>MFH</v>
      </c>
      <c r="J3578" s="6" t="str">
        <f>IFERROR(__xludf.DUMMYFUNCTION("""COMPUTED_VALUE"""),"Meja Inspeksi")</f>
        <v>Meja Inspeksi</v>
      </c>
      <c r="K3578" s="6" t="str">
        <f>IFERROR(__xludf.DUMMYFUNCTION("""COMPUTED_VALUE"""),"SPR/04/26/052")</f>
        <v>SPR/04/26/052</v>
      </c>
      <c r="L3578" s="13">
        <f>IFERROR(__xludf.DUMMYFUNCTION("""COMPUTED_VALUE"""),46142.0)</f>
        <v>46142</v>
      </c>
    </row>
    <row r="3579">
      <c r="A3579" s="6" t="str">
        <f>IFERROR(__xludf.DUMMYFUNCTION("""COMPUTED_VALUE"""),"AAA")</f>
        <v>AAA</v>
      </c>
      <c r="B3579" s="6" t="str">
        <f>IFERROR(__xludf.DUMMYFUNCTION("""COMPUTED_VALUE"""),"ENG")</f>
        <v>ENG</v>
      </c>
      <c r="C3579" s="6" t="str">
        <f>IFERROR(__xludf.DUMMYFUNCTION("""COMPUTED_VALUE"""),"S-40640-00")</f>
        <v>S-40640-00</v>
      </c>
      <c r="D3579" s="6" t="str">
        <f>IFERROR(__xludf.DUMMYFUNCTION("""COMPUTED_VALUE"""),"Cable Ties, 150 x 3.6 mm; SIGMA; CS 150T; Putih;100 pcs/pack")</f>
        <v>Cable Ties, 150 x 3.6 mm; SIGMA; CS 150T; Putih;100 pcs/pack</v>
      </c>
      <c r="E3579" s="6">
        <f>IFERROR(__xludf.DUMMYFUNCTION("""COMPUTED_VALUE"""),1.0)</f>
        <v>1</v>
      </c>
      <c r="F3579" s="6">
        <f>IFERROR(__xludf.DUMMYFUNCTION("""COMPUTED_VALUE"""),1.0)</f>
        <v>1</v>
      </c>
      <c r="G3579" s="6">
        <f>IFERROR(__xludf.DUMMYFUNCTION("""COMPUTED_VALUE"""),0.0)</f>
        <v>0</v>
      </c>
      <c r="H3579" s="6" t="str">
        <f>IFERROR(__xludf.DUMMYFUNCTION("""COMPUTED_VALUE"""),"Pcs")</f>
        <v>Pcs</v>
      </c>
      <c r="I3579" s="6" t="str">
        <f>IFERROR(__xludf.DUMMYFUNCTION("""COMPUTED_VALUE"""),"MFH")</f>
        <v>MFH</v>
      </c>
      <c r="J3579" s="6" t="str">
        <f>IFERROR(__xludf.DUMMYFUNCTION("""COMPUTED_VALUE"""),"Meja Inspeksi")</f>
        <v>Meja Inspeksi</v>
      </c>
      <c r="K3579" s="6" t="str">
        <f>IFERROR(__xludf.DUMMYFUNCTION("""COMPUTED_VALUE"""),"SPR/04/26/052")</f>
        <v>SPR/04/26/052</v>
      </c>
      <c r="L3579" s="13">
        <f>IFERROR(__xludf.DUMMYFUNCTION("""COMPUTED_VALUE"""),46142.0)</f>
        <v>46142</v>
      </c>
    </row>
    <row r="3580">
      <c r="A3580" s="6" t="str">
        <f>IFERROR(__xludf.DUMMYFUNCTION("""COMPUTED_VALUE"""),"SFH")</f>
        <v>SFH</v>
      </c>
      <c r="B3580" s="6" t="str">
        <f>IFERROR(__xludf.DUMMYFUNCTION("""COMPUTED_VALUE"""),"ENG")</f>
        <v>ENG</v>
      </c>
      <c r="C3580" s="6" t="str">
        <f>IFERROR(__xludf.DUMMYFUNCTION("""COMPUTED_VALUE"""),"P-54447-00")</f>
        <v>P-54447-00</v>
      </c>
      <c r="D3580" s="6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E3580" s="6">
        <f>IFERROR(__xludf.DUMMYFUNCTION("""COMPUTED_VALUE"""),3.0)</f>
        <v>3</v>
      </c>
      <c r="F3580" s="6">
        <f>IFERROR(__xludf.DUMMYFUNCTION("""COMPUTED_VALUE"""),3.0)</f>
        <v>3</v>
      </c>
      <c r="G3580" s="6">
        <f>IFERROR(__xludf.DUMMYFUNCTION("""COMPUTED_VALUE"""),0.0)</f>
        <v>0</v>
      </c>
      <c r="H3580" s="6" t="str">
        <f>IFERROR(__xludf.DUMMYFUNCTION("""COMPUTED_VALUE"""),"Pcs")</f>
        <v>Pcs</v>
      </c>
      <c r="I3580" s="6" t="str">
        <f>IFERROR(__xludf.DUMMYFUNCTION("""COMPUTED_VALUE"""),"MFH")</f>
        <v>MFH</v>
      </c>
      <c r="J3580" s="6" t="str">
        <f>IFERROR(__xludf.DUMMYFUNCTION("""COMPUTED_VALUE"""),"Building")</f>
        <v>Building</v>
      </c>
      <c r="K3580" s="6" t="str">
        <f>IFERROR(__xludf.DUMMYFUNCTION("""COMPUTED_VALUE"""),"SPR/04/26/053")</f>
        <v>SPR/04/26/053</v>
      </c>
      <c r="L3580" s="13">
        <f>IFERROR(__xludf.DUMMYFUNCTION("""COMPUTED_VALUE"""),46142.0)</f>
        <v>46142</v>
      </c>
    </row>
    <row r="3581">
      <c r="A3581" s="6" t="str">
        <f>IFERROR(__xludf.DUMMYFUNCTION("""COMPUTED_VALUE"""),"SFH")</f>
        <v>SFH</v>
      </c>
      <c r="B3581" s="6" t="str">
        <f>IFERROR(__xludf.DUMMYFUNCTION("""COMPUTED_VALUE"""),"ENG")</f>
        <v>ENG</v>
      </c>
      <c r="C3581" s="6" t="str">
        <f>IFERROR(__xludf.DUMMYFUNCTION("""COMPUTED_VALUE"""),"T-80681-00")</f>
        <v>T-80681-00</v>
      </c>
      <c r="D3581" s="6" t="str">
        <f>IFERROR(__xludf.DUMMYFUNCTION("""COMPUTED_VALUE"""),"Battery Kancing Energizer CR2032  3V Lithium; ; ;")</f>
        <v>Battery Kancing Energizer CR2032  3V Lithium; ; ;</v>
      </c>
      <c r="E3581" s="6">
        <f>IFERROR(__xludf.DUMMYFUNCTION("""COMPUTED_VALUE"""),1.0)</f>
        <v>1</v>
      </c>
      <c r="F3581" s="6">
        <f>IFERROR(__xludf.DUMMYFUNCTION("""COMPUTED_VALUE"""),1.0)</f>
        <v>1</v>
      </c>
      <c r="G3581" s="6">
        <f>IFERROR(__xludf.DUMMYFUNCTION("""COMPUTED_VALUE"""),0.0)</f>
        <v>0</v>
      </c>
      <c r="H3581" s="6" t="str">
        <f>IFERROR(__xludf.DUMMYFUNCTION("""COMPUTED_VALUE"""),"Pcs")</f>
        <v>Pcs</v>
      </c>
      <c r="I3581" s="6" t="str">
        <f>IFERROR(__xludf.DUMMYFUNCTION("""COMPUTED_VALUE"""),"MFH")</f>
        <v>MFH</v>
      </c>
      <c r="J3581" s="6" t="str">
        <f>IFERROR(__xludf.DUMMYFUNCTION("""COMPUTED_VALUE"""),"-")</f>
        <v>-</v>
      </c>
      <c r="K3581" s="6" t="str">
        <f>IFERROR(__xludf.DUMMYFUNCTION("""COMPUTED_VALUE"""),"SPR/04/26/053")</f>
        <v>SPR/04/26/053</v>
      </c>
      <c r="L3581" s="13">
        <f>IFERROR(__xludf.DUMMYFUNCTION("""COMPUTED_VALUE"""),46142.0)</f>
        <v>46142</v>
      </c>
    </row>
    <row r="3582">
      <c r="A3582" s="6" t="str">
        <f>IFERROR(__xludf.DUMMYFUNCTION("""COMPUTED_VALUE"""),"ANO")</f>
        <v>ANO</v>
      </c>
      <c r="B3582" s="6" t="str">
        <f>IFERROR(__xludf.DUMMYFUNCTION("""COMPUTED_VALUE"""),"ENG")</f>
        <v>ENG</v>
      </c>
      <c r="C3582" s="6" t="str">
        <f>IFERROR(__xludf.DUMMYFUNCTION("""COMPUTED_VALUE"""),"Q-70148-00")</f>
        <v>Q-70148-00</v>
      </c>
      <c r="D3582" s="6" t="str">
        <f>IFERROR(__xludf.DUMMYFUNCTION("""COMPUTED_VALUE"""),"Kunci L Bintang / Tamper Torx Key; Tekiro; HK-TA1206; 9 pc/set")</f>
        <v>Kunci L Bintang / Tamper Torx Key; Tekiro; HK-TA1206; 9 pc/set</v>
      </c>
      <c r="E3582" s="6">
        <f>IFERROR(__xludf.DUMMYFUNCTION("""COMPUTED_VALUE"""),1.0)</f>
        <v>1</v>
      </c>
      <c r="F3582" s="6">
        <f>IFERROR(__xludf.DUMMYFUNCTION("""COMPUTED_VALUE"""),1.0)</f>
        <v>1</v>
      </c>
      <c r="G3582" s="6">
        <f>IFERROR(__xludf.DUMMYFUNCTION("""COMPUTED_VALUE"""),0.0)</f>
        <v>0</v>
      </c>
      <c r="H3582" s="6" t="str">
        <f>IFERROR(__xludf.DUMMYFUNCTION("""COMPUTED_VALUE"""),"Pcs")</f>
        <v>Pcs</v>
      </c>
      <c r="I3582" s="6" t="str">
        <f>IFERROR(__xludf.DUMMYFUNCTION("""COMPUTED_VALUE"""),"MFH")</f>
        <v>MFH</v>
      </c>
      <c r="J3582" s="6" t="str">
        <f>IFERROR(__xludf.DUMMYFUNCTION("""COMPUTED_VALUE"""),"Tools")</f>
        <v>Tools</v>
      </c>
      <c r="K3582" s="6" t="str">
        <f>IFERROR(__xludf.DUMMYFUNCTION("""COMPUTED_VALUE"""),"SPR/04/26/054")</f>
        <v>SPR/04/26/054</v>
      </c>
      <c r="L3582" s="13">
        <f>IFERROR(__xludf.DUMMYFUNCTION("""COMPUTED_VALUE"""),46142.0)</f>
        <v>46142</v>
      </c>
    </row>
    <row r="3583">
      <c r="A3583" s="6" t="str">
        <f>IFERROR(__xludf.DUMMYFUNCTION("""COMPUTED_VALUE"""),"NDS")</f>
        <v>NDS</v>
      </c>
      <c r="B3583" s="6" t="str">
        <f>IFERROR(__xludf.DUMMYFUNCTION("""COMPUTED_VALUE"""),"ENG")</f>
        <v>ENG</v>
      </c>
      <c r="C3583" s="6" t="str">
        <f>IFERROR(__xludf.DUMMYFUNCTION("""COMPUTED_VALUE"""),"O-52210-00")</f>
        <v>O-52210-00</v>
      </c>
      <c r="D3583" s="6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E3583" s="6">
        <f>IFERROR(__xludf.DUMMYFUNCTION("""COMPUTED_VALUE"""),1.0)</f>
        <v>1</v>
      </c>
      <c r="F3583" s="6">
        <f>IFERROR(__xludf.DUMMYFUNCTION("""COMPUTED_VALUE"""),1.0)</f>
        <v>1</v>
      </c>
      <c r="G3583" s="6">
        <f>IFERROR(__xludf.DUMMYFUNCTION("""COMPUTED_VALUE"""),0.0)</f>
        <v>0</v>
      </c>
      <c r="H3583" s="6" t="str">
        <f>IFERROR(__xludf.DUMMYFUNCTION("""COMPUTED_VALUE"""),"Pcs")</f>
        <v>Pcs</v>
      </c>
      <c r="I3583" s="6" t="str">
        <f>IFERROR(__xludf.DUMMYFUNCTION("""COMPUTED_VALUE"""),"MFH")</f>
        <v>MFH</v>
      </c>
      <c r="J3583" s="6" t="str">
        <f>IFERROR(__xludf.DUMMYFUNCTION("""COMPUTED_VALUE"""),"Autoclave")</f>
        <v>Autoclave</v>
      </c>
      <c r="K3583" s="6" t="str">
        <f>IFERROR(__xludf.DUMMYFUNCTION("""COMPUTED_VALUE"""),"SPR/04/26/055")</f>
        <v>SPR/04/26/055</v>
      </c>
      <c r="L3583" s="13">
        <f>IFERROR(__xludf.DUMMYFUNCTION("""COMPUTED_VALUE"""),46142.0)</f>
        <v>46142</v>
      </c>
    </row>
    <row r="3584">
      <c r="A3584" s="6" t="str">
        <f>IFERROR(__xludf.DUMMYFUNCTION("""COMPUTED_VALUE"""),"BDU")</f>
        <v>BDU</v>
      </c>
      <c r="B3584" s="6" t="str">
        <f>IFERROR(__xludf.DUMMYFUNCTION("""COMPUTED_VALUE"""),"ENG")</f>
        <v>ENG</v>
      </c>
      <c r="C3584" s="6" t="str">
        <f>IFERROR(__xludf.DUMMYFUNCTION("""COMPUTED_VALUE"""),"P-51889-00")</f>
        <v>P-51889-00</v>
      </c>
      <c r="D3584" s="6" t="str">
        <f>IFERROR(__xludf.DUMMYFUNCTION("""COMPUTED_VALUE"""),"General - Power Supply SPA-050-24VDC; Autonics; -; 1 pc")</f>
        <v>General - Power Supply SPA-050-24VDC; Autonics; -; 1 pc</v>
      </c>
      <c r="E3584" s="6">
        <f>IFERROR(__xludf.DUMMYFUNCTION("""COMPUTED_VALUE"""),1.0)</f>
        <v>1</v>
      </c>
      <c r="F3584" s="6">
        <f>IFERROR(__xludf.DUMMYFUNCTION("""COMPUTED_VALUE"""),1.0)</f>
        <v>1</v>
      </c>
      <c r="G3584" s="6">
        <f>IFERROR(__xludf.DUMMYFUNCTION("""COMPUTED_VALUE"""),0.0)</f>
        <v>0</v>
      </c>
      <c r="H3584" s="6" t="str">
        <f>IFERROR(__xludf.DUMMYFUNCTION("""COMPUTED_VALUE"""),"Pcs")</f>
        <v>Pcs</v>
      </c>
      <c r="I3584" s="6" t="str">
        <f>IFERROR(__xludf.DUMMYFUNCTION("""COMPUTED_VALUE"""),"MFH'")</f>
        <v>MFH'</v>
      </c>
      <c r="J3584" s="6" t="str">
        <f>IFERROR(__xludf.DUMMYFUNCTION("""COMPUTED_VALUE"""),"Labelling")</f>
        <v>Labelling</v>
      </c>
      <c r="K3584" s="6" t="str">
        <f>IFERROR(__xludf.DUMMYFUNCTION("""COMPUTED_VALUE"""),"SPR/04/26/056")</f>
        <v>SPR/04/26/056</v>
      </c>
      <c r="L3584" s="13">
        <f>IFERROR(__xludf.DUMMYFUNCTION("""COMPUTED_VALUE"""),46142.0)</f>
        <v>46142</v>
      </c>
    </row>
    <row r="3585">
      <c r="A3585" s="6" t="str">
        <f>IFERROR(__xludf.DUMMYFUNCTION("""COMPUTED_VALUE"""),"BDU")</f>
        <v>BDU</v>
      </c>
      <c r="B3585" s="6" t="str">
        <f>IFERROR(__xludf.DUMMYFUNCTION("""COMPUTED_VALUE"""),"ENG")</f>
        <v>ENG</v>
      </c>
      <c r="C3585" s="6" t="str">
        <f>IFERROR(__xludf.DUMMYFUNCTION("""COMPUTED_VALUE"""),"P-53262-00")</f>
        <v>P-53262-00</v>
      </c>
      <c r="D3585" s="6" t="str">
        <f>IFERROR(__xludf.DUMMYFUNCTION("""COMPUTED_VALUE"""),"General - Din Rail MCB; No Brand; -; 1 pc")</f>
        <v>General - Din Rail MCB; No Brand; -; 1 pc</v>
      </c>
      <c r="E3585" s="6">
        <f>IFERROR(__xludf.DUMMYFUNCTION("""COMPUTED_VALUE"""),1.0)</f>
        <v>1</v>
      </c>
      <c r="F3585" s="6">
        <f>IFERROR(__xludf.DUMMYFUNCTION("""COMPUTED_VALUE"""),1.0)</f>
        <v>1</v>
      </c>
      <c r="G3585" s="6">
        <f>IFERROR(__xludf.DUMMYFUNCTION("""COMPUTED_VALUE"""),0.0)</f>
        <v>0</v>
      </c>
      <c r="H3585" s="6" t="str">
        <f>IFERROR(__xludf.DUMMYFUNCTION("""COMPUTED_VALUE"""),"Pcs")</f>
        <v>Pcs</v>
      </c>
      <c r="I3585" s="6" t="str">
        <f>IFERROR(__xludf.DUMMYFUNCTION("""COMPUTED_VALUE"""),"MFH'")</f>
        <v>MFH'</v>
      </c>
      <c r="J3585" s="6" t="str">
        <f>IFERROR(__xludf.DUMMYFUNCTION("""COMPUTED_VALUE"""),"Labelling")</f>
        <v>Labelling</v>
      </c>
      <c r="K3585" s="6" t="str">
        <f>IFERROR(__xludf.DUMMYFUNCTION("""COMPUTED_VALUE"""),"SPR/04/26/056")</f>
        <v>SPR/04/26/056</v>
      </c>
      <c r="L3585" s="13">
        <f>IFERROR(__xludf.DUMMYFUNCTION("""COMPUTED_VALUE"""),46142.0)</f>
        <v>46142</v>
      </c>
    </row>
    <row r="3586">
      <c r="A3586" s="6" t="str">
        <f>IFERROR(__xludf.DUMMYFUNCTION("""COMPUTED_VALUE"""),"KFF")</f>
        <v>KFF</v>
      </c>
      <c r="B3586" s="6" t="str">
        <f>IFERROR(__xludf.DUMMYFUNCTION("""COMPUTED_VALUE"""),"ENG")</f>
        <v>ENG</v>
      </c>
      <c r="C3586" s="6" t="str">
        <f>IFERROR(__xludf.DUMMYFUNCTION("""COMPUTED_VALUE"""),"P-18467-00")</f>
        <v>P-18467-00</v>
      </c>
      <c r="D3586" s="6" t="str">
        <f>IFERROR(__xludf.DUMMYFUNCTION("""COMPUTED_VALUE"""),"Pass Box Stickers JZC-A Kecil; ; ;")</f>
        <v>Pass Box Stickers JZC-A Kecil; ; ;</v>
      </c>
      <c r="E3586" s="6">
        <f>IFERROR(__xludf.DUMMYFUNCTION("""COMPUTED_VALUE"""),2.0)</f>
        <v>2</v>
      </c>
      <c r="F3586" s="6">
        <f>IFERROR(__xludf.DUMMYFUNCTION("""COMPUTED_VALUE"""),2.0)</f>
        <v>2</v>
      </c>
      <c r="G3586" s="6">
        <f>IFERROR(__xludf.DUMMYFUNCTION("""COMPUTED_VALUE"""),0.0)</f>
        <v>0</v>
      </c>
      <c r="H3586" s="6" t="str">
        <f>IFERROR(__xludf.DUMMYFUNCTION("""COMPUTED_VALUE"""),"Pcs")</f>
        <v>Pcs</v>
      </c>
      <c r="I3586" s="6" t="str">
        <f>IFERROR(__xludf.DUMMYFUNCTION("""COMPUTED_VALUE"""),"MFH")</f>
        <v>MFH</v>
      </c>
      <c r="J3586" s="6" t="str">
        <f>IFERROR(__xludf.DUMMYFUNCTION("""COMPUTED_VALUE"""),"-")</f>
        <v>-</v>
      </c>
      <c r="K3586" s="6" t="str">
        <f>IFERROR(__xludf.DUMMYFUNCTION("""COMPUTED_VALUE"""),"SPR/04/26/057")</f>
        <v>SPR/04/26/057</v>
      </c>
      <c r="L3586" s="13">
        <f>IFERROR(__xludf.DUMMYFUNCTION("""COMPUTED_VALUE"""),46142.0)</f>
        <v>46142</v>
      </c>
    </row>
    <row r="3587">
      <c r="A3587" s="6" t="str">
        <f>IFERROR(__xludf.DUMMYFUNCTION("""COMPUTED_VALUE"""),"KFF")</f>
        <v>KFF</v>
      </c>
      <c r="B3587" s="6" t="str">
        <f>IFERROR(__xludf.DUMMYFUNCTION("""COMPUTED_VALUE"""),"ENG")</f>
        <v>ENG</v>
      </c>
      <c r="C3587" s="6" t="str">
        <f>IFERROR(__xludf.DUMMYFUNCTION("""COMPUTED_VALUE"""),"P-52569-00")</f>
        <v>P-52569-00</v>
      </c>
      <c r="D3587" s="6" t="str">
        <f>IFERROR(__xludf.DUMMYFUNCTION("""COMPUTED_VALUE"""),"Limit Switch LX19-001  250 VAC; ; ;")</f>
        <v>Limit Switch LX19-001  250 VAC; ; ;</v>
      </c>
      <c r="E3587" s="6">
        <f>IFERROR(__xludf.DUMMYFUNCTION("""COMPUTED_VALUE"""),1.0)</f>
        <v>1</v>
      </c>
      <c r="F3587" s="6">
        <f>IFERROR(__xludf.DUMMYFUNCTION("""COMPUTED_VALUE"""),1.0)</f>
        <v>1</v>
      </c>
      <c r="G3587" s="6">
        <f>IFERROR(__xludf.DUMMYFUNCTION("""COMPUTED_VALUE"""),0.0)</f>
        <v>0</v>
      </c>
      <c r="H3587" s="6" t="str">
        <f>IFERROR(__xludf.DUMMYFUNCTION("""COMPUTED_VALUE"""),"Pcs")</f>
        <v>Pcs</v>
      </c>
      <c r="I3587" s="6" t="str">
        <f>IFERROR(__xludf.DUMMYFUNCTION("""COMPUTED_VALUE"""),"MFH")</f>
        <v>MFH</v>
      </c>
      <c r="J3587" s="6" t="str">
        <f>IFERROR(__xludf.DUMMYFUNCTION("""COMPUTED_VALUE"""),"-")</f>
        <v>-</v>
      </c>
      <c r="K3587" s="6" t="str">
        <f>IFERROR(__xludf.DUMMYFUNCTION("""COMPUTED_VALUE"""),"SPR/04/26/057")</f>
        <v>SPR/04/26/057</v>
      </c>
      <c r="L3587" s="13">
        <f>IFERROR(__xludf.DUMMYFUNCTION("""COMPUTED_VALUE"""),46142.0)</f>
        <v>46142</v>
      </c>
    </row>
    <row r="3588">
      <c r="A3588" s="6" t="str">
        <f>IFERROR(__xludf.DUMMYFUNCTION("""COMPUTED_VALUE"""),"KFF")</f>
        <v>KFF</v>
      </c>
      <c r="B3588" s="6" t="str">
        <f>IFERROR(__xludf.DUMMYFUNCTION("""COMPUTED_VALUE"""),"ENG")</f>
        <v>ENG</v>
      </c>
      <c r="C3588" s="6" t="str">
        <f>IFERROR(__xludf.DUMMYFUNCTION("""COMPUTED_VALUE"""),"-")</f>
        <v>-</v>
      </c>
      <c r="D3588" s="6" t="str">
        <f>IFERROR(__xludf.DUMMYFUNCTION("""COMPUTED_VALUE"""),"#N/A")</f>
        <v>#N/A</v>
      </c>
      <c r="E3588" s="6">
        <f>IFERROR(__xludf.DUMMYFUNCTION("""COMPUTED_VALUE"""),1.0)</f>
        <v>1</v>
      </c>
      <c r="F3588" s="6">
        <f>IFERROR(__xludf.DUMMYFUNCTION("""COMPUTED_VALUE"""),1.0)</f>
        <v>1</v>
      </c>
      <c r="G3588" s="6">
        <f>IFERROR(__xludf.DUMMYFUNCTION("""COMPUTED_VALUE"""),0.0)</f>
        <v>0</v>
      </c>
      <c r="H3588" s="6" t="str">
        <f>IFERROR(__xludf.DUMMYFUNCTION("""COMPUTED_VALUE"""),"Pcs")</f>
        <v>Pcs</v>
      </c>
      <c r="I3588" s="6" t="str">
        <f>IFERROR(__xludf.DUMMYFUNCTION("""COMPUTED_VALUE"""),"MFH")</f>
        <v>MFH</v>
      </c>
      <c r="J3588" s="6" t="str">
        <f>IFERROR(__xludf.DUMMYFUNCTION("""COMPUTED_VALUE"""),"-")</f>
        <v>-</v>
      </c>
      <c r="K3588" s="6" t="str">
        <f>IFERROR(__xludf.DUMMYFUNCTION("""COMPUTED_VALUE"""),"SPR/04/26/057")</f>
        <v>SPR/04/26/057</v>
      </c>
      <c r="L3588" s="13">
        <f>IFERROR(__xludf.DUMMYFUNCTION("""COMPUTED_VALUE"""),46142.0)</f>
        <v>46142</v>
      </c>
    </row>
    <row r="3589">
      <c r="A3589" s="6" t="str">
        <f>IFERROR(__xludf.DUMMYFUNCTION("""COMPUTED_VALUE"""),"ERA")</f>
        <v>ERA</v>
      </c>
      <c r="B3589" s="6" t="str">
        <f>IFERROR(__xludf.DUMMYFUNCTION("""COMPUTED_VALUE"""),"ENG")</f>
        <v>ENG</v>
      </c>
      <c r="C3589" s="6" t="str">
        <f>IFERROR(__xludf.DUMMYFUNCTION("""COMPUTED_VALUE"""),"Q-50013-00")</f>
        <v>Q-50013-00</v>
      </c>
      <c r="D3589" s="6" t="str">
        <f>IFERROR(__xludf.DUMMYFUNCTION("""COMPUTED_VALUE"""),"Frame or Perimeter Seal RP48 White; Raven; R48W6; 6 meter/pck")</f>
        <v>Frame or Perimeter Seal RP48 White; Raven; R48W6; 6 meter/pck</v>
      </c>
      <c r="E3589" s="6">
        <f>IFERROR(__xludf.DUMMYFUNCTION("""COMPUTED_VALUE"""),1.0)</f>
        <v>1</v>
      </c>
      <c r="F3589" s="6">
        <f>IFERROR(__xludf.DUMMYFUNCTION("""COMPUTED_VALUE"""),1.0)</f>
        <v>1</v>
      </c>
      <c r="G3589" s="6">
        <f>IFERROR(__xludf.DUMMYFUNCTION("""COMPUTED_VALUE"""),0.0)</f>
        <v>0</v>
      </c>
      <c r="H3589" s="6" t="str">
        <f>IFERROR(__xludf.DUMMYFUNCTION("""COMPUTED_VALUE"""),"Pcs")</f>
        <v>Pcs</v>
      </c>
      <c r="I3589" s="6" t="str">
        <f>IFERROR(__xludf.DUMMYFUNCTION("""COMPUTED_VALUE"""),"MFH")</f>
        <v>MFH</v>
      </c>
      <c r="J3589" s="6" t="str">
        <f>IFERROR(__xludf.DUMMYFUNCTION("""COMPUTED_VALUE"""),"Mixing ")</f>
        <v>Mixing </v>
      </c>
      <c r="K3589" s="6" t="str">
        <f>IFERROR(__xludf.DUMMYFUNCTION("""COMPUTED_VALUE"""),"SPR/04/26/058")</f>
        <v>SPR/04/26/058</v>
      </c>
      <c r="L3589" s="13">
        <f>IFERROR(__xludf.DUMMYFUNCTION("""COMPUTED_VALUE"""),46142.0)</f>
        <v>46142</v>
      </c>
    </row>
    <row r="3590">
      <c r="A3590" s="6" t="str">
        <f>IFERROR(__xludf.DUMMYFUNCTION("""COMPUTED_VALUE"""),"AAA")</f>
        <v>AAA</v>
      </c>
      <c r="B3590" s="6" t="str">
        <f>IFERROR(__xludf.DUMMYFUNCTION("""COMPUTED_VALUE"""),"ENG")</f>
        <v>ENG</v>
      </c>
      <c r="C3590" s="6" t="str">
        <f>IFERROR(__xludf.DUMMYFUNCTION("""COMPUTED_VALUE"""),"O-16647-00")</f>
        <v>O-16647-00</v>
      </c>
      <c r="D3590" s="6" t="str">
        <f>IFERROR(__xludf.DUMMYFUNCTION("""COMPUTED_VALUE"""),"General - Oring Silicone Merah 23x18x2.5 mm; -; -; 1 Pc")</f>
        <v>General - Oring Silicone Merah 23x18x2.5 mm; -; -; 1 Pc</v>
      </c>
      <c r="E3590" s="6">
        <f>IFERROR(__xludf.DUMMYFUNCTION("""COMPUTED_VALUE"""),10.0)</f>
        <v>10</v>
      </c>
      <c r="F3590" s="6">
        <f>IFERROR(__xludf.DUMMYFUNCTION("""COMPUTED_VALUE"""),10.0)</f>
        <v>10</v>
      </c>
      <c r="G3590" s="6">
        <f>IFERROR(__xludf.DUMMYFUNCTION("""COMPUTED_VALUE"""),0.0)</f>
        <v>0</v>
      </c>
      <c r="H3590" s="6" t="str">
        <f>IFERROR(__xludf.DUMMYFUNCTION("""COMPUTED_VALUE"""),"Pcs")</f>
        <v>Pcs</v>
      </c>
      <c r="I3590" s="6" t="str">
        <f>IFERROR(__xludf.DUMMYFUNCTION("""COMPUTED_VALUE"""),"MFH")</f>
        <v>MFH</v>
      </c>
      <c r="J3590" s="6" t="str">
        <f>IFERROR(__xludf.DUMMYFUNCTION("""COMPUTED_VALUE"""),"Capping")</f>
        <v>Capping</v>
      </c>
      <c r="K3590" s="6" t="str">
        <f>IFERROR(__xludf.DUMMYFUNCTION("""COMPUTED_VALUE"""),"SPR/04/26/059")</f>
        <v>SPR/04/26/059</v>
      </c>
      <c r="L3590" s="13">
        <f>IFERROR(__xludf.DUMMYFUNCTION("""COMPUTED_VALUE"""),46142.0)</f>
        <v>46142</v>
      </c>
    </row>
    <row r="3591">
      <c r="A3591" s="6" t="str">
        <f>IFERROR(__xludf.DUMMYFUNCTION("""COMPUTED_VALUE"""),"SFH")</f>
        <v>SFH</v>
      </c>
      <c r="B3591" s="6" t="str">
        <f>IFERROR(__xludf.DUMMYFUNCTION("""COMPUTED_VALUE"""),"ENG")</f>
        <v>ENG</v>
      </c>
      <c r="C3591" s="6" t="str">
        <f>IFERROR(__xludf.DUMMYFUNCTION("""COMPUTED_VALUE"""),"Q-60025-00")</f>
        <v>Q-60025-00</v>
      </c>
      <c r="D3591" s="6" t="str">
        <f>IFERROR(__xludf.DUMMYFUNCTION("""COMPUTED_VALUE"""),"Kuas Cat Uk. 1 inch;Eterna;Tipe 611;pack size per pcs")</f>
        <v>Kuas Cat Uk. 1 inch;Eterna;Tipe 611;pack size per pcs</v>
      </c>
      <c r="E3591" s="6">
        <f>IFERROR(__xludf.DUMMYFUNCTION("""COMPUTED_VALUE"""),2.0)</f>
        <v>2</v>
      </c>
      <c r="F3591" s="6">
        <f>IFERROR(__xludf.DUMMYFUNCTION("""COMPUTED_VALUE"""),2.0)</f>
        <v>2</v>
      </c>
      <c r="G3591" s="6">
        <f>IFERROR(__xludf.DUMMYFUNCTION("""COMPUTED_VALUE"""),0.0)</f>
        <v>0</v>
      </c>
      <c r="H3591" s="6" t="str">
        <f>IFERROR(__xludf.DUMMYFUNCTION("""COMPUTED_VALUE"""),"Pcs")</f>
        <v>Pcs</v>
      </c>
      <c r="I3591" s="6" t="str">
        <f>IFERROR(__xludf.DUMMYFUNCTION("""COMPUTED_VALUE"""),"MFH")</f>
        <v>MFH</v>
      </c>
      <c r="J3591" s="6" t="str">
        <f>IFERROR(__xludf.DUMMYFUNCTION("""COMPUTED_VALUE"""),"Building")</f>
        <v>Building</v>
      </c>
      <c r="K3591" s="6" t="str">
        <f>IFERROR(__xludf.DUMMYFUNCTION("""COMPUTED_VALUE"""),"SPR/04/26/060")</f>
        <v>SPR/04/26/060</v>
      </c>
      <c r="L3591" s="13">
        <f>IFERROR(__xludf.DUMMYFUNCTION("""COMPUTED_VALUE"""),46142.0)</f>
        <v>46142</v>
      </c>
    </row>
    <row r="3592">
      <c r="A3592" s="6" t="str">
        <f>IFERROR(__xludf.DUMMYFUNCTION("""COMPUTED_VALUE"""),"SFH")</f>
        <v>SFH</v>
      </c>
      <c r="B3592" s="6" t="str">
        <f>IFERROR(__xludf.DUMMYFUNCTION("""COMPUTED_VALUE"""),"ENG")</f>
        <v>ENG</v>
      </c>
      <c r="C3592" s="6" t="str">
        <f>IFERROR(__xludf.DUMMYFUNCTION("""COMPUTED_VALUE"""),"Q-60434-00")</f>
        <v>Q-60434-00</v>
      </c>
      <c r="D3592" s="6" t="str">
        <f>IFERROR(__xludf.DUMMYFUNCTION("""COMPUTED_VALUE"""),"Semen putih / Acian Putih; Tiga Roda; TR-30; 40 kg/zak")</f>
        <v>Semen putih / Acian Putih; Tiga Roda; TR-30; 40 kg/zak</v>
      </c>
      <c r="E3592" s="6">
        <f>IFERROR(__xludf.DUMMYFUNCTION("""COMPUTED_VALUE"""),1.0)</f>
        <v>1</v>
      </c>
      <c r="F3592" s="6">
        <f>IFERROR(__xludf.DUMMYFUNCTION("""COMPUTED_VALUE"""),1.0)</f>
        <v>1</v>
      </c>
      <c r="G3592" s="6">
        <f>IFERROR(__xludf.DUMMYFUNCTION("""COMPUTED_VALUE"""),0.0)</f>
        <v>0</v>
      </c>
      <c r="H3592" s="6" t="str">
        <f>IFERROR(__xludf.DUMMYFUNCTION("""COMPUTED_VALUE"""),"Pcs")</f>
        <v>Pcs</v>
      </c>
      <c r="I3592" s="6" t="str">
        <f>IFERROR(__xludf.DUMMYFUNCTION("""COMPUTED_VALUE"""),"MFH")</f>
        <v>MFH</v>
      </c>
      <c r="J3592" s="6" t="str">
        <f>IFERROR(__xludf.DUMMYFUNCTION("""COMPUTED_VALUE"""),"Building")</f>
        <v>Building</v>
      </c>
      <c r="K3592" s="6" t="str">
        <f>IFERROR(__xludf.DUMMYFUNCTION("""COMPUTED_VALUE"""),"SPR/04/26/060")</f>
        <v>SPR/04/26/060</v>
      </c>
      <c r="L3592" s="13">
        <f>IFERROR(__xludf.DUMMYFUNCTION("""COMPUTED_VALUE"""),46142.0)</f>
        <v>46142</v>
      </c>
    </row>
    <row r="3593">
      <c r="A3593" s="6" t="str">
        <f>IFERROR(__xludf.DUMMYFUNCTION("""COMPUTED_VALUE"""),"SFH")</f>
        <v>SFH</v>
      </c>
      <c r="B3593" s="6" t="str">
        <f>IFERROR(__xludf.DUMMYFUNCTION("""COMPUTED_VALUE"""),"ENG")</f>
        <v>ENG</v>
      </c>
      <c r="C3593" s="6" t="str">
        <f>IFERROR(__xludf.DUMMYFUNCTION("""COMPUTED_VALUE"""),"Q-10154-00")</f>
        <v>Q-10154-00</v>
      </c>
      <c r="D3593" s="6" t="str">
        <f>IFERROR(__xludf.DUMMYFUNCTION("""COMPUTED_VALUE"""),"Kuas Cat Roller uk. 230 mm;No Brand;;pack size per set")</f>
        <v>Kuas Cat Roller uk. 230 mm;No Brand;;pack size per set</v>
      </c>
      <c r="E3593" s="6">
        <f>IFERROR(__xludf.DUMMYFUNCTION("""COMPUTED_VALUE"""),2.0)</f>
        <v>2</v>
      </c>
      <c r="F3593" s="6">
        <f>IFERROR(__xludf.DUMMYFUNCTION("""COMPUTED_VALUE"""),2.0)</f>
        <v>2</v>
      </c>
      <c r="G3593" s="6">
        <f>IFERROR(__xludf.DUMMYFUNCTION("""COMPUTED_VALUE"""),0.0)</f>
        <v>0</v>
      </c>
      <c r="H3593" s="6" t="str">
        <f>IFERROR(__xludf.DUMMYFUNCTION("""COMPUTED_VALUE"""),"Pcs")</f>
        <v>Pcs</v>
      </c>
      <c r="I3593" s="6" t="str">
        <f>IFERROR(__xludf.DUMMYFUNCTION("""COMPUTED_VALUE"""),"MFH")</f>
        <v>MFH</v>
      </c>
      <c r="J3593" s="6" t="str">
        <f>IFERROR(__xludf.DUMMYFUNCTION("""COMPUTED_VALUE"""),"Building")</f>
        <v>Building</v>
      </c>
      <c r="K3593" s="6" t="str">
        <f>IFERROR(__xludf.DUMMYFUNCTION("""COMPUTED_VALUE"""),"SPR/04/26/061")</f>
        <v>SPR/04/26/061</v>
      </c>
      <c r="L3593" s="13">
        <f>IFERROR(__xludf.DUMMYFUNCTION("""COMPUTED_VALUE"""),46142.0)</f>
        <v>46142</v>
      </c>
    </row>
    <row r="3594">
      <c r="A3594" s="6" t="str">
        <f>IFERROR(__xludf.DUMMYFUNCTION("""COMPUTED_VALUE"""),"SFH")</f>
        <v>SFH</v>
      </c>
      <c r="B3594" s="6" t="str">
        <f>IFERROR(__xludf.DUMMYFUNCTION("""COMPUTED_VALUE"""),"ENG")</f>
        <v>ENG</v>
      </c>
      <c r="C3594" s="6" t="str">
        <f>IFERROR(__xludf.DUMMYFUNCTION("""COMPUTED_VALUE"""),"Q-10153-00")</f>
        <v>Q-10153-00</v>
      </c>
      <c r="D3594" s="6" t="str">
        <f>IFERROR(__xludf.DUMMYFUNCTION("""COMPUTED_VALUE"""),"Kuas Cat Roller uk. 110 mm;No Brand;;pack size per set")</f>
        <v>Kuas Cat Roller uk. 110 mm;No Brand;;pack size per set</v>
      </c>
      <c r="E3594" s="6">
        <f>IFERROR(__xludf.DUMMYFUNCTION("""COMPUTED_VALUE"""),2.0)</f>
        <v>2</v>
      </c>
      <c r="F3594" s="6">
        <f>IFERROR(__xludf.DUMMYFUNCTION("""COMPUTED_VALUE"""),2.0)</f>
        <v>2</v>
      </c>
      <c r="G3594" s="6">
        <f>IFERROR(__xludf.DUMMYFUNCTION("""COMPUTED_VALUE"""),0.0)</f>
        <v>0</v>
      </c>
      <c r="H3594" s="6" t="str">
        <f>IFERROR(__xludf.DUMMYFUNCTION("""COMPUTED_VALUE"""),"Pcs")</f>
        <v>Pcs</v>
      </c>
      <c r="I3594" s="6" t="str">
        <f>IFERROR(__xludf.DUMMYFUNCTION("""COMPUTED_VALUE"""),"MFH")</f>
        <v>MFH</v>
      </c>
      <c r="J3594" s="6" t="str">
        <f>IFERROR(__xludf.DUMMYFUNCTION("""COMPUTED_VALUE"""),"Building")</f>
        <v>Building</v>
      </c>
      <c r="K3594" s="6" t="str">
        <f>IFERROR(__xludf.DUMMYFUNCTION("""COMPUTED_VALUE"""),"SPR/04/26/061")</f>
        <v>SPR/04/26/061</v>
      </c>
      <c r="L3594" s="13">
        <f>IFERROR(__xludf.DUMMYFUNCTION("""COMPUTED_VALUE"""),46142.0)</f>
        <v>46142</v>
      </c>
    </row>
    <row r="3595">
      <c r="A3595" s="6" t="str">
        <f>IFERROR(__xludf.DUMMYFUNCTION("""COMPUTED_VALUE"""),"SFH")</f>
        <v>SFH</v>
      </c>
      <c r="B3595" s="6" t="str">
        <f>IFERROR(__xludf.DUMMYFUNCTION("""COMPUTED_VALUE"""),"ENG")</f>
        <v>ENG</v>
      </c>
      <c r="C3595" s="6" t="str">
        <f>IFERROR(__xludf.DUMMYFUNCTION("""COMPUTED_VALUE"""),"P-13389-00")</f>
        <v>P-13389-00</v>
      </c>
      <c r="D3595" s="6" t="str">
        <f>IFERROR(__xludf.DUMMYFUNCTION("""COMPUTED_VALUE"""),"Scotch Brite 3M; ; ;")</f>
        <v>Scotch Brite 3M; ; ;</v>
      </c>
      <c r="E3595" s="6">
        <f>IFERROR(__xludf.DUMMYFUNCTION("""COMPUTED_VALUE"""),2.0)</f>
        <v>2</v>
      </c>
      <c r="F3595" s="6">
        <f>IFERROR(__xludf.DUMMYFUNCTION("""COMPUTED_VALUE"""),2.0)</f>
        <v>2</v>
      </c>
      <c r="G3595" s="6">
        <f>IFERROR(__xludf.DUMMYFUNCTION("""COMPUTED_VALUE"""),0.0)</f>
        <v>0</v>
      </c>
      <c r="H3595" s="6" t="str">
        <f>IFERROR(__xludf.DUMMYFUNCTION("""COMPUTED_VALUE"""),"Pcs")</f>
        <v>Pcs</v>
      </c>
      <c r="I3595" s="6" t="str">
        <f>IFERROR(__xludf.DUMMYFUNCTION("""COMPUTED_VALUE"""),"MFH")</f>
        <v>MFH</v>
      </c>
      <c r="J3595" s="6" t="str">
        <f>IFERROR(__xludf.DUMMYFUNCTION("""COMPUTED_VALUE"""),"Building")</f>
        <v>Building</v>
      </c>
      <c r="K3595" s="6" t="str">
        <f>IFERROR(__xludf.DUMMYFUNCTION("""COMPUTED_VALUE"""),"SPR/04/26/061")</f>
        <v>SPR/04/26/061</v>
      </c>
      <c r="L3595" s="13">
        <f>IFERROR(__xludf.DUMMYFUNCTION("""COMPUTED_VALUE"""),46142.0)</f>
        <v>46142</v>
      </c>
    </row>
    <row r="3596">
      <c r="A3596" s="6" t="str">
        <f>IFERROR(__xludf.DUMMYFUNCTION("""COMPUTED_VALUE"""),"MRN")</f>
        <v>MRN</v>
      </c>
      <c r="B3596" s="6" t="str">
        <f>IFERROR(__xludf.DUMMYFUNCTION("""COMPUTED_VALUE"""),"ENG")</f>
        <v>ENG</v>
      </c>
      <c r="C3596" s="6" t="str">
        <f>IFERROR(__xludf.DUMMYFUNCTION("""COMPUTED_VALUE"""),"O-19431-00")</f>
        <v>O-19431-00</v>
      </c>
      <c r="D3596" s="6" t="str">
        <f>IFERROR(__xludf.DUMMYFUNCTION("""COMPUTED_VALUE"""),"General - Baut L, SS, M8 x 30 mm + Mur + Ring; No Brand; -; 1 pcs")</f>
        <v>General - Baut L, SS, M8 x 30 mm + Mur + Ring; No Brand; -; 1 pcs</v>
      </c>
      <c r="E3596" s="6">
        <f>IFERROR(__xludf.DUMMYFUNCTION("""COMPUTED_VALUE"""),10.0)</f>
        <v>10</v>
      </c>
      <c r="F3596" s="6">
        <f>IFERROR(__xludf.DUMMYFUNCTION("""COMPUTED_VALUE"""),10.0)</f>
        <v>10</v>
      </c>
      <c r="G3596" s="6">
        <f>IFERROR(__xludf.DUMMYFUNCTION("""COMPUTED_VALUE"""),0.0)</f>
        <v>0</v>
      </c>
      <c r="H3596" s="6" t="str">
        <f>IFERROR(__xludf.DUMMYFUNCTION("""COMPUTED_VALUE"""),"Pcs")</f>
        <v>Pcs</v>
      </c>
      <c r="I3596" s="6" t="str">
        <f>IFERROR(__xludf.DUMMYFUNCTION("""COMPUTED_VALUE"""),"MFH")</f>
        <v>MFH</v>
      </c>
      <c r="J3596" s="6" t="str">
        <f>IFERROR(__xludf.DUMMYFUNCTION("""COMPUTED_VALUE"""),"-")</f>
        <v>-</v>
      </c>
      <c r="K3596" s="6" t="str">
        <f>IFERROR(__xludf.DUMMYFUNCTION("""COMPUTED_VALUE"""),"SPR/04/26/062")</f>
        <v>SPR/04/26/062</v>
      </c>
      <c r="L3596" s="13">
        <f>IFERROR(__xludf.DUMMYFUNCTION("""COMPUTED_VALUE"""),46142.0)</f>
        <v>46142</v>
      </c>
    </row>
    <row r="3597">
      <c r="A3597" s="6" t="str">
        <f>IFERROR(__xludf.DUMMYFUNCTION("""COMPUTED_VALUE"""),"ROS")</f>
        <v>ROS</v>
      </c>
      <c r="B3597" s="6" t="str">
        <f>IFERROR(__xludf.DUMMYFUNCTION("""COMPUTED_VALUE"""),"ENG")</f>
        <v>ENG</v>
      </c>
      <c r="C3597" s="6" t="str">
        <f>IFERROR(__xludf.DUMMYFUNCTION("""COMPUTED_VALUE"""),"P-12082-00")</f>
        <v>P-12082-00</v>
      </c>
      <c r="D3597" s="6" t="str">
        <f>IFERROR(__xludf.DUMMYFUNCTION("""COMPUTED_VALUE"""),"General - Clamp Selang, SS, 3/4""; Tridon; -; 1 pcs")</f>
        <v>General - Clamp Selang, SS, 3/4"; Tridon; -; 1 pcs</v>
      </c>
      <c r="E3597" s="6">
        <f>IFERROR(__xludf.DUMMYFUNCTION("""COMPUTED_VALUE"""),1.0)</f>
        <v>1</v>
      </c>
      <c r="F3597" s="6">
        <f>IFERROR(__xludf.DUMMYFUNCTION("""COMPUTED_VALUE"""),1.0)</f>
        <v>1</v>
      </c>
      <c r="G3597" s="6">
        <f>IFERROR(__xludf.DUMMYFUNCTION("""COMPUTED_VALUE"""),0.0)</f>
        <v>0</v>
      </c>
      <c r="H3597" s="6" t="str">
        <f>IFERROR(__xludf.DUMMYFUNCTION("""COMPUTED_VALUE"""),"Pcs")</f>
        <v>Pcs</v>
      </c>
      <c r="I3597" s="6" t="str">
        <f>IFERROR(__xludf.DUMMYFUNCTION("""COMPUTED_VALUE"""),"MFH")</f>
        <v>MFH</v>
      </c>
      <c r="J3597" s="6" t="str">
        <f>IFERROR(__xludf.DUMMYFUNCTION("""COMPUTED_VALUE"""),"-")</f>
        <v>-</v>
      </c>
      <c r="K3597" s="6" t="str">
        <f>IFERROR(__xludf.DUMMYFUNCTION("""COMPUTED_VALUE"""),"SPR/04/26/063")</f>
        <v>SPR/04/26/063</v>
      </c>
      <c r="L3597" s="13">
        <f>IFERROR(__xludf.DUMMYFUNCTION("""COMPUTED_VALUE"""),46142.0)</f>
        <v>46142</v>
      </c>
    </row>
    <row r="3598">
      <c r="A3598" s="6" t="str">
        <f>IFERROR(__xludf.DUMMYFUNCTION("""COMPUTED_VALUE"""),"ROS")</f>
        <v>ROS</v>
      </c>
      <c r="B3598" s="6" t="str">
        <f>IFERROR(__xludf.DUMMYFUNCTION("""COMPUTED_VALUE"""),"ENG")</f>
        <v>ENG</v>
      </c>
      <c r="C3598" s="6" t="str">
        <f>IFERROR(__xludf.DUMMYFUNCTION("""COMPUTED_VALUE"""),"O-53041-00")</f>
        <v>O-53041-00</v>
      </c>
      <c r="D3598" s="6" t="str">
        <f>IFERROR(__xludf.DUMMYFUNCTION("""COMPUTED_VALUE"""),"Bola Lampu 24-30v 5-10W 16x28mm")</f>
        <v>Bola Lampu 24-30v 5-10W 16x28mm</v>
      </c>
      <c r="E3598" s="6">
        <f>IFERROR(__xludf.DUMMYFUNCTION("""COMPUTED_VALUE"""),1.0)</f>
        <v>1</v>
      </c>
      <c r="F3598" s="6">
        <f>IFERROR(__xludf.DUMMYFUNCTION("""COMPUTED_VALUE"""),1.0)</f>
        <v>1</v>
      </c>
      <c r="G3598" s="6">
        <f>IFERROR(__xludf.DUMMYFUNCTION("""COMPUTED_VALUE"""),0.0)</f>
        <v>0</v>
      </c>
      <c r="H3598" s="6" t="str">
        <f>IFERROR(__xludf.DUMMYFUNCTION("""COMPUTED_VALUE"""),"Pcs")</f>
        <v>Pcs</v>
      </c>
      <c r="I3598" s="6" t="str">
        <f>IFERROR(__xludf.DUMMYFUNCTION("""COMPUTED_VALUE"""),"MFH")</f>
        <v>MFH</v>
      </c>
      <c r="J3598" s="6" t="str">
        <f>IFERROR(__xludf.DUMMYFUNCTION("""COMPUTED_VALUE"""),"Tower Lamp")</f>
        <v>Tower Lamp</v>
      </c>
      <c r="K3598" s="6" t="str">
        <f>IFERROR(__xludf.DUMMYFUNCTION("""COMPUTED_VALUE"""),"SPR/04/26/063")</f>
        <v>SPR/04/26/063</v>
      </c>
      <c r="L3598" s="13">
        <f>IFERROR(__xludf.DUMMYFUNCTION("""COMPUTED_VALUE"""),46142.0)</f>
        <v>46142</v>
      </c>
    </row>
    <row r="3599">
      <c r="A3599" s="6" t="str">
        <f>IFERROR(__xludf.DUMMYFUNCTION("""COMPUTED_VALUE"""),"AAA")</f>
        <v>AAA</v>
      </c>
      <c r="B3599" s="6" t="str">
        <f>IFERROR(__xludf.DUMMYFUNCTION("""COMPUTED_VALUE"""),"ENG")</f>
        <v>ENG</v>
      </c>
      <c r="C3599" s="6" t="str">
        <f>IFERROR(__xludf.DUMMYFUNCTION("""COMPUTED_VALUE"""),"T-12200-00")</f>
        <v>T-12200-00</v>
      </c>
      <c r="D3599" s="6" t="str">
        <f>IFERROR(__xludf.DUMMYFUNCTION("""COMPUTED_VALUE"""),"WD BLUE SSD 500GB 3D NAND SATA SSD; ; ;")</f>
        <v>WD BLUE SSD 500GB 3D NAND SATA SSD; ; ;</v>
      </c>
      <c r="E3599" s="6">
        <f>IFERROR(__xludf.DUMMYFUNCTION("""COMPUTED_VALUE"""),1.0)</f>
        <v>1</v>
      </c>
      <c r="F3599" s="6">
        <f>IFERROR(__xludf.DUMMYFUNCTION("""COMPUTED_VALUE"""),1.0)</f>
        <v>1</v>
      </c>
      <c r="G3599" s="6">
        <f>IFERROR(__xludf.DUMMYFUNCTION("""COMPUTED_VALUE"""),0.0)</f>
        <v>0</v>
      </c>
      <c r="H3599" s="6" t="str">
        <f>IFERROR(__xludf.DUMMYFUNCTION("""COMPUTED_VALUE"""),"Pcs")</f>
        <v>Pcs</v>
      </c>
      <c r="I3599" s="6" t="str">
        <f>IFERROR(__xludf.DUMMYFUNCTION("""COMPUTED_VALUE"""),"MFH")</f>
        <v>MFH</v>
      </c>
      <c r="J3599" s="6" t="str">
        <f>IFERROR(__xludf.DUMMYFUNCTION("""COMPUTED_VALUE"""),"Pc")</f>
        <v>Pc</v>
      </c>
      <c r="K3599" s="6" t="str">
        <f>IFERROR(__xludf.DUMMYFUNCTION("""COMPUTED_VALUE"""),"SPR/04/26/064")</f>
        <v>SPR/04/26/064</v>
      </c>
      <c r="L3599" s="13">
        <f>IFERROR(__xludf.DUMMYFUNCTION("""COMPUTED_VALUE"""),46142.0)</f>
        <v>46142</v>
      </c>
    </row>
    <row r="3600">
      <c r="A3600" s="6" t="str">
        <f>IFERROR(__xludf.DUMMYFUNCTION("""COMPUTED_VALUE"""),"AAA")</f>
        <v>AAA</v>
      </c>
      <c r="B3600" s="6" t="str">
        <f>IFERROR(__xludf.DUMMYFUNCTION("""COMPUTED_VALUE"""),"ENG")</f>
        <v>ENG</v>
      </c>
      <c r="C3600" s="6" t="str">
        <f>IFERROR(__xludf.DUMMYFUNCTION("""COMPUTED_VALUE"""),"T-22339-00")</f>
        <v>T-22339-00</v>
      </c>
      <c r="D3600" s="6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E3600" s="6">
        <f>IFERROR(__xludf.DUMMYFUNCTION("""COMPUTED_VALUE"""),1.0)</f>
        <v>1</v>
      </c>
      <c r="F3600" s="6">
        <f>IFERROR(__xludf.DUMMYFUNCTION("""COMPUTED_VALUE"""),1.0)</f>
        <v>1</v>
      </c>
      <c r="G3600" s="6">
        <f>IFERROR(__xludf.DUMMYFUNCTION("""COMPUTED_VALUE"""),0.0)</f>
        <v>0</v>
      </c>
      <c r="H3600" s="6" t="str">
        <f>IFERROR(__xludf.DUMMYFUNCTION("""COMPUTED_VALUE"""),"Pcs")</f>
        <v>Pcs</v>
      </c>
      <c r="I3600" s="6" t="str">
        <f>IFERROR(__xludf.DUMMYFUNCTION("""COMPUTED_VALUE"""),"MFH")</f>
        <v>MFH</v>
      </c>
      <c r="J3600" s="6" t="str">
        <f>IFERROR(__xludf.DUMMYFUNCTION("""COMPUTED_VALUE"""),"Vacuum Pump Rocker")</f>
        <v>Vacuum Pump Rocker</v>
      </c>
      <c r="K3600" s="6" t="str">
        <f>IFERROR(__xludf.DUMMYFUNCTION("""COMPUTED_VALUE"""),"SPR/04/26/065")</f>
        <v>SPR/04/26/065</v>
      </c>
      <c r="L3600" s="13">
        <f>IFERROR(__xludf.DUMMYFUNCTION("""COMPUTED_VALUE"""),46142.0)</f>
        <v>46142</v>
      </c>
    </row>
    <row r="3601">
      <c r="A3601" s="6" t="str">
        <f>IFERROR(__xludf.DUMMYFUNCTION("""COMPUTED_VALUE"""),"ANO")</f>
        <v>ANO</v>
      </c>
      <c r="B3601" s="6" t="str">
        <f>IFERROR(__xludf.DUMMYFUNCTION("""COMPUTED_VALUE"""),"ENG")</f>
        <v>ENG</v>
      </c>
      <c r="C3601" s="6" t="str">
        <f>IFERROR(__xludf.DUMMYFUNCTION("""COMPUTED_VALUE"""),"P-51559-00")</f>
        <v>P-51559-00</v>
      </c>
      <c r="D3601" s="6" t="str">
        <f>IFERROR(__xludf.DUMMYFUNCTION("""COMPUTED_VALUE"""),"General - Lampu TL T5 14 W White; Philips; -; 1 unt")</f>
        <v>General - Lampu TL T5 14 W White; Philips; -; 1 unt</v>
      </c>
      <c r="E3601" s="6">
        <f>IFERROR(__xludf.DUMMYFUNCTION("""COMPUTED_VALUE"""),4.0)</f>
        <v>4</v>
      </c>
      <c r="F3601" s="6">
        <f>IFERROR(__xludf.DUMMYFUNCTION("""COMPUTED_VALUE"""),4.0)</f>
        <v>4</v>
      </c>
      <c r="G3601" s="6">
        <f>IFERROR(__xludf.DUMMYFUNCTION("""COMPUTED_VALUE"""),0.0)</f>
        <v>0</v>
      </c>
      <c r="H3601" s="6" t="str">
        <f>IFERROR(__xludf.DUMMYFUNCTION("""COMPUTED_VALUE"""),"Pcs")</f>
        <v>Pcs</v>
      </c>
      <c r="I3601" s="6" t="str">
        <f>IFERROR(__xludf.DUMMYFUNCTION("""COMPUTED_VALUE"""),"MFH")</f>
        <v>MFH</v>
      </c>
      <c r="J3601" s="6" t="str">
        <f>IFERROR(__xludf.DUMMYFUNCTION("""COMPUTED_VALUE"""),"Building")</f>
        <v>Building</v>
      </c>
      <c r="K3601" s="6" t="str">
        <f>IFERROR(__xludf.DUMMYFUNCTION("""COMPUTED_VALUE"""),"SPR/04/26/066")</f>
        <v>SPR/04/26/066</v>
      </c>
      <c r="L3601" s="13">
        <f>IFERROR(__xludf.DUMMYFUNCTION("""COMPUTED_VALUE"""),46142.0)</f>
        <v>46142</v>
      </c>
    </row>
    <row r="3602">
      <c r="A3602" s="6" t="str">
        <f>IFERROR(__xludf.DUMMYFUNCTION("""COMPUTED_VALUE"""),"ANO")</f>
        <v>ANO</v>
      </c>
      <c r="B3602" s="6" t="str">
        <f>IFERROR(__xludf.DUMMYFUNCTION("""COMPUTED_VALUE"""),"ENG")</f>
        <v>ENG</v>
      </c>
      <c r="C3602" s="6" t="str">
        <f>IFERROR(__xludf.DUMMYFUNCTION("""COMPUTED_VALUE"""),"Q-10487-00")</f>
        <v>Q-10487-00</v>
      </c>
      <c r="D3602" s="6" t="str">
        <f>IFERROR(__xludf.DUMMYFUNCTION("""COMPUTED_VALUE"""),"Tutup Wastafel TOTO; ; ;")</f>
        <v>Tutup Wastafel TOTO; ; ;</v>
      </c>
      <c r="E3602" s="6">
        <f>IFERROR(__xludf.DUMMYFUNCTION("""COMPUTED_VALUE"""),1.0)</f>
        <v>1</v>
      </c>
      <c r="F3602" s="6">
        <f>IFERROR(__xludf.DUMMYFUNCTION("""COMPUTED_VALUE"""),1.0)</f>
        <v>1</v>
      </c>
      <c r="G3602" s="6">
        <f>IFERROR(__xludf.DUMMYFUNCTION("""COMPUTED_VALUE"""),0.0)</f>
        <v>0</v>
      </c>
      <c r="H3602" s="6" t="str">
        <f>IFERROR(__xludf.DUMMYFUNCTION("""COMPUTED_VALUE"""),"Pcs")</f>
        <v>Pcs</v>
      </c>
      <c r="I3602" s="6" t="str">
        <f>IFERROR(__xludf.DUMMYFUNCTION("""COMPUTED_VALUE"""),"MFH")</f>
        <v>MFH</v>
      </c>
      <c r="J3602" s="6" t="str">
        <f>IFERROR(__xludf.DUMMYFUNCTION("""COMPUTED_VALUE"""),"Building")</f>
        <v>Building</v>
      </c>
      <c r="K3602" s="6" t="str">
        <f>IFERROR(__xludf.DUMMYFUNCTION("""COMPUTED_VALUE"""),"SPR/04/26/066")</f>
        <v>SPR/04/26/066</v>
      </c>
      <c r="L3602" s="13">
        <f>IFERROR(__xludf.DUMMYFUNCTION("""COMPUTED_VALUE"""),46142.0)</f>
        <v>46142</v>
      </c>
    </row>
    <row r="3603">
      <c r="A3603" s="6" t="str">
        <f>IFERROR(__xludf.DUMMYFUNCTION("""COMPUTED_VALUE"""),"DAA")</f>
        <v>DAA</v>
      </c>
      <c r="B3603" s="6" t="str">
        <f>IFERROR(__xludf.DUMMYFUNCTION("""COMPUTED_VALUE"""),"QAS")</f>
        <v>QAS</v>
      </c>
      <c r="C3603" s="6" t="str">
        <f>IFERROR(__xludf.DUMMYFUNCTION("""COMPUTED_VALUE"""),"O-12734-00")</f>
        <v>O-12734-00</v>
      </c>
      <c r="D3603" s="6" t="str">
        <f>IFERROR(__xludf.DUMMYFUNCTION("""COMPUTED_VALUE"""),"Tubing Polyurethane TU0805 Clear, SMC, roll SINAR MUTIARA CAKRABUANA, PT P/N : X3 pc")</f>
        <v>Tubing Polyurethane TU0805 Clear, SMC, roll SINAR MUTIARA CAKRABUANA, PT P/N : X3 pc</v>
      </c>
      <c r="E3603" s="6">
        <f>IFERROR(__xludf.DUMMYFUNCTION("""COMPUTED_VALUE"""),5.0)</f>
        <v>5</v>
      </c>
      <c r="F3603" s="6">
        <f>IFERROR(__xludf.DUMMYFUNCTION("""COMPUTED_VALUE"""),5.0)</f>
        <v>5</v>
      </c>
      <c r="G3603" s="6">
        <f>IFERROR(__xludf.DUMMYFUNCTION("""COMPUTED_VALUE"""),0.0)</f>
        <v>0</v>
      </c>
      <c r="H3603" s="6" t="str">
        <f>IFERROR(__xludf.DUMMYFUNCTION("""COMPUTED_VALUE"""),"Pcs")</f>
        <v>Pcs</v>
      </c>
      <c r="I3603" s="6" t="str">
        <f>IFERROR(__xludf.DUMMYFUNCTION("""COMPUTED_VALUE"""),"MFH")</f>
        <v>MFH</v>
      </c>
      <c r="J3603" s="6" t="str">
        <f>IFERROR(__xludf.DUMMYFUNCTION("""COMPUTED_VALUE"""),"Hepa")</f>
        <v>Hepa</v>
      </c>
      <c r="K3603" s="6" t="str">
        <f>IFERROR(__xludf.DUMMYFUNCTION("""COMPUTED_VALUE"""),"SPR/26/05/001")</f>
        <v>SPR/26/05/001</v>
      </c>
      <c r="L3603" s="13">
        <f>IFERROR(__xludf.DUMMYFUNCTION("""COMPUTED_VALUE"""),46171.0)</f>
        <v>46171</v>
      </c>
    </row>
    <row r="3604">
      <c r="A3604" s="6" t="str">
        <f>IFERROR(__xludf.DUMMYFUNCTION("""COMPUTED_VALUE"""),"KFF")</f>
        <v>KFF</v>
      </c>
      <c r="B3604" s="6" t="str">
        <f>IFERROR(__xludf.DUMMYFUNCTION("""COMPUTED_VALUE"""),"ENG")</f>
        <v>ENG</v>
      </c>
      <c r="C3604" s="6" t="str">
        <f>IFERROR(__xludf.DUMMYFUNCTION("""COMPUTED_VALUE"""),"P-20544-00")</f>
        <v>P-20544-00</v>
      </c>
      <c r="D3604" s="6" t="str">
        <f>IFERROR(__xludf.DUMMYFUNCTION("""COMPUTED_VALUE"""),"General - General Ferrule EPDM NW200; No Brand; -; 1pc")</f>
        <v>General - General Ferrule EPDM NW200; No Brand; -; 1pc</v>
      </c>
      <c r="E3604" s="6">
        <f>IFERROR(__xludf.DUMMYFUNCTION("""COMPUTED_VALUE"""),1.0)</f>
        <v>1</v>
      </c>
      <c r="F3604" s="6">
        <f>IFERROR(__xludf.DUMMYFUNCTION("""COMPUTED_VALUE"""),1.0)</f>
        <v>1</v>
      </c>
      <c r="G3604" s="6">
        <f>IFERROR(__xludf.DUMMYFUNCTION("""COMPUTED_VALUE"""),0.0)</f>
        <v>0</v>
      </c>
      <c r="H3604" s="6" t="str">
        <f>IFERROR(__xludf.DUMMYFUNCTION("""COMPUTED_VALUE"""),"Pcs")</f>
        <v>Pcs</v>
      </c>
      <c r="I3604" s="6" t="str">
        <f>IFERROR(__xludf.DUMMYFUNCTION("""COMPUTED_VALUE"""),"MFH")</f>
        <v>MFH</v>
      </c>
      <c r="J3604" s="6" t="str">
        <f>IFERROR(__xludf.DUMMYFUNCTION("""COMPUTED_VALUE"""),"Drymill")</f>
        <v>Drymill</v>
      </c>
      <c r="K3604" s="6" t="str">
        <f>IFERROR(__xludf.DUMMYFUNCTION("""COMPUTED_VALUE"""),"SPR/26/05/002")</f>
        <v>SPR/26/05/002</v>
      </c>
      <c r="L3604" s="13">
        <f>IFERROR(__xludf.DUMMYFUNCTION("""COMPUTED_VALUE"""),46171.0)</f>
        <v>46171</v>
      </c>
    </row>
    <row r="3605">
      <c r="A3605" s="6" t="str">
        <f>IFERROR(__xludf.DUMMYFUNCTION("""COMPUTED_VALUE"""),"MRN")</f>
        <v>MRN</v>
      </c>
      <c r="B3605" s="6" t="str">
        <f>IFERROR(__xludf.DUMMYFUNCTION("""COMPUTED_VALUE"""),"ENG")</f>
        <v>ENG</v>
      </c>
      <c r="C3605" s="6" t="str">
        <f>IFERROR(__xludf.DUMMYFUNCTION("""COMPUTED_VALUE"""),"P-19778-00")</f>
        <v>P-19778-00</v>
      </c>
      <c r="D3605" s="6" t="str">
        <f>IFERROR(__xludf.DUMMYFUNCTION("""COMPUTED_VALUE"""),"General - Mesh 30 SS 304; No Brand; -; 1 meter")</f>
        <v>General - Mesh 30 SS 304; No Brand; -; 1 meter</v>
      </c>
      <c r="E3605" s="6">
        <f>IFERROR(__xludf.DUMMYFUNCTION("""COMPUTED_VALUE"""),1.0)</f>
        <v>1</v>
      </c>
      <c r="F3605" s="6">
        <f>IFERROR(__xludf.DUMMYFUNCTION("""COMPUTED_VALUE"""),1.0)</f>
        <v>1</v>
      </c>
      <c r="G3605" s="6">
        <f>IFERROR(__xludf.DUMMYFUNCTION("""COMPUTED_VALUE"""),0.0)</f>
        <v>0</v>
      </c>
      <c r="H3605" s="6" t="str">
        <f>IFERROR(__xludf.DUMMYFUNCTION("""COMPUTED_VALUE"""),"Roll")</f>
        <v>Roll</v>
      </c>
      <c r="I3605" s="6" t="str">
        <f>IFERROR(__xludf.DUMMYFUNCTION("""COMPUTED_VALUE"""),"MFH")</f>
        <v>MFH</v>
      </c>
      <c r="J3605" s="6" t="str">
        <f>IFERROR(__xludf.DUMMYFUNCTION("""COMPUTED_VALUE"""),"-")</f>
        <v>-</v>
      </c>
      <c r="K3605" s="6" t="str">
        <f>IFERROR(__xludf.DUMMYFUNCTION("""COMPUTED_VALUE"""),"SPR/26/05/003")</f>
        <v>SPR/26/05/003</v>
      </c>
      <c r="L3605" s="13">
        <f>IFERROR(__xludf.DUMMYFUNCTION("""COMPUTED_VALUE"""),46171.0)</f>
        <v>46171</v>
      </c>
    </row>
    <row r="3606">
      <c r="A3606" s="6" t="str">
        <f>IFERROR(__xludf.DUMMYFUNCTION("""COMPUTED_VALUE"""),"MRN")</f>
        <v>MRN</v>
      </c>
      <c r="B3606" s="6" t="str">
        <f>IFERROR(__xludf.DUMMYFUNCTION("""COMPUTED_VALUE"""),"ENG")</f>
        <v>ENG</v>
      </c>
      <c r="C3606" s="6" t="str">
        <f>IFERROR(__xludf.DUMMYFUNCTION("""COMPUTED_VALUE"""),"P-11348-00")</f>
        <v>P-11348-00</v>
      </c>
      <c r="D3606" s="6" t="str">
        <f>IFERROR(__xludf.DUMMYFUNCTION("""COMPUTED_VALUE"""),"Roda Caster Supo Dia : 3"" ( 75 x 38 mm) / Swivel Flange / With Breake")</f>
        <v>Roda Caster Supo Dia : 3" ( 75 x 38 mm) / Swivel Flange / With Breake</v>
      </c>
      <c r="E3606" s="6">
        <f>IFERROR(__xludf.DUMMYFUNCTION("""COMPUTED_VALUE"""),2.0)</f>
        <v>2</v>
      </c>
      <c r="F3606" s="6">
        <f>IFERROR(__xludf.DUMMYFUNCTION("""COMPUTED_VALUE"""),2.0)</f>
        <v>2</v>
      </c>
      <c r="G3606" s="6">
        <f>IFERROR(__xludf.DUMMYFUNCTION("""COMPUTED_VALUE"""),0.0)</f>
        <v>0</v>
      </c>
      <c r="H3606" s="6" t="str">
        <f>IFERROR(__xludf.DUMMYFUNCTION("""COMPUTED_VALUE"""),"Pcs")</f>
        <v>Pcs</v>
      </c>
      <c r="I3606" s="6" t="str">
        <f>IFERROR(__xludf.DUMMYFUNCTION("""COMPUTED_VALUE"""),"MFH")</f>
        <v>MFH</v>
      </c>
      <c r="J3606" s="6" t="str">
        <f>IFERROR(__xludf.DUMMYFUNCTION("""COMPUTED_VALUE"""),"-")</f>
        <v>-</v>
      </c>
      <c r="K3606" s="6" t="str">
        <f>IFERROR(__xludf.DUMMYFUNCTION("""COMPUTED_VALUE"""),"SPR/26/05/003")</f>
        <v>SPR/26/05/003</v>
      </c>
      <c r="L3606" s="13">
        <f>IFERROR(__xludf.DUMMYFUNCTION("""COMPUTED_VALUE"""),46171.0)</f>
        <v>46171</v>
      </c>
    </row>
    <row r="3607">
      <c r="A3607" s="6" t="str">
        <f>IFERROR(__xludf.DUMMYFUNCTION("""COMPUTED_VALUE"""),"ERA")</f>
        <v>ERA</v>
      </c>
      <c r="B3607" s="6" t="str">
        <f>IFERROR(__xludf.DUMMYFUNCTION("""COMPUTED_VALUE"""),"ENG")</f>
        <v>ENG</v>
      </c>
      <c r="C3607" s="6" t="str">
        <f>IFERROR(__xludf.DUMMYFUNCTION("""COMPUTED_VALUE"""),"O-15931-00")</f>
        <v>O-15931-00</v>
      </c>
      <c r="D3607" s="6" t="str">
        <f>IFERROR(__xludf.DUMMYFUNCTION("""COMPUTED_VALUE"""),"Double Tape 3M 1"" Merah - P/N : - pc")</f>
        <v>Double Tape 3M 1" Merah - P/N : - pc</v>
      </c>
      <c r="E3607" s="6">
        <f>IFERROR(__xludf.DUMMYFUNCTION("""COMPUTED_VALUE"""),1.0)</f>
        <v>1</v>
      </c>
      <c r="F3607" s="6">
        <f>IFERROR(__xludf.DUMMYFUNCTION("""COMPUTED_VALUE"""),1.0)</f>
        <v>1</v>
      </c>
      <c r="G3607" s="6">
        <f>IFERROR(__xludf.DUMMYFUNCTION("""COMPUTED_VALUE"""),0.0)</f>
        <v>0</v>
      </c>
      <c r="H3607" s="6" t="str">
        <f>IFERROR(__xludf.DUMMYFUNCTION("""COMPUTED_VALUE"""),"Pcs")</f>
        <v>Pcs</v>
      </c>
      <c r="I3607" s="6" t="str">
        <f>IFERROR(__xludf.DUMMYFUNCTION("""COMPUTED_VALUE"""),"MFH")</f>
        <v>MFH</v>
      </c>
      <c r="J3607" s="6" t="str">
        <f>IFERROR(__xludf.DUMMYFUNCTION("""COMPUTED_VALUE"""),"Thawing Rack")</f>
        <v>Thawing Rack</v>
      </c>
      <c r="K3607" s="6" t="str">
        <f>IFERROR(__xludf.DUMMYFUNCTION("""COMPUTED_VALUE"""),"SPR/26/05/004")</f>
        <v>SPR/26/05/004</v>
      </c>
      <c r="L3607" s="13">
        <f>IFERROR(__xludf.DUMMYFUNCTION("""COMPUTED_VALUE"""),46171.0)</f>
        <v>46171</v>
      </c>
    </row>
    <row r="3608">
      <c r="A3608" s="6" t="str">
        <f>IFERROR(__xludf.DUMMYFUNCTION("""COMPUTED_VALUE"""),"ERA")</f>
        <v>ERA</v>
      </c>
      <c r="B3608" s="6" t="str">
        <f>IFERROR(__xludf.DUMMYFUNCTION("""COMPUTED_VALUE"""),"ENG")</f>
        <v>ENG</v>
      </c>
      <c r="C3608" s="6" t="str">
        <f>IFERROR(__xludf.DUMMYFUNCTION("""COMPUTED_VALUE"""),"P-54512-00")</f>
        <v>P-54512-00</v>
      </c>
      <c r="D3608" s="6" t="str">
        <f>IFERROR(__xludf.DUMMYFUNCTION("""COMPUTED_VALUE"""),"General - Kabel Duct PVC, Lubang, Uk. 32 x 32mm; No Brand; -; 1 pc")</f>
        <v>General - Kabel Duct PVC, Lubang, Uk. 32 x 32mm; No Brand; -; 1 pc</v>
      </c>
      <c r="E3608" s="6">
        <f>IFERROR(__xludf.DUMMYFUNCTION("""COMPUTED_VALUE"""),4.0)</f>
        <v>4</v>
      </c>
      <c r="F3608" s="6">
        <f>IFERROR(__xludf.DUMMYFUNCTION("""COMPUTED_VALUE"""),4.0)</f>
        <v>4</v>
      </c>
      <c r="G3608" s="6">
        <f>IFERROR(__xludf.DUMMYFUNCTION("""COMPUTED_VALUE"""),0.0)</f>
        <v>0</v>
      </c>
      <c r="H3608" s="6" t="str">
        <f>IFERROR(__xludf.DUMMYFUNCTION("""COMPUTED_VALUE"""),"Pcs")</f>
        <v>Pcs</v>
      </c>
      <c r="I3608" s="6" t="str">
        <f>IFERROR(__xludf.DUMMYFUNCTION("""COMPUTED_VALUE"""),"MFH")</f>
        <v>MFH</v>
      </c>
      <c r="J3608" s="6" t="str">
        <f>IFERROR(__xludf.DUMMYFUNCTION("""COMPUTED_VALUE"""),"Thawing Rack")</f>
        <v>Thawing Rack</v>
      </c>
      <c r="K3608" s="6" t="str">
        <f>IFERROR(__xludf.DUMMYFUNCTION("""COMPUTED_VALUE"""),"SPR/26/05/004")</f>
        <v>SPR/26/05/004</v>
      </c>
      <c r="L3608" s="13">
        <f>IFERROR(__xludf.DUMMYFUNCTION("""COMPUTED_VALUE"""),46171.0)</f>
        <v>46171</v>
      </c>
    </row>
    <row r="3609">
      <c r="A3609" s="6" t="str">
        <f>IFERROR(__xludf.DUMMYFUNCTION("""COMPUTED_VALUE"""),"ERA")</f>
        <v>ERA</v>
      </c>
      <c r="B3609" s="6" t="str">
        <f>IFERROR(__xludf.DUMMYFUNCTION("""COMPUTED_VALUE"""),"ENG")</f>
        <v>ENG</v>
      </c>
      <c r="C3609" s="6" t="str">
        <f>IFERROR(__xludf.DUMMYFUNCTION("""COMPUTED_VALUE"""),"Q-10650-00")</f>
        <v>Q-10650-00</v>
      </c>
      <c r="D3609" s="6" t="str">
        <f>IFERROR(__xludf.DUMMYFUNCTION("""COMPUTED_VALUE"""),"Aquaproof Abu-Abu @4 Kg; ; ;")</f>
        <v>Aquaproof Abu-Abu @4 Kg; ; ;</v>
      </c>
      <c r="E3609" s="6">
        <f>IFERROR(__xludf.DUMMYFUNCTION("""COMPUTED_VALUE"""),4.0)</f>
        <v>4</v>
      </c>
      <c r="F3609" s="6">
        <f>IFERROR(__xludf.DUMMYFUNCTION("""COMPUTED_VALUE"""),4.0)</f>
        <v>4</v>
      </c>
      <c r="G3609" s="6">
        <f>IFERROR(__xludf.DUMMYFUNCTION("""COMPUTED_VALUE"""),0.0)</f>
        <v>0</v>
      </c>
      <c r="H3609" s="6" t="str">
        <f>IFERROR(__xludf.DUMMYFUNCTION("""COMPUTED_VALUE"""),"Pcs")</f>
        <v>Pcs</v>
      </c>
      <c r="I3609" s="6" t="str">
        <f>IFERROR(__xludf.DUMMYFUNCTION("""COMPUTED_VALUE"""),"MFH")</f>
        <v>MFH</v>
      </c>
      <c r="J3609" s="6" t="str">
        <f>IFERROR(__xludf.DUMMYFUNCTION("""COMPUTED_VALUE"""),"-")</f>
        <v>-</v>
      </c>
      <c r="K3609" s="6" t="str">
        <f>IFERROR(__xludf.DUMMYFUNCTION("""COMPUTED_VALUE"""),"SPR/26/05/004")</f>
        <v>SPR/26/05/004</v>
      </c>
      <c r="L3609" s="13">
        <f>IFERROR(__xludf.DUMMYFUNCTION("""COMPUTED_VALUE"""),46171.0)</f>
        <v>46171</v>
      </c>
    </row>
    <row r="3610">
      <c r="A3610" s="6" t="str">
        <f>IFERROR(__xludf.DUMMYFUNCTION("""COMPUTED_VALUE"""),"KFF")</f>
        <v>KFF</v>
      </c>
      <c r="B3610" s="6" t="str">
        <f>IFERROR(__xludf.DUMMYFUNCTION("""COMPUTED_VALUE"""),"ENG")</f>
        <v>ENG</v>
      </c>
      <c r="C3610" s="6" t="str">
        <f>IFERROR(__xludf.DUMMYFUNCTION("""COMPUTED_VALUE"""),"P-15437-00")</f>
        <v>P-15437-00</v>
      </c>
      <c r="D3610" s="6" t="str">
        <f>IFERROR(__xludf.DUMMYFUNCTION("""COMPUTED_VALUE"""),"CABLE SPIRAL WRAPPING, TYPE KS24, BRAND KSS; ; ;")</f>
        <v>CABLE SPIRAL WRAPPING, TYPE KS24, BRAND KSS; ; ;</v>
      </c>
      <c r="E3610" s="6">
        <f>IFERROR(__xludf.DUMMYFUNCTION("""COMPUTED_VALUE"""),1.0)</f>
        <v>1</v>
      </c>
      <c r="F3610" s="6">
        <f>IFERROR(__xludf.DUMMYFUNCTION("""COMPUTED_VALUE"""),1.0)</f>
        <v>1</v>
      </c>
      <c r="G3610" s="6">
        <f>IFERROR(__xludf.DUMMYFUNCTION("""COMPUTED_VALUE"""),0.0)</f>
        <v>0</v>
      </c>
      <c r="H3610" s="6" t="str">
        <f>IFERROR(__xludf.DUMMYFUNCTION("""COMPUTED_VALUE"""),"Pcs")</f>
        <v>Pcs</v>
      </c>
      <c r="I3610" s="6" t="str">
        <f>IFERROR(__xludf.DUMMYFUNCTION("""COMPUTED_VALUE"""),"MFH")</f>
        <v>MFH</v>
      </c>
      <c r="J3610" s="6" t="str">
        <f>IFERROR(__xludf.DUMMYFUNCTION("""COMPUTED_VALUE"""),"BSC")</f>
        <v>BSC</v>
      </c>
      <c r="K3610" s="6" t="str">
        <f>IFERROR(__xludf.DUMMYFUNCTION("""COMPUTED_VALUE"""),"SPR/26/05/005")</f>
        <v>SPR/26/05/005</v>
      </c>
      <c r="L3610" s="13">
        <f>IFERROR(__xludf.DUMMYFUNCTION("""COMPUTED_VALUE"""),46171.0)</f>
        <v>46171</v>
      </c>
    </row>
    <row r="3611">
      <c r="A3611" s="6" t="str">
        <f>IFERROR(__xludf.DUMMYFUNCTION("""COMPUTED_VALUE"""),"KFF")</f>
        <v>KFF</v>
      </c>
      <c r="B3611" s="6" t="str">
        <f>IFERROR(__xludf.DUMMYFUNCTION("""COMPUTED_VALUE"""),"ENG")</f>
        <v>ENG</v>
      </c>
      <c r="C3611" s="6" t="str">
        <f>IFERROR(__xludf.DUMMYFUNCTION("""COMPUTED_VALUE"""),"S-40640-00")</f>
        <v>S-40640-00</v>
      </c>
      <c r="D3611" s="6" t="str">
        <f>IFERROR(__xludf.DUMMYFUNCTION("""COMPUTED_VALUE"""),"Cable Ties, 150 x 3.6 mm; SIGMA; CS 150T; Putih;100 pcs/pack")</f>
        <v>Cable Ties, 150 x 3.6 mm; SIGMA; CS 150T; Putih;100 pcs/pack</v>
      </c>
      <c r="E3611" s="6">
        <f>IFERROR(__xludf.DUMMYFUNCTION("""COMPUTED_VALUE"""),1.0)</f>
        <v>1</v>
      </c>
      <c r="F3611" s="6">
        <f>IFERROR(__xludf.DUMMYFUNCTION("""COMPUTED_VALUE"""),1.0)</f>
        <v>1</v>
      </c>
      <c r="G3611" s="6">
        <f>IFERROR(__xludf.DUMMYFUNCTION("""COMPUTED_VALUE"""),0.0)</f>
        <v>0</v>
      </c>
      <c r="H3611" s="6" t="str">
        <f>IFERROR(__xludf.DUMMYFUNCTION("""COMPUTED_VALUE"""),"Pcs")</f>
        <v>Pcs</v>
      </c>
      <c r="I3611" s="6" t="str">
        <f>IFERROR(__xludf.DUMMYFUNCTION("""COMPUTED_VALUE"""),"MFH")</f>
        <v>MFH</v>
      </c>
      <c r="J3611" s="6" t="str">
        <f>IFERROR(__xludf.DUMMYFUNCTION("""COMPUTED_VALUE"""),"BSC")</f>
        <v>BSC</v>
      </c>
      <c r="K3611" s="6" t="str">
        <f>IFERROR(__xludf.DUMMYFUNCTION("""COMPUTED_VALUE"""),"SPR/26/05/005")</f>
        <v>SPR/26/05/005</v>
      </c>
      <c r="L3611" s="13">
        <f>IFERROR(__xludf.DUMMYFUNCTION("""COMPUTED_VALUE"""),46171.0)</f>
        <v>46171</v>
      </c>
    </row>
    <row r="3612">
      <c r="A3612" s="6" t="str">
        <f>IFERROR(__xludf.DUMMYFUNCTION("""COMPUTED_VALUE"""),"ERA")</f>
        <v>ERA</v>
      </c>
      <c r="B3612" s="6" t="str">
        <f>IFERROR(__xludf.DUMMYFUNCTION("""COMPUTED_VALUE"""),"ENG")</f>
        <v>ENG</v>
      </c>
      <c r="C3612" s="6" t="str">
        <f>IFERROR(__xludf.DUMMYFUNCTION("""COMPUTED_VALUE"""),"P-15852-00")</f>
        <v>P-15852-00</v>
      </c>
      <c r="D3612" s="6" t="str">
        <f>IFERROR(__xludf.DUMMYFUNCTION("""COMPUTED_VALUE"""),"AMPLAS EAGLE 500")</f>
        <v>AMPLAS EAGLE 500</v>
      </c>
      <c r="E3612" s="6">
        <f>IFERROR(__xludf.DUMMYFUNCTION("""COMPUTED_VALUE"""),1.0)</f>
        <v>1</v>
      </c>
      <c r="F3612" s="6">
        <f>IFERROR(__xludf.DUMMYFUNCTION("""COMPUTED_VALUE"""),1.0)</f>
        <v>1</v>
      </c>
      <c r="G3612" s="6">
        <f>IFERROR(__xludf.DUMMYFUNCTION("""COMPUTED_VALUE"""),0.0)</f>
        <v>0</v>
      </c>
      <c r="H3612" s="6" t="str">
        <f>IFERROR(__xludf.DUMMYFUNCTION("""COMPUTED_VALUE"""),"Pcs")</f>
        <v>Pcs</v>
      </c>
      <c r="I3612" s="6" t="str">
        <f>IFERROR(__xludf.DUMMYFUNCTION("""COMPUTED_VALUE"""),"MFH")</f>
        <v>MFH</v>
      </c>
      <c r="J3612" s="6" t="str">
        <f>IFERROR(__xludf.DUMMYFUNCTION("""COMPUTED_VALUE"""),"Building")</f>
        <v>Building</v>
      </c>
      <c r="K3612" s="6" t="str">
        <f>IFERROR(__xludf.DUMMYFUNCTION("""COMPUTED_VALUE"""),"SPR/26/05/006")</f>
        <v>SPR/26/05/006</v>
      </c>
      <c r="L3612" s="13">
        <f>IFERROR(__xludf.DUMMYFUNCTION("""COMPUTED_VALUE"""),46171.0)</f>
        <v>46171</v>
      </c>
    </row>
    <row r="3613">
      <c r="A3613" s="6" t="str">
        <f>IFERROR(__xludf.DUMMYFUNCTION("""COMPUTED_VALUE"""),"ERA")</f>
        <v>ERA</v>
      </c>
      <c r="B3613" s="6" t="str">
        <f>IFERROR(__xludf.DUMMYFUNCTION("""COMPUTED_VALUE"""),"ENG")</f>
        <v>ENG</v>
      </c>
      <c r="C3613" s="6" t="str">
        <f>IFERROR(__xludf.DUMMYFUNCTION("""COMPUTED_VALUE"""),"P-15851-00")</f>
        <v>P-15851-00</v>
      </c>
      <c r="D3613" s="6" t="str">
        <f>IFERROR(__xludf.DUMMYFUNCTION("""COMPUTED_VALUE"""),"AMPLAS EAGLE 100")</f>
        <v>AMPLAS EAGLE 100</v>
      </c>
      <c r="E3613" s="6">
        <f>IFERROR(__xludf.DUMMYFUNCTION("""COMPUTED_VALUE"""),1.0)</f>
        <v>1</v>
      </c>
      <c r="F3613" s="6">
        <f>IFERROR(__xludf.DUMMYFUNCTION("""COMPUTED_VALUE"""),1.0)</f>
        <v>1</v>
      </c>
      <c r="G3613" s="6">
        <f>IFERROR(__xludf.DUMMYFUNCTION("""COMPUTED_VALUE"""),0.0)</f>
        <v>0</v>
      </c>
      <c r="H3613" s="6" t="str">
        <f>IFERROR(__xludf.DUMMYFUNCTION("""COMPUTED_VALUE"""),"Pcs")</f>
        <v>Pcs</v>
      </c>
      <c r="I3613" s="6" t="str">
        <f>IFERROR(__xludf.DUMMYFUNCTION("""COMPUTED_VALUE"""),"MFH")</f>
        <v>MFH</v>
      </c>
      <c r="J3613" s="6" t="str">
        <f>IFERROR(__xludf.DUMMYFUNCTION("""COMPUTED_VALUE"""),"Building")</f>
        <v>Building</v>
      </c>
      <c r="K3613" s="6" t="str">
        <f>IFERROR(__xludf.DUMMYFUNCTION("""COMPUTED_VALUE"""),"SPR/26/05/006")</f>
        <v>SPR/26/05/006</v>
      </c>
      <c r="L3613" s="13">
        <f>IFERROR(__xludf.DUMMYFUNCTION("""COMPUTED_VALUE"""),46171.0)</f>
        <v>46171</v>
      </c>
    </row>
    <row r="3614">
      <c r="A3614" s="6" t="str">
        <f>IFERROR(__xludf.DUMMYFUNCTION("""COMPUTED_VALUE"""),"ANO")</f>
        <v>ANO</v>
      </c>
      <c r="B3614" s="6" t="str">
        <f>IFERROR(__xludf.DUMMYFUNCTION("""COMPUTED_VALUE"""),"ENG")</f>
        <v>ENG</v>
      </c>
      <c r="C3614" s="6" t="str">
        <f>IFERROR(__xludf.DUMMYFUNCTION("""COMPUTED_VALUE"""),"O-16647-00")</f>
        <v>O-16647-00</v>
      </c>
      <c r="D3614" s="6" t="str">
        <f>IFERROR(__xludf.DUMMYFUNCTION("""COMPUTED_VALUE"""),"Washing RAR4 - Oring Silicone Merah 23x18x2.5 mm; ; ;")</f>
        <v>Washing RAR4 - Oring Silicone Merah 23x18x2.5 mm; ; ;</v>
      </c>
      <c r="E3614" s="6">
        <f>IFERROR(__xludf.DUMMYFUNCTION("""COMPUTED_VALUE"""),10.0)</f>
        <v>10</v>
      </c>
      <c r="F3614" s="6">
        <f>IFERROR(__xludf.DUMMYFUNCTION("""COMPUTED_VALUE"""),10.0)</f>
        <v>10</v>
      </c>
      <c r="G3614" s="6">
        <f>IFERROR(__xludf.DUMMYFUNCTION("""COMPUTED_VALUE"""),0.0)</f>
        <v>0</v>
      </c>
      <c r="H3614" s="6" t="str">
        <f>IFERROR(__xludf.DUMMYFUNCTION("""COMPUTED_VALUE"""),"Pcs")</f>
        <v>Pcs</v>
      </c>
      <c r="I3614" s="6" t="str">
        <f>IFERROR(__xludf.DUMMYFUNCTION("""COMPUTED_VALUE"""),"MFH")</f>
        <v>MFH</v>
      </c>
      <c r="J3614" s="6" t="str">
        <f>IFERROR(__xludf.DUMMYFUNCTION("""COMPUTED_VALUE"""),"Capping")</f>
        <v>Capping</v>
      </c>
      <c r="K3614" s="6" t="str">
        <f>IFERROR(__xludf.DUMMYFUNCTION("""COMPUTED_VALUE"""),"SPR/26/05/006")</f>
        <v>SPR/26/05/006</v>
      </c>
      <c r="L3614" s="13">
        <f>IFERROR(__xludf.DUMMYFUNCTION("""COMPUTED_VALUE"""),46171.0)</f>
        <v>46171</v>
      </c>
    </row>
    <row r="3615">
      <c r="A3615" s="6" t="str">
        <f>IFERROR(__xludf.DUMMYFUNCTION("""COMPUTED_VALUE"""),"MRN")</f>
        <v>MRN</v>
      </c>
      <c r="B3615" s="6" t="str">
        <f>IFERROR(__xludf.DUMMYFUNCTION("""COMPUTED_VALUE"""),"ENG")</f>
        <v>ENG</v>
      </c>
      <c r="C3615" s="6" t="str">
        <f>IFERROR(__xludf.DUMMYFUNCTION("""COMPUTED_VALUE"""),"Q-10475-00")</f>
        <v>Q-10475-00</v>
      </c>
      <c r="D3615" s="6" t="str">
        <f>IFERROR(__xludf.DUMMYFUNCTION("""COMPUTED_VALUE"""),"Cat Tembok; ; ; - Cat Dulux Ambiance Brilliant White @ 20 Ltr")</f>
        <v>Cat Tembok; ; ; - Cat Dulux Ambiance Brilliant White @ 20 Ltr</v>
      </c>
      <c r="E3615" s="6">
        <f>IFERROR(__xludf.DUMMYFUNCTION("""COMPUTED_VALUE"""),1.0)</f>
        <v>1</v>
      </c>
      <c r="F3615" s="6">
        <f>IFERROR(__xludf.DUMMYFUNCTION("""COMPUTED_VALUE"""),1.0)</f>
        <v>1</v>
      </c>
      <c r="G3615" s="6">
        <f>IFERROR(__xludf.DUMMYFUNCTION("""COMPUTED_VALUE"""),0.0)</f>
        <v>0</v>
      </c>
      <c r="H3615" s="6" t="str">
        <f>IFERROR(__xludf.DUMMYFUNCTION("""COMPUTED_VALUE"""),"Pail")</f>
        <v>Pail</v>
      </c>
      <c r="I3615" s="6" t="str">
        <f>IFERROR(__xludf.DUMMYFUNCTION("""COMPUTED_VALUE"""),"MFH")</f>
        <v>MFH</v>
      </c>
      <c r="J3615" s="6" t="str">
        <f>IFERROR(__xludf.DUMMYFUNCTION("""COMPUTED_VALUE"""),"Building")</f>
        <v>Building</v>
      </c>
      <c r="K3615" s="6" t="str">
        <f>IFERROR(__xludf.DUMMYFUNCTION("""COMPUTED_VALUE"""),"SPR/26/05/007")</f>
        <v>SPR/26/05/007</v>
      </c>
      <c r="L3615" s="13">
        <f>IFERROR(__xludf.DUMMYFUNCTION("""COMPUTED_VALUE"""),46171.0)</f>
        <v>46171</v>
      </c>
    </row>
    <row r="3616">
      <c r="A3616" s="6" t="str">
        <f>IFERROR(__xludf.DUMMYFUNCTION("""COMPUTED_VALUE"""),"MRN")</f>
        <v>MRN</v>
      </c>
      <c r="B3616" s="6" t="str">
        <f>IFERROR(__xludf.DUMMYFUNCTION("""COMPUTED_VALUE"""),"ENG")</f>
        <v>ENG</v>
      </c>
      <c r="C3616" s="6" t="str">
        <f>IFERROR(__xludf.DUMMYFUNCTION("""COMPUTED_VALUE"""),"P-20533-00")</f>
        <v>P-20533-00</v>
      </c>
      <c r="D3616" s="6" t="str">
        <f>IFERROR(__xludf.DUMMYFUNCTION("""COMPUTED_VALUE"""),"General - Chain Lube; WD-40 Specialist; -; 360ml/can")</f>
        <v>General - Chain Lube; WD-40 Specialist; -; 360ml/can</v>
      </c>
      <c r="E3616" s="6">
        <f>IFERROR(__xludf.DUMMYFUNCTION("""COMPUTED_VALUE"""),1.0)</f>
        <v>1</v>
      </c>
      <c r="F3616" s="6">
        <f>IFERROR(__xludf.DUMMYFUNCTION("""COMPUTED_VALUE"""),1.0)</f>
        <v>1</v>
      </c>
      <c r="G3616" s="6">
        <f>IFERROR(__xludf.DUMMYFUNCTION("""COMPUTED_VALUE"""),0.0)</f>
        <v>0</v>
      </c>
      <c r="H3616" s="6" t="str">
        <f>IFERROR(__xludf.DUMMYFUNCTION("""COMPUTED_VALUE"""),"Pcs")</f>
        <v>Pcs</v>
      </c>
      <c r="I3616" s="6" t="str">
        <f>IFERROR(__xludf.DUMMYFUNCTION("""COMPUTED_VALUE"""),"MFH")</f>
        <v>MFH</v>
      </c>
      <c r="J3616" s="6" t="str">
        <f>IFERROR(__xludf.DUMMYFUNCTION("""COMPUTED_VALUE"""),"Building")</f>
        <v>Building</v>
      </c>
      <c r="K3616" s="6" t="str">
        <f>IFERROR(__xludf.DUMMYFUNCTION("""COMPUTED_VALUE"""),"SPR/26/05/007")</f>
        <v>SPR/26/05/007</v>
      </c>
      <c r="L3616" s="13">
        <f>IFERROR(__xludf.DUMMYFUNCTION("""COMPUTED_VALUE"""),46171.0)</f>
        <v>46171</v>
      </c>
    </row>
    <row r="3617">
      <c r="A3617" s="6" t="str">
        <f>IFERROR(__xludf.DUMMYFUNCTION("""COMPUTED_VALUE"""),"MRN")</f>
        <v>MRN</v>
      </c>
      <c r="B3617" s="6" t="str">
        <f>IFERROR(__xludf.DUMMYFUNCTION("""COMPUTED_VALUE"""),"ENG")</f>
        <v>ENG</v>
      </c>
      <c r="C3617" s="6" t="str">
        <f>IFERROR(__xludf.DUMMYFUNCTION("""COMPUTED_VALUE"""),"O-21436-00")</f>
        <v>O-21436-00</v>
      </c>
      <c r="D3617" s="6" t="str">
        <f>IFERROR(__xludf.DUMMYFUNCTION("""COMPUTED_VALUE"""),"General - Roller Chain RS35-1 (Single) 3 meter; -; 0; 1 Pc")</f>
        <v>General - Roller Chain RS35-1 (Single) 3 meter; -; 0; 1 Pc</v>
      </c>
      <c r="E3617" s="6">
        <f>IFERROR(__xludf.DUMMYFUNCTION("""COMPUTED_VALUE"""),1.0)</f>
        <v>1</v>
      </c>
      <c r="F3617" s="6">
        <f>IFERROR(__xludf.DUMMYFUNCTION("""COMPUTED_VALUE"""),1.0)</f>
        <v>1</v>
      </c>
      <c r="G3617" s="6">
        <f>IFERROR(__xludf.DUMMYFUNCTION("""COMPUTED_VALUE"""),0.0)</f>
        <v>0</v>
      </c>
      <c r="H3617" s="6" t="str">
        <f>IFERROR(__xludf.DUMMYFUNCTION("""COMPUTED_VALUE"""),"Pcs")</f>
        <v>Pcs</v>
      </c>
      <c r="I3617" s="6" t="str">
        <f>IFERROR(__xludf.DUMMYFUNCTION("""COMPUTED_VALUE"""),"MFH")</f>
        <v>MFH</v>
      </c>
      <c r="J3617" s="6" t="str">
        <f>IFERROR(__xludf.DUMMYFUNCTION("""COMPUTED_VALUE"""),"Building")</f>
        <v>Building</v>
      </c>
      <c r="K3617" s="6" t="str">
        <f>IFERROR(__xludf.DUMMYFUNCTION("""COMPUTED_VALUE"""),"SPR/26/05/007")</f>
        <v>SPR/26/05/007</v>
      </c>
      <c r="L3617" s="13">
        <f>IFERROR(__xludf.DUMMYFUNCTION("""COMPUTED_VALUE"""),46171.0)</f>
        <v>46171</v>
      </c>
    </row>
    <row r="3618">
      <c r="A3618" s="6" t="str">
        <f>IFERROR(__xludf.DUMMYFUNCTION("""COMPUTED_VALUE"""),"NDS")</f>
        <v>NDS</v>
      </c>
      <c r="B3618" s="6" t="str">
        <f>IFERROR(__xludf.DUMMYFUNCTION("""COMPUTED_VALUE"""),"ENG")</f>
        <v>ENG</v>
      </c>
      <c r="C3618" s="6" t="str">
        <f>IFERROR(__xludf.DUMMYFUNCTION("""COMPUTED_VALUE"""),"O-18055-00")</f>
        <v>O-18055-00</v>
      </c>
      <c r="D3618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618" s="6">
        <f>IFERROR(__xludf.DUMMYFUNCTION("""COMPUTED_VALUE"""),2.0)</f>
        <v>2</v>
      </c>
      <c r="F3618" s="6">
        <f>IFERROR(__xludf.DUMMYFUNCTION("""COMPUTED_VALUE"""),2.0)</f>
        <v>2</v>
      </c>
      <c r="G3618" s="6">
        <f>IFERROR(__xludf.DUMMYFUNCTION("""COMPUTED_VALUE"""),0.0)</f>
        <v>0</v>
      </c>
      <c r="H3618" s="6" t="str">
        <f>IFERROR(__xludf.DUMMYFUNCTION("""COMPUTED_VALUE"""),"Pcs")</f>
        <v>Pcs</v>
      </c>
      <c r="I3618" s="6" t="str">
        <f>IFERROR(__xludf.DUMMYFUNCTION("""COMPUTED_VALUE"""),"MFH")</f>
        <v>MFH</v>
      </c>
      <c r="J3618" s="6" t="str">
        <f>IFERROR(__xludf.DUMMYFUNCTION("""COMPUTED_VALUE"""),"Cartonning")</f>
        <v>Cartonning</v>
      </c>
      <c r="K3618" s="6" t="str">
        <f>IFERROR(__xludf.DUMMYFUNCTION("""COMPUTED_VALUE"""),"SPR/26/05/008")</f>
        <v>SPR/26/05/008</v>
      </c>
      <c r="L3618" s="13">
        <f>IFERROR(__xludf.DUMMYFUNCTION("""COMPUTED_VALUE"""),46171.0)</f>
        <v>46171</v>
      </c>
    </row>
    <row r="3619">
      <c r="A3619" s="6" t="str">
        <f>IFERROR(__xludf.DUMMYFUNCTION("""COMPUTED_VALUE"""),"ROS")</f>
        <v>ROS</v>
      </c>
      <c r="B3619" s="6" t="str">
        <f>IFERROR(__xludf.DUMMYFUNCTION("""COMPUTED_VALUE"""),"ENG")</f>
        <v>ENG</v>
      </c>
      <c r="C3619" s="6" t="str">
        <f>IFERROR(__xludf.DUMMYFUNCTION("""COMPUTED_VALUE"""),"T-12352-00")</f>
        <v>T-12352-00</v>
      </c>
      <c r="D3619" s="6" t="str">
        <f>IFERROR(__xludf.DUMMYFUNCTION("""COMPUTED_VALUE"""),"Adapter converter LAN to Type C with Ethernet; UGREEN; ;")</f>
        <v>Adapter converter LAN to Type C with Ethernet; UGREEN; ;</v>
      </c>
      <c r="E3619" s="6">
        <f>IFERROR(__xludf.DUMMYFUNCTION("""COMPUTED_VALUE"""),1.0)</f>
        <v>1</v>
      </c>
      <c r="F3619" s="6">
        <f>IFERROR(__xludf.DUMMYFUNCTION("""COMPUTED_VALUE"""),1.0)</f>
        <v>1</v>
      </c>
      <c r="G3619" s="6">
        <f>IFERROR(__xludf.DUMMYFUNCTION("""COMPUTED_VALUE"""),0.0)</f>
        <v>0</v>
      </c>
      <c r="H3619" s="6" t="str">
        <f>IFERROR(__xludf.DUMMYFUNCTION("""COMPUTED_VALUE"""),"Pcs")</f>
        <v>Pcs</v>
      </c>
      <c r="I3619" s="6" t="str">
        <f>IFERROR(__xludf.DUMMYFUNCTION("""COMPUTED_VALUE"""),"MFH")</f>
        <v>MFH</v>
      </c>
      <c r="J3619" s="6" t="str">
        <f>IFERROR(__xludf.DUMMYFUNCTION("""COMPUTED_VALUE"""),"Mixing ")</f>
        <v>Mixing </v>
      </c>
      <c r="K3619" s="6" t="str">
        <f>IFERROR(__xludf.DUMMYFUNCTION("""COMPUTED_VALUE"""),"SPR/26/05/009")</f>
        <v>SPR/26/05/009</v>
      </c>
      <c r="L3619" s="13">
        <f>IFERROR(__xludf.DUMMYFUNCTION("""COMPUTED_VALUE"""),46171.0)</f>
        <v>46171</v>
      </c>
    </row>
    <row r="3620">
      <c r="A3620" s="6" t="str">
        <f>IFERROR(__xludf.DUMMYFUNCTION("""COMPUTED_VALUE"""),"NDS")</f>
        <v>NDS</v>
      </c>
      <c r="B3620" s="6" t="str">
        <f>IFERROR(__xludf.DUMMYFUNCTION("""COMPUTED_VALUE"""),"ENG")</f>
        <v>ENG</v>
      </c>
      <c r="C3620" s="6" t="str">
        <f>IFERROR(__xludf.DUMMYFUNCTION("""COMPUTED_VALUE"""),"O-11181-00")</f>
        <v>O-11181-00</v>
      </c>
      <c r="D3620" s="6" t="str">
        <f>IFERROR(__xludf.DUMMYFUNCTION("""COMPUTED_VALUE"""),"Bearing 626-2Z")</f>
        <v>Bearing 626-2Z</v>
      </c>
      <c r="E3620" s="6">
        <f>IFERROR(__xludf.DUMMYFUNCTION("""COMPUTED_VALUE"""),2.0)</f>
        <v>2</v>
      </c>
      <c r="F3620" s="6">
        <f>IFERROR(__xludf.DUMMYFUNCTION("""COMPUTED_VALUE"""),2.0)</f>
        <v>2</v>
      </c>
      <c r="G3620" s="6">
        <f>IFERROR(__xludf.DUMMYFUNCTION("""COMPUTED_VALUE"""),0.0)</f>
        <v>0</v>
      </c>
      <c r="H3620" s="6" t="str">
        <f>IFERROR(__xludf.DUMMYFUNCTION("""COMPUTED_VALUE"""),"Pcs")</f>
        <v>Pcs</v>
      </c>
      <c r="I3620" s="6" t="str">
        <f>IFERROR(__xludf.DUMMYFUNCTION("""COMPUTED_VALUE"""),"MFH")</f>
        <v>MFH</v>
      </c>
      <c r="J3620" s="6" t="str">
        <f>IFERROR(__xludf.DUMMYFUNCTION("""COMPUTED_VALUE"""),"Capping")</f>
        <v>Capping</v>
      </c>
      <c r="K3620" s="6" t="str">
        <f>IFERROR(__xludf.DUMMYFUNCTION("""COMPUTED_VALUE"""),"SPR/26/05/010")</f>
        <v>SPR/26/05/010</v>
      </c>
      <c r="L3620" s="13">
        <f>IFERROR(__xludf.DUMMYFUNCTION("""COMPUTED_VALUE"""),46171.0)</f>
        <v>46171</v>
      </c>
    </row>
    <row r="3621">
      <c r="A3621" s="6" t="str">
        <f>IFERROR(__xludf.DUMMYFUNCTION("""COMPUTED_VALUE"""),"KPR")</f>
        <v>KPR</v>
      </c>
      <c r="B3621" s="6" t="str">
        <f>IFERROR(__xludf.DUMMYFUNCTION("""COMPUTED_VALUE"""),"ENG")</f>
        <v>ENG</v>
      </c>
      <c r="C3621" s="6" t="str">
        <f>IFERROR(__xludf.DUMMYFUNCTION("""COMPUTED_VALUE"""),"T-12311-00")</f>
        <v>T-12311-00</v>
      </c>
      <c r="D3621" s="6" t="str">
        <f>IFERROR(__xludf.DUMMYFUNCTION("""COMPUTED_VALUE"""),"Thermal Paste for Processor/CPU; ; ;")</f>
        <v>Thermal Paste for Processor/CPU; ; ;</v>
      </c>
      <c r="E3621" s="6">
        <f>IFERROR(__xludf.DUMMYFUNCTION("""COMPUTED_VALUE"""),2.0)</f>
        <v>2</v>
      </c>
      <c r="F3621" s="6">
        <f>IFERROR(__xludf.DUMMYFUNCTION("""COMPUTED_VALUE"""),2.0)</f>
        <v>2</v>
      </c>
      <c r="G3621" s="6">
        <f>IFERROR(__xludf.DUMMYFUNCTION("""COMPUTED_VALUE"""),0.0)</f>
        <v>0</v>
      </c>
      <c r="H3621" s="6" t="str">
        <f>IFERROR(__xludf.DUMMYFUNCTION("""COMPUTED_VALUE"""),"Pcs")</f>
        <v>Pcs</v>
      </c>
      <c r="I3621" s="6" t="str">
        <f>IFERROR(__xludf.DUMMYFUNCTION("""COMPUTED_VALUE"""),"MFH")</f>
        <v>MFH</v>
      </c>
      <c r="J3621" s="6" t="str">
        <f>IFERROR(__xludf.DUMMYFUNCTION("""COMPUTED_VALUE"""),"FD")</f>
        <v>FD</v>
      </c>
      <c r="K3621" s="6" t="str">
        <f>IFERROR(__xludf.DUMMYFUNCTION("""COMPUTED_VALUE"""),"SPR/26/05/011")</f>
        <v>SPR/26/05/011</v>
      </c>
      <c r="L3621" s="13">
        <f>IFERROR(__xludf.DUMMYFUNCTION("""COMPUTED_VALUE"""),46171.0)</f>
        <v>46171</v>
      </c>
    </row>
    <row r="3622">
      <c r="A3622" s="6" t="str">
        <f>IFERROR(__xludf.DUMMYFUNCTION("""COMPUTED_VALUE"""),"WAP")</f>
        <v>WAP</v>
      </c>
      <c r="B3622" s="6" t="str">
        <f>IFERROR(__xludf.DUMMYFUNCTION("""COMPUTED_VALUE"""),"ENG")</f>
        <v>ENG</v>
      </c>
      <c r="C3622" s="6" t="str">
        <f>IFERROR(__xludf.DUMMYFUNCTION("""COMPUTED_VALUE"""),"T-80109-00")</f>
        <v>T-80109-00</v>
      </c>
      <c r="D3622" s="6" t="str">
        <f>IFERROR(__xludf.DUMMYFUNCTION("""COMPUTED_VALUE"""),"Cellotape Kertas 1 inch warna Putih")</f>
        <v>Cellotape Kertas 1 inch warna Putih</v>
      </c>
      <c r="E3622" s="6">
        <f>IFERROR(__xludf.DUMMYFUNCTION("""COMPUTED_VALUE"""),1.0)</f>
        <v>1</v>
      </c>
      <c r="F3622" s="6">
        <f>IFERROR(__xludf.DUMMYFUNCTION("""COMPUTED_VALUE"""),1.0)</f>
        <v>1</v>
      </c>
      <c r="G3622" s="6">
        <f>IFERROR(__xludf.DUMMYFUNCTION("""COMPUTED_VALUE"""),0.0)</f>
        <v>0</v>
      </c>
      <c r="H3622" s="6" t="str">
        <f>IFERROR(__xludf.DUMMYFUNCTION("""COMPUTED_VALUE"""),"Pcs")</f>
        <v>Pcs</v>
      </c>
      <c r="I3622" s="6" t="str">
        <f>IFERROR(__xludf.DUMMYFUNCTION("""COMPUTED_VALUE"""),"MFH")</f>
        <v>MFH</v>
      </c>
      <c r="J3622" s="6" t="str">
        <f>IFERROR(__xludf.DUMMYFUNCTION("""COMPUTED_VALUE"""),"Mixing ")</f>
        <v>Mixing </v>
      </c>
      <c r="K3622" s="6" t="str">
        <f>IFERROR(__xludf.DUMMYFUNCTION("""COMPUTED_VALUE"""),"SPR/26/05/012")</f>
        <v>SPR/26/05/012</v>
      </c>
      <c r="L3622" s="13">
        <f>IFERROR(__xludf.DUMMYFUNCTION("""COMPUTED_VALUE"""),46171.0)</f>
        <v>46171</v>
      </c>
    </row>
    <row r="3623">
      <c r="A3623" s="6" t="str">
        <f>IFERROR(__xludf.DUMMYFUNCTION("""COMPUTED_VALUE"""),"ANO")</f>
        <v>ANO</v>
      </c>
      <c r="B3623" s="6" t="str">
        <f>IFERROR(__xludf.DUMMYFUNCTION("""COMPUTED_VALUE"""),"ENG")</f>
        <v>ENG</v>
      </c>
      <c r="C3623" s="6" t="str">
        <f>IFERROR(__xludf.DUMMYFUNCTION("""COMPUTED_VALUE"""),"Q-60025-00")</f>
        <v>Q-60025-00</v>
      </c>
      <c r="D3623" s="6" t="str">
        <f>IFERROR(__xludf.DUMMYFUNCTION("""COMPUTED_VALUE"""),"Kuas Eterna 1")</f>
        <v>Kuas Eterna 1</v>
      </c>
      <c r="E3623" s="6">
        <f>IFERROR(__xludf.DUMMYFUNCTION("""COMPUTED_VALUE"""),1.0)</f>
        <v>1</v>
      </c>
      <c r="F3623" s="6">
        <f>IFERROR(__xludf.DUMMYFUNCTION("""COMPUTED_VALUE"""),1.0)</f>
        <v>1</v>
      </c>
      <c r="G3623" s="6">
        <f>IFERROR(__xludf.DUMMYFUNCTION("""COMPUTED_VALUE"""),0.0)</f>
        <v>0</v>
      </c>
      <c r="H3623" s="6" t="str">
        <f>IFERROR(__xludf.DUMMYFUNCTION("""COMPUTED_VALUE"""),"Pcs")</f>
        <v>Pcs</v>
      </c>
      <c r="I3623" s="6" t="str">
        <f>IFERROR(__xludf.DUMMYFUNCTION("""COMPUTED_VALUE"""),"MFH")</f>
        <v>MFH</v>
      </c>
      <c r="J3623" s="6" t="str">
        <f>IFERROR(__xludf.DUMMYFUNCTION("""COMPUTED_VALUE"""),"Building")</f>
        <v>Building</v>
      </c>
      <c r="K3623" s="6" t="str">
        <f>IFERROR(__xludf.DUMMYFUNCTION("""COMPUTED_VALUE"""),"SPR/26/05/013")</f>
        <v>SPR/26/05/013</v>
      </c>
      <c r="L3623" s="13">
        <f>IFERROR(__xludf.DUMMYFUNCTION("""COMPUTED_VALUE"""),46171.0)</f>
        <v>46171</v>
      </c>
    </row>
    <row r="3624">
      <c r="A3624" s="6" t="str">
        <f>IFERROR(__xludf.DUMMYFUNCTION("""COMPUTED_VALUE"""),"ANO")</f>
        <v>ANO</v>
      </c>
      <c r="B3624" s="6" t="str">
        <f>IFERROR(__xludf.DUMMYFUNCTION("""COMPUTED_VALUE"""),"ENG")</f>
        <v>ENG</v>
      </c>
      <c r="C3624" s="6" t="str">
        <f>IFERROR(__xludf.DUMMYFUNCTION("""COMPUTED_VALUE"""),"P-15852-00")</f>
        <v>P-15852-00</v>
      </c>
      <c r="D3624" s="6" t="str">
        <f>IFERROR(__xludf.DUMMYFUNCTION("""COMPUTED_VALUE"""),"AMPLAS EAGLE 500")</f>
        <v>AMPLAS EAGLE 500</v>
      </c>
      <c r="E3624" s="6">
        <f>IFERROR(__xludf.DUMMYFUNCTION("""COMPUTED_VALUE"""),2.0)</f>
        <v>2</v>
      </c>
      <c r="F3624" s="6">
        <f>IFERROR(__xludf.DUMMYFUNCTION("""COMPUTED_VALUE"""),2.0)</f>
        <v>2</v>
      </c>
      <c r="G3624" s="6">
        <f>IFERROR(__xludf.DUMMYFUNCTION("""COMPUTED_VALUE"""),0.0)</f>
        <v>0</v>
      </c>
      <c r="H3624" s="6" t="str">
        <f>IFERROR(__xludf.DUMMYFUNCTION("""COMPUTED_VALUE"""),"Pcs")</f>
        <v>Pcs</v>
      </c>
      <c r="I3624" s="6" t="str">
        <f>IFERROR(__xludf.DUMMYFUNCTION("""COMPUTED_VALUE"""),"MFH")</f>
        <v>MFH</v>
      </c>
      <c r="J3624" s="6" t="str">
        <f>IFERROR(__xludf.DUMMYFUNCTION("""COMPUTED_VALUE"""),"Building")</f>
        <v>Building</v>
      </c>
      <c r="K3624" s="6" t="str">
        <f>IFERROR(__xludf.DUMMYFUNCTION("""COMPUTED_VALUE"""),"SPR/26/05/013")</f>
        <v>SPR/26/05/013</v>
      </c>
      <c r="L3624" s="13">
        <f>IFERROR(__xludf.DUMMYFUNCTION("""COMPUTED_VALUE"""),46171.0)</f>
        <v>46171</v>
      </c>
    </row>
    <row r="3625">
      <c r="A3625" s="6" t="str">
        <f>IFERROR(__xludf.DUMMYFUNCTION("""COMPUTED_VALUE"""),"ANO")</f>
        <v>ANO</v>
      </c>
      <c r="B3625" s="6" t="str">
        <f>IFERROR(__xludf.DUMMYFUNCTION("""COMPUTED_VALUE"""),"ENG")</f>
        <v>ENG</v>
      </c>
      <c r="C3625" s="6" t="str">
        <f>IFERROR(__xludf.DUMMYFUNCTION("""COMPUTED_VALUE"""),"Q-10331-00")</f>
        <v>Q-10331-00</v>
      </c>
      <c r="D3625" s="6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E3625" s="6">
        <f>IFERROR(__xludf.DUMMYFUNCTION("""COMPUTED_VALUE"""),1.0)</f>
        <v>1</v>
      </c>
      <c r="F3625" s="6">
        <f>IFERROR(__xludf.DUMMYFUNCTION("""COMPUTED_VALUE"""),1.0)</f>
        <v>1</v>
      </c>
      <c r="G3625" s="6">
        <f>IFERROR(__xludf.DUMMYFUNCTION("""COMPUTED_VALUE"""),0.0)</f>
        <v>0</v>
      </c>
      <c r="H3625" s="6" t="str">
        <f>IFERROR(__xludf.DUMMYFUNCTION("""COMPUTED_VALUE"""),"Can")</f>
        <v>Can</v>
      </c>
      <c r="I3625" s="6" t="str">
        <f>IFERROR(__xludf.DUMMYFUNCTION("""COMPUTED_VALUE"""),"MFH")</f>
        <v>MFH</v>
      </c>
      <c r="J3625" s="6" t="str">
        <f>IFERROR(__xludf.DUMMYFUNCTION("""COMPUTED_VALUE"""),"Building")</f>
        <v>Building</v>
      </c>
      <c r="K3625" s="6" t="str">
        <f>IFERROR(__xludf.DUMMYFUNCTION("""COMPUTED_VALUE"""),"SPR/26/05/013")</f>
        <v>SPR/26/05/013</v>
      </c>
      <c r="L3625" s="13">
        <f>IFERROR(__xludf.DUMMYFUNCTION("""COMPUTED_VALUE"""),46171.0)</f>
        <v>46171</v>
      </c>
    </row>
    <row r="3626">
      <c r="A3626" s="6" t="str">
        <f>IFERROR(__xludf.DUMMYFUNCTION("""COMPUTED_VALUE"""),"BDU")</f>
        <v>BDU</v>
      </c>
      <c r="B3626" s="6" t="str">
        <f>IFERROR(__xludf.DUMMYFUNCTION("""COMPUTED_VALUE"""),"ENG")</f>
        <v>ENG</v>
      </c>
      <c r="C3626" s="6" t="str">
        <f>IFERROR(__xludf.DUMMYFUNCTION("""COMPUTED_VALUE"""),"O-19424-00")</f>
        <v>O-19424-00</v>
      </c>
      <c r="D3626" s="6" t="str">
        <f>IFERROR(__xludf.DUMMYFUNCTION("""COMPUTED_VALUE"""),"Mur Baut A2-70 THE")</f>
        <v>Mur Baut A2-70 THE</v>
      </c>
      <c r="E3626" s="6">
        <f>IFERROR(__xludf.DUMMYFUNCTION("""COMPUTED_VALUE"""),2.0)</f>
        <v>2</v>
      </c>
      <c r="F3626" s="6">
        <f>IFERROR(__xludf.DUMMYFUNCTION("""COMPUTED_VALUE"""),2.0)</f>
        <v>2</v>
      </c>
      <c r="G3626" s="6">
        <f>IFERROR(__xludf.DUMMYFUNCTION("""COMPUTED_VALUE"""),0.0)</f>
        <v>0</v>
      </c>
      <c r="H3626" s="6" t="str">
        <f>IFERROR(__xludf.DUMMYFUNCTION("""COMPUTED_VALUE"""),"Pcs")</f>
        <v>Pcs</v>
      </c>
      <c r="I3626" s="6" t="str">
        <f>IFERROR(__xludf.DUMMYFUNCTION("""COMPUTED_VALUE"""),"MFH")</f>
        <v>MFH</v>
      </c>
      <c r="J3626" s="6" t="str">
        <f>IFERROR(__xludf.DUMMYFUNCTION("""COMPUTED_VALUE"""),"-")</f>
        <v>-</v>
      </c>
      <c r="K3626" s="6" t="str">
        <f>IFERROR(__xludf.DUMMYFUNCTION("""COMPUTED_VALUE"""),"SPR/26/05/014")</f>
        <v>SPR/26/05/014</v>
      </c>
      <c r="L3626" s="13">
        <f>IFERROR(__xludf.DUMMYFUNCTION("""COMPUTED_VALUE"""),46171.0)</f>
        <v>46171</v>
      </c>
    </row>
    <row r="3627">
      <c r="A3627" s="6" t="str">
        <f>IFERROR(__xludf.DUMMYFUNCTION("""COMPUTED_VALUE"""),"BDU")</f>
        <v>BDU</v>
      </c>
      <c r="B3627" s="6" t="str">
        <f>IFERROR(__xludf.DUMMYFUNCTION("""COMPUTED_VALUE"""),"ENG")</f>
        <v>ENG</v>
      </c>
      <c r="C3627" s="6" t="str">
        <f>IFERROR(__xludf.DUMMYFUNCTION("""COMPUTED_VALUE"""),"O-19430-00")</f>
        <v>O-19430-00</v>
      </c>
      <c r="D3627" s="6" t="str">
        <f>IFERROR(__xludf.DUMMYFUNCTION("""COMPUTED_VALUE"""),"Baut SS L M5 x 20 mm + Mur + Ring; ; ;; ; ;; ; ;")</f>
        <v>Baut SS L M5 x 20 mm + Mur + Ring; ; ;; ; ;; ; ;</v>
      </c>
      <c r="E3627" s="6">
        <f>IFERROR(__xludf.DUMMYFUNCTION("""COMPUTED_VALUE"""),2.0)</f>
        <v>2</v>
      </c>
      <c r="F3627" s="6">
        <f>IFERROR(__xludf.DUMMYFUNCTION("""COMPUTED_VALUE"""),2.0)</f>
        <v>2</v>
      </c>
      <c r="G3627" s="6">
        <f>IFERROR(__xludf.DUMMYFUNCTION("""COMPUTED_VALUE"""),0.0)</f>
        <v>0</v>
      </c>
      <c r="H3627" s="6" t="str">
        <f>IFERROR(__xludf.DUMMYFUNCTION("""COMPUTED_VALUE"""),"Pcs")</f>
        <v>Pcs</v>
      </c>
      <c r="I3627" s="6" t="str">
        <f>IFERROR(__xludf.DUMMYFUNCTION("""COMPUTED_VALUE"""),"MFH")</f>
        <v>MFH</v>
      </c>
      <c r="J3627" s="6" t="str">
        <f>IFERROR(__xludf.DUMMYFUNCTION("""COMPUTED_VALUE"""),"-")</f>
        <v>-</v>
      </c>
      <c r="K3627" s="6" t="str">
        <f>IFERROR(__xludf.DUMMYFUNCTION("""COMPUTED_VALUE"""),"SPR/26/05/014")</f>
        <v>SPR/26/05/014</v>
      </c>
      <c r="L3627" s="13">
        <f>IFERROR(__xludf.DUMMYFUNCTION("""COMPUTED_VALUE"""),46171.0)</f>
        <v>46171</v>
      </c>
    </row>
    <row r="3628">
      <c r="A3628" s="6" t="str">
        <f>IFERROR(__xludf.DUMMYFUNCTION("""COMPUTED_VALUE"""),"ROS")</f>
        <v>ROS</v>
      </c>
      <c r="B3628" s="6" t="str">
        <f>IFERROR(__xludf.DUMMYFUNCTION("""COMPUTED_VALUE"""),"ENG")</f>
        <v>ENG</v>
      </c>
      <c r="C3628" s="6" t="str">
        <f>IFERROR(__xludf.DUMMYFUNCTION("""COMPUTED_VALUE"""),"O-16033-00")</f>
        <v>O-16033-00</v>
      </c>
      <c r="D3628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628" s="6">
        <f>IFERROR(__xludf.DUMMYFUNCTION("""COMPUTED_VALUE"""),2.0)</f>
        <v>2</v>
      </c>
      <c r="F3628" s="6">
        <f>IFERROR(__xludf.DUMMYFUNCTION("""COMPUTED_VALUE"""),2.0)</f>
        <v>2</v>
      </c>
      <c r="G3628" s="6">
        <f>IFERROR(__xludf.DUMMYFUNCTION("""COMPUTED_VALUE"""),0.0)</f>
        <v>0</v>
      </c>
      <c r="H3628" s="6" t="str">
        <f>IFERROR(__xludf.DUMMYFUNCTION("""COMPUTED_VALUE"""),"Pcs")</f>
        <v>Pcs</v>
      </c>
      <c r="I3628" s="6" t="str">
        <f>IFERROR(__xludf.DUMMYFUNCTION("""COMPUTED_VALUE"""),"MFH")</f>
        <v>MFH</v>
      </c>
      <c r="J3628" s="6" t="str">
        <f>IFERROR(__xludf.DUMMYFUNCTION("""COMPUTED_VALUE"""),"cRABS")</f>
        <v>cRABS</v>
      </c>
      <c r="K3628" s="6" t="str">
        <f>IFERROR(__xludf.DUMMYFUNCTION("""COMPUTED_VALUE"""),"SPR/26/05/015")</f>
        <v>SPR/26/05/015</v>
      </c>
      <c r="L3628" s="13">
        <f>IFERROR(__xludf.DUMMYFUNCTION("""COMPUTED_VALUE"""),46171.0)</f>
        <v>46171</v>
      </c>
    </row>
    <row r="3629">
      <c r="A3629" s="6" t="str">
        <f>IFERROR(__xludf.DUMMYFUNCTION("""COMPUTED_VALUE"""),"ROS")</f>
        <v>ROS</v>
      </c>
      <c r="B3629" s="6" t="str">
        <f>IFERROR(__xludf.DUMMYFUNCTION("""COMPUTED_VALUE"""),"ENG")</f>
        <v>ENG</v>
      </c>
      <c r="C3629" s="6" t="str">
        <f>IFERROR(__xludf.DUMMYFUNCTION("""COMPUTED_VALUE"""),"O-16731-00")</f>
        <v>O-16731-00</v>
      </c>
      <c r="D3629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629" s="6">
        <f>IFERROR(__xludf.DUMMYFUNCTION("""COMPUTED_VALUE"""),4.0)</f>
        <v>4</v>
      </c>
      <c r="F3629" s="6">
        <f>IFERROR(__xludf.DUMMYFUNCTION("""COMPUTED_VALUE"""),4.0)</f>
        <v>4</v>
      </c>
      <c r="G3629" s="6">
        <f>IFERROR(__xludf.DUMMYFUNCTION("""COMPUTED_VALUE"""),0.0)</f>
        <v>0</v>
      </c>
      <c r="H3629" s="6" t="str">
        <f>IFERROR(__xludf.DUMMYFUNCTION("""COMPUTED_VALUE"""),"Pcs")</f>
        <v>Pcs</v>
      </c>
      <c r="I3629" s="6" t="str">
        <f>IFERROR(__xludf.DUMMYFUNCTION("""COMPUTED_VALUE"""),"MFH")</f>
        <v>MFH</v>
      </c>
      <c r="J3629" s="6" t="str">
        <f>IFERROR(__xludf.DUMMYFUNCTION("""COMPUTED_VALUE"""),"Autoclave")</f>
        <v>Autoclave</v>
      </c>
      <c r="K3629" s="6" t="str">
        <f>IFERROR(__xludf.DUMMYFUNCTION("""COMPUTED_VALUE"""),"SPR/26/05/015")</f>
        <v>SPR/26/05/015</v>
      </c>
      <c r="L3629" s="13">
        <f>IFERROR(__xludf.DUMMYFUNCTION("""COMPUTED_VALUE"""),46171.0)</f>
        <v>46171</v>
      </c>
    </row>
    <row r="3630">
      <c r="A3630" s="6" t="str">
        <f>IFERROR(__xludf.DUMMYFUNCTION("""COMPUTED_VALUE"""),"WAP")</f>
        <v>WAP</v>
      </c>
      <c r="B3630" s="6" t="str">
        <f>IFERROR(__xludf.DUMMYFUNCTION("""COMPUTED_VALUE"""),"ENG")</f>
        <v>ENG</v>
      </c>
      <c r="C3630" s="6" t="str">
        <f>IFERROR(__xludf.DUMMYFUNCTION("""COMPUTED_VALUE"""),"S-40645-00")</f>
        <v>S-40645-00</v>
      </c>
      <c r="D3630" s="6" t="str">
        <f>IFERROR(__xludf.DUMMYFUNCTION("""COMPUTED_VALUE"""),"Cable Ties, 200 x 4.8 mm; SIGMA; CS 200L; Putih;100 pcs/pack")</f>
        <v>Cable Ties, 200 x 4.8 mm; SIGMA; CS 200L; Putih;100 pcs/pack</v>
      </c>
      <c r="E3630" s="6">
        <f>IFERROR(__xludf.DUMMYFUNCTION("""COMPUTED_VALUE"""),1.0)</f>
        <v>1</v>
      </c>
      <c r="F3630" s="6">
        <f>IFERROR(__xludf.DUMMYFUNCTION("""COMPUTED_VALUE"""),1.0)</f>
        <v>1</v>
      </c>
      <c r="G3630" s="6">
        <f>IFERROR(__xludf.DUMMYFUNCTION("""COMPUTED_VALUE"""),0.0)</f>
        <v>0</v>
      </c>
      <c r="H3630" s="6" t="str">
        <f>IFERROR(__xludf.DUMMYFUNCTION("""COMPUTED_VALUE"""),"Pcs")</f>
        <v>Pcs</v>
      </c>
      <c r="I3630" s="6" t="str">
        <f>IFERROR(__xludf.DUMMYFUNCTION("""COMPUTED_VALUE"""),"MFH")</f>
        <v>MFH</v>
      </c>
      <c r="J3630" s="6" t="str">
        <f>IFERROR(__xludf.DUMMYFUNCTION("""COMPUTED_VALUE"""),"Packhall")</f>
        <v>Packhall</v>
      </c>
      <c r="K3630" s="6" t="str">
        <f>IFERROR(__xludf.DUMMYFUNCTION("""COMPUTED_VALUE"""),"SPR/26/05/016")</f>
        <v>SPR/26/05/016</v>
      </c>
      <c r="L3630" s="13">
        <f>IFERROR(__xludf.DUMMYFUNCTION("""COMPUTED_VALUE"""),46171.0)</f>
        <v>46171</v>
      </c>
    </row>
    <row r="3631">
      <c r="A3631" s="6" t="str">
        <f>IFERROR(__xludf.DUMMYFUNCTION("""COMPUTED_VALUE"""),"RIA")</f>
        <v>RIA</v>
      </c>
      <c r="B3631" s="6" t="str">
        <f>IFERROR(__xludf.DUMMYFUNCTION("""COMPUTED_VALUE"""),"ENG")</f>
        <v>ENG</v>
      </c>
      <c r="C3631" s="6" t="str">
        <f>IFERROR(__xludf.DUMMYFUNCTION("""COMPUTED_VALUE"""),"O-54015-00")</f>
        <v>O-54015-00</v>
      </c>
      <c r="D3631" s="6" t="str">
        <f>IFERROR(__xludf.DUMMYFUNCTION("""COMPUTED_VALUE"""),"STOP KONTAK LUBANG 4, BROCO")</f>
        <v>STOP KONTAK LUBANG 4, BROCO</v>
      </c>
      <c r="E3631" s="6">
        <f>IFERROR(__xludf.DUMMYFUNCTION("""COMPUTED_VALUE"""),2.0)</f>
        <v>2</v>
      </c>
      <c r="F3631" s="6">
        <f>IFERROR(__xludf.DUMMYFUNCTION("""COMPUTED_VALUE"""),2.0)</f>
        <v>2</v>
      </c>
      <c r="G3631" s="6">
        <f>IFERROR(__xludf.DUMMYFUNCTION("""COMPUTED_VALUE"""),0.0)</f>
        <v>0</v>
      </c>
      <c r="H3631" s="6" t="str">
        <f>IFERROR(__xludf.DUMMYFUNCTION("""COMPUTED_VALUE"""),"Pcs")</f>
        <v>Pcs</v>
      </c>
      <c r="I3631" s="6" t="str">
        <f>IFERROR(__xludf.DUMMYFUNCTION("""COMPUTED_VALUE"""),"MFH")</f>
        <v>MFH</v>
      </c>
      <c r="J3631" s="6" t="str">
        <f>IFERROR(__xludf.DUMMYFUNCTION("""COMPUTED_VALUE"""),"Building")</f>
        <v>Building</v>
      </c>
      <c r="K3631" s="6" t="str">
        <f>IFERROR(__xludf.DUMMYFUNCTION("""COMPUTED_VALUE"""),"SPR/26/05/017")</f>
        <v>SPR/26/05/017</v>
      </c>
      <c r="L3631" s="13">
        <f>IFERROR(__xludf.DUMMYFUNCTION("""COMPUTED_VALUE"""),46171.0)</f>
        <v>46171</v>
      </c>
    </row>
    <row r="3632">
      <c r="A3632" s="6" t="str">
        <f>IFERROR(__xludf.DUMMYFUNCTION("""COMPUTED_VALUE"""),"RIA")</f>
        <v>RIA</v>
      </c>
      <c r="B3632" s="6" t="str">
        <f>IFERROR(__xludf.DUMMYFUNCTION("""COMPUTED_VALUE"""),"ENG")</f>
        <v>ENG</v>
      </c>
      <c r="C3632" s="6" t="str">
        <f>IFERROR(__xludf.DUMMYFUNCTION("""COMPUTED_VALUE"""),"O-54014-00")</f>
        <v>O-54014-00</v>
      </c>
      <c r="D3632" s="6" t="str">
        <f>IFERROR(__xludf.DUMMYFUNCTION("""COMPUTED_VALUE"""),"STEKER 1 PHASE, BROCO")</f>
        <v>STEKER 1 PHASE, BROCO</v>
      </c>
      <c r="E3632" s="6">
        <f>IFERROR(__xludf.DUMMYFUNCTION("""COMPUTED_VALUE"""),2.0)</f>
        <v>2</v>
      </c>
      <c r="F3632" s="6">
        <f>IFERROR(__xludf.DUMMYFUNCTION("""COMPUTED_VALUE"""),2.0)</f>
        <v>2</v>
      </c>
      <c r="G3632" s="6">
        <f>IFERROR(__xludf.DUMMYFUNCTION("""COMPUTED_VALUE"""),0.0)</f>
        <v>0</v>
      </c>
      <c r="H3632" s="6" t="str">
        <f>IFERROR(__xludf.DUMMYFUNCTION("""COMPUTED_VALUE"""),"Pcs")</f>
        <v>Pcs</v>
      </c>
      <c r="I3632" s="6" t="str">
        <f>IFERROR(__xludf.DUMMYFUNCTION("""COMPUTED_VALUE"""),"MFH")</f>
        <v>MFH</v>
      </c>
      <c r="J3632" s="6" t="str">
        <f>IFERROR(__xludf.DUMMYFUNCTION("""COMPUTED_VALUE"""),"Building")</f>
        <v>Building</v>
      </c>
      <c r="K3632" s="6" t="str">
        <f>IFERROR(__xludf.DUMMYFUNCTION("""COMPUTED_VALUE"""),"SPR/26/05/017")</f>
        <v>SPR/26/05/017</v>
      </c>
      <c r="L3632" s="13">
        <f>IFERROR(__xludf.DUMMYFUNCTION("""COMPUTED_VALUE"""),46171.0)</f>
        <v>46171</v>
      </c>
    </row>
    <row r="3633">
      <c r="A3633" s="6" t="str">
        <f>IFERROR(__xludf.DUMMYFUNCTION("""COMPUTED_VALUE"""),"RIA")</f>
        <v>RIA</v>
      </c>
      <c r="B3633" s="6" t="str">
        <f>IFERROR(__xludf.DUMMYFUNCTION("""COMPUTED_VALUE"""),"ENG")</f>
        <v>ENG</v>
      </c>
      <c r="C3633" s="6" t="str">
        <f>IFERROR(__xludf.DUMMYFUNCTION("""COMPUTED_VALUE"""),"P-50286-00")</f>
        <v>P-50286-00</v>
      </c>
      <c r="D3633" s="6" t="str">
        <f>IFERROR(__xludf.DUMMYFUNCTION("""COMPUTED_VALUE"""),"Kabel NYYHY 3 x 1,5 mm")</f>
        <v>Kabel NYYHY 3 x 1,5 mm</v>
      </c>
      <c r="E3633" s="6">
        <f>IFERROR(__xludf.DUMMYFUNCTION("""COMPUTED_VALUE"""),10.0)</f>
        <v>10</v>
      </c>
      <c r="F3633" s="6">
        <f>IFERROR(__xludf.DUMMYFUNCTION("""COMPUTED_VALUE"""),10.0)</f>
        <v>10</v>
      </c>
      <c r="G3633" s="6">
        <f>IFERROR(__xludf.DUMMYFUNCTION("""COMPUTED_VALUE"""),0.0)</f>
        <v>0</v>
      </c>
      <c r="H3633" s="6" t="str">
        <f>IFERROR(__xludf.DUMMYFUNCTION("""COMPUTED_VALUE"""),"M")</f>
        <v>M</v>
      </c>
      <c r="I3633" s="6" t="str">
        <f>IFERROR(__xludf.DUMMYFUNCTION("""COMPUTED_VALUE"""),"MFH")</f>
        <v>MFH</v>
      </c>
      <c r="J3633" s="6" t="str">
        <f>IFERROR(__xludf.DUMMYFUNCTION("""COMPUTED_VALUE"""),"Building")</f>
        <v>Building</v>
      </c>
      <c r="K3633" s="6" t="str">
        <f>IFERROR(__xludf.DUMMYFUNCTION("""COMPUTED_VALUE"""),"SPR/26/05/017")</f>
        <v>SPR/26/05/017</v>
      </c>
      <c r="L3633" s="13">
        <f>IFERROR(__xludf.DUMMYFUNCTION("""COMPUTED_VALUE"""),46171.0)</f>
        <v>46171</v>
      </c>
    </row>
    <row r="3634">
      <c r="A3634" s="6" t="str">
        <f>IFERROR(__xludf.DUMMYFUNCTION("""COMPUTED_VALUE"""),"ANO")</f>
        <v>ANO</v>
      </c>
      <c r="B3634" s="6" t="str">
        <f>IFERROR(__xludf.DUMMYFUNCTION("""COMPUTED_VALUE"""),"ENG")</f>
        <v>ENG</v>
      </c>
      <c r="C3634" s="6" t="str">
        <f>IFERROR(__xludf.DUMMYFUNCTION("""COMPUTED_VALUE"""),"O-54014-00")</f>
        <v>O-54014-00</v>
      </c>
      <c r="D3634" s="6" t="str">
        <f>IFERROR(__xludf.DUMMYFUNCTION("""COMPUTED_VALUE"""),"STEKER 1 PHASE, BROCO")</f>
        <v>STEKER 1 PHASE, BROCO</v>
      </c>
      <c r="E3634" s="6">
        <f>IFERROR(__xludf.DUMMYFUNCTION("""COMPUTED_VALUE"""),1.0)</f>
        <v>1</v>
      </c>
      <c r="F3634" s="6">
        <f>IFERROR(__xludf.DUMMYFUNCTION("""COMPUTED_VALUE"""),1.0)</f>
        <v>1</v>
      </c>
      <c r="G3634" s="6">
        <f>IFERROR(__xludf.DUMMYFUNCTION("""COMPUTED_VALUE"""),0.0)</f>
        <v>0</v>
      </c>
      <c r="H3634" s="6" t="str">
        <f>IFERROR(__xludf.DUMMYFUNCTION("""COMPUTED_VALUE"""),"Pcs")</f>
        <v>Pcs</v>
      </c>
      <c r="I3634" s="6" t="str">
        <f>IFERROR(__xludf.DUMMYFUNCTION("""COMPUTED_VALUE"""),"MFH")</f>
        <v>MFH</v>
      </c>
      <c r="J3634" s="6" t="str">
        <f>IFERROR(__xludf.DUMMYFUNCTION("""COMPUTED_VALUE"""),"Building")</f>
        <v>Building</v>
      </c>
      <c r="K3634" s="6" t="str">
        <f>IFERROR(__xludf.DUMMYFUNCTION("""COMPUTED_VALUE"""),"SPR/26/05/018")</f>
        <v>SPR/26/05/018</v>
      </c>
      <c r="L3634" s="13">
        <f>IFERROR(__xludf.DUMMYFUNCTION("""COMPUTED_VALUE"""),46171.0)</f>
        <v>46171</v>
      </c>
    </row>
    <row r="3635">
      <c r="A3635" s="6" t="str">
        <f>IFERROR(__xludf.DUMMYFUNCTION("""COMPUTED_VALUE"""),"ANO")</f>
        <v>ANO</v>
      </c>
      <c r="B3635" s="6" t="str">
        <f>IFERROR(__xludf.DUMMYFUNCTION("""COMPUTED_VALUE"""),"ENG")</f>
        <v>ENG</v>
      </c>
      <c r="C3635" s="6" t="str">
        <f>IFERROR(__xludf.DUMMYFUNCTION("""COMPUTED_VALUE"""),"O-54015-00")</f>
        <v>O-54015-00</v>
      </c>
      <c r="D3635" s="6" t="str">
        <f>IFERROR(__xludf.DUMMYFUNCTION("""COMPUTED_VALUE"""),"STOP KONTAK LUBANG 4, BROCO")</f>
        <v>STOP KONTAK LUBANG 4, BROCO</v>
      </c>
      <c r="E3635" s="6">
        <f>IFERROR(__xludf.DUMMYFUNCTION("""COMPUTED_VALUE"""),1.0)</f>
        <v>1</v>
      </c>
      <c r="F3635" s="6">
        <f>IFERROR(__xludf.DUMMYFUNCTION("""COMPUTED_VALUE"""),1.0)</f>
        <v>1</v>
      </c>
      <c r="G3635" s="6">
        <f>IFERROR(__xludf.DUMMYFUNCTION("""COMPUTED_VALUE"""),0.0)</f>
        <v>0</v>
      </c>
      <c r="H3635" s="6" t="str">
        <f>IFERROR(__xludf.DUMMYFUNCTION("""COMPUTED_VALUE"""),"Pcs")</f>
        <v>Pcs</v>
      </c>
      <c r="I3635" s="6" t="str">
        <f>IFERROR(__xludf.DUMMYFUNCTION("""COMPUTED_VALUE"""),"MFH")</f>
        <v>MFH</v>
      </c>
      <c r="J3635" s="6" t="str">
        <f>IFERROR(__xludf.DUMMYFUNCTION("""COMPUTED_VALUE"""),"Building")</f>
        <v>Building</v>
      </c>
      <c r="K3635" s="6" t="str">
        <f>IFERROR(__xludf.DUMMYFUNCTION("""COMPUTED_VALUE"""),"SPR/26/05/018")</f>
        <v>SPR/26/05/018</v>
      </c>
      <c r="L3635" s="13">
        <f>IFERROR(__xludf.DUMMYFUNCTION("""COMPUTED_VALUE"""),46171.0)</f>
        <v>46171</v>
      </c>
    </row>
    <row r="3636">
      <c r="A3636" s="6" t="str">
        <f>IFERROR(__xludf.DUMMYFUNCTION("""COMPUTED_VALUE"""),"MRN")</f>
        <v>MRN</v>
      </c>
      <c r="B3636" s="6" t="str">
        <f>IFERROR(__xludf.DUMMYFUNCTION("""COMPUTED_VALUE"""),"ENG")</f>
        <v>ENG</v>
      </c>
      <c r="C3636" s="6" t="str">
        <f>IFERROR(__xludf.DUMMYFUNCTION("""COMPUTED_VALUE"""),"O-54015-00")</f>
        <v>O-54015-00</v>
      </c>
      <c r="D3636" s="6" t="str">
        <f>IFERROR(__xludf.DUMMYFUNCTION("""COMPUTED_VALUE"""),"STOP KONTAK LUBANG 4, BROCO")</f>
        <v>STOP KONTAK LUBANG 4, BROCO</v>
      </c>
      <c r="E3636" s="6">
        <f>IFERROR(__xludf.DUMMYFUNCTION("""COMPUTED_VALUE"""),1.0)</f>
        <v>1</v>
      </c>
      <c r="F3636" s="6">
        <f>IFERROR(__xludf.DUMMYFUNCTION("""COMPUTED_VALUE"""),1.0)</f>
        <v>1</v>
      </c>
      <c r="G3636" s="6">
        <f>IFERROR(__xludf.DUMMYFUNCTION("""COMPUTED_VALUE"""),0.0)</f>
        <v>0</v>
      </c>
      <c r="H3636" s="6" t="str">
        <f>IFERROR(__xludf.DUMMYFUNCTION("""COMPUTED_VALUE"""),"Pcs")</f>
        <v>Pcs</v>
      </c>
      <c r="I3636" s="6" t="str">
        <f>IFERROR(__xludf.DUMMYFUNCTION("""COMPUTED_VALUE"""),"MFH")</f>
        <v>MFH</v>
      </c>
      <c r="J3636" s="6" t="str">
        <f>IFERROR(__xludf.DUMMYFUNCTION("""COMPUTED_VALUE"""),"-")</f>
        <v>-</v>
      </c>
      <c r="K3636" s="6" t="str">
        <f>IFERROR(__xludf.DUMMYFUNCTION("""COMPUTED_VALUE"""),"SPR/26/05/019")</f>
        <v>SPR/26/05/019</v>
      </c>
      <c r="L3636" s="13">
        <f>IFERROR(__xludf.DUMMYFUNCTION("""COMPUTED_VALUE"""),46171.0)</f>
        <v>46171</v>
      </c>
    </row>
    <row r="3637">
      <c r="A3637" s="6" t="str">
        <f>IFERROR(__xludf.DUMMYFUNCTION("""COMPUTED_VALUE"""),"MRN")</f>
        <v>MRN</v>
      </c>
      <c r="B3637" s="6" t="str">
        <f>IFERROR(__xludf.DUMMYFUNCTION("""COMPUTED_VALUE"""),"ENG")</f>
        <v>ENG</v>
      </c>
      <c r="C3637" s="6" t="str">
        <f>IFERROR(__xludf.DUMMYFUNCTION("""COMPUTED_VALUE"""),"O-15931-00")</f>
        <v>O-15931-00</v>
      </c>
      <c r="D3637" s="6" t="str">
        <f>IFERROR(__xludf.DUMMYFUNCTION("""COMPUTED_VALUE"""),"Double Tape 3M 1"" Merah - P/N : - pc")</f>
        <v>Double Tape 3M 1" Merah - P/N : - pc</v>
      </c>
      <c r="E3637" s="6">
        <f>IFERROR(__xludf.DUMMYFUNCTION("""COMPUTED_VALUE"""),1.0)</f>
        <v>1</v>
      </c>
      <c r="F3637" s="6">
        <f>IFERROR(__xludf.DUMMYFUNCTION("""COMPUTED_VALUE"""),1.0)</f>
        <v>1</v>
      </c>
      <c r="G3637" s="6">
        <f>IFERROR(__xludf.DUMMYFUNCTION("""COMPUTED_VALUE"""),0.0)</f>
        <v>0</v>
      </c>
      <c r="H3637" s="6" t="str">
        <f>IFERROR(__xludf.DUMMYFUNCTION("""COMPUTED_VALUE"""),"Pcs")</f>
        <v>Pcs</v>
      </c>
      <c r="I3637" s="6" t="str">
        <f>IFERROR(__xludf.DUMMYFUNCTION("""COMPUTED_VALUE"""),"MFH")</f>
        <v>MFH</v>
      </c>
      <c r="J3637" s="6" t="str">
        <f>IFERROR(__xludf.DUMMYFUNCTION("""COMPUTED_VALUE"""),"-")</f>
        <v>-</v>
      </c>
      <c r="K3637" s="6" t="str">
        <f>IFERROR(__xludf.DUMMYFUNCTION("""COMPUTED_VALUE"""),"SPR/26/05/019")</f>
        <v>SPR/26/05/019</v>
      </c>
      <c r="L3637" s="13">
        <f>IFERROR(__xludf.DUMMYFUNCTION("""COMPUTED_VALUE"""),46171.0)</f>
        <v>46171</v>
      </c>
    </row>
    <row r="3638">
      <c r="A3638" s="6" t="str">
        <f>IFERROR(__xludf.DUMMYFUNCTION("""COMPUTED_VALUE"""),"MRN")</f>
        <v>MRN</v>
      </c>
      <c r="B3638" s="6" t="str">
        <f>IFERROR(__xludf.DUMMYFUNCTION("""COMPUTED_VALUE"""),"ENG")</f>
        <v>ENG</v>
      </c>
      <c r="C3638" s="6" t="str">
        <f>IFERROR(__xludf.DUMMYFUNCTION("""COMPUTED_VALUE"""),"P-54577-00")</f>
        <v>P-54577-00</v>
      </c>
      <c r="D3638" s="6" t="str">
        <f>IFERROR(__xludf.DUMMYFUNCTION("""COMPUTED_VALUE"""),"General - Lampu Neon LED Silinder II T5 16W Putih; Hannochs; -; 1 pc")</f>
        <v>General - Lampu Neon LED Silinder II T5 16W Putih; Hannochs; -; 1 pc</v>
      </c>
      <c r="E3638" s="6">
        <f>IFERROR(__xludf.DUMMYFUNCTION("""COMPUTED_VALUE"""),3.0)</f>
        <v>3</v>
      </c>
      <c r="F3638" s="6">
        <f>IFERROR(__xludf.DUMMYFUNCTION("""COMPUTED_VALUE"""),3.0)</f>
        <v>3</v>
      </c>
      <c r="G3638" s="6">
        <f>IFERROR(__xludf.DUMMYFUNCTION("""COMPUTED_VALUE"""),0.0)</f>
        <v>0</v>
      </c>
      <c r="H3638" s="6" t="str">
        <f>IFERROR(__xludf.DUMMYFUNCTION("""COMPUTED_VALUE"""),"Pcs")</f>
        <v>Pcs</v>
      </c>
      <c r="I3638" s="6" t="str">
        <f>IFERROR(__xludf.DUMMYFUNCTION("""COMPUTED_VALUE"""),"MFH")</f>
        <v>MFH</v>
      </c>
      <c r="J3638" s="6" t="str">
        <f>IFERROR(__xludf.DUMMYFUNCTION("""COMPUTED_VALUE"""),"-")</f>
        <v>-</v>
      </c>
      <c r="K3638" s="6" t="str">
        <f>IFERROR(__xludf.DUMMYFUNCTION("""COMPUTED_VALUE"""),"SPR/26/05/019")</f>
        <v>SPR/26/05/019</v>
      </c>
      <c r="L3638" s="13">
        <f>IFERROR(__xludf.DUMMYFUNCTION("""COMPUTED_VALUE"""),46171.0)</f>
        <v>46171</v>
      </c>
    </row>
    <row r="3639">
      <c r="A3639" s="6" t="str">
        <f>IFERROR(__xludf.DUMMYFUNCTION("""COMPUTED_VALUE"""),"MRN")</f>
        <v>MRN</v>
      </c>
      <c r="B3639" s="6" t="str">
        <f>IFERROR(__xludf.DUMMYFUNCTION("""COMPUTED_VALUE"""),"ENG")</f>
        <v>ENG</v>
      </c>
      <c r="C3639" s="6" t="str">
        <f>IFERROR(__xludf.DUMMYFUNCTION("""COMPUTED_VALUE"""),"P-54357-00")</f>
        <v>P-54357-00</v>
      </c>
      <c r="D3639" s="6" t="str">
        <f>IFERROR(__xludf.DUMMYFUNCTION("""COMPUTED_VALUE"""),"General - Battery Rechargeable 6V 6000mAh; NI-MH Battery; -; 1 pc")</f>
        <v>General - Battery Rechargeable 6V 6000mAh; NI-MH Battery; -; 1 pc</v>
      </c>
      <c r="E3639" s="6">
        <f>IFERROR(__xludf.DUMMYFUNCTION("""COMPUTED_VALUE"""),2.0)</f>
        <v>2</v>
      </c>
      <c r="F3639" s="6">
        <f>IFERROR(__xludf.DUMMYFUNCTION("""COMPUTED_VALUE"""),2.0)</f>
        <v>2</v>
      </c>
      <c r="G3639" s="6">
        <f>IFERROR(__xludf.DUMMYFUNCTION("""COMPUTED_VALUE"""),0.0)</f>
        <v>0</v>
      </c>
      <c r="H3639" s="6" t="str">
        <f>IFERROR(__xludf.DUMMYFUNCTION("""COMPUTED_VALUE"""),"Pcs")</f>
        <v>Pcs</v>
      </c>
      <c r="I3639" s="6" t="str">
        <f>IFERROR(__xludf.DUMMYFUNCTION("""COMPUTED_VALUE"""),"MFH")</f>
        <v>MFH</v>
      </c>
      <c r="J3639" s="6" t="str">
        <f>IFERROR(__xludf.DUMMYFUNCTION("""COMPUTED_VALUE"""),"-")</f>
        <v>-</v>
      </c>
      <c r="K3639" s="6" t="str">
        <f>IFERROR(__xludf.DUMMYFUNCTION("""COMPUTED_VALUE"""),"SPR/26/05/020")</f>
        <v>SPR/26/05/020</v>
      </c>
      <c r="L3639" s="13">
        <f>IFERROR(__xludf.DUMMYFUNCTION("""COMPUTED_VALUE"""),46171.0)</f>
        <v>46171</v>
      </c>
    </row>
    <row r="3640">
      <c r="A3640" s="6" t="str">
        <f>IFERROR(__xludf.DUMMYFUNCTION("""COMPUTED_VALUE"""),"MRN")</f>
        <v>MRN</v>
      </c>
      <c r="B3640" s="6" t="str">
        <f>IFERROR(__xludf.DUMMYFUNCTION("""COMPUTED_VALUE"""),"ENG")</f>
        <v>ENG</v>
      </c>
      <c r="C3640" s="6" t="str">
        <f>IFERROR(__xludf.DUMMYFUNCTION("""COMPUTED_VALUE"""),"P-51298-00")</f>
        <v>P-51298-00</v>
      </c>
      <c r="D3640" s="6" t="str">
        <f>IFERROR(__xludf.DUMMYFUNCTION("""COMPUTED_VALUE"""),"Terminal plastik dia 4 mm")</f>
        <v>Terminal plastik dia 4 mm</v>
      </c>
      <c r="E3640" s="6">
        <f>IFERROR(__xludf.DUMMYFUNCTION("""COMPUTED_VALUE"""),1.0)</f>
        <v>1</v>
      </c>
      <c r="F3640" s="6">
        <f>IFERROR(__xludf.DUMMYFUNCTION("""COMPUTED_VALUE"""),1.0)</f>
        <v>1</v>
      </c>
      <c r="G3640" s="6">
        <f>IFERROR(__xludf.DUMMYFUNCTION("""COMPUTED_VALUE"""),0.0)</f>
        <v>0</v>
      </c>
      <c r="H3640" s="6" t="str">
        <f>IFERROR(__xludf.DUMMYFUNCTION("""COMPUTED_VALUE"""),"Pcs")</f>
        <v>Pcs</v>
      </c>
      <c r="I3640" s="6" t="str">
        <f>IFERROR(__xludf.DUMMYFUNCTION("""COMPUTED_VALUE"""),"MFH")</f>
        <v>MFH</v>
      </c>
      <c r="J3640" s="6" t="str">
        <f>IFERROR(__xludf.DUMMYFUNCTION("""COMPUTED_VALUE"""),"-")</f>
        <v>-</v>
      </c>
      <c r="K3640" s="6" t="str">
        <f>IFERROR(__xludf.DUMMYFUNCTION("""COMPUTED_VALUE"""),"SPR/26/05/021")</f>
        <v>SPR/26/05/021</v>
      </c>
      <c r="L3640" s="13">
        <f>IFERROR(__xludf.DUMMYFUNCTION("""COMPUTED_VALUE"""),46171.0)</f>
        <v>46171</v>
      </c>
    </row>
    <row r="3641">
      <c r="A3641" s="6" t="str">
        <f>IFERROR(__xludf.DUMMYFUNCTION("""COMPUTED_VALUE"""),"SFH")</f>
        <v>SFH</v>
      </c>
      <c r="B3641" s="6" t="str">
        <f>IFERROR(__xludf.DUMMYFUNCTION("""COMPUTED_VALUE"""),"ENG")</f>
        <v>ENG</v>
      </c>
      <c r="C3641" s="6" t="str">
        <f>IFERROR(__xludf.DUMMYFUNCTION("""COMPUTED_VALUE"""),"S-46129-00")</f>
        <v>S-46129-00</v>
      </c>
      <c r="D3641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E3641" s="6">
        <f>IFERROR(__xludf.DUMMYFUNCTION("""COMPUTED_VALUE"""),2.0)</f>
        <v>2</v>
      </c>
      <c r="F3641" s="6">
        <f>IFERROR(__xludf.DUMMYFUNCTION("""COMPUTED_VALUE"""),2.0)</f>
        <v>2</v>
      </c>
      <c r="G3641" s="6">
        <f>IFERROR(__xludf.DUMMYFUNCTION("""COMPUTED_VALUE"""),0.0)</f>
        <v>0</v>
      </c>
      <c r="H3641" s="6" t="str">
        <f>IFERROR(__xludf.DUMMYFUNCTION("""COMPUTED_VALUE"""),"Pcs")</f>
        <v>Pcs</v>
      </c>
      <c r="I3641" s="6" t="str">
        <f>IFERROR(__xludf.DUMMYFUNCTION("""COMPUTED_VALUE"""),"MFH")</f>
        <v>MFH</v>
      </c>
      <c r="J3641" s="6" t="str">
        <f>IFERROR(__xludf.DUMMYFUNCTION("""COMPUTED_VALUE"""),"FD")</f>
        <v>FD</v>
      </c>
      <c r="K3641" s="6" t="str">
        <f>IFERROR(__xludf.DUMMYFUNCTION("""COMPUTED_VALUE"""),"SPR/26/05/022")</f>
        <v>SPR/26/05/022</v>
      </c>
      <c r="L3641" s="13">
        <f>IFERROR(__xludf.DUMMYFUNCTION("""COMPUTED_VALUE"""),46171.0)</f>
        <v>46171</v>
      </c>
    </row>
    <row r="3642">
      <c r="A3642" s="6" t="str">
        <f>IFERROR(__xludf.DUMMYFUNCTION("""COMPUTED_VALUE"""),"ERA")</f>
        <v>ERA</v>
      </c>
      <c r="B3642" s="6" t="str">
        <f>IFERROR(__xludf.DUMMYFUNCTION("""COMPUTED_VALUE"""),"ENG")</f>
        <v>ENG</v>
      </c>
      <c r="C3642" s="6" t="str">
        <f>IFERROR(__xludf.DUMMYFUNCTION("""COMPUTED_VALUE"""),"Q-60401-00")</f>
        <v>Q-60401-00</v>
      </c>
      <c r="D3642" s="6" t="str">
        <f>IFERROR(__xludf.DUMMYFUNCTION("""COMPUTED_VALUE"""),"Handle Pintu Bulat, Elbow Press Lock; Meroni; N13NE TB127;")</f>
        <v>Handle Pintu Bulat, Elbow Press Lock; Meroni; N13NE TB127;</v>
      </c>
      <c r="E3642" s="6">
        <f>IFERROR(__xludf.DUMMYFUNCTION("""COMPUTED_VALUE"""),1.0)</f>
        <v>1</v>
      </c>
      <c r="F3642" s="6">
        <f>IFERROR(__xludf.DUMMYFUNCTION("""COMPUTED_VALUE"""),1.0)</f>
        <v>1</v>
      </c>
      <c r="G3642" s="6">
        <f>IFERROR(__xludf.DUMMYFUNCTION("""COMPUTED_VALUE"""),0.0)</f>
        <v>0</v>
      </c>
      <c r="H3642" s="6" t="str">
        <f>IFERROR(__xludf.DUMMYFUNCTION("""COMPUTED_VALUE"""),"Pcs")</f>
        <v>Pcs</v>
      </c>
      <c r="I3642" s="6" t="str">
        <f>IFERROR(__xludf.DUMMYFUNCTION("""COMPUTED_VALUE"""),"MFH")</f>
        <v>MFH</v>
      </c>
      <c r="J3642" s="6" t="str">
        <f>IFERROR(__xludf.DUMMYFUNCTION("""COMPUTED_VALUE"""),"Building")</f>
        <v>Building</v>
      </c>
      <c r="K3642" s="6" t="str">
        <f>IFERROR(__xludf.DUMMYFUNCTION("""COMPUTED_VALUE"""),"SPR/26/05/023")</f>
        <v>SPR/26/05/023</v>
      </c>
      <c r="L3642" s="13">
        <f>IFERROR(__xludf.DUMMYFUNCTION("""COMPUTED_VALUE"""),46171.0)</f>
        <v>46171</v>
      </c>
    </row>
    <row r="3643">
      <c r="A3643" s="6" t="str">
        <f>IFERROR(__xludf.DUMMYFUNCTION("""COMPUTED_VALUE"""),"MAP")</f>
        <v>MAP</v>
      </c>
      <c r="B3643" s="6" t="str">
        <f>IFERROR(__xludf.DUMMYFUNCTION("""COMPUTED_VALUE"""),"ENG")</f>
        <v>ENG</v>
      </c>
      <c r="C3643" s="6" t="str">
        <f>IFERROR(__xludf.DUMMYFUNCTION("""COMPUTED_VALUE"""),"P-12464-00")</f>
        <v>P-12464-00</v>
      </c>
      <c r="D3643" s="6" t="str">
        <f>IFERROR(__xludf.DUMMYFUNCTION("""COMPUTED_VALUE"""),"General - Lem Aibon; No Brand; -; 300 gram/can")</f>
        <v>General - Lem Aibon; No Brand; -; 300 gram/can</v>
      </c>
      <c r="E3643" s="6">
        <f>IFERROR(__xludf.DUMMYFUNCTION("""COMPUTED_VALUE"""),1.0)</f>
        <v>1</v>
      </c>
      <c r="F3643" s="6">
        <f>IFERROR(__xludf.DUMMYFUNCTION("""COMPUTED_VALUE"""),1.0)</f>
        <v>1</v>
      </c>
      <c r="G3643" s="6">
        <f>IFERROR(__xludf.DUMMYFUNCTION("""COMPUTED_VALUE"""),0.0)</f>
        <v>0</v>
      </c>
      <c r="H3643" s="6" t="str">
        <f>IFERROR(__xludf.DUMMYFUNCTION("""COMPUTED_VALUE"""),"Pcs")</f>
        <v>Pcs</v>
      </c>
      <c r="I3643" s="6" t="str">
        <f>IFERROR(__xludf.DUMMYFUNCTION("""COMPUTED_VALUE"""),"MFH")</f>
        <v>MFH</v>
      </c>
      <c r="J3643" s="6" t="str">
        <f>IFERROR(__xludf.DUMMYFUNCTION("""COMPUTED_VALUE"""),"-")</f>
        <v>-</v>
      </c>
      <c r="K3643" s="6" t="str">
        <f>IFERROR(__xludf.DUMMYFUNCTION("""COMPUTED_VALUE"""),"SPR/26/05/024")</f>
        <v>SPR/26/05/024</v>
      </c>
      <c r="L3643" s="13">
        <f>IFERROR(__xludf.DUMMYFUNCTION("""COMPUTED_VALUE"""),46171.0)</f>
        <v>46171</v>
      </c>
    </row>
    <row r="3644">
      <c r="A3644" s="6" t="str">
        <f>IFERROR(__xludf.DUMMYFUNCTION("""COMPUTED_VALUE"""),"KFF")</f>
        <v>KFF</v>
      </c>
      <c r="B3644" s="6" t="str">
        <f>IFERROR(__xludf.DUMMYFUNCTION("""COMPUTED_VALUE"""),"ENG")</f>
        <v>ENG</v>
      </c>
      <c r="C3644" s="6" t="str">
        <f>IFERROR(__xludf.DUMMYFUNCTION("""COMPUTED_VALUE"""),"O-51698-00")</f>
        <v>O-51698-00</v>
      </c>
      <c r="D3644" s="6" t="str">
        <f>IFERROR(__xludf.DUMMYFUNCTION("""COMPUTED_VALUE"""),"OMRON - Relay MY4Z 24VDC; ; ;")</f>
        <v>OMRON - Relay MY4Z 24VDC; ; ;</v>
      </c>
      <c r="E3644" s="6">
        <f>IFERROR(__xludf.DUMMYFUNCTION("""COMPUTED_VALUE"""),1.0)</f>
        <v>1</v>
      </c>
      <c r="F3644" s="6">
        <f>IFERROR(__xludf.DUMMYFUNCTION("""COMPUTED_VALUE"""),1.0)</f>
        <v>1</v>
      </c>
      <c r="G3644" s="6">
        <f>IFERROR(__xludf.DUMMYFUNCTION("""COMPUTED_VALUE"""),0.0)</f>
        <v>0</v>
      </c>
      <c r="H3644" s="6" t="str">
        <f>IFERROR(__xludf.DUMMYFUNCTION("""COMPUTED_VALUE"""),"Pcs")</f>
        <v>Pcs</v>
      </c>
      <c r="I3644" s="6" t="str">
        <f>IFERROR(__xludf.DUMMYFUNCTION("""COMPUTED_VALUE"""),"MFH")</f>
        <v>MFH</v>
      </c>
      <c r="J3644" s="6" t="str">
        <f>IFERROR(__xludf.DUMMYFUNCTION("""COMPUTED_VALUE"""),"Autoclave")</f>
        <v>Autoclave</v>
      </c>
      <c r="K3644" s="6" t="str">
        <f>IFERROR(__xludf.DUMMYFUNCTION("""COMPUTED_VALUE"""),"SPR/26/05/025")</f>
        <v>SPR/26/05/025</v>
      </c>
      <c r="L3644" s="13">
        <f>IFERROR(__xludf.DUMMYFUNCTION("""COMPUTED_VALUE"""),46171.0)</f>
        <v>46171</v>
      </c>
    </row>
    <row r="3645">
      <c r="A3645" s="6" t="str">
        <f>IFERROR(__xludf.DUMMYFUNCTION("""COMPUTED_VALUE"""),"BDU")</f>
        <v>BDU</v>
      </c>
      <c r="B3645" s="6" t="str">
        <f>IFERROR(__xludf.DUMMYFUNCTION("""COMPUTED_VALUE"""),"ENG")</f>
        <v>ENG</v>
      </c>
      <c r="C3645" s="6" t="str">
        <f>IFERROR(__xludf.DUMMYFUNCTION("""COMPUTED_VALUE"""),"P-15852-00")</f>
        <v>P-15852-00</v>
      </c>
      <c r="D3645" s="6" t="str">
        <f>IFERROR(__xludf.DUMMYFUNCTION("""COMPUTED_VALUE"""),"AMPLAS EAGLE 500")</f>
        <v>AMPLAS EAGLE 500</v>
      </c>
      <c r="E3645" s="6">
        <f>IFERROR(__xludf.DUMMYFUNCTION("""COMPUTED_VALUE"""),2.0)</f>
        <v>2</v>
      </c>
      <c r="F3645" s="6">
        <f>IFERROR(__xludf.DUMMYFUNCTION("""COMPUTED_VALUE"""),2.0)</f>
        <v>2</v>
      </c>
      <c r="G3645" s="6">
        <f>IFERROR(__xludf.DUMMYFUNCTION("""COMPUTED_VALUE"""),0.0)</f>
        <v>0</v>
      </c>
      <c r="H3645" s="6" t="str">
        <f>IFERROR(__xludf.DUMMYFUNCTION("""COMPUTED_VALUE"""),"Pcs")</f>
        <v>Pcs</v>
      </c>
      <c r="I3645" s="6" t="str">
        <f>IFERROR(__xludf.DUMMYFUNCTION("""COMPUTED_VALUE"""),"MFH")</f>
        <v>MFH</v>
      </c>
      <c r="J3645" s="6" t="str">
        <f>IFERROR(__xludf.DUMMYFUNCTION("""COMPUTED_VALUE"""),"Capping")</f>
        <v>Capping</v>
      </c>
      <c r="K3645" s="6" t="str">
        <f>IFERROR(__xludf.DUMMYFUNCTION("""COMPUTED_VALUE"""),"SPR/26/05/026")</f>
        <v>SPR/26/05/026</v>
      </c>
      <c r="L3645" s="13">
        <f>IFERROR(__xludf.DUMMYFUNCTION("""COMPUTED_VALUE"""),46171.0)</f>
        <v>46171</v>
      </c>
    </row>
    <row r="3646">
      <c r="A3646" s="6" t="str">
        <f>IFERROR(__xludf.DUMMYFUNCTION("""COMPUTED_VALUE"""),"BDU")</f>
        <v>BDU</v>
      </c>
      <c r="B3646" s="6" t="str">
        <f>IFERROR(__xludf.DUMMYFUNCTION("""COMPUTED_VALUE"""),"ENG")</f>
        <v>ENG</v>
      </c>
      <c r="C3646" s="6" t="str">
        <f>IFERROR(__xludf.DUMMYFUNCTION("""COMPUTED_VALUE"""),"-")</f>
        <v>-</v>
      </c>
      <c r="D3646" s="6" t="str">
        <f>IFERROR(__xludf.DUMMYFUNCTION("""COMPUTED_VALUE"""),"Amplas Kasar")</f>
        <v>Amplas Kasar</v>
      </c>
      <c r="E3646" s="6">
        <f>IFERROR(__xludf.DUMMYFUNCTION("""COMPUTED_VALUE"""),5.0)</f>
        <v>5</v>
      </c>
      <c r="F3646" s="6">
        <f>IFERROR(__xludf.DUMMYFUNCTION("""COMPUTED_VALUE"""),5.0)</f>
        <v>5</v>
      </c>
      <c r="G3646" s="6">
        <f>IFERROR(__xludf.DUMMYFUNCTION("""COMPUTED_VALUE"""),0.0)</f>
        <v>0</v>
      </c>
      <c r="H3646" s="6" t="str">
        <f>IFERROR(__xludf.DUMMYFUNCTION("""COMPUTED_VALUE"""),"M")</f>
        <v>M</v>
      </c>
      <c r="I3646" s="6" t="str">
        <f>IFERROR(__xludf.DUMMYFUNCTION("""COMPUTED_VALUE"""),"MFH")</f>
        <v>MFH</v>
      </c>
      <c r="J3646" s="6" t="str">
        <f>IFERROR(__xludf.DUMMYFUNCTION("""COMPUTED_VALUE"""),"Capping")</f>
        <v>Capping</v>
      </c>
      <c r="K3646" s="6" t="str">
        <f>IFERROR(__xludf.DUMMYFUNCTION("""COMPUTED_VALUE"""),"SPR/26/05/026")</f>
        <v>SPR/26/05/026</v>
      </c>
      <c r="L3646" s="13">
        <f>IFERROR(__xludf.DUMMYFUNCTION("""COMPUTED_VALUE"""),46171.0)</f>
        <v>46171</v>
      </c>
    </row>
    <row r="3647">
      <c r="A3647" s="6" t="str">
        <f>IFERROR(__xludf.DUMMYFUNCTION("""COMPUTED_VALUE"""),"BDU")</f>
        <v>BDU</v>
      </c>
      <c r="B3647" s="6" t="str">
        <f>IFERROR(__xludf.DUMMYFUNCTION("""COMPUTED_VALUE"""),"ENG")</f>
        <v>ENG</v>
      </c>
      <c r="C3647" s="6" t="str">
        <f>IFERROR(__xludf.DUMMYFUNCTION("""COMPUTED_VALUE"""),"P-15851-00")</f>
        <v>P-15851-00</v>
      </c>
      <c r="D3647" s="6" t="str">
        <f>IFERROR(__xludf.DUMMYFUNCTION("""COMPUTED_VALUE"""),"AMPLAS EAGLE 100")</f>
        <v>AMPLAS EAGLE 100</v>
      </c>
      <c r="E3647" s="6">
        <f>IFERROR(__xludf.DUMMYFUNCTION("""COMPUTED_VALUE"""),1.0)</f>
        <v>1</v>
      </c>
      <c r="F3647" s="6">
        <f>IFERROR(__xludf.DUMMYFUNCTION("""COMPUTED_VALUE"""),1.0)</f>
        <v>1</v>
      </c>
      <c r="G3647" s="6">
        <f>IFERROR(__xludf.DUMMYFUNCTION("""COMPUTED_VALUE"""),0.0)</f>
        <v>0</v>
      </c>
      <c r="H3647" s="6" t="str">
        <f>IFERROR(__xludf.DUMMYFUNCTION("""COMPUTED_VALUE"""),"Pcs")</f>
        <v>Pcs</v>
      </c>
      <c r="I3647" s="6" t="str">
        <f>IFERROR(__xludf.DUMMYFUNCTION("""COMPUTED_VALUE"""),"MFH")</f>
        <v>MFH</v>
      </c>
      <c r="J3647" s="6" t="str">
        <f>IFERROR(__xludf.DUMMYFUNCTION("""COMPUTED_VALUE"""),"Capping")</f>
        <v>Capping</v>
      </c>
      <c r="K3647" s="6" t="str">
        <f>IFERROR(__xludf.DUMMYFUNCTION("""COMPUTED_VALUE"""),"SPR/26/05/026")</f>
        <v>SPR/26/05/026</v>
      </c>
      <c r="L3647" s="13">
        <f>IFERROR(__xludf.DUMMYFUNCTION("""COMPUTED_VALUE"""),46171.0)</f>
        <v>46171</v>
      </c>
    </row>
    <row r="3648">
      <c r="A3648" s="6" t="str">
        <f>IFERROR(__xludf.DUMMYFUNCTION("""COMPUTED_VALUE"""),"MRN")</f>
        <v>MRN</v>
      </c>
      <c r="B3648" s="6" t="str">
        <f>IFERROR(__xludf.DUMMYFUNCTION("""COMPUTED_VALUE"""),"ENG")</f>
        <v>ENG</v>
      </c>
      <c r="C3648" s="6" t="str">
        <f>IFERROR(__xludf.DUMMYFUNCTION("""COMPUTED_VALUE"""),"P-20019-00")</f>
        <v>P-20019-00</v>
      </c>
      <c r="D3648" s="6" t="str">
        <f>IFERROR(__xludf.DUMMYFUNCTION("""COMPUTED_VALUE"""),"General - Door Sticker T30-X; Austar; -; 1 pc")</f>
        <v>General - Door Sticker T30-X; Austar; -; 1 pc</v>
      </c>
      <c r="E3648" s="6">
        <f>IFERROR(__xludf.DUMMYFUNCTION("""COMPUTED_VALUE"""),2.0)</f>
        <v>2</v>
      </c>
      <c r="F3648" s="6">
        <f>IFERROR(__xludf.DUMMYFUNCTION("""COMPUTED_VALUE"""),2.0)</f>
        <v>2</v>
      </c>
      <c r="G3648" s="6">
        <f>IFERROR(__xludf.DUMMYFUNCTION("""COMPUTED_VALUE"""),0.0)</f>
        <v>0</v>
      </c>
      <c r="H3648" s="6" t="str">
        <f>IFERROR(__xludf.DUMMYFUNCTION("""COMPUTED_VALUE"""),"Pcs")</f>
        <v>Pcs</v>
      </c>
      <c r="I3648" s="6" t="str">
        <f>IFERROR(__xludf.DUMMYFUNCTION("""COMPUTED_VALUE"""),"MFH")</f>
        <v>MFH</v>
      </c>
      <c r="J3648" s="6" t="str">
        <f>IFERROR(__xludf.DUMMYFUNCTION("""COMPUTED_VALUE"""),"-")</f>
        <v>-</v>
      </c>
      <c r="K3648" s="6" t="str">
        <f>IFERROR(__xludf.DUMMYFUNCTION("""COMPUTED_VALUE"""),"SPR/26/05/027")</f>
        <v>SPR/26/05/027</v>
      </c>
      <c r="L3648" s="13">
        <f>IFERROR(__xludf.DUMMYFUNCTION("""COMPUTED_VALUE"""),46171.0)</f>
        <v>46171</v>
      </c>
    </row>
    <row r="3649">
      <c r="A3649" s="6" t="str">
        <f>IFERROR(__xludf.DUMMYFUNCTION("""COMPUTED_VALUE"""),"WAP")</f>
        <v>WAP</v>
      </c>
      <c r="B3649" s="6" t="str">
        <f>IFERROR(__xludf.DUMMYFUNCTION("""COMPUTED_VALUE"""),"ENG")</f>
        <v>ENG</v>
      </c>
      <c r="C3649" s="6" t="str">
        <f>IFERROR(__xludf.DUMMYFUNCTION("""COMPUTED_VALUE"""),"O-15718-00")</f>
        <v>O-15718-00</v>
      </c>
      <c r="D3649" s="6" t="str">
        <f>IFERROR(__xludf.DUMMYFUNCTION("""COMPUTED_VALUE"""),"SYNTHETIC FOOD GRADE, CRC - P/N : NSF H1 pc")</f>
        <v>SYNTHETIC FOOD GRADE, CRC - P/N : NSF H1 pc</v>
      </c>
      <c r="E3649" s="6">
        <f>IFERROR(__xludf.DUMMYFUNCTION("""COMPUTED_VALUE"""),1.0)</f>
        <v>1</v>
      </c>
      <c r="F3649" s="6">
        <f>IFERROR(__xludf.DUMMYFUNCTION("""COMPUTED_VALUE"""),1.0)</f>
        <v>1</v>
      </c>
      <c r="G3649" s="6">
        <f>IFERROR(__xludf.DUMMYFUNCTION("""COMPUTED_VALUE"""),0.0)</f>
        <v>0</v>
      </c>
      <c r="H3649" s="6" t="str">
        <f>IFERROR(__xludf.DUMMYFUNCTION("""COMPUTED_VALUE"""),"can")</f>
        <v>can</v>
      </c>
      <c r="I3649" s="6" t="str">
        <f>IFERROR(__xludf.DUMMYFUNCTION("""COMPUTED_VALUE"""),"MFH")</f>
        <v>MFH</v>
      </c>
      <c r="J3649" s="6" t="str">
        <f>IFERROR(__xludf.DUMMYFUNCTION("""COMPUTED_VALUE"""),"CLU")</f>
        <v>CLU</v>
      </c>
      <c r="K3649" s="6" t="str">
        <f>IFERROR(__xludf.DUMMYFUNCTION("""COMPUTED_VALUE"""),"SPR/26/05/028")</f>
        <v>SPR/26/05/028</v>
      </c>
      <c r="L3649" s="13">
        <f>IFERROR(__xludf.DUMMYFUNCTION("""COMPUTED_VALUE"""),46171.0)</f>
        <v>46171</v>
      </c>
    </row>
    <row r="3650">
      <c r="A3650" s="6" t="str">
        <f>IFERROR(__xludf.DUMMYFUNCTION("""COMPUTED_VALUE"""),"BDU")</f>
        <v>BDU</v>
      </c>
      <c r="B3650" s="6" t="str">
        <f>IFERROR(__xludf.DUMMYFUNCTION("""COMPUTED_VALUE"""),"ENG")</f>
        <v>ENG</v>
      </c>
      <c r="C3650" s="6" t="str">
        <f>IFERROR(__xludf.DUMMYFUNCTION("""COMPUTED_VALUE"""),"P-19600-00")</f>
        <v>P-19600-00</v>
      </c>
      <c r="D3650" s="6" t="str">
        <f>IFERROR(__xludf.DUMMYFUNCTION("""COMPUTED_VALUE"""),"General - Tubing TLM0604N-100; SMC; -; 1 meter")</f>
        <v>General - Tubing TLM0604N-100; SMC; -; 1 meter</v>
      </c>
      <c r="E3650" s="6">
        <f>IFERROR(__xludf.DUMMYFUNCTION("""COMPUTED_VALUE"""),1.0)</f>
        <v>1</v>
      </c>
      <c r="F3650" s="6">
        <f>IFERROR(__xludf.DUMMYFUNCTION("""COMPUTED_VALUE"""),1.0)</f>
        <v>1</v>
      </c>
      <c r="G3650" s="6">
        <f>IFERROR(__xludf.DUMMYFUNCTION("""COMPUTED_VALUE"""),0.0)</f>
        <v>0</v>
      </c>
      <c r="H3650" s="6" t="str">
        <f>IFERROR(__xludf.DUMMYFUNCTION("""COMPUTED_VALUE"""),"m")</f>
        <v>m</v>
      </c>
      <c r="I3650" s="6" t="str">
        <f>IFERROR(__xludf.DUMMYFUNCTION("""COMPUTED_VALUE"""),"MFH")</f>
        <v>MFH</v>
      </c>
      <c r="J3650" s="6" t="str">
        <f>IFERROR(__xludf.DUMMYFUNCTION("""COMPUTED_VALUE"""),"FD")</f>
        <v>FD</v>
      </c>
      <c r="K3650" s="6" t="str">
        <f>IFERROR(__xludf.DUMMYFUNCTION("""COMPUTED_VALUE"""),"SPR/26/05/029")</f>
        <v>SPR/26/05/029</v>
      </c>
      <c r="L3650" s="13">
        <f>IFERROR(__xludf.DUMMYFUNCTION("""COMPUTED_VALUE"""),46171.0)</f>
        <v>46171</v>
      </c>
    </row>
    <row r="3651">
      <c r="A3651" s="6" t="str">
        <f>IFERROR(__xludf.DUMMYFUNCTION("""COMPUTED_VALUE"""),"BDU")</f>
        <v>BDU</v>
      </c>
      <c r="B3651" s="6" t="str">
        <f>IFERROR(__xludf.DUMMYFUNCTION("""COMPUTED_VALUE"""),"ENG")</f>
        <v>ENG</v>
      </c>
      <c r="C3651" s="6" t="str">
        <f>IFERROR(__xludf.DUMMYFUNCTION("""COMPUTED_VALUE"""),"P-11431-00")</f>
        <v>P-11431-00</v>
      </c>
      <c r="D3651" s="6" t="str">
        <f>IFERROR(__xludf.DUMMYFUNCTION("""COMPUTED_VALUE"""),"General - Plastic Tubing, PUN-H-8X1,25-BL; Festo; 197385; 1 m")</f>
        <v>General - Plastic Tubing, PUN-H-8X1,25-BL; Festo; 197385; 1 m</v>
      </c>
      <c r="E3651" s="6">
        <f>IFERROR(__xludf.DUMMYFUNCTION("""COMPUTED_VALUE"""),1.0)</f>
        <v>1</v>
      </c>
      <c r="F3651" s="6">
        <f>IFERROR(__xludf.DUMMYFUNCTION("""COMPUTED_VALUE"""),1.0)</f>
        <v>1</v>
      </c>
      <c r="G3651" s="6">
        <f>IFERROR(__xludf.DUMMYFUNCTION("""COMPUTED_VALUE"""),0.0)</f>
        <v>0</v>
      </c>
      <c r="H3651" s="6" t="str">
        <f>IFERROR(__xludf.DUMMYFUNCTION("""COMPUTED_VALUE"""),"m")</f>
        <v>m</v>
      </c>
      <c r="I3651" s="6" t="str">
        <f>IFERROR(__xludf.DUMMYFUNCTION("""COMPUTED_VALUE"""),"MFH")</f>
        <v>MFH</v>
      </c>
      <c r="J3651" s="6" t="str">
        <f>IFERROR(__xludf.DUMMYFUNCTION("""COMPUTED_VALUE"""),"FD")</f>
        <v>FD</v>
      </c>
      <c r="K3651" s="6" t="str">
        <f>IFERROR(__xludf.DUMMYFUNCTION("""COMPUTED_VALUE"""),"SPR/26/05/029")</f>
        <v>SPR/26/05/029</v>
      </c>
      <c r="L3651" s="13">
        <f>IFERROR(__xludf.DUMMYFUNCTION("""COMPUTED_VALUE"""),46171.0)</f>
        <v>46171</v>
      </c>
    </row>
    <row r="3652">
      <c r="A3652" s="6" t="str">
        <f>IFERROR(__xludf.DUMMYFUNCTION("""COMPUTED_VALUE"""),"BDU")</f>
        <v>BDU</v>
      </c>
      <c r="B3652" s="6" t="str">
        <f>IFERROR(__xludf.DUMMYFUNCTION("""COMPUTED_VALUE"""),"ENG")</f>
        <v>ENG</v>
      </c>
      <c r="C3652" s="6" t="str">
        <f>IFERROR(__xludf.DUMMYFUNCTION("""COMPUTED_VALUE"""),"P-15351-00")</f>
        <v>P-15351-00</v>
      </c>
      <c r="D3652" s="6" t="str">
        <f>IFERROR(__xludf.DUMMYFUNCTION("""COMPUTED_VALUE"""),"FESTO - Plastic tubing PUN-10x1,5-BL (Blue) p/n 159668; ; ;")</f>
        <v>FESTO - Plastic tubing PUN-10x1,5-BL (Blue) p/n 159668; ; ;</v>
      </c>
      <c r="E3652" s="6">
        <f>IFERROR(__xludf.DUMMYFUNCTION("""COMPUTED_VALUE"""),1.0)</f>
        <v>1</v>
      </c>
      <c r="F3652" s="6">
        <f>IFERROR(__xludf.DUMMYFUNCTION("""COMPUTED_VALUE"""),1.0)</f>
        <v>1</v>
      </c>
      <c r="G3652" s="6">
        <f>IFERROR(__xludf.DUMMYFUNCTION("""COMPUTED_VALUE"""),0.0)</f>
        <v>0</v>
      </c>
      <c r="H3652" s="6" t="str">
        <f>IFERROR(__xludf.DUMMYFUNCTION("""COMPUTED_VALUE"""),"m")</f>
        <v>m</v>
      </c>
      <c r="I3652" s="6" t="str">
        <f>IFERROR(__xludf.DUMMYFUNCTION("""COMPUTED_VALUE"""),"MFH")</f>
        <v>MFH</v>
      </c>
      <c r="J3652" s="6" t="str">
        <f>IFERROR(__xludf.DUMMYFUNCTION("""COMPUTED_VALUE"""),"FD")</f>
        <v>FD</v>
      </c>
      <c r="K3652" s="6" t="str">
        <f>IFERROR(__xludf.DUMMYFUNCTION("""COMPUTED_VALUE"""),"SPR/26/05/029")</f>
        <v>SPR/26/05/029</v>
      </c>
      <c r="L3652" s="13">
        <f>IFERROR(__xludf.DUMMYFUNCTION("""COMPUTED_VALUE"""),46171.0)</f>
        <v>46171</v>
      </c>
    </row>
    <row r="3653">
      <c r="A3653" s="6" t="str">
        <f>IFERROR(__xludf.DUMMYFUNCTION("""COMPUTED_VALUE"""),"ERA")</f>
        <v>ERA</v>
      </c>
      <c r="B3653" s="6" t="str">
        <f>IFERROR(__xludf.DUMMYFUNCTION("""COMPUTED_VALUE"""),"ENG")</f>
        <v>ENG</v>
      </c>
      <c r="C3653" s="6" t="str">
        <f>IFERROR(__xludf.DUMMYFUNCTION("""COMPUTED_VALUE"""),"Q-60401-00")</f>
        <v>Q-60401-00</v>
      </c>
      <c r="D3653" s="6" t="str">
        <f>IFERROR(__xludf.DUMMYFUNCTION("""COMPUTED_VALUE"""),"Handle Pintu Bulat, Elbow Press Lock; Meroni; N13NE TB127;")</f>
        <v>Handle Pintu Bulat, Elbow Press Lock; Meroni; N13NE TB127;</v>
      </c>
      <c r="E3653" s="6">
        <f>IFERROR(__xludf.DUMMYFUNCTION("""COMPUTED_VALUE"""),1.0)</f>
        <v>1</v>
      </c>
      <c r="F3653" s="6">
        <f>IFERROR(__xludf.DUMMYFUNCTION("""COMPUTED_VALUE"""),1.0)</f>
        <v>1</v>
      </c>
      <c r="G3653" s="6">
        <f>IFERROR(__xludf.DUMMYFUNCTION("""COMPUTED_VALUE"""),0.0)</f>
        <v>0</v>
      </c>
      <c r="H3653" s="6" t="str">
        <f>IFERROR(__xludf.DUMMYFUNCTION("""COMPUTED_VALUE"""),"Pcs")</f>
        <v>Pcs</v>
      </c>
      <c r="I3653" s="6" t="str">
        <f>IFERROR(__xludf.DUMMYFUNCTION("""COMPUTED_VALUE"""),"MFH")</f>
        <v>MFH</v>
      </c>
      <c r="J3653" s="6" t="str">
        <f>IFERROR(__xludf.DUMMYFUNCTION("""COMPUTED_VALUE"""),"Labelling")</f>
        <v>Labelling</v>
      </c>
      <c r="K3653" s="6" t="str">
        <f>IFERROR(__xludf.DUMMYFUNCTION("""COMPUTED_VALUE"""),"SPR/26/05/030")</f>
        <v>SPR/26/05/030</v>
      </c>
      <c r="L3653" s="13">
        <f>IFERROR(__xludf.DUMMYFUNCTION("""COMPUTED_VALUE"""),46171.0)</f>
        <v>46171</v>
      </c>
    </row>
    <row r="3654">
      <c r="A3654" s="6" t="str">
        <f>IFERROR(__xludf.DUMMYFUNCTION("""COMPUTED_VALUE"""),"ROS")</f>
        <v>ROS</v>
      </c>
      <c r="B3654" s="6" t="str">
        <f>IFERROR(__xludf.DUMMYFUNCTION("""COMPUTED_VALUE"""),"ENG")</f>
        <v>ENG</v>
      </c>
      <c r="C3654" s="6" t="str">
        <f>IFERROR(__xludf.DUMMYFUNCTION("""COMPUTED_VALUE"""),"P-14951-00")</f>
        <v>P-14951-00</v>
      </c>
      <c r="D3654" s="6" t="str">
        <f>IFERROR(__xludf.DUMMYFUNCTION("""COMPUTED_VALUE"""),"Fitting Union Tee KQ2T06-00A; ; ;")</f>
        <v>Fitting Union Tee KQ2T06-00A; ; ;</v>
      </c>
      <c r="E3654" s="6">
        <f>IFERROR(__xludf.DUMMYFUNCTION("""COMPUTED_VALUE"""),4.0)</f>
        <v>4</v>
      </c>
      <c r="F3654" s="6">
        <f>IFERROR(__xludf.DUMMYFUNCTION("""COMPUTED_VALUE"""),4.0)</f>
        <v>4</v>
      </c>
      <c r="G3654" s="6">
        <f>IFERROR(__xludf.DUMMYFUNCTION("""COMPUTED_VALUE"""),0.0)</f>
        <v>0</v>
      </c>
      <c r="H3654" s="6" t="str">
        <f>IFERROR(__xludf.DUMMYFUNCTION("""COMPUTED_VALUE"""),"Pcs")</f>
        <v>Pcs</v>
      </c>
      <c r="I3654" s="6" t="str">
        <f>IFERROR(__xludf.DUMMYFUNCTION("""COMPUTED_VALUE"""),"MFH")</f>
        <v>MFH</v>
      </c>
      <c r="J3654" s="6" t="str">
        <f>IFERROR(__xludf.DUMMYFUNCTION("""COMPUTED_VALUE"""),"FD")</f>
        <v>FD</v>
      </c>
      <c r="K3654" s="6" t="str">
        <f>IFERROR(__xludf.DUMMYFUNCTION("""COMPUTED_VALUE"""),"SPR/26/05/031")</f>
        <v>SPR/26/05/031</v>
      </c>
      <c r="L3654" s="13">
        <f>IFERROR(__xludf.DUMMYFUNCTION("""COMPUTED_VALUE"""),46171.0)</f>
        <v>46171</v>
      </c>
    </row>
    <row r="3655">
      <c r="A3655" s="6" t="str">
        <f>IFERROR(__xludf.DUMMYFUNCTION("""COMPUTED_VALUE"""),"ERA")</f>
        <v>ERA</v>
      </c>
      <c r="B3655" s="6" t="str">
        <f>IFERROR(__xludf.DUMMYFUNCTION("""COMPUTED_VALUE"""),"ENG")</f>
        <v>ENG</v>
      </c>
      <c r="C3655" s="6" t="str">
        <f>IFERROR(__xludf.DUMMYFUNCTION("""COMPUTED_VALUE"""),"O-14639-00")</f>
        <v>O-14639-00</v>
      </c>
      <c r="D3655" s="6" t="str">
        <f>IFERROR(__xludf.DUMMYFUNCTION("""COMPUTED_VALUE"""),"General - EPDM Gasket for Ferrule dia. 1/2""; -; -; 1 pc")</f>
        <v>General - EPDM Gasket for Ferrule dia. 1/2"; -; -; 1 pc</v>
      </c>
      <c r="E3655" s="6">
        <f>IFERROR(__xludf.DUMMYFUNCTION("""COMPUTED_VALUE"""),2.0)</f>
        <v>2</v>
      </c>
      <c r="F3655" s="6">
        <f>IFERROR(__xludf.DUMMYFUNCTION("""COMPUTED_VALUE"""),2.0)</f>
        <v>2</v>
      </c>
      <c r="G3655" s="6">
        <f>IFERROR(__xludf.DUMMYFUNCTION("""COMPUTED_VALUE"""),0.0)</f>
        <v>0</v>
      </c>
      <c r="H3655" s="6" t="str">
        <f>IFERROR(__xludf.DUMMYFUNCTION("""COMPUTED_VALUE"""),"Pcs")</f>
        <v>Pcs</v>
      </c>
      <c r="I3655" s="6" t="str">
        <f>IFERROR(__xludf.DUMMYFUNCTION("""COMPUTED_VALUE"""),"MFH")</f>
        <v>MFH</v>
      </c>
      <c r="J3655" s="6" t="str">
        <f>IFERROR(__xludf.DUMMYFUNCTION("""COMPUTED_VALUE"""),"Building")</f>
        <v>Building</v>
      </c>
      <c r="K3655" s="6" t="str">
        <f>IFERROR(__xludf.DUMMYFUNCTION("""COMPUTED_VALUE"""),"SPR/26/05/032")</f>
        <v>SPR/26/05/032</v>
      </c>
      <c r="L3655" s="13">
        <f>IFERROR(__xludf.DUMMYFUNCTION("""COMPUTED_VALUE"""),46171.0)</f>
        <v>46171</v>
      </c>
    </row>
    <row r="3656">
      <c r="A3656" s="6" t="str">
        <f>IFERROR(__xludf.DUMMYFUNCTION("""COMPUTED_VALUE"""),"ERA")</f>
        <v>ERA</v>
      </c>
      <c r="B3656" s="6" t="str">
        <f>IFERROR(__xludf.DUMMYFUNCTION("""COMPUTED_VALUE"""),"ENG")</f>
        <v>ENG</v>
      </c>
      <c r="C3656" s="6" t="str">
        <f>IFERROR(__xludf.DUMMYFUNCTION("""COMPUTED_VALUE"""),"P-19811-00")</f>
        <v>P-19811-00</v>
      </c>
      <c r="D3656" s="6" t="str">
        <f>IFERROR(__xludf.DUMMYFUNCTION("""COMPUTED_VALUE"""),"General - Clamp Ferrule Sanitary 3/4 Inch; No Brand; -; 1 pc")</f>
        <v>General - Clamp Ferrule Sanitary 3/4 Inch; No Brand; -; 1 pc</v>
      </c>
      <c r="E3656" s="6">
        <f>IFERROR(__xludf.DUMMYFUNCTION("""COMPUTED_VALUE"""),2.0)</f>
        <v>2</v>
      </c>
      <c r="F3656" s="6">
        <f>IFERROR(__xludf.DUMMYFUNCTION("""COMPUTED_VALUE"""),2.0)</f>
        <v>2</v>
      </c>
      <c r="G3656" s="6">
        <f>IFERROR(__xludf.DUMMYFUNCTION("""COMPUTED_VALUE"""),0.0)</f>
        <v>0</v>
      </c>
      <c r="H3656" s="6" t="str">
        <f>IFERROR(__xludf.DUMMYFUNCTION("""COMPUTED_VALUE"""),"Pcs")</f>
        <v>Pcs</v>
      </c>
      <c r="I3656" s="6" t="str">
        <f>IFERROR(__xludf.DUMMYFUNCTION("""COMPUTED_VALUE"""),"MFH")</f>
        <v>MFH</v>
      </c>
      <c r="J3656" s="6" t="str">
        <f>IFERROR(__xludf.DUMMYFUNCTION("""COMPUTED_VALUE"""),"Building")</f>
        <v>Building</v>
      </c>
      <c r="K3656" s="6" t="str">
        <f>IFERROR(__xludf.DUMMYFUNCTION("""COMPUTED_VALUE"""),"SPR/26/05/032")</f>
        <v>SPR/26/05/032</v>
      </c>
      <c r="L3656" s="13">
        <f>IFERROR(__xludf.DUMMYFUNCTION("""COMPUTED_VALUE"""),46171.0)</f>
        <v>46171</v>
      </c>
    </row>
    <row r="3657">
      <c r="A3657" s="6" t="str">
        <f>IFERROR(__xludf.DUMMYFUNCTION("""COMPUTED_VALUE"""),"ROS")</f>
        <v>ROS</v>
      </c>
      <c r="B3657" s="6" t="str">
        <f>IFERROR(__xludf.DUMMYFUNCTION("""COMPUTED_VALUE"""),"ENG")</f>
        <v>ENG</v>
      </c>
      <c r="C3657" s="6" t="str">
        <f>IFERROR(__xludf.DUMMYFUNCTION("""COMPUTED_VALUE"""),"O-16732-00")</f>
        <v>O-16732-00</v>
      </c>
      <c r="D3657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657" s="6">
        <f>IFERROR(__xludf.DUMMYFUNCTION("""COMPUTED_VALUE"""),1.0)</f>
        <v>1</v>
      </c>
      <c r="F3657" s="6">
        <f>IFERROR(__xludf.DUMMYFUNCTION("""COMPUTED_VALUE"""),1.0)</f>
        <v>1</v>
      </c>
      <c r="G3657" s="6">
        <f>IFERROR(__xludf.DUMMYFUNCTION("""COMPUTED_VALUE"""),0.0)</f>
        <v>0</v>
      </c>
      <c r="H3657" s="6" t="str">
        <f>IFERROR(__xludf.DUMMYFUNCTION("""COMPUTED_VALUE"""),"Pcs")</f>
        <v>Pcs</v>
      </c>
      <c r="I3657" s="6" t="str">
        <f>IFERROR(__xludf.DUMMYFUNCTION("""COMPUTED_VALUE"""),"MFH")</f>
        <v>MFH</v>
      </c>
      <c r="J3657" s="6" t="str">
        <f>IFERROR(__xludf.DUMMYFUNCTION("""COMPUTED_VALUE"""),"Autoclave")</f>
        <v>Autoclave</v>
      </c>
      <c r="K3657" s="6" t="str">
        <f>IFERROR(__xludf.DUMMYFUNCTION("""COMPUTED_VALUE"""),"SPR/26/05/033")</f>
        <v>SPR/26/05/033</v>
      </c>
      <c r="L3657" s="13">
        <f>IFERROR(__xludf.DUMMYFUNCTION("""COMPUTED_VALUE"""),46171.0)</f>
        <v>46171</v>
      </c>
    </row>
    <row r="3658">
      <c r="A3658" s="6" t="str">
        <f>IFERROR(__xludf.DUMMYFUNCTION("""COMPUTED_VALUE"""),"ROS")</f>
        <v>ROS</v>
      </c>
      <c r="B3658" s="6" t="str">
        <f>IFERROR(__xludf.DUMMYFUNCTION("""COMPUTED_VALUE"""),"ENG")</f>
        <v>ENG</v>
      </c>
      <c r="C3658" s="6" t="str">
        <f>IFERROR(__xludf.DUMMYFUNCTION("""COMPUTED_VALUE"""),"O-20297-00")</f>
        <v>O-20297-00</v>
      </c>
      <c r="D3658" s="6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E3658" s="6">
        <f>IFERROR(__xludf.DUMMYFUNCTION("""COMPUTED_VALUE"""),10.0)</f>
        <v>10</v>
      </c>
      <c r="F3658" s="6">
        <f>IFERROR(__xludf.DUMMYFUNCTION("""COMPUTED_VALUE"""),10.0)</f>
        <v>10</v>
      </c>
      <c r="G3658" s="6">
        <f>IFERROR(__xludf.DUMMYFUNCTION("""COMPUTED_VALUE"""),0.0)</f>
        <v>0</v>
      </c>
      <c r="H3658" s="6" t="str">
        <f>IFERROR(__xludf.DUMMYFUNCTION("""COMPUTED_VALUE"""),"Pcs")</f>
        <v>Pcs</v>
      </c>
      <c r="I3658" s="6" t="str">
        <f>IFERROR(__xludf.DUMMYFUNCTION("""COMPUTED_VALUE"""),"MFH")</f>
        <v>MFH</v>
      </c>
      <c r="J3658" s="6" t="str">
        <f>IFERROR(__xludf.DUMMYFUNCTION("""COMPUTED_VALUE"""),"Autoclave")</f>
        <v>Autoclave</v>
      </c>
      <c r="K3658" s="6" t="str">
        <f>IFERROR(__xludf.DUMMYFUNCTION("""COMPUTED_VALUE"""),"SPR/26/05/033")</f>
        <v>SPR/26/05/033</v>
      </c>
      <c r="L3658" s="13">
        <f>IFERROR(__xludf.DUMMYFUNCTION("""COMPUTED_VALUE"""),46171.0)</f>
        <v>46171</v>
      </c>
    </row>
    <row r="3659">
      <c r="A3659" s="6" t="str">
        <f>IFERROR(__xludf.DUMMYFUNCTION("""COMPUTED_VALUE"""),"ROS")</f>
        <v>ROS</v>
      </c>
      <c r="B3659" s="6" t="str">
        <f>IFERROR(__xludf.DUMMYFUNCTION("""COMPUTED_VALUE"""),"ENG")</f>
        <v>ENG</v>
      </c>
      <c r="C3659" s="6" t="str">
        <f>IFERROR(__xludf.DUMMYFUNCTION("""COMPUTED_VALUE"""),"P-15852-00")</f>
        <v>P-15852-00</v>
      </c>
      <c r="D3659" s="6" t="str">
        <f>IFERROR(__xludf.DUMMYFUNCTION("""COMPUTED_VALUE"""),"AMPLAS EAGLE 500")</f>
        <v>AMPLAS EAGLE 500</v>
      </c>
      <c r="E3659" s="6">
        <f>IFERROR(__xludf.DUMMYFUNCTION("""COMPUTED_VALUE"""),1.0)</f>
        <v>1</v>
      </c>
      <c r="F3659" s="6">
        <f>IFERROR(__xludf.DUMMYFUNCTION("""COMPUTED_VALUE"""),1.0)</f>
        <v>1</v>
      </c>
      <c r="G3659" s="6">
        <f>IFERROR(__xludf.DUMMYFUNCTION("""COMPUTED_VALUE"""),0.0)</f>
        <v>0</v>
      </c>
      <c r="H3659" s="6" t="str">
        <f>IFERROR(__xludf.DUMMYFUNCTION("""COMPUTED_VALUE"""),"Pcs")</f>
        <v>Pcs</v>
      </c>
      <c r="I3659" s="6" t="str">
        <f>IFERROR(__xludf.DUMMYFUNCTION("""COMPUTED_VALUE"""),"MFH")</f>
        <v>MFH</v>
      </c>
      <c r="J3659" s="6" t="str">
        <f>IFERROR(__xludf.DUMMYFUNCTION("""COMPUTED_VALUE"""),"Autoclave")</f>
        <v>Autoclave</v>
      </c>
      <c r="K3659" s="6" t="str">
        <f>IFERROR(__xludf.DUMMYFUNCTION("""COMPUTED_VALUE"""),"SPR/26/05/033")</f>
        <v>SPR/26/05/033</v>
      </c>
      <c r="L3659" s="13">
        <f>IFERROR(__xludf.DUMMYFUNCTION("""COMPUTED_VALUE"""),46171.0)</f>
        <v>46171</v>
      </c>
    </row>
    <row r="3660">
      <c r="A3660" s="6" t="str">
        <f>IFERROR(__xludf.DUMMYFUNCTION("""COMPUTED_VALUE"""),"ROS")</f>
        <v>ROS</v>
      </c>
      <c r="B3660" s="6" t="str">
        <f>IFERROR(__xludf.DUMMYFUNCTION("""COMPUTED_VALUE"""),"ENG")</f>
        <v>ENG</v>
      </c>
      <c r="C3660" s="6" t="str">
        <f>IFERROR(__xludf.DUMMYFUNCTION("""COMPUTED_VALUE"""),"Q-10433-00")</f>
        <v>Q-10433-00</v>
      </c>
      <c r="D3660" s="6" t="str">
        <f>IFERROR(__xludf.DUMMYFUNCTION("""COMPUTED_VALUE"""),"Lampu Neon Philips TLD 15W/54-765 Cool Daylight; PHILIPS; TLD15W/54-765;")</f>
        <v>Lampu Neon Philips TLD 15W/54-765 Cool Daylight; PHILIPS; TLD15W/54-765;</v>
      </c>
      <c r="E3660" s="6">
        <f>IFERROR(__xludf.DUMMYFUNCTION("""COMPUTED_VALUE"""),1.0)</f>
        <v>1</v>
      </c>
      <c r="F3660" s="6">
        <f>IFERROR(__xludf.DUMMYFUNCTION("""COMPUTED_VALUE"""),1.0)</f>
        <v>1</v>
      </c>
      <c r="G3660" s="6">
        <f>IFERROR(__xludf.DUMMYFUNCTION("""COMPUTED_VALUE"""),0.0)</f>
        <v>0</v>
      </c>
      <c r="H3660" s="6" t="str">
        <f>IFERROR(__xludf.DUMMYFUNCTION("""COMPUTED_VALUE"""),"Pcs")</f>
        <v>Pcs</v>
      </c>
      <c r="I3660" s="6" t="str">
        <f>IFERROR(__xludf.DUMMYFUNCTION("""COMPUTED_VALUE"""),"MFH")</f>
        <v>MFH</v>
      </c>
      <c r="J3660" s="6" t="str">
        <f>IFERROR(__xludf.DUMMYFUNCTION("""COMPUTED_VALUE"""),"FIlling")</f>
        <v>FIlling</v>
      </c>
      <c r="K3660" s="6" t="str">
        <f>IFERROR(__xludf.DUMMYFUNCTION("""COMPUTED_VALUE"""),"SPR/26/05/034")</f>
        <v>SPR/26/05/034</v>
      </c>
      <c r="L3660" s="13">
        <f>IFERROR(__xludf.DUMMYFUNCTION("""COMPUTED_VALUE"""),46171.0)</f>
        <v>46171</v>
      </c>
    </row>
    <row r="3661">
      <c r="A3661" s="6" t="str">
        <f>IFERROR(__xludf.DUMMYFUNCTION("""COMPUTED_VALUE"""),"ROS")</f>
        <v>ROS</v>
      </c>
      <c r="B3661" s="6" t="str">
        <f>IFERROR(__xludf.DUMMYFUNCTION("""COMPUTED_VALUE"""),"ENG")</f>
        <v>ENG</v>
      </c>
      <c r="C3661" s="6" t="str">
        <f>IFERROR(__xludf.DUMMYFUNCTION("""COMPUTED_VALUE"""),"O-54005-00")</f>
        <v>O-54005-00</v>
      </c>
      <c r="D3661" s="6" t="str">
        <f>IFERROR(__xludf.DUMMYFUNCTION("""COMPUTED_VALUE"""),"LAMPU UV 15 WATT, OSRAM")</f>
        <v>LAMPU UV 15 WATT, OSRAM</v>
      </c>
      <c r="E3661" s="6">
        <f>IFERROR(__xludf.DUMMYFUNCTION("""COMPUTED_VALUE"""),1.0)</f>
        <v>1</v>
      </c>
      <c r="F3661" s="6">
        <f>IFERROR(__xludf.DUMMYFUNCTION("""COMPUTED_VALUE"""),1.0)</f>
        <v>1</v>
      </c>
      <c r="G3661" s="6">
        <f>IFERROR(__xludf.DUMMYFUNCTION("""COMPUTED_VALUE"""),0.0)</f>
        <v>0</v>
      </c>
      <c r="H3661" s="6" t="str">
        <f>IFERROR(__xludf.DUMMYFUNCTION("""COMPUTED_VALUE"""),"Pcs")</f>
        <v>Pcs</v>
      </c>
      <c r="I3661" s="6" t="str">
        <f>IFERROR(__xludf.DUMMYFUNCTION("""COMPUTED_VALUE"""),"MFH")</f>
        <v>MFH</v>
      </c>
      <c r="J3661" s="6" t="str">
        <f>IFERROR(__xludf.DUMMYFUNCTION("""COMPUTED_VALUE"""),"FIlling")</f>
        <v>FIlling</v>
      </c>
      <c r="K3661" s="6" t="str">
        <f>IFERROR(__xludf.DUMMYFUNCTION("""COMPUTED_VALUE"""),"SPR/26/05/034")</f>
        <v>SPR/26/05/034</v>
      </c>
      <c r="L3661" s="13">
        <f>IFERROR(__xludf.DUMMYFUNCTION("""COMPUTED_VALUE"""),46171.0)</f>
        <v>46171</v>
      </c>
    </row>
    <row r="3662">
      <c r="A3662" s="6" t="str">
        <f>IFERROR(__xludf.DUMMYFUNCTION("""COMPUTED_VALUE"""),"ROS")</f>
        <v>ROS</v>
      </c>
      <c r="B3662" s="6" t="str">
        <f>IFERROR(__xludf.DUMMYFUNCTION("""COMPUTED_VALUE"""),"ENG")</f>
        <v>ENG</v>
      </c>
      <c r="C3662" s="6" t="str">
        <f>IFERROR(__xludf.DUMMYFUNCTION("""COMPUTED_VALUE"""),"P-14377-00")</f>
        <v>P-14377-00</v>
      </c>
      <c r="D3662" s="6" t="str">
        <f>IFERROR(__xludf.DUMMYFUNCTION("""COMPUTED_VALUE"""),"General - Gasket Ferrule EPDM 1inch; Lokal; -; 1 pc")</f>
        <v>General - Gasket Ferrule EPDM 1inch; Lokal; -; 1 pc</v>
      </c>
      <c r="E3662" s="6">
        <f>IFERROR(__xludf.DUMMYFUNCTION("""COMPUTED_VALUE"""),10.0)</f>
        <v>10</v>
      </c>
      <c r="F3662" s="6">
        <f>IFERROR(__xludf.DUMMYFUNCTION("""COMPUTED_VALUE"""),10.0)</f>
        <v>10</v>
      </c>
      <c r="G3662" s="6">
        <f>IFERROR(__xludf.DUMMYFUNCTION("""COMPUTED_VALUE"""),0.0)</f>
        <v>0</v>
      </c>
      <c r="H3662" s="6" t="str">
        <f>IFERROR(__xludf.DUMMYFUNCTION("""COMPUTED_VALUE"""),"Pcs")</f>
        <v>Pcs</v>
      </c>
      <c r="I3662" s="6" t="str">
        <f>IFERROR(__xludf.DUMMYFUNCTION("""COMPUTED_VALUE"""),"MFH")</f>
        <v>MFH</v>
      </c>
      <c r="J3662" s="6" t="str">
        <f>IFERROR(__xludf.DUMMYFUNCTION("""COMPUTED_VALUE"""),"FD")</f>
        <v>FD</v>
      </c>
      <c r="K3662" s="6" t="str">
        <f>IFERROR(__xludf.DUMMYFUNCTION("""COMPUTED_VALUE"""),"SPR/26/05/035")</f>
        <v>SPR/26/05/035</v>
      </c>
      <c r="L3662" s="13">
        <f>IFERROR(__xludf.DUMMYFUNCTION("""COMPUTED_VALUE"""),46171.0)</f>
        <v>46171</v>
      </c>
    </row>
    <row r="3663">
      <c r="A3663" s="6" t="str">
        <f>IFERROR(__xludf.DUMMYFUNCTION("""COMPUTED_VALUE"""),"ROS")</f>
        <v>ROS</v>
      </c>
      <c r="B3663" s="6" t="str">
        <f>IFERROR(__xludf.DUMMYFUNCTION("""COMPUTED_VALUE"""),"ENG")</f>
        <v>ENG</v>
      </c>
      <c r="C3663" s="6" t="str">
        <f>IFERROR(__xludf.DUMMYFUNCTION("""COMPUTED_VALUE"""),"P-11393-00")</f>
        <v>P-11393-00</v>
      </c>
      <c r="D3663" s="6" t="str">
        <f>IFERROR(__xludf.DUMMYFUNCTION("""COMPUTED_VALUE"""),"General - Gasket Ferrule EPDM 3inch; No Brand; -; 1 pcs")</f>
        <v>General - Gasket Ferrule EPDM 3inch; No Brand; -; 1 pcs</v>
      </c>
      <c r="E3663" s="6">
        <f>IFERROR(__xludf.DUMMYFUNCTION("""COMPUTED_VALUE"""),4.0)</f>
        <v>4</v>
      </c>
      <c r="F3663" s="6">
        <f>IFERROR(__xludf.DUMMYFUNCTION("""COMPUTED_VALUE"""),4.0)</f>
        <v>4</v>
      </c>
      <c r="G3663" s="6">
        <f>IFERROR(__xludf.DUMMYFUNCTION("""COMPUTED_VALUE"""),0.0)</f>
        <v>0</v>
      </c>
      <c r="H3663" s="6" t="str">
        <f>IFERROR(__xludf.DUMMYFUNCTION("""COMPUTED_VALUE"""),"Pcs")</f>
        <v>Pcs</v>
      </c>
      <c r="I3663" s="6" t="str">
        <f>IFERROR(__xludf.DUMMYFUNCTION("""COMPUTED_VALUE"""),"MFH")</f>
        <v>MFH</v>
      </c>
      <c r="J3663" s="6" t="str">
        <f>IFERROR(__xludf.DUMMYFUNCTION("""COMPUTED_VALUE"""),"-")</f>
        <v>-</v>
      </c>
      <c r="K3663" s="6" t="str">
        <f>IFERROR(__xludf.DUMMYFUNCTION("""COMPUTED_VALUE"""),"SPR/26/05/036")</f>
        <v>SPR/26/05/036</v>
      </c>
      <c r="L3663" s="13">
        <f>IFERROR(__xludf.DUMMYFUNCTION("""COMPUTED_VALUE"""),46171.0)</f>
        <v>46171</v>
      </c>
    </row>
    <row r="3664">
      <c r="A3664" s="6" t="str">
        <f>IFERROR(__xludf.DUMMYFUNCTION("""COMPUTED_VALUE"""),"ROS")</f>
        <v>ROS</v>
      </c>
      <c r="B3664" s="6" t="str">
        <f>IFERROR(__xludf.DUMMYFUNCTION("""COMPUTED_VALUE"""),"ENG")</f>
        <v>ENG</v>
      </c>
      <c r="C3664" s="6" t="str">
        <f>IFERROR(__xludf.DUMMYFUNCTION("""COMPUTED_VALUE"""),"P-14376-00")</f>
        <v>P-14376-00</v>
      </c>
      <c r="D3664" s="6" t="str">
        <f>IFERROR(__xludf.DUMMYFUNCTION("""COMPUTED_VALUE"""),"General - Gasket Ferrule EPDM 2 1/2inch; Lokal; -; 1 pc")</f>
        <v>General - Gasket Ferrule EPDM 2 1/2inch; Lokal; -; 1 pc</v>
      </c>
      <c r="E3664" s="6">
        <f>IFERROR(__xludf.DUMMYFUNCTION("""COMPUTED_VALUE"""),10.0)</f>
        <v>10</v>
      </c>
      <c r="F3664" s="6">
        <f>IFERROR(__xludf.DUMMYFUNCTION("""COMPUTED_VALUE"""),13.0)</f>
        <v>13</v>
      </c>
      <c r="G3664" s="6">
        <f>IFERROR(__xludf.DUMMYFUNCTION("""COMPUTED_VALUE"""),0.0)</f>
        <v>0</v>
      </c>
      <c r="H3664" s="6" t="str">
        <f>IFERROR(__xludf.DUMMYFUNCTION("""COMPUTED_VALUE"""),"Pcs")</f>
        <v>Pcs</v>
      </c>
      <c r="I3664" s="6" t="str">
        <f>IFERROR(__xludf.DUMMYFUNCTION("""COMPUTED_VALUE"""),"MFH")</f>
        <v>MFH</v>
      </c>
      <c r="J3664" s="6" t="str">
        <f>IFERROR(__xludf.DUMMYFUNCTION("""COMPUTED_VALUE"""),"-")</f>
        <v>-</v>
      </c>
      <c r="K3664" s="6" t="str">
        <f>IFERROR(__xludf.DUMMYFUNCTION("""COMPUTED_VALUE"""),"SPR/26/05/036")</f>
        <v>SPR/26/05/036</v>
      </c>
      <c r="L3664" s="13">
        <f>IFERROR(__xludf.DUMMYFUNCTION("""COMPUTED_VALUE"""),46171.0)</f>
        <v>46171</v>
      </c>
    </row>
    <row r="3665">
      <c r="A3665" s="6" t="str">
        <f>IFERROR(__xludf.DUMMYFUNCTION("""COMPUTED_VALUE"""),"ROS")</f>
        <v>ROS</v>
      </c>
      <c r="B3665" s="6" t="str">
        <f>IFERROR(__xludf.DUMMYFUNCTION("""COMPUTED_VALUE"""),"ENG")</f>
        <v>ENG</v>
      </c>
      <c r="C3665" s="6" t="str">
        <f>IFERROR(__xludf.DUMMYFUNCTION("""COMPUTED_VALUE"""),"P-14379-00")</f>
        <v>P-14379-00</v>
      </c>
      <c r="D3665" s="6" t="str">
        <f>IFERROR(__xludf.DUMMYFUNCTION("""COMPUTED_VALUE"""),"General - Gasket Ferrule EPDM 3/4inch; Lokal; -; 1 pc")</f>
        <v>General - Gasket Ferrule EPDM 3/4inch; Lokal; -; 1 pc</v>
      </c>
      <c r="E3665" s="6">
        <f>IFERROR(__xludf.DUMMYFUNCTION("""COMPUTED_VALUE"""),7.0)</f>
        <v>7</v>
      </c>
      <c r="F3665" s="6">
        <f>IFERROR(__xludf.DUMMYFUNCTION("""COMPUTED_VALUE"""),7.0)</f>
        <v>7</v>
      </c>
      <c r="G3665" s="6">
        <f>IFERROR(__xludf.DUMMYFUNCTION("""COMPUTED_VALUE"""),0.0)</f>
        <v>0</v>
      </c>
      <c r="H3665" s="6" t="str">
        <f>IFERROR(__xludf.DUMMYFUNCTION("""COMPUTED_VALUE"""),"Pcs")</f>
        <v>Pcs</v>
      </c>
      <c r="I3665" s="6" t="str">
        <f>IFERROR(__xludf.DUMMYFUNCTION("""COMPUTED_VALUE"""),"MFH")</f>
        <v>MFH</v>
      </c>
      <c r="J3665" s="6" t="str">
        <f>IFERROR(__xludf.DUMMYFUNCTION("""COMPUTED_VALUE"""),"-")</f>
        <v>-</v>
      </c>
      <c r="K3665" s="6" t="str">
        <f>IFERROR(__xludf.DUMMYFUNCTION("""COMPUTED_VALUE"""),"SPR/26/05/036")</f>
        <v>SPR/26/05/036</v>
      </c>
      <c r="L3665" s="13">
        <f>IFERROR(__xludf.DUMMYFUNCTION("""COMPUTED_VALUE"""),46171.0)</f>
        <v>46171</v>
      </c>
    </row>
    <row r="3666">
      <c r="A3666" s="6" t="str">
        <f>IFERROR(__xludf.DUMMYFUNCTION("""COMPUTED_VALUE"""),"BDU")</f>
        <v>BDU</v>
      </c>
      <c r="B3666" s="6" t="str">
        <f>IFERROR(__xludf.DUMMYFUNCTION("""COMPUTED_VALUE"""),"ENG")</f>
        <v>ENG</v>
      </c>
      <c r="C3666" s="6" t="str">
        <f>IFERROR(__xludf.DUMMYFUNCTION("""COMPUTED_VALUE"""),"P-10958-00")</f>
        <v>P-10958-00</v>
      </c>
      <c r="D3666" s="6" t="str">
        <f>IFERROR(__xludf.DUMMYFUNCTION("""COMPUTED_VALUE"""),"General - Kawat Las Tembaga Dia  = 3,2  X 450 mm; Harris; -; 1 Pc")</f>
        <v>General - Kawat Las Tembaga Dia  = 3,2  X 450 mm; Harris; -; 1 Pc</v>
      </c>
      <c r="E3666" s="6">
        <f>IFERROR(__xludf.DUMMYFUNCTION("""COMPUTED_VALUE"""),5.0)</f>
        <v>5</v>
      </c>
      <c r="F3666" s="6">
        <f>IFERROR(__xludf.DUMMYFUNCTION("""COMPUTED_VALUE"""),5.0)</f>
        <v>5</v>
      </c>
      <c r="G3666" s="6">
        <f>IFERROR(__xludf.DUMMYFUNCTION("""COMPUTED_VALUE"""),0.0)</f>
        <v>0</v>
      </c>
      <c r="H3666" s="6" t="str">
        <f>IFERROR(__xludf.DUMMYFUNCTION("""COMPUTED_VALUE"""),"Pcs")</f>
        <v>Pcs</v>
      </c>
      <c r="I3666" s="6" t="str">
        <f>IFERROR(__xludf.DUMMYFUNCTION("""COMPUTED_VALUE"""),"MFH")</f>
        <v>MFH</v>
      </c>
      <c r="J3666" s="6" t="str">
        <f>IFERROR(__xludf.DUMMYFUNCTION("""COMPUTED_VALUE"""),"CC")</f>
        <v>CC</v>
      </c>
      <c r="K3666" s="6" t="str">
        <f>IFERROR(__xludf.DUMMYFUNCTION("""COMPUTED_VALUE"""),"SPR/26/05/037")</f>
        <v>SPR/26/05/037</v>
      </c>
      <c r="L3666" s="13">
        <f>IFERROR(__xludf.DUMMYFUNCTION("""COMPUTED_VALUE"""),46171.0)</f>
        <v>46171</v>
      </c>
    </row>
    <row r="3667">
      <c r="A3667" s="6" t="str">
        <f>IFERROR(__xludf.DUMMYFUNCTION("""COMPUTED_VALUE"""),"KFF")</f>
        <v>KFF</v>
      </c>
      <c r="B3667" s="6" t="str">
        <f>IFERROR(__xludf.DUMMYFUNCTION("""COMPUTED_VALUE"""),"ENG")</f>
        <v>ENG</v>
      </c>
      <c r="C3667" s="6" t="str">
        <f>IFERROR(__xludf.DUMMYFUNCTION("""COMPUTED_VALUE"""),"O-16647-00")</f>
        <v>O-16647-00</v>
      </c>
      <c r="D3667" s="6" t="str">
        <f>IFERROR(__xludf.DUMMYFUNCTION("""COMPUTED_VALUE"""),"Washing RAR4 - Oring Silicone Merah 23x18x2.5 mm; ; ;")</f>
        <v>Washing RAR4 - Oring Silicone Merah 23x18x2.5 mm; ; ;</v>
      </c>
      <c r="E3667" s="6">
        <f>IFERROR(__xludf.DUMMYFUNCTION("""COMPUTED_VALUE"""),10.0)</f>
        <v>10</v>
      </c>
      <c r="F3667" s="6">
        <f>IFERROR(__xludf.DUMMYFUNCTION("""COMPUTED_VALUE"""),10.0)</f>
        <v>10</v>
      </c>
      <c r="G3667" s="6">
        <f>IFERROR(__xludf.DUMMYFUNCTION("""COMPUTED_VALUE"""),0.0)</f>
        <v>0</v>
      </c>
      <c r="H3667" s="6" t="str">
        <f>IFERROR(__xludf.DUMMYFUNCTION("""COMPUTED_VALUE"""),"Pcs")</f>
        <v>Pcs</v>
      </c>
      <c r="I3667" s="6" t="str">
        <f>IFERROR(__xludf.DUMMYFUNCTION("""COMPUTED_VALUE"""),"MFH")</f>
        <v>MFH</v>
      </c>
      <c r="J3667" s="6" t="str">
        <f>IFERROR(__xludf.DUMMYFUNCTION("""COMPUTED_VALUE"""),"Capping")</f>
        <v>Capping</v>
      </c>
      <c r="K3667" s="6" t="str">
        <f>IFERROR(__xludf.DUMMYFUNCTION("""COMPUTED_VALUE"""),"SPR/26/05/038")</f>
        <v>SPR/26/05/038</v>
      </c>
      <c r="L3667" s="13">
        <f>IFERROR(__xludf.DUMMYFUNCTION("""COMPUTED_VALUE"""),46171.0)</f>
        <v>46171</v>
      </c>
    </row>
    <row r="3668">
      <c r="A3668" s="6" t="str">
        <f>IFERROR(__xludf.DUMMYFUNCTION("""COMPUTED_VALUE"""),"MOB")</f>
        <v>MOB</v>
      </c>
      <c r="B3668" s="6" t="str">
        <f>IFERROR(__xludf.DUMMYFUNCTION("""COMPUTED_VALUE"""),"ENG")</f>
        <v>ENG</v>
      </c>
      <c r="C3668" s="6" t="str">
        <f>IFERROR(__xludf.DUMMYFUNCTION("""COMPUTED_VALUE"""),"S-20856-00")</f>
        <v>S-20856-00</v>
      </c>
      <c r="D3668" s="6" t="str">
        <f>IFERROR(__xludf.DUMMYFUNCTION("""COMPUTED_VALUE"""),"Senter Kepala / LED Head Lamp ; 1600A0307X ; Bosch ; pack size per pcsp; ; ;")</f>
        <v>Senter Kepala / LED Head Lamp ; 1600A0307X ; Bosch ; pack size per pcsp; ; ;</v>
      </c>
      <c r="E3668" s="6">
        <f>IFERROR(__xludf.DUMMYFUNCTION("""COMPUTED_VALUE"""),2.0)</f>
        <v>2</v>
      </c>
      <c r="F3668" s="6">
        <f>IFERROR(__xludf.DUMMYFUNCTION("""COMPUTED_VALUE"""),2.0)</f>
        <v>2</v>
      </c>
      <c r="G3668" s="6">
        <f>IFERROR(__xludf.DUMMYFUNCTION("""COMPUTED_VALUE"""),0.0)</f>
        <v>0</v>
      </c>
      <c r="H3668" s="6" t="str">
        <f>IFERROR(__xludf.DUMMYFUNCTION("""COMPUTED_VALUE"""),"Pcs")</f>
        <v>Pcs</v>
      </c>
      <c r="I3668" s="6" t="str">
        <f>IFERROR(__xludf.DUMMYFUNCTION("""COMPUTED_VALUE"""),"MFH")</f>
        <v>MFH</v>
      </c>
      <c r="J3668" s="6" t="str">
        <f>IFERROR(__xludf.DUMMYFUNCTION("""COMPUTED_VALUE"""),"-")</f>
        <v>-</v>
      </c>
      <c r="K3668" s="6" t="str">
        <f>IFERROR(__xludf.DUMMYFUNCTION("""COMPUTED_VALUE"""),"SPR/26/05/039")</f>
        <v>SPR/26/05/039</v>
      </c>
      <c r="L3668" s="13">
        <f>IFERROR(__xludf.DUMMYFUNCTION("""COMPUTED_VALUE"""),46171.0)</f>
        <v>46171</v>
      </c>
    </row>
    <row r="3669">
      <c r="A3669" s="6" t="str">
        <f>IFERROR(__xludf.DUMMYFUNCTION("""COMPUTED_VALUE"""),"MOB")</f>
        <v>MOB</v>
      </c>
      <c r="B3669" s="6" t="str">
        <f>IFERROR(__xludf.DUMMYFUNCTION("""COMPUTED_VALUE"""),"ENG")</f>
        <v>ENG</v>
      </c>
      <c r="C3669" s="6" t="str">
        <f>IFERROR(__xludf.DUMMYFUNCTION("""COMPUTED_VALUE"""),"T-80047-00")</f>
        <v>T-80047-00</v>
      </c>
      <c r="D3669" s="6" t="str">
        <f>IFERROR(__xludf.DUMMYFUNCTION("""COMPUTED_VALUE"""),"Battery ALKALINE AAA")</f>
        <v>Battery ALKALINE AAA</v>
      </c>
      <c r="E3669" s="6">
        <f>IFERROR(__xludf.DUMMYFUNCTION("""COMPUTED_VALUE"""),6.0)</f>
        <v>6</v>
      </c>
      <c r="F3669" s="6">
        <f>IFERROR(__xludf.DUMMYFUNCTION("""COMPUTED_VALUE"""),6.0)</f>
        <v>6</v>
      </c>
      <c r="G3669" s="6">
        <f>IFERROR(__xludf.DUMMYFUNCTION("""COMPUTED_VALUE"""),0.0)</f>
        <v>0</v>
      </c>
      <c r="H3669" s="6" t="str">
        <f>IFERROR(__xludf.DUMMYFUNCTION("""COMPUTED_VALUE"""),"Pcs")</f>
        <v>Pcs</v>
      </c>
      <c r="I3669" s="6" t="str">
        <f>IFERROR(__xludf.DUMMYFUNCTION("""COMPUTED_VALUE"""),"MFH")</f>
        <v>MFH</v>
      </c>
      <c r="J3669" s="6" t="str">
        <f>IFERROR(__xludf.DUMMYFUNCTION("""COMPUTED_VALUE"""),"-")</f>
        <v>-</v>
      </c>
      <c r="K3669" s="6" t="str">
        <f>IFERROR(__xludf.DUMMYFUNCTION("""COMPUTED_VALUE"""),"SPR/26/05/039")</f>
        <v>SPR/26/05/039</v>
      </c>
      <c r="L3669" s="13">
        <f>IFERROR(__xludf.DUMMYFUNCTION("""COMPUTED_VALUE"""),46171.0)</f>
        <v>46171</v>
      </c>
    </row>
    <row r="3670">
      <c r="A3670" s="6" t="str">
        <f>IFERROR(__xludf.DUMMYFUNCTION("""COMPUTED_VALUE"""),"MOB")</f>
        <v>MOB</v>
      </c>
      <c r="B3670" s="6" t="str">
        <f>IFERROR(__xludf.DUMMYFUNCTION("""COMPUTED_VALUE"""),"ENG")</f>
        <v>ENG</v>
      </c>
      <c r="C3670" s="6" t="str">
        <f>IFERROR(__xludf.DUMMYFUNCTION("""COMPUTED_VALUE"""),"P-12488-00")</f>
        <v>P-12488-00</v>
      </c>
      <c r="D3670" s="6" t="str">
        <f>IFERROR(__xludf.DUMMYFUNCTION("""COMPUTED_VALUE"""),"Mata bor besi dia 4 mm ex NACHI")</f>
        <v>Mata bor besi dia 4 mm ex NACHI</v>
      </c>
      <c r="E3670" s="6">
        <f>IFERROR(__xludf.DUMMYFUNCTION("""COMPUTED_VALUE"""),1.0)</f>
        <v>1</v>
      </c>
      <c r="F3670" s="6">
        <f>IFERROR(__xludf.DUMMYFUNCTION("""COMPUTED_VALUE"""),1.0)</f>
        <v>1</v>
      </c>
      <c r="G3670" s="6">
        <f>IFERROR(__xludf.DUMMYFUNCTION("""COMPUTED_VALUE"""),0.0)</f>
        <v>0</v>
      </c>
      <c r="H3670" s="6" t="str">
        <f>IFERROR(__xludf.DUMMYFUNCTION("""COMPUTED_VALUE"""),"Pcs")</f>
        <v>Pcs</v>
      </c>
      <c r="I3670" s="6" t="str">
        <f>IFERROR(__xludf.DUMMYFUNCTION("""COMPUTED_VALUE"""),"MFH")</f>
        <v>MFH</v>
      </c>
      <c r="J3670" s="6" t="str">
        <f>IFERROR(__xludf.DUMMYFUNCTION("""COMPUTED_VALUE"""),"-")</f>
        <v>-</v>
      </c>
      <c r="K3670" s="6" t="str">
        <f>IFERROR(__xludf.DUMMYFUNCTION("""COMPUTED_VALUE"""),"SPR/26/05/039")</f>
        <v>SPR/26/05/039</v>
      </c>
      <c r="L3670" s="13">
        <f>IFERROR(__xludf.DUMMYFUNCTION("""COMPUTED_VALUE"""),46171.0)</f>
        <v>46171</v>
      </c>
    </row>
    <row r="3671">
      <c r="A3671" s="6" t="str">
        <f>IFERROR(__xludf.DUMMYFUNCTION("""COMPUTED_VALUE"""),"KFF")</f>
        <v>KFF</v>
      </c>
      <c r="B3671" s="6" t="str">
        <f>IFERROR(__xludf.DUMMYFUNCTION("""COMPUTED_VALUE"""),"ENG")</f>
        <v>ENG</v>
      </c>
      <c r="C3671" s="6" t="str">
        <f>IFERROR(__xludf.DUMMYFUNCTION("""COMPUTED_VALUE"""),"P-20660-00")</f>
        <v>P-20660-00</v>
      </c>
      <c r="D3671" s="6" t="str">
        <f>IFERROR(__xludf.DUMMYFUNCTION("""COMPUTED_VALUE"""),"General - Gas Spring FGSS22200B; Misumi; -; 1 pc")</f>
        <v>General - Gas Spring FGSS22200B; Misumi; -; 1 pc</v>
      </c>
      <c r="E3671" s="6">
        <f>IFERROR(__xludf.DUMMYFUNCTION("""COMPUTED_VALUE"""),1.0)</f>
        <v>1</v>
      </c>
      <c r="F3671" s="6">
        <f>IFERROR(__xludf.DUMMYFUNCTION("""COMPUTED_VALUE"""),2.0)</f>
        <v>2</v>
      </c>
      <c r="G3671" s="6">
        <f>IFERROR(__xludf.DUMMYFUNCTION("""COMPUTED_VALUE"""),0.0)</f>
        <v>0</v>
      </c>
      <c r="H3671" s="6" t="str">
        <f>IFERROR(__xludf.DUMMYFUNCTION("""COMPUTED_VALUE"""),"Pcs")</f>
        <v>Pcs</v>
      </c>
      <c r="I3671" s="6" t="str">
        <f>IFERROR(__xludf.DUMMYFUNCTION("""COMPUTED_VALUE"""),"MFH")</f>
        <v>MFH</v>
      </c>
      <c r="J3671" s="6" t="str">
        <f>IFERROR(__xludf.DUMMYFUNCTION("""COMPUTED_VALUE"""),"Dispensing")</f>
        <v>Dispensing</v>
      </c>
      <c r="K3671" s="6" t="str">
        <f>IFERROR(__xludf.DUMMYFUNCTION("""COMPUTED_VALUE"""),"SPR/26/05/040")</f>
        <v>SPR/26/05/040</v>
      </c>
      <c r="L3671" s="13">
        <f>IFERROR(__xludf.DUMMYFUNCTION("""COMPUTED_VALUE"""),46171.0)</f>
        <v>46171</v>
      </c>
    </row>
    <row r="3672">
      <c r="A3672" s="6" t="str">
        <f>IFERROR(__xludf.DUMMYFUNCTION("""COMPUTED_VALUE"""),"ERA")</f>
        <v>ERA</v>
      </c>
      <c r="B3672" s="6" t="str">
        <f>IFERROR(__xludf.DUMMYFUNCTION("""COMPUTED_VALUE"""),"ENG")</f>
        <v>ENG</v>
      </c>
      <c r="C3672" s="6" t="str">
        <f>IFERROR(__xludf.DUMMYFUNCTION("""COMPUTED_VALUE"""),"-")</f>
        <v>-</v>
      </c>
      <c r="D3672" s="6" t="str">
        <f>IFERROR(__xludf.DUMMYFUNCTION("""COMPUTED_VALUE"""),"Capacitor 14UF")</f>
        <v>Capacitor 14UF</v>
      </c>
      <c r="E3672" s="6">
        <f>IFERROR(__xludf.DUMMYFUNCTION("""COMPUTED_VALUE"""),1.0)</f>
        <v>1</v>
      </c>
      <c r="F3672" s="6">
        <f>IFERROR(__xludf.DUMMYFUNCTION("""COMPUTED_VALUE"""),1.0)</f>
        <v>1</v>
      </c>
      <c r="G3672" s="6">
        <f>IFERROR(__xludf.DUMMYFUNCTION("""COMPUTED_VALUE"""),0.0)</f>
        <v>0</v>
      </c>
      <c r="H3672" s="6" t="str">
        <f>IFERROR(__xludf.DUMMYFUNCTION("""COMPUTED_VALUE"""),"Pcs")</f>
        <v>Pcs</v>
      </c>
      <c r="I3672" s="6" t="str">
        <f>IFERROR(__xludf.DUMMYFUNCTION("""COMPUTED_VALUE"""),"MFH")</f>
        <v>MFH</v>
      </c>
      <c r="J3672" s="6" t="str">
        <f>IFERROR(__xludf.DUMMYFUNCTION("""COMPUTED_VALUE"""),"Autoclave")</f>
        <v>Autoclave</v>
      </c>
      <c r="K3672" s="6" t="str">
        <f>IFERROR(__xludf.DUMMYFUNCTION("""COMPUTED_VALUE"""),"SPR/26/05/041")</f>
        <v>SPR/26/05/041</v>
      </c>
      <c r="L3672" s="13">
        <f>IFERROR(__xludf.DUMMYFUNCTION("""COMPUTED_VALUE"""),46171.0)</f>
        <v>46171</v>
      </c>
    </row>
    <row r="3673">
      <c r="A3673" s="6" t="str">
        <f>IFERROR(__xludf.DUMMYFUNCTION("""COMPUTED_VALUE"""),"BDU")</f>
        <v>BDU</v>
      </c>
      <c r="B3673" s="6" t="str">
        <f>IFERROR(__xludf.DUMMYFUNCTION("""COMPUTED_VALUE"""),"ENG")</f>
        <v>ENG</v>
      </c>
      <c r="C3673" s="6" t="str">
        <f>IFERROR(__xludf.DUMMYFUNCTION("""COMPUTED_VALUE"""),"Q-10249-00")</f>
        <v>Q-10249-00</v>
      </c>
      <c r="D3673" s="6" t="str">
        <f>IFERROR(__xludf.DUMMYFUNCTION("""COMPUTED_VALUE"""),"Lem Power Glue; ; ;")</f>
        <v>Lem Power Glue; ; ;</v>
      </c>
      <c r="E3673" s="6">
        <f>IFERROR(__xludf.DUMMYFUNCTION("""COMPUTED_VALUE"""),1.0)</f>
        <v>1</v>
      </c>
      <c r="F3673" s="6">
        <f>IFERROR(__xludf.DUMMYFUNCTION("""COMPUTED_VALUE"""),1.0)</f>
        <v>1</v>
      </c>
      <c r="G3673" s="6">
        <f>IFERROR(__xludf.DUMMYFUNCTION("""COMPUTED_VALUE"""),0.0)</f>
        <v>0</v>
      </c>
      <c r="H3673" s="6" t="str">
        <f>IFERROR(__xludf.DUMMYFUNCTION("""COMPUTED_VALUE"""),"Pcs")</f>
        <v>Pcs</v>
      </c>
      <c r="I3673" s="6" t="str">
        <f>IFERROR(__xludf.DUMMYFUNCTION("""COMPUTED_VALUE"""),"MFH")</f>
        <v>MFH</v>
      </c>
      <c r="J3673" s="6" t="str">
        <f>IFERROR(__xludf.DUMMYFUNCTION("""COMPUTED_VALUE"""),"CC")</f>
        <v>CC</v>
      </c>
      <c r="K3673" s="6" t="str">
        <f>IFERROR(__xludf.DUMMYFUNCTION("""COMPUTED_VALUE"""),"SPR/26/05/042")</f>
        <v>SPR/26/05/042</v>
      </c>
      <c r="L3673" s="13">
        <f>IFERROR(__xludf.DUMMYFUNCTION("""COMPUTED_VALUE"""),46171.0)</f>
        <v>46171</v>
      </c>
    </row>
    <row r="3674">
      <c r="A3674" s="6" t="str">
        <f>IFERROR(__xludf.DUMMYFUNCTION("""COMPUTED_VALUE"""),"ERA")</f>
        <v>ERA</v>
      </c>
      <c r="B3674" s="6" t="str">
        <f>IFERROR(__xludf.DUMMYFUNCTION("""COMPUTED_VALUE"""),"ENG")</f>
        <v>ENG</v>
      </c>
      <c r="C3674" s="6" t="str">
        <f>IFERROR(__xludf.DUMMYFUNCTION("""COMPUTED_VALUE"""),"Q-10433-00")</f>
        <v>Q-10433-00</v>
      </c>
      <c r="D3674" s="6" t="str">
        <f>IFERROR(__xludf.DUMMYFUNCTION("""COMPUTED_VALUE"""),"Lampu Neon Philips TLD 15W/54-765 Cool Daylight; PHILIPS; TLD15W/54-765;")</f>
        <v>Lampu Neon Philips TLD 15W/54-765 Cool Daylight; PHILIPS; TLD15W/54-765;</v>
      </c>
      <c r="E3674" s="6">
        <f>IFERROR(__xludf.DUMMYFUNCTION("""COMPUTED_VALUE"""),1.0)</f>
        <v>1</v>
      </c>
      <c r="F3674" s="6">
        <f>IFERROR(__xludf.DUMMYFUNCTION("""COMPUTED_VALUE"""),1.0)</f>
        <v>1</v>
      </c>
      <c r="G3674" s="6">
        <f>IFERROR(__xludf.DUMMYFUNCTION("""COMPUTED_VALUE"""),0.0)</f>
        <v>0</v>
      </c>
      <c r="H3674" s="6" t="str">
        <f>IFERROR(__xludf.DUMMYFUNCTION("""COMPUTED_VALUE"""),"Pcs")</f>
        <v>Pcs</v>
      </c>
      <c r="I3674" s="6" t="str">
        <f>IFERROR(__xludf.DUMMYFUNCTION("""COMPUTED_VALUE"""),"MFH")</f>
        <v>MFH</v>
      </c>
      <c r="J3674" s="6" t="str">
        <f>IFERROR(__xludf.DUMMYFUNCTION("""COMPUTED_VALUE"""),"Building")</f>
        <v>Building</v>
      </c>
      <c r="K3674" s="6" t="str">
        <f>IFERROR(__xludf.DUMMYFUNCTION("""COMPUTED_VALUE"""),"SPR/26/05/043")</f>
        <v>SPR/26/05/043</v>
      </c>
      <c r="L3674" s="13">
        <f>IFERROR(__xludf.DUMMYFUNCTION("""COMPUTED_VALUE"""),46171.0)</f>
        <v>46171</v>
      </c>
    </row>
    <row r="3675">
      <c r="A3675" s="6" t="str">
        <f>IFERROR(__xludf.DUMMYFUNCTION("""COMPUTED_VALUE"""),"ERA")</f>
        <v>ERA</v>
      </c>
      <c r="B3675" s="6" t="str">
        <f>IFERROR(__xludf.DUMMYFUNCTION("""COMPUTED_VALUE"""),"ENG")</f>
        <v>ENG</v>
      </c>
      <c r="C3675" s="6" t="str">
        <f>IFERROR(__xludf.DUMMYFUNCTION("""COMPUTED_VALUE"""),"P-51560-00")</f>
        <v>P-51560-00</v>
      </c>
      <c r="D3675" s="6" t="str">
        <f>IFERROR(__xludf.DUMMYFUNCTION("""COMPUTED_VALUE"""),"Lampu T5 28watt Putih; Phillips; ;")</f>
        <v>Lampu T5 28watt Putih; Phillips; ;</v>
      </c>
      <c r="E3675" s="6">
        <f>IFERROR(__xludf.DUMMYFUNCTION("""COMPUTED_VALUE"""),1.0)</f>
        <v>1</v>
      </c>
      <c r="F3675" s="6">
        <f>IFERROR(__xludf.DUMMYFUNCTION("""COMPUTED_VALUE"""),1.0)</f>
        <v>1</v>
      </c>
      <c r="G3675" s="6">
        <f>IFERROR(__xludf.DUMMYFUNCTION("""COMPUTED_VALUE"""),0.0)</f>
        <v>0</v>
      </c>
      <c r="H3675" s="6" t="str">
        <f>IFERROR(__xludf.DUMMYFUNCTION("""COMPUTED_VALUE"""),"Pcs")</f>
        <v>Pcs</v>
      </c>
      <c r="I3675" s="6" t="str">
        <f>IFERROR(__xludf.DUMMYFUNCTION("""COMPUTED_VALUE"""),"MFH")</f>
        <v>MFH</v>
      </c>
      <c r="J3675" s="6" t="str">
        <f>IFERROR(__xludf.DUMMYFUNCTION("""COMPUTED_VALUE"""),"Building")</f>
        <v>Building</v>
      </c>
      <c r="K3675" s="6" t="str">
        <f>IFERROR(__xludf.DUMMYFUNCTION("""COMPUTED_VALUE"""),"SPR/26/05/043")</f>
        <v>SPR/26/05/043</v>
      </c>
      <c r="L3675" s="13">
        <f>IFERROR(__xludf.DUMMYFUNCTION("""COMPUTED_VALUE"""),46171.0)</f>
        <v>46171</v>
      </c>
    </row>
    <row r="3676">
      <c r="A3676" s="6" t="str">
        <f>IFERROR(__xludf.DUMMYFUNCTION("""COMPUTED_VALUE"""),"ROS")</f>
        <v>ROS</v>
      </c>
      <c r="B3676" s="6" t="str">
        <f>IFERROR(__xludf.DUMMYFUNCTION("""COMPUTED_VALUE"""),"ENG")</f>
        <v>ENG</v>
      </c>
      <c r="C3676" s="6" t="str">
        <f>IFERROR(__xludf.DUMMYFUNCTION("""COMPUTED_VALUE"""),"O-21428-00")</f>
        <v>O-21428-00</v>
      </c>
      <c r="D3676" s="6" t="str">
        <f>IFERROR(__xludf.DUMMYFUNCTION("""COMPUTED_VALUE"""),"PLAB Coating - Oring ID 51 OD 56 Tebal 2,5 EPDM; Custom/Lokal; -; 1 Pc")</f>
        <v>PLAB Coating - Oring ID 51 OD 56 Tebal 2,5 EPDM; Custom/Lokal; -; 1 Pc</v>
      </c>
      <c r="E3676" s="6">
        <f>IFERROR(__xludf.DUMMYFUNCTION("""COMPUTED_VALUE"""),1.0)</f>
        <v>1</v>
      </c>
      <c r="F3676" s="6">
        <f>IFERROR(__xludf.DUMMYFUNCTION("""COMPUTED_VALUE"""),1.0)</f>
        <v>1</v>
      </c>
      <c r="G3676" s="6">
        <f>IFERROR(__xludf.DUMMYFUNCTION("""COMPUTED_VALUE"""),0.0)</f>
        <v>0</v>
      </c>
      <c r="H3676" s="6" t="str">
        <f>IFERROR(__xludf.DUMMYFUNCTION("""COMPUTED_VALUE"""),"Pcs")</f>
        <v>Pcs</v>
      </c>
      <c r="I3676" s="6" t="str">
        <f>IFERROR(__xludf.DUMMYFUNCTION("""COMPUTED_VALUE"""),"MFH")</f>
        <v>MFH</v>
      </c>
      <c r="J3676" s="6" t="str">
        <f>IFERROR(__xludf.DUMMYFUNCTION("""COMPUTED_VALUE"""),"Coating")</f>
        <v>Coating</v>
      </c>
      <c r="K3676" s="6" t="str">
        <f>IFERROR(__xludf.DUMMYFUNCTION("""COMPUTED_VALUE"""),"SPR/26/05/044")</f>
        <v>SPR/26/05/044</v>
      </c>
      <c r="L3676" s="13">
        <f>IFERROR(__xludf.DUMMYFUNCTION("""COMPUTED_VALUE"""),46171.0)</f>
        <v>46171</v>
      </c>
    </row>
    <row r="3677">
      <c r="A3677" s="6" t="str">
        <f>IFERROR(__xludf.DUMMYFUNCTION("""COMPUTED_VALUE"""),"ROS")</f>
        <v>ROS</v>
      </c>
      <c r="B3677" s="6" t="str">
        <f>IFERROR(__xludf.DUMMYFUNCTION("""COMPUTED_VALUE"""),"ENG")</f>
        <v>ENG</v>
      </c>
      <c r="C3677" s="6" t="str">
        <f>IFERROR(__xludf.DUMMYFUNCTION("""COMPUTED_VALUE"""),"O-51773-00")</f>
        <v>O-51773-00</v>
      </c>
      <c r="D3677" s="6" t="str">
        <f>IFERROR(__xludf.DUMMYFUNCTION("""COMPUTED_VALUE"""),"WAGO 750-550 2-CHANNEL ANALOG OUTPUT MODULE STD PACK; ; ;")</f>
        <v>WAGO 750-550 2-CHANNEL ANALOG OUTPUT MODULE STD PACK; ; ;</v>
      </c>
      <c r="E3677" s="6">
        <f>IFERROR(__xludf.DUMMYFUNCTION("""COMPUTED_VALUE"""),1.0)</f>
        <v>1</v>
      </c>
      <c r="F3677" s="6">
        <f>IFERROR(__xludf.DUMMYFUNCTION("""COMPUTED_VALUE"""),1.0)</f>
        <v>1</v>
      </c>
      <c r="G3677" s="6">
        <f>IFERROR(__xludf.DUMMYFUNCTION("""COMPUTED_VALUE"""),0.0)</f>
        <v>0</v>
      </c>
      <c r="H3677" s="6" t="str">
        <f>IFERROR(__xludf.DUMMYFUNCTION("""COMPUTED_VALUE"""),"Pcs")</f>
        <v>Pcs</v>
      </c>
      <c r="I3677" s="6" t="str">
        <f>IFERROR(__xludf.DUMMYFUNCTION("""COMPUTED_VALUE"""),"MFH")</f>
        <v>MFH</v>
      </c>
      <c r="J3677" s="6" t="str">
        <f>IFERROR(__xludf.DUMMYFUNCTION("""COMPUTED_VALUE"""),"Tunnel")</f>
        <v>Tunnel</v>
      </c>
      <c r="K3677" s="6" t="str">
        <f>IFERROR(__xludf.DUMMYFUNCTION("""COMPUTED_VALUE"""),"SPR/26/05/045")</f>
        <v>SPR/26/05/045</v>
      </c>
      <c r="L3677" s="13">
        <f>IFERROR(__xludf.DUMMYFUNCTION("""COMPUTED_VALUE"""),46171.0)</f>
        <v>46171</v>
      </c>
    </row>
    <row r="3678">
      <c r="A3678" s="6" t="str">
        <f>IFERROR(__xludf.DUMMYFUNCTION("""COMPUTED_VALUE"""),"NDS")</f>
        <v>NDS</v>
      </c>
      <c r="B3678" s="6" t="str">
        <f>IFERROR(__xludf.DUMMYFUNCTION("""COMPUTED_VALUE"""),"ENG")</f>
        <v>ENG</v>
      </c>
      <c r="C3678" s="6" t="str">
        <f>IFERROR(__xludf.DUMMYFUNCTION("""COMPUTED_VALUE"""),"P-20660-00")</f>
        <v>P-20660-00</v>
      </c>
      <c r="D3678" s="6" t="str">
        <f>IFERROR(__xludf.DUMMYFUNCTION("""COMPUTED_VALUE"""),"General - Gas Spring FGSS22200B; Misumi; -; 1 pc")</f>
        <v>General - Gas Spring FGSS22200B; Misumi; -; 1 pc</v>
      </c>
      <c r="E3678" s="6">
        <f>IFERROR(__xludf.DUMMYFUNCTION("""COMPUTED_VALUE"""),1.0)</f>
        <v>1</v>
      </c>
      <c r="F3678" s="6">
        <f>IFERROR(__xludf.DUMMYFUNCTION("""COMPUTED_VALUE"""),2.0)</f>
        <v>2</v>
      </c>
      <c r="G3678" s="6">
        <f>IFERROR(__xludf.DUMMYFUNCTION("""COMPUTED_VALUE"""),0.0)</f>
        <v>0</v>
      </c>
      <c r="H3678" s="6" t="str">
        <f>IFERROR(__xludf.DUMMYFUNCTION("""COMPUTED_VALUE"""),"Pcs")</f>
        <v>Pcs</v>
      </c>
      <c r="I3678" s="6" t="str">
        <f>IFERROR(__xludf.DUMMYFUNCTION("""COMPUTED_VALUE"""),"MFH")</f>
        <v>MFH</v>
      </c>
      <c r="J3678" s="6" t="str">
        <f>IFERROR(__xludf.DUMMYFUNCTION("""COMPUTED_VALUE"""),"Dispensing")</f>
        <v>Dispensing</v>
      </c>
      <c r="K3678" s="6" t="str">
        <f>IFERROR(__xludf.DUMMYFUNCTION("""COMPUTED_VALUE"""),"SPR/26/05/046")</f>
        <v>SPR/26/05/046</v>
      </c>
      <c r="L3678" s="13">
        <f>IFERROR(__xludf.DUMMYFUNCTION("""COMPUTED_VALUE"""),46171.0)</f>
        <v>46171</v>
      </c>
    </row>
    <row r="3679">
      <c r="A3679" s="6" t="str">
        <f>IFERROR(__xludf.DUMMYFUNCTION("""COMPUTED_VALUE"""),"TGT")</f>
        <v>TGT</v>
      </c>
      <c r="B3679" s="6" t="str">
        <f>IFERROR(__xludf.DUMMYFUNCTION("""COMPUTED_VALUE"""),"ENG")</f>
        <v>ENG</v>
      </c>
      <c r="C3679" s="6" t="str">
        <f>IFERROR(__xludf.DUMMYFUNCTION("""COMPUTED_VALUE"""),"T-20123-00")</f>
        <v>T-20123-00</v>
      </c>
      <c r="D3679" s="6" t="str">
        <f>IFERROR(__xludf.DUMMYFUNCTION("""COMPUTED_VALUE"""),"Acquity PDA/TUV 2489/2998 Perf")</f>
        <v>Acquity PDA/TUV 2489/2998 Perf</v>
      </c>
      <c r="E3679" s="6">
        <f>IFERROR(__xludf.DUMMYFUNCTION("""COMPUTED_VALUE"""),2.0)</f>
        <v>2</v>
      </c>
      <c r="F3679" s="6">
        <f>IFERROR(__xludf.DUMMYFUNCTION("""COMPUTED_VALUE"""),2.0)</f>
        <v>2</v>
      </c>
      <c r="G3679" s="6">
        <f>IFERROR(__xludf.DUMMYFUNCTION("""COMPUTED_VALUE"""),0.0)</f>
        <v>0</v>
      </c>
      <c r="H3679" s="6" t="str">
        <f>IFERROR(__xludf.DUMMYFUNCTION("""COMPUTED_VALUE"""),"Pcs")</f>
        <v>Pcs</v>
      </c>
      <c r="I3679" s="6" t="str">
        <f>IFERROR(__xludf.DUMMYFUNCTION("""COMPUTED_VALUE"""),"MFH")</f>
        <v>MFH</v>
      </c>
      <c r="J3679" s="6" t="str">
        <f>IFERROR(__xludf.DUMMYFUNCTION("""COMPUTED_VALUE"""),"HPLC")</f>
        <v>HPLC</v>
      </c>
      <c r="K3679" s="6" t="str">
        <f>IFERROR(__xludf.DUMMYFUNCTION("""COMPUTED_VALUE"""),"SPR/26/05/047")</f>
        <v>SPR/26/05/047</v>
      </c>
      <c r="L3679" s="13">
        <f>IFERROR(__xludf.DUMMYFUNCTION("""COMPUTED_VALUE"""),46171.0)</f>
        <v>46171</v>
      </c>
    </row>
    <row r="3680">
      <c r="A3680" s="6" t="str">
        <f>IFERROR(__xludf.DUMMYFUNCTION("""COMPUTED_VALUE"""),"KFF")</f>
        <v>KFF</v>
      </c>
      <c r="B3680" s="6" t="str">
        <f>IFERROR(__xludf.DUMMYFUNCTION("""COMPUTED_VALUE"""),"ENG")</f>
        <v>ENG</v>
      </c>
      <c r="C3680" s="6" t="str">
        <f>IFERROR(__xludf.DUMMYFUNCTION("""COMPUTED_VALUE"""),"O-16032-00")</f>
        <v>O-16032-00</v>
      </c>
      <c r="D368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680" s="6">
        <f>IFERROR(__xludf.DUMMYFUNCTION("""COMPUTED_VALUE"""),1.0)</f>
        <v>1</v>
      </c>
      <c r="F3680" s="6">
        <f>IFERROR(__xludf.DUMMYFUNCTION("""COMPUTED_VALUE"""),1.0)</f>
        <v>1</v>
      </c>
      <c r="G3680" s="6">
        <f>IFERROR(__xludf.DUMMYFUNCTION("""COMPUTED_VALUE"""),0.0)</f>
        <v>0</v>
      </c>
      <c r="H3680" s="6" t="str">
        <f>IFERROR(__xludf.DUMMYFUNCTION("""COMPUTED_VALUE"""),"Pcs")</f>
        <v>Pcs</v>
      </c>
      <c r="I3680" s="6" t="str">
        <f>IFERROR(__xludf.DUMMYFUNCTION("""COMPUTED_VALUE"""),"MFH")</f>
        <v>MFH</v>
      </c>
      <c r="J3680" s="6" t="str">
        <f>IFERROR(__xludf.DUMMYFUNCTION("""COMPUTED_VALUE"""),"cRABS")</f>
        <v>cRABS</v>
      </c>
      <c r="K3680" s="6" t="str">
        <f>IFERROR(__xludf.DUMMYFUNCTION("""COMPUTED_VALUE"""),"SPR/26/05/048")</f>
        <v>SPR/26/05/048</v>
      </c>
      <c r="L3680" s="13">
        <f>IFERROR(__xludf.DUMMYFUNCTION("""COMPUTED_VALUE"""),46171.0)</f>
        <v>46171</v>
      </c>
    </row>
    <row r="3681">
      <c r="A3681" s="6" t="str">
        <f>IFERROR(__xludf.DUMMYFUNCTION("""COMPUTED_VALUE"""),"KFF")</f>
        <v>KFF</v>
      </c>
      <c r="B3681" s="6" t="str">
        <f>IFERROR(__xludf.DUMMYFUNCTION("""COMPUTED_VALUE"""),"ENG")</f>
        <v>ENG</v>
      </c>
      <c r="C3681" s="6" t="str">
        <f>IFERROR(__xludf.DUMMYFUNCTION("""COMPUTED_VALUE"""),"O-21486-00")</f>
        <v>O-21486-00</v>
      </c>
      <c r="D3681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3681" s="6">
        <f>IFERROR(__xludf.DUMMYFUNCTION("""COMPUTED_VALUE"""),1.0)</f>
        <v>1</v>
      </c>
      <c r="F3681" s="6">
        <f>IFERROR(__xludf.DUMMYFUNCTION("""COMPUTED_VALUE"""),1.0)</f>
        <v>1</v>
      </c>
      <c r="G3681" s="6">
        <f>IFERROR(__xludf.DUMMYFUNCTION("""COMPUTED_VALUE"""),0.0)</f>
        <v>0</v>
      </c>
      <c r="H3681" s="6" t="str">
        <f>IFERROR(__xludf.DUMMYFUNCTION("""COMPUTED_VALUE"""),"Pcs")</f>
        <v>Pcs</v>
      </c>
      <c r="I3681" s="6" t="str">
        <f>IFERROR(__xludf.DUMMYFUNCTION("""COMPUTED_VALUE"""),"MFH")</f>
        <v>MFH</v>
      </c>
      <c r="J3681" s="6" t="str">
        <f>IFERROR(__xludf.DUMMYFUNCTION("""COMPUTED_VALUE"""),"cRABS")</f>
        <v>cRABS</v>
      </c>
      <c r="K3681" s="6" t="str">
        <f>IFERROR(__xludf.DUMMYFUNCTION("""COMPUTED_VALUE"""),"SPR/26/05/048")</f>
        <v>SPR/26/05/048</v>
      </c>
      <c r="L3681" s="13">
        <f>IFERROR(__xludf.DUMMYFUNCTION("""COMPUTED_VALUE"""),46171.0)</f>
        <v>46171</v>
      </c>
    </row>
    <row r="3682">
      <c r="A3682" s="6" t="str">
        <f>IFERROR(__xludf.DUMMYFUNCTION("""COMPUTED_VALUE"""),"BDU")</f>
        <v>BDU</v>
      </c>
      <c r="B3682" s="6" t="str">
        <f>IFERROR(__xludf.DUMMYFUNCTION("""COMPUTED_VALUE"""),"ENG")</f>
        <v>ENG</v>
      </c>
      <c r="C3682" s="6" t="str">
        <f>IFERROR(__xludf.DUMMYFUNCTION("""COMPUTED_VALUE"""),"P-11431-00")</f>
        <v>P-11431-00</v>
      </c>
      <c r="D3682" s="6" t="str">
        <f>IFERROR(__xludf.DUMMYFUNCTION("""COMPUTED_VALUE"""),"General - Plastic Tubing, PUN-H-8X1,25-BL; Festo; 197385; 1 m")</f>
        <v>General - Plastic Tubing, PUN-H-8X1,25-BL; Festo; 197385; 1 m</v>
      </c>
      <c r="E3682" s="6">
        <f>IFERROR(__xludf.DUMMYFUNCTION("""COMPUTED_VALUE"""),4.0)</f>
        <v>4</v>
      </c>
      <c r="F3682" s="6">
        <f>IFERROR(__xludf.DUMMYFUNCTION("""COMPUTED_VALUE"""),15.0)</f>
        <v>15</v>
      </c>
      <c r="G3682" s="6">
        <f>IFERROR(__xludf.DUMMYFUNCTION("""COMPUTED_VALUE"""),0.0)</f>
        <v>0</v>
      </c>
      <c r="H3682" s="6" t="str">
        <f>IFERROR(__xludf.DUMMYFUNCTION("""COMPUTED_VALUE"""),"Pcs")</f>
        <v>Pcs</v>
      </c>
      <c r="I3682" s="6" t="str">
        <f>IFERROR(__xludf.DUMMYFUNCTION("""COMPUTED_VALUE"""),"MFH")</f>
        <v>MFH</v>
      </c>
      <c r="J3682" s="6" t="str">
        <f>IFERROR(__xludf.DUMMYFUNCTION("""COMPUTED_VALUE"""),"SKAN")</f>
        <v>SKAN</v>
      </c>
      <c r="K3682" s="6" t="str">
        <f>IFERROR(__xludf.DUMMYFUNCTION("""COMPUTED_VALUE"""),"SPR/26/05/049")</f>
        <v>SPR/26/05/049</v>
      </c>
      <c r="L3682" s="13">
        <f>IFERROR(__xludf.DUMMYFUNCTION("""COMPUTED_VALUE"""),46171.0)</f>
        <v>46171</v>
      </c>
    </row>
    <row r="3683">
      <c r="A3683" s="6" t="str">
        <f>IFERROR(__xludf.DUMMYFUNCTION("""COMPUTED_VALUE"""),"BDU")</f>
        <v>BDU</v>
      </c>
      <c r="B3683" s="6" t="str">
        <f>IFERROR(__xludf.DUMMYFUNCTION("""COMPUTED_VALUE"""),"ENG")</f>
        <v>ENG</v>
      </c>
      <c r="C3683" s="6" t="str">
        <f>IFERROR(__xludf.DUMMYFUNCTION("""COMPUTED_VALUE"""),"P-14948-00")</f>
        <v>P-14948-00</v>
      </c>
      <c r="D3683" s="6" t="str">
        <f>IFERROR(__xludf.DUMMYFUNCTION("""COMPUTED_VALUE"""),"Fitting Male Elbow KQ2L08-02AS; ; ;")</f>
        <v>Fitting Male Elbow KQ2L08-02AS; ; ;</v>
      </c>
      <c r="E3683" s="6">
        <f>IFERROR(__xludf.DUMMYFUNCTION("""COMPUTED_VALUE"""),1.0)</f>
        <v>1</v>
      </c>
      <c r="F3683" s="6">
        <f>IFERROR(__xludf.DUMMYFUNCTION("""COMPUTED_VALUE"""),1.0)</f>
        <v>1</v>
      </c>
      <c r="G3683" s="6">
        <f>IFERROR(__xludf.DUMMYFUNCTION("""COMPUTED_VALUE"""),0.0)</f>
        <v>0</v>
      </c>
      <c r="H3683" s="6" t="str">
        <f>IFERROR(__xludf.DUMMYFUNCTION("""COMPUTED_VALUE"""),"Pcs")</f>
        <v>Pcs</v>
      </c>
      <c r="I3683" s="6" t="str">
        <f>IFERROR(__xludf.DUMMYFUNCTION("""COMPUTED_VALUE"""),"MFH")</f>
        <v>MFH</v>
      </c>
      <c r="J3683" s="6" t="str">
        <f>IFERROR(__xludf.DUMMYFUNCTION("""COMPUTED_VALUE"""),"SKAN")</f>
        <v>SKAN</v>
      </c>
      <c r="K3683" s="6" t="str">
        <f>IFERROR(__xludf.DUMMYFUNCTION("""COMPUTED_VALUE"""),"SPR/26/05/049")</f>
        <v>SPR/26/05/049</v>
      </c>
      <c r="L3683" s="13">
        <f>IFERROR(__xludf.DUMMYFUNCTION("""COMPUTED_VALUE"""),46171.0)</f>
        <v>46171</v>
      </c>
    </row>
    <row r="3684">
      <c r="A3684" s="6" t="str">
        <f>IFERROR(__xludf.DUMMYFUNCTION("""COMPUTED_VALUE"""),"BDU")</f>
        <v>BDU</v>
      </c>
      <c r="B3684" s="6" t="str">
        <f>IFERROR(__xludf.DUMMYFUNCTION("""COMPUTED_VALUE"""),"ENG")</f>
        <v>ENG</v>
      </c>
      <c r="C3684" s="6" t="str">
        <f>IFERROR(__xludf.DUMMYFUNCTION("""COMPUTED_VALUE"""),"O-21486-00")</f>
        <v>O-21486-00</v>
      </c>
      <c r="D3684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3684" s="6">
        <f>IFERROR(__xludf.DUMMYFUNCTION("""COMPUTED_VALUE"""),1.0)</f>
        <v>1</v>
      </c>
      <c r="F3684" s="6">
        <f>IFERROR(__xludf.DUMMYFUNCTION("""COMPUTED_VALUE"""),1.0)</f>
        <v>1</v>
      </c>
      <c r="G3684" s="6">
        <f>IFERROR(__xludf.DUMMYFUNCTION("""COMPUTED_VALUE"""),0.0)</f>
        <v>0</v>
      </c>
      <c r="H3684" s="6" t="str">
        <f>IFERROR(__xludf.DUMMYFUNCTION("""COMPUTED_VALUE"""),"Pcs")</f>
        <v>Pcs</v>
      </c>
      <c r="I3684" s="6" t="str">
        <f>IFERROR(__xludf.DUMMYFUNCTION("""COMPUTED_VALUE"""),"MFH")</f>
        <v>MFH</v>
      </c>
      <c r="J3684" s="6" t="str">
        <f>IFERROR(__xludf.DUMMYFUNCTION("""COMPUTED_VALUE"""),"SKAN")</f>
        <v>SKAN</v>
      </c>
      <c r="K3684" s="6" t="str">
        <f>IFERROR(__xludf.DUMMYFUNCTION("""COMPUTED_VALUE"""),"SPR/26/05/049")</f>
        <v>SPR/26/05/049</v>
      </c>
      <c r="L3684" s="13">
        <f>IFERROR(__xludf.DUMMYFUNCTION("""COMPUTED_VALUE"""),46171.0)</f>
        <v>46171</v>
      </c>
    </row>
    <row r="3685">
      <c r="A3685" s="6" t="str">
        <f>IFERROR(__xludf.DUMMYFUNCTION("""COMPUTED_VALUE"""),"ROS")</f>
        <v>ROS</v>
      </c>
      <c r="B3685" s="6" t="str">
        <f>IFERROR(__xludf.DUMMYFUNCTION("""COMPUTED_VALUE"""),"ENG")</f>
        <v>ENG</v>
      </c>
      <c r="C3685" s="6" t="str">
        <f>IFERROR(__xludf.DUMMYFUNCTION("""COMPUTED_VALUE"""),"O-21486-00")</f>
        <v>O-21486-00</v>
      </c>
      <c r="D3685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3685" s="6">
        <f>IFERROR(__xludf.DUMMYFUNCTION("""COMPUTED_VALUE"""),4.0)</f>
        <v>4</v>
      </c>
      <c r="F3685" s="6">
        <f>IFERROR(__xludf.DUMMYFUNCTION("""COMPUTED_VALUE"""),4.0)</f>
        <v>4</v>
      </c>
      <c r="G3685" s="6">
        <f>IFERROR(__xludf.DUMMYFUNCTION("""COMPUTED_VALUE"""),0.0)</f>
        <v>0</v>
      </c>
      <c r="H3685" s="6" t="str">
        <f>IFERROR(__xludf.DUMMYFUNCTION("""COMPUTED_VALUE"""),"Pcs")</f>
        <v>Pcs</v>
      </c>
      <c r="I3685" s="6" t="str">
        <f>IFERROR(__xludf.DUMMYFUNCTION("""COMPUTED_VALUE"""),"MFH")</f>
        <v>MFH</v>
      </c>
      <c r="J3685" s="6" t="str">
        <f>IFERROR(__xludf.DUMMYFUNCTION("""COMPUTED_VALUE"""),"Dispensing")</f>
        <v>Dispensing</v>
      </c>
      <c r="K3685" s="6" t="str">
        <f>IFERROR(__xludf.DUMMYFUNCTION("""COMPUTED_VALUE"""),"SPR/26/05/050")</f>
        <v>SPR/26/05/050</v>
      </c>
      <c r="L3685" s="13">
        <f>IFERROR(__xludf.DUMMYFUNCTION("""COMPUTED_VALUE"""),46171.0)</f>
        <v>46171</v>
      </c>
    </row>
    <row r="3686">
      <c r="A3686" s="6" t="str">
        <f>IFERROR(__xludf.DUMMYFUNCTION("""COMPUTED_VALUE"""),"NDS")</f>
        <v>NDS</v>
      </c>
      <c r="B3686" s="6" t="str">
        <f>IFERROR(__xludf.DUMMYFUNCTION("""COMPUTED_VALUE"""),"ENG")</f>
        <v>ENG</v>
      </c>
      <c r="C3686" s="6" t="str">
        <f>IFERROR(__xludf.DUMMYFUNCTION("""COMPUTED_VALUE"""),"O-16647-00")</f>
        <v>O-16647-00</v>
      </c>
      <c r="D3686" s="6" t="str">
        <f>IFERROR(__xludf.DUMMYFUNCTION("""COMPUTED_VALUE"""),"Washing RAR4 - Oring Silicone Merah 23x18x2.5 mm; ; ;")</f>
        <v>Washing RAR4 - Oring Silicone Merah 23x18x2.5 mm; ; ;</v>
      </c>
      <c r="E3686" s="6">
        <f>IFERROR(__xludf.DUMMYFUNCTION("""COMPUTED_VALUE"""),10.0)</f>
        <v>10</v>
      </c>
      <c r="F3686" s="6">
        <f>IFERROR(__xludf.DUMMYFUNCTION("""COMPUTED_VALUE"""),10.0)</f>
        <v>10</v>
      </c>
      <c r="G3686" s="6">
        <f>IFERROR(__xludf.DUMMYFUNCTION("""COMPUTED_VALUE"""),0.0)</f>
        <v>0</v>
      </c>
      <c r="H3686" s="6" t="str">
        <f>IFERROR(__xludf.DUMMYFUNCTION("""COMPUTED_VALUE"""),"Pcs")</f>
        <v>Pcs</v>
      </c>
      <c r="I3686" s="6" t="str">
        <f>IFERROR(__xludf.DUMMYFUNCTION("""COMPUTED_VALUE"""),"MFH")</f>
        <v>MFH</v>
      </c>
      <c r="J3686" s="6" t="str">
        <f>IFERROR(__xludf.DUMMYFUNCTION("""COMPUTED_VALUE"""),"Capping")</f>
        <v>Capping</v>
      </c>
      <c r="K3686" s="6" t="str">
        <f>IFERROR(__xludf.DUMMYFUNCTION("""COMPUTED_VALUE"""),"SPR/26/05/051")</f>
        <v>SPR/26/05/051</v>
      </c>
      <c r="L3686" s="13">
        <f>IFERROR(__xludf.DUMMYFUNCTION("""COMPUTED_VALUE"""),46171.0)</f>
        <v>46171</v>
      </c>
    </row>
    <row r="3687">
      <c r="A3687" s="6" t="str">
        <f>IFERROR(__xludf.DUMMYFUNCTION("""COMPUTED_VALUE"""),"NDS")</f>
        <v>NDS</v>
      </c>
      <c r="B3687" s="6" t="str">
        <f>IFERROR(__xludf.DUMMYFUNCTION("""COMPUTED_VALUE"""),"ENG")</f>
        <v>ENG</v>
      </c>
      <c r="C3687" s="6" t="str">
        <f>IFERROR(__xludf.DUMMYFUNCTION("""COMPUTED_VALUE"""),"O-16725-00")</f>
        <v>O-16725-00</v>
      </c>
      <c r="D3687" s="6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E3687" s="6">
        <f>IFERROR(__xludf.DUMMYFUNCTION("""COMPUTED_VALUE"""),1.0)</f>
        <v>1</v>
      </c>
      <c r="F3687" s="6">
        <f>IFERROR(__xludf.DUMMYFUNCTION("""COMPUTED_VALUE"""),1.0)</f>
        <v>1</v>
      </c>
      <c r="G3687" s="6">
        <f>IFERROR(__xludf.DUMMYFUNCTION("""COMPUTED_VALUE"""),0.0)</f>
        <v>0</v>
      </c>
      <c r="H3687" s="6" t="str">
        <f>IFERROR(__xludf.DUMMYFUNCTION("""COMPUTED_VALUE"""),"Pcs")</f>
        <v>Pcs</v>
      </c>
      <c r="I3687" s="6" t="str">
        <f>IFERROR(__xludf.DUMMYFUNCTION("""COMPUTED_VALUE"""),"MFH")</f>
        <v>MFH</v>
      </c>
      <c r="J3687" s="6" t="str">
        <f>IFERROR(__xludf.DUMMYFUNCTION("""COMPUTED_VALUE"""),"Tunnel")</f>
        <v>Tunnel</v>
      </c>
      <c r="K3687" s="6" t="str">
        <f>IFERROR(__xludf.DUMMYFUNCTION("""COMPUTED_VALUE"""),"SPR/26/05/051")</f>
        <v>SPR/26/05/051</v>
      </c>
      <c r="L3687" s="13">
        <f>IFERROR(__xludf.DUMMYFUNCTION("""COMPUTED_VALUE"""),46171.0)</f>
        <v>46171</v>
      </c>
    </row>
    <row r="3688">
      <c r="A3688" s="6" t="str">
        <f>IFERROR(__xludf.DUMMYFUNCTION("""COMPUTED_VALUE"""),"NDS")</f>
        <v>NDS</v>
      </c>
      <c r="B3688" s="6" t="str">
        <f>IFERROR(__xludf.DUMMYFUNCTION("""COMPUTED_VALUE"""),"ENG")</f>
        <v>ENG</v>
      </c>
      <c r="C3688" s="6" t="str">
        <f>IFERROR(__xludf.DUMMYFUNCTION("""COMPUTED_VALUE"""),"P-10945-00")</f>
        <v>P-10945-00</v>
      </c>
      <c r="D3688" s="6" t="str">
        <f>IFERROR(__xludf.DUMMYFUNCTION("""COMPUTED_VALUE"""),"Insulation - Seal Tape onda")</f>
        <v>Insulation - Seal Tape onda</v>
      </c>
      <c r="E3688" s="6">
        <f>IFERROR(__xludf.DUMMYFUNCTION("""COMPUTED_VALUE"""),1.0)</f>
        <v>1</v>
      </c>
      <c r="F3688" s="6">
        <f>IFERROR(__xludf.DUMMYFUNCTION("""COMPUTED_VALUE"""),1.0)</f>
        <v>1</v>
      </c>
      <c r="G3688" s="6">
        <f>IFERROR(__xludf.DUMMYFUNCTION("""COMPUTED_VALUE"""),0.0)</f>
        <v>0</v>
      </c>
      <c r="H3688" s="6" t="str">
        <f>IFERROR(__xludf.DUMMYFUNCTION("""COMPUTED_VALUE"""),"Pcs")</f>
        <v>Pcs</v>
      </c>
      <c r="I3688" s="6" t="str">
        <f>IFERROR(__xludf.DUMMYFUNCTION("""COMPUTED_VALUE"""),"MFH")</f>
        <v>MFH</v>
      </c>
      <c r="J3688" s="6" t="str">
        <f>IFERROR(__xludf.DUMMYFUNCTION("""COMPUTED_VALUE"""),"Tunnel")</f>
        <v>Tunnel</v>
      </c>
      <c r="K3688" s="6" t="str">
        <f>IFERROR(__xludf.DUMMYFUNCTION("""COMPUTED_VALUE"""),"SPR/26/05/051")</f>
        <v>SPR/26/05/051</v>
      </c>
      <c r="L3688" s="13">
        <f>IFERROR(__xludf.DUMMYFUNCTION("""COMPUTED_VALUE"""),46171.0)</f>
        <v>46171</v>
      </c>
    </row>
    <row r="3689">
      <c r="A3689" s="6" t="str">
        <f>IFERROR(__xludf.DUMMYFUNCTION("""COMPUTED_VALUE"""),"RIA")</f>
        <v>RIA</v>
      </c>
      <c r="B3689" s="6" t="str">
        <f>IFERROR(__xludf.DUMMYFUNCTION("""COMPUTED_VALUE"""),"ENG")</f>
        <v>ENG</v>
      </c>
      <c r="C3689" s="6" t="str">
        <f>IFERROR(__xludf.DUMMYFUNCTION("""COMPUTED_VALUE"""),"T-12311-00")</f>
        <v>T-12311-00</v>
      </c>
      <c r="D3689" s="6" t="str">
        <f>IFERROR(__xludf.DUMMYFUNCTION("""COMPUTED_VALUE"""),"Thermal Paste for Processor/CPU; ; ;")</f>
        <v>Thermal Paste for Processor/CPU; ; ;</v>
      </c>
      <c r="E3689" s="6">
        <f>IFERROR(__xludf.DUMMYFUNCTION("""COMPUTED_VALUE"""),1.0)</f>
        <v>1</v>
      </c>
      <c r="F3689" s="6">
        <f>IFERROR(__xludf.DUMMYFUNCTION("""COMPUTED_VALUE"""),1.0)</f>
        <v>1</v>
      </c>
      <c r="G3689" s="6">
        <f>IFERROR(__xludf.DUMMYFUNCTION("""COMPUTED_VALUE"""),0.0)</f>
        <v>0</v>
      </c>
      <c r="H3689" s="6" t="str">
        <f>IFERROR(__xludf.DUMMYFUNCTION("""COMPUTED_VALUE"""),"Pcs")</f>
        <v>Pcs</v>
      </c>
      <c r="I3689" s="6" t="str">
        <f>IFERROR(__xludf.DUMMYFUNCTION("""COMPUTED_VALUE"""),"MFH")</f>
        <v>MFH</v>
      </c>
      <c r="J3689" s="6" t="str">
        <f>IFERROR(__xludf.DUMMYFUNCTION("""COMPUTED_VALUE"""),"-")</f>
        <v>-</v>
      </c>
      <c r="K3689" s="6" t="str">
        <f>IFERROR(__xludf.DUMMYFUNCTION("""COMPUTED_VALUE"""),"SPR/26/05/052")</f>
        <v>SPR/26/05/052</v>
      </c>
      <c r="L3689" s="13">
        <f>IFERROR(__xludf.DUMMYFUNCTION("""COMPUTED_VALUE"""),46171.0)</f>
        <v>46171</v>
      </c>
    </row>
    <row r="3690">
      <c r="A3690" s="6" t="str">
        <f>IFERROR(__xludf.DUMMYFUNCTION("""COMPUTED_VALUE"""),"ROS")</f>
        <v>ROS</v>
      </c>
      <c r="B3690" s="6" t="str">
        <f>IFERROR(__xludf.DUMMYFUNCTION("""COMPUTED_VALUE"""),"ENG")</f>
        <v>ENG</v>
      </c>
      <c r="C3690" s="6" t="str">
        <f>IFERROR(__xludf.DUMMYFUNCTION("""COMPUTED_VALUE"""),"O-14639-00")</f>
        <v>O-14639-00</v>
      </c>
      <c r="D3690" s="6" t="str">
        <f>IFERROR(__xludf.DUMMYFUNCTION("""COMPUTED_VALUE"""),"General - EPDM Gasket for Ferrule dia. 1/2""; -; -; 1 pc")</f>
        <v>General - EPDM Gasket for Ferrule dia. 1/2"; -; -; 1 pc</v>
      </c>
      <c r="E3690" s="6">
        <f>IFERROR(__xludf.DUMMYFUNCTION("""COMPUTED_VALUE"""),3.0)</f>
        <v>3</v>
      </c>
      <c r="F3690" s="6">
        <f>IFERROR(__xludf.DUMMYFUNCTION("""COMPUTED_VALUE"""),3.0)</f>
        <v>3</v>
      </c>
      <c r="G3690" s="6">
        <f>IFERROR(__xludf.DUMMYFUNCTION("""COMPUTED_VALUE"""),0.0)</f>
        <v>0</v>
      </c>
      <c r="H3690" s="6" t="str">
        <f>IFERROR(__xludf.DUMMYFUNCTION("""COMPUTED_VALUE"""),"Pcs")</f>
        <v>Pcs</v>
      </c>
      <c r="I3690" s="6" t="str">
        <f>IFERROR(__xludf.DUMMYFUNCTION("""COMPUTED_VALUE"""),"MFH")</f>
        <v>MFH</v>
      </c>
      <c r="J3690" s="6" t="str">
        <f>IFERROR(__xludf.DUMMYFUNCTION("""COMPUTED_VALUE"""),"Tunnel")</f>
        <v>Tunnel</v>
      </c>
      <c r="K3690" s="6" t="str">
        <f>IFERROR(__xludf.DUMMYFUNCTION("""COMPUTED_VALUE"""),"SPR/26/05/053")</f>
        <v>SPR/26/05/053</v>
      </c>
      <c r="L3690" s="13">
        <f>IFERROR(__xludf.DUMMYFUNCTION("""COMPUTED_VALUE"""),46171.0)</f>
        <v>46171</v>
      </c>
    </row>
    <row r="3691">
      <c r="A3691" s="6" t="str">
        <f>IFERROR(__xludf.DUMMYFUNCTION("""COMPUTED_VALUE"""),"ROS")</f>
        <v>ROS</v>
      </c>
      <c r="B3691" s="6" t="str">
        <f>IFERROR(__xludf.DUMMYFUNCTION("""COMPUTED_VALUE"""),"ENG")</f>
        <v>ENG</v>
      </c>
      <c r="C3691" s="6" t="str">
        <f>IFERROR(__xludf.DUMMYFUNCTION("""COMPUTED_VALUE"""),"P-19846-00")</f>
        <v>P-19846-00</v>
      </c>
      <c r="D3691" s="6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E3691" s="6">
        <f>IFERROR(__xludf.DUMMYFUNCTION("""COMPUTED_VALUE"""),1.0)</f>
        <v>1</v>
      </c>
      <c r="F3691" s="6">
        <f>IFERROR(__xludf.DUMMYFUNCTION("""COMPUTED_VALUE"""),1.0)</f>
        <v>1</v>
      </c>
      <c r="G3691" s="6">
        <f>IFERROR(__xludf.DUMMYFUNCTION("""COMPUTED_VALUE"""),0.0)</f>
        <v>0</v>
      </c>
      <c r="H3691" s="6" t="str">
        <f>IFERROR(__xludf.DUMMYFUNCTION("""COMPUTED_VALUE"""),"Pcs")</f>
        <v>Pcs</v>
      </c>
      <c r="I3691" s="6" t="str">
        <f>IFERROR(__xludf.DUMMYFUNCTION("""COMPUTED_VALUE"""),"MFH")</f>
        <v>MFH</v>
      </c>
      <c r="J3691" s="6" t="str">
        <f>IFERROR(__xludf.DUMMYFUNCTION("""COMPUTED_VALUE"""),"Tunnel")</f>
        <v>Tunnel</v>
      </c>
      <c r="K3691" s="6" t="str">
        <f>IFERROR(__xludf.DUMMYFUNCTION("""COMPUTED_VALUE"""),"SPR/26/05/053")</f>
        <v>SPR/26/05/053</v>
      </c>
      <c r="L3691" s="13">
        <f>IFERROR(__xludf.DUMMYFUNCTION("""COMPUTED_VALUE"""),46171.0)</f>
        <v>46171</v>
      </c>
    </row>
    <row r="3692">
      <c r="A3692" s="6" t="str">
        <f>IFERROR(__xludf.DUMMYFUNCTION("""COMPUTED_VALUE"""),"ERA")</f>
        <v>ERA</v>
      </c>
      <c r="B3692" s="6" t="str">
        <f>IFERROR(__xludf.DUMMYFUNCTION("""COMPUTED_VALUE"""),"ENG")</f>
        <v>ENG</v>
      </c>
      <c r="C3692" s="6" t="str">
        <f>IFERROR(__xludf.DUMMYFUNCTION("""COMPUTED_VALUE"""),"P-10729-00")</f>
        <v>P-10729-00</v>
      </c>
      <c r="D3692" s="6" t="str">
        <f>IFERROR(__xludf.DUMMYFUNCTION("""COMPUTED_VALUE"""),"Contact cleaner WD 40, 382 gr ; Brand : - ; P/N : - ; Pack Size : pcs")</f>
        <v>Contact cleaner WD 40, 382 gr ; Brand : - ; P/N : - ; Pack Size : pcs</v>
      </c>
      <c r="E3692" s="6">
        <f>IFERROR(__xludf.DUMMYFUNCTION("""COMPUTED_VALUE"""),1.0)</f>
        <v>1</v>
      </c>
      <c r="F3692" s="6">
        <f>IFERROR(__xludf.DUMMYFUNCTION("""COMPUTED_VALUE"""),1.0)</f>
        <v>1</v>
      </c>
      <c r="G3692" s="6">
        <f>IFERROR(__xludf.DUMMYFUNCTION("""COMPUTED_VALUE"""),0.0)</f>
        <v>0</v>
      </c>
      <c r="H3692" s="6" t="str">
        <f>IFERROR(__xludf.DUMMYFUNCTION("""COMPUTED_VALUE"""),"Pcs")</f>
        <v>Pcs</v>
      </c>
      <c r="I3692" s="6" t="str">
        <f>IFERROR(__xludf.DUMMYFUNCTION("""COMPUTED_VALUE"""),"MFH")</f>
        <v>MFH</v>
      </c>
      <c r="J3692" s="6" t="str">
        <f>IFERROR(__xludf.DUMMYFUNCTION("""COMPUTED_VALUE"""),"-")</f>
        <v>-</v>
      </c>
      <c r="K3692" s="6" t="str">
        <f>IFERROR(__xludf.DUMMYFUNCTION("""COMPUTED_VALUE"""),"SPR/26/05/054")</f>
        <v>SPR/26/05/054</v>
      </c>
      <c r="L3692" s="13">
        <f>IFERROR(__xludf.DUMMYFUNCTION("""COMPUTED_VALUE"""),46171.0)</f>
        <v>46171</v>
      </c>
    </row>
    <row r="3693">
      <c r="A3693" s="6" t="str">
        <f>IFERROR(__xludf.DUMMYFUNCTION("""COMPUTED_VALUE"""),"ERA")</f>
        <v>ERA</v>
      </c>
      <c r="B3693" s="6" t="str">
        <f>IFERROR(__xludf.DUMMYFUNCTION("""COMPUTED_VALUE"""),"ENG")</f>
        <v>ENG</v>
      </c>
      <c r="C3693" s="6" t="str">
        <f>IFERROR(__xludf.DUMMYFUNCTION("""COMPUTED_VALUE"""),"Q-70072-00")</f>
        <v>Q-70072-00</v>
      </c>
      <c r="D3693" s="6" t="str">
        <f>IFERROR(__xludf.DUMMYFUNCTION("""COMPUTED_VALUE"""),"Dynabolt Beton M12x70; M12; M12x70;")</f>
        <v>Dynabolt Beton M12x70; M12; M12x70;</v>
      </c>
      <c r="E3693" s="6">
        <f>IFERROR(__xludf.DUMMYFUNCTION("""COMPUTED_VALUE"""),8.0)</f>
        <v>8</v>
      </c>
      <c r="F3693" s="6">
        <f>IFERROR(__xludf.DUMMYFUNCTION("""COMPUTED_VALUE"""),8.0)</f>
        <v>8</v>
      </c>
      <c r="G3693" s="6">
        <f>IFERROR(__xludf.DUMMYFUNCTION("""COMPUTED_VALUE"""),0.0)</f>
        <v>0</v>
      </c>
      <c r="H3693" s="6" t="str">
        <f>IFERROR(__xludf.DUMMYFUNCTION("""COMPUTED_VALUE"""),"Pcs")</f>
        <v>Pcs</v>
      </c>
      <c r="I3693" s="6" t="str">
        <f>IFERROR(__xludf.DUMMYFUNCTION("""COMPUTED_VALUE"""),"MFH")</f>
        <v>MFH</v>
      </c>
      <c r="J3693" s="6" t="str">
        <f>IFERROR(__xludf.DUMMYFUNCTION("""COMPUTED_VALUE"""),"AHU")</f>
        <v>AHU</v>
      </c>
      <c r="K3693" s="6" t="str">
        <f>IFERROR(__xludf.DUMMYFUNCTION("""COMPUTED_VALUE"""),"SPR/26/05/054")</f>
        <v>SPR/26/05/054</v>
      </c>
      <c r="L3693" s="13">
        <f>IFERROR(__xludf.DUMMYFUNCTION("""COMPUTED_VALUE"""),46171.0)</f>
        <v>46171</v>
      </c>
    </row>
    <row r="3694">
      <c r="A3694" s="6" t="str">
        <f>IFERROR(__xludf.DUMMYFUNCTION("""COMPUTED_VALUE"""),"ERA")</f>
        <v>ERA</v>
      </c>
      <c r="B3694" s="6" t="str">
        <f>IFERROR(__xludf.DUMMYFUNCTION("""COMPUTED_VALUE"""),"ENG")</f>
        <v>ENG</v>
      </c>
      <c r="C3694" s="6" t="str">
        <f>IFERROR(__xludf.DUMMYFUNCTION("""COMPUTED_VALUE"""),"P-54370-00")</f>
        <v>P-54370-00</v>
      </c>
      <c r="D3694" s="6" t="str">
        <f>IFERROR(__xludf.DUMMYFUNCTION("""COMPUTED_VALUE"""),"General - Lampu Indikator 24V 5W 1kaki; Hella; -; 10pcs/box")</f>
        <v>General - Lampu Indikator 24V 5W 1kaki; Hella; -; 10pcs/box</v>
      </c>
      <c r="E3694" s="6">
        <f>IFERROR(__xludf.DUMMYFUNCTION("""COMPUTED_VALUE"""),1.0)</f>
        <v>1</v>
      </c>
      <c r="F3694" s="6">
        <f>IFERROR(__xludf.DUMMYFUNCTION("""COMPUTED_VALUE"""),1.0)</f>
        <v>1</v>
      </c>
      <c r="G3694" s="6">
        <f>IFERROR(__xludf.DUMMYFUNCTION("""COMPUTED_VALUE"""),0.0)</f>
        <v>0</v>
      </c>
      <c r="H3694" s="6" t="str">
        <f>IFERROR(__xludf.DUMMYFUNCTION("""COMPUTED_VALUE"""),"Pcs")</f>
        <v>Pcs</v>
      </c>
      <c r="I3694" s="6" t="str">
        <f>IFERROR(__xludf.DUMMYFUNCTION("""COMPUTED_VALUE"""),"MFH")</f>
        <v>MFH</v>
      </c>
      <c r="J3694" s="6" t="str">
        <f>IFERROR(__xludf.DUMMYFUNCTION("""COMPUTED_VALUE"""),"AHU")</f>
        <v>AHU</v>
      </c>
      <c r="K3694" s="6" t="str">
        <f>IFERROR(__xludf.DUMMYFUNCTION("""COMPUTED_VALUE"""),"SPR/26/05/054")</f>
        <v>SPR/26/05/054</v>
      </c>
      <c r="L3694" s="13">
        <f>IFERROR(__xludf.DUMMYFUNCTION("""COMPUTED_VALUE"""),46171.0)</f>
        <v>46171</v>
      </c>
    </row>
    <row r="3695">
      <c r="A3695" s="6" t="str">
        <f>IFERROR(__xludf.DUMMYFUNCTION("""COMPUTED_VALUE"""),"ROS")</f>
        <v>ROS</v>
      </c>
      <c r="B3695" s="6" t="str">
        <f>IFERROR(__xludf.DUMMYFUNCTION("""COMPUTED_VALUE"""),"ENG")</f>
        <v>ENG</v>
      </c>
      <c r="C3695" s="6" t="str">
        <f>IFERROR(__xludf.DUMMYFUNCTION("""COMPUTED_VALUE"""),"-")</f>
        <v>-</v>
      </c>
      <c r="D3695" s="6" t="str">
        <f>IFERROR(__xludf.DUMMYFUNCTION("""COMPUTED_VALUE"""),"Fuse 0,5A 240V")</f>
        <v>Fuse 0,5A 240V</v>
      </c>
      <c r="E3695" s="6">
        <f>IFERROR(__xludf.DUMMYFUNCTION("""COMPUTED_VALUE"""),1.0)</f>
        <v>1</v>
      </c>
      <c r="F3695" s="6">
        <f>IFERROR(__xludf.DUMMYFUNCTION("""COMPUTED_VALUE"""),1.0)</f>
        <v>1</v>
      </c>
      <c r="G3695" s="6">
        <f>IFERROR(__xludf.DUMMYFUNCTION("""COMPUTED_VALUE"""),0.0)</f>
        <v>0</v>
      </c>
      <c r="H3695" s="6" t="str">
        <f>IFERROR(__xludf.DUMMYFUNCTION("""COMPUTED_VALUE"""),"Pcs")</f>
        <v>Pcs</v>
      </c>
      <c r="I3695" s="6" t="str">
        <f>IFERROR(__xludf.DUMMYFUNCTION("""COMPUTED_VALUE"""),"MFH")</f>
        <v>MFH</v>
      </c>
      <c r="J3695" s="6" t="str">
        <f>IFERROR(__xludf.DUMMYFUNCTION("""COMPUTED_VALUE"""),"Mixing ")</f>
        <v>Mixing </v>
      </c>
      <c r="K3695" s="6" t="str">
        <f>IFERROR(__xludf.DUMMYFUNCTION("""COMPUTED_VALUE"""),"SPR/26/05/055")</f>
        <v>SPR/26/05/055</v>
      </c>
      <c r="L3695" s="13">
        <f>IFERROR(__xludf.DUMMYFUNCTION("""COMPUTED_VALUE"""),46171.0)</f>
        <v>46171</v>
      </c>
    </row>
    <row r="3696">
      <c r="A3696" s="6" t="str">
        <f>IFERROR(__xludf.DUMMYFUNCTION("""COMPUTED_VALUE"""),"ROS")</f>
        <v>ROS</v>
      </c>
      <c r="B3696" s="6" t="str">
        <f>IFERROR(__xludf.DUMMYFUNCTION("""COMPUTED_VALUE"""),"ENG")</f>
        <v>ENG</v>
      </c>
      <c r="C3696" s="6" t="str">
        <f>IFERROR(__xludf.DUMMYFUNCTION("""COMPUTED_VALUE"""),"P-50288-00")</f>
        <v>P-50288-00</v>
      </c>
      <c r="D3696" s="6" t="str">
        <f>IFERROR(__xludf.DUMMYFUNCTION("""COMPUTED_VALUE"""),"Bola Lampu - Halogen 20 W Osram")</f>
        <v>Bola Lampu - Halogen 20 W Osram</v>
      </c>
      <c r="E3696" s="6">
        <f>IFERROR(__xludf.DUMMYFUNCTION("""COMPUTED_VALUE"""),1.0)</f>
        <v>1</v>
      </c>
      <c r="F3696" s="6">
        <f>IFERROR(__xludf.DUMMYFUNCTION("""COMPUTED_VALUE"""),1.0)</f>
        <v>1</v>
      </c>
      <c r="G3696" s="6">
        <f>IFERROR(__xludf.DUMMYFUNCTION("""COMPUTED_VALUE"""),0.0)</f>
        <v>0</v>
      </c>
      <c r="H3696" s="6" t="str">
        <f>IFERROR(__xludf.DUMMYFUNCTION("""COMPUTED_VALUE"""),"Pcs")</f>
        <v>Pcs</v>
      </c>
      <c r="I3696" s="6" t="str">
        <f>IFERROR(__xludf.DUMMYFUNCTION("""COMPUTED_VALUE"""),"MFH")</f>
        <v>MFH</v>
      </c>
      <c r="J3696" s="6" t="str">
        <f>IFERROR(__xludf.DUMMYFUNCTION("""COMPUTED_VALUE"""),"Mixing ")</f>
        <v>Mixing </v>
      </c>
      <c r="K3696" s="6" t="str">
        <f>IFERROR(__xludf.DUMMYFUNCTION("""COMPUTED_VALUE"""),"SPR/26/05/055")</f>
        <v>SPR/26/05/055</v>
      </c>
      <c r="L3696" s="13">
        <f>IFERROR(__xludf.DUMMYFUNCTION("""COMPUTED_VALUE"""),46171.0)</f>
        <v>46171</v>
      </c>
    </row>
    <row r="3697">
      <c r="A3697" s="6" t="str">
        <f>IFERROR(__xludf.DUMMYFUNCTION("""COMPUTED_VALUE"""),"KFF")</f>
        <v>KFF</v>
      </c>
      <c r="B3697" s="6" t="str">
        <f>IFERROR(__xludf.DUMMYFUNCTION("""COMPUTED_VALUE"""),"ENG")</f>
        <v>ENG</v>
      </c>
      <c r="C3697" s="6" t="str">
        <f>IFERROR(__xludf.DUMMYFUNCTION("""COMPUTED_VALUE"""),"O-54015-00")</f>
        <v>O-54015-00</v>
      </c>
      <c r="D3697" s="6" t="str">
        <f>IFERROR(__xludf.DUMMYFUNCTION("""COMPUTED_VALUE"""),"STOP KONTAK LUBANG 4, BROCO")</f>
        <v>STOP KONTAK LUBANG 4, BROCO</v>
      </c>
      <c r="E3697" s="6">
        <f>IFERROR(__xludf.DUMMYFUNCTION("""COMPUTED_VALUE"""),4.0)</f>
        <v>4</v>
      </c>
      <c r="F3697" s="6">
        <f>IFERROR(__xludf.DUMMYFUNCTION("""COMPUTED_VALUE"""),4.0)</f>
        <v>4</v>
      </c>
      <c r="G3697" s="6">
        <f>IFERROR(__xludf.DUMMYFUNCTION("""COMPUTED_VALUE"""),0.0)</f>
        <v>0</v>
      </c>
      <c r="H3697" s="6" t="str">
        <f>IFERROR(__xludf.DUMMYFUNCTION("""COMPUTED_VALUE"""),"Pcs")</f>
        <v>Pcs</v>
      </c>
      <c r="I3697" s="6" t="str">
        <f>IFERROR(__xludf.DUMMYFUNCTION("""COMPUTED_VALUE"""),"MFH")</f>
        <v>MFH</v>
      </c>
      <c r="J3697" s="6" t="str">
        <f>IFERROR(__xludf.DUMMYFUNCTION("""COMPUTED_VALUE"""),"Drylab")</f>
        <v>Drylab</v>
      </c>
      <c r="K3697" s="6" t="str">
        <f>IFERROR(__xludf.DUMMYFUNCTION("""COMPUTED_VALUE"""),"SPR/26/05/056")</f>
        <v>SPR/26/05/056</v>
      </c>
      <c r="L3697" s="13">
        <f>IFERROR(__xludf.DUMMYFUNCTION("""COMPUTED_VALUE"""),46171.0)</f>
        <v>46171</v>
      </c>
    </row>
    <row r="3698">
      <c r="A3698" s="6" t="str">
        <f>IFERROR(__xludf.DUMMYFUNCTION("""COMPUTED_VALUE"""),"KFF")</f>
        <v>KFF</v>
      </c>
      <c r="B3698" s="6" t="str">
        <f>IFERROR(__xludf.DUMMYFUNCTION("""COMPUTED_VALUE"""),"ENG")</f>
        <v>ENG</v>
      </c>
      <c r="C3698" s="6" t="str">
        <f>IFERROR(__xludf.DUMMYFUNCTION("""COMPUTED_VALUE"""),"O-54014-00")</f>
        <v>O-54014-00</v>
      </c>
      <c r="D3698" s="6" t="str">
        <f>IFERROR(__xludf.DUMMYFUNCTION("""COMPUTED_VALUE"""),"STEKER 1 PHASE, BROCO")</f>
        <v>STEKER 1 PHASE, BROCO</v>
      </c>
      <c r="E3698" s="6">
        <f>IFERROR(__xludf.DUMMYFUNCTION("""COMPUTED_VALUE"""),4.0)</f>
        <v>4</v>
      </c>
      <c r="F3698" s="6">
        <f>IFERROR(__xludf.DUMMYFUNCTION("""COMPUTED_VALUE"""),4.0)</f>
        <v>4</v>
      </c>
      <c r="G3698" s="6">
        <f>IFERROR(__xludf.DUMMYFUNCTION("""COMPUTED_VALUE"""),0.0)</f>
        <v>0</v>
      </c>
      <c r="H3698" s="6" t="str">
        <f>IFERROR(__xludf.DUMMYFUNCTION("""COMPUTED_VALUE"""),"Pcs")</f>
        <v>Pcs</v>
      </c>
      <c r="I3698" s="6" t="str">
        <f>IFERROR(__xludf.DUMMYFUNCTION("""COMPUTED_VALUE"""),"MFH")</f>
        <v>MFH</v>
      </c>
      <c r="J3698" s="6" t="str">
        <f>IFERROR(__xludf.DUMMYFUNCTION("""COMPUTED_VALUE"""),"Drylab")</f>
        <v>Drylab</v>
      </c>
      <c r="K3698" s="6" t="str">
        <f>IFERROR(__xludf.DUMMYFUNCTION("""COMPUTED_VALUE"""),"SPR/26/05/056")</f>
        <v>SPR/26/05/056</v>
      </c>
      <c r="L3698" s="13">
        <f>IFERROR(__xludf.DUMMYFUNCTION("""COMPUTED_VALUE"""),46171.0)</f>
        <v>46171</v>
      </c>
    </row>
    <row r="3699">
      <c r="A3699" s="6" t="str">
        <f>IFERROR(__xludf.DUMMYFUNCTION("""COMPUTED_VALUE"""),"BDU")</f>
        <v>BDU</v>
      </c>
      <c r="B3699" s="6" t="str">
        <f>IFERROR(__xludf.DUMMYFUNCTION("""COMPUTED_VALUE"""),"ENG")</f>
        <v>ENG</v>
      </c>
      <c r="C3699" s="6" t="str">
        <f>IFERROR(__xludf.DUMMYFUNCTION("""COMPUTED_VALUE"""),"S-20856-00")</f>
        <v>S-20856-00</v>
      </c>
      <c r="D3699" s="6" t="str">
        <f>IFERROR(__xludf.DUMMYFUNCTION("""COMPUTED_VALUE"""),"Senter Kepala / LED Head Lamp ; 1600A0307X ; Bosch ; pack size per pcsp; ; ;")</f>
        <v>Senter Kepala / LED Head Lamp ; 1600A0307X ; Bosch ; pack size per pcsp; ; ;</v>
      </c>
      <c r="E3699" s="6">
        <f>IFERROR(__xludf.DUMMYFUNCTION("""COMPUTED_VALUE"""),1.0)</f>
        <v>1</v>
      </c>
      <c r="F3699" s="6">
        <f>IFERROR(__xludf.DUMMYFUNCTION("""COMPUTED_VALUE"""),1.0)</f>
        <v>1</v>
      </c>
      <c r="G3699" s="6">
        <f>IFERROR(__xludf.DUMMYFUNCTION("""COMPUTED_VALUE"""),0.0)</f>
        <v>0</v>
      </c>
      <c r="H3699" s="6" t="str">
        <f>IFERROR(__xludf.DUMMYFUNCTION("""COMPUTED_VALUE"""),"Pcs")</f>
        <v>Pcs</v>
      </c>
      <c r="I3699" s="6" t="str">
        <f>IFERROR(__xludf.DUMMYFUNCTION("""COMPUTED_VALUE"""),"MFH")</f>
        <v>MFH</v>
      </c>
      <c r="J3699" s="6" t="str">
        <f>IFERROR(__xludf.DUMMYFUNCTION("""COMPUTED_VALUE"""),"WWTP")</f>
        <v>WWTP</v>
      </c>
      <c r="K3699" s="6" t="str">
        <f>IFERROR(__xludf.DUMMYFUNCTION("""COMPUTED_VALUE"""),"SPR/26/05/057")</f>
        <v>SPR/26/05/057</v>
      </c>
      <c r="L3699" s="13">
        <f>IFERROR(__xludf.DUMMYFUNCTION("""COMPUTED_VALUE"""),46171.0)</f>
        <v>46171</v>
      </c>
    </row>
    <row r="3700">
      <c r="A3700" s="6" t="str">
        <f>IFERROR(__xludf.DUMMYFUNCTION("""COMPUTED_VALUE"""),"BDU")</f>
        <v>BDU</v>
      </c>
      <c r="B3700" s="6" t="str">
        <f>IFERROR(__xludf.DUMMYFUNCTION("""COMPUTED_VALUE"""),"ENG")</f>
        <v>ENG</v>
      </c>
      <c r="C3700" s="6" t="str">
        <f>IFERROR(__xludf.DUMMYFUNCTION("""COMPUTED_VALUE"""),"T-80047-00")</f>
        <v>T-80047-00</v>
      </c>
      <c r="D3700" s="6" t="str">
        <f>IFERROR(__xludf.DUMMYFUNCTION("""COMPUTED_VALUE"""),"Battery ALKALINE AAA")</f>
        <v>Battery ALKALINE AAA</v>
      </c>
      <c r="E3700" s="6">
        <f>IFERROR(__xludf.DUMMYFUNCTION("""COMPUTED_VALUE"""),6.0)</f>
        <v>6</v>
      </c>
      <c r="F3700" s="6">
        <f>IFERROR(__xludf.DUMMYFUNCTION("""COMPUTED_VALUE"""),6.0)</f>
        <v>6</v>
      </c>
      <c r="G3700" s="6">
        <f>IFERROR(__xludf.DUMMYFUNCTION("""COMPUTED_VALUE"""),0.0)</f>
        <v>0</v>
      </c>
      <c r="H3700" s="6" t="str">
        <f>IFERROR(__xludf.DUMMYFUNCTION("""COMPUTED_VALUE"""),"Pcs")</f>
        <v>Pcs</v>
      </c>
      <c r="I3700" s="6" t="str">
        <f>IFERROR(__xludf.DUMMYFUNCTION("""COMPUTED_VALUE"""),"MFH")</f>
        <v>MFH</v>
      </c>
      <c r="J3700" s="6" t="str">
        <f>IFERROR(__xludf.DUMMYFUNCTION("""COMPUTED_VALUE"""),"WWTP")</f>
        <v>WWTP</v>
      </c>
      <c r="K3700" s="6" t="str">
        <f>IFERROR(__xludf.DUMMYFUNCTION("""COMPUTED_VALUE"""),"SPR/26/05/057")</f>
        <v>SPR/26/05/057</v>
      </c>
      <c r="L3700" s="13">
        <f>IFERROR(__xludf.DUMMYFUNCTION("""COMPUTED_VALUE"""),46171.0)</f>
        <v>46171</v>
      </c>
    </row>
    <row r="3701">
      <c r="A3701" s="6" t="str">
        <f>IFERROR(__xludf.DUMMYFUNCTION("""COMPUTED_VALUE"""),"WAP")</f>
        <v>WAP</v>
      </c>
      <c r="B3701" s="6" t="str">
        <f>IFERROR(__xludf.DUMMYFUNCTION("""COMPUTED_VALUE"""),"ENG")</f>
        <v>ENG</v>
      </c>
      <c r="C3701" s="6" t="str">
        <f>IFERROR(__xludf.DUMMYFUNCTION("""COMPUTED_VALUE"""),"S-46129-00")</f>
        <v>S-46129-00</v>
      </c>
      <c r="D3701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E3701" s="6">
        <f>IFERROR(__xludf.DUMMYFUNCTION("""COMPUTED_VALUE"""),1.0)</f>
        <v>1</v>
      </c>
      <c r="F3701" s="6">
        <f>IFERROR(__xludf.DUMMYFUNCTION("""COMPUTED_VALUE"""),1.0)</f>
        <v>1</v>
      </c>
      <c r="G3701" s="6">
        <f>IFERROR(__xludf.DUMMYFUNCTION("""COMPUTED_VALUE"""),0.0)</f>
        <v>0</v>
      </c>
      <c r="H3701" s="6" t="str">
        <f>IFERROR(__xludf.DUMMYFUNCTION("""COMPUTED_VALUE"""),"Pcs")</f>
        <v>Pcs</v>
      </c>
      <c r="I3701" s="6" t="str">
        <f>IFERROR(__xludf.DUMMYFUNCTION("""COMPUTED_VALUE"""),"MFH")</f>
        <v>MFH</v>
      </c>
      <c r="J3701" s="6" t="str">
        <f>IFERROR(__xludf.DUMMYFUNCTION("""COMPUTED_VALUE"""),"AHU")</f>
        <v>AHU</v>
      </c>
      <c r="K3701" s="6" t="str">
        <f>IFERROR(__xludf.DUMMYFUNCTION("""COMPUTED_VALUE"""),"SPR/26/05/058")</f>
        <v>SPR/26/05/058</v>
      </c>
      <c r="L3701" s="13">
        <f>IFERROR(__xludf.DUMMYFUNCTION("""COMPUTED_VALUE"""),46171.0)</f>
        <v>46171</v>
      </c>
    </row>
    <row r="3702">
      <c r="A3702" s="6" t="str">
        <f>IFERROR(__xludf.DUMMYFUNCTION("""COMPUTED_VALUE"""),"WAP")</f>
        <v>WAP</v>
      </c>
      <c r="B3702" s="6" t="str">
        <f>IFERROR(__xludf.DUMMYFUNCTION("""COMPUTED_VALUE"""),"ENG")</f>
        <v>ENG</v>
      </c>
      <c r="C3702" s="6" t="str">
        <f>IFERROR(__xludf.DUMMYFUNCTION("""COMPUTED_VALUE"""),"P-20638-00")</f>
        <v>P-20638-00</v>
      </c>
      <c r="D3702" s="6" t="str">
        <f>IFERROR(__xludf.DUMMYFUNCTION("""COMPUTED_VALUE"""),"General - Mata Bor Socket Hex Nut; No Brand; -; 9 pcs/set")</f>
        <v>General - Mata Bor Socket Hex Nut; No Brand; -; 9 pcs/set</v>
      </c>
      <c r="E3702" s="6">
        <f>IFERROR(__xludf.DUMMYFUNCTION("""COMPUTED_VALUE"""),1.0)</f>
        <v>1</v>
      </c>
      <c r="F3702" s="6">
        <f>IFERROR(__xludf.DUMMYFUNCTION("""COMPUTED_VALUE"""),1.0)</f>
        <v>1</v>
      </c>
      <c r="G3702" s="6">
        <f>IFERROR(__xludf.DUMMYFUNCTION("""COMPUTED_VALUE"""),0.0)</f>
        <v>0</v>
      </c>
      <c r="H3702" s="6" t="str">
        <f>IFERROR(__xludf.DUMMYFUNCTION("""COMPUTED_VALUE"""),"Pcs")</f>
        <v>Pcs</v>
      </c>
      <c r="I3702" s="6" t="str">
        <f>IFERROR(__xludf.DUMMYFUNCTION("""COMPUTED_VALUE"""),"MFH")</f>
        <v>MFH</v>
      </c>
      <c r="J3702" s="6" t="str">
        <f>IFERROR(__xludf.DUMMYFUNCTION("""COMPUTED_VALUE"""),"AHU")</f>
        <v>AHU</v>
      </c>
      <c r="K3702" s="6" t="str">
        <f>IFERROR(__xludf.DUMMYFUNCTION("""COMPUTED_VALUE"""),"SPR/26/05/058")</f>
        <v>SPR/26/05/058</v>
      </c>
      <c r="L3702" s="13">
        <f>IFERROR(__xludf.DUMMYFUNCTION("""COMPUTED_VALUE"""),46171.0)</f>
        <v>46171</v>
      </c>
    </row>
    <row r="3703">
      <c r="A3703" s="6" t="str">
        <f>IFERROR(__xludf.DUMMYFUNCTION("""COMPUTED_VALUE"""),"INN")</f>
        <v>INN</v>
      </c>
      <c r="B3703" s="6" t="str">
        <f>IFERROR(__xludf.DUMMYFUNCTION("""COMPUTED_VALUE"""),"ENG")</f>
        <v>ENG</v>
      </c>
      <c r="C3703" s="6" t="str">
        <f>IFERROR(__xludf.DUMMYFUNCTION("""COMPUTED_VALUE"""),"O-20475-00")</f>
        <v>O-20475-00</v>
      </c>
      <c r="D3703" s="6" t="str">
        <f>IFERROR(__xludf.DUMMYFUNCTION("""COMPUTED_VALUE"""),"Freeze Dryer MBE1207 - Oring Silicone 5x39x49 mm LPRV; Custom/Lokal; -; 1 pc")</f>
        <v>Freeze Dryer MBE1207 - Oring Silicone 5x39x49 mm LPRV; Custom/Lokal; -; 1 pc</v>
      </c>
      <c r="E3703" s="6">
        <f>IFERROR(__xludf.DUMMYFUNCTION("""COMPUTED_VALUE"""),2.0)</f>
        <v>2</v>
      </c>
      <c r="F3703" s="6">
        <f>IFERROR(__xludf.DUMMYFUNCTION("""COMPUTED_VALUE"""),2.0)</f>
        <v>2</v>
      </c>
      <c r="G3703" s="6">
        <f>IFERROR(__xludf.DUMMYFUNCTION("""COMPUTED_VALUE"""),0.0)</f>
        <v>0</v>
      </c>
      <c r="H3703" s="6" t="str">
        <f>IFERROR(__xludf.DUMMYFUNCTION("""COMPUTED_VALUE"""),"Pcs")</f>
        <v>Pcs</v>
      </c>
      <c r="I3703" s="6" t="str">
        <f>IFERROR(__xludf.DUMMYFUNCTION("""COMPUTED_VALUE"""),"MFH")</f>
        <v>MFH</v>
      </c>
      <c r="J3703" s="6" t="str">
        <f>IFERROR(__xludf.DUMMYFUNCTION("""COMPUTED_VALUE"""),"FD")</f>
        <v>FD</v>
      </c>
      <c r="K3703" s="6" t="str">
        <f>IFERROR(__xludf.DUMMYFUNCTION("""COMPUTED_VALUE"""),"SPR/26/05/059")</f>
        <v>SPR/26/05/059</v>
      </c>
      <c r="L3703" s="13">
        <f>IFERROR(__xludf.DUMMYFUNCTION("""COMPUTED_VALUE"""),46171.0)</f>
        <v>46171</v>
      </c>
    </row>
    <row r="3704">
      <c r="A3704" s="6" t="str">
        <f>IFERROR(__xludf.DUMMYFUNCTION("""COMPUTED_VALUE"""),"BFN")</f>
        <v>BFN</v>
      </c>
      <c r="B3704" s="6" t="str">
        <f>IFERROR(__xludf.DUMMYFUNCTION("""COMPUTED_VALUE"""),"ENG")</f>
        <v>ENG</v>
      </c>
      <c r="C3704" s="6" t="str">
        <f>IFERROR(__xludf.DUMMYFUNCTION("""COMPUTED_VALUE"""),"O-18055-00")</f>
        <v>O-18055-00</v>
      </c>
      <c r="D370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704" s="6">
        <f>IFERROR(__xludf.DUMMYFUNCTION("""COMPUTED_VALUE"""),2.0)</f>
        <v>2</v>
      </c>
      <c r="F3704" s="6">
        <f>IFERROR(__xludf.DUMMYFUNCTION("""COMPUTED_VALUE"""),2.0)</f>
        <v>2</v>
      </c>
      <c r="G3704" s="6">
        <f>IFERROR(__xludf.DUMMYFUNCTION("""COMPUTED_VALUE"""),0.0)</f>
        <v>0</v>
      </c>
      <c r="H3704" s="6" t="str">
        <f>IFERROR(__xludf.DUMMYFUNCTION("""COMPUTED_VALUE"""),"Pcs")</f>
        <v>Pcs</v>
      </c>
      <c r="I3704" s="6" t="str">
        <f>IFERROR(__xludf.DUMMYFUNCTION("""COMPUTED_VALUE"""),"MFH")</f>
        <v>MFH</v>
      </c>
      <c r="J3704" s="6" t="str">
        <f>IFERROR(__xludf.DUMMYFUNCTION("""COMPUTED_VALUE"""),"Cartonning")</f>
        <v>Cartonning</v>
      </c>
      <c r="K3704" s="6" t="str">
        <f>IFERROR(__xludf.DUMMYFUNCTION("""COMPUTED_VALUE"""),"SPR/26/05/060")</f>
        <v>SPR/26/05/060</v>
      </c>
      <c r="L3704" s="13">
        <f>IFERROR(__xludf.DUMMYFUNCTION("""COMPUTED_VALUE"""),46171.0)</f>
        <v>46171</v>
      </c>
    </row>
    <row r="3705">
      <c r="A3705" s="6" t="str">
        <f>IFERROR(__xludf.DUMMYFUNCTION("""COMPUTED_VALUE"""),"SFH")</f>
        <v>SFH</v>
      </c>
      <c r="B3705" s="6" t="str">
        <f>IFERROR(__xludf.DUMMYFUNCTION("""COMPUTED_VALUE"""),"ENG")</f>
        <v>ENG</v>
      </c>
      <c r="C3705" s="6" t="str">
        <f>IFERROR(__xludf.DUMMYFUNCTION("""COMPUTED_VALUE"""),"Q-10563-00")</f>
        <v>Q-10563-00</v>
      </c>
      <c r="D3705" s="6" t="str">
        <f>IFERROR(__xludf.DUMMYFUNCTION("""COMPUTED_VALUE"""),"Cat Weathershield Merlin;Dulux;Type 40156M Merlin;pack size per 20L pail")</f>
        <v>Cat Weathershield Merlin;Dulux;Type 40156M Merlin;pack size per 20L pail</v>
      </c>
      <c r="E3705" s="6">
        <f>IFERROR(__xludf.DUMMYFUNCTION("""COMPUTED_VALUE"""),1.0)</f>
        <v>1</v>
      </c>
      <c r="F3705" s="6">
        <f>IFERROR(__xludf.DUMMYFUNCTION("""COMPUTED_VALUE"""),1.0)</f>
        <v>1</v>
      </c>
      <c r="G3705" s="6">
        <f>IFERROR(__xludf.DUMMYFUNCTION("""COMPUTED_VALUE"""),0.0)</f>
        <v>0</v>
      </c>
      <c r="H3705" s="6" t="str">
        <f>IFERROR(__xludf.DUMMYFUNCTION("""COMPUTED_VALUE"""),"Pcs")</f>
        <v>Pcs</v>
      </c>
      <c r="I3705" s="6" t="str">
        <f>IFERROR(__xludf.DUMMYFUNCTION("""COMPUTED_VALUE"""),"MFH")</f>
        <v>MFH</v>
      </c>
      <c r="J3705" s="6" t="str">
        <f>IFERROR(__xludf.DUMMYFUNCTION("""COMPUTED_VALUE"""),"Building")</f>
        <v>Building</v>
      </c>
      <c r="K3705" s="6" t="str">
        <f>IFERROR(__xludf.DUMMYFUNCTION("""COMPUTED_VALUE"""),"SPR/06/26/001")</f>
        <v>SPR/06/26/001</v>
      </c>
      <c r="L3705" s="13">
        <f>IFERROR(__xludf.DUMMYFUNCTION("""COMPUTED_VALUE"""),46203.0)</f>
        <v>46203</v>
      </c>
    </row>
    <row r="3706">
      <c r="A3706" s="6" t="str">
        <f>IFERROR(__xludf.DUMMYFUNCTION("""COMPUTED_VALUE"""),"SFH")</f>
        <v>SFH</v>
      </c>
      <c r="B3706" s="6" t="str">
        <f>IFERROR(__xludf.DUMMYFUNCTION("""COMPUTED_VALUE"""),"ENG")</f>
        <v>ENG</v>
      </c>
      <c r="C3706" s="6" t="str">
        <f>IFERROR(__xludf.DUMMYFUNCTION("""COMPUTED_VALUE"""),"Q-90767-00")</f>
        <v>Q-90767-00</v>
      </c>
      <c r="D3706" s="6" t="str">
        <f>IFERROR(__xludf.DUMMYFUNCTION("""COMPUTED_VALUE"""),"Cat Weathershield Day Break;Dulux;Type 40544M Day Break;pack size per 20L pail")</f>
        <v>Cat Weathershield Day Break;Dulux;Type 40544M Day Break;pack size per 20L pail</v>
      </c>
      <c r="E3706" s="6">
        <f>IFERROR(__xludf.DUMMYFUNCTION("""COMPUTED_VALUE"""),1.0)</f>
        <v>1</v>
      </c>
      <c r="F3706" s="6">
        <f>IFERROR(__xludf.DUMMYFUNCTION("""COMPUTED_VALUE"""),1.0)</f>
        <v>1</v>
      </c>
      <c r="G3706" s="6">
        <f>IFERROR(__xludf.DUMMYFUNCTION("""COMPUTED_VALUE"""),0.0)</f>
        <v>0</v>
      </c>
      <c r="H3706" s="6" t="str">
        <f>IFERROR(__xludf.DUMMYFUNCTION("""COMPUTED_VALUE"""),"Pcs")</f>
        <v>Pcs</v>
      </c>
      <c r="I3706" s="6" t="str">
        <f>IFERROR(__xludf.DUMMYFUNCTION("""COMPUTED_VALUE"""),"MFH")</f>
        <v>MFH</v>
      </c>
      <c r="J3706" s="6" t="str">
        <f>IFERROR(__xludf.DUMMYFUNCTION("""COMPUTED_VALUE"""),"Building")</f>
        <v>Building</v>
      </c>
      <c r="K3706" s="6" t="str">
        <f>IFERROR(__xludf.DUMMYFUNCTION("""COMPUTED_VALUE"""),"SPR/06/26/001")</f>
        <v>SPR/06/26/001</v>
      </c>
      <c r="L3706" s="13">
        <f>IFERROR(__xludf.DUMMYFUNCTION("""COMPUTED_VALUE"""),46203.0)</f>
        <v>46203</v>
      </c>
    </row>
    <row r="3707">
      <c r="A3707" s="6" t="str">
        <f>IFERROR(__xludf.DUMMYFUNCTION("""COMPUTED_VALUE"""),"MOB")</f>
        <v>MOB</v>
      </c>
      <c r="B3707" s="6" t="str">
        <f>IFERROR(__xludf.DUMMYFUNCTION("""COMPUTED_VALUE"""),"ENG")</f>
        <v>ENG</v>
      </c>
      <c r="C3707" s="6" t="str">
        <f>IFERROR(__xludf.DUMMYFUNCTION("""COMPUTED_VALUE"""),"O-18055-00")</f>
        <v>O-18055-00</v>
      </c>
      <c r="D3707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707" s="6">
        <f>IFERROR(__xludf.DUMMYFUNCTION("""COMPUTED_VALUE"""),4.0)</f>
        <v>4</v>
      </c>
      <c r="F3707" s="6">
        <f>IFERROR(__xludf.DUMMYFUNCTION("""COMPUTED_VALUE"""),4.0)</f>
        <v>4</v>
      </c>
      <c r="G3707" s="6">
        <f>IFERROR(__xludf.DUMMYFUNCTION("""COMPUTED_VALUE"""),0.0)</f>
        <v>0</v>
      </c>
      <c r="H3707" s="6" t="str">
        <f>IFERROR(__xludf.DUMMYFUNCTION("""COMPUTED_VALUE"""),"Pcs")</f>
        <v>Pcs</v>
      </c>
      <c r="I3707" s="6" t="str">
        <f>IFERROR(__xludf.DUMMYFUNCTION("""COMPUTED_VALUE"""),"MFH")</f>
        <v>MFH</v>
      </c>
      <c r="J3707" s="6" t="str">
        <f>IFERROR(__xludf.DUMMYFUNCTION("""COMPUTED_VALUE"""),"Cartonning")</f>
        <v>Cartonning</v>
      </c>
      <c r="K3707" s="6" t="str">
        <f>IFERROR(__xludf.DUMMYFUNCTION("""COMPUTED_VALUE"""),"SPR/06/26/002")</f>
        <v>SPR/06/26/002</v>
      </c>
      <c r="L3707" s="13">
        <f>IFERROR(__xludf.DUMMYFUNCTION("""COMPUTED_VALUE"""),46203.0)</f>
        <v>46203</v>
      </c>
    </row>
    <row r="3708">
      <c r="A3708" s="6" t="str">
        <f>IFERROR(__xludf.DUMMYFUNCTION("""COMPUTED_VALUE"""),"MRN")</f>
        <v>MRN</v>
      </c>
      <c r="B3708" s="6" t="str">
        <f>IFERROR(__xludf.DUMMYFUNCTION("""COMPUTED_VALUE"""),"ENG")</f>
        <v>ENG</v>
      </c>
      <c r="C3708" s="6" t="str">
        <f>IFERROR(__xludf.DUMMYFUNCTION("""COMPUTED_VALUE"""),"P-14244-00")</f>
        <v>P-14244-00</v>
      </c>
      <c r="D3708" s="6" t="str">
        <f>IFERROR(__xludf.DUMMYFUNCTION("""COMPUTED_VALUE"""),"General - UV Lamp SD55-320W; Hanovia; 130071-0320-C; 1 pc")</f>
        <v>General - UV Lamp SD55-320W; Hanovia; 130071-0320-C; 1 pc</v>
      </c>
      <c r="E3708" s="6">
        <f>IFERROR(__xludf.DUMMYFUNCTION("""COMPUTED_VALUE"""),2.0)</f>
        <v>2</v>
      </c>
      <c r="F3708" s="6">
        <f>IFERROR(__xludf.DUMMYFUNCTION("""COMPUTED_VALUE"""),2.0)</f>
        <v>2</v>
      </c>
      <c r="G3708" s="6">
        <f>IFERROR(__xludf.DUMMYFUNCTION("""COMPUTED_VALUE"""),0.0)</f>
        <v>0</v>
      </c>
      <c r="H3708" s="6" t="str">
        <f>IFERROR(__xludf.DUMMYFUNCTION("""COMPUTED_VALUE"""),"Pcs")</f>
        <v>Pcs</v>
      </c>
      <c r="I3708" s="6" t="str">
        <f>IFERROR(__xludf.DUMMYFUNCTION("""COMPUTED_VALUE"""),"MFH")</f>
        <v>MFH</v>
      </c>
      <c r="J3708" s="6" t="str">
        <f>IFERROR(__xludf.DUMMYFUNCTION("""COMPUTED_VALUE"""),"PW SKID")</f>
        <v>PW SKID</v>
      </c>
      <c r="K3708" s="6" t="str">
        <f>IFERROR(__xludf.DUMMYFUNCTION("""COMPUTED_VALUE"""),"SPR/06/26/003")</f>
        <v>SPR/06/26/003</v>
      </c>
      <c r="L3708" s="13">
        <f>IFERROR(__xludf.DUMMYFUNCTION("""COMPUTED_VALUE"""),46203.0)</f>
        <v>46203</v>
      </c>
    </row>
    <row r="3709">
      <c r="A3709" s="6" t="str">
        <f>IFERROR(__xludf.DUMMYFUNCTION("""COMPUTED_VALUE"""),"MRN")</f>
        <v>MRN</v>
      </c>
      <c r="B3709" s="6" t="str">
        <f>IFERROR(__xludf.DUMMYFUNCTION("""COMPUTED_VALUE"""),"ENG")</f>
        <v>ENG</v>
      </c>
      <c r="C3709" s="6" t="str">
        <f>IFERROR(__xludf.DUMMYFUNCTION("""COMPUTED_VALUE"""),"P-11819-00")</f>
        <v>P-11819-00</v>
      </c>
      <c r="D3709" s="6" t="str">
        <f>IFERROR(__xludf.DUMMYFUNCTION("""COMPUTED_VALUE"""),"Alumunium duct tape 2 inch")</f>
        <v>Alumunium duct tape 2 inch</v>
      </c>
      <c r="E3709" s="6">
        <f>IFERROR(__xludf.DUMMYFUNCTION("""COMPUTED_VALUE"""),1.0)</f>
        <v>1</v>
      </c>
      <c r="F3709" s="6">
        <f>IFERROR(__xludf.DUMMYFUNCTION("""COMPUTED_VALUE"""),1.0)</f>
        <v>1</v>
      </c>
      <c r="G3709" s="6">
        <f>IFERROR(__xludf.DUMMYFUNCTION("""COMPUTED_VALUE"""),0.0)</f>
        <v>0</v>
      </c>
      <c r="H3709" s="6" t="str">
        <f>IFERROR(__xludf.DUMMYFUNCTION("""COMPUTED_VALUE"""),"pcs")</f>
        <v>pcs</v>
      </c>
      <c r="I3709" s="6" t="str">
        <f>IFERROR(__xludf.DUMMYFUNCTION("""COMPUTED_VALUE"""),"MFH")</f>
        <v>MFH</v>
      </c>
      <c r="J3709" s="6" t="str">
        <f>IFERROR(__xludf.DUMMYFUNCTION("""COMPUTED_VALUE"""),"-")</f>
        <v>-</v>
      </c>
      <c r="K3709" s="6" t="str">
        <f>IFERROR(__xludf.DUMMYFUNCTION("""COMPUTED_VALUE"""),"SPR/06/26/004")</f>
        <v>SPR/06/26/004</v>
      </c>
      <c r="L3709" s="13">
        <f>IFERROR(__xludf.DUMMYFUNCTION("""COMPUTED_VALUE"""),46203.0)</f>
        <v>46203</v>
      </c>
    </row>
    <row r="3710">
      <c r="A3710" s="6" t="str">
        <f>IFERROR(__xludf.DUMMYFUNCTION("""COMPUTED_VALUE"""),"MRN")</f>
        <v>MRN</v>
      </c>
      <c r="B3710" s="6" t="str">
        <f>IFERROR(__xludf.DUMMYFUNCTION("""COMPUTED_VALUE"""),"ENG")</f>
        <v>ENG</v>
      </c>
      <c r="C3710" s="6" t="str">
        <f>IFERROR(__xludf.DUMMYFUNCTION("""COMPUTED_VALUE"""),"P-11165-00")</f>
        <v>P-11165-00</v>
      </c>
      <c r="D3710" s="6" t="str">
        <f>IFERROR(__xludf.DUMMYFUNCTION("""COMPUTED_VALUE"""),"Pneumatic  Fitting - QS 1/2-12 / PN : 153010 / Festo")</f>
        <v>Pneumatic  Fitting - QS 1/2-12 / PN : 153010 / Festo</v>
      </c>
      <c r="E3710" s="6">
        <f>IFERROR(__xludf.DUMMYFUNCTION("""COMPUTED_VALUE"""),1.0)</f>
        <v>1</v>
      </c>
      <c r="F3710" s="6">
        <f>IFERROR(__xludf.DUMMYFUNCTION("""COMPUTED_VALUE"""),1.0)</f>
        <v>1</v>
      </c>
      <c r="G3710" s="6">
        <f>IFERROR(__xludf.DUMMYFUNCTION("""COMPUTED_VALUE"""),0.0)</f>
        <v>0</v>
      </c>
      <c r="H3710" s="6" t="str">
        <f>IFERROR(__xludf.DUMMYFUNCTION("""COMPUTED_VALUE"""),"pcs")</f>
        <v>pcs</v>
      </c>
      <c r="I3710" s="6" t="str">
        <f>IFERROR(__xludf.DUMMYFUNCTION("""COMPUTED_VALUE"""),"MFH")</f>
        <v>MFH</v>
      </c>
      <c r="J3710" s="6" t="str">
        <f>IFERROR(__xludf.DUMMYFUNCTION("""COMPUTED_VALUE"""),"-")</f>
        <v>-</v>
      </c>
      <c r="K3710" s="6" t="str">
        <f>IFERROR(__xludf.DUMMYFUNCTION("""COMPUTED_VALUE"""),"SPR/06/26/004")</f>
        <v>SPR/06/26/004</v>
      </c>
      <c r="L3710" s="13">
        <f>IFERROR(__xludf.DUMMYFUNCTION("""COMPUTED_VALUE"""),46203.0)</f>
        <v>46203</v>
      </c>
    </row>
    <row r="3711">
      <c r="A3711" s="6" t="str">
        <f>IFERROR(__xludf.DUMMYFUNCTION("""COMPUTED_VALUE"""),"MRN")</f>
        <v>MRN</v>
      </c>
      <c r="B3711" s="6" t="str">
        <f>IFERROR(__xludf.DUMMYFUNCTION("""COMPUTED_VALUE"""),"ENG")</f>
        <v>ENG</v>
      </c>
      <c r="C3711" s="6" t="str">
        <f>IFERROR(__xludf.DUMMYFUNCTION("""COMPUTED_VALUE"""),"P-11424-00")</f>
        <v>P-11424-00</v>
      </c>
      <c r="D3711" s="6" t="str">
        <f>IFERROR(__xludf.DUMMYFUNCTION("""COMPUTED_VALUE"""),"Selang Festo Pun-H-12x2 Blue 2 x 50 m")</f>
        <v>Selang Festo Pun-H-12x2 Blue 2 x 50 m</v>
      </c>
      <c r="E3711" s="6">
        <f>IFERROR(__xludf.DUMMYFUNCTION("""COMPUTED_VALUE"""),5.0)</f>
        <v>5</v>
      </c>
      <c r="F3711" s="6">
        <f>IFERROR(__xludf.DUMMYFUNCTION("""COMPUTED_VALUE"""),5.0)</f>
        <v>5</v>
      </c>
      <c r="G3711" s="6">
        <f>IFERROR(__xludf.DUMMYFUNCTION("""COMPUTED_VALUE"""),0.0)</f>
        <v>0</v>
      </c>
      <c r="H3711" s="6" t="str">
        <f>IFERROR(__xludf.DUMMYFUNCTION("""COMPUTED_VALUE"""),"Pcs")</f>
        <v>Pcs</v>
      </c>
      <c r="I3711" s="6" t="str">
        <f>IFERROR(__xludf.DUMMYFUNCTION("""COMPUTED_VALUE"""),"MFH")</f>
        <v>MFH</v>
      </c>
      <c r="J3711" s="6" t="str">
        <f>IFERROR(__xludf.DUMMYFUNCTION("""COMPUTED_VALUE"""),"-")</f>
        <v>-</v>
      </c>
      <c r="K3711" s="6" t="str">
        <f>IFERROR(__xludf.DUMMYFUNCTION("""COMPUTED_VALUE"""),"SPR/06/26/004")</f>
        <v>SPR/06/26/004</v>
      </c>
      <c r="L3711" s="13">
        <f>IFERROR(__xludf.DUMMYFUNCTION("""COMPUTED_VALUE"""),46203.0)</f>
        <v>46203</v>
      </c>
    </row>
    <row r="3712">
      <c r="A3712" s="6" t="str">
        <f>IFERROR(__xludf.DUMMYFUNCTION("""COMPUTED_VALUE"""),"MOB")</f>
        <v>MOB</v>
      </c>
      <c r="B3712" s="6" t="str">
        <f>IFERROR(__xludf.DUMMYFUNCTION("""COMPUTED_VALUE"""),"ENG")</f>
        <v>ENG</v>
      </c>
      <c r="C3712" s="6" t="str">
        <f>IFERROR(__xludf.DUMMYFUNCTION("""COMPUTED_VALUE"""),"P-54348-00")</f>
        <v>P-54348-00</v>
      </c>
      <c r="D3712" s="6" t="str">
        <f>IFERROR(__xludf.DUMMYFUNCTION("""COMPUTED_VALUE"""),"General - Exhaust Fan 4414M; EBMPast; -; 1 pc")</f>
        <v>General - Exhaust Fan 4414M; EBMPast; -; 1 pc</v>
      </c>
      <c r="E3712" s="6">
        <f>IFERROR(__xludf.DUMMYFUNCTION("""COMPUTED_VALUE"""),1.0)</f>
        <v>1</v>
      </c>
      <c r="F3712" s="6">
        <f>IFERROR(__xludf.DUMMYFUNCTION("""COMPUTED_VALUE"""),1.0)</f>
        <v>1</v>
      </c>
      <c r="G3712" s="6">
        <f>IFERROR(__xludf.DUMMYFUNCTION("""COMPUTED_VALUE"""),0.0)</f>
        <v>0</v>
      </c>
      <c r="H3712" s="6" t="str">
        <f>IFERROR(__xludf.DUMMYFUNCTION("""COMPUTED_VALUE"""),"Pcs")</f>
        <v>Pcs</v>
      </c>
      <c r="I3712" s="6" t="str">
        <f>IFERROR(__xludf.DUMMYFUNCTION("""COMPUTED_VALUE"""),"MFH")</f>
        <v>MFH</v>
      </c>
      <c r="J3712" s="6" t="str">
        <f>IFERROR(__xludf.DUMMYFUNCTION("""COMPUTED_VALUE"""),"-")</f>
        <v>-</v>
      </c>
      <c r="K3712" s="6" t="str">
        <f>IFERROR(__xludf.DUMMYFUNCTION("""COMPUTED_VALUE"""),"SPR/06/26/005")</f>
        <v>SPR/06/26/005</v>
      </c>
      <c r="L3712" s="13">
        <f>IFERROR(__xludf.DUMMYFUNCTION("""COMPUTED_VALUE"""),46203.0)</f>
        <v>46203</v>
      </c>
    </row>
    <row r="3713">
      <c r="A3713" s="6" t="str">
        <f>IFERROR(__xludf.DUMMYFUNCTION("""COMPUTED_VALUE"""),"BDU")</f>
        <v>BDU</v>
      </c>
      <c r="B3713" s="6" t="str">
        <f>IFERROR(__xludf.DUMMYFUNCTION("""COMPUTED_VALUE"""),"ENG")</f>
        <v>ENG</v>
      </c>
      <c r="C3713" s="6" t="str">
        <f>IFERROR(__xludf.DUMMYFUNCTION("""COMPUTED_VALUE"""),"O-21485-00")</f>
        <v>O-21485-00</v>
      </c>
      <c r="D3713" s="6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E3713" s="6">
        <f>IFERROR(__xludf.DUMMYFUNCTION("""COMPUTED_VALUE"""),2.0)</f>
        <v>2</v>
      </c>
      <c r="F3713" s="6">
        <f>IFERROR(__xludf.DUMMYFUNCTION("""COMPUTED_VALUE"""),2.0)</f>
        <v>2</v>
      </c>
      <c r="G3713" s="6">
        <f>IFERROR(__xludf.DUMMYFUNCTION("""COMPUTED_VALUE"""),0.0)</f>
        <v>0</v>
      </c>
      <c r="H3713" s="6" t="str">
        <f>IFERROR(__xludf.DUMMYFUNCTION("""COMPUTED_VALUE"""),"Pcs")</f>
        <v>Pcs</v>
      </c>
      <c r="I3713" s="6" t="str">
        <f>IFERROR(__xludf.DUMMYFUNCTION("""COMPUTED_VALUE"""),"MFH")</f>
        <v>MFH</v>
      </c>
      <c r="J3713" s="6" t="str">
        <f>IFERROR(__xludf.DUMMYFUNCTION("""COMPUTED_VALUE"""),"Tabletting")</f>
        <v>Tabletting</v>
      </c>
      <c r="K3713" s="6" t="str">
        <f>IFERROR(__xludf.DUMMYFUNCTION("""COMPUTED_VALUE"""),"SPR/06/26/006")</f>
        <v>SPR/06/26/006</v>
      </c>
      <c r="L3713" s="13">
        <f>IFERROR(__xludf.DUMMYFUNCTION("""COMPUTED_VALUE"""),46203.0)</f>
        <v>46203</v>
      </c>
    </row>
    <row r="3714">
      <c r="A3714" s="6" t="str">
        <f>IFERROR(__xludf.DUMMYFUNCTION("""COMPUTED_VALUE"""),"OMA")</f>
        <v>OMA</v>
      </c>
      <c r="B3714" s="6" t="str">
        <f>IFERROR(__xludf.DUMMYFUNCTION("""COMPUTED_VALUE"""),"ENG")</f>
        <v>ENG</v>
      </c>
      <c r="C3714" s="6" t="str">
        <f>IFERROR(__xludf.DUMMYFUNCTION("""COMPUTED_VALUE"""),"O-18166-00")</f>
        <v>O-18166-00</v>
      </c>
      <c r="D3714" s="6" t="str">
        <f>IFERROR(__xludf.DUMMYFUNCTION("""COMPUTED_VALUE"""),"Flow Meter 1-10 CMH LZQ-7")</f>
        <v>Flow Meter 1-10 CMH LZQ-7</v>
      </c>
      <c r="E3714" s="6">
        <f>IFERROR(__xludf.DUMMYFUNCTION("""COMPUTED_VALUE"""),1.0)</f>
        <v>1</v>
      </c>
      <c r="F3714" s="6">
        <f>IFERROR(__xludf.DUMMYFUNCTION("""COMPUTED_VALUE"""),1.0)</f>
        <v>1</v>
      </c>
      <c r="G3714" s="6">
        <f>IFERROR(__xludf.DUMMYFUNCTION("""COMPUTED_VALUE"""),0.0)</f>
        <v>0</v>
      </c>
      <c r="H3714" s="6" t="str">
        <f>IFERROR(__xludf.DUMMYFUNCTION("""COMPUTED_VALUE"""),"Pcs")</f>
        <v>Pcs</v>
      </c>
      <c r="I3714" s="6" t="str">
        <f>IFERROR(__xludf.DUMMYFUNCTION("""COMPUTED_VALUE"""),"MFH")</f>
        <v>MFH</v>
      </c>
      <c r="J3714" s="6" t="str">
        <f>IFERROR(__xludf.DUMMYFUNCTION("""COMPUTED_VALUE"""),"Chamber")</f>
        <v>Chamber</v>
      </c>
      <c r="K3714" s="6" t="str">
        <f>IFERROR(__xludf.DUMMYFUNCTION("""COMPUTED_VALUE"""),"SPR/06/26/007")</f>
        <v>SPR/06/26/007</v>
      </c>
      <c r="L3714" s="13">
        <f>IFERROR(__xludf.DUMMYFUNCTION("""COMPUTED_VALUE"""),46203.0)</f>
        <v>46203</v>
      </c>
    </row>
    <row r="3715">
      <c r="A3715" s="6" t="str">
        <f>IFERROR(__xludf.DUMMYFUNCTION("""COMPUTED_VALUE"""),"ERA")</f>
        <v>ERA</v>
      </c>
      <c r="B3715" s="6" t="str">
        <f>IFERROR(__xludf.DUMMYFUNCTION("""COMPUTED_VALUE"""),"ENG")</f>
        <v>ENG</v>
      </c>
      <c r="C3715" s="6" t="str">
        <f>IFERROR(__xludf.DUMMYFUNCTION("""COMPUTED_VALUE"""),"O-16033-00")</f>
        <v>O-16033-00</v>
      </c>
      <c r="D371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715" s="6">
        <f>IFERROR(__xludf.DUMMYFUNCTION("""COMPUTED_VALUE"""),3.0)</f>
        <v>3</v>
      </c>
      <c r="F3715" s="6">
        <f>IFERROR(__xludf.DUMMYFUNCTION("""COMPUTED_VALUE"""),3.0)</f>
        <v>3</v>
      </c>
      <c r="G3715" s="6">
        <f>IFERROR(__xludf.DUMMYFUNCTION("""COMPUTED_VALUE"""),0.0)</f>
        <v>0</v>
      </c>
      <c r="H3715" s="6" t="str">
        <f>IFERROR(__xludf.DUMMYFUNCTION("""COMPUTED_VALUE"""),"Pcs")</f>
        <v>Pcs</v>
      </c>
      <c r="I3715" s="6" t="str">
        <f>IFERROR(__xludf.DUMMYFUNCTION("""COMPUTED_VALUE"""),"MFH")</f>
        <v>MFH</v>
      </c>
      <c r="J3715" s="6" t="str">
        <f>IFERROR(__xludf.DUMMYFUNCTION("""COMPUTED_VALUE"""),"Isolator SKAN")</f>
        <v>Isolator SKAN</v>
      </c>
      <c r="K3715" s="6" t="str">
        <f>IFERROR(__xludf.DUMMYFUNCTION("""COMPUTED_VALUE"""),"SPR/06/26/008")</f>
        <v>SPR/06/26/008</v>
      </c>
      <c r="L3715" s="13">
        <f>IFERROR(__xludf.DUMMYFUNCTION("""COMPUTED_VALUE"""),46203.0)</f>
        <v>46203</v>
      </c>
    </row>
    <row r="3716">
      <c r="A3716" s="6" t="str">
        <f>IFERROR(__xludf.DUMMYFUNCTION("""COMPUTED_VALUE"""),"ERA")</f>
        <v>ERA</v>
      </c>
      <c r="B3716" s="6" t="str">
        <f>IFERROR(__xludf.DUMMYFUNCTION("""COMPUTED_VALUE"""),"ENG")</f>
        <v>ENG</v>
      </c>
      <c r="C3716" s="6" t="str">
        <f>IFERROR(__xludf.DUMMYFUNCTION("""COMPUTED_VALUE"""),"O-16032-00")</f>
        <v>O-16032-00</v>
      </c>
      <c r="D3716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716" s="6">
        <f>IFERROR(__xludf.DUMMYFUNCTION("""COMPUTED_VALUE"""),1.0)</f>
        <v>1</v>
      </c>
      <c r="F3716" s="6">
        <f>IFERROR(__xludf.DUMMYFUNCTION("""COMPUTED_VALUE"""),1.0)</f>
        <v>1</v>
      </c>
      <c r="G3716" s="6">
        <f>IFERROR(__xludf.DUMMYFUNCTION("""COMPUTED_VALUE"""),0.0)</f>
        <v>0</v>
      </c>
      <c r="H3716" s="6" t="str">
        <f>IFERROR(__xludf.DUMMYFUNCTION("""COMPUTED_VALUE"""),"Pcs")</f>
        <v>Pcs</v>
      </c>
      <c r="I3716" s="6" t="str">
        <f>IFERROR(__xludf.DUMMYFUNCTION("""COMPUTED_VALUE"""),"MFH")</f>
        <v>MFH</v>
      </c>
      <c r="J3716" s="6" t="str">
        <f>IFERROR(__xludf.DUMMYFUNCTION("""COMPUTED_VALUE"""),"Isolator SKAN")</f>
        <v>Isolator SKAN</v>
      </c>
      <c r="K3716" s="6" t="str">
        <f>IFERROR(__xludf.DUMMYFUNCTION("""COMPUTED_VALUE"""),"SPR/06/26/008")</f>
        <v>SPR/06/26/008</v>
      </c>
      <c r="L3716" s="13">
        <f>IFERROR(__xludf.DUMMYFUNCTION("""COMPUTED_VALUE"""),46203.0)</f>
        <v>46203</v>
      </c>
    </row>
    <row r="3717">
      <c r="A3717" s="6" t="str">
        <f>IFERROR(__xludf.DUMMYFUNCTION("""COMPUTED_VALUE"""),"ERA")</f>
        <v>ERA</v>
      </c>
      <c r="B3717" s="6" t="str">
        <f>IFERROR(__xludf.DUMMYFUNCTION("""COMPUTED_VALUE"""),"ENG")</f>
        <v>ENG</v>
      </c>
      <c r="C3717" s="6" t="str">
        <f>IFERROR(__xludf.DUMMYFUNCTION("""COMPUTED_VALUE"""),"O-54014-00")</f>
        <v>O-54014-00</v>
      </c>
      <c r="D3717" s="6" t="str">
        <f>IFERROR(__xludf.DUMMYFUNCTION("""COMPUTED_VALUE"""),"STEKER 1 PHASE, BROCO")</f>
        <v>STEKER 1 PHASE, BROCO</v>
      </c>
      <c r="E3717" s="6">
        <f>IFERROR(__xludf.DUMMYFUNCTION("""COMPUTED_VALUE"""),3.0)</f>
        <v>3</v>
      </c>
      <c r="F3717" s="6">
        <f>IFERROR(__xludf.DUMMYFUNCTION("""COMPUTED_VALUE"""),3.0)</f>
        <v>3</v>
      </c>
      <c r="G3717" s="6">
        <f>IFERROR(__xludf.DUMMYFUNCTION("""COMPUTED_VALUE"""),0.0)</f>
        <v>0</v>
      </c>
      <c r="H3717" s="6" t="str">
        <f>IFERROR(__xludf.DUMMYFUNCTION("""COMPUTED_VALUE"""),"Pcs")</f>
        <v>Pcs</v>
      </c>
      <c r="I3717" s="6" t="str">
        <f>IFERROR(__xludf.DUMMYFUNCTION("""COMPUTED_VALUE"""),"MFH")</f>
        <v>MFH</v>
      </c>
      <c r="J3717" s="6" t="str">
        <f>IFERROR(__xludf.DUMMYFUNCTION("""COMPUTED_VALUE"""),"Drylab")</f>
        <v>Drylab</v>
      </c>
      <c r="K3717" s="6" t="str">
        <f>IFERROR(__xludf.DUMMYFUNCTION("""COMPUTED_VALUE"""),"SPR/06/26/009")</f>
        <v>SPR/06/26/009</v>
      </c>
      <c r="L3717" s="13">
        <f>IFERROR(__xludf.DUMMYFUNCTION("""COMPUTED_VALUE"""),46203.0)</f>
        <v>46203</v>
      </c>
    </row>
    <row r="3718">
      <c r="A3718" s="6" t="str">
        <f>IFERROR(__xludf.DUMMYFUNCTION("""COMPUTED_VALUE"""),"ERA")</f>
        <v>ERA</v>
      </c>
      <c r="B3718" s="6" t="str">
        <f>IFERROR(__xludf.DUMMYFUNCTION("""COMPUTED_VALUE"""),"ENG")</f>
        <v>ENG</v>
      </c>
      <c r="C3718" s="6" t="str">
        <f>IFERROR(__xludf.DUMMYFUNCTION("""COMPUTED_VALUE"""),"O-54015-00")</f>
        <v>O-54015-00</v>
      </c>
      <c r="D3718" s="6" t="str">
        <f>IFERROR(__xludf.DUMMYFUNCTION("""COMPUTED_VALUE"""),"STOP KONTAK LUBANG 4, BROCO")</f>
        <v>STOP KONTAK LUBANG 4, BROCO</v>
      </c>
      <c r="E3718" s="6">
        <f>IFERROR(__xludf.DUMMYFUNCTION("""COMPUTED_VALUE"""),1.0)</f>
        <v>1</v>
      </c>
      <c r="F3718" s="6">
        <f>IFERROR(__xludf.DUMMYFUNCTION("""COMPUTED_VALUE"""),3.0)</f>
        <v>3</v>
      </c>
      <c r="G3718" s="6">
        <f>IFERROR(__xludf.DUMMYFUNCTION("""COMPUTED_VALUE"""),0.0)</f>
        <v>0</v>
      </c>
      <c r="H3718" s="6" t="str">
        <f>IFERROR(__xludf.DUMMYFUNCTION("""COMPUTED_VALUE"""),"Pcs")</f>
        <v>Pcs</v>
      </c>
      <c r="I3718" s="6" t="str">
        <f>IFERROR(__xludf.DUMMYFUNCTION("""COMPUTED_VALUE"""),"MFH")</f>
        <v>MFH</v>
      </c>
      <c r="J3718" s="6" t="str">
        <f>IFERROR(__xludf.DUMMYFUNCTION("""COMPUTED_VALUE"""),"-")</f>
        <v>-</v>
      </c>
      <c r="K3718" s="6" t="str">
        <f>IFERROR(__xludf.DUMMYFUNCTION("""COMPUTED_VALUE"""),"SPR/06/26/009")</f>
        <v>SPR/06/26/009</v>
      </c>
      <c r="L3718" s="13">
        <f>IFERROR(__xludf.DUMMYFUNCTION("""COMPUTED_VALUE"""),46203.0)</f>
        <v>46203</v>
      </c>
    </row>
    <row r="3719">
      <c r="A3719" s="6" t="str">
        <f>IFERROR(__xludf.DUMMYFUNCTION("""COMPUTED_VALUE"""),"ERA")</f>
        <v>ERA</v>
      </c>
      <c r="B3719" s="6" t="str">
        <f>IFERROR(__xludf.DUMMYFUNCTION("""COMPUTED_VALUE"""),"ENG")</f>
        <v>ENG</v>
      </c>
      <c r="C3719" s="6" t="str">
        <f>IFERROR(__xludf.DUMMYFUNCTION("""COMPUTED_VALUE"""),"P-54512-00")</f>
        <v>P-54512-00</v>
      </c>
      <c r="D3719" s="6" t="str">
        <f>IFERROR(__xludf.DUMMYFUNCTION("""COMPUTED_VALUE"""),"General - Kabel Duct PVC, Lubang, Uk. 32 x 32mm; No Brand; -; 1 pc")</f>
        <v>General - Kabel Duct PVC, Lubang, Uk. 32 x 32mm; No Brand; -; 1 pc</v>
      </c>
      <c r="E3719" s="6">
        <f>IFERROR(__xludf.DUMMYFUNCTION("""COMPUTED_VALUE"""),1.0)</f>
        <v>1</v>
      </c>
      <c r="F3719" s="6">
        <f>IFERROR(__xludf.DUMMYFUNCTION("""COMPUTED_VALUE"""),2.0)</f>
        <v>2</v>
      </c>
      <c r="G3719" s="6">
        <f>IFERROR(__xludf.DUMMYFUNCTION("""COMPUTED_VALUE"""),0.0)</f>
        <v>0</v>
      </c>
      <c r="H3719" s="6" t="str">
        <f>IFERROR(__xludf.DUMMYFUNCTION("""COMPUTED_VALUE"""),"Pcs")</f>
        <v>Pcs</v>
      </c>
      <c r="I3719" s="6" t="str">
        <f>IFERROR(__xludf.DUMMYFUNCTION("""COMPUTED_VALUE"""),"MFH")</f>
        <v>MFH</v>
      </c>
      <c r="J3719" s="6" t="str">
        <f>IFERROR(__xludf.DUMMYFUNCTION("""COMPUTED_VALUE"""),"-")</f>
        <v>-</v>
      </c>
      <c r="K3719" s="6" t="str">
        <f>IFERROR(__xludf.DUMMYFUNCTION("""COMPUTED_VALUE"""),"SPR/06/26/009")</f>
        <v>SPR/06/26/009</v>
      </c>
      <c r="L3719" s="13">
        <f>IFERROR(__xludf.DUMMYFUNCTION("""COMPUTED_VALUE"""),46203.0)</f>
        <v>46203</v>
      </c>
    </row>
    <row r="3720">
      <c r="A3720" s="6" t="str">
        <f>IFERROR(__xludf.DUMMYFUNCTION("""COMPUTED_VALUE"""),"ERA")</f>
        <v>ERA</v>
      </c>
      <c r="B3720" s="6" t="str">
        <f>IFERROR(__xludf.DUMMYFUNCTION("""COMPUTED_VALUE"""),"ENG")</f>
        <v>ENG</v>
      </c>
      <c r="C3720" s="6" t="str">
        <f>IFERROR(__xludf.DUMMYFUNCTION("""COMPUTED_VALUE"""),"O-15931-00")</f>
        <v>O-15931-00</v>
      </c>
      <c r="D3720" s="6" t="str">
        <f>IFERROR(__xludf.DUMMYFUNCTION("""COMPUTED_VALUE"""),"Double Tape 3M 1"" Merah - P/N : - pc")</f>
        <v>Double Tape 3M 1" Merah - P/N : - pc</v>
      </c>
      <c r="E3720" s="6">
        <f>IFERROR(__xludf.DUMMYFUNCTION("""COMPUTED_VALUE"""),1.0)</f>
        <v>1</v>
      </c>
      <c r="F3720" s="6">
        <f>IFERROR(__xludf.DUMMYFUNCTION("""COMPUTED_VALUE"""),1.0)</f>
        <v>1</v>
      </c>
      <c r="G3720" s="6">
        <f>IFERROR(__xludf.DUMMYFUNCTION("""COMPUTED_VALUE"""),0.0)</f>
        <v>0</v>
      </c>
      <c r="H3720" s="6" t="str">
        <f>IFERROR(__xludf.DUMMYFUNCTION("""COMPUTED_VALUE"""),"Pcs")</f>
        <v>Pcs</v>
      </c>
      <c r="I3720" s="6" t="str">
        <f>IFERROR(__xludf.DUMMYFUNCTION("""COMPUTED_VALUE"""),"MFH")</f>
        <v>MFH</v>
      </c>
      <c r="J3720" s="6" t="str">
        <f>IFERROR(__xludf.DUMMYFUNCTION("""COMPUTED_VALUE"""),"Drylab")</f>
        <v>Drylab</v>
      </c>
      <c r="K3720" s="6" t="str">
        <f>IFERROR(__xludf.DUMMYFUNCTION("""COMPUTED_VALUE"""),"SPR/06/26/010")</f>
        <v>SPR/06/26/010</v>
      </c>
      <c r="L3720" s="13">
        <f>IFERROR(__xludf.DUMMYFUNCTION("""COMPUTED_VALUE"""),46203.0)</f>
        <v>46203</v>
      </c>
    </row>
    <row r="3721">
      <c r="A3721" s="6" t="str">
        <f>IFERROR(__xludf.DUMMYFUNCTION("""COMPUTED_VALUE"""),"ERA")</f>
        <v>ERA</v>
      </c>
      <c r="B3721" s="6" t="str">
        <f>IFERROR(__xludf.DUMMYFUNCTION("""COMPUTED_VALUE"""),"ENG")</f>
        <v>ENG</v>
      </c>
      <c r="C3721" s="6" t="str">
        <f>IFERROR(__xludf.DUMMYFUNCTION("""COMPUTED_VALUE"""),"P-53149-00")</f>
        <v>P-53149-00</v>
      </c>
      <c r="D3721" s="6" t="str">
        <f>IFERROR(__xludf.DUMMYFUNCTION("""COMPUTED_VALUE"""),"General - Kabel NYAF 3 x 2.5mm; Jembo; -; 1 meter")</f>
        <v>General - Kabel NYAF 3 x 2.5mm; Jembo; -; 1 meter</v>
      </c>
      <c r="E3721" s="6">
        <f>IFERROR(__xludf.DUMMYFUNCTION("""COMPUTED_VALUE"""),21.0)</f>
        <v>21</v>
      </c>
      <c r="F3721" s="6">
        <f>IFERROR(__xludf.DUMMYFUNCTION("""COMPUTED_VALUE"""),21.0)</f>
        <v>21</v>
      </c>
      <c r="G3721" s="6">
        <f>IFERROR(__xludf.DUMMYFUNCTION("""COMPUTED_VALUE"""),0.0)</f>
        <v>0</v>
      </c>
      <c r="H3721" s="6" t="str">
        <f>IFERROR(__xludf.DUMMYFUNCTION("""COMPUTED_VALUE"""),"Pcs")</f>
        <v>Pcs</v>
      </c>
      <c r="I3721" s="6" t="str">
        <f>IFERROR(__xludf.DUMMYFUNCTION("""COMPUTED_VALUE"""),"MFH")</f>
        <v>MFH</v>
      </c>
      <c r="J3721" s="6" t="str">
        <f>IFERROR(__xludf.DUMMYFUNCTION("""COMPUTED_VALUE"""),"-")</f>
        <v>-</v>
      </c>
      <c r="K3721" s="6" t="str">
        <f>IFERROR(__xludf.DUMMYFUNCTION("""COMPUTED_VALUE"""),"SPR/06/26/010")</f>
        <v>SPR/06/26/010</v>
      </c>
      <c r="L3721" s="13">
        <f>IFERROR(__xludf.DUMMYFUNCTION("""COMPUTED_VALUE"""),46203.0)</f>
        <v>46203</v>
      </c>
    </row>
    <row r="3722">
      <c r="A3722" s="6" t="str">
        <f>IFERROR(__xludf.DUMMYFUNCTION("""COMPUTED_VALUE"""),"ROS")</f>
        <v>ROS</v>
      </c>
      <c r="B3722" s="6" t="str">
        <f>IFERROR(__xludf.DUMMYFUNCTION("""COMPUTED_VALUE"""),"ENG")</f>
        <v>ENG</v>
      </c>
      <c r="C3722" s="6" t="str">
        <f>IFERROR(__xludf.DUMMYFUNCTION("""COMPUTED_VALUE"""),"P-12994-00")</f>
        <v>P-12994-00</v>
      </c>
      <c r="D3722" s="6" t="str">
        <f>IFERROR(__xludf.DUMMYFUNCTION("""COMPUTED_VALUE"""),"Nippon Tape - ASF-110FR")</f>
        <v>Nippon Tape - ASF-110FR</v>
      </c>
      <c r="E3722" s="6">
        <f>IFERROR(__xludf.DUMMYFUNCTION("""COMPUTED_VALUE"""),1.0)</f>
        <v>1</v>
      </c>
      <c r="F3722" s="6">
        <f>IFERROR(__xludf.DUMMYFUNCTION("""COMPUTED_VALUE"""),1.0)</f>
        <v>1</v>
      </c>
      <c r="G3722" s="6">
        <f>IFERROR(__xludf.DUMMYFUNCTION("""COMPUTED_VALUE"""),0.0)</f>
        <v>0</v>
      </c>
      <c r="H3722" s="6" t="str">
        <f>IFERROR(__xludf.DUMMYFUNCTION("""COMPUTED_VALUE"""),"Pcs")</f>
        <v>Pcs</v>
      </c>
      <c r="I3722" s="6" t="str">
        <f>IFERROR(__xludf.DUMMYFUNCTION("""COMPUTED_VALUE"""),"MFH")</f>
        <v>MFH</v>
      </c>
      <c r="J3722" s="6" t="str">
        <f>IFERROR(__xludf.DUMMYFUNCTION("""COMPUTED_VALUE"""),"Capping")</f>
        <v>Capping</v>
      </c>
      <c r="K3722" s="6" t="str">
        <f>IFERROR(__xludf.DUMMYFUNCTION("""COMPUTED_VALUE"""),"SPR/06/26/011")</f>
        <v>SPR/06/26/011</v>
      </c>
      <c r="L3722" s="13">
        <f>IFERROR(__xludf.DUMMYFUNCTION("""COMPUTED_VALUE"""),46203.0)</f>
        <v>46203</v>
      </c>
    </row>
    <row r="3723">
      <c r="A3723" s="6" t="str">
        <f>IFERROR(__xludf.DUMMYFUNCTION("""COMPUTED_VALUE"""),"ROS")</f>
        <v>ROS</v>
      </c>
      <c r="B3723" s="6" t="str">
        <f>IFERROR(__xludf.DUMMYFUNCTION("""COMPUTED_VALUE"""),"ENG")</f>
        <v>ENG</v>
      </c>
      <c r="C3723" s="6" t="str">
        <f>IFERROR(__xludf.DUMMYFUNCTION("""COMPUTED_VALUE"""),"O-16647-00")</f>
        <v>O-16647-00</v>
      </c>
      <c r="D3723" s="6" t="str">
        <f>IFERROR(__xludf.DUMMYFUNCTION("""COMPUTED_VALUE"""),"Washing RAR4 - Oring Silicone Merah 23x18x2.5 mm; ; ;")</f>
        <v>Washing RAR4 - Oring Silicone Merah 23x18x2.5 mm; ; ;</v>
      </c>
      <c r="E3723" s="6">
        <f>IFERROR(__xludf.DUMMYFUNCTION("""COMPUTED_VALUE"""),10.0)</f>
        <v>10</v>
      </c>
      <c r="F3723" s="6">
        <f>IFERROR(__xludf.DUMMYFUNCTION("""COMPUTED_VALUE"""),10.0)</f>
        <v>10</v>
      </c>
      <c r="G3723" s="6">
        <f>IFERROR(__xludf.DUMMYFUNCTION("""COMPUTED_VALUE"""),0.0)</f>
        <v>0</v>
      </c>
      <c r="H3723" s="6" t="str">
        <f>IFERROR(__xludf.DUMMYFUNCTION("""COMPUTED_VALUE"""),"Pcs")</f>
        <v>Pcs</v>
      </c>
      <c r="I3723" s="6" t="str">
        <f>IFERROR(__xludf.DUMMYFUNCTION("""COMPUTED_VALUE"""),"MFH")</f>
        <v>MFH</v>
      </c>
      <c r="J3723" s="6" t="str">
        <f>IFERROR(__xludf.DUMMYFUNCTION("""COMPUTED_VALUE"""),"Capping")</f>
        <v>Capping</v>
      </c>
      <c r="K3723" s="6" t="str">
        <f>IFERROR(__xludf.DUMMYFUNCTION("""COMPUTED_VALUE"""),"SPR/06/26/011")</f>
        <v>SPR/06/26/011</v>
      </c>
      <c r="L3723" s="13">
        <f>IFERROR(__xludf.DUMMYFUNCTION("""COMPUTED_VALUE"""),46203.0)</f>
        <v>46203</v>
      </c>
    </row>
    <row r="3724">
      <c r="A3724" s="6" t="str">
        <f>IFERROR(__xludf.DUMMYFUNCTION("""COMPUTED_VALUE"""),"ROS")</f>
        <v>ROS</v>
      </c>
      <c r="B3724" s="6" t="str">
        <f>IFERROR(__xludf.DUMMYFUNCTION("""COMPUTED_VALUE"""),"ENG")</f>
        <v>ENG</v>
      </c>
      <c r="C3724" s="6" t="str">
        <f>IFERROR(__xludf.DUMMYFUNCTION("""COMPUTED_VALUE"""),"P-12083-00")</f>
        <v>P-12083-00</v>
      </c>
      <c r="D3724" s="6" t="str">
        <f>IFERROR(__xludf.DUMMYFUNCTION("""COMPUTED_VALUE"""),"Clamp selang SS dia 1/2inch ex TRIDON")</f>
        <v>Clamp selang SS dia 1/2inch ex TRIDON</v>
      </c>
      <c r="E3724" s="6">
        <f>IFERROR(__xludf.DUMMYFUNCTION("""COMPUTED_VALUE"""),1.0)</f>
        <v>1</v>
      </c>
      <c r="F3724" s="6">
        <f>IFERROR(__xludf.DUMMYFUNCTION("""COMPUTED_VALUE"""),1.0)</f>
        <v>1</v>
      </c>
      <c r="G3724" s="6">
        <f>IFERROR(__xludf.DUMMYFUNCTION("""COMPUTED_VALUE"""),0.0)</f>
        <v>0</v>
      </c>
      <c r="H3724" s="6" t="str">
        <f>IFERROR(__xludf.DUMMYFUNCTION("""COMPUTED_VALUE"""),"Pcs")</f>
        <v>Pcs</v>
      </c>
      <c r="I3724" s="6" t="str">
        <f>IFERROR(__xludf.DUMMYFUNCTION("""COMPUTED_VALUE"""),"MFH")</f>
        <v>MFH</v>
      </c>
      <c r="J3724" s="6" t="str">
        <f>IFERROR(__xludf.DUMMYFUNCTION("""COMPUTED_VALUE"""),"Capping")</f>
        <v>Capping</v>
      </c>
      <c r="K3724" s="6" t="str">
        <f>IFERROR(__xludf.DUMMYFUNCTION("""COMPUTED_VALUE"""),"SPR/06/26/011")</f>
        <v>SPR/06/26/011</v>
      </c>
      <c r="L3724" s="13">
        <f>IFERROR(__xludf.DUMMYFUNCTION("""COMPUTED_VALUE"""),46203.0)</f>
        <v>46203</v>
      </c>
    </row>
    <row r="3725">
      <c r="A3725" s="6" t="str">
        <f>IFERROR(__xludf.DUMMYFUNCTION("""COMPUTED_VALUE"""),"WAP")</f>
        <v>WAP</v>
      </c>
      <c r="B3725" s="6" t="str">
        <f>IFERROR(__xludf.DUMMYFUNCTION("""COMPUTED_VALUE"""),"ENG")</f>
        <v>ENG</v>
      </c>
      <c r="C3725" s="6" t="str">
        <f>IFERROR(__xludf.DUMMYFUNCTION("""COMPUTED_VALUE"""),"Q-10249-00")</f>
        <v>Q-10249-00</v>
      </c>
      <c r="D3725" s="6" t="str">
        <f>IFERROR(__xludf.DUMMYFUNCTION("""COMPUTED_VALUE"""),"Lem Power Glue; ; ;")</f>
        <v>Lem Power Glue; ; ;</v>
      </c>
      <c r="E3725" s="6">
        <f>IFERROR(__xludf.DUMMYFUNCTION("""COMPUTED_VALUE"""),1.0)</f>
        <v>1</v>
      </c>
      <c r="F3725" s="6">
        <f>IFERROR(__xludf.DUMMYFUNCTION("""COMPUTED_VALUE"""),1.0)</f>
        <v>1</v>
      </c>
      <c r="G3725" s="6">
        <f>IFERROR(__xludf.DUMMYFUNCTION("""COMPUTED_VALUE"""),0.0)</f>
        <v>0</v>
      </c>
      <c r="H3725" s="6" t="str">
        <f>IFERROR(__xludf.DUMMYFUNCTION("""COMPUTED_VALUE"""),"Pcs")</f>
        <v>Pcs</v>
      </c>
      <c r="I3725" s="6" t="str">
        <f>IFERROR(__xludf.DUMMYFUNCTION("""COMPUTED_VALUE"""),"MFH")</f>
        <v>MFH</v>
      </c>
      <c r="J3725" s="6" t="str">
        <f>IFERROR(__xludf.DUMMYFUNCTION("""COMPUTED_VALUE"""),"-")</f>
        <v>-</v>
      </c>
      <c r="K3725" s="6" t="str">
        <f>IFERROR(__xludf.DUMMYFUNCTION("""COMPUTED_VALUE"""),"SPR/06/26/012")</f>
        <v>SPR/06/26/012</v>
      </c>
      <c r="L3725" s="13">
        <f>IFERROR(__xludf.DUMMYFUNCTION("""COMPUTED_VALUE"""),46203.0)</f>
        <v>46203</v>
      </c>
    </row>
    <row r="3726">
      <c r="A3726" s="6" t="str">
        <f>IFERROR(__xludf.DUMMYFUNCTION("""COMPUTED_VALUE"""),"NDS")</f>
        <v>NDS</v>
      </c>
      <c r="B3726" s="6" t="str">
        <f>IFERROR(__xludf.DUMMYFUNCTION("""COMPUTED_VALUE"""),"ENG")</f>
        <v>ENG</v>
      </c>
      <c r="C3726" s="6" t="str">
        <f>IFERROR(__xludf.DUMMYFUNCTION("""COMPUTED_VALUE"""),"O-21484-00")</f>
        <v>O-21484-00</v>
      </c>
      <c r="D3726" s="6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E3726" s="6">
        <f>IFERROR(__xludf.DUMMYFUNCTION("""COMPUTED_VALUE"""),1.0)</f>
        <v>1</v>
      </c>
      <c r="F3726" s="6">
        <f>IFERROR(__xludf.DUMMYFUNCTION("""COMPUTED_VALUE"""),1.0)</f>
        <v>1</v>
      </c>
      <c r="G3726" s="6">
        <f>IFERROR(__xludf.DUMMYFUNCTION("""COMPUTED_VALUE"""),0.0)</f>
        <v>0</v>
      </c>
      <c r="H3726" s="6" t="str">
        <f>IFERROR(__xludf.DUMMYFUNCTION("""COMPUTED_VALUE"""),"Pcs")</f>
        <v>Pcs</v>
      </c>
      <c r="I3726" s="6" t="str">
        <f>IFERROR(__xludf.DUMMYFUNCTION("""COMPUTED_VALUE"""),"MFH")</f>
        <v>MFH</v>
      </c>
      <c r="J3726" s="6" t="str">
        <f>IFERROR(__xludf.DUMMYFUNCTION("""COMPUTED_VALUE"""),"EDM")</f>
        <v>EDM</v>
      </c>
      <c r="K3726" s="6" t="str">
        <f>IFERROR(__xludf.DUMMYFUNCTION("""COMPUTED_VALUE"""),"SPR/06/26/013")</f>
        <v>SPR/06/26/013</v>
      </c>
      <c r="L3726" s="13">
        <f>IFERROR(__xludf.DUMMYFUNCTION("""COMPUTED_VALUE"""),46203.0)</f>
        <v>46203</v>
      </c>
    </row>
    <row r="3727">
      <c r="A3727" s="6" t="str">
        <f>IFERROR(__xludf.DUMMYFUNCTION("""COMPUTED_VALUE"""),"NDS")</f>
        <v>NDS</v>
      </c>
      <c r="B3727" s="6" t="str">
        <f>IFERROR(__xludf.DUMMYFUNCTION("""COMPUTED_VALUE"""),"ENG")</f>
        <v>ENG</v>
      </c>
      <c r="C3727" s="6" t="str">
        <f>IFERROR(__xludf.DUMMYFUNCTION("""COMPUTED_VALUE"""),"O-15931-00")</f>
        <v>O-15931-00</v>
      </c>
      <c r="D3727" s="6" t="str">
        <f>IFERROR(__xludf.DUMMYFUNCTION("""COMPUTED_VALUE"""),"Double Tape 3M 1"" Merah - P/N : - pc")</f>
        <v>Double Tape 3M 1" Merah - P/N : - pc</v>
      </c>
      <c r="E3727" s="6">
        <f>IFERROR(__xludf.DUMMYFUNCTION("""COMPUTED_VALUE"""),1.0)</f>
        <v>1</v>
      </c>
      <c r="F3727" s="6">
        <f>IFERROR(__xludf.DUMMYFUNCTION("""COMPUTED_VALUE"""),1.0)</f>
        <v>1</v>
      </c>
      <c r="G3727" s="6">
        <f>IFERROR(__xludf.DUMMYFUNCTION("""COMPUTED_VALUE"""),0.0)</f>
        <v>0</v>
      </c>
      <c r="H3727" s="6" t="str">
        <f>IFERROR(__xludf.DUMMYFUNCTION("""COMPUTED_VALUE"""),"Pcs")</f>
        <v>Pcs</v>
      </c>
      <c r="I3727" s="6" t="str">
        <f>IFERROR(__xludf.DUMMYFUNCTION("""COMPUTED_VALUE"""),"MFH")</f>
        <v>MFH</v>
      </c>
      <c r="J3727" s="6" t="str">
        <f>IFERROR(__xludf.DUMMYFUNCTION("""COMPUTED_VALUE"""),"-")</f>
        <v>-</v>
      </c>
      <c r="K3727" s="6" t="str">
        <f>IFERROR(__xludf.DUMMYFUNCTION("""COMPUTED_VALUE"""),"SPR/06/26/014")</f>
        <v>SPR/06/26/014</v>
      </c>
      <c r="L3727" s="13">
        <f>IFERROR(__xludf.DUMMYFUNCTION("""COMPUTED_VALUE"""),46203.0)</f>
        <v>46203</v>
      </c>
    </row>
    <row r="3728">
      <c r="A3728" s="6" t="str">
        <f>IFERROR(__xludf.DUMMYFUNCTION("""COMPUTED_VALUE"""),"ERA")</f>
        <v>ERA</v>
      </c>
      <c r="B3728" s="6" t="str">
        <f>IFERROR(__xludf.DUMMYFUNCTION("""COMPUTED_VALUE"""),"ENG")</f>
        <v>ENG</v>
      </c>
      <c r="C3728" s="6" t="str">
        <f>IFERROR(__xludf.DUMMYFUNCTION("""COMPUTED_VALUE"""),"T-80109-00")</f>
        <v>T-80109-00</v>
      </c>
      <c r="D3728" s="6" t="str">
        <f>IFERROR(__xludf.DUMMYFUNCTION("""COMPUTED_VALUE"""),"Cellotape Kertas 1 inch warna Putih")</f>
        <v>Cellotape Kertas 1 inch warna Putih</v>
      </c>
      <c r="E3728" s="6">
        <f>IFERROR(__xludf.DUMMYFUNCTION("""COMPUTED_VALUE"""),1.0)</f>
        <v>1</v>
      </c>
      <c r="F3728" s="6">
        <f>IFERROR(__xludf.DUMMYFUNCTION("""COMPUTED_VALUE"""),1.0)</f>
        <v>1</v>
      </c>
      <c r="G3728" s="6">
        <f>IFERROR(__xludf.DUMMYFUNCTION("""COMPUTED_VALUE"""),0.0)</f>
        <v>0</v>
      </c>
      <c r="H3728" s="6" t="str">
        <f>IFERROR(__xludf.DUMMYFUNCTION("""COMPUTED_VALUE"""),"Pcs")</f>
        <v>Pcs</v>
      </c>
      <c r="I3728" s="6" t="str">
        <f>IFERROR(__xludf.DUMMYFUNCTION("""COMPUTED_VALUE"""),"MFH")</f>
        <v>MFH</v>
      </c>
      <c r="J3728" s="6" t="str">
        <f>IFERROR(__xludf.DUMMYFUNCTION("""COMPUTED_VALUE"""),"-")</f>
        <v>-</v>
      </c>
      <c r="K3728" s="6" t="str">
        <f>IFERROR(__xludf.DUMMYFUNCTION("""COMPUTED_VALUE"""),"SPR/06/26/015")</f>
        <v>SPR/06/26/015</v>
      </c>
      <c r="L3728" s="13">
        <f>IFERROR(__xludf.DUMMYFUNCTION("""COMPUTED_VALUE"""),46203.0)</f>
        <v>46203</v>
      </c>
    </row>
    <row r="3729">
      <c r="A3729" s="6" t="str">
        <f>IFERROR(__xludf.DUMMYFUNCTION("""COMPUTED_VALUE"""),"ERA")</f>
        <v>ERA</v>
      </c>
      <c r="B3729" s="6" t="str">
        <f>IFERROR(__xludf.DUMMYFUNCTION("""COMPUTED_VALUE"""),"ENG")</f>
        <v>ENG</v>
      </c>
      <c r="C3729" s="6" t="str">
        <f>IFERROR(__xludf.DUMMYFUNCTION("""COMPUTED_VALUE"""),"P-11182-00")</f>
        <v>P-11182-00</v>
      </c>
      <c r="D3729" s="6" t="str">
        <f>IFERROR(__xludf.DUMMYFUNCTION("""COMPUTED_VALUE"""),"Pneumatic Fitting - QS 6 / Festo")</f>
        <v>Pneumatic Fitting - QS 6 / Festo</v>
      </c>
      <c r="E3729" s="6">
        <f>IFERROR(__xludf.DUMMYFUNCTION("""COMPUTED_VALUE"""),3.0)</f>
        <v>3</v>
      </c>
      <c r="F3729" s="6">
        <f>IFERROR(__xludf.DUMMYFUNCTION("""COMPUTED_VALUE"""),3.0)</f>
        <v>3</v>
      </c>
      <c r="G3729" s="6">
        <f>IFERROR(__xludf.DUMMYFUNCTION("""COMPUTED_VALUE"""),0.0)</f>
        <v>0</v>
      </c>
      <c r="H3729" s="6" t="str">
        <f>IFERROR(__xludf.DUMMYFUNCTION("""COMPUTED_VALUE"""),"Pcs")</f>
        <v>Pcs</v>
      </c>
      <c r="I3729" s="6" t="str">
        <f>IFERROR(__xludf.DUMMYFUNCTION("""COMPUTED_VALUE"""),"MFH")</f>
        <v>MFH</v>
      </c>
      <c r="J3729" s="6" t="str">
        <f>IFERROR(__xludf.DUMMYFUNCTION("""COMPUTED_VALUE"""),"Mixing ")</f>
        <v>Mixing </v>
      </c>
      <c r="K3729" s="6" t="str">
        <f>IFERROR(__xludf.DUMMYFUNCTION("""COMPUTED_VALUE"""),"SPR/06/26/015")</f>
        <v>SPR/06/26/015</v>
      </c>
      <c r="L3729" s="13">
        <f>IFERROR(__xludf.DUMMYFUNCTION("""COMPUTED_VALUE"""),46203.0)</f>
        <v>46203</v>
      </c>
    </row>
    <row r="3730">
      <c r="A3730" s="6" t="str">
        <f>IFERROR(__xludf.DUMMYFUNCTION("""COMPUTED_VALUE"""),"BDU")</f>
        <v>BDU</v>
      </c>
      <c r="B3730" s="6" t="str">
        <f>IFERROR(__xludf.DUMMYFUNCTION("""COMPUTED_VALUE"""),"ENG")</f>
        <v>ENG</v>
      </c>
      <c r="C3730" s="6" t="str">
        <f>IFERROR(__xludf.DUMMYFUNCTION("""COMPUTED_VALUE"""),"Q-60501-00")</f>
        <v>Q-60501-00</v>
      </c>
      <c r="D3730" s="6" t="str">
        <f>IFERROR(__xludf.DUMMYFUNCTION("""COMPUTED_VALUE"""),"Silicone Sealant, Silglaze, Type N10 Clear, pack size per pcs")</f>
        <v>Silicone Sealant, Silglaze, Type N10 Clear, pack size per pcs</v>
      </c>
      <c r="E3730" s="6">
        <f>IFERROR(__xludf.DUMMYFUNCTION("""COMPUTED_VALUE"""),1.0)</f>
        <v>1</v>
      </c>
      <c r="F3730" s="6">
        <f>IFERROR(__xludf.DUMMYFUNCTION("""COMPUTED_VALUE"""),1.0)</f>
        <v>1</v>
      </c>
      <c r="G3730" s="6">
        <f>IFERROR(__xludf.DUMMYFUNCTION("""COMPUTED_VALUE"""),0.0)</f>
        <v>0</v>
      </c>
      <c r="H3730" s="6" t="str">
        <f>IFERROR(__xludf.DUMMYFUNCTION("""COMPUTED_VALUE"""),"Pcs")</f>
        <v>Pcs</v>
      </c>
      <c r="I3730" s="6" t="str">
        <f>IFERROR(__xludf.DUMMYFUNCTION("""COMPUTED_VALUE"""),"MFH")</f>
        <v>MFH</v>
      </c>
      <c r="J3730" s="6" t="str">
        <f>IFERROR(__xludf.DUMMYFUNCTION("""COMPUTED_VALUE"""),"Pass Box")</f>
        <v>Pass Box</v>
      </c>
      <c r="K3730" s="6" t="str">
        <f>IFERROR(__xludf.DUMMYFUNCTION("""COMPUTED_VALUE"""),"SPR/06/26/016")</f>
        <v>SPR/06/26/016</v>
      </c>
      <c r="L3730" s="13">
        <f>IFERROR(__xludf.DUMMYFUNCTION("""COMPUTED_VALUE"""),46203.0)</f>
        <v>46203</v>
      </c>
    </row>
    <row r="3731">
      <c r="A3731" s="6" t="str">
        <f>IFERROR(__xludf.DUMMYFUNCTION("""COMPUTED_VALUE"""),"BDU")</f>
        <v>BDU</v>
      </c>
      <c r="B3731" s="6" t="str">
        <f>IFERROR(__xludf.DUMMYFUNCTION("""COMPUTED_VALUE"""),"ENG")</f>
        <v>ENG</v>
      </c>
      <c r="C3731" s="6" t="str">
        <f>IFERROR(__xludf.DUMMYFUNCTION("""COMPUTED_VALUE"""),"O-52225-00")</f>
        <v>O-52225-00</v>
      </c>
      <c r="D3731" s="6" t="str">
        <f>IFERROR(__xludf.DUMMYFUNCTION("""COMPUTED_VALUE"""),"Tunnel ST1L - Fuse Keramik 25A")</f>
        <v>Tunnel ST1L - Fuse Keramik 25A</v>
      </c>
      <c r="E3731" s="6">
        <f>IFERROR(__xludf.DUMMYFUNCTION("""COMPUTED_VALUE"""),1.0)</f>
        <v>1</v>
      </c>
      <c r="F3731" s="6">
        <f>IFERROR(__xludf.DUMMYFUNCTION("""COMPUTED_VALUE"""),1.0)</f>
        <v>1</v>
      </c>
      <c r="G3731" s="6">
        <f>IFERROR(__xludf.DUMMYFUNCTION("""COMPUTED_VALUE"""),0.0)</f>
        <v>0</v>
      </c>
      <c r="H3731" s="6" t="str">
        <f>IFERROR(__xludf.DUMMYFUNCTION("""COMPUTED_VALUE"""),"Pcs")</f>
        <v>Pcs</v>
      </c>
      <c r="I3731" s="6" t="str">
        <f>IFERROR(__xludf.DUMMYFUNCTION("""COMPUTED_VALUE"""),"MFH")</f>
        <v>MFH</v>
      </c>
      <c r="J3731" s="6" t="str">
        <f>IFERROR(__xludf.DUMMYFUNCTION("""COMPUTED_VALUE"""),"Washing")</f>
        <v>Washing</v>
      </c>
      <c r="K3731" s="6" t="str">
        <f>IFERROR(__xludf.DUMMYFUNCTION("""COMPUTED_VALUE"""),"SPR/06/26/016")</f>
        <v>SPR/06/26/016</v>
      </c>
      <c r="L3731" s="13">
        <f>IFERROR(__xludf.DUMMYFUNCTION("""COMPUTED_VALUE"""),46203.0)</f>
        <v>46203</v>
      </c>
    </row>
    <row r="3732">
      <c r="A3732" s="6" t="str">
        <f>IFERROR(__xludf.DUMMYFUNCTION("""COMPUTED_VALUE"""),"BDU")</f>
        <v>BDU</v>
      </c>
      <c r="B3732" s="6" t="str">
        <f>IFERROR(__xludf.DUMMYFUNCTION("""COMPUTED_VALUE"""),"ENG")</f>
        <v>ENG</v>
      </c>
      <c r="C3732" s="6" t="str">
        <f>IFERROR(__xludf.DUMMYFUNCTION("""COMPUTED_VALUE"""),"O-15931-00")</f>
        <v>O-15931-00</v>
      </c>
      <c r="D3732" s="6" t="str">
        <f>IFERROR(__xludf.DUMMYFUNCTION("""COMPUTED_VALUE"""),"Double Tape 3M 1"" Merah - P/N : - pc")</f>
        <v>Double Tape 3M 1" Merah - P/N : - pc</v>
      </c>
      <c r="E3732" s="6">
        <f>IFERROR(__xludf.DUMMYFUNCTION("""COMPUTED_VALUE"""),2.0)</f>
        <v>2</v>
      </c>
      <c r="F3732" s="6">
        <f>IFERROR(__xludf.DUMMYFUNCTION("""COMPUTED_VALUE"""),2.0)</f>
        <v>2</v>
      </c>
      <c r="G3732" s="6">
        <f>IFERROR(__xludf.DUMMYFUNCTION("""COMPUTED_VALUE"""),0.0)</f>
        <v>0</v>
      </c>
      <c r="H3732" s="6" t="str">
        <f>IFERROR(__xludf.DUMMYFUNCTION("""COMPUTED_VALUE"""),"Pcs")</f>
        <v>Pcs</v>
      </c>
      <c r="I3732" s="6" t="str">
        <f>IFERROR(__xludf.DUMMYFUNCTION("""COMPUTED_VALUE"""),"MFH")</f>
        <v>MFH</v>
      </c>
      <c r="J3732" s="6" t="str">
        <f>IFERROR(__xludf.DUMMYFUNCTION("""COMPUTED_VALUE"""),"Cytocab")</f>
        <v>Cytocab</v>
      </c>
      <c r="K3732" s="6" t="str">
        <f>IFERROR(__xludf.DUMMYFUNCTION("""COMPUTED_VALUE"""),"SPR/06/26/016")</f>
        <v>SPR/06/26/016</v>
      </c>
      <c r="L3732" s="13">
        <f>IFERROR(__xludf.DUMMYFUNCTION("""COMPUTED_VALUE"""),46203.0)</f>
        <v>46203</v>
      </c>
    </row>
    <row r="3733">
      <c r="A3733" s="6" t="str">
        <f>IFERROR(__xludf.DUMMYFUNCTION("""COMPUTED_VALUE"""),"SFH")</f>
        <v>SFH</v>
      </c>
      <c r="B3733" s="6" t="str">
        <f>IFERROR(__xludf.DUMMYFUNCTION("""COMPUTED_VALUE"""),"ENG")</f>
        <v>ENG</v>
      </c>
      <c r="C3733" s="6" t="str">
        <f>IFERROR(__xludf.DUMMYFUNCTION("""COMPUTED_VALUE"""),"Q-10249-00")</f>
        <v>Q-10249-00</v>
      </c>
      <c r="D3733" s="6" t="str">
        <f>IFERROR(__xludf.DUMMYFUNCTION("""COMPUTED_VALUE"""),"Lem Power Glue; ; ;")</f>
        <v>Lem Power Glue; ; ;</v>
      </c>
      <c r="E3733" s="6">
        <f>IFERROR(__xludf.DUMMYFUNCTION("""COMPUTED_VALUE"""),1.0)</f>
        <v>1</v>
      </c>
      <c r="F3733" s="6">
        <f>IFERROR(__xludf.DUMMYFUNCTION("""COMPUTED_VALUE"""),1.0)</f>
        <v>1</v>
      </c>
      <c r="G3733" s="6">
        <f>IFERROR(__xludf.DUMMYFUNCTION("""COMPUTED_VALUE"""),0.0)</f>
        <v>0</v>
      </c>
      <c r="H3733" s="6" t="str">
        <f>IFERROR(__xludf.DUMMYFUNCTION("""COMPUTED_VALUE"""),"Pcs")</f>
        <v>Pcs</v>
      </c>
      <c r="I3733" s="6" t="str">
        <f>IFERROR(__xludf.DUMMYFUNCTION("""COMPUTED_VALUE"""),"MFH")</f>
        <v>MFH</v>
      </c>
      <c r="J3733" s="6" t="str">
        <f>IFERROR(__xludf.DUMMYFUNCTION("""COMPUTED_VALUE"""),"Building")</f>
        <v>Building</v>
      </c>
      <c r="K3733" s="6" t="str">
        <f>IFERROR(__xludf.DUMMYFUNCTION("""COMPUTED_VALUE"""),"SPR/06/26/017")</f>
        <v>SPR/06/26/017</v>
      </c>
      <c r="L3733" s="13">
        <f>IFERROR(__xludf.DUMMYFUNCTION("""COMPUTED_VALUE"""),46203.0)</f>
        <v>46203</v>
      </c>
    </row>
    <row r="3734">
      <c r="A3734" s="6" t="str">
        <f>IFERROR(__xludf.DUMMYFUNCTION("""COMPUTED_VALUE"""),"SFH")</f>
        <v>SFH</v>
      </c>
      <c r="B3734" s="6" t="str">
        <f>IFERROR(__xludf.DUMMYFUNCTION("""COMPUTED_VALUE"""),"ENG")</f>
        <v>ENG</v>
      </c>
      <c r="C3734" s="6" t="str">
        <f>IFERROR(__xludf.DUMMYFUNCTION("""COMPUTED_VALUE"""),"Q-10517-00")</f>
        <v>Q-10517-00</v>
      </c>
      <c r="D3734" s="6" t="str">
        <f>IFERROR(__xludf.DUMMYFUNCTION("""COMPUTED_VALUE"""),"Scraper / Kape Besi; ; ;")</f>
        <v>Scraper / Kape Besi; ; ;</v>
      </c>
      <c r="E3734" s="6">
        <f>IFERROR(__xludf.DUMMYFUNCTION("""COMPUTED_VALUE"""),1.0)</f>
        <v>1</v>
      </c>
      <c r="F3734" s="6">
        <f>IFERROR(__xludf.DUMMYFUNCTION("""COMPUTED_VALUE"""),1.0)</f>
        <v>1</v>
      </c>
      <c r="G3734" s="6">
        <f>IFERROR(__xludf.DUMMYFUNCTION("""COMPUTED_VALUE"""),0.0)</f>
        <v>0</v>
      </c>
      <c r="H3734" s="6" t="str">
        <f>IFERROR(__xludf.DUMMYFUNCTION("""COMPUTED_VALUE"""),"pcs")</f>
        <v>pcs</v>
      </c>
      <c r="I3734" s="6" t="str">
        <f>IFERROR(__xludf.DUMMYFUNCTION("""COMPUTED_VALUE"""),"MFH")</f>
        <v>MFH</v>
      </c>
      <c r="J3734" s="6" t="str">
        <f>IFERROR(__xludf.DUMMYFUNCTION("""COMPUTED_VALUE"""),"Building")</f>
        <v>Building</v>
      </c>
      <c r="K3734" s="6" t="str">
        <f>IFERROR(__xludf.DUMMYFUNCTION("""COMPUTED_VALUE"""),"SPR/06/26/017")</f>
        <v>SPR/06/26/017</v>
      </c>
      <c r="L3734" s="13">
        <f>IFERROR(__xludf.DUMMYFUNCTION("""COMPUTED_VALUE"""),46203.0)</f>
        <v>46203</v>
      </c>
    </row>
    <row r="3735">
      <c r="A3735" s="6" t="str">
        <f>IFERROR(__xludf.DUMMYFUNCTION("""COMPUTED_VALUE"""),"NDS")</f>
        <v>NDS</v>
      </c>
      <c r="B3735" s="6" t="str">
        <f>IFERROR(__xludf.DUMMYFUNCTION("""COMPUTED_VALUE"""),"ENG")</f>
        <v>ENG</v>
      </c>
      <c r="C3735" s="6" t="str">
        <f>IFERROR(__xludf.DUMMYFUNCTION("""COMPUTED_VALUE"""),"O-16033-00")</f>
        <v>O-16033-00</v>
      </c>
      <c r="D373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735" s="6">
        <f>IFERROR(__xludf.DUMMYFUNCTION("""COMPUTED_VALUE"""),1.0)</f>
        <v>1</v>
      </c>
      <c r="F3735" s="6">
        <f>IFERROR(__xludf.DUMMYFUNCTION("""COMPUTED_VALUE"""),1.0)</f>
        <v>1</v>
      </c>
      <c r="G3735" s="6">
        <f>IFERROR(__xludf.DUMMYFUNCTION("""COMPUTED_VALUE"""),0.0)</f>
        <v>0</v>
      </c>
      <c r="H3735" s="6" t="str">
        <f>IFERROR(__xludf.DUMMYFUNCTION("""COMPUTED_VALUE"""),"pcs")</f>
        <v>pcs</v>
      </c>
      <c r="I3735" s="6" t="str">
        <f>IFERROR(__xludf.DUMMYFUNCTION("""COMPUTED_VALUE"""),"MFH")</f>
        <v>MFH</v>
      </c>
      <c r="J3735" s="6" t="str">
        <f>IFERROR(__xludf.DUMMYFUNCTION("""COMPUTED_VALUE"""),"cRABS")</f>
        <v>cRABS</v>
      </c>
      <c r="K3735" s="6" t="str">
        <f>IFERROR(__xludf.DUMMYFUNCTION("""COMPUTED_VALUE"""),"SPR/06/26/018")</f>
        <v>SPR/06/26/018</v>
      </c>
      <c r="L3735" s="13">
        <f>IFERROR(__xludf.DUMMYFUNCTION("""COMPUTED_VALUE"""),46203.0)</f>
        <v>46203</v>
      </c>
    </row>
    <row r="3736">
      <c r="A3736" s="6" t="str">
        <f>IFERROR(__xludf.DUMMYFUNCTION("""COMPUTED_VALUE"""),"NDS")</f>
        <v>NDS</v>
      </c>
      <c r="B3736" s="6" t="str">
        <f>IFERROR(__xludf.DUMMYFUNCTION("""COMPUTED_VALUE"""),"ENG")</f>
        <v>ENG</v>
      </c>
      <c r="C3736" s="6" t="str">
        <f>IFERROR(__xludf.DUMMYFUNCTION("""COMPUTED_VALUE"""),"O-16032-00")</f>
        <v>O-16032-00</v>
      </c>
      <c r="D3736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736" s="6">
        <f>IFERROR(__xludf.DUMMYFUNCTION("""COMPUTED_VALUE"""),1.0)</f>
        <v>1</v>
      </c>
      <c r="F3736" s="6">
        <f>IFERROR(__xludf.DUMMYFUNCTION("""COMPUTED_VALUE"""),1.0)</f>
        <v>1</v>
      </c>
      <c r="G3736" s="6">
        <f>IFERROR(__xludf.DUMMYFUNCTION("""COMPUTED_VALUE"""),0.0)</f>
        <v>0</v>
      </c>
      <c r="H3736" s="6" t="str">
        <f>IFERROR(__xludf.DUMMYFUNCTION("""COMPUTED_VALUE"""),"Pcs")</f>
        <v>Pcs</v>
      </c>
      <c r="I3736" s="6" t="str">
        <f>IFERROR(__xludf.DUMMYFUNCTION("""COMPUTED_VALUE"""),"MFH")</f>
        <v>MFH</v>
      </c>
      <c r="J3736" s="6" t="str">
        <f>IFERROR(__xludf.DUMMYFUNCTION("""COMPUTED_VALUE"""),"cRABS")</f>
        <v>cRABS</v>
      </c>
      <c r="K3736" s="6" t="str">
        <f>IFERROR(__xludf.DUMMYFUNCTION("""COMPUTED_VALUE"""),"SPR/06/26/018")</f>
        <v>SPR/06/26/018</v>
      </c>
      <c r="L3736" s="13">
        <f>IFERROR(__xludf.DUMMYFUNCTION("""COMPUTED_VALUE"""),46203.0)</f>
        <v>46203</v>
      </c>
    </row>
    <row r="3737">
      <c r="A3737" s="6" t="str">
        <f>IFERROR(__xludf.DUMMYFUNCTION("""COMPUTED_VALUE"""),"ROS")</f>
        <v>ROS</v>
      </c>
      <c r="B3737" s="6" t="str">
        <f>IFERROR(__xludf.DUMMYFUNCTION("""COMPUTED_VALUE"""),"ENG")</f>
        <v>ENG</v>
      </c>
      <c r="C3737" s="6" t="str">
        <f>IFERROR(__xludf.DUMMYFUNCTION("""COMPUTED_VALUE"""),"O-16982-00")</f>
        <v>O-16982-00</v>
      </c>
      <c r="D3737" s="6" t="str">
        <f>IFERROR(__xludf.DUMMYFUNCTION("""COMPUTED_VALUE"""),"Freeze Dryer MBE1207 - Diaphrapm DA008ER M4 Saunders CIPTA SOLUSI ANDALAN, PT P/N : -  pc")</f>
        <v>Freeze Dryer MBE1207 - Diaphrapm DA008ER M4 Saunders CIPTA SOLUSI ANDALAN, PT P/N : -  pc</v>
      </c>
      <c r="E3737" s="6">
        <f>IFERROR(__xludf.DUMMYFUNCTION("""COMPUTED_VALUE"""),1.0)</f>
        <v>1</v>
      </c>
      <c r="F3737" s="6">
        <f>IFERROR(__xludf.DUMMYFUNCTION("""COMPUTED_VALUE"""),1.0)</f>
        <v>1</v>
      </c>
      <c r="G3737" s="6">
        <f>IFERROR(__xludf.DUMMYFUNCTION("""COMPUTED_VALUE"""),0.0)</f>
        <v>0</v>
      </c>
      <c r="H3737" s="6" t="str">
        <f>IFERROR(__xludf.DUMMYFUNCTION("""COMPUTED_VALUE"""),"Pcs")</f>
        <v>Pcs</v>
      </c>
      <c r="I3737" s="6" t="str">
        <f>IFERROR(__xludf.DUMMYFUNCTION("""COMPUTED_VALUE"""),"MFH")</f>
        <v>MFH</v>
      </c>
      <c r="J3737" s="6" t="str">
        <f>IFERROR(__xludf.DUMMYFUNCTION("""COMPUTED_VALUE"""),"FD")</f>
        <v>FD</v>
      </c>
      <c r="K3737" s="6" t="str">
        <f>IFERROR(__xludf.DUMMYFUNCTION("""COMPUTED_VALUE"""),"SPR/06/26/020")</f>
        <v>SPR/06/26/020</v>
      </c>
      <c r="L3737" s="13">
        <f>IFERROR(__xludf.DUMMYFUNCTION("""COMPUTED_VALUE"""),46203.0)</f>
        <v>46203</v>
      </c>
    </row>
    <row r="3738">
      <c r="A3738" s="6" t="str">
        <f>IFERROR(__xludf.DUMMYFUNCTION("""COMPUTED_VALUE"""),"ROS")</f>
        <v>ROS</v>
      </c>
      <c r="B3738" s="6" t="str">
        <f>IFERROR(__xludf.DUMMYFUNCTION("""COMPUTED_VALUE"""),"ENG")</f>
        <v>ENG</v>
      </c>
      <c r="C3738" s="6" t="str">
        <f>IFERROR(__xludf.DUMMYFUNCTION("""COMPUTED_VALUE"""),"O-20496-00")</f>
        <v>O-20496-00</v>
      </c>
      <c r="D3738" s="6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E3738" s="6">
        <f>IFERROR(__xludf.DUMMYFUNCTION("""COMPUTED_VALUE"""),1.0)</f>
        <v>1</v>
      </c>
      <c r="F3738" s="6">
        <f>IFERROR(__xludf.DUMMYFUNCTION("""COMPUTED_VALUE"""),1.0)</f>
        <v>1</v>
      </c>
      <c r="G3738" s="6">
        <f>IFERROR(__xludf.DUMMYFUNCTION("""COMPUTED_VALUE"""),0.0)</f>
        <v>0</v>
      </c>
      <c r="H3738" s="6" t="str">
        <f>IFERROR(__xludf.DUMMYFUNCTION("""COMPUTED_VALUE"""),"Pcs")</f>
        <v>Pcs</v>
      </c>
      <c r="I3738" s="6" t="str">
        <f>IFERROR(__xludf.DUMMYFUNCTION("""COMPUTED_VALUE"""),"MFH")</f>
        <v>MFH</v>
      </c>
      <c r="J3738" s="6" t="str">
        <f>IFERROR(__xludf.DUMMYFUNCTION("""COMPUTED_VALUE"""),"FD")</f>
        <v>FD</v>
      </c>
      <c r="K3738" s="6" t="str">
        <f>IFERROR(__xludf.DUMMYFUNCTION("""COMPUTED_VALUE"""),"SPR/06/26/020")</f>
        <v>SPR/06/26/020</v>
      </c>
      <c r="L3738" s="13">
        <f>IFERROR(__xludf.DUMMYFUNCTION("""COMPUTED_VALUE"""),46203.0)</f>
        <v>46203</v>
      </c>
    </row>
    <row r="3739">
      <c r="A3739" s="6" t="str">
        <f>IFERROR(__xludf.DUMMYFUNCTION("""COMPUTED_VALUE"""),"ROS")</f>
        <v>ROS</v>
      </c>
      <c r="B3739" s="6" t="str">
        <f>IFERROR(__xludf.DUMMYFUNCTION("""COMPUTED_VALUE"""),"ENG")</f>
        <v>ENG</v>
      </c>
      <c r="C3739" s="6" t="str">
        <f>IFERROR(__xludf.DUMMYFUNCTION("""COMPUTED_VALUE"""),"O-16981-00")</f>
        <v>O-16981-00</v>
      </c>
      <c r="D3739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3739" s="6">
        <f>IFERROR(__xludf.DUMMYFUNCTION("""COMPUTED_VALUE"""),10.0)</f>
        <v>10</v>
      </c>
      <c r="F3739" s="6">
        <f>IFERROR(__xludf.DUMMYFUNCTION("""COMPUTED_VALUE"""),10.0)</f>
        <v>10</v>
      </c>
      <c r="G3739" s="6">
        <f>IFERROR(__xludf.DUMMYFUNCTION("""COMPUTED_VALUE"""),0.0)</f>
        <v>0</v>
      </c>
      <c r="H3739" s="6" t="str">
        <f>IFERROR(__xludf.DUMMYFUNCTION("""COMPUTED_VALUE"""),"Pcs")</f>
        <v>Pcs</v>
      </c>
      <c r="I3739" s="6" t="str">
        <f>IFERROR(__xludf.DUMMYFUNCTION("""COMPUTED_VALUE"""),"MFH")</f>
        <v>MFH</v>
      </c>
      <c r="J3739" s="6" t="str">
        <f>IFERROR(__xludf.DUMMYFUNCTION("""COMPUTED_VALUE"""),"FD")</f>
        <v>FD</v>
      </c>
      <c r="K3739" s="6" t="str">
        <f>IFERROR(__xludf.DUMMYFUNCTION("""COMPUTED_VALUE"""),"SPR/06/26/020")</f>
        <v>SPR/06/26/020</v>
      </c>
      <c r="L3739" s="13">
        <f>IFERROR(__xludf.DUMMYFUNCTION("""COMPUTED_VALUE"""),46203.0)</f>
        <v>46203</v>
      </c>
    </row>
    <row r="3740">
      <c r="A3740" s="6" t="str">
        <f>IFERROR(__xludf.DUMMYFUNCTION("""COMPUTED_VALUE"""),"ROS")</f>
        <v>ROS</v>
      </c>
      <c r="B3740" s="6" t="str">
        <f>IFERROR(__xludf.DUMMYFUNCTION("""COMPUTED_VALUE"""),"ENG")</f>
        <v>ENG</v>
      </c>
      <c r="C3740" s="6" t="str">
        <f>IFERROR(__xludf.DUMMYFUNCTION("""COMPUTED_VALUE"""),"O-16980-00")</f>
        <v>O-16980-00</v>
      </c>
      <c r="D3740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3740" s="6">
        <f>IFERROR(__xludf.DUMMYFUNCTION("""COMPUTED_VALUE"""),6.0)</f>
        <v>6</v>
      </c>
      <c r="F3740" s="6">
        <f>IFERROR(__xludf.DUMMYFUNCTION("""COMPUTED_VALUE"""),6.0)</f>
        <v>6</v>
      </c>
      <c r="G3740" s="6">
        <f>IFERROR(__xludf.DUMMYFUNCTION("""COMPUTED_VALUE"""),0.0)</f>
        <v>0</v>
      </c>
      <c r="H3740" s="6" t="str">
        <f>IFERROR(__xludf.DUMMYFUNCTION("""COMPUTED_VALUE"""),"pcs")</f>
        <v>pcs</v>
      </c>
      <c r="I3740" s="6" t="str">
        <f>IFERROR(__xludf.DUMMYFUNCTION("""COMPUTED_VALUE"""),"MFH")</f>
        <v>MFH</v>
      </c>
      <c r="J3740" s="6" t="str">
        <f>IFERROR(__xludf.DUMMYFUNCTION("""COMPUTED_VALUE"""),"FD")</f>
        <v>FD</v>
      </c>
      <c r="K3740" s="6" t="str">
        <f>IFERROR(__xludf.DUMMYFUNCTION("""COMPUTED_VALUE"""),"SPR/06/26/020")</f>
        <v>SPR/06/26/020</v>
      </c>
      <c r="L3740" s="13">
        <f>IFERROR(__xludf.DUMMYFUNCTION("""COMPUTED_VALUE"""),46203.0)</f>
        <v>46203</v>
      </c>
    </row>
    <row r="3741">
      <c r="A3741" s="6" t="str">
        <f>IFERROR(__xludf.DUMMYFUNCTION("""COMPUTED_VALUE"""),"KFF")</f>
        <v>KFF</v>
      </c>
      <c r="B3741" s="6" t="str">
        <f>IFERROR(__xludf.DUMMYFUNCTION("""COMPUTED_VALUE"""),"ENG")</f>
        <v>ENG</v>
      </c>
      <c r="C3741" s="6" t="str">
        <f>IFERROR(__xludf.DUMMYFUNCTION("""COMPUTED_VALUE"""),"P-12260-00")</f>
        <v>P-12260-00</v>
      </c>
      <c r="D3741" s="6" t="str">
        <f>IFERROR(__xludf.DUMMYFUNCTION("""COMPUTED_VALUE"""),"FESTO - Push In Connector QS-4-4")</f>
        <v>FESTO - Push In Connector QS-4-4</v>
      </c>
      <c r="E3741" s="6">
        <f>IFERROR(__xludf.DUMMYFUNCTION("""COMPUTED_VALUE"""),1.0)</f>
        <v>1</v>
      </c>
      <c r="F3741" s="6">
        <f>IFERROR(__xludf.DUMMYFUNCTION("""COMPUTED_VALUE"""),1.0)</f>
        <v>1</v>
      </c>
      <c r="G3741" s="6">
        <f>IFERROR(__xludf.DUMMYFUNCTION("""COMPUTED_VALUE"""),0.0)</f>
        <v>0</v>
      </c>
      <c r="H3741" s="6" t="str">
        <f>IFERROR(__xludf.DUMMYFUNCTION("""COMPUTED_VALUE"""),"pcs")</f>
        <v>pcs</v>
      </c>
      <c r="I3741" s="6" t="str">
        <f>IFERROR(__xludf.DUMMYFUNCTION("""COMPUTED_VALUE"""),"MFH")</f>
        <v>MFH</v>
      </c>
      <c r="J3741" s="6" t="str">
        <f>IFERROR(__xludf.DUMMYFUNCTION("""COMPUTED_VALUE"""),"Drylab")</f>
        <v>Drylab</v>
      </c>
      <c r="K3741" s="6" t="str">
        <f>IFERROR(__xludf.DUMMYFUNCTION("""COMPUTED_VALUE"""),"SPR/06/26/021")</f>
        <v>SPR/06/26/021</v>
      </c>
      <c r="L3741" s="13">
        <f>IFERROR(__xludf.DUMMYFUNCTION("""COMPUTED_VALUE"""),46203.0)</f>
        <v>46203</v>
      </c>
    </row>
    <row r="3742">
      <c r="A3742" s="6" t="str">
        <f>IFERROR(__xludf.DUMMYFUNCTION("""COMPUTED_VALUE"""),"KFF")</f>
        <v>KFF</v>
      </c>
      <c r="B3742" s="6" t="str">
        <f>IFERROR(__xludf.DUMMYFUNCTION("""COMPUTED_VALUE"""),"ENG")</f>
        <v>ENG</v>
      </c>
      <c r="C3742" s="6" t="str">
        <f>IFERROR(__xludf.DUMMYFUNCTION("""COMPUTED_VALUE"""),"P-15351-00")</f>
        <v>P-15351-00</v>
      </c>
      <c r="D3742" s="6" t="str">
        <f>IFERROR(__xludf.DUMMYFUNCTION("""COMPUTED_VALUE"""),"FESTO - Plastic tubing PUN-10x1,5-BL (Blue) p/n 159668; ; ;")</f>
        <v>FESTO - Plastic tubing PUN-10x1,5-BL (Blue) p/n 159668; ; ;</v>
      </c>
      <c r="E3742" s="6">
        <f>IFERROR(__xludf.DUMMYFUNCTION("""COMPUTED_VALUE"""),5.0)</f>
        <v>5</v>
      </c>
      <c r="F3742" s="6">
        <f>IFERROR(__xludf.DUMMYFUNCTION("""COMPUTED_VALUE"""),5.0)</f>
        <v>5</v>
      </c>
      <c r="G3742" s="6">
        <f>IFERROR(__xludf.DUMMYFUNCTION("""COMPUTED_VALUE"""),0.0)</f>
        <v>0</v>
      </c>
      <c r="H3742" s="6" t="str">
        <f>IFERROR(__xludf.DUMMYFUNCTION("""COMPUTED_VALUE"""),"M")</f>
        <v>M</v>
      </c>
      <c r="I3742" s="6" t="str">
        <f>IFERROR(__xludf.DUMMYFUNCTION("""COMPUTED_VALUE"""),"MFH")</f>
        <v>MFH</v>
      </c>
      <c r="J3742" s="6" t="str">
        <f>IFERROR(__xludf.DUMMYFUNCTION("""COMPUTED_VALUE"""),"Drylab")</f>
        <v>Drylab</v>
      </c>
      <c r="K3742" s="6" t="str">
        <f>IFERROR(__xludf.DUMMYFUNCTION("""COMPUTED_VALUE"""),"SPR/06/26/021")</f>
        <v>SPR/06/26/021</v>
      </c>
      <c r="L3742" s="13">
        <f>IFERROR(__xludf.DUMMYFUNCTION("""COMPUTED_VALUE"""),46203.0)</f>
        <v>46203</v>
      </c>
    </row>
    <row r="3743">
      <c r="A3743" s="6" t="str">
        <f>IFERROR(__xludf.DUMMYFUNCTION("""COMPUTED_VALUE"""),"KFF")</f>
        <v>KFF</v>
      </c>
      <c r="B3743" s="6" t="str">
        <f>IFERROR(__xludf.DUMMYFUNCTION("""COMPUTED_VALUE"""),"ENG")</f>
        <v>ENG</v>
      </c>
      <c r="C3743" s="6" t="str">
        <f>IFERROR(__xludf.DUMMYFUNCTION("""COMPUTED_VALUE"""),"P-14407-00")</f>
        <v>P-14407-00</v>
      </c>
      <c r="D3743" s="6" t="str">
        <f>IFERROR(__xludf.DUMMYFUNCTION("""COMPUTED_VALUE"""),"Gate Valve 1/2 inch")</f>
        <v>Gate Valve 1/2 inch</v>
      </c>
      <c r="E3743" s="6">
        <f>IFERROR(__xludf.DUMMYFUNCTION("""COMPUTED_VALUE"""),1.0)</f>
        <v>1</v>
      </c>
      <c r="F3743" s="6">
        <f>IFERROR(__xludf.DUMMYFUNCTION("""COMPUTED_VALUE"""),1.0)</f>
        <v>1</v>
      </c>
      <c r="G3743" s="6">
        <f>IFERROR(__xludf.DUMMYFUNCTION("""COMPUTED_VALUE"""),0.0)</f>
        <v>0</v>
      </c>
      <c r="H3743" s="6" t="str">
        <f>IFERROR(__xludf.DUMMYFUNCTION("""COMPUTED_VALUE"""),"Pcs")</f>
        <v>Pcs</v>
      </c>
      <c r="I3743" s="6" t="str">
        <f>IFERROR(__xludf.DUMMYFUNCTION("""COMPUTED_VALUE"""),"MFH")</f>
        <v>MFH</v>
      </c>
      <c r="J3743" s="6" t="str">
        <f>IFERROR(__xludf.DUMMYFUNCTION("""COMPUTED_VALUE"""),"Drylab")</f>
        <v>Drylab</v>
      </c>
      <c r="K3743" s="6" t="str">
        <f>IFERROR(__xludf.DUMMYFUNCTION("""COMPUTED_VALUE"""),"SPR/06/26/021")</f>
        <v>SPR/06/26/021</v>
      </c>
      <c r="L3743" s="13">
        <f>IFERROR(__xludf.DUMMYFUNCTION("""COMPUTED_VALUE"""),46203.0)</f>
        <v>46203</v>
      </c>
    </row>
    <row r="3744">
      <c r="A3744" s="6" t="str">
        <f>IFERROR(__xludf.DUMMYFUNCTION("""COMPUTED_VALUE"""),"KFF")</f>
        <v>KFF</v>
      </c>
      <c r="B3744" s="6" t="str">
        <f>IFERROR(__xludf.DUMMYFUNCTION("""COMPUTED_VALUE"""),"ENG")</f>
        <v>ENG</v>
      </c>
      <c r="C3744" s="6" t="str">
        <f>IFERROR(__xludf.DUMMYFUNCTION("""COMPUTED_VALUE"""),"P-50717-00")</f>
        <v>P-50717-00</v>
      </c>
      <c r="D3744" s="6" t="str">
        <f>IFERROR(__xludf.DUMMYFUNCTION("""COMPUTED_VALUE"""),"General - Kabel UTP 4 Pairs Cat 6; Belden; -; 305m/roll")</f>
        <v>General - Kabel UTP 4 Pairs Cat 6; Belden; -; 305m/roll</v>
      </c>
      <c r="E3744" s="6">
        <f>IFERROR(__xludf.DUMMYFUNCTION("""COMPUTED_VALUE"""),13.0)</f>
        <v>13</v>
      </c>
      <c r="F3744" s="6">
        <f>IFERROR(__xludf.DUMMYFUNCTION("""COMPUTED_VALUE"""),13.0)</f>
        <v>13</v>
      </c>
      <c r="G3744" s="6">
        <f>IFERROR(__xludf.DUMMYFUNCTION("""COMPUTED_VALUE"""),0.0)</f>
        <v>0</v>
      </c>
      <c r="H3744" s="6" t="str">
        <f>IFERROR(__xludf.DUMMYFUNCTION("""COMPUTED_VALUE"""),"M")</f>
        <v>M</v>
      </c>
      <c r="I3744" s="6" t="str">
        <f>IFERROR(__xludf.DUMMYFUNCTION("""COMPUTED_VALUE"""),"MFH")</f>
        <v>MFH</v>
      </c>
      <c r="J3744" s="6" t="str">
        <f>IFERROR(__xludf.DUMMYFUNCTION("""COMPUTED_VALUE"""),"Drylab")</f>
        <v>Drylab</v>
      </c>
      <c r="K3744" s="6" t="str">
        <f>IFERROR(__xludf.DUMMYFUNCTION("""COMPUTED_VALUE"""),"SPR/06/26/022")</f>
        <v>SPR/06/26/022</v>
      </c>
      <c r="L3744" s="13">
        <f>IFERROR(__xludf.DUMMYFUNCTION("""COMPUTED_VALUE"""),46203.0)</f>
        <v>46203</v>
      </c>
    </row>
    <row r="3745">
      <c r="A3745" s="6" t="str">
        <f>IFERROR(__xludf.DUMMYFUNCTION("""COMPUTED_VALUE"""),"KFF")</f>
        <v>KFF</v>
      </c>
      <c r="B3745" s="6" t="str">
        <f>IFERROR(__xludf.DUMMYFUNCTION("""COMPUTED_VALUE"""),"ENG")</f>
        <v>ENG</v>
      </c>
      <c r="C3745" s="6" t="str">
        <f>IFERROR(__xludf.DUMMYFUNCTION("""COMPUTED_VALUE"""),"P-52854-00")</f>
        <v>P-52854-00</v>
      </c>
      <c r="D3745" s="6" t="str">
        <f>IFERROR(__xludf.DUMMYFUNCTION("""COMPUTED_VALUE"""),"General - Socket RJ45 Cat 6; Belden; -; 50pcs/pack")</f>
        <v>General - Socket RJ45 Cat 6; Belden; -; 50pcs/pack</v>
      </c>
      <c r="E3745" s="6">
        <f>IFERROR(__xludf.DUMMYFUNCTION("""COMPUTED_VALUE"""),1.0)</f>
        <v>1</v>
      </c>
      <c r="F3745" s="6">
        <f>IFERROR(__xludf.DUMMYFUNCTION("""COMPUTED_VALUE"""),4.0)</f>
        <v>4</v>
      </c>
      <c r="G3745" s="6">
        <f>IFERROR(__xludf.DUMMYFUNCTION("""COMPUTED_VALUE"""),0.0)</f>
        <v>0</v>
      </c>
      <c r="H3745" s="6" t="str">
        <f>IFERROR(__xludf.DUMMYFUNCTION("""COMPUTED_VALUE"""),"Pcs")</f>
        <v>Pcs</v>
      </c>
      <c r="I3745" s="6" t="str">
        <f>IFERROR(__xludf.DUMMYFUNCTION("""COMPUTED_VALUE"""),"MFH")</f>
        <v>MFH</v>
      </c>
      <c r="J3745" s="6" t="str">
        <f>IFERROR(__xludf.DUMMYFUNCTION("""COMPUTED_VALUE"""),"PSD")</f>
        <v>PSD</v>
      </c>
      <c r="K3745" s="6" t="str">
        <f>IFERROR(__xludf.DUMMYFUNCTION("""COMPUTED_VALUE"""),"SPR/06/26/022")</f>
        <v>SPR/06/26/022</v>
      </c>
      <c r="L3745" s="13">
        <f>IFERROR(__xludf.DUMMYFUNCTION("""COMPUTED_VALUE"""),46203.0)</f>
        <v>46203</v>
      </c>
    </row>
    <row r="3746">
      <c r="A3746" s="6" t="str">
        <f>IFERROR(__xludf.DUMMYFUNCTION("""COMPUTED_VALUE"""),"KFF")</f>
        <v>KFF</v>
      </c>
      <c r="B3746" s="6" t="str">
        <f>IFERROR(__xludf.DUMMYFUNCTION("""COMPUTED_VALUE"""),"ENG")</f>
        <v>ENG</v>
      </c>
      <c r="C3746" s="6" t="str">
        <f>IFERROR(__xludf.DUMMYFUNCTION("""COMPUTED_VALUE"""),"S-40645-00")</f>
        <v>S-40645-00</v>
      </c>
      <c r="D3746" s="6" t="str">
        <f>IFERROR(__xludf.DUMMYFUNCTION("""COMPUTED_VALUE"""),"Cable Ties, 200 x 4.8 mm; SIGMA; CS 200L; Putih;100 pcs/pack")</f>
        <v>Cable Ties, 200 x 4.8 mm; SIGMA; CS 200L; Putih;100 pcs/pack</v>
      </c>
      <c r="E3746" s="6">
        <f>IFERROR(__xludf.DUMMYFUNCTION("""COMPUTED_VALUE"""),1.0)</f>
        <v>1</v>
      </c>
      <c r="F3746" s="6">
        <f>IFERROR(__xludf.DUMMYFUNCTION("""COMPUTED_VALUE"""),1.0)</f>
        <v>1</v>
      </c>
      <c r="G3746" s="6">
        <f>IFERROR(__xludf.DUMMYFUNCTION("""COMPUTED_VALUE"""),0.0)</f>
        <v>0</v>
      </c>
      <c r="H3746" s="6" t="str">
        <f>IFERROR(__xludf.DUMMYFUNCTION("""COMPUTED_VALUE"""),"Pcs")</f>
        <v>Pcs</v>
      </c>
      <c r="I3746" s="6" t="str">
        <f>IFERROR(__xludf.DUMMYFUNCTION("""COMPUTED_VALUE"""),"MFH")</f>
        <v>MFH</v>
      </c>
      <c r="J3746" s="6" t="str">
        <f>IFERROR(__xludf.DUMMYFUNCTION("""COMPUTED_VALUE"""),"PSD")</f>
        <v>PSD</v>
      </c>
      <c r="K3746" s="6" t="str">
        <f>IFERROR(__xludf.DUMMYFUNCTION("""COMPUTED_VALUE"""),"SPR/06/26/022")</f>
        <v>SPR/06/26/022</v>
      </c>
      <c r="L3746" s="13">
        <f>IFERROR(__xludf.DUMMYFUNCTION("""COMPUTED_VALUE"""),46203.0)</f>
        <v>46203</v>
      </c>
    </row>
    <row r="3747">
      <c r="A3747" s="6" t="str">
        <f>IFERROR(__xludf.DUMMYFUNCTION("""COMPUTED_VALUE"""),"BDU")</f>
        <v>BDU</v>
      </c>
      <c r="B3747" s="6" t="str">
        <f>IFERROR(__xludf.DUMMYFUNCTION("""COMPUTED_VALUE"""),"ENG")</f>
        <v>ENG</v>
      </c>
      <c r="C3747" s="6" t="str">
        <f>IFERROR(__xludf.DUMMYFUNCTION("""COMPUTED_VALUE"""),"P-54410-00")</f>
        <v>P-54410-00</v>
      </c>
      <c r="D3747" s="6" t="str">
        <f>IFERROR(__xludf.DUMMYFUNCTION("""COMPUTED_VALUE"""),"General - Fuse Kaca 1.5A, 250V, 5 x 20mm; No Brand; -; 1 pc")</f>
        <v>General - Fuse Kaca 1.5A, 250V, 5 x 20mm; No Brand; -; 1 pc</v>
      </c>
      <c r="E3747" s="6">
        <f>IFERROR(__xludf.DUMMYFUNCTION("""COMPUTED_VALUE"""),2.0)</f>
        <v>2</v>
      </c>
      <c r="F3747" s="6">
        <f>IFERROR(__xludf.DUMMYFUNCTION("""COMPUTED_VALUE"""),2.0)</f>
        <v>2</v>
      </c>
      <c r="G3747" s="6">
        <f>IFERROR(__xludf.DUMMYFUNCTION("""COMPUTED_VALUE"""),0.0)</f>
        <v>0</v>
      </c>
      <c r="H3747" s="6" t="str">
        <f>IFERROR(__xludf.DUMMYFUNCTION("""COMPUTED_VALUE"""),"Pcs")</f>
        <v>Pcs</v>
      </c>
      <c r="I3747" s="6" t="str">
        <f>IFERROR(__xludf.DUMMYFUNCTION("""COMPUTED_VALUE"""),"MFH")</f>
        <v>MFH</v>
      </c>
      <c r="J3747" s="6" t="str">
        <f>IFERROR(__xludf.DUMMYFUNCTION("""COMPUTED_VALUE"""),"Mixing ")</f>
        <v>Mixing </v>
      </c>
      <c r="K3747" s="6" t="str">
        <f>IFERROR(__xludf.DUMMYFUNCTION("""COMPUTED_VALUE"""),"SPR/06/26/023")</f>
        <v>SPR/06/26/023</v>
      </c>
      <c r="L3747" s="13">
        <f>IFERROR(__xludf.DUMMYFUNCTION("""COMPUTED_VALUE"""),46203.0)</f>
        <v>46203</v>
      </c>
    </row>
    <row r="3748">
      <c r="A3748" s="6" t="str">
        <f>IFERROR(__xludf.DUMMYFUNCTION("""COMPUTED_VALUE"""),"KFF")</f>
        <v>KFF</v>
      </c>
      <c r="B3748" s="6" t="str">
        <f>IFERROR(__xludf.DUMMYFUNCTION("""COMPUTED_VALUE"""),"ENG")</f>
        <v>ENG</v>
      </c>
      <c r="C3748" s="6" t="str">
        <f>IFERROR(__xludf.DUMMYFUNCTION("""COMPUTED_VALUE"""),"P-20509-00")</f>
        <v>P-20509-00</v>
      </c>
      <c r="D3748" s="6" t="str">
        <f>IFERROR(__xludf.DUMMYFUNCTION("""COMPUTED_VALUE"""),"General - Pressure Regulator AR20-F02G-D; SMC; -; 1 pc")</f>
        <v>General - Pressure Regulator AR20-F02G-D; SMC; -; 1 pc</v>
      </c>
      <c r="E3748" s="6">
        <f>IFERROR(__xludf.DUMMYFUNCTION("""COMPUTED_VALUE"""),1.0)</f>
        <v>1</v>
      </c>
      <c r="F3748" s="6">
        <f>IFERROR(__xludf.DUMMYFUNCTION("""COMPUTED_VALUE"""),1.0)</f>
        <v>1</v>
      </c>
      <c r="G3748" s="6">
        <f>IFERROR(__xludf.DUMMYFUNCTION("""COMPUTED_VALUE"""),0.0)</f>
        <v>0</v>
      </c>
      <c r="H3748" s="6" t="str">
        <f>IFERROR(__xludf.DUMMYFUNCTION("""COMPUTED_VALUE"""),"Pcs")</f>
        <v>Pcs</v>
      </c>
      <c r="I3748" s="6" t="str">
        <f>IFERROR(__xludf.DUMMYFUNCTION("""COMPUTED_VALUE"""),"MFH")</f>
        <v>MFH</v>
      </c>
      <c r="J3748" s="6" t="str">
        <f>IFERROR(__xludf.DUMMYFUNCTION("""COMPUTED_VALUE"""),"Drylab")</f>
        <v>Drylab</v>
      </c>
      <c r="K3748" s="6" t="str">
        <f>IFERROR(__xludf.DUMMYFUNCTION("""COMPUTED_VALUE"""),"SPR/06/26/023")</f>
        <v>SPR/06/26/023</v>
      </c>
      <c r="L3748" s="13">
        <f>IFERROR(__xludf.DUMMYFUNCTION("""COMPUTED_VALUE"""),46203.0)</f>
        <v>46203</v>
      </c>
    </row>
    <row r="3749">
      <c r="A3749" s="6" t="str">
        <f>IFERROR(__xludf.DUMMYFUNCTION("""COMPUTED_VALUE"""),"KFF")</f>
        <v>KFF</v>
      </c>
      <c r="B3749" s="6" t="str">
        <f>IFERROR(__xludf.DUMMYFUNCTION("""COMPUTED_VALUE"""),"ENG")</f>
        <v>ENG</v>
      </c>
      <c r="C3749" s="6" t="str">
        <f>IFERROR(__xludf.DUMMYFUNCTION("""COMPUTED_VALUE"""),"P-14948-00")</f>
        <v>P-14948-00</v>
      </c>
      <c r="D3749" s="6" t="str">
        <f>IFERROR(__xludf.DUMMYFUNCTION("""COMPUTED_VALUE"""),"Fitting Male Elbow KQ2L08-02AS; ; ;")</f>
        <v>Fitting Male Elbow KQ2L08-02AS; ; ;</v>
      </c>
      <c r="E3749" s="6">
        <f>IFERROR(__xludf.DUMMYFUNCTION("""COMPUTED_VALUE"""),2.0)</f>
        <v>2</v>
      </c>
      <c r="F3749" s="6">
        <f>IFERROR(__xludf.DUMMYFUNCTION("""COMPUTED_VALUE"""),2.0)</f>
        <v>2</v>
      </c>
      <c r="G3749" s="6">
        <f>IFERROR(__xludf.DUMMYFUNCTION("""COMPUTED_VALUE"""),0.0)</f>
        <v>0</v>
      </c>
      <c r="H3749" s="6" t="str">
        <f>IFERROR(__xludf.DUMMYFUNCTION("""COMPUTED_VALUE"""),"Pcs")</f>
        <v>Pcs</v>
      </c>
      <c r="I3749" s="6" t="str">
        <f>IFERROR(__xludf.DUMMYFUNCTION("""COMPUTED_VALUE"""),"MFH")</f>
        <v>MFH</v>
      </c>
      <c r="J3749" s="6" t="str">
        <f>IFERROR(__xludf.DUMMYFUNCTION("""COMPUTED_VALUE"""),"Drylab")</f>
        <v>Drylab</v>
      </c>
      <c r="K3749" s="6" t="str">
        <f>IFERROR(__xludf.DUMMYFUNCTION("""COMPUTED_VALUE"""),"SPR/06/26/023")</f>
        <v>SPR/06/26/023</v>
      </c>
      <c r="L3749" s="13">
        <f>IFERROR(__xludf.DUMMYFUNCTION("""COMPUTED_VALUE"""),46203.0)</f>
        <v>46203</v>
      </c>
    </row>
    <row r="3750">
      <c r="A3750" s="6" t="str">
        <f>IFERROR(__xludf.DUMMYFUNCTION("""COMPUTED_VALUE"""),"KFF")</f>
        <v>KFF</v>
      </c>
      <c r="B3750" s="6" t="str">
        <f>IFERROR(__xludf.DUMMYFUNCTION("""COMPUTED_VALUE"""),"ENG")</f>
        <v>ENG</v>
      </c>
      <c r="C3750" s="6" t="str">
        <f>IFERROR(__xludf.DUMMYFUNCTION("""COMPUTED_VALUE"""),"P-12265-00")</f>
        <v>P-12265-00</v>
      </c>
      <c r="D3750" s="6" t="str">
        <f>IFERROR(__xludf.DUMMYFUNCTION("""COMPUTED_VALUE"""),"FESTO - Push In Connector QS-8-6 p/n 153038")</f>
        <v>FESTO - Push In Connector QS-8-6 p/n 153038</v>
      </c>
      <c r="E3750" s="6">
        <f>IFERROR(__xludf.DUMMYFUNCTION("""COMPUTED_VALUE"""),2.0)</f>
        <v>2</v>
      </c>
      <c r="F3750" s="6">
        <f>IFERROR(__xludf.DUMMYFUNCTION("""COMPUTED_VALUE"""),2.0)</f>
        <v>2</v>
      </c>
      <c r="G3750" s="6">
        <f>IFERROR(__xludf.DUMMYFUNCTION("""COMPUTED_VALUE"""),0.0)</f>
        <v>0</v>
      </c>
      <c r="H3750" s="6" t="str">
        <f>IFERROR(__xludf.DUMMYFUNCTION("""COMPUTED_VALUE"""),"Pcs")</f>
        <v>Pcs</v>
      </c>
      <c r="I3750" s="6" t="str">
        <f>IFERROR(__xludf.DUMMYFUNCTION("""COMPUTED_VALUE"""),"MFH")</f>
        <v>MFH</v>
      </c>
      <c r="J3750" s="6" t="str">
        <f>IFERROR(__xludf.DUMMYFUNCTION("""COMPUTED_VALUE"""),"Drylab")</f>
        <v>Drylab</v>
      </c>
      <c r="K3750" s="6" t="str">
        <f>IFERROR(__xludf.DUMMYFUNCTION("""COMPUTED_VALUE"""),"SPR/06/26/023")</f>
        <v>SPR/06/26/023</v>
      </c>
      <c r="L3750" s="13">
        <f>IFERROR(__xludf.DUMMYFUNCTION("""COMPUTED_VALUE"""),46203.0)</f>
        <v>46203</v>
      </c>
    </row>
    <row r="3751">
      <c r="A3751" s="6" t="str">
        <f>IFERROR(__xludf.DUMMYFUNCTION("""COMPUTED_VALUE"""),"NDS")</f>
        <v>NDS</v>
      </c>
      <c r="B3751" s="6" t="str">
        <f>IFERROR(__xludf.DUMMYFUNCTION("""COMPUTED_VALUE"""),"ENG")</f>
        <v>ENG</v>
      </c>
      <c r="C3751" s="6" t="str">
        <f>IFERROR(__xludf.DUMMYFUNCTION("""COMPUTED_VALUE"""),"P-10945-00")</f>
        <v>P-10945-00</v>
      </c>
      <c r="D3751" s="6" t="str">
        <f>IFERROR(__xludf.DUMMYFUNCTION("""COMPUTED_VALUE"""),"Insulation - Seal Tape onda")</f>
        <v>Insulation - Seal Tape onda</v>
      </c>
      <c r="E3751" s="6">
        <f>IFERROR(__xludf.DUMMYFUNCTION("""COMPUTED_VALUE"""),1.0)</f>
        <v>1</v>
      </c>
      <c r="F3751" s="6">
        <f>IFERROR(__xludf.DUMMYFUNCTION("""COMPUTED_VALUE"""),1.0)</f>
        <v>1</v>
      </c>
      <c r="G3751" s="6">
        <f>IFERROR(__xludf.DUMMYFUNCTION("""COMPUTED_VALUE"""),0.0)</f>
        <v>0</v>
      </c>
      <c r="H3751" s="6" t="str">
        <f>IFERROR(__xludf.DUMMYFUNCTION("""COMPUTED_VALUE"""),"Pcs")</f>
        <v>Pcs</v>
      </c>
      <c r="I3751" s="6" t="str">
        <f>IFERROR(__xludf.DUMMYFUNCTION("""COMPUTED_VALUE"""),"MFH")</f>
        <v>MFH</v>
      </c>
      <c r="J3751" s="6" t="str">
        <f>IFERROR(__xludf.DUMMYFUNCTION("""COMPUTED_VALUE"""),"Autoclave")</f>
        <v>Autoclave</v>
      </c>
      <c r="K3751" s="6" t="str">
        <f>IFERROR(__xludf.DUMMYFUNCTION("""COMPUTED_VALUE"""),"SPR/06/26/024")</f>
        <v>SPR/06/26/024</v>
      </c>
      <c r="L3751" s="13">
        <f>IFERROR(__xludf.DUMMYFUNCTION("""COMPUTED_VALUE"""),46203.0)</f>
        <v>46203</v>
      </c>
    </row>
    <row r="3752">
      <c r="A3752" s="6" t="str">
        <f>IFERROR(__xludf.DUMMYFUNCTION("""COMPUTED_VALUE"""),"NDS")</f>
        <v>NDS</v>
      </c>
      <c r="B3752" s="6" t="str">
        <f>IFERROR(__xludf.DUMMYFUNCTION("""COMPUTED_VALUE"""),"ENG")</f>
        <v>ENG</v>
      </c>
      <c r="C3752" s="6" t="str">
        <f>IFERROR(__xludf.DUMMYFUNCTION("""COMPUTED_VALUE"""),"P-12263-00")</f>
        <v>P-12263-00</v>
      </c>
      <c r="D3752" s="6" t="str">
        <f>IFERROR(__xludf.DUMMYFUNCTION("""COMPUTED_VALUE"""),"FESTO - Push In Connector QS-8 p/n 153033")</f>
        <v>FESTO - Push In Connector QS-8 p/n 153033</v>
      </c>
      <c r="E3752" s="6">
        <f>IFERROR(__xludf.DUMMYFUNCTION("""COMPUTED_VALUE"""),2.0)</f>
        <v>2</v>
      </c>
      <c r="F3752" s="6">
        <f>IFERROR(__xludf.DUMMYFUNCTION("""COMPUTED_VALUE"""),2.0)</f>
        <v>2</v>
      </c>
      <c r="G3752" s="6">
        <f>IFERROR(__xludf.DUMMYFUNCTION("""COMPUTED_VALUE"""),0.0)</f>
        <v>0</v>
      </c>
      <c r="H3752" s="6" t="str">
        <f>IFERROR(__xludf.DUMMYFUNCTION("""COMPUTED_VALUE"""),"Pcs")</f>
        <v>Pcs</v>
      </c>
      <c r="I3752" s="6" t="str">
        <f>IFERROR(__xludf.DUMMYFUNCTION("""COMPUTED_VALUE"""),"MFH")</f>
        <v>MFH</v>
      </c>
      <c r="J3752" s="6" t="str">
        <f>IFERROR(__xludf.DUMMYFUNCTION("""COMPUTED_VALUE"""),"Autoclave")</f>
        <v>Autoclave</v>
      </c>
      <c r="K3752" s="6" t="str">
        <f>IFERROR(__xludf.DUMMYFUNCTION("""COMPUTED_VALUE"""),"SPR/06/26/024")</f>
        <v>SPR/06/26/024</v>
      </c>
      <c r="L3752" s="13">
        <f>IFERROR(__xludf.DUMMYFUNCTION("""COMPUTED_VALUE"""),46203.0)</f>
        <v>46203</v>
      </c>
    </row>
    <row r="3753">
      <c r="A3753" s="6" t="str">
        <f>IFERROR(__xludf.DUMMYFUNCTION("""COMPUTED_VALUE"""),"NDS")</f>
        <v>NDS</v>
      </c>
      <c r="B3753" s="6" t="str">
        <f>IFERROR(__xludf.DUMMYFUNCTION("""COMPUTED_VALUE"""),"ENG")</f>
        <v>ENG</v>
      </c>
      <c r="C3753" s="6" t="str">
        <f>IFERROR(__xludf.DUMMYFUNCTION("""COMPUTED_VALUE"""),"P-12265-00")</f>
        <v>P-12265-00</v>
      </c>
      <c r="D3753" s="6" t="str">
        <f>IFERROR(__xludf.DUMMYFUNCTION("""COMPUTED_VALUE"""),"FESTO - Push In Connector QS-8-6 p/n 153038")</f>
        <v>FESTO - Push In Connector QS-8-6 p/n 153038</v>
      </c>
      <c r="E3753" s="6">
        <f>IFERROR(__xludf.DUMMYFUNCTION("""COMPUTED_VALUE"""),1.0)</f>
        <v>1</v>
      </c>
      <c r="F3753" s="6">
        <f>IFERROR(__xludf.DUMMYFUNCTION("""COMPUTED_VALUE"""),1.0)</f>
        <v>1</v>
      </c>
      <c r="G3753" s="6">
        <f>IFERROR(__xludf.DUMMYFUNCTION("""COMPUTED_VALUE"""),0.0)</f>
        <v>0</v>
      </c>
      <c r="H3753" s="6" t="str">
        <f>IFERROR(__xludf.DUMMYFUNCTION("""COMPUTED_VALUE"""),"Pcs")</f>
        <v>Pcs</v>
      </c>
      <c r="I3753" s="6" t="str">
        <f>IFERROR(__xludf.DUMMYFUNCTION("""COMPUTED_VALUE"""),"MFH")</f>
        <v>MFH</v>
      </c>
      <c r="J3753" s="6" t="str">
        <f>IFERROR(__xludf.DUMMYFUNCTION("""COMPUTED_VALUE"""),"Autoclave")</f>
        <v>Autoclave</v>
      </c>
      <c r="K3753" s="6" t="str">
        <f>IFERROR(__xludf.DUMMYFUNCTION("""COMPUTED_VALUE"""),"SPR/06/26/024")</f>
        <v>SPR/06/26/024</v>
      </c>
      <c r="L3753" s="13">
        <f>IFERROR(__xludf.DUMMYFUNCTION("""COMPUTED_VALUE"""),46203.0)</f>
        <v>46203</v>
      </c>
    </row>
    <row r="3754">
      <c r="A3754" s="6" t="str">
        <f>IFERROR(__xludf.DUMMYFUNCTION("""COMPUTED_VALUE"""),"KFF")</f>
        <v>KFF</v>
      </c>
      <c r="B3754" s="6" t="str">
        <f>IFERROR(__xludf.DUMMYFUNCTION("""COMPUTED_VALUE"""),"ENG")</f>
        <v>ENG</v>
      </c>
      <c r="C3754" s="6" t="str">
        <f>IFERROR(__xludf.DUMMYFUNCTION("""COMPUTED_VALUE"""),"O-15619-00")</f>
        <v>O-15619-00</v>
      </c>
      <c r="D3754" s="6" t="str">
        <f>IFERROR(__xludf.DUMMYFUNCTION("""COMPUTED_VALUE"""),"HIGH PRECISION OPTICAL FIBER 1")</f>
        <v>HIGH PRECISION OPTICAL FIBER 1</v>
      </c>
      <c r="E3754" s="6">
        <f>IFERROR(__xludf.DUMMYFUNCTION("""COMPUTED_VALUE"""),2.0)</f>
        <v>2</v>
      </c>
      <c r="F3754" s="6">
        <f>IFERROR(__xludf.DUMMYFUNCTION("""COMPUTED_VALUE"""),2.0)</f>
        <v>2</v>
      </c>
      <c r="G3754" s="6">
        <f>IFERROR(__xludf.DUMMYFUNCTION("""COMPUTED_VALUE"""),0.0)</f>
        <v>0</v>
      </c>
      <c r="H3754" s="6" t="str">
        <f>IFERROR(__xludf.DUMMYFUNCTION("""COMPUTED_VALUE"""),"Pcs")</f>
        <v>Pcs</v>
      </c>
      <c r="I3754" s="6" t="str">
        <f>IFERROR(__xludf.DUMMYFUNCTION("""COMPUTED_VALUE"""),"MFH")</f>
        <v>MFH</v>
      </c>
      <c r="J3754" s="6" t="str">
        <f>IFERROR(__xludf.DUMMYFUNCTION("""COMPUTED_VALUE"""),"Capping")</f>
        <v>Capping</v>
      </c>
      <c r="K3754" s="6" t="str">
        <f>IFERROR(__xludf.DUMMYFUNCTION("""COMPUTED_VALUE"""),"SPR/06/26/025")</f>
        <v>SPR/06/26/025</v>
      </c>
      <c r="L3754" s="13">
        <f>IFERROR(__xludf.DUMMYFUNCTION("""COMPUTED_VALUE"""),46203.0)</f>
        <v>46203</v>
      </c>
    </row>
    <row r="3755">
      <c r="A3755" s="6" t="str">
        <f>IFERROR(__xludf.DUMMYFUNCTION("""COMPUTED_VALUE"""),"KFF")</f>
        <v>KFF</v>
      </c>
      <c r="B3755" s="6" t="str">
        <f>IFERROR(__xludf.DUMMYFUNCTION("""COMPUTED_VALUE"""),"ENG")</f>
        <v>ENG</v>
      </c>
      <c r="C3755" s="6" t="str">
        <f>IFERROR(__xludf.DUMMYFUNCTION("""COMPUTED_VALUE"""),"P-17896-00")</f>
        <v>P-17896-00</v>
      </c>
      <c r="D3755" s="6" t="str">
        <f>IFERROR(__xludf.DUMMYFUNCTION("""COMPUTED_VALUE"""),"General - Hole Saw for Stainless Steel, dia. 37 mm; No Brand; -; 1 pcs")</f>
        <v>General - Hole Saw for Stainless Steel, dia. 37 mm; No Brand; -; 1 pcs</v>
      </c>
      <c r="E3755" s="6">
        <f>IFERROR(__xludf.DUMMYFUNCTION("""COMPUTED_VALUE"""),1.0)</f>
        <v>1</v>
      </c>
      <c r="F3755" s="6">
        <f>IFERROR(__xludf.DUMMYFUNCTION("""COMPUTED_VALUE"""),1.0)</f>
        <v>1</v>
      </c>
      <c r="G3755" s="6">
        <f>IFERROR(__xludf.DUMMYFUNCTION("""COMPUTED_VALUE"""),0.0)</f>
        <v>0</v>
      </c>
      <c r="H3755" s="6" t="str">
        <f>IFERROR(__xludf.DUMMYFUNCTION("""COMPUTED_VALUE"""),"Pcs")</f>
        <v>Pcs</v>
      </c>
      <c r="I3755" s="6" t="str">
        <f>IFERROR(__xludf.DUMMYFUNCTION("""COMPUTED_VALUE"""),"MFH")</f>
        <v>MFH</v>
      </c>
      <c r="J3755" s="6" t="str">
        <f>IFERROR(__xludf.DUMMYFUNCTION("""COMPUTED_VALUE"""),"Blister")</f>
        <v>Blister</v>
      </c>
      <c r="K3755" s="6" t="str">
        <f>IFERROR(__xludf.DUMMYFUNCTION("""COMPUTED_VALUE"""),"SPR/06/26/026")</f>
        <v>SPR/06/26/026</v>
      </c>
      <c r="L3755" s="13">
        <f>IFERROR(__xludf.DUMMYFUNCTION("""COMPUTED_VALUE"""),46203.0)</f>
        <v>46203</v>
      </c>
    </row>
    <row r="3756">
      <c r="A3756" s="6" t="str">
        <f>IFERROR(__xludf.DUMMYFUNCTION("""COMPUTED_VALUE"""),"KFF")</f>
        <v>KFF</v>
      </c>
      <c r="B3756" s="6" t="str">
        <f>IFERROR(__xludf.DUMMYFUNCTION("""COMPUTED_VALUE"""),"ENG")</f>
        <v>ENG</v>
      </c>
      <c r="C3756" s="6" t="str">
        <f>IFERROR(__xludf.DUMMYFUNCTION("""COMPUTED_VALUE"""),"O-21438-00")</f>
        <v>O-21438-00</v>
      </c>
      <c r="D3756" s="6" t="str">
        <f>IFERROR(__xludf.DUMMYFUNCTION("""COMPUTED_VALUE"""),"Blister TR100LT - Filter Regulator; SMC; AW30-03G-D; 1 Pc")</f>
        <v>Blister TR100LT - Filter Regulator; SMC; AW30-03G-D; 1 Pc</v>
      </c>
      <c r="E3756" s="6">
        <f>IFERROR(__xludf.DUMMYFUNCTION("""COMPUTED_VALUE"""),1.0)</f>
        <v>1</v>
      </c>
      <c r="F3756" s="6">
        <f>IFERROR(__xludf.DUMMYFUNCTION("""COMPUTED_VALUE"""),1.0)</f>
        <v>1</v>
      </c>
      <c r="G3756" s="6">
        <f>IFERROR(__xludf.DUMMYFUNCTION("""COMPUTED_VALUE"""),0.0)</f>
        <v>0</v>
      </c>
      <c r="H3756" s="6" t="str">
        <f>IFERROR(__xludf.DUMMYFUNCTION("""COMPUTED_VALUE"""),"Pcs")</f>
        <v>Pcs</v>
      </c>
      <c r="I3756" s="6" t="str">
        <f>IFERROR(__xludf.DUMMYFUNCTION("""COMPUTED_VALUE"""),"MFH")</f>
        <v>MFH</v>
      </c>
      <c r="J3756" s="6" t="str">
        <f>IFERROR(__xludf.DUMMYFUNCTION("""COMPUTED_VALUE"""),"Blister")</f>
        <v>Blister</v>
      </c>
      <c r="K3756" s="6" t="str">
        <f>IFERROR(__xludf.DUMMYFUNCTION("""COMPUTED_VALUE"""),"SPR/06/26/026")</f>
        <v>SPR/06/26/026</v>
      </c>
      <c r="L3756" s="13">
        <f>IFERROR(__xludf.DUMMYFUNCTION("""COMPUTED_VALUE"""),46203.0)</f>
        <v>46203</v>
      </c>
    </row>
    <row r="3757">
      <c r="A3757" s="6" t="str">
        <f>IFERROR(__xludf.DUMMYFUNCTION("""COMPUTED_VALUE"""),"KFF")</f>
        <v>KFF</v>
      </c>
      <c r="B3757" s="6" t="str">
        <f>IFERROR(__xludf.DUMMYFUNCTION("""COMPUTED_VALUE"""),"ENG")</f>
        <v>ENG</v>
      </c>
      <c r="C3757" s="6" t="str">
        <f>IFERROR(__xludf.DUMMYFUNCTION("""COMPUTED_VALUE"""),"P-15077-00")</f>
        <v>P-15077-00</v>
      </c>
      <c r="D3757" s="6" t="str">
        <f>IFERROR(__xludf.DUMMYFUNCTION("""COMPUTED_VALUE"""),"Fitting KQ2H06-03AS")</f>
        <v>Fitting KQ2H06-03AS</v>
      </c>
      <c r="E3757" s="6">
        <f>IFERROR(__xludf.DUMMYFUNCTION("""COMPUTED_VALUE"""),2.0)</f>
        <v>2</v>
      </c>
      <c r="F3757" s="6">
        <f>IFERROR(__xludf.DUMMYFUNCTION("""COMPUTED_VALUE"""),2.0)</f>
        <v>2</v>
      </c>
      <c r="G3757" s="6">
        <f>IFERROR(__xludf.DUMMYFUNCTION("""COMPUTED_VALUE"""),0.0)</f>
        <v>0</v>
      </c>
      <c r="H3757" s="6" t="str">
        <f>IFERROR(__xludf.DUMMYFUNCTION("""COMPUTED_VALUE"""),"Pcs")</f>
        <v>Pcs</v>
      </c>
      <c r="I3757" s="6" t="str">
        <f>IFERROR(__xludf.DUMMYFUNCTION("""COMPUTED_VALUE"""),"MFH")</f>
        <v>MFH</v>
      </c>
      <c r="J3757" s="6" t="str">
        <f>IFERROR(__xludf.DUMMYFUNCTION("""COMPUTED_VALUE"""),"Blister")</f>
        <v>Blister</v>
      </c>
      <c r="K3757" s="6" t="str">
        <f>IFERROR(__xludf.DUMMYFUNCTION("""COMPUTED_VALUE"""),"SPR/06/26/026")</f>
        <v>SPR/06/26/026</v>
      </c>
      <c r="L3757" s="13">
        <f>IFERROR(__xludf.DUMMYFUNCTION("""COMPUTED_VALUE"""),46203.0)</f>
        <v>46203</v>
      </c>
    </row>
    <row r="3758">
      <c r="A3758" s="6" t="str">
        <f>IFERROR(__xludf.DUMMYFUNCTION("""COMPUTED_VALUE"""),"NDS")</f>
        <v>NDS</v>
      </c>
      <c r="B3758" s="6" t="str">
        <f>IFERROR(__xludf.DUMMYFUNCTION("""COMPUTED_VALUE"""),"ENG")</f>
        <v>ENG</v>
      </c>
      <c r="C3758" s="6" t="str">
        <f>IFERROR(__xludf.DUMMYFUNCTION("""COMPUTED_VALUE"""),"O-21485-00")</f>
        <v>O-21485-00</v>
      </c>
      <c r="D3758" s="6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E3758" s="6">
        <f>IFERROR(__xludf.DUMMYFUNCTION("""COMPUTED_VALUE"""),1.0)</f>
        <v>1</v>
      </c>
      <c r="F3758" s="6">
        <f>IFERROR(__xludf.DUMMYFUNCTION("""COMPUTED_VALUE"""),1.0)</f>
        <v>1</v>
      </c>
      <c r="G3758" s="6">
        <f>IFERROR(__xludf.DUMMYFUNCTION("""COMPUTED_VALUE"""),0.0)</f>
        <v>0</v>
      </c>
      <c r="H3758" s="6" t="str">
        <f>IFERROR(__xludf.DUMMYFUNCTION("""COMPUTED_VALUE"""),"Pcs")</f>
        <v>Pcs</v>
      </c>
      <c r="I3758" s="6" t="str">
        <f>IFERROR(__xludf.DUMMYFUNCTION("""COMPUTED_VALUE"""),"MFH")</f>
        <v>MFH</v>
      </c>
      <c r="J3758" s="6" t="str">
        <f>IFERROR(__xludf.DUMMYFUNCTION("""COMPUTED_VALUE"""),"Tabletting")</f>
        <v>Tabletting</v>
      </c>
      <c r="K3758" s="6" t="str">
        <f>IFERROR(__xludf.DUMMYFUNCTION("""COMPUTED_VALUE"""),"SPR/06/26/027")</f>
        <v>SPR/06/26/027</v>
      </c>
      <c r="L3758" s="13">
        <f>IFERROR(__xludf.DUMMYFUNCTION("""COMPUTED_VALUE"""),46203.0)</f>
        <v>46203</v>
      </c>
    </row>
    <row r="3759">
      <c r="A3759" s="6" t="str">
        <f>IFERROR(__xludf.DUMMYFUNCTION("""COMPUTED_VALUE"""),"SFH")</f>
        <v>SFH</v>
      </c>
      <c r="B3759" s="6" t="str">
        <f>IFERROR(__xludf.DUMMYFUNCTION("""COMPUTED_VALUE"""),"ENG")</f>
        <v>ENG</v>
      </c>
      <c r="C3759" s="6" t="str">
        <f>IFERROR(__xludf.DUMMYFUNCTION("""COMPUTED_VALUE"""),"Q-10249-00")</f>
        <v>Q-10249-00</v>
      </c>
      <c r="D3759" s="6" t="str">
        <f>IFERROR(__xludf.DUMMYFUNCTION("""COMPUTED_VALUE"""),"Lem Power Glue; ; ;")</f>
        <v>Lem Power Glue; ; ;</v>
      </c>
      <c r="E3759" s="6">
        <f>IFERROR(__xludf.DUMMYFUNCTION("""COMPUTED_VALUE"""),1.0)</f>
        <v>1</v>
      </c>
      <c r="F3759" s="6">
        <f>IFERROR(__xludf.DUMMYFUNCTION("""COMPUTED_VALUE"""),1.0)</f>
        <v>1</v>
      </c>
      <c r="G3759" s="6">
        <f>IFERROR(__xludf.DUMMYFUNCTION("""COMPUTED_VALUE"""),0.0)</f>
        <v>0</v>
      </c>
      <c r="H3759" s="6" t="str">
        <f>IFERROR(__xludf.DUMMYFUNCTION("""COMPUTED_VALUE"""),"Pcs")</f>
        <v>Pcs</v>
      </c>
      <c r="I3759" s="6" t="str">
        <f>IFERROR(__xludf.DUMMYFUNCTION("""COMPUTED_VALUE"""),"MFH")</f>
        <v>MFH</v>
      </c>
      <c r="J3759" s="6" t="str">
        <f>IFERROR(__xludf.DUMMYFUNCTION("""COMPUTED_VALUE"""),"Building")</f>
        <v>Building</v>
      </c>
      <c r="K3759" s="6" t="str">
        <f>IFERROR(__xludf.DUMMYFUNCTION("""COMPUTED_VALUE"""),"SPR/06/26/028")</f>
        <v>SPR/06/26/028</v>
      </c>
      <c r="L3759" s="13">
        <f>IFERROR(__xludf.DUMMYFUNCTION("""COMPUTED_VALUE"""),46203.0)</f>
        <v>46203</v>
      </c>
    </row>
    <row r="3760">
      <c r="A3760" s="6" t="str">
        <f>IFERROR(__xludf.DUMMYFUNCTION("""COMPUTED_VALUE"""),"SFH")</f>
        <v>SFH</v>
      </c>
      <c r="B3760" s="6" t="str">
        <f>IFERROR(__xludf.DUMMYFUNCTION("""COMPUTED_VALUE"""),"ENG")</f>
        <v>ENG</v>
      </c>
      <c r="C3760" s="6" t="str">
        <f>IFERROR(__xludf.DUMMYFUNCTION("""COMPUTED_VALUE"""),"P-54210-00")</f>
        <v>P-54210-00</v>
      </c>
      <c r="D3760" s="6" t="str">
        <f>IFERROR(__xludf.DUMMYFUNCTION("""COMPUTED_VALUE"""),"Tutup stop kontak; IEC 60529 BS5733;; Schneider; ;")</f>
        <v>Tutup stop kontak; IEC 60529 BS5733;; Schneider; ;</v>
      </c>
      <c r="E3760" s="6">
        <f>IFERROR(__xludf.DUMMYFUNCTION("""COMPUTED_VALUE"""),1.0)</f>
        <v>1</v>
      </c>
      <c r="F3760" s="6">
        <f>IFERROR(__xludf.DUMMYFUNCTION("""COMPUTED_VALUE"""),1.0)</f>
        <v>1</v>
      </c>
      <c r="G3760" s="6">
        <f>IFERROR(__xludf.DUMMYFUNCTION("""COMPUTED_VALUE"""),0.0)</f>
        <v>0</v>
      </c>
      <c r="H3760" s="6" t="str">
        <f>IFERROR(__xludf.DUMMYFUNCTION("""COMPUTED_VALUE"""),"Pcs")</f>
        <v>Pcs</v>
      </c>
      <c r="I3760" s="6" t="str">
        <f>IFERROR(__xludf.DUMMYFUNCTION("""COMPUTED_VALUE"""),"MFH")</f>
        <v>MFH</v>
      </c>
      <c r="J3760" s="6" t="str">
        <f>IFERROR(__xludf.DUMMYFUNCTION("""COMPUTED_VALUE"""),"Building")</f>
        <v>Building</v>
      </c>
      <c r="K3760" s="6" t="str">
        <f>IFERROR(__xludf.DUMMYFUNCTION("""COMPUTED_VALUE"""),"SPR/06/26/028")</f>
        <v>SPR/06/26/028</v>
      </c>
      <c r="L3760" s="13">
        <f>IFERROR(__xludf.DUMMYFUNCTION("""COMPUTED_VALUE"""),46203.0)</f>
        <v>46203</v>
      </c>
    </row>
    <row r="3761">
      <c r="A3761" s="6" t="str">
        <f>IFERROR(__xludf.DUMMYFUNCTION("""COMPUTED_VALUE"""),"SFH")</f>
        <v>SFH</v>
      </c>
      <c r="B3761" s="6" t="str">
        <f>IFERROR(__xludf.DUMMYFUNCTION("""COMPUTED_VALUE"""),"ENG")</f>
        <v>ENG</v>
      </c>
      <c r="C3761" s="6" t="str">
        <f>IFERROR(__xludf.DUMMYFUNCTION("""COMPUTED_VALUE"""),"P-50594-00")</f>
        <v>P-50594-00</v>
      </c>
      <c r="D3761" s="6" t="str">
        <f>IFERROR(__xludf.DUMMYFUNCTION("""COMPUTED_VALUE"""),"Stop Kontak-socket  / 1 Hole / 10-16A / 250V / Clipsal")</f>
        <v>Stop Kontak-socket  / 1 Hole / 10-16A / 250V / Clipsal</v>
      </c>
      <c r="E3761" s="6">
        <f>IFERROR(__xludf.DUMMYFUNCTION("""COMPUTED_VALUE"""),1.0)</f>
        <v>1</v>
      </c>
      <c r="F3761" s="6">
        <f>IFERROR(__xludf.DUMMYFUNCTION("""COMPUTED_VALUE"""),1.0)</f>
        <v>1</v>
      </c>
      <c r="G3761" s="6">
        <f>IFERROR(__xludf.DUMMYFUNCTION("""COMPUTED_VALUE"""),0.0)</f>
        <v>0</v>
      </c>
      <c r="H3761" s="6" t="str">
        <f>IFERROR(__xludf.DUMMYFUNCTION("""COMPUTED_VALUE"""),"Pcs")</f>
        <v>Pcs</v>
      </c>
      <c r="I3761" s="6" t="str">
        <f>IFERROR(__xludf.DUMMYFUNCTION("""COMPUTED_VALUE"""),"MFH")</f>
        <v>MFH</v>
      </c>
      <c r="J3761" s="6" t="str">
        <f>IFERROR(__xludf.DUMMYFUNCTION("""COMPUTED_VALUE"""),"Building")</f>
        <v>Building</v>
      </c>
      <c r="K3761" s="6" t="str">
        <f>IFERROR(__xludf.DUMMYFUNCTION("""COMPUTED_VALUE"""),"SPR/06/26/028")</f>
        <v>SPR/06/26/028</v>
      </c>
      <c r="L3761" s="13">
        <f>IFERROR(__xludf.DUMMYFUNCTION("""COMPUTED_VALUE"""),46203.0)</f>
        <v>46203</v>
      </c>
    </row>
    <row r="3762">
      <c r="A3762" s="6" t="str">
        <f>IFERROR(__xludf.DUMMYFUNCTION("""COMPUTED_VALUE"""),"ERA")</f>
        <v>ERA</v>
      </c>
      <c r="B3762" s="6" t="str">
        <f>IFERROR(__xludf.DUMMYFUNCTION("""COMPUTED_VALUE"""),"ENG")</f>
        <v>ENG</v>
      </c>
      <c r="C3762" s="6" t="str">
        <f>IFERROR(__xludf.DUMMYFUNCTION("""COMPUTED_VALUE"""),"O-21443-00")</f>
        <v>O-21443-00</v>
      </c>
      <c r="D3762" s="6" t="str">
        <f>IFERROR(__xludf.DUMMYFUNCTION("""COMPUTED_VALUE"""),"Washing RAR4 - Ball Valve SS304 Ferrule End Size 1 Inch; -; -; 1 Pc")</f>
        <v>Washing RAR4 - Ball Valve SS304 Ferrule End Size 1 Inch; -; -; 1 Pc</v>
      </c>
      <c r="E3762" s="6">
        <f>IFERROR(__xludf.DUMMYFUNCTION("""COMPUTED_VALUE"""),1.0)</f>
        <v>1</v>
      </c>
      <c r="F3762" s="6">
        <f>IFERROR(__xludf.DUMMYFUNCTION("""COMPUTED_VALUE"""),1.0)</f>
        <v>1</v>
      </c>
      <c r="G3762" s="6">
        <f>IFERROR(__xludf.DUMMYFUNCTION("""COMPUTED_VALUE"""),0.0)</f>
        <v>0</v>
      </c>
      <c r="H3762" s="6" t="str">
        <f>IFERROR(__xludf.DUMMYFUNCTION("""COMPUTED_VALUE"""),"Pcs")</f>
        <v>Pcs</v>
      </c>
      <c r="I3762" s="6" t="str">
        <f>IFERROR(__xludf.DUMMYFUNCTION("""COMPUTED_VALUE"""),"MFH")</f>
        <v>MFH</v>
      </c>
      <c r="J3762" s="6" t="str">
        <f>IFERROR(__xludf.DUMMYFUNCTION("""COMPUTED_VALUE"""),"Isolator Sampling")</f>
        <v>Isolator Sampling</v>
      </c>
      <c r="K3762" s="6" t="str">
        <f>IFERROR(__xludf.DUMMYFUNCTION("""COMPUTED_VALUE"""),"SPR/06/26/029")</f>
        <v>SPR/06/26/029</v>
      </c>
      <c r="L3762" s="13">
        <f>IFERROR(__xludf.DUMMYFUNCTION("""COMPUTED_VALUE"""),46203.0)</f>
        <v>46203</v>
      </c>
    </row>
    <row r="3763">
      <c r="A3763" s="6" t="str">
        <f>IFERROR(__xludf.DUMMYFUNCTION("""COMPUTED_VALUE"""),"NDS")</f>
        <v>NDS</v>
      </c>
      <c r="B3763" s="6" t="str">
        <f>IFERROR(__xludf.DUMMYFUNCTION("""COMPUTED_VALUE"""),"ENG")</f>
        <v>ENG</v>
      </c>
      <c r="C3763" s="6" t="str">
        <f>IFERROR(__xludf.DUMMYFUNCTION("""COMPUTED_VALUE"""),"T-20118-00")</f>
        <v>T-20118-00</v>
      </c>
      <c r="D3763" s="6" t="str">
        <f>IFERROR(__xludf.DUMMYFUNCTION("""COMPUTED_VALUE"""),"FILTER INSERT ASSY; Waters; P/N WAT088084")</f>
        <v>FILTER INSERT ASSY; Waters; P/N WAT088084</v>
      </c>
      <c r="E3763" s="6">
        <f>IFERROR(__xludf.DUMMYFUNCTION("""COMPUTED_VALUE"""),1.0)</f>
        <v>1</v>
      </c>
      <c r="F3763" s="6">
        <f>IFERROR(__xludf.DUMMYFUNCTION("""COMPUTED_VALUE"""),1.0)</f>
        <v>1</v>
      </c>
      <c r="G3763" s="6">
        <f>IFERROR(__xludf.DUMMYFUNCTION("""COMPUTED_VALUE"""),0.0)</f>
        <v>0</v>
      </c>
      <c r="H3763" s="6" t="str">
        <f>IFERROR(__xludf.DUMMYFUNCTION("""COMPUTED_VALUE"""),"Pcs")</f>
        <v>Pcs</v>
      </c>
      <c r="I3763" s="6" t="str">
        <f>IFERROR(__xludf.DUMMYFUNCTION("""COMPUTED_VALUE"""),"MFH")</f>
        <v>MFH</v>
      </c>
      <c r="J3763" s="6" t="str">
        <f>IFERROR(__xludf.DUMMYFUNCTION("""COMPUTED_VALUE"""),"HPLC")</f>
        <v>HPLC</v>
      </c>
      <c r="K3763" s="6" t="str">
        <f>IFERROR(__xludf.DUMMYFUNCTION("""COMPUTED_VALUE"""),"SPR/06/26/030")</f>
        <v>SPR/06/26/030</v>
      </c>
      <c r="L3763" s="13">
        <f>IFERROR(__xludf.DUMMYFUNCTION("""COMPUTED_VALUE"""),46203.0)</f>
        <v>46203</v>
      </c>
    </row>
    <row r="3764">
      <c r="A3764" s="6" t="str">
        <f>IFERROR(__xludf.DUMMYFUNCTION("""COMPUTED_VALUE"""),"SFH")</f>
        <v>SFH</v>
      </c>
      <c r="B3764" s="6" t="str">
        <f>IFERROR(__xludf.DUMMYFUNCTION("""COMPUTED_VALUE"""),"ENG")</f>
        <v>ENG</v>
      </c>
      <c r="C3764" s="6" t="str">
        <f>IFERROR(__xludf.DUMMYFUNCTION("""COMPUTED_VALUE"""),"Q-60434-00")</f>
        <v>Q-60434-00</v>
      </c>
      <c r="D3764" s="6" t="str">
        <f>IFERROR(__xludf.DUMMYFUNCTION("""COMPUTED_VALUE"""),"Semen putih / Acian Putih; Tiga Roda; TR-30; 40 kg/zak")</f>
        <v>Semen putih / Acian Putih; Tiga Roda; TR-30; 40 kg/zak</v>
      </c>
      <c r="E3764" s="6">
        <f>IFERROR(__xludf.DUMMYFUNCTION("""COMPUTED_VALUE"""),2.0)</f>
        <v>2</v>
      </c>
      <c r="F3764" s="6">
        <f>IFERROR(__xludf.DUMMYFUNCTION("""COMPUTED_VALUE"""),2.0)</f>
        <v>2</v>
      </c>
      <c r="G3764" s="6">
        <f>IFERROR(__xludf.DUMMYFUNCTION("""COMPUTED_VALUE"""),0.0)</f>
        <v>0</v>
      </c>
      <c r="H3764" s="6" t="str">
        <f>IFERROR(__xludf.DUMMYFUNCTION("""COMPUTED_VALUE"""),"Pck")</f>
        <v>Pck</v>
      </c>
      <c r="I3764" s="6" t="str">
        <f>IFERROR(__xludf.DUMMYFUNCTION("""COMPUTED_VALUE"""),"MFH")</f>
        <v>MFH</v>
      </c>
      <c r="J3764" s="6" t="str">
        <f>IFERROR(__xludf.DUMMYFUNCTION("""COMPUTED_VALUE"""),"Building")</f>
        <v>Building</v>
      </c>
      <c r="K3764" s="6" t="str">
        <f>IFERROR(__xludf.DUMMYFUNCTION("""COMPUTED_VALUE"""),"SPR/06/26/031")</f>
        <v>SPR/06/26/031</v>
      </c>
      <c r="L3764" s="13">
        <f>IFERROR(__xludf.DUMMYFUNCTION("""COMPUTED_VALUE"""),46203.0)</f>
        <v>46203</v>
      </c>
    </row>
    <row r="3765">
      <c r="A3765" s="6" t="str">
        <f>IFERROR(__xludf.DUMMYFUNCTION("""COMPUTED_VALUE"""),"SFH")</f>
        <v>SFH</v>
      </c>
      <c r="B3765" s="6" t="str">
        <f>IFERROR(__xludf.DUMMYFUNCTION("""COMPUTED_VALUE"""),"ENG")</f>
        <v>ENG</v>
      </c>
      <c r="C3765" s="6" t="str">
        <f>IFERROR(__xludf.DUMMYFUNCTION("""COMPUTED_VALUE"""),"-")</f>
        <v>-</v>
      </c>
      <c r="D3765" s="6" t="str">
        <f>IFERROR(__xludf.DUMMYFUNCTION("""COMPUTED_VALUE"""),"Baut Rumping")</f>
        <v>Baut Rumping</v>
      </c>
      <c r="E3765" s="6">
        <f>IFERROR(__xludf.DUMMYFUNCTION("""COMPUTED_VALUE"""),1.0)</f>
        <v>1</v>
      </c>
      <c r="F3765" s="6">
        <f>IFERROR(__xludf.DUMMYFUNCTION("""COMPUTED_VALUE"""),1.0)</f>
        <v>1</v>
      </c>
      <c r="G3765" s="6">
        <f>IFERROR(__xludf.DUMMYFUNCTION("""COMPUTED_VALUE"""),0.0)</f>
        <v>0</v>
      </c>
      <c r="H3765" s="6" t="str">
        <f>IFERROR(__xludf.DUMMYFUNCTION("""COMPUTED_VALUE"""),"Pcs")</f>
        <v>Pcs</v>
      </c>
      <c r="I3765" s="6" t="str">
        <f>IFERROR(__xludf.DUMMYFUNCTION("""COMPUTED_VALUE"""),"MFH")</f>
        <v>MFH</v>
      </c>
      <c r="J3765" s="6" t="str">
        <f>IFERROR(__xludf.DUMMYFUNCTION("""COMPUTED_VALUE"""),"Building")</f>
        <v>Building</v>
      </c>
      <c r="K3765" s="6" t="str">
        <f>IFERROR(__xludf.DUMMYFUNCTION("""COMPUTED_VALUE"""),"SPR/06/26/031")</f>
        <v>SPR/06/26/031</v>
      </c>
      <c r="L3765" s="13">
        <f>IFERROR(__xludf.DUMMYFUNCTION("""COMPUTED_VALUE"""),46203.0)</f>
        <v>46203</v>
      </c>
    </row>
    <row r="3766">
      <c r="A3766" s="6" t="str">
        <f>IFERROR(__xludf.DUMMYFUNCTION("""COMPUTED_VALUE"""),"WAP")</f>
        <v>WAP</v>
      </c>
      <c r="B3766" s="6" t="str">
        <f>IFERROR(__xludf.DUMMYFUNCTION("""COMPUTED_VALUE"""),"ENG")</f>
        <v>ENG</v>
      </c>
      <c r="C3766" s="6" t="str">
        <f>IFERROR(__xludf.DUMMYFUNCTION("""COMPUTED_VALUE"""),"O-14640-00")</f>
        <v>O-14640-00</v>
      </c>
      <c r="D3766" s="6" t="str">
        <f>IFERROR(__xludf.DUMMYFUNCTION("""COMPUTED_VALUE"""),"General - Silicone Gasket for Ferrule dia. 3/4""; -; -; 1 Pc")</f>
        <v>General - Silicone Gasket for Ferrule dia. 3/4"; -; -; 1 Pc</v>
      </c>
      <c r="E3766" s="6">
        <f>IFERROR(__xludf.DUMMYFUNCTION("""COMPUTED_VALUE"""),5.0)</f>
        <v>5</v>
      </c>
      <c r="F3766" s="6">
        <f>IFERROR(__xludf.DUMMYFUNCTION("""COMPUTED_VALUE"""),5.0)</f>
        <v>5</v>
      </c>
      <c r="G3766" s="6">
        <f>IFERROR(__xludf.DUMMYFUNCTION("""COMPUTED_VALUE"""),0.0)</f>
        <v>0</v>
      </c>
      <c r="H3766" s="6" t="str">
        <f>IFERROR(__xludf.DUMMYFUNCTION("""COMPUTED_VALUE"""),"Pcs")</f>
        <v>Pcs</v>
      </c>
      <c r="I3766" s="6" t="str">
        <f>IFERROR(__xludf.DUMMYFUNCTION("""COMPUTED_VALUE"""),"MFH")</f>
        <v>MFH</v>
      </c>
      <c r="J3766" s="6" t="str">
        <f>IFERROR(__xludf.DUMMYFUNCTION("""COMPUTED_VALUE"""),"Granulasi")</f>
        <v>Granulasi</v>
      </c>
      <c r="K3766" s="6" t="str">
        <f>IFERROR(__xludf.DUMMYFUNCTION("""COMPUTED_VALUE"""),"SPR/06/26/032")</f>
        <v>SPR/06/26/032</v>
      </c>
      <c r="L3766" s="13">
        <f>IFERROR(__xludf.DUMMYFUNCTION("""COMPUTED_VALUE"""),46203.0)</f>
        <v>46203</v>
      </c>
    </row>
    <row r="3767">
      <c r="A3767" s="6" t="str">
        <f>IFERROR(__xludf.DUMMYFUNCTION("""COMPUTED_VALUE"""),"SFH")</f>
        <v>SFH</v>
      </c>
      <c r="B3767" s="6" t="str">
        <f>IFERROR(__xludf.DUMMYFUNCTION("""COMPUTED_VALUE"""),"ENG")</f>
        <v>ENG</v>
      </c>
      <c r="C3767" s="6" t="str">
        <f>IFERROR(__xludf.DUMMYFUNCTION("""COMPUTED_VALUE"""),"P-12433-00")</f>
        <v>P-12433-00</v>
      </c>
      <c r="D3767" s="6" t="str">
        <f>IFERROR(__xludf.DUMMYFUNCTION("""COMPUTED_VALUE"""),"Isolasi AC- Sansui")</f>
        <v>Isolasi AC- Sansui</v>
      </c>
      <c r="E3767" s="6">
        <f>IFERROR(__xludf.DUMMYFUNCTION("""COMPUTED_VALUE"""),2.0)</f>
        <v>2</v>
      </c>
      <c r="F3767" s="6">
        <f>IFERROR(__xludf.DUMMYFUNCTION("""COMPUTED_VALUE"""),2.0)</f>
        <v>2</v>
      </c>
      <c r="G3767" s="6">
        <f>IFERROR(__xludf.DUMMYFUNCTION("""COMPUTED_VALUE"""),0.0)</f>
        <v>0</v>
      </c>
      <c r="H3767" s="6" t="str">
        <f>IFERROR(__xludf.DUMMYFUNCTION("""COMPUTED_VALUE"""),"Pcs")</f>
        <v>Pcs</v>
      </c>
      <c r="I3767" s="6" t="str">
        <f>IFERROR(__xludf.DUMMYFUNCTION("""COMPUTED_VALUE"""),"MFH")</f>
        <v>MFH</v>
      </c>
      <c r="J3767" s="6" t="str">
        <f>IFERROR(__xludf.DUMMYFUNCTION("""COMPUTED_VALUE"""),"Building")</f>
        <v>Building</v>
      </c>
      <c r="K3767" s="6" t="str">
        <f>IFERROR(__xludf.DUMMYFUNCTION("""COMPUTED_VALUE"""),"SPR/06/26/033")</f>
        <v>SPR/06/26/033</v>
      </c>
      <c r="L3767" s="13">
        <f>IFERROR(__xludf.DUMMYFUNCTION("""COMPUTED_VALUE"""),46203.0)</f>
        <v>46203</v>
      </c>
    </row>
    <row r="3768">
      <c r="A3768" s="6" t="str">
        <f>IFERROR(__xludf.DUMMYFUNCTION("""COMPUTED_VALUE"""),"SFH")</f>
        <v>SFH</v>
      </c>
      <c r="B3768" s="6" t="str">
        <f>IFERROR(__xludf.DUMMYFUNCTION("""COMPUTED_VALUE"""),"ENG")</f>
        <v>ENG</v>
      </c>
      <c r="C3768" s="6" t="str">
        <f>IFERROR(__xludf.DUMMYFUNCTION("""COMPUTED_VALUE"""),"P-11405-00")</f>
        <v>P-11405-00</v>
      </c>
      <c r="D3768" s="6" t="str">
        <f>IFERROR(__xludf.DUMMYFUNCTION("""COMPUTED_VALUE"""),"Seal Ferrule Teflon 1""")</f>
        <v>Seal Ferrule Teflon 1"</v>
      </c>
      <c r="E3768" s="6">
        <f>IFERROR(__xludf.DUMMYFUNCTION("""COMPUTED_VALUE"""),1.0)</f>
        <v>1</v>
      </c>
      <c r="F3768" s="6">
        <f>IFERROR(__xludf.DUMMYFUNCTION("""COMPUTED_VALUE"""),1.0)</f>
        <v>1</v>
      </c>
      <c r="G3768" s="6">
        <f>IFERROR(__xludf.DUMMYFUNCTION("""COMPUTED_VALUE"""),0.0)</f>
        <v>0</v>
      </c>
      <c r="H3768" s="6" t="str">
        <f>IFERROR(__xludf.DUMMYFUNCTION("""COMPUTED_VALUE"""),"Pcs")</f>
        <v>Pcs</v>
      </c>
      <c r="I3768" s="6" t="str">
        <f>IFERROR(__xludf.DUMMYFUNCTION("""COMPUTED_VALUE"""),"MFH")</f>
        <v>MFH</v>
      </c>
      <c r="J3768" s="6" t="str">
        <f>IFERROR(__xludf.DUMMYFUNCTION("""COMPUTED_VALUE"""),"Building")</f>
        <v>Building</v>
      </c>
      <c r="K3768" s="6" t="str">
        <f>IFERROR(__xludf.DUMMYFUNCTION("""COMPUTED_VALUE"""),"SPR/06/26/033")</f>
        <v>SPR/06/26/033</v>
      </c>
      <c r="L3768" s="13">
        <f>IFERROR(__xludf.DUMMYFUNCTION("""COMPUTED_VALUE"""),46203.0)</f>
        <v>46203</v>
      </c>
    </row>
    <row r="3769">
      <c r="A3769" s="6" t="str">
        <f>IFERROR(__xludf.DUMMYFUNCTION("""COMPUTED_VALUE"""),"SFH")</f>
        <v>SFH</v>
      </c>
      <c r="B3769" s="6" t="str">
        <f>IFERROR(__xludf.DUMMYFUNCTION("""COMPUTED_VALUE"""),"ENG")</f>
        <v>ENG</v>
      </c>
      <c r="C3769" s="6" t="str">
        <f>IFERROR(__xludf.DUMMYFUNCTION("""COMPUTED_VALUE"""),"P-13365-00")</f>
        <v>P-13365-00</v>
      </c>
      <c r="D3769" s="6" t="str">
        <f>IFERROR(__xludf.DUMMYFUNCTION("""COMPUTED_VALUE"""),"Cutting Wheel 14"" nippon resibon; ; ;")</f>
        <v>Cutting Wheel 14" nippon resibon; ; ;</v>
      </c>
      <c r="E3769" s="6">
        <f>IFERROR(__xludf.DUMMYFUNCTION("""COMPUTED_VALUE"""),1.0)</f>
        <v>1</v>
      </c>
      <c r="F3769" s="6">
        <f>IFERROR(__xludf.DUMMYFUNCTION("""COMPUTED_VALUE"""),1.0)</f>
        <v>1</v>
      </c>
      <c r="G3769" s="6">
        <f>IFERROR(__xludf.DUMMYFUNCTION("""COMPUTED_VALUE"""),0.0)</f>
        <v>0</v>
      </c>
      <c r="H3769" s="6" t="str">
        <f>IFERROR(__xludf.DUMMYFUNCTION("""COMPUTED_VALUE"""),"Pcs")</f>
        <v>Pcs</v>
      </c>
      <c r="I3769" s="6" t="str">
        <f>IFERROR(__xludf.DUMMYFUNCTION("""COMPUTED_VALUE"""),"MFH")</f>
        <v>MFH</v>
      </c>
      <c r="J3769" s="6" t="str">
        <f>IFERROR(__xludf.DUMMYFUNCTION("""COMPUTED_VALUE"""),"Building")</f>
        <v>Building</v>
      </c>
      <c r="K3769" s="6" t="str">
        <f>IFERROR(__xludf.DUMMYFUNCTION("""COMPUTED_VALUE"""),"SPR/06/26/034")</f>
        <v>SPR/06/26/034</v>
      </c>
      <c r="L3769" s="13">
        <f>IFERROR(__xludf.DUMMYFUNCTION("""COMPUTED_VALUE"""),46203.0)</f>
        <v>46203</v>
      </c>
    </row>
    <row r="3770">
      <c r="A3770" s="6" t="str">
        <f>IFERROR(__xludf.DUMMYFUNCTION("""COMPUTED_VALUE"""),"MRN")</f>
        <v>MRN</v>
      </c>
      <c r="B3770" s="6" t="str">
        <f>IFERROR(__xludf.DUMMYFUNCTION("""COMPUTED_VALUE"""),"ENG")</f>
        <v>ENG</v>
      </c>
      <c r="C3770" s="6" t="str">
        <f>IFERROR(__xludf.DUMMYFUNCTION("""COMPUTED_VALUE"""),"P-20576-00")</f>
        <v>P-20576-00</v>
      </c>
      <c r="D3770" s="6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E3770" s="6">
        <f>IFERROR(__xludf.DUMMYFUNCTION("""COMPUTED_VALUE"""),1.0)</f>
        <v>1</v>
      </c>
      <c r="F3770" s="6">
        <f>IFERROR(__xludf.DUMMYFUNCTION("""COMPUTED_VALUE"""),1.0)</f>
        <v>1</v>
      </c>
      <c r="G3770" s="6">
        <f>IFERROR(__xludf.DUMMYFUNCTION("""COMPUTED_VALUE"""),0.0)</f>
        <v>0</v>
      </c>
      <c r="H3770" s="6" t="str">
        <f>IFERROR(__xludf.DUMMYFUNCTION("""COMPUTED_VALUE"""),"Pcs")</f>
        <v>Pcs</v>
      </c>
      <c r="I3770" s="6" t="str">
        <f>IFERROR(__xludf.DUMMYFUNCTION("""COMPUTED_VALUE"""),"MFH")</f>
        <v>MFH</v>
      </c>
      <c r="J3770" s="6" t="str">
        <f>IFERROR(__xludf.DUMMYFUNCTION("""COMPUTED_VALUE"""),"Cooling Water")</f>
        <v>Cooling Water</v>
      </c>
      <c r="K3770" s="6" t="str">
        <f>IFERROR(__xludf.DUMMYFUNCTION("""COMPUTED_VALUE"""),"SPR/06/26/035")</f>
        <v>SPR/06/26/035</v>
      </c>
      <c r="L3770" s="13">
        <f>IFERROR(__xludf.DUMMYFUNCTION("""COMPUTED_VALUE"""),46203.0)</f>
        <v>46203</v>
      </c>
    </row>
    <row r="3771">
      <c r="A3771" s="6" t="str">
        <f>IFERROR(__xludf.DUMMYFUNCTION("""COMPUTED_VALUE"""),"MRN")</f>
        <v>MRN</v>
      </c>
      <c r="B3771" s="6" t="str">
        <f>IFERROR(__xludf.DUMMYFUNCTION("""COMPUTED_VALUE"""),"ENG")</f>
        <v>ENG</v>
      </c>
      <c r="C3771" s="6" t="str">
        <f>IFERROR(__xludf.DUMMYFUNCTION("""COMPUTED_VALUE"""),"P-20577-00")</f>
        <v>P-20577-00</v>
      </c>
      <c r="D3771" s="6" t="str">
        <f>IFERROR(__xludf.DUMMYFUNCTION("""COMPUTED_VALUE"""),"General - Ball Valve SS316 Fig. 600 UTKM 1/4 Inch 8mm Drat Screw; Kitz; -; 1 pc")</f>
        <v>General - Ball Valve SS316 Fig. 600 UTKM 1/4 Inch 8mm Drat Screw; Kitz; -; 1 pc</v>
      </c>
      <c r="E3771" s="6">
        <f>IFERROR(__xludf.DUMMYFUNCTION("""COMPUTED_VALUE"""),1.0)</f>
        <v>1</v>
      </c>
      <c r="F3771" s="6">
        <f>IFERROR(__xludf.DUMMYFUNCTION("""COMPUTED_VALUE"""),1.0)</f>
        <v>1</v>
      </c>
      <c r="G3771" s="6">
        <f>IFERROR(__xludf.DUMMYFUNCTION("""COMPUTED_VALUE"""),0.0)</f>
        <v>0</v>
      </c>
      <c r="H3771" s="6" t="str">
        <f>IFERROR(__xludf.DUMMYFUNCTION("""COMPUTED_VALUE"""),"Pcs")</f>
        <v>Pcs</v>
      </c>
      <c r="I3771" s="6" t="str">
        <f>IFERROR(__xludf.DUMMYFUNCTION("""COMPUTED_VALUE"""),"MFH")</f>
        <v>MFH</v>
      </c>
      <c r="J3771" s="6" t="str">
        <f>IFERROR(__xludf.DUMMYFUNCTION("""COMPUTED_VALUE"""),"Hot Water")</f>
        <v>Hot Water</v>
      </c>
      <c r="K3771" s="6" t="str">
        <f>IFERROR(__xludf.DUMMYFUNCTION("""COMPUTED_VALUE"""),"SPR/06/26/035")</f>
        <v>SPR/06/26/035</v>
      </c>
      <c r="L3771" s="13">
        <f>IFERROR(__xludf.DUMMYFUNCTION("""COMPUTED_VALUE"""),46203.0)</f>
        <v>46203</v>
      </c>
    </row>
    <row r="3772">
      <c r="A3772" s="6" t="str">
        <f>IFERROR(__xludf.DUMMYFUNCTION("""COMPUTED_VALUE"""),"ROS")</f>
        <v>ROS</v>
      </c>
      <c r="B3772" s="6" t="str">
        <f>IFERROR(__xludf.DUMMYFUNCTION("""COMPUTED_VALUE"""),"ENG")</f>
        <v>ENG</v>
      </c>
      <c r="C3772" s="6" t="str">
        <f>IFERROR(__xludf.DUMMYFUNCTION("""COMPUTED_VALUE"""),"O-13501-00")</f>
        <v>O-13501-00</v>
      </c>
      <c r="D3772" s="6" t="str">
        <f>IFERROR(__xludf.DUMMYFUNCTION("""COMPUTED_VALUE"""),"Pneumatic Fitting - QST 12 FESTO P/N : - pc")</f>
        <v>Pneumatic Fitting - QST 12 FESTO P/N : - pc</v>
      </c>
      <c r="E3772" s="6">
        <f>IFERROR(__xludf.DUMMYFUNCTION("""COMPUTED_VALUE"""),1.0)</f>
        <v>1</v>
      </c>
      <c r="F3772" s="6">
        <f>IFERROR(__xludf.DUMMYFUNCTION("""COMPUTED_VALUE"""),1.0)</f>
        <v>1</v>
      </c>
      <c r="G3772" s="6">
        <f>IFERROR(__xludf.DUMMYFUNCTION("""COMPUTED_VALUE"""),0.0)</f>
        <v>0</v>
      </c>
      <c r="H3772" s="6" t="str">
        <f>IFERROR(__xludf.DUMMYFUNCTION("""COMPUTED_VALUE"""),"Pcs")</f>
        <v>Pcs</v>
      </c>
      <c r="I3772" s="6" t="str">
        <f>IFERROR(__xludf.DUMMYFUNCTION("""COMPUTED_VALUE"""),"MFH")</f>
        <v>MFH</v>
      </c>
      <c r="J3772" s="6" t="str">
        <f>IFERROR(__xludf.DUMMYFUNCTION("""COMPUTED_VALUE"""),"-")</f>
        <v>-</v>
      </c>
      <c r="K3772" s="6" t="str">
        <f>IFERROR(__xludf.DUMMYFUNCTION("""COMPUTED_VALUE"""),"SPR/06/26/036")</f>
        <v>SPR/06/26/036</v>
      </c>
      <c r="L3772" s="13">
        <f>IFERROR(__xludf.DUMMYFUNCTION("""COMPUTED_VALUE"""),46203.0)</f>
        <v>46203</v>
      </c>
    </row>
    <row r="3773">
      <c r="A3773" s="6" t="str">
        <f>IFERROR(__xludf.DUMMYFUNCTION("""COMPUTED_VALUE"""),"ROS")</f>
        <v>ROS</v>
      </c>
      <c r="B3773" s="6" t="str">
        <f>IFERROR(__xludf.DUMMYFUNCTION("""COMPUTED_VALUE"""),"ENG")</f>
        <v>ENG</v>
      </c>
      <c r="C3773" s="6" t="str">
        <f>IFERROR(__xludf.DUMMYFUNCTION("""COMPUTED_VALUE"""),"P-19849-00")</f>
        <v>P-19849-00</v>
      </c>
      <c r="D3773" s="6" t="str">
        <f>IFERROR(__xludf.DUMMYFUNCTION("""COMPUTED_VALUE"""),"General - Reducer Pneumatic Fitting 14-12 mm; EMC; -; 1 pc")</f>
        <v>General - Reducer Pneumatic Fitting 14-12 mm; EMC; -; 1 pc</v>
      </c>
      <c r="E3773" s="6">
        <f>IFERROR(__xludf.DUMMYFUNCTION("""COMPUTED_VALUE"""),1.0)</f>
        <v>1</v>
      </c>
      <c r="F3773" s="6">
        <f>IFERROR(__xludf.DUMMYFUNCTION("""COMPUTED_VALUE"""),1.0)</f>
        <v>1</v>
      </c>
      <c r="G3773" s="6">
        <f>IFERROR(__xludf.DUMMYFUNCTION("""COMPUTED_VALUE"""),0.0)</f>
        <v>0</v>
      </c>
      <c r="H3773" s="6" t="str">
        <f>IFERROR(__xludf.DUMMYFUNCTION("""COMPUTED_VALUE"""),"Pcs")</f>
        <v>Pcs</v>
      </c>
      <c r="I3773" s="6" t="str">
        <f>IFERROR(__xludf.DUMMYFUNCTION("""COMPUTED_VALUE"""),"MFH")</f>
        <v>MFH</v>
      </c>
      <c r="J3773" s="6" t="str">
        <f>IFERROR(__xludf.DUMMYFUNCTION("""COMPUTED_VALUE"""),"-")</f>
        <v>-</v>
      </c>
      <c r="K3773" s="6" t="str">
        <f>IFERROR(__xludf.DUMMYFUNCTION("""COMPUTED_VALUE"""),"SPR/06/26/036")</f>
        <v>SPR/06/26/036</v>
      </c>
      <c r="L3773" s="13">
        <f>IFERROR(__xludf.DUMMYFUNCTION("""COMPUTED_VALUE"""),46203.0)</f>
        <v>46203</v>
      </c>
    </row>
    <row r="3774">
      <c r="A3774" s="6" t="str">
        <f>IFERROR(__xludf.DUMMYFUNCTION("""COMPUTED_VALUE"""),"MOB")</f>
        <v>MOB</v>
      </c>
      <c r="B3774" s="6" t="str">
        <f>IFERROR(__xludf.DUMMYFUNCTION("""COMPUTED_VALUE"""),"ENG")</f>
        <v>ENG</v>
      </c>
      <c r="C3774" s="6" t="str">
        <f>IFERROR(__xludf.DUMMYFUNCTION("""COMPUTED_VALUE"""),"P-15938-00")</f>
        <v>P-15938-00</v>
      </c>
      <c r="D3774" s="6" t="str">
        <f>IFERROR(__xludf.DUMMYFUNCTION("""COMPUTED_VALUE"""),"Water Hardness Test Kit; ; ;")</f>
        <v>Water Hardness Test Kit; ; ;</v>
      </c>
      <c r="E3774" s="6">
        <f>IFERROR(__xludf.DUMMYFUNCTION("""COMPUTED_VALUE"""),1.0)</f>
        <v>1</v>
      </c>
      <c r="F3774" s="6">
        <f>IFERROR(__xludf.DUMMYFUNCTION("""COMPUTED_VALUE"""),1.0)</f>
        <v>1</v>
      </c>
      <c r="G3774" s="6">
        <f>IFERROR(__xludf.DUMMYFUNCTION("""COMPUTED_VALUE"""),0.0)</f>
        <v>0</v>
      </c>
      <c r="H3774" s="6" t="str">
        <f>IFERROR(__xludf.DUMMYFUNCTION("""COMPUTED_VALUE"""),"Pcs")</f>
        <v>Pcs</v>
      </c>
      <c r="I3774" s="6" t="str">
        <f>IFERROR(__xludf.DUMMYFUNCTION("""COMPUTED_VALUE"""),"MFH")</f>
        <v>MFH</v>
      </c>
      <c r="J3774" s="6" t="str">
        <f>IFERROR(__xludf.DUMMYFUNCTION("""COMPUTED_VALUE"""),"PWG")</f>
        <v>PWG</v>
      </c>
      <c r="K3774" s="6" t="str">
        <f>IFERROR(__xludf.DUMMYFUNCTION("""COMPUTED_VALUE"""),"SPR/06/26/037")</f>
        <v>SPR/06/26/037</v>
      </c>
      <c r="L3774" s="13">
        <f>IFERROR(__xludf.DUMMYFUNCTION("""COMPUTED_VALUE"""),46203.0)</f>
        <v>46203</v>
      </c>
    </row>
    <row r="3775">
      <c r="A3775" s="6" t="str">
        <f>IFERROR(__xludf.DUMMYFUNCTION("""COMPUTED_VALUE"""),"KFF")</f>
        <v>KFF</v>
      </c>
      <c r="B3775" s="6" t="str">
        <f>IFERROR(__xludf.DUMMYFUNCTION("""COMPUTED_VALUE"""),"ENG")</f>
        <v>ENG</v>
      </c>
      <c r="C3775" s="6" t="str">
        <f>IFERROR(__xludf.DUMMYFUNCTION("""COMPUTED_VALUE"""),"O-19372-00")</f>
        <v>O-19372-00</v>
      </c>
      <c r="D3775" s="6" t="str">
        <f>IFERROR(__xludf.DUMMYFUNCTION("""COMPUTED_VALUE"""),"Washing RAR4 - Needle PW, OD.15mmx123mm, Material SS 319; ; ;")</f>
        <v>Washing RAR4 - Needle PW, OD.15mmx123mm, Material SS 319; ; ;</v>
      </c>
      <c r="E3775" s="6">
        <f>IFERROR(__xludf.DUMMYFUNCTION("""COMPUTED_VALUE"""),1.0)</f>
        <v>1</v>
      </c>
      <c r="F3775" s="6">
        <f>IFERROR(__xludf.DUMMYFUNCTION("""COMPUTED_VALUE"""),2.0)</f>
        <v>2</v>
      </c>
      <c r="G3775" s="6">
        <f>IFERROR(__xludf.DUMMYFUNCTION("""COMPUTED_VALUE"""),0.0)</f>
        <v>0</v>
      </c>
      <c r="H3775" s="6" t="str">
        <f>IFERROR(__xludf.DUMMYFUNCTION("""COMPUTED_VALUE"""),"Pcs")</f>
        <v>Pcs</v>
      </c>
      <c r="I3775" s="6" t="str">
        <f>IFERROR(__xludf.DUMMYFUNCTION("""COMPUTED_VALUE"""),"MFH")</f>
        <v>MFH</v>
      </c>
      <c r="J3775" s="6" t="str">
        <f>IFERROR(__xludf.DUMMYFUNCTION("""COMPUTED_VALUE"""),"EDM")</f>
        <v>EDM</v>
      </c>
      <c r="K3775" s="6" t="str">
        <f>IFERROR(__xludf.DUMMYFUNCTION("""COMPUTED_VALUE"""),"SPR/06/26/038")</f>
        <v>SPR/06/26/038</v>
      </c>
      <c r="L3775" s="13">
        <f>IFERROR(__xludf.DUMMYFUNCTION("""COMPUTED_VALUE"""),46203.0)</f>
        <v>46203</v>
      </c>
    </row>
    <row r="3776">
      <c r="A3776" s="6" t="str">
        <f>IFERROR(__xludf.DUMMYFUNCTION("""COMPUTED_VALUE"""),"KFF")</f>
        <v>KFF</v>
      </c>
      <c r="B3776" s="6" t="str">
        <f>IFERROR(__xludf.DUMMYFUNCTION("""COMPUTED_VALUE"""),"ENG")</f>
        <v>ENG</v>
      </c>
      <c r="C3776" s="6" t="str">
        <f>IFERROR(__xludf.DUMMYFUNCTION("""COMPUTED_VALUE"""),"O-20751-00")</f>
        <v>O-20751-00</v>
      </c>
      <c r="D3776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3776" s="6">
        <f>IFERROR(__xludf.DUMMYFUNCTION("""COMPUTED_VALUE"""),2.0)</f>
        <v>2</v>
      </c>
      <c r="F3776" s="6">
        <f>IFERROR(__xludf.DUMMYFUNCTION("""COMPUTED_VALUE"""),2.0)</f>
        <v>2</v>
      </c>
      <c r="G3776" s="6">
        <f>IFERROR(__xludf.DUMMYFUNCTION("""COMPUTED_VALUE"""),0.0)</f>
        <v>0</v>
      </c>
      <c r="H3776" s="6" t="str">
        <f>IFERROR(__xludf.DUMMYFUNCTION("""COMPUTED_VALUE"""),"Pcs")</f>
        <v>Pcs</v>
      </c>
      <c r="I3776" s="6" t="str">
        <f>IFERROR(__xludf.DUMMYFUNCTION("""COMPUTED_VALUE"""),"MFH")</f>
        <v>MFH</v>
      </c>
      <c r="J3776" s="6" t="str">
        <f>IFERROR(__xludf.DUMMYFUNCTION("""COMPUTED_VALUE"""),"Cartonning")</f>
        <v>Cartonning</v>
      </c>
      <c r="K3776" s="6" t="str">
        <f>IFERROR(__xludf.DUMMYFUNCTION("""COMPUTED_VALUE"""),"SPR/06/26/039")</f>
        <v>SPR/06/26/039</v>
      </c>
      <c r="L3776" s="13">
        <f>IFERROR(__xludf.DUMMYFUNCTION("""COMPUTED_VALUE"""),46203.0)</f>
        <v>46203</v>
      </c>
    </row>
    <row r="3777">
      <c r="A3777" s="6" t="str">
        <f>IFERROR(__xludf.DUMMYFUNCTION("""COMPUTED_VALUE"""),"KFF")</f>
        <v>KFF</v>
      </c>
      <c r="B3777" s="6" t="str">
        <f>IFERROR(__xludf.DUMMYFUNCTION("""COMPUTED_VALUE"""),"ENG")</f>
        <v>ENG</v>
      </c>
      <c r="C3777" s="6" t="str">
        <f>IFERROR(__xludf.DUMMYFUNCTION("""COMPUTED_VALUE"""),"T-20591-00")</f>
        <v>T-20591-00</v>
      </c>
      <c r="D3777" s="6" t="str">
        <f>IFERROR(__xludf.DUMMYFUNCTION("""COMPUTED_VALUE"""),"Kit, Performance PLUS seal pack rebuild; Waters; 700011783; 1 pieces / pack")</f>
        <v>Kit, Performance PLUS seal pack rebuild; Waters; 700011783; 1 pieces / pack</v>
      </c>
      <c r="E3777" s="6">
        <f>IFERROR(__xludf.DUMMYFUNCTION("""COMPUTED_VALUE"""),1.0)</f>
        <v>1</v>
      </c>
      <c r="F3777" s="6">
        <f>IFERROR(__xludf.DUMMYFUNCTION("""COMPUTED_VALUE"""),1.0)</f>
        <v>1</v>
      </c>
      <c r="G3777" s="6">
        <f>IFERROR(__xludf.DUMMYFUNCTION("""COMPUTED_VALUE"""),0.0)</f>
        <v>0</v>
      </c>
      <c r="H3777" s="6" t="str">
        <f>IFERROR(__xludf.DUMMYFUNCTION("""COMPUTED_VALUE"""),"Pcs")</f>
        <v>Pcs</v>
      </c>
      <c r="I3777" s="6" t="str">
        <f>IFERROR(__xludf.DUMMYFUNCTION("""COMPUTED_VALUE"""),"MFH")</f>
        <v>MFH</v>
      </c>
      <c r="J3777" s="6" t="str">
        <f>IFERROR(__xludf.DUMMYFUNCTION("""COMPUTED_VALUE"""),"HPLC")</f>
        <v>HPLC</v>
      </c>
      <c r="K3777" s="6" t="str">
        <f>IFERROR(__xludf.DUMMYFUNCTION("""COMPUTED_VALUE"""),"SPR/06/26/039")</f>
        <v>SPR/06/26/039</v>
      </c>
      <c r="L3777" s="13">
        <f>IFERROR(__xludf.DUMMYFUNCTION("""COMPUTED_VALUE"""),46203.0)</f>
        <v>46203</v>
      </c>
    </row>
    <row r="3778">
      <c r="A3778" s="6" t="str">
        <f>IFERROR(__xludf.DUMMYFUNCTION("""COMPUTED_VALUE"""),"BDU")</f>
        <v>BDU</v>
      </c>
      <c r="B3778" s="6" t="str">
        <f>IFERROR(__xludf.DUMMYFUNCTION("""COMPUTED_VALUE"""),"ENG")</f>
        <v>ENG</v>
      </c>
      <c r="C3778" s="6" t="str">
        <f>IFERROR(__xludf.DUMMYFUNCTION("""COMPUTED_VALUE"""),"O-15902-00")</f>
        <v>O-15902-00</v>
      </c>
      <c r="D3778" s="6" t="str">
        <f>IFERROR(__xludf.DUMMYFUNCTION("""COMPUTED_VALUE"""),"Suction Cup capping size 6R; P/N : 011010; ; ;")</f>
        <v>Suction Cup capping size 6R; P/N : 011010; ; ;</v>
      </c>
      <c r="E3778" s="6">
        <f>IFERROR(__xludf.DUMMYFUNCTION("""COMPUTED_VALUE"""),3.0)</f>
        <v>3</v>
      </c>
      <c r="F3778" s="6">
        <f>IFERROR(__xludf.DUMMYFUNCTION("""COMPUTED_VALUE"""),3.0)</f>
        <v>3</v>
      </c>
      <c r="G3778" s="6">
        <f>IFERROR(__xludf.DUMMYFUNCTION("""COMPUTED_VALUE"""),0.0)</f>
        <v>0</v>
      </c>
      <c r="H3778" s="6" t="str">
        <f>IFERROR(__xludf.DUMMYFUNCTION("""COMPUTED_VALUE"""),"Pcs")</f>
        <v>Pcs</v>
      </c>
      <c r="I3778" s="6" t="str">
        <f>IFERROR(__xludf.DUMMYFUNCTION("""COMPUTED_VALUE"""),"MFH")</f>
        <v>MFH</v>
      </c>
      <c r="J3778" s="6" t="str">
        <f>IFERROR(__xludf.DUMMYFUNCTION("""COMPUTED_VALUE"""),"Capping")</f>
        <v>Capping</v>
      </c>
      <c r="K3778" s="6" t="str">
        <f>IFERROR(__xludf.DUMMYFUNCTION("""COMPUTED_VALUE"""),"SPR/06/26/040")</f>
        <v>SPR/06/26/040</v>
      </c>
      <c r="L3778" s="13">
        <f>IFERROR(__xludf.DUMMYFUNCTION("""COMPUTED_VALUE"""),46203.0)</f>
        <v>46203</v>
      </c>
    </row>
    <row r="3779">
      <c r="A3779" s="6" t="str">
        <f>IFERROR(__xludf.DUMMYFUNCTION("""COMPUTED_VALUE"""),"KFF")</f>
        <v>KFF</v>
      </c>
      <c r="B3779" s="6" t="str">
        <f>IFERROR(__xludf.DUMMYFUNCTION("""COMPUTED_VALUE"""),"ENG")</f>
        <v>ENG</v>
      </c>
      <c r="C3779" s="6" t="str">
        <f>IFERROR(__xludf.DUMMYFUNCTION("""COMPUTED_VALUE"""),"P-10729-00")</f>
        <v>P-10729-00</v>
      </c>
      <c r="D3779" s="6" t="str">
        <f>IFERROR(__xludf.DUMMYFUNCTION("""COMPUTED_VALUE"""),"Contact cleaner WD 40, 382 gr ; Brand : - ; P/N : - ; Pack Size : pcs")</f>
        <v>Contact cleaner WD 40, 382 gr ; Brand : - ; P/N : - ; Pack Size : pcs</v>
      </c>
      <c r="E3779" s="6">
        <f>IFERROR(__xludf.DUMMYFUNCTION("""COMPUTED_VALUE"""),1.0)</f>
        <v>1</v>
      </c>
      <c r="F3779" s="6">
        <f>IFERROR(__xludf.DUMMYFUNCTION("""COMPUTED_VALUE"""),1.0)</f>
        <v>1</v>
      </c>
      <c r="G3779" s="6">
        <f>IFERROR(__xludf.DUMMYFUNCTION("""COMPUTED_VALUE"""),0.0)</f>
        <v>0</v>
      </c>
      <c r="H3779" s="6" t="str">
        <f>IFERROR(__xludf.DUMMYFUNCTION("""COMPUTED_VALUE"""),"Pcs")</f>
        <v>Pcs</v>
      </c>
      <c r="I3779" s="6" t="str">
        <f>IFERROR(__xludf.DUMMYFUNCTION("""COMPUTED_VALUE"""),"MFH")</f>
        <v>MFH</v>
      </c>
      <c r="J3779" s="6" t="str">
        <f>IFERROR(__xludf.DUMMYFUNCTION("""COMPUTED_VALUE"""),"Building")</f>
        <v>Building</v>
      </c>
      <c r="K3779" s="6" t="str">
        <f>IFERROR(__xludf.DUMMYFUNCTION("""COMPUTED_VALUE"""),"SPR/06/26/041")</f>
        <v>SPR/06/26/041</v>
      </c>
      <c r="L3779" s="13">
        <f>IFERROR(__xludf.DUMMYFUNCTION("""COMPUTED_VALUE"""),46203.0)</f>
        <v>46203</v>
      </c>
    </row>
    <row r="3780">
      <c r="A3780" s="6" t="str">
        <f>IFERROR(__xludf.DUMMYFUNCTION("""COMPUTED_VALUE"""),"KFF")</f>
        <v>KFF</v>
      </c>
      <c r="B3780" s="6" t="str">
        <f>IFERROR(__xludf.DUMMYFUNCTION("""COMPUTED_VALUE"""),"ENG")</f>
        <v>ENG</v>
      </c>
      <c r="C3780" s="6" t="str">
        <f>IFERROR(__xludf.DUMMYFUNCTION("""COMPUTED_VALUE"""),"Q-10825-00")</f>
        <v>Q-10825-00</v>
      </c>
      <c r="D3780" s="6" t="str">
        <f>IFERROR(__xludf.DUMMYFUNCTION("""COMPUTED_VALUE"""),"Tali Karet Ban;No Brand;;pack size per pcs")</f>
        <v>Tali Karet Ban;No Brand;;pack size per pcs</v>
      </c>
      <c r="E3780" s="6">
        <f>IFERROR(__xludf.DUMMYFUNCTION("""COMPUTED_VALUE"""),2.0)</f>
        <v>2</v>
      </c>
      <c r="F3780" s="6">
        <f>IFERROR(__xludf.DUMMYFUNCTION("""COMPUTED_VALUE"""),2.0)</f>
        <v>2</v>
      </c>
      <c r="G3780" s="6">
        <f>IFERROR(__xludf.DUMMYFUNCTION("""COMPUTED_VALUE"""),0.0)</f>
        <v>0</v>
      </c>
      <c r="H3780" s="6" t="str">
        <f>IFERROR(__xludf.DUMMYFUNCTION("""COMPUTED_VALUE"""),"Pcs")</f>
        <v>Pcs</v>
      </c>
      <c r="I3780" s="6" t="str">
        <f>IFERROR(__xludf.DUMMYFUNCTION("""COMPUTED_VALUE"""),"MFH")</f>
        <v>MFH</v>
      </c>
      <c r="J3780" s="6" t="str">
        <f>IFERROR(__xludf.DUMMYFUNCTION("""COMPUTED_VALUE"""),"-")</f>
        <v>-</v>
      </c>
      <c r="K3780" s="6" t="str">
        <f>IFERROR(__xludf.DUMMYFUNCTION("""COMPUTED_VALUE"""),"SPR/06/26/041")</f>
        <v>SPR/06/26/041</v>
      </c>
      <c r="L3780" s="13">
        <f>IFERROR(__xludf.DUMMYFUNCTION("""COMPUTED_VALUE"""),46203.0)</f>
        <v>46203</v>
      </c>
    </row>
    <row r="3781">
      <c r="A3781" s="6" t="str">
        <f>IFERROR(__xludf.DUMMYFUNCTION("""COMPUTED_VALUE"""),"ROS")</f>
        <v>ROS</v>
      </c>
      <c r="B3781" s="6" t="str">
        <f>IFERROR(__xludf.DUMMYFUNCTION("""COMPUTED_VALUE"""),"ENG")</f>
        <v>ENG</v>
      </c>
      <c r="C3781" s="6" t="str">
        <f>IFERROR(__xludf.DUMMYFUNCTION("""COMPUTED_VALUE"""),"O-50827-00")</f>
        <v>O-50827-00</v>
      </c>
      <c r="D3781" s="6" t="str">
        <f>IFERROR(__xludf.DUMMYFUNCTION("""COMPUTED_VALUE"""),"OptoCapBT02T Operating Range 8 ppb - 60% O2 Sat P/N 30018857, Measured Pressure Resistance : 0 bar -; ; ;")</f>
        <v>OptoCapBT02T Operating Range 8 ppb - 60% O2 Sat P/N 30018857, Measured Pressure Resistance : 0 bar -; ; ;</v>
      </c>
      <c r="E3781" s="6">
        <f>IFERROR(__xludf.DUMMYFUNCTION("""COMPUTED_VALUE"""),1.0)</f>
        <v>1</v>
      </c>
      <c r="F3781" s="6">
        <f>IFERROR(__xludf.DUMMYFUNCTION("""COMPUTED_VALUE"""),1.0)</f>
        <v>1</v>
      </c>
      <c r="G3781" s="6">
        <f>IFERROR(__xludf.DUMMYFUNCTION("""COMPUTED_VALUE"""),0.0)</f>
        <v>0</v>
      </c>
      <c r="H3781" s="6" t="str">
        <f>IFERROR(__xludf.DUMMYFUNCTION("""COMPUTED_VALUE"""),"Pcs")</f>
        <v>Pcs</v>
      </c>
      <c r="I3781" s="6" t="str">
        <f>IFERROR(__xludf.DUMMYFUNCTION("""COMPUTED_VALUE"""),"MFH")</f>
        <v>MFH</v>
      </c>
      <c r="J3781" s="6" t="str">
        <f>IFERROR(__xludf.DUMMYFUNCTION("""COMPUTED_VALUE"""),"Mixing ")</f>
        <v>Mixing </v>
      </c>
      <c r="K3781" s="6" t="str">
        <f>IFERROR(__xludf.DUMMYFUNCTION("""COMPUTED_VALUE"""),"SPR/06/26/042")</f>
        <v>SPR/06/26/042</v>
      </c>
      <c r="L3781" s="13">
        <f>IFERROR(__xludf.DUMMYFUNCTION("""COMPUTED_VALUE"""),46203.0)</f>
        <v>46203</v>
      </c>
    </row>
    <row r="3782">
      <c r="A3782" s="6" t="str">
        <f>IFERROR(__xludf.DUMMYFUNCTION("""COMPUTED_VALUE"""),"MAP")</f>
        <v>MAP</v>
      </c>
      <c r="B3782" s="6" t="str">
        <f>IFERROR(__xludf.DUMMYFUNCTION("""COMPUTED_VALUE"""),"ENG")</f>
        <v>ENG</v>
      </c>
      <c r="C3782" s="6" t="str">
        <f>IFERROR(__xludf.DUMMYFUNCTION("""COMPUTED_VALUE"""),"O-54015-00")</f>
        <v>O-54015-00</v>
      </c>
      <c r="D3782" s="6" t="str">
        <f>IFERROR(__xludf.DUMMYFUNCTION("""COMPUTED_VALUE"""),"STOP KONTAK LUBANG 4, BROCO")</f>
        <v>STOP KONTAK LUBANG 4, BROCO</v>
      </c>
      <c r="E3782" s="6">
        <f>IFERROR(__xludf.DUMMYFUNCTION("""COMPUTED_VALUE"""),1.0)</f>
        <v>1</v>
      </c>
      <c r="F3782" s="6">
        <f>IFERROR(__xludf.DUMMYFUNCTION("""COMPUTED_VALUE"""),1.0)</f>
        <v>1</v>
      </c>
      <c r="G3782" s="6">
        <f>IFERROR(__xludf.DUMMYFUNCTION("""COMPUTED_VALUE"""),0.0)</f>
        <v>0</v>
      </c>
      <c r="H3782" s="6" t="str">
        <f>IFERROR(__xludf.DUMMYFUNCTION("""COMPUTED_VALUE"""),"Pcs")</f>
        <v>Pcs</v>
      </c>
      <c r="I3782" s="6" t="str">
        <f>IFERROR(__xludf.DUMMYFUNCTION("""COMPUTED_VALUE"""),"MFH")</f>
        <v>MFH</v>
      </c>
      <c r="J3782" s="6" t="str">
        <f>IFERROR(__xludf.DUMMYFUNCTION("""COMPUTED_VALUE"""),"Building")</f>
        <v>Building</v>
      </c>
      <c r="K3782" s="6" t="str">
        <f>IFERROR(__xludf.DUMMYFUNCTION("""COMPUTED_VALUE"""),"SPR/06/26/043")</f>
        <v>SPR/06/26/043</v>
      </c>
      <c r="L3782" s="13">
        <f>IFERROR(__xludf.DUMMYFUNCTION("""COMPUTED_VALUE"""),46203.0)</f>
        <v>46203</v>
      </c>
    </row>
    <row r="3783">
      <c r="A3783" s="6" t="str">
        <f>IFERROR(__xludf.DUMMYFUNCTION("""COMPUTED_VALUE"""),"BDU")</f>
        <v>BDU</v>
      </c>
      <c r="B3783" s="6" t="str">
        <f>IFERROR(__xludf.DUMMYFUNCTION("""COMPUTED_VALUE"""),"ENG")</f>
        <v>ENG</v>
      </c>
      <c r="C3783" s="6" t="str">
        <f>IFERROR(__xludf.DUMMYFUNCTION("""COMPUTED_VALUE"""),"O-11287-00")</f>
        <v>O-11287-00</v>
      </c>
      <c r="D3783" s="6" t="str">
        <f>IFERROR(__xludf.DUMMYFUNCTION("""COMPUTED_VALUE"""),"F200 - Pall Filter p/n KA3PFRP1")</f>
        <v>F200 - Pall Filter p/n KA3PFRP1</v>
      </c>
      <c r="E3783" s="6">
        <f>IFERROR(__xludf.DUMMYFUNCTION("""COMPUTED_VALUE"""),1.0)</f>
        <v>1</v>
      </c>
      <c r="F3783" s="6">
        <f>IFERROR(__xludf.DUMMYFUNCTION("""COMPUTED_VALUE"""),1.0)</f>
        <v>1</v>
      </c>
      <c r="G3783" s="6">
        <f>IFERROR(__xludf.DUMMYFUNCTION("""COMPUTED_VALUE"""),0.0)</f>
        <v>0</v>
      </c>
      <c r="H3783" s="6" t="str">
        <f>IFERROR(__xludf.DUMMYFUNCTION("""COMPUTED_VALUE"""),"Pcs")</f>
        <v>Pcs</v>
      </c>
      <c r="I3783" s="6" t="str">
        <f>IFERROR(__xludf.DUMMYFUNCTION("""COMPUTED_VALUE"""),"MFH")</f>
        <v>MFH</v>
      </c>
      <c r="J3783" s="6" t="str">
        <f>IFERROR(__xludf.DUMMYFUNCTION("""COMPUTED_VALUE"""),"WFIG")</f>
        <v>WFIG</v>
      </c>
      <c r="K3783" s="6" t="str">
        <f>IFERROR(__xludf.DUMMYFUNCTION("""COMPUTED_VALUE"""),"SPR/06/26/044")</f>
        <v>SPR/06/26/044</v>
      </c>
      <c r="L3783" s="13">
        <f>IFERROR(__xludf.DUMMYFUNCTION("""COMPUTED_VALUE"""),46203.0)</f>
        <v>46203</v>
      </c>
    </row>
    <row r="3784">
      <c r="A3784" s="6" t="str">
        <f>IFERROR(__xludf.DUMMYFUNCTION("""COMPUTED_VALUE"""),"BDU")</f>
        <v>BDU</v>
      </c>
      <c r="B3784" s="6" t="str">
        <f>IFERROR(__xludf.DUMMYFUNCTION("""COMPUTED_VALUE"""),"ENG")</f>
        <v>ENG</v>
      </c>
      <c r="C3784" s="6" t="str">
        <f>IFERROR(__xludf.DUMMYFUNCTION("""COMPUTED_VALUE"""),"P-11405-00")</f>
        <v>P-11405-00</v>
      </c>
      <c r="D3784" s="6" t="str">
        <f>IFERROR(__xludf.DUMMYFUNCTION("""COMPUTED_VALUE"""),"Seal Ferrule Teflon 1""")</f>
        <v>Seal Ferrule Teflon 1"</v>
      </c>
      <c r="E3784" s="6">
        <f>IFERROR(__xludf.DUMMYFUNCTION("""COMPUTED_VALUE"""),1.0)</f>
        <v>1</v>
      </c>
      <c r="F3784" s="6">
        <f>IFERROR(__xludf.DUMMYFUNCTION("""COMPUTED_VALUE"""),1.0)</f>
        <v>1</v>
      </c>
      <c r="G3784" s="6">
        <f>IFERROR(__xludf.DUMMYFUNCTION("""COMPUTED_VALUE"""),0.0)</f>
        <v>0</v>
      </c>
      <c r="H3784" s="6" t="str">
        <f>IFERROR(__xludf.DUMMYFUNCTION("""COMPUTED_VALUE"""),"Pcs")</f>
        <v>Pcs</v>
      </c>
      <c r="I3784" s="6" t="str">
        <f>IFERROR(__xludf.DUMMYFUNCTION("""COMPUTED_VALUE"""),"MFH")</f>
        <v>MFH</v>
      </c>
      <c r="J3784" s="6" t="str">
        <f>IFERROR(__xludf.DUMMYFUNCTION("""COMPUTED_VALUE"""),"Building")</f>
        <v>Building</v>
      </c>
      <c r="K3784" s="6" t="str">
        <f>IFERROR(__xludf.DUMMYFUNCTION("""COMPUTED_VALUE"""),"SPR/06/26/044")</f>
        <v>SPR/06/26/044</v>
      </c>
      <c r="L3784" s="13">
        <f>IFERROR(__xludf.DUMMYFUNCTION("""COMPUTED_VALUE"""),46203.0)</f>
        <v>46203</v>
      </c>
    </row>
    <row r="3785">
      <c r="A3785" s="6" t="str">
        <f>IFERROR(__xludf.DUMMYFUNCTION("""COMPUTED_VALUE"""),"BDU")</f>
        <v>BDU</v>
      </c>
      <c r="B3785" s="6" t="str">
        <f>IFERROR(__xludf.DUMMYFUNCTION("""COMPUTED_VALUE"""),"ENG")</f>
        <v>ENG</v>
      </c>
      <c r="C3785" s="6" t="str">
        <f>IFERROR(__xludf.DUMMYFUNCTION("""COMPUTED_VALUE"""),"O-12868-00")</f>
        <v>O-12868-00</v>
      </c>
      <c r="D3785" s="6" t="str">
        <f>IFERROR(__xludf.DUMMYFUNCTION("""COMPUTED_VALUE"""),"Emflon PFR Membrane Filter Cartridges 0.2 um PALL P/N : AB05 PFR2 PVH4 pc")</f>
        <v>Emflon PFR Membrane Filter Cartridges 0.2 um PALL P/N : AB05 PFR2 PVH4 pc</v>
      </c>
      <c r="E3785" s="6">
        <f>IFERROR(__xludf.DUMMYFUNCTION("""COMPUTED_VALUE"""),1.0)</f>
        <v>1</v>
      </c>
      <c r="F3785" s="6">
        <f>IFERROR(__xludf.DUMMYFUNCTION("""COMPUTED_VALUE"""),1.0)</f>
        <v>1</v>
      </c>
      <c r="G3785" s="6">
        <f>IFERROR(__xludf.DUMMYFUNCTION("""COMPUTED_VALUE"""),0.0)</f>
        <v>0</v>
      </c>
      <c r="H3785" s="6" t="str">
        <f>IFERROR(__xludf.DUMMYFUNCTION("""COMPUTED_VALUE"""),"Pcs")</f>
        <v>Pcs</v>
      </c>
      <c r="I3785" s="6" t="str">
        <f>IFERROR(__xludf.DUMMYFUNCTION("""COMPUTED_VALUE"""),"MFH")</f>
        <v>MFH</v>
      </c>
      <c r="J3785" s="6" t="str">
        <f>IFERROR(__xludf.DUMMYFUNCTION("""COMPUTED_VALUE"""),"WFI SKID")</f>
        <v>WFI SKID</v>
      </c>
      <c r="K3785" s="6" t="str">
        <f>IFERROR(__xludf.DUMMYFUNCTION("""COMPUTED_VALUE"""),"SPR/06/26/045")</f>
        <v>SPR/06/26/045</v>
      </c>
      <c r="L3785" s="13">
        <f>IFERROR(__xludf.DUMMYFUNCTION("""COMPUTED_VALUE"""),46203.0)</f>
        <v>46203</v>
      </c>
    </row>
    <row r="3786">
      <c r="A3786" s="6" t="str">
        <f>IFERROR(__xludf.DUMMYFUNCTION("""COMPUTED_VALUE"""),"BDU")</f>
        <v>BDU</v>
      </c>
      <c r="B3786" s="6" t="str">
        <f>IFERROR(__xludf.DUMMYFUNCTION("""COMPUTED_VALUE"""),"ENG")</f>
        <v>ENG</v>
      </c>
      <c r="C3786" s="6" t="str">
        <f>IFERROR(__xludf.DUMMYFUNCTION("""COMPUTED_VALUE"""),"P-17390-00")</f>
        <v>P-17390-00</v>
      </c>
      <c r="D3786" s="6" t="str">
        <f>IFERROR(__xludf.DUMMYFUNCTION("""COMPUTED_VALUE"""),"PALL - AB1PFR7PVH4, 0.2 um; ; ;")</f>
        <v>PALL - AB1PFR7PVH4, 0.2 um; ; ;</v>
      </c>
      <c r="E3786" s="6">
        <f>IFERROR(__xludf.DUMMYFUNCTION("""COMPUTED_VALUE"""),1.0)</f>
        <v>1</v>
      </c>
      <c r="F3786" s="6">
        <f>IFERROR(__xludf.DUMMYFUNCTION("""COMPUTED_VALUE"""),1.0)</f>
        <v>1</v>
      </c>
      <c r="G3786" s="6">
        <f>IFERROR(__xludf.DUMMYFUNCTION("""COMPUTED_VALUE"""),0.0)</f>
        <v>0</v>
      </c>
      <c r="H3786" s="6" t="str">
        <f>IFERROR(__xludf.DUMMYFUNCTION("""COMPUTED_VALUE"""),"Pcs")</f>
        <v>Pcs</v>
      </c>
      <c r="I3786" s="6" t="str">
        <f>IFERROR(__xludf.DUMMYFUNCTION("""COMPUTED_VALUE"""),"MFH")</f>
        <v>MFH</v>
      </c>
      <c r="J3786" s="6" t="str">
        <f>IFERROR(__xludf.DUMMYFUNCTION("""COMPUTED_VALUE"""),"PW SKID")</f>
        <v>PW SKID</v>
      </c>
      <c r="K3786" s="6" t="str">
        <f>IFERROR(__xludf.DUMMYFUNCTION("""COMPUTED_VALUE"""),"SPR/06/26/045")</f>
        <v>SPR/06/26/045</v>
      </c>
      <c r="L3786" s="13">
        <f>IFERROR(__xludf.DUMMYFUNCTION("""COMPUTED_VALUE"""),46203.0)</f>
        <v>46203</v>
      </c>
    </row>
    <row r="3787">
      <c r="A3787" s="6" t="str">
        <f>IFERROR(__xludf.DUMMYFUNCTION("""COMPUTED_VALUE"""),"BDU")</f>
        <v>BDU</v>
      </c>
      <c r="B3787" s="6" t="str">
        <f>IFERROR(__xludf.DUMMYFUNCTION("""COMPUTED_VALUE"""),"ENG")</f>
        <v>ENG</v>
      </c>
      <c r="C3787" s="6" t="str">
        <f>IFERROR(__xludf.DUMMYFUNCTION("""COMPUTED_VALUE"""),"O-13062-00")</f>
        <v>O-13062-00</v>
      </c>
      <c r="D3787" s="6" t="str">
        <f>IFERROR(__xludf.DUMMYFUNCTION("""COMPUTED_VALUE"""),"AUTOCLAVE Lab Mikro - PALL Emflon Filter 0,2um p/n C3PFRP1")</f>
        <v>AUTOCLAVE Lab Mikro - PALL Emflon Filter 0,2um p/n C3PFRP1</v>
      </c>
      <c r="E3787" s="6">
        <f>IFERROR(__xludf.DUMMYFUNCTION("""COMPUTED_VALUE"""),1.0)</f>
        <v>1</v>
      </c>
      <c r="F3787" s="6">
        <f>IFERROR(__xludf.DUMMYFUNCTION("""COMPUTED_VALUE"""),1.0)</f>
        <v>1</v>
      </c>
      <c r="G3787" s="6">
        <f>IFERROR(__xludf.DUMMYFUNCTION("""COMPUTED_VALUE"""),0.0)</f>
        <v>0</v>
      </c>
      <c r="H3787" s="6" t="str">
        <f>IFERROR(__xludf.DUMMYFUNCTION("""COMPUTED_VALUE"""),"pcs")</f>
        <v>pcs</v>
      </c>
      <c r="I3787" s="6" t="str">
        <f>IFERROR(__xludf.DUMMYFUNCTION("""COMPUTED_VALUE"""),"MFH")</f>
        <v>MFH</v>
      </c>
      <c r="J3787" s="6" t="str">
        <f>IFERROR(__xludf.DUMMYFUNCTION("""COMPUTED_VALUE"""),"WFIG")</f>
        <v>WFIG</v>
      </c>
      <c r="K3787" s="6" t="str">
        <f>IFERROR(__xludf.DUMMYFUNCTION("""COMPUTED_VALUE"""),"SPR/06/26/045")</f>
        <v>SPR/06/26/045</v>
      </c>
      <c r="L3787" s="13">
        <f>IFERROR(__xludf.DUMMYFUNCTION("""COMPUTED_VALUE"""),46203.0)</f>
        <v>46203</v>
      </c>
    </row>
    <row r="3788">
      <c r="A3788" s="6" t="str">
        <f>IFERROR(__xludf.DUMMYFUNCTION("""COMPUTED_VALUE"""),"RIA")</f>
        <v>RIA</v>
      </c>
      <c r="B3788" s="6" t="str">
        <f>IFERROR(__xludf.DUMMYFUNCTION("""COMPUTED_VALUE"""),"ENG")</f>
        <v>ENG</v>
      </c>
      <c r="C3788" s="6" t="str">
        <f>IFERROR(__xludf.DUMMYFUNCTION("""COMPUTED_VALUE"""),"P-15052-00")</f>
        <v>P-15052-00</v>
      </c>
      <c r="D3788" s="6" t="str">
        <f>IFERROR(__xludf.DUMMYFUNCTION("""COMPUTED_VALUE"""),"Element Filter 1 micron P/N NXE-400-Z; ; ;")</f>
        <v>Element Filter 1 micron P/N NXE-400-Z; ; ;</v>
      </c>
      <c r="E3788" s="6">
        <f>IFERROR(__xludf.DUMMYFUNCTION("""COMPUTED_VALUE"""),1.0)</f>
        <v>1</v>
      </c>
      <c r="F3788" s="6">
        <f>IFERROR(__xludf.DUMMYFUNCTION("""COMPUTED_VALUE"""),1.0)</f>
        <v>1</v>
      </c>
      <c r="G3788" s="6">
        <f>IFERROR(__xludf.DUMMYFUNCTION("""COMPUTED_VALUE"""),0.0)</f>
        <v>0</v>
      </c>
      <c r="H3788" s="6" t="str">
        <f>IFERROR(__xludf.DUMMYFUNCTION("""COMPUTED_VALUE"""),"pcs")</f>
        <v>pcs</v>
      </c>
      <c r="I3788" s="6" t="str">
        <f>IFERROR(__xludf.DUMMYFUNCTION("""COMPUTED_VALUE"""),"MFH")</f>
        <v>MFH</v>
      </c>
      <c r="J3788" s="6" t="str">
        <f>IFERROR(__xludf.DUMMYFUNCTION("""COMPUTED_VALUE"""),"N2 Gen")</f>
        <v>N2 Gen</v>
      </c>
      <c r="K3788" s="6" t="str">
        <f>IFERROR(__xludf.DUMMYFUNCTION("""COMPUTED_VALUE"""),"SPR/06/26/046")</f>
        <v>SPR/06/26/046</v>
      </c>
      <c r="L3788" s="13">
        <f>IFERROR(__xludf.DUMMYFUNCTION("""COMPUTED_VALUE"""),46203.0)</f>
        <v>46203</v>
      </c>
    </row>
    <row r="3789">
      <c r="A3789" s="6" t="str">
        <f>IFERROR(__xludf.DUMMYFUNCTION("""COMPUTED_VALUE"""),"RIA")</f>
        <v>RIA</v>
      </c>
      <c r="B3789" s="6" t="str">
        <f>IFERROR(__xludf.DUMMYFUNCTION("""COMPUTED_VALUE"""),"ENG")</f>
        <v>ENG</v>
      </c>
      <c r="C3789" s="6" t="str">
        <f>IFERROR(__xludf.DUMMYFUNCTION("""COMPUTED_VALUE"""),"P-15053-00")</f>
        <v>P-15053-00</v>
      </c>
      <c r="D3789" s="6" t="str">
        <f>IFERROR(__xludf.DUMMYFUNCTION("""COMPUTED_VALUE"""),"Element Filter 0.01 micron P/N NXE-400-X; ; ;")</f>
        <v>Element Filter 0.01 micron P/N NXE-400-X; ; ;</v>
      </c>
      <c r="E3789" s="6">
        <f>IFERROR(__xludf.DUMMYFUNCTION("""COMPUTED_VALUE"""),1.0)</f>
        <v>1</v>
      </c>
      <c r="F3789" s="6">
        <f>IFERROR(__xludf.DUMMYFUNCTION("""COMPUTED_VALUE"""),1.0)</f>
        <v>1</v>
      </c>
      <c r="G3789" s="6">
        <f>IFERROR(__xludf.DUMMYFUNCTION("""COMPUTED_VALUE"""),0.0)</f>
        <v>0</v>
      </c>
      <c r="H3789" s="6" t="str">
        <f>IFERROR(__xludf.DUMMYFUNCTION("""COMPUTED_VALUE"""),"pcs")</f>
        <v>pcs</v>
      </c>
      <c r="I3789" s="6" t="str">
        <f>IFERROR(__xludf.DUMMYFUNCTION("""COMPUTED_VALUE"""),"MFH")</f>
        <v>MFH</v>
      </c>
      <c r="J3789" s="6" t="str">
        <f>IFERROR(__xludf.DUMMYFUNCTION("""COMPUTED_VALUE"""),"N2 Gen")</f>
        <v>N2 Gen</v>
      </c>
      <c r="K3789" s="6" t="str">
        <f>IFERROR(__xludf.DUMMYFUNCTION("""COMPUTED_VALUE"""),"SPR/06/26/046")</f>
        <v>SPR/06/26/046</v>
      </c>
      <c r="L3789" s="13">
        <f>IFERROR(__xludf.DUMMYFUNCTION("""COMPUTED_VALUE"""),46203.0)</f>
        <v>46203</v>
      </c>
    </row>
    <row r="3790">
      <c r="A3790" s="6" t="str">
        <f>IFERROR(__xludf.DUMMYFUNCTION("""COMPUTED_VALUE"""),"RIA")</f>
        <v>RIA</v>
      </c>
      <c r="B3790" s="6" t="str">
        <f>IFERROR(__xludf.DUMMYFUNCTION("""COMPUTED_VALUE"""),"ENG")</f>
        <v>ENG</v>
      </c>
      <c r="C3790" s="6" t="str">
        <f>IFERROR(__xludf.DUMMYFUNCTION("""COMPUTED_VALUE"""),"P-17062-00")</f>
        <v>P-17062-00</v>
      </c>
      <c r="D3790" s="6" t="str">
        <f>IFERROR(__xludf.DUMMYFUNCTION("""COMPUTED_VALUE"""),"Element Filter for N2 ; Brand : NEXUS ; P/N : NXE-90-Z ; Pack Size : pcs")</f>
        <v>Element Filter for N2 ; Brand : NEXUS ; P/N : NXE-90-Z ; Pack Size : pcs</v>
      </c>
      <c r="E3790" s="6">
        <f>IFERROR(__xludf.DUMMYFUNCTION("""COMPUTED_VALUE"""),1.0)</f>
        <v>1</v>
      </c>
      <c r="F3790" s="6">
        <f>IFERROR(__xludf.DUMMYFUNCTION("""COMPUTED_VALUE"""),1.0)</f>
        <v>1</v>
      </c>
      <c r="G3790" s="6">
        <f>IFERROR(__xludf.DUMMYFUNCTION("""COMPUTED_VALUE"""),0.0)</f>
        <v>0</v>
      </c>
      <c r="H3790" s="6" t="str">
        <f>IFERROR(__xludf.DUMMYFUNCTION("""COMPUTED_VALUE"""),"Pcs")</f>
        <v>Pcs</v>
      </c>
      <c r="I3790" s="6" t="str">
        <f>IFERROR(__xludf.DUMMYFUNCTION("""COMPUTED_VALUE"""),"MFH")</f>
        <v>MFH</v>
      </c>
      <c r="J3790" s="6" t="str">
        <f>IFERROR(__xludf.DUMMYFUNCTION("""COMPUTED_VALUE"""),"N2 Gen")</f>
        <v>N2 Gen</v>
      </c>
      <c r="K3790" s="6" t="str">
        <f>IFERROR(__xludf.DUMMYFUNCTION("""COMPUTED_VALUE"""),"SPR/06/26/046")</f>
        <v>SPR/06/26/046</v>
      </c>
      <c r="L3790" s="13">
        <f>IFERROR(__xludf.DUMMYFUNCTION("""COMPUTED_VALUE"""),46203.0)</f>
        <v>46203</v>
      </c>
    </row>
    <row r="3791">
      <c r="A3791" s="6" t="str">
        <f>IFERROR(__xludf.DUMMYFUNCTION("""COMPUTED_VALUE"""),"RIA")</f>
        <v>RIA</v>
      </c>
      <c r="B3791" s="6" t="str">
        <f>IFERROR(__xludf.DUMMYFUNCTION("""COMPUTED_VALUE"""),"ENG")</f>
        <v>ENG</v>
      </c>
      <c r="C3791" s="6" t="str">
        <f>IFERROR(__xludf.DUMMYFUNCTION("""COMPUTED_VALUE"""),"O-54014-00")</f>
        <v>O-54014-00</v>
      </c>
      <c r="D3791" s="6" t="str">
        <f>IFERROR(__xludf.DUMMYFUNCTION("""COMPUTED_VALUE"""),"STEKER 1 PHASE, BROCO")</f>
        <v>STEKER 1 PHASE, BROCO</v>
      </c>
      <c r="E3791" s="6">
        <f>IFERROR(__xludf.DUMMYFUNCTION("""COMPUTED_VALUE"""),2.0)</f>
        <v>2</v>
      </c>
      <c r="F3791" s="6">
        <f>IFERROR(__xludf.DUMMYFUNCTION("""COMPUTED_VALUE"""),2.0)</f>
        <v>2</v>
      </c>
      <c r="G3791" s="6">
        <f>IFERROR(__xludf.DUMMYFUNCTION("""COMPUTED_VALUE"""),0.0)</f>
        <v>0</v>
      </c>
      <c r="H3791" s="6" t="str">
        <f>IFERROR(__xludf.DUMMYFUNCTION("""COMPUTED_VALUE"""),"Pcs")</f>
        <v>Pcs</v>
      </c>
      <c r="I3791" s="6" t="str">
        <f>IFERROR(__xludf.DUMMYFUNCTION("""COMPUTED_VALUE"""),"MFH")</f>
        <v>MFH</v>
      </c>
      <c r="J3791" s="6" t="str">
        <f>IFERROR(__xludf.DUMMYFUNCTION("""COMPUTED_VALUE"""),"Building")</f>
        <v>Building</v>
      </c>
      <c r="K3791" s="6" t="str">
        <f>IFERROR(__xludf.DUMMYFUNCTION("""COMPUTED_VALUE"""),"SPR/06/26/047")</f>
        <v>SPR/06/26/047</v>
      </c>
      <c r="L3791" s="13">
        <f>IFERROR(__xludf.DUMMYFUNCTION("""COMPUTED_VALUE"""),46203.0)</f>
        <v>46203</v>
      </c>
    </row>
    <row r="3792">
      <c r="A3792" s="6" t="str">
        <f>IFERROR(__xludf.DUMMYFUNCTION("""COMPUTED_VALUE"""),"RIA")</f>
        <v>RIA</v>
      </c>
      <c r="B3792" s="6" t="str">
        <f>IFERROR(__xludf.DUMMYFUNCTION("""COMPUTED_VALUE"""),"ENG")</f>
        <v>ENG</v>
      </c>
      <c r="C3792" s="6" t="str">
        <f>IFERROR(__xludf.DUMMYFUNCTION("""COMPUTED_VALUE"""),"P-54190-00")</f>
        <v>P-54190-00</v>
      </c>
      <c r="D3792" s="6" t="str">
        <f>IFERROR(__xludf.DUMMYFUNCTION("""COMPUTED_VALUE"""),"Stop Kontak IP55 16A; Legrand; ;")</f>
        <v>Stop Kontak IP55 16A; Legrand; ;</v>
      </c>
      <c r="E3792" s="6">
        <f>IFERROR(__xludf.DUMMYFUNCTION("""COMPUTED_VALUE"""),1.0)</f>
        <v>1</v>
      </c>
      <c r="F3792" s="6">
        <f>IFERROR(__xludf.DUMMYFUNCTION("""COMPUTED_VALUE"""),1.0)</f>
        <v>1</v>
      </c>
      <c r="G3792" s="6">
        <f>IFERROR(__xludf.DUMMYFUNCTION("""COMPUTED_VALUE"""),0.0)</f>
        <v>0</v>
      </c>
      <c r="H3792" s="6" t="str">
        <f>IFERROR(__xludf.DUMMYFUNCTION("""COMPUTED_VALUE"""),"Pcs")</f>
        <v>Pcs</v>
      </c>
      <c r="I3792" s="6" t="str">
        <f>IFERROR(__xludf.DUMMYFUNCTION("""COMPUTED_VALUE"""),"MFH")</f>
        <v>MFH</v>
      </c>
      <c r="J3792" s="6" t="str">
        <f>IFERROR(__xludf.DUMMYFUNCTION("""COMPUTED_VALUE"""),"Building")</f>
        <v>Building</v>
      </c>
      <c r="K3792" s="6" t="str">
        <f>IFERROR(__xludf.DUMMYFUNCTION("""COMPUTED_VALUE"""),"SPR/06/26/047")</f>
        <v>SPR/06/26/047</v>
      </c>
      <c r="L3792" s="13">
        <f>IFERROR(__xludf.DUMMYFUNCTION("""COMPUTED_VALUE"""),46203.0)</f>
        <v>46203</v>
      </c>
    </row>
    <row r="3793">
      <c r="A3793" s="6" t="str">
        <f>IFERROR(__xludf.DUMMYFUNCTION("""COMPUTED_VALUE"""),"RIA")</f>
        <v>RIA</v>
      </c>
      <c r="B3793" s="6" t="str">
        <f>IFERROR(__xludf.DUMMYFUNCTION("""COMPUTED_VALUE"""),"ENG")</f>
        <v>ENG</v>
      </c>
      <c r="C3793" s="6" t="str">
        <f>IFERROR(__xludf.DUMMYFUNCTION("""COMPUTED_VALUE"""),"T-25577-00")</f>
        <v>T-25577-00</v>
      </c>
      <c r="D3793" s="6" t="str">
        <f>IFERROR(__xludf.DUMMYFUNCTION("""COMPUTED_VALUE"""),"UV LAMP FOR M500 TOC Analyzer; Sievers; TOC M500; 1 pc")</f>
        <v>UV LAMP FOR M500 TOC Analyzer; Sievers; TOC M500; 1 pc</v>
      </c>
      <c r="E3793" s="6">
        <f>IFERROR(__xludf.DUMMYFUNCTION("""COMPUTED_VALUE"""),1.0)</f>
        <v>1</v>
      </c>
      <c r="F3793" s="6">
        <f>IFERROR(__xludf.DUMMYFUNCTION("""COMPUTED_VALUE"""),1.0)</f>
        <v>1</v>
      </c>
      <c r="G3793" s="6">
        <f>IFERROR(__xludf.DUMMYFUNCTION("""COMPUTED_VALUE"""),0.0)</f>
        <v>0</v>
      </c>
      <c r="H3793" s="6" t="str">
        <f>IFERROR(__xludf.DUMMYFUNCTION("""COMPUTED_VALUE"""),"Pcs")</f>
        <v>Pcs</v>
      </c>
      <c r="I3793" s="6" t="str">
        <f>IFERROR(__xludf.DUMMYFUNCTION("""COMPUTED_VALUE"""),"MFH")</f>
        <v>MFH</v>
      </c>
      <c r="J3793" s="6" t="str">
        <f>IFERROR(__xludf.DUMMYFUNCTION("""COMPUTED_VALUE"""),"WFI SKID")</f>
        <v>WFI SKID</v>
      </c>
      <c r="K3793" s="6" t="str">
        <f>IFERROR(__xludf.DUMMYFUNCTION("""COMPUTED_VALUE"""),"SPR/06/26/047")</f>
        <v>SPR/06/26/047</v>
      </c>
      <c r="L3793" s="13">
        <f>IFERROR(__xludf.DUMMYFUNCTION("""COMPUTED_VALUE"""),46203.0)</f>
        <v>46203</v>
      </c>
    </row>
    <row r="3794">
      <c r="A3794" s="6" t="str">
        <f>IFERROR(__xludf.DUMMYFUNCTION("""COMPUTED_VALUE"""),"WAP")</f>
        <v>WAP</v>
      </c>
      <c r="B3794" s="6" t="str">
        <f>IFERROR(__xludf.DUMMYFUNCTION("""COMPUTED_VALUE"""),"ENG")</f>
        <v>ENG</v>
      </c>
      <c r="C3794" s="6" t="str">
        <f>IFERROR(__xludf.DUMMYFUNCTION("""COMPUTED_VALUE"""),"O-16032-00")</f>
        <v>O-16032-00</v>
      </c>
      <c r="D3794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794" s="6">
        <f>IFERROR(__xludf.DUMMYFUNCTION("""COMPUTED_VALUE"""),1.0)</f>
        <v>1</v>
      </c>
      <c r="F3794" s="6">
        <f>IFERROR(__xludf.DUMMYFUNCTION("""COMPUTED_VALUE"""),1.0)</f>
        <v>1</v>
      </c>
      <c r="G3794" s="6">
        <f>IFERROR(__xludf.DUMMYFUNCTION("""COMPUTED_VALUE"""),0.0)</f>
        <v>0</v>
      </c>
      <c r="H3794" s="6" t="str">
        <f>IFERROR(__xludf.DUMMYFUNCTION("""COMPUTED_VALUE"""),"Pcs")</f>
        <v>Pcs</v>
      </c>
      <c r="I3794" s="6" t="str">
        <f>IFERROR(__xludf.DUMMYFUNCTION("""COMPUTED_VALUE"""),"MFH")</f>
        <v>MFH</v>
      </c>
      <c r="J3794" s="6" t="str">
        <f>IFERROR(__xludf.DUMMYFUNCTION("""COMPUTED_VALUE"""),"cRABS")</f>
        <v>cRABS</v>
      </c>
      <c r="K3794" s="6" t="str">
        <f>IFERROR(__xludf.DUMMYFUNCTION("""COMPUTED_VALUE"""),"SPR/06/26/048")</f>
        <v>SPR/06/26/048</v>
      </c>
      <c r="L3794" s="13">
        <f>IFERROR(__xludf.DUMMYFUNCTION("""COMPUTED_VALUE"""),46203.0)</f>
        <v>46203</v>
      </c>
    </row>
    <row r="3795">
      <c r="A3795" s="6" t="str">
        <f>IFERROR(__xludf.DUMMYFUNCTION("""COMPUTED_VALUE"""),"WAP")</f>
        <v>WAP</v>
      </c>
      <c r="B3795" s="6" t="str">
        <f>IFERROR(__xludf.DUMMYFUNCTION("""COMPUTED_VALUE"""),"ENG")</f>
        <v>ENG</v>
      </c>
      <c r="C3795" s="6" t="str">
        <f>IFERROR(__xludf.DUMMYFUNCTION("""COMPUTED_VALUE"""),"O-16033-00")</f>
        <v>O-16033-00</v>
      </c>
      <c r="D3795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795" s="6">
        <f>IFERROR(__xludf.DUMMYFUNCTION("""COMPUTED_VALUE"""),1.0)</f>
        <v>1</v>
      </c>
      <c r="F3795" s="6">
        <f>IFERROR(__xludf.DUMMYFUNCTION("""COMPUTED_VALUE"""),1.0)</f>
        <v>1</v>
      </c>
      <c r="G3795" s="6">
        <f>IFERROR(__xludf.DUMMYFUNCTION("""COMPUTED_VALUE"""),0.0)</f>
        <v>0</v>
      </c>
      <c r="H3795" s="6" t="str">
        <f>IFERROR(__xludf.DUMMYFUNCTION("""COMPUTED_VALUE"""),"Pcs")</f>
        <v>Pcs</v>
      </c>
      <c r="I3795" s="6" t="str">
        <f>IFERROR(__xludf.DUMMYFUNCTION("""COMPUTED_VALUE"""),"MFH")</f>
        <v>MFH</v>
      </c>
      <c r="J3795" s="6" t="str">
        <f>IFERROR(__xludf.DUMMYFUNCTION("""COMPUTED_VALUE"""),"cRABS")</f>
        <v>cRABS</v>
      </c>
      <c r="K3795" s="6" t="str">
        <f>IFERROR(__xludf.DUMMYFUNCTION("""COMPUTED_VALUE"""),"SPR/06/26/048")</f>
        <v>SPR/06/26/048</v>
      </c>
      <c r="L3795" s="13">
        <f>IFERROR(__xludf.DUMMYFUNCTION("""COMPUTED_VALUE"""),46203.0)</f>
        <v>46203</v>
      </c>
    </row>
    <row r="3796">
      <c r="A3796" s="6" t="str">
        <f>IFERROR(__xludf.DUMMYFUNCTION("""COMPUTED_VALUE"""),"WAP")</f>
        <v>WAP</v>
      </c>
      <c r="B3796" s="6" t="str">
        <f>IFERROR(__xludf.DUMMYFUNCTION("""COMPUTED_VALUE"""),"ENG")</f>
        <v>ENG</v>
      </c>
      <c r="C3796" s="6" t="str">
        <f>IFERROR(__xludf.DUMMYFUNCTION("""COMPUTED_VALUE"""),"P-15852-00")</f>
        <v>P-15852-00</v>
      </c>
      <c r="D3796" s="6" t="str">
        <f>IFERROR(__xludf.DUMMYFUNCTION("""COMPUTED_VALUE"""),"AMPLAS EAGLE 500")</f>
        <v>AMPLAS EAGLE 500</v>
      </c>
      <c r="E3796" s="6">
        <f>IFERROR(__xludf.DUMMYFUNCTION("""COMPUTED_VALUE"""),1.0)</f>
        <v>1</v>
      </c>
      <c r="F3796" s="6">
        <f>IFERROR(__xludf.DUMMYFUNCTION("""COMPUTED_VALUE"""),1.0)</f>
        <v>1</v>
      </c>
      <c r="G3796" s="6">
        <f>IFERROR(__xludf.DUMMYFUNCTION("""COMPUTED_VALUE"""),0.0)</f>
        <v>0</v>
      </c>
      <c r="H3796" s="6" t="str">
        <f>IFERROR(__xludf.DUMMYFUNCTION("""COMPUTED_VALUE"""),"Pcs")</f>
        <v>Pcs</v>
      </c>
      <c r="I3796" s="6" t="str">
        <f>IFERROR(__xludf.DUMMYFUNCTION("""COMPUTED_VALUE"""),"MFH")</f>
        <v>MFH</v>
      </c>
      <c r="J3796" s="6" t="str">
        <f>IFERROR(__xludf.DUMMYFUNCTION("""COMPUTED_VALUE"""),"Capping")</f>
        <v>Capping</v>
      </c>
      <c r="K3796" s="6" t="str">
        <f>IFERROR(__xludf.DUMMYFUNCTION("""COMPUTED_VALUE"""),"SPR/06/26/048")</f>
        <v>SPR/06/26/048</v>
      </c>
      <c r="L3796" s="13">
        <f>IFERROR(__xludf.DUMMYFUNCTION("""COMPUTED_VALUE"""),46203.0)</f>
        <v>46203</v>
      </c>
    </row>
    <row r="3797">
      <c r="A3797" s="6" t="str">
        <f>IFERROR(__xludf.DUMMYFUNCTION("""COMPUTED_VALUE"""),"NDS")</f>
        <v>NDS</v>
      </c>
      <c r="B3797" s="6" t="str">
        <f>IFERROR(__xludf.DUMMYFUNCTION("""COMPUTED_VALUE"""),"ENG")</f>
        <v>ENG</v>
      </c>
      <c r="C3797" s="6" t="str">
        <f>IFERROR(__xludf.DUMMYFUNCTION("""COMPUTED_VALUE"""),"P-51298-00")</f>
        <v>P-51298-00</v>
      </c>
      <c r="D3797" s="6" t="str">
        <f>IFERROR(__xludf.DUMMYFUNCTION("""COMPUTED_VALUE"""),"General - Terminal Plastik, dia. 4 mm; No Brand; -; 1 pcs")</f>
        <v>General - Terminal Plastik, dia. 4 mm; No Brand; -; 1 pcs</v>
      </c>
      <c r="E3797" s="6">
        <f>IFERROR(__xludf.DUMMYFUNCTION("""COMPUTED_VALUE"""),1.0)</f>
        <v>1</v>
      </c>
      <c r="F3797" s="6">
        <f>IFERROR(__xludf.DUMMYFUNCTION("""COMPUTED_VALUE"""),1.0)</f>
        <v>1</v>
      </c>
      <c r="G3797" s="6">
        <f>IFERROR(__xludf.DUMMYFUNCTION("""COMPUTED_VALUE"""),0.0)</f>
        <v>0</v>
      </c>
      <c r="H3797" s="6" t="str">
        <f>IFERROR(__xludf.DUMMYFUNCTION("""COMPUTED_VALUE"""),"Pcs")</f>
        <v>Pcs</v>
      </c>
      <c r="I3797" s="6" t="str">
        <f>IFERROR(__xludf.DUMMYFUNCTION("""COMPUTED_VALUE"""),"MFH")</f>
        <v>MFH</v>
      </c>
      <c r="J3797" s="6" t="str">
        <f>IFERROR(__xludf.DUMMYFUNCTION("""COMPUTED_VALUE"""),"Mixing ")</f>
        <v>Mixing </v>
      </c>
      <c r="K3797" s="6" t="str">
        <f>IFERROR(__xludf.DUMMYFUNCTION("""COMPUTED_VALUE"""),"SPR/06/26/049")</f>
        <v>SPR/06/26/049</v>
      </c>
      <c r="L3797" s="13">
        <f>IFERROR(__xludf.DUMMYFUNCTION("""COMPUTED_VALUE"""),46203.0)</f>
        <v>46203</v>
      </c>
    </row>
    <row r="3798">
      <c r="A3798" s="6" t="str">
        <f>IFERROR(__xludf.DUMMYFUNCTION("""COMPUTED_VALUE"""),"NDS")</f>
        <v>NDS</v>
      </c>
      <c r="B3798" s="6" t="str">
        <f>IFERROR(__xludf.DUMMYFUNCTION("""COMPUTED_VALUE"""),"ENG")</f>
        <v>ENG</v>
      </c>
      <c r="C3798" s="6" t="str">
        <f>IFERROR(__xludf.DUMMYFUNCTION("""COMPUTED_VALUE"""),"O-16032-00")</f>
        <v>O-16032-00</v>
      </c>
      <c r="D3798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798" s="6">
        <f>IFERROR(__xludf.DUMMYFUNCTION("""COMPUTED_VALUE"""),1.0)</f>
        <v>1</v>
      </c>
      <c r="F3798" s="6">
        <f>IFERROR(__xludf.DUMMYFUNCTION("""COMPUTED_VALUE"""),1.0)</f>
        <v>1</v>
      </c>
      <c r="G3798" s="6">
        <f>IFERROR(__xludf.DUMMYFUNCTION("""COMPUTED_VALUE"""),0.0)</f>
        <v>0</v>
      </c>
      <c r="H3798" s="6" t="str">
        <f>IFERROR(__xludf.DUMMYFUNCTION("""COMPUTED_VALUE"""),"Pcs")</f>
        <v>Pcs</v>
      </c>
      <c r="I3798" s="6" t="str">
        <f>IFERROR(__xludf.DUMMYFUNCTION("""COMPUTED_VALUE"""),"MFH")</f>
        <v>MFH</v>
      </c>
      <c r="J3798" s="6" t="str">
        <f>IFERROR(__xludf.DUMMYFUNCTION("""COMPUTED_VALUE"""),"cRABS")</f>
        <v>cRABS</v>
      </c>
      <c r="K3798" s="6" t="str">
        <f>IFERROR(__xludf.DUMMYFUNCTION("""COMPUTED_VALUE"""),"SPR/06/26/049")</f>
        <v>SPR/06/26/049</v>
      </c>
      <c r="L3798" s="13">
        <f>IFERROR(__xludf.DUMMYFUNCTION("""COMPUTED_VALUE"""),46203.0)</f>
        <v>46203</v>
      </c>
    </row>
    <row r="3799">
      <c r="A3799" s="6" t="str">
        <f>IFERROR(__xludf.DUMMYFUNCTION("""COMPUTED_VALUE"""),"MRN")</f>
        <v>MRN</v>
      </c>
      <c r="B3799" s="6" t="str">
        <f>IFERROR(__xludf.DUMMYFUNCTION("""COMPUTED_VALUE"""),"ENG")</f>
        <v>ENG</v>
      </c>
      <c r="C3799" s="6" t="str">
        <f>IFERROR(__xludf.DUMMYFUNCTION("""COMPUTED_VALUE"""),"P-20533-00")</f>
        <v>P-20533-00</v>
      </c>
      <c r="D3799" s="6" t="str">
        <f>IFERROR(__xludf.DUMMYFUNCTION("""COMPUTED_VALUE"""),"General - Chain Lube; WD-40 Specialist; -; 360ml/can")</f>
        <v>General - Chain Lube; WD-40 Specialist; -; 360ml/can</v>
      </c>
      <c r="E3799" s="6">
        <f>IFERROR(__xludf.DUMMYFUNCTION("""COMPUTED_VALUE"""),1.0)</f>
        <v>1</v>
      </c>
      <c r="F3799" s="6">
        <f>IFERROR(__xludf.DUMMYFUNCTION("""COMPUTED_VALUE"""),1.0)</f>
        <v>1</v>
      </c>
      <c r="G3799" s="6">
        <f>IFERROR(__xludf.DUMMYFUNCTION("""COMPUTED_VALUE"""),0.0)</f>
        <v>0</v>
      </c>
      <c r="H3799" s="6" t="str">
        <f>IFERROR(__xludf.DUMMYFUNCTION("""COMPUTED_VALUE"""),"Pcs")</f>
        <v>Pcs</v>
      </c>
      <c r="I3799" s="6" t="str">
        <f>IFERROR(__xludf.DUMMYFUNCTION("""COMPUTED_VALUE"""),"MFH")</f>
        <v>MFH</v>
      </c>
      <c r="J3799" s="6" t="str">
        <f>IFERROR(__xludf.DUMMYFUNCTION("""COMPUTED_VALUE"""),"-")</f>
        <v>-</v>
      </c>
      <c r="K3799" s="6" t="str">
        <f>IFERROR(__xludf.DUMMYFUNCTION("""COMPUTED_VALUE"""),"SPR/06/26/050")</f>
        <v>SPR/06/26/050</v>
      </c>
      <c r="L3799" s="13">
        <f>IFERROR(__xludf.DUMMYFUNCTION("""COMPUTED_VALUE"""),46203.0)</f>
        <v>46203</v>
      </c>
    </row>
    <row r="3800">
      <c r="A3800" s="6" t="str">
        <f>IFERROR(__xludf.DUMMYFUNCTION("""COMPUTED_VALUE"""),"ROS")</f>
        <v>ROS</v>
      </c>
      <c r="B3800" s="6" t="str">
        <f>IFERROR(__xludf.DUMMYFUNCTION("""COMPUTED_VALUE"""),"ENG")</f>
        <v>ENG</v>
      </c>
      <c r="C3800" s="6" t="str">
        <f>IFERROR(__xludf.DUMMYFUNCTION("""COMPUTED_VALUE"""),"O-20918-00")</f>
        <v>O-20918-00</v>
      </c>
      <c r="D3800" s="6" t="str">
        <f>IFERROR(__xludf.DUMMYFUNCTION("""COMPUTED_VALUE"""),"cRABS Z064CR - Glove Port Pom White Uk: 227x310x15.25mm; Custom/Lokal; -; 1 Pc")</f>
        <v>cRABS Z064CR - Glove Port Pom White Uk: 227x310x15.25mm; Custom/Lokal; -; 1 Pc</v>
      </c>
      <c r="E3800" s="6">
        <f>IFERROR(__xludf.DUMMYFUNCTION("""COMPUTED_VALUE"""),2.0)</f>
        <v>2</v>
      </c>
      <c r="F3800" s="6">
        <f>IFERROR(__xludf.DUMMYFUNCTION("""COMPUTED_VALUE"""),2.0)</f>
        <v>2</v>
      </c>
      <c r="G3800" s="6">
        <f>IFERROR(__xludf.DUMMYFUNCTION("""COMPUTED_VALUE"""),0.0)</f>
        <v>0</v>
      </c>
      <c r="H3800" s="6" t="str">
        <f>IFERROR(__xludf.DUMMYFUNCTION("""COMPUTED_VALUE"""),"Pcs")</f>
        <v>Pcs</v>
      </c>
      <c r="I3800" s="6" t="str">
        <f>IFERROR(__xludf.DUMMYFUNCTION("""COMPUTED_VALUE"""),"MFH")</f>
        <v>MFH</v>
      </c>
      <c r="J3800" s="6" t="str">
        <f>IFERROR(__xludf.DUMMYFUNCTION("""COMPUTED_VALUE"""),"Cytocab")</f>
        <v>Cytocab</v>
      </c>
      <c r="K3800" s="6" t="str">
        <f>IFERROR(__xludf.DUMMYFUNCTION("""COMPUTED_VALUE"""),"SPR/06/26/051")</f>
        <v>SPR/06/26/051</v>
      </c>
      <c r="L3800" s="13">
        <f>IFERROR(__xludf.DUMMYFUNCTION("""COMPUTED_VALUE"""),46203.0)</f>
        <v>46203</v>
      </c>
    </row>
    <row r="3801">
      <c r="A3801" s="6" t="str">
        <f>IFERROR(__xludf.DUMMYFUNCTION("""COMPUTED_VALUE"""),"ROS")</f>
        <v>ROS</v>
      </c>
      <c r="B3801" s="6" t="str">
        <f>IFERROR(__xludf.DUMMYFUNCTION("""COMPUTED_VALUE"""),"ENG")</f>
        <v>ENG</v>
      </c>
      <c r="C3801" s="6" t="str">
        <f>IFERROR(__xludf.DUMMYFUNCTION("""COMPUTED_VALUE"""),"O-21484-00")</f>
        <v>O-21484-00</v>
      </c>
      <c r="D3801" s="6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E3801" s="6">
        <f>IFERROR(__xludf.DUMMYFUNCTION("""COMPUTED_VALUE"""),2.0)</f>
        <v>2</v>
      </c>
      <c r="F3801" s="6">
        <f>IFERROR(__xludf.DUMMYFUNCTION("""COMPUTED_VALUE"""),2.0)</f>
        <v>2</v>
      </c>
      <c r="G3801" s="6">
        <f>IFERROR(__xludf.DUMMYFUNCTION("""COMPUTED_VALUE"""),0.0)</f>
        <v>0</v>
      </c>
      <c r="H3801" s="6" t="str">
        <f>IFERROR(__xludf.DUMMYFUNCTION("""COMPUTED_VALUE"""),"Pcs")</f>
        <v>Pcs</v>
      </c>
      <c r="I3801" s="6" t="str">
        <f>IFERROR(__xludf.DUMMYFUNCTION("""COMPUTED_VALUE"""),"MFH")</f>
        <v>MFH</v>
      </c>
      <c r="J3801" s="6" t="str">
        <f>IFERROR(__xludf.DUMMYFUNCTION("""COMPUTED_VALUE"""),"Cytocab")</f>
        <v>Cytocab</v>
      </c>
      <c r="K3801" s="6" t="str">
        <f>IFERROR(__xludf.DUMMYFUNCTION("""COMPUTED_VALUE"""),"SPR/06/26/051")</f>
        <v>SPR/06/26/051</v>
      </c>
      <c r="L3801" s="13">
        <f>IFERROR(__xludf.DUMMYFUNCTION("""COMPUTED_VALUE"""),46203.0)</f>
        <v>46203</v>
      </c>
    </row>
    <row r="3802">
      <c r="A3802" s="6" t="str">
        <f>IFERROR(__xludf.DUMMYFUNCTION("""COMPUTED_VALUE"""),"ROS")</f>
        <v>ROS</v>
      </c>
      <c r="B3802" s="6" t="str">
        <f>IFERROR(__xludf.DUMMYFUNCTION("""COMPUTED_VALUE"""),"ENG")</f>
        <v>ENG</v>
      </c>
      <c r="C3802" s="6" t="str">
        <f>IFERROR(__xludf.DUMMYFUNCTION("""COMPUTED_VALUE"""),"P-20754-00")</f>
        <v>P-20754-00</v>
      </c>
      <c r="D3802" s="6" t="str">
        <f>IFERROR(__xludf.DUMMYFUNCTION("""COMPUTED_VALUE"""),"General - Oring 200 Viton Tebal 5.7 ID 199.3 OD 210.7 mm; Custom; -; 1 pc")</f>
        <v>General - Oring 200 Viton Tebal 5.7 ID 199.3 OD 210.7 mm; Custom; -; 1 pc</v>
      </c>
      <c r="E3802" s="6">
        <f>IFERROR(__xludf.DUMMYFUNCTION("""COMPUTED_VALUE"""),4.0)</f>
        <v>4</v>
      </c>
      <c r="F3802" s="6">
        <f>IFERROR(__xludf.DUMMYFUNCTION("""COMPUTED_VALUE"""),4.0)</f>
        <v>4</v>
      </c>
      <c r="G3802" s="6">
        <f>IFERROR(__xludf.DUMMYFUNCTION("""COMPUTED_VALUE"""),0.0)</f>
        <v>0</v>
      </c>
      <c r="H3802" s="6" t="str">
        <f>IFERROR(__xludf.DUMMYFUNCTION("""COMPUTED_VALUE"""),"Pcs")</f>
        <v>Pcs</v>
      </c>
      <c r="I3802" s="6" t="str">
        <f>IFERROR(__xludf.DUMMYFUNCTION("""COMPUTED_VALUE"""),"MFH")</f>
        <v>MFH</v>
      </c>
      <c r="J3802" s="6" t="str">
        <f>IFERROR(__xludf.DUMMYFUNCTION("""COMPUTED_VALUE"""),"Cytocab")</f>
        <v>Cytocab</v>
      </c>
      <c r="K3802" s="6" t="str">
        <f>IFERROR(__xludf.DUMMYFUNCTION("""COMPUTED_VALUE"""),"SPR/06/26/051")</f>
        <v>SPR/06/26/051</v>
      </c>
      <c r="L3802" s="13">
        <f>IFERROR(__xludf.DUMMYFUNCTION("""COMPUTED_VALUE"""),46203.0)</f>
        <v>46203</v>
      </c>
    </row>
    <row r="3803">
      <c r="A3803" s="6" t="str">
        <f>IFERROR(__xludf.DUMMYFUNCTION("""COMPUTED_VALUE"""),"ROS")</f>
        <v>ROS</v>
      </c>
      <c r="B3803" s="6" t="str">
        <f>IFERROR(__xludf.DUMMYFUNCTION("""COMPUTED_VALUE"""),"ENG")</f>
        <v>ENG</v>
      </c>
      <c r="C3803" s="6" t="str">
        <f>IFERROR(__xludf.DUMMYFUNCTION("""COMPUTED_VALUE"""),"P-20755-00")</f>
        <v>P-20755-00</v>
      </c>
      <c r="D3803" s="6" t="str">
        <f>IFERROR(__xludf.DUMMYFUNCTION("""COMPUTED_VALUE"""),"General - Oring 260 Viton Tebal 5.7 ID 259.3 OD 270.7 mm; Custom; -; 1 pc")</f>
        <v>General - Oring 260 Viton Tebal 5.7 ID 259.3 OD 270.7 mm; Custom; -; 1 pc</v>
      </c>
      <c r="E3803" s="6">
        <f>IFERROR(__xludf.DUMMYFUNCTION("""COMPUTED_VALUE"""),4.0)</f>
        <v>4</v>
      </c>
      <c r="F3803" s="6">
        <f>IFERROR(__xludf.DUMMYFUNCTION("""COMPUTED_VALUE"""),4.0)</f>
        <v>4</v>
      </c>
      <c r="G3803" s="6">
        <f>IFERROR(__xludf.DUMMYFUNCTION("""COMPUTED_VALUE"""),0.0)</f>
        <v>0</v>
      </c>
      <c r="H3803" s="6" t="str">
        <f>IFERROR(__xludf.DUMMYFUNCTION("""COMPUTED_VALUE"""),"Pcs")</f>
        <v>Pcs</v>
      </c>
      <c r="I3803" s="6" t="str">
        <f>IFERROR(__xludf.DUMMYFUNCTION("""COMPUTED_VALUE"""),"MFH")</f>
        <v>MFH</v>
      </c>
      <c r="J3803" s="6" t="str">
        <f>IFERROR(__xludf.DUMMYFUNCTION("""COMPUTED_VALUE"""),"Cytocab")</f>
        <v>Cytocab</v>
      </c>
      <c r="K3803" s="6" t="str">
        <f>IFERROR(__xludf.DUMMYFUNCTION("""COMPUTED_VALUE"""),"SPR/06/26/051")</f>
        <v>SPR/06/26/051</v>
      </c>
      <c r="L3803" s="13">
        <f>IFERROR(__xludf.DUMMYFUNCTION("""COMPUTED_VALUE"""),46203.0)</f>
        <v>46203</v>
      </c>
    </row>
    <row r="3804">
      <c r="A3804" s="6" t="str">
        <f>IFERROR(__xludf.DUMMYFUNCTION("""COMPUTED_VALUE"""),"SFH")</f>
        <v>SFH</v>
      </c>
      <c r="B3804" s="6" t="str">
        <f>IFERROR(__xludf.DUMMYFUNCTION("""COMPUTED_VALUE"""),"ENG")</f>
        <v>ENG</v>
      </c>
      <c r="C3804" s="6" t="str">
        <f>IFERROR(__xludf.DUMMYFUNCTION("""COMPUTED_VALUE"""),"P-14424-00")</f>
        <v>P-14424-00</v>
      </c>
      <c r="D3804" s="6" t="str">
        <f>IFERROR(__xludf.DUMMYFUNCTION("""COMPUTED_VALUE"""),"Garam Kutreat RGN-9800F; ; ; 25Kg/zak")</f>
        <v>Garam Kutreat RGN-9800F; ; ; 25Kg/zak</v>
      </c>
      <c r="E3804" s="6">
        <f>IFERROR(__xludf.DUMMYFUNCTION("""COMPUTED_VALUE"""),25.0)</f>
        <v>25</v>
      </c>
      <c r="F3804" s="6">
        <f>IFERROR(__xludf.DUMMYFUNCTION("""COMPUTED_VALUE"""),25.0)</f>
        <v>25</v>
      </c>
      <c r="G3804" s="6">
        <f>IFERROR(__xludf.DUMMYFUNCTION("""COMPUTED_VALUE"""),0.0)</f>
        <v>0</v>
      </c>
      <c r="H3804" s="6" t="str">
        <f>IFERROR(__xludf.DUMMYFUNCTION("""COMPUTED_VALUE"""),"Pcs")</f>
        <v>Pcs</v>
      </c>
      <c r="I3804" s="6" t="str">
        <f>IFERROR(__xludf.DUMMYFUNCTION("""COMPUTED_VALUE"""),"MFH")</f>
        <v>MFH</v>
      </c>
      <c r="J3804" s="6" t="str">
        <f>IFERROR(__xludf.DUMMYFUNCTION("""COMPUTED_VALUE"""),"PWG")</f>
        <v>PWG</v>
      </c>
      <c r="K3804" s="6" t="str">
        <f>IFERROR(__xludf.DUMMYFUNCTION("""COMPUTED_VALUE"""),"SPR/06/26/052")</f>
        <v>SPR/06/26/052</v>
      </c>
      <c r="L3804" s="13">
        <f>IFERROR(__xludf.DUMMYFUNCTION("""COMPUTED_VALUE"""),46203.0)</f>
        <v>46203</v>
      </c>
    </row>
    <row r="3805">
      <c r="A3805" s="6" t="str">
        <f>IFERROR(__xludf.DUMMYFUNCTION("""COMPUTED_VALUE"""),"SFH")</f>
        <v>SFH</v>
      </c>
      <c r="B3805" s="6" t="str">
        <f>IFERROR(__xludf.DUMMYFUNCTION("""COMPUTED_VALUE"""),"ENG")</f>
        <v>ENG</v>
      </c>
      <c r="C3805" s="6" t="str">
        <f>IFERROR(__xludf.DUMMYFUNCTION("""COMPUTED_VALUE"""),"P-12830-00")</f>
        <v>P-12830-00</v>
      </c>
      <c r="D3805" s="6" t="str">
        <f>IFERROR(__xludf.DUMMYFUNCTION("""COMPUTED_VALUE"""),"Sodium metabisulfit")</f>
        <v>Sodium metabisulfit</v>
      </c>
      <c r="E3805" s="6">
        <f>IFERROR(__xludf.DUMMYFUNCTION("""COMPUTED_VALUE"""),1.0)</f>
        <v>1</v>
      </c>
      <c r="F3805" s="6">
        <f>IFERROR(__xludf.DUMMYFUNCTION("""COMPUTED_VALUE"""),1.0)</f>
        <v>1</v>
      </c>
      <c r="G3805" s="6">
        <f>IFERROR(__xludf.DUMMYFUNCTION("""COMPUTED_VALUE"""),0.0)</f>
        <v>0</v>
      </c>
      <c r="H3805" s="6" t="str">
        <f>IFERROR(__xludf.DUMMYFUNCTION("""COMPUTED_VALUE"""),"Sak")</f>
        <v>Sak</v>
      </c>
      <c r="I3805" s="6" t="str">
        <f>IFERROR(__xludf.DUMMYFUNCTION("""COMPUTED_VALUE"""),"MFH")</f>
        <v>MFH</v>
      </c>
      <c r="J3805" s="6" t="str">
        <f>IFERROR(__xludf.DUMMYFUNCTION("""COMPUTED_VALUE"""),"WWTP")</f>
        <v>WWTP</v>
      </c>
      <c r="K3805" s="6" t="str">
        <f>IFERROR(__xludf.DUMMYFUNCTION("""COMPUTED_VALUE"""),"SPR/06/26/052")</f>
        <v>SPR/06/26/052</v>
      </c>
      <c r="L3805" s="13">
        <f>IFERROR(__xludf.DUMMYFUNCTION("""COMPUTED_VALUE"""),46203.0)</f>
        <v>46203</v>
      </c>
    </row>
    <row r="3806">
      <c r="A3806" s="6" t="str">
        <f>IFERROR(__xludf.DUMMYFUNCTION("""COMPUTED_VALUE"""),"SFH")</f>
        <v>SFH</v>
      </c>
      <c r="B3806" s="6" t="str">
        <f>IFERROR(__xludf.DUMMYFUNCTION("""COMPUTED_VALUE"""),"ENG")</f>
        <v>ENG</v>
      </c>
      <c r="C3806" s="6" t="str">
        <f>IFERROR(__xludf.DUMMYFUNCTION("""COMPUTED_VALUE"""),"O-54015-00")</f>
        <v>O-54015-00</v>
      </c>
      <c r="D3806" s="6" t="str">
        <f>IFERROR(__xludf.DUMMYFUNCTION("""COMPUTED_VALUE"""),"STOP KONTAK LUBANG 4, BROCO")</f>
        <v>STOP KONTAK LUBANG 4, BROCO</v>
      </c>
      <c r="E3806" s="6">
        <f>IFERROR(__xludf.DUMMYFUNCTION("""COMPUTED_VALUE"""),0.0)</f>
        <v>0</v>
      </c>
      <c r="F3806" s="6">
        <f>IFERROR(__xludf.DUMMYFUNCTION("""COMPUTED_VALUE"""),3.0)</f>
        <v>3</v>
      </c>
      <c r="G3806" s="6">
        <f>IFERROR(__xludf.DUMMYFUNCTION("""COMPUTED_VALUE"""),0.0)</f>
        <v>0</v>
      </c>
      <c r="H3806" s="6" t="str">
        <f>IFERROR(__xludf.DUMMYFUNCTION("""COMPUTED_VALUE"""),"Pcs")</f>
        <v>Pcs</v>
      </c>
      <c r="I3806" s="6" t="str">
        <f>IFERROR(__xludf.DUMMYFUNCTION("""COMPUTED_VALUE"""),"MFH")</f>
        <v>MFH</v>
      </c>
      <c r="J3806" s="6" t="str">
        <f>IFERROR(__xludf.DUMMYFUNCTION("""COMPUTED_VALUE"""),"Building")</f>
        <v>Building</v>
      </c>
      <c r="K3806" s="6" t="str">
        <f>IFERROR(__xludf.DUMMYFUNCTION("""COMPUTED_VALUE"""),"SPR/06/26/052")</f>
        <v>SPR/06/26/052</v>
      </c>
      <c r="L3806" s="13">
        <f>IFERROR(__xludf.DUMMYFUNCTION("""COMPUTED_VALUE"""),46203.0)</f>
        <v>46203</v>
      </c>
    </row>
    <row r="3807">
      <c r="A3807" s="6" t="str">
        <f>IFERROR(__xludf.DUMMYFUNCTION("""COMPUTED_VALUE"""),"SFH")</f>
        <v>SFH</v>
      </c>
      <c r="B3807" s="6" t="str">
        <f>IFERROR(__xludf.DUMMYFUNCTION("""COMPUTED_VALUE"""),"ENG")</f>
        <v>ENG</v>
      </c>
      <c r="C3807" s="6" t="str">
        <f>IFERROR(__xludf.DUMMYFUNCTION("""COMPUTED_VALUE"""),"P-54210-00")</f>
        <v>P-54210-00</v>
      </c>
      <c r="D3807" s="6" t="str">
        <f>IFERROR(__xludf.DUMMYFUNCTION("""COMPUTED_VALUE"""),"Tutup stop kontak; IEC 60529 BS5733;; Schneider; ;")</f>
        <v>Tutup stop kontak; IEC 60529 BS5733;; Schneider; ;</v>
      </c>
      <c r="E3807" s="6">
        <f>IFERROR(__xludf.DUMMYFUNCTION("""COMPUTED_VALUE"""),3.0)</f>
        <v>3</v>
      </c>
      <c r="F3807" s="6">
        <f>IFERROR(__xludf.DUMMYFUNCTION("""COMPUTED_VALUE"""),3.0)</f>
        <v>3</v>
      </c>
      <c r="G3807" s="6">
        <f>IFERROR(__xludf.DUMMYFUNCTION("""COMPUTED_VALUE"""),0.0)</f>
        <v>0</v>
      </c>
      <c r="H3807" s="6" t="str">
        <f>IFERROR(__xludf.DUMMYFUNCTION("""COMPUTED_VALUE"""),"Pcs")</f>
        <v>Pcs</v>
      </c>
      <c r="I3807" s="6" t="str">
        <f>IFERROR(__xludf.DUMMYFUNCTION("""COMPUTED_VALUE"""),"MFH")</f>
        <v>MFH</v>
      </c>
      <c r="J3807" s="6" t="str">
        <f>IFERROR(__xludf.DUMMYFUNCTION("""COMPUTED_VALUE"""),"Building")</f>
        <v>Building</v>
      </c>
      <c r="K3807" s="6" t="str">
        <f>IFERROR(__xludf.DUMMYFUNCTION("""COMPUTED_VALUE"""),"SPR/06/26/053")</f>
        <v>SPR/06/26/053</v>
      </c>
      <c r="L3807" s="13">
        <f>IFERROR(__xludf.DUMMYFUNCTION("""COMPUTED_VALUE"""),46203.0)</f>
        <v>46203</v>
      </c>
    </row>
    <row r="3808">
      <c r="A3808" s="6" t="str">
        <f>IFERROR(__xludf.DUMMYFUNCTION("""COMPUTED_VALUE"""),"MRN")</f>
        <v>MRN</v>
      </c>
      <c r="B3808" s="6" t="str">
        <f>IFERROR(__xludf.DUMMYFUNCTION("""COMPUTED_VALUE"""),"ENG")</f>
        <v>ENG</v>
      </c>
      <c r="C3808" s="6" t="str">
        <f>IFERROR(__xludf.DUMMYFUNCTION("""COMPUTED_VALUE"""),"Q-10249-00")</f>
        <v>Q-10249-00</v>
      </c>
      <c r="D3808" s="6" t="str">
        <f>IFERROR(__xludf.DUMMYFUNCTION("""COMPUTED_VALUE"""),"Lem Power Glue; ; ;")</f>
        <v>Lem Power Glue; ; ;</v>
      </c>
      <c r="E3808" s="6">
        <f>IFERROR(__xludf.DUMMYFUNCTION("""COMPUTED_VALUE"""),1.0)</f>
        <v>1</v>
      </c>
      <c r="F3808" s="6">
        <f>IFERROR(__xludf.DUMMYFUNCTION("""COMPUTED_VALUE"""),1.0)</f>
        <v>1</v>
      </c>
      <c r="G3808" s="6">
        <f>IFERROR(__xludf.DUMMYFUNCTION("""COMPUTED_VALUE"""),0.0)</f>
        <v>0</v>
      </c>
      <c r="H3808" s="6" t="str">
        <f>IFERROR(__xludf.DUMMYFUNCTION("""COMPUTED_VALUE"""),"Pcs")</f>
        <v>Pcs</v>
      </c>
      <c r="I3808" s="6" t="str">
        <f>IFERROR(__xludf.DUMMYFUNCTION("""COMPUTED_VALUE"""),"MFH")</f>
        <v>MFH</v>
      </c>
      <c r="J3808" s="6" t="str">
        <f>IFERROR(__xludf.DUMMYFUNCTION("""COMPUTED_VALUE"""),"-")</f>
        <v>-</v>
      </c>
      <c r="K3808" s="6" t="str">
        <f>IFERROR(__xludf.DUMMYFUNCTION("""COMPUTED_VALUE"""),"SPR/06/26/054")</f>
        <v>SPR/06/26/054</v>
      </c>
      <c r="L3808" s="13">
        <f>IFERROR(__xludf.DUMMYFUNCTION("""COMPUTED_VALUE"""),46203.0)</f>
        <v>46203</v>
      </c>
    </row>
    <row r="3809">
      <c r="A3809" s="6" t="str">
        <f>IFERROR(__xludf.DUMMYFUNCTION("""COMPUTED_VALUE"""),"MRN")</f>
        <v>MRN</v>
      </c>
      <c r="B3809" s="6" t="str">
        <f>IFERROR(__xludf.DUMMYFUNCTION("""COMPUTED_VALUE"""),"ENG")</f>
        <v>ENG</v>
      </c>
      <c r="C3809" s="6" t="str">
        <f>IFERROR(__xludf.DUMMYFUNCTION("""COMPUTED_VALUE"""),"P-10183-00")</f>
        <v>P-10183-00</v>
      </c>
      <c r="D3809" s="6" t="str">
        <f>IFERROR(__xludf.DUMMYFUNCTION("""COMPUTED_VALUE"""),"General - Drain Sewerage Opener GL-10; No Brand; -; 1 pc")</f>
        <v>General - Drain Sewerage Opener GL-10; No Brand; -; 1 pc</v>
      </c>
      <c r="E3809" s="6">
        <f>IFERROR(__xludf.DUMMYFUNCTION("""COMPUTED_VALUE"""),2.0)</f>
        <v>2</v>
      </c>
      <c r="F3809" s="6">
        <f>IFERROR(__xludf.DUMMYFUNCTION("""COMPUTED_VALUE"""),2.0)</f>
        <v>2</v>
      </c>
      <c r="G3809" s="6">
        <f>IFERROR(__xludf.DUMMYFUNCTION("""COMPUTED_VALUE"""),0.0)</f>
        <v>0</v>
      </c>
      <c r="H3809" s="6" t="str">
        <f>IFERROR(__xludf.DUMMYFUNCTION("""COMPUTED_VALUE"""),"Pcs")</f>
        <v>Pcs</v>
      </c>
      <c r="I3809" s="6" t="str">
        <f>IFERROR(__xludf.DUMMYFUNCTION("""COMPUTED_VALUE"""),"MFH")</f>
        <v>MFH</v>
      </c>
      <c r="J3809" s="6" t="str">
        <f>IFERROR(__xludf.DUMMYFUNCTION("""COMPUTED_VALUE"""),"-")</f>
        <v>-</v>
      </c>
      <c r="K3809" s="6" t="str">
        <f>IFERROR(__xludf.DUMMYFUNCTION("""COMPUTED_VALUE"""),"SPR/06/26/054")</f>
        <v>SPR/06/26/054</v>
      </c>
      <c r="L3809" s="13">
        <f>IFERROR(__xludf.DUMMYFUNCTION("""COMPUTED_VALUE"""),46203.0)</f>
        <v>46203</v>
      </c>
    </row>
    <row r="3810">
      <c r="A3810" s="6" t="str">
        <f>IFERROR(__xludf.DUMMYFUNCTION("""COMPUTED_VALUE"""),"MRN")</f>
        <v>MRN</v>
      </c>
      <c r="B3810" s="6" t="str">
        <f>IFERROR(__xludf.DUMMYFUNCTION("""COMPUTED_VALUE"""),"ENG")</f>
        <v>ENG</v>
      </c>
      <c r="C3810" s="6" t="str">
        <f>IFERROR(__xludf.DUMMYFUNCTION("""COMPUTED_VALUE"""),"P-53051-00")</f>
        <v>P-53051-00</v>
      </c>
      <c r="D3810" s="6" t="str">
        <f>IFERROR(__xludf.DUMMYFUNCTION("""COMPUTED_VALUE"""),"General - Baterai NiCad Emergency TL 6V; Hokistar; BT-006; 1 Pc")</f>
        <v>General - Baterai NiCad Emergency TL 6V; Hokistar; BT-006; 1 Pc</v>
      </c>
      <c r="E3810" s="6">
        <f>IFERROR(__xludf.DUMMYFUNCTION("""COMPUTED_VALUE"""),2.0)</f>
        <v>2</v>
      </c>
      <c r="F3810" s="6">
        <f>IFERROR(__xludf.DUMMYFUNCTION("""COMPUTED_VALUE"""),4.0)</f>
        <v>4</v>
      </c>
      <c r="G3810" s="6">
        <f>IFERROR(__xludf.DUMMYFUNCTION("""COMPUTED_VALUE"""),0.0)</f>
        <v>0</v>
      </c>
      <c r="H3810" s="6" t="str">
        <f>IFERROR(__xludf.DUMMYFUNCTION("""COMPUTED_VALUE"""),"Pcs")</f>
        <v>Pcs</v>
      </c>
      <c r="I3810" s="6" t="str">
        <f>IFERROR(__xludf.DUMMYFUNCTION("""COMPUTED_VALUE"""),"MFH")</f>
        <v>MFH</v>
      </c>
      <c r="J3810" s="6" t="str">
        <f>IFERROR(__xludf.DUMMYFUNCTION("""COMPUTED_VALUE"""),"-")</f>
        <v>-</v>
      </c>
      <c r="K3810" s="6" t="str">
        <f>IFERROR(__xludf.DUMMYFUNCTION("""COMPUTED_VALUE"""),"SPR/06/26/054")</f>
        <v>SPR/06/26/054</v>
      </c>
      <c r="L3810" s="13">
        <f>IFERROR(__xludf.DUMMYFUNCTION("""COMPUTED_VALUE"""),46203.0)</f>
        <v>46203</v>
      </c>
    </row>
    <row r="3811">
      <c r="A3811" s="6" t="str">
        <f>IFERROR(__xludf.DUMMYFUNCTION("""COMPUTED_VALUE"""),"MOB")</f>
        <v>MOB</v>
      </c>
      <c r="B3811" s="6" t="str">
        <f>IFERROR(__xludf.DUMMYFUNCTION("""COMPUTED_VALUE"""),"ENG")</f>
        <v>ENG</v>
      </c>
      <c r="C3811" s="6" t="str">
        <f>IFERROR(__xludf.DUMMYFUNCTION("""COMPUTED_VALUE"""),"T-12352-00")</f>
        <v>T-12352-00</v>
      </c>
      <c r="D3811" s="6" t="str">
        <f>IFERROR(__xludf.DUMMYFUNCTION("""COMPUTED_VALUE"""),"Adapter converter LAN to Type C with Ethernet; UGREEN; ;")</f>
        <v>Adapter converter LAN to Type C with Ethernet; UGREEN; ;</v>
      </c>
      <c r="E3811" s="6">
        <f>IFERROR(__xludf.DUMMYFUNCTION("""COMPUTED_VALUE"""),1.0)</f>
        <v>1</v>
      </c>
      <c r="F3811" s="6">
        <f>IFERROR(__xludf.DUMMYFUNCTION("""COMPUTED_VALUE"""),1.0)</f>
        <v>1</v>
      </c>
      <c r="G3811" s="6">
        <f>IFERROR(__xludf.DUMMYFUNCTION("""COMPUTED_VALUE"""),0.0)</f>
        <v>0</v>
      </c>
      <c r="H3811" s="6" t="str">
        <f>IFERROR(__xludf.DUMMYFUNCTION("""COMPUTED_VALUE"""),"Pcs")</f>
        <v>Pcs</v>
      </c>
      <c r="I3811" s="6" t="str">
        <f>IFERROR(__xludf.DUMMYFUNCTION("""COMPUTED_VALUE"""),"MFH")</f>
        <v>MFH</v>
      </c>
      <c r="J3811" s="6" t="str">
        <f>IFERROR(__xludf.DUMMYFUNCTION("""COMPUTED_VALUE"""),"-")</f>
        <v>-</v>
      </c>
      <c r="K3811" s="6" t="str">
        <f>IFERROR(__xludf.DUMMYFUNCTION("""COMPUTED_VALUE"""),"SPR/06/26/055")</f>
        <v>SPR/06/26/055</v>
      </c>
      <c r="L3811" s="13">
        <f>IFERROR(__xludf.DUMMYFUNCTION("""COMPUTED_VALUE"""),46203.0)</f>
        <v>46203</v>
      </c>
    </row>
    <row r="3812">
      <c r="A3812" s="6" t="str">
        <f>IFERROR(__xludf.DUMMYFUNCTION("""COMPUTED_VALUE"""),"WAP")</f>
        <v>WAP</v>
      </c>
      <c r="B3812" s="6" t="str">
        <f>IFERROR(__xludf.DUMMYFUNCTION("""COMPUTED_VALUE"""),"ENG")</f>
        <v>ENG</v>
      </c>
      <c r="C3812" s="6" t="str">
        <f>IFERROR(__xludf.DUMMYFUNCTION("""COMPUTED_VALUE"""),"T-20177-00")</f>
        <v>T-20177-00</v>
      </c>
      <c r="D3812" s="6" t="str">
        <f>IFERROR(__xludf.DUMMYFUNCTION("""COMPUTED_VALUE"""),"2690/95 PERFORMANCE MAINTENANCE KIT., Waters, Part No. WAT270944")</f>
        <v>2690/95 PERFORMANCE MAINTENANCE KIT., Waters, Part No. WAT270944</v>
      </c>
      <c r="E3812" s="6">
        <f>IFERROR(__xludf.DUMMYFUNCTION("""COMPUTED_VALUE"""),1.0)</f>
        <v>1</v>
      </c>
      <c r="F3812" s="6">
        <f>IFERROR(__xludf.DUMMYFUNCTION("""COMPUTED_VALUE"""),1.0)</f>
        <v>1</v>
      </c>
      <c r="G3812" s="6">
        <f>IFERROR(__xludf.DUMMYFUNCTION("""COMPUTED_VALUE"""),0.0)</f>
        <v>0</v>
      </c>
      <c r="H3812" s="6" t="str">
        <f>IFERROR(__xludf.DUMMYFUNCTION("""COMPUTED_VALUE"""),"Pcs")</f>
        <v>Pcs</v>
      </c>
      <c r="I3812" s="6" t="str">
        <f>IFERROR(__xludf.DUMMYFUNCTION("""COMPUTED_VALUE"""),"MFH")</f>
        <v>MFH</v>
      </c>
      <c r="J3812" s="6" t="str">
        <f>IFERROR(__xludf.DUMMYFUNCTION("""COMPUTED_VALUE"""),"HPLC")</f>
        <v>HPLC</v>
      </c>
      <c r="K3812" s="6" t="str">
        <f>IFERROR(__xludf.DUMMYFUNCTION("""COMPUTED_VALUE"""),"SPR/06/26/056")</f>
        <v>SPR/06/26/056</v>
      </c>
      <c r="L3812" s="13">
        <f>IFERROR(__xludf.DUMMYFUNCTION("""COMPUTED_VALUE"""),46203.0)</f>
        <v>46203</v>
      </c>
    </row>
    <row r="3813">
      <c r="A3813" s="6" t="str">
        <f>IFERROR(__xludf.DUMMYFUNCTION("""COMPUTED_VALUE"""),"WAP")</f>
        <v>WAP</v>
      </c>
      <c r="B3813" s="6" t="str">
        <f>IFERROR(__xludf.DUMMYFUNCTION("""COMPUTED_VALUE"""),"ENG")</f>
        <v>ENG</v>
      </c>
      <c r="C3813" s="6" t="str">
        <f>IFERROR(__xludf.DUMMYFUNCTION("""COMPUTED_VALUE"""),"T-80109-00")</f>
        <v>T-80109-00</v>
      </c>
      <c r="D3813" s="6" t="str">
        <f>IFERROR(__xludf.DUMMYFUNCTION("""COMPUTED_VALUE"""),"Cellotape Kertas 1 inch warna Putih")</f>
        <v>Cellotape Kertas 1 inch warna Putih</v>
      </c>
      <c r="E3813" s="6">
        <f>IFERROR(__xludf.DUMMYFUNCTION("""COMPUTED_VALUE"""),1.0)</f>
        <v>1</v>
      </c>
      <c r="F3813" s="6">
        <f>IFERROR(__xludf.DUMMYFUNCTION("""COMPUTED_VALUE"""),1.0)</f>
        <v>1</v>
      </c>
      <c r="G3813" s="6">
        <f>IFERROR(__xludf.DUMMYFUNCTION("""COMPUTED_VALUE"""),0.0)</f>
        <v>0</v>
      </c>
      <c r="H3813" s="6" t="str">
        <f>IFERROR(__xludf.DUMMYFUNCTION("""COMPUTED_VALUE"""),"Pcs")</f>
        <v>Pcs</v>
      </c>
      <c r="I3813" s="6" t="str">
        <f>IFERROR(__xludf.DUMMYFUNCTION("""COMPUTED_VALUE"""),"MFH")</f>
        <v>MFH</v>
      </c>
      <c r="J3813" s="6" t="str">
        <f>IFERROR(__xludf.DUMMYFUNCTION("""COMPUTED_VALUE"""),"Workshop")</f>
        <v>Workshop</v>
      </c>
      <c r="K3813" s="6" t="str">
        <f>IFERROR(__xludf.DUMMYFUNCTION("""COMPUTED_VALUE"""),"SPR/06/26/057")</f>
        <v>SPR/06/26/057</v>
      </c>
      <c r="L3813" s="13">
        <f>IFERROR(__xludf.DUMMYFUNCTION("""COMPUTED_VALUE"""),46203.0)</f>
        <v>46203</v>
      </c>
    </row>
    <row r="3814">
      <c r="A3814" s="6" t="str">
        <f>IFERROR(__xludf.DUMMYFUNCTION("""COMPUTED_VALUE"""),"MOB")</f>
        <v>MOB</v>
      </c>
      <c r="B3814" s="6" t="str">
        <f>IFERROR(__xludf.DUMMYFUNCTION("""COMPUTED_VALUE"""),"ENG")</f>
        <v>ENG</v>
      </c>
      <c r="C3814" s="6" t="str">
        <f>IFERROR(__xludf.DUMMYFUNCTION("""COMPUTED_VALUE"""),"O-12868-00")</f>
        <v>O-12868-00</v>
      </c>
      <c r="D3814" s="6" t="str">
        <f>IFERROR(__xludf.DUMMYFUNCTION("""COMPUTED_VALUE"""),"Emflon PFR Membrane Filter Cartridges 0.2 um PALL P/N : AB05 PFR2 PVH4 pc")</f>
        <v>Emflon PFR Membrane Filter Cartridges 0.2 um PALL P/N : AB05 PFR2 PVH4 pc</v>
      </c>
      <c r="E3814" s="6">
        <f>IFERROR(__xludf.DUMMYFUNCTION("""COMPUTED_VALUE"""),1.0)</f>
        <v>1</v>
      </c>
      <c r="F3814" s="6">
        <f>IFERROR(__xludf.DUMMYFUNCTION("""COMPUTED_VALUE"""),1.0)</f>
        <v>1</v>
      </c>
      <c r="G3814" s="6">
        <f>IFERROR(__xludf.DUMMYFUNCTION("""COMPUTED_VALUE"""),0.0)</f>
        <v>0</v>
      </c>
      <c r="H3814" s="6" t="str">
        <f>IFERROR(__xludf.DUMMYFUNCTION("""COMPUTED_VALUE"""),"Pcs")</f>
        <v>Pcs</v>
      </c>
      <c r="I3814" s="6" t="str">
        <f>IFERROR(__xludf.DUMMYFUNCTION("""COMPUTED_VALUE"""),"MFH")</f>
        <v>MFH</v>
      </c>
      <c r="J3814" s="6" t="str">
        <f>IFERROR(__xludf.DUMMYFUNCTION("""COMPUTED_VALUE"""),"WFIG")</f>
        <v>WFIG</v>
      </c>
      <c r="K3814" s="6" t="str">
        <f>IFERROR(__xludf.DUMMYFUNCTION("""COMPUTED_VALUE"""),"SPR/06/26/058")</f>
        <v>SPR/06/26/058</v>
      </c>
      <c r="L3814" s="13">
        <f>IFERROR(__xludf.DUMMYFUNCTION("""COMPUTED_VALUE"""),46203.0)</f>
        <v>46203</v>
      </c>
    </row>
    <row r="3815">
      <c r="A3815" s="6" t="str">
        <f>IFERROR(__xludf.DUMMYFUNCTION("""COMPUTED_VALUE"""),"MOB")</f>
        <v>MOB</v>
      </c>
      <c r="B3815" s="6" t="str">
        <f>IFERROR(__xludf.DUMMYFUNCTION("""COMPUTED_VALUE"""),"ENG")</f>
        <v>ENG</v>
      </c>
      <c r="C3815" s="6" t="str">
        <f>IFERROR(__xludf.DUMMYFUNCTION("""COMPUTED_VALUE"""),"P-17390-00")</f>
        <v>P-17390-00</v>
      </c>
      <c r="D3815" s="6" t="str">
        <f>IFERROR(__xludf.DUMMYFUNCTION("""COMPUTED_VALUE"""),"PALL - AB1PFR7PVH4, 0.2 um; ; ;")</f>
        <v>PALL - AB1PFR7PVH4, 0.2 um; ; ;</v>
      </c>
      <c r="E3815" s="6">
        <f>IFERROR(__xludf.DUMMYFUNCTION("""COMPUTED_VALUE"""),0.0)</f>
        <v>0</v>
      </c>
      <c r="F3815" s="6">
        <f>IFERROR(__xludf.DUMMYFUNCTION("""COMPUTED_VALUE"""),1.0)</f>
        <v>1</v>
      </c>
      <c r="G3815" s="6">
        <f>IFERROR(__xludf.DUMMYFUNCTION("""COMPUTED_VALUE"""),0.0)</f>
        <v>0</v>
      </c>
      <c r="H3815" s="6" t="str">
        <f>IFERROR(__xludf.DUMMYFUNCTION("""COMPUTED_VALUE"""),"Pcs")</f>
        <v>Pcs</v>
      </c>
      <c r="I3815" s="6" t="str">
        <f>IFERROR(__xludf.DUMMYFUNCTION("""COMPUTED_VALUE"""),"MFH")</f>
        <v>MFH</v>
      </c>
      <c r="J3815" s="6" t="str">
        <f>IFERROR(__xludf.DUMMYFUNCTION("""COMPUTED_VALUE"""),"PW SKID")</f>
        <v>PW SKID</v>
      </c>
      <c r="K3815" s="6" t="str">
        <f>IFERROR(__xludf.DUMMYFUNCTION("""COMPUTED_VALUE"""),"SPR/06/26/059")</f>
        <v>SPR/06/26/059</v>
      </c>
      <c r="L3815" s="13">
        <f>IFERROR(__xludf.DUMMYFUNCTION("""COMPUTED_VALUE"""),46203.0)</f>
        <v>46203</v>
      </c>
    </row>
    <row r="3816">
      <c r="A3816" s="6" t="str">
        <f>IFERROR(__xludf.DUMMYFUNCTION("""COMPUTED_VALUE"""),"MOB")</f>
        <v>MOB</v>
      </c>
      <c r="B3816" s="6" t="str">
        <f>IFERROR(__xludf.DUMMYFUNCTION("""COMPUTED_VALUE"""),"ENG")</f>
        <v>ENG</v>
      </c>
      <c r="C3816" s="6" t="str">
        <f>IFERROR(__xludf.DUMMYFUNCTION("""COMPUTED_VALUE"""),"O-11287-00")</f>
        <v>O-11287-00</v>
      </c>
      <c r="D3816" s="6" t="str">
        <f>IFERROR(__xludf.DUMMYFUNCTION("""COMPUTED_VALUE"""),"F200 - Pall Filter p/n KA3PFRP1")</f>
        <v>F200 - Pall Filter p/n KA3PFRP1</v>
      </c>
      <c r="E3816" s="6">
        <f>IFERROR(__xludf.DUMMYFUNCTION("""COMPUTED_VALUE"""),1.0)</f>
        <v>1</v>
      </c>
      <c r="F3816" s="6">
        <f>IFERROR(__xludf.DUMMYFUNCTION("""COMPUTED_VALUE"""),1.0)</f>
        <v>1</v>
      </c>
      <c r="G3816" s="6">
        <f>IFERROR(__xludf.DUMMYFUNCTION("""COMPUTED_VALUE"""),0.0)</f>
        <v>0</v>
      </c>
      <c r="H3816" s="6" t="str">
        <f>IFERROR(__xludf.DUMMYFUNCTION("""COMPUTED_VALUE"""),"Pcs")</f>
        <v>Pcs</v>
      </c>
      <c r="I3816" s="6" t="str">
        <f>IFERROR(__xludf.DUMMYFUNCTION("""COMPUTED_VALUE"""),"MFH")</f>
        <v>MFH</v>
      </c>
      <c r="J3816" s="6" t="str">
        <f>IFERROR(__xludf.DUMMYFUNCTION("""COMPUTED_VALUE"""),"WFI SKID")</f>
        <v>WFI SKID</v>
      </c>
      <c r="K3816" s="6" t="str">
        <f>IFERROR(__xludf.DUMMYFUNCTION("""COMPUTED_VALUE"""),"SPR/06/26/059")</f>
        <v>SPR/06/26/059</v>
      </c>
      <c r="L3816" s="13">
        <f>IFERROR(__xludf.DUMMYFUNCTION("""COMPUTED_VALUE"""),46203.0)</f>
        <v>46203</v>
      </c>
    </row>
    <row r="3817">
      <c r="A3817" s="6" t="str">
        <f>IFERROR(__xludf.DUMMYFUNCTION("""COMPUTED_VALUE"""),"MOB")</f>
        <v>MOB</v>
      </c>
      <c r="B3817" s="6" t="str">
        <f>IFERROR(__xludf.DUMMYFUNCTION("""COMPUTED_VALUE"""),"ENG")</f>
        <v>ENG</v>
      </c>
      <c r="C3817" s="6" t="str">
        <f>IFERROR(__xludf.DUMMYFUNCTION("""COMPUTED_VALUE"""),"O-13062-00")</f>
        <v>O-13062-00</v>
      </c>
      <c r="D3817" s="6" t="str">
        <f>IFERROR(__xludf.DUMMYFUNCTION("""COMPUTED_VALUE"""),"AUTOCLAVE Lab Mikro - PALL Emflon Filter 0,2um p/n C3PFRP1")</f>
        <v>AUTOCLAVE Lab Mikro - PALL Emflon Filter 0,2um p/n C3PFRP1</v>
      </c>
      <c r="E3817" s="6">
        <f>IFERROR(__xludf.DUMMYFUNCTION("""COMPUTED_VALUE"""),1.0)</f>
        <v>1</v>
      </c>
      <c r="F3817" s="6">
        <f>IFERROR(__xludf.DUMMYFUNCTION("""COMPUTED_VALUE"""),1.0)</f>
        <v>1</v>
      </c>
      <c r="G3817" s="6">
        <f>IFERROR(__xludf.DUMMYFUNCTION("""COMPUTED_VALUE"""),0.0)</f>
        <v>0</v>
      </c>
      <c r="H3817" s="6" t="str">
        <f>IFERROR(__xludf.DUMMYFUNCTION("""COMPUTED_VALUE"""),"pcs")</f>
        <v>pcs</v>
      </c>
      <c r="I3817" s="6" t="str">
        <f>IFERROR(__xludf.DUMMYFUNCTION("""COMPUTED_VALUE"""),"MFH")</f>
        <v>MFH</v>
      </c>
      <c r="J3817" s="6" t="str">
        <f>IFERROR(__xludf.DUMMYFUNCTION("""COMPUTED_VALUE"""),"WFIG")</f>
        <v>WFIG</v>
      </c>
      <c r="K3817" s="6" t="str">
        <f>IFERROR(__xludf.DUMMYFUNCTION("""COMPUTED_VALUE"""),"SPR/06/26/059")</f>
        <v>SPR/06/26/059</v>
      </c>
      <c r="L3817" s="13">
        <f>IFERROR(__xludf.DUMMYFUNCTION("""COMPUTED_VALUE"""),46203.0)</f>
        <v>46203</v>
      </c>
    </row>
    <row r="3818">
      <c r="A3818" s="6" t="str">
        <f>IFERROR(__xludf.DUMMYFUNCTION("""COMPUTED_VALUE"""),"WAP")</f>
        <v>WAP</v>
      </c>
      <c r="B3818" s="6" t="str">
        <f>IFERROR(__xludf.DUMMYFUNCTION("""COMPUTED_VALUE"""),"ENG")</f>
        <v>ENG</v>
      </c>
      <c r="C3818" s="6" t="str">
        <f>IFERROR(__xludf.DUMMYFUNCTION("""COMPUTED_VALUE"""),"O-11149-00")</f>
        <v>O-11149-00</v>
      </c>
      <c r="D3818" s="6" t="str">
        <f>IFERROR(__xludf.DUMMYFUNCTION("""COMPUTED_VALUE"""),"Bearing 6202 ZZ")</f>
        <v>Bearing 6202 ZZ</v>
      </c>
      <c r="E3818" s="6">
        <f>IFERROR(__xludf.DUMMYFUNCTION("""COMPUTED_VALUE"""),2.0)</f>
        <v>2</v>
      </c>
      <c r="F3818" s="6">
        <f>IFERROR(__xludf.DUMMYFUNCTION("""COMPUTED_VALUE"""),2.0)</f>
        <v>2</v>
      </c>
      <c r="G3818" s="6">
        <f>IFERROR(__xludf.DUMMYFUNCTION("""COMPUTED_VALUE"""),0.0)</f>
        <v>0</v>
      </c>
      <c r="H3818" s="6" t="str">
        <f>IFERROR(__xludf.DUMMYFUNCTION("""COMPUTED_VALUE"""),"Pcs")</f>
        <v>Pcs</v>
      </c>
      <c r="I3818" s="6" t="str">
        <f>IFERROR(__xludf.DUMMYFUNCTION("""COMPUTED_VALUE"""),"MFH")</f>
        <v>MFH</v>
      </c>
      <c r="J3818" s="6" t="str">
        <f>IFERROR(__xludf.DUMMYFUNCTION("""COMPUTED_VALUE"""),"Washing")</f>
        <v>Washing</v>
      </c>
      <c r="K3818" s="6" t="str">
        <f>IFERROR(__xludf.DUMMYFUNCTION("""COMPUTED_VALUE"""),"SPR/06/26/060")</f>
        <v>SPR/06/26/060</v>
      </c>
      <c r="L3818" s="13">
        <f>IFERROR(__xludf.DUMMYFUNCTION("""COMPUTED_VALUE"""),46203.0)</f>
        <v>46203</v>
      </c>
    </row>
    <row r="3819">
      <c r="A3819" s="6" t="str">
        <f>IFERROR(__xludf.DUMMYFUNCTION("""COMPUTED_VALUE"""),"WAP")</f>
        <v>WAP</v>
      </c>
      <c r="B3819" s="6" t="str">
        <f>IFERROR(__xludf.DUMMYFUNCTION("""COMPUTED_VALUE"""),"ENG")</f>
        <v>ENG</v>
      </c>
      <c r="C3819" s="6" t="str">
        <f>IFERROR(__xludf.DUMMYFUNCTION("""COMPUTED_VALUE"""),"O-16032-00")</f>
        <v>O-16032-00</v>
      </c>
      <c r="D3819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819" s="6">
        <f>IFERROR(__xludf.DUMMYFUNCTION("""COMPUTED_VALUE"""),1.0)</f>
        <v>1</v>
      </c>
      <c r="F3819" s="6">
        <f>IFERROR(__xludf.DUMMYFUNCTION("""COMPUTED_VALUE"""),1.0)</f>
        <v>1</v>
      </c>
      <c r="G3819" s="6">
        <f>IFERROR(__xludf.DUMMYFUNCTION("""COMPUTED_VALUE"""),0.0)</f>
        <v>0</v>
      </c>
      <c r="H3819" s="6" t="str">
        <f>IFERROR(__xludf.DUMMYFUNCTION("""COMPUTED_VALUE"""),"Pcs")</f>
        <v>Pcs</v>
      </c>
      <c r="I3819" s="6" t="str">
        <f>IFERROR(__xludf.DUMMYFUNCTION("""COMPUTED_VALUE"""),"MFH")</f>
        <v>MFH</v>
      </c>
      <c r="J3819" s="6" t="str">
        <f>IFERROR(__xludf.DUMMYFUNCTION("""COMPUTED_VALUE"""),"cRABS")</f>
        <v>cRABS</v>
      </c>
      <c r="K3819" s="6" t="str">
        <f>IFERROR(__xludf.DUMMYFUNCTION("""COMPUTED_VALUE"""),"SPR/06/26/061")</f>
        <v>SPR/06/26/061</v>
      </c>
      <c r="L3819" s="13">
        <f>IFERROR(__xludf.DUMMYFUNCTION("""COMPUTED_VALUE"""),46203.0)</f>
        <v>46203</v>
      </c>
    </row>
    <row r="3820">
      <c r="A3820" s="6" t="str">
        <f>IFERROR(__xludf.DUMMYFUNCTION("""COMPUTED_VALUE"""),"KFF")</f>
        <v>KFF</v>
      </c>
      <c r="B3820" s="6" t="str">
        <f>IFERROR(__xludf.DUMMYFUNCTION("""COMPUTED_VALUE"""),"ENG")</f>
        <v>ENG</v>
      </c>
      <c r="C3820" s="6" t="str">
        <f>IFERROR(__xludf.DUMMYFUNCTION("""COMPUTED_VALUE"""),"P-12994-00")</f>
        <v>P-12994-00</v>
      </c>
      <c r="D3820" s="6" t="str">
        <f>IFERROR(__xludf.DUMMYFUNCTION("""COMPUTED_VALUE"""),"Nippon Tape - ASF-110FR")</f>
        <v>Nippon Tape - ASF-110FR</v>
      </c>
      <c r="E3820" s="6">
        <f>IFERROR(__xludf.DUMMYFUNCTION("""COMPUTED_VALUE"""),1.0)</f>
        <v>1</v>
      </c>
      <c r="F3820" s="6">
        <f>IFERROR(__xludf.DUMMYFUNCTION("""COMPUTED_VALUE"""),1.0)</f>
        <v>1</v>
      </c>
      <c r="G3820" s="6">
        <f>IFERROR(__xludf.DUMMYFUNCTION("""COMPUTED_VALUE"""),0.0)</f>
        <v>0</v>
      </c>
      <c r="H3820" s="6" t="str">
        <f>IFERROR(__xludf.DUMMYFUNCTION("""COMPUTED_VALUE"""),"Pcs")</f>
        <v>Pcs</v>
      </c>
      <c r="I3820" s="6" t="str">
        <f>IFERROR(__xludf.DUMMYFUNCTION("""COMPUTED_VALUE"""),"MFH")</f>
        <v>MFH</v>
      </c>
      <c r="J3820" s="6" t="str">
        <f>IFERROR(__xludf.DUMMYFUNCTION("""COMPUTED_VALUE"""),"FD")</f>
        <v>FD</v>
      </c>
      <c r="K3820" s="6" t="str">
        <f>IFERROR(__xludf.DUMMYFUNCTION("""COMPUTED_VALUE"""),"SPR/06/26/062")</f>
        <v>SPR/06/26/062</v>
      </c>
      <c r="L3820" s="13">
        <f>IFERROR(__xludf.DUMMYFUNCTION("""COMPUTED_VALUE"""),46203.0)</f>
        <v>46203</v>
      </c>
    </row>
    <row r="3821">
      <c r="A3821" s="6" t="str">
        <f>IFERROR(__xludf.DUMMYFUNCTION("""COMPUTED_VALUE"""),"WAP")</f>
        <v>WAP</v>
      </c>
      <c r="B3821" s="6" t="str">
        <f>IFERROR(__xludf.DUMMYFUNCTION("""COMPUTED_VALUE"""),"ENG")</f>
        <v>ENG</v>
      </c>
      <c r="C3821" s="6" t="str">
        <f>IFERROR(__xludf.DUMMYFUNCTION("""COMPUTED_VALUE"""),"Q-10249-00")</f>
        <v>Q-10249-00</v>
      </c>
      <c r="D3821" s="6" t="str">
        <f>IFERROR(__xludf.DUMMYFUNCTION("""COMPUTED_VALUE"""),"Lem Power Glue; ; ;")</f>
        <v>Lem Power Glue; ; ;</v>
      </c>
      <c r="E3821" s="6">
        <f>IFERROR(__xludf.DUMMYFUNCTION("""COMPUTED_VALUE"""),1.0)</f>
        <v>1</v>
      </c>
      <c r="F3821" s="6">
        <f>IFERROR(__xludf.DUMMYFUNCTION("""COMPUTED_VALUE"""),1.0)</f>
        <v>1</v>
      </c>
      <c r="G3821" s="6">
        <f>IFERROR(__xludf.DUMMYFUNCTION("""COMPUTED_VALUE"""),0.0)</f>
        <v>0</v>
      </c>
      <c r="H3821" s="6" t="str">
        <f>IFERROR(__xludf.DUMMYFUNCTION("""COMPUTED_VALUE"""),"Pcs")</f>
        <v>Pcs</v>
      </c>
      <c r="I3821" s="6" t="str">
        <f>IFERROR(__xludf.DUMMYFUNCTION("""COMPUTED_VALUE"""),"MFH")</f>
        <v>MFH</v>
      </c>
      <c r="J3821" s="6" t="str">
        <f>IFERROR(__xludf.DUMMYFUNCTION("""COMPUTED_VALUE"""),"Workshop")</f>
        <v>Workshop</v>
      </c>
      <c r="K3821" s="6" t="str">
        <f>IFERROR(__xludf.DUMMYFUNCTION("""COMPUTED_VALUE"""),"SPR/06/26/063")</f>
        <v>SPR/06/26/063</v>
      </c>
      <c r="L3821" s="13">
        <f>IFERROR(__xludf.DUMMYFUNCTION("""COMPUTED_VALUE"""),46203.0)</f>
        <v>46203</v>
      </c>
    </row>
    <row r="3822">
      <c r="A3822" s="6" t="str">
        <f>IFERROR(__xludf.DUMMYFUNCTION("""COMPUTED_VALUE"""),"ANO")</f>
        <v>ANO</v>
      </c>
      <c r="B3822" s="6" t="str">
        <f>IFERROR(__xludf.DUMMYFUNCTION("""COMPUTED_VALUE"""),"ENG")</f>
        <v>ENG</v>
      </c>
      <c r="C3822" s="6" t="str">
        <f>IFERROR(__xludf.DUMMYFUNCTION("""COMPUTED_VALUE"""),"P-54554-00")</f>
        <v>P-54554-00</v>
      </c>
      <c r="D3822" s="6" t="str">
        <f>IFERROR(__xludf.DUMMYFUNCTION("""COMPUTED_VALUE"""),"General - Lampu Tl LED Slimliner II T5 10W Cool Light; Hannoch; -; 1 pc")</f>
        <v>General - Lampu Tl LED Slimliner II T5 10W Cool Light; Hannoch; -; 1 pc</v>
      </c>
      <c r="E3822" s="6">
        <f>IFERROR(__xludf.DUMMYFUNCTION("""COMPUTED_VALUE"""),37.0)</f>
        <v>37</v>
      </c>
      <c r="F3822" s="6">
        <f>IFERROR(__xludf.DUMMYFUNCTION("""COMPUTED_VALUE"""),37.0)</f>
        <v>37</v>
      </c>
      <c r="G3822" s="6">
        <f>IFERROR(__xludf.DUMMYFUNCTION("""COMPUTED_VALUE"""),0.0)</f>
        <v>0</v>
      </c>
      <c r="H3822" s="6" t="str">
        <f>IFERROR(__xludf.DUMMYFUNCTION("""COMPUTED_VALUE"""),"Pcs")</f>
        <v>Pcs</v>
      </c>
      <c r="I3822" s="6" t="str">
        <f>IFERROR(__xludf.DUMMYFUNCTION("""COMPUTED_VALUE"""),"MFH")</f>
        <v>MFH</v>
      </c>
      <c r="J3822" s="6" t="str">
        <f>IFERROR(__xludf.DUMMYFUNCTION("""COMPUTED_VALUE"""),"Building")</f>
        <v>Building</v>
      </c>
      <c r="K3822" s="6" t="str">
        <f>IFERROR(__xludf.DUMMYFUNCTION("""COMPUTED_VALUE"""),"SPR/06/26/064")</f>
        <v>SPR/06/26/064</v>
      </c>
      <c r="L3822" s="13">
        <f>IFERROR(__xludf.DUMMYFUNCTION("""COMPUTED_VALUE"""),46203.0)</f>
        <v>46203</v>
      </c>
    </row>
    <row r="3823">
      <c r="A3823" s="6" t="str">
        <f>IFERROR(__xludf.DUMMYFUNCTION("""COMPUTED_VALUE"""),"ANO")</f>
        <v>ANO</v>
      </c>
      <c r="B3823" s="6" t="str">
        <f>IFERROR(__xludf.DUMMYFUNCTION("""COMPUTED_VALUE"""),"ENG")</f>
        <v>ENG</v>
      </c>
      <c r="C3823" s="6" t="str">
        <f>IFERROR(__xludf.DUMMYFUNCTION("""COMPUTED_VALUE"""),"P-50277-00")</f>
        <v>P-50277-00</v>
      </c>
      <c r="D3823" s="6" t="str">
        <f>IFERROR(__xludf.DUMMYFUNCTION("""COMPUTED_VALUE"""),"General - Kabel NYAF 1 x 1.5 Hitam; Supreme; -; 50m/roll")</f>
        <v>General - Kabel NYAF 1 x 1.5 Hitam; Supreme; -; 50m/roll</v>
      </c>
      <c r="E3823" s="6">
        <f>IFERROR(__xludf.DUMMYFUNCTION("""COMPUTED_VALUE"""),2.0)</f>
        <v>2</v>
      </c>
      <c r="F3823" s="6">
        <f>IFERROR(__xludf.DUMMYFUNCTION("""COMPUTED_VALUE"""),10.0)</f>
        <v>10</v>
      </c>
      <c r="G3823" s="6">
        <f>IFERROR(__xludf.DUMMYFUNCTION("""COMPUTED_VALUE"""),0.0)</f>
        <v>0</v>
      </c>
      <c r="H3823" s="6" t="str">
        <f>IFERROR(__xludf.DUMMYFUNCTION("""COMPUTED_VALUE"""),"Pcs")</f>
        <v>Pcs</v>
      </c>
      <c r="I3823" s="6" t="str">
        <f>IFERROR(__xludf.DUMMYFUNCTION("""COMPUTED_VALUE"""),"MFH")</f>
        <v>MFH</v>
      </c>
      <c r="J3823" s="6" t="str">
        <f>IFERROR(__xludf.DUMMYFUNCTION("""COMPUTED_VALUE"""),"Building")</f>
        <v>Building</v>
      </c>
      <c r="K3823" s="6" t="str">
        <f>IFERROR(__xludf.DUMMYFUNCTION("""COMPUTED_VALUE"""),"SPR/06/26/064")</f>
        <v>SPR/06/26/064</v>
      </c>
      <c r="L3823" s="13">
        <f>IFERROR(__xludf.DUMMYFUNCTION("""COMPUTED_VALUE"""),46203.0)</f>
        <v>46203</v>
      </c>
    </row>
    <row r="3824">
      <c r="A3824" s="6" t="str">
        <f>IFERROR(__xludf.DUMMYFUNCTION("""COMPUTED_VALUE"""),"ANO")</f>
        <v>ANO</v>
      </c>
      <c r="B3824" s="6" t="str">
        <f>IFERROR(__xludf.DUMMYFUNCTION("""COMPUTED_VALUE"""),"ENG")</f>
        <v>ENG</v>
      </c>
      <c r="C3824" s="6" t="str">
        <f>IFERROR(__xludf.DUMMYFUNCTION("""COMPUTED_VALUE"""),"P-51027-00")</f>
        <v>P-51027-00</v>
      </c>
      <c r="D382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824" s="6">
        <f>IFERROR(__xludf.DUMMYFUNCTION("""COMPUTED_VALUE"""),2.0)</f>
        <v>2</v>
      </c>
      <c r="F3824" s="6">
        <f>IFERROR(__xludf.DUMMYFUNCTION("""COMPUTED_VALUE"""),2.0)</f>
        <v>2</v>
      </c>
      <c r="G3824" s="6">
        <f>IFERROR(__xludf.DUMMYFUNCTION("""COMPUTED_VALUE"""),0.0)</f>
        <v>0</v>
      </c>
      <c r="H3824" s="6" t="str">
        <f>IFERROR(__xludf.DUMMYFUNCTION("""COMPUTED_VALUE"""),"Pcs")</f>
        <v>Pcs</v>
      </c>
      <c r="I3824" s="6" t="str">
        <f>IFERROR(__xludf.DUMMYFUNCTION("""COMPUTED_VALUE"""),"MFH")</f>
        <v>MFH</v>
      </c>
      <c r="J3824" s="6" t="str">
        <f>IFERROR(__xludf.DUMMYFUNCTION("""COMPUTED_VALUE"""),"Building")</f>
        <v>Building</v>
      </c>
      <c r="K3824" s="6" t="str">
        <f>IFERROR(__xludf.DUMMYFUNCTION("""COMPUTED_VALUE"""),"SPR/06/26/064")</f>
        <v>SPR/06/26/064</v>
      </c>
      <c r="L3824" s="13">
        <f>IFERROR(__xludf.DUMMYFUNCTION("""COMPUTED_VALUE"""),46203.0)</f>
        <v>46203</v>
      </c>
    </row>
    <row r="3825">
      <c r="A3825" s="6" t="str">
        <f>IFERROR(__xludf.DUMMYFUNCTION("""COMPUTED_VALUE"""),"NDS")</f>
        <v>NDS</v>
      </c>
      <c r="B3825" s="6" t="str">
        <f>IFERROR(__xludf.DUMMYFUNCTION("""COMPUTED_VALUE"""),"ENG")</f>
        <v>ENG</v>
      </c>
      <c r="C3825" s="6" t="str">
        <f>IFERROR(__xludf.DUMMYFUNCTION("""COMPUTED_VALUE"""),"O-20487-00")</f>
        <v>O-20487-00</v>
      </c>
      <c r="D3825" s="6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E3825" s="6">
        <f>IFERROR(__xludf.DUMMYFUNCTION("""COMPUTED_VALUE"""),1.0)</f>
        <v>1</v>
      </c>
      <c r="F3825" s="6">
        <f>IFERROR(__xludf.DUMMYFUNCTION("""COMPUTED_VALUE"""),1.0)</f>
        <v>1</v>
      </c>
      <c r="G3825" s="6">
        <f>IFERROR(__xludf.DUMMYFUNCTION("""COMPUTED_VALUE"""),0.0)</f>
        <v>0</v>
      </c>
      <c r="H3825" s="6" t="str">
        <f>IFERROR(__xludf.DUMMYFUNCTION("""COMPUTED_VALUE"""),"Pcs")</f>
        <v>Pcs</v>
      </c>
      <c r="I3825" s="6" t="str">
        <f>IFERROR(__xludf.DUMMYFUNCTION("""COMPUTED_VALUE"""),"MFH")</f>
        <v>MFH</v>
      </c>
      <c r="J3825" s="6" t="str">
        <f>IFERROR(__xludf.DUMMYFUNCTION("""COMPUTED_VALUE"""),"cRABS")</f>
        <v>cRABS</v>
      </c>
      <c r="K3825" s="6" t="str">
        <f>IFERROR(__xludf.DUMMYFUNCTION("""COMPUTED_VALUE"""),"SPR/06/26/065")</f>
        <v>SPR/06/26/065</v>
      </c>
      <c r="L3825" s="13">
        <f>IFERROR(__xludf.DUMMYFUNCTION("""COMPUTED_VALUE"""),46203.0)</f>
        <v>46203</v>
      </c>
    </row>
    <row r="3826">
      <c r="A3826" s="6" t="str">
        <f>IFERROR(__xludf.DUMMYFUNCTION("""COMPUTED_VALUE"""),"RIA")</f>
        <v>RIA</v>
      </c>
      <c r="B3826" s="6" t="str">
        <f>IFERROR(__xludf.DUMMYFUNCTION("""COMPUTED_VALUE"""),"ENG")</f>
        <v>ENG</v>
      </c>
      <c r="C3826" s="6" t="str">
        <f>IFERROR(__xludf.DUMMYFUNCTION("""COMPUTED_VALUE"""),"P-52664-00")</f>
        <v>P-52664-00</v>
      </c>
      <c r="D3826" s="6" t="str">
        <f>IFERROR(__xludf.DUMMYFUNCTION("""COMPUTED_VALUE"""),"Pelampung Air Radar Float Switch 2 Meter; ; ;")</f>
        <v>Pelampung Air Radar Float Switch 2 Meter; ; ;</v>
      </c>
      <c r="E3826" s="6">
        <f>IFERROR(__xludf.DUMMYFUNCTION("""COMPUTED_VALUE"""),1.0)</f>
        <v>1</v>
      </c>
      <c r="F3826" s="6">
        <f>IFERROR(__xludf.DUMMYFUNCTION("""COMPUTED_VALUE"""),1.0)</f>
        <v>1</v>
      </c>
      <c r="G3826" s="6">
        <f>IFERROR(__xludf.DUMMYFUNCTION("""COMPUTED_VALUE"""),0.0)</f>
        <v>0</v>
      </c>
      <c r="H3826" s="6" t="str">
        <f>IFERROR(__xludf.DUMMYFUNCTION("""COMPUTED_VALUE"""),"Pcs")</f>
        <v>Pcs</v>
      </c>
      <c r="I3826" s="6" t="str">
        <f>IFERROR(__xludf.DUMMYFUNCTION("""COMPUTED_VALUE"""),"MFH")</f>
        <v>MFH</v>
      </c>
      <c r="J3826" s="6" t="str">
        <f>IFERROR(__xludf.DUMMYFUNCTION("""COMPUTED_VALUE"""),"-")</f>
        <v>-</v>
      </c>
      <c r="K3826" s="6" t="str">
        <f>IFERROR(__xludf.DUMMYFUNCTION("""COMPUTED_VALUE"""),"SPR/06/26/066")</f>
        <v>SPR/06/26/066</v>
      </c>
      <c r="L3826" s="13">
        <f>IFERROR(__xludf.DUMMYFUNCTION("""COMPUTED_VALUE"""),46203.0)</f>
        <v>46203</v>
      </c>
    </row>
    <row r="3827">
      <c r="A3827" s="6" t="str">
        <f>IFERROR(__xludf.DUMMYFUNCTION("""COMPUTED_VALUE"""),"RIA")</f>
        <v>RIA</v>
      </c>
      <c r="B3827" s="6" t="str">
        <f>IFERROR(__xludf.DUMMYFUNCTION("""COMPUTED_VALUE"""),"ENG")</f>
        <v>ENG</v>
      </c>
      <c r="C3827" s="6" t="str">
        <f>IFERROR(__xludf.DUMMYFUNCTION("""COMPUTED_VALUE"""),"P-12750-00")</f>
        <v>P-12750-00</v>
      </c>
      <c r="D3827" s="6" t="str">
        <f>IFERROR(__xludf.DUMMYFUNCTION("""COMPUTED_VALUE"""),"RUCIKA - Pipa PVC aw dia 1/2inch")</f>
        <v>RUCIKA - Pipa PVC aw dia 1/2inch</v>
      </c>
      <c r="E3827" s="6">
        <f>IFERROR(__xludf.DUMMYFUNCTION("""COMPUTED_VALUE"""),1.0)</f>
        <v>1</v>
      </c>
      <c r="F3827" s="6">
        <f>IFERROR(__xludf.DUMMYFUNCTION("""COMPUTED_VALUE"""),1.0)</f>
        <v>1</v>
      </c>
      <c r="G3827" s="6">
        <f>IFERROR(__xludf.DUMMYFUNCTION("""COMPUTED_VALUE"""),0.0)</f>
        <v>0</v>
      </c>
      <c r="H3827" s="6" t="str">
        <f>IFERROR(__xludf.DUMMYFUNCTION("""COMPUTED_VALUE"""),"Pcs")</f>
        <v>Pcs</v>
      </c>
      <c r="I3827" s="6" t="str">
        <f>IFERROR(__xludf.DUMMYFUNCTION("""COMPUTED_VALUE"""),"MFH")</f>
        <v>MFH</v>
      </c>
      <c r="J3827" s="6" t="str">
        <f>IFERROR(__xludf.DUMMYFUNCTION("""COMPUTED_VALUE"""),"-")</f>
        <v>-</v>
      </c>
      <c r="K3827" s="6" t="str">
        <f>IFERROR(__xludf.DUMMYFUNCTION("""COMPUTED_VALUE"""),"SPR/06/26/066")</f>
        <v>SPR/06/26/066</v>
      </c>
      <c r="L3827" s="13">
        <f>IFERROR(__xludf.DUMMYFUNCTION("""COMPUTED_VALUE"""),46203.0)</f>
        <v>46203</v>
      </c>
    </row>
    <row r="3828">
      <c r="A3828" s="6" t="str">
        <f>IFERROR(__xludf.DUMMYFUNCTION("""COMPUTED_VALUE"""),"ROS")</f>
        <v>ROS</v>
      </c>
      <c r="B3828" s="6" t="str">
        <f>IFERROR(__xludf.DUMMYFUNCTION("""COMPUTED_VALUE"""),"ENG")</f>
        <v>ENG</v>
      </c>
      <c r="C3828" s="6" t="str">
        <f>IFERROR(__xludf.DUMMYFUNCTION("""COMPUTED_VALUE"""),"O-16731-00")</f>
        <v>O-16731-00</v>
      </c>
      <c r="D3828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828" s="6">
        <f>IFERROR(__xludf.DUMMYFUNCTION("""COMPUTED_VALUE"""),2.0)</f>
        <v>2</v>
      </c>
      <c r="F3828" s="6">
        <f>IFERROR(__xludf.DUMMYFUNCTION("""COMPUTED_VALUE"""),2.0)</f>
        <v>2</v>
      </c>
      <c r="G3828" s="6">
        <f>IFERROR(__xludf.DUMMYFUNCTION("""COMPUTED_VALUE"""),0.0)</f>
        <v>0</v>
      </c>
      <c r="H3828" s="6" t="str">
        <f>IFERROR(__xludf.DUMMYFUNCTION("""COMPUTED_VALUE"""),"Pcs")</f>
        <v>Pcs</v>
      </c>
      <c r="I3828" s="6" t="str">
        <f>IFERROR(__xludf.DUMMYFUNCTION("""COMPUTED_VALUE"""),"MFH")</f>
        <v>MFH</v>
      </c>
      <c r="J3828" s="6" t="str">
        <f>IFERROR(__xludf.DUMMYFUNCTION("""COMPUTED_VALUE"""),"Autoclave")</f>
        <v>Autoclave</v>
      </c>
      <c r="K3828" s="6" t="str">
        <f>IFERROR(__xludf.DUMMYFUNCTION("""COMPUTED_VALUE"""),"SPR/06/26/067")</f>
        <v>SPR/06/26/067</v>
      </c>
      <c r="L3828" s="13">
        <f>IFERROR(__xludf.DUMMYFUNCTION("""COMPUTED_VALUE"""),46203.0)</f>
        <v>46203</v>
      </c>
    </row>
    <row r="3829">
      <c r="A3829" s="6" t="str">
        <f>IFERROR(__xludf.DUMMYFUNCTION("""COMPUTED_VALUE"""),"ROS")</f>
        <v>ROS</v>
      </c>
      <c r="B3829" s="6" t="str">
        <f>IFERROR(__xludf.DUMMYFUNCTION("""COMPUTED_VALUE"""),"ENG")</f>
        <v>ENG</v>
      </c>
      <c r="C3829" s="6" t="str">
        <f>IFERROR(__xludf.DUMMYFUNCTION("""COMPUTED_VALUE"""),"O-16732-00")</f>
        <v>O-16732-00</v>
      </c>
      <c r="D3829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829" s="6">
        <f>IFERROR(__xludf.DUMMYFUNCTION("""COMPUTED_VALUE"""),1.0)</f>
        <v>1</v>
      </c>
      <c r="F3829" s="6">
        <f>IFERROR(__xludf.DUMMYFUNCTION("""COMPUTED_VALUE"""),1.0)</f>
        <v>1</v>
      </c>
      <c r="G3829" s="6">
        <f>IFERROR(__xludf.DUMMYFUNCTION("""COMPUTED_VALUE"""),0.0)</f>
        <v>0</v>
      </c>
      <c r="H3829" s="6" t="str">
        <f>IFERROR(__xludf.DUMMYFUNCTION("""COMPUTED_VALUE"""),"Pcs")</f>
        <v>Pcs</v>
      </c>
      <c r="I3829" s="6" t="str">
        <f>IFERROR(__xludf.DUMMYFUNCTION("""COMPUTED_VALUE"""),"MFH")</f>
        <v>MFH</v>
      </c>
      <c r="J3829" s="6" t="str">
        <f>IFERROR(__xludf.DUMMYFUNCTION("""COMPUTED_VALUE"""),"Autoclave")</f>
        <v>Autoclave</v>
      </c>
      <c r="K3829" s="6" t="str">
        <f>IFERROR(__xludf.DUMMYFUNCTION("""COMPUTED_VALUE"""),"SPR/06/26/067")</f>
        <v>SPR/06/26/067</v>
      </c>
      <c r="L3829" s="13">
        <f>IFERROR(__xludf.DUMMYFUNCTION("""COMPUTED_VALUE"""),46203.0)</f>
        <v>46203</v>
      </c>
    </row>
    <row r="3830">
      <c r="A3830" s="6" t="str">
        <f>IFERROR(__xludf.DUMMYFUNCTION("""COMPUTED_VALUE"""),"ROS")</f>
        <v>ROS</v>
      </c>
      <c r="B3830" s="6" t="str">
        <f>IFERROR(__xludf.DUMMYFUNCTION("""COMPUTED_VALUE"""),"ENG")</f>
        <v>ENG</v>
      </c>
      <c r="C3830" s="6" t="str">
        <f>IFERROR(__xludf.DUMMYFUNCTION("""COMPUTED_VALUE"""),"P-12898-00")</f>
        <v>P-12898-00</v>
      </c>
      <c r="D3830" s="6" t="str">
        <f>IFERROR(__xludf.DUMMYFUNCTION("""COMPUTED_VALUE"""),"Thermaflex lembaran uk. 1.5x1mtr tebal 1inch")</f>
        <v>Thermaflex lembaran uk. 1.5x1mtr tebal 1inch</v>
      </c>
      <c r="E3830" s="6">
        <f>IFERROR(__xludf.DUMMYFUNCTION("""COMPUTED_VALUE"""),1.0)</f>
        <v>1</v>
      </c>
      <c r="F3830" s="6">
        <f>IFERROR(__xludf.DUMMYFUNCTION("""COMPUTED_VALUE"""),1.0)</f>
        <v>1</v>
      </c>
      <c r="G3830" s="6">
        <f>IFERROR(__xludf.DUMMYFUNCTION("""COMPUTED_VALUE"""),0.0)</f>
        <v>0</v>
      </c>
      <c r="H3830" s="6" t="str">
        <f>IFERROR(__xludf.DUMMYFUNCTION("""COMPUTED_VALUE"""),"Pcs")</f>
        <v>Pcs</v>
      </c>
      <c r="I3830" s="6" t="str">
        <f>IFERROR(__xludf.DUMMYFUNCTION("""COMPUTED_VALUE"""),"MFH")</f>
        <v>MFH</v>
      </c>
      <c r="J3830" s="6" t="str">
        <f>IFERROR(__xludf.DUMMYFUNCTION("""COMPUTED_VALUE"""),"Tunnel")</f>
        <v>Tunnel</v>
      </c>
      <c r="K3830" s="6" t="str">
        <f>IFERROR(__xludf.DUMMYFUNCTION("""COMPUTED_VALUE"""),"SPR/06/26/067")</f>
        <v>SPR/06/26/067</v>
      </c>
      <c r="L3830" s="13">
        <f>IFERROR(__xludf.DUMMYFUNCTION("""COMPUTED_VALUE"""),46203.0)</f>
        <v>46203</v>
      </c>
    </row>
    <row r="3831">
      <c r="A3831" s="6" t="str">
        <f>IFERROR(__xludf.DUMMYFUNCTION("""COMPUTED_VALUE"""),"ROS")</f>
        <v>ROS</v>
      </c>
      <c r="B3831" s="6" t="str">
        <f>IFERROR(__xludf.DUMMYFUNCTION("""COMPUTED_VALUE"""),"ENG")</f>
        <v>ENG</v>
      </c>
      <c r="C3831" s="6" t="str">
        <f>IFERROR(__xludf.DUMMYFUNCTION("""COMPUTED_VALUE"""),"O-53414-00")</f>
        <v>O-53414-00</v>
      </c>
      <c r="D3831" s="6" t="str">
        <f>IFERROR(__xludf.DUMMYFUNCTION("""COMPUTED_VALUE"""),"Fedegari FVA2/A1 - Transition joint RTD Sensor PT100 4Wire, Sx, 1/3 DIN, 5x70mm, SSL, 0-150 C 10M; Radix; RTJ201-1-C-S-3-0-NA-XNA-05-0070-10-Si-PN; 1 Pc")</f>
        <v>Fedegari FVA2/A1 - Transition joint RTD Sensor PT100 4Wire, Sx, 1/3 DIN, 5x70mm, SSL, 0-150 C 10M; Radix; RTJ201-1-C-S-3-0-NA-XNA-05-0070-10-Si-PN; 1 Pc</v>
      </c>
      <c r="E3831" s="6">
        <f>IFERROR(__xludf.DUMMYFUNCTION("""COMPUTED_VALUE"""),1.0)</f>
        <v>1</v>
      </c>
      <c r="F3831" s="6">
        <f>IFERROR(__xludf.DUMMYFUNCTION("""COMPUTED_VALUE"""),1.0)</f>
        <v>1</v>
      </c>
      <c r="G3831" s="6">
        <f>IFERROR(__xludf.DUMMYFUNCTION("""COMPUTED_VALUE"""),0.0)</f>
        <v>0</v>
      </c>
      <c r="H3831" s="6" t="str">
        <f>IFERROR(__xludf.DUMMYFUNCTION("""COMPUTED_VALUE"""),"Pcs")</f>
        <v>Pcs</v>
      </c>
      <c r="I3831" s="6" t="str">
        <f>IFERROR(__xludf.DUMMYFUNCTION("""COMPUTED_VALUE"""),"MFH")</f>
        <v>MFH</v>
      </c>
      <c r="J3831" s="6" t="str">
        <f>IFERROR(__xludf.DUMMYFUNCTION("""COMPUTED_VALUE"""),"Autoclave")</f>
        <v>Autoclave</v>
      </c>
      <c r="K3831" s="6" t="str">
        <f>IFERROR(__xludf.DUMMYFUNCTION("""COMPUTED_VALUE"""),"SPR/06/26/068")</f>
        <v>SPR/06/26/068</v>
      </c>
      <c r="L3831" s="13">
        <f>IFERROR(__xludf.DUMMYFUNCTION("""COMPUTED_VALUE"""),46203.0)</f>
        <v>46203</v>
      </c>
    </row>
    <row r="3832">
      <c r="A3832" s="6" t="str">
        <f>IFERROR(__xludf.DUMMYFUNCTION("""COMPUTED_VALUE"""),"ROS")</f>
        <v>ROS</v>
      </c>
      <c r="B3832" s="6" t="str">
        <f>IFERROR(__xludf.DUMMYFUNCTION("""COMPUTED_VALUE"""),"ENG")</f>
        <v>ENG</v>
      </c>
      <c r="C3832" s="6" t="str">
        <f>IFERROR(__xludf.DUMMYFUNCTION("""COMPUTED_VALUE"""),"O-51708-00")</f>
        <v>O-51708-00</v>
      </c>
      <c r="D3832" s="6" t="str">
        <f>IFERROR(__xludf.DUMMYFUNCTION("""COMPUTED_VALUE"""),"ELECTROVALVE 1/4'' GAS FF 24V DC N.C. HIGH TEMPERATURE DP GAS AND LIQUID 0?8BAR")</f>
        <v>ELECTROVALVE 1/4'' GAS FF 24V DC N.C. HIGH TEMPERATURE DP GAS AND LIQUID 0?8BAR</v>
      </c>
      <c r="E3832" s="6">
        <f>IFERROR(__xludf.DUMMYFUNCTION("""COMPUTED_VALUE"""),1.0)</f>
        <v>1</v>
      </c>
      <c r="F3832" s="6">
        <f>IFERROR(__xludf.DUMMYFUNCTION("""COMPUTED_VALUE"""),1.0)</f>
        <v>1</v>
      </c>
      <c r="G3832" s="6">
        <f>IFERROR(__xludf.DUMMYFUNCTION("""COMPUTED_VALUE"""),0.0)</f>
        <v>0</v>
      </c>
      <c r="H3832" s="6" t="str">
        <f>IFERROR(__xludf.DUMMYFUNCTION("""COMPUTED_VALUE"""),"Pcs")</f>
        <v>Pcs</v>
      </c>
      <c r="I3832" s="6" t="str">
        <f>IFERROR(__xludf.DUMMYFUNCTION("""COMPUTED_VALUE"""),"MFH")</f>
        <v>MFH</v>
      </c>
      <c r="J3832" s="6" t="str">
        <f>IFERROR(__xludf.DUMMYFUNCTION("""COMPUTED_VALUE"""),"Tunnel")</f>
        <v>Tunnel</v>
      </c>
      <c r="K3832" s="6" t="str">
        <f>IFERROR(__xludf.DUMMYFUNCTION("""COMPUTED_VALUE"""),"SPR/06/26/068")</f>
        <v>SPR/06/26/068</v>
      </c>
      <c r="L3832" s="13">
        <f>IFERROR(__xludf.DUMMYFUNCTION("""COMPUTED_VALUE"""),46203.0)</f>
        <v>46203</v>
      </c>
    </row>
    <row r="3833">
      <c r="A3833" s="6" t="str">
        <f>IFERROR(__xludf.DUMMYFUNCTION("""COMPUTED_VALUE"""),"ROS")</f>
        <v>ROS</v>
      </c>
      <c r="B3833" s="6" t="str">
        <f>IFERROR(__xludf.DUMMYFUNCTION("""COMPUTED_VALUE"""),"ENG")</f>
        <v>ENG</v>
      </c>
      <c r="C3833" s="6" t="str">
        <f>IFERROR(__xludf.DUMMYFUNCTION("""COMPUTED_VALUE"""),"O-20746-00")</f>
        <v>O-20746-00</v>
      </c>
      <c r="D3833" s="6" t="str">
        <f>IFERROR(__xludf.DUMMYFUNCTION("""COMPUTED_VALUE"""),"Autoclave FOF5/9A - Oring Silicone 1.7x11x15 mm; Custom/Lokal; -; 1 Pc")</f>
        <v>Autoclave FOF5/9A - Oring Silicone 1.7x11x15 mm; Custom/Lokal; -; 1 Pc</v>
      </c>
      <c r="E3833" s="6">
        <f>IFERROR(__xludf.DUMMYFUNCTION("""COMPUTED_VALUE"""),1.0)</f>
        <v>1</v>
      </c>
      <c r="F3833" s="6">
        <f>IFERROR(__xludf.DUMMYFUNCTION("""COMPUTED_VALUE"""),1.0)</f>
        <v>1</v>
      </c>
      <c r="G3833" s="6">
        <f>IFERROR(__xludf.DUMMYFUNCTION("""COMPUTED_VALUE"""),0.0)</f>
        <v>0</v>
      </c>
      <c r="H3833" s="6" t="str">
        <f>IFERROR(__xludf.DUMMYFUNCTION("""COMPUTED_VALUE"""),"Pcs")</f>
        <v>Pcs</v>
      </c>
      <c r="I3833" s="6" t="str">
        <f>IFERROR(__xludf.DUMMYFUNCTION("""COMPUTED_VALUE"""),"MFH")</f>
        <v>MFH</v>
      </c>
      <c r="J3833" s="6" t="str">
        <f>IFERROR(__xludf.DUMMYFUNCTION("""COMPUTED_VALUE"""),"Autoclave")</f>
        <v>Autoclave</v>
      </c>
      <c r="K3833" s="6" t="str">
        <f>IFERROR(__xludf.DUMMYFUNCTION("""COMPUTED_VALUE"""),"SPR/06/26/068")</f>
        <v>SPR/06/26/068</v>
      </c>
      <c r="L3833" s="13">
        <f>IFERROR(__xludf.DUMMYFUNCTION("""COMPUTED_VALUE"""),46203.0)</f>
        <v>46203</v>
      </c>
    </row>
    <row r="3834">
      <c r="A3834" s="6" t="str">
        <f>IFERROR(__xludf.DUMMYFUNCTION("""COMPUTED_VALUE"""),"SFH")</f>
        <v>SFH</v>
      </c>
      <c r="B3834" s="6" t="str">
        <f>IFERROR(__xludf.DUMMYFUNCTION("""COMPUTED_VALUE"""),"ENG")</f>
        <v>ENG</v>
      </c>
      <c r="C3834" s="6" t="str">
        <f>IFERROR(__xludf.DUMMYFUNCTION("""COMPUTED_VALUE"""),"Q-10475-00")</f>
        <v>Q-10475-00</v>
      </c>
      <c r="D3834" s="6" t="str">
        <f>IFERROR(__xludf.DUMMYFUNCTION("""COMPUTED_VALUE"""),"Cat Tembok; ; ; - Cat Dulux Ambiance Brilliant White @ 20 Ltr")</f>
        <v>Cat Tembok; ; ; - Cat Dulux Ambiance Brilliant White @ 20 Ltr</v>
      </c>
      <c r="E3834" s="6">
        <f>IFERROR(__xludf.DUMMYFUNCTION("""COMPUTED_VALUE"""),1.0)</f>
        <v>1</v>
      </c>
      <c r="F3834" s="6">
        <f>IFERROR(__xludf.DUMMYFUNCTION("""COMPUTED_VALUE"""),1.0)</f>
        <v>1</v>
      </c>
      <c r="G3834" s="6">
        <f>IFERROR(__xludf.DUMMYFUNCTION("""COMPUTED_VALUE"""),0.0)</f>
        <v>0</v>
      </c>
      <c r="H3834" s="6" t="str">
        <f>IFERROR(__xludf.DUMMYFUNCTION("""COMPUTED_VALUE"""),"Pcs")</f>
        <v>Pcs</v>
      </c>
      <c r="I3834" s="6" t="str">
        <f>IFERROR(__xludf.DUMMYFUNCTION("""COMPUTED_VALUE"""),"MFH")</f>
        <v>MFH</v>
      </c>
      <c r="J3834" s="6" t="str">
        <f>IFERROR(__xludf.DUMMYFUNCTION("""COMPUTED_VALUE"""),"Building")</f>
        <v>Building</v>
      </c>
      <c r="K3834" s="6" t="str">
        <f>IFERROR(__xludf.DUMMYFUNCTION("""COMPUTED_VALUE"""),"SPR/06/26/069")</f>
        <v>SPR/06/26/069</v>
      </c>
      <c r="L3834" s="13">
        <f>IFERROR(__xludf.DUMMYFUNCTION("""COMPUTED_VALUE"""),46203.0)</f>
        <v>46203</v>
      </c>
    </row>
    <row r="3835">
      <c r="A3835" s="6" t="str">
        <f>IFERROR(__xludf.DUMMYFUNCTION("""COMPUTED_VALUE"""),"SFH")</f>
        <v>SFH</v>
      </c>
      <c r="B3835" s="6" t="str">
        <f>IFERROR(__xludf.DUMMYFUNCTION("""COMPUTED_VALUE"""),"ENG")</f>
        <v>ENG</v>
      </c>
      <c r="C3835" s="6" t="str">
        <f>IFERROR(__xludf.DUMMYFUNCTION("""COMPUTED_VALUE"""),"P-10886-00")</f>
        <v>P-10886-00</v>
      </c>
      <c r="D3835" s="6" t="str">
        <f>IFERROR(__xludf.DUMMYFUNCTION("""COMPUTED_VALUE"""),"General - Socket Drat Dalam, PVC, 1""; Rucika; -; 1 pcs")</f>
        <v>General - Socket Drat Dalam, PVC, 1"; Rucika; -; 1 pcs</v>
      </c>
      <c r="E3835" s="6">
        <f>IFERROR(__xludf.DUMMYFUNCTION("""COMPUTED_VALUE"""),1.0)</f>
        <v>1</v>
      </c>
      <c r="F3835" s="6">
        <f>IFERROR(__xludf.DUMMYFUNCTION("""COMPUTED_VALUE"""),1.0)</f>
        <v>1</v>
      </c>
      <c r="G3835" s="6">
        <f>IFERROR(__xludf.DUMMYFUNCTION("""COMPUTED_VALUE"""),0.0)</f>
        <v>0</v>
      </c>
      <c r="H3835" s="6" t="str">
        <f>IFERROR(__xludf.DUMMYFUNCTION("""COMPUTED_VALUE"""),"Pcs")</f>
        <v>Pcs</v>
      </c>
      <c r="I3835" s="6" t="str">
        <f>IFERROR(__xludf.DUMMYFUNCTION("""COMPUTED_VALUE"""),"MFH")</f>
        <v>MFH</v>
      </c>
      <c r="J3835" s="6" t="str">
        <f>IFERROR(__xludf.DUMMYFUNCTION("""COMPUTED_VALUE"""),"WWTP")</f>
        <v>WWTP</v>
      </c>
      <c r="K3835" s="6" t="str">
        <f>IFERROR(__xludf.DUMMYFUNCTION("""COMPUTED_VALUE"""),"SPR/06/26/070")</f>
        <v>SPR/06/26/070</v>
      </c>
      <c r="L3835" s="13">
        <f>IFERROR(__xludf.DUMMYFUNCTION("""COMPUTED_VALUE"""),46203.0)</f>
        <v>46203</v>
      </c>
    </row>
    <row r="3836">
      <c r="A3836" s="6" t="str">
        <f>IFERROR(__xludf.DUMMYFUNCTION("""COMPUTED_VALUE"""),"RIA")</f>
        <v>RIA</v>
      </c>
      <c r="B3836" s="6" t="str">
        <f>IFERROR(__xludf.DUMMYFUNCTION("""COMPUTED_VALUE"""),"ENG")</f>
        <v>ENG</v>
      </c>
      <c r="C3836" s="6" t="str">
        <f>IFERROR(__xludf.DUMMYFUNCTION("""COMPUTED_VALUE"""),"P-53357-00")</f>
        <v>P-53357-00</v>
      </c>
      <c r="D3836" s="6" t="str">
        <f>IFERROR(__xludf.DUMMYFUNCTION("""COMPUTED_VALUE"""),"General - Battery Kering / Accu MF N100 12V 100Ah; GS Astra; 95E41R; 1 unit")</f>
        <v>General - Battery Kering / Accu MF N100 12V 100Ah; GS Astra; 95E41R; 1 unit</v>
      </c>
      <c r="E3836" s="6">
        <f>IFERROR(__xludf.DUMMYFUNCTION("""COMPUTED_VALUE"""),1.0)</f>
        <v>1</v>
      </c>
      <c r="F3836" s="6">
        <f>IFERROR(__xludf.DUMMYFUNCTION("""COMPUTED_VALUE"""),1.0)</f>
        <v>1</v>
      </c>
      <c r="G3836" s="6">
        <f>IFERROR(__xludf.DUMMYFUNCTION("""COMPUTED_VALUE"""),0.0)</f>
        <v>0</v>
      </c>
      <c r="H3836" s="6" t="str">
        <f>IFERROR(__xludf.DUMMYFUNCTION("""COMPUTED_VALUE"""),"Pcs")</f>
        <v>Pcs</v>
      </c>
      <c r="I3836" s="6" t="str">
        <f>IFERROR(__xludf.DUMMYFUNCTION("""COMPUTED_VALUE"""),"MFH")</f>
        <v>MFH</v>
      </c>
      <c r="J3836" s="6" t="str">
        <f>IFERROR(__xludf.DUMMYFUNCTION("""COMPUTED_VALUE"""),"-")</f>
        <v>-</v>
      </c>
      <c r="K3836" s="6" t="str">
        <f>IFERROR(__xludf.DUMMYFUNCTION("""COMPUTED_VALUE"""),"SPR/06/26/071")</f>
        <v>SPR/06/26/071</v>
      </c>
      <c r="L3836" s="13">
        <f>IFERROR(__xludf.DUMMYFUNCTION("""COMPUTED_VALUE"""),46203.0)</f>
        <v>46203</v>
      </c>
    </row>
    <row r="3837">
      <c r="A3837" s="6" t="str">
        <f>IFERROR(__xludf.DUMMYFUNCTION("""COMPUTED_VALUE"""),"RIA")</f>
        <v>RIA</v>
      </c>
      <c r="B3837" s="6" t="str">
        <f>IFERROR(__xludf.DUMMYFUNCTION("""COMPUTED_VALUE"""),"ENG")</f>
        <v>ENG</v>
      </c>
      <c r="C3837" s="6" t="str">
        <f>IFERROR(__xludf.DUMMYFUNCTION("""COMPUTED_VALUE"""),"O-50994-00")</f>
        <v>O-50994-00</v>
      </c>
      <c r="D3837" s="6" t="str">
        <f>IFERROR(__xludf.DUMMYFUNCTION("""COMPUTED_VALUE"""),"Battery kering 12V 7,2AH")</f>
        <v>Battery kering 12V 7,2AH</v>
      </c>
      <c r="E3837" s="6">
        <f>IFERROR(__xludf.DUMMYFUNCTION("""COMPUTED_VALUE"""),2.0)</f>
        <v>2</v>
      </c>
      <c r="F3837" s="6">
        <f>IFERROR(__xludf.DUMMYFUNCTION("""COMPUTED_VALUE"""),2.0)</f>
        <v>2</v>
      </c>
      <c r="G3837" s="6">
        <f>IFERROR(__xludf.DUMMYFUNCTION("""COMPUTED_VALUE"""),0.0)</f>
        <v>0</v>
      </c>
      <c r="H3837" s="6" t="str">
        <f>IFERROR(__xludf.DUMMYFUNCTION("""COMPUTED_VALUE"""),"Pcs")</f>
        <v>Pcs</v>
      </c>
      <c r="I3837" s="6" t="str">
        <f>IFERROR(__xludf.DUMMYFUNCTION("""COMPUTED_VALUE"""),"MFH")</f>
        <v>MFH</v>
      </c>
      <c r="J3837" s="6" t="str">
        <f>IFERROR(__xludf.DUMMYFUNCTION("""COMPUTED_VALUE"""),"-")</f>
        <v>-</v>
      </c>
      <c r="K3837" s="6" t="str">
        <f>IFERROR(__xludf.DUMMYFUNCTION("""COMPUTED_VALUE"""),"SPR/06/26/071")</f>
        <v>SPR/06/26/071</v>
      </c>
      <c r="L3837" s="13">
        <f>IFERROR(__xludf.DUMMYFUNCTION("""COMPUTED_VALUE"""),46203.0)</f>
        <v>46203</v>
      </c>
    </row>
    <row r="3838">
      <c r="A3838" s="6" t="str">
        <f>IFERROR(__xludf.DUMMYFUNCTION("""COMPUTED_VALUE"""),"RIA")</f>
        <v>RIA</v>
      </c>
      <c r="B3838" s="6" t="str">
        <f>IFERROR(__xludf.DUMMYFUNCTION("""COMPUTED_VALUE"""),"ENG")</f>
        <v>ENG</v>
      </c>
      <c r="C3838" s="6" t="str">
        <f>IFERROR(__xludf.DUMMYFUNCTION("""COMPUTED_VALUE"""),"P-52489-00")</f>
        <v>P-52489-00</v>
      </c>
      <c r="D3838" s="6" t="str">
        <f>IFERROR(__xludf.DUMMYFUNCTION("""COMPUTED_VALUE"""),"Converter Cleanphone Phone")</f>
        <v>Converter Cleanphone Phone</v>
      </c>
      <c r="E3838" s="6">
        <f>IFERROR(__xludf.DUMMYFUNCTION("""COMPUTED_VALUE"""),1.0)</f>
        <v>1</v>
      </c>
      <c r="F3838" s="6">
        <f>IFERROR(__xludf.DUMMYFUNCTION("""COMPUTED_VALUE"""),1.0)</f>
        <v>1</v>
      </c>
      <c r="G3838" s="6">
        <f>IFERROR(__xludf.DUMMYFUNCTION("""COMPUTED_VALUE"""),0.0)</f>
        <v>0</v>
      </c>
      <c r="H3838" s="6" t="str">
        <f>IFERROR(__xludf.DUMMYFUNCTION("""COMPUTED_VALUE"""),"Pcs")</f>
        <v>Pcs</v>
      </c>
      <c r="I3838" s="6" t="str">
        <f>IFERROR(__xludf.DUMMYFUNCTION("""COMPUTED_VALUE"""),"MFH")</f>
        <v>MFH</v>
      </c>
      <c r="J3838" s="6" t="str">
        <f>IFERROR(__xludf.DUMMYFUNCTION("""COMPUTED_VALUE"""),"-")</f>
        <v>-</v>
      </c>
      <c r="K3838" s="6" t="str">
        <f>IFERROR(__xludf.DUMMYFUNCTION("""COMPUTED_VALUE"""),"SPR/06/26/071")</f>
        <v>SPR/06/26/071</v>
      </c>
      <c r="L3838" s="13">
        <f>IFERROR(__xludf.DUMMYFUNCTION("""COMPUTED_VALUE"""),46203.0)</f>
        <v>46203</v>
      </c>
    </row>
    <row r="3839">
      <c r="A3839" s="6" t="str">
        <f>IFERROR(__xludf.DUMMYFUNCTION("""COMPUTED_VALUE"""),"MRN")</f>
        <v>MRN</v>
      </c>
      <c r="B3839" s="6" t="str">
        <f>IFERROR(__xludf.DUMMYFUNCTION("""COMPUTED_VALUE"""),"ENG")</f>
        <v>ENG</v>
      </c>
      <c r="C3839" s="6" t="str">
        <f>IFERROR(__xludf.DUMMYFUNCTION("""COMPUTED_VALUE"""),"P-19846-00")</f>
        <v>P-19846-00</v>
      </c>
      <c r="D3839" s="6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E3839" s="6">
        <f>IFERROR(__xludf.DUMMYFUNCTION("""COMPUTED_VALUE"""),1.0)</f>
        <v>1</v>
      </c>
      <c r="F3839" s="6">
        <f>IFERROR(__xludf.DUMMYFUNCTION("""COMPUTED_VALUE"""),1.0)</f>
        <v>1</v>
      </c>
      <c r="G3839" s="6">
        <f>IFERROR(__xludf.DUMMYFUNCTION("""COMPUTED_VALUE"""),0.0)</f>
        <v>0</v>
      </c>
      <c r="H3839" s="6" t="str">
        <f>IFERROR(__xludf.DUMMYFUNCTION("""COMPUTED_VALUE"""),"Pcs")</f>
        <v>Pcs</v>
      </c>
      <c r="I3839" s="6" t="str">
        <f>IFERROR(__xludf.DUMMYFUNCTION("""COMPUTED_VALUE"""),"MFH")</f>
        <v>MFH</v>
      </c>
      <c r="J3839" s="6" t="str">
        <f>IFERROR(__xludf.DUMMYFUNCTION("""COMPUTED_VALUE"""),"-")</f>
        <v>-</v>
      </c>
      <c r="K3839" s="6" t="str">
        <f>IFERROR(__xludf.DUMMYFUNCTION("""COMPUTED_VALUE"""),"SPR/06/26/072")</f>
        <v>SPR/06/26/072</v>
      </c>
      <c r="L3839" s="13">
        <f>IFERROR(__xludf.DUMMYFUNCTION("""COMPUTED_VALUE"""),46203.0)</f>
        <v>46203</v>
      </c>
    </row>
    <row r="3840">
      <c r="A3840" s="6" t="str">
        <f>IFERROR(__xludf.DUMMYFUNCTION("""COMPUTED_VALUE"""),"MRN")</f>
        <v>MRN</v>
      </c>
      <c r="B3840" s="6" t="str">
        <f>IFERROR(__xludf.DUMMYFUNCTION("""COMPUTED_VALUE"""),"ENG")</f>
        <v>ENG</v>
      </c>
      <c r="C3840" s="6" t="str">
        <f>IFERROR(__xludf.DUMMYFUNCTION("""COMPUTED_VALUE"""),"P-19848-00")</f>
        <v>P-19848-00</v>
      </c>
      <c r="D3840" s="6" t="str">
        <f>IFERROR(__xludf.DUMMYFUNCTION("""COMPUTED_VALUE"""),"General - Kawat Las Elektrode uk. 2,6x300mm; Niko Steel; NSN-308; 1 pc")</f>
        <v>General - Kawat Las Elektrode uk. 2,6x300mm; Niko Steel; NSN-308; 1 pc</v>
      </c>
      <c r="E3840" s="6">
        <f>IFERROR(__xludf.DUMMYFUNCTION("""COMPUTED_VALUE"""),1.0)</f>
        <v>1</v>
      </c>
      <c r="F3840" s="6">
        <f>IFERROR(__xludf.DUMMYFUNCTION("""COMPUTED_VALUE"""),1.0)</f>
        <v>1</v>
      </c>
      <c r="G3840" s="6">
        <f>IFERROR(__xludf.DUMMYFUNCTION("""COMPUTED_VALUE"""),0.0)</f>
        <v>0</v>
      </c>
      <c r="H3840" s="6" t="str">
        <f>IFERROR(__xludf.DUMMYFUNCTION("""COMPUTED_VALUE"""),"Pcs")</f>
        <v>Pcs</v>
      </c>
      <c r="I3840" s="6" t="str">
        <f>IFERROR(__xludf.DUMMYFUNCTION("""COMPUTED_VALUE"""),"MFH")</f>
        <v>MFH</v>
      </c>
      <c r="J3840" s="6" t="str">
        <f>IFERROR(__xludf.DUMMYFUNCTION("""COMPUTED_VALUE"""),"-")</f>
        <v>-</v>
      </c>
      <c r="K3840" s="6" t="str">
        <f>IFERROR(__xludf.DUMMYFUNCTION("""COMPUTED_VALUE"""),"SPR/06/26/073")</f>
        <v>SPR/06/26/073</v>
      </c>
      <c r="L3840" s="13">
        <f>IFERROR(__xludf.DUMMYFUNCTION("""COMPUTED_VALUE"""),46203.0)</f>
        <v>46203</v>
      </c>
    </row>
    <row r="3841">
      <c r="A3841" s="6" t="str">
        <f>IFERROR(__xludf.DUMMYFUNCTION("""COMPUTED_VALUE"""),"MRN")</f>
        <v>MRN</v>
      </c>
      <c r="B3841" s="6" t="str">
        <f>IFERROR(__xludf.DUMMYFUNCTION("""COMPUTED_VALUE"""),"ENG")</f>
        <v>ENG</v>
      </c>
      <c r="C3841" s="6" t="str">
        <f>IFERROR(__xludf.DUMMYFUNCTION("""COMPUTED_VALUE"""),"P-11228-00")</f>
        <v>P-11228-00</v>
      </c>
      <c r="D3841" s="6" t="str">
        <f>IFERROR(__xludf.DUMMYFUNCTION("""COMPUTED_VALUE"""),"Pneumatic  Fitting - QST 8 / PN : 153130 / Festo")</f>
        <v>Pneumatic  Fitting - QST 8 / PN : 153130 / Festo</v>
      </c>
      <c r="E3841" s="6">
        <f>IFERROR(__xludf.DUMMYFUNCTION("""COMPUTED_VALUE"""),1.0)</f>
        <v>1</v>
      </c>
      <c r="F3841" s="6">
        <f>IFERROR(__xludf.DUMMYFUNCTION("""COMPUTED_VALUE"""),1.0)</f>
        <v>1</v>
      </c>
      <c r="G3841" s="6">
        <f>IFERROR(__xludf.DUMMYFUNCTION("""COMPUTED_VALUE"""),0.0)</f>
        <v>0</v>
      </c>
      <c r="H3841" s="6" t="str">
        <f>IFERROR(__xludf.DUMMYFUNCTION("""COMPUTED_VALUE"""),"Pcs")</f>
        <v>Pcs</v>
      </c>
      <c r="I3841" s="6" t="str">
        <f>IFERROR(__xludf.DUMMYFUNCTION("""COMPUTED_VALUE"""),"MFH")</f>
        <v>MFH</v>
      </c>
      <c r="J3841" s="6" t="str">
        <f>IFERROR(__xludf.DUMMYFUNCTION("""COMPUTED_VALUE"""),"-")</f>
        <v>-</v>
      </c>
      <c r="K3841" s="6" t="str">
        <f>IFERROR(__xludf.DUMMYFUNCTION("""COMPUTED_VALUE"""),"SPR/06/26/073")</f>
        <v>SPR/06/26/073</v>
      </c>
      <c r="L3841" s="13">
        <f>IFERROR(__xludf.DUMMYFUNCTION("""COMPUTED_VALUE"""),46203.0)</f>
        <v>46203</v>
      </c>
    </row>
    <row r="3842">
      <c r="A3842" s="6" t="str">
        <f>IFERROR(__xludf.DUMMYFUNCTION("""COMPUTED_VALUE"""),"ANO")</f>
        <v>ANO</v>
      </c>
      <c r="B3842" s="6" t="str">
        <f>IFERROR(__xludf.DUMMYFUNCTION("""COMPUTED_VALUE"""),"ENG")</f>
        <v>ENG</v>
      </c>
      <c r="C3842" s="6" t="str">
        <f>IFERROR(__xludf.DUMMYFUNCTION("""COMPUTED_VALUE"""),"O-16033-00")</f>
        <v>O-16033-00</v>
      </c>
      <c r="D3842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842" s="6">
        <f>IFERROR(__xludf.DUMMYFUNCTION("""COMPUTED_VALUE"""),1.0)</f>
        <v>1</v>
      </c>
      <c r="F3842" s="6">
        <f>IFERROR(__xludf.DUMMYFUNCTION("""COMPUTED_VALUE"""),1.0)</f>
        <v>1</v>
      </c>
      <c r="G3842" s="6">
        <f>IFERROR(__xludf.DUMMYFUNCTION("""COMPUTED_VALUE"""),0.0)</f>
        <v>0</v>
      </c>
      <c r="H3842" s="6" t="str">
        <f>IFERROR(__xludf.DUMMYFUNCTION("""COMPUTED_VALUE"""),"Pcs")</f>
        <v>Pcs</v>
      </c>
      <c r="I3842" s="6" t="str">
        <f>IFERROR(__xludf.DUMMYFUNCTION("""COMPUTED_VALUE"""),"MFH")</f>
        <v>MFH</v>
      </c>
      <c r="J3842" s="6" t="str">
        <f>IFERROR(__xludf.DUMMYFUNCTION("""COMPUTED_VALUE"""),"cRABS")</f>
        <v>cRABS</v>
      </c>
      <c r="K3842" s="6" t="str">
        <f>IFERROR(__xludf.DUMMYFUNCTION("""COMPUTED_VALUE"""),"SPR/06/26/074")</f>
        <v>SPR/06/26/074</v>
      </c>
      <c r="L3842" s="13">
        <f>IFERROR(__xludf.DUMMYFUNCTION("""COMPUTED_VALUE"""),46203.0)</f>
        <v>46203</v>
      </c>
    </row>
    <row r="3843">
      <c r="A3843" s="6" t="str">
        <f>IFERROR(__xludf.DUMMYFUNCTION("""COMPUTED_VALUE"""),"SFH")</f>
        <v>SFH</v>
      </c>
      <c r="B3843" s="6" t="str">
        <f>IFERROR(__xludf.DUMMYFUNCTION("""COMPUTED_VALUE"""),"ENG")</f>
        <v>ENG</v>
      </c>
      <c r="C3843" s="6" t="str">
        <f>IFERROR(__xludf.DUMMYFUNCTION("""COMPUTED_VALUE"""),"-")</f>
        <v>-</v>
      </c>
      <c r="D3843" s="6" t="str">
        <f>IFERROR(__xludf.DUMMYFUNCTION("""COMPUTED_VALUE"""),"LED Panel 30W")</f>
        <v>LED Panel 30W</v>
      </c>
      <c r="E3843" s="6">
        <f>IFERROR(__xludf.DUMMYFUNCTION("""COMPUTED_VALUE"""),3.0)</f>
        <v>3</v>
      </c>
      <c r="F3843" s="6">
        <f>IFERROR(__xludf.DUMMYFUNCTION("""COMPUTED_VALUE"""),3.0)</f>
        <v>3</v>
      </c>
      <c r="G3843" s="6">
        <f>IFERROR(__xludf.DUMMYFUNCTION("""COMPUTED_VALUE"""),0.0)</f>
        <v>0</v>
      </c>
      <c r="H3843" s="6" t="str">
        <f>IFERROR(__xludf.DUMMYFUNCTION("""COMPUTED_VALUE"""),"Pcs")</f>
        <v>Pcs</v>
      </c>
      <c r="I3843" s="6" t="str">
        <f>IFERROR(__xludf.DUMMYFUNCTION("""COMPUTED_VALUE"""),"MFH")</f>
        <v>MFH</v>
      </c>
      <c r="J3843" s="6" t="str">
        <f>IFERROR(__xludf.DUMMYFUNCTION("""COMPUTED_VALUE"""),"Building")</f>
        <v>Building</v>
      </c>
      <c r="K3843" s="6" t="str">
        <f>IFERROR(__xludf.DUMMYFUNCTION("""COMPUTED_VALUE"""),"SPR/06/26/075")</f>
        <v>SPR/06/26/075</v>
      </c>
      <c r="L3843" s="13">
        <f>IFERROR(__xludf.DUMMYFUNCTION("""COMPUTED_VALUE"""),46203.0)</f>
        <v>46203</v>
      </c>
    </row>
    <row r="3844">
      <c r="A3844" s="6" t="str">
        <f>IFERROR(__xludf.DUMMYFUNCTION("""COMPUTED_VALUE"""),"MRN")</f>
        <v>MRN</v>
      </c>
      <c r="B3844" s="6" t="str">
        <f>IFERROR(__xludf.DUMMYFUNCTION("""COMPUTED_VALUE"""),"ENG")</f>
        <v>ENG</v>
      </c>
      <c r="C3844" s="6" t="str">
        <f>IFERROR(__xludf.DUMMYFUNCTION("""COMPUTED_VALUE"""),"Q-10134-00")</f>
        <v>Q-10134-00</v>
      </c>
      <c r="D3844" s="6" t="str">
        <f>IFERROR(__xludf.DUMMYFUNCTION("""COMPUTED_VALUE"""),"TOTO - Jet Shower spray TX 403S")</f>
        <v>TOTO - Jet Shower spray TX 403S</v>
      </c>
      <c r="E3844" s="6">
        <f>IFERROR(__xludf.DUMMYFUNCTION("""COMPUTED_VALUE"""),4.0)</f>
        <v>4</v>
      </c>
      <c r="F3844" s="6">
        <f>IFERROR(__xludf.DUMMYFUNCTION("""COMPUTED_VALUE"""),4.0)</f>
        <v>4</v>
      </c>
      <c r="G3844" s="6">
        <f>IFERROR(__xludf.DUMMYFUNCTION("""COMPUTED_VALUE"""),0.0)</f>
        <v>0</v>
      </c>
      <c r="H3844" s="6" t="str">
        <f>IFERROR(__xludf.DUMMYFUNCTION("""COMPUTED_VALUE"""),"Pcs")</f>
        <v>Pcs</v>
      </c>
      <c r="I3844" s="6" t="str">
        <f>IFERROR(__xludf.DUMMYFUNCTION("""COMPUTED_VALUE"""),"MFH")</f>
        <v>MFH</v>
      </c>
      <c r="J3844" s="6" t="str">
        <f>IFERROR(__xludf.DUMMYFUNCTION("""COMPUTED_VALUE"""),"-")</f>
        <v>-</v>
      </c>
      <c r="K3844" s="6" t="str">
        <f>IFERROR(__xludf.DUMMYFUNCTION("""COMPUTED_VALUE"""),"SPR/06/26/076")</f>
        <v>SPR/06/26/076</v>
      </c>
      <c r="L3844" s="13">
        <f>IFERROR(__xludf.DUMMYFUNCTION("""COMPUTED_VALUE"""),46203.0)</f>
        <v>46203</v>
      </c>
    </row>
    <row r="3845">
      <c r="A3845" s="6" t="str">
        <f>IFERROR(__xludf.DUMMYFUNCTION("""COMPUTED_VALUE"""),"SFH")</f>
        <v>SFH</v>
      </c>
      <c r="B3845" s="6" t="str">
        <f>IFERROR(__xludf.DUMMYFUNCTION("""COMPUTED_VALUE"""),"ENG")</f>
        <v>ENG</v>
      </c>
      <c r="C3845" s="6" t="str">
        <f>IFERROR(__xludf.DUMMYFUNCTION("""COMPUTED_VALUE"""),"O-15931-00")</f>
        <v>O-15931-00</v>
      </c>
      <c r="D3845" s="6" t="str">
        <f>IFERROR(__xludf.DUMMYFUNCTION("""COMPUTED_VALUE"""),"Double Tape 3M 1"" Merah - P/N : - pc")</f>
        <v>Double Tape 3M 1" Merah - P/N : - pc</v>
      </c>
      <c r="E3845" s="6">
        <f>IFERROR(__xludf.DUMMYFUNCTION("""COMPUTED_VALUE"""),1.0)</f>
        <v>1</v>
      </c>
      <c r="F3845" s="6">
        <f>IFERROR(__xludf.DUMMYFUNCTION("""COMPUTED_VALUE"""),1.0)</f>
        <v>1</v>
      </c>
      <c r="G3845" s="6">
        <f>IFERROR(__xludf.DUMMYFUNCTION("""COMPUTED_VALUE"""),0.0)</f>
        <v>0</v>
      </c>
      <c r="H3845" s="6" t="str">
        <f>IFERROR(__xludf.DUMMYFUNCTION("""COMPUTED_VALUE"""),"Pcs")</f>
        <v>Pcs</v>
      </c>
      <c r="I3845" s="6" t="str">
        <f>IFERROR(__xludf.DUMMYFUNCTION("""COMPUTED_VALUE"""),"MFH")</f>
        <v>MFH</v>
      </c>
      <c r="J3845" s="6" t="str">
        <f>IFERROR(__xludf.DUMMYFUNCTION("""COMPUTED_VALUE"""),"Building")</f>
        <v>Building</v>
      </c>
      <c r="K3845" s="6" t="str">
        <f>IFERROR(__xludf.DUMMYFUNCTION("""COMPUTED_VALUE"""),"SPR/06/26/077")</f>
        <v>SPR/06/26/077</v>
      </c>
      <c r="L3845" s="13">
        <f>IFERROR(__xludf.DUMMYFUNCTION("""COMPUTED_VALUE"""),46203.0)</f>
        <v>46203</v>
      </c>
    </row>
    <row r="3846">
      <c r="A3846" s="6" t="str">
        <f>IFERROR(__xludf.DUMMYFUNCTION("""COMPUTED_VALUE"""),"SFH")</f>
        <v>SFH</v>
      </c>
      <c r="B3846" s="6" t="str">
        <f>IFERROR(__xludf.DUMMYFUNCTION("""COMPUTED_VALUE"""),"ENG")</f>
        <v>ENG</v>
      </c>
      <c r="C3846" s="6" t="str">
        <f>IFERROR(__xludf.DUMMYFUNCTION("""COMPUTED_VALUE"""),"P-15852-00")</f>
        <v>P-15852-00</v>
      </c>
      <c r="D3846" s="6" t="str">
        <f>IFERROR(__xludf.DUMMYFUNCTION("""COMPUTED_VALUE"""),"AMPLAS EAGLE 500")</f>
        <v>AMPLAS EAGLE 500</v>
      </c>
      <c r="E3846" s="6">
        <f>IFERROR(__xludf.DUMMYFUNCTION("""COMPUTED_VALUE"""),3.0)</f>
        <v>3</v>
      </c>
      <c r="F3846" s="6">
        <f>IFERROR(__xludf.DUMMYFUNCTION("""COMPUTED_VALUE"""),3.0)</f>
        <v>3</v>
      </c>
      <c r="G3846" s="6">
        <f>IFERROR(__xludf.DUMMYFUNCTION("""COMPUTED_VALUE"""),0.0)</f>
        <v>0</v>
      </c>
      <c r="H3846" s="6" t="str">
        <f>IFERROR(__xludf.DUMMYFUNCTION("""COMPUTED_VALUE"""),"Pcs")</f>
        <v>Pcs</v>
      </c>
      <c r="I3846" s="6" t="str">
        <f>IFERROR(__xludf.DUMMYFUNCTION("""COMPUTED_VALUE"""),"MFH")</f>
        <v>MFH</v>
      </c>
      <c r="J3846" s="6" t="str">
        <f>IFERROR(__xludf.DUMMYFUNCTION("""COMPUTED_VALUE"""),"Building")</f>
        <v>Building</v>
      </c>
      <c r="K3846" s="6" t="str">
        <f>IFERROR(__xludf.DUMMYFUNCTION("""COMPUTED_VALUE"""),"SPR/06/26/077")</f>
        <v>SPR/06/26/077</v>
      </c>
      <c r="L3846" s="13">
        <f>IFERROR(__xludf.DUMMYFUNCTION("""COMPUTED_VALUE"""),46203.0)</f>
        <v>46203</v>
      </c>
    </row>
    <row r="3847">
      <c r="A3847" s="6" t="str">
        <f>IFERROR(__xludf.DUMMYFUNCTION("""COMPUTED_VALUE"""),"SFH")</f>
        <v>SFH</v>
      </c>
      <c r="B3847" s="6" t="str">
        <f>IFERROR(__xludf.DUMMYFUNCTION("""COMPUTED_VALUE"""),"ENG")</f>
        <v>ENG</v>
      </c>
      <c r="C3847" s="6" t="str">
        <f>IFERROR(__xludf.DUMMYFUNCTION("""COMPUTED_VALUE"""),"Q-10130-00")</f>
        <v>Q-10130-00</v>
      </c>
      <c r="D3847" s="6" t="str">
        <f>IFERROR(__xludf.DUMMYFUNCTION("""COMPUTED_VALUE"""),"TOTO - Kran Wastafel Faucet TX 126 LE")</f>
        <v>TOTO - Kran Wastafel Faucet TX 126 LE</v>
      </c>
      <c r="E3847" s="6">
        <f>IFERROR(__xludf.DUMMYFUNCTION("""COMPUTED_VALUE"""),1.0)</f>
        <v>1</v>
      </c>
      <c r="F3847" s="6">
        <f>IFERROR(__xludf.DUMMYFUNCTION("""COMPUTED_VALUE"""),1.0)</f>
        <v>1</v>
      </c>
      <c r="G3847" s="6">
        <f>IFERROR(__xludf.DUMMYFUNCTION("""COMPUTED_VALUE"""),0.0)</f>
        <v>0</v>
      </c>
      <c r="H3847" s="6" t="str">
        <f>IFERROR(__xludf.DUMMYFUNCTION("""COMPUTED_VALUE"""),"Pcs")</f>
        <v>Pcs</v>
      </c>
      <c r="I3847" s="6" t="str">
        <f>IFERROR(__xludf.DUMMYFUNCTION("""COMPUTED_VALUE"""),"MFH")</f>
        <v>MFH</v>
      </c>
      <c r="J3847" s="6" t="str">
        <f>IFERROR(__xludf.DUMMYFUNCTION("""COMPUTED_VALUE"""),"Building")</f>
        <v>Building</v>
      </c>
      <c r="K3847" s="6" t="str">
        <f>IFERROR(__xludf.DUMMYFUNCTION("""COMPUTED_VALUE"""),"SPR/06/26/078")</f>
        <v>SPR/06/26/078</v>
      </c>
      <c r="L3847" s="13">
        <f>IFERROR(__xludf.DUMMYFUNCTION("""COMPUTED_VALUE"""),46203.0)</f>
        <v>46203</v>
      </c>
    </row>
    <row r="3848">
      <c r="A3848" s="6" t="str">
        <f>IFERROR(__xludf.DUMMYFUNCTION("""COMPUTED_VALUE"""),"SFH")</f>
        <v>SFH</v>
      </c>
      <c r="B3848" s="6" t="str">
        <f>IFERROR(__xludf.DUMMYFUNCTION("""COMPUTED_VALUE"""),"ENG")</f>
        <v>ENG</v>
      </c>
      <c r="C3848" s="6" t="str">
        <f>IFERROR(__xludf.DUMMYFUNCTION("""COMPUTED_VALUE"""),"Q-60502-00")</f>
        <v>Q-60502-00</v>
      </c>
      <c r="D3848" s="6" t="str">
        <f>IFERROR(__xludf.DUMMYFUNCTION("""COMPUTED_VALUE"""),"Silicone Sealant, Silglaze, Type N10 White, pack size per pcs")</f>
        <v>Silicone Sealant, Silglaze, Type N10 White, pack size per pcs</v>
      </c>
      <c r="E3848" s="6">
        <f>IFERROR(__xludf.DUMMYFUNCTION("""COMPUTED_VALUE"""),1.0)</f>
        <v>1</v>
      </c>
      <c r="F3848" s="6">
        <f>IFERROR(__xludf.DUMMYFUNCTION("""COMPUTED_VALUE"""),1.0)</f>
        <v>1</v>
      </c>
      <c r="G3848" s="6">
        <f>IFERROR(__xludf.DUMMYFUNCTION("""COMPUTED_VALUE"""),0.0)</f>
        <v>0</v>
      </c>
      <c r="H3848" s="6" t="str">
        <f>IFERROR(__xludf.DUMMYFUNCTION("""COMPUTED_VALUE"""),"Pcs")</f>
        <v>Pcs</v>
      </c>
      <c r="I3848" s="6" t="str">
        <f>IFERROR(__xludf.DUMMYFUNCTION("""COMPUTED_VALUE"""),"MFH")</f>
        <v>MFH</v>
      </c>
      <c r="J3848" s="6" t="str">
        <f>IFERROR(__xludf.DUMMYFUNCTION("""COMPUTED_VALUE"""),"Building")</f>
        <v>Building</v>
      </c>
      <c r="K3848" s="6" t="str">
        <f>IFERROR(__xludf.DUMMYFUNCTION("""COMPUTED_VALUE"""),"SPR/07/26/001")</f>
        <v>SPR/07/26/001</v>
      </c>
      <c r="L3848" s="13">
        <f>IFERROR(__xludf.DUMMYFUNCTION("""COMPUTED_VALUE"""),46234.0)</f>
        <v>46234</v>
      </c>
    </row>
    <row r="3849">
      <c r="A3849" s="6" t="str">
        <f>IFERROR(__xludf.DUMMYFUNCTION("""COMPUTED_VALUE"""),"SFH")</f>
        <v>SFH</v>
      </c>
      <c r="B3849" s="6" t="str">
        <f>IFERROR(__xludf.DUMMYFUNCTION("""COMPUTED_VALUE"""),"ENG")</f>
        <v>ENG</v>
      </c>
      <c r="C3849" s="6" t="str">
        <f>IFERROR(__xludf.DUMMYFUNCTION("""COMPUTED_VALUE"""),"T-80109-00")</f>
        <v>T-80109-00</v>
      </c>
      <c r="D3849" s="6" t="str">
        <f>IFERROR(__xludf.DUMMYFUNCTION("""COMPUTED_VALUE"""),"Cellotape Kertas 1 inch warna Putih")</f>
        <v>Cellotape Kertas 1 inch warna Putih</v>
      </c>
      <c r="E3849" s="6">
        <f>IFERROR(__xludf.DUMMYFUNCTION("""COMPUTED_VALUE"""),2.0)</f>
        <v>2</v>
      </c>
      <c r="F3849" s="6">
        <f>IFERROR(__xludf.DUMMYFUNCTION("""COMPUTED_VALUE"""),2.0)</f>
        <v>2</v>
      </c>
      <c r="G3849" s="6">
        <f>IFERROR(__xludf.DUMMYFUNCTION("""COMPUTED_VALUE"""),0.0)</f>
        <v>0</v>
      </c>
      <c r="H3849" s="6" t="str">
        <f>IFERROR(__xludf.DUMMYFUNCTION("""COMPUTED_VALUE"""),"Pcs")</f>
        <v>Pcs</v>
      </c>
      <c r="I3849" s="6" t="str">
        <f>IFERROR(__xludf.DUMMYFUNCTION("""COMPUTED_VALUE"""),"MFH")</f>
        <v>MFH</v>
      </c>
      <c r="J3849" s="6" t="str">
        <f>IFERROR(__xludf.DUMMYFUNCTION("""COMPUTED_VALUE"""),"Building")</f>
        <v>Building</v>
      </c>
      <c r="K3849" s="6" t="str">
        <f>IFERROR(__xludf.DUMMYFUNCTION("""COMPUTED_VALUE"""),"SPR/07/26/001")</f>
        <v>SPR/07/26/001</v>
      </c>
      <c r="L3849" s="13">
        <f>IFERROR(__xludf.DUMMYFUNCTION("""COMPUTED_VALUE"""),46234.0)</f>
        <v>46234</v>
      </c>
    </row>
    <row r="3850">
      <c r="A3850" s="6" t="str">
        <f>IFERROR(__xludf.DUMMYFUNCTION("""COMPUTED_VALUE"""),"NDS")</f>
        <v>NDS</v>
      </c>
      <c r="B3850" s="6" t="str">
        <f>IFERROR(__xludf.DUMMYFUNCTION("""COMPUTED_VALUE"""),"ENG")</f>
        <v>ENG</v>
      </c>
      <c r="C3850" s="6" t="str">
        <f>IFERROR(__xludf.DUMMYFUNCTION("""COMPUTED_VALUE"""),"P-16474-00")</f>
        <v>P-16474-00</v>
      </c>
      <c r="D3850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E3850" s="6">
        <f>IFERROR(__xludf.DUMMYFUNCTION("""COMPUTED_VALUE"""),1.0)</f>
        <v>1</v>
      </c>
      <c r="F3850" s="6">
        <f>IFERROR(__xludf.DUMMYFUNCTION("""COMPUTED_VALUE"""),1.0)</f>
        <v>1</v>
      </c>
      <c r="G3850" s="6">
        <f>IFERROR(__xludf.DUMMYFUNCTION("""COMPUTED_VALUE"""),0.0)</f>
        <v>0</v>
      </c>
      <c r="H3850" s="6" t="str">
        <f>IFERROR(__xludf.DUMMYFUNCTION("""COMPUTED_VALUE"""),"Pcs")</f>
        <v>Pcs</v>
      </c>
      <c r="I3850" s="6" t="str">
        <f>IFERROR(__xludf.DUMMYFUNCTION("""COMPUTED_VALUE"""),"MFH")</f>
        <v>MFH</v>
      </c>
      <c r="J3850" s="6" t="str">
        <f>IFERROR(__xludf.DUMMYFUNCTION("""COMPUTED_VALUE"""),"Building")</f>
        <v>Building</v>
      </c>
      <c r="K3850" s="6" t="str">
        <f>IFERROR(__xludf.DUMMYFUNCTION("""COMPUTED_VALUE"""),"SPR/07/26/002")</f>
        <v>SPR/07/26/002</v>
      </c>
      <c r="L3850" s="13">
        <f>IFERROR(__xludf.DUMMYFUNCTION("""COMPUTED_VALUE"""),46234.0)</f>
        <v>46234</v>
      </c>
    </row>
    <row r="3851">
      <c r="A3851" s="6" t="str">
        <f>IFERROR(__xludf.DUMMYFUNCTION("""COMPUTED_VALUE"""),"NDS")</f>
        <v>NDS</v>
      </c>
      <c r="B3851" s="6" t="str">
        <f>IFERROR(__xludf.DUMMYFUNCTION("""COMPUTED_VALUE"""),"ENG")</f>
        <v>ENG</v>
      </c>
      <c r="C3851" s="6" t="str">
        <f>IFERROR(__xludf.DUMMYFUNCTION("""COMPUTED_VALUE"""),"T-80109-00")</f>
        <v>T-80109-00</v>
      </c>
      <c r="D3851" s="6" t="str">
        <f>IFERROR(__xludf.DUMMYFUNCTION("""COMPUTED_VALUE"""),"Cellotape Kertas 1 inch warna Putih")</f>
        <v>Cellotape Kertas 1 inch warna Putih</v>
      </c>
      <c r="E3851" s="6">
        <f>IFERROR(__xludf.DUMMYFUNCTION("""COMPUTED_VALUE"""),1.0)</f>
        <v>1</v>
      </c>
      <c r="F3851" s="6">
        <f>IFERROR(__xludf.DUMMYFUNCTION("""COMPUTED_VALUE"""),1.0)</f>
        <v>1</v>
      </c>
      <c r="G3851" s="6">
        <f>IFERROR(__xludf.DUMMYFUNCTION("""COMPUTED_VALUE"""),0.0)</f>
        <v>0</v>
      </c>
      <c r="H3851" s="6" t="str">
        <f>IFERROR(__xludf.DUMMYFUNCTION("""COMPUTED_VALUE"""),"Pcs")</f>
        <v>Pcs</v>
      </c>
      <c r="I3851" s="6" t="str">
        <f>IFERROR(__xludf.DUMMYFUNCTION("""COMPUTED_VALUE"""),"MFH")</f>
        <v>MFH</v>
      </c>
      <c r="J3851" s="6" t="str">
        <f>IFERROR(__xludf.DUMMYFUNCTION("""COMPUTED_VALUE"""),"Building")</f>
        <v>Building</v>
      </c>
      <c r="K3851" s="6" t="str">
        <f>IFERROR(__xludf.DUMMYFUNCTION("""COMPUTED_VALUE"""),"SPR/07/26/002")</f>
        <v>SPR/07/26/002</v>
      </c>
      <c r="L3851" s="13">
        <f>IFERROR(__xludf.DUMMYFUNCTION("""COMPUTED_VALUE"""),46234.0)</f>
        <v>46234</v>
      </c>
    </row>
    <row r="3852">
      <c r="A3852" s="6" t="str">
        <f>IFERROR(__xludf.DUMMYFUNCTION("""COMPUTED_VALUE"""),"NDS")</f>
        <v>NDS</v>
      </c>
      <c r="B3852" s="6" t="str">
        <f>IFERROR(__xludf.DUMMYFUNCTION("""COMPUTED_VALUE"""),"ENG")</f>
        <v>ENG</v>
      </c>
      <c r="C3852" s="6" t="str">
        <f>IFERROR(__xludf.DUMMYFUNCTION("""COMPUTED_VALUE"""),"Q-12123-00")</f>
        <v>Q-12123-00</v>
      </c>
      <c r="D3852" s="6" t="str">
        <f>IFERROR(__xludf.DUMMYFUNCTION("""COMPUTED_VALUE"""),"Lis Strip Pintu Seal Peredam Suara 6M; Lokal; 6M-SD6-Hitam; 6 meter/roll")</f>
        <v>Lis Strip Pintu Seal Peredam Suara 6M; Lokal; 6M-SD6-Hitam; 6 meter/roll</v>
      </c>
      <c r="E3852" s="6">
        <f>IFERROR(__xludf.DUMMYFUNCTION("""COMPUTED_VALUE"""),1.0)</f>
        <v>1</v>
      </c>
      <c r="F3852" s="6">
        <f>IFERROR(__xludf.DUMMYFUNCTION("""COMPUTED_VALUE"""),1.0)</f>
        <v>1</v>
      </c>
      <c r="G3852" s="6">
        <f>IFERROR(__xludf.DUMMYFUNCTION("""COMPUTED_VALUE"""),0.0)</f>
        <v>0</v>
      </c>
      <c r="H3852" s="6" t="str">
        <f>IFERROR(__xludf.DUMMYFUNCTION("""COMPUTED_VALUE"""),"Pcs")</f>
        <v>Pcs</v>
      </c>
      <c r="I3852" s="6" t="str">
        <f>IFERROR(__xludf.DUMMYFUNCTION("""COMPUTED_VALUE"""),"MFH")</f>
        <v>MFH</v>
      </c>
      <c r="J3852" s="6" t="str">
        <f>IFERROR(__xludf.DUMMYFUNCTION("""COMPUTED_VALUE"""),"-")</f>
        <v>-</v>
      </c>
      <c r="K3852" s="6" t="str">
        <f>IFERROR(__xludf.DUMMYFUNCTION("""COMPUTED_VALUE"""),"SPR/07/26/002")</f>
        <v>SPR/07/26/002</v>
      </c>
      <c r="L3852" s="13">
        <f>IFERROR(__xludf.DUMMYFUNCTION("""COMPUTED_VALUE"""),46234.0)</f>
        <v>46234</v>
      </c>
    </row>
    <row r="3853">
      <c r="A3853" s="6" t="str">
        <f>IFERROR(__xludf.DUMMYFUNCTION("""COMPUTED_VALUE"""),"BDU")</f>
        <v>BDU</v>
      </c>
      <c r="B3853" s="6" t="str">
        <f>IFERROR(__xludf.DUMMYFUNCTION("""COMPUTED_VALUE"""),"ENG")</f>
        <v>ENG</v>
      </c>
      <c r="C3853" s="6" t="str">
        <f>IFERROR(__xludf.DUMMYFUNCTION("""COMPUTED_VALUE"""),"O-19383-00")</f>
        <v>O-19383-00</v>
      </c>
      <c r="D3853" s="6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E3853" s="6">
        <f>IFERROR(__xludf.DUMMYFUNCTION("""COMPUTED_VALUE"""),1.0)</f>
        <v>1</v>
      </c>
      <c r="F3853" s="6">
        <f>IFERROR(__xludf.DUMMYFUNCTION("""COMPUTED_VALUE"""),1.0)</f>
        <v>1</v>
      </c>
      <c r="G3853" s="6">
        <f>IFERROR(__xludf.DUMMYFUNCTION("""COMPUTED_VALUE"""),0.0)</f>
        <v>0</v>
      </c>
      <c r="H3853" s="6" t="str">
        <f>IFERROR(__xludf.DUMMYFUNCTION("""COMPUTED_VALUE"""),"Pcs")</f>
        <v>Pcs</v>
      </c>
      <c r="I3853" s="6" t="str">
        <f>IFERROR(__xludf.DUMMYFUNCTION("""COMPUTED_VALUE"""),"MFH")</f>
        <v>MFH</v>
      </c>
      <c r="J3853" s="6" t="str">
        <f>IFERROR(__xludf.DUMMYFUNCTION("""COMPUTED_VALUE"""),"Tunnel")</f>
        <v>Tunnel</v>
      </c>
      <c r="K3853" s="6" t="str">
        <f>IFERROR(__xludf.DUMMYFUNCTION("""COMPUTED_VALUE"""),"SPR/07/26/003")</f>
        <v>SPR/07/26/003</v>
      </c>
      <c r="L3853" s="13">
        <f>IFERROR(__xludf.DUMMYFUNCTION("""COMPUTED_VALUE"""),46234.0)</f>
        <v>46234</v>
      </c>
    </row>
    <row r="3854">
      <c r="A3854" s="6" t="str">
        <f>IFERROR(__xludf.DUMMYFUNCTION("""COMPUTED_VALUE"""),"BDU")</f>
        <v>BDU</v>
      </c>
      <c r="B3854" s="6" t="str">
        <f>IFERROR(__xludf.DUMMYFUNCTION("""COMPUTED_VALUE"""),"ENG")</f>
        <v>ENG</v>
      </c>
      <c r="C3854" s="6" t="str">
        <f>IFERROR(__xludf.DUMMYFUNCTION("""COMPUTED_VALUE"""),"P-13383-00")</f>
        <v>P-13383-00</v>
      </c>
      <c r="D3854" s="6" t="str">
        <f>IFERROR(__xludf.DUMMYFUNCTION("""COMPUTED_VALUE"""),"Silicone Sealant High Temp Red; ; ;")</f>
        <v>Silicone Sealant High Temp Red; ; ;</v>
      </c>
      <c r="E3854" s="6">
        <f>IFERROR(__xludf.DUMMYFUNCTION("""COMPUTED_VALUE"""),1.0)</f>
        <v>1</v>
      </c>
      <c r="F3854" s="6">
        <f>IFERROR(__xludf.DUMMYFUNCTION("""COMPUTED_VALUE"""),1.0)</f>
        <v>1</v>
      </c>
      <c r="G3854" s="6">
        <f>IFERROR(__xludf.DUMMYFUNCTION("""COMPUTED_VALUE"""),0.0)</f>
        <v>0</v>
      </c>
      <c r="H3854" s="6" t="str">
        <f>IFERROR(__xludf.DUMMYFUNCTION("""COMPUTED_VALUE"""),"Pcs")</f>
        <v>Pcs</v>
      </c>
      <c r="I3854" s="6" t="str">
        <f>IFERROR(__xludf.DUMMYFUNCTION("""COMPUTED_VALUE"""),"MFH")</f>
        <v>MFH</v>
      </c>
      <c r="J3854" s="6" t="str">
        <f>IFERROR(__xludf.DUMMYFUNCTION("""COMPUTED_VALUE"""),"Autoclave")</f>
        <v>Autoclave</v>
      </c>
      <c r="K3854" s="6" t="str">
        <f>IFERROR(__xludf.DUMMYFUNCTION("""COMPUTED_VALUE"""),"SPR/07/26/003")</f>
        <v>SPR/07/26/003</v>
      </c>
      <c r="L3854" s="13">
        <f>IFERROR(__xludf.DUMMYFUNCTION("""COMPUTED_VALUE"""),46234.0)</f>
        <v>46234</v>
      </c>
    </row>
    <row r="3855">
      <c r="A3855" s="6" t="str">
        <f>IFERROR(__xludf.DUMMYFUNCTION("""COMPUTED_VALUE"""),"BDU")</f>
        <v>BDU</v>
      </c>
      <c r="B3855" s="6" t="str">
        <f>IFERROR(__xludf.DUMMYFUNCTION("""COMPUTED_VALUE"""),"ENG")</f>
        <v>ENG</v>
      </c>
      <c r="C3855" s="6" t="str">
        <f>IFERROR(__xludf.DUMMYFUNCTION("""COMPUTED_VALUE"""),"O-16731-00")</f>
        <v>O-16731-00</v>
      </c>
      <c r="D3855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855" s="6">
        <f>IFERROR(__xludf.DUMMYFUNCTION("""COMPUTED_VALUE"""),2.0)</f>
        <v>2</v>
      </c>
      <c r="F3855" s="6">
        <f>IFERROR(__xludf.DUMMYFUNCTION("""COMPUTED_VALUE"""),2.0)</f>
        <v>2</v>
      </c>
      <c r="G3855" s="6">
        <f>IFERROR(__xludf.DUMMYFUNCTION("""COMPUTED_VALUE"""),0.0)</f>
        <v>0</v>
      </c>
      <c r="H3855" s="6" t="str">
        <f>IFERROR(__xludf.DUMMYFUNCTION("""COMPUTED_VALUE"""),"Pcs")</f>
        <v>Pcs</v>
      </c>
      <c r="I3855" s="6" t="str">
        <f>IFERROR(__xludf.DUMMYFUNCTION("""COMPUTED_VALUE"""),"MFH")</f>
        <v>MFH</v>
      </c>
      <c r="J3855" s="6" t="str">
        <f>IFERROR(__xludf.DUMMYFUNCTION("""COMPUTED_VALUE"""),"Autoclave")</f>
        <v>Autoclave</v>
      </c>
      <c r="K3855" s="6" t="str">
        <f>IFERROR(__xludf.DUMMYFUNCTION("""COMPUTED_VALUE"""),"SPR/07/26/003")</f>
        <v>SPR/07/26/003</v>
      </c>
      <c r="L3855" s="13">
        <f>IFERROR(__xludf.DUMMYFUNCTION("""COMPUTED_VALUE"""),46234.0)</f>
        <v>46234</v>
      </c>
    </row>
    <row r="3856">
      <c r="A3856" s="6" t="str">
        <f>IFERROR(__xludf.DUMMYFUNCTION("""COMPUTED_VALUE"""),"MOB")</f>
        <v>MOB</v>
      </c>
      <c r="B3856" s="6" t="str">
        <f>IFERROR(__xludf.DUMMYFUNCTION("""COMPUTED_VALUE"""),"ENG")</f>
        <v>ENG</v>
      </c>
      <c r="C3856" s="6" t="str">
        <f>IFERROR(__xludf.DUMMYFUNCTION("""COMPUTED_VALUE"""),"P-17645-00")</f>
        <v>P-17645-00</v>
      </c>
      <c r="D3856" s="6" t="str">
        <f>IFERROR(__xludf.DUMMYFUNCTION("""COMPUTED_VALUE"""),"Sodium Hiphoclorite; ; ; ltr")</f>
        <v>Sodium Hiphoclorite; ; ; ltr</v>
      </c>
      <c r="E3856" s="6">
        <f>IFERROR(__xludf.DUMMYFUNCTION("""COMPUTED_VALUE"""),120.0)</f>
        <v>120</v>
      </c>
      <c r="F3856" s="6">
        <f>IFERROR(__xludf.DUMMYFUNCTION("""COMPUTED_VALUE"""),120.0)</f>
        <v>120</v>
      </c>
      <c r="G3856" s="6">
        <f>IFERROR(__xludf.DUMMYFUNCTION("""COMPUTED_VALUE"""),0.0)</f>
        <v>0</v>
      </c>
      <c r="H3856" s="6" t="str">
        <f>IFERROR(__xludf.DUMMYFUNCTION("""COMPUTED_VALUE"""),"L")</f>
        <v>L</v>
      </c>
      <c r="I3856" s="6" t="str">
        <f>IFERROR(__xludf.DUMMYFUNCTION("""COMPUTED_VALUE"""),"MFH")</f>
        <v>MFH</v>
      </c>
      <c r="J3856" s="6" t="str">
        <f>IFERROR(__xludf.DUMMYFUNCTION("""COMPUTED_VALUE"""),"WWTP")</f>
        <v>WWTP</v>
      </c>
      <c r="K3856" s="6" t="str">
        <f>IFERROR(__xludf.DUMMYFUNCTION("""COMPUTED_VALUE"""),"SPR/07/26/004")</f>
        <v>SPR/07/26/004</v>
      </c>
      <c r="L3856" s="13">
        <f>IFERROR(__xludf.DUMMYFUNCTION("""COMPUTED_VALUE"""),46234.0)</f>
        <v>46234</v>
      </c>
    </row>
    <row r="3857">
      <c r="A3857" s="6" t="str">
        <f>IFERROR(__xludf.DUMMYFUNCTION("""COMPUTED_VALUE"""),"WAP")</f>
        <v>WAP</v>
      </c>
      <c r="B3857" s="6" t="str">
        <f>IFERROR(__xludf.DUMMYFUNCTION("""COMPUTED_VALUE"""),"ENG")</f>
        <v>ENG</v>
      </c>
      <c r="C3857" s="6" t="str">
        <f>IFERROR(__xludf.DUMMYFUNCTION("""COMPUTED_VALUE"""),"P-20640-00")</f>
        <v>P-20640-00</v>
      </c>
      <c r="D3857" s="6" t="str">
        <f>IFERROR(__xludf.DUMMYFUNCTION("""COMPUTED_VALUE"""),"General - Tee Tembaga 1/4inch; No Brand; -; 1 pc")</f>
        <v>General - Tee Tembaga 1/4inch; No Brand; -; 1 pc</v>
      </c>
      <c r="E3857" s="6">
        <f>IFERROR(__xludf.DUMMYFUNCTION("""COMPUTED_VALUE"""),1.0)</f>
        <v>1</v>
      </c>
      <c r="F3857" s="6">
        <f>IFERROR(__xludf.DUMMYFUNCTION("""COMPUTED_VALUE"""),1.0)</f>
        <v>1</v>
      </c>
      <c r="G3857" s="6">
        <f>IFERROR(__xludf.DUMMYFUNCTION("""COMPUTED_VALUE"""),0.0)</f>
        <v>0</v>
      </c>
      <c r="H3857" s="6" t="str">
        <f>IFERROR(__xludf.DUMMYFUNCTION("""COMPUTED_VALUE"""),"Pcs")</f>
        <v>Pcs</v>
      </c>
      <c r="I3857" s="6" t="str">
        <f>IFERROR(__xludf.DUMMYFUNCTION("""COMPUTED_VALUE"""),"MFH")</f>
        <v>MFH</v>
      </c>
      <c r="J3857" s="6" t="str">
        <f>IFERROR(__xludf.DUMMYFUNCTION("""COMPUTED_VALUE"""),"Lab")</f>
        <v>Lab</v>
      </c>
      <c r="K3857" s="6" t="str">
        <f>IFERROR(__xludf.DUMMYFUNCTION("""COMPUTED_VALUE"""),"SPR/07/26/005")</f>
        <v>SPR/07/26/005</v>
      </c>
      <c r="L3857" s="13">
        <f>IFERROR(__xludf.DUMMYFUNCTION("""COMPUTED_VALUE"""),46234.0)</f>
        <v>46234</v>
      </c>
    </row>
    <row r="3858">
      <c r="A3858" s="6" t="str">
        <f>IFERROR(__xludf.DUMMYFUNCTION("""COMPUTED_VALUE"""),"WAP")</f>
        <v>WAP</v>
      </c>
      <c r="B3858" s="6" t="str">
        <f>IFERROR(__xludf.DUMMYFUNCTION("""COMPUTED_VALUE"""),"ENG")</f>
        <v>ENG</v>
      </c>
      <c r="C3858" s="6" t="str">
        <f>IFERROR(__xludf.DUMMYFUNCTION("""COMPUTED_VALUE"""),"P-20642-00")</f>
        <v>P-20642-00</v>
      </c>
      <c r="D3858" s="6" t="str">
        <f>IFERROR(__xludf.DUMMYFUNCTION("""COMPUTED_VALUE"""),"General - Quick Connector STWM 1/4 Male JIC; Swagelok; -; 1 pc")</f>
        <v>General - Quick Connector STWM 1/4 Male JIC; Swagelok; -; 1 pc</v>
      </c>
      <c r="E3858" s="6">
        <f>IFERROR(__xludf.DUMMYFUNCTION("""COMPUTED_VALUE"""),1.0)</f>
        <v>1</v>
      </c>
      <c r="F3858" s="6">
        <f>IFERROR(__xludf.DUMMYFUNCTION("""COMPUTED_VALUE"""),1.0)</f>
        <v>1</v>
      </c>
      <c r="G3858" s="6">
        <f>IFERROR(__xludf.DUMMYFUNCTION("""COMPUTED_VALUE"""),0.0)</f>
        <v>0</v>
      </c>
      <c r="H3858" s="6" t="str">
        <f>IFERROR(__xludf.DUMMYFUNCTION("""COMPUTED_VALUE"""),"Pcs")</f>
        <v>Pcs</v>
      </c>
      <c r="I3858" s="6" t="str">
        <f>IFERROR(__xludf.DUMMYFUNCTION("""COMPUTED_VALUE"""),"MFH")</f>
        <v>MFH</v>
      </c>
      <c r="J3858" s="6" t="str">
        <f>IFERROR(__xludf.DUMMYFUNCTION("""COMPUTED_VALUE"""),"Lab")</f>
        <v>Lab</v>
      </c>
      <c r="K3858" s="6" t="str">
        <f>IFERROR(__xludf.DUMMYFUNCTION("""COMPUTED_VALUE"""),"SPR/07/26/006")</f>
        <v>SPR/07/26/006</v>
      </c>
      <c r="L3858" s="13">
        <f>IFERROR(__xludf.DUMMYFUNCTION("""COMPUTED_VALUE"""),46234.0)</f>
        <v>46234</v>
      </c>
    </row>
    <row r="3859">
      <c r="A3859" s="6" t="str">
        <f>IFERROR(__xludf.DUMMYFUNCTION("""COMPUTED_VALUE"""),"WAP")</f>
        <v>WAP</v>
      </c>
      <c r="B3859" s="6" t="str">
        <f>IFERROR(__xludf.DUMMYFUNCTION("""COMPUTED_VALUE"""),"ENG")</f>
        <v>ENG</v>
      </c>
      <c r="C3859" s="6" t="str">
        <f>IFERROR(__xludf.DUMMYFUNCTION("""COMPUTED_VALUE"""),"P-20641-00")</f>
        <v>P-20641-00</v>
      </c>
      <c r="D3859" s="6" t="str">
        <f>IFERROR(__xludf.DUMMYFUNCTION("""COMPUTED_VALUE"""),"General - Regulator Gas 300 Bar; Harris`; 901; 1 pc")</f>
        <v>General - Regulator Gas 300 Bar; Harris`; 901; 1 pc</v>
      </c>
      <c r="E3859" s="6">
        <f>IFERROR(__xludf.DUMMYFUNCTION("""COMPUTED_VALUE"""),1.0)</f>
        <v>1</v>
      </c>
      <c r="F3859" s="6">
        <f>IFERROR(__xludf.DUMMYFUNCTION("""COMPUTED_VALUE"""),1.0)</f>
        <v>1</v>
      </c>
      <c r="G3859" s="6">
        <f>IFERROR(__xludf.DUMMYFUNCTION("""COMPUTED_VALUE"""),0.0)</f>
        <v>0</v>
      </c>
      <c r="H3859" s="6" t="str">
        <f>IFERROR(__xludf.DUMMYFUNCTION("""COMPUTED_VALUE"""),"Pcs")</f>
        <v>Pcs</v>
      </c>
      <c r="I3859" s="6" t="str">
        <f>IFERROR(__xludf.DUMMYFUNCTION("""COMPUTED_VALUE"""),"MFH")</f>
        <v>MFH</v>
      </c>
      <c r="J3859" s="6" t="str">
        <f>IFERROR(__xludf.DUMMYFUNCTION("""COMPUTED_VALUE"""),"Lab")</f>
        <v>Lab</v>
      </c>
      <c r="K3859" s="6" t="str">
        <f>IFERROR(__xludf.DUMMYFUNCTION("""COMPUTED_VALUE"""),"SPR/07/26/006")</f>
        <v>SPR/07/26/006</v>
      </c>
      <c r="L3859" s="13">
        <f>IFERROR(__xludf.DUMMYFUNCTION("""COMPUTED_VALUE"""),46234.0)</f>
        <v>46234</v>
      </c>
    </row>
    <row r="3860">
      <c r="A3860" s="6" t="str">
        <f>IFERROR(__xludf.DUMMYFUNCTION("""COMPUTED_VALUE"""),"WAP")</f>
        <v>WAP</v>
      </c>
      <c r="B3860" s="6" t="str">
        <f>IFERROR(__xludf.DUMMYFUNCTION("""COMPUTED_VALUE"""),"ENG")</f>
        <v>ENG</v>
      </c>
      <c r="C3860" s="6" t="str">
        <f>IFERROR(__xludf.DUMMYFUNCTION("""COMPUTED_VALUE"""),"P-20639-00")</f>
        <v>P-20639-00</v>
      </c>
      <c r="D3860" s="6" t="str">
        <f>IFERROR(__xludf.DUMMYFUNCTION("""COMPUTED_VALUE"""),"General - Pipa Tembaga Dia. 4mm; No Brand; -; 1 meter")</f>
        <v>General - Pipa Tembaga Dia. 4mm; No Brand; -; 1 meter</v>
      </c>
      <c r="E3860" s="6">
        <f>IFERROR(__xludf.DUMMYFUNCTION("""COMPUTED_VALUE"""),1.0)</f>
        <v>1</v>
      </c>
      <c r="F3860" s="6">
        <f>IFERROR(__xludf.DUMMYFUNCTION("""COMPUTED_VALUE"""),1.0)</f>
        <v>1</v>
      </c>
      <c r="G3860" s="6">
        <f>IFERROR(__xludf.DUMMYFUNCTION("""COMPUTED_VALUE"""),0.0)</f>
        <v>0</v>
      </c>
      <c r="H3860" s="6" t="str">
        <f>IFERROR(__xludf.DUMMYFUNCTION("""COMPUTED_VALUE"""),"Pcs")</f>
        <v>Pcs</v>
      </c>
      <c r="I3860" s="6" t="str">
        <f>IFERROR(__xludf.DUMMYFUNCTION("""COMPUTED_VALUE"""),"MFH")</f>
        <v>MFH</v>
      </c>
      <c r="J3860" s="6" t="str">
        <f>IFERROR(__xludf.DUMMYFUNCTION("""COMPUTED_VALUE"""),"Lab")</f>
        <v>Lab</v>
      </c>
      <c r="K3860" s="6" t="str">
        <f>IFERROR(__xludf.DUMMYFUNCTION("""COMPUTED_VALUE"""),"SPR/07/26/006")</f>
        <v>SPR/07/26/006</v>
      </c>
      <c r="L3860" s="13">
        <f>IFERROR(__xludf.DUMMYFUNCTION("""COMPUTED_VALUE"""),46234.0)</f>
        <v>46234</v>
      </c>
    </row>
    <row r="3861">
      <c r="A3861" s="6" t="str">
        <f>IFERROR(__xludf.DUMMYFUNCTION("""COMPUTED_VALUE"""),"MOB")</f>
        <v>MOB</v>
      </c>
      <c r="B3861" s="6" t="str">
        <f>IFERROR(__xludf.DUMMYFUNCTION("""COMPUTED_VALUE"""),"ENG")</f>
        <v>ENG</v>
      </c>
      <c r="C3861" s="6" t="str">
        <f>IFERROR(__xludf.DUMMYFUNCTION("""COMPUTED_VALUE"""),"O-54006-00")</f>
        <v>O-54006-00</v>
      </c>
      <c r="D3861" s="6" t="str">
        <f>IFERROR(__xludf.DUMMYFUNCTION("""COMPUTED_VALUE"""),"General - MCB 1 PHASE 10 AMPERE; Schneider; -; 1 Pc")</f>
        <v>General - MCB 1 PHASE 10 AMPERE; Schneider; -; 1 Pc</v>
      </c>
      <c r="E3861" s="6">
        <f>IFERROR(__xludf.DUMMYFUNCTION("""COMPUTED_VALUE"""),1.0)</f>
        <v>1</v>
      </c>
      <c r="F3861" s="6">
        <f>IFERROR(__xludf.DUMMYFUNCTION("""COMPUTED_VALUE"""),1.0)</f>
        <v>1</v>
      </c>
      <c r="G3861" s="6">
        <f>IFERROR(__xludf.DUMMYFUNCTION("""COMPUTED_VALUE"""),0.0)</f>
        <v>0</v>
      </c>
      <c r="H3861" s="6" t="str">
        <f>IFERROR(__xludf.DUMMYFUNCTION("""COMPUTED_VALUE"""),"Pcs")</f>
        <v>Pcs</v>
      </c>
      <c r="I3861" s="6" t="str">
        <f>IFERROR(__xludf.DUMMYFUNCTION("""COMPUTED_VALUE"""),"MFH")</f>
        <v>MFH</v>
      </c>
      <c r="J3861" s="6" t="str">
        <f>IFERROR(__xludf.DUMMYFUNCTION("""COMPUTED_VALUE"""),"-")</f>
        <v>-</v>
      </c>
      <c r="K3861" s="6" t="str">
        <f>IFERROR(__xludf.DUMMYFUNCTION("""COMPUTED_VALUE"""),"SPR/07/26/007")</f>
        <v>SPR/07/26/007</v>
      </c>
      <c r="L3861" s="13">
        <f>IFERROR(__xludf.DUMMYFUNCTION("""COMPUTED_VALUE"""),46234.0)</f>
        <v>46234</v>
      </c>
    </row>
    <row r="3862">
      <c r="A3862" s="6" t="str">
        <f>IFERROR(__xludf.DUMMYFUNCTION("""COMPUTED_VALUE"""),"ERA")</f>
        <v>ERA</v>
      </c>
      <c r="B3862" s="6" t="str">
        <f>IFERROR(__xludf.DUMMYFUNCTION("""COMPUTED_VALUE"""),"ENG")</f>
        <v>ENG</v>
      </c>
      <c r="C3862" s="6" t="str">
        <f>IFERROR(__xludf.DUMMYFUNCTION("""COMPUTED_VALUE"""),"P-12265-00")</f>
        <v>P-12265-00</v>
      </c>
      <c r="D3862" s="6" t="str">
        <f>IFERROR(__xludf.DUMMYFUNCTION("""COMPUTED_VALUE"""),"FESTO - Push In Connector QS-8-6 p/n 153038")</f>
        <v>FESTO - Push In Connector QS-8-6 p/n 153038</v>
      </c>
      <c r="E3862" s="6">
        <f>IFERROR(__xludf.DUMMYFUNCTION("""COMPUTED_VALUE"""),1.0)</f>
        <v>1</v>
      </c>
      <c r="F3862" s="6">
        <f>IFERROR(__xludf.DUMMYFUNCTION("""COMPUTED_VALUE"""),1.0)</f>
        <v>1</v>
      </c>
      <c r="G3862" s="6">
        <f>IFERROR(__xludf.DUMMYFUNCTION("""COMPUTED_VALUE"""),0.0)</f>
        <v>0</v>
      </c>
      <c r="H3862" s="6" t="str">
        <f>IFERROR(__xludf.DUMMYFUNCTION("""COMPUTED_VALUE"""),"Pcs")</f>
        <v>Pcs</v>
      </c>
      <c r="I3862" s="6" t="str">
        <f>IFERROR(__xludf.DUMMYFUNCTION("""COMPUTED_VALUE"""),"MFH")</f>
        <v>MFH</v>
      </c>
      <c r="J3862" s="6" t="str">
        <f>IFERROR(__xludf.DUMMYFUNCTION("""COMPUTED_VALUE"""),"Chamber")</f>
        <v>Chamber</v>
      </c>
      <c r="K3862" s="6" t="str">
        <f>IFERROR(__xludf.DUMMYFUNCTION("""COMPUTED_VALUE"""),"SPR/07/26/008")</f>
        <v>SPR/07/26/008</v>
      </c>
      <c r="L3862" s="13">
        <f>IFERROR(__xludf.DUMMYFUNCTION("""COMPUTED_VALUE"""),46234.0)</f>
        <v>46234</v>
      </c>
    </row>
    <row r="3863">
      <c r="A3863" s="6" t="str">
        <f>IFERROR(__xludf.DUMMYFUNCTION("""COMPUTED_VALUE"""),"BDU")</f>
        <v>BDU</v>
      </c>
      <c r="B3863" s="6" t="str">
        <f>IFERROR(__xludf.DUMMYFUNCTION("""COMPUTED_VALUE"""),"ENG")</f>
        <v>ENG</v>
      </c>
      <c r="C3863" s="6" t="str">
        <f>IFERROR(__xludf.DUMMYFUNCTION("""COMPUTED_VALUE"""),"P-10945-00")</f>
        <v>P-10945-00</v>
      </c>
      <c r="D3863" s="6" t="str">
        <f>IFERROR(__xludf.DUMMYFUNCTION("""COMPUTED_VALUE"""),"Insulation - Seal Tape onda")</f>
        <v>Insulation - Seal Tape onda</v>
      </c>
      <c r="E3863" s="6">
        <f>IFERROR(__xludf.DUMMYFUNCTION("""COMPUTED_VALUE"""),1.0)</f>
        <v>1</v>
      </c>
      <c r="F3863" s="6">
        <f>IFERROR(__xludf.DUMMYFUNCTION("""COMPUTED_VALUE"""),1.0)</f>
        <v>1</v>
      </c>
      <c r="G3863" s="6">
        <f>IFERROR(__xludf.DUMMYFUNCTION("""COMPUTED_VALUE"""),0.0)</f>
        <v>0</v>
      </c>
      <c r="H3863" s="6" t="str">
        <f>IFERROR(__xludf.DUMMYFUNCTION("""COMPUTED_VALUE"""),"Pcs")</f>
        <v>Pcs</v>
      </c>
      <c r="I3863" s="6" t="str">
        <f>IFERROR(__xludf.DUMMYFUNCTION("""COMPUTED_VALUE"""),"MFH")</f>
        <v>MFH</v>
      </c>
      <c r="J3863" s="6" t="str">
        <f>IFERROR(__xludf.DUMMYFUNCTION("""COMPUTED_VALUE"""),"MS30")</f>
        <v>MS30</v>
      </c>
      <c r="K3863" s="6" t="str">
        <f>IFERROR(__xludf.DUMMYFUNCTION("""COMPUTED_VALUE"""),"SPR/07/26/009")</f>
        <v>SPR/07/26/009</v>
      </c>
      <c r="L3863" s="13">
        <f>IFERROR(__xludf.DUMMYFUNCTION("""COMPUTED_VALUE"""),46234.0)</f>
        <v>46234</v>
      </c>
    </row>
    <row r="3864">
      <c r="A3864" s="6" t="str">
        <f>IFERROR(__xludf.DUMMYFUNCTION("""COMPUTED_VALUE"""),"ANO")</f>
        <v>ANO</v>
      </c>
      <c r="B3864" s="6" t="str">
        <f>IFERROR(__xludf.DUMMYFUNCTION("""COMPUTED_VALUE"""),"ENG")</f>
        <v>ENG</v>
      </c>
      <c r="C3864" s="6" t="str">
        <f>IFERROR(__xludf.DUMMYFUNCTION("""COMPUTED_VALUE"""),"P-20530-00")</f>
        <v>P-20530-00</v>
      </c>
      <c r="D3864" s="6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E3864" s="6">
        <f>IFERROR(__xludf.DUMMYFUNCTION("""COMPUTED_VALUE"""),1.0)</f>
        <v>1</v>
      </c>
      <c r="F3864" s="6">
        <f>IFERROR(__xludf.DUMMYFUNCTION("""COMPUTED_VALUE"""),1.0)</f>
        <v>1</v>
      </c>
      <c r="G3864" s="6">
        <f>IFERROR(__xludf.DUMMYFUNCTION("""COMPUTED_VALUE"""),0.0)</f>
        <v>0</v>
      </c>
      <c r="H3864" s="6" t="str">
        <f>IFERROR(__xludf.DUMMYFUNCTION("""COMPUTED_VALUE"""),"Pcs")</f>
        <v>Pcs</v>
      </c>
      <c r="I3864" s="6" t="str">
        <f>IFERROR(__xludf.DUMMYFUNCTION("""COMPUTED_VALUE"""),"MFH")</f>
        <v>MFH</v>
      </c>
      <c r="J3864" s="6" t="str">
        <f>IFERROR(__xludf.DUMMYFUNCTION("""COMPUTED_VALUE"""),"AHU")</f>
        <v>AHU</v>
      </c>
      <c r="K3864" s="6" t="str">
        <f>IFERROR(__xludf.DUMMYFUNCTION("""COMPUTED_VALUE"""),"SPR/07/26/010")</f>
        <v>SPR/07/26/010</v>
      </c>
      <c r="L3864" s="13">
        <f>IFERROR(__xludf.DUMMYFUNCTION("""COMPUTED_VALUE"""),46234.0)</f>
        <v>46234</v>
      </c>
    </row>
    <row r="3865">
      <c r="A3865" s="6" t="str">
        <f>IFERROR(__xludf.DUMMYFUNCTION("""COMPUTED_VALUE"""),"ANO")</f>
        <v>ANO</v>
      </c>
      <c r="B3865" s="6" t="str">
        <f>IFERROR(__xludf.DUMMYFUNCTION("""COMPUTED_VALUE"""),"ENG")</f>
        <v>ENG</v>
      </c>
      <c r="C3865" s="6" t="str">
        <f>IFERROR(__xludf.DUMMYFUNCTION("""COMPUTED_VALUE"""),"P-20531-00")</f>
        <v>P-20531-00</v>
      </c>
      <c r="D3865" s="6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E3865" s="6">
        <f>IFERROR(__xludf.DUMMYFUNCTION("""COMPUTED_VALUE"""),1.0)</f>
        <v>1</v>
      </c>
      <c r="F3865" s="6">
        <f>IFERROR(__xludf.DUMMYFUNCTION("""COMPUTED_VALUE"""),1.0)</f>
        <v>1</v>
      </c>
      <c r="G3865" s="6">
        <f>IFERROR(__xludf.DUMMYFUNCTION("""COMPUTED_VALUE"""),0.0)</f>
        <v>0</v>
      </c>
      <c r="H3865" s="6" t="str">
        <f>IFERROR(__xludf.DUMMYFUNCTION("""COMPUTED_VALUE"""),"Pcs")</f>
        <v>Pcs</v>
      </c>
      <c r="I3865" s="6" t="str">
        <f>IFERROR(__xludf.DUMMYFUNCTION("""COMPUTED_VALUE"""),"MFH")</f>
        <v>MFH</v>
      </c>
      <c r="J3865" s="6" t="str">
        <f>IFERROR(__xludf.DUMMYFUNCTION("""COMPUTED_VALUE"""),"AHU")</f>
        <v>AHU</v>
      </c>
      <c r="K3865" s="6" t="str">
        <f>IFERROR(__xludf.DUMMYFUNCTION("""COMPUTED_VALUE"""),"SPR/07/26/010")</f>
        <v>SPR/07/26/010</v>
      </c>
      <c r="L3865" s="13">
        <f>IFERROR(__xludf.DUMMYFUNCTION("""COMPUTED_VALUE"""),46234.0)</f>
        <v>46234</v>
      </c>
    </row>
    <row r="3866">
      <c r="A3866" s="6" t="str">
        <f>IFERROR(__xludf.DUMMYFUNCTION("""COMPUTED_VALUE"""),"KFF")</f>
        <v>KFF</v>
      </c>
      <c r="B3866" s="6" t="str">
        <f>IFERROR(__xludf.DUMMYFUNCTION("""COMPUTED_VALUE"""),"ENG")</f>
        <v>ENG</v>
      </c>
      <c r="C3866" s="6" t="str">
        <f>IFERROR(__xludf.DUMMYFUNCTION("""COMPUTED_VALUE"""),"O-16032-00")</f>
        <v>O-16032-00</v>
      </c>
      <c r="D3866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3866" s="6">
        <f>IFERROR(__xludf.DUMMYFUNCTION("""COMPUTED_VALUE"""),1.0)</f>
        <v>1</v>
      </c>
      <c r="F3866" s="6">
        <f>IFERROR(__xludf.DUMMYFUNCTION("""COMPUTED_VALUE"""),1.0)</f>
        <v>1</v>
      </c>
      <c r="G3866" s="6">
        <f>IFERROR(__xludf.DUMMYFUNCTION("""COMPUTED_VALUE"""),0.0)</f>
        <v>0</v>
      </c>
      <c r="H3866" s="6" t="str">
        <f>IFERROR(__xludf.DUMMYFUNCTION("""COMPUTED_VALUE"""),"Pcs")</f>
        <v>Pcs</v>
      </c>
      <c r="I3866" s="6" t="str">
        <f>IFERROR(__xludf.DUMMYFUNCTION("""COMPUTED_VALUE"""),"MFH")</f>
        <v>MFH</v>
      </c>
      <c r="J3866" s="6" t="str">
        <f>IFERROR(__xludf.DUMMYFUNCTION("""COMPUTED_VALUE"""),"cRABS")</f>
        <v>cRABS</v>
      </c>
      <c r="K3866" s="6" t="str">
        <f>IFERROR(__xludf.DUMMYFUNCTION("""COMPUTED_VALUE"""),"SPR/07/26/011")</f>
        <v>SPR/07/26/011</v>
      </c>
      <c r="L3866" s="13">
        <f>IFERROR(__xludf.DUMMYFUNCTION("""COMPUTED_VALUE"""),46234.0)</f>
        <v>46234</v>
      </c>
    </row>
    <row r="3867">
      <c r="A3867" s="6" t="str">
        <f>IFERROR(__xludf.DUMMYFUNCTION("""COMPUTED_VALUE"""),"ROS")</f>
        <v>ROS</v>
      </c>
      <c r="B3867" s="6" t="str">
        <f>IFERROR(__xludf.DUMMYFUNCTION("""COMPUTED_VALUE"""),"ENG")</f>
        <v>ENG</v>
      </c>
      <c r="C3867" s="6" t="str">
        <f>IFERROR(__xludf.DUMMYFUNCTION("""COMPUTED_VALUE"""),"O-16647-00")</f>
        <v>O-16647-00</v>
      </c>
      <c r="D3867" s="6" t="str">
        <f>IFERROR(__xludf.DUMMYFUNCTION("""COMPUTED_VALUE"""),"Washing RAR4 - Oring Silicone Merah 23x18x2.5 mm; ; ;")</f>
        <v>Washing RAR4 - Oring Silicone Merah 23x18x2.5 mm; ; ;</v>
      </c>
      <c r="E3867" s="6">
        <f>IFERROR(__xludf.DUMMYFUNCTION("""COMPUTED_VALUE"""),10.0)</f>
        <v>10</v>
      </c>
      <c r="F3867" s="6">
        <f>IFERROR(__xludf.DUMMYFUNCTION("""COMPUTED_VALUE"""),10.0)</f>
        <v>10</v>
      </c>
      <c r="G3867" s="6">
        <f>IFERROR(__xludf.DUMMYFUNCTION("""COMPUTED_VALUE"""),0.0)</f>
        <v>0</v>
      </c>
      <c r="H3867" s="6" t="str">
        <f>IFERROR(__xludf.DUMMYFUNCTION("""COMPUTED_VALUE"""),"Pcs")</f>
        <v>Pcs</v>
      </c>
      <c r="I3867" s="6" t="str">
        <f>IFERROR(__xludf.DUMMYFUNCTION("""COMPUTED_VALUE"""),"MFH")</f>
        <v>MFH</v>
      </c>
      <c r="J3867" s="6" t="str">
        <f>IFERROR(__xludf.DUMMYFUNCTION("""COMPUTED_VALUE"""),"Capping")</f>
        <v>Capping</v>
      </c>
      <c r="K3867" s="6" t="str">
        <f>IFERROR(__xludf.DUMMYFUNCTION("""COMPUTED_VALUE"""),"SPR/07/26/012")</f>
        <v>SPR/07/26/012</v>
      </c>
      <c r="L3867" s="13">
        <f>IFERROR(__xludf.DUMMYFUNCTION("""COMPUTED_VALUE"""),46234.0)</f>
        <v>46234</v>
      </c>
    </row>
    <row r="3868">
      <c r="A3868" s="6" t="str">
        <f>IFERROR(__xludf.DUMMYFUNCTION("""COMPUTED_VALUE"""),"ROS")</f>
        <v>ROS</v>
      </c>
      <c r="B3868" s="6" t="str">
        <f>IFERROR(__xludf.DUMMYFUNCTION("""COMPUTED_VALUE"""),"ENG")</f>
        <v>ENG</v>
      </c>
      <c r="C3868" s="6" t="str">
        <f>IFERROR(__xludf.DUMMYFUNCTION("""COMPUTED_VALUE"""),"O-53463-00")</f>
        <v>O-53463-00</v>
      </c>
      <c r="D3868" s="6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E3868" s="6">
        <f>IFERROR(__xludf.DUMMYFUNCTION("""COMPUTED_VALUE"""),1.0)</f>
        <v>1</v>
      </c>
      <c r="F3868" s="6">
        <f>IFERROR(__xludf.DUMMYFUNCTION("""COMPUTED_VALUE"""),1.0)</f>
        <v>1</v>
      </c>
      <c r="G3868" s="6">
        <f>IFERROR(__xludf.DUMMYFUNCTION("""COMPUTED_VALUE"""),0.0)</f>
        <v>0</v>
      </c>
      <c r="H3868" s="6" t="str">
        <f>IFERROR(__xludf.DUMMYFUNCTION("""COMPUTED_VALUE"""),"Pcs")</f>
        <v>Pcs</v>
      </c>
      <c r="I3868" s="6" t="str">
        <f>IFERROR(__xludf.DUMMYFUNCTION("""COMPUTED_VALUE"""),"MFH")</f>
        <v>MFH</v>
      </c>
      <c r="J3868" s="6" t="str">
        <f>IFERROR(__xludf.DUMMYFUNCTION("""COMPUTED_VALUE"""),"Autoclave")</f>
        <v>Autoclave</v>
      </c>
      <c r="K3868" s="6" t="str">
        <f>IFERROR(__xludf.DUMMYFUNCTION("""COMPUTED_VALUE"""),"SPR/07/26/013")</f>
        <v>SPR/07/26/013</v>
      </c>
      <c r="L3868" s="13">
        <f>IFERROR(__xludf.DUMMYFUNCTION("""COMPUTED_VALUE"""),46234.0)</f>
        <v>46234</v>
      </c>
    </row>
    <row r="3869">
      <c r="A3869" s="6" t="str">
        <f>IFERROR(__xludf.DUMMYFUNCTION("""COMPUTED_VALUE"""),"NDS")</f>
        <v>NDS</v>
      </c>
      <c r="B3869" s="6" t="str">
        <f>IFERROR(__xludf.DUMMYFUNCTION("""COMPUTED_VALUE"""),"ENG")</f>
        <v>ENG</v>
      </c>
      <c r="C3869" s="6" t="str">
        <f>IFERROR(__xludf.DUMMYFUNCTION("""COMPUTED_VALUE"""),"P-14951-00")</f>
        <v>P-14951-00</v>
      </c>
      <c r="D3869" s="6" t="str">
        <f>IFERROR(__xludf.DUMMYFUNCTION("""COMPUTED_VALUE"""),"Fitting Union Tee KQ2T06-00A; ; ;")</f>
        <v>Fitting Union Tee KQ2T06-00A; ; ;</v>
      </c>
      <c r="E3869" s="6">
        <f>IFERROR(__xludf.DUMMYFUNCTION("""COMPUTED_VALUE"""),1.0)</f>
        <v>1</v>
      </c>
      <c r="F3869" s="6">
        <f>IFERROR(__xludf.DUMMYFUNCTION("""COMPUTED_VALUE"""),1.0)</f>
        <v>1</v>
      </c>
      <c r="G3869" s="6">
        <f>IFERROR(__xludf.DUMMYFUNCTION("""COMPUTED_VALUE"""),0.0)</f>
        <v>0</v>
      </c>
      <c r="H3869" s="6" t="str">
        <f>IFERROR(__xludf.DUMMYFUNCTION("""COMPUTED_VALUE"""),"Pcs")</f>
        <v>Pcs</v>
      </c>
      <c r="I3869" s="6" t="str">
        <f>IFERROR(__xludf.DUMMYFUNCTION("""COMPUTED_VALUE"""),"MFH")</f>
        <v>MFH</v>
      </c>
      <c r="J3869" s="6" t="str">
        <f>IFERROR(__xludf.DUMMYFUNCTION("""COMPUTED_VALUE"""),"cRABS")</f>
        <v>cRABS</v>
      </c>
      <c r="K3869" s="6" t="str">
        <f>IFERROR(__xludf.DUMMYFUNCTION("""COMPUTED_VALUE"""),"SPR/07/26/014")</f>
        <v>SPR/07/26/014</v>
      </c>
      <c r="L3869" s="13">
        <f>IFERROR(__xludf.DUMMYFUNCTION("""COMPUTED_VALUE"""),46234.0)</f>
        <v>46234</v>
      </c>
    </row>
    <row r="3870">
      <c r="A3870" s="6" t="str">
        <f>IFERROR(__xludf.DUMMYFUNCTION("""COMPUTED_VALUE"""),"BDU")</f>
        <v>BDU</v>
      </c>
      <c r="B3870" s="6" t="str">
        <f>IFERROR(__xludf.DUMMYFUNCTION("""COMPUTED_VALUE"""),"ENG")</f>
        <v>ENG</v>
      </c>
      <c r="C3870" s="6" t="str">
        <f>IFERROR(__xludf.DUMMYFUNCTION("""COMPUTED_VALUE"""),"O-16647-00")</f>
        <v>O-16647-00</v>
      </c>
      <c r="D3870" s="6" t="str">
        <f>IFERROR(__xludf.DUMMYFUNCTION("""COMPUTED_VALUE"""),"Washing RAR4 - Oring Silicone Merah 23x18x2.5 mm; ; ;")</f>
        <v>Washing RAR4 - Oring Silicone Merah 23x18x2.5 mm; ; ;</v>
      </c>
      <c r="E3870" s="6">
        <f>IFERROR(__xludf.DUMMYFUNCTION("""COMPUTED_VALUE"""),10.0)</f>
        <v>10</v>
      </c>
      <c r="F3870" s="6">
        <f>IFERROR(__xludf.DUMMYFUNCTION("""COMPUTED_VALUE"""),10.0)</f>
        <v>10</v>
      </c>
      <c r="G3870" s="6">
        <f>IFERROR(__xludf.DUMMYFUNCTION("""COMPUTED_VALUE"""),0.0)</f>
        <v>0</v>
      </c>
      <c r="H3870" s="6" t="str">
        <f>IFERROR(__xludf.DUMMYFUNCTION("""COMPUTED_VALUE"""),"Pcs")</f>
        <v>Pcs</v>
      </c>
      <c r="I3870" s="6" t="str">
        <f>IFERROR(__xludf.DUMMYFUNCTION("""COMPUTED_VALUE"""),"MFH")</f>
        <v>MFH</v>
      </c>
      <c r="J3870" s="6" t="str">
        <f>IFERROR(__xludf.DUMMYFUNCTION("""COMPUTED_VALUE"""),"Capping")</f>
        <v>Capping</v>
      </c>
      <c r="K3870" s="6" t="str">
        <f>IFERROR(__xludf.DUMMYFUNCTION("""COMPUTED_VALUE"""),"SPR/07/26/015")</f>
        <v>SPR/07/26/015</v>
      </c>
      <c r="L3870" s="13">
        <f>IFERROR(__xludf.DUMMYFUNCTION("""COMPUTED_VALUE"""),46234.0)</f>
        <v>46234</v>
      </c>
    </row>
    <row r="3871">
      <c r="A3871" s="6" t="str">
        <f>IFERROR(__xludf.DUMMYFUNCTION("""COMPUTED_VALUE"""),"ROS")</f>
        <v>ROS</v>
      </c>
      <c r="B3871" s="6" t="str">
        <f>IFERROR(__xludf.DUMMYFUNCTION("""COMPUTED_VALUE"""),"ENG")</f>
        <v>ENG</v>
      </c>
      <c r="C3871" s="6" t="str">
        <f>IFERROR(__xludf.DUMMYFUNCTION("""COMPUTED_VALUE"""),"O-15918-00")</f>
        <v>O-15918-00</v>
      </c>
      <c r="D3871" s="6" t="str">
        <f>IFERROR(__xludf.DUMMYFUNCTION("""COMPUTED_VALUE"""),"Fedegari FVA2/A1 - O-RING 15.47x3.53 ; Code : CC150170")</f>
        <v>Fedegari FVA2/A1 - O-RING 15.47x3.53 ; Code : CC150170</v>
      </c>
      <c r="E3871" s="6">
        <f>IFERROR(__xludf.DUMMYFUNCTION("""COMPUTED_VALUE"""),3.0)</f>
        <v>3</v>
      </c>
      <c r="F3871" s="6">
        <f>IFERROR(__xludf.DUMMYFUNCTION("""COMPUTED_VALUE"""),3.0)</f>
        <v>3</v>
      </c>
      <c r="G3871" s="6">
        <f>IFERROR(__xludf.DUMMYFUNCTION("""COMPUTED_VALUE"""),0.0)</f>
        <v>0</v>
      </c>
      <c r="H3871" s="6" t="str">
        <f>IFERROR(__xludf.DUMMYFUNCTION("""COMPUTED_VALUE"""),"Pcs")</f>
        <v>Pcs</v>
      </c>
      <c r="I3871" s="6" t="str">
        <f>IFERROR(__xludf.DUMMYFUNCTION("""COMPUTED_VALUE"""),"MFH")</f>
        <v>MFH</v>
      </c>
      <c r="J3871" s="6" t="str">
        <f>IFERROR(__xludf.DUMMYFUNCTION("""COMPUTED_VALUE"""),"Autoclave")</f>
        <v>Autoclave</v>
      </c>
      <c r="K3871" s="6" t="str">
        <f>IFERROR(__xludf.DUMMYFUNCTION("""COMPUTED_VALUE"""),"SPR/07/26/016")</f>
        <v>SPR/07/26/016</v>
      </c>
      <c r="L3871" s="13">
        <f>IFERROR(__xludf.DUMMYFUNCTION("""COMPUTED_VALUE"""),46234.0)</f>
        <v>46234</v>
      </c>
    </row>
    <row r="3872">
      <c r="A3872" s="6" t="str">
        <f>IFERROR(__xludf.DUMMYFUNCTION("""COMPUTED_VALUE"""),"RIA")</f>
        <v>RIA</v>
      </c>
      <c r="B3872" s="6" t="str">
        <f>IFERROR(__xludf.DUMMYFUNCTION("""COMPUTED_VALUE"""),"ENG")</f>
        <v>ENG</v>
      </c>
      <c r="C3872" s="6" t="str">
        <f>IFERROR(__xludf.DUMMYFUNCTION("""COMPUTED_VALUE"""),"T-80109-00")</f>
        <v>T-80109-00</v>
      </c>
      <c r="D3872" s="6" t="str">
        <f>IFERROR(__xludf.DUMMYFUNCTION("""COMPUTED_VALUE"""),"Cellotape Kertas 1 inch warna Putih")</f>
        <v>Cellotape Kertas 1 inch warna Putih</v>
      </c>
      <c r="E3872" s="6">
        <f>IFERROR(__xludf.DUMMYFUNCTION("""COMPUTED_VALUE"""),2.0)</f>
        <v>2</v>
      </c>
      <c r="F3872" s="6">
        <f>IFERROR(__xludf.DUMMYFUNCTION("""COMPUTED_VALUE"""),2.0)</f>
        <v>2</v>
      </c>
      <c r="G3872" s="6">
        <f>IFERROR(__xludf.DUMMYFUNCTION("""COMPUTED_VALUE"""),0.0)</f>
        <v>0</v>
      </c>
      <c r="H3872" s="6" t="str">
        <f>IFERROR(__xludf.DUMMYFUNCTION("""COMPUTED_VALUE"""),"Pcs")</f>
        <v>Pcs</v>
      </c>
      <c r="I3872" s="6" t="str">
        <f>IFERROR(__xludf.DUMMYFUNCTION("""COMPUTED_VALUE"""),"MFH")</f>
        <v>MFH</v>
      </c>
      <c r="J3872" s="6" t="str">
        <f>IFERROR(__xludf.DUMMYFUNCTION("""COMPUTED_VALUE"""),"-")</f>
        <v>-</v>
      </c>
      <c r="K3872" s="6" t="str">
        <f>IFERROR(__xludf.DUMMYFUNCTION("""COMPUTED_VALUE"""),"SPR/07/26/017")</f>
        <v>SPR/07/26/017</v>
      </c>
      <c r="L3872" s="13">
        <f>IFERROR(__xludf.DUMMYFUNCTION("""COMPUTED_VALUE"""),46234.0)</f>
        <v>46234</v>
      </c>
    </row>
    <row r="3873">
      <c r="A3873" s="6" t="str">
        <f>IFERROR(__xludf.DUMMYFUNCTION("""COMPUTED_VALUE"""),"RIA")</f>
        <v>RIA</v>
      </c>
      <c r="B3873" s="6" t="str">
        <f>IFERROR(__xludf.DUMMYFUNCTION("""COMPUTED_VALUE"""),"ENG")</f>
        <v>ENG</v>
      </c>
      <c r="C3873" s="6" t="str">
        <f>IFERROR(__xludf.DUMMYFUNCTION("""COMPUTED_VALUE"""),"P-50717-00")</f>
        <v>P-50717-00</v>
      </c>
      <c r="D3873" s="6" t="str">
        <f>IFERROR(__xludf.DUMMYFUNCTION("""COMPUTED_VALUE"""),"General - Kabel UTP 4 Pairs Cat 6; Belden; -; 305m/roll")</f>
        <v>General - Kabel UTP 4 Pairs Cat 6; Belden; -; 305m/roll</v>
      </c>
      <c r="E3873" s="6">
        <f>IFERROR(__xludf.DUMMYFUNCTION("""COMPUTED_VALUE"""),20.0)</f>
        <v>20</v>
      </c>
      <c r="F3873" s="6">
        <f>IFERROR(__xludf.DUMMYFUNCTION("""COMPUTED_VALUE"""),20.0)</f>
        <v>20</v>
      </c>
      <c r="G3873" s="6">
        <f>IFERROR(__xludf.DUMMYFUNCTION("""COMPUTED_VALUE"""),0.0)</f>
        <v>0</v>
      </c>
      <c r="H3873" s="6" t="str">
        <f>IFERROR(__xludf.DUMMYFUNCTION("""COMPUTED_VALUE"""),"Pcs")</f>
        <v>Pcs</v>
      </c>
      <c r="I3873" s="6" t="str">
        <f>IFERROR(__xludf.DUMMYFUNCTION("""COMPUTED_VALUE"""),"MFH")</f>
        <v>MFH</v>
      </c>
      <c r="J3873" s="6" t="str">
        <f>IFERROR(__xludf.DUMMYFUNCTION("""COMPUTED_VALUE"""),"-")</f>
        <v>-</v>
      </c>
      <c r="K3873" s="6" t="str">
        <f>IFERROR(__xludf.DUMMYFUNCTION("""COMPUTED_VALUE"""),"SPR/07/26/017")</f>
        <v>SPR/07/26/017</v>
      </c>
      <c r="L3873" s="13">
        <f>IFERROR(__xludf.DUMMYFUNCTION("""COMPUTED_VALUE"""),46234.0)</f>
        <v>46234</v>
      </c>
    </row>
    <row r="3874">
      <c r="A3874" s="6" t="str">
        <f>IFERROR(__xludf.DUMMYFUNCTION("""COMPUTED_VALUE"""),"RIA")</f>
        <v>RIA</v>
      </c>
      <c r="B3874" s="6" t="str">
        <f>IFERROR(__xludf.DUMMYFUNCTION("""COMPUTED_VALUE"""),"ENG")</f>
        <v>ENG</v>
      </c>
      <c r="C3874" s="6" t="str">
        <f>IFERROR(__xludf.DUMMYFUNCTION("""COMPUTED_VALUE"""),"P-52854-00")</f>
        <v>P-52854-00</v>
      </c>
      <c r="D3874" s="6" t="str">
        <f>IFERROR(__xludf.DUMMYFUNCTION("""COMPUTED_VALUE"""),"General - Socket RJ45 Cat 6; Belden; -; 50pcs/pack")</f>
        <v>General - Socket RJ45 Cat 6; Belden; -; 50pcs/pack</v>
      </c>
      <c r="E3874" s="6">
        <f>IFERROR(__xludf.DUMMYFUNCTION("""COMPUTED_VALUE"""),5.0)</f>
        <v>5</v>
      </c>
      <c r="F3874" s="6">
        <f>IFERROR(__xludf.DUMMYFUNCTION("""COMPUTED_VALUE"""),5.0)</f>
        <v>5</v>
      </c>
      <c r="G3874" s="6">
        <f>IFERROR(__xludf.DUMMYFUNCTION("""COMPUTED_VALUE"""),0.0)</f>
        <v>0</v>
      </c>
      <c r="H3874" s="6" t="str">
        <f>IFERROR(__xludf.DUMMYFUNCTION("""COMPUTED_VALUE"""),"Pcs")</f>
        <v>Pcs</v>
      </c>
      <c r="I3874" s="6" t="str">
        <f>IFERROR(__xludf.DUMMYFUNCTION("""COMPUTED_VALUE"""),"MFH")</f>
        <v>MFH</v>
      </c>
      <c r="J3874" s="6" t="str">
        <f>IFERROR(__xludf.DUMMYFUNCTION("""COMPUTED_VALUE"""),"-")</f>
        <v>-</v>
      </c>
      <c r="K3874" s="6" t="str">
        <f>IFERROR(__xludf.DUMMYFUNCTION("""COMPUTED_VALUE"""),"SPR/07/26/017")</f>
        <v>SPR/07/26/017</v>
      </c>
      <c r="L3874" s="13">
        <f>IFERROR(__xludf.DUMMYFUNCTION("""COMPUTED_VALUE"""),46234.0)</f>
        <v>46234</v>
      </c>
    </row>
    <row r="3875">
      <c r="A3875" s="6" t="str">
        <f>IFERROR(__xludf.DUMMYFUNCTION("""COMPUTED_VALUE"""),"ERA")</f>
        <v>ERA</v>
      </c>
      <c r="B3875" s="6" t="str">
        <f>IFERROR(__xludf.DUMMYFUNCTION("""COMPUTED_VALUE"""),"ENG")</f>
        <v>ENG</v>
      </c>
      <c r="C3875" s="6" t="str">
        <f>IFERROR(__xludf.DUMMYFUNCTION("""COMPUTED_VALUE"""),"P-11228-00")</f>
        <v>P-11228-00</v>
      </c>
      <c r="D3875" s="6" t="str">
        <f>IFERROR(__xludf.DUMMYFUNCTION("""COMPUTED_VALUE"""),"Pneumatic  Fitting - QST 8 / PN : 153130 / Festo")</f>
        <v>Pneumatic  Fitting - QST 8 / PN : 153130 / Festo</v>
      </c>
      <c r="E3875" s="6">
        <f>IFERROR(__xludf.DUMMYFUNCTION("""COMPUTED_VALUE"""),1.0)</f>
        <v>1</v>
      </c>
      <c r="F3875" s="6">
        <f>IFERROR(__xludf.DUMMYFUNCTION("""COMPUTED_VALUE"""),1.0)</f>
        <v>1</v>
      </c>
      <c r="G3875" s="6">
        <f>IFERROR(__xludf.DUMMYFUNCTION("""COMPUTED_VALUE"""),0.0)</f>
        <v>0</v>
      </c>
      <c r="H3875" s="6" t="str">
        <f>IFERROR(__xludf.DUMMYFUNCTION("""COMPUTED_VALUE"""),"Pcs")</f>
        <v>Pcs</v>
      </c>
      <c r="I3875" s="6" t="str">
        <f>IFERROR(__xludf.DUMMYFUNCTION("""COMPUTED_VALUE"""),"MFH")</f>
        <v>MFH</v>
      </c>
      <c r="J3875" s="6" t="str">
        <f>IFERROR(__xludf.DUMMYFUNCTION("""COMPUTED_VALUE"""),"-")</f>
        <v>-</v>
      </c>
      <c r="K3875" s="6" t="str">
        <f>IFERROR(__xludf.DUMMYFUNCTION("""COMPUTED_VALUE"""),"SPR/07/26/018")</f>
        <v>SPR/07/26/018</v>
      </c>
      <c r="L3875" s="13">
        <f>IFERROR(__xludf.DUMMYFUNCTION("""COMPUTED_VALUE"""),46234.0)</f>
        <v>46234</v>
      </c>
    </row>
    <row r="3876">
      <c r="A3876" s="6" t="str">
        <f>IFERROR(__xludf.DUMMYFUNCTION("""COMPUTED_VALUE"""),"ROS")</f>
        <v>ROS</v>
      </c>
      <c r="B3876" s="6" t="str">
        <f>IFERROR(__xludf.DUMMYFUNCTION("""COMPUTED_VALUE"""),"ENG")</f>
        <v>ENG</v>
      </c>
      <c r="C3876" s="6" t="str">
        <f>IFERROR(__xludf.DUMMYFUNCTION("""COMPUTED_VALUE"""),"O-16033-00")</f>
        <v>O-16033-00</v>
      </c>
      <c r="D3876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876" s="6">
        <f>IFERROR(__xludf.DUMMYFUNCTION("""COMPUTED_VALUE"""),3.0)</f>
        <v>3</v>
      </c>
      <c r="F3876" s="6">
        <f>IFERROR(__xludf.DUMMYFUNCTION("""COMPUTED_VALUE"""),3.0)</f>
        <v>3</v>
      </c>
      <c r="G3876" s="6">
        <f>IFERROR(__xludf.DUMMYFUNCTION("""COMPUTED_VALUE"""),0.0)</f>
        <v>0</v>
      </c>
      <c r="H3876" s="6" t="str">
        <f>IFERROR(__xludf.DUMMYFUNCTION("""COMPUTED_VALUE"""),"Pcs")</f>
        <v>Pcs</v>
      </c>
      <c r="I3876" s="6" t="str">
        <f>IFERROR(__xludf.DUMMYFUNCTION("""COMPUTED_VALUE"""),"MFH")</f>
        <v>MFH</v>
      </c>
      <c r="J3876" s="6" t="str">
        <f>IFERROR(__xludf.DUMMYFUNCTION("""COMPUTED_VALUE"""),"SKAN")</f>
        <v>SKAN</v>
      </c>
      <c r="K3876" s="6" t="str">
        <f>IFERROR(__xludf.DUMMYFUNCTION("""COMPUTED_VALUE"""),"SPR/07/26/019")</f>
        <v>SPR/07/26/019</v>
      </c>
      <c r="L3876" s="13">
        <f>IFERROR(__xludf.DUMMYFUNCTION("""COMPUTED_VALUE"""),46234.0)</f>
        <v>46234</v>
      </c>
    </row>
    <row r="3877">
      <c r="A3877" s="6" t="str">
        <f>IFERROR(__xludf.DUMMYFUNCTION("""COMPUTED_VALUE"""),"MRN")</f>
        <v>MRN</v>
      </c>
      <c r="B3877" s="6" t="str">
        <f>IFERROR(__xludf.DUMMYFUNCTION("""COMPUTED_VALUE"""),"ENG")</f>
        <v>ENG</v>
      </c>
      <c r="C3877" s="6" t="str">
        <f>IFERROR(__xludf.DUMMYFUNCTION("""COMPUTED_VALUE"""),"P-14453-00")</f>
        <v>P-14453-00</v>
      </c>
      <c r="D3877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3877" s="6">
        <f>IFERROR(__xludf.DUMMYFUNCTION("""COMPUTED_VALUE"""),4.0)</f>
        <v>4</v>
      </c>
      <c r="F3877" s="6">
        <f>IFERROR(__xludf.DUMMYFUNCTION("""COMPUTED_VALUE"""),4.0)</f>
        <v>4</v>
      </c>
      <c r="G3877" s="6">
        <f>IFERROR(__xludf.DUMMYFUNCTION("""COMPUTED_VALUE"""),0.0)</f>
        <v>0</v>
      </c>
      <c r="H3877" s="6" t="str">
        <f>IFERROR(__xludf.DUMMYFUNCTION("""COMPUTED_VALUE"""),"Pcs")</f>
        <v>Pcs</v>
      </c>
      <c r="I3877" s="6" t="str">
        <f>IFERROR(__xludf.DUMMYFUNCTION("""COMPUTED_VALUE"""),"MFH")</f>
        <v>MFH</v>
      </c>
      <c r="J3877" s="6" t="str">
        <f>IFERROR(__xludf.DUMMYFUNCTION("""COMPUTED_VALUE"""),"-")</f>
        <v>-</v>
      </c>
      <c r="K3877" s="6" t="str">
        <f>IFERROR(__xludf.DUMMYFUNCTION("""COMPUTED_VALUE"""),"SPR/07/26/020")</f>
        <v>SPR/07/26/020</v>
      </c>
      <c r="L3877" s="13">
        <f>IFERROR(__xludf.DUMMYFUNCTION("""COMPUTED_VALUE"""),46234.0)</f>
        <v>46234</v>
      </c>
    </row>
    <row r="3878">
      <c r="A3878" s="6" t="str">
        <f>IFERROR(__xludf.DUMMYFUNCTION("""COMPUTED_VALUE"""),"MRN")</f>
        <v>MRN</v>
      </c>
      <c r="B3878" s="6" t="str">
        <f>IFERROR(__xludf.DUMMYFUNCTION("""COMPUTED_VALUE"""),"ENG")</f>
        <v>ENG</v>
      </c>
      <c r="C3878" s="6" t="str">
        <f>IFERROR(__xludf.DUMMYFUNCTION("""COMPUTED_VALUE"""),"P-14454-00")</f>
        <v>P-14454-00</v>
      </c>
      <c r="D3878" s="6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E3878" s="6">
        <f>IFERROR(__xludf.DUMMYFUNCTION("""COMPUTED_VALUE"""),3.0)</f>
        <v>3</v>
      </c>
      <c r="F3878" s="6">
        <f>IFERROR(__xludf.DUMMYFUNCTION("""COMPUTED_VALUE"""),3.0)</f>
        <v>3</v>
      </c>
      <c r="G3878" s="6">
        <f>IFERROR(__xludf.DUMMYFUNCTION("""COMPUTED_VALUE"""),0.0)</f>
        <v>0</v>
      </c>
      <c r="H3878" s="6" t="str">
        <f>IFERROR(__xludf.DUMMYFUNCTION("""COMPUTED_VALUE"""),"Pcs")</f>
        <v>Pcs</v>
      </c>
      <c r="I3878" s="6" t="str">
        <f>IFERROR(__xludf.DUMMYFUNCTION("""COMPUTED_VALUE"""),"MFH")</f>
        <v>MFH</v>
      </c>
      <c r="J3878" s="6" t="str">
        <f>IFERROR(__xludf.DUMMYFUNCTION("""COMPUTED_VALUE"""),"-")</f>
        <v>-</v>
      </c>
      <c r="K3878" s="6" t="str">
        <f>IFERROR(__xludf.DUMMYFUNCTION("""COMPUTED_VALUE"""),"SPR/07/26/020")</f>
        <v>SPR/07/26/020</v>
      </c>
      <c r="L3878" s="13">
        <f>IFERROR(__xludf.DUMMYFUNCTION("""COMPUTED_VALUE"""),46234.0)</f>
        <v>46234</v>
      </c>
    </row>
    <row r="3879">
      <c r="A3879" s="6" t="str">
        <f>IFERROR(__xludf.DUMMYFUNCTION("""COMPUTED_VALUE"""),"SFH")</f>
        <v>SFH</v>
      </c>
      <c r="B3879" s="6" t="str">
        <f>IFERROR(__xludf.DUMMYFUNCTION("""COMPUTED_VALUE"""),"ENG")</f>
        <v>ENG</v>
      </c>
      <c r="C3879" s="6" t="str">
        <f>IFERROR(__xludf.DUMMYFUNCTION("""COMPUTED_VALUE"""),"Q-10153-00")</f>
        <v>Q-10153-00</v>
      </c>
      <c r="D3879" s="6" t="str">
        <f>IFERROR(__xludf.DUMMYFUNCTION("""COMPUTED_VALUE"""),"Roller cat 110mm")</f>
        <v>Roller cat 110mm</v>
      </c>
      <c r="E3879" s="6">
        <f>IFERROR(__xludf.DUMMYFUNCTION("""COMPUTED_VALUE"""),2.0)</f>
        <v>2</v>
      </c>
      <c r="F3879" s="6">
        <f>IFERROR(__xludf.DUMMYFUNCTION("""COMPUTED_VALUE"""),2.0)</f>
        <v>2</v>
      </c>
      <c r="G3879" s="6">
        <f>IFERROR(__xludf.DUMMYFUNCTION("""COMPUTED_VALUE"""),0.0)</f>
        <v>0</v>
      </c>
      <c r="H3879" s="6" t="str">
        <f>IFERROR(__xludf.DUMMYFUNCTION("""COMPUTED_VALUE"""),"Pcs")</f>
        <v>Pcs</v>
      </c>
      <c r="I3879" s="6" t="str">
        <f>IFERROR(__xludf.DUMMYFUNCTION("""COMPUTED_VALUE"""),"MFH")</f>
        <v>MFH</v>
      </c>
      <c r="J3879" s="6" t="str">
        <f>IFERROR(__xludf.DUMMYFUNCTION("""COMPUTED_VALUE"""),"Building")</f>
        <v>Building</v>
      </c>
      <c r="K3879" s="6" t="str">
        <f>IFERROR(__xludf.DUMMYFUNCTION("""COMPUTED_VALUE"""),"SPR/07/26/021")</f>
        <v>SPR/07/26/021</v>
      </c>
      <c r="L3879" s="13">
        <f>IFERROR(__xludf.DUMMYFUNCTION("""COMPUTED_VALUE"""),46234.0)</f>
        <v>46234</v>
      </c>
    </row>
    <row r="3880">
      <c r="A3880" s="6" t="str">
        <f>IFERROR(__xludf.DUMMYFUNCTION("""COMPUTED_VALUE"""),"SFH")</f>
        <v>SFH</v>
      </c>
      <c r="B3880" s="6" t="str">
        <f>IFERROR(__xludf.DUMMYFUNCTION("""COMPUTED_VALUE"""),"ENG")</f>
        <v>ENG</v>
      </c>
      <c r="C3880" s="6" t="str">
        <f>IFERROR(__xludf.DUMMYFUNCTION("""COMPUTED_VALUE"""),"P-15852-00")</f>
        <v>P-15852-00</v>
      </c>
      <c r="D3880" s="6" t="str">
        <f>IFERROR(__xludf.DUMMYFUNCTION("""COMPUTED_VALUE"""),"AMPLAS EAGLE 500")</f>
        <v>AMPLAS EAGLE 500</v>
      </c>
      <c r="E3880" s="6">
        <f>IFERROR(__xludf.DUMMYFUNCTION("""COMPUTED_VALUE"""),3.0)</f>
        <v>3</v>
      </c>
      <c r="F3880" s="6">
        <f>IFERROR(__xludf.DUMMYFUNCTION("""COMPUTED_VALUE"""),3.0)</f>
        <v>3</v>
      </c>
      <c r="G3880" s="6">
        <f>IFERROR(__xludf.DUMMYFUNCTION("""COMPUTED_VALUE"""),0.0)</f>
        <v>0</v>
      </c>
      <c r="H3880" s="6" t="str">
        <f>IFERROR(__xludf.DUMMYFUNCTION("""COMPUTED_VALUE"""),"Pcs")</f>
        <v>Pcs</v>
      </c>
      <c r="I3880" s="6" t="str">
        <f>IFERROR(__xludf.DUMMYFUNCTION("""COMPUTED_VALUE"""),"MFH")</f>
        <v>MFH</v>
      </c>
      <c r="J3880" s="6" t="str">
        <f>IFERROR(__xludf.DUMMYFUNCTION("""COMPUTED_VALUE"""),"Building")</f>
        <v>Building</v>
      </c>
      <c r="K3880" s="6" t="str">
        <f>IFERROR(__xludf.DUMMYFUNCTION("""COMPUTED_VALUE"""),"SPR/07/26/021")</f>
        <v>SPR/07/26/021</v>
      </c>
      <c r="L3880" s="13">
        <f>IFERROR(__xludf.DUMMYFUNCTION("""COMPUTED_VALUE"""),46234.0)</f>
        <v>46234</v>
      </c>
    </row>
    <row r="3881">
      <c r="A3881" s="6" t="str">
        <f>IFERROR(__xludf.DUMMYFUNCTION("""COMPUTED_VALUE"""),"WAP")</f>
        <v>WAP</v>
      </c>
      <c r="B3881" s="6" t="str">
        <f>IFERROR(__xludf.DUMMYFUNCTION("""COMPUTED_VALUE"""),"ENG")</f>
        <v>ENG</v>
      </c>
      <c r="C3881" s="6" t="str">
        <f>IFERROR(__xludf.DUMMYFUNCTION("""COMPUTED_VALUE"""),"P-14457-00")</f>
        <v>P-14457-00</v>
      </c>
      <c r="D3881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3881" s="6">
        <f>IFERROR(__xludf.DUMMYFUNCTION("""COMPUTED_VALUE"""),1.0)</f>
        <v>1</v>
      </c>
      <c r="F3881" s="6">
        <f>IFERROR(__xludf.DUMMYFUNCTION("""COMPUTED_VALUE"""),1.0)</f>
        <v>1</v>
      </c>
      <c r="G3881" s="6">
        <f>IFERROR(__xludf.DUMMYFUNCTION("""COMPUTED_VALUE"""),0.0)</f>
        <v>0</v>
      </c>
      <c r="H3881" s="6" t="str">
        <f>IFERROR(__xludf.DUMMYFUNCTION("""COMPUTED_VALUE"""),"Pcs")</f>
        <v>Pcs</v>
      </c>
      <c r="I3881" s="6" t="str">
        <f>IFERROR(__xludf.DUMMYFUNCTION("""COMPUTED_VALUE"""),"MFH")</f>
        <v>MFH</v>
      </c>
      <c r="J3881" s="6" t="str">
        <f>IFERROR(__xludf.DUMMYFUNCTION("""COMPUTED_VALUE"""),"AHU")</f>
        <v>AHU</v>
      </c>
      <c r="K3881" s="6" t="str">
        <f>IFERROR(__xludf.DUMMYFUNCTION("""COMPUTED_VALUE"""),"SPR/07/26/022")</f>
        <v>SPR/07/26/022</v>
      </c>
      <c r="L3881" s="13">
        <f>IFERROR(__xludf.DUMMYFUNCTION("""COMPUTED_VALUE"""),46234.0)</f>
        <v>46234</v>
      </c>
    </row>
    <row r="3882">
      <c r="A3882" s="6" t="str">
        <f>IFERROR(__xludf.DUMMYFUNCTION("""COMPUTED_VALUE"""),"ERA")</f>
        <v>ERA</v>
      </c>
      <c r="B3882" s="6" t="str">
        <f>IFERROR(__xludf.DUMMYFUNCTION("""COMPUTED_VALUE"""),"ENG")</f>
        <v>ENG</v>
      </c>
      <c r="C3882" s="6" t="str">
        <f>IFERROR(__xludf.DUMMYFUNCTION("""COMPUTED_VALUE"""),"O-19424-00")</f>
        <v>O-19424-00</v>
      </c>
      <c r="D3882" s="6" t="str">
        <f>IFERROR(__xludf.DUMMYFUNCTION("""COMPUTED_VALUE"""),"Mur Baut A2-70 THE")</f>
        <v>Mur Baut A2-70 THE</v>
      </c>
      <c r="E3882" s="6">
        <f>IFERROR(__xludf.DUMMYFUNCTION("""COMPUTED_VALUE"""),10.0)</f>
        <v>10</v>
      </c>
      <c r="F3882" s="6">
        <f>IFERROR(__xludf.DUMMYFUNCTION("""COMPUTED_VALUE"""),10.0)</f>
        <v>10</v>
      </c>
      <c r="G3882" s="6">
        <f>IFERROR(__xludf.DUMMYFUNCTION("""COMPUTED_VALUE"""),0.0)</f>
        <v>0</v>
      </c>
      <c r="H3882" s="6" t="str">
        <f>IFERROR(__xludf.DUMMYFUNCTION("""COMPUTED_VALUE"""),"Pcs")</f>
        <v>Pcs</v>
      </c>
      <c r="I3882" s="6" t="str">
        <f>IFERROR(__xludf.DUMMYFUNCTION("""COMPUTED_VALUE"""),"MFH")</f>
        <v>MFH</v>
      </c>
      <c r="J3882" s="6" t="str">
        <f>IFERROR(__xludf.DUMMYFUNCTION("""COMPUTED_VALUE"""),"-")</f>
        <v>-</v>
      </c>
      <c r="K3882" s="6" t="str">
        <f>IFERROR(__xludf.DUMMYFUNCTION("""COMPUTED_VALUE"""),"SPR/07/26/023")</f>
        <v>SPR/07/26/023</v>
      </c>
      <c r="L3882" s="13">
        <f>IFERROR(__xludf.DUMMYFUNCTION("""COMPUTED_VALUE"""),46234.0)</f>
        <v>46234</v>
      </c>
    </row>
    <row r="3883">
      <c r="A3883" s="6" t="str">
        <f>IFERROR(__xludf.DUMMYFUNCTION("""COMPUTED_VALUE"""),"ERA")</f>
        <v>ERA</v>
      </c>
      <c r="B3883" s="6" t="str">
        <f>IFERROR(__xludf.DUMMYFUNCTION("""COMPUTED_VALUE"""),"ENG")</f>
        <v>ENG</v>
      </c>
      <c r="C3883" s="6" t="str">
        <f>IFERROR(__xludf.DUMMYFUNCTION("""COMPUTED_VALUE"""),"O-19431-00")</f>
        <v>O-19431-00</v>
      </c>
      <c r="D3883" s="6" t="str">
        <f>IFERROR(__xludf.DUMMYFUNCTION("""COMPUTED_VALUE"""),"Baut SS L M8 x 30 mm + Mur + Ring; ; ;; ; ;; ; ;")</f>
        <v>Baut SS L M8 x 30 mm + Mur + Ring; ; ;; ; ;; ; ;</v>
      </c>
      <c r="E3883" s="6">
        <f>IFERROR(__xludf.DUMMYFUNCTION("""COMPUTED_VALUE"""),10.0)</f>
        <v>10</v>
      </c>
      <c r="F3883" s="6">
        <f>IFERROR(__xludf.DUMMYFUNCTION("""COMPUTED_VALUE"""),10.0)</f>
        <v>10</v>
      </c>
      <c r="G3883" s="6">
        <f>IFERROR(__xludf.DUMMYFUNCTION("""COMPUTED_VALUE"""),0.0)</f>
        <v>0</v>
      </c>
      <c r="H3883" s="6" t="str">
        <f>IFERROR(__xludf.DUMMYFUNCTION("""COMPUTED_VALUE"""),"Pcs")</f>
        <v>Pcs</v>
      </c>
      <c r="I3883" s="6" t="str">
        <f>IFERROR(__xludf.DUMMYFUNCTION("""COMPUTED_VALUE"""),"MFH")</f>
        <v>MFH</v>
      </c>
      <c r="J3883" s="6" t="str">
        <f>IFERROR(__xludf.DUMMYFUNCTION("""COMPUTED_VALUE"""),"-")</f>
        <v>-</v>
      </c>
      <c r="K3883" s="6" t="str">
        <f>IFERROR(__xludf.DUMMYFUNCTION("""COMPUTED_VALUE"""),"SPR/07/26/023")</f>
        <v>SPR/07/26/023</v>
      </c>
      <c r="L3883" s="13">
        <f>IFERROR(__xludf.DUMMYFUNCTION("""COMPUTED_VALUE"""),46234.0)</f>
        <v>46234</v>
      </c>
    </row>
    <row r="3884">
      <c r="A3884" s="6" t="str">
        <f>IFERROR(__xludf.DUMMYFUNCTION("""COMPUTED_VALUE"""),"ERA")</f>
        <v>ERA</v>
      </c>
      <c r="B3884" s="6" t="str">
        <f>IFERROR(__xludf.DUMMYFUNCTION("""COMPUTED_VALUE"""),"ENG")</f>
        <v>ENG</v>
      </c>
      <c r="C3884" s="6" t="str">
        <f>IFERROR(__xludf.DUMMYFUNCTION("""COMPUTED_VALUE"""),"O-19424-00")</f>
        <v>O-19424-00</v>
      </c>
      <c r="D3884" s="6" t="str">
        <f>IFERROR(__xludf.DUMMYFUNCTION("""COMPUTED_VALUE"""),"Mur Baut A2-70 THE")</f>
        <v>Mur Baut A2-70 THE</v>
      </c>
      <c r="E3884" s="6">
        <f>IFERROR(__xludf.DUMMYFUNCTION("""COMPUTED_VALUE"""),10.0)</f>
        <v>10</v>
      </c>
      <c r="F3884" s="6">
        <f>IFERROR(__xludf.DUMMYFUNCTION("""COMPUTED_VALUE"""),10.0)</f>
        <v>10</v>
      </c>
      <c r="G3884" s="6">
        <f>IFERROR(__xludf.DUMMYFUNCTION("""COMPUTED_VALUE"""),0.0)</f>
        <v>0</v>
      </c>
      <c r="H3884" s="6" t="str">
        <f>IFERROR(__xludf.DUMMYFUNCTION("""COMPUTED_VALUE"""),"Pcs")</f>
        <v>Pcs</v>
      </c>
      <c r="I3884" s="6" t="str">
        <f>IFERROR(__xludf.DUMMYFUNCTION("""COMPUTED_VALUE"""),"MFH")</f>
        <v>MFH</v>
      </c>
      <c r="J3884" s="6" t="str">
        <f>IFERROR(__xludf.DUMMYFUNCTION("""COMPUTED_VALUE"""),"-")</f>
        <v>-</v>
      </c>
      <c r="K3884" s="6" t="str">
        <f>IFERROR(__xludf.DUMMYFUNCTION("""COMPUTED_VALUE"""),"SPR/07/26/023")</f>
        <v>SPR/07/26/023</v>
      </c>
      <c r="L3884" s="13">
        <f>IFERROR(__xludf.DUMMYFUNCTION("""COMPUTED_VALUE"""),46234.0)</f>
        <v>46234</v>
      </c>
    </row>
    <row r="3885">
      <c r="A3885" s="6" t="str">
        <f>IFERROR(__xludf.DUMMYFUNCTION("""COMPUTED_VALUE"""),"ROS")</f>
        <v>ROS</v>
      </c>
      <c r="B3885" s="6" t="str">
        <f>IFERROR(__xludf.DUMMYFUNCTION("""COMPUTED_VALUE"""),"ENG")</f>
        <v>ENG</v>
      </c>
      <c r="C3885" s="6" t="str">
        <f>IFERROR(__xludf.DUMMYFUNCTION("""COMPUTED_VALUE"""),"S-46129-00")</f>
        <v>S-46129-00</v>
      </c>
      <c r="D3885" s="6" t="str">
        <f>IFERROR(__xludf.DUMMYFUNCTION("""COMPUTED_VALUE"""),"Plastik Wrap Roll,  Size 50 x 200 cm x 17 micron; no brand; ; pack size per roll")</f>
        <v>Plastik Wrap Roll,  Size 50 x 200 cm x 17 micron; no brand; ; pack size per roll</v>
      </c>
      <c r="E3885" s="6">
        <f>IFERROR(__xludf.DUMMYFUNCTION("""COMPUTED_VALUE"""),1.0)</f>
        <v>1</v>
      </c>
      <c r="F3885" s="6">
        <f>IFERROR(__xludf.DUMMYFUNCTION("""COMPUTED_VALUE"""),1.0)</f>
        <v>1</v>
      </c>
      <c r="G3885" s="6">
        <f>IFERROR(__xludf.DUMMYFUNCTION("""COMPUTED_VALUE"""),0.0)</f>
        <v>0</v>
      </c>
      <c r="H3885" s="6" t="str">
        <f>IFERROR(__xludf.DUMMYFUNCTION("""COMPUTED_VALUE"""),"Pcs")</f>
        <v>Pcs</v>
      </c>
      <c r="I3885" s="6" t="str">
        <f>IFERROR(__xludf.DUMMYFUNCTION("""COMPUTED_VALUE"""),"MFH")</f>
        <v>MFH</v>
      </c>
      <c r="J3885" s="6" t="str">
        <f>IFERROR(__xludf.DUMMYFUNCTION("""COMPUTED_VALUE"""),"HLD")</f>
        <v>HLD</v>
      </c>
      <c r="K3885" s="6" t="str">
        <f>IFERROR(__xludf.DUMMYFUNCTION("""COMPUTED_VALUE"""),"SPR/07/26/024")</f>
        <v>SPR/07/26/024</v>
      </c>
      <c r="L3885" s="13">
        <f>IFERROR(__xludf.DUMMYFUNCTION("""COMPUTED_VALUE"""),46234.0)</f>
        <v>46234</v>
      </c>
    </row>
    <row r="3886">
      <c r="A3886" s="6" t="str">
        <f>IFERROR(__xludf.DUMMYFUNCTION("""COMPUTED_VALUE"""),"WAP")</f>
        <v>WAP</v>
      </c>
      <c r="B3886" s="6" t="str">
        <f>IFERROR(__xludf.DUMMYFUNCTION("""COMPUTED_VALUE"""),"ENG")</f>
        <v>ENG</v>
      </c>
      <c r="C3886" s="6" t="str">
        <f>IFERROR(__xludf.DUMMYFUNCTION("""COMPUTED_VALUE"""),"T-20055-00")</f>
        <v>T-20055-00</v>
      </c>
      <c r="D3886" s="6" t="str">
        <f>IFERROR(__xludf.DUMMYFUNCTION("""COMPUTED_VALUE"""),"PerformancePlus Check Valve Cartridge; Waters; p/n 700002399")</f>
        <v>PerformancePlus Check Valve Cartridge; Waters; p/n 700002399</v>
      </c>
      <c r="E3886" s="6">
        <f>IFERROR(__xludf.DUMMYFUNCTION("""COMPUTED_VALUE"""),2.0)</f>
        <v>2</v>
      </c>
      <c r="F3886" s="6">
        <f>IFERROR(__xludf.DUMMYFUNCTION("""COMPUTED_VALUE"""),2.0)</f>
        <v>2</v>
      </c>
      <c r="G3886" s="6">
        <f>IFERROR(__xludf.DUMMYFUNCTION("""COMPUTED_VALUE"""),0.0)</f>
        <v>0</v>
      </c>
      <c r="H3886" s="6" t="str">
        <f>IFERROR(__xludf.DUMMYFUNCTION("""COMPUTED_VALUE"""),"Pcs")</f>
        <v>Pcs</v>
      </c>
      <c r="I3886" s="6" t="str">
        <f>IFERROR(__xludf.DUMMYFUNCTION("""COMPUTED_VALUE"""),"MFH")</f>
        <v>MFH</v>
      </c>
      <c r="J3886" s="6" t="str">
        <f>IFERROR(__xludf.DUMMYFUNCTION("""COMPUTED_VALUE"""),"HPLC")</f>
        <v>HPLC</v>
      </c>
      <c r="K3886" s="6" t="str">
        <f>IFERROR(__xludf.DUMMYFUNCTION("""COMPUTED_VALUE"""),"SPR/07/26/025")</f>
        <v>SPR/07/26/025</v>
      </c>
      <c r="L3886" s="13">
        <f>IFERROR(__xludf.DUMMYFUNCTION("""COMPUTED_VALUE"""),46234.0)</f>
        <v>46234</v>
      </c>
    </row>
    <row r="3887">
      <c r="A3887" s="6" t="str">
        <f>IFERROR(__xludf.DUMMYFUNCTION("""COMPUTED_VALUE"""),"WAP")</f>
        <v>WAP</v>
      </c>
      <c r="B3887" s="6" t="str">
        <f>IFERROR(__xludf.DUMMYFUNCTION("""COMPUTED_VALUE"""),"ENG")</f>
        <v>ENG</v>
      </c>
      <c r="C3887" s="6" t="str">
        <f>IFERROR(__xludf.DUMMYFUNCTION("""COMPUTED_VALUE"""),"T-20118-00")</f>
        <v>T-20118-00</v>
      </c>
      <c r="D3887" s="6" t="str">
        <f>IFERROR(__xludf.DUMMYFUNCTION("""COMPUTED_VALUE"""),"FILTER INSERT ASSY; Waters; P/N WAT088084")</f>
        <v>FILTER INSERT ASSY; Waters; P/N WAT088084</v>
      </c>
      <c r="E3887" s="6">
        <f>IFERROR(__xludf.DUMMYFUNCTION("""COMPUTED_VALUE"""),1.0)</f>
        <v>1</v>
      </c>
      <c r="F3887" s="6">
        <f>IFERROR(__xludf.DUMMYFUNCTION("""COMPUTED_VALUE"""),1.0)</f>
        <v>1</v>
      </c>
      <c r="G3887" s="6">
        <f>IFERROR(__xludf.DUMMYFUNCTION("""COMPUTED_VALUE"""),0.0)</f>
        <v>0</v>
      </c>
      <c r="H3887" s="6" t="str">
        <f>IFERROR(__xludf.DUMMYFUNCTION("""COMPUTED_VALUE"""),"Pcs")</f>
        <v>Pcs</v>
      </c>
      <c r="I3887" s="6" t="str">
        <f>IFERROR(__xludf.DUMMYFUNCTION("""COMPUTED_VALUE"""),"MFH")</f>
        <v>MFH</v>
      </c>
      <c r="J3887" s="6" t="str">
        <f>IFERROR(__xludf.DUMMYFUNCTION("""COMPUTED_VALUE"""),"HPLC")</f>
        <v>HPLC</v>
      </c>
      <c r="K3887" s="6" t="str">
        <f>IFERROR(__xludf.DUMMYFUNCTION("""COMPUTED_VALUE"""),"SPR/07/26/025")</f>
        <v>SPR/07/26/025</v>
      </c>
      <c r="L3887" s="13">
        <f>IFERROR(__xludf.DUMMYFUNCTION("""COMPUTED_VALUE"""),46234.0)</f>
        <v>46234</v>
      </c>
    </row>
    <row r="3888">
      <c r="A3888" s="6" t="str">
        <f>IFERROR(__xludf.DUMMYFUNCTION("""COMPUTED_VALUE"""),"WAP")</f>
        <v>WAP</v>
      </c>
      <c r="B3888" s="6" t="str">
        <f>IFERROR(__xludf.DUMMYFUNCTION("""COMPUTED_VALUE"""),"ENG")</f>
        <v>ENG</v>
      </c>
      <c r="C3888" s="6" t="str">
        <f>IFERROR(__xludf.DUMMYFUNCTION("""COMPUTED_VALUE"""),"O-15931-00")</f>
        <v>O-15931-00</v>
      </c>
      <c r="D3888" s="6" t="str">
        <f>IFERROR(__xludf.DUMMYFUNCTION("""COMPUTED_VALUE"""),"Double Tape 3M 1"" Merah - P/N : - pc")</f>
        <v>Double Tape 3M 1" Merah - P/N : - pc</v>
      </c>
      <c r="E3888" s="6">
        <f>IFERROR(__xludf.DUMMYFUNCTION("""COMPUTED_VALUE"""),1.0)</f>
        <v>1</v>
      </c>
      <c r="F3888" s="6">
        <f>IFERROR(__xludf.DUMMYFUNCTION("""COMPUTED_VALUE"""),1.0)</f>
        <v>1</v>
      </c>
      <c r="G3888" s="6">
        <f>IFERROR(__xludf.DUMMYFUNCTION("""COMPUTED_VALUE"""),0.0)</f>
        <v>0</v>
      </c>
      <c r="H3888" s="6" t="str">
        <f>IFERROR(__xludf.DUMMYFUNCTION("""COMPUTED_VALUE"""),"Pcs")</f>
        <v>Pcs</v>
      </c>
      <c r="I3888" s="6" t="str">
        <f>IFERROR(__xludf.DUMMYFUNCTION("""COMPUTED_VALUE"""),"MFH")</f>
        <v>MFH</v>
      </c>
      <c r="J3888" s="6" t="str">
        <f>IFERROR(__xludf.DUMMYFUNCTION("""COMPUTED_VALUE"""),"FIlling")</f>
        <v>FIlling</v>
      </c>
      <c r="K3888" s="6" t="str">
        <f>IFERROR(__xludf.DUMMYFUNCTION("""COMPUTED_VALUE"""),"SPR/07/26/025")</f>
        <v>SPR/07/26/025</v>
      </c>
      <c r="L3888" s="13">
        <f>IFERROR(__xludf.DUMMYFUNCTION("""COMPUTED_VALUE"""),46234.0)</f>
        <v>46234</v>
      </c>
    </row>
    <row r="3889">
      <c r="A3889" s="6" t="str">
        <f>IFERROR(__xludf.DUMMYFUNCTION("""COMPUTED_VALUE"""),"NDS")</f>
        <v>NDS</v>
      </c>
      <c r="B3889" s="6" t="str">
        <f>IFERROR(__xludf.DUMMYFUNCTION("""COMPUTED_VALUE"""),"ENG")</f>
        <v>ENG</v>
      </c>
      <c r="C3889" s="6" t="str">
        <f>IFERROR(__xludf.DUMMYFUNCTION("""COMPUTED_VALUE"""),"O-51742-00")</f>
        <v>O-51742-00</v>
      </c>
      <c r="D3889" s="6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E3889" s="6">
        <f>IFERROR(__xludf.DUMMYFUNCTION("""COMPUTED_VALUE"""),1.0)</f>
        <v>1</v>
      </c>
      <c r="F3889" s="6">
        <f>IFERROR(__xludf.DUMMYFUNCTION("""COMPUTED_VALUE"""),1.0)</f>
        <v>1</v>
      </c>
      <c r="G3889" s="6">
        <f>IFERROR(__xludf.DUMMYFUNCTION("""COMPUTED_VALUE"""),0.0)</f>
        <v>0</v>
      </c>
      <c r="H3889" s="6" t="str">
        <f>IFERROR(__xludf.DUMMYFUNCTION("""COMPUTED_VALUE"""),"Pcs")</f>
        <v>Pcs</v>
      </c>
      <c r="I3889" s="6" t="str">
        <f>IFERROR(__xludf.DUMMYFUNCTION("""COMPUTED_VALUE"""),"MFH")</f>
        <v>MFH</v>
      </c>
      <c r="J3889" s="6" t="str">
        <f>IFERROR(__xludf.DUMMYFUNCTION("""COMPUTED_VALUE"""),"Mixing ")</f>
        <v>Mixing </v>
      </c>
      <c r="K3889" s="6" t="str">
        <f>IFERROR(__xludf.DUMMYFUNCTION("""COMPUTED_VALUE"""),"SPR/07/26/026")</f>
        <v>SPR/07/26/026</v>
      </c>
      <c r="L3889" s="13">
        <f>IFERROR(__xludf.DUMMYFUNCTION("""COMPUTED_VALUE"""),46234.0)</f>
        <v>46234</v>
      </c>
    </row>
    <row r="3890">
      <c r="A3890" s="6" t="str">
        <f>IFERROR(__xludf.DUMMYFUNCTION("""COMPUTED_VALUE"""),"NDS")</f>
        <v>NDS</v>
      </c>
      <c r="B3890" s="6" t="str">
        <f>IFERROR(__xludf.DUMMYFUNCTION("""COMPUTED_VALUE"""),"ENG")</f>
        <v>ENG</v>
      </c>
      <c r="C3890" s="6" t="str">
        <f>IFERROR(__xludf.DUMMYFUNCTION("""COMPUTED_VALUE"""),"O-16647-00")</f>
        <v>O-16647-00</v>
      </c>
      <c r="D3890" s="6" t="str">
        <f>IFERROR(__xludf.DUMMYFUNCTION("""COMPUTED_VALUE"""),"Washing RAR4 - Oring Silicone Merah 23x18x2.5 mm; ; ;")</f>
        <v>Washing RAR4 - Oring Silicone Merah 23x18x2.5 mm; ; ;</v>
      </c>
      <c r="E3890" s="6">
        <f>IFERROR(__xludf.DUMMYFUNCTION("""COMPUTED_VALUE"""),10.0)</f>
        <v>10</v>
      </c>
      <c r="F3890" s="6">
        <f>IFERROR(__xludf.DUMMYFUNCTION("""COMPUTED_VALUE"""),10.0)</f>
        <v>10</v>
      </c>
      <c r="G3890" s="6">
        <f>IFERROR(__xludf.DUMMYFUNCTION("""COMPUTED_VALUE"""),0.0)</f>
        <v>0</v>
      </c>
      <c r="H3890" s="6" t="str">
        <f>IFERROR(__xludf.DUMMYFUNCTION("""COMPUTED_VALUE"""),"Pcs")</f>
        <v>Pcs</v>
      </c>
      <c r="I3890" s="6" t="str">
        <f>IFERROR(__xludf.DUMMYFUNCTION("""COMPUTED_VALUE"""),"MFH")</f>
        <v>MFH</v>
      </c>
      <c r="J3890" s="6" t="str">
        <f>IFERROR(__xludf.DUMMYFUNCTION("""COMPUTED_VALUE"""),"Capping")</f>
        <v>Capping</v>
      </c>
      <c r="K3890" s="6" t="str">
        <f>IFERROR(__xludf.DUMMYFUNCTION("""COMPUTED_VALUE"""),"SPR/07/26/026")</f>
        <v>SPR/07/26/026</v>
      </c>
      <c r="L3890" s="13">
        <f>IFERROR(__xludf.DUMMYFUNCTION("""COMPUTED_VALUE"""),46234.0)</f>
        <v>46234</v>
      </c>
    </row>
    <row r="3891">
      <c r="A3891" s="6" t="str">
        <f>IFERROR(__xludf.DUMMYFUNCTION("""COMPUTED_VALUE"""),"MOB")</f>
        <v>MOB</v>
      </c>
      <c r="B3891" s="6" t="str">
        <f>IFERROR(__xludf.DUMMYFUNCTION("""COMPUTED_VALUE"""),"ENG")</f>
        <v>ENG</v>
      </c>
      <c r="C3891" s="6" t="str">
        <f>IFERROR(__xludf.DUMMYFUNCTION("""COMPUTED_VALUE"""),"O-12868-00")</f>
        <v>O-12868-00</v>
      </c>
      <c r="D3891" s="6" t="str">
        <f>IFERROR(__xludf.DUMMYFUNCTION("""COMPUTED_VALUE"""),"Emflon PFR Membrane Filter Cartridges 0.2 um PALL P/N : AB05 PFR2 PVH4 pc")</f>
        <v>Emflon PFR Membrane Filter Cartridges 0.2 um PALL P/N : AB05 PFR2 PVH4 pc</v>
      </c>
      <c r="E3891" s="6">
        <f>IFERROR(__xludf.DUMMYFUNCTION("""COMPUTED_VALUE"""),1.0)</f>
        <v>1</v>
      </c>
      <c r="F3891" s="6">
        <f>IFERROR(__xludf.DUMMYFUNCTION("""COMPUTED_VALUE"""),1.0)</f>
        <v>1</v>
      </c>
      <c r="G3891" s="6">
        <f>IFERROR(__xludf.DUMMYFUNCTION("""COMPUTED_VALUE"""),0.0)</f>
        <v>0</v>
      </c>
      <c r="H3891" s="6" t="str">
        <f>IFERROR(__xludf.DUMMYFUNCTION("""COMPUTED_VALUE"""),"Pcs")</f>
        <v>Pcs</v>
      </c>
      <c r="I3891" s="6" t="str">
        <f>IFERROR(__xludf.DUMMYFUNCTION("""COMPUTED_VALUE"""),"MFH")</f>
        <v>MFH</v>
      </c>
      <c r="J3891" s="6" t="str">
        <f>IFERROR(__xludf.DUMMYFUNCTION("""COMPUTED_VALUE"""),"WFI SKID")</f>
        <v>WFI SKID</v>
      </c>
      <c r="K3891" s="6" t="str">
        <f>IFERROR(__xludf.DUMMYFUNCTION("""COMPUTED_VALUE"""),"SPR/07/26/027")</f>
        <v>SPR/07/26/027</v>
      </c>
      <c r="L3891" s="13">
        <f>IFERROR(__xludf.DUMMYFUNCTION("""COMPUTED_VALUE"""),46234.0)</f>
        <v>46234</v>
      </c>
    </row>
    <row r="3892">
      <c r="A3892" s="6" t="str">
        <f>IFERROR(__xludf.DUMMYFUNCTION("""COMPUTED_VALUE"""),"RPA")</f>
        <v>RPA</v>
      </c>
      <c r="B3892" s="6" t="str">
        <f>IFERROR(__xludf.DUMMYFUNCTION("""COMPUTED_VALUE"""),"PRO")</f>
        <v>PRO</v>
      </c>
      <c r="C3892" s="6" t="str">
        <f>IFERROR(__xludf.DUMMYFUNCTION("""COMPUTED_VALUE"""),"T-80047-00")</f>
        <v>T-80047-00</v>
      </c>
      <c r="D3892" s="6" t="str">
        <f>IFERROR(__xludf.DUMMYFUNCTION("""COMPUTED_VALUE"""),"Battery ALKALINE AAA")</f>
        <v>Battery ALKALINE AAA</v>
      </c>
      <c r="E3892" s="6">
        <f>IFERROR(__xludf.DUMMYFUNCTION("""COMPUTED_VALUE"""),6.0)</f>
        <v>6</v>
      </c>
      <c r="F3892" s="6">
        <f>IFERROR(__xludf.DUMMYFUNCTION("""COMPUTED_VALUE"""),6.0)</f>
        <v>6</v>
      </c>
      <c r="G3892" s="6">
        <f>IFERROR(__xludf.DUMMYFUNCTION("""COMPUTED_VALUE"""),0.0)</f>
        <v>0</v>
      </c>
      <c r="H3892" s="6" t="str">
        <f>IFERROR(__xludf.DUMMYFUNCTION("""COMPUTED_VALUE"""),"Pcs")</f>
        <v>Pcs</v>
      </c>
      <c r="I3892" s="6" t="str">
        <f>IFERROR(__xludf.DUMMYFUNCTION("""COMPUTED_VALUE"""),"MFH")</f>
        <v>MFH</v>
      </c>
      <c r="J3892" s="6" t="str">
        <f>IFERROR(__xludf.DUMMYFUNCTION("""COMPUTED_VALUE"""),"-")</f>
        <v>-</v>
      </c>
      <c r="K3892" s="6" t="str">
        <f>IFERROR(__xludf.DUMMYFUNCTION("""COMPUTED_VALUE"""),"SPR/07/26/028")</f>
        <v>SPR/07/26/028</v>
      </c>
      <c r="L3892" s="13">
        <f>IFERROR(__xludf.DUMMYFUNCTION("""COMPUTED_VALUE"""),46234.0)</f>
        <v>46234</v>
      </c>
    </row>
    <row r="3893">
      <c r="A3893" s="6" t="str">
        <f>IFERROR(__xludf.DUMMYFUNCTION("""COMPUTED_VALUE"""),"KFF")</f>
        <v>KFF</v>
      </c>
      <c r="B3893" s="6" t="str">
        <f>IFERROR(__xludf.DUMMYFUNCTION("""COMPUTED_VALUE"""),"ENG")</f>
        <v>ENG</v>
      </c>
      <c r="C3893" s="6" t="str">
        <f>IFERROR(__xludf.DUMMYFUNCTION("""COMPUTED_VALUE"""),"P-15852-00")</f>
        <v>P-15852-00</v>
      </c>
      <c r="D3893" s="6" t="str">
        <f>IFERROR(__xludf.DUMMYFUNCTION("""COMPUTED_VALUE"""),"AMPLAS EAGLE 500")</f>
        <v>AMPLAS EAGLE 500</v>
      </c>
      <c r="E3893" s="6">
        <f>IFERROR(__xludf.DUMMYFUNCTION("""COMPUTED_VALUE"""),1.0)</f>
        <v>1</v>
      </c>
      <c r="F3893" s="6">
        <f>IFERROR(__xludf.DUMMYFUNCTION("""COMPUTED_VALUE"""),1.0)</f>
        <v>1</v>
      </c>
      <c r="G3893" s="6">
        <f>IFERROR(__xludf.DUMMYFUNCTION("""COMPUTED_VALUE"""),0.0)</f>
        <v>0</v>
      </c>
      <c r="H3893" s="6" t="str">
        <f>IFERROR(__xludf.DUMMYFUNCTION("""COMPUTED_VALUE"""),"Pcs")</f>
        <v>Pcs</v>
      </c>
      <c r="I3893" s="6" t="str">
        <f>IFERROR(__xludf.DUMMYFUNCTION("""COMPUTED_VALUE"""),"MFH")</f>
        <v>MFH</v>
      </c>
      <c r="J3893" s="6" t="str">
        <f>IFERROR(__xludf.DUMMYFUNCTION("""COMPUTED_VALUE"""),"Blister")</f>
        <v>Blister</v>
      </c>
      <c r="K3893" s="6" t="str">
        <f>IFERROR(__xludf.DUMMYFUNCTION("""COMPUTED_VALUE"""),"SPR/07/26/029")</f>
        <v>SPR/07/26/029</v>
      </c>
      <c r="L3893" s="13">
        <f>IFERROR(__xludf.DUMMYFUNCTION("""COMPUTED_VALUE"""),46234.0)</f>
        <v>46234</v>
      </c>
    </row>
    <row r="3894">
      <c r="A3894" s="6" t="str">
        <f>IFERROR(__xludf.DUMMYFUNCTION("""COMPUTED_VALUE"""),"ANO")</f>
        <v>ANO</v>
      </c>
      <c r="B3894" s="6" t="str">
        <f>IFERROR(__xludf.DUMMYFUNCTION("""COMPUTED_VALUE"""),"ENG")</f>
        <v>ENG</v>
      </c>
      <c r="C3894" s="6" t="str">
        <f>IFERROR(__xludf.DUMMYFUNCTION("""COMPUTED_VALUE"""),"P-54218-00")</f>
        <v>P-54218-00</v>
      </c>
      <c r="D3894" s="6" t="str">
        <f>IFERROR(__xludf.DUMMYFUNCTION("""COMPUTED_VALUE"""),"Vertical Float Level Switch VSS-2FJ-S4-L720-FS45-HT; Wingel; ;")</f>
        <v>Vertical Float Level Switch VSS-2FJ-S4-L720-FS45-HT; Wingel; ;</v>
      </c>
      <c r="E3894" s="6">
        <f>IFERROR(__xludf.DUMMYFUNCTION("""COMPUTED_VALUE"""),1.0)</f>
        <v>1</v>
      </c>
      <c r="F3894" s="6">
        <f>IFERROR(__xludf.DUMMYFUNCTION("""COMPUTED_VALUE"""),1.0)</f>
        <v>1</v>
      </c>
      <c r="G3894" s="6">
        <f>IFERROR(__xludf.DUMMYFUNCTION("""COMPUTED_VALUE"""),0.0)</f>
        <v>0</v>
      </c>
      <c r="H3894" s="6" t="str">
        <f>IFERROR(__xludf.DUMMYFUNCTION("""COMPUTED_VALUE"""),"pcs")</f>
        <v>pcs</v>
      </c>
      <c r="I3894" s="6" t="str">
        <f>IFERROR(__xludf.DUMMYFUNCTION("""COMPUTED_VALUE"""),"MFH")</f>
        <v>MFH</v>
      </c>
      <c r="J3894" s="6" t="str">
        <f>IFERROR(__xludf.DUMMYFUNCTION("""COMPUTED_VALUE"""),"WWTP")</f>
        <v>WWTP</v>
      </c>
      <c r="K3894" s="6" t="str">
        <f>IFERROR(__xludf.DUMMYFUNCTION("""COMPUTED_VALUE"""),"SPR/07/26/030")</f>
        <v>SPR/07/26/030</v>
      </c>
      <c r="L3894" s="13">
        <f>IFERROR(__xludf.DUMMYFUNCTION("""COMPUTED_VALUE"""),46234.0)</f>
        <v>46234</v>
      </c>
    </row>
    <row r="3895">
      <c r="A3895" s="6" t="str">
        <f>IFERROR(__xludf.DUMMYFUNCTION("""COMPUTED_VALUE"""),"ANO")</f>
        <v>ANO</v>
      </c>
      <c r="B3895" s="6" t="str">
        <f>IFERROR(__xludf.DUMMYFUNCTION("""COMPUTED_VALUE"""),"ENG")</f>
        <v>ENG</v>
      </c>
      <c r="C3895" s="6" t="str">
        <f>IFERROR(__xludf.DUMMYFUNCTION("""COMPUTED_VALUE"""),"Q-70066-00")</f>
        <v>Q-70066-00</v>
      </c>
      <c r="D3895" s="6" t="str">
        <f>IFERROR(__xludf.DUMMYFUNCTION("""COMPUTED_VALUE"""),"Dynabolt Beton M8x70; M8; M8x70;")</f>
        <v>Dynabolt Beton M8x70; M8; M8x70;</v>
      </c>
      <c r="E3895" s="6">
        <f>IFERROR(__xludf.DUMMYFUNCTION("""COMPUTED_VALUE"""),4.0)</f>
        <v>4</v>
      </c>
      <c r="F3895" s="6">
        <f>IFERROR(__xludf.DUMMYFUNCTION("""COMPUTED_VALUE"""),4.0)</f>
        <v>4</v>
      </c>
      <c r="G3895" s="6">
        <f>IFERROR(__xludf.DUMMYFUNCTION("""COMPUTED_VALUE"""),0.0)</f>
        <v>0</v>
      </c>
      <c r="H3895" s="6" t="str">
        <f>IFERROR(__xludf.DUMMYFUNCTION("""COMPUTED_VALUE"""),"Pcs")</f>
        <v>Pcs</v>
      </c>
      <c r="I3895" s="6" t="str">
        <f>IFERROR(__xludf.DUMMYFUNCTION("""COMPUTED_VALUE"""),"MFH")</f>
        <v>MFH</v>
      </c>
      <c r="J3895" s="6" t="str">
        <f>IFERROR(__xludf.DUMMYFUNCTION("""COMPUTED_VALUE"""),"Flow Meter")</f>
        <v>Flow Meter</v>
      </c>
      <c r="K3895" s="6" t="str">
        <f>IFERROR(__xludf.DUMMYFUNCTION("""COMPUTED_VALUE"""),"SPR/07/26/030")</f>
        <v>SPR/07/26/030</v>
      </c>
      <c r="L3895" s="13">
        <f>IFERROR(__xludf.DUMMYFUNCTION("""COMPUTED_VALUE"""),46234.0)</f>
        <v>46234</v>
      </c>
    </row>
    <row r="3896">
      <c r="A3896" s="6" t="str">
        <f>IFERROR(__xludf.DUMMYFUNCTION("""COMPUTED_VALUE"""),"MRN")</f>
        <v>MRN</v>
      </c>
      <c r="B3896" s="6" t="str">
        <f>IFERROR(__xludf.DUMMYFUNCTION("""COMPUTED_VALUE"""),"ENG")</f>
        <v>ENG</v>
      </c>
      <c r="C3896" s="6" t="str">
        <f>IFERROR(__xludf.DUMMYFUNCTION("""COMPUTED_VALUE"""),"P-50286-00")</f>
        <v>P-50286-00</v>
      </c>
      <c r="D3896" s="6" t="str">
        <f>IFERROR(__xludf.DUMMYFUNCTION("""COMPUTED_VALUE"""),"Kabel NYYHY 3 x 1,5 mm")</f>
        <v>Kabel NYYHY 3 x 1,5 mm</v>
      </c>
      <c r="E3896" s="6">
        <f>IFERROR(__xludf.DUMMYFUNCTION("""COMPUTED_VALUE"""),20.0)</f>
        <v>20</v>
      </c>
      <c r="F3896" s="6">
        <f>IFERROR(__xludf.DUMMYFUNCTION("""COMPUTED_VALUE"""),20.0)</f>
        <v>20</v>
      </c>
      <c r="G3896" s="6">
        <f>IFERROR(__xludf.DUMMYFUNCTION("""COMPUTED_VALUE"""),0.0)</f>
        <v>0</v>
      </c>
      <c r="H3896" s="6" t="str">
        <f>IFERROR(__xludf.DUMMYFUNCTION("""COMPUTED_VALUE"""),"Pcs")</f>
        <v>Pcs</v>
      </c>
      <c r="I3896" s="6" t="str">
        <f>IFERROR(__xludf.DUMMYFUNCTION("""COMPUTED_VALUE"""),"MFH")</f>
        <v>MFH</v>
      </c>
      <c r="J3896" s="6" t="str">
        <f>IFERROR(__xludf.DUMMYFUNCTION("""COMPUTED_VALUE"""),"Building")</f>
        <v>Building</v>
      </c>
      <c r="K3896" s="6" t="str">
        <f>IFERROR(__xludf.DUMMYFUNCTION("""COMPUTED_VALUE"""),"SPR/07/26/031")</f>
        <v>SPR/07/26/031</v>
      </c>
      <c r="L3896" s="13">
        <f>IFERROR(__xludf.DUMMYFUNCTION("""COMPUTED_VALUE"""),46234.0)</f>
        <v>46234</v>
      </c>
    </row>
    <row r="3897">
      <c r="A3897" s="6" t="str">
        <f>IFERROR(__xludf.DUMMYFUNCTION("""COMPUTED_VALUE"""),"MRN")</f>
        <v>MRN</v>
      </c>
      <c r="B3897" s="6" t="str">
        <f>IFERROR(__xludf.DUMMYFUNCTION("""COMPUTED_VALUE"""),"ENG")</f>
        <v>ENG</v>
      </c>
      <c r="C3897" s="6" t="str">
        <f>IFERROR(__xludf.DUMMYFUNCTION("""COMPUTED_VALUE"""),"P-51216-00")</f>
        <v>P-51216-00</v>
      </c>
      <c r="D3897" s="6" t="str">
        <f>IFERROR(__xludf.DUMMYFUNCTION("""COMPUTED_VALUE"""),"Pipa conduit 20mm")</f>
        <v>Pipa conduit 20mm</v>
      </c>
      <c r="E3897" s="6">
        <f>IFERROR(__xludf.DUMMYFUNCTION("""COMPUTED_VALUE"""),2.0)</f>
        <v>2</v>
      </c>
      <c r="F3897" s="6">
        <f>IFERROR(__xludf.DUMMYFUNCTION("""COMPUTED_VALUE"""),2.0)</f>
        <v>2</v>
      </c>
      <c r="G3897" s="6">
        <f>IFERROR(__xludf.DUMMYFUNCTION("""COMPUTED_VALUE"""),0.0)</f>
        <v>0</v>
      </c>
      <c r="H3897" s="6" t="str">
        <f>IFERROR(__xludf.DUMMYFUNCTION("""COMPUTED_VALUE"""),"Pcs")</f>
        <v>Pcs</v>
      </c>
      <c r="I3897" s="6" t="str">
        <f>IFERROR(__xludf.DUMMYFUNCTION("""COMPUTED_VALUE"""),"MFH")</f>
        <v>MFH</v>
      </c>
      <c r="J3897" s="6" t="str">
        <f>IFERROR(__xludf.DUMMYFUNCTION("""COMPUTED_VALUE"""),"Building")</f>
        <v>Building</v>
      </c>
      <c r="K3897" s="6" t="str">
        <f>IFERROR(__xludf.DUMMYFUNCTION("""COMPUTED_VALUE"""),"SPR/07/26/031")</f>
        <v>SPR/07/26/031</v>
      </c>
      <c r="L3897" s="13">
        <f>IFERROR(__xludf.DUMMYFUNCTION("""COMPUTED_VALUE"""),46234.0)</f>
        <v>46234</v>
      </c>
    </row>
    <row r="3898">
      <c r="A3898" s="6" t="str">
        <f>IFERROR(__xludf.DUMMYFUNCTION("""COMPUTED_VALUE"""),"WAP")</f>
        <v>WAP</v>
      </c>
      <c r="B3898" s="6" t="str">
        <f>IFERROR(__xludf.DUMMYFUNCTION("""COMPUTED_VALUE"""),"ENG")</f>
        <v>ENG</v>
      </c>
      <c r="C3898" s="6" t="str">
        <f>IFERROR(__xludf.DUMMYFUNCTION("""COMPUTED_VALUE"""),"P-11182-00")</f>
        <v>P-11182-00</v>
      </c>
      <c r="D3898" s="6" t="str">
        <f>IFERROR(__xludf.DUMMYFUNCTION("""COMPUTED_VALUE"""),"Pneumatic Fitting - QS 6 / Festo")</f>
        <v>Pneumatic Fitting - QS 6 / Festo</v>
      </c>
      <c r="E3898" s="6">
        <f>IFERROR(__xludf.DUMMYFUNCTION("""COMPUTED_VALUE"""),1.0)</f>
        <v>1</v>
      </c>
      <c r="F3898" s="6">
        <f>IFERROR(__xludf.DUMMYFUNCTION("""COMPUTED_VALUE"""),1.0)</f>
        <v>1</v>
      </c>
      <c r="G3898" s="6">
        <f>IFERROR(__xludf.DUMMYFUNCTION("""COMPUTED_VALUE"""),0.0)</f>
        <v>0</v>
      </c>
      <c r="H3898" s="6" t="str">
        <f>IFERROR(__xludf.DUMMYFUNCTION("""COMPUTED_VALUE"""),"Pcs")</f>
        <v>Pcs</v>
      </c>
      <c r="I3898" s="6" t="str">
        <f>IFERROR(__xludf.DUMMYFUNCTION("""COMPUTED_VALUE"""),"MFH")</f>
        <v>MFH</v>
      </c>
      <c r="J3898" s="6" t="str">
        <f>IFERROR(__xludf.DUMMYFUNCTION("""COMPUTED_VALUE"""),"Lab")</f>
        <v>Lab</v>
      </c>
      <c r="K3898" s="6" t="str">
        <f>IFERROR(__xludf.DUMMYFUNCTION("""COMPUTED_VALUE"""),"SPR/07/26/032")</f>
        <v>SPR/07/26/032</v>
      </c>
      <c r="L3898" s="13">
        <f>IFERROR(__xludf.DUMMYFUNCTION("""COMPUTED_VALUE"""),46234.0)</f>
        <v>46234</v>
      </c>
    </row>
    <row r="3899">
      <c r="A3899" s="6" t="str">
        <f>IFERROR(__xludf.DUMMYFUNCTION("""COMPUTED_VALUE"""),"WAP")</f>
        <v>WAP</v>
      </c>
      <c r="B3899" s="6" t="str">
        <f>IFERROR(__xludf.DUMMYFUNCTION("""COMPUTED_VALUE"""),"ENG")</f>
        <v>ENG</v>
      </c>
      <c r="C3899" s="6" t="str">
        <f>IFERROR(__xludf.DUMMYFUNCTION("""COMPUTED_VALUE"""),"O-19430-00")</f>
        <v>O-19430-00</v>
      </c>
      <c r="D3899" s="6" t="str">
        <f>IFERROR(__xludf.DUMMYFUNCTION("""COMPUTED_VALUE"""),"Baut SS L M5 x 20 mm + Mur + Ring; ; ;; ; ;; ; ;")</f>
        <v>Baut SS L M5 x 20 mm + Mur + Ring; ; ;; ; ;; ; ;</v>
      </c>
      <c r="E3899" s="6">
        <f>IFERROR(__xludf.DUMMYFUNCTION("""COMPUTED_VALUE"""),6.0)</f>
        <v>6</v>
      </c>
      <c r="F3899" s="6">
        <f>IFERROR(__xludf.DUMMYFUNCTION("""COMPUTED_VALUE"""),6.0)</f>
        <v>6</v>
      </c>
      <c r="G3899" s="6">
        <f>IFERROR(__xludf.DUMMYFUNCTION("""COMPUTED_VALUE"""),0.0)</f>
        <v>0</v>
      </c>
      <c r="H3899" s="6" t="str">
        <f>IFERROR(__xludf.DUMMYFUNCTION("""COMPUTED_VALUE"""),"Pcs")</f>
        <v>Pcs</v>
      </c>
      <c r="I3899" s="6" t="str">
        <f>IFERROR(__xludf.DUMMYFUNCTION("""COMPUTED_VALUE"""),"MFH")</f>
        <v>MFH</v>
      </c>
      <c r="J3899" s="6" t="str">
        <f>IFERROR(__xludf.DUMMYFUNCTION("""COMPUTED_VALUE"""),"PSD")</f>
        <v>PSD</v>
      </c>
      <c r="K3899" s="6" t="str">
        <f>IFERROR(__xludf.DUMMYFUNCTION("""COMPUTED_VALUE"""),"SPR/07/26/032")</f>
        <v>SPR/07/26/032</v>
      </c>
      <c r="L3899" s="13">
        <f>IFERROR(__xludf.DUMMYFUNCTION("""COMPUTED_VALUE"""),46234.0)</f>
        <v>46234</v>
      </c>
    </row>
    <row r="3900">
      <c r="A3900" s="6" t="str">
        <f>IFERROR(__xludf.DUMMYFUNCTION("""COMPUTED_VALUE"""),"WAP")</f>
        <v>WAP</v>
      </c>
      <c r="B3900" s="6" t="str">
        <f>IFERROR(__xludf.DUMMYFUNCTION("""COMPUTED_VALUE"""),"ENG")</f>
        <v>ENG</v>
      </c>
      <c r="C3900" s="6" t="str">
        <f>IFERROR(__xludf.DUMMYFUNCTION("""COMPUTED_VALUE"""),"O-19430-00")</f>
        <v>O-19430-00</v>
      </c>
      <c r="D3900" s="6" t="str">
        <f>IFERROR(__xludf.DUMMYFUNCTION("""COMPUTED_VALUE"""),"Baut SS L M5 x 20 mm + Mur + Ring; ; ;; ; ;; ; ;")</f>
        <v>Baut SS L M5 x 20 mm + Mur + Ring; ; ;; ; ;; ; ;</v>
      </c>
      <c r="E3900" s="6">
        <f>IFERROR(__xludf.DUMMYFUNCTION("""COMPUTED_VALUE"""),6.0)</f>
        <v>6</v>
      </c>
      <c r="F3900" s="6">
        <f>IFERROR(__xludf.DUMMYFUNCTION("""COMPUTED_VALUE"""),6.0)</f>
        <v>6</v>
      </c>
      <c r="G3900" s="6">
        <f>IFERROR(__xludf.DUMMYFUNCTION("""COMPUTED_VALUE"""),0.0)</f>
        <v>0</v>
      </c>
      <c r="H3900" s="6" t="str">
        <f>IFERROR(__xludf.DUMMYFUNCTION("""COMPUTED_VALUE"""),"Pcs")</f>
        <v>Pcs</v>
      </c>
      <c r="I3900" s="6" t="str">
        <f>IFERROR(__xludf.DUMMYFUNCTION("""COMPUTED_VALUE"""),"MFH")</f>
        <v>MFH</v>
      </c>
      <c r="J3900" s="6" t="str">
        <f>IFERROR(__xludf.DUMMYFUNCTION("""COMPUTED_VALUE"""),"PSD")</f>
        <v>PSD</v>
      </c>
      <c r="K3900" s="6" t="str">
        <f>IFERROR(__xludf.DUMMYFUNCTION("""COMPUTED_VALUE"""),"SPR/07/26/032")</f>
        <v>SPR/07/26/032</v>
      </c>
      <c r="L3900" s="13">
        <f>IFERROR(__xludf.DUMMYFUNCTION("""COMPUTED_VALUE"""),46234.0)</f>
        <v>46234</v>
      </c>
    </row>
    <row r="3901">
      <c r="A3901" s="6" t="str">
        <f>IFERROR(__xludf.DUMMYFUNCTION("""COMPUTED_VALUE"""),"NDS")</f>
        <v>NDS</v>
      </c>
      <c r="B3901" s="6" t="str">
        <f>IFERROR(__xludf.DUMMYFUNCTION("""COMPUTED_VALUE"""),"ENG")</f>
        <v>ENG</v>
      </c>
      <c r="C3901" s="6" t="str">
        <f>IFERROR(__xludf.DUMMYFUNCTION("""COMPUTED_VALUE"""),"O-13617-00")</f>
        <v>O-13617-00</v>
      </c>
      <c r="D3901" s="6" t="str">
        <f>IFERROR(__xludf.DUMMYFUNCTION("""COMPUTED_VALUE"""),"MARCHESINI MA 255 - Flat Belt 728x40x1 mm")</f>
        <v>MARCHESINI MA 255 - Flat Belt 728x40x1 mm</v>
      </c>
      <c r="E3901" s="6">
        <f>IFERROR(__xludf.DUMMYFUNCTION("""COMPUTED_VALUE"""),1.0)</f>
        <v>1</v>
      </c>
      <c r="F3901" s="6">
        <f>IFERROR(__xludf.DUMMYFUNCTION("""COMPUTED_VALUE"""),1.0)</f>
        <v>1</v>
      </c>
      <c r="G3901" s="6">
        <f>IFERROR(__xludf.DUMMYFUNCTION("""COMPUTED_VALUE"""),0.0)</f>
        <v>0</v>
      </c>
      <c r="H3901" s="6" t="str">
        <f>IFERROR(__xludf.DUMMYFUNCTION("""COMPUTED_VALUE"""),"Pcs")</f>
        <v>Pcs</v>
      </c>
      <c r="I3901" s="6" t="str">
        <f>IFERROR(__xludf.DUMMYFUNCTION("""COMPUTED_VALUE"""),"MFH")</f>
        <v>MFH</v>
      </c>
      <c r="J3901" s="6" t="str">
        <f>IFERROR(__xludf.DUMMYFUNCTION("""COMPUTED_VALUE"""),"Cartonning")</f>
        <v>Cartonning</v>
      </c>
      <c r="K3901" s="6" t="str">
        <f>IFERROR(__xludf.DUMMYFUNCTION("""COMPUTED_VALUE"""),"SPR/07/26/033")</f>
        <v>SPR/07/26/033</v>
      </c>
      <c r="L3901" s="13">
        <f>IFERROR(__xludf.DUMMYFUNCTION("""COMPUTED_VALUE"""),46234.0)</f>
        <v>46234</v>
      </c>
    </row>
    <row r="3902">
      <c r="A3902" s="6" t="str">
        <f>IFERROR(__xludf.DUMMYFUNCTION("""COMPUTED_VALUE"""),"NDS")</f>
        <v>NDS</v>
      </c>
      <c r="B3902" s="6" t="str">
        <f>IFERROR(__xludf.DUMMYFUNCTION("""COMPUTED_VALUE"""),"ENG")</f>
        <v>ENG</v>
      </c>
      <c r="C3902" s="6" t="str">
        <f>IFERROR(__xludf.DUMMYFUNCTION("""COMPUTED_VALUE"""),"-")</f>
        <v>-</v>
      </c>
      <c r="D3902" s="6" t="str">
        <f>IFERROR(__xludf.DUMMYFUNCTION("""COMPUTED_VALUE"""),"PCB Passbox Panjang")</f>
        <v>PCB Passbox Panjang</v>
      </c>
      <c r="E3902" s="6">
        <f>IFERROR(__xludf.DUMMYFUNCTION("""COMPUTED_VALUE"""),1.0)</f>
        <v>1</v>
      </c>
      <c r="F3902" s="6">
        <f>IFERROR(__xludf.DUMMYFUNCTION("""COMPUTED_VALUE"""),1.0)</f>
        <v>1</v>
      </c>
      <c r="G3902" s="6">
        <f>IFERROR(__xludf.DUMMYFUNCTION("""COMPUTED_VALUE"""),0.0)</f>
        <v>0</v>
      </c>
      <c r="H3902" s="6" t="str">
        <f>IFERROR(__xludf.DUMMYFUNCTION("""COMPUTED_VALUE"""),"Pcs")</f>
        <v>Pcs</v>
      </c>
      <c r="I3902" s="6" t="str">
        <f>IFERROR(__xludf.DUMMYFUNCTION("""COMPUTED_VALUE"""),"MFH")</f>
        <v>MFH</v>
      </c>
      <c r="J3902" s="6" t="str">
        <f>IFERROR(__xludf.DUMMYFUNCTION("""COMPUTED_VALUE"""),"FIlling")</f>
        <v>FIlling</v>
      </c>
      <c r="K3902" s="6" t="str">
        <f>IFERROR(__xludf.DUMMYFUNCTION("""COMPUTED_VALUE"""),"SPR/07/26/033")</f>
        <v>SPR/07/26/033</v>
      </c>
      <c r="L3902" s="13">
        <f>IFERROR(__xludf.DUMMYFUNCTION("""COMPUTED_VALUE"""),46234.0)</f>
        <v>46234</v>
      </c>
    </row>
    <row r="3903">
      <c r="A3903" s="6" t="str">
        <f>IFERROR(__xludf.DUMMYFUNCTION("""COMPUTED_VALUE"""),"NDS")</f>
        <v>NDS</v>
      </c>
      <c r="B3903" s="6" t="str">
        <f>IFERROR(__xludf.DUMMYFUNCTION("""COMPUTED_VALUE"""),"ENG")</f>
        <v>ENG</v>
      </c>
      <c r="C3903" s="6" t="str">
        <f>IFERROR(__xludf.DUMMYFUNCTION("""COMPUTED_VALUE"""),"Q-10249-00")</f>
        <v>Q-10249-00</v>
      </c>
      <c r="D3903" s="6" t="str">
        <f>IFERROR(__xludf.DUMMYFUNCTION("""COMPUTED_VALUE"""),"Lem Power Glue; ; ;")</f>
        <v>Lem Power Glue; ; ;</v>
      </c>
      <c r="E3903" s="6">
        <f>IFERROR(__xludf.DUMMYFUNCTION("""COMPUTED_VALUE"""),1.0)</f>
        <v>1</v>
      </c>
      <c r="F3903" s="6">
        <f>IFERROR(__xludf.DUMMYFUNCTION("""COMPUTED_VALUE"""),1.0)</f>
        <v>1</v>
      </c>
      <c r="G3903" s="6">
        <f>IFERROR(__xludf.DUMMYFUNCTION("""COMPUTED_VALUE"""),0.0)</f>
        <v>0</v>
      </c>
      <c r="H3903" s="6" t="str">
        <f>IFERROR(__xludf.DUMMYFUNCTION("""COMPUTED_VALUE"""),"Pcs")</f>
        <v>Pcs</v>
      </c>
      <c r="I3903" s="6" t="str">
        <f>IFERROR(__xludf.DUMMYFUNCTION("""COMPUTED_VALUE"""),"MFH")</f>
        <v>MFH</v>
      </c>
      <c r="J3903" s="6" t="str">
        <f>IFERROR(__xludf.DUMMYFUNCTION("""COMPUTED_VALUE"""),"N2 Gen")</f>
        <v>N2 Gen</v>
      </c>
      <c r="K3903" s="6" t="str">
        <f>IFERROR(__xludf.DUMMYFUNCTION("""COMPUTED_VALUE"""),"SPR/07/26/033")</f>
        <v>SPR/07/26/033</v>
      </c>
      <c r="L3903" s="13">
        <f>IFERROR(__xludf.DUMMYFUNCTION("""COMPUTED_VALUE"""),46234.0)</f>
        <v>46234</v>
      </c>
    </row>
    <row r="3904">
      <c r="A3904" s="6" t="str">
        <f>IFERROR(__xludf.DUMMYFUNCTION("""COMPUTED_VALUE"""),"ROS")</f>
        <v>ROS</v>
      </c>
      <c r="B3904" s="6" t="str">
        <f>IFERROR(__xludf.DUMMYFUNCTION("""COMPUTED_VALUE"""),"ENG")</f>
        <v>ENG</v>
      </c>
      <c r="C3904" s="6" t="str">
        <f>IFERROR(__xludf.DUMMYFUNCTION("""COMPUTED_VALUE"""),"T-80109-00")</f>
        <v>T-80109-00</v>
      </c>
      <c r="D3904" s="6" t="str">
        <f>IFERROR(__xludf.DUMMYFUNCTION("""COMPUTED_VALUE"""),"Cellotape Kertas 1 inch warna Putih")</f>
        <v>Cellotape Kertas 1 inch warna Putih</v>
      </c>
      <c r="E3904" s="6">
        <f>IFERROR(__xludf.DUMMYFUNCTION("""COMPUTED_VALUE"""),1.0)</f>
        <v>1</v>
      </c>
      <c r="F3904" s="6">
        <f>IFERROR(__xludf.DUMMYFUNCTION("""COMPUTED_VALUE"""),1.0)</f>
        <v>1</v>
      </c>
      <c r="G3904" s="6">
        <f>IFERROR(__xludf.DUMMYFUNCTION("""COMPUTED_VALUE"""),0.0)</f>
        <v>0</v>
      </c>
      <c r="H3904" s="6" t="str">
        <f>IFERROR(__xludf.DUMMYFUNCTION("""COMPUTED_VALUE"""),"Pcs")</f>
        <v>Pcs</v>
      </c>
      <c r="I3904" s="6" t="str">
        <f>IFERROR(__xludf.DUMMYFUNCTION("""COMPUTED_VALUE"""),"MFH")</f>
        <v>MFH</v>
      </c>
      <c r="J3904" s="6" t="str">
        <f>IFERROR(__xludf.DUMMYFUNCTION("""COMPUTED_VALUE"""),"Autoclave")</f>
        <v>Autoclave</v>
      </c>
      <c r="K3904" s="6" t="str">
        <f>IFERROR(__xludf.DUMMYFUNCTION("""COMPUTED_VALUE"""),"SPR/07/26/034")</f>
        <v>SPR/07/26/034</v>
      </c>
      <c r="L3904" s="13">
        <f>IFERROR(__xludf.DUMMYFUNCTION("""COMPUTED_VALUE"""),46234.0)</f>
        <v>46234</v>
      </c>
    </row>
    <row r="3905">
      <c r="A3905" s="6" t="str">
        <f>IFERROR(__xludf.DUMMYFUNCTION("""COMPUTED_VALUE"""),"MAP")</f>
        <v>MAP</v>
      </c>
      <c r="B3905" s="6" t="str">
        <f>IFERROR(__xludf.DUMMYFUNCTION("""COMPUTED_VALUE"""),"ENG")</f>
        <v>ENG</v>
      </c>
      <c r="C3905" s="6" t="str">
        <f>IFERROR(__xludf.DUMMYFUNCTION("""COMPUTED_VALUE"""),"T-80046-00")</f>
        <v>T-80046-00</v>
      </c>
      <c r="D3905" s="6" t="str">
        <f>IFERROR(__xludf.DUMMYFUNCTION("""COMPUTED_VALUE"""),"Battery ALKALINE AA")</f>
        <v>Battery ALKALINE AA</v>
      </c>
      <c r="E3905" s="6">
        <f>IFERROR(__xludf.DUMMYFUNCTION("""COMPUTED_VALUE"""),2.0)</f>
        <v>2</v>
      </c>
      <c r="F3905" s="6">
        <f>IFERROR(__xludf.DUMMYFUNCTION("""COMPUTED_VALUE"""),2.0)</f>
        <v>2</v>
      </c>
      <c r="G3905" s="6">
        <f>IFERROR(__xludf.DUMMYFUNCTION("""COMPUTED_VALUE"""),0.0)</f>
        <v>0</v>
      </c>
      <c r="H3905" s="6" t="str">
        <f>IFERROR(__xludf.DUMMYFUNCTION("""COMPUTED_VALUE"""),"Pcs")</f>
        <v>Pcs</v>
      </c>
      <c r="I3905" s="6" t="str">
        <f>IFERROR(__xludf.DUMMYFUNCTION("""COMPUTED_VALUE"""),"MFH")</f>
        <v>MFH</v>
      </c>
      <c r="J3905" s="6" t="str">
        <f>IFERROR(__xludf.DUMMYFUNCTION("""COMPUTED_VALUE"""),"Building")</f>
        <v>Building</v>
      </c>
      <c r="K3905" s="6" t="str">
        <f>IFERROR(__xludf.DUMMYFUNCTION("""COMPUTED_VALUE"""),"SPR/07/26/035")</f>
        <v>SPR/07/26/035</v>
      </c>
      <c r="L3905" s="13">
        <f>IFERROR(__xludf.DUMMYFUNCTION("""COMPUTED_VALUE"""),46234.0)</f>
        <v>46234</v>
      </c>
    </row>
    <row r="3906">
      <c r="A3906" s="6" t="str">
        <f>IFERROR(__xludf.DUMMYFUNCTION("""COMPUTED_VALUE"""),"ANO")</f>
        <v>ANO</v>
      </c>
      <c r="B3906" s="6" t="str">
        <f>IFERROR(__xludf.DUMMYFUNCTION("""COMPUTED_VALUE"""),"ENG")</f>
        <v>ENG</v>
      </c>
      <c r="C3906" s="6" t="str">
        <f>IFERROR(__xludf.DUMMYFUNCTION("""COMPUTED_VALUE"""),"P-11175-00")</f>
        <v>P-11175-00</v>
      </c>
      <c r="D3906" s="6" t="str">
        <f>IFERROR(__xludf.DUMMYFUNCTION("""COMPUTED_VALUE"""),"General - Push-in Connector, QS-10-8; Festo; 153039; 1 pcs")</f>
        <v>General - Push-in Connector, QS-10-8; Festo; 153039; 1 pcs</v>
      </c>
      <c r="E3906" s="6">
        <f>IFERROR(__xludf.DUMMYFUNCTION("""COMPUTED_VALUE"""),1.0)</f>
        <v>1</v>
      </c>
      <c r="F3906" s="6">
        <f>IFERROR(__xludf.DUMMYFUNCTION("""COMPUTED_VALUE"""),1.0)</f>
        <v>1</v>
      </c>
      <c r="G3906" s="6">
        <f>IFERROR(__xludf.DUMMYFUNCTION("""COMPUTED_VALUE"""),0.0)</f>
        <v>0</v>
      </c>
      <c r="H3906" s="6" t="str">
        <f>IFERROR(__xludf.DUMMYFUNCTION("""COMPUTED_VALUE"""),"Pcs")</f>
        <v>Pcs</v>
      </c>
      <c r="I3906" s="6" t="str">
        <f>IFERROR(__xludf.DUMMYFUNCTION("""COMPUTED_VALUE"""),"MFH")</f>
        <v>MFH</v>
      </c>
      <c r="J3906" s="6" t="str">
        <f>IFERROR(__xludf.DUMMYFUNCTION("""COMPUTED_VALUE"""),"Piping")</f>
        <v>Piping</v>
      </c>
      <c r="K3906" s="6" t="str">
        <f>IFERROR(__xludf.DUMMYFUNCTION("""COMPUTED_VALUE"""),"SPR/07/26/036")</f>
        <v>SPR/07/26/036</v>
      </c>
      <c r="L3906" s="13">
        <f>IFERROR(__xludf.DUMMYFUNCTION("""COMPUTED_VALUE"""),46234.0)</f>
        <v>46234</v>
      </c>
    </row>
    <row r="3907">
      <c r="A3907" s="6" t="str">
        <f>IFERROR(__xludf.DUMMYFUNCTION("""COMPUTED_VALUE"""),"ANO")</f>
        <v>ANO</v>
      </c>
      <c r="B3907" s="6" t="str">
        <f>IFERROR(__xludf.DUMMYFUNCTION("""COMPUTED_VALUE"""),"ENG")</f>
        <v>ENG</v>
      </c>
      <c r="C3907" s="6" t="str">
        <f>IFERROR(__xludf.DUMMYFUNCTION("""COMPUTED_VALUE"""),"P-12265-00")</f>
        <v>P-12265-00</v>
      </c>
      <c r="D3907" s="6" t="str">
        <f>IFERROR(__xludf.DUMMYFUNCTION("""COMPUTED_VALUE"""),"FESTO - Push In Connector QS-8-6 p/n 153038")</f>
        <v>FESTO - Push In Connector QS-8-6 p/n 153038</v>
      </c>
      <c r="E3907" s="6">
        <f>IFERROR(__xludf.DUMMYFUNCTION("""COMPUTED_VALUE"""),1.0)</f>
        <v>1</v>
      </c>
      <c r="F3907" s="6">
        <f>IFERROR(__xludf.DUMMYFUNCTION("""COMPUTED_VALUE"""),1.0)</f>
        <v>1</v>
      </c>
      <c r="G3907" s="6">
        <f>IFERROR(__xludf.DUMMYFUNCTION("""COMPUTED_VALUE"""),0.0)</f>
        <v>0</v>
      </c>
      <c r="H3907" s="6" t="str">
        <f>IFERROR(__xludf.DUMMYFUNCTION("""COMPUTED_VALUE"""),"Pcs")</f>
        <v>Pcs</v>
      </c>
      <c r="I3907" s="6" t="str">
        <f>IFERROR(__xludf.DUMMYFUNCTION("""COMPUTED_VALUE"""),"MFH")</f>
        <v>MFH</v>
      </c>
      <c r="J3907" s="6" t="str">
        <f>IFERROR(__xludf.DUMMYFUNCTION("""COMPUTED_VALUE"""),"Piping")</f>
        <v>Piping</v>
      </c>
      <c r="K3907" s="6" t="str">
        <f>IFERROR(__xludf.DUMMYFUNCTION("""COMPUTED_VALUE"""),"SPR/07/26/036")</f>
        <v>SPR/07/26/036</v>
      </c>
      <c r="L3907" s="13">
        <f>IFERROR(__xludf.DUMMYFUNCTION("""COMPUTED_VALUE"""),46234.0)</f>
        <v>46234</v>
      </c>
    </row>
    <row r="3908">
      <c r="A3908" s="6" t="str">
        <f>IFERROR(__xludf.DUMMYFUNCTION("""COMPUTED_VALUE"""),"MRN")</f>
        <v>MRN</v>
      </c>
      <c r="B3908" s="6" t="str">
        <f>IFERROR(__xludf.DUMMYFUNCTION("""COMPUTED_VALUE"""),"ENG")</f>
        <v>ENG</v>
      </c>
      <c r="C3908" s="6" t="str">
        <f>IFERROR(__xludf.DUMMYFUNCTION("""COMPUTED_VALUE"""),"Q-10401-00")</f>
        <v>Q-10401-00</v>
      </c>
      <c r="D3908" s="6" t="str">
        <f>IFERROR(__xludf.DUMMYFUNCTION("""COMPUTED_VALUE"""),"Kuas Cat Uk. 3 inch;Eterna;Tipe 611;pack size per pcs")</f>
        <v>Kuas Cat Uk. 3 inch;Eterna;Tipe 611;pack size per pcs</v>
      </c>
      <c r="E3908" s="6">
        <f>IFERROR(__xludf.DUMMYFUNCTION("""COMPUTED_VALUE"""),1.0)</f>
        <v>1</v>
      </c>
      <c r="F3908" s="6">
        <f>IFERROR(__xludf.DUMMYFUNCTION("""COMPUTED_VALUE"""),1.0)</f>
        <v>1</v>
      </c>
      <c r="G3908" s="6">
        <f>IFERROR(__xludf.DUMMYFUNCTION("""COMPUTED_VALUE"""),0.0)</f>
        <v>0</v>
      </c>
      <c r="H3908" s="6" t="str">
        <f>IFERROR(__xludf.DUMMYFUNCTION("""COMPUTED_VALUE"""),"Pcs")</f>
        <v>Pcs</v>
      </c>
      <c r="I3908" s="6" t="str">
        <f>IFERROR(__xludf.DUMMYFUNCTION("""COMPUTED_VALUE"""),"MFH")</f>
        <v>MFH</v>
      </c>
      <c r="J3908" s="6" t="str">
        <f>IFERROR(__xludf.DUMMYFUNCTION("""COMPUTED_VALUE"""),"-")</f>
        <v>-</v>
      </c>
      <c r="K3908" s="6" t="str">
        <f>IFERROR(__xludf.DUMMYFUNCTION("""COMPUTED_VALUE"""),"SPR/07/26/037")</f>
        <v>SPR/07/26/037</v>
      </c>
      <c r="L3908" s="13">
        <f>IFERROR(__xludf.DUMMYFUNCTION("""COMPUTED_VALUE"""),46234.0)</f>
        <v>46234</v>
      </c>
    </row>
    <row r="3909">
      <c r="A3909" s="6" t="str">
        <f>IFERROR(__xludf.DUMMYFUNCTION("""COMPUTED_VALUE"""),"KFF")</f>
        <v>KFF</v>
      </c>
      <c r="B3909" s="6" t="str">
        <f>IFERROR(__xludf.DUMMYFUNCTION("""COMPUTED_VALUE"""),"ENG")</f>
        <v>ENG</v>
      </c>
      <c r="C3909" s="6" t="str">
        <f>IFERROR(__xludf.DUMMYFUNCTION("""COMPUTED_VALUE"""),"O-16033-00")</f>
        <v>O-16033-00</v>
      </c>
      <c r="D390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909" s="6">
        <f>IFERROR(__xludf.DUMMYFUNCTION("""COMPUTED_VALUE"""),2.0)</f>
        <v>2</v>
      </c>
      <c r="F3909" s="6">
        <f>IFERROR(__xludf.DUMMYFUNCTION("""COMPUTED_VALUE"""),2.0)</f>
        <v>2</v>
      </c>
      <c r="G3909" s="6">
        <f>IFERROR(__xludf.DUMMYFUNCTION("""COMPUTED_VALUE"""),0.0)</f>
        <v>0</v>
      </c>
      <c r="H3909" s="6" t="str">
        <f>IFERROR(__xludf.DUMMYFUNCTION("""COMPUTED_VALUE"""),"Pcs")</f>
        <v>Pcs</v>
      </c>
      <c r="I3909" s="6" t="str">
        <f>IFERROR(__xludf.DUMMYFUNCTION("""COMPUTED_VALUE"""),"MFH")</f>
        <v>MFH</v>
      </c>
      <c r="J3909" s="6" t="str">
        <f>IFERROR(__xludf.DUMMYFUNCTION("""COMPUTED_VALUE"""),"cRABS")</f>
        <v>cRABS</v>
      </c>
      <c r="K3909" s="6" t="str">
        <f>IFERROR(__xludf.DUMMYFUNCTION("""COMPUTED_VALUE"""),"SPR/07/26/038")</f>
        <v>SPR/07/26/038</v>
      </c>
      <c r="L3909" s="13">
        <f>IFERROR(__xludf.DUMMYFUNCTION("""COMPUTED_VALUE"""),46234.0)</f>
        <v>46234</v>
      </c>
    </row>
    <row r="3910">
      <c r="A3910" s="6" t="str">
        <f>IFERROR(__xludf.DUMMYFUNCTION("""COMPUTED_VALUE"""),"MOB")</f>
        <v>MOB</v>
      </c>
      <c r="B3910" s="6" t="str">
        <f>IFERROR(__xludf.DUMMYFUNCTION("""COMPUTED_VALUE"""),"ENG")</f>
        <v>ENG</v>
      </c>
      <c r="C3910" s="6" t="str">
        <f>IFERROR(__xludf.DUMMYFUNCTION("""COMPUTED_VALUE"""),"P-10945-00")</f>
        <v>P-10945-00</v>
      </c>
      <c r="D3910" s="6" t="str">
        <f>IFERROR(__xludf.DUMMYFUNCTION("""COMPUTED_VALUE"""),"Insulation - Seal Tape onda")</f>
        <v>Insulation - Seal Tape onda</v>
      </c>
      <c r="E3910" s="6">
        <f>IFERROR(__xludf.DUMMYFUNCTION("""COMPUTED_VALUE"""),1.0)</f>
        <v>1</v>
      </c>
      <c r="F3910" s="6">
        <f>IFERROR(__xludf.DUMMYFUNCTION("""COMPUTED_VALUE"""),1.0)</f>
        <v>1</v>
      </c>
      <c r="G3910" s="6">
        <f>IFERROR(__xludf.DUMMYFUNCTION("""COMPUTED_VALUE"""),0.0)</f>
        <v>0</v>
      </c>
      <c r="H3910" s="6" t="str">
        <f>IFERROR(__xludf.DUMMYFUNCTION("""COMPUTED_VALUE"""),"Pcs")</f>
        <v>Pcs</v>
      </c>
      <c r="I3910" s="6" t="str">
        <f>IFERROR(__xludf.DUMMYFUNCTION("""COMPUTED_VALUE"""),"MFH")</f>
        <v>MFH</v>
      </c>
      <c r="J3910" s="6" t="str">
        <f>IFERROR(__xludf.DUMMYFUNCTION("""COMPUTED_VALUE"""),"-")</f>
        <v>-</v>
      </c>
      <c r="K3910" s="6" t="str">
        <f>IFERROR(__xludf.DUMMYFUNCTION("""COMPUTED_VALUE"""),"SPR/07/26/039")</f>
        <v>SPR/07/26/039</v>
      </c>
      <c r="L3910" s="13">
        <f>IFERROR(__xludf.DUMMYFUNCTION("""COMPUTED_VALUE"""),46234.0)</f>
        <v>46234</v>
      </c>
    </row>
    <row r="3911">
      <c r="A3911" s="6" t="str">
        <f>IFERROR(__xludf.DUMMYFUNCTION("""COMPUTED_VALUE"""),"MRN")</f>
        <v>MRN</v>
      </c>
      <c r="B3911" s="6" t="str">
        <f>IFERROR(__xludf.DUMMYFUNCTION("""COMPUTED_VALUE"""),"ENG")</f>
        <v>ENG</v>
      </c>
      <c r="C3911" s="6" t="str">
        <f>IFERROR(__xludf.DUMMYFUNCTION("""COMPUTED_VALUE"""),"P-15862-00")</f>
        <v>P-15862-00</v>
      </c>
      <c r="D3911" s="6" t="str">
        <f>IFERROR(__xludf.DUMMYFUNCTION("""COMPUTED_VALUE"""),"PAPER RECORD YOKOGAWA; FOLDING CHART B9565AW")</f>
        <v>PAPER RECORD YOKOGAWA; FOLDING CHART B9565AW</v>
      </c>
      <c r="E3911" s="6">
        <f>IFERROR(__xludf.DUMMYFUNCTION("""COMPUTED_VALUE"""),1.0)</f>
        <v>1</v>
      </c>
      <c r="F3911" s="6">
        <f>IFERROR(__xludf.DUMMYFUNCTION("""COMPUTED_VALUE"""),1.0)</f>
        <v>1</v>
      </c>
      <c r="G3911" s="6">
        <f>IFERROR(__xludf.DUMMYFUNCTION("""COMPUTED_VALUE"""),0.0)</f>
        <v>0</v>
      </c>
      <c r="H3911" s="6" t="str">
        <f>IFERROR(__xludf.DUMMYFUNCTION("""COMPUTED_VALUE"""),"Pcs")</f>
        <v>Pcs</v>
      </c>
      <c r="I3911" s="6" t="str">
        <f>IFERROR(__xludf.DUMMYFUNCTION("""COMPUTED_VALUE"""),"MFH")</f>
        <v>MFH</v>
      </c>
      <c r="J3911" s="6" t="str">
        <f>IFERROR(__xludf.DUMMYFUNCTION("""COMPUTED_VALUE"""),"WFI SKID")</f>
        <v>WFI SKID</v>
      </c>
      <c r="K3911" s="6" t="str">
        <f>IFERROR(__xludf.DUMMYFUNCTION("""COMPUTED_VALUE"""),"SPR/07/26/040")</f>
        <v>SPR/07/26/040</v>
      </c>
      <c r="L3911" s="13">
        <f>IFERROR(__xludf.DUMMYFUNCTION("""COMPUTED_VALUE"""),46234.0)</f>
        <v>46234</v>
      </c>
    </row>
    <row r="3912">
      <c r="A3912" s="6" t="str">
        <f>IFERROR(__xludf.DUMMYFUNCTION("""COMPUTED_VALUE"""),"SFH")</f>
        <v>SFH</v>
      </c>
      <c r="B3912" s="6" t="str">
        <f>IFERROR(__xludf.DUMMYFUNCTION("""COMPUTED_VALUE"""),"ENG")</f>
        <v>ENG</v>
      </c>
      <c r="C3912" s="6" t="str">
        <f>IFERROR(__xludf.DUMMYFUNCTION("""COMPUTED_VALUE"""),"Q-60502-00")</f>
        <v>Q-60502-00</v>
      </c>
      <c r="D3912" s="6" t="str">
        <f>IFERROR(__xludf.DUMMYFUNCTION("""COMPUTED_VALUE"""),"Silicone Sealant, Silglaze, Type N10 White, pack size per pcs")</f>
        <v>Silicone Sealant, Silglaze, Type N10 White, pack size per pcs</v>
      </c>
      <c r="E3912" s="6">
        <f>IFERROR(__xludf.DUMMYFUNCTION("""COMPUTED_VALUE"""),1.0)</f>
        <v>1</v>
      </c>
      <c r="F3912" s="6">
        <f>IFERROR(__xludf.DUMMYFUNCTION("""COMPUTED_VALUE"""),1.0)</f>
        <v>1</v>
      </c>
      <c r="G3912" s="6">
        <f>IFERROR(__xludf.DUMMYFUNCTION("""COMPUTED_VALUE"""),0.0)</f>
        <v>0</v>
      </c>
      <c r="H3912" s="6" t="str">
        <f>IFERROR(__xludf.DUMMYFUNCTION("""COMPUTED_VALUE"""),"Pcs")</f>
        <v>Pcs</v>
      </c>
      <c r="I3912" s="6" t="str">
        <f>IFERROR(__xludf.DUMMYFUNCTION("""COMPUTED_VALUE"""),"MFH")</f>
        <v>MFH</v>
      </c>
      <c r="J3912" s="6" t="str">
        <f>IFERROR(__xludf.DUMMYFUNCTION("""COMPUTED_VALUE"""),"Building")</f>
        <v>Building</v>
      </c>
      <c r="K3912" s="6" t="str">
        <f>IFERROR(__xludf.DUMMYFUNCTION("""COMPUTED_VALUE"""),"SPR/07/26/041")</f>
        <v>SPR/07/26/041</v>
      </c>
      <c r="L3912" s="13">
        <f>IFERROR(__xludf.DUMMYFUNCTION("""COMPUTED_VALUE"""),46234.0)</f>
        <v>46234</v>
      </c>
    </row>
    <row r="3913">
      <c r="A3913" s="6" t="str">
        <f>IFERROR(__xludf.DUMMYFUNCTION("""COMPUTED_VALUE"""),"SFH")</f>
        <v>SFH</v>
      </c>
      <c r="B3913" s="6" t="str">
        <f>IFERROR(__xludf.DUMMYFUNCTION("""COMPUTED_VALUE"""),"ENG")</f>
        <v>ENG</v>
      </c>
      <c r="C3913" s="6" t="str">
        <f>IFERROR(__xludf.DUMMYFUNCTION("""COMPUTED_VALUE"""),"O-15931-00")</f>
        <v>O-15931-00</v>
      </c>
      <c r="D3913" s="6" t="str">
        <f>IFERROR(__xludf.DUMMYFUNCTION("""COMPUTED_VALUE"""),"Double Tape 3M 1"" Merah - P/N : - pc")</f>
        <v>Double Tape 3M 1" Merah - P/N : - pc</v>
      </c>
      <c r="E3913" s="6">
        <f>IFERROR(__xludf.DUMMYFUNCTION("""COMPUTED_VALUE"""),1.0)</f>
        <v>1</v>
      </c>
      <c r="F3913" s="6">
        <f>IFERROR(__xludf.DUMMYFUNCTION("""COMPUTED_VALUE"""),1.0)</f>
        <v>1</v>
      </c>
      <c r="G3913" s="6">
        <f>IFERROR(__xludf.DUMMYFUNCTION("""COMPUTED_VALUE"""),0.0)</f>
        <v>0</v>
      </c>
      <c r="H3913" s="6" t="str">
        <f>IFERROR(__xludf.DUMMYFUNCTION("""COMPUTED_VALUE"""),"Pcs")</f>
        <v>Pcs</v>
      </c>
      <c r="I3913" s="6" t="str">
        <f>IFERROR(__xludf.DUMMYFUNCTION("""COMPUTED_VALUE"""),"MFH")</f>
        <v>MFH</v>
      </c>
      <c r="J3913" s="6" t="str">
        <f>IFERROR(__xludf.DUMMYFUNCTION("""COMPUTED_VALUE"""),"Building")</f>
        <v>Building</v>
      </c>
      <c r="K3913" s="6" t="str">
        <f>IFERROR(__xludf.DUMMYFUNCTION("""COMPUTED_VALUE"""),"SPR/07/26/041")</f>
        <v>SPR/07/26/041</v>
      </c>
      <c r="L3913" s="13">
        <f>IFERROR(__xludf.DUMMYFUNCTION("""COMPUTED_VALUE"""),46234.0)</f>
        <v>46234</v>
      </c>
    </row>
    <row r="3914">
      <c r="A3914" s="6" t="str">
        <f>IFERROR(__xludf.DUMMYFUNCTION("""COMPUTED_VALUE"""),"WAP")</f>
        <v>WAP</v>
      </c>
      <c r="B3914" s="6" t="str">
        <f>IFERROR(__xludf.DUMMYFUNCTION("""COMPUTED_VALUE"""),"ENG")</f>
        <v>ENG</v>
      </c>
      <c r="C3914" s="6" t="str">
        <f>IFERROR(__xludf.DUMMYFUNCTION("""COMPUTED_VALUE"""),"S-40645-00")</f>
        <v>S-40645-00</v>
      </c>
      <c r="D3914" s="6" t="str">
        <f>IFERROR(__xludf.DUMMYFUNCTION("""COMPUTED_VALUE"""),"Cable Ties, 200 x 4.8 mm; SIGMA; CS 200L; Putih;100 pcs/pack")</f>
        <v>Cable Ties, 200 x 4.8 mm; SIGMA; CS 200L; Putih;100 pcs/pack</v>
      </c>
      <c r="E3914" s="6">
        <f>IFERROR(__xludf.DUMMYFUNCTION("""COMPUTED_VALUE"""),10.0)</f>
        <v>10</v>
      </c>
      <c r="F3914" s="6">
        <f>IFERROR(__xludf.DUMMYFUNCTION("""COMPUTED_VALUE"""),10.0)</f>
        <v>10</v>
      </c>
      <c r="G3914" s="6">
        <f>IFERROR(__xludf.DUMMYFUNCTION("""COMPUTED_VALUE"""),0.0)</f>
        <v>0</v>
      </c>
      <c r="H3914" s="6" t="str">
        <f>IFERROR(__xludf.DUMMYFUNCTION("""COMPUTED_VALUE"""),"Pcs")</f>
        <v>Pcs</v>
      </c>
      <c r="I3914" s="6" t="str">
        <f>IFERROR(__xludf.DUMMYFUNCTION("""COMPUTED_VALUE"""),"MFH")</f>
        <v>MFH</v>
      </c>
      <c r="J3914" s="6" t="str">
        <f>IFERROR(__xludf.DUMMYFUNCTION("""COMPUTED_VALUE"""),"-")</f>
        <v>-</v>
      </c>
      <c r="K3914" s="6" t="str">
        <f>IFERROR(__xludf.DUMMYFUNCTION("""COMPUTED_VALUE"""),"SPR/07/26/042")</f>
        <v>SPR/07/26/042</v>
      </c>
      <c r="L3914" s="13">
        <f>IFERROR(__xludf.DUMMYFUNCTION("""COMPUTED_VALUE"""),46234.0)</f>
        <v>46234</v>
      </c>
    </row>
    <row r="3915">
      <c r="A3915" s="6" t="str">
        <f>IFERROR(__xludf.DUMMYFUNCTION("""COMPUTED_VALUE"""),"ROS")</f>
        <v>ROS</v>
      </c>
      <c r="B3915" s="6" t="str">
        <f>IFERROR(__xludf.DUMMYFUNCTION("""COMPUTED_VALUE"""),"ENG")</f>
        <v>ENG</v>
      </c>
      <c r="C3915" s="6" t="str">
        <f>IFERROR(__xludf.DUMMYFUNCTION("""COMPUTED_VALUE"""),"O-15902-00")</f>
        <v>O-15902-00</v>
      </c>
      <c r="D3915" s="6" t="str">
        <f>IFERROR(__xludf.DUMMYFUNCTION("""COMPUTED_VALUE"""),"Suction Cup capping size 6R; P/N : 011010; ; ;")</f>
        <v>Suction Cup capping size 6R; P/N : 011010; ; ;</v>
      </c>
      <c r="E3915" s="6">
        <f>IFERROR(__xludf.DUMMYFUNCTION("""COMPUTED_VALUE"""),5.0)</f>
        <v>5</v>
      </c>
      <c r="F3915" s="6">
        <f>IFERROR(__xludf.DUMMYFUNCTION("""COMPUTED_VALUE"""),5.0)</f>
        <v>5</v>
      </c>
      <c r="G3915" s="6">
        <f>IFERROR(__xludf.DUMMYFUNCTION("""COMPUTED_VALUE"""),0.0)</f>
        <v>0</v>
      </c>
      <c r="H3915" s="6" t="str">
        <f>IFERROR(__xludf.DUMMYFUNCTION("""COMPUTED_VALUE"""),"Pcs")</f>
        <v>Pcs</v>
      </c>
      <c r="I3915" s="6" t="str">
        <f>IFERROR(__xludf.DUMMYFUNCTION("""COMPUTED_VALUE"""),"MFH")</f>
        <v>MFH</v>
      </c>
      <c r="J3915" s="6" t="str">
        <f>IFERROR(__xludf.DUMMYFUNCTION("""COMPUTED_VALUE"""),"Capping")</f>
        <v>Capping</v>
      </c>
      <c r="K3915" s="6" t="str">
        <f>IFERROR(__xludf.DUMMYFUNCTION("""COMPUTED_VALUE"""),"SPR/07/26/043")</f>
        <v>SPR/07/26/043</v>
      </c>
      <c r="L3915" s="13">
        <f>IFERROR(__xludf.DUMMYFUNCTION("""COMPUTED_VALUE"""),46234.0)</f>
        <v>46234</v>
      </c>
    </row>
    <row r="3916">
      <c r="A3916" s="6" t="str">
        <f>IFERROR(__xludf.DUMMYFUNCTION("""COMPUTED_VALUE"""),"ROS")</f>
        <v>ROS</v>
      </c>
      <c r="B3916" s="6" t="str">
        <f>IFERROR(__xludf.DUMMYFUNCTION("""COMPUTED_VALUE"""),"ENG")</f>
        <v>ENG</v>
      </c>
      <c r="C3916" s="6" t="str">
        <f>IFERROR(__xludf.DUMMYFUNCTION("""COMPUTED_VALUE"""),"O-15697-00")</f>
        <v>O-15697-00</v>
      </c>
      <c r="D3916" s="6" t="str">
        <f>IFERROR(__xludf.DUMMYFUNCTION("""COMPUTED_VALUE"""),"SILICONE SUCKER 01.16.20; PART NO :202370")</f>
        <v>SILICONE SUCKER 01.16.20; PART NO :202370</v>
      </c>
      <c r="E3916" s="6">
        <f>IFERROR(__xludf.DUMMYFUNCTION("""COMPUTED_VALUE"""),5.0)</f>
        <v>5</v>
      </c>
      <c r="F3916" s="6">
        <f>IFERROR(__xludf.DUMMYFUNCTION("""COMPUTED_VALUE"""),10.0)</f>
        <v>10</v>
      </c>
      <c r="G3916" s="6">
        <f>IFERROR(__xludf.DUMMYFUNCTION("""COMPUTED_VALUE"""),0.0)</f>
        <v>0</v>
      </c>
      <c r="H3916" s="6" t="str">
        <f>IFERROR(__xludf.DUMMYFUNCTION("""COMPUTED_VALUE"""),"Pcs")</f>
        <v>Pcs</v>
      </c>
      <c r="I3916" s="6" t="str">
        <f>IFERROR(__xludf.DUMMYFUNCTION("""COMPUTED_VALUE"""),"MFH")</f>
        <v>MFH</v>
      </c>
      <c r="J3916" s="6" t="str">
        <f>IFERROR(__xludf.DUMMYFUNCTION("""COMPUTED_VALUE"""),"Capping")</f>
        <v>Capping</v>
      </c>
      <c r="K3916" s="6" t="str">
        <f>IFERROR(__xludf.DUMMYFUNCTION("""COMPUTED_VALUE"""),"SPR/07/26/043")</f>
        <v>SPR/07/26/043</v>
      </c>
      <c r="L3916" s="13">
        <f>IFERROR(__xludf.DUMMYFUNCTION("""COMPUTED_VALUE"""),46234.0)</f>
        <v>46234</v>
      </c>
    </row>
    <row r="3917">
      <c r="A3917" s="6" t="str">
        <f>IFERROR(__xludf.DUMMYFUNCTION("""COMPUTED_VALUE"""),"ERA")</f>
        <v>ERA</v>
      </c>
      <c r="B3917" s="6" t="str">
        <f>IFERROR(__xludf.DUMMYFUNCTION("""COMPUTED_VALUE"""),"ENG")</f>
        <v>ENG</v>
      </c>
      <c r="C3917" s="6" t="str">
        <f>IFERROR(__xludf.DUMMYFUNCTION("""COMPUTED_VALUE"""),"T-20591-00")</f>
        <v>T-20591-00</v>
      </c>
      <c r="D3917" s="6" t="str">
        <f>IFERROR(__xludf.DUMMYFUNCTION("""COMPUTED_VALUE"""),"Kit, Performance PLUS seal pack rebuild; Waters; 700011783; 1 pieces / pack")</f>
        <v>Kit, Performance PLUS seal pack rebuild; Waters; 700011783; 1 pieces / pack</v>
      </c>
      <c r="E3917" s="6">
        <f>IFERROR(__xludf.DUMMYFUNCTION("""COMPUTED_VALUE"""),1.0)</f>
        <v>1</v>
      </c>
      <c r="F3917" s="6">
        <f>IFERROR(__xludf.DUMMYFUNCTION("""COMPUTED_VALUE"""),1.0)</f>
        <v>1</v>
      </c>
      <c r="G3917" s="6">
        <f>IFERROR(__xludf.DUMMYFUNCTION("""COMPUTED_VALUE"""),0.0)</f>
        <v>0</v>
      </c>
      <c r="H3917" s="6" t="str">
        <f>IFERROR(__xludf.DUMMYFUNCTION("""COMPUTED_VALUE"""),"Pcs")</f>
        <v>Pcs</v>
      </c>
      <c r="I3917" s="6" t="str">
        <f>IFERROR(__xludf.DUMMYFUNCTION("""COMPUTED_VALUE"""),"MFH")</f>
        <v>MFH</v>
      </c>
      <c r="J3917" s="6" t="str">
        <f>IFERROR(__xludf.DUMMYFUNCTION("""COMPUTED_VALUE"""),"HPLC")</f>
        <v>HPLC</v>
      </c>
      <c r="K3917" s="6" t="str">
        <f>IFERROR(__xludf.DUMMYFUNCTION("""COMPUTED_VALUE"""),"SPR/07/26/044")</f>
        <v>SPR/07/26/044</v>
      </c>
      <c r="L3917" s="13">
        <f>IFERROR(__xludf.DUMMYFUNCTION("""COMPUTED_VALUE"""),46234.0)</f>
        <v>46234</v>
      </c>
    </row>
    <row r="3918">
      <c r="A3918" s="6" t="str">
        <f>IFERROR(__xludf.DUMMYFUNCTION("""COMPUTED_VALUE"""),"ROS")</f>
        <v>ROS</v>
      </c>
      <c r="B3918" s="6" t="str">
        <f>IFERROR(__xludf.DUMMYFUNCTION("""COMPUTED_VALUE"""),"ENG")</f>
        <v>ENG</v>
      </c>
      <c r="C3918" s="6" t="str">
        <f>IFERROR(__xludf.DUMMYFUNCTION("""COMPUTED_VALUE"""),"T-20725-00")</f>
        <v>T-20725-00</v>
      </c>
      <c r="D3918" s="6" t="str">
        <f>IFERROR(__xludf.DUMMYFUNCTION("""COMPUTED_VALUE"""),"Performance Plus Check Valve Housing; Waters; 700002332;")</f>
        <v>Performance Plus Check Valve Housing; Waters; 700002332;</v>
      </c>
      <c r="E3918" s="6">
        <f>IFERROR(__xludf.DUMMYFUNCTION("""COMPUTED_VALUE"""),1.0)</f>
        <v>1</v>
      </c>
      <c r="F3918" s="6">
        <f>IFERROR(__xludf.DUMMYFUNCTION("""COMPUTED_VALUE"""),1.0)</f>
        <v>1</v>
      </c>
      <c r="G3918" s="6">
        <f>IFERROR(__xludf.DUMMYFUNCTION("""COMPUTED_VALUE"""),0.0)</f>
        <v>0</v>
      </c>
      <c r="H3918" s="6" t="str">
        <f>IFERROR(__xludf.DUMMYFUNCTION("""COMPUTED_VALUE"""),"Pcs")</f>
        <v>Pcs</v>
      </c>
      <c r="I3918" s="6" t="str">
        <f>IFERROR(__xludf.DUMMYFUNCTION("""COMPUTED_VALUE"""),"MFH")</f>
        <v>MFH</v>
      </c>
      <c r="J3918" s="6" t="str">
        <f>IFERROR(__xludf.DUMMYFUNCTION("""COMPUTED_VALUE"""),"HPLC")</f>
        <v>HPLC</v>
      </c>
      <c r="K3918" s="6" t="str">
        <f>IFERROR(__xludf.DUMMYFUNCTION("""COMPUTED_VALUE"""),"SPR/07/26/045")</f>
        <v>SPR/07/26/045</v>
      </c>
      <c r="L3918" s="13">
        <f>IFERROR(__xludf.DUMMYFUNCTION("""COMPUTED_VALUE"""),46234.0)</f>
        <v>46234</v>
      </c>
    </row>
    <row r="3919">
      <c r="A3919" s="6" t="str">
        <f>IFERROR(__xludf.DUMMYFUNCTION("""COMPUTED_VALUE"""),"ANO")</f>
        <v>ANO</v>
      </c>
      <c r="B3919" s="6" t="str">
        <f>IFERROR(__xludf.DUMMYFUNCTION("""COMPUTED_VALUE"""),"ENG")</f>
        <v>ENG</v>
      </c>
      <c r="C3919" s="6" t="str">
        <f>IFERROR(__xludf.DUMMYFUNCTION("""COMPUTED_VALUE"""),"P-14877-00")</f>
        <v>P-14877-00</v>
      </c>
      <c r="D3919" s="6" t="str">
        <f>IFERROR(__xludf.DUMMYFUNCTION("""COMPUTED_VALUE"""),"General - Kabel NYYHY 3 x 2.5mm; SUPREME; -; 1 meter")</f>
        <v>General - Kabel NYYHY 3 x 2.5mm; SUPREME; -; 1 meter</v>
      </c>
      <c r="E3919" s="6">
        <f>IFERROR(__xludf.DUMMYFUNCTION("""COMPUTED_VALUE"""),8.0)</f>
        <v>8</v>
      </c>
      <c r="F3919" s="6">
        <f>IFERROR(__xludf.DUMMYFUNCTION("""COMPUTED_VALUE"""),8.0)</f>
        <v>8</v>
      </c>
      <c r="G3919" s="6">
        <f>IFERROR(__xludf.DUMMYFUNCTION("""COMPUTED_VALUE"""),0.0)</f>
        <v>0</v>
      </c>
      <c r="H3919" s="6" t="str">
        <f>IFERROR(__xludf.DUMMYFUNCTION("""COMPUTED_VALUE"""),"Pcs")</f>
        <v>Pcs</v>
      </c>
      <c r="I3919" s="6" t="str">
        <f>IFERROR(__xludf.DUMMYFUNCTION("""COMPUTED_VALUE"""),"MFH")</f>
        <v>MFH</v>
      </c>
      <c r="J3919" s="6" t="str">
        <f>IFERROR(__xludf.DUMMYFUNCTION("""COMPUTED_VALUE"""),"Building")</f>
        <v>Building</v>
      </c>
      <c r="K3919" s="6" t="str">
        <f>IFERROR(__xludf.DUMMYFUNCTION("""COMPUTED_VALUE"""),"SPR/07/26/046")</f>
        <v>SPR/07/26/046</v>
      </c>
      <c r="L3919" s="13">
        <f>IFERROR(__xludf.DUMMYFUNCTION("""COMPUTED_VALUE"""),46234.0)</f>
        <v>46234</v>
      </c>
    </row>
    <row r="3920">
      <c r="A3920" s="6" t="str">
        <f>IFERROR(__xludf.DUMMYFUNCTION("""COMPUTED_VALUE"""),"SFH")</f>
        <v>SFH</v>
      </c>
      <c r="B3920" s="6" t="str">
        <f>IFERROR(__xludf.DUMMYFUNCTION("""COMPUTED_VALUE"""),"ENG")</f>
        <v>ENG</v>
      </c>
      <c r="C3920" s="6" t="str">
        <f>IFERROR(__xludf.DUMMYFUNCTION("""COMPUTED_VALUE"""),"Q-10249-00")</f>
        <v>Q-10249-00</v>
      </c>
      <c r="D3920" s="6" t="str">
        <f>IFERROR(__xludf.DUMMYFUNCTION("""COMPUTED_VALUE"""),"Lem Power Glue; ; ;")</f>
        <v>Lem Power Glue; ; ;</v>
      </c>
      <c r="E3920" s="6">
        <f>IFERROR(__xludf.DUMMYFUNCTION("""COMPUTED_VALUE"""),1.0)</f>
        <v>1</v>
      </c>
      <c r="F3920" s="6">
        <f>IFERROR(__xludf.DUMMYFUNCTION("""COMPUTED_VALUE"""),1.0)</f>
        <v>1</v>
      </c>
      <c r="G3920" s="6">
        <f>IFERROR(__xludf.DUMMYFUNCTION("""COMPUTED_VALUE"""),0.0)</f>
        <v>0</v>
      </c>
      <c r="H3920" s="6" t="str">
        <f>IFERROR(__xludf.DUMMYFUNCTION("""COMPUTED_VALUE"""),"Pcs")</f>
        <v>Pcs</v>
      </c>
      <c r="I3920" s="6" t="str">
        <f>IFERROR(__xludf.DUMMYFUNCTION("""COMPUTED_VALUE"""),"MFH")</f>
        <v>MFH</v>
      </c>
      <c r="J3920" s="6" t="str">
        <f>IFERROR(__xludf.DUMMYFUNCTION("""COMPUTED_VALUE"""),"Building")</f>
        <v>Building</v>
      </c>
      <c r="K3920" s="6" t="str">
        <f>IFERROR(__xludf.DUMMYFUNCTION("""COMPUTED_VALUE"""),"SPR/07/26/047")</f>
        <v>SPR/07/26/047</v>
      </c>
      <c r="L3920" s="13">
        <f>IFERROR(__xludf.DUMMYFUNCTION("""COMPUTED_VALUE"""),46234.0)</f>
        <v>46234</v>
      </c>
    </row>
    <row r="3921">
      <c r="A3921" s="6" t="str">
        <f>IFERROR(__xludf.DUMMYFUNCTION("""COMPUTED_VALUE"""),"SFH")</f>
        <v>SFH</v>
      </c>
      <c r="B3921" s="6" t="str">
        <f>IFERROR(__xludf.DUMMYFUNCTION("""COMPUTED_VALUE"""),"ENG")</f>
        <v>ENG</v>
      </c>
      <c r="C3921" s="6" t="str">
        <f>IFERROR(__xludf.DUMMYFUNCTION("""COMPUTED_VALUE"""),"Q-10817-00")</f>
        <v>Q-10817-00</v>
      </c>
      <c r="D3921" s="6" t="str">
        <f>IFERROR(__xludf.DUMMYFUNCTION("""COMPUTED_VALUE"""),"Door Closer Type: TS77 Hold Open; DORMA; ;")</f>
        <v>Door Closer Type: TS77 Hold Open; DORMA; ;</v>
      </c>
      <c r="E3921" s="6">
        <f>IFERROR(__xludf.DUMMYFUNCTION("""COMPUTED_VALUE"""),1.0)</f>
        <v>1</v>
      </c>
      <c r="F3921" s="6">
        <f>IFERROR(__xludf.DUMMYFUNCTION("""COMPUTED_VALUE"""),1.0)</f>
        <v>1</v>
      </c>
      <c r="G3921" s="6">
        <f>IFERROR(__xludf.DUMMYFUNCTION("""COMPUTED_VALUE"""),0.0)</f>
        <v>0</v>
      </c>
      <c r="H3921" s="6" t="str">
        <f>IFERROR(__xludf.DUMMYFUNCTION("""COMPUTED_VALUE"""),"Pcs")</f>
        <v>Pcs</v>
      </c>
      <c r="I3921" s="6" t="str">
        <f>IFERROR(__xludf.DUMMYFUNCTION("""COMPUTED_VALUE"""),"MFH")</f>
        <v>MFH</v>
      </c>
      <c r="J3921" s="6" t="str">
        <f>IFERROR(__xludf.DUMMYFUNCTION("""COMPUTED_VALUE"""),"Building")</f>
        <v>Building</v>
      </c>
      <c r="K3921" s="6" t="str">
        <f>IFERROR(__xludf.DUMMYFUNCTION("""COMPUTED_VALUE"""),"SPR/07/26/048")</f>
        <v>SPR/07/26/048</v>
      </c>
      <c r="L3921" s="13">
        <f>IFERROR(__xludf.DUMMYFUNCTION("""COMPUTED_VALUE"""),46234.0)</f>
        <v>46234</v>
      </c>
    </row>
    <row r="3922">
      <c r="A3922" s="6" t="str">
        <f>IFERROR(__xludf.DUMMYFUNCTION("""COMPUTED_VALUE"""),"NDS")</f>
        <v>NDS</v>
      </c>
      <c r="B3922" s="6" t="str">
        <f>IFERROR(__xludf.DUMMYFUNCTION("""COMPUTED_VALUE"""),"ENG")</f>
        <v>ENG</v>
      </c>
      <c r="C3922" s="6" t="str">
        <f>IFERROR(__xludf.DUMMYFUNCTION("""COMPUTED_VALUE"""),"T-20725-00")</f>
        <v>T-20725-00</v>
      </c>
      <c r="D3922" s="6" t="str">
        <f>IFERROR(__xludf.DUMMYFUNCTION("""COMPUTED_VALUE"""),"Performance Plus Check Valve Housing; Waters; 700002332;")</f>
        <v>Performance Plus Check Valve Housing; Waters; 700002332;</v>
      </c>
      <c r="E3922" s="6">
        <f>IFERROR(__xludf.DUMMYFUNCTION("""COMPUTED_VALUE"""),1.0)</f>
        <v>1</v>
      </c>
      <c r="F3922" s="6">
        <f>IFERROR(__xludf.DUMMYFUNCTION("""COMPUTED_VALUE"""),1.0)</f>
        <v>1</v>
      </c>
      <c r="G3922" s="6">
        <f>IFERROR(__xludf.DUMMYFUNCTION("""COMPUTED_VALUE"""),0.0)</f>
        <v>0</v>
      </c>
      <c r="H3922" s="6" t="str">
        <f>IFERROR(__xludf.DUMMYFUNCTION("""COMPUTED_VALUE"""),"Pcs")</f>
        <v>Pcs</v>
      </c>
      <c r="I3922" s="6" t="str">
        <f>IFERROR(__xludf.DUMMYFUNCTION("""COMPUTED_VALUE"""),"MFH")</f>
        <v>MFH</v>
      </c>
      <c r="J3922" s="6" t="str">
        <f>IFERROR(__xludf.DUMMYFUNCTION("""COMPUTED_VALUE"""),"HPLC")</f>
        <v>HPLC</v>
      </c>
      <c r="K3922" s="6" t="str">
        <f>IFERROR(__xludf.DUMMYFUNCTION("""COMPUTED_VALUE"""),"SPR/07/26/049")</f>
        <v>SPR/07/26/049</v>
      </c>
      <c r="L3922" s="13">
        <f>IFERROR(__xludf.DUMMYFUNCTION("""COMPUTED_VALUE"""),46234.0)</f>
        <v>46234</v>
      </c>
    </row>
    <row r="3923">
      <c r="A3923" s="6" t="str">
        <f>IFERROR(__xludf.DUMMYFUNCTION("""COMPUTED_VALUE"""),"SFH")</f>
        <v>SFH</v>
      </c>
      <c r="B3923" s="6" t="str">
        <f>IFERROR(__xludf.DUMMYFUNCTION("""COMPUTED_VALUE"""),"ENG")</f>
        <v>ENG</v>
      </c>
      <c r="C3923" s="6" t="str">
        <f>IFERROR(__xludf.DUMMYFUNCTION("""COMPUTED_VALUE"""),"T-80046-00")</f>
        <v>T-80046-00</v>
      </c>
      <c r="D3923" s="6" t="str">
        <f>IFERROR(__xludf.DUMMYFUNCTION("""COMPUTED_VALUE"""),"Battery ALKALINE AA")</f>
        <v>Battery ALKALINE AA</v>
      </c>
      <c r="E3923" s="6">
        <f>IFERROR(__xludf.DUMMYFUNCTION("""COMPUTED_VALUE"""),6.0)</f>
        <v>6</v>
      </c>
      <c r="F3923" s="6">
        <f>IFERROR(__xludf.DUMMYFUNCTION("""COMPUTED_VALUE"""),6.0)</f>
        <v>6</v>
      </c>
      <c r="G3923" s="6">
        <f>IFERROR(__xludf.DUMMYFUNCTION("""COMPUTED_VALUE"""),0.0)</f>
        <v>0</v>
      </c>
      <c r="H3923" s="6" t="str">
        <f>IFERROR(__xludf.DUMMYFUNCTION("""COMPUTED_VALUE"""),"Pcs")</f>
        <v>Pcs</v>
      </c>
      <c r="I3923" s="6" t="str">
        <f>IFERROR(__xludf.DUMMYFUNCTION("""COMPUTED_VALUE"""),"MFH")</f>
        <v>MFH</v>
      </c>
      <c r="J3923" s="6" t="str">
        <f>IFERROR(__xludf.DUMMYFUNCTION("""COMPUTED_VALUE"""),"Building")</f>
        <v>Building</v>
      </c>
      <c r="K3923" s="6" t="str">
        <f>IFERROR(__xludf.DUMMYFUNCTION("""COMPUTED_VALUE"""),"SPR/07/26/050")</f>
        <v>SPR/07/26/050</v>
      </c>
      <c r="L3923" s="13">
        <f>IFERROR(__xludf.DUMMYFUNCTION("""COMPUTED_VALUE"""),46234.0)</f>
        <v>46234</v>
      </c>
    </row>
    <row r="3924">
      <c r="A3924" s="6" t="str">
        <f>IFERROR(__xludf.DUMMYFUNCTION("""COMPUTED_VALUE"""),"BFN")</f>
        <v>BFN</v>
      </c>
      <c r="B3924" s="6" t="str">
        <f>IFERROR(__xludf.DUMMYFUNCTION("""COMPUTED_VALUE"""),"ENG")</f>
        <v>ENG</v>
      </c>
      <c r="C3924" s="6" t="str">
        <f>IFERROR(__xludf.DUMMYFUNCTION("""COMPUTED_VALUE"""),"O-18055-00")</f>
        <v>O-18055-00</v>
      </c>
      <c r="D392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924" s="6">
        <f>IFERROR(__xludf.DUMMYFUNCTION("""COMPUTED_VALUE"""),2.0)</f>
        <v>2</v>
      </c>
      <c r="F3924" s="6">
        <f>IFERROR(__xludf.DUMMYFUNCTION("""COMPUTED_VALUE"""),2.0)</f>
        <v>2</v>
      </c>
      <c r="G3924" s="6">
        <f>IFERROR(__xludf.DUMMYFUNCTION("""COMPUTED_VALUE"""),0.0)</f>
        <v>0</v>
      </c>
      <c r="H3924" s="6" t="str">
        <f>IFERROR(__xludf.DUMMYFUNCTION("""COMPUTED_VALUE"""),"Pcs")</f>
        <v>Pcs</v>
      </c>
      <c r="I3924" s="6" t="str">
        <f>IFERROR(__xludf.DUMMYFUNCTION("""COMPUTED_VALUE"""),"MFH")</f>
        <v>MFH</v>
      </c>
      <c r="J3924" s="6" t="str">
        <f>IFERROR(__xludf.DUMMYFUNCTION("""COMPUTED_VALUE"""),"Cartonning")</f>
        <v>Cartonning</v>
      </c>
      <c r="K3924" s="6" t="str">
        <f>IFERROR(__xludf.DUMMYFUNCTION("""COMPUTED_VALUE"""),"SPR/07/26/051")</f>
        <v>SPR/07/26/051</v>
      </c>
      <c r="L3924" s="13">
        <f>IFERROR(__xludf.DUMMYFUNCTION("""COMPUTED_VALUE"""),46234.0)</f>
        <v>46234</v>
      </c>
    </row>
    <row r="3925">
      <c r="A3925" s="6" t="str">
        <f>IFERROR(__xludf.DUMMYFUNCTION("""COMPUTED_VALUE"""),"MFH")</f>
        <v>MFH</v>
      </c>
      <c r="B3925" s="6" t="str">
        <f>IFERROR(__xludf.DUMMYFUNCTION("""COMPUTED_VALUE"""),"ENG")</f>
        <v>ENG</v>
      </c>
      <c r="C3925" s="6" t="str">
        <f>IFERROR(__xludf.DUMMYFUNCTION("""COMPUTED_VALUE"""),"T-12348-00")</f>
        <v>T-12348-00</v>
      </c>
      <c r="D3925" s="6" t="str">
        <f>IFERROR(__xludf.DUMMYFUNCTION("""COMPUTED_VALUE"""),"Kabel Power CPU Cord 1,5m; ; ;")</f>
        <v>Kabel Power CPU Cord 1,5m; ; ;</v>
      </c>
      <c r="E3925" s="6">
        <f>IFERROR(__xludf.DUMMYFUNCTION("""COMPUTED_VALUE"""),1.0)</f>
        <v>1</v>
      </c>
      <c r="F3925" s="6">
        <f>IFERROR(__xludf.DUMMYFUNCTION("""COMPUTED_VALUE"""),1.0)</f>
        <v>1</v>
      </c>
      <c r="G3925" s="6">
        <f>IFERROR(__xludf.DUMMYFUNCTION("""COMPUTED_VALUE"""),0.0)</f>
        <v>0</v>
      </c>
      <c r="H3925" s="6" t="str">
        <f>IFERROR(__xludf.DUMMYFUNCTION("""COMPUTED_VALUE"""),"Pcs")</f>
        <v>Pcs</v>
      </c>
      <c r="I3925" s="6" t="str">
        <f>IFERROR(__xludf.DUMMYFUNCTION("""COMPUTED_VALUE"""),"MFH")</f>
        <v>MFH</v>
      </c>
      <c r="J3925" s="6" t="str">
        <f>IFERROR(__xludf.DUMMYFUNCTION("""COMPUTED_VALUE"""),"-")</f>
        <v>-</v>
      </c>
      <c r="K3925" s="6" t="str">
        <f>IFERROR(__xludf.DUMMYFUNCTION("""COMPUTED_VALUE"""),"SPR/07/26/052")</f>
        <v>SPR/07/26/052</v>
      </c>
      <c r="L3925" s="13">
        <f>IFERROR(__xludf.DUMMYFUNCTION("""COMPUTED_VALUE"""),46234.0)</f>
        <v>46234</v>
      </c>
    </row>
    <row r="3926">
      <c r="A3926" s="6" t="str">
        <f>IFERROR(__xludf.DUMMYFUNCTION("""COMPUTED_VALUE"""),"MFH")</f>
        <v>MFH</v>
      </c>
      <c r="B3926" s="6" t="str">
        <f>IFERROR(__xludf.DUMMYFUNCTION("""COMPUTED_VALUE"""),"ENG")</f>
        <v>ENG</v>
      </c>
      <c r="C3926" s="6" t="str">
        <f>IFERROR(__xludf.DUMMYFUNCTION("""COMPUTED_VALUE"""),"P-12260-00")</f>
        <v>P-12260-00</v>
      </c>
      <c r="D3926" s="6" t="str">
        <f>IFERROR(__xludf.DUMMYFUNCTION("""COMPUTED_VALUE"""),"FESTO - Push In Connector QS-4-4")</f>
        <v>FESTO - Push In Connector QS-4-4</v>
      </c>
      <c r="E3926" s="6">
        <f>IFERROR(__xludf.DUMMYFUNCTION("""COMPUTED_VALUE"""),1.0)</f>
        <v>1</v>
      </c>
      <c r="F3926" s="6">
        <f>IFERROR(__xludf.DUMMYFUNCTION("""COMPUTED_VALUE"""),1.0)</f>
        <v>1</v>
      </c>
      <c r="G3926" s="6">
        <f>IFERROR(__xludf.DUMMYFUNCTION("""COMPUTED_VALUE"""),0.0)</f>
        <v>0</v>
      </c>
      <c r="H3926" s="6" t="str">
        <f>IFERROR(__xludf.DUMMYFUNCTION("""COMPUTED_VALUE"""),"Pcs")</f>
        <v>Pcs</v>
      </c>
      <c r="I3926" s="6" t="str">
        <f>IFERROR(__xludf.DUMMYFUNCTION("""COMPUTED_VALUE"""),"MFH")</f>
        <v>MFH</v>
      </c>
      <c r="J3926" s="6" t="str">
        <f>IFERROR(__xludf.DUMMYFUNCTION("""COMPUTED_VALUE"""),"-")</f>
        <v>-</v>
      </c>
      <c r="K3926" s="6" t="str">
        <f>IFERROR(__xludf.DUMMYFUNCTION("""COMPUTED_VALUE"""),"SPR/07/26/052")</f>
        <v>SPR/07/26/052</v>
      </c>
      <c r="L3926" s="13">
        <f>IFERROR(__xludf.DUMMYFUNCTION("""COMPUTED_VALUE"""),46234.0)</f>
        <v>46234</v>
      </c>
    </row>
    <row r="3927">
      <c r="A3927" s="6" t="str">
        <f>IFERROR(__xludf.DUMMYFUNCTION("""COMPUTED_VALUE"""),"MFH")</f>
        <v>MFH</v>
      </c>
      <c r="B3927" s="6" t="str">
        <f>IFERROR(__xludf.DUMMYFUNCTION("""COMPUTED_VALUE"""),"ENG")</f>
        <v>ENG</v>
      </c>
      <c r="C3927" s="6" t="str">
        <f>IFERROR(__xludf.DUMMYFUNCTION("""COMPUTED_VALUE"""),"Q-10825-00")</f>
        <v>Q-10825-00</v>
      </c>
      <c r="D3927" s="6" t="str">
        <f>IFERROR(__xludf.DUMMYFUNCTION("""COMPUTED_VALUE"""),"Tali Karet Ban;No Brand;;pack size per pcs")</f>
        <v>Tali Karet Ban;No Brand;;pack size per pcs</v>
      </c>
      <c r="E3927" s="6">
        <f>IFERROR(__xludf.DUMMYFUNCTION("""COMPUTED_VALUE"""),5.0)</f>
        <v>5</v>
      </c>
      <c r="F3927" s="6">
        <f>IFERROR(__xludf.DUMMYFUNCTION("""COMPUTED_VALUE"""),5.0)</f>
        <v>5</v>
      </c>
      <c r="G3927" s="6">
        <f>IFERROR(__xludf.DUMMYFUNCTION("""COMPUTED_VALUE"""),0.0)</f>
        <v>0</v>
      </c>
      <c r="H3927" s="6" t="str">
        <f>IFERROR(__xludf.DUMMYFUNCTION("""COMPUTED_VALUE"""),"Pcs")</f>
        <v>Pcs</v>
      </c>
      <c r="I3927" s="6" t="str">
        <f>IFERROR(__xludf.DUMMYFUNCTION("""COMPUTED_VALUE"""),"MFH")</f>
        <v>MFH</v>
      </c>
      <c r="J3927" s="6" t="str">
        <f>IFERROR(__xludf.DUMMYFUNCTION("""COMPUTED_VALUE"""),"-")</f>
        <v>-</v>
      </c>
      <c r="K3927" s="6" t="str">
        <f>IFERROR(__xludf.DUMMYFUNCTION("""COMPUTED_VALUE"""),"SPR/07/26/052")</f>
        <v>SPR/07/26/052</v>
      </c>
      <c r="L3927" s="13">
        <f>IFERROR(__xludf.DUMMYFUNCTION("""COMPUTED_VALUE"""),46234.0)</f>
        <v>46234</v>
      </c>
    </row>
    <row r="3928">
      <c r="A3928" s="6" t="str">
        <f>IFERROR(__xludf.DUMMYFUNCTION("""COMPUTED_VALUE"""),"MFH")</f>
        <v>MFH</v>
      </c>
      <c r="B3928" s="6" t="str">
        <f>IFERROR(__xludf.DUMMYFUNCTION("""COMPUTED_VALUE"""),"ENG")</f>
        <v>ENG</v>
      </c>
      <c r="C3928" s="6" t="str">
        <f>IFERROR(__xludf.DUMMYFUNCTION("""COMPUTED_VALUE"""),"P-13389-00")</f>
        <v>P-13389-00</v>
      </c>
      <c r="D3928" s="6" t="str">
        <f>IFERROR(__xludf.DUMMYFUNCTION("""COMPUTED_VALUE"""),"Scotch Brite 3M; ; ;")</f>
        <v>Scotch Brite 3M; ; ;</v>
      </c>
      <c r="E3928" s="6">
        <f>IFERROR(__xludf.DUMMYFUNCTION("""COMPUTED_VALUE"""),2.0)</f>
        <v>2</v>
      </c>
      <c r="F3928" s="6">
        <f>IFERROR(__xludf.DUMMYFUNCTION("""COMPUTED_VALUE"""),2.0)</f>
        <v>2</v>
      </c>
      <c r="G3928" s="6">
        <f>IFERROR(__xludf.DUMMYFUNCTION("""COMPUTED_VALUE"""),0.0)</f>
        <v>0</v>
      </c>
      <c r="H3928" s="6" t="str">
        <f>IFERROR(__xludf.DUMMYFUNCTION("""COMPUTED_VALUE"""),"Pcs")</f>
        <v>Pcs</v>
      </c>
      <c r="I3928" s="6" t="str">
        <f>IFERROR(__xludf.DUMMYFUNCTION("""COMPUTED_VALUE"""),"MFH")</f>
        <v>MFH</v>
      </c>
      <c r="J3928" s="6" t="str">
        <f>IFERROR(__xludf.DUMMYFUNCTION("""COMPUTED_VALUE"""),"-")</f>
        <v>-</v>
      </c>
      <c r="K3928" s="6" t="str">
        <f>IFERROR(__xludf.DUMMYFUNCTION("""COMPUTED_VALUE"""),"SPR/07/26/053")</f>
        <v>SPR/07/26/053</v>
      </c>
      <c r="L3928" s="13">
        <f>IFERROR(__xludf.DUMMYFUNCTION("""COMPUTED_VALUE"""),46234.0)</f>
        <v>46234</v>
      </c>
    </row>
    <row r="3929">
      <c r="A3929" s="6" t="str">
        <f>IFERROR(__xludf.DUMMYFUNCTION("""COMPUTED_VALUE"""),"ROS")</f>
        <v>ROS</v>
      </c>
      <c r="B3929" s="6" t="str">
        <f>IFERROR(__xludf.DUMMYFUNCTION("""COMPUTED_VALUE"""),"ENG")</f>
        <v>ENG</v>
      </c>
      <c r="C3929" s="6" t="str">
        <f>IFERROR(__xludf.DUMMYFUNCTION("""COMPUTED_VALUE"""),"O-16732-00")</f>
        <v>O-16732-00</v>
      </c>
      <c r="D3929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929" s="6">
        <f>IFERROR(__xludf.DUMMYFUNCTION("""COMPUTED_VALUE"""),3.0)</f>
        <v>3</v>
      </c>
      <c r="F3929" s="6">
        <f>IFERROR(__xludf.DUMMYFUNCTION("""COMPUTED_VALUE"""),3.0)</f>
        <v>3</v>
      </c>
      <c r="G3929" s="6">
        <f>IFERROR(__xludf.DUMMYFUNCTION("""COMPUTED_VALUE"""),0.0)</f>
        <v>0</v>
      </c>
      <c r="H3929" s="6" t="str">
        <f>IFERROR(__xludf.DUMMYFUNCTION("""COMPUTED_VALUE"""),"Pcs")</f>
        <v>Pcs</v>
      </c>
      <c r="I3929" s="6" t="str">
        <f>IFERROR(__xludf.DUMMYFUNCTION("""COMPUTED_VALUE"""),"MFH")</f>
        <v>MFH</v>
      </c>
      <c r="J3929" s="6" t="str">
        <f>IFERROR(__xludf.DUMMYFUNCTION("""COMPUTED_VALUE"""),"Autoclave")</f>
        <v>Autoclave</v>
      </c>
      <c r="K3929" s="6" t="str">
        <f>IFERROR(__xludf.DUMMYFUNCTION("""COMPUTED_VALUE"""),"SPR/07/26/054")</f>
        <v>SPR/07/26/054</v>
      </c>
      <c r="L3929" s="13">
        <f>IFERROR(__xludf.DUMMYFUNCTION("""COMPUTED_VALUE"""),46234.0)</f>
        <v>46234</v>
      </c>
    </row>
    <row r="3930">
      <c r="A3930" s="6" t="str">
        <f>IFERROR(__xludf.DUMMYFUNCTION("""COMPUTED_VALUE"""),"ROS")</f>
        <v>ROS</v>
      </c>
      <c r="B3930" s="6" t="str">
        <f>IFERROR(__xludf.DUMMYFUNCTION("""COMPUTED_VALUE"""),"ENG")</f>
        <v>ENG</v>
      </c>
      <c r="C3930" s="6" t="str">
        <f>IFERROR(__xludf.DUMMYFUNCTION("""COMPUTED_VALUE"""),"O-16731-00")</f>
        <v>O-16731-00</v>
      </c>
      <c r="D3930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930" s="6">
        <f>IFERROR(__xludf.DUMMYFUNCTION("""COMPUTED_VALUE"""),2.0)</f>
        <v>2</v>
      </c>
      <c r="F3930" s="6">
        <f>IFERROR(__xludf.DUMMYFUNCTION("""COMPUTED_VALUE"""),2.0)</f>
        <v>2</v>
      </c>
      <c r="G3930" s="6">
        <f>IFERROR(__xludf.DUMMYFUNCTION("""COMPUTED_VALUE"""),0.0)</f>
        <v>0</v>
      </c>
      <c r="H3930" s="6" t="str">
        <f>IFERROR(__xludf.DUMMYFUNCTION("""COMPUTED_VALUE"""),"Pcs")</f>
        <v>Pcs</v>
      </c>
      <c r="I3930" s="6" t="str">
        <f>IFERROR(__xludf.DUMMYFUNCTION("""COMPUTED_VALUE"""),"MFH")</f>
        <v>MFH</v>
      </c>
      <c r="J3930" s="6" t="str">
        <f>IFERROR(__xludf.DUMMYFUNCTION("""COMPUTED_VALUE"""),"Autoclave")</f>
        <v>Autoclave</v>
      </c>
      <c r="K3930" s="6" t="str">
        <f>IFERROR(__xludf.DUMMYFUNCTION("""COMPUTED_VALUE"""),"SPR/07/26/054")</f>
        <v>SPR/07/26/054</v>
      </c>
      <c r="L3930" s="13">
        <f>IFERROR(__xludf.DUMMYFUNCTION("""COMPUTED_VALUE"""),46234.0)</f>
        <v>46234</v>
      </c>
    </row>
    <row r="3931">
      <c r="A3931" s="6" t="str">
        <f>IFERROR(__xludf.DUMMYFUNCTION("""COMPUTED_VALUE"""),"ROS")</f>
        <v>ROS</v>
      </c>
      <c r="B3931" s="6" t="str">
        <f>IFERROR(__xludf.DUMMYFUNCTION("""COMPUTED_VALUE"""),"ENG")</f>
        <v>ENG</v>
      </c>
      <c r="C3931" s="6" t="str">
        <f>IFERROR(__xludf.DUMMYFUNCTION("""COMPUTED_VALUE"""),"O-20294-00")</f>
        <v>O-20294-00</v>
      </c>
      <c r="D3931" s="6" t="str">
        <f>IFERROR(__xludf.DUMMYFUNCTION("""COMPUTED_VALUE"""),"Autoclave - Oring 70 x 59 x 5.5 mm Viton Custom/Lokal  -")</f>
        <v>Autoclave - Oring 70 x 59 x 5.5 mm Viton Custom/Lokal  -</v>
      </c>
      <c r="E3931" s="6">
        <f>IFERROR(__xludf.DUMMYFUNCTION("""COMPUTED_VALUE"""),1.0)</f>
        <v>1</v>
      </c>
      <c r="F3931" s="6">
        <f>IFERROR(__xludf.DUMMYFUNCTION("""COMPUTED_VALUE"""),1.0)</f>
        <v>1</v>
      </c>
      <c r="G3931" s="6">
        <f>IFERROR(__xludf.DUMMYFUNCTION("""COMPUTED_VALUE"""),0.0)</f>
        <v>0</v>
      </c>
      <c r="H3931" s="6" t="str">
        <f>IFERROR(__xludf.DUMMYFUNCTION("""COMPUTED_VALUE"""),"Pcs")</f>
        <v>Pcs</v>
      </c>
      <c r="I3931" s="6" t="str">
        <f>IFERROR(__xludf.DUMMYFUNCTION("""COMPUTED_VALUE"""),"MFH")</f>
        <v>MFH</v>
      </c>
      <c r="J3931" s="6" t="str">
        <f>IFERROR(__xludf.DUMMYFUNCTION("""COMPUTED_VALUE"""),"Autoclave")</f>
        <v>Autoclave</v>
      </c>
      <c r="K3931" s="6" t="str">
        <f>IFERROR(__xludf.DUMMYFUNCTION("""COMPUTED_VALUE"""),"SPR/07/26/054")</f>
        <v>SPR/07/26/054</v>
      </c>
      <c r="L3931" s="13">
        <f>IFERROR(__xludf.DUMMYFUNCTION("""COMPUTED_VALUE"""),46234.0)</f>
        <v>46234</v>
      </c>
    </row>
    <row r="3932">
      <c r="A3932" s="6" t="str">
        <f>IFERROR(__xludf.DUMMYFUNCTION("""COMPUTED_VALUE"""),"MFH")</f>
        <v>MFH</v>
      </c>
      <c r="B3932" s="6" t="str">
        <f>IFERROR(__xludf.DUMMYFUNCTION("""COMPUTED_VALUE"""),"ENG")</f>
        <v>ENG</v>
      </c>
      <c r="C3932" s="6" t="str">
        <f>IFERROR(__xludf.DUMMYFUNCTION("""COMPUTED_VALUE"""),"P-50810-00")</f>
        <v>P-50810-00</v>
      </c>
      <c r="D3932" s="6" t="str">
        <f>IFERROR(__xludf.DUMMYFUNCTION("""COMPUTED_VALUE"""),"General - Buzzer AD22-22MSD red with lamp; FORT; -; 1 pcs")</f>
        <v>General - Buzzer AD22-22MSD red with lamp; FORT; -; 1 pcs</v>
      </c>
      <c r="E3932" s="6">
        <f>IFERROR(__xludf.DUMMYFUNCTION("""COMPUTED_VALUE"""),1.0)</f>
        <v>1</v>
      </c>
      <c r="F3932" s="6">
        <f>IFERROR(__xludf.DUMMYFUNCTION("""COMPUTED_VALUE"""),1.0)</f>
        <v>1</v>
      </c>
      <c r="G3932" s="6">
        <f>IFERROR(__xludf.DUMMYFUNCTION("""COMPUTED_VALUE"""),0.0)</f>
        <v>0</v>
      </c>
      <c r="H3932" s="6" t="str">
        <f>IFERROR(__xludf.DUMMYFUNCTION("""COMPUTED_VALUE"""),"Pcs")</f>
        <v>Pcs</v>
      </c>
      <c r="I3932" s="6" t="str">
        <f>IFERROR(__xludf.DUMMYFUNCTION("""COMPUTED_VALUE"""),"MFH")</f>
        <v>MFH</v>
      </c>
      <c r="J3932" s="6" t="str">
        <f>IFERROR(__xludf.DUMMYFUNCTION("""COMPUTED_VALUE"""),"-")</f>
        <v>-</v>
      </c>
      <c r="K3932" s="6" t="str">
        <f>IFERROR(__xludf.DUMMYFUNCTION("""COMPUTED_VALUE"""),"SPR/07/26/055")</f>
        <v>SPR/07/26/055</v>
      </c>
      <c r="L3932" s="13">
        <f>IFERROR(__xludf.DUMMYFUNCTION("""COMPUTED_VALUE"""),46234.0)</f>
        <v>46234</v>
      </c>
    </row>
    <row r="3933">
      <c r="A3933" s="6" t="str">
        <f>IFERROR(__xludf.DUMMYFUNCTION("""COMPUTED_VALUE"""),"MFH")</f>
        <v>MFH</v>
      </c>
      <c r="B3933" s="6" t="str">
        <f>IFERROR(__xludf.DUMMYFUNCTION("""COMPUTED_VALUE"""),"ENG")</f>
        <v>ENG</v>
      </c>
      <c r="C3933" s="6" t="str">
        <f>IFERROR(__xludf.DUMMYFUNCTION("""COMPUTED_VALUE"""),"O-14639-00")</f>
        <v>O-14639-00</v>
      </c>
      <c r="D3933" s="6" t="str">
        <f>IFERROR(__xludf.DUMMYFUNCTION("""COMPUTED_VALUE"""),"General - EPDM Gasket for Ferrule dia. 1/2""; -; -; 1 pc")</f>
        <v>General - EPDM Gasket for Ferrule dia. 1/2"; -; -; 1 pc</v>
      </c>
      <c r="E3933" s="6">
        <f>IFERROR(__xludf.DUMMYFUNCTION("""COMPUTED_VALUE"""),2.0)</f>
        <v>2</v>
      </c>
      <c r="F3933" s="6">
        <f>IFERROR(__xludf.DUMMYFUNCTION("""COMPUTED_VALUE"""),2.0)</f>
        <v>2</v>
      </c>
      <c r="G3933" s="6">
        <f>IFERROR(__xludf.DUMMYFUNCTION("""COMPUTED_VALUE"""),0.0)</f>
        <v>0</v>
      </c>
      <c r="H3933" s="6" t="str">
        <f>IFERROR(__xludf.DUMMYFUNCTION("""COMPUTED_VALUE"""),"Pcs")</f>
        <v>Pcs</v>
      </c>
      <c r="I3933" s="6" t="str">
        <f>IFERROR(__xludf.DUMMYFUNCTION("""COMPUTED_VALUE"""),"MFH")</f>
        <v>MFH</v>
      </c>
      <c r="J3933" s="6" t="str">
        <f>IFERROR(__xludf.DUMMYFUNCTION("""COMPUTED_VALUE"""),"-")</f>
        <v>-</v>
      </c>
      <c r="K3933" s="6" t="str">
        <f>IFERROR(__xludf.DUMMYFUNCTION("""COMPUTED_VALUE"""),"SPR/07/26/056")</f>
        <v>SPR/07/26/056</v>
      </c>
      <c r="L3933" s="13">
        <f>IFERROR(__xludf.DUMMYFUNCTION("""COMPUTED_VALUE"""),46234.0)</f>
        <v>46234</v>
      </c>
    </row>
    <row r="3934">
      <c r="A3934" s="6" t="str">
        <f>IFERROR(__xludf.DUMMYFUNCTION("""COMPUTED_VALUE"""),"MFH")</f>
        <v>MFH</v>
      </c>
      <c r="B3934" s="6" t="str">
        <f>IFERROR(__xludf.DUMMYFUNCTION("""COMPUTED_VALUE"""),"ENG")</f>
        <v>ENG</v>
      </c>
      <c r="C3934" s="6" t="str">
        <f>IFERROR(__xludf.DUMMYFUNCTION("""COMPUTED_VALUE"""),"T-80109-00")</f>
        <v>T-80109-00</v>
      </c>
      <c r="D3934" s="6" t="str">
        <f>IFERROR(__xludf.DUMMYFUNCTION("""COMPUTED_VALUE"""),"Cellotape Kertas 1 inch warna Putih")</f>
        <v>Cellotape Kertas 1 inch warna Putih</v>
      </c>
      <c r="E3934" s="6">
        <f>IFERROR(__xludf.DUMMYFUNCTION("""COMPUTED_VALUE"""),5.0)</f>
        <v>5</v>
      </c>
      <c r="F3934" s="6">
        <f>IFERROR(__xludf.DUMMYFUNCTION("""COMPUTED_VALUE"""),5.0)</f>
        <v>5</v>
      </c>
      <c r="G3934" s="6">
        <f>IFERROR(__xludf.DUMMYFUNCTION("""COMPUTED_VALUE"""),0.0)</f>
        <v>0</v>
      </c>
      <c r="H3934" s="6" t="str">
        <f>IFERROR(__xludf.DUMMYFUNCTION("""COMPUTED_VALUE"""),"Pcs")</f>
        <v>Pcs</v>
      </c>
      <c r="I3934" s="6" t="str">
        <f>IFERROR(__xludf.DUMMYFUNCTION("""COMPUTED_VALUE"""),"MFH")</f>
        <v>MFH</v>
      </c>
      <c r="J3934" s="6" t="str">
        <f>IFERROR(__xludf.DUMMYFUNCTION("""COMPUTED_VALUE"""),"-")</f>
        <v>-</v>
      </c>
      <c r="K3934" s="6" t="str">
        <f>IFERROR(__xludf.DUMMYFUNCTION("""COMPUTED_VALUE"""),"SPR/07/26/056")</f>
        <v>SPR/07/26/056</v>
      </c>
      <c r="L3934" s="13">
        <f>IFERROR(__xludf.DUMMYFUNCTION("""COMPUTED_VALUE"""),46234.0)</f>
        <v>46234</v>
      </c>
    </row>
    <row r="3935">
      <c r="A3935" s="6" t="str">
        <f>IFERROR(__xludf.DUMMYFUNCTION("""COMPUTED_VALUE"""),"MFH")</f>
        <v>MFH</v>
      </c>
      <c r="B3935" s="6" t="str">
        <f>IFERROR(__xludf.DUMMYFUNCTION("""COMPUTED_VALUE"""),"ENG")</f>
        <v>ENG</v>
      </c>
      <c r="C3935" s="6" t="str">
        <f>IFERROR(__xludf.DUMMYFUNCTION("""COMPUTED_VALUE"""),"Q-60501-00")</f>
        <v>Q-60501-00</v>
      </c>
      <c r="D3935" s="6" t="str">
        <f>IFERROR(__xludf.DUMMYFUNCTION("""COMPUTED_VALUE"""),"Silicone Sealant, Silglaze, Type N10 Clear, pack size per pcs")</f>
        <v>Silicone Sealant, Silglaze, Type N10 Clear, pack size per pcs</v>
      </c>
      <c r="E3935" s="6">
        <f>IFERROR(__xludf.DUMMYFUNCTION("""COMPUTED_VALUE"""),1.0)</f>
        <v>1</v>
      </c>
      <c r="F3935" s="6">
        <f>IFERROR(__xludf.DUMMYFUNCTION("""COMPUTED_VALUE"""),1.0)</f>
        <v>1</v>
      </c>
      <c r="G3935" s="6">
        <f>IFERROR(__xludf.DUMMYFUNCTION("""COMPUTED_VALUE"""),0.0)</f>
        <v>0</v>
      </c>
      <c r="H3935" s="6" t="str">
        <f>IFERROR(__xludf.DUMMYFUNCTION("""COMPUTED_VALUE"""),"Pcs")</f>
        <v>Pcs</v>
      </c>
      <c r="I3935" s="6" t="str">
        <f>IFERROR(__xludf.DUMMYFUNCTION("""COMPUTED_VALUE"""),"MFH")</f>
        <v>MFH</v>
      </c>
      <c r="J3935" s="6" t="str">
        <f>IFERROR(__xludf.DUMMYFUNCTION("""COMPUTED_VALUE"""),"-")</f>
        <v>-</v>
      </c>
      <c r="K3935" s="6" t="str">
        <f>IFERROR(__xludf.DUMMYFUNCTION("""COMPUTED_VALUE"""),"SPR/07/26/057")</f>
        <v>SPR/07/26/057</v>
      </c>
      <c r="L3935" s="13">
        <f>IFERROR(__xludf.DUMMYFUNCTION("""COMPUTED_VALUE"""),46234.0)</f>
        <v>46234</v>
      </c>
    </row>
    <row r="3936">
      <c r="A3936" s="6" t="str">
        <f>IFERROR(__xludf.DUMMYFUNCTION("""COMPUTED_VALUE"""),"MFH")</f>
        <v>MFH</v>
      </c>
      <c r="B3936" s="6" t="str">
        <f>IFERROR(__xludf.DUMMYFUNCTION("""COMPUTED_VALUE"""),"ENG")</f>
        <v>ENG</v>
      </c>
      <c r="C3936" s="6" t="str">
        <f>IFERROR(__xludf.DUMMYFUNCTION("""COMPUTED_VALUE"""),"P-51741-00")</f>
        <v>P-51741-00</v>
      </c>
      <c r="D3936" s="6" t="str">
        <f>IFERROR(__xludf.DUMMYFUNCTION("""COMPUTED_VALUE"""),"Lampu Phillips PHP LED; 710 7w E27 White 220-240v; ; ;")</f>
        <v>Lampu Phillips PHP LED; 710 7w E27 White 220-240v; ; ;</v>
      </c>
      <c r="E3936" s="6">
        <f>IFERROR(__xludf.DUMMYFUNCTION("""COMPUTED_VALUE"""),97.0)</f>
        <v>97</v>
      </c>
      <c r="F3936" s="6">
        <f>IFERROR(__xludf.DUMMYFUNCTION("""COMPUTED_VALUE"""),97.0)</f>
        <v>97</v>
      </c>
      <c r="G3936" s="6">
        <f>IFERROR(__xludf.DUMMYFUNCTION("""COMPUTED_VALUE"""),0.0)</f>
        <v>0</v>
      </c>
      <c r="H3936" s="6" t="str">
        <f>IFERROR(__xludf.DUMMYFUNCTION("""COMPUTED_VALUE"""),"Pcs")</f>
        <v>Pcs</v>
      </c>
      <c r="I3936" s="6" t="str">
        <f>IFERROR(__xludf.DUMMYFUNCTION("""COMPUTED_VALUE"""),"MFH")</f>
        <v>MFH</v>
      </c>
      <c r="J3936" s="6" t="str">
        <f>IFERROR(__xludf.DUMMYFUNCTION("""COMPUTED_VALUE"""),"-")</f>
        <v>-</v>
      </c>
      <c r="K3936" s="6" t="str">
        <f>IFERROR(__xludf.DUMMYFUNCTION("""COMPUTED_VALUE"""),"SPR/07/26/058")</f>
        <v>SPR/07/26/058</v>
      </c>
      <c r="L3936" s="13">
        <f>IFERROR(__xludf.DUMMYFUNCTION("""COMPUTED_VALUE"""),46234.0)</f>
        <v>46234</v>
      </c>
    </row>
    <row r="3937">
      <c r="A3937" s="6" t="str">
        <f>IFERROR(__xludf.DUMMYFUNCTION("""COMPUTED_VALUE"""),"MFH")</f>
        <v>MFH</v>
      </c>
      <c r="B3937" s="6" t="str">
        <f>IFERROR(__xludf.DUMMYFUNCTION("""COMPUTED_VALUE"""),"ENG")</f>
        <v>ENG</v>
      </c>
      <c r="C3937" s="6" t="str">
        <f>IFERROR(__xludf.DUMMYFUNCTION("""COMPUTED_VALUE"""),"P-14453-00")</f>
        <v>P-14453-00</v>
      </c>
      <c r="D3937" s="6" t="str">
        <f>IFERROR(__xludf.DUMMYFUNCTION("""COMPUTED_VALUE"""),"Filter IAF MB Series (Medium Filter), efficiency : 60-65 %, Size: 24 x 24 x 12 inch; IAF; ;")</f>
        <v>Filter IAF MB Series (Medium Filter), efficiency : 60-65 %, Size: 24 x 24 x 12 inch; IAF; ;</v>
      </c>
      <c r="E3937" s="6">
        <f>IFERROR(__xludf.DUMMYFUNCTION("""COMPUTED_VALUE"""),6.0)</f>
        <v>6</v>
      </c>
      <c r="F3937" s="6">
        <f>IFERROR(__xludf.DUMMYFUNCTION("""COMPUTED_VALUE"""),7.0)</f>
        <v>7</v>
      </c>
      <c r="G3937" s="6">
        <f>IFERROR(__xludf.DUMMYFUNCTION("""COMPUTED_VALUE"""),0.0)</f>
        <v>0</v>
      </c>
      <c r="H3937" s="6" t="str">
        <f>IFERROR(__xludf.DUMMYFUNCTION("""COMPUTED_VALUE"""),"Pcs")</f>
        <v>Pcs</v>
      </c>
      <c r="I3937" s="6" t="str">
        <f>IFERROR(__xludf.DUMMYFUNCTION("""COMPUTED_VALUE"""),"MFH")</f>
        <v>MFH</v>
      </c>
      <c r="J3937" s="6" t="str">
        <f>IFERROR(__xludf.DUMMYFUNCTION("""COMPUTED_VALUE"""),"AHU")</f>
        <v>AHU</v>
      </c>
      <c r="K3937" s="6" t="str">
        <f>IFERROR(__xludf.DUMMYFUNCTION("""COMPUTED_VALUE"""),"SPR/07/26/058")</f>
        <v>SPR/07/26/058</v>
      </c>
      <c r="L3937" s="13">
        <f>IFERROR(__xludf.DUMMYFUNCTION("""COMPUTED_VALUE"""),46234.0)</f>
        <v>46234</v>
      </c>
    </row>
    <row r="3938">
      <c r="A3938" s="6" t="str">
        <f>IFERROR(__xludf.DUMMYFUNCTION("""COMPUTED_VALUE"""),"MFH")</f>
        <v>MFH</v>
      </c>
      <c r="B3938" s="6" t="str">
        <f>IFERROR(__xludf.DUMMYFUNCTION("""COMPUTED_VALUE"""),"ENG")</f>
        <v>ENG</v>
      </c>
      <c r="C3938" s="6" t="str">
        <f>IFERROR(__xludf.DUMMYFUNCTION("""COMPUTED_VALUE"""),"P-14457-00")</f>
        <v>P-14457-00</v>
      </c>
      <c r="D3938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3938" s="6">
        <f>IFERROR(__xludf.DUMMYFUNCTION("""COMPUTED_VALUE"""),6.0)</f>
        <v>6</v>
      </c>
      <c r="F3938" s="6">
        <f>IFERROR(__xludf.DUMMYFUNCTION("""COMPUTED_VALUE"""),6.0)</f>
        <v>6</v>
      </c>
      <c r="G3938" s="6">
        <f>IFERROR(__xludf.DUMMYFUNCTION("""COMPUTED_VALUE"""),0.0)</f>
        <v>0</v>
      </c>
      <c r="H3938" s="6" t="str">
        <f>IFERROR(__xludf.DUMMYFUNCTION("""COMPUTED_VALUE"""),"Pcs")</f>
        <v>Pcs</v>
      </c>
      <c r="I3938" s="6" t="str">
        <f>IFERROR(__xludf.DUMMYFUNCTION("""COMPUTED_VALUE"""),"MFH")</f>
        <v>MFH</v>
      </c>
      <c r="J3938" s="6" t="str">
        <f>IFERROR(__xludf.DUMMYFUNCTION("""COMPUTED_VALUE"""),"AHU")</f>
        <v>AHU</v>
      </c>
      <c r="K3938" s="6" t="str">
        <f>IFERROR(__xludf.DUMMYFUNCTION("""COMPUTED_VALUE"""),"SPR/07/26/058")</f>
        <v>SPR/07/26/058</v>
      </c>
      <c r="L3938" s="13">
        <f>IFERROR(__xludf.DUMMYFUNCTION("""COMPUTED_VALUE"""),46234.0)</f>
        <v>46234</v>
      </c>
    </row>
    <row r="3939">
      <c r="A3939" s="6" t="str">
        <f>IFERROR(__xludf.DUMMYFUNCTION("""COMPUTED_VALUE"""),"MFH")</f>
        <v>MFH</v>
      </c>
      <c r="B3939" s="6" t="str">
        <f>IFERROR(__xludf.DUMMYFUNCTION("""COMPUTED_VALUE"""),"ENG")</f>
        <v>ENG</v>
      </c>
      <c r="C3939" s="6" t="str">
        <f>IFERROR(__xludf.DUMMYFUNCTION("""COMPUTED_VALUE"""),"P-10945-00")</f>
        <v>P-10945-00</v>
      </c>
      <c r="D3939" s="6" t="str">
        <f>IFERROR(__xludf.DUMMYFUNCTION("""COMPUTED_VALUE"""),"Insulation - Seal Tape onda")</f>
        <v>Insulation - Seal Tape onda</v>
      </c>
      <c r="E3939" s="6">
        <f>IFERROR(__xludf.DUMMYFUNCTION("""COMPUTED_VALUE"""),15.0)</f>
        <v>15</v>
      </c>
      <c r="F3939" s="6">
        <f>IFERROR(__xludf.DUMMYFUNCTION("""COMPUTED_VALUE"""),17.0)</f>
        <v>17</v>
      </c>
      <c r="G3939" s="6">
        <f>IFERROR(__xludf.DUMMYFUNCTION("""COMPUTED_VALUE"""),0.0)</f>
        <v>0</v>
      </c>
      <c r="H3939" s="6" t="str">
        <f>IFERROR(__xludf.DUMMYFUNCTION("""COMPUTED_VALUE"""),"Pcs")</f>
        <v>Pcs</v>
      </c>
      <c r="I3939" s="6" t="str">
        <f>IFERROR(__xludf.DUMMYFUNCTION("""COMPUTED_VALUE"""),"MFH")</f>
        <v>MFH</v>
      </c>
      <c r="J3939" s="6" t="str">
        <f>IFERROR(__xludf.DUMMYFUNCTION("""COMPUTED_VALUE"""),"-")</f>
        <v>-</v>
      </c>
      <c r="K3939" s="6" t="str">
        <f>IFERROR(__xludf.DUMMYFUNCTION("""COMPUTED_VALUE"""),"SPR/07/26/059")</f>
        <v>SPR/07/26/059</v>
      </c>
      <c r="L3939" s="13">
        <f>IFERROR(__xludf.DUMMYFUNCTION("""COMPUTED_VALUE"""),46234.0)</f>
        <v>46234</v>
      </c>
    </row>
    <row r="3940">
      <c r="A3940" s="6" t="str">
        <f>IFERROR(__xludf.DUMMYFUNCTION("""COMPUTED_VALUE"""),"MFH")</f>
        <v>MFH</v>
      </c>
      <c r="B3940" s="6" t="str">
        <f>IFERROR(__xludf.DUMMYFUNCTION("""COMPUTED_VALUE"""),"ENG")</f>
        <v>ENG</v>
      </c>
      <c r="C3940" s="6" t="str">
        <f>IFERROR(__xludf.DUMMYFUNCTION("""COMPUTED_VALUE"""),"O-18055-00")</f>
        <v>O-18055-00</v>
      </c>
      <c r="D3940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3940" s="6">
        <f>IFERROR(__xludf.DUMMYFUNCTION("""COMPUTED_VALUE"""),6.0)</f>
        <v>6</v>
      </c>
      <c r="F3940" s="6">
        <f>IFERROR(__xludf.DUMMYFUNCTION("""COMPUTED_VALUE"""),8.0)</f>
        <v>8</v>
      </c>
      <c r="G3940" s="6">
        <f>IFERROR(__xludf.DUMMYFUNCTION("""COMPUTED_VALUE"""),0.0)</f>
        <v>0</v>
      </c>
      <c r="H3940" s="6" t="str">
        <f>IFERROR(__xludf.DUMMYFUNCTION("""COMPUTED_VALUE"""),"Pcs")</f>
        <v>Pcs</v>
      </c>
      <c r="I3940" s="6" t="str">
        <f>IFERROR(__xludf.DUMMYFUNCTION("""COMPUTED_VALUE"""),"MFH")</f>
        <v>MFH</v>
      </c>
      <c r="J3940" s="6" t="str">
        <f>IFERROR(__xludf.DUMMYFUNCTION("""COMPUTED_VALUE"""),"-")</f>
        <v>-</v>
      </c>
      <c r="K3940" s="6" t="str">
        <f>IFERROR(__xludf.DUMMYFUNCTION("""COMPUTED_VALUE"""),"SPR/07/26/059")</f>
        <v>SPR/07/26/059</v>
      </c>
      <c r="L3940" s="13">
        <f>IFERROR(__xludf.DUMMYFUNCTION("""COMPUTED_VALUE"""),46234.0)</f>
        <v>46234</v>
      </c>
    </row>
    <row r="3941">
      <c r="A3941" s="6" t="str">
        <f>IFERROR(__xludf.DUMMYFUNCTION("""COMPUTED_VALUE"""),"MFH")</f>
        <v>MFH</v>
      </c>
      <c r="B3941" s="6" t="str">
        <f>IFERROR(__xludf.DUMMYFUNCTION("""COMPUTED_VALUE"""),"ENG")</f>
        <v>ENG</v>
      </c>
      <c r="C3941" s="6" t="str">
        <f>IFERROR(__xludf.DUMMYFUNCTION("""COMPUTED_VALUE"""),"Q-10845-00")</f>
        <v>Q-10845-00</v>
      </c>
      <c r="D3941" s="6" t="str">
        <f>IFERROR(__xludf.DUMMYFUNCTION("""COMPUTED_VALUE"""),"Fitting Lampu Bholam E27; ; ; pcs")</f>
        <v>Fitting Lampu Bholam E27; ; ; pcs</v>
      </c>
      <c r="E3941" s="6">
        <f>IFERROR(__xludf.DUMMYFUNCTION("""COMPUTED_VALUE"""),107.0)</f>
        <v>107</v>
      </c>
      <c r="F3941" s="6">
        <f>IFERROR(__xludf.DUMMYFUNCTION("""COMPUTED_VALUE"""),109.0)</f>
        <v>109</v>
      </c>
      <c r="G3941" s="6">
        <f>IFERROR(__xludf.DUMMYFUNCTION("""COMPUTED_VALUE"""),0.0)</f>
        <v>0</v>
      </c>
      <c r="H3941" s="6" t="str">
        <f>IFERROR(__xludf.DUMMYFUNCTION("""COMPUTED_VALUE"""),"Pcs")</f>
        <v>Pcs</v>
      </c>
      <c r="I3941" s="6" t="str">
        <f>IFERROR(__xludf.DUMMYFUNCTION("""COMPUTED_VALUE"""),"MFH")</f>
        <v>MFH</v>
      </c>
      <c r="J3941" s="6" t="str">
        <f>IFERROR(__xludf.DUMMYFUNCTION("""COMPUTED_VALUE"""),"-")</f>
        <v>-</v>
      </c>
      <c r="K3941" s="6" t="str">
        <f>IFERROR(__xludf.DUMMYFUNCTION("""COMPUTED_VALUE"""),"SPR/07/26/059")</f>
        <v>SPR/07/26/059</v>
      </c>
      <c r="L3941" s="13">
        <f>IFERROR(__xludf.DUMMYFUNCTION("""COMPUTED_VALUE"""),46234.0)</f>
        <v>46234</v>
      </c>
    </row>
    <row r="3942">
      <c r="A3942" s="6" t="str">
        <f>IFERROR(__xludf.DUMMYFUNCTION("""COMPUTED_VALUE"""),"MFH")</f>
        <v>MFH</v>
      </c>
      <c r="B3942" s="6" t="str">
        <f>IFERROR(__xludf.DUMMYFUNCTION("""COMPUTED_VALUE"""),"ENG")</f>
        <v>ENG</v>
      </c>
      <c r="C3942" s="6" t="str">
        <f>IFERROR(__xludf.DUMMYFUNCTION("""COMPUTED_VALUE"""),"P-12695-00")</f>
        <v>P-12695-00</v>
      </c>
      <c r="D3942" s="6" t="str">
        <f>IFERROR(__xludf.DUMMYFUNCTION("""COMPUTED_VALUE"""),"PC 4200/IMA C90 - Draw in-roller Cpl; GUK; 21401-0007; 1 pcs")</f>
        <v>PC 4200/IMA C90 - Draw in-roller Cpl; GUK; 21401-0007; 1 pcs</v>
      </c>
      <c r="E3942" s="6">
        <f>IFERROR(__xludf.DUMMYFUNCTION("""COMPUTED_VALUE"""),1.0)</f>
        <v>1</v>
      </c>
      <c r="F3942" s="6">
        <f>IFERROR(__xludf.DUMMYFUNCTION("""COMPUTED_VALUE"""),1.0)</f>
        <v>1</v>
      </c>
      <c r="G3942" s="6">
        <f>IFERROR(__xludf.DUMMYFUNCTION("""COMPUTED_VALUE"""),0.0)</f>
        <v>0</v>
      </c>
      <c r="H3942" s="6" t="str">
        <f>IFERROR(__xludf.DUMMYFUNCTION("""COMPUTED_VALUE"""),"Pcs")</f>
        <v>Pcs</v>
      </c>
      <c r="I3942" s="6" t="str">
        <f>IFERROR(__xludf.DUMMYFUNCTION("""COMPUTED_VALUE"""),"MFH")</f>
        <v>MFH</v>
      </c>
      <c r="J3942" s="6" t="str">
        <f>IFERROR(__xludf.DUMMYFUNCTION("""COMPUTED_VALUE"""),"Cartonning")</f>
        <v>Cartonning</v>
      </c>
      <c r="K3942" s="6" t="str">
        <f>IFERROR(__xludf.DUMMYFUNCTION("""COMPUTED_VALUE"""),"SPR/07/26/060")</f>
        <v>SPR/07/26/060</v>
      </c>
      <c r="L3942" s="13">
        <f>IFERROR(__xludf.DUMMYFUNCTION("""COMPUTED_VALUE"""),46234.0)</f>
        <v>46234</v>
      </c>
    </row>
    <row r="3943">
      <c r="A3943" s="6" t="str">
        <f>IFERROR(__xludf.DUMMYFUNCTION("""COMPUTED_VALUE"""),"MFH")</f>
        <v>MFH</v>
      </c>
      <c r="B3943" s="6" t="str">
        <f>IFERROR(__xludf.DUMMYFUNCTION("""COMPUTED_VALUE"""),"ENG")</f>
        <v>ENG</v>
      </c>
      <c r="C3943" s="6" t="str">
        <f>IFERROR(__xludf.DUMMYFUNCTION("""COMPUTED_VALUE"""),"O-20557-00")</f>
        <v>O-20557-00</v>
      </c>
      <c r="D3943" s="6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E3943" s="6">
        <f>IFERROR(__xludf.DUMMYFUNCTION("""COMPUTED_VALUE"""),2.0)</f>
        <v>2</v>
      </c>
      <c r="F3943" s="6">
        <f>IFERROR(__xludf.DUMMYFUNCTION("""COMPUTED_VALUE"""),2.0)</f>
        <v>2</v>
      </c>
      <c r="G3943" s="6">
        <f>IFERROR(__xludf.DUMMYFUNCTION("""COMPUTED_VALUE"""),0.0)</f>
        <v>0</v>
      </c>
      <c r="H3943" s="6" t="str">
        <f>IFERROR(__xludf.DUMMYFUNCTION("""COMPUTED_VALUE"""),"Pcs")</f>
        <v>Pcs</v>
      </c>
      <c r="I3943" s="6" t="str">
        <f>IFERROR(__xludf.DUMMYFUNCTION("""COMPUTED_VALUE"""),"MFH")</f>
        <v>MFH</v>
      </c>
      <c r="J3943" s="6" t="str">
        <f>IFERROR(__xludf.DUMMYFUNCTION("""COMPUTED_VALUE"""),"Cartonning")</f>
        <v>Cartonning</v>
      </c>
      <c r="K3943" s="6" t="str">
        <f>IFERROR(__xludf.DUMMYFUNCTION("""COMPUTED_VALUE"""),"SPR/07/26/060")</f>
        <v>SPR/07/26/060</v>
      </c>
      <c r="L3943" s="13">
        <f>IFERROR(__xludf.DUMMYFUNCTION("""COMPUTED_VALUE"""),46234.0)</f>
        <v>46234</v>
      </c>
    </row>
    <row r="3944">
      <c r="A3944" s="6" t="str">
        <f>IFERROR(__xludf.DUMMYFUNCTION("""COMPUTED_VALUE"""),"MFH")</f>
        <v>MFH</v>
      </c>
      <c r="B3944" s="6" t="str">
        <f>IFERROR(__xludf.DUMMYFUNCTION("""COMPUTED_VALUE"""),"ENG")</f>
        <v>ENG</v>
      </c>
      <c r="C3944" s="6" t="str">
        <f>IFERROR(__xludf.DUMMYFUNCTION("""COMPUTED_VALUE"""),"O-20558-00")</f>
        <v>O-20558-00</v>
      </c>
      <c r="D3944" s="6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E3944" s="6">
        <f>IFERROR(__xludf.DUMMYFUNCTION("""COMPUTED_VALUE"""),1.0)</f>
        <v>1</v>
      </c>
      <c r="F3944" s="6">
        <f>IFERROR(__xludf.DUMMYFUNCTION("""COMPUTED_VALUE"""),1.0)</f>
        <v>1</v>
      </c>
      <c r="G3944" s="6">
        <f>IFERROR(__xludf.DUMMYFUNCTION("""COMPUTED_VALUE"""),0.0)</f>
        <v>0</v>
      </c>
      <c r="H3944" s="6" t="str">
        <f>IFERROR(__xludf.DUMMYFUNCTION("""COMPUTED_VALUE"""),"Pcs")</f>
        <v>Pcs</v>
      </c>
      <c r="I3944" s="6" t="str">
        <f>IFERROR(__xludf.DUMMYFUNCTION("""COMPUTED_VALUE"""),"MFH")</f>
        <v>MFH</v>
      </c>
      <c r="J3944" s="6" t="str">
        <f>IFERROR(__xludf.DUMMYFUNCTION("""COMPUTED_VALUE"""),"Cartonning")</f>
        <v>Cartonning</v>
      </c>
      <c r="K3944" s="6" t="str">
        <f>IFERROR(__xludf.DUMMYFUNCTION("""COMPUTED_VALUE"""),"SPR/07/26/060")</f>
        <v>SPR/07/26/060</v>
      </c>
      <c r="L3944" s="13">
        <f>IFERROR(__xludf.DUMMYFUNCTION("""COMPUTED_VALUE"""),46234.0)</f>
        <v>46234</v>
      </c>
    </row>
    <row r="3945">
      <c r="A3945" s="6" t="str">
        <f>IFERROR(__xludf.DUMMYFUNCTION("""COMPUTED_VALUE"""),"MFH")</f>
        <v>MFH</v>
      </c>
      <c r="B3945" s="6" t="str">
        <f>IFERROR(__xludf.DUMMYFUNCTION("""COMPUTED_VALUE"""),"ENG")</f>
        <v>ENG</v>
      </c>
      <c r="C3945" s="6" t="str">
        <f>IFERROR(__xludf.DUMMYFUNCTION("""COMPUTED_VALUE"""),"O-21486-00")</f>
        <v>O-21486-00</v>
      </c>
      <c r="D3945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3945" s="6">
        <f>IFERROR(__xludf.DUMMYFUNCTION("""COMPUTED_VALUE"""),3.0)</f>
        <v>3</v>
      </c>
      <c r="F3945" s="6">
        <f>IFERROR(__xludf.DUMMYFUNCTION("""COMPUTED_VALUE"""),3.0)</f>
        <v>3</v>
      </c>
      <c r="G3945" s="6">
        <f>IFERROR(__xludf.DUMMYFUNCTION("""COMPUTED_VALUE"""),0.0)</f>
        <v>0</v>
      </c>
      <c r="H3945" s="6" t="str">
        <f>IFERROR(__xludf.DUMMYFUNCTION("""COMPUTED_VALUE"""),"Pcs")</f>
        <v>Pcs</v>
      </c>
      <c r="I3945" s="6" t="str">
        <f>IFERROR(__xludf.DUMMYFUNCTION("""COMPUTED_VALUE"""),"MFH")</f>
        <v>MFH</v>
      </c>
      <c r="J3945" s="6" t="str">
        <f>IFERROR(__xludf.DUMMYFUNCTION("""COMPUTED_VALUE"""),"-")</f>
        <v>-</v>
      </c>
      <c r="K3945" s="6" t="str">
        <f>IFERROR(__xludf.DUMMYFUNCTION("""COMPUTED_VALUE"""),"SPR/07/26/061")</f>
        <v>SPR/07/26/061</v>
      </c>
      <c r="L3945" s="13">
        <f>IFERROR(__xludf.DUMMYFUNCTION("""COMPUTED_VALUE"""),46234.0)</f>
        <v>46234</v>
      </c>
    </row>
    <row r="3946">
      <c r="A3946" s="6" t="str">
        <f>IFERROR(__xludf.DUMMYFUNCTION("""COMPUTED_VALUE"""),"MFH")</f>
        <v>MFH</v>
      </c>
      <c r="B3946" s="6" t="str">
        <f>IFERROR(__xludf.DUMMYFUNCTION("""COMPUTED_VALUE"""),"ENG")</f>
        <v>ENG</v>
      </c>
      <c r="C3946" s="6" t="str">
        <f>IFERROR(__xludf.DUMMYFUNCTION("""COMPUTED_VALUE"""),"O-21485-00")</f>
        <v>O-21485-00</v>
      </c>
      <c r="D3946" s="6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E3946" s="6">
        <f>IFERROR(__xludf.DUMMYFUNCTION("""COMPUTED_VALUE"""),2.0)</f>
        <v>2</v>
      </c>
      <c r="F3946" s="6">
        <f>IFERROR(__xludf.DUMMYFUNCTION("""COMPUTED_VALUE"""),2.0)</f>
        <v>2</v>
      </c>
      <c r="G3946" s="6">
        <f>IFERROR(__xludf.DUMMYFUNCTION("""COMPUTED_VALUE"""),0.0)</f>
        <v>0</v>
      </c>
      <c r="H3946" s="6" t="str">
        <f>IFERROR(__xludf.DUMMYFUNCTION("""COMPUTED_VALUE"""),"Pcs")</f>
        <v>Pcs</v>
      </c>
      <c r="I3946" s="6" t="str">
        <f>IFERROR(__xludf.DUMMYFUNCTION("""COMPUTED_VALUE"""),"MFH")</f>
        <v>MFH</v>
      </c>
      <c r="J3946" s="6" t="str">
        <f>IFERROR(__xludf.DUMMYFUNCTION("""COMPUTED_VALUE"""),"-")</f>
        <v>-</v>
      </c>
      <c r="K3946" s="6" t="str">
        <f>IFERROR(__xludf.DUMMYFUNCTION("""COMPUTED_VALUE"""),"SPR/07/26/061")</f>
        <v>SPR/07/26/061</v>
      </c>
      <c r="L3946" s="13">
        <f>IFERROR(__xludf.DUMMYFUNCTION("""COMPUTED_VALUE"""),46234.0)</f>
        <v>46234</v>
      </c>
    </row>
    <row r="3947">
      <c r="A3947" s="6" t="str">
        <f>IFERROR(__xludf.DUMMYFUNCTION("""COMPUTED_VALUE"""),"MFH")</f>
        <v>MFH</v>
      </c>
      <c r="B3947" s="6" t="str">
        <f>IFERROR(__xludf.DUMMYFUNCTION("""COMPUTED_VALUE"""),"ENG")</f>
        <v>ENG</v>
      </c>
      <c r="C3947" s="6" t="str">
        <f>IFERROR(__xludf.DUMMYFUNCTION("""COMPUTED_VALUE"""),"Q-10845-00")</f>
        <v>Q-10845-00</v>
      </c>
      <c r="D3947" s="6" t="str">
        <f>IFERROR(__xludf.DUMMYFUNCTION("""COMPUTED_VALUE"""),"Fitting Lampu Bholam E27; ; ; pcs")</f>
        <v>Fitting Lampu Bholam E27; ; ; pcs</v>
      </c>
      <c r="E3947" s="6">
        <f>IFERROR(__xludf.DUMMYFUNCTION("""COMPUTED_VALUE"""),2.0)</f>
        <v>2</v>
      </c>
      <c r="F3947" s="6">
        <f>IFERROR(__xludf.DUMMYFUNCTION("""COMPUTED_VALUE"""),2.0)</f>
        <v>2</v>
      </c>
      <c r="G3947" s="6">
        <f>IFERROR(__xludf.DUMMYFUNCTION("""COMPUTED_VALUE"""),0.0)</f>
        <v>0</v>
      </c>
      <c r="H3947" s="6" t="str">
        <f>IFERROR(__xludf.DUMMYFUNCTION("""COMPUTED_VALUE"""),"Pcs")</f>
        <v>Pcs</v>
      </c>
      <c r="I3947" s="6" t="str">
        <f>IFERROR(__xludf.DUMMYFUNCTION("""COMPUTED_VALUE"""),"MFH")</f>
        <v>MFH</v>
      </c>
      <c r="J3947" s="6" t="str">
        <f>IFERROR(__xludf.DUMMYFUNCTION("""COMPUTED_VALUE"""),"Isolator GC")</f>
        <v>Isolator GC</v>
      </c>
      <c r="K3947" s="6" t="str">
        <f>IFERROR(__xludf.DUMMYFUNCTION("""COMPUTED_VALUE"""),"SPR/07/26/062")</f>
        <v>SPR/07/26/062</v>
      </c>
      <c r="L3947" s="13">
        <f>IFERROR(__xludf.DUMMYFUNCTION("""COMPUTED_VALUE"""),46234.0)</f>
        <v>46234</v>
      </c>
    </row>
    <row r="3948">
      <c r="A3948" s="6" t="str">
        <f>IFERROR(__xludf.DUMMYFUNCTION("""COMPUTED_VALUE"""),"MFH")</f>
        <v>MFH</v>
      </c>
      <c r="B3948" s="6" t="str">
        <f>IFERROR(__xludf.DUMMYFUNCTION("""COMPUTED_VALUE"""),"ENG")</f>
        <v>ENG</v>
      </c>
      <c r="C3948" s="6" t="str">
        <f>IFERROR(__xludf.DUMMYFUNCTION("""COMPUTED_VALUE"""),"P-51741-00")</f>
        <v>P-51741-00</v>
      </c>
      <c r="D3948" s="6" t="str">
        <f>IFERROR(__xludf.DUMMYFUNCTION("""COMPUTED_VALUE"""),"Lampu Phillips PHP LED; 710 7w E27 White 220-240v; ; ;")</f>
        <v>Lampu Phillips PHP LED; 710 7w E27 White 220-240v; ; ;</v>
      </c>
      <c r="E3948" s="6">
        <f>IFERROR(__xludf.DUMMYFUNCTION("""COMPUTED_VALUE"""),2.0)</f>
        <v>2</v>
      </c>
      <c r="F3948" s="6">
        <f>IFERROR(__xludf.DUMMYFUNCTION("""COMPUTED_VALUE"""),2.0)</f>
        <v>2</v>
      </c>
      <c r="G3948" s="6">
        <f>IFERROR(__xludf.DUMMYFUNCTION("""COMPUTED_VALUE"""),0.0)</f>
        <v>0</v>
      </c>
      <c r="H3948" s="6" t="str">
        <f>IFERROR(__xludf.DUMMYFUNCTION("""COMPUTED_VALUE"""),"Pcs")</f>
        <v>Pcs</v>
      </c>
      <c r="I3948" s="6" t="str">
        <f>IFERROR(__xludf.DUMMYFUNCTION("""COMPUTED_VALUE"""),"MFH")</f>
        <v>MFH</v>
      </c>
      <c r="J3948" s="6" t="str">
        <f>IFERROR(__xludf.DUMMYFUNCTION("""COMPUTED_VALUE"""),"Isolator Dry Lab")</f>
        <v>Isolator Dry Lab</v>
      </c>
      <c r="K3948" s="6" t="str">
        <f>IFERROR(__xludf.DUMMYFUNCTION("""COMPUTED_VALUE"""),"SPR/07/26/062")</f>
        <v>SPR/07/26/062</v>
      </c>
      <c r="L3948" s="13">
        <f>IFERROR(__xludf.DUMMYFUNCTION("""COMPUTED_VALUE"""),46234.0)</f>
        <v>46234</v>
      </c>
    </row>
    <row r="3949">
      <c r="A3949" s="6" t="str">
        <f>IFERROR(__xludf.DUMMYFUNCTION("""COMPUTED_VALUE"""),"MFH")</f>
        <v>MFH</v>
      </c>
      <c r="B3949" s="6" t="str">
        <f>IFERROR(__xludf.DUMMYFUNCTION("""COMPUTED_VALUE"""),"ENG")</f>
        <v>ENG</v>
      </c>
      <c r="C3949" s="6" t="str">
        <f>IFERROR(__xludf.DUMMYFUNCTION("""COMPUTED_VALUE"""),"P-15862-00")</f>
        <v>P-15862-00</v>
      </c>
      <c r="D3949" s="6" t="str">
        <f>IFERROR(__xludf.DUMMYFUNCTION("""COMPUTED_VALUE"""),"PAPER RECORD YOKOGAWA; FOLDING CHART B9565AW")</f>
        <v>PAPER RECORD YOKOGAWA; FOLDING CHART B9565AW</v>
      </c>
      <c r="E3949" s="6">
        <f>IFERROR(__xludf.DUMMYFUNCTION("""COMPUTED_VALUE"""),1.0)</f>
        <v>1</v>
      </c>
      <c r="F3949" s="6">
        <f>IFERROR(__xludf.DUMMYFUNCTION("""COMPUTED_VALUE"""),1.0)</f>
        <v>1</v>
      </c>
      <c r="G3949" s="6">
        <f>IFERROR(__xludf.DUMMYFUNCTION("""COMPUTED_VALUE"""),0.0)</f>
        <v>0</v>
      </c>
      <c r="H3949" s="6" t="str">
        <f>IFERROR(__xludf.DUMMYFUNCTION("""COMPUTED_VALUE"""),"Pcs")</f>
        <v>Pcs</v>
      </c>
      <c r="I3949" s="6" t="str">
        <f>IFERROR(__xludf.DUMMYFUNCTION("""COMPUTED_VALUE"""),"MFH")</f>
        <v>MFH</v>
      </c>
      <c r="J3949" s="6" t="str">
        <f>IFERROR(__xludf.DUMMYFUNCTION("""COMPUTED_VALUE"""),"WFI SKID")</f>
        <v>WFI SKID</v>
      </c>
      <c r="K3949" s="6" t="str">
        <f>IFERROR(__xludf.DUMMYFUNCTION("""COMPUTED_VALUE"""),"SPR/07/26/062")</f>
        <v>SPR/07/26/062</v>
      </c>
      <c r="L3949" s="13">
        <f>IFERROR(__xludf.DUMMYFUNCTION("""COMPUTED_VALUE"""),46234.0)</f>
        <v>46234</v>
      </c>
    </row>
    <row r="3950">
      <c r="A3950" s="6" t="str">
        <f>IFERROR(__xludf.DUMMYFUNCTION("""COMPUTED_VALUE"""),"ROS")</f>
        <v>ROS</v>
      </c>
      <c r="B3950" s="6" t="str">
        <f>IFERROR(__xludf.DUMMYFUNCTION("""COMPUTED_VALUE"""),"ENG")</f>
        <v>ENG</v>
      </c>
      <c r="C3950" s="6" t="str">
        <f>IFERROR(__xludf.DUMMYFUNCTION("""COMPUTED_VALUE"""),"O-16647-00")</f>
        <v>O-16647-00</v>
      </c>
      <c r="D3950" s="6" t="str">
        <f>IFERROR(__xludf.DUMMYFUNCTION("""COMPUTED_VALUE"""),"Washing RAR4 - Oring Silicone Merah 23x18x2.5 mm; ; ;")</f>
        <v>Washing RAR4 - Oring Silicone Merah 23x18x2.5 mm; ; ;</v>
      </c>
      <c r="E3950" s="6">
        <f>IFERROR(__xludf.DUMMYFUNCTION("""COMPUTED_VALUE"""),10.0)</f>
        <v>10</v>
      </c>
      <c r="F3950" s="6">
        <f>IFERROR(__xludf.DUMMYFUNCTION("""COMPUTED_VALUE"""),10.0)</f>
        <v>10</v>
      </c>
      <c r="G3950" s="6">
        <f>IFERROR(__xludf.DUMMYFUNCTION("""COMPUTED_VALUE"""),0.0)</f>
        <v>0</v>
      </c>
      <c r="H3950" s="6" t="str">
        <f>IFERROR(__xludf.DUMMYFUNCTION("""COMPUTED_VALUE"""),"Pcs")</f>
        <v>Pcs</v>
      </c>
      <c r="I3950" s="6" t="str">
        <f>IFERROR(__xludf.DUMMYFUNCTION("""COMPUTED_VALUE"""),"MFH")</f>
        <v>MFH</v>
      </c>
      <c r="J3950" s="6" t="str">
        <f>IFERROR(__xludf.DUMMYFUNCTION("""COMPUTED_VALUE"""),"Capping")</f>
        <v>Capping</v>
      </c>
      <c r="K3950" s="6" t="str">
        <f>IFERROR(__xludf.DUMMYFUNCTION("""COMPUTED_VALUE"""),"SPR/07/26/063")</f>
        <v>SPR/07/26/063</v>
      </c>
      <c r="L3950" s="13">
        <f>IFERROR(__xludf.DUMMYFUNCTION("""COMPUTED_VALUE"""),46234.0)</f>
        <v>46234</v>
      </c>
    </row>
    <row r="3951">
      <c r="A3951" s="6" t="str">
        <f>IFERROR(__xludf.DUMMYFUNCTION("""COMPUTED_VALUE"""),"ROS")</f>
        <v>ROS</v>
      </c>
      <c r="B3951" s="6" t="str">
        <f>IFERROR(__xludf.DUMMYFUNCTION("""COMPUTED_VALUE"""),"ENG")</f>
        <v>ENG</v>
      </c>
      <c r="C3951" s="6" t="str">
        <f>IFERROR(__xludf.DUMMYFUNCTION("""COMPUTED_VALUE"""),"Q-60025-00")</f>
        <v>Q-60025-00</v>
      </c>
      <c r="D3951" s="6" t="str">
        <f>IFERROR(__xludf.DUMMYFUNCTION("""COMPUTED_VALUE"""),"Kuas Eterna 1")</f>
        <v>Kuas Eterna 1</v>
      </c>
      <c r="E3951" s="6">
        <f>IFERROR(__xludf.DUMMYFUNCTION("""COMPUTED_VALUE"""),1.0)</f>
        <v>1</v>
      </c>
      <c r="F3951" s="6">
        <f>IFERROR(__xludf.DUMMYFUNCTION("""COMPUTED_VALUE"""),1.0)</f>
        <v>1</v>
      </c>
      <c r="G3951" s="6">
        <f>IFERROR(__xludf.DUMMYFUNCTION("""COMPUTED_VALUE"""),0.0)</f>
        <v>0</v>
      </c>
      <c r="H3951" s="6" t="str">
        <f>IFERROR(__xludf.DUMMYFUNCTION("""COMPUTED_VALUE"""),"Pcs")</f>
        <v>Pcs</v>
      </c>
      <c r="I3951" s="6" t="str">
        <f>IFERROR(__xludf.DUMMYFUNCTION("""COMPUTED_VALUE"""),"MFH")</f>
        <v>MFH</v>
      </c>
      <c r="J3951" s="6" t="str">
        <f>IFERROR(__xludf.DUMMYFUNCTION("""COMPUTED_VALUE"""),"-")</f>
        <v>-</v>
      </c>
      <c r="K3951" s="6" t="str">
        <f>IFERROR(__xludf.DUMMYFUNCTION("""COMPUTED_VALUE"""),"SPR/07/26/063")</f>
        <v>SPR/07/26/063</v>
      </c>
      <c r="L3951" s="13">
        <f>IFERROR(__xludf.DUMMYFUNCTION("""COMPUTED_VALUE"""),46234.0)</f>
        <v>46234</v>
      </c>
    </row>
    <row r="3952">
      <c r="A3952" s="6" t="str">
        <f>IFERROR(__xludf.DUMMYFUNCTION("""COMPUTED_VALUE"""),"ROS")</f>
        <v>ROS</v>
      </c>
      <c r="B3952" s="6" t="str">
        <f>IFERROR(__xludf.DUMMYFUNCTION("""COMPUTED_VALUE"""),"ENG")</f>
        <v>ENG</v>
      </c>
      <c r="C3952" s="6" t="str">
        <f>IFERROR(__xludf.DUMMYFUNCTION("""COMPUTED_VALUE"""),"O-20294-00")</f>
        <v>O-20294-00</v>
      </c>
      <c r="D3952" s="6" t="str">
        <f>IFERROR(__xludf.DUMMYFUNCTION("""COMPUTED_VALUE"""),"Autoclave - Oring 70 x 59 x 5.5 mm Viton Custom/Lokal  -")</f>
        <v>Autoclave - Oring 70 x 59 x 5.5 mm Viton Custom/Lokal  -</v>
      </c>
      <c r="E3952" s="6">
        <f>IFERROR(__xludf.DUMMYFUNCTION("""COMPUTED_VALUE"""),1.0)</f>
        <v>1</v>
      </c>
      <c r="F3952" s="6">
        <f>IFERROR(__xludf.DUMMYFUNCTION("""COMPUTED_VALUE"""),1.0)</f>
        <v>1</v>
      </c>
      <c r="G3952" s="6">
        <f>IFERROR(__xludf.DUMMYFUNCTION("""COMPUTED_VALUE"""),0.0)</f>
        <v>0</v>
      </c>
      <c r="H3952" s="6" t="str">
        <f>IFERROR(__xludf.DUMMYFUNCTION("""COMPUTED_VALUE"""),"Pcs")</f>
        <v>Pcs</v>
      </c>
      <c r="I3952" s="6" t="str">
        <f>IFERROR(__xludf.DUMMYFUNCTION("""COMPUTED_VALUE"""),"MFH")</f>
        <v>MFH</v>
      </c>
      <c r="J3952" s="6" t="str">
        <f>IFERROR(__xludf.DUMMYFUNCTION("""COMPUTED_VALUE"""),"FIlling")</f>
        <v>FIlling</v>
      </c>
      <c r="K3952" s="6" t="str">
        <f>IFERROR(__xludf.DUMMYFUNCTION("""COMPUTED_VALUE"""),"SPR/07/26/063")</f>
        <v>SPR/07/26/063</v>
      </c>
      <c r="L3952" s="13">
        <f>IFERROR(__xludf.DUMMYFUNCTION("""COMPUTED_VALUE"""),46234.0)</f>
        <v>46234</v>
      </c>
    </row>
    <row r="3953">
      <c r="A3953" s="6" t="str">
        <f>IFERROR(__xludf.DUMMYFUNCTION("""COMPUTED_VALUE"""),"ERA")</f>
        <v>ERA</v>
      </c>
      <c r="B3953" s="6" t="str">
        <f>IFERROR(__xludf.DUMMYFUNCTION("""COMPUTED_VALUE"""),"ENG")</f>
        <v>ENG</v>
      </c>
      <c r="C3953" s="6" t="str">
        <f>IFERROR(__xludf.DUMMYFUNCTION("""COMPUTED_VALUE"""),"P-14457-00")</f>
        <v>P-14457-00</v>
      </c>
      <c r="D3953" s="6" t="str">
        <f>IFERROR(__xludf.DUMMYFUNCTION("""COMPUTED_VALUE"""),"Filter IAF MBV Series (Medium Filter), efficiency : 90-95 %, Size: 24 x 24 x 12 inch; IAF; ;")</f>
        <v>Filter IAF MBV Series (Medium Filter), efficiency : 90-95 %, Size: 24 x 24 x 12 inch; IAF; ;</v>
      </c>
      <c r="E3953" s="6">
        <f>IFERROR(__xludf.DUMMYFUNCTION("""COMPUTED_VALUE"""),1.0)</f>
        <v>1</v>
      </c>
      <c r="F3953" s="6">
        <f>IFERROR(__xludf.DUMMYFUNCTION("""COMPUTED_VALUE"""),1.0)</f>
        <v>1</v>
      </c>
      <c r="G3953" s="6">
        <f>IFERROR(__xludf.DUMMYFUNCTION("""COMPUTED_VALUE"""),0.0)</f>
        <v>0</v>
      </c>
      <c r="H3953" s="6" t="str">
        <f>IFERROR(__xludf.DUMMYFUNCTION("""COMPUTED_VALUE"""),"Pcs")</f>
        <v>Pcs</v>
      </c>
      <c r="I3953" s="6" t="str">
        <f>IFERROR(__xludf.DUMMYFUNCTION("""COMPUTED_VALUE"""),"MFH")</f>
        <v>MFH</v>
      </c>
      <c r="J3953" s="6" t="str">
        <f>IFERROR(__xludf.DUMMYFUNCTION("""COMPUTED_VALUE"""),"cRABS")</f>
        <v>cRABS</v>
      </c>
      <c r="K3953" s="6" t="str">
        <f>IFERROR(__xludf.DUMMYFUNCTION("""COMPUTED_VALUE"""),"SPR/07/26/064")</f>
        <v>SPR/07/26/064</v>
      </c>
      <c r="L3953" s="13">
        <f>IFERROR(__xludf.DUMMYFUNCTION("""COMPUTED_VALUE"""),46234.0)</f>
        <v>46234</v>
      </c>
    </row>
    <row r="3954">
      <c r="A3954" s="6" t="str">
        <f>IFERROR(__xludf.DUMMYFUNCTION("""COMPUTED_VALUE"""),"SFH")</f>
        <v>SFH</v>
      </c>
      <c r="B3954" s="6" t="str">
        <f>IFERROR(__xludf.DUMMYFUNCTION("""COMPUTED_VALUE"""),"ENG")</f>
        <v>ENG</v>
      </c>
      <c r="C3954" s="6" t="str">
        <f>IFERROR(__xludf.DUMMYFUNCTION("""COMPUTED_VALUE"""),"Q-50013-00")</f>
        <v>Q-50013-00</v>
      </c>
      <c r="D3954" s="6" t="str">
        <f>IFERROR(__xludf.DUMMYFUNCTION("""COMPUTED_VALUE"""),"Frame or Perimeter Seal RP48 White; Raven; R48W6; 6 meter/pck")</f>
        <v>Frame or Perimeter Seal RP48 White; Raven; R48W6; 6 meter/pck</v>
      </c>
      <c r="E3954" s="6">
        <f>IFERROR(__xludf.DUMMYFUNCTION("""COMPUTED_VALUE"""),2.0)</f>
        <v>2</v>
      </c>
      <c r="F3954" s="6">
        <f>IFERROR(__xludf.DUMMYFUNCTION("""COMPUTED_VALUE"""),2.0)</f>
        <v>2</v>
      </c>
      <c r="G3954" s="6">
        <f>IFERROR(__xludf.DUMMYFUNCTION("""COMPUTED_VALUE"""),0.0)</f>
        <v>0</v>
      </c>
      <c r="H3954" s="6" t="str">
        <f>IFERROR(__xludf.DUMMYFUNCTION("""COMPUTED_VALUE"""),"Pcs")</f>
        <v>Pcs</v>
      </c>
      <c r="I3954" s="6" t="str">
        <f>IFERROR(__xludf.DUMMYFUNCTION("""COMPUTED_VALUE"""),"MFH")</f>
        <v>MFH</v>
      </c>
      <c r="J3954" s="6" t="str">
        <f>IFERROR(__xludf.DUMMYFUNCTION("""COMPUTED_VALUE"""),"Mixing ")</f>
        <v>Mixing </v>
      </c>
      <c r="K3954" s="6" t="str">
        <f>IFERROR(__xludf.DUMMYFUNCTION("""COMPUTED_VALUE"""),"SPR/07/26/065")</f>
        <v>SPR/07/26/065</v>
      </c>
      <c r="L3954" s="13">
        <f>IFERROR(__xludf.DUMMYFUNCTION("""COMPUTED_VALUE"""),46234.0)</f>
        <v>46234</v>
      </c>
    </row>
    <row r="3955">
      <c r="A3955" s="6" t="str">
        <f>IFERROR(__xludf.DUMMYFUNCTION("""COMPUTED_VALUE"""),"BDU")</f>
        <v>BDU</v>
      </c>
      <c r="B3955" s="6" t="str">
        <f>IFERROR(__xludf.DUMMYFUNCTION("""COMPUTED_VALUE"""),"ENG")</f>
        <v>ENG</v>
      </c>
      <c r="C3955" s="6" t="str">
        <f>IFERROR(__xludf.DUMMYFUNCTION("""COMPUTED_VALUE"""),"P-51299-00")</f>
        <v>P-51299-00</v>
      </c>
      <c r="D3955" s="6" t="str">
        <f>IFERROR(__xludf.DUMMYFUNCTION("""COMPUTED_VALUE"""),"General - Terminal Plastik, dia. 6 mm; No Brand; -; 1 pcs")</f>
        <v>General - Terminal Plastik, dia. 6 mm; No Brand; -; 1 pcs</v>
      </c>
      <c r="E3955" s="6">
        <f>IFERROR(__xludf.DUMMYFUNCTION("""COMPUTED_VALUE"""),1.0)</f>
        <v>1</v>
      </c>
      <c r="F3955" s="6">
        <f>IFERROR(__xludf.DUMMYFUNCTION("""COMPUTED_VALUE"""),1.0)</f>
        <v>1</v>
      </c>
      <c r="G3955" s="6">
        <f>IFERROR(__xludf.DUMMYFUNCTION("""COMPUTED_VALUE"""),0.0)</f>
        <v>0</v>
      </c>
      <c r="H3955" s="6" t="str">
        <f>IFERROR(__xludf.DUMMYFUNCTION("""COMPUTED_VALUE"""),"Pcs")</f>
        <v>Pcs</v>
      </c>
      <c r="I3955" s="6" t="str">
        <f>IFERROR(__xludf.DUMMYFUNCTION("""COMPUTED_VALUE"""),"MFH")</f>
        <v>MFH</v>
      </c>
      <c r="J3955" s="6" t="str">
        <f>IFERROR(__xludf.DUMMYFUNCTION("""COMPUTED_VALUE"""),"FIlling")</f>
        <v>FIlling</v>
      </c>
      <c r="K3955" s="6" t="str">
        <f>IFERROR(__xludf.DUMMYFUNCTION("""COMPUTED_VALUE"""),"SPR/07/26/066")</f>
        <v>SPR/07/26/066</v>
      </c>
      <c r="L3955" s="13">
        <f>IFERROR(__xludf.DUMMYFUNCTION("""COMPUTED_VALUE"""),46234.0)</f>
        <v>46234</v>
      </c>
    </row>
    <row r="3956">
      <c r="A3956" s="6" t="str">
        <f>IFERROR(__xludf.DUMMYFUNCTION("""COMPUTED_VALUE"""),"WAP")</f>
        <v>WAP</v>
      </c>
      <c r="B3956" s="6" t="str">
        <f>IFERROR(__xludf.DUMMYFUNCTION("""COMPUTED_VALUE"""),"ENG")</f>
        <v>ENG</v>
      </c>
      <c r="C3956" s="6" t="str">
        <f>IFERROR(__xludf.DUMMYFUNCTION("""COMPUTED_VALUE"""),"P-19898-00")</f>
        <v>P-19898-00</v>
      </c>
      <c r="D3956" s="6" t="str">
        <f>IFERROR(__xludf.DUMMYFUNCTION("""COMPUTED_VALUE"""),"General - Bushing VAV dia. 24 x 26mm; Custom Agru; -; 1 pc")</f>
        <v>General - Bushing VAV dia. 24 x 26mm; Custom Agru; -; 1 pc</v>
      </c>
      <c r="E3956" s="6">
        <f>IFERROR(__xludf.DUMMYFUNCTION("""COMPUTED_VALUE"""),1.0)</f>
        <v>1</v>
      </c>
      <c r="F3956" s="6">
        <f>IFERROR(__xludf.DUMMYFUNCTION("""COMPUTED_VALUE"""),1.0)</f>
        <v>1</v>
      </c>
      <c r="G3956" s="6">
        <f>IFERROR(__xludf.DUMMYFUNCTION("""COMPUTED_VALUE"""),0.0)</f>
        <v>0</v>
      </c>
      <c r="H3956" s="6" t="str">
        <f>IFERROR(__xludf.DUMMYFUNCTION("""COMPUTED_VALUE"""),"Pcs")</f>
        <v>Pcs</v>
      </c>
      <c r="I3956" s="6" t="str">
        <f>IFERROR(__xludf.DUMMYFUNCTION("""COMPUTED_VALUE"""),"MFH")</f>
        <v>MFH</v>
      </c>
      <c r="J3956" s="6" t="str">
        <f>IFERROR(__xludf.DUMMYFUNCTION("""COMPUTED_VALUE"""),"AHU")</f>
        <v>AHU</v>
      </c>
      <c r="K3956" s="6" t="str">
        <f>IFERROR(__xludf.DUMMYFUNCTION("""COMPUTED_VALUE"""),"SPR/07/26/067")</f>
        <v>SPR/07/26/067</v>
      </c>
      <c r="L3956" s="13">
        <f>IFERROR(__xludf.DUMMYFUNCTION("""COMPUTED_VALUE"""),46234.0)</f>
        <v>46234</v>
      </c>
    </row>
    <row r="3957">
      <c r="A3957" s="6" t="str">
        <f>IFERROR(__xludf.DUMMYFUNCTION("""COMPUTED_VALUE"""),"SFH")</f>
        <v>SFH</v>
      </c>
      <c r="B3957" s="6" t="str">
        <f>IFERROR(__xludf.DUMMYFUNCTION("""COMPUTED_VALUE"""),"ENG")</f>
        <v>ENG</v>
      </c>
      <c r="C3957" s="6" t="str">
        <f>IFERROR(__xludf.DUMMYFUNCTION("""COMPUTED_VALUE"""),"Q-10128-00")</f>
        <v>Q-10128-00</v>
      </c>
      <c r="D3957" s="6" t="str">
        <f>IFERROR(__xludf.DUMMYFUNCTION("""COMPUTED_VALUE"""),"Thinner Super End/Impala")</f>
        <v>Thinner Super End/Impala</v>
      </c>
      <c r="E3957" s="6">
        <f>IFERROR(__xludf.DUMMYFUNCTION("""COMPUTED_VALUE"""),1.0)</f>
        <v>1</v>
      </c>
      <c r="F3957" s="6">
        <f>IFERROR(__xludf.DUMMYFUNCTION("""COMPUTED_VALUE"""),1.0)</f>
        <v>1</v>
      </c>
      <c r="G3957" s="6">
        <f>IFERROR(__xludf.DUMMYFUNCTION("""COMPUTED_VALUE"""),0.0)</f>
        <v>0</v>
      </c>
      <c r="H3957" s="6" t="str">
        <f>IFERROR(__xludf.DUMMYFUNCTION("""COMPUTED_VALUE"""),"Can")</f>
        <v>Can</v>
      </c>
      <c r="I3957" s="6" t="str">
        <f>IFERROR(__xludf.DUMMYFUNCTION("""COMPUTED_VALUE"""),"MFH")</f>
        <v>MFH</v>
      </c>
      <c r="J3957" s="6" t="str">
        <f>IFERROR(__xludf.DUMMYFUNCTION("""COMPUTED_VALUE"""),"Building")</f>
        <v>Building</v>
      </c>
      <c r="K3957" s="6" t="str">
        <f>IFERROR(__xludf.DUMMYFUNCTION("""COMPUTED_VALUE"""),"SPR/07/26/068")</f>
        <v>SPR/07/26/068</v>
      </c>
      <c r="L3957" s="13">
        <f>IFERROR(__xludf.DUMMYFUNCTION("""COMPUTED_VALUE"""),46234.0)</f>
        <v>46234</v>
      </c>
    </row>
    <row r="3958">
      <c r="A3958" s="6" t="str">
        <f>IFERROR(__xludf.DUMMYFUNCTION("""COMPUTED_VALUE"""),"RIA")</f>
        <v>RIA</v>
      </c>
      <c r="B3958" s="6" t="str">
        <f>IFERROR(__xludf.DUMMYFUNCTION("""COMPUTED_VALUE"""),"ENG")</f>
        <v>ENG</v>
      </c>
      <c r="C3958" s="6" t="str">
        <f>IFERROR(__xludf.DUMMYFUNCTION("""COMPUTED_VALUE"""),"P-15862-00")</f>
        <v>P-15862-00</v>
      </c>
      <c r="D3958" s="6" t="str">
        <f>IFERROR(__xludf.DUMMYFUNCTION("""COMPUTED_VALUE"""),"PAPER RECORD YOKOGAWA; FOLDING CHART B9565AW")</f>
        <v>PAPER RECORD YOKOGAWA; FOLDING CHART B9565AW</v>
      </c>
      <c r="E3958" s="6">
        <f>IFERROR(__xludf.DUMMYFUNCTION("""COMPUTED_VALUE"""),1.0)</f>
        <v>1</v>
      </c>
      <c r="F3958" s="6">
        <f>IFERROR(__xludf.DUMMYFUNCTION("""COMPUTED_VALUE"""),1.0)</f>
        <v>1</v>
      </c>
      <c r="G3958" s="6">
        <f>IFERROR(__xludf.DUMMYFUNCTION("""COMPUTED_VALUE"""),0.0)</f>
        <v>0</v>
      </c>
      <c r="H3958" s="6" t="str">
        <f>IFERROR(__xludf.DUMMYFUNCTION("""COMPUTED_VALUE"""),"Pcs")</f>
        <v>Pcs</v>
      </c>
      <c r="I3958" s="6" t="str">
        <f>IFERROR(__xludf.DUMMYFUNCTION("""COMPUTED_VALUE"""),"MFH")</f>
        <v>MFH</v>
      </c>
      <c r="J3958" s="6" t="str">
        <f>IFERROR(__xludf.DUMMYFUNCTION("""COMPUTED_VALUE"""),"PSG")</f>
        <v>PSG</v>
      </c>
      <c r="K3958" s="6" t="str">
        <f>IFERROR(__xludf.DUMMYFUNCTION("""COMPUTED_VALUE"""),"SPR/07/26/069")</f>
        <v>SPR/07/26/069</v>
      </c>
      <c r="L3958" s="13">
        <f>IFERROR(__xludf.DUMMYFUNCTION("""COMPUTED_VALUE"""),46234.0)</f>
        <v>46234</v>
      </c>
    </row>
    <row r="3959">
      <c r="A3959" s="6" t="str">
        <f>IFERROR(__xludf.DUMMYFUNCTION("""COMPUTED_VALUE"""),"RIA")</f>
        <v>RIA</v>
      </c>
      <c r="B3959" s="6" t="str">
        <f>IFERROR(__xludf.DUMMYFUNCTION("""COMPUTED_VALUE"""),"ENG")</f>
        <v>ENG</v>
      </c>
      <c r="C3959" s="6" t="str">
        <f>IFERROR(__xludf.DUMMYFUNCTION("""COMPUTED_VALUE"""),"P-50717-00")</f>
        <v>P-50717-00</v>
      </c>
      <c r="D3959" s="6" t="str">
        <f>IFERROR(__xludf.DUMMYFUNCTION("""COMPUTED_VALUE"""),"General - Kabel UTP 4 Pairs Cat 6; Belden; -; 305m/roll")</f>
        <v>General - Kabel UTP 4 Pairs Cat 6; Belden; -; 305m/roll</v>
      </c>
      <c r="E3959" s="6">
        <f>IFERROR(__xludf.DUMMYFUNCTION("""COMPUTED_VALUE"""),120.0)</f>
        <v>120</v>
      </c>
      <c r="F3959" s="6">
        <f>IFERROR(__xludf.DUMMYFUNCTION("""COMPUTED_VALUE"""),120.0)</f>
        <v>120</v>
      </c>
      <c r="G3959" s="6">
        <f>IFERROR(__xludf.DUMMYFUNCTION("""COMPUTED_VALUE"""),0.0)</f>
        <v>0</v>
      </c>
      <c r="H3959" s="6" t="str">
        <f>IFERROR(__xludf.DUMMYFUNCTION("""COMPUTED_VALUE"""),"Pcs")</f>
        <v>Pcs</v>
      </c>
      <c r="I3959" s="6" t="str">
        <f>IFERROR(__xludf.DUMMYFUNCTION("""COMPUTED_VALUE"""),"MFH")</f>
        <v>MFH</v>
      </c>
      <c r="J3959" s="6" t="str">
        <f>IFERROR(__xludf.DUMMYFUNCTION("""COMPUTED_VALUE"""),"Building")</f>
        <v>Building</v>
      </c>
      <c r="K3959" s="6" t="str">
        <f>IFERROR(__xludf.DUMMYFUNCTION("""COMPUTED_VALUE"""),"SPR/07/26/069")</f>
        <v>SPR/07/26/069</v>
      </c>
      <c r="L3959" s="13">
        <f>IFERROR(__xludf.DUMMYFUNCTION("""COMPUTED_VALUE"""),46234.0)</f>
        <v>46234</v>
      </c>
    </row>
    <row r="3960">
      <c r="A3960" s="6" t="str">
        <f>IFERROR(__xludf.DUMMYFUNCTION("""COMPUTED_VALUE"""),"RIA")</f>
        <v>RIA</v>
      </c>
      <c r="B3960" s="6" t="str">
        <f>IFERROR(__xludf.DUMMYFUNCTION("""COMPUTED_VALUE"""),"ENG")</f>
        <v>ENG</v>
      </c>
      <c r="C3960" s="6" t="str">
        <f>IFERROR(__xludf.DUMMYFUNCTION("""COMPUTED_VALUE"""),"P-52854-00")</f>
        <v>P-52854-00</v>
      </c>
      <c r="D3960" s="6" t="str">
        <f>IFERROR(__xludf.DUMMYFUNCTION("""COMPUTED_VALUE"""),"General - Socket RJ45 Cat 6; Belden; -; 50pcs/pack")</f>
        <v>General - Socket RJ45 Cat 6; Belden; -; 50pcs/pack</v>
      </c>
      <c r="E3960" s="6">
        <f>IFERROR(__xludf.DUMMYFUNCTION("""COMPUTED_VALUE"""),8.0)</f>
        <v>8</v>
      </c>
      <c r="F3960" s="6">
        <f>IFERROR(__xludf.DUMMYFUNCTION("""COMPUTED_VALUE"""),8.0)</f>
        <v>8</v>
      </c>
      <c r="G3960" s="6">
        <f>IFERROR(__xludf.DUMMYFUNCTION("""COMPUTED_VALUE"""),0.0)</f>
        <v>0</v>
      </c>
      <c r="H3960" s="6" t="str">
        <f>IFERROR(__xludf.DUMMYFUNCTION("""COMPUTED_VALUE"""),"Pcs")</f>
        <v>Pcs</v>
      </c>
      <c r="I3960" s="6" t="str">
        <f>IFERROR(__xludf.DUMMYFUNCTION("""COMPUTED_VALUE"""),"MFH")</f>
        <v>MFH</v>
      </c>
      <c r="J3960" s="6" t="str">
        <f>IFERROR(__xludf.DUMMYFUNCTION("""COMPUTED_VALUE"""),"Building")</f>
        <v>Building</v>
      </c>
      <c r="K3960" s="6" t="str">
        <f>IFERROR(__xludf.DUMMYFUNCTION("""COMPUTED_VALUE"""),"SPR/07/26/069")</f>
        <v>SPR/07/26/069</v>
      </c>
      <c r="L3960" s="13">
        <f>IFERROR(__xludf.DUMMYFUNCTION("""COMPUTED_VALUE"""),46234.0)</f>
        <v>46234</v>
      </c>
    </row>
    <row r="3961">
      <c r="A3961" s="6" t="str">
        <f>IFERROR(__xludf.DUMMYFUNCTION("""COMPUTED_VALUE"""),"NDS")</f>
        <v>NDS</v>
      </c>
      <c r="B3961" s="6" t="str">
        <f>IFERROR(__xludf.DUMMYFUNCTION("""COMPUTED_VALUE"""),"ENG")</f>
        <v>ENG</v>
      </c>
      <c r="C3961" s="6" t="str">
        <f>IFERROR(__xludf.DUMMYFUNCTION("""COMPUTED_VALUE"""),"O-16731-00")</f>
        <v>O-16731-00</v>
      </c>
      <c r="D3961" s="6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E3961" s="6">
        <f>IFERROR(__xludf.DUMMYFUNCTION("""COMPUTED_VALUE"""),2.0)</f>
        <v>2</v>
      </c>
      <c r="F3961" s="6">
        <f>IFERROR(__xludf.DUMMYFUNCTION("""COMPUTED_VALUE"""),2.0)</f>
        <v>2</v>
      </c>
      <c r="G3961" s="6">
        <f>IFERROR(__xludf.DUMMYFUNCTION("""COMPUTED_VALUE"""),0.0)</f>
        <v>0</v>
      </c>
      <c r="H3961" s="6" t="str">
        <f>IFERROR(__xludf.DUMMYFUNCTION("""COMPUTED_VALUE"""),"Pcs")</f>
        <v>Pcs</v>
      </c>
      <c r="I3961" s="6" t="str">
        <f>IFERROR(__xludf.DUMMYFUNCTION("""COMPUTED_VALUE"""),"MFH")</f>
        <v>MFH</v>
      </c>
      <c r="J3961" s="6" t="str">
        <f>IFERROR(__xludf.DUMMYFUNCTION("""COMPUTED_VALUE"""),"Autoclave")</f>
        <v>Autoclave</v>
      </c>
      <c r="K3961" s="6" t="str">
        <f>IFERROR(__xludf.DUMMYFUNCTION("""COMPUTED_VALUE"""),"SPR/07/26/070")</f>
        <v>SPR/07/26/070</v>
      </c>
      <c r="L3961" s="13">
        <f>IFERROR(__xludf.DUMMYFUNCTION("""COMPUTED_VALUE"""),46234.0)</f>
        <v>46234</v>
      </c>
    </row>
    <row r="3962">
      <c r="A3962" s="6" t="str">
        <f>IFERROR(__xludf.DUMMYFUNCTION("""COMPUTED_VALUE"""),"NDS")</f>
        <v>NDS</v>
      </c>
      <c r="B3962" s="6" t="str">
        <f>IFERROR(__xludf.DUMMYFUNCTION("""COMPUTED_VALUE"""),"ENG")</f>
        <v>ENG</v>
      </c>
      <c r="C3962" s="6" t="str">
        <f>IFERROR(__xludf.DUMMYFUNCTION("""COMPUTED_VALUE"""),"O-16732-00")</f>
        <v>O-16732-00</v>
      </c>
      <c r="D3962" s="6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E3962" s="6">
        <f>IFERROR(__xludf.DUMMYFUNCTION("""COMPUTED_VALUE"""),4.0)</f>
        <v>4</v>
      </c>
      <c r="F3962" s="6">
        <f>IFERROR(__xludf.DUMMYFUNCTION("""COMPUTED_VALUE"""),4.0)</f>
        <v>4</v>
      </c>
      <c r="G3962" s="6">
        <f>IFERROR(__xludf.DUMMYFUNCTION("""COMPUTED_VALUE"""),0.0)</f>
        <v>0</v>
      </c>
      <c r="H3962" s="6" t="str">
        <f>IFERROR(__xludf.DUMMYFUNCTION("""COMPUTED_VALUE"""),"Pcs")</f>
        <v>Pcs</v>
      </c>
      <c r="I3962" s="6" t="str">
        <f>IFERROR(__xludf.DUMMYFUNCTION("""COMPUTED_VALUE"""),"MFH")</f>
        <v>MFH</v>
      </c>
      <c r="J3962" s="6" t="str">
        <f>IFERROR(__xludf.DUMMYFUNCTION("""COMPUTED_VALUE"""),"Autoclave")</f>
        <v>Autoclave</v>
      </c>
      <c r="K3962" s="6" t="str">
        <f>IFERROR(__xludf.DUMMYFUNCTION("""COMPUTED_VALUE"""),"SPR/07/26/070")</f>
        <v>SPR/07/26/070</v>
      </c>
      <c r="L3962" s="13">
        <f>IFERROR(__xludf.DUMMYFUNCTION("""COMPUTED_VALUE"""),46234.0)</f>
        <v>46234</v>
      </c>
    </row>
    <row r="3963">
      <c r="A3963" s="6" t="str">
        <f>IFERROR(__xludf.DUMMYFUNCTION("""COMPUTED_VALUE"""),"MOB")</f>
        <v>MOB</v>
      </c>
      <c r="B3963" s="6" t="str">
        <f>IFERROR(__xludf.DUMMYFUNCTION("""COMPUTED_VALUE"""),"ENG")</f>
        <v>ENG</v>
      </c>
      <c r="C3963" s="6" t="str">
        <f>IFERROR(__xludf.DUMMYFUNCTION("""COMPUTED_VALUE"""),"P-10898-00")</f>
        <v>P-10898-00</v>
      </c>
      <c r="D3963" s="6" t="str">
        <f>IFERROR(__xludf.DUMMYFUNCTION("""COMPUTED_VALUE"""),"General - Socket, PVC, 2""; Rucika; -; 1 pcs")</f>
        <v>General - Socket, PVC, 2"; Rucika; -; 1 pcs</v>
      </c>
      <c r="E3963" s="6">
        <f>IFERROR(__xludf.DUMMYFUNCTION("""COMPUTED_VALUE"""),1.0)</f>
        <v>1</v>
      </c>
      <c r="F3963" s="6">
        <f>IFERROR(__xludf.DUMMYFUNCTION("""COMPUTED_VALUE"""),1.0)</f>
        <v>1</v>
      </c>
      <c r="G3963" s="6">
        <f>IFERROR(__xludf.DUMMYFUNCTION("""COMPUTED_VALUE"""),0.0)</f>
        <v>0</v>
      </c>
      <c r="H3963" s="6" t="str">
        <f>IFERROR(__xludf.DUMMYFUNCTION("""COMPUTED_VALUE"""),"Pcs")</f>
        <v>Pcs</v>
      </c>
      <c r="I3963" s="6" t="str">
        <f>IFERROR(__xludf.DUMMYFUNCTION("""COMPUTED_VALUE"""),"MFH")</f>
        <v>MFH</v>
      </c>
      <c r="J3963" s="6" t="str">
        <f>IFERROR(__xludf.DUMMYFUNCTION("""COMPUTED_VALUE"""),"-")</f>
        <v>-</v>
      </c>
      <c r="K3963" s="6" t="str">
        <f>IFERROR(__xludf.DUMMYFUNCTION("""COMPUTED_VALUE"""),"SPR/07/26/071")</f>
        <v>SPR/07/26/071</v>
      </c>
      <c r="L3963" s="13">
        <f>IFERROR(__xludf.DUMMYFUNCTION("""COMPUTED_VALUE"""),46234.0)</f>
        <v>46234</v>
      </c>
    </row>
    <row r="3964">
      <c r="A3964" s="6" t="str">
        <f>IFERROR(__xludf.DUMMYFUNCTION("""COMPUTED_VALUE"""),"ERA")</f>
        <v>ERA</v>
      </c>
      <c r="B3964" s="6" t="str">
        <f>IFERROR(__xludf.DUMMYFUNCTION("""COMPUTED_VALUE"""),"ENG")</f>
        <v>ENG</v>
      </c>
      <c r="C3964" s="6" t="str">
        <f>IFERROR(__xludf.DUMMYFUNCTION("""COMPUTED_VALUE"""),"O-16033-00")</f>
        <v>O-16033-00</v>
      </c>
      <c r="D3964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3964" s="6">
        <f>IFERROR(__xludf.DUMMYFUNCTION("""COMPUTED_VALUE"""),1.0)</f>
        <v>1</v>
      </c>
      <c r="F3964" s="6">
        <f>IFERROR(__xludf.DUMMYFUNCTION("""COMPUTED_VALUE"""),1.0)</f>
        <v>1</v>
      </c>
      <c r="G3964" s="6">
        <f>IFERROR(__xludf.DUMMYFUNCTION("""COMPUTED_VALUE"""),0.0)</f>
        <v>0</v>
      </c>
      <c r="H3964" s="6" t="str">
        <f>IFERROR(__xludf.DUMMYFUNCTION("""COMPUTED_VALUE"""),"Pcs")</f>
        <v>Pcs</v>
      </c>
      <c r="I3964" s="6" t="str">
        <f>IFERROR(__xludf.DUMMYFUNCTION("""COMPUTED_VALUE"""),"MFH")</f>
        <v>MFH</v>
      </c>
      <c r="J3964" s="6" t="str">
        <f>IFERROR(__xludf.DUMMYFUNCTION("""COMPUTED_VALUE"""),"cRABS")</f>
        <v>cRABS</v>
      </c>
      <c r="K3964" s="6" t="str">
        <f>IFERROR(__xludf.DUMMYFUNCTION("""COMPUTED_VALUE"""),"SPR/07/26/072")</f>
        <v>SPR/07/26/072</v>
      </c>
      <c r="L3964" s="13">
        <f>IFERROR(__xludf.DUMMYFUNCTION("""COMPUTED_VALUE"""),46234.0)</f>
        <v>46234</v>
      </c>
    </row>
    <row r="3965">
      <c r="A3965" s="6" t="str">
        <f>IFERROR(__xludf.DUMMYFUNCTION("""COMPUTED_VALUE"""),"NDS")</f>
        <v>NDS</v>
      </c>
      <c r="B3965" s="6" t="str">
        <f>IFERROR(__xludf.DUMMYFUNCTION("""COMPUTED_VALUE"""),"ENG")</f>
        <v>ENG</v>
      </c>
      <c r="C3965" s="6" t="str">
        <f>IFERROR(__xludf.DUMMYFUNCTION("""COMPUTED_VALUE"""),"O-16647-00")</f>
        <v>O-16647-00</v>
      </c>
      <c r="D3965" s="6" t="str">
        <f>IFERROR(__xludf.DUMMYFUNCTION("""COMPUTED_VALUE"""),"Washing RAR4 - Oring Silicone Merah 23x18x2.5 mm; ; ;")</f>
        <v>Washing RAR4 - Oring Silicone Merah 23x18x2.5 mm; ; ;</v>
      </c>
      <c r="E3965" s="6">
        <f>IFERROR(__xludf.DUMMYFUNCTION("""COMPUTED_VALUE"""),10.0)</f>
        <v>10</v>
      </c>
      <c r="F3965" s="6">
        <f>IFERROR(__xludf.DUMMYFUNCTION("""COMPUTED_VALUE"""),10.0)</f>
        <v>10</v>
      </c>
      <c r="G3965" s="6">
        <f>IFERROR(__xludf.DUMMYFUNCTION("""COMPUTED_VALUE"""),0.0)</f>
        <v>0</v>
      </c>
      <c r="H3965" s="6" t="str">
        <f>IFERROR(__xludf.DUMMYFUNCTION("""COMPUTED_VALUE"""),"Pcs")</f>
        <v>Pcs</v>
      </c>
      <c r="I3965" s="6" t="str">
        <f>IFERROR(__xludf.DUMMYFUNCTION("""COMPUTED_VALUE"""),"MFH")</f>
        <v>MFH</v>
      </c>
      <c r="J3965" s="6" t="str">
        <f>IFERROR(__xludf.DUMMYFUNCTION("""COMPUTED_VALUE"""),"Capping")</f>
        <v>Capping</v>
      </c>
      <c r="K3965" s="6" t="str">
        <f>IFERROR(__xludf.DUMMYFUNCTION("""COMPUTED_VALUE"""),"SPR/07/26/073")</f>
        <v>SPR/07/26/073</v>
      </c>
      <c r="L3965" s="13">
        <f>IFERROR(__xludf.DUMMYFUNCTION("""COMPUTED_VALUE"""),46234.0)</f>
        <v>46234</v>
      </c>
    </row>
    <row r="3966">
      <c r="A3966" s="6" t="str">
        <f>IFERROR(__xludf.DUMMYFUNCTION("""COMPUTED_VALUE"""),"SFH")</f>
        <v>SFH</v>
      </c>
      <c r="B3966" s="6" t="str">
        <f>IFERROR(__xludf.DUMMYFUNCTION("""COMPUTED_VALUE"""),"ENG")</f>
        <v>ENG</v>
      </c>
      <c r="C3966" s="6" t="str">
        <f>IFERROR(__xludf.DUMMYFUNCTION("""COMPUTED_VALUE"""),"P-51321-00")</f>
        <v>P-51321-00</v>
      </c>
      <c r="D3966" s="6" t="str">
        <f>IFERROR(__xludf.DUMMYFUNCTION("""COMPUTED_VALUE"""),"Analog Smoke Detector; Nohmi Bosai; c/n FDK38U; Pcs")</f>
        <v>Analog Smoke Detector; Nohmi Bosai; c/n FDK38U; Pcs</v>
      </c>
      <c r="E3966" s="6">
        <f>IFERROR(__xludf.DUMMYFUNCTION("""COMPUTED_VALUE"""),1.0)</f>
        <v>1</v>
      </c>
      <c r="F3966" s="6">
        <f>IFERROR(__xludf.DUMMYFUNCTION("""COMPUTED_VALUE"""),1.0)</f>
        <v>1</v>
      </c>
      <c r="G3966" s="6">
        <f>IFERROR(__xludf.DUMMYFUNCTION("""COMPUTED_VALUE"""),0.0)</f>
        <v>0</v>
      </c>
      <c r="H3966" s="6" t="str">
        <f>IFERROR(__xludf.DUMMYFUNCTION("""COMPUTED_VALUE"""),"Pcs")</f>
        <v>Pcs</v>
      </c>
      <c r="I3966" s="6" t="str">
        <f>IFERROR(__xludf.DUMMYFUNCTION("""COMPUTED_VALUE"""),"MFH")</f>
        <v>MFH</v>
      </c>
      <c r="J3966" s="6" t="str">
        <f>IFERROR(__xludf.DUMMYFUNCTION("""COMPUTED_VALUE"""),"Building")</f>
        <v>Building</v>
      </c>
      <c r="K3966" s="6" t="str">
        <f>IFERROR(__xludf.DUMMYFUNCTION("""COMPUTED_VALUE"""),"SPR/07/26/074")</f>
        <v>SPR/07/26/074</v>
      </c>
      <c r="L3966" s="13">
        <f>IFERROR(__xludf.DUMMYFUNCTION("""COMPUTED_VALUE"""),46234.0)</f>
        <v>46234</v>
      </c>
    </row>
    <row r="3967">
      <c r="A3967" s="6" t="str">
        <f>IFERROR(__xludf.DUMMYFUNCTION("""COMPUTED_VALUE"""),"SFH")</f>
        <v>SFH</v>
      </c>
      <c r="B3967" s="6" t="str">
        <f>IFERROR(__xludf.DUMMYFUNCTION("""COMPUTED_VALUE"""),"ENG")</f>
        <v>ENG</v>
      </c>
      <c r="C3967" s="6" t="str">
        <f>IFERROR(__xludf.DUMMYFUNCTION("""COMPUTED_VALUE"""),"P-52711-00")</f>
        <v>P-52711-00</v>
      </c>
      <c r="D3967" s="6" t="str">
        <f>IFERROR(__xludf.DUMMYFUNCTION("""COMPUTED_VALUE"""),"Accu NS70 (Battery kering) 12V")</f>
        <v>Accu NS70 (Battery kering) 12V</v>
      </c>
      <c r="E3967" s="6">
        <f>IFERROR(__xludf.DUMMYFUNCTION("""COMPUTED_VALUE"""),1.0)</f>
        <v>1</v>
      </c>
      <c r="F3967" s="6">
        <f>IFERROR(__xludf.DUMMYFUNCTION("""COMPUTED_VALUE"""),1.0)</f>
        <v>1</v>
      </c>
      <c r="G3967" s="6">
        <f>IFERROR(__xludf.DUMMYFUNCTION("""COMPUTED_VALUE"""),0.0)</f>
        <v>0</v>
      </c>
      <c r="H3967" s="6" t="str">
        <f>IFERROR(__xludf.DUMMYFUNCTION("""COMPUTED_VALUE"""),"Pcs")</f>
        <v>Pcs</v>
      </c>
      <c r="I3967" s="6" t="str">
        <f>IFERROR(__xludf.DUMMYFUNCTION("""COMPUTED_VALUE"""),"MFH")</f>
        <v>MFH</v>
      </c>
      <c r="J3967" s="6" t="str">
        <f>IFERROR(__xludf.DUMMYFUNCTION("""COMPUTED_VALUE"""),"Building")</f>
        <v>Building</v>
      </c>
      <c r="K3967" s="6" t="str">
        <f>IFERROR(__xludf.DUMMYFUNCTION("""COMPUTED_VALUE"""),"SPR/07/26/074")</f>
        <v>SPR/07/26/074</v>
      </c>
      <c r="L3967" s="13">
        <f>IFERROR(__xludf.DUMMYFUNCTION("""COMPUTED_VALUE"""),46234.0)</f>
        <v>46234</v>
      </c>
    </row>
    <row r="3968">
      <c r="A3968" s="6" t="str">
        <f>IFERROR(__xludf.DUMMYFUNCTION("""COMPUTED_VALUE"""),"SFH")</f>
        <v>SFH</v>
      </c>
      <c r="B3968" s="6" t="str">
        <f>IFERROR(__xludf.DUMMYFUNCTION("""COMPUTED_VALUE"""),"ENG")</f>
        <v>ENG</v>
      </c>
      <c r="C3968" s="6" t="str">
        <f>IFERROR(__xludf.DUMMYFUNCTION("""COMPUTED_VALUE"""),"P-54688-00")</f>
        <v>P-54688-00</v>
      </c>
      <c r="D3968" s="6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E3968" s="6">
        <f>IFERROR(__xludf.DUMMYFUNCTION("""COMPUTED_VALUE"""),1.0)</f>
        <v>1</v>
      </c>
      <c r="F3968" s="6">
        <f>IFERROR(__xludf.DUMMYFUNCTION("""COMPUTED_VALUE"""),1.0)</f>
        <v>1</v>
      </c>
      <c r="G3968" s="6">
        <f>IFERROR(__xludf.DUMMYFUNCTION("""COMPUTED_VALUE"""),0.0)</f>
        <v>0</v>
      </c>
      <c r="H3968" s="6" t="str">
        <f>IFERROR(__xludf.DUMMYFUNCTION("""COMPUTED_VALUE"""),"Pcs")</f>
        <v>Pcs</v>
      </c>
      <c r="I3968" s="6" t="str">
        <f>IFERROR(__xludf.DUMMYFUNCTION("""COMPUTED_VALUE"""),"MFH")</f>
        <v>MFH</v>
      </c>
      <c r="J3968" s="6" t="str">
        <f>IFERROR(__xludf.DUMMYFUNCTION("""COMPUTED_VALUE"""),"Building")</f>
        <v>Building</v>
      </c>
      <c r="K3968" s="6" t="str">
        <f>IFERROR(__xludf.DUMMYFUNCTION("""COMPUTED_VALUE"""),"SPR/07/26/074")</f>
        <v>SPR/07/26/074</v>
      </c>
      <c r="L3968" s="13">
        <f>IFERROR(__xludf.DUMMYFUNCTION("""COMPUTED_VALUE"""),46234.0)</f>
        <v>46234</v>
      </c>
    </row>
    <row r="3969">
      <c r="A3969" s="6" t="str">
        <f>IFERROR(__xludf.DUMMYFUNCTION("""COMPUTED_VALUE"""),"KFF")</f>
        <v>KFF</v>
      </c>
      <c r="B3969" s="6" t="str">
        <f>IFERROR(__xludf.DUMMYFUNCTION("""COMPUTED_VALUE"""),"ENG")</f>
        <v>ENG</v>
      </c>
      <c r="C3969" s="6" t="str">
        <f>IFERROR(__xludf.DUMMYFUNCTION("""COMPUTED_VALUE"""),"S-20268-00")</f>
        <v>S-20268-00</v>
      </c>
      <c r="D3969" s="6" t="str">
        <f>IFERROR(__xludf.DUMMYFUNCTION("""COMPUTED_VALUE"""),"Face Shield Head Gear With Clear Visor; KW1000315; ; ;")</f>
        <v>Face Shield Head Gear With Clear Visor; KW1000315; ; ;</v>
      </c>
      <c r="E3969" s="6">
        <f>IFERROR(__xludf.DUMMYFUNCTION("""COMPUTED_VALUE"""),1.0)</f>
        <v>1</v>
      </c>
      <c r="F3969" s="6">
        <f>IFERROR(__xludf.DUMMYFUNCTION("""COMPUTED_VALUE"""),1.0)</f>
        <v>1</v>
      </c>
      <c r="G3969" s="6">
        <f>IFERROR(__xludf.DUMMYFUNCTION("""COMPUTED_VALUE"""),0.0)</f>
        <v>0</v>
      </c>
      <c r="H3969" s="6" t="str">
        <f>IFERROR(__xludf.DUMMYFUNCTION("""COMPUTED_VALUE"""),"Pcs")</f>
        <v>Pcs</v>
      </c>
      <c r="I3969" s="6" t="str">
        <f>IFERROR(__xludf.DUMMYFUNCTION("""COMPUTED_VALUE"""),"MFH")</f>
        <v>MFH</v>
      </c>
      <c r="J3969" s="6" t="str">
        <f>IFERROR(__xludf.DUMMYFUNCTION("""COMPUTED_VALUE"""),"Workshop")</f>
        <v>Workshop</v>
      </c>
      <c r="K3969" s="6" t="str">
        <f>IFERROR(__xludf.DUMMYFUNCTION("""COMPUTED_VALUE"""),"SPR/07/26/075")</f>
        <v>SPR/07/26/075</v>
      </c>
      <c r="L3969" s="13">
        <f>IFERROR(__xludf.DUMMYFUNCTION("""COMPUTED_VALUE"""),46234.0)</f>
        <v>46234</v>
      </c>
    </row>
    <row r="3970">
      <c r="A3970" s="6" t="str">
        <f>IFERROR(__xludf.DUMMYFUNCTION("""COMPUTED_VALUE"""),"SFH")</f>
        <v>SFH</v>
      </c>
      <c r="B3970" s="6" t="str">
        <f>IFERROR(__xludf.DUMMYFUNCTION("""COMPUTED_VALUE"""),"ENG")</f>
        <v>ENG</v>
      </c>
      <c r="C3970" s="6" t="str">
        <f>IFERROR(__xludf.DUMMYFUNCTION("""COMPUTED_VALUE"""),"P-20449-00")</f>
        <v>P-20449-00</v>
      </c>
      <c r="D3970" s="6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E3970" s="6">
        <f>IFERROR(__xludf.DUMMYFUNCTION("""COMPUTED_VALUE"""),1.0)</f>
        <v>1</v>
      </c>
      <c r="F3970" s="6">
        <f>IFERROR(__xludf.DUMMYFUNCTION("""COMPUTED_VALUE"""),1.0)</f>
        <v>1</v>
      </c>
      <c r="G3970" s="6">
        <f>IFERROR(__xludf.DUMMYFUNCTION("""COMPUTED_VALUE"""),0.0)</f>
        <v>0</v>
      </c>
      <c r="H3970" s="6" t="str">
        <f>IFERROR(__xludf.DUMMYFUNCTION("""COMPUTED_VALUE"""),"Pcs")</f>
        <v>Pcs</v>
      </c>
      <c r="I3970" s="6" t="str">
        <f>IFERROR(__xludf.DUMMYFUNCTION("""COMPUTED_VALUE"""),"MFH")</f>
        <v>MFH</v>
      </c>
      <c r="J3970" s="6" t="str">
        <f>IFERROR(__xludf.DUMMYFUNCTION("""COMPUTED_VALUE"""),"Building")</f>
        <v>Building</v>
      </c>
      <c r="K3970" s="6" t="str">
        <f>IFERROR(__xludf.DUMMYFUNCTION("""COMPUTED_VALUE"""),"SPR/07/26/076")</f>
        <v>SPR/07/26/076</v>
      </c>
      <c r="L3970" s="13">
        <f>IFERROR(__xludf.DUMMYFUNCTION("""COMPUTED_VALUE"""),46234.0)</f>
        <v>46234</v>
      </c>
    </row>
    <row r="3971">
      <c r="A3971" s="6" t="str">
        <f>IFERROR(__xludf.DUMMYFUNCTION("""COMPUTED_VALUE"""),"NDS")</f>
        <v>NDS</v>
      </c>
      <c r="B3971" s="6" t="str">
        <f>IFERROR(__xludf.DUMMYFUNCTION("""COMPUTED_VALUE"""),"ENG")</f>
        <v>ENG</v>
      </c>
      <c r="C3971" s="6" t="str">
        <f>IFERROR(__xludf.DUMMYFUNCTION("""COMPUTED_VALUE"""),"P-18290-00")</f>
        <v>P-18290-00</v>
      </c>
      <c r="D3971" s="6" t="str">
        <f>IFERROR(__xludf.DUMMYFUNCTION("""COMPUTED_VALUE"""),"Festo Standar Cylinder DSBC-40-40-PPVA-N3 PN. 1376657; ; ; pc")</f>
        <v>Festo Standar Cylinder DSBC-40-40-PPVA-N3 PN. 1376657; ; ; pc</v>
      </c>
      <c r="E3971" s="6">
        <f>IFERROR(__xludf.DUMMYFUNCTION("""COMPUTED_VALUE"""),1.0)</f>
        <v>1</v>
      </c>
      <c r="F3971" s="6">
        <f>IFERROR(__xludf.DUMMYFUNCTION("""COMPUTED_VALUE"""),1.0)</f>
        <v>1</v>
      </c>
      <c r="G3971" s="6">
        <f>IFERROR(__xludf.DUMMYFUNCTION("""COMPUTED_VALUE"""),0.0)</f>
        <v>0</v>
      </c>
      <c r="H3971" s="6" t="str">
        <f>IFERROR(__xludf.DUMMYFUNCTION("""COMPUTED_VALUE"""),"Pcs")</f>
        <v>Pcs</v>
      </c>
      <c r="I3971" s="6" t="str">
        <f>IFERROR(__xludf.DUMMYFUNCTION("""COMPUTED_VALUE"""),"MFH")</f>
        <v>MFH</v>
      </c>
      <c r="J3971" s="6" t="str">
        <f>IFERROR(__xludf.DUMMYFUNCTION("""COMPUTED_VALUE"""),"Washing")</f>
        <v>Washing</v>
      </c>
      <c r="K3971" s="6" t="str">
        <f>IFERROR(__xludf.DUMMYFUNCTION("""COMPUTED_VALUE"""),"SPR/07/26/077")</f>
        <v>SPR/07/26/077</v>
      </c>
      <c r="L3971" s="13">
        <f>IFERROR(__xludf.DUMMYFUNCTION("""COMPUTED_VALUE"""),46234.0)</f>
        <v>46234</v>
      </c>
    </row>
    <row r="3972">
      <c r="A3972" s="6" t="str">
        <f>IFERROR(__xludf.DUMMYFUNCTION("""COMPUTED_VALUE"""),"ROS")</f>
        <v>ROS</v>
      </c>
      <c r="B3972" s="6" t="str">
        <f>IFERROR(__xludf.DUMMYFUNCTION("""COMPUTED_VALUE"""),"ENG")</f>
        <v>ENG</v>
      </c>
      <c r="C3972" s="6" t="str">
        <f>IFERROR(__xludf.DUMMYFUNCTION("""COMPUTED_VALUE"""),"P-51027-00")</f>
        <v>P-51027-00</v>
      </c>
      <c r="D3972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972" s="6">
        <f>IFERROR(__xludf.DUMMYFUNCTION("""COMPUTED_VALUE"""),1.0)</f>
        <v>1</v>
      </c>
      <c r="F3972" s="6">
        <f>IFERROR(__xludf.DUMMYFUNCTION("""COMPUTED_VALUE"""),1.0)</f>
        <v>1</v>
      </c>
      <c r="G3972" s="6">
        <f>IFERROR(__xludf.DUMMYFUNCTION("""COMPUTED_VALUE"""),0.0)</f>
        <v>0</v>
      </c>
      <c r="H3972" s="6" t="str">
        <f>IFERROR(__xludf.DUMMYFUNCTION("""COMPUTED_VALUE"""),"Pcs")</f>
        <v>Pcs</v>
      </c>
      <c r="I3972" s="6" t="str">
        <f>IFERROR(__xludf.DUMMYFUNCTION("""COMPUTED_VALUE"""),"MFH")</f>
        <v>MFH</v>
      </c>
      <c r="J3972" s="6" t="str">
        <f>IFERROR(__xludf.DUMMYFUNCTION("""COMPUTED_VALUE"""),"-")</f>
        <v>-</v>
      </c>
      <c r="K3972" s="6" t="str">
        <f>IFERROR(__xludf.DUMMYFUNCTION("""COMPUTED_VALUE"""),"SPR/07/26/078")</f>
        <v>SPR/07/26/078</v>
      </c>
      <c r="L3972" s="13">
        <f>IFERROR(__xludf.DUMMYFUNCTION("""COMPUTED_VALUE"""),46234.0)</f>
        <v>46234</v>
      </c>
    </row>
    <row r="3973">
      <c r="A3973" s="6" t="str">
        <f>IFERROR(__xludf.DUMMYFUNCTION("""COMPUTED_VALUE"""),"ROS")</f>
        <v>ROS</v>
      </c>
      <c r="B3973" s="6" t="str">
        <f>IFERROR(__xludf.DUMMYFUNCTION("""COMPUTED_VALUE"""),"ENG")</f>
        <v>ENG</v>
      </c>
      <c r="C3973" s="6" t="str">
        <f>IFERROR(__xludf.DUMMYFUNCTION("""COMPUTED_VALUE"""),"Q-10249-00")</f>
        <v>Q-10249-00</v>
      </c>
      <c r="D3973" s="6" t="str">
        <f>IFERROR(__xludf.DUMMYFUNCTION("""COMPUTED_VALUE"""),"Lem Power Glue; ; ;")</f>
        <v>Lem Power Glue; ; ;</v>
      </c>
      <c r="E3973" s="6">
        <f>IFERROR(__xludf.DUMMYFUNCTION("""COMPUTED_VALUE"""),1.0)</f>
        <v>1</v>
      </c>
      <c r="F3973" s="6">
        <f>IFERROR(__xludf.DUMMYFUNCTION("""COMPUTED_VALUE"""),1.0)</f>
        <v>1</v>
      </c>
      <c r="G3973" s="6">
        <f>IFERROR(__xludf.DUMMYFUNCTION("""COMPUTED_VALUE"""),0.0)</f>
        <v>0</v>
      </c>
      <c r="H3973" s="6" t="str">
        <f>IFERROR(__xludf.DUMMYFUNCTION("""COMPUTED_VALUE"""),"Pcs")</f>
        <v>Pcs</v>
      </c>
      <c r="I3973" s="6" t="str">
        <f>IFERROR(__xludf.DUMMYFUNCTION("""COMPUTED_VALUE"""),"MFH")</f>
        <v>MFH</v>
      </c>
      <c r="J3973" s="6" t="str">
        <f>IFERROR(__xludf.DUMMYFUNCTION("""COMPUTED_VALUE"""),"-")</f>
        <v>-</v>
      </c>
      <c r="K3973" s="6" t="str">
        <f>IFERROR(__xludf.DUMMYFUNCTION("""COMPUTED_VALUE"""),"SPR/07/26/078")</f>
        <v>SPR/07/26/078</v>
      </c>
      <c r="L3973" s="13">
        <f>IFERROR(__xludf.DUMMYFUNCTION("""COMPUTED_VALUE"""),46234.0)</f>
        <v>46234</v>
      </c>
    </row>
    <row r="3974">
      <c r="A3974" s="6" t="str">
        <f>IFERROR(__xludf.DUMMYFUNCTION("""COMPUTED_VALUE"""),"ROS")</f>
        <v>ROS</v>
      </c>
      <c r="B3974" s="6" t="str">
        <f>IFERROR(__xludf.DUMMYFUNCTION("""COMPUTED_VALUE"""),"ENG")</f>
        <v>ENG</v>
      </c>
      <c r="C3974" s="6" t="str">
        <f>IFERROR(__xludf.DUMMYFUNCTION("""COMPUTED_VALUE"""),"O-11149-00")</f>
        <v>O-11149-00</v>
      </c>
      <c r="D3974" s="6" t="str">
        <f>IFERROR(__xludf.DUMMYFUNCTION("""COMPUTED_VALUE"""),"Bearing 6202 ZZ")</f>
        <v>Bearing 6202 ZZ</v>
      </c>
      <c r="E3974" s="6">
        <f>IFERROR(__xludf.DUMMYFUNCTION("""COMPUTED_VALUE"""),2.0)</f>
        <v>2</v>
      </c>
      <c r="F3974" s="6">
        <f>IFERROR(__xludf.DUMMYFUNCTION("""COMPUTED_VALUE"""),2.0)</f>
        <v>2</v>
      </c>
      <c r="G3974" s="6">
        <f>IFERROR(__xludf.DUMMYFUNCTION("""COMPUTED_VALUE"""),0.0)</f>
        <v>0</v>
      </c>
      <c r="H3974" s="6" t="str">
        <f>IFERROR(__xludf.DUMMYFUNCTION("""COMPUTED_VALUE"""),"Pcs")</f>
        <v>Pcs</v>
      </c>
      <c r="I3974" s="6" t="str">
        <f>IFERROR(__xludf.DUMMYFUNCTION("""COMPUTED_VALUE"""),"MFH")</f>
        <v>MFH</v>
      </c>
      <c r="J3974" s="6" t="str">
        <f>IFERROR(__xludf.DUMMYFUNCTION("""COMPUTED_VALUE"""),"Tunnel")</f>
        <v>Tunnel</v>
      </c>
      <c r="K3974" s="6" t="str">
        <f>IFERROR(__xludf.DUMMYFUNCTION("""COMPUTED_VALUE"""),"SPR/07/26/078")</f>
        <v>SPR/07/26/078</v>
      </c>
      <c r="L3974" s="13">
        <f>IFERROR(__xludf.DUMMYFUNCTION("""COMPUTED_VALUE"""),46234.0)</f>
        <v>46234</v>
      </c>
    </row>
    <row r="3975">
      <c r="A3975" s="6" t="str">
        <f>IFERROR(__xludf.DUMMYFUNCTION("""COMPUTED_VALUE"""),"SFH")</f>
        <v>SFH</v>
      </c>
      <c r="B3975" s="6" t="str">
        <f>IFERROR(__xludf.DUMMYFUNCTION("""COMPUTED_VALUE"""),"ENG")</f>
        <v>ENG</v>
      </c>
      <c r="C3975" s="6" t="str">
        <f>IFERROR(__xludf.DUMMYFUNCTION("""COMPUTED_VALUE"""),"P-54577-00")</f>
        <v>P-54577-00</v>
      </c>
      <c r="D3975" s="6" t="str">
        <f>IFERROR(__xludf.DUMMYFUNCTION("""COMPUTED_VALUE"""),"General - Lampu Neon LED Silinder II T5 16W Putih; Hannochs; -; 1 pc")</f>
        <v>General - Lampu Neon LED Silinder II T5 16W Putih; Hannochs; -; 1 pc</v>
      </c>
      <c r="E3975" s="6">
        <f>IFERROR(__xludf.DUMMYFUNCTION("""COMPUTED_VALUE"""),2.0)</f>
        <v>2</v>
      </c>
      <c r="F3975" s="6">
        <f>IFERROR(__xludf.DUMMYFUNCTION("""COMPUTED_VALUE"""),2.0)</f>
        <v>2</v>
      </c>
      <c r="G3975" s="6">
        <f>IFERROR(__xludf.DUMMYFUNCTION("""COMPUTED_VALUE"""),0.0)</f>
        <v>0</v>
      </c>
      <c r="H3975" s="6" t="str">
        <f>IFERROR(__xludf.DUMMYFUNCTION("""COMPUTED_VALUE"""),"Pcs")</f>
        <v>Pcs</v>
      </c>
      <c r="I3975" s="6" t="str">
        <f>IFERROR(__xludf.DUMMYFUNCTION("""COMPUTED_VALUE"""),"MFH")</f>
        <v>MFH</v>
      </c>
      <c r="J3975" s="6" t="str">
        <f>IFERROR(__xludf.DUMMYFUNCTION("""COMPUTED_VALUE"""),"Building")</f>
        <v>Building</v>
      </c>
      <c r="K3975" s="6" t="str">
        <f>IFERROR(__xludf.DUMMYFUNCTION("""COMPUTED_VALUE"""),"SPR/07/26/079")</f>
        <v>SPR/07/26/079</v>
      </c>
      <c r="L3975" s="13">
        <f>IFERROR(__xludf.DUMMYFUNCTION("""COMPUTED_VALUE"""),46234.0)</f>
        <v>46234</v>
      </c>
    </row>
    <row r="3976">
      <c r="A3976" s="6" t="str">
        <f>IFERROR(__xludf.DUMMYFUNCTION("""COMPUTED_VALUE"""),"SFH")</f>
        <v>SFH</v>
      </c>
      <c r="B3976" s="6" t="str">
        <f>IFERROR(__xludf.DUMMYFUNCTION("""COMPUTED_VALUE"""),"ENG")</f>
        <v>ENG</v>
      </c>
      <c r="C3976" s="6" t="str">
        <f>IFERROR(__xludf.DUMMYFUNCTION("""COMPUTED_VALUE"""),"P-51027-00")</f>
        <v>P-51027-00</v>
      </c>
      <c r="D3976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976" s="6">
        <f>IFERROR(__xludf.DUMMYFUNCTION("""COMPUTED_VALUE"""),1.0)</f>
        <v>1</v>
      </c>
      <c r="F3976" s="6">
        <f>IFERROR(__xludf.DUMMYFUNCTION("""COMPUTED_VALUE"""),1.0)</f>
        <v>1</v>
      </c>
      <c r="G3976" s="6">
        <f>IFERROR(__xludf.DUMMYFUNCTION("""COMPUTED_VALUE"""),0.0)</f>
        <v>0</v>
      </c>
      <c r="H3976" s="6" t="str">
        <f>IFERROR(__xludf.DUMMYFUNCTION("""COMPUTED_VALUE"""),"Pcs")</f>
        <v>Pcs</v>
      </c>
      <c r="I3976" s="6" t="str">
        <f>IFERROR(__xludf.DUMMYFUNCTION("""COMPUTED_VALUE"""),"MFH")</f>
        <v>MFH</v>
      </c>
      <c r="J3976" s="6" t="str">
        <f>IFERROR(__xludf.DUMMYFUNCTION("""COMPUTED_VALUE"""),"Building")</f>
        <v>Building</v>
      </c>
      <c r="K3976" s="6" t="str">
        <f>IFERROR(__xludf.DUMMYFUNCTION("""COMPUTED_VALUE"""),"SPR/07/26/079")</f>
        <v>SPR/07/26/079</v>
      </c>
      <c r="L3976" s="13">
        <f>IFERROR(__xludf.DUMMYFUNCTION("""COMPUTED_VALUE"""),46234.0)</f>
        <v>46234</v>
      </c>
    </row>
    <row r="3977">
      <c r="A3977" s="6" t="str">
        <f>IFERROR(__xludf.DUMMYFUNCTION("""COMPUTED_VALUE"""),"SFH")</f>
        <v>SFH</v>
      </c>
      <c r="B3977" s="6" t="str">
        <f>IFERROR(__xludf.DUMMYFUNCTION("""COMPUTED_VALUE"""),"ENG")</f>
        <v>ENG</v>
      </c>
      <c r="C3977" s="6" t="str">
        <f>IFERROR(__xludf.DUMMYFUNCTION("""COMPUTED_VALUE"""),"P-54199-00")</f>
        <v>P-54199-00</v>
      </c>
      <c r="D3977" s="6" t="str">
        <f>IFERROR(__xludf.DUMMYFUNCTION("""COMPUTED_VALUE"""),"Stop Kontak AC Kaki 3 Broco; Broco; ;")</f>
        <v>Stop Kontak AC Kaki 3 Broco; Broco; ;</v>
      </c>
      <c r="E3977" s="6">
        <f>IFERROR(__xludf.DUMMYFUNCTION("""COMPUTED_VALUE"""),1.0)</f>
        <v>1</v>
      </c>
      <c r="F3977" s="6">
        <f>IFERROR(__xludf.DUMMYFUNCTION("""COMPUTED_VALUE"""),1.0)</f>
        <v>1</v>
      </c>
      <c r="G3977" s="6">
        <f>IFERROR(__xludf.DUMMYFUNCTION("""COMPUTED_VALUE"""),0.0)</f>
        <v>0</v>
      </c>
      <c r="H3977" s="6" t="str">
        <f>IFERROR(__xludf.DUMMYFUNCTION("""COMPUTED_VALUE"""),"Pcs")</f>
        <v>Pcs</v>
      </c>
      <c r="I3977" s="6" t="str">
        <f>IFERROR(__xludf.DUMMYFUNCTION("""COMPUTED_VALUE"""),"MFH")</f>
        <v>MFH</v>
      </c>
      <c r="J3977" s="6" t="str">
        <f>IFERROR(__xludf.DUMMYFUNCTION("""COMPUTED_VALUE"""),"Building")</f>
        <v>Building</v>
      </c>
      <c r="K3977" s="6" t="str">
        <f>IFERROR(__xludf.DUMMYFUNCTION("""COMPUTED_VALUE"""),"SPR/07/26/079")</f>
        <v>SPR/07/26/079</v>
      </c>
      <c r="L3977" s="13">
        <f>IFERROR(__xludf.DUMMYFUNCTION("""COMPUTED_VALUE"""),46234.0)</f>
        <v>46234</v>
      </c>
    </row>
    <row r="3978">
      <c r="A3978" s="6" t="str">
        <f>IFERROR(__xludf.DUMMYFUNCTION("""COMPUTED_VALUE"""),"WAP")</f>
        <v>WAP</v>
      </c>
      <c r="B3978" s="6" t="str">
        <f>IFERROR(__xludf.DUMMYFUNCTION("""COMPUTED_VALUE"""),"ENG")</f>
        <v>ENG</v>
      </c>
      <c r="C3978" s="6" t="str">
        <f>IFERROR(__xludf.DUMMYFUNCTION("""COMPUTED_VALUE"""),"P-12765-00")</f>
        <v>P-12765-00</v>
      </c>
      <c r="D3978" s="6" t="str">
        <f>IFERROR(__xludf.DUMMYFUNCTION("""COMPUTED_VALUE"""),"General - Silicone Gasket for Ferrule dia. 2inch; Custom; -; 1 pcs")</f>
        <v>General - Silicone Gasket for Ferrule dia. 2inch; Custom; -; 1 pcs</v>
      </c>
      <c r="E3978" s="6">
        <f>IFERROR(__xludf.DUMMYFUNCTION("""COMPUTED_VALUE"""),2.0)</f>
        <v>2</v>
      </c>
      <c r="F3978" s="6">
        <f>IFERROR(__xludf.DUMMYFUNCTION("""COMPUTED_VALUE"""),2.0)</f>
        <v>2</v>
      </c>
      <c r="G3978" s="6">
        <f>IFERROR(__xludf.DUMMYFUNCTION("""COMPUTED_VALUE"""),0.0)</f>
        <v>0</v>
      </c>
      <c r="H3978" s="6" t="str">
        <f>IFERROR(__xludf.DUMMYFUNCTION("""COMPUTED_VALUE"""),"Pcs")</f>
        <v>Pcs</v>
      </c>
      <c r="I3978" s="6" t="str">
        <f>IFERROR(__xludf.DUMMYFUNCTION("""COMPUTED_VALUE"""),"MFH")</f>
        <v>MFH</v>
      </c>
      <c r="J3978" s="6" t="str">
        <f>IFERROR(__xludf.DUMMYFUNCTION("""COMPUTED_VALUE"""),"Building")</f>
        <v>Building</v>
      </c>
      <c r="K3978" s="6" t="str">
        <f>IFERROR(__xludf.DUMMYFUNCTION("""COMPUTED_VALUE"""),"SPR/07/26/080")</f>
        <v>SPR/07/26/080</v>
      </c>
      <c r="L3978" s="13">
        <f>IFERROR(__xludf.DUMMYFUNCTION("""COMPUTED_VALUE"""),46234.0)</f>
        <v>46234</v>
      </c>
    </row>
    <row r="3979">
      <c r="A3979" s="6" t="str">
        <f>IFERROR(__xludf.DUMMYFUNCTION("""COMPUTED_VALUE"""),"WAP")</f>
        <v>WAP</v>
      </c>
      <c r="B3979" s="6" t="str">
        <f>IFERROR(__xludf.DUMMYFUNCTION("""COMPUTED_VALUE"""),"ENG")</f>
        <v>ENG</v>
      </c>
      <c r="C3979" s="6" t="str">
        <f>IFERROR(__xludf.DUMMYFUNCTION("""COMPUTED_VALUE"""),"P-19898-00")</f>
        <v>P-19898-00</v>
      </c>
      <c r="D3979" s="6" t="str">
        <f>IFERROR(__xludf.DUMMYFUNCTION("""COMPUTED_VALUE"""),"General - Bushing VAV dia. 24 x 26mm; Custom Agru; -; 1 pc")</f>
        <v>General - Bushing VAV dia. 24 x 26mm; Custom Agru; -; 1 pc</v>
      </c>
      <c r="E3979" s="6">
        <f>IFERROR(__xludf.DUMMYFUNCTION("""COMPUTED_VALUE"""),1.0)</f>
        <v>1</v>
      </c>
      <c r="F3979" s="6">
        <f>IFERROR(__xludf.DUMMYFUNCTION("""COMPUTED_VALUE"""),1.0)</f>
        <v>1</v>
      </c>
      <c r="G3979" s="6">
        <f>IFERROR(__xludf.DUMMYFUNCTION("""COMPUTED_VALUE"""),0.0)</f>
        <v>0</v>
      </c>
      <c r="H3979" s="6" t="str">
        <f>IFERROR(__xludf.DUMMYFUNCTION("""COMPUTED_VALUE"""),"Pcs")</f>
        <v>Pcs</v>
      </c>
      <c r="I3979" s="6" t="str">
        <f>IFERROR(__xludf.DUMMYFUNCTION("""COMPUTED_VALUE"""),"MFH")</f>
        <v>MFH</v>
      </c>
      <c r="J3979" s="6" t="str">
        <f>IFERROR(__xludf.DUMMYFUNCTION("""COMPUTED_VALUE"""),"AHU")</f>
        <v>AHU</v>
      </c>
      <c r="K3979" s="6" t="str">
        <f>IFERROR(__xludf.DUMMYFUNCTION("""COMPUTED_VALUE"""),"SPR/07/26/080")</f>
        <v>SPR/07/26/080</v>
      </c>
      <c r="L3979" s="13">
        <f>IFERROR(__xludf.DUMMYFUNCTION("""COMPUTED_VALUE"""),46234.0)</f>
        <v>46234</v>
      </c>
    </row>
    <row r="3980">
      <c r="A3980" s="6" t="str">
        <f>IFERROR(__xludf.DUMMYFUNCTION("""COMPUTED_VALUE"""),"ANO")</f>
        <v>ANO</v>
      </c>
      <c r="B3980" s="6" t="str">
        <f>IFERROR(__xludf.DUMMYFUNCTION("""COMPUTED_VALUE"""),"ENG")</f>
        <v>ENG</v>
      </c>
      <c r="C3980" s="6" t="str">
        <f>IFERROR(__xludf.DUMMYFUNCTION("""COMPUTED_VALUE"""),"O-15931-00")</f>
        <v>O-15931-00</v>
      </c>
      <c r="D3980" s="6" t="str">
        <f>IFERROR(__xludf.DUMMYFUNCTION("""COMPUTED_VALUE"""),"Double Tape 3M 1"" Merah - P/N : - pc")</f>
        <v>Double Tape 3M 1" Merah - P/N : - pc</v>
      </c>
      <c r="E3980" s="6">
        <f>IFERROR(__xludf.DUMMYFUNCTION("""COMPUTED_VALUE"""),1.0)</f>
        <v>1</v>
      </c>
      <c r="F3980" s="6">
        <f>IFERROR(__xludf.DUMMYFUNCTION("""COMPUTED_VALUE"""),1.0)</f>
        <v>1</v>
      </c>
      <c r="G3980" s="6">
        <f>IFERROR(__xludf.DUMMYFUNCTION("""COMPUTED_VALUE"""),0.0)</f>
        <v>0</v>
      </c>
      <c r="H3980" s="6" t="str">
        <f>IFERROR(__xludf.DUMMYFUNCTION("""COMPUTED_VALUE"""),"Pcs")</f>
        <v>Pcs</v>
      </c>
      <c r="I3980" s="6" t="str">
        <f>IFERROR(__xludf.DUMMYFUNCTION("""COMPUTED_VALUE"""),"MFH")</f>
        <v>MFH</v>
      </c>
      <c r="J3980" s="6" t="str">
        <f>IFERROR(__xludf.DUMMYFUNCTION("""COMPUTED_VALUE"""),"Building")</f>
        <v>Building</v>
      </c>
      <c r="K3980" s="6" t="str">
        <f>IFERROR(__xludf.DUMMYFUNCTION("""COMPUTED_VALUE"""),"SPR/07/26/081")</f>
        <v>SPR/07/26/081</v>
      </c>
      <c r="L3980" s="13">
        <f>IFERROR(__xludf.DUMMYFUNCTION("""COMPUTED_VALUE"""),46234.0)</f>
        <v>46234</v>
      </c>
    </row>
    <row r="3981">
      <c r="A3981" s="6" t="str">
        <f>IFERROR(__xludf.DUMMYFUNCTION("""COMPUTED_VALUE"""),"ANO")</f>
        <v>ANO</v>
      </c>
      <c r="B3981" s="6" t="str">
        <f>IFERROR(__xludf.DUMMYFUNCTION("""COMPUTED_VALUE"""),"ENG")</f>
        <v>ENG</v>
      </c>
      <c r="C3981" s="6" t="str">
        <f>IFERROR(__xludf.DUMMYFUNCTION("""COMPUTED_VALUE"""),"P-12265-00")</f>
        <v>P-12265-00</v>
      </c>
      <c r="D3981" s="6" t="str">
        <f>IFERROR(__xludf.DUMMYFUNCTION("""COMPUTED_VALUE"""),"FESTO - Push In Connector QS-8-6 p/n 153038")</f>
        <v>FESTO - Push In Connector QS-8-6 p/n 153038</v>
      </c>
      <c r="E3981" s="6">
        <f>IFERROR(__xludf.DUMMYFUNCTION("""COMPUTED_VALUE"""),1.0)</f>
        <v>1</v>
      </c>
      <c r="F3981" s="6">
        <f>IFERROR(__xludf.DUMMYFUNCTION("""COMPUTED_VALUE"""),1.0)</f>
        <v>1</v>
      </c>
      <c r="G3981" s="6">
        <f>IFERROR(__xludf.DUMMYFUNCTION("""COMPUTED_VALUE"""),0.0)</f>
        <v>0</v>
      </c>
      <c r="H3981" s="6" t="str">
        <f>IFERROR(__xludf.DUMMYFUNCTION("""COMPUTED_VALUE"""),"Pcs")</f>
        <v>Pcs</v>
      </c>
      <c r="I3981" s="6" t="str">
        <f>IFERROR(__xludf.DUMMYFUNCTION("""COMPUTED_VALUE"""),"MFH")</f>
        <v>MFH</v>
      </c>
      <c r="J3981" s="6" t="str">
        <f>IFERROR(__xludf.DUMMYFUNCTION("""COMPUTED_VALUE"""),"-")</f>
        <v>-</v>
      </c>
      <c r="K3981" s="6" t="str">
        <f>IFERROR(__xludf.DUMMYFUNCTION("""COMPUTED_VALUE"""),"SPR/07/26/082")</f>
        <v>SPR/07/26/082</v>
      </c>
      <c r="L3981" s="13">
        <f>IFERROR(__xludf.DUMMYFUNCTION("""COMPUTED_VALUE"""),46234.0)</f>
        <v>46234</v>
      </c>
    </row>
    <row r="3982">
      <c r="A3982" s="6" t="str">
        <f>IFERROR(__xludf.DUMMYFUNCTION("""COMPUTED_VALUE"""),"ANO")</f>
        <v>ANO</v>
      </c>
      <c r="B3982" s="6" t="str">
        <f>IFERROR(__xludf.DUMMYFUNCTION("""COMPUTED_VALUE"""),"ENG")</f>
        <v>ENG</v>
      </c>
      <c r="C3982" s="6" t="str">
        <f>IFERROR(__xludf.DUMMYFUNCTION("""COMPUTED_VALUE"""),"P-11175-00")</f>
        <v>P-11175-00</v>
      </c>
      <c r="D3982" s="6" t="str">
        <f>IFERROR(__xludf.DUMMYFUNCTION("""COMPUTED_VALUE"""),"General - Push-in Connector, QS-10-8; Festo; 153039; 1 pcs")</f>
        <v>General - Push-in Connector, QS-10-8; Festo; 153039; 1 pcs</v>
      </c>
      <c r="E3982" s="6">
        <f>IFERROR(__xludf.DUMMYFUNCTION("""COMPUTED_VALUE"""),1.0)</f>
        <v>1</v>
      </c>
      <c r="F3982" s="6">
        <f>IFERROR(__xludf.DUMMYFUNCTION("""COMPUTED_VALUE"""),1.0)</f>
        <v>1</v>
      </c>
      <c r="G3982" s="6">
        <f>IFERROR(__xludf.DUMMYFUNCTION("""COMPUTED_VALUE"""),0.0)</f>
        <v>0</v>
      </c>
      <c r="H3982" s="6" t="str">
        <f>IFERROR(__xludf.DUMMYFUNCTION("""COMPUTED_VALUE"""),"Pcs")</f>
        <v>Pcs</v>
      </c>
      <c r="I3982" s="6" t="str">
        <f>IFERROR(__xludf.DUMMYFUNCTION("""COMPUTED_VALUE"""),"MFH")</f>
        <v>MFH</v>
      </c>
      <c r="J3982" s="6" t="str">
        <f>IFERROR(__xludf.DUMMYFUNCTION("""COMPUTED_VALUE"""),"-")</f>
        <v>-</v>
      </c>
      <c r="K3982" s="6" t="str">
        <f>IFERROR(__xludf.DUMMYFUNCTION("""COMPUTED_VALUE"""),"SPR/07/26/082")</f>
        <v>SPR/07/26/082</v>
      </c>
      <c r="L3982" s="13">
        <f>IFERROR(__xludf.DUMMYFUNCTION("""COMPUTED_VALUE"""),46234.0)</f>
        <v>46234</v>
      </c>
    </row>
    <row r="3983">
      <c r="A3983" s="6" t="str">
        <f>IFERROR(__xludf.DUMMYFUNCTION("""COMPUTED_VALUE"""),"ANO")</f>
        <v>ANO</v>
      </c>
      <c r="B3983" s="6" t="str">
        <f>IFERROR(__xludf.DUMMYFUNCTION("""COMPUTED_VALUE"""),"ENG")</f>
        <v>ENG</v>
      </c>
      <c r="C3983" s="6" t="str">
        <f>IFERROR(__xludf.DUMMYFUNCTION("""COMPUTED_VALUE"""),"P-12282-00")</f>
        <v>P-12282-00</v>
      </c>
      <c r="D3983" s="6" t="str">
        <f>IFERROR(__xludf.DUMMYFUNCTION("""COMPUTED_VALUE"""),"FESTO - QS-12-10 Push in Connector p/n: 153040")</f>
        <v>FESTO - QS-12-10 Push in Connector p/n: 153040</v>
      </c>
      <c r="E3983" s="6">
        <f>IFERROR(__xludf.DUMMYFUNCTION("""COMPUTED_VALUE"""),1.0)</f>
        <v>1</v>
      </c>
      <c r="F3983" s="6">
        <f>IFERROR(__xludf.DUMMYFUNCTION("""COMPUTED_VALUE"""),1.0)</f>
        <v>1</v>
      </c>
      <c r="G3983" s="6">
        <f>IFERROR(__xludf.DUMMYFUNCTION("""COMPUTED_VALUE"""),0.0)</f>
        <v>0</v>
      </c>
      <c r="H3983" s="6" t="str">
        <f>IFERROR(__xludf.DUMMYFUNCTION("""COMPUTED_VALUE"""),"pcs")</f>
        <v>pcs</v>
      </c>
      <c r="I3983" s="6" t="str">
        <f>IFERROR(__xludf.DUMMYFUNCTION("""COMPUTED_VALUE"""),"MFH")</f>
        <v>MFH</v>
      </c>
      <c r="J3983" s="6" t="str">
        <f>IFERROR(__xludf.DUMMYFUNCTION("""COMPUTED_VALUE"""),"-")</f>
        <v>-</v>
      </c>
      <c r="K3983" s="6" t="str">
        <f>IFERROR(__xludf.DUMMYFUNCTION("""COMPUTED_VALUE"""),"SPR/07/26/082")</f>
        <v>SPR/07/26/082</v>
      </c>
      <c r="L3983" s="13">
        <f>IFERROR(__xludf.DUMMYFUNCTION("""COMPUTED_VALUE"""),46234.0)</f>
        <v>46234</v>
      </c>
    </row>
    <row r="3984">
      <c r="A3984" s="6" t="str">
        <f>IFERROR(__xludf.DUMMYFUNCTION("""COMPUTED_VALUE"""),"ERA")</f>
        <v>ERA</v>
      </c>
      <c r="B3984" s="6" t="str">
        <f>IFERROR(__xludf.DUMMYFUNCTION("""COMPUTED_VALUE"""),"ENG")</f>
        <v>ENG</v>
      </c>
      <c r="C3984" s="6" t="str">
        <f>IFERROR(__xludf.DUMMYFUNCTION("""COMPUTED_VALUE"""),"P-51027-00")</f>
        <v>P-51027-00</v>
      </c>
      <c r="D398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3984" s="6">
        <f>IFERROR(__xludf.DUMMYFUNCTION("""COMPUTED_VALUE"""),1.0)</f>
        <v>1</v>
      </c>
      <c r="F3984" s="6">
        <f>IFERROR(__xludf.DUMMYFUNCTION("""COMPUTED_VALUE"""),1.0)</f>
        <v>1</v>
      </c>
      <c r="G3984" s="6">
        <f>IFERROR(__xludf.DUMMYFUNCTION("""COMPUTED_VALUE"""),0.0)</f>
        <v>0</v>
      </c>
      <c r="H3984" s="6" t="str">
        <f>IFERROR(__xludf.DUMMYFUNCTION("""COMPUTED_VALUE"""),"Pcs")</f>
        <v>Pcs</v>
      </c>
      <c r="I3984" s="6" t="str">
        <f>IFERROR(__xludf.DUMMYFUNCTION("""COMPUTED_VALUE"""),"MFH")</f>
        <v>MFH</v>
      </c>
      <c r="J3984" s="6" t="str">
        <f>IFERROR(__xludf.DUMMYFUNCTION("""COMPUTED_VALUE"""),"-")</f>
        <v>-</v>
      </c>
      <c r="K3984" s="6" t="str">
        <f>IFERROR(__xludf.DUMMYFUNCTION("""COMPUTED_VALUE"""),"SPR/07/26/083")</f>
        <v>SPR/07/26/083</v>
      </c>
      <c r="L3984" s="13">
        <f>IFERROR(__xludf.DUMMYFUNCTION("""COMPUTED_VALUE"""),46234.0)</f>
        <v>46234</v>
      </c>
    </row>
    <row r="3985">
      <c r="A3985" s="6" t="str">
        <f>IFERROR(__xludf.DUMMYFUNCTION("""COMPUTED_VALUE"""),"ERA")</f>
        <v>ERA</v>
      </c>
      <c r="B3985" s="6" t="str">
        <f>IFERROR(__xludf.DUMMYFUNCTION("""COMPUTED_VALUE"""),"ENG")</f>
        <v>ENG</v>
      </c>
      <c r="C3985" s="6" t="str">
        <f>IFERROR(__xludf.DUMMYFUNCTION("""COMPUTED_VALUE"""),"P-54554-00")</f>
        <v>P-54554-00</v>
      </c>
      <c r="D3985" s="6" t="str">
        <f>IFERROR(__xludf.DUMMYFUNCTION("""COMPUTED_VALUE"""),"General - Lampu Tl LED Slimliner II T5 10W Cool Light; Hannoch; -; 1 pc")</f>
        <v>General - Lampu Tl LED Slimliner II T5 10W Cool Light; Hannoch; -; 1 pc</v>
      </c>
      <c r="E3985" s="6">
        <f>IFERROR(__xludf.DUMMYFUNCTION("""COMPUTED_VALUE"""),4.0)</f>
        <v>4</v>
      </c>
      <c r="F3985" s="6">
        <f>IFERROR(__xludf.DUMMYFUNCTION("""COMPUTED_VALUE"""),4.0)</f>
        <v>4</v>
      </c>
      <c r="G3985" s="6">
        <f>IFERROR(__xludf.DUMMYFUNCTION("""COMPUTED_VALUE"""),0.0)</f>
        <v>0</v>
      </c>
      <c r="H3985" s="6" t="str">
        <f>IFERROR(__xludf.DUMMYFUNCTION("""COMPUTED_VALUE"""),"Pcs")</f>
        <v>Pcs</v>
      </c>
      <c r="I3985" s="6" t="str">
        <f>IFERROR(__xludf.DUMMYFUNCTION("""COMPUTED_VALUE"""),"MFH")</f>
        <v>MFH</v>
      </c>
      <c r="J3985" s="6" t="str">
        <f>IFERROR(__xludf.DUMMYFUNCTION("""COMPUTED_VALUE"""),"MLAF")</f>
        <v>MLAF</v>
      </c>
      <c r="K3985" s="6" t="str">
        <f>IFERROR(__xludf.DUMMYFUNCTION("""COMPUTED_VALUE"""),"SPR/07/26/083")</f>
        <v>SPR/07/26/083</v>
      </c>
      <c r="L3985" s="13">
        <f>IFERROR(__xludf.DUMMYFUNCTION("""COMPUTED_VALUE"""),46234.0)</f>
        <v>46234</v>
      </c>
    </row>
    <row r="3986">
      <c r="A3986" s="6" t="str">
        <f>IFERROR(__xludf.DUMMYFUNCTION("""COMPUTED_VALUE"""),"ERA")</f>
        <v>ERA</v>
      </c>
      <c r="B3986" s="6" t="str">
        <f>IFERROR(__xludf.DUMMYFUNCTION("""COMPUTED_VALUE"""),"ENG")</f>
        <v>ENG</v>
      </c>
      <c r="C3986" s="6" t="str">
        <f>IFERROR(__xludf.DUMMYFUNCTION("""COMPUTED_VALUE"""),"O-21284-00")</f>
        <v>O-21284-00</v>
      </c>
      <c r="D3986" s="6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E3986" s="6">
        <f>IFERROR(__xludf.DUMMYFUNCTION("""COMPUTED_VALUE"""),3.0)</f>
        <v>3</v>
      </c>
      <c r="F3986" s="6">
        <f>IFERROR(__xludf.DUMMYFUNCTION("""COMPUTED_VALUE"""),3.0)</f>
        <v>3</v>
      </c>
      <c r="G3986" s="6">
        <f>IFERROR(__xludf.DUMMYFUNCTION("""COMPUTED_VALUE"""),0.0)</f>
        <v>0</v>
      </c>
      <c r="H3986" s="6" t="str">
        <f>IFERROR(__xludf.DUMMYFUNCTION("""COMPUTED_VALUE"""),"Pcs")</f>
        <v>Pcs</v>
      </c>
      <c r="I3986" s="6" t="str">
        <f>IFERROR(__xludf.DUMMYFUNCTION("""COMPUTED_VALUE"""),"MFH")</f>
        <v>MFH</v>
      </c>
      <c r="J3986" s="6" t="str">
        <f>IFERROR(__xludf.DUMMYFUNCTION("""COMPUTED_VALUE"""),"-")</f>
        <v>-</v>
      </c>
      <c r="K3986" s="6" t="str">
        <f>IFERROR(__xludf.DUMMYFUNCTION("""COMPUTED_VALUE"""),"SPR/07/26/083")</f>
        <v>SPR/07/26/083</v>
      </c>
      <c r="L3986" s="13">
        <f>IFERROR(__xludf.DUMMYFUNCTION("""COMPUTED_VALUE"""),46234.0)</f>
        <v>46234</v>
      </c>
    </row>
    <row r="3987">
      <c r="A3987" s="6" t="str">
        <f>IFERROR(__xludf.DUMMYFUNCTION("""COMPUTED_VALUE"""),"ERA")</f>
        <v>ERA</v>
      </c>
      <c r="B3987" s="6" t="str">
        <f>IFERROR(__xludf.DUMMYFUNCTION("""COMPUTED_VALUE"""),"ENG")</f>
        <v>ENG</v>
      </c>
      <c r="C3987" s="6" t="str">
        <f>IFERROR(__xludf.DUMMYFUNCTION("""COMPUTED_VALUE"""),"O-15931-00")</f>
        <v>O-15931-00</v>
      </c>
      <c r="D3987" s="6" t="str">
        <f>IFERROR(__xludf.DUMMYFUNCTION("""COMPUTED_VALUE"""),"Double Tape 3M 1"" Merah - P/N : - pc")</f>
        <v>Double Tape 3M 1" Merah - P/N : - pc</v>
      </c>
      <c r="E3987" s="6">
        <f>IFERROR(__xludf.DUMMYFUNCTION("""COMPUTED_VALUE"""),1.0)</f>
        <v>1</v>
      </c>
      <c r="F3987" s="6">
        <f>IFERROR(__xludf.DUMMYFUNCTION("""COMPUTED_VALUE"""),1.0)</f>
        <v>1</v>
      </c>
      <c r="G3987" s="6">
        <f>IFERROR(__xludf.DUMMYFUNCTION("""COMPUTED_VALUE"""),0.0)</f>
        <v>0</v>
      </c>
      <c r="H3987" s="6" t="str">
        <f>IFERROR(__xludf.DUMMYFUNCTION("""COMPUTED_VALUE"""),"Pcs")</f>
        <v>Pcs</v>
      </c>
      <c r="I3987" s="6" t="str">
        <f>IFERROR(__xludf.DUMMYFUNCTION("""COMPUTED_VALUE"""),"MFH")</f>
        <v>MFH</v>
      </c>
      <c r="J3987" s="6" t="str">
        <f>IFERROR(__xludf.DUMMYFUNCTION("""COMPUTED_VALUE"""),"MLAF")</f>
        <v>MLAF</v>
      </c>
      <c r="K3987" s="6" t="str">
        <f>IFERROR(__xludf.DUMMYFUNCTION("""COMPUTED_VALUE"""),"SPR/07/26/084")</f>
        <v>SPR/07/26/084</v>
      </c>
      <c r="L3987" s="13">
        <f>IFERROR(__xludf.DUMMYFUNCTION("""COMPUTED_VALUE"""),46234.0)</f>
        <v>46234</v>
      </c>
    </row>
    <row r="3988">
      <c r="A3988" s="6" t="str">
        <f>IFERROR(__xludf.DUMMYFUNCTION("""COMPUTED_VALUE"""),"ERA")</f>
        <v>ERA</v>
      </c>
      <c r="B3988" s="6" t="str">
        <f>IFERROR(__xludf.DUMMYFUNCTION("""COMPUTED_VALUE"""),"ENG")</f>
        <v>ENG</v>
      </c>
      <c r="C3988" s="6" t="str">
        <f>IFERROR(__xludf.DUMMYFUNCTION("""COMPUTED_VALUE"""),"S-40645-00")</f>
        <v>S-40645-00</v>
      </c>
      <c r="D3988" s="6" t="str">
        <f>IFERROR(__xludf.DUMMYFUNCTION("""COMPUTED_VALUE"""),"Cable Ties, 200 x 4.8 mm; SIGMA; CS 200L; Putih;100 pcs/pack")</f>
        <v>Cable Ties, 200 x 4.8 mm; SIGMA; CS 200L; Putih;100 pcs/pack</v>
      </c>
      <c r="E3988" s="6">
        <f>IFERROR(__xludf.DUMMYFUNCTION("""COMPUTED_VALUE"""),20.0)</f>
        <v>20</v>
      </c>
      <c r="F3988" s="6">
        <f>IFERROR(__xludf.DUMMYFUNCTION("""COMPUTED_VALUE"""),20.0)</f>
        <v>20</v>
      </c>
      <c r="G3988" s="6">
        <f>IFERROR(__xludf.DUMMYFUNCTION("""COMPUTED_VALUE"""),0.0)</f>
        <v>0</v>
      </c>
      <c r="H3988" s="6" t="str">
        <f>IFERROR(__xludf.DUMMYFUNCTION("""COMPUTED_VALUE"""),"Pcs")</f>
        <v>Pcs</v>
      </c>
      <c r="I3988" s="6" t="str">
        <f>IFERROR(__xludf.DUMMYFUNCTION("""COMPUTED_VALUE"""),"MFH")</f>
        <v>MFH</v>
      </c>
      <c r="J3988" s="6" t="str">
        <f>IFERROR(__xludf.DUMMYFUNCTION("""COMPUTED_VALUE"""),"MLAF")</f>
        <v>MLAF</v>
      </c>
      <c r="K3988" s="6" t="str">
        <f>IFERROR(__xludf.DUMMYFUNCTION("""COMPUTED_VALUE"""),"SPR/07/26/084")</f>
        <v>SPR/07/26/084</v>
      </c>
      <c r="L3988" s="13">
        <f>IFERROR(__xludf.DUMMYFUNCTION("""COMPUTED_VALUE"""),46234.0)</f>
        <v>46234</v>
      </c>
    </row>
    <row r="3989">
      <c r="A3989" s="6" t="str">
        <f>IFERROR(__xludf.DUMMYFUNCTION("""COMPUTED_VALUE"""),"ERA")</f>
        <v>ERA</v>
      </c>
      <c r="B3989" s="6" t="str">
        <f>IFERROR(__xludf.DUMMYFUNCTION("""COMPUTED_VALUE"""),"ENG")</f>
        <v>ENG</v>
      </c>
      <c r="C3989" s="6" t="str">
        <f>IFERROR(__xludf.DUMMYFUNCTION("""COMPUTED_VALUE"""),"P-18468-00")</f>
        <v>P-18468-00</v>
      </c>
      <c r="D3989" s="6" t="str">
        <f>IFERROR(__xludf.DUMMYFUNCTION("""COMPUTED_VALUE"""),"Pass Box Stickers ZC-A; ; ;")</f>
        <v>Pass Box Stickers ZC-A; ; ;</v>
      </c>
      <c r="E3989" s="6">
        <f>IFERROR(__xludf.DUMMYFUNCTION("""COMPUTED_VALUE"""),2.0)</f>
        <v>2</v>
      </c>
      <c r="F3989" s="6">
        <f>IFERROR(__xludf.DUMMYFUNCTION("""COMPUTED_VALUE"""),2.0)</f>
        <v>2</v>
      </c>
      <c r="G3989" s="6">
        <f>IFERROR(__xludf.DUMMYFUNCTION("""COMPUTED_VALUE"""),0.0)</f>
        <v>0</v>
      </c>
      <c r="H3989" s="6" t="str">
        <f>IFERROR(__xludf.DUMMYFUNCTION("""COMPUTED_VALUE"""),"Pcs")</f>
        <v>Pcs</v>
      </c>
      <c r="I3989" s="6" t="str">
        <f>IFERROR(__xludf.DUMMYFUNCTION("""COMPUTED_VALUE"""),"MFH")</f>
        <v>MFH</v>
      </c>
      <c r="J3989" s="6" t="str">
        <f>IFERROR(__xludf.DUMMYFUNCTION("""COMPUTED_VALUE"""),"MLAF")</f>
        <v>MLAF</v>
      </c>
      <c r="K3989" s="6" t="str">
        <f>IFERROR(__xludf.DUMMYFUNCTION("""COMPUTED_VALUE"""),"SPR/07/26/084")</f>
        <v>SPR/07/26/084</v>
      </c>
      <c r="L3989" s="13">
        <f>IFERROR(__xludf.DUMMYFUNCTION("""COMPUTED_VALUE"""),46234.0)</f>
        <v>46234</v>
      </c>
    </row>
    <row r="3990">
      <c r="A3990" s="6" t="str">
        <f>IFERROR(__xludf.DUMMYFUNCTION("""COMPUTED_VALUE"""),"MRN")</f>
        <v>MRN</v>
      </c>
      <c r="B3990" s="6" t="str">
        <f>IFERROR(__xludf.DUMMYFUNCTION("""COMPUTED_VALUE"""),"ENG")</f>
        <v>ENG</v>
      </c>
      <c r="C3990" s="6" t="str">
        <f>IFERROR(__xludf.DUMMYFUNCTION("""COMPUTED_VALUE"""),"P-20651-00")</f>
        <v>P-20651-00</v>
      </c>
      <c r="D3990" s="6" t="str">
        <f>IFERROR(__xludf.DUMMYFUNCTION("""COMPUTED_VALUE"""),"General - Wire Brush Mata Bor; JLD; 263; 3pcs/set")</f>
        <v>General - Wire Brush Mata Bor; JLD; 263; 3pcs/set</v>
      </c>
      <c r="E3990" s="6">
        <f>IFERROR(__xludf.DUMMYFUNCTION("""COMPUTED_VALUE"""),1.0)</f>
        <v>1</v>
      </c>
      <c r="F3990" s="6">
        <f>IFERROR(__xludf.DUMMYFUNCTION("""COMPUTED_VALUE"""),1.0)</f>
        <v>1</v>
      </c>
      <c r="G3990" s="6">
        <f>IFERROR(__xludf.DUMMYFUNCTION("""COMPUTED_VALUE"""),0.0)</f>
        <v>0</v>
      </c>
      <c r="H3990" s="6" t="str">
        <f>IFERROR(__xludf.DUMMYFUNCTION("""COMPUTED_VALUE"""),"Pcs")</f>
        <v>Pcs</v>
      </c>
      <c r="I3990" s="6" t="str">
        <f>IFERROR(__xludf.DUMMYFUNCTION("""COMPUTED_VALUE"""),"MFH")</f>
        <v>MFH</v>
      </c>
      <c r="J3990" s="6" t="str">
        <f>IFERROR(__xludf.DUMMYFUNCTION("""COMPUTED_VALUE"""),"Workshop")</f>
        <v>Workshop</v>
      </c>
      <c r="K3990" s="6" t="str">
        <f>IFERROR(__xludf.DUMMYFUNCTION("""COMPUTED_VALUE"""),"SPR/07/26/085")</f>
        <v>SPR/07/26/085</v>
      </c>
      <c r="L3990" s="13">
        <f>IFERROR(__xludf.DUMMYFUNCTION("""COMPUTED_VALUE"""),46234.0)</f>
        <v>46234</v>
      </c>
    </row>
    <row r="3991">
      <c r="A3991" s="6" t="str">
        <f>IFERROR(__xludf.DUMMYFUNCTION("""COMPUTED_VALUE"""),"WAP")</f>
        <v>WAP</v>
      </c>
      <c r="B3991" s="6" t="str">
        <f>IFERROR(__xludf.DUMMYFUNCTION("""COMPUTED_VALUE"""),"ENG")</f>
        <v>ENG</v>
      </c>
      <c r="C3991" s="6" t="str">
        <f>IFERROR(__xludf.DUMMYFUNCTION("""COMPUTED_VALUE"""),"P-50140-00")</f>
        <v>P-50140-00</v>
      </c>
      <c r="D3991" s="6" t="str">
        <f>IFERROR(__xludf.DUMMYFUNCTION("""COMPUTED_VALUE"""),"Battery UPS - Battery kering 12V 9 AH")</f>
        <v>Battery UPS - Battery kering 12V 9 AH</v>
      </c>
      <c r="E3991" s="6">
        <f>IFERROR(__xludf.DUMMYFUNCTION("""COMPUTED_VALUE"""),7.0)</f>
        <v>7</v>
      </c>
      <c r="F3991" s="6">
        <f>IFERROR(__xludf.DUMMYFUNCTION("""COMPUTED_VALUE"""),7.0)</f>
        <v>7</v>
      </c>
      <c r="G3991" s="6">
        <f>IFERROR(__xludf.DUMMYFUNCTION("""COMPUTED_VALUE"""),0.0)</f>
        <v>0</v>
      </c>
      <c r="H3991" s="6" t="str">
        <f>IFERROR(__xludf.DUMMYFUNCTION("""COMPUTED_VALUE"""),"Pcs")</f>
        <v>Pcs</v>
      </c>
      <c r="I3991" s="6" t="str">
        <f>IFERROR(__xludf.DUMMYFUNCTION("""COMPUTED_VALUE"""),"MFH")</f>
        <v>MFH</v>
      </c>
      <c r="J3991" s="6" t="str">
        <f>IFERROR(__xludf.DUMMYFUNCTION("""COMPUTED_VALUE"""),"UPS")</f>
        <v>UPS</v>
      </c>
      <c r="K3991" s="6" t="str">
        <f>IFERROR(__xludf.DUMMYFUNCTION("""COMPUTED_VALUE"""),"SPR/07/26/086")</f>
        <v>SPR/07/26/086</v>
      </c>
      <c r="L3991" s="13">
        <f>IFERROR(__xludf.DUMMYFUNCTION("""COMPUTED_VALUE"""),46234.0)</f>
        <v>46234</v>
      </c>
    </row>
    <row r="3992">
      <c r="A3992" s="6" t="str">
        <f>IFERROR(__xludf.DUMMYFUNCTION("""COMPUTED_VALUE"""),"MAP")</f>
        <v>MAP</v>
      </c>
      <c r="B3992" s="6" t="str">
        <f>IFERROR(__xludf.DUMMYFUNCTION("""COMPUTED_VALUE"""),"ENG")</f>
        <v>ENG</v>
      </c>
      <c r="C3992" s="6" t="str">
        <f>IFERROR(__xludf.DUMMYFUNCTION("""COMPUTED_VALUE"""),"S-40640-00")</f>
        <v>S-40640-00</v>
      </c>
      <c r="D3992" s="6" t="str">
        <f>IFERROR(__xludf.DUMMYFUNCTION("""COMPUTED_VALUE"""),"Cable Ties, 150 x 3.6 mm; SIGMA; CS 150T; Putih;100 pcs/pack")</f>
        <v>Cable Ties, 150 x 3.6 mm; SIGMA; CS 150T; Putih;100 pcs/pack</v>
      </c>
      <c r="E3992" s="6">
        <f>IFERROR(__xludf.DUMMYFUNCTION("""COMPUTED_VALUE"""),1.0)</f>
        <v>1</v>
      </c>
      <c r="F3992" s="6">
        <f>IFERROR(__xludf.DUMMYFUNCTION("""COMPUTED_VALUE"""),1.0)</f>
        <v>1</v>
      </c>
      <c r="G3992" s="6">
        <f>IFERROR(__xludf.DUMMYFUNCTION("""COMPUTED_VALUE"""),0.0)</f>
        <v>0</v>
      </c>
      <c r="H3992" s="6" t="str">
        <f>IFERROR(__xludf.DUMMYFUNCTION("""COMPUTED_VALUE"""),"Pcs")</f>
        <v>Pcs</v>
      </c>
      <c r="I3992" s="6" t="str">
        <f>IFERROR(__xludf.DUMMYFUNCTION("""COMPUTED_VALUE"""),"MFH")</f>
        <v>MFH</v>
      </c>
      <c r="J3992" s="6" t="str">
        <f>IFERROR(__xludf.DUMMYFUNCTION("""COMPUTED_VALUE"""),"Building")</f>
        <v>Building</v>
      </c>
      <c r="K3992" s="6" t="str">
        <f>IFERROR(__xludf.DUMMYFUNCTION("""COMPUTED_VALUE"""),"SPR/07/26/087")</f>
        <v>SPR/07/26/087</v>
      </c>
      <c r="L3992" s="13">
        <f>IFERROR(__xludf.DUMMYFUNCTION("""COMPUTED_VALUE"""),46234.0)</f>
        <v>46234</v>
      </c>
    </row>
    <row r="3993">
      <c r="A3993" s="6" t="str">
        <f>IFERROR(__xludf.DUMMYFUNCTION("""COMPUTED_VALUE"""),"TGT")</f>
        <v>TGT</v>
      </c>
      <c r="B3993" s="6" t="str">
        <f>IFERROR(__xludf.DUMMYFUNCTION("""COMPUTED_VALUE"""),"ENG")</f>
        <v>ENG</v>
      </c>
      <c r="C3993" s="6" t="str">
        <f>IFERROR(__xludf.DUMMYFUNCTION("""COMPUTED_VALUE"""),"T-20123-00")</f>
        <v>T-20123-00</v>
      </c>
      <c r="D3993" s="6" t="str">
        <f>IFERROR(__xludf.DUMMYFUNCTION("""COMPUTED_VALUE"""),"Acquity PDA/TUV 2489/2998 Perf")</f>
        <v>Acquity PDA/TUV 2489/2998 Perf</v>
      </c>
      <c r="E3993" s="6">
        <f>IFERROR(__xludf.DUMMYFUNCTION("""COMPUTED_VALUE"""),2.0)</f>
        <v>2</v>
      </c>
      <c r="F3993" s="6">
        <f>IFERROR(__xludf.DUMMYFUNCTION("""COMPUTED_VALUE"""),2.0)</f>
        <v>2</v>
      </c>
      <c r="G3993" s="6">
        <f>IFERROR(__xludf.DUMMYFUNCTION("""COMPUTED_VALUE"""),0.0)</f>
        <v>0</v>
      </c>
      <c r="H3993" s="6" t="str">
        <f>IFERROR(__xludf.DUMMYFUNCTION("""COMPUTED_VALUE"""),"Pcs")</f>
        <v>Pcs</v>
      </c>
      <c r="I3993" s="6" t="str">
        <f>IFERROR(__xludf.DUMMYFUNCTION("""COMPUTED_VALUE"""),"MFH")</f>
        <v>MFH</v>
      </c>
      <c r="J3993" s="6" t="str">
        <f>IFERROR(__xludf.DUMMYFUNCTION("""COMPUTED_VALUE"""),"HPLC")</f>
        <v>HPLC</v>
      </c>
      <c r="K3993" s="6" t="str">
        <f>IFERROR(__xludf.DUMMYFUNCTION("""COMPUTED_VALUE"""),"SPR/07/26/088")</f>
        <v>SPR/07/26/088</v>
      </c>
      <c r="L3993" s="13">
        <f>IFERROR(__xludf.DUMMYFUNCTION("""COMPUTED_VALUE"""),46234.0)</f>
        <v>46234</v>
      </c>
    </row>
    <row r="3994">
      <c r="A3994" s="6" t="str">
        <f>IFERROR(__xludf.DUMMYFUNCTION("""COMPUTED_VALUE"""),"MOB")</f>
        <v>MOB</v>
      </c>
      <c r="B3994" s="6" t="str">
        <f>IFERROR(__xludf.DUMMYFUNCTION("""COMPUTED_VALUE"""),"ENG")</f>
        <v>ENG</v>
      </c>
      <c r="C3994" s="6" t="str">
        <f>IFERROR(__xludf.DUMMYFUNCTION("""COMPUTED_VALUE"""),"Q-10249-00")</f>
        <v>Q-10249-00</v>
      </c>
      <c r="D3994" s="6" t="str">
        <f>IFERROR(__xludf.DUMMYFUNCTION("""COMPUTED_VALUE"""),"Lem Power Glue; ; ;")</f>
        <v>Lem Power Glue; ; ;</v>
      </c>
      <c r="E3994" s="6">
        <f>IFERROR(__xludf.DUMMYFUNCTION("""COMPUTED_VALUE"""),1.0)</f>
        <v>1</v>
      </c>
      <c r="F3994" s="6">
        <f>IFERROR(__xludf.DUMMYFUNCTION("""COMPUTED_VALUE"""),1.0)</f>
        <v>1</v>
      </c>
      <c r="G3994" s="6">
        <f>IFERROR(__xludf.DUMMYFUNCTION("""COMPUTED_VALUE"""),0.0)</f>
        <v>0</v>
      </c>
      <c r="H3994" s="6" t="str">
        <f>IFERROR(__xludf.DUMMYFUNCTION("""COMPUTED_VALUE"""),"Pcs")</f>
        <v>Pcs</v>
      </c>
      <c r="I3994" s="6" t="str">
        <f>IFERROR(__xludf.DUMMYFUNCTION("""COMPUTED_VALUE"""),"MFH")</f>
        <v>MFH</v>
      </c>
      <c r="J3994" s="6" t="str">
        <f>IFERROR(__xludf.DUMMYFUNCTION("""COMPUTED_VALUE"""),"-")</f>
        <v>-</v>
      </c>
      <c r="K3994" s="6" t="str">
        <f>IFERROR(__xludf.DUMMYFUNCTION("""COMPUTED_VALUE"""),"SPR/07/26/089")</f>
        <v>SPR/07/26/089</v>
      </c>
      <c r="L3994" s="13">
        <f>IFERROR(__xludf.DUMMYFUNCTION("""COMPUTED_VALUE"""),46234.0)</f>
        <v>46234</v>
      </c>
    </row>
    <row r="3995">
      <c r="A3995" s="6" t="str">
        <f>IFERROR(__xludf.DUMMYFUNCTION("""COMPUTED_VALUE"""),"SFH")</f>
        <v>SFH</v>
      </c>
      <c r="B3995" s="6" t="str">
        <f>IFERROR(__xludf.DUMMYFUNCTION("""COMPUTED_VALUE"""),"ENG")</f>
        <v>ENG</v>
      </c>
      <c r="C3995" s="6" t="str">
        <f>IFERROR(__xludf.DUMMYFUNCTION("""COMPUTED_VALUE"""),"Q-10128-00")</f>
        <v>Q-10128-00</v>
      </c>
      <c r="D3995" s="6" t="str">
        <f>IFERROR(__xludf.DUMMYFUNCTION("""COMPUTED_VALUE"""),"Thinner Super End/Impala")</f>
        <v>Thinner Super End/Impala</v>
      </c>
      <c r="E3995" s="6">
        <f>IFERROR(__xludf.DUMMYFUNCTION("""COMPUTED_VALUE"""),2.0)</f>
        <v>2</v>
      </c>
      <c r="F3995" s="6">
        <f>IFERROR(__xludf.DUMMYFUNCTION("""COMPUTED_VALUE"""),2.0)</f>
        <v>2</v>
      </c>
      <c r="G3995" s="6">
        <f>IFERROR(__xludf.DUMMYFUNCTION("""COMPUTED_VALUE"""),0.0)</f>
        <v>0</v>
      </c>
      <c r="H3995" s="6" t="str">
        <f>IFERROR(__xludf.DUMMYFUNCTION("""COMPUTED_VALUE"""),"Can")</f>
        <v>Can</v>
      </c>
      <c r="I3995" s="6" t="str">
        <f>IFERROR(__xludf.DUMMYFUNCTION("""COMPUTED_VALUE"""),"MFH")</f>
        <v>MFH</v>
      </c>
      <c r="J3995" s="6" t="str">
        <f>IFERROR(__xludf.DUMMYFUNCTION("""COMPUTED_VALUE"""),"Building")</f>
        <v>Building</v>
      </c>
      <c r="K3995" s="6" t="str">
        <f>IFERROR(__xludf.DUMMYFUNCTION("""COMPUTED_VALUE"""),"SPR/07/26/090")</f>
        <v>SPR/07/26/090</v>
      </c>
      <c r="L3995" s="13">
        <f>IFERROR(__xludf.DUMMYFUNCTION("""COMPUTED_VALUE"""),46234.0)</f>
        <v>46234</v>
      </c>
    </row>
    <row r="3996">
      <c r="A3996" s="6" t="str">
        <f>IFERROR(__xludf.DUMMYFUNCTION("""COMPUTED_VALUE"""),"SFH")</f>
        <v>SFH</v>
      </c>
      <c r="B3996" s="6" t="str">
        <f>IFERROR(__xludf.DUMMYFUNCTION("""COMPUTED_VALUE"""),"ENG")</f>
        <v>ENG</v>
      </c>
      <c r="C3996" s="6" t="str">
        <f>IFERROR(__xludf.DUMMYFUNCTION("""COMPUTED_VALUE"""),"Q-60405-00")</f>
        <v>Q-60405-00</v>
      </c>
      <c r="D3996" s="6" t="str">
        <f>IFERROR(__xludf.DUMMYFUNCTION("""COMPUTED_VALUE"""),"Cat Durogloss DR-2000; Propan; Type Spiders Web 90YY 73/040; 0,9 L/can")</f>
        <v>Cat Durogloss DR-2000; Propan; Type Spiders Web 90YY 73/040; 0,9 L/can</v>
      </c>
      <c r="E3996" s="6">
        <f>IFERROR(__xludf.DUMMYFUNCTION("""COMPUTED_VALUE"""),1.0)</f>
        <v>1</v>
      </c>
      <c r="F3996" s="6">
        <f>IFERROR(__xludf.DUMMYFUNCTION("""COMPUTED_VALUE"""),1.0)</f>
        <v>1</v>
      </c>
      <c r="G3996" s="6">
        <f>IFERROR(__xludf.DUMMYFUNCTION("""COMPUTED_VALUE"""),0.0)</f>
        <v>0</v>
      </c>
      <c r="H3996" s="6" t="str">
        <f>IFERROR(__xludf.DUMMYFUNCTION("""COMPUTED_VALUE"""),"Pcs")</f>
        <v>Pcs</v>
      </c>
      <c r="I3996" s="6" t="str">
        <f>IFERROR(__xludf.DUMMYFUNCTION("""COMPUTED_VALUE"""),"MFH")</f>
        <v>MFH</v>
      </c>
      <c r="J3996" s="6" t="str">
        <f>IFERROR(__xludf.DUMMYFUNCTION("""COMPUTED_VALUE"""),"Building")</f>
        <v>Building</v>
      </c>
      <c r="K3996" s="6" t="str">
        <f>IFERROR(__xludf.DUMMYFUNCTION("""COMPUTED_VALUE"""),"SPR/07/26/090")</f>
        <v>SPR/07/26/090</v>
      </c>
      <c r="L3996" s="13">
        <f>IFERROR(__xludf.DUMMYFUNCTION("""COMPUTED_VALUE"""),46234.0)</f>
        <v>46234</v>
      </c>
    </row>
    <row r="3997">
      <c r="A3997" s="6" t="str">
        <f>IFERROR(__xludf.DUMMYFUNCTION("""COMPUTED_VALUE"""),"SFH")</f>
        <v>SFH</v>
      </c>
      <c r="B3997" s="6" t="str">
        <f>IFERROR(__xludf.DUMMYFUNCTION("""COMPUTED_VALUE"""),"ENG")</f>
        <v>ENG</v>
      </c>
      <c r="C3997" s="6" t="str">
        <f>IFERROR(__xludf.DUMMYFUNCTION("""COMPUTED_VALUE"""),"Q-10153-00")</f>
        <v>Q-10153-00</v>
      </c>
      <c r="D3997" s="6" t="str">
        <f>IFERROR(__xludf.DUMMYFUNCTION("""COMPUTED_VALUE"""),"Roller cat 110mm")</f>
        <v>Roller cat 110mm</v>
      </c>
      <c r="E3997" s="6">
        <f>IFERROR(__xludf.DUMMYFUNCTION("""COMPUTED_VALUE"""),2.0)</f>
        <v>2</v>
      </c>
      <c r="F3997" s="6">
        <f>IFERROR(__xludf.DUMMYFUNCTION("""COMPUTED_VALUE"""),2.0)</f>
        <v>2</v>
      </c>
      <c r="G3997" s="6">
        <f>IFERROR(__xludf.DUMMYFUNCTION("""COMPUTED_VALUE"""),0.0)</f>
        <v>0</v>
      </c>
      <c r="H3997" s="6" t="str">
        <f>IFERROR(__xludf.DUMMYFUNCTION("""COMPUTED_VALUE"""),"Pcs")</f>
        <v>Pcs</v>
      </c>
      <c r="I3997" s="6" t="str">
        <f>IFERROR(__xludf.DUMMYFUNCTION("""COMPUTED_VALUE"""),"MFH")</f>
        <v>MFH</v>
      </c>
      <c r="J3997" s="6" t="str">
        <f>IFERROR(__xludf.DUMMYFUNCTION("""COMPUTED_VALUE"""),"Building")</f>
        <v>Building</v>
      </c>
      <c r="K3997" s="6" t="str">
        <f>IFERROR(__xludf.DUMMYFUNCTION("""COMPUTED_VALUE"""),"SPR/07/26/090")</f>
        <v>SPR/07/26/090</v>
      </c>
      <c r="L3997" s="13">
        <f>IFERROR(__xludf.DUMMYFUNCTION("""COMPUTED_VALUE"""),46234.0)</f>
        <v>46234</v>
      </c>
    </row>
    <row r="3998">
      <c r="A3998" s="6" t="str">
        <f>IFERROR(__xludf.DUMMYFUNCTION("""COMPUTED_VALUE"""),"SFH")</f>
        <v>SFH</v>
      </c>
      <c r="B3998" s="6" t="str">
        <f>IFERROR(__xludf.DUMMYFUNCTION("""COMPUTED_VALUE"""),"ENG")</f>
        <v>ENG</v>
      </c>
      <c r="C3998" s="6" t="str">
        <f>IFERROR(__xludf.DUMMYFUNCTION("""COMPUTED_VALUE"""),"O-19346-00")</f>
        <v>O-19346-00</v>
      </c>
      <c r="D3998" s="6" t="str">
        <f>IFERROR(__xludf.DUMMYFUNCTION("""COMPUTED_VALUE"""),"HEPA filter minipleat, size: 1220X610X93 H14; ; ;")</f>
        <v>HEPA filter minipleat, size: 1220X610X93 H14; ; ;</v>
      </c>
      <c r="E3998" s="6">
        <f>IFERROR(__xludf.DUMMYFUNCTION("""COMPUTED_VALUE"""),3.0)</f>
        <v>3</v>
      </c>
      <c r="F3998" s="6">
        <f>IFERROR(__xludf.DUMMYFUNCTION("""COMPUTED_VALUE"""),3.0)</f>
        <v>3</v>
      </c>
      <c r="G3998" s="6">
        <f>IFERROR(__xludf.DUMMYFUNCTION("""COMPUTED_VALUE"""),0.0)</f>
        <v>0</v>
      </c>
      <c r="H3998" s="6" t="str">
        <f>IFERROR(__xludf.DUMMYFUNCTION("""COMPUTED_VALUE"""),"Pcs")</f>
        <v>Pcs</v>
      </c>
      <c r="I3998" s="6" t="str">
        <f>IFERROR(__xludf.DUMMYFUNCTION("""COMPUTED_VALUE"""),"MFH")</f>
        <v>MFH</v>
      </c>
      <c r="J3998" s="6" t="str">
        <f>IFERROR(__xludf.DUMMYFUNCTION("""COMPUTED_VALUE"""),"AHU")</f>
        <v>AHU</v>
      </c>
      <c r="K3998" s="6" t="str">
        <f>IFERROR(__xludf.DUMMYFUNCTION("""COMPUTED_VALUE"""),"SPR/07/26/091")</f>
        <v>SPR/07/26/091</v>
      </c>
      <c r="L3998" s="13">
        <f>IFERROR(__xludf.DUMMYFUNCTION("""COMPUTED_VALUE"""),46234.0)</f>
        <v>46234</v>
      </c>
    </row>
    <row r="3999">
      <c r="A3999" s="6" t="str">
        <f>IFERROR(__xludf.DUMMYFUNCTION("""COMPUTED_VALUE"""),"SFH")</f>
        <v>SFH</v>
      </c>
      <c r="B3999" s="6" t="str">
        <f>IFERROR(__xludf.DUMMYFUNCTION("""COMPUTED_VALUE"""),"ENG")</f>
        <v>ENG</v>
      </c>
      <c r="C3999" s="6" t="str">
        <f>IFERROR(__xludf.DUMMYFUNCTION("""COMPUTED_VALUE"""),"Q-60502-00")</f>
        <v>Q-60502-00</v>
      </c>
      <c r="D3999" s="6" t="str">
        <f>IFERROR(__xludf.DUMMYFUNCTION("""COMPUTED_VALUE"""),"Silicone Sealant, Silglaze, Type N10 White, pack size per pcs")</f>
        <v>Silicone Sealant, Silglaze, Type N10 White, pack size per pcs</v>
      </c>
      <c r="E3999" s="6">
        <f>IFERROR(__xludf.DUMMYFUNCTION("""COMPUTED_VALUE"""),1.0)</f>
        <v>1</v>
      </c>
      <c r="F3999" s="6">
        <f>IFERROR(__xludf.DUMMYFUNCTION("""COMPUTED_VALUE"""),1.0)</f>
        <v>1</v>
      </c>
      <c r="G3999" s="6">
        <f>IFERROR(__xludf.DUMMYFUNCTION("""COMPUTED_VALUE"""),0.0)</f>
        <v>0</v>
      </c>
      <c r="H3999" s="6" t="str">
        <f>IFERROR(__xludf.DUMMYFUNCTION("""COMPUTED_VALUE"""),"Pcs")</f>
        <v>Pcs</v>
      </c>
      <c r="I3999" s="6" t="str">
        <f>IFERROR(__xludf.DUMMYFUNCTION("""COMPUTED_VALUE"""),"MFH")</f>
        <v>MFH</v>
      </c>
      <c r="J3999" s="6" t="str">
        <f>IFERROR(__xludf.DUMMYFUNCTION("""COMPUTED_VALUE"""),"Building")</f>
        <v>Building</v>
      </c>
      <c r="K3999" s="6" t="str">
        <f>IFERROR(__xludf.DUMMYFUNCTION("""COMPUTED_VALUE"""),"SPR/07/26/091")</f>
        <v>SPR/07/26/091</v>
      </c>
      <c r="L3999" s="13">
        <f>IFERROR(__xludf.DUMMYFUNCTION("""COMPUTED_VALUE"""),46234.0)</f>
        <v>46234</v>
      </c>
    </row>
    <row r="4000">
      <c r="A4000" s="6" t="str">
        <f>IFERROR(__xludf.DUMMYFUNCTION("""COMPUTED_VALUE"""),"SFH")</f>
        <v>SFH</v>
      </c>
      <c r="B4000" s="6" t="str">
        <f>IFERROR(__xludf.DUMMYFUNCTION("""COMPUTED_VALUE"""),"ENG")</f>
        <v>ENG</v>
      </c>
      <c r="C4000" s="6" t="str">
        <f>IFERROR(__xludf.DUMMYFUNCTION("""COMPUTED_VALUE"""),"Q-60501-00")</f>
        <v>Q-60501-00</v>
      </c>
      <c r="D4000" s="6" t="str">
        <f>IFERROR(__xludf.DUMMYFUNCTION("""COMPUTED_VALUE"""),"Silicone Sealant, Silglaze, Type N10 Clear, pack size per pcs")</f>
        <v>Silicone Sealant, Silglaze, Type N10 Clear, pack size per pcs</v>
      </c>
      <c r="E4000" s="6">
        <f>IFERROR(__xludf.DUMMYFUNCTION("""COMPUTED_VALUE"""),1.0)</f>
        <v>1</v>
      </c>
      <c r="F4000" s="6">
        <f>IFERROR(__xludf.DUMMYFUNCTION("""COMPUTED_VALUE"""),1.0)</f>
        <v>1</v>
      </c>
      <c r="G4000" s="6">
        <f>IFERROR(__xludf.DUMMYFUNCTION("""COMPUTED_VALUE"""),0.0)</f>
        <v>0</v>
      </c>
      <c r="H4000" s="6" t="str">
        <f>IFERROR(__xludf.DUMMYFUNCTION("""COMPUTED_VALUE"""),"Pcs")</f>
        <v>Pcs</v>
      </c>
      <c r="I4000" s="6" t="str">
        <f>IFERROR(__xludf.DUMMYFUNCTION("""COMPUTED_VALUE"""),"MFH")</f>
        <v>MFH</v>
      </c>
      <c r="J4000" s="6" t="str">
        <f>IFERROR(__xludf.DUMMYFUNCTION("""COMPUTED_VALUE"""),"Building")</f>
        <v>Building</v>
      </c>
      <c r="K4000" s="6" t="str">
        <f>IFERROR(__xludf.DUMMYFUNCTION("""COMPUTED_VALUE"""),"SPR/07/26/091")</f>
        <v>SPR/07/26/091</v>
      </c>
      <c r="L4000" s="13">
        <f>IFERROR(__xludf.DUMMYFUNCTION("""COMPUTED_VALUE"""),46234.0)</f>
        <v>46234</v>
      </c>
    </row>
    <row r="4001">
      <c r="A4001" s="6" t="str">
        <f>IFERROR(__xludf.DUMMYFUNCTION("""COMPUTED_VALUE"""),"ROS")</f>
        <v>ROS</v>
      </c>
      <c r="B4001" s="6" t="str">
        <f>IFERROR(__xludf.DUMMYFUNCTION("""COMPUTED_VALUE"""),"ENG")</f>
        <v>ENG</v>
      </c>
      <c r="C4001" s="6" t="str">
        <f>IFERROR(__xludf.DUMMYFUNCTION("""COMPUTED_VALUE"""),"O-16032-00")</f>
        <v>O-16032-00</v>
      </c>
      <c r="D4001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001" s="6">
        <f>IFERROR(__xludf.DUMMYFUNCTION("""COMPUTED_VALUE"""),1.0)</f>
        <v>1</v>
      </c>
      <c r="F4001" s="6">
        <f>IFERROR(__xludf.DUMMYFUNCTION("""COMPUTED_VALUE"""),1.0)</f>
        <v>1</v>
      </c>
      <c r="G4001" s="6">
        <f>IFERROR(__xludf.DUMMYFUNCTION("""COMPUTED_VALUE"""),0.0)</f>
        <v>0</v>
      </c>
      <c r="H4001" s="6" t="str">
        <f>IFERROR(__xludf.DUMMYFUNCTION("""COMPUTED_VALUE"""),"Pcs")</f>
        <v>Pcs</v>
      </c>
      <c r="I4001" s="6" t="str">
        <f>IFERROR(__xludf.DUMMYFUNCTION("""COMPUTED_VALUE"""),"MFH")</f>
        <v>MFH</v>
      </c>
      <c r="J4001" s="6" t="str">
        <f>IFERROR(__xludf.DUMMYFUNCTION("""COMPUTED_VALUE"""),"cRABS")</f>
        <v>cRABS</v>
      </c>
      <c r="K4001" s="6" t="str">
        <f>IFERROR(__xludf.DUMMYFUNCTION("""COMPUTED_VALUE"""),"SPR/07/26/092")</f>
        <v>SPR/07/26/092</v>
      </c>
      <c r="L4001" s="13">
        <f>IFERROR(__xludf.DUMMYFUNCTION("""COMPUTED_VALUE"""),46234.0)</f>
        <v>46234</v>
      </c>
    </row>
    <row r="4002">
      <c r="A4002" s="6" t="str">
        <f>IFERROR(__xludf.DUMMYFUNCTION("""COMPUTED_VALUE"""),"ROS")</f>
        <v>ROS</v>
      </c>
      <c r="B4002" s="6" t="str">
        <f>IFERROR(__xludf.DUMMYFUNCTION("""COMPUTED_VALUE"""),"ENG")</f>
        <v>ENG</v>
      </c>
      <c r="C4002" s="6" t="str">
        <f>IFERROR(__xludf.DUMMYFUNCTION("""COMPUTED_VALUE"""),"Q-10249-00")</f>
        <v>Q-10249-00</v>
      </c>
      <c r="D4002" s="6" t="str">
        <f>IFERROR(__xludf.DUMMYFUNCTION("""COMPUTED_VALUE"""),"Lem Power Glue; ; ;")</f>
        <v>Lem Power Glue; ; ;</v>
      </c>
      <c r="E4002" s="6">
        <f>IFERROR(__xludf.DUMMYFUNCTION("""COMPUTED_VALUE"""),1.0)</f>
        <v>1</v>
      </c>
      <c r="F4002" s="6">
        <f>IFERROR(__xludf.DUMMYFUNCTION("""COMPUTED_VALUE"""),1.0)</f>
        <v>1</v>
      </c>
      <c r="G4002" s="6">
        <f>IFERROR(__xludf.DUMMYFUNCTION("""COMPUTED_VALUE"""),0.0)</f>
        <v>0</v>
      </c>
      <c r="H4002" s="6" t="str">
        <f>IFERROR(__xludf.DUMMYFUNCTION("""COMPUTED_VALUE"""),"Pcs")</f>
        <v>Pcs</v>
      </c>
      <c r="I4002" s="6" t="str">
        <f>IFERROR(__xludf.DUMMYFUNCTION("""COMPUTED_VALUE"""),"MFH")</f>
        <v>MFH</v>
      </c>
      <c r="J4002" s="6" t="str">
        <f>IFERROR(__xludf.DUMMYFUNCTION("""COMPUTED_VALUE"""),"-")</f>
        <v>-</v>
      </c>
      <c r="K4002" s="6" t="str">
        <f>IFERROR(__xludf.DUMMYFUNCTION("""COMPUTED_VALUE"""),"SPR/07/26/092")</f>
        <v>SPR/07/26/092</v>
      </c>
      <c r="L4002" s="13">
        <f>IFERROR(__xludf.DUMMYFUNCTION("""COMPUTED_VALUE"""),46234.0)</f>
        <v>46234</v>
      </c>
    </row>
    <row r="4003">
      <c r="A4003" s="6" t="str">
        <f>IFERROR(__xludf.DUMMYFUNCTION("""COMPUTED_VALUE"""),"KFF")</f>
        <v>KFF</v>
      </c>
      <c r="B4003" s="6" t="str">
        <f>IFERROR(__xludf.DUMMYFUNCTION("""COMPUTED_VALUE"""),"ENG")</f>
        <v>ENG</v>
      </c>
      <c r="C4003" s="6" t="str">
        <f>IFERROR(__xludf.DUMMYFUNCTION("""COMPUTED_VALUE"""),"P-13365-00")</f>
        <v>P-13365-00</v>
      </c>
      <c r="D4003" s="6" t="str">
        <f>IFERROR(__xludf.DUMMYFUNCTION("""COMPUTED_VALUE"""),"Cutting Wheel 14"" nippon resibon; ; ;")</f>
        <v>Cutting Wheel 14" nippon resibon; ; ;</v>
      </c>
      <c r="E4003" s="6">
        <f>IFERROR(__xludf.DUMMYFUNCTION("""COMPUTED_VALUE"""),1.0)</f>
        <v>1</v>
      </c>
      <c r="F4003" s="6">
        <f>IFERROR(__xludf.DUMMYFUNCTION("""COMPUTED_VALUE"""),1.0)</f>
        <v>1</v>
      </c>
      <c r="G4003" s="6">
        <f>IFERROR(__xludf.DUMMYFUNCTION("""COMPUTED_VALUE"""),0.0)</f>
        <v>0</v>
      </c>
      <c r="H4003" s="6" t="str">
        <f>IFERROR(__xludf.DUMMYFUNCTION("""COMPUTED_VALUE"""),"Pcs")</f>
        <v>Pcs</v>
      </c>
      <c r="I4003" s="6" t="str">
        <f>IFERROR(__xludf.DUMMYFUNCTION("""COMPUTED_VALUE"""),"MFH")</f>
        <v>MFH</v>
      </c>
      <c r="J4003" s="6" t="str">
        <f>IFERROR(__xludf.DUMMYFUNCTION("""COMPUTED_VALUE"""),"-")</f>
        <v>-</v>
      </c>
      <c r="K4003" s="6" t="str">
        <f>IFERROR(__xludf.DUMMYFUNCTION("""COMPUTED_VALUE"""),"SPR/07/26/093")</f>
        <v>SPR/07/26/093</v>
      </c>
      <c r="L4003" s="13">
        <f>IFERROR(__xludf.DUMMYFUNCTION("""COMPUTED_VALUE"""),46234.0)</f>
        <v>46234</v>
      </c>
    </row>
    <row r="4004">
      <c r="A4004" s="6" t="str">
        <f>IFERROR(__xludf.DUMMYFUNCTION("""COMPUTED_VALUE"""),"BDU")</f>
        <v>BDU</v>
      </c>
      <c r="B4004" s="6" t="str">
        <f>IFERROR(__xludf.DUMMYFUNCTION("""COMPUTED_VALUE"""),"ENG")</f>
        <v>ENG</v>
      </c>
      <c r="C4004" s="6" t="str">
        <f>IFERROR(__xludf.DUMMYFUNCTION("""COMPUTED_VALUE"""),"O-21284-00")</f>
        <v>O-21284-00</v>
      </c>
      <c r="D4004" s="6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E4004" s="6">
        <f>IFERROR(__xludf.DUMMYFUNCTION("""COMPUTED_VALUE"""),4.0)</f>
        <v>4</v>
      </c>
      <c r="F4004" s="6">
        <f>IFERROR(__xludf.DUMMYFUNCTION("""COMPUTED_VALUE"""),4.0)</f>
        <v>4</v>
      </c>
      <c r="G4004" s="6">
        <f>IFERROR(__xludf.DUMMYFUNCTION("""COMPUTED_VALUE"""),0.0)</f>
        <v>0</v>
      </c>
      <c r="H4004" s="6" t="str">
        <f>IFERROR(__xludf.DUMMYFUNCTION("""COMPUTED_VALUE"""),"Pcs")</f>
        <v>Pcs</v>
      </c>
      <c r="I4004" s="6" t="str">
        <f>IFERROR(__xludf.DUMMYFUNCTION("""COMPUTED_VALUE"""),"MFH")</f>
        <v>MFH</v>
      </c>
      <c r="J4004" s="6" t="str">
        <f>IFERROR(__xludf.DUMMYFUNCTION("""COMPUTED_VALUE"""),"BSC")</f>
        <v>BSC</v>
      </c>
      <c r="K4004" s="6" t="str">
        <f>IFERROR(__xludf.DUMMYFUNCTION("""COMPUTED_VALUE"""),"SPR/07/26/094")</f>
        <v>SPR/07/26/094</v>
      </c>
      <c r="L4004" s="13">
        <f>IFERROR(__xludf.DUMMYFUNCTION("""COMPUTED_VALUE"""),46234.0)</f>
        <v>46234</v>
      </c>
    </row>
    <row r="4005">
      <c r="A4005" s="6" t="str">
        <f>IFERROR(__xludf.DUMMYFUNCTION("""COMPUTED_VALUE"""),"BDU")</f>
        <v>BDU</v>
      </c>
      <c r="B4005" s="6" t="str">
        <f>IFERROR(__xludf.DUMMYFUNCTION("""COMPUTED_VALUE"""),"ENG")</f>
        <v>ENG</v>
      </c>
      <c r="C4005" s="6" t="str">
        <f>IFERROR(__xludf.DUMMYFUNCTION("""COMPUTED_VALUE"""),"Q-10249-00")</f>
        <v>Q-10249-00</v>
      </c>
      <c r="D4005" s="6" t="str">
        <f>IFERROR(__xludf.DUMMYFUNCTION("""COMPUTED_VALUE"""),"Lem Power Glue; ; ;")</f>
        <v>Lem Power Glue; ; ;</v>
      </c>
      <c r="E4005" s="6">
        <f>IFERROR(__xludf.DUMMYFUNCTION("""COMPUTED_VALUE"""),1.0)</f>
        <v>1</v>
      </c>
      <c r="F4005" s="6">
        <f>IFERROR(__xludf.DUMMYFUNCTION("""COMPUTED_VALUE"""),1.0)</f>
        <v>1</v>
      </c>
      <c r="G4005" s="6">
        <f>IFERROR(__xludf.DUMMYFUNCTION("""COMPUTED_VALUE"""),0.0)</f>
        <v>0</v>
      </c>
      <c r="H4005" s="6" t="str">
        <f>IFERROR(__xludf.DUMMYFUNCTION("""COMPUTED_VALUE"""),"Pcs")</f>
        <v>Pcs</v>
      </c>
      <c r="I4005" s="6" t="str">
        <f>IFERROR(__xludf.DUMMYFUNCTION("""COMPUTED_VALUE"""),"MFH")</f>
        <v>MFH</v>
      </c>
      <c r="J4005" s="6" t="str">
        <f>IFERROR(__xludf.DUMMYFUNCTION("""COMPUTED_VALUE"""),"BSC")</f>
        <v>BSC</v>
      </c>
      <c r="K4005" s="6" t="str">
        <f>IFERROR(__xludf.DUMMYFUNCTION("""COMPUTED_VALUE"""),"SPR/07/26/094")</f>
        <v>SPR/07/26/094</v>
      </c>
      <c r="L4005" s="13">
        <f>IFERROR(__xludf.DUMMYFUNCTION("""COMPUTED_VALUE"""),46234.0)</f>
        <v>46234</v>
      </c>
    </row>
    <row r="4006">
      <c r="A4006" s="6" t="str">
        <f>IFERROR(__xludf.DUMMYFUNCTION("""COMPUTED_VALUE"""),"BDU")</f>
        <v>BDU</v>
      </c>
      <c r="B4006" s="6" t="str">
        <f>IFERROR(__xludf.DUMMYFUNCTION("""COMPUTED_VALUE"""),"ENG")</f>
        <v>ENG</v>
      </c>
      <c r="C4006" s="6" t="str">
        <f>IFERROR(__xludf.DUMMYFUNCTION("""COMPUTED_VALUE"""),"O-15931-00")</f>
        <v>O-15931-00</v>
      </c>
      <c r="D4006" s="6" t="str">
        <f>IFERROR(__xludf.DUMMYFUNCTION("""COMPUTED_VALUE"""),"Double Tape 3M 1"" Merah - P/N : - pc")</f>
        <v>Double Tape 3M 1" Merah - P/N : - pc</v>
      </c>
      <c r="E4006" s="6">
        <f>IFERROR(__xludf.DUMMYFUNCTION("""COMPUTED_VALUE"""),1.0)</f>
        <v>1</v>
      </c>
      <c r="F4006" s="6">
        <f>IFERROR(__xludf.DUMMYFUNCTION("""COMPUTED_VALUE"""),1.0)</f>
        <v>1</v>
      </c>
      <c r="G4006" s="6">
        <f>IFERROR(__xludf.DUMMYFUNCTION("""COMPUTED_VALUE"""),0.0)</f>
        <v>0</v>
      </c>
      <c r="H4006" s="6" t="str">
        <f>IFERROR(__xludf.DUMMYFUNCTION("""COMPUTED_VALUE"""),"Pcs")</f>
        <v>Pcs</v>
      </c>
      <c r="I4006" s="6" t="str">
        <f>IFERROR(__xludf.DUMMYFUNCTION("""COMPUTED_VALUE"""),"MFH")</f>
        <v>MFH</v>
      </c>
      <c r="J4006" s="6" t="str">
        <f>IFERROR(__xludf.DUMMYFUNCTION("""COMPUTED_VALUE"""),"BSC")</f>
        <v>BSC</v>
      </c>
      <c r="K4006" s="6" t="str">
        <f>IFERROR(__xludf.DUMMYFUNCTION("""COMPUTED_VALUE"""),"SPR/07/26/094")</f>
        <v>SPR/07/26/094</v>
      </c>
      <c r="L4006" s="13">
        <f>IFERROR(__xludf.DUMMYFUNCTION("""COMPUTED_VALUE"""),46234.0)</f>
        <v>46234</v>
      </c>
    </row>
    <row r="4007">
      <c r="A4007" s="6" t="str">
        <f>IFERROR(__xludf.DUMMYFUNCTION("""COMPUTED_VALUE"""),"ROS")</f>
        <v>ROS</v>
      </c>
      <c r="B4007" s="6" t="str">
        <f>IFERROR(__xludf.DUMMYFUNCTION("""COMPUTED_VALUE"""),"ENG")</f>
        <v>ENG</v>
      </c>
      <c r="C4007" s="6" t="str">
        <f>IFERROR(__xludf.DUMMYFUNCTION("""COMPUTED_VALUE"""),"O-14510-00")</f>
        <v>O-14510-00</v>
      </c>
      <c r="D4007" s="6" t="str">
        <f>IFERROR(__xludf.DUMMYFUNCTION("""COMPUTED_VALUE"""),"Speed Control AS2201F-02-08SA, SMC, , SINAR MUTIARA CAKRABUANA, PT P/N : - pc")</f>
        <v>Speed Control AS2201F-02-08SA, SMC, , SINAR MUTIARA CAKRABUANA, PT P/N : - pc</v>
      </c>
      <c r="E4007" s="6">
        <f>IFERROR(__xludf.DUMMYFUNCTION("""COMPUTED_VALUE"""),1.0)</f>
        <v>1</v>
      </c>
      <c r="F4007" s="6">
        <f>IFERROR(__xludf.DUMMYFUNCTION("""COMPUTED_VALUE"""),1.0)</f>
        <v>1</v>
      </c>
      <c r="G4007" s="6">
        <f>IFERROR(__xludf.DUMMYFUNCTION("""COMPUTED_VALUE"""),0.0)</f>
        <v>0</v>
      </c>
      <c r="H4007" s="6" t="str">
        <f>IFERROR(__xludf.DUMMYFUNCTION("""COMPUTED_VALUE"""),"Pcs")</f>
        <v>Pcs</v>
      </c>
      <c r="I4007" s="6" t="str">
        <f>IFERROR(__xludf.DUMMYFUNCTION("""COMPUTED_VALUE"""),"MFH")</f>
        <v>MFH</v>
      </c>
      <c r="J4007" s="6" t="str">
        <f>IFERROR(__xludf.DUMMYFUNCTION("""COMPUTED_VALUE"""),"Washing")</f>
        <v>Washing</v>
      </c>
      <c r="K4007" s="6" t="str">
        <f>IFERROR(__xludf.DUMMYFUNCTION("""COMPUTED_VALUE"""),"SPR/07/26/095")</f>
        <v>SPR/07/26/095</v>
      </c>
      <c r="L4007" s="13">
        <f>IFERROR(__xludf.DUMMYFUNCTION("""COMPUTED_VALUE"""),46234.0)</f>
        <v>46234</v>
      </c>
    </row>
    <row r="4008">
      <c r="A4008" s="6" t="str">
        <f>IFERROR(__xludf.DUMMYFUNCTION("""COMPUTED_VALUE"""),"ROS")</f>
        <v>ROS</v>
      </c>
      <c r="B4008" s="6" t="str">
        <f>IFERROR(__xludf.DUMMYFUNCTION("""COMPUTED_VALUE"""),"ENG")</f>
        <v>ENG</v>
      </c>
      <c r="C4008" s="6" t="str">
        <f>IFERROR(__xludf.DUMMYFUNCTION("""COMPUTED_VALUE"""),"P-12265-00")</f>
        <v>P-12265-00</v>
      </c>
      <c r="D4008" s="6" t="str">
        <f>IFERROR(__xludf.DUMMYFUNCTION("""COMPUTED_VALUE"""),"FESTO - Push In Connector QS-8-6 p/n 153038")</f>
        <v>FESTO - Push In Connector QS-8-6 p/n 153038</v>
      </c>
      <c r="E4008" s="6">
        <f>IFERROR(__xludf.DUMMYFUNCTION("""COMPUTED_VALUE"""),1.0)</f>
        <v>1</v>
      </c>
      <c r="F4008" s="6">
        <f>IFERROR(__xludf.DUMMYFUNCTION("""COMPUTED_VALUE"""),1.0)</f>
        <v>1</v>
      </c>
      <c r="G4008" s="6">
        <f>IFERROR(__xludf.DUMMYFUNCTION("""COMPUTED_VALUE"""),0.0)</f>
        <v>0</v>
      </c>
      <c r="H4008" s="6" t="str">
        <f>IFERROR(__xludf.DUMMYFUNCTION("""COMPUTED_VALUE"""),"Pcs")</f>
        <v>Pcs</v>
      </c>
      <c r="I4008" s="6" t="str">
        <f>IFERROR(__xludf.DUMMYFUNCTION("""COMPUTED_VALUE"""),"MFH")</f>
        <v>MFH</v>
      </c>
      <c r="J4008" s="6" t="str">
        <f>IFERROR(__xludf.DUMMYFUNCTION("""COMPUTED_VALUE"""),"Washing")</f>
        <v>Washing</v>
      </c>
      <c r="K4008" s="6" t="str">
        <f>IFERROR(__xludf.DUMMYFUNCTION("""COMPUTED_VALUE"""),"SPR/07/26/095")</f>
        <v>SPR/07/26/095</v>
      </c>
      <c r="L4008" s="13">
        <f>IFERROR(__xludf.DUMMYFUNCTION("""COMPUTED_VALUE"""),46234.0)</f>
        <v>46234</v>
      </c>
    </row>
    <row r="4009">
      <c r="A4009" s="6" t="str">
        <f>IFERROR(__xludf.DUMMYFUNCTION("""COMPUTED_VALUE"""),"SFH")</f>
        <v>SFH</v>
      </c>
      <c r="B4009" s="6" t="str">
        <f>IFERROR(__xludf.DUMMYFUNCTION("""COMPUTED_VALUE"""),"ENG")</f>
        <v>ENG</v>
      </c>
      <c r="C4009" s="6" t="str">
        <f>IFERROR(__xludf.DUMMYFUNCTION("""COMPUTED_VALUE"""),"P-20019-00")</f>
        <v>P-20019-00</v>
      </c>
      <c r="D4009" s="6" t="str">
        <f>IFERROR(__xludf.DUMMYFUNCTION("""COMPUTED_VALUE"""),"General - Door Sticker T30-X; Austar; -; 1 pc")</f>
        <v>General - Door Sticker T30-X; Austar; -; 1 pc</v>
      </c>
      <c r="E4009" s="6">
        <f>IFERROR(__xludf.DUMMYFUNCTION("""COMPUTED_VALUE"""),2.0)</f>
        <v>2</v>
      </c>
      <c r="F4009" s="6">
        <f>IFERROR(__xludf.DUMMYFUNCTION("""COMPUTED_VALUE"""),2.0)</f>
        <v>2</v>
      </c>
      <c r="G4009" s="6">
        <f>IFERROR(__xludf.DUMMYFUNCTION("""COMPUTED_VALUE"""),0.0)</f>
        <v>0</v>
      </c>
      <c r="H4009" s="6" t="str">
        <f>IFERROR(__xludf.DUMMYFUNCTION("""COMPUTED_VALUE"""),"Pcs")</f>
        <v>Pcs</v>
      </c>
      <c r="I4009" s="6" t="str">
        <f>IFERROR(__xludf.DUMMYFUNCTION("""COMPUTED_VALUE"""),"MFH")</f>
        <v>MFH</v>
      </c>
      <c r="J4009" s="6" t="str">
        <f>IFERROR(__xludf.DUMMYFUNCTION("""COMPUTED_VALUE"""),"Building")</f>
        <v>Building</v>
      </c>
      <c r="K4009" s="6" t="str">
        <f>IFERROR(__xludf.DUMMYFUNCTION("""COMPUTED_VALUE"""),"SPR/07/26/096")</f>
        <v>SPR/07/26/096</v>
      </c>
      <c r="L4009" s="13">
        <f>IFERROR(__xludf.DUMMYFUNCTION("""COMPUTED_VALUE"""),46234.0)</f>
        <v>46234</v>
      </c>
    </row>
    <row r="4010">
      <c r="A4010" s="6" t="str">
        <f>IFERROR(__xludf.DUMMYFUNCTION("""COMPUTED_VALUE"""),"WAP")</f>
        <v>WAP</v>
      </c>
      <c r="B4010" s="6" t="str">
        <f>IFERROR(__xludf.DUMMYFUNCTION("""COMPUTED_VALUE"""),"ENG")</f>
        <v>ENG</v>
      </c>
      <c r="C4010" s="6" t="str">
        <f>IFERROR(__xludf.DUMMYFUNCTION("""COMPUTED_VALUE"""),"O-15931-00")</f>
        <v>O-15931-00</v>
      </c>
      <c r="D4010" s="6" t="str">
        <f>IFERROR(__xludf.DUMMYFUNCTION("""COMPUTED_VALUE"""),"Double Tape 3M 1"" Merah - P/N : - pc")</f>
        <v>Double Tape 3M 1" Merah - P/N : - pc</v>
      </c>
      <c r="E4010" s="6">
        <f>IFERROR(__xludf.DUMMYFUNCTION("""COMPUTED_VALUE"""),1.0)</f>
        <v>1</v>
      </c>
      <c r="F4010" s="6">
        <f>IFERROR(__xludf.DUMMYFUNCTION("""COMPUTED_VALUE"""),1.0)</f>
        <v>1</v>
      </c>
      <c r="G4010" s="6">
        <f>IFERROR(__xludf.DUMMYFUNCTION("""COMPUTED_VALUE"""),0.0)</f>
        <v>0</v>
      </c>
      <c r="H4010" s="6" t="str">
        <f>IFERROR(__xludf.DUMMYFUNCTION("""COMPUTED_VALUE"""),"Pcs")</f>
        <v>Pcs</v>
      </c>
      <c r="I4010" s="6" t="str">
        <f>IFERROR(__xludf.DUMMYFUNCTION("""COMPUTED_VALUE"""),"MFH")</f>
        <v>MFH</v>
      </c>
      <c r="J4010" s="6" t="str">
        <f>IFERROR(__xludf.DUMMYFUNCTION("""COMPUTED_VALUE"""),"Building")</f>
        <v>Building</v>
      </c>
      <c r="K4010" s="6" t="str">
        <f>IFERROR(__xludf.DUMMYFUNCTION("""COMPUTED_VALUE"""),"SPR/07/26/097")</f>
        <v>SPR/07/26/097</v>
      </c>
      <c r="L4010" s="13">
        <f>IFERROR(__xludf.DUMMYFUNCTION("""COMPUTED_VALUE"""),46234.0)</f>
        <v>46234</v>
      </c>
    </row>
    <row r="4011">
      <c r="A4011" s="6" t="str">
        <f>IFERROR(__xludf.DUMMYFUNCTION("""COMPUTED_VALUE"""),"WAP")</f>
        <v>WAP</v>
      </c>
      <c r="B4011" s="6" t="str">
        <f>IFERROR(__xludf.DUMMYFUNCTION("""COMPUTED_VALUE"""),"ENG")</f>
        <v>ENG</v>
      </c>
      <c r="C4011" s="6" t="str">
        <f>IFERROR(__xludf.DUMMYFUNCTION("""COMPUTED_VALUE"""),"T-80109-00")</f>
        <v>T-80109-00</v>
      </c>
      <c r="D4011" s="6" t="str">
        <f>IFERROR(__xludf.DUMMYFUNCTION("""COMPUTED_VALUE"""),"Cellotape Kertas 1 inch warna Putih")</f>
        <v>Cellotape Kertas 1 inch warna Putih</v>
      </c>
      <c r="E4011" s="6">
        <f>IFERROR(__xludf.DUMMYFUNCTION("""COMPUTED_VALUE"""),1.0)</f>
        <v>1</v>
      </c>
      <c r="F4011" s="6">
        <f>IFERROR(__xludf.DUMMYFUNCTION("""COMPUTED_VALUE"""),1.0)</f>
        <v>1</v>
      </c>
      <c r="G4011" s="6">
        <f>IFERROR(__xludf.DUMMYFUNCTION("""COMPUTED_VALUE"""),0.0)</f>
        <v>0</v>
      </c>
      <c r="H4011" s="6" t="str">
        <f>IFERROR(__xludf.DUMMYFUNCTION("""COMPUTED_VALUE"""),"Pcs")</f>
        <v>Pcs</v>
      </c>
      <c r="I4011" s="6" t="str">
        <f>IFERROR(__xludf.DUMMYFUNCTION("""COMPUTED_VALUE"""),"MFH")</f>
        <v>MFH</v>
      </c>
      <c r="J4011" s="6" t="str">
        <f>IFERROR(__xludf.DUMMYFUNCTION("""COMPUTED_VALUE"""),"Building")</f>
        <v>Building</v>
      </c>
      <c r="K4011" s="6" t="str">
        <f>IFERROR(__xludf.DUMMYFUNCTION("""COMPUTED_VALUE"""),"SPR/07/26/097")</f>
        <v>SPR/07/26/097</v>
      </c>
      <c r="L4011" s="13">
        <f>IFERROR(__xludf.DUMMYFUNCTION("""COMPUTED_VALUE"""),46234.0)</f>
        <v>46234</v>
      </c>
    </row>
    <row r="4012">
      <c r="A4012" s="6" t="str">
        <f>IFERROR(__xludf.DUMMYFUNCTION("""COMPUTED_VALUE"""),"WAP")</f>
        <v>WAP</v>
      </c>
      <c r="B4012" s="6" t="str">
        <f>IFERROR(__xludf.DUMMYFUNCTION("""COMPUTED_VALUE"""),"ENG")</f>
        <v>ENG</v>
      </c>
      <c r="C4012" s="6" t="str">
        <f>IFERROR(__xludf.DUMMYFUNCTION("""COMPUTED_VALUE"""),"P-16308-00")</f>
        <v>P-16308-00</v>
      </c>
      <c r="D4012" s="6" t="str">
        <f>IFERROR(__xludf.DUMMYFUNCTION("""COMPUTED_VALUE"""),"Fisher S 8 (1 box : 100 pcs)")</f>
        <v>Fisher S 8 (1 box : 100 pcs)</v>
      </c>
      <c r="E4012" s="6">
        <f>IFERROR(__xludf.DUMMYFUNCTION("""COMPUTED_VALUE"""),2.0)</f>
        <v>2</v>
      </c>
      <c r="F4012" s="6">
        <f>IFERROR(__xludf.DUMMYFUNCTION("""COMPUTED_VALUE"""),4.0)</f>
        <v>4</v>
      </c>
      <c r="G4012" s="6">
        <f>IFERROR(__xludf.DUMMYFUNCTION("""COMPUTED_VALUE"""),0.0)</f>
        <v>0</v>
      </c>
      <c r="H4012" s="6" t="str">
        <f>IFERROR(__xludf.DUMMYFUNCTION("""COMPUTED_VALUE"""),"Pcs")</f>
        <v>Pcs</v>
      </c>
      <c r="I4012" s="6" t="str">
        <f>IFERROR(__xludf.DUMMYFUNCTION("""COMPUTED_VALUE"""),"MFH")</f>
        <v>MFH</v>
      </c>
      <c r="J4012" s="6" t="str">
        <f>IFERROR(__xludf.DUMMYFUNCTION("""COMPUTED_VALUE"""),"Building")</f>
        <v>Building</v>
      </c>
      <c r="K4012" s="6" t="str">
        <f>IFERROR(__xludf.DUMMYFUNCTION("""COMPUTED_VALUE"""),"SPR/07/26/097")</f>
        <v>SPR/07/26/097</v>
      </c>
      <c r="L4012" s="13">
        <f>IFERROR(__xludf.DUMMYFUNCTION("""COMPUTED_VALUE"""),46234.0)</f>
        <v>46234</v>
      </c>
    </row>
    <row r="4013">
      <c r="A4013" s="6" t="str">
        <f>IFERROR(__xludf.DUMMYFUNCTION("""COMPUTED_VALUE"""),"ANO")</f>
        <v>ANO</v>
      </c>
      <c r="B4013" s="6" t="str">
        <f>IFERROR(__xludf.DUMMYFUNCTION("""COMPUTED_VALUE"""),"ENG")</f>
        <v>ENG</v>
      </c>
      <c r="C4013" s="6" t="str">
        <f>IFERROR(__xludf.DUMMYFUNCTION("""COMPUTED_VALUE"""),"P-18788-00")</f>
        <v>P-18788-00</v>
      </c>
      <c r="D4013" s="6" t="str">
        <f>IFERROR(__xludf.DUMMYFUNCTION("""COMPUTED_VALUE"""),"General - Baut Hexagonal, SS, M6 x 55 mm + Mur; No Brand; -; 1 pcs")</f>
        <v>General - Baut Hexagonal, SS, M6 x 55 mm + Mur; No Brand; -; 1 pcs</v>
      </c>
      <c r="E4013" s="6">
        <f>IFERROR(__xludf.DUMMYFUNCTION("""COMPUTED_VALUE"""),4.0)</f>
        <v>4</v>
      </c>
      <c r="F4013" s="6">
        <f>IFERROR(__xludf.DUMMYFUNCTION("""COMPUTED_VALUE"""),4.0)</f>
        <v>4</v>
      </c>
      <c r="G4013" s="6">
        <f>IFERROR(__xludf.DUMMYFUNCTION("""COMPUTED_VALUE"""),0.0)</f>
        <v>0</v>
      </c>
      <c r="H4013" s="6" t="str">
        <f>IFERROR(__xludf.DUMMYFUNCTION("""COMPUTED_VALUE"""),"Pcs")</f>
        <v>Pcs</v>
      </c>
      <c r="I4013" s="6" t="str">
        <f>IFERROR(__xludf.DUMMYFUNCTION("""COMPUTED_VALUE"""),"MFH")</f>
        <v>MFH</v>
      </c>
      <c r="J4013" s="6" t="str">
        <f>IFERROR(__xludf.DUMMYFUNCTION("""COMPUTED_VALUE"""),"-")</f>
        <v>-</v>
      </c>
      <c r="K4013" s="6" t="str">
        <f>IFERROR(__xludf.DUMMYFUNCTION("""COMPUTED_VALUE"""),"SPR/07/26/098")</f>
        <v>SPR/07/26/098</v>
      </c>
      <c r="L4013" s="13">
        <f>IFERROR(__xludf.DUMMYFUNCTION("""COMPUTED_VALUE"""),46234.0)</f>
        <v>46234</v>
      </c>
    </row>
    <row r="4014">
      <c r="A4014" s="6" t="str">
        <f>IFERROR(__xludf.DUMMYFUNCTION("""COMPUTED_VALUE"""),"WAP")</f>
        <v>WAP</v>
      </c>
      <c r="B4014" s="6" t="str">
        <f>IFERROR(__xludf.DUMMYFUNCTION("""COMPUTED_VALUE"""),"ENG")</f>
        <v>ENG</v>
      </c>
      <c r="C4014" s="6" t="str">
        <f>IFERROR(__xludf.DUMMYFUNCTION("""COMPUTED_VALUE"""),"P-20637-00")</f>
        <v>P-20637-00</v>
      </c>
      <c r="D4014" s="6" t="str">
        <f>IFERROR(__xludf.DUMMYFUNCTION("""COMPUTED_VALUE"""),"General - Motorize Valve; Belimo; NMX 120-3; 1 pc")</f>
        <v>General - Motorize Valve; Belimo; NMX 120-3; 1 pc</v>
      </c>
      <c r="E4014" s="6">
        <f>IFERROR(__xludf.DUMMYFUNCTION("""COMPUTED_VALUE"""),1.0)</f>
        <v>1</v>
      </c>
      <c r="F4014" s="6">
        <f>IFERROR(__xludf.DUMMYFUNCTION("""COMPUTED_VALUE"""),1.0)</f>
        <v>1</v>
      </c>
      <c r="G4014" s="6">
        <f>IFERROR(__xludf.DUMMYFUNCTION("""COMPUTED_VALUE"""),0.0)</f>
        <v>0</v>
      </c>
      <c r="H4014" s="6" t="str">
        <f>IFERROR(__xludf.DUMMYFUNCTION("""COMPUTED_VALUE"""),"Pcs")</f>
        <v>Pcs</v>
      </c>
      <c r="I4014" s="6" t="str">
        <f>IFERROR(__xludf.DUMMYFUNCTION("""COMPUTED_VALUE"""),"MFH")</f>
        <v>MFH</v>
      </c>
      <c r="J4014" s="6" t="str">
        <f>IFERROR(__xludf.DUMMYFUNCTION("""COMPUTED_VALUE"""),"AHU")</f>
        <v>AHU</v>
      </c>
      <c r="K4014" s="6" t="str">
        <f>IFERROR(__xludf.DUMMYFUNCTION("""COMPUTED_VALUE"""),"SPR/07/26/099")</f>
        <v>SPR/07/26/099</v>
      </c>
      <c r="L4014" s="13">
        <f>IFERROR(__xludf.DUMMYFUNCTION("""COMPUTED_VALUE"""),46234.0)</f>
        <v>46234</v>
      </c>
    </row>
    <row r="4015">
      <c r="A4015" s="6" t="str">
        <f>IFERROR(__xludf.DUMMYFUNCTION("""COMPUTED_VALUE"""),"WAP")</f>
        <v>WAP</v>
      </c>
      <c r="B4015" s="6" t="str">
        <f>IFERROR(__xludf.DUMMYFUNCTION("""COMPUTED_VALUE"""),"ENG")</f>
        <v>ENG</v>
      </c>
      <c r="C4015" s="6" t="str">
        <f>IFERROR(__xludf.DUMMYFUNCTION("""COMPUTED_VALUE"""),"P-20041-00")</f>
        <v>P-20041-00</v>
      </c>
      <c r="D4015" s="6" t="str">
        <f>IFERROR(__xludf.DUMMYFUNCTION("""COMPUTED_VALUE"""),"General - Cable Duct 15 x 30mm; No Brand; -; 1,7meter/pc")</f>
        <v>General - Cable Duct 15 x 30mm; No Brand; -; 1,7meter/pc</v>
      </c>
      <c r="E4015" s="6">
        <f>IFERROR(__xludf.DUMMYFUNCTION("""COMPUTED_VALUE"""),2.0)</f>
        <v>2</v>
      </c>
      <c r="F4015" s="6">
        <f>IFERROR(__xludf.DUMMYFUNCTION("""COMPUTED_VALUE"""),2.0)</f>
        <v>2</v>
      </c>
      <c r="G4015" s="6">
        <f>IFERROR(__xludf.DUMMYFUNCTION("""COMPUTED_VALUE"""),0.0)</f>
        <v>0</v>
      </c>
      <c r="H4015" s="6" t="str">
        <f>IFERROR(__xludf.DUMMYFUNCTION("""COMPUTED_VALUE"""),"Pcs")</f>
        <v>Pcs</v>
      </c>
      <c r="I4015" s="6" t="str">
        <f>IFERROR(__xludf.DUMMYFUNCTION("""COMPUTED_VALUE"""),"MFH")</f>
        <v>MFH</v>
      </c>
      <c r="J4015" s="6" t="str">
        <f>IFERROR(__xludf.DUMMYFUNCTION("""COMPUTED_VALUE"""),"Building")</f>
        <v>Building</v>
      </c>
      <c r="K4015" s="6" t="str">
        <f>IFERROR(__xludf.DUMMYFUNCTION("""COMPUTED_VALUE"""),"SPR/07/26/099")</f>
        <v>SPR/07/26/099</v>
      </c>
      <c r="L4015" s="13">
        <f>IFERROR(__xludf.DUMMYFUNCTION("""COMPUTED_VALUE"""),46234.0)</f>
        <v>46234</v>
      </c>
    </row>
    <row r="4016">
      <c r="A4016" s="6" t="str">
        <f>IFERROR(__xludf.DUMMYFUNCTION("""COMPUTED_VALUE"""),"SFH")</f>
        <v>SFH</v>
      </c>
      <c r="B4016" s="6" t="str">
        <f>IFERROR(__xludf.DUMMYFUNCTION("""COMPUTED_VALUE"""),"ENG")</f>
        <v>ENG</v>
      </c>
      <c r="C4016" s="6" t="str">
        <f>IFERROR(__xludf.DUMMYFUNCTION("""COMPUTED_VALUE"""),"Q-10249-00")</f>
        <v>Q-10249-00</v>
      </c>
      <c r="D4016" s="6" t="str">
        <f>IFERROR(__xludf.DUMMYFUNCTION("""COMPUTED_VALUE"""),"Lem Power Glue; ; ;")</f>
        <v>Lem Power Glue; ; ;</v>
      </c>
      <c r="E4016" s="6">
        <f>IFERROR(__xludf.DUMMYFUNCTION("""COMPUTED_VALUE"""),1.0)</f>
        <v>1</v>
      </c>
      <c r="F4016" s="6">
        <f>IFERROR(__xludf.DUMMYFUNCTION("""COMPUTED_VALUE"""),1.0)</f>
        <v>1</v>
      </c>
      <c r="G4016" s="6">
        <f>IFERROR(__xludf.DUMMYFUNCTION("""COMPUTED_VALUE"""),0.0)</f>
        <v>0</v>
      </c>
      <c r="H4016" s="6" t="str">
        <f>IFERROR(__xludf.DUMMYFUNCTION("""COMPUTED_VALUE"""),"Pcs")</f>
        <v>Pcs</v>
      </c>
      <c r="I4016" s="6" t="str">
        <f>IFERROR(__xludf.DUMMYFUNCTION("""COMPUTED_VALUE"""),"MFH")</f>
        <v>MFH</v>
      </c>
      <c r="J4016" s="6" t="str">
        <f>IFERROR(__xludf.DUMMYFUNCTION("""COMPUTED_VALUE"""),"Building")</f>
        <v>Building</v>
      </c>
      <c r="K4016" s="6" t="str">
        <f>IFERROR(__xludf.DUMMYFUNCTION("""COMPUTED_VALUE"""),"SPR/07/26/100")</f>
        <v>SPR/07/26/100</v>
      </c>
      <c r="L4016" s="13">
        <f>IFERROR(__xludf.DUMMYFUNCTION("""COMPUTED_VALUE"""),46234.0)</f>
        <v>46234</v>
      </c>
    </row>
    <row r="4017">
      <c r="A4017" s="6" t="str">
        <f>IFERROR(__xludf.DUMMYFUNCTION("""COMPUTED_VALUE"""),"SFH")</f>
        <v>SFH</v>
      </c>
      <c r="B4017" s="6" t="str">
        <f>IFERROR(__xludf.DUMMYFUNCTION("""COMPUTED_VALUE"""),"ENG")</f>
        <v>ENG</v>
      </c>
      <c r="C4017" s="6" t="str">
        <f>IFERROR(__xludf.DUMMYFUNCTION("""COMPUTED_VALUE"""),"P-20019-00")</f>
        <v>P-20019-00</v>
      </c>
      <c r="D4017" s="6" t="str">
        <f>IFERROR(__xludf.DUMMYFUNCTION("""COMPUTED_VALUE"""),"General - Door Sticker T30-X; Austar; -; 1 pc")</f>
        <v>General - Door Sticker T30-X; Austar; -; 1 pc</v>
      </c>
      <c r="E4017" s="6">
        <f>IFERROR(__xludf.DUMMYFUNCTION("""COMPUTED_VALUE"""),1.0)</f>
        <v>1</v>
      </c>
      <c r="F4017" s="6">
        <f>IFERROR(__xludf.DUMMYFUNCTION("""COMPUTED_VALUE"""),1.0)</f>
        <v>1</v>
      </c>
      <c r="G4017" s="6">
        <f>IFERROR(__xludf.DUMMYFUNCTION("""COMPUTED_VALUE"""),0.0)</f>
        <v>0</v>
      </c>
      <c r="H4017" s="6" t="str">
        <f>IFERROR(__xludf.DUMMYFUNCTION("""COMPUTED_VALUE"""),"Pcs")</f>
        <v>Pcs</v>
      </c>
      <c r="I4017" s="6" t="str">
        <f>IFERROR(__xludf.DUMMYFUNCTION("""COMPUTED_VALUE"""),"MFH")</f>
        <v>MFH</v>
      </c>
      <c r="J4017" s="6" t="str">
        <f>IFERROR(__xludf.DUMMYFUNCTION("""COMPUTED_VALUE"""),"Building")</f>
        <v>Building</v>
      </c>
      <c r="K4017" s="6" t="str">
        <f>IFERROR(__xludf.DUMMYFUNCTION("""COMPUTED_VALUE"""),"SPR/07/26/101")</f>
        <v>SPR/07/26/101</v>
      </c>
      <c r="L4017" s="13">
        <f>IFERROR(__xludf.DUMMYFUNCTION("""COMPUTED_VALUE"""),46234.0)</f>
        <v>46234</v>
      </c>
    </row>
    <row r="4018">
      <c r="A4018" s="6" t="str">
        <f>IFERROR(__xludf.DUMMYFUNCTION("""COMPUTED_VALUE"""),"NDS")</f>
        <v>NDS</v>
      </c>
      <c r="B4018" s="6" t="str">
        <f>IFERROR(__xludf.DUMMYFUNCTION("""COMPUTED_VALUE"""),"ENG")</f>
        <v>ENG</v>
      </c>
      <c r="C4018" s="6" t="str">
        <f>IFERROR(__xludf.DUMMYFUNCTION("""COMPUTED_VALUE"""),"T-80109-00")</f>
        <v>T-80109-00</v>
      </c>
      <c r="D4018" s="6" t="str">
        <f>IFERROR(__xludf.DUMMYFUNCTION("""COMPUTED_VALUE"""),"Cellotape Kertas 1 inch warna Putih")</f>
        <v>Cellotape Kertas 1 inch warna Putih</v>
      </c>
      <c r="E4018" s="6">
        <f>IFERROR(__xludf.DUMMYFUNCTION("""COMPUTED_VALUE"""),1.0)</f>
        <v>1</v>
      </c>
      <c r="F4018" s="6">
        <f>IFERROR(__xludf.DUMMYFUNCTION("""COMPUTED_VALUE"""),1.0)</f>
        <v>1</v>
      </c>
      <c r="G4018" s="6">
        <f>IFERROR(__xludf.DUMMYFUNCTION("""COMPUTED_VALUE"""),0.0)</f>
        <v>0</v>
      </c>
      <c r="H4018" s="6" t="str">
        <f>IFERROR(__xludf.DUMMYFUNCTION("""COMPUTED_VALUE"""),"Pcs")</f>
        <v>Pcs</v>
      </c>
      <c r="I4018" s="6" t="str">
        <f>IFERROR(__xludf.DUMMYFUNCTION("""COMPUTED_VALUE"""),"MFH")</f>
        <v>MFH</v>
      </c>
      <c r="J4018" s="6" t="str">
        <f>IFERROR(__xludf.DUMMYFUNCTION("""COMPUTED_VALUE"""),"Tunnel")</f>
        <v>Tunnel</v>
      </c>
      <c r="K4018" s="6" t="str">
        <f>IFERROR(__xludf.DUMMYFUNCTION("""COMPUTED_VALUE"""),"SPR/07/26/102")</f>
        <v>SPR/07/26/102</v>
      </c>
      <c r="L4018" s="13">
        <f>IFERROR(__xludf.DUMMYFUNCTION("""COMPUTED_VALUE"""),46234.0)</f>
        <v>46234</v>
      </c>
    </row>
    <row r="4019">
      <c r="A4019" s="6" t="str">
        <f>IFERROR(__xludf.DUMMYFUNCTION("""COMPUTED_VALUE"""),"MAP")</f>
        <v>MAP</v>
      </c>
      <c r="B4019" s="6" t="str">
        <f>IFERROR(__xludf.DUMMYFUNCTION("""COMPUTED_VALUE"""),"ENG")</f>
        <v>ENG</v>
      </c>
      <c r="C4019" s="6" t="str">
        <f>IFERROR(__xludf.DUMMYFUNCTION("""COMPUTED_VALUE"""),"S-20055-00")</f>
        <v>S-20055-00</v>
      </c>
      <c r="D4019" s="6" t="str">
        <f>IFERROR(__xludf.DUMMYFUNCTION("""COMPUTED_VALUE"""),"Safety Gloves; Promaster; pack size 10 pcs per box")</f>
        <v>Safety Gloves; Promaster; pack size 10 pcs per box</v>
      </c>
      <c r="E4019" s="6">
        <f>IFERROR(__xludf.DUMMYFUNCTION("""COMPUTED_VALUE"""),6.0)</f>
        <v>6</v>
      </c>
      <c r="F4019" s="6">
        <f>IFERROR(__xludf.DUMMYFUNCTION("""COMPUTED_VALUE"""),6.0)</f>
        <v>6</v>
      </c>
      <c r="G4019" s="6">
        <f>IFERROR(__xludf.DUMMYFUNCTION("""COMPUTED_VALUE"""),0.0)</f>
        <v>0</v>
      </c>
      <c r="H4019" s="6" t="str">
        <f>IFERROR(__xludf.DUMMYFUNCTION("""COMPUTED_VALUE"""),"Pcs")</f>
        <v>Pcs</v>
      </c>
      <c r="I4019" s="6" t="str">
        <f>IFERROR(__xludf.DUMMYFUNCTION("""COMPUTED_VALUE"""),"MFH")</f>
        <v>MFH</v>
      </c>
      <c r="J4019" s="6" t="str">
        <f>IFERROR(__xludf.DUMMYFUNCTION("""COMPUTED_VALUE"""),"CLU")</f>
        <v>CLU</v>
      </c>
      <c r="K4019" s="6" t="str">
        <f>IFERROR(__xludf.DUMMYFUNCTION("""COMPUTED_VALUE"""),"SPR/07/26/103")</f>
        <v>SPR/07/26/103</v>
      </c>
      <c r="L4019" s="13">
        <f>IFERROR(__xludf.DUMMYFUNCTION("""COMPUTED_VALUE"""),46234.0)</f>
        <v>46234</v>
      </c>
    </row>
    <row r="4020">
      <c r="A4020" s="6" t="str">
        <f>IFERROR(__xludf.DUMMYFUNCTION("""COMPUTED_VALUE"""),"MFH")</f>
        <v>MFH</v>
      </c>
      <c r="B4020" s="6" t="str">
        <f>IFERROR(__xludf.DUMMYFUNCTION("""COMPUTED_VALUE"""),"ENG")</f>
        <v>ENG</v>
      </c>
      <c r="C4020" s="6" t="str">
        <f>IFERROR(__xludf.DUMMYFUNCTION("""COMPUTED_VALUE"""),"O-16980-00")</f>
        <v>O-16980-00</v>
      </c>
      <c r="D4020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4020" s="6">
        <f>IFERROR(__xludf.DUMMYFUNCTION("""COMPUTED_VALUE"""),2.0)</f>
        <v>2</v>
      </c>
      <c r="F4020" s="6">
        <f>IFERROR(__xludf.DUMMYFUNCTION("""COMPUTED_VALUE"""),2.0)</f>
        <v>2</v>
      </c>
      <c r="G4020" s="6">
        <f>IFERROR(__xludf.DUMMYFUNCTION("""COMPUTED_VALUE"""),0.0)</f>
        <v>0</v>
      </c>
      <c r="H4020" s="6" t="str">
        <f>IFERROR(__xludf.DUMMYFUNCTION("""COMPUTED_VALUE"""),"Pcs")</f>
        <v>Pcs</v>
      </c>
      <c r="I4020" s="6" t="str">
        <f>IFERROR(__xludf.DUMMYFUNCTION("""COMPUTED_VALUE"""),"MFH")</f>
        <v>MFH</v>
      </c>
      <c r="J4020" s="6" t="str">
        <f>IFERROR(__xludf.DUMMYFUNCTION("""COMPUTED_VALUE"""),"-")</f>
        <v>-</v>
      </c>
      <c r="K4020" s="6" t="str">
        <f>IFERROR(__xludf.DUMMYFUNCTION("""COMPUTED_VALUE"""),"SPR/07/26/104")</f>
        <v>SPR/07/26/104</v>
      </c>
      <c r="L4020" s="13">
        <f>IFERROR(__xludf.DUMMYFUNCTION("""COMPUTED_VALUE"""),46234.0)</f>
        <v>46234</v>
      </c>
    </row>
    <row r="4021">
      <c r="A4021" s="6" t="str">
        <f>IFERROR(__xludf.DUMMYFUNCTION("""COMPUTED_VALUE"""),"MFH")</f>
        <v>MFH</v>
      </c>
      <c r="B4021" s="6" t="str">
        <f>IFERROR(__xludf.DUMMYFUNCTION("""COMPUTED_VALUE"""),"ENG")</f>
        <v>ENG</v>
      </c>
      <c r="C4021" s="6" t="str">
        <f>IFERROR(__xludf.DUMMYFUNCTION("""COMPUTED_VALUE"""),"P-20431-00")</f>
        <v>P-20431-00</v>
      </c>
      <c r="D4021" s="6" t="str">
        <f>IFERROR(__xludf.DUMMYFUNCTION("""COMPUTED_VALUE"""),"General - Elbow Ornamen SS201 dia. 4 inch; No Brand; -; 1 pc")</f>
        <v>General - Elbow Ornamen SS201 dia. 4 inch; No Brand; -; 1 pc</v>
      </c>
      <c r="E4021" s="6">
        <f>IFERROR(__xludf.DUMMYFUNCTION("""COMPUTED_VALUE"""),2.0)</f>
        <v>2</v>
      </c>
      <c r="F4021" s="6">
        <f>IFERROR(__xludf.DUMMYFUNCTION("""COMPUTED_VALUE"""),2.0)</f>
        <v>2</v>
      </c>
      <c r="G4021" s="6">
        <f>IFERROR(__xludf.DUMMYFUNCTION("""COMPUTED_VALUE"""),0.0)</f>
        <v>0</v>
      </c>
      <c r="H4021" s="6" t="str">
        <f>IFERROR(__xludf.DUMMYFUNCTION("""COMPUTED_VALUE"""),"Pcs")</f>
        <v>Pcs</v>
      </c>
      <c r="I4021" s="6" t="str">
        <f>IFERROR(__xludf.DUMMYFUNCTION("""COMPUTED_VALUE"""),"MFH")</f>
        <v>MFH</v>
      </c>
      <c r="J4021" s="6" t="str">
        <f>IFERROR(__xludf.DUMMYFUNCTION("""COMPUTED_VALUE"""),"-")</f>
        <v>-</v>
      </c>
      <c r="K4021" s="6" t="str">
        <f>IFERROR(__xludf.DUMMYFUNCTION("""COMPUTED_VALUE"""),"SPR/07/26/104")</f>
        <v>SPR/07/26/104</v>
      </c>
      <c r="L4021" s="13">
        <f>IFERROR(__xludf.DUMMYFUNCTION("""COMPUTED_VALUE"""),46234.0)</f>
        <v>46234</v>
      </c>
    </row>
    <row r="4022">
      <c r="A4022" s="6" t="str">
        <f>IFERROR(__xludf.DUMMYFUNCTION("""COMPUTED_VALUE"""),"MFH")</f>
        <v>MFH</v>
      </c>
      <c r="B4022" s="6" t="str">
        <f>IFERROR(__xludf.DUMMYFUNCTION("""COMPUTED_VALUE"""),"ENG")</f>
        <v>ENG</v>
      </c>
      <c r="C4022" s="6" t="str">
        <f>IFERROR(__xludf.DUMMYFUNCTION("""COMPUTED_VALUE"""),"P-20432-00")</f>
        <v>P-20432-00</v>
      </c>
      <c r="D4022" s="6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E4022" s="6">
        <f>IFERROR(__xludf.DUMMYFUNCTION("""COMPUTED_VALUE"""),3.0)</f>
        <v>3</v>
      </c>
      <c r="F4022" s="6">
        <f>IFERROR(__xludf.DUMMYFUNCTION("""COMPUTED_VALUE"""),3.0)</f>
        <v>3</v>
      </c>
      <c r="G4022" s="6">
        <f>IFERROR(__xludf.DUMMYFUNCTION("""COMPUTED_VALUE"""),0.0)</f>
        <v>0</v>
      </c>
      <c r="H4022" s="6" t="str">
        <f>IFERROR(__xludf.DUMMYFUNCTION("""COMPUTED_VALUE"""),"Pcs")</f>
        <v>Pcs</v>
      </c>
      <c r="I4022" s="6" t="str">
        <f>IFERROR(__xludf.DUMMYFUNCTION("""COMPUTED_VALUE"""),"MFH")</f>
        <v>MFH</v>
      </c>
      <c r="J4022" s="6" t="str">
        <f>IFERROR(__xludf.DUMMYFUNCTION("""COMPUTED_VALUE"""),"-")</f>
        <v>-</v>
      </c>
      <c r="K4022" s="6" t="str">
        <f>IFERROR(__xludf.DUMMYFUNCTION("""COMPUTED_VALUE"""),"SPR/07/26/104")</f>
        <v>SPR/07/26/104</v>
      </c>
      <c r="L4022" s="13">
        <f>IFERROR(__xludf.DUMMYFUNCTION("""COMPUTED_VALUE"""),46234.0)</f>
        <v>46234</v>
      </c>
    </row>
    <row r="4023">
      <c r="A4023" s="6" t="str">
        <f>IFERROR(__xludf.DUMMYFUNCTION("""COMPUTED_VALUE"""),"MFH")</f>
        <v>MFH</v>
      </c>
      <c r="B4023" s="6" t="str">
        <f>IFERROR(__xludf.DUMMYFUNCTION("""COMPUTED_VALUE"""),"ENG")</f>
        <v>ENG</v>
      </c>
      <c r="C4023" s="6" t="str">
        <f>IFERROR(__xludf.DUMMYFUNCTION("""COMPUTED_VALUE"""),"Q-60502-00")</f>
        <v>Q-60502-00</v>
      </c>
      <c r="D4023" s="6" t="str">
        <f>IFERROR(__xludf.DUMMYFUNCTION("""COMPUTED_VALUE"""),"Silicone Sealant, Silglaze, Type N10 White, pack size per pcs")</f>
        <v>Silicone Sealant, Silglaze, Type N10 White, pack size per pcs</v>
      </c>
      <c r="E4023" s="6">
        <f>IFERROR(__xludf.DUMMYFUNCTION("""COMPUTED_VALUE"""),11.0)</f>
        <v>11</v>
      </c>
      <c r="F4023" s="6">
        <f>IFERROR(__xludf.DUMMYFUNCTION("""COMPUTED_VALUE"""),11.0)</f>
        <v>11</v>
      </c>
      <c r="G4023" s="6">
        <f>IFERROR(__xludf.DUMMYFUNCTION("""COMPUTED_VALUE"""),0.0)</f>
        <v>0</v>
      </c>
      <c r="H4023" s="6" t="str">
        <f>IFERROR(__xludf.DUMMYFUNCTION("""COMPUTED_VALUE"""),"Pcs")</f>
        <v>Pcs</v>
      </c>
      <c r="I4023" s="6" t="str">
        <f>IFERROR(__xludf.DUMMYFUNCTION("""COMPUTED_VALUE"""),"MFH")</f>
        <v>MFH</v>
      </c>
      <c r="J4023" s="6" t="str">
        <f>IFERROR(__xludf.DUMMYFUNCTION("""COMPUTED_VALUE"""),"-")</f>
        <v>-</v>
      </c>
      <c r="K4023" s="6" t="str">
        <f>IFERROR(__xludf.DUMMYFUNCTION("""COMPUTED_VALUE"""),"SPR/07/26/105")</f>
        <v>SPR/07/26/105</v>
      </c>
      <c r="L4023" s="13">
        <f>IFERROR(__xludf.DUMMYFUNCTION("""COMPUTED_VALUE"""),46234.0)</f>
        <v>46234</v>
      </c>
    </row>
    <row r="4024">
      <c r="A4024" s="6" t="str">
        <f>IFERROR(__xludf.DUMMYFUNCTION("""COMPUTED_VALUE"""),"MFH")</f>
        <v>MFH</v>
      </c>
      <c r="B4024" s="6" t="str">
        <f>IFERROR(__xludf.DUMMYFUNCTION("""COMPUTED_VALUE"""),"ENG")</f>
        <v>ENG</v>
      </c>
      <c r="C4024" s="6" t="str">
        <f>IFERROR(__xludf.DUMMYFUNCTION("""COMPUTED_VALUE"""),"Q-60503-00")</f>
        <v>Q-60503-00</v>
      </c>
      <c r="D4024" s="6" t="str">
        <f>IFERROR(__xludf.DUMMYFUNCTION("""COMPUTED_VALUE"""),"Silicone Sealant, Silglaze, Type N10 Grey, pack size per pcs")</f>
        <v>Silicone Sealant, Silglaze, Type N10 Grey, pack size per pcs</v>
      </c>
      <c r="E4024" s="6">
        <f>IFERROR(__xludf.DUMMYFUNCTION("""COMPUTED_VALUE"""),5.0)</f>
        <v>5</v>
      </c>
      <c r="F4024" s="6">
        <f>IFERROR(__xludf.DUMMYFUNCTION("""COMPUTED_VALUE"""),5.0)</f>
        <v>5</v>
      </c>
      <c r="G4024" s="6">
        <f>IFERROR(__xludf.DUMMYFUNCTION("""COMPUTED_VALUE"""),0.0)</f>
        <v>0</v>
      </c>
      <c r="H4024" s="6" t="str">
        <f>IFERROR(__xludf.DUMMYFUNCTION("""COMPUTED_VALUE"""),"Pcs")</f>
        <v>Pcs</v>
      </c>
      <c r="I4024" s="6" t="str">
        <f>IFERROR(__xludf.DUMMYFUNCTION("""COMPUTED_VALUE"""),"MFH")</f>
        <v>MFH</v>
      </c>
      <c r="J4024" s="6" t="str">
        <f>IFERROR(__xludf.DUMMYFUNCTION("""COMPUTED_VALUE"""),"-")</f>
        <v>-</v>
      </c>
      <c r="K4024" s="6" t="str">
        <f>IFERROR(__xludf.DUMMYFUNCTION("""COMPUTED_VALUE"""),"SPR/07/26/105")</f>
        <v>SPR/07/26/105</v>
      </c>
      <c r="L4024" s="13">
        <f>IFERROR(__xludf.DUMMYFUNCTION("""COMPUTED_VALUE"""),46234.0)</f>
        <v>46234</v>
      </c>
    </row>
    <row r="4025">
      <c r="A4025" s="6" t="str">
        <f>IFERROR(__xludf.DUMMYFUNCTION("""COMPUTED_VALUE"""),"MFH")</f>
        <v>MFH</v>
      </c>
      <c r="B4025" s="6" t="str">
        <f>IFERROR(__xludf.DUMMYFUNCTION("""COMPUTED_VALUE"""),"ENG")</f>
        <v>ENG</v>
      </c>
      <c r="C4025" s="6" t="str">
        <f>IFERROR(__xludf.DUMMYFUNCTION("""COMPUTED_VALUE"""),"O-16981-00")</f>
        <v>O-16981-00</v>
      </c>
      <c r="D4025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4025" s="6">
        <f>IFERROR(__xludf.DUMMYFUNCTION("""COMPUTED_VALUE"""),2.0)</f>
        <v>2</v>
      </c>
      <c r="F4025" s="6">
        <f>IFERROR(__xludf.DUMMYFUNCTION("""COMPUTED_VALUE"""),2.0)</f>
        <v>2</v>
      </c>
      <c r="G4025" s="6">
        <f>IFERROR(__xludf.DUMMYFUNCTION("""COMPUTED_VALUE"""),0.0)</f>
        <v>0</v>
      </c>
      <c r="H4025" s="6" t="str">
        <f>IFERROR(__xludf.DUMMYFUNCTION("""COMPUTED_VALUE"""),"Pcs")</f>
        <v>Pcs</v>
      </c>
      <c r="I4025" s="6" t="str">
        <f>IFERROR(__xludf.DUMMYFUNCTION("""COMPUTED_VALUE"""),"MFH")</f>
        <v>MFH</v>
      </c>
      <c r="J4025" s="6" t="str">
        <f>IFERROR(__xludf.DUMMYFUNCTION("""COMPUTED_VALUE"""),"-")</f>
        <v>-</v>
      </c>
      <c r="K4025" s="6" t="str">
        <f>IFERROR(__xludf.DUMMYFUNCTION("""COMPUTED_VALUE"""),"SPR/07/26/105")</f>
        <v>SPR/07/26/105</v>
      </c>
      <c r="L4025" s="13">
        <f>IFERROR(__xludf.DUMMYFUNCTION("""COMPUTED_VALUE"""),46234.0)</f>
        <v>46234</v>
      </c>
    </row>
    <row r="4026">
      <c r="A4026" s="6" t="str">
        <f>IFERROR(__xludf.DUMMYFUNCTION("""COMPUTED_VALUE"""),"MFH")</f>
        <v>MFH</v>
      </c>
      <c r="B4026" s="6" t="str">
        <f>IFERROR(__xludf.DUMMYFUNCTION("""COMPUTED_VALUE"""),"ENG")</f>
        <v>ENG</v>
      </c>
      <c r="C4026" s="6" t="str">
        <f>IFERROR(__xludf.DUMMYFUNCTION("""COMPUTED_VALUE"""),"Q-10154-00")</f>
        <v>Q-10154-00</v>
      </c>
      <c r="D4026" s="6" t="str">
        <f>IFERROR(__xludf.DUMMYFUNCTION("""COMPUTED_VALUE"""),"Roller cat 230mm")</f>
        <v>Roller cat 230mm</v>
      </c>
      <c r="E4026" s="6">
        <f>IFERROR(__xludf.DUMMYFUNCTION("""COMPUTED_VALUE"""),1.0)</f>
        <v>1</v>
      </c>
      <c r="F4026" s="6">
        <f>IFERROR(__xludf.DUMMYFUNCTION("""COMPUTED_VALUE"""),1.0)</f>
        <v>1</v>
      </c>
      <c r="G4026" s="6">
        <f>IFERROR(__xludf.DUMMYFUNCTION("""COMPUTED_VALUE"""),0.0)</f>
        <v>0</v>
      </c>
      <c r="H4026" s="6" t="str">
        <f>IFERROR(__xludf.DUMMYFUNCTION("""COMPUTED_VALUE"""),"Pcs")</f>
        <v>Pcs</v>
      </c>
      <c r="I4026" s="6" t="str">
        <f>IFERROR(__xludf.DUMMYFUNCTION("""COMPUTED_VALUE"""),"MFH")</f>
        <v>MFH</v>
      </c>
      <c r="J4026" s="6" t="str">
        <f>IFERROR(__xludf.DUMMYFUNCTION("""COMPUTED_VALUE"""),"-")</f>
        <v>-</v>
      </c>
      <c r="K4026" s="6" t="str">
        <f>IFERROR(__xludf.DUMMYFUNCTION("""COMPUTED_VALUE"""),"SPR/07/26/106")</f>
        <v>SPR/07/26/106</v>
      </c>
      <c r="L4026" s="13">
        <f>IFERROR(__xludf.DUMMYFUNCTION("""COMPUTED_VALUE"""),46234.0)</f>
        <v>46234</v>
      </c>
    </row>
    <row r="4027">
      <c r="A4027" s="6" t="str">
        <f>IFERROR(__xludf.DUMMYFUNCTION("""COMPUTED_VALUE"""),"MFH")</f>
        <v>MFH</v>
      </c>
      <c r="B4027" s="6" t="str">
        <f>IFERROR(__xludf.DUMMYFUNCTION("""COMPUTED_VALUE"""),"ENG")</f>
        <v>ENG</v>
      </c>
      <c r="C4027" s="6" t="str">
        <f>IFERROR(__xludf.DUMMYFUNCTION("""COMPUTED_VALUE"""),"Q-10378-00")</f>
        <v>Q-10378-00</v>
      </c>
      <c r="D4027" s="6" t="str">
        <f>IFERROR(__xludf.DUMMYFUNCTION("""COMPUTED_VALUE"""),"Kunci Laci Cam Lock;Huben;PN: HL 103-25 mm;pack size per pcs")</f>
        <v>Kunci Laci Cam Lock;Huben;PN: HL 103-25 mm;pack size per pcs</v>
      </c>
      <c r="E4027" s="6">
        <f>IFERROR(__xludf.DUMMYFUNCTION("""COMPUTED_VALUE"""),2.0)</f>
        <v>2</v>
      </c>
      <c r="F4027" s="6">
        <f>IFERROR(__xludf.DUMMYFUNCTION("""COMPUTED_VALUE"""),2.0)</f>
        <v>2</v>
      </c>
      <c r="G4027" s="6">
        <f>IFERROR(__xludf.DUMMYFUNCTION("""COMPUTED_VALUE"""),0.0)</f>
        <v>0</v>
      </c>
      <c r="H4027" s="6" t="str">
        <f>IFERROR(__xludf.DUMMYFUNCTION("""COMPUTED_VALUE"""),"Pcs")</f>
        <v>Pcs</v>
      </c>
      <c r="I4027" s="6" t="str">
        <f>IFERROR(__xludf.DUMMYFUNCTION("""COMPUTED_VALUE"""),"MFH")</f>
        <v>MFH</v>
      </c>
      <c r="J4027" s="6" t="str">
        <f>IFERROR(__xludf.DUMMYFUNCTION("""COMPUTED_VALUE"""),"-")</f>
        <v>-</v>
      </c>
      <c r="K4027" s="6" t="str">
        <f>IFERROR(__xludf.DUMMYFUNCTION("""COMPUTED_VALUE"""),"SPR/07/26/106")</f>
        <v>SPR/07/26/106</v>
      </c>
      <c r="L4027" s="13">
        <f>IFERROR(__xludf.DUMMYFUNCTION("""COMPUTED_VALUE"""),46234.0)</f>
        <v>46234</v>
      </c>
    </row>
    <row r="4028">
      <c r="A4028" s="6" t="str">
        <f>IFERROR(__xludf.DUMMYFUNCTION("""COMPUTED_VALUE"""),"MFH")</f>
        <v>MFH</v>
      </c>
      <c r="B4028" s="6" t="str">
        <f>IFERROR(__xludf.DUMMYFUNCTION("""COMPUTED_VALUE"""),"ENG")</f>
        <v>ENG</v>
      </c>
      <c r="C4028" s="6" t="str">
        <f>IFERROR(__xludf.DUMMYFUNCTION("""COMPUTED_VALUE"""),"Q-10946-00")</f>
        <v>Q-10946-00</v>
      </c>
      <c r="D4028" s="6" t="str">
        <f>IFERROR(__xludf.DUMMYFUNCTION("""COMPUTED_VALUE"""),"Silicone Sealant;Silglaze;Type N10 Light Grey;pack size per pcs")</f>
        <v>Silicone Sealant;Silglaze;Type N10 Light Grey;pack size per pcs</v>
      </c>
      <c r="E4028" s="6">
        <f>IFERROR(__xludf.DUMMYFUNCTION("""COMPUTED_VALUE"""),5.0)</f>
        <v>5</v>
      </c>
      <c r="F4028" s="6">
        <f>IFERROR(__xludf.DUMMYFUNCTION("""COMPUTED_VALUE"""),5.0)</f>
        <v>5</v>
      </c>
      <c r="G4028" s="6">
        <f>IFERROR(__xludf.DUMMYFUNCTION("""COMPUTED_VALUE"""),0.0)</f>
        <v>0</v>
      </c>
      <c r="H4028" s="6" t="str">
        <f>IFERROR(__xludf.DUMMYFUNCTION("""COMPUTED_VALUE"""),"Pcs")</f>
        <v>Pcs</v>
      </c>
      <c r="I4028" s="6" t="str">
        <f>IFERROR(__xludf.DUMMYFUNCTION("""COMPUTED_VALUE"""),"MFH")</f>
        <v>MFH</v>
      </c>
      <c r="J4028" s="6" t="str">
        <f>IFERROR(__xludf.DUMMYFUNCTION("""COMPUTED_VALUE"""),"-")</f>
        <v>-</v>
      </c>
      <c r="K4028" s="6" t="str">
        <f>IFERROR(__xludf.DUMMYFUNCTION("""COMPUTED_VALUE"""),"SPR/07/26/106")</f>
        <v>SPR/07/26/106</v>
      </c>
      <c r="L4028" s="13">
        <f>IFERROR(__xludf.DUMMYFUNCTION("""COMPUTED_VALUE"""),46234.0)</f>
        <v>46234</v>
      </c>
    </row>
    <row r="4029">
      <c r="A4029" s="6" t="str">
        <f>IFERROR(__xludf.DUMMYFUNCTION("""COMPUTED_VALUE"""),"BDU")</f>
        <v>BDU</v>
      </c>
      <c r="B4029" s="6" t="str">
        <f>IFERROR(__xludf.DUMMYFUNCTION("""COMPUTED_VALUE"""),"ENG")</f>
        <v>ENG</v>
      </c>
      <c r="C4029" s="6" t="str">
        <f>IFERROR(__xludf.DUMMYFUNCTION("""COMPUTED_VALUE"""),"T-12311-00")</f>
        <v>T-12311-00</v>
      </c>
      <c r="D4029" s="6" t="str">
        <f>IFERROR(__xludf.DUMMYFUNCTION("""COMPUTED_VALUE"""),"Thermal Paste for Processor/CPU; ; ;")</f>
        <v>Thermal Paste for Processor/CPU; ; ;</v>
      </c>
      <c r="E4029" s="6">
        <f>IFERROR(__xludf.DUMMYFUNCTION("""COMPUTED_VALUE"""),1.0)</f>
        <v>1</v>
      </c>
      <c r="F4029" s="6">
        <f>IFERROR(__xludf.DUMMYFUNCTION("""COMPUTED_VALUE"""),1.0)</f>
        <v>1</v>
      </c>
      <c r="G4029" s="6">
        <f>IFERROR(__xludf.DUMMYFUNCTION("""COMPUTED_VALUE"""),0.0)</f>
        <v>0</v>
      </c>
      <c r="H4029" s="6" t="str">
        <f>IFERROR(__xludf.DUMMYFUNCTION("""COMPUTED_VALUE"""),"Pcs")</f>
        <v>Pcs</v>
      </c>
      <c r="I4029" s="6" t="str">
        <f>IFERROR(__xludf.DUMMYFUNCTION("""COMPUTED_VALUE"""),"MFH")</f>
        <v>MFH</v>
      </c>
      <c r="J4029" s="6" t="str">
        <f>IFERROR(__xludf.DUMMYFUNCTION("""COMPUTED_VALUE"""),"Tunnel")</f>
        <v>Tunnel</v>
      </c>
      <c r="K4029" s="6" t="str">
        <f>IFERROR(__xludf.DUMMYFUNCTION("""COMPUTED_VALUE"""),"SPR/08/26/001")</f>
        <v>SPR/08/26/001</v>
      </c>
      <c r="L4029" s="13">
        <f>IFERROR(__xludf.DUMMYFUNCTION("""COMPUTED_VALUE"""),46260.0)</f>
        <v>46260</v>
      </c>
    </row>
    <row r="4030">
      <c r="A4030" s="6" t="str">
        <f>IFERROR(__xludf.DUMMYFUNCTION("""COMPUTED_VALUE"""),"BDU")</f>
        <v>BDU</v>
      </c>
      <c r="B4030" s="6" t="str">
        <f>IFERROR(__xludf.DUMMYFUNCTION("""COMPUTED_VALUE"""),"ENG")</f>
        <v>ENG</v>
      </c>
      <c r="C4030" s="6" t="str">
        <f>IFERROR(__xludf.DUMMYFUNCTION("""COMPUTED_VALUE"""),"-")</f>
        <v>-</v>
      </c>
      <c r="D4030" s="6" t="str">
        <f>IFERROR(__xludf.DUMMYFUNCTION("""COMPUTED_VALUE"""),"Capacitor 10uF")</f>
        <v>Capacitor 10uF</v>
      </c>
      <c r="E4030" s="6">
        <f>IFERROR(__xludf.DUMMYFUNCTION("""COMPUTED_VALUE"""),1.0)</f>
        <v>1</v>
      </c>
      <c r="F4030" s="6">
        <f>IFERROR(__xludf.DUMMYFUNCTION("""COMPUTED_VALUE"""),1.0)</f>
        <v>1</v>
      </c>
      <c r="G4030" s="6">
        <f>IFERROR(__xludf.DUMMYFUNCTION("""COMPUTED_VALUE"""),0.0)</f>
        <v>0</v>
      </c>
      <c r="H4030" s="6" t="str">
        <f>IFERROR(__xludf.DUMMYFUNCTION("""COMPUTED_VALUE"""),"Pcs")</f>
        <v>Pcs</v>
      </c>
      <c r="I4030" s="6" t="str">
        <f>IFERROR(__xludf.DUMMYFUNCTION("""COMPUTED_VALUE"""),"MFH")</f>
        <v>MFH</v>
      </c>
      <c r="J4030" s="6" t="str">
        <f>IFERROR(__xludf.DUMMYFUNCTION("""COMPUTED_VALUE"""),"Tunnel")</f>
        <v>Tunnel</v>
      </c>
      <c r="K4030" s="6" t="str">
        <f>IFERROR(__xludf.DUMMYFUNCTION("""COMPUTED_VALUE"""),"SPR/08/26/001")</f>
        <v>SPR/08/26/001</v>
      </c>
      <c r="L4030" s="13">
        <f>IFERROR(__xludf.DUMMYFUNCTION("""COMPUTED_VALUE"""),46260.0)</f>
        <v>46260</v>
      </c>
    </row>
    <row r="4031">
      <c r="A4031" s="6" t="str">
        <f>IFERROR(__xludf.DUMMYFUNCTION("""COMPUTED_VALUE"""),"NDS")</f>
        <v>NDS</v>
      </c>
      <c r="B4031" s="6" t="str">
        <f>IFERROR(__xludf.DUMMYFUNCTION("""COMPUTED_VALUE"""),"ENG")</f>
        <v>ENG</v>
      </c>
      <c r="C4031" s="6" t="str">
        <f>IFERROR(__xludf.DUMMYFUNCTION("""COMPUTED_VALUE"""),"T-20725-00")</f>
        <v>T-20725-00</v>
      </c>
      <c r="D4031" s="6" t="str">
        <f>IFERROR(__xludf.DUMMYFUNCTION("""COMPUTED_VALUE"""),"Performance Plus Check Valve Housing; Waters; 700002332;")</f>
        <v>Performance Plus Check Valve Housing; Waters; 700002332;</v>
      </c>
      <c r="E4031" s="6">
        <f>IFERROR(__xludf.DUMMYFUNCTION("""COMPUTED_VALUE"""),1.0)</f>
        <v>1</v>
      </c>
      <c r="F4031" s="6">
        <f>IFERROR(__xludf.DUMMYFUNCTION("""COMPUTED_VALUE"""),1.0)</f>
        <v>1</v>
      </c>
      <c r="G4031" s="6">
        <f>IFERROR(__xludf.DUMMYFUNCTION("""COMPUTED_VALUE"""),0.0)</f>
        <v>0</v>
      </c>
      <c r="H4031" s="6" t="str">
        <f>IFERROR(__xludf.DUMMYFUNCTION("""COMPUTED_VALUE"""),"Pcs")</f>
        <v>Pcs</v>
      </c>
      <c r="I4031" s="6" t="str">
        <f>IFERROR(__xludf.DUMMYFUNCTION("""COMPUTED_VALUE"""),"MFH")</f>
        <v>MFH</v>
      </c>
      <c r="J4031" s="6" t="str">
        <f>IFERROR(__xludf.DUMMYFUNCTION("""COMPUTED_VALUE"""),"HPLC")</f>
        <v>HPLC</v>
      </c>
      <c r="K4031" s="6" t="str">
        <f>IFERROR(__xludf.DUMMYFUNCTION("""COMPUTED_VALUE"""),"SPR/08/26/002")</f>
        <v>SPR/08/26/002</v>
      </c>
      <c r="L4031" s="13">
        <f>IFERROR(__xludf.DUMMYFUNCTION("""COMPUTED_VALUE"""),46260.0)</f>
        <v>46260</v>
      </c>
    </row>
    <row r="4032">
      <c r="A4032" s="6" t="str">
        <f>IFERROR(__xludf.DUMMYFUNCTION("""COMPUTED_VALUE"""),"ROS")</f>
        <v>ROS</v>
      </c>
      <c r="B4032" s="6" t="str">
        <f>IFERROR(__xludf.DUMMYFUNCTION("""COMPUTED_VALUE"""),"ENG")</f>
        <v>ENG</v>
      </c>
      <c r="C4032" s="6" t="str">
        <f>IFERROR(__xludf.DUMMYFUNCTION("""COMPUTED_VALUE"""),"O-16334-00")</f>
        <v>O-16334-00</v>
      </c>
      <c r="D4032" s="6" t="str">
        <f>IFERROR(__xludf.DUMMYFUNCTION("""COMPUTED_VALUE"""),"Regulator Nitrogen ( N2 ) Yamato")</f>
        <v>Regulator Nitrogen ( N2 ) Yamato</v>
      </c>
      <c r="E4032" s="6">
        <f>IFERROR(__xludf.DUMMYFUNCTION("""COMPUTED_VALUE"""),1.0)</f>
        <v>1</v>
      </c>
      <c r="F4032" s="6">
        <f>IFERROR(__xludf.DUMMYFUNCTION("""COMPUTED_VALUE"""),1.0)</f>
        <v>1</v>
      </c>
      <c r="G4032" s="6">
        <f>IFERROR(__xludf.DUMMYFUNCTION("""COMPUTED_VALUE"""),0.0)</f>
        <v>0</v>
      </c>
      <c r="H4032" s="6" t="str">
        <f>IFERROR(__xludf.DUMMYFUNCTION("""COMPUTED_VALUE"""),"Pcs")</f>
        <v>Pcs</v>
      </c>
      <c r="I4032" s="6" t="str">
        <f>IFERROR(__xludf.DUMMYFUNCTION("""COMPUTED_VALUE"""),"MFH")</f>
        <v>MFH</v>
      </c>
      <c r="J4032" s="6" t="str">
        <f>IFERROR(__xludf.DUMMYFUNCTION("""COMPUTED_VALUE"""),"N2 Gen")</f>
        <v>N2 Gen</v>
      </c>
      <c r="K4032" s="6" t="str">
        <f>IFERROR(__xludf.DUMMYFUNCTION("""COMPUTED_VALUE"""),"SPR/08/26/003")</f>
        <v>SPR/08/26/003</v>
      </c>
      <c r="L4032" s="13">
        <f>IFERROR(__xludf.DUMMYFUNCTION("""COMPUTED_VALUE"""),46260.0)</f>
        <v>46260</v>
      </c>
    </row>
    <row r="4033">
      <c r="A4033" s="6" t="str">
        <f>IFERROR(__xludf.DUMMYFUNCTION("""COMPUTED_VALUE"""),"ROS")</f>
        <v>ROS</v>
      </c>
      <c r="B4033" s="6" t="str">
        <f>IFERROR(__xludf.DUMMYFUNCTION("""COMPUTED_VALUE"""),"ENG")</f>
        <v>ENG</v>
      </c>
      <c r="C4033" s="6" t="str">
        <f>IFERROR(__xludf.DUMMYFUNCTION("""COMPUTED_VALUE"""),"P-10945-00")</f>
        <v>P-10945-00</v>
      </c>
      <c r="D4033" s="6" t="str">
        <f>IFERROR(__xludf.DUMMYFUNCTION("""COMPUTED_VALUE"""),"Insulation - Seal Tape onda")</f>
        <v>Insulation - Seal Tape onda</v>
      </c>
      <c r="E4033" s="6">
        <f>IFERROR(__xludf.DUMMYFUNCTION("""COMPUTED_VALUE"""),1.0)</f>
        <v>1</v>
      </c>
      <c r="F4033" s="6">
        <f>IFERROR(__xludf.DUMMYFUNCTION("""COMPUTED_VALUE"""),1.0)</f>
        <v>1</v>
      </c>
      <c r="G4033" s="6">
        <f>IFERROR(__xludf.DUMMYFUNCTION("""COMPUTED_VALUE"""),0.0)</f>
        <v>0</v>
      </c>
      <c r="H4033" s="6" t="str">
        <f>IFERROR(__xludf.DUMMYFUNCTION("""COMPUTED_VALUE"""),"Pcs")</f>
        <v>Pcs</v>
      </c>
      <c r="I4033" s="6" t="str">
        <f>IFERROR(__xludf.DUMMYFUNCTION("""COMPUTED_VALUE"""),"MFH")</f>
        <v>MFH</v>
      </c>
      <c r="J4033" s="6" t="str">
        <f>IFERROR(__xludf.DUMMYFUNCTION("""COMPUTED_VALUE"""),"N2 Gen")</f>
        <v>N2 Gen</v>
      </c>
      <c r="K4033" s="6" t="str">
        <f>IFERROR(__xludf.DUMMYFUNCTION("""COMPUTED_VALUE"""),"SPR/08/26/003")</f>
        <v>SPR/08/26/003</v>
      </c>
      <c r="L4033" s="13">
        <f>IFERROR(__xludf.DUMMYFUNCTION("""COMPUTED_VALUE"""),46260.0)</f>
        <v>46260</v>
      </c>
    </row>
    <row r="4034">
      <c r="A4034" s="6" t="str">
        <f>IFERROR(__xludf.DUMMYFUNCTION("""COMPUTED_VALUE"""),"KFF")</f>
        <v>KFF</v>
      </c>
      <c r="B4034" s="6" t="str">
        <f>IFERROR(__xludf.DUMMYFUNCTION("""COMPUTED_VALUE"""),"ENG")</f>
        <v>ENG</v>
      </c>
      <c r="C4034" s="6" t="str">
        <f>IFERROR(__xludf.DUMMYFUNCTION("""COMPUTED_VALUE"""),"P-12749-00")</f>
        <v>P-12749-00</v>
      </c>
      <c r="D4034" s="6" t="str">
        <f>IFERROR(__xludf.DUMMYFUNCTION("""COMPUTED_VALUE"""),"General - Pipa PVC AW dia. 1inch, Warna Abu-Abu; Rucika; -; 1 pcs")</f>
        <v>General - Pipa PVC AW dia. 1inch, Warna Abu-Abu; Rucika; -; 1 pcs</v>
      </c>
      <c r="E4034" s="6">
        <f>IFERROR(__xludf.DUMMYFUNCTION("""COMPUTED_VALUE"""),1.0)</f>
        <v>1</v>
      </c>
      <c r="F4034" s="6">
        <f>IFERROR(__xludf.DUMMYFUNCTION("""COMPUTED_VALUE"""),1.0)</f>
        <v>1</v>
      </c>
      <c r="G4034" s="6">
        <f>IFERROR(__xludf.DUMMYFUNCTION("""COMPUTED_VALUE"""),0.0)</f>
        <v>0</v>
      </c>
      <c r="H4034" s="6" t="str">
        <f>IFERROR(__xludf.DUMMYFUNCTION("""COMPUTED_VALUE"""),"Pcs")</f>
        <v>Pcs</v>
      </c>
      <c r="I4034" s="6" t="str">
        <f>IFERROR(__xludf.DUMMYFUNCTION("""COMPUTED_VALUE"""),"MFH")</f>
        <v>MFH</v>
      </c>
      <c r="J4034" s="6" t="str">
        <f>IFERROR(__xludf.DUMMYFUNCTION("""COMPUTED_VALUE"""),"-")</f>
        <v>-</v>
      </c>
      <c r="K4034" s="6" t="str">
        <f>IFERROR(__xludf.DUMMYFUNCTION("""COMPUTED_VALUE"""),"SPR/08/26/004")</f>
        <v>SPR/08/26/004</v>
      </c>
      <c r="L4034" s="13">
        <f>IFERROR(__xludf.DUMMYFUNCTION("""COMPUTED_VALUE"""),46260.0)</f>
        <v>46260</v>
      </c>
    </row>
    <row r="4035">
      <c r="A4035" s="6" t="str">
        <f>IFERROR(__xludf.DUMMYFUNCTION("""COMPUTED_VALUE"""),"KFF")</f>
        <v>KFF</v>
      </c>
      <c r="B4035" s="6" t="str">
        <f>IFERROR(__xludf.DUMMYFUNCTION("""COMPUTED_VALUE"""),"ENG")</f>
        <v>ENG</v>
      </c>
      <c r="C4035" s="6" t="str">
        <f>IFERROR(__xludf.DUMMYFUNCTION("""COMPUTED_VALUE"""),"P-10897-00")</f>
        <v>P-10897-00</v>
      </c>
      <c r="D4035" s="6" t="str">
        <f>IFERROR(__xludf.DUMMYFUNCTION("""COMPUTED_VALUE"""),"Fitting PVC - Sock PVC 1""")</f>
        <v>Fitting PVC - Sock PVC 1"</v>
      </c>
      <c r="E4035" s="6">
        <f>IFERROR(__xludf.DUMMYFUNCTION("""COMPUTED_VALUE"""),1.0)</f>
        <v>1</v>
      </c>
      <c r="F4035" s="6">
        <f>IFERROR(__xludf.DUMMYFUNCTION("""COMPUTED_VALUE"""),1.0)</f>
        <v>1</v>
      </c>
      <c r="G4035" s="6">
        <f>IFERROR(__xludf.DUMMYFUNCTION("""COMPUTED_VALUE"""),0.0)</f>
        <v>0</v>
      </c>
      <c r="H4035" s="6" t="str">
        <f>IFERROR(__xludf.DUMMYFUNCTION("""COMPUTED_VALUE"""),"Pcs")</f>
        <v>Pcs</v>
      </c>
      <c r="I4035" s="6" t="str">
        <f>IFERROR(__xludf.DUMMYFUNCTION("""COMPUTED_VALUE"""),"MFH")</f>
        <v>MFH</v>
      </c>
      <c r="J4035" s="6" t="str">
        <f>IFERROR(__xludf.DUMMYFUNCTION("""COMPUTED_VALUE"""),"-")</f>
        <v>-</v>
      </c>
      <c r="K4035" s="6" t="str">
        <f>IFERROR(__xludf.DUMMYFUNCTION("""COMPUTED_VALUE"""),"SPR/08/26/004")</f>
        <v>SPR/08/26/004</v>
      </c>
      <c r="L4035" s="13">
        <f>IFERROR(__xludf.DUMMYFUNCTION("""COMPUTED_VALUE"""),46260.0)</f>
        <v>46260</v>
      </c>
    </row>
    <row r="4036">
      <c r="A4036" s="6" t="str">
        <f>IFERROR(__xludf.DUMMYFUNCTION("""COMPUTED_VALUE"""),"KFF")</f>
        <v>KFF</v>
      </c>
      <c r="B4036" s="6" t="str">
        <f>IFERROR(__xludf.DUMMYFUNCTION("""COMPUTED_VALUE"""),"ENG")</f>
        <v>ENG</v>
      </c>
      <c r="C4036" s="6" t="str">
        <f>IFERROR(__xludf.DUMMYFUNCTION("""COMPUTED_VALUE"""),"P-20528-00")</f>
        <v>P-20528-00</v>
      </c>
      <c r="D4036" s="6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E4036" s="6">
        <f>IFERROR(__xludf.DUMMYFUNCTION("""COMPUTED_VALUE"""),1.0)</f>
        <v>1</v>
      </c>
      <c r="F4036" s="6">
        <f>IFERROR(__xludf.DUMMYFUNCTION("""COMPUTED_VALUE"""),1.0)</f>
        <v>1</v>
      </c>
      <c r="G4036" s="6">
        <f>IFERROR(__xludf.DUMMYFUNCTION("""COMPUTED_VALUE"""),0.0)</f>
        <v>0</v>
      </c>
      <c r="H4036" s="6" t="str">
        <f>IFERROR(__xludf.DUMMYFUNCTION("""COMPUTED_VALUE"""),"Pcs")</f>
        <v>Pcs</v>
      </c>
      <c r="I4036" s="6" t="str">
        <f>IFERROR(__xludf.DUMMYFUNCTION("""COMPUTED_VALUE"""),"MFH")</f>
        <v>MFH</v>
      </c>
      <c r="J4036" s="6" t="str">
        <f>IFERROR(__xludf.DUMMYFUNCTION("""COMPUTED_VALUE"""),"-")</f>
        <v>-</v>
      </c>
      <c r="K4036" s="6" t="str">
        <f>IFERROR(__xludf.DUMMYFUNCTION("""COMPUTED_VALUE"""),"SPR/08/26/004")</f>
        <v>SPR/08/26/004</v>
      </c>
      <c r="L4036" s="13">
        <f>IFERROR(__xludf.DUMMYFUNCTION("""COMPUTED_VALUE"""),46260.0)</f>
        <v>46260</v>
      </c>
    </row>
    <row r="4037">
      <c r="A4037" s="6" t="str">
        <f>IFERROR(__xludf.DUMMYFUNCTION("""COMPUTED_VALUE"""),"KFF")</f>
        <v>KFF</v>
      </c>
      <c r="B4037" s="6" t="str">
        <f>IFERROR(__xludf.DUMMYFUNCTION("""COMPUTED_VALUE"""),"ENG")</f>
        <v>ENG</v>
      </c>
      <c r="C4037" s="6" t="str">
        <f>IFERROR(__xludf.DUMMYFUNCTION("""COMPUTED_VALUE"""),"O-53510-00")</f>
        <v>O-53510-00</v>
      </c>
      <c r="D4037" s="6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E4037" s="6">
        <f>IFERROR(__xludf.DUMMYFUNCTION("""COMPUTED_VALUE"""),9.0)</f>
        <v>9</v>
      </c>
      <c r="F4037" s="6">
        <f>IFERROR(__xludf.DUMMYFUNCTION("""COMPUTED_VALUE"""),9.0)</f>
        <v>9</v>
      </c>
      <c r="G4037" s="6">
        <f>IFERROR(__xludf.DUMMYFUNCTION("""COMPUTED_VALUE"""),0.0)</f>
        <v>0</v>
      </c>
      <c r="H4037" s="6" t="str">
        <f>IFERROR(__xludf.DUMMYFUNCTION("""COMPUTED_VALUE"""),"Pcs")</f>
        <v>Pcs</v>
      </c>
      <c r="I4037" s="6" t="str">
        <f>IFERROR(__xludf.DUMMYFUNCTION("""COMPUTED_VALUE"""),"MFH")</f>
        <v>MFH</v>
      </c>
      <c r="J4037" s="6" t="str">
        <f>IFERROR(__xludf.DUMMYFUNCTION("""COMPUTED_VALUE"""),"Tunnel")</f>
        <v>Tunnel</v>
      </c>
      <c r="K4037" s="6" t="str">
        <f>IFERROR(__xludf.DUMMYFUNCTION("""COMPUTED_VALUE"""),"SPR/08/26/005")</f>
        <v>SPR/08/26/005</v>
      </c>
      <c r="L4037" s="13">
        <f>IFERROR(__xludf.DUMMYFUNCTION("""COMPUTED_VALUE"""),46260.0)</f>
        <v>46260</v>
      </c>
    </row>
    <row r="4038">
      <c r="A4038" s="6" t="str">
        <f>IFERROR(__xludf.DUMMYFUNCTION("""COMPUTED_VALUE"""),"IWU")</f>
        <v>IWU</v>
      </c>
      <c r="B4038" s="6" t="str">
        <f>IFERROR(__xludf.DUMMYFUNCTION("""COMPUTED_VALUE"""),"HRG")</f>
        <v>HRG</v>
      </c>
      <c r="C4038" s="6" t="str">
        <f>IFERROR(__xludf.DUMMYFUNCTION("""COMPUTED_VALUE"""),"Q-60501-00")</f>
        <v>Q-60501-00</v>
      </c>
      <c r="D4038" s="6" t="str">
        <f>IFERROR(__xludf.DUMMYFUNCTION("""COMPUTED_VALUE"""),"Silicone Sealant, Silglaze, Type N10 Clear, pack size per pcs")</f>
        <v>Silicone Sealant, Silglaze, Type N10 Clear, pack size per pcs</v>
      </c>
      <c r="E4038" s="6">
        <f>IFERROR(__xludf.DUMMYFUNCTION("""COMPUTED_VALUE"""),1.0)</f>
        <v>1</v>
      </c>
      <c r="F4038" s="6">
        <f>IFERROR(__xludf.DUMMYFUNCTION("""COMPUTED_VALUE"""),1.0)</f>
        <v>1</v>
      </c>
      <c r="G4038" s="6">
        <f>IFERROR(__xludf.DUMMYFUNCTION("""COMPUTED_VALUE"""),0.0)</f>
        <v>0</v>
      </c>
      <c r="H4038" s="6" t="str">
        <f>IFERROR(__xludf.DUMMYFUNCTION("""COMPUTED_VALUE"""),"Pcs")</f>
        <v>Pcs</v>
      </c>
      <c r="I4038" s="6" t="str">
        <f>IFERROR(__xludf.DUMMYFUNCTION("""COMPUTED_VALUE"""),"MFH")</f>
        <v>MFH</v>
      </c>
      <c r="J4038" s="6" t="str">
        <f>IFERROR(__xludf.DUMMYFUNCTION("""COMPUTED_VALUE"""),"-")</f>
        <v>-</v>
      </c>
      <c r="K4038" s="6" t="str">
        <f>IFERROR(__xludf.DUMMYFUNCTION("""COMPUTED_VALUE"""),"SPR/08/26/006")</f>
        <v>SPR/08/26/006</v>
      </c>
      <c r="L4038" s="13">
        <f>IFERROR(__xludf.DUMMYFUNCTION("""COMPUTED_VALUE"""),46260.0)</f>
        <v>46260</v>
      </c>
    </row>
    <row r="4039">
      <c r="A4039" s="6" t="str">
        <f>IFERROR(__xludf.DUMMYFUNCTION("""COMPUTED_VALUE"""),"KFF")</f>
        <v>KFF</v>
      </c>
      <c r="B4039" s="6" t="str">
        <f>IFERROR(__xludf.DUMMYFUNCTION("""COMPUTED_VALUE"""),"ENG")</f>
        <v>ENG</v>
      </c>
      <c r="C4039" s="6" t="str">
        <f>IFERROR(__xludf.DUMMYFUNCTION("""COMPUTED_VALUE"""),"O-21486-00")</f>
        <v>O-21486-00</v>
      </c>
      <c r="D4039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4039" s="6">
        <f>IFERROR(__xludf.DUMMYFUNCTION("""COMPUTED_VALUE"""),1.0)</f>
        <v>1</v>
      </c>
      <c r="F4039" s="6">
        <f>IFERROR(__xludf.DUMMYFUNCTION("""COMPUTED_VALUE"""),1.0)</f>
        <v>1</v>
      </c>
      <c r="G4039" s="6">
        <f>IFERROR(__xludf.DUMMYFUNCTION("""COMPUTED_VALUE"""),0.0)</f>
        <v>0</v>
      </c>
      <c r="H4039" s="6" t="str">
        <f>IFERROR(__xludf.DUMMYFUNCTION("""COMPUTED_VALUE"""),"Pcs")</f>
        <v>Pcs</v>
      </c>
      <c r="I4039" s="6" t="str">
        <f>IFERROR(__xludf.DUMMYFUNCTION("""COMPUTED_VALUE"""),"MFH")</f>
        <v>MFH</v>
      </c>
      <c r="J4039" s="6" t="str">
        <f>IFERROR(__xludf.DUMMYFUNCTION("""COMPUTED_VALUE"""),"Mixing ")</f>
        <v>Mixing </v>
      </c>
      <c r="K4039" s="6" t="str">
        <f>IFERROR(__xludf.DUMMYFUNCTION("""COMPUTED_VALUE"""),"SPR/08/26/007")</f>
        <v>SPR/08/26/007</v>
      </c>
      <c r="L4039" s="13">
        <f>IFERROR(__xludf.DUMMYFUNCTION("""COMPUTED_VALUE"""),46260.0)</f>
        <v>46260</v>
      </c>
    </row>
    <row r="4040">
      <c r="A4040" s="6" t="str">
        <f>IFERROR(__xludf.DUMMYFUNCTION("""COMPUTED_VALUE"""),"KFF")</f>
        <v>KFF</v>
      </c>
      <c r="B4040" s="6" t="str">
        <f>IFERROR(__xludf.DUMMYFUNCTION("""COMPUTED_VALUE"""),"ENG")</f>
        <v>ENG</v>
      </c>
      <c r="C4040" s="6" t="str">
        <f>IFERROR(__xludf.DUMMYFUNCTION("""COMPUTED_VALUE"""),"T-20118-00")</f>
        <v>T-20118-00</v>
      </c>
      <c r="D4040" s="6" t="str">
        <f>IFERROR(__xludf.DUMMYFUNCTION("""COMPUTED_VALUE"""),"FILTER INSERT ASSY; Waters; P/N WAT088084")</f>
        <v>FILTER INSERT ASSY; Waters; P/N WAT088084</v>
      </c>
      <c r="E4040" s="6">
        <f>IFERROR(__xludf.DUMMYFUNCTION("""COMPUTED_VALUE"""),1.0)</f>
        <v>1</v>
      </c>
      <c r="F4040" s="6">
        <f>IFERROR(__xludf.DUMMYFUNCTION("""COMPUTED_VALUE"""),1.0)</f>
        <v>1</v>
      </c>
      <c r="G4040" s="6">
        <f>IFERROR(__xludf.DUMMYFUNCTION("""COMPUTED_VALUE"""),0.0)</f>
        <v>0</v>
      </c>
      <c r="H4040" s="6" t="str">
        <f>IFERROR(__xludf.DUMMYFUNCTION("""COMPUTED_VALUE"""),"Pcs")</f>
        <v>Pcs</v>
      </c>
      <c r="I4040" s="6" t="str">
        <f>IFERROR(__xludf.DUMMYFUNCTION("""COMPUTED_VALUE"""),"MFH")</f>
        <v>MFH</v>
      </c>
      <c r="J4040" s="6" t="str">
        <f>IFERROR(__xludf.DUMMYFUNCTION("""COMPUTED_VALUE"""),"HPLC")</f>
        <v>HPLC</v>
      </c>
      <c r="K4040" s="6" t="str">
        <f>IFERROR(__xludf.DUMMYFUNCTION("""COMPUTED_VALUE"""),"SPR/08/26/008")</f>
        <v>SPR/08/26/008</v>
      </c>
      <c r="L4040" s="13">
        <f>IFERROR(__xludf.DUMMYFUNCTION("""COMPUTED_VALUE"""),46260.0)</f>
        <v>46260</v>
      </c>
    </row>
    <row r="4041">
      <c r="A4041" s="6" t="str">
        <f>IFERROR(__xludf.DUMMYFUNCTION("""COMPUTED_VALUE"""),"KFF")</f>
        <v>KFF</v>
      </c>
      <c r="B4041" s="6" t="str">
        <f>IFERROR(__xludf.DUMMYFUNCTION("""COMPUTED_VALUE"""),"ENG")</f>
        <v>ENG</v>
      </c>
      <c r="C4041" s="6" t="str">
        <f>IFERROR(__xludf.DUMMYFUNCTION("""COMPUTED_VALUE"""),"T-20212-00")</f>
        <v>T-20212-00</v>
      </c>
      <c r="D4041" s="6" t="str">
        <f>IFERROR(__xludf.DUMMYFUNCTION("""COMPUTED_VALUE"""),"SEAL PLUNGER 2690, Waters, Part No. WAT270938, PKG (2)")</f>
        <v>SEAL PLUNGER 2690, Waters, Part No. WAT270938, PKG (2)</v>
      </c>
      <c r="E4041" s="6">
        <f>IFERROR(__xludf.DUMMYFUNCTION("""COMPUTED_VALUE"""),1.0)</f>
        <v>1</v>
      </c>
      <c r="F4041" s="6">
        <f>IFERROR(__xludf.DUMMYFUNCTION("""COMPUTED_VALUE"""),1.0)</f>
        <v>1</v>
      </c>
      <c r="G4041" s="6">
        <f>IFERROR(__xludf.DUMMYFUNCTION("""COMPUTED_VALUE"""),0.0)</f>
        <v>0</v>
      </c>
      <c r="H4041" s="6" t="str">
        <f>IFERROR(__xludf.DUMMYFUNCTION("""COMPUTED_VALUE"""),"Pcs")</f>
        <v>Pcs</v>
      </c>
      <c r="I4041" s="6" t="str">
        <f>IFERROR(__xludf.DUMMYFUNCTION("""COMPUTED_VALUE"""),"MFH")</f>
        <v>MFH</v>
      </c>
      <c r="J4041" s="6" t="str">
        <f>IFERROR(__xludf.DUMMYFUNCTION("""COMPUTED_VALUE"""),"HPLC")</f>
        <v>HPLC</v>
      </c>
      <c r="K4041" s="6" t="str">
        <f>IFERROR(__xludf.DUMMYFUNCTION("""COMPUTED_VALUE"""),"SPR/08/26/008")</f>
        <v>SPR/08/26/008</v>
      </c>
      <c r="L4041" s="13">
        <f>IFERROR(__xludf.DUMMYFUNCTION("""COMPUTED_VALUE"""),46260.0)</f>
        <v>46260</v>
      </c>
    </row>
    <row r="4042">
      <c r="A4042" s="6" t="str">
        <f>IFERROR(__xludf.DUMMYFUNCTION("""COMPUTED_VALUE"""),"KFF")</f>
        <v>KFF</v>
      </c>
      <c r="B4042" s="6" t="str">
        <f>IFERROR(__xludf.DUMMYFUNCTION("""COMPUTED_VALUE"""),"ENG")</f>
        <v>ENG</v>
      </c>
      <c r="C4042" s="6" t="str">
        <f>IFERROR(__xludf.DUMMYFUNCTION("""COMPUTED_VALUE"""),"T-80109-00")</f>
        <v>T-80109-00</v>
      </c>
      <c r="D4042" s="6" t="str">
        <f>IFERROR(__xludf.DUMMYFUNCTION("""COMPUTED_VALUE"""),"Cellotape Kertas 1 inch warna Putih")</f>
        <v>Cellotape Kertas 1 inch warna Putih</v>
      </c>
      <c r="E4042" s="6">
        <f>IFERROR(__xludf.DUMMYFUNCTION("""COMPUTED_VALUE"""),1.0)</f>
        <v>1</v>
      </c>
      <c r="F4042" s="6">
        <f>IFERROR(__xludf.DUMMYFUNCTION("""COMPUTED_VALUE"""),1.0)</f>
        <v>1</v>
      </c>
      <c r="G4042" s="6">
        <f>IFERROR(__xludf.DUMMYFUNCTION("""COMPUTED_VALUE"""),0.0)</f>
        <v>0</v>
      </c>
      <c r="H4042" s="6" t="str">
        <f>IFERROR(__xludf.DUMMYFUNCTION("""COMPUTED_VALUE"""),"Pcs")</f>
        <v>Pcs</v>
      </c>
      <c r="I4042" s="6" t="str">
        <f>IFERROR(__xludf.DUMMYFUNCTION("""COMPUTED_VALUE"""),"MFH")</f>
        <v>MFH</v>
      </c>
      <c r="J4042" s="6" t="str">
        <f>IFERROR(__xludf.DUMMYFUNCTION("""COMPUTED_VALUE"""),"CLU")</f>
        <v>CLU</v>
      </c>
      <c r="K4042" s="6" t="str">
        <f>IFERROR(__xludf.DUMMYFUNCTION("""COMPUTED_VALUE"""),"SPR/08/26/009")</f>
        <v>SPR/08/26/009</v>
      </c>
      <c r="L4042" s="13">
        <f>IFERROR(__xludf.DUMMYFUNCTION("""COMPUTED_VALUE"""),46260.0)</f>
        <v>46260</v>
      </c>
    </row>
    <row r="4043">
      <c r="A4043" s="6" t="str">
        <f>IFERROR(__xludf.DUMMYFUNCTION("""COMPUTED_VALUE"""),"KFF")</f>
        <v>KFF</v>
      </c>
      <c r="B4043" s="6" t="str">
        <f>IFERROR(__xludf.DUMMYFUNCTION("""COMPUTED_VALUE"""),"ENG")</f>
        <v>ENG</v>
      </c>
      <c r="C4043" s="6" t="str">
        <f>IFERROR(__xludf.DUMMYFUNCTION("""COMPUTED_VALUE"""),"S-40645-00")</f>
        <v>S-40645-00</v>
      </c>
      <c r="D4043" s="6" t="str">
        <f>IFERROR(__xludf.DUMMYFUNCTION("""COMPUTED_VALUE"""),"Cable Ties, 200 x 4.8 mm; SIGMA; CS 200L; Putih;100 pcs/pack")</f>
        <v>Cable Ties, 200 x 4.8 mm; SIGMA; CS 200L; Putih;100 pcs/pack</v>
      </c>
      <c r="E4043" s="6">
        <f>IFERROR(__xludf.DUMMYFUNCTION("""COMPUTED_VALUE"""),1.0)</f>
        <v>1</v>
      </c>
      <c r="F4043" s="6">
        <f>IFERROR(__xludf.DUMMYFUNCTION("""COMPUTED_VALUE"""),1.0)</f>
        <v>1</v>
      </c>
      <c r="G4043" s="6">
        <f>IFERROR(__xludf.DUMMYFUNCTION("""COMPUTED_VALUE"""),0.0)</f>
        <v>0</v>
      </c>
      <c r="H4043" s="6" t="str">
        <f>IFERROR(__xludf.DUMMYFUNCTION("""COMPUTED_VALUE"""),"Pcs")</f>
        <v>Pcs</v>
      </c>
      <c r="I4043" s="6" t="str">
        <f>IFERROR(__xludf.DUMMYFUNCTION("""COMPUTED_VALUE"""),"MFH")</f>
        <v>MFH</v>
      </c>
      <c r="J4043" s="6" t="str">
        <f>IFERROR(__xludf.DUMMYFUNCTION("""COMPUTED_VALUE"""),"CLU")</f>
        <v>CLU</v>
      </c>
      <c r="K4043" s="6" t="str">
        <f>IFERROR(__xludf.DUMMYFUNCTION("""COMPUTED_VALUE"""),"SPR/08/26/009")</f>
        <v>SPR/08/26/009</v>
      </c>
      <c r="L4043" s="13">
        <f>IFERROR(__xludf.DUMMYFUNCTION("""COMPUTED_VALUE"""),46260.0)</f>
        <v>46260</v>
      </c>
    </row>
    <row r="4044">
      <c r="A4044" s="6" t="str">
        <f>IFERROR(__xludf.DUMMYFUNCTION("""COMPUTED_VALUE"""),"KFF")</f>
        <v>KFF</v>
      </c>
      <c r="B4044" s="6" t="str">
        <f>IFERROR(__xludf.DUMMYFUNCTION("""COMPUTED_VALUE"""),"ENG")</f>
        <v>ENG</v>
      </c>
      <c r="C4044" s="6" t="str">
        <f>IFERROR(__xludf.DUMMYFUNCTION("""COMPUTED_VALUE"""),"O-20751-00")</f>
        <v>O-20751-00</v>
      </c>
      <c r="D4044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4044" s="6">
        <f>IFERROR(__xludf.DUMMYFUNCTION("""COMPUTED_VALUE"""),2.0)</f>
        <v>2</v>
      </c>
      <c r="F4044" s="6">
        <f>IFERROR(__xludf.DUMMYFUNCTION("""COMPUTED_VALUE"""),2.0)</f>
        <v>2</v>
      </c>
      <c r="G4044" s="6">
        <f>IFERROR(__xludf.DUMMYFUNCTION("""COMPUTED_VALUE"""),0.0)</f>
        <v>0</v>
      </c>
      <c r="H4044" s="6" t="str">
        <f>IFERROR(__xludf.DUMMYFUNCTION("""COMPUTED_VALUE"""),"Pcs")</f>
        <v>Pcs</v>
      </c>
      <c r="I4044" s="6" t="str">
        <f>IFERROR(__xludf.DUMMYFUNCTION("""COMPUTED_VALUE"""),"MFH")</f>
        <v>MFH</v>
      </c>
      <c r="J4044" s="6" t="str">
        <f>IFERROR(__xludf.DUMMYFUNCTION("""COMPUTED_VALUE"""),"Cartonning")</f>
        <v>Cartonning</v>
      </c>
      <c r="K4044" s="6" t="str">
        <f>IFERROR(__xludf.DUMMYFUNCTION("""COMPUTED_VALUE"""),"SPR/08/26/010")</f>
        <v>SPR/08/26/010</v>
      </c>
      <c r="L4044" s="13">
        <f>IFERROR(__xludf.DUMMYFUNCTION("""COMPUTED_VALUE"""),46260.0)</f>
        <v>46260</v>
      </c>
    </row>
    <row r="4045">
      <c r="A4045" s="6" t="str">
        <f>IFERROR(__xludf.DUMMYFUNCTION("""COMPUTED_VALUE"""),"KFF")</f>
        <v>KFF</v>
      </c>
      <c r="B4045" s="6" t="str">
        <f>IFERROR(__xludf.DUMMYFUNCTION("""COMPUTED_VALUE"""),"ENG")</f>
        <v>ENG</v>
      </c>
      <c r="C4045" s="6" t="str">
        <f>IFERROR(__xludf.DUMMYFUNCTION("""COMPUTED_VALUE"""),"O-15931-00")</f>
        <v>O-15931-00</v>
      </c>
      <c r="D4045" s="6" t="str">
        <f>IFERROR(__xludf.DUMMYFUNCTION("""COMPUTED_VALUE"""),"Double Tape 3M 1"" Merah - P/N : - pc")</f>
        <v>Double Tape 3M 1" Merah - P/N : - pc</v>
      </c>
      <c r="E4045" s="6">
        <f>IFERROR(__xludf.DUMMYFUNCTION("""COMPUTED_VALUE"""),1.0)</f>
        <v>1</v>
      </c>
      <c r="F4045" s="6">
        <f>IFERROR(__xludf.DUMMYFUNCTION("""COMPUTED_VALUE"""),1.0)</f>
        <v>1</v>
      </c>
      <c r="G4045" s="6">
        <f>IFERROR(__xludf.DUMMYFUNCTION("""COMPUTED_VALUE"""),0.0)</f>
        <v>0</v>
      </c>
      <c r="H4045" s="6" t="str">
        <f>IFERROR(__xludf.DUMMYFUNCTION("""COMPUTED_VALUE"""),"Pcs")</f>
        <v>Pcs</v>
      </c>
      <c r="I4045" s="6" t="str">
        <f>IFERROR(__xludf.DUMMYFUNCTION("""COMPUTED_VALUE"""),"MFH")</f>
        <v>MFH</v>
      </c>
      <c r="J4045" s="6" t="str">
        <f>IFERROR(__xludf.DUMMYFUNCTION("""COMPUTED_VALUE"""),"Cartonning")</f>
        <v>Cartonning</v>
      </c>
      <c r="K4045" s="6" t="str">
        <f>IFERROR(__xludf.DUMMYFUNCTION("""COMPUTED_VALUE"""),"SPR/08/26/010")</f>
        <v>SPR/08/26/010</v>
      </c>
      <c r="L4045" s="13">
        <f>IFERROR(__xludf.DUMMYFUNCTION("""COMPUTED_VALUE"""),46260.0)</f>
        <v>46260</v>
      </c>
    </row>
    <row r="4046">
      <c r="A4046" s="6" t="str">
        <f>IFERROR(__xludf.DUMMYFUNCTION("""COMPUTED_VALUE"""),"ERA")</f>
        <v>ERA</v>
      </c>
      <c r="B4046" s="6" t="str">
        <f>IFERROR(__xludf.DUMMYFUNCTION("""COMPUTED_VALUE"""),"ENG")</f>
        <v>ENG</v>
      </c>
      <c r="C4046" s="6" t="str">
        <f>IFERROR(__xludf.DUMMYFUNCTION("""COMPUTED_VALUE"""),"-")</f>
        <v>-</v>
      </c>
      <c r="D4046" s="6" t="str">
        <f>IFERROR(__xludf.DUMMYFUNCTION("""COMPUTED_VALUE"""),"Fitting One Piece")</f>
        <v>Fitting One Piece</v>
      </c>
      <c r="E4046" s="6">
        <f>IFERROR(__xludf.DUMMYFUNCTION("""COMPUTED_VALUE"""),1.0)</f>
        <v>1</v>
      </c>
      <c r="F4046" s="6">
        <f>IFERROR(__xludf.DUMMYFUNCTION("""COMPUTED_VALUE"""),1.0)</f>
        <v>1</v>
      </c>
      <c r="G4046" s="6">
        <f>IFERROR(__xludf.DUMMYFUNCTION("""COMPUTED_VALUE"""),0.0)</f>
        <v>0</v>
      </c>
      <c r="H4046" s="6" t="str">
        <f>IFERROR(__xludf.DUMMYFUNCTION("""COMPUTED_VALUE"""),"Pcs")</f>
        <v>Pcs</v>
      </c>
      <c r="I4046" s="6" t="str">
        <f>IFERROR(__xludf.DUMMYFUNCTION("""COMPUTED_VALUE"""),"MFH")</f>
        <v>MFH</v>
      </c>
      <c r="J4046" s="6" t="str">
        <f>IFERROR(__xludf.DUMMYFUNCTION("""COMPUTED_VALUE"""),"HPLC")</f>
        <v>HPLC</v>
      </c>
      <c r="K4046" s="6" t="str">
        <f>IFERROR(__xludf.DUMMYFUNCTION("""COMPUTED_VALUE"""),"SPR/08/26/011")</f>
        <v>SPR/08/26/011</v>
      </c>
      <c r="L4046" s="13">
        <f>IFERROR(__xludf.DUMMYFUNCTION("""COMPUTED_VALUE"""),46260.0)</f>
        <v>46260</v>
      </c>
    </row>
    <row r="4047">
      <c r="A4047" s="6" t="str">
        <f>IFERROR(__xludf.DUMMYFUNCTION("""COMPUTED_VALUE"""),"ERA")</f>
        <v>ERA</v>
      </c>
      <c r="B4047" s="6" t="str">
        <f>IFERROR(__xludf.DUMMYFUNCTION("""COMPUTED_VALUE"""),"ENG")</f>
        <v>ENG</v>
      </c>
      <c r="C4047" s="6" t="str">
        <f>IFERROR(__xludf.DUMMYFUNCTION("""COMPUTED_VALUE"""),"T-20123-00")</f>
        <v>T-20123-00</v>
      </c>
      <c r="D4047" s="6" t="str">
        <f>IFERROR(__xludf.DUMMYFUNCTION("""COMPUTED_VALUE"""),"Acquity PDA/TUV 2489/2998 Perf")</f>
        <v>Acquity PDA/TUV 2489/2998 Perf</v>
      </c>
      <c r="E4047" s="6">
        <f>IFERROR(__xludf.DUMMYFUNCTION("""COMPUTED_VALUE"""),1.0)</f>
        <v>1</v>
      </c>
      <c r="F4047" s="6">
        <f>IFERROR(__xludf.DUMMYFUNCTION("""COMPUTED_VALUE"""),1.0)</f>
        <v>1</v>
      </c>
      <c r="G4047" s="6">
        <f>IFERROR(__xludf.DUMMYFUNCTION("""COMPUTED_VALUE"""),0.0)</f>
        <v>0</v>
      </c>
      <c r="H4047" s="6" t="str">
        <f>IFERROR(__xludf.DUMMYFUNCTION("""COMPUTED_VALUE"""),"Pcs")</f>
        <v>Pcs</v>
      </c>
      <c r="I4047" s="6" t="str">
        <f>IFERROR(__xludf.DUMMYFUNCTION("""COMPUTED_VALUE"""),"MFH")</f>
        <v>MFH</v>
      </c>
      <c r="J4047" s="6" t="str">
        <f>IFERROR(__xludf.DUMMYFUNCTION("""COMPUTED_VALUE"""),"HPLC")</f>
        <v>HPLC</v>
      </c>
      <c r="K4047" s="6" t="str">
        <f>IFERROR(__xludf.DUMMYFUNCTION("""COMPUTED_VALUE"""),"SPR/08/26/011")</f>
        <v>SPR/08/26/011</v>
      </c>
      <c r="L4047" s="13">
        <f>IFERROR(__xludf.DUMMYFUNCTION("""COMPUTED_VALUE"""),46260.0)</f>
        <v>46260</v>
      </c>
    </row>
    <row r="4048">
      <c r="A4048" s="6" t="str">
        <f>IFERROR(__xludf.DUMMYFUNCTION("""COMPUTED_VALUE"""),"ERA")</f>
        <v>ERA</v>
      </c>
      <c r="B4048" s="6" t="str">
        <f>IFERROR(__xludf.DUMMYFUNCTION("""COMPUTED_VALUE"""),"ENG")</f>
        <v>ENG</v>
      </c>
      <c r="C4048" s="6" t="str">
        <f>IFERROR(__xludf.DUMMYFUNCTION("""COMPUTED_VALUE"""),"O-16647-00")</f>
        <v>O-16647-00</v>
      </c>
      <c r="D4048" s="6" t="str">
        <f>IFERROR(__xludf.DUMMYFUNCTION("""COMPUTED_VALUE"""),"Washing RAR4 - Oring Silicone Merah 23x18x2.5 mm; ; ;")</f>
        <v>Washing RAR4 - Oring Silicone Merah 23x18x2.5 mm; ; ;</v>
      </c>
      <c r="E4048" s="6">
        <f>IFERROR(__xludf.DUMMYFUNCTION("""COMPUTED_VALUE"""),10.0)</f>
        <v>10</v>
      </c>
      <c r="F4048" s="6">
        <f>IFERROR(__xludf.DUMMYFUNCTION("""COMPUTED_VALUE"""),10.0)</f>
        <v>10</v>
      </c>
      <c r="G4048" s="6">
        <f>IFERROR(__xludf.DUMMYFUNCTION("""COMPUTED_VALUE"""),0.0)</f>
        <v>0</v>
      </c>
      <c r="H4048" s="6" t="str">
        <f>IFERROR(__xludf.DUMMYFUNCTION("""COMPUTED_VALUE"""),"Pcs")</f>
        <v>Pcs</v>
      </c>
      <c r="I4048" s="6" t="str">
        <f>IFERROR(__xludf.DUMMYFUNCTION("""COMPUTED_VALUE"""),"MFH")</f>
        <v>MFH</v>
      </c>
      <c r="J4048" s="6" t="str">
        <f>IFERROR(__xludf.DUMMYFUNCTION("""COMPUTED_VALUE"""),"Capping")</f>
        <v>Capping</v>
      </c>
      <c r="K4048" s="6" t="str">
        <f>IFERROR(__xludf.DUMMYFUNCTION("""COMPUTED_VALUE"""),"SPR/08/26/012")</f>
        <v>SPR/08/26/012</v>
      </c>
      <c r="L4048" s="13">
        <f>IFERROR(__xludf.DUMMYFUNCTION("""COMPUTED_VALUE"""),46260.0)</f>
        <v>46260</v>
      </c>
    </row>
    <row r="4049">
      <c r="A4049" s="6" t="str">
        <f>IFERROR(__xludf.DUMMYFUNCTION("""COMPUTED_VALUE"""),"ERA")</f>
        <v>ERA</v>
      </c>
      <c r="B4049" s="6" t="str">
        <f>IFERROR(__xludf.DUMMYFUNCTION("""COMPUTED_VALUE"""),"ENG")</f>
        <v>ENG</v>
      </c>
      <c r="C4049" s="6" t="str">
        <f>IFERROR(__xludf.DUMMYFUNCTION("""COMPUTED_VALUE"""),"T-80109-00")</f>
        <v>T-80109-00</v>
      </c>
      <c r="D4049" s="6" t="str">
        <f>IFERROR(__xludf.DUMMYFUNCTION("""COMPUTED_VALUE"""),"Cellotape Kertas 1 inch warna Putih")</f>
        <v>Cellotape Kertas 1 inch warna Putih</v>
      </c>
      <c r="E4049" s="6">
        <f>IFERROR(__xludf.DUMMYFUNCTION("""COMPUTED_VALUE"""),1.0)</f>
        <v>1</v>
      </c>
      <c r="F4049" s="6">
        <f>IFERROR(__xludf.DUMMYFUNCTION("""COMPUTED_VALUE"""),1.0)</f>
        <v>1</v>
      </c>
      <c r="G4049" s="6">
        <f>IFERROR(__xludf.DUMMYFUNCTION("""COMPUTED_VALUE"""),0.0)</f>
        <v>0</v>
      </c>
      <c r="H4049" s="6" t="str">
        <f>IFERROR(__xludf.DUMMYFUNCTION("""COMPUTED_VALUE"""),"Pcs")</f>
        <v>Pcs</v>
      </c>
      <c r="I4049" s="6" t="str">
        <f>IFERROR(__xludf.DUMMYFUNCTION("""COMPUTED_VALUE"""),"MFH")</f>
        <v>MFH</v>
      </c>
      <c r="J4049" s="6" t="str">
        <f>IFERROR(__xludf.DUMMYFUNCTION("""COMPUTED_VALUE"""),"-")</f>
        <v>-</v>
      </c>
      <c r="K4049" s="6" t="str">
        <f>IFERROR(__xludf.DUMMYFUNCTION("""COMPUTED_VALUE"""),"SPR/08/26/012")</f>
        <v>SPR/08/26/012</v>
      </c>
      <c r="L4049" s="13">
        <f>IFERROR(__xludf.DUMMYFUNCTION("""COMPUTED_VALUE"""),46260.0)</f>
        <v>46260</v>
      </c>
    </row>
    <row r="4050">
      <c r="A4050" s="6" t="str">
        <f>IFERROR(__xludf.DUMMYFUNCTION("""COMPUTED_VALUE"""),"KFF")</f>
        <v>KFF</v>
      </c>
      <c r="B4050" s="6" t="str">
        <f>IFERROR(__xludf.DUMMYFUNCTION("""COMPUTED_VALUE"""),"ENG")</f>
        <v>ENG</v>
      </c>
      <c r="C4050" s="6" t="str">
        <f>IFERROR(__xludf.DUMMYFUNCTION("""COMPUTED_VALUE"""),"O-16032-00")</f>
        <v>O-16032-00</v>
      </c>
      <c r="D405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050" s="6">
        <f>IFERROR(__xludf.DUMMYFUNCTION("""COMPUTED_VALUE"""),1.0)</f>
        <v>1</v>
      </c>
      <c r="F4050" s="6">
        <f>IFERROR(__xludf.DUMMYFUNCTION("""COMPUTED_VALUE"""),1.0)</f>
        <v>1</v>
      </c>
      <c r="G4050" s="6">
        <f>IFERROR(__xludf.DUMMYFUNCTION("""COMPUTED_VALUE"""),0.0)</f>
        <v>0</v>
      </c>
      <c r="H4050" s="6" t="str">
        <f>IFERROR(__xludf.DUMMYFUNCTION("""COMPUTED_VALUE"""),"Pcs")</f>
        <v>Pcs</v>
      </c>
      <c r="I4050" s="6" t="str">
        <f>IFERROR(__xludf.DUMMYFUNCTION("""COMPUTED_VALUE"""),"MFH")</f>
        <v>MFH</v>
      </c>
      <c r="J4050" s="6" t="str">
        <f>IFERROR(__xludf.DUMMYFUNCTION("""COMPUTED_VALUE"""),"cRABS")</f>
        <v>cRABS</v>
      </c>
      <c r="K4050" s="6" t="str">
        <f>IFERROR(__xludf.DUMMYFUNCTION("""COMPUTED_VALUE"""),"SPR/08/26/013")</f>
        <v>SPR/08/26/013</v>
      </c>
      <c r="L4050" s="13">
        <f>IFERROR(__xludf.DUMMYFUNCTION("""COMPUTED_VALUE"""),46260.0)</f>
        <v>46260</v>
      </c>
    </row>
    <row r="4051">
      <c r="A4051" s="6" t="str">
        <f>IFERROR(__xludf.DUMMYFUNCTION("""COMPUTED_VALUE"""),"KFF")</f>
        <v>KFF</v>
      </c>
      <c r="B4051" s="6" t="str">
        <f>IFERROR(__xludf.DUMMYFUNCTION("""COMPUTED_VALUE"""),"ENG")</f>
        <v>ENG</v>
      </c>
      <c r="C4051" s="6" t="str">
        <f>IFERROR(__xludf.DUMMYFUNCTION("""COMPUTED_VALUE"""),"P-13389-00")</f>
        <v>P-13389-00</v>
      </c>
      <c r="D4051" s="6" t="str">
        <f>IFERROR(__xludf.DUMMYFUNCTION("""COMPUTED_VALUE"""),"Scotch Brite 3M; ; ;")</f>
        <v>Scotch Brite 3M; ; ;</v>
      </c>
      <c r="E4051" s="6">
        <f>IFERROR(__xludf.DUMMYFUNCTION("""COMPUTED_VALUE"""),1.0)</f>
        <v>1</v>
      </c>
      <c r="F4051" s="6">
        <f>IFERROR(__xludf.DUMMYFUNCTION("""COMPUTED_VALUE"""),1.0)</f>
        <v>1</v>
      </c>
      <c r="G4051" s="6">
        <f>IFERROR(__xludf.DUMMYFUNCTION("""COMPUTED_VALUE"""),0.0)</f>
        <v>0</v>
      </c>
      <c r="H4051" s="6" t="str">
        <f>IFERROR(__xludf.DUMMYFUNCTION("""COMPUTED_VALUE"""),"Pcs")</f>
        <v>Pcs</v>
      </c>
      <c r="I4051" s="6" t="str">
        <f>IFERROR(__xludf.DUMMYFUNCTION("""COMPUTED_VALUE"""),"MFH")</f>
        <v>MFH</v>
      </c>
      <c r="J4051" s="6" t="str">
        <f>IFERROR(__xludf.DUMMYFUNCTION("""COMPUTED_VALUE"""),"cRABS")</f>
        <v>cRABS</v>
      </c>
      <c r="K4051" s="6" t="str">
        <f>IFERROR(__xludf.DUMMYFUNCTION("""COMPUTED_VALUE"""),"SPR/08/26/013")</f>
        <v>SPR/08/26/013</v>
      </c>
      <c r="L4051" s="13">
        <f>IFERROR(__xludf.DUMMYFUNCTION("""COMPUTED_VALUE"""),46260.0)</f>
        <v>46260</v>
      </c>
    </row>
    <row r="4052">
      <c r="A4052" s="6" t="str">
        <f>IFERROR(__xludf.DUMMYFUNCTION("""COMPUTED_VALUE"""),"KFF")</f>
        <v>KFF</v>
      </c>
      <c r="B4052" s="6" t="str">
        <f>IFERROR(__xludf.DUMMYFUNCTION("""COMPUTED_VALUE"""),"ENG")</f>
        <v>ENG</v>
      </c>
      <c r="C4052" s="6" t="str">
        <f>IFERROR(__xludf.DUMMYFUNCTION("""COMPUTED_VALUE"""),"O-11356-00")</f>
        <v>O-11356-00</v>
      </c>
      <c r="D4052" s="6" t="str">
        <f>IFERROR(__xludf.DUMMYFUNCTION("""COMPUTED_VALUE"""),"Lubricant ? Food grade oil Viscolab 150 - Pc=Liter")</f>
        <v>Lubricant ? Food grade oil Viscolab 150 - Pc=Liter</v>
      </c>
      <c r="E4052" s="6">
        <f>IFERROR(__xludf.DUMMYFUNCTION("""COMPUTED_VALUE"""),20.0)</f>
        <v>20</v>
      </c>
      <c r="F4052" s="6">
        <f>IFERROR(__xludf.DUMMYFUNCTION("""COMPUTED_VALUE"""),1.0)</f>
        <v>1</v>
      </c>
      <c r="G4052" s="6">
        <f>IFERROR(__xludf.DUMMYFUNCTION("""COMPUTED_VALUE"""),0.0)</f>
        <v>0</v>
      </c>
      <c r="H4052" s="6" t="str">
        <f>IFERROR(__xludf.DUMMYFUNCTION("""COMPUTED_VALUE"""),"Pcs")</f>
        <v>Pcs</v>
      </c>
      <c r="I4052" s="6" t="str">
        <f>IFERROR(__xludf.DUMMYFUNCTION("""COMPUTED_VALUE"""),"MFH")</f>
        <v>MFH</v>
      </c>
      <c r="J4052" s="6" t="str">
        <f>IFERROR(__xludf.DUMMYFUNCTION("""COMPUTED_VALUE"""),"Tablet")</f>
        <v>Tablet</v>
      </c>
      <c r="K4052" s="6" t="str">
        <f>IFERROR(__xludf.DUMMYFUNCTION("""COMPUTED_VALUE"""),"SPR/08/26/013")</f>
        <v>SPR/08/26/013</v>
      </c>
      <c r="L4052" s="13">
        <f>IFERROR(__xludf.DUMMYFUNCTION("""COMPUTED_VALUE"""),46260.0)</f>
        <v>46260</v>
      </c>
    </row>
    <row r="4053">
      <c r="A4053" s="6" t="str">
        <f>IFERROR(__xludf.DUMMYFUNCTION("""COMPUTED_VALUE"""),"NDS")</f>
        <v>NDS</v>
      </c>
      <c r="B4053" s="6" t="str">
        <f>IFERROR(__xludf.DUMMYFUNCTION("""COMPUTED_VALUE"""),"ENG")</f>
        <v>ENG</v>
      </c>
      <c r="C4053" s="6" t="str">
        <f>IFERROR(__xludf.DUMMYFUNCTION("""COMPUTED_VALUE"""),"O-16033-00")</f>
        <v>O-16033-00</v>
      </c>
      <c r="D4053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4053" s="6">
        <f>IFERROR(__xludf.DUMMYFUNCTION("""COMPUTED_VALUE"""),1.0)</f>
        <v>1</v>
      </c>
      <c r="F4053" s="6">
        <f>IFERROR(__xludf.DUMMYFUNCTION("""COMPUTED_VALUE"""),1.0)</f>
        <v>1</v>
      </c>
      <c r="G4053" s="6">
        <f>IFERROR(__xludf.DUMMYFUNCTION("""COMPUTED_VALUE"""),0.0)</f>
        <v>0</v>
      </c>
      <c r="H4053" s="6" t="str">
        <f>IFERROR(__xludf.DUMMYFUNCTION("""COMPUTED_VALUE"""),"Pcs")</f>
        <v>Pcs</v>
      </c>
      <c r="I4053" s="6" t="str">
        <f>IFERROR(__xludf.DUMMYFUNCTION("""COMPUTED_VALUE"""),"MFH")</f>
        <v>MFH</v>
      </c>
      <c r="J4053" s="6" t="str">
        <f>IFERROR(__xludf.DUMMYFUNCTION("""COMPUTED_VALUE"""),"cRABS")</f>
        <v>cRABS</v>
      </c>
      <c r="K4053" s="6" t="str">
        <f>IFERROR(__xludf.DUMMYFUNCTION("""COMPUTED_VALUE"""),"SPR/08/26/014")</f>
        <v>SPR/08/26/014</v>
      </c>
      <c r="L4053" s="13">
        <f>IFERROR(__xludf.DUMMYFUNCTION("""COMPUTED_VALUE"""),46260.0)</f>
        <v>46260</v>
      </c>
    </row>
    <row r="4054">
      <c r="A4054" s="6" t="str">
        <f>IFERROR(__xludf.DUMMYFUNCTION("""COMPUTED_VALUE"""),"ANS")</f>
        <v>ANS</v>
      </c>
      <c r="B4054" s="6" t="str">
        <f>IFERROR(__xludf.DUMMYFUNCTION("""COMPUTED_VALUE"""),"ENG")</f>
        <v>ENG</v>
      </c>
      <c r="C4054" s="6" t="str">
        <f>IFERROR(__xludf.DUMMYFUNCTION("""COMPUTED_VALUE"""),"P-51027-00")</f>
        <v>P-51027-00</v>
      </c>
      <c r="D405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4054" s="6">
        <f>IFERROR(__xludf.DUMMYFUNCTION("""COMPUTED_VALUE"""),1.0)</f>
        <v>1</v>
      </c>
      <c r="F4054" s="6">
        <f>IFERROR(__xludf.DUMMYFUNCTION("""COMPUTED_VALUE"""),1.0)</f>
        <v>1</v>
      </c>
      <c r="G4054" s="6">
        <f>IFERROR(__xludf.DUMMYFUNCTION("""COMPUTED_VALUE"""),0.0)</f>
        <v>0</v>
      </c>
      <c r="H4054" s="6" t="str">
        <f>IFERROR(__xludf.DUMMYFUNCTION("""COMPUTED_VALUE"""),"Pcs")</f>
        <v>Pcs</v>
      </c>
      <c r="I4054" s="6" t="str">
        <f>IFERROR(__xludf.DUMMYFUNCTION("""COMPUTED_VALUE"""),"MFH")</f>
        <v>MFH</v>
      </c>
      <c r="J4054" s="6" t="str">
        <f>IFERROR(__xludf.DUMMYFUNCTION("""COMPUTED_VALUE"""),"-")</f>
        <v>-</v>
      </c>
      <c r="K4054" s="6" t="str">
        <f>IFERROR(__xludf.DUMMYFUNCTION("""COMPUTED_VALUE"""),"SPR/08/26/015")</f>
        <v>SPR/08/26/015</v>
      </c>
      <c r="L4054" s="13">
        <f>IFERROR(__xludf.DUMMYFUNCTION("""COMPUTED_VALUE"""),46260.0)</f>
        <v>46260</v>
      </c>
    </row>
    <row r="4055">
      <c r="A4055" s="6" t="str">
        <f>IFERROR(__xludf.DUMMYFUNCTION("""COMPUTED_VALUE"""),"BDU")</f>
        <v>BDU</v>
      </c>
      <c r="B4055" s="6" t="str">
        <f>IFERROR(__xludf.DUMMYFUNCTION("""COMPUTED_VALUE"""),"ENG")</f>
        <v>ENG</v>
      </c>
      <c r="C4055" s="6" t="str">
        <f>IFERROR(__xludf.DUMMYFUNCTION("""COMPUTED_VALUE"""),"P-13650-00")</f>
        <v>P-13650-00</v>
      </c>
      <c r="D4055" s="6" t="str">
        <f>IFERROR(__xludf.DUMMYFUNCTION("""COMPUTED_VALUE"""),"Manual Valve HE-2-QS-6; FESTO; ;")</f>
        <v>Manual Valve HE-2-QS-6; FESTO; ;</v>
      </c>
      <c r="E4055" s="6">
        <f>IFERROR(__xludf.DUMMYFUNCTION("""COMPUTED_VALUE"""),1.0)</f>
        <v>1</v>
      </c>
      <c r="F4055" s="6">
        <f>IFERROR(__xludf.DUMMYFUNCTION("""COMPUTED_VALUE"""),1.0)</f>
        <v>1</v>
      </c>
      <c r="G4055" s="6">
        <f>IFERROR(__xludf.DUMMYFUNCTION("""COMPUTED_VALUE"""),0.0)</f>
        <v>0</v>
      </c>
      <c r="H4055" s="6" t="str">
        <f>IFERROR(__xludf.DUMMYFUNCTION("""COMPUTED_VALUE"""),"Pcs")</f>
        <v>Pcs</v>
      </c>
      <c r="I4055" s="6" t="str">
        <f>IFERROR(__xludf.DUMMYFUNCTION("""COMPUTED_VALUE"""),"MFH")</f>
        <v>MFH</v>
      </c>
      <c r="J4055" s="6" t="str">
        <f>IFERROR(__xludf.DUMMYFUNCTION("""COMPUTED_VALUE"""),"CLU")</f>
        <v>CLU</v>
      </c>
      <c r="K4055" s="6" t="str">
        <f>IFERROR(__xludf.DUMMYFUNCTION("""COMPUTED_VALUE"""),"SPR/08/26/016")</f>
        <v>SPR/08/26/016</v>
      </c>
      <c r="L4055" s="13">
        <f>IFERROR(__xludf.DUMMYFUNCTION("""COMPUTED_VALUE"""),46260.0)</f>
        <v>46260</v>
      </c>
    </row>
    <row r="4056">
      <c r="A4056" s="6" t="str">
        <f>IFERROR(__xludf.DUMMYFUNCTION("""COMPUTED_VALUE"""),"BDU")</f>
        <v>BDU</v>
      </c>
      <c r="B4056" s="6" t="str">
        <f>IFERROR(__xludf.DUMMYFUNCTION("""COMPUTED_VALUE"""),"ENG")</f>
        <v>ENG</v>
      </c>
      <c r="C4056" s="6" t="str">
        <f>IFERROR(__xludf.DUMMYFUNCTION("""COMPUTED_VALUE"""),"P-11185-00")</f>
        <v>P-11185-00</v>
      </c>
      <c r="D4056" s="6" t="str">
        <f>IFERROR(__xludf.DUMMYFUNCTION("""COMPUTED_VALUE"""),"General - Push-in Connector, QS-8-6; Festo; 153038; 1 pcs")</f>
        <v>General - Push-in Connector, QS-8-6; Festo; 153038; 1 pcs</v>
      </c>
      <c r="E4056" s="6">
        <f>IFERROR(__xludf.DUMMYFUNCTION("""COMPUTED_VALUE"""),1.0)</f>
        <v>1</v>
      </c>
      <c r="F4056" s="6">
        <f>IFERROR(__xludf.DUMMYFUNCTION("""COMPUTED_VALUE"""),1.0)</f>
        <v>1</v>
      </c>
      <c r="G4056" s="6">
        <f>IFERROR(__xludf.DUMMYFUNCTION("""COMPUTED_VALUE"""),0.0)</f>
        <v>0</v>
      </c>
      <c r="H4056" s="6" t="str">
        <f>IFERROR(__xludf.DUMMYFUNCTION("""COMPUTED_VALUE"""),"Pcs")</f>
        <v>Pcs</v>
      </c>
      <c r="I4056" s="6" t="str">
        <f>IFERROR(__xludf.DUMMYFUNCTION("""COMPUTED_VALUE"""),"MFH")</f>
        <v>MFH</v>
      </c>
      <c r="J4056" s="6" t="str">
        <f>IFERROR(__xludf.DUMMYFUNCTION("""COMPUTED_VALUE"""),"CLU")</f>
        <v>CLU</v>
      </c>
      <c r="K4056" s="6" t="str">
        <f>IFERROR(__xludf.DUMMYFUNCTION("""COMPUTED_VALUE"""),"SPR/08/26/016")</f>
        <v>SPR/08/26/016</v>
      </c>
      <c r="L4056" s="13">
        <f>IFERROR(__xludf.DUMMYFUNCTION("""COMPUTED_VALUE"""),46260.0)</f>
        <v>46260</v>
      </c>
    </row>
    <row r="4057">
      <c r="A4057" s="6" t="str">
        <f>IFERROR(__xludf.DUMMYFUNCTION("""COMPUTED_VALUE"""),"BDU")</f>
        <v>BDU</v>
      </c>
      <c r="B4057" s="6" t="str">
        <f>IFERROR(__xludf.DUMMYFUNCTION("""COMPUTED_VALUE"""),"ENG")</f>
        <v>ENG</v>
      </c>
      <c r="C4057" s="6" t="str">
        <f>IFERROR(__xludf.DUMMYFUNCTION("""COMPUTED_VALUE"""),"P-11227-00")</f>
        <v>P-11227-00</v>
      </c>
      <c r="D4057" s="6" t="str">
        <f>IFERROR(__xludf.DUMMYFUNCTION("""COMPUTED_VALUE"""),"General - Push-in T-connector, QST-6; Festo; 153129; 1 pcs")</f>
        <v>General - Push-in T-connector, QST-6; Festo; 153129; 1 pcs</v>
      </c>
      <c r="E4057" s="6">
        <f>IFERROR(__xludf.DUMMYFUNCTION("""COMPUTED_VALUE"""),1.0)</f>
        <v>1</v>
      </c>
      <c r="F4057" s="6">
        <f>IFERROR(__xludf.DUMMYFUNCTION("""COMPUTED_VALUE"""),1.0)</f>
        <v>1</v>
      </c>
      <c r="G4057" s="6">
        <f>IFERROR(__xludf.DUMMYFUNCTION("""COMPUTED_VALUE"""),0.0)</f>
        <v>0</v>
      </c>
      <c r="H4057" s="6" t="str">
        <f>IFERROR(__xludf.DUMMYFUNCTION("""COMPUTED_VALUE"""),"Pcs")</f>
        <v>Pcs</v>
      </c>
      <c r="I4057" s="6" t="str">
        <f>IFERROR(__xludf.DUMMYFUNCTION("""COMPUTED_VALUE"""),"MFH")</f>
        <v>MFH</v>
      </c>
      <c r="J4057" s="6" t="str">
        <f>IFERROR(__xludf.DUMMYFUNCTION("""COMPUTED_VALUE"""),"CLU")</f>
        <v>CLU</v>
      </c>
      <c r="K4057" s="6" t="str">
        <f>IFERROR(__xludf.DUMMYFUNCTION("""COMPUTED_VALUE"""),"SPR/08/26/016")</f>
        <v>SPR/08/26/016</v>
      </c>
      <c r="L4057" s="13">
        <f>IFERROR(__xludf.DUMMYFUNCTION("""COMPUTED_VALUE"""),46260.0)</f>
        <v>46260</v>
      </c>
    </row>
    <row r="4058">
      <c r="A4058" s="6" t="str">
        <f>IFERROR(__xludf.DUMMYFUNCTION("""COMPUTED_VALUE"""),"BDU")</f>
        <v>BDU</v>
      </c>
      <c r="B4058" s="6" t="str">
        <f>IFERROR(__xludf.DUMMYFUNCTION("""COMPUTED_VALUE"""),"ENG")</f>
        <v>ENG</v>
      </c>
      <c r="C4058" s="6" t="str">
        <f>IFERROR(__xludf.DUMMYFUNCTION("""COMPUTED_VALUE"""),"S-40645-00")</f>
        <v>S-40645-00</v>
      </c>
      <c r="D4058" s="6" t="str">
        <f>IFERROR(__xludf.DUMMYFUNCTION("""COMPUTED_VALUE"""),"Cable Ties, 200 x 4.8 mm; SIGMA; CS 200L; Putih;100 pcs/pack")</f>
        <v>Cable Ties, 200 x 4.8 mm; SIGMA; CS 200L; Putih;100 pcs/pack</v>
      </c>
      <c r="E4058" s="6">
        <f>IFERROR(__xludf.DUMMYFUNCTION("""COMPUTED_VALUE"""),1.0)</f>
        <v>1</v>
      </c>
      <c r="F4058" s="6">
        <f>IFERROR(__xludf.DUMMYFUNCTION("""COMPUTED_VALUE"""),1.0)</f>
        <v>1</v>
      </c>
      <c r="G4058" s="6">
        <f>IFERROR(__xludf.DUMMYFUNCTION("""COMPUTED_VALUE"""),0.0)</f>
        <v>0</v>
      </c>
      <c r="H4058" s="6" t="str">
        <f>IFERROR(__xludf.DUMMYFUNCTION("""COMPUTED_VALUE"""),"Pcs")</f>
        <v>Pcs</v>
      </c>
      <c r="I4058" s="6" t="str">
        <f>IFERROR(__xludf.DUMMYFUNCTION("""COMPUTED_VALUE"""),"MFH")</f>
        <v>MFH</v>
      </c>
      <c r="J4058" s="6" t="str">
        <f>IFERROR(__xludf.DUMMYFUNCTION("""COMPUTED_VALUE"""),"CLU")</f>
        <v>CLU</v>
      </c>
      <c r="K4058" s="6" t="str">
        <f>IFERROR(__xludf.DUMMYFUNCTION("""COMPUTED_VALUE"""),"SPR/08/26/017")</f>
        <v>SPR/08/26/017</v>
      </c>
      <c r="L4058" s="13">
        <f>IFERROR(__xludf.DUMMYFUNCTION("""COMPUTED_VALUE"""),46260.0)</f>
        <v>46260</v>
      </c>
    </row>
    <row r="4059">
      <c r="A4059" s="6" t="str">
        <f>IFERROR(__xludf.DUMMYFUNCTION("""COMPUTED_VALUE"""),"ERA")</f>
        <v>ERA</v>
      </c>
      <c r="B4059" s="6" t="str">
        <f>IFERROR(__xludf.DUMMYFUNCTION("""COMPUTED_VALUE"""),"ENG")</f>
        <v>ENG</v>
      </c>
      <c r="C4059" s="6" t="str">
        <f>IFERROR(__xludf.DUMMYFUNCTION("""COMPUTED_VALUE"""),"T-80681-00")</f>
        <v>T-80681-00</v>
      </c>
      <c r="D4059" s="6" t="str">
        <f>IFERROR(__xludf.DUMMYFUNCTION("""COMPUTED_VALUE"""),"Battery Kancing Energizer CR2032  3V Lithium")</f>
        <v>Battery Kancing Energizer CR2032  3V Lithium</v>
      </c>
      <c r="E4059" s="6">
        <f>IFERROR(__xludf.DUMMYFUNCTION("""COMPUTED_VALUE"""),1.0)</f>
        <v>1</v>
      </c>
      <c r="F4059" s="6">
        <f>IFERROR(__xludf.DUMMYFUNCTION("""COMPUTED_VALUE"""),1.0)</f>
        <v>1</v>
      </c>
      <c r="G4059" s="6">
        <f>IFERROR(__xludf.DUMMYFUNCTION("""COMPUTED_VALUE"""),0.0)</f>
        <v>0</v>
      </c>
      <c r="H4059" s="6" t="str">
        <f>IFERROR(__xludf.DUMMYFUNCTION("""COMPUTED_VALUE"""),"Pcs")</f>
        <v>Pcs</v>
      </c>
      <c r="I4059" s="6" t="str">
        <f>IFERROR(__xludf.DUMMYFUNCTION("""COMPUTED_VALUE"""),"MFH")</f>
        <v>MFH</v>
      </c>
      <c r="J4059" s="6" t="str">
        <f>IFERROR(__xludf.DUMMYFUNCTION("""COMPUTED_VALUE"""),"-")</f>
        <v>-</v>
      </c>
      <c r="K4059" s="6" t="str">
        <f>IFERROR(__xludf.DUMMYFUNCTION("""COMPUTED_VALUE"""),"SPR/08/26/018")</f>
        <v>SPR/08/26/018</v>
      </c>
      <c r="L4059" s="13">
        <f>IFERROR(__xludf.DUMMYFUNCTION("""COMPUTED_VALUE"""),46260.0)</f>
        <v>46260</v>
      </c>
    </row>
    <row r="4060">
      <c r="A4060" s="6" t="str">
        <f>IFERROR(__xludf.DUMMYFUNCTION("""COMPUTED_VALUE"""),"ERA")</f>
        <v>ERA</v>
      </c>
      <c r="B4060" s="6" t="str">
        <f>IFERROR(__xludf.DUMMYFUNCTION("""COMPUTED_VALUE"""),"ENG")</f>
        <v>ENG</v>
      </c>
      <c r="C4060" s="6" t="str">
        <f>IFERROR(__xludf.DUMMYFUNCTION("""COMPUTED_VALUE"""),"S-40645-00")</f>
        <v>S-40645-00</v>
      </c>
      <c r="D4060" s="6" t="str">
        <f>IFERROR(__xludf.DUMMYFUNCTION("""COMPUTED_VALUE"""),"Cable Ties, 200 x 4.8 mm; SIGMA; CS 200L; Putih;100 pcs/pack")</f>
        <v>Cable Ties, 200 x 4.8 mm; SIGMA; CS 200L; Putih;100 pcs/pack</v>
      </c>
      <c r="E4060" s="6">
        <f>IFERROR(__xludf.DUMMYFUNCTION("""COMPUTED_VALUE"""),1.0)</f>
        <v>1</v>
      </c>
      <c r="F4060" s="6">
        <f>IFERROR(__xludf.DUMMYFUNCTION("""COMPUTED_VALUE"""),1.0)</f>
        <v>1</v>
      </c>
      <c r="G4060" s="6">
        <f>IFERROR(__xludf.DUMMYFUNCTION("""COMPUTED_VALUE"""),0.0)</f>
        <v>0</v>
      </c>
      <c r="H4060" s="6" t="str">
        <f>IFERROR(__xludf.DUMMYFUNCTION("""COMPUTED_VALUE"""),"Pcs")</f>
        <v>Pcs</v>
      </c>
      <c r="I4060" s="6" t="str">
        <f>IFERROR(__xludf.DUMMYFUNCTION("""COMPUTED_VALUE"""),"MFH")</f>
        <v>MFH</v>
      </c>
      <c r="J4060" s="6" t="str">
        <f>IFERROR(__xludf.DUMMYFUNCTION("""COMPUTED_VALUE"""),"FD")</f>
        <v>FD</v>
      </c>
      <c r="K4060" s="6" t="str">
        <f>IFERROR(__xludf.DUMMYFUNCTION("""COMPUTED_VALUE"""),"SPR/08/26/018")</f>
        <v>SPR/08/26/018</v>
      </c>
      <c r="L4060" s="13">
        <f>IFERROR(__xludf.DUMMYFUNCTION("""COMPUTED_VALUE"""),46260.0)</f>
        <v>46260</v>
      </c>
    </row>
    <row r="4061">
      <c r="A4061" s="6" t="str">
        <f>IFERROR(__xludf.DUMMYFUNCTION("""COMPUTED_VALUE"""),"KFF")</f>
        <v>KFF</v>
      </c>
      <c r="B4061" s="6" t="str">
        <f>IFERROR(__xludf.DUMMYFUNCTION("""COMPUTED_VALUE"""),"ENG")</f>
        <v>ENG</v>
      </c>
      <c r="C4061" s="6" t="str">
        <f>IFERROR(__xludf.DUMMYFUNCTION("""COMPUTED_VALUE"""),"P-51027-00")</f>
        <v>P-51027-00</v>
      </c>
      <c r="D4061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4061" s="6">
        <f>IFERROR(__xludf.DUMMYFUNCTION("""COMPUTED_VALUE"""),1.0)</f>
        <v>1</v>
      </c>
      <c r="F4061" s="6">
        <f>IFERROR(__xludf.DUMMYFUNCTION("""COMPUTED_VALUE"""),1.0)</f>
        <v>1</v>
      </c>
      <c r="G4061" s="6">
        <f>IFERROR(__xludf.DUMMYFUNCTION("""COMPUTED_VALUE"""),0.0)</f>
        <v>0</v>
      </c>
      <c r="H4061" s="6" t="str">
        <f>IFERROR(__xludf.DUMMYFUNCTION("""COMPUTED_VALUE"""),"Pcs")</f>
        <v>Pcs</v>
      </c>
      <c r="I4061" s="6" t="str">
        <f>IFERROR(__xludf.DUMMYFUNCTION("""COMPUTED_VALUE"""),"MFH")</f>
        <v>MFH</v>
      </c>
      <c r="J4061" s="6" t="str">
        <f>IFERROR(__xludf.DUMMYFUNCTION("""COMPUTED_VALUE"""),"-")</f>
        <v>-</v>
      </c>
      <c r="K4061" s="6" t="str">
        <f>IFERROR(__xludf.DUMMYFUNCTION("""COMPUTED_VALUE"""),"SPR/08/26/019")</f>
        <v>SPR/08/26/019</v>
      </c>
      <c r="L4061" s="13">
        <f>IFERROR(__xludf.DUMMYFUNCTION("""COMPUTED_VALUE"""),46260.0)</f>
        <v>46260</v>
      </c>
    </row>
    <row r="4062">
      <c r="A4062" s="6" t="str">
        <f>IFERROR(__xludf.DUMMYFUNCTION("""COMPUTED_VALUE"""),"KFF")</f>
        <v>KFF</v>
      </c>
      <c r="B4062" s="6" t="str">
        <f>IFERROR(__xludf.DUMMYFUNCTION("""COMPUTED_VALUE"""),"ENG")</f>
        <v>ENG</v>
      </c>
      <c r="C4062" s="6" t="str">
        <f>IFERROR(__xludf.DUMMYFUNCTION("""COMPUTED_VALUE"""),"P-12471-00")</f>
        <v>P-12471-00</v>
      </c>
      <c r="D4062" s="6" t="str">
        <f>IFERROR(__xludf.DUMMYFUNCTION("""COMPUTED_VALUE"""),"General - Lem silicone; Elastosil; E41; 90gram/tube")</f>
        <v>General - Lem silicone; Elastosil; E41; 90gram/tube</v>
      </c>
      <c r="E4062" s="6">
        <f>IFERROR(__xludf.DUMMYFUNCTION("""COMPUTED_VALUE"""),1.0)</f>
        <v>1</v>
      </c>
      <c r="F4062" s="6">
        <f>IFERROR(__xludf.DUMMYFUNCTION("""COMPUTED_VALUE"""),1.0)</f>
        <v>1</v>
      </c>
      <c r="G4062" s="6">
        <f>IFERROR(__xludf.DUMMYFUNCTION("""COMPUTED_VALUE"""),0.0)</f>
        <v>0</v>
      </c>
      <c r="H4062" s="6" t="str">
        <f>IFERROR(__xludf.DUMMYFUNCTION("""COMPUTED_VALUE"""),"Pcs")</f>
        <v>Pcs</v>
      </c>
      <c r="I4062" s="6" t="str">
        <f>IFERROR(__xludf.DUMMYFUNCTION("""COMPUTED_VALUE"""),"MFH")</f>
        <v>MFH</v>
      </c>
      <c r="J4062" s="6" t="str">
        <f>IFERROR(__xludf.DUMMYFUNCTION("""COMPUTED_VALUE"""),"Tablet")</f>
        <v>Tablet</v>
      </c>
      <c r="K4062" s="6" t="str">
        <f>IFERROR(__xludf.DUMMYFUNCTION("""COMPUTED_VALUE"""),"SPR/08/26/020")</f>
        <v>SPR/08/26/020</v>
      </c>
      <c r="L4062" s="13">
        <f>IFERROR(__xludf.DUMMYFUNCTION("""COMPUTED_VALUE"""),46260.0)</f>
        <v>46260</v>
      </c>
    </row>
    <row r="4063">
      <c r="A4063" s="6" t="str">
        <f>IFERROR(__xludf.DUMMYFUNCTION("""COMPUTED_VALUE"""),"KFF")</f>
        <v>KFF</v>
      </c>
      <c r="B4063" s="6" t="str">
        <f>IFERROR(__xludf.DUMMYFUNCTION("""COMPUTED_VALUE"""),"ENG")</f>
        <v>ENG</v>
      </c>
      <c r="C4063" s="6" t="str">
        <f>IFERROR(__xludf.DUMMYFUNCTION("""COMPUTED_VALUE"""),"O-52200-00")</f>
        <v>O-52200-00</v>
      </c>
      <c r="D4063" s="6" t="str">
        <f>IFERROR(__xludf.DUMMYFUNCTION("""COMPUTED_VALUE"""),"FESTO -  Proximity Sensor SME-8M-DS-24V-K-0,3-M8D p/n: 543861")</f>
        <v>FESTO -  Proximity Sensor SME-8M-DS-24V-K-0,3-M8D p/n: 543861</v>
      </c>
      <c r="E4063" s="6">
        <f>IFERROR(__xludf.DUMMYFUNCTION("""COMPUTED_VALUE"""),1.0)</f>
        <v>1</v>
      </c>
      <c r="F4063" s="6">
        <f>IFERROR(__xludf.DUMMYFUNCTION("""COMPUTED_VALUE"""),1.0)</f>
        <v>1</v>
      </c>
      <c r="G4063" s="6">
        <f>IFERROR(__xludf.DUMMYFUNCTION("""COMPUTED_VALUE"""),0.0)</f>
        <v>0</v>
      </c>
      <c r="H4063" s="6" t="str">
        <f>IFERROR(__xludf.DUMMYFUNCTION("""COMPUTED_VALUE"""),"Pcs")</f>
        <v>Pcs</v>
      </c>
      <c r="I4063" s="6" t="str">
        <f>IFERROR(__xludf.DUMMYFUNCTION("""COMPUTED_VALUE"""),"MFH")</f>
        <v>MFH</v>
      </c>
      <c r="J4063" s="6" t="str">
        <f>IFERROR(__xludf.DUMMYFUNCTION("""COMPUTED_VALUE"""),"Washing")</f>
        <v>Washing</v>
      </c>
      <c r="K4063" s="6" t="str">
        <f>IFERROR(__xludf.DUMMYFUNCTION("""COMPUTED_VALUE"""),"SPR/08/26/020")</f>
        <v>SPR/08/26/020</v>
      </c>
      <c r="L4063" s="13">
        <f>IFERROR(__xludf.DUMMYFUNCTION("""COMPUTED_VALUE"""),46260.0)</f>
        <v>46260</v>
      </c>
    </row>
    <row r="4064">
      <c r="A4064" s="6" t="str">
        <f>IFERROR(__xludf.DUMMYFUNCTION("""COMPUTED_VALUE"""),"ERA")</f>
        <v>ERA</v>
      </c>
      <c r="B4064" s="6" t="str">
        <f>IFERROR(__xludf.DUMMYFUNCTION("""COMPUTED_VALUE"""),"ENG")</f>
        <v>ENG</v>
      </c>
      <c r="C4064" s="6" t="str">
        <f>IFERROR(__xludf.DUMMYFUNCTION("""COMPUTED_VALUE"""),"O-18055-00")</f>
        <v>O-18055-00</v>
      </c>
      <c r="D4064" s="6" t="str">
        <f>IFERROR(__xludf.DUMMYFUNCTION("""COMPUTED_VALUE"""),"Robot Casepacker - Suction cup; VB17. single below; diameter Cup 17 mm.; vmeca; ;")</f>
        <v>Robot Casepacker - Suction cup; VB17. single below; diameter Cup 17 mm.; vmeca; ;</v>
      </c>
      <c r="E4064" s="6">
        <f>IFERROR(__xludf.DUMMYFUNCTION("""COMPUTED_VALUE"""),3.0)</f>
        <v>3</v>
      </c>
      <c r="F4064" s="6">
        <f>IFERROR(__xludf.DUMMYFUNCTION("""COMPUTED_VALUE"""),3.0)</f>
        <v>3</v>
      </c>
      <c r="G4064" s="6">
        <f>IFERROR(__xludf.DUMMYFUNCTION("""COMPUTED_VALUE"""),0.0)</f>
        <v>0</v>
      </c>
      <c r="H4064" s="6" t="str">
        <f>IFERROR(__xludf.DUMMYFUNCTION("""COMPUTED_VALUE"""),"Pcs")</f>
        <v>Pcs</v>
      </c>
      <c r="I4064" s="6" t="str">
        <f>IFERROR(__xludf.DUMMYFUNCTION("""COMPUTED_VALUE"""),"MFH")</f>
        <v>MFH</v>
      </c>
      <c r="J4064" s="6" t="str">
        <f>IFERROR(__xludf.DUMMYFUNCTION("""COMPUTED_VALUE"""),"-")</f>
        <v>-</v>
      </c>
      <c r="K4064" s="6" t="str">
        <f>IFERROR(__xludf.DUMMYFUNCTION("""COMPUTED_VALUE"""),"SPR/08/26/021")</f>
        <v>SPR/08/26/021</v>
      </c>
      <c r="L4064" s="13">
        <f>IFERROR(__xludf.DUMMYFUNCTION("""COMPUTED_VALUE"""),46260.0)</f>
        <v>46260</v>
      </c>
    </row>
    <row r="4065">
      <c r="A4065" s="6" t="str">
        <f>IFERROR(__xludf.DUMMYFUNCTION("""COMPUTED_VALUE"""),"MFH")</f>
        <v>MFH</v>
      </c>
      <c r="B4065" s="6" t="str">
        <f>IFERROR(__xludf.DUMMYFUNCTION("""COMPUTED_VALUE"""),"ENG")</f>
        <v>ENG</v>
      </c>
      <c r="C4065" s="6" t="str">
        <f>IFERROR(__xludf.DUMMYFUNCTION("""COMPUTED_VALUE"""),"P-13389-00")</f>
        <v>P-13389-00</v>
      </c>
      <c r="D4065" s="6" t="str">
        <f>IFERROR(__xludf.DUMMYFUNCTION("""COMPUTED_VALUE"""),"Scotch Brite 3M; ; ;")</f>
        <v>Scotch Brite 3M; ; ;</v>
      </c>
      <c r="E4065" s="6">
        <f>IFERROR(__xludf.DUMMYFUNCTION("""COMPUTED_VALUE"""),10.0)</f>
        <v>10</v>
      </c>
      <c r="F4065" s="6">
        <f>IFERROR(__xludf.DUMMYFUNCTION("""COMPUTED_VALUE"""),10.0)</f>
        <v>10</v>
      </c>
      <c r="G4065" s="6">
        <f>IFERROR(__xludf.DUMMYFUNCTION("""COMPUTED_VALUE"""),0.0)</f>
        <v>0</v>
      </c>
      <c r="H4065" s="6" t="str">
        <f>IFERROR(__xludf.DUMMYFUNCTION("""COMPUTED_VALUE"""),"Pcs")</f>
        <v>Pcs</v>
      </c>
      <c r="I4065" s="6" t="str">
        <f>IFERROR(__xludf.DUMMYFUNCTION("""COMPUTED_VALUE"""),"MFH")</f>
        <v>MFH</v>
      </c>
      <c r="J4065" s="6" t="str">
        <f>IFERROR(__xludf.DUMMYFUNCTION("""COMPUTED_VALUE"""),"-")</f>
        <v>-</v>
      </c>
      <c r="K4065" s="6" t="str">
        <f>IFERROR(__xludf.DUMMYFUNCTION("""COMPUTED_VALUE"""),"SPR/08/26/022")</f>
        <v>SPR/08/26/022</v>
      </c>
      <c r="L4065" s="13">
        <f>IFERROR(__xludf.DUMMYFUNCTION("""COMPUTED_VALUE"""),46260.0)</f>
        <v>46260</v>
      </c>
    </row>
    <row r="4066">
      <c r="A4066" s="6" t="str">
        <f>IFERROR(__xludf.DUMMYFUNCTION("""COMPUTED_VALUE"""),"MFH")</f>
        <v>MFH</v>
      </c>
      <c r="B4066" s="6" t="str">
        <f>IFERROR(__xludf.DUMMYFUNCTION("""COMPUTED_VALUE"""),"ENG")</f>
        <v>ENG</v>
      </c>
      <c r="C4066" s="6" t="str">
        <f>IFERROR(__xludf.DUMMYFUNCTION("""COMPUTED_VALUE"""),"P-54584-00")</f>
        <v>P-54584-00</v>
      </c>
      <c r="D4066" s="6" t="str">
        <f>IFERROR(__xludf.DUMMYFUNCTION("""COMPUTED_VALUE"""),"AHU - Centrifugal Duct Inline Blower 8inch; Nicotra; GCIL 200; 1 unit")</f>
        <v>AHU - Centrifugal Duct Inline Blower 8inch; Nicotra; GCIL 200; 1 unit</v>
      </c>
      <c r="E4066" s="6">
        <f>IFERROR(__xludf.DUMMYFUNCTION("""COMPUTED_VALUE"""),1.0)</f>
        <v>1</v>
      </c>
      <c r="F4066" s="6">
        <f>IFERROR(__xludf.DUMMYFUNCTION("""COMPUTED_VALUE"""),1.0)</f>
        <v>1</v>
      </c>
      <c r="G4066" s="6">
        <f>IFERROR(__xludf.DUMMYFUNCTION("""COMPUTED_VALUE"""),0.0)</f>
        <v>0</v>
      </c>
      <c r="H4066" s="6" t="str">
        <f>IFERROR(__xludf.DUMMYFUNCTION("""COMPUTED_VALUE"""),"Pcs")</f>
        <v>Pcs</v>
      </c>
      <c r="I4066" s="6" t="str">
        <f>IFERROR(__xludf.DUMMYFUNCTION("""COMPUTED_VALUE"""),"MFH")</f>
        <v>MFH</v>
      </c>
      <c r="J4066" s="6" t="str">
        <f>IFERROR(__xludf.DUMMYFUNCTION("""COMPUTED_VALUE"""),"-")</f>
        <v>-</v>
      </c>
      <c r="K4066" s="6" t="str">
        <f>IFERROR(__xludf.DUMMYFUNCTION("""COMPUTED_VALUE"""),"SPR/08/26/022")</f>
        <v>SPR/08/26/022</v>
      </c>
      <c r="L4066" s="13">
        <f>IFERROR(__xludf.DUMMYFUNCTION("""COMPUTED_VALUE"""),46260.0)</f>
        <v>46260</v>
      </c>
    </row>
    <row r="4067">
      <c r="A4067" s="6" t="str">
        <f>IFERROR(__xludf.DUMMYFUNCTION("""COMPUTED_VALUE"""),"MFH")</f>
        <v>MFH</v>
      </c>
      <c r="B4067" s="6" t="str">
        <f>IFERROR(__xludf.DUMMYFUNCTION("""COMPUTED_VALUE"""),"ENG")</f>
        <v>ENG</v>
      </c>
      <c r="C4067" s="6" t="str">
        <f>IFERROR(__xludf.DUMMYFUNCTION("""COMPUTED_VALUE"""),"T-80109-00")</f>
        <v>T-80109-00</v>
      </c>
      <c r="D4067" s="6" t="str">
        <f>IFERROR(__xludf.DUMMYFUNCTION("""COMPUTED_VALUE"""),"Cellotape Kertas 1 inch warna Putih")</f>
        <v>Cellotape Kertas 1 inch warna Putih</v>
      </c>
      <c r="E4067" s="6">
        <f>IFERROR(__xludf.DUMMYFUNCTION("""COMPUTED_VALUE"""),2.0)</f>
        <v>2</v>
      </c>
      <c r="F4067" s="6">
        <f>IFERROR(__xludf.DUMMYFUNCTION("""COMPUTED_VALUE"""),2.0)</f>
        <v>2</v>
      </c>
      <c r="G4067" s="6">
        <f>IFERROR(__xludf.DUMMYFUNCTION("""COMPUTED_VALUE"""),0.0)</f>
        <v>0</v>
      </c>
      <c r="H4067" s="6" t="str">
        <f>IFERROR(__xludf.DUMMYFUNCTION("""COMPUTED_VALUE"""),"Pcs")</f>
        <v>Pcs</v>
      </c>
      <c r="I4067" s="6" t="str">
        <f>IFERROR(__xludf.DUMMYFUNCTION("""COMPUTED_VALUE"""),"MFH")</f>
        <v>MFH</v>
      </c>
      <c r="J4067" s="6" t="str">
        <f>IFERROR(__xludf.DUMMYFUNCTION("""COMPUTED_VALUE"""),"-")</f>
        <v>-</v>
      </c>
      <c r="K4067" s="6" t="str">
        <f>IFERROR(__xludf.DUMMYFUNCTION("""COMPUTED_VALUE"""),"SPR/08/26/022")</f>
        <v>SPR/08/26/022</v>
      </c>
      <c r="L4067" s="13">
        <f>IFERROR(__xludf.DUMMYFUNCTION("""COMPUTED_VALUE"""),46260.0)</f>
        <v>46260</v>
      </c>
    </row>
    <row r="4068">
      <c r="A4068" s="6" t="str">
        <f>IFERROR(__xludf.DUMMYFUNCTION("""COMPUTED_VALUE"""),"MFH")</f>
        <v>MFH</v>
      </c>
      <c r="B4068" s="6" t="str">
        <f>IFERROR(__xludf.DUMMYFUNCTION("""COMPUTED_VALUE"""),"ENG")</f>
        <v>ENG</v>
      </c>
      <c r="C4068" s="6" t="str">
        <f>IFERROR(__xludf.DUMMYFUNCTION("""COMPUTED_VALUE"""),"O-20751-00")</f>
        <v>O-20751-00</v>
      </c>
      <c r="D4068" s="6" t="str">
        <f>IFERROR(__xludf.DUMMYFUNCTION("""COMPUTED_VALUE"""),"Marchesini MA155 - Roller Gripper Cartoning Uk. 13x6x6mm; Custom/Lokal; -; 1 Pc")</f>
        <v>Marchesini MA155 - Roller Gripper Cartoning Uk. 13x6x6mm; Custom/Lokal; -; 1 Pc</v>
      </c>
      <c r="E4068" s="6">
        <f>IFERROR(__xludf.DUMMYFUNCTION("""COMPUTED_VALUE"""),23.0)</f>
        <v>23</v>
      </c>
      <c r="F4068" s="6">
        <f>IFERROR(__xludf.DUMMYFUNCTION("""COMPUTED_VALUE"""),23.0)</f>
        <v>23</v>
      </c>
      <c r="G4068" s="6">
        <f>IFERROR(__xludf.DUMMYFUNCTION("""COMPUTED_VALUE"""),0.0)</f>
        <v>0</v>
      </c>
      <c r="H4068" s="6" t="str">
        <f>IFERROR(__xludf.DUMMYFUNCTION("""COMPUTED_VALUE"""),"Pcs")</f>
        <v>Pcs</v>
      </c>
      <c r="I4068" s="6" t="str">
        <f>IFERROR(__xludf.DUMMYFUNCTION("""COMPUTED_VALUE"""),"MFH")</f>
        <v>MFH</v>
      </c>
      <c r="J4068" s="6" t="str">
        <f>IFERROR(__xludf.DUMMYFUNCTION("""COMPUTED_VALUE"""),"-")</f>
        <v>-</v>
      </c>
      <c r="K4068" s="6" t="str">
        <f>IFERROR(__xludf.DUMMYFUNCTION("""COMPUTED_VALUE"""),"SPR/08/26/023")</f>
        <v>SPR/08/26/023</v>
      </c>
      <c r="L4068" s="13">
        <f>IFERROR(__xludf.DUMMYFUNCTION("""COMPUTED_VALUE"""),46260.0)</f>
        <v>46260</v>
      </c>
    </row>
    <row r="4069">
      <c r="A4069" s="6" t="str">
        <f>IFERROR(__xludf.DUMMYFUNCTION("""COMPUTED_VALUE"""),"MFH")</f>
        <v>MFH</v>
      </c>
      <c r="B4069" s="6" t="str">
        <f>IFERROR(__xludf.DUMMYFUNCTION("""COMPUTED_VALUE"""),"ENG")</f>
        <v>ENG</v>
      </c>
      <c r="C4069" s="6" t="str">
        <f>IFERROR(__xludf.DUMMYFUNCTION("""COMPUTED_VALUE"""),"P-54334-00")</f>
        <v>P-54334-00</v>
      </c>
      <c r="D4069" s="6" t="str">
        <f>IFERROR(__xludf.DUMMYFUNCTION("""COMPUTED_VALUE"""),"General - Socket Relay PYFZ-14-E; Omron; -; 1 pc")</f>
        <v>General - Socket Relay PYFZ-14-E; Omron; -; 1 pc</v>
      </c>
      <c r="E4069" s="6">
        <f>IFERROR(__xludf.DUMMYFUNCTION("""COMPUTED_VALUE"""),4.0)</f>
        <v>4</v>
      </c>
      <c r="F4069" s="6">
        <f>IFERROR(__xludf.DUMMYFUNCTION("""COMPUTED_VALUE"""),4.0)</f>
        <v>4</v>
      </c>
      <c r="G4069" s="6">
        <f>IFERROR(__xludf.DUMMYFUNCTION("""COMPUTED_VALUE"""),0.0)</f>
        <v>0</v>
      </c>
      <c r="H4069" s="6" t="str">
        <f>IFERROR(__xludf.DUMMYFUNCTION("""COMPUTED_VALUE"""),"Pcs")</f>
        <v>Pcs</v>
      </c>
      <c r="I4069" s="6" t="str">
        <f>IFERROR(__xludf.DUMMYFUNCTION("""COMPUTED_VALUE"""),"MFH")</f>
        <v>MFH</v>
      </c>
      <c r="J4069" s="6" t="str">
        <f>IFERROR(__xludf.DUMMYFUNCTION("""COMPUTED_VALUE"""),"-")</f>
        <v>-</v>
      </c>
      <c r="K4069" s="6" t="str">
        <f>IFERROR(__xludf.DUMMYFUNCTION("""COMPUTED_VALUE"""),"SPR/08/26/023")</f>
        <v>SPR/08/26/023</v>
      </c>
      <c r="L4069" s="13">
        <f>IFERROR(__xludf.DUMMYFUNCTION("""COMPUTED_VALUE"""),46260.0)</f>
        <v>46260</v>
      </c>
    </row>
    <row r="4070">
      <c r="A4070" s="6" t="str">
        <f>IFERROR(__xludf.DUMMYFUNCTION("""COMPUTED_VALUE"""),"MFH")</f>
        <v>MFH</v>
      </c>
      <c r="B4070" s="6" t="str">
        <f>IFERROR(__xludf.DUMMYFUNCTION("""COMPUTED_VALUE"""),"ENG")</f>
        <v>ENG</v>
      </c>
      <c r="C4070" s="6" t="str">
        <f>IFERROR(__xludf.DUMMYFUNCTION("""COMPUTED_VALUE"""),"P-51027-00")</f>
        <v>P-51027-00</v>
      </c>
      <c r="D4070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4070" s="6">
        <f>IFERROR(__xludf.DUMMYFUNCTION("""COMPUTED_VALUE"""),3.0)</f>
        <v>3</v>
      </c>
      <c r="F4070" s="6">
        <f>IFERROR(__xludf.DUMMYFUNCTION("""COMPUTED_VALUE"""),3.0)</f>
        <v>3</v>
      </c>
      <c r="G4070" s="6">
        <f>IFERROR(__xludf.DUMMYFUNCTION("""COMPUTED_VALUE"""),0.0)</f>
        <v>0</v>
      </c>
      <c r="H4070" s="6" t="str">
        <f>IFERROR(__xludf.DUMMYFUNCTION("""COMPUTED_VALUE"""),"Pcs")</f>
        <v>Pcs</v>
      </c>
      <c r="I4070" s="6" t="str">
        <f>IFERROR(__xludf.DUMMYFUNCTION("""COMPUTED_VALUE"""),"MFH")</f>
        <v>MFH</v>
      </c>
      <c r="J4070" s="6" t="str">
        <f>IFERROR(__xludf.DUMMYFUNCTION("""COMPUTED_VALUE"""),"-")</f>
        <v>-</v>
      </c>
      <c r="K4070" s="6" t="str">
        <f>IFERROR(__xludf.DUMMYFUNCTION("""COMPUTED_VALUE"""),"SPR/08/26/023")</f>
        <v>SPR/08/26/023</v>
      </c>
      <c r="L4070" s="13">
        <f>IFERROR(__xludf.DUMMYFUNCTION("""COMPUTED_VALUE"""),46260.0)</f>
        <v>46260</v>
      </c>
    </row>
    <row r="4071">
      <c r="A4071" s="6" t="str">
        <f>IFERROR(__xludf.DUMMYFUNCTION("""COMPUTED_VALUE"""),"MRN")</f>
        <v>MRN</v>
      </c>
      <c r="B4071" s="6" t="str">
        <f>IFERROR(__xludf.DUMMYFUNCTION("""COMPUTED_VALUE"""),"ENG")</f>
        <v>ENG</v>
      </c>
      <c r="C4071" s="6" t="str">
        <f>IFERROR(__xludf.DUMMYFUNCTION("""COMPUTED_VALUE"""),"P-53293-00")</f>
        <v>P-53293-00</v>
      </c>
      <c r="D4071" s="6" t="str">
        <f>IFERROR(__xludf.DUMMYFUNCTION("""COMPUTED_VALUE"""),"General - Lampu Emergency TL LED 16W Waterproof IP65; Briliant; -; 1 pc")</f>
        <v>General - Lampu Emergency TL LED 16W Waterproof IP65; Briliant; -; 1 pc</v>
      </c>
      <c r="E4071" s="6">
        <f>IFERROR(__xludf.DUMMYFUNCTION("""COMPUTED_VALUE"""),2.0)</f>
        <v>2</v>
      </c>
      <c r="F4071" s="6">
        <f>IFERROR(__xludf.DUMMYFUNCTION("""COMPUTED_VALUE"""),2.0)</f>
        <v>2</v>
      </c>
      <c r="G4071" s="6">
        <f>IFERROR(__xludf.DUMMYFUNCTION("""COMPUTED_VALUE"""),0.0)</f>
        <v>0</v>
      </c>
      <c r="H4071" s="6" t="str">
        <f>IFERROR(__xludf.DUMMYFUNCTION("""COMPUTED_VALUE"""),"Pcs")</f>
        <v>Pcs</v>
      </c>
      <c r="I4071" s="6" t="str">
        <f>IFERROR(__xludf.DUMMYFUNCTION("""COMPUTED_VALUE"""),"MFH")</f>
        <v>MFH</v>
      </c>
      <c r="J4071" s="6" t="str">
        <f>IFERROR(__xludf.DUMMYFUNCTION("""COMPUTED_VALUE"""),"Building")</f>
        <v>Building</v>
      </c>
      <c r="K4071" s="6" t="str">
        <f>IFERROR(__xludf.DUMMYFUNCTION("""COMPUTED_VALUE"""),"SPR/08/26/024")</f>
        <v>SPR/08/26/024</v>
      </c>
      <c r="L4071" s="13">
        <f>IFERROR(__xludf.DUMMYFUNCTION("""COMPUTED_VALUE"""),46260.0)</f>
        <v>46260</v>
      </c>
    </row>
    <row r="4072">
      <c r="A4072" s="6" t="str">
        <f>IFERROR(__xludf.DUMMYFUNCTION("""COMPUTED_VALUE"""),"MOB")</f>
        <v>MOB</v>
      </c>
      <c r="B4072" s="6" t="str">
        <f>IFERROR(__xludf.DUMMYFUNCTION("""COMPUTED_VALUE"""),"ENG")</f>
        <v>ENG</v>
      </c>
      <c r="C4072" s="6" t="str">
        <f>IFERROR(__xludf.DUMMYFUNCTION("""COMPUTED_VALUE"""),"P-11228-00")</f>
        <v>P-11228-00</v>
      </c>
      <c r="D4072" s="6" t="str">
        <f>IFERROR(__xludf.DUMMYFUNCTION("""COMPUTED_VALUE"""),"Pneumatic  Fitting - QST 8 / PN : 153130 / Festo")</f>
        <v>Pneumatic  Fitting - QST 8 / PN : 153130 / Festo</v>
      </c>
      <c r="E4072" s="6">
        <f>IFERROR(__xludf.DUMMYFUNCTION("""COMPUTED_VALUE"""),2.0)</f>
        <v>2</v>
      </c>
      <c r="F4072" s="6">
        <f>IFERROR(__xludf.DUMMYFUNCTION("""COMPUTED_VALUE"""),2.0)</f>
        <v>2</v>
      </c>
      <c r="G4072" s="6">
        <f>IFERROR(__xludf.DUMMYFUNCTION("""COMPUTED_VALUE"""),0.0)</f>
        <v>0</v>
      </c>
      <c r="H4072" s="6" t="str">
        <f>IFERROR(__xludf.DUMMYFUNCTION("""COMPUTED_VALUE"""),"Pcs")</f>
        <v>Pcs</v>
      </c>
      <c r="I4072" s="6" t="str">
        <f>IFERROR(__xludf.DUMMYFUNCTION("""COMPUTED_VALUE"""),"MFH")</f>
        <v>MFH</v>
      </c>
      <c r="J4072" s="6" t="str">
        <f>IFERROR(__xludf.DUMMYFUNCTION("""COMPUTED_VALUE"""),"-")</f>
        <v>-</v>
      </c>
      <c r="K4072" s="6" t="str">
        <f>IFERROR(__xludf.DUMMYFUNCTION("""COMPUTED_VALUE"""),"SPR/08/26/025")</f>
        <v>SPR/08/26/025</v>
      </c>
      <c r="L4072" s="13">
        <f>IFERROR(__xludf.DUMMYFUNCTION("""COMPUTED_VALUE"""),46260.0)</f>
        <v>46260</v>
      </c>
    </row>
    <row r="4073">
      <c r="A4073" s="6" t="str">
        <f>IFERROR(__xludf.DUMMYFUNCTION("""COMPUTED_VALUE"""),"MOB")</f>
        <v>MOB</v>
      </c>
      <c r="B4073" s="6" t="str">
        <f>IFERROR(__xludf.DUMMYFUNCTION("""COMPUTED_VALUE"""),"ENG")</f>
        <v>ENG</v>
      </c>
      <c r="C4073" s="6" t="str">
        <f>IFERROR(__xludf.DUMMYFUNCTION("""COMPUTED_VALUE"""),"P-11227-00")</f>
        <v>P-11227-00</v>
      </c>
      <c r="D4073" s="6" t="str">
        <f>IFERROR(__xludf.DUMMYFUNCTION("""COMPUTED_VALUE"""),"General - Push-in T-connector, QST-6; Festo; 153129; 1 pcs")</f>
        <v>General - Push-in T-connector, QST-6; Festo; 153129; 1 pcs</v>
      </c>
      <c r="E4073" s="6">
        <f>IFERROR(__xludf.DUMMYFUNCTION("""COMPUTED_VALUE"""),2.0)</f>
        <v>2</v>
      </c>
      <c r="F4073" s="6">
        <f>IFERROR(__xludf.DUMMYFUNCTION("""COMPUTED_VALUE"""),2.0)</f>
        <v>2</v>
      </c>
      <c r="G4073" s="6">
        <f>IFERROR(__xludf.DUMMYFUNCTION("""COMPUTED_VALUE"""),0.0)</f>
        <v>0</v>
      </c>
      <c r="H4073" s="6" t="str">
        <f>IFERROR(__xludf.DUMMYFUNCTION("""COMPUTED_VALUE"""),"Pcs")</f>
        <v>Pcs</v>
      </c>
      <c r="I4073" s="6" t="str">
        <f>IFERROR(__xludf.DUMMYFUNCTION("""COMPUTED_VALUE"""),"MFH")</f>
        <v>MFH</v>
      </c>
      <c r="J4073" s="6" t="str">
        <f>IFERROR(__xludf.DUMMYFUNCTION("""COMPUTED_VALUE"""),"-")</f>
        <v>-</v>
      </c>
      <c r="K4073" s="6" t="str">
        <f>IFERROR(__xludf.DUMMYFUNCTION("""COMPUTED_VALUE"""),"SPR/08/26/025")</f>
        <v>SPR/08/26/025</v>
      </c>
      <c r="L4073" s="13">
        <f>IFERROR(__xludf.DUMMYFUNCTION("""COMPUTED_VALUE"""),46260.0)</f>
        <v>46260</v>
      </c>
    </row>
    <row r="4074">
      <c r="A4074" s="6" t="str">
        <f>IFERROR(__xludf.DUMMYFUNCTION("""COMPUTED_VALUE"""),"MOB")</f>
        <v>MOB</v>
      </c>
      <c r="B4074" s="6" t="str">
        <f>IFERROR(__xludf.DUMMYFUNCTION("""COMPUTED_VALUE"""),"ENG")</f>
        <v>ENG</v>
      </c>
      <c r="C4074" s="6" t="str">
        <f>IFERROR(__xludf.DUMMYFUNCTION("""COMPUTED_VALUE"""),"P-14245-00")</f>
        <v>P-14245-00</v>
      </c>
      <c r="D4074" s="6" t="str">
        <f>IFERROR(__xludf.DUMMYFUNCTION("""COMPUTED_VALUE"""),"General - Shut-off Valve, HE-2-QS-8; Festo; 153468; 1 pcs")</f>
        <v>General - Shut-off Valve, HE-2-QS-8; Festo; 153468; 1 pcs</v>
      </c>
      <c r="E4074" s="6">
        <f>IFERROR(__xludf.DUMMYFUNCTION("""COMPUTED_VALUE"""),1.0)</f>
        <v>1</v>
      </c>
      <c r="F4074" s="6">
        <f>IFERROR(__xludf.DUMMYFUNCTION("""COMPUTED_VALUE"""),1.0)</f>
        <v>1</v>
      </c>
      <c r="G4074" s="6">
        <f>IFERROR(__xludf.DUMMYFUNCTION("""COMPUTED_VALUE"""),0.0)</f>
        <v>0</v>
      </c>
      <c r="H4074" s="6" t="str">
        <f>IFERROR(__xludf.DUMMYFUNCTION("""COMPUTED_VALUE"""),"Pcs")</f>
        <v>Pcs</v>
      </c>
      <c r="I4074" s="6" t="str">
        <f>IFERROR(__xludf.DUMMYFUNCTION("""COMPUTED_VALUE"""),"MFH")</f>
        <v>MFH</v>
      </c>
      <c r="J4074" s="6" t="str">
        <f>IFERROR(__xludf.DUMMYFUNCTION("""COMPUTED_VALUE"""),"-")</f>
        <v>-</v>
      </c>
      <c r="K4074" s="6" t="str">
        <f>IFERROR(__xludf.DUMMYFUNCTION("""COMPUTED_VALUE"""),"SPR/08/26/025")</f>
        <v>SPR/08/26/025</v>
      </c>
      <c r="L4074" s="13">
        <f>IFERROR(__xludf.DUMMYFUNCTION("""COMPUTED_VALUE"""),46260.0)</f>
        <v>46260</v>
      </c>
    </row>
    <row r="4075">
      <c r="A4075" s="6" t="str">
        <f>IFERROR(__xludf.DUMMYFUNCTION("""COMPUTED_VALUE"""),"MOB")</f>
        <v>MOB</v>
      </c>
      <c r="B4075" s="6" t="str">
        <f>IFERROR(__xludf.DUMMYFUNCTION("""COMPUTED_VALUE"""),"ENG")</f>
        <v>ENG</v>
      </c>
      <c r="C4075" s="6" t="str">
        <f>IFERROR(__xludf.DUMMYFUNCTION("""COMPUTED_VALUE"""),"P-13650-00")</f>
        <v>P-13650-00</v>
      </c>
      <c r="D4075" s="6" t="str">
        <f>IFERROR(__xludf.DUMMYFUNCTION("""COMPUTED_VALUE"""),"Manual Valve HE-2-QS-6; FESTO; ;")</f>
        <v>Manual Valve HE-2-QS-6; FESTO; ;</v>
      </c>
      <c r="E4075" s="6">
        <f>IFERROR(__xludf.DUMMYFUNCTION("""COMPUTED_VALUE"""),1.0)</f>
        <v>1</v>
      </c>
      <c r="F4075" s="6">
        <f>IFERROR(__xludf.DUMMYFUNCTION("""COMPUTED_VALUE"""),1.0)</f>
        <v>1</v>
      </c>
      <c r="G4075" s="6">
        <f>IFERROR(__xludf.DUMMYFUNCTION("""COMPUTED_VALUE"""),0.0)</f>
        <v>0</v>
      </c>
      <c r="H4075" s="6" t="str">
        <f>IFERROR(__xludf.DUMMYFUNCTION("""COMPUTED_VALUE"""),"Pcs")</f>
        <v>Pcs</v>
      </c>
      <c r="I4075" s="6" t="str">
        <f>IFERROR(__xludf.DUMMYFUNCTION("""COMPUTED_VALUE"""),"MFH")</f>
        <v>MFH</v>
      </c>
      <c r="J4075" s="6" t="str">
        <f>IFERROR(__xludf.DUMMYFUNCTION("""COMPUTED_VALUE"""),"-")</f>
        <v>-</v>
      </c>
      <c r="K4075" s="6" t="str">
        <f>IFERROR(__xludf.DUMMYFUNCTION("""COMPUTED_VALUE"""),"SPR/08/26/026")</f>
        <v>SPR/08/26/026</v>
      </c>
      <c r="L4075" s="13">
        <f>IFERROR(__xludf.DUMMYFUNCTION("""COMPUTED_VALUE"""),46260.0)</f>
        <v>46260</v>
      </c>
    </row>
    <row r="4076">
      <c r="A4076" s="6" t="str">
        <f>IFERROR(__xludf.DUMMYFUNCTION("""COMPUTED_VALUE"""),"SFH")</f>
        <v>SFH</v>
      </c>
      <c r="B4076" s="6" t="str">
        <f>IFERROR(__xludf.DUMMYFUNCTION("""COMPUTED_VALUE"""),"ENG")</f>
        <v>ENG</v>
      </c>
      <c r="C4076" s="6" t="str">
        <f>IFERROR(__xludf.DUMMYFUNCTION("""COMPUTED_VALUE"""),"Q-10249-00")</f>
        <v>Q-10249-00</v>
      </c>
      <c r="D4076" s="6" t="str">
        <f>IFERROR(__xludf.DUMMYFUNCTION("""COMPUTED_VALUE"""),"Lem Power Glue")</f>
        <v>Lem Power Glue</v>
      </c>
      <c r="E4076" s="6">
        <f>IFERROR(__xludf.DUMMYFUNCTION("""COMPUTED_VALUE"""),1.0)</f>
        <v>1</v>
      </c>
      <c r="F4076" s="6">
        <f>IFERROR(__xludf.DUMMYFUNCTION("""COMPUTED_VALUE"""),1.0)</f>
        <v>1</v>
      </c>
      <c r="G4076" s="6">
        <f>IFERROR(__xludf.DUMMYFUNCTION("""COMPUTED_VALUE"""),0.0)</f>
        <v>0</v>
      </c>
      <c r="H4076" s="6" t="str">
        <f>IFERROR(__xludf.DUMMYFUNCTION("""COMPUTED_VALUE"""),"pcs")</f>
        <v>pcs</v>
      </c>
      <c r="I4076" s="6" t="str">
        <f>IFERROR(__xludf.DUMMYFUNCTION("""COMPUTED_VALUE"""),"MFH")</f>
        <v>MFH</v>
      </c>
      <c r="J4076" s="6" t="str">
        <f>IFERROR(__xludf.DUMMYFUNCTION("""COMPUTED_VALUE"""),"-")</f>
        <v>-</v>
      </c>
      <c r="K4076" s="6" t="str">
        <f>IFERROR(__xludf.DUMMYFUNCTION("""COMPUTED_VALUE"""),"SPR/08/26/027")</f>
        <v>SPR/08/26/027</v>
      </c>
      <c r="L4076" s="13">
        <f>IFERROR(__xludf.DUMMYFUNCTION("""COMPUTED_VALUE"""),46260.0)</f>
        <v>46260</v>
      </c>
    </row>
    <row r="4077">
      <c r="A4077" s="6" t="str">
        <f>IFERROR(__xludf.DUMMYFUNCTION("""COMPUTED_VALUE"""),"WAP")</f>
        <v>WAP</v>
      </c>
      <c r="B4077" s="6" t="str">
        <f>IFERROR(__xludf.DUMMYFUNCTION("""COMPUTED_VALUE"""),"ENG")</f>
        <v>ENG</v>
      </c>
      <c r="C4077" s="6" t="str">
        <f>IFERROR(__xludf.DUMMYFUNCTION("""COMPUTED_VALUE"""),"P-15862-00")</f>
        <v>P-15862-00</v>
      </c>
      <c r="D4077" s="6" t="str">
        <f>IFERROR(__xludf.DUMMYFUNCTION("""COMPUTED_VALUE"""),"PAPER RECORD YOKOGAWA; FOLDING CHART B9565AW")</f>
        <v>PAPER RECORD YOKOGAWA; FOLDING CHART B9565AW</v>
      </c>
      <c r="E4077" s="6">
        <f>IFERROR(__xludf.DUMMYFUNCTION("""COMPUTED_VALUE"""),2.0)</f>
        <v>2</v>
      </c>
      <c r="F4077" s="6">
        <f>IFERROR(__xludf.DUMMYFUNCTION("""COMPUTED_VALUE"""),2.0)</f>
        <v>2</v>
      </c>
      <c r="G4077" s="6">
        <f>IFERROR(__xludf.DUMMYFUNCTION("""COMPUTED_VALUE"""),0.0)</f>
        <v>0</v>
      </c>
      <c r="H4077" s="6" t="str">
        <f>IFERROR(__xludf.DUMMYFUNCTION("""COMPUTED_VALUE"""),"Pcs")</f>
        <v>Pcs</v>
      </c>
      <c r="I4077" s="6" t="str">
        <f>IFERROR(__xludf.DUMMYFUNCTION("""COMPUTED_VALUE"""),"MFH")</f>
        <v>MFH</v>
      </c>
      <c r="J4077" s="6" t="str">
        <f>IFERROR(__xludf.DUMMYFUNCTION("""COMPUTED_VALUE"""),"-")</f>
        <v>-</v>
      </c>
      <c r="K4077" s="6" t="str">
        <f>IFERROR(__xludf.DUMMYFUNCTION("""COMPUTED_VALUE"""),"SPR/08/26/028")</f>
        <v>SPR/08/26/028</v>
      </c>
      <c r="L4077" s="13">
        <f>IFERROR(__xludf.DUMMYFUNCTION("""COMPUTED_VALUE"""),46260.0)</f>
        <v>46260</v>
      </c>
    </row>
    <row r="4078">
      <c r="A4078" s="6" t="str">
        <f>IFERROR(__xludf.DUMMYFUNCTION("""COMPUTED_VALUE"""),"WAP")</f>
        <v>WAP</v>
      </c>
      <c r="B4078" s="6" t="str">
        <f>IFERROR(__xludf.DUMMYFUNCTION("""COMPUTED_VALUE"""),"ENG")</f>
        <v>ENG</v>
      </c>
      <c r="C4078" s="6" t="str">
        <f>IFERROR(__xludf.DUMMYFUNCTION("""COMPUTED_VALUE"""),"P-52854-00")</f>
        <v>P-52854-00</v>
      </c>
      <c r="D4078" s="6" t="str">
        <f>IFERROR(__xludf.DUMMYFUNCTION("""COMPUTED_VALUE"""),"General - Socket RJ45 Cat 6; Belden; -; 50pcs/pack")</f>
        <v>General - Socket RJ45 Cat 6; Belden; -; 50pcs/pack</v>
      </c>
      <c r="E4078" s="6">
        <f>IFERROR(__xludf.DUMMYFUNCTION("""COMPUTED_VALUE"""),2.0)</f>
        <v>2</v>
      </c>
      <c r="F4078" s="6">
        <f>IFERROR(__xludf.DUMMYFUNCTION("""COMPUTED_VALUE"""),2.0)</f>
        <v>2</v>
      </c>
      <c r="G4078" s="6">
        <f>IFERROR(__xludf.DUMMYFUNCTION("""COMPUTED_VALUE"""),0.0)</f>
        <v>0</v>
      </c>
      <c r="H4078" s="6" t="str">
        <f>IFERROR(__xludf.DUMMYFUNCTION("""COMPUTED_VALUE"""),"Pcs")</f>
        <v>Pcs</v>
      </c>
      <c r="I4078" s="6" t="str">
        <f>IFERROR(__xludf.DUMMYFUNCTION("""COMPUTED_VALUE"""),"MFH")</f>
        <v>MFH</v>
      </c>
      <c r="J4078" s="6" t="str">
        <f>IFERROR(__xludf.DUMMYFUNCTION("""COMPUTED_VALUE"""),"Lab")</f>
        <v>Lab</v>
      </c>
      <c r="K4078" s="6" t="str">
        <f>IFERROR(__xludf.DUMMYFUNCTION("""COMPUTED_VALUE"""),"SPR/08/26/029")</f>
        <v>SPR/08/26/029</v>
      </c>
      <c r="L4078" s="13">
        <f>IFERROR(__xludf.DUMMYFUNCTION("""COMPUTED_VALUE"""),46260.0)</f>
        <v>46260</v>
      </c>
    </row>
    <row r="4079">
      <c r="A4079" s="6" t="str">
        <f>IFERROR(__xludf.DUMMYFUNCTION("""COMPUTED_VALUE"""),"WAP")</f>
        <v>WAP</v>
      </c>
      <c r="B4079" s="6" t="str">
        <f>IFERROR(__xludf.DUMMYFUNCTION("""COMPUTED_VALUE"""),"ENG")</f>
        <v>ENG</v>
      </c>
      <c r="C4079" s="6" t="str">
        <f>IFERROR(__xludf.DUMMYFUNCTION("""COMPUTED_VALUE"""),"P-50717-00")</f>
        <v>P-50717-00</v>
      </c>
      <c r="D4079" s="6" t="str">
        <f>IFERROR(__xludf.DUMMYFUNCTION("""COMPUTED_VALUE"""),"General - Kabel UTP 4 Pairs Cat 6; Belden; -; 305m/roll")</f>
        <v>General - Kabel UTP 4 Pairs Cat 6; Belden; -; 305m/roll</v>
      </c>
      <c r="E4079" s="6">
        <f>IFERROR(__xludf.DUMMYFUNCTION("""COMPUTED_VALUE"""),20.0)</f>
        <v>20</v>
      </c>
      <c r="F4079" s="6">
        <f>IFERROR(__xludf.DUMMYFUNCTION("""COMPUTED_VALUE"""),20.0)</f>
        <v>20</v>
      </c>
      <c r="G4079" s="6">
        <f>IFERROR(__xludf.DUMMYFUNCTION("""COMPUTED_VALUE"""),0.0)</f>
        <v>0</v>
      </c>
      <c r="H4079" s="6" t="str">
        <f>IFERROR(__xludf.DUMMYFUNCTION("""COMPUTED_VALUE"""),"Pcs")</f>
        <v>Pcs</v>
      </c>
      <c r="I4079" s="6" t="str">
        <f>IFERROR(__xludf.DUMMYFUNCTION("""COMPUTED_VALUE"""),"MFH")</f>
        <v>MFH</v>
      </c>
      <c r="J4079" s="6" t="str">
        <f>IFERROR(__xludf.DUMMYFUNCTION("""COMPUTED_VALUE"""),"Lab")</f>
        <v>Lab</v>
      </c>
      <c r="K4079" s="6" t="str">
        <f>IFERROR(__xludf.DUMMYFUNCTION("""COMPUTED_VALUE"""),"SPR/08/26/029")</f>
        <v>SPR/08/26/029</v>
      </c>
      <c r="L4079" s="13">
        <f>IFERROR(__xludf.DUMMYFUNCTION("""COMPUTED_VALUE"""),46260.0)</f>
        <v>46260</v>
      </c>
    </row>
    <row r="4080">
      <c r="A4080" s="6" t="str">
        <f>IFERROR(__xludf.DUMMYFUNCTION("""COMPUTED_VALUE"""),"MAP")</f>
        <v>MAP</v>
      </c>
      <c r="B4080" s="6" t="str">
        <f>IFERROR(__xludf.DUMMYFUNCTION("""COMPUTED_VALUE"""),"ENG")</f>
        <v>ENG</v>
      </c>
      <c r="C4080" s="6" t="str">
        <f>IFERROR(__xludf.DUMMYFUNCTION("""COMPUTED_VALUE"""),"T-80046-00")</f>
        <v>T-80046-00</v>
      </c>
      <c r="D4080" s="6" t="str">
        <f>IFERROR(__xludf.DUMMYFUNCTION("""COMPUTED_VALUE"""),"Battery ALKALINE AA")</f>
        <v>Battery ALKALINE AA</v>
      </c>
      <c r="E4080" s="6">
        <f>IFERROR(__xludf.DUMMYFUNCTION("""COMPUTED_VALUE"""),2.0)</f>
        <v>2</v>
      </c>
      <c r="F4080" s="6">
        <f>IFERROR(__xludf.DUMMYFUNCTION("""COMPUTED_VALUE"""),2.0)</f>
        <v>2</v>
      </c>
      <c r="G4080" s="6">
        <f>IFERROR(__xludf.DUMMYFUNCTION("""COMPUTED_VALUE"""),0.0)</f>
        <v>0</v>
      </c>
      <c r="H4080" s="6" t="str">
        <f>IFERROR(__xludf.DUMMYFUNCTION("""COMPUTED_VALUE"""),"Pcs")</f>
        <v>Pcs</v>
      </c>
      <c r="I4080" s="6" t="str">
        <f>IFERROR(__xludf.DUMMYFUNCTION("""COMPUTED_VALUE"""),"MFH")</f>
        <v>MFH</v>
      </c>
      <c r="J4080" s="6" t="str">
        <f>IFERROR(__xludf.DUMMYFUNCTION("""COMPUTED_VALUE"""),"Building")</f>
        <v>Building</v>
      </c>
      <c r="K4080" s="6" t="str">
        <f>IFERROR(__xludf.DUMMYFUNCTION("""COMPUTED_VALUE"""),"SPR/08/26/030")</f>
        <v>SPR/08/26/030</v>
      </c>
      <c r="L4080" s="13">
        <f>IFERROR(__xludf.DUMMYFUNCTION("""COMPUTED_VALUE"""),46260.0)</f>
        <v>46260</v>
      </c>
    </row>
    <row r="4081">
      <c r="A4081" s="6" t="str">
        <f>IFERROR(__xludf.DUMMYFUNCTION("""COMPUTED_VALUE"""),"ANO")</f>
        <v>ANO</v>
      </c>
      <c r="B4081" s="6" t="str">
        <f>IFERROR(__xludf.DUMMYFUNCTION("""COMPUTED_VALUE"""),"ENG")</f>
        <v>ENG</v>
      </c>
      <c r="C4081" s="6" t="str">
        <f>IFERROR(__xludf.DUMMYFUNCTION("""COMPUTED_VALUE"""),"Q-10249-00")</f>
        <v>Q-10249-00</v>
      </c>
      <c r="D4081" s="6" t="str">
        <f>IFERROR(__xludf.DUMMYFUNCTION("""COMPUTED_VALUE"""),"Lem Power Glue")</f>
        <v>Lem Power Glue</v>
      </c>
      <c r="E4081" s="6">
        <f>IFERROR(__xludf.DUMMYFUNCTION("""COMPUTED_VALUE"""),1.0)</f>
        <v>1</v>
      </c>
      <c r="F4081" s="6">
        <f>IFERROR(__xludf.DUMMYFUNCTION("""COMPUTED_VALUE"""),1.0)</f>
        <v>1</v>
      </c>
      <c r="G4081" s="6">
        <f>IFERROR(__xludf.DUMMYFUNCTION("""COMPUTED_VALUE"""),0.0)</f>
        <v>0</v>
      </c>
      <c r="H4081" s="6" t="str">
        <f>IFERROR(__xludf.DUMMYFUNCTION("""COMPUTED_VALUE"""),"pcs")</f>
        <v>pcs</v>
      </c>
      <c r="I4081" s="6" t="str">
        <f>IFERROR(__xludf.DUMMYFUNCTION("""COMPUTED_VALUE"""),"MFH")</f>
        <v>MFH</v>
      </c>
      <c r="J4081" s="6" t="str">
        <f>IFERROR(__xludf.DUMMYFUNCTION("""COMPUTED_VALUE"""),"Workshop")</f>
        <v>Workshop</v>
      </c>
      <c r="K4081" s="6" t="str">
        <f>IFERROR(__xludf.DUMMYFUNCTION("""COMPUTED_VALUE"""),"SPR/08/26/031")</f>
        <v>SPR/08/26/031</v>
      </c>
      <c r="L4081" s="13">
        <f>IFERROR(__xludf.DUMMYFUNCTION("""COMPUTED_VALUE"""),46260.0)</f>
        <v>46260</v>
      </c>
    </row>
    <row r="4082">
      <c r="A4082" s="6" t="str">
        <f>IFERROR(__xludf.DUMMYFUNCTION("""COMPUTED_VALUE"""),"MOB")</f>
        <v>MOB</v>
      </c>
      <c r="B4082" s="6" t="str">
        <f>IFERROR(__xludf.DUMMYFUNCTION("""COMPUTED_VALUE"""),"ENG")</f>
        <v>ENG</v>
      </c>
      <c r="C4082" s="6" t="str">
        <f>IFERROR(__xludf.DUMMYFUNCTION("""COMPUTED_VALUE"""),"P-11170-00")</f>
        <v>P-11170-00</v>
      </c>
      <c r="D4082" s="6" t="str">
        <f>IFERROR(__xludf.DUMMYFUNCTION("""COMPUTED_VALUE"""),"Pneumatic  Fitting - QS 1/4-8 / PN : 153005 / Festo")</f>
        <v>Pneumatic  Fitting - QS 1/4-8 / PN : 153005 / Festo</v>
      </c>
      <c r="E4082" s="6">
        <f>IFERROR(__xludf.DUMMYFUNCTION("""COMPUTED_VALUE"""),1.0)</f>
        <v>1</v>
      </c>
      <c r="F4082" s="6">
        <f>IFERROR(__xludf.DUMMYFUNCTION("""COMPUTED_VALUE"""),1.0)</f>
        <v>1</v>
      </c>
      <c r="G4082" s="6">
        <f>IFERROR(__xludf.DUMMYFUNCTION("""COMPUTED_VALUE"""),0.0)</f>
        <v>0</v>
      </c>
      <c r="H4082" s="6" t="str">
        <f>IFERROR(__xludf.DUMMYFUNCTION("""COMPUTED_VALUE"""),"pcs")</f>
        <v>pcs</v>
      </c>
      <c r="I4082" s="6" t="str">
        <f>IFERROR(__xludf.DUMMYFUNCTION("""COMPUTED_VALUE"""),"MFH")</f>
        <v>MFH</v>
      </c>
      <c r="J4082" s="6" t="str">
        <f>IFERROR(__xludf.DUMMYFUNCTION("""COMPUTED_VALUE"""),"-")</f>
        <v>-</v>
      </c>
      <c r="K4082" s="6" t="str">
        <f>IFERROR(__xludf.DUMMYFUNCTION("""COMPUTED_VALUE"""),"SPR/08/26/032")</f>
        <v>SPR/08/26/032</v>
      </c>
      <c r="L4082" s="13">
        <f>IFERROR(__xludf.DUMMYFUNCTION("""COMPUTED_VALUE"""),46260.0)</f>
        <v>46260</v>
      </c>
    </row>
    <row r="4083">
      <c r="A4083" s="6" t="str">
        <f>IFERROR(__xludf.DUMMYFUNCTION("""COMPUTED_VALUE"""),"MOB")</f>
        <v>MOB</v>
      </c>
      <c r="B4083" s="6" t="str">
        <f>IFERROR(__xludf.DUMMYFUNCTION("""COMPUTED_VALUE"""),"ENG")</f>
        <v>ENG</v>
      </c>
      <c r="C4083" s="6" t="str">
        <f>IFERROR(__xludf.DUMMYFUNCTION("""COMPUTED_VALUE"""),"P-12265-00")</f>
        <v>P-12265-00</v>
      </c>
      <c r="D4083" s="6" t="str">
        <f>IFERROR(__xludf.DUMMYFUNCTION("""COMPUTED_VALUE"""),"FESTO - Push In Connector QS-8-6 p/n 153038")</f>
        <v>FESTO - Push In Connector QS-8-6 p/n 153038</v>
      </c>
      <c r="E4083" s="6">
        <f>IFERROR(__xludf.DUMMYFUNCTION("""COMPUTED_VALUE"""),1.0)</f>
        <v>1</v>
      </c>
      <c r="F4083" s="6">
        <f>IFERROR(__xludf.DUMMYFUNCTION("""COMPUTED_VALUE"""),1.0)</f>
        <v>1</v>
      </c>
      <c r="G4083" s="6">
        <f>IFERROR(__xludf.DUMMYFUNCTION("""COMPUTED_VALUE"""),0.0)</f>
        <v>0</v>
      </c>
      <c r="H4083" s="6" t="str">
        <f>IFERROR(__xludf.DUMMYFUNCTION("""COMPUTED_VALUE"""),"Pcs")</f>
        <v>Pcs</v>
      </c>
      <c r="I4083" s="6" t="str">
        <f>IFERROR(__xludf.DUMMYFUNCTION("""COMPUTED_VALUE"""),"MFH")</f>
        <v>MFH</v>
      </c>
      <c r="J4083" s="6" t="str">
        <f>IFERROR(__xludf.DUMMYFUNCTION("""COMPUTED_VALUE"""),"-")</f>
        <v>-</v>
      </c>
      <c r="K4083" s="6" t="str">
        <f>IFERROR(__xludf.DUMMYFUNCTION("""COMPUTED_VALUE"""),"SPR/08/26/032")</f>
        <v>SPR/08/26/032</v>
      </c>
      <c r="L4083" s="13">
        <f>IFERROR(__xludf.DUMMYFUNCTION("""COMPUTED_VALUE"""),46260.0)</f>
        <v>46260</v>
      </c>
    </row>
    <row r="4084">
      <c r="A4084" s="6" t="str">
        <f>IFERROR(__xludf.DUMMYFUNCTION("""COMPUTED_VALUE"""),"SFH")</f>
        <v>SFH</v>
      </c>
      <c r="B4084" s="6" t="str">
        <f>IFERROR(__xludf.DUMMYFUNCTION("""COMPUTED_VALUE"""),"ENG")</f>
        <v>ENG</v>
      </c>
      <c r="C4084" s="6" t="str">
        <f>IFERROR(__xludf.DUMMYFUNCTION("""COMPUTED_VALUE"""),"Q-60061-00")</f>
        <v>Q-60061-00</v>
      </c>
      <c r="D4084" s="6" t="str">
        <f>IFERROR(__xludf.DUMMYFUNCTION("""COMPUTED_VALUE"""),"Cat Pilox 109 - Black")</f>
        <v>Cat Pilox 109 - Black</v>
      </c>
      <c r="E4084" s="6">
        <f>IFERROR(__xludf.DUMMYFUNCTION("""COMPUTED_VALUE"""),3.0)</f>
        <v>3</v>
      </c>
      <c r="F4084" s="6">
        <f>IFERROR(__xludf.DUMMYFUNCTION("""COMPUTED_VALUE"""),3.0)</f>
        <v>3</v>
      </c>
      <c r="G4084" s="6">
        <f>IFERROR(__xludf.DUMMYFUNCTION("""COMPUTED_VALUE"""),0.0)</f>
        <v>0</v>
      </c>
      <c r="H4084" s="6" t="str">
        <f>IFERROR(__xludf.DUMMYFUNCTION("""COMPUTED_VALUE"""),"Pcs")</f>
        <v>Pcs</v>
      </c>
      <c r="I4084" s="6" t="str">
        <f>IFERROR(__xludf.DUMMYFUNCTION("""COMPUTED_VALUE"""),"MFH")</f>
        <v>MFH</v>
      </c>
      <c r="J4084" s="6" t="str">
        <f>IFERROR(__xludf.DUMMYFUNCTION("""COMPUTED_VALUE"""),"Building")</f>
        <v>Building</v>
      </c>
      <c r="K4084" s="6" t="str">
        <f>IFERROR(__xludf.DUMMYFUNCTION("""COMPUTED_VALUE"""),"SPR/08/26/033")</f>
        <v>SPR/08/26/033</v>
      </c>
      <c r="L4084" s="13">
        <f>IFERROR(__xludf.DUMMYFUNCTION("""COMPUTED_VALUE"""),46260.0)</f>
        <v>46260</v>
      </c>
    </row>
    <row r="4085">
      <c r="A4085" s="6" t="str">
        <f>IFERROR(__xludf.DUMMYFUNCTION("""COMPUTED_VALUE"""),"SFH")</f>
        <v>SFH</v>
      </c>
      <c r="B4085" s="6" t="str">
        <f>IFERROR(__xludf.DUMMYFUNCTION("""COMPUTED_VALUE"""),"ENG")</f>
        <v>ENG</v>
      </c>
      <c r="C4085" s="6" t="str">
        <f>IFERROR(__xludf.DUMMYFUNCTION("""COMPUTED_VALUE"""),"T-80109-00")</f>
        <v>T-80109-00</v>
      </c>
      <c r="D4085" s="6" t="str">
        <f>IFERROR(__xludf.DUMMYFUNCTION("""COMPUTED_VALUE"""),"Cellotape Kertas 1 inch warna Putih")</f>
        <v>Cellotape Kertas 1 inch warna Putih</v>
      </c>
      <c r="E4085" s="6">
        <f>IFERROR(__xludf.DUMMYFUNCTION("""COMPUTED_VALUE"""),1.0)</f>
        <v>1</v>
      </c>
      <c r="F4085" s="6">
        <f>IFERROR(__xludf.DUMMYFUNCTION("""COMPUTED_VALUE"""),1.0)</f>
        <v>1</v>
      </c>
      <c r="G4085" s="6">
        <f>IFERROR(__xludf.DUMMYFUNCTION("""COMPUTED_VALUE"""),0.0)</f>
        <v>0</v>
      </c>
      <c r="H4085" s="6" t="str">
        <f>IFERROR(__xludf.DUMMYFUNCTION("""COMPUTED_VALUE"""),"Pcs")</f>
        <v>Pcs</v>
      </c>
      <c r="I4085" s="6" t="str">
        <f>IFERROR(__xludf.DUMMYFUNCTION("""COMPUTED_VALUE"""),"MFH")</f>
        <v>MFH</v>
      </c>
      <c r="J4085" s="6" t="str">
        <f>IFERROR(__xludf.DUMMYFUNCTION("""COMPUTED_VALUE"""),"Building")</f>
        <v>Building</v>
      </c>
      <c r="K4085" s="6" t="str">
        <f>IFERROR(__xludf.DUMMYFUNCTION("""COMPUTED_VALUE"""),"SPR/08/26/033")</f>
        <v>SPR/08/26/033</v>
      </c>
      <c r="L4085" s="13">
        <f>IFERROR(__xludf.DUMMYFUNCTION("""COMPUTED_VALUE"""),46260.0)</f>
        <v>46260</v>
      </c>
    </row>
    <row r="4086">
      <c r="A4086" s="6" t="str">
        <f>IFERROR(__xludf.DUMMYFUNCTION("""COMPUTED_VALUE"""),"WAP")</f>
        <v>WAP</v>
      </c>
      <c r="B4086" s="6" t="str">
        <f>IFERROR(__xludf.DUMMYFUNCTION("""COMPUTED_VALUE"""),"ENG")</f>
        <v>ENG</v>
      </c>
      <c r="C4086" s="6" t="str">
        <f>IFERROR(__xludf.DUMMYFUNCTION("""COMPUTED_VALUE"""),"P-17645-00")</f>
        <v>P-17645-00</v>
      </c>
      <c r="D4086" s="6" t="str">
        <f>IFERROR(__xludf.DUMMYFUNCTION("""COMPUTED_VALUE"""),"Sodium Hiphoclorite; ; ; ltr")</f>
        <v>Sodium Hiphoclorite; ; ; ltr</v>
      </c>
      <c r="E4086" s="6">
        <f>IFERROR(__xludf.DUMMYFUNCTION("""COMPUTED_VALUE"""),350.0)</f>
        <v>350</v>
      </c>
      <c r="F4086" s="6">
        <f>IFERROR(__xludf.DUMMYFUNCTION("""COMPUTED_VALUE"""),350.0)</f>
        <v>350</v>
      </c>
      <c r="G4086" s="6">
        <f>IFERROR(__xludf.DUMMYFUNCTION("""COMPUTED_VALUE"""),0.0)</f>
        <v>0</v>
      </c>
      <c r="H4086" s="6" t="str">
        <f>IFERROR(__xludf.DUMMYFUNCTION("""COMPUTED_VALUE"""),"Pcs")</f>
        <v>Pcs</v>
      </c>
      <c r="I4086" s="6" t="str">
        <f>IFERROR(__xludf.DUMMYFUNCTION("""COMPUTED_VALUE"""),"MFH")</f>
        <v>MFH</v>
      </c>
      <c r="J4086" s="6" t="str">
        <f>IFERROR(__xludf.DUMMYFUNCTION("""COMPUTED_VALUE"""),"WWTP")</f>
        <v>WWTP</v>
      </c>
      <c r="K4086" s="6" t="str">
        <f>IFERROR(__xludf.DUMMYFUNCTION("""COMPUTED_VALUE"""),"SPR/08/26/034")</f>
        <v>SPR/08/26/034</v>
      </c>
      <c r="L4086" s="13">
        <f>IFERROR(__xludf.DUMMYFUNCTION("""COMPUTED_VALUE"""),46260.0)</f>
        <v>46260</v>
      </c>
    </row>
    <row r="4087">
      <c r="A4087" s="6" t="str">
        <f>IFERROR(__xludf.DUMMYFUNCTION("""COMPUTED_VALUE"""),"WAP")</f>
        <v>WAP</v>
      </c>
      <c r="B4087" s="6" t="str">
        <f>IFERROR(__xludf.DUMMYFUNCTION("""COMPUTED_VALUE"""),"ENG")</f>
        <v>ENG</v>
      </c>
      <c r="C4087" s="6" t="str">
        <f>IFERROR(__xludf.DUMMYFUNCTION("""COMPUTED_VALUE"""),"P-12830-00")</f>
        <v>P-12830-00</v>
      </c>
      <c r="D4087" s="6" t="str">
        <f>IFERROR(__xludf.DUMMYFUNCTION("""COMPUTED_VALUE"""),"Sodium metabisulfit")</f>
        <v>Sodium metabisulfit</v>
      </c>
      <c r="E4087" s="6">
        <f>IFERROR(__xludf.DUMMYFUNCTION("""COMPUTED_VALUE"""),1.0)</f>
        <v>1</v>
      </c>
      <c r="F4087" s="6">
        <f>IFERROR(__xludf.DUMMYFUNCTION("""COMPUTED_VALUE"""),1.0)</f>
        <v>1</v>
      </c>
      <c r="G4087" s="6">
        <f>IFERROR(__xludf.DUMMYFUNCTION("""COMPUTED_VALUE"""),0.0)</f>
        <v>0</v>
      </c>
      <c r="H4087" s="6" t="str">
        <f>IFERROR(__xludf.DUMMYFUNCTION("""COMPUTED_VALUE"""),"Pcs")</f>
        <v>Pcs</v>
      </c>
      <c r="I4087" s="6" t="str">
        <f>IFERROR(__xludf.DUMMYFUNCTION("""COMPUTED_VALUE"""),"MFH")</f>
        <v>MFH</v>
      </c>
      <c r="J4087" s="6" t="str">
        <f>IFERROR(__xludf.DUMMYFUNCTION("""COMPUTED_VALUE"""),"WWTP")</f>
        <v>WWTP</v>
      </c>
      <c r="K4087" s="6" t="str">
        <f>IFERROR(__xludf.DUMMYFUNCTION("""COMPUTED_VALUE"""),"SPR/08/26/034")</f>
        <v>SPR/08/26/034</v>
      </c>
      <c r="L4087" s="13">
        <f>IFERROR(__xludf.DUMMYFUNCTION("""COMPUTED_VALUE"""),46260.0)</f>
        <v>46260</v>
      </c>
    </row>
    <row r="4088">
      <c r="A4088" s="6" t="str">
        <f>IFERROR(__xludf.DUMMYFUNCTION("""COMPUTED_VALUE"""),"MOB")</f>
        <v>MOB</v>
      </c>
      <c r="B4088" s="6" t="str">
        <f>IFERROR(__xludf.DUMMYFUNCTION("""COMPUTED_VALUE"""),"ENG")</f>
        <v>ENG</v>
      </c>
      <c r="C4088" s="6" t="str">
        <f>IFERROR(__xludf.DUMMYFUNCTION("""COMPUTED_VALUE"""),"P-11182-00")</f>
        <v>P-11182-00</v>
      </c>
      <c r="D4088" s="6" t="str">
        <f>IFERROR(__xludf.DUMMYFUNCTION("""COMPUTED_VALUE"""),"Pneumatic Fitting - QS 6 / Festo")</f>
        <v>Pneumatic Fitting - QS 6 / Festo</v>
      </c>
      <c r="E4088" s="6">
        <f>IFERROR(__xludf.DUMMYFUNCTION("""COMPUTED_VALUE"""),2.0)</f>
        <v>2</v>
      </c>
      <c r="F4088" s="6">
        <f>IFERROR(__xludf.DUMMYFUNCTION("""COMPUTED_VALUE"""),2.0)</f>
        <v>2</v>
      </c>
      <c r="G4088" s="6">
        <f>IFERROR(__xludf.DUMMYFUNCTION("""COMPUTED_VALUE"""),0.0)</f>
        <v>0</v>
      </c>
      <c r="H4088" s="6" t="str">
        <f>IFERROR(__xludf.DUMMYFUNCTION("""COMPUTED_VALUE"""),"Pcs")</f>
        <v>Pcs</v>
      </c>
      <c r="I4088" s="6" t="str">
        <f>IFERROR(__xludf.DUMMYFUNCTION("""COMPUTED_VALUE"""),"MFH")</f>
        <v>MFH</v>
      </c>
      <c r="J4088" s="6" t="str">
        <f>IFERROR(__xludf.DUMMYFUNCTION("""COMPUTED_VALUE"""),"WWTP")</f>
        <v>WWTP</v>
      </c>
      <c r="K4088" s="6" t="str">
        <f>IFERROR(__xludf.DUMMYFUNCTION("""COMPUTED_VALUE"""),"SPR/08/26/035")</f>
        <v>SPR/08/26/035</v>
      </c>
      <c r="L4088" s="13">
        <f>IFERROR(__xludf.DUMMYFUNCTION("""COMPUTED_VALUE"""),46260.0)</f>
        <v>46260</v>
      </c>
    </row>
    <row r="4089">
      <c r="A4089" s="6" t="str">
        <f>IFERROR(__xludf.DUMMYFUNCTION("""COMPUTED_VALUE"""),"MOB")</f>
        <v>MOB</v>
      </c>
      <c r="B4089" s="6" t="str">
        <f>IFERROR(__xludf.DUMMYFUNCTION("""COMPUTED_VALUE"""),"ENG")</f>
        <v>ENG</v>
      </c>
      <c r="C4089" s="6" t="str">
        <f>IFERROR(__xludf.DUMMYFUNCTION("""COMPUTED_VALUE"""),"P-12263-00")</f>
        <v>P-12263-00</v>
      </c>
      <c r="D4089" s="6" t="str">
        <f>IFERROR(__xludf.DUMMYFUNCTION("""COMPUTED_VALUE"""),"FESTO - Push In Connector QS-8 p/n 153033")</f>
        <v>FESTO - Push In Connector QS-8 p/n 153033</v>
      </c>
      <c r="E4089" s="6">
        <f>IFERROR(__xludf.DUMMYFUNCTION("""COMPUTED_VALUE"""),2.0)</f>
        <v>2</v>
      </c>
      <c r="F4089" s="6">
        <f>IFERROR(__xludf.DUMMYFUNCTION("""COMPUTED_VALUE"""),2.0)</f>
        <v>2</v>
      </c>
      <c r="G4089" s="6">
        <f>IFERROR(__xludf.DUMMYFUNCTION("""COMPUTED_VALUE"""),0.0)</f>
        <v>0</v>
      </c>
      <c r="H4089" s="6" t="str">
        <f>IFERROR(__xludf.DUMMYFUNCTION("""COMPUTED_VALUE"""),"Pcs")</f>
        <v>Pcs</v>
      </c>
      <c r="I4089" s="6" t="str">
        <f>IFERROR(__xludf.DUMMYFUNCTION("""COMPUTED_VALUE"""),"MFH")</f>
        <v>MFH</v>
      </c>
      <c r="J4089" s="6" t="str">
        <f>IFERROR(__xludf.DUMMYFUNCTION("""COMPUTED_VALUE"""),"-")</f>
        <v>-</v>
      </c>
      <c r="K4089" s="6" t="str">
        <f>IFERROR(__xludf.DUMMYFUNCTION("""COMPUTED_VALUE"""),"SPR/08/26/035")</f>
        <v>SPR/08/26/035</v>
      </c>
      <c r="L4089" s="13">
        <f>IFERROR(__xludf.DUMMYFUNCTION("""COMPUTED_VALUE"""),46260.0)</f>
        <v>46260</v>
      </c>
    </row>
    <row r="4090">
      <c r="A4090" s="6" t="str">
        <f>IFERROR(__xludf.DUMMYFUNCTION("""COMPUTED_VALUE"""),"MOB")</f>
        <v>MOB</v>
      </c>
      <c r="B4090" s="6" t="str">
        <f>IFERROR(__xludf.DUMMYFUNCTION("""COMPUTED_VALUE"""),"ENG")</f>
        <v>ENG</v>
      </c>
      <c r="C4090" s="6" t="str">
        <f>IFERROR(__xludf.DUMMYFUNCTION("""COMPUTED_VALUE"""),"P-13650-00")</f>
        <v>P-13650-00</v>
      </c>
      <c r="D4090" s="6" t="str">
        <f>IFERROR(__xludf.DUMMYFUNCTION("""COMPUTED_VALUE"""),"Manual Valve HE-2-QS-6; FESTO; ;")</f>
        <v>Manual Valve HE-2-QS-6; FESTO; ;</v>
      </c>
      <c r="E4090" s="6">
        <f>IFERROR(__xludf.DUMMYFUNCTION("""COMPUTED_VALUE"""),2.0)</f>
        <v>2</v>
      </c>
      <c r="F4090" s="6">
        <f>IFERROR(__xludf.DUMMYFUNCTION("""COMPUTED_VALUE"""),2.0)</f>
        <v>2</v>
      </c>
      <c r="G4090" s="6">
        <f>IFERROR(__xludf.DUMMYFUNCTION("""COMPUTED_VALUE"""),0.0)</f>
        <v>0</v>
      </c>
      <c r="H4090" s="6" t="str">
        <f>IFERROR(__xludf.DUMMYFUNCTION("""COMPUTED_VALUE"""),"Pcs")</f>
        <v>Pcs</v>
      </c>
      <c r="I4090" s="6" t="str">
        <f>IFERROR(__xludf.DUMMYFUNCTION("""COMPUTED_VALUE"""),"MFH")</f>
        <v>MFH</v>
      </c>
      <c r="J4090" s="6" t="str">
        <f>IFERROR(__xludf.DUMMYFUNCTION("""COMPUTED_VALUE"""),"-")</f>
        <v>-</v>
      </c>
      <c r="K4090" s="6" t="str">
        <f>IFERROR(__xludf.DUMMYFUNCTION("""COMPUTED_VALUE"""),"SPR/08/26/036")</f>
        <v>SPR/08/26/036</v>
      </c>
      <c r="L4090" s="13">
        <f>IFERROR(__xludf.DUMMYFUNCTION("""COMPUTED_VALUE"""),46260.0)</f>
        <v>46260</v>
      </c>
    </row>
    <row r="4091">
      <c r="A4091" s="6" t="str">
        <f>IFERROR(__xludf.DUMMYFUNCTION("""COMPUTED_VALUE"""),"SFH")</f>
        <v>SFH</v>
      </c>
      <c r="B4091" s="6" t="str">
        <f>IFERROR(__xludf.DUMMYFUNCTION("""COMPUTED_VALUE"""),"ENG")</f>
        <v>ENG</v>
      </c>
      <c r="C4091" s="6" t="str">
        <f>IFERROR(__xludf.DUMMYFUNCTION("""COMPUTED_VALUE"""),"Q-10302-00")</f>
        <v>Q-10302-00</v>
      </c>
      <c r="D4091" s="6" t="str">
        <f>IFERROR(__xludf.DUMMYFUNCTION("""COMPUTED_VALUE"""),"Compound / Kompon Gypsum;No Brand;;pack size 20 kg per pck")</f>
        <v>Compound / Kompon Gypsum;No Brand;;pack size 20 kg per pck</v>
      </c>
      <c r="E4091" s="6">
        <f>IFERROR(__xludf.DUMMYFUNCTION("""COMPUTED_VALUE"""),1.0)</f>
        <v>1</v>
      </c>
      <c r="F4091" s="6">
        <f>IFERROR(__xludf.DUMMYFUNCTION("""COMPUTED_VALUE"""),1.0)</f>
        <v>1</v>
      </c>
      <c r="G4091" s="6">
        <f>IFERROR(__xludf.DUMMYFUNCTION("""COMPUTED_VALUE"""),0.0)</f>
        <v>0</v>
      </c>
      <c r="H4091" s="6" t="str">
        <f>IFERROR(__xludf.DUMMYFUNCTION("""COMPUTED_VALUE"""),"Pcs")</f>
        <v>Pcs</v>
      </c>
      <c r="I4091" s="6" t="str">
        <f>IFERROR(__xludf.DUMMYFUNCTION("""COMPUTED_VALUE"""),"MFH")</f>
        <v>MFH</v>
      </c>
      <c r="J4091" s="6" t="str">
        <f>IFERROR(__xludf.DUMMYFUNCTION("""COMPUTED_VALUE"""),"Building")</f>
        <v>Building</v>
      </c>
      <c r="K4091" s="6" t="str">
        <f>IFERROR(__xludf.DUMMYFUNCTION("""COMPUTED_VALUE"""),"SPR/08/26/037")</f>
        <v>SPR/08/26/037</v>
      </c>
      <c r="L4091" s="13">
        <f>IFERROR(__xludf.DUMMYFUNCTION("""COMPUTED_VALUE"""),46260.0)</f>
        <v>46260</v>
      </c>
    </row>
    <row r="4092">
      <c r="A4092" s="6" t="str">
        <f>IFERROR(__xludf.DUMMYFUNCTION("""COMPUTED_VALUE"""),"SFH")</f>
        <v>SFH</v>
      </c>
      <c r="B4092" s="6" t="str">
        <f>IFERROR(__xludf.DUMMYFUNCTION("""COMPUTED_VALUE"""),"ENG")</f>
        <v>ENG</v>
      </c>
      <c r="C4092" s="6" t="str">
        <f>IFERROR(__xludf.DUMMYFUNCTION("""COMPUTED_VALUE"""),"Q-10550-00")</f>
        <v>Q-10550-00</v>
      </c>
      <c r="D4092" s="6" t="str">
        <f>IFERROR(__xludf.DUMMYFUNCTION("""COMPUTED_VALUE"""),"Door Closer TS 2000V Hold Open GEZE; ; ;")</f>
        <v>Door Closer TS 2000V Hold Open GEZE; ; ;</v>
      </c>
      <c r="E4092" s="6">
        <f>IFERROR(__xludf.DUMMYFUNCTION("""COMPUTED_VALUE"""),1.0)</f>
        <v>1</v>
      </c>
      <c r="F4092" s="6">
        <f>IFERROR(__xludf.DUMMYFUNCTION("""COMPUTED_VALUE"""),1.0)</f>
        <v>1</v>
      </c>
      <c r="G4092" s="6">
        <f>IFERROR(__xludf.DUMMYFUNCTION("""COMPUTED_VALUE"""),0.0)</f>
        <v>0</v>
      </c>
      <c r="H4092" s="6" t="str">
        <f>IFERROR(__xludf.DUMMYFUNCTION("""COMPUTED_VALUE"""),"Pcs")</f>
        <v>Pcs</v>
      </c>
      <c r="I4092" s="6" t="str">
        <f>IFERROR(__xludf.DUMMYFUNCTION("""COMPUTED_VALUE"""),"MFH")</f>
        <v>MFH</v>
      </c>
      <c r="J4092" s="6" t="str">
        <f>IFERROR(__xludf.DUMMYFUNCTION("""COMPUTED_VALUE"""),"Building")</f>
        <v>Building</v>
      </c>
      <c r="K4092" s="6" t="str">
        <f>IFERROR(__xludf.DUMMYFUNCTION("""COMPUTED_VALUE"""),"SPR/08/26/037")</f>
        <v>SPR/08/26/037</v>
      </c>
      <c r="L4092" s="13">
        <f>IFERROR(__xludf.DUMMYFUNCTION("""COMPUTED_VALUE"""),46260.0)</f>
        <v>46260</v>
      </c>
    </row>
    <row r="4093">
      <c r="A4093" s="6" t="str">
        <f>IFERROR(__xludf.DUMMYFUNCTION("""COMPUTED_VALUE"""),"SFH")</f>
        <v>SFH</v>
      </c>
      <c r="B4093" s="6" t="str">
        <f>IFERROR(__xludf.DUMMYFUNCTION("""COMPUTED_VALUE"""),"ENG")</f>
        <v>ENG</v>
      </c>
      <c r="C4093" s="6" t="str">
        <f>IFERROR(__xludf.DUMMYFUNCTION("""COMPUTED_VALUE"""),"Q-10153-00")</f>
        <v>Q-10153-00</v>
      </c>
      <c r="D4093" s="6" t="str">
        <f>IFERROR(__xludf.DUMMYFUNCTION("""COMPUTED_VALUE"""),"Roller cat 110mm")</f>
        <v>Roller cat 110mm</v>
      </c>
      <c r="E4093" s="6">
        <f>IFERROR(__xludf.DUMMYFUNCTION("""COMPUTED_VALUE"""),1.0)</f>
        <v>1</v>
      </c>
      <c r="F4093" s="6">
        <f>IFERROR(__xludf.DUMMYFUNCTION("""COMPUTED_VALUE"""),1.0)</f>
        <v>1</v>
      </c>
      <c r="G4093" s="6">
        <f>IFERROR(__xludf.DUMMYFUNCTION("""COMPUTED_VALUE"""),0.0)</f>
        <v>0</v>
      </c>
      <c r="H4093" s="6" t="str">
        <f>IFERROR(__xludf.DUMMYFUNCTION("""COMPUTED_VALUE"""),"Pcs")</f>
        <v>Pcs</v>
      </c>
      <c r="I4093" s="6" t="str">
        <f>IFERROR(__xludf.DUMMYFUNCTION("""COMPUTED_VALUE"""),"MFH")</f>
        <v>MFH</v>
      </c>
      <c r="J4093" s="6" t="str">
        <f>IFERROR(__xludf.DUMMYFUNCTION("""COMPUTED_VALUE"""),"Building")</f>
        <v>Building</v>
      </c>
      <c r="K4093" s="6" t="str">
        <f>IFERROR(__xludf.DUMMYFUNCTION("""COMPUTED_VALUE"""),"SPR/08/26/037")</f>
        <v>SPR/08/26/037</v>
      </c>
      <c r="L4093" s="13">
        <f>IFERROR(__xludf.DUMMYFUNCTION("""COMPUTED_VALUE"""),46260.0)</f>
        <v>46260</v>
      </c>
    </row>
    <row r="4094">
      <c r="A4094" s="6" t="str">
        <f>IFERROR(__xludf.DUMMYFUNCTION("""COMPUTED_VALUE"""),"SFH")</f>
        <v>SFH</v>
      </c>
      <c r="B4094" s="6" t="str">
        <f>IFERROR(__xludf.DUMMYFUNCTION("""COMPUTED_VALUE"""),"ENG")</f>
        <v>ENG</v>
      </c>
      <c r="C4094" s="6" t="str">
        <f>IFERROR(__xludf.DUMMYFUNCTION("""COMPUTED_VALUE"""),"Q-10401-00")</f>
        <v>Q-10401-00</v>
      </c>
      <c r="D4094" s="6" t="str">
        <f>IFERROR(__xludf.DUMMYFUNCTION("""COMPUTED_VALUE"""),"Kuas Cat Uk. 3 inch;Eterna;Tipe 611;pack size per pcs")</f>
        <v>Kuas Cat Uk. 3 inch;Eterna;Tipe 611;pack size per pcs</v>
      </c>
      <c r="E4094" s="6">
        <f>IFERROR(__xludf.DUMMYFUNCTION("""COMPUTED_VALUE"""),1.0)</f>
        <v>1</v>
      </c>
      <c r="F4094" s="6">
        <f>IFERROR(__xludf.DUMMYFUNCTION("""COMPUTED_VALUE"""),1.0)</f>
        <v>1</v>
      </c>
      <c r="G4094" s="6">
        <f>IFERROR(__xludf.DUMMYFUNCTION("""COMPUTED_VALUE"""),0.0)</f>
        <v>0</v>
      </c>
      <c r="H4094" s="6" t="str">
        <f>IFERROR(__xludf.DUMMYFUNCTION("""COMPUTED_VALUE"""),"Pcs")</f>
        <v>Pcs</v>
      </c>
      <c r="I4094" s="6" t="str">
        <f>IFERROR(__xludf.DUMMYFUNCTION("""COMPUTED_VALUE"""),"MFH")</f>
        <v>MFH</v>
      </c>
      <c r="J4094" s="6" t="str">
        <f>IFERROR(__xludf.DUMMYFUNCTION("""COMPUTED_VALUE"""),"Building")</f>
        <v>Building</v>
      </c>
      <c r="K4094" s="6" t="str">
        <f>IFERROR(__xludf.DUMMYFUNCTION("""COMPUTED_VALUE"""),"SPR/08/26/038")</f>
        <v>SPR/08/26/038</v>
      </c>
      <c r="L4094" s="13">
        <f>IFERROR(__xludf.DUMMYFUNCTION("""COMPUTED_VALUE"""),46260.0)</f>
        <v>46260</v>
      </c>
    </row>
    <row r="4095">
      <c r="A4095" s="6" t="str">
        <f>IFERROR(__xludf.DUMMYFUNCTION("""COMPUTED_VALUE"""),"SFH")</f>
        <v>SFH</v>
      </c>
      <c r="B4095" s="6" t="str">
        <f>IFERROR(__xludf.DUMMYFUNCTION("""COMPUTED_VALUE"""),"ENG")</f>
        <v>ENG</v>
      </c>
      <c r="C4095" s="6" t="str">
        <f>IFERROR(__xludf.DUMMYFUNCTION("""COMPUTED_VALUE"""),"Q-60404-00")</f>
        <v>Q-60404-00</v>
      </c>
      <c r="D4095" s="6" t="str">
        <f>IFERROR(__xludf.DUMMYFUNCTION("""COMPUTED_VALUE"""),"Cat Interior Catylac; Dulux; Type Putih 1501N; 25 kg/pail")</f>
        <v>Cat Interior Catylac; Dulux; Type Putih 1501N; 25 kg/pail</v>
      </c>
      <c r="E4095" s="6">
        <f>IFERROR(__xludf.DUMMYFUNCTION("""COMPUTED_VALUE"""),1.0)</f>
        <v>1</v>
      </c>
      <c r="F4095" s="6">
        <f>IFERROR(__xludf.DUMMYFUNCTION("""COMPUTED_VALUE"""),1.0)</f>
        <v>1</v>
      </c>
      <c r="G4095" s="6">
        <f>IFERROR(__xludf.DUMMYFUNCTION("""COMPUTED_VALUE"""),0.0)</f>
        <v>0</v>
      </c>
      <c r="H4095" s="6" t="str">
        <f>IFERROR(__xludf.DUMMYFUNCTION("""COMPUTED_VALUE"""),"Pcs")</f>
        <v>Pcs</v>
      </c>
      <c r="I4095" s="6" t="str">
        <f>IFERROR(__xludf.DUMMYFUNCTION("""COMPUTED_VALUE"""),"MFH")</f>
        <v>MFH</v>
      </c>
      <c r="J4095" s="6" t="str">
        <f>IFERROR(__xludf.DUMMYFUNCTION("""COMPUTED_VALUE"""),"Building")</f>
        <v>Building</v>
      </c>
      <c r="K4095" s="6" t="str">
        <f>IFERROR(__xludf.DUMMYFUNCTION("""COMPUTED_VALUE"""),"SPR/08/26/038")</f>
        <v>SPR/08/26/038</v>
      </c>
      <c r="L4095" s="13">
        <f>IFERROR(__xludf.DUMMYFUNCTION("""COMPUTED_VALUE"""),46260.0)</f>
        <v>46260</v>
      </c>
    </row>
    <row r="4096">
      <c r="A4096" s="6" t="str">
        <f>IFERROR(__xludf.DUMMYFUNCTION("""COMPUTED_VALUE"""),"SFH")</f>
        <v>SFH</v>
      </c>
      <c r="B4096" s="6" t="str">
        <f>IFERROR(__xludf.DUMMYFUNCTION("""COMPUTED_VALUE"""),"ENG")</f>
        <v>ENG</v>
      </c>
      <c r="C4096" s="6" t="str">
        <f>IFERROR(__xludf.DUMMYFUNCTION("""COMPUTED_VALUE"""),"P-12495-00")</f>
        <v>P-12495-00</v>
      </c>
      <c r="D4096" s="6" t="str">
        <f>IFERROR(__xludf.DUMMYFUNCTION("""COMPUTED_VALUE"""),"Mata Bor besi dia 7.5 mm ex NACHI")</f>
        <v>Mata Bor besi dia 7.5 mm ex NACHI</v>
      </c>
      <c r="E4096" s="6">
        <f>IFERROR(__xludf.DUMMYFUNCTION("""COMPUTED_VALUE"""),1.0)</f>
        <v>1</v>
      </c>
      <c r="F4096" s="6">
        <f>IFERROR(__xludf.DUMMYFUNCTION("""COMPUTED_VALUE"""),1.0)</f>
        <v>1</v>
      </c>
      <c r="G4096" s="6">
        <f>IFERROR(__xludf.DUMMYFUNCTION("""COMPUTED_VALUE"""),0.0)</f>
        <v>0</v>
      </c>
      <c r="H4096" s="6" t="str">
        <f>IFERROR(__xludf.DUMMYFUNCTION("""COMPUTED_VALUE"""),"pcs")</f>
        <v>pcs</v>
      </c>
      <c r="I4096" s="6" t="str">
        <f>IFERROR(__xludf.DUMMYFUNCTION("""COMPUTED_VALUE"""),"MFH")</f>
        <v>MFH</v>
      </c>
      <c r="J4096" s="6" t="str">
        <f>IFERROR(__xludf.DUMMYFUNCTION("""COMPUTED_VALUE"""),"Workshop")</f>
        <v>Workshop</v>
      </c>
      <c r="K4096" s="6" t="str">
        <f>IFERROR(__xludf.DUMMYFUNCTION("""COMPUTED_VALUE"""),"SPR/08/26/039")</f>
        <v>SPR/08/26/039</v>
      </c>
      <c r="L4096" s="13">
        <f>IFERROR(__xludf.DUMMYFUNCTION("""COMPUTED_VALUE"""),46260.0)</f>
        <v>46260</v>
      </c>
    </row>
    <row r="4097">
      <c r="A4097" s="6" t="str">
        <f>IFERROR(__xludf.DUMMYFUNCTION("""COMPUTED_VALUE"""),"ANO")</f>
        <v>ANO</v>
      </c>
      <c r="B4097" s="6" t="str">
        <f>IFERROR(__xludf.DUMMYFUNCTION("""COMPUTED_VALUE"""),"ENG")</f>
        <v>ENG</v>
      </c>
      <c r="C4097" s="6" t="str">
        <f>IFERROR(__xludf.DUMMYFUNCTION("""COMPUTED_VALUE"""),"P-12488-00")</f>
        <v>P-12488-00</v>
      </c>
      <c r="D4097" s="6" t="str">
        <f>IFERROR(__xludf.DUMMYFUNCTION("""COMPUTED_VALUE"""),"Mata bor besi dia 4 mm ex NACHI")</f>
        <v>Mata bor besi dia 4 mm ex NACHI</v>
      </c>
      <c r="E4097" s="6">
        <f>IFERROR(__xludf.DUMMYFUNCTION("""COMPUTED_VALUE"""),1.0)</f>
        <v>1</v>
      </c>
      <c r="F4097" s="6">
        <f>IFERROR(__xludf.DUMMYFUNCTION("""COMPUTED_VALUE"""),1.0)</f>
        <v>1</v>
      </c>
      <c r="G4097" s="6">
        <f>IFERROR(__xludf.DUMMYFUNCTION("""COMPUTED_VALUE"""),0.0)</f>
        <v>0</v>
      </c>
      <c r="H4097" s="6" t="str">
        <f>IFERROR(__xludf.DUMMYFUNCTION("""COMPUTED_VALUE"""),"Pcs")</f>
        <v>Pcs</v>
      </c>
      <c r="I4097" s="6" t="str">
        <f>IFERROR(__xludf.DUMMYFUNCTION("""COMPUTED_VALUE"""),"MFH")</f>
        <v>MFH</v>
      </c>
      <c r="J4097" s="6" t="str">
        <f>IFERROR(__xludf.DUMMYFUNCTION("""COMPUTED_VALUE"""),"Aerosol")</f>
        <v>Aerosol</v>
      </c>
      <c r="K4097" s="6" t="str">
        <f>IFERROR(__xludf.DUMMYFUNCTION("""COMPUTED_VALUE"""),"SPR/08/26/040")</f>
        <v>SPR/08/26/040</v>
      </c>
      <c r="L4097" s="13">
        <f>IFERROR(__xludf.DUMMYFUNCTION("""COMPUTED_VALUE"""),46260.0)</f>
        <v>46260</v>
      </c>
    </row>
    <row r="4098">
      <c r="A4098" s="6" t="str">
        <f>IFERROR(__xludf.DUMMYFUNCTION("""COMPUTED_VALUE"""),"ANO")</f>
        <v>ANO</v>
      </c>
      <c r="B4098" s="6" t="str">
        <f>IFERROR(__xludf.DUMMYFUNCTION("""COMPUTED_VALUE"""),"ENG")</f>
        <v>ENG</v>
      </c>
      <c r="C4098" s="6" t="str">
        <f>IFERROR(__xludf.DUMMYFUNCTION("""COMPUTED_VALUE"""),"P-12492-00")</f>
        <v>P-12492-00</v>
      </c>
      <c r="D4098" s="6" t="str">
        <f>IFERROR(__xludf.DUMMYFUNCTION("""COMPUTED_VALUE"""),"Mata Bor besi dia 6.5 mm ex NACHI")</f>
        <v>Mata Bor besi dia 6.5 mm ex NACHI</v>
      </c>
      <c r="E4098" s="6">
        <f>IFERROR(__xludf.DUMMYFUNCTION("""COMPUTED_VALUE"""),1.0)</f>
        <v>1</v>
      </c>
      <c r="F4098" s="6">
        <f>IFERROR(__xludf.DUMMYFUNCTION("""COMPUTED_VALUE"""),1.0)</f>
        <v>1</v>
      </c>
      <c r="G4098" s="6">
        <f>IFERROR(__xludf.DUMMYFUNCTION("""COMPUTED_VALUE"""),0.0)</f>
        <v>0</v>
      </c>
      <c r="H4098" s="6" t="str">
        <f>IFERROR(__xludf.DUMMYFUNCTION("""COMPUTED_VALUE"""),"Pcs")</f>
        <v>Pcs</v>
      </c>
      <c r="I4098" s="6" t="str">
        <f>IFERROR(__xludf.DUMMYFUNCTION("""COMPUTED_VALUE"""),"MFH")</f>
        <v>MFH</v>
      </c>
      <c r="J4098" s="6" t="str">
        <f>IFERROR(__xludf.DUMMYFUNCTION("""COMPUTED_VALUE"""),"Aerosol")</f>
        <v>Aerosol</v>
      </c>
      <c r="K4098" s="6" t="str">
        <f>IFERROR(__xludf.DUMMYFUNCTION("""COMPUTED_VALUE"""),"SPR/08/26/040")</f>
        <v>SPR/08/26/040</v>
      </c>
      <c r="L4098" s="13">
        <f>IFERROR(__xludf.DUMMYFUNCTION("""COMPUTED_VALUE"""),46260.0)</f>
        <v>46260</v>
      </c>
    </row>
    <row r="4099">
      <c r="A4099" s="6" t="str">
        <f>IFERROR(__xludf.DUMMYFUNCTION("""COMPUTED_VALUE"""),"ANO")</f>
        <v>ANO</v>
      </c>
      <c r="B4099" s="6" t="str">
        <f>IFERROR(__xludf.DUMMYFUNCTION("""COMPUTED_VALUE"""),"ENG")</f>
        <v>ENG</v>
      </c>
      <c r="C4099" s="6" t="str">
        <f>IFERROR(__xludf.DUMMYFUNCTION("""COMPUTED_VALUE"""),"P-53216-00")</f>
        <v>P-53216-00</v>
      </c>
      <c r="D4099" s="6" t="str">
        <f>IFERROR(__xludf.DUMMYFUNCTION("""COMPUTED_VALUE"""),"Silicon Lembaran, tebal 3 mm, size: 1 meter X 1 meter; ; ;")</f>
        <v>Silicon Lembaran, tebal 3 mm, size: 1 meter X 1 meter; ; ;</v>
      </c>
      <c r="E4099" s="6">
        <f>IFERROR(__xludf.DUMMYFUNCTION("""COMPUTED_VALUE"""),1.0)</f>
        <v>1</v>
      </c>
      <c r="F4099" s="6">
        <f>IFERROR(__xludf.DUMMYFUNCTION("""COMPUTED_VALUE"""),1.0)</f>
        <v>1</v>
      </c>
      <c r="G4099" s="6">
        <f>IFERROR(__xludf.DUMMYFUNCTION("""COMPUTED_VALUE"""),0.0)</f>
        <v>0</v>
      </c>
      <c r="H4099" s="6" t="str">
        <f>IFERROR(__xludf.DUMMYFUNCTION("""COMPUTED_VALUE"""),"Pcs")</f>
        <v>Pcs</v>
      </c>
      <c r="I4099" s="6" t="str">
        <f>IFERROR(__xludf.DUMMYFUNCTION("""COMPUTED_VALUE"""),"MFH")</f>
        <v>MFH</v>
      </c>
      <c r="J4099" s="6" t="str">
        <f>IFERROR(__xludf.DUMMYFUNCTION("""COMPUTED_VALUE"""),"Aerosol")</f>
        <v>Aerosol</v>
      </c>
      <c r="K4099" s="6" t="str">
        <f>IFERROR(__xludf.DUMMYFUNCTION("""COMPUTED_VALUE"""),"SPR/08/26/040")</f>
        <v>SPR/08/26/040</v>
      </c>
      <c r="L4099" s="13">
        <f>IFERROR(__xludf.DUMMYFUNCTION("""COMPUTED_VALUE"""),46260.0)</f>
        <v>46260</v>
      </c>
    </row>
    <row r="4100">
      <c r="A4100" s="6" t="str">
        <f>IFERROR(__xludf.DUMMYFUNCTION("""COMPUTED_VALUE"""),"MRN")</f>
        <v>MRN</v>
      </c>
      <c r="B4100" s="6" t="str">
        <f>IFERROR(__xludf.DUMMYFUNCTION("""COMPUTED_VALUE"""),"ENG")</f>
        <v>ENG</v>
      </c>
      <c r="C4100" s="6" t="str">
        <f>IFERROR(__xludf.DUMMYFUNCTION("""COMPUTED_VALUE"""),"P-12748-00")</f>
        <v>P-12748-00</v>
      </c>
      <c r="D4100" s="6" t="str">
        <f>IFERROR(__xludf.DUMMYFUNCTION("""COMPUTED_VALUE"""),"General - Pipa PVC AW dia. 1 1/4inch, Warna Abu-Abu; Rucika; -; 1 pcs")</f>
        <v>General - Pipa PVC AW dia. 1 1/4inch, Warna Abu-Abu; Rucika; -; 1 pcs</v>
      </c>
      <c r="E4100" s="6">
        <f>IFERROR(__xludf.DUMMYFUNCTION("""COMPUTED_VALUE"""),1.0)</f>
        <v>1</v>
      </c>
      <c r="F4100" s="6">
        <f>IFERROR(__xludf.DUMMYFUNCTION("""COMPUTED_VALUE"""),1.0)</f>
        <v>1</v>
      </c>
      <c r="G4100" s="6">
        <f>IFERROR(__xludf.DUMMYFUNCTION("""COMPUTED_VALUE"""),0.0)</f>
        <v>0</v>
      </c>
      <c r="H4100" s="6" t="str">
        <f>IFERROR(__xludf.DUMMYFUNCTION("""COMPUTED_VALUE"""),"Pcs")</f>
        <v>Pcs</v>
      </c>
      <c r="I4100" s="6" t="str">
        <f>IFERROR(__xludf.DUMMYFUNCTION("""COMPUTED_VALUE"""),"MFH")</f>
        <v>MFH</v>
      </c>
      <c r="J4100" s="6" t="str">
        <f>IFERROR(__xludf.DUMMYFUNCTION("""COMPUTED_VALUE"""),"-")</f>
        <v>-</v>
      </c>
      <c r="K4100" s="6" t="str">
        <f>IFERROR(__xludf.DUMMYFUNCTION("""COMPUTED_VALUE"""),"SPR/08/26/041")</f>
        <v>SPR/08/26/041</v>
      </c>
      <c r="L4100" s="13">
        <f>IFERROR(__xludf.DUMMYFUNCTION("""COMPUTED_VALUE"""),46260.0)</f>
        <v>46260</v>
      </c>
    </row>
    <row r="4101">
      <c r="A4101" s="6" t="str">
        <f>IFERROR(__xludf.DUMMYFUNCTION("""COMPUTED_VALUE"""),"MRN")</f>
        <v>MRN</v>
      </c>
      <c r="B4101" s="6" t="str">
        <f>IFERROR(__xludf.DUMMYFUNCTION("""COMPUTED_VALUE"""),"ENG")</f>
        <v>ENG</v>
      </c>
      <c r="C4101" s="6" t="str">
        <f>IFERROR(__xludf.DUMMYFUNCTION("""COMPUTED_VALUE"""),"P-13285-00")</f>
        <v>P-13285-00</v>
      </c>
      <c r="D4101" s="6" t="str">
        <f>IFERROR(__xludf.DUMMYFUNCTION("""COMPUTED_VALUE"""),"General - Socket Drat Luar, PVC, 1/2""; Rucika; -; 1 pcs")</f>
        <v>General - Socket Drat Luar, PVC, 1/2"; Rucika; -; 1 pcs</v>
      </c>
      <c r="E4101" s="6">
        <f>IFERROR(__xludf.DUMMYFUNCTION("""COMPUTED_VALUE"""),1.0)</f>
        <v>1</v>
      </c>
      <c r="F4101" s="6">
        <f>IFERROR(__xludf.DUMMYFUNCTION("""COMPUTED_VALUE"""),1.0)</f>
        <v>1</v>
      </c>
      <c r="G4101" s="6">
        <f>IFERROR(__xludf.DUMMYFUNCTION("""COMPUTED_VALUE"""),0.0)</f>
        <v>0</v>
      </c>
      <c r="H4101" s="6" t="str">
        <f>IFERROR(__xludf.DUMMYFUNCTION("""COMPUTED_VALUE"""),"Pcs")</f>
        <v>Pcs</v>
      </c>
      <c r="I4101" s="6" t="str">
        <f>IFERROR(__xludf.DUMMYFUNCTION("""COMPUTED_VALUE"""),"MFH")</f>
        <v>MFH</v>
      </c>
      <c r="J4101" s="6" t="str">
        <f>IFERROR(__xludf.DUMMYFUNCTION("""COMPUTED_VALUE"""),"-")</f>
        <v>-</v>
      </c>
      <c r="K4101" s="6" t="str">
        <f>IFERROR(__xludf.DUMMYFUNCTION("""COMPUTED_VALUE"""),"SPR/08/26/041")</f>
        <v>SPR/08/26/041</v>
      </c>
      <c r="L4101" s="13">
        <f>IFERROR(__xludf.DUMMYFUNCTION("""COMPUTED_VALUE"""),46260.0)</f>
        <v>46260</v>
      </c>
    </row>
    <row r="4102">
      <c r="A4102" s="6" t="str">
        <f>IFERROR(__xludf.DUMMYFUNCTION("""COMPUTED_VALUE"""),"MRN")</f>
        <v>MRN</v>
      </c>
      <c r="B4102" s="6" t="str">
        <f>IFERROR(__xludf.DUMMYFUNCTION("""COMPUTED_VALUE"""),"ENG")</f>
        <v>ENG</v>
      </c>
      <c r="C4102" s="6" t="str">
        <f>IFERROR(__xludf.DUMMYFUNCTION("""COMPUTED_VALUE"""),"P-10857-00")</f>
        <v>P-10857-00</v>
      </c>
      <c r="D4102" s="6" t="str">
        <f>IFERROR(__xludf.DUMMYFUNCTION("""COMPUTED_VALUE"""),"General - Elbow PVC 90 AW 1 1/2inch; Rucika; -; 1 Pc")</f>
        <v>General - Elbow PVC 90 AW 1 1/2inch; Rucika; -; 1 Pc</v>
      </c>
      <c r="E4102" s="6">
        <f>IFERROR(__xludf.DUMMYFUNCTION("""COMPUTED_VALUE"""),1.0)</f>
        <v>1</v>
      </c>
      <c r="F4102" s="6">
        <f>IFERROR(__xludf.DUMMYFUNCTION("""COMPUTED_VALUE"""),1.0)</f>
        <v>1</v>
      </c>
      <c r="G4102" s="6">
        <f>IFERROR(__xludf.DUMMYFUNCTION("""COMPUTED_VALUE"""),0.0)</f>
        <v>0</v>
      </c>
      <c r="H4102" s="6" t="str">
        <f>IFERROR(__xludf.DUMMYFUNCTION("""COMPUTED_VALUE"""),"Pcs")</f>
        <v>Pcs</v>
      </c>
      <c r="I4102" s="6" t="str">
        <f>IFERROR(__xludf.DUMMYFUNCTION("""COMPUTED_VALUE"""),"MFH")</f>
        <v>MFH</v>
      </c>
      <c r="J4102" s="6" t="str">
        <f>IFERROR(__xludf.DUMMYFUNCTION("""COMPUTED_VALUE"""),"-")</f>
        <v>-</v>
      </c>
      <c r="K4102" s="6" t="str">
        <f>IFERROR(__xludf.DUMMYFUNCTION("""COMPUTED_VALUE"""),"SPR/08/26/041")</f>
        <v>SPR/08/26/041</v>
      </c>
      <c r="L4102" s="13">
        <f>IFERROR(__xludf.DUMMYFUNCTION("""COMPUTED_VALUE"""),46260.0)</f>
        <v>46260</v>
      </c>
    </row>
    <row r="4103">
      <c r="A4103" s="6" t="str">
        <f>IFERROR(__xludf.DUMMYFUNCTION("""COMPUTED_VALUE"""),"MRN")</f>
        <v>MRN</v>
      </c>
      <c r="B4103" s="6" t="str">
        <f>IFERROR(__xludf.DUMMYFUNCTION("""COMPUTED_VALUE"""),"ENG")</f>
        <v>ENG</v>
      </c>
      <c r="C4103" s="6" t="str">
        <f>IFERROR(__xludf.DUMMYFUNCTION("""COMPUTED_VALUE"""),"P-53293-00")</f>
        <v>P-53293-00</v>
      </c>
      <c r="D4103" s="6" t="str">
        <f>IFERROR(__xludf.DUMMYFUNCTION("""COMPUTED_VALUE"""),"General - Lampu Emergency TL LED 16W Waterproof IP65; Briliant; -; 1 pc")</f>
        <v>General - Lampu Emergency TL LED 16W Waterproof IP65; Briliant; -; 1 pc</v>
      </c>
      <c r="E4103" s="6">
        <f>IFERROR(__xludf.DUMMYFUNCTION("""COMPUTED_VALUE"""),2.0)</f>
        <v>2</v>
      </c>
      <c r="F4103" s="6">
        <f>IFERROR(__xludf.DUMMYFUNCTION("""COMPUTED_VALUE"""),2.0)</f>
        <v>2</v>
      </c>
      <c r="G4103" s="6">
        <f>IFERROR(__xludf.DUMMYFUNCTION("""COMPUTED_VALUE"""),0.0)</f>
        <v>0</v>
      </c>
      <c r="H4103" s="6" t="str">
        <f>IFERROR(__xludf.DUMMYFUNCTION("""COMPUTED_VALUE"""),"Pcs")</f>
        <v>Pcs</v>
      </c>
      <c r="I4103" s="6" t="str">
        <f>IFERROR(__xludf.DUMMYFUNCTION("""COMPUTED_VALUE"""),"MFH")</f>
        <v>MFH</v>
      </c>
      <c r="J4103" s="6" t="str">
        <f>IFERROR(__xludf.DUMMYFUNCTION("""COMPUTED_VALUE"""),"-")</f>
        <v>-</v>
      </c>
      <c r="K4103" s="6" t="str">
        <f>IFERROR(__xludf.DUMMYFUNCTION("""COMPUTED_VALUE"""),"SPR/08/26/042")</f>
        <v>SPR/08/26/042</v>
      </c>
      <c r="L4103" s="13">
        <f>IFERROR(__xludf.DUMMYFUNCTION("""COMPUTED_VALUE"""),46260.0)</f>
        <v>46260</v>
      </c>
    </row>
    <row r="4104">
      <c r="A4104" s="6" t="str">
        <f>IFERROR(__xludf.DUMMYFUNCTION("""COMPUTED_VALUE"""),"MRN")</f>
        <v>MRN</v>
      </c>
      <c r="B4104" s="6" t="str">
        <f>IFERROR(__xludf.DUMMYFUNCTION("""COMPUTED_VALUE"""),"ENG")</f>
        <v>ENG</v>
      </c>
      <c r="C4104" s="6" t="str">
        <f>IFERROR(__xludf.DUMMYFUNCTION("""COMPUTED_VALUE"""),"P-51027-00")</f>
        <v>P-51027-00</v>
      </c>
      <c r="D4104" s="6" t="str">
        <f>IFERROR(__xludf.DUMMYFUNCTION("""COMPUTED_VALUE"""),"Isolasi Kabel SCOTCH super 33+ size: 19 mmx20x0.177 mm ( vinyl electric tape ) Black 3M")</f>
        <v>Isolasi Kabel SCOTCH super 33+ size: 19 mmx20x0.177 mm ( vinyl electric tape ) Black 3M</v>
      </c>
      <c r="E4104" s="6">
        <f>IFERROR(__xludf.DUMMYFUNCTION("""COMPUTED_VALUE"""),1.0)</f>
        <v>1</v>
      </c>
      <c r="F4104" s="6">
        <f>IFERROR(__xludf.DUMMYFUNCTION("""COMPUTED_VALUE"""),1.0)</f>
        <v>1</v>
      </c>
      <c r="G4104" s="6">
        <f>IFERROR(__xludf.DUMMYFUNCTION("""COMPUTED_VALUE"""),0.0)</f>
        <v>0</v>
      </c>
      <c r="H4104" s="6" t="str">
        <f>IFERROR(__xludf.DUMMYFUNCTION("""COMPUTED_VALUE"""),"Pcs")</f>
        <v>Pcs</v>
      </c>
      <c r="I4104" s="6" t="str">
        <f>IFERROR(__xludf.DUMMYFUNCTION("""COMPUTED_VALUE"""),"MFH")</f>
        <v>MFH</v>
      </c>
      <c r="J4104" s="6" t="str">
        <f>IFERROR(__xludf.DUMMYFUNCTION("""COMPUTED_VALUE"""),"-")</f>
        <v>-</v>
      </c>
      <c r="K4104" s="6" t="str">
        <f>IFERROR(__xludf.DUMMYFUNCTION("""COMPUTED_VALUE"""),"SPR/08/26/042")</f>
        <v>SPR/08/26/042</v>
      </c>
      <c r="L4104" s="13">
        <f>IFERROR(__xludf.DUMMYFUNCTION("""COMPUTED_VALUE"""),46260.0)</f>
        <v>46260</v>
      </c>
    </row>
    <row r="4105">
      <c r="A4105" s="6" t="str">
        <f>IFERROR(__xludf.DUMMYFUNCTION("""COMPUTED_VALUE"""),"WAP")</f>
        <v>WAP</v>
      </c>
      <c r="B4105" s="6" t="str">
        <f>IFERROR(__xludf.DUMMYFUNCTION("""COMPUTED_VALUE"""),"ENG")</f>
        <v>ENG</v>
      </c>
      <c r="C4105" s="6" t="str">
        <f>IFERROR(__xludf.DUMMYFUNCTION("""COMPUTED_VALUE"""),"P-20019-00")</f>
        <v>P-20019-00</v>
      </c>
      <c r="D4105" s="6" t="str">
        <f>IFERROR(__xludf.DUMMYFUNCTION("""COMPUTED_VALUE"""),"General - Door Sticker T30-X; Austar; -; 1 pc")</f>
        <v>General - Door Sticker T30-X; Austar; -; 1 pc</v>
      </c>
      <c r="E4105" s="6">
        <f>IFERROR(__xludf.DUMMYFUNCTION("""COMPUTED_VALUE"""),15.0)</f>
        <v>15</v>
      </c>
      <c r="F4105" s="6">
        <f>IFERROR(__xludf.DUMMYFUNCTION("""COMPUTED_VALUE"""),15.0)</f>
        <v>15</v>
      </c>
      <c r="G4105" s="6">
        <f>IFERROR(__xludf.DUMMYFUNCTION("""COMPUTED_VALUE"""),0.0)</f>
        <v>0</v>
      </c>
      <c r="H4105" s="6" t="str">
        <f>IFERROR(__xludf.DUMMYFUNCTION("""COMPUTED_VALUE"""),"Pcs")</f>
        <v>Pcs</v>
      </c>
      <c r="I4105" s="6" t="str">
        <f>IFERROR(__xludf.DUMMYFUNCTION("""COMPUTED_VALUE"""),"MFH")</f>
        <v>MFH</v>
      </c>
      <c r="J4105" s="6" t="str">
        <f>IFERROR(__xludf.DUMMYFUNCTION("""COMPUTED_VALUE"""),"Building")</f>
        <v>Building</v>
      </c>
      <c r="K4105" s="6" t="str">
        <f>IFERROR(__xludf.DUMMYFUNCTION("""COMPUTED_VALUE"""),"SPR/08/26/043")</f>
        <v>SPR/08/26/043</v>
      </c>
      <c r="L4105" s="13">
        <f>IFERROR(__xludf.DUMMYFUNCTION("""COMPUTED_VALUE"""),46260.0)</f>
        <v>46260</v>
      </c>
    </row>
    <row r="4106">
      <c r="A4106" s="6" t="str">
        <f>IFERROR(__xludf.DUMMYFUNCTION("""COMPUTED_VALUE"""),"WAP")</f>
        <v>WAP</v>
      </c>
      <c r="B4106" s="6" t="str">
        <f>IFERROR(__xludf.DUMMYFUNCTION("""COMPUTED_VALUE"""),"ENG")</f>
        <v>ENG</v>
      </c>
      <c r="C4106" s="6" t="str">
        <f>IFERROR(__xludf.DUMMYFUNCTION("""COMPUTED_VALUE"""),"S-63035-00")</f>
        <v>S-63035-00</v>
      </c>
      <c r="D4106" s="6" t="str">
        <f>IFERROR(__xludf.DUMMYFUNCTION("""COMPUTED_VALUE"""),"Cover Penutup Saklar; ; ;")</f>
        <v>Cover Penutup Saklar; ; ;</v>
      </c>
      <c r="E4106" s="6">
        <f>IFERROR(__xludf.DUMMYFUNCTION("""COMPUTED_VALUE"""),3.0)</f>
        <v>3</v>
      </c>
      <c r="F4106" s="6">
        <f>IFERROR(__xludf.DUMMYFUNCTION("""COMPUTED_VALUE"""),3.0)</f>
        <v>3</v>
      </c>
      <c r="G4106" s="6">
        <f>IFERROR(__xludf.DUMMYFUNCTION("""COMPUTED_VALUE"""),0.0)</f>
        <v>0</v>
      </c>
      <c r="H4106" s="6" t="str">
        <f>IFERROR(__xludf.DUMMYFUNCTION("""COMPUTED_VALUE"""),"Pcs")</f>
        <v>Pcs</v>
      </c>
      <c r="I4106" s="6" t="str">
        <f>IFERROR(__xludf.DUMMYFUNCTION("""COMPUTED_VALUE"""),"MFH")</f>
        <v>MFH</v>
      </c>
      <c r="J4106" s="6" t="str">
        <f>IFERROR(__xludf.DUMMYFUNCTION("""COMPUTED_VALUE"""),"Building")</f>
        <v>Building</v>
      </c>
      <c r="K4106" s="6" t="str">
        <f>IFERROR(__xludf.DUMMYFUNCTION("""COMPUTED_VALUE"""),"SPR/08/26/043")</f>
        <v>SPR/08/26/043</v>
      </c>
      <c r="L4106" s="13">
        <f>IFERROR(__xludf.DUMMYFUNCTION("""COMPUTED_VALUE"""),46260.0)</f>
        <v>46260</v>
      </c>
    </row>
    <row r="4107">
      <c r="A4107" s="6" t="str">
        <f>IFERROR(__xludf.DUMMYFUNCTION("""COMPUTED_VALUE"""),"ANO")</f>
        <v>ANO</v>
      </c>
      <c r="B4107" s="6" t="str">
        <f>IFERROR(__xludf.DUMMYFUNCTION("""COMPUTED_VALUE"""),"ENG")</f>
        <v>ENG</v>
      </c>
      <c r="C4107" s="6" t="str">
        <f>IFERROR(__xludf.DUMMYFUNCTION("""COMPUTED_VALUE"""),"P-12280-00")</f>
        <v>P-12280-00</v>
      </c>
      <c r="D4107" s="6" t="str">
        <f>IFERROR(__xludf.DUMMYFUNCTION("""COMPUTED_VALUE"""),"FESTO - QS-1/8-8 Push-In fitting p/n 153004")</f>
        <v>FESTO - QS-1/8-8 Push-In fitting p/n 153004</v>
      </c>
      <c r="E4107" s="6">
        <f>IFERROR(__xludf.DUMMYFUNCTION("""COMPUTED_VALUE"""),1.0)</f>
        <v>1</v>
      </c>
      <c r="F4107" s="6">
        <f>IFERROR(__xludf.DUMMYFUNCTION("""COMPUTED_VALUE"""),1.0)</f>
        <v>1</v>
      </c>
      <c r="G4107" s="6">
        <f>IFERROR(__xludf.DUMMYFUNCTION("""COMPUTED_VALUE"""),0.0)</f>
        <v>0</v>
      </c>
      <c r="H4107" s="6" t="str">
        <f>IFERROR(__xludf.DUMMYFUNCTION("""COMPUTED_VALUE"""),"Pcs")</f>
        <v>Pcs</v>
      </c>
      <c r="I4107" s="6" t="str">
        <f>IFERROR(__xludf.DUMMYFUNCTION("""COMPUTED_VALUE"""),"MFH")</f>
        <v>MFH</v>
      </c>
      <c r="J4107" s="6" t="str">
        <f>IFERROR(__xludf.DUMMYFUNCTION("""COMPUTED_VALUE"""),"Aerosol")</f>
        <v>Aerosol</v>
      </c>
      <c r="K4107" s="6" t="str">
        <f>IFERROR(__xludf.DUMMYFUNCTION("""COMPUTED_VALUE"""),"SPR/08/26/044")</f>
        <v>SPR/08/26/044</v>
      </c>
      <c r="L4107" s="13">
        <f>IFERROR(__xludf.DUMMYFUNCTION("""COMPUTED_VALUE"""),46260.0)</f>
        <v>46260</v>
      </c>
    </row>
    <row r="4108">
      <c r="A4108" s="6" t="str">
        <f>IFERROR(__xludf.DUMMYFUNCTION("""COMPUTED_VALUE"""),"ANO")</f>
        <v>ANO</v>
      </c>
      <c r="B4108" s="6" t="str">
        <f>IFERROR(__xludf.DUMMYFUNCTION("""COMPUTED_VALUE"""),"ENG")</f>
        <v>ENG</v>
      </c>
      <c r="C4108" s="6" t="str">
        <f>IFERROR(__xludf.DUMMYFUNCTION("""COMPUTED_VALUE"""),"P-11185-00")</f>
        <v>P-11185-00</v>
      </c>
      <c r="D4108" s="6" t="str">
        <f>IFERROR(__xludf.DUMMYFUNCTION("""COMPUTED_VALUE"""),"General - Push-in Connector, QS-8-6; Festo; 153038; 1 pcs")</f>
        <v>General - Push-in Connector, QS-8-6; Festo; 153038; 1 pcs</v>
      </c>
      <c r="E4108" s="6">
        <f>IFERROR(__xludf.DUMMYFUNCTION("""COMPUTED_VALUE"""),1.0)</f>
        <v>1</v>
      </c>
      <c r="F4108" s="6">
        <f>IFERROR(__xludf.DUMMYFUNCTION("""COMPUTED_VALUE"""),1.0)</f>
        <v>1</v>
      </c>
      <c r="G4108" s="6">
        <f>IFERROR(__xludf.DUMMYFUNCTION("""COMPUTED_VALUE"""),0.0)</f>
        <v>0</v>
      </c>
      <c r="H4108" s="6" t="str">
        <f>IFERROR(__xludf.DUMMYFUNCTION("""COMPUTED_VALUE"""),"Pcs")</f>
        <v>Pcs</v>
      </c>
      <c r="I4108" s="6" t="str">
        <f>IFERROR(__xludf.DUMMYFUNCTION("""COMPUTED_VALUE"""),"MFH")</f>
        <v>MFH</v>
      </c>
      <c r="J4108" s="6" t="str">
        <f>IFERROR(__xludf.DUMMYFUNCTION("""COMPUTED_VALUE"""),"Aerosol")</f>
        <v>Aerosol</v>
      </c>
      <c r="K4108" s="6" t="str">
        <f>IFERROR(__xludf.DUMMYFUNCTION("""COMPUTED_VALUE"""),"SPR/08/26/044")</f>
        <v>SPR/08/26/044</v>
      </c>
      <c r="L4108" s="13">
        <f>IFERROR(__xludf.DUMMYFUNCTION("""COMPUTED_VALUE"""),46260.0)</f>
        <v>46260</v>
      </c>
    </row>
    <row r="4109">
      <c r="A4109" s="6" t="str">
        <f>IFERROR(__xludf.DUMMYFUNCTION("""COMPUTED_VALUE"""),"ANO")</f>
        <v>ANO</v>
      </c>
      <c r="B4109" s="6" t="str">
        <f>IFERROR(__xludf.DUMMYFUNCTION("""COMPUTED_VALUE"""),"ENG")</f>
        <v>ENG</v>
      </c>
      <c r="C4109" s="6" t="str">
        <f>IFERROR(__xludf.DUMMYFUNCTION("""COMPUTED_VALUE"""),"P-14245-00")</f>
        <v>P-14245-00</v>
      </c>
      <c r="D4109" s="6" t="str">
        <f>IFERROR(__xludf.DUMMYFUNCTION("""COMPUTED_VALUE"""),"General - Shut-off Valve, HE-2-QS-8; Festo; 153468; 1 pcs")</f>
        <v>General - Shut-off Valve, HE-2-QS-8; Festo; 153468; 1 pcs</v>
      </c>
      <c r="E4109" s="6">
        <f>IFERROR(__xludf.DUMMYFUNCTION("""COMPUTED_VALUE"""),1.0)</f>
        <v>1</v>
      </c>
      <c r="F4109" s="6">
        <f>IFERROR(__xludf.DUMMYFUNCTION("""COMPUTED_VALUE"""),1.0)</f>
        <v>1</v>
      </c>
      <c r="G4109" s="6">
        <f>IFERROR(__xludf.DUMMYFUNCTION("""COMPUTED_VALUE"""),0.0)</f>
        <v>0</v>
      </c>
      <c r="H4109" s="6" t="str">
        <f>IFERROR(__xludf.DUMMYFUNCTION("""COMPUTED_VALUE"""),"Pcs")</f>
        <v>Pcs</v>
      </c>
      <c r="I4109" s="6" t="str">
        <f>IFERROR(__xludf.DUMMYFUNCTION("""COMPUTED_VALUE"""),"MFH")</f>
        <v>MFH</v>
      </c>
      <c r="J4109" s="6" t="str">
        <f>IFERROR(__xludf.DUMMYFUNCTION("""COMPUTED_VALUE"""),"Aerosol")</f>
        <v>Aerosol</v>
      </c>
      <c r="K4109" s="6" t="str">
        <f>IFERROR(__xludf.DUMMYFUNCTION("""COMPUTED_VALUE"""),"SPR/08/26/044")</f>
        <v>SPR/08/26/044</v>
      </c>
      <c r="L4109" s="13">
        <f>IFERROR(__xludf.DUMMYFUNCTION("""COMPUTED_VALUE"""),46260.0)</f>
        <v>46260</v>
      </c>
    </row>
    <row r="4110">
      <c r="A4110" s="6" t="str">
        <f>IFERROR(__xludf.DUMMYFUNCTION("""COMPUTED_VALUE"""),"MRN")</f>
        <v>MRN</v>
      </c>
      <c r="B4110" s="6" t="str">
        <f>IFERROR(__xludf.DUMMYFUNCTION("""COMPUTED_VALUE"""),"ENG")</f>
        <v>ENG</v>
      </c>
      <c r="C4110" s="6" t="str">
        <f>IFERROR(__xludf.DUMMYFUNCTION("""COMPUTED_VALUE"""),"P-52254-00")</f>
        <v>P-52254-00</v>
      </c>
      <c r="D4110" s="6" t="str">
        <f>IFERROR(__xludf.DUMMYFUNCTION("""COMPUTED_VALUE"""),"General - Capacitor, 40 mF, 400/450 VAC; No Brand; -; 1 pcs")</f>
        <v>General - Capacitor, 40 mF, 400/450 VAC; No Brand; -; 1 pcs</v>
      </c>
      <c r="E4110" s="6">
        <f>IFERROR(__xludf.DUMMYFUNCTION("""COMPUTED_VALUE"""),1.0)</f>
        <v>1</v>
      </c>
      <c r="F4110" s="6">
        <f>IFERROR(__xludf.DUMMYFUNCTION("""COMPUTED_VALUE"""),1.0)</f>
        <v>1</v>
      </c>
      <c r="G4110" s="6">
        <f>IFERROR(__xludf.DUMMYFUNCTION("""COMPUTED_VALUE"""),0.0)</f>
        <v>0</v>
      </c>
      <c r="H4110" s="6" t="str">
        <f>IFERROR(__xludf.DUMMYFUNCTION("""COMPUTED_VALUE"""),"Pcs")</f>
        <v>Pcs</v>
      </c>
      <c r="I4110" s="6" t="str">
        <f>IFERROR(__xludf.DUMMYFUNCTION("""COMPUTED_VALUE"""),"MFH")</f>
        <v>MFH</v>
      </c>
      <c r="J4110" s="6" t="str">
        <f>IFERROR(__xludf.DUMMYFUNCTION("""COMPUTED_VALUE"""),"-")</f>
        <v>-</v>
      </c>
      <c r="K4110" s="6" t="str">
        <f>IFERROR(__xludf.DUMMYFUNCTION("""COMPUTED_VALUE"""),"SPR/08/26/045")</f>
        <v>SPR/08/26/045</v>
      </c>
      <c r="L4110" s="13">
        <f>IFERROR(__xludf.DUMMYFUNCTION("""COMPUTED_VALUE"""),46260.0)</f>
        <v>46260</v>
      </c>
    </row>
    <row r="4111">
      <c r="A4111" s="6" t="str">
        <f>IFERROR(__xludf.DUMMYFUNCTION("""COMPUTED_VALUE"""),"SFH")</f>
        <v>SFH</v>
      </c>
      <c r="B4111" s="6" t="str">
        <f>IFERROR(__xludf.DUMMYFUNCTION("""COMPUTED_VALUE"""),"ENG")</f>
        <v>ENG</v>
      </c>
      <c r="C4111" s="6" t="str">
        <f>IFERROR(__xludf.DUMMYFUNCTION("""COMPUTED_VALUE"""),"Q-10401-00")</f>
        <v>Q-10401-00</v>
      </c>
      <c r="D4111" s="6" t="str">
        <f>IFERROR(__xludf.DUMMYFUNCTION("""COMPUTED_VALUE"""),"Kuas Cat Uk. 3 inch;Eterna;Tipe 611;pack size per pcs")</f>
        <v>Kuas Cat Uk. 3 inch;Eterna;Tipe 611;pack size per pcs</v>
      </c>
      <c r="E4111" s="6">
        <f>IFERROR(__xludf.DUMMYFUNCTION("""COMPUTED_VALUE"""),2.0)</f>
        <v>2</v>
      </c>
      <c r="F4111" s="6">
        <f>IFERROR(__xludf.DUMMYFUNCTION("""COMPUTED_VALUE"""),2.0)</f>
        <v>2</v>
      </c>
      <c r="G4111" s="6">
        <f>IFERROR(__xludf.DUMMYFUNCTION("""COMPUTED_VALUE"""),0.0)</f>
        <v>0</v>
      </c>
      <c r="H4111" s="6" t="str">
        <f>IFERROR(__xludf.DUMMYFUNCTION("""COMPUTED_VALUE"""),"Pcs")</f>
        <v>Pcs</v>
      </c>
      <c r="I4111" s="6" t="str">
        <f>IFERROR(__xludf.DUMMYFUNCTION("""COMPUTED_VALUE"""),"MFH")</f>
        <v>MFH</v>
      </c>
      <c r="J4111" s="6" t="str">
        <f>IFERROR(__xludf.DUMMYFUNCTION("""COMPUTED_VALUE"""),"Building")</f>
        <v>Building</v>
      </c>
      <c r="K4111" s="6" t="str">
        <f>IFERROR(__xludf.DUMMYFUNCTION("""COMPUTED_VALUE"""),"SPR/08/26/046")</f>
        <v>SPR/08/26/046</v>
      </c>
      <c r="L4111" s="13">
        <f>IFERROR(__xludf.DUMMYFUNCTION("""COMPUTED_VALUE"""),46260.0)</f>
        <v>46260</v>
      </c>
    </row>
    <row r="4112">
      <c r="A4112" s="6" t="str">
        <f>IFERROR(__xludf.DUMMYFUNCTION("""COMPUTED_VALUE"""),"SFH")</f>
        <v>SFH</v>
      </c>
      <c r="B4112" s="6" t="str">
        <f>IFERROR(__xludf.DUMMYFUNCTION("""COMPUTED_VALUE"""),"ENG")</f>
        <v>ENG</v>
      </c>
      <c r="C4112" s="6" t="str">
        <f>IFERROR(__xludf.DUMMYFUNCTION("""COMPUTED_VALUE"""),"P-13389-00")</f>
        <v>P-13389-00</v>
      </c>
      <c r="D4112" s="6" t="str">
        <f>IFERROR(__xludf.DUMMYFUNCTION("""COMPUTED_VALUE"""),"Scotch Brite 3M; ; ;")</f>
        <v>Scotch Brite 3M; ; ;</v>
      </c>
      <c r="E4112" s="6">
        <f>IFERROR(__xludf.DUMMYFUNCTION("""COMPUTED_VALUE"""),20.0)</f>
        <v>20</v>
      </c>
      <c r="F4112" s="6">
        <f>IFERROR(__xludf.DUMMYFUNCTION("""COMPUTED_VALUE"""),20.0)</f>
        <v>20</v>
      </c>
      <c r="G4112" s="6">
        <f>IFERROR(__xludf.DUMMYFUNCTION("""COMPUTED_VALUE"""),0.0)</f>
        <v>0</v>
      </c>
      <c r="H4112" s="6" t="str">
        <f>IFERROR(__xludf.DUMMYFUNCTION("""COMPUTED_VALUE"""),"Pcs")</f>
        <v>Pcs</v>
      </c>
      <c r="I4112" s="6" t="str">
        <f>IFERROR(__xludf.DUMMYFUNCTION("""COMPUTED_VALUE"""),"MFH")</f>
        <v>MFH</v>
      </c>
      <c r="J4112" s="6" t="str">
        <f>IFERROR(__xludf.DUMMYFUNCTION("""COMPUTED_VALUE"""),"Building")</f>
        <v>Building</v>
      </c>
      <c r="K4112" s="6" t="str">
        <f>IFERROR(__xludf.DUMMYFUNCTION("""COMPUTED_VALUE"""),"SPR/08/26/046")</f>
        <v>SPR/08/26/046</v>
      </c>
      <c r="L4112" s="13">
        <f>IFERROR(__xludf.DUMMYFUNCTION("""COMPUTED_VALUE"""),46260.0)</f>
        <v>46260</v>
      </c>
    </row>
    <row r="4113">
      <c r="A4113" s="6" t="str">
        <f>IFERROR(__xludf.DUMMYFUNCTION("""COMPUTED_VALUE"""),"SFH")</f>
        <v>SFH</v>
      </c>
      <c r="B4113" s="6" t="str">
        <f>IFERROR(__xludf.DUMMYFUNCTION("""COMPUTED_VALUE"""),"ENG")</f>
        <v>ENG</v>
      </c>
      <c r="C4113" s="6" t="str">
        <f>IFERROR(__xludf.DUMMYFUNCTION("""COMPUTED_VALUE"""),"T-80109-00")</f>
        <v>T-80109-00</v>
      </c>
      <c r="D4113" s="6" t="str">
        <f>IFERROR(__xludf.DUMMYFUNCTION("""COMPUTED_VALUE"""),"Cellotape Kertas 1 inch warna Putih")</f>
        <v>Cellotape Kertas 1 inch warna Putih</v>
      </c>
      <c r="E4113" s="6">
        <f>IFERROR(__xludf.DUMMYFUNCTION("""COMPUTED_VALUE"""),6.0)</f>
        <v>6</v>
      </c>
      <c r="F4113" s="6">
        <f>IFERROR(__xludf.DUMMYFUNCTION("""COMPUTED_VALUE"""),6.0)</f>
        <v>6</v>
      </c>
      <c r="G4113" s="6">
        <f>IFERROR(__xludf.DUMMYFUNCTION("""COMPUTED_VALUE"""),0.0)</f>
        <v>0</v>
      </c>
      <c r="H4113" s="6" t="str">
        <f>IFERROR(__xludf.DUMMYFUNCTION("""COMPUTED_VALUE"""),"Pcs")</f>
        <v>Pcs</v>
      </c>
      <c r="I4113" s="6" t="str">
        <f>IFERROR(__xludf.DUMMYFUNCTION("""COMPUTED_VALUE"""),"MFH")</f>
        <v>MFH</v>
      </c>
      <c r="J4113" s="6" t="str">
        <f>IFERROR(__xludf.DUMMYFUNCTION("""COMPUTED_VALUE"""),"Building")</f>
        <v>Building</v>
      </c>
      <c r="K4113" s="6" t="str">
        <f>IFERROR(__xludf.DUMMYFUNCTION("""COMPUTED_VALUE"""),"SPR/08/26/046")</f>
        <v>SPR/08/26/046</v>
      </c>
      <c r="L4113" s="13">
        <f>IFERROR(__xludf.DUMMYFUNCTION("""COMPUTED_VALUE"""),46260.0)</f>
        <v>46260</v>
      </c>
    </row>
    <row r="4114">
      <c r="A4114" s="6" t="str">
        <f>IFERROR(__xludf.DUMMYFUNCTION("""COMPUTED_VALUE"""),"SFH")</f>
        <v>SFH</v>
      </c>
      <c r="B4114" s="6" t="str">
        <f>IFERROR(__xludf.DUMMYFUNCTION("""COMPUTED_VALUE"""),"ENG")</f>
        <v>ENG</v>
      </c>
      <c r="C4114" s="6" t="str">
        <f>IFERROR(__xludf.DUMMYFUNCTION("""COMPUTED_VALUE"""),"O-15931-00")</f>
        <v>O-15931-00</v>
      </c>
      <c r="D4114" s="6" t="str">
        <f>IFERROR(__xludf.DUMMYFUNCTION("""COMPUTED_VALUE"""),"Double Tape 3M 1"" Merah - P/N : - pc")</f>
        <v>Double Tape 3M 1" Merah - P/N : - pc</v>
      </c>
      <c r="E4114" s="6">
        <f>IFERROR(__xludf.DUMMYFUNCTION("""COMPUTED_VALUE"""),1.0)</f>
        <v>1</v>
      </c>
      <c r="F4114" s="6">
        <f>IFERROR(__xludf.DUMMYFUNCTION("""COMPUTED_VALUE"""),1.0)</f>
        <v>1</v>
      </c>
      <c r="G4114" s="6">
        <f>IFERROR(__xludf.DUMMYFUNCTION("""COMPUTED_VALUE"""),0.0)</f>
        <v>0</v>
      </c>
      <c r="H4114" s="6" t="str">
        <f>IFERROR(__xludf.DUMMYFUNCTION("""COMPUTED_VALUE"""),"Pcs")</f>
        <v>Pcs</v>
      </c>
      <c r="I4114" s="6" t="str">
        <f>IFERROR(__xludf.DUMMYFUNCTION("""COMPUTED_VALUE"""),"MFH")</f>
        <v>MFH</v>
      </c>
      <c r="J4114" s="6" t="str">
        <f>IFERROR(__xludf.DUMMYFUNCTION("""COMPUTED_VALUE"""),"Building")</f>
        <v>Building</v>
      </c>
      <c r="K4114" s="6" t="str">
        <f>IFERROR(__xludf.DUMMYFUNCTION("""COMPUTED_VALUE"""),"SPR/08/26/047")</f>
        <v>SPR/08/26/047</v>
      </c>
      <c r="L4114" s="13">
        <f>IFERROR(__xludf.DUMMYFUNCTION("""COMPUTED_VALUE"""),46260.0)</f>
        <v>46260</v>
      </c>
    </row>
    <row r="4115">
      <c r="A4115" s="6" t="str">
        <f>IFERROR(__xludf.DUMMYFUNCTION("""COMPUTED_VALUE"""),"SFH")</f>
        <v>SFH</v>
      </c>
      <c r="B4115" s="6" t="str">
        <f>IFERROR(__xludf.DUMMYFUNCTION("""COMPUTED_VALUE"""),"ENG")</f>
        <v>ENG</v>
      </c>
      <c r="C4115" s="6" t="str">
        <f>IFERROR(__xludf.DUMMYFUNCTION("""COMPUTED_VALUE"""),"P-51321-00")</f>
        <v>P-51321-00</v>
      </c>
      <c r="D4115" s="6" t="str">
        <f>IFERROR(__xludf.DUMMYFUNCTION("""COMPUTED_VALUE"""),"Analog Smoke Detector; Nohmi Bosai; c/n FDK38U; Pcs")</f>
        <v>Analog Smoke Detector; Nohmi Bosai; c/n FDK38U; Pcs</v>
      </c>
      <c r="E4115" s="6">
        <f>IFERROR(__xludf.DUMMYFUNCTION("""COMPUTED_VALUE"""),1.0)</f>
        <v>1</v>
      </c>
      <c r="F4115" s="6">
        <f>IFERROR(__xludf.DUMMYFUNCTION("""COMPUTED_VALUE"""),1.0)</f>
        <v>1</v>
      </c>
      <c r="G4115" s="6">
        <f>IFERROR(__xludf.DUMMYFUNCTION("""COMPUTED_VALUE"""),0.0)</f>
        <v>0</v>
      </c>
      <c r="H4115" s="6" t="str">
        <f>IFERROR(__xludf.DUMMYFUNCTION("""COMPUTED_VALUE"""),"Pcs")</f>
        <v>Pcs</v>
      </c>
      <c r="I4115" s="6" t="str">
        <f>IFERROR(__xludf.DUMMYFUNCTION("""COMPUTED_VALUE"""),"MFH")</f>
        <v>MFH</v>
      </c>
      <c r="J4115" s="6" t="str">
        <f>IFERROR(__xludf.DUMMYFUNCTION("""COMPUTED_VALUE"""),"Building")</f>
        <v>Building</v>
      </c>
      <c r="K4115" s="6" t="str">
        <f>IFERROR(__xludf.DUMMYFUNCTION("""COMPUTED_VALUE"""),"SPR/08/26/047")</f>
        <v>SPR/08/26/047</v>
      </c>
      <c r="L4115" s="13">
        <f>IFERROR(__xludf.DUMMYFUNCTION("""COMPUTED_VALUE"""),46260.0)</f>
        <v>46260</v>
      </c>
    </row>
    <row r="4116">
      <c r="A4116" s="6" t="str">
        <f>IFERROR(__xludf.DUMMYFUNCTION("""COMPUTED_VALUE"""),"SFH")</f>
        <v>SFH</v>
      </c>
      <c r="B4116" s="6" t="str">
        <f>IFERROR(__xludf.DUMMYFUNCTION("""COMPUTED_VALUE"""),"ENG")</f>
        <v>ENG</v>
      </c>
      <c r="C4116" s="6" t="str">
        <f>IFERROR(__xludf.DUMMYFUNCTION("""COMPUTED_VALUE"""),"P-15852-00")</f>
        <v>P-15852-00</v>
      </c>
      <c r="D4116" s="6" t="str">
        <f>IFERROR(__xludf.DUMMYFUNCTION("""COMPUTED_VALUE"""),"AMPLAS EAGLE 500")</f>
        <v>AMPLAS EAGLE 500</v>
      </c>
      <c r="E4116" s="6">
        <f>IFERROR(__xludf.DUMMYFUNCTION("""COMPUTED_VALUE"""),3.0)</f>
        <v>3</v>
      </c>
      <c r="F4116" s="6">
        <f>IFERROR(__xludf.DUMMYFUNCTION("""COMPUTED_VALUE"""),3.0)</f>
        <v>3</v>
      </c>
      <c r="G4116" s="6">
        <f>IFERROR(__xludf.DUMMYFUNCTION("""COMPUTED_VALUE"""),0.0)</f>
        <v>0</v>
      </c>
      <c r="H4116" s="6" t="str">
        <f>IFERROR(__xludf.DUMMYFUNCTION("""COMPUTED_VALUE"""),"Pcs")</f>
        <v>Pcs</v>
      </c>
      <c r="I4116" s="6" t="str">
        <f>IFERROR(__xludf.DUMMYFUNCTION("""COMPUTED_VALUE"""),"MFH")</f>
        <v>MFH</v>
      </c>
      <c r="J4116" s="6" t="str">
        <f>IFERROR(__xludf.DUMMYFUNCTION("""COMPUTED_VALUE"""),"Building")</f>
        <v>Building</v>
      </c>
      <c r="K4116" s="6" t="str">
        <f>IFERROR(__xludf.DUMMYFUNCTION("""COMPUTED_VALUE"""),"SPR/08/26/048")</f>
        <v>SPR/08/26/048</v>
      </c>
      <c r="L4116" s="13">
        <f>IFERROR(__xludf.DUMMYFUNCTION("""COMPUTED_VALUE"""),46260.0)</f>
        <v>46260</v>
      </c>
    </row>
    <row r="4117">
      <c r="A4117" s="6" t="str">
        <f>IFERROR(__xludf.DUMMYFUNCTION("""COMPUTED_VALUE"""),"SFH")</f>
        <v>SFH</v>
      </c>
      <c r="B4117" s="6" t="str">
        <f>IFERROR(__xludf.DUMMYFUNCTION("""COMPUTED_VALUE"""),"ENG")</f>
        <v>ENG</v>
      </c>
      <c r="C4117" s="6" t="str">
        <f>IFERROR(__xludf.DUMMYFUNCTION("""COMPUTED_VALUE"""),"Q-12172-00")</f>
        <v>Q-12172-00</v>
      </c>
      <c r="D4117" s="6" t="str">
        <f>IFERROR(__xludf.DUMMYFUNCTION("""COMPUTED_VALUE"""),"General - Amplas Eagle 1000")</f>
        <v>General - Amplas Eagle 1000</v>
      </c>
      <c r="E4117" s="6">
        <f>IFERROR(__xludf.DUMMYFUNCTION("""COMPUTED_VALUE"""),4.0)</f>
        <v>4</v>
      </c>
      <c r="F4117" s="6">
        <f>IFERROR(__xludf.DUMMYFUNCTION("""COMPUTED_VALUE"""),4.0)</f>
        <v>4</v>
      </c>
      <c r="G4117" s="6">
        <f>IFERROR(__xludf.DUMMYFUNCTION("""COMPUTED_VALUE"""),0.0)</f>
        <v>0</v>
      </c>
      <c r="H4117" s="6" t="str">
        <f>IFERROR(__xludf.DUMMYFUNCTION("""COMPUTED_VALUE"""),"Pcs")</f>
        <v>Pcs</v>
      </c>
      <c r="I4117" s="6" t="str">
        <f>IFERROR(__xludf.DUMMYFUNCTION("""COMPUTED_VALUE"""),"MFH")</f>
        <v>MFH</v>
      </c>
      <c r="J4117" s="6" t="str">
        <f>IFERROR(__xludf.DUMMYFUNCTION("""COMPUTED_VALUE"""),"Building")</f>
        <v>Building</v>
      </c>
      <c r="K4117" s="6" t="str">
        <f>IFERROR(__xludf.DUMMYFUNCTION("""COMPUTED_VALUE"""),"SPR/08/26/048")</f>
        <v>SPR/08/26/048</v>
      </c>
      <c r="L4117" s="13">
        <f>IFERROR(__xludf.DUMMYFUNCTION("""COMPUTED_VALUE"""),46260.0)</f>
        <v>46260</v>
      </c>
    </row>
    <row r="4118">
      <c r="A4118" s="6" t="str">
        <f>IFERROR(__xludf.DUMMYFUNCTION("""COMPUTED_VALUE"""),"SFH")</f>
        <v>SFH</v>
      </c>
      <c r="B4118" s="6" t="str">
        <f>IFERROR(__xludf.DUMMYFUNCTION("""COMPUTED_VALUE"""),"ENG")</f>
        <v>ENG</v>
      </c>
      <c r="C4118" s="6" t="str">
        <f>IFERROR(__xludf.DUMMYFUNCTION("""COMPUTED_VALUE"""),"Q-12173-00")</f>
        <v>Q-12173-00</v>
      </c>
      <c r="D4118" s="6" t="str">
        <f>IFERROR(__xludf.DUMMYFUNCTION("""COMPUTED_VALUE"""),"General - Amplas Eagle 200")</f>
        <v>General - Amplas Eagle 200</v>
      </c>
      <c r="E4118" s="6">
        <f>IFERROR(__xludf.DUMMYFUNCTION("""COMPUTED_VALUE"""),2.0)</f>
        <v>2</v>
      </c>
      <c r="F4118" s="6">
        <f>IFERROR(__xludf.DUMMYFUNCTION("""COMPUTED_VALUE"""),2.0)</f>
        <v>2</v>
      </c>
      <c r="G4118" s="6">
        <f>IFERROR(__xludf.DUMMYFUNCTION("""COMPUTED_VALUE"""),0.0)</f>
        <v>0</v>
      </c>
      <c r="H4118" s="6" t="str">
        <f>IFERROR(__xludf.DUMMYFUNCTION("""COMPUTED_VALUE"""),"Pcs")</f>
        <v>Pcs</v>
      </c>
      <c r="I4118" s="6" t="str">
        <f>IFERROR(__xludf.DUMMYFUNCTION("""COMPUTED_VALUE"""),"MFH")</f>
        <v>MFH</v>
      </c>
      <c r="J4118" s="6" t="str">
        <f>IFERROR(__xludf.DUMMYFUNCTION("""COMPUTED_VALUE"""),"Building")</f>
        <v>Building</v>
      </c>
      <c r="K4118" s="6" t="str">
        <f>IFERROR(__xludf.DUMMYFUNCTION("""COMPUTED_VALUE"""),"SPR/08/26/048")</f>
        <v>SPR/08/26/048</v>
      </c>
      <c r="L4118" s="13">
        <f>IFERROR(__xludf.DUMMYFUNCTION("""COMPUTED_VALUE"""),46260.0)</f>
        <v>46260</v>
      </c>
    </row>
    <row r="4119">
      <c r="A4119" s="6" t="str">
        <f>IFERROR(__xludf.DUMMYFUNCTION("""COMPUTED_VALUE"""),"SFH")</f>
        <v>SFH</v>
      </c>
      <c r="B4119" s="6" t="str">
        <f>IFERROR(__xludf.DUMMYFUNCTION("""COMPUTED_VALUE"""),"ENG")</f>
        <v>ENG</v>
      </c>
      <c r="C4119" s="6" t="str">
        <f>IFERROR(__xludf.DUMMYFUNCTION("""COMPUTED_VALUE"""),"Q-10128-00")</f>
        <v>Q-10128-00</v>
      </c>
      <c r="D4119" s="6" t="str">
        <f>IFERROR(__xludf.DUMMYFUNCTION("""COMPUTED_VALUE"""),"Thinner Super End/Impala")</f>
        <v>Thinner Super End/Impala</v>
      </c>
      <c r="E4119" s="6">
        <f>IFERROR(__xludf.DUMMYFUNCTION("""COMPUTED_VALUE"""),4.0)</f>
        <v>4</v>
      </c>
      <c r="F4119" s="6">
        <f>IFERROR(__xludf.DUMMYFUNCTION("""COMPUTED_VALUE"""),4.0)</f>
        <v>4</v>
      </c>
      <c r="G4119" s="6">
        <f>IFERROR(__xludf.DUMMYFUNCTION("""COMPUTED_VALUE"""),0.0)</f>
        <v>0</v>
      </c>
      <c r="H4119" s="6" t="str">
        <f>IFERROR(__xludf.DUMMYFUNCTION("""COMPUTED_VALUE"""),"Pcs")</f>
        <v>Pcs</v>
      </c>
      <c r="I4119" s="6" t="str">
        <f>IFERROR(__xludf.DUMMYFUNCTION("""COMPUTED_VALUE"""),"MFH")</f>
        <v>MFH</v>
      </c>
      <c r="J4119" s="6" t="str">
        <f>IFERROR(__xludf.DUMMYFUNCTION("""COMPUTED_VALUE"""),"Building")</f>
        <v>Building</v>
      </c>
      <c r="K4119" s="6" t="str">
        <f>IFERROR(__xludf.DUMMYFUNCTION("""COMPUTED_VALUE"""),"SPR/08/26/049")</f>
        <v>SPR/08/26/049</v>
      </c>
      <c r="L4119" s="13">
        <f>IFERROR(__xludf.DUMMYFUNCTION("""COMPUTED_VALUE"""),46260.0)</f>
        <v>46260</v>
      </c>
    </row>
    <row r="4120">
      <c r="A4120" s="6" t="str">
        <f>IFERROR(__xludf.DUMMYFUNCTION("""COMPUTED_VALUE"""),"SFH")</f>
        <v>SFH</v>
      </c>
      <c r="B4120" s="6" t="str">
        <f>IFERROR(__xludf.DUMMYFUNCTION("""COMPUTED_VALUE"""),"ENG")</f>
        <v>ENG</v>
      </c>
      <c r="C4120" s="6" t="str">
        <f>IFERROR(__xludf.DUMMYFUNCTION("""COMPUTED_VALUE"""),"Q-60405-00")</f>
        <v>Q-60405-00</v>
      </c>
      <c r="D4120" s="6" t="str">
        <f>IFERROR(__xludf.DUMMYFUNCTION("""COMPUTED_VALUE"""),"Cat Durogloss DR-2000; Propan; Type Spiders Web 90YY 73/040; 0,9 L/can")</f>
        <v>Cat Durogloss DR-2000; Propan; Type Spiders Web 90YY 73/040; 0,9 L/can</v>
      </c>
      <c r="E4120" s="6">
        <f>IFERROR(__xludf.DUMMYFUNCTION("""COMPUTED_VALUE"""),4.0)</f>
        <v>4</v>
      </c>
      <c r="F4120" s="6">
        <f>IFERROR(__xludf.DUMMYFUNCTION("""COMPUTED_VALUE"""),4.0)</f>
        <v>4</v>
      </c>
      <c r="G4120" s="6">
        <f>IFERROR(__xludf.DUMMYFUNCTION("""COMPUTED_VALUE"""),0.0)</f>
        <v>0</v>
      </c>
      <c r="H4120" s="6" t="str">
        <f>IFERROR(__xludf.DUMMYFUNCTION("""COMPUTED_VALUE"""),"Pcs")</f>
        <v>Pcs</v>
      </c>
      <c r="I4120" s="6" t="str">
        <f>IFERROR(__xludf.DUMMYFUNCTION("""COMPUTED_VALUE"""),"MFH")</f>
        <v>MFH</v>
      </c>
      <c r="J4120" s="6" t="str">
        <f>IFERROR(__xludf.DUMMYFUNCTION("""COMPUTED_VALUE"""),"Building")</f>
        <v>Building</v>
      </c>
      <c r="K4120" s="6" t="str">
        <f>IFERROR(__xludf.DUMMYFUNCTION("""COMPUTED_VALUE"""),"SPR/08/26/049")</f>
        <v>SPR/08/26/049</v>
      </c>
      <c r="L4120" s="13">
        <f>IFERROR(__xludf.DUMMYFUNCTION("""COMPUTED_VALUE"""),46260.0)</f>
        <v>46260</v>
      </c>
    </row>
    <row r="4121">
      <c r="A4121" s="6" t="str">
        <f>IFERROR(__xludf.DUMMYFUNCTION("""COMPUTED_VALUE"""),"SFH")</f>
        <v>SFH</v>
      </c>
      <c r="B4121" s="6" t="str">
        <f>IFERROR(__xludf.DUMMYFUNCTION("""COMPUTED_VALUE"""),"ENG")</f>
        <v>ENG</v>
      </c>
      <c r="C4121" s="6" t="str">
        <f>IFERROR(__xludf.DUMMYFUNCTION("""COMPUTED_VALUE"""),"Q-10153-00")</f>
        <v>Q-10153-00</v>
      </c>
      <c r="D4121" s="6" t="str">
        <f>IFERROR(__xludf.DUMMYFUNCTION("""COMPUTED_VALUE"""),"Roller cat 110mm")</f>
        <v>Roller cat 110mm</v>
      </c>
      <c r="E4121" s="6">
        <f>IFERROR(__xludf.DUMMYFUNCTION("""COMPUTED_VALUE"""),4.0)</f>
        <v>4</v>
      </c>
      <c r="F4121" s="6">
        <f>IFERROR(__xludf.DUMMYFUNCTION("""COMPUTED_VALUE"""),4.0)</f>
        <v>4</v>
      </c>
      <c r="G4121" s="6">
        <f>IFERROR(__xludf.DUMMYFUNCTION("""COMPUTED_VALUE"""),0.0)</f>
        <v>0</v>
      </c>
      <c r="H4121" s="6" t="str">
        <f>IFERROR(__xludf.DUMMYFUNCTION("""COMPUTED_VALUE"""),"Pcs")</f>
        <v>Pcs</v>
      </c>
      <c r="I4121" s="6" t="str">
        <f>IFERROR(__xludf.DUMMYFUNCTION("""COMPUTED_VALUE"""),"MFH")</f>
        <v>MFH</v>
      </c>
      <c r="J4121" s="6" t="str">
        <f>IFERROR(__xludf.DUMMYFUNCTION("""COMPUTED_VALUE"""),"Building")</f>
        <v>Building</v>
      </c>
      <c r="K4121" s="6" t="str">
        <f>IFERROR(__xludf.DUMMYFUNCTION("""COMPUTED_VALUE"""),"SPR/08/26/049")</f>
        <v>SPR/08/26/049</v>
      </c>
      <c r="L4121" s="13">
        <f>IFERROR(__xludf.DUMMYFUNCTION("""COMPUTED_VALUE"""),46260.0)</f>
        <v>46260</v>
      </c>
    </row>
    <row r="4122">
      <c r="A4122" s="6" t="str">
        <f>IFERROR(__xludf.DUMMYFUNCTION("""COMPUTED_VALUE"""),"MRN")</f>
        <v>MRN</v>
      </c>
      <c r="B4122" s="6" t="str">
        <f>IFERROR(__xludf.DUMMYFUNCTION("""COMPUTED_VALUE"""),"ENG")</f>
        <v>ENG</v>
      </c>
      <c r="C4122" s="6" t="str">
        <f>IFERROR(__xludf.DUMMYFUNCTION("""COMPUTED_VALUE"""),"P-54223-00")</f>
        <v>P-54223-00</v>
      </c>
      <c r="D4122" s="6" t="str">
        <f>IFERROR(__xludf.DUMMYFUNCTION("""COMPUTED_VALUE"""),"Socket Charger SB175A grey; Anderson; ;")</f>
        <v>Socket Charger SB175A grey; Anderson; ;</v>
      </c>
      <c r="E4122" s="6">
        <f>IFERROR(__xludf.DUMMYFUNCTION("""COMPUTED_VALUE"""),1.0)</f>
        <v>1</v>
      </c>
      <c r="F4122" s="6">
        <f>IFERROR(__xludf.DUMMYFUNCTION("""COMPUTED_VALUE"""),1.0)</f>
        <v>1</v>
      </c>
      <c r="G4122" s="6">
        <f>IFERROR(__xludf.DUMMYFUNCTION("""COMPUTED_VALUE"""),0.0)</f>
        <v>0</v>
      </c>
      <c r="H4122" s="6" t="str">
        <f>IFERROR(__xludf.DUMMYFUNCTION("""COMPUTED_VALUE"""),"pcs")</f>
        <v>pcs</v>
      </c>
      <c r="I4122" s="6" t="str">
        <f>IFERROR(__xludf.DUMMYFUNCTION("""COMPUTED_VALUE"""),"MFH")</f>
        <v>MFH</v>
      </c>
      <c r="J4122" s="6" t="str">
        <f>IFERROR(__xludf.DUMMYFUNCTION("""COMPUTED_VALUE"""),"Power Stacker")</f>
        <v>Power Stacker</v>
      </c>
      <c r="K4122" s="6" t="str">
        <f>IFERROR(__xludf.DUMMYFUNCTION("""COMPUTED_VALUE"""),"SPR/08/26/050")</f>
        <v>SPR/08/26/050</v>
      </c>
      <c r="L4122" s="13">
        <f>IFERROR(__xludf.DUMMYFUNCTION("""COMPUTED_VALUE"""),46260.0)</f>
        <v>46260</v>
      </c>
    </row>
    <row r="4123">
      <c r="A4123" s="6" t="str">
        <f>IFERROR(__xludf.DUMMYFUNCTION("""COMPUTED_VALUE"""),"SFH")</f>
        <v>SFH</v>
      </c>
      <c r="B4123" s="6" t="str">
        <f>IFERROR(__xludf.DUMMYFUNCTION("""COMPUTED_VALUE"""),"ENG")</f>
        <v>ENG</v>
      </c>
      <c r="C4123" s="6" t="str">
        <f>IFERROR(__xludf.DUMMYFUNCTION("""COMPUTED_VALUE"""),"Q-10946-00")</f>
        <v>Q-10946-00</v>
      </c>
      <c r="D4123" s="6" t="str">
        <f>IFERROR(__xludf.DUMMYFUNCTION("""COMPUTED_VALUE"""),"Silicone Sealant;Silglaze;Type N10 Light Grey;pack size per pcs")</f>
        <v>Silicone Sealant;Silglaze;Type N10 Light Grey;pack size per pcs</v>
      </c>
      <c r="E4123" s="6">
        <f>IFERROR(__xludf.DUMMYFUNCTION("""COMPUTED_VALUE"""),1.0)</f>
        <v>1</v>
      </c>
      <c r="F4123" s="6">
        <f>IFERROR(__xludf.DUMMYFUNCTION("""COMPUTED_VALUE"""),1.0)</f>
        <v>1</v>
      </c>
      <c r="G4123" s="6">
        <f>IFERROR(__xludf.DUMMYFUNCTION("""COMPUTED_VALUE"""),0.0)</f>
        <v>0</v>
      </c>
      <c r="H4123" s="6" t="str">
        <f>IFERROR(__xludf.DUMMYFUNCTION("""COMPUTED_VALUE"""),"pcs")</f>
        <v>pcs</v>
      </c>
      <c r="I4123" s="6" t="str">
        <f>IFERROR(__xludf.DUMMYFUNCTION("""COMPUTED_VALUE"""),"MFH")</f>
        <v>MFH</v>
      </c>
      <c r="J4123" s="6" t="str">
        <f>IFERROR(__xludf.DUMMYFUNCTION("""COMPUTED_VALUE"""),"Building")</f>
        <v>Building</v>
      </c>
      <c r="K4123" s="6" t="str">
        <f>IFERROR(__xludf.DUMMYFUNCTION("""COMPUTED_VALUE"""),"SPR/08/26/051")</f>
        <v>SPR/08/26/051</v>
      </c>
      <c r="L4123" s="13">
        <f>IFERROR(__xludf.DUMMYFUNCTION("""COMPUTED_VALUE"""),46260.0)</f>
        <v>46260</v>
      </c>
    </row>
    <row r="4124">
      <c r="A4124" s="6" t="str">
        <f>IFERROR(__xludf.DUMMYFUNCTION("""COMPUTED_VALUE"""),"SFH")</f>
        <v>SFH</v>
      </c>
      <c r="B4124" s="6" t="str">
        <f>IFERROR(__xludf.DUMMYFUNCTION("""COMPUTED_VALUE"""),"ENG")</f>
        <v>ENG</v>
      </c>
      <c r="C4124" s="6" t="str">
        <f>IFERROR(__xludf.DUMMYFUNCTION("""COMPUTED_VALUE"""),"T-80109-00")</f>
        <v>T-80109-00</v>
      </c>
      <c r="D4124" s="6" t="str">
        <f>IFERROR(__xludf.DUMMYFUNCTION("""COMPUTED_VALUE"""),"Cellotape Kertas 1 inch warna Putih")</f>
        <v>Cellotape Kertas 1 inch warna Putih</v>
      </c>
      <c r="E4124" s="6">
        <f>IFERROR(__xludf.DUMMYFUNCTION("""COMPUTED_VALUE"""),2.0)</f>
        <v>2</v>
      </c>
      <c r="F4124" s="6">
        <f>IFERROR(__xludf.DUMMYFUNCTION("""COMPUTED_VALUE"""),2.0)</f>
        <v>2</v>
      </c>
      <c r="G4124" s="6">
        <f>IFERROR(__xludf.DUMMYFUNCTION("""COMPUTED_VALUE"""),0.0)</f>
        <v>0</v>
      </c>
      <c r="H4124" s="6" t="str">
        <f>IFERROR(__xludf.DUMMYFUNCTION("""COMPUTED_VALUE"""),"pcs")</f>
        <v>pcs</v>
      </c>
      <c r="I4124" s="6" t="str">
        <f>IFERROR(__xludf.DUMMYFUNCTION("""COMPUTED_VALUE"""),"MFH")</f>
        <v>MFH</v>
      </c>
      <c r="J4124" s="6" t="str">
        <f>IFERROR(__xludf.DUMMYFUNCTION("""COMPUTED_VALUE"""),"Building")</f>
        <v>Building</v>
      </c>
      <c r="K4124" s="6" t="str">
        <f>IFERROR(__xludf.DUMMYFUNCTION("""COMPUTED_VALUE"""),"SPR/08/26/051")</f>
        <v>SPR/08/26/051</v>
      </c>
      <c r="L4124" s="13">
        <f>IFERROR(__xludf.DUMMYFUNCTION("""COMPUTED_VALUE"""),46260.0)</f>
        <v>46260</v>
      </c>
    </row>
    <row r="4125">
      <c r="A4125" s="6" t="str">
        <f>IFERROR(__xludf.DUMMYFUNCTION("""COMPUTED_VALUE"""),"SFH")</f>
        <v>SFH</v>
      </c>
      <c r="B4125" s="6" t="str">
        <f>IFERROR(__xludf.DUMMYFUNCTION("""COMPUTED_VALUE"""),"ENG")</f>
        <v>ENG</v>
      </c>
      <c r="C4125" s="6" t="str">
        <f>IFERROR(__xludf.DUMMYFUNCTION("""COMPUTED_VALUE"""),"Q-10154-00")</f>
        <v>Q-10154-00</v>
      </c>
      <c r="D4125" s="6" t="str">
        <f>IFERROR(__xludf.DUMMYFUNCTION("""COMPUTED_VALUE"""),"Roller cat 230mm")</f>
        <v>Roller cat 230mm</v>
      </c>
      <c r="E4125" s="6">
        <f>IFERROR(__xludf.DUMMYFUNCTION("""COMPUTED_VALUE"""),1.0)</f>
        <v>1</v>
      </c>
      <c r="F4125" s="6">
        <f>IFERROR(__xludf.DUMMYFUNCTION("""COMPUTED_VALUE"""),1.0)</f>
        <v>1</v>
      </c>
      <c r="G4125" s="6">
        <f>IFERROR(__xludf.DUMMYFUNCTION("""COMPUTED_VALUE"""),0.0)</f>
        <v>0</v>
      </c>
      <c r="H4125" s="6" t="str">
        <f>IFERROR(__xludf.DUMMYFUNCTION("""COMPUTED_VALUE"""),"Pcs")</f>
        <v>Pcs</v>
      </c>
      <c r="I4125" s="6" t="str">
        <f>IFERROR(__xludf.DUMMYFUNCTION("""COMPUTED_VALUE"""),"MFH")</f>
        <v>MFH</v>
      </c>
      <c r="J4125" s="6" t="str">
        <f>IFERROR(__xludf.DUMMYFUNCTION("""COMPUTED_VALUE"""),"Building")</f>
        <v>Building</v>
      </c>
      <c r="K4125" s="6" t="str">
        <f>IFERROR(__xludf.DUMMYFUNCTION("""COMPUTED_VALUE"""),"SPR/08/26/052")</f>
        <v>SPR/08/26/052</v>
      </c>
      <c r="L4125" s="13">
        <f>IFERROR(__xludf.DUMMYFUNCTION("""COMPUTED_VALUE"""),46260.0)</f>
        <v>46260</v>
      </c>
    </row>
    <row r="4126">
      <c r="A4126" s="6" t="str">
        <f>IFERROR(__xludf.DUMMYFUNCTION("""COMPUTED_VALUE"""),"SFH")</f>
        <v>SFH</v>
      </c>
      <c r="B4126" s="6" t="str">
        <f>IFERROR(__xludf.DUMMYFUNCTION("""COMPUTED_VALUE"""),"ENG")</f>
        <v>ENG</v>
      </c>
      <c r="C4126" s="6" t="str">
        <f>IFERROR(__xludf.DUMMYFUNCTION("""COMPUTED_VALUE"""),"P-15851-00")</f>
        <v>P-15851-00</v>
      </c>
      <c r="D4126" s="6" t="str">
        <f>IFERROR(__xludf.DUMMYFUNCTION("""COMPUTED_VALUE"""),"AMPLAS EAGLE 100")</f>
        <v>AMPLAS EAGLE 100</v>
      </c>
      <c r="E4126" s="6">
        <f>IFERROR(__xludf.DUMMYFUNCTION("""COMPUTED_VALUE"""),1.0)</f>
        <v>1</v>
      </c>
      <c r="F4126" s="6">
        <f>IFERROR(__xludf.DUMMYFUNCTION("""COMPUTED_VALUE"""),1.0)</f>
        <v>1</v>
      </c>
      <c r="G4126" s="6">
        <f>IFERROR(__xludf.DUMMYFUNCTION("""COMPUTED_VALUE"""),0.0)</f>
        <v>0</v>
      </c>
      <c r="H4126" s="6" t="str">
        <f>IFERROR(__xludf.DUMMYFUNCTION("""COMPUTED_VALUE"""),"Pcs")</f>
        <v>Pcs</v>
      </c>
      <c r="I4126" s="6" t="str">
        <f>IFERROR(__xludf.DUMMYFUNCTION("""COMPUTED_VALUE"""),"MFH")</f>
        <v>MFH</v>
      </c>
      <c r="J4126" s="6" t="str">
        <f>IFERROR(__xludf.DUMMYFUNCTION("""COMPUTED_VALUE"""),"Building")</f>
        <v>Building</v>
      </c>
      <c r="K4126" s="6" t="str">
        <f>IFERROR(__xludf.DUMMYFUNCTION("""COMPUTED_VALUE"""),"SPR/08/26/052")</f>
        <v>SPR/08/26/052</v>
      </c>
      <c r="L4126" s="13">
        <f>IFERROR(__xludf.DUMMYFUNCTION("""COMPUTED_VALUE"""),46260.0)</f>
        <v>46260</v>
      </c>
    </row>
    <row r="4127">
      <c r="A4127" s="6" t="str">
        <f>IFERROR(__xludf.DUMMYFUNCTION("""COMPUTED_VALUE"""),"SFH")</f>
        <v>SFH</v>
      </c>
      <c r="B4127" s="6" t="str">
        <f>IFERROR(__xludf.DUMMYFUNCTION("""COMPUTED_VALUE"""),"ENG")</f>
        <v>ENG</v>
      </c>
      <c r="C4127" s="6" t="str">
        <f>IFERROR(__xludf.DUMMYFUNCTION("""COMPUTED_VALUE"""),"Q-12173-00")</f>
        <v>Q-12173-00</v>
      </c>
      <c r="D4127" s="6" t="str">
        <f>IFERROR(__xludf.DUMMYFUNCTION("""COMPUTED_VALUE"""),"General - Amplas Eagle 200")</f>
        <v>General - Amplas Eagle 200</v>
      </c>
      <c r="E4127" s="6">
        <f>IFERROR(__xludf.DUMMYFUNCTION("""COMPUTED_VALUE"""),1.0)</f>
        <v>1</v>
      </c>
      <c r="F4127" s="6">
        <f>IFERROR(__xludf.DUMMYFUNCTION("""COMPUTED_VALUE"""),1.0)</f>
        <v>1</v>
      </c>
      <c r="G4127" s="6">
        <f>IFERROR(__xludf.DUMMYFUNCTION("""COMPUTED_VALUE"""),0.0)</f>
        <v>0</v>
      </c>
      <c r="H4127" s="6" t="str">
        <f>IFERROR(__xludf.DUMMYFUNCTION("""COMPUTED_VALUE"""),"Pcs")</f>
        <v>Pcs</v>
      </c>
      <c r="I4127" s="6" t="str">
        <f>IFERROR(__xludf.DUMMYFUNCTION("""COMPUTED_VALUE"""),"MFH")</f>
        <v>MFH</v>
      </c>
      <c r="J4127" s="6" t="str">
        <f>IFERROR(__xludf.DUMMYFUNCTION("""COMPUTED_VALUE"""),"Building")</f>
        <v>Building</v>
      </c>
      <c r="K4127" s="6" t="str">
        <f>IFERROR(__xludf.DUMMYFUNCTION("""COMPUTED_VALUE"""),"SPR/08/26/052")</f>
        <v>SPR/08/26/052</v>
      </c>
      <c r="L4127" s="13">
        <f>IFERROR(__xludf.DUMMYFUNCTION("""COMPUTED_VALUE"""),46260.0)</f>
        <v>46260</v>
      </c>
    </row>
    <row r="4128">
      <c r="A4128" s="6" t="str">
        <f>IFERROR(__xludf.DUMMYFUNCTION("""COMPUTED_VALUE"""),"SFH")</f>
        <v>SFH</v>
      </c>
      <c r="B4128" s="6" t="str">
        <f>IFERROR(__xludf.DUMMYFUNCTION("""COMPUTED_VALUE"""),"ENG")</f>
        <v>ENG</v>
      </c>
      <c r="C4128" s="6" t="str">
        <f>IFERROR(__xludf.DUMMYFUNCTION("""COMPUTED_VALUE"""),"P-15852-00")</f>
        <v>P-15852-00</v>
      </c>
      <c r="D4128" s="6" t="str">
        <f>IFERROR(__xludf.DUMMYFUNCTION("""COMPUTED_VALUE"""),"AMPLAS EAGLE 500")</f>
        <v>AMPLAS EAGLE 500</v>
      </c>
      <c r="E4128" s="6">
        <f>IFERROR(__xludf.DUMMYFUNCTION("""COMPUTED_VALUE"""),3.0)</f>
        <v>3</v>
      </c>
      <c r="F4128" s="6">
        <f>IFERROR(__xludf.DUMMYFUNCTION("""COMPUTED_VALUE"""),3.0)</f>
        <v>3</v>
      </c>
      <c r="G4128" s="6">
        <f>IFERROR(__xludf.DUMMYFUNCTION("""COMPUTED_VALUE"""),0.0)</f>
        <v>0</v>
      </c>
      <c r="H4128" s="6" t="str">
        <f>IFERROR(__xludf.DUMMYFUNCTION("""COMPUTED_VALUE"""),"Pcs")</f>
        <v>Pcs</v>
      </c>
      <c r="I4128" s="6" t="str">
        <f>IFERROR(__xludf.DUMMYFUNCTION("""COMPUTED_VALUE"""),"MFH")</f>
        <v>MFH</v>
      </c>
      <c r="J4128" s="6" t="str">
        <f>IFERROR(__xludf.DUMMYFUNCTION("""COMPUTED_VALUE"""),"Building")</f>
        <v>Building</v>
      </c>
      <c r="K4128" s="6" t="str">
        <f>IFERROR(__xludf.DUMMYFUNCTION("""COMPUTED_VALUE"""),"SPR/08/26/052")</f>
        <v>SPR/08/26/052</v>
      </c>
      <c r="L4128" s="13">
        <f>IFERROR(__xludf.DUMMYFUNCTION("""COMPUTED_VALUE"""),46260.0)</f>
        <v>46260</v>
      </c>
    </row>
    <row r="4129">
      <c r="A4129" s="6" t="str">
        <f>IFERROR(__xludf.DUMMYFUNCTION("""COMPUTED_VALUE"""),"SFH")</f>
        <v>SFH</v>
      </c>
      <c r="B4129" s="6" t="str">
        <f>IFERROR(__xludf.DUMMYFUNCTION("""COMPUTED_VALUE"""),"ENG")</f>
        <v>ENG</v>
      </c>
      <c r="C4129" s="6" t="str">
        <f>IFERROR(__xludf.DUMMYFUNCTION("""COMPUTED_VALUE"""),"Q-10331-00")</f>
        <v>Q-10331-00</v>
      </c>
      <c r="D4129" s="6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E4129" s="6">
        <f>IFERROR(__xludf.DUMMYFUNCTION("""COMPUTED_VALUE"""),1.0)</f>
        <v>1</v>
      </c>
      <c r="F4129" s="6">
        <f>IFERROR(__xludf.DUMMYFUNCTION("""COMPUTED_VALUE"""),1.0)</f>
        <v>1</v>
      </c>
      <c r="G4129" s="6">
        <f>IFERROR(__xludf.DUMMYFUNCTION("""COMPUTED_VALUE"""),0.0)</f>
        <v>0</v>
      </c>
      <c r="H4129" s="6" t="str">
        <f>IFERROR(__xludf.DUMMYFUNCTION("""COMPUTED_VALUE"""),"Can")</f>
        <v>Can</v>
      </c>
      <c r="I4129" s="6" t="str">
        <f>IFERROR(__xludf.DUMMYFUNCTION("""COMPUTED_VALUE"""),"MFH")</f>
        <v>MFH</v>
      </c>
      <c r="J4129" s="6" t="str">
        <f>IFERROR(__xludf.DUMMYFUNCTION("""COMPUTED_VALUE"""),"Building")</f>
        <v>Building</v>
      </c>
      <c r="K4129" s="6" t="str">
        <f>IFERROR(__xludf.DUMMYFUNCTION("""COMPUTED_VALUE"""),"SPR/08/26/053")</f>
        <v>SPR/08/26/053</v>
      </c>
      <c r="L4129" s="13">
        <f>IFERROR(__xludf.DUMMYFUNCTION("""COMPUTED_VALUE"""),46260.0)</f>
        <v>46260</v>
      </c>
    </row>
    <row r="4130">
      <c r="A4130" s="6" t="str">
        <f>IFERROR(__xludf.DUMMYFUNCTION("""COMPUTED_VALUE"""),"SFH")</f>
        <v>SFH</v>
      </c>
      <c r="B4130" s="6" t="str">
        <f>IFERROR(__xludf.DUMMYFUNCTION("""COMPUTED_VALUE"""),"ENG")</f>
        <v>ENG</v>
      </c>
      <c r="C4130" s="6" t="str">
        <f>IFERROR(__xludf.DUMMYFUNCTION("""COMPUTED_VALUE"""),"Q-10153-00")</f>
        <v>Q-10153-00</v>
      </c>
      <c r="D4130" s="6" t="str">
        <f>IFERROR(__xludf.DUMMYFUNCTION("""COMPUTED_VALUE"""),"Roller cat 110mm")</f>
        <v>Roller cat 110mm</v>
      </c>
      <c r="E4130" s="6">
        <f>IFERROR(__xludf.DUMMYFUNCTION("""COMPUTED_VALUE"""),2.0)</f>
        <v>2</v>
      </c>
      <c r="F4130" s="6">
        <f>IFERROR(__xludf.DUMMYFUNCTION("""COMPUTED_VALUE"""),2.0)</f>
        <v>2</v>
      </c>
      <c r="G4130" s="6">
        <f>IFERROR(__xludf.DUMMYFUNCTION("""COMPUTED_VALUE"""),0.0)</f>
        <v>0</v>
      </c>
      <c r="H4130" s="6" t="str">
        <f>IFERROR(__xludf.DUMMYFUNCTION("""COMPUTED_VALUE"""),"Pcs")</f>
        <v>Pcs</v>
      </c>
      <c r="I4130" s="6" t="str">
        <f>IFERROR(__xludf.DUMMYFUNCTION("""COMPUTED_VALUE"""),"MFH")</f>
        <v>MFH</v>
      </c>
      <c r="J4130" s="6" t="str">
        <f>IFERROR(__xludf.DUMMYFUNCTION("""COMPUTED_VALUE"""),"Building")</f>
        <v>Building</v>
      </c>
      <c r="K4130" s="6" t="str">
        <f>IFERROR(__xludf.DUMMYFUNCTION("""COMPUTED_VALUE"""),"SPR/08/26/053")</f>
        <v>SPR/08/26/053</v>
      </c>
      <c r="L4130" s="13">
        <f>IFERROR(__xludf.DUMMYFUNCTION("""COMPUTED_VALUE"""),46260.0)</f>
        <v>46260</v>
      </c>
    </row>
    <row r="4131">
      <c r="A4131" s="6" t="str">
        <f>IFERROR(__xludf.DUMMYFUNCTION("""COMPUTED_VALUE"""),"SFH")</f>
        <v>SFH</v>
      </c>
      <c r="B4131" s="6" t="str">
        <f>IFERROR(__xludf.DUMMYFUNCTION("""COMPUTED_VALUE"""),"ENG")</f>
        <v>ENG</v>
      </c>
      <c r="C4131" s="6" t="str">
        <f>IFERROR(__xludf.DUMMYFUNCTION("""COMPUTED_VALUE"""),"T-80109-00")</f>
        <v>T-80109-00</v>
      </c>
      <c r="D4131" s="6" t="str">
        <f>IFERROR(__xludf.DUMMYFUNCTION("""COMPUTED_VALUE"""),"Cellotape Kertas 1 inch warna Putih")</f>
        <v>Cellotape Kertas 1 inch warna Putih</v>
      </c>
      <c r="E4131" s="6">
        <f>IFERROR(__xludf.DUMMYFUNCTION("""COMPUTED_VALUE"""),4.0)</f>
        <v>4</v>
      </c>
      <c r="F4131" s="6">
        <f>IFERROR(__xludf.DUMMYFUNCTION("""COMPUTED_VALUE"""),4.0)</f>
        <v>4</v>
      </c>
      <c r="G4131" s="6">
        <f>IFERROR(__xludf.DUMMYFUNCTION("""COMPUTED_VALUE"""),0.0)</f>
        <v>0</v>
      </c>
      <c r="H4131" s="6" t="str">
        <f>IFERROR(__xludf.DUMMYFUNCTION("""COMPUTED_VALUE"""),"Pcs")</f>
        <v>Pcs</v>
      </c>
      <c r="I4131" s="6" t="str">
        <f>IFERROR(__xludf.DUMMYFUNCTION("""COMPUTED_VALUE"""),"MFH")</f>
        <v>MFH</v>
      </c>
      <c r="J4131" s="6" t="str">
        <f>IFERROR(__xludf.DUMMYFUNCTION("""COMPUTED_VALUE"""),"Building")</f>
        <v>Building</v>
      </c>
      <c r="K4131" s="6" t="str">
        <f>IFERROR(__xludf.DUMMYFUNCTION("""COMPUTED_VALUE"""),"SPR/08/26/053")</f>
        <v>SPR/08/26/053</v>
      </c>
      <c r="L4131" s="13">
        <f>IFERROR(__xludf.DUMMYFUNCTION("""COMPUTED_VALUE"""),46260.0)</f>
        <v>46260</v>
      </c>
    </row>
    <row r="4132">
      <c r="A4132" s="6" t="str">
        <f>IFERROR(__xludf.DUMMYFUNCTION("""COMPUTED_VALUE"""),"SFH")</f>
        <v>SFH</v>
      </c>
      <c r="B4132" s="6" t="str">
        <f>IFERROR(__xludf.DUMMYFUNCTION("""COMPUTED_VALUE"""),"ENG")</f>
        <v>ENG</v>
      </c>
      <c r="C4132" s="6" t="str">
        <f>IFERROR(__xludf.DUMMYFUNCTION("""COMPUTED_VALUE"""),"O-53045-00")</f>
        <v>O-53045-00</v>
      </c>
      <c r="D4132" s="6" t="str">
        <f>IFERROR(__xludf.DUMMYFUNCTION("""COMPUTED_VALUE"""),"Saklar Switch On Off DC 12V Lampu MerahLokal")</f>
        <v>Saklar Switch On Off DC 12V Lampu MerahLokal</v>
      </c>
      <c r="E4132" s="6">
        <f>IFERROR(__xludf.DUMMYFUNCTION("""COMPUTED_VALUE"""),1.0)</f>
        <v>1</v>
      </c>
      <c r="F4132" s="6">
        <f>IFERROR(__xludf.DUMMYFUNCTION("""COMPUTED_VALUE"""),1.0)</f>
        <v>1</v>
      </c>
      <c r="G4132" s="6">
        <f>IFERROR(__xludf.DUMMYFUNCTION("""COMPUTED_VALUE"""),0.0)</f>
        <v>0</v>
      </c>
      <c r="H4132" s="6" t="str">
        <f>IFERROR(__xludf.DUMMYFUNCTION("""COMPUTED_VALUE"""),"Pcs")</f>
        <v>Pcs</v>
      </c>
      <c r="I4132" s="6" t="str">
        <f>IFERROR(__xludf.DUMMYFUNCTION("""COMPUTED_VALUE"""),"MFH")</f>
        <v>MFH</v>
      </c>
      <c r="J4132" s="6" t="str">
        <f>IFERROR(__xludf.DUMMYFUNCTION("""COMPUTED_VALUE"""),"WWTP")</f>
        <v>WWTP</v>
      </c>
      <c r="K4132" s="6" t="str">
        <f>IFERROR(__xludf.DUMMYFUNCTION("""COMPUTED_VALUE"""),"SPR/08/26/054")</f>
        <v>SPR/08/26/054</v>
      </c>
      <c r="L4132" s="13">
        <f>IFERROR(__xludf.DUMMYFUNCTION("""COMPUTED_VALUE"""),46260.0)</f>
        <v>46260</v>
      </c>
    </row>
    <row r="4133">
      <c r="A4133" s="6" t="str">
        <f>IFERROR(__xludf.DUMMYFUNCTION("""COMPUTED_VALUE"""),"SFH")</f>
        <v>SFH</v>
      </c>
      <c r="B4133" s="6" t="str">
        <f>IFERROR(__xludf.DUMMYFUNCTION("""COMPUTED_VALUE"""),"ENG")</f>
        <v>ENG</v>
      </c>
      <c r="C4133" s="6" t="str">
        <f>IFERROR(__xludf.DUMMYFUNCTION("""COMPUTED_VALUE"""),"P-50962-00")</f>
        <v>P-50962-00</v>
      </c>
      <c r="D4133" s="6" t="str">
        <f>IFERROR(__xludf.DUMMYFUNCTION("""COMPUTED_VALUE"""),"Fuse kaca 5A 6x30")</f>
        <v>Fuse kaca 5A 6x30</v>
      </c>
      <c r="E4133" s="6">
        <f>IFERROR(__xludf.DUMMYFUNCTION("""COMPUTED_VALUE"""),2.0)</f>
        <v>2</v>
      </c>
      <c r="F4133" s="6">
        <f>IFERROR(__xludf.DUMMYFUNCTION("""COMPUTED_VALUE"""),2.0)</f>
        <v>2</v>
      </c>
      <c r="G4133" s="6">
        <f>IFERROR(__xludf.DUMMYFUNCTION("""COMPUTED_VALUE"""),0.0)</f>
        <v>0</v>
      </c>
      <c r="H4133" s="6" t="str">
        <f>IFERROR(__xludf.DUMMYFUNCTION("""COMPUTED_VALUE"""),"Pcs")</f>
        <v>Pcs</v>
      </c>
      <c r="I4133" s="6" t="str">
        <f>IFERROR(__xludf.DUMMYFUNCTION("""COMPUTED_VALUE"""),"MFH")</f>
        <v>MFH</v>
      </c>
      <c r="J4133" s="6" t="str">
        <f>IFERROR(__xludf.DUMMYFUNCTION("""COMPUTED_VALUE"""),"Mixing ")</f>
        <v>Mixing </v>
      </c>
      <c r="K4133" s="6" t="str">
        <f>IFERROR(__xludf.DUMMYFUNCTION("""COMPUTED_VALUE"""),"SPR/08/26/055")</f>
        <v>SPR/08/26/055</v>
      </c>
      <c r="L4133" s="13">
        <f>IFERROR(__xludf.DUMMYFUNCTION("""COMPUTED_VALUE"""),46260.0)</f>
        <v>46260</v>
      </c>
    </row>
    <row r="4134">
      <c r="A4134" s="6" t="str">
        <f>IFERROR(__xludf.DUMMYFUNCTION("""COMPUTED_VALUE"""),"SFH")</f>
        <v>SFH</v>
      </c>
      <c r="B4134" s="6" t="str">
        <f>IFERROR(__xludf.DUMMYFUNCTION("""COMPUTED_VALUE"""),"ENG")</f>
        <v>ENG</v>
      </c>
      <c r="C4134" s="6" t="str">
        <f>IFERROR(__xludf.DUMMYFUNCTION("""COMPUTED_VALUE"""),"P-52254-00")</f>
        <v>P-52254-00</v>
      </c>
      <c r="D4134" s="6" t="str">
        <f>IFERROR(__xludf.DUMMYFUNCTION("""COMPUTED_VALUE"""),"General - Capacitor, 40 mF, 400/450 VAC; No Brand; -; 1 pcs")</f>
        <v>General - Capacitor, 40 mF, 400/450 VAC; No Brand; -; 1 pcs</v>
      </c>
      <c r="E4134" s="6">
        <f>IFERROR(__xludf.DUMMYFUNCTION("""COMPUTED_VALUE"""),1.0)</f>
        <v>1</v>
      </c>
      <c r="F4134" s="6">
        <f>IFERROR(__xludf.DUMMYFUNCTION("""COMPUTED_VALUE"""),1.0)</f>
        <v>1</v>
      </c>
      <c r="G4134" s="6">
        <f>IFERROR(__xludf.DUMMYFUNCTION("""COMPUTED_VALUE"""),0.0)</f>
        <v>0</v>
      </c>
      <c r="H4134" s="6" t="str">
        <f>IFERROR(__xludf.DUMMYFUNCTION("""COMPUTED_VALUE"""),"Pcs")</f>
        <v>Pcs</v>
      </c>
      <c r="I4134" s="6" t="str">
        <f>IFERROR(__xludf.DUMMYFUNCTION("""COMPUTED_VALUE"""),"MFH")</f>
        <v>MFH</v>
      </c>
      <c r="J4134" s="6" t="str">
        <f>IFERROR(__xludf.DUMMYFUNCTION("""COMPUTED_VALUE"""),"-")</f>
        <v>-</v>
      </c>
      <c r="K4134" s="6" t="str">
        <f>IFERROR(__xludf.DUMMYFUNCTION("""COMPUTED_VALUE"""),"SPR/08/26/055")</f>
        <v>SPR/08/26/055</v>
      </c>
      <c r="L4134" s="13">
        <f>IFERROR(__xludf.DUMMYFUNCTION("""COMPUTED_VALUE"""),46260.0)</f>
        <v>46260</v>
      </c>
    </row>
    <row r="4135">
      <c r="A4135" s="6" t="str">
        <f>IFERROR(__xludf.DUMMYFUNCTION("""COMPUTED_VALUE"""),"NDS")</f>
        <v>NDS</v>
      </c>
      <c r="B4135" s="6" t="str">
        <f>IFERROR(__xludf.DUMMYFUNCTION("""COMPUTED_VALUE"""),"ENG")</f>
        <v>ENG</v>
      </c>
      <c r="C4135" s="6" t="str">
        <f>IFERROR(__xludf.DUMMYFUNCTION("""COMPUTED_VALUE"""),"T-80109-00")</f>
        <v>T-80109-00</v>
      </c>
      <c r="D4135" s="6" t="str">
        <f>IFERROR(__xludf.DUMMYFUNCTION("""COMPUTED_VALUE"""),"Cellotape Kertas 1 inch warna Putih")</f>
        <v>Cellotape Kertas 1 inch warna Putih</v>
      </c>
      <c r="E4135" s="6">
        <f>IFERROR(__xludf.DUMMYFUNCTION("""COMPUTED_VALUE"""),1.0)</f>
        <v>1</v>
      </c>
      <c r="F4135" s="6">
        <f>IFERROR(__xludf.DUMMYFUNCTION("""COMPUTED_VALUE"""),1.0)</f>
        <v>1</v>
      </c>
      <c r="G4135" s="6">
        <f>IFERROR(__xludf.DUMMYFUNCTION("""COMPUTED_VALUE"""),0.0)</f>
        <v>0</v>
      </c>
      <c r="H4135" s="6" t="str">
        <f>IFERROR(__xludf.DUMMYFUNCTION("""COMPUTED_VALUE"""),"Pcs")</f>
        <v>Pcs</v>
      </c>
      <c r="I4135" s="6" t="str">
        <f>IFERROR(__xludf.DUMMYFUNCTION("""COMPUTED_VALUE"""),"MFH")</f>
        <v>MFH</v>
      </c>
      <c r="J4135" s="6" t="str">
        <f>IFERROR(__xludf.DUMMYFUNCTION("""COMPUTED_VALUE"""),"Tunnel")</f>
        <v>Tunnel</v>
      </c>
      <c r="K4135" s="6" t="str">
        <f>IFERROR(__xludf.DUMMYFUNCTION("""COMPUTED_VALUE"""),"SPR/08/26/056")</f>
        <v>SPR/08/26/056</v>
      </c>
      <c r="L4135" s="13">
        <f>IFERROR(__xludf.DUMMYFUNCTION("""COMPUTED_VALUE"""),46260.0)</f>
        <v>46260</v>
      </c>
    </row>
    <row r="4136">
      <c r="A4136" s="6" t="str">
        <f>IFERROR(__xludf.DUMMYFUNCTION("""COMPUTED_VALUE"""),"NDS")</f>
        <v>NDS</v>
      </c>
      <c r="B4136" s="6" t="str">
        <f>IFERROR(__xludf.DUMMYFUNCTION("""COMPUTED_VALUE"""),"ENG")</f>
        <v>ENG</v>
      </c>
      <c r="C4136" s="6" t="str">
        <f>IFERROR(__xludf.DUMMYFUNCTION("""COMPUTED_VALUE"""),"P-20509-00")</f>
        <v>P-20509-00</v>
      </c>
      <c r="D4136" s="6" t="str">
        <f>IFERROR(__xludf.DUMMYFUNCTION("""COMPUTED_VALUE"""),"General - Pressure Regulator AR20-F02G-D; SMC; -; 1 pc")</f>
        <v>General - Pressure Regulator AR20-F02G-D; SMC; -; 1 pc</v>
      </c>
      <c r="E4136" s="6">
        <f>IFERROR(__xludf.DUMMYFUNCTION("""COMPUTED_VALUE"""),1.0)</f>
        <v>1</v>
      </c>
      <c r="F4136" s="6">
        <f>IFERROR(__xludf.DUMMYFUNCTION("""COMPUTED_VALUE"""),1.0)</f>
        <v>1</v>
      </c>
      <c r="G4136" s="6">
        <f>IFERROR(__xludf.DUMMYFUNCTION("""COMPUTED_VALUE"""),0.0)</f>
        <v>0</v>
      </c>
      <c r="H4136" s="6" t="str">
        <f>IFERROR(__xludf.DUMMYFUNCTION("""COMPUTED_VALUE"""),"Pcs")</f>
        <v>Pcs</v>
      </c>
      <c r="I4136" s="6" t="str">
        <f>IFERROR(__xludf.DUMMYFUNCTION("""COMPUTED_VALUE"""),"MFH")</f>
        <v>MFH</v>
      </c>
      <c r="J4136" s="6" t="str">
        <f>IFERROR(__xludf.DUMMYFUNCTION("""COMPUTED_VALUE"""),"-")</f>
        <v>-</v>
      </c>
      <c r="K4136" s="6" t="str">
        <f>IFERROR(__xludf.DUMMYFUNCTION("""COMPUTED_VALUE"""),"SPR/08/26/056")</f>
        <v>SPR/08/26/056</v>
      </c>
      <c r="L4136" s="13">
        <f>IFERROR(__xludf.DUMMYFUNCTION("""COMPUTED_VALUE"""),46260.0)</f>
        <v>46260</v>
      </c>
    </row>
    <row r="4137">
      <c r="A4137" s="6" t="str">
        <f>IFERROR(__xludf.DUMMYFUNCTION("""COMPUTED_VALUE"""),"NDS")</f>
        <v>NDS</v>
      </c>
      <c r="B4137" s="6" t="str">
        <f>IFERROR(__xludf.DUMMYFUNCTION("""COMPUTED_VALUE"""),"ENG")</f>
        <v>ENG</v>
      </c>
      <c r="C4137" s="6" t="str">
        <f>IFERROR(__xludf.DUMMYFUNCTION("""COMPUTED_VALUE"""),"P-12280-00")</f>
        <v>P-12280-00</v>
      </c>
      <c r="D4137" s="6" t="str">
        <f>IFERROR(__xludf.DUMMYFUNCTION("""COMPUTED_VALUE"""),"FESTO - QS-1/8-8 Push-In fitting p/n 153004")</f>
        <v>FESTO - QS-1/8-8 Push-In fitting p/n 153004</v>
      </c>
      <c r="E4137" s="6">
        <f>IFERROR(__xludf.DUMMYFUNCTION("""COMPUTED_VALUE"""),2.0)</f>
        <v>2</v>
      </c>
      <c r="F4137" s="6">
        <f>IFERROR(__xludf.DUMMYFUNCTION("""COMPUTED_VALUE"""),2.0)</f>
        <v>2</v>
      </c>
      <c r="G4137" s="6">
        <f>IFERROR(__xludf.DUMMYFUNCTION("""COMPUTED_VALUE"""),0.0)</f>
        <v>0</v>
      </c>
      <c r="H4137" s="6" t="str">
        <f>IFERROR(__xludf.DUMMYFUNCTION("""COMPUTED_VALUE"""),"Pcs")</f>
        <v>Pcs</v>
      </c>
      <c r="I4137" s="6" t="str">
        <f>IFERROR(__xludf.DUMMYFUNCTION("""COMPUTED_VALUE"""),"MFH")</f>
        <v>MFH</v>
      </c>
      <c r="J4137" s="6" t="str">
        <f>IFERROR(__xludf.DUMMYFUNCTION("""COMPUTED_VALUE"""),"-")</f>
        <v>-</v>
      </c>
      <c r="K4137" s="6" t="str">
        <f>IFERROR(__xludf.DUMMYFUNCTION("""COMPUTED_VALUE"""),"SPR/08/26/056")</f>
        <v>SPR/08/26/056</v>
      </c>
      <c r="L4137" s="13">
        <f>IFERROR(__xludf.DUMMYFUNCTION("""COMPUTED_VALUE"""),46260.0)</f>
        <v>46260</v>
      </c>
    </row>
    <row r="4138">
      <c r="A4138" s="6" t="str">
        <f>IFERROR(__xludf.DUMMYFUNCTION("""COMPUTED_VALUE"""),"ERA")</f>
        <v>ERA</v>
      </c>
      <c r="B4138" s="6" t="str">
        <f>IFERROR(__xludf.DUMMYFUNCTION("""COMPUTED_VALUE"""),"ENG")</f>
        <v>ENG</v>
      </c>
      <c r="C4138" s="6" t="str">
        <f>IFERROR(__xludf.DUMMYFUNCTION("""COMPUTED_VALUE"""),"P-52854-00")</f>
        <v>P-52854-00</v>
      </c>
      <c r="D4138" s="6" t="str">
        <f>IFERROR(__xludf.DUMMYFUNCTION("""COMPUTED_VALUE"""),"General - Socket RJ45 Cat 6; Belden; -; 50pcs/pack")</f>
        <v>General - Socket RJ45 Cat 6; Belden; -; 50pcs/pack</v>
      </c>
      <c r="E4138" s="6">
        <f>IFERROR(__xludf.DUMMYFUNCTION("""COMPUTED_VALUE"""),1.0)</f>
        <v>1</v>
      </c>
      <c r="F4138" s="6">
        <f>IFERROR(__xludf.DUMMYFUNCTION("""COMPUTED_VALUE"""),1.0)</f>
        <v>1</v>
      </c>
      <c r="G4138" s="6">
        <f>IFERROR(__xludf.DUMMYFUNCTION("""COMPUTED_VALUE"""),0.0)</f>
        <v>0</v>
      </c>
      <c r="H4138" s="6" t="str">
        <f>IFERROR(__xludf.DUMMYFUNCTION("""COMPUTED_VALUE"""),"Pcs")</f>
        <v>Pcs</v>
      </c>
      <c r="I4138" s="6" t="str">
        <f>IFERROR(__xludf.DUMMYFUNCTION("""COMPUTED_VALUE"""),"MFH")</f>
        <v>MFH</v>
      </c>
      <c r="J4138" s="6" t="str">
        <f>IFERROR(__xludf.DUMMYFUNCTION("""COMPUTED_VALUE"""),"-")</f>
        <v>-</v>
      </c>
      <c r="K4138" s="6" t="str">
        <f>IFERROR(__xludf.DUMMYFUNCTION("""COMPUTED_VALUE"""),"SPR/08/26/057")</f>
        <v>SPR/08/26/057</v>
      </c>
      <c r="L4138" s="13">
        <f>IFERROR(__xludf.DUMMYFUNCTION("""COMPUTED_VALUE"""),46260.0)</f>
        <v>46260</v>
      </c>
    </row>
    <row r="4139">
      <c r="A4139" s="6" t="str">
        <f>IFERROR(__xludf.DUMMYFUNCTION("""COMPUTED_VALUE"""),"ERA")</f>
        <v>ERA</v>
      </c>
      <c r="B4139" s="6" t="str">
        <f>IFERROR(__xludf.DUMMYFUNCTION("""COMPUTED_VALUE"""),"ENG")</f>
        <v>ENG</v>
      </c>
      <c r="C4139" s="6" t="str">
        <f>IFERROR(__xludf.DUMMYFUNCTION("""COMPUTED_VALUE"""),"P-50717-00")</f>
        <v>P-50717-00</v>
      </c>
      <c r="D4139" s="6" t="str">
        <f>IFERROR(__xludf.DUMMYFUNCTION("""COMPUTED_VALUE"""),"General - Kabel UTP 4 Pairs Cat 6; Belden; -; 305m/roll")</f>
        <v>General - Kabel UTP 4 Pairs Cat 6; Belden; -; 305m/roll</v>
      </c>
      <c r="E4139" s="6">
        <f>IFERROR(__xludf.DUMMYFUNCTION("""COMPUTED_VALUE"""),50.0)</f>
        <v>50</v>
      </c>
      <c r="F4139" s="6">
        <f>IFERROR(__xludf.DUMMYFUNCTION("""COMPUTED_VALUE"""),50.0)</f>
        <v>50</v>
      </c>
      <c r="G4139" s="6">
        <f>IFERROR(__xludf.DUMMYFUNCTION("""COMPUTED_VALUE"""),0.0)</f>
        <v>0</v>
      </c>
      <c r="H4139" s="6" t="str">
        <f>IFERROR(__xludf.DUMMYFUNCTION("""COMPUTED_VALUE"""),"Pcs")</f>
        <v>Pcs</v>
      </c>
      <c r="I4139" s="6" t="str">
        <f>IFERROR(__xludf.DUMMYFUNCTION("""COMPUTED_VALUE"""),"MFH")</f>
        <v>MFH</v>
      </c>
      <c r="J4139" s="6" t="str">
        <f>IFERROR(__xludf.DUMMYFUNCTION("""COMPUTED_VALUE"""),"-")</f>
        <v>-</v>
      </c>
      <c r="K4139" s="6" t="str">
        <f>IFERROR(__xludf.DUMMYFUNCTION("""COMPUTED_VALUE"""),"SPR/08/26/057")</f>
        <v>SPR/08/26/057</v>
      </c>
      <c r="L4139" s="13">
        <f>IFERROR(__xludf.DUMMYFUNCTION("""COMPUTED_VALUE"""),46260.0)</f>
        <v>46260</v>
      </c>
    </row>
    <row r="4140">
      <c r="A4140" s="6" t="str">
        <f>IFERROR(__xludf.DUMMYFUNCTION("""COMPUTED_VALUE"""),"ROS")</f>
        <v>ROS</v>
      </c>
      <c r="B4140" s="6" t="str">
        <f>IFERROR(__xludf.DUMMYFUNCTION("""COMPUTED_VALUE"""),"ENG")</f>
        <v>ENG</v>
      </c>
      <c r="C4140" s="6" t="str">
        <f>IFERROR(__xludf.DUMMYFUNCTION("""COMPUTED_VALUE"""),"P-54410-00")</f>
        <v>P-54410-00</v>
      </c>
      <c r="D4140" s="6" t="str">
        <f>IFERROR(__xludf.DUMMYFUNCTION("""COMPUTED_VALUE"""),"General - Fuse Kaca 1.5A, 250V, 5 x 20mm; No Brand; -; 1 pc")</f>
        <v>General - Fuse Kaca 1.5A, 250V, 5 x 20mm; No Brand; -; 1 pc</v>
      </c>
      <c r="E4140" s="6">
        <f>IFERROR(__xludf.DUMMYFUNCTION("""COMPUTED_VALUE"""),2.0)</f>
        <v>2</v>
      </c>
      <c r="F4140" s="6">
        <f>IFERROR(__xludf.DUMMYFUNCTION("""COMPUTED_VALUE"""),2.0)</f>
        <v>2</v>
      </c>
      <c r="G4140" s="6">
        <f>IFERROR(__xludf.DUMMYFUNCTION("""COMPUTED_VALUE"""),0.0)</f>
        <v>0</v>
      </c>
      <c r="H4140" s="6" t="str">
        <f>IFERROR(__xludf.DUMMYFUNCTION("""COMPUTED_VALUE"""),"Pcs")</f>
        <v>Pcs</v>
      </c>
      <c r="I4140" s="6" t="str">
        <f>IFERROR(__xludf.DUMMYFUNCTION("""COMPUTED_VALUE"""),"MFH")</f>
        <v>MFH</v>
      </c>
      <c r="J4140" s="6" t="str">
        <f>IFERROR(__xludf.DUMMYFUNCTION("""COMPUTED_VALUE"""),"Mixing ")</f>
        <v>Mixing </v>
      </c>
      <c r="K4140" s="6" t="str">
        <f>IFERROR(__xludf.DUMMYFUNCTION("""COMPUTED_VALUE"""),"SPR/08/26/058")</f>
        <v>SPR/08/26/058</v>
      </c>
      <c r="L4140" s="13">
        <f>IFERROR(__xludf.DUMMYFUNCTION("""COMPUTED_VALUE"""),46260.0)</f>
        <v>46260</v>
      </c>
    </row>
    <row r="4141">
      <c r="A4141" s="6" t="str">
        <f>IFERROR(__xludf.DUMMYFUNCTION("""COMPUTED_VALUE"""),"ROS")</f>
        <v>ROS</v>
      </c>
      <c r="B4141" s="6" t="str">
        <f>IFERROR(__xludf.DUMMYFUNCTION("""COMPUTED_VALUE"""),"ENG")</f>
        <v>ENG</v>
      </c>
      <c r="C4141" s="6" t="str">
        <f>IFERROR(__xludf.DUMMYFUNCTION("""COMPUTED_VALUE"""),"P-50288-00")</f>
        <v>P-50288-00</v>
      </c>
      <c r="D4141" s="6" t="str">
        <f>IFERROR(__xludf.DUMMYFUNCTION("""COMPUTED_VALUE"""),"Bola Lampu - Halogen 20 W Osram")</f>
        <v>Bola Lampu - Halogen 20 W Osram</v>
      </c>
      <c r="E4141" s="6">
        <f>IFERROR(__xludf.DUMMYFUNCTION("""COMPUTED_VALUE"""),2.0)</f>
        <v>2</v>
      </c>
      <c r="F4141" s="6">
        <f>IFERROR(__xludf.DUMMYFUNCTION("""COMPUTED_VALUE"""),2.0)</f>
        <v>2</v>
      </c>
      <c r="G4141" s="6">
        <f>IFERROR(__xludf.DUMMYFUNCTION("""COMPUTED_VALUE"""),0.0)</f>
        <v>0</v>
      </c>
      <c r="H4141" s="6" t="str">
        <f>IFERROR(__xludf.DUMMYFUNCTION("""COMPUTED_VALUE"""),"Pcs")</f>
        <v>Pcs</v>
      </c>
      <c r="I4141" s="6" t="str">
        <f>IFERROR(__xludf.DUMMYFUNCTION("""COMPUTED_VALUE"""),"MFH")</f>
        <v>MFH</v>
      </c>
      <c r="J4141" s="6" t="str">
        <f>IFERROR(__xludf.DUMMYFUNCTION("""COMPUTED_VALUE"""),"Mixing ")</f>
        <v>Mixing </v>
      </c>
      <c r="K4141" s="6" t="str">
        <f>IFERROR(__xludf.DUMMYFUNCTION("""COMPUTED_VALUE"""),"SPR/08/26/058")</f>
        <v>SPR/08/26/058</v>
      </c>
      <c r="L4141" s="13">
        <f>IFERROR(__xludf.DUMMYFUNCTION("""COMPUTED_VALUE"""),46260.0)</f>
        <v>46260</v>
      </c>
    </row>
    <row r="4142">
      <c r="A4142" s="6" t="str">
        <f>IFERROR(__xludf.DUMMYFUNCTION("""COMPUTED_VALUE"""),"ERA")</f>
        <v>ERA</v>
      </c>
      <c r="B4142" s="6" t="str">
        <f>IFERROR(__xludf.DUMMYFUNCTION("""COMPUTED_VALUE"""),"ENG")</f>
        <v>ENG</v>
      </c>
      <c r="C4142" s="6" t="str">
        <f>IFERROR(__xludf.DUMMYFUNCTION("""COMPUTED_VALUE"""),"O-53641-00")</f>
        <v>O-53641-00</v>
      </c>
      <c r="D4142" s="6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E4142" s="6">
        <f>IFERROR(__xludf.DUMMYFUNCTION("""COMPUTED_VALUE"""),2.0)</f>
        <v>2</v>
      </c>
      <c r="F4142" s="6">
        <f>IFERROR(__xludf.DUMMYFUNCTION("""COMPUTED_VALUE"""),2.0)</f>
        <v>2</v>
      </c>
      <c r="G4142" s="6">
        <f>IFERROR(__xludf.DUMMYFUNCTION("""COMPUTED_VALUE"""),0.0)</f>
        <v>0</v>
      </c>
      <c r="H4142" s="6" t="str">
        <f>IFERROR(__xludf.DUMMYFUNCTION("""COMPUTED_VALUE"""),"Pcs")</f>
        <v>Pcs</v>
      </c>
      <c r="I4142" s="6" t="str">
        <f>IFERROR(__xludf.DUMMYFUNCTION("""COMPUTED_VALUE"""),"MFH")</f>
        <v>MFH</v>
      </c>
      <c r="J4142" s="6" t="str">
        <f>IFERROR(__xludf.DUMMYFUNCTION("""COMPUTED_VALUE"""),"Mixing ")</f>
        <v>Mixing </v>
      </c>
      <c r="K4142" s="6" t="str">
        <f>IFERROR(__xludf.DUMMYFUNCTION("""COMPUTED_VALUE"""),"SPR/08/26/059")</f>
        <v>SPR/08/26/059</v>
      </c>
      <c r="L4142" s="13">
        <f>IFERROR(__xludf.DUMMYFUNCTION("""COMPUTED_VALUE"""),46260.0)</f>
        <v>46260</v>
      </c>
    </row>
    <row r="4143">
      <c r="A4143" s="6" t="str">
        <f>IFERROR(__xludf.DUMMYFUNCTION("""COMPUTED_VALUE"""),"PNP")</f>
        <v>PNP</v>
      </c>
      <c r="B4143" s="6" t="str">
        <f>IFERROR(__xludf.DUMMYFUNCTION("""COMPUTED_VALUE"""),"ENG")</f>
        <v>ENG</v>
      </c>
      <c r="C4143" s="6" t="str">
        <f>IFERROR(__xludf.DUMMYFUNCTION("""COMPUTED_VALUE"""),"-")</f>
        <v>-</v>
      </c>
      <c r="D4143" s="6" t="str">
        <f>IFERROR(__xludf.DUMMYFUNCTION("""COMPUTED_VALUE"""),"Fitting 10-32 One Piece")</f>
        <v>Fitting 10-32 One Piece</v>
      </c>
      <c r="E4143" s="6">
        <f>IFERROR(__xludf.DUMMYFUNCTION("""COMPUTED_VALUE"""),4.0)</f>
        <v>4</v>
      </c>
      <c r="F4143" s="6">
        <f>IFERROR(__xludf.DUMMYFUNCTION("""COMPUTED_VALUE"""),4.0)</f>
        <v>4</v>
      </c>
      <c r="G4143" s="6">
        <f>IFERROR(__xludf.DUMMYFUNCTION("""COMPUTED_VALUE"""),0.0)</f>
        <v>0</v>
      </c>
      <c r="H4143" s="6" t="str">
        <f>IFERROR(__xludf.DUMMYFUNCTION("""COMPUTED_VALUE"""),"Pcs")</f>
        <v>Pcs</v>
      </c>
      <c r="I4143" s="6" t="str">
        <f>IFERROR(__xludf.DUMMYFUNCTION("""COMPUTED_VALUE"""),"MFH")</f>
        <v>MFH</v>
      </c>
      <c r="J4143" s="6" t="str">
        <f>IFERROR(__xludf.DUMMYFUNCTION("""COMPUTED_VALUE"""),"HPLC")</f>
        <v>HPLC</v>
      </c>
      <c r="K4143" s="6" t="str">
        <f>IFERROR(__xludf.DUMMYFUNCTION("""COMPUTED_VALUE"""),"SPR/08/26/060")</f>
        <v>SPR/08/26/060</v>
      </c>
      <c r="L4143" s="13">
        <f>IFERROR(__xludf.DUMMYFUNCTION("""COMPUTED_VALUE"""),46260.0)</f>
        <v>46260</v>
      </c>
    </row>
    <row r="4144">
      <c r="A4144" s="6" t="str">
        <f>IFERROR(__xludf.DUMMYFUNCTION("""COMPUTED_VALUE"""),"AWA")</f>
        <v>AWA</v>
      </c>
      <c r="B4144" s="6" t="str">
        <f>IFERROR(__xludf.DUMMYFUNCTION("""COMPUTED_VALUE"""),"QAS")</f>
        <v>QAS</v>
      </c>
      <c r="C4144" s="6" t="str">
        <f>IFERROR(__xludf.DUMMYFUNCTION("""COMPUTED_VALUE"""),"O-17313-00")</f>
        <v>O-17313-00</v>
      </c>
      <c r="D4144" s="6" t="str">
        <f>IFERROR(__xludf.DUMMYFUNCTION("""COMPUTED_VALUE"""),"Breathing Circuit Filter PALL P/N :  BB50T pc")</f>
        <v>Breathing Circuit Filter PALL P/N :  BB50T pc</v>
      </c>
      <c r="E4144" s="6">
        <f>IFERROR(__xludf.DUMMYFUNCTION("""COMPUTED_VALUE"""),2.0)</f>
        <v>2</v>
      </c>
      <c r="F4144" s="6">
        <f>IFERROR(__xludf.DUMMYFUNCTION("""COMPUTED_VALUE"""),2.0)</f>
        <v>2</v>
      </c>
      <c r="G4144" s="6">
        <f>IFERROR(__xludf.DUMMYFUNCTION("""COMPUTED_VALUE"""),0.0)</f>
        <v>0</v>
      </c>
      <c r="H4144" s="6" t="str">
        <f>IFERROR(__xludf.DUMMYFUNCTION("""COMPUTED_VALUE"""),"Pcs")</f>
        <v>Pcs</v>
      </c>
      <c r="I4144" s="6" t="str">
        <f>IFERROR(__xludf.DUMMYFUNCTION("""COMPUTED_VALUE"""),"MFH")</f>
        <v>MFH</v>
      </c>
      <c r="J4144" s="6" t="str">
        <f>IFERROR(__xludf.DUMMYFUNCTION("""COMPUTED_VALUE"""),"Filling")</f>
        <v>Filling</v>
      </c>
      <c r="K4144" s="6" t="str">
        <f>IFERROR(__xludf.DUMMYFUNCTION("""COMPUTED_VALUE"""),"SPR/08/26/061")</f>
        <v>SPR/08/26/061</v>
      </c>
      <c r="L4144" s="13">
        <f>IFERROR(__xludf.DUMMYFUNCTION("""COMPUTED_VALUE"""),46260.0)</f>
        <v>46260</v>
      </c>
    </row>
    <row r="4145">
      <c r="A4145" s="6" t="str">
        <f>IFERROR(__xludf.DUMMYFUNCTION("""COMPUTED_VALUE"""),"BDU")</f>
        <v>BDU</v>
      </c>
      <c r="B4145" s="6" t="str">
        <f>IFERROR(__xludf.DUMMYFUNCTION("""COMPUTED_VALUE"""),"ENG")</f>
        <v>ENG</v>
      </c>
      <c r="C4145" s="6" t="str">
        <f>IFERROR(__xludf.DUMMYFUNCTION("""COMPUTED_VALUE"""),"O-51698-00")</f>
        <v>O-51698-00</v>
      </c>
      <c r="D4145" s="6" t="str">
        <f>IFERROR(__xludf.DUMMYFUNCTION("""COMPUTED_VALUE"""),"OMRON - Relay MY4Z 24VDC; ; ;")</f>
        <v>OMRON - Relay MY4Z 24VDC; ; ;</v>
      </c>
      <c r="E4145" s="6">
        <f>IFERROR(__xludf.DUMMYFUNCTION("""COMPUTED_VALUE"""),1.0)</f>
        <v>1</v>
      </c>
      <c r="F4145" s="6">
        <f>IFERROR(__xludf.DUMMYFUNCTION("""COMPUTED_VALUE"""),1.0)</f>
        <v>1</v>
      </c>
      <c r="G4145" s="6">
        <f>IFERROR(__xludf.DUMMYFUNCTION("""COMPUTED_VALUE"""),0.0)</f>
        <v>0</v>
      </c>
      <c r="H4145" s="6" t="str">
        <f>IFERROR(__xludf.DUMMYFUNCTION("""COMPUTED_VALUE"""),"Pcs")</f>
        <v>Pcs</v>
      </c>
      <c r="I4145" s="6" t="str">
        <f>IFERROR(__xludf.DUMMYFUNCTION("""COMPUTED_VALUE"""),"MFH")</f>
        <v>MFH</v>
      </c>
      <c r="J4145" s="6" t="str">
        <f>IFERROR(__xludf.DUMMYFUNCTION("""COMPUTED_VALUE"""),"Mixing ")</f>
        <v>Mixing </v>
      </c>
      <c r="K4145" s="6" t="str">
        <f>IFERROR(__xludf.DUMMYFUNCTION("""COMPUTED_VALUE"""),"SPR/08/26/062")</f>
        <v>SPR/08/26/062</v>
      </c>
      <c r="L4145" s="13">
        <f>IFERROR(__xludf.DUMMYFUNCTION("""COMPUTED_VALUE"""),46260.0)</f>
        <v>46260</v>
      </c>
    </row>
    <row r="4146">
      <c r="A4146" s="6" t="str">
        <f>IFERROR(__xludf.DUMMYFUNCTION("""COMPUTED_VALUE"""),"BDU")</f>
        <v>BDU</v>
      </c>
      <c r="B4146" s="6" t="str">
        <f>IFERROR(__xludf.DUMMYFUNCTION("""COMPUTED_VALUE"""),"ENG")</f>
        <v>ENG</v>
      </c>
      <c r="C4146" s="6" t="str">
        <f>IFERROR(__xludf.DUMMYFUNCTION("""COMPUTED_VALUE"""),"P-54334-00")</f>
        <v>P-54334-00</v>
      </c>
      <c r="D4146" s="6" t="str">
        <f>IFERROR(__xludf.DUMMYFUNCTION("""COMPUTED_VALUE"""),"General - Socket Relay PYFZ-14-E; Omron; -; 1 pc")</f>
        <v>General - Socket Relay PYFZ-14-E; Omron; -; 1 pc</v>
      </c>
      <c r="E4146" s="6">
        <f>IFERROR(__xludf.DUMMYFUNCTION("""COMPUTED_VALUE"""),1.0)</f>
        <v>1</v>
      </c>
      <c r="F4146" s="6">
        <f>IFERROR(__xludf.DUMMYFUNCTION("""COMPUTED_VALUE"""),1.0)</f>
        <v>1</v>
      </c>
      <c r="G4146" s="6">
        <f>IFERROR(__xludf.DUMMYFUNCTION("""COMPUTED_VALUE"""),0.0)</f>
        <v>0</v>
      </c>
      <c r="H4146" s="6" t="str">
        <f>IFERROR(__xludf.DUMMYFUNCTION("""COMPUTED_VALUE"""),"Pcs")</f>
        <v>Pcs</v>
      </c>
      <c r="I4146" s="6" t="str">
        <f>IFERROR(__xludf.DUMMYFUNCTION("""COMPUTED_VALUE"""),"MFH")</f>
        <v>MFH</v>
      </c>
      <c r="J4146" s="6" t="str">
        <f>IFERROR(__xludf.DUMMYFUNCTION("""COMPUTED_VALUE"""),"Mixing ")</f>
        <v>Mixing </v>
      </c>
      <c r="K4146" s="6" t="str">
        <f>IFERROR(__xludf.DUMMYFUNCTION("""COMPUTED_VALUE"""),"SPR/08/26/062")</f>
        <v>SPR/08/26/062</v>
      </c>
      <c r="L4146" s="13">
        <f>IFERROR(__xludf.DUMMYFUNCTION("""COMPUTED_VALUE"""),46260.0)</f>
        <v>46260</v>
      </c>
    </row>
    <row r="4147">
      <c r="A4147" s="6" t="str">
        <f>IFERROR(__xludf.DUMMYFUNCTION("""COMPUTED_VALUE"""),"ERA")</f>
        <v>ERA</v>
      </c>
      <c r="B4147" s="6" t="str">
        <f>IFERROR(__xludf.DUMMYFUNCTION("""COMPUTED_VALUE"""),"ENG")</f>
        <v>ENG</v>
      </c>
      <c r="C4147" s="6" t="str">
        <f>IFERROR(__xludf.DUMMYFUNCTION("""COMPUTED_VALUE"""),"P-11431-00")</f>
        <v>P-11431-00</v>
      </c>
      <c r="D4147" s="6" t="str">
        <f>IFERROR(__xludf.DUMMYFUNCTION("""COMPUTED_VALUE"""),"General - Plastic Tubing, PUN-H-8X1,25-BL; Festo; 197385; 1 m")</f>
        <v>General - Plastic Tubing, PUN-H-8X1,25-BL; Festo; 197385; 1 m</v>
      </c>
      <c r="E4147" s="6">
        <f>IFERROR(__xludf.DUMMYFUNCTION("""COMPUTED_VALUE"""),2.0)</f>
        <v>2</v>
      </c>
      <c r="F4147" s="6">
        <f>IFERROR(__xludf.DUMMYFUNCTION("""COMPUTED_VALUE"""),2.0)</f>
        <v>2</v>
      </c>
      <c r="G4147" s="6">
        <f>IFERROR(__xludf.DUMMYFUNCTION("""COMPUTED_VALUE"""),0.0)</f>
        <v>0</v>
      </c>
      <c r="H4147" s="6" t="str">
        <f>IFERROR(__xludf.DUMMYFUNCTION("""COMPUTED_VALUE"""),"Pcs")</f>
        <v>Pcs</v>
      </c>
      <c r="I4147" s="6" t="str">
        <f>IFERROR(__xludf.DUMMYFUNCTION("""COMPUTED_VALUE"""),"MFH")</f>
        <v>MFH</v>
      </c>
      <c r="J4147" s="6" t="str">
        <f>IFERROR(__xludf.DUMMYFUNCTION("""COMPUTED_VALUE"""),"-")</f>
        <v>-</v>
      </c>
      <c r="K4147" s="6" t="str">
        <f>IFERROR(__xludf.DUMMYFUNCTION("""COMPUTED_VALUE"""),"SPR/08/26/063")</f>
        <v>SPR/08/26/063</v>
      </c>
      <c r="L4147" s="13">
        <f>IFERROR(__xludf.DUMMYFUNCTION("""COMPUTED_VALUE"""),46260.0)</f>
        <v>46260</v>
      </c>
    </row>
    <row r="4148">
      <c r="A4148" s="6" t="str">
        <f>IFERROR(__xludf.DUMMYFUNCTION("""COMPUTED_VALUE"""),"MAP")</f>
        <v>MAP</v>
      </c>
      <c r="B4148" s="6" t="str">
        <f>IFERROR(__xludf.DUMMYFUNCTION("""COMPUTED_VALUE"""),"ENG")</f>
        <v>ENG</v>
      </c>
      <c r="C4148" s="6" t="str">
        <f>IFERROR(__xludf.DUMMYFUNCTION("""COMPUTED_VALUE"""),"S-40645-00")</f>
        <v>S-40645-00</v>
      </c>
      <c r="D4148" s="6" t="str">
        <f>IFERROR(__xludf.DUMMYFUNCTION("""COMPUTED_VALUE"""),"Cable Ties, 200 x 4.8 mm; SIGMA; CS 200L; Putih;100 pcs/pack")</f>
        <v>Cable Ties, 200 x 4.8 mm; SIGMA; CS 200L; Putih;100 pcs/pack</v>
      </c>
      <c r="E4148" s="6">
        <f>IFERROR(__xludf.DUMMYFUNCTION("""COMPUTED_VALUE"""),1.0)</f>
        <v>1</v>
      </c>
      <c r="F4148" s="6">
        <f>IFERROR(__xludf.DUMMYFUNCTION("""COMPUTED_VALUE"""),1.0)</f>
        <v>1</v>
      </c>
      <c r="G4148" s="6">
        <f>IFERROR(__xludf.DUMMYFUNCTION("""COMPUTED_VALUE"""),0.0)</f>
        <v>0</v>
      </c>
      <c r="H4148" s="6" t="str">
        <f>IFERROR(__xludf.DUMMYFUNCTION("""COMPUTED_VALUE"""),"Pcs")</f>
        <v>Pcs</v>
      </c>
      <c r="I4148" s="6" t="str">
        <f>IFERROR(__xludf.DUMMYFUNCTION("""COMPUTED_VALUE"""),"MFH")</f>
        <v>MFH</v>
      </c>
      <c r="J4148" s="6" t="str">
        <f>IFERROR(__xludf.DUMMYFUNCTION("""COMPUTED_VALUE"""),"-")</f>
        <v>-</v>
      </c>
      <c r="K4148" s="6" t="str">
        <f>IFERROR(__xludf.DUMMYFUNCTION("""COMPUTED_VALUE"""),"SPR/08/26/064")</f>
        <v>SPR/08/26/064</v>
      </c>
      <c r="L4148" s="13">
        <f>IFERROR(__xludf.DUMMYFUNCTION("""COMPUTED_VALUE"""),46260.0)</f>
        <v>46260</v>
      </c>
    </row>
    <row r="4149">
      <c r="A4149" s="6" t="str">
        <f>IFERROR(__xludf.DUMMYFUNCTION("""COMPUTED_VALUE"""),"NDS")</f>
        <v>NDS</v>
      </c>
      <c r="B4149" s="6" t="str">
        <f>IFERROR(__xludf.DUMMYFUNCTION("""COMPUTED_VALUE"""),"ENG")</f>
        <v>ENG</v>
      </c>
      <c r="C4149" s="6" t="str">
        <f>IFERROR(__xludf.DUMMYFUNCTION("""COMPUTED_VALUE"""),"Q-10946-00")</f>
        <v>Q-10946-00</v>
      </c>
      <c r="D4149" s="6" t="str">
        <f>IFERROR(__xludf.DUMMYFUNCTION("""COMPUTED_VALUE"""),"Silicone Sealant;Silglaze;Type N10 Light Grey;pack size per pcs")</f>
        <v>Silicone Sealant;Silglaze;Type N10 Light Grey;pack size per pcs</v>
      </c>
      <c r="E4149" s="6">
        <f>IFERROR(__xludf.DUMMYFUNCTION("""COMPUTED_VALUE"""),1.0)</f>
        <v>1</v>
      </c>
      <c r="F4149" s="6">
        <f>IFERROR(__xludf.DUMMYFUNCTION("""COMPUTED_VALUE"""),1.0)</f>
        <v>1</v>
      </c>
      <c r="G4149" s="6">
        <f>IFERROR(__xludf.DUMMYFUNCTION("""COMPUTED_VALUE"""),0.0)</f>
        <v>0</v>
      </c>
      <c r="H4149" s="6" t="str">
        <f>IFERROR(__xludf.DUMMYFUNCTION("""COMPUTED_VALUE"""),"pcs")</f>
        <v>pcs</v>
      </c>
      <c r="I4149" s="6" t="str">
        <f>IFERROR(__xludf.DUMMYFUNCTION("""COMPUTED_VALUE"""),"MFH")</f>
        <v>MFH</v>
      </c>
      <c r="J4149" s="6" t="str">
        <f>IFERROR(__xludf.DUMMYFUNCTION("""COMPUTED_VALUE"""),"cRABS")</f>
        <v>cRABS</v>
      </c>
      <c r="K4149" s="6" t="str">
        <f>IFERROR(__xludf.DUMMYFUNCTION("""COMPUTED_VALUE"""),"SPR/08/26/065")</f>
        <v>SPR/08/26/065</v>
      </c>
      <c r="L4149" s="13">
        <f>IFERROR(__xludf.DUMMYFUNCTION("""COMPUTED_VALUE"""),46260.0)</f>
        <v>46260</v>
      </c>
    </row>
    <row r="4150">
      <c r="A4150" s="6" t="str">
        <f>IFERROR(__xludf.DUMMYFUNCTION("""COMPUTED_VALUE"""),"NDS")</f>
        <v>NDS</v>
      </c>
      <c r="B4150" s="6" t="str">
        <f>IFERROR(__xludf.DUMMYFUNCTION("""COMPUTED_VALUE"""),"ENG")</f>
        <v>ENG</v>
      </c>
      <c r="C4150" s="6" t="str">
        <f>IFERROR(__xludf.DUMMYFUNCTION("""COMPUTED_VALUE"""),"T-80109-00")</f>
        <v>T-80109-00</v>
      </c>
      <c r="D4150" s="6" t="str">
        <f>IFERROR(__xludf.DUMMYFUNCTION("""COMPUTED_VALUE"""),"Cellotape Kertas 1 inch warna Putih")</f>
        <v>Cellotape Kertas 1 inch warna Putih</v>
      </c>
      <c r="E4150" s="6">
        <f>IFERROR(__xludf.DUMMYFUNCTION("""COMPUTED_VALUE"""),1.0)</f>
        <v>1</v>
      </c>
      <c r="F4150" s="6">
        <f>IFERROR(__xludf.DUMMYFUNCTION("""COMPUTED_VALUE"""),1.0)</f>
        <v>1</v>
      </c>
      <c r="G4150" s="6">
        <f>IFERROR(__xludf.DUMMYFUNCTION("""COMPUTED_VALUE"""),0.0)</f>
        <v>0</v>
      </c>
      <c r="H4150" s="6" t="str">
        <f>IFERROR(__xludf.DUMMYFUNCTION("""COMPUTED_VALUE"""),"Pcs")</f>
        <v>Pcs</v>
      </c>
      <c r="I4150" s="6" t="str">
        <f>IFERROR(__xludf.DUMMYFUNCTION("""COMPUTED_VALUE"""),"MFH")</f>
        <v>MFH</v>
      </c>
      <c r="J4150" s="6" t="str">
        <f>IFERROR(__xludf.DUMMYFUNCTION("""COMPUTED_VALUE"""),"cRABS")</f>
        <v>cRABS</v>
      </c>
      <c r="K4150" s="6" t="str">
        <f>IFERROR(__xludf.DUMMYFUNCTION("""COMPUTED_VALUE"""),"SPR/08/26/065")</f>
        <v>SPR/08/26/065</v>
      </c>
      <c r="L4150" s="13">
        <f>IFERROR(__xludf.DUMMYFUNCTION("""COMPUTED_VALUE"""),46260.0)</f>
        <v>46260</v>
      </c>
    </row>
    <row r="4151">
      <c r="A4151" s="6" t="str">
        <f>IFERROR(__xludf.DUMMYFUNCTION("""COMPUTED_VALUE"""),"ERA")</f>
        <v>ERA</v>
      </c>
      <c r="B4151" s="6" t="str">
        <f>IFERROR(__xludf.DUMMYFUNCTION("""COMPUTED_VALUE"""),"ENG")</f>
        <v>ENG</v>
      </c>
      <c r="C4151" s="6" t="str">
        <f>IFERROR(__xludf.DUMMYFUNCTION("""COMPUTED_VALUE"""),"T-20725-00")</f>
        <v>T-20725-00</v>
      </c>
      <c r="D4151" s="6" t="str">
        <f>IFERROR(__xludf.DUMMYFUNCTION("""COMPUTED_VALUE"""),"Performance Plus Check Valve Housing; Waters; 700002332;")</f>
        <v>Performance Plus Check Valve Housing; Waters; 700002332;</v>
      </c>
      <c r="E4151" s="6">
        <f>IFERROR(__xludf.DUMMYFUNCTION("""COMPUTED_VALUE"""),1.0)</f>
        <v>1</v>
      </c>
      <c r="F4151" s="6">
        <f>IFERROR(__xludf.DUMMYFUNCTION("""COMPUTED_VALUE"""),1.0)</f>
        <v>1</v>
      </c>
      <c r="G4151" s="6">
        <f>IFERROR(__xludf.DUMMYFUNCTION("""COMPUTED_VALUE"""),0.0)</f>
        <v>0</v>
      </c>
      <c r="H4151" s="6" t="str">
        <f>IFERROR(__xludf.DUMMYFUNCTION("""COMPUTED_VALUE"""),"Pcs")</f>
        <v>Pcs</v>
      </c>
      <c r="I4151" s="6" t="str">
        <f>IFERROR(__xludf.DUMMYFUNCTION("""COMPUTED_VALUE"""),"MFH")</f>
        <v>MFH</v>
      </c>
      <c r="J4151" s="6" t="str">
        <f>IFERROR(__xludf.DUMMYFUNCTION("""COMPUTED_VALUE"""),"HPLC")</f>
        <v>HPLC</v>
      </c>
      <c r="K4151" s="6" t="str">
        <f>IFERROR(__xludf.DUMMYFUNCTION("""COMPUTED_VALUE"""),"SPR/08/26/066")</f>
        <v>SPR/08/26/066</v>
      </c>
      <c r="L4151" s="13">
        <f>IFERROR(__xludf.DUMMYFUNCTION("""COMPUTED_VALUE"""),46260.0)</f>
        <v>46260</v>
      </c>
    </row>
    <row r="4152">
      <c r="A4152" s="6" t="str">
        <f>IFERROR(__xludf.DUMMYFUNCTION("""COMPUTED_VALUE"""),"ERA")</f>
        <v>ERA</v>
      </c>
      <c r="B4152" s="6" t="str">
        <f>IFERROR(__xludf.DUMMYFUNCTION("""COMPUTED_VALUE"""),"ENG")</f>
        <v>ENG</v>
      </c>
      <c r="C4152" s="6" t="str">
        <f>IFERROR(__xludf.DUMMYFUNCTION("""COMPUTED_VALUE"""),"Q-70224-00")</f>
        <v>Q-70224-00</v>
      </c>
      <c r="D4152" s="6" t="str">
        <f>IFERROR(__xludf.DUMMYFUNCTION("""COMPUTED_VALUE"""),"Kunci L Mini Set; Tekiro; HK-EL1198; 7 pc/set")</f>
        <v>Kunci L Mini Set; Tekiro; HK-EL1198; 7 pc/set</v>
      </c>
      <c r="E4152" s="6">
        <f>IFERROR(__xludf.DUMMYFUNCTION("""COMPUTED_VALUE"""),1.0)</f>
        <v>1</v>
      </c>
      <c r="F4152" s="6">
        <f>IFERROR(__xludf.DUMMYFUNCTION("""COMPUTED_VALUE"""),1.0)</f>
        <v>1</v>
      </c>
      <c r="G4152" s="6">
        <f>IFERROR(__xludf.DUMMYFUNCTION("""COMPUTED_VALUE"""),0.0)</f>
        <v>0</v>
      </c>
      <c r="H4152" s="6" t="str">
        <f>IFERROR(__xludf.DUMMYFUNCTION("""COMPUTED_VALUE"""),"Pcs")</f>
        <v>Pcs</v>
      </c>
      <c r="I4152" s="6" t="str">
        <f>IFERROR(__xludf.DUMMYFUNCTION("""COMPUTED_VALUE"""),"MFH")</f>
        <v>MFH</v>
      </c>
      <c r="J4152" s="6" t="str">
        <f>IFERROR(__xludf.DUMMYFUNCTION("""COMPUTED_VALUE"""),"-")</f>
        <v>-</v>
      </c>
      <c r="K4152" s="6" t="str">
        <f>IFERROR(__xludf.DUMMYFUNCTION("""COMPUTED_VALUE"""),"SPR/08/26/066")</f>
        <v>SPR/08/26/066</v>
      </c>
      <c r="L4152" s="13">
        <f>IFERROR(__xludf.DUMMYFUNCTION("""COMPUTED_VALUE"""),46260.0)</f>
        <v>46260</v>
      </c>
    </row>
    <row r="4153">
      <c r="A4153" s="6" t="str">
        <f>IFERROR(__xludf.DUMMYFUNCTION("""COMPUTED_VALUE"""),"ERA")</f>
        <v>ERA</v>
      </c>
      <c r="B4153" s="6" t="str">
        <f>IFERROR(__xludf.DUMMYFUNCTION("""COMPUTED_VALUE"""),"ENG")</f>
        <v>ENG</v>
      </c>
      <c r="C4153" s="6" t="str">
        <f>IFERROR(__xludf.DUMMYFUNCTION("""COMPUTED_VALUE"""),"P-11182-00")</f>
        <v>P-11182-00</v>
      </c>
      <c r="D4153" s="6" t="str">
        <f>IFERROR(__xludf.DUMMYFUNCTION("""COMPUTED_VALUE"""),"Pneumatic Fitting - QS 6 / Festo")</f>
        <v>Pneumatic Fitting - QS 6 / Festo</v>
      </c>
      <c r="E4153" s="6">
        <f>IFERROR(__xludf.DUMMYFUNCTION("""COMPUTED_VALUE"""),1.0)</f>
        <v>1</v>
      </c>
      <c r="F4153" s="6">
        <f>IFERROR(__xludf.DUMMYFUNCTION("""COMPUTED_VALUE"""),1.0)</f>
        <v>1</v>
      </c>
      <c r="G4153" s="6">
        <f>IFERROR(__xludf.DUMMYFUNCTION("""COMPUTED_VALUE"""),0.0)</f>
        <v>0</v>
      </c>
      <c r="H4153" s="6" t="str">
        <f>IFERROR(__xludf.DUMMYFUNCTION("""COMPUTED_VALUE"""),"Pcs")</f>
        <v>Pcs</v>
      </c>
      <c r="I4153" s="6" t="str">
        <f>IFERROR(__xludf.DUMMYFUNCTION("""COMPUTED_VALUE"""),"MFH")</f>
        <v>MFH</v>
      </c>
      <c r="J4153" s="6" t="str">
        <f>IFERROR(__xludf.DUMMYFUNCTION("""COMPUTED_VALUE"""),"-")</f>
        <v>-</v>
      </c>
      <c r="K4153" s="6" t="str">
        <f>IFERROR(__xludf.DUMMYFUNCTION("""COMPUTED_VALUE"""),"SPR/08/26/066")</f>
        <v>SPR/08/26/066</v>
      </c>
      <c r="L4153" s="13">
        <f>IFERROR(__xludf.DUMMYFUNCTION("""COMPUTED_VALUE"""),46260.0)</f>
        <v>46260</v>
      </c>
    </row>
    <row r="4154">
      <c r="A4154" s="6" t="str">
        <f>IFERROR(__xludf.DUMMYFUNCTION("""COMPUTED_VALUE"""),"ROS")</f>
        <v>ROS</v>
      </c>
      <c r="B4154" s="6" t="str">
        <f>IFERROR(__xludf.DUMMYFUNCTION("""COMPUTED_VALUE"""),"ENG")</f>
        <v>ENG</v>
      </c>
      <c r="C4154" s="6" t="str">
        <f>IFERROR(__xludf.DUMMYFUNCTION("""COMPUTED_VALUE"""),"P-12695-00")</f>
        <v>P-12695-00</v>
      </c>
      <c r="D4154" s="6" t="str">
        <f>IFERROR(__xludf.DUMMYFUNCTION("""COMPUTED_VALUE"""),"PC 4200/IMA C90 - Draw in-roller Cpl; GUK; 21401-0007; 1 pcs")</f>
        <v>PC 4200/IMA C90 - Draw in-roller Cpl; GUK; 21401-0007; 1 pcs</v>
      </c>
      <c r="E4154" s="6">
        <f>IFERROR(__xludf.DUMMYFUNCTION("""COMPUTED_VALUE"""),1.0)</f>
        <v>1</v>
      </c>
      <c r="F4154" s="6">
        <f>IFERROR(__xludf.DUMMYFUNCTION("""COMPUTED_VALUE"""),1.0)</f>
        <v>1</v>
      </c>
      <c r="G4154" s="6">
        <f>IFERROR(__xludf.DUMMYFUNCTION("""COMPUTED_VALUE"""),0.0)</f>
        <v>0</v>
      </c>
      <c r="H4154" s="6" t="str">
        <f>IFERROR(__xludf.DUMMYFUNCTION("""COMPUTED_VALUE"""),"Pcs")</f>
        <v>Pcs</v>
      </c>
      <c r="I4154" s="6" t="str">
        <f>IFERROR(__xludf.DUMMYFUNCTION("""COMPUTED_VALUE"""),"MFH")</f>
        <v>MFH</v>
      </c>
      <c r="J4154" s="6" t="str">
        <f>IFERROR(__xludf.DUMMYFUNCTION("""COMPUTED_VALUE"""),"Cartonning")</f>
        <v>Cartonning</v>
      </c>
      <c r="K4154" s="6" t="str">
        <f>IFERROR(__xludf.DUMMYFUNCTION("""COMPUTED_VALUE"""),"SPR/08/26/067")</f>
        <v>SPR/08/26/067</v>
      </c>
      <c r="L4154" s="13">
        <f>IFERROR(__xludf.DUMMYFUNCTION("""COMPUTED_VALUE"""),46260.0)</f>
        <v>46260</v>
      </c>
    </row>
    <row r="4155">
      <c r="A4155" s="6" t="str">
        <f>IFERROR(__xludf.DUMMYFUNCTION("""COMPUTED_VALUE"""),"ROS")</f>
        <v>ROS</v>
      </c>
      <c r="B4155" s="6" t="str">
        <f>IFERROR(__xludf.DUMMYFUNCTION("""COMPUTED_VALUE"""),"ENG")</f>
        <v>ENG</v>
      </c>
      <c r="C4155" s="6" t="str">
        <f>IFERROR(__xludf.DUMMYFUNCTION("""COMPUTED_VALUE"""),"P-17875-00")</f>
        <v>P-17875-00</v>
      </c>
      <c r="D4155" s="6" t="str">
        <f>IFERROR(__xludf.DUMMYFUNCTION("""COMPUTED_VALUE"""),"SMC - Air Regulator type AR20-02BG-B")</f>
        <v>SMC - Air Regulator type AR20-02BG-B</v>
      </c>
      <c r="E4155" s="6">
        <f>IFERROR(__xludf.DUMMYFUNCTION("""COMPUTED_VALUE"""),1.0)</f>
        <v>1</v>
      </c>
      <c r="F4155" s="6">
        <f>IFERROR(__xludf.DUMMYFUNCTION("""COMPUTED_VALUE"""),1.0)</f>
        <v>1</v>
      </c>
      <c r="G4155" s="6">
        <f>IFERROR(__xludf.DUMMYFUNCTION("""COMPUTED_VALUE"""),0.0)</f>
        <v>0</v>
      </c>
      <c r="H4155" s="6" t="str">
        <f>IFERROR(__xludf.DUMMYFUNCTION("""COMPUTED_VALUE"""),"Pcs")</f>
        <v>Pcs</v>
      </c>
      <c r="I4155" s="6" t="str">
        <f>IFERROR(__xludf.DUMMYFUNCTION("""COMPUTED_VALUE"""),"MFH")</f>
        <v>MFH</v>
      </c>
      <c r="J4155" s="6" t="str">
        <f>IFERROR(__xludf.DUMMYFUNCTION("""COMPUTED_VALUE"""),"Cartonning")</f>
        <v>Cartonning</v>
      </c>
      <c r="K4155" s="6" t="str">
        <f>IFERROR(__xludf.DUMMYFUNCTION("""COMPUTED_VALUE"""),"SPR/08/26/067")</f>
        <v>SPR/08/26/067</v>
      </c>
      <c r="L4155" s="13">
        <f>IFERROR(__xludf.DUMMYFUNCTION("""COMPUTED_VALUE"""),46260.0)</f>
        <v>46260</v>
      </c>
    </row>
    <row r="4156">
      <c r="A4156" s="6" t="str">
        <f>IFERROR(__xludf.DUMMYFUNCTION("""COMPUTED_VALUE"""),"ROS")</f>
        <v>ROS</v>
      </c>
      <c r="B4156" s="6" t="str">
        <f>IFERROR(__xludf.DUMMYFUNCTION("""COMPUTED_VALUE"""),"ENG")</f>
        <v>ENG</v>
      </c>
      <c r="C4156" s="6" t="str">
        <f>IFERROR(__xludf.DUMMYFUNCTION("""COMPUTED_VALUE"""),"P-11185-00")</f>
        <v>P-11185-00</v>
      </c>
      <c r="D4156" s="6" t="str">
        <f>IFERROR(__xludf.DUMMYFUNCTION("""COMPUTED_VALUE"""),"General - Push-in Connector, QS-8-6; Festo; 153038; 1 pcs")</f>
        <v>General - Push-in Connector, QS-8-6; Festo; 153038; 1 pcs</v>
      </c>
      <c r="E4156" s="6">
        <f>IFERROR(__xludf.DUMMYFUNCTION("""COMPUTED_VALUE"""),1.0)</f>
        <v>1</v>
      </c>
      <c r="F4156" s="6">
        <f>IFERROR(__xludf.DUMMYFUNCTION("""COMPUTED_VALUE"""),1.0)</f>
        <v>1</v>
      </c>
      <c r="G4156" s="6">
        <f>IFERROR(__xludf.DUMMYFUNCTION("""COMPUTED_VALUE"""),0.0)</f>
        <v>0</v>
      </c>
      <c r="H4156" s="6" t="str">
        <f>IFERROR(__xludf.DUMMYFUNCTION("""COMPUTED_VALUE"""),"Pcs")</f>
        <v>Pcs</v>
      </c>
      <c r="I4156" s="6" t="str">
        <f>IFERROR(__xludf.DUMMYFUNCTION("""COMPUTED_VALUE"""),"MFH")</f>
        <v>MFH</v>
      </c>
      <c r="J4156" s="6" t="str">
        <f>IFERROR(__xludf.DUMMYFUNCTION("""COMPUTED_VALUE"""),"Cartonning")</f>
        <v>Cartonning</v>
      </c>
      <c r="K4156" s="6" t="str">
        <f>IFERROR(__xludf.DUMMYFUNCTION("""COMPUTED_VALUE"""),"SPR/08/26/067")</f>
        <v>SPR/08/26/067</v>
      </c>
      <c r="L4156" s="13">
        <f>IFERROR(__xludf.DUMMYFUNCTION("""COMPUTED_VALUE"""),46260.0)</f>
        <v>46260</v>
      </c>
    </row>
    <row r="4157">
      <c r="A4157" s="6" t="str">
        <f>IFERROR(__xludf.DUMMYFUNCTION("""COMPUTED_VALUE"""),"BDU")</f>
        <v>BDU</v>
      </c>
      <c r="B4157" s="6" t="str">
        <f>IFERROR(__xludf.DUMMYFUNCTION("""COMPUTED_VALUE"""),"ENG")</f>
        <v>ENG</v>
      </c>
      <c r="C4157" s="6" t="str">
        <f>IFERROR(__xludf.DUMMYFUNCTION("""COMPUTED_VALUE"""),"P-11182-00")</f>
        <v>P-11182-00</v>
      </c>
      <c r="D4157" s="6" t="str">
        <f>IFERROR(__xludf.DUMMYFUNCTION("""COMPUTED_VALUE"""),"Pneumatic Fitting - QS 6 / Festo")</f>
        <v>Pneumatic Fitting - QS 6 / Festo</v>
      </c>
      <c r="E4157" s="6">
        <f>IFERROR(__xludf.DUMMYFUNCTION("""COMPUTED_VALUE"""),7.0)</f>
        <v>7</v>
      </c>
      <c r="F4157" s="6">
        <f>IFERROR(__xludf.DUMMYFUNCTION("""COMPUTED_VALUE"""),7.0)</f>
        <v>7</v>
      </c>
      <c r="G4157" s="6">
        <f>IFERROR(__xludf.DUMMYFUNCTION("""COMPUTED_VALUE"""),0.0)</f>
        <v>0</v>
      </c>
      <c r="H4157" s="6" t="str">
        <f>IFERROR(__xludf.DUMMYFUNCTION("""COMPUTED_VALUE"""),"Pcs")</f>
        <v>Pcs</v>
      </c>
      <c r="I4157" s="6" t="str">
        <f>IFERROR(__xludf.DUMMYFUNCTION("""COMPUTED_VALUE"""),"MFH")</f>
        <v>MFH</v>
      </c>
      <c r="J4157" s="6" t="str">
        <f>IFERROR(__xludf.DUMMYFUNCTION("""COMPUTED_VALUE"""),"CLU")</f>
        <v>CLU</v>
      </c>
      <c r="K4157" s="6" t="str">
        <f>IFERROR(__xludf.DUMMYFUNCTION("""COMPUTED_VALUE"""),"SPR/08/26/068")</f>
        <v>SPR/08/26/068</v>
      </c>
      <c r="L4157" s="13">
        <f>IFERROR(__xludf.DUMMYFUNCTION("""COMPUTED_VALUE"""),46260.0)</f>
        <v>46260</v>
      </c>
    </row>
    <row r="4158">
      <c r="A4158" s="6" t="str">
        <f>IFERROR(__xludf.DUMMYFUNCTION("""COMPUTED_VALUE"""),"BDU")</f>
        <v>BDU</v>
      </c>
      <c r="B4158" s="6" t="str">
        <f>IFERROR(__xludf.DUMMYFUNCTION("""COMPUTED_VALUE"""),"ENG")</f>
        <v>ENG</v>
      </c>
      <c r="C4158" s="6" t="str">
        <f>IFERROR(__xludf.DUMMYFUNCTION("""COMPUTED_VALUE"""),"P-11184-00")</f>
        <v>P-11184-00</v>
      </c>
      <c r="D4158" s="6" t="str">
        <f>IFERROR(__xludf.DUMMYFUNCTION("""COMPUTED_VALUE"""),"Pneumatic  Fitting - QS 8 / PN : 153033 / Festo")</f>
        <v>Pneumatic  Fitting - QS 8 / PN : 153033 / Festo</v>
      </c>
      <c r="E4158" s="6">
        <f>IFERROR(__xludf.DUMMYFUNCTION("""COMPUTED_VALUE"""),5.0)</f>
        <v>5</v>
      </c>
      <c r="F4158" s="6">
        <f>IFERROR(__xludf.DUMMYFUNCTION("""COMPUTED_VALUE"""),5.0)</f>
        <v>5</v>
      </c>
      <c r="G4158" s="6">
        <f>IFERROR(__xludf.DUMMYFUNCTION("""COMPUTED_VALUE"""),0.0)</f>
        <v>0</v>
      </c>
      <c r="H4158" s="6" t="str">
        <f>IFERROR(__xludf.DUMMYFUNCTION("""COMPUTED_VALUE"""),"Pcs")</f>
        <v>Pcs</v>
      </c>
      <c r="I4158" s="6" t="str">
        <f>IFERROR(__xludf.DUMMYFUNCTION("""COMPUTED_VALUE"""),"MFH")</f>
        <v>MFH</v>
      </c>
      <c r="J4158" s="6" t="str">
        <f>IFERROR(__xludf.DUMMYFUNCTION("""COMPUTED_VALUE"""),"CLU")</f>
        <v>CLU</v>
      </c>
      <c r="K4158" s="6" t="str">
        <f>IFERROR(__xludf.DUMMYFUNCTION("""COMPUTED_VALUE"""),"SPR/08/26/068")</f>
        <v>SPR/08/26/068</v>
      </c>
      <c r="L4158" s="13">
        <f>IFERROR(__xludf.DUMMYFUNCTION("""COMPUTED_VALUE"""),46260.0)</f>
        <v>46260</v>
      </c>
    </row>
    <row r="4159">
      <c r="A4159" s="6" t="str">
        <f>IFERROR(__xludf.DUMMYFUNCTION("""COMPUTED_VALUE"""),"ROS")</f>
        <v>ROS</v>
      </c>
      <c r="B4159" s="6" t="str">
        <f>IFERROR(__xludf.DUMMYFUNCTION("""COMPUTED_VALUE"""),"ENG")</f>
        <v>ENG</v>
      </c>
      <c r="C4159" s="6" t="str">
        <f>IFERROR(__xludf.DUMMYFUNCTION("""COMPUTED_VALUE"""),"O-53041-00")</f>
        <v>O-53041-00</v>
      </c>
      <c r="D4159" s="6" t="str">
        <f>IFERROR(__xludf.DUMMYFUNCTION("""COMPUTED_VALUE"""),"Bola Lampu 24-30v 5-10W 16x28mm")</f>
        <v>Bola Lampu 24-30v 5-10W 16x28mm</v>
      </c>
      <c r="E4159" s="6">
        <f>IFERROR(__xludf.DUMMYFUNCTION("""COMPUTED_VALUE"""),4.0)</f>
        <v>4</v>
      </c>
      <c r="F4159" s="6">
        <f>IFERROR(__xludf.DUMMYFUNCTION("""COMPUTED_VALUE"""),4.0)</f>
        <v>4</v>
      </c>
      <c r="G4159" s="6">
        <f>IFERROR(__xludf.DUMMYFUNCTION("""COMPUTED_VALUE"""),0.0)</f>
        <v>0</v>
      </c>
      <c r="H4159" s="6" t="str">
        <f>IFERROR(__xludf.DUMMYFUNCTION("""COMPUTED_VALUE"""),"Pcs")</f>
        <v>Pcs</v>
      </c>
      <c r="I4159" s="6" t="str">
        <f>IFERROR(__xludf.DUMMYFUNCTION("""COMPUTED_VALUE"""),"MFH")</f>
        <v>MFH</v>
      </c>
      <c r="J4159" s="6" t="str">
        <f>IFERROR(__xludf.DUMMYFUNCTION("""COMPUTED_VALUE"""),"Cartonning")</f>
        <v>Cartonning</v>
      </c>
      <c r="K4159" s="6" t="str">
        <f>IFERROR(__xludf.DUMMYFUNCTION("""COMPUTED_VALUE"""),"SPR/08/26/069")</f>
        <v>SPR/08/26/069</v>
      </c>
      <c r="L4159" s="13">
        <f>IFERROR(__xludf.DUMMYFUNCTION("""COMPUTED_VALUE"""),46260.0)</f>
        <v>46260</v>
      </c>
    </row>
    <row r="4160">
      <c r="A4160" s="6" t="str">
        <f>IFERROR(__xludf.DUMMYFUNCTION("""COMPUTED_VALUE"""),"ROS")</f>
        <v>ROS</v>
      </c>
      <c r="B4160" s="6" t="str">
        <f>IFERROR(__xludf.DUMMYFUNCTION("""COMPUTED_VALUE"""),"ENG")</f>
        <v>ENG</v>
      </c>
      <c r="C4160" s="6" t="str">
        <f>IFERROR(__xludf.DUMMYFUNCTION("""COMPUTED_VALUE"""),"O-20651-00")</f>
        <v>O-20651-00</v>
      </c>
      <c r="D4160" s="6" t="str">
        <f>IFERROR(__xludf.DUMMYFUNCTION("""COMPUTED_VALUE"""),"Integrated Granulation Line - Collar HC100")</f>
        <v>Integrated Granulation Line - Collar HC100</v>
      </c>
      <c r="E4160" s="6">
        <f>IFERROR(__xludf.DUMMYFUNCTION("""COMPUTED_VALUE"""),1.0)</f>
        <v>1</v>
      </c>
      <c r="F4160" s="6">
        <f>IFERROR(__xludf.DUMMYFUNCTION("""COMPUTED_VALUE"""),1.0)</f>
        <v>1</v>
      </c>
      <c r="G4160" s="6">
        <f>IFERROR(__xludf.DUMMYFUNCTION("""COMPUTED_VALUE"""),0.0)</f>
        <v>0</v>
      </c>
      <c r="H4160" s="6" t="str">
        <f>IFERROR(__xludf.DUMMYFUNCTION("""COMPUTED_VALUE"""),"Pcs")</f>
        <v>Pcs</v>
      </c>
      <c r="I4160" s="6" t="str">
        <f>IFERROR(__xludf.DUMMYFUNCTION("""COMPUTED_VALUE"""),"MFH")</f>
        <v>MFH</v>
      </c>
      <c r="J4160" s="6" t="str">
        <f>IFERROR(__xludf.DUMMYFUNCTION("""COMPUTED_VALUE"""),"FBD")</f>
        <v>FBD</v>
      </c>
      <c r="K4160" s="6" t="str">
        <f>IFERROR(__xludf.DUMMYFUNCTION("""COMPUTED_VALUE"""),"SPR/08/26/070")</f>
        <v>SPR/08/26/070</v>
      </c>
      <c r="L4160" s="13">
        <f>IFERROR(__xludf.DUMMYFUNCTION("""COMPUTED_VALUE"""),46260.0)</f>
        <v>46260</v>
      </c>
    </row>
    <row r="4161">
      <c r="A4161" s="6" t="str">
        <f>IFERROR(__xludf.DUMMYFUNCTION("""COMPUTED_VALUE"""),"ROS")</f>
        <v>ROS</v>
      </c>
      <c r="B4161" s="6" t="str">
        <f>IFERROR(__xludf.DUMMYFUNCTION("""COMPUTED_VALUE"""),"ENG")</f>
        <v>ENG</v>
      </c>
      <c r="C4161" s="6" t="str">
        <f>IFERROR(__xludf.DUMMYFUNCTION("""COMPUTED_VALUE"""),"O-21067-00")</f>
        <v>O-21067-00</v>
      </c>
      <c r="D4161" s="6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E4161" s="6">
        <f>IFERROR(__xludf.DUMMYFUNCTION("""COMPUTED_VALUE"""),1.0)</f>
        <v>1</v>
      </c>
      <c r="F4161" s="6">
        <f>IFERROR(__xludf.DUMMYFUNCTION("""COMPUTED_VALUE"""),1.0)</f>
        <v>1</v>
      </c>
      <c r="G4161" s="6">
        <f>IFERROR(__xludf.DUMMYFUNCTION("""COMPUTED_VALUE"""),0.0)</f>
        <v>0</v>
      </c>
      <c r="H4161" s="6" t="str">
        <f>IFERROR(__xludf.DUMMYFUNCTION("""COMPUTED_VALUE"""),"Pcs")</f>
        <v>Pcs</v>
      </c>
      <c r="I4161" s="6" t="str">
        <f>IFERROR(__xludf.DUMMYFUNCTION("""COMPUTED_VALUE"""),"MFH")</f>
        <v>MFH</v>
      </c>
      <c r="J4161" s="6" t="str">
        <f>IFERROR(__xludf.DUMMYFUNCTION("""COMPUTED_VALUE"""),"FBD")</f>
        <v>FBD</v>
      </c>
      <c r="K4161" s="6" t="str">
        <f>IFERROR(__xludf.DUMMYFUNCTION("""COMPUTED_VALUE"""),"SPR/08/26/070")</f>
        <v>SPR/08/26/070</v>
      </c>
      <c r="L4161" s="13">
        <f>IFERROR(__xludf.DUMMYFUNCTION("""COMPUTED_VALUE"""),46260.0)</f>
        <v>46260</v>
      </c>
    </row>
    <row r="4162">
      <c r="A4162" s="6" t="str">
        <f>IFERROR(__xludf.DUMMYFUNCTION("""COMPUTED_VALUE"""),"ERA")</f>
        <v>ERA</v>
      </c>
      <c r="B4162" s="6" t="str">
        <f>IFERROR(__xludf.DUMMYFUNCTION("""COMPUTED_VALUE"""),"ENG")</f>
        <v>ENG</v>
      </c>
      <c r="C4162" s="6" t="str">
        <f>IFERROR(__xludf.DUMMYFUNCTION("""COMPUTED_VALUE"""),"P-50495-00")</f>
        <v>P-50495-00</v>
      </c>
      <c r="D4162" s="6" t="str">
        <f>IFERROR(__xludf.DUMMYFUNCTION("""COMPUTED_VALUE"""),"Relay / RXM 2AB2P7 / 230 V / 50-60 Hz / 12 A / 250 VAC")</f>
        <v>Relay / RXM 2AB2P7 / 230 V / 50-60 Hz / 12 A / 250 VAC</v>
      </c>
      <c r="E4162" s="6">
        <f>IFERROR(__xludf.DUMMYFUNCTION("""COMPUTED_VALUE"""),1.0)</f>
        <v>1</v>
      </c>
      <c r="F4162" s="6">
        <f>IFERROR(__xludf.DUMMYFUNCTION("""COMPUTED_VALUE"""),1.0)</f>
        <v>1</v>
      </c>
      <c r="G4162" s="6">
        <f>IFERROR(__xludf.DUMMYFUNCTION("""COMPUTED_VALUE"""),0.0)</f>
        <v>0</v>
      </c>
      <c r="H4162" s="6" t="str">
        <f>IFERROR(__xludf.DUMMYFUNCTION("""COMPUTED_VALUE"""),"Pcs")</f>
        <v>Pcs</v>
      </c>
      <c r="I4162" s="6" t="str">
        <f>IFERROR(__xludf.DUMMYFUNCTION("""COMPUTED_VALUE"""),"MFH")</f>
        <v>MFH</v>
      </c>
      <c r="J4162" s="6" t="str">
        <f>IFERROR(__xludf.DUMMYFUNCTION("""COMPUTED_VALUE"""),"BOD")</f>
        <v>BOD</v>
      </c>
      <c r="K4162" s="6" t="str">
        <f>IFERROR(__xludf.DUMMYFUNCTION("""COMPUTED_VALUE"""),"SPR/08/26/071")</f>
        <v>SPR/08/26/071</v>
      </c>
      <c r="L4162" s="13">
        <f>IFERROR(__xludf.DUMMYFUNCTION("""COMPUTED_VALUE"""),46260.0)</f>
        <v>46260</v>
      </c>
    </row>
    <row r="4163">
      <c r="A4163" s="6" t="str">
        <f>IFERROR(__xludf.DUMMYFUNCTION("""COMPUTED_VALUE"""),"KFF")</f>
        <v>KFF</v>
      </c>
      <c r="B4163" s="6" t="str">
        <f>IFERROR(__xludf.DUMMYFUNCTION("""COMPUTED_VALUE"""),"ENG")</f>
        <v>ENG</v>
      </c>
      <c r="C4163" s="6" t="str">
        <f>IFERROR(__xludf.DUMMYFUNCTION("""COMPUTED_VALUE"""),"O-21486-00")</f>
        <v>O-21486-00</v>
      </c>
      <c r="D4163" s="6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E4163" s="6">
        <f>IFERROR(__xludf.DUMMYFUNCTION("""COMPUTED_VALUE"""),1.0)</f>
        <v>1</v>
      </c>
      <c r="F4163" s="6">
        <f>IFERROR(__xludf.DUMMYFUNCTION("""COMPUTED_VALUE"""),1.0)</f>
        <v>1</v>
      </c>
      <c r="G4163" s="6">
        <f>IFERROR(__xludf.DUMMYFUNCTION("""COMPUTED_VALUE"""),0.0)</f>
        <v>0</v>
      </c>
      <c r="H4163" s="6" t="str">
        <f>IFERROR(__xludf.DUMMYFUNCTION("""COMPUTED_VALUE"""),"Pcs")</f>
        <v>Pcs</v>
      </c>
      <c r="I4163" s="6" t="str">
        <f>IFERROR(__xludf.DUMMYFUNCTION("""COMPUTED_VALUE"""),"MFH")</f>
        <v>MFH</v>
      </c>
      <c r="J4163" s="6" t="str">
        <f>IFERROR(__xludf.DUMMYFUNCTION("""COMPUTED_VALUE"""),"Mixing ")</f>
        <v>Mixing </v>
      </c>
      <c r="K4163" s="6" t="str">
        <f>IFERROR(__xludf.DUMMYFUNCTION("""COMPUTED_VALUE"""),"SPR/08/26/072")</f>
        <v>SPR/08/26/072</v>
      </c>
      <c r="L4163" s="13">
        <f>IFERROR(__xludf.DUMMYFUNCTION("""COMPUTED_VALUE"""),46260.0)</f>
        <v>46260</v>
      </c>
    </row>
    <row r="4164">
      <c r="A4164" s="6" t="str">
        <f>IFERROR(__xludf.DUMMYFUNCTION("""COMPUTED_VALUE"""),"ERA")</f>
        <v>ERA</v>
      </c>
      <c r="B4164" s="6" t="str">
        <f>IFERROR(__xludf.DUMMYFUNCTION("""COMPUTED_VALUE"""),"ENG")</f>
        <v>ENG</v>
      </c>
      <c r="C4164" s="6" t="str">
        <f>IFERROR(__xludf.DUMMYFUNCTION("""COMPUTED_VALUE"""),"T-20055-00")</f>
        <v>T-20055-00</v>
      </c>
      <c r="D4164" s="6" t="str">
        <f>IFERROR(__xludf.DUMMYFUNCTION("""COMPUTED_VALUE"""),"PerformancePlus Check Valve Cartridge; Waters; p/n 700002399")</f>
        <v>PerformancePlus Check Valve Cartridge; Waters; p/n 700002399</v>
      </c>
      <c r="E4164" s="6">
        <f>IFERROR(__xludf.DUMMYFUNCTION("""COMPUTED_VALUE"""),2.0)</f>
        <v>2</v>
      </c>
      <c r="F4164" s="6">
        <f>IFERROR(__xludf.DUMMYFUNCTION("""COMPUTED_VALUE"""),2.0)</f>
        <v>2</v>
      </c>
      <c r="G4164" s="6">
        <f>IFERROR(__xludf.DUMMYFUNCTION("""COMPUTED_VALUE"""),0.0)</f>
        <v>0</v>
      </c>
      <c r="H4164" s="6" t="str">
        <f>IFERROR(__xludf.DUMMYFUNCTION("""COMPUTED_VALUE"""),"Pcs")</f>
        <v>Pcs</v>
      </c>
      <c r="I4164" s="6" t="str">
        <f>IFERROR(__xludf.DUMMYFUNCTION("""COMPUTED_VALUE"""),"MFH")</f>
        <v>MFH</v>
      </c>
      <c r="J4164" s="6" t="str">
        <f>IFERROR(__xludf.DUMMYFUNCTION("""COMPUTED_VALUE"""),"HPLC")</f>
        <v>HPLC</v>
      </c>
      <c r="K4164" s="6" t="str">
        <f>IFERROR(__xludf.DUMMYFUNCTION("""COMPUTED_VALUE"""),"SPR/08/26/073")</f>
        <v>SPR/08/26/073</v>
      </c>
      <c r="L4164" s="13">
        <f>IFERROR(__xludf.DUMMYFUNCTION("""COMPUTED_VALUE"""),46260.0)</f>
        <v>46260</v>
      </c>
    </row>
    <row r="4165">
      <c r="A4165" s="6" t="str">
        <f>IFERROR(__xludf.DUMMYFUNCTION("""COMPUTED_VALUE"""),"BDU")</f>
        <v>BDU</v>
      </c>
      <c r="B4165" s="6" t="str">
        <f>IFERROR(__xludf.DUMMYFUNCTION("""COMPUTED_VALUE"""),"ENG")</f>
        <v>ENG</v>
      </c>
      <c r="C4165" s="6" t="str">
        <f>IFERROR(__xludf.DUMMYFUNCTION("""COMPUTED_VALUE"""),"O-16647-00")</f>
        <v>O-16647-00</v>
      </c>
      <c r="D4165" s="6" t="str">
        <f>IFERROR(__xludf.DUMMYFUNCTION("""COMPUTED_VALUE"""),"Washing RAR4 - Oring Silicone Merah 23x18x2.5 mm; ; ;")</f>
        <v>Washing RAR4 - Oring Silicone Merah 23x18x2.5 mm; ; ;</v>
      </c>
      <c r="E4165" s="6">
        <f>IFERROR(__xludf.DUMMYFUNCTION("""COMPUTED_VALUE"""),10.0)</f>
        <v>10</v>
      </c>
      <c r="F4165" s="6">
        <f>IFERROR(__xludf.DUMMYFUNCTION("""COMPUTED_VALUE"""),10.0)</f>
        <v>10</v>
      </c>
      <c r="G4165" s="6">
        <f>IFERROR(__xludf.DUMMYFUNCTION("""COMPUTED_VALUE"""),0.0)</f>
        <v>0</v>
      </c>
      <c r="H4165" s="6" t="str">
        <f>IFERROR(__xludf.DUMMYFUNCTION("""COMPUTED_VALUE"""),"Pcs")</f>
        <v>Pcs</v>
      </c>
      <c r="I4165" s="6" t="str">
        <f>IFERROR(__xludf.DUMMYFUNCTION("""COMPUTED_VALUE"""),"MFH")</f>
        <v>MFH</v>
      </c>
      <c r="J4165" s="6" t="str">
        <f>IFERROR(__xludf.DUMMYFUNCTION("""COMPUTED_VALUE"""),"Capping")</f>
        <v>Capping</v>
      </c>
      <c r="K4165" s="6" t="str">
        <f>IFERROR(__xludf.DUMMYFUNCTION("""COMPUTED_VALUE"""),"SPR/08/26/074")</f>
        <v>SPR/08/26/074</v>
      </c>
      <c r="L4165" s="13">
        <f>IFERROR(__xludf.DUMMYFUNCTION("""COMPUTED_VALUE"""),46260.0)</f>
        <v>46260</v>
      </c>
    </row>
    <row r="4166">
      <c r="A4166" s="6" t="str">
        <f>IFERROR(__xludf.DUMMYFUNCTION("""COMPUTED_VALUE"""),"ERA")</f>
        <v>ERA</v>
      </c>
      <c r="B4166" s="6" t="str">
        <f>IFERROR(__xludf.DUMMYFUNCTION("""COMPUTED_VALUE"""),"ENG")</f>
        <v>ENG</v>
      </c>
      <c r="C4166" s="6" t="str">
        <f>IFERROR(__xludf.DUMMYFUNCTION("""COMPUTED_VALUE"""),"O-53414-00")</f>
        <v>O-53414-00</v>
      </c>
      <c r="D4166" s="6" t="str">
        <f>IFERROR(__xludf.DUMMYFUNCTION("""COMPUTED_VALUE"""),"Fedegari FVA2/A1 - Transition joint RTD Sensor PT100 4Wire, Sx, 1/3 DIN, 5x70mm, SSL, 0-150 C 10M; Radix; RTJ201-1-C-S-3-0-NA-XNA-05-0070-10-Si-PN; 1 Pc")</f>
        <v>Fedegari FVA2/A1 - Transition joint RTD Sensor PT100 4Wire, Sx, 1/3 DIN, 5x70mm, SSL, 0-150 C 10M; Radix; RTJ201-1-C-S-3-0-NA-XNA-05-0070-10-Si-PN; 1 Pc</v>
      </c>
      <c r="E4166" s="6">
        <f>IFERROR(__xludf.DUMMYFUNCTION("""COMPUTED_VALUE"""),1.0)</f>
        <v>1</v>
      </c>
      <c r="F4166" s="6">
        <f>IFERROR(__xludf.DUMMYFUNCTION("""COMPUTED_VALUE"""),1.0)</f>
        <v>1</v>
      </c>
      <c r="G4166" s="6">
        <f>IFERROR(__xludf.DUMMYFUNCTION("""COMPUTED_VALUE"""),0.0)</f>
        <v>0</v>
      </c>
      <c r="H4166" s="6" t="str">
        <f>IFERROR(__xludf.DUMMYFUNCTION("""COMPUTED_VALUE"""),"Pcs")</f>
        <v>Pcs</v>
      </c>
      <c r="I4166" s="6" t="str">
        <f>IFERROR(__xludf.DUMMYFUNCTION("""COMPUTED_VALUE"""),"MFH")</f>
        <v>MFH</v>
      </c>
      <c r="J4166" s="6" t="str">
        <f>IFERROR(__xludf.DUMMYFUNCTION("""COMPUTED_VALUE"""),"Autoclave")</f>
        <v>Autoclave</v>
      </c>
      <c r="K4166" s="6" t="str">
        <f>IFERROR(__xludf.DUMMYFUNCTION("""COMPUTED_VALUE"""),"SPR/08/26/075")</f>
        <v>SPR/08/26/075</v>
      </c>
      <c r="L4166" s="13">
        <f>IFERROR(__xludf.DUMMYFUNCTION("""COMPUTED_VALUE"""),46260.0)</f>
        <v>46260</v>
      </c>
    </row>
    <row r="4167">
      <c r="A4167" s="6" t="str">
        <f>IFERROR(__xludf.DUMMYFUNCTION("""COMPUTED_VALUE"""),"ANS")</f>
        <v>ANS</v>
      </c>
      <c r="B4167" s="6" t="str">
        <f>IFERROR(__xludf.DUMMYFUNCTION("""COMPUTED_VALUE"""),"ENG")</f>
        <v>ENG</v>
      </c>
      <c r="C4167" s="6" t="str">
        <f>IFERROR(__xludf.DUMMYFUNCTION("""COMPUTED_VALUE"""),"P-12083-00")</f>
        <v>P-12083-00</v>
      </c>
      <c r="D4167" s="6" t="str">
        <f>IFERROR(__xludf.DUMMYFUNCTION("""COMPUTED_VALUE"""),"Clamp selang SS dia 1/2inch ex TRIDON")</f>
        <v>Clamp selang SS dia 1/2inch ex TRIDON</v>
      </c>
      <c r="E4167" s="6">
        <f>IFERROR(__xludf.DUMMYFUNCTION("""COMPUTED_VALUE"""),2.0)</f>
        <v>2</v>
      </c>
      <c r="F4167" s="6">
        <f>IFERROR(__xludf.DUMMYFUNCTION("""COMPUTED_VALUE"""),2.0)</f>
        <v>2</v>
      </c>
      <c r="G4167" s="6">
        <f>IFERROR(__xludf.DUMMYFUNCTION("""COMPUTED_VALUE"""),0.0)</f>
        <v>0</v>
      </c>
      <c r="H4167" s="6" t="str">
        <f>IFERROR(__xludf.DUMMYFUNCTION("""COMPUTED_VALUE"""),"Pcs")</f>
        <v>Pcs</v>
      </c>
      <c r="I4167" s="6" t="str">
        <f>IFERROR(__xludf.DUMMYFUNCTION("""COMPUTED_VALUE"""),"MFH")</f>
        <v>MFH</v>
      </c>
      <c r="J4167" s="6" t="str">
        <f>IFERROR(__xludf.DUMMYFUNCTION("""COMPUTED_VALUE"""),"Coating")</f>
        <v>Coating</v>
      </c>
      <c r="K4167" s="6" t="str">
        <f>IFERROR(__xludf.DUMMYFUNCTION("""COMPUTED_VALUE"""),"SPR/08/26/076")</f>
        <v>SPR/08/26/076</v>
      </c>
      <c r="L4167" s="13">
        <f>IFERROR(__xludf.DUMMYFUNCTION("""COMPUTED_VALUE"""),46260.0)</f>
        <v>46260</v>
      </c>
    </row>
    <row r="4168">
      <c r="A4168" s="6" t="str">
        <f>IFERROR(__xludf.DUMMYFUNCTION("""COMPUTED_VALUE"""),"ANS")</f>
        <v>ANS</v>
      </c>
      <c r="B4168" s="6" t="str">
        <f>IFERROR(__xludf.DUMMYFUNCTION("""COMPUTED_VALUE"""),"ENG")</f>
        <v>ENG</v>
      </c>
      <c r="C4168" s="6" t="str">
        <f>IFERROR(__xludf.DUMMYFUNCTION("""COMPUTED_VALUE"""),"P-19818-00")</f>
        <v>P-19818-00</v>
      </c>
      <c r="D4168" s="6" t="str">
        <f>IFERROR(__xludf.DUMMYFUNCTION("""COMPUTED_VALUE"""),"General - Regulator AR2000-02 Uk. 1/4inch; ITAC; -; 1 pc")</f>
        <v>General - Regulator AR2000-02 Uk. 1/4inch; ITAC; -; 1 pc</v>
      </c>
      <c r="E4168" s="6">
        <f>IFERROR(__xludf.DUMMYFUNCTION("""COMPUTED_VALUE"""),1.0)</f>
        <v>1</v>
      </c>
      <c r="F4168" s="6">
        <f>IFERROR(__xludf.DUMMYFUNCTION("""COMPUTED_VALUE"""),1.0)</f>
        <v>1</v>
      </c>
      <c r="G4168" s="6">
        <f>IFERROR(__xludf.DUMMYFUNCTION("""COMPUTED_VALUE"""),0.0)</f>
        <v>0</v>
      </c>
      <c r="H4168" s="6" t="str">
        <f>IFERROR(__xludf.DUMMYFUNCTION("""COMPUTED_VALUE"""),"Pcs")</f>
        <v>Pcs</v>
      </c>
      <c r="I4168" s="6" t="str">
        <f>IFERROR(__xludf.DUMMYFUNCTION("""COMPUTED_VALUE"""),"MFH")</f>
        <v>MFH</v>
      </c>
      <c r="J4168" s="6" t="str">
        <f>IFERROR(__xludf.DUMMYFUNCTION("""COMPUTED_VALUE"""),"Filling")</f>
        <v>Filling</v>
      </c>
      <c r="K4168" s="6" t="str">
        <f>IFERROR(__xludf.DUMMYFUNCTION("""COMPUTED_VALUE"""),"SPR/08/26/077")</f>
        <v>SPR/08/26/077</v>
      </c>
      <c r="L4168" s="13">
        <f>IFERROR(__xludf.DUMMYFUNCTION("""COMPUTED_VALUE"""),46260.0)</f>
        <v>46260</v>
      </c>
    </row>
    <row r="4169">
      <c r="A4169" s="6" t="str">
        <f>IFERROR(__xludf.DUMMYFUNCTION("""COMPUTED_VALUE"""),"ANS")</f>
        <v>ANS</v>
      </c>
      <c r="B4169" s="6" t="str">
        <f>IFERROR(__xludf.DUMMYFUNCTION("""COMPUTED_VALUE"""),"ENG")</f>
        <v>ENG</v>
      </c>
      <c r="C4169" s="6" t="str">
        <f>IFERROR(__xludf.DUMMYFUNCTION("""COMPUTED_VALUE"""),"P-11170-00")</f>
        <v>P-11170-00</v>
      </c>
      <c r="D4169" s="6" t="str">
        <f>IFERROR(__xludf.DUMMYFUNCTION("""COMPUTED_VALUE"""),"Pneumatic  Fitting - QS 1/4-8 / PN : 153005 / Festo")</f>
        <v>Pneumatic  Fitting - QS 1/4-8 / PN : 153005 / Festo</v>
      </c>
      <c r="E4169" s="6">
        <f>IFERROR(__xludf.DUMMYFUNCTION("""COMPUTED_VALUE"""),2.0)</f>
        <v>2</v>
      </c>
      <c r="F4169" s="6">
        <f>IFERROR(__xludf.DUMMYFUNCTION("""COMPUTED_VALUE"""),2.0)</f>
        <v>2</v>
      </c>
      <c r="G4169" s="6">
        <f>IFERROR(__xludf.DUMMYFUNCTION("""COMPUTED_VALUE"""),0.0)</f>
        <v>0</v>
      </c>
      <c r="H4169" s="6" t="str">
        <f>IFERROR(__xludf.DUMMYFUNCTION("""COMPUTED_VALUE"""),"Pcs")</f>
        <v>Pcs</v>
      </c>
      <c r="I4169" s="6" t="str">
        <f>IFERROR(__xludf.DUMMYFUNCTION("""COMPUTED_VALUE"""),"MFH")</f>
        <v>MFH</v>
      </c>
      <c r="J4169" s="6" t="str">
        <f>IFERROR(__xludf.DUMMYFUNCTION("""COMPUTED_VALUE"""),"-")</f>
        <v>-</v>
      </c>
      <c r="K4169" s="6" t="str">
        <f>IFERROR(__xludf.DUMMYFUNCTION("""COMPUTED_VALUE"""),"SPR/08/26/077")</f>
        <v>SPR/08/26/077</v>
      </c>
      <c r="L4169" s="13">
        <f>IFERROR(__xludf.DUMMYFUNCTION("""COMPUTED_VALUE"""),46260.0)</f>
        <v>46260</v>
      </c>
    </row>
    <row r="4170">
      <c r="A4170" s="6" t="str">
        <f>IFERROR(__xludf.DUMMYFUNCTION("""COMPUTED_VALUE"""),"NDS")</f>
        <v>NDS</v>
      </c>
      <c r="B4170" s="6" t="str">
        <f>IFERROR(__xludf.DUMMYFUNCTION("""COMPUTED_VALUE"""),"ENG")</f>
        <v>ENG</v>
      </c>
      <c r="C4170" s="6" t="str">
        <f>IFERROR(__xludf.DUMMYFUNCTION("""COMPUTED_VALUE"""),"O-20913-00")</f>
        <v>O-20913-00</v>
      </c>
      <c r="D4170" s="6" t="str">
        <f>IFERROR(__xludf.DUMMYFUNCTION("""COMPUTED_VALUE"""),"General - Air Gripper; SMC; MHZJ2 20DS X43 X81B; 1 Pc")</f>
        <v>General - Air Gripper; SMC; MHZJ2 20DS X43 X81B; 1 Pc</v>
      </c>
      <c r="E4170" s="6">
        <f>IFERROR(__xludf.DUMMYFUNCTION("""COMPUTED_VALUE"""),1.0)</f>
        <v>1</v>
      </c>
      <c r="F4170" s="6">
        <f>IFERROR(__xludf.DUMMYFUNCTION("""COMPUTED_VALUE"""),1.0)</f>
        <v>1</v>
      </c>
      <c r="G4170" s="6">
        <f>IFERROR(__xludf.DUMMYFUNCTION("""COMPUTED_VALUE"""),0.0)</f>
        <v>0</v>
      </c>
      <c r="H4170" s="6" t="str">
        <f>IFERROR(__xludf.DUMMYFUNCTION("""COMPUTED_VALUE"""),"Pcs")</f>
        <v>Pcs</v>
      </c>
      <c r="I4170" s="6" t="str">
        <f>IFERROR(__xludf.DUMMYFUNCTION("""COMPUTED_VALUE"""),"MFH")</f>
        <v>MFH</v>
      </c>
      <c r="J4170" s="6" t="str">
        <f>IFERROR(__xludf.DUMMYFUNCTION("""COMPUTED_VALUE"""),"Washing")</f>
        <v>Washing</v>
      </c>
      <c r="K4170" s="6" t="str">
        <f>IFERROR(__xludf.DUMMYFUNCTION("""COMPUTED_VALUE"""),"SPR/08/26/078")</f>
        <v>SPR/08/26/078</v>
      </c>
      <c r="L4170" s="13">
        <f>IFERROR(__xludf.DUMMYFUNCTION("""COMPUTED_VALUE"""),46260.0)</f>
        <v>46260</v>
      </c>
    </row>
    <row r="4171">
      <c r="A4171" s="6" t="str">
        <f>IFERROR(__xludf.DUMMYFUNCTION("""COMPUTED_VALUE"""),"BDU")</f>
        <v>BDU</v>
      </c>
      <c r="B4171" s="6" t="str">
        <f>IFERROR(__xludf.DUMMYFUNCTION("""COMPUTED_VALUE"""),"ENG")</f>
        <v>ENG</v>
      </c>
      <c r="C4171" s="6" t="str">
        <f>IFERROR(__xludf.DUMMYFUNCTION("""COMPUTED_VALUE"""),"P-54554-00")</f>
        <v>P-54554-00</v>
      </c>
      <c r="D4171" s="6" t="str">
        <f>IFERROR(__xludf.DUMMYFUNCTION("""COMPUTED_VALUE"""),"General - Lampu Tl LED Slimliner II T5 10W Cool Light; Hannoch; -; 1 pc")</f>
        <v>General - Lampu Tl LED Slimliner II T5 10W Cool Light; Hannoch; -; 1 pc</v>
      </c>
      <c r="E4171" s="6">
        <f>IFERROR(__xludf.DUMMYFUNCTION("""COMPUTED_VALUE"""),1.0)</f>
        <v>1</v>
      </c>
      <c r="F4171" s="6">
        <f>IFERROR(__xludf.DUMMYFUNCTION("""COMPUTED_VALUE"""),1.0)</f>
        <v>1</v>
      </c>
      <c r="G4171" s="6">
        <f>IFERROR(__xludf.DUMMYFUNCTION("""COMPUTED_VALUE"""),0.0)</f>
        <v>0</v>
      </c>
      <c r="H4171" s="6" t="str">
        <f>IFERROR(__xludf.DUMMYFUNCTION("""COMPUTED_VALUE"""),"Pcs")</f>
        <v>Pcs</v>
      </c>
      <c r="I4171" s="6" t="str">
        <f>IFERROR(__xludf.DUMMYFUNCTION("""COMPUTED_VALUE"""),"MFH")</f>
        <v>MFH</v>
      </c>
      <c r="J4171" s="6" t="str">
        <f>IFERROR(__xludf.DUMMYFUNCTION("""COMPUTED_VALUE"""),"-")</f>
        <v>-</v>
      </c>
      <c r="K4171" s="6" t="str">
        <f>IFERROR(__xludf.DUMMYFUNCTION("""COMPUTED_VALUE"""),"SPR/09/26/001")</f>
        <v>SPR/09/26/001</v>
      </c>
      <c r="L4171" s="6"/>
    </row>
    <row r="4172">
      <c r="A4172" s="6" t="str">
        <f>IFERROR(__xludf.DUMMYFUNCTION("""COMPUTED_VALUE"""),"BDU")</f>
        <v>BDU</v>
      </c>
      <c r="B4172" s="6" t="str">
        <f>IFERROR(__xludf.DUMMYFUNCTION("""COMPUTED_VALUE"""),"ENG")</f>
        <v>ENG</v>
      </c>
      <c r="C4172" s="6" t="str">
        <f>IFERROR(__xludf.DUMMYFUNCTION("""COMPUTED_VALUE"""),"P-54577-00")</f>
        <v>P-54577-00</v>
      </c>
      <c r="D4172" s="6" t="str">
        <f>IFERROR(__xludf.DUMMYFUNCTION("""COMPUTED_VALUE"""),"General - Lampu Neon LED Silinder II T5 16W Putih; Hannochs; -; 1 pc")</f>
        <v>General - Lampu Neon LED Silinder II T5 16W Putih; Hannochs; -; 1 pc</v>
      </c>
      <c r="E4172" s="6">
        <f>IFERROR(__xludf.DUMMYFUNCTION("""COMPUTED_VALUE"""),1.0)</f>
        <v>1</v>
      </c>
      <c r="F4172" s="6">
        <f>IFERROR(__xludf.DUMMYFUNCTION("""COMPUTED_VALUE"""),1.0)</f>
        <v>1</v>
      </c>
      <c r="G4172" s="6">
        <f>IFERROR(__xludf.DUMMYFUNCTION("""COMPUTED_VALUE"""),0.0)</f>
        <v>0</v>
      </c>
      <c r="H4172" s="6" t="str">
        <f>IFERROR(__xludf.DUMMYFUNCTION("""COMPUTED_VALUE"""),"Pcs")</f>
        <v>Pcs</v>
      </c>
      <c r="I4172" s="6" t="str">
        <f>IFERROR(__xludf.DUMMYFUNCTION("""COMPUTED_VALUE"""),"MFH")</f>
        <v>MFH</v>
      </c>
      <c r="J4172" s="6" t="str">
        <f>IFERROR(__xludf.DUMMYFUNCTION("""COMPUTED_VALUE"""),"-")</f>
        <v>-</v>
      </c>
      <c r="K4172" s="6" t="str">
        <f>IFERROR(__xludf.DUMMYFUNCTION("""COMPUTED_VALUE"""),"SPR/09/26/001")</f>
        <v>SPR/09/26/001</v>
      </c>
      <c r="L4172" s="6"/>
    </row>
    <row r="4173">
      <c r="A4173" s="6" t="str">
        <f>IFERROR(__xludf.DUMMYFUNCTION("""COMPUTED_VALUE"""),"BDU")</f>
        <v>BDU</v>
      </c>
      <c r="B4173" s="6" t="str">
        <f>IFERROR(__xludf.DUMMYFUNCTION("""COMPUTED_VALUE"""),"ENG")</f>
        <v>ENG</v>
      </c>
      <c r="C4173" s="6" t="str">
        <f>IFERROR(__xludf.DUMMYFUNCTION("""COMPUTED_VALUE"""),"-")</f>
        <v>-</v>
      </c>
      <c r="D4173" s="6" t="str">
        <f>IFERROR(__xludf.DUMMYFUNCTION("""COMPUTED_VALUE"""),"Kapasitor 2 uF")</f>
        <v>Kapasitor 2 uF</v>
      </c>
      <c r="E4173" s="6">
        <f>IFERROR(__xludf.DUMMYFUNCTION("""COMPUTED_VALUE"""),1.0)</f>
        <v>1</v>
      </c>
      <c r="F4173" s="6">
        <f>IFERROR(__xludf.DUMMYFUNCTION("""COMPUTED_VALUE"""),1.0)</f>
        <v>1</v>
      </c>
      <c r="G4173" s="6">
        <f>IFERROR(__xludf.DUMMYFUNCTION("""COMPUTED_VALUE"""),0.0)</f>
        <v>0</v>
      </c>
      <c r="H4173" s="6" t="str">
        <f>IFERROR(__xludf.DUMMYFUNCTION("""COMPUTED_VALUE"""),"Pcs")</f>
        <v>Pcs</v>
      </c>
      <c r="I4173" s="6" t="str">
        <f>IFERROR(__xludf.DUMMYFUNCTION("""COMPUTED_VALUE"""),"MFH")</f>
        <v>MFH</v>
      </c>
      <c r="J4173" s="6" t="str">
        <f>IFERROR(__xludf.DUMMYFUNCTION("""COMPUTED_VALUE"""),"FCU")</f>
        <v>FCU</v>
      </c>
      <c r="K4173" s="6" t="str">
        <f>IFERROR(__xludf.DUMMYFUNCTION("""COMPUTED_VALUE"""),"SPR/09/26/001")</f>
        <v>SPR/09/26/001</v>
      </c>
      <c r="L4173" s="6"/>
    </row>
    <row r="4174">
      <c r="A4174" s="6" t="str">
        <f>IFERROR(__xludf.DUMMYFUNCTION("""COMPUTED_VALUE"""),"KFF")</f>
        <v>KFF</v>
      </c>
      <c r="B4174" s="6" t="str">
        <f>IFERROR(__xludf.DUMMYFUNCTION("""COMPUTED_VALUE"""),"ENG")</f>
        <v>ENG</v>
      </c>
      <c r="C4174" s="6" t="str">
        <f>IFERROR(__xludf.DUMMYFUNCTION("""COMPUTED_VALUE"""),"P-10763-00")</f>
        <v>P-10763-00</v>
      </c>
      <c r="D4174" s="6" t="str">
        <f>IFERROR(__xludf.DUMMYFUNCTION("""COMPUTED_VALUE"""),"Ferrule 1"" SS 316L")</f>
        <v>Ferrule 1" SS 316L</v>
      </c>
      <c r="E4174" s="6">
        <f>IFERROR(__xludf.DUMMYFUNCTION("""COMPUTED_VALUE"""),1.0)</f>
        <v>1</v>
      </c>
      <c r="F4174" s="6">
        <f>IFERROR(__xludf.DUMMYFUNCTION("""COMPUTED_VALUE"""),1.0)</f>
        <v>1</v>
      </c>
      <c r="G4174" s="6">
        <f>IFERROR(__xludf.DUMMYFUNCTION("""COMPUTED_VALUE"""),0.0)</f>
        <v>0</v>
      </c>
      <c r="H4174" s="6" t="str">
        <f>IFERROR(__xludf.DUMMYFUNCTION("""COMPUTED_VALUE"""),"Pcs")</f>
        <v>Pcs</v>
      </c>
      <c r="I4174" s="6" t="str">
        <f>IFERROR(__xludf.DUMMYFUNCTION("""COMPUTED_VALUE"""),"MFH")</f>
        <v>MFH</v>
      </c>
      <c r="J4174" s="6" t="str">
        <f>IFERROR(__xludf.DUMMYFUNCTION("""COMPUTED_VALUE"""),"-")</f>
        <v>-</v>
      </c>
      <c r="K4174" s="6" t="str">
        <f>IFERROR(__xludf.DUMMYFUNCTION("""COMPUTED_VALUE"""),"SPR/09/26/002")</f>
        <v>SPR/09/26/002</v>
      </c>
      <c r="L4174" s="6"/>
    </row>
    <row r="4175">
      <c r="A4175" s="6" t="str">
        <f>IFERROR(__xludf.DUMMYFUNCTION("""COMPUTED_VALUE"""),"KFF")</f>
        <v>KFF</v>
      </c>
      <c r="B4175" s="6" t="str">
        <f>IFERROR(__xludf.DUMMYFUNCTION("""COMPUTED_VALUE"""),"ENG")</f>
        <v>ENG</v>
      </c>
      <c r="C4175" s="6" t="str">
        <f>IFERROR(__xludf.DUMMYFUNCTION("""COMPUTED_VALUE"""),"P-12083-00")</f>
        <v>P-12083-00</v>
      </c>
      <c r="D4175" s="6" t="str">
        <f>IFERROR(__xludf.DUMMYFUNCTION("""COMPUTED_VALUE"""),"Clamp selang SS dia 1/2inch ex TRIDON")</f>
        <v>Clamp selang SS dia 1/2inch ex TRIDON</v>
      </c>
      <c r="E4175" s="6">
        <f>IFERROR(__xludf.DUMMYFUNCTION("""COMPUTED_VALUE"""),2.0)</f>
        <v>2</v>
      </c>
      <c r="F4175" s="6">
        <f>IFERROR(__xludf.DUMMYFUNCTION("""COMPUTED_VALUE"""),2.0)</f>
        <v>2</v>
      </c>
      <c r="G4175" s="6">
        <f>IFERROR(__xludf.DUMMYFUNCTION("""COMPUTED_VALUE"""),0.0)</f>
        <v>0</v>
      </c>
      <c r="H4175" s="6" t="str">
        <f>IFERROR(__xludf.DUMMYFUNCTION("""COMPUTED_VALUE"""),"Pcs")</f>
        <v>Pcs</v>
      </c>
      <c r="I4175" s="6" t="str">
        <f>IFERROR(__xludf.DUMMYFUNCTION("""COMPUTED_VALUE"""),"MFH")</f>
        <v>MFH</v>
      </c>
      <c r="J4175" s="6" t="str">
        <f>IFERROR(__xludf.DUMMYFUNCTION("""COMPUTED_VALUE"""),"-")</f>
        <v>-</v>
      </c>
      <c r="K4175" s="6" t="str">
        <f>IFERROR(__xludf.DUMMYFUNCTION("""COMPUTED_VALUE"""),"SPR/09/26/002")</f>
        <v>SPR/09/26/002</v>
      </c>
      <c r="L4175" s="6"/>
    </row>
    <row r="4176">
      <c r="A4176" s="6" t="str">
        <f>IFERROR(__xludf.DUMMYFUNCTION("""COMPUTED_VALUE"""),"KFF")</f>
        <v>KFF</v>
      </c>
      <c r="B4176" s="6" t="str">
        <f>IFERROR(__xludf.DUMMYFUNCTION("""COMPUTED_VALUE"""),"ENG")</f>
        <v>ENG</v>
      </c>
      <c r="C4176" s="6" t="str">
        <f>IFERROR(__xludf.DUMMYFUNCTION("""COMPUTED_VALUE"""),"P-51928-00")</f>
        <v>P-51928-00</v>
      </c>
      <c r="D4176" s="6" t="str">
        <f>IFERROR(__xludf.DUMMYFUNCTION("""COMPUTED_VALUE"""),"Battery Lithium 3V CR2477N; ; ;")</f>
        <v>Battery Lithium 3V CR2477N; ; ;</v>
      </c>
      <c r="E4176" s="6">
        <f>IFERROR(__xludf.DUMMYFUNCTION("""COMPUTED_VALUE"""),1.0)</f>
        <v>1</v>
      </c>
      <c r="F4176" s="6">
        <f>IFERROR(__xludf.DUMMYFUNCTION("""COMPUTED_VALUE"""),1.0)</f>
        <v>1</v>
      </c>
      <c r="G4176" s="6">
        <f>IFERROR(__xludf.DUMMYFUNCTION("""COMPUTED_VALUE"""),0.0)</f>
        <v>0</v>
      </c>
      <c r="H4176" s="6" t="str">
        <f>IFERROR(__xludf.DUMMYFUNCTION("""COMPUTED_VALUE"""),"Pcs")</f>
        <v>Pcs</v>
      </c>
      <c r="I4176" s="6" t="str">
        <f>IFERROR(__xludf.DUMMYFUNCTION("""COMPUTED_VALUE"""),"MFH")</f>
        <v>MFH</v>
      </c>
      <c r="J4176" s="6" t="str">
        <f>IFERROR(__xludf.DUMMYFUNCTION("""COMPUTED_VALUE"""),"MS30")</f>
        <v>MS30</v>
      </c>
      <c r="K4176" s="6" t="str">
        <f>IFERROR(__xludf.DUMMYFUNCTION("""COMPUTED_VALUE"""),"SPR/09/26/003")</f>
        <v>SPR/09/26/003</v>
      </c>
      <c r="L4176" s="6"/>
    </row>
    <row r="4177">
      <c r="A4177" s="6" t="str">
        <f>IFERROR(__xludf.DUMMYFUNCTION("""COMPUTED_VALUE"""),"KFF")</f>
        <v>KFF</v>
      </c>
      <c r="B4177" s="6" t="str">
        <f>IFERROR(__xludf.DUMMYFUNCTION("""COMPUTED_VALUE"""),"ENG")</f>
        <v>ENG</v>
      </c>
      <c r="C4177" s="6" t="str">
        <f>IFERROR(__xludf.DUMMYFUNCTION("""COMPUTED_VALUE"""),"P-50138-00")</f>
        <v>P-50138-00</v>
      </c>
      <c r="D4177" s="6" t="str">
        <f>IFERROR(__xludf.DUMMYFUNCTION("""COMPUTED_VALUE"""),"Battery Lithium / Buffer TL-2150 size 1/2 AA")</f>
        <v>Battery Lithium / Buffer TL-2150 size 1/2 AA</v>
      </c>
      <c r="E4177" s="6">
        <f>IFERROR(__xludf.DUMMYFUNCTION("""COMPUTED_VALUE"""),5.0)</f>
        <v>5</v>
      </c>
      <c r="F4177" s="6">
        <f>IFERROR(__xludf.DUMMYFUNCTION("""COMPUTED_VALUE"""),5.0)</f>
        <v>5</v>
      </c>
      <c r="G4177" s="6">
        <f>IFERROR(__xludf.DUMMYFUNCTION("""COMPUTED_VALUE"""),0.0)</f>
        <v>0</v>
      </c>
      <c r="H4177" s="6" t="str">
        <f>IFERROR(__xludf.DUMMYFUNCTION("""COMPUTED_VALUE"""),"Pcs")</f>
        <v>Pcs</v>
      </c>
      <c r="I4177" s="6" t="str">
        <f>IFERROR(__xludf.DUMMYFUNCTION("""COMPUTED_VALUE"""),"MFH")</f>
        <v>MFH</v>
      </c>
      <c r="J4177" s="6" t="str">
        <f>IFERROR(__xludf.DUMMYFUNCTION("""COMPUTED_VALUE"""),"MS30")</f>
        <v>MS30</v>
      </c>
      <c r="K4177" s="6" t="str">
        <f>IFERROR(__xludf.DUMMYFUNCTION("""COMPUTED_VALUE"""),"SPR/09/26/003")</f>
        <v>SPR/09/26/003</v>
      </c>
      <c r="L4177" s="6"/>
    </row>
    <row r="4178">
      <c r="A4178" s="6" t="str">
        <f>IFERROR(__xludf.DUMMYFUNCTION("""COMPUTED_VALUE"""),"ERA")</f>
        <v>ERA</v>
      </c>
      <c r="B4178" s="6" t="str">
        <f>IFERROR(__xludf.DUMMYFUNCTION("""COMPUTED_VALUE"""),"ENG")</f>
        <v>ENG</v>
      </c>
      <c r="C4178" s="6" t="str">
        <f>IFERROR(__xludf.DUMMYFUNCTION("""COMPUTED_VALUE"""),"P-16474-00")</f>
        <v>P-16474-00</v>
      </c>
      <c r="D4178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E4178" s="6">
        <f>IFERROR(__xludf.DUMMYFUNCTION("""COMPUTED_VALUE"""),1.0)</f>
        <v>1</v>
      </c>
      <c r="F4178" s="6">
        <f>IFERROR(__xludf.DUMMYFUNCTION("""COMPUTED_VALUE"""),1.0)</f>
        <v>1</v>
      </c>
      <c r="G4178" s="6">
        <f>IFERROR(__xludf.DUMMYFUNCTION("""COMPUTED_VALUE"""),0.0)</f>
        <v>0</v>
      </c>
      <c r="H4178" s="6" t="str">
        <f>IFERROR(__xludf.DUMMYFUNCTION("""COMPUTED_VALUE"""),"Pcs")</f>
        <v>Pcs</v>
      </c>
      <c r="I4178" s="6" t="str">
        <f>IFERROR(__xludf.DUMMYFUNCTION("""COMPUTED_VALUE"""),"MFH")</f>
        <v>MFH</v>
      </c>
      <c r="J4178" s="6" t="str">
        <f>IFERROR(__xludf.DUMMYFUNCTION("""COMPUTED_VALUE"""),"-")</f>
        <v>-</v>
      </c>
      <c r="K4178" s="6" t="str">
        <f>IFERROR(__xludf.DUMMYFUNCTION("""COMPUTED_VALUE"""),"SPR/09/26/004")</f>
        <v>SPR/09/26/004</v>
      </c>
      <c r="L4178" s="6"/>
    </row>
    <row r="4179">
      <c r="A4179" s="6" t="str">
        <f>IFERROR(__xludf.DUMMYFUNCTION("""COMPUTED_VALUE"""),"ERA")</f>
        <v>ERA</v>
      </c>
      <c r="B4179" s="6" t="str">
        <f>IFERROR(__xludf.DUMMYFUNCTION("""COMPUTED_VALUE"""),"ENG")</f>
        <v>ENG</v>
      </c>
      <c r="C4179" s="6" t="str">
        <f>IFERROR(__xludf.DUMMYFUNCTION("""COMPUTED_VALUE"""),"P-12994-00")</f>
        <v>P-12994-00</v>
      </c>
      <c r="D4179" s="6" t="str">
        <f>IFERROR(__xludf.DUMMYFUNCTION("""COMPUTED_VALUE"""),"Nippon Tape - ASF-110FR")</f>
        <v>Nippon Tape - ASF-110FR</v>
      </c>
      <c r="E4179" s="6">
        <f>IFERROR(__xludf.DUMMYFUNCTION("""COMPUTED_VALUE"""),1.0)</f>
        <v>1</v>
      </c>
      <c r="F4179" s="6">
        <f>IFERROR(__xludf.DUMMYFUNCTION("""COMPUTED_VALUE"""),1.0)</f>
        <v>1</v>
      </c>
      <c r="G4179" s="6">
        <f>IFERROR(__xludf.DUMMYFUNCTION("""COMPUTED_VALUE"""),0.0)</f>
        <v>0</v>
      </c>
      <c r="H4179" s="6" t="str">
        <f>IFERROR(__xludf.DUMMYFUNCTION("""COMPUTED_VALUE"""),"Pcs")</f>
        <v>Pcs</v>
      </c>
      <c r="I4179" s="6" t="str">
        <f>IFERROR(__xludf.DUMMYFUNCTION("""COMPUTED_VALUE"""),"MFH")</f>
        <v>MFH</v>
      </c>
      <c r="J4179" s="6" t="str">
        <f>IFERROR(__xludf.DUMMYFUNCTION("""COMPUTED_VALUE"""),"FIlling")</f>
        <v>FIlling</v>
      </c>
      <c r="K4179" s="6" t="str">
        <f>IFERROR(__xludf.DUMMYFUNCTION("""COMPUTED_VALUE"""),"SPR/09/26/005")</f>
        <v>SPR/09/26/005</v>
      </c>
      <c r="L4179" s="6"/>
    </row>
    <row r="4180">
      <c r="A4180" s="6" t="str">
        <f>IFERROR(__xludf.DUMMYFUNCTION("""COMPUTED_VALUE"""),"USN")</f>
        <v>USN</v>
      </c>
      <c r="B4180" s="6" t="str">
        <f>IFERROR(__xludf.DUMMYFUNCTION("""COMPUTED_VALUE"""),"ENG")</f>
        <v>ENG</v>
      </c>
      <c r="C4180" s="6" t="str">
        <f>IFERROR(__xludf.DUMMYFUNCTION("""COMPUTED_VALUE"""),"O-15931-00")</f>
        <v>O-15931-00</v>
      </c>
      <c r="D4180" s="6" t="str">
        <f>IFERROR(__xludf.DUMMYFUNCTION("""COMPUTED_VALUE"""),"Double Tape 3M 1"" Merah - P/N : - pc")</f>
        <v>Double Tape 3M 1" Merah - P/N : - pc</v>
      </c>
      <c r="E4180" s="6">
        <f>IFERROR(__xludf.DUMMYFUNCTION("""COMPUTED_VALUE"""),1.0)</f>
        <v>1</v>
      </c>
      <c r="F4180" s="6">
        <f>IFERROR(__xludf.DUMMYFUNCTION("""COMPUTED_VALUE"""),1.0)</f>
        <v>1</v>
      </c>
      <c r="G4180" s="6">
        <f>IFERROR(__xludf.DUMMYFUNCTION("""COMPUTED_VALUE"""),0.0)</f>
        <v>0</v>
      </c>
      <c r="H4180" s="6" t="str">
        <f>IFERROR(__xludf.DUMMYFUNCTION("""COMPUTED_VALUE"""),"Pcs")</f>
        <v>Pcs</v>
      </c>
      <c r="I4180" s="6" t="str">
        <f>IFERROR(__xludf.DUMMYFUNCTION("""COMPUTED_VALUE"""),"MFH")</f>
        <v>MFH</v>
      </c>
      <c r="J4180" s="6" t="str">
        <f>IFERROR(__xludf.DUMMYFUNCTION("""COMPUTED_VALUE"""),"Labelling")</f>
        <v>Labelling</v>
      </c>
      <c r="K4180" s="6" t="str">
        <f>IFERROR(__xludf.DUMMYFUNCTION("""COMPUTED_VALUE"""),"SPR/09/26/006")</f>
        <v>SPR/09/26/006</v>
      </c>
      <c r="L4180" s="6"/>
    </row>
    <row r="4181">
      <c r="A4181" s="6" t="str">
        <f>IFERROR(__xludf.DUMMYFUNCTION("""COMPUTED_VALUE"""),"BDU")</f>
        <v>BDU</v>
      </c>
      <c r="B4181" s="6" t="str">
        <f>IFERROR(__xludf.DUMMYFUNCTION("""COMPUTED_VALUE"""),"ENG")</f>
        <v>ENG</v>
      </c>
      <c r="C4181" s="6" t="str">
        <f>IFERROR(__xludf.DUMMYFUNCTION("""COMPUTED_VALUE"""),"O-16647-00")</f>
        <v>O-16647-00</v>
      </c>
      <c r="D4181" s="6" t="str">
        <f>IFERROR(__xludf.DUMMYFUNCTION("""COMPUTED_VALUE"""),"Washing RAR4 - Oring Silicone Merah 23x18x2.5 mm; ; ;")</f>
        <v>Washing RAR4 - Oring Silicone Merah 23x18x2.5 mm; ; ;</v>
      </c>
      <c r="E4181" s="6">
        <f>IFERROR(__xludf.DUMMYFUNCTION("""COMPUTED_VALUE"""),10.0)</f>
        <v>10</v>
      </c>
      <c r="F4181" s="6">
        <f>IFERROR(__xludf.DUMMYFUNCTION("""COMPUTED_VALUE"""),10.0)</f>
        <v>10</v>
      </c>
      <c r="G4181" s="6">
        <f>IFERROR(__xludf.DUMMYFUNCTION("""COMPUTED_VALUE"""),0.0)</f>
        <v>0</v>
      </c>
      <c r="H4181" s="6" t="str">
        <f>IFERROR(__xludf.DUMMYFUNCTION("""COMPUTED_VALUE"""),"Pcs")</f>
        <v>Pcs</v>
      </c>
      <c r="I4181" s="6" t="str">
        <f>IFERROR(__xludf.DUMMYFUNCTION("""COMPUTED_VALUE"""),"MFH")</f>
        <v>MFH</v>
      </c>
      <c r="J4181" s="6" t="str">
        <f>IFERROR(__xludf.DUMMYFUNCTION("""COMPUTED_VALUE"""),"Capping")</f>
        <v>Capping</v>
      </c>
      <c r="K4181" s="6" t="str">
        <f>IFERROR(__xludf.DUMMYFUNCTION("""COMPUTED_VALUE"""),"SPR/09/26/007")</f>
        <v>SPR/09/26/007</v>
      </c>
      <c r="L4181" s="6"/>
    </row>
    <row r="4182">
      <c r="A4182" s="6" t="str">
        <f>IFERROR(__xludf.DUMMYFUNCTION("""COMPUTED_VALUE"""),"ROS")</f>
        <v>ROS</v>
      </c>
      <c r="B4182" s="6" t="str">
        <f>IFERROR(__xludf.DUMMYFUNCTION("""COMPUTED_VALUE"""),"ENG")</f>
        <v>ENG</v>
      </c>
      <c r="C4182" s="6" t="str">
        <f>IFERROR(__xludf.DUMMYFUNCTION("""COMPUTED_VALUE"""),"O-16032-00")</f>
        <v>O-16032-00</v>
      </c>
      <c r="D4182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182" s="6">
        <f>IFERROR(__xludf.DUMMYFUNCTION("""COMPUTED_VALUE"""),1.0)</f>
        <v>1</v>
      </c>
      <c r="F4182" s="6">
        <f>IFERROR(__xludf.DUMMYFUNCTION("""COMPUTED_VALUE"""),1.0)</f>
        <v>1</v>
      </c>
      <c r="G4182" s="6">
        <f>IFERROR(__xludf.DUMMYFUNCTION("""COMPUTED_VALUE"""),0.0)</f>
        <v>0</v>
      </c>
      <c r="H4182" s="6" t="str">
        <f>IFERROR(__xludf.DUMMYFUNCTION("""COMPUTED_VALUE"""),"Pcs")</f>
        <v>Pcs</v>
      </c>
      <c r="I4182" s="6" t="str">
        <f>IFERROR(__xludf.DUMMYFUNCTION("""COMPUTED_VALUE"""),"MFH")</f>
        <v>MFH</v>
      </c>
      <c r="J4182" s="6" t="str">
        <f>IFERROR(__xludf.DUMMYFUNCTION("""COMPUTED_VALUE"""),"cRABS")</f>
        <v>cRABS</v>
      </c>
      <c r="K4182" s="6" t="str">
        <f>IFERROR(__xludf.DUMMYFUNCTION("""COMPUTED_VALUE"""),"SPR/09/26/008")</f>
        <v>SPR/09/26/008</v>
      </c>
      <c r="L4182" s="6"/>
    </row>
    <row r="4183">
      <c r="A4183" s="6" t="str">
        <f>IFERROR(__xludf.DUMMYFUNCTION("""COMPUTED_VALUE"""),"NDS")</f>
        <v>NDS</v>
      </c>
      <c r="B4183" s="6" t="str">
        <f>IFERROR(__xludf.DUMMYFUNCTION("""COMPUTED_VALUE"""),"ENG")</f>
        <v>ENG</v>
      </c>
      <c r="C4183" s="6" t="str">
        <f>IFERROR(__xludf.DUMMYFUNCTION("""COMPUTED_VALUE"""),"O-54008-00")</f>
        <v>O-54008-00</v>
      </c>
      <c r="D4183" s="6" t="str">
        <f>IFERROR(__xludf.DUMMYFUNCTION("""COMPUTED_VALUE"""),"MCB 1 PHASE, SCHNEIDER ELECTRIC, 25 AMPERE")</f>
        <v>MCB 1 PHASE, SCHNEIDER ELECTRIC, 25 AMPERE</v>
      </c>
      <c r="E4183" s="6">
        <f>IFERROR(__xludf.DUMMYFUNCTION("""COMPUTED_VALUE"""),2.0)</f>
        <v>2</v>
      </c>
      <c r="F4183" s="6">
        <f>IFERROR(__xludf.DUMMYFUNCTION("""COMPUTED_VALUE"""),2.0)</f>
        <v>2</v>
      </c>
      <c r="G4183" s="6">
        <f>IFERROR(__xludf.DUMMYFUNCTION("""COMPUTED_VALUE"""),0.0)</f>
        <v>0</v>
      </c>
      <c r="H4183" s="6" t="str">
        <f>IFERROR(__xludf.DUMMYFUNCTION("""COMPUTED_VALUE"""),"Pcs")</f>
        <v>Pcs</v>
      </c>
      <c r="I4183" s="6" t="str">
        <f>IFERROR(__xludf.DUMMYFUNCTION("""COMPUTED_VALUE"""),"MFH")</f>
        <v>MFH</v>
      </c>
      <c r="J4183" s="6" t="str">
        <f>IFERROR(__xludf.DUMMYFUNCTION("""COMPUTED_VALUE"""),"WIHC")</f>
        <v>WIHC</v>
      </c>
      <c r="K4183" s="6" t="str">
        <f>IFERROR(__xludf.DUMMYFUNCTION("""COMPUTED_VALUE"""),"SPR/09/26/009")</f>
        <v>SPR/09/26/009</v>
      </c>
      <c r="L4183" s="6"/>
    </row>
    <row r="4184">
      <c r="A4184" s="6" t="str">
        <f>IFERROR(__xludf.DUMMYFUNCTION("""COMPUTED_VALUE"""),"NDS")</f>
        <v>NDS</v>
      </c>
      <c r="B4184" s="6" t="str">
        <f>IFERROR(__xludf.DUMMYFUNCTION("""COMPUTED_VALUE"""),"ENG")</f>
        <v>ENG</v>
      </c>
      <c r="C4184" s="6" t="str">
        <f>IFERROR(__xludf.DUMMYFUNCTION("""COMPUTED_VALUE"""),"P-11348-00")</f>
        <v>P-11348-00</v>
      </c>
      <c r="D4184" s="6" t="str">
        <f>IFERROR(__xludf.DUMMYFUNCTION("""COMPUTED_VALUE"""),"Roda Caster Supo Dia : 3"" ( 75 x 38 mm) / Swivel Flange / With Breake")</f>
        <v>Roda Caster Supo Dia : 3" ( 75 x 38 mm) / Swivel Flange / With Breake</v>
      </c>
      <c r="E4184" s="6">
        <f>IFERROR(__xludf.DUMMYFUNCTION("""COMPUTED_VALUE"""),1.0)</f>
        <v>1</v>
      </c>
      <c r="F4184" s="6">
        <f>IFERROR(__xludf.DUMMYFUNCTION("""COMPUTED_VALUE"""),1.0)</f>
        <v>1</v>
      </c>
      <c r="G4184" s="6">
        <f>IFERROR(__xludf.DUMMYFUNCTION("""COMPUTED_VALUE"""),0.0)</f>
        <v>0</v>
      </c>
      <c r="H4184" s="6" t="str">
        <f>IFERROR(__xludf.DUMMYFUNCTION("""COMPUTED_VALUE"""),"Pcs")</f>
        <v>Pcs</v>
      </c>
      <c r="I4184" s="6" t="str">
        <f>IFERROR(__xludf.DUMMYFUNCTION("""COMPUTED_VALUE"""),"MFH")</f>
        <v>MFH</v>
      </c>
      <c r="J4184" s="6" t="str">
        <f>IFERROR(__xludf.DUMMYFUNCTION("""COMPUTED_VALUE"""),"GMP")</f>
        <v>GMP</v>
      </c>
      <c r="K4184" s="6" t="str">
        <f>IFERROR(__xludf.DUMMYFUNCTION("""COMPUTED_VALUE"""),"SPR/09/26/009")</f>
        <v>SPR/09/26/009</v>
      </c>
      <c r="L4184" s="6"/>
    </row>
    <row r="4185">
      <c r="A4185" s="6" t="str">
        <f>IFERROR(__xludf.DUMMYFUNCTION("""COMPUTED_VALUE"""),"ROS")</f>
        <v>ROS</v>
      </c>
      <c r="B4185" s="6" t="str">
        <f>IFERROR(__xludf.DUMMYFUNCTION("""COMPUTED_VALUE"""),"ENG")</f>
        <v>ENG</v>
      </c>
      <c r="C4185" s="6" t="str">
        <f>IFERROR(__xludf.DUMMYFUNCTION("""COMPUTED_VALUE"""),"Q-70253-00")</f>
        <v>Q-70253-00</v>
      </c>
      <c r="D4185" s="6" t="str">
        <f>IFERROR(__xludf.DUMMYFUNCTION("""COMPUTED_VALUE"""),"Screwdriver LRSST8 / Obeng Plus dan Minus Set; Krisbow; KW0102648; 8 pc per set")</f>
        <v>Screwdriver LRSST8 / Obeng Plus dan Minus Set; Krisbow; KW0102648; 8 pc per set</v>
      </c>
      <c r="E4185" s="6">
        <f>IFERROR(__xludf.DUMMYFUNCTION("""COMPUTED_VALUE"""),1.0)</f>
        <v>1</v>
      </c>
      <c r="F4185" s="6">
        <f>IFERROR(__xludf.DUMMYFUNCTION("""COMPUTED_VALUE"""),1.0)</f>
        <v>1</v>
      </c>
      <c r="G4185" s="6">
        <f>IFERROR(__xludf.DUMMYFUNCTION("""COMPUTED_VALUE"""),0.0)</f>
        <v>0</v>
      </c>
      <c r="H4185" s="6" t="str">
        <f>IFERROR(__xludf.DUMMYFUNCTION("""COMPUTED_VALUE"""),"Pcs")</f>
        <v>Pcs</v>
      </c>
      <c r="I4185" s="6" t="str">
        <f>IFERROR(__xludf.DUMMYFUNCTION("""COMPUTED_VALUE"""),"MFH")</f>
        <v>MFH</v>
      </c>
      <c r="J4185" s="6" t="str">
        <f>IFERROR(__xludf.DUMMYFUNCTION("""COMPUTED_VALUE"""),"Tools")</f>
        <v>Tools</v>
      </c>
      <c r="K4185" s="6" t="str">
        <f>IFERROR(__xludf.DUMMYFUNCTION("""COMPUTED_VALUE"""),"SPR/09/26/010")</f>
        <v>SPR/09/26/010</v>
      </c>
      <c r="L4185" s="6"/>
    </row>
    <row r="4186">
      <c r="A4186" s="6" t="str">
        <f>IFERROR(__xludf.DUMMYFUNCTION("""COMPUTED_VALUE"""),"ROS")</f>
        <v>ROS</v>
      </c>
      <c r="B4186" s="6" t="str">
        <f>IFERROR(__xludf.DUMMYFUNCTION("""COMPUTED_VALUE"""),"ENG")</f>
        <v>ENG</v>
      </c>
      <c r="C4186" s="6" t="str">
        <f>IFERROR(__xludf.DUMMYFUNCTION("""COMPUTED_VALUE"""),"Q-70239-00")</f>
        <v>Q-70239-00</v>
      </c>
      <c r="D4186" s="6" t="str">
        <f>IFERROR(__xludf.DUMMYFUNCTION("""COMPUTED_VALUE"""),"Tang Buaya Bengkok 10 Inch (Curved Jaw); Tekiro; PL-LG0770; pc")</f>
        <v>Tang Buaya Bengkok 10 Inch (Curved Jaw); Tekiro; PL-LG0770; pc</v>
      </c>
      <c r="E4186" s="6">
        <f>IFERROR(__xludf.DUMMYFUNCTION("""COMPUTED_VALUE"""),2.0)</f>
        <v>2</v>
      </c>
      <c r="F4186" s="6">
        <f>IFERROR(__xludf.DUMMYFUNCTION("""COMPUTED_VALUE"""),2.0)</f>
        <v>2</v>
      </c>
      <c r="G4186" s="6">
        <f>IFERROR(__xludf.DUMMYFUNCTION("""COMPUTED_VALUE"""),0.0)</f>
        <v>0</v>
      </c>
      <c r="H4186" s="6" t="str">
        <f>IFERROR(__xludf.DUMMYFUNCTION("""COMPUTED_VALUE"""),"Pcs")</f>
        <v>Pcs</v>
      </c>
      <c r="I4186" s="6" t="str">
        <f>IFERROR(__xludf.DUMMYFUNCTION("""COMPUTED_VALUE"""),"MFH")</f>
        <v>MFH</v>
      </c>
      <c r="J4186" s="6" t="str">
        <f>IFERROR(__xludf.DUMMYFUNCTION("""COMPUTED_VALUE"""),"Tools")</f>
        <v>Tools</v>
      </c>
      <c r="K4186" s="6" t="str">
        <f>IFERROR(__xludf.DUMMYFUNCTION("""COMPUTED_VALUE"""),"SPR/09/26/010")</f>
        <v>SPR/09/26/010</v>
      </c>
      <c r="L4186" s="6"/>
    </row>
    <row r="4187">
      <c r="A4187" s="6" t="str">
        <f>IFERROR(__xludf.DUMMYFUNCTION("""COMPUTED_VALUE"""),"ROS")</f>
        <v>ROS</v>
      </c>
      <c r="B4187" s="6" t="str">
        <f>IFERROR(__xludf.DUMMYFUNCTION("""COMPUTED_VALUE"""),"ENG")</f>
        <v>ENG</v>
      </c>
      <c r="C4187" s="6" t="str">
        <f>IFERROR(__xludf.DUMMYFUNCTION("""COMPUTED_VALUE"""),"Q-70148-00")</f>
        <v>Q-70148-00</v>
      </c>
      <c r="D4187" s="6" t="str">
        <f>IFERROR(__xludf.DUMMYFUNCTION("""COMPUTED_VALUE"""),"Kunci L Bintang / Tamper Torx Key; Tekiro; HK-TA1206; 9 pc/set")</f>
        <v>Kunci L Bintang / Tamper Torx Key; Tekiro; HK-TA1206; 9 pc/set</v>
      </c>
      <c r="E4187" s="6">
        <f>IFERROR(__xludf.DUMMYFUNCTION("""COMPUTED_VALUE"""),1.0)</f>
        <v>1</v>
      </c>
      <c r="F4187" s="6">
        <f>IFERROR(__xludf.DUMMYFUNCTION("""COMPUTED_VALUE"""),1.0)</f>
        <v>1</v>
      </c>
      <c r="G4187" s="6">
        <f>IFERROR(__xludf.DUMMYFUNCTION("""COMPUTED_VALUE"""),0.0)</f>
        <v>0</v>
      </c>
      <c r="H4187" s="6" t="str">
        <f>IFERROR(__xludf.DUMMYFUNCTION("""COMPUTED_VALUE"""),"Pcs")</f>
        <v>Pcs</v>
      </c>
      <c r="I4187" s="6" t="str">
        <f>IFERROR(__xludf.DUMMYFUNCTION("""COMPUTED_VALUE"""),"MFH")</f>
        <v>MFH</v>
      </c>
      <c r="J4187" s="6" t="str">
        <f>IFERROR(__xludf.DUMMYFUNCTION("""COMPUTED_VALUE"""),"Tools")</f>
        <v>Tools</v>
      </c>
      <c r="K4187" s="6" t="str">
        <f>IFERROR(__xludf.DUMMYFUNCTION("""COMPUTED_VALUE"""),"SPR/09/26/010")</f>
        <v>SPR/09/26/010</v>
      </c>
      <c r="L4187" s="6"/>
    </row>
    <row r="4188">
      <c r="A4188" s="6" t="str">
        <f>IFERROR(__xludf.DUMMYFUNCTION("""COMPUTED_VALUE"""),"ROS")</f>
        <v>ROS</v>
      </c>
      <c r="B4188" s="6" t="str">
        <f>IFERROR(__xludf.DUMMYFUNCTION("""COMPUTED_VALUE"""),"ENG")</f>
        <v>ENG</v>
      </c>
      <c r="C4188" s="6" t="str">
        <f>IFERROR(__xludf.DUMMYFUNCTION("""COMPUTED_VALUE"""),"Q-70176-00")</f>
        <v>Q-70176-00</v>
      </c>
      <c r="D4188" s="6" t="str">
        <f>IFERROR(__xludf.DUMMYFUNCTION("""COMPUTED_VALUE"""),"Kunci Pas No 21 &amp; 23; Tekiro; WR-OE0086; pc")</f>
        <v>Kunci Pas No 21 &amp; 23; Tekiro; WR-OE0086; pc</v>
      </c>
      <c r="E4188" s="6">
        <f>IFERROR(__xludf.DUMMYFUNCTION("""COMPUTED_VALUE"""),1.0)</f>
        <v>1</v>
      </c>
      <c r="F4188" s="6">
        <f>IFERROR(__xludf.DUMMYFUNCTION("""COMPUTED_VALUE"""),1.0)</f>
        <v>1</v>
      </c>
      <c r="G4188" s="6">
        <f>IFERROR(__xludf.DUMMYFUNCTION("""COMPUTED_VALUE"""),0.0)</f>
        <v>0</v>
      </c>
      <c r="H4188" s="6" t="str">
        <f>IFERROR(__xludf.DUMMYFUNCTION("""COMPUTED_VALUE"""),"Pcs")</f>
        <v>Pcs</v>
      </c>
      <c r="I4188" s="6" t="str">
        <f>IFERROR(__xludf.DUMMYFUNCTION("""COMPUTED_VALUE"""),"MFH")</f>
        <v>MFH</v>
      </c>
      <c r="J4188" s="6" t="str">
        <f>IFERROR(__xludf.DUMMYFUNCTION("""COMPUTED_VALUE"""),"Tools")</f>
        <v>Tools</v>
      </c>
      <c r="K4188" s="6" t="str">
        <f>IFERROR(__xludf.DUMMYFUNCTION("""COMPUTED_VALUE"""),"SPR/09/26/011")</f>
        <v>SPR/09/26/011</v>
      </c>
      <c r="L4188" s="6"/>
    </row>
    <row r="4189">
      <c r="A4189" s="6" t="str">
        <f>IFERROR(__xludf.DUMMYFUNCTION("""COMPUTED_VALUE"""),"ROS")</f>
        <v>ROS</v>
      </c>
      <c r="B4189" s="6" t="str">
        <f>IFERROR(__xludf.DUMMYFUNCTION("""COMPUTED_VALUE"""),"ENG")</f>
        <v>ENG</v>
      </c>
      <c r="C4189" s="6" t="str">
        <f>IFERROR(__xludf.DUMMYFUNCTION("""COMPUTED_VALUE"""),"O-16033-00")</f>
        <v>O-16033-00</v>
      </c>
      <c r="D4189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4189" s="6">
        <f>IFERROR(__xludf.DUMMYFUNCTION("""COMPUTED_VALUE"""),1.0)</f>
        <v>1</v>
      </c>
      <c r="F4189" s="6">
        <f>IFERROR(__xludf.DUMMYFUNCTION("""COMPUTED_VALUE"""),1.0)</f>
        <v>1</v>
      </c>
      <c r="G4189" s="6">
        <f>IFERROR(__xludf.DUMMYFUNCTION("""COMPUTED_VALUE"""),0.0)</f>
        <v>0</v>
      </c>
      <c r="H4189" s="6" t="str">
        <f>IFERROR(__xludf.DUMMYFUNCTION("""COMPUTED_VALUE"""),"Pcs")</f>
        <v>Pcs</v>
      </c>
      <c r="I4189" s="6" t="str">
        <f>IFERROR(__xludf.DUMMYFUNCTION("""COMPUTED_VALUE"""),"MFH")</f>
        <v>MFH</v>
      </c>
      <c r="J4189" s="6" t="str">
        <f>IFERROR(__xludf.DUMMYFUNCTION("""COMPUTED_VALUE"""),"cRABS")</f>
        <v>cRABS</v>
      </c>
      <c r="K4189" s="6" t="str">
        <f>IFERROR(__xludf.DUMMYFUNCTION("""COMPUTED_VALUE"""),"SPR/09/26/012")</f>
        <v>SPR/09/26/012</v>
      </c>
      <c r="L4189" s="6"/>
    </row>
    <row r="4190">
      <c r="A4190" s="6" t="str">
        <f>IFERROR(__xludf.DUMMYFUNCTION("""COMPUTED_VALUE"""),"ROS")</f>
        <v>ROS</v>
      </c>
      <c r="B4190" s="6" t="str">
        <f>IFERROR(__xludf.DUMMYFUNCTION("""COMPUTED_VALUE"""),"ENG")</f>
        <v>ENG</v>
      </c>
      <c r="C4190" s="6" t="str">
        <f>IFERROR(__xludf.DUMMYFUNCTION("""COMPUTED_VALUE"""),"O-16032-00")</f>
        <v>O-16032-00</v>
      </c>
      <c r="D4190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190" s="6">
        <f>IFERROR(__xludf.DUMMYFUNCTION("""COMPUTED_VALUE"""),1.0)</f>
        <v>1</v>
      </c>
      <c r="F4190" s="6">
        <f>IFERROR(__xludf.DUMMYFUNCTION("""COMPUTED_VALUE"""),1.0)</f>
        <v>1</v>
      </c>
      <c r="G4190" s="6">
        <f>IFERROR(__xludf.DUMMYFUNCTION("""COMPUTED_VALUE"""),0.0)</f>
        <v>0</v>
      </c>
      <c r="H4190" s="6" t="str">
        <f>IFERROR(__xludf.DUMMYFUNCTION("""COMPUTED_VALUE"""),"Pcs")</f>
        <v>Pcs</v>
      </c>
      <c r="I4190" s="6" t="str">
        <f>IFERROR(__xludf.DUMMYFUNCTION("""COMPUTED_VALUE"""),"MFH")</f>
        <v>MFH</v>
      </c>
      <c r="J4190" s="6" t="str">
        <f>IFERROR(__xludf.DUMMYFUNCTION("""COMPUTED_VALUE"""),"cRABS")</f>
        <v>cRABS</v>
      </c>
      <c r="K4190" s="6" t="str">
        <f>IFERROR(__xludf.DUMMYFUNCTION("""COMPUTED_VALUE"""),"SPR/09/26/012")</f>
        <v>SPR/09/26/012</v>
      </c>
      <c r="L4190" s="6"/>
    </row>
    <row r="4191">
      <c r="A4191" s="6" t="str">
        <f>IFERROR(__xludf.DUMMYFUNCTION("""COMPUTED_VALUE"""),"NDS")</f>
        <v>NDS</v>
      </c>
      <c r="B4191" s="6" t="str">
        <f>IFERROR(__xludf.DUMMYFUNCTION("""COMPUTED_VALUE"""),"ENG")</f>
        <v>ENG</v>
      </c>
      <c r="C4191" s="6" t="str">
        <f>IFERROR(__xludf.DUMMYFUNCTION("""COMPUTED_VALUE"""),"P-16474-00")</f>
        <v>P-16474-00</v>
      </c>
      <c r="D4191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E4191" s="6">
        <f>IFERROR(__xludf.DUMMYFUNCTION("""COMPUTED_VALUE"""),1.0)</f>
        <v>1</v>
      </c>
      <c r="F4191" s="6">
        <f>IFERROR(__xludf.DUMMYFUNCTION("""COMPUTED_VALUE"""),1.0)</f>
        <v>1</v>
      </c>
      <c r="G4191" s="6">
        <f>IFERROR(__xludf.DUMMYFUNCTION("""COMPUTED_VALUE"""),0.0)</f>
        <v>0</v>
      </c>
      <c r="H4191" s="6" t="str">
        <f>IFERROR(__xludf.DUMMYFUNCTION("""COMPUTED_VALUE"""),"Pcs")</f>
        <v>Pcs</v>
      </c>
      <c r="I4191" s="6" t="str">
        <f>IFERROR(__xludf.DUMMYFUNCTION("""COMPUTED_VALUE"""),"MFH")</f>
        <v>MFH</v>
      </c>
      <c r="J4191" s="6" t="str">
        <f>IFERROR(__xludf.DUMMYFUNCTION("""COMPUTED_VALUE"""),"FIlling")</f>
        <v>FIlling</v>
      </c>
      <c r="K4191" s="6" t="str">
        <f>IFERROR(__xludf.DUMMYFUNCTION("""COMPUTED_VALUE"""),"SPR/09/26/013")</f>
        <v>SPR/09/26/013</v>
      </c>
      <c r="L4191" s="6"/>
    </row>
    <row r="4192">
      <c r="A4192" s="6" t="str">
        <f>IFERROR(__xludf.DUMMYFUNCTION("""COMPUTED_VALUE"""),"ROS")</f>
        <v>ROS</v>
      </c>
      <c r="B4192" s="6" t="str">
        <f>IFERROR(__xludf.DUMMYFUNCTION("""COMPUTED_VALUE"""),"ENG")</f>
        <v>ENG</v>
      </c>
      <c r="C4192" s="6" t="str">
        <f>IFERROR(__xludf.DUMMYFUNCTION("""COMPUTED_VALUE"""),"O-19430-00")</f>
        <v>O-19430-00</v>
      </c>
      <c r="D4192" s="6" t="str">
        <f>IFERROR(__xludf.DUMMYFUNCTION("""COMPUTED_VALUE"""),"Baut SS L M5 x 20 mm + Mur + Ring; ; ;; ; ;; ; ;")</f>
        <v>Baut SS L M5 x 20 mm + Mur + Ring; ; ;; ; ;; ; ;</v>
      </c>
      <c r="E4192" s="6">
        <f>IFERROR(__xludf.DUMMYFUNCTION("""COMPUTED_VALUE"""),5.0)</f>
        <v>5</v>
      </c>
      <c r="F4192" s="6">
        <f>IFERROR(__xludf.DUMMYFUNCTION("""COMPUTED_VALUE"""),5.0)</f>
        <v>5</v>
      </c>
      <c r="G4192" s="6">
        <f>IFERROR(__xludf.DUMMYFUNCTION("""COMPUTED_VALUE"""),0.0)</f>
        <v>0</v>
      </c>
      <c r="H4192" s="6" t="str">
        <f>IFERROR(__xludf.DUMMYFUNCTION("""COMPUTED_VALUE"""),"Pcs")</f>
        <v>Pcs</v>
      </c>
      <c r="I4192" s="6" t="str">
        <f>IFERROR(__xludf.DUMMYFUNCTION("""COMPUTED_VALUE"""),"MFH")</f>
        <v>MFH</v>
      </c>
      <c r="J4192" s="6" t="str">
        <f>IFERROR(__xludf.DUMMYFUNCTION("""COMPUTED_VALUE"""),"FIlling")</f>
        <v>FIlling</v>
      </c>
      <c r="K4192" s="6" t="str">
        <f>IFERROR(__xludf.DUMMYFUNCTION("""COMPUTED_VALUE"""),"SPR/09/26/014")</f>
        <v>SPR/09/26/014</v>
      </c>
      <c r="L4192" s="6"/>
    </row>
    <row r="4193">
      <c r="A4193" s="6" t="str">
        <f>IFERROR(__xludf.DUMMYFUNCTION("""COMPUTED_VALUE"""),"BDU")</f>
        <v>BDU</v>
      </c>
      <c r="B4193" s="6" t="str">
        <f>IFERROR(__xludf.DUMMYFUNCTION("""COMPUTED_VALUE"""),"ENG")</f>
        <v>ENG</v>
      </c>
      <c r="C4193" s="6" t="str">
        <f>IFERROR(__xludf.DUMMYFUNCTION("""COMPUTED_VALUE"""),"Q-60503-00")</f>
        <v>Q-60503-00</v>
      </c>
      <c r="D4193" s="6" t="str">
        <f>IFERROR(__xludf.DUMMYFUNCTION("""COMPUTED_VALUE"""),"Silicone Sealant, Silglaze, Type N10 Grey, pack size per pcs")</f>
        <v>Silicone Sealant, Silglaze, Type N10 Grey, pack size per pcs</v>
      </c>
      <c r="E4193" s="6">
        <f>IFERROR(__xludf.DUMMYFUNCTION("""COMPUTED_VALUE"""),1.0)</f>
        <v>1</v>
      </c>
      <c r="F4193" s="6">
        <f>IFERROR(__xludf.DUMMYFUNCTION("""COMPUTED_VALUE"""),1.0)</f>
        <v>1</v>
      </c>
      <c r="G4193" s="6">
        <f>IFERROR(__xludf.DUMMYFUNCTION("""COMPUTED_VALUE"""),0.0)</f>
        <v>0</v>
      </c>
      <c r="H4193" s="6" t="str">
        <f>IFERROR(__xludf.DUMMYFUNCTION("""COMPUTED_VALUE"""),"Pcs")</f>
        <v>Pcs</v>
      </c>
      <c r="I4193" s="6" t="str">
        <f>IFERROR(__xludf.DUMMYFUNCTION("""COMPUTED_VALUE"""),"MFH")</f>
        <v>MFH</v>
      </c>
      <c r="J4193" s="6" t="str">
        <f>IFERROR(__xludf.DUMMYFUNCTION("""COMPUTED_VALUE"""),"cRABS")</f>
        <v>cRABS</v>
      </c>
      <c r="K4193" s="6" t="str">
        <f>IFERROR(__xludf.DUMMYFUNCTION("""COMPUTED_VALUE"""),"SPR/09/26/015")</f>
        <v>SPR/09/26/015</v>
      </c>
      <c r="L4193" s="6"/>
    </row>
    <row r="4194">
      <c r="A4194" s="6" t="str">
        <f>IFERROR(__xludf.DUMMYFUNCTION("""COMPUTED_VALUE"""),"SFH")</f>
        <v>SFH</v>
      </c>
      <c r="B4194" s="6" t="str">
        <f>IFERROR(__xludf.DUMMYFUNCTION("""COMPUTED_VALUE"""),"ENG")</f>
        <v>ENG</v>
      </c>
      <c r="C4194" s="6" t="str">
        <f>IFERROR(__xludf.DUMMYFUNCTION("""COMPUTED_VALUE"""),"Q-60403-00")</f>
        <v>Q-60403-00</v>
      </c>
      <c r="D4194" s="6" t="str">
        <f>IFERROR(__xludf.DUMMYFUNCTION("""COMPUTED_VALUE"""),"Serat Fiber / Fiber Glass Matt; Aquaproof; ; 1 kg/pack")</f>
        <v>Serat Fiber / Fiber Glass Matt; Aquaproof; ; 1 kg/pack</v>
      </c>
      <c r="E4194" s="6">
        <f>IFERROR(__xludf.DUMMYFUNCTION("""COMPUTED_VALUE"""),2.0)</f>
        <v>2</v>
      </c>
      <c r="F4194" s="6">
        <f>IFERROR(__xludf.DUMMYFUNCTION("""COMPUTED_VALUE"""),2.0)</f>
        <v>2</v>
      </c>
      <c r="G4194" s="6">
        <f>IFERROR(__xludf.DUMMYFUNCTION("""COMPUTED_VALUE"""),0.0)</f>
        <v>0</v>
      </c>
      <c r="H4194" s="6" t="str">
        <f>IFERROR(__xludf.DUMMYFUNCTION("""COMPUTED_VALUE"""),"Pcs")</f>
        <v>Pcs</v>
      </c>
      <c r="I4194" s="6" t="str">
        <f>IFERROR(__xludf.DUMMYFUNCTION("""COMPUTED_VALUE"""),"MFH")</f>
        <v>MFH</v>
      </c>
      <c r="J4194" s="6" t="str">
        <f>IFERROR(__xludf.DUMMYFUNCTION("""COMPUTED_VALUE"""),"Building")</f>
        <v>Building</v>
      </c>
      <c r="K4194" s="6" t="str">
        <f>IFERROR(__xludf.DUMMYFUNCTION("""COMPUTED_VALUE"""),"SPR/09/26/016")</f>
        <v>SPR/09/26/016</v>
      </c>
      <c r="L4194" s="6"/>
    </row>
    <row r="4195">
      <c r="A4195" s="6" t="str">
        <f>IFERROR(__xludf.DUMMYFUNCTION("""COMPUTED_VALUE"""),"SFH")</f>
        <v>SFH</v>
      </c>
      <c r="B4195" s="6" t="str">
        <f>IFERROR(__xludf.DUMMYFUNCTION("""COMPUTED_VALUE"""),"ENG")</f>
        <v>ENG</v>
      </c>
      <c r="C4195" s="6" t="str">
        <f>IFERROR(__xludf.DUMMYFUNCTION("""COMPUTED_VALUE"""),"Q-60401-00")</f>
        <v>Q-60401-00</v>
      </c>
      <c r="D4195" s="6" t="str">
        <f>IFERROR(__xludf.DUMMYFUNCTION("""COMPUTED_VALUE"""),"Handle Pintu Bulat, Elbow Press Lock; Meroni; N13NE TB127;")</f>
        <v>Handle Pintu Bulat, Elbow Press Lock; Meroni; N13NE TB127;</v>
      </c>
      <c r="E4195" s="6">
        <f>IFERROR(__xludf.DUMMYFUNCTION("""COMPUTED_VALUE"""),1.0)</f>
        <v>1</v>
      </c>
      <c r="F4195" s="6">
        <f>IFERROR(__xludf.DUMMYFUNCTION("""COMPUTED_VALUE"""),1.0)</f>
        <v>1</v>
      </c>
      <c r="G4195" s="6">
        <f>IFERROR(__xludf.DUMMYFUNCTION("""COMPUTED_VALUE"""),0.0)</f>
        <v>0</v>
      </c>
      <c r="H4195" s="6" t="str">
        <f>IFERROR(__xludf.DUMMYFUNCTION("""COMPUTED_VALUE"""),"Pcs")</f>
        <v>Pcs</v>
      </c>
      <c r="I4195" s="6" t="str">
        <f>IFERROR(__xludf.DUMMYFUNCTION("""COMPUTED_VALUE"""),"MFH")</f>
        <v>MFH</v>
      </c>
      <c r="J4195" s="6" t="str">
        <f>IFERROR(__xludf.DUMMYFUNCTION("""COMPUTED_VALUE"""),"Building")</f>
        <v>Building</v>
      </c>
      <c r="K4195" s="6" t="str">
        <f>IFERROR(__xludf.DUMMYFUNCTION("""COMPUTED_VALUE"""),"SPR/09/26/016")</f>
        <v>SPR/09/26/016</v>
      </c>
      <c r="L4195" s="6"/>
    </row>
    <row r="4196">
      <c r="A4196" s="6" t="str">
        <f>IFERROR(__xludf.DUMMYFUNCTION("""COMPUTED_VALUE"""),"ROS")</f>
        <v>ROS</v>
      </c>
      <c r="B4196" s="6" t="str">
        <f>IFERROR(__xludf.DUMMYFUNCTION("""COMPUTED_VALUE"""),"ENG")</f>
        <v>ENG</v>
      </c>
      <c r="C4196" s="6" t="str">
        <f>IFERROR(__xludf.DUMMYFUNCTION("""COMPUTED_VALUE"""),"O-16980-00")</f>
        <v>O-16980-00</v>
      </c>
      <c r="D4196" s="6" t="str">
        <f>IFERROR(__xludf.DUMMYFUNCTION("""COMPUTED_VALUE"""),"Freeze Dryer MBE1207 - Diaphrapm DA040E2 M4 Saunders CIPTA SOLUSI ANDALAN, PT P/N : - pc")</f>
        <v>Freeze Dryer MBE1207 - Diaphrapm DA040E2 M4 Saunders CIPTA SOLUSI ANDALAN, PT P/N : - pc</v>
      </c>
      <c r="E4196" s="6">
        <f>IFERROR(__xludf.DUMMYFUNCTION("""COMPUTED_VALUE"""),10.0)</f>
        <v>10</v>
      </c>
      <c r="F4196" s="6">
        <f>IFERROR(__xludf.DUMMYFUNCTION("""COMPUTED_VALUE"""),10.0)</f>
        <v>10</v>
      </c>
      <c r="G4196" s="6">
        <f>IFERROR(__xludf.DUMMYFUNCTION("""COMPUTED_VALUE"""),0.0)</f>
        <v>0</v>
      </c>
      <c r="H4196" s="6" t="str">
        <f>IFERROR(__xludf.DUMMYFUNCTION("""COMPUTED_VALUE"""),"Pcs")</f>
        <v>Pcs</v>
      </c>
      <c r="I4196" s="6" t="str">
        <f>IFERROR(__xludf.DUMMYFUNCTION("""COMPUTED_VALUE"""),"MFH")</f>
        <v>MFH</v>
      </c>
      <c r="J4196" s="6" t="str">
        <f>IFERROR(__xludf.DUMMYFUNCTION("""COMPUTED_VALUE"""),"FD")</f>
        <v>FD</v>
      </c>
      <c r="K4196" s="6" t="str">
        <f>IFERROR(__xludf.DUMMYFUNCTION("""COMPUTED_VALUE"""),"SPR/09/26/017")</f>
        <v>SPR/09/26/017</v>
      </c>
      <c r="L4196" s="6"/>
    </row>
    <row r="4197">
      <c r="A4197" s="6" t="str">
        <f>IFERROR(__xludf.DUMMYFUNCTION("""COMPUTED_VALUE"""),"ROS")</f>
        <v>ROS</v>
      </c>
      <c r="B4197" s="6" t="str">
        <f>IFERROR(__xludf.DUMMYFUNCTION("""COMPUTED_VALUE"""),"ENG")</f>
        <v>ENG</v>
      </c>
      <c r="C4197" s="6" t="str">
        <f>IFERROR(__xludf.DUMMYFUNCTION("""COMPUTED_VALUE"""),"O-16981-00")</f>
        <v>O-16981-00</v>
      </c>
      <c r="D4197" s="6" t="str">
        <f>IFERROR(__xludf.DUMMYFUNCTION("""COMPUTED_VALUE"""),"Freeze Dryer MBE1207 - Diaphrapm DA025E2 M4 Saunders CIPTA SOLUSI ANDALAN, PT P/N : - pc")</f>
        <v>Freeze Dryer MBE1207 - Diaphrapm DA025E2 M4 Saunders CIPTA SOLUSI ANDALAN, PT P/N : - pc</v>
      </c>
      <c r="E4197" s="6">
        <f>IFERROR(__xludf.DUMMYFUNCTION("""COMPUTED_VALUE"""),6.0)</f>
        <v>6</v>
      </c>
      <c r="F4197" s="6">
        <f>IFERROR(__xludf.DUMMYFUNCTION("""COMPUTED_VALUE"""),6.0)</f>
        <v>6</v>
      </c>
      <c r="G4197" s="6">
        <f>IFERROR(__xludf.DUMMYFUNCTION("""COMPUTED_VALUE"""),0.0)</f>
        <v>0</v>
      </c>
      <c r="H4197" s="6" t="str">
        <f>IFERROR(__xludf.DUMMYFUNCTION("""COMPUTED_VALUE"""),"Pcs")</f>
        <v>Pcs</v>
      </c>
      <c r="I4197" s="6" t="str">
        <f>IFERROR(__xludf.DUMMYFUNCTION("""COMPUTED_VALUE"""),"MFH")</f>
        <v>MFH</v>
      </c>
      <c r="J4197" s="6" t="str">
        <f>IFERROR(__xludf.DUMMYFUNCTION("""COMPUTED_VALUE"""),"FD")</f>
        <v>FD</v>
      </c>
      <c r="K4197" s="6" t="str">
        <f>IFERROR(__xludf.DUMMYFUNCTION("""COMPUTED_VALUE"""),"SPR/09/26/017")</f>
        <v>SPR/09/26/017</v>
      </c>
      <c r="L4197" s="6"/>
    </row>
    <row r="4198">
      <c r="A4198" s="6" t="str">
        <f>IFERROR(__xludf.DUMMYFUNCTION("""COMPUTED_VALUE"""),"ROS")</f>
        <v>ROS</v>
      </c>
      <c r="B4198" s="6" t="str">
        <f>IFERROR(__xludf.DUMMYFUNCTION("""COMPUTED_VALUE"""),"ENG")</f>
        <v>ENG</v>
      </c>
      <c r="C4198" s="6" t="str">
        <f>IFERROR(__xludf.DUMMYFUNCTION("""COMPUTED_VALUE"""),"O-20496-00")</f>
        <v>O-20496-00</v>
      </c>
      <c r="D4198" s="6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E4198" s="6">
        <f>IFERROR(__xludf.DUMMYFUNCTION("""COMPUTED_VALUE"""),1.0)</f>
        <v>1</v>
      </c>
      <c r="F4198" s="6">
        <f>IFERROR(__xludf.DUMMYFUNCTION("""COMPUTED_VALUE"""),1.0)</f>
        <v>1</v>
      </c>
      <c r="G4198" s="6">
        <f>IFERROR(__xludf.DUMMYFUNCTION("""COMPUTED_VALUE"""),0.0)</f>
        <v>0</v>
      </c>
      <c r="H4198" s="6" t="str">
        <f>IFERROR(__xludf.DUMMYFUNCTION("""COMPUTED_VALUE"""),"Pcs")</f>
        <v>Pcs</v>
      </c>
      <c r="I4198" s="6" t="str">
        <f>IFERROR(__xludf.DUMMYFUNCTION("""COMPUTED_VALUE"""),"MFH")</f>
        <v>MFH</v>
      </c>
      <c r="J4198" s="6" t="str">
        <f>IFERROR(__xludf.DUMMYFUNCTION("""COMPUTED_VALUE"""),"FD")</f>
        <v>FD</v>
      </c>
      <c r="K4198" s="6" t="str">
        <f>IFERROR(__xludf.DUMMYFUNCTION("""COMPUTED_VALUE"""),"SPR/09/26/017")</f>
        <v>SPR/09/26/017</v>
      </c>
      <c r="L4198" s="6"/>
    </row>
    <row r="4199">
      <c r="A4199" s="6" t="str">
        <f>IFERROR(__xludf.DUMMYFUNCTION("""COMPUTED_VALUE"""),"KFF")</f>
        <v>KFF</v>
      </c>
      <c r="B4199" s="6" t="str">
        <f>IFERROR(__xludf.DUMMYFUNCTION("""COMPUTED_VALUE"""),"ENG")</f>
        <v>ENG</v>
      </c>
      <c r="C4199" s="6" t="str">
        <f>IFERROR(__xludf.DUMMYFUNCTION("""COMPUTED_VALUE"""),"P-11819-00")</f>
        <v>P-11819-00</v>
      </c>
      <c r="D4199" s="6" t="str">
        <f>IFERROR(__xludf.DUMMYFUNCTION("""COMPUTED_VALUE"""),"Alumunium duct tape 2 inch")</f>
        <v>Alumunium duct tape 2 inch</v>
      </c>
      <c r="E4199" s="6">
        <f>IFERROR(__xludf.DUMMYFUNCTION("""COMPUTED_VALUE"""),1.0)</f>
        <v>1</v>
      </c>
      <c r="F4199" s="6">
        <f>IFERROR(__xludf.DUMMYFUNCTION("""COMPUTED_VALUE"""),1.0)</f>
        <v>1</v>
      </c>
      <c r="G4199" s="6">
        <f>IFERROR(__xludf.DUMMYFUNCTION("""COMPUTED_VALUE"""),0.0)</f>
        <v>0</v>
      </c>
      <c r="H4199" s="6" t="str">
        <f>IFERROR(__xludf.DUMMYFUNCTION("""COMPUTED_VALUE"""),"pcs")</f>
        <v>pcs</v>
      </c>
      <c r="I4199" s="6" t="str">
        <f>IFERROR(__xludf.DUMMYFUNCTION("""COMPUTED_VALUE"""),"MFH")</f>
        <v>MFH</v>
      </c>
      <c r="J4199" s="6" t="str">
        <f>IFERROR(__xludf.DUMMYFUNCTION("""COMPUTED_VALUE"""),"Buster")</f>
        <v>Buster</v>
      </c>
      <c r="K4199" s="6" t="str">
        <f>IFERROR(__xludf.DUMMYFUNCTION("""COMPUTED_VALUE"""),"SPR/09/26/018")</f>
        <v>SPR/09/26/018</v>
      </c>
      <c r="L4199" s="6"/>
    </row>
    <row r="4200">
      <c r="A4200" s="6" t="str">
        <f>IFERROR(__xludf.DUMMYFUNCTION("""COMPUTED_VALUE"""),"KFF")</f>
        <v>KFF</v>
      </c>
      <c r="B4200" s="6" t="str">
        <f>IFERROR(__xludf.DUMMYFUNCTION("""COMPUTED_VALUE"""),"ENG")</f>
        <v>ENG</v>
      </c>
      <c r="C4200" s="6" t="str">
        <f>IFERROR(__xludf.DUMMYFUNCTION("""COMPUTED_VALUE"""),"T-80109-00")</f>
        <v>T-80109-00</v>
      </c>
      <c r="D4200" s="6" t="str">
        <f>IFERROR(__xludf.DUMMYFUNCTION("""COMPUTED_VALUE"""),"Cellotape Kertas 1 inch warna Putih")</f>
        <v>Cellotape Kertas 1 inch warna Putih</v>
      </c>
      <c r="E4200" s="6">
        <f>IFERROR(__xludf.DUMMYFUNCTION("""COMPUTED_VALUE"""),2.0)</f>
        <v>2</v>
      </c>
      <c r="F4200" s="6">
        <f>IFERROR(__xludf.DUMMYFUNCTION("""COMPUTED_VALUE"""),2.0)</f>
        <v>2</v>
      </c>
      <c r="G4200" s="6">
        <f>IFERROR(__xludf.DUMMYFUNCTION("""COMPUTED_VALUE"""),0.0)</f>
        <v>0</v>
      </c>
      <c r="H4200" s="6" t="str">
        <f>IFERROR(__xludf.DUMMYFUNCTION("""COMPUTED_VALUE"""),"pcs")</f>
        <v>pcs</v>
      </c>
      <c r="I4200" s="6" t="str">
        <f>IFERROR(__xludf.DUMMYFUNCTION("""COMPUTED_VALUE"""),"MFH")</f>
        <v>MFH</v>
      </c>
      <c r="J4200" s="6" t="str">
        <f>IFERROR(__xludf.DUMMYFUNCTION("""COMPUTED_VALUE"""),"Fumehood")</f>
        <v>Fumehood</v>
      </c>
      <c r="K4200" s="6" t="str">
        <f>IFERROR(__xludf.DUMMYFUNCTION("""COMPUTED_VALUE"""),"SPR/09/26/018")</f>
        <v>SPR/09/26/018</v>
      </c>
      <c r="L4200" s="6"/>
    </row>
    <row r="4201">
      <c r="A4201" s="6" t="str">
        <f>IFERROR(__xludf.DUMMYFUNCTION("""COMPUTED_VALUE"""),"KFF")</f>
        <v>KFF</v>
      </c>
      <c r="B4201" s="6" t="str">
        <f>IFERROR(__xludf.DUMMYFUNCTION("""COMPUTED_VALUE"""),"ENG")</f>
        <v>ENG</v>
      </c>
      <c r="C4201" s="6" t="str">
        <f>IFERROR(__xludf.DUMMYFUNCTION("""COMPUTED_VALUE"""),"-")</f>
        <v>-</v>
      </c>
      <c r="D4201" s="6" t="str">
        <f>IFERROR(__xludf.DUMMYFUNCTION("""COMPUTED_VALUE"""),"Cat Semprot Refrigerator White Sapporo")</f>
        <v>Cat Semprot Refrigerator White Sapporo</v>
      </c>
      <c r="E4201" s="6">
        <f>IFERROR(__xludf.DUMMYFUNCTION("""COMPUTED_VALUE"""),1.0)</f>
        <v>1</v>
      </c>
      <c r="F4201" s="6">
        <f>IFERROR(__xludf.DUMMYFUNCTION("""COMPUTED_VALUE"""),1.0)</f>
        <v>1</v>
      </c>
      <c r="G4201" s="6">
        <f>IFERROR(__xludf.DUMMYFUNCTION("""COMPUTED_VALUE"""),0.0)</f>
        <v>0</v>
      </c>
      <c r="H4201" s="6" t="str">
        <f>IFERROR(__xludf.DUMMYFUNCTION("""COMPUTED_VALUE"""),"pcs")</f>
        <v>pcs</v>
      </c>
      <c r="I4201" s="6" t="str">
        <f>IFERROR(__xludf.DUMMYFUNCTION("""COMPUTED_VALUE"""),"MFH")</f>
        <v>MFH</v>
      </c>
      <c r="J4201" s="6" t="str">
        <f>IFERROR(__xludf.DUMMYFUNCTION("""COMPUTED_VALUE"""),"Fumehood")</f>
        <v>Fumehood</v>
      </c>
      <c r="K4201" s="6" t="str">
        <f>IFERROR(__xludf.DUMMYFUNCTION("""COMPUTED_VALUE"""),"SPR/09/26/018")</f>
        <v>SPR/09/26/018</v>
      </c>
      <c r="L4201" s="6"/>
    </row>
    <row r="4202">
      <c r="A4202" s="6" t="str">
        <f>IFERROR(__xludf.DUMMYFUNCTION("""COMPUTED_VALUE"""),"WAP")</f>
        <v>WAP</v>
      </c>
      <c r="B4202" s="6" t="str">
        <f>IFERROR(__xludf.DUMMYFUNCTION("""COMPUTED_VALUE"""),"ENG")</f>
        <v>ENG</v>
      </c>
      <c r="C4202" s="6" t="str">
        <f>IFERROR(__xludf.DUMMYFUNCTION("""COMPUTED_VALUE"""),"P-14245-00")</f>
        <v>P-14245-00</v>
      </c>
      <c r="D4202" s="6" t="str">
        <f>IFERROR(__xludf.DUMMYFUNCTION("""COMPUTED_VALUE"""),"General - Shut-off Valve, HE-2-QS-8; Festo; 153468; 1 pcs")</f>
        <v>General - Shut-off Valve, HE-2-QS-8; Festo; 153468; 1 pcs</v>
      </c>
      <c r="E4202" s="6">
        <f>IFERROR(__xludf.DUMMYFUNCTION("""COMPUTED_VALUE"""),1.0)</f>
        <v>1</v>
      </c>
      <c r="F4202" s="6">
        <f>IFERROR(__xludf.DUMMYFUNCTION("""COMPUTED_VALUE"""),1.0)</f>
        <v>1</v>
      </c>
      <c r="G4202" s="6">
        <f>IFERROR(__xludf.DUMMYFUNCTION("""COMPUTED_VALUE"""),0.0)</f>
        <v>0</v>
      </c>
      <c r="H4202" s="6" t="str">
        <f>IFERROR(__xludf.DUMMYFUNCTION("""COMPUTED_VALUE"""),"Pcs")</f>
        <v>Pcs</v>
      </c>
      <c r="I4202" s="6" t="str">
        <f>IFERROR(__xludf.DUMMYFUNCTION("""COMPUTED_VALUE"""),"MFH")</f>
        <v>MFH</v>
      </c>
      <c r="J4202" s="6" t="str">
        <f>IFERROR(__xludf.DUMMYFUNCTION("""COMPUTED_VALUE"""),"-")</f>
        <v>-</v>
      </c>
      <c r="K4202" s="6" t="str">
        <f>IFERROR(__xludf.DUMMYFUNCTION("""COMPUTED_VALUE"""),"SPR/09/26/019")</f>
        <v>SPR/09/26/019</v>
      </c>
      <c r="L4202" s="6"/>
    </row>
    <row r="4203">
      <c r="A4203" s="6" t="str">
        <f>IFERROR(__xludf.DUMMYFUNCTION("""COMPUTED_VALUE"""),"NDS")</f>
        <v>NDS</v>
      </c>
      <c r="B4203" s="6" t="str">
        <f>IFERROR(__xludf.DUMMYFUNCTION("""COMPUTED_VALUE"""),"ENG")</f>
        <v>ENG</v>
      </c>
      <c r="C4203" s="6" t="str">
        <f>IFERROR(__xludf.DUMMYFUNCTION("""COMPUTED_VALUE"""),"O-16033-00")</f>
        <v>O-16033-00</v>
      </c>
      <c r="D4203" s="6" t="str">
        <f>IFERROR(__xludf.DUMMYFUNCTION("""COMPUTED_VALUE"""),"Isolator Gloves E10330 Y 7 E4 4; 000156; Material : CSM; Shape : E10; Size : 7; Thickness (mm) : 4/1; ; ;")</f>
        <v>Isolator Gloves E10330 Y 7 E4 4; 000156; Material : CSM; Shape : E10; Size : 7; Thickness (mm) : 4/1; ; ;</v>
      </c>
      <c r="E4203" s="6">
        <f>IFERROR(__xludf.DUMMYFUNCTION("""COMPUTED_VALUE"""),1.0)</f>
        <v>1</v>
      </c>
      <c r="F4203" s="6">
        <f>IFERROR(__xludf.DUMMYFUNCTION("""COMPUTED_VALUE"""),1.0)</f>
        <v>1</v>
      </c>
      <c r="G4203" s="6">
        <f>IFERROR(__xludf.DUMMYFUNCTION("""COMPUTED_VALUE"""),0.0)</f>
        <v>0</v>
      </c>
      <c r="H4203" s="6" t="str">
        <f>IFERROR(__xludf.DUMMYFUNCTION("""COMPUTED_VALUE"""),"Pcs")</f>
        <v>Pcs</v>
      </c>
      <c r="I4203" s="6" t="str">
        <f>IFERROR(__xludf.DUMMYFUNCTION("""COMPUTED_VALUE"""),"MFH")</f>
        <v>MFH</v>
      </c>
      <c r="J4203" s="6" t="str">
        <f>IFERROR(__xludf.DUMMYFUNCTION("""COMPUTED_VALUE"""),"cRABS")</f>
        <v>cRABS</v>
      </c>
      <c r="K4203" s="6" t="str">
        <f>IFERROR(__xludf.DUMMYFUNCTION("""COMPUTED_VALUE"""),"SPR/09/26/020")</f>
        <v>SPR/09/26/020</v>
      </c>
      <c r="L4203" s="6"/>
    </row>
    <row r="4204">
      <c r="A4204" s="6" t="str">
        <f>IFERROR(__xludf.DUMMYFUNCTION("""COMPUTED_VALUE"""),"SFH")</f>
        <v>SFH</v>
      </c>
      <c r="B4204" s="6" t="str">
        <f>IFERROR(__xludf.DUMMYFUNCTION("""COMPUTED_VALUE"""),"ENG")</f>
        <v>ENG</v>
      </c>
      <c r="C4204" s="6" t="str">
        <f>IFERROR(__xludf.DUMMYFUNCTION("""COMPUTED_VALUE"""),"P-52254-00")</f>
        <v>P-52254-00</v>
      </c>
      <c r="D4204" s="6" t="str">
        <f>IFERROR(__xludf.DUMMYFUNCTION("""COMPUTED_VALUE"""),"General - Capacitor, 40 mF, 400/450 VAC; No Brand; -; 1 pcs")</f>
        <v>General - Capacitor, 40 mF, 400/450 VAC; No Brand; -; 1 pcs</v>
      </c>
      <c r="E4204" s="6">
        <f>IFERROR(__xludf.DUMMYFUNCTION("""COMPUTED_VALUE"""),1.0)</f>
        <v>1</v>
      </c>
      <c r="F4204" s="6">
        <f>IFERROR(__xludf.DUMMYFUNCTION("""COMPUTED_VALUE"""),1.0)</f>
        <v>1</v>
      </c>
      <c r="G4204" s="6">
        <f>IFERROR(__xludf.DUMMYFUNCTION("""COMPUTED_VALUE"""),0.0)</f>
        <v>0</v>
      </c>
      <c r="H4204" s="6" t="str">
        <f>IFERROR(__xludf.DUMMYFUNCTION("""COMPUTED_VALUE"""),"Pcs")</f>
        <v>Pcs</v>
      </c>
      <c r="I4204" s="6" t="str">
        <f>IFERROR(__xludf.DUMMYFUNCTION("""COMPUTED_VALUE"""),"MFH")</f>
        <v>MFH</v>
      </c>
      <c r="J4204" s="6" t="str">
        <f>IFERROR(__xludf.DUMMYFUNCTION("""COMPUTED_VALUE"""),"OSD")</f>
        <v>OSD</v>
      </c>
      <c r="K4204" s="6" t="str">
        <f>IFERROR(__xludf.DUMMYFUNCTION("""COMPUTED_VALUE"""),"SPR/09/26/021")</f>
        <v>SPR/09/26/021</v>
      </c>
      <c r="L4204" s="6"/>
    </row>
    <row r="4205">
      <c r="A4205" s="6" t="str">
        <f>IFERROR(__xludf.DUMMYFUNCTION("""COMPUTED_VALUE"""),"SFH")</f>
        <v>SFH</v>
      </c>
      <c r="B4205" s="6" t="str">
        <f>IFERROR(__xludf.DUMMYFUNCTION("""COMPUTED_VALUE"""),"ENG")</f>
        <v>ENG</v>
      </c>
      <c r="C4205" s="6" t="str">
        <f>IFERROR(__xludf.DUMMYFUNCTION("""COMPUTED_VALUE"""),"Q-10153-00")</f>
        <v>Q-10153-00</v>
      </c>
      <c r="D4205" s="6" t="str">
        <f>IFERROR(__xludf.DUMMYFUNCTION("""COMPUTED_VALUE"""),"Roller cat 110mm")</f>
        <v>Roller cat 110mm</v>
      </c>
      <c r="E4205" s="6">
        <f>IFERROR(__xludf.DUMMYFUNCTION("""COMPUTED_VALUE"""),2.0)</f>
        <v>2</v>
      </c>
      <c r="F4205" s="6">
        <f>IFERROR(__xludf.DUMMYFUNCTION("""COMPUTED_VALUE"""),2.0)</f>
        <v>2</v>
      </c>
      <c r="G4205" s="6">
        <f>IFERROR(__xludf.DUMMYFUNCTION("""COMPUTED_VALUE"""),0.0)</f>
        <v>0</v>
      </c>
      <c r="H4205" s="6" t="str">
        <f>IFERROR(__xludf.DUMMYFUNCTION("""COMPUTED_VALUE"""),"Pcs")</f>
        <v>Pcs</v>
      </c>
      <c r="I4205" s="6" t="str">
        <f>IFERROR(__xludf.DUMMYFUNCTION("""COMPUTED_VALUE"""),"MFH")</f>
        <v>MFH</v>
      </c>
      <c r="J4205" s="6" t="str">
        <f>IFERROR(__xludf.DUMMYFUNCTION("""COMPUTED_VALUE"""),"Building")</f>
        <v>Building</v>
      </c>
      <c r="K4205" s="6" t="str">
        <f>IFERROR(__xludf.DUMMYFUNCTION("""COMPUTED_VALUE"""),"SPR/09/26/021")</f>
        <v>SPR/09/26/021</v>
      </c>
      <c r="L4205" s="6"/>
    </row>
    <row r="4206">
      <c r="A4206" s="6" t="str">
        <f>IFERROR(__xludf.DUMMYFUNCTION("""COMPUTED_VALUE"""),"SFH")</f>
        <v>SFH</v>
      </c>
      <c r="B4206" s="6" t="str">
        <f>IFERROR(__xludf.DUMMYFUNCTION("""COMPUTED_VALUE"""),"ENG")</f>
        <v>ENG</v>
      </c>
      <c r="C4206" s="6" t="str">
        <f>IFERROR(__xludf.DUMMYFUNCTION("""COMPUTED_VALUE"""),"Q-10331-00")</f>
        <v>Q-10331-00</v>
      </c>
      <c r="D4206" s="6" t="str">
        <f>IFERROR(__xludf.DUMMYFUNCTION("""COMPUTED_VALUE"""),"Cat F-Talit Hella Grey KF-611 Netto : 1 kg")</f>
        <v>Cat F-Talit Hella Grey KF-611 Netto : 1 kg</v>
      </c>
      <c r="E4206" s="6">
        <f>IFERROR(__xludf.DUMMYFUNCTION("""COMPUTED_VALUE"""),1.0)</f>
        <v>1</v>
      </c>
      <c r="F4206" s="6">
        <f>IFERROR(__xludf.DUMMYFUNCTION("""COMPUTED_VALUE"""),1.0)</f>
        <v>1</v>
      </c>
      <c r="G4206" s="6">
        <f>IFERROR(__xludf.DUMMYFUNCTION("""COMPUTED_VALUE"""),0.0)</f>
        <v>0</v>
      </c>
      <c r="H4206" s="6" t="str">
        <f>IFERROR(__xludf.DUMMYFUNCTION("""COMPUTED_VALUE"""),"Pcs")</f>
        <v>Pcs</v>
      </c>
      <c r="I4206" s="6" t="str">
        <f>IFERROR(__xludf.DUMMYFUNCTION("""COMPUTED_VALUE"""),"MFH")</f>
        <v>MFH</v>
      </c>
      <c r="J4206" s="6" t="str">
        <f>IFERROR(__xludf.DUMMYFUNCTION("""COMPUTED_VALUE"""),"Building")</f>
        <v>Building</v>
      </c>
      <c r="K4206" s="6" t="str">
        <f>IFERROR(__xludf.DUMMYFUNCTION("""COMPUTED_VALUE"""),"SPR/09/26/022")</f>
        <v>SPR/09/26/022</v>
      </c>
      <c r="L4206" s="6"/>
    </row>
    <row r="4207">
      <c r="A4207" s="6" t="str">
        <f>IFERROR(__xludf.DUMMYFUNCTION("""COMPUTED_VALUE"""),"SFH")</f>
        <v>SFH</v>
      </c>
      <c r="B4207" s="6" t="str">
        <f>IFERROR(__xludf.DUMMYFUNCTION("""COMPUTED_VALUE"""),"ENG")</f>
        <v>ENG</v>
      </c>
      <c r="C4207" s="6" t="str">
        <f>IFERROR(__xludf.DUMMYFUNCTION("""COMPUTED_VALUE"""),"Q-10064-00")</f>
        <v>Q-10064-00</v>
      </c>
      <c r="D4207" s="6" t="str">
        <f>IFERROR(__xludf.DUMMYFUNCTION("""COMPUTED_VALUE"""),"Cat Ftalit 113 Primrose @1kg")</f>
        <v>Cat Ftalit 113 Primrose @1kg</v>
      </c>
      <c r="E4207" s="6">
        <f>IFERROR(__xludf.DUMMYFUNCTION("""COMPUTED_VALUE"""),1.0)</f>
        <v>1</v>
      </c>
      <c r="F4207" s="6">
        <f>IFERROR(__xludf.DUMMYFUNCTION("""COMPUTED_VALUE"""),1.0)</f>
        <v>1</v>
      </c>
      <c r="G4207" s="6">
        <f>IFERROR(__xludf.DUMMYFUNCTION("""COMPUTED_VALUE"""),0.0)</f>
        <v>0</v>
      </c>
      <c r="H4207" s="6" t="str">
        <f>IFERROR(__xludf.DUMMYFUNCTION("""COMPUTED_VALUE"""),"Pcs")</f>
        <v>Pcs</v>
      </c>
      <c r="I4207" s="6" t="str">
        <f>IFERROR(__xludf.DUMMYFUNCTION("""COMPUTED_VALUE"""),"MFH")</f>
        <v>MFH</v>
      </c>
      <c r="J4207" s="6" t="str">
        <f>IFERROR(__xludf.DUMMYFUNCTION("""COMPUTED_VALUE"""),"Building")</f>
        <v>Building</v>
      </c>
      <c r="K4207" s="6" t="str">
        <f>IFERROR(__xludf.DUMMYFUNCTION("""COMPUTED_VALUE"""),"SPR/09/26/022")</f>
        <v>SPR/09/26/022</v>
      </c>
      <c r="L4207" s="6"/>
    </row>
    <row r="4208">
      <c r="A4208" s="6" t="str">
        <f>IFERROR(__xludf.DUMMYFUNCTION("""COMPUTED_VALUE"""),"SFH")</f>
        <v>SFH</v>
      </c>
      <c r="B4208" s="6" t="str">
        <f>IFERROR(__xludf.DUMMYFUNCTION("""COMPUTED_VALUE"""),"ENG")</f>
        <v>ENG</v>
      </c>
      <c r="C4208" s="6" t="str">
        <f>IFERROR(__xludf.DUMMYFUNCTION("""COMPUTED_VALUE"""),"Q-10460-00")</f>
        <v>Q-10460-00</v>
      </c>
      <c r="D4208" s="6" t="str">
        <f>IFERROR(__xludf.DUMMYFUNCTION("""COMPUTED_VALUE"""),"Magnetic door stopper; Dekson; Part No. MDS 889 SN;")</f>
        <v>Magnetic door stopper; Dekson; Part No. MDS 889 SN;</v>
      </c>
      <c r="E4208" s="6">
        <f>IFERROR(__xludf.DUMMYFUNCTION("""COMPUTED_VALUE"""),1.0)</f>
        <v>1</v>
      </c>
      <c r="F4208" s="6">
        <f>IFERROR(__xludf.DUMMYFUNCTION("""COMPUTED_VALUE"""),1.0)</f>
        <v>1</v>
      </c>
      <c r="G4208" s="6">
        <f>IFERROR(__xludf.DUMMYFUNCTION("""COMPUTED_VALUE"""),0.0)</f>
        <v>0</v>
      </c>
      <c r="H4208" s="6" t="str">
        <f>IFERROR(__xludf.DUMMYFUNCTION("""COMPUTED_VALUE"""),"Pcs")</f>
        <v>Pcs</v>
      </c>
      <c r="I4208" s="6" t="str">
        <f>IFERROR(__xludf.DUMMYFUNCTION("""COMPUTED_VALUE"""),"MFH")</f>
        <v>MFH</v>
      </c>
      <c r="J4208" s="6" t="str">
        <f>IFERROR(__xludf.DUMMYFUNCTION("""COMPUTED_VALUE"""),"Building")</f>
        <v>Building</v>
      </c>
      <c r="K4208" s="6" t="str">
        <f>IFERROR(__xludf.DUMMYFUNCTION("""COMPUTED_VALUE"""),"SPR/09/26/022")</f>
        <v>SPR/09/26/022</v>
      </c>
      <c r="L4208" s="6"/>
    </row>
    <row r="4209">
      <c r="A4209" s="6" t="str">
        <f>IFERROR(__xludf.DUMMYFUNCTION("""COMPUTED_VALUE"""),"SFH")</f>
        <v>SFH</v>
      </c>
      <c r="B4209" s="6" t="str">
        <f>IFERROR(__xludf.DUMMYFUNCTION("""COMPUTED_VALUE"""),"ENG")</f>
        <v>ENG</v>
      </c>
      <c r="C4209" s="6" t="str">
        <f>IFERROR(__xludf.DUMMYFUNCTION("""COMPUTED_VALUE"""),"P-51302-00")</f>
        <v>P-51302-00</v>
      </c>
      <c r="D4209" s="6" t="str">
        <f>IFERROR(__xludf.DUMMYFUNCTION("""COMPUTED_VALUE"""),"General - Timah Solder Dia. 1mm; No Brand; -; 1 Pc")</f>
        <v>General - Timah Solder Dia. 1mm; No Brand; -; 1 Pc</v>
      </c>
      <c r="E4209" s="6">
        <f>IFERROR(__xludf.DUMMYFUNCTION("""COMPUTED_VALUE"""),1.0)</f>
        <v>1</v>
      </c>
      <c r="F4209" s="6">
        <f>IFERROR(__xludf.DUMMYFUNCTION("""COMPUTED_VALUE"""),1.0)</f>
        <v>1</v>
      </c>
      <c r="G4209" s="6">
        <f>IFERROR(__xludf.DUMMYFUNCTION("""COMPUTED_VALUE"""),0.0)</f>
        <v>0</v>
      </c>
      <c r="H4209" s="6" t="str">
        <f>IFERROR(__xludf.DUMMYFUNCTION("""COMPUTED_VALUE"""),"Pcs")</f>
        <v>Pcs</v>
      </c>
      <c r="I4209" s="6" t="str">
        <f>IFERROR(__xludf.DUMMYFUNCTION("""COMPUTED_VALUE"""),"MFH")</f>
        <v>MFH</v>
      </c>
      <c r="J4209" s="6" t="str">
        <f>IFERROR(__xludf.DUMMYFUNCTION("""COMPUTED_VALUE"""),"-")</f>
        <v>-</v>
      </c>
      <c r="K4209" s="6" t="str">
        <f>IFERROR(__xludf.DUMMYFUNCTION("""COMPUTED_VALUE"""),"SPR/09/26/023")</f>
        <v>SPR/09/26/023</v>
      </c>
      <c r="L4209" s="6"/>
    </row>
    <row r="4210">
      <c r="A4210" s="6" t="str">
        <f>IFERROR(__xludf.DUMMYFUNCTION("""COMPUTED_VALUE"""),"WAP")</f>
        <v>WAP</v>
      </c>
      <c r="B4210" s="6" t="str">
        <f>IFERROR(__xludf.DUMMYFUNCTION("""COMPUTED_VALUE"""),"ENG")</f>
        <v>ENG</v>
      </c>
      <c r="C4210" s="6" t="str">
        <f>IFERROR(__xludf.DUMMYFUNCTION("""COMPUTED_VALUE"""),"P-19731-00")</f>
        <v>P-19731-00</v>
      </c>
      <c r="D4210" s="6" t="str">
        <f>IFERROR(__xludf.DUMMYFUNCTION("""COMPUTED_VALUE"""),"General - Solenoid Valve 1 inch SS 304, UWS-25-E2; EMC; -; 1 pc")</f>
        <v>General - Solenoid Valve 1 inch SS 304, UWS-25-E2; EMC; -; 1 pc</v>
      </c>
      <c r="E4210" s="6">
        <f>IFERROR(__xludf.DUMMYFUNCTION("""COMPUTED_VALUE"""),1.0)</f>
        <v>1</v>
      </c>
      <c r="F4210" s="6">
        <f>IFERROR(__xludf.DUMMYFUNCTION("""COMPUTED_VALUE"""),1.0)</f>
        <v>1</v>
      </c>
      <c r="G4210" s="6">
        <f>IFERROR(__xludf.DUMMYFUNCTION("""COMPUTED_VALUE"""),0.0)</f>
        <v>0</v>
      </c>
      <c r="H4210" s="6" t="str">
        <f>IFERROR(__xludf.DUMMYFUNCTION("""COMPUTED_VALUE"""),"Pcs")</f>
        <v>Pcs</v>
      </c>
      <c r="I4210" s="6" t="str">
        <f>IFERROR(__xludf.DUMMYFUNCTION("""COMPUTED_VALUE"""),"MFH")</f>
        <v>MFH</v>
      </c>
      <c r="J4210" s="6" t="str">
        <f>IFERROR(__xludf.DUMMYFUNCTION("""COMPUTED_VALUE"""),"WWTP")</f>
        <v>WWTP</v>
      </c>
      <c r="K4210" s="6" t="str">
        <f>IFERROR(__xludf.DUMMYFUNCTION("""COMPUTED_VALUE"""),"SPR/09/26/024")</f>
        <v>SPR/09/26/024</v>
      </c>
      <c r="L4210" s="6"/>
    </row>
    <row r="4211">
      <c r="A4211" s="6" t="str">
        <f>IFERROR(__xludf.DUMMYFUNCTION("""COMPUTED_VALUE"""),"WAP")</f>
        <v>WAP</v>
      </c>
      <c r="B4211" s="6" t="str">
        <f>IFERROR(__xludf.DUMMYFUNCTION("""COMPUTED_VALUE"""),"ENG")</f>
        <v>ENG</v>
      </c>
      <c r="C4211" s="6" t="str">
        <f>IFERROR(__xludf.DUMMYFUNCTION("""COMPUTED_VALUE"""),"P-19080-00")</f>
        <v>P-19080-00</v>
      </c>
      <c r="D4211" s="6" t="str">
        <f>IFERROR(__xludf.DUMMYFUNCTION("""COMPUTED_VALUE"""),"Cabel Tie Mount 30 x 30 mm; Sigma; ;")</f>
        <v>Cabel Tie Mount 30 x 30 mm; Sigma; ;</v>
      </c>
      <c r="E4211" s="6">
        <f>IFERROR(__xludf.DUMMYFUNCTION("""COMPUTED_VALUE"""),1.0)</f>
        <v>1</v>
      </c>
      <c r="F4211" s="6">
        <f>IFERROR(__xludf.DUMMYFUNCTION("""COMPUTED_VALUE"""),1.0)</f>
        <v>1</v>
      </c>
      <c r="G4211" s="6">
        <f>IFERROR(__xludf.DUMMYFUNCTION("""COMPUTED_VALUE"""),0.0)</f>
        <v>0</v>
      </c>
      <c r="H4211" s="6" t="str">
        <f>IFERROR(__xludf.DUMMYFUNCTION("""COMPUTED_VALUE"""),"pack")</f>
        <v>pack</v>
      </c>
      <c r="I4211" s="6" t="str">
        <f>IFERROR(__xludf.DUMMYFUNCTION("""COMPUTED_VALUE"""),"MFH")</f>
        <v>MFH</v>
      </c>
      <c r="J4211" s="6" t="str">
        <f>IFERROR(__xludf.DUMMYFUNCTION("""COMPUTED_VALUE"""),"Building")</f>
        <v>Building</v>
      </c>
      <c r="K4211" s="6" t="str">
        <f>IFERROR(__xludf.DUMMYFUNCTION("""COMPUTED_VALUE"""),"SPR/09/26/024")</f>
        <v>SPR/09/26/024</v>
      </c>
      <c r="L4211" s="6"/>
    </row>
    <row r="4212">
      <c r="A4212" s="6" t="str">
        <f>IFERROR(__xludf.DUMMYFUNCTION("""COMPUTED_VALUE"""),"MRN")</f>
        <v>MRN</v>
      </c>
      <c r="B4212" s="6" t="str">
        <f>IFERROR(__xludf.DUMMYFUNCTION("""COMPUTED_VALUE"""),"ENG")</f>
        <v>ENG</v>
      </c>
      <c r="C4212" s="6" t="str">
        <f>IFERROR(__xludf.DUMMYFUNCTION("""COMPUTED_VALUE"""),"P-15438-00")</f>
        <v>P-15438-00</v>
      </c>
      <c r="D4212" s="6" t="str">
        <f>IFERROR(__xludf.DUMMYFUNCTION("""COMPUTED_VALUE"""),"CABLE SPIRAL WRAPPING, TYPE KS12, BRAND KSS; ; ;")</f>
        <v>CABLE SPIRAL WRAPPING, TYPE KS12, BRAND KSS; ; ;</v>
      </c>
      <c r="E4212" s="6">
        <f>IFERROR(__xludf.DUMMYFUNCTION("""COMPUTED_VALUE"""),1.0)</f>
        <v>1</v>
      </c>
      <c r="F4212" s="6">
        <f>IFERROR(__xludf.DUMMYFUNCTION("""COMPUTED_VALUE"""),1.0)</f>
        <v>1</v>
      </c>
      <c r="G4212" s="6">
        <f>IFERROR(__xludf.DUMMYFUNCTION("""COMPUTED_VALUE"""),0.0)</f>
        <v>0</v>
      </c>
      <c r="H4212" s="6" t="str">
        <f>IFERROR(__xludf.DUMMYFUNCTION("""COMPUTED_VALUE"""),"Pck")</f>
        <v>Pck</v>
      </c>
      <c r="I4212" s="6" t="str">
        <f>IFERROR(__xludf.DUMMYFUNCTION("""COMPUTED_VALUE"""),"MFH")</f>
        <v>MFH</v>
      </c>
      <c r="J4212" s="6" t="str">
        <f>IFERROR(__xludf.DUMMYFUNCTION("""COMPUTED_VALUE"""),"-")</f>
        <v>-</v>
      </c>
      <c r="K4212" s="6" t="str">
        <f>IFERROR(__xludf.DUMMYFUNCTION("""COMPUTED_VALUE"""),"SPR/09/26/025")</f>
        <v>SPR/09/26/025</v>
      </c>
      <c r="L4212" s="6"/>
    </row>
    <row r="4213">
      <c r="A4213" s="6" t="str">
        <f>IFERROR(__xludf.DUMMYFUNCTION("""COMPUTED_VALUE"""),"WAP")</f>
        <v>WAP</v>
      </c>
      <c r="B4213" s="6" t="str">
        <f>IFERROR(__xludf.DUMMYFUNCTION("""COMPUTED_VALUE"""),"ENG")</f>
        <v>ENG</v>
      </c>
      <c r="C4213" s="6" t="str">
        <f>IFERROR(__xludf.DUMMYFUNCTION("""COMPUTED_VALUE"""),"Q-10128-00")</f>
        <v>Q-10128-00</v>
      </c>
      <c r="D4213" s="6" t="str">
        <f>IFERROR(__xludf.DUMMYFUNCTION("""COMPUTED_VALUE"""),"Thinner Super End/Impala")</f>
        <v>Thinner Super End/Impala</v>
      </c>
      <c r="E4213" s="6">
        <f>IFERROR(__xludf.DUMMYFUNCTION("""COMPUTED_VALUE"""),1.0)</f>
        <v>1</v>
      </c>
      <c r="F4213" s="6">
        <f>IFERROR(__xludf.DUMMYFUNCTION("""COMPUTED_VALUE"""),1.0)</f>
        <v>1</v>
      </c>
      <c r="G4213" s="6">
        <f>IFERROR(__xludf.DUMMYFUNCTION("""COMPUTED_VALUE"""),0.0)</f>
        <v>0</v>
      </c>
      <c r="H4213" s="6" t="str">
        <f>IFERROR(__xludf.DUMMYFUNCTION("""COMPUTED_VALUE"""),"Can")</f>
        <v>Can</v>
      </c>
      <c r="I4213" s="6" t="str">
        <f>IFERROR(__xludf.DUMMYFUNCTION("""COMPUTED_VALUE"""),"MFH")</f>
        <v>MFH</v>
      </c>
      <c r="J4213" s="6" t="str">
        <f>IFERROR(__xludf.DUMMYFUNCTION("""COMPUTED_VALUE"""),"Building")</f>
        <v>Building</v>
      </c>
      <c r="K4213" s="6" t="str">
        <f>IFERROR(__xludf.DUMMYFUNCTION("""COMPUTED_VALUE"""),"SPR/09/26/026")</f>
        <v>SPR/09/26/026</v>
      </c>
      <c r="L4213" s="6"/>
    </row>
    <row r="4214">
      <c r="A4214" s="6" t="str">
        <f>IFERROR(__xludf.DUMMYFUNCTION("""COMPUTED_VALUE"""),"WAP")</f>
        <v>WAP</v>
      </c>
      <c r="B4214" s="6" t="str">
        <f>IFERROR(__xludf.DUMMYFUNCTION("""COMPUTED_VALUE"""),"ENG")</f>
        <v>ENG</v>
      </c>
      <c r="C4214" s="6" t="str">
        <f>IFERROR(__xludf.DUMMYFUNCTION("""COMPUTED_VALUE"""),"Q-10331-00")</f>
        <v>Q-10331-00</v>
      </c>
      <c r="D4214" s="6" t="str">
        <f>IFERROR(__xludf.DUMMYFUNCTION("""COMPUTED_VALUE"""),"Cat F-Talit Hella Grey KF-611 Netto : 1 kg")</f>
        <v>Cat F-Talit Hella Grey KF-611 Netto : 1 kg</v>
      </c>
      <c r="E4214" s="6">
        <f>IFERROR(__xludf.DUMMYFUNCTION("""COMPUTED_VALUE"""),1.0)</f>
        <v>1</v>
      </c>
      <c r="F4214" s="6">
        <f>IFERROR(__xludf.DUMMYFUNCTION("""COMPUTED_VALUE"""),1.0)</f>
        <v>1</v>
      </c>
      <c r="G4214" s="6">
        <f>IFERROR(__xludf.DUMMYFUNCTION("""COMPUTED_VALUE"""),0.0)</f>
        <v>0</v>
      </c>
      <c r="H4214" s="6" t="str">
        <f>IFERROR(__xludf.DUMMYFUNCTION("""COMPUTED_VALUE"""),"Can")</f>
        <v>Can</v>
      </c>
      <c r="I4214" s="6" t="str">
        <f>IFERROR(__xludf.DUMMYFUNCTION("""COMPUTED_VALUE"""),"MFH")</f>
        <v>MFH</v>
      </c>
      <c r="J4214" s="6" t="str">
        <f>IFERROR(__xludf.DUMMYFUNCTION("""COMPUTED_VALUE"""),"Building")</f>
        <v>Building</v>
      </c>
      <c r="K4214" s="6" t="str">
        <f>IFERROR(__xludf.DUMMYFUNCTION("""COMPUTED_VALUE"""),"SPR/09/26/026")</f>
        <v>SPR/09/26/026</v>
      </c>
      <c r="L4214" s="6"/>
    </row>
    <row r="4215">
      <c r="A4215" s="6" t="str">
        <f>IFERROR(__xludf.DUMMYFUNCTION("""COMPUTED_VALUE"""),"WAP")</f>
        <v>WAP</v>
      </c>
      <c r="B4215" s="6" t="str">
        <f>IFERROR(__xludf.DUMMYFUNCTION("""COMPUTED_VALUE"""),"ENG")</f>
        <v>ENG</v>
      </c>
      <c r="C4215" s="6" t="str">
        <f>IFERROR(__xludf.DUMMYFUNCTION("""COMPUTED_VALUE"""),"T-80109-00")</f>
        <v>T-80109-00</v>
      </c>
      <c r="D4215" s="6" t="str">
        <f>IFERROR(__xludf.DUMMYFUNCTION("""COMPUTED_VALUE"""),"Cellotape Kertas 1 inch warna Putih")</f>
        <v>Cellotape Kertas 1 inch warna Putih</v>
      </c>
      <c r="E4215" s="6">
        <f>IFERROR(__xludf.DUMMYFUNCTION("""COMPUTED_VALUE"""),2.0)</f>
        <v>2</v>
      </c>
      <c r="F4215" s="6">
        <f>IFERROR(__xludf.DUMMYFUNCTION("""COMPUTED_VALUE"""),2.0)</f>
        <v>2</v>
      </c>
      <c r="G4215" s="6">
        <f>IFERROR(__xludf.DUMMYFUNCTION("""COMPUTED_VALUE"""),0.0)</f>
        <v>0</v>
      </c>
      <c r="H4215" s="6" t="str">
        <f>IFERROR(__xludf.DUMMYFUNCTION("""COMPUTED_VALUE"""),"Pcs")</f>
        <v>Pcs</v>
      </c>
      <c r="I4215" s="6" t="str">
        <f>IFERROR(__xludf.DUMMYFUNCTION("""COMPUTED_VALUE"""),"MFH")</f>
        <v>MFH</v>
      </c>
      <c r="J4215" s="6" t="str">
        <f>IFERROR(__xludf.DUMMYFUNCTION("""COMPUTED_VALUE"""),"Building")</f>
        <v>Building</v>
      </c>
      <c r="K4215" s="6" t="str">
        <f>IFERROR(__xludf.DUMMYFUNCTION("""COMPUTED_VALUE"""),"SPR/09/26/026")</f>
        <v>SPR/09/26/026</v>
      </c>
      <c r="L4215" s="6"/>
    </row>
    <row r="4216">
      <c r="A4216" s="6" t="str">
        <f>IFERROR(__xludf.DUMMYFUNCTION("""COMPUTED_VALUE"""),"MRN")</f>
        <v>MRN</v>
      </c>
      <c r="B4216" s="6" t="str">
        <f>IFERROR(__xludf.DUMMYFUNCTION("""COMPUTED_VALUE"""),"ENG")</f>
        <v>ENG</v>
      </c>
      <c r="C4216" s="6" t="str">
        <f>IFERROR(__xludf.DUMMYFUNCTION("""COMPUTED_VALUE"""),"O-54138-00")</f>
        <v>O-54138-00</v>
      </c>
      <c r="D4216" s="6" t="str">
        <f>IFERROR(__xludf.DUMMYFUNCTION("""COMPUTED_VALUE"""),"Terminal Viking / Terminal Block Size 10 mm; Fort; ;")</f>
        <v>Terminal Viking / Terminal Block Size 10 mm; Fort; ;</v>
      </c>
      <c r="E4216" s="6">
        <f>IFERROR(__xludf.DUMMYFUNCTION("""COMPUTED_VALUE"""),1.0)</f>
        <v>1</v>
      </c>
      <c r="F4216" s="6">
        <f>IFERROR(__xludf.DUMMYFUNCTION("""COMPUTED_VALUE"""),1.0)</f>
        <v>1</v>
      </c>
      <c r="G4216" s="6">
        <f>IFERROR(__xludf.DUMMYFUNCTION("""COMPUTED_VALUE"""),0.0)</f>
        <v>0</v>
      </c>
      <c r="H4216" s="6" t="str">
        <f>IFERROR(__xludf.DUMMYFUNCTION("""COMPUTED_VALUE"""),"Pcs")</f>
        <v>Pcs</v>
      </c>
      <c r="I4216" s="6" t="str">
        <f>IFERROR(__xludf.DUMMYFUNCTION("""COMPUTED_VALUE"""),"MFH")</f>
        <v>MFH</v>
      </c>
      <c r="J4216" s="6" t="str">
        <f>IFERROR(__xludf.DUMMYFUNCTION("""COMPUTED_VALUE"""),"-")</f>
        <v>-</v>
      </c>
      <c r="K4216" s="6" t="str">
        <f>IFERROR(__xludf.DUMMYFUNCTION("""COMPUTED_VALUE"""),"SPR/09/26/027")</f>
        <v>SPR/09/26/027</v>
      </c>
      <c r="L4216" s="6"/>
    </row>
    <row r="4217">
      <c r="A4217" s="6" t="str">
        <f>IFERROR(__xludf.DUMMYFUNCTION("""COMPUTED_VALUE"""),"MRN")</f>
        <v>MRN</v>
      </c>
      <c r="B4217" s="6" t="str">
        <f>IFERROR(__xludf.DUMMYFUNCTION("""COMPUTED_VALUE"""),"ENG")</f>
        <v>ENG</v>
      </c>
      <c r="C4217" s="6" t="str">
        <f>IFERROR(__xludf.DUMMYFUNCTION("""COMPUTED_VALUE"""),"O-54007-00")</f>
        <v>O-54007-00</v>
      </c>
      <c r="D4217" s="6" t="str">
        <f>IFERROR(__xludf.DUMMYFUNCTION("""COMPUTED_VALUE"""),"MCB 1 PHASE, SCHNEIDER ELECTRIC, IC60H 10Ka 16 AMPERE")</f>
        <v>MCB 1 PHASE, SCHNEIDER ELECTRIC, IC60H 10Ka 16 AMPERE</v>
      </c>
      <c r="E4217" s="6">
        <f>IFERROR(__xludf.DUMMYFUNCTION("""COMPUTED_VALUE"""),1.0)</f>
        <v>1</v>
      </c>
      <c r="F4217" s="6">
        <f>IFERROR(__xludf.DUMMYFUNCTION("""COMPUTED_VALUE"""),1.0)</f>
        <v>1</v>
      </c>
      <c r="G4217" s="6">
        <f>IFERROR(__xludf.DUMMYFUNCTION("""COMPUTED_VALUE"""),0.0)</f>
        <v>0</v>
      </c>
      <c r="H4217" s="6" t="str">
        <f>IFERROR(__xludf.DUMMYFUNCTION("""COMPUTED_VALUE"""),"Pcs")</f>
        <v>Pcs</v>
      </c>
      <c r="I4217" s="6" t="str">
        <f>IFERROR(__xludf.DUMMYFUNCTION("""COMPUTED_VALUE"""),"MFH")</f>
        <v>MFH</v>
      </c>
      <c r="J4217" s="6" t="str">
        <f>IFERROR(__xludf.DUMMYFUNCTION("""COMPUTED_VALUE"""),"-")</f>
        <v>-</v>
      </c>
      <c r="K4217" s="6" t="str">
        <f>IFERROR(__xludf.DUMMYFUNCTION("""COMPUTED_VALUE"""),"SPR/09/26/027")</f>
        <v>SPR/09/26/027</v>
      </c>
      <c r="L4217" s="6"/>
    </row>
    <row r="4218">
      <c r="A4218" s="6" t="str">
        <f>IFERROR(__xludf.DUMMYFUNCTION("""COMPUTED_VALUE"""),"MRN")</f>
        <v>MRN</v>
      </c>
      <c r="B4218" s="6" t="str">
        <f>IFERROR(__xludf.DUMMYFUNCTION("""COMPUTED_VALUE"""),"ENG")</f>
        <v>ENG</v>
      </c>
      <c r="C4218" s="6" t="str">
        <f>IFERROR(__xludf.DUMMYFUNCTION("""COMPUTED_VALUE"""),"P-16474-00")</f>
        <v>P-16474-00</v>
      </c>
      <c r="D4218" s="6" t="str">
        <f>IFERROR(__xludf.DUMMYFUNCTION("""COMPUTED_VALUE"""),"General - Lem PLastic Steel Epoxy + Hardener 5 menit; Dextone ; -; 1 set/pack")</f>
        <v>General - Lem PLastic Steel Epoxy + Hardener 5 menit; Dextone ; -; 1 set/pack</v>
      </c>
      <c r="E4218" s="6">
        <f>IFERROR(__xludf.DUMMYFUNCTION("""COMPUTED_VALUE"""),1.0)</f>
        <v>1</v>
      </c>
      <c r="F4218" s="6">
        <f>IFERROR(__xludf.DUMMYFUNCTION("""COMPUTED_VALUE"""),1.0)</f>
        <v>1</v>
      </c>
      <c r="G4218" s="6">
        <f>IFERROR(__xludf.DUMMYFUNCTION("""COMPUTED_VALUE"""),0.0)</f>
        <v>0</v>
      </c>
      <c r="H4218" s="6" t="str">
        <f>IFERROR(__xludf.DUMMYFUNCTION("""COMPUTED_VALUE"""),"Pcs")</f>
        <v>Pcs</v>
      </c>
      <c r="I4218" s="6" t="str">
        <f>IFERROR(__xludf.DUMMYFUNCTION("""COMPUTED_VALUE"""),"MFH")</f>
        <v>MFH</v>
      </c>
      <c r="J4218" s="6" t="str">
        <f>IFERROR(__xludf.DUMMYFUNCTION("""COMPUTED_VALUE"""),"-")</f>
        <v>-</v>
      </c>
      <c r="K4218" s="6" t="str">
        <f>IFERROR(__xludf.DUMMYFUNCTION("""COMPUTED_VALUE"""),"SPR/09/26/028")</f>
        <v>SPR/09/26/028</v>
      </c>
      <c r="L4218" s="6"/>
    </row>
    <row r="4219">
      <c r="A4219" s="6" t="str">
        <f>IFERROR(__xludf.DUMMYFUNCTION("""COMPUTED_VALUE"""),"ANO")</f>
        <v>ANO</v>
      </c>
      <c r="B4219" s="6" t="str">
        <f>IFERROR(__xludf.DUMMYFUNCTION("""COMPUTED_VALUE"""),"ENG")</f>
        <v>ENG</v>
      </c>
      <c r="C4219" s="6" t="str">
        <f>IFERROR(__xludf.DUMMYFUNCTION("""COMPUTED_VALUE"""),"O-19431-00")</f>
        <v>O-19431-00</v>
      </c>
      <c r="D4219" s="6" t="str">
        <f>IFERROR(__xludf.DUMMYFUNCTION("""COMPUTED_VALUE"""),"General - Baut L, SS, M8 x 30 mm + Mur + Ring; No Brand; -; 1 pcs")</f>
        <v>General - Baut L, SS, M8 x 30 mm + Mur + Ring; No Brand; -; 1 pcs</v>
      </c>
      <c r="E4219" s="6">
        <f>IFERROR(__xludf.DUMMYFUNCTION("""COMPUTED_VALUE"""),4.0)</f>
        <v>4</v>
      </c>
      <c r="F4219" s="6">
        <f>IFERROR(__xludf.DUMMYFUNCTION("""COMPUTED_VALUE"""),4.0)</f>
        <v>4</v>
      </c>
      <c r="G4219" s="6">
        <f>IFERROR(__xludf.DUMMYFUNCTION("""COMPUTED_VALUE"""),0.0)</f>
        <v>0</v>
      </c>
      <c r="H4219" s="6" t="str">
        <f>IFERROR(__xludf.DUMMYFUNCTION("""COMPUTED_VALUE"""),"Pcs")</f>
        <v>Pcs</v>
      </c>
      <c r="I4219" s="6" t="str">
        <f>IFERROR(__xludf.DUMMYFUNCTION("""COMPUTED_VALUE"""),"MFH")</f>
        <v>MFH</v>
      </c>
      <c r="J4219" s="6" t="str">
        <f>IFERROR(__xludf.DUMMYFUNCTION("""COMPUTED_VALUE"""),"WWTP")</f>
        <v>WWTP</v>
      </c>
      <c r="K4219" s="6" t="str">
        <f>IFERROR(__xludf.DUMMYFUNCTION("""COMPUTED_VALUE"""),"SPR/09/26/029")</f>
        <v>SPR/09/26/029</v>
      </c>
      <c r="L4219" s="6"/>
    </row>
    <row r="4220">
      <c r="A4220" s="6" t="str">
        <f>IFERROR(__xludf.DUMMYFUNCTION("""COMPUTED_VALUE"""),"ANO")</f>
        <v>ANO</v>
      </c>
      <c r="B4220" s="6" t="str">
        <f>IFERROR(__xludf.DUMMYFUNCTION("""COMPUTED_VALUE"""),"ENG")</f>
        <v>ENG</v>
      </c>
      <c r="C4220" s="6" t="str">
        <f>IFERROR(__xludf.DUMMYFUNCTION("""COMPUTED_VALUE"""),"P-13383-00")</f>
        <v>P-13383-00</v>
      </c>
      <c r="D4220" s="6" t="str">
        <f>IFERROR(__xludf.DUMMYFUNCTION("""COMPUTED_VALUE"""),"General - Silicone Sealant High Temp Red; No Brand; -; 1 pcs")</f>
        <v>General - Silicone Sealant High Temp Red; No Brand; -; 1 pcs</v>
      </c>
      <c r="E4220" s="6">
        <f>IFERROR(__xludf.DUMMYFUNCTION("""COMPUTED_VALUE"""),6.0)</f>
        <v>6</v>
      </c>
      <c r="F4220" s="6">
        <f>IFERROR(__xludf.DUMMYFUNCTION("""COMPUTED_VALUE"""),6.0)</f>
        <v>6</v>
      </c>
      <c r="G4220" s="6">
        <f>IFERROR(__xludf.DUMMYFUNCTION("""COMPUTED_VALUE"""),0.0)</f>
        <v>0</v>
      </c>
      <c r="H4220" s="6" t="str">
        <f>IFERROR(__xludf.DUMMYFUNCTION("""COMPUTED_VALUE"""),"Pcs")</f>
        <v>Pcs</v>
      </c>
      <c r="I4220" s="6" t="str">
        <f>IFERROR(__xludf.DUMMYFUNCTION("""COMPUTED_VALUE"""),"MFH")</f>
        <v>MFH</v>
      </c>
      <c r="J4220" s="6" t="str">
        <f>IFERROR(__xludf.DUMMYFUNCTION("""COMPUTED_VALUE"""),"WWTP")</f>
        <v>WWTP</v>
      </c>
      <c r="K4220" s="6" t="str">
        <f>IFERROR(__xludf.DUMMYFUNCTION("""COMPUTED_VALUE"""),"SPR/09/26/029")</f>
        <v>SPR/09/26/029</v>
      </c>
      <c r="L4220" s="6"/>
    </row>
    <row r="4221">
      <c r="A4221" s="6" t="str">
        <f>IFERROR(__xludf.DUMMYFUNCTION("""COMPUTED_VALUE"""),"MRN")</f>
        <v>MRN</v>
      </c>
      <c r="B4221" s="6" t="str">
        <f>IFERROR(__xludf.DUMMYFUNCTION("""COMPUTED_VALUE"""),"ENG")</f>
        <v>ENG</v>
      </c>
      <c r="C4221" s="6" t="str">
        <f>IFERROR(__xludf.DUMMYFUNCTION("""COMPUTED_VALUE"""),"P-19381-00")</f>
        <v>P-19381-00</v>
      </c>
      <c r="D4221" s="6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E4221" s="6">
        <f>IFERROR(__xludf.DUMMYFUNCTION("""COMPUTED_VALUE"""),3.0)</f>
        <v>3</v>
      </c>
      <c r="F4221" s="6">
        <f>IFERROR(__xludf.DUMMYFUNCTION("""COMPUTED_VALUE"""),3.0)</f>
        <v>3</v>
      </c>
      <c r="G4221" s="6">
        <f>IFERROR(__xludf.DUMMYFUNCTION("""COMPUTED_VALUE"""),0.0)</f>
        <v>0</v>
      </c>
      <c r="H4221" s="6" t="str">
        <f>IFERROR(__xludf.DUMMYFUNCTION("""COMPUTED_VALUE"""),"Pcs")</f>
        <v>Pcs</v>
      </c>
      <c r="I4221" s="6" t="str">
        <f>IFERROR(__xludf.DUMMYFUNCTION("""COMPUTED_VALUE"""),"MFH")</f>
        <v>MFH</v>
      </c>
      <c r="J4221" s="6" t="str">
        <f>IFERROR(__xludf.DUMMYFUNCTION("""COMPUTED_VALUE"""),"-")</f>
        <v>-</v>
      </c>
      <c r="K4221" s="6" t="str">
        <f>IFERROR(__xludf.DUMMYFUNCTION("""COMPUTED_VALUE"""),"SPR/09/26/030")</f>
        <v>SPR/09/26/030</v>
      </c>
      <c r="L4221" s="6"/>
    </row>
    <row r="4222">
      <c r="A4222" s="6" t="str">
        <f>IFERROR(__xludf.DUMMYFUNCTION("""COMPUTED_VALUE"""),"SFH")</f>
        <v>SFH</v>
      </c>
      <c r="B4222" s="6" t="str">
        <f>IFERROR(__xludf.DUMMYFUNCTION("""COMPUTED_VALUE"""),"ENG")</f>
        <v>ENG</v>
      </c>
      <c r="C4222" s="6" t="str">
        <f>IFERROR(__xludf.DUMMYFUNCTION("""COMPUTED_VALUE"""),"P-51027-00")</f>
        <v>P-51027-00</v>
      </c>
      <c r="D4222" s="6" t="str">
        <f>IFERROR(__xludf.DUMMYFUNCTION("""COMPUTED_VALUE"""),"General - IsoLasi Kabel Hitam 33 (19mm x 20mm x 0.177mm); Scotch; -; 1 Pcs")</f>
        <v>General - IsoLasi Kabel Hitam 33 (19mm x 20mm x 0.177mm); Scotch; -; 1 Pcs</v>
      </c>
      <c r="E4222" s="6">
        <f>IFERROR(__xludf.DUMMYFUNCTION("""COMPUTED_VALUE"""),1.0)</f>
        <v>1</v>
      </c>
      <c r="F4222" s="6">
        <f>IFERROR(__xludf.DUMMYFUNCTION("""COMPUTED_VALUE"""),1.0)</f>
        <v>1</v>
      </c>
      <c r="G4222" s="6">
        <f>IFERROR(__xludf.DUMMYFUNCTION("""COMPUTED_VALUE"""),0.0)</f>
        <v>0</v>
      </c>
      <c r="H4222" s="6" t="str">
        <f>IFERROR(__xludf.DUMMYFUNCTION("""COMPUTED_VALUE"""),"Pcs")</f>
        <v>Pcs</v>
      </c>
      <c r="I4222" s="6" t="str">
        <f>IFERROR(__xludf.DUMMYFUNCTION("""COMPUTED_VALUE"""),"MFH")</f>
        <v>MFH</v>
      </c>
      <c r="J4222" s="6" t="str">
        <f>IFERROR(__xludf.DUMMYFUNCTION("""COMPUTED_VALUE"""),"Building")</f>
        <v>Building</v>
      </c>
      <c r="K4222" s="6" t="str">
        <f>IFERROR(__xludf.DUMMYFUNCTION("""COMPUTED_VALUE"""),"SPR/09/26/031")</f>
        <v>SPR/09/26/031</v>
      </c>
      <c r="L4222" s="6"/>
    </row>
    <row r="4223">
      <c r="A4223" s="6" t="str">
        <f>IFERROR(__xludf.DUMMYFUNCTION("""COMPUTED_VALUE"""),"SFH")</f>
        <v>SFH</v>
      </c>
      <c r="B4223" s="6" t="str">
        <f>IFERROR(__xludf.DUMMYFUNCTION("""COMPUTED_VALUE"""),"ENG")</f>
        <v>ENG</v>
      </c>
      <c r="C4223" s="6" t="str">
        <f>IFERROR(__xludf.DUMMYFUNCTION("""COMPUTED_VALUE"""),"Q-10136-00")</f>
        <v>Q-10136-00</v>
      </c>
      <c r="D4223" s="6" t="str">
        <f>IFERROR(__xludf.DUMMYFUNCTION("""COMPUTED_VALUE"""),"TOTO - Kran T23BQ13N")</f>
        <v>TOTO - Kran T23BQ13N</v>
      </c>
      <c r="E4223" s="6">
        <f>IFERROR(__xludf.DUMMYFUNCTION("""COMPUTED_VALUE"""),1.0)</f>
        <v>1</v>
      </c>
      <c r="F4223" s="6">
        <f>IFERROR(__xludf.DUMMYFUNCTION("""COMPUTED_VALUE"""),1.0)</f>
        <v>1</v>
      </c>
      <c r="G4223" s="6">
        <f>IFERROR(__xludf.DUMMYFUNCTION("""COMPUTED_VALUE"""),0.0)</f>
        <v>0</v>
      </c>
      <c r="H4223" s="6" t="str">
        <f>IFERROR(__xludf.DUMMYFUNCTION("""COMPUTED_VALUE"""),"Pcs")</f>
        <v>Pcs</v>
      </c>
      <c r="I4223" s="6" t="str">
        <f>IFERROR(__xludf.DUMMYFUNCTION("""COMPUTED_VALUE"""),"MFH")</f>
        <v>MFH</v>
      </c>
      <c r="J4223" s="6" t="str">
        <f>IFERROR(__xludf.DUMMYFUNCTION("""COMPUTED_VALUE"""),"Building")</f>
        <v>Building</v>
      </c>
      <c r="K4223" s="6" t="str">
        <f>IFERROR(__xludf.DUMMYFUNCTION("""COMPUTED_VALUE"""),"SPR/09/26/031")</f>
        <v>SPR/09/26/031</v>
      </c>
      <c r="L4223" s="6"/>
    </row>
    <row r="4224">
      <c r="A4224" s="6" t="str">
        <f>IFERROR(__xludf.DUMMYFUNCTION("""COMPUTED_VALUE"""),"SFH")</f>
        <v>SFH</v>
      </c>
      <c r="B4224" s="6" t="str">
        <f>IFERROR(__xludf.DUMMYFUNCTION("""COMPUTED_VALUE"""),"ENG")</f>
        <v>ENG</v>
      </c>
      <c r="C4224" s="6" t="str">
        <f>IFERROR(__xludf.DUMMYFUNCTION("""COMPUTED_VALUE"""),"Q-60328-00")</f>
        <v>Q-60328-00</v>
      </c>
      <c r="D4224" s="6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E4224" s="6">
        <f>IFERROR(__xludf.DUMMYFUNCTION("""COMPUTED_VALUE"""),5.0)</f>
        <v>5</v>
      </c>
      <c r="F4224" s="6">
        <f>IFERROR(__xludf.DUMMYFUNCTION("""COMPUTED_VALUE"""),5.0)</f>
        <v>5</v>
      </c>
      <c r="G4224" s="6">
        <f>IFERROR(__xludf.DUMMYFUNCTION("""COMPUTED_VALUE"""),0.0)</f>
        <v>0</v>
      </c>
      <c r="H4224" s="6" t="str">
        <f>IFERROR(__xludf.DUMMYFUNCTION("""COMPUTED_VALUE"""),"Pcs")</f>
        <v>Pcs</v>
      </c>
      <c r="I4224" s="6" t="str">
        <f>IFERROR(__xludf.DUMMYFUNCTION("""COMPUTED_VALUE"""),"MFH")</f>
        <v>MFH</v>
      </c>
      <c r="J4224" s="6" t="str">
        <f>IFERROR(__xludf.DUMMYFUNCTION("""COMPUTED_VALUE"""),"Building")</f>
        <v>Building</v>
      </c>
      <c r="K4224" s="6" t="str">
        <f>IFERROR(__xludf.DUMMYFUNCTION("""COMPUTED_VALUE"""),"SPR/09/26/032")</f>
        <v>SPR/09/26/032</v>
      </c>
      <c r="L4224" s="6"/>
    </row>
    <row r="4225">
      <c r="A4225" s="6" t="str">
        <f>IFERROR(__xludf.DUMMYFUNCTION("""COMPUTED_VALUE"""),"SFH")</f>
        <v>SFH</v>
      </c>
      <c r="B4225" s="6" t="str">
        <f>IFERROR(__xludf.DUMMYFUNCTION("""COMPUTED_VALUE"""),"ENG")</f>
        <v>ENG</v>
      </c>
      <c r="C4225" s="6" t="str">
        <f>IFERROR(__xludf.DUMMYFUNCTION("""COMPUTED_VALUE"""),"Q-10656-00")</f>
        <v>Q-10656-00</v>
      </c>
      <c r="D4225" s="6" t="str">
        <f>IFERROR(__xludf.DUMMYFUNCTION("""COMPUTED_VALUE"""),"Kuas Cat Uk. 5 inch;No Brand;;pack size per pcs")</f>
        <v>Kuas Cat Uk. 5 inch;No Brand;;pack size per pcs</v>
      </c>
      <c r="E4225" s="6">
        <f>IFERROR(__xludf.DUMMYFUNCTION("""COMPUTED_VALUE"""),2.0)</f>
        <v>2</v>
      </c>
      <c r="F4225" s="6">
        <f>IFERROR(__xludf.DUMMYFUNCTION("""COMPUTED_VALUE"""),2.0)</f>
        <v>2</v>
      </c>
      <c r="G4225" s="6">
        <f>IFERROR(__xludf.DUMMYFUNCTION("""COMPUTED_VALUE"""),0.0)</f>
        <v>0</v>
      </c>
      <c r="H4225" s="6" t="str">
        <f>IFERROR(__xludf.DUMMYFUNCTION("""COMPUTED_VALUE"""),"Pcs")</f>
        <v>Pcs</v>
      </c>
      <c r="I4225" s="6" t="str">
        <f>IFERROR(__xludf.DUMMYFUNCTION("""COMPUTED_VALUE"""),"MFH")</f>
        <v>MFH</v>
      </c>
      <c r="J4225" s="6" t="str">
        <f>IFERROR(__xludf.DUMMYFUNCTION("""COMPUTED_VALUE"""),"Building")</f>
        <v>Building</v>
      </c>
      <c r="K4225" s="6" t="str">
        <f>IFERROR(__xludf.DUMMYFUNCTION("""COMPUTED_VALUE"""),"SPR/09/26/032")</f>
        <v>SPR/09/26/032</v>
      </c>
      <c r="L4225" s="6"/>
    </row>
    <row r="4226">
      <c r="A4226" s="6" t="str">
        <f>IFERROR(__xludf.DUMMYFUNCTION("""COMPUTED_VALUE"""),"SFH")</f>
        <v>SFH</v>
      </c>
      <c r="B4226" s="6" t="str">
        <f>IFERROR(__xludf.DUMMYFUNCTION("""COMPUTED_VALUE"""),"ENG")</f>
        <v>ENG</v>
      </c>
      <c r="C4226" s="6" t="str">
        <f>IFERROR(__xludf.DUMMYFUNCTION("""COMPUTED_VALUE"""),"O-15931-00")</f>
        <v>O-15931-00</v>
      </c>
      <c r="D4226" s="6" t="str">
        <f>IFERROR(__xludf.DUMMYFUNCTION("""COMPUTED_VALUE"""),"Double Tape 3M 1"" Merah - P/N : - pc")</f>
        <v>Double Tape 3M 1" Merah - P/N : - pc</v>
      </c>
      <c r="E4226" s="6">
        <f>IFERROR(__xludf.DUMMYFUNCTION("""COMPUTED_VALUE"""),2.0)</f>
        <v>2</v>
      </c>
      <c r="F4226" s="6">
        <f>IFERROR(__xludf.DUMMYFUNCTION("""COMPUTED_VALUE"""),2.0)</f>
        <v>2</v>
      </c>
      <c r="G4226" s="6">
        <f>IFERROR(__xludf.DUMMYFUNCTION("""COMPUTED_VALUE"""),0.0)</f>
        <v>0</v>
      </c>
      <c r="H4226" s="6" t="str">
        <f>IFERROR(__xludf.DUMMYFUNCTION("""COMPUTED_VALUE"""),"Pcs")</f>
        <v>Pcs</v>
      </c>
      <c r="I4226" s="6" t="str">
        <f>IFERROR(__xludf.DUMMYFUNCTION("""COMPUTED_VALUE"""),"MFH")</f>
        <v>MFH</v>
      </c>
      <c r="J4226" s="6" t="str">
        <f>IFERROR(__xludf.DUMMYFUNCTION("""COMPUTED_VALUE"""),"Building")</f>
        <v>Building</v>
      </c>
      <c r="K4226" s="6" t="str">
        <f>IFERROR(__xludf.DUMMYFUNCTION("""COMPUTED_VALUE"""),"SPR/09/26/032")</f>
        <v>SPR/09/26/032</v>
      </c>
      <c r="L4226" s="6"/>
    </row>
    <row r="4227">
      <c r="A4227" s="6" t="str">
        <f>IFERROR(__xludf.DUMMYFUNCTION("""COMPUTED_VALUE"""),"MRN")</f>
        <v>MRN</v>
      </c>
      <c r="B4227" s="6" t="str">
        <f>IFERROR(__xludf.DUMMYFUNCTION("""COMPUTED_VALUE"""),"ENG")</f>
        <v>ENG</v>
      </c>
      <c r="C4227" s="6" t="str">
        <f>IFERROR(__xludf.DUMMYFUNCTION("""COMPUTED_VALUE"""),"P-17645-00")</f>
        <v>P-17645-00</v>
      </c>
      <c r="D4227" s="6" t="str">
        <f>IFERROR(__xludf.DUMMYFUNCTION("""COMPUTED_VALUE"""),"Sodium Hiphoclorite; ; ; ltr")</f>
        <v>Sodium Hiphoclorite; ; ; ltr</v>
      </c>
      <c r="E4227" s="6">
        <f>IFERROR(__xludf.DUMMYFUNCTION("""COMPUTED_VALUE"""),1700.0)</f>
        <v>1700</v>
      </c>
      <c r="F4227" s="6">
        <f>IFERROR(__xludf.DUMMYFUNCTION("""COMPUTED_VALUE"""),1700.0)</f>
        <v>1700</v>
      </c>
      <c r="G4227" s="6">
        <f>IFERROR(__xludf.DUMMYFUNCTION("""COMPUTED_VALUE"""),0.0)</f>
        <v>0</v>
      </c>
      <c r="H4227" s="6" t="str">
        <f>IFERROR(__xludf.DUMMYFUNCTION("""COMPUTED_VALUE"""),"Pcs")</f>
        <v>Pcs</v>
      </c>
      <c r="I4227" s="6" t="str">
        <f>IFERROR(__xludf.DUMMYFUNCTION("""COMPUTED_VALUE"""),"MFH")</f>
        <v>MFH</v>
      </c>
      <c r="J4227" s="6" t="str">
        <f>IFERROR(__xludf.DUMMYFUNCTION("""COMPUTED_VALUE"""),"WWTP")</f>
        <v>WWTP</v>
      </c>
      <c r="K4227" s="6" t="str">
        <f>IFERROR(__xludf.DUMMYFUNCTION("""COMPUTED_VALUE"""),"SPR/09/26/033")</f>
        <v>SPR/09/26/033</v>
      </c>
      <c r="L4227" s="6"/>
    </row>
    <row r="4228">
      <c r="A4228" s="6" t="str">
        <f>IFERROR(__xludf.DUMMYFUNCTION("""COMPUTED_VALUE"""),"ANO")</f>
        <v>ANO</v>
      </c>
      <c r="B4228" s="6" t="str">
        <f>IFERROR(__xludf.DUMMYFUNCTION("""COMPUTED_VALUE"""),"ENG")</f>
        <v>ENG</v>
      </c>
      <c r="C4228" s="6" t="str">
        <f>IFERROR(__xludf.DUMMYFUNCTION("""COMPUTED_VALUE"""),"P-14245-00")</f>
        <v>P-14245-00</v>
      </c>
      <c r="D4228" s="6" t="str">
        <f>IFERROR(__xludf.DUMMYFUNCTION("""COMPUTED_VALUE"""),"General - Shut-off Valve, HE-2-QS-8; Festo; 153468; 1 pcs")</f>
        <v>General - Shut-off Valve, HE-2-QS-8; Festo; 153468; 1 pcs</v>
      </c>
      <c r="E4228" s="6">
        <f>IFERROR(__xludf.DUMMYFUNCTION("""COMPUTED_VALUE"""),1.0)</f>
        <v>1</v>
      </c>
      <c r="F4228" s="6">
        <f>IFERROR(__xludf.DUMMYFUNCTION("""COMPUTED_VALUE"""),1.0)</f>
        <v>1</v>
      </c>
      <c r="G4228" s="6">
        <f>IFERROR(__xludf.DUMMYFUNCTION("""COMPUTED_VALUE"""),0.0)</f>
        <v>0</v>
      </c>
      <c r="H4228" s="6" t="str">
        <f>IFERROR(__xludf.DUMMYFUNCTION("""COMPUTED_VALUE"""),"Pcs")</f>
        <v>Pcs</v>
      </c>
      <c r="I4228" s="6" t="str">
        <f>IFERROR(__xludf.DUMMYFUNCTION("""COMPUTED_VALUE"""),"MFH")</f>
        <v>MFH</v>
      </c>
      <c r="J4228" s="6" t="str">
        <f>IFERROR(__xludf.DUMMYFUNCTION("""COMPUTED_VALUE"""),"Aerosol")</f>
        <v>Aerosol</v>
      </c>
      <c r="K4228" s="6" t="str">
        <f>IFERROR(__xludf.DUMMYFUNCTION("""COMPUTED_VALUE"""),"SPR/09/26/034")</f>
        <v>SPR/09/26/034</v>
      </c>
      <c r="L4228" s="6"/>
    </row>
    <row r="4229">
      <c r="A4229" s="6" t="str">
        <f>IFERROR(__xludf.DUMMYFUNCTION("""COMPUTED_VALUE"""),"ANO")</f>
        <v>ANO</v>
      </c>
      <c r="B4229" s="6" t="str">
        <f>IFERROR(__xludf.DUMMYFUNCTION("""COMPUTED_VALUE"""),"ENG")</f>
        <v>ENG</v>
      </c>
      <c r="C4229" s="6" t="str">
        <f>IFERROR(__xludf.DUMMYFUNCTION("""COMPUTED_VALUE"""),"P-11175-00")</f>
        <v>P-11175-00</v>
      </c>
      <c r="D4229" s="6" t="str">
        <f>IFERROR(__xludf.DUMMYFUNCTION("""COMPUTED_VALUE"""),"General - Push-in Connector, QS-10-8; Festo; 153039; 1 pcs")</f>
        <v>General - Push-in Connector, QS-10-8; Festo; 153039; 1 pcs</v>
      </c>
      <c r="E4229" s="6">
        <f>IFERROR(__xludf.DUMMYFUNCTION("""COMPUTED_VALUE"""),1.0)</f>
        <v>1</v>
      </c>
      <c r="F4229" s="6">
        <f>IFERROR(__xludf.DUMMYFUNCTION("""COMPUTED_VALUE"""),1.0)</f>
        <v>1</v>
      </c>
      <c r="G4229" s="6">
        <f>IFERROR(__xludf.DUMMYFUNCTION("""COMPUTED_VALUE"""),0.0)</f>
        <v>0</v>
      </c>
      <c r="H4229" s="6" t="str">
        <f>IFERROR(__xludf.DUMMYFUNCTION("""COMPUTED_VALUE"""),"Pcs")</f>
        <v>Pcs</v>
      </c>
      <c r="I4229" s="6" t="str">
        <f>IFERROR(__xludf.DUMMYFUNCTION("""COMPUTED_VALUE"""),"MFH")</f>
        <v>MFH</v>
      </c>
      <c r="J4229" s="6" t="str">
        <f>IFERROR(__xludf.DUMMYFUNCTION("""COMPUTED_VALUE"""),"Aerosol")</f>
        <v>Aerosol</v>
      </c>
      <c r="K4229" s="6" t="str">
        <f>IFERROR(__xludf.DUMMYFUNCTION("""COMPUTED_VALUE"""),"SPR/09/26/034")</f>
        <v>SPR/09/26/034</v>
      </c>
      <c r="L4229" s="6"/>
    </row>
    <row r="4230">
      <c r="A4230" s="6" t="str">
        <f>IFERROR(__xludf.DUMMYFUNCTION("""COMPUTED_VALUE"""),"WAP")</f>
        <v>WAP</v>
      </c>
      <c r="B4230" s="6" t="str">
        <f>IFERROR(__xludf.DUMMYFUNCTION("""COMPUTED_VALUE"""),"ENG")</f>
        <v>ENG</v>
      </c>
      <c r="C4230" s="6" t="str">
        <f>IFERROR(__xludf.DUMMYFUNCTION("""COMPUTED_VALUE"""),"P-12816-00")</f>
        <v>P-12816-00</v>
      </c>
      <c r="D4230" s="6" t="str">
        <f>IFERROR(__xludf.DUMMYFUNCTION("""COMPUTED_VALUE"""),"General - Socket, PVC AW, 1 1/2""; Rucika; -; 1 pcs")</f>
        <v>General - Socket, PVC AW, 1 1/2"; Rucika; -; 1 pcs</v>
      </c>
      <c r="E4230" s="6">
        <f>IFERROR(__xludf.DUMMYFUNCTION("""COMPUTED_VALUE"""),1.0)</f>
        <v>1</v>
      </c>
      <c r="F4230" s="6">
        <f>IFERROR(__xludf.DUMMYFUNCTION("""COMPUTED_VALUE"""),1.0)</f>
        <v>1</v>
      </c>
      <c r="G4230" s="6">
        <f>IFERROR(__xludf.DUMMYFUNCTION("""COMPUTED_VALUE"""),0.0)</f>
        <v>0</v>
      </c>
      <c r="H4230" s="6" t="str">
        <f>IFERROR(__xludf.DUMMYFUNCTION("""COMPUTED_VALUE"""),"Pcs")</f>
        <v>Pcs</v>
      </c>
      <c r="I4230" s="6" t="str">
        <f>IFERROR(__xludf.DUMMYFUNCTION("""COMPUTED_VALUE"""),"MFH")</f>
        <v>MFH</v>
      </c>
      <c r="J4230" s="6" t="str">
        <f>IFERROR(__xludf.DUMMYFUNCTION("""COMPUTED_VALUE"""),"Building")</f>
        <v>Building</v>
      </c>
      <c r="K4230" s="6" t="str">
        <f>IFERROR(__xludf.DUMMYFUNCTION("""COMPUTED_VALUE"""),"SPR/09/26/035")</f>
        <v>SPR/09/26/035</v>
      </c>
      <c r="L4230" s="6"/>
    </row>
    <row r="4231">
      <c r="A4231" s="6" t="str">
        <f>IFERROR(__xludf.DUMMYFUNCTION("""COMPUTED_VALUE"""),"SFH")</f>
        <v>SFH</v>
      </c>
      <c r="B4231" s="6" t="str">
        <f>IFERROR(__xludf.DUMMYFUNCTION("""COMPUTED_VALUE"""),"ENG")</f>
        <v>ENG</v>
      </c>
      <c r="C4231" s="6" t="str">
        <f>IFERROR(__xludf.DUMMYFUNCTION("""COMPUTED_VALUE"""),"O-19430-00")</f>
        <v>O-19430-00</v>
      </c>
      <c r="D4231" s="6" t="str">
        <f>IFERROR(__xludf.DUMMYFUNCTION("""COMPUTED_VALUE"""),"Baut SS L M5 x 20 mm + Mur + Ring; ; ;; ; ;; ; ;")</f>
        <v>Baut SS L M5 x 20 mm + Mur + Ring; ; ;; ; ;; ; ;</v>
      </c>
      <c r="E4231" s="6">
        <f>IFERROR(__xludf.DUMMYFUNCTION("""COMPUTED_VALUE"""),16.0)</f>
        <v>16</v>
      </c>
      <c r="F4231" s="6">
        <f>IFERROR(__xludf.DUMMYFUNCTION("""COMPUTED_VALUE"""),16.0)</f>
        <v>16</v>
      </c>
      <c r="G4231" s="6">
        <f>IFERROR(__xludf.DUMMYFUNCTION("""COMPUTED_VALUE"""),0.0)</f>
        <v>0</v>
      </c>
      <c r="H4231" s="6" t="str">
        <f>IFERROR(__xludf.DUMMYFUNCTION("""COMPUTED_VALUE"""),"Pcs")</f>
        <v>Pcs</v>
      </c>
      <c r="I4231" s="6" t="str">
        <f>IFERROR(__xludf.DUMMYFUNCTION("""COMPUTED_VALUE"""),"MFH")</f>
        <v>MFH</v>
      </c>
      <c r="J4231" s="6" t="str">
        <f>IFERROR(__xludf.DUMMYFUNCTION("""COMPUTED_VALUE"""),"Building")</f>
        <v>Building</v>
      </c>
      <c r="K4231" s="6" t="str">
        <f>IFERROR(__xludf.DUMMYFUNCTION("""COMPUTED_VALUE"""),"SPR/09/26/036")</f>
        <v>SPR/09/26/036</v>
      </c>
      <c r="L4231" s="6"/>
    </row>
    <row r="4232">
      <c r="A4232" s="6" t="str">
        <f>IFERROR(__xludf.DUMMYFUNCTION("""COMPUTED_VALUE"""),"ANO")</f>
        <v>ANO</v>
      </c>
      <c r="B4232" s="6" t="str">
        <f>IFERROR(__xludf.DUMMYFUNCTION("""COMPUTED_VALUE"""),"ENG")</f>
        <v>ENG</v>
      </c>
      <c r="C4232" s="6" t="str">
        <f>IFERROR(__xludf.DUMMYFUNCTION("""COMPUTED_VALUE"""),"P-11170-00")</f>
        <v>P-11170-00</v>
      </c>
      <c r="D4232" s="6" t="str">
        <f>IFERROR(__xludf.DUMMYFUNCTION("""COMPUTED_VALUE"""),"Pneumatic  Fitting - QS 1/4-8 / PN : 153005 / Festo")</f>
        <v>Pneumatic  Fitting - QS 1/4-8 / PN : 153005 / Festo</v>
      </c>
      <c r="E4232" s="6">
        <f>IFERROR(__xludf.DUMMYFUNCTION("""COMPUTED_VALUE"""),2.0)</f>
        <v>2</v>
      </c>
      <c r="F4232" s="6">
        <f>IFERROR(__xludf.DUMMYFUNCTION("""COMPUTED_VALUE"""),2.0)</f>
        <v>2</v>
      </c>
      <c r="G4232" s="6">
        <f>IFERROR(__xludf.DUMMYFUNCTION("""COMPUTED_VALUE"""),0.0)</f>
        <v>0</v>
      </c>
      <c r="H4232" s="6" t="str">
        <f>IFERROR(__xludf.DUMMYFUNCTION("""COMPUTED_VALUE"""),"Pcs")</f>
        <v>Pcs</v>
      </c>
      <c r="I4232" s="6" t="str">
        <f>IFERROR(__xludf.DUMMYFUNCTION("""COMPUTED_VALUE"""),"MFH")</f>
        <v>MFH</v>
      </c>
      <c r="J4232" s="6" t="str">
        <f>IFERROR(__xludf.DUMMYFUNCTION("""COMPUTED_VALUE"""),"Autoclave")</f>
        <v>Autoclave</v>
      </c>
      <c r="K4232" s="6" t="str">
        <f>IFERROR(__xludf.DUMMYFUNCTION("""COMPUTED_VALUE"""),"SPR/09/26/037")</f>
        <v>SPR/09/26/037</v>
      </c>
      <c r="L4232" s="6"/>
    </row>
    <row r="4233">
      <c r="A4233" s="6" t="str">
        <f>IFERROR(__xludf.DUMMYFUNCTION("""COMPUTED_VALUE"""),"ANO")</f>
        <v>ANO</v>
      </c>
      <c r="B4233" s="6" t="str">
        <f>IFERROR(__xludf.DUMMYFUNCTION("""COMPUTED_VALUE"""),"ENG")</f>
        <v>ENG</v>
      </c>
      <c r="C4233" s="6" t="str">
        <f>IFERROR(__xludf.DUMMYFUNCTION("""COMPUTED_VALUE"""),"O-54159-00")</f>
        <v>O-54159-00</v>
      </c>
      <c r="D4233" s="6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E4233" s="6">
        <f>IFERROR(__xludf.DUMMYFUNCTION("""COMPUTED_VALUE"""),2.0)</f>
        <v>2</v>
      </c>
      <c r="F4233" s="6">
        <f>IFERROR(__xludf.DUMMYFUNCTION("""COMPUTED_VALUE"""),2.0)</f>
        <v>2</v>
      </c>
      <c r="G4233" s="6">
        <f>IFERROR(__xludf.DUMMYFUNCTION("""COMPUTED_VALUE"""),0.0)</f>
        <v>0</v>
      </c>
      <c r="H4233" s="6" t="str">
        <f>IFERROR(__xludf.DUMMYFUNCTION("""COMPUTED_VALUE"""),"Pcs")</f>
        <v>Pcs</v>
      </c>
      <c r="I4233" s="6" t="str">
        <f>IFERROR(__xludf.DUMMYFUNCTION("""COMPUTED_VALUE"""),"MFH")</f>
        <v>MFH</v>
      </c>
      <c r="J4233" s="6" t="str">
        <f>IFERROR(__xludf.DUMMYFUNCTION("""COMPUTED_VALUE"""),"Autoclave")</f>
        <v>Autoclave</v>
      </c>
      <c r="K4233" s="6" t="str">
        <f>IFERROR(__xludf.DUMMYFUNCTION("""COMPUTED_VALUE"""),"SPR/09/26/037")</f>
        <v>SPR/09/26/037</v>
      </c>
      <c r="L4233" s="6"/>
    </row>
    <row r="4234">
      <c r="A4234" s="6" t="str">
        <f>IFERROR(__xludf.DUMMYFUNCTION("""COMPUTED_VALUE"""),"ANO")</f>
        <v>ANO</v>
      </c>
      <c r="B4234" s="6" t="str">
        <f>IFERROR(__xludf.DUMMYFUNCTION("""COMPUTED_VALUE"""),"ENG")</f>
        <v>ENG</v>
      </c>
      <c r="C4234" s="6" t="str">
        <f>IFERROR(__xludf.DUMMYFUNCTION("""COMPUTED_VALUE"""),"P-18963-00")</f>
        <v>P-18963-00</v>
      </c>
      <c r="D4234" s="6" t="str">
        <f>IFERROR(__xludf.DUMMYFUNCTION("""COMPUTED_VALUE"""),"Tubing Nylon Putih 6x8; ; ;")</f>
        <v>Tubing Nylon Putih 6x8; ; ;</v>
      </c>
      <c r="E4234" s="6">
        <f>IFERROR(__xludf.DUMMYFUNCTION("""COMPUTED_VALUE"""),10.0)</f>
        <v>10</v>
      </c>
      <c r="F4234" s="6">
        <f>IFERROR(__xludf.DUMMYFUNCTION("""COMPUTED_VALUE"""),10.0)</f>
        <v>10</v>
      </c>
      <c r="G4234" s="6">
        <f>IFERROR(__xludf.DUMMYFUNCTION("""COMPUTED_VALUE"""),0.0)</f>
        <v>0</v>
      </c>
      <c r="H4234" s="6" t="str">
        <f>IFERROR(__xludf.DUMMYFUNCTION("""COMPUTED_VALUE"""),"Pcs")</f>
        <v>Pcs</v>
      </c>
      <c r="I4234" s="6" t="str">
        <f>IFERROR(__xludf.DUMMYFUNCTION("""COMPUTED_VALUE"""),"MFH")</f>
        <v>MFH</v>
      </c>
      <c r="J4234" s="6" t="str">
        <f>IFERROR(__xludf.DUMMYFUNCTION("""COMPUTED_VALUE"""),"Autoclave")</f>
        <v>Autoclave</v>
      </c>
      <c r="K4234" s="6" t="str">
        <f>IFERROR(__xludf.DUMMYFUNCTION("""COMPUTED_VALUE"""),"SPR/09/26/037")</f>
        <v>SPR/09/26/037</v>
      </c>
      <c r="L4234" s="6"/>
    </row>
    <row r="4235">
      <c r="A4235" s="6" t="str">
        <f>IFERROR(__xludf.DUMMYFUNCTION("""COMPUTED_VALUE"""),"ANO")</f>
        <v>ANO</v>
      </c>
      <c r="B4235" s="6" t="str">
        <f>IFERROR(__xludf.DUMMYFUNCTION("""COMPUTED_VALUE"""),"ENG")</f>
        <v>ENG</v>
      </c>
      <c r="C4235" s="6" t="str">
        <f>IFERROR(__xludf.DUMMYFUNCTION("""COMPUTED_VALUE"""),"P-11227-00")</f>
        <v>P-11227-00</v>
      </c>
      <c r="D4235" s="6" t="str">
        <f>IFERROR(__xludf.DUMMYFUNCTION("""COMPUTED_VALUE"""),"General - Push-in T-connector, QST-6; Festo; 153129; 1 pcs")</f>
        <v>General - Push-in T-connector, QST-6; Festo; 153129; 1 pcs</v>
      </c>
      <c r="E4235" s="6">
        <f>IFERROR(__xludf.DUMMYFUNCTION("""COMPUTED_VALUE"""),4.0)</f>
        <v>4</v>
      </c>
      <c r="F4235" s="6">
        <f>IFERROR(__xludf.DUMMYFUNCTION("""COMPUTED_VALUE"""),4.0)</f>
        <v>4</v>
      </c>
      <c r="G4235" s="6">
        <f>IFERROR(__xludf.DUMMYFUNCTION("""COMPUTED_VALUE"""),0.0)</f>
        <v>0</v>
      </c>
      <c r="H4235" s="6" t="str">
        <f>IFERROR(__xludf.DUMMYFUNCTION("""COMPUTED_VALUE"""),"Pcs")</f>
        <v>Pcs</v>
      </c>
      <c r="I4235" s="6" t="str">
        <f>IFERROR(__xludf.DUMMYFUNCTION("""COMPUTED_VALUE"""),"MFH")</f>
        <v>MFH</v>
      </c>
      <c r="J4235" s="6" t="str">
        <f>IFERROR(__xludf.DUMMYFUNCTION("""COMPUTED_VALUE"""),"Autoclave")</f>
        <v>Autoclave</v>
      </c>
      <c r="K4235" s="6" t="str">
        <f>IFERROR(__xludf.DUMMYFUNCTION("""COMPUTED_VALUE"""),"SPR/09/26/038")</f>
        <v>SPR/09/26/038</v>
      </c>
      <c r="L4235" s="6"/>
    </row>
    <row r="4236">
      <c r="A4236" s="6" t="str">
        <f>IFERROR(__xludf.DUMMYFUNCTION("""COMPUTED_VALUE"""),"ANO")</f>
        <v>ANO</v>
      </c>
      <c r="B4236" s="6" t="str">
        <f>IFERROR(__xludf.DUMMYFUNCTION("""COMPUTED_VALUE"""),"ENG")</f>
        <v>ENG</v>
      </c>
      <c r="C4236" s="6" t="str">
        <f>IFERROR(__xludf.DUMMYFUNCTION("""COMPUTED_VALUE"""),"P-13650-00")</f>
        <v>P-13650-00</v>
      </c>
      <c r="D4236" s="6" t="str">
        <f>IFERROR(__xludf.DUMMYFUNCTION("""COMPUTED_VALUE"""),"General - Shut-off Valve, HE-2-QS-6; Festo; 153467; 1 pcs")</f>
        <v>General - Shut-off Valve, HE-2-QS-6; Festo; 153467; 1 pcs</v>
      </c>
      <c r="E4236" s="6">
        <f>IFERROR(__xludf.DUMMYFUNCTION("""COMPUTED_VALUE"""),2.0)</f>
        <v>2</v>
      </c>
      <c r="F4236" s="6">
        <f>IFERROR(__xludf.DUMMYFUNCTION("""COMPUTED_VALUE"""),2.0)</f>
        <v>2</v>
      </c>
      <c r="G4236" s="6">
        <f>IFERROR(__xludf.DUMMYFUNCTION("""COMPUTED_VALUE"""),0.0)</f>
        <v>0</v>
      </c>
      <c r="H4236" s="6" t="str">
        <f>IFERROR(__xludf.DUMMYFUNCTION("""COMPUTED_VALUE"""),"Pcs")</f>
        <v>Pcs</v>
      </c>
      <c r="I4236" s="6" t="str">
        <f>IFERROR(__xludf.DUMMYFUNCTION("""COMPUTED_VALUE"""),"MFH")</f>
        <v>MFH</v>
      </c>
      <c r="J4236" s="6" t="str">
        <f>IFERROR(__xludf.DUMMYFUNCTION("""COMPUTED_VALUE"""),"Autoclave")</f>
        <v>Autoclave</v>
      </c>
      <c r="K4236" s="6" t="str">
        <f>IFERROR(__xludf.DUMMYFUNCTION("""COMPUTED_VALUE"""),"SPR/09/26/038")</f>
        <v>SPR/09/26/038</v>
      </c>
      <c r="L4236" s="6"/>
    </row>
    <row r="4237">
      <c r="A4237" s="6" t="str">
        <f>IFERROR(__xludf.DUMMYFUNCTION("""COMPUTED_VALUE"""),"ANO")</f>
        <v>ANO</v>
      </c>
      <c r="B4237" s="6" t="str">
        <f>IFERROR(__xludf.DUMMYFUNCTION("""COMPUTED_VALUE"""),"ENG")</f>
        <v>ENG</v>
      </c>
      <c r="C4237" s="6" t="str">
        <f>IFERROR(__xludf.DUMMYFUNCTION("""COMPUTED_VALUE"""),"P-11185-00")</f>
        <v>P-11185-00</v>
      </c>
      <c r="D4237" s="6" t="str">
        <f>IFERROR(__xludf.DUMMYFUNCTION("""COMPUTED_VALUE"""),"General - Push-in Connector, QS-8-6; Festo; 153038; 1 pcs")</f>
        <v>General - Push-in Connector, QS-8-6; Festo; 153038; 1 pcs</v>
      </c>
      <c r="E4237" s="6">
        <f>IFERROR(__xludf.DUMMYFUNCTION("""COMPUTED_VALUE"""),2.0)</f>
        <v>2</v>
      </c>
      <c r="F4237" s="6">
        <f>IFERROR(__xludf.DUMMYFUNCTION("""COMPUTED_VALUE"""),2.0)</f>
        <v>2</v>
      </c>
      <c r="G4237" s="6">
        <f>IFERROR(__xludf.DUMMYFUNCTION("""COMPUTED_VALUE"""),0.0)</f>
        <v>0</v>
      </c>
      <c r="H4237" s="6" t="str">
        <f>IFERROR(__xludf.DUMMYFUNCTION("""COMPUTED_VALUE"""),"Pcs")</f>
        <v>Pcs</v>
      </c>
      <c r="I4237" s="6" t="str">
        <f>IFERROR(__xludf.DUMMYFUNCTION("""COMPUTED_VALUE"""),"MFH")</f>
        <v>MFH</v>
      </c>
      <c r="J4237" s="6" t="str">
        <f>IFERROR(__xludf.DUMMYFUNCTION("""COMPUTED_VALUE"""),"Autoclave")</f>
        <v>Autoclave</v>
      </c>
      <c r="K4237" s="6" t="str">
        <f>IFERROR(__xludf.DUMMYFUNCTION("""COMPUTED_VALUE"""),"SPR/09/26/038")</f>
        <v>SPR/09/26/038</v>
      </c>
      <c r="L4237" s="6"/>
    </row>
    <row r="4238">
      <c r="A4238" s="6" t="str">
        <f>IFERROR(__xludf.DUMMYFUNCTION("""COMPUTED_VALUE"""),"MRN")</f>
        <v>MRN</v>
      </c>
      <c r="B4238" s="6" t="str">
        <f>IFERROR(__xludf.DUMMYFUNCTION("""COMPUTED_VALUE"""),"ENG")</f>
        <v>ENG</v>
      </c>
      <c r="C4238" s="6" t="str">
        <f>IFERROR(__xludf.DUMMYFUNCTION("""COMPUTED_VALUE"""),"P-20576-00")</f>
        <v>P-20576-00</v>
      </c>
      <c r="D4238" s="6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E4238" s="6">
        <f>IFERROR(__xludf.DUMMYFUNCTION("""COMPUTED_VALUE"""),1.0)</f>
        <v>1</v>
      </c>
      <c r="F4238" s="6">
        <f>IFERROR(__xludf.DUMMYFUNCTION("""COMPUTED_VALUE"""),1.0)</f>
        <v>1</v>
      </c>
      <c r="G4238" s="6">
        <f>IFERROR(__xludf.DUMMYFUNCTION("""COMPUTED_VALUE"""),0.0)</f>
        <v>0</v>
      </c>
      <c r="H4238" s="6" t="str">
        <f>IFERROR(__xludf.DUMMYFUNCTION("""COMPUTED_VALUE"""),"Pcs")</f>
        <v>Pcs</v>
      </c>
      <c r="I4238" s="6" t="str">
        <f>IFERROR(__xludf.DUMMYFUNCTION("""COMPUTED_VALUE"""),"MFH")</f>
        <v>MFH</v>
      </c>
      <c r="J4238" s="6" t="str">
        <f>IFERROR(__xludf.DUMMYFUNCTION("""COMPUTED_VALUE"""),"-")</f>
        <v>-</v>
      </c>
      <c r="K4238" s="6" t="str">
        <f>IFERROR(__xludf.DUMMYFUNCTION("""COMPUTED_VALUE"""),"SPR/09/26/039")</f>
        <v>SPR/09/26/039</v>
      </c>
      <c r="L4238" s="6"/>
    </row>
    <row r="4239">
      <c r="A4239" s="6" t="str">
        <f>IFERROR(__xludf.DUMMYFUNCTION("""COMPUTED_VALUE"""),"ANO")</f>
        <v>ANO</v>
      </c>
      <c r="B4239" s="6" t="str">
        <f>IFERROR(__xludf.DUMMYFUNCTION("""COMPUTED_VALUE"""),"ENG")</f>
        <v>ENG</v>
      </c>
      <c r="C4239" s="6" t="str">
        <f>IFERROR(__xludf.DUMMYFUNCTION("""COMPUTED_VALUE"""),"P-14950-00")</f>
        <v>P-14950-00</v>
      </c>
      <c r="D4239" s="6" t="str">
        <f>IFERROR(__xludf.DUMMYFUNCTION("""COMPUTED_VALUE"""),"Fitting Union Tee KQ2T04-00A")</f>
        <v>Fitting Union Tee KQ2T04-00A</v>
      </c>
      <c r="E4239" s="6">
        <f>IFERROR(__xludf.DUMMYFUNCTION("""COMPUTED_VALUE"""),2.0)</f>
        <v>2</v>
      </c>
      <c r="F4239" s="6">
        <f>IFERROR(__xludf.DUMMYFUNCTION("""COMPUTED_VALUE"""),2.0)</f>
        <v>2</v>
      </c>
      <c r="G4239" s="6">
        <f>IFERROR(__xludf.DUMMYFUNCTION("""COMPUTED_VALUE"""),0.0)</f>
        <v>0</v>
      </c>
      <c r="H4239" s="6" t="str">
        <f>IFERROR(__xludf.DUMMYFUNCTION("""COMPUTED_VALUE"""),"pcs")</f>
        <v>pcs</v>
      </c>
      <c r="I4239" s="6" t="str">
        <f>IFERROR(__xludf.DUMMYFUNCTION("""COMPUTED_VALUE"""),"MFH")</f>
        <v>MFH</v>
      </c>
      <c r="J4239" s="6" t="str">
        <f>IFERROR(__xludf.DUMMYFUNCTION("""COMPUTED_VALUE"""),"Autoclave")</f>
        <v>Autoclave</v>
      </c>
      <c r="K4239" s="6" t="str">
        <f>IFERROR(__xludf.DUMMYFUNCTION("""COMPUTED_VALUE"""),"SPR/09/26/040")</f>
        <v>SPR/09/26/040</v>
      </c>
      <c r="L4239" s="6"/>
    </row>
    <row r="4240">
      <c r="A4240" s="6" t="str">
        <f>IFERROR(__xludf.DUMMYFUNCTION("""COMPUTED_VALUE"""),"ANO")</f>
        <v>ANO</v>
      </c>
      <c r="B4240" s="6" t="str">
        <f>IFERROR(__xludf.DUMMYFUNCTION("""COMPUTED_VALUE"""),"ENG")</f>
        <v>ENG</v>
      </c>
      <c r="C4240" s="6" t="str">
        <f>IFERROR(__xludf.DUMMYFUNCTION("""COMPUTED_VALUE"""),"P-11183-00")</f>
        <v>P-11183-00</v>
      </c>
      <c r="D4240" s="6" t="str">
        <f>IFERROR(__xludf.DUMMYFUNCTION("""COMPUTED_VALUE"""),"General - Push-in Connector, QS-6-4; Festo; 153037; 1 pcs")</f>
        <v>General - Push-in Connector, QS-6-4; Festo; 153037; 1 pcs</v>
      </c>
      <c r="E4240" s="6">
        <f>IFERROR(__xludf.DUMMYFUNCTION("""COMPUTED_VALUE"""),2.0)</f>
        <v>2</v>
      </c>
      <c r="F4240" s="6">
        <f>IFERROR(__xludf.DUMMYFUNCTION("""COMPUTED_VALUE"""),2.0)</f>
        <v>2</v>
      </c>
      <c r="G4240" s="6">
        <f>IFERROR(__xludf.DUMMYFUNCTION("""COMPUTED_VALUE"""),0.0)</f>
        <v>0</v>
      </c>
      <c r="H4240" s="6" t="str">
        <f>IFERROR(__xludf.DUMMYFUNCTION("""COMPUTED_VALUE"""),"Pcs")</f>
        <v>Pcs</v>
      </c>
      <c r="I4240" s="6" t="str">
        <f>IFERROR(__xludf.DUMMYFUNCTION("""COMPUTED_VALUE"""),"MFH")</f>
        <v>MFH</v>
      </c>
      <c r="J4240" s="6" t="str">
        <f>IFERROR(__xludf.DUMMYFUNCTION("""COMPUTED_VALUE"""),"Autoclave")</f>
        <v>Autoclave</v>
      </c>
      <c r="K4240" s="6" t="str">
        <f>IFERROR(__xludf.DUMMYFUNCTION("""COMPUTED_VALUE"""),"SPR/09/26/040")</f>
        <v>SPR/09/26/040</v>
      </c>
      <c r="L4240" s="6"/>
    </row>
    <row r="4241">
      <c r="A4241" s="6" t="str">
        <f>IFERROR(__xludf.DUMMYFUNCTION("""COMPUTED_VALUE"""),"ANO")</f>
        <v>ANO</v>
      </c>
      <c r="B4241" s="6" t="str">
        <f>IFERROR(__xludf.DUMMYFUNCTION("""COMPUTED_VALUE"""),"ENG")</f>
        <v>ENG</v>
      </c>
      <c r="C4241" s="6" t="str">
        <f>IFERROR(__xludf.DUMMYFUNCTION("""COMPUTED_VALUE"""),"P-18963-00")</f>
        <v>P-18963-00</v>
      </c>
      <c r="D4241" s="6" t="str">
        <f>IFERROR(__xludf.DUMMYFUNCTION("""COMPUTED_VALUE"""),"Tubing Nylon Putih 6x8; ; ;")</f>
        <v>Tubing Nylon Putih 6x8; ; ;</v>
      </c>
      <c r="E4241" s="6">
        <f>IFERROR(__xludf.DUMMYFUNCTION("""COMPUTED_VALUE"""),10.0)</f>
        <v>10</v>
      </c>
      <c r="F4241" s="6">
        <f>IFERROR(__xludf.DUMMYFUNCTION("""COMPUTED_VALUE"""),10.0)</f>
        <v>10</v>
      </c>
      <c r="G4241" s="6">
        <f>IFERROR(__xludf.DUMMYFUNCTION("""COMPUTED_VALUE"""),0.0)</f>
        <v>0</v>
      </c>
      <c r="H4241" s="6" t="str">
        <f>IFERROR(__xludf.DUMMYFUNCTION("""COMPUTED_VALUE"""),"Pcs")</f>
        <v>Pcs</v>
      </c>
      <c r="I4241" s="6" t="str">
        <f>IFERROR(__xludf.DUMMYFUNCTION("""COMPUTED_VALUE"""),"MFH")</f>
        <v>MFH</v>
      </c>
      <c r="J4241" s="6" t="str">
        <f>IFERROR(__xludf.DUMMYFUNCTION("""COMPUTED_VALUE"""),"Autoclave")</f>
        <v>Autoclave</v>
      </c>
      <c r="K4241" s="6" t="str">
        <f>IFERROR(__xludf.DUMMYFUNCTION("""COMPUTED_VALUE"""),"SPR/09/26/040")</f>
        <v>SPR/09/26/040</v>
      </c>
      <c r="L4241" s="6"/>
    </row>
    <row r="4242">
      <c r="A4242" s="6" t="str">
        <f>IFERROR(__xludf.DUMMYFUNCTION("""COMPUTED_VALUE"""),"ANO")</f>
        <v>ANO</v>
      </c>
      <c r="B4242" s="6" t="str">
        <f>IFERROR(__xludf.DUMMYFUNCTION("""COMPUTED_VALUE"""),"ENG")</f>
        <v>ENG</v>
      </c>
      <c r="C4242" s="6" t="str">
        <f>IFERROR(__xludf.DUMMYFUNCTION("""COMPUTED_VALUE"""),"P-13650-00")</f>
        <v>P-13650-00</v>
      </c>
      <c r="D4242" s="6" t="str">
        <f>IFERROR(__xludf.DUMMYFUNCTION("""COMPUTED_VALUE"""),"General - Shut-off Valve, HE-2-QS-6; Festo; 153467; 1 pcs")</f>
        <v>General - Shut-off Valve, HE-2-QS-6; Festo; 153467; 1 pcs</v>
      </c>
      <c r="E4242" s="6">
        <f>IFERROR(__xludf.DUMMYFUNCTION("""COMPUTED_VALUE"""),2.0)</f>
        <v>2</v>
      </c>
      <c r="F4242" s="6">
        <f>IFERROR(__xludf.DUMMYFUNCTION("""COMPUTED_VALUE"""),2.0)</f>
        <v>2</v>
      </c>
      <c r="G4242" s="6">
        <f>IFERROR(__xludf.DUMMYFUNCTION("""COMPUTED_VALUE"""),0.0)</f>
        <v>0</v>
      </c>
      <c r="H4242" s="6" t="str">
        <f>IFERROR(__xludf.DUMMYFUNCTION("""COMPUTED_VALUE"""),"Pcs")</f>
        <v>Pcs</v>
      </c>
      <c r="I4242" s="6" t="str">
        <f>IFERROR(__xludf.DUMMYFUNCTION("""COMPUTED_VALUE"""),"MFH")</f>
        <v>MFH</v>
      </c>
      <c r="J4242" s="6" t="str">
        <f>IFERROR(__xludf.DUMMYFUNCTION("""COMPUTED_VALUE"""),"Autoclave")</f>
        <v>Autoclave</v>
      </c>
      <c r="K4242" s="6" t="str">
        <f>IFERROR(__xludf.DUMMYFUNCTION("""COMPUTED_VALUE"""),"SPR/09/26/041")</f>
        <v>SPR/09/26/041</v>
      </c>
      <c r="L4242" s="6"/>
    </row>
    <row r="4243">
      <c r="A4243" s="6" t="str">
        <f>IFERROR(__xludf.DUMMYFUNCTION("""COMPUTED_VALUE"""),"ANO")</f>
        <v>ANO</v>
      </c>
      <c r="B4243" s="6" t="str">
        <f>IFERROR(__xludf.DUMMYFUNCTION("""COMPUTED_VALUE"""),"ENG")</f>
        <v>ENG</v>
      </c>
      <c r="C4243" s="6" t="str">
        <f>IFERROR(__xludf.DUMMYFUNCTION("""COMPUTED_VALUE"""),"P-11228-00")</f>
        <v>P-11228-00</v>
      </c>
      <c r="D4243" s="6" t="str">
        <f>IFERROR(__xludf.DUMMYFUNCTION("""COMPUTED_VALUE"""),"Pneumatic  Fitting - QST 8 / PN : 153130 / Festo")</f>
        <v>Pneumatic  Fitting - QST 8 / PN : 153130 / Festo</v>
      </c>
      <c r="E4243" s="6">
        <f>IFERROR(__xludf.DUMMYFUNCTION("""COMPUTED_VALUE"""),1.0)</f>
        <v>1</v>
      </c>
      <c r="F4243" s="6">
        <f>IFERROR(__xludf.DUMMYFUNCTION("""COMPUTED_VALUE"""),1.0)</f>
        <v>1</v>
      </c>
      <c r="G4243" s="6">
        <f>IFERROR(__xludf.DUMMYFUNCTION("""COMPUTED_VALUE"""),0.0)</f>
        <v>0</v>
      </c>
      <c r="H4243" s="6" t="str">
        <f>IFERROR(__xludf.DUMMYFUNCTION("""COMPUTED_VALUE"""),"Pcs")</f>
        <v>Pcs</v>
      </c>
      <c r="I4243" s="6" t="str">
        <f>IFERROR(__xludf.DUMMYFUNCTION("""COMPUTED_VALUE"""),"MFH")</f>
        <v>MFH</v>
      </c>
      <c r="J4243" s="6" t="str">
        <f>IFERROR(__xludf.DUMMYFUNCTION("""COMPUTED_VALUE"""),"Autoclave")</f>
        <v>Autoclave</v>
      </c>
      <c r="K4243" s="6" t="str">
        <f>IFERROR(__xludf.DUMMYFUNCTION("""COMPUTED_VALUE"""),"SPR/09/26/041")</f>
        <v>SPR/09/26/041</v>
      </c>
      <c r="L4243" s="6"/>
    </row>
    <row r="4244">
      <c r="A4244" s="6" t="str">
        <f>IFERROR(__xludf.DUMMYFUNCTION("""COMPUTED_VALUE"""),"ANO")</f>
        <v>ANO</v>
      </c>
      <c r="B4244" s="6" t="str">
        <f>IFERROR(__xludf.DUMMYFUNCTION("""COMPUTED_VALUE"""),"ENG")</f>
        <v>ENG</v>
      </c>
      <c r="C4244" s="6" t="str">
        <f>IFERROR(__xludf.DUMMYFUNCTION("""COMPUTED_VALUE"""),"P-12265-00")</f>
        <v>P-12265-00</v>
      </c>
      <c r="D4244" s="6" t="str">
        <f>IFERROR(__xludf.DUMMYFUNCTION("""COMPUTED_VALUE"""),"FESTO - Push In Connector QS-8-6 p/n 153038")</f>
        <v>FESTO - Push In Connector QS-8-6 p/n 153038</v>
      </c>
      <c r="E4244" s="6">
        <f>IFERROR(__xludf.DUMMYFUNCTION("""COMPUTED_VALUE"""),1.0)</f>
        <v>1</v>
      </c>
      <c r="F4244" s="6">
        <f>IFERROR(__xludf.DUMMYFUNCTION("""COMPUTED_VALUE"""),1.0)</f>
        <v>1</v>
      </c>
      <c r="G4244" s="6">
        <f>IFERROR(__xludf.DUMMYFUNCTION("""COMPUTED_VALUE"""),0.0)</f>
        <v>0</v>
      </c>
      <c r="H4244" s="6" t="str">
        <f>IFERROR(__xludf.DUMMYFUNCTION("""COMPUTED_VALUE"""),"Pcs")</f>
        <v>Pcs</v>
      </c>
      <c r="I4244" s="6" t="str">
        <f>IFERROR(__xludf.DUMMYFUNCTION("""COMPUTED_VALUE"""),"MFH")</f>
        <v>MFH</v>
      </c>
      <c r="J4244" s="6" t="str">
        <f>IFERROR(__xludf.DUMMYFUNCTION("""COMPUTED_VALUE"""),"Autoclave")</f>
        <v>Autoclave</v>
      </c>
      <c r="K4244" s="6" t="str">
        <f>IFERROR(__xludf.DUMMYFUNCTION("""COMPUTED_VALUE"""),"SPR/09/26/041")</f>
        <v>SPR/09/26/041</v>
      </c>
      <c r="L4244" s="6"/>
    </row>
    <row r="4245">
      <c r="A4245" s="6" t="str">
        <f>IFERROR(__xludf.DUMMYFUNCTION("""COMPUTED_VALUE"""),"SFH")</f>
        <v>SFH</v>
      </c>
      <c r="B4245" s="6" t="str">
        <f>IFERROR(__xludf.DUMMYFUNCTION("""COMPUTED_VALUE"""),"ENG")</f>
        <v>ENG</v>
      </c>
      <c r="C4245" s="6" t="str">
        <f>IFERROR(__xludf.DUMMYFUNCTION("""COMPUTED_VALUE"""),"O-19346-00")</f>
        <v>O-19346-00</v>
      </c>
      <c r="D4245" s="6" t="str">
        <f>IFERROR(__xludf.DUMMYFUNCTION("""COMPUTED_VALUE"""),"HEPA filter minipleat, size: 1220X610X93 H14; ; ;")</f>
        <v>HEPA filter minipleat, size: 1220X610X93 H14; ; ;</v>
      </c>
      <c r="E4245" s="6">
        <f>IFERROR(__xludf.DUMMYFUNCTION("""COMPUTED_VALUE"""),1.0)</f>
        <v>1</v>
      </c>
      <c r="F4245" s="6">
        <f>IFERROR(__xludf.DUMMYFUNCTION("""COMPUTED_VALUE"""),1.0)</f>
        <v>1</v>
      </c>
      <c r="G4245" s="6">
        <f>IFERROR(__xludf.DUMMYFUNCTION("""COMPUTED_VALUE"""),0.0)</f>
        <v>0</v>
      </c>
      <c r="H4245" s="6" t="str">
        <f>IFERROR(__xludf.DUMMYFUNCTION("""COMPUTED_VALUE"""),"Pcs")</f>
        <v>Pcs</v>
      </c>
      <c r="I4245" s="6" t="str">
        <f>IFERROR(__xludf.DUMMYFUNCTION("""COMPUTED_VALUE"""),"MFH")</f>
        <v>MFH</v>
      </c>
      <c r="J4245" s="6" t="str">
        <f>IFERROR(__xludf.DUMMYFUNCTION("""COMPUTED_VALUE"""),"AHU")</f>
        <v>AHU</v>
      </c>
      <c r="K4245" s="6" t="str">
        <f>IFERROR(__xludf.DUMMYFUNCTION("""COMPUTED_VALUE"""),"SPR/09/26/042")</f>
        <v>SPR/09/26/042</v>
      </c>
      <c r="L4245" s="6"/>
    </row>
    <row r="4246">
      <c r="A4246" s="6" t="str">
        <f>IFERROR(__xludf.DUMMYFUNCTION("""COMPUTED_VALUE"""),"SFH")</f>
        <v>SFH</v>
      </c>
      <c r="B4246" s="6" t="str">
        <f>IFERROR(__xludf.DUMMYFUNCTION("""COMPUTED_VALUE"""),"ENG")</f>
        <v>ENG</v>
      </c>
      <c r="C4246" s="6" t="str">
        <f>IFERROR(__xludf.DUMMYFUNCTION("""COMPUTED_VALUE"""),"O-19388-00")</f>
        <v>O-19388-00</v>
      </c>
      <c r="D4246" s="6" t="str">
        <f>IFERROR(__xludf.DUMMYFUNCTION("""COMPUTED_VALUE"""),"HEPA filter minipleat, size: 610X610X93 H14; Hencolin; ;")</f>
        <v>HEPA filter minipleat, size: 610X610X93 H14; Hencolin; ;</v>
      </c>
      <c r="E4246" s="6">
        <f>IFERROR(__xludf.DUMMYFUNCTION("""COMPUTED_VALUE"""),1.0)</f>
        <v>1</v>
      </c>
      <c r="F4246" s="6">
        <f>IFERROR(__xludf.DUMMYFUNCTION("""COMPUTED_VALUE"""),1.0)</f>
        <v>1</v>
      </c>
      <c r="G4246" s="6">
        <f>IFERROR(__xludf.DUMMYFUNCTION("""COMPUTED_VALUE"""),0.0)</f>
        <v>0</v>
      </c>
      <c r="H4246" s="6" t="str">
        <f>IFERROR(__xludf.DUMMYFUNCTION("""COMPUTED_VALUE"""),"Pcs")</f>
        <v>Pcs</v>
      </c>
      <c r="I4246" s="6" t="str">
        <f>IFERROR(__xludf.DUMMYFUNCTION("""COMPUTED_VALUE"""),"MFH")</f>
        <v>MFH</v>
      </c>
      <c r="J4246" s="6" t="str">
        <f>IFERROR(__xludf.DUMMYFUNCTION("""COMPUTED_VALUE"""),"AHU")</f>
        <v>AHU</v>
      </c>
      <c r="K4246" s="6" t="str">
        <f>IFERROR(__xludf.DUMMYFUNCTION("""COMPUTED_VALUE"""),"SPR/09/26/042")</f>
        <v>SPR/09/26/042</v>
      </c>
      <c r="L4246" s="6"/>
    </row>
    <row r="4247">
      <c r="A4247" s="6" t="str">
        <f>IFERROR(__xludf.DUMMYFUNCTION("""COMPUTED_VALUE"""),"SFH")</f>
        <v>SFH</v>
      </c>
      <c r="B4247" s="6" t="str">
        <f>IFERROR(__xludf.DUMMYFUNCTION("""COMPUTED_VALUE"""),"ENG")</f>
        <v>ENG</v>
      </c>
      <c r="C4247" s="6" t="str">
        <f>IFERROR(__xludf.DUMMYFUNCTION("""COMPUTED_VALUE"""),"Q-12166-00")</f>
        <v>Q-12166-00</v>
      </c>
      <c r="D4247" s="6" t="str">
        <f>IFERROR(__xludf.DUMMYFUNCTION("""COMPUTED_VALUE"""),"Sandblast JT215 Buram 122cmx50m; Ruisitu; -; 1 Roll")</f>
        <v>Sandblast JT215 Buram 122cmx50m; Ruisitu; -; 1 Roll</v>
      </c>
      <c r="E4247" s="6">
        <f>IFERROR(__xludf.DUMMYFUNCTION("""COMPUTED_VALUE"""),1.0)</f>
        <v>1</v>
      </c>
      <c r="F4247" s="6">
        <f>IFERROR(__xludf.DUMMYFUNCTION("""COMPUTED_VALUE"""),1.0)</f>
        <v>1</v>
      </c>
      <c r="G4247" s="6">
        <f>IFERROR(__xludf.DUMMYFUNCTION("""COMPUTED_VALUE"""),0.0)</f>
        <v>0</v>
      </c>
      <c r="H4247" s="6" t="str">
        <f>IFERROR(__xludf.DUMMYFUNCTION("""COMPUTED_VALUE"""),"Pcs")</f>
        <v>Pcs</v>
      </c>
      <c r="I4247" s="6" t="str">
        <f>IFERROR(__xludf.DUMMYFUNCTION("""COMPUTED_VALUE"""),"MFH")</f>
        <v>MFH</v>
      </c>
      <c r="J4247" s="6" t="str">
        <f>IFERROR(__xludf.DUMMYFUNCTION("""COMPUTED_VALUE"""),"Building")</f>
        <v>Building</v>
      </c>
      <c r="K4247" s="6" t="str">
        <f>IFERROR(__xludf.DUMMYFUNCTION("""COMPUTED_VALUE"""),"SPR/09/26/042")</f>
        <v>SPR/09/26/042</v>
      </c>
      <c r="L4247" s="6"/>
    </row>
    <row r="4248">
      <c r="A4248" s="6" t="str">
        <f>IFERROR(__xludf.DUMMYFUNCTION("""COMPUTED_VALUE"""),"BDU")</f>
        <v>BDU</v>
      </c>
      <c r="B4248" s="6" t="str">
        <f>IFERROR(__xludf.DUMMYFUNCTION("""COMPUTED_VALUE"""),"ENG")</f>
        <v>ENG</v>
      </c>
      <c r="C4248" s="6" t="str">
        <f>IFERROR(__xludf.DUMMYFUNCTION("""COMPUTED_VALUE"""),"O-16032-00")</f>
        <v>O-16032-00</v>
      </c>
      <c r="D4248" s="6" t="str">
        <f>IFERROR(__xludf.DUMMYFUNCTION("""COMPUTED_VALUE"""),"Sleeves M200/90 Y 550 E4 Bt5/5 BJ;001643;Material : CSM; Shape : 200/90; Thickness (mm) : 4/10; Leng; ; ;")</f>
        <v>Sleeves M200/90 Y 550 E4 Bt5/5 BJ;001643;Material : CSM; Shape : 200/90; Thickness (mm) : 4/10; Leng; ; ;</v>
      </c>
      <c r="E4248" s="6">
        <f>IFERROR(__xludf.DUMMYFUNCTION("""COMPUTED_VALUE"""),1.0)</f>
        <v>1</v>
      </c>
      <c r="F4248" s="6">
        <f>IFERROR(__xludf.DUMMYFUNCTION("""COMPUTED_VALUE"""),1.0)</f>
        <v>1</v>
      </c>
      <c r="G4248" s="6">
        <f>IFERROR(__xludf.DUMMYFUNCTION("""COMPUTED_VALUE"""),0.0)</f>
        <v>0</v>
      </c>
      <c r="H4248" s="6" t="str">
        <f>IFERROR(__xludf.DUMMYFUNCTION("""COMPUTED_VALUE"""),"Pcs")</f>
        <v>Pcs</v>
      </c>
      <c r="I4248" s="6" t="str">
        <f>IFERROR(__xludf.DUMMYFUNCTION("""COMPUTED_VALUE"""),"MFH")</f>
        <v>MFH</v>
      </c>
      <c r="J4248" s="6" t="str">
        <f>IFERROR(__xludf.DUMMYFUNCTION("""COMPUTED_VALUE"""),"cRABS")</f>
        <v>cRABS</v>
      </c>
      <c r="K4248" s="6" t="str">
        <f>IFERROR(__xludf.DUMMYFUNCTION("""COMPUTED_VALUE"""),"SPR/09/26/043")</f>
        <v>SPR/09/26/043</v>
      </c>
      <c r="L4248" s="6"/>
    </row>
    <row r="4249">
      <c r="A4249" s="6" t="str">
        <f>IFERROR(__xludf.DUMMYFUNCTION("""COMPUTED_VALUE"""),"WAP")</f>
        <v>WAP</v>
      </c>
      <c r="B4249" s="6" t="str">
        <f>IFERROR(__xludf.DUMMYFUNCTION("""COMPUTED_VALUE"""),"ENG")</f>
        <v>ENG</v>
      </c>
      <c r="C4249" s="6" t="str">
        <f>IFERROR(__xludf.DUMMYFUNCTION("""COMPUTED_VALUE"""),"Q-10153-00")</f>
        <v>Q-10153-00</v>
      </c>
      <c r="D4249" s="6" t="str">
        <f>IFERROR(__xludf.DUMMYFUNCTION("""COMPUTED_VALUE"""),"Roller cat 110mm")</f>
        <v>Roller cat 110mm</v>
      </c>
      <c r="E4249" s="6">
        <f>IFERROR(__xludf.DUMMYFUNCTION("""COMPUTED_VALUE"""),2.0)</f>
        <v>2</v>
      </c>
      <c r="F4249" s="6">
        <f>IFERROR(__xludf.DUMMYFUNCTION("""COMPUTED_VALUE"""),2.0)</f>
        <v>2</v>
      </c>
      <c r="G4249" s="6">
        <f>IFERROR(__xludf.DUMMYFUNCTION("""COMPUTED_VALUE"""),0.0)</f>
        <v>0</v>
      </c>
      <c r="H4249" s="6" t="str">
        <f>IFERROR(__xludf.DUMMYFUNCTION("""COMPUTED_VALUE"""),"Pcs")</f>
        <v>Pcs</v>
      </c>
      <c r="I4249" s="6" t="str">
        <f>IFERROR(__xludf.DUMMYFUNCTION("""COMPUTED_VALUE"""),"MFH")</f>
        <v>MFH</v>
      </c>
      <c r="J4249" s="6" t="str">
        <f>IFERROR(__xludf.DUMMYFUNCTION("""COMPUTED_VALUE"""),"Building")</f>
        <v>Building</v>
      </c>
      <c r="K4249" s="6" t="str">
        <f>IFERROR(__xludf.DUMMYFUNCTION("""COMPUTED_VALUE"""),"SPR/09/26/044")</f>
        <v>SPR/09/26/044</v>
      </c>
      <c r="L4249" s="6"/>
    </row>
    <row r="4250">
      <c r="A4250" s="6" t="str">
        <f>IFERROR(__xludf.DUMMYFUNCTION("""COMPUTED_VALUE"""),"MRN")</f>
        <v>MRN</v>
      </c>
      <c r="B4250" s="6" t="str">
        <f>IFERROR(__xludf.DUMMYFUNCTION("""COMPUTED_VALUE"""),"ENG")</f>
        <v>ENG</v>
      </c>
      <c r="C4250" s="6" t="str">
        <f>IFERROR(__xludf.DUMMYFUNCTION("""COMPUTED_VALUE"""),"P-50506-00")</f>
        <v>P-50506-00</v>
      </c>
      <c r="D4250" s="6" t="str">
        <f>IFERROR(__xludf.DUMMYFUNCTION("""COMPUTED_VALUE"""),"Saklar Tunggal / 250 V / Clipsal")</f>
        <v>Saklar Tunggal / 250 V / Clipsal</v>
      </c>
      <c r="E4250" s="6">
        <f>IFERROR(__xludf.DUMMYFUNCTION("""COMPUTED_VALUE"""),1.0)</f>
        <v>1</v>
      </c>
      <c r="F4250" s="6">
        <f>IFERROR(__xludf.DUMMYFUNCTION("""COMPUTED_VALUE"""),1.0)</f>
        <v>1</v>
      </c>
      <c r="G4250" s="6">
        <f>IFERROR(__xludf.DUMMYFUNCTION("""COMPUTED_VALUE"""),0.0)</f>
        <v>0</v>
      </c>
      <c r="H4250" s="6" t="str">
        <f>IFERROR(__xludf.DUMMYFUNCTION("""COMPUTED_VALUE"""),"Pcs")</f>
        <v>Pcs</v>
      </c>
      <c r="I4250" s="6" t="str">
        <f>IFERROR(__xludf.DUMMYFUNCTION("""COMPUTED_VALUE"""),"MFH")</f>
        <v>MFH</v>
      </c>
      <c r="J4250" s="6" t="str">
        <f>IFERROR(__xludf.DUMMYFUNCTION("""COMPUTED_VALUE"""),"Building")</f>
        <v>Building</v>
      </c>
      <c r="K4250" s="6" t="str">
        <f>IFERROR(__xludf.DUMMYFUNCTION("""COMPUTED_VALUE"""),"SPR/09/26/045")</f>
        <v>SPR/09/26/045</v>
      </c>
      <c r="L4250" s="6"/>
    </row>
    <row r="4251">
      <c r="A4251" s="6" t="str">
        <f>IFERROR(__xludf.DUMMYFUNCTION("""COMPUTED_VALUE"""),"SFH")</f>
        <v>SFH</v>
      </c>
      <c r="B4251" s="6" t="str">
        <f>IFERROR(__xludf.DUMMYFUNCTION("""COMPUTED_VALUE"""),"ENG")</f>
        <v>ENG</v>
      </c>
      <c r="C4251" s="6" t="str">
        <f>IFERROR(__xludf.DUMMYFUNCTION("""COMPUTED_VALUE"""),"Q-10302-00")</f>
        <v>Q-10302-00</v>
      </c>
      <c r="D4251" s="6" t="str">
        <f>IFERROR(__xludf.DUMMYFUNCTION("""COMPUTED_VALUE"""),"Compound / Kompon Gypsum;No Brand;;pack size 20 kg per pck")</f>
        <v>Compound / Kompon Gypsum;No Brand;;pack size 20 kg per pck</v>
      </c>
      <c r="E4251" s="6">
        <f>IFERROR(__xludf.DUMMYFUNCTION("""COMPUTED_VALUE"""),1.0)</f>
        <v>1</v>
      </c>
      <c r="F4251" s="6">
        <f>IFERROR(__xludf.DUMMYFUNCTION("""COMPUTED_VALUE"""),1.0)</f>
        <v>1</v>
      </c>
      <c r="G4251" s="6">
        <f>IFERROR(__xludf.DUMMYFUNCTION("""COMPUTED_VALUE"""),0.0)</f>
        <v>0</v>
      </c>
      <c r="H4251" s="6" t="str">
        <f>IFERROR(__xludf.DUMMYFUNCTION("""COMPUTED_VALUE"""),"Pcs")</f>
        <v>Pcs</v>
      </c>
      <c r="I4251" s="6" t="str">
        <f>IFERROR(__xludf.DUMMYFUNCTION("""COMPUTED_VALUE"""),"MFH")</f>
        <v>MFH</v>
      </c>
      <c r="J4251" s="6" t="str">
        <f>IFERROR(__xludf.DUMMYFUNCTION("""COMPUTED_VALUE"""),"Building")</f>
        <v>Building</v>
      </c>
      <c r="K4251" s="6" t="str">
        <f>IFERROR(__xludf.DUMMYFUNCTION("""COMPUTED_VALUE"""),"SPR/09/26/046")</f>
        <v>SPR/09/26/046</v>
      </c>
      <c r="L4251" s="6"/>
    </row>
    <row r="4252">
      <c r="A4252" s="6" t="str">
        <f>IFERROR(__xludf.DUMMYFUNCTION("""COMPUTED_VALUE"""),"SFH")</f>
        <v>SFH</v>
      </c>
      <c r="B4252" s="6" t="str">
        <f>IFERROR(__xludf.DUMMYFUNCTION("""COMPUTED_VALUE"""),"ENG")</f>
        <v>ENG</v>
      </c>
      <c r="C4252" s="6" t="str">
        <f>IFERROR(__xludf.DUMMYFUNCTION("""COMPUTED_VALUE"""),"Q-10128-00")</f>
        <v>Q-10128-00</v>
      </c>
      <c r="D4252" s="6" t="str">
        <f>IFERROR(__xludf.DUMMYFUNCTION("""COMPUTED_VALUE"""),"Thinner Super End/Impala")</f>
        <v>Thinner Super End/Impala</v>
      </c>
      <c r="E4252" s="6">
        <f>IFERROR(__xludf.DUMMYFUNCTION("""COMPUTED_VALUE"""),5.0)</f>
        <v>5</v>
      </c>
      <c r="F4252" s="6">
        <f>IFERROR(__xludf.DUMMYFUNCTION("""COMPUTED_VALUE"""),5.0)</f>
        <v>5</v>
      </c>
      <c r="G4252" s="6">
        <f>IFERROR(__xludf.DUMMYFUNCTION("""COMPUTED_VALUE"""),0.0)</f>
        <v>0</v>
      </c>
      <c r="H4252" s="6" t="str">
        <f>IFERROR(__xludf.DUMMYFUNCTION("""COMPUTED_VALUE"""),"Pcs")</f>
        <v>Pcs</v>
      </c>
      <c r="I4252" s="6" t="str">
        <f>IFERROR(__xludf.DUMMYFUNCTION("""COMPUTED_VALUE"""),"MFH")</f>
        <v>MFH</v>
      </c>
      <c r="J4252" s="6" t="str">
        <f>IFERROR(__xludf.DUMMYFUNCTION("""COMPUTED_VALUE"""),"Building")</f>
        <v>Building</v>
      </c>
      <c r="K4252" s="6" t="str">
        <f>IFERROR(__xludf.DUMMYFUNCTION("""COMPUTED_VALUE"""),"SPR/09/26/046")</f>
        <v>SPR/09/26/046</v>
      </c>
      <c r="L4252" s="6"/>
    </row>
    <row r="4253">
      <c r="A4253" s="6" t="str">
        <f>IFERROR(__xludf.DUMMYFUNCTION("""COMPUTED_VALUE"""),"SFH")</f>
        <v>SFH</v>
      </c>
      <c r="B4253" s="6" t="str">
        <f>IFERROR(__xludf.DUMMYFUNCTION("""COMPUTED_VALUE"""),"ENG")</f>
        <v>ENG</v>
      </c>
      <c r="C4253" s="6" t="str">
        <f>IFERROR(__xludf.DUMMYFUNCTION("""COMPUTED_VALUE"""),"O-14639-00")</f>
        <v>O-14639-00</v>
      </c>
      <c r="D4253" s="6" t="str">
        <f>IFERROR(__xludf.DUMMYFUNCTION("""COMPUTED_VALUE"""),"General - EPDM Gasket for Ferrule dia. 1/2""; -; -; 1 pc")</f>
        <v>General - EPDM Gasket for Ferrule dia. 1/2"; -; -; 1 pc</v>
      </c>
      <c r="E4253" s="6">
        <f>IFERROR(__xludf.DUMMYFUNCTION("""COMPUTED_VALUE"""),1.0)</f>
        <v>1</v>
      </c>
      <c r="F4253" s="6">
        <f>IFERROR(__xludf.DUMMYFUNCTION("""COMPUTED_VALUE"""),1.0)</f>
        <v>1</v>
      </c>
      <c r="G4253" s="6">
        <f>IFERROR(__xludf.DUMMYFUNCTION("""COMPUTED_VALUE"""),0.0)</f>
        <v>0</v>
      </c>
      <c r="H4253" s="6" t="str">
        <f>IFERROR(__xludf.DUMMYFUNCTION("""COMPUTED_VALUE"""),"Pcs")</f>
        <v>Pcs</v>
      </c>
      <c r="I4253" s="6" t="str">
        <f>IFERROR(__xludf.DUMMYFUNCTION("""COMPUTED_VALUE"""),"MFH")</f>
        <v>MFH</v>
      </c>
      <c r="J4253" s="6" t="str">
        <f>IFERROR(__xludf.DUMMYFUNCTION("""COMPUTED_VALUE"""),"Building")</f>
        <v>Building</v>
      </c>
      <c r="K4253" s="6" t="str">
        <f>IFERROR(__xludf.DUMMYFUNCTION("""COMPUTED_VALUE"""),"SPR/09/26/046")</f>
        <v>SPR/09/26/046</v>
      </c>
      <c r="L4253" s="6"/>
    </row>
    <row r="4254">
      <c r="A4254" s="6" t="str">
        <f>IFERROR(__xludf.DUMMYFUNCTION("""COMPUTED_VALUE"""),"PHL")</f>
        <v>PHL</v>
      </c>
      <c r="B4254" s="6" t="str">
        <f>IFERROR(__xludf.DUMMYFUNCTION("""COMPUTED_VALUE"""),"QCC")</f>
        <v>QCC</v>
      </c>
      <c r="C4254" s="6" t="str">
        <f>IFERROR(__xludf.DUMMYFUNCTION("""COMPUTED_VALUE"""),"P-13389-00")</f>
        <v>P-13389-00</v>
      </c>
      <c r="D4254" s="6" t="str">
        <f>IFERROR(__xludf.DUMMYFUNCTION("""COMPUTED_VALUE"""),"Scotch Brite 3M; ; ;")</f>
        <v>Scotch Brite 3M; ; ;</v>
      </c>
      <c r="E4254" s="6">
        <f>IFERROR(__xludf.DUMMYFUNCTION("""COMPUTED_VALUE"""),2.0)</f>
        <v>2</v>
      </c>
      <c r="F4254" s="6">
        <f>IFERROR(__xludf.DUMMYFUNCTION("""COMPUTED_VALUE"""),2.0)</f>
        <v>2</v>
      </c>
      <c r="G4254" s="6">
        <f>IFERROR(__xludf.DUMMYFUNCTION("""COMPUTED_VALUE"""),0.0)</f>
        <v>0</v>
      </c>
      <c r="H4254" s="6" t="str">
        <f>IFERROR(__xludf.DUMMYFUNCTION("""COMPUTED_VALUE"""),"Pcs")</f>
        <v>Pcs</v>
      </c>
      <c r="I4254" s="6" t="str">
        <f>IFERROR(__xludf.DUMMYFUNCTION("""COMPUTED_VALUE"""),"MFH")</f>
        <v>MFH</v>
      </c>
      <c r="J4254" s="6" t="str">
        <f>IFERROR(__xludf.DUMMYFUNCTION("""COMPUTED_VALUE"""),"Lab")</f>
        <v>Lab</v>
      </c>
      <c r="K4254" s="6" t="str">
        <f>IFERROR(__xludf.DUMMYFUNCTION("""COMPUTED_VALUE"""),"SPR/09/26/047")</f>
        <v>SPR/09/26/047</v>
      </c>
      <c r="L4254" s="6"/>
    </row>
    <row r="4255">
      <c r="A4255" s="6" t="str">
        <f>IFERROR(__xludf.DUMMYFUNCTION("""COMPUTED_VALUE"""),"PHL")</f>
        <v>PHL</v>
      </c>
      <c r="B4255" s="6" t="str">
        <f>IFERROR(__xludf.DUMMYFUNCTION("""COMPUTED_VALUE"""),"QCC")</f>
        <v>QCC</v>
      </c>
      <c r="C4255" s="6" t="str">
        <f>IFERROR(__xludf.DUMMYFUNCTION("""COMPUTED_VALUE"""),"P-17645-00")</f>
        <v>P-17645-00</v>
      </c>
      <c r="D4255" s="6" t="str">
        <f>IFERROR(__xludf.DUMMYFUNCTION("""COMPUTED_VALUE"""),"Sodium Hiphoclorite; ; ; ltr")</f>
        <v>Sodium Hiphoclorite; ; ; ltr</v>
      </c>
      <c r="E4255" s="6">
        <f>IFERROR(__xludf.DUMMYFUNCTION("""COMPUTED_VALUE"""),25.0)</f>
        <v>25</v>
      </c>
      <c r="F4255" s="6">
        <f>IFERROR(__xludf.DUMMYFUNCTION("""COMPUTED_VALUE"""),25.0)</f>
        <v>25</v>
      </c>
      <c r="G4255" s="6">
        <f>IFERROR(__xludf.DUMMYFUNCTION("""COMPUTED_VALUE"""),0.0)</f>
        <v>0</v>
      </c>
      <c r="H4255" s="6" t="str">
        <f>IFERROR(__xludf.DUMMYFUNCTION("""COMPUTED_VALUE"""),"Pcs")</f>
        <v>Pcs</v>
      </c>
      <c r="I4255" s="6" t="str">
        <f>IFERROR(__xludf.DUMMYFUNCTION("""COMPUTED_VALUE"""),"MFH")</f>
        <v>MFH</v>
      </c>
      <c r="J4255" s="6" t="str">
        <f>IFERROR(__xludf.DUMMYFUNCTION("""COMPUTED_VALUE"""),"Lab")</f>
        <v>Lab</v>
      </c>
      <c r="K4255" s="6" t="str">
        <f>IFERROR(__xludf.DUMMYFUNCTION("""COMPUTED_VALUE"""),"SPR/09/26/047")</f>
        <v>SPR/09/26/047</v>
      </c>
      <c r="L4255" s="6"/>
    </row>
    <row r="4256">
      <c r="A4256" s="6" t="str">
        <f>IFERROR(__xludf.DUMMYFUNCTION("""COMPUTED_VALUE"""),"BDU")</f>
        <v>BDU</v>
      </c>
      <c r="B4256" s="6" t="str">
        <f>IFERROR(__xludf.DUMMYFUNCTION("""COMPUTED_VALUE"""),"ENG")</f>
        <v>ENG</v>
      </c>
      <c r="C4256" s="6" t="str">
        <f>IFERROR(__xludf.DUMMYFUNCTION("""COMPUTED_VALUE"""),"P-11184-00")</f>
        <v>P-11184-00</v>
      </c>
      <c r="D4256" s="6" t="str">
        <f>IFERROR(__xludf.DUMMYFUNCTION("""COMPUTED_VALUE"""),"General - Push-in Connector, QS-8; Festo; 153033; 1 pcs")</f>
        <v>General - Push-in Connector, QS-8; Festo; 153033; 1 pcs</v>
      </c>
      <c r="E4256" s="6">
        <f>IFERROR(__xludf.DUMMYFUNCTION("""COMPUTED_VALUE"""),1.0)</f>
        <v>1</v>
      </c>
      <c r="F4256" s="6">
        <f>IFERROR(__xludf.DUMMYFUNCTION("""COMPUTED_VALUE"""),1.0)</f>
        <v>1</v>
      </c>
      <c r="G4256" s="6">
        <f>IFERROR(__xludf.DUMMYFUNCTION("""COMPUTED_VALUE"""),0.0)</f>
        <v>0</v>
      </c>
      <c r="H4256" s="6"/>
      <c r="I4256" s="6"/>
      <c r="J4256" s="6"/>
      <c r="K4256" s="6"/>
      <c r="L4256" s="6"/>
    </row>
    <row r="4257">
      <c r="A4257" s="6" t="str">
        <f>IFERROR(__xludf.DUMMYFUNCTION("""COMPUTED_VALUE"""),"BDU")</f>
        <v>BDU</v>
      </c>
      <c r="B4257" s="6" t="str">
        <f>IFERROR(__xludf.DUMMYFUNCTION("""COMPUTED_VALUE"""),"ENG")</f>
        <v>ENG</v>
      </c>
      <c r="C4257" s="6" t="str">
        <f>IFERROR(__xludf.DUMMYFUNCTION("""COMPUTED_VALUE"""),"P-11176-00")</f>
        <v>P-11176-00</v>
      </c>
      <c r="D4257" s="6" t="str">
        <f>IFERROR(__xludf.DUMMYFUNCTION("""COMPUTED_VALUE"""),"Pneumatic  Fitting - QS 12 / PN : 153035 / Festo")</f>
        <v>Pneumatic  Fitting - QS 12 / PN : 153035 / Festo</v>
      </c>
      <c r="E4257" s="6">
        <f>IFERROR(__xludf.DUMMYFUNCTION("""COMPUTED_VALUE"""),1.0)</f>
        <v>1</v>
      </c>
      <c r="F4257" s="6">
        <f>IFERROR(__xludf.DUMMYFUNCTION("""COMPUTED_VALUE"""),1.0)</f>
        <v>1</v>
      </c>
      <c r="G4257" s="6">
        <f>IFERROR(__xludf.DUMMYFUNCTION("""COMPUTED_VALUE"""),0.0)</f>
        <v>0</v>
      </c>
      <c r="H4257" s="6"/>
      <c r="I4257" s="6"/>
      <c r="J4257" s="6"/>
      <c r="K4257" s="6"/>
      <c r="L4257" s="6"/>
    </row>
    <row r="4258">
      <c r="A4258" s="6" t="str">
        <f>IFERROR(__xludf.DUMMYFUNCTION("""COMPUTED_VALUE"""),"BDU")</f>
        <v>BDU</v>
      </c>
      <c r="B4258" s="6" t="str">
        <f>IFERROR(__xludf.DUMMYFUNCTION("""COMPUTED_VALUE"""),"ENG")</f>
        <v>ENG</v>
      </c>
      <c r="C4258" s="6" t="str">
        <f>IFERROR(__xludf.DUMMYFUNCTION("""COMPUTED_VALUE"""),"P-11431-00")</f>
        <v>P-11431-00</v>
      </c>
      <c r="D4258" s="6" t="str">
        <f>IFERROR(__xludf.DUMMYFUNCTION("""COMPUTED_VALUE"""),"General - Plastic Tubing, PUN-H-8X1,25-BL; Festo; 197385; 1 m")</f>
        <v>General - Plastic Tubing, PUN-H-8X1,25-BL; Festo; 197385; 1 m</v>
      </c>
      <c r="E4258" s="6">
        <f>IFERROR(__xludf.DUMMYFUNCTION("""COMPUTED_VALUE"""),1.0)</f>
        <v>1</v>
      </c>
      <c r="F4258" s="6">
        <f>IFERROR(__xludf.DUMMYFUNCTION("""COMPUTED_VALUE"""),1.0)</f>
        <v>1</v>
      </c>
      <c r="G4258" s="6">
        <f>IFERROR(__xludf.DUMMYFUNCTION("""COMPUTED_VALUE"""),0.0)</f>
        <v>0</v>
      </c>
      <c r="H4258" s="6"/>
      <c r="I4258" s="6"/>
      <c r="J4258" s="6"/>
      <c r="K4258" s="6"/>
      <c r="L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</row>
    <row r="429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</row>
    <row r="4369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</row>
    <row r="4379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</row>
    <row r="4380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</row>
    <row r="4381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</row>
    <row r="439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</row>
    <row r="4396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</row>
    <row r="4397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</row>
    <row r="4398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</row>
    <row r="4399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</row>
    <row r="4400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</row>
    <row r="4401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</row>
    <row r="4449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</row>
    <row r="4453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</row>
    <row r="445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</row>
    <row r="445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</row>
    <row r="4456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</row>
    <row r="4457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</row>
    <row r="4458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</row>
    <row r="4459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</row>
    <row r="4460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</row>
    <row r="4461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</row>
    <row r="446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</row>
    <row r="4463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</row>
    <row r="446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</row>
    <row r="446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</row>
    <row r="4466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</row>
    <row r="4467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</row>
    <row r="4468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</row>
    <row r="4469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</row>
    <row r="4470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</row>
    <row r="4471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</row>
    <row r="447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</row>
    <row r="4473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</row>
    <row r="447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</row>
    <row r="447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</row>
    <row r="4476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</row>
    <row r="4477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</row>
    <row r="4478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</row>
    <row r="4479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</row>
    <row r="4480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</row>
    <row r="4481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</row>
    <row r="448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</row>
    <row r="4483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</row>
    <row r="448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</row>
    <row r="448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</row>
    <row r="4486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</row>
    <row r="4487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</row>
    <row r="4488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</row>
    <row r="4489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</row>
    <row r="4490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</row>
    <row r="4491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</row>
    <row r="449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</row>
    <row r="4493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</row>
    <row r="449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</row>
    <row r="449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</row>
    <row r="4496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</row>
    <row r="4497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</row>
    <row r="4498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</row>
    <row r="4499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</row>
    <row r="4500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</row>
    <row r="4501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</row>
    <row r="450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</row>
    <row r="4503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</row>
    <row r="450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</row>
    <row r="450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</row>
    <row r="4506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</row>
    <row r="4507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</row>
    <row r="4508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</row>
    <row r="4509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</row>
    <row r="4510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</row>
    <row r="4511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</row>
    <row r="451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</row>
    <row r="4513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</row>
    <row r="451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</row>
    <row r="451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</row>
    <row r="4516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</row>
    <row r="4517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</row>
    <row r="4518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</row>
    <row r="4519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</row>
    <row r="4520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</row>
    <row r="4521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</row>
    <row r="452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</row>
    <row r="4523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</row>
    <row r="452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</row>
    <row r="45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</row>
    <row r="4526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</row>
    <row r="4527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</row>
    <row r="4528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</row>
  </sheetData>
  <drawing r:id="rId1"/>
</worksheet>
</file>